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参数表" sheetId="2" state="visible" r:id="rId2"/>
    <sheet name="物料档案" sheetId="3" state="visible" r:id="rId3"/>
    <sheet name="费用台账" sheetId="4" state="visible" r:id="rId4"/>
    <sheet name="入库单" sheetId="5" state="visible" r:id="rId5"/>
    <sheet name="出库单" sheetId="6" state="visible" r:id="rId6"/>
    <sheet name="到货批次" sheetId="7" state="visible" r:id="rId7"/>
    <sheet name="库存台账" sheetId="8" state="visible" r:id="rId8"/>
    <sheet name="月度盘点" sheetId="9" state="visible" r:id="rId9"/>
    <sheet name="领导月报" sheetId="10" state="visible" r:id="rId10"/>
    <sheet name="应收对账" sheetId="11" state="visible" r:id="rId11"/>
    <sheet name="核对表" sheetId="12" state="visible" r:id="rId12"/>
  </sheets>
  <definedNames>
    <definedName name="汇率">参数表!$B$4</definedName>
    <definedName name="倍数A">参数表!$B$5</definedName>
    <definedName name="系数B">参数表!$B$6</definedName>
    <definedName name="账期起">参数表!$B$7</definedName>
    <definedName name="账期止">参数表!$B$8</definedName>
    <definedName name="结账锁">参数表!$B$9</definedName>
    <definedName name="一矿处理量">参数表!$B$10</definedName>
    <definedName name="二矿处理量">参数表!$B$11</definedName>
    <definedName name="矿区表">参数表!$E$4:$E$33</definedName>
    <definedName name="去向表">参数表!$G$4:$G$33</definedName>
    <definedName name="入库类型表">参数表!$I$4:$I$33</definedName>
    <definedName name="费用类型表">参数表!$K$4:$K$33</definedName>
    <definedName name="货源表">参数表!$M$4:$M$33</definedName>
    <definedName name="价格状态表">参数表!$O$4:$O$33</definedName>
    <definedName name="大类表">参数表!$Q$4:$Q$33</definedName>
    <definedName name="单位表">参数表!$S$4:$S$63</definedName>
    <definedName name="人员表">参数表!$U$4:$U$33</definedName>
    <definedName name="物料档案表">物料档案!$A$4:$A$1203</definedName>
    <definedName name="_xlnm._FilterDatabase" localSheetId="2" hidden="1">'物料档案'!$A$3:$P$1203</definedName>
    <definedName name="_xlnm._FilterDatabase" localSheetId="3" hidden="1">'费用台账'!$A$3:$L$503</definedName>
    <definedName name="_xlnm._FilterDatabase" localSheetId="4" hidden="1">'入库单'!$A$3:$AC$2503</definedName>
    <definedName name="_xlnm._FilterDatabase" localSheetId="5" hidden="1">'出库单'!$A$3:$W$4003</definedName>
    <definedName name="_xlnm._FilterDatabase" localSheetId="6" hidden="1">'到货批次'!$A$3:$M$204</definedName>
    <definedName name="_xlnm._FilterDatabase" localSheetId="7" hidden="1">'库存台账'!$A$3:$AA$1204</definedName>
    <definedName name="_xlnm._FilterDatabase" localSheetId="8" hidden="1">'月度盘点'!$A$3:$R$1204</definedName>
    <definedName name="_xlnm.Print_Area" localSheetId="8">'月度盘点'!$A$1:$H$1204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"/>
    <numFmt numFmtId="165" formatCode="yyyy-mm-dd h:mm:ss"/>
    <numFmt numFmtId="166" formatCode="yyyy-mm-dd"/>
    <numFmt numFmtId="167" formatCode="#,##0.##"/>
    <numFmt numFmtId="168" formatCode="#,##0.###"/>
    <numFmt numFmtId="169" formatCode="0.0%"/>
  </numFmts>
  <fonts count="19">
    <font>
      <name val="Calibri"/>
      <family val="2"/>
      <color theme="1"/>
      <sz val="11"/>
      <scheme val="minor"/>
    </font>
    <font>
      <name val="微软雅黑"/>
      <b val="1"/>
      <color rgb="00FFFFFF"/>
      <sz val="15"/>
    </font>
    <font>
      <name val="微软雅黑"/>
      <color rgb="008B5E00"/>
      <sz val="9"/>
    </font>
    <font>
      <name val="微软雅黑"/>
      <b val="1"/>
      <color rgb="00FFFFFF"/>
      <sz val="10"/>
    </font>
    <font>
      <name val="微软雅黑"/>
      <b val="1"/>
      <sz val="10"/>
    </font>
    <font>
      <name val="微软雅黑"/>
      <b val="1"/>
      <color rgb="00C00000"/>
      <sz val="12"/>
    </font>
    <font>
      <name val="微软雅黑"/>
      <color rgb="00808080"/>
      <sz val="9"/>
    </font>
    <font>
      <name val="微软雅黑"/>
      <color rgb="007F7F7F"/>
      <sz val="10"/>
    </font>
    <font>
      <name val="微软雅黑"/>
      <sz val="10"/>
    </font>
    <font>
      <name val="微软雅黑"/>
      <b val="1"/>
      <color rgb="00C00000"/>
      <sz val="10"/>
    </font>
    <font>
      <name val="微软雅黑"/>
      <b val="1"/>
      <color rgb="00FFFFFF"/>
      <sz val="12"/>
    </font>
    <font>
      <name val="微软雅黑"/>
      <color rgb="00000000"/>
      <sz val="10"/>
    </font>
    <font>
      <name val="微软雅黑"/>
      <b val="1"/>
      <color rgb="00C00000"/>
      <sz val="11"/>
    </font>
    <font>
      <name val="微软雅黑"/>
      <color rgb="00C00000"/>
      <sz val="9"/>
    </font>
    <font>
      <name val="微软雅黑"/>
      <b val="1"/>
      <sz val="11"/>
    </font>
    <font>
      <name val="微软雅黑"/>
      <b val="1"/>
      <color rgb="00006100"/>
      <sz val="14"/>
    </font>
    <font>
      <name val="微软雅黑"/>
      <b val="1"/>
      <sz val="14"/>
    </font>
    <font>
      <name val="微软雅黑"/>
      <b val="1"/>
      <color rgb="00C00000"/>
      <sz val="14"/>
    </font>
    <font>
      <name val="微软雅黑"/>
      <color rgb="00595959"/>
      <sz val="9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7E6"/>
      </patternFill>
    </fill>
    <fill>
      <patternFill patternType="solid">
        <fgColor rgb="00806000"/>
      </patternFill>
    </fill>
    <fill>
      <patternFill patternType="solid">
        <fgColor rgb="00FFFBEA"/>
      </patternFill>
    </fill>
    <fill>
      <patternFill patternType="solid">
        <fgColor rgb="00F2F2F2"/>
      </patternFill>
    </fill>
    <fill>
      <patternFill patternType="solid">
        <fgColor rgb="002F5597"/>
      </patternFill>
    </fill>
    <fill>
      <patternFill patternType="solid">
        <fgColor rgb="00375623"/>
      </patternFill>
    </fill>
    <fill>
      <patternFill patternType="solid">
        <fgColor rgb="00FFF2CC"/>
      </patternFill>
    </fill>
    <fill>
      <patternFill patternType="solid">
        <fgColor rgb="00833C00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10" fillId="7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 wrapText="1"/>
    </xf>
    <xf numFmtId="0" fontId="18" fillId="0" borderId="1" applyAlignment="1" pivotButton="0" quotePrefix="0" xfId="0">
      <alignment horizontal="left" vertical="center"/>
    </xf>
    <xf numFmtId="0" fontId="13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 wrapText="1"/>
    </xf>
    <xf numFmtId="1" fontId="5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2" fontId="5" fillId="5" borderId="1" applyAlignment="1" pivotButton="0" quotePrefix="0" xfId="0">
      <alignment horizontal="center" vertical="center" wrapText="1"/>
    </xf>
    <xf numFmtId="166" fontId="7" fillId="6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166" fontId="5" fillId="5" borderId="1" applyAlignment="1" pivotButton="0" quotePrefix="0" xfId="0">
      <alignment horizontal="center" vertical="center" wrapText="1"/>
    </xf>
    <xf numFmtId="167" fontId="5" fillId="5" borderId="1" applyAlignment="1" pivotButton="0" quotePrefix="0" xfId="0">
      <alignment horizontal="center" vertical="center" wrapText="1"/>
    </xf>
    <xf numFmtId="168" fontId="8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4" fontId="7" fillId="6" borderId="1" applyAlignment="1" pivotButton="0" quotePrefix="0" xfId="0">
      <alignment horizontal="center" vertical="center" wrapText="1"/>
    </xf>
    <xf numFmtId="3" fontId="7" fillId="6" borderId="1" applyAlignment="1" pivotButton="0" quotePrefix="0" xfId="0">
      <alignment horizontal="center" vertical="center" wrapText="1"/>
    </xf>
    <xf numFmtId="168" fontId="7" fillId="6" borderId="1" applyAlignment="1" pivotButton="0" quotePrefix="0" xfId="0">
      <alignment horizontal="center" vertical="center" wrapText="1"/>
    </xf>
    <xf numFmtId="1" fontId="7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 wrapText="1"/>
    </xf>
    <xf numFmtId="1" fontId="9" fillId="9" borderId="1" applyAlignment="1" pivotButton="0" quotePrefix="0" xfId="0">
      <alignment horizontal="center" vertical="center" wrapText="1"/>
    </xf>
    <xf numFmtId="3" fontId="9" fillId="9" borderId="1" applyAlignment="1" pivotButton="0" quotePrefix="0" xfId="0">
      <alignment horizontal="center" vertical="center" wrapText="1"/>
    </xf>
    <xf numFmtId="169" fontId="7" fillId="6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6" fontId="9" fillId="9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left" vertical="center"/>
    </xf>
    <xf numFmtId="1" fontId="11" fillId="6" borderId="1" applyAlignment="1" pivotButton="0" quotePrefix="0" xfId="0">
      <alignment horizontal="center" vertical="center" wrapText="1"/>
    </xf>
    <xf numFmtId="3" fontId="11" fillId="6" borderId="1" applyAlignment="1" pivotButton="0" quotePrefix="0" xfId="0">
      <alignment horizontal="center" vertical="center" wrapText="1"/>
    </xf>
    <xf numFmtId="3" fontId="12" fillId="9" borderId="1" applyAlignment="1" pivotButton="0" quotePrefix="0" xfId="0">
      <alignment horizontal="center" vertical="center" wrapText="1"/>
    </xf>
    <xf numFmtId="4" fontId="11" fillId="6" borderId="1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3" fontId="9" fillId="6" borderId="1" applyAlignment="1" pivotButton="0" quotePrefix="0" xfId="0">
      <alignment horizontal="center" vertical="center" wrapText="1"/>
    </xf>
    <xf numFmtId="167" fontId="7" fillId="6" borderId="1" applyAlignment="1" pivotButton="0" quotePrefix="0" xfId="0">
      <alignment horizontal="center" vertical="center" wrapText="1"/>
    </xf>
    <xf numFmtId="169" fontId="12" fillId="9" borderId="1" applyAlignment="1" pivotButton="0" quotePrefix="0" xfId="0">
      <alignment horizontal="center" vertical="center" wrapText="1"/>
    </xf>
    <xf numFmtId="169" fontId="11" fillId="6" borderId="1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 wrapText="1"/>
    </xf>
    <xf numFmtId="169" fontId="9" fillId="9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1" fontId="15" fillId="9" borderId="1" applyAlignment="1" pivotButton="0" quotePrefix="0" xfId="0">
      <alignment horizontal="center" vertical="center" wrapText="1"/>
    </xf>
    <xf numFmtId="1" fontId="16" fillId="9" borderId="1" applyAlignment="1" pivotButton="0" quotePrefix="0" xfId="0">
      <alignment horizontal="center" vertical="center" wrapText="1"/>
    </xf>
    <xf numFmtId="1" fontId="17" fillId="9" borderId="1" applyAlignment="1" pivotButton="0" quotePrefix="0" xfId="0">
      <alignment horizontal="center" vertical="center" wrapText="1"/>
    </xf>
    <xf numFmtId="168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5">
    <dxf>
      <font>
        <b val="1"/>
        <color rgb="00C00000"/>
      </font>
    </dxf>
    <dxf>
      <font>
        <b val="1"/>
        <color rgb="00C00000"/>
      </font>
      <fill>
        <patternFill patternType="solid">
          <fgColor rgb="00FFD7D7"/>
        </patternFill>
      </fill>
    </dxf>
    <dxf>
      <font>
        <b val="1"/>
        <color rgb="00BF8F00"/>
      </font>
      <fill>
        <patternFill patternType="solid">
          <fgColor rgb="00FFF2CC"/>
        </patternFill>
      </fill>
    </dxf>
    <dxf>
      <font>
        <b val="1"/>
        <color rgb="00C00000"/>
      </font>
      <fill>
        <patternFill patternType="solid">
          <fgColor rgb="00FFE2E2"/>
        </patternFill>
      </fill>
    </dxf>
    <dxf>
      <font>
        <b val="1"/>
        <color rgb="00006100"/>
      </font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D67"/>
  <sheetViews>
    <sheetView tabSelected="1" showGridLines="0"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64" customWidth="1" min="3" max="3"/>
    <col width="24" customWidth="1" min="4" max="4"/>
  </cols>
  <sheetData>
    <row r="1" ht="30" customHeight="1">
      <c r="A1" s="1" t="inlineStr">
        <is>
          <t>嘉禾矿业进销存系统 · 使用说明</t>
        </is>
      </c>
      <c r="B1" s="2" t="n"/>
      <c r="C1" s="2" t="n"/>
      <c r="D1" s="3" t="n"/>
    </row>
    <row r="3" ht="24" customHeight="1">
      <c r="A3" s="4" t="inlineStr">
        <is>
          <t>一、谁填哪张表</t>
        </is>
      </c>
      <c r="B3" s="2" t="n"/>
      <c r="C3" s="2" t="n"/>
      <c r="D3" s="3" t="n"/>
    </row>
    <row r="4">
      <c r="A4" s="5" t="inlineStr">
        <is>
          <t>岗位</t>
        </is>
      </c>
      <c r="B4" s="6" t="inlineStr">
        <is>
          <t>表</t>
        </is>
      </c>
      <c r="C4" s="7" t="inlineStr">
        <is>
          <t>填什么</t>
        </is>
      </c>
      <c r="D4" s="3" t="n"/>
    </row>
    <row r="5">
      <c r="A5" s="5" t="inlineStr">
        <is>
          <t>库管（每天）</t>
        </is>
      </c>
      <c r="B5" s="6" t="inlineStr">
        <is>
          <t>出库单</t>
        </is>
      </c>
      <c r="C5" s="7" t="inlineStr">
        <is>
          <t>发出去一笔记一行：日期、物料编码、数量、去向类型、去向矿区、领用人、自己签名。一矿二矿选「自用消耗」，三矿六矿选「对外销售」。</t>
        </is>
      </c>
      <c r="D5" s="3" t="n"/>
    </row>
    <row r="6">
      <c r="A6" s="5" t="inlineStr">
        <is>
          <t>库管（到货时）</t>
        </is>
      </c>
      <c r="B6" s="6" t="inlineStr">
        <is>
          <t>入库单</t>
        </is>
      </c>
      <c r="C6" s="7" t="inlineStr">
        <is>
          <t>只填 5 样：日期、批次号、物料编码、入库数量、录入人。单价财务后面补，不耽误收货。</t>
        </is>
      </c>
      <c r="D6" s="3" t="n"/>
    </row>
    <row r="7">
      <c r="A7" s="5" t="inlineStr">
        <is>
          <t>库管（每月）</t>
        </is>
      </c>
      <c r="B7" s="6" t="inlineStr">
        <is>
          <t>月度盘点</t>
        </is>
      </c>
      <c r="C7" s="7" t="inlineStr">
        <is>
          <t>打印出来（只印到 H 列，看不到账面数），去仓库一样一样数，把实盘数量填回去。</t>
        </is>
      </c>
      <c r="D7" s="3" t="n"/>
    </row>
    <row r="8">
      <c r="A8" s="5" t="inlineStr">
        <is>
          <t>财务</t>
        </is>
      </c>
      <c r="B8" s="6" t="inlineStr">
        <is>
          <t>费用台账</t>
        </is>
      </c>
      <c r="C8" s="7" t="inlineStr">
        <is>
          <t>海运费、装柜费、到港费、清关费。国内那段填 CNY，坦桑那段填 TZS。</t>
        </is>
      </c>
      <c r="D8" s="3" t="n"/>
    </row>
    <row r="9">
      <c r="A9" s="5" t="inlineStr">
        <is>
          <t>财务</t>
        </is>
      </c>
      <c r="B9" s="6" t="inlineStr">
        <is>
          <t>入库单</t>
        </is>
      </c>
      <c r="C9" s="7" t="inlineStr">
        <is>
          <t>补单价（原币：国内货填人民币，当地货填先令）、补价格状态。</t>
        </is>
      </c>
      <c r="D9" s="3" t="n"/>
    </row>
    <row r="10">
      <c r="A10" s="5" t="inlineStr">
        <is>
          <t>财务</t>
        </is>
      </c>
      <c r="B10" s="6" t="inlineStr">
        <is>
          <t>应收对账</t>
        </is>
      </c>
      <c r="C10" s="7" t="inlineStr">
        <is>
          <t>期初欠款、本月收款两列。</t>
        </is>
      </c>
      <c r="D10" s="3" t="n"/>
    </row>
    <row r="11">
      <c r="A11" s="5" t="inlineStr">
        <is>
          <t>财务</t>
        </is>
      </c>
      <c r="B11" s="6" t="inlineStr">
        <is>
          <t>参数表</t>
        </is>
      </c>
      <c r="C11" s="7" t="inlineStr">
        <is>
          <t>汇率、加价倍数、账期。月初开账要改这里。</t>
        </is>
      </c>
      <c r="D11" s="3" t="n"/>
    </row>
    <row r="12">
      <c r="A12" s="5" t="inlineStr">
        <is>
          <t>老板</t>
        </is>
      </c>
      <c r="B12" s="6" t="inlineStr">
        <is>
          <t>领导月报</t>
        </is>
      </c>
      <c r="C12" s="7" t="inlineStr">
        <is>
          <t>只看这一张。</t>
        </is>
      </c>
      <c r="D12" s="3" t="n"/>
    </row>
    <row r="14" ht="24" customHeight="1">
      <c r="A14" s="4" t="inlineStr">
        <is>
          <t>二、几条定死的口径</t>
        </is>
      </c>
      <c r="B14" s="2" t="n"/>
      <c r="C14" s="2" t="n"/>
      <c r="D14" s="3" t="n"/>
    </row>
    <row r="15">
      <c r="A15" s="5" t="inlineStr">
        <is>
          <t>本位币</t>
        </is>
      </c>
      <c r="B15" s="6" t="inlineStr">
        <is>
          <t>先令</t>
        </is>
      </c>
      <c r="C15" s="7" t="inlineStr">
        <is>
          <t>所有金额列都是先令。人民币按【参数表】的汇率折，全表别处不许再出现 370。</t>
        </is>
      </c>
      <c r="D15" s="3" t="n"/>
    </row>
    <row r="16">
      <c r="A16" s="5" t="inlineStr">
        <is>
          <t>不做单位换算</t>
        </is>
      </c>
      <c r="B16" s="6" t="inlineStr">
        <is>
          <t>数量·单位·单价三者一致</t>
        </is>
      </c>
      <c r="C16" s="7" t="inlineStr">
        <is>
          <t>金额 = 数量 × 单价。原表「100米」那种单位，单价就是每 100 米的价，一换算就差 100 倍 —— 所以干脆不换算，跟原表口径一样。</t>
        </is>
      </c>
      <c r="D16" s="3" t="n"/>
    </row>
    <row r="17">
      <c r="A17" s="5" t="inlineStr">
        <is>
          <t>海运费按批次摊</t>
        </is>
      </c>
      <c r="B17" s="6" t="inlineStr">
        <is>
          <t>批次 = 柜号-到港年月</t>
        </is>
      </c>
      <c r="C17" s="7" t="inlineStr">
        <is>
          <t>柜号会被船公司重复使用，光写柜号两年后会把运费摊到上一批货上。费用先折先令，再按本批物料的先令货值分摊（累计差额法，保证摊完一分不差）。</t>
        </is>
      </c>
      <c r="D17" s="3" t="n"/>
    </row>
    <row r="18">
      <c r="A18" s="5" t="inlineStr">
        <is>
          <t>缺单价就先不摊</t>
        </is>
      </c>
      <c r="B18" s="6" t="inlineStr">
        <is>
          <t>整批挂账</t>
        </is>
      </c>
      <c r="C18" s="7" t="inlineStr">
        <is>
          <t>本批只要还有没填单价的行，运费整批挂账不摊 —— 摊了会把运费全压到有价的那几行上，成本严重失真。补完单价自动摊进去。</t>
        </is>
      </c>
      <c r="D18" s="3" t="n"/>
    </row>
    <row r="19">
      <c r="A19" s="5" t="inlineStr">
        <is>
          <t>售价怎么来</t>
        </is>
      </c>
      <c r="B19" s="6" t="inlineStr">
        <is>
          <t>两套规则</t>
        </is>
      </c>
      <c r="C19" s="7" t="inlineStr">
        <is>
          <t>国内货：人民币进价 × 2 × 汇率（不含运费）；当地货：先令进价 × 1.03。出库单会自动带出建议售价，可以改。</t>
        </is>
      </c>
      <c r="D19" s="3" t="n"/>
    </row>
    <row r="20">
      <c r="A20" s="5" t="inlineStr">
        <is>
          <t>库存怎么算</t>
        </is>
      </c>
      <c r="B20" s="6" t="inlineStr">
        <is>
          <t>一句话</t>
        </is>
      </c>
      <c r="C20" s="7" t="inlineStr">
        <is>
          <t>期末 = 期初 + 采购入库 + 盘盈 + 矿区退库 − 自用消耗 − 对外销售 − 盘亏 − 退货给供应商。这一句在库存台账、月报、核对表三处用的是同一个式子。</t>
        </is>
      </c>
      <c r="D20" s="3" t="n"/>
    </row>
    <row r="21">
      <c r="A21" s="5" t="inlineStr">
        <is>
          <t>成本怎么算</t>
        </is>
      </c>
      <c r="B21" s="6" t="inlineStr">
        <is>
          <t>月加权平均</t>
        </is>
      </c>
      <c r="C21" s="7" t="inlineStr">
        <is>
          <t>月加权单位成本 =（期初金额 + 本月入库金额）÷（期初数量 + 本月入库数量）。只看入库不看出库，所以不会循环引用。库管不用挑批次。</t>
        </is>
      </c>
      <c r="D21" s="3" t="n"/>
    </row>
    <row r="23" ht="24" customHeight="1">
      <c r="A23" s="4" t="inlineStr">
        <is>
          <t>三、月初开账三步（财务做，一个月一次）</t>
        </is>
      </c>
      <c r="B23" s="2" t="n"/>
      <c r="C23" s="2" t="n"/>
      <c r="D23" s="3" t="n"/>
    </row>
    <row r="24">
      <c r="A24" s="5" t="inlineStr">
        <is>
          <t>第 1 步</t>
        </is>
      </c>
      <c r="B24" s="6" t="inlineStr">
        <is>
          <t>结上个月</t>
        </is>
      </c>
      <c r="C24" s="7" t="inlineStr">
        <is>
          <t>看【核对表】，16 项全绿才算结得掉。有红的先处理。</t>
        </is>
      </c>
      <c r="D24" s="3" t="n"/>
    </row>
    <row r="25">
      <c r="A25" s="5" t="inlineStr">
        <is>
          <t>第 2 步</t>
        </is>
      </c>
      <c r="B25" s="6" t="inlineStr">
        <is>
          <t>结转期初</t>
        </is>
      </c>
      <c r="C25" s="7" t="inlineStr">
        <is>
          <t>【库存台账】X、Y 两列 → 复制 → 选择性粘贴为**数值** → 贴到 G、H 两列。</t>
        </is>
      </c>
      <c r="D25" s="3" t="n"/>
    </row>
    <row r="26">
      <c r="A26" s="5" t="inlineStr">
        <is>
          <t>第 3 步</t>
        </is>
      </c>
      <c r="B26" s="6" t="inlineStr">
        <is>
          <t>改账期</t>
        </is>
      </c>
      <c r="C26" s="7" t="inlineStr">
        <is>
          <t>【参数表】改「本期账期起」和「已结账截止日」。整套表就换月了。</t>
        </is>
      </c>
      <c r="D26" s="3" t="n"/>
    </row>
    <row r="27">
      <c r="A27" s="5" t="inlineStr">
        <is>
          <t>⚠ 顺序不能反</t>
        </is>
      </c>
      <c r="B27" s="6" t="inlineStr">
        <is>
          <t>先结转再改账期</t>
        </is>
      </c>
      <c r="C27" s="7" t="inlineStr">
        <is>
          <t>反了的话 X、Y 已经按新月份重算了，贴回去就是错的。</t>
        </is>
      </c>
      <c r="D27" s="3" t="n"/>
    </row>
    <row r="29" ht="24" customHeight="1">
      <c r="A29" s="4" t="inlineStr">
        <is>
          <t>四、防丢账、防改账</t>
        </is>
      </c>
      <c r="B29" s="2" t="n"/>
      <c r="C29" s="2" t="n"/>
      <c r="D29" s="3" t="n"/>
    </row>
    <row r="30">
      <c r="A30" s="5" t="inlineStr">
        <is>
          <t>盘点用盲盘</t>
        </is>
      </c>
      <c r="B30" s="6" t="inlineStr">
        <is>
          <t>打印只到 H 列</t>
        </is>
      </c>
      <c r="C30" s="7" t="inlineStr">
        <is>
          <t>库管拿到的单子上没有账面数量，数完填上来才对账。</t>
        </is>
      </c>
      <c r="D30" s="3" t="n"/>
    </row>
    <row r="31">
      <c r="A31" s="5" t="inlineStr">
        <is>
          <t>盘盈盘亏走单据</t>
        </is>
      </c>
      <c r="B31" s="6" t="inlineStr">
        <is>
          <t>不许改库存台账</t>
        </is>
      </c>
      <c r="C31" s="7" t="inlineStr">
        <is>
          <t>盘盈去【入库单】记一行「盘盈」，盘亏去【出库单】记一行「盘亏」。库存台账永远是算出来的，不是手改的 —— 这是防篡改的根。</t>
        </is>
      </c>
      <c r="D31" s="3" t="n"/>
    </row>
    <row r="32">
      <c r="A32" s="5" t="inlineStr">
        <is>
          <t>错单不删</t>
        </is>
      </c>
      <c r="B32" s="6" t="inlineStr">
        <is>
          <t>改成「作废」</t>
        </is>
      </c>
      <c r="C32" s="7" t="inlineStr">
        <is>
          <t>所有汇总都带「状态=正常」的条件，作废行自动不进数，但永远看得见。</t>
        </is>
      </c>
      <c r="D32" s="3" t="n"/>
    </row>
    <row r="33">
      <c r="A33" s="5" t="inlineStr">
        <is>
          <t>结账锁</t>
        </is>
      </c>
      <c r="B33" s="6" t="inlineStr">
        <is>
          <t>参数表</t>
        </is>
      </c>
      <c r="C33" s="7" t="inlineStr">
        <is>
          <t>出库/入库日期早于「已结账截止日」会红字拦住，改不了历史月份。</t>
        </is>
      </c>
      <c r="D33" s="3" t="n"/>
    </row>
    <row r="34">
      <c r="A34" s="5" t="inlineStr">
        <is>
          <t>每月封存</t>
        </is>
      </c>
      <c r="B34" s="6" t="inlineStr">
        <is>
          <t>另存只读副本</t>
        </is>
      </c>
      <c r="C34" s="7" t="inlineStr">
        <is>
          <t>结完账另存一份带账期的副本存两个地方。这一条比表里任何公式都实用。</t>
        </is>
      </c>
      <c r="D34" s="3" t="n"/>
    </row>
    <row r="36" ht="24" customHeight="1">
      <c r="A36" s="4" t="inlineStr">
        <is>
          <t>五、这次从原表搬过来的 + 你要知道的三件事</t>
        </is>
      </c>
      <c r="B36" s="2" t="n"/>
      <c r="C36" s="2" t="n"/>
      <c r="D36" s="3" t="n"/>
    </row>
    <row r="37">
      <c r="A37" s="8" t="inlineStr">
        <is>
          <t>· 原表 877 行全部处理完：867 行物料 → 【入库单】，10 行费用 → 【费用台账】（两张表物理分开，混在一起分摊必错）。</t>
        </is>
      </c>
      <c r="B37" s="2" t="n"/>
      <c r="C37" s="2" t="n"/>
      <c r="D37" s="3" t="n"/>
    </row>
    <row r="38">
      <c r="A38" s="8" t="inlineStr">
        <is>
          <t>· 按（品名+规格）去重发了 795 个物料编码，跨表只用编码关联。</t>
        </is>
      </c>
      <c r="B38" s="2" t="n"/>
      <c r="C38" s="2" t="n"/>
      <c r="D38" s="3" t="n"/>
    </row>
    <row r="39">
      <c r="A39" s="8" t="inlineStr">
        <is>
          <t>· 集装箱号和供货商列有 394 行写「同上」，已经向下填充还原。批次号 = 柜号-到港年月。</t>
        </is>
      </c>
      <c r="B39" s="2" t="n"/>
      <c r="C39" s="2" t="n"/>
      <c r="D39" s="3" t="n"/>
    </row>
    <row r="40">
      <c r="A40" s="8" t="inlineStr">
        <is>
          <t>· 单位里 333 行是把数量重复写进了单位（「10个」+数量10），已删掉数字；另有 9 行的数字是包装规格（「100米」），原样保留。</t>
        </is>
      </c>
      <c r="B40" s="2" t="n"/>
      <c r="C40" s="2" t="n"/>
      <c r="D40" s="3" t="n"/>
    </row>
    <row r="41">
      <c r="A41" s="8" t="inlineStr"/>
      <c r="B41" s="2" t="n"/>
      <c r="C41" s="2" t="n"/>
      <c r="D41" s="3" t="n"/>
    </row>
    <row r="42">
      <c r="A42" s="9" t="inlineStr">
        <is>
          <t>⚠ 一、炸药和柴油，这张表里一行都没有。</t>
        </is>
      </c>
      <c r="B42" s="2" t="n"/>
      <c r="C42" s="2" t="n"/>
      <c r="D42" s="3" t="n"/>
    </row>
    <row r="43">
      <c r="A43" s="9" t="inlineStr">
        <is>
          <t xml:space="preserve">　 全表搜过：炸药/雷管/导爆/乳化/硝铵 一条没有，油料只有 2 台柴油发电机。</t>
        </is>
      </c>
      <c r="B43" s="2" t="n"/>
      <c r="C43" s="2" t="n"/>
      <c r="D43" s="3" t="n"/>
    </row>
    <row r="44">
      <c r="A44" s="9" t="inlineStr">
        <is>
          <t xml:space="preserve">　 你说这两样是最主要的生产成本 —— 它们是在坦桑当地买的，从来没进过这份货柜清单。</t>
        </is>
      </c>
      <c r="B44" s="2" t="n"/>
      <c r="C44" s="2" t="n"/>
      <c r="D44" s="3" t="n"/>
    </row>
    <row r="45">
      <c r="A45" s="9" t="inlineStr">
        <is>
          <t xml:space="preserve">　 要盯住，就得从现在起把当地采购也录进【入库单】（货源选 B当地，批次号写「本地-年月」）。</t>
        </is>
      </c>
      <c r="B45" s="2" t="n"/>
      <c r="C45" s="2" t="n"/>
      <c r="D45" s="3" t="n"/>
    </row>
    <row r="46">
      <c r="A46" s="8" t="inlineStr"/>
      <c r="B46" s="2" t="n"/>
      <c r="C46" s="2" t="n"/>
      <c r="D46" s="3" t="n"/>
    </row>
    <row r="47">
      <c r="A47" s="9" t="inlineStr">
        <is>
          <t>⚠ 二、27 个柜里只有 2 个柜录了运费。</t>
        </is>
      </c>
      <c r="B47" s="2" t="n"/>
      <c r="C47" s="2" t="n"/>
      <c r="D47" s="3" t="n"/>
    </row>
    <row r="48">
      <c r="A48" s="9" t="inlineStr">
        <is>
          <t xml:space="preserve">　 TIIU4204331 柜 25,835 元、DRYU9381826 柜 29,534.02 元，其余 25 个柜一分运费都没有。</t>
        </is>
      </c>
      <c r="B48" s="2" t="n"/>
      <c r="C48" s="2" t="n"/>
      <c r="D48" s="3" t="n"/>
    </row>
    <row r="49">
      <c r="A49" s="9" t="inlineStr">
        <is>
          <t xml:space="preserve">　 这两个柜的运费率是 22.28% 和 5.75%，差快 4 倍 —— 所以必须一个柜一个柜地摊，不能用统一费率。</t>
        </is>
      </c>
      <c r="B49" s="2" t="n"/>
      <c r="C49" s="2" t="n"/>
      <c r="D49" s="3" t="n"/>
    </row>
    <row r="50">
      <c r="A50" s="9" t="inlineStr">
        <is>
          <t xml:space="preserve">　 没录运费的柜，成本是裸货值，毛利率会虚高。【核对表】第 4 项会一直提醒你补。</t>
        </is>
      </c>
      <c r="B50" s="2" t="n"/>
      <c r="C50" s="2" t="n"/>
      <c r="D50" s="3" t="n"/>
    </row>
    <row r="51">
      <c r="A51" s="8" t="inlineStr"/>
      <c r="B51" s="2" t="n"/>
      <c r="C51" s="2" t="n"/>
      <c r="D51" s="3" t="n"/>
    </row>
    <row r="52">
      <c r="A52" s="9" t="inlineStr">
        <is>
          <t>⚠ 三、867 行里有 534 行没填单价，占 61%。</t>
        </is>
      </c>
      <c r="B52" s="2" t="n"/>
      <c r="C52" s="2" t="n"/>
      <c r="D52" s="3" t="n"/>
    </row>
    <row r="53">
      <c r="A53" s="9" t="inlineStr">
        <is>
          <t xml:space="preserve">　 货值合计 3,192,166.05 元只是有价那 333 行算出来的。这 534 行现在价格状态是「待补价」，</t>
        </is>
      </c>
      <c r="B53" s="2" t="n"/>
      <c r="C53" s="2" t="n"/>
      <c r="D53" s="3" t="n"/>
    </row>
    <row r="54">
      <c r="A54" s="9" t="inlineStr">
        <is>
          <t xml:space="preserve">　 它们所在批次的运费整批挂账没摊。补完单价，运费会自动摊进去，库存金额也会自动补上。</t>
        </is>
      </c>
      <c r="B54" s="2" t="n"/>
      <c r="C54" s="2" t="n"/>
      <c r="D54" s="3" t="n"/>
    </row>
    <row r="59" ht="24" customHeight="1">
      <c r="A59" s="4" t="inlineStr">
        <is>
          <t>六、体检（活的）</t>
        </is>
      </c>
      <c r="B59" s="2" t="n"/>
      <c r="C59" s="2" t="n"/>
      <c r="D59" s="3" t="n"/>
    </row>
    <row r="60">
      <c r="A60" s="6" t="inlineStr">
        <is>
          <t>核对表通过项</t>
        </is>
      </c>
      <c r="B60" s="3" t="n"/>
      <c r="C60" s="10">
        <f>核对表!$B$3&amp;" / "&amp;核对表!$C$3</f>
        <v/>
      </c>
    </row>
    <row r="61">
      <c r="A61" s="6" t="inlineStr">
        <is>
          <t>还没填单价的入库行数</t>
        </is>
      </c>
      <c r="B61" s="3" t="n"/>
      <c r="C61" s="10">
        <f>COUNTIFS(入库单!$Y$4:$Y$2503,"待补价",入库单!$Z$4:$Z$2503,"正常")</f>
        <v/>
      </c>
    </row>
    <row r="62">
      <c r="A62" s="6" t="inlineStr">
        <is>
          <t>还没录运费的批次数</t>
        </is>
      </c>
      <c r="B62" s="3" t="n"/>
      <c r="C62" s="10">
        <f>SUMPRODUCT((到货批次!$A$5:$A$204&lt;&gt;"")*(到货批次!$E$5:$E$204&gt;0)*(到货批次!$H$5:$H$204=0))</f>
        <v/>
      </c>
    </row>
    <row r="63">
      <c r="A63" s="6" t="inlineStr">
        <is>
          <t>账面负库存的品种数</t>
        </is>
      </c>
      <c r="B63" s="3" t="n"/>
      <c r="C63" s="10">
        <f>COUNTIF(库存台账!$X$5:$X$1204,"&lt;-0.001")</f>
        <v/>
      </c>
    </row>
    <row r="64">
      <c r="A64" s="6" t="inlineStr">
        <is>
          <t>入库/出库红字提示笔数</t>
        </is>
      </c>
      <c r="B64" s="3" t="n"/>
      <c r="C64" s="10">
        <f>COUNTIF(入库单!$AC$4:$AC$2503,"※*")+COUNTIF(出库单!$W$4:$W$4003,"※*")</f>
        <v/>
      </c>
    </row>
    <row r="65">
      <c r="A65" s="6" t="inlineStr">
        <is>
          <t>期末库存金额·先令</t>
        </is>
      </c>
      <c r="B65" s="3" t="n"/>
      <c r="C65" s="11">
        <f>库存台账!$Y$4</f>
        <v/>
      </c>
    </row>
    <row r="66">
      <c r="A66" s="6" t="inlineStr">
        <is>
          <t>本月自用消耗·先令</t>
        </is>
      </c>
      <c r="B66" s="3" t="n"/>
      <c r="C66" s="11">
        <f>库存台账!$Q$4</f>
        <v/>
      </c>
    </row>
    <row r="67">
      <c r="A67" s="6" t="inlineStr">
        <is>
          <t>本月对外销售成本·先令</t>
        </is>
      </c>
      <c r="B67" s="3" t="n"/>
      <c r="C67" s="11">
        <f>库存台账!$S$4</f>
        <v/>
      </c>
    </row>
  </sheetData>
  <mergeCells count="58">
    <mergeCell ref="C34:D34"/>
    <mergeCell ref="A23:D23"/>
    <mergeCell ref="C6:D6"/>
    <mergeCell ref="C24:D24"/>
    <mergeCell ref="C30:D30"/>
    <mergeCell ref="A53:D53"/>
    <mergeCell ref="C15:D15"/>
    <mergeCell ref="C33:D33"/>
    <mergeCell ref="A60:B60"/>
    <mergeCell ref="A64:B64"/>
    <mergeCell ref="A67:B67"/>
    <mergeCell ref="C5:D5"/>
    <mergeCell ref="A38:D38"/>
    <mergeCell ref="A29:D29"/>
    <mergeCell ref="A52:D52"/>
    <mergeCell ref="A43:D43"/>
    <mergeCell ref="C26:D26"/>
    <mergeCell ref="A61:B61"/>
    <mergeCell ref="C4:D4"/>
    <mergeCell ref="A44:D44"/>
    <mergeCell ref="C20:D20"/>
    <mergeCell ref="A40:D40"/>
    <mergeCell ref="C10:D10"/>
    <mergeCell ref="C16:D16"/>
    <mergeCell ref="A65:B65"/>
    <mergeCell ref="C25:D25"/>
    <mergeCell ref="A48:D48"/>
    <mergeCell ref="A39:D39"/>
    <mergeCell ref="A59:D59"/>
    <mergeCell ref="A66:B66"/>
    <mergeCell ref="C9:D9"/>
    <mergeCell ref="A49:D49"/>
    <mergeCell ref="C31:D31"/>
    <mergeCell ref="A51:D51"/>
    <mergeCell ref="A36:D36"/>
    <mergeCell ref="A1:D1"/>
    <mergeCell ref="C12:D12"/>
    <mergeCell ref="A45:D45"/>
    <mergeCell ref="C21:D21"/>
    <mergeCell ref="C11:D11"/>
    <mergeCell ref="C27:D27"/>
    <mergeCell ref="A54:D54"/>
    <mergeCell ref="A41:D41"/>
    <mergeCell ref="C17:D17"/>
    <mergeCell ref="A46:D46"/>
    <mergeCell ref="C8:D8"/>
    <mergeCell ref="A62:B62"/>
    <mergeCell ref="A37:D37"/>
    <mergeCell ref="C32:D32"/>
    <mergeCell ref="C7:D7"/>
    <mergeCell ref="A50:D50"/>
    <mergeCell ref="A63:B63"/>
    <mergeCell ref="A3:D3"/>
    <mergeCell ref="C19:D19"/>
    <mergeCell ref="C18:D18"/>
    <mergeCell ref="A47:D47"/>
    <mergeCell ref="A42:D42"/>
    <mergeCell ref="A14:D14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806000"/>
    <outlinePr summaryBelow="1" summaryRight="1"/>
    <pageSetUpPr fitToPage="1"/>
  </sheetPr>
  <dimension ref="A1:U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46" customWidth="1" min="3" max="3"/>
    <col width="14" customWidth="1" min="4" max="4"/>
    <col width="12" customWidth="1" min="5" max="5"/>
    <col width="16" customWidth="1" min="7" max="7"/>
    <col width="14" customWidth="1" min="9" max="9"/>
    <col width="18" customWidth="1" min="11" max="11"/>
    <col width="12" customWidth="1" min="13" max="13"/>
    <col width="14" customWidth="1" min="15" max="15"/>
    <col width="14" customWidth="1" min="17" max="17"/>
    <col width="12" customWidth="1" min="19" max="19"/>
    <col width="14" customWidth="1" min="21" max="21"/>
  </cols>
  <sheetData>
    <row r="1" ht="30" customHeight="1">
      <c r="A1" s="12" t="inlineStr">
        <is>
          <t>参数表 · 全表唯一能改规则的地方</t>
        </is>
      </c>
    </row>
    <row r="2" ht="24" customHeight="1">
      <c r="A2" s="13" t="inlineStr">
        <is>
          <t>汇率、加价倍数、账期只在这里改一次，所有表跟着变。全表别的地方不许再出现 370、2、1.03 这几个数字。</t>
        </is>
      </c>
    </row>
    <row r="3">
      <c r="A3" s="14" t="inlineStr">
        <is>
          <t>参数</t>
        </is>
      </c>
      <c r="B3" s="14" t="inlineStr">
        <is>
          <t>数值</t>
        </is>
      </c>
      <c r="C3" s="14" t="inlineStr">
        <is>
          <t>说明</t>
        </is>
      </c>
      <c r="D3" s="14" t="inlineStr">
        <is>
          <t>本月末参考</t>
        </is>
      </c>
      <c r="E3" s="14" t="inlineStr">
        <is>
          <t>矿区</t>
        </is>
      </c>
      <c r="G3" s="14" t="inlineStr">
        <is>
          <t>出库去向</t>
        </is>
      </c>
      <c r="I3" s="14" t="inlineStr">
        <is>
          <t>入库类型</t>
        </is>
      </c>
      <c r="K3" s="14" t="inlineStr">
        <is>
          <t>费用类型</t>
        </is>
      </c>
      <c r="M3" s="14" t="inlineStr">
        <is>
          <t>货源</t>
        </is>
      </c>
      <c r="O3" s="14" t="inlineStr">
        <is>
          <t>价格状态</t>
        </is>
      </c>
      <c r="Q3" s="14" t="inlineStr">
        <is>
          <t>物料大类</t>
        </is>
      </c>
      <c r="S3" s="14" t="inlineStr">
        <is>
          <t>计量单位</t>
        </is>
      </c>
      <c r="U3" s="14" t="inlineStr">
        <is>
          <t>人员</t>
        </is>
      </c>
    </row>
    <row r="4">
      <c r="A4" s="5" t="inlineStr">
        <is>
          <t>汇率_人民币兑先令</t>
        </is>
      </c>
      <c r="B4" s="15" t="n">
        <v>370</v>
      </c>
      <c r="C4" s="16" t="inlineStr">
        <is>
          <t>国内采购是人民币，除这个数就是先令</t>
        </is>
      </c>
      <c r="E4" s="17" t="inlineStr">
        <is>
          <t>一矿区</t>
        </is>
      </c>
      <c r="G4" s="17" t="inlineStr">
        <is>
          <t>自用消耗</t>
        </is>
      </c>
      <c r="I4" s="17" t="inlineStr">
        <is>
          <t>采购入库</t>
        </is>
      </c>
      <c r="K4" s="17" t="inlineStr">
        <is>
          <t>国内海运费</t>
        </is>
      </c>
      <c r="M4" s="17" t="inlineStr">
        <is>
          <t>A国内</t>
        </is>
      </c>
      <c r="O4" s="17" t="inlineStr">
        <is>
          <t>正常</t>
        </is>
      </c>
      <c r="Q4" s="17" t="inlineStr">
        <is>
          <t>五金管件</t>
        </is>
      </c>
      <c r="S4" s="17" t="inlineStr">
        <is>
          <t>1</t>
        </is>
      </c>
      <c r="U4" s="17" t="n"/>
    </row>
    <row r="5">
      <c r="A5" s="5" t="inlineStr">
        <is>
          <t>国内货加价倍数</t>
        </is>
      </c>
      <c r="B5" s="18" t="n">
        <v>2</v>
      </c>
      <c r="C5" s="16" t="inlineStr">
        <is>
          <t>售价 = 人民币进价 × 本倍数 × 汇率（不含运费）</t>
        </is>
      </c>
      <c r="D5" s="19">
        <f>EOMONTH($B$4,0)</f>
        <v/>
      </c>
      <c r="E5" s="17" t="inlineStr">
        <is>
          <t>二矿区</t>
        </is>
      </c>
      <c r="G5" s="17" t="inlineStr">
        <is>
          <t>对外销售</t>
        </is>
      </c>
      <c r="I5" s="17" t="inlineStr">
        <is>
          <t>盘盈</t>
        </is>
      </c>
      <c r="K5" s="17" t="inlineStr">
        <is>
          <t>国内内陆运费</t>
        </is>
      </c>
      <c r="M5" s="17" t="inlineStr">
        <is>
          <t>B当地</t>
        </is>
      </c>
      <c r="O5" s="17" t="inlineStr">
        <is>
          <t>待补价</t>
        </is>
      </c>
      <c r="Q5" s="17" t="inlineStr">
        <is>
          <t>其他</t>
        </is>
      </c>
      <c r="S5" s="17" t="inlineStr">
        <is>
          <t>100米</t>
        </is>
      </c>
      <c r="U5" s="17" t="n"/>
    </row>
    <row r="6">
      <c r="A6" s="5" t="inlineStr">
        <is>
          <t>当地货加价系数</t>
        </is>
      </c>
      <c r="B6" s="20" t="n">
        <v>1.03</v>
      </c>
      <c r="C6" s="16" t="inlineStr">
        <is>
          <t>售价 = 先令进价 × 本系数（加卸车运输补偿）</t>
        </is>
      </c>
      <c r="E6" s="17" t="inlineStr">
        <is>
          <t>三矿区</t>
        </is>
      </c>
      <c r="G6" s="17" t="inlineStr">
        <is>
          <t>盘亏</t>
        </is>
      </c>
      <c r="I6" s="17" t="inlineStr">
        <is>
          <t>矿区退库</t>
        </is>
      </c>
      <c r="K6" s="17" t="inlineStr">
        <is>
          <t>装柜费</t>
        </is>
      </c>
      <c r="M6" s="17" t="n"/>
      <c r="O6" s="17" t="inlineStr">
        <is>
          <t>暂估</t>
        </is>
      </c>
      <c r="Q6" s="17" t="inlineStr">
        <is>
          <t>劳保用品</t>
        </is>
      </c>
      <c r="S6" s="17" t="inlineStr">
        <is>
          <t>14</t>
        </is>
      </c>
      <c r="U6" s="17" t="n"/>
    </row>
    <row r="7">
      <c r="A7" s="5" t="inlineStr">
        <is>
          <t>本期账期起</t>
        </is>
      </c>
      <c r="B7" s="21" t="n">
        <v>46023</v>
      </c>
      <c r="C7" s="16" t="inlineStr">
        <is>
          <t>月报、库存台账都按这一段算。正常就填当月 1 号；现在填 1/1 是为了把 1~8 月的历史一次并进来</t>
        </is>
      </c>
      <c r="E7" s="17" t="inlineStr">
        <is>
          <t>六矿区</t>
        </is>
      </c>
      <c r="G7" s="17" t="inlineStr">
        <is>
          <t>退货给供应商</t>
        </is>
      </c>
      <c r="I7" s="17" t="n"/>
      <c r="K7" s="17" t="inlineStr">
        <is>
          <t>报关服务费</t>
        </is>
      </c>
      <c r="M7" s="17" t="n"/>
      <c r="O7" s="17" t="inlineStr">
        <is>
          <t>含在主件</t>
        </is>
      </c>
      <c r="Q7" s="17" t="inlineStr">
        <is>
          <t>包装材料</t>
        </is>
      </c>
      <c r="S7" s="17" t="inlineStr">
        <is>
          <t>2米/支</t>
        </is>
      </c>
      <c r="U7" s="17" t="n"/>
    </row>
    <row r="8">
      <c r="A8" s="5" t="inlineStr">
        <is>
          <t>本期账期止</t>
        </is>
      </c>
      <c r="B8" s="21" t="n">
        <v>46265</v>
      </c>
      <c r="C8" s="16" t="inlineStr">
        <is>
          <t>正常填当月最后一天（右边 D 列给了参考值）；首期填 8/31，把搬过来的 867 行全部收进来</t>
        </is>
      </c>
      <c r="E8" s="17" t="n"/>
      <c r="G8" s="17" t="n"/>
      <c r="I8" s="17" t="n"/>
      <c r="K8" s="17" t="inlineStr">
        <is>
          <t>坦桑到港费</t>
        </is>
      </c>
      <c r="M8" s="17" t="n"/>
      <c r="O8" s="17" t="inlineStr">
        <is>
          <t>赠品</t>
        </is>
      </c>
      <c r="Q8" s="17" t="inlineStr">
        <is>
          <t>机械设备</t>
        </is>
      </c>
      <c r="S8" s="17" t="inlineStr">
        <is>
          <t>个</t>
        </is>
      </c>
      <c r="U8" s="17" t="n"/>
    </row>
    <row r="9">
      <c r="A9" s="5" t="inlineStr">
        <is>
          <t>已结账截止日</t>
        </is>
      </c>
      <c r="B9" s="21" t="n">
        <v>46022</v>
      </c>
      <c r="C9" s="16" t="inlineStr">
        <is>
          <t>早于这个日期的单据不许再录</t>
        </is>
      </c>
      <c r="E9" s="17" t="n"/>
      <c r="G9" s="17" t="n"/>
      <c r="I9" s="17" t="n"/>
      <c r="K9" s="17" t="inlineStr">
        <is>
          <t>坦桑清关费</t>
        </is>
      </c>
      <c r="M9" s="17" t="n"/>
      <c r="O9" s="17" t="n"/>
      <c r="Q9" s="17" t="inlineStr">
        <is>
          <t>机械配件</t>
        </is>
      </c>
      <c r="S9" s="17" t="inlineStr">
        <is>
          <t>付</t>
        </is>
      </c>
      <c r="U9" s="17" t="n"/>
    </row>
    <row r="10">
      <c r="A10" s="5" t="inlineStr">
        <is>
          <t>本月一矿处理矿石量(吨)</t>
        </is>
      </c>
      <c r="B10" s="22" t="n"/>
      <c r="C10" s="16" t="inlineStr">
        <is>
          <t>选填，填了月报才算单位成本</t>
        </is>
      </c>
      <c r="E10" s="17" t="n"/>
      <c r="G10" s="17" t="n"/>
      <c r="I10" s="17" t="n"/>
      <c r="K10" s="17" t="inlineStr">
        <is>
          <t>坦桑内陆运输费</t>
        </is>
      </c>
      <c r="M10" s="17" t="n"/>
      <c r="O10" s="17" t="n"/>
      <c r="Q10" s="17" t="inlineStr">
        <is>
          <t>油料</t>
        </is>
      </c>
      <c r="S10" s="17" t="inlineStr">
        <is>
          <t>件</t>
        </is>
      </c>
      <c r="U10" s="17" t="n"/>
    </row>
    <row r="11">
      <c r="A11" s="5" t="inlineStr">
        <is>
          <t>本月二矿处理矿石量(吨)</t>
        </is>
      </c>
      <c r="B11" s="22" t="n"/>
      <c r="C11" s="16" t="inlineStr">
        <is>
          <t>选填</t>
        </is>
      </c>
      <c r="E11" s="17" t="n"/>
      <c r="G11" s="17" t="n"/>
      <c r="I11" s="17" t="n"/>
      <c r="K11" s="17" t="inlineStr">
        <is>
          <t>卸车费</t>
        </is>
      </c>
      <c r="M11" s="17" t="n"/>
      <c r="O11" s="17" t="n"/>
      <c r="Q11" s="17" t="inlineStr">
        <is>
          <t>电缆电气</t>
        </is>
      </c>
      <c r="S11" s="17" t="inlineStr">
        <is>
          <t>副</t>
        </is>
      </c>
      <c r="U11" s="17" t="n"/>
    </row>
    <row r="12">
      <c r="E12" s="17" t="n"/>
      <c r="G12" s="17" t="n"/>
      <c r="I12" s="17" t="n"/>
      <c r="K12" s="17" t="inlineStr">
        <is>
          <t>其他费用</t>
        </is>
      </c>
      <c r="M12" s="17" t="n"/>
      <c r="O12" s="17" t="n"/>
      <c r="Q12" s="17" t="inlineStr">
        <is>
          <t>磨矿介质</t>
        </is>
      </c>
      <c r="S12" s="17" t="inlineStr">
        <is>
          <t>卷</t>
        </is>
      </c>
      <c r="U12" s="17" t="n"/>
    </row>
    <row r="13">
      <c r="E13" s="17" t="n"/>
      <c r="G13" s="17" t="n"/>
      <c r="I13" s="17" t="n"/>
      <c r="K13" s="17" t="n"/>
      <c r="M13" s="17" t="n"/>
      <c r="O13" s="17" t="n"/>
      <c r="Q13" s="17" t="inlineStr">
        <is>
          <t>选矿药剂</t>
        </is>
      </c>
      <c r="S13" s="17" t="inlineStr">
        <is>
          <t>双</t>
        </is>
      </c>
      <c r="U13" s="17" t="n"/>
    </row>
    <row r="14">
      <c r="E14" s="17" t="n"/>
      <c r="G14" s="17" t="n"/>
      <c r="I14" s="17" t="n"/>
      <c r="K14" s="17" t="n"/>
      <c r="M14" s="17" t="n"/>
      <c r="O14" s="17" t="n"/>
      <c r="Q14" s="17" t="inlineStr">
        <is>
          <t>钢材</t>
        </is>
      </c>
      <c r="S14" s="17" t="inlineStr">
        <is>
          <t>只</t>
        </is>
      </c>
      <c r="U14" s="17" t="n"/>
    </row>
    <row r="15">
      <c r="E15" s="17" t="n"/>
      <c r="G15" s="17" t="n"/>
      <c r="I15" s="17" t="n"/>
      <c r="K15" s="17" t="n"/>
      <c r="M15" s="17" t="n"/>
      <c r="O15" s="17" t="n"/>
      <c r="Q15" s="17" t="inlineStr">
        <is>
          <t>集装箱</t>
        </is>
      </c>
      <c r="S15" s="17" t="inlineStr">
        <is>
          <t>台</t>
        </is>
      </c>
      <c r="U15" s="17" t="n"/>
    </row>
    <row r="16">
      <c r="E16" s="17" t="n"/>
      <c r="G16" s="17" t="n"/>
      <c r="I16" s="17" t="n"/>
      <c r="K16" s="17" t="n"/>
      <c r="M16" s="17" t="n"/>
      <c r="O16" s="17" t="n"/>
      <c r="Q16" s="17" t="n"/>
      <c r="S16" s="17" t="inlineStr">
        <is>
          <t>各6个</t>
        </is>
      </c>
      <c r="U16" s="17" t="n"/>
    </row>
    <row r="17">
      <c r="E17" s="17" t="n"/>
      <c r="G17" s="17" t="n"/>
      <c r="I17" s="17" t="n"/>
      <c r="K17" s="17" t="n"/>
      <c r="M17" s="17" t="n"/>
      <c r="O17" s="17" t="n"/>
      <c r="Q17" s="17" t="n"/>
      <c r="S17" s="17" t="inlineStr">
        <is>
          <t>吨</t>
        </is>
      </c>
      <c r="U17" s="17" t="n"/>
    </row>
    <row r="18">
      <c r="E18" s="17" t="n"/>
      <c r="G18" s="17" t="n"/>
      <c r="I18" s="17" t="n"/>
      <c r="K18" s="17" t="n"/>
      <c r="M18" s="17" t="n"/>
      <c r="O18" s="17" t="n"/>
      <c r="Q18" s="17" t="n"/>
      <c r="S18" s="17" t="inlineStr">
        <is>
          <t>块</t>
        </is>
      </c>
      <c r="U18" s="17" t="n"/>
    </row>
    <row r="19">
      <c r="E19" s="17" t="n"/>
      <c r="G19" s="17" t="n"/>
      <c r="I19" s="17" t="n"/>
      <c r="K19" s="17" t="n"/>
      <c r="M19" s="17" t="n"/>
      <c r="O19" s="17" t="n"/>
      <c r="Q19" s="17" t="n"/>
      <c r="S19" s="17" t="inlineStr">
        <is>
          <t>套</t>
        </is>
      </c>
      <c r="U19" s="17" t="n"/>
    </row>
    <row r="20">
      <c r="E20" s="17" t="n"/>
      <c r="G20" s="17" t="n"/>
      <c r="I20" s="17" t="n"/>
      <c r="K20" s="17" t="n"/>
      <c r="M20" s="17" t="n"/>
      <c r="O20" s="17" t="n"/>
      <c r="Q20" s="17" t="n"/>
      <c r="S20" s="17" t="inlineStr">
        <is>
          <t>对</t>
        </is>
      </c>
      <c r="U20" s="17" t="n"/>
    </row>
    <row r="21">
      <c r="E21" s="17" t="n"/>
      <c r="G21" s="17" t="n"/>
      <c r="I21" s="17" t="n"/>
      <c r="K21" s="17" t="n"/>
      <c r="M21" s="17" t="n"/>
      <c r="O21" s="17" t="n"/>
      <c r="Q21" s="17" t="n"/>
      <c r="S21" s="17" t="inlineStr">
        <is>
          <t>张</t>
        </is>
      </c>
      <c r="U21" s="17" t="n"/>
    </row>
    <row r="22">
      <c r="E22" s="17" t="n"/>
      <c r="G22" s="17" t="n"/>
      <c r="I22" s="17" t="n"/>
      <c r="K22" s="17" t="n"/>
      <c r="M22" s="17" t="n"/>
      <c r="O22" s="17" t="n"/>
      <c r="Q22" s="17" t="n"/>
      <c r="S22" s="17" t="inlineStr">
        <is>
          <t>把</t>
        </is>
      </c>
      <c r="U22" s="17" t="n"/>
    </row>
    <row r="23">
      <c r="E23" s="17" t="n"/>
      <c r="G23" s="17" t="n"/>
      <c r="I23" s="17" t="n"/>
      <c r="K23" s="17" t="n"/>
      <c r="M23" s="17" t="n"/>
      <c r="O23" s="17" t="n"/>
      <c r="Q23" s="17" t="n"/>
      <c r="S23" s="17" t="inlineStr">
        <is>
          <t>捆</t>
        </is>
      </c>
      <c r="U23" s="17" t="n"/>
    </row>
    <row r="24">
      <c r="E24" s="17" t="n"/>
      <c r="G24" s="17" t="n"/>
      <c r="I24" s="17" t="n"/>
      <c r="K24" s="17" t="n"/>
      <c r="M24" s="17" t="n"/>
      <c r="O24" s="17" t="n"/>
      <c r="Q24" s="17" t="n"/>
      <c r="S24" s="17" t="inlineStr">
        <is>
          <t>支</t>
        </is>
      </c>
      <c r="U24" s="17" t="n"/>
    </row>
    <row r="25">
      <c r="E25" s="17" t="n"/>
      <c r="G25" s="17" t="n"/>
      <c r="I25" s="17" t="n"/>
      <c r="K25" s="17" t="n"/>
      <c r="M25" s="17" t="n"/>
      <c r="O25" s="17" t="n"/>
      <c r="Q25" s="17" t="n"/>
      <c r="S25" s="17" t="inlineStr">
        <is>
          <t>条</t>
        </is>
      </c>
      <c r="U25" s="17" t="n"/>
    </row>
    <row r="26">
      <c r="E26" s="17" t="n"/>
      <c r="G26" s="17" t="n"/>
      <c r="I26" s="17" t="n"/>
      <c r="K26" s="17" t="n"/>
      <c r="M26" s="17" t="n"/>
      <c r="O26" s="17" t="n"/>
      <c r="Q26" s="17" t="n"/>
      <c r="S26" s="17" t="inlineStr">
        <is>
          <t>根</t>
        </is>
      </c>
      <c r="U26" s="17" t="n"/>
    </row>
    <row r="27">
      <c r="E27" s="17" t="n"/>
      <c r="G27" s="17" t="n"/>
      <c r="I27" s="17" t="n"/>
      <c r="K27" s="17" t="n"/>
      <c r="M27" s="17" t="n"/>
      <c r="O27" s="17" t="n"/>
      <c r="Q27" s="17" t="n"/>
      <c r="S27" s="17" t="inlineStr">
        <is>
          <t>桶/900KG</t>
        </is>
      </c>
      <c r="U27" s="17" t="n"/>
    </row>
    <row r="28">
      <c r="E28" s="17" t="n"/>
      <c r="G28" s="17" t="n"/>
      <c r="I28" s="17" t="n"/>
      <c r="K28" s="17" t="n"/>
      <c r="M28" s="17" t="n"/>
      <c r="O28" s="17" t="n"/>
      <c r="Q28" s="17" t="n"/>
      <c r="S28" s="17" t="inlineStr">
        <is>
          <t>桶/吨</t>
        </is>
      </c>
      <c r="U28" s="17" t="n"/>
    </row>
    <row r="29">
      <c r="E29" s="17" t="n"/>
      <c r="G29" s="17" t="n"/>
      <c r="I29" s="17" t="n"/>
      <c r="K29" s="17" t="n"/>
      <c r="M29" s="17" t="n"/>
      <c r="O29" s="17" t="n"/>
      <c r="Q29" s="17" t="n"/>
      <c r="S29" s="17" t="inlineStr">
        <is>
          <t>片</t>
        </is>
      </c>
      <c r="U29" s="17" t="n"/>
    </row>
    <row r="30">
      <c r="E30" s="17" t="n"/>
      <c r="G30" s="17" t="n"/>
      <c r="I30" s="17" t="n"/>
      <c r="K30" s="17" t="n"/>
      <c r="M30" s="17" t="n"/>
      <c r="O30" s="17" t="n"/>
      <c r="Q30" s="17" t="n"/>
      <c r="S30" s="17" t="inlineStr">
        <is>
          <t>瓶</t>
        </is>
      </c>
      <c r="U30" s="17" t="n"/>
    </row>
    <row r="31">
      <c r="E31" s="17" t="n"/>
      <c r="G31" s="17" t="n"/>
      <c r="I31" s="17" t="n"/>
      <c r="K31" s="17" t="n"/>
      <c r="M31" s="17" t="n"/>
      <c r="O31" s="17" t="n"/>
      <c r="Q31" s="17" t="n"/>
      <c r="S31" s="17" t="inlineStr">
        <is>
          <t>盏</t>
        </is>
      </c>
      <c r="U31" s="17" t="n"/>
    </row>
    <row r="32">
      <c r="E32" s="17" t="n"/>
      <c r="G32" s="17" t="n"/>
      <c r="I32" s="17" t="n"/>
      <c r="K32" s="17" t="n"/>
      <c r="M32" s="17" t="n"/>
      <c r="O32" s="17" t="n"/>
      <c r="Q32" s="17" t="n"/>
      <c r="S32" s="17" t="inlineStr">
        <is>
          <t>盒</t>
        </is>
      </c>
      <c r="U32" s="17" t="n"/>
    </row>
    <row r="33">
      <c r="E33" s="17" t="n"/>
      <c r="G33" s="17" t="n"/>
      <c r="I33" s="17" t="n"/>
      <c r="K33" s="17" t="n"/>
      <c r="M33" s="17" t="n"/>
      <c r="O33" s="17" t="n"/>
      <c r="Q33" s="17" t="n"/>
      <c r="S33" s="17" t="inlineStr">
        <is>
          <t>盘</t>
        </is>
      </c>
      <c r="U33" s="17" t="n"/>
    </row>
    <row r="34">
      <c r="S34" s="17" t="inlineStr">
        <is>
          <t>箱</t>
        </is>
      </c>
    </row>
    <row r="35">
      <c r="S35" s="17" t="inlineStr">
        <is>
          <t>箱/100个</t>
        </is>
      </c>
    </row>
    <row r="36">
      <c r="S36" s="17" t="inlineStr">
        <is>
          <t>箱/300个</t>
        </is>
      </c>
    </row>
    <row r="37">
      <c r="S37" s="17" t="inlineStr">
        <is>
          <t>米</t>
        </is>
      </c>
    </row>
    <row r="38">
      <c r="S38" s="17" t="inlineStr">
        <is>
          <t>粒</t>
        </is>
      </c>
    </row>
    <row r="39">
      <c r="S39" s="17" t="inlineStr">
        <is>
          <t>组</t>
        </is>
      </c>
    </row>
    <row r="40">
      <c r="S40" s="17" t="inlineStr">
        <is>
          <t>罐</t>
        </is>
      </c>
    </row>
    <row r="41">
      <c r="S41" s="17" t="inlineStr">
        <is>
          <t>节</t>
        </is>
      </c>
    </row>
    <row r="42">
      <c r="S42" s="17" t="inlineStr">
        <is>
          <t>袋</t>
        </is>
      </c>
    </row>
    <row r="43">
      <c r="S43" s="17" t="inlineStr">
        <is>
          <t>袋/1250KG</t>
        </is>
      </c>
    </row>
    <row r="44">
      <c r="S44" s="17" t="inlineStr">
        <is>
          <t>袋/25KG</t>
        </is>
      </c>
    </row>
    <row r="45">
      <c r="S45" s="17" t="inlineStr">
        <is>
          <t>顶</t>
        </is>
      </c>
    </row>
  </sheetData>
  <mergeCells count="2">
    <mergeCell ref="A1:T1"/>
    <mergeCell ref="A2:T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806000"/>
    <outlinePr summaryBelow="1" summaryRight="1"/>
    <pageSetUpPr fitToPage="1"/>
  </sheetPr>
  <dimension ref="A1:P120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3" customWidth="1" min="2" max="2"/>
    <col width="26" customWidth="1" min="3" max="3"/>
    <col width="26" customWidth="1" min="4" max="4"/>
    <col width="9" customWidth="1" min="5" max="5"/>
    <col width="10" customWidth="1" min="6" max="6"/>
    <col width="10" customWidth="1" min="7" max="7"/>
    <col width="10" customWidth="1" min="8" max="8"/>
    <col width="13" customWidth="1" min="9" max="9"/>
    <col width="15" customWidth="1" min="10" max="10"/>
    <col width="12" customWidth="1" min="11" max="11"/>
    <col width="12" customWidth="1" min="12" max="12"/>
    <col width="15" customWidth="1" min="13" max="13"/>
    <col width="12" customWidth="1" min="14" max="14"/>
    <col width="10" customWidth="1" min="15" max="15"/>
    <col width="20" customWidth="1" min="16" max="16"/>
  </cols>
  <sheetData>
    <row r="1" ht="30" customHeight="1">
      <c r="A1" s="12" t="inlineStr">
        <is>
          <t>物料档案 · 每样东西一行，全表靠「物料编码」认人</t>
        </is>
      </c>
    </row>
    <row r="2" ht="24" customHeight="1">
      <c r="A2" s="13" t="inlineStr">
        <is>
          <t>跨表只用编码关联，不用品名 ——「钢球 Φ30」和「钢球-30」是同一样东西的两种写法，用名字关联必错。新物料在这里开一行，编码接着往下编。</t>
        </is>
      </c>
    </row>
    <row r="3" ht="34" customHeight="1">
      <c r="A3" s="14" t="inlineStr">
        <is>
          <t>物料编码</t>
        </is>
      </c>
      <c r="B3" s="14" t="inlineStr">
        <is>
          <t>大类 ★</t>
        </is>
      </c>
      <c r="C3" s="14" t="inlineStr">
        <is>
          <t>品名 ★</t>
        </is>
      </c>
      <c r="D3" s="14" t="inlineStr">
        <is>
          <t>规格型号</t>
        </is>
      </c>
      <c r="E3" s="14" t="inlineStr">
        <is>
          <t>单位 ★</t>
        </is>
      </c>
      <c r="F3" s="14" t="inlineStr">
        <is>
          <t>重点物资</t>
        </is>
      </c>
      <c r="G3" s="14" t="inlineStr">
        <is>
          <t>安全库存</t>
        </is>
      </c>
      <c r="H3" s="14" t="inlineStr">
        <is>
          <t>最近货源</t>
        </is>
      </c>
      <c r="I3" s="14" t="inlineStr">
        <is>
          <t>最近原币进价</t>
        </is>
      </c>
      <c r="J3" s="14" t="inlineStr">
        <is>
          <t>建议售价·先令</t>
        </is>
      </c>
      <c r="K3" s="14" t="inlineStr">
        <is>
          <t>价格状态</t>
        </is>
      </c>
      <c r="L3" s="14" t="inlineStr">
        <is>
          <t>现有库存数量</t>
        </is>
      </c>
      <c r="M3" s="14" t="inlineStr">
        <is>
          <t>现有库存金额·先令</t>
        </is>
      </c>
      <c r="N3" s="14" t="inlineStr">
        <is>
          <t>最后出库日</t>
        </is>
      </c>
      <c r="O3" s="14" t="inlineStr">
        <is>
          <t>呆滞天数</t>
        </is>
      </c>
      <c r="P3" s="14" t="inlineStr">
        <is>
          <t>备注</t>
        </is>
      </c>
    </row>
    <row r="4">
      <c r="A4" s="17" t="inlineStr">
        <is>
          <t>JH0001</t>
        </is>
      </c>
      <c r="B4" s="17" t="inlineStr">
        <is>
          <t>钢材</t>
        </is>
      </c>
      <c r="C4" s="17" t="inlineStr">
        <is>
          <t>花纹板</t>
        </is>
      </c>
      <c r="D4" s="17" t="inlineStr">
        <is>
          <t>δ4x1510x4000</t>
        </is>
      </c>
      <c r="E4" s="17" t="inlineStr">
        <is>
          <t>张</t>
        </is>
      </c>
      <c r="F4" s="17" t="inlineStr">
        <is>
          <t>否</t>
        </is>
      </c>
      <c r="G4" s="23" t="n"/>
      <c r="H4" s="24">
        <f>IF($A4="","",IFERROR(LOOKUP(2,1/((入库单!$G$4:$G$2503=$A4)*(入库单!$Y$4:$Y$2503="正常")*(入库单!$L$4:$L$2503&gt;0)),入库单!$D$4:$D$2503),""))</f>
        <v/>
      </c>
      <c r="I4" s="25">
        <f>IF($A4="","",IFERROR(LOOKUP(2,1/((入库单!$G$4:$G$2503=$A4)*(入库单!$Y$4:$Y$2503="正常")*(入库单!$L$4:$L$2503&gt;0)),入库单!$L$4:$L$2503),0))</f>
        <v/>
      </c>
      <c r="J4" s="26">
        <f>IF($A4="","",IF($H4="A国内",ROUND($I4*倍数A*汇率,0),IF($H4="B当地",ROUND($I4*系数B,0),0)))</f>
        <v/>
      </c>
      <c r="K4" s="24">
        <f>IF($A4="","",IF(COUNTIFS(入库单!$G$4:$G$2503,$A4,入库单!$X$4:$X$2503,"待补价")&gt;0,"待补价",IF(COUNTIFS(入库单!$G$4:$G$2503,$A4,入库单!$X$4:$X$2503,"暂估")&gt;0,"暂估",IF($I4=0,"没有进价","正常"))))</f>
        <v/>
      </c>
      <c r="L4" s="27">
        <f>IF($A4="","",IFERROR(VLOOKUP($A4,库存台账!$A$5:$Y$1204,24,0),0))</f>
        <v/>
      </c>
      <c r="M4" s="26">
        <f>IF($A4="","",IFERROR(VLOOKUP($A4,库存台账!$A$5:$Y$1204,25,0),0))</f>
        <v/>
      </c>
      <c r="N4" s="19">
        <f>IF($A4="","",IFERROR(LOOKUP(2,1/((出库单!$D$4:$D$4003=$A4)*(出库单!$T$4:$T$4003="正常")),出库单!$C$4:$C$4003),""))</f>
        <v/>
      </c>
      <c r="O4" s="28">
        <f>IF($A4="","",IF($L4&lt;=0,"",IF($N4="",IFERROR(账期止-LOOKUP(2,1/(入库单!$G$4:$G$2503=$A4),入库单!$C$4:$C$2503),""),账期止-$N4)))</f>
        <v/>
      </c>
      <c r="P4" s="17" t="n"/>
    </row>
    <row r="5">
      <c r="A5" s="17" t="inlineStr">
        <is>
          <t>JH0002</t>
        </is>
      </c>
      <c r="B5" s="17" t="inlineStr">
        <is>
          <t>钢材</t>
        </is>
      </c>
      <c r="C5" s="17" t="inlineStr">
        <is>
          <t>钢板</t>
        </is>
      </c>
      <c r="D5" s="17" t="inlineStr">
        <is>
          <t>δ8x1510x6000</t>
        </is>
      </c>
      <c r="E5" s="17" t="inlineStr">
        <is>
          <t>张</t>
        </is>
      </c>
      <c r="F5" s="17" t="inlineStr">
        <is>
          <t>否</t>
        </is>
      </c>
      <c r="G5" s="23" t="n"/>
      <c r="H5" s="24">
        <f>IF($A5="","",IFERROR(LOOKUP(2,1/((入库单!$G$4:$G$2503=$A5)*(入库单!$Y$4:$Y$2503="正常")*(入库单!$L$4:$L$2503&gt;0)),入库单!$D$4:$D$2503),""))</f>
        <v/>
      </c>
      <c r="I5" s="25">
        <f>IF($A5="","",IFERROR(LOOKUP(2,1/((入库单!$G$4:$G$2503=$A5)*(入库单!$Y$4:$Y$2503="正常")*(入库单!$L$4:$L$2503&gt;0)),入库单!$L$4:$L$2503),0))</f>
        <v/>
      </c>
      <c r="J5" s="26">
        <f>IF($A5="","",IF($H5="A国内",ROUND($I5*倍数A*汇率,0),IF($H5="B当地",ROUND($I5*系数B,0),0)))</f>
        <v/>
      </c>
      <c r="K5" s="24">
        <f>IF($A5="","",IF(COUNTIFS(入库单!$G$4:$G$2503,$A5,入库单!$X$4:$X$2503,"待补价")&gt;0,"待补价",IF(COUNTIFS(入库单!$G$4:$G$2503,$A5,入库单!$X$4:$X$2503,"暂估")&gt;0,"暂估",IF($I5=0,"没有进价","正常"))))</f>
        <v/>
      </c>
      <c r="L5" s="27">
        <f>IF($A5="","",IFERROR(VLOOKUP($A5,库存台账!$A$5:$Y$1204,24,0),0))</f>
        <v/>
      </c>
      <c r="M5" s="26">
        <f>IF($A5="","",IFERROR(VLOOKUP($A5,库存台账!$A$5:$Y$1204,25,0),0))</f>
        <v/>
      </c>
      <c r="N5" s="19">
        <f>IF($A5="","",IFERROR(LOOKUP(2,1/((出库单!$D$4:$D$4003=$A5)*(出库单!$T$4:$T$4003="正常")),出库单!$C$4:$C$4003),""))</f>
        <v/>
      </c>
      <c r="O5" s="28">
        <f>IF($A5="","",IF($L5&lt;=0,"",IF($N5="",IFERROR(账期止-LOOKUP(2,1/(入库单!$G$4:$G$2503=$A5),入库单!$C$4:$C$2503),""),账期止-$N5)))</f>
        <v/>
      </c>
      <c r="P5" s="17" t="n"/>
    </row>
    <row r="6">
      <c r="A6" s="17" t="inlineStr">
        <is>
          <t>JH0003</t>
        </is>
      </c>
      <c r="B6" s="17" t="inlineStr">
        <is>
          <t>钢材</t>
        </is>
      </c>
      <c r="C6" s="17" t="inlineStr">
        <is>
          <t>焊管</t>
        </is>
      </c>
      <c r="D6" s="17" t="inlineStr">
        <is>
          <t>1寸管x2.5 6米/支</t>
        </is>
      </c>
      <c r="E6" s="17" t="inlineStr">
        <is>
          <t>米</t>
        </is>
      </c>
      <c r="F6" s="17" t="inlineStr">
        <is>
          <t>否</t>
        </is>
      </c>
      <c r="G6" s="23" t="n"/>
      <c r="H6" s="24">
        <f>IF($A6="","",IFERROR(LOOKUP(2,1/((入库单!$G$4:$G$2503=$A6)*(入库单!$Y$4:$Y$2503="正常")*(入库单!$L$4:$L$2503&gt;0)),入库单!$D$4:$D$2503),""))</f>
        <v/>
      </c>
      <c r="I6" s="25">
        <f>IF($A6="","",IFERROR(LOOKUP(2,1/((入库单!$G$4:$G$2503=$A6)*(入库单!$Y$4:$Y$2503="正常")*(入库单!$L$4:$L$2503&gt;0)),入库单!$L$4:$L$2503),0))</f>
        <v/>
      </c>
      <c r="J6" s="26">
        <f>IF($A6="","",IF($H6="A国内",ROUND($I6*倍数A*汇率,0),IF($H6="B当地",ROUND($I6*系数B,0),0)))</f>
        <v/>
      </c>
      <c r="K6" s="24">
        <f>IF($A6="","",IF(COUNTIFS(入库单!$G$4:$G$2503,$A6,入库单!$X$4:$X$2503,"待补价")&gt;0,"待补价",IF(COUNTIFS(入库单!$G$4:$G$2503,$A6,入库单!$X$4:$X$2503,"暂估")&gt;0,"暂估",IF($I6=0,"没有进价","正常"))))</f>
        <v/>
      </c>
      <c r="L6" s="27">
        <f>IF($A6="","",IFERROR(VLOOKUP($A6,库存台账!$A$5:$Y$1204,24,0),0))</f>
        <v/>
      </c>
      <c r="M6" s="26">
        <f>IF($A6="","",IFERROR(VLOOKUP($A6,库存台账!$A$5:$Y$1204,25,0),0))</f>
        <v/>
      </c>
      <c r="N6" s="19">
        <f>IF($A6="","",IFERROR(LOOKUP(2,1/((出库单!$D$4:$D$4003=$A6)*(出库单!$T$4:$T$4003="正常")),出库单!$C$4:$C$4003),""))</f>
        <v/>
      </c>
      <c r="O6" s="28">
        <f>IF($A6="","",IF($L6&lt;=0,"",IF($N6="",IFERROR(账期止-LOOKUP(2,1/(入库单!$G$4:$G$2503=$A6),入库单!$C$4:$C$2503),""),账期止-$N6)))</f>
        <v/>
      </c>
      <c r="P6" s="17" t="n"/>
    </row>
    <row r="7">
      <c r="A7" s="17" t="inlineStr">
        <is>
          <t>JH0004</t>
        </is>
      </c>
      <c r="B7" s="17" t="inlineStr">
        <is>
          <t>机械设备</t>
        </is>
      </c>
      <c r="C7" s="17" t="inlineStr">
        <is>
          <t>直筒球磨机主体</t>
        </is>
      </c>
      <c r="D7" s="17" t="inlineStr">
        <is>
          <t>直筒格子球磨机</t>
        </is>
      </c>
      <c r="E7" s="17" t="inlineStr">
        <is>
          <t>台</t>
        </is>
      </c>
      <c r="F7" s="17" t="inlineStr">
        <is>
          <t>否</t>
        </is>
      </c>
      <c r="G7" s="23" t="n"/>
      <c r="H7" s="24">
        <f>IF($A7="","",IFERROR(LOOKUP(2,1/((入库单!$G$4:$G$2503=$A7)*(入库单!$Y$4:$Y$2503="正常")*(入库单!$L$4:$L$2503&gt;0)),入库单!$D$4:$D$2503),""))</f>
        <v/>
      </c>
      <c r="I7" s="25">
        <f>IF($A7="","",IFERROR(LOOKUP(2,1/((入库单!$G$4:$G$2503=$A7)*(入库单!$Y$4:$Y$2503="正常")*(入库单!$L$4:$L$2503&gt;0)),入库单!$L$4:$L$2503),0))</f>
        <v/>
      </c>
      <c r="J7" s="26">
        <f>IF($A7="","",IF($H7="A国内",ROUND($I7*倍数A*汇率,0),IF($H7="B当地",ROUND($I7*系数B,0),0)))</f>
        <v/>
      </c>
      <c r="K7" s="24">
        <f>IF($A7="","",IF(COUNTIFS(入库单!$G$4:$G$2503,$A7,入库单!$X$4:$X$2503,"待补价")&gt;0,"待补价",IF(COUNTIFS(入库单!$G$4:$G$2503,$A7,入库单!$X$4:$X$2503,"暂估")&gt;0,"暂估",IF($I7=0,"没有进价","正常"))))</f>
        <v/>
      </c>
      <c r="L7" s="27">
        <f>IF($A7="","",IFERROR(VLOOKUP($A7,库存台账!$A$5:$Y$1204,24,0),0))</f>
        <v/>
      </c>
      <c r="M7" s="26">
        <f>IF($A7="","",IFERROR(VLOOKUP($A7,库存台账!$A$5:$Y$1204,25,0),0))</f>
        <v/>
      </c>
      <c r="N7" s="19">
        <f>IF($A7="","",IFERROR(LOOKUP(2,1/((出库单!$D$4:$D$4003=$A7)*(出库单!$T$4:$T$4003="正常")),出库单!$C$4:$C$4003),""))</f>
        <v/>
      </c>
      <c r="O7" s="28">
        <f>IF($A7="","",IF($L7&lt;=0,"",IF($N7="",IFERROR(账期止-LOOKUP(2,1/(入库单!$G$4:$G$2503=$A7),入库单!$C$4:$C$2503),""),账期止-$N7)))</f>
        <v/>
      </c>
      <c r="P7" s="17" t="n"/>
    </row>
    <row r="8">
      <c r="A8" s="17" t="inlineStr">
        <is>
          <t>JH0005</t>
        </is>
      </c>
      <c r="B8" s="17" t="inlineStr">
        <is>
          <t>机械设备</t>
        </is>
      </c>
      <c r="C8" s="17" t="inlineStr">
        <is>
          <t>两开大齿圈</t>
        </is>
      </c>
      <c r="D8" s="17" t="inlineStr">
        <is>
          <t>直筒格子球磨机</t>
        </is>
      </c>
      <c r="E8" s="17" t="inlineStr">
        <is>
          <t>套</t>
        </is>
      </c>
      <c r="F8" s="17" t="inlineStr">
        <is>
          <t>否</t>
        </is>
      </c>
      <c r="G8" s="23" t="n"/>
      <c r="H8" s="24">
        <f>IF($A8="","",IFERROR(LOOKUP(2,1/((入库单!$G$4:$G$2503=$A8)*(入库单!$Y$4:$Y$2503="正常")*(入库单!$L$4:$L$2503&gt;0)),入库单!$D$4:$D$2503),""))</f>
        <v/>
      </c>
      <c r="I8" s="25">
        <f>IF($A8="","",IFERROR(LOOKUP(2,1/((入库单!$G$4:$G$2503=$A8)*(入库单!$Y$4:$Y$2503="正常")*(入库单!$L$4:$L$2503&gt;0)),入库单!$L$4:$L$2503),0))</f>
        <v/>
      </c>
      <c r="J8" s="26">
        <f>IF($A8="","",IF($H8="A国内",ROUND($I8*倍数A*汇率,0),IF($H8="B当地",ROUND($I8*系数B,0),0)))</f>
        <v/>
      </c>
      <c r="K8" s="24">
        <f>IF($A8="","",IF(COUNTIFS(入库单!$G$4:$G$2503,$A8,入库单!$X$4:$X$2503,"待补价")&gt;0,"待补价",IF(COUNTIFS(入库单!$G$4:$G$2503,$A8,入库单!$X$4:$X$2503,"暂估")&gt;0,"暂估",IF($I8=0,"没有进价","正常"))))</f>
        <v/>
      </c>
      <c r="L8" s="27">
        <f>IF($A8="","",IFERROR(VLOOKUP($A8,库存台账!$A$5:$Y$1204,24,0),0))</f>
        <v/>
      </c>
      <c r="M8" s="26">
        <f>IF($A8="","",IFERROR(VLOOKUP($A8,库存台账!$A$5:$Y$1204,25,0),0))</f>
        <v/>
      </c>
      <c r="N8" s="19">
        <f>IF($A8="","",IFERROR(LOOKUP(2,1/((出库单!$D$4:$D$4003=$A8)*(出库单!$T$4:$T$4003="正常")),出库单!$C$4:$C$4003),""))</f>
        <v/>
      </c>
      <c r="O8" s="28">
        <f>IF($A8="","",IF($L8&lt;=0,"",IF($N8="",IFERROR(账期止-LOOKUP(2,1/(入库单!$G$4:$G$2503=$A8),入库单!$C$4:$C$2503),""),账期止-$N8)))</f>
        <v/>
      </c>
      <c r="P8" s="17" t="n"/>
    </row>
    <row r="9">
      <c r="A9" s="17" t="inlineStr">
        <is>
          <t>JH0006</t>
        </is>
      </c>
      <c r="B9" s="17" t="inlineStr">
        <is>
          <t>机械设备</t>
        </is>
      </c>
      <c r="C9" s="17" t="inlineStr">
        <is>
          <t>高强度螺栓24x150</t>
        </is>
      </c>
      <c r="D9" s="17" t="inlineStr">
        <is>
          <t>直筒格子球磨机</t>
        </is>
      </c>
      <c r="E9" s="17" t="inlineStr">
        <is>
          <t>套</t>
        </is>
      </c>
      <c r="F9" s="17" t="inlineStr">
        <is>
          <t>否</t>
        </is>
      </c>
      <c r="G9" s="23" t="n"/>
      <c r="H9" s="24">
        <f>IF($A9="","",IFERROR(LOOKUP(2,1/((入库单!$G$4:$G$2503=$A9)*(入库单!$Y$4:$Y$2503="正常")*(入库单!$L$4:$L$2503&gt;0)),入库单!$D$4:$D$2503),""))</f>
        <v/>
      </c>
      <c r="I9" s="25">
        <f>IF($A9="","",IFERROR(LOOKUP(2,1/((入库单!$G$4:$G$2503=$A9)*(入库单!$Y$4:$Y$2503="正常")*(入库单!$L$4:$L$2503&gt;0)),入库单!$L$4:$L$2503),0))</f>
        <v/>
      </c>
      <c r="J9" s="26">
        <f>IF($A9="","",IF($H9="A国内",ROUND($I9*倍数A*汇率,0),IF($H9="B当地",ROUND($I9*系数B,0),0)))</f>
        <v/>
      </c>
      <c r="K9" s="24">
        <f>IF($A9="","",IF(COUNTIFS(入库单!$G$4:$G$2503,$A9,入库单!$X$4:$X$2503,"待补价")&gt;0,"待补价",IF(COUNTIFS(入库单!$G$4:$G$2503,$A9,入库单!$X$4:$X$2503,"暂估")&gt;0,"暂估",IF($I9=0,"没有进价","正常"))))</f>
        <v/>
      </c>
      <c r="L9" s="27">
        <f>IF($A9="","",IFERROR(VLOOKUP($A9,库存台账!$A$5:$Y$1204,24,0),0))</f>
        <v/>
      </c>
      <c r="M9" s="26">
        <f>IF($A9="","",IFERROR(VLOOKUP($A9,库存台账!$A$5:$Y$1204,25,0),0))</f>
        <v/>
      </c>
      <c r="N9" s="19">
        <f>IF($A9="","",IFERROR(LOOKUP(2,1/((出库单!$D$4:$D$4003=$A9)*(出库单!$T$4:$T$4003="正常")),出库单!$C$4:$C$4003),""))</f>
        <v/>
      </c>
      <c r="O9" s="28">
        <f>IF($A9="","",IF($L9&lt;=0,"",IF($N9="",IFERROR(账期止-LOOKUP(2,1/(入库单!$G$4:$G$2503=$A9),入库单!$C$4:$C$2503),""),账期止-$N9)))</f>
        <v/>
      </c>
      <c r="P9" s="17" t="n"/>
    </row>
    <row r="10">
      <c r="A10" s="17" t="inlineStr">
        <is>
          <t>JH0007</t>
        </is>
      </c>
      <c r="B10" s="17" t="inlineStr">
        <is>
          <t>机械设备</t>
        </is>
      </c>
      <c r="C10" s="17" t="inlineStr">
        <is>
          <t>高强度螺栓30x180</t>
        </is>
      </c>
      <c r="D10" s="17" t="inlineStr">
        <is>
          <t>直筒格子球磨机</t>
        </is>
      </c>
      <c r="E10" s="17" t="inlineStr">
        <is>
          <t>套</t>
        </is>
      </c>
      <c r="F10" s="17" t="inlineStr">
        <is>
          <t>否</t>
        </is>
      </c>
      <c r="G10" s="23" t="n"/>
      <c r="H10" s="24">
        <f>IF($A10="","",IFERROR(LOOKUP(2,1/((入库单!$G$4:$G$2503=$A10)*(入库单!$Y$4:$Y$2503="正常")*(入库单!$L$4:$L$2503&gt;0)),入库单!$D$4:$D$2503),""))</f>
        <v/>
      </c>
      <c r="I10" s="25">
        <f>IF($A10="","",IFERROR(LOOKUP(2,1/((入库单!$G$4:$G$2503=$A10)*(入库单!$Y$4:$Y$2503="正常")*(入库单!$L$4:$L$2503&gt;0)),入库单!$L$4:$L$2503),0))</f>
        <v/>
      </c>
      <c r="J10" s="26">
        <f>IF($A10="","",IF($H10="A国内",ROUND($I10*倍数A*汇率,0),IF($H10="B当地",ROUND($I10*系数B,0),0)))</f>
        <v/>
      </c>
      <c r="K10" s="24">
        <f>IF($A10="","",IF(COUNTIFS(入库单!$G$4:$G$2503,$A10,入库单!$X$4:$X$2503,"待补价")&gt;0,"待补价",IF(COUNTIFS(入库单!$G$4:$G$2503,$A10,入库单!$X$4:$X$2503,"暂估")&gt;0,"暂估",IF($I10=0,"没有进价","正常"))))</f>
        <v/>
      </c>
      <c r="L10" s="27">
        <f>IF($A10="","",IFERROR(VLOOKUP($A10,库存台账!$A$5:$Y$1204,24,0),0))</f>
        <v/>
      </c>
      <c r="M10" s="26">
        <f>IF($A10="","",IFERROR(VLOOKUP($A10,库存台账!$A$5:$Y$1204,25,0),0))</f>
        <v/>
      </c>
      <c r="N10" s="19">
        <f>IF($A10="","",IFERROR(LOOKUP(2,1/((出库单!$D$4:$D$4003=$A10)*(出库单!$T$4:$T$4003="正常")),出库单!$C$4:$C$4003),""))</f>
        <v/>
      </c>
      <c r="O10" s="28">
        <f>IF($A10="","",IF($L10&lt;=0,"",IF($N10="",IFERROR(账期止-LOOKUP(2,1/(入库单!$G$4:$G$2503=$A10),入库单!$C$4:$C$2503),""),账期止-$N10)))</f>
        <v/>
      </c>
      <c r="P10" s="17" t="n"/>
    </row>
    <row r="11">
      <c r="A11" s="17" t="inlineStr">
        <is>
          <t>JH0008</t>
        </is>
      </c>
      <c r="B11" s="17" t="inlineStr">
        <is>
          <t>机械设备</t>
        </is>
      </c>
      <c r="C11" s="17" t="inlineStr">
        <is>
          <t>大稳钉</t>
        </is>
      </c>
      <c r="D11" s="17" t="inlineStr">
        <is>
          <t>直筒格子球磨机</t>
        </is>
      </c>
      <c r="E11" s="17" t="inlineStr">
        <is>
          <t>套</t>
        </is>
      </c>
      <c r="F11" s="17" t="inlineStr">
        <is>
          <t>否</t>
        </is>
      </c>
      <c r="G11" s="23" t="n"/>
      <c r="H11" s="24">
        <f>IF($A11="","",IFERROR(LOOKUP(2,1/((入库单!$G$4:$G$2503=$A11)*(入库单!$Y$4:$Y$2503="正常")*(入库单!$L$4:$L$2503&gt;0)),入库单!$D$4:$D$2503),""))</f>
        <v/>
      </c>
      <c r="I11" s="25">
        <f>IF($A11="","",IFERROR(LOOKUP(2,1/((入库单!$G$4:$G$2503=$A11)*(入库单!$Y$4:$Y$2503="正常")*(入库单!$L$4:$L$2503&gt;0)),入库单!$L$4:$L$2503),0))</f>
        <v/>
      </c>
      <c r="J11" s="26">
        <f>IF($A11="","",IF($H11="A国内",ROUND($I11*倍数A*汇率,0),IF($H11="B当地",ROUND($I11*系数B,0),0)))</f>
        <v/>
      </c>
      <c r="K11" s="24">
        <f>IF($A11="","",IF(COUNTIFS(入库单!$G$4:$G$2503,$A11,入库单!$X$4:$X$2503,"待补价")&gt;0,"待补价",IF(COUNTIFS(入库单!$G$4:$G$2503,$A11,入库单!$X$4:$X$2503,"暂估")&gt;0,"暂估",IF($I11=0,"没有进价","正常"))))</f>
        <v/>
      </c>
      <c r="L11" s="27">
        <f>IF($A11="","",IFERROR(VLOOKUP($A11,库存台账!$A$5:$Y$1204,24,0),0))</f>
        <v/>
      </c>
      <c r="M11" s="26">
        <f>IF($A11="","",IFERROR(VLOOKUP($A11,库存台账!$A$5:$Y$1204,25,0),0))</f>
        <v/>
      </c>
      <c r="N11" s="19">
        <f>IF($A11="","",IFERROR(LOOKUP(2,1/((出库单!$D$4:$D$4003=$A11)*(出库单!$T$4:$T$4003="正常")),出库单!$C$4:$C$4003),""))</f>
        <v/>
      </c>
      <c r="O11" s="28">
        <f>IF($A11="","",IF($L11&lt;=0,"",IF($N11="",IFERROR(账期止-LOOKUP(2,1/(入库单!$G$4:$G$2503=$A11),入库单!$C$4:$C$2503),""),账期止-$N11)))</f>
        <v/>
      </c>
      <c r="P11" s="17" t="n"/>
    </row>
    <row r="12">
      <c r="A12" s="17" t="inlineStr">
        <is>
          <t>JH0009</t>
        </is>
      </c>
      <c r="B12" s="17" t="inlineStr">
        <is>
          <t>机械设备</t>
        </is>
      </c>
      <c r="C12" s="17" t="inlineStr">
        <is>
          <t>小稳钉</t>
        </is>
      </c>
      <c r="D12" s="17" t="inlineStr">
        <is>
          <t>直筒格子球磨机</t>
        </is>
      </c>
      <c r="E12" s="17" t="inlineStr">
        <is>
          <t>个</t>
        </is>
      </c>
      <c r="F12" s="17" t="inlineStr">
        <is>
          <t>否</t>
        </is>
      </c>
      <c r="G12" s="23" t="n"/>
      <c r="H12" s="24">
        <f>IF($A12="","",IFERROR(LOOKUP(2,1/((入库单!$G$4:$G$2503=$A12)*(入库单!$Y$4:$Y$2503="正常")*(入库单!$L$4:$L$2503&gt;0)),入库单!$D$4:$D$2503),""))</f>
        <v/>
      </c>
      <c r="I12" s="25">
        <f>IF($A12="","",IFERROR(LOOKUP(2,1/((入库单!$G$4:$G$2503=$A12)*(入库单!$Y$4:$Y$2503="正常")*(入库单!$L$4:$L$2503&gt;0)),入库单!$L$4:$L$2503),0))</f>
        <v/>
      </c>
      <c r="J12" s="26">
        <f>IF($A12="","",IF($H12="A国内",ROUND($I12*倍数A*汇率,0),IF($H12="B当地",ROUND($I12*系数B,0),0)))</f>
        <v/>
      </c>
      <c r="K12" s="24">
        <f>IF($A12="","",IF(COUNTIFS(入库单!$G$4:$G$2503,$A12,入库单!$X$4:$X$2503,"待补价")&gt;0,"待补价",IF(COUNTIFS(入库单!$G$4:$G$2503,$A12,入库单!$X$4:$X$2503,"暂估")&gt;0,"暂估",IF($I12=0,"没有进价","正常"))))</f>
        <v/>
      </c>
      <c r="L12" s="27">
        <f>IF($A12="","",IFERROR(VLOOKUP($A12,库存台账!$A$5:$Y$1204,24,0),0))</f>
        <v/>
      </c>
      <c r="M12" s="26">
        <f>IF($A12="","",IFERROR(VLOOKUP($A12,库存台账!$A$5:$Y$1204,25,0),0))</f>
        <v/>
      </c>
      <c r="N12" s="19">
        <f>IF($A12="","",IFERROR(LOOKUP(2,1/((出库单!$D$4:$D$4003=$A12)*(出库单!$T$4:$T$4003="正常")),出库单!$C$4:$C$4003),""))</f>
        <v/>
      </c>
      <c r="O12" s="28">
        <f>IF($A12="","",IF($L12&lt;=0,"",IF($N12="",IFERROR(账期止-LOOKUP(2,1/(入库单!$G$4:$G$2503=$A12),入库单!$C$4:$C$2503),""),账期止-$N12)))</f>
        <v/>
      </c>
      <c r="P12" s="17" t="n"/>
    </row>
    <row r="13">
      <c r="A13" s="17" t="inlineStr">
        <is>
          <t>JH0010</t>
        </is>
      </c>
      <c r="B13" s="17" t="inlineStr">
        <is>
          <t>机械设备</t>
        </is>
      </c>
      <c r="C13" s="17" t="inlineStr">
        <is>
          <t>出料管</t>
        </is>
      </c>
      <c r="D13" s="17" t="inlineStr">
        <is>
          <t>直筒格子球磨机</t>
        </is>
      </c>
      <c r="E13" s="17" t="inlineStr">
        <is>
          <t>套</t>
        </is>
      </c>
      <c r="F13" s="17" t="inlineStr">
        <is>
          <t>否</t>
        </is>
      </c>
      <c r="G13" s="23" t="n"/>
      <c r="H13" s="24">
        <f>IF($A13="","",IFERROR(LOOKUP(2,1/((入库单!$G$4:$G$2503=$A13)*(入库单!$Y$4:$Y$2503="正常")*(入库单!$L$4:$L$2503&gt;0)),入库单!$D$4:$D$2503),""))</f>
        <v/>
      </c>
      <c r="I13" s="25">
        <f>IF($A13="","",IFERROR(LOOKUP(2,1/((入库单!$G$4:$G$2503=$A13)*(入库单!$Y$4:$Y$2503="正常")*(入库单!$L$4:$L$2503&gt;0)),入库单!$L$4:$L$2503),0))</f>
        <v/>
      </c>
      <c r="J13" s="26">
        <f>IF($A13="","",IF($H13="A国内",ROUND($I13*倍数A*汇率,0),IF($H13="B当地",ROUND($I13*系数B,0),0)))</f>
        <v/>
      </c>
      <c r="K13" s="24">
        <f>IF($A13="","",IF(COUNTIFS(入库单!$G$4:$G$2503,$A13,入库单!$X$4:$X$2503,"待补价")&gt;0,"待补价",IF(COUNTIFS(入库单!$G$4:$G$2503,$A13,入库单!$X$4:$X$2503,"暂估")&gt;0,"暂估",IF($I13=0,"没有进价","正常"))))</f>
        <v/>
      </c>
      <c r="L13" s="27">
        <f>IF($A13="","",IFERROR(VLOOKUP($A13,库存台账!$A$5:$Y$1204,24,0),0))</f>
        <v/>
      </c>
      <c r="M13" s="26">
        <f>IF($A13="","",IFERROR(VLOOKUP($A13,库存台账!$A$5:$Y$1204,25,0),0))</f>
        <v/>
      </c>
      <c r="N13" s="19">
        <f>IF($A13="","",IFERROR(LOOKUP(2,1/((出库单!$D$4:$D$4003=$A13)*(出库单!$T$4:$T$4003="正常")),出库单!$C$4:$C$4003),""))</f>
        <v/>
      </c>
      <c r="O13" s="28">
        <f>IF($A13="","",IF($L13&lt;=0,"",IF($N13="",IFERROR(账期止-LOOKUP(2,1/(入库单!$G$4:$G$2503=$A13),入库单!$C$4:$C$2503),""),账期止-$N13)))</f>
        <v/>
      </c>
      <c r="P13" s="17" t="n"/>
    </row>
    <row r="14">
      <c r="A14" s="17" t="inlineStr">
        <is>
          <t>JH0011</t>
        </is>
      </c>
      <c r="B14" s="17" t="inlineStr">
        <is>
          <t>机械设备</t>
        </is>
      </c>
      <c r="C14" s="17" t="inlineStr">
        <is>
          <t>传动装置</t>
        </is>
      </c>
      <c r="D14" s="17" t="inlineStr">
        <is>
          <t>直筒格子球磨机</t>
        </is>
      </c>
      <c r="E14" s="17" t="inlineStr">
        <is>
          <t>套</t>
        </is>
      </c>
      <c r="F14" s="17" t="inlineStr">
        <is>
          <t>否</t>
        </is>
      </c>
      <c r="G14" s="23" t="n"/>
      <c r="H14" s="24">
        <f>IF($A14="","",IFERROR(LOOKUP(2,1/((入库单!$G$4:$G$2503=$A14)*(入库单!$Y$4:$Y$2503="正常")*(入库单!$L$4:$L$2503&gt;0)),入库单!$D$4:$D$2503),""))</f>
        <v/>
      </c>
      <c r="I14" s="25">
        <f>IF($A14="","",IFERROR(LOOKUP(2,1/((入库单!$G$4:$G$2503=$A14)*(入库单!$Y$4:$Y$2503="正常")*(入库单!$L$4:$L$2503&gt;0)),入库单!$L$4:$L$2503),0))</f>
        <v/>
      </c>
      <c r="J14" s="26">
        <f>IF($A14="","",IF($H14="A国内",ROUND($I14*倍数A*汇率,0),IF($H14="B当地",ROUND($I14*系数B,0),0)))</f>
        <v/>
      </c>
      <c r="K14" s="24">
        <f>IF($A14="","",IF(COUNTIFS(入库单!$G$4:$G$2503,$A14,入库单!$X$4:$X$2503,"待补价")&gt;0,"待补价",IF(COUNTIFS(入库单!$G$4:$G$2503,$A14,入库单!$X$4:$X$2503,"暂估")&gt;0,"暂估",IF($I14=0,"没有进价","正常"))))</f>
        <v/>
      </c>
      <c r="L14" s="27">
        <f>IF($A14="","",IFERROR(VLOOKUP($A14,库存台账!$A$5:$Y$1204,24,0),0))</f>
        <v/>
      </c>
      <c r="M14" s="26">
        <f>IF($A14="","",IFERROR(VLOOKUP($A14,库存台账!$A$5:$Y$1204,25,0),0))</f>
        <v/>
      </c>
      <c r="N14" s="19">
        <f>IF($A14="","",IFERROR(LOOKUP(2,1/((出库单!$D$4:$D$4003=$A14)*(出库单!$T$4:$T$4003="正常")),出库单!$C$4:$C$4003),""))</f>
        <v/>
      </c>
      <c r="O14" s="28">
        <f>IF($A14="","",IF($L14&lt;=0,"",IF($N14="",IFERROR(账期止-LOOKUP(2,1/(入库单!$G$4:$G$2503=$A14),入库单!$C$4:$C$2503),""),账期止-$N14)))</f>
        <v/>
      </c>
      <c r="P14" s="17" t="n"/>
    </row>
    <row r="15">
      <c r="A15" s="17" t="inlineStr">
        <is>
          <t>JH0012</t>
        </is>
      </c>
      <c r="B15" s="17" t="inlineStr">
        <is>
          <t>机械设备</t>
        </is>
      </c>
      <c r="C15" s="17" t="inlineStr">
        <is>
          <t>齿轮罩</t>
        </is>
      </c>
      <c r="D15" s="17" t="inlineStr">
        <is>
          <t>直筒格子球磨机</t>
        </is>
      </c>
      <c r="E15" s="17" t="inlineStr">
        <is>
          <t>套</t>
        </is>
      </c>
      <c r="F15" s="17" t="inlineStr">
        <is>
          <t>否</t>
        </is>
      </c>
      <c r="G15" s="23" t="n"/>
      <c r="H15" s="24">
        <f>IF($A15="","",IFERROR(LOOKUP(2,1/((入库单!$G$4:$G$2503=$A15)*(入库单!$Y$4:$Y$2503="正常")*(入库单!$L$4:$L$2503&gt;0)),入库单!$D$4:$D$2503),""))</f>
        <v/>
      </c>
      <c r="I15" s="25">
        <f>IF($A15="","",IFERROR(LOOKUP(2,1/((入库单!$G$4:$G$2503=$A15)*(入库单!$Y$4:$Y$2503="正常")*(入库单!$L$4:$L$2503&gt;0)),入库单!$L$4:$L$2503),0))</f>
        <v/>
      </c>
      <c r="J15" s="26">
        <f>IF($A15="","",IF($H15="A国内",ROUND($I15*倍数A*汇率,0),IF($H15="B当地",ROUND($I15*系数B,0),0)))</f>
        <v/>
      </c>
      <c r="K15" s="24">
        <f>IF($A15="","",IF(COUNTIFS(入库单!$G$4:$G$2503,$A15,入库单!$X$4:$X$2503,"待补价")&gt;0,"待补价",IF(COUNTIFS(入库单!$G$4:$G$2503,$A15,入库单!$X$4:$X$2503,"暂估")&gt;0,"暂估",IF($I15=0,"没有进价","正常"))))</f>
        <v/>
      </c>
      <c r="L15" s="27">
        <f>IF($A15="","",IFERROR(VLOOKUP($A15,库存台账!$A$5:$Y$1204,24,0),0))</f>
        <v/>
      </c>
      <c r="M15" s="26">
        <f>IF($A15="","",IFERROR(VLOOKUP($A15,库存台账!$A$5:$Y$1204,25,0),0))</f>
        <v/>
      </c>
      <c r="N15" s="19">
        <f>IF($A15="","",IFERROR(LOOKUP(2,1/((出库单!$D$4:$D$4003=$A15)*(出库单!$T$4:$T$4003="正常")),出库单!$C$4:$C$4003),""))</f>
        <v/>
      </c>
      <c r="O15" s="28">
        <f>IF($A15="","",IF($L15&lt;=0,"",IF($N15="",IFERROR(账期止-LOOKUP(2,1/(入库单!$G$4:$G$2503=$A15),入库单!$C$4:$C$2503),""),账期止-$N15)))</f>
        <v/>
      </c>
      <c r="P15" s="17" t="n"/>
    </row>
    <row r="16">
      <c r="A16" s="17" t="inlineStr">
        <is>
          <t>JH0013</t>
        </is>
      </c>
      <c r="B16" s="17" t="inlineStr">
        <is>
          <t>电缆电气</t>
        </is>
      </c>
      <c r="C16" s="17" t="inlineStr">
        <is>
          <t>180KW启动柜</t>
        </is>
      </c>
      <c r="D16" s="17" t="inlineStr">
        <is>
          <t>直筒格子球磨机</t>
        </is>
      </c>
      <c r="E16" s="17" t="inlineStr">
        <is>
          <t>台</t>
        </is>
      </c>
      <c r="F16" s="17" t="inlineStr">
        <is>
          <t>否</t>
        </is>
      </c>
      <c r="G16" s="23" t="n"/>
      <c r="H16" s="24">
        <f>IF($A16="","",IFERROR(LOOKUP(2,1/((入库单!$G$4:$G$2503=$A16)*(入库单!$Y$4:$Y$2503="正常")*(入库单!$L$4:$L$2503&gt;0)),入库单!$D$4:$D$2503),""))</f>
        <v/>
      </c>
      <c r="I16" s="25">
        <f>IF($A16="","",IFERROR(LOOKUP(2,1/((入库单!$G$4:$G$2503=$A16)*(入库单!$Y$4:$Y$2503="正常")*(入库单!$L$4:$L$2503&gt;0)),入库单!$L$4:$L$2503),0))</f>
        <v/>
      </c>
      <c r="J16" s="26">
        <f>IF($A16="","",IF($H16="A国内",ROUND($I16*倍数A*汇率,0),IF($H16="B当地",ROUND($I16*系数B,0),0)))</f>
        <v/>
      </c>
      <c r="K16" s="24">
        <f>IF($A16="","",IF(COUNTIFS(入库单!$G$4:$G$2503,$A16,入库单!$X$4:$X$2503,"待补价")&gt;0,"待补价",IF(COUNTIFS(入库单!$G$4:$G$2503,$A16,入库单!$X$4:$X$2503,"暂估")&gt;0,"暂估",IF($I16=0,"没有进价","正常"))))</f>
        <v/>
      </c>
      <c r="L16" s="27">
        <f>IF($A16="","",IFERROR(VLOOKUP($A16,库存台账!$A$5:$Y$1204,24,0),0))</f>
        <v/>
      </c>
      <c r="M16" s="26">
        <f>IF($A16="","",IFERROR(VLOOKUP($A16,库存台账!$A$5:$Y$1204,25,0),0))</f>
        <v/>
      </c>
      <c r="N16" s="19">
        <f>IF($A16="","",IFERROR(LOOKUP(2,1/((出库单!$D$4:$D$4003=$A16)*(出库单!$T$4:$T$4003="正常")),出库单!$C$4:$C$4003),""))</f>
        <v/>
      </c>
      <c r="O16" s="28">
        <f>IF($A16="","",IF($L16&lt;=0,"",IF($N16="",IFERROR(账期止-LOOKUP(2,1/(入库单!$G$4:$G$2503=$A16),入库单!$C$4:$C$2503),""),账期止-$N16)))</f>
        <v/>
      </c>
      <c r="P16" s="17" t="n"/>
    </row>
    <row r="17">
      <c r="A17" s="17" t="inlineStr">
        <is>
          <t>JH0014</t>
        </is>
      </c>
      <c r="B17" s="17" t="inlineStr">
        <is>
          <t>钢材</t>
        </is>
      </c>
      <c r="C17" s="17" t="inlineStr">
        <is>
          <t>钢板</t>
        </is>
      </c>
      <c r="D17" s="17" t="inlineStr">
        <is>
          <t>δ10x1510x6000</t>
        </is>
      </c>
      <c r="E17" s="17" t="inlineStr">
        <is>
          <t>张</t>
        </is>
      </c>
      <c r="F17" s="17" t="inlineStr">
        <is>
          <t>否</t>
        </is>
      </c>
      <c r="G17" s="23" t="n"/>
      <c r="H17" s="24">
        <f>IF($A17="","",IFERROR(LOOKUP(2,1/((入库单!$G$4:$G$2503=$A17)*(入库单!$Y$4:$Y$2503="正常")*(入库单!$L$4:$L$2503&gt;0)),入库单!$D$4:$D$2503),""))</f>
        <v/>
      </c>
      <c r="I17" s="25">
        <f>IF($A17="","",IFERROR(LOOKUP(2,1/((入库单!$G$4:$G$2503=$A17)*(入库单!$Y$4:$Y$2503="正常")*(入库单!$L$4:$L$2503&gt;0)),入库单!$L$4:$L$2503),0))</f>
        <v/>
      </c>
      <c r="J17" s="26">
        <f>IF($A17="","",IF($H17="A国内",ROUND($I17*倍数A*汇率,0),IF($H17="B当地",ROUND($I17*系数B,0),0)))</f>
        <v/>
      </c>
      <c r="K17" s="24">
        <f>IF($A17="","",IF(COUNTIFS(入库单!$G$4:$G$2503,$A17,入库单!$X$4:$X$2503,"待补价")&gt;0,"待补价",IF(COUNTIFS(入库单!$G$4:$G$2503,$A17,入库单!$X$4:$X$2503,"暂估")&gt;0,"暂估",IF($I17=0,"没有进价","正常"))))</f>
        <v/>
      </c>
      <c r="L17" s="27">
        <f>IF($A17="","",IFERROR(VLOOKUP($A17,库存台账!$A$5:$Y$1204,24,0),0))</f>
        <v/>
      </c>
      <c r="M17" s="26">
        <f>IF($A17="","",IFERROR(VLOOKUP($A17,库存台账!$A$5:$Y$1204,25,0),0))</f>
        <v/>
      </c>
      <c r="N17" s="19">
        <f>IF($A17="","",IFERROR(LOOKUP(2,1/((出库单!$D$4:$D$4003=$A17)*(出库单!$T$4:$T$4003="正常")),出库单!$C$4:$C$4003),""))</f>
        <v/>
      </c>
      <c r="O17" s="28">
        <f>IF($A17="","",IF($L17&lt;=0,"",IF($N17="",IFERROR(账期止-LOOKUP(2,1/(入库单!$G$4:$G$2503=$A17),入库单!$C$4:$C$2503),""),账期止-$N17)))</f>
        <v/>
      </c>
      <c r="P17" s="17" t="n"/>
    </row>
    <row r="18">
      <c r="A18" s="17" t="inlineStr">
        <is>
          <t>JH0015</t>
        </is>
      </c>
      <c r="B18" s="17" t="inlineStr">
        <is>
          <t>钢材</t>
        </is>
      </c>
      <c r="C18" s="17" t="inlineStr">
        <is>
          <t>无缝管</t>
        </is>
      </c>
      <c r="D18" s="17" t="inlineStr">
        <is>
          <t>Φ89x7 12米/支</t>
        </is>
      </c>
      <c r="E18" s="17" t="inlineStr">
        <is>
          <t>米</t>
        </is>
      </c>
      <c r="F18" s="17" t="inlineStr">
        <is>
          <t>否</t>
        </is>
      </c>
      <c r="G18" s="23" t="n"/>
      <c r="H18" s="24">
        <f>IF($A18="","",IFERROR(LOOKUP(2,1/((入库单!$G$4:$G$2503=$A18)*(入库单!$Y$4:$Y$2503="正常")*(入库单!$L$4:$L$2503&gt;0)),入库单!$D$4:$D$2503),""))</f>
        <v/>
      </c>
      <c r="I18" s="25">
        <f>IF($A18="","",IFERROR(LOOKUP(2,1/((入库单!$G$4:$G$2503=$A18)*(入库单!$Y$4:$Y$2503="正常")*(入库单!$L$4:$L$2503&gt;0)),入库单!$L$4:$L$2503),0))</f>
        <v/>
      </c>
      <c r="J18" s="26">
        <f>IF($A18="","",IF($H18="A国内",ROUND($I18*倍数A*汇率,0),IF($H18="B当地",ROUND($I18*系数B,0),0)))</f>
        <v/>
      </c>
      <c r="K18" s="24">
        <f>IF($A18="","",IF(COUNTIFS(入库单!$G$4:$G$2503,$A18,入库单!$X$4:$X$2503,"待补价")&gt;0,"待补价",IF(COUNTIFS(入库单!$G$4:$G$2503,$A18,入库单!$X$4:$X$2503,"暂估")&gt;0,"暂估",IF($I18=0,"没有进价","正常"))))</f>
        <v/>
      </c>
      <c r="L18" s="27">
        <f>IF($A18="","",IFERROR(VLOOKUP($A18,库存台账!$A$5:$Y$1204,24,0),0))</f>
        <v/>
      </c>
      <c r="M18" s="26">
        <f>IF($A18="","",IFERROR(VLOOKUP($A18,库存台账!$A$5:$Y$1204,25,0),0))</f>
        <v/>
      </c>
      <c r="N18" s="19">
        <f>IF($A18="","",IFERROR(LOOKUP(2,1/((出库单!$D$4:$D$4003=$A18)*(出库单!$T$4:$T$4003="正常")),出库单!$C$4:$C$4003),""))</f>
        <v/>
      </c>
      <c r="O18" s="28">
        <f>IF($A18="","",IF($L18&lt;=0,"",IF($N18="",IFERROR(账期止-LOOKUP(2,1/(入库单!$G$4:$G$2503=$A18),入库单!$C$4:$C$2503),""),账期止-$N18)))</f>
        <v/>
      </c>
      <c r="P18" s="17" t="n"/>
    </row>
    <row r="19">
      <c r="A19" s="17" t="inlineStr">
        <is>
          <t>JH0016</t>
        </is>
      </c>
      <c r="B19" s="17" t="inlineStr">
        <is>
          <t>钢材</t>
        </is>
      </c>
      <c r="C19" s="17" t="inlineStr">
        <is>
          <t>焊管</t>
        </is>
      </c>
      <c r="D19" s="17" t="inlineStr">
        <is>
          <t>Φ159x8 12米/支</t>
        </is>
      </c>
      <c r="E19" s="17" t="inlineStr">
        <is>
          <t>米</t>
        </is>
      </c>
      <c r="F19" s="17" t="inlineStr">
        <is>
          <t>否</t>
        </is>
      </c>
      <c r="G19" s="23" t="n"/>
      <c r="H19" s="24">
        <f>IF($A19="","",IFERROR(LOOKUP(2,1/((入库单!$G$4:$G$2503=$A19)*(入库单!$Y$4:$Y$2503="正常")*(入库单!$L$4:$L$2503&gt;0)),入库单!$D$4:$D$2503),""))</f>
        <v/>
      </c>
      <c r="I19" s="25">
        <f>IF($A19="","",IFERROR(LOOKUP(2,1/((入库单!$G$4:$G$2503=$A19)*(入库单!$Y$4:$Y$2503="正常")*(入库单!$L$4:$L$2503&gt;0)),入库单!$L$4:$L$2503),0))</f>
        <v/>
      </c>
      <c r="J19" s="26">
        <f>IF($A19="","",IF($H19="A国内",ROUND($I19*倍数A*汇率,0),IF($H19="B当地",ROUND($I19*系数B,0),0)))</f>
        <v/>
      </c>
      <c r="K19" s="24">
        <f>IF($A19="","",IF(COUNTIFS(入库单!$G$4:$G$2503,$A19,入库单!$X$4:$X$2503,"待补价")&gt;0,"待补价",IF(COUNTIFS(入库单!$G$4:$G$2503,$A19,入库单!$X$4:$X$2503,"暂估")&gt;0,"暂估",IF($I19=0,"没有进价","正常"))))</f>
        <v/>
      </c>
      <c r="L19" s="27">
        <f>IF($A19="","",IFERROR(VLOOKUP($A19,库存台账!$A$5:$Y$1204,24,0),0))</f>
        <v/>
      </c>
      <c r="M19" s="26">
        <f>IF($A19="","",IFERROR(VLOOKUP($A19,库存台账!$A$5:$Y$1204,25,0),0))</f>
        <v/>
      </c>
      <c r="N19" s="19">
        <f>IF($A19="","",IFERROR(LOOKUP(2,1/((出库单!$D$4:$D$4003=$A19)*(出库单!$T$4:$T$4003="正常")),出库单!$C$4:$C$4003),""))</f>
        <v/>
      </c>
      <c r="O19" s="28">
        <f>IF($A19="","",IF($L19&lt;=0,"",IF($N19="",IFERROR(账期止-LOOKUP(2,1/(入库单!$G$4:$G$2503=$A19),入库单!$C$4:$C$2503),""),账期止-$N19)))</f>
        <v/>
      </c>
      <c r="P19" s="17" t="n"/>
    </row>
    <row r="20">
      <c r="A20" s="17" t="inlineStr">
        <is>
          <t>JH0017</t>
        </is>
      </c>
      <c r="B20" s="17" t="inlineStr">
        <is>
          <t>钢材</t>
        </is>
      </c>
      <c r="C20" s="17" t="inlineStr">
        <is>
          <t>焊管</t>
        </is>
      </c>
      <c r="D20" s="17" t="inlineStr">
        <is>
          <t>Φ180x8 12米/支</t>
        </is>
      </c>
      <c r="E20" s="17" t="inlineStr">
        <is>
          <t>米</t>
        </is>
      </c>
      <c r="F20" s="17" t="inlineStr">
        <is>
          <t>否</t>
        </is>
      </c>
      <c r="G20" s="23" t="n"/>
      <c r="H20" s="24">
        <f>IF($A20="","",IFERROR(LOOKUP(2,1/((入库单!$G$4:$G$2503=$A20)*(入库单!$Y$4:$Y$2503="正常")*(入库单!$L$4:$L$2503&gt;0)),入库单!$D$4:$D$2503),""))</f>
        <v/>
      </c>
      <c r="I20" s="25">
        <f>IF($A20="","",IFERROR(LOOKUP(2,1/((入库单!$G$4:$G$2503=$A20)*(入库单!$Y$4:$Y$2503="正常")*(入库单!$L$4:$L$2503&gt;0)),入库单!$L$4:$L$2503),0))</f>
        <v/>
      </c>
      <c r="J20" s="26">
        <f>IF($A20="","",IF($H20="A国内",ROUND($I20*倍数A*汇率,0),IF($H20="B当地",ROUND($I20*系数B,0),0)))</f>
        <v/>
      </c>
      <c r="K20" s="24">
        <f>IF($A20="","",IF(COUNTIFS(入库单!$G$4:$G$2503,$A20,入库单!$X$4:$X$2503,"待补价")&gt;0,"待补价",IF(COUNTIFS(入库单!$G$4:$G$2503,$A20,入库单!$X$4:$X$2503,"暂估")&gt;0,"暂估",IF($I20=0,"没有进价","正常"))))</f>
        <v/>
      </c>
      <c r="L20" s="27">
        <f>IF($A20="","",IFERROR(VLOOKUP($A20,库存台账!$A$5:$Y$1204,24,0),0))</f>
        <v/>
      </c>
      <c r="M20" s="26">
        <f>IF($A20="","",IFERROR(VLOOKUP($A20,库存台账!$A$5:$Y$1204,25,0),0))</f>
        <v/>
      </c>
      <c r="N20" s="19">
        <f>IF($A20="","",IFERROR(LOOKUP(2,1/((出库单!$D$4:$D$4003=$A20)*(出库单!$T$4:$T$4003="正常")),出库单!$C$4:$C$4003),""))</f>
        <v/>
      </c>
      <c r="O20" s="28">
        <f>IF($A20="","",IF($L20&lt;=0,"",IF($N20="",IFERROR(账期止-LOOKUP(2,1/(入库单!$G$4:$G$2503=$A20),入库单!$C$4:$C$2503),""),账期止-$N20)))</f>
        <v/>
      </c>
      <c r="P20" s="17" t="n"/>
    </row>
    <row r="21">
      <c r="A21" s="17" t="inlineStr">
        <is>
          <t>JH0018</t>
        </is>
      </c>
      <c r="B21" s="17" t="inlineStr">
        <is>
          <t>钢材</t>
        </is>
      </c>
      <c r="C21" s="17" t="inlineStr">
        <is>
          <t>焊管</t>
        </is>
      </c>
      <c r="D21" s="17" t="inlineStr">
        <is>
          <t>Φ219x8 6米/支</t>
        </is>
      </c>
      <c r="E21" s="17" t="inlineStr">
        <is>
          <t>米</t>
        </is>
      </c>
      <c r="F21" s="17" t="inlineStr">
        <is>
          <t>否</t>
        </is>
      </c>
      <c r="G21" s="23" t="n"/>
      <c r="H21" s="24">
        <f>IF($A21="","",IFERROR(LOOKUP(2,1/((入库单!$G$4:$G$2503=$A21)*(入库单!$Y$4:$Y$2503="正常")*(入库单!$L$4:$L$2503&gt;0)),入库单!$D$4:$D$2503),""))</f>
        <v/>
      </c>
      <c r="I21" s="25">
        <f>IF($A21="","",IFERROR(LOOKUP(2,1/((入库单!$G$4:$G$2503=$A21)*(入库单!$Y$4:$Y$2503="正常")*(入库单!$L$4:$L$2503&gt;0)),入库单!$L$4:$L$2503),0))</f>
        <v/>
      </c>
      <c r="J21" s="26">
        <f>IF($A21="","",IF($H21="A国内",ROUND($I21*倍数A*汇率,0),IF($H21="B当地",ROUND($I21*系数B,0),0)))</f>
        <v/>
      </c>
      <c r="K21" s="24">
        <f>IF($A21="","",IF(COUNTIFS(入库单!$G$4:$G$2503,$A21,入库单!$X$4:$X$2503,"待补价")&gt;0,"待补价",IF(COUNTIFS(入库单!$G$4:$G$2503,$A21,入库单!$X$4:$X$2503,"暂估")&gt;0,"暂估",IF($I21=0,"没有进价","正常"))))</f>
        <v/>
      </c>
      <c r="L21" s="27">
        <f>IF($A21="","",IFERROR(VLOOKUP($A21,库存台账!$A$5:$Y$1204,24,0),0))</f>
        <v/>
      </c>
      <c r="M21" s="26">
        <f>IF($A21="","",IFERROR(VLOOKUP($A21,库存台账!$A$5:$Y$1204,25,0),0))</f>
        <v/>
      </c>
      <c r="N21" s="19">
        <f>IF($A21="","",IFERROR(LOOKUP(2,1/((出库单!$D$4:$D$4003=$A21)*(出库单!$T$4:$T$4003="正常")),出库单!$C$4:$C$4003),""))</f>
        <v/>
      </c>
      <c r="O21" s="28">
        <f>IF($A21="","",IF($L21&lt;=0,"",IF($N21="",IFERROR(账期止-LOOKUP(2,1/(入库单!$G$4:$G$2503=$A21),入库单!$C$4:$C$2503),""),账期止-$N21)))</f>
        <v/>
      </c>
      <c r="P21" s="17" t="n"/>
    </row>
    <row r="22">
      <c r="A22" s="17" t="inlineStr">
        <is>
          <t>JH0019</t>
        </is>
      </c>
      <c r="B22" s="17" t="inlineStr">
        <is>
          <t>钢材</t>
        </is>
      </c>
      <c r="C22" s="17" t="inlineStr">
        <is>
          <t>角钢</t>
        </is>
      </c>
      <c r="D22" s="17" t="inlineStr">
        <is>
          <t>∠63#   6米/支</t>
        </is>
      </c>
      <c r="E22" s="17" t="inlineStr">
        <is>
          <t>米</t>
        </is>
      </c>
      <c r="F22" s="17" t="inlineStr">
        <is>
          <t>否</t>
        </is>
      </c>
      <c r="G22" s="23" t="n"/>
      <c r="H22" s="24">
        <f>IF($A22="","",IFERROR(LOOKUP(2,1/((入库单!$G$4:$G$2503=$A22)*(入库单!$Y$4:$Y$2503="正常")*(入库单!$L$4:$L$2503&gt;0)),入库单!$D$4:$D$2503),""))</f>
        <v/>
      </c>
      <c r="I22" s="25">
        <f>IF($A22="","",IFERROR(LOOKUP(2,1/((入库单!$G$4:$G$2503=$A22)*(入库单!$Y$4:$Y$2503="正常")*(入库单!$L$4:$L$2503&gt;0)),入库单!$L$4:$L$2503),0))</f>
        <v/>
      </c>
      <c r="J22" s="26">
        <f>IF($A22="","",IF($H22="A国内",ROUND($I22*倍数A*汇率,0),IF($H22="B当地",ROUND($I22*系数B,0),0)))</f>
        <v/>
      </c>
      <c r="K22" s="24">
        <f>IF($A22="","",IF(COUNTIFS(入库单!$G$4:$G$2503,$A22,入库单!$X$4:$X$2503,"待补价")&gt;0,"待补价",IF(COUNTIFS(入库单!$G$4:$G$2503,$A22,入库单!$X$4:$X$2503,"暂估")&gt;0,"暂估",IF($I22=0,"没有进价","正常"))))</f>
        <v/>
      </c>
      <c r="L22" s="27">
        <f>IF($A22="","",IFERROR(VLOOKUP($A22,库存台账!$A$5:$Y$1204,24,0),0))</f>
        <v/>
      </c>
      <c r="M22" s="26">
        <f>IF($A22="","",IFERROR(VLOOKUP($A22,库存台账!$A$5:$Y$1204,25,0),0))</f>
        <v/>
      </c>
      <c r="N22" s="19">
        <f>IF($A22="","",IFERROR(LOOKUP(2,1/((出库单!$D$4:$D$4003=$A22)*(出库单!$T$4:$T$4003="正常")),出库单!$C$4:$C$4003),""))</f>
        <v/>
      </c>
      <c r="O22" s="28">
        <f>IF($A22="","",IF($L22&lt;=0,"",IF($N22="",IFERROR(账期止-LOOKUP(2,1/(入库单!$G$4:$G$2503=$A22),入库单!$C$4:$C$2503),""),账期止-$N22)))</f>
        <v/>
      </c>
      <c r="P22" s="17" t="n"/>
    </row>
    <row r="23">
      <c r="A23" s="17" t="inlineStr">
        <is>
          <t>JH0020</t>
        </is>
      </c>
      <c r="B23" s="17" t="inlineStr">
        <is>
          <t>钢材</t>
        </is>
      </c>
      <c r="C23" s="17" t="inlineStr">
        <is>
          <t>扁钢</t>
        </is>
      </c>
      <c r="D23" s="17" t="inlineStr">
        <is>
          <t>100x4  6米/支</t>
        </is>
      </c>
      <c r="E23" s="17" t="inlineStr">
        <is>
          <t>米</t>
        </is>
      </c>
      <c r="F23" s="17" t="inlineStr">
        <is>
          <t>否</t>
        </is>
      </c>
      <c r="G23" s="23" t="n"/>
      <c r="H23" s="24">
        <f>IF($A23="","",IFERROR(LOOKUP(2,1/((入库单!$G$4:$G$2503=$A23)*(入库单!$Y$4:$Y$2503="正常")*(入库单!$L$4:$L$2503&gt;0)),入库单!$D$4:$D$2503),""))</f>
        <v/>
      </c>
      <c r="I23" s="25">
        <f>IF($A23="","",IFERROR(LOOKUP(2,1/((入库单!$G$4:$G$2503=$A23)*(入库单!$Y$4:$Y$2503="正常")*(入库单!$L$4:$L$2503&gt;0)),入库单!$L$4:$L$2503),0))</f>
        <v/>
      </c>
      <c r="J23" s="26">
        <f>IF($A23="","",IF($H23="A国内",ROUND($I23*倍数A*汇率,0),IF($H23="B当地",ROUND($I23*系数B,0),0)))</f>
        <v/>
      </c>
      <c r="K23" s="24">
        <f>IF($A23="","",IF(COUNTIFS(入库单!$G$4:$G$2503,$A23,入库单!$X$4:$X$2503,"待补价")&gt;0,"待补价",IF(COUNTIFS(入库单!$G$4:$G$2503,$A23,入库单!$X$4:$X$2503,"暂估")&gt;0,"暂估",IF($I23=0,"没有进价","正常"))))</f>
        <v/>
      </c>
      <c r="L23" s="27">
        <f>IF($A23="","",IFERROR(VLOOKUP($A23,库存台账!$A$5:$Y$1204,24,0),0))</f>
        <v/>
      </c>
      <c r="M23" s="26">
        <f>IF($A23="","",IFERROR(VLOOKUP($A23,库存台账!$A$5:$Y$1204,25,0),0))</f>
        <v/>
      </c>
      <c r="N23" s="19">
        <f>IF($A23="","",IFERROR(LOOKUP(2,1/((出库单!$D$4:$D$4003=$A23)*(出库单!$T$4:$T$4003="正常")),出库单!$C$4:$C$4003),""))</f>
        <v/>
      </c>
      <c r="O23" s="28">
        <f>IF($A23="","",IF($L23&lt;=0,"",IF($N23="",IFERROR(账期止-LOOKUP(2,1/(入库单!$G$4:$G$2503=$A23),入库单!$C$4:$C$2503),""),账期止-$N23)))</f>
        <v/>
      </c>
      <c r="P23" s="17" t="n"/>
    </row>
    <row r="24">
      <c r="A24" s="17" t="inlineStr">
        <is>
          <t>JH0021</t>
        </is>
      </c>
      <c r="B24" s="17" t="inlineStr">
        <is>
          <t>钢材</t>
        </is>
      </c>
      <c r="C24" s="17" t="inlineStr">
        <is>
          <t>扁钢</t>
        </is>
      </c>
      <c r="D24" s="17" t="inlineStr">
        <is>
          <t>40x3   6米/支</t>
        </is>
      </c>
      <c r="E24" s="17" t="inlineStr">
        <is>
          <t>米</t>
        </is>
      </c>
      <c r="F24" s="17" t="inlineStr">
        <is>
          <t>否</t>
        </is>
      </c>
      <c r="G24" s="23" t="n"/>
      <c r="H24" s="24">
        <f>IF($A24="","",IFERROR(LOOKUP(2,1/((入库单!$G$4:$G$2503=$A24)*(入库单!$Y$4:$Y$2503="正常")*(入库单!$L$4:$L$2503&gt;0)),入库单!$D$4:$D$2503),""))</f>
        <v/>
      </c>
      <c r="I24" s="25">
        <f>IF($A24="","",IFERROR(LOOKUP(2,1/((入库单!$G$4:$G$2503=$A24)*(入库单!$Y$4:$Y$2503="正常")*(入库单!$L$4:$L$2503&gt;0)),入库单!$L$4:$L$2503),0))</f>
        <v/>
      </c>
      <c r="J24" s="26">
        <f>IF($A24="","",IF($H24="A国内",ROUND($I24*倍数A*汇率,0),IF($H24="B当地",ROUND($I24*系数B,0),0)))</f>
        <v/>
      </c>
      <c r="K24" s="24">
        <f>IF($A24="","",IF(COUNTIFS(入库单!$G$4:$G$2503,$A24,入库单!$X$4:$X$2503,"待补价")&gt;0,"待补价",IF(COUNTIFS(入库单!$G$4:$G$2503,$A24,入库单!$X$4:$X$2503,"暂估")&gt;0,"暂估",IF($I24=0,"没有进价","正常"))))</f>
        <v/>
      </c>
      <c r="L24" s="27">
        <f>IF($A24="","",IFERROR(VLOOKUP($A24,库存台账!$A$5:$Y$1204,24,0),0))</f>
        <v/>
      </c>
      <c r="M24" s="26">
        <f>IF($A24="","",IFERROR(VLOOKUP($A24,库存台账!$A$5:$Y$1204,25,0),0))</f>
        <v/>
      </c>
      <c r="N24" s="19">
        <f>IF($A24="","",IFERROR(LOOKUP(2,1/((出库单!$D$4:$D$4003=$A24)*(出库单!$T$4:$T$4003="正常")),出库单!$C$4:$C$4003),""))</f>
        <v/>
      </c>
      <c r="O24" s="28">
        <f>IF($A24="","",IF($L24&lt;=0,"",IF($N24="",IFERROR(账期止-LOOKUP(2,1/(入库单!$G$4:$G$2503=$A24),入库单!$C$4:$C$2503),""),账期止-$N24)))</f>
        <v/>
      </c>
      <c r="P24" s="17" t="n"/>
    </row>
    <row r="25">
      <c r="A25" s="17" t="inlineStr">
        <is>
          <t>JH0022</t>
        </is>
      </c>
      <c r="B25" s="17" t="inlineStr">
        <is>
          <t>机械设备</t>
        </is>
      </c>
      <c r="C25" s="17" t="inlineStr">
        <is>
          <t>单螺旋分级机（左转）</t>
        </is>
      </c>
      <c r="D25" s="17" t="inlineStr">
        <is>
          <t>FLGφ1500×10500</t>
        </is>
      </c>
      <c r="E25" s="17" t="inlineStr">
        <is>
          <t>台</t>
        </is>
      </c>
      <c r="F25" s="17" t="inlineStr">
        <is>
          <t>否</t>
        </is>
      </c>
      <c r="G25" s="23" t="n"/>
      <c r="H25" s="24">
        <f>IF($A25="","",IFERROR(LOOKUP(2,1/((入库单!$G$4:$G$2503=$A25)*(入库单!$Y$4:$Y$2503="正常")*(入库单!$L$4:$L$2503&gt;0)),入库单!$D$4:$D$2503),""))</f>
        <v/>
      </c>
      <c r="I25" s="25">
        <f>IF($A25="","",IFERROR(LOOKUP(2,1/((入库单!$G$4:$G$2503=$A25)*(入库单!$Y$4:$Y$2503="正常")*(入库单!$L$4:$L$2503&gt;0)),入库单!$L$4:$L$2503),0))</f>
        <v/>
      </c>
      <c r="J25" s="26">
        <f>IF($A25="","",IF($H25="A国内",ROUND($I25*倍数A*汇率,0),IF($H25="B当地",ROUND($I25*系数B,0),0)))</f>
        <v/>
      </c>
      <c r="K25" s="24">
        <f>IF($A25="","",IF(COUNTIFS(入库单!$G$4:$G$2503,$A25,入库单!$X$4:$X$2503,"待补价")&gt;0,"待补价",IF(COUNTIFS(入库单!$G$4:$G$2503,$A25,入库单!$X$4:$X$2503,"暂估")&gt;0,"暂估",IF($I25=0,"没有进价","正常"))))</f>
        <v/>
      </c>
      <c r="L25" s="27">
        <f>IF($A25="","",IFERROR(VLOOKUP($A25,库存台账!$A$5:$Y$1204,24,0),0))</f>
        <v/>
      </c>
      <c r="M25" s="26">
        <f>IF($A25="","",IFERROR(VLOOKUP($A25,库存台账!$A$5:$Y$1204,25,0),0))</f>
        <v/>
      </c>
      <c r="N25" s="19">
        <f>IF($A25="","",IFERROR(LOOKUP(2,1/((出库单!$D$4:$D$4003=$A25)*(出库单!$T$4:$T$4003="正常")),出库单!$C$4:$C$4003),""))</f>
        <v/>
      </c>
      <c r="O25" s="28">
        <f>IF($A25="","",IF($L25&lt;=0,"",IF($N25="",IFERROR(账期止-LOOKUP(2,1/(入库单!$G$4:$G$2503=$A25),入库单!$C$4:$C$2503),""),账期止-$N25)))</f>
        <v/>
      </c>
      <c r="P25" s="17" t="n"/>
    </row>
    <row r="26">
      <c r="A26" s="17" t="inlineStr">
        <is>
          <t>JH0023</t>
        </is>
      </c>
      <c r="B26" s="17" t="inlineStr">
        <is>
          <t>包装材料</t>
        </is>
      </c>
      <c r="C26" s="17" t="inlineStr">
        <is>
          <t>土工膜</t>
        </is>
      </c>
      <c r="D26" s="17" t="inlineStr"/>
      <c r="E26" s="17" t="inlineStr">
        <is>
          <t>个</t>
        </is>
      </c>
      <c r="F26" s="17" t="inlineStr">
        <is>
          <t>否</t>
        </is>
      </c>
      <c r="G26" s="23" t="n"/>
      <c r="H26" s="24">
        <f>IF($A26="","",IFERROR(LOOKUP(2,1/((入库单!$G$4:$G$2503=$A26)*(入库单!$Y$4:$Y$2503="正常")*(入库单!$L$4:$L$2503&gt;0)),入库单!$D$4:$D$2503),""))</f>
        <v/>
      </c>
      <c r="I26" s="25">
        <f>IF($A26="","",IFERROR(LOOKUP(2,1/((入库单!$G$4:$G$2503=$A26)*(入库单!$Y$4:$Y$2503="正常")*(入库单!$L$4:$L$2503&gt;0)),入库单!$L$4:$L$2503),0))</f>
        <v/>
      </c>
      <c r="J26" s="26">
        <f>IF($A26="","",IF($H26="A国内",ROUND($I26*倍数A*汇率,0),IF($H26="B当地",ROUND($I26*系数B,0),0)))</f>
        <v/>
      </c>
      <c r="K26" s="24">
        <f>IF($A26="","",IF(COUNTIFS(入库单!$G$4:$G$2503,$A26,入库单!$X$4:$X$2503,"待补价")&gt;0,"待补价",IF(COUNTIFS(入库单!$G$4:$G$2503,$A26,入库单!$X$4:$X$2503,"暂估")&gt;0,"暂估",IF($I26=0,"没有进价","正常"))))</f>
        <v/>
      </c>
      <c r="L26" s="27">
        <f>IF($A26="","",IFERROR(VLOOKUP($A26,库存台账!$A$5:$Y$1204,24,0),0))</f>
        <v/>
      </c>
      <c r="M26" s="26">
        <f>IF($A26="","",IFERROR(VLOOKUP($A26,库存台账!$A$5:$Y$1204,25,0),0))</f>
        <v/>
      </c>
      <c r="N26" s="19">
        <f>IF($A26="","",IFERROR(LOOKUP(2,1/((出库单!$D$4:$D$4003=$A26)*(出库单!$T$4:$T$4003="正常")),出库单!$C$4:$C$4003),""))</f>
        <v/>
      </c>
      <c r="O26" s="28">
        <f>IF($A26="","",IF($L26&lt;=0,"",IF($N26="",IFERROR(账期止-LOOKUP(2,1/(入库单!$G$4:$G$2503=$A26),入库单!$C$4:$C$2503),""),账期止-$N26)))</f>
        <v/>
      </c>
      <c r="P26" s="17" t="n"/>
    </row>
    <row r="27">
      <c r="A27" s="17" t="inlineStr">
        <is>
          <t>JH0024</t>
        </is>
      </c>
      <c r="B27" s="17" t="inlineStr">
        <is>
          <t>电缆电气</t>
        </is>
      </c>
      <c r="C27" s="17" t="inlineStr">
        <is>
          <t>铝芯电缆</t>
        </is>
      </c>
      <c r="D27" s="17" t="inlineStr">
        <is>
          <t>3×150+1×95</t>
        </is>
      </c>
      <c r="E27" s="17" t="inlineStr">
        <is>
          <t>米</t>
        </is>
      </c>
      <c r="F27" s="17" t="inlineStr">
        <is>
          <t>否</t>
        </is>
      </c>
      <c r="G27" s="23" t="n"/>
      <c r="H27" s="24">
        <f>IF($A27="","",IFERROR(LOOKUP(2,1/((入库单!$G$4:$G$2503=$A27)*(入库单!$Y$4:$Y$2503="正常")*(入库单!$L$4:$L$2503&gt;0)),入库单!$D$4:$D$2503),""))</f>
        <v/>
      </c>
      <c r="I27" s="25">
        <f>IF($A27="","",IFERROR(LOOKUP(2,1/((入库单!$G$4:$G$2503=$A27)*(入库单!$Y$4:$Y$2503="正常")*(入库单!$L$4:$L$2503&gt;0)),入库单!$L$4:$L$2503),0))</f>
        <v/>
      </c>
      <c r="J27" s="26">
        <f>IF($A27="","",IF($H27="A国内",ROUND($I27*倍数A*汇率,0),IF($H27="B当地",ROUND($I27*系数B,0),0)))</f>
        <v/>
      </c>
      <c r="K27" s="24">
        <f>IF($A27="","",IF(COUNTIFS(入库单!$G$4:$G$2503,$A27,入库单!$X$4:$X$2503,"待补价")&gt;0,"待补价",IF(COUNTIFS(入库单!$G$4:$G$2503,$A27,入库单!$X$4:$X$2503,"暂估")&gt;0,"暂估",IF($I27=0,"没有进价","正常"))))</f>
        <v/>
      </c>
      <c r="L27" s="27">
        <f>IF($A27="","",IFERROR(VLOOKUP($A27,库存台账!$A$5:$Y$1204,24,0),0))</f>
        <v/>
      </c>
      <c r="M27" s="26">
        <f>IF($A27="","",IFERROR(VLOOKUP($A27,库存台账!$A$5:$Y$1204,25,0),0))</f>
        <v/>
      </c>
      <c r="N27" s="19">
        <f>IF($A27="","",IFERROR(LOOKUP(2,1/((出库单!$D$4:$D$4003=$A27)*(出库单!$T$4:$T$4003="正常")),出库单!$C$4:$C$4003),""))</f>
        <v/>
      </c>
      <c r="O27" s="28">
        <f>IF($A27="","",IF($L27&lt;=0,"",IF($N27="",IFERROR(账期止-LOOKUP(2,1/(入库单!$G$4:$G$2503=$A27),入库单!$C$4:$C$2503),""),账期止-$N27)))</f>
        <v/>
      </c>
      <c r="P27" s="17" t="n"/>
    </row>
    <row r="28">
      <c r="A28" s="17" t="inlineStr">
        <is>
          <t>JH0025</t>
        </is>
      </c>
      <c r="B28" s="17" t="inlineStr">
        <is>
          <t>电缆电气</t>
        </is>
      </c>
      <c r="C28" s="17" t="inlineStr">
        <is>
          <t>铝芯电缆</t>
        </is>
      </c>
      <c r="D28" s="17" t="inlineStr">
        <is>
          <t>3*240+1*120</t>
        </is>
      </c>
      <c r="E28" s="17" t="inlineStr">
        <is>
          <t>米</t>
        </is>
      </c>
      <c r="F28" s="17" t="inlineStr">
        <is>
          <t>否</t>
        </is>
      </c>
      <c r="G28" s="23" t="n"/>
      <c r="H28" s="24">
        <f>IF($A28="","",IFERROR(LOOKUP(2,1/((入库单!$G$4:$G$2503=$A28)*(入库单!$Y$4:$Y$2503="正常")*(入库单!$L$4:$L$2503&gt;0)),入库单!$D$4:$D$2503),""))</f>
        <v/>
      </c>
      <c r="I28" s="25">
        <f>IF($A28="","",IFERROR(LOOKUP(2,1/((入库单!$G$4:$G$2503=$A28)*(入库单!$Y$4:$Y$2503="正常")*(入库单!$L$4:$L$2503&gt;0)),入库单!$L$4:$L$2503),0))</f>
        <v/>
      </c>
      <c r="J28" s="26">
        <f>IF($A28="","",IF($H28="A国内",ROUND($I28*倍数A*汇率,0),IF($H28="B当地",ROUND($I28*系数B,0),0)))</f>
        <v/>
      </c>
      <c r="K28" s="24">
        <f>IF($A28="","",IF(COUNTIFS(入库单!$G$4:$G$2503,$A28,入库单!$X$4:$X$2503,"待补价")&gt;0,"待补价",IF(COUNTIFS(入库单!$G$4:$G$2503,$A28,入库单!$X$4:$X$2503,"暂估")&gt;0,"暂估",IF($I28=0,"没有进价","正常"))))</f>
        <v/>
      </c>
      <c r="L28" s="27">
        <f>IF($A28="","",IFERROR(VLOOKUP($A28,库存台账!$A$5:$Y$1204,24,0),0))</f>
        <v/>
      </c>
      <c r="M28" s="26">
        <f>IF($A28="","",IFERROR(VLOOKUP($A28,库存台账!$A$5:$Y$1204,25,0),0))</f>
        <v/>
      </c>
      <c r="N28" s="19">
        <f>IF($A28="","",IFERROR(LOOKUP(2,1/((出库单!$D$4:$D$4003=$A28)*(出库单!$T$4:$T$4003="正常")),出库单!$C$4:$C$4003),""))</f>
        <v/>
      </c>
      <c r="O28" s="28">
        <f>IF($A28="","",IF($L28&lt;=0,"",IF($N28="",IFERROR(账期止-LOOKUP(2,1/(入库单!$G$4:$G$2503=$A28),入库单!$C$4:$C$2503),""),账期止-$N28)))</f>
        <v/>
      </c>
      <c r="P28" s="17" t="n"/>
    </row>
    <row r="29">
      <c r="A29" s="17" t="inlineStr">
        <is>
          <t>JH0026</t>
        </is>
      </c>
      <c r="B29" s="17" t="inlineStr">
        <is>
          <t>电缆电气</t>
        </is>
      </c>
      <c r="C29" s="17" t="inlineStr">
        <is>
          <t>铜芯电缆</t>
        </is>
      </c>
      <c r="D29" s="17" t="inlineStr">
        <is>
          <t>3+1*25</t>
        </is>
      </c>
      <c r="E29" s="17" t="inlineStr">
        <is>
          <t>米</t>
        </is>
      </c>
      <c r="F29" s="17" t="inlineStr">
        <is>
          <t>否</t>
        </is>
      </c>
      <c r="G29" s="23" t="n"/>
      <c r="H29" s="24">
        <f>IF($A29="","",IFERROR(LOOKUP(2,1/((入库单!$G$4:$G$2503=$A29)*(入库单!$Y$4:$Y$2503="正常")*(入库单!$L$4:$L$2503&gt;0)),入库单!$D$4:$D$2503),""))</f>
        <v/>
      </c>
      <c r="I29" s="25">
        <f>IF($A29="","",IFERROR(LOOKUP(2,1/((入库单!$G$4:$G$2503=$A29)*(入库单!$Y$4:$Y$2503="正常")*(入库单!$L$4:$L$2503&gt;0)),入库单!$L$4:$L$2503),0))</f>
        <v/>
      </c>
      <c r="J29" s="26">
        <f>IF($A29="","",IF($H29="A国内",ROUND($I29*倍数A*汇率,0),IF($H29="B当地",ROUND($I29*系数B,0),0)))</f>
        <v/>
      </c>
      <c r="K29" s="24">
        <f>IF($A29="","",IF(COUNTIFS(入库单!$G$4:$G$2503,$A29,入库单!$X$4:$X$2503,"待补价")&gt;0,"待补价",IF(COUNTIFS(入库单!$G$4:$G$2503,$A29,入库单!$X$4:$X$2503,"暂估")&gt;0,"暂估",IF($I29=0,"没有进价","正常"))))</f>
        <v/>
      </c>
      <c r="L29" s="27">
        <f>IF($A29="","",IFERROR(VLOOKUP($A29,库存台账!$A$5:$Y$1204,24,0),0))</f>
        <v/>
      </c>
      <c r="M29" s="26">
        <f>IF($A29="","",IFERROR(VLOOKUP($A29,库存台账!$A$5:$Y$1204,25,0),0))</f>
        <v/>
      </c>
      <c r="N29" s="19">
        <f>IF($A29="","",IFERROR(LOOKUP(2,1/((出库单!$D$4:$D$4003=$A29)*(出库单!$T$4:$T$4003="正常")),出库单!$C$4:$C$4003),""))</f>
        <v/>
      </c>
      <c r="O29" s="28">
        <f>IF($A29="","",IF($L29&lt;=0,"",IF($N29="",IFERROR(账期止-LOOKUP(2,1/(入库单!$G$4:$G$2503=$A29),入库单!$C$4:$C$2503),""),账期止-$N29)))</f>
        <v/>
      </c>
      <c r="P29" s="17" t="n"/>
    </row>
    <row r="30">
      <c r="A30" s="17" t="inlineStr">
        <is>
          <t>JH0027</t>
        </is>
      </c>
      <c r="B30" s="17" t="inlineStr">
        <is>
          <t>电缆电气</t>
        </is>
      </c>
      <c r="C30" s="17" t="inlineStr">
        <is>
          <t>铜芯电缆</t>
        </is>
      </c>
      <c r="D30" s="17" t="inlineStr">
        <is>
          <t>3+1*16</t>
        </is>
      </c>
      <c r="E30" s="17" t="inlineStr">
        <is>
          <t>米</t>
        </is>
      </c>
      <c r="F30" s="17" t="inlineStr">
        <is>
          <t>否</t>
        </is>
      </c>
      <c r="G30" s="23" t="n"/>
      <c r="H30" s="24">
        <f>IF($A30="","",IFERROR(LOOKUP(2,1/((入库单!$G$4:$G$2503=$A30)*(入库单!$Y$4:$Y$2503="正常")*(入库单!$L$4:$L$2503&gt;0)),入库单!$D$4:$D$2503),""))</f>
        <v/>
      </c>
      <c r="I30" s="25">
        <f>IF($A30="","",IFERROR(LOOKUP(2,1/((入库单!$G$4:$G$2503=$A30)*(入库单!$Y$4:$Y$2503="正常")*(入库单!$L$4:$L$2503&gt;0)),入库单!$L$4:$L$2503),0))</f>
        <v/>
      </c>
      <c r="J30" s="26">
        <f>IF($A30="","",IF($H30="A国内",ROUND($I30*倍数A*汇率,0),IF($H30="B当地",ROUND($I30*系数B,0),0)))</f>
        <v/>
      </c>
      <c r="K30" s="24">
        <f>IF($A30="","",IF(COUNTIFS(入库单!$G$4:$G$2503,$A30,入库单!$X$4:$X$2503,"待补价")&gt;0,"待补价",IF(COUNTIFS(入库单!$G$4:$G$2503,$A30,入库单!$X$4:$X$2503,"暂估")&gt;0,"暂估",IF($I30=0,"没有进价","正常"))))</f>
        <v/>
      </c>
      <c r="L30" s="27">
        <f>IF($A30="","",IFERROR(VLOOKUP($A30,库存台账!$A$5:$Y$1204,24,0),0))</f>
        <v/>
      </c>
      <c r="M30" s="26">
        <f>IF($A30="","",IFERROR(VLOOKUP($A30,库存台账!$A$5:$Y$1204,25,0),0))</f>
        <v/>
      </c>
      <c r="N30" s="19">
        <f>IF($A30="","",IFERROR(LOOKUP(2,1/((出库单!$D$4:$D$4003=$A30)*(出库单!$T$4:$T$4003="正常")),出库单!$C$4:$C$4003),""))</f>
        <v/>
      </c>
      <c r="O30" s="28">
        <f>IF($A30="","",IF($L30&lt;=0,"",IF($N30="",IFERROR(账期止-LOOKUP(2,1/(入库单!$G$4:$G$2503=$A30),入库单!$C$4:$C$2503),""),账期止-$N30)))</f>
        <v/>
      </c>
      <c r="P30" s="17" t="n"/>
    </row>
    <row r="31">
      <c r="A31" s="17" t="inlineStr">
        <is>
          <t>JH0028</t>
        </is>
      </c>
      <c r="B31" s="17" t="inlineStr">
        <is>
          <t>电缆电气</t>
        </is>
      </c>
      <c r="C31" s="17" t="inlineStr">
        <is>
          <t>铜芯电缆</t>
        </is>
      </c>
      <c r="D31" s="17" t="inlineStr">
        <is>
          <t>4*6</t>
        </is>
      </c>
      <c r="E31" s="17" t="inlineStr">
        <is>
          <t>100米</t>
        </is>
      </c>
      <c r="F31" s="17" t="inlineStr">
        <is>
          <t>否</t>
        </is>
      </c>
      <c r="G31" s="23" t="n"/>
      <c r="H31" s="24">
        <f>IF($A31="","",IFERROR(LOOKUP(2,1/((入库单!$G$4:$G$2503=$A31)*(入库单!$Y$4:$Y$2503="正常")*(入库单!$L$4:$L$2503&gt;0)),入库单!$D$4:$D$2503),""))</f>
        <v/>
      </c>
      <c r="I31" s="25">
        <f>IF($A31="","",IFERROR(LOOKUP(2,1/((入库单!$G$4:$G$2503=$A31)*(入库单!$Y$4:$Y$2503="正常")*(入库单!$L$4:$L$2503&gt;0)),入库单!$L$4:$L$2503),0))</f>
        <v/>
      </c>
      <c r="J31" s="26">
        <f>IF($A31="","",IF($H31="A国内",ROUND($I31*倍数A*汇率,0),IF($H31="B当地",ROUND($I31*系数B,0),0)))</f>
        <v/>
      </c>
      <c r="K31" s="24">
        <f>IF($A31="","",IF(COUNTIFS(入库单!$G$4:$G$2503,$A31,入库单!$X$4:$X$2503,"待补价")&gt;0,"待补价",IF(COUNTIFS(入库单!$G$4:$G$2503,$A31,入库单!$X$4:$X$2503,"暂估")&gt;0,"暂估",IF($I31=0,"没有进价","正常"))))</f>
        <v/>
      </c>
      <c r="L31" s="27">
        <f>IF($A31="","",IFERROR(VLOOKUP($A31,库存台账!$A$5:$Y$1204,24,0),0))</f>
        <v/>
      </c>
      <c r="M31" s="26">
        <f>IF($A31="","",IFERROR(VLOOKUP($A31,库存台账!$A$5:$Y$1204,25,0),0))</f>
        <v/>
      </c>
      <c r="N31" s="19">
        <f>IF($A31="","",IFERROR(LOOKUP(2,1/((出库单!$D$4:$D$4003=$A31)*(出库单!$T$4:$T$4003="正常")),出库单!$C$4:$C$4003),""))</f>
        <v/>
      </c>
      <c r="O31" s="28">
        <f>IF($A31="","",IF($L31&lt;=0,"",IF($N31="",IFERROR(账期止-LOOKUP(2,1/(入库单!$G$4:$G$2503=$A31),入库单!$C$4:$C$2503),""),账期止-$N31)))</f>
        <v/>
      </c>
      <c r="P31" s="17" t="n"/>
    </row>
    <row r="32">
      <c r="A32" s="17" t="inlineStr">
        <is>
          <t>JH0029</t>
        </is>
      </c>
      <c r="B32" s="17" t="inlineStr">
        <is>
          <t>电缆电气</t>
        </is>
      </c>
      <c r="C32" s="17" t="inlineStr">
        <is>
          <t>铜芯电缆</t>
        </is>
      </c>
      <c r="D32" s="17" t="inlineStr">
        <is>
          <t>3*4</t>
        </is>
      </c>
      <c r="E32" s="17" t="inlineStr">
        <is>
          <t>100米</t>
        </is>
      </c>
      <c r="F32" s="17" t="inlineStr">
        <is>
          <t>否</t>
        </is>
      </c>
      <c r="G32" s="23" t="n"/>
      <c r="H32" s="24">
        <f>IF($A32="","",IFERROR(LOOKUP(2,1/((入库单!$G$4:$G$2503=$A32)*(入库单!$Y$4:$Y$2503="正常")*(入库单!$L$4:$L$2503&gt;0)),入库单!$D$4:$D$2503),""))</f>
        <v/>
      </c>
      <c r="I32" s="25">
        <f>IF($A32="","",IFERROR(LOOKUP(2,1/((入库单!$G$4:$G$2503=$A32)*(入库单!$Y$4:$Y$2503="正常")*(入库单!$L$4:$L$2503&gt;0)),入库单!$L$4:$L$2503),0))</f>
        <v/>
      </c>
      <c r="J32" s="26">
        <f>IF($A32="","",IF($H32="A国内",ROUND($I32*倍数A*汇率,0),IF($H32="B当地",ROUND($I32*系数B,0),0)))</f>
        <v/>
      </c>
      <c r="K32" s="24">
        <f>IF($A32="","",IF(COUNTIFS(入库单!$G$4:$G$2503,$A32,入库单!$X$4:$X$2503,"待补价")&gt;0,"待补价",IF(COUNTIFS(入库单!$G$4:$G$2503,$A32,入库单!$X$4:$X$2503,"暂估")&gt;0,"暂估",IF($I32=0,"没有进价","正常"))))</f>
        <v/>
      </c>
      <c r="L32" s="27">
        <f>IF($A32="","",IFERROR(VLOOKUP($A32,库存台账!$A$5:$Y$1204,24,0),0))</f>
        <v/>
      </c>
      <c r="M32" s="26">
        <f>IF($A32="","",IFERROR(VLOOKUP($A32,库存台账!$A$5:$Y$1204,25,0),0))</f>
        <v/>
      </c>
      <c r="N32" s="19">
        <f>IF($A32="","",IFERROR(LOOKUP(2,1/((出库单!$D$4:$D$4003=$A32)*(出库单!$T$4:$T$4003="正常")),出库单!$C$4:$C$4003),""))</f>
        <v/>
      </c>
      <c r="O32" s="28">
        <f>IF($A32="","",IF($L32&lt;=0,"",IF($N32="",IFERROR(账期止-LOOKUP(2,1/(入库单!$G$4:$G$2503=$A32),入库单!$C$4:$C$2503),""),账期止-$N32)))</f>
        <v/>
      </c>
      <c r="P32" s="17" t="n"/>
    </row>
    <row r="33">
      <c r="A33" s="17" t="inlineStr">
        <is>
          <t>JH0030</t>
        </is>
      </c>
      <c r="B33" s="17" t="inlineStr">
        <is>
          <t>电缆电气</t>
        </is>
      </c>
      <c r="C33" s="17" t="inlineStr">
        <is>
          <t>铜芯电缆</t>
        </is>
      </c>
      <c r="D33" s="17" t="inlineStr">
        <is>
          <t>3*2.5</t>
        </is>
      </c>
      <c r="E33" s="17" t="inlineStr">
        <is>
          <t>100米</t>
        </is>
      </c>
      <c r="F33" s="17" t="inlineStr">
        <is>
          <t>否</t>
        </is>
      </c>
      <c r="G33" s="23" t="n"/>
      <c r="H33" s="24">
        <f>IF($A33="","",IFERROR(LOOKUP(2,1/((入库单!$G$4:$G$2503=$A33)*(入库单!$Y$4:$Y$2503="正常")*(入库单!$L$4:$L$2503&gt;0)),入库单!$D$4:$D$2503),""))</f>
        <v/>
      </c>
      <c r="I33" s="25">
        <f>IF($A33="","",IFERROR(LOOKUP(2,1/((入库单!$G$4:$G$2503=$A33)*(入库单!$Y$4:$Y$2503="正常")*(入库单!$L$4:$L$2503&gt;0)),入库单!$L$4:$L$2503),0))</f>
        <v/>
      </c>
      <c r="J33" s="26">
        <f>IF($A33="","",IF($H33="A国内",ROUND($I33*倍数A*汇率,0),IF($H33="B当地",ROUND($I33*系数B,0),0)))</f>
        <v/>
      </c>
      <c r="K33" s="24">
        <f>IF($A33="","",IF(COUNTIFS(入库单!$G$4:$G$2503,$A33,入库单!$X$4:$X$2503,"待补价")&gt;0,"待补价",IF(COUNTIFS(入库单!$G$4:$G$2503,$A33,入库单!$X$4:$X$2503,"暂估")&gt;0,"暂估",IF($I33=0,"没有进价","正常"))))</f>
        <v/>
      </c>
      <c r="L33" s="27">
        <f>IF($A33="","",IFERROR(VLOOKUP($A33,库存台账!$A$5:$Y$1204,24,0),0))</f>
        <v/>
      </c>
      <c r="M33" s="26">
        <f>IF($A33="","",IFERROR(VLOOKUP($A33,库存台账!$A$5:$Y$1204,25,0),0))</f>
        <v/>
      </c>
      <c r="N33" s="19">
        <f>IF($A33="","",IFERROR(LOOKUP(2,1/((出库单!$D$4:$D$4003=$A33)*(出库单!$T$4:$T$4003="正常")),出库单!$C$4:$C$4003),""))</f>
        <v/>
      </c>
      <c r="O33" s="28">
        <f>IF($A33="","",IF($L33&lt;=0,"",IF($N33="",IFERROR(账期止-LOOKUP(2,1/(入库单!$G$4:$G$2503=$A33),入库单!$C$4:$C$2503),""),账期止-$N33)))</f>
        <v/>
      </c>
      <c r="P33" s="17" t="n"/>
    </row>
    <row r="34">
      <c r="A34" s="17" t="inlineStr">
        <is>
          <t>JH0031</t>
        </is>
      </c>
      <c r="B34" s="17" t="inlineStr">
        <is>
          <t>电缆电气</t>
        </is>
      </c>
      <c r="C34" s="17" t="inlineStr">
        <is>
          <t>铜芯电缆</t>
        </is>
      </c>
      <c r="D34" s="17" t="inlineStr">
        <is>
          <t>2*2.5</t>
        </is>
      </c>
      <c r="E34" s="17" t="inlineStr">
        <is>
          <t>100米</t>
        </is>
      </c>
      <c r="F34" s="17" t="inlineStr">
        <is>
          <t>否</t>
        </is>
      </c>
      <c r="G34" s="23" t="n"/>
      <c r="H34" s="24">
        <f>IF($A34="","",IFERROR(LOOKUP(2,1/((入库单!$G$4:$G$2503=$A34)*(入库单!$Y$4:$Y$2503="正常")*(入库单!$L$4:$L$2503&gt;0)),入库单!$D$4:$D$2503),""))</f>
        <v/>
      </c>
      <c r="I34" s="25">
        <f>IF($A34="","",IFERROR(LOOKUP(2,1/((入库单!$G$4:$G$2503=$A34)*(入库单!$Y$4:$Y$2503="正常")*(入库单!$L$4:$L$2503&gt;0)),入库单!$L$4:$L$2503),0))</f>
        <v/>
      </c>
      <c r="J34" s="26">
        <f>IF($A34="","",IF($H34="A国内",ROUND($I34*倍数A*汇率,0),IF($H34="B当地",ROUND($I34*系数B,0),0)))</f>
        <v/>
      </c>
      <c r="K34" s="24">
        <f>IF($A34="","",IF(COUNTIFS(入库单!$G$4:$G$2503,$A34,入库单!$X$4:$X$2503,"待补价")&gt;0,"待补价",IF(COUNTIFS(入库单!$G$4:$G$2503,$A34,入库单!$X$4:$X$2503,"暂估")&gt;0,"暂估",IF($I34=0,"没有进价","正常"))))</f>
        <v/>
      </c>
      <c r="L34" s="27">
        <f>IF($A34="","",IFERROR(VLOOKUP($A34,库存台账!$A$5:$Y$1204,24,0),0))</f>
        <v/>
      </c>
      <c r="M34" s="26">
        <f>IF($A34="","",IFERROR(VLOOKUP($A34,库存台账!$A$5:$Y$1204,25,0),0))</f>
        <v/>
      </c>
      <c r="N34" s="19">
        <f>IF($A34="","",IFERROR(LOOKUP(2,1/((出库单!$D$4:$D$4003=$A34)*(出库单!$T$4:$T$4003="正常")),出库单!$C$4:$C$4003),""))</f>
        <v/>
      </c>
      <c r="O34" s="28">
        <f>IF($A34="","",IF($L34&lt;=0,"",IF($N34="",IFERROR(账期止-LOOKUP(2,1/(入库单!$G$4:$G$2503=$A34),入库单!$C$4:$C$2503),""),账期止-$N34)))</f>
        <v/>
      </c>
      <c r="P34" s="17" t="n"/>
    </row>
    <row r="35">
      <c r="A35" s="17" t="inlineStr">
        <is>
          <t>JH0032</t>
        </is>
      </c>
      <c r="B35" s="17" t="inlineStr">
        <is>
          <t>电缆电气</t>
        </is>
      </c>
      <c r="C35" s="17" t="inlineStr">
        <is>
          <t>铜芯电缆</t>
        </is>
      </c>
      <c r="D35" s="17" t="inlineStr">
        <is>
          <t>1*50</t>
        </is>
      </c>
      <c r="E35" s="17" t="inlineStr">
        <is>
          <t>100米</t>
        </is>
      </c>
      <c r="F35" s="17" t="inlineStr">
        <is>
          <t>否</t>
        </is>
      </c>
      <c r="G35" s="23" t="n"/>
      <c r="H35" s="24">
        <f>IF($A35="","",IFERROR(LOOKUP(2,1/((入库单!$G$4:$G$2503=$A35)*(入库单!$Y$4:$Y$2503="正常")*(入库单!$L$4:$L$2503&gt;0)),入库单!$D$4:$D$2503),""))</f>
        <v/>
      </c>
      <c r="I35" s="25">
        <f>IF($A35="","",IFERROR(LOOKUP(2,1/((入库单!$G$4:$G$2503=$A35)*(入库单!$Y$4:$Y$2503="正常")*(入库单!$L$4:$L$2503&gt;0)),入库单!$L$4:$L$2503),0))</f>
        <v/>
      </c>
      <c r="J35" s="26">
        <f>IF($A35="","",IF($H35="A国内",ROUND($I35*倍数A*汇率,0),IF($H35="B当地",ROUND($I35*系数B,0),0)))</f>
        <v/>
      </c>
      <c r="K35" s="24">
        <f>IF($A35="","",IF(COUNTIFS(入库单!$G$4:$G$2503,$A35,入库单!$X$4:$X$2503,"待补价")&gt;0,"待补价",IF(COUNTIFS(入库单!$G$4:$G$2503,$A35,入库单!$X$4:$X$2503,"暂估")&gt;0,"暂估",IF($I35=0,"没有进价","正常"))))</f>
        <v/>
      </c>
      <c r="L35" s="27">
        <f>IF($A35="","",IFERROR(VLOOKUP($A35,库存台账!$A$5:$Y$1204,24,0),0))</f>
        <v/>
      </c>
      <c r="M35" s="26">
        <f>IF($A35="","",IFERROR(VLOOKUP($A35,库存台账!$A$5:$Y$1204,25,0),0))</f>
        <v/>
      </c>
      <c r="N35" s="19">
        <f>IF($A35="","",IFERROR(LOOKUP(2,1/((出库单!$D$4:$D$4003=$A35)*(出库单!$T$4:$T$4003="正常")),出库单!$C$4:$C$4003),""))</f>
        <v/>
      </c>
      <c r="O35" s="28">
        <f>IF($A35="","",IF($L35&lt;=0,"",IF($N35="",IFERROR(账期止-LOOKUP(2,1/(入库单!$G$4:$G$2503=$A35),入库单!$C$4:$C$2503),""),账期止-$N35)))</f>
        <v/>
      </c>
      <c r="P35" s="17" t="n"/>
    </row>
    <row r="36">
      <c r="A36" s="17" t="inlineStr">
        <is>
          <t>JH0033</t>
        </is>
      </c>
      <c r="B36" s="17" t="inlineStr">
        <is>
          <t>机械设备</t>
        </is>
      </c>
      <c r="C36" s="17" t="inlineStr">
        <is>
          <t>矿用隔爆型压入式轴流局部通风机</t>
        </is>
      </c>
      <c r="D36" s="17" t="inlineStr">
        <is>
          <t>江西萍乡江南  FBYN05.0/11功率11KW</t>
        </is>
      </c>
      <c r="E36" s="17" t="inlineStr">
        <is>
          <t>台</t>
        </is>
      </c>
      <c r="F36" s="17" t="inlineStr">
        <is>
          <t>否</t>
        </is>
      </c>
      <c r="G36" s="23" t="n"/>
      <c r="H36" s="24">
        <f>IF($A36="","",IFERROR(LOOKUP(2,1/((入库单!$G$4:$G$2503=$A36)*(入库单!$Y$4:$Y$2503="正常")*(入库单!$L$4:$L$2503&gt;0)),入库单!$D$4:$D$2503),""))</f>
        <v/>
      </c>
      <c r="I36" s="25">
        <f>IF($A36="","",IFERROR(LOOKUP(2,1/((入库单!$G$4:$G$2503=$A36)*(入库单!$Y$4:$Y$2503="正常")*(入库单!$L$4:$L$2503&gt;0)),入库单!$L$4:$L$2503),0))</f>
        <v/>
      </c>
      <c r="J36" s="26">
        <f>IF($A36="","",IF($H36="A国内",ROUND($I36*倍数A*汇率,0),IF($H36="B当地",ROUND($I36*系数B,0),0)))</f>
        <v/>
      </c>
      <c r="K36" s="24">
        <f>IF($A36="","",IF(COUNTIFS(入库单!$G$4:$G$2503,$A36,入库单!$X$4:$X$2503,"待补价")&gt;0,"待补价",IF(COUNTIFS(入库单!$G$4:$G$2503,$A36,入库单!$X$4:$X$2503,"暂估")&gt;0,"暂估",IF($I36=0,"没有进价","正常"))))</f>
        <v/>
      </c>
      <c r="L36" s="27">
        <f>IF($A36="","",IFERROR(VLOOKUP($A36,库存台账!$A$5:$Y$1204,24,0),0))</f>
        <v/>
      </c>
      <c r="M36" s="26">
        <f>IF($A36="","",IFERROR(VLOOKUP($A36,库存台账!$A$5:$Y$1204,25,0),0))</f>
        <v/>
      </c>
      <c r="N36" s="19">
        <f>IF($A36="","",IFERROR(LOOKUP(2,1/((出库单!$D$4:$D$4003=$A36)*(出库单!$T$4:$T$4003="正常")),出库单!$C$4:$C$4003),""))</f>
        <v/>
      </c>
      <c r="O36" s="28">
        <f>IF($A36="","",IF($L36&lt;=0,"",IF($N36="",IFERROR(账期止-LOOKUP(2,1/(入库单!$G$4:$G$2503=$A36),入库单!$C$4:$C$2503),""),账期止-$N36)))</f>
        <v/>
      </c>
      <c r="P36" s="17" t="n"/>
    </row>
    <row r="37">
      <c r="A37" s="17" t="inlineStr">
        <is>
          <t>JH0034</t>
        </is>
      </c>
      <c r="B37" s="17" t="inlineStr">
        <is>
          <t>机械设备</t>
        </is>
      </c>
      <c r="C37" s="17" t="inlineStr">
        <is>
          <t>轴流式通风机</t>
        </is>
      </c>
      <c r="D37" s="17" t="inlineStr">
        <is>
          <t>萍乡江南  FBCZ10/22KW-4</t>
        </is>
      </c>
      <c r="E37" s="17" t="inlineStr">
        <is>
          <t>台</t>
        </is>
      </c>
      <c r="F37" s="17" t="inlineStr">
        <is>
          <t>否</t>
        </is>
      </c>
      <c r="G37" s="23" t="n"/>
      <c r="H37" s="24">
        <f>IF($A37="","",IFERROR(LOOKUP(2,1/((入库单!$G$4:$G$2503=$A37)*(入库单!$Y$4:$Y$2503="正常")*(入库单!$L$4:$L$2503&gt;0)),入库单!$D$4:$D$2503),""))</f>
        <v/>
      </c>
      <c r="I37" s="25">
        <f>IF($A37="","",IFERROR(LOOKUP(2,1/((入库单!$G$4:$G$2503=$A37)*(入库单!$Y$4:$Y$2503="正常")*(入库单!$L$4:$L$2503&gt;0)),入库单!$L$4:$L$2503),0))</f>
        <v/>
      </c>
      <c r="J37" s="26">
        <f>IF($A37="","",IF($H37="A国内",ROUND($I37*倍数A*汇率,0),IF($H37="B当地",ROUND($I37*系数B,0),0)))</f>
        <v/>
      </c>
      <c r="K37" s="24">
        <f>IF($A37="","",IF(COUNTIFS(入库单!$G$4:$G$2503,$A37,入库单!$X$4:$X$2503,"待补价")&gt;0,"待补价",IF(COUNTIFS(入库单!$G$4:$G$2503,$A37,入库单!$X$4:$X$2503,"暂估")&gt;0,"暂估",IF($I37=0,"没有进价","正常"))))</f>
        <v/>
      </c>
      <c r="L37" s="27">
        <f>IF($A37="","",IFERROR(VLOOKUP($A37,库存台账!$A$5:$Y$1204,24,0),0))</f>
        <v/>
      </c>
      <c r="M37" s="26">
        <f>IF($A37="","",IFERROR(VLOOKUP($A37,库存台账!$A$5:$Y$1204,25,0),0))</f>
        <v/>
      </c>
      <c r="N37" s="19">
        <f>IF($A37="","",IFERROR(LOOKUP(2,1/((出库单!$D$4:$D$4003=$A37)*(出库单!$T$4:$T$4003="正常")),出库单!$C$4:$C$4003),""))</f>
        <v/>
      </c>
      <c r="O37" s="28">
        <f>IF($A37="","",IF($L37&lt;=0,"",IF($N37="",IFERROR(账期止-LOOKUP(2,1/(入库单!$G$4:$G$2503=$A37),入库单!$C$4:$C$2503),""),账期止-$N37)))</f>
        <v/>
      </c>
      <c r="P37" s="17" t="n"/>
    </row>
    <row r="38">
      <c r="A38" s="17" t="inlineStr">
        <is>
          <t>JH0035</t>
        </is>
      </c>
      <c r="B38" s="17" t="inlineStr">
        <is>
          <t>电缆电气</t>
        </is>
      </c>
      <c r="C38" s="17" t="inlineStr">
        <is>
          <t>轴流式通风机配电柜</t>
        </is>
      </c>
      <c r="D38" s="17" t="inlineStr">
        <is>
          <t>德力西  22KW</t>
        </is>
      </c>
      <c r="E38" s="17" t="inlineStr">
        <is>
          <t>台</t>
        </is>
      </c>
      <c r="F38" s="17" t="inlineStr">
        <is>
          <t>否</t>
        </is>
      </c>
      <c r="G38" s="23" t="n"/>
      <c r="H38" s="24">
        <f>IF($A38="","",IFERROR(LOOKUP(2,1/((入库单!$G$4:$G$2503=$A38)*(入库单!$Y$4:$Y$2503="正常")*(入库单!$L$4:$L$2503&gt;0)),入库单!$D$4:$D$2503),""))</f>
        <v/>
      </c>
      <c r="I38" s="25">
        <f>IF($A38="","",IFERROR(LOOKUP(2,1/((入库单!$G$4:$G$2503=$A38)*(入库单!$Y$4:$Y$2503="正常")*(入库单!$L$4:$L$2503&gt;0)),入库单!$L$4:$L$2503),0))</f>
        <v/>
      </c>
      <c r="J38" s="26">
        <f>IF($A38="","",IF($H38="A国内",ROUND($I38*倍数A*汇率,0),IF($H38="B当地",ROUND($I38*系数B,0),0)))</f>
        <v/>
      </c>
      <c r="K38" s="24">
        <f>IF($A38="","",IF(COUNTIFS(入库单!$G$4:$G$2503,$A38,入库单!$X$4:$X$2503,"待补价")&gt;0,"待补价",IF(COUNTIFS(入库单!$G$4:$G$2503,$A38,入库单!$X$4:$X$2503,"暂估")&gt;0,"暂估",IF($I38=0,"没有进价","正常"))))</f>
        <v/>
      </c>
      <c r="L38" s="27">
        <f>IF($A38="","",IFERROR(VLOOKUP($A38,库存台账!$A$5:$Y$1204,24,0),0))</f>
        <v/>
      </c>
      <c r="M38" s="26">
        <f>IF($A38="","",IFERROR(VLOOKUP($A38,库存台账!$A$5:$Y$1204,25,0),0))</f>
        <v/>
      </c>
      <c r="N38" s="19">
        <f>IF($A38="","",IFERROR(LOOKUP(2,1/((出库单!$D$4:$D$4003=$A38)*(出库单!$T$4:$T$4003="正常")),出库单!$C$4:$C$4003),""))</f>
        <v/>
      </c>
      <c r="O38" s="28">
        <f>IF($A38="","",IF($L38&lt;=0,"",IF($N38="",IFERROR(账期止-LOOKUP(2,1/(入库单!$G$4:$G$2503=$A38),入库单!$C$4:$C$2503),""),账期止-$N38)))</f>
        <v/>
      </c>
      <c r="P38" s="17" t="n"/>
    </row>
    <row r="39">
      <c r="A39" s="17" t="inlineStr">
        <is>
          <t>JH0036</t>
        </is>
      </c>
      <c r="B39" s="17" t="inlineStr">
        <is>
          <t>其他</t>
        </is>
      </c>
      <c r="C39" s="17" t="inlineStr">
        <is>
          <t>螺杆式空气压缩机</t>
        </is>
      </c>
      <c r="D39" s="17" t="inlineStr">
        <is>
          <t>浙江开山-BK75-8G</t>
        </is>
      </c>
      <c r="E39" s="17" t="inlineStr">
        <is>
          <t>台</t>
        </is>
      </c>
      <c r="F39" s="17" t="inlineStr">
        <is>
          <t>否</t>
        </is>
      </c>
      <c r="G39" s="23" t="n"/>
      <c r="H39" s="24">
        <f>IF($A39="","",IFERROR(LOOKUP(2,1/((入库单!$G$4:$G$2503=$A39)*(入库单!$Y$4:$Y$2503="正常")*(入库单!$L$4:$L$2503&gt;0)),入库单!$D$4:$D$2503),""))</f>
        <v/>
      </c>
      <c r="I39" s="25">
        <f>IF($A39="","",IFERROR(LOOKUP(2,1/((入库单!$G$4:$G$2503=$A39)*(入库单!$Y$4:$Y$2503="正常")*(入库单!$L$4:$L$2503&gt;0)),入库单!$L$4:$L$2503),0))</f>
        <v/>
      </c>
      <c r="J39" s="26">
        <f>IF($A39="","",IF($H39="A国内",ROUND($I39*倍数A*汇率,0),IF($H39="B当地",ROUND($I39*系数B,0),0)))</f>
        <v/>
      </c>
      <c r="K39" s="24">
        <f>IF($A39="","",IF(COUNTIFS(入库单!$G$4:$G$2503,$A39,入库单!$X$4:$X$2503,"待补价")&gt;0,"待补价",IF(COUNTIFS(入库单!$G$4:$G$2503,$A39,入库单!$X$4:$X$2503,"暂估")&gt;0,"暂估",IF($I39=0,"没有进价","正常"))))</f>
        <v/>
      </c>
      <c r="L39" s="27">
        <f>IF($A39="","",IFERROR(VLOOKUP($A39,库存台账!$A$5:$Y$1204,24,0),0))</f>
        <v/>
      </c>
      <c r="M39" s="26">
        <f>IF($A39="","",IFERROR(VLOOKUP($A39,库存台账!$A$5:$Y$1204,25,0),0))</f>
        <v/>
      </c>
      <c r="N39" s="19">
        <f>IF($A39="","",IFERROR(LOOKUP(2,1/((出库单!$D$4:$D$4003=$A39)*(出库单!$T$4:$T$4003="正常")),出库单!$C$4:$C$4003),""))</f>
        <v/>
      </c>
      <c r="O39" s="28">
        <f>IF($A39="","",IF($L39&lt;=0,"",IF($N39="",IFERROR(账期止-LOOKUP(2,1/(入库单!$G$4:$G$2503=$A39),入库单!$C$4:$C$2503),""),账期止-$N39)))</f>
        <v/>
      </c>
      <c r="P39" s="17" t="n"/>
    </row>
    <row r="40">
      <c r="A40" s="17" t="inlineStr">
        <is>
          <t>JH0037</t>
        </is>
      </c>
      <c r="B40" s="17" t="inlineStr">
        <is>
          <t>机械设备</t>
        </is>
      </c>
      <c r="C40" s="17" t="inlineStr">
        <is>
          <t>空压机储气罐</t>
        </is>
      </c>
      <c r="D40" s="17" t="inlineStr">
        <is>
          <t>浙江开山-C2.0/0.8</t>
        </is>
      </c>
      <c r="E40" s="17" t="inlineStr">
        <is>
          <t>个</t>
        </is>
      </c>
      <c r="F40" s="17" t="inlineStr">
        <is>
          <t>否</t>
        </is>
      </c>
      <c r="G40" s="23" t="n"/>
      <c r="H40" s="24">
        <f>IF($A40="","",IFERROR(LOOKUP(2,1/((入库单!$G$4:$G$2503=$A40)*(入库单!$Y$4:$Y$2503="正常")*(入库单!$L$4:$L$2503&gt;0)),入库单!$D$4:$D$2503),""))</f>
        <v/>
      </c>
      <c r="I40" s="25">
        <f>IF($A40="","",IFERROR(LOOKUP(2,1/((入库单!$G$4:$G$2503=$A40)*(入库单!$Y$4:$Y$2503="正常")*(入库单!$L$4:$L$2503&gt;0)),入库单!$L$4:$L$2503),0))</f>
        <v/>
      </c>
      <c r="J40" s="26">
        <f>IF($A40="","",IF($H40="A国内",ROUND($I40*倍数A*汇率,0),IF($H40="B当地",ROUND($I40*系数B,0),0)))</f>
        <v/>
      </c>
      <c r="K40" s="24">
        <f>IF($A40="","",IF(COUNTIFS(入库单!$G$4:$G$2503,$A40,入库单!$X$4:$X$2503,"待补价")&gt;0,"待补价",IF(COUNTIFS(入库单!$G$4:$G$2503,$A40,入库单!$X$4:$X$2503,"暂估")&gt;0,"暂估",IF($I40=0,"没有进价","正常"))))</f>
        <v/>
      </c>
      <c r="L40" s="27">
        <f>IF($A40="","",IFERROR(VLOOKUP($A40,库存台账!$A$5:$Y$1204,24,0),0))</f>
        <v/>
      </c>
      <c r="M40" s="26">
        <f>IF($A40="","",IFERROR(VLOOKUP($A40,库存台账!$A$5:$Y$1204,25,0),0))</f>
        <v/>
      </c>
      <c r="N40" s="19">
        <f>IF($A40="","",IFERROR(LOOKUP(2,1/((出库单!$D$4:$D$4003=$A40)*(出库单!$T$4:$T$4003="正常")),出库单!$C$4:$C$4003),""))</f>
        <v/>
      </c>
      <c r="O40" s="28">
        <f>IF($A40="","",IF($L40&lt;=0,"",IF($N40="",IFERROR(账期止-LOOKUP(2,1/(入库单!$G$4:$G$2503=$A40),入库单!$C$4:$C$2503),""),账期止-$N40)))</f>
        <v/>
      </c>
      <c r="P40" s="17" t="n"/>
    </row>
    <row r="41">
      <c r="A41" s="17" t="inlineStr">
        <is>
          <t>JH0038</t>
        </is>
      </c>
      <c r="B41" s="17" t="inlineStr">
        <is>
          <t>其他</t>
        </is>
      </c>
      <c r="C41" s="17" t="inlineStr">
        <is>
          <t>和面机</t>
        </is>
      </c>
      <c r="D41" s="17" t="inlineStr"/>
      <c r="E41" s="17" t="inlineStr">
        <is>
          <t>台</t>
        </is>
      </c>
      <c r="F41" s="17" t="inlineStr">
        <is>
          <t>否</t>
        </is>
      </c>
      <c r="G41" s="23" t="n"/>
      <c r="H41" s="24">
        <f>IF($A41="","",IFERROR(LOOKUP(2,1/((入库单!$G$4:$G$2503=$A41)*(入库单!$Y$4:$Y$2503="正常")*(入库单!$L$4:$L$2503&gt;0)),入库单!$D$4:$D$2503),""))</f>
        <v/>
      </c>
      <c r="I41" s="25">
        <f>IF($A41="","",IFERROR(LOOKUP(2,1/((入库单!$G$4:$G$2503=$A41)*(入库单!$Y$4:$Y$2503="正常")*(入库单!$L$4:$L$2503&gt;0)),入库单!$L$4:$L$2503),0))</f>
        <v/>
      </c>
      <c r="J41" s="26">
        <f>IF($A41="","",IF($H41="A国内",ROUND($I41*倍数A*汇率,0),IF($H41="B当地",ROUND($I41*系数B,0),0)))</f>
        <v/>
      </c>
      <c r="K41" s="24">
        <f>IF($A41="","",IF(COUNTIFS(入库单!$G$4:$G$2503,$A41,入库单!$X$4:$X$2503,"待补价")&gt;0,"待补价",IF(COUNTIFS(入库单!$G$4:$G$2503,$A41,入库单!$X$4:$X$2503,"暂估")&gt;0,"暂估",IF($I41=0,"没有进价","正常"))))</f>
        <v/>
      </c>
      <c r="L41" s="27">
        <f>IF($A41="","",IFERROR(VLOOKUP($A41,库存台账!$A$5:$Y$1204,24,0),0))</f>
        <v/>
      </c>
      <c r="M41" s="26">
        <f>IF($A41="","",IFERROR(VLOOKUP($A41,库存台账!$A$5:$Y$1204,25,0),0))</f>
        <v/>
      </c>
      <c r="N41" s="19">
        <f>IF($A41="","",IFERROR(LOOKUP(2,1/((出库单!$D$4:$D$4003=$A41)*(出库单!$T$4:$T$4003="正常")),出库单!$C$4:$C$4003),""))</f>
        <v/>
      </c>
      <c r="O41" s="28">
        <f>IF($A41="","",IF($L41&lt;=0,"",IF($N41="",IFERROR(账期止-LOOKUP(2,1/(入库单!$G$4:$G$2503=$A41),入库单!$C$4:$C$2503),""),账期止-$N41)))</f>
        <v/>
      </c>
      <c r="P41" s="17" t="n"/>
    </row>
    <row r="42">
      <c r="A42" s="17" t="inlineStr">
        <is>
          <t>JH0039</t>
        </is>
      </c>
      <c r="B42" s="17" t="inlineStr">
        <is>
          <t>其他</t>
        </is>
      </c>
      <c r="C42" s="17" t="inlineStr">
        <is>
          <t>压面机</t>
        </is>
      </c>
      <c r="D42" s="17" t="inlineStr"/>
      <c r="E42" s="17" t="inlineStr">
        <is>
          <t>台</t>
        </is>
      </c>
      <c r="F42" s="17" t="inlineStr">
        <is>
          <t>否</t>
        </is>
      </c>
      <c r="G42" s="23" t="n"/>
      <c r="H42" s="24">
        <f>IF($A42="","",IFERROR(LOOKUP(2,1/((入库单!$G$4:$G$2503=$A42)*(入库单!$Y$4:$Y$2503="正常")*(入库单!$L$4:$L$2503&gt;0)),入库单!$D$4:$D$2503),""))</f>
        <v/>
      </c>
      <c r="I42" s="25">
        <f>IF($A42="","",IFERROR(LOOKUP(2,1/((入库单!$G$4:$G$2503=$A42)*(入库单!$Y$4:$Y$2503="正常")*(入库单!$L$4:$L$2503&gt;0)),入库单!$L$4:$L$2503),0))</f>
        <v/>
      </c>
      <c r="J42" s="26">
        <f>IF($A42="","",IF($H42="A国内",ROUND($I42*倍数A*汇率,0),IF($H42="B当地",ROUND($I42*系数B,0),0)))</f>
        <v/>
      </c>
      <c r="K42" s="24">
        <f>IF($A42="","",IF(COUNTIFS(入库单!$G$4:$G$2503,$A42,入库单!$X$4:$X$2503,"待补价")&gt;0,"待补价",IF(COUNTIFS(入库单!$G$4:$G$2503,$A42,入库单!$X$4:$X$2503,"暂估")&gt;0,"暂估",IF($I42=0,"没有进价","正常"))))</f>
        <v/>
      </c>
      <c r="L42" s="27">
        <f>IF($A42="","",IFERROR(VLOOKUP($A42,库存台账!$A$5:$Y$1204,24,0),0))</f>
        <v/>
      </c>
      <c r="M42" s="26">
        <f>IF($A42="","",IFERROR(VLOOKUP($A42,库存台账!$A$5:$Y$1204,25,0),0))</f>
        <v/>
      </c>
      <c r="N42" s="19">
        <f>IF($A42="","",IFERROR(LOOKUP(2,1/((出库单!$D$4:$D$4003=$A42)*(出库单!$T$4:$T$4003="正常")),出库单!$C$4:$C$4003),""))</f>
        <v/>
      </c>
      <c r="O42" s="28">
        <f>IF($A42="","",IF($L42&lt;=0,"",IF($N42="",IFERROR(账期止-LOOKUP(2,1/(入库单!$G$4:$G$2503=$A42),入库单!$C$4:$C$2503),""),账期止-$N42)))</f>
        <v/>
      </c>
      <c r="P42" s="17" t="n"/>
    </row>
    <row r="43">
      <c r="A43" s="17" t="inlineStr">
        <is>
          <t>JH0040</t>
        </is>
      </c>
      <c r="B43" s="17" t="inlineStr">
        <is>
          <t>其他</t>
        </is>
      </c>
      <c r="C43" s="17" t="inlineStr">
        <is>
          <t>煤矿用耐磨多级离心泵</t>
        </is>
      </c>
      <c r="D43" s="17" t="inlineStr">
        <is>
          <t>MD46-50*6   /YE3-280S-2/75KW/380V</t>
        </is>
      </c>
      <c r="E43" s="17" t="inlineStr">
        <is>
          <t>台</t>
        </is>
      </c>
      <c r="F43" s="17" t="inlineStr">
        <is>
          <t>否</t>
        </is>
      </c>
      <c r="G43" s="23" t="n"/>
      <c r="H43" s="24">
        <f>IF($A43="","",IFERROR(LOOKUP(2,1/((入库单!$G$4:$G$2503=$A43)*(入库单!$Y$4:$Y$2503="正常")*(入库单!$L$4:$L$2503&gt;0)),入库单!$D$4:$D$2503),""))</f>
        <v/>
      </c>
      <c r="I43" s="25">
        <f>IF($A43="","",IFERROR(LOOKUP(2,1/((入库单!$G$4:$G$2503=$A43)*(入库单!$Y$4:$Y$2503="正常")*(入库单!$L$4:$L$2503&gt;0)),入库单!$L$4:$L$2503),0))</f>
        <v/>
      </c>
      <c r="J43" s="26">
        <f>IF($A43="","",IF($H43="A国内",ROUND($I43*倍数A*汇率,0),IF($H43="B当地",ROUND($I43*系数B,0),0)))</f>
        <v/>
      </c>
      <c r="K43" s="24">
        <f>IF($A43="","",IF(COUNTIFS(入库单!$G$4:$G$2503,$A43,入库单!$X$4:$X$2503,"待补价")&gt;0,"待补价",IF(COUNTIFS(入库单!$G$4:$G$2503,$A43,入库单!$X$4:$X$2503,"暂估")&gt;0,"暂估",IF($I43=0,"没有进价","正常"))))</f>
        <v/>
      </c>
      <c r="L43" s="27">
        <f>IF($A43="","",IFERROR(VLOOKUP($A43,库存台账!$A$5:$Y$1204,24,0),0))</f>
        <v/>
      </c>
      <c r="M43" s="26">
        <f>IF($A43="","",IFERROR(VLOOKUP($A43,库存台账!$A$5:$Y$1204,25,0),0))</f>
        <v/>
      </c>
      <c r="N43" s="19">
        <f>IF($A43="","",IFERROR(LOOKUP(2,1/((出库单!$D$4:$D$4003=$A43)*(出库单!$T$4:$T$4003="正常")),出库单!$C$4:$C$4003),""))</f>
        <v/>
      </c>
      <c r="O43" s="28">
        <f>IF($A43="","",IF($L43&lt;=0,"",IF($N43="",IFERROR(账期止-LOOKUP(2,1/(入库单!$G$4:$G$2503=$A43),入库单!$C$4:$C$2503),""),账期止-$N43)))</f>
        <v/>
      </c>
      <c r="P43" s="17" t="n"/>
    </row>
    <row r="44">
      <c r="A44" s="17" t="inlineStr">
        <is>
          <t>JH0041</t>
        </is>
      </c>
      <c r="B44" s="17" t="inlineStr">
        <is>
          <t>机械配件</t>
        </is>
      </c>
      <c r="C44" s="17" t="inlineStr">
        <is>
          <t>配件</t>
        </is>
      </c>
      <c r="D44" s="17" t="inlineStr">
        <is>
          <t>叶轮平衡盘轴套盘根</t>
        </is>
      </c>
      <c r="E44" s="17" t="inlineStr">
        <is>
          <t>套</t>
        </is>
      </c>
      <c r="F44" s="17" t="inlineStr">
        <is>
          <t>否</t>
        </is>
      </c>
      <c r="G44" s="23" t="n"/>
      <c r="H44" s="24">
        <f>IF($A44="","",IFERROR(LOOKUP(2,1/((入库单!$G$4:$G$2503=$A44)*(入库单!$Y$4:$Y$2503="正常")*(入库单!$L$4:$L$2503&gt;0)),入库单!$D$4:$D$2503),""))</f>
        <v/>
      </c>
      <c r="I44" s="25">
        <f>IF($A44="","",IFERROR(LOOKUP(2,1/((入库单!$G$4:$G$2503=$A44)*(入库单!$Y$4:$Y$2503="正常")*(入库单!$L$4:$L$2503&gt;0)),入库单!$L$4:$L$2503),0))</f>
        <v/>
      </c>
      <c r="J44" s="26">
        <f>IF($A44="","",IF($H44="A国内",ROUND($I44*倍数A*汇率,0),IF($H44="B当地",ROUND($I44*系数B,0),0)))</f>
        <v/>
      </c>
      <c r="K44" s="24">
        <f>IF($A44="","",IF(COUNTIFS(入库单!$G$4:$G$2503,$A44,入库单!$X$4:$X$2503,"待补价")&gt;0,"待补价",IF(COUNTIFS(入库单!$G$4:$G$2503,$A44,入库单!$X$4:$X$2503,"暂估")&gt;0,"暂估",IF($I44=0,"没有进价","正常"))))</f>
        <v/>
      </c>
      <c r="L44" s="27">
        <f>IF($A44="","",IFERROR(VLOOKUP($A44,库存台账!$A$5:$Y$1204,24,0),0))</f>
        <v/>
      </c>
      <c r="M44" s="26">
        <f>IF($A44="","",IFERROR(VLOOKUP($A44,库存台账!$A$5:$Y$1204,25,0),0))</f>
        <v/>
      </c>
      <c r="N44" s="19">
        <f>IF($A44="","",IFERROR(LOOKUP(2,1/((出库单!$D$4:$D$4003=$A44)*(出库单!$T$4:$T$4003="正常")),出库单!$C$4:$C$4003),""))</f>
        <v/>
      </c>
      <c r="O44" s="28">
        <f>IF($A44="","",IF($L44&lt;=0,"",IF($N44="",IFERROR(账期止-LOOKUP(2,1/(入库单!$G$4:$G$2503=$A44),入库单!$C$4:$C$2503),""),账期止-$N44)))</f>
        <v/>
      </c>
      <c r="P44" s="17" t="n"/>
    </row>
    <row r="45">
      <c r="A45" s="17" t="inlineStr">
        <is>
          <t>JH0042</t>
        </is>
      </c>
      <c r="B45" s="17" t="inlineStr">
        <is>
          <t>其他</t>
        </is>
      </c>
      <c r="C45" s="17" t="inlineStr">
        <is>
          <t>离心泵泵头</t>
        </is>
      </c>
      <c r="D45" s="17" t="inlineStr">
        <is>
          <t>MD46-50*6</t>
        </is>
      </c>
      <c r="E45" s="17" t="inlineStr">
        <is>
          <t>台</t>
        </is>
      </c>
      <c r="F45" s="17" t="inlineStr">
        <is>
          <t>否</t>
        </is>
      </c>
      <c r="G45" s="23" t="n"/>
      <c r="H45" s="24">
        <f>IF($A45="","",IFERROR(LOOKUP(2,1/((入库单!$G$4:$G$2503=$A45)*(入库单!$Y$4:$Y$2503="正常")*(入库单!$L$4:$L$2503&gt;0)),入库单!$D$4:$D$2503),""))</f>
        <v/>
      </c>
      <c r="I45" s="25">
        <f>IF($A45="","",IFERROR(LOOKUP(2,1/((入库单!$G$4:$G$2503=$A45)*(入库单!$Y$4:$Y$2503="正常")*(入库单!$L$4:$L$2503&gt;0)),入库单!$L$4:$L$2503),0))</f>
        <v/>
      </c>
      <c r="J45" s="26">
        <f>IF($A45="","",IF($H45="A国内",ROUND($I45*倍数A*汇率,0),IF($H45="B当地",ROUND($I45*系数B,0),0)))</f>
        <v/>
      </c>
      <c r="K45" s="24">
        <f>IF($A45="","",IF(COUNTIFS(入库单!$G$4:$G$2503,$A45,入库单!$X$4:$X$2503,"待补价")&gt;0,"待补价",IF(COUNTIFS(入库单!$G$4:$G$2503,$A45,入库单!$X$4:$X$2503,"暂估")&gt;0,"暂估",IF($I45=0,"没有进价","正常"))))</f>
        <v/>
      </c>
      <c r="L45" s="27">
        <f>IF($A45="","",IFERROR(VLOOKUP($A45,库存台账!$A$5:$Y$1204,24,0),0))</f>
        <v/>
      </c>
      <c r="M45" s="26">
        <f>IF($A45="","",IFERROR(VLOOKUP($A45,库存台账!$A$5:$Y$1204,25,0),0))</f>
        <v/>
      </c>
      <c r="N45" s="19">
        <f>IF($A45="","",IFERROR(LOOKUP(2,1/((出库单!$D$4:$D$4003=$A45)*(出库单!$T$4:$T$4003="正常")),出库单!$C$4:$C$4003),""))</f>
        <v/>
      </c>
      <c r="O45" s="28">
        <f>IF($A45="","",IF($L45&lt;=0,"",IF($N45="",IFERROR(账期止-LOOKUP(2,1/(入库单!$G$4:$G$2503=$A45),入库单!$C$4:$C$2503),""),账期止-$N45)))</f>
        <v/>
      </c>
      <c r="P45" s="17" t="n"/>
    </row>
    <row r="46">
      <c r="A46" s="17" t="inlineStr">
        <is>
          <t>JH0043</t>
        </is>
      </c>
      <c r="B46" s="17" t="inlineStr">
        <is>
          <t>电缆电气</t>
        </is>
      </c>
      <c r="C46" s="17" t="inlineStr">
        <is>
          <t>离心泵配电柜</t>
        </is>
      </c>
      <c r="D46" s="17" t="inlineStr">
        <is>
          <t>90KW</t>
        </is>
      </c>
      <c r="E46" s="17" t="inlineStr">
        <is>
          <t>台</t>
        </is>
      </c>
      <c r="F46" s="17" t="inlineStr">
        <is>
          <t>否</t>
        </is>
      </c>
      <c r="G46" s="23" t="n"/>
      <c r="H46" s="24">
        <f>IF($A46="","",IFERROR(LOOKUP(2,1/((入库单!$G$4:$G$2503=$A46)*(入库单!$Y$4:$Y$2503="正常")*(入库单!$L$4:$L$2503&gt;0)),入库单!$D$4:$D$2503),""))</f>
        <v/>
      </c>
      <c r="I46" s="25">
        <f>IF($A46="","",IFERROR(LOOKUP(2,1/((入库单!$G$4:$G$2503=$A46)*(入库单!$Y$4:$Y$2503="正常")*(入库单!$L$4:$L$2503&gt;0)),入库单!$L$4:$L$2503),0))</f>
        <v/>
      </c>
      <c r="J46" s="26">
        <f>IF($A46="","",IF($H46="A国内",ROUND($I46*倍数A*汇率,0),IF($H46="B当地",ROUND($I46*系数B,0),0)))</f>
        <v/>
      </c>
      <c r="K46" s="24">
        <f>IF($A46="","",IF(COUNTIFS(入库单!$G$4:$G$2503,$A46,入库单!$X$4:$X$2503,"待补价")&gt;0,"待补价",IF(COUNTIFS(入库单!$G$4:$G$2503,$A46,入库单!$X$4:$X$2503,"暂估")&gt;0,"暂估",IF($I46=0,"没有进价","正常"))))</f>
        <v/>
      </c>
      <c r="L46" s="27">
        <f>IF($A46="","",IFERROR(VLOOKUP($A46,库存台账!$A$5:$Y$1204,24,0),0))</f>
        <v/>
      </c>
      <c r="M46" s="26">
        <f>IF($A46="","",IFERROR(VLOOKUP($A46,库存台账!$A$5:$Y$1204,25,0),0))</f>
        <v/>
      </c>
      <c r="N46" s="19">
        <f>IF($A46="","",IFERROR(LOOKUP(2,1/((出库单!$D$4:$D$4003=$A46)*(出库单!$T$4:$T$4003="正常")),出库单!$C$4:$C$4003),""))</f>
        <v/>
      </c>
      <c r="O46" s="28">
        <f>IF($A46="","",IF($L46&lt;=0,"",IF($N46="",IFERROR(账期止-LOOKUP(2,1/(入库单!$G$4:$G$2503=$A46),入库单!$C$4:$C$2503),""),账期止-$N46)))</f>
        <v/>
      </c>
      <c r="P46" s="17" t="n"/>
    </row>
    <row r="47">
      <c r="A47" s="17" t="inlineStr">
        <is>
          <t>JH0044</t>
        </is>
      </c>
      <c r="B47" s="17" t="inlineStr">
        <is>
          <t>其他</t>
        </is>
      </c>
      <c r="C47" s="17" t="inlineStr">
        <is>
          <t>煤矿用耐磨多级离心泵</t>
        </is>
      </c>
      <c r="D47" s="17" t="inlineStr">
        <is>
          <t>MD46-30*4   /YE3-200L1-2/30KW/380V</t>
        </is>
      </c>
      <c r="E47" s="17" t="inlineStr">
        <is>
          <t>台</t>
        </is>
      </c>
      <c r="F47" s="17" t="inlineStr">
        <is>
          <t>否</t>
        </is>
      </c>
      <c r="G47" s="23" t="n"/>
      <c r="H47" s="24">
        <f>IF($A47="","",IFERROR(LOOKUP(2,1/((入库单!$G$4:$G$2503=$A47)*(入库单!$Y$4:$Y$2503="正常")*(入库单!$L$4:$L$2503&gt;0)),入库单!$D$4:$D$2503),""))</f>
        <v/>
      </c>
      <c r="I47" s="25">
        <f>IF($A47="","",IFERROR(LOOKUP(2,1/((入库单!$G$4:$G$2503=$A47)*(入库单!$Y$4:$Y$2503="正常")*(入库单!$L$4:$L$2503&gt;0)),入库单!$L$4:$L$2503),0))</f>
        <v/>
      </c>
      <c r="J47" s="26">
        <f>IF($A47="","",IF($H47="A国内",ROUND($I47*倍数A*汇率,0),IF($H47="B当地",ROUND($I47*系数B,0),0)))</f>
        <v/>
      </c>
      <c r="K47" s="24">
        <f>IF($A47="","",IF(COUNTIFS(入库单!$G$4:$G$2503,$A47,入库单!$X$4:$X$2503,"待补价")&gt;0,"待补价",IF(COUNTIFS(入库单!$G$4:$G$2503,$A47,入库单!$X$4:$X$2503,"暂估")&gt;0,"暂估",IF($I47=0,"没有进价","正常"))))</f>
        <v/>
      </c>
      <c r="L47" s="27">
        <f>IF($A47="","",IFERROR(VLOOKUP($A47,库存台账!$A$5:$Y$1204,24,0),0))</f>
        <v/>
      </c>
      <c r="M47" s="26">
        <f>IF($A47="","",IFERROR(VLOOKUP($A47,库存台账!$A$5:$Y$1204,25,0),0))</f>
        <v/>
      </c>
      <c r="N47" s="19">
        <f>IF($A47="","",IFERROR(LOOKUP(2,1/((出库单!$D$4:$D$4003=$A47)*(出库单!$T$4:$T$4003="正常")),出库单!$C$4:$C$4003),""))</f>
        <v/>
      </c>
      <c r="O47" s="28">
        <f>IF($A47="","",IF($L47&lt;=0,"",IF($N47="",IFERROR(账期止-LOOKUP(2,1/(入库单!$G$4:$G$2503=$A47),入库单!$C$4:$C$2503),""),账期止-$N47)))</f>
        <v/>
      </c>
      <c r="P47" s="17" t="n"/>
    </row>
    <row r="48">
      <c r="A48" s="17" t="inlineStr">
        <is>
          <t>JH0045</t>
        </is>
      </c>
      <c r="B48" s="17" t="inlineStr">
        <is>
          <t>电缆电气</t>
        </is>
      </c>
      <c r="C48" s="17" t="inlineStr">
        <is>
          <t>离心泵配电柜</t>
        </is>
      </c>
      <c r="D48" s="17" t="inlineStr">
        <is>
          <t>37KW</t>
        </is>
      </c>
      <c r="E48" s="17" t="inlineStr">
        <is>
          <t>台</t>
        </is>
      </c>
      <c r="F48" s="17" t="inlineStr">
        <is>
          <t>否</t>
        </is>
      </c>
      <c r="G48" s="23" t="n"/>
      <c r="H48" s="24">
        <f>IF($A48="","",IFERROR(LOOKUP(2,1/((入库单!$G$4:$G$2503=$A48)*(入库单!$Y$4:$Y$2503="正常")*(入库单!$L$4:$L$2503&gt;0)),入库单!$D$4:$D$2503),""))</f>
        <v/>
      </c>
      <c r="I48" s="25">
        <f>IF($A48="","",IFERROR(LOOKUP(2,1/((入库单!$G$4:$G$2503=$A48)*(入库单!$Y$4:$Y$2503="正常")*(入库单!$L$4:$L$2503&gt;0)),入库单!$L$4:$L$2503),0))</f>
        <v/>
      </c>
      <c r="J48" s="26">
        <f>IF($A48="","",IF($H48="A国内",ROUND($I48*倍数A*汇率,0),IF($H48="B当地",ROUND($I48*系数B,0),0)))</f>
        <v/>
      </c>
      <c r="K48" s="24">
        <f>IF($A48="","",IF(COUNTIFS(入库单!$G$4:$G$2503,$A48,入库单!$X$4:$X$2503,"待补价")&gt;0,"待补价",IF(COUNTIFS(入库单!$G$4:$G$2503,$A48,入库单!$X$4:$X$2503,"暂估")&gt;0,"暂估",IF($I48=0,"没有进价","正常"))))</f>
        <v/>
      </c>
      <c r="L48" s="27">
        <f>IF($A48="","",IFERROR(VLOOKUP($A48,库存台账!$A$5:$Y$1204,24,0),0))</f>
        <v/>
      </c>
      <c r="M48" s="26">
        <f>IF($A48="","",IFERROR(VLOOKUP($A48,库存台账!$A$5:$Y$1204,25,0),0))</f>
        <v/>
      </c>
      <c r="N48" s="19">
        <f>IF($A48="","",IFERROR(LOOKUP(2,1/((出库单!$D$4:$D$4003=$A48)*(出库单!$T$4:$T$4003="正常")),出库单!$C$4:$C$4003),""))</f>
        <v/>
      </c>
      <c r="O48" s="28">
        <f>IF($A48="","",IF($L48&lt;=0,"",IF($N48="",IFERROR(账期止-LOOKUP(2,1/(入库单!$G$4:$G$2503=$A48),入库单!$C$4:$C$2503),""),账期止-$N48)))</f>
        <v/>
      </c>
      <c r="P48" s="17" t="n"/>
    </row>
    <row r="49">
      <c r="A49" s="17" t="inlineStr">
        <is>
          <t>JH0046</t>
        </is>
      </c>
      <c r="B49" s="17" t="inlineStr">
        <is>
          <t>机械设备</t>
        </is>
      </c>
      <c r="C49" s="17" t="inlineStr">
        <is>
          <t>WQ型潜水污水泵</t>
        </is>
      </c>
      <c r="D49" s="17" t="inlineStr">
        <is>
          <t>WQ30-120-18.5</t>
        </is>
      </c>
      <c r="E49" s="17" t="inlineStr">
        <is>
          <t>台</t>
        </is>
      </c>
      <c r="F49" s="17" t="inlineStr">
        <is>
          <t>否</t>
        </is>
      </c>
      <c r="G49" s="23" t="n"/>
      <c r="H49" s="24">
        <f>IF($A49="","",IFERROR(LOOKUP(2,1/((入库单!$G$4:$G$2503=$A49)*(入库单!$Y$4:$Y$2503="正常")*(入库单!$L$4:$L$2503&gt;0)),入库单!$D$4:$D$2503),""))</f>
        <v/>
      </c>
      <c r="I49" s="25">
        <f>IF($A49="","",IFERROR(LOOKUP(2,1/((入库单!$G$4:$G$2503=$A49)*(入库单!$Y$4:$Y$2503="正常")*(入库单!$L$4:$L$2503&gt;0)),入库单!$L$4:$L$2503),0))</f>
        <v/>
      </c>
      <c r="J49" s="26">
        <f>IF($A49="","",IF($H49="A国内",ROUND($I49*倍数A*汇率,0),IF($H49="B当地",ROUND($I49*系数B,0),0)))</f>
        <v/>
      </c>
      <c r="K49" s="24">
        <f>IF($A49="","",IF(COUNTIFS(入库单!$G$4:$G$2503,$A49,入库单!$X$4:$X$2503,"待补价")&gt;0,"待补价",IF(COUNTIFS(入库单!$G$4:$G$2503,$A49,入库单!$X$4:$X$2503,"暂估")&gt;0,"暂估",IF($I49=0,"没有进价","正常"))))</f>
        <v/>
      </c>
      <c r="L49" s="27">
        <f>IF($A49="","",IFERROR(VLOOKUP($A49,库存台账!$A$5:$Y$1204,24,0),0))</f>
        <v/>
      </c>
      <c r="M49" s="26">
        <f>IF($A49="","",IFERROR(VLOOKUP($A49,库存台账!$A$5:$Y$1204,25,0),0))</f>
        <v/>
      </c>
      <c r="N49" s="19">
        <f>IF($A49="","",IFERROR(LOOKUP(2,1/((出库单!$D$4:$D$4003=$A49)*(出库单!$T$4:$T$4003="正常")),出库单!$C$4:$C$4003),""))</f>
        <v/>
      </c>
      <c r="O49" s="28">
        <f>IF($A49="","",IF($L49&lt;=0,"",IF($N49="",IFERROR(账期止-LOOKUP(2,1/(入库单!$G$4:$G$2503=$A49),入库单!$C$4:$C$2503),""),账期止-$N49)))</f>
        <v/>
      </c>
      <c r="P49" s="17" t="n"/>
    </row>
    <row r="50">
      <c r="A50" s="17" t="inlineStr">
        <is>
          <t>JH0047</t>
        </is>
      </c>
      <c r="B50" s="17" t="inlineStr">
        <is>
          <t>机械设备</t>
        </is>
      </c>
      <c r="C50" s="17" t="inlineStr">
        <is>
          <t>WQ型潜水污水泵</t>
        </is>
      </c>
      <c r="D50" s="17" t="inlineStr">
        <is>
          <t>WQ30-60-11</t>
        </is>
      </c>
      <c r="E50" s="17" t="inlineStr">
        <is>
          <t>台</t>
        </is>
      </c>
      <c r="F50" s="17" t="inlineStr">
        <is>
          <t>否</t>
        </is>
      </c>
      <c r="G50" s="23" t="n"/>
      <c r="H50" s="24">
        <f>IF($A50="","",IFERROR(LOOKUP(2,1/((入库单!$G$4:$G$2503=$A50)*(入库单!$Y$4:$Y$2503="正常")*(入库单!$L$4:$L$2503&gt;0)),入库单!$D$4:$D$2503),""))</f>
        <v/>
      </c>
      <c r="I50" s="25">
        <f>IF($A50="","",IFERROR(LOOKUP(2,1/((入库单!$G$4:$G$2503=$A50)*(入库单!$Y$4:$Y$2503="正常")*(入库单!$L$4:$L$2503&gt;0)),入库单!$L$4:$L$2503),0))</f>
        <v/>
      </c>
      <c r="J50" s="26">
        <f>IF($A50="","",IF($H50="A国内",ROUND($I50*倍数A*汇率,0),IF($H50="B当地",ROUND($I50*系数B,0),0)))</f>
        <v/>
      </c>
      <c r="K50" s="24">
        <f>IF($A50="","",IF(COUNTIFS(入库单!$G$4:$G$2503,$A50,入库单!$X$4:$X$2503,"待补价")&gt;0,"待补价",IF(COUNTIFS(入库单!$G$4:$G$2503,$A50,入库单!$X$4:$X$2503,"暂估")&gt;0,"暂估",IF($I50=0,"没有进价","正常"))))</f>
        <v/>
      </c>
      <c r="L50" s="27">
        <f>IF($A50="","",IFERROR(VLOOKUP($A50,库存台账!$A$5:$Y$1204,24,0),0))</f>
        <v/>
      </c>
      <c r="M50" s="26">
        <f>IF($A50="","",IFERROR(VLOOKUP($A50,库存台账!$A$5:$Y$1204,25,0),0))</f>
        <v/>
      </c>
      <c r="N50" s="19">
        <f>IF($A50="","",IFERROR(LOOKUP(2,1/((出库单!$D$4:$D$4003=$A50)*(出库单!$T$4:$T$4003="正常")),出库单!$C$4:$C$4003),""))</f>
        <v/>
      </c>
      <c r="O50" s="28">
        <f>IF($A50="","",IF($L50&lt;=0,"",IF($N50="",IFERROR(账期止-LOOKUP(2,1/(入库单!$G$4:$G$2503=$A50),入库单!$C$4:$C$2503),""),账期止-$N50)))</f>
        <v/>
      </c>
      <c r="P50" s="17" t="n"/>
    </row>
    <row r="51">
      <c r="A51" s="17" t="inlineStr">
        <is>
          <t>JH0048</t>
        </is>
      </c>
      <c r="B51" s="17" t="inlineStr">
        <is>
          <t>机械设备</t>
        </is>
      </c>
      <c r="C51" s="17" t="inlineStr">
        <is>
          <t>水泵木盒打包费</t>
        </is>
      </c>
      <c r="D51" s="17" t="inlineStr"/>
      <c r="E51" s="17" t="inlineStr">
        <is>
          <t>个</t>
        </is>
      </c>
      <c r="F51" s="17" t="inlineStr">
        <is>
          <t>否</t>
        </is>
      </c>
      <c r="G51" s="23" t="n"/>
      <c r="H51" s="24">
        <f>IF($A51="","",IFERROR(LOOKUP(2,1/((入库单!$G$4:$G$2503=$A51)*(入库单!$Y$4:$Y$2503="正常")*(入库单!$L$4:$L$2503&gt;0)),入库单!$D$4:$D$2503),""))</f>
        <v/>
      </c>
      <c r="I51" s="25">
        <f>IF($A51="","",IFERROR(LOOKUP(2,1/((入库单!$G$4:$G$2503=$A51)*(入库单!$Y$4:$Y$2503="正常")*(入库单!$L$4:$L$2503&gt;0)),入库单!$L$4:$L$2503),0))</f>
        <v/>
      </c>
      <c r="J51" s="26">
        <f>IF($A51="","",IF($H51="A国内",ROUND($I51*倍数A*汇率,0),IF($H51="B当地",ROUND($I51*系数B,0),0)))</f>
        <v/>
      </c>
      <c r="K51" s="24">
        <f>IF($A51="","",IF(COUNTIFS(入库单!$G$4:$G$2503,$A51,入库单!$X$4:$X$2503,"待补价")&gt;0,"待补价",IF(COUNTIFS(入库单!$G$4:$G$2503,$A51,入库单!$X$4:$X$2503,"暂估")&gt;0,"暂估",IF($I51=0,"没有进价","正常"))))</f>
        <v/>
      </c>
      <c r="L51" s="27">
        <f>IF($A51="","",IFERROR(VLOOKUP($A51,库存台账!$A$5:$Y$1204,24,0),0))</f>
        <v/>
      </c>
      <c r="M51" s="26">
        <f>IF($A51="","",IFERROR(VLOOKUP($A51,库存台账!$A$5:$Y$1204,25,0),0))</f>
        <v/>
      </c>
      <c r="N51" s="19">
        <f>IF($A51="","",IFERROR(LOOKUP(2,1/((出库单!$D$4:$D$4003=$A51)*(出库单!$T$4:$T$4003="正常")),出库单!$C$4:$C$4003),""))</f>
        <v/>
      </c>
      <c r="O51" s="28">
        <f>IF($A51="","",IF($L51&lt;=0,"",IF($N51="",IFERROR(账期止-LOOKUP(2,1/(入库单!$G$4:$G$2503=$A51),入库单!$C$4:$C$2503),""),账期止-$N51)))</f>
        <v/>
      </c>
      <c r="P51" s="17" t="n"/>
    </row>
    <row r="52">
      <c r="A52" s="17" t="inlineStr">
        <is>
          <t>JH0049</t>
        </is>
      </c>
      <c r="B52" s="17" t="inlineStr">
        <is>
          <t>其他</t>
        </is>
      </c>
      <c r="C52" s="17" t="inlineStr">
        <is>
          <t>阻燃风筒</t>
        </is>
      </c>
      <c r="D52" s="17" t="inlineStr">
        <is>
          <t>400mm*20m</t>
        </is>
      </c>
      <c r="E52" s="17" t="inlineStr">
        <is>
          <t>米</t>
        </is>
      </c>
      <c r="F52" s="17" t="inlineStr">
        <is>
          <t>否</t>
        </is>
      </c>
      <c r="G52" s="23" t="n"/>
      <c r="H52" s="24">
        <f>IF($A52="","",IFERROR(LOOKUP(2,1/((入库单!$G$4:$G$2503=$A52)*(入库单!$Y$4:$Y$2503="正常")*(入库单!$L$4:$L$2503&gt;0)),入库单!$D$4:$D$2503),""))</f>
        <v/>
      </c>
      <c r="I52" s="25">
        <f>IF($A52="","",IFERROR(LOOKUP(2,1/((入库单!$G$4:$G$2503=$A52)*(入库单!$Y$4:$Y$2503="正常")*(入库单!$L$4:$L$2503&gt;0)),入库单!$L$4:$L$2503),0))</f>
        <v/>
      </c>
      <c r="J52" s="26">
        <f>IF($A52="","",IF($H52="A国内",ROUND($I52*倍数A*汇率,0),IF($H52="B当地",ROUND($I52*系数B,0),0)))</f>
        <v/>
      </c>
      <c r="K52" s="24">
        <f>IF($A52="","",IF(COUNTIFS(入库单!$G$4:$G$2503,$A52,入库单!$X$4:$X$2503,"待补价")&gt;0,"待补价",IF(COUNTIFS(入库单!$G$4:$G$2503,$A52,入库单!$X$4:$X$2503,"暂估")&gt;0,"暂估",IF($I52=0,"没有进价","正常"))))</f>
        <v/>
      </c>
      <c r="L52" s="27">
        <f>IF($A52="","",IFERROR(VLOOKUP($A52,库存台账!$A$5:$Y$1204,24,0),0))</f>
        <v/>
      </c>
      <c r="M52" s="26">
        <f>IF($A52="","",IFERROR(VLOOKUP($A52,库存台账!$A$5:$Y$1204,25,0),0))</f>
        <v/>
      </c>
      <c r="N52" s="19">
        <f>IF($A52="","",IFERROR(LOOKUP(2,1/((出库单!$D$4:$D$4003=$A52)*(出库单!$T$4:$T$4003="正常")),出库单!$C$4:$C$4003),""))</f>
        <v/>
      </c>
      <c r="O52" s="28">
        <f>IF($A52="","",IF($L52&lt;=0,"",IF($N52="",IFERROR(账期止-LOOKUP(2,1/(入库单!$G$4:$G$2503=$A52),入库单!$C$4:$C$2503),""),账期止-$N52)))</f>
        <v/>
      </c>
      <c r="P52" s="17" t="n"/>
    </row>
    <row r="53">
      <c r="A53" s="17" t="inlineStr">
        <is>
          <t>JH0050</t>
        </is>
      </c>
      <c r="B53" s="17" t="inlineStr">
        <is>
          <t>其他</t>
        </is>
      </c>
      <c r="C53" s="17" t="inlineStr">
        <is>
          <t>阻燃风筒变径</t>
        </is>
      </c>
      <c r="D53" s="17" t="inlineStr">
        <is>
          <t>800mm*400mm*5</t>
        </is>
      </c>
      <c r="E53" s="17" t="inlineStr">
        <is>
          <t>条</t>
        </is>
      </c>
      <c r="F53" s="17" t="inlineStr">
        <is>
          <t>否</t>
        </is>
      </c>
      <c r="G53" s="23" t="n"/>
      <c r="H53" s="24">
        <f>IF($A53="","",IFERROR(LOOKUP(2,1/((入库单!$G$4:$G$2503=$A53)*(入库单!$Y$4:$Y$2503="正常")*(入库单!$L$4:$L$2503&gt;0)),入库单!$D$4:$D$2503),""))</f>
        <v/>
      </c>
      <c r="I53" s="25">
        <f>IF($A53="","",IFERROR(LOOKUP(2,1/((入库单!$G$4:$G$2503=$A53)*(入库单!$Y$4:$Y$2503="正常")*(入库单!$L$4:$L$2503&gt;0)),入库单!$L$4:$L$2503),0))</f>
        <v/>
      </c>
      <c r="J53" s="26">
        <f>IF($A53="","",IF($H53="A国内",ROUND($I53*倍数A*汇率,0),IF($H53="B当地",ROUND($I53*系数B,0),0)))</f>
        <v/>
      </c>
      <c r="K53" s="24">
        <f>IF($A53="","",IF(COUNTIFS(入库单!$G$4:$G$2503,$A53,入库单!$X$4:$X$2503,"待补价")&gt;0,"待补价",IF(COUNTIFS(入库单!$G$4:$G$2503,$A53,入库单!$X$4:$X$2503,"暂估")&gt;0,"暂估",IF($I53=0,"没有进价","正常"))))</f>
        <v/>
      </c>
      <c r="L53" s="27">
        <f>IF($A53="","",IFERROR(VLOOKUP($A53,库存台账!$A$5:$Y$1204,24,0),0))</f>
        <v/>
      </c>
      <c r="M53" s="26">
        <f>IF($A53="","",IFERROR(VLOOKUP($A53,库存台账!$A$5:$Y$1204,25,0),0))</f>
        <v/>
      </c>
      <c r="N53" s="19">
        <f>IF($A53="","",IFERROR(LOOKUP(2,1/((出库单!$D$4:$D$4003=$A53)*(出库单!$T$4:$T$4003="正常")),出库单!$C$4:$C$4003),""))</f>
        <v/>
      </c>
      <c r="O53" s="28">
        <f>IF($A53="","",IF($L53&lt;=0,"",IF($N53="",IFERROR(账期止-LOOKUP(2,1/(入库单!$G$4:$G$2503=$A53),入库单!$C$4:$C$2503),""),账期止-$N53)))</f>
        <v/>
      </c>
      <c r="P53" s="17" t="n"/>
    </row>
    <row r="54">
      <c r="A54" s="17" t="inlineStr">
        <is>
          <t>JH0051</t>
        </is>
      </c>
      <c r="B54" s="17" t="inlineStr">
        <is>
          <t>五金管件</t>
        </is>
      </c>
      <c r="C54" s="17" t="inlineStr">
        <is>
          <t>三通</t>
        </is>
      </c>
      <c r="D54" s="17" t="inlineStr">
        <is>
          <t>400mm*5m</t>
        </is>
      </c>
      <c r="E54" s="17" t="inlineStr">
        <is>
          <t>条</t>
        </is>
      </c>
      <c r="F54" s="17" t="inlineStr">
        <is>
          <t>否</t>
        </is>
      </c>
      <c r="G54" s="23" t="n"/>
      <c r="H54" s="24">
        <f>IF($A54="","",IFERROR(LOOKUP(2,1/((入库单!$G$4:$G$2503=$A54)*(入库单!$Y$4:$Y$2503="正常")*(入库单!$L$4:$L$2503&gt;0)),入库单!$D$4:$D$2503),""))</f>
        <v/>
      </c>
      <c r="I54" s="25">
        <f>IF($A54="","",IFERROR(LOOKUP(2,1/((入库单!$G$4:$G$2503=$A54)*(入库单!$Y$4:$Y$2503="正常")*(入库单!$L$4:$L$2503&gt;0)),入库单!$L$4:$L$2503),0))</f>
        <v/>
      </c>
      <c r="J54" s="26">
        <f>IF($A54="","",IF($H54="A国内",ROUND($I54*倍数A*汇率,0),IF($H54="B当地",ROUND($I54*系数B,0),0)))</f>
        <v/>
      </c>
      <c r="K54" s="24">
        <f>IF($A54="","",IF(COUNTIFS(入库单!$G$4:$G$2503,$A54,入库单!$X$4:$X$2503,"待补价")&gt;0,"待补价",IF(COUNTIFS(入库单!$G$4:$G$2503,$A54,入库单!$X$4:$X$2503,"暂估")&gt;0,"暂估",IF($I54=0,"没有进价","正常"))))</f>
        <v/>
      </c>
      <c r="L54" s="27">
        <f>IF($A54="","",IFERROR(VLOOKUP($A54,库存台账!$A$5:$Y$1204,24,0),0))</f>
        <v/>
      </c>
      <c r="M54" s="26">
        <f>IF($A54="","",IFERROR(VLOOKUP($A54,库存台账!$A$5:$Y$1204,25,0),0))</f>
        <v/>
      </c>
      <c r="N54" s="19">
        <f>IF($A54="","",IFERROR(LOOKUP(2,1/((出库单!$D$4:$D$4003=$A54)*(出库单!$T$4:$T$4003="正常")),出库单!$C$4:$C$4003),""))</f>
        <v/>
      </c>
      <c r="O54" s="28">
        <f>IF($A54="","",IF($L54&lt;=0,"",IF($N54="",IFERROR(账期止-LOOKUP(2,1/(入库单!$G$4:$G$2503=$A54),入库单!$C$4:$C$2503),""),账期止-$N54)))</f>
        <v/>
      </c>
      <c r="P54" s="17" t="n"/>
    </row>
    <row r="55">
      <c r="A55" s="17" t="inlineStr">
        <is>
          <t>JH0052</t>
        </is>
      </c>
      <c r="B55" s="17" t="inlineStr">
        <is>
          <t>其他</t>
        </is>
      </c>
      <c r="C55" s="17" t="inlineStr">
        <is>
          <t>铁撮箕</t>
        </is>
      </c>
      <c r="D55" s="17" t="inlineStr"/>
      <c r="E55" s="17" t="inlineStr">
        <is>
          <t>个</t>
        </is>
      </c>
      <c r="F55" s="17" t="inlineStr">
        <is>
          <t>否</t>
        </is>
      </c>
      <c r="G55" s="23" t="n"/>
      <c r="H55" s="24">
        <f>IF($A55="","",IFERROR(LOOKUP(2,1/((入库单!$G$4:$G$2503=$A55)*(入库单!$Y$4:$Y$2503="正常")*(入库单!$L$4:$L$2503&gt;0)),入库单!$D$4:$D$2503),""))</f>
        <v/>
      </c>
      <c r="I55" s="25">
        <f>IF($A55="","",IFERROR(LOOKUP(2,1/((入库单!$G$4:$G$2503=$A55)*(入库单!$Y$4:$Y$2503="正常")*(入库单!$L$4:$L$2503&gt;0)),入库单!$L$4:$L$2503),0))</f>
        <v/>
      </c>
      <c r="J55" s="26">
        <f>IF($A55="","",IF($H55="A国内",ROUND($I55*倍数A*汇率,0),IF($H55="B当地",ROUND($I55*系数B,0),0)))</f>
        <v/>
      </c>
      <c r="K55" s="24">
        <f>IF($A55="","",IF(COUNTIFS(入库单!$G$4:$G$2503,$A55,入库单!$X$4:$X$2503,"待补价")&gt;0,"待补价",IF(COUNTIFS(入库单!$G$4:$G$2503,$A55,入库单!$X$4:$X$2503,"暂估")&gt;0,"暂估",IF($I55=0,"没有进价","正常"))))</f>
        <v/>
      </c>
      <c r="L55" s="27">
        <f>IF($A55="","",IFERROR(VLOOKUP($A55,库存台账!$A$5:$Y$1204,24,0),0))</f>
        <v/>
      </c>
      <c r="M55" s="26">
        <f>IF($A55="","",IFERROR(VLOOKUP($A55,库存台账!$A$5:$Y$1204,25,0),0))</f>
        <v/>
      </c>
      <c r="N55" s="19">
        <f>IF($A55="","",IFERROR(LOOKUP(2,1/((出库单!$D$4:$D$4003=$A55)*(出库单!$T$4:$T$4003="正常")),出库单!$C$4:$C$4003),""))</f>
        <v/>
      </c>
      <c r="O55" s="28">
        <f>IF($A55="","",IF($L55&lt;=0,"",IF($N55="",IFERROR(账期止-LOOKUP(2,1/(入库单!$G$4:$G$2503=$A55),入库单!$C$4:$C$2503),""),账期止-$N55)))</f>
        <v/>
      </c>
      <c r="P55" s="17" t="n"/>
    </row>
    <row r="56">
      <c r="A56" s="17" t="inlineStr">
        <is>
          <t>JH0053</t>
        </is>
      </c>
      <c r="B56" s="17" t="inlineStr">
        <is>
          <t>电缆电气</t>
        </is>
      </c>
      <c r="C56" s="17" t="inlineStr">
        <is>
          <t>双电源转换开关</t>
        </is>
      </c>
      <c r="D56" s="17" t="inlineStr">
        <is>
          <t>1600A 4P</t>
        </is>
      </c>
      <c r="E56" s="17" t="inlineStr">
        <is>
          <t>台</t>
        </is>
      </c>
      <c r="F56" s="17" t="inlineStr">
        <is>
          <t>否</t>
        </is>
      </c>
      <c r="G56" s="23" t="n"/>
      <c r="H56" s="24">
        <f>IF($A56="","",IFERROR(LOOKUP(2,1/((入库单!$G$4:$G$2503=$A56)*(入库单!$Y$4:$Y$2503="正常")*(入库单!$L$4:$L$2503&gt;0)),入库单!$D$4:$D$2503),""))</f>
        <v/>
      </c>
      <c r="I56" s="25">
        <f>IF($A56="","",IFERROR(LOOKUP(2,1/((入库单!$G$4:$G$2503=$A56)*(入库单!$Y$4:$Y$2503="正常")*(入库单!$L$4:$L$2503&gt;0)),入库单!$L$4:$L$2503),0))</f>
        <v/>
      </c>
      <c r="J56" s="26">
        <f>IF($A56="","",IF($H56="A国内",ROUND($I56*倍数A*汇率,0),IF($H56="B当地",ROUND($I56*系数B,0),0)))</f>
        <v/>
      </c>
      <c r="K56" s="24">
        <f>IF($A56="","",IF(COUNTIFS(入库单!$G$4:$G$2503,$A56,入库单!$X$4:$X$2503,"待补价")&gt;0,"待补价",IF(COUNTIFS(入库单!$G$4:$G$2503,$A56,入库单!$X$4:$X$2503,"暂估")&gt;0,"暂估",IF($I56=0,"没有进价","正常"))))</f>
        <v/>
      </c>
      <c r="L56" s="27">
        <f>IF($A56="","",IFERROR(VLOOKUP($A56,库存台账!$A$5:$Y$1204,24,0),0))</f>
        <v/>
      </c>
      <c r="M56" s="26">
        <f>IF($A56="","",IFERROR(VLOOKUP($A56,库存台账!$A$5:$Y$1204,25,0),0))</f>
        <v/>
      </c>
      <c r="N56" s="19">
        <f>IF($A56="","",IFERROR(LOOKUP(2,1/((出库单!$D$4:$D$4003=$A56)*(出库单!$T$4:$T$4003="正常")),出库单!$C$4:$C$4003),""))</f>
        <v/>
      </c>
      <c r="O56" s="28">
        <f>IF($A56="","",IF($L56&lt;=0,"",IF($N56="",IFERROR(账期止-LOOKUP(2,1/(入库单!$G$4:$G$2503=$A56),入库单!$C$4:$C$2503),""),账期止-$N56)))</f>
        <v/>
      </c>
      <c r="P56" s="17" t="n"/>
    </row>
    <row r="57">
      <c r="A57" s="17" t="inlineStr">
        <is>
          <t>JH0054</t>
        </is>
      </c>
      <c r="B57" s="17" t="inlineStr">
        <is>
          <t>其他</t>
        </is>
      </c>
      <c r="C57" s="17" t="inlineStr">
        <is>
          <t>电焊条</t>
        </is>
      </c>
      <c r="D57" s="17" t="inlineStr">
        <is>
          <t>J422-4</t>
        </is>
      </c>
      <c r="E57" s="17" t="inlineStr">
        <is>
          <t>件</t>
        </is>
      </c>
      <c r="F57" s="17" t="inlineStr">
        <is>
          <t>否</t>
        </is>
      </c>
      <c r="G57" s="23" t="n"/>
      <c r="H57" s="24">
        <f>IF($A57="","",IFERROR(LOOKUP(2,1/((入库单!$G$4:$G$2503=$A57)*(入库单!$Y$4:$Y$2503="正常")*(入库单!$L$4:$L$2503&gt;0)),入库单!$D$4:$D$2503),""))</f>
        <v/>
      </c>
      <c r="I57" s="25">
        <f>IF($A57="","",IFERROR(LOOKUP(2,1/((入库单!$G$4:$G$2503=$A57)*(入库单!$Y$4:$Y$2503="正常")*(入库单!$L$4:$L$2503&gt;0)),入库单!$L$4:$L$2503),0))</f>
        <v/>
      </c>
      <c r="J57" s="26">
        <f>IF($A57="","",IF($H57="A国内",ROUND($I57*倍数A*汇率,0),IF($H57="B当地",ROUND($I57*系数B,0),0)))</f>
        <v/>
      </c>
      <c r="K57" s="24">
        <f>IF($A57="","",IF(COUNTIFS(入库单!$G$4:$G$2503,$A57,入库单!$X$4:$X$2503,"待补价")&gt;0,"待补价",IF(COUNTIFS(入库单!$G$4:$G$2503,$A57,入库单!$X$4:$X$2503,"暂估")&gt;0,"暂估",IF($I57=0,"没有进价","正常"))))</f>
        <v/>
      </c>
      <c r="L57" s="27">
        <f>IF($A57="","",IFERROR(VLOOKUP($A57,库存台账!$A$5:$Y$1204,24,0),0))</f>
        <v/>
      </c>
      <c r="M57" s="26">
        <f>IF($A57="","",IFERROR(VLOOKUP($A57,库存台账!$A$5:$Y$1204,25,0),0))</f>
        <v/>
      </c>
      <c r="N57" s="19">
        <f>IF($A57="","",IFERROR(LOOKUP(2,1/((出库单!$D$4:$D$4003=$A57)*(出库单!$T$4:$T$4003="正常")),出库单!$C$4:$C$4003),""))</f>
        <v/>
      </c>
      <c r="O57" s="28">
        <f>IF($A57="","",IF($L57&lt;=0,"",IF($N57="",IFERROR(账期止-LOOKUP(2,1/(入库单!$G$4:$G$2503=$A57),入库单!$C$4:$C$2503),""),账期止-$N57)))</f>
        <v/>
      </c>
      <c r="P57" s="17" t="n"/>
    </row>
    <row r="58">
      <c r="A58" s="17" t="inlineStr">
        <is>
          <t>JH0055</t>
        </is>
      </c>
      <c r="B58" s="17" t="inlineStr">
        <is>
          <t>其他</t>
        </is>
      </c>
      <c r="C58" s="17" t="inlineStr">
        <is>
          <t>电焊条</t>
        </is>
      </c>
      <c r="D58" s="17" t="inlineStr">
        <is>
          <t>J422-3.2</t>
        </is>
      </c>
      <c r="E58" s="17" t="inlineStr">
        <is>
          <t>件</t>
        </is>
      </c>
      <c r="F58" s="17" t="inlineStr">
        <is>
          <t>否</t>
        </is>
      </c>
      <c r="G58" s="23" t="n"/>
      <c r="H58" s="24">
        <f>IF($A58="","",IFERROR(LOOKUP(2,1/((入库单!$G$4:$G$2503=$A58)*(入库单!$Y$4:$Y$2503="正常")*(入库单!$L$4:$L$2503&gt;0)),入库单!$D$4:$D$2503),""))</f>
        <v/>
      </c>
      <c r="I58" s="25">
        <f>IF($A58="","",IFERROR(LOOKUP(2,1/((入库单!$G$4:$G$2503=$A58)*(入库单!$Y$4:$Y$2503="正常")*(入库单!$L$4:$L$2503&gt;0)),入库单!$L$4:$L$2503),0))</f>
        <v/>
      </c>
      <c r="J58" s="26">
        <f>IF($A58="","",IF($H58="A国内",ROUND($I58*倍数A*汇率,0),IF($H58="B当地",ROUND($I58*系数B,0),0)))</f>
        <v/>
      </c>
      <c r="K58" s="24">
        <f>IF($A58="","",IF(COUNTIFS(入库单!$G$4:$G$2503,$A58,入库单!$X$4:$X$2503,"待补价")&gt;0,"待补价",IF(COUNTIFS(入库单!$G$4:$G$2503,$A58,入库单!$X$4:$X$2503,"暂估")&gt;0,"暂估",IF($I58=0,"没有进价","正常"))))</f>
        <v/>
      </c>
      <c r="L58" s="27">
        <f>IF($A58="","",IFERROR(VLOOKUP($A58,库存台账!$A$5:$Y$1204,24,0),0))</f>
        <v/>
      </c>
      <c r="M58" s="26">
        <f>IF($A58="","",IFERROR(VLOOKUP($A58,库存台账!$A$5:$Y$1204,25,0),0))</f>
        <v/>
      </c>
      <c r="N58" s="19">
        <f>IF($A58="","",IFERROR(LOOKUP(2,1/((出库单!$D$4:$D$4003=$A58)*(出库单!$T$4:$T$4003="正常")),出库单!$C$4:$C$4003),""))</f>
        <v/>
      </c>
      <c r="O58" s="28">
        <f>IF($A58="","",IF($L58&lt;=0,"",IF($N58="",IFERROR(账期止-LOOKUP(2,1/(入库单!$G$4:$G$2503=$A58),入库单!$C$4:$C$2503),""),账期止-$N58)))</f>
        <v/>
      </c>
      <c r="P58" s="17" t="n"/>
    </row>
    <row r="59">
      <c r="A59" s="17" t="inlineStr">
        <is>
          <t>JH0056</t>
        </is>
      </c>
      <c r="B59" s="17" t="inlineStr">
        <is>
          <t>其他</t>
        </is>
      </c>
      <c r="C59" s="17" t="inlineStr">
        <is>
          <t>电焊条</t>
        </is>
      </c>
      <c r="D59" s="17" t="inlineStr">
        <is>
          <t>J422-2.5</t>
        </is>
      </c>
      <c r="E59" s="17" t="inlineStr">
        <is>
          <t>件</t>
        </is>
      </c>
      <c r="F59" s="17" t="inlineStr">
        <is>
          <t>否</t>
        </is>
      </c>
      <c r="G59" s="23" t="n"/>
      <c r="H59" s="24">
        <f>IF($A59="","",IFERROR(LOOKUP(2,1/((入库单!$G$4:$G$2503=$A59)*(入库单!$Y$4:$Y$2503="正常")*(入库单!$L$4:$L$2503&gt;0)),入库单!$D$4:$D$2503),""))</f>
        <v/>
      </c>
      <c r="I59" s="25">
        <f>IF($A59="","",IFERROR(LOOKUP(2,1/((入库单!$G$4:$G$2503=$A59)*(入库单!$Y$4:$Y$2503="正常")*(入库单!$L$4:$L$2503&gt;0)),入库单!$L$4:$L$2503),0))</f>
        <v/>
      </c>
      <c r="J59" s="26">
        <f>IF($A59="","",IF($H59="A国内",ROUND($I59*倍数A*汇率,0),IF($H59="B当地",ROUND($I59*系数B,0),0)))</f>
        <v/>
      </c>
      <c r="K59" s="24">
        <f>IF($A59="","",IF(COUNTIFS(入库单!$G$4:$G$2503,$A59,入库单!$X$4:$X$2503,"待补价")&gt;0,"待补价",IF(COUNTIFS(入库单!$G$4:$G$2503,$A59,入库单!$X$4:$X$2503,"暂估")&gt;0,"暂估",IF($I59=0,"没有进价","正常"))))</f>
        <v/>
      </c>
      <c r="L59" s="27">
        <f>IF($A59="","",IFERROR(VLOOKUP($A59,库存台账!$A$5:$Y$1204,24,0),0))</f>
        <v/>
      </c>
      <c r="M59" s="26">
        <f>IF($A59="","",IFERROR(VLOOKUP($A59,库存台账!$A$5:$Y$1204,25,0),0))</f>
        <v/>
      </c>
      <c r="N59" s="19">
        <f>IF($A59="","",IFERROR(LOOKUP(2,1/((出库单!$D$4:$D$4003=$A59)*(出库单!$T$4:$T$4003="正常")),出库单!$C$4:$C$4003),""))</f>
        <v/>
      </c>
      <c r="O59" s="28">
        <f>IF($A59="","",IF($L59&lt;=0,"",IF($N59="",IFERROR(账期止-LOOKUP(2,1/(入库单!$G$4:$G$2503=$A59),入库单!$C$4:$C$2503),""),账期止-$N59)))</f>
        <v/>
      </c>
      <c r="P59" s="17" t="n"/>
    </row>
    <row r="60">
      <c r="A60" s="17" t="inlineStr">
        <is>
          <t>JH0057</t>
        </is>
      </c>
      <c r="B60" s="17" t="inlineStr">
        <is>
          <t>劳保用品</t>
        </is>
      </c>
      <c r="C60" s="17" t="inlineStr">
        <is>
          <t>井工矿用安全帽</t>
        </is>
      </c>
      <c r="D60" s="17" t="inlineStr"/>
      <c r="E60" s="17" t="inlineStr">
        <is>
          <t>顶</t>
        </is>
      </c>
      <c r="F60" s="17" t="inlineStr">
        <is>
          <t>否</t>
        </is>
      </c>
      <c r="G60" s="23" t="n"/>
      <c r="H60" s="24">
        <f>IF($A60="","",IFERROR(LOOKUP(2,1/((入库单!$G$4:$G$2503=$A60)*(入库单!$Y$4:$Y$2503="正常")*(入库单!$L$4:$L$2503&gt;0)),入库单!$D$4:$D$2503),""))</f>
        <v/>
      </c>
      <c r="I60" s="25">
        <f>IF($A60="","",IFERROR(LOOKUP(2,1/((入库单!$G$4:$G$2503=$A60)*(入库单!$Y$4:$Y$2503="正常")*(入库单!$L$4:$L$2503&gt;0)),入库单!$L$4:$L$2503),0))</f>
        <v/>
      </c>
      <c r="J60" s="26">
        <f>IF($A60="","",IF($H60="A国内",ROUND($I60*倍数A*汇率,0),IF($H60="B当地",ROUND($I60*系数B,0),0)))</f>
        <v/>
      </c>
      <c r="K60" s="24">
        <f>IF($A60="","",IF(COUNTIFS(入库单!$G$4:$G$2503,$A60,入库单!$X$4:$X$2503,"待补价")&gt;0,"待补价",IF(COUNTIFS(入库单!$G$4:$G$2503,$A60,入库单!$X$4:$X$2503,"暂估")&gt;0,"暂估",IF($I60=0,"没有进价","正常"))))</f>
        <v/>
      </c>
      <c r="L60" s="27">
        <f>IF($A60="","",IFERROR(VLOOKUP($A60,库存台账!$A$5:$Y$1204,24,0),0))</f>
        <v/>
      </c>
      <c r="M60" s="26">
        <f>IF($A60="","",IFERROR(VLOOKUP($A60,库存台账!$A$5:$Y$1204,25,0),0))</f>
        <v/>
      </c>
      <c r="N60" s="19">
        <f>IF($A60="","",IFERROR(LOOKUP(2,1/((出库单!$D$4:$D$4003=$A60)*(出库单!$T$4:$T$4003="正常")),出库单!$C$4:$C$4003),""))</f>
        <v/>
      </c>
      <c r="O60" s="28">
        <f>IF($A60="","",IF($L60&lt;=0,"",IF($N60="",IFERROR(账期止-LOOKUP(2,1/(入库单!$G$4:$G$2503=$A60),入库单!$C$4:$C$2503),""),账期止-$N60)))</f>
        <v/>
      </c>
      <c r="P60" s="17" t="n"/>
    </row>
    <row r="61">
      <c r="A61" s="17" t="inlineStr">
        <is>
          <t>JH0058</t>
        </is>
      </c>
      <c r="B61" s="17" t="inlineStr">
        <is>
          <t>其他</t>
        </is>
      </c>
      <c r="C61" s="17" t="inlineStr">
        <is>
          <t>蒸饭箱</t>
        </is>
      </c>
      <c r="D61" s="17" t="inlineStr">
        <is>
          <t>KZ-60 6层 6000瓦功率 额定电压220V</t>
        </is>
      </c>
      <c r="E61" s="17" t="inlineStr">
        <is>
          <t>台</t>
        </is>
      </c>
      <c r="F61" s="17" t="inlineStr">
        <is>
          <t>否</t>
        </is>
      </c>
      <c r="G61" s="23" t="n"/>
      <c r="H61" s="24">
        <f>IF($A61="","",IFERROR(LOOKUP(2,1/((入库单!$G$4:$G$2503=$A61)*(入库单!$Y$4:$Y$2503="正常")*(入库单!$L$4:$L$2503&gt;0)),入库单!$D$4:$D$2503),""))</f>
        <v/>
      </c>
      <c r="I61" s="25">
        <f>IF($A61="","",IFERROR(LOOKUP(2,1/((入库单!$G$4:$G$2503=$A61)*(入库单!$Y$4:$Y$2503="正常")*(入库单!$L$4:$L$2503&gt;0)),入库单!$L$4:$L$2503),0))</f>
        <v/>
      </c>
      <c r="J61" s="26">
        <f>IF($A61="","",IF($H61="A国内",ROUND($I61*倍数A*汇率,0),IF($H61="B当地",ROUND($I61*系数B,0),0)))</f>
        <v/>
      </c>
      <c r="K61" s="24">
        <f>IF($A61="","",IF(COUNTIFS(入库单!$G$4:$G$2503,$A61,入库单!$X$4:$X$2503,"待补价")&gt;0,"待补价",IF(COUNTIFS(入库单!$G$4:$G$2503,$A61,入库单!$X$4:$X$2503,"暂估")&gt;0,"暂估",IF($I61=0,"没有进价","正常"))))</f>
        <v/>
      </c>
      <c r="L61" s="27">
        <f>IF($A61="","",IFERROR(VLOOKUP($A61,库存台账!$A$5:$Y$1204,24,0),0))</f>
        <v/>
      </c>
      <c r="M61" s="26">
        <f>IF($A61="","",IFERROR(VLOOKUP($A61,库存台账!$A$5:$Y$1204,25,0),0))</f>
        <v/>
      </c>
      <c r="N61" s="19">
        <f>IF($A61="","",IFERROR(LOOKUP(2,1/((出库单!$D$4:$D$4003=$A61)*(出库单!$T$4:$T$4003="正常")),出库单!$C$4:$C$4003),""))</f>
        <v/>
      </c>
      <c r="O61" s="28">
        <f>IF($A61="","",IF($L61&lt;=0,"",IF($N61="",IFERROR(账期止-LOOKUP(2,1/(入库单!$G$4:$G$2503=$A61),入库单!$C$4:$C$2503),""),账期止-$N61)))</f>
        <v/>
      </c>
      <c r="P61" s="17" t="n"/>
    </row>
    <row r="62">
      <c r="A62" s="17" t="inlineStr">
        <is>
          <t>JH0059</t>
        </is>
      </c>
      <c r="B62" s="17" t="inlineStr">
        <is>
          <t>其他</t>
        </is>
      </c>
      <c r="C62" s="17" t="inlineStr">
        <is>
          <t>豆浆机</t>
        </is>
      </c>
      <c r="D62" s="17" t="inlineStr">
        <is>
          <t>内置滤网 22升 磨煮一体 一机多用 PP食品级塑料机头 304不锈钢桶身</t>
        </is>
      </c>
      <c r="E62" s="17" t="inlineStr">
        <is>
          <t>台</t>
        </is>
      </c>
      <c r="F62" s="17" t="inlineStr">
        <is>
          <t>否</t>
        </is>
      </c>
      <c r="G62" s="23" t="n"/>
      <c r="H62" s="24">
        <f>IF($A62="","",IFERROR(LOOKUP(2,1/((入库单!$G$4:$G$2503=$A62)*(入库单!$Y$4:$Y$2503="正常")*(入库单!$L$4:$L$2503&gt;0)),入库单!$D$4:$D$2503),""))</f>
        <v/>
      </c>
      <c r="I62" s="25">
        <f>IF($A62="","",IFERROR(LOOKUP(2,1/((入库单!$G$4:$G$2503=$A62)*(入库单!$Y$4:$Y$2503="正常")*(入库单!$L$4:$L$2503&gt;0)),入库单!$L$4:$L$2503),0))</f>
        <v/>
      </c>
      <c r="J62" s="26">
        <f>IF($A62="","",IF($H62="A国内",ROUND($I62*倍数A*汇率,0),IF($H62="B当地",ROUND($I62*系数B,0),0)))</f>
        <v/>
      </c>
      <c r="K62" s="24">
        <f>IF($A62="","",IF(COUNTIFS(入库单!$G$4:$G$2503,$A62,入库单!$X$4:$X$2503,"待补价")&gt;0,"待补价",IF(COUNTIFS(入库单!$G$4:$G$2503,$A62,入库单!$X$4:$X$2503,"暂估")&gt;0,"暂估",IF($I62=0,"没有进价","正常"))))</f>
        <v/>
      </c>
      <c r="L62" s="27">
        <f>IF($A62="","",IFERROR(VLOOKUP($A62,库存台账!$A$5:$Y$1204,24,0),0))</f>
        <v/>
      </c>
      <c r="M62" s="26">
        <f>IF($A62="","",IFERROR(VLOOKUP($A62,库存台账!$A$5:$Y$1204,25,0),0))</f>
        <v/>
      </c>
      <c r="N62" s="19">
        <f>IF($A62="","",IFERROR(LOOKUP(2,1/((出库单!$D$4:$D$4003=$A62)*(出库单!$T$4:$T$4003="正常")),出库单!$C$4:$C$4003),""))</f>
        <v/>
      </c>
      <c r="O62" s="28">
        <f>IF($A62="","",IF($L62&lt;=0,"",IF($N62="",IFERROR(账期止-LOOKUP(2,1/(入库单!$G$4:$G$2503=$A62),入库单!$C$4:$C$2503),""),账期止-$N62)))</f>
        <v/>
      </c>
      <c r="P62" s="17" t="n"/>
    </row>
    <row r="63">
      <c r="A63" s="17" t="inlineStr">
        <is>
          <t>JH0060</t>
        </is>
      </c>
      <c r="B63" s="17" t="inlineStr">
        <is>
          <t>其他</t>
        </is>
      </c>
      <c r="C63" s="17" t="inlineStr">
        <is>
          <t>冰柜</t>
        </is>
      </c>
      <c r="D63" s="17" t="inlineStr">
        <is>
          <t>卧式 490升</t>
        </is>
      </c>
      <c r="E63" s="17" t="inlineStr">
        <is>
          <t>台</t>
        </is>
      </c>
      <c r="F63" s="17" t="inlineStr">
        <is>
          <t>否</t>
        </is>
      </c>
      <c r="G63" s="23" t="n"/>
      <c r="H63" s="24">
        <f>IF($A63="","",IFERROR(LOOKUP(2,1/((入库单!$G$4:$G$2503=$A63)*(入库单!$Y$4:$Y$2503="正常")*(入库单!$L$4:$L$2503&gt;0)),入库单!$D$4:$D$2503),""))</f>
        <v/>
      </c>
      <c r="I63" s="25">
        <f>IF($A63="","",IFERROR(LOOKUP(2,1/((入库单!$G$4:$G$2503=$A63)*(入库单!$Y$4:$Y$2503="正常")*(入库单!$L$4:$L$2503&gt;0)),入库单!$L$4:$L$2503),0))</f>
        <v/>
      </c>
      <c r="J63" s="26">
        <f>IF($A63="","",IF($H63="A国内",ROUND($I63*倍数A*汇率,0),IF($H63="B当地",ROUND($I63*系数B,0),0)))</f>
        <v/>
      </c>
      <c r="K63" s="24">
        <f>IF($A63="","",IF(COUNTIFS(入库单!$G$4:$G$2503,$A63,入库单!$X$4:$X$2503,"待补价")&gt;0,"待补价",IF(COUNTIFS(入库单!$G$4:$G$2503,$A63,入库单!$X$4:$X$2503,"暂估")&gt;0,"暂估",IF($I63=0,"没有进价","正常"))))</f>
        <v/>
      </c>
      <c r="L63" s="27">
        <f>IF($A63="","",IFERROR(VLOOKUP($A63,库存台账!$A$5:$Y$1204,24,0),0))</f>
        <v/>
      </c>
      <c r="M63" s="26">
        <f>IF($A63="","",IFERROR(VLOOKUP($A63,库存台账!$A$5:$Y$1204,25,0),0))</f>
        <v/>
      </c>
      <c r="N63" s="19">
        <f>IF($A63="","",IFERROR(LOOKUP(2,1/((出库单!$D$4:$D$4003=$A63)*(出库单!$T$4:$T$4003="正常")),出库单!$C$4:$C$4003),""))</f>
        <v/>
      </c>
      <c r="O63" s="28">
        <f>IF($A63="","",IF($L63&lt;=0,"",IF($N63="",IFERROR(账期止-LOOKUP(2,1/(入库单!$G$4:$G$2503=$A63),入库单!$C$4:$C$2503),""),账期止-$N63)))</f>
        <v/>
      </c>
      <c r="P63" s="17" t="n"/>
    </row>
    <row r="64">
      <c r="A64" s="17" t="inlineStr">
        <is>
          <t>JH0061</t>
        </is>
      </c>
      <c r="B64" s="17" t="inlineStr">
        <is>
          <t>其他</t>
        </is>
      </c>
      <c r="C64" s="17" t="inlineStr">
        <is>
          <t>热水器</t>
        </is>
      </c>
      <c r="D64" s="17" t="inlineStr">
        <is>
          <t>D80-G0L   100升 圆桶 3300瓦速热 3D聚热保温层 双效杀菌</t>
        </is>
      </c>
      <c r="E64" s="17" t="inlineStr">
        <is>
          <t>台</t>
        </is>
      </c>
      <c r="F64" s="17" t="inlineStr">
        <is>
          <t>否</t>
        </is>
      </c>
      <c r="G64" s="23" t="n"/>
      <c r="H64" s="24">
        <f>IF($A64="","",IFERROR(LOOKUP(2,1/((入库单!$G$4:$G$2503=$A64)*(入库单!$Y$4:$Y$2503="正常")*(入库单!$L$4:$L$2503&gt;0)),入库单!$D$4:$D$2503),""))</f>
        <v/>
      </c>
      <c r="I64" s="25">
        <f>IF($A64="","",IFERROR(LOOKUP(2,1/((入库单!$G$4:$G$2503=$A64)*(入库单!$Y$4:$Y$2503="正常")*(入库单!$L$4:$L$2503&gt;0)),入库单!$L$4:$L$2503),0))</f>
        <v/>
      </c>
      <c r="J64" s="26">
        <f>IF($A64="","",IF($H64="A国内",ROUND($I64*倍数A*汇率,0),IF($H64="B当地",ROUND($I64*系数B,0),0)))</f>
        <v/>
      </c>
      <c r="K64" s="24">
        <f>IF($A64="","",IF(COUNTIFS(入库单!$G$4:$G$2503,$A64,入库单!$X$4:$X$2503,"待补价")&gt;0,"待补价",IF(COUNTIFS(入库单!$G$4:$G$2503,$A64,入库单!$X$4:$X$2503,"暂估")&gt;0,"暂估",IF($I64=0,"没有进价","正常"))))</f>
        <v/>
      </c>
      <c r="L64" s="27">
        <f>IF($A64="","",IFERROR(VLOOKUP($A64,库存台账!$A$5:$Y$1204,24,0),0))</f>
        <v/>
      </c>
      <c r="M64" s="26">
        <f>IF($A64="","",IFERROR(VLOOKUP($A64,库存台账!$A$5:$Y$1204,25,0),0))</f>
        <v/>
      </c>
      <c r="N64" s="19">
        <f>IF($A64="","",IFERROR(LOOKUP(2,1/((出库单!$D$4:$D$4003=$A64)*(出库单!$T$4:$T$4003="正常")),出库单!$C$4:$C$4003),""))</f>
        <v/>
      </c>
      <c r="O64" s="28">
        <f>IF($A64="","",IF($L64&lt;=0,"",IF($N64="",IFERROR(账期止-LOOKUP(2,1/(入库单!$G$4:$G$2503=$A64),入库单!$C$4:$C$2503),""),账期止-$N64)))</f>
        <v/>
      </c>
      <c r="P64" s="17" t="n"/>
    </row>
    <row r="65">
      <c r="A65" s="17" t="inlineStr">
        <is>
          <t>JH0062</t>
        </is>
      </c>
      <c r="B65" s="17" t="inlineStr">
        <is>
          <t>其他</t>
        </is>
      </c>
      <c r="C65" s="17" t="inlineStr">
        <is>
          <t>双头单尾小炒灶</t>
        </is>
      </c>
      <c r="D65" s="17" t="inlineStr">
        <is>
          <t>SZCT26/52-SC</t>
        </is>
      </c>
      <c r="E65" s="17" t="inlineStr">
        <is>
          <t>台</t>
        </is>
      </c>
      <c r="F65" s="17" t="inlineStr">
        <is>
          <t>否</t>
        </is>
      </c>
      <c r="G65" s="23" t="n"/>
      <c r="H65" s="24">
        <f>IF($A65="","",IFERROR(LOOKUP(2,1/((入库单!$G$4:$G$2503=$A65)*(入库单!$Y$4:$Y$2503="正常")*(入库单!$L$4:$L$2503&gt;0)),入库单!$D$4:$D$2503),""))</f>
        <v/>
      </c>
      <c r="I65" s="25">
        <f>IF($A65="","",IFERROR(LOOKUP(2,1/((入库单!$G$4:$G$2503=$A65)*(入库单!$Y$4:$Y$2503="正常")*(入库单!$L$4:$L$2503&gt;0)),入库单!$L$4:$L$2503),0))</f>
        <v/>
      </c>
      <c r="J65" s="26">
        <f>IF($A65="","",IF($H65="A国内",ROUND($I65*倍数A*汇率,0),IF($H65="B当地",ROUND($I65*系数B,0),0)))</f>
        <v/>
      </c>
      <c r="K65" s="24">
        <f>IF($A65="","",IF(COUNTIFS(入库单!$G$4:$G$2503,$A65,入库单!$X$4:$X$2503,"待补价")&gt;0,"待补价",IF(COUNTIFS(入库单!$G$4:$G$2503,$A65,入库单!$X$4:$X$2503,"暂估")&gt;0,"暂估",IF($I65=0,"没有进价","正常"))))</f>
        <v/>
      </c>
      <c r="L65" s="27">
        <f>IF($A65="","",IFERROR(VLOOKUP($A65,库存台账!$A$5:$Y$1204,24,0),0))</f>
        <v/>
      </c>
      <c r="M65" s="26">
        <f>IF($A65="","",IFERROR(VLOOKUP($A65,库存台账!$A$5:$Y$1204,25,0),0))</f>
        <v/>
      </c>
      <c r="N65" s="19">
        <f>IF($A65="","",IFERROR(LOOKUP(2,1/((出库单!$D$4:$D$4003=$A65)*(出库单!$T$4:$T$4003="正常")),出库单!$C$4:$C$4003),""))</f>
        <v/>
      </c>
      <c r="O65" s="28">
        <f>IF($A65="","",IF($L65&lt;=0,"",IF($N65="",IFERROR(账期止-LOOKUP(2,1/(入库单!$G$4:$G$2503=$A65),入库单!$C$4:$C$2503),""),账期止-$N65)))</f>
        <v/>
      </c>
      <c r="P65" s="17" t="n"/>
    </row>
    <row r="66">
      <c r="A66" s="17" t="inlineStr">
        <is>
          <t>JH0063</t>
        </is>
      </c>
      <c r="B66" s="17" t="inlineStr">
        <is>
          <t>其他</t>
        </is>
      </c>
      <c r="C66" s="17" t="inlineStr">
        <is>
          <t>消毒柜</t>
        </is>
      </c>
      <c r="D66" s="17" t="inlineStr">
        <is>
          <t>XDZ500-F3 四层架 额定功率1210瓦 500升 紫外+中温烘干 201不锈钢层架</t>
        </is>
      </c>
      <c r="E66" s="17" t="inlineStr">
        <is>
          <t>台</t>
        </is>
      </c>
      <c r="F66" s="17" t="inlineStr">
        <is>
          <t>否</t>
        </is>
      </c>
      <c r="G66" s="23" t="n"/>
      <c r="H66" s="24">
        <f>IF($A66="","",IFERROR(LOOKUP(2,1/((入库单!$G$4:$G$2503=$A66)*(入库单!$Y$4:$Y$2503="正常")*(入库单!$L$4:$L$2503&gt;0)),入库单!$D$4:$D$2503),""))</f>
        <v/>
      </c>
      <c r="I66" s="25">
        <f>IF($A66="","",IFERROR(LOOKUP(2,1/((入库单!$G$4:$G$2503=$A66)*(入库单!$Y$4:$Y$2503="正常")*(入库单!$L$4:$L$2503&gt;0)),入库单!$L$4:$L$2503),0))</f>
        <v/>
      </c>
      <c r="J66" s="26">
        <f>IF($A66="","",IF($H66="A国内",ROUND($I66*倍数A*汇率,0),IF($H66="B当地",ROUND($I66*系数B,0),0)))</f>
        <v/>
      </c>
      <c r="K66" s="24">
        <f>IF($A66="","",IF(COUNTIFS(入库单!$G$4:$G$2503,$A66,入库单!$X$4:$X$2503,"待补价")&gt;0,"待补价",IF(COUNTIFS(入库单!$G$4:$G$2503,$A66,入库单!$X$4:$X$2503,"暂估")&gt;0,"暂估",IF($I66=0,"没有进价","正常"))))</f>
        <v/>
      </c>
      <c r="L66" s="27">
        <f>IF($A66="","",IFERROR(VLOOKUP($A66,库存台账!$A$5:$Y$1204,24,0),0))</f>
        <v/>
      </c>
      <c r="M66" s="26">
        <f>IF($A66="","",IFERROR(VLOOKUP($A66,库存台账!$A$5:$Y$1204,25,0),0))</f>
        <v/>
      </c>
      <c r="N66" s="19">
        <f>IF($A66="","",IFERROR(LOOKUP(2,1/((出库单!$D$4:$D$4003=$A66)*(出库单!$T$4:$T$4003="正常")),出库单!$C$4:$C$4003),""))</f>
        <v/>
      </c>
      <c r="O66" s="28">
        <f>IF($A66="","",IF($L66&lt;=0,"",IF($N66="",IFERROR(账期止-LOOKUP(2,1/(入库单!$G$4:$G$2503=$A66),入库单!$C$4:$C$2503),""),账期止-$N66)))</f>
        <v/>
      </c>
      <c r="P66" s="17" t="n"/>
    </row>
    <row r="67">
      <c r="A67" s="17" t="inlineStr">
        <is>
          <t>JH0064</t>
        </is>
      </c>
      <c r="B67" s="17" t="inlineStr">
        <is>
          <t>其他</t>
        </is>
      </c>
      <c r="C67" s="17" t="inlineStr">
        <is>
          <t>净水机</t>
        </is>
      </c>
      <c r="D67" s="17" t="inlineStr">
        <is>
          <t>10000L加强版（PVDF膜芯）</t>
        </is>
      </c>
      <c r="E67" s="17" t="inlineStr">
        <is>
          <t>台</t>
        </is>
      </c>
      <c r="F67" s="17" t="inlineStr">
        <is>
          <t>否</t>
        </is>
      </c>
      <c r="G67" s="23" t="n"/>
      <c r="H67" s="24">
        <f>IF($A67="","",IFERROR(LOOKUP(2,1/((入库单!$G$4:$G$2503=$A67)*(入库单!$Y$4:$Y$2503="正常")*(入库单!$L$4:$L$2503&gt;0)),入库单!$D$4:$D$2503),""))</f>
        <v/>
      </c>
      <c r="I67" s="25">
        <f>IF($A67="","",IFERROR(LOOKUP(2,1/((入库单!$G$4:$G$2503=$A67)*(入库单!$Y$4:$Y$2503="正常")*(入库单!$L$4:$L$2503&gt;0)),入库单!$L$4:$L$2503),0))</f>
        <v/>
      </c>
      <c r="J67" s="26">
        <f>IF($A67="","",IF($H67="A国内",ROUND($I67*倍数A*汇率,0),IF($H67="B当地",ROUND($I67*系数B,0),0)))</f>
        <v/>
      </c>
      <c r="K67" s="24">
        <f>IF($A67="","",IF(COUNTIFS(入库单!$G$4:$G$2503,$A67,入库单!$X$4:$X$2503,"待补价")&gt;0,"待补价",IF(COUNTIFS(入库单!$G$4:$G$2503,$A67,入库单!$X$4:$X$2503,"暂估")&gt;0,"暂估",IF($I67=0,"没有进价","正常"))))</f>
        <v/>
      </c>
      <c r="L67" s="27">
        <f>IF($A67="","",IFERROR(VLOOKUP($A67,库存台账!$A$5:$Y$1204,24,0),0))</f>
        <v/>
      </c>
      <c r="M67" s="26">
        <f>IF($A67="","",IFERROR(VLOOKUP($A67,库存台账!$A$5:$Y$1204,25,0),0))</f>
        <v/>
      </c>
      <c r="N67" s="19">
        <f>IF($A67="","",IFERROR(LOOKUP(2,1/((出库单!$D$4:$D$4003=$A67)*(出库单!$T$4:$T$4003="正常")),出库单!$C$4:$C$4003),""))</f>
        <v/>
      </c>
      <c r="O67" s="28">
        <f>IF($A67="","",IF($L67&lt;=0,"",IF($N67="",IFERROR(账期止-LOOKUP(2,1/(入库单!$G$4:$G$2503=$A67),入库单!$C$4:$C$2503),""),账期止-$N67)))</f>
        <v/>
      </c>
      <c r="P67" s="17" t="n"/>
    </row>
    <row r="68">
      <c r="A68" s="17" t="inlineStr">
        <is>
          <t>JH0065</t>
        </is>
      </c>
      <c r="B68" s="17" t="inlineStr">
        <is>
          <t>其他</t>
        </is>
      </c>
      <c r="C68" s="17" t="inlineStr">
        <is>
          <t>飞鹤牌雨靴</t>
        </is>
      </c>
      <c r="D68" s="17" t="inlineStr"/>
      <c r="E68" s="17" t="inlineStr">
        <is>
          <t>双</t>
        </is>
      </c>
      <c r="F68" s="17" t="inlineStr">
        <is>
          <t>否</t>
        </is>
      </c>
      <c r="G68" s="23" t="n"/>
      <c r="H68" s="24">
        <f>IF($A68="","",IFERROR(LOOKUP(2,1/((入库单!$G$4:$G$2503=$A68)*(入库单!$Y$4:$Y$2503="正常")*(入库单!$L$4:$L$2503&gt;0)),入库单!$D$4:$D$2503),""))</f>
        <v/>
      </c>
      <c r="I68" s="25">
        <f>IF($A68="","",IFERROR(LOOKUP(2,1/((入库单!$G$4:$G$2503=$A68)*(入库单!$Y$4:$Y$2503="正常")*(入库单!$L$4:$L$2503&gt;0)),入库单!$L$4:$L$2503),0))</f>
        <v/>
      </c>
      <c r="J68" s="26">
        <f>IF($A68="","",IF($H68="A国内",ROUND($I68*倍数A*汇率,0),IF($H68="B当地",ROUND($I68*系数B,0),0)))</f>
        <v/>
      </c>
      <c r="K68" s="24">
        <f>IF($A68="","",IF(COUNTIFS(入库单!$G$4:$G$2503,$A68,入库单!$X$4:$X$2503,"待补价")&gt;0,"待补价",IF(COUNTIFS(入库单!$G$4:$G$2503,$A68,入库单!$X$4:$X$2503,"暂估")&gt;0,"暂估",IF($I68=0,"没有进价","正常"))))</f>
        <v/>
      </c>
      <c r="L68" s="27">
        <f>IF($A68="","",IFERROR(VLOOKUP($A68,库存台账!$A$5:$Y$1204,24,0),0))</f>
        <v/>
      </c>
      <c r="M68" s="26">
        <f>IF($A68="","",IFERROR(VLOOKUP($A68,库存台账!$A$5:$Y$1204,25,0),0))</f>
        <v/>
      </c>
      <c r="N68" s="19">
        <f>IF($A68="","",IFERROR(LOOKUP(2,1/((出库单!$D$4:$D$4003=$A68)*(出库单!$T$4:$T$4003="正常")),出库单!$C$4:$C$4003),""))</f>
        <v/>
      </c>
      <c r="O68" s="28">
        <f>IF($A68="","",IF($L68&lt;=0,"",IF($N68="",IFERROR(账期止-LOOKUP(2,1/(入库单!$G$4:$G$2503=$A68),入库单!$C$4:$C$2503),""),账期止-$N68)))</f>
        <v/>
      </c>
      <c r="P68" s="17" t="n"/>
    </row>
    <row r="69">
      <c r="A69" s="17" t="inlineStr">
        <is>
          <t>JH0066</t>
        </is>
      </c>
      <c r="B69" s="17" t="inlineStr">
        <is>
          <t>五金管件</t>
        </is>
      </c>
      <c r="C69" s="17" t="inlineStr">
        <is>
          <t>手持电锯</t>
        </is>
      </c>
      <c r="D69" s="17" t="inlineStr"/>
      <c r="E69" s="17" t="inlineStr">
        <is>
          <t>把</t>
        </is>
      </c>
      <c r="F69" s="17" t="inlineStr">
        <is>
          <t>否</t>
        </is>
      </c>
      <c r="G69" s="23" t="n"/>
      <c r="H69" s="24">
        <f>IF($A69="","",IFERROR(LOOKUP(2,1/((入库单!$G$4:$G$2503=$A69)*(入库单!$Y$4:$Y$2503="正常")*(入库单!$L$4:$L$2503&gt;0)),入库单!$D$4:$D$2503),""))</f>
        <v/>
      </c>
      <c r="I69" s="25">
        <f>IF($A69="","",IFERROR(LOOKUP(2,1/((入库单!$G$4:$G$2503=$A69)*(入库单!$Y$4:$Y$2503="正常")*(入库单!$L$4:$L$2503&gt;0)),入库单!$L$4:$L$2503),0))</f>
        <v/>
      </c>
      <c r="J69" s="26">
        <f>IF($A69="","",IF($H69="A国内",ROUND($I69*倍数A*汇率,0),IF($H69="B当地",ROUND($I69*系数B,0),0)))</f>
        <v/>
      </c>
      <c r="K69" s="24">
        <f>IF($A69="","",IF(COUNTIFS(入库单!$G$4:$G$2503,$A69,入库单!$X$4:$X$2503,"待补价")&gt;0,"待补价",IF(COUNTIFS(入库单!$G$4:$G$2503,$A69,入库单!$X$4:$X$2503,"暂估")&gt;0,"暂估",IF($I69=0,"没有进价","正常"))))</f>
        <v/>
      </c>
      <c r="L69" s="27">
        <f>IF($A69="","",IFERROR(VLOOKUP($A69,库存台账!$A$5:$Y$1204,24,0),0))</f>
        <v/>
      </c>
      <c r="M69" s="26">
        <f>IF($A69="","",IFERROR(VLOOKUP($A69,库存台账!$A$5:$Y$1204,25,0),0))</f>
        <v/>
      </c>
      <c r="N69" s="19">
        <f>IF($A69="","",IFERROR(LOOKUP(2,1/((出库单!$D$4:$D$4003=$A69)*(出库单!$T$4:$T$4003="正常")),出库单!$C$4:$C$4003),""))</f>
        <v/>
      </c>
      <c r="O69" s="28">
        <f>IF($A69="","",IF($L69&lt;=0,"",IF($N69="",IFERROR(账期止-LOOKUP(2,1/(入库单!$G$4:$G$2503=$A69),入库单!$C$4:$C$2503),""),账期止-$N69)))</f>
        <v/>
      </c>
      <c r="P69" s="17" t="n"/>
    </row>
    <row r="70">
      <c r="A70" s="17" t="inlineStr">
        <is>
          <t>JH0067</t>
        </is>
      </c>
      <c r="B70" s="17" t="inlineStr">
        <is>
          <t>其他</t>
        </is>
      </c>
      <c r="C70" s="17" t="inlineStr">
        <is>
          <t>链条</t>
        </is>
      </c>
      <c r="D70" s="17" t="inlineStr"/>
      <c r="E70" s="17" t="inlineStr">
        <is>
          <t>条</t>
        </is>
      </c>
      <c r="F70" s="17" t="inlineStr">
        <is>
          <t>否</t>
        </is>
      </c>
      <c r="G70" s="23" t="n"/>
      <c r="H70" s="24">
        <f>IF($A70="","",IFERROR(LOOKUP(2,1/((入库单!$G$4:$G$2503=$A70)*(入库单!$Y$4:$Y$2503="正常")*(入库单!$L$4:$L$2503&gt;0)),入库单!$D$4:$D$2503),""))</f>
        <v/>
      </c>
      <c r="I70" s="25">
        <f>IF($A70="","",IFERROR(LOOKUP(2,1/((入库单!$G$4:$G$2503=$A70)*(入库单!$Y$4:$Y$2503="正常")*(入库单!$L$4:$L$2503&gt;0)),入库单!$L$4:$L$2503),0))</f>
        <v/>
      </c>
      <c r="J70" s="26">
        <f>IF($A70="","",IF($H70="A国内",ROUND($I70*倍数A*汇率,0),IF($H70="B当地",ROUND($I70*系数B,0),0)))</f>
        <v/>
      </c>
      <c r="K70" s="24">
        <f>IF($A70="","",IF(COUNTIFS(入库单!$G$4:$G$2503,$A70,入库单!$X$4:$X$2503,"待补价")&gt;0,"待补价",IF(COUNTIFS(入库单!$G$4:$G$2503,$A70,入库单!$X$4:$X$2503,"暂估")&gt;0,"暂估",IF($I70=0,"没有进价","正常"))))</f>
        <v/>
      </c>
      <c r="L70" s="27">
        <f>IF($A70="","",IFERROR(VLOOKUP($A70,库存台账!$A$5:$Y$1204,24,0),0))</f>
        <v/>
      </c>
      <c r="M70" s="26">
        <f>IF($A70="","",IFERROR(VLOOKUP($A70,库存台账!$A$5:$Y$1204,25,0),0))</f>
        <v/>
      </c>
      <c r="N70" s="19">
        <f>IF($A70="","",IFERROR(LOOKUP(2,1/((出库单!$D$4:$D$4003=$A70)*(出库单!$T$4:$T$4003="正常")),出库单!$C$4:$C$4003),""))</f>
        <v/>
      </c>
      <c r="O70" s="28">
        <f>IF($A70="","",IF($L70&lt;=0,"",IF($N70="",IFERROR(账期止-LOOKUP(2,1/(入库单!$G$4:$G$2503=$A70),入库单!$C$4:$C$2503),""),账期止-$N70)))</f>
        <v/>
      </c>
      <c r="P70" s="17" t="n"/>
    </row>
    <row r="71">
      <c r="A71" s="17" t="inlineStr">
        <is>
          <t>JH0068</t>
        </is>
      </c>
      <c r="B71" s="17" t="inlineStr">
        <is>
          <t>其他</t>
        </is>
      </c>
      <c r="C71" s="17" t="inlineStr">
        <is>
          <t>切割机</t>
        </is>
      </c>
      <c r="D71" s="17" t="inlineStr">
        <is>
          <t>直径400mm</t>
        </is>
      </c>
      <c r="E71" s="17" t="inlineStr">
        <is>
          <t>台</t>
        </is>
      </c>
      <c r="F71" s="17" t="inlineStr">
        <is>
          <t>否</t>
        </is>
      </c>
      <c r="G71" s="23" t="n"/>
      <c r="H71" s="24">
        <f>IF($A71="","",IFERROR(LOOKUP(2,1/((入库单!$G$4:$G$2503=$A71)*(入库单!$Y$4:$Y$2503="正常")*(入库单!$L$4:$L$2503&gt;0)),入库单!$D$4:$D$2503),""))</f>
        <v/>
      </c>
      <c r="I71" s="25">
        <f>IF($A71="","",IFERROR(LOOKUP(2,1/((入库单!$G$4:$G$2503=$A71)*(入库单!$Y$4:$Y$2503="正常")*(入库单!$L$4:$L$2503&gt;0)),入库单!$L$4:$L$2503),0))</f>
        <v/>
      </c>
      <c r="J71" s="26">
        <f>IF($A71="","",IF($H71="A国内",ROUND($I71*倍数A*汇率,0),IF($H71="B当地",ROUND($I71*系数B,0),0)))</f>
        <v/>
      </c>
      <c r="K71" s="24">
        <f>IF($A71="","",IF(COUNTIFS(入库单!$G$4:$G$2503,$A71,入库单!$X$4:$X$2503,"待补价")&gt;0,"待补价",IF(COUNTIFS(入库单!$G$4:$G$2503,$A71,入库单!$X$4:$X$2503,"暂估")&gt;0,"暂估",IF($I71=0,"没有进价","正常"))))</f>
        <v/>
      </c>
      <c r="L71" s="27">
        <f>IF($A71="","",IFERROR(VLOOKUP($A71,库存台账!$A$5:$Y$1204,24,0),0))</f>
        <v/>
      </c>
      <c r="M71" s="26">
        <f>IF($A71="","",IFERROR(VLOOKUP($A71,库存台账!$A$5:$Y$1204,25,0),0))</f>
        <v/>
      </c>
      <c r="N71" s="19">
        <f>IF($A71="","",IFERROR(LOOKUP(2,1/((出库单!$D$4:$D$4003=$A71)*(出库单!$T$4:$T$4003="正常")),出库单!$C$4:$C$4003),""))</f>
        <v/>
      </c>
      <c r="O71" s="28">
        <f>IF($A71="","",IF($L71&lt;=0,"",IF($N71="",IFERROR(账期止-LOOKUP(2,1/(入库单!$G$4:$G$2503=$A71),入库单!$C$4:$C$2503),""),账期止-$N71)))</f>
        <v/>
      </c>
      <c r="P71" s="17" t="n"/>
    </row>
    <row r="72">
      <c r="A72" s="17" t="inlineStr">
        <is>
          <t>JH0069</t>
        </is>
      </c>
      <c r="B72" s="17" t="inlineStr">
        <is>
          <t>其他</t>
        </is>
      </c>
      <c r="C72" s="17" t="inlineStr">
        <is>
          <t>切割片</t>
        </is>
      </c>
      <c r="D72" s="17" t="inlineStr">
        <is>
          <t>400mm</t>
        </is>
      </c>
      <c r="E72" s="17" t="inlineStr">
        <is>
          <t>件</t>
        </is>
      </c>
      <c r="F72" s="17" t="inlineStr">
        <is>
          <t>否</t>
        </is>
      </c>
      <c r="G72" s="23" t="n"/>
      <c r="H72" s="24">
        <f>IF($A72="","",IFERROR(LOOKUP(2,1/((入库单!$G$4:$G$2503=$A72)*(入库单!$Y$4:$Y$2503="正常")*(入库单!$L$4:$L$2503&gt;0)),入库单!$D$4:$D$2503),""))</f>
        <v/>
      </c>
      <c r="I72" s="25">
        <f>IF($A72="","",IFERROR(LOOKUP(2,1/((入库单!$G$4:$G$2503=$A72)*(入库单!$Y$4:$Y$2503="正常")*(入库单!$L$4:$L$2503&gt;0)),入库单!$L$4:$L$2503),0))</f>
        <v/>
      </c>
      <c r="J72" s="26">
        <f>IF($A72="","",IF($H72="A国内",ROUND($I72*倍数A*汇率,0),IF($H72="B当地",ROUND($I72*系数B,0),0)))</f>
        <v/>
      </c>
      <c r="K72" s="24">
        <f>IF($A72="","",IF(COUNTIFS(入库单!$G$4:$G$2503,$A72,入库单!$X$4:$X$2503,"待补价")&gt;0,"待补价",IF(COUNTIFS(入库单!$G$4:$G$2503,$A72,入库单!$X$4:$X$2503,"暂估")&gt;0,"暂估",IF($I72=0,"没有进价","正常"))))</f>
        <v/>
      </c>
      <c r="L72" s="27">
        <f>IF($A72="","",IFERROR(VLOOKUP($A72,库存台账!$A$5:$Y$1204,24,0),0))</f>
        <v/>
      </c>
      <c r="M72" s="26">
        <f>IF($A72="","",IFERROR(VLOOKUP($A72,库存台账!$A$5:$Y$1204,25,0),0))</f>
        <v/>
      </c>
      <c r="N72" s="19">
        <f>IF($A72="","",IFERROR(LOOKUP(2,1/((出库单!$D$4:$D$4003=$A72)*(出库单!$T$4:$T$4003="正常")),出库单!$C$4:$C$4003),""))</f>
        <v/>
      </c>
      <c r="O72" s="28">
        <f>IF($A72="","",IF($L72&lt;=0,"",IF($N72="",IFERROR(账期止-LOOKUP(2,1/(入库单!$G$4:$G$2503=$A72),入库单!$C$4:$C$2503),""),账期止-$N72)))</f>
        <v/>
      </c>
      <c r="P72" s="17" t="n"/>
    </row>
    <row r="73">
      <c r="A73" s="17" t="inlineStr">
        <is>
          <t>JH0070</t>
        </is>
      </c>
      <c r="B73" s="17" t="inlineStr">
        <is>
          <t>其他</t>
        </is>
      </c>
      <c r="C73" s="17" t="inlineStr">
        <is>
          <t>砂轮机</t>
        </is>
      </c>
      <c r="D73" s="17" t="inlineStr">
        <is>
          <t>直径300mm</t>
        </is>
      </c>
      <c r="E73" s="17" t="inlineStr">
        <is>
          <t>台</t>
        </is>
      </c>
      <c r="F73" s="17" t="inlineStr">
        <is>
          <t>否</t>
        </is>
      </c>
      <c r="G73" s="23" t="n"/>
      <c r="H73" s="24">
        <f>IF($A73="","",IFERROR(LOOKUP(2,1/((入库单!$G$4:$G$2503=$A73)*(入库单!$Y$4:$Y$2503="正常")*(入库单!$L$4:$L$2503&gt;0)),入库单!$D$4:$D$2503),""))</f>
        <v/>
      </c>
      <c r="I73" s="25">
        <f>IF($A73="","",IFERROR(LOOKUP(2,1/((入库单!$G$4:$G$2503=$A73)*(入库单!$Y$4:$Y$2503="正常")*(入库单!$L$4:$L$2503&gt;0)),入库单!$L$4:$L$2503),0))</f>
        <v/>
      </c>
      <c r="J73" s="26">
        <f>IF($A73="","",IF($H73="A国内",ROUND($I73*倍数A*汇率,0),IF($H73="B当地",ROUND($I73*系数B,0),0)))</f>
        <v/>
      </c>
      <c r="K73" s="24">
        <f>IF($A73="","",IF(COUNTIFS(入库单!$G$4:$G$2503,$A73,入库单!$X$4:$X$2503,"待补价")&gt;0,"待补价",IF(COUNTIFS(入库单!$G$4:$G$2503,$A73,入库单!$X$4:$X$2503,"暂估")&gt;0,"暂估",IF($I73=0,"没有进价","正常"))))</f>
        <v/>
      </c>
      <c r="L73" s="27">
        <f>IF($A73="","",IFERROR(VLOOKUP($A73,库存台账!$A$5:$Y$1204,24,0),0))</f>
        <v/>
      </c>
      <c r="M73" s="26">
        <f>IF($A73="","",IFERROR(VLOOKUP($A73,库存台账!$A$5:$Y$1204,25,0),0))</f>
        <v/>
      </c>
      <c r="N73" s="19">
        <f>IF($A73="","",IFERROR(LOOKUP(2,1/((出库单!$D$4:$D$4003=$A73)*(出库单!$T$4:$T$4003="正常")),出库单!$C$4:$C$4003),""))</f>
        <v/>
      </c>
      <c r="O73" s="28">
        <f>IF($A73="","",IF($L73&lt;=0,"",IF($N73="",IFERROR(账期止-LOOKUP(2,1/(入库单!$G$4:$G$2503=$A73),入库单!$C$4:$C$2503),""),账期止-$N73)))</f>
        <v/>
      </c>
      <c r="P73" s="17" t="n"/>
    </row>
    <row r="74">
      <c r="A74" s="17" t="inlineStr">
        <is>
          <t>JH0071</t>
        </is>
      </c>
      <c r="B74" s="17" t="inlineStr">
        <is>
          <t>其他</t>
        </is>
      </c>
      <c r="C74" s="17" t="inlineStr">
        <is>
          <t>砂轮机砂轮</t>
        </is>
      </c>
      <c r="D74" s="17" t="inlineStr">
        <is>
          <t>300mm</t>
        </is>
      </c>
      <c r="E74" s="17" t="inlineStr">
        <is>
          <t>片</t>
        </is>
      </c>
      <c r="F74" s="17" t="inlineStr">
        <is>
          <t>否</t>
        </is>
      </c>
      <c r="G74" s="23" t="n"/>
      <c r="H74" s="24">
        <f>IF($A74="","",IFERROR(LOOKUP(2,1/((入库单!$G$4:$G$2503=$A74)*(入库单!$Y$4:$Y$2503="正常")*(入库单!$L$4:$L$2503&gt;0)),入库单!$D$4:$D$2503),""))</f>
        <v/>
      </c>
      <c r="I74" s="25">
        <f>IF($A74="","",IFERROR(LOOKUP(2,1/((入库单!$G$4:$G$2503=$A74)*(入库单!$Y$4:$Y$2503="正常")*(入库单!$L$4:$L$2503&gt;0)),入库单!$L$4:$L$2503),0))</f>
        <v/>
      </c>
      <c r="J74" s="26">
        <f>IF($A74="","",IF($H74="A国内",ROUND($I74*倍数A*汇率,0),IF($H74="B当地",ROUND($I74*系数B,0),0)))</f>
        <v/>
      </c>
      <c r="K74" s="24">
        <f>IF($A74="","",IF(COUNTIFS(入库单!$G$4:$G$2503,$A74,入库单!$X$4:$X$2503,"待补价")&gt;0,"待补价",IF(COUNTIFS(入库单!$G$4:$G$2503,$A74,入库单!$X$4:$X$2503,"暂估")&gt;0,"暂估",IF($I74=0,"没有进价","正常"))))</f>
        <v/>
      </c>
      <c r="L74" s="27">
        <f>IF($A74="","",IFERROR(VLOOKUP($A74,库存台账!$A$5:$Y$1204,24,0),0))</f>
        <v/>
      </c>
      <c r="M74" s="26">
        <f>IF($A74="","",IFERROR(VLOOKUP($A74,库存台账!$A$5:$Y$1204,25,0),0))</f>
        <v/>
      </c>
      <c r="N74" s="19">
        <f>IF($A74="","",IFERROR(LOOKUP(2,1/((出库单!$D$4:$D$4003=$A74)*(出库单!$T$4:$T$4003="正常")),出库单!$C$4:$C$4003),""))</f>
        <v/>
      </c>
      <c r="O74" s="28">
        <f>IF($A74="","",IF($L74&lt;=0,"",IF($N74="",IFERROR(账期止-LOOKUP(2,1/(入库单!$G$4:$G$2503=$A74),入库单!$C$4:$C$2503),""),账期止-$N74)))</f>
        <v/>
      </c>
      <c r="P74" s="17" t="n"/>
    </row>
    <row r="75">
      <c r="A75" s="17" t="inlineStr">
        <is>
          <t>JH0072</t>
        </is>
      </c>
      <c r="B75" s="17" t="inlineStr">
        <is>
          <t>其他</t>
        </is>
      </c>
      <c r="C75" s="17" t="inlineStr">
        <is>
          <t>角磨机打磨片</t>
        </is>
      </c>
      <c r="D75" s="17" t="inlineStr"/>
      <c r="E75" s="17" t="inlineStr">
        <is>
          <t>盒</t>
        </is>
      </c>
      <c r="F75" s="17" t="inlineStr">
        <is>
          <t>否</t>
        </is>
      </c>
      <c r="G75" s="23" t="n"/>
      <c r="H75" s="24">
        <f>IF($A75="","",IFERROR(LOOKUP(2,1/((入库单!$G$4:$G$2503=$A75)*(入库单!$Y$4:$Y$2503="正常")*(入库单!$L$4:$L$2503&gt;0)),入库单!$D$4:$D$2503),""))</f>
        <v/>
      </c>
      <c r="I75" s="25">
        <f>IF($A75="","",IFERROR(LOOKUP(2,1/((入库单!$G$4:$G$2503=$A75)*(入库单!$Y$4:$Y$2503="正常")*(入库单!$L$4:$L$2503&gt;0)),入库单!$L$4:$L$2503),0))</f>
        <v/>
      </c>
      <c r="J75" s="26">
        <f>IF($A75="","",IF($H75="A国内",ROUND($I75*倍数A*汇率,0),IF($H75="B当地",ROUND($I75*系数B,0),0)))</f>
        <v/>
      </c>
      <c r="K75" s="24">
        <f>IF($A75="","",IF(COUNTIFS(入库单!$G$4:$G$2503,$A75,入库单!$X$4:$X$2503,"待补价")&gt;0,"待补价",IF(COUNTIFS(入库单!$G$4:$G$2503,$A75,入库单!$X$4:$X$2503,"暂估")&gt;0,"暂估",IF($I75=0,"没有进价","正常"))))</f>
        <v/>
      </c>
      <c r="L75" s="27">
        <f>IF($A75="","",IFERROR(VLOOKUP($A75,库存台账!$A$5:$Y$1204,24,0),0))</f>
        <v/>
      </c>
      <c r="M75" s="26">
        <f>IF($A75="","",IFERROR(VLOOKUP($A75,库存台账!$A$5:$Y$1204,25,0),0))</f>
        <v/>
      </c>
      <c r="N75" s="19">
        <f>IF($A75="","",IFERROR(LOOKUP(2,1/((出库单!$D$4:$D$4003=$A75)*(出库单!$T$4:$T$4003="正常")),出库单!$C$4:$C$4003),""))</f>
        <v/>
      </c>
      <c r="O75" s="28">
        <f>IF($A75="","",IF($L75&lt;=0,"",IF($N75="",IFERROR(账期止-LOOKUP(2,1/(入库单!$G$4:$G$2503=$A75),入库单!$C$4:$C$2503),""),账期止-$N75)))</f>
        <v/>
      </c>
      <c r="P75" s="17" t="n"/>
    </row>
    <row r="76">
      <c r="A76" s="17" t="inlineStr">
        <is>
          <t>JH0073</t>
        </is>
      </c>
      <c r="B76" s="17" t="inlineStr">
        <is>
          <t>其他</t>
        </is>
      </c>
      <c r="C76" s="17" t="inlineStr">
        <is>
          <t>角磨机切割片</t>
        </is>
      </c>
      <c r="D76" s="17" t="inlineStr"/>
      <c r="E76" s="17" t="inlineStr">
        <is>
          <t>盒</t>
        </is>
      </c>
      <c r="F76" s="17" t="inlineStr">
        <is>
          <t>否</t>
        </is>
      </c>
      <c r="G76" s="23" t="n"/>
      <c r="H76" s="24">
        <f>IF($A76="","",IFERROR(LOOKUP(2,1/((入库单!$G$4:$G$2503=$A76)*(入库单!$Y$4:$Y$2503="正常")*(入库单!$L$4:$L$2503&gt;0)),入库单!$D$4:$D$2503),""))</f>
        <v/>
      </c>
      <c r="I76" s="25">
        <f>IF($A76="","",IFERROR(LOOKUP(2,1/((入库单!$G$4:$G$2503=$A76)*(入库单!$Y$4:$Y$2503="正常")*(入库单!$L$4:$L$2503&gt;0)),入库单!$L$4:$L$2503),0))</f>
        <v/>
      </c>
      <c r="J76" s="26">
        <f>IF($A76="","",IF($H76="A国内",ROUND($I76*倍数A*汇率,0),IF($H76="B当地",ROUND($I76*系数B,0),0)))</f>
        <v/>
      </c>
      <c r="K76" s="24">
        <f>IF($A76="","",IF(COUNTIFS(入库单!$G$4:$G$2503,$A76,入库单!$X$4:$X$2503,"待补价")&gt;0,"待补价",IF(COUNTIFS(入库单!$G$4:$G$2503,$A76,入库单!$X$4:$X$2503,"暂估")&gt;0,"暂估",IF($I76=0,"没有进价","正常"))))</f>
        <v/>
      </c>
      <c r="L76" s="27">
        <f>IF($A76="","",IFERROR(VLOOKUP($A76,库存台账!$A$5:$Y$1204,24,0),0))</f>
        <v/>
      </c>
      <c r="M76" s="26">
        <f>IF($A76="","",IFERROR(VLOOKUP($A76,库存台账!$A$5:$Y$1204,25,0),0))</f>
        <v/>
      </c>
      <c r="N76" s="19">
        <f>IF($A76="","",IFERROR(LOOKUP(2,1/((出库单!$D$4:$D$4003=$A76)*(出库单!$T$4:$T$4003="正常")),出库单!$C$4:$C$4003),""))</f>
        <v/>
      </c>
      <c r="O76" s="28">
        <f>IF($A76="","",IF($L76&lt;=0,"",IF($N76="",IFERROR(账期止-LOOKUP(2,1/(入库单!$G$4:$G$2503=$A76),入库单!$C$4:$C$2503),""),账期止-$N76)))</f>
        <v/>
      </c>
      <c r="P76" s="17" t="n"/>
    </row>
    <row r="77">
      <c r="A77" s="17" t="inlineStr">
        <is>
          <t>JH0074</t>
        </is>
      </c>
      <c r="B77" s="17" t="inlineStr">
        <is>
          <t>其他</t>
        </is>
      </c>
      <c r="C77" s="17" t="inlineStr">
        <is>
          <t>高压绝缘自粘带</t>
        </is>
      </c>
      <c r="D77" s="17" t="inlineStr">
        <is>
          <t>10KV</t>
        </is>
      </c>
      <c r="E77" s="17" t="inlineStr">
        <is>
          <t>箱/100个</t>
        </is>
      </c>
      <c r="F77" s="17" t="inlineStr">
        <is>
          <t>否</t>
        </is>
      </c>
      <c r="G77" s="23" t="n"/>
      <c r="H77" s="24">
        <f>IF($A77="","",IFERROR(LOOKUP(2,1/((入库单!$G$4:$G$2503=$A77)*(入库单!$Y$4:$Y$2503="正常")*(入库单!$L$4:$L$2503&gt;0)),入库单!$D$4:$D$2503),""))</f>
        <v/>
      </c>
      <c r="I77" s="25">
        <f>IF($A77="","",IFERROR(LOOKUP(2,1/((入库单!$G$4:$G$2503=$A77)*(入库单!$Y$4:$Y$2503="正常")*(入库单!$L$4:$L$2503&gt;0)),入库单!$L$4:$L$2503),0))</f>
        <v/>
      </c>
      <c r="J77" s="26">
        <f>IF($A77="","",IF($H77="A国内",ROUND($I77*倍数A*汇率,0),IF($H77="B当地",ROUND($I77*系数B,0),0)))</f>
        <v/>
      </c>
      <c r="K77" s="24">
        <f>IF($A77="","",IF(COUNTIFS(入库单!$G$4:$G$2503,$A77,入库单!$X$4:$X$2503,"待补价")&gt;0,"待补价",IF(COUNTIFS(入库单!$G$4:$G$2503,$A77,入库单!$X$4:$X$2503,"暂估")&gt;0,"暂估",IF($I77=0,"没有进价","正常"))))</f>
        <v/>
      </c>
      <c r="L77" s="27">
        <f>IF($A77="","",IFERROR(VLOOKUP($A77,库存台账!$A$5:$Y$1204,24,0),0))</f>
        <v/>
      </c>
      <c r="M77" s="26">
        <f>IF($A77="","",IFERROR(VLOOKUP($A77,库存台账!$A$5:$Y$1204,25,0),0))</f>
        <v/>
      </c>
      <c r="N77" s="19">
        <f>IF($A77="","",IFERROR(LOOKUP(2,1/((出库单!$D$4:$D$4003=$A77)*(出库单!$T$4:$T$4003="正常")),出库单!$C$4:$C$4003),""))</f>
        <v/>
      </c>
      <c r="O77" s="28">
        <f>IF($A77="","",IF($L77&lt;=0,"",IF($N77="",IFERROR(账期止-LOOKUP(2,1/(入库单!$G$4:$G$2503=$A77),入库单!$C$4:$C$2503),""),账期止-$N77)))</f>
        <v/>
      </c>
      <c r="P77" s="17" t="n"/>
    </row>
    <row r="78">
      <c r="A78" s="17" t="inlineStr">
        <is>
          <t>JH0075</t>
        </is>
      </c>
      <c r="B78" s="17" t="inlineStr">
        <is>
          <t>其他</t>
        </is>
      </c>
      <c r="C78" s="17" t="inlineStr">
        <is>
          <t>绝缘胶带</t>
        </is>
      </c>
      <c r="D78" s="17" t="inlineStr">
        <is>
          <t>0.4KV</t>
        </is>
      </c>
      <c r="E78" s="17" t="inlineStr">
        <is>
          <t>箱/300个</t>
        </is>
      </c>
      <c r="F78" s="17" t="inlineStr">
        <is>
          <t>否</t>
        </is>
      </c>
      <c r="G78" s="23" t="n"/>
      <c r="H78" s="24">
        <f>IF($A78="","",IFERROR(LOOKUP(2,1/((入库单!$G$4:$G$2503=$A78)*(入库单!$Y$4:$Y$2503="正常")*(入库单!$L$4:$L$2503&gt;0)),入库单!$D$4:$D$2503),""))</f>
        <v/>
      </c>
      <c r="I78" s="25">
        <f>IF($A78="","",IFERROR(LOOKUP(2,1/((入库单!$G$4:$G$2503=$A78)*(入库单!$Y$4:$Y$2503="正常")*(入库单!$L$4:$L$2503&gt;0)),入库单!$L$4:$L$2503),0))</f>
        <v/>
      </c>
      <c r="J78" s="26">
        <f>IF($A78="","",IF($H78="A国内",ROUND($I78*倍数A*汇率,0),IF($H78="B当地",ROUND($I78*系数B,0),0)))</f>
        <v/>
      </c>
      <c r="K78" s="24">
        <f>IF($A78="","",IF(COUNTIFS(入库单!$G$4:$G$2503,$A78,入库单!$X$4:$X$2503,"待补价")&gt;0,"待补价",IF(COUNTIFS(入库单!$G$4:$G$2503,$A78,入库单!$X$4:$X$2503,"暂估")&gt;0,"暂估",IF($I78=0,"没有进价","正常"))))</f>
        <v/>
      </c>
      <c r="L78" s="27">
        <f>IF($A78="","",IFERROR(VLOOKUP($A78,库存台账!$A$5:$Y$1204,24,0),0))</f>
        <v/>
      </c>
      <c r="M78" s="26">
        <f>IF($A78="","",IFERROR(VLOOKUP($A78,库存台账!$A$5:$Y$1204,25,0),0))</f>
        <v/>
      </c>
      <c r="N78" s="19">
        <f>IF($A78="","",IFERROR(LOOKUP(2,1/((出库单!$D$4:$D$4003=$A78)*(出库单!$T$4:$T$4003="正常")),出库单!$C$4:$C$4003),""))</f>
        <v/>
      </c>
      <c r="O78" s="28">
        <f>IF($A78="","",IF($L78&lt;=0,"",IF($N78="",IFERROR(账期止-LOOKUP(2,1/(入库单!$G$4:$G$2503=$A78),入库单!$C$4:$C$2503),""),账期止-$N78)))</f>
        <v/>
      </c>
      <c r="P78" s="17" t="n"/>
    </row>
    <row r="79">
      <c r="A79" s="17" t="inlineStr">
        <is>
          <t>JH0076</t>
        </is>
      </c>
      <c r="B79" s="17" t="inlineStr">
        <is>
          <t>电缆电气</t>
        </is>
      </c>
      <c r="C79" s="17" t="inlineStr">
        <is>
          <t>交流接触器</t>
        </is>
      </c>
      <c r="D79" s="17" t="inlineStr">
        <is>
          <t>6510</t>
        </is>
      </c>
      <c r="E79" s="17" t="inlineStr">
        <is>
          <t>只</t>
        </is>
      </c>
      <c r="F79" s="17" t="inlineStr">
        <is>
          <t>否</t>
        </is>
      </c>
      <c r="G79" s="23" t="n"/>
      <c r="H79" s="24">
        <f>IF($A79="","",IFERROR(LOOKUP(2,1/((入库单!$G$4:$G$2503=$A79)*(入库单!$Y$4:$Y$2503="正常")*(入库单!$L$4:$L$2503&gt;0)),入库单!$D$4:$D$2503),""))</f>
        <v/>
      </c>
      <c r="I79" s="25">
        <f>IF($A79="","",IFERROR(LOOKUP(2,1/((入库单!$G$4:$G$2503=$A79)*(入库单!$Y$4:$Y$2503="正常")*(入库单!$L$4:$L$2503&gt;0)),入库单!$L$4:$L$2503),0))</f>
        <v/>
      </c>
      <c r="J79" s="26">
        <f>IF($A79="","",IF($H79="A国内",ROUND($I79*倍数A*汇率,0),IF($H79="B当地",ROUND($I79*系数B,0),0)))</f>
        <v/>
      </c>
      <c r="K79" s="24">
        <f>IF($A79="","",IF(COUNTIFS(入库单!$G$4:$G$2503,$A79,入库单!$X$4:$X$2503,"待补价")&gt;0,"待补价",IF(COUNTIFS(入库单!$G$4:$G$2503,$A79,入库单!$X$4:$X$2503,"暂估")&gt;0,"暂估",IF($I79=0,"没有进价","正常"))))</f>
        <v/>
      </c>
      <c r="L79" s="27">
        <f>IF($A79="","",IFERROR(VLOOKUP($A79,库存台账!$A$5:$Y$1204,24,0),0))</f>
        <v/>
      </c>
      <c r="M79" s="26">
        <f>IF($A79="","",IFERROR(VLOOKUP($A79,库存台账!$A$5:$Y$1204,25,0),0))</f>
        <v/>
      </c>
      <c r="N79" s="19">
        <f>IF($A79="","",IFERROR(LOOKUP(2,1/((出库单!$D$4:$D$4003=$A79)*(出库单!$T$4:$T$4003="正常")),出库单!$C$4:$C$4003),""))</f>
        <v/>
      </c>
      <c r="O79" s="28">
        <f>IF($A79="","",IF($L79&lt;=0,"",IF($N79="",IFERROR(账期止-LOOKUP(2,1/(入库单!$G$4:$G$2503=$A79),入库单!$C$4:$C$2503),""),账期止-$N79)))</f>
        <v/>
      </c>
      <c r="P79" s="17" t="n"/>
    </row>
    <row r="80">
      <c r="A80" s="17" t="inlineStr">
        <is>
          <t>JH0077</t>
        </is>
      </c>
      <c r="B80" s="17" t="inlineStr">
        <is>
          <t>电缆电气</t>
        </is>
      </c>
      <c r="C80" s="17" t="inlineStr">
        <is>
          <t>交流接触器</t>
        </is>
      </c>
      <c r="D80" s="17" t="inlineStr">
        <is>
          <t>9511</t>
        </is>
      </c>
      <c r="E80" s="17" t="inlineStr">
        <is>
          <t>只</t>
        </is>
      </c>
      <c r="F80" s="17" t="inlineStr">
        <is>
          <t>否</t>
        </is>
      </c>
      <c r="G80" s="23" t="n"/>
      <c r="H80" s="24">
        <f>IF($A80="","",IFERROR(LOOKUP(2,1/((入库单!$G$4:$G$2503=$A80)*(入库单!$Y$4:$Y$2503="正常")*(入库单!$L$4:$L$2503&gt;0)),入库单!$D$4:$D$2503),""))</f>
        <v/>
      </c>
      <c r="I80" s="25">
        <f>IF($A80="","",IFERROR(LOOKUP(2,1/((入库单!$G$4:$G$2503=$A80)*(入库单!$Y$4:$Y$2503="正常")*(入库单!$L$4:$L$2503&gt;0)),入库单!$L$4:$L$2503),0))</f>
        <v/>
      </c>
      <c r="J80" s="26">
        <f>IF($A80="","",IF($H80="A国内",ROUND($I80*倍数A*汇率,0),IF($H80="B当地",ROUND($I80*系数B,0),0)))</f>
        <v/>
      </c>
      <c r="K80" s="24">
        <f>IF($A80="","",IF(COUNTIFS(入库单!$G$4:$G$2503,$A80,入库单!$X$4:$X$2503,"待补价")&gt;0,"待补价",IF(COUNTIFS(入库单!$G$4:$G$2503,$A80,入库单!$X$4:$X$2503,"暂估")&gt;0,"暂估",IF($I80=0,"没有进价","正常"))))</f>
        <v/>
      </c>
      <c r="L80" s="27">
        <f>IF($A80="","",IFERROR(VLOOKUP($A80,库存台账!$A$5:$Y$1204,24,0),0))</f>
        <v/>
      </c>
      <c r="M80" s="26">
        <f>IF($A80="","",IFERROR(VLOOKUP($A80,库存台账!$A$5:$Y$1204,25,0),0))</f>
        <v/>
      </c>
      <c r="N80" s="19">
        <f>IF($A80="","",IFERROR(LOOKUP(2,1/((出库单!$D$4:$D$4003=$A80)*(出库单!$T$4:$T$4003="正常")),出库单!$C$4:$C$4003),""))</f>
        <v/>
      </c>
      <c r="O80" s="28">
        <f>IF($A80="","",IF($L80&lt;=0,"",IF($N80="",IFERROR(账期止-LOOKUP(2,1/(入库单!$G$4:$G$2503=$A80),入库单!$C$4:$C$2503),""),账期止-$N80)))</f>
        <v/>
      </c>
      <c r="P80" s="17" t="n"/>
    </row>
    <row r="81">
      <c r="A81" s="17" t="inlineStr">
        <is>
          <t>JH0078</t>
        </is>
      </c>
      <c r="B81" s="17" t="inlineStr">
        <is>
          <t>电缆电气</t>
        </is>
      </c>
      <c r="C81" s="17" t="inlineStr">
        <is>
          <t>电机综合保护器</t>
        </is>
      </c>
      <c r="D81" s="17" t="inlineStr">
        <is>
          <t>JD-5</t>
        </is>
      </c>
      <c r="E81" s="17" t="inlineStr">
        <is>
          <t>只</t>
        </is>
      </c>
      <c r="F81" s="17" t="inlineStr">
        <is>
          <t>否</t>
        </is>
      </c>
      <c r="G81" s="23" t="n"/>
      <c r="H81" s="24">
        <f>IF($A81="","",IFERROR(LOOKUP(2,1/((入库单!$G$4:$G$2503=$A81)*(入库单!$Y$4:$Y$2503="正常")*(入库单!$L$4:$L$2503&gt;0)),入库单!$D$4:$D$2503),""))</f>
        <v/>
      </c>
      <c r="I81" s="25">
        <f>IF($A81="","",IFERROR(LOOKUP(2,1/((入库单!$G$4:$G$2503=$A81)*(入库单!$Y$4:$Y$2503="正常")*(入库单!$L$4:$L$2503&gt;0)),入库单!$L$4:$L$2503),0))</f>
        <v/>
      </c>
      <c r="J81" s="26">
        <f>IF($A81="","",IF($H81="A国内",ROUND($I81*倍数A*汇率,0),IF($H81="B当地",ROUND($I81*系数B,0),0)))</f>
        <v/>
      </c>
      <c r="K81" s="24">
        <f>IF($A81="","",IF(COUNTIFS(入库单!$G$4:$G$2503,$A81,入库单!$X$4:$X$2503,"待补价")&gt;0,"待补价",IF(COUNTIFS(入库单!$G$4:$G$2503,$A81,入库单!$X$4:$X$2503,"暂估")&gt;0,"暂估",IF($I81=0,"没有进价","正常"))))</f>
        <v/>
      </c>
      <c r="L81" s="27">
        <f>IF($A81="","",IFERROR(VLOOKUP($A81,库存台账!$A$5:$Y$1204,24,0),0))</f>
        <v/>
      </c>
      <c r="M81" s="26">
        <f>IF($A81="","",IFERROR(VLOOKUP($A81,库存台账!$A$5:$Y$1204,25,0),0))</f>
        <v/>
      </c>
      <c r="N81" s="19">
        <f>IF($A81="","",IFERROR(LOOKUP(2,1/((出库单!$D$4:$D$4003=$A81)*(出库单!$T$4:$T$4003="正常")),出库单!$C$4:$C$4003),""))</f>
        <v/>
      </c>
      <c r="O81" s="28">
        <f>IF($A81="","",IF($L81&lt;=0,"",IF($N81="",IFERROR(账期止-LOOKUP(2,1/(入库单!$G$4:$G$2503=$A81),入库单!$C$4:$C$2503),""),账期止-$N81)))</f>
        <v/>
      </c>
      <c r="P81" s="17" t="n"/>
    </row>
    <row r="82">
      <c r="A82" s="17" t="inlineStr">
        <is>
          <t>JH0079</t>
        </is>
      </c>
      <c r="B82" s="17" t="inlineStr">
        <is>
          <t>电缆电气</t>
        </is>
      </c>
      <c r="C82" s="17" t="inlineStr">
        <is>
          <t>塑壳式断路器</t>
        </is>
      </c>
      <c r="D82" s="17" t="inlineStr">
        <is>
          <t>250A</t>
        </is>
      </c>
      <c r="E82" s="17" t="inlineStr">
        <is>
          <t>只</t>
        </is>
      </c>
      <c r="F82" s="17" t="inlineStr">
        <is>
          <t>否</t>
        </is>
      </c>
      <c r="G82" s="23" t="n"/>
      <c r="H82" s="24">
        <f>IF($A82="","",IFERROR(LOOKUP(2,1/((入库单!$G$4:$G$2503=$A82)*(入库单!$Y$4:$Y$2503="正常")*(入库单!$L$4:$L$2503&gt;0)),入库单!$D$4:$D$2503),""))</f>
        <v/>
      </c>
      <c r="I82" s="25">
        <f>IF($A82="","",IFERROR(LOOKUP(2,1/((入库单!$G$4:$G$2503=$A82)*(入库单!$Y$4:$Y$2503="正常")*(入库单!$L$4:$L$2503&gt;0)),入库单!$L$4:$L$2503),0))</f>
        <v/>
      </c>
      <c r="J82" s="26">
        <f>IF($A82="","",IF($H82="A国内",ROUND($I82*倍数A*汇率,0),IF($H82="B当地",ROUND($I82*系数B,0),0)))</f>
        <v/>
      </c>
      <c r="K82" s="24">
        <f>IF($A82="","",IF(COUNTIFS(入库单!$G$4:$G$2503,$A82,入库单!$X$4:$X$2503,"待补价")&gt;0,"待补价",IF(COUNTIFS(入库单!$G$4:$G$2503,$A82,入库单!$X$4:$X$2503,"暂估")&gt;0,"暂估",IF($I82=0,"没有进价","正常"))))</f>
        <v/>
      </c>
      <c r="L82" s="27">
        <f>IF($A82="","",IFERROR(VLOOKUP($A82,库存台账!$A$5:$Y$1204,24,0),0))</f>
        <v/>
      </c>
      <c r="M82" s="26">
        <f>IF($A82="","",IFERROR(VLOOKUP($A82,库存台账!$A$5:$Y$1204,25,0),0))</f>
        <v/>
      </c>
      <c r="N82" s="19">
        <f>IF($A82="","",IFERROR(LOOKUP(2,1/((出库单!$D$4:$D$4003=$A82)*(出库单!$T$4:$T$4003="正常")),出库单!$C$4:$C$4003),""))</f>
        <v/>
      </c>
      <c r="O82" s="28">
        <f>IF($A82="","",IF($L82&lt;=0,"",IF($N82="",IFERROR(账期止-LOOKUP(2,1/(入库单!$G$4:$G$2503=$A82),入库单!$C$4:$C$2503),""),账期止-$N82)))</f>
        <v/>
      </c>
      <c r="P82" s="17" t="n"/>
    </row>
    <row r="83">
      <c r="A83" s="17" t="inlineStr">
        <is>
          <t>JH0080</t>
        </is>
      </c>
      <c r="B83" s="17" t="inlineStr">
        <is>
          <t>电缆电气</t>
        </is>
      </c>
      <c r="C83" s="17" t="inlineStr">
        <is>
          <t>塑壳式断路器</t>
        </is>
      </c>
      <c r="D83" s="17" t="inlineStr">
        <is>
          <t>400A</t>
        </is>
      </c>
      <c r="E83" s="17" t="inlineStr">
        <is>
          <t>只</t>
        </is>
      </c>
      <c r="F83" s="17" t="inlineStr">
        <is>
          <t>否</t>
        </is>
      </c>
      <c r="G83" s="23" t="n"/>
      <c r="H83" s="24">
        <f>IF($A83="","",IFERROR(LOOKUP(2,1/((入库单!$G$4:$G$2503=$A83)*(入库单!$Y$4:$Y$2503="正常")*(入库单!$L$4:$L$2503&gt;0)),入库单!$D$4:$D$2503),""))</f>
        <v/>
      </c>
      <c r="I83" s="25">
        <f>IF($A83="","",IFERROR(LOOKUP(2,1/((入库单!$G$4:$G$2503=$A83)*(入库单!$Y$4:$Y$2503="正常")*(入库单!$L$4:$L$2503&gt;0)),入库单!$L$4:$L$2503),0))</f>
        <v/>
      </c>
      <c r="J83" s="26">
        <f>IF($A83="","",IF($H83="A国内",ROUND($I83*倍数A*汇率,0),IF($H83="B当地",ROUND($I83*系数B,0),0)))</f>
        <v/>
      </c>
      <c r="K83" s="24">
        <f>IF($A83="","",IF(COUNTIFS(入库单!$G$4:$G$2503,$A83,入库单!$X$4:$X$2503,"待补价")&gt;0,"待补价",IF(COUNTIFS(入库单!$G$4:$G$2503,$A83,入库单!$X$4:$X$2503,"暂估")&gt;0,"暂估",IF($I83=0,"没有进价","正常"))))</f>
        <v/>
      </c>
      <c r="L83" s="27">
        <f>IF($A83="","",IFERROR(VLOOKUP($A83,库存台账!$A$5:$Y$1204,24,0),0))</f>
        <v/>
      </c>
      <c r="M83" s="26">
        <f>IF($A83="","",IFERROR(VLOOKUP($A83,库存台账!$A$5:$Y$1204,25,0),0))</f>
        <v/>
      </c>
      <c r="N83" s="19">
        <f>IF($A83="","",IFERROR(LOOKUP(2,1/((出库单!$D$4:$D$4003=$A83)*(出库单!$T$4:$T$4003="正常")),出库单!$C$4:$C$4003),""))</f>
        <v/>
      </c>
      <c r="O83" s="28">
        <f>IF($A83="","",IF($L83&lt;=0,"",IF($N83="",IFERROR(账期止-LOOKUP(2,1/(入库单!$G$4:$G$2503=$A83),入库单!$C$4:$C$2503),""),账期止-$N83)))</f>
        <v/>
      </c>
      <c r="P83" s="17" t="n"/>
    </row>
    <row r="84">
      <c r="A84" s="17" t="inlineStr">
        <is>
          <t>JH0081</t>
        </is>
      </c>
      <c r="B84" s="17" t="inlineStr">
        <is>
          <t>电缆电气</t>
        </is>
      </c>
      <c r="C84" s="17" t="inlineStr">
        <is>
          <t>塑壳式断路器</t>
        </is>
      </c>
      <c r="D84" s="17" t="inlineStr">
        <is>
          <t>100A</t>
        </is>
      </c>
      <c r="E84" s="17" t="inlineStr">
        <is>
          <t>只</t>
        </is>
      </c>
      <c r="F84" s="17" t="inlineStr">
        <is>
          <t>否</t>
        </is>
      </c>
      <c r="G84" s="23" t="n"/>
      <c r="H84" s="24">
        <f>IF($A84="","",IFERROR(LOOKUP(2,1/((入库单!$G$4:$G$2503=$A84)*(入库单!$Y$4:$Y$2503="正常")*(入库单!$L$4:$L$2503&gt;0)),入库单!$D$4:$D$2503),""))</f>
        <v/>
      </c>
      <c r="I84" s="25">
        <f>IF($A84="","",IFERROR(LOOKUP(2,1/((入库单!$G$4:$G$2503=$A84)*(入库单!$Y$4:$Y$2503="正常")*(入库单!$L$4:$L$2503&gt;0)),入库单!$L$4:$L$2503),0))</f>
        <v/>
      </c>
      <c r="J84" s="26">
        <f>IF($A84="","",IF($H84="A国内",ROUND($I84*倍数A*汇率,0),IF($H84="B当地",ROUND($I84*系数B,0),0)))</f>
        <v/>
      </c>
      <c r="K84" s="24">
        <f>IF($A84="","",IF(COUNTIFS(入库单!$G$4:$G$2503,$A84,入库单!$X$4:$X$2503,"待补价")&gt;0,"待补价",IF(COUNTIFS(入库单!$G$4:$G$2503,$A84,入库单!$X$4:$X$2503,"暂估")&gt;0,"暂估",IF($I84=0,"没有进价","正常"))))</f>
        <v/>
      </c>
      <c r="L84" s="27">
        <f>IF($A84="","",IFERROR(VLOOKUP($A84,库存台账!$A$5:$Y$1204,24,0),0))</f>
        <v/>
      </c>
      <c r="M84" s="26">
        <f>IF($A84="","",IFERROR(VLOOKUP($A84,库存台账!$A$5:$Y$1204,25,0),0))</f>
        <v/>
      </c>
      <c r="N84" s="19">
        <f>IF($A84="","",IFERROR(LOOKUP(2,1/((出库单!$D$4:$D$4003=$A84)*(出库单!$T$4:$T$4003="正常")),出库单!$C$4:$C$4003),""))</f>
        <v/>
      </c>
      <c r="O84" s="28">
        <f>IF($A84="","",IF($L84&lt;=0,"",IF($N84="",IFERROR(账期止-LOOKUP(2,1/(入库单!$G$4:$G$2503=$A84),入库单!$C$4:$C$2503),""),账期止-$N84)))</f>
        <v/>
      </c>
      <c r="P84" s="17" t="n"/>
    </row>
    <row r="85">
      <c r="A85" s="17" t="inlineStr">
        <is>
          <t>JH0082</t>
        </is>
      </c>
      <c r="B85" s="17" t="inlineStr">
        <is>
          <t>电缆电气</t>
        </is>
      </c>
      <c r="C85" s="17" t="inlineStr">
        <is>
          <t>塑壳式断路器</t>
        </is>
      </c>
      <c r="D85" s="17" t="inlineStr">
        <is>
          <t>630A</t>
        </is>
      </c>
      <c r="E85" s="17" t="inlineStr">
        <is>
          <t>只</t>
        </is>
      </c>
      <c r="F85" s="17" t="inlineStr">
        <is>
          <t>否</t>
        </is>
      </c>
      <c r="G85" s="23" t="n"/>
      <c r="H85" s="24">
        <f>IF($A85="","",IFERROR(LOOKUP(2,1/((入库单!$G$4:$G$2503=$A85)*(入库单!$Y$4:$Y$2503="正常")*(入库单!$L$4:$L$2503&gt;0)),入库单!$D$4:$D$2503),""))</f>
        <v/>
      </c>
      <c r="I85" s="25">
        <f>IF($A85="","",IFERROR(LOOKUP(2,1/((入库单!$G$4:$G$2503=$A85)*(入库单!$Y$4:$Y$2503="正常")*(入库单!$L$4:$L$2503&gt;0)),入库单!$L$4:$L$2503),0))</f>
        <v/>
      </c>
      <c r="J85" s="26">
        <f>IF($A85="","",IF($H85="A国内",ROUND($I85*倍数A*汇率,0),IF($H85="B当地",ROUND($I85*系数B,0),0)))</f>
        <v/>
      </c>
      <c r="K85" s="24">
        <f>IF($A85="","",IF(COUNTIFS(入库单!$G$4:$G$2503,$A85,入库单!$X$4:$X$2503,"待补价")&gt;0,"待补价",IF(COUNTIFS(入库单!$G$4:$G$2503,$A85,入库单!$X$4:$X$2503,"暂估")&gt;0,"暂估",IF($I85=0,"没有进价","正常"))))</f>
        <v/>
      </c>
      <c r="L85" s="27">
        <f>IF($A85="","",IFERROR(VLOOKUP($A85,库存台账!$A$5:$Y$1204,24,0),0))</f>
        <v/>
      </c>
      <c r="M85" s="26">
        <f>IF($A85="","",IFERROR(VLOOKUP($A85,库存台账!$A$5:$Y$1204,25,0),0))</f>
        <v/>
      </c>
      <c r="N85" s="19">
        <f>IF($A85="","",IFERROR(LOOKUP(2,1/((出库单!$D$4:$D$4003=$A85)*(出库单!$T$4:$T$4003="正常")),出库单!$C$4:$C$4003),""))</f>
        <v/>
      </c>
      <c r="O85" s="28">
        <f>IF($A85="","",IF($L85&lt;=0,"",IF($N85="",IFERROR(账期止-LOOKUP(2,1/(入库单!$G$4:$G$2503=$A85),入库单!$C$4:$C$2503),""),账期止-$N85)))</f>
        <v/>
      </c>
      <c r="P85" s="17" t="n"/>
    </row>
    <row r="86">
      <c r="A86" s="17" t="inlineStr">
        <is>
          <t>JH0083</t>
        </is>
      </c>
      <c r="B86" s="17" t="inlineStr">
        <is>
          <t>电缆电气</t>
        </is>
      </c>
      <c r="C86" s="17" t="inlineStr">
        <is>
          <t>小型空气断路器</t>
        </is>
      </c>
      <c r="D86" s="17" t="inlineStr">
        <is>
          <t>DZ47-C63 3P</t>
        </is>
      </c>
      <c r="E86" s="17" t="inlineStr">
        <is>
          <t>个</t>
        </is>
      </c>
      <c r="F86" s="17" t="inlineStr">
        <is>
          <t>否</t>
        </is>
      </c>
      <c r="G86" s="23" t="n"/>
      <c r="H86" s="24">
        <f>IF($A86="","",IFERROR(LOOKUP(2,1/((入库单!$G$4:$G$2503=$A86)*(入库单!$Y$4:$Y$2503="正常")*(入库单!$L$4:$L$2503&gt;0)),入库单!$D$4:$D$2503),""))</f>
        <v/>
      </c>
      <c r="I86" s="25">
        <f>IF($A86="","",IFERROR(LOOKUP(2,1/((入库单!$G$4:$G$2503=$A86)*(入库单!$Y$4:$Y$2503="正常")*(入库单!$L$4:$L$2503&gt;0)),入库单!$L$4:$L$2503),0))</f>
        <v/>
      </c>
      <c r="J86" s="26">
        <f>IF($A86="","",IF($H86="A国内",ROUND($I86*倍数A*汇率,0),IF($H86="B当地",ROUND($I86*系数B,0),0)))</f>
        <v/>
      </c>
      <c r="K86" s="24">
        <f>IF($A86="","",IF(COUNTIFS(入库单!$G$4:$G$2503,$A86,入库单!$X$4:$X$2503,"待补价")&gt;0,"待补价",IF(COUNTIFS(入库单!$G$4:$G$2503,$A86,入库单!$X$4:$X$2503,"暂估")&gt;0,"暂估",IF($I86=0,"没有进价","正常"))))</f>
        <v/>
      </c>
      <c r="L86" s="27">
        <f>IF($A86="","",IFERROR(VLOOKUP($A86,库存台账!$A$5:$Y$1204,24,0),0))</f>
        <v/>
      </c>
      <c r="M86" s="26">
        <f>IF($A86="","",IFERROR(VLOOKUP($A86,库存台账!$A$5:$Y$1204,25,0),0))</f>
        <v/>
      </c>
      <c r="N86" s="19">
        <f>IF($A86="","",IFERROR(LOOKUP(2,1/((出库单!$D$4:$D$4003=$A86)*(出库单!$T$4:$T$4003="正常")),出库单!$C$4:$C$4003),""))</f>
        <v/>
      </c>
      <c r="O86" s="28">
        <f>IF($A86="","",IF($L86&lt;=0,"",IF($N86="",IFERROR(账期止-LOOKUP(2,1/(入库单!$G$4:$G$2503=$A86),入库单!$C$4:$C$2503),""),账期止-$N86)))</f>
        <v/>
      </c>
      <c r="P86" s="17" t="n"/>
    </row>
    <row r="87">
      <c r="A87" s="17" t="inlineStr">
        <is>
          <t>JH0084</t>
        </is>
      </c>
      <c r="B87" s="17" t="inlineStr">
        <is>
          <t>电缆电气</t>
        </is>
      </c>
      <c r="C87" s="17" t="inlineStr">
        <is>
          <t>小型空气断路器</t>
        </is>
      </c>
      <c r="D87" s="17" t="inlineStr">
        <is>
          <t>DZ47-C63 4P</t>
        </is>
      </c>
      <c r="E87" s="17" t="inlineStr">
        <is>
          <t>个</t>
        </is>
      </c>
      <c r="F87" s="17" t="inlineStr">
        <is>
          <t>否</t>
        </is>
      </c>
      <c r="G87" s="23" t="n"/>
      <c r="H87" s="24">
        <f>IF($A87="","",IFERROR(LOOKUP(2,1/((入库单!$G$4:$G$2503=$A87)*(入库单!$Y$4:$Y$2503="正常")*(入库单!$L$4:$L$2503&gt;0)),入库单!$D$4:$D$2503),""))</f>
        <v/>
      </c>
      <c r="I87" s="25">
        <f>IF($A87="","",IFERROR(LOOKUP(2,1/((入库单!$G$4:$G$2503=$A87)*(入库单!$Y$4:$Y$2503="正常")*(入库单!$L$4:$L$2503&gt;0)),入库单!$L$4:$L$2503),0))</f>
        <v/>
      </c>
      <c r="J87" s="26">
        <f>IF($A87="","",IF($H87="A国内",ROUND($I87*倍数A*汇率,0),IF($H87="B当地",ROUND($I87*系数B,0),0)))</f>
        <v/>
      </c>
      <c r="K87" s="24">
        <f>IF($A87="","",IF(COUNTIFS(入库单!$G$4:$G$2503,$A87,入库单!$X$4:$X$2503,"待补价")&gt;0,"待补价",IF(COUNTIFS(入库单!$G$4:$G$2503,$A87,入库单!$X$4:$X$2503,"暂估")&gt;0,"暂估",IF($I87=0,"没有进价","正常"))))</f>
        <v/>
      </c>
      <c r="L87" s="27">
        <f>IF($A87="","",IFERROR(VLOOKUP($A87,库存台账!$A$5:$Y$1204,24,0),0))</f>
        <v/>
      </c>
      <c r="M87" s="26">
        <f>IF($A87="","",IFERROR(VLOOKUP($A87,库存台账!$A$5:$Y$1204,25,0),0))</f>
        <v/>
      </c>
      <c r="N87" s="19">
        <f>IF($A87="","",IFERROR(LOOKUP(2,1/((出库单!$D$4:$D$4003=$A87)*(出库单!$T$4:$T$4003="正常")),出库单!$C$4:$C$4003),""))</f>
        <v/>
      </c>
      <c r="O87" s="28">
        <f>IF($A87="","",IF($L87&lt;=0,"",IF($N87="",IFERROR(账期止-LOOKUP(2,1/(入库单!$G$4:$G$2503=$A87),入库单!$C$4:$C$2503),""),账期止-$N87)))</f>
        <v/>
      </c>
      <c r="P87" s="17" t="n"/>
    </row>
    <row r="88">
      <c r="A88" s="17" t="inlineStr">
        <is>
          <t>JH0085</t>
        </is>
      </c>
      <c r="B88" s="17" t="inlineStr">
        <is>
          <t>电缆电气</t>
        </is>
      </c>
      <c r="C88" s="17" t="inlineStr">
        <is>
          <t>小型空气断路器</t>
        </is>
      </c>
      <c r="D88" s="17" t="inlineStr">
        <is>
          <t>DZ47-C63 2P</t>
        </is>
      </c>
      <c r="E88" s="17" t="inlineStr">
        <is>
          <t>个</t>
        </is>
      </c>
      <c r="F88" s="17" t="inlineStr">
        <is>
          <t>否</t>
        </is>
      </c>
      <c r="G88" s="23" t="n"/>
      <c r="H88" s="24">
        <f>IF($A88="","",IFERROR(LOOKUP(2,1/((入库单!$G$4:$G$2503=$A88)*(入库单!$Y$4:$Y$2503="正常")*(入库单!$L$4:$L$2503&gt;0)),入库单!$D$4:$D$2503),""))</f>
        <v/>
      </c>
      <c r="I88" s="25">
        <f>IF($A88="","",IFERROR(LOOKUP(2,1/((入库单!$G$4:$G$2503=$A88)*(入库单!$Y$4:$Y$2503="正常")*(入库单!$L$4:$L$2503&gt;0)),入库单!$L$4:$L$2503),0))</f>
        <v/>
      </c>
      <c r="J88" s="26">
        <f>IF($A88="","",IF($H88="A国内",ROUND($I88*倍数A*汇率,0),IF($H88="B当地",ROUND($I88*系数B,0),0)))</f>
        <v/>
      </c>
      <c r="K88" s="24">
        <f>IF($A88="","",IF(COUNTIFS(入库单!$G$4:$G$2503,$A88,入库单!$X$4:$X$2503,"待补价")&gt;0,"待补价",IF(COUNTIFS(入库单!$G$4:$G$2503,$A88,入库单!$X$4:$X$2503,"暂估")&gt;0,"暂估",IF($I88=0,"没有进价","正常"))))</f>
        <v/>
      </c>
      <c r="L88" s="27">
        <f>IF($A88="","",IFERROR(VLOOKUP($A88,库存台账!$A$5:$Y$1204,24,0),0))</f>
        <v/>
      </c>
      <c r="M88" s="26">
        <f>IF($A88="","",IFERROR(VLOOKUP($A88,库存台账!$A$5:$Y$1204,25,0),0))</f>
        <v/>
      </c>
      <c r="N88" s="19">
        <f>IF($A88="","",IFERROR(LOOKUP(2,1/((出库单!$D$4:$D$4003=$A88)*(出库单!$T$4:$T$4003="正常")),出库单!$C$4:$C$4003),""))</f>
        <v/>
      </c>
      <c r="O88" s="28">
        <f>IF($A88="","",IF($L88&lt;=0,"",IF($N88="",IFERROR(账期止-LOOKUP(2,1/(入库单!$G$4:$G$2503=$A88),入库单!$C$4:$C$2503),""),账期止-$N88)))</f>
        <v/>
      </c>
      <c r="P88" s="17" t="n"/>
    </row>
    <row r="89">
      <c r="A89" s="17" t="inlineStr">
        <is>
          <t>JH0086</t>
        </is>
      </c>
      <c r="B89" s="17" t="inlineStr">
        <is>
          <t>电缆电气</t>
        </is>
      </c>
      <c r="C89" s="17" t="inlineStr">
        <is>
          <t>小型空气断路器</t>
        </is>
      </c>
      <c r="D89" s="17" t="inlineStr">
        <is>
          <t>DZ47-C32 2P</t>
        </is>
      </c>
      <c r="E89" s="17" t="inlineStr">
        <is>
          <t>个</t>
        </is>
      </c>
      <c r="F89" s="17" t="inlineStr">
        <is>
          <t>否</t>
        </is>
      </c>
      <c r="G89" s="23" t="n"/>
      <c r="H89" s="24">
        <f>IF($A89="","",IFERROR(LOOKUP(2,1/((入库单!$G$4:$G$2503=$A89)*(入库单!$Y$4:$Y$2503="正常")*(入库单!$L$4:$L$2503&gt;0)),入库单!$D$4:$D$2503),""))</f>
        <v/>
      </c>
      <c r="I89" s="25">
        <f>IF($A89="","",IFERROR(LOOKUP(2,1/((入库单!$G$4:$G$2503=$A89)*(入库单!$Y$4:$Y$2503="正常")*(入库单!$L$4:$L$2503&gt;0)),入库单!$L$4:$L$2503),0))</f>
        <v/>
      </c>
      <c r="J89" s="26">
        <f>IF($A89="","",IF($H89="A国内",ROUND($I89*倍数A*汇率,0),IF($H89="B当地",ROUND($I89*系数B,0),0)))</f>
        <v/>
      </c>
      <c r="K89" s="24">
        <f>IF($A89="","",IF(COUNTIFS(入库单!$G$4:$G$2503,$A89,入库单!$X$4:$X$2503,"待补价")&gt;0,"待补价",IF(COUNTIFS(入库单!$G$4:$G$2503,$A89,入库单!$X$4:$X$2503,"暂估")&gt;0,"暂估",IF($I89=0,"没有进价","正常"))))</f>
        <v/>
      </c>
      <c r="L89" s="27">
        <f>IF($A89="","",IFERROR(VLOOKUP($A89,库存台账!$A$5:$Y$1204,24,0),0))</f>
        <v/>
      </c>
      <c r="M89" s="26">
        <f>IF($A89="","",IFERROR(VLOOKUP($A89,库存台账!$A$5:$Y$1204,25,0),0))</f>
        <v/>
      </c>
      <c r="N89" s="19">
        <f>IF($A89="","",IFERROR(LOOKUP(2,1/((出库单!$D$4:$D$4003=$A89)*(出库单!$T$4:$T$4003="正常")),出库单!$C$4:$C$4003),""))</f>
        <v/>
      </c>
      <c r="O89" s="28">
        <f>IF($A89="","",IF($L89&lt;=0,"",IF($N89="",IFERROR(账期止-LOOKUP(2,1/(入库单!$G$4:$G$2503=$A89),入库单!$C$4:$C$2503),""),账期止-$N89)))</f>
        <v/>
      </c>
      <c r="P89" s="17" t="n"/>
    </row>
    <row r="90">
      <c r="A90" s="17" t="inlineStr">
        <is>
          <t>JH0087</t>
        </is>
      </c>
      <c r="B90" s="17" t="inlineStr">
        <is>
          <t>电缆电气</t>
        </is>
      </c>
      <c r="C90" s="17" t="inlineStr">
        <is>
          <t>小型空气断路器</t>
        </is>
      </c>
      <c r="D90" s="17" t="inlineStr">
        <is>
          <t>DZ47-C32 3P</t>
        </is>
      </c>
      <c r="E90" s="17" t="inlineStr">
        <is>
          <t>个</t>
        </is>
      </c>
      <c r="F90" s="17" t="inlineStr">
        <is>
          <t>否</t>
        </is>
      </c>
      <c r="G90" s="23" t="n"/>
      <c r="H90" s="24">
        <f>IF($A90="","",IFERROR(LOOKUP(2,1/((入库单!$G$4:$G$2503=$A90)*(入库单!$Y$4:$Y$2503="正常")*(入库单!$L$4:$L$2503&gt;0)),入库单!$D$4:$D$2503),""))</f>
        <v/>
      </c>
      <c r="I90" s="25">
        <f>IF($A90="","",IFERROR(LOOKUP(2,1/((入库单!$G$4:$G$2503=$A90)*(入库单!$Y$4:$Y$2503="正常")*(入库单!$L$4:$L$2503&gt;0)),入库单!$L$4:$L$2503),0))</f>
        <v/>
      </c>
      <c r="J90" s="26">
        <f>IF($A90="","",IF($H90="A国内",ROUND($I90*倍数A*汇率,0),IF($H90="B当地",ROUND($I90*系数B,0),0)))</f>
        <v/>
      </c>
      <c r="K90" s="24">
        <f>IF($A90="","",IF(COUNTIFS(入库单!$G$4:$G$2503,$A90,入库单!$X$4:$X$2503,"待补价")&gt;0,"待补价",IF(COUNTIFS(入库单!$G$4:$G$2503,$A90,入库单!$X$4:$X$2503,"暂估")&gt;0,"暂估",IF($I90=0,"没有进价","正常"))))</f>
        <v/>
      </c>
      <c r="L90" s="27">
        <f>IF($A90="","",IFERROR(VLOOKUP($A90,库存台账!$A$5:$Y$1204,24,0),0))</f>
        <v/>
      </c>
      <c r="M90" s="26">
        <f>IF($A90="","",IFERROR(VLOOKUP($A90,库存台账!$A$5:$Y$1204,25,0),0))</f>
        <v/>
      </c>
      <c r="N90" s="19">
        <f>IF($A90="","",IFERROR(LOOKUP(2,1/((出库单!$D$4:$D$4003=$A90)*(出库单!$T$4:$T$4003="正常")),出库单!$C$4:$C$4003),""))</f>
        <v/>
      </c>
      <c r="O90" s="28">
        <f>IF($A90="","",IF($L90&lt;=0,"",IF($N90="",IFERROR(账期止-LOOKUP(2,1/(入库单!$G$4:$G$2503=$A90),入库单!$C$4:$C$2503),""),账期止-$N90)))</f>
        <v/>
      </c>
      <c r="P90" s="17" t="n"/>
    </row>
    <row r="91">
      <c r="A91" s="17" t="inlineStr">
        <is>
          <t>JH0088</t>
        </is>
      </c>
      <c r="B91" s="17" t="inlineStr">
        <is>
          <t>电缆电气</t>
        </is>
      </c>
      <c r="C91" s="17" t="inlineStr">
        <is>
          <t>接触器</t>
        </is>
      </c>
      <c r="D91" s="17" t="inlineStr">
        <is>
          <t>CJ20_100</t>
        </is>
      </c>
      <c r="E91" s="17" t="inlineStr">
        <is>
          <t>个</t>
        </is>
      </c>
      <c r="F91" s="17" t="inlineStr">
        <is>
          <t>否</t>
        </is>
      </c>
      <c r="G91" s="23" t="n"/>
      <c r="H91" s="24">
        <f>IF($A91="","",IFERROR(LOOKUP(2,1/((入库单!$G$4:$G$2503=$A91)*(入库单!$Y$4:$Y$2503="正常")*(入库单!$L$4:$L$2503&gt;0)),入库单!$D$4:$D$2503),""))</f>
        <v/>
      </c>
      <c r="I91" s="25">
        <f>IF($A91="","",IFERROR(LOOKUP(2,1/((入库单!$G$4:$G$2503=$A91)*(入库单!$Y$4:$Y$2503="正常")*(入库单!$L$4:$L$2503&gt;0)),入库单!$L$4:$L$2503),0))</f>
        <v/>
      </c>
      <c r="J91" s="26">
        <f>IF($A91="","",IF($H91="A国内",ROUND($I91*倍数A*汇率,0),IF($H91="B当地",ROUND($I91*系数B,0),0)))</f>
        <v/>
      </c>
      <c r="K91" s="24">
        <f>IF($A91="","",IF(COUNTIFS(入库单!$G$4:$G$2503,$A91,入库单!$X$4:$X$2503,"待补价")&gt;0,"待补价",IF(COUNTIFS(入库单!$G$4:$G$2503,$A91,入库单!$X$4:$X$2503,"暂估")&gt;0,"暂估",IF($I91=0,"没有进价","正常"))))</f>
        <v/>
      </c>
      <c r="L91" s="27">
        <f>IF($A91="","",IFERROR(VLOOKUP($A91,库存台账!$A$5:$Y$1204,24,0),0))</f>
        <v/>
      </c>
      <c r="M91" s="26">
        <f>IF($A91="","",IFERROR(VLOOKUP($A91,库存台账!$A$5:$Y$1204,25,0),0))</f>
        <v/>
      </c>
      <c r="N91" s="19">
        <f>IF($A91="","",IFERROR(LOOKUP(2,1/((出库单!$D$4:$D$4003=$A91)*(出库单!$T$4:$T$4003="正常")),出库单!$C$4:$C$4003),""))</f>
        <v/>
      </c>
      <c r="O91" s="28">
        <f>IF($A91="","",IF($L91&lt;=0,"",IF($N91="",IFERROR(账期止-LOOKUP(2,1/(入库单!$G$4:$G$2503=$A91),入库单!$C$4:$C$2503),""),账期止-$N91)))</f>
        <v/>
      </c>
      <c r="P91" s="17" t="n"/>
    </row>
    <row r="92">
      <c r="A92" s="17" t="inlineStr">
        <is>
          <t>JH0089</t>
        </is>
      </c>
      <c r="B92" s="17" t="inlineStr">
        <is>
          <t>电缆电气</t>
        </is>
      </c>
      <c r="C92" s="17" t="inlineStr">
        <is>
          <t>接触器</t>
        </is>
      </c>
      <c r="D92" s="17" t="inlineStr">
        <is>
          <t>CJ20_150</t>
        </is>
      </c>
      <c r="E92" s="17" t="inlineStr">
        <is>
          <t>个</t>
        </is>
      </c>
      <c r="F92" s="17" t="inlineStr">
        <is>
          <t>否</t>
        </is>
      </c>
      <c r="G92" s="23" t="n"/>
      <c r="H92" s="24">
        <f>IF($A92="","",IFERROR(LOOKUP(2,1/((入库单!$G$4:$G$2503=$A92)*(入库单!$Y$4:$Y$2503="正常")*(入库单!$L$4:$L$2503&gt;0)),入库单!$D$4:$D$2503),""))</f>
        <v/>
      </c>
      <c r="I92" s="25">
        <f>IF($A92="","",IFERROR(LOOKUP(2,1/((入库单!$G$4:$G$2503=$A92)*(入库单!$Y$4:$Y$2503="正常")*(入库单!$L$4:$L$2503&gt;0)),入库单!$L$4:$L$2503),0))</f>
        <v/>
      </c>
      <c r="J92" s="26">
        <f>IF($A92="","",IF($H92="A国内",ROUND($I92*倍数A*汇率,0),IF($H92="B当地",ROUND($I92*系数B,0),0)))</f>
        <v/>
      </c>
      <c r="K92" s="24">
        <f>IF($A92="","",IF(COUNTIFS(入库单!$G$4:$G$2503,$A92,入库单!$X$4:$X$2503,"待补价")&gt;0,"待补价",IF(COUNTIFS(入库单!$G$4:$G$2503,$A92,入库单!$X$4:$X$2503,"暂估")&gt;0,"暂估",IF($I92=0,"没有进价","正常"))))</f>
        <v/>
      </c>
      <c r="L92" s="27">
        <f>IF($A92="","",IFERROR(VLOOKUP($A92,库存台账!$A$5:$Y$1204,24,0),0))</f>
        <v/>
      </c>
      <c r="M92" s="26">
        <f>IF($A92="","",IFERROR(VLOOKUP($A92,库存台账!$A$5:$Y$1204,25,0),0))</f>
        <v/>
      </c>
      <c r="N92" s="19">
        <f>IF($A92="","",IFERROR(LOOKUP(2,1/((出库单!$D$4:$D$4003=$A92)*(出库单!$T$4:$T$4003="正常")),出库单!$C$4:$C$4003),""))</f>
        <v/>
      </c>
      <c r="O92" s="28">
        <f>IF($A92="","",IF($L92&lt;=0,"",IF($N92="",IFERROR(账期止-LOOKUP(2,1/(入库单!$G$4:$G$2503=$A92),入库单!$C$4:$C$2503),""),账期止-$N92)))</f>
        <v/>
      </c>
      <c r="P92" s="17" t="n"/>
    </row>
    <row r="93">
      <c r="A93" s="17" t="inlineStr">
        <is>
          <t>JH0090</t>
        </is>
      </c>
      <c r="B93" s="17" t="inlineStr">
        <is>
          <t>电缆电气</t>
        </is>
      </c>
      <c r="C93" s="17" t="inlineStr">
        <is>
          <t>屏蔽电缆</t>
        </is>
      </c>
      <c r="D93" s="17" t="inlineStr">
        <is>
          <t>5*1.5mm²</t>
        </is>
      </c>
      <c r="E93" s="17" t="inlineStr">
        <is>
          <t>100米</t>
        </is>
      </c>
      <c r="F93" s="17" t="inlineStr">
        <is>
          <t>否</t>
        </is>
      </c>
      <c r="G93" s="23" t="n"/>
      <c r="H93" s="24">
        <f>IF($A93="","",IFERROR(LOOKUP(2,1/((入库单!$G$4:$G$2503=$A93)*(入库单!$Y$4:$Y$2503="正常")*(入库单!$L$4:$L$2503&gt;0)),入库单!$D$4:$D$2503),""))</f>
        <v/>
      </c>
      <c r="I93" s="25">
        <f>IF($A93="","",IFERROR(LOOKUP(2,1/((入库单!$G$4:$G$2503=$A93)*(入库单!$Y$4:$Y$2503="正常")*(入库单!$L$4:$L$2503&gt;0)),入库单!$L$4:$L$2503),0))</f>
        <v/>
      </c>
      <c r="J93" s="26">
        <f>IF($A93="","",IF($H93="A国内",ROUND($I93*倍数A*汇率,0),IF($H93="B当地",ROUND($I93*系数B,0),0)))</f>
        <v/>
      </c>
      <c r="K93" s="24">
        <f>IF($A93="","",IF(COUNTIFS(入库单!$G$4:$G$2503,$A93,入库单!$X$4:$X$2503,"待补价")&gt;0,"待补价",IF(COUNTIFS(入库单!$G$4:$G$2503,$A93,入库单!$X$4:$X$2503,"暂估")&gt;0,"暂估",IF($I93=0,"没有进价","正常"))))</f>
        <v/>
      </c>
      <c r="L93" s="27">
        <f>IF($A93="","",IFERROR(VLOOKUP($A93,库存台账!$A$5:$Y$1204,24,0),0))</f>
        <v/>
      </c>
      <c r="M93" s="26">
        <f>IF($A93="","",IFERROR(VLOOKUP($A93,库存台账!$A$5:$Y$1204,25,0),0))</f>
        <v/>
      </c>
      <c r="N93" s="19">
        <f>IF($A93="","",IFERROR(LOOKUP(2,1/((出库单!$D$4:$D$4003=$A93)*(出库单!$T$4:$T$4003="正常")),出库单!$C$4:$C$4003),""))</f>
        <v/>
      </c>
      <c r="O93" s="28">
        <f>IF($A93="","",IF($L93&lt;=0,"",IF($N93="",IFERROR(账期止-LOOKUP(2,1/(入库单!$G$4:$G$2503=$A93),入库单!$C$4:$C$2503),""),账期止-$N93)))</f>
        <v/>
      </c>
      <c r="P93" s="17" t="n"/>
    </row>
    <row r="94">
      <c r="A94" s="17" t="inlineStr">
        <is>
          <t>JH0091</t>
        </is>
      </c>
      <c r="B94" s="17" t="inlineStr">
        <is>
          <t>电缆电气</t>
        </is>
      </c>
      <c r="C94" s="17" t="inlineStr">
        <is>
          <t>配电柜</t>
        </is>
      </c>
      <c r="D94" s="17" t="inlineStr">
        <is>
          <t>200*400*500mm</t>
        </is>
      </c>
      <c r="E94" s="17" t="inlineStr">
        <is>
          <t>个</t>
        </is>
      </c>
      <c r="F94" s="17" t="inlineStr">
        <is>
          <t>否</t>
        </is>
      </c>
      <c r="G94" s="23" t="n"/>
      <c r="H94" s="24">
        <f>IF($A94="","",IFERROR(LOOKUP(2,1/((入库单!$G$4:$G$2503=$A94)*(入库单!$Y$4:$Y$2503="正常")*(入库单!$L$4:$L$2503&gt;0)),入库单!$D$4:$D$2503),""))</f>
        <v/>
      </c>
      <c r="I94" s="25">
        <f>IF($A94="","",IFERROR(LOOKUP(2,1/((入库单!$G$4:$G$2503=$A94)*(入库单!$Y$4:$Y$2503="正常")*(入库单!$L$4:$L$2503&gt;0)),入库单!$L$4:$L$2503),0))</f>
        <v/>
      </c>
      <c r="J94" s="26">
        <f>IF($A94="","",IF($H94="A国内",ROUND($I94*倍数A*汇率,0),IF($H94="B当地",ROUND($I94*系数B,0),0)))</f>
        <v/>
      </c>
      <c r="K94" s="24">
        <f>IF($A94="","",IF(COUNTIFS(入库单!$G$4:$G$2503,$A94,入库单!$X$4:$X$2503,"待补价")&gt;0,"待补价",IF(COUNTIFS(入库单!$G$4:$G$2503,$A94,入库单!$X$4:$X$2503,"暂估")&gt;0,"暂估",IF($I94=0,"没有进价","正常"))))</f>
        <v/>
      </c>
      <c r="L94" s="27">
        <f>IF($A94="","",IFERROR(VLOOKUP($A94,库存台账!$A$5:$Y$1204,24,0),0))</f>
        <v/>
      </c>
      <c r="M94" s="26">
        <f>IF($A94="","",IFERROR(VLOOKUP($A94,库存台账!$A$5:$Y$1204,25,0),0))</f>
        <v/>
      </c>
      <c r="N94" s="19">
        <f>IF($A94="","",IFERROR(LOOKUP(2,1/((出库单!$D$4:$D$4003=$A94)*(出库单!$T$4:$T$4003="正常")),出库单!$C$4:$C$4003),""))</f>
        <v/>
      </c>
      <c r="O94" s="28">
        <f>IF($A94="","",IF($L94&lt;=0,"",IF($N94="",IFERROR(账期止-LOOKUP(2,1/(入库单!$G$4:$G$2503=$A94),入库单!$C$4:$C$2503),""),账期止-$N94)))</f>
        <v/>
      </c>
      <c r="P94" s="17" t="n"/>
    </row>
    <row r="95">
      <c r="A95" s="17" t="inlineStr">
        <is>
          <t>JH0092</t>
        </is>
      </c>
      <c r="B95" s="17" t="inlineStr">
        <is>
          <t>其他</t>
        </is>
      </c>
      <c r="C95" s="17" t="inlineStr">
        <is>
          <t>4寸弹簧管</t>
        </is>
      </c>
      <c r="D95" s="17" t="inlineStr"/>
      <c r="E95" s="17" t="inlineStr">
        <is>
          <t>根</t>
        </is>
      </c>
      <c r="F95" s="17" t="inlineStr">
        <is>
          <t>否</t>
        </is>
      </c>
      <c r="G95" s="23" t="n"/>
      <c r="H95" s="24">
        <f>IF($A95="","",IFERROR(LOOKUP(2,1/((入库单!$G$4:$G$2503=$A95)*(入库单!$Y$4:$Y$2503="正常")*(入库单!$L$4:$L$2503&gt;0)),入库单!$D$4:$D$2503),""))</f>
        <v/>
      </c>
      <c r="I95" s="25">
        <f>IF($A95="","",IFERROR(LOOKUP(2,1/((入库单!$G$4:$G$2503=$A95)*(入库单!$Y$4:$Y$2503="正常")*(入库单!$L$4:$L$2503&gt;0)),入库单!$L$4:$L$2503),0))</f>
        <v/>
      </c>
      <c r="J95" s="26">
        <f>IF($A95="","",IF($H95="A国内",ROUND($I95*倍数A*汇率,0),IF($H95="B当地",ROUND($I95*系数B,0),0)))</f>
        <v/>
      </c>
      <c r="K95" s="24">
        <f>IF($A95="","",IF(COUNTIFS(入库单!$G$4:$G$2503,$A95,入库单!$X$4:$X$2503,"待补价")&gt;0,"待补价",IF(COUNTIFS(入库单!$G$4:$G$2503,$A95,入库单!$X$4:$X$2503,"暂估")&gt;0,"暂估",IF($I95=0,"没有进价","正常"))))</f>
        <v/>
      </c>
      <c r="L95" s="27">
        <f>IF($A95="","",IFERROR(VLOOKUP($A95,库存台账!$A$5:$Y$1204,24,0),0))</f>
        <v/>
      </c>
      <c r="M95" s="26">
        <f>IF($A95="","",IFERROR(VLOOKUP($A95,库存台账!$A$5:$Y$1204,25,0),0))</f>
        <v/>
      </c>
      <c r="N95" s="19">
        <f>IF($A95="","",IFERROR(LOOKUP(2,1/((出库单!$D$4:$D$4003=$A95)*(出库单!$T$4:$T$4003="正常")),出库单!$C$4:$C$4003),""))</f>
        <v/>
      </c>
      <c r="O95" s="28">
        <f>IF($A95="","",IF($L95&lt;=0,"",IF($N95="",IFERROR(账期止-LOOKUP(2,1/(入库单!$G$4:$G$2503=$A95),入库单!$C$4:$C$2503),""),账期止-$N95)))</f>
        <v/>
      </c>
      <c r="P95" s="17" t="n"/>
    </row>
    <row r="96">
      <c r="A96" s="17" t="inlineStr">
        <is>
          <t>JH0093</t>
        </is>
      </c>
      <c r="B96" s="17" t="inlineStr">
        <is>
          <t>劳保用品</t>
        </is>
      </c>
      <c r="C96" s="17" t="inlineStr">
        <is>
          <t>雨衣雨裤</t>
        </is>
      </c>
      <c r="D96" s="17" t="inlineStr"/>
      <c r="E96" s="17" t="inlineStr">
        <is>
          <t>套</t>
        </is>
      </c>
      <c r="F96" s="17" t="inlineStr">
        <is>
          <t>否</t>
        </is>
      </c>
      <c r="G96" s="23" t="n"/>
      <c r="H96" s="24">
        <f>IF($A96="","",IFERROR(LOOKUP(2,1/((入库单!$G$4:$G$2503=$A96)*(入库单!$Y$4:$Y$2503="正常")*(入库单!$L$4:$L$2503&gt;0)),入库单!$D$4:$D$2503),""))</f>
        <v/>
      </c>
      <c r="I96" s="25">
        <f>IF($A96="","",IFERROR(LOOKUP(2,1/((入库单!$G$4:$G$2503=$A96)*(入库单!$Y$4:$Y$2503="正常")*(入库单!$L$4:$L$2503&gt;0)),入库单!$L$4:$L$2503),0))</f>
        <v/>
      </c>
      <c r="J96" s="26">
        <f>IF($A96="","",IF($H96="A国内",ROUND($I96*倍数A*汇率,0),IF($H96="B当地",ROUND($I96*系数B,0),0)))</f>
        <v/>
      </c>
      <c r="K96" s="24">
        <f>IF($A96="","",IF(COUNTIFS(入库单!$G$4:$G$2503,$A96,入库单!$X$4:$X$2503,"待补价")&gt;0,"待补价",IF(COUNTIFS(入库单!$G$4:$G$2503,$A96,入库单!$X$4:$X$2503,"暂估")&gt;0,"暂估",IF($I96=0,"没有进价","正常"))))</f>
        <v/>
      </c>
      <c r="L96" s="27">
        <f>IF($A96="","",IFERROR(VLOOKUP($A96,库存台账!$A$5:$Y$1204,24,0),0))</f>
        <v/>
      </c>
      <c r="M96" s="26">
        <f>IF($A96="","",IFERROR(VLOOKUP($A96,库存台账!$A$5:$Y$1204,25,0),0))</f>
        <v/>
      </c>
      <c r="N96" s="19">
        <f>IF($A96="","",IFERROR(LOOKUP(2,1/((出库单!$D$4:$D$4003=$A96)*(出库单!$T$4:$T$4003="正常")),出库单!$C$4:$C$4003),""))</f>
        <v/>
      </c>
      <c r="O96" s="28">
        <f>IF($A96="","",IF($L96&lt;=0,"",IF($N96="",IFERROR(账期止-LOOKUP(2,1/(入库单!$G$4:$G$2503=$A96),入库单!$C$4:$C$2503),""),账期止-$N96)))</f>
        <v/>
      </c>
      <c r="P96" s="17" t="n"/>
    </row>
    <row r="97">
      <c r="A97" s="17" t="inlineStr">
        <is>
          <t>JH0094</t>
        </is>
      </c>
      <c r="B97" s="17" t="inlineStr">
        <is>
          <t>劳保用品</t>
        </is>
      </c>
      <c r="C97" s="17" t="inlineStr">
        <is>
          <t>钻工手套</t>
        </is>
      </c>
      <c r="D97" s="17" t="inlineStr">
        <is>
          <t>全胶</t>
        </is>
      </c>
      <c r="E97" s="17" t="inlineStr">
        <is>
          <t>双</t>
        </is>
      </c>
      <c r="F97" s="17" t="inlineStr">
        <is>
          <t>否</t>
        </is>
      </c>
      <c r="G97" s="23" t="n"/>
      <c r="H97" s="24">
        <f>IF($A97="","",IFERROR(LOOKUP(2,1/((入库单!$G$4:$G$2503=$A97)*(入库单!$Y$4:$Y$2503="正常")*(入库单!$L$4:$L$2503&gt;0)),入库单!$D$4:$D$2503),""))</f>
        <v/>
      </c>
      <c r="I97" s="25">
        <f>IF($A97="","",IFERROR(LOOKUP(2,1/((入库单!$G$4:$G$2503=$A97)*(入库单!$Y$4:$Y$2503="正常")*(入库单!$L$4:$L$2503&gt;0)),入库单!$L$4:$L$2503),0))</f>
        <v/>
      </c>
      <c r="J97" s="26">
        <f>IF($A97="","",IF($H97="A国内",ROUND($I97*倍数A*汇率,0),IF($H97="B当地",ROUND($I97*系数B,0),0)))</f>
        <v/>
      </c>
      <c r="K97" s="24">
        <f>IF($A97="","",IF(COUNTIFS(入库单!$G$4:$G$2503,$A97,入库单!$X$4:$X$2503,"待补价")&gt;0,"待补价",IF(COUNTIFS(入库单!$G$4:$G$2503,$A97,入库单!$X$4:$X$2503,"暂估")&gt;0,"暂估",IF($I97=0,"没有进价","正常"))))</f>
        <v/>
      </c>
      <c r="L97" s="27">
        <f>IF($A97="","",IFERROR(VLOOKUP($A97,库存台账!$A$5:$Y$1204,24,0),0))</f>
        <v/>
      </c>
      <c r="M97" s="26">
        <f>IF($A97="","",IFERROR(VLOOKUP($A97,库存台账!$A$5:$Y$1204,25,0),0))</f>
        <v/>
      </c>
      <c r="N97" s="19">
        <f>IF($A97="","",IFERROR(LOOKUP(2,1/((出库单!$D$4:$D$4003=$A97)*(出库单!$T$4:$T$4003="正常")),出库单!$C$4:$C$4003),""))</f>
        <v/>
      </c>
      <c r="O97" s="28">
        <f>IF($A97="","",IF($L97&lt;=0,"",IF($N97="",IFERROR(账期止-LOOKUP(2,1/(入库单!$G$4:$G$2503=$A97),入库单!$C$4:$C$2503),""),账期止-$N97)))</f>
        <v/>
      </c>
      <c r="P97" s="17" t="n"/>
    </row>
    <row r="98">
      <c r="A98" s="17" t="inlineStr">
        <is>
          <t>JH0095</t>
        </is>
      </c>
      <c r="B98" s="17" t="inlineStr">
        <is>
          <t>劳保用品</t>
        </is>
      </c>
      <c r="C98" s="17" t="inlineStr">
        <is>
          <t>工作服</t>
        </is>
      </c>
      <c r="D98" s="17" t="inlineStr">
        <is>
          <t>175至185号</t>
        </is>
      </c>
      <c r="E98" s="17" t="inlineStr">
        <is>
          <t>套</t>
        </is>
      </c>
      <c r="F98" s="17" t="inlineStr">
        <is>
          <t>否</t>
        </is>
      </c>
      <c r="G98" s="23" t="n"/>
      <c r="H98" s="24">
        <f>IF($A98="","",IFERROR(LOOKUP(2,1/((入库单!$G$4:$G$2503=$A98)*(入库单!$Y$4:$Y$2503="正常")*(入库单!$L$4:$L$2503&gt;0)),入库单!$D$4:$D$2503),""))</f>
        <v/>
      </c>
      <c r="I98" s="25">
        <f>IF($A98="","",IFERROR(LOOKUP(2,1/((入库单!$G$4:$G$2503=$A98)*(入库单!$Y$4:$Y$2503="正常")*(入库单!$L$4:$L$2503&gt;0)),入库单!$L$4:$L$2503),0))</f>
        <v/>
      </c>
      <c r="J98" s="26">
        <f>IF($A98="","",IF($H98="A国内",ROUND($I98*倍数A*汇率,0),IF($H98="B当地",ROUND($I98*系数B,0),0)))</f>
        <v/>
      </c>
      <c r="K98" s="24">
        <f>IF($A98="","",IF(COUNTIFS(入库单!$G$4:$G$2503,$A98,入库单!$X$4:$X$2503,"待补价")&gt;0,"待补价",IF(COUNTIFS(入库单!$G$4:$G$2503,$A98,入库单!$X$4:$X$2503,"暂估")&gt;0,"暂估",IF($I98=0,"没有进价","正常"))))</f>
        <v/>
      </c>
      <c r="L98" s="27">
        <f>IF($A98="","",IFERROR(VLOOKUP($A98,库存台账!$A$5:$Y$1204,24,0),0))</f>
        <v/>
      </c>
      <c r="M98" s="26">
        <f>IF($A98="","",IFERROR(VLOOKUP($A98,库存台账!$A$5:$Y$1204,25,0),0))</f>
        <v/>
      </c>
      <c r="N98" s="19">
        <f>IF($A98="","",IFERROR(LOOKUP(2,1/((出库单!$D$4:$D$4003=$A98)*(出库单!$T$4:$T$4003="正常")),出库单!$C$4:$C$4003),""))</f>
        <v/>
      </c>
      <c r="O98" s="28">
        <f>IF($A98="","",IF($L98&lt;=0,"",IF($N98="",IFERROR(账期止-LOOKUP(2,1/(入库单!$G$4:$G$2503=$A98),入库单!$C$4:$C$2503),""),账期止-$N98)))</f>
        <v/>
      </c>
      <c r="P98" s="17" t="n"/>
    </row>
    <row r="99">
      <c r="A99" s="17" t="inlineStr">
        <is>
          <t>JH0096</t>
        </is>
      </c>
      <c r="B99" s="17" t="inlineStr">
        <is>
          <t>劳保用品</t>
        </is>
      </c>
      <c r="C99" s="17" t="inlineStr">
        <is>
          <t>半胶手套</t>
        </is>
      </c>
      <c r="D99" s="17" t="inlineStr"/>
      <c r="E99" s="17" t="inlineStr">
        <is>
          <t>付</t>
        </is>
      </c>
      <c r="F99" s="17" t="inlineStr">
        <is>
          <t>否</t>
        </is>
      </c>
      <c r="G99" s="23" t="n"/>
      <c r="H99" s="24">
        <f>IF($A99="","",IFERROR(LOOKUP(2,1/((入库单!$G$4:$G$2503=$A99)*(入库单!$Y$4:$Y$2503="正常")*(入库单!$L$4:$L$2503&gt;0)),入库单!$D$4:$D$2503),""))</f>
        <v/>
      </c>
      <c r="I99" s="25">
        <f>IF($A99="","",IFERROR(LOOKUP(2,1/((入库单!$G$4:$G$2503=$A99)*(入库单!$Y$4:$Y$2503="正常")*(入库单!$L$4:$L$2503&gt;0)),入库单!$L$4:$L$2503),0))</f>
        <v/>
      </c>
      <c r="J99" s="26">
        <f>IF($A99="","",IF($H99="A国内",ROUND($I99*倍数A*汇率,0),IF($H99="B当地",ROUND($I99*系数B,0),0)))</f>
        <v/>
      </c>
      <c r="K99" s="24">
        <f>IF($A99="","",IF(COUNTIFS(入库单!$G$4:$G$2503,$A99,入库单!$X$4:$X$2503,"待补价")&gt;0,"待补价",IF(COUNTIFS(入库单!$G$4:$G$2503,$A99,入库单!$X$4:$X$2503,"暂估")&gt;0,"暂估",IF($I99=0,"没有进价","正常"))))</f>
        <v/>
      </c>
      <c r="L99" s="27">
        <f>IF($A99="","",IFERROR(VLOOKUP($A99,库存台账!$A$5:$Y$1204,24,0),0))</f>
        <v/>
      </c>
      <c r="M99" s="26">
        <f>IF($A99="","",IFERROR(VLOOKUP($A99,库存台账!$A$5:$Y$1204,25,0),0))</f>
        <v/>
      </c>
      <c r="N99" s="19">
        <f>IF($A99="","",IFERROR(LOOKUP(2,1/((出库单!$D$4:$D$4003=$A99)*(出库单!$T$4:$T$4003="正常")),出库单!$C$4:$C$4003),""))</f>
        <v/>
      </c>
      <c r="O99" s="28">
        <f>IF($A99="","",IF($L99&lt;=0,"",IF($N99="",IFERROR(账期止-LOOKUP(2,1/(入库单!$G$4:$G$2503=$A99),入库单!$C$4:$C$2503),""),账期止-$N99)))</f>
        <v/>
      </c>
      <c r="P99" s="17" t="n"/>
    </row>
    <row r="100">
      <c r="A100" s="17" t="inlineStr">
        <is>
          <t>JH0097</t>
        </is>
      </c>
      <c r="B100" s="17" t="inlineStr">
        <is>
          <t>磨矿介质</t>
        </is>
      </c>
      <c r="C100" s="17" t="inlineStr">
        <is>
          <t>不锈钢球阀</t>
        </is>
      </c>
      <c r="D100" s="17" t="inlineStr">
        <is>
          <t>3/4寸</t>
        </is>
      </c>
      <c r="E100" s="17" t="inlineStr">
        <is>
          <t>个</t>
        </is>
      </c>
      <c r="F100" s="17" t="inlineStr">
        <is>
          <t>是</t>
        </is>
      </c>
      <c r="G100" s="23" t="n"/>
      <c r="H100" s="24">
        <f>IF($A100="","",IFERROR(LOOKUP(2,1/((入库单!$G$4:$G$2503=$A100)*(入库单!$Y$4:$Y$2503="正常")*(入库单!$L$4:$L$2503&gt;0)),入库单!$D$4:$D$2503),""))</f>
        <v/>
      </c>
      <c r="I100" s="25">
        <f>IF($A100="","",IFERROR(LOOKUP(2,1/((入库单!$G$4:$G$2503=$A100)*(入库单!$Y$4:$Y$2503="正常")*(入库单!$L$4:$L$2503&gt;0)),入库单!$L$4:$L$2503),0))</f>
        <v/>
      </c>
      <c r="J100" s="26">
        <f>IF($A100="","",IF($H100="A国内",ROUND($I100*倍数A*汇率,0),IF($H100="B当地",ROUND($I100*系数B,0),0)))</f>
        <v/>
      </c>
      <c r="K100" s="24">
        <f>IF($A100="","",IF(COUNTIFS(入库单!$G$4:$G$2503,$A100,入库单!$X$4:$X$2503,"待补价")&gt;0,"待补价",IF(COUNTIFS(入库单!$G$4:$G$2503,$A100,入库单!$X$4:$X$2503,"暂估")&gt;0,"暂估",IF($I100=0,"没有进价","正常"))))</f>
        <v/>
      </c>
      <c r="L100" s="27">
        <f>IF($A100="","",IFERROR(VLOOKUP($A100,库存台账!$A$5:$Y$1204,24,0),0))</f>
        <v/>
      </c>
      <c r="M100" s="26">
        <f>IF($A100="","",IFERROR(VLOOKUP($A100,库存台账!$A$5:$Y$1204,25,0),0))</f>
        <v/>
      </c>
      <c r="N100" s="19">
        <f>IF($A100="","",IFERROR(LOOKUP(2,1/((出库单!$D$4:$D$4003=$A100)*(出库单!$T$4:$T$4003="正常")),出库单!$C$4:$C$4003),""))</f>
        <v/>
      </c>
      <c r="O100" s="28">
        <f>IF($A100="","",IF($L100&lt;=0,"",IF($N100="",IFERROR(账期止-LOOKUP(2,1/(入库单!$G$4:$G$2503=$A100),入库单!$C$4:$C$2503),""),账期止-$N100)))</f>
        <v/>
      </c>
      <c r="P100" s="17" t="n"/>
    </row>
    <row r="101">
      <c r="A101" s="17" t="inlineStr">
        <is>
          <t>JH0098</t>
        </is>
      </c>
      <c r="B101" s="17" t="inlineStr">
        <is>
          <t>磨矿介质</t>
        </is>
      </c>
      <c r="C101" s="17" t="inlineStr">
        <is>
          <t>不锈钢球阀</t>
        </is>
      </c>
      <c r="D101" s="17" t="inlineStr">
        <is>
          <t>1/2寸</t>
        </is>
      </c>
      <c r="E101" s="17" t="inlineStr">
        <is>
          <t>个</t>
        </is>
      </c>
      <c r="F101" s="17" t="inlineStr">
        <is>
          <t>是</t>
        </is>
      </c>
      <c r="G101" s="23" t="n"/>
      <c r="H101" s="24">
        <f>IF($A101="","",IFERROR(LOOKUP(2,1/((入库单!$G$4:$G$2503=$A101)*(入库单!$Y$4:$Y$2503="正常")*(入库单!$L$4:$L$2503&gt;0)),入库单!$D$4:$D$2503),""))</f>
        <v/>
      </c>
      <c r="I101" s="25">
        <f>IF($A101="","",IFERROR(LOOKUP(2,1/((入库单!$G$4:$G$2503=$A101)*(入库单!$Y$4:$Y$2503="正常")*(入库单!$L$4:$L$2503&gt;0)),入库单!$L$4:$L$2503),0))</f>
        <v/>
      </c>
      <c r="J101" s="26">
        <f>IF($A101="","",IF($H101="A国内",ROUND($I101*倍数A*汇率,0),IF($H101="B当地",ROUND($I101*系数B,0),0)))</f>
        <v/>
      </c>
      <c r="K101" s="24">
        <f>IF($A101="","",IF(COUNTIFS(入库单!$G$4:$G$2503,$A101,入库单!$X$4:$X$2503,"待补价")&gt;0,"待补价",IF(COUNTIFS(入库单!$G$4:$G$2503,$A101,入库单!$X$4:$X$2503,"暂估")&gt;0,"暂估",IF($I101=0,"没有进价","正常"))))</f>
        <v/>
      </c>
      <c r="L101" s="27">
        <f>IF($A101="","",IFERROR(VLOOKUP($A101,库存台账!$A$5:$Y$1204,24,0),0))</f>
        <v/>
      </c>
      <c r="M101" s="26">
        <f>IF($A101="","",IFERROR(VLOOKUP($A101,库存台账!$A$5:$Y$1204,25,0),0))</f>
        <v/>
      </c>
      <c r="N101" s="19">
        <f>IF($A101="","",IFERROR(LOOKUP(2,1/((出库单!$D$4:$D$4003=$A101)*(出库单!$T$4:$T$4003="正常")),出库单!$C$4:$C$4003),""))</f>
        <v/>
      </c>
      <c r="O101" s="28">
        <f>IF($A101="","",IF($L101&lt;=0,"",IF($N101="",IFERROR(账期止-LOOKUP(2,1/(入库单!$G$4:$G$2503=$A101),入库单!$C$4:$C$2503),""),账期止-$N101)))</f>
        <v/>
      </c>
      <c r="P101" s="17" t="n"/>
    </row>
    <row r="102">
      <c r="A102" s="17" t="inlineStr">
        <is>
          <t>JH0099</t>
        </is>
      </c>
      <c r="B102" s="17" t="inlineStr">
        <is>
          <t>钢材</t>
        </is>
      </c>
      <c r="C102" s="17" t="inlineStr">
        <is>
          <t>镀锌双头管丝</t>
        </is>
      </c>
      <c r="D102" s="17" t="inlineStr">
        <is>
          <t>3/4寸</t>
        </is>
      </c>
      <c r="E102" s="17" t="inlineStr">
        <is>
          <t>个</t>
        </is>
      </c>
      <c r="F102" s="17" t="inlineStr">
        <is>
          <t>否</t>
        </is>
      </c>
      <c r="G102" s="23" t="n"/>
      <c r="H102" s="24">
        <f>IF($A102="","",IFERROR(LOOKUP(2,1/((入库单!$G$4:$G$2503=$A102)*(入库单!$Y$4:$Y$2503="正常")*(入库单!$L$4:$L$2503&gt;0)),入库单!$D$4:$D$2503),""))</f>
        <v/>
      </c>
      <c r="I102" s="25">
        <f>IF($A102="","",IFERROR(LOOKUP(2,1/((入库单!$G$4:$G$2503=$A102)*(入库单!$Y$4:$Y$2503="正常")*(入库单!$L$4:$L$2503&gt;0)),入库单!$L$4:$L$2503),0))</f>
        <v/>
      </c>
      <c r="J102" s="26">
        <f>IF($A102="","",IF($H102="A国内",ROUND($I102*倍数A*汇率,0),IF($H102="B当地",ROUND($I102*系数B,0),0)))</f>
        <v/>
      </c>
      <c r="K102" s="24">
        <f>IF($A102="","",IF(COUNTIFS(入库单!$G$4:$G$2503,$A102,入库单!$X$4:$X$2503,"待补价")&gt;0,"待补价",IF(COUNTIFS(入库单!$G$4:$G$2503,$A102,入库单!$X$4:$X$2503,"暂估")&gt;0,"暂估",IF($I102=0,"没有进价","正常"))))</f>
        <v/>
      </c>
      <c r="L102" s="27">
        <f>IF($A102="","",IFERROR(VLOOKUP($A102,库存台账!$A$5:$Y$1204,24,0),0))</f>
        <v/>
      </c>
      <c r="M102" s="26">
        <f>IF($A102="","",IFERROR(VLOOKUP($A102,库存台账!$A$5:$Y$1204,25,0),0))</f>
        <v/>
      </c>
      <c r="N102" s="19">
        <f>IF($A102="","",IFERROR(LOOKUP(2,1/((出库单!$D$4:$D$4003=$A102)*(出库单!$T$4:$T$4003="正常")),出库单!$C$4:$C$4003),""))</f>
        <v/>
      </c>
      <c r="O102" s="28">
        <f>IF($A102="","",IF($L102&lt;=0,"",IF($N102="",IFERROR(账期止-LOOKUP(2,1/(入库单!$G$4:$G$2503=$A102),入库单!$C$4:$C$2503),""),账期止-$N102)))</f>
        <v/>
      </c>
      <c r="P102" s="17" t="n"/>
    </row>
    <row r="103">
      <c r="A103" s="17" t="inlineStr">
        <is>
          <t>JH0100</t>
        </is>
      </c>
      <c r="B103" s="17" t="inlineStr">
        <is>
          <t>钢材</t>
        </is>
      </c>
      <c r="C103" s="17" t="inlineStr">
        <is>
          <t>镀锌双头管丝</t>
        </is>
      </c>
      <c r="D103" s="17" t="inlineStr">
        <is>
          <t>1/2寸</t>
        </is>
      </c>
      <c r="E103" s="17" t="inlineStr">
        <is>
          <t>个</t>
        </is>
      </c>
      <c r="F103" s="17" t="inlineStr">
        <is>
          <t>否</t>
        </is>
      </c>
      <c r="G103" s="23" t="n"/>
      <c r="H103" s="24">
        <f>IF($A103="","",IFERROR(LOOKUP(2,1/((入库单!$G$4:$G$2503=$A103)*(入库单!$Y$4:$Y$2503="正常")*(入库单!$L$4:$L$2503&gt;0)),入库单!$D$4:$D$2503),""))</f>
        <v/>
      </c>
      <c r="I103" s="25">
        <f>IF($A103="","",IFERROR(LOOKUP(2,1/((入库单!$G$4:$G$2503=$A103)*(入库单!$Y$4:$Y$2503="正常")*(入库单!$L$4:$L$2503&gt;0)),入库单!$L$4:$L$2503),0))</f>
        <v/>
      </c>
      <c r="J103" s="26">
        <f>IF($A103="","",IF($H103="A国内",ROUND($I103*倍数A*汇率,0),IF($H103="B当地",ROUND($I103*系数B,0),0)))</f>
        <v/>
      </c>
      <c r="K103" s="24">
        <f>IF($A103="","",IF(COUNTIFS(入库单!$G$4:$G$2503,$A103,入库单!$X$4:$X$2503,"待补价")&gt;0,"待补价",IF(COUNTIFS(入库单!$G$4:$G$2503,$A103,入库单!$X$4:$X$2503,"暂估")&gt;0,"暂估",IF($I103=0,"没有进价","正常"))))</f>
        <v/>
      </c>
      <c r="L103" s="27">
        <f>IF($A103="","",IFERROR(VLOOKUP($A103,库存台账!$A$5:$Y$1204,24,0),0))</f>
        <v/>
      </c>
      <c r="M103" s="26">
        <f>IF($A103="","",IFERROR(VLOOKUP($A103,库存台账!$A$5:$Y$1204,25,0),0))</f>
        <v/>
      </c>
      <c r="N103" s="19">
        <f>IF($A103="","",IFERROR(LOOKUP(2,1/((出库单!$D$4:$D$4003=$A103)*(出库单!$T$4:$T$4003="正常")),出库单!$C$4:$C$4003),""))</f>
        <v/>
      </c>
      <c r="O103" s="28">
        <f>IF($A103="","",IF($L103&lt;=0,"",IF($N103="",IFERROR(账期止-LOOKUP(2,1/(入库单!$G$4:$G$2503=$A103),入库单!$C$4:$C$2503),""),账期止-$N103)))</f>
        <v/>
      </c>
      <c r="P103" s="17" t="n"/>
    </row>
    <row r="104">
      <c r="A104" s="17" t="inlineStr">
        <is>
          <t>JH0101</t>
        </is>
      </c>
      <c r="B104" s="17" t="inlineStr">
        <is>
          <t>电缆电气</t>
        </is>
      </c>
      <c r="C104" s="17" t="inlineStr">
        <is>
          <t>铜芯信号电缆</t>
        </is>
      </c>
      <c r="D104" s="17" t="inlineStr">
        <is>
          <t>7芯×2.5</t>
        </is>
      </c>
      <c r="E104" s="17" t="inlineStr">
        <is>
          <t>米</t>
        </is>
      </c>
      <c r="F104" s="17" t="inlineStr">
        <is>
          <t>否</t>
        </is>
      </c>
      <c r="G104" s="23" t="n"/>
      <c r="H104" s="24">
        <f>IF($A104="","",IFERROR(LOOKUP(2,1/((入库单!$G$4:$G$2503=$A104)*(入库单!$Y$4:$Y$2503="正常")*(入库单!$L$4:$L$2503&gt;0)),入库单!$D$4:$D$2503),""))</f>
        <v/>
      </c>
      <c r="I104" s="25">
        <f>IF($A104="","",IFERROR(LOOKUP(2,1/((入库单!$G$4:$G$2503=$A104)*(入库单!$Y$4:$Y$2503="正常")*(入库单!$L$4:$L$2503&gt;0)),入库单!$L$4:$L$2503),0))</f>
        <v/>
      </c>
      <c r="J104" s="26">
        <f>IF($A104="","",IF($H104="A国内",ROUND($I104*倍数A*汇率,0),IF($H104="B当地",ROUND($I104*系数B,0),0)))</f>
        <v/>
      </c>
      <c r="K104" s="24">
        <f>IF($A104="","",IF(COUNTIFS(入库单!$G$4:$G$2503,$A104,入库单!$X$4:$X$2503,"待补价")&gt;0,"待补价",IF(COUNTIFS(入库单!$G$4:$G$2503,$A104,入库单!$X$4:$X$2503,"暂估")&gt;0,"暂估",IF($I104=0,"没有进价","正常"))))</f>
        <v/>
      </c>
      <c r="L104" s="27">
        <f>IF($A104="","",IFERROR(VLOOKUP($A104,库存台账!$A$5:$Y$1204,24,0),0))</f>
        <v/>
      </c>
      <c r="M104" s="26">
        <f>IF($A104="","",IFERROR(VLOOKUP($A104,库存台账!$A$5:$Y$1204,25,0),0))</f>
        <v/>
      </c>
      <c r="N104" s="19">
        <f>IF($A104="","",IFERROR(LOOKUP(2,1/((出库单!$D$4:$D$4003=$A104)*(出库单!$T$4:$T$4003="正常")),出库单!$C$4:$C$4003),""))</f>
        <v/>
      </c>
      <c r="O104" s="28">
        <f>IF($A104="","",IF($L104&lt;=0,"",IF($N104="",IFERROR(账期止-LOOKUP(2,1/(入库单!$G$4:$G$2503=$A104),入库单!$C$4:$C$2503),""),账期止-$N104)))</f>
        <v/>
      </c>
      <c r="P104" s="17" t="n"/>
    </row>
    <row r="105">
      <c r="A105" s="17" t="inlineStr">
        <is>
          <t>JH0102</t>
        </is>
      </c>
      <c r="B105" s="17" t="inlineStr">
        <is>
          <t>其他</t>
        </is>
      </c>
      <c r="C105" s="17" t="inlineStr">
        <is>
          <t>电铃</t>
        </is>
      </c>
      <c r="D105" s="17" t="inlineStr">
        <is>
          <t>36V</t>
        </is>
      </c>
      <c r="E105" s="17" t="inlineStr">
        <is>
          <t>个</t>
        </is>
      </c>
      <c r="F105" s="17" t="inlineStr">
        <is>
          <t>否</t>
        </is>
      </c>
      <c r="G105" s="23" t="n"/>
      <c r="H105" s="24">
        <f>IF($A105="","",IFERROR(LOOKUP(2,1/((入库单!$G$4:$G$2503=$A105)*(入库单!$Y$4:$Y$2503="正常")*(入库单!$L$4:$L$2503&gt;0)),入库单!$D$4:$D$2503),""))</f>
        <v/>
      </c>
      <c r="I105" s="25">
        <f>IF($A105="","",IFERROR(LOOKUP(2,1/((入库单!$G$4:$G$2503=$A105)*(入库单!$Y$4:$Y$2503="正常")*(入库单!$L$4:$L$2503&gt;0)),入库单!$L$4:$L$2503),0))</f>
        <v/>
      </c>
      <c r="J105" s="26">
        <f>IF($A105="","",IF($H105="A国内",ROUND($I105*倍数A*汇率,0),IF($H105="B当地",ROUND($I105*系数B,0),0)))</f>
        <v/>
      </c>
      <c r="K105" s="24">
        <f>IF($A105="","",IF(COUNTIFS(入库单!$G$4:$G$2503,$A105,入库单!$X$4:$X$2503,"待补价")&gt;0,"待补价",IF(COUNTIFS(入库单!$G$4:$G$2503,$A105,入库单!$X$4:$X$2503,"暂估")&gt;0,"暂估",IF($I105=0,"没有进价","正常"))))</f>
        <v/>
      </c>
      <c r="L105" s="27">
        <f>IF($A105="","",IFERROR(VLOOKUP($A105,库存台账!$A$5:$Y$1204,24,0),0))</f>
        <v/>
      </c>
      <c r="M105" s="26">
        <f>IF($A105="","",IFERROR(VLOOKUP($A105,库存台账!$A$5:$Y$1204,25,0),0))</f>
        <v/>
      </c>
      <c r="N105" s="19">
        <f>IF($A105="","",IFERROR(LOOKUP(2,1/((出库单!$D$4:$D$4003=$A105)*(出库单!$T$4:$T$4003="正常")),出库单!$C$4:$C$4003),""))</f>
        <v/>
      </c>
      <c r="O105" s="28">
        <f>IF($A105="","",IF($L105&lt;=0,"",IF($N105="",IFERROR(账期止-LOOKUP(2,1/(入库单!$G$4:$G$2503=$A105),入库单!$C$4:$C$2503),""),账期止-$N105)))</f>
        <v/>
      </c>
      <c r="P105" s="17" t="n"/>
    </row>
    <row r="106">
      <c r="A106" s="17" t="inlineStr">
        <is>
          <t>JH0103</t>
        </is>
      </c>
      <c r="B106" s="17" t="inlineStr">
        <is>
          <t>其他</t>
        </is>
      </c>
      <c r="C106" s="17" t="inlineStr">
        <is>
          <t>小榔头</t>
        </is>
      </c>
      <c r="D106" s="17" t="inlineStr">
        <is>
          <t>6LB</t>
        </is>
      </c>
      <c r="E106" s="17" t="inlineStr">
        <is>
          <t>把</t>
        </is>
      </c>
      <c r="F106" s="17" t="inlineStr">
        <is>
          <t>否</t>
        </is>
      </c>
      <c r="G106" s="23" t="n"/>
      <c r="H106" s="24">
        <f>IF($A106="","",IFERROR(LOOKUP(2,1/((入库单!$G$4:$G$2503=$A106)*(入库单!$Y$4:$Y$2503="正常")*(入库单!$L$4:$L$2503&gt;0)),入库单!$D$4:$D$2503),""))</f>
        <v/>
      </c>
      <c r="I106" s="25">
        <f>IF($A106="","",IFERROR(LOOKUP(2,1/((入库单!$G$4:$G$2503=$A106)*(入库单!$Y$4:$Y$2503="正常")*(入库单!$L$4:$L$2503&gt;0)),入库单!$L$4:$L$2503),0))</f>
        <v/>
      </c>
      <c r="J106" s="26">
        <f>IF($A106="","",IF($H106="A国内",ROUND($I106*倍数A*汇率,0),IF($H106="B当地",ROUND($I106*系数B,0),0)))</f>
        <v/>
      </c>
      <c r="K106" s="24">
        <f>IF($A106="","",IF(COUNTIFS(入库单!$G$4:$G$2503,$A106,入库单!$X$4:$X$2503,"待补价")&gt;0,"待补价",IF(COUNTIFS(入库单!$G$4:$G$2503,$A106,入库单!$X$4:$X$2503,"暂估")&gt;0,"暂估",IF($I106=0,"没有进价","正常"))))</f>
        <v/>
      </c>
      <c r="L106" s="27">
        <f>IF($A106="","",IFERROR(VLOOKUP($A106,库存台账!$A$5:$Y$1204,24,0),0))</f>
        <v/>
      </c>
      <c r="M106" s="26">
        <f>IF($A106="","",IFERROR(VLOOKUP($A106,库存台账!$A$5:$Y$1204,25,0),0))</f>
        <v/>
      </c>
      <c r="N106" s="19">
        <f>IF($A106="","",IFERROR(LOOKUP(2,1/((出库单!$D$4:$D$4003=$A106)*(出库单!$T$4:$T$4003="正常")),出库单!$C$4:$C$4003),""))</f>
        <v/>
      </c>
      <c r="O106" s="28">
        <f>IF($A106="","",IF($L106&lt;=0,"",IF($N106="",IFERROR(账期止-LOOKUP(2,1/(入库单!$G$4:$G$2503=$A106),入库单!$C$4:$C$2503),""),账期止-$N106)))</f>
        <v/>
      </c>
      <c r="P106" s="17" t="n"/>
    </row>
    <row r="107">
      <c r="A107" s="17" t="inlineStr">
        <is>
          <t>JH0104</t>
        </is>
      </c>
      <c r="B107" s="17" t="inlineStr">
        <is>
          <t>五金管件</t>
        </is>
      </c>
      <c r="C107" s="17" t="inlineStr">
        <is>
          <t>活动扳手</t>
        </is>
      </c>
      <c r="D107" s="17" t="inlineStr">
        <is>
          <t>300mm</t>
        </is>
      </c>
      <c r="E107" s="17" t="inlineStr">
        <is>
          <t>把</t>
        </is>
      </c>
      <c r="F107" s="17" t="inlineStr">
        <is>
          <t>否</t>
        </is>
      </c>
      <c r="G107" s="23" t="n"/>
      <c r="H107" s="24">
        <f>IF($A107="","",IFERROR(LOOKUP(2,1/((入库单!$G$4:$G$2503=$A107)*(入库单!$Y$4:$Y$2503="正常")*(入库单!$L$4:$L$2503&gt;0)),入库单!$D$4:$D$2503),""))</f>
        <v/>
      </c>
      <c r="I107" s="25">
        <f>IF($A107="","",IFERROR(LOOKUP(2,1/((入库单!$G$4:$G$2503=$A107)*(入库单!$Y$4:$Y$2503="正常")*(入库单!$L$4:$L$2503&gt;0)),入库单!$L$4:$L$2503),0))</f>
        <v/>
      </c>
      <c r="J107" s="26">
        <f>IF($A107="","",IF($H107="A国内",ROUND($I107*倍数A*汇率,0),IF($H107="B当地",ROUND($I107*系数B,0),0)))</f>
        <v/>
      </c>
      <c r="K107" s="24">
        <f>IF($A107="","",IF(COUNTIFS(入库单!$G$4:$G$2503,$A107,入库单!$X$4:$X$2503,"待补价")&gt;0,"待补价",IF(COUNTIFS(入库单!$G$4:$G$2503,$A107,入库单!$X$4:$X$2503,"暂估")&gt;0,"暂估",IF($I107=0,"没有进价","正常"))))</f>
        <v/>
      </c>
      <c r="L107" s="27">
        <f>IF($A107="","",IFERROR(VLOOKUP($A107,库存台账!$A$5:$Y$1204,24,0),0))</f>
        <v/>
      </c>
      <c r="M107" s="26">
        <f>IF($A107="","",IFERROR(VLOOKUP($A107,库存台账!$A$5:$Y$1204,25,0),0))</f>
        <v/>
      </c>
      <c r="N107" s="19">
        <f>IF($A107="","",IFERROR(LOOKUP(2,1/((出库单!$D$4:$D$4003=$A107)*(出库单!$T$4:$T$4003="正常")),出库单!$C$4:$C$4003),""))</f>
        <v/>
      </c>
      <c r="O107" s="28">
        <f>IF($A107="","",IF($L107&lt;=0,"",IF($N107="",IFERROR(账期止-LOOKUP(2,1/(入库单!$G$4:$G$2503=$A107),入库单!$C$4:$C$2503),""),账期止-$N107)))</f>
        <v/>
      </c>
      <c r="P107" s="17" t="n"/>
    </row>
    <row r="108">
      <c r="A108" s="17" t="inlineStr">
        <is>
          <t>JH0105</t>
        </is>
      </c>
      <c r="B108" s="17" t="inlineStr">
        <is>
          <t>五金管件</t>
        </is>
      </c>
      <c r="C108" s="17" t="inlineStr">
        <is>
          <t>焊把钳</t>
        </is>
      </c>
      <c r="D108" s="17" t="inlineStr"/>
      <c r="E108" s="17" t="inlineStr">
        <is>
          <t>个</t>
        </is>
      </c>
      <c r="F108" s="17" t="inlineStr">
        <is>
          <t>否</t>
        </is>
      </c>
      <c r="G108" s="23" t="n"/>
      <c r="H108" s="24">
        <f>IF($A108="","",IFERROR(LOOKUP(2,1/((入库单!$G$4:$G$2503=$A108)*(入库单!$Y$4:$Y$2503="正常")*(入库单!$L$4:$L$2503&gt;0)),入库单!$D$4:$D$2503),""))</f>
        <v/>
      </c>
      <c r="I108" s="25">
        <f>IF($A108="","",IFERROR(LOOKUP(2,1/((入库单!$G$4:$G$2503=$A108)*(入库单!$Y$4:$Y$2503="正常")*(入库单!$L$4:$L$2503&gt;0)),入库单!$L$4:$L$2503),0))</f>
        <v/>
      </c>
      <c r="J108" s="26">
        <f>IF($A108="","",IF($H108="A国内",ROUND($I108*倍数A*汇率,0),IF($H108="B当地",ROUND($I108*系数B,0),0)))</f>
        <v/>
      </c>
      <c r="K108" s="24">
        <f>IF($A108="","",IF(COUNTIFS(入库单!$G$4:$G$2503,$A108,入库单!$X$4:$X$2503,"待补价")&gt;0,"待补价",IF(COUNTIFS(入库单!$G$4:$G$2503,$A108,入库单!$X$4:$X$2503,"暂估")&gt;0,"暂估",IF($I108=0,"没有进价","正常"))))</f>
        <v/>
      </c>
      <c r="L108" s="27">
        <f>IF($A108="","",IFERROR(VLOOKUP($A108,库存台账!$A$5:$Y$1204,24,0),0))</f>
        <v/>
      </c>
      <c r="M108" s="26">
        <f>IF($A108="","",IFERROR(VLOOKUP($A108,库存台账!$A$5:$Y$1204,25,0),0))</f>
        <v/>
      </c>
      <c r="N108" s="19">
        <f>IF($A108="","",IFERROR(LOOKUP(2,1/((出库单!$D$4:$D$4003=$A108)*(出库单!$T$4:$T$4003="正常")),出库单!$C$4:$C$4003),""))</f>
        <v/>
      </c>
      <c r="O108" s="28">
        <f>IF($A108="","",IF($L108&lt;=0,"",IF($N108="",IFERROR(账期止-LOOKUP(2,1/(入库单!$G$4:$G$2503=$A108),入库单!$C$4:$C$2503),""),账期止-$N108)))</f>
        <v/>
      </c>
      <c r="P108" s="17" t="n"/>
    </row>
    <row r="109">
      <c r="A109" s="17" t="inlineStr">
        <is>
          <t>JH0106</t>
        </is>
      </c>
      <c r="B109" s="17" t="inlineStr">
        <is>
          <t>五金管件</t>
        </is>
      </c>
      <c r="C109" s="17" t="inlineStr">
        <is>
          <t>台钳</t>
        </is>
      </c>
      <c r="D109" s="17" t="inlineStr">
        <is>
          <t>大</t>
        </is>
      </c>
      <c r="E109" s="17" t="inlineStr">
        <is>
          <t>台</t>
        </is>
      </c>
      <c r="F109" s="17" t="inlineStr">
        <is>
          <t>否</t>
        </is>
      </c>
      <c r="G109" s="23" t="n"/>
      <c r="H109" s="24">
        <f>IF($A109="","",IFERROR(LOOKUP(2,1/((入库单!$G$4:$G$2503=$A109)*(入库单!$Y$4:$Y$2503="正常")*(入库单!$L$4:$L$2503&gt;0)),入库单!$D$4:$D$2503),""))</f>
        <v/>
      </c>
      <c r="I109" s="25">
        <f>IF($A109="","",IFERROR(LOOKUP(2,1/((入库单!$G$4:$G$2503=$A109)*(入库单!$Y$4:$Y$2503="正常")*(入库单!$L$4:$L$2503&gt;0)),入库单!$L$4:$L$2503),0))</f>
        <v/>
      </c>
      <c r="J109" s="26">
        <f>IF($A109="","",IF($H109="A国内",ROUND($I109*倍数A*汇率,0),IF($H109="B当地",ROUND($I109*系数B,0),0)))</f>
        <v/>
      </c>
      <c r="K109" s="24">
        <f>IF($A109="","",IF(COUNTIFS(入库单!$G$4:$G$2503,$A109,入库单!$X$4:$X$2503,"待补价")&gt;0,"待补价",IF(COUNTIFS(入库单!$G$4:$G$2503,$A109,入库单!$X$4:$X$2503,"暂估")&gt;0,"暂估",IF($I109=0,"没有进价","正常"))))</f>
        <v/>
      </c>
      <c r="L109" s="27">
        <f>IF($A109="","",IFERROR(VLOOKUP($A109,库存台账!$A$5:$Y$1204,24,0),0))</f>
        <v/>
      </c>
      <c r="M109" s="26">
        <f>IF($A109="","",IFERROR(VLOOKUP($A109,库存台账!$A$5:$Y$1204,25,0),0))</f>
        <v/>
      </c>
      <c r="N109" s="19">
        <f>IF($A109="","",IFERROR(LOOKUP(2,1/((出库单!$D$4:$D$4003=$A109)*(出库单!$T$4:$T$4003="正常")),出库单!$C$4:$C$4003),""))</f>
        <v/>
      </c>
      <c r="O109" s="28">
        <f>IF($A109="","",IF($L109&lt;=0,"",IF($N109="",IFERROR(账期止-LOOKUP(2,1/(入库单!$G$4:$G$2503=$A109),入库单!$C$4:$C$2503),""),账期止-$N109)))</f>
        <v/>
      </c>
      <c r="P109" s="17" t="n"/>
    </row>
    <row r="110">
      <c r="A110" s="17" t="inlineStr">
        <is>
          <t>JH0107</t>
        </is>
      </c>
      <c r="B110" s="17" t="inlineStr">
        <is>
          <t>其他</t>
        </is>
      </c>
      <c r="C110" s="17" t="inlineStr">
        <is>
          <t>铁线</t>
        </is>
      </c>
      <c r="D110" s="17" t="inlineStr">
        <is>
          <t>8#</t>
        </is>
      </c>
      <c r="E110" s="17" t="inlineStr">
        <is>
          <t>捆</t>
        </is>
      </c>
      <c r="F110" s="17" t="inlineStr">
        <is>
          <t>否</t>
        </is>
      </c>
      <c r="G110" s="23" t="n"/>
      <c r="H110" s="24">
        <f>IF($A110="","",IFERROR(LOOKUP(2,1/((入库单!$G$4:$G$2503=$A110)*(入库单!$Y$4:$Y$2503="正常")*(入库单!$L$4:$L$2503&gt;0)),入库单!$D$4:$D$2503),""))</f>
        <v/>
      </c>
      <c r="I110" s="25">
        <f>IF($A110="","",IFERROR(LOOKUP(2,1/((入库单!$G$4:$G$2503=$A110)*(入库单!$Y$4:$Y$2503="正常")*(入库单!$L$4:$L$2503&gt;0)),入库单!$L$4:$L$2503),0))</f>
        <v/>
      </c>
      <c r="J110" s="26">
        <f>IF($A110="","",IF($H110="A国内",ROUND($I110*倍数A*汇率,0),IF($H110="B当地",ROUND($I110*系数B,0),0)))</f>
        <v/>
      </c>
      <c r="K110" s="24">
        <f>IF($A110="","",IF(COUNTIFS(入库单!$G$4:$G$2503,$A110,入库单!$X$4:$X$2503,"待补价")&gt;0,"待补价",IF(COUNTIFS(入库单!$G$4:$G$2503,$A110,入库单!$X$4:$X$2503,"暂估")&gt;0,"暂估",IF($I110=0,"没有进价","正常"))))</f>
        <v/>
      </c>
      <c r="L110" s="27">
        <f>IF($A110="","",IFERROR(VLOOKUP($A110,库存台账!$A$5:$Y$1204,24,0),0))</f>
        <v/>
      </c>
      <c r="M110" s="26">
        <f>IF($A110="","",IFERROR(VLOOKUP($A110,库存台账!$A$5:$Y$1204,25,0),0))</f>
        <v/>
      </c>
      <c r="N110" s="19">
        <f>IF($A110="","",IFERROR(LOOKUP(2,1/((出库单!$D$4:$D$4003=$A110)*(出库单!$T$4:$T$4003="正常")),出库单!$C$4:$C$4003),""))</f>
        <v/>
      </c>
      <c r="O110" s="28">
        <f>IF($A110="","",IF($L110&lt;=0,"",IF($N110="",IFERROR(账期止-LOOKUP(2,1/(入库单!$G$4:$G$2503=$A110),入库单!$C$4:$C$2503),""),账期止-$N110)))</f>
        <v/>
      </c>
      <c r="P110" s="17" t="n"/>
    </row>
    <row r="111">
      <c r="A111" s="17" t="inlineStr">
        <is>
          <t>JH0108</t>
        </is>
      </c>
      <c r="B111" s="17" t="inlineStr">
        <is>
          <t>其他</t>
        </is>
      </c>
      <c r="C111" s="17" t="inlineStr">
        <is>
          <t>铁线</t>
        </is>
      </c>
      <c r="D111" s="17" t="inlineStr">
        <is>
          <t>10#</t>
        </is>
      </c>
      <c r="E111" s="17" t="inlineStr">
        <is>
          <t>捆</t>
        </is>
      </c>
      <c r="F111" s="17" t="inlineStr">
        <is>
          <t>否</t>
        </is>
      </c>
      <c r="G111" s="23" t="n"/>
      <c r="H111" s="24">
        <f>IF($A111="","",IFERROR(LOOKUP(2,1/((入库单!$G$4:$G$2503=$A111)*(入库单!$Y$4:$Y$2503="正常")*(入库单!$L$4:$L$2503&gt;0)),入库单!$D$4:$D$2503),""))</f>
        <v/>
      </c>
      <c r="I111" s="25">
        <f>IF($A111="","",IFERROR(LOOKUP(2,1/((入库单!$G$4:$G$2503=$A111)*(入库单!$Y$4:$Y$2503="正常")*(入库单!$L$4:$L$2503&gt;0)),入库单!$L$4:$L$2503),0))</f>
        <v/>
      </c>
      <c r="J111" s="26">
        <f>IF($A111="","",IF($H111="A国内",ROUND($I111*倍数A*汇率,0),IF($H111="B当地",ROUND($I111*系数B,0),0)))</f>
        <v/>
      </c>
      <c r="K111" s="24">
        <f>IF($A111="","",IF(COUNTIFS(入库单!$G$4:$G$2503,$A111,入库单!$X$4:$X$2503,"待补价")&gt;0,"待补价",IF(COUNTIFS(入库单!$G$4:$G$2503,$A111,入库单!$X$4:$X$2503,"暂估")&gt;0,"暂估",IF($I111=0,"没有进价","正常"))))</f>
        <v/>
      </c>
      <c r="L111" s="27">
        <f>IF($A111="","",IFERROR(VLOOKUP($A111,库存台账!$A$5:$Y$1204,24,0),0))</f>
        <v/>
      </c>
      <c r="M111" s="26">
        <f>IF($A111="","",IFERROR(VLOOKUP($A111,库存台账!$A$5:$Y$1204,25,0),0))</f>
        <v/>
      </c>
      <c r="N111" s="19">
        <f>IF($A111="","",IFERROR(LOOKUP(2,1/((出库单!$D$4:$D$4003=$A111)*(出库单!$T$4:$T$4003="正常")),出库单!$C$4:$C$4003),""))</f>
        <v/>
      </c>
      <c r="O111" s="28">
        <f>IF($A111="","",IF($L111&lt;=0,"",IF($N111="",IFERROR(账期止-LOOKUP(2,1/(入库单!$G$4:$G$2503=$A111),入库单!$C$4:$C$2503),""),账期止-$N111)))</f>
        <v/>
      </c>
      <c r="P111" s="17" t="n"/>
    </row>
    <row r="112">
      <c r="A112" s="17" t="inlineStr">
        <is>
          <t>JH0109</t>
        </is>
      </c>
      <c r="B112" s="17" t="inlineStr">
        <is>
          <t>其他</t>
        </is>
      </c>
      <c r="C112" s="17" t="inlineStr">
        <is>
          <t>铁线</t>
        </is>
      </c>
      <c r="D112" s="17" t="inlineStr">
        <is>
          <t>12#</t>
        </is>
      </c>
      <c r="E112" s="17" t="inlineStr">
        <is>
          <t>捆</t>
        </is>
      </c>
      <c r="F112" s="17" t="inlineStr">
        <is>
          <t>否</t>
        </is>
      </c>
      <c r="G112" s="23" t="n"/>
      <c r="H112" s="24">
        <f>IF($A112="","",IFERROR(LOOKUP(2,1/((入库单!$G$4:$G$2503=$A112)*(入库单!$Y$4:$Y$2503="正常")*(入库单!$L$4:$L$2503&gt;0)),入库单!$D$4:$D$2503),""))</f>
        <v/>
      </c>
      <c r="I112" s="25">
        <f>IF($A112="","",IFERROR(LOOKUP(2,1/((入库单!$G$4:$G$2503=$A112)*(入库单!$Y$4:$Y$2503="正常")*(入库单!$L$4:$L$2503&gt;0)),入库单!$L$4:$L$2503),0))</f>
        <v/>
      </c>
      <c r="J112" s="26">
        <f>IF($A112="","",IF($H112="A国内",ROUND($I112*倍数A*汇率,0),IF($H112="B当地",ROUND($I112*系数B,0),0)))</f>
        <v/>
      </c>
      <c r="K112" s="24">
        <f>IF($A112="","",IF(COUNTIFS(入库单!$G$4:$G$2503,$A112,入库单!$X$4:$X$2503,"待补价")&gt;0,"待补价",IF(COUNTIFS(入库单!$G$4:$G$2503,$A112,入库单!$X$4:$X$2503,"暂估")&gt;0,"暂估",IF($I112=0,"没有进价","正常"))))</f>
        <v/>
      </c>
      <c r="L112" s="27">
        <f>IF($A112="","",IFERROR(VLOOKUP($A112,库存台账!$A$5:$Y$1204,24,0),0))</f>
        <v/>
      </c>
      <c r="M112" s="26">
        <f>IF($A112="","",IFERROR(VLOOKUP($A112,库存台账!$A$5:$Y$1204,25,0),0))</f>
        <v/>
      </c>
      <c r="N112" s="19">
        <f>IF($A112="","",IFERROR(LOOKUP(2,1/((出库单!$D$4:$D$4003=$A112)*(出库单!$T$4:$T$4003="正常")),出库单!$C$4:$C$4003),""))</f>
        <v/>
      </c>
      <c r="O112" s="28">
        <f>IF($A112="","",IF($L112&lt;=0,"",IF($N112="",IFERROR(账期止-LOOKUP(2,1/(入库单!$G$4:$G$2503=$A112),入库单!$C$4:$C$2503),""),账期止-$N112)))</f>
        <v/>
      </c>
      <c r="P112" s="17" t="n"/>
    </row>
    <row r="113">
      <c r="A113" s="17" t="inlineStr">
        <is>
          <t>JH0110</t>
        </is>
      </c>
      <c r="B113" s="17" t="inlineStr">
        <is>
          <t>其他</t>
        </is>
      </c>
      <c r="C113" s="17" t="inlineStr">
        <is>
          <t>钢卷尺</t>
        </is>
      </c>
      <c r="D113" s="17" t="inlineStr">
        <is>
          <t>3米</t>
        </is>
      </c>
      <c r="E113" s="17" t="inlineStr">
        <is>
          <t>盒</t>
        </is>
      </c>
      <c r="F113" s="17" t="inlineStr">
        <is>
          <t>否</t>
        </is>
      </c>
      <c r="G113" s="23" t="n"/>
      <c r="H113" s="24">
        <f>IF($A113="","",IFERROR(LOOKUP(2,1/((入库单!$G$4:$G$2503=$A113)*(入库单!$Y$4:$Y$2503="正常")*(入库单!$L$4:$L$2503&gt;0)),入库单!$D$4:$D$2503),""))</f>
        <v/>
      </c>
      <c r="I113" s="25">
        <f>IF($A113="","",IFERROR(LOOKUP(2,1/((入库单!$G$4:$G$2503=$A113)*(入库单!$Y$4:$Y$2503="正常")*(入库单!$L$4:$L$2503&gt;0)),入库单!$L$4:$L$2503),0))</f>
        <v/>
      </c>
      <c r="J113" s="26">
        <f>IF($A113="","",IF($H113="A国内",ROUND($I113*倍数A*汇率,0),IF($H113="B当地",ROUND($I113*系数B,0),0)))</f>
        <v/>
      </c>
      <c r="K113" s="24">
        <f>IF($A113="","",IF(COUNTIFS(入库单!$G$4:$G$2503,$A113,入库单!$X$4:$X$2503,"待补价")&gt;0,"待补价",IF(COUNTIFS(入库单!$G$4:$G$2503,$A113,入库单!$X$4:$X$2503,"暂估")&gt;0,"暂估",IF($I113=0,"没有进价","正常"))))</f>
        <v/>
      </c>
      <c r="L113" s="27">
        <f>IF($A113="","",IFERROR(VLOOKUP($A113,库存台账!$A$5:$Y$1204,24,0),0))</f>
        <v/>
      </c>
      <c r="M113" s="26">
        <f>IF($A113="","",IFERROR(VLOOKUP($A113,库存台账!$A$5:$Y$1204,25,0),0))</f>
        <v/>
      </c>
      <c r="N113" s="19">
        <f>IF($A113="","",IFERROR(LOOKUP(2,1/((出库单!$D$4:$D$4003=$A113)*(出库单!$T$4:$T$4003="正常")),出库单!$C$4:$C$4003),""))</f>
        <v/>
      </c>
      <c r="O113" s="28">
        <f>IF($A113="","",IF($L113&lt;=0,"",IF($N113="",IFERROR(账期止-LOOKUP(2,1/(入库单!$G$4:$G$2503=$A113),入库单!$C$4:$C$2503),""),账期止-$N113)))</f>
        <v/>
      </c>
      <c r="P113" s="17" t="n"/>
    </row>
    <row r="114">
      <c r="A114" s="17" t="inlineStr">
        <is>
          <t>JH0111</t>
        </is>
      </c>
      <c r="B114" s="17" t="inlineStr">
        <is>
          <t>其他</t>
        </is>
      </c>
      <c r="C114" s="17" t="inlineStr">
        <is>
          <t>钢卷尺</t>
        </is>
      </c>
      <c r="D114" s="17" t="inlineStr">
        <is>
          <t>5米</t>
        </is>
      </c>
      <c r="E114" s="17" t="inlineStr">
        <is>
          <t>盒</t>
        </is>
      </c>
      <c r="F114" s="17" t="inlineStr">
        <is>
          <t>否</t>
        </is>
      </c>
      <c r="G114" s="23" t="n"/>
      <c r="H114" s="24">
        <f>IF($A114="","",IFERROR(LOOKUP(2,1/((入库单!$G$4:$G$2503=$A114)*(入库单!$Y$4:$Y$2503="正常")*(入库单!$L$4:$L$2503&gt;0)),入库单!$D$4:$D$2503),""))</f>
        <v/>
      </c>
      <c r="I114" s="25">
        <f>IF($A114="","",IFERROR(LOOKUP(2,1/((入库单!$G$4:$G$2503=$A114)*(入库单!$Y$4:$Y$2503="正常")*(入库单!$L$4:$L$2503&gt;0)),入库单!$L$4:$L$2503),0))</f>
        <v/>
      </c>
      <c r="J114" s="26">
        <f>IF($A114="","",IF($H114="A国内",ROUND($I114*倍数A*汇率,0),IF($H114="B当地",ROUND($I114*系数B,0),0)))</f>
        <v/>
      </c>
      <c r="K114" s="24">
        <f>IF($A114="","",IF(COUNTIFS(入库单!$G$4:$G$2503,$A114,入库单!$X$4:$X$2503,"待补价")&gt;0,"待补价",IF(COUNTIFS(入库单!$G$4:$G$2503,$A114,入库单!$X$4:$X$2503,"暂估")&gt;0,"暂估",IF($I114=0,"没有进价","正常"))))</f>
        <v/>
      </c>
      <c r="L114" s="27">
        <f>IF($A114="","",IFERROR(VLOOKUP($A114,库存台账!$A$5:$Y$1204,24,0),0))</f>
        <v/>
      </c>
      <c r="M114" s="26">
        <f>IF($A114="","",IFERROR(VLOOKUP($A114,库存台账!$A$5:$Y$1204,25,0),0))</f>
        <v/>
      </c>
      <c r="N114" s="19">
        <f>IF($A114="","",IFERROR(LOOKUP(2,1/((出库单!$D$4:$D$4003=$A114)*(出库单!$T$4:$T$4003="正常")),出库单!$C$4:$C$4003),""))</f>
        <v/>
      </c>
      <c r="O114" s="28">
        <f>IF($A114="","",IF($L114&lt;=0,"",IF($N114="",IFERROR(账期止-LOOKUP(2,1/(入库单!$G$4:$G$2503=$A114),入库单!$C$4:$C$2503),""),账期止-$N114)))</f>
        <v/>
      </c>
      <c r="P114" s="17" t="n"/>
    </row>
    <row r="115">
      <c r="A115" s="17" t="inlineStr">
        <is>
          <t>JH0112</t>
        </is>
      </c>
      <c r="B115" s="17" t="inlineStr">
        <is>
          <t>其他</t>
        </is>
      </c>
      <c r="C115" s="17" t="inlineStr">
        <is>
          <t>切割枪（火焊）</t>
        </is>
      </c>
      <c r="D115" s="17" t="inlineStr">
        <is>
          <t>100型</t>
        </is>
      </c>
      <c r="E115" s="17" t="inlineStr">
        <is>
          <t>个</t>
        </is>
      </c>
      <c r="F115" s="17" t="inlineStr">
        <is>
          <t>否</t>
        </is>
      </c>
      <c r="G115" s="23" t="n"/>
      <c r="H115" s="24">
        <f>IF($A115="","",IFERROR(LOOKUP(2,1/((入库单!$G$4:$G$2503=$A115)*(入库单!$Y$4:$Y$2503="正常")*(入库单!$L$4:$L$2503&gt;0)),入库单!$D$4:$D$2503),""))</f>
        <v/>
      </c>
      <c r="I115" s="25">
        <f>IF($A115="","",IFERROR(LOOKUP(2,1/((入库单!$G$4:$G$2503=$A115)*(入库单!$Y$4:$Y$2503="正常")*(入库单!$L$4:$L$2503&gt;0)),入库单!$L$4:$L$2503),0))</f>
        <v/>
      </c>
      <c r="J115" s="26">
        <f>IF($A115="","",IF($H115="A国内",ROUND($I115*倍数A*汇率,0),IF($H115="B当地",ROUND($I115*系数B,0),0)))</f>
        <v/>
      </c>
      <c r="K115" s="24">
        <f>IF($A115="","",IF(COUNTIFS(入库单!$G$4:$G$2503,$A115,入库单!$X$4:$X$2503,"待补价")&gt;0,"待补价",IF(COUNTIFS(入库单!$G$4:$G$2503,$A115,入库单!$X$4:$X$2503,"暂估")&gt;0,"暂估",IF($I115=0,"没有进价","正常"))))</f>
        <v/>
      </c>
      <c r="L115" s="27">
        <f>IF($A115="","",IFERROR(VLOOKUP($A115,库存台账!$A$5:$Y$1204,24,0),0))</f>
        <v/>
      </c>
      <c r="M115" s="26">
        <f>IF($A115="","",IFERROR(VLOOKUP($A115,库存台账!$A$5:$Y$1204,25,0),0))</f>
        <v/>
      </c>
      <c r="N115" s="19">
        <f>IF($A115="","",IFERROR(LOOKUP(2,1/((出库单!$D$4:$D$4003=$A115)*(出库单!$T$4:$T$4003="正常")),出库单!$C$4:$C$4003),""))</f>
        <v/>
      </c>
      <c r="O115" s="28">
        <f>IF($A115="","",IF($L115&lt;=0,"",IF($N115="",IFERROR(账期止-LOOKUP(2,1/(入库单!$G$4:$G$2503=$A115),入库单!$C$4:$C$2503),""),账期止-$N115)))</f>
        <v/>
      </c>
      <c r="P115" s="17" t="n"/>
    </row>
    <row r="116">
      <c r="A116" s="17" t="inlineStr">
        <is>
          <t>JH0113</t>
        </is>
      </c>
      <c r="B116" s="17" t="inlineStr">
        <is>
          <t>其他</t>
        </is>
      </c>
      <c r="C116" s="17" t="inlineStr">
        <is>
          <t>割嘴（火焊）</t>
        </is>
      </c>
      <c r="D116" s="17" t="inlineStr">
        <is>
          <t>100型</t>
        </is>
      </c>
      <c r="E116" s="17" t="inlineStr">
        <is>
          <t>个</t>
        </is>
      </c>
      <c r="F116" s="17" t="inlineStr">
        <is>
          <t>否</t>
        </is>
      </c>
      <c r="G116" s="23" t="n"/>
      <c r="H116" s="24">
        <f>IF($A116="","",IFERROR(LOOKUP(2,1/((入库单!$G$4:$G$2503=$A116)*(入库单!$Y$4:$Y$2503="正常")*(入库单!$L$4:$L$2503&gt;0)),入库单!$D$4:$D$2503),""))</f>
        <v/>
      </c>
      <c r="I116" s="25">
        <f>IF($A116="","",IFERROR(LOOKUP(2,1/((入库单!$G$4:$G$2503=$A116)*(入库单!$Y$4:$Y$2503="正常")*(入库单!$L$4:$L$2503&gt;0)),入库单!$L$4:$L$2503),0))</f>
        <v/>
      </c>
      <c r="J116" s="26">
        <f>IF($A116="","",IF($H116="A国内",ROUND($I116*倍数A*汇率,0),IF($H116="B当地",ROUND($I116*系数B,0),0)))</f>
        <v/>
      </c>
      <c r="K116" s="24">
        <f>IF($A116="","",IF(COUNTIFS(入库单!$G$4:$G$2503,$A116,入库单!$X$4:$X$2503,"待补价")&gt;0,"待补价",IF(COUNTIFS(入库单!$G$4:$G$2503,$A116,入库单!$X$4:$X$2503,"暂估")&gt;0,"暂估",IF($I116=0,"没有进价","正常"))))</f>
        <v/>
      </c>
      <c r="L116" s="27">
        <f>IF($A116="","",IFERROR(VLOOKUP($A116,库存台账!$A$5:$Y$1204,24,0),0))</f>
        <v/>
      </c>
      <c r="M116" s="26">
        <f>IF($A116="","",IFERROR(VLOOKUP($A116,库存台账!$A$5:$Y$1204,25,0),0))</f>
        <v/>
      </c>
      <c r="N116" s="19">
        <f>IF($A116="","",IFERROR(LOOKUP(2,1/((出库单!$D$4:$D$4003=$A116)*(出库单!$T$4:$T$4003="正常")),出库单!$C$4:$C$4003),""))</f>
        <v/>
      </c>
      <c r="O116" s="28">
        <f>IF($A116="","",IF($L116&lt;=0,"",IF($N116="",IFERROR(账期止-LOOKUP(2,1/(入库单!$G$4:$G$2503=$A116),入库单!$C$4:$C$2503),""),账期止-$N116)))</f>
        <v/>
      </c>
      <c r="P116" s="17" t="n"/>
    </row>
    <row r="117">
      <c r="A117" s="17" t="inlineStr">
        <is>
          <t>JH0114</t>
        </is>
      </c>
      <c r="B117" s="17" t="inlineStr">
        <is>
          <t>电缆电气</t>
        </is>
      </c>
      <c r="C117" s="17" t="inlineStr">
        <is>
          <t>灯线</t>
        </is>
      </c>
      <c r="D117" s="17" t="inlineStr">
        <is>
          <t>10平方毫米单芯铝线</t>
        </is>
      </c>
      <c r="E117" s="17" t="inlineStr">
        <is>
          <t>盘</t>
        </is>
      </c>
      <c r="F117" s="17" t="inlineStr">
        <is>
          <t>否</t>
        </is>
      </c>
      <c r="G117" s="23" t="n"/>
      <c r="H117" s="24">
        <f>IF($A117="","",IFERROR(LOOKUP(2,1/((入库单!$G$4:$G$2503=$A117)*(入库单!$Y$4:$Y$2503="正常")*(入库单!$L$4:$L$2503&gt;0)),入库单!$D$4:$D$2503),""))</f>
        <v/>
      </c>
      <c r="I117" s="25">
        <f>IF($A117="","",IFERROR(LOOKUP(2,1/((入库单!$G$4:$G$2503=$A117)*(入库单!$Y$4:$Y$2503="正常")*(入库单!$L$4:$L$2503&gt;0)),入库单!$L$4:$L$2503),0))</f>
        <v/>
      </c>
      <c r="J117" s="26">
        <f>IF($A117="","",IF($H117="A国内",ROUND($I117*倍数A*汇率,0),IF($H117="B当地",ROUND($I117*系数B,0),0)))</f>
        <v/>
      </c>
      <c r="K117" s="24">
        <f>IF($A117="","",IF(COUNTIFS(入库单!$G$4:$G$2503,$A117,入库单!$X$4:$X$2503,"待补价")&gt;0,"待补价",IF(COUNTIFS(入库单!$G$4:$G$2503,$A117,入库单!$X$4:$X$2503,"暂估")&gt;0,"暂估",IF($I117=0,"没有进价","正常"))))</f>
        <v/>
      </c>
      <c r="L117" s="27">
        <f>IF($A117="","",IFERROR(VLOOKUP($A117,库存台账!$A$5:$Y$1204,24,0),0))</f>
        <v/>
      </c>
      <c r="M117" s="26">
        <f>IF($A117="","",IFERROR(VLOOKUP($A117,库存台账!$A$5:$Y$1204,25,0),0))</f>
        <v/>
      </c>
      <c r="N117" s="19">
        <f>IF($A117="","",IFERROR(LOOKUP(2,1/((出库单!$D$4:$D$4003=$A117)*(出库单!$T$4:$T$4003="正常")),出库单!$C$4:$C$4003),""))</f>
        <v/>
      </c>
      <c r="O117" s="28">
        <f>IF($A117="","",IF($L117&lt;=0,"",IF($N117="",IFERROR(账期止-LOOKUP(2,1/(入库单!$G$4:$G$2503=$A117),入库单!$C$4:$C$2503),""),账期止-$N117)))</f>
        <v/>
      </c>
      <c r="P117" s="17" t="n"/>
    </row>
    <row r="118">
      <c r="A118" s="17" t="inlineStr">
        <is>
          <t>JH0115</t>
        </is>
      </c>
      <c r="B118" s="17" t="inlineStr">
        <is>
          <t>其他</t>
        </is>
      </c>
      <c r="C118" s="17" t="inlineStr">
        <is>
          <t>三角扒</t>
        </is>
      </c>
      <c r="D118" s="17" t="inlineStr"/>
      <c r="E118" s="17" t="inlineStr">
        <is>
          <t>个</t>
        </is>
      </c>
      <c r="F118" s="17" t="inlineStr">
        <is>
          <t>否</t>
        </is>
      </c>
      <c r="G118" s="23" t="n"/>
      <c r="H118" s="24">
        <f>IF($A118="","",IFERROR(LOOKUP(2,1/((入库单!$G$4:$G$2503=$A118)*(入库单!$Y$4:$Y$2503="正常")*(入库单!$L$4:$L$2503&gt;0)),入库单!$D$4:$D$2503),""))</f>
        <v/>
      </c>
      <c r="I118" s="25">
        <f>IF($A118="","",IFERROR(LOOKUP(2,1/((入库单!$G$4:$G$2503=$A118)*(入库单!$Y$4:$Y$2503="正常")*(入库单!$L$4:$L$2503&gt;0)),入库单!$L$4:$L$2503),0))</f>
        <v/>
      </c>
      <c r="J118" s="26">
        <f>IF($A118="","",IF($H118="A国内",ROUND($I118*倍数A*汇率,0),IF($H118="B当地",ROUND($I118*系数B,0),0)))</f>
        <v/>
      </c>
      <c r="K118" s="24">
        <f>IF($A118="","",IF(COUNTIFS(入库单!$G$4:$G$2503,$A118,入库单!$X$4:$X$2503,"待补价")&gt;0,"待补价",IF(COUNTIFS(入库单!$G$4:$G$2503,$A118,入库单!$X$4:$X$2503,"暂估")&gt;0,"暂估",IF($I118=0,"没有进价","正常"))))</f>
        <v/>
      </c>
      <c r="L118" s="27">
        <f>IF($A118="","",IFERROR(VLOOKUP($A118,库存台账!$A$5:$Y$1204,24,0),0))</f>
        <v/>
      </c>
      <c r="M118" s="26">
        <f>IF($A118="","",IFERROR(VLOOKUP($A118,库存台账!$A$5:$Y$1204,25,0),0))</f>
        <v/>
      </c>
      <c r="N118" s="19">
        <f>IF($A118="","",IFERROR(LOOKUP(2,1/((出库单!$D$4:$D$4003=$A118)*(出库单!$T$4:$T$4003="正常")),出库单!$C$4:$C$4003),""))</f>
        <v/>
      </c>
      <c r="O118" s="28">
        <f>IF($A118="","",IF($L118&lt;=0,"",IF($N118="",IFERROR(账期止-LOOKUP(2,1/(入库单!$G$4:$G$2503=$A118),入库单!$C$4:$C$2503),""),账期止-$N118)))</f>
        <v/>
      </c>
      <c r="P118" s="17" t="n"/>
    </row>
    <row r="119">
      <c r="A119" s="17" t="inlineStr">
        <is>
          <t>JH0116</t>
        </is>
      </c>
      <c r="B119" s="17" t="inlineStr">
        <is>
          <t>其他</t>
        </is>
      </c>
      <c r="C119" s="17" t="inlineStr">
        <is>
          <t>三角扒木把</t>
        </is>
      </c>
      <c r="D119" s="17" t="inlineStr"/>
      <c r="E119" s="17" t="inlineStr">
        <is>
          <t>根</t>
        </is>
      </c>
      <c r="F119" s="17" t="inlineStr">
        <is>
          <t>否</t>
        </is>
      </c>
      <c r="G119" s="23" t="n"/>
      <c r="H119" s="24">
        <f>IF($A119="","",IFERROR(LOOKUP(2,1/((入库单!$G$4:$G$2503=$A119)*(入库单!$Y$4:$Y$2503="正常")*(入库单!$L$4:$L$2503&gt;0)),入库单!$D$4:$D$2503),""))</f>
        <v/>
      </c>
      <c r="I119" s="25">
        <f>IF($A119="","",IFERROR(LOOKUP(2,1/((入库单!$G$4:$G$2503=$A119)*(入库单!$Y$4:$Y$2503="正常")*(入库单!$L$4:$L$2503&gt;0)),入库单!$L$4:$L$2503),0))</f>
        <v/>
      </c>
      <c r="J119" s="26">
        <f>IF($A119="","",IF($H119="A国内",ROUND($I119*倍数A*汇率,0),IF($H119="B当地",ROUND($I119*系数B,0),0)))</f>
        <v/>
      </c>
      <c r="K119" s="24">
        <f>IF($A119="","",IF(COUNTIFS(入库单!$G$4:$G$2503,$A119,入库单!$X$4:$X$2503,"待补价")&gt;0,"待补价",IF(COUNTIFS(入库单!$G$4:$G$2503,$A119,入库单!$X$4:$X$2503,"暂估")&gt;0,"暂估",IF($I119=0,"没有进价","正常"))))</f>
        <v/>
      </c>
      <c r="L119" s="27">
        <f>IF($A119="","",IFERROR(VLOOKUP($A119,库存台账!$A$5:$Y$1204,24,0),0))</f>
        <v/>
      </c>
      <c r="M119" s="26">
        <f>IF($A119="","",IFERROR(VLOOKUP($A119,库存台账!$A$5:$Y$1204,25,0),0))</f>
        <v/>
      </c>
      <c r="N119" s="19">
        <f>IF($A119="","",IFERROR(LOOKUP(2,1/((出库单!$D$4:$D$4003=$A119)*(出库单!$T$4:$T$4003="正常")),出库单!$C$4:$C$4003),""))</f>
        <v/>
      </c>
      <c r="O119" s="28">
        <f>IF($A119="","",IF($L119&lt;=0,"",IF($N119="",IFERROR(账期止-LOOKUP(2,1/(入库单!$G$4:$G$2503=$A119),入库单!$C$4:$C$2503),""),账期止-$N119)))</f>
        <v/>
      </c>
      <c r="P119" s="17" t="n"/>
    </row>
    <row r="120">
      <c r="A120" s="17" t="inlineStr">
        <is>
          <t>JH0117</t>
        </is>
      </c>
      <c r="B120" s="17" t="inlineStr">
        <is>
          <t>其他</t>
        </is>
      </c>
      <c r="C120" s="17" t="inlineStr">
        <is>
          <t>大榔头</t>
        </is>
      </c>
      <c r="D120" s="17" t="inlineStr">
        <is>
          <t>20LB</t>
        </is>
      </c>
      <c r="E120" s="17" t="inlineStr">
        <is>
          <t>个</t>
        </is>
      </c>
      <c r="F120" s="17" t="inlineStr">
        <is>
          <t>否</t>
        </is>
      </c>
      <c r="G120" s="23" t="n"/>
      <c r="H120" s="24">
        <f>IF($A120="","",IFERROR(LOOKUP(2,1/((入库单!$G$4:$G$2503=$A120)*(入库单!$Y$4:$Y$2503="正常")*(入库单!$L$4:$L$2503&gt;0)),入库单!$D$4:$D$2503),""))</f>
        <v/>
      </c>
      <c r="I120" s="25">
        <f>IF($A120="","",IFERROR(LOOKUP(2,1/((入库单!$G$4:$G$2503=$A120)*(入库单!$Y$4:$Y$2503="正常")*(入库单!$L$4:$L$2503&gt;0)),入库单!$L$4:$L$2503),0))</f>
        <v/>
      </c>
      <c r="J120" s="26">
        <f>IF($A120="","",IF($H120="A国内",ROUND($I120*倍数A*汇率,0),IF($H120="B当地",ROUND($I120*系数B,0),0)))</f>
        <v/>
      </c>
      <c r="K120" s="24">
        <f>IF($A120="","",IF(COUNTIFS(入库单!$G$4:$G$2503,$A120,入库单!$X$4:$X$2503,"待补价")&gt;0,"待补价",IF(COUNTIFS(入库单!$G$4:$G$2503,$A120,入库单!$X$4:$X$2503,"暂估")&gt;0,"暂估",IF($I120=0,"没有进价","正常"))))</f>
        <v/>
      </c>
      <c r="L120" s="27">
        <f>IF($A120="","",IFERROR(VLOOKUP($A120,库存台账!$A$5:$Y$1204,24,0),0))</f>
        <v/>
      </c>
      <c r="M120" s="26">
        <f>IF($A120="","",IFERROR(VLOOKUP($A120,库存台账!$A$5:$Y$1204,25,0),0))</f>
        <v/>
      </c>
      <c r="N120" s="19">
        <f>IF($A120="","",IFERROR(LOOKUP(2,1/((出库单!$D$4:$D$4003=$A120)*(出库单!$T$4:$T$4003="正常")),出库单!$C$4:$C$4003),""))</f>
        <v/>
      </c>
      <c r="O120" s="28">
        <f>IF($A120="","",IF($L120&lt;=0,"",IF($N120="",IFERROR(账期止-LOOKUP(2,1/(入库单!$G$4:$G$2503=$A120),入库单!$C$4:$C$2503),""),账期止-$N120)))</f>
        <v/>
      </c>
      <c r="P120" s="17" t="n"/>
    </row>
    <row r="121">
      <c r="A121" s="17" t="inlineStr">
        <is>
          <t>JH0118</t>
        </is>
      </c>
      <c r="B121" s="17" t="inlineStr">
        <is>
          <t>其他</t>
        </is>
      </c>
      <c r="C121" s="17" t="inlineStr">
        <is>
          <t>榔头把</t>
        </is>
      </c>
      <c r="D121" s="17" t="inlineStr"/>
      <c r="E121" s="17" t="inlineStr">
        <is>
          <t>根</t>
        </is>
      </c>
      <c r="F121" s="17" t="inlineStr">
        <is>
          <t>否</t>
        </is>
      </c>
      <c r="G121" s="23" t="n"/>
      <c r="H121" s="24">
        <f>IF($A121="","",IFERROR(LOOKUP(2,1/((入库单!$G$4:$G$2503=$A121)*(入库单!$Y$4:$Y$2503="正常")*(入库单!$L$4:$L$2503&gt;0)),入库单!$D$4:$D$2503),""))</f>
        <v/>
      </c>
      <c r="I121" s="25">
        <f>IF($A121="","",IFERROR(LOOKUP(2,1/((入库单!$G$4:$G$2503=$A121)*(入库单!$Y$4:$Y$2503="正常")*(入库单!$L$4:$L$2503&gt;0)),入库单!$L$4:$L$2503),0))</f>
        <v/>
      </c>
      <c r="J121" s="26">
        <f>IF($A121="","",IF($H121="A国内",ROUND($I121*倍数A*汇率,0),IF($H121="B当地",ROUND($I121*系数B,0),0)))</f>
        <v/>
      </c>
      <c r="K121" s="24">
        <f>IF($A121="","",IF(COUNTIFS(入库单!$G$4:$G$2503,$A121,入库单!$X$4:$X$2503,"待补价")&gt;0,"待补价",IF(COUNTIFS(入库单!$G$4:$G$2503,$A121,入库单!$X$4:$X$2503,"暂估")&gt;0,"暂估",IF($I121=0,"没有进价","正常"))))</f>
        <v/>
      </c>
      <c r="L121" s="27">
        <f>IF($A121="","",IFERROR(VLOOKUP($A121,库存台账!$A$5:$Y$1204,24,0),0))</f>
        <v/>
      </c>
      <c r="M121" s="26">
        <f>IF($A121="","",IFERROR(VLOOKUP($A121,库存台账!$A$5:$Y$1204,25,0),0))</f>
        <v/>
      </c>
      <c r="N121" s="19">
        <f>IF($A121="","",IFERROR(LOOKUP(2,1/((出库单!$D$4:$D$4003=$A121)*(出库单!$T$4:$T$4003="正常")),出库单!$C$4:$C$4003),""))</f>
        <v/>
      </c>
      <c r="O121" s="28">
        <f>IF($A121="","",IF($L121&lt;=0,"",IF($N121="",IFERROR(账期止-LOOKUP(2,1/(入库单!$G$4:$G$2503=$A121),入库单!$C$4:$C$2503),""),账期止-$N121)))</f>
        <v/>
      </c>
      <c r="P121" s="17" t="n"/>
    </row>
    <row r="122">
      <c r="A122" s="17" t="inlineStr">
        <is>
          <t>JH0119</t>
        </is>
      </c>
      <c r="B122" s="17" t="inlineStr">
        <is>
          <t>其他</t>
        </is>
      </c>
      <c r="C122" s="17" t="inlineStr">
        <is>
          <t>*等离子切割机</t>
        </is>
      </c>
      <c r="D122" s="17" t="inlineStr">
        <is>
          <t>LGK-120</t>
        </is>
      </c>
      <c r="E122" s="17" t="inlineStr">
        <is>
          <t>台</t>
        </is>
      </c>
      <c r="F122" s="17" t="inlineStr">
        <is>
          <t>否</t>
        </is>
      </c>
      <c r="G122" s="23" t="n"/>
      <c r="H122" s="24">
        <f>IF($A122="","",IFERROR(LOOKUP(2,1/((入库单!$G$4:$G$2503=$A122)*(入库单!$Y$4:$Y$2503="正常")*(入库单!$L$4:$L$2503&gt;0)),入库单!$D$4:$D$2503),""))</f>
        <v/>
      </c>
      <c r="I122" s="25">
        <f>IF($A122="","",IFERROR(LOOKUP(2,1/((入库单!$G$4:$G$2503=$A122)*(入库单!$Y$4:$Y$2503="正常")*(入库单!$L$4:$L$2503&gt;0)),入库单!$L$4:$L$2503),0))</f>
        <v/>
      </c>
      <c r="J122" s="26">
        <f>IF($A122="","",IF($H122="A国内",ROUND($I122*倍数A*汇率,0),IF($H122="B当地",ROUND($I122*系数B,0),0)))</f>
        <v/>
      </c>
      <c r="K122" s="24">
        <f>IF($A122="","",IF(COUNTIFS(入库单!$G$4:$G$2503,$A122,入库单!$X$4:$X$2503,"待补价")&gt;0,"待补价",IF(COUNTIFS(入库单!$G$4:$G$2503,$A122,入库单!$X$4:$X$2503,"暂估")&gt;0,"暂估",IF($I122=0,"没有进价","正常"))))</f>
        <v/>
      </c>
      <c r="L122" s="27">
        <f>IF($A122="","",IFERROR(VLOOKUP($A122,库存台账!$A$5:$Y$1204,24,0),0))</f>
        <v/>
      </c>
      <c r="M122" s="26">
        <f>IF($A122="","",IFERROR(VLOOKUP($A122,库存台账!$A$5:$Y$1204,25,0),0))</f>
        <v/>
      </c>
      <c r="N122" s="19">
        <f>IF($A122="","",IFERROR(LOOKUP(2,1/((出库单!$D$4:$D$4003=$A122)*(出库单!$T$4:$T$4003="正常")),出库单!$C$4:$C$4003),""))</f>
        <v/>
      </c>
      <c r="O122" s="28">
        <f>IF($A122="","",IF($L122&lt;=0,"",IF($N122="",IFERROR(账期止-LOOKUP(2,1/(入库单!$G$4:$G$2503=$A122),入库单!$C$4:$C$2503),""),账期止-$N122)))</f>
        <v/>
      </c>
      <c r="P122" s="17" t="n"/>
    </row>
    <row r="123">
      <c r="A123" s="17" t="inlineStr">
        <is>
          <t>JH0120</t>
        </is>
      </c>
      <c r="B123" s="17" t="inlineStr">
        <is>
          <t>其他</t>
        </is>
      </c>
      <c r="C123" s="17" t="inlineStr">
        <is>
          <t>*等离子切割机割嘴</t>
        </is>
      </c>
      <c r="D123" s="17" t="inlineStr">
        <is>
          <t>LGK-120</t>
        </is>
      </c>
      <c r="E123" s="17" t="inlineStr">
        <is>
          <t>套</t>
        </is>
      </c>
      <c r="F123" s="17" t="inlineStr">
        <is>
          <t>否</t>
        </is>
      </c>
      <c r="G123" s="23" t="n"/>
      <c r="H123" s="24">
        <f>IF($A123="","",IFERROR(LOOKUP(2,1/((入库单!$G$4:$G$2503=$A123)*(入库单!$Y$4:$Y$2503="正常")*(入库单!$L$4:$L$2503&gt;0)),入库单!$D$4:$D$2503),""))</f>
        <v/>
      </c>
      <c r="I123" s="25">
        <f>IF($A123="","",IFERROR(LOOKUP(2,1/((入库单!$G$4:$G$2503=$A123)*(入库单!$Y$4:$Y$2503="正常")*(入库单!$L$4:$L$2503&gt;0)),入库单!$L$4:$L$2503),0))</f>
        <v/>
      </c>
      <c r="J123" s="26">
        <f>IF($A123="","",IF($H123="A国内",ROUND($I123*倍数A*汇率,0),IF($H123="B当地",ROUND($I123*系数B,0),0)))</f>
        <v/>
      </c>
      <c r="K123" s="24">
        <f>IF($A123="","",IF(COUNTIFS(入库单!$G$4:$G$2503,$A123,入库单!$X$4:$X$2503,"待补价")&gt;0,"待补价",IF(COUNTIFS(入库单!$G$4:$G$2503,$A123,入库单!$X$4:$X$2503,"暂估")&gt;0,"暂估",IF($I123=0,"没有进价","正常"))))</f>
        <v/>
      </c>
      <c r="L123" s="27">
        <f>IF($A123="","",IFERROR(VLOOKUP($A123,库存台账!$A$5:$Y$1204,24,0),0))</f>
        <v/>
      </c>
      <c r="M123" s="26">
        <f>IF($A123="","",IFERROR(VLOOKUP($A123,库存台账!$A$5:$Y$1204,25,0),0))</f>
        <v/>
      </c>
      <c r="N123" s="19">
        <f>IF($A123="","",IFERROR(LOOKUP(2,1/((出库单!$D$4:$D$4003=$A123)*(出库单!$T$4:$T$4003="正常")),出库单!$C$4:$C$4003),""))</f>
        <v/>
      </c>
      <c r="O123" s="28">
        <f>IF($A123="","",IF($L123&lt;=0,"",IF($N123="",IFERROR(账期止-LOOKUP(2,1/(入库单!$G$4:$G$2503=$A123),入库单!$C$4:$C$2503),""),账期止-$N123)))</f>
        <v/>
      </c>
      <c r="P123" s="17" t="n"/>
    </row>
    <row r="124">
      <c r="A124" s="17" t="inlineStr">
        <is>
          <t>JH0121</t>
        </is>
      </c>
      <c r="B124" s="17" t="inlineStr">
        <is>
          <t>其他</t>
        </is>
      </c>
      <c r="C124" s="17" t="inlineStr">
        <is>
          <t>*等离子割枪</t>
        </is>
      </c>
      <c r="D124" s="17" t="inlineStr">
        <is>
          <t>P80</t>
        </is>
      </c>
      <c r="E124" s="17" t="inlineStr">
        <is>
          <t>套</t>
        </is>
      </c>
      <c r="F124" s="17" t="inlineStr">
        <is>
          <t>否</t>
        </is>
      </c>
      <c r="G124" s="23" t="n"/>
      <c r="H124" s="24">
        <f>IF($A124="","",IFERROR(LOOKUP(2,1/((入库单!$G$4:$G$2503=$A124)*(入库单!$Y$4:$Y$2503="正常")*(入库单!$L$4:$L$2503&gt;0)),入库单!$D$4:$D$2503),""))</f>
        <v/>
      </c>
      <c r="I124" s="25">
        <f>IF($A124="","",IFERROR(LOOKUP(2,1/((入库单!$G$4:$G$2503=$A124)*(入库单!$Y$4:$Y$2503="正常")*(入库单!$L$4:$L$2503&gt;0)),入库单!$L$4:$L$2503),0))</f>
        <v/>
      </c>
      <c r="J124" s="26">
        <f>IF($A124="","",IF($H124="A国内",ROUND($I124*倍数A*汇率,0),IF($H124="B当地",ROUND($I124*系数B,0),0)))</f>
        <v/>
      </c>
      <c r="K124" s="24">
        <f>IF($A124="","",IF(COUNTIFS(入库单!$G$4:$G$2503,$A124,入库单!$X$4:$X$2503,"待补价")&gt;0,"待补价",IF(COUNTIFS(入库单!$G$4:$G$2503,$A124,入库单!$X$4:$X$2503,"暂估")&gt;0,"暂估",IF($I124=0,"没有进价","正常"))))</f>
        <v/>
      </c>
      <c r="L124" s="27">
        <f>IF($A124="","",IFERROR(VLOOKUP($A124,库存台账!$A$5:$Y$1204,24,0),0))</f>
        <v/>
      </c>
      <c r="M124" s="26">
        <f>IF($A124="","",IFERROR(VLOOKUP($A124,库存台账!$A$5:$Y$1204,25,0),0))</f>
        <v/>
      </c>
      <c r="N124" s="19">
        <f>IF($A124="","",IFERROR(LOOKUP(2,1/((出库单!$D$4:$D$4003=$A124)*(出库单!$T$4:$T$4003="正常")),出库单!$C$4:$C$4003),""))</f>
        <v/>
      </c>
      <c r="O124" s="28">
        <f>IF($A124="","",IF($L124&lt;=0,"",IF($N124="",IFERROR(账期止-LOOKUP(2,1/(入库单!$G$4:$G$2503=$A124),入库单!$C$4:$C$2503),""),账期止-$N124)))</f>
        <v/>
      </c>
      <c r="P124" s="17" t="n"/>
    </row>
    <row r="125">
      <c r="A125" s="17" t="inlineStr">
        <is>
          <t>JH0122</t>
        </is>
      </c>
      <c r="B125" s="17" t="inlineStr">
        <is>
          <t>其他</t>
        </is>
      </c>
      <c r="C125" s="17" t="inlineStr">
        <is>
          <t>*等离子割嘴电极</t>
        </is>
      </c>
      <c r="D125" s="17" t="inlineStr"/>
      <c r="E125" s="17" t="inlineStr">
        <is>
          <t>只</t>
        </is>
      </c>
      <c r="F125" s="17" t="inlineStr">
        <is>
          <t>否</t>
        </is>
      </c>
      <c r="G125" s="23" t="n"/>
      <c r="H125" s="24">
        <f>IF($A125="","",IFERROR(LOOKUP(2,1/((入库单!$G$4:$G$2503=$A125)*(入库单!$Y$4:$Y$2503="正常")*(入库单!$L$4:$L$2503&gt;0)),入库单!$D$4:$D$2503),""))</f>
        <v/>
      </c>
      <c r="I125" s="25">
        <f>IF($A125="","",IFERROR(LOOKUP(2,1/((入库单!$G$4:$G$2503=$A125)*(入库单!$Y$4:$Y$2503="正常")*(入库单!$L$4:$L$2503&gt;0)),入库单!$L$4:$L$2503),0))</f>
        <v/>
      </c>
      <c r="J125" s="26">
        <f>IF($A125="","",IF($H125="A国内",ROUND($I125*倍数A*汇率,0),IF($H125="B当地",ROUND($I125*系数B,0),0)))</f>
        <v/>
      </c>
      <c r="K125" s="24">
        <f>IF($A125="","",IF(COUNTIFS(入库单!$G$4:$G$2503,$A125,入库单!$X$4:$X$2503,"待补价")&gt;0,"待补价",IF(COUNTIFS(入库单!$G$4:$G$2503,$A125,入库单!$X$4:$X$2503,"暂估")&gt;0,"暂估",IF($I125=0,"没有进价","正常"))))</f>
        <v/>
      </c>
      <c r="L125" s="27">
        <f>IF($A125="","",IFERROR(VLOOKUP($A125,库存台账!$A$5:$Y$1204,24,0),0))</f>
        <v/>
      </c>
      <c r="M125" s="26">
        <f>IF($A125="","",IFERROR(VLOOKUP($A125,库存台账!$A$5:$Y$1204,25,0),0))</f>
        <v/>
      </c>
      <c r="N125" s="19">
        <f>IF($A125="","",IFERROR(LOOKUP(2,1/((出库单!$D$4:$D$4003=$A125)*(出库单!$T$4:$T$4003="正常")),出库单!$C$4:$C$4003),""))</f>
        <v/>
      </c>
      <c r="O125" s="28">
        <f>IF($A125="","",IF($L125&lt;=0,"",IF($N125="",IFERROR(账期止-LOOKUP(2,1/(入库单!$G$4:$G$2503=$A125),入库单!$C$4:$C$2503),""),账期止-$N125)))</f>
        <v/>
      </c>
      <c r="P125" s="17" t="n"/>
    </row>
    <row r="126">
      <c r="A126" s="17" t="inlineStr">
        <is>
          <t>JH0123</t>
        </is>
      </c>
      <c r="B126" s="17" t="inlineStr">
        <is>
          <t>其他</t>
        </is>
      </c>
      <c r="C126" s="17" t="inlineStr">
        <is>
          <t>*电焊机</t>
        </is>
      </c>
      <c r="D126" s="17" t="inlineStr">
        <is>
          <t>ZX7-500</t>
        </is>
      </c>
      <c r="E126" s="17" t="inlineStr">
        <is>
          <t>台</t>
        </is>
      </c>
      <c r="F126" s="17" t="inlineStr">
        <is>
          <t>否</t>
        </is>
      </c>
      <c r="G126" s="23" t="n"/>
      <c r="H126" s="24">
        <f>IF($A126="","",IFERROR(LOOKUP(2,1/((入库单!$G$4:$G$2503=$A126)*(入库单!$Y$4:$Y$2503="正常")*(入库单!$L$4:$L$2503&gt;0)),入库单!$D$4:$D$2503),""))</f>
        <v/>
      </c>
      <c r="I126" s="25">
        <f>IF($A126="","",IFERROR(LOOKUP(2,1/((入库单!$G$4:$G$2503=$A126)*(入库单!$Y$4:$Y$2503="正常")*(入库单!$L$4:$L$2503&gt;0)),入库单!$L$4:$L$2503),0))</f>
        <v/>
      </c>
      <c r="J126" s="26">
        <f>IF($A126="","",IF($H126="A国内",ROUND($I126*倍数A*汇率,0),IF($H126="B当地",ROUND($I126*系数B,0),0)))</f>
        <v/>
      </c>
      <c r="K126" s="24">
        <f>IF($A126="","",IF(COUNTIFS(入库单!$G$4:$G$2503,$A126,入库单!$X$4:$X$2503,"待补价")&gt;0,"待补价",IF(COUNTIFS(入库单!$G$4:$G$2503,$A126,入库单!$X$4:$X$2503,"暂估")&gt;0,"暂估",IF($I126=0,"没有进价","正常"))))</f>
        <v/>
      </c>
      <c r="L126" s="27">
        <f>IF($A126="","",IFERROR(VLOOKUP($A126,库存台账!$A$5:$Y$1204,24,0),0))</f>
        <v/>
      </c>
      <c r="M126" s="26">
        <f>IF($A126="","",IFERROR(VLOOKUP($A126,库存台账!$A$5:$Y$1204,25,0),0))</f>
        <v/>
      </c>
      <c r="N126" s="19">
        <f>IF($A126="","",IFERROR(LOOKUP(2,1/((出库单!$D$4:$D$4003=$A126)*(出库单!$T$4:$T$4003="正常")),出库单!$C$4:$C$4003),""))</f>
        <v/>
      </c>
      <c r="O126" s="28">
        <f>IF($A126="","",IF($L126&lt;=0,"",IF($N126="",IFERROR(账期止-LOOKUP(2,1/(入库单!$G$4:$G$2503=$A126),入库单!$C$4:$C$2503),""),账期止-$N126)))</f>
        <v/>
      </c>
      <c r="P126" s="17" t="n"/>
    </row>
    <row r="127">
      <c r="A127" s="17" t="inlineStr">
        <is>
          <t>JH0124</t>
        </is>
      </c>
      <c r="B127" s="17" t="inlineStr">
        <is>
          <t>其他</t>
        </is>
      </c>
      <c r="C127" s="17" t="inlineStr">
        <is>
          <t>*电焊机快速接头</t>
        </is>
      </c>
      <c r="D127" s="17" t="inlineStr">
        <is>
          <t>ZX7-500</t>
        </is>
      </c>
      <c r="E127" s="17" t="inlineStr">
        <is>
          <t>套</t>
        </is>
      </c>
      <c r="F127" s="17" t="inlineStr">
        <is>
          <t>否</t>
        </is>
      </c>
      <c r="G127" s="23" t="n"/>
      <c r="H127" s="24">
        <f>IF($A127="","",IFERROR(LOOKUP(2,1/((入库单!$G$4:$G$2503=$A127)*(入库单!$Y$4:$Y$2503="正常")*(入库单!$L$4:$L$2503&gt;0)),入库单!$D$4:$D$2503),""))</f>
        <v/>
      </c>
      <c r="I127" s="25">
        <f>IF($A127="","",IFERROR(LOOKUP(2,1/((入库单!$G$4:$G$2503=$A127)*(入库单!$Y$4:$Y$2503="正常")*(入库单!$L$4:$L$2503&gt;0)),入库单!$L$4:$L$2503),0))</f>
        <v/>
      </c>
      <c r="J127" s="26">
        <f>IF($A127="","",IF($H127="A国内",ROUND($I127*倍数A*汇率,0),IF($H127="B当地",ROUND($I127*系数B,0),0)))</f>
        <v/>
      </c>
      <c r="K127" s="24">
        <f>IF($A127="","",IF(COUNTIFS(入库单!$G$4:$G$2503,$A127,入库单!$X$4:$X$2503,"待补价")&gt;0,"待补价",IF(COUNTIFS(入库单!$G$4:$G$2503,$A127,入库单!$X$4:$X$2503,"暂估")&gt;0,"暂估",IF($I127=0,"没有进价","正常"))))</f>
        <v/>
      </c>
      <c r="L127" s="27">
        <f>IF($A127="","",IFERROR(VLOOKUP($A127,库存台账!$A$5:$Y$1204,24,0),0))</f>
        <v/>
      </c>
      <c r="M127" s="26">
        <f>IF($A127="","",IFERROR(VLOOKUP($A127,库存台账!$A$5:$Y$1204,25,0),0))</f>
        <v/>
      </c>
      <c r="N127" s="19">
        <f>IF($A127="","",IFERROR(LOOKUP(2,1/((出库单!$D$4:$D$4003=$A127)*(出库单!$T$4:$T$4003="正常")),出库单!$C$4:$C$4003),""))</f>
        <v/>
      </c>
      <c r="O127" s="28">
        <f>IF($A127="","",IF($L127&lt;=0,"",IF($N127="",IFERROR(账期止-LOOKUP(2,1/(入库单!$G$4:$G$2503=$A127),入库单!$C$4:$C$2503),""),账期止-$N127)))</f>
        <v/>
      </c>
      <c r="P127" s="17" t="n"/>
    </row>
    <row r="128">
      <c r="A128" s="17" t="inlineStr">
        <is>
          <t>JH0125</t>
        </is>
      </c>
      <c r="B128" s="17" t="inlineStr">
        <is>
          <t>电缆电气</t>
        </is>
      </c>
      <c r="C128" s="17" t="inlineStr">
        <is>
          <t>双联按钮开关</t>
        </is>
      </c>
      <c r="D128" s="17" t="inlineStr">
        <is>
          <t>LA4-2H</t>
        </is>
      </c>
      <c r="E128" s="17" t="inlineStr">
        <is>
          <t>个</t>
        </is>
      </c>
      <c r="F128" s="17" t="inlineStr">
        <is>
          <t>否</t>
        </is>
      </c>
      <c r="G128" s="23" t="n"/>
      <c r="H128" s="24">
        <f>IF($A128="","",IFERROR(LOOKUP(2,1/((入库单!$G$4:$G$2503=$A128)*(入库单!$Y$4:$Y$2503="正常")*(入库单!$L$4:$L$2503&gt;0)),入库单!$D$4:$D$2503),""))</f>
        <v/>
      </c>
      <c r="I128" s="25">
        <f>IF($A128="","",IFERROR(LOOKUP(2,1/((入库单!$G$4:$G$2503=$A128)*(入库单!$Y$4:$Y$2503="正常")*(入库单!$L$4:$L$2503&gt;0)),入库单!$L$4:$L$2503),0))</f>
        <v/>
      </c>
      <c r="J128" s="26">
        <f>IF($A128="","",IF($H128="A国内",ROUND($I128*倍数A*汇率,0),IF($H128="B当地",ROUND($I128*系数B,0),0)))</f>
        <v/>
      </c>
      <c r="K128" s="24">
        <f>IF($A128="","",IF(COUNTIFS(入库单!$G$4:$G$2503,$A128,入库单!$X$4:$X$2503,"待补价")&gt;0,"待补价",IF(COUNTIFS(入库单!$G$4:$G$2503,$A128,入库单!$X$4:$X$2503,"暂估")&gt;0,"暂估",IF($I128=0,"没有进价","正常"))))</f>
        <v/>
      </c>
      <c r="L128" s="27">
        <f>IF($A128="","",IFERROR(VLOOKUP($A128,库存台账!$A$5:$Y$1204,24,0),0))</f>
        <v/>
      </c>
      <c r="M128" s="26">
        <f>IF($A128="","",IFERROR(VLOOKUP($A128,库存台账!$A$5:$Y$1204,25,0),0))</f>
        <v/>
      </c>
      <c r="N128" s="19">
        <f>IF($A128="","",IFERROR(LOOKUP(2,1/((出库单!$D$4:$D$4003=$A128)*(出库单!$T$4:$T$4003="正常")),出库单!$C$4:$C$4003),""))</f>
        <v/>
      </c>
      <c r="O128" s="28">
        <f>IF($A128="","",IF($L128&lt;=0,"",IF($N128="",IFERROR(账期止-LOOKUP(2,1/(入库单!$G$4:$G$2503=$A128),入库单!$C$4:$C$2503),""),账期止-$N128)))</f>
        <v/>
      </c>
      <c r="P128" s="17" t="n"/>
    </row>
    <row r="129">
      <c r="A129" s="17" t="inlineStr">
        <is>
          <t>JH0126</t>
        </is>
      </c>
      <c r="B129" s="17" t="inlineStr">
        <is>
          <t>电缆电气</t>
        </is>
      </c>
      <c r="C129" s="17" t="inlineStr">
        <is>
          <t>LED大灯</t>
        </is>
      </c>
      <c r="D129" s="17" t="inlineStr">
        <is>
          <t>200W</t>
        </is>
      </c>
      <c r="E129" s="17" t="inlineStr">
        <is>
          <t>盏</t>
        </is>
      </c>
      <c r="F129" s="17" t="inlineStr">
        <is>
          <t>否</t>
        </is>
      </c>
      <c r="G129" s="23" t="n"/>
      <c r="H129" s="24">
        <f>IF($A129="","",IFERROR(LOOKUP(2,1/((入库单!$G$4:$G$2503=$A129)*(入库单!$Y$4:$Y$2503="正常")*(入库单!$L$4:$L$2503&gt;0)),入库单!$D$4:$D$2503),""))</f>
        <v/>
      </c>
      <c r="I129" s="25">
        <f>IF($A129="","",IFERROR(LOOKUP(2,1/((入库单!$G$4:$G$2503=$A129)*(入库单!$Y$4:$Y$2503="正常")*(入库单!$L$4:$L$2503&gt;0)),入库单!$L$4:$L$2503),0))</f>
        <v/>
      </c>
      <c r="J129" s="26">
        <f>IF($A129="","",IF($H129="A国内",ROUND($I129*倍数A*汇率,0),IF($H129="B当地",ROUND($I129*系数B,0),0)))</f>
        <v/>
      </c>
      <c r="K129" s="24">
        <f>IF($A129="","",IF(COUNTIFS(入库单!$G$4:$G$2503,$A129,入库单!$X$4:$X$2503,"待补价")&gt;0,"待补价",IF(COUNTIFS(入库单!$G$4:$G$2503,$A129,入库单!$X$4:$X$2503,"暂估")&gt;0,"暂估",IF($I129=0,"没有进价","正常"))))</f>
        <v/>
      </c>
      <c r="L129" s="27">
        <f>IF($A129="","",IFERROR(VLOOKUP($A129,库存台账!$A$5:$Y$1204,24,0),0))</f>
        <v/>
      </c>
      <c r="M129" s="26">
        <f>IF($A129="","",IFERROR(VLOOKUP($A129,库存台账!$A$5:$Y$1204,25,0),0))</f>
        <v/>
      </c>
      <c r="N129" s="19">
        <f>IF($A129="","",IFERROR(LOOKUP(2,1/((出库单!$D$4:$D$4003=$A129)*(出库单!$T$4:$T$4003="正常")),出库单!$C$4:$C$4003),""))</f>
        <v/>
      </c>
      <c r="O129" s="28">
        <f>IF($A129="","",IF($L129&lt;=0,"",IF($N129="",IFERROR(账期止-LOOKUP(2,1/(入库单!$G$4:$G$2503=$A129),入库单!$C$4:$C$2503),""),账期止-$N129)))</f>
        <v/>
      </c>
      <c r="P129" s="17" t="n"/>
    </row>
    <row r="130">
      <c r="A130" s="17" t="inlineStr">
        <is>
          <t>JH0127</t>
        </is>
      </c>
      <c r="B130" s="17" t="inlineStr">
        <is>
          <t>电缆电气</t>
        </is>
      </c>
      <c r="C130" s="17" t="inlineStr">
        <is>
          <t>LED大灯</t>
        </is>
      </c>
      <c r="D130" s="17" t="inlineStr">
        <is>
          <t>400W</t>
        </is>
      </c>
      <c r="E130" s="17" t="inlineStr">
        <is>
          <t>盏</t>
        </is>
      </c>
      <c r="F130" s="17" t="inlineStr">
        <is>
          <t>否</t>
        </is>
      </c>
      <c r="G130" s="23" t="n"/>
      <c r="H130" s="24">
        <f>IF($A130="","",IFERROR(LOOKUP(2,1/((入库单!$G$4:$G$2503=$A130)*(入库单!$Y$4:$Y$2503="正常")*(入库单!$L$4:$L$2503&gt;0)),入库单!$D$4:$D$2503),""))</f>
        <v/>
      </c>
      <c r="I130" s="25">
        <f>IF($A130="","",IFERROR(LOOKUP(2,1/((入库单!$G$4:$G$2503=$A130)*(入库单!$Y$4:$Y$2503="正常")*(入库单!$L$4:$L$2503&gt;0)),入库单!$L$4:$L$2503),0))</f>
        <v/>
      </c>
      <c r="J130" s="26">
        <f>IF($A130="","",IF($H130="A国内",ROUND($I130*倍数A*汇率,0),IF($H130="B当地",ROUND($I130*系数B,0),0)))</f>
        <v/>
      </c>
      <c r="K130" s="24">
        <f>IF($A130="","",IF(COUNTIFS(入库单!$G$4:$G$2503,$A130,入库单!$X$4:$X$2503,"待补价")&gt;0,"待补价",IF(COUNTIFS(入库单!$G$4:$G$2503,$A130,入库单!$X$4:$X$2503,"暂估")&gt;0,"暂估",IF($I130=0,"没有进价","正常"))))</f>
        <v/>
      </c>
      <c r="L130" s="27">
        <f>IF($A130="","",IFERROR(VLOOKUP($A130,库存台账!$A$5:$Y$1204,24,0),0))</f>
        <v/>
      </c>
      <c r="M130" s="26">
        <f>IF($A130="","",IFERROR(VLOOKUP($A130,库存台账!$A$5:$Y$1204,25,0),0))</f>
        <v/>
      </c>
      <c r="N130" s="19">
        <f>IF($A130="","",IFERROR(LOOKUP(2,1/((出库单!$D$4:$D$4003=$A130)*(出库单!$T$4:$T$4003="正常")),出库单!$C$4:$C$4003),""))</f>
        <v/>
      </c>
      <c r="O130" s="28">
        <f>IF($A130="","",IF($L130&lt;=0,"",IF($N130="",IFERROR(账期止-LOOKUP(2,1/(入库单!$G$4:$G$2503=$A130),入库单!$C$4:$C$2503),""),账期止-$N130)))</f>
        <v/>
      </c>
      <c r="P130" s="17" t="n"/>
    </row>
    <row r="131">
      <c r="A131" s="17" t="inlineStr">
        <is>
          <t>JH0128</t>
        </is>
      </c>
      <c r="B131" s="17" t="inlineStr">
        <is>
          <t>电缆电气</t>
        </is>
      </c>
      <c r="C131" s="17" t="inlineStr">
        <is>
          <t>井工矿用矿灯</t>
        </is>
      </c>
      <c r="D131" s="17" t="inlineStr">
        <is>
          <t>带电缆线</t>
        </is>
      </c>
      <c r="E131" s="17" t="inlineStr">
        <is>
          <t>台</t>
        </is>
      </c>
      <c r="F131" s="17" t="inlineStr">
        <is>
          <t>否</t>
        </is>
      </c>
      <c r="G131" s="23" t="n"/>
      <c r="H131" s="24">
        <f>IF($A131="","",IFERROR(LOOKUP(2,1/((入库单!$G$4:$G$2503=$A131)*(入库单!$Y$4:$Y$2503="正常")*(入库单!$L$4:$L$2503&gt;0)),入库单!$D$4:$D$2503),""))</f>
        <v/>
      </c>
      <c r="I131" s="25">
        <f>IF($A131="","",IFERROR(LOOKUP(2,1/((入库单!$G$4:$G$2503=$A131)*(入库单!$Y$4:$Y$2503="正常")*(入库单!$L$4:$L$2503&gt;0)),入库单!$L$4:$L$2503),0))</f>
        <v/>
      </c>
      <c r="J131" s="26">
        <f>IF($A131="","",IF($H131="A国内",ROUND($I131*倍数A*汇率,0),IF($H131="B当地",ROUND($I131*系数B,0),0)))</f>
        <v/>
      </c>
      <c r="K131" s="24">
        <f>IF($A131="","",IF(COUNTIFS(入库单!$G$4:$G$2503,$A131,入库单!$X$4:$X$2503,"待补价")&gt;0,"待补价",IF(COUNTIFS(入库单!$G$4:$G$2503,$A131,入库单!$X$4:$X$2503,"暂估")&gt;0,"暂估",IF($I131=0,"没有进价","正常"))))</f>
        <v/>
      </c>
      <c r="L131" s="27">
        <f>IF($A131="","",IFERROR(VLOOKUP($A131,库存台账!$A$5:$Y$1204,24,0),0))</f>
        <v/>
      </c>
      <c r="M131" s="26">
        <f>IF($A131="","",IFERROR(VLOOKUP($A131,库存台账!$A$5:$Y$1204,25,0),0))</f>
        <v/>
      </c>
      <c r="N131" s="19">
        <f>IF($A131="","",IFERROR(LOOKUP(2,1/((出库单!$D$4:$D$4003=$A131)*(出库单!$T$4:$T$4003="正常")),出库单!$C$4:$C$4003),""))</f>
        <v/>
      </c>
      <c r="O131" s="28">
        <f>IF($A131="","",IF($L131&lt;=0,"",IF($N131="",IFERROR(账期止-LOOKUP(2,1/(入库单!$G$4:$G$2503=$A131),入库单!$C$4:$C$2503),""),账期止-$N131)))</f>
        <v/>
      </c>
      <c r="P131" s="17" t="n"/>
    </row>
    <row r="132">
      <c r="A132" s="17" t="inlineStr">
        <is>
          <t>JH0129</t>
        </is>
      </c>
      <c r="B132" s="17" t="inlineStr">
        <is>
          <t>劳保用品</t>
        </is>
      </c>
      <c r="C132" s="17" t="inlineStr">
        <is>
          <t>棉线口罩</t>
        </is>
      </c>
      <c r="D132" s="17" t="inlineStr"/>
      <c r="E132" s="17" t="inlineStr">
        <is>
          <t>件</t>
        </is>
      </c>
      <c r="F132" s="17" t="inlineStr">
        <is>
          <t>否</t>
        </is>
      </c>
      <c r="G132" s="23" t="n"/>
      <c r="H132" s="24">
        <f>IF($A132="","",IFERROR(LOOKUP(2,1/((入库单!$G$4:$G$2503=$A132)*(入库单!$Y$4:$Y$2503="正常")*(入库单!$L$4:$L$2503&gt;0)),入库单!$D$4:$D$2503),""))</f>
        <v/>
      </c>
      <c r="I132" s="25">
        <f>IF($A132="","",IFERROR(LOOKUP(2,1/((入库单!$G$4:$G$2503=$A132)*(入库单!$Y$4:$Y$2503="正常")*(入库单!$L$4:$L$2503&gt;0)),入库单!$L$4:$L$2503),0))</f>
        <v/>
      </c>
      <c r="J132" s="26">
        <f>IF($A132="","",IF($H132="A国内",ROUND($I132*倍数A*汇率,0),IF($H132="B当地",ROUND($I132*系数B,0),0)))</f>
        <v/>
      </c>
      <c r="K132" s="24">
        <f>IF($A132="","",IF(COUNTIFS(入库单!$G$4:$G$2503,$A132,入库单!$X$4:$X$2503,"待补价")&gt;0,"待补价",IF(COUNTIFS(入库单!$G$4:$G$2503,$A132,入库单!$X$4:$X$2503,"暂估")&gt;0,"暂估",IF($I132=0,"没有进价","正常"))))</f>
        <v/>
      </c>
      <c r="L132" s="27">
        <f>IF($A132="","",IFERROR(VLOOKUP($A132,库存台账!$A$5:$Y$1204,24,0),0))</f>
        <v/>
      </c>
      <c r="M132" s="26">
        <f>IF($A132="","",IFERROR(VLOOKUP($A132,库存台账!$A$5:$Y$1204,25,0),0))</f>
        <v/>
      </c>
      <c r="N132" s="19">
        <f>IF($A132="","",IFERROR(LOOKUP(2,1/((出库单!$D$4:$D$4003=$A132)*(出库单!$T$4:$T$4003="正常")),出库单!$C$4:$C$4003),""))</f>
        <v/>
      </c>
      <c r="O132" s="28">
        <f>IF($A132="","",IF($L132&lt;=0,"",IF($N132="",IFERROR(账期止-LOOKUP(2,1/(入库单!$G$4:$G$2503=$A132),入库单!$C$4:$C$2503),""),账期止-$N132)))</f>
        <v/>
      </c>
      <c r="P132" s="17" t="n"/>
    </row>
    <row r="133">
      <c r="A133" s="17" t="inlineStr">
        <is>
          <t>JH0130</t>
        </is>
      </c>
      <c r="B133" s="17" t="inlineStr">
        <is>
          <t>其他</t>
        </is>
      </c>
      <c r="C133" s="17" t="inlineStr">
        <is>
          <t>氧气带</t>
        </is>
      </c>
      <c r="D133" s="17" t="inlineStr"/>
      <c r="E133" s="17" t="inlineStr">
        <is>
          <t>盘</t>
        </is>
      </c>
      <c r="F133" s="17" t="inlineStr">
        <is>
          <t>否</t>
        </is>
      </c>
      <c r="G133" s="23" t="n"/>
      <c r="H133" s="24">
        <f>IF($A133="","",IFERROR(LOOKUP(2,1/((入库单!$G$4:$G$2503=$A133)*(入库单!$Y$4:$Y$2503="正常")*(入库单!$L$4:$L$2503&gt;0)),入库单!$D$4:$D$2503),""))</f>
        <v/>
      </c>
      <c r="I133" s="25">
        <f>IF($A133="","",IFERROR(LOOKUP(2,1/((入库单!$G$4:$G$2503=$A133)*(入库单!$Y$4:$Y$2503="正常")*(入库单!$L$4:$L$2503&gt;0)),入库单!$L$4:$L$2503),0))</f>
        <v/>
      </c>
      <c r="J133" s="26">
        <f>IF($A133="","",IF($H133="A国内",ROUND($I133*倍数A*汇率,0),IF($H133="B当地",ROUND($I133*系数B,0),0)))</f>
        <v/>
      </c>
      <c r="K133" s="24">
        <f>IF($A133="","",IF(COUNTIFS(入库单!$G$4:$G$2503,$A133,入库单!$X$4:$X$2503,"待补价")&gt;0,"待补价",IF(COUNTIFS(入库单!$G$4:$G$2503,$A133,入库单!$X$4:$X$2503,"暂估")&gt;0,"暂估",IF($I133=0,"没有进价","正常"))))</f>
        <v/>
      </c>
      <c r="L133" s="27">
        <f>IF($A133="","",IFERROR(VLOOKUP($A133,库存台账!$A$5:$Y$1204,24,0),0))</f>
        <v/>
      </c>
      <c r="M133" s="26">
        <f>IF($A133="","",IFERROR(VLOOKUP($A133,库存台账!$A$5:$Y$1204,25,0),0))</f>
        <v/>
      </c>
      <c r="N133" s="19">
        <f>IF($A133="","",IFERROR(LOOKUP(2,1/((出库单!$D$4:$D$4003=$A133)*(出库单!$T$4:$T$4003="正常")),出库单!$C$4:$C$4003),""))</f>
        <v/>
      </c>
      <c r="O133" s="28">
        <f>IF($A133="","",IF($L133&lt;=0,"",IF($N133="",IFERROR(账期止-LOOKUP(2,1/(入库单!$G$4:$G$2503=$A133),入库单!$C$4:$C$2503),""),账期止-$N133)))</f>
        <v/>
      </c>
      <c r="P133" s="17" t="n"/>
    </row>
    <row r="134">
      <c r="A134" s="17" t="inlineStr">
        <is>
          <t>JH0131</t>
        </is>
      </c>
      <c r="B134" s="17" t="inlineStr">
        <is>
          <t>劳保用品</t>
        </is>
      </c>
      <c r="C134" s="17" t="inlineStr">
        <is>
          <t>电焊手套</t>
        </is>
      </c>
      <c r="D134" s="17" t="inlineStr"/>
      <c r="E134" s="17" t="inlineStr">
        <is>
          <t>双</t>
        </is>
      </c>
      <c r="F134" s="17" t="inlineStr">
        <is>
          <t>否</t>
        </is>
      </c>
      <c r="G134" s="23" t="n"/>
      <c r="H134" s="24">
        <f>IF($A134="","",IFERROR(LOOKUP(2,1/((入库单!$G$4:$G$2503=$A134)*(入库单!$Y$4:$Y$2503="正常")*(入库单!$L$4:$L$2503&gt;0)),入库单!$D$4:$D$2503),""))</f>
        <v/>
      </c>
      <c r="I134" s="25">
        <f>IF($A134="","",IFERROR(LOOKUP(2,1/((入库单!$G$4:$G$2503=$A134)*(入库单!$Y$4:$Y$2503="正常")*(入库单!$L$4:$L$2503&gt;0)),入库单!$L$4:$L$2503),0))</f>
        <v/>
      </c>
      <c r="J134" s="26">
        <f>IF($A134="","",IF($H134="A国内",ROUND($I134*倍数A*汇率,0),IF($H134="B当地",ROUND($I134*系数B,0),0)))</f>
        <v/>
      </c>
      <c r="K134" s="24">
        <f>IF($A134="","",IF(COUNTIFS(入库单!$G$4:$G$2503,$A134,入库单!$X$4:$X$2503,"待补价")&gt;0,"待补价",IF(COUNTIFS(入库单!$G$4:$G$2503,$A134,入库单!$X$4:$X$2503,"暂估")&gt;0,"暂估",IF($I134=0,"没有进价","正常"))))</f>
        <v/>
      </c>
      <c r="L134" s="27">
        <f>IF($A134="","",IFERROR(VLOOKUP($A134,库存台账!$A$5:$Y$1204,24,0),0))</f>
        <v/>
      </c>
      <c r="M134" s="26">
        <f>IF($A134="","",IFERROR(VLOOKUP($A134,库存台账!$A$5:$Y$1204,25,0),0))</f>
        <v/>
      </c>
      <c r="N134" s="19">
        <f>IF($A134="","",IFERROR(LOOKUP(2,1/((出库单!$D$4:$D$4003=$A134)*(出库单!$T$4:$T$4003="正常")),出库单!$C$4:$C$4003),""))</f>
        <v/>
      </c>
      <c r="O134" s="28">
        <f>IF($A134="","",IF($L134&lt;=0,"",IF($N134="",IFERROR(账期止-LOOKUP(2,1/(入库单!$G$4:$G$2503=$A134),入库单!$C$4:$C$2503),""),账期止-$N134)))</f>
        <v/>
      </c>
      <c r="P134" s="17" t="n"/>
    </row>
    <row r="135">
      <c r="A135" s="17" t="inlineStr">
        <is>
          <t>JH0132</t>
        </is>
      </c>
      <c r="B135" s="17" t="inlineStr">
        <is>
          <t>其他</t>
        </is>
      </c>
      <c r="C135" s="17" t="inlineStr">
        <is>
          <t>电褥子</t>
        </is>
      </c>
      <c r="D135" s="17" t="inlineStr"/>
      <c r="E135" s="17" t="inlineStr">
        <is>
          <t>个</t>
        </is>
      </c>
      <c r="F135" s="17" t="inlineStr">
        <is>
          <t>否</t>
        </is>
      </c>
      <c r="G135" s="23" t="n"/>
      <c r="H135" s="24">
        <f>IF($A135="","",IFERROR(LOOKUP(2,1/((入库单!$G$4:$G$2503=$A135)*(入库单!$Y$4:$Y$2503="正常")*(入库单!$L$4:$L$2503&gt;0)),入库单!$D$4:$D$2503),""))</f>
        <v/>
      </c>
      <c r="I135" s="25">
        <f>IF($A135="","",IFERROR(LOOKUP(2,1/((入库单!$G$4:$G$2503=$A135)*(入库单!$Y$4:$Y$2503="正常")*(入库单!$L$4:$L$2503&gt;0)),入库单!$L$4:$L$2503),0))</f>
        <v/>
      </c>
      <c r="J135" s="26">
        <f>IF($A135="","",IF($H135="A国内",ROUND($I135*倍数A*汇率,0),IF($H135="B当地",ROUND($I135*系数B,0),0)))</f>
        <v/>
      </c>
      <c r="K135" s="24">
        <f>IF($A135="","",IF(COUNTIFS(入库单!$G$4:$G$2503,$A135,入库单!$X$4:$X$2503,"待补价")&gt;0,"待补价",IF(COUNTIFS(入库单!$G$4:$G$2503,$A135,入库单!$X$4:$X$2503,"暂估")&gt;0,"暂估",IF($I135=0,"没有进价","正常"))))</f>
        <v/>
      </c>
      <c r="L135" s="27">
        <f>IF($A135="","",IFERROR(VLOOKUP($A135,库存台账!$A$5:$Y$1204,24,0),0))</f>
        <v/>
      </c>
      <c r="M135" s="26">
        <f>IF($A135="","",IFERROR(VLOOKUP($A135,库存台账!$A$5:$Y$1204,25,0),0))</f>
        <v/>
      </c>
      <c r="N135" s="19">
        <f>IF($A135="","",IFERROR(LOOKUP(2,1/((出库单!$D$4:$D$4003=$A135)*(出库单!$T$4:$T$4003="正常")),出库单!$C$4:$C$4003),""))</f>
        <v/>
      </c>
      <c r="O135" s="28">
        <f>IF($A135="","",IF($L135&lt;=0,"",IF($N135="",IFERROR(账期止-LOOKUP(2,1/(入库单!$G$4:$G$2503=$A135),入库单!$C$4:$C$2503),""),账期止-$N135)))</f>
        <v/>
      </c>
      <c r="P135" s="17" t="n"/>
    </row>
    <row r="136">
      <c r="A136" s="17" t="inlineStr">
        <is>
          <t>JH0133</t>
        </is>
      </c>
      <c r="B136" s="17" t="inlineStr">
        <is>
          <t>五金管件</t>
        </is>
      </c>
      <c r="C136" s="17" t="inlineStr">
        <is>
          <t>底阀</t>
        </is>
      </c>
      <c r="D136" s="17" t="inlineStr">
        <is>
          <t>DN100</t>
        </is>
      </c>
      <c r="E136" s="17" t="inlineStr">
        <is>
          <t>个</t>
        </is>
      </c>
      <c r="F136" s="17" t="inlineStr">
        <is>
          <t>否</t>
        </is>
      </c>
      <c r="G136" s="23" t="n"/>
      <c r="H136" s="24">
        <f>IF($A136="","",IFERROR(LOOKUP(2,1/((入库单!$G$4:$G$2503=$A136)*(入库单!$Y$4:$Y$2503="正常")*(入库单!$L$4:$L$2503&gt;0)),入库单!$D$4:$D$2503),""))</f>
        <v/>
      </c>
      <c r="I136" s="25">
        <f>IF($A136="","",IFERROR(LOOKUP(2,1/((入库单!$G$4:$G$2503=$A136)*(入库单!$Y$4:$Y$2503="正常")*(入库单!$L$4:$L$2503&gt;0)),入库单!$L$4:$L$2503),0))</f>
        <v/>
      </c>
      <c r="J136" s="26">
        <f>IF($A136="","",IF($H136="A国内",ROUND($I136*倍数A*汇率,0),IF($H136="B当地",ROUND($I136*系数B,0),0)))</f>
        <v/>
      </c>
      <c r="K136" s="24">
        <f>IF($A136="","",IF(COUNTIFS(入库单!$G$4:$G$2503,$A136,入库单!$X$4:$X$2503,"待补价")&gt;0,"待补价",IF(COUNTIFS(入库单!$G$4:$G$2503,$A136,入库单!$X$4:$X$2503,"暂估")&gt;0,"暂估",IF($I136=0,"没有进价","正常"))))</f>
        <v/>
      </c>
      <c r="L136" s="27">
        <f>IF($A136="","",IFERROR(VLOOKUP($A136,库存台账!$A$5:$Y$1204,24,0),0))</f>
        <v/>
      </c>
      <c r="M136" s="26">
        <f>IF($A136="","",IFERROR(VLOOKUP($A136,库存台账!$A$5:$Y$1204,25,0),0))</f>
        <v/>
      </c>
      <c r="N136" s="19">
        <f>IF($A136="","",IFERROR(LOOKUP(2,1/((出库单!$D$4:$D$4003=$A136)*(出库单!$T$4:$T$4003="正常")),出库单!$C$4:$C$4003),""))</f>
        <v/>
      </c>
      <c r="O136" s="28">
        <f>IF($A136="","",IF($L136&lt;=0,"",IF($N136="",IFERROR(账期止-LOOKUP(2,1/(入库单!$G$4:$G$2503=$A136),入库单!$C$4:$C$2503),""),账期止-$N136)))</f>
        <v/>
      </c>
      <c r="P136" s="17" t="n"/>
    </row>
    <row r="137">
      <c r="A137" s="17" t="inlineStr">
        <is>
          <t>JH0134</t>
        </is>
      </c>
      <c r="B137" s="17" t="inlineStr">
        <is>
          <t>五金管件</t>
        </is>
      </c>
      <c r="C137" s="17" t="inlineStr">
        <is>
          <t>闸阀</t>
        </is>
      </c>
      <c r="D137" s="17" t="inlineStr">
        <is>
          <t>DN100-40P</t>
        </is>
      </c>
      <c r="E137" s="17" t="inlineStr">
        <is>
          <t>个</t>
        </is>
      </c>
      <c r="F137" s="17" t="inlineStr">
        <is>
          <t>否</t>
        </is>
      </c>
      <c r="G137" s="23" t="n"/>
      <c r="H137" s="24">
        <f>IF($A137="","",IFERROR(LOOKUP(2,1/((入库单!$G$4:$G$2503=$A137)*(入库单!$Y$4:$Y$2503="正常")*(入库单!$L$4:$L$2503&gt;0)),入库单!$D$4:$D$2503),""))</f>
        <v/>
      </c>
      <c r="I137" s="25">
        <f>IF($A137="","",IFERROR(LOOKUP(2,1/((入库单!$G$4:$G$2503=$A137)*(入库单!$Y$4:$Y$2503="正常")*(入库单!$L$4:$L$2503&gt;0)),入库单!$L$4:$L$2503),0))</f>
        <v/>
      </c>
      <c r="J137" s="26">
        <f>IF($A137="","",IF($H137="A国内",ROUND($I137*倍数A*汇率,0),IF($H137="B当地",ROUND($I137*系数B,0),0)))</f>
        <v/>
      </c>
      <c r="K137" s="24">
        <f>IF($A137="","",IF(COUNTIFS(入库单!$G$4:$G$2503,$A137,入库单!$X$4:$X$2503,"待补价")&gt;0,"待补价",IF(COUNTIFS(入库单!$G$4:$G$2503,$A137,入库单!$X$4:$X$2503,"暂估")&gt;0,"暂估",IF($I137=0,"没有进价","正常"))))</f>
        <v/>
      </c>
      <c r="L137" s="27">
        <f>IF($A137="","",IFERROR(VLOOKUP($A137,库存台账!$A$5:$Y$1204,24,0),0))</f>
        <v/>
      </c>
      <c r="M137" s="26">
        <f>IF($A137="","",IFERROR(VLOOKUP($A137,库存台账!$A$5:$Y$1204,25,0),0))</f>
        <v/>
      </c>
      <c r="N137" s="19">
        <f>IF($A137="","",IFERROR(LOOKUP(2,1/((出库单!$D$4:$D$4003=$A137)*(出库单!$T$4:$T$4003="正常")),出库单!$C$4:$C$4003),""))</f>
        <v/>
      </c>
      <c r="O137" s="28">
        <f>IF($A137="","",IF($L137&lt;=0,"",IF($N137="",IFERROR(账期止-LOOKUP(2,1/(入库单!$G$4:$G$2503=$A137),入库单!$C$4:$C$2503),""),账期止-$N137)))</f>
        <v/>
      </c>
      <c r="P137" s="17" t="n"/>
    </row>
    <row r="138">
      <c r="A138" s="17" t="inlineStr">
        <is>
          <t>JH0135</t>
        </is>
      </c>
      <c r="B138" s="17" t="inlineStr">
        <is>
          <t>五金管件</t>
        </is>
      </c>
      <c r="C138" s="17" t="inlineStr">
        <is>
          <t>止回阀</t>
        </is>
      </c>
      <c r="D138" s="17" t="inlineStr">
        <is>
          <t>DN100-40P</t>
        </is>
      </c>
      <c r="E138" s="17" t="inlineStr">
        <is>
          <t>个</t>
        </is>
      </c>
      <c r="F138" s="17" t="inlineStr">
        <is>
          <t>否</t>
        </is>
      </c>
      <c r="G138" s="23" t="n"/>
      <c r="H138" s="24">
        <f>IF($A138="","",IFERROR(LOOKUP(2,1/((入库单!$G$4:$G$2503=$A138)*(入库单!$Y$4:$Y$2503="正常")*(入库单!$L$4:$L$2503&gt;0)),入库单!$D$4:$D$2503),""))</f>
        <v/>
      </c>
      <c r="I138" s="25">
        <f>IF($A138="","",IFERROR(LOOKUP(2,1/((入库单!$G$4:$G$2503=$A138)*(入库单!$Y$4:$Y$2503="正常")*(入库单!$L$4:$L$2503&gt;0)),入库单!$L$4:$L$2503),0))</f>
        <v/>
      </c>
      <c r="J138" s="26">
        <f>IF($A138="","",IF($H138="A国内",ROUND($I138*倍数A*汇率,0),IF($H138="B当地",ROUND($I138*系数B,0),0)))</f>
        <v/>
      </c>
      <c r="K138" s="24">
        <f>IF($A138="","",IF(COUNTIFS(入库单!$G$4:$G$2503,$A138,入库单!$X$4:$X$2503,"待补价")&gt;0,"待补价",IF(COUNTIFS(入库单!$G$4:$G$2503,$A138,入库单!$X$4:$X$2503,"暂估")&gt;0,"暂估",IF($I138=0,"没有进价","正常"))))</f>
        <v/>
      </c>
      <c r="L138" s="27">
        <f>IF($A138="","",IFERROR(VLOOKUP($A138,库存台账!$A$5:$Y$1204,24,0),0))</f>
        <v/>
      </c>
      <c r="M138" s="26">
        <f>IF($A138="","",IFERROR(VLOOKUP($A138,库存台账!$A$5:$Y$1204,25,0),0))</f>
        <v/>
      </c>
      <c r="N138" s="19">
        <f>IF($A138="","",IFERROR(LOOKUP(2,1/((出库单!$D$4:$D$4003=$A138)*(出库单!$T$4:$T$4003="正常")),出库单!$C$4:$C$4003),""))</f>
        <v/>
      </c>
      <c r="O138" s="28">
        <f>IF($A138="","",IF($L138&lt;=0,"",IF($N138="",IFERROR(账期止-LOOKUP(2,1/(入库单!$G$4:$G$2503=$A138),入库单!$C$4:$C$2503),""),账期止-$N138)))</f>
        <v/>
      </c>
      <c r="P138" s="17" t="n"/>
    </row>
    <row r="139">
      <c r="A139" s="17" t="inlineStr">
        <is>
          <t>JH0136</t>
        </is>
      </c>
      <c r="B139" s="17" t="inlineStr">
        <is>
          <t>五金管件</t>
        </is>
      </c>
      <c r="C139" s="17" t="inlineStr">
        <is>
          <t>闸阀</t>
        </is>
      </c>
      <c r="D139" s="17" t="inlineStr">
        <is>
          <t>DN100-16P</t>
        </is>
      </c>
      <c r="E139" s="17" t="inlineStr">
        <is>
          <t>个</t>
        </is>
      </c>
      <c r="F139" s="17" t="inlineStr">
        <is>
          <t>否</t>
        </is>
      </c>
      <c r="G139" s="23" t="n"/>
      <c r="H139" s="24">
        <f>IF($A139="","",IFERROR(LOOKUP(2,1/((入库单!$G$4:$G$2503=$A139)*(入库单!$Y$4:$Y$2503="正常")*(入库单!$L$4:$L$2503&gt;0)),入库单!$D$4:$D$2503),""))</f>
        <v/>
      </c>
      <c r="I139" s="25">
        <f>IF($A139="","",IFERROR(LOOKUP(2,1/((入库单!$G$4:$G$2503=$A139)*(入库单!$Y$4:$Y$2503="正常")*(入库单!$L$4:$L$2503&gt;0)),入库单!$L$4:$L$2503),0))</f>
        <v/>
      </c>
      <c r="J139" s="26">
        <f>IF($A139="","",IF($H139="A国内",ROUND($I139*倍数A*汇率,0),IF($H139="B当地",ROUND($I139*系数B,0),0)))</f>
        <v/>
      </c>
      <c r="K139" s="24">
        <f>IF($A139="","",IF(COUNTIFS(入库单!$G$4:$G$2503,$A139,入库单!$X$4:$X$2503,"待补价")&gt;0,"待补价",IF(COUNTIFS(入库单!$G$4:$G$2503,$A139,入库单!$X$4:$X$2503,"暂估")&gt;0,"暂估",IF($I139=0,"没有进价","正常"))))</f>
        <v/>
      </c>
      <c r="L139" s="27">
        <f>IF($A139="","",IFERROR(VLOOKUP($A139,库存台账!$A$5:$Y$1204,24,0),0))</f>
        <v/>
      </c>
      <c r="M139" s="26">
        <f>IF($A139="","",IFERROR(VLOOKUP($A139,库存台账!$A$5:$Y$1204,25,0),0))</f>
        <v/>
      </c>
      <c r="N139" s="19">
        <f>IF($A139="","",IFERROR(LOOKUP(2,1/((出库单!$D$4:$D$4003=$A139)*(出库单!$T$4:$T$4003="正常")),出库单!$C$4:$C$4003),""))</f>
        <v/>
      </c>
      <c r="O139" s="28">
        <f>IF($A139="","",IF($L139&lt;=0,"",IF($N139="",IFERROR(账期止-LOOKUP(2,1/(入库单!$G$4:$G$2503=$A139),入库单!$C$4:$C$2503),""),账期止-$N139)))</f>
        <v/>
      </c>
      <c r="P139" s="17" t="n"/>
    </row>
    <row r="140">
      <c r="A140" s="17" t="inlineStr">
        <is>
          <t>JH0137</t>
        </is>
      </c>
      <c r="B140" s="17" t="inlineStr">
        <is>
          <t>五金管件</t>
        </is>
      </c>
      <c r="C140" s="17" t="inlineStr">
        <is>
          <t>止回阀</t>
        </is>
      </c>
      <c r="D140" s="17" t="inlineStr">
        <is>
          <t>DN100-16P</t>
        </is>
      </c>
      <c r="E140" s="17" t="inlineStr">
        <is>
          <t>个</t>
        </is>
      </c>
      <c r="F140" s="17" t="inlineStr">
        <is>
          <t>否</t>
        </is>
      </c>
      <c r="G140" s="23" t="n"/>
      <c r="H140" s="24">
        <f>IF($A140="","",IFERROR(LOOKUP(2,1/((入库单!$G$4:$G$2503=$A140)*(入库单!$Y$4:$Y$2503="正常")*(入库单!$L$4:$L$2503&gt;0)),入库单!$D$4:$D$2503),""))</f>
        <v/>
      </c>
      <c r="I140" s="25">
        <f>IF($A140="","",IFERROR(LOOKUP(2,1/((入库单!$G$4:$G$2503=$A140)*(入库单!$Y$4:$Y$2503="正常")*(入库单!$L$4:$L$2503&gt;0)),入库单!$L$4:$L$2503),0))</f>
        <v/>
      </c>
      <c r="J140" s="26">
        <f>IF($A140="","",IF($H140="A国内",ROUND($I140*倍数A*汇率,0),IF($H140="B当地",ROUND($I140*系数B,0),0)))</f>
        <v/>
      </c>
      <c r="K140" s="24">
        <f>IF($A140="","",IF(COUNTIFS(入库单!$G$4:$G$2503,$A140,入库单!$X$4:$X$2503,"待补价")&gt;0,"待补价",IF(COUNTIFS(入库单!$G$4:$G$2503,$A140,入库单!$X$4:$X$2503,"暂估")&gt;0,"暂估",IF($I140=0,"没有进价","正常"))))</f>
        <v/>
      </c>
      <c r="L140" s="27">
        <f>IF($A140="","",IFERROR(VLOOKUP($A140,库存台账!$A$5:$Y$1204,24,0),0))</f>
        <v/>
      </c>
      <c r="M140" s="26">
        <f>IF($A140="","",IFERROR(VLOOKUP($A140,库存台账!$A$5:$Y$1204,25,0),0))</f>
        <v/>
      </c>
      <c r="N140" s="19">
        <f>IF($A140="","",IFERROR(LOOKUP(2,1/((出库单!$D$4:$D$4003=$A140)*(出库单!$T$4:$T$4003="正常")),出库单!$C$4:$C$4003),""))</f>
        <v/>
      </c>
      <c r="O140" s="28">
        <f>IF($A140="","",IF($L140&lt;=0,"",IF($N140="",IFERROR(账期止-LOOKUP(2,1/(入库单!$G$4:$G$2503=$A140),入库单!$C$4:$C$2503),""),账期止-$N140)))</f>
        <v/>
      </c>
      <c r="P140" s="17" t="n"/>
    </row>
    <row r="141">
      <c r="A141" s="17" t="inlineStr">
        <is>
          <t>JH0138</t>
        </is>
      </c>
      <c r="B141" s="17" t="inlineStr">
        <is>
          <t>其他</t>
        </is>
      </c>
      <c r="C141" s="17" t="inlineStr">
        <is>
          <t>60CM铁锅</t>
        </is>
      </c>
      <c r="D141" s="17" t="inlineStr"/>
      <c r="E141" s="17" t="inlineStr">
        <is>
          <t>个</t>
        </is>
      </c>
      <c r="F141" s="17" t="inlineStr">
        <is>
          <t>否</t>
        </is>
      </c>
      <c r="G141" s="23" t="n"/>
      <c r="H141" s="24">
        <f>IF($A141="","",IFERROR(LOOKUP(2,1/((入库单!$G$4:$G$2503=$A141)*(入库单!$Y$4:$Y$2503="正常")*(入库单!$L$4:$L$2503&gt;0)),入库单!$D$4:$D$2503),""))</f>
        <v/>
      </c>
      <c r="I141" s="25">
        <f>IF($A141="","",IFERROR(LOOKUP(2,1/((入库单!$G$4:$G$2503=$A141)*(入库单!$Y$4:$Y$2503="正常")*(入库单!$L$4:$L$2503&gt;0)),入库单!$L$4:$L$2503),0))</f>
        <v/>
      </c>
      <c r="J141" s="26">
        <f>IF($A141="","",IF($H141="A国内",ROUND($I141*倍数A*汇率,0),IF($H141="B当地",ROUND($I141*系数B,0),0)))</f>
        <v/>
      </c>
      <c r="K141" s="24">
        <f>IF($A141="","",IF(COUNTIFS(入库单!$G$4:$G$2503,$A141,入库单!$X$4:$X$2503,"待补价")&gt;0,"待补价",IF(COUNTIFS(入库单!$G$4:$G$2503,$A141,入库单!$X$4:$X$2503,"暂估")&gt;0,"暂估",IF($I141=0,"没有进价","正常"))))</f>
        <v/>
      </c>
      <c r="L141" s="27">
        <f>IF($A141="","",IFERROR(VLOOKUP($A141,库存台账!$A$5:$Y$1204,24,0),0))</f>
        <v/>
      </c>
      <c r="M141" s="26">
        <f>IF($A141="","",IFERROR(VLOOKUP($A141,库存台账!$A$5:$Y$1204,25,0),0))</f>
        <v/>
      </c>
      <c r="N141" s="19">
        <f>IF($A141="","",IFERROR(LOOKUP(2,1/((出库单!$D$4:$D$4003=$A141)*(出库单!$T$4:$T$4003="正常")),出库单!$C$4:$C$4003),""))</f>
        <v/>
      </c>
      <c r="O141" s="28">
        <f>IF($A141="","",IF($L141&lt;=0,"",IF($N141="",IFERROR(账期止-LOOKUP(2,1/(入库单!$G$4:$G$2503=$A141),入库单!$C$4:$C$2503),""),账期止-$N141)))</f>
        <v/>
      </c>
      <c r="P141" s="17" t="n"/>
    </row>
    <row r="142">
      <c r="A142" s="17" t="inlineStr">
        <is>
          <t>JH0139</t>
        </is>
      </c>
      <c r="B142" s="17" t="inlineStr">
        <is>
          <t>其他</t>
        </is>
      </c>
      <c r="C142" s="17" t="inlineStr">
        <is>
          <t>55CM铁锅</t>
        </is>
      </c>
      <c r="D142" s="17" t="inlineStr"/>
      <c r="E142" s="17" t="inlineStr">
        <is>
          <t>个</t>
        </is>
      </c>
      <c r="F142" s="17" t="inlineStr">
        <is>
          <t>否</t>
        </is>
      </c>
      <c r="G142" s="23" t="n"/>
      <c r="H142" s="24">
        <f>IF($A142="","",IFERROR(LOOKUP(2,1/((入库单!$G$4:$G$2503=$A142)*(入库单!$Y$4:$Y$2503="正常")*(入库单!$L$4:$L$2503&gt;0)),入库单!$D$4:$D$2503),""))</f>
        <v/>
      </c>
      <c r="I142" s="25">
        <f>IF($A142="","",IFERROR(LOOKUP(2,1/((入库单!$G$4:$G$2503=$A142)*(入库单!$Y$4:$Y$2503="正常")*(入库单!$L$4:$L$2503&gt;0)),入库单!$L$4:$L$2503),0))</f>
        <v/>
      </c>
      <c r="J142" s="26">
        <f>IF($A142="","",IF($H142="A国内",ROUND($I142*倍数A*汇率,0),IF($H142="B当地",ROUND($I142*系数B,0),0)))</f>
        <v/>
      </c>
      <c r="K142" s="24">
        <f>IF($A142="","",IF(COUNTIFS(入库单!$G$4:$G$2503,$A142,入库单!$X$4:$X$2503,"待补价")&gt;0,"待补价",IF(COUNTIFS(入库单!$G$4:$G$2503,$A142,入库单!$X$4:$X$2503,"暂估")&gt;0,"暂估",IF($I142=0,"没有进价","正常"))))</f>
        <v/>
      </c>
      <c r="L142" s="27">
        <f>IF($A142="","",IFERROR(VLOOKUP($A142,库存台账!$A$5:$Y$1204,24,0),0))</f>
        <v/>
      </c>
      <c r="M142" s="26">
        <f>IF($A142="","",IFERROR(VLOOKUP($A142,库存台账!$A$5:$Y$1204,25,0),0))</f>
        <v/>
      </c>
      <c r="N142" s="19">
        <f>IF($A142="","",IFERROR(LOOKUP(2,1/((出库单!$D$4:$D$4003=$A142)*(出库单!$T$4:$T$4003="正常")),出库单!$C$4:$C$4003),""))</f>
        <v/>
      </c>
      <c r="O142" s="28">
        <f>IF($A142="","",IF($L142&lt;=0,"",IF($N142="",IFERROR(账期止-LOOKUP(2,1/(入库单!$G$4:$G$2503=$A142),入库单!$C$4:$C$2503),""),账期止-$N142)))</f>
        <v/>
      </c>
      <c r="P142" s="17" t="n"/>
    </row>
    <row r="143">
      <c r="A143" s="17" t="inlineStr">
        <is>
          <t>JH0140</t>
        </is>
      </c>
      <c r="B143" s="17" t="inlineStr">
        <is>
          <t>其他</t>
        </is>
      </c>
      <c r="C143" s="17" t="inlineStr">
        <is>
          <t>铁大勺子</t>
        </is>
      </c>
      <c r="D143" s="17" t="inlineStr"/>
      <c r="E143" s="17" t="inlineStr">
        <is>
          <t>把</t>
        </is>
      </c>
      <c r="F143" s="17" t="inlineStr">
        <is>
          <t>否</t>
        </is>
      </c>
      <c r="G143" s="23" t="n"/>
      <c r="H143" s="24">
        <f>IF($A143="","",IFERROR(LOOKUP(2,1/((入库单!$G$4:$G$2503=$A143)*(入库单!$Y$4:$Y$2503="正常")*(入库单!$L$4:$L$2503&gt;0)),入库单!$D$4:$D$2503),""))</f>
        <v/>
      </c>
      <c r="I143" s="25">
        <f>IF($A143="","",IFERROR(LOOKUP(2,1/((入库单!$G$4:$G$2503=$A143)*(入库单!$Y$4:$Y$2503="正常")*(入库单!$L$4:$L$2503&gt;0)),入库单!$L$4:$L$2503),0))</f>
        <v/>
      </c>
      <c r="J143" s="26">
        <f>IF($A143="","",IF($H143="A国内",ROUND($I143*倍数A*汇率,0),IF($H143="B当地",ROUND($I143*系数B,0),0)))</f>
        <v/>
      </c>
      <c r="K143" s="24">
        <f>IF($A143="","",IF(COUNTIFS(入库单!$G$4:$G$2503,$A143,入库单!$X$4:$X$2503,"待补价")&gt;0,"待补价",IF(COUNTIFS(入库单!$G$4:$G$2503,$A143,入库单!$X$4:$X$2503,"暂估")&gt;0,"暂估",IF($I143=0,"没有进价","正常"))))</f>
        <v/>
      </c>
      <c r="L143" s="27">
        <f>IF($A143="","",IFERROR(VLOOKUP($A143,库存台账!$A$5:$Y$1204,24,0),0))</f>
        <v/>
      </c>
      <c r="M143" s="26">
        <f>IF($A143="","",IFERROR(VLOOKUP($A143,库存台账!$A$5:$Y$1204,25,0),0))</f>
        <v/>
      </c>
      <c r="N143" s="19">
        <f>IF($A143="","",IFERROR(LOOKUP(2,1/((出库单!$D$4:$D$4003=$A143)*(出库单!$T$4:$T$4003="正常")),出库单!$C$4:$C$4003),""))</f>
        <v/>
      </c>
      <c r="O143" s="28">
        <f>IF($A143="","",IF($L143&lt;=0,"",IF($N143="",IFERROR(账期止-LOOKUP(2,1/(入库单!$G$4:$G$2503=$A143),入库单!$C$4:$C$2503),""),账期止-$N143)))</f>
        <v/>
      </c>
      <c r="P143" s="17" t="n"/>
    </row>
    <row r="144">
      <c r="A144" s="17" t="inlineStr">
        <is>
          <t>JH0141</t>
        </is>
      </c>
      <c r="B144" s="17" t="inlineStr">
        <is>
          <t>其他</t>
        </is>
      </c>
      <c r="C144" s="17" t="inlineStr">
        <is>
          <t>道钉</t>
        </is>
      </c>
      <c r="D144" s="17" t="inlineStr">
        <is>
          <t>长度100mm</t>
        </is>
      </c>
      <c r="E144" s="17" t="inlineStr">
        <is>
          <t>吨</t>
        </is>
      </c>
      <c r="F144" s="17" t="inlineStr">
        <is>
          <t>否</t>
        </is>
      </c>
      <c r="G144" s="23" t="n"/>
      <c r="H144" s="24">
        <f>IF($A144="","",IFERROR(LOOKUP(2,1/((入库单!$G$4:$G$2503=$A144)*(入库单!$Y$4:$Y$2503="正常")*(入库单!$L$4:$L$2503&gt;0)),入库单!$D$4:$D$2503),""))</f>
        <v/>
      </c>
      <c r="I144" s="25">
        <f>IF($A144="","",IFERROR(LOOKUP(2,1/((入库单!$G$4:$G$2503=$A144)*(入库单!$Y$4:$Y$2503="正常")*(入库单!$L$4:$L$2503&gt;0)),入库单!$L$4:$L$2503),0))</f>
        <v/>
      </c>
      <c r="J144" s="26">
        <f>IF($A144="","",IF($H144="A国内",ROUND($I144*倍数A*汇率,0),IF($H144="B当地",ROUND($I144*系数B,0),0)))</f>
        <v/>
      </c>
      <c r="K144" s="24">
        <f>IF($A144="","",IF(COUNTIFS(入库单!$G$4:$G$2503,$A144,入库单!$X$4:$X$2503,"待补价")&gt;0,"待补价",IF(COUNTIFS(入库单!$G$4:$G$2503,$A144,入库单!$X$4:$X$2503,"暂估")&gt;0,"暂估",IF($I144=0,"没有进价","正常"))))</f>
        <v/>
      </c>
      <c r="L144" s="27">
        <f>IF($A144="","",IFERROR(VLOOKUP($A144,库存台账!$A$5:$Y$1204,24,0),0))</f>
        <v/>
      </c>
      <c r="M144" s="26">
        <f>IF($A144="","",IFERROR(VLOOKUP($A144,库存台账!$A$5:$Y$1204,25,0),0))</f>
        <v/>
      </c>
      <c r="N144" s="19">
        <f>IF($A144="","",IFERROR(LOOKUP(2,1/((出库单!$D$4:$D$4003=$A144)*(出库单!$T$4:$T$4003="正常")),出库单!$C$4:$C$4003),""))</f>
        <v/>
      </c>
      <c r="O144" s="28">
        <f>IF($A144="","",IF($L144&lt;=0,"",IF($N144="",IFERROR(账期止-LOOKUP(2,1/(入库单!$G$4:$G$2503=$A144),入库单!$C$4:$C$2503),""),账期止-$N144)))</f>
        <v/>
      </c>
      <c r="P144" s="17" t="n"/>
    </row>
    <row r="145">
      <c r="A145" s="17" t="inlineStr">
        <is>
          <t>JH0142</t>
        </is>
      </c>
      <c r="B145" s="17" t="inlineStr">
        <is>
          <t>机械设备</t>
        </is>
      </c>
      <c r="C145" s="17" t="inlineStr">
        <is>
          <t>WQ型潜水污水泵</t>
        </is>
      </c>
      <c r="D145" s="17" t="inlineStr">
        <is>
          <t>WQN30-120-22</t>
        </is>
      </c>
      <c r="E145" s="17" t="inlineStr">
        <is>
          <t>台</t>
        </is>
      </c>
      <c r="F145" s="17" t="inlineStr">
        <is>
          <t>否</t>
        </is>
      </c>
      <c r="G145" s="23" t="n"/>
      <c r="H145" s="24">
        <f>IF($A145="","",IFERROR(LOOKUP(2,1/((入库单!$G$4:$G$2503=$A145)*(入库单!$Y$4:$Y$2503="正常")*(入库单!$L$4:$L$2503&gt;0)),入库单!$D$4:$D$2503),""))</f>
        <v/>
      </c>
      <c r="I145" s="25">
        <f>IF($A145="","",IFERROR(LOOKUP(2,1/((入库单!$G$4:$G$2503=$A145)*(入库单!$Y$4:$Y$2503="正常")*(入库单!$L$4:$L$2503&gt;0)),入库单!$L$4:$L$2503),0))</f>
        <v/>
      </c>
      <c r="J145" s="26">
        <f>IF($A145="","",IF($H145="A国内",ROUND($I145*倍数A*汇率,0),IF($H145="B当地",ROUND($I145*系数B,0),0)))</f>
        <v/>
      </c>
      <c r="K145" s="24">
        <f>IF($A145="","",IF(COUNTIFS(入库单!$G$4:$G$2503,$A145,入库单!$X$4:$X$2503,"待补价")&gt;0,"待补价",IF(COUNTIFS(入库单!$G$4:$G$2503,$A145,入库单!$X$4:$X$2503,"暂估")&gt;0,"暂估",IF($I145=0,"没有进价","正常"))))</f>
        <v/>
      </c>
      <c r="L145" s="27">
        <f>IF($A145="","",IFERROR(VLOOKUP($A145,库存台账!$A$5:$Y$1204,24,0),0))</f>
        <v/>
      </c>
      <c r="M145" s="26">
        <f>IF($A145="","",IFERROR(VLOOKUP($A145,库存台账!$A$5:$Y$1204,25,0),0))</f>
        <v/>
      </c>
      <c r="N145" s="19">
        <f>IF($A145="","",IFERROR(LOOKUP(2,1/((出库单!$D$4:$D$4003=$A145)*(出库单!$T$4:$T$4003="正常")),出库单!$C$4:$C$4003),""))</f>
        <v/>
      </c>
      <c r="O145" s="28">
        <f>IF($A145="","",IF($L145&lt;=0,"",IF($N145="",IFERROR(账期止-LOOKUP(2,1/(入库单!$G$4:$G$2503=$A145),入库单!$C$4:$C$2503),""),账期止-$N145)))</f>
        <v/>
      </c>
      <c r="P145" s="17" t="n"/>
    </row>
    <row r="146">
      <c r="A146" s="17" t="inlineStr">
        <is>
          <t>JH0143</t>
        </is>
      </c>
      <c r="B146" s="17" t="inlineStr">
        <is>
          <t>机械设备</t>
        </is>
      </c>
      <c r="C146" s="17" t="inlineStr">
        <is>
          <t>WQ型潜水污水泵</t>
        </is>
      </c>
      <c r="D146" s="17" t="inlineStr">
        <is>
          <t>WQN30-60-18.5</t>
        </is>
      </c>
      <c r="E146" s="17" t="inlineStr">
        <is>
          <t>台</t>
        </is>
      </c>
      <c r="F146" s="17" t="inlineStr">
        <is>
          <t>否</t>
        </is>
      </c>
      <c r="G146" s="23" t="n"/>
      <c r="H146" s="24">
        <f>IF($A146="","",IFERROR(LOOKUP(2,1/((入库单!$G$4:$G$2503=$A146)*(入库单!$Y$4:$Y$2503="正常")*(入库单!$L$4:$L$2503&gt;0)),入库单!$D$4:$D$2503),""))</f>
        <v/>
      </c>
      <c r="I146" s="25">
        <f>IF($A146="","",IFERROR(LOOKUP(2,1/((入库单!$G$4:$G$2503=$A146)*(入库单!$Y$4:$Y$2503="正常")*(入库单!$L$4:$L$2503&gt;0)),入库单!$L$4:$L$2503),0))</f>
        <v/>
      </c>
      <c r="J146" s="26">
        <f>IF($A146="","",IF($H146="A国内",ROUND($I146*倍数A*汇率,0),IF($H146="B当地",ROUND($I146*系数B,0),0)))</f>
        <v/>
      </c>
      <c r="K146" s="24">
        <f>IF($A146="","",IF(COUNTIFS(入库单!$G$4:$G$2503,$A146,入库单!$X$4:$X$2503,"待补价")&gt;0,"待补价",IF(COUNTIFS(入库单!$G$4:$G$2503,$A146,入库单!$X$4:$X$2503,"暂估")&gt;0,"暂估",IF($I146=0,"没有进价","正常"))))</f>
        <v/>
      </c>
      <c r="L146" s="27">
        <f>IF($A146="","",IFERROR(VLOOKUP($A146,库存台账!$A$5:$Y$1204,24,0),0))</f>
        <v/>
      </c>
      <c r="M146" s="26">
        <f>IF($A146="","",IFERROR(VLOOKUP($A146,库存台账!$A$5:$Y$1204,25,0),0))</f>
        <v/>
      </c>
      <c r="N146" s="19">
        <f>IF($A146="","",IFERROR(LOOKUP(2,1/((出库单!$D$4:$D$4003=$A146)*(出库单!$T$4:$T$4003="正常")),出库单!$C$4:$C$4003),""))</f>
        <v/>
      </c>
      <c r="O146" s="28">
        <f>IF($A146="","",IF($L146&lt;=0,"",IF($N146="",IFERROR(账期止-LOOKUP(2,1/(入库单!$G$4:$G$2503=$A146),入库单!$C$4:$C$2503),""),账期止-$N146)))</f>
        <v/>
      </c>
      <c r="P146" s="17" t="n"/>
    </row>
    <row r="147">
      <c r="A147" s="17" t="inlineStr">
        <is>
          <t>JH0144</t>
        </is>
      </c>
      <c r="B147" s="17" t="inlineStr">
        <is>
          <t>其他</t>
        </is>
      </c>
      <c r="C147" s="17" t="inlineStr">
        <is>
          <t>38钎子头</t>
        </is>
      </c>
      <c r="D147" s="17" t="inlineStr">
        <is>
          <t>梅花</t>
        </is>
      </c>
      <c r="E147" s="17" t="inlineStr">
        <is>
          <t>箱</t>
        </is>
      </c>
      <c r="F147" s="17" t="inlineStr">
        <is>
          <t>否</t>
        </is>
      </c>
      <c r="G147" s="23" t="n"/>
      <c r="H147" s="24">
        <f>IF($A147="","",IFERROR(LOOKUP(2,1/((入库单!$G$4:$G$2503=$A147)*(入库单!$Y$4:$Y$2503="正常")*(入库单!$L$4:$L$2503&gt;0)),入库单!$D$4:$D$2503),""))</f>
        <v/>
      </c>
      <c r="I147" s="25">
        <f>IF($A147="","",IFERROR(LOOKUP(2,1/((入库单!$G$4:$G$2503=$A147)*(入库单!$Y$4:$Y$2503="正常")*(入库单!$L$4:$L$2503&gt;0)),入库单!$L$4:$L$2503),0))</f>
        <v/>
      </c>
      <c r="J147" s="26">
        <f>IF($A147="","",IF($H147="A国内",ROUND($I147*倍数A*汇率,0),IF($H147="B当地",ROUND($I147*系数B,0),0)))</f>
        <v/>
      </c>
      <c r="K147" s="24">
        <f>IF($A147="","",IF(COUNTIFS(入库单!$G$4:$G$2503,$A147,入库单!$X$4:$X$2503,"待补价")&gt;0,"待补价",IF(COUNTIFS(入库单!$G$4:$G$2503,$A147,入库单!$X$4:$X$2503,"暂估")&gt;0,"暂估",IF($I147=0,"没有进价","正常"))))</f>
        <v/>
      </c>
      <c r="L147" s="27">
        <f>IF($A147="","",IFERROR(VLOOKUP($A147,库存台账!$A$5:$Y$1204,24,0),0))</f>
        <v/>
      </c>
      <c r="M147" s="26">
        <f>IF($A147="","",IFERROR(VLOOKUP($A147,库存台账!$A$5:$Y$1204,25,0),0))</f>
        <v/>
      </c>
      <c r="N147" s="19">
        <f>IF($A147="","",IFERROR(LOOKUP(2,1/((出库单!$D$4:$D$4003=$A147)*(出库单!$T$4:$T$4003="正常")),出库单!$C$4:$C$4003),""))</f>
        <v/>
      </c>
      <c r="O147" s="28">
        <f>IF($A147="","",IF($L147&lt;=0,"",IF($N147="",IFERROR(账期止-LOOKUP(2,1/(入库单!$G$4:$G$2503=$A147),入库单!$C$4:$C$2503),""),账期止-$N147)))</f>
        <v/>
      </c>
      <c r="P147" s="17" t="n"/>
    </row>
    <row r="148">
      <c r="A148" s="17" t="inlineStr">
        <is>
          <t>JH0145</t>
        </is>
      </c>
      <c r="B148" s="17" t="inlineStr">
        <is>
          <t>其他</t>
        </is>
      </c>
      <c r="C148" s="17" t="inlineStr">
        <is>
          <t>钎杆</t>
        </is>
      </c>
      <c r="D148" s="17" t="inlineStr">
        <is>
          <t>1.5米</t>
        </is>
      </c>
      <c r="E148" s="17" t="inlineStr">
        <is>
          <t>根</t>
        </is>
      </c>
      <c r="F148" s="17" t="inlineStr">
        <is>
          <t>否</t>
        </is>
      </c>
      <c r="G148" s="23" t="n"/>
      <c r="H148" s="24">
        <f>IF($A148="","",IFERROR(LOOKUP(2,1/((入库单!$G$4:$G$2503=$A148)*(入库单!$Y$4:$Y$2503="正常")*(入库单!$L$4:$L$2503&gt;0)),入库单!$D$4:$D$2503),""))</f>
        <v/>
      </c>
      <c r="I148" s="25">
        <f>IF($A148="","",IFERROR(LOOKUP(2,1/((入库单!$G$4:$G$2503=$A148)*(入库单!$Y$4:$Y$2503="正常")*(入库单!$L$4:$L$2503&gt;0)),入库单!$L$4:$L$2503),0))</f>
        <v/>
      </c>
      <c r="J148" s="26">
        <f>IF($A148="","",IF($H148="A国内",ROUND($I148*倍数A*汇率,0),IF($H148="B当地",ROUND($I148*系数B,0),0)))</f>
        <v/>
      </c>
      <c r="K148" s="24">
        <f>IF($A148="","",IF(COUNTIFS(入库单!$G$4:$G$2503,$A148,入库单!$X$4:$X$2503,"待补价")&gt;0,"待补价",IF(COUNTIFS(入库单!$G$4:$G$2503,$A148,入库单!$X$4:$X$2503,"暂估")&gt;0,"暂估",IF($I148=0,"没有进价","正常"))))</f>
        <v/>
      </c>
      <c r="L148" s="27">
        <f>IF($A148="","",IFERROR(VLOOKUP($A148,库存台账!$A$5:$Y$1204,24,0),0))</f>
        <v/>
      </c>
      <c r="M148" s="26">
        <f>IF($A148="","",IFERROR(VLOOKUP($A148,库存台账!$A$5:$Y$1204,25,0),0))</f>
        <v/>
      </c>
      <c r="N148" s="19">
        <f>IF($A148="","",IFERROR(LOOKUP(2,1/((出库单!$D$4:$D$4003=$A148)*(出库单!$T$4:$T$4003="正常")),出库单!$C$4:$C$4003),""))</f>
        <v/>
      </c>
      <c r="O148" s="28">
        <f>IF($A148="","",IF($L148&lt;=0,"",IF($N148="",IFERROR(账期止-LOOKUP(2,1/(入库单!$G$4:$G$2503=$A148),入库单!$C$4:$C$2503),""),账期止-$N148)))</f>
        <v/>
      </c>
      <c r="P148" s="17" t="n"/>
    </row>
    <row r="149">
      <c r="A149" s="17" t="inlineStr">
        <is>
          <t>JH0146</t>
        </is>
      </c>
      <c r="B149" s="17" t="inlineStr">
        <is>
          <t>其他</t>
        </is>
      </c>
      <c r="C149" s="17" t="inlineStr">
        <is>
          <t>钎杆</t>
        </is>
      </c>
      <c r="D149" s="17" t="inlineStr">
        <is>
          <t>2.0米</t>
        </is>
      </c>
      <c r="E149" s="17" t="inlineStr">
        <is>
          <t>根</t>
        </is>
      </c>
      <c r="F149" s="17" t="inlineStr">
        <is>
          <t>否</t>
        </is>
      </c>
      <c r="G149" s="23" t="n"/>
      <c r="H149" s="24">
        <f>IF($A149="","",IFERROR(LOOKUP(2,1/((入库单!$G$4:$G$2503=$A149)*(入库单!$Y$4:$Y$2503="正常")*(入库单!$L$4:$L$2503&gt;0)),入库单!$D$4:$D$2503),""))</f>
        <v/>
      </c>
      <c r="I149" s="25">
        <f>IF($A149="","",IFERROR(LOOKUP(2,1/((入库单!$G$4:$G$2503=$A149)*(入库单!$Y$4:$Y$2503="正常")*(入库单!$L$4:$L$2503&gt;0)),入库单!$L$4:$L$2503),0))</f>
        <v/>
      </c>
      <c r="J149" s="26">
        <f>IF($A149="","",IF($H149="A国内",ROUND($I149*倍数A*汇率,0),IF($H149="B当地",ROUND($I149*系数B,0),0)))</f>
        <v/>
      </c>
      <c r="K149" s="24">
        <f>IF($A149="","",IF(COUNTIFS(入库单!$G$4:$G$2503,$A149,入库单!$X$4:$X$2503,"待补价")&gt;0,"待补价",IF(COUNTIFS(入库单!$G$4:$G$2503,$A149,入库单!$X$4:$X$2503,"暂估")&gt;0,"暂估",IF($I149=0,"没有进价","正常"))))</f>
        <v/>
      </c>
      <c r="L149" s="27">
        <f>IF($A149="","",IFERROR(VLOOKUP($A149,库存台账!$A$5:$Y$1204,24,0),0))</f>
        <v/>
      </c>
      <c r="M149" s="26">
        <f>IF($A149="","",IFERROR(VLOOKUP($A149,库存台账!$A$5:$Y$1204,25,0),0))</f>
        <v/>
      </c>
      <c r="N149" s="19">
        <f>IF($A149="","",IFERROR(LOOKUP(2,1/((出库单!$D$4:$D$4003=$A149)*(出库单!$T$4:$T$4003="正常")),出库单!$C$4:$C$4003),""))</f>
        <v/>
      </c>
      <c r="O149" s="28">
        <f>IF($A149="","",IF($L149&lt;=0,"",IF($N149="",IFERROR(账期止-LOOKUP(2,1/(入库单!$G$4:$G$2503=$A149),入库单!$C$4:$C$2503),""),账期止-$N149)))</f>
        <v/>
      </c>
      <c r="P149" s="17" t="n"/>
    </row>
    <row r="150">
      <c r="A150" s="17" t="inlineStr">
        <is>
          <t>JH0147</t>
        </is>
      </c>
      <c r="B150" s="17" t="inlineStr">
        <is>
          <t>其他</t>
        </is>
      </c>
      <c r="C150" s="17" t="inlineStr">
        <is>
          <t>钎杆</t>
        </is>
      </c>
      <c r="D150" s="17" t="inlineStr">
        <is>
          <t>2.5米</t>
        </is>
      </c>
      <c r="E150" s="17" t="inlineStr">
        <is>
          <t>根</t>
        </is>
      </c>
      <c r="F150" s="17" t="inlineStr">
        <is>
          <t>否</t>
        </is>
      </c>
      <c r="G150" s="23" t="n"/>
      <c r="H150" s="24">
        <f>IF($A150="","",IFERROR(LOOKUP(2,1/((入库单!$G$4:$G$2503=$A150)*(入库单!$Y$4:$Y$2503="正常")*(入库单!$L$4:$L$2503&gt;0)),入库单!$D$4:$D$2503),""))</f>
        <v/>
      </c>
      <c r="I150" s="25">
        <f>IF($A150="","",IFERROR(LOOKUP(2,1/((入库单!$G$4:$G$2503=$A150)*(入库单!$Y$4:$Y$2503="正常")*(入库单!$L$4:$L$2503&gt;0)),入库单!$L$4:$L$2503),0))</f>
        <v/>
      </c>
      <c r="J150" s="26">
        <f>IF($A150="","",IF($H150="A国内",ROUND($I150*倍数A*汇率,0),IF($H150="B当地",ROUND($I150*系数B,0),0)))</f>
        <v/>
      </c>
      <c r="K150" s="24">
        <f>IF($A150="","",IF(COUNTIFS(入库单!$G$4:$G$2503,$A150,入库单!$X$4:$X$2503,"待补价")&gt;0,"待补价",IF(COUNTIFS(入库单!$G$4:$G$2503,$A150,入库单!$X$4:$X$2503,"暂估")&gt;0,"暂估",IF($I150=0,"没有进价","正常"))))</f>
        <v/>
      </c>
      <c r="L150" s="27">
        <f>IF($A150="","",IFERROR(VLOOKUP($A150,库存台账!$A$5:$Y$1204,24,0),0))</f>
        <v/>
      </c>
      <c r="M150" s="26">
        <f>IF($A150="","",IFERROR(VLOOKUP($A150,库存台账!$A$5:$Y$1204,25,0),0))</f>
        <v/>
      </c>
      <c r="N150" s="19">
        <f>IF($A150="","",IFERROR(LOOKUP(2,1/((出库单!$D$4:$D$4003=$A150)*(出库单!$T$4:$T$4003="正常")),出库单!$C$4:$C$4003),""))</f>
        <v/>
      </c>
      <c r="O150" s="28">
        <f>IF($A150="","",IF($L150&lt;=0,"",IF($N150="",IFERROR(账期止-LOOKUP(2,1/(入库单!$G$4:$G$2503=$A150),入库单!$C$4:$C$2503),""),账期止-$N150)))</f>
        <v/>
      </c>
      <c r="P150" s="17" t="n"/>
    </row>
    <row r="151">
      <c r="A151" s="17" t="inlineStr">
        <is>
          <t>JH0148</t>
        </is>
      </c>
      <c r="B151" s="17" t="inlineStr">
        <is>
          <t>其他</t>
        </is>
      </c>
      <c r="C151" s="17" t="inlineStr">
        <is>
          <t>塑料管</t>
        </is>
      </c>
      <c r="D151" s="17" t="inlineStr">
        <is>
          <t>2寸</t>
        </is>
      </c>
      <c r="E151" s="17" t="inlineStr">
        <is>
          <t>盘</t>
        </is>
      </c>
      <c r="F151" s="17" t="inlineStr">
        <is>
          <t>否</t>
        </is>
      </c>
      <c r="G151" s="23" t="n"/>
      <c r="H151" s="24">
        <f>IF($A151="","",IFERROR(LOOKUP(2,1/((入库单!$G$4:$G$2503=$A151)*(入库单!$Y$4:$Y$2503="正常")*(入库单!$L$4:$L$2503&gt;0)),入库单!$D$4:$D$2503),""))</f>
        <v/>
      </c>
      <c r="I151" s="25">
        <f>IF($A151="","",IFERROR(LOOKUP(2,1/((入库单!$G$4:$G$2503=$A151)*(入库单!$Y$4:$Y$2503="正常")*(入库单!$L$4:$L$2503&gt;0)),入库单!$L$4:$L$2503),0))</f>
        <v/>
      </c>
      <c r="J151" s="26">
        <f>IF($A151="","",IF($H151="A国内",ROUND($I151*倍数A*汇率,0),IF($H151="B当地",ROUND($I151*系数B,0),0)))</f>
        <v/>
      </c>
      <c r="K151" s="24">
        <f>IF($A151="","",IF(COUNTIFS(入库单!$G$4:$G$2503,$A151,入库单!$X$4:$X$2503,"待补价")&gt;0,"待补价",IF(COUNTIFS(入库单!$G$4:$G$2503,$A151,入库单!$X$4:$X$2503,"暂估")&gt;0,"暂估",IF($I151=0,"没有进价","正常"))))</f>
        <v/>
      </c>
      <c r="L151" s="27">
        <f>IF($A151="","",IFERROR(VLOOKUP($A151,库存台账!$A$5:$Y$1204,24,0),0))</f>
        <v/>
      </c>
      <c r="M151" s="26">
        <f>IF($A151="","",IFERROR(VLOOKUP($A151,库存台账!$A$5:$Y$1204,25,0),0))</f>
        <v/>
      </c>
      <c r="N151" s="19">
        <f>IF($A151="","",IFERROR(LOOKUP(2,1/((出库单!$D$4:$D$4003=$A151)*(出库单!$T$4:$T$4003="正常")),出库单!$C$4:$C$4003),""))</f>
        <v/>
      </c>
      <c r="O151" s="28">
        <f>IF($A151="","",IF($L151&lt;=0,"",IF($N151="",IFERROR(账期止-LOOKUP(2,1/(入库单!$G$4:$G$2503=$A151),入库单!$C$4:$C$2503),""),账期止-$N151)))</f>
        <v/>
      </c>
      <c r="P151" s="17" t="n"/>
    </row>
    <row r="152">
      <c r="A152" s="17" t="inlineStr">
        <is>
          <t>JH0149</t>
        </is>
      </c>
      <c r="B152" s="17" t="inlineStr">
        <is>
          <t>其他</t>
        </is>
      </c>
      <c r="C152" s="17" t="inlineStr">
        <is>
          <t>塑料管</t>
        </is>
      </c>
      <c r="D152" s="17" t="inlineStr">
        <is>
          <t>3寸</t>
        </is>
      </c>
      <c r="E152" s="17" t="inlineStr">
        <is>
          <t>盘</t>
        </is>
      </c>
      <c r="F152" s="17" t="inlineStr">
        <is>
          <t>否</t>
        </is>
      </c>
      <c r="G152" s="23" t="n"/>
      <c r="H152" s="24">
        <f>IF($A152="","",IFERROR(LOOKUP(2,1/((入库单!$G$4:$G$2503=$A152)*(入库单!$Y$4:$Y$2503="正常")*(入库单!$L$4:$L$2503&gt;0)),入库单!$D$4:$D$2503),""))</f>
        <v/>
      </c>
      <c r="I152" s="25">
        <f>IF($A152="","",IFERROR(LOOKUP(2,1/((入库单!$G$4:$G$2503=$A152)*(入库单!$Y$4:$Y$2503="正常")*(入库单!$L$4:$L$2503&gt;0)),入库单!$L$4:$L$2503),0))</f>
        <v/>
      </c>
      <c r="J152" s="26">
        <f>IF($A152="","",IF($H152="A国内",ROUND($I152*倍数A*汇率,0),IF($H152="B当地",ROUND($I152*系数B,0),0)))</f>
        <v/>
      </c>
      <c r="K152" s="24">
        <f>IF($A152="","",IF(COUNTIFS(入库单!$G$4:$G$2503,$A152,入库单!$X$4:$X$2503,"待补价")&gt;0,"待补价",IF(COUNTIFS(入库单!$G$4:$G$2503,$A152,入库单!$X$4:$X$2503,"暂估")&gt;0,"暂估",IF($I152=0,"没有进价","正常"))))</f>
        <v/>
      </c>
      <c r="L152" s="27">
        <f>IF($A152="","",IFERROR(VLOOKUP($A152,库存台账!$A$5:$Y$1204,24,0),0))</f>
        <v/>
      </c>
      <c r="M152" s="26">
        <f>IF($A152="","",IFERROR(VLOOKUP($A152,库存台账!$A$5:$Y$1204,25,0),0))</f>
        <v/>
      </c>
      <c r="N152" s="19">
        <f>IF($A152="","",IFERROR(LOOKUP(2,1/((出库单!$D$4:$D$4003=$A152)*(出库单!$T$4:$T$4003="正常")),出库单!$C$4:$C$4003),""))</f>
        <v/>
      </c>
      <c r="O152" s="28">
        <f>IF($A152="","",IF($L152&lt;=0,"",IF($N152="",IFERROR(账期止-LOOKUP(2,1/(入库单!$G$4:$G$2503=$A152),入库单!$C$4:$C$2503),""),账期止-$N152)))</f>
        <v/>
      </c>
      <c r="P152" s="17" t="n"/>
    </row>
    <row r="153">
      <c r="A153" s="17" t="inlineStr">
        <is>
          <t>JH0150</t>
        </is>
      </c>
      <c r="B153" s="17" t="inlineStr">
        <is>
          <t>其他</t>
        </is>
      </c>
      <c r="C153" s="17" t="inlineStr">
        <is>
          <t>电焊条</t>
        </is>
      </c>
      <c r="D153" s="17" t="inlineStr">
        <is>
          <t>J422</t>
        </is>
      </c>
      <c r="E153" s="17" t="inlineStr">
        <is>
          <t>件</t>
        </is>
      </c>
      <c r="F153" s="17" t="inlineStr">
        <is>
          <t>否</t>
        </is>
      </c>
      <c r="G153" s="23" t="n"/>
      <c r="H153" s="24">
        <f>IF($A153="","",IFERROR(LOOKUP(2,1/((入库单!$G$4:$G$2503=$A153)*(入库单!$Y$4:$Y$2503="正常")*(入库单!$L$4:$L$2503&gt;0)),入库单!$D$4:$D$2503),""))</f>
        <v/>
      </c>
      <c r="I153" s="25">
        <f>IF($A153="","",IFERROR(LOOKUP(2,1/((入库单!$G$4:$G$2503=$A153)*(入库单!$Y$4:$Y$2503="正常")*(入库单!$L$4:$L$2503&gt;0)),入库单!$L$4:$L$2503),0))</f>
        <v/>
      </c>
      <c r="J153" s="26">
        <f>IF($A153="","",IF($H153="A国内",ROUND($I153*倍数A*汇率,0),IF($H153="B当地",ROUND($I153*系数B,0),0)))</f>
        <v/>
      </c>
      <c r="K153" s="24">
        <f>IF($A153="","",IF(COUNTIFS(入库单!$G$4:$G$2503,$A153,入库单!$X$4:$X$2503,"待补价")&gt;0,"待补价",IF(COUNTIFS(入库单!$G$4:$G$2503,$A153,入库单!$X$4:$X$2503,"暂估")&gt;0,"暂估",IF($I153=0,"没有进价","正常"))))</f>
        <v/>
      </c>
      <c r="L153" s="27">
        <f>IF($A153="","",IFERROR(VLOOKUP($A153,库存台账!$A$5:$Y$1204,24,0),0))</f>
        <v/>
      </c>
      <c r="M153" s="26">
        <f>IF($A153="","",IFERROR(VLOOKUP($A153,库存台账!$A$5:$Y$1204,25,0),0))</f>
        <v/>
      </c>
      <c r="N153" s="19">
        <f>IF($A153="","",IFERROR(LOOKUP(2,1/((出库单!$D$4:$D$4003=$A153)*(出库单!$T$4:$T$4003="正常")),出库单!$C$4:$C$4003),""))</f>
        <v/>
      </c>
      <c r="O153" s="28">
        <f>IF($A153="","",IF($L153&lt;=0,"",IF($N153="",IFERROR(账期止-LOOKUP(2,1/(入库单!$G$4:$G$2503=$A153),入库单!$C$4:$C$2503),""),账期止-$N153)))</f>
        <v/>
      </c>
      <c r="P153" s="17" t="n"/>
    </row>
    <row r="154">
      <c r="A154" s="17" t="inlineStr">
        <is>
          <t>JH0151</t>
        </is>
      </c>
      <c r="B154" s="17" t="inlineStr">
        <is>
          <t>劳保用品</t>
        </is>
      </c>
      <c r="C154" s="17" t="inlineStr">
        <is>
          <t>雨衣/雨裤</t>
        </is>
      </c>
      <c r="D154" s="17" t="inlineStr"/>
      <c r="E154" s="17" t="inlineStr">
        <is>
          <t>套</t>
        </is>
      </c>
      <c r="F154" s="17" t="inlineStr">
        <is>
          <t>否</t>
        </is>
      </c>
      <c r="G154" s="23" t="n"/>
      <c r="H154" s="24">
        <f>IF($A154="","",IFERROR(LOOKUP(2,1/((入库单!$G$4:$G$2503=$A154)*(入库单!$Y$4:$Y$2503="正常")*(入库单!$L$4:$L$2503&gt;0)),入库单!$D$4:$D$2503),""))</f>
        <v/>
      </c>
      <c r="I154" s="25">
        <f>IF($A154="","",IFERROR(LOOKUP(2,1/((入库单!$G$4:$G$2503=$A154)*(入库单!$Y$4:$Y$2503="正常")*(入库单!$L$4:$L$2503&gt;0)),入库单!$L$4:$L$2503),0))</f>
        <v/>
      </c>
      <c r="J154" s="26">
        <f>IF($A154="","",IF($H154="A国内",ROUND($I154*倍数A*汇率,0),IF($H154="B当地",ROUND($I154*系数B,0),0)))</f>
        <v/>
      </c>
      <c r="K154" s="24">
        <f>IF($A154="","",IF(COUNTIFS(入库单!$G$4:$G$2503,$A154,入库单!$X$4:$X$2503,"待补价")&gt;0,"待补价",IF(COUNTIFS(入库单!$G$4:$G$2503,$A154,入库单!$X$4:$X$2503,"暂估")&gt;0,"暂估",IF($I154=0,"没有进价","正常"))))</f>
        <v/>
      </c>
      <c r="L154" s="27">
        <f>IF($A154="","",IFERROR(VLOOKUP($A154,库存台账!$A$5:$Y$1204,24,0),0))</f>
        <v/>
      </c>
      <c r="M154" s="26">
        <f>IF($A154="","",IFERROR(VLOOKUP($A154,库存台账!$A$5:$Y$1204,25,0),0))</f>
        <v/>
      </c>
      <c r="N154" s="19">
        <f>IF($A154="","",IFERROR(LOOKUP(2,1/((出库单!$D$4:$D$4003=$A154)*(出库单!$T$4:$T$4003="正常")),出库单!$C$4:$C$4003),""))</f>
        <v/>
      </c>
      <c r="O154" s="28">
        <f>IF($A154="","",IF($L154&lt;=0,"",IF($N154="",IFERROR(账期止-LOOKUP(2,1/(入库单!$G$4:$G$2503=$A154),入库单!$C$4:$C$2503),""),账期止-$N154)))</f>
        <v/>
      </c>
      <c r="P154" s="17" t="n"/>
    </row>
    <row r="155">
      <c r="A155" s="17" t="inlineStr">
        <is>
          <t>JH0152</t>
        </is>
      </c>
      <c r="B155" s="17" t="inlineStr">
        <is>
          <t>劳保用品</t>
        </is>
      </c>
      <c r="C155" s="17" t="inlineStr">
        <is>
          <t>钻工手套</t>
        </is>
      </c>
      <c r="D155" s="17" t="inlineStr"/>
      <c r="E155" s="17" t="inlineStr">
        <is>
          <t>双</t>
        </is>
      </c>
      <c r="F155" s="17" t="inlineStr">
        <is>
          <t>否</t>
        </is>
      </c>
      <c r="G155" s="23" t="n"/>
      <c r="H155" s="24">
        <f>IF($A155="","",IFERROR(LOOKUP(2,1/((入库单!$G$4:$G$2503=$A155)*(入库单!$Y$4:$Y$2503="正常")*(入库单!$L$4:$L$2503&gt;0)),入库单!$D$4:$D$2503),""))</f>
        <v/>
      </c>
      <c r="I155" s="25">
        <f>IF($A155="","",IFERROR(LOOKUP(2,1/((入库单!$G$4:$G$2503=$A155)*(入库单!$Y$4:$Y$2503="正常")*(入库单!$L$4:$L$2503&gt;0)),入库单!$L$4:$L$2503),0))</f>
        <v/>
      </c>
      <c r="J155" s="26">
        <f>IF($A155="","",IF($H155="A国内",ROUND($I155*倍数A*汇率,0),IF($H155="B当地",ROUND($I155*系数B,0),0)))</f>
        <v/>
      </c>
      <c r="K155" s="24">
        <f>IF($A155="","",IF(COUNTIFS(入库单!$G$4:$G$2503,$A155,入库单!$X$4:$X$2503,"待补价")&gt;0,"待补价",IF(COUNTIFS(入库单!$G$4:$G$2503,$A155,入库单!$X$4:$X$2503,"暂估")&gt;0,"暂估",IF($I155=0,"没有进价","正常"))))</f>
        <v/>
      </c>
      <c r="L155" s="27">
        <f>IF($A155="","",IFERROR(VLOOKUP($A155,库存台账!$A$5:$Y$1204,24,0),0))</f>
        <v/>
      </c>
      <c r="M155" s="26">
        <f>IF($A155="","",IFERROR(VLOOKUP($A155,库存台账!$A$5:$Y$1204,25,0),0))</f>
        <v/>
      </c>
      <c r="N155" s="19">
        <f>IF($A155="","",IFERROR(LOOKUP(2,1/((出库单!$D$4:$D$4003=$A155)*(出库单!$T$4:$T$4003="正常")),出库单!$C$4:$C$4003),""))</f>
        <v/>
      </c>
      <c r="O155" s="28">
        <f>IF($A155="","",IF($L155&lt;=0,"",IF($N155="",IFERROR(账期止-LOOKUP(2,1/(入库单!$G$4:$G$2503=$A155),入库单!$C$4:$C$2503),""),账期止-$N155)))</f>
        <v/>
      </c>
      <c r="P155" s="17" t="n"/>
    </row>
    <row r="156">
      <c r="A156" s="17" t="inlineStr">
        <is>
          <t>JH0153</t>
        </is>
      </c>
      <c r="B156" s="17" t="inlineStr">
        <is>
          <t>其他</t>
        </is>
      </c>
      <c r="C156" s="17" t="inlineStr">
        <is>
          <t>铲车轮胎防护链</t>
        </is>
      </c>
      <c r="D156" s="17" t="inlineStr"/>
      <c r="E156" s="17" t="inlineStr">
        <is>
          <t>套</t>
        </is>
      </c>
      <c r="F156" s="17" t="inlineStr">
        <is>
          <t>否</t>
        </is>
      </c>
      <c r="G156" s="23" t="n"/>
      <c r="H156" s="24">
        <f>IF($A156="","",IFERROR(LOOKUP(2,1/((入库单!$G$4:$G$2503=$A156)*(入库单!$Y$4:$Y$2503="正常")*(入库单!$L$4:$L$2503&gt;0)),入库单!$D$4:$D$2503),""))</f>
        <v/>
      </c>
      <c r="I156" s="25">
        <f>IF($A156="","",IFERROR(LOOKUP(2,1/((入库单!$G$4:$G$2503=$A156)*(入库单!$Y$4:$Y$2503="正常")*(入库单!$L$4:$L$2503&gt;0)),入库单!$L$4:$L$2503),0))</f>
        <v/>
      </c>
      <c r="J156" s="26">
        <f>IF($A156="","",IF($H156="A国内",ROUND($I156*倍数A*汇率,0),IF($H156="B当地",ROUND($I156*系数B,0),0)))</f>
        <v/>
      </c>
      <c r="K156" s="24">
        <f>IF($A156="","",IF(COUNTIFS(入库单!$G$4:$G$2503,$A156,入库单!$X$4:$X$2503,"待补价")&gt;0,"待补价",IF(COUNTIFS(入库单!$G$4:$G$2503,$A156,入库单!$X$4:$X$2503,"暂估")&gt;0,"暂估",IF($I156=0,"没有进价","正常"))))</f>
        <v/>
      </c>
      <c r="L156" s="27">
        <f>IF($A156="","",IFERROR(VLOOKUP($A156,库存台账!$A$5:$Y$1204,24,0),0))</f>
        <v/>
      </c>
      <c r="M156" s="26">
        <f>IF($A156="","",IFERROR(VLOOKUP($A156,库存台账!$A$5:$Y$1204,25,0),0))</f>
        <v/>
      </c>
      <c r="N156" s="19">
        <f>IF($A156="","",IFERROR(LOOKUP(2,1/((出库单!$D$4:$D$4003=$A156)*(出库单!$T$4:$T$4003="正常")),出库单!$C$4:$C$4003),""))</f>
        <v/>
      </c>
      <c r="O156" s="28">
        <f>IF($A156="","",IF($L156&lt;=0,"",IF($N156="",IFERROR(账期止-LOOKUP(2,1/(入库单!$G$4:$G$2503=$A156),入库单!$C$4:$C$2503),""),账期止-$N156)))</f>
        <v/>
      </c>
      <c r="P156" s="17" t="n"/>
    </row>
    <row r="157">
      <c r="A157" s="17" t="inlineStr">
        <is>
          <t>JH0154</t>
        </is>
      </c>
      <c r="B157" s="17" t="inlineStr">
        <is>
          <t>电缆电气</t>
        </is>
      </c>
      <c r="C157" s="17" t="inlineStr">
        <is>
          <t>铜芯软电缆</t>
        </is>
      </c>
      <c r="D157" s="17" t="inlineStr">
        <is>
          <t>3×4</t>
        </is>
      </c>
      <c r="E157" s="17" t="inlineStr">
        <is>
          <t>盘</t>
        </is>
      </c>
      <c r="F157" s="17" t="inlineStr">
        <is>
          <t>否</t>
        </is>
      </c>
      <c r="G157" s="23" t="n"/>
      <c r="H157" s="24">
        <f>IF($A157="","",IFERROR(LOOKUP(2,1/((入库单!$G$4:$G$2503=$A157)*(入库单!$Y$4:$Y$2503="正常")*(入库单!$L$4:$L$2503&gt;0)),入库单!$D$4:$D$2503),""))</f>
        <v/>
      </c>
      <c r="I157" s="25">
        <f>IF($A157="","",IFERROR(LOOKUP(2,1/((入库单!$G$4:$G$2503=$A157)*(入库单!$Y$4:$Y$2503="正常")*(入库单!$L$4:$L$2503&gt;0)),入库单!$L$4:$L$2503),0))</f>
        <v/>
      </c>
      <c r="J157" s="26">
        <f>IF($A157="","",IF($H157="A国内",ROUND($I157*倍数A*汇率,0),IF($H157="B当地",ROUND($I157*系数B,0),0)))</f>
        <v/>
      </c>
      <c r="K157" s="24">
        <f>IF($A157="","",IF(COUNTIFS(入库单!$G$4:$G$2503,$A157,入库单!$X$4:$X$2503,"待补价")&gt;0,"待补价",IF(COUNTIFS(入库单!$G$4:$G$2503,$A157,入库单!$X$4:$X$2503,"暂估")&gt;0,"暂估",IF($I157=0,"没有进价","正常"))))</f>
        <v/>
      </c>
      <c r="L157" s="27">
        <f>IF($A157="","",IFERROR(VLOOKUP($A157,库存台账!$A$5:$Y$1204,24,0),0))</f>
        <v/>
      </c>
      <c r="M157" s="26">
        <f>IF($A157="","",IFERROR(VLOOKUP($A157,库存台账!$A$5:$Y$1204,25,0),0))</f>
        <v/>
      </c>
      <c r="N157" s="19">
        <f>IF($A157="","",IFERROR(LOOKUP(2,1/((出库单!$D$4:$D$4003=$A157)*(出库单!$T$4:$T$4003="正常")),出库单!$C$4:$C$4003),""))</f>
        <v/>
      </c>
      <c r="O157" s="28">
        <f>IF($A157="","",IF($L157&lt;=0,"",IF($N157="",IFERROR(账期止-LOOKUP(2,1/(入库单!$G$4:$G$2503=$A157),入库单!$C$4:$C$2503),""),账期止-$N157)))</f>
        <v/>
      </c>
      <c r="P157" s="17" t="n"/>
    </row>
    <row r="158">
      <c r="A158" s="17" t="inlineStr">
        <is>
          <t>JH0155</t>
        </is>
      </c>
      <c r="B158" s="17" t="inlineStr">
        <is>
          <t>电缆电气</t>
        </is>
      </c>
      <c r="C158" s="17" t="inlineStr">
        <is>
          <t>铜芯软电缆</t>
        </is>
      </c>
      <c r="D158" s="17" t="inlineStr">
        <is>
          <t>3×6</t>
        </is>
      </c>
      <c r="E158" s="17" t="inlineStr">
        <is>
          <t>盘</t>
        </is>
      </c>
      <c r="F158" s="17" t="inlineStr">
        <is>
          <t>否</t>
        </is>
      </c>
      <c r="G158" s="23" t="n"/>
      <c r="H158" s="24">
        <f>IF($A158="","",IFERROR(LOOKUP(2,1/((入库单!$G$4:$G$2503=$A158)*(入库单!$Y$4:$Y$2503="正常")*(入库单!$L$4:$L$2503&gt;0)),入库单!$D$4:$D$2503),""))</f>
        <v/>
      </c>
      <c r="I158" s="25">
        <f>IF($A158="","",IFERROR(LOOKUP(2,1/((入库单!$G$4:$G$2503=$A158)*(入库单!$Y$4:$Y$2503="正常")*(入库单!$L$4:$L$2503&gt;0)),入库单!$L$4:$L$2503),0))</f>
        <v/>
      </c>
      <c r="J158" s="26">
        <f>IF($A158="","",IF($H158="A国内",ROUND($I158*倍数A*汇率,0),IF($H158="B当地",ROUND($I158*系数B,0),0)))</f>
        <v/>
      </c>
      <c r="K158" s="24">
        <f>IF($A158="","",IF(COUNTIFS(入库单!$G$4:$G$2503,$A158,入库单!$X$4:$X$2503,"待补价")&gt;0,"待补价",IF(COUNTIFS(入库单!$G$4:$G$2503,$A158,入库单!$X$4:$X$2503,"暂估")&gt;0,"暂估",IF($I158=0,"没有进价","正常"))))</f>
        <v/>
      </c>
      <c r="L158" s="27">
        <f>IF($A158="","",IFERROR(VLOOKUP($A158,库存台账!$A$5:$Y$1204,24,0),0))</f>
        <v/>
      </c>
      <c r="M158" s="26">
        <f>IF($A158="","",IFERROR(VLOOKUP($A158,库存台账!$A$5:$Y$1204,25,0),0))</f>
        <v/>
      </c>
      <c r="N158" s="19">
        <f>IF($A158="","",IFERROR(LOOKUP(2,1/((出库单!$D$4:$D$4003=$A158)*(出库单!$T$4:$T$4003="正常")),出库单!$C$4:$C$4003),""))</f>
        <v/>
      </c>
      <c r="O158" s="28">
        <f>IF($A158="","",IF($L158&lt;=0,"",IF($N158="",IFERROR(账期止-LOOKUP(2,1/(入库单!$G$4:$G$2503=$A158),入库单!$C$4:$C$2503),""),账期止-$N158)))</f>
        <v/>
      </c>
      <c r="P158" s="17" t="n"/>
    </row>
    <row r="159">
      <c r="A159" s="17" t="inlineStr">
        <is>
          <t>JH0156</t>
        </is>
      </c>
      <c r="B159" s="17" t="inlineStr">
        <is>
          <t>电缆电气</t>
        </is>
      </c>
      <c r="C159" s="17" t="inlineStr">
        <is>
          <t>铜芯软电缆</t>
        </is>
      </c>
      <c r="D159" s="17" t="inlineStr">
        <is>
          <t>3×10</t>
        </is>
      </c>
      <c r="E159" s="17" t="inlineStr">
        <is>
          <t>盘</t>
        </is>
      </c>
      <c r="F159" s="17" t="inlineStr">
        <is>
          <t>否</t>
        </is>
      </c>
      <c r="G159" s="23" t="n"/>
      <c r="H159" s="24">
        <f>IF($A159="","",IFERROR(LOOKUP(2,1/((入库单!$G$4:$G$2503=$A159)*(入库单!$Y$4:$Y$2503="正常")*(入库单!$L$4:$L$2503&gt;0)),入库单!$D$4:$D$2503),""))</f>
        <v/>
      </c>
      <c r="I159" s="25">
        <f>IF($A159="","",IFERROR(LOOKUP(2,1/((入库单!$G$4:$G$2503=$A159)*(入库单!$Y$4:$Y$2503="正常")*(入库单!$L$4:$L$2503&gt;0)),入库单!$L$4:$L$2503),0))</f>
        <v/>
      </c>
      <c r="J159" s="26">
        <f>IF($A159="","",IF($H159="A国内",ROUND($I159*倍数A*汇率,0),IF($H159="B当地",ROUND($I159*系数B,0),0)))</f>
        <v/>
      </c>
      <c r="K159" s="24">
        <f>IF($A159="","",IF(COUNTIFS(入库单!$G$4:$G$2503,$A159,入库单!$X$4:$X$2503,"待补价")&gt;0,"待补价",IF(COUNTIFS(入库单!$G$4:$G$2503,$A159,入库单!$X$4:$X$2503,"暂估")&gt;0,"暂估",IF($I159=0,"没有进价","正常"))))</f>
        <v/>
      </c>
      <c r="L159" s="27">
        <f>IF($A159="","",IFERROR(VLOOKUP($A159,库存台账!$A$5:$Y$1204,24,0),0))</f>
        <v/>
      </c>
      <c r="M159" s="26">
        <f>IF($A159="","",IFERROR(VLOOKUP($A159,库存台账!$A$5:$Y$1204,25,0),0))</f>
        <v/>
      </c>
      <c r="N159" s="19">
        <f>IF($A159="","",IFERROR(LOOKUP(2,1/((出库单!$D$4:$D$4003=$A159)*(出库单!$T$4:$T$4003="正常")),出库单!$C$4:$C$4003),""))</f>
        <v/>
      </c>
      <c r="O159" s="28">
        <f>IF($A159="","",IF($L159&lt;=0,"",IF($N159="",IFERROR(账期止-LOOKUP(2,1/(入库单!$G$4:$G$2503=$A159),入库单!$C$4:$C$2503),""),账期止-$N159)))</f>
        <v/>
      </c>
      <c r="P159" s="17" t="n"/>
    </row>
    <row r="160">
      <c r="A160" s="17" t="inlineStr">
        <is>
          <t>JH0157</t>
        </is>
      </c>
      <c r="B160" s="17" t="inlineStr">
        <is>
          <t>电缆电气</t>
        </is>
      </c>
      <c r="C160" s="17" t="inlineStr">
        <is>
          <t>铜芯软电缆</t>
        </is>
      </c>
      <c r="D160" s="17" t="inlineStr">
        <is>
          <t>4×4</t>
        </is>
      </c>
      <c r="E160" s="17" t="inlineStr">
        <is>
          <t>盘</t>
        </is>
      </c>
      <c r="F160" s="17" t="inlineStr">
        <is>
          <t>否</t>
        </is>
      </c>
      <c r="G160" s="23" t="n"/>
      <c r="H160" s="24">
        <f>IF($A160="","",IFERROR(LOOKUP(2,1/((入库单!$G$4:$G$2503=$A160)*(入库单!$Y$4:$Y$2503="正常")*(入库单!$L$4:$L$2503&gt;0)),入库单!$D$4:$D$2503),""))</f>
        <v/>
      </c>
      <c r="I160" s="25">
        <f>IF($A160="","",IFERROR(LOOKUP(2,1/((入库单!$G$4:$G$2503=$A160)*(入库单!$Y$4:$Y$2503="正常")*(入库单!$L$4:$L$2503&gt;0)),入库单!$L$4:$L$2503),0))</f>
        <v/>
      </c>
      <c r="J160" s="26">
        <f>IF($A160="","",IF($H160="A国内",ROUND($I160*倍数A*汇率,0),IF($H160="B当地",ROUND($I160*系数B,0),0)))</f>
        <v/>
      </c>
      <c r="K160" s="24">
        <f>IF($A160="","",IF(COUNTIFS(入库单!$G$4:$G$2503,$A160,入库单!$X$4:$X$2503,"待补价")&gt;0,"待补价",IF(COUNTIFS(入库单!$G$4:$G$2503,$A160,入库单!$X$4:$X$2503,"暂估")&gt;0,"暂估",IF($I160=0,"没有进价","正常"))))</f>
        <v/>
      </c>
      <c r="L160" s="27">
        <f>IF($A160="","",IFERROR(VLOOKUP($A160,库存台账!$A$5:$Y$1204,24,0),0))</f>
        <v/>
      </c>
      <c r="M160" s="26">
        <f>IF($A160="","",IFERROR(VLOOKUP($A160,库存台账!$A$5:$Y$1204,25,0),0))</f>
        <v/>
      </c>
      <c r="N160" s="19">
        <f>IF($A160="","",IFERROR(LOOKUP(2,1/((出库单!$D$4:$D$4003=$A160)*(出库单!$T$4:$T$4003="正常")),出库单!$C$4:$C$4003),""))</f>
        <v/>
      </c>
      <c r="O160" s="28">
        <f>IF($A160="","",IF($L160&lt;=0,"",IF($N160="",IFERROR(账期止-LOOKUP(2,1/(入库单!$G$4:$G$2503=$A160),入库单!$C$4:$C$2503),""),账期止-$N160)))</f>
        <v/>
      </c>
      <c r="P160" s="17" t="n"/>
    </row>
    <row r="161">
      <c r="A161" s="17" t="inlineStr">
        <is>
          <t>JH0158</t>
        </is>
      </c>
      <c r="B161" s="17" t="inlineStr">
        <is>
          <t>机械设备</t>
        </is>
      </c>
      <c r="C161" s="17" t="inlineStr">
        <is>
          <t>绞车刹车带</t>
        </is>
      </c>
      <c r="D161" s="17" t="inlineStr">
        <is>
          <t>15厘米宽、1厘米厚</t>
        </is>
      </c>
      <c r="E161" s="17" t="inlineStr">
        <is>
          <t>米</t>
        </is>
      </c>
      <c r="F161" s="17" t="inlineStr">
        <is>
          <t>否</t>
        </is>
      </c>
      <c r="G161" s="23" t="n"/>
      <c r="H161" s="24">
        <f>IF($A161="","",IFERROR(LOOKUP(2,1/((入库单!$G$4:$G$2503=$A161)*(入库单!$Y$4:$Y$2503="正常")*(入库单!$L$4:$L$2503&gt;0)),入库单!$D$4:$D$2503),""))</f>
        <v/>
      </c>
      <c r="I161" s="25">
        <f>IF($A161="","",IFERROR(LOOKUP(2,1/((入库单!$G$4:$G$2503=$A161)*(入库单!$Y$4:$Y$2503="正常")*(入库单!$L$4:$L$2503&gt;0)),入库单!$L$4:$L$2503),0))</f>
        <v/>
      </c>
      <c r="J161" s="26">
        <f>IF($A161="","",IF($H161="A国内",ROUND($I161*倍数A*汇率,0),IF($H161="B当地",ROUND($I161*系数B,0),0)))</f>
        <v/>
      </c>
      <c r="K161" s="24">
        <f>IF($A161="","",IF(COUNTIFS(入库单!$G$4:$G$2503,$A161,入库单!$X$4:$X$2503,"待补价")&gt;0,"待补价",IF(COUNTIFS(入库单!$G$4:$G$2503,$A161,入库单!$X$4:$X$2503,"暂估")&gt;0,"暂估",IF($I161=0,"没有进价","正常"))))</f>
        <v/>
      </c>
      <c r="L161" s="27">
        <f>IF($A161="","",IFERROR(VLOOKUP($A161,库存台账!$A$5:$Y$1204,24,0),0))</f>
        <v/>
      </c>
      <c r="M161" s="26">
        <f>IF($A161="","",IFERROR(VLOOKUP($A161,库存台账!$A$5:$Y$1204,25,0),0))</f>
        <v/>
      </c>
      <c r="N161" s="19">
        <f>IF($A161="","",IFERROR(LOOKUP(2,1/((出库单!$D$4:$D$4003=$A161)*(出库单!$T$4:$T$4003="正常")),出库单!$C$4:$C$4003),""))</f>
        <v/>
      </c>
      <c r="O161" s="28">
        <f>IF($A161="","",IF($L161&lt;=0,"",IF($N161="",IFERROR(账期止-LOOKUP(2,1/(入库单!$G$4:$G$2503=$A161),入库单!$C$4:$C$2503),""),账期止-$N161)))</f>
        <v/>
      </c>
      <c r="P161" s="17" t="n"/>
    </row>
    <row r="162">
      <c r="A162" s="17" t="inlineStr">
        <is>
          <t>JH0159</t>
        </is>
      </c>
      <c r="B162" s="17" t="inlineStr">
        <is>
          <t>其他</t>
        </is>
      </c>
      <c r="C162" s="17" t="inlineStr">
        <is>
          <t>无刷切割机</t>
        </is>
      </c>
      <c r="D162" s="17" t="inlineStr">
        <is>
          <t>XJ-无刷420新款+地面架子</t>
        </is>
      </c>
      <c r="E162" s="17" t="inlineStr">
        <is>
          <t>台</t>
        </is>
      </c>
      <c r="F162" s="17" t="inlineStr">
        <is>
          <t>否</t>
        </is>
      </c>
      <c r="G162" s="23" t="n"/>
      <c r="H162" s="24">
        <f>IF($A162="","",IFERROR(LOOKUP(2,1/((入库单!$G$4:$G$2503=$A162)*(入库单!$Y$4:$Y$2503="正常")*(入库单!$L$4:$L$2503&gt;0)),入库单!$D$4:$D$2503),""))</f>
        <v/>
      </c>
      <c r="I162" s="25">
        <f>IF($A162="","",IFERROR(LOOKUP(2,1/((入库单!$G$4:$G$2503=$A162)*(入库单!$Y$4:$Y$2503="正常")*(入库单!$L$4:$L$2503&gt;0)),入库单!$L$4:$L$2503),0))</f>
        <v/>
      </c>
      <c r="J162" s="26">
        <f>IF($A162="","",IF($H162="A国内",ROUND($I162*倍数A*汇率,0),IF($H162="B当地",ROUND($I162*系数B,0),0)))</f>
        <v/>
      </c>
      <c r="K162" s="24">
        <f>IF($A162="","",IF(COUNTIFS(入库单!$G$4:$G$2503,$A162,入库单!$X$4:$X$2503,"待补价")&gt;0,"待补价",IF(COUNTIFS(入库单!$G$4:$G$2503,$A162,入库单!$X$4:$X$2503,"暂估")&gt;0,"暂估",IF($I162=0,"没有进价","正常"))))</f>
        <v/>
      </c>
      <c r="L162" s="27">
        <f>IF($A162="","",IFERROR(VLOOKUP($A162,库存台账!$A$5:$Y$1204,24,0),0))</f>
        <v/>
      </c>
      <c r="M162" s="26">
        <f>IF($A162="","",IFERROR(VLOOKUP($A162,库存台账!$A$5:$Y$1204,25,0),0))</f>
        <v/>
      </c>
      <c r="N162" s="19">
        <f>IF($A162="","",IFERROR(LOOKUP(2,1/((出库单!$D$4:$D$4003=$A162)*(出库单!$T$4:$T$4003="正常")),出库单!$C$4:$C$4003),""))</f>
        <v/>
      </c>
      <c r="O162" s="28">
        <f>IF($A162="","",IF($L162&lt;=0,"",IF($N162="",IFERROR(账期止-LOOKUP(2,1/(入库单!$G$4:$G$2503=$A162),入库单!$C$4:$C$2503),""),账期止-$N162)))</f>
        <v/>
      </c>
      <c r="P162" s="17" t="n"/>
    </row>
    <row r="163">
      <c r="A163" s="17" t="inlineStr">
        <is>
          <t>JH0160</t>
        </is>
      </c>
      <c r="B163" s="17" t="inlineStr">
        <is>
          <t>其他</t>
        </is>
      </c>
      <c r="C163" s="17" t="inlineStr">
        <is>
          <t>电动葫芦运行式</t>
        </is>
      </c>
      <c r="D163" s="17" t="inlineStr">
        <is>
          <t>3T</t>
        </is>
      </c>
      <c r="E163" s="17" t="inlineStr">
        <is>
          <t>台</t>
        </is>
      </c>
      <c r="F163" s="17" t="inlineStr">
        <is>
          <t>否</t>
        </is>
      </c>
      <c r="G163" s="23" t="n"/>
      <c r="H163" s="24">
        <f>IF($A163="","",IFERROR(LOOKUP(2,1/((入库单!$G$4:$G$2503=$A163)*(入库单!$Y$4:$Y$2503="正常")*(入库单!$L$4:$L$2503&gt;0)),入库单!$D$4:$D$2503),""))</f>
        <v/>
      </c>
      <c r="I163" s="25">
        <f>IF($A163="","",IFERROR(LOOKUP(2,1/((入库单!$G$4:$G$2503=$A163)*(入库单!$Y$4:$Y$2503="正常")*(入库单!$L$4:$L$2503&gt;0)),入库单!$L$4:$L$2503),0))</f>
        <v/>
      </c>
      <c r="J163" s="26">
        <f>IF($A163="","",IF($H163="A国内",ROUND($I163*倍数A*汇率,0),IF($H163="B当地",ROUND($I163*系数B,0),0)))</f>
        <v/>
      </c>
      <c r="K163" s="24">
        <f>IF($A163="","",IF(COUNTIFS(入库单!$G$4:$G$2503,$A163,入库单!$X$4:$X$2503,"待补价")&gt;0,"待补价",IF(COUNTIFS(入库单!$G$4:$G$2503,$A163,入库单!$X$4:$X$2503,"暂估")&gt;0,"暂估",IF($I163=0,"没有进价","正常"))))</f>
        <v/>
      </c>
      <c r="L163" s="27">
        <f>IF($A163="","",IFERROR(VLOOKUP($A163,库存台账!$A$5:$Y$1204,24,0),0))</f>
        <v/>
      </c>
      <c r="M163" s="26">
        <f>IF($A163="","",IFERROR(VLOOKUP($A163,库存台账!$A$5:$Y$1204,25,0),0))</f>
        <v/>
      </c>
      <c r="N163" s="19">
        <f>IF($A163="","",IFERROR(LOOKUP(2,1/((出库单!$D$4:$D$4003=$A163)*(出库单!$T$4:$T$4003="正常")),出库单!$C$4:$C$4003),""))</f>
        <v/>
      </c>
      <c r="O163" s="28">
        <f>IF($A163="","",IF($L163&lt;=0,"",IF($N163="",IFERROR(账期止-LOOKUP(2,1/(入库单!$G$4:$G$2503=$A163),入库单!$C$4:$C$2503),""),账期止-$N163)))</f>
        <v/>
      </c>
      <c r="P163" s="17" t="n"/>
    </row>
    <row r="164">
      <c r="A164" s="17" t="inlineStr">
        <is>
          <t>JH0161</t>
        </is>
      </c>
      <c r="B164" s="17" t="inlineStr">
        <is>
          <t>其他</t>
        </is>
      </c>
      <c r="C164" s="17" t="inlineStr">
        <is>
          <t>电动葫芦运行式</t>
        </is>
      </c>
      <c r="D164" s="17" t="inlineStr">
        <is>
          <t>2T</t>
        </is>
      </c>
      <c r="E164" s="17" t="inlineStr">
        <is>
          <t>台</t>
        </is>
      </c>
      <c r="F164" s="17" t="inlineStr">
        <is>
          <t>否</t>
        </is>
      </c>
      <c r="G164" s="23" t="n"/>
      <c r="H164" s="24">
        <f>IF($A164="","",IFERROR(LOOKUP(2,1/((入库单!$G$4:$G$2503=$A164)*(入库单!$Y$4:$Y$2503="正常")*(入库单!$L$4:$L$2503&gt;0)),入库单!$D$4:$D$2503),""))</f>
        <v/>
      </c>
      <c r="I164" s="25">
        <f>IF($A164="","",IFERROR(LOOKUP(2,1/((入库单!$G$4:$G$2503=$A164)*(入库单!$Y$4:$Y$2503="正常")*(入库单!$L$4:$L$2503&gt;0)),入库单!$L$4:$L$2503),0))</f>
        <v/>
      </c>
      <c r="J164" s="26">
        <f>IF($A164="","",IF($H164="A国内",ROUND($I164*倍数A*汇率,0),IF($H164="B当地",ROUND($I164*系数B,0),0)))</f>
        <v/>
      </c>
      <c r="K164" s="24">
        <f>IF($A164="","",IF(COUNTIFS(入库单!$G$4:$G$2503,$A164,入库单!$X$4:$X$2503,"待补价")&gt;0,"待补价",IF(COUNTIFS(入库单!$G$4:$G$2503,$A164,入库单!$X$4:$X$2503,"暂估")&gt;0,"暂估",IF($I164=0,"没有进价","正常"))))</f>
        <v/>
      </c>
      <c r="L164" s="27">
        <f>IF($A164="","",IFERROR(VLOOKUP($A164,库存台账!$A$5:$Y$1204,24,0),0))</f>
        <v/>
      </c>
      <c r="M164" s="26">
        <f>IF($A164="","",IFERROR(VLOOKUP($A164,库存台账!$A$5:$Y$1204,25,0),0))</f>
        <v/>
      </c>
      <c r="N164" s="19">
        <f>IF($A164="","",IFERROR(LOOKUP(2,1/((出库单!$D$4:$D$4003=$A164)*(出库单!$T$4:$T$4003="正常")),出库单!$C$4:$C$4003),""))</f>
        <v/>
      </c>
      <c r="O164" s="28">
        <f>IF($A164="","",IF($L164&lt;=0,"",IF($N164="",IFERROR(账期止-LOOKUP(2,1/(入库单!$G$4:$G$2503=$A164),入库单!$C$4:$C$2503),""),账期止-$N164)))</f>
        <v/>
      </c>
      <c r="P164" s="17" t="n"/>
    </row>
    <row r="165">
      <c r="A165" s="17" t="inlineStr">
        <is>
          <t>JH0162</t>
        </is>
      </c>
      <c r="B165" s="17" t="inlineStr">
        <is>
          <t>其他</t>
        </is>
      </c>
      <c r="C165" s="17" t="inlineStr">
        <is>
          <t>轮胎</t>
        </is>
      </c>
      <c r="D165" s="17" t="inlineStr"/>
      <c r="E165" s="17" t="inlineStr">
        <is>
          <t>条</t>
        </is>
      </c>
      <c r="F165" s="17" t="inlineStr">
        <is>
          <t>否</t>
        </is>
      </c>
      <c r="G165" s="23" t="n"/>
      <c r="H165" s="24">
        <f>IF($A165="","",IFERROR(LOOKUP(2,1/((入库单!$G$4:$G$2503=$A165)*(入库单!$Y$4:$Y$2503="正常")*(入库单!$L$4:$L$2503&gt;0)),入库单!$D$4:$D$2503),""))</f>
        <v/>
      </c>
      <c r="I165" s="25">
        <f>IF($A165="","",IFERROR(LOOKUP(2,1/((入库单!$G$4:$G$2503=$A165)*(入库单!$Y$4:$Y$2503="正常")*(入库单!$L$4:$L$2503&gt;0)),入库单!$L$4:$L$2503),0))</f>
        <v/>
      </c>
      <c r="J165" s="26">
        <f>IF($A165="","",IF($H165="A国内",ROUND($I165*倍数A*汇率,0),IF($H165="B当地",ROUND($I165*系数B,0),0)))</f>
        <v/>
      </c>
      <c r="K165" s="24">
        <f>IF($A165="","",IF(COUNTIFS(入库单!$G$4:$G$2503,$A165,入库单!$X$4:$X$2503,"待补价")&gt;0,"待补价",IF(COUNTIFS(入库单!$G$4:$G$2503,$A165,入库单!$X$4:$X$2503,"暂估")&gt;0,"暂估",IF($I165=0,"没有进价","正常"))))</f>
        <v/>
      </c>
      <c r="L165" s="27">
        <f>IF($A165="","",IFERROR(VLOOKUP($A165,库存台账!$A$5:$Y$1204,24,0),0))</f>
        <v/>
      </c>
      <c r="M165" s="26">
        <f>IF($A165="","",IFERROR(VLOOKUP($A165,库存台账!$A$5:$Y$1204,25,0),0))</f>
        <v/>
      </c>
      <c r="N165" s="19">
        <f>IF($A165="","",IFERROR(LOOKUP(2,1/((出库单!$D$4:$D$4003=$A165)*(出库单!$T$4:$T$4003="正常")),出库单!$C$4:$C$4003),""))</f>
        <v/>
      </c>
      <c r="O165" s="28">
        <f>IF($A165="","",IF($L165&lt;=0,"",IF($N165="",IFERROR(账期止-LOOKUP(2,1/(入库单!$G$4:$G$2503=$A165),入库单!$C$4:$C$2503),""),账期止-$N165)))</f>
        <v/>
      </c>
      <c r="P165" s="17" t="n"/>
    </row>
    <row r="166">
      <c r="A166" s="17" t="inlineStr">
        <is>
          <t>JH0163</t>
        </is>
      </c>
      <c r="B166" s="17" t="inlineStr">
        <is>
          <t>其他</t>
        </is>
      </c>
      <c r="C166" s="17" t="inlineStr">
        <is>
          <t>德力西稳压器</t>
        </is>
      </c>
      <c r="D166" s="17" t="inlineStr">
        <is>
          <t>500kva</t>
        </is>
      </c>
      <c r="E166" s="17" t="inlineStr">
        <is>
          <t>台</t>
        </is>
      </c>
      <c r="F166" s="17" t="inlineStr">
        <is>
          <t>否</t>
        </is>
      </c>
      <c r="G166" s="23" t="n"/>
      <c r="H166" s="24">
        <f>IF($A166="","",IFERROR(LOOKUP(2,1/((入库单!$G$4:$G$2503=$A166)*(入库单!$Y$4:$Y$2503="正常")*(入库单!$L$4:$L$2503&gt;0)),入库单!$D$4:$D$2503),""))</f>
        <v/>
      </c>
      <c r="I166" s="25">
        <f>IF($A166="","",IFERROR(LOOKUP(2,1/((入库单!$G$4:$G$2503=$A166)*(入库单!$Y$4:$Y$2503="正常")*(入库单!$L$4:$L$2503&gt;0)),入库单!$L$4:$L$2503),0))</f>
        <v/>
      </c>
      <c r="J166" s="26">
        <f>IF($A166="","",IF($H166="A国内",ROUND($I166*倍数A*汇率,0),IF($H166="B当地",ROUND($I166*系数B,0),0)))</f>
        <v/>
      </c>
      <c r="K166" s="24">
        <f>IF($A166="","",IF(COUNTIFS(入库单!$G$4:$G$2503,$A166,入库单!$X$4:$X$2503,"待补价")&gt;0,"待补价",IF(COUNTIFS(入库单!$G$4:$G$2503,$A166,入库单!$X$4:$X$2503,"暂估")&gt;0,"暂估",IF($I166=0,"没有进价","正常"))))</f>
        <v/>
      </c>
      <c r="L166" s="27">
        <f>IF($A166="","",IFERROR(VLOOKUP($A166,库存台账!$A$5:$Y$1204,24,0),0))</f>
        <v/>
      </c>
      <c r="M166" s="26">
        <f>IF($A166="","",IFERROR(VLOOKUP($A166,库存台账!$A$5:$Y$1204,25,0),0))</f>
        <v/>
      </c>
      <c r="N166" s="19">
        <f>IF($A166="","",IFERROR(LOOKUP(2,1/((出库单!$D$4:$D$4003=$A166)*(出库单!$T$4:$T$4003="正常")),出库单!$C$4:$C$4003),""))</f>
        <v/>
      </c>
      <c r="O166" s="28">
        <f>IF($A166="","",IF($L166&lt;=0,"",IF($N166="",IFERROR(账期止-LOOKUP(2,1/(入库单!$G$4:$G$2503=$A166),入库单!$C$4:$C$2503),""),账期止-$N166)))</f>
        <v/>
      </c>
      <c r="P166" s="17" t="n"/>
    </row>
    <row r="167">
      <c r="A167" s="17" t="inlineStr">
        <is>
          <t>JH0164</t>
        </is>
      </c>
      <c r="B167" s="17" t="inlineStr">
        <is>
          <t>油料</t>
        </is>
      </c>
      <c r="C167" s="17" t="inlineStr">
        <is>
          <t>柴油发电机</t>
        </is>
      </c>
      <c r="D167" s="17" t="inlineStr">
        <is>
          <t>500KW</t>
        </is>
      </c>
      <c r="E167" s="17" t="inlineStr">
        <is>
          <t>台</t>
        </is>
      </c>
      <c r="F167" s="17" t="inlineStr">
        <is>
          <t>是</t>
        </is>
      </c>
      <c r="G167" s="23" t="n"/>
      <c r="H167" s="24">
        <f>IF($A167="","",IFERROR(LOOKUP(2,1/((入库单!$G$4:$G$2503=$A167)*(入库单!$Y$4:$Y$2503="正常")*(入库单!$L$4:$L$2503&gt;0)),入库单!$D$4:$D$2503),""))</f>
        <v/>
      </c>
      <c r="I167" s="25">
        <f>IF($A167="","",IFERROR(LOOKUP(2,1/((入库单!$G$4:$G$2503=$A167)*(入库单!$Y$4:$Y$2503="正常")*(入库单!$L$4:$L$2503&gt;0)),入库单!$L$4:$L$2503),0))</f>
        <v/>
      </c>
      <c r="J167" s="26">
        <f>IF($A167="","",IF($H167="A国内",ROUND($I167*倍数A*汇率,0),IF($H167="B当地",ROUND($I167*系数B,0),0)))</f>
        <v/>
      </c>
      <c r="K167" s="24">
        <f>IF($A167="","",IF(COUNTIFS(入库单!$G$4:$G$2503,$A167,入库单!$X$4:$X$2503,"待补价")&gt;0,"待补价",IF(COUNTIFS(入库单!$G$4:$G$2503,$A167,入库单!$X$4:$X$2503,"暂估")&gt;0,"暂估",IF($I167=0,"没有进价","正常"))))</f>
        <v/>
      </c>
      <c r="L167" s="27">
        <f>IF($A167="","",IFERROR(VLOOKUP($A167,库存台账!$A$5:$Y$1204,24,0),0))</f>
        <v/>
      </c>
      <c r="M167" s="26">
        <f>IF($A167="","",IFERROR(VLOOKUP($A167,库存台账!$A$5:$Y$1204,25,0),0))</f>
        <v/>
      </c>
      <c r="N167" s="19">
        <f>IF($A167="","",IFERROR(LOOKUP(2,1/((出库单!$D$4:$D$4003=$A167)*(出库单!$T$4:$T$4003="正常")),出库单!$C$4:$C$4003),""))</f>
        <v/>
      </c>
      <c r="O167" s="28">
        <f>IF($A167="","",IF($L167&lt;=0,"",IF($N167="",IFERROR(账期止-LOOKUP(2,1/(入库单!$G$4:$G$2503=$A167),入库单!$C$4:$C$2503),""),账期止-$N167)))</f>
        <v/>
      </c>
      <c r="P167" s="17" t="n"/>
    </row>
    <row r="168">
      <c r="A168" s="17" t="inlineStr">
        <is>
          <t>JH0165</t>
        </is>
      </c>
      <c r="B168" s="17" t="inlineStr">
        <is>
          <t>油料</t>
        </is>
      </c>
      <c r="C168" s="17" t="inlineStr">
        <is>
          <t>柴油发电机</t>
        </is>
      </c>
      <c r="D168" s="17" t="inlineStr">
        <is>
          <t>250KW</t>
        </is>
      </c>
      <c r="E168" s="17" t="inlineStr">
        <is>
          <t>台</t>
        </is>
      </c>
      <c r="F168" s="17" t="inlineStr">
        <is>
          <t>是</t>
        </is>
      </c>
      <c r="G168" s="23" t="n"/>
      <c r="H168" s="24">
        <f>IF($A168="","",IFERROR(LOOKUP(2,1/((入库单!$G$4:$G$2503=$A168)*(入库单!$Y$4:$Y$2503="正常")*(入库单!$L$4:$L$2503&gt;0)),入库单!$D$4:$D$2503),""))</f>
        <v/>
      </c>
      <c r="I168" s="25">
        <f>IF($A168="","",IFERROR(LOOKUP(2,1/((入库单!$G$4:$G$2503=$A168)*(入库单!$Y$4:$Y$2503="正常")*(入库单!$L$4:$L$2503&gt;0)),入库单!$L$4:$L$2503),0))</f>
        <v/>
      </c>
      <c r="J168" s="26">
        <f>IF($A168="","",IF($H168="A国内",ROUND($I168*倍数A*汇率,0),IF($H168="B当地",ROUND($I168*系数B,0),0)))</f>
        <v/>
      </c>
      <c r="K168" s="24">
        <f>IF($A168="","",IF(COUNTIFS(入库单!$G$4:$G$2503,$A168,入库单!$X$4:$X$2503,"待补价")&gt;0,"待补价",IF(COUNTIFS(入库单!$G$4:$G$2503,$A168,入库单!$X$4:$X$2503,"暂估")&gt;0,"暂估",IF($I168=0,"没有进价","正常"))))</f>
        <v/>
      </c>
      <c r="L168" s="27">
        <f>IF($A168="","",IFERROR(VLOOKUP($A168,库存台账!$A$5:$Y$1204,24,0),0))</f>
        <v/>
      </c>
      <c r="M168" s="26">
        <f>IF($A168="","",IFERROR(VLOOKUP($A168,库存台账!$A$5:$Y$1204,25,0),0))</f>
        <v/>
      </c>
      <c r="N168" s="19">
        <f>IF($A168="","",IFERROR(LOOKUP(2,1/((出库单!$D$4:$D$4003=$A168)*(出库单!$T$4:$T$4003="正常")),出库单!$C$4:$C$4003),""))</f>
        <v/>
      </c>
      <c r="O168" s="28">
        <f>IF($A168="","",IF($L168&lt;=0,"",IF($N168="",IFERROR(账期止-LOOKUP(2,1/(入库单!$G$4:$G$2503=$A168),入库单!$C$4:$C$2503),""),账期止-$N168)))</f>
        <v/>
      </c>
      <c r="P168" s="17" t="n"/>
    </row>
    <row r="169">
      <c r="A169" s="17" t="inlineStr">
        <is>
          <t>JH0166</t>
        </is>
      </c>
      <c r="B169" s="17" t="inlineStr">
        <is>
          <t>集装箱</t>
        </is>
      </c>
      <c r="C169" s="17" t="inlineStr">
        <is>
          <t>集装箱</t>
        </is>
      </c>
      <c r="D169" s="17" t="inlineStr">
        <is>
          <t>此集装箱已购买</t>
        </is>
      </c>
      <c r="E169" s="17" t="inlineStr">
        <is>
          <t>个</t>
        </is>
      </c>
      <c r="F169" s="17" t="inlineStr">
        <is>
          <t>否</t>
        </is>
      </c>
      <c r="G169" s="23" t="n"/>
      <c r="H169" s="24">
        <f>IF($A169="","",IFERROR(LOOKUP(2,1/((入库单!$G$4:$G$2503=$A169)*(入库单!$Y$4:$Y$2503="正常")*(入库单!$L$4:$L$2503&gt;0)),入库单!$D$4:$D$2503),""))</f>
        <v/>
      </c>
      <c r="I169" s="25">
        <f>IF($A169="","",IFERROR(LOOKUP(2,1/((入库单!$G$4:$G$2503=$A169)*(入库单!$Y$4:$Y$2503="正常")*(入库单!$L$4:$L$2503&gt;0)),入库单!$L$4:$L$2503),0))</f>
        <v/>
      </c>
      <c r="J169" s="26">
        <f>IF($A169="","",IF($H169="A国内",ROUND($I169*倍数A*汇率,0),IF($H169="B当地",ROUND($I169*系数B,0),0)))</f>
        <v/>
      </c>
      <c r="K169" s="24">
        <f>IF($A169="","",IF(COUNTIFS(入库单!$G$4:$G$2503,$A169,入库单!$X$4:$X$2503,"待补价")&gt;0,"待补价",IF(COUNTIFS(入库单!$G$4:$G$2503,$A169,入库单!$X$4:$X$2503,"暂估")&gt;0,"暂估",IF($I169=0,"没有进价","正常"))))</f>
        <v/>
      </c>
      <c r="L169" s="27">
        <f>IF($A169="","",IFERROR(VLOOKUP($A169,库存台账!$A$5:$Y$1204,24,0),0))</f>
        <v/>
      </c>
      <c r="M169" s="26">
        <f>IF($A169="","",IFERROR(VLOOKUP($A169,库存台账!$A$5:$Y$1204,25,0),0))</f>
        <v/>
      </c>
      <c r="N169" s="19">
        <f>IF($A169="","",IFERROR(LOOKUP(2,1/((出库单!$D$4:$D$4003=$A169)*(出库单!$T$4:$T$4003="正常")),出库单!$C$4:$C$4003),""))</f>
        <v/>
      </c>
      <c r="O169" s="28">
        <f>IF($A169="","",IF($L169&lt;=0,"",IF($N169="",IFERROR(账期止-LOOKUP(2,1/(入库单!$G$4:$G$2503=$A169),入库单!$C$4:$C$2503),""),账期止-$N169)))</f>
        <v/>
      </c>
      <c r="P169" s="17" t="n"/>
    </row>
    <row r="170">
      <c r="A170" s="17" t="inlineStr">
        <is>
          <t>JH0167</t>
        </is>
      </c>
      <c r="B170" s="17" t="inlineStr">
        <is>
          <t>电缆电气</t>
        </is>
      </c>
      <c r="C170" s="17" t="inlineStr">
        <is>
          <t>电缆</t>
        </is>
      </c>
      <c r="D170" s="17" t="inlineStr">
        <is>
          <t>YJV-3*2.5</t>
        </is>
      </c>
      <c r="E170" s="17" t="inlineStr">
        <is>
          <t>米</t>
        </is>
      </c>
      <c r="F170" s="17" t="inlineStr">
        <is>
          <t>否</t>
        </is>
      </c>
      <c r="G170" s="23" t="n"/>
      <c r="H170" s="24">
        <f>IF($A170="","",IFERROR(LOOKUP(2,1/((入库单!$G$4:$G$2503=$A170)*(入库单!$Y$4:$Y$2503="正常")*(入库单!$L$4:$L$2503&gt;0)),入库单!$D$4:$D$2503),""))</f>
        <v/>
      </c>
      <c r="I170" s="25">
        <f>IF($A170="","",IFERROR(LOOKUP(2,1/((入库单!$G$4:$G$2503=$A170)*(入库单!$Y$4:$Y$2503="正常")*(入库单!$L$4:$L$2503&gt;0)),入库单!$L$4:$L$2503),0))</f>
        <v/>
      </c>
      <c r="J170" s="26">
        <f>IF($A170="","",IF($H170="A国内",ROUND($I170*倍数A*汇率,0),IF($H170="B当地",ROUND($I170*系数B,0),0)))</f>
        <v/>
      </c>
      <c r="K170" s="24">
        <f>IF($A170="","",IF(COUNTIFS(入库单!$G$4:$G$2503,$A170,入库单!$X$4:$X$2503,"待补价")&gt;0,"待补价",IF(COUNTIFS(入库单!$G$4:$G$2503,$A170,入库单!$X$4:$X$2503,"暂估")&gt;0,"暂估",IF($I170=0,"没有进价","正常"))))</f>
        <v/>
      </c>
      <c r="L170" s="27">
        <f>IF($A170="","",IFERROR(VLOOKUP($A170,库存台账!$A$5:$Y$1204,24,0),0))</f>
        <v/>
      </c>
      <c r="M170" s="26">
        <f>IF($A170="","",IFERROR(VLOOKUP($A170,库存台账!$A$5:$Y$1204,25,0),0))</f>
        <v/>
      </c>
      <c r="N170" s="19">
        <f>IF($A170="","",IFERROR(LOOKUP(2,1/((出库单!$D$4:$D$4003=$A170)*(出库单!$T$4:$T$4003="正常")),出库单!$C$4:$C$4003),""))</f>
        <v/>
      </c>
      <c r="O170" s="28">
        <f>IF($A170="","",IF($L170&lt;=0,"",IF($N170="",IFERROR(账期止-LOOKUP(2,1/(入库单!$G$4:$G$2503=$A170),入库单!$C$4:$C$2503),""),账期止-$N170)))</f>
        <v/>
      </c>
      <c r="P170" s="17" t="n"/>
    </row>
    <row r="171">
      <c r="A171" s="17" t="inlineStr">
        <is>
          <t>JH0168</t>
        </is>
      </c>
      <c r="B171" s="17" t="inlineStr">
        <is>
          <t>电缆电气</t>
        </is>
      </c>
      <c r="C171" s="17" t="inlineStr">
        <is>
          <t>电缆</t>
        </is>
      </c>
      <c r="D171" s="17" t="inlineStr">
        <is>
          <t>YJV-2*2.5</t>
        </is>
      </c>
      <c r="E171" s="17" t="inlineStr">
        <is>
          <t>米</t>
        </is>
      </c>
      <c r="F171" s="17" t="inlineStr">
        <is>
          <t>否</t>
        </is>
      </c>
      <c r="G171" s="23" t="n"/>
      <c r="H171" s="24">
        <f>IF($A171="","",IFERROR(LOOKUP(2,1/((入库单!$G$4:$G$2503=$A171)*(入库单!$Y$4:$Y$2503="正常")*(入库单!$L$4:$L$2503&gt;0)),入库单!$D$4:$D$2503),""))</f>
        <v/>
      </c>
      <c r="I171" s="25">
        <f>IF($A171="","",IFERROR(LOOKUP(2,1/((入库单!$G$4:$G$2503=$A171)*(入库单!$Y$4:$Y$2503="正常")*(入库单!$L$4:$L$2503&gt;0)),入库单!$L$4:$L$2503),0))</f>
        <v/>
      </c>
      <c r="J171" s="26">
        <f>IF($A171="","",IF($H171="A国内",ROUND($I171*倍数A*汇率,0),IF($H171="B当地",ROUND($I171*系数B,0),0)))</f>
        <v/>
      </c>
      <c r="K171" s="24">
        <f>IF($A171="","",IF(COUNTIFS(入库单!$G$4:$G$2503,$A171,入库单!$X$4:$X$2503,"待补价")&gt;0,"待补价",IF(COUNTIFS(入库单!$G$4:$G$2503,$A171,入库单!$X$4:$X$2503,"暂估")&gt;0,"暂估",IF($I171=0,"没有进价","正常"))))</f>
        <v/>
      </c>
      <c r="L171" s="27">
        <f>IF($A171="","",IFERROR(VLOOKUP($A171,库存台账!$A$5:$Y$1204,24,0),0))</f>
        <v/>
      </c>
      <c r="M171" s="26">
        <f>IF($A171="","",IFERROR(VLOOKUP($A171,库存台账!$A$5:$Y$1204,25,0),0))</f>
        <v/>
      </c>
      <c r="N171" s="19">
        <f>IF($A171="","",IFERROR(LOOKUP(2,1/((出库单!$D$4:$D$4003=$A171)*(出库单!$T$4:$T$4003="正常")),出库单!$C$4:$C$4003),""))</f>
        <v/>
      </c>
      <c r="O171" s="28">
        <f>IF($A171="","",IF($L171&lt;=0,"",IF($N171="",IFERROR(账期止-LOOKUP(2,1/(入库单!$G$4:$G$2503=$A171),入库单!$C$4:$C$2503),""),账期止-$N171)))</f>
        <v/>
      </c>
      <c r="P171" s="17" t="n"/>
    </row>
    <row r="172">
      <c r="A172" s="17" t="inlineStr">
        <is>
          <t>JH0169</t>
        </is>
      </c>
      <c r="B172" s="17" t="inlineStr">
        <is>
          <t>电缆电气</t>
        </is>
      </c>
      <c r="C172" s="17" t="inlineStr">
        <is>
          <t>电缆</t>
        </is>
      </c>
      <c r="D172" s="17" t="inlineStr">
        <is>
          <t>YJV-3*6</t>
        </is>
      </c>
      <c r="E172" s="17" t="inlineStr">
        <is>
          <t>米</t>
        </is>
      </c>
      <c r="F172" s="17" t="inlineStr">
        <is>
          <t>否</t>
        </is>
      </c>
      <c r="G172" s="23" t="n"/>
      <c r="H172" s="24">
        <f>IF($A172="","",IFERROR(LOOKUP(2,1/((入库单!$G$4:$G$2503=$A172)*(入库单!$Y$4:$Y$2503="正常")*(入库单!$L$4:$L$2503&gt;0)),入库单!$D$4:$D$2503),""))</f>
        <v/>
      </c>
      <c r="I172" s="25">
        <f>IF($A172="","",IFERROR(LOOKUP(2,1/((入库单!$G$4:$G$2503=$A172)*(入库单!$Y$4:$Y$2503="正常")*(入库单!$L$4:$L$2503&gt;0)),入库单!$L$4:$L$2503),0))</f>
        <v/>
      </c>
      <c r="J172" s="26">
        <f>IF($A172="","",IF($H172="A国内",ROUND($I172*倍数A*汇率,0),IF($H172="B当地",ROUND($I172*系数B,0),0)))</f>
        <v/>
      </c>
      <c r="K172" s="24">
        <f>IF($A172="","",IF(COUNTIFS(入库单!$G$4:$G$2503,$A172,入库单!$X$4:$X$2503,"待补价")&gt;0,"待补价",IF(COUNTIFS(入库单!$G$4:$G$2503,$A172,入库单!$X$4:$X$2503,"暂估")&gt;0,"暂估",IF($I172=0,"没有进价","正常"))))</f>
        <v/>
      </c>
      <c r="L172" s="27">
        <f>IF($A172="","",IFERROR(VLOOKUP($A172,库存台账!$A$5:$Y$1204,24,0),0))</f>
        <v/>
      </c>
      <c r="M172" s="26">
        <f>IF($A172="","",IFERROR(VLOOKUP($A172,库存台账!$A$5:$Y$1204,25,0),0))</f>
        <v/>
      </c>
      <c r="N172" s="19">
        <f>IF($A172="","",IFERROR(LOOKUP(2,1/((出库单!$D$4:$D$4003=$A172)*(出库单!$T$4:$T$4003="正常")),出库单!$C$4:$C$4003),""))</f>
        <v/>
      </c>
      <c r="O172" s="28">
        <f>IF($A172="","",IF($L172&lt;=0,"",IF($N172="",IFERROR(账期止-LOOKUP(2,1/(入库单!$G$4:$G$2503=$A172),入库单!$C$4:$C$2503),""),账期止-$N172)))</f>
        <v/>
      </c>
      <c r="P172" s="17" t="n"/>
    </row>
    <row r="173">
      <c r="A173" s="17" t="inlineStr">
        <is>
          <t>JH0170</t>
        </is>
      </c>
      <c r="B173" s="17" t="inlineStr">
        <is>
          <t>电缆电气</t>
        </is>
      </c>
      <c r="C173" s="17" t="inlineStr">
        <is>
          <t>电缆</t>
        </is>
      </c>
      <c r="D173" s="17" t="inlineStr">
        <is>
          <t>YJV-4*6</t>
        </is>
      </c>
      <c r="E173" s="17" t="inlineStr">
        <is>
          <t>米</t>
        </is>
      </c>
      <c r="F173" s="17" t="inlineStr">
        <is>
          <t>否</t>
        </is>
      </c>
      <c r="G173" s="23" t="n"/>
      <c r="H173" s="24">
        <f>IF($A173="","",IFERROR(LOOKUP(2,1/((入库单!$G$4:$G$2503=$A173)*(入库单!$Y$4:$Y$2503="正常")*(入库单!$L$4:$L$2503&gt;0)),入库单!$D$4:$D$2503),""))</f>
        <v/>
      </c>
      <c r="I173" s="25">
        <f>IF($A173="","",IFERROR(LOOKUP(2,1/((入库单!$G$4:$G$2503=$A173)*(入库单!$Y$4:$Y$2503="正常")*(入库单!$L$4:$L$2503&gt;0)),入库单!$L$4:$L$2503),0))</f>
        <v/>
      </c>
      <c r="J173" s="26">
        <f>IF($A173="","",IF($H173="A国内",ROUND($I173*倍数A*汇率,0),IF($H173="B当地",ROUND($I173*系数B,0),0)))</f>
        <v/>
      </c>
      <c r="K173" s="24">
        <f>IF($A173="","",IF(COUNTIFS(入库单!$G$4:$G$2503,$A173,入库单!$X$4:$X$2503,"待补价")&gt;0,"待补价",IF(COUNTIFS(入库单!$G$4:$G$2503,$A173,入库单!$X$4:$X$2503,"暂估")&gt;0,"暂估",IF($I173=0,"没有进价","正常"))))</f>
        <v/>
      </c>
      <c r="L173" s="27">
        <f>IF($A173="","",IFERROR(VLOOKUP($A173,库存台账!$A$5:$Y$1204,24,0),0))</f>
        <v/>
      </c>
      <c r="M173" s="26">
        <f>IF($A173="","",IFERROR(VLOOKUP($A173,库存台账!$A$5:$Y$1204,25,0),0))</f>
        <v/>
      </c>
      <c r="N173" s="19">
        <f>IF($A173="","",IFERROR(LOOKUP(2,1/((出库单!$D$4:$D$4003=$A173)*(出库单!$T$4:$T$4003="正常")),出库单!$C$4:$C$4003),""))</f>
        <v/>
      </c>
      <c r="O173" s="28">
        <f>IF($A173="","",IF($L173&lt;=0,"",IF($N173="",IFERROR(账期止-LOOKUP(2,1/(入库单!$G$4:$G$2503=$A173),入库单!$C$4:$C$2503),""),账期止-$N173)))</f>
        <v/>
      </c>
      <c r="P173" s="17" t="n"/>
    </row>
    <row r="174">
      <c r="A174" s="17" t="inlineStr">
        <is>
          <t>JH0171</t>
        </is>
      </c>
      <c r="B174" s="17" t="inlineStr">
        <is>
          <t>电缆电气</t>
        </is>
      </c>
      <c r="C174" s="17" t="inlineStr">
        <is>
          <t>电缆</t>
        </is>
      </c>
      <c r="D174" s="17" t="inlineStr">
        <is>
          <t>YJV-4*4</t>
        </is>
      </c>
      <c r="E174" s="17" t="inlineStr">
        <is>
          <t>米</t>
        </is>
      </c>
      <c r="F174" s="17" t="inlineStr">
        <is>
          <t>否</t>
        </is>
      </c>
      <c r="G174" s="23" t="n"/>
      <c r="H174" s="24">
        <f>IF($A174="","",IFERROR(LOOKUP(2,1/((入库单!$G$4:$G$2503=$A174)*(入库单!$Y$4:$Y$2503="正常")*(入库单!$L$4:$L$2503&gt;0)),入库单!$D$4:$D$2503),""))</f>
        <v/>
      </c>
      <c r="I174" s="25">
        <f>IF($A174="","",IFERROR(LOOKUP(2,1/((入库单!$G$4:$G$2503=$A174)*(入库单!$Y$4:$Y$2503="正常")*(入库单!$L$4:$L$2503&gt;0)),入库单!$L$4:$L$2503),0))</f>
        <v/>
      </c>
      <c r="J174" s="26">
        <f>IF($A174="","",IF($H174="A国内",ROUND($I174*倍数A*汇率,0),IF($H174="B当地",ROUND($I174*系数B,0),0)))</f>
        <v/>
      </c>
      <c r="K174" s="24">
        <f>IF($A174="","",IF(COUNTIFS(入库单!$G$4:$G$2503,$A174,入库单!$X$4:$X$2503,"待补价")&gt;0,"待补价",IF(COUNTIFS(入库单!$G$4:$G$2503,$A174,入库单!$X$4:$X$2503,"暂估")&gt;0,"暂估",IF($I174=0,"没有进价","正常"))))</f>
        <v/>
      </c>
      <c r="L174" s="27">
        <f>IF($A174="","",IFERROR(VLOOKUP($A174,库存台账!$A$5:$Y$1204,24,0),0))</f>
        <v/>
      </c>
      <c r="M174" s="26">
        <f>IF($A174="","",IFERROR(VLOOKUP($A174,库存台账!$A$5:$Y$1204,25,0),0))</f>
        <v/>
      </c>
      <c r="N174" s="19">
        <f>IF($A174="","",IFERROR(LOOKUP(2,1/((出库单!$D$4:$D$4003=$A174)*(出库单!$T$4:$T$4003="正常")),出库单!$C$4:$C$4003),""))</f>
        <v/>
      </c>
      <c r="O174" s="28">
        <f>IF($A174="","",IF($L174&lt;=0,"",IF($N174="",IFERROR(账期止-LOOKUP(2,1/(入库单!$G$4:$G$2503=$A174),入库单!$C$4:$C$2503),""),账期止-$N174)))</f>
        <v/>
      </c>
      <c r="P174" s="17" t="n"/>
    </row>
    <row r="175">
      <c r="A175" s="17" t="inlineStr">
        <is>
          <t>JH0172</t>
        </is>
      </c>
      <c r="B175" s="17" t="inlineStr">
        <is>
          <t>电缆电气</t>
        </is>
      </c>
      <c r="C175" s="17" t="inlineStr">
        <is>
          <t>电缆</t>
        </is>
      </c>
      <c r="D175" s="17" t="inlineStr">
        <is>
          <t>YJV-5*2.5</t>
        </is>
      </c>
      <c r="E175" s="17" t="inlineStr">
        <is>
          <t>米</t>
        </is>
      </c>
      <c r="F175" s="17" t="inlineStr">
        <is>
          <t>否</t>
        </is>
      </c>
      <c r="G175" s="23" t="n"/>
      <c r="H175" s="24">
        <f>IF($A175="","",IFERROR(LOOKUP(2,1/((入库单!$G$4:$G$2503=$A175)*(入库单!$Y$4:$Y$2503="正常")*(入库单!$L$4:$L$2503&gt;0)),入库单!$D$4:$D$2503),""))</f>
        <v/>
      </c>
      <c r="I175" s="25">
        <f>IF($A175="","",IFERROR(LOOKUP(2,1/((入库单!$G$4:$G$2503=$A175)*(入库单!$Y$4:$Y$2503="正常")*(入库单!$L$4:$L$2503&gt;0)),入库单!$L$4:$L$2503),0))</f>
        <v/>
      </c>
      <c r="J175" s="26">
        <f>IF($A175="","",IF($H175="A国内",ROUND($I175*倍数A*汇率,0),IF($H175="B当地",ROUND($I175*系数B,0),0)))</f>
        <v/>
      </c>
      <c r="K175" s="24">
        <f>IF($A175="","",IF(COUNTIFS(入库单!$G$4:$G$2503,$A175,入库单!$X$4:$X$2503,"待补价")&gt;0,"待补价",IF(COUNTIFS(入库单!$G$4:$G$2503,$A175,入库单!$X$4:$X$2503,"暂估")&gt;0,"暂估",IF($I175=0,"没有进价","正常"))))</f>
        <v/>
      </c>
      <c r="L175" s="27">
        <f>IF($A175="","",IFERROR(VLOOKUP($A175,库存台账!$A$5:$Y$1204,24,0),0))</f>
        <v/>
      </c>
      <c r="M175" s="26">
        <f>IF($A175="","",IFERROR(VLOOKUP($A175,库存台账!$A$5:$Y$1204,25,0),0))</f>
        <v/>
      </c>
      <c r="N175" s="19">
        <f>IF($A175="","",IFERROR(LOOKUP(2,1/((出库单!$D$4:$D$4003=$A175)*(出库单!$T$4:$T$4003="正常")),出库单!$C$4:$C$4003),""))</f>
        <v/>
      </c>
      <c r="O175" s="28">
        <f>IF($A175="","",IF($L175&lt;=0,"",IF($N175="",IFERROR(账期止-LOOKUP(2,1/(入库单!$G$4:$G$2503=$A175),入库单!$C$4:$C$2503),""),账期止-$N175)))</f>
        <v/>
      </c>
      <c r="P175" s="17" t="n"/>
    </row>
    <row r="176">
      <c r="A176" s="17" t="inlineStr">
        <is>
          <t>JH0173</t>
        </is>
      </c>
      <c r="B176" s="17" t="inlineStr">
        <is>
          <t>电缆电气</t>
        </is>
      </c>
      <c r="C176" s="17" t="inlineStr">
        <is>
          <t>电缆</t>
        </is>
      </c>
      <c r="D176" s="17" t="inlineStr">
        <is>
          <t>YJLV3*95+1*50</t>
        </is>
      </c>
      <c r="E176" s="17" t="inlineStr">
        <is>
          <t>米</t>
        </is>
      </c>
      <c r="F176" s="17" t="inlineStr">
        <is>
          <t>否</t>
        </is>
      </c>
      <c r="G176" s="23" t="n"/>
      <c r="H176" s="24">
        <f>IF($A176="","",IFERROR(LOOKUP(2,1/((入库单!$G$4:$G$2503=$A176)*(入库单!$Y$4:$Y$2503="正常")*(入库单!$L$4:$L$2503&gt;0)),入库单!$D$4:$D$2503),""))</f>
        <v/>
      </c>
      <c r="I176" s="25">
        <f>IF($A176="","",IFERROR(LOOKUP(2,1/((入库单!$G$4:$G$2503=$A176)*(入库单!$Y$4:$Y$2503="正常")*(入库单!$L$4:$L$2503&gt;0)),入库单!$L$4:$L$2503),0))</f>
        <v/>
      </c>
      <c r="J176" s="26">
        <f>IF($A176="","",IF($H176="A国内",ROUND($I176*倍数A*汇率,0),IF($H176="B当地",ROUND($I176*系数B,0),0)))</f>
        <v/>
      </c>
      <c r="K176" s="24">
        <f>IF($A176="","",IF(COUNTIFS(入库单!$G$4:$G$2503,$A176,入库单!$X$4:$X$2503,"待补价")&gt;0,"待补价",IF(COUNTIFS(入库单!$G$4:$G$2503,$A176,入库单!$X$4:$X$2503,"暂估")&gt;0,"暂估",IF($I176=0,"没有进价","正常"))))</f>
        <v/>
      </c>
      <c r="L176" s="27">
        <f>IF($A176="","",IFERROR(VLOOKUP($A176,库存台账!$A$5:$Y$1204,24,0),0))</f>
        <v/>
      </c>
      <c r="M176" s="26">
        <f>IF($A176="","",IFERROR(VLOOKUP($A176,库存台账!$A$5:$Y$1204,25,0),0))</f>
        <v/>
      </c>
      <c r="N176" s="19">
        <f>IF($A176="","",IFERROR(LOOKUP(2,1/((出库单!$D$4:$D$4003=$A176)*(出库单!$T$4:$T$4003="正常")),出库单!$C$4:$C$4003),""))</f>
        <v/>
      </c>
      <c r="O176" s="28">
        <f>IF($A176="","",IF($L176&lt;=0,"",IF($N176="",IFERROR(账期止-LOOKUP(2,1/(入库单!$G$4:$G$2503=$A176),入库单!$C$4:$C$2503),""),账期止-$N176)))</f>
        <v/>
      </c>
      <c r="P176" s="17" t="n"/>
    </row>
    <row r="177">
      <c r="A177" s="17" t="inlineStr">
        <is>
          <t>JH0174</t>
        </is>
      </c>
      <c r="B177" s="17" t="inlineStr">
        <is>
          <t>电缆电气</t>
        </is>
      </c>
      <c r="C177" s="17" t="inlineStr">
        <is>
          <t>电缆</t>
        </is>
      </c>
      <c r="D177" s="17" t="inlineStr">
        <is>
          <t>YJV-3*10</t>
        </is>
      </c>
      <c r="E177" s="17" t="inlineStr">
        <is>
          <t>米</t>
        </is>
      </c>
      <c r="F177" s="17" t="inlineStr">
        <is>
          <t>否</t>
        </is>
      </c>
      <c r="G177" s="23" t="n"/>
      <c r="H177" s="24">
        <f>IF($A177="","",IFERROR(LOOKUP(2,1/((入库单!$G$4:$G$2503=$A177)*(入库单!$Y$4:$Y$2503="正常")*(入库单!$L$4:$L$2503&gt;0)),入库单!$D$4:$D$2503),""))</f>
        <v/>
      </c>
      <c r="I177" s="25">
        <f>IF($A177="","",IFERROR(LOOKUP(2,1/((入库单!$G$4:$G$2503=$A177)*(入库单!$Y$4:$Y$2503="正常")*(入库单!$L$4:$L$2503&gt;0)),入库单!$L$4:$L$2503),0))</f>
        <v/>
      </c>
      <c r="J177" s="26">
        <f>IF($A177="","",IF($H177="A国内",ROUND($I177*倍数A*汇率,0),IF($H177="B当地",ROUND($I177*系数B,0),0)))</f>
        <v/>
      </c>
      <c r="K177" s="24">
        <f>IF($A177="","",IF(COUNTIFS(入库单!$G$4:$G$2503,$A177,入库单!$X$4:$X$2503,"待补价")&gt;0,"待补价",IF(COUNTIFS(入库单!$G$4:$G$2503,$A177,入库单!$X$4:$X$2503,"暂估")&gt;0,"暂估",IF($I177=0,"没有进价","正常"))))</f>
        <v/>
      </c>
      <c r="L177" s="27">
        <f>IF($A177="","",IFERROR(VLOOKUP($A177,库存台账!$A$5:$Y$1204,24,0),0))</f>
        <v/>
      </c>
      <c r="M177" s="26">
        <f>IF($A177="","",IFERROR(VLOOKUP($A177,库存台账!$A$5:$Y$1204,25,0),0))</f>
        <v/>
      </c>
      <c r="N177" s="19">
        <f>IF($A177="","",IFERROR(LOOKUP(2,1/((出库单!$D$4:$D$4003=$A177)*(出库单!$T$4:$T$4003="正常")),出库单!$C$4:$C$4003),""))</f>
        <v/>
      </c>
      <c r="O177" s="28">
        <f>IF($A177="","",IF($L177&lt;=0,"",IF($N177="",IFERROR(账期止-LOOKUP(2,1/(入库单!$G$4:$G$2503=$A177),入库单!$C$4:$C$2503),""),账期止-$N177)))</f>
        <v/>
      </c>
      <c r="P177" s="17" t="n"/>
    </row>
    <row r="178">
      <c r="A178" s="17" t="inlineStr">
        <is>
          <t>JH0175</t>
        </is>
      </c>
      <c r="B178" s="17" t="inlineStr">
        <is>
          <t>电缆电气</t>
        </is>
      </c>
      <c r="C178" s="17" t="inlineStr">
        <is>
          <t>电缆</t>
        </is>
      </c>
      <c r="D178" s="17" t="inlineStr">
        <is>
          <t>YJV-3*16</t>
        </is>
      </c>
      <c r="E178" s="17" t="inlineStr">
        <is>
          <t>米</t>
        </is>
      </c>
      <c r="F178" s="17" t="inlineStr">
        <is>
          <t>否</t>
        </is>
      </c>
      <c r="G178" s="23" t="n"/>
      <c r="H178" s="24">
        <f>IF($A178="","",IFERROR(LOOKUP(2,1/((入库单!$G$4:$G$2503=$A178)*(入库单!$Y$4:$Y$2503="正常")*(入库单!$L$4:$L$2503&gt;0)),入库单!$D$4:$D$2503),""))</f>
        <v/>
      </c>
      <c r="I178" s="25">
        <f>IF($A178="","",IFERROR(LOOKUP(2,1/((入库单!$G$4:$G$2503=$A178)*(入库单!$Y$4:$Y$2503="正常")*(入库单!$L$4:$L$2503&gt;0)),入库单!$L$4:$L$2503),0))</f>
        <v/>
      </c>
      <c r="J178" s="26">
        <f>IF($A178="","",IF($H178="A国内",ROUND($I178*倍数A*汇率,0),IF($H178="B当地",ROUND($I178*系数B,0),0)))</f>
        <v/>
      </c>
      <c r="K178" s="24">
        <f>IF($A178="","",IF(COUNTIFS(入库单!$G$4:$G$2503,$A178,入库单!$X$4:$X$2503,"待补价")&gt;0,"待补价",IF(COUNTIFS(入库单!$G$4:$G$2503,$A178,入库单!$X$4:$X$2503,"暂估")&gt;0,"暂估",IF($I178=0,"没有进价","正常"))))</f>
        <v/>
      </c>
      <c r="L178" s="27">
        <f>IF($A178="","",IFERROR(VLOOKUP($A178,库存台账!$A$5:$Y$1204,24,0),0))</f>
        <v/>
      </c>
      <c r="M178" s="26">
        <f>IF($A178="","",IFERROR(VLOOKUP($A178,库存台账!$A$5:$Y$1204,25,0),0))</f>
        <v/>
      </c>
      <c r="N178" s="19">
        <f>IF($A178="","",IFERROR(LOOKUP(2,1/((出库单!$D$4:$D$4003=$A178)*(出库单!$T$4:$T$4003="正常")),出库单!$C$4:$C$4003),""))</f>
        <v/>
      </c>
      <c r="O178" s="28">
        <f>IF($A178="","",IF($L178&lt;=0,"",IF($N178="",IFERROR(账期止-LOOKUP(2,1/(入库单!$G$4:$G$2503=$A178),入库单!$C$4:$C$2503),""),账期止-$N178)))</f>
        <v/>
      </c>
      <c r="P178" s="17" t="n"/>
    </row>
    <row r="179">
      <c r="A179" s="17" t="inlineStr">
        <is>
          <t>JH0176</t>
        </is>
      </c>
      <c r="B179" s="17" t="inlineStr">
        <is>
          <t>电缆电气</t>
        </is>
      </c>
      <c r="C179" s="17" t="inlineStr">
        <is>
          <t>电缆</t>
        </is>
      </c>
      <c r="D179" s="17" t="inlineStr">
        <is>
          <t>YJV-3*240+1*120</t>
        </is>
      </c>
      <c r="E179" s="17" t="inlineStr">
        <is>
          <t>米</t>
        </is>
      </c>
      <c r="F179" s="17" t="inlineStr">
        <is>
          <t>否</t>
        </is>
      </c>
      <c r="G179" s="23" t="n"/>
      <c r="H179" s="24">
        <f>IF($A179="","",IFERROR(LOOKUP(2,1/((入库单!$G$4:$G$2503=$A179)*(入库单!$Y$4:$Y$2503="正常")*(入库单!$L$4:$L$2503&gt;0)),入库单!$D$4:$D$2503),""))</f>
        <v/>
      </c>
      <c r="I179" s="25">
        <f>IF($A179="","",IFERROR(LOOKUP(2,1/((入库单!$G$4:$G$2503=$A179)*(入库单!$Y$4:$Y$2503="正常")*(入库单!$L$4:$L$2503&gt;0)),入库单!$L$4:$L$2503),0))</f>
        <v/>
      </c>
      <c r="J179" s="26">
        <f>IF($A179="","",IF($H179="A国内",ROUND($I179*倍数A*汇率,0),IF($H179="B当地",ROUND($I179*系数B,0),0)))</f>
        <v/>
      </c>
      <c r="K179" s="24">
        <f>IF($A179="","",IF(COUNTIFS(入库单!$G$4:$G$2503,$A179,入库单!$X$4:$X$2503,"待补价")&gt;0,"待补价",IF(COUNTIFS(入库单!$G$4:$G$2503,$A179,入库单!$X$4:$X$2503,"暂估")&gt;0,"暂估",IF($I179=0,"没有进价","正常"))))</f>
        <v/>
      </c>
      <c r="L179" s="27">
        <f>IF($A179="","",IFERROR(VLOOKUP($A179,库存台账!$A$5:$Y$1204,24,0),0))</f>
        <v/>
      </c>
      <c r="M179" s="26">
        <f>IF($A179="","",IFERROR(VLOOKUP($A179,库存台账!$A$5:$Y$1204,25,0),0))</f>
        <v/>
      </c>
      <c r="N179" s="19">
        <f>IF($A179="","",IFERROR(LOOKUP(2,1/((出库单!$D$4:$D$4003=$A179)*(出库单!$T$4:$T$4003="正常")),出库单!$C$4:$C$4003),""))</f>
        <v/>
      </c>
      <c r="O179" s="28">
        <f>IF($A179="","",IF($L179&lt;=0,"",IF($N179="",IFERROR(账期止-LOOKUP(2,1/(入库单!$G$4:$G$2503=$A179),入库单!$C$4:$C$2503),""),账期止-$N179)))</f>
        <v/>
      </c>
      <c r="P179" s="17" t="n"/>
    </row>
    <row r="180">
      <c r="A180" s="17" t="inlineStr">
        <is>
          <t>JH0177</t>
        </is>
      </c>
      <c r="B180" s="17" t="inlineStr">
        <is>
          <t>电缆电气</t>
        </is>
      </c>
      <c r="C180" s="17" t="inlineStr">
        <is>
          <t>卷扬机电柜</t>
        </is>
      </c>
      <c r="D180" s="17" t="inlineStr">
        <is>
          <t>蜗轮控制器和转子调速柜</t>
        </is>
      </c>
      <c r="E180" s="17" t="inlineStr">
        <is>
          <t>件</t>
        </is>
      </c>
      <c r="F180" s="17" t="inlineStr">
        <is>
          <t>否</t>
        </is>
      </c>
      <c r="G180" s="23" t="n"/>
      <c r="H180" s="24">
        <f>IF($A180="","",IFERROR(LOOKUP(2,1/((入库单!$G$4:$G$2503=$A180)*(入库单!$Y$4:$Y$2503="正常")*(入库单!$L$4:$L$2503&gt;0)),入库单!$D$4:$D$2503),""))</f>
        <v/>
      </c>
      <c r="I180" s="25">
        <f>IF($A180="","",IFERROR(LOOKUP(2,1/((入库单!$G$4:$G$2503=$A180)*(入库单!$Y$4:$Y$2503="正常")*(入库单!$L$4:$L$2503&gt;0)),入库单!$L$4:$L$2503),0))</f>
        <v/>
      </c>
      <c r="J180" s="26">
        <f>IF($A180="","",IF($H180="A国内",ROUND($I180*倍数A*汇率,0),IF($H180="B当地",ROUND($I180*系数B,0),0)))</f>
        <v/>
      </c>
      <c r="K180" s="24">
        <f>IF($A180="","",IF(COUNTIFS(入库单!$G$4:$G$2503,$A180,入库单!$X$4:$X$2503,"待补价")&gt;0,"待补价",IF(COUNTIFS(入库单!$G$4:$G$2503,$A180,入库单!$X$4:$X$2503,"暂估")&gt;0,"暂估",IF($I180=0,"没有进价","正常"))))</f>
        <v/>
      </c>
      <c r="L180" s="27">
        <f>IF($A180="","",IFERROR(VLOOKUP($A180,库存台账!$A$5:$Y$1204,24,0),0))</f>
        <v/>
      </c>
      <c r="M180" s="26">
        <f>IF($A180="","",IFERROR(VLOOKUP($A180,库存台账!$A$5:$Y$1204,25,0),0))</f>
        <v/>
      </c>
      <c r="N180" s="19">
        <f>IF($A180="","",IFERROR(LOOKUP(2,1/((出库单!$D$4:$D$4003=$A180)*(出库单!$T$4:$T$4003="正常")),出库单!$C$4:$C$4003),""))</f>
        <v/>
      </c>
      <c r="O180" s="28">
        <f>IF($A180="","",IF($L180&lt;=0,"",IF($N180="",IFERROR(账期止-LOOKUP(2,1/(入库单!$G$4:$G$2503=$A180),入库单!$C$4:$C$2503),""),账期止-$N180)))</f>
        <v/>
      </c>
      <c r="P180" s="17" t="n"/>
    </row>
    <row r="181">
      <c r="A181" s="17" t="inlineStr">
        <is>
          <t>JH0178</t>
        </is>
      </c>
      <c r="B181" s="17" t="inlineStr">
        <is>
          <t>电缆电气</t>
        </is>
      </c>
      <c r="C181" s="17" t="inlineStr">
        <is>
          <t>发电机组并机柜</t>
        </is>
      </c>
      <c r="D181" s="17" t="inlineStr">
        <is>
          <t>500KW</t>
        </is>
      </c>
      <c r="E181" s="17" t="inlineStr">
        <is>
          <t>台</t>
        </is>
      </c>
      <c r="F181" s="17" t="inlineStr">
        <is>
          <t>否</t>
        </is>
      </c>
      <c r="G181" s="23" t="n"/>
      <c r="H181" s="24">
        <f>IF($A181="","",IFERROR(LOOKUP(2,1/((入库单!$G$4:$G$2503=$A181)*(入库单!$Y$4:$Y$2503="正常")*(入库单!$L$4:$L$2503&gt;0)),入库单!$D$4:$D$2503),""))</f>
        <v/>
      </c>
      <c r="I181" s="25">
        <f>IF($A181="","",IFERROR(LOOKUP(2,1/((入库单!$G$4:$G$2503=$A181)*(入库单!$Y$4:$Y$2503="正常")*(入库单!$L$4:$L$2503&gt;0)),入库单!$L$4:$L$2503),0))</f>
        <v/>
      </c>
      <c r="J181" s="26">
        <f>IF($A181="","",IF($H181="A国内",ROUND($I181*倍数A*汇率,0),IF($H181="B当地",ROUND($I181*系数B,0),0)))</f>
        <v/>
      </c>
      <c r="K181" s="24">
        <f>IF($A181="","",IF(COUNTIFS(入库单!$G$4:$G$2503,$A181,入库单!$X$4:$X$2503,"待补价")&gt;0,"待补价",IF(COUNTIFS(入库单!$G$4:$G$2503,$A181,入库单!$X$4:$X$2503,"暂估")&gt;0,"暂估",IF($I181=0,"没有进价","正常"))))</f>
        <v/>
      </c>
      <c r="L181" s="27">
        <f>IF($A181="","",IFERROR(VLOOKUP($A181,库存台账!$A$5:$Y$1204,24,0),0))</f>
        <v/>
      </c>
      <c r="M181" s="26">
        <f>IF($A181="","",IFERROR(VLOOKUP($A181,库存台账!$A$5:$Y$1204,25,0),0))</f>
        <v/>
      </c>
      <c r="N181" s="19">
        <f>IF($A181="","",IFERROR(LOOKUP(2,1/((出库单!$D$4:$D$4003=$A181)*(出库单!$T$4:$T$4003="正常")),出库单!$C$4:$C$4003),""))</f>
        <v/>
      </c>
      <c r="O181" s="28">
        <f>IF($A181="","",IF($L181&lt;=0,"",IF($N181="",IFERROR(账期止-LOOKUP(2,1/(入库单!$G$4:$G$2503=$A181),入库单!$C$4:$C$2503),""),账期止-$N181)))</f>
        <v/>
      </c>
      <c r="P181" s="17" t="n"/>
    </row>
    <row r="182">
      <c r="A182" s="17" t="inlineStr">
        <is>
          <t>JH0179</t>
        </is>
      </c>
      <c r="B182" s="17" t="inlineStr">
        <is>
          <t>机械配件</t>
        </is>
      </c>
      <c r="C182" s="17" t="inlineStr">
        <is>
          <t>1</t>
        </is>
      </c>
      <c r="D182" s="17" t="inlineStr">
        <is>
          <t>铜排+配件1箱</t>
        </is>
      </c>
      <c r="E182" s="17" t="inlineStr">
        <is>
          <t>套</t>
        </is>
      </c>
      <c r="F182" s="17" t="inlineStr">
        <is>
          <t>否</t>
        </is>
      </c>
      <c r="G182" s="23" t="n"/>
      <c r="H182" s="24">
        <f>IF($A182="","",IFERROR(LOOKUP(2,1/((入库单!$G$4:$G$2503=$A182)*(入库单!$Y$4:$Y$2503="正常")*(入库单!$L$4:$L$2503&gt;0)),入库单!$D$4:$D$2503),""))</f>
        <v/>
      </c>
      <c r="I182" s="25">
        <f>IF($A182="","",IFERROR(LOOKUP(2,1/((入库单!$G$4:$G$2503=$A182)*(入库单!$Y$4:$Y$2503="正常")*(入库单!$L$4:$L$2503&gt;0)),入库单!$L$4:$L$2503),0))</f>
        <v/>
      </c>
      <c r="J182" s="26">
        <f>IF($A182="","",IF($H182="A国内",ROUND($I182*倍数A*汇率,0),IF($H182="B当地",ROUND($I182*系数B,0),0)))</f>
        <v/>
      </c>
      <c r="K182" s="24">
        <f>IF($A182="","",IF(COUNTIFS(入库单!$G$4:$G$2503,$A182,入库单!$X$4:$X$2503,"待补价")&gt;0,"待补价",IF(COUNTIFS(入库单!$G$4:$G$2503,$A182,入库单!$X$4:$X$2503,"暂估")&gt;0,"暂估",IF($I182=0,"没有进价","正常"))))</f>
        <v/>
      </c>
      <c r="L182" s="27">
        <f>IF($A182="","",IFERROR(VLOOKUP($A182,库存台账!$A$5:$Y$1204,24,0),0))</f>
        <v/>
      </c>
      <c r="M182" s="26">
        <f>IF($A182="","",IFERROR(VLOOKUP($A182,库存台账!$A$5:$Y$1204,25,0),0))</f>
        <v/>
      </c>
      <c r="N182" s="19">
        <f>IF($A182="","",IFERROR(LOOKUP(2,1/((出库单!$D$4:$D$4003=$A182)*(出库单!$T$4:$T$4003="正常")),出库单!$C$4:$C$4003),""))</f>
        <v/>
      </c>
      <c r="O182" s="28">
        <f>IF($A182="","",IF($L182&lt;=0,"",IF($N182="",IFERROR(账期止-LOOKUP(2,1/(入库单!$G$4:$G$2503=$A182),入库单!$C$4:$C$2503),""),账期止-$N182)))</f>
        <v/>
      </c>
      <c r="P182" s="17" t="n"/>
    </row>
    <row r="183">
      <c r="A183" s="17" t="inlineStr">
        <is>
          <t>JH0180</t>
        </is>
      </c>
      <c r="B183" s="17" t="inlineStr">
        <is>
          <t>其他</t>
        </is>
      </c>
      <c r="C183" s="17" t="inlineStr">
        <is>
          <t>扒胎机</t>
        </is>
      </c>
      <c r="D183" s="17" t="inlineStr">
        <is>
          <t>D335</t>
        </is>
      </c>
      <c r="E183" s="17" t="inlineStr">
        <is>
          <t>台</t>
        </is>
      </c>
      <c r="F183" s="17" t="inlineStr">
        <is>
          <t>否</t>
        </is>
      </c>
      <c r="G183" s="23" t="n"/>
      <c r="H183" s="24">
        <f>IF($A183="","",IFERROR(LOOKUP(2,1/((入库单!$G$4:$G$2503=$A183)*(入库单!$Y$4:$Y$2503="正常")*(入库单!$L$4:$L$2503&gt;0)),入库单!$D$4:$D$2503),""))</f>
        <v/>
      </c>
      <c r="I183" s="25">
        <f>IF($A183="","",IFERROR(LOOKUP(2,1/((入库单!$G$4:$G$2503=$A183)*(入库单!$Y$4:$Y$2503="正常")*(入库单!$L$4:$L$2503&gt;0)),入库单!$L$4:$L$2503),0))</f>
        <v/>
      </c>
      <c r="J183" s="26">
        <f>IF($A183="","",IF($H183="A国内",ROUND($I183*倍数A*汇率,0),IF($H183="B当地",ROUND($I183*系数B,0),0)))</f>
        <v/>
      </c>
      <c r="K183" s="24">
        <f>IF($A183="","",IF(COUNTIFS(入库单!$G$4:$G$2503,$A183,入库单!$X$4:$X$2503,"待补价")&gt;0,"待补价",IF(COUNTIFS(入库单!$G$4:$G$2503,$A183,入库单!$X$4:$X$2503,"暂估")&gt;0,"暂估",IF($I183=0,"没有进价","正常"))))</f>
        <v/>
      </c>
      <c r="L183" s="27">
        <f>IF($A183="","",IFERROR(VLOOKUP($A183,库存台账!$A$5:$Y$1204,24,0),0))</f>
        <v/>
      </c>
      <c r="M183" s="26">
        <f>IF($A183="","",IFERROR(VLOOKUP($A183,库存台账!$A$5:$Y$1204,25,0),0))</f>
        <v/>
      </c>
      <c r="N183" s="19">
        <f>IF($A183="","",IFERROR(LOOKUP(2,1/((出库单!$D$4:$D$4003=$A183)*(出库单!$T$4:$T$4003="正常")),出库单!$C$4:$C$4003),""))</f>
        <v/>
      </c>
      <c r="O183" s="28">
        <f>IF($A183="","",IF($L183&lt;=0,"",IF($N183="",IFERROR(账期止-LOOKUP(2,1/(入库单!$G$4:$G$2503=$A183),入库单!$C$4:$C$2503),""),账期止-$N183)))</f>
        <v/>
      </c>
      <c r="P183" s="17" t="n"/>
    </row>
    <row r="184">
      <c r="A184" s="17" t="inlineStr">
        <is>
          <t>JH0181</t>
        </is>
      </c>
      <c r="B184" s="17" t="inlineStr">
        <is>
          <t>电缆电气</t>
        </is>
      </c>
      <c r="C184" s="17" t="inlineStr">
        <is>
          <t>电机180KW-8</t>
        </is>
      </c>
      <c r="D184" s="17" t="inlineStr"/>
      <c r="E184" s="17" t="inlineStr">
        <is>
          <t>台</t>
        </is>
      </c>
      <c r="F184" s="17" t="inlineStr">
        <is>
          <t>否</t>
        </is>
      </c>
      <c r="G184" s="23" t="n"/>
      <c r="H184" s="24">
        <f>IF($A184="","",IFERROR(LOOKUP(2,1/((入库单!$G$4:$G$2503=$A184)*(入库单!$Y$4:$Y$2503="正常")*(入库单!$L$4:$L$2503&gt;0)),入库单!$D$4:$D$2503),""))</f>
        <v/>
      </c>
      <c r="I184" s="25">
        <f>IF($A184="","",IFERROR(LOOKUP(2,1/((入库单!$G$4:$G$2503=$A184)*(入库单!$Y$4:$Y$2503="正常")*(入库单!$L$4:$L$2503&gt;0)),入库单!$L$4:$L$2503),0))</f>
        <v/>
      </c>
      <c r="J184" s="26">
        <f>IF($A184="","",IF($H184="A国内",ROUND($I184*倍数A*汇率,0),IF($H184="B当地",ROUND($I184*系数B,0),0)))</f>
        <v/>
      </c>
      <c r="K184" s="24">
        <f>IF($A184="","",IF(COUNTIFS(入库单!$G$4:$G$2503,$A184,入库单!$X$4:$X$2503,"待补价")&gt;0,"待补价",IF(COUNTIFS(入库单!$G$4:$G$2503,$A184,入库单!$X$4:$X$2503,"暂估")&gt;0,"暂估",IF($I184=0,"没有进价","正常"))))</f>
        <v/>
      </c>
      <c r="L184" s="27">
        <f>IF($A184="","",IFERROR(VLOOKUP($A184,库存台账!$A$5:$Y$1204,24,0),0))</f>
        <v/>
      </c>
      <c r="M184" s="26">
        <f>IF($A184="","",IFERROR(VLOOKUP($A184,库存台账!$A$5:$Y$1204,25,0),0))</f>
        <v/>
      </c>
      <c r="N184" s="19">
        <f>IF($A184="","",IFERROR(LOOKUP(2,1/((出库单!$D$4:$D$4003=$A184)*(出库单!$T$4:$T$4003="正常")),出库单!$C$4:$C$4003),""))</f>
        <v/>
      </c>
      <c r="O184" s="28">
        <f>IF($A184="","",IF($L184&lt;=0,"",IF($N184="",IFERROR(账期止-LOOKUP(2,1/(入库单!$G$4:$G$2503=$A184),入库单!$C$4:$C$2503),""),账期止-$N184)))</f>
        <v/>
      </c>
      <c r="P184" s="17" t="n"/>
    </row>
    <row r="185">
      <c r="A185" s="17" t="inlineStr">
        <is>
          <t>JH0182</t>
        </is>
      </c>
      <c r="B185" s="17" t="inlineStr">
        <is>
          <t>机械设备</t>
        </is>
      </c>
      <c r="C185" s="17" t="inlineStr">
        <is>
          <t>下轴头</t>
        </is>
      </c>
      <c r="D185" s="17" t="inlineStr">
        <is>
          <t>1500分级机</t>
        </is>
      </c>
      <c r="E185" s="17" t="inlineStr">
        <is>
          <t>件</t>
        </is>
      </c>
      <c r="F185" s="17" t="inlineStr">
        <is>
          <t>否</t>
        </is>
      </c>
      <c r="G185" s="23" t="n"/>
      <c r="H185" s="24">
        <f>IF($A185="","",IFERROR(LOOKUP(2,1/((入库单!$G$4:$G$2503=$A185)*(入库单!$Y$4:$Y$2503="正常")*(入库单!$L$4:$L$2503&gt;0)),入库单!$D$4:$D$2503),""))</f>
        <v/>
      </c>
      <c r="I185" s="25">
        <f>IF($A185="","",IFERROR(LOOKUP(2,1/((入库单!$G$4:$G$2503=$A185)*(入库单!$Y$4:$Y$2503="正常")*(入库单!$L$4:$L$2503&gt;0)),入库单!$L$4:$L$2503),0))</f>
        <v/>
      </c>
      <c r="J185" s="26">
        <f>IF($A185="","",IF($H185="A国内",ROUND($I185*倍数A*汇率,0),IF($H185="B当地",ROUND($I185*系数B,0),0)))</f>
        <v/>
      </c>
      <c r="K185" s="24">
        <f>IF($A185="","",IF(COUNTIFS(入库单!$G$4:$G$2503,$A185,入库单!$X$4:$X$2503,"待补价")&gt;0,"待补价",IF(COUNTIFS(入库单!$G$4:$G$2503,$A185,入库单!$X$4:$X$2503,"暂估")&gt;0,"暂估",IF($I185=0,"没有进价","正常"))))</f>
        <v/>
      </c>
      <c r="L185" s="27">
        <f>IF($A185="","",IFERROR(VLOOKUP($A185,库存台账!$A$5:$Y$1204,24,0),0))</f>
        <v/>
      </c>
      <c r="M185" s="26">
        <f>IF($A185="","",IFERROR(VLOOKUP($A185,库存台账!$A$5:$Y$1204,25,0),0))</f>
        <v/>
      </c>
      <c r="N185" s="19">
        <f>IF($A185="","",IFERROR(LOOKUP(2,1/((出库单!$D$4:$D$4003=$A185)*(出库单!$T$4:$T$4003="正常")),出库单!$C$4:$C$4003),""))</f>
        <v/>
      </c>
      <c r="O185" s="28">
        <f>IF($A185="","",IF($L185&lt;=0,"",IF($N185="",IFERROR(账期止-LOOKUP(2,1/(入库单!$G$4:$G$2503=$A185),入库单!$C$4:$C$2503),""),账期止-$N185)))</f>
        <v/>
      </c>
      <c r="P185" s="17" t="n"/>
    </row>
    <row r="186">
      <c r="A186" s="17" t="inlineStr">
        <is>
          <t>JH0183</t>
        </is>
      </c>
      <c r="B186" s="17" t="inlineStr">
        <is>
          <t>电缆电气</t>
        </is>
      </c>
      <c r="C186" s="17" t="inlineStr">
        <is>
          <t>电机3KW-6</t>
        </is>
      </c>
      <c r="D186" s="17" t="inlineStr">
        <is>
          <t>1500搅拌桶配件</t>
        </is>
      </c>
      <c r="E186" s="17" t="inlineStr">
        <is>
          <t>台</t>
        </is>
      </c>
      <c r="F186" s="17" t="inlineStr">
        <is>
          <t>否</t>
        </is>
      </c>
      <c r="G186" s="23" t="n"/>
      <c r="H186" s="24">
        <f>IF($A186="","",IFERROR(LOOKUP(2,1/((入库单!$G$4:$G$2503=$A186)*(入库单!$Y$4:$Y$2503="正常")*(入库单!$L$4:$L$2503&gt;0)),入库单!$D$4:$D$2503),""))</f>
        <v/>
      </c>
      <c r="I186" s="25">
        <f>IF($A186="","",IFERROR(LOOKUP(2,1/((入库单!$G$4:$G$2503=$A186)*(入库单!$Y$4:$Y$2503="正常")*(入库单!$L$4:$L$2503&gt;0)),入库单!$L$4:$L$2503),0))</f>
        <v/>
      </c>
      <c r="J186" s="26">
        <f>IF($A186="","",IF($H186="A国内",ROUND($I186*倍数A*汇率,0),IF($H186="B当地",ROUND($I186*系数B,0),0)))</f>
        <v/>
      </c>
      <c r="K186" s="24">
        <f>IF($A186="","",IF(COUNTIFS(入库单!$G$4:$G$2503,$A186,入库单!$X$4:$X$2503,"待补价")&gt;0,"待补价",IF(COUNTIFS(入库单!$G$4:$G$2503,$A186,入库单!$X$4:$X$2503,"暂估")&gt;0,"暂估",IF($I186=0,"没有进价","正常"))))</f>
        <v/>
      </c>
      <c r="L186" s="27">
        <f>IF($A186="","",IFERROR(VLOOKUP($A186,库存台账!$A$5:$Y$1204,24,0),0))</f>
        <v/>
      </c>
      <c r="M186" s="26">
        <f>IF($A186="","",IFERROR(VLOOKUP($A186,库存台账!$A$5:$Y$1204,25,0),0))</f>
        <v/>
      </c>
      <c r="N186" s="19">
        <f>IF($A186="","",IFERROR(LOOKUP(2,1/((出库单!$D$4:$D$4003=$A186)*(出库单!$T$4:$T$4003="正常")),出库单!$C$4:$C$4003),""))</f>
        <v/>
      </c>
      <c r="O186" s="28">
        <f>IF($A186="","",IF($L186&lt;=0,"",IF($N186="",IFERROR(账期止-LOOKUP(2,1/(入库单!$G$4:$G$2503=$A186),入库单!$C$4:$C$2503),""),账期止-$N186)))</f>
        <v/>
      </c>
      <c r="P186" s="17" t="n"/>
    </row>
    <row r="187">
      <c r="A187" s="17" t="inlineStr">
        <is>
          <t>JH0184</t>
        </is>
      </c>
      <c r="B187" s="17" t="inlineStr">
        <is>
          <t>电缆电气</t>
        </is>
      </c>
      <c r="C187" s="17" t="inlineStr">
        <is>
          <t>电机5.5KW-6</t>
        </is>
      </c>
      <c r="D187" s="17" t="inlineStr">
        <is>
          <t>2000搅拌桶配件</t>
        </is>
      </c>
      <c r="E187" s="17" t="inlineStr">
        <is>
          <t>台</t>
        </is>
      </c>
      <c r="F187" s="17" t="inlineStr">
        <is>
          <t>否</t>
        </is>
      </c>
      <c r="G187" s="23" t="n"/>
      <c r="H187" s="24">
        <f>IF($A187="","",IFERROR(LOOKUP(2,1/((入库单!$G$4:$G$2503=$A187)*(入库单!$Y$4:$Y$2503="正常")*(入库单!$L$4:$L$2503&gt;0)),入库单!$D$4:$D$2503),""))</f>
        <v/>
      </c>
      <c r="I187" s="25">
        <f>IF($A187="","",IFERROR(LOOKUP(2,1/((入库单!$G$4:$G$2503=$A187)*(入库单!$Y$4:$Y$2503="正常")*(入库单!$L$4:$L$2503&gt;0)),入库单!$L$4:$L$2503),0))</f>
        <v/>
      </c>
      <c r="J187" s="26">
        <f>IF($A187="","",IF($H187="A国内",ROUND($I187*倍数A*汇率,0),IF($H187="B当地",ROUND($I187*系数B,0),0)))</f>
        <v/>
      </c>
      <c r="K187" s="24">
        <f>IF($A187="","",IF(COUNTIFS(入库单!$G$4:$G$2503,$A187,入库单!$X$4:$X$2503,"待补价")&gt;0,"待补价",IF(COUNTIFS(入库单!$G$4:$G$2503,$A187,入库单!$X$4:$X$2503,"暂估")&gt;0,"暂估",IF($I187=0,"没有进价","正常"))))</f>
        <v/>
      </c>
      <c r="L187" s="27">
        <f>IF($A187="","",IFERROR(VLOOKUP($A187,库存台账!$A$5:$Y$1204,24,0),0))</f>
        <v/>
      </c>
      <c r="M187" s="26">
        <f>IF($A187="","",IFERROR(VLOOKUP($A187,库存台账!$A$5:$Y$1204,25,0),0))</f>
        <v/>
      </c>
      <c r="N187" s="19">
        <f>IF($A187="","",IFERROR(LOOKUP(2,1/((出库单!$D$4:$D$4003=$A187)*(出库单!$T$4:$T$4003="正常")),出库单!$C$4:$C$4003),""))</f>
        <v/>
      </c>
      <c r="O187" s="28">
        <f>IF($A187="","",IF($L187&lt;=0,"",IF($N187="",IFERROR(账期止-LOOKUP(2,1/(入库单!$G$4:$G$2503=$A187),入库单!$C$4:$C$2503),""),账期止-$N187)))</f>
        <v/>
      </c>
      <c r="P187" s="17" t="n"/>
    </row>
    <row r="188">
      <c r="A188" s="17" t="inlineStr">
        <is>
          <t>JH0185</t>
        </is>
      </c>
      <c r="B188" s="17" t="inlineStr">
        <is>
          <t>磨矿介质</t>
        </is>
      </c>
      <c r="C188" s="17" t="inlineStr">
        <is>
          <t>钢球</t>
        </is>
      </c>
      <c r="D188" s="17" t="inlineStr">
        <is>
          <t>φ100</t>
        </is>
      </c>
      <c r="E188" s="17" t="inlineStr">
        <is>
          <t>吨</t>
        </is>
      </c>
      <c r="F188" s="17" t="inlineStr">
        <is>
          <t>是</t>
        </is>
      </c>
      <c r="G188" s="23" t="n"/>
      <c r="H188" s="24">
        <f>IF($A188="","",IFERROR(LOOKUP(2,1/((入库单!$G$4:$G$2503=$A188)*(入库单!$Y$4:$Y$2503="正常")*(入库单!$L$4:$L$2503&gt;0)),入库单!$D$4:$D$2503),""))</f>
        <v/>
      </c>
      <c r="I188" s="25">
        <f>IF($A188="","",IFERROR(LOOKUP(2,1/((入库单!$G$4:$G$2503=$A188)*(入库单!$Y$4:$Y$2503="正常")*(入库单!$L$4:$L$2503&gt;0)),入库单!$L$4:$L$2503),0))</f>
        <v/>
      </c>
      <c r="J188" s="26">
        <f>IF($A188="","",IF($H188="A国内",ROUND($I188*倍数A*汇率,0),IF($H188="B当地",ROUND($I188*系数B,0),0)))</f>
        <v/>
      </c>
      <c r="K188" s="24">
        <f>IF($A188="","",IF(COUNTIFS(入库单!$G$4:$G$2503,$A188,入库单!$X$4:$X$2503,"待补价")&gt;0,"待补价",IF(COUNTIFS(入库单!$G$4:$G$2503,$A188,入库单!$X$4:$X$2503,"暂估")&gt;0,"暂估",IF($I188=0,"没有进价","正常"))))</f>
        <v/>
      </c>
      <c r="L188" s="27">
        <f>IF($A188="","",IFERROR(VLOOKUP($A188,库存台账!$A$5:$Y$1204,24,0),0))</f>
        <v/>
      </c>
      <c r="M188" s="26">
        <f>IF($A188="","",IFERROR(VLOOKUP($A188,库存台账!$A$5:$Y$1204,25,0),0))</f>
        <v/>
      </c>
      <c r="N188" s="19">
        <f>IF($A188="","",IFERROR(LOOKUP(2,1/((出库单!$D$4:$D$4003=$A188)*(出库单!$T$4:$T$4003="正常")),出库单!$C$4:$C$4003),""))</f>
        <v/>
      </c>
      <c r="O188" s="28">
        <f>IF($A188="","",IF($L188&lt;=0,"",IF($N188="",IFERROR(账期止-LOOKUP(2,1/(入库单!$G$4:$G$2503=$A188),入库单!$C$4:$C$2503),""),账期止-$N188)))</f>
        <v/>
      </c>
      <c r="P188" s="17" t="n"/>
    </row>
    <row r="189">
      <c r="A189" s="17" t="inlineStr">
        <is>
          <t>JH0186</t>
        </is>
      </c>
      <c r="B189" s="17" t="inlineStr">
        <is>
          <t>磨矿介质</t>
        </is>
      </c>
      <c r="C189" s="17" t="inlineStr">
        <is>
          <t>钢球</t>
        </is>
      </c>
      <c r="D189" s="17" t="inlineStr">
        <is>
          <t>Φ30</t>
        </is>
      </c>
      <c r="E189" s="17" t="inlineStr">
        <is>
          <t>吨</t>
        </is>
      </c>
      <c r="F189" s="17" t="inlineStr">
        <is>
          <t>是</t>
        </is>
      </c>
      <c r="G189" s="23" t="n"/>
      <c r="H189" s="24">
        <f>IF($A189="","",IFERROR(LOOKUP(2,1/((入库单!$G$4:$G$2503=$A189)*(入库单!$Y$4:$Y$2503="正常")*(入库单!$L$4:$L$2503&gt;0)),入库单!$D$4:$D$2503),""))</f>
        <v/>
      </c>
      <c r="I189" s="25">
        <f>IF($A189="","",IFERROR(LOOKUP(2,1/((入库单!$G$4:$G$2503=$A189)*(入库单!$Y$4:$Y$2503="正常")*(入库单!$L$4:$L$2503&gt;0)),入库单!$L$4:$L$2503),0))</f>
        <v/>
      </c>
      <c r="J189" s="26">
        <f>IF($A189="","",IF($H189="A国内",ROUND($I189*倍数A*汇率,0),IF($H189="B当地",ROUND($I189*系数B,0),0)))</f>
        <v/>
      </c>
      <c r="K189" s="24">
        <f>IF($A189="","",IF(COUNTIFS(入库单!$G$4:$G$2503,$A189,入库单!$X$4:$X$2503,"待补价")&gt;0,"待补价",IF(COUNTIFS(入库单!$G$4:$G$2503,$A189,入库单!$X$4:$X$2503,"暂估")&gt;0,"暂估",IF($I189=0,"没有进价","正常"))))</f>
        <v/>
      </c>
      <c r="L189" s="27">
        <f>IF($A189="","",IFERROR(VLOOKUP($A189,库存台账!$A$5:$Y$1204,24,0),0))</f>
        <v/>
      </c>
      <c r="M189" s="26">
        <f>IF($A189="","",IFERROR(VLOOKUP($A189,库存台账!$A$5:$Y$1204,25,0),0))</f>
        <v/>
      </c>
      <c r="N189" s="19">
        <f>IF($A189="","",IFERROR(LOOKUP(2,1/((出库单!$D$4:$D$4003=$A189)*(出库单!$T$4:$T$4003="正常")),出库单!$C$4:$C$4003),""))</f>
        <v/>
      </c>
      <c r="O189" s="28">
        <f>IF($A189="","",IF($L189&lt;=0,"",IF($N189="",IFERROR(账期止-LOOKUP(2,1/(入库单!$G$4:$G$2503=$A189),入库单!$C$4:$C$2503),""),账期止-$N189)))</f>
        <v/>
      </c>
      <c r="P189" s="17" t="n"/>
    </row>
    <row r="190">
      <c r="A190" s="17" t="inlineStr">
        <is>
          <t>JH0187</t>
        </is>
      </c>
      <c r="B190" s="17" t="inlineStr">
        <is>
          <t>磨矿介质</t>
        </is>
      </c>
      <c r="C190" s="17" t="inlineStr">
        <is>
          <t>钢球</t>
        </is>
      </c>
      <c r="D190" s="17" t="inlineStr">
        <is>
          <t>Φ50</t>
        </is>
      </c>
      <c r="E190" s="17" t="inlineStr">
        <is>
          <t>吨</t>
        </is>
      </c>
      <c r="F190" s="17" t="inlineStr">
        <is>
          <t>是</t>
        </is>
      </c>
      <c r="G190" s="23" t="n"/>
      <c r="H190" s="24">
        <f>IF($A190="","",IFERROR(LOOKUP(2,1/((入库单!$G$4:$G$2503=$A190)*(入库单!$Y$4:$Y$2503="正常")*(入库单!$L$4:$L$2503&gt;0)),入库单!$D$4:$D$2503),""))</f>
        <v/>
      </c>
      <c r="I190" s="25">
        <f>IF($A190="","",IFERROR(LOOKUP(2,1/((入库单!$G$4:$G$2503=$A190)*(入库单!$Y$4:$Y$2503="正常")*(入库单!$L$4:$L$2503&gt;0)),入库单!$L$4:$L$2503),0))</f>
        <v/>
      </c>
      <c r="J190" s="26">
        <f>IF($A190="","",IF($H190="A国内",ROUND($I190*倍数A*汇率,0),IF($H190="B当地",ROUND($I190*系数B,0),0)))</f>
        <v/>
      </c>
      <c r="K190" s="24">
        <f>IF($A190="","",IF(COUNTIFS(入库单!$G$4:$G$2503,$A190,入库单!$X$4:$X$2503,"待补价")&gt;0,"待补价",IF(COUNTIFS(入库单!$G$4:$G$2503,$A190,入库单!$X$4:$X$2503,"暂估")&gt;0,"暂估",IF($I190=0,"没有进价","正常"))))</f>
        <v/>
      </c>
      <c r="L190" s="27">
        <f>IF($A190="","",IFERROR(VLOOKUP($A190,库存台账!$A$5:$Y$1204,24,0),0))</f>
        <v/>
      </c>
      <c r="M190" s="26">
        <f>IF($A190="","",IFERROR(VLOOKUP($A190,库存台账!$A$5:$Y$1204,25,0),0))</f>
        <v/>
      </c>
      <c r="N190" s="19">
        <f>IF($A190="","",IFERROR(LOOKUP(2,1/((出库单!$D$4:$D$4003=$A190)*(出库单!$T$4:$T$4003="正常")),出库单!$C$4:$C$4003),""))</f>
        <v/>
      </c>
      <c r="O190" s="28">
        <f>IF($A190="","",IF($L190&lt;=0,"",IF($N190="",IFERROR(账期止-LOOKUP(2,1/(入库单!$G$4:$G$2503=$A190),入库单!$C$4:$C$2503),""),账期止-$N190)))</f>
        <v/>
      </c>
      <c r="P190" s="17" t="n"/>
    </row>
    <row r="191">
      <c r="A191" s="17" t="inlineStr">
        <is>
          <t>JH0188</t>
        </is>
      </c>
      <c r="B191" s="17" t="inlineStr">
        <is>
          <t>电缆电气</t>
        </is>
      </c>
      <c r="C191" s="17" t="inlineStr">
        <is>
          <t>断路器</t>
        </is>
      </c>
      <c r="D191" s="17" t="inlineStr">
        <is>
          <t>CDM3S-250S/4300B 250A</t>
        </is>
      </c>
      <c r="E191" s="17" t="inlineStr">
        <is>
          <t>个</t>
        </is>
      </c>
      <c r="F191" s="17" t="inlineStr">
        <is>
          <t>否</t>
        </is>
      </c>
      <c r="G191" s="23" t="n"/>
      <c r="H191" s="24">
        <f>IF($A191="","",IFERROR(LOOKUP(2,1/((入库单!$G$4:$G$2503=$A191)*(入库单!$Y$4:$Y$2503="正常")*(入库单!$L$4:$L$2503&gt;0)),入库单!$D$4:$D$2503),""))</f>
        <v/>
      </c>
      <c r="I191" s="25">
        <f>IF($A191="","",IFERROR(LOOKUP(2,1/((入库单!$G$4:$G$2503=$A191)*(入库单!$Y$4:$Y$2503="正常")*(入库单!$L$4:$L$2503&gt;0)),入库单!$L$4:$L$2503),0))</f>
        <v/>
      </c>
      <c r="J191" s="26">
        <f>IF($A191="","",IF($H191="A国内",ROUND($I191*倍数A*汇率,0),IF($H191="B当地",ROUND($I191*系数B,0),0)))</f>
        <v/>
      </c>
      <c r="K191" s="24">
        <f>IF($A191="","",IF(COUNTIFS(入库单!$G$4:$G$2503,$A191,入库单!$X$4:$X$2503,"待补价")&gt;0,"待补价",IF(COUNTIFS(入库单!$G$4:$G$2503,$A191,入库单!$X$4:$X$2503,"暂估")&gt;0,"暂估",IF($I191=0,"没有进价","正常"))))</f>
        <v/>
      </c>
      <c r="L191" s="27">
        <f>IF($A191="","",IFERROR(VLOOKUP($A191,库存台账!$A$5:$Y$1204,24,0),0))</f>
        <v/>
      </c>
      <c r="M191" s="26">
        <f>IF($A191="","",IFERROR(VLOOKUP($A191,库存台账!$A$5:$Y$1204,25,0),0))</f>
        <v/>
      </c>
      <c r="N191" s="19">
        <f>IF($A191="","",IFERROR(LOOKUP(2,1/((出库单!$D$4:$D$4003=$A191)*(出库单!$T$4:$T$4003="正常")),出库单!$C$4:$C$4003),""))</f>
        <v/>
      </c>
      <c r="O191" s="28">
        <f>IF($A191="","",IF($L191&lt;=0,"",IF($N191="",IFERROR(账期止-LOOKUP(2,1/(入库单!$G$4:$G$2503=$A191),入库单!$C$4:$C$2503),""),账期止-$N191)))</f>
        <v/>
      </c>
      <c r="P191" s="17" t="n"/>
    </row>
    <row r="192">
      <c r="A192" s="17" t="inlineStr">
        <is>
          <t>JH0189</t>
        </is>
      </c>
      <c r="B192" s="17" t="inlineStr">
        <is>
          <t>电缆电气</t>
        </is>
      </c>
      <c r="C192" s="17" t="inlineStr">
        <is>
          <t>断路器</t>
        </is>
      </c>
      <c r="D192" s="17" t="inlineStr">
        <is>
          <t>CDM3S-400F/3300 400A</t>
        </is>
      </c>
      <c r="E192" s="17" t="inlineStr">
        <is>
          <t>个</t>
        </is>
      </c>
      <c r="F192" s="17" t="inlineStr">
        <is>
          <t>否</t>
        </is>
      </c>
      <c r="G192" s="23" t="n"/>
      <c r="H192" s="24">
        <f>IF($A192="","",IFERROR(LOOKUP(2,1/((入库单!$G$4:$G$2503=$A192)*(入库单!$Y$4:$Y$2503="正常")*(入库单!$L$4:$L$2503&gt;0)),入库单!$D$4:$D$2503),""))</f>
        <v/>
      </c>
      <c r="I192" s="25">
        <f>IF($A192="","",IFERROR(LOOKUP(2,1/((入库单!$G$4:$G$2503=$A192)*(入库单!$Y$4:$Y$2503="正常")*(入库单!$L$4:$L$2503&gt;0)),入库单!$L$4:$L$2503),0))</f>
        <v/>
      </c>
      <c r="J192" s="26">
        <f>IF($A192="","",IF($H192="A国内",ROUND($I192*倍数A*汇率,0),IF($H192="B当地",ROUND($I192*系数B,0),0)))</f>
        <v/>
      </c>
      <c r="K192" s="24">
        <f>IF($A192="","",IF(COUNTIFS(入库单!$G$4:$G$2503,$A192,入库单!$X$4:$X$2503,"待补价")&gt;0,"待补价",IF(COUNTIFS(入库单!$G$4:$G$2503,$A192,入库单!$X$4:$X$2503,"暂估")&gt;0,"暂估",IF($I192=0,"没有进价","正常"))))</f>
        <v/>
      </c>
      <c r="L192" s="27">
        <f>IF($A192="","",IFERROR(VLOOKUP($A192,库存台账!$A$5:$Y$1204,24,0),0))</f>
        <v/>
      </c>
      <c r="M192" s="26">
        <f>IF($A192="","",IFERROR(VLOOKUP($A192,库存台账!$A$5:$Y$1204,25,0),0))</f>
        <v/>
      </c>
      <c r="N192" s="19">
        <f>IF($A192="","",IFERROR(LOOKUP(2,1/((出库单!$D$4:$D$4003=$A192)*(出库单!$T$4:$T$4003="正常")),出库单!$C$4:$C$4003),""))</f>
        <v/>
      </c>
      <c r="O192" s="28">
        <f>IF($A192="","",IF($L192&lt;=0,"",IF($N192="",IFERROR(账期止-LOOKUP(2,1/(入库单!$G$4:$G$2503=$A192),入库单!$C$4:$C$2503),""),账期止-$N192)))</f>
        <v/>
      </c>
      <c r="P192" s="17" t="n"/>
    </row>
    <row r="193">
      <c r="A193" s="17" t="inlineStr">
        <is>
          <t>JH0190</t>
        </is>
      </c>
      <c r="B193" s="17" t="inlineStr">
        <is>
          <t>其他</t>
        </is>
      </c>
      <c r="C193" s="17" t="inlineStr">
        <is>
          <t>零线排</t>
        </is>
      </c>
      <c r="D193" s="17" t="inlineStr">
        <is>
          <t>七孔*25</t>
        </is>
      </c>
      <c r="E193" s="17" t="inlineStr">
        <is>
          <t>个</t>
        </is>
      </c>
      <c r="F193" s="17" t="inlineStr">
        <is>
          <t>否</t>
        </is>
      </c>
      <c r="G193" s="23" t="n"/>
      <c r="H193" s="24">
        <f>IF($A193="","",IFERROR(LOOKUP(2,1/((入库单!$G$4:$G$2503=$A193)*(入库单!$Y$4:$Y$2503="正常")*(入库单!$L$4:$L$2503&gt;0)),入库单!$D$4:$D$2503),""))</f>
        <v/>
      </c>
      <c r="I193" s="25">
        <f>IF($A193="","",IFERROR(LOOKUP(2,1/((入库单!$G$4:$G$2503=$A193)*(入库单!$Y$4:$Y$2503="正常")*(入库单!$L$4:$L$2503&gt;0)),入库单!$L$4:$L$2503),0))</f>
        <v/>
      </c>
      <c r="J193" s="26">
        <f>IF($A193="","",IF($H193="A国内",ROUND($I193*倍数A*汇率,0),IF($H193="B当地",ROUND($I193*系数B,0),0)))</f>
        <v/>
      </c>
      <c r="K193" s="24">
        <f>IF($A193="","",IF(COUNTIFS(入库单!$G$4:$G$2503,$A193,入库单!$X$4:$X$2503,"待补价")&gt;0,"待补价",IF(COUNTIFS(入库单!$G$4:$G$2503,$A193,入库单!$X$4:$X$2503,"暂估")&gt;0,"暂估",IF($I193=0,"没有进价","正常"))))</f>
        <v/>
      </c>
      <c r="L193" s="27">
        <f>IF($A193="","",IFERROR(VLOOKUP($A193,库存台账!$A$5:$Y$1204,24,0),0))</f>
        <v/>
      </c>
      <c r="M193" s="26">
        <f>IF($A193="","",IFERROR(VLOOKUP($A193,库存台账!$A$5:$Y$1204,25,0),0))</f>
        <v/>
      </c>
      <c r="N193" s="19">
        <f>IF($A193="","",IFERROR(LOOKUP(2,1/((出库单!$D$4:$D$4003=$A193)*(出库单!$T$4:$T$4003="正常")),出库单!$C$4:$C$4003),""))</f>
        <v/>
      </c>
      <c r="O193" s="28">
        <f>IF($A193="","",IF($L193&lt;=0,"",IF($N193="",IFERROR(账期止-LOOKUP(2,1/(入库单!$G$4:$G$2503=$A193),入库单!$C$4:$C$2503),""),账期止-$N193)))</f>
        <v/>
      </c>
      <c r="P193" s="17" t="n"/>
    </row>
    <row r="194">
      <c r="A194" s="17" t="inlineStr">
        <is>
          <t>JH0191</t>
        </is>
      </c>
      <c r="B194" s="17" t="inlineStr">
        <is>
          <t>其他</t>
        </is>
      </c>
      <c r="C194" s="17" t="inlineStr">
        <is>
          <t>绝缘子</t>
        </is>
      </c>
      <c r="D194" s="17" t="inlineStr">
        <is>
          <t>黄色 28*28</t>
        </is>
      </c>
      <c r="E194" s="17" t="inlineStr">
        <is>
          <t>个</t>
        </is>
      </c>
      <c r="F194" s="17" t="inlineStr">
        <is>
          <t>否</t>
        </is>
      </c>
      <c r="G194" s="23" t="n"/>
      <c r="H194" s="24">
        <f>IF($A194="","",IFERROR(LOOKUP(2,1/((入库单!$G$4:$G$2503=$A194)*(入库单!$Y$4:$Y$2503="正常")*(入库单!$L$4:$L$2503&gt;0)),入库单!$D$4:$D$2503),""))</f>
        <v/>
      </c>
      <c r="I194" s="25">
        <f>IF($A194="","",IFERROR(LOOKUP(2,1/((入库单!$G$4:$G$2503=$A194)*(入库单!$Y$4:$Y$2503="正常")*(入库单!$L$4:$L$2503&gt;0)),入库单!$L$4:$L$2503),0))</f>
        <v/>
      </c>
      <c r="J194" s="26">
        <f>IF($A194="","",IF($H194="A国内",ROUND($I194*倍数A*汇率,0),IF($H194="B当地",ROUND($I194*系数B,0),0)))</f>
        <v/>
      </c>
      <c r="K194" s="24">
        <f>IF($A194="","",IF(COUNTIFS(入库单!$G$4:$G$2503,$A194,入库单!$X$4:$X$2503,"待补价")&gt;0,"待补价",IF(COUNTIFS(入库单!$G$4:$G$2503,$A194,入库单!$X$4:$X$2503,"暂估")&gt;0,"暂估",IF($I194=0,"没有进价","正常"))))</f>
        <v/>
      </c>
      <c r="L194" s="27">
        <f>IF($A194="","",IFERROR(VLOOKUP($A194,库存台账!$A$5:$Y$1204,24,0),0))</f>
        <v/>
      </c>
      <c r="M194" s="26">
        <f>IF($A194="","",IFERROR(VLOOKUP($A194,库存台账!$A$5:$Y$1204,25,0),0))</f>
        <v/>
      </c>
      <c r="N194" s="19">
        <f>IF($A194="","",IFERROR(LOOKUP(2,1/((出库单!$D$4:$D$4003=$A194)*(出库单!$T$4:$T$4003="正常")),出库单!$C$4:$C$4003),""))</f>
        <v/>
      </c>
      <c r="O194" s="28">
        <f>IF($A194="","",IF($L194&lt;=0,"",IF($N194="",IFERROR(账期止-LOOKUP(2,1/(入库单!$G$4:$G$2503=$A194),入库单!$C$4:$C$2503),""),账期止-$N194)))</f>
        <v/>
      </c>
      <c r="P194" s="17" t="n"/>
    </row>
    <row r="195">
      <c r="A195" s="17" t="inlineStr">
        <is>
          <t>JH0192</t>
        </is>
      </c>
      <c r="B195" s="17" t="inlineStr">
        <is>
          <t>电缆电气</t>
        </is>
      </c>
      <c r="C195" s="17" t="inlineStr">
        <is>
          <t>压扣开关</t>
        </is>
      </c>
      <c r="D195" s="17" t="inlineStr">
        <is>
          <t>BS216B CDP3-216</t>
        </is>
      </c>
      <c r="E195" s="17" t="inlineStr">
        <is>
          <t>个</t>
        </is>
      </c>
      <c r="F195" s="17" t="inlineStr">
        <is>
          <t>否</t>
        </is>
      </c>
      <c r="G195" s="23" t="n"/>
      <c r="H195" s="24">
        <f>IF($A195="","",IFERROR(LOOKUP(2,1/((入库单!$G$4:$G$2503=$A195)*(入库单!$Y$4:$Y$2503="正常")*(入库单!$L$4:$L$2503&gt;0)),入库单!$D$4:$D$2503),""))</f>
        <v/>
      </c>
      <c r="I195" s="25">
        <f>IF($A195="","",IFERROR(LOOKUP(2,1/((入库单!$G$4:$G$2503=$A195)*(入库单!$Y$4:$Y$2503="正常")*(入库单!$L$4:$L$2503&gt;0)),入库单!$L$4:$L$2503),0))</f>
        <v/>
      </c>
      <c r="J195" s="26">
        <f>IF($A195="","",IF($H195="A国内",ROUND($I195*倍数A*汇率,0),IF($H195="B当地",ROUND($I195*系数B,0),0)))</f>
        <v/>
      </c>
      <c r="K195" s="24">
        <f>IF($A195="","",IF(COUNTIFS(入库单!$G$4:$G$2503,$A195,入库单!$X$4:$X$2503,"待补价")&gt;0,"待补价",IF(COUNTIFS(入库单!$G$4:$G$2503,$A195,入库单!$X$4:$X$2503,"暂估")&gt;0,"暂估",IF($I195=0,"没有进价","正常"))))</f>
        <v/>
      </c>
      <c r="L195" s="27">
        <f>IF($A195="","",IFERROR(VLOOKUP($A195,库存台账!$A$5:$Y$1204,24,0),0))</f>
        <v/>
      </c>
      <c r="M195" s="26">
        <f>IF($A195="","",IFERROR(VLOOKUP($A195,库存台账!$A$5:$Y$1204,25,0),0))</f>
        <v/>
      </c>
      <c r="N195" s="19">
        <f>IF($A195="","",IFERROR(LOOKUP(2,1/((出库单!$D$4:$D$4003=$A195)*(出库单!$T$4:$T$4003="正常")),出库单!$C$4:$C$4003),""))</f>
        <v/>
      </c>
      <c r="O195" s="28">
        <f>IF($A195="","",IF($L195&lt;=0,"",IF($N195="",IFERROR(账期止-LOOKUP(2,1/(入库单!$G$4:$G$2503=$A195),入库单!$C$4:$C$2503),""),账期止-$N195)))</f>
        <v/>
      </c>
      <c r="P195" s="17" t="n"/>
    </row>
    <row r="196">
      <c r="A196" s="17" t="inlineStr">
        <is>
          <t>JH0193</t>
        </is>
      </c>
      <c r="B196" s="17" t="inlineStr">
        <is>
          <t>电缆电气</t>
        </is>
      </c>
      <c r="C196" s="17" t="inlineStr">
        <is>
          <t>断路器扩展排</t>
        </is>
      </c>
      <c r="D196" s="17" t="inlineStr">
        <is>
          <t>CDM3S-250/4300 2直2弯</t>
        </is>
      </c>
      <c r="E196" s="17" t="inlineStr">
        <is>
          <t>块</t>
        </is>
      </c>
      <c r="F196" s="17" t="inlineStr">
        <is>
          <t>否</t>
        </is>
      </c>
      <c r="G196" s="23" t="n"/>
      <c r="H196" s="24">
        <f>IF($A196="","",IFERROR(LOOKUP(2,1/((入库单!$G$4:$G$2503=$A196)*(入库单!$Y$4:$Y$2503="正常")*(入库单!$L$4:$L$2503&gt;0)),入库单!$D$4:$D$2503),""))</f>
        <v/>
      </c>
      <c r="I196" s="25">
        <f>IF($A196="","",IFERROR(LOOKUP(2,1/((入库单!$G$4:$G$2503=$A196)*(入库单!$Y$4:$Y$2503="正常")*(入库单!$L$4:$L$2503&gt;0)),入库单!$L$4:$L$2503),0))</f>
        <v/>
      </c>
      <c r="J196" s="26">
        <f>IF($A196="","",IF($H196="A国内",ROUND($I196*倍数A*汇率,0),IF($H196="B当地",ROUND($I196*系数B,0),0)))</f>
        <v/>
      </c>
      <c r="K196" s="24">
        <f>IF($A196="","",IF(COUNTIFS(入库单!$G$4:$G$2503,$A196,入库单!$X$4:$X$2503,"待补价")&gt;0,"待补价",IF(COUNTIFS(入库单!$G$4:$G$2503,$A196,入库单!$X$4:$X$2503,"暂估")&gt;0,"暂估",IF($I196=0,"没有进价","正常"))))</f>
        <v/>
      </c>
      <c r="L196" s="27">
        <f>IF($A196="","",IFERROR(VLOOKUP($A196,库存台账!$A$5:$Y$1204,24,0),0))</f>
        <v/>
      </c>
      <c r="M196" s="26">
        <f>IF($A196="","",IFERROR(VLOOKUP($A196,库存台账!$A$5:$Y$1204,25,0),0))</f>
        <v/>
      </c>
      <c r="N196" s="19">
        <f>IF($A196="","",IFERROR(LOOKUP(2,1/((出库单!$D$4:$D$4003=$A196)*(出库单!$T$4:$T$4003="正常")),出库单!$C$4:$C$4003),""))</f>
        <v/>
      </c>
      <c r="O196" s="28">
        <f>IF($A196="","",IF($L196&lt;=0,"",IF($N196="",IFERROR(账期止-LOOKUP(2,1/(入库单!$G$4:$G$2503=$A196),入库单!$C$4:$C$2503),""),账期止-$N196)))</f>
        <v/>
      </c>
      <c r="P196" s="17" t="n"/>
    </row>
    <row r="197">
      <c r="A197" s="17" t="inlineStr">
        <is>
          <t>JH0194</t>
        </is>
      </c>
      <c r="B197" s="17" t="inlineStr">
        <is>
          <t>电缆电气</t>
        </is>
      </c>
      <c r="C197" s="17" t="inlineStr">
        <is>
          <t>断路器扩展排</t>
        </is>
      </c>
      <c r="D197" s="17" t="inlineStr">
        <is>
          <t>CDM3S-400F/3300 1直2弯</t>
        </is>
      </c>
      <c r="E197" s="17" t="inlineStr">
        <is>
          <t>块</t>
        </is>
      </c>
      <c r="F197" s="17" t="inlineStr">
        <is>
          <t>否</t>
        </is>
      </c>
      <c r="G197" s="23" t="n"/>
      <c r="H197" s="24">
        <f>IF($A197="","",IFERROR(LOOKUP(2,1/((入库单!$G$4:$G$2503=$A197)*(入库单!$Y$4:$Y$2503="正常")*(入库单!$L$4:$L$2503&gt;0)),入库单!$D$4:$D$2503),""))</f>
        <v/>
      </c>
      <c r="I197" s="25">
        <f>IF($A197="","",IFERROR(LOOKUP(2,1/((入库单!$G$4:$G$2503=$A197)*(入库单!$Y$4:$Y$2503="正常")*(入库单!$L$4:$L$2503&gt;0)),入库单!$L$4:$L$2503),0))</f>
        <v/>
      </c>
      <c r="J197" s="26">
        <f>IF($A197="","",IF($H197="A国内",ROUND($I197*倍数A*汇率,0),IF($H197="B当地",ROUND($I197*系数B,0),0)))</f>
        <v/>
      </c>
      <c r="K197" s="24">
        <f>IF($A197="","",IF(COUNTIFS(入库单!$G$4:$G$2503,$A197,入库单!$X$4:$X$2503,"待补价")&gt;0,"待补价",IF(COUNTIFS(入库单!$G$4:$G$2503,$A197,入库单!$X$4:$X$2503,"暂估")&gt;0,"暂估",IF($I197=0,"没有进价","正常"))))</f>
        <v/>
      </c>
      <c r="L197" s="27">
        <f>IF($A197="","",IFERROR(VLOOKUP($A197,库存台账!$A$5:$Y$1204,24,0),0))</f>
        <v/>
      </c>
      <c r="M197" s="26">
        <f>IF($A197="","",IFERROR(VLOOKUP($A197,库存台账!$A$5:$Y$1204,25,0),0))</f>
        <v/>
      </c>
      <c r="N197" s="19">
        <f>IF($A197="","",IFERROR(LOOKUP(2,1/((出库单!$D$4:$D$4003=$A197)*(出库单!$T$4:$T$4003="正常")),出库单!$C$4:$C$4003),""))</f>
        <v/>
      </c>
      <c r="O197" s="28">
        <f>IF($A197="","",IF($L197&lt;=0,"",IF($N197="",IFERROR(账期止-LOOKUP(2,1/(入库单!$G$4:$G$2503=$A197),入库单!$C$4:$C$2503),""),账期止-$N197)))</f>
        <v/>
      </c>
      <c r="P197" s="17" t="n"/>
    </row>
    <row r="198">
      <c r="A198" s="17" t="inlineStr">
        <is>
          <t>JH0195</t>
        </is>
      </c>
      <c r="B198" s="17" t="inlineStr">
        <is>
          <t>其他</t>
        </is>
      </c>
      <c r="C198" s="17" t="inlineStr">
        <is>
          <t>塑壳防水工具箱</t>
        </is>
      </c>
      <c r="D198" s="17" t="inlineStr"/>
      <c r="E198" s="17" t="inlineStr">
        <is>
          <t>个</t>
        </is>
      </c>
      <c r="F198" s="17" t="inlineStr">
        <is>
          <t>否</t>
        </is>
      </c>
      <c r="G198" s="23" t="n"/>
      <c r="H198" s="24">
        <f>IF($A198="","",IFERROR(LOOKUP(2,1/((入库单!$G$4:$G$2503=$A198)*(入库单!$Y$4:$Y$2503="正常")*(入库单!$L$4:$L$2503&gt;0)),入库单!$D$4:$D$2503),""))</f>
        <v/>
      </c>
      <c r="I198" s="25">
        <f>IF($A198="","",IFERROR(LOOKUP(2,1/((入库单!$G$4:$G$2503=$A198)*(入库单!$Y$4:$Y$2503="正常")*(入库单!$L$4:$L$2503&gt;0)),入库单!$L$4:$L$2503),0))</f>
        <v/>
      </c>
      <c r="J198" s="26">
        <f>IF($A198="","",IF($H198="A国内",ROUND($I198*倍数A*汇率,0),IF($H198="B当地",ROUND($I198*系数B,0),0)))</f>
        <v/>
      </c>
      <c r="K198" s="24">
        <f>IF($A198="","",IF(COUNTIFS(入库单!$G$4:$G$2503,$A198,入库单!$X$4:$X$2503,"待补价")&gt;0,"待补价",IF(COUNTIFS(入库单!$G$4:$G$2503,$A198,入库单!$X$4:$X$2503,"暂估")&gt;0,"暂估",IF($I198=0,"没有进价","正常"))))</f>
        <v/>
      </c>
      <c r="L198" s="27">
        <f>IF($A198="","",IFERROR(VLOOKUP($A198,库存台账!$A$5:$Y$1204,24,0),0))</f>
        <v/>
      </c>
      <c r="M198" s="26">
        <f>IF($A198="","",IFERROR(VLOOKUP($A198,库存台账!$A$5:$Y$1204,25,0),0))</f>
        <v/>
      </c>
      <c r="N198" s="19">
        <f>IF($A198="","",IFERROR(LOOKUP(2,1/((出库单!$D$4:$D$4003=$A198)*(出库单!$T$4:$T$4003="正常")),出库单!$C$4:$C$4003),""))</f>
        <v/>
      </c>
      <c r="O198" s="28">
        <f>IF($A198="","",IF($L198&lt;=0,"",IF($N198="",IFERROR(账期止-LOOKUP(2,1/(入库单!$G$4:$G$2503=$A198),入库单!$C$4:$C$2503),""),账期止-$N198)))</f>
        <v/>
      </c>
      <c r="P198" s="17" t="n"/>
    </row>
    <row r="199">
      <c r="A199" s="17" t="inlineStr">
        <is>
          <t>JH0196</t>
        </is>
      </c>
      <c r="B199" s="17" t="inlineStr">
        <is>
          <t>其他</t>
        </is>
      </c>
      <c r="C199" s="17" t="inlineStr">
        <is>
          <t>轻轨12kg</t>
        </is>
      </c>
      <c r="D199" s="17" t="inlineStr">
        <is>
          <t>12kg  6米</t>
        </is>
      </c>
      <c r="E199" s="17" t="inlineStr">
        <is>
          <t>支</t>
        </is>
      </c>
      <c r="F199" s="17" t="inlineStr">
        <is>
          <t>否</t>
        </is>
      </c>
      <c r="G199" s="23" t="n"/>
      <c r="H199" s="24">
        <f>IF($A199="","",IFERROR(LOOKUP(2,1/((入库单!$G$4:$G$2503=$A199)*(入库单!$Y$4:$Y$2503="正常")*(入库单!$L$4:$L$2503&gt;0)),入库单!$D$4:$D$2503),""))</f>
        <v/>
      </c>
      <c r="I199" s="25">
        <f>IF($A199="","",IFERROR(LOOKUP(2,1/((入库单!$G$4:$G$2503=$A199)*(入库单!$Y$4:$Y$2503="正常")*(入库单!$L$4:$L$2503&gt;0)),入库单!$L$4:$L$2503),0))</f>
        <v/>
      </c>
      <c r="J199" s="26">
        <f>IF($A199="","",IF($H199="A国内",ROUND($I199*倍数A*汇率,0),IF($H199="B当地",ROUND($I199*系数B,0),0)))</f>
        <v/>
      </c>
      <c r="K199" s="24">
        <f>IF($A199="","",IF(COUNTIFS(入库单!$G$4:$G$2503,$A199,入库单!$X$4:$X$2503,"待补价")&gt;0,"待补价",IF(COUNTIFS(入库单!$G$4:$G$2503,$A199,入库单!$X$4:$X$2503,"暂估")&gt;0,"暂估",IF($I199=0,"没有进价","正常"))))</f>
        <v/>
      </c>
      <c r="L199" s="27">
        <f>IF($A199="","",IFERROR(VLOOKUP($A199,库存台账!$A$5:$Y$1204,24,0),0))</f>
        <v/>
      </c>
      <c r="M199" s="26">
        <f>IF($A199="","",IFERROR(VLOOKUP($A199,库存台账!$A$5:$Y$1204,25,0),0))</f>
        <v/>
      </c>
      <c r="N199" s="19">
        <f>IF($A199="","",IFERROR(LOOKUP(2,1/((出库单!$D$4:$D$4003=$A199)*(出库单!$T$4:$T$4003="正常")),出库单!$C$4:$C$4003),""))</f>
        <v/>
      </c>
      <c r="O199" s="28">
        <f>IF($A199="","",IF($L199&lt;=0,"",IF($N199="",IFERROR(账期止-LOOKUP(2,1/(入库单!$G$4:$G$2503=$A199),入库单!$C$4:$C$2503),""),账期止-$N199)))</f>
        <v/>
      </c>
      <c r="P199" s="17" t="n"/>
    </row>
    <row r="200">
      <c r="A200" s="17" t="inlineStr">
        <is>
          <t>JH0197</t>
        </is>
      </c>
      <c r="B200" s="17" t="inlineStr">
        <is>
          <t>其他</t>
        </is>
      </c>
      <c r="C200" s="17" t="inlineStr">
        <is>
          <t>报警器联动</t>
        </is>
      </c>
      <c r="D200" s="17" t="inlineStr">
        <is>
          <t>带备用电池</t>
        </is>
      </c>
      <c r="E200" s="17" t="inlineStr">
        <is>
          <t>套</t>
        </is>
      </c>
      <c r="F200" s="17" t="inlineStr">
        <is>
          <t>否</t>
        </is>
      </c>
      <c r="G200" s="23" t="n"/>
      <c r="H200" s="24">
        <f>IF($A200="","",IFERROR(LOOKUP(2,1/((入库单!$G$4:$G$2503=$A200)*(入库单!$Y$4:$Y$2503="正常")*(入库单!$L$4:$L$2503&gt;0)),入库单!$D$4:$D$2503),""))</f>
        <v/>
      </c>
      <c r="I200" s="25">
        <f>IF($A200="","",IFERROR(LOOKUP(2,1/((入库单!$G$4:$G$2503=$A200)*(入库单!$Y$4:$Y$2503="正常")*(入库单!$L$4:$L$2503&gt;0)),入库单!$L$4:$L$2503),0))</f>
        <v/>
      </c>
      <c r="J200" s="26">
        <f>IF($A200="","",IF($H200="A国内",ROUND($I200*倍数A*汇率,0),IF($H200="B当地",ROUND($I200*系数B,0),0)))</f>
        <v/>
      </c>
      <c r="K200" s="24">
        <f>IF($A200="","",IF(COUNTIFS(入库单!$G$4:$G$2503,$A200,入库单!$X$4:$X$2503,"待补价")&gt;0,"待补价",IF(COUNTIFS(入库单!$G$4:$G$2503,$A200,入库单!$X$4:$X$2503,"暂估")&gt;0,"暂估",IF($I200=0,"没有进价","正常"))))</f>
        <v/>
      </c>
      <c r="L200" s="27">
        <f>IF($A200="","",IFERROR(VLOOKUP($A200,库存台账!$A$5:$Y$1204,24,0),0))</f>
        <v/>
      </c>
      <c r="M200" s="26">
        <f>IF($A200="","",IFERROR(VLOOKUP($A200,库存台账!$A$5:$Y$1204,25,0),0))</f>
        <v/>
      </c>
      <c r="N200" s="19">
        <f>IF($A200="","",IFERROR(LOOKUP(2,1/((出库单!$D$4:$D$4003=$A200)*(出库单!$T$4:$T$4003="正常")),出库单!$C$4:$C$4003),""))</f>
        <v/>
      </c>
      <c r="O200" s="28">
        <f>IF($A200="","",IF($L200&lt;=0,"",IF($N200="",IFERROR(账期止-LOOKUP(2,1/(入库单!$G$4:$G$2503=$A200),入库单!$C$4:$C$2503),""),账期止-$N200)))</f>
        <v/>
      </c>
      <c r="P200" s="17" t="n"/>
    </row>
    <row r="201">
      <c r="A201" s="17" t="inlineStr">
        <is>
          <t>JH0198</t>
        </is>
      </c>
      <c r="B201" s="17" t="inlineStr">
        <is>
          <t>机械设备</t>
        </is>
      </c>
      <c r="C201" s="17" t="inlineStr">
        <is>
          <t>风机</t>
        </is>
      </c>
      <c r="D201" s="17" t="inlineStr">
        <is>
          <t>FBYN5.0-11KW</t>
        </is>
      </c>
      <c r="E201" s="17" t="inlineStr">
        <is>
          <t>台</t>
        </is>
      </c>
      <c r="F201" s="17" t="inlineStr">
        <is>
          <t>否</t>
        </is>
      </c>
      <c r="G201" s="23" t="n"/>
      <c r="H201" s="24">
        <f>IF($A201="","",IFERROR(LOOKUP(2,1/((入库单!$G$4:$G$2503=$A201)*(入库单!$Y$4:$Y$2503="正常")*(入库单!$L$4:$L$2503&gt;0)),入库单!$D$4:$D$2503),""))</f>
        <v/>
      </c>
      <c r="I201" s="25">
        <f>IF($A201="","",IFERROR(LOOKUP(2,1/((入库单!$G$4:$G$2503=$A201)*(入库单!$Y$4:$Y$2503="正常")*(入库单!$L$4:$L$2503&gt;0)),入库单!$L$4:$L$2503),0))</f>
        <v/>
      </c>
      <c r="J201" s="26">
        <f>IF($A201="","",IF($H201="A国内",ROUND($I201*倍数A*汇率,0),IF($H201="B当地",ROUND($I201*系数B,0),0)))</f>
        <v/>
      </c>
      <c r="K201" s="24">
        <f>IF($A201="","",IF(COUNTIFS(入库单!$G$4:$G$2503,$A201,入库单!$X$4:$X$2503,"待补价")&gt;0,"待补价",IF(COUNTIFS(入库单!$G$4:$G$2503,$A201,入库单!$X$4:$X$2503,"暂估")&gt;0,"暂估",IF($I201=0,"没有进价","正常"))))</f>
        <v/>
      </c>
      <c r="L201" s="27">
        <f>IF($A201="","",IFERROR(VLOOKUP($A201,库存台账!$A$5:$Y$1204,24,0),0))</f>
        <v/>
      </c>
      <c r="M201" s="26">
        <f>IF($A201="","",IFERROR(VLOOKUP($A201,库存台账!$A$5:$Y$1204,25,0),0))</f>
        <v/>
      </c>
      <c r="N201" s="19">
        <f>IF($A201="","",IFERROR(LOOKUP(2,1/((出库单!$D$4:$D$4003=$A201)*(出库单!$T$4:$T$4003="正常")),出库单!$C$4:$C$4003),""))</f>
        <v/>
      </c>
      <c r="O201" s="28">
        <f>IF($A201="","",IF($L201&lt;=0,"",IF($N201="",IFERROR(账期止-LOOKUP(2,1/(入库单!$G$4:$G$2503=$A201),入库单!$C$4:$C$2503),""),账期止-$N201)))</f>
        <v/>
      </c>
      <c r="P201" s="17" t="n"/>
    </row>
    <row r="202">
      <c r="A202" s="17" t="inlineStr">
        <is>
          <t>JH0199</t>
        </is>
      </c>
      <c r="B202" s="17" t="inlineStr">
        <is>
          <t>其他</t>
        </is>
      </c>
      <c r="C202" s="17" t="inlineStr">
        <is>
          <t>等离子切割</t>
        </is>
      </c>
      <c r="D202" s="17" t="inlineStr">
        <is>
          <t>LGK-100</t>
        </is>
      </c>
      <c r="E202" s="17" t="inlineStr">
        <is>
          <t>台</t>
        </is>
      </c>
      <c r="F202" s="17" t="inlineStr">
        <is>
          <t>否</t>
        </is>
      </c>
      <c r="G202" s="23" t="n"/>
      <c r="H202" s="24">
        <f>IF($A202="","",IFERROR(LOOKUP(2,1/((入库单!$G$4:$G$2503=$A202)*(入库单!$Y$4:$Y$2503="正常")*(入库单!$L$4:$L$2503&gt;0)),入库单!$D$4:$D$2503),""))</f>
        <v/>
      </c>
      <c r="I202" s="25">
        <f>IF($A202="","",IFERROR(LOOKUP(2,1/((入库单!$G$4:$G$2503=$A202)*(入库单!$Y$4:$Y$2503="正常")*(入库单!$L$4:$L$2503&gt;0)),入库单!$L$4:$L$2503),0))</f>
        <v/>
      </c>
      <c r="J202" s="26">
        <f>IF($A202="","",IF($H202="A国内",ROUND($I202*倍数A*汇率,0),IF($H202="B当地",ROUND($I202*系数B,0),0)))</f>
        <v/>
      </c>
      <c r="K202" s="24">
        <f>IF($A202="","",IF(COUNTIFS(入库单!$G$4:$G$2503,$A202,入库单!$X$4:$X$2503,"待补价")&gt;0,"待补价",IF(COUNTIFS(入库单!$G$4:$G$2503,$A202,入库单!$X$4:$X$2503,"暂估")&gt;0,"暂估",IF($I202=0,"没有进价","正常"))))</f>
        <v/>
      </c>
      <c r="L202" s="27">
        <f>IF($A202="","",IFERROR(VLOOKUP($A202,库存台账!$A$5:$Y$1204,24,0),0))</f>
        <v/>
      </c>
      <c r="M202" s="26">
        <f>IF($A202="","",IFERROR(VLOOKUP($A202,库存台账!$A$5:$Y$1204,25,0),0))</f>
        <v/>
      </c>
      <c r="N202" s="19">
        <f>IF($A202="","",IFERROR(LOOKUP(2,1/((出库单!$D$4:$D$4003=$A202)*(出库单!$T$4:$T$4003="正常")),出库单!$C$4:$C$4003),""))</f>
        <v/>
      </c>
      <c r="O202" s="28">
        <f>IF($A202="","",IF($L202&lt;=0,"",IF($N202="",IFERROR(账期止-LOOKUP(2,1/(入库单!$G$4:$G$2503=$A202),入库单!$C$4:$C$2503),""),账期止-$N202)))</f>
        <v/>
      </c>
      <c r="P202" s="17" t="n"/>
    </row>
    <row r="203">
      <c r="A203" s="17" t="inlineStr">
        <is>
          <t>JH0200</t>
        </is>
      </c>
      <c r="B203" s="17" t="inlineStr">
        <is>
          <t>劳保用品</t>
        </is>
      </c>
      <c r="C203" s="17" t="inlineStr">
        <is>
          <t>雨衣</t>
        </is>
      </c>
      <c r="D203" s="17" t="inlineStr"/>
      <c r="E203" s="17" t="inlineStr">
        <is>
          <t>件</t>
        </is>
      </c>
      <c r="F203" s="17" t="inlineStr">
        <is>
          <t>否</t>
        </is>
      </c>
      <c r="G203" s="23" t="n"/>
      <c r="H203" s="24">
        <f>IF($A203="","",IFERROR(LOOKUP(2,1/((入库单!$G$4:$G$2503=$A203)*(入库单!$Y$4:$Y$2503="正常")*(入库单!$L$4:$L$2503&gt;0)),入库单!$D$4:$D$2503),""))</f>
        <v/>
      </c>
      <c r="I203" s="25">
        <f>IF($A203="","",IFERROR(LOOKUP(2,1/((入库单!$G$4:$G$2503=$A203)*(入库单!$Y$4:$Y$2503="正常")*(入库单!$L$4:$L$2503&gt;0)),入库单!$L$4:$L$2503),0))</f>
        <v/>
      </c>
      <c r="J203" s="26">
        <f>IF($A203="","",IF($H203="A国内",ROUND($I203*倍数A*汇率,0),IF($H203="B当地",ROUND($I203*系数B,0),0)))</f>
        <v/>
      </c>
      <c r="K203" s="24">
        <f>IF($A203="","",IF(COUNTIFS(入库单!$G$4:$G$2503,$A203,入库单!$X$4:$X$2503,"待补价")&gt;0,"待补价",IF(COUNTIFS(入库单!$G$4:$G$2503,$A203,入库单!$X$4:$X$2503,"暂估")&gt;0,"暂估",IF($I203=0,"没有进价","正常"))))</f>
        <v/>
      </c>
      <c r="L203" s="27">
        <f>IF($A203="","",IFERROR(VLOOKUP($A203,库存台账!$A$5:$Y$1204,24,0),0))</f>
        <v/>
      </c>
      <c r="M203" s="26">
        <f>IF($A203="","",IFERROR(VLOOKUP($A203,库存台账!$A$5:$Y$1204,25,0),0))</f>
        <v/>
      </c>
      <c r="N203" s="19">
        <f>IF($A203="","",IFERROR(LOOKUP(2,1/((出库单!$D$4:$D$4003=$A203)*(出库单!$T$4:$T$4003="正常")),出库单!$C$4:$C$4003),""))</f>
        <v/>
      </c>
      <c r="O203" s="28">
        <f>IF($A203="","",IF($L203&lt;=0,"",IF($N203="",IFERROR(账期止-LOOKUP(2,1/(入库单!$G$4:$G$2503=$A203),入库单!$C$4:$C$2503),""),账期止-$N203)))</f>
        <v/>
      </c>
      <c r="P203" s="17" t="n"/>
    </row>
    <row r="204">
      <c r="A204" s="17" t="inlineStr">
        <is>
          <t>JH0201</t>
        </is>
      </c>
      <c r="B204" s="17" t="inlineStr">
        <is>
          <t>劳保用品</t>
        </is>
      </c>
      <c r="C204" s="17" t="inlineStr">
        <is>
          <t>手套</t>
        </is>
      </c>
      <c r="D204" s="17" t="inlineStr"/>
      <c r="E204" s="17" t="inlineStr">
        <is>
          <t>付</t>
        </is>
      </c>
      <c r="F204" s="17" t="inlineStr">
        <is>
          <t>否</t>
        </is>
      </c>
      <c r="G204" s="23" t="n"/>
      <c r="H204" s="24">
        <f>IF($A204="","",IFERROR(LOOKUP(2,1/((入库单!$G$4:$G$2503=$A204)*(入库单!$Y$4:$Y$2503="正常")*(入库单!$L$4:$L$2503&gt;0)),入库单!$D$4:$D$2503),""))</f>
        <v/>
      </c>
      <c r="I204" s="25">
        <f>IF($A204="","",IFERROR(LOOKUP(2,1/((入库单!$G$4:$G$2503=$A204)*(入库单!$Y$4:$Y$2503="正常")*(入库单!$L$4:$L$2503&gt;0)),入库单!$L$4:$L$2503),0))</f>
        <v/>
      </c>
      <c r="J204" s="26">
        <f>IF($A204="","",IF($H204="A国内",ROUND($I204*倍数A*汇率,0),IF($H204="B当地",ROUND($I204*系数B,0),0)))</f>
        <v/>
      </c>
      <c r="K204" s="24">
        <f>IF($A204="","",IF(COUNTIFS(入库单!$G$4:$G$2503,$A204,入库单!$X$4:$X$2503,"待补价")&gt;0,"待补价",IF(COUNTIFS(入库单!$G$4:$G$2503,$A204,入库单!$X$4:$X$2503,"暂估")&gt;0,"暂估",IF($I204=0,"没有进价","正常"))))</f>
        <v/>
      </c>
      <c r="L204" s="27">
        <f>IF($A204="","",IFERROR(VLOOKUP($A204,库存台账!$A$5:$Y$1204,24,0),0))</f>
        <v/>
      </c>
      <c r="M204" s="26">
        <f>IF($A204="","",IFERROR(VLOOKUP($A204,库存台账!$A$5:$Y$1204,25,0),0))</f>
        <v/>
      </c>
      <c r="N204" s="19">
        <f>IF($A204="","",IFERROR(LOOKUP(2,1/((出库单!$D$4:$D$4003=$A204)*(出库单!$T$4:$T$4003="正常")),出库单!$C$4:$C$4003),""))</f>
        <v/>
      </c>
      <c r="O204" s="28">
        <f>IF($A204="","",IF($L204&lt;=0,"",IF($N204="",IFERROR(账期止-LOOKUP(2,1/(入库单!$G$4:$G$2503=$A204),入库单!$C$4:$C$2503),""),账期止-$N204)))</f>
        <v/>
      </c>
      <c r="P204" s="17" t="n"/>
    </row>
    <row r="205">
      <c r="A205" s="17" t="inlineStr">
        <is>
          <t>JH0202</t>
        </is>
      </c>
      <c r="B205" s="17" t="inlineStr">
        <is>
          <t>机械配件</t>
        </is>
      </c>
      <c r="C205" s="17" t="inlineStr">
        <is>
          <t>瑞凌原装配件氧气管</t>
        </is>
      </c>
      <c r="D205" s="17" t="inlineStr">
        <is>
          <t>Φ8mm蓝色</t>
        </is>
      </c>
      <c r="E205" s="17" t="inlineStr">
        <is>
          <t>条</t>
        </is>
      </c>
      <c r="F205" s="17" t="inlineStr">
        <is>
          <t>否</t>
        </is>
      </c>
      <c r="G205" s="23" t="n"/>
      <c r="H205" s="24">
        <f>IF($A205="","",IFERROR(LOOKUP(2,1/((入库单!$G$4:$G$2503=$A205)*(入库单!$Y$4:$Y$2503="正常")*(入库单!$L$4:$L$2503&gt;0)),入库单!$D$4:$D$2503),""))</f>
        <v/>
      </c>
      <c r="I205" s="25">
        <f>IF($A205="","",IFERROR(LOOKUP(2,1/((入库单!$G$4:$G$2503=$A205)*(入库单!$Y$4:$Y$2503="正常")*(入库单!$L$4:$L$2503&gt;0)),入库单!$L$4:$L$2503),0))</f>
        <v/>
      </c>
      <c r="J205" s="26">
        <f>IF($A205="","",IF($H205="A国内",ROUND($I205*倍数A*汇率,0),IF($H205="B当地",ROUND($I205*系数B,0),0)))</f>
        <v/>
      </c>
      <c r="K205" s="24">
        <f>IF($A205="","",IF(COUNTIFS(入库单!$G$4:$G$2503,$A205,入库单!$X$4:$X$2503,"待补价")&gt;0,"待补价",IF(COUNTIFS(入库单!$G$4:$G$2503,$A205,入库单!$X$4:$X$2503,"暂估")&gt;0,"暂估",IF($I205=0,"没有进价","正常"))))</f>
        <v/>
      </c>
      <c r="L205" s="27">
        <f>IF($A205="","",IFERROR(VLOOKUP($A205,库存台账!$A$5:$Y$1204,24,0),0))</f>
        <v/>
      </c>
      <c r="M205" s="26">
        <f>IF($A205="","",IFERROR(VLOOKUP($A205,库存台账!$A$5:$Y$1204,25,0),0))</f>
        <v/>
      </c>
      <c r="N205" s="19">
        <f>IF($A205="","",IFERROR(LOOKUP(2,1/((出库单!$D$4:$D$4003=$A205)*(出库单!$T$4:$T$4003="正常")),出库单!$C$4:$C$4003),""))</f>
        <v/>
      </c>
      <c r="O205" s="28">
        <f>IF($A205="","",IF($L205&lt;=0,"",IF($N205="",IFERROR(账期止-LOOKUP(2,1/(入库单!$G$4:$G$2503=$A205),入库单!$C$4:$C$2503),""),账期止-$N205)))</f>
        <v/>
      </c>
      <c r="P205" s="17" t="n"/>
    </row>
    <row r="206">
      <c r="A206" s="17" t="inlineStr">
        <is>
          <t>JH0203</t>
        </is>
      </c>
      <c r="B206" s="17" t="inlineStr">
        <is>
          <t>其他</t>
        </is>
      </c>
      <c r="C206" s="17" t="inlineStr">
        <is>
          <t>东成高压清洗机（1600w）</t>
        </is>
      </c>
      <c r="D206" s="17" t="inlineStr">
        <is>
          <t>Q1W-FF-8/7</t>
        </is>
      </c>
      <c r="E206" s="17" t="inlineStr">
        <is>
          <t>台</t>
        </is>
      </c>
      <c r="F206" s="17" t="inlineStr">
        <is>
          <t>否</t>
        </is>
      </c>
      <c r="G206" s="23" t="n"/>
      <c r="H206" s="24">
        <f>IF($A206="","",IFERROR(LOOKUP(2,1/((入库单!$G$4:$G$2503=$A206)*(入库单!$Y$4:$Y$2503="正常")*(入库单!$L$4:$L$2503&gt;0)),入库单!$D$4:$D$2503),""))</f>
        <v/>
      </c>
      <c r="I206" s="25">
        <f>IF($A206="","",IFERROR(LOOKUP(2,1/((入库单!$G$4:$G$2503=$A206)*(入库单!$Y$4:$Y$2503="正常")*(入库单!$L$4:$L$2503&gt;0)),入库单!$L$4:$L$2503),0))</f>
        <v/>
      </c>
      <c r="J206" s="26">
        <f>IF($A206="","",IF($H206="A国内",ROUND($I206*倍数A*汇率,0),IF($H206="B当地",ROUND($I206*系数B,0),0)))</f>
        <v/>
      </c>
      <c r="K206" s="24">
        <f>IF($A206="","",IF(COUNTIFS(入库单!$G$4:$G$2503,$A206,入库单!$X$4:$X$2503,"待补价")&gt;0,"待补价",IF(COUNTIFS(入库单!$G$4:$G$2503,$A206,入库单!$X$4:$X$2503,"暂估")&gt;0,"暂估",IF($I206=0,"没有进价","正常"))))</f>
        <v/>
      </c>
      <c r="L206" s="27">
        <f>IF($A206="","",IFERROR(VLOOKUP($A206,库存台账!$A$5:$Y$1204,24,0),0))</f>
        <v/>
      </c>
      <c r="M206" s="26">
        <f>IF($A206="","",IFERROR(VLOOKUP($A206,库存台账!$A$5:$Y$1204,25,0),0))</f>
        <v/>
      </c>
      <c r="N206" s="19">
        <f>IF($A206="","",IFERROR(LOOKUP(2,1/((出库单!$D$4:$D$4003=$A206)*(出库单!$T$4:$T$4003="正常")),出库单!$C$4:$C$4003),""))</f>
        <v/>
      </c>
      <c r="O206" s="28">
        <f>IF($A206="","",IF($L206&lt;=0,"",IF($N206="",IFERROR(账期止-LOOKUP(2,1/(入库单!$G$4:$G$2503=$A206),入库单!$C$4:$C$2503),""),账期止-$N206)))</f>
        <v/>
      </c>
      <c r="P206" s="17" t="n"/>
    </row>
    <row r="207">
      <c r="A207" s="17" t="inlineStr">
        <is>
          <t>JH0204</t>
        </is>
      </c>
      <c r="B207" s="17" t="inlineStr">
        <is>
          <t>电缆电气</t>
        </is>
      </c>
      <c r="C207" s="17" t="inlineStr">
        <is>
          <t>交流接触器</t>
        </is>
      </c>
      <c r="D207" s="17" t="inlineStr">
        <is>
          <t>JC20-160/380V</t>
        </is>
      </c>
      <c r="E207" s="17" t="inlineStr">
        <is>
          <t>个</t>
        </is>
      </c>
      <c r="F207" s="17" t="inlineStr">
        <is>
          <t>否</t>
        </is>
      </c>
      <c r="G207" s="23" t="n"/>
      <c r="H207" s="24">
        <f>IF($A207="","",IFERROR(LOOKUP(2,1/((入库单!$G$4:$G$2503=$A207)*(入库单!$Y$4:$Y$2503="正常")*(入库单!$L$4:$L$2503&gt;0)),入库单!$D$4:$D$2503),""))</f>
        <v/>
      </c>
      <c r="I207" s="25">
        <f>IF($A207="","",IFERROR(LOOKUP(2,1/((入库单!$G$4:$G$2503=$A207)*(入库单!$Y$4:$Y$2503="正常")*(入库单!$L$4:$L$2503&gt;0)),入库单!$L$4:$L$2503),0))</f>
        <v/>
      </c>
      <c r="J207" s="26">
        <f>IF($A207="","",IF($H207="A国内",ROUND($I207*倍数A*汇率,0),IF($H207="B当地",ROUND($I207*系数B,0),0)))</f>
        <v/>
      </c>
      <c r="K207" s="24">
        <f>IF($A207="","",IF(COUNTIFS(入库单!$G$4:$G$2503,$A207,入库单!$X$4:$X$2503,"待补价")&gt;0,"待补价",IF(COUNTIFS(入库单!$G$4:$G$2503,$A207,入库单!$X$4:$X$2503,"暂估")&gt;0,"暂估",IF($I207=0,"没有进价","正常"))))</f>
        <v/>
      </c>
      <c r="L207" s="27">
        <f>IF($A207="","",IFERROR(VLOOKUP($A207,库存台账!$A$5:$Y$1204,24,0),0))</f>
        <v/>
      </c>
      <c r="M207" s="26">
        <f>IF($A207="","",IFERROR(VLOOKUP($A207,库存台账!$A$5:$Y$1204,25,0),0))</f>
        <v/>
      </c>
      <c r="N207" s="19">
        <f>IF($A207="","",IFERROR(LOOKUP(2,1/((出库单!$D$4:$D$4003=$A207)*(出库单!$T$4:$T$4003="正常")),出库单!$C$4:$C$4003),""))</f>
        <v/>
      </c>
      <c r="O207" s="28">
        <f>IF($A207="","",IF($L207&lt;=0,"",IF($N207="",IFERROR(账期止-LOOKUP(2,1/(入库单!$G$4:$G$2503=$A207),入库单!$C$4:$C$2503),""),账期止-$N207)))</f>
        <v/>
      </c>
      <c r="P207" s="17" t="n"/>
    </row>
    <row r="208">
      <c r="A208" s="17" t="inlineStr">
        <is>
          <t>JH0205</t>
        </is>
      </c>
      <c r="B208" s="17" t="inlineStr">
        <is>
          <t>电缆电气</t>
        </is>
      </c>
      <c r="C208" s="17" t="inlineStr">
        <is>
          <t>交流接触器</t>
        </is>
      </c>
      <c r="D208" s="17" t="inlineStr">
        <is>
          <t>JC20-100/380V</t>
        </is>
      </c>
      <c r="E208" s="17" t="inlineStr">
        <is>
          <t>个</t>
        </is>
      </c>
      <c r="F208" s="17" t="inlineStr">
        <is>
          <t>否</t>
        </is>
      </c>
      <c r="G208" s="23" t="n"/>
      <c r="H208" s="24">
        <f>IF($A208="","",IFERROR(LOOKUP(2,1/((入库单!$G$4:$G$2503=$A208)*(入库单!$Y$4:$Y$2503="正常")*(入库单!$L$4:$L$2503&gt;0)),入库单!$D$4:$D$2503),""))</f>
        <v/>
      </c>
      <c r="I208" s="25">
        <f>IF($A208="","",IFERROR(LOOKUP(2,1/((入库单!$G$4:$G$2503=$A208)*(入库单!$Y$4:$Y$2503="正常")*(入库单!$L$4:$L$2503&gt;0)),入库单!$L$4:$L$2503),0))</f>
        <v/>
      </c>
      <c r="J208" s="26">
        <f>IF($A208="","",IF($H208="A国内",ROUND($I208*倍数A*汇率,0),IF($H208="B当地",ROUND($I208*系数B,0),0)))</f>
        <v/>
      </c>
      <c r="K208" s="24">
        <f>IF($A208="","",IF(COUNTIFS(入库单!$G$4:$G$2503,$A208,入库单!$X$4:$X$2503,"待补价")&gt;0,"待补价",IF(COUNTIFS(入库单!$G$4:$G$2503,$A208,入库单!$X$4:$X$2503,"暂估")&gt;0,"暂估",IF($I208=0,"没有进价","正常"))))</f>
        <v/>
      </c>
      <c r="L208" s="27">
        <f>IF($A208="","",IFERROR(VLOOKUP($A208,库存台账!$A$5:$Y$1204,24,0),0))</f>
        <v/>
      </c>
      <c r="M208" s="26">
        <f>IF($A208="","",IFERROR(VLOOKUP($A208,库存台账!$A$5:$Y$1204,25,0),0))</f>
        <v/>
      </c>
      <c r="N208" s="19">
        <f>IF($A208="","",IFERROR(LOOKUP(2,1/((出库单!$D$4:$D$4003=$A208)*(出库单!$T$4:$T$4003="正常")),出库单!$C$4:$C$4003),""))</f>
        <v/>
      </c>
      <c r="O208" s="28">
        <f>IF($A208="","",IF($L208&lt;=0,"",IF($N208="",IFERROR(账期止-LOOKUP(2,1/(入库单!$G$4:$G$2503=$A208),入库单!$C$4:$C$2503),""),账期止-$N208)))</f>
        <v/>
      </c>
      <c r="P208" s="17" t="n"/>
    </row>
    <row r="209">
      <c r="A209" s="17" t="inlineStr">
        <is>
          <t>JH0206</t>
        </is>
      </c>
      <c r="B209" s="17" t="inlineStr">
        <is>
          <t>电缆电气</t>
        </is>
      </c>
      <c r="C209" s="17" t="inlineStr">
        <is>
          <t>交流接触器</t>
        </is>
      </c>
      <c r="D209" s="17" t="inlineStr">
        <is>
          <t>CJ2S-25/380V带F4-22C触头</t>
        </is>
      </c>
      <c r="E209" s="17" t="inlineStr">
        <is>
          <t>个</t>
        </is>
      </c>
      <c r="F209" s="17" t="inlineStr">
        <is>
          <t>否</t>
        </is>
      </c>
      <c r="G209" s="23" t="n"/>
      <c r="H209" s="24">
        <f>IF($A209="","",IFERROR(LOOKUP(2,1/((入库单!$G$4:$G$2503=$A209)*(入库单!$Y$4:$Y$2503="正常")*(入库单!$L$4:$L$2503&gt;0)),入库单!$D$4:$D$2503),""))</f>
        <v/>
      </c>
      <c r="I209" s="25">
        <f>IF($A209="","",IFERROR(LOOKUP(2,1/((入库单!$G$4:$G$2503=$A209)*(入库单!$Y$4:$Y$2503="正常")*(入库单!$L$4:$L$2503&gt;0)),入库单!$L$4:$L$2503),0))</f>
        <v/>
      </c>
      <c r="J209" s="26">
        <f>IF($A209="","",IF($H209="A国内",ROUND($I209*倍数A*汇率,0),IF($H209="B当地",ROUND($I209*系数B,0),0)))</f>
        <v/>
      </c>
      <c r="K209" s="24">
        <f>IF($A209="","",IF(COUNTIFS(入库单!$G$4:$G$2503,$A209,入库单!$X$4:$X$2503,"待补价")&gt;0,"待补价",IF(COUNTIFS(入库单!$G$4:$G$2503,$A209,入库单!$X$4:$X$2503,"暂估")&gt;0,"暂估",IF($I209=0,"没有进价","正常"))))</f>
        <v/>
      </c>
      <c r="L209" s="27">
        <f>IF($A209="","",IFERROR(VLOOKUP($A209,库存台账!$A$5:$Y$1204,24,0),0))</f>
        <v/>
      </c>
      <c r="M209" s="26">
        <f>IF($A209="","",IFERROR(VLOOKUP($A209,库存台账!$A$5:$Y$1204,25,0),0))</f>
        <v/>
      </c>
      <c r="N209" s="19">
        <f>IF($A209="","",IFERROR(LOOKUP(2,1/((出库单!$D$4:$D$4003=$A209)*(出库单!$T$4:$T$4003="正常")),出库单!$C$4:$C$4003),""))</f>
        <v/>
      </c>
      <c r="O209" s="28">
        <f>IF($A209="","",IF($L209&lt;=0,"",IF($N209="",IFERROR(账期止-LOOKUP(2,1/(入库单!$G$4:$G$2503=$A209),入库单!$C$4:$C$2503),""),账期止-$N209)))</f>
        <v/>
      </c>
      <c r="P209" s="17" t="n"/>
    </row>
    <row r="210">
      <c r="A210" s="17" t="inlineStr">
        <is>
          <t>JH0207</t>
        </is>
      </c>
      <c r="B210" s="17" t="inlineStr">
        <is>
          <t>电缆电气</t>
        </is>
      </c>
      <c r="C210" s="17" t="inlineStr">
        <is>
          <t>交流接触器</t>
        </is>
      </c>
      <c r="D210" s="17" t="inlineStr">
        <is>
          <t>NXC-09/220V</t>
        </is>
      </c>
      <c r="E210" s="17" t="inlineStr">
        <is>
          <t>个</t>
        </is>
      </c>
      <c r="F210" s="17" t="inlineStr">
        <is>
          <t>否</t>
        </is>
      </c>
      <c r="G210" s="23" t="n"/>
      <c r="H210" s="24">
        <f>IF($A210="","",IFERROR(LOOKUP(2,1/((入库单!$G$4:$G$2503=$A210)*(入库单!$Y$4:$Y$2503="正常")*(入库单!$L$4:$L$2503&gt;0)),入库单!$D$4:$D$2503),""))</f>
        <v/>
      </c>
      <c r="I210" s="25">
        <f>IF($A210="","",IFERROR(LOOKUP(2,1/((入库单!$G$4:$G$2503=$A210)*(入库单!$Y$4:$Y$2503="正常")*(入库单!$L$4:$L$2503&gt;0)),入库单!$L$4:$L$2503),0))</f>
        <v/>
      </c>
      <c r="J210" s="26">
        <f>IF($A210="","",IF($H210="A国内",ROUND($I210*倍数A*汇率,0),IF($H210="B当地",ROUND($I210*系数B,0),0)))</f>
        <v/>
      </c>
      <c r="K210" s="24">
        <f>IF($A210="","",IF(COUNTIFS(入库单!$G$4:$G$2503,$A210,入库单!$X$4:$X$2503,"待补价")&gt;0,"待补价",IF(COUNTIFS(入库单!$G$4:$G$2503,$A210,入库单!$X$4:$X$2503,"暂估")&gt;0,"暂估",IF($I210=0,"没有进价","正常"))))</f>
        <v/>
      </c>
      <c r="L210" s="27">
        <f>IF($A210="","",IFERROR(VLOOKUP($A210,库存台账!$A$5:$Y$1204,24,0),0))</f>
        <v/>
      </c>
      <c r="M210" s="26">
        <f>IF($A210="","",IFERROR(VLOOKUP($A210,库存台账!$A$5:$Y$1204,25,0),0))</f>
        <v/>
      </c>
      <c r="N210" s="19">
        <f>IF($A210="","",IFERROR(LOOKUP(2,1/((出库单!$D$4:$D$4003=$A210)*(出库单!$T$4:$T$4003="正常")),出库单!$C$4:$C$4003),""))</f>
        <v/>
      </c>
      <c r="O210" s="28">
        <f>IF($A210="","",IF($L210&lt;=0,"",IF($N210="",IFERROR(账期止-LOOKUP(2,1/(入库单!$G$4:$G$2503=$A210),入库单!$C$4:$C$2503),""),账期止-$N210)))</f>
        <v/>
      </c>
      <c r="P210" s="17" t="n"/>
    </row>
    <row r="211">
      <c r="A211" s="17" t="inlineStr">
        <is>
          <t>JH0208</t>
        </is>
      </c>
      <c r="B211" s="17" t="inlineStr">
        <is>
          <t>机械设备</t>
        </is>
      </c>
      <c r="C211" s="17" t="inlineStr">
        <is>
          <t>轴流局部通风机</t>
        </is>
      </c>
      <c r="D211" s="17" t="inlineStr">
        <is>
          <t>FB N05.6/2200  22KW</t>
        </is>
      </c>
      <c r="E211" s="17" t="inlineStr">
        <is>
          <t>台</t>
        </is>
      </c>
      <c r="F211" s="17" t="inlineStr">
        <is>
          <t>否</t>
        </is>
      </c>
      <c r="G211" s="23" t="n"/>
      <c r="H211" s="24">
        <f>IF($A211="","",IFERROR(LOOKUP(2,1/((入库单!$G$4:$G$2503=$A211)*(入库单!$Y$4:$Y$2503="正常")*(入库单!$L$4:$L$2503&gt;0)),入库单!$D$4:$D$2503),""))</f>
        <v/>
      </c>
      <c r="I211" s="25">
        <f>IF($A211="","",IFERROR(LOOKUP(2,1/((入库单!$G$4:$G$2503=$A211)*(入库单!$Y$4:$Y$2503="正常")*(入库单!$L$4:$L$2503&gt;0)),入库单!$L$4:$L$2503),0))</f>
        <v/>
      </c>
      <c r="J211" s="26">
        <f>IF($A211="","",IF($H211="A国内",ROUND($I211*倍数A*汇率,0),IF($H211="B当地",ROUND($I211*系数B,0),0)))</f>
        <v/>
      </c>
      <c r="K211" s="24">
        <f>IF($A211="","",IF(COUNTIFS(入库单!$G$4:$G$2503,$A211,入库单!$X$4:$X$2503,"待补价")&gt;0,"待补价",IF(COUNTIFS(入库单!$G$4:$G$2503,$A211,入库单!$X$4:$X$2503,"暂估")&gt;0,"暂估",IF($I211=0,"没有进价","正常"))))</f>
        <v/>
      </c>
      <c r="L211" s="27">
        <f>IF($A211="","",IFERROR(VLOOKUP($A211,库存台账!$A$5:$Y$1204,24,0),0))</f>
        <v/>
      </c>
      <c r="M211" s="26">
        <f>IF($A211="","",IFERROR(VLOOKUP($A211,库存台账!$A$5:$Y$1204,25,0),0))</f>
        <v/>
      </c>
      <c r="N211" s="19">
        <f>IF($A211="","",IFERROR(LOOKUP(2,1/((出库单!$D$4:$D$4003=$A211)*(出库单!$T$4:$T$4003="正常")),出库单!$C$4:$C$4003),""))</f>
        <v/>
      </c>
      <c r="O211" s="28">
        <f>IF($A211="","",IF($L211&lt;=0,"",IF($N211="",IFERROR(账期止-LOOKUP(2,1/(入库单!$G$4:$G$2503=$A211),入库单!$C$4:$C$2503),""),账期止-$N211)))</f>
        <v/>
      </c>
      <c r="P211" s="17" t="n"/>
    </row>
    <row r="212">
      <c r="A212" s="17" t="inlineStr">
        <is>
          <t>JH0209</t>
        </is>
      </c>
      <c r="B212" s="17" t="inlineStr">
        <is>
          <t>其他</t>
        </is>
      </c>
      <c r="C212" s="17" t="inlineStr">
        <is>
          <t>辅材</t>
        </is>
      </c>
      <c r="D212" s="17" t="inlineStr">
        <is>
          <t>H钢200*6米</t>
        </is>
      </c>
      <c r="E212" s="17" t="inlineStr">
        <is>
          <t>支</t>
        </is>
      </c>
      <c r="F212" s="17" t="inlineStr">
        <is>
          <t>否</t>
        </is>
      </c>
      <c r="G212" s="23" t="n"/>
      <c r="H212" s="24">
        <f>IF($A212="","",IFERROR(LOOKUP(2,1/((入库单!$G$4:$G$2503=$A212)*(入库单!$Y$4:$Y$2503="正常")*(入库单!$L$4:$L$2503&gt;0)),入库单!$D$4:$D$2503),""))</f>
        <v/>
      </c>
      <c r="I212" s="25">
        <f>IF($A212="","",IFERROR(LOOKUP(2,1/((入库单!$G$4:$G$2503=$A212)*(入库单!$Y$4:$Y$2503="正常")*(入库单!$L$4:$L$2503&gt;0)),入库单!$L$4:$L$2503),0))</f>
        <v/>
      </c>
      <c r="J212" s="26">
        <f>IF($A212="","",IF($H212="A国内",ROUND($I212*倍数A*汇率,0),IF($H212="B当地",ROUND($I212*系数B,0),0)))</f>
        <v/>
      </c>
      <c r="K212" s="24">
        <f>IF($A212="","",IF(COUNTIFS(入库单!$G$4:$G$2503,$A212,入库单!$X$4:$X$2503,"待补价")&gt;0,"待补价",IF(COUNTIFS(入库单!$G$4:$G$2503,$A212,入库单!$X$4:$X$2503,"暂估")&gt;0,"暂估",IF($I212=0,"没有进价","正常"))))</f>
        <v/>
      </c>
      <c r="L212" s="27">
        <f>IF($A212="","",IFERROR(VLOOKUP($A212,库存台账!$A$5:$Y$1204,24,0),0))</f>
        <v/>
      </c>
      <c r="M212" s="26">
        <f>IF($A212="","",IFERROR(VLOOKUP($A212,库存台账!$A$5:$Y$1204,25,0),0))</f>
        <v/>
      </c>
      <c r="N212" s="19">
        <f>IF($A212="","",IFERROR(LOOKUP(2,1/((出库单!$D$4:$D$4003=$A212)*(出库单!$T$4:$T$4003="正常")),出库单!$C$4:$C$4003),""))</f>
        <v/>
      </c>
      <c r="O212" s="28">
        <f>IF($A212="","",IF($L212&lt;=0,"",IF($N212="",IFERROR(账期止-LOOKUP(2,1/(入库单!$G$4:$G$2503=$A212),入库单!$C$4:$C$2503),""),账期止-$N212)))</f>
        <v/>
      </c>
      <c r="P212" s="17" t="n"/>
    </row>
    <row r="213">
      <c r="A213" s="17" t="inlineStr">
        <is>
          <t>JH0210</t>
        </is>
      </c>
      <c r="B213" s="17" t="inlineStr">
        <is>
          <t>机械设备</t>
        </is>
      </c>
      <c r="C213" s="17" t="inlineStr">
        <is>
          <t>小叶片</t>
        </is>
      </c>
      <c r="D213" s="17" t="inlineStr">
        <is>
          <t>1500分级机</t>
        </is>
      </c>
      <c r="E213" s="17" t="inlineStr">
        <is>
          <t>片</t>
        </is>
      </c>
      <c r="F213" s="17" t="inlineStr">
        <is>
          <t>否</t>
        </is>
      </c>
      <c r="G213" s="23" t="n"/>
      <c r="H213" s="24">
        <f>IF($A213="","",IFERROR(LOOKUP(2,1/((入库单!$G$4:$G$2503=$A213)*(入库单!$Y$4:$Y$2503="正常")*(入库单!$L$4:$L$2503&gt;0)),入库单!$D$4:$D$2503),""))</f>
        <v/>
      </c>
      <c r="I213" s="25">
        <f>IF($A213="","",IFERROR(LOOKUP(2,1/((入库单!$G$4:$G$2503=$A213)*(入库单!$Y$4:$Y$2503="正常")*(入库单!$L$4:$L$2503&gt;0)),入库单!$L$4:$L$2503),0))</f>
        <v/>
      </c>
      <c r="J213" s="26">
        <f>IF($A213="","",IF($H213="A国内",ROUND($I213*倍数A*汇率,0),IF($H213="B当地",ROUND($I213*系数B,0),0)))</f>
        <v/>
      </c>
      <c r="K213" s="24">
        <f>IF($A213="","",IF(COUNTIFS(入库单!$G$4:$G$2503,$A213,入库单!$X$4:$X$2503,"待补价")&gt;0,"待补价",IF(COUNTIFS(入库单!$G$4:$G$2503,$A213,入库单!$X$4:$X$2503,"暂估")&gt;0,"暂估",IF($I213=0,"没有进价","正常"))))</f>
        <v/>
      </c>
      <c r="L213" s="27">
        <f>IF($A213="","",IFERROR(VLOOKUP($A213,库存台账!$A$5:$Y$1204,24,0),0))</f>
        <v/>
      </c>
      <c r="M213" s="26">
        <f>IF($A213="","",IFERROR(VLOOKUP($A213,库存台账!$A$5:$Y$1204,25,0),0))</f>
        <v/>
      </c>
      <c r="N213" s="19">
        <f>IF($A213="","",IFERROR(LOOKUP(2,1/((出库单!$D$4:$D$4003=$A213)*(出库单!$T$4:$T$4003="正常")),出库单!$C$4:$C$4003),""))</f>
        <v/>
      </c>
      <c r="O213" s="28">
        <f>IF($A213="","",IF($L213&lt;=0,"",IF($N213="",IFERROR(账期止-LOOKUP(2,1/(入库单!$G$4:$G$2503=$A213),入库单!$C$4:$C$2503),""),账期止-$N213)))</f>
        <v/>
      </c>
      <c r="P213" s="17" t="n"/>
    </row>
    <row r="214">
      <c r="A214" s="17" t="inlineStr">
        <is>
          <t>JH0211</t>
        </is>
      </c>
      <c r="B214" s="17" t="inlineStr">
        <is>
          <t>其他</t>
        </is>
      </c>
      <c r="C214" s="17" t="inlineStr">
        <is>
          <t>铜铝接线杆</t>
        </is>
      </c>
      <c r="D214" s="17" t="inlineStr">
        <is>
          <t>240平方</t>
        </is>
      </c>
      <c r="E214" s="17" t="inlineStr">
        <is>
          <t>个</t>
        </is>
      </c>
      <c r="F214" s="17" t="inlineStr">
        <is>
          <t>否</t>
        </is>
      </c>
      <c r="G214" s="23" t="n"/>
      <c r="H214" s="24">
        <f>IF($A214="","",IFERROR(LOOKUP(2,1/((入库单!$G$4:$G$2503=$A214)*(入库单!$Y$4:$Y$2503="正常")*(入库单!$L$4:$L$2503&gt;0)),入库单!$D$4:$D$2503),""))</f>
        <v/>
      </c>
      <c r="I214" s="25">
        <f>IF($A214="","",IFERROR(LOOKUP(2,1/((入库单!$G$4:$G$2503=$A214)*(入库单!$Y$4:$Y$2503="正常")*(入库单!$L$4:$L$2503&gt;0)),入库单!$L$4:$L$2503),0))</f>
        <v/>
      </c>
      <c r="J214" s="26">
        <f>IF($A214="","",IF($H214="A国内",ROUND($I214*倍数A*汇率,0),IF($H214="B当地",ROUND($I214*系数B,0),0)))</f>
        <v/>
      </c>
      <c r="K214" s="24">
        <f>IF($A214="","",IF(COUNTIFS(入库单!$G$4:$G$2503,$A214,入库单!$X$4:$X$2503,"待补价")&gt;0,"待补价",IF(COUNTIFS(入库单!$G$4:$G$2503,$A214,入库单!$X$4:$X$2503,"暂估")&gt;0,"暂估",IF($I214=0,"没有进价","正常"))))</f>
        <v/>
      </c>
      <c r="L214" s="27">
        <f>IF($A214="","",IFERROR(VLOOKUP($A214,库存台账!$A$5:$Y$1204,24,0),0))</f>
        <v/>
      </c>
      <c r="M214" s="26">
        <f>IF($A214="","",IFERROR(VLOOKUP($A214,库存台账!$A$5:$Y$1204,25,0),0))</f>
        <v/>
      </c>
      <c r="N214" s="19">
        <f>IF($A214="","",IFERROR(LOOKUP(2,1/((出库单!$D$4:$D$4003=$A214)*(出库单!$T$4:$T$4003="正常")),出库单!$C$4:$C$4003),""))</f>
        <v/>
      </c>
      <c r="O214" s="28">
        <f>IF($A214="","",IF($L214&lt;=0,"",IF($N214="",IFERROR(账期止-LOOKUP(2,1/(入库单!$G$4:$G$2503=$A214),入库单!$C$4:$C$2503),""),账期止-$N214)))</f>
        <v/>
      </c>
      <c r="P214" s="17" t="n"/>
    </row>
    <row r="215">
      <c r="A215" s="17" t="inlineStr">
        <is>
          <t>JH0212</t>
        </is>
      </c>
      <c r="B215" s="17" t="inlineStr">
        <is>
          <t>其他</t>
        </is>
      </c>
      <c r="C215" s="17" t="inlineStr">
        <is>
          <t>铜铝接线杆</t>
        </is>
      </c>
      <c r="D215" s="17" t="inlineStr">
        <is>
          <t>120平方</t>
        </is>
      </c>
      <c r="E215" s="17" t="inlineStr">
        <is>
          <t>个</t>
        </is>
      </c>
      <c r="F215" s="17" t="inlineStr">
        <is>
          <t>否</t>
        </is>
      </c>
      <c r="G215" s="23" t="n"/>
      <c r="H215" s="24">
        <f>IF($A215="","",IFERROR(LOOKUP(2,1/((入库单!$G$4:$G$2503=$A215)*(入库单!$Y$4:$Y$2503="正常")*(入库单!$L$4:$L$2503&gt;0)),入库单!$D$4:$D$2503),""))</f>
        <v/>
      </c>
      <c r="I215" s="25">
        <f>IF($A215="","",IFERROR(LOOKUP(2,1/((入库单!$G$4:$G$2503=$A215)*(入库单!$Y$4:$Y$2503="正常")*(入库单!$L$4:$L$2503&gt;0)),入库单!$L$4:$L$2503),0))</f>
        <v/>
      </c>
      <c r="J215" s="26">
        <f>IF($A215="","",IF($H215="A国内",ROUND($I215*倍数A*汇率,0),IF($H215="B当地",ROUND($I215*系数B,0),0)))</f>
        <v/>
      </c>
      <c r="K215" s="24">
        <f>IF($A215="","",IF(COUNTIFS(入库单!$G$4:$G$2503,$A215,入库单!$X$4:$X$2503,"待补价")&gt;0,"待补价",IF(COUNTIFS(入库单!$G$4:$G$2503,$A215,入库单!$X$4:$X$2503,"暂估")&gt;0,"暂估",IF($I215=0,"没有进价","正常"))))</f>
        <v/>
      </c>
      <c r="L215" s="27">
        <f>IF($A215="","",IFERROR(VLOOKUP($A215,库存台账!$A$5:$Y$1204,24,0),0))</f>
        <v/>
      </c>
      <c r="M215" s="26">
        <f>IF($A215="","",IFERROR(VLOOKUP($A215,库存台账!$A$5:$Y$1204,25,0),0))</f>
        <v/>
      </c>
      <c r="N215" s="19">
        <f>IF($A215="","",IFERROR(LOOKUP(2,1/((出库单!$D$4:$D$4003=$A215)*(出库单!$T$4:$T$4003="正常")),出库单!$C$4:$C$4003),""))</f>
        <v/>
      </c>
      <c r="O215" s="28">
        <f>IF($A215="","",IF($L215&lt;=0,"",IF($N215="",IFERROR(账期止-LOOKUP(2,1/(入库单!$G$4:$G$2503=$A215),入库单!$C$4:$C$2503),""),账期止-$N215)))</f>
        <v/>
      </c>
      <c r="P215" s="17" t="n"/>
    </row>
    <row r="216">
      <c r="A216" s="17" t="inlineStr">
        <is>
          <t>JH0213</t>
        </is>
      </c>
      <c r="B216" s="17" t="inlineStr">
        <is>
          <t>其他</t>
        </is>
      </c>
      <c r="C216" s="17" t="inlineStr">
        <is>
          <t>铜接线杆</t>
        </is>
      </c>
      <c r="D216" s="17" t="inlineStr">
        <is>
          <t>150平方</t>
        </is>
      </c>
      <c r="E216" s="17" t="inlineStr">
        <is>
          <t>个</t>
        </is>
      </c>
      <c r="F216" s="17" t="inlineStr">
        <is>
          <t>否</t>
        </is>
      </c>
      <c r="G216" s="23" t="n"/>
      <c r="H216" s="24">
        <f>IF($A216="","",IFERROR(LOOKUP(2,1/((入库单!$G$4:$G$2503=$A216)*(入库单!$Y$4:$Y$2503="正常")*(入库单!$L$4:$L$2503&gt;0)),入库单!$D$4:$D$2503),""))</f>
        <v/>
      </c>
      <c r="I216" s="25">
        <f>IF($A216="","",IFERROR(LOOKUP(2,1/((入库单!$G$4:$G$2503=$A216)*(入库单!$Y$4:$Y$2503="正常")*(入库单!$L$4:$L$2503&gt;0)),入库单!$L$4:$L$2503),0))</f>
        <v/>
      </c>
      <c r="J216" s="26">
        <f>IF($A216="","",IF($H216="A国内",ROUND($I216*倍数A*汇率,0),IF($H216="B当地",ROUND($I216*系数B,0),0)))</f>
        <v/>
      </c>
      <c r="K216" s="24">
        <f>IF($A216="","",IF(COUNTIFS(入库单!$G$4:$G$2503,$A216,入库单!$X$4:$X$2503,"待补价")&gt;0,"待补价",IF(COUNTIFS(入库单!$G$4:$G$2503,$A216,入库单!$X$4:$X$2503,"暂估")&gt;0,"暂估",IF($I216=0,"没有进价","正常"))))</f>
        <v/>
      </c>
      <c r="L216" s="27">
        <f>IF($A216="","",IFERROR(VLOOKUP($A216,库存台账!$A$5:$Y$1204,24,0),0))</f>
        <v/>
      </c>
      <c r="M216" s="26">
        <f>IF($A216="","",IFERROR(VLOOKUP($A216,库存台账!$A$5:$Y$1204,25,0),0))</f>
        <v/>
      </c>
      <c r="N216" s="19">
        <f>IF($A216="","",IFERROR(LOOKUP(2,1/((出库单!$D$4:$D$4003=$A216)*(出库单!$T$4:$T$4003="正常")),出库单!$C$4:$C$4003),""))</f>
        <v/>
      </c>
      <c r="O216" s="28">
        <f>IF($A216="","",IF($L216&lt;=0,"",IF($N216="",IFERROR(账期止-LOOKUP(2,1/(入库单!$G$4:$G$2503=$A216),入库单!$C$4:$C$2503),""),账期止-$N216)))</f>
        <v/>
      </c>
      <c r="P216" s="17" t="n"/>
    </row>
    <row r="217">
      <c r="A217" s="17" t="inlineStr">
        <is>
          <t>JH0214</t>
        </is>
      </c>
      <c r="B217" s="17" t="inlineStr">
        <is>
          <t>其他</t>
        </is>
      </c>
      <c r="C217" s="17" t="inlineStr">
        <is>
          <t>铜接线杆</t>
        </is>
      </c>
      <c r="D217" s="17" t="inlineStr">
        <is>
          <t>95平方</t>
        </is>
      </c>
      <c r="E217" s="17" t="inlineStr">
        <is>
          <t>个</t>
        </is>
      </c>
      <c r="F217" s="17" t="inlineStr">
        <is>
          <t>否</t>
        </is>
      </c>
      <c r="G217" s="23" t="n"/>
      <c r="H217" s="24">
        <f>IF($A217="","",IFERROR(LOOKUP(2,1/((入库单!$G$4:$G$2503=$A217)*(入库单!$Y$4:$Y$2503="正常")*(入库单!$L$4:$L$2503&gt;0)),入库单!$D$4:$D$2503),""))</f>
        <v/>
      </c>
      <c r="I217" s="25">
        <f>IF($A217="","",IFERROR(LOOKUP(2,1/((入库单!$G$4:$G$2503=$A217)*(入库单!$Y$4:$Y$2503="正常")*(入库单!$L$4:$L$2503&gt;0)),入库单!$L$4:$L$2503),0))</f>
        <v/>
      </c>
      <c r="J217" s="26">
        <f>IF($A217="","",IF($H217="A国内",ROUND($I217*倍数A*汇率,0),IF($H217="B当地",ROUND($I217*系数B,0),0)))</f>
        <v/>
      </c>
      <c r="K217" s="24">
        <f>IF($A217="","",IF(COUNTIFS(入库单!$G$4:$G$2503,$A217,入库单!$X$4:$X$2503,"待补价")&gt;0,"待补价",IF(COUNTIFS(入库单!$G$4:$G$2503,$A217,入库单!$X$4:$X$2503,"暂估")&gt;0,"暂估",IF($I217=0,"没有进价","正常"))))</f>
        <v/>
      </c>
      <c r="L217" s="27">
        <f>IF($A217="","",IFERROR(VLOOKUP($A217,库存台账!$A$5:$Y$1204,24,0),0))</f>
        <v/>
      </c>
      <c r="M217" s="26">
        <f>IF($A217="","",IFERROR(VLOOKUP($A217,库存台账!$A$5:$Y$1204,25,0),0))</f>
        <v/>
      </c>
      <c r="N217" s="19">
        <f>IF($A217="","",IFERROR(LOOKUP(2,1/((出库单!$D$4:$D$4003=$A217)*(出库单!$T$4:$T$4003="正常")),出库单!$C$4:$C$4003),""))</f>
        <v/>
      </c>
      <c r="O217" s="28">
        <f>IF($A217="","",IF($L217&lt;=0,"",IF($N217="",IFERROR(账期止-LOOKUP(2,1/(入库单!$G$4:$G$2503=$A217),入库单!$C$4:$C$2503),""),账期止-$N217)))</f>
        <v/>
      </c>
      <c r="P217" s="17" t="n"/>
    </row>
    <row r="218">
      <c r="A218" s="17" t="inlineStr">
        <is>
          <t>JH0215</t>
        </is>
      </c>
      <c r="B218" s="17" t="inlineStr">
        <is>
          <t>其他</t>
        </is>
      </c>
      <c r="C218" s="17" t="inlineStr">
        <is>
          <t>铜接线杆</t>
        </is>
      </c>
      <c r="D218" s="17" t="inlineStr">
        <is>
          <t>70平方</t>
        </is>
      </c>
      <c r="E218" s="17" t="inlineStr">
        <is>
          <t>个</t>
        </is>
      </c>
      <c r="F218" s="17" t="inlineStr">
        <is>
          <t>否</t>
        </is>
      </c>
      <c r="G218" s="23" t="n"/>
      <c r="H218" s="24">
        <f>IF($A218="","",IFERROR(LOOKUP(2,1/((入库单!$G$4:$G$2503=$A218)*(入库单!$Y$4:$Y$2503="正常")*(入库单!$L$4:$L$2503&gt;0)),入库单!$D$4:$D$2503),""))</f>
        <v/>
      </c>
      <c r="I218" s="25">
        <f>IF($A218="","",IFERROR(LOOKUP(2,1/((入库单!$G$4:$G$2503=$A218)*(入库单!$Y$4:$Y$2503="正常")*(入库单!$L$4:$L$2503&gt;0)),入库单!$L$4:$L$2503),0))</f>
        <v/>
      </c>
      <c r="J218" s="26">
        <f>IF($A218="","",IF($H218="A国内",ROUND($I218*倍数A*汇率,0),IF($H218="B当地",ROUND($I218*系数B,0),0)))</f>
        <v/>
      </c>
      <c r="K218" s="24">
        <f>IF($A218="","",IF(COUNTIFS(入库单!$G$4:$G$2503,$A218,入库单!$X$4:$X$2503,"待补价")&gt;0,"待补价",IF(COUNTIFS(入库单!$G$4:$G$2503,$A218,入库单!$X$4:$X$2503,"暂估")&gt;0,"暂估",IF($I218=0,"没有进价","正常"))))</f>
        <v/>
      </c>
      <c r="L218" s="27">
        <f>IF($A218="","",IFERROR(VLOOKUP($A218,库存台账!$A$5:$Y$1204,24,0),0))</f>
        <v/>
      </c>
      <c r="M218" s="26">
        <f>IF($A218="","",IFERROR(VLOOKUP($A218,库存台账!$A$5:$Y$1204,25,0),0))</f>
        <v/>
      </c>
      <c r="N218" s="19">
        <f>IF($A218="","",IFERROR(LOOKUP(2,1/((出库单!$D$4:$D$4003=$A218)*(出库单!$T$4:$T$4003="正常")),出库单!$C$4:$C$4003),""))</f>
        <v/>
      </c>
      <c r="O218" s="28">
        <f>IF($A218="","",IF($L218&lt;=0,"",IF($N218="",IFERROR(账期止-LOOKUP(2,1/(入库单!$G$4:$G$2503=$A218),入库单!$C$4:$C$2503),""),账期止-$N218)))</f>
        <v/>
      </c>
      <c r="P218" s="17" t="n"/>
    </row>
    <row r="219">
      <c r="A219" s="17" t="inlineStr">
        <is>
          <t>JH0216</t>
        </is>
      </c>
      <c r="B219" s="17" t="inlineStr">
        <is>
          <t>其他</t>
        </is>
      </c>
      <c r="C219" s="17" t="inlineStr">
        <is>
          <t>铜接线杆</t>
        </is>
      </c>
      <c r="D219" s="17" t="inlineStr">
        <is>
          <t>35平方</t>
        </is>
      </c>
      <c r="E219" s="17" t="inlineStr">
        <is>
          <t>个</t>
        </is>
      </c>
      <c r="F219" s="17" t="inlineStr">
        <is>
          <t>否</t>
        </is>
      </c>
      <c r="G219" s="23" t="n"/>
      <c r="H219" s="24">
        <f>IF($A219="","",IFERROR(LOOKUP(2,1/((入库单!$G$4:$G$2503=$A219)*(入库单!$Y$4:$Y$2503="正常")*(入库单!$L$4:$L$2503&gt;0)),入库单!$D$4:$D$2503),""))</f>
        <v/>
      </c>
      <c r="I219" s="25">
        <f>IF($A219="","",IFERROR(LOOKUP(2,1/((入库单!$G$4:$G$2503=$A219)*(入库单!$Y$4:$Y$2503="正常")*(入库单!$L$4:$L$2503&gt;0)),入库单!$L$4:$L$2503),0))</f>
        <v/>
      </c>
      <c r="J219" s="26">
        <f>IF($A219="","",IF($H219="A国内",ROUND($I219*倍数A*汇率,0),IF($H219="B当地",ROUND($I219*系数B,0),0)))</f>
        <v/>
      </c>
      <c r="K219" s="24">
        <f>IF($A219="","",IF(COUNTIFS(入库单!$G$4:$G$2503,$A219,入库单!$X$4:$X$2503,"待补价")&gt;0,"待补价",IF(COUNTIFS(入库单!$G$4:$G$2503,$A219,入库单!$X$4:$X$2503,"暂估")&gt;0,"暂估",IF($I219=0,"没有进价","正常"))))</f>
        <v/>
      </c>
      <c r="L219" s="27">
        <f>IF($A219="","",IFERROR(VLOOKUP($A219,库存台账!$A$5:$Y$1204,24,0),0))</f>
        <v/>
      </c>
      <c r="M219" s="26">
        <f>IF($A219="","",IFERROR(VLOOKUP($A219,库存台账!$A$5:$Y$1204,25,0),0))</f>
        <v/>
      </c>
      <c r="N219" s="19">
        <f>IF($A219="","",IFERROR(LOOKUP(2,1/((出库单!$D$4:$D$4003=$A219)*(出库单!$T$4:$T$4003="正常")),出库单!$C$4:$C$4003),""))</f>
        <v/>
      </c>
      <c r="O219" s="28">
        <f>IF($A219="","",IF($L219&lt;=0,"",IF($N219="",IFERROR(账期止-LOOKUP(2,1/(入库单!$G$4:$G$2503=$A219),入库单!$C$4:$C$2503),""),账期止-$N219)))</f>
        <v/>
      </c>
      <c r="P219" s="17" t="n"/>
    </row>
    <row r="220">
      <c r="A220" s="17" t="inlineStr">
        <is>
          <t>JH0217</t>
        </is>
      </c>
      <c r="B220" s="17" t="inlineStr">
        <is>
          <t>其他</t>
        </is>
      </c>
      <c r="C220" s="17" t="inlineStr">
        <is>
          <t>铜鼻子</t>
        </is>
      </c>
      <c r="D220" s="17" t="inlineStr">
        <is>
          <t>80A</t>
        </is>
      </c>
      <c r="E220" s="17" t="inlineStr">
        <is>
          <t>个</t>
        </is>
      </c>
      <c r="F220" s="17" t="inlineStr">
        <is>
          <t>否</t>
        </is>
      </c>
      <c r="G220" s="23" t="n"/>
      <c r="H220" s="24">
        <f>IF($A220="","",IFERROR(LOOKUP(2,1/((入库单!$G$4:$G$2503=$A220)*(入库单!$Y$4:$Y$2503="正常")*(入库单!$L$4:$L$2503&gt;0)),入库单!$D$4:$D$2503),""))</f>
        <v/>
      </c>
      <c r="I220" s="25">
        <f>IF($A220="","",IFERROR(LOOKUP(2,1/((入库单!$G$4:$G$2503=$A220)*(入库单!$Y$4:$Y$2503="正常")*(入库单!$L$4:$L$2503&gt;0)),入库单!$L$4:$L$2503),0))</f>
        <v/>
      </c>
      <c r="J220" s="26">
        <f>IF($A220="","",IF($H220="A国内",ROUND($I220*倍数A*汇率,0),IF($H220="B当地",ROUND($I220*系数B,0),0)))</f>
        <v/>
      </c>
      <c r="K220" s="24">
        <f>IF($A220="","",IF(COUNTIFS(入库单!$G$4:$G$2503,$A220,入库单!$X$4:$X$2503,"待补价")&gt;0,"待补价",IF(COUNTIFS(入库单!$G$4:$G$2503,$A220,入库单!$X$4:$X$2503,"暂估")&gt;0,"暂估",IF($I220=0,"没有进价","正常"))))</f>
        <v/>
      </c>
      <c r="L220" s="27">
        <f>IF($A220="","",IFERROR(VLOOKUP($A220,库存台账!$A$5:$Y$1204,24,0),0))</f>
        <v/>
      </c>
      <c r="M220" s="26">
        <f>IF($A220="","",IFERROR(VLOOKUP($A220,库存台账!$A$5:$Y$1204,25,0),0))</f>
        <v/>
      </c>
      <c r="N220" s="19">
        <f>IF($A220="","",IFERROR(LOOKUP(2,1/((出库单!$D$4:$D$4003=$A220)*(出库单!$T$4:$T$4003="正常")),出库单!$C$4:$C$4003),""))</f>
        <v/>
      </c>
      <c r="O220" s="28">
        <f>IF($A220="","",IF($L220&lt;=0,"",IF($N220="",IFERROR(账期止-LOOKUP(2,1/(入库单!$G$4:$G$2503=$A220),入库单!$C$4:$C$2503),""),账期止-$N220)))</f>
        <v/>
      </c>
      <c r="P220" s="17" t="n"/>
    </row>
    <row r="221">
      <c r="A221" s="17" t="inlineStr">
        <is>
          <t>JH0218</t>
        </is>
      </c>
      <c r="B221" s="17" t="inlineStr">
        <is>
          <t>其他</t>
        </is>
      </c>
      <c r="C221" s="17" t="inlineStr">
        <is>
          <t>铜铝鼻子</t>
        </is>
      </c>
      <c r="D221" s="17" t="inlineStr"/>
      <c r="E221" s="17" t="inlineStr">
        <is>
          <t>个</t>
        </is>
      </c>
      <c r="F221" s="17" t="inlineStr">
        <is>
          <t>否</t>
        </is>
      </c>
      <c r="G221" s="23" t="n"/>
      <c r="H221" s="24">
        <f>IF($A221="","",IFERROR(LOOKUP(2,1/((入库单!$G$4:$G$2503=$A221)*(入库单!$Y$4:$Y$2503="正常")*(入库单!$L$4:$L$2503&gt;0)),入库单!$D$4:$D$2503),""))</f>
        <v/>
      </c>
      <c r="I221" s="25">
        <f>IF($A221="","",IFERROR(LOOKUP(2,1/((入库单!$G$4:$G$2503=$A221)*(入库单!$Y$4:$Y$2503="正常")*(入库单!$L$4:$L$2503&gt;0)),入库单!$L$4:$L$2503),0))</f>
        <v/>
      </c>
      <c r="J221" s="26">
        <f>IF($A221="","",IF($H221="A国内",ROUND($I221*倍数A*汇率,0),IF($H221="B当地",ROUND($I221*系数B,0),0)))</f>
        <v/>
      </c>
      <c r="K221" s="24">
        <f>IF($A221="","",IF(COUNTIFS(入库单!$G$4:$G$2503,$A221,入库单!$X$4:$X$2503,"待补价")&gt;0,"待补价",IF(COUNTIFS(入库单!$G$4:$G$2503,$A221,入库单!$X$4:$X$2503,"暂估")&gt;0,"暂估",IF($I221=0,"没有进价","正常"))))</f>
        <v/>
      </c>
      <c r="L221" s="27">
        <f>IF($A221="","",IFERROR(VLOOKUP($A221,库存台账!$A$5:$Y$1204,24,0),0))</f>
        <v/>
      </c>
      <c r="M221" s="26">
        <f>IF($A221="","",IFERROR(VLOOKUP($A221,库存台账!$A$5:$Y$1204,25,0),0))</f>
        <v/>
      </c>
      <c r="N221" s="19">
        <f>IF($A221="","",IFERROR(LOOKUP(2,1/((出库单!$D$4:$D$4003=$A221)*(出库单!$T$4:$T$4003="正常")),出库单!$C$4:$C$4003),""))</f>
        <v/>
      </c>
      <c r="O221" s="28">
        <f>IF($A221="","",IF($L221&lt;=0,"",IF($N221="",IFERROR(账期止-LOOKUP(2,1/(入库单!$G$4:$G$2503=$A221),入库单!$C$4:$C$2503),""),账期止-$N221)))</f>
        <v/>
      </c>
      <c r="P221" s="17" t="n"/>
    </row>
    <row r="222">
      <c r="A222" s="17" t="inlineStr">
        <is>
          <t>JH0219</t>
        </is>
      </c>
      <c r="B222" s="17" t="inlineStr">
        <is>
          <t>五金管件</t>
        </is>
      </c>
      <c r="C222" s="17" t="inlineStr">
        <is>
          <t>比例溢流阀</t>
        </is>
      </c>
      <c r="D222" s="17" t="inlineStr">
        <is>
          <t>EDG-02-B-10</t>
        </is>
      </c>
      <c r="E222" s="17" t="inlineStr">
        <is>
          <t>个</t>
        </is>
      </c>
      <c r="F222" s="17" t="inlineStr">
        <is>
          <t>否</t>
        </is>
      </c>
      <c r="G222" s="23" t="n"/>
      <c r="H222" s="24">
        <f>IF($A222="","",IFERROR(LOOKUP(2,1/((入库单!$G$4:$G$2503=$A222)*(入库单!$Y$4:$Y$2503="正常")*(入库单!$L$4:$L$2503&gt;0)),入库单!$D$4:$D$2503),""))</f>
        <v/>
      </c>
      <c r="I222" s="25">
        <f>IF($A222="","",IFERROR(LOOKUP(2,1/((入库单!$G$4:$G$2503=$A222)*(入库单!$Y$4:$Y$2503="正常")*(入库单!$L$4:$L$2503&gt;0)),入库单!$L$4:$L$2503),0))</f>
        <v/>
      </c>
      <c r="J222" s="26">
        <f>IF($A222="","",IF($H222="A国内",ROUND($I222*倍数A*汇率,0),IF($H222="B当地",ROUND($I222*系数B,0),0)))</f>
        <v/>
      </c>
      <c r="K222" s="24">
        <f>IF($A222="","",IF(COUNTIFS(入库单!$G$4:$G$2503,$A222,入库单!$X$4:$X$2503,"待补价")&gt;0,"待补价",IF(COUNTIFS(入库单!$G$4:$G$2503,$A222,入库单!$X$4:$X$2503,"暂估")&gt;0,"暂估",IF($I222=0,"没有进价","正常"))))</f>
        <v/>
      </c>
      <c r="L222" s="27">
        <f>IF($A222="","",IFERROR(VLOOKUP($A222,库存台账!$A$5:$Y$1204,24,0),0))</f>
        <v/>
      </c>
      <c r="M222" s="26">
        <f>IF($A222="","",IFERROR(VLOOKUP($A222,库存台账!$A$5:$Y$1204,25,0),0))</f>
        <v/>
      </c>
      <c r="N222" s="19">
        <f>IF($A222="","",IFERROR(LOOKUP(2,1/((出库单!$D$4:$D$4003=$A222)*(出库单!$T$4:$T$4003="正常")),出库单!$C$4:$C$4003),""))</f>
        <v/>
      </c>
      <c r="O222" s="28">
        <f>IF($A222="","",IF($L222&lt;=0,"",IF($N222="",IFERROR(账期止-LOOKUP(2,1/(入库单!$G$4:$G$2503=$A222),入库单!$C$4:$C$2503),""),账期止-$N222)))</f>
        <v/>
      </c>
      <c r="P222" s="17" t="n"/>
    </row>
    <row r="223">
      <c r="A223" s="17" t="inlineStr">
        <is>
          <t>JH0220</t>
        </is>
      </c>
      <c r="B223" s="17" t="inlineStr">
        <is>
          <t>其他</t>
        </is>
      </c>
      <c r="C223" s="17" t="inlineStr">
        <is>
          <t>编码器</t>
        </is>
      </c>
      <c r="D223" s="17" t="inlineStr">
        <is>
          <t>1024BF</t>
        </is>
      </c>
      <c r="E223" s="17" t="inlineStr">
        <is>
          <t>个</t>
        </is>
      </c>
      <c r="F223" s="17" t="inlineStr">
        <is>
          <t>否</t>
        </is>
      </c>
      <c r="G223" s="23" t="n"/>
      <c r="H223" s="24">
        <f>IF($A223="","",IFERROR(LOOKUP(2,1/((入库单!$G$4:$G$2503=$A223)*(入库单!$Y$4:$Y$2503="正常")*(入库单!$L$4:$L$2503&gt;0)),入库单!$D$4:$D$2503),""))</f>
        <v/>
      </c>
      <c r="I223" s="25">
        <f>IF($A223="","",IFERROR(LOOKUP(2,1/((入库单!$G$4:$G$2503=$A223)*(入库单!$Y$4:$Y$2503="正常")*(入库单!$L$4:$L$2503&gt;0)),入库单!$L$4:$L$2503),0))</f>
        <v/>
      </c>
      <c r="J223" s="26">
        <f>IF($A223="","",IF($H223="A国内",ROUND($I223*倍数A*汇率,0),IF($H223="B当地",ROUND($I223*系数B,0),0)))</f>
        <v/>
      </c>
      <c r="K223" s="24">
        <f>IF($A223="","",IF(COUNTIFS(入库单!$G$4:$G$2503,$A223,入库单!$X$4:$X$2503,"待补价")&gt;0,"待补价",IF(COUNTIFS(入库单!$G$4:$G$2503,$A223,入库单!$X$4:$X$2503,"暂估")&gt;0,"暂估",IF($I223=0,"没有进价","正常"))))</f>
        <v/>
      </c>
      <c r="L223" s="27">
        <f>IF($A223="","",IFERROR(VLOOKUP($A223,库存台账!$A$5:$Y$1204,24,0),0))</f>
        <v/>
      </c>
      <c r="M223" s="26">
        <f>IF($A223="","",IFERROR(VLOOKUP($A223,库存台账!$A$5:$Y$1204,25,0),0))</f>
        <v/>
      </c>
      <c r="N223" s="19">
        <f>IF($A223="","",IFERROR(LOOKUP(2,1/((出库单!$D$4:$D$4003=$A223)*(出库单!$T$4:$T$4003="正常")),出库单!$C$4:$C$4003),""))</f>
        <v/>
      </c>
      <c r="O223" s="28">
        <f>IF($A223="","",IF($L223&lt;=0,"",IF($N223="",IFERROR(账期止-LOOKUP(2,1/(入库单!$G$4:$G$2503=$A223),入库单!$C$4:$C$2503),""),账期止-$N223)))</f>
        <v/>
      </c>
      <c r="P223" s="17" t="n"/>
    </row>
    <row r="224">
      <c r="A224" s="17" t="inlineStr">
        <is>
          <t>JH0221</t>
        </is>
      </c>
      <c r="B224" s="17" t="inlineStr">
        <is>
          <t>电缆电气</t>
        </is>
      </c>
      <c r="C224" s="17" t="inlineStr">
        <is>
          <t>开关电源</t>
        </is>
      </c>
      <c r="D224" s="17" t="inlineStr">
        <is>
          <t>EDR-150-24</t>
        </is>
      </c>
      <c r="E224" s="17" t="inlineStr">
        <is>
          <t>个</t>
        </is>
      </c>
      <c r="F224" s="17" t="inlineStr">
        <is>
          <t>否</t>
        </is>
      </c>
      <c r="G224" s="23" t="n"/>
      <c r="H224" s="24">
        <f>IF($A224="","",IFERROR(LOOKUP(2,1/((入库单!$G$4:$G$2503=$A224)*(入库单!$Y$4:$Y$2503="正常")*(入库单!$L$4:$L$2503&gt;0)),入库单!$D$4:$D$2503),""))</f>
        <v/>
      </c>
      <c r="I224" s="25">
        <f>IF($A224="","",IFERROR(LOOKUP(2,1/((入库单!$G$4:$G$2503=$A224)*(入库单!$Y$4:$Y$2503="正常")*(入库单!$L$4:$L$2503&gt;0)),入库单!$L$4:$L$2503),0))</f>
        <v/>
      </c>
      <c r="J224" s="26">
        <f>IF($A224="","",IF($H224="A国内",ROUND($I224*倍数A*汇率,0),IF($H224="B当地",ROUND($I224*系数B,0),0)))</f>
        <v/>
      </c>
      <c r="K224" s="24">
        <f>IF($A224="","",IF(COUNTIFS(入库单!$G$4:$G$2503,$A224,入库单!$X$4:$X$2503,"待补价")&gt;0,"待补价",IF(COUNTIFS(入库单!$G$4:$G$2503,$A224,入库单!$X$4:$X$2503,"暂估")&gt;0,"暂估",IF($I224=0,"没有进价","正常"))))</f>
        <v/>
      </c>
      <c r="L224" s="27">
        <f>IF($A224="","",IFERROR(VLOOKUP($A224,库存台账!$A$5:$Y$1204,24,0),0))</f>
        <v/>
      </c>
      <c r="M224" s="26">
        <f>IF($A224="","",IFERROR(VLOOKUP($A224,库存台账!$A$5:$Y$1204,25,0),0))</f>
        <v/>
      </c>
      <c r="N224" s="19">
        <f>IF($A224="","",IFERROR(LOOKUP(2,1/((出库单!$D$4:$D$4003=$A224)*(出库单!$T$4:$T$4003="正常")),出库单!$C$4:$C$4003),""))</f>
        <v/>
      </c>
      <c r="O224" s="28">
        <f>IF($A224="","",IF($L224&lt;=0,"",IF($N224="",IFERROR(账期止-LOOKUP(2,1/(入库单!$G$4:$G$2503=$A224),入库单!$C$4:$C$2503),""),账期止-$N224)))</f>
        <v/>
      </c>
      <c r="P224" s="17" t="n"/>
    </row>
    <row r="225">
      <c r="A225" s="17" t="inlineStr">
        <is>
          <t>JH0222</t>
        </is>
      </c>
      <c r="B225" s="17" t="inlineStr">
        <is>
          <t>其他</t>
        </is>
      </c>
      <c r="C225" s="17" t="inlineStr">
        <is>
          <t>主令手柄</t>
        </is>
      </c>
      <c r="D225" s="17" t="inlineStr">
        <is>
          <t>YJ200-MS-V2(10K)-03(589)-HD6</t>
        </is>
      </c>
      <c r="E225" s="17" t="inlineStr">
        <is>
          <t>个</t>
        </is>
      </c>
      <c r="F225" s="17" t="inlineStr">
        <is>
          <t>否</t>
        </is>
      </c>
      <c r="G225" s="23" t="n"/>
      <c r="H225" s="24">
        <f>IF($A225="","",IFERROR(LOOKUP(2,1/((入库单!$G$4:$G$2503=$A225)*(入库单!$Y$4:$Y$2503="正常")*(入库单!$L$4:$L$2503&gt;0)),入库单!$D$4:$D$2503),""))</f>
        <v/>
      </c>
      <c r="I225" s="25">
        <f>IF($A225="","",IFERROR(LOOKUP(2,1/((入库单!$G$4:$G$2503=$A225)*(入库单!$Y$4:$Y$2503="正常")*(入库单!$L$4:$L$2503&gt;0)),入库单!$L$4:$L$2503),0))</f>
        <v/>
      </c>
      <c r="J225" s="26">
        <f>IF($A225="","",IF($H225="A国内",ROUND($I225*倍数A*汇率,0),IF($H225="B当地",ROUND($I225*系数B,0),0)))</f>
        <v/>
      </c>
      <c r="K225" s="24">
        <f>IF($A225="","",IF(COUNTIFS(入库单!$G$4:$G$2503,$A225,入库单!$X$4:$X$2503,"待补价")&gt;0,"待补价",IF(COUNTIFS(入库单!$G$4:$G$2503,$A225,入库单!$X$4:$X$2503,"暂估")&gt;0,"暂估",IF($I225=0,"没有进价","正常"))))</f>
        <v/>
      </c>
      <c r="L225" s="27">
        <f>IF($A225="","",IFERROR(VLOOKUP($A225,库存台账!$A$5:$Y$1204,24,0),0))</f>
        <v/>
      </c>
      <c r="M225" s="26">
        <f>IF($A225="","",IFERROR(VLOOKUP($A225,库存台账!$A$5:$Y$1204,25,0),0))</f>
        <v/>
      </c>
      <c r="N225" s="19">
        <f>IF($A225="","",IFERROR(LOOKUP(2,1/((出库单!$D$4:$D$4003=$A225)*(出库单!$T$4:$T$4003="正常")),出库单!$C$4:$C$4003),""))</f>
        <v/>
      </c>
      <c r="O225" s="28">
        <f>IF($A225="","",IF($L225&lt;=0,"",IF($N225="",IFERROR(账期止-LOOKUP(2,1/(入库单!$G$4:$G$2503=$A225),入库单!$C$4:$C$2503),""),账期止-$N225)))</f>
        <v/>
      </c>
      <c r="P225" s="17" t="n"/>
    </row>
    <row r="226">
      <c r="A226" s="17" t="inlineStr">
        <is>
          <t>JH0223</t>
        </is>
      </c>
      <c r="B226" s="17" t="inlineStr">
        <is>
          <t>其他</t>
        </is>
      </c>
      <c r="C226" s="17" t="inlineStr">
        <is>
          <t>刹车手柄</t>
        </is>
      </c>
      <c r="D226" s="17" t="inlineStr">
        <is>
          <t>YJ200-MS-V5(10K)-02(13)-HD6</t>
        </is>
      </c>
      <c r="E226" s="17" t="inlineStr">
        <is>
          <t>个</t>
        </is>
      </c>
      <c r="F226" s="17" t="inlineStr">
        <is>
          <t>否</t>
        </is>
      </c>
      <c r="G226" s="23" t="n"/>
      <c r="H226" s="24">
        <f>IF($A226="","",IFERROR(LOOKUP(2,1/((入库单!$G$4:$G$2503=$A226)*(入库单!$Y$4:$Y$2503="正常")*(入库单!$L$4:$L$2503&gt;0)),入库单!$D$4:$D$2503),""))</f>
        <v/>
      </c>
      <c r="I226" s="25">
        <f>IF($A226="","",IFERROR(LOOKUP(2,1/((入库单!$G$4:$G$2503=$A226)*(入库单!$Y$4:$Y$2503="正常")*(入库单!$L$4:$L$2503&gt;0)),入库单!$L$4:$L$2503),0))</f>
        <v/>
      </c>
      <c r="J226" s="26">
        <f>IF($A226="","",IF($H226="A国内",ROUND($I226*倍数A*汇率,0),IF($H226="B当地",ROUND($I226*系数B,0),0)))</f>
        <v/>
      </c>
      <c r="K226" s="24">
        <f>IF($A226="","",IF(COUNTIFS(入库单!$G$4:$G$2503,$A226,入库单!$X$4:$X$2503,"待补价")&gt;0,"待补价",IF(COUNTIFS(入库单!$G$4:$G$2503,$A226,入库单!$X$4:$X$2503,"暂估")&gt;0,"暂估",IF($I226=0,"没有进价","正常"))))</f>
        <v/>
      </c>
      <c r="L226" s="27">
        <f>IF($A226="","",IFERROR(VLOOKUP($A226,库存台账!$A$5:$Y$1204,24,0),0))</f>
        <v/>
      </c>
      <c r="M226" s="26">
        <f>IF($A226="","",IFERROR(VLOOKUP($A226,库存台账!$A$5:$Y$1204,25,0),0))</f>
        <v/>
      </c>
      <c r="N226" s="19">
        <f>IF($A226="","",IFERROR(LOOKUP(2,1/((出库单!$D$4:$D$4003=$A226)*(出库单!$T$4:$T$4003="正常")),出库单!$C$4:$C$4003),""))</f>
        <v/>
      </c>
      <c r="O226" s="28">
        <f>IF($A226="","",IF($L226&lt;=0,"",IF($N226="",IFERROR(账期止-LOOKUP(2,1/(入库单!$G$4:$G$2503=$A226),入库单!$C$4:$C$2503),""),账期止-$N226)))</f>
        <v/>
      </c>
      <c r="P226" s="17" t="n"/>
    </row>
    <row r="227">
      <c r="A227" s="17" t="inlineStr">
        <is>
          <t>JH0224</t>
        </is>
      </c>
      <c r="B227" s="17" t="inlineStr">
        <is>
          <t>其他</t>
        </is>
      </c>
      <c r="C227" s="17" t="inlineStr">
        <is>
          <t>继电器</t>
        </is>
      </c>
      <c r="D227" s="17" t="inlineStr">
        <is>
          <t>24V-5A</t>
        </is>
      </c>
      <c r="E227" s="17" t="inlineStr">
        <is>
          <t>套</t>
        </is>
      </c>
      <c r="F227" s="17" t="inlineStr">
        <is>
          <t>否</t>
        </is>
      </c>
      <c r="G227" s="23" t="n"/>
      <c r="H227" s="24">
        <f>IF($A227="","",IFERROR(LOOKUP(2,1/((入库单!$G$4:$G$2503=$A227)*(入库单!$Y$4:$Y$2503="正常")*(入库单!$L$4:$L$2503&gt;0)),入库单!$D$4:$D$2503),""))</f>
        <v/>
      </c>
      <c r="I227" s="25">
        <f>IF($A227="","",IFERROR(LOOKUP(2,1/((入库单!$G$4:$G$2503=$A227)*(入库单!$Y$4:$Y$2503="正常")*(入库单!$L$4:$L$2503&gt;0)),入库单!$L$4:$L$2503),0))</f>
        <v/>
      </c>
      <c r="J227" s="26">
        <f>IF($A227="","",IF($H227="A国内",ROUND($I227*倍数A*汇率,0),IF($H227="B当地",ROUND($I227*系数B,0),0)))</f>
        <v/>
      </c>
      <c r="K227" s="24">
        <f>IF($A227="","",IF(COUNTIFS(入库单!$G$4:$G$2503,$A227,入库单!$X$4:$X$2503,"待补价")&gt;0,"待补价",IF(COUNTIFS(入库单!$G$4:$G$2503,$A227,入库单!$X$4:$X$2503,"暂估")&gt;0,"暂估",IF($I227=0,"没有进价","正常"))))</f>
        <v/>
      </c>
      <c r="L227" s="27">
        <f>IF($A227="","",IFERROR(VLOOKUP($A227,库存台账!$A$5:$Y$1204,24,0),0))</f>
        <v/>
      </c>
      <c r="M227" s="26">
        <f>IF($A227="","",IFERROR(VLOOKUP($A227,库存台账!$A$5:$Y$1204,25,0),0))</f>
        <v/>
      </c>
      <c r="N227" s="19">
        <f>IF($A227="","",IFERROR(LOOKUP(2,1/((出库单!$D$4:$D$4003=$A227)*(出库单!$T$4:$T$4003="正常")),出库单!$C$4:$C$4003),""))</f>
        <v/>
      </c>
      <c r="O227" s="28">
        <f>IF($A227="","",IF($L227&lt;=0,"",IF($N227="",IFERROR(账期止-LOOKUP(2,1/(入库单!$G$4:$G$2503=$A227),入库单!$C$4:$C$2503),""),账期止-$N227)))</f>
        <v/>
      </c>
      <c r="P227" s="17" t="n"/>
    </row>
    <row r="228">
      <c r="A228" s="17" t="inlineStr">
        <is>
          <t>JH0225</t>
        </is>
      </c>
      <c r="B228" s="17" t="inlineStr">
        <is>
          <t>其他</t>
        </is>
      </c>
      <c r="C228" s="17" t="inlineStr">
        <is>
          <t>继电器</t>
        </is>
      </c>
      <c r="D228" s="17" t="inlineStr">
        <is>
          <t>220V-5A</t>
        </is>
      </c>
      <c r="E228" s="17" t="inlineStr">
        <is>
          <t>套</t>
        </is>
      </c>
      <c r="F228" s="17" t="inlineStr">
        <is>
          <t>否</t>
        </is>
      </c>
      <c r="G228" s="23" t="n"/>
      <c r="H228" s="24">
        <f>IF($A228="","",IFERROR(LOOKUP(2,1/((入库单!$G$4:$G$2503=$A228)*(入库单!$Y$4:$Y$2503="正常")*(入库单!$L$4:$L$2503&gt;0)),入库单!$D$4:$D$2503),""))</f>
        <v/>
      </c>
      <c r="I228" s="25">
        <f>IF($A228="","",IFERROR(LOOKUP(2,1/((入库单!$G$4:$G$2503=$A228)*(入库单!$Y$4:$Y$2503="正常")*(入库单!$L$4:$L$2503&gt;0)),入库单!$L$4:$L$2503),0))</f>
        <v/>
      </c>
      <c r="J228" s="26">
        <f>IF($A228="","",IF($H228="A国内",ROUND($I228*倍数A*汇率,0),IF($H228="B当地",ROUND($I228*系数B,0),0)))</f>
        <v/>
      </c>
      <c r="K228" s="24">
        <f>IF($A228="","",IF(COUNTIFS(入库单!$G$4:$G$2503,$A228,入库单!$X$4:$X$2503,"待补价")&gt;0,"待补价",IF(COUNTIFS(入库单!$G$4:$G$2503,$A228,入库单!$X$4:$X$2503,"暂估")&gt;0,"暂估",IF($I228=0,"没有进价","正常"))))</f>
        <v/>
      </c>
      <c r="L228" s="27">
        <f>IF($A228="","",IFERROR(VLOOKUP($A228,库存台账!$A$5:$Y$1204,24,0),0))</f>
        <v/>
      </c>
      <c r="M228" s="26">
        <f>IF($A228="","",IFERROR(VLOOKUP($A228,库存台账!$A$5:$Y$1204,25,0),0))</f>
        <v/>
      </c>
      <c r="N228" s="19">
        <f>IF($A228="","",IFERROR(LOOKUP(2,1/((出库单!$D$4:$D$4003=$A228)*(出库单!$T$4:$T$4003="正常")),出库单!$C$4:$C$4003),""))</f>
        <v/>
      </c>
      <c r="O228" s="28">
        <f>IF($A228="","",IF($L228&lt;=0,"",IF($N228="",IFERROR(账期止-LOOKUP(2,1/(入库单!$G$4:$G$2503=$A228),入库单!$C$4:$C$2503),""),账期止-$N228)))</f>
        <v/>
      </c>
      <c r="P228" s="17" t="n"/>
    </row>
    <row r="229">
      <c r="A229" s="17" t="inlineStr">
        <is>
          <t>JH0226</t>
        </is>
      </c>
      <c r="B229" s="17" t="inlineStr">
        <is>
          <t>五金管件</t>
        </is>
      </c>
      <c r="C229" s="17" t="inlineStr">
        <is>
          <t>电磁阀</t>
        </is>
      </c>
      <c r="D229" s="17" t="inlineStr">
        <is>
          <t>DSG-01-2B2-D24-N1-50</t>
        </is>
      </c>
      <c r="E229" s="17" t="inlineStr">
        <is>
          <t>个</t>
        </is>
      </c>
      <c r="F229" s="17" t="inlineStr">
        <is>
          <t>否</t>
        </is>
      </c>
      <c r="G229" s="23" t="n"/>
      <c r="H229" s="24">
        <f>IF($A229="","",IFERROR(LOOKUP(2,1/((入库单!$G$4:$G$2503=$A229)*(入库单!$Y$4:$Y$2503="正常")*(入库单!$L$4:$L$2503&gt;0)),入库单!$D$4:$D$2503),""))</f>
        <v/>
      </c>
      <c r="I229" s="25">
        <f>IF($A229="","",IFERROR(LOOKUP(2,1/((入库单!$G$4:$G$2503=$A229)*(入库单!$Y$4:$Y$2503="正常")*(入库单!$L$4:$L$2503&gt;0)),入库单!$L$4:$L$2503),0))</f>
        <v/>
      </c>
      <c r="J229" s="26">
        <f>IF($A229="","",IF($H229="A国内",ROUND($I229*倍数A*汇率,0),IF($H229="B当地",ROUND($I229*系数B,0),0)))</f>
        <v/>
      </c>
      <c r="K229" s="24">
        <f>IF($A229="","",IF(COUNTIFS(入库单!$G$4:$G$2503,$A229,入库单!$X$4:$X$2503,"待补价")&gt;0,"待补价",IF(COUNTIFS(入库单!$G$4:$G$2503,$A229,入库单!$X$4:$X$2503,"暂估")&gt;0,"暂估",IF($I229=0,"没有进价","正常"))))</f>
        <v/>
      </c>
      <c r="L229" s="27">
        <f>IF($A229="","",IFERROR(VLOOKUP($A229,库存台账!$A$5:$Y$1204,24,0),0))</f>
        <v/>
      </c>
      <c r="M229" s="26">
        <f>IF($A229="","",IFERROR(VLOOKUP($A229,库存台账!$A$5:$Y$1204,25,0),0))</f>
        <v/>
      </c>
      <c r="N229" s="19">
        <f>IF($A229="","",IFERROR(LOOKUP(2,1/((出库单!$D$4:$D$4003=$A229)*(出库单!$T$4:$T$4003="正常")),出库单!$C$4:$C$4003),""))</f>
        <v/>
      </c>
      <c r="O229" s="28">
        <f>IF($A229="","",IF($L229&lt;=0,"",IF($N229="",IFERROR(账期止-LOOKUP(2,1/(入库单!$G$4:$G$2503=$A229),入库单!$C$4:$C$2503),""),账期止-$N229)))</f>
        <v/>
      </c>
      <c r="P229" s="17" t="n"/>
    </row>
    <row r="230">
      <c r="A230" s="17" t="inlineStr">
        <is>
          <t>JH0227</t>
        </is>
      </c>
      <c r="B230" s="17" t="inlineStr">
        <is>
          <t>其他</t>
        </is>
      </c>
      <c r="C230" s="17" t="inlineStr">
        <is>
          <t>比列放大器</t>
        </is>
      </c>
      <c r="D230" s="17" t="inlineStr">
        <is>
          <t>BLF1000-24</t>
        </is>
      </c>
      <c r="E230" s="17" t="inlineStr">
        <is>
          <t>块</t>
        </is>
      </c>
      <c r="F230" s="17" t="inlineStr">
        <is>
          <t>否</t>
        </is>
      </c>
      <c r="G230" s="23" t="n"/>
      <c r="H230" s="24">
        <f>IF($A230="","",IFERROR(LOOKUP(2,1/((入库单!$G$4:$G$2503=$A230)*(入库单!$Y$4:$Y$2503="正常")*(入库单!$L$4:$L$2503&gt;0)),入库单!$D$4:$D$2503),""))</f>
        <v/>
      </c>
      <c r="I230" s="25">
        <f>IF($A230="","",IFERROR(LOOKUP(2,1/((入库单!$G$4:$G$2503=$A230)*(入库单!$Y$4:$Y$2503="正常")*(入库单!$L$4:$L$2503&gt;0)),入库单!$L$4:$L$2503),0))</f>
        <v/>
      </c>
      <c r="J230" s="26">
        <f>IF($A230="","",IF($H230="A国内",ROUND($I230*倍数A*汇率,0),IF($H230="B当地",ROUND($I230*系数B,0),0)))</f>
        <v/>
      </c>
      <c r="K230" s="24">
        <f>IF($A230="","",IF(COUNTIFS(入库单!$G$4:$G$2503,$A230,入库单!$X$4:$X$2503,"待补价")&gt;0,"待补价",IF(COUNTIFS(入库单!$G$4:$G$2503,$A230,入库单!$X$4:$X$2503,"暂估")&gt;0,"暂估",IF($I230=0,"没有进价","正常"))))</f>
        <v/>
      </c>
      <c r="L230" s="27">
        <f>IF($A230="","",IFERROR(VLOOKUP($A230,库存台账!$A$5:$Y$1204,24,0),0))</f>
        <v/>
      </c>
      <c r="M230" s="26">
        <f>IF($A230="","",IFERROR(VLOOKUP($A230,库存台账!$A$5:$Y$1204,25,0),0))</f>
        <v/>
      </c>
      <c r="N230" s="19">
        <f>IF($A230="","",IFERROR(LOOKUP(2,1/((出库单!$D$4:$D$4003=$A230)*(出库单!$T$4:$T$4003="正常")),出库单!$C$4:$C$4003),""))</f>
        <v/>
      </c>
      <c r="O230" s="28">
        <f>IF($A230="","",IF($L230&lt;=0,"",IF($N230="",IFERROR(账期止-LOOKUP(2,1/(入库单!$G$4:$G$2503=$A230),入库单!$C$4:$C$2503),""),账期止-$N230)))</f>
        <v/>
      </c>
      <c r="P230" s="17" t="n"/>
    </row>
    <row r="231">
      <c r="A231" s="17" t="inlineStr">
        <is>
          <t>JH0228</t>
        </is>
      </c>
      <c r="B231" s="17" t="inlineStr">
        <is>
          <t>其他</t>
        </is>
      </c>
      <c r="C231" s="17" t="inlineStr">
        <is>
          <t>模拟量模块</t>
        </is>
      </c>
      <c r="D231" s="17" t="inlineStr">
        <is>
          <t>6ES7 288-3AM03-0AA0</t>
        </is>
      </c>
      <c r="E231" s="17" t="inlineStr">
        <is>
          <t>块</t>
        </is>
      </c>
      <c r="F231" s="17" t="inlineStr">
        <is>
          <t>否</t>
        </is>
      </c>
      <c r="G231" s="23" t="n"/>
      <c r="H231" s="24">
        <f>IF($A231="","",IFERROR(LOOKUP(2,1/((入库单!$G$4:$G$2503=$A231)*(入库单!$Y$4:$Y$2503="正常")*(入库单!$L$4:$L$2503&gt;0)),入库单!$D$4:$D$2503),""))</f>
        <v/>
      </c>
      <c r="I231" s="25">
        <f>IF($A231="","",IFERROR(LOOKUP(2,1/((入库单!$G$4:$G$2503=$A231)*(入库单!$Y$4:$Y$2503="正常")*(入库单!$L$4:$L$2503&gt;0)),入库单!$L$4:$L$2503),0))</f>
        <v/>
      </c>
      <c r="J231" s="26">
        <f>IF($A231="","",IF($H231="A国内",ROUND($I231*倍数A*汇率,0),IF($H231="B当地",ROUND($I231*系数B,0),0)))</f>
        <v/>
      </c>
      <c r="K231" s="24">
        <f>IF($A231="","",IF(COUNTIFS(入库单!$G$4:$G$2503,$A231,入库单!$X$4:$X$2503,"待补价")&gt;0,"待补价",IF(COUNTIFS(入库单!$G$4:$G$2503,$A231,入库单!$X$4:$X$2503,"暂估")&gt;0,"暂估",IF($I231=0,"没有进价","正常"))))</f>
        <v/>
      </c>
      <c r="L231" s="27">
        <f>IF($A231="","",IFERROR(VLOOKUP($A231,库存台账!$A$5:$Y$1204,24,0),0))</f>
        <v/>
      </c>
      <c r="M231" s="26">
        <f>IF($A231="","",IFERROR(VLOOKUP($A231,库存台账!$A$5:$Y$1204,25,0),0))</f>
        <v/>
      </c>
      <c r="N231" s="19">
        <f>IF($A231="","",IFERROR(LOOKUP(2,1/((出库单!$D$4:$D$4003=$A231)*(出库单!$T$4:$T$4003="正常")),出库单!$C$4:$C$4003),""))</f>
        <v/>
      </c>
      <c r="O231" s="28">
        <f>IF($A231="","",IF($L231&lt;=0,"",IF($N231="",IFERROR(账期止-LOOKUP(2,1/(入库单!$G$4:$G$2503=$A231),入库单!$C$4:$C$2503),""),账期止-$N231)))</f>
        <v/>
      </c>
      <c r="P231" s="17" t="n"/>
    </row>
    <row r="232">
      <c r="A232" s="17" t="inlineStr">
        <is>
          <t>JH0229</t>
        </is>
      </c>
      <c r="B232" s="17" t="inlineStr">
        <is>
          <t>五金管件</t>
        </is>
      </c>
      <c r="C232" s="17" t="inlineStr">
        <is>
          <t>轨道螺栓</t>
        </is>
      </c>
      <c r="D232" s="17" t="inlineStr">
        <is>
          <t>14*50</t>
        </is>
      </c>
      <c r="E232" s="17" t="inlineStr">
        <is>
          <t>套</t>
        </is>
      </c>
      <c r="F232" s="17" t="inlineStr">
        <is>
          <t>否</t>
        </is>
      </c>
      <c r="G232" s="23" t="n"/>
      <c r="H232" s="24">
        <f>IF($A232="","",IFERROR(LOOKUP(2,1/((入库单!$G$4:$G$2503=$A232)*(入库单!$Y$4:$Y$2503="正常")*(入库单!$L$4:$L$2503&gt;0)),入库单!$D$4:$D$2503),""))</f>
        <v/>
      </c>
      <c r="I232" s="25">
        <f>IF($A232="","",IFERROR(LOOKUP(2,1/((入库单!$G$4:$G$2503=$A232)*(入库单!$Y$4:$Y$2503="正常")*(入库单!$L$4:$L$2503&gt;0)),入库单!$L$4:$L$2503),0))</f>
        <v/>
      </c>
      <c r="J232" s="26">
        <f>IF($A232="","",IF($H232="A国内",ROUND($I232*倍数A*汇率,0),IF($H232="B当地",ROUND($I232*系数B,0),0)))</f>
        <v/>
      </c>
      <c r="K232" s="24">
        <f>IF($A232="","",IF(COUNTIFS(入库单!$G$4:$G$2503,$A232,入库单!$X$4:$X$2503,"待补价")&gt;0,"待补价",IF(COUNTIFS(入库单!$G$4:$G$2503,$A232,入库单!$X$4:$X$2503,"暂估")&gt;0,"暂估",IF($I232=0,"没有进价","正常"))))</f>
        <v/>
      </c>
      <c r="L232" s="27">
        <f>IF($A232="","",IFERROR(VLOOKUP($A232,库存台账!$A$5:$Y$1204,24,0),0))</f>
        <v/>
      </c>
      <c r="M232" s="26">
        <f>IF($A232="","",IFERROR(VLOOKUP($A232,库存台账!$A$5:$Y$1204,25,0),0))</f>
        <v/>
      </c>
      <c r="N232" s="19">
        <f>IF($A232="","",IFERROR(LOOKUP(2,1/((出库单!$D$4:$D$4003=$A232)*(出库单!$T$4:$T$4003="正常")),出库单!$C$4:$C$4003),""))</f>
        <v/>
      </c>
      <c r="O232" s="28">
        <f>IF($A232="","",IF($L232&lt;=0,"",IF($N232="",IFERROR(账期止-LOOKUP(2,1/(入库单!$G$4:$G$2503=$A232),入库单!$C$4:$C$2503),""),账期止-$N232)))</f>
        <v/>
      </c>
      <c r="P232" s="17" t="n"/>
    </row>
    <row r="233">
      <c r="A233" s="17" t="inlineStr">
        <is>
          <t>JH0230</t>
        </is>
      </c>
      <c r="B233" s="17" t="inlineStr">
        <is>
          <t>其他</t>
        </is>
      </c>
      <c r="C233" s="17" t="inlineStr">
        <is>
          <t>道夹板</t>
        </is>
      </c>
      <c r="D233" s="17" t="inlineStr"/>
      <c r="E233" s="17" t="inlineStr">
        <is>
          <t>付</t>
        </is>
      </c>
      <c r="F233" s="17" t="inlineStr">
        <is>
          <t>否</t>
        </is>
      </c>
      <c r="G233" s="23" t="n"/>
      <c r="H233" s="24">
        <f>IF($A233="","",IFERROR(LOOKUP(2,1/((入库单!$G$4:$G$2503=$A233)*(入库单!$Y$4:$Y$2503="正常")*(入库单!$L$4:$L$2503&gt;0)),入库单!$D$4:$D$2503),""))</f>
        <v/>
      </c>
      <c r="I233" s="25">
        <f>IF($A233="","",IFERROR(LOOKUP(2,1/((入库单!$G$4:$G$2503=$A233)*(入库单!$Y$4:$Y$2503="正常")*(入库单!$L$4:$L$2503&gt;0)),入库单!$L$4:$L$2503),0))</f>
        <v/>
      </c>
      <c r="J233" s="26">
        <f>IF($A233="","",IF($H233="A国内",ROUND($I233*倍数A*汇率,0),IF($H233="B当地",ROUND($I233*系数B,0),0)))</f>
        <v/>
      </c>
      <c r="K233" s="24">
        <f>IF($A233="","",IF(COUNTIFS(入库单!$G$4:$G$2503,$A233,入库单!$X$4:$X$2503,"待补价")&gt;0,"待补价",IF(COUNTIFS(入库单!$G$4:$G$2503,$A233,入库单!$X$4:$X$2503,"暂估")&gt;0,"暂估",IF($I233=0,"没有进价","正常"))))</f>
        <v/>
      </c>
      <c r="L233" s="27">
        <f>IF($A233="","",IFERROR(VLOOKUP($A233,库存台账!$A$5:$Y$1204,24,0),0))</f>
        <v/>
      </c>
      <c r="M233" s="26">
        <f>IF($A233="","",IFERROR(VLOOKUP($A233,库存台账!$A$5:$Y$1204,25,0),0))</f>
        <v/>
      </c>
      <c r="N233" s="19">
        <f>IF($A233="","",IFERROR(LOOKUP(2,1/((出库单!$D$4:$D$4003=$A233)*(出库单!$T$4:$T$4003="正常")),出库单!$C$4:$C$4003),""))</f>
        <v/>
      </c>
      <c r="O233" s="28">
        <f>IF($A233="","",IF($L233&lt;=0,"",IF($N233="",IFERROR(账期止-LOOKUP(2,1/(入库单!$G$4:$G$2503=$A233),入库单!$C$4:$C$2503),""),账期止-$N233)))</f>
        <v/>
      </c>
      <c r="P233" s="17" t="n"/>
    </row>
    <row r="234">
      <c r="A234" s="17" t="inlineStr">
        <is>
          <t>JH0231</t>
        </is>
      </c>
      <c r="B234" s="17" t="inlineStr">
        <is>
          <t>其他</t>
        </is>
      </c>
      <c r="C234" s="17" t="inlineStr">
        <is>
          <t>割咀</t>
        </is>
      </c>
      <c r="D234" s="17" t="inlineStr"/>
      <c r="E234" s="17" t="inlineStr">
        <is>
          <t>套</t>
        </is>
      </c>
      <c r="F234" s="17" t="inlineStr">
        <is>
          <t>否</t>
        </is>
      </c>
      <c r="G234" s="23" t="n"/>
      <c r="H234" s="24">
        <f>IF($A234="","",IFERROR(LOOKUP(2,1/((入库单!$G$4:$G$2503=$A234)*(入库单!$Y$4:$Y$2503="正常")*(入库单!$L$4:$L$2503&gt;0)),入库单!$D$4:$D$2503),""))</f>
        <v/>
      </c>
      <c r="I234" s="25">
        <f>IF($A234="","",IFERROR(LOOKUP(2,1/((入库单!$G$4:$G$2503=$A234)*(入库单!$Y$4:$Y$2503="正常")*(入库单!$L$4:$L$2503&gt;0)),入库单!$L$4:$L$2503),0))</f>
        <v/>
      </c>
      <c r="J234" s="26">
        <f>IF($A234="","",IF($H234="A国内",ROUND($I234*倍数A*汇率,0),IF($H234="B当地",ROUND($I234*系数B,0),0)))</f>
        <v/>
      </c>
      <c r="K234" s="24">
        <f>IF($A234="","",IF(COUNTIFS(入库单!$G$4:$G$2503,$A234,入库单!$X$4:$X$2503,"待补价")&gt;0,"待补价",IF(COUNTIFS(入库单!$G$4:$G$2503,$A234,入库单!$X$4:$X$2503,"暂估")&gt;0,"暂估",IF($I234=0,"没有进价","正常"))))</f>
        <v/>
      </c>
      <c r="L234" s="27">
        <f>IF($A234="","",IFERROR(VLOOKUP($A234,库存台账!$A$5:$Y$1204,24,0),0))</f>
        <v/>
      </c>
      <c r="M234" s="26">
        <f>IF($A234="","",IFERROR(VLOOKUP($A234,库存台账!$A$5:$Y$1204,25,0),0))</f>
        <v/>
      </c>
      <c r="N234" s="19">
        <f>IF($A234="","",IFERROR(LOOKUP(2,1/((出库单!$D$4:$D$4003=$A234)*(出库单!$T$4:$T$4003="正常")),出库单!$C$4:$C$4003),""))</f>
        <v/>
      </c>
      <c r="O234" s="28">
        <f>IF($A234="","",IF($L234&lt;=0,"",IF($N234="",IFERROR(账期止-LOOKUP(2,1/(入库单!$G$4:$G$2503=$A234),入库单!$C$4:$C$2503),""),账期止-$N234)))</f>
        <v/>
      </c>
      <c r="P234" s="17" t="n"/>
    </row>
    <row r="235">
      <c r="A235" s="17" t="inlineStr">
        <is>
          <t>JH0232</t>
        </is>
      </c>
      <c r="B235" s="17" t="inlineStr">
        <is>
          <t>五金管件</t>
        </is>
      </c>
      <c r="C235" s="17" t="inlineStr">
        <is>
          <t>东成可调钢锯架</t>
        </is>
      </c>
      <c r="D235" s="17" t="inlineStr">
        <is>
          <t>300mm/12寸</t>
        </is>
      </c>
      <c r="E235" s="17" t="inlineStr">
        <is>
          <t>把</t>
        </is>
      </c>
      <c r="F235" s="17" t="inlineStr">
        <is>
          <t>否</t>
        </is>
      </c>
      <c r="G235" s="23" t="n"/>
      <c r="H235" s="24">
        <f>IF($A235="","",IFERROR(LOOKUP(2,1/((入库单!$G$4:$G$2503=$A235)*(入库单!$Y$4:$Y$2503="正常")*(入库单!$L$4:$L$2503&gt;0)),入库单!$D$4:$D$2503),""))</f>
        <v/>
      </c>
      <c r="I235" s="25">
        <f>IF($A235="","",IFERROR(LOOKUP(2,1/((入库单!$G$4:$G$2503=$A235)*(入库单!$Y$4:$Y$2503="正常")*(入库单!$L$4:$L$2503&gt;0)),入库单!$L$4:$L$2503),0))</f>
        <v/>
      </c>
      <c r="J235" s="26">
        <f>IF($A235="","",IF($H235="A国内",ROUND($I235*倍数A*汇率,0),IF($H235="B当地",ROUND($I235*系数B,0),0)))</f>
        <v/>
      </c>
      <c r="K235" s="24">
        <f>IF($A235="","",IF(COUNTIFS(入库单!$G$4:$G$2503,$A235,入库单!$X$4:$X$2503,"待补价")&gt;0,"待补价",IF(COUNTIFS(入库单!$G$4:$G$2503,$A235,入库单!$X$4:$X$2503,"暂估")&gt;0,"暂估",IF($I235=0,"没有进价","正常"))))</f>
        <v/>
      </c>
      <c r="L235" s="27">
        <f>IF($A235="","",IFERROR(VLOOKUP($A235,库存台账!$A$5:$Y$1204,24,0),0))</f>
        <v/>
      </c>
      <c r="M235" s="26">
        <f>IF($A235="","",IFERROR(VLOOKUP($A235,库存台账!$A$5:$Y$1204,25,0),0))</f>
        <v/>
      </c>
      <c r="N235" s="19">
        <f>IF($A235="","",IFERROR(LOOKUP(2,1/((出库单!$D$4:$D$4003=$A235)*(出库单!$T$4:$T$4003="正常")),出库单!$C$4:$C$4003),""))</f>
        <v/>
      </c>
      <c r="O235" s="28">
        <f>IF($A235="","",IF($L235&lt;=0,"",IF($N235="",IFERROR(账期止-LOOKUP(2,1/(入库单!$G$4:$G$2503=$A235),入库单!$C$4:$C$2503),""),账期止-$N235)))</f>
        <v/>
      </c>
      <c r="P235" s="17" t="n"/>
    </row>
    <row r="236">
      <c r="A236" s="17" t="inlineStr">
        <is>
          <t>JH0233</t>
        </is>
      </c>
      <c r="B236" s="17" t="inlineStr">
        <is>
          <t>其他</t>
        </is>
      </c>
      <c r="C236" s="17" t="inlineStr">
        <is>
          <t>瑞凌切割枪保护套P80</t>
        </is>
      </c>
      <c r="D236" s="17" t="inlineStr">
        <is>
          <t>白色 Φ28mm</t>
        </is>
      </c>
      <c r="E236" s="17" t="inlineStr">
        <is>
          <t>个</t>
        </is>
      </c>
      <c r="F236" s="17" t="inlineStr">
        <is>
          <t>否</t>
        </is>
      </c>
      <c r="G236" s="23" t="n"/>
      <c r="H236" s="24">
        <f>IF($A236="","",IFERROR(LOOKUP(2,1/((入库单!$G$4:$G$2503=$A236)*(入库单!$Y$4:$Y$2503="正常")*(入库单!$L$4:$L$2503&gt;0)),入库单!$D$4:$D$2503),""))</f>
        <v/>
      </c>
      <c r="I236" s="25">
        <f>IF($A236="","",IFERROR(LOOKUP(2,1/((入库单!$G$4:$G$2503=$A236)*(入库单!$Y$4:$Y$2503="正常")*(入库单!$L$4:$L$2503&gt;0)),入库单!$L$4:$L$2503),0))</f>
        <v/>
      </c>
      <c r="J236" s="26">
        <f>IF($A236="","",IF($H236="A国内",ROUND($I236*倍数A*汇率,0),IF($H236="B当地",ROUND($I236*系数B,0),0)))</f>
        <v/>
      </c>
      <c r="K236" s="24">
        <f>IF($A236="","",IF(COUNTIFS(入库单!$G$4:$G$2503,$A236,入库单!$X$4:$X$2503,"待补价")&gt;0,"待补价",IF(COUNTIFS(入库单!$G$4:$G$2503,$A236,入库单!$X$4:$X$2503,"暂估")&gt;0,"暂估",IF($I236=0,"没有进价","正常"))))</f>
        <v/>
      </c>
      <c r="L236" s="27">
        <f>IF($A236="","",IFERROR(VLOOKUP($A236,库存台账!$A$5:$Y$1204,24,0),0))</f>
        <v/>
      </c>
      <c r="M236" s="26">
        <f>IF($A236="","",IFERROR(VLOOKUP($A236,库存台账!$A$5:$Y$1204,25,0),0))</f>
        <v/>
      </c>
      <c r="N236" s="19">
        <f>IF($A236="","",IFERROR(LOOKUP(2,1/((出库单!$D$4:$D$4003=$A236)*(出库单!$T$4:$T$4003="正常")),出库单!$C$4:$C$4003),""))</f>
        <v/>
      </c>
      <c r="O236" s="28">
        <f>IF($A236="","",IF($L236&lt;=0,"",IF($N236="",IFERROR(账期止-LOOKUP(2,1/(入库单!$G$4:$G$2503=$A236),入库单!$C$4:$C$2503),""),账期止-$N236)))</f>
        <v/>
      </c>
      <c r="P236" s="17" t="n"/>
    </row>
    <row r="237">
      <c r="A237" s="17" t="inlineStr">
        <is>
          <t>JH0234</t>
        </is>
      </c>
      <c r="B237" s="17" t="inlineStr">
        <is>
          <t>其他</t>
        </is>
      </c>
      <c r="C237" s="17" t="inlineStr">
        <is>
          <t>东成手电钻正反转调速</t>
        </is>
      </c>
      <c r="D237" s="17" t="inlineStr">
        <is>
          <t>JIZ-FF07-13 710W</t>
        </is>
      </c>
      <c r="E237" s="17" t="inlineStr">
        <is>
          <t>台</t>
        </is>
      </c>
      <c r="F237" s="17" t="inlineStr">
        <is>
          <t>否</t>
        </is>
      </c>
      <c r="G237" s="23" t="n"/>
      <c r="H237" s="24">
        <f>IF($A237="","",IFERROR(LOOKUP(2,1/((入库单!$G$4:$G$2503=$A237)*(入库单!$Y$4:$Y$2503="正常")*(入库单!$L$4:$L$2503&gt;0)),入库单!$D$4:$D$2503),""))</f>
        <v/>
      </c>
      <c r="I237" s="25">
        <f>IF($A237="","",IFERROR(LOOKUP(2,1/((入库单!$G$4:$G$2503=$A237)*(入库单!$Y$4:$Y$2503="正常")*(入库单!$L$4:$L$2503&gt;0)),入库单!$L$4:$L$2503),0))</f>
        <v/>
      </c>
      <c r="J237" s="26">
        <f>IF($A237="","",IF($H237="A国内",ROUND($I237*倍数A*汇率,0),IF($H237="B当地",ROUND($I237*系数B,0),0)))</f>
        <v/>
      </c>
      <c r="K237" s="24">
        <f>IF($A237="","",IF(COUNTIFS(入库单!$G$4:$G$2503,$A237,入库单!$X$4:$X$2503,"待补价")&gt;0,"待补价",IF(COUNTIFS(入库单!$G$4:$G$2503,$A237,入库单!$X$4:$X$2503,"暂估")&gt;0,"暂估",IF($I237=0,"没有进价","正常"))))</f>
        <v/>
      </c>
      <c r="L237" s="27">
        <f>IF($A237="","",IFERROR(VLOOKUP($A237,库存台账!$A$5:$Y$1204,24,0),0))</f>
        <v/>
      </c>
      <c r="M237" s="26">
        <f>IF($A237="","",IFERROR(VLOOKUP($A237,库存台账!$A$5:$Y$1204,25,0),0))</f>
        <v/>
      </c>
      <c r="N237" s="19">
        <f>IF($A237="","",IFERROR(LOOKUP(2,1/((出库单!$D$4:$D$4003=$A237)*(出库单!$T$4:$T$4003="正常")),出库单!$C$4:$C$4003),""))</f>
        <v/>
      </c>
      <c r="O237" s="28">
        <f>IF($A237="","",IF($L237&lt;=0,"",IF($N237="",IFERROR(账期止-LOOKUP(2,1/(入库单!$G$4:$G$2503=$A237),入库单!$C$4:$C$2503),""),账期止-$N237)))</f>
        <v/>
      </c>
      <c r="P237" s="17" t="n"/>
    </row>
    <row r="238">
      <c r="A238" s="17" t="inlineStr">
        <is>
          <t>JH0235</t>
        </is>
      </c>
      <c r="B238" s="17" t="inlineStr">
        <is>
          <t>其他</t>
        </is>
      </c>
      <c r="C238" s="17" t="inlineStr">
        <is>
          <t>BS风动转换接头</t>
        </is>
      </c>
      <c r="D238" s="17" t="inlineStr">
        <is>
          <t>1孔变3/4头</t>
        </is>
      </c>
      <c r="E238" s="17" t="inlineStr">
        <is>
          <t>个</t>
        </is>
      </c>
      <c r="F238" s="17" t="inlineStr">
        <is>
          <t>否</t>
        </is>
      </c>
      <c r="G238" s="23" t="n"/>
      <c r="H238" s="24">
        <f>IF($A238="","",IFERROR(LOOKUP(2,1/((入库单!$G$4:$G$2503=$A238)*(入库单!$Y$4:$Y$2503="正常")*(入库单!$L$4:$L$2503&gt;0)),入库单!$D$4:$D$2503),""))</f>
        <v/>
      </c>
      <c r="I238" s="25">
        <f>IF($A238="","",IFERROR(LOOKUP(2,1/((入库单!$G$4:$G$2503=$A238)*(入库单!$Y$4:$Y$2503="正常")*(入库单!$L$4:$L$2503&gt;0)),入库单!$L$4:$L$2503),0))</f>
        <v/>
      </c>
      <c r="J238" s="26">
        <f>IF($A238="","",IF($H238="A国内",ROUND($I238*倍数A*汇率,0),IF($H238="B当地",ROUND($I238*系数B,0),0)))</f>
        <v/>
      </c>
      <c r="K238" s="24">
        <f>IF($A238="","",IF(COUNTIFS(入库单!$G$4:$G$2503,$A238,入库单!$X$4:$X$2503,"待补价")&gt;0,"待补价",IF(COUNTIFS(入库单!$G$4:$G$2503,$A238,入库单!$X$4:$X$2503,"暂估")&gt;0,"暂估",IF($I238=0,"没有进价","正常"))))</f>
        <v/>
      </c>
      <c r="L238" s="27">
        <f>IF($A238="","",IFERROR(VLOOKUP($A238,库存台账!$A$5:$Y$1204,24,0),0))</f>
        <v/>
      </c>
      <c r="M238" s="26">
        <f>IF($A238="","",IFERROR(VLOOKUP($A238,库存台账!$A$5:$Y$1204,25,0),0))</f>
        <v/>
      </c>
      <c r="N238" s="19">
        <f>IF($A238="","",IFERROR(LOOKUP(2,1/((出库单!$D$4:$D$4003=$A238)*(出库单!$T$4:$T$4003="正常")),出库单!$C$4:$C$4003),""))</f>
        <v/>
      </c>
      <c r="O238" s="28">
        <f>IF($A238="","",IF($L238&lt;=0,"",IF($N238="",IFERROR(账期止-LOOKUP(2,1/(入库单!$G$4:$G$2503=$A238),入库单!$C$4:$C$2503),""),账期止-$N238)))</f>
        <v/>
      </c>
      <c r="P238" s="17" t="n"/>
    </row>
    <row r="239">
      <c r="A239" s="17" t="inlineStr">
        <is>
          <t>JH0236</t>
        </is>
      </c>
      <c r="B239" s="17" t="inlineStr">
        <is>
          <t>其他</t>
        </is>
      </c>
      <c r="C239" s="17" t="inlineStr">
        <is>
          <t>硬质合金旋转锉圆柱形A平</t>
        </is>
      </c>
      <c r="D239" s="17" t="inlineStr">
        <is>
          <t>6mm</t>
        </is>
      </c>
      <c r="E239" s="17" t="inlineStr">
        <is>
          <t>支</t>
        </is>
      </c>
      <c r="F239" s="17" t="inlineStr">
        <is>
          <t>否</t>
        </is>
      </c>
      <c r="G239" s="23" t="n"/>
      <c r="H239" s="24">
        <f>IF($A239="","",IFERROR(LOOKUP(2,1/((入库单!$G$4:$G$2503=$A239)*(入库单!$Y$4:$Y$2503="正常")*(入库单!$L$4:$L$2503&gt;0)),入库单!$D$4:$D$2503),""))</f>
        <v/>
      </c>
      <c r="I239" s="25">
        <f>IF($A239="","",IFERROR(LOOKUP(2,1/((入库单!$G$4:$G$2503=$A239)*(入库单!$Y$4:$Y$2503="正常")*(入库单!$L$4:$L$2503&gt;0)),入库单!$L$4:$L$2503),0))</f>
        <v/>
      </c>
      <c r="J239" s="26">
        <f>IF($A239="","",IF($H239="A国内",ROUND($I239*倍数A*汇率,0),IF($H239="B当地",ROUND($I239*系数B,0),0)))</f>
        <v/>
      </c>
      <c r="K239" s="24">
        <f>IF($A239="","",IF(COUNTIFS(入库单!$G$4:$G$2503,$A239,入库单!$X$4:$X$2503,"待补价")&gt;0,"待补价",IF(COUNTIFS(入库单!$G$4:$G$2503,$A239,入库单!$X$4:$X$2503,"暂估")&gt;0,"暂估",IF($I239=0,"没有进价","正常"))))</f>
        <v/>
      </c>
      <c r="L239" s="27">
        <f>IF($A239="","",IFERROR(VLOOKUP($A239,库存台账!$A$5:$Y$1204,24,0),0))</f>
        <v/>
      </c>
      <c r="M239" s="26">
        <f>IF($A239="","",IFERROR(VLOOKUP($A239,库存台账!$A$5:$Y$1204,25,0),0))</f>
        <v/>
      </c>
      <c r="N239" s="19">
        <f>IF($A239="","",IFERROR(LOOKUP(2,1/((出库单!$D$4:$D$4003=$A239)*(出库单!$T$4:$T$4003="正常")),出库单!$C$4:$C$4003),""))</f>
        <v/>
      </c>
      <c r="O239" s="28">
        <f>IF($A239="","",IF($L239&lt;=0,"",IF($N239="",IFERROR(账期止-LOOKUP(2,1/(入库单!$G$4:$G$2503=$A239),入库单!$C$4:$C$2503),""),账期止-$N239)))</f>
        <v/>
      </c>
      <c r="P239" s="17" t="n"/>
    </row>
    <row r="240">
      <c r="A240" s="17" t="inlineStr">
        <is>
          <t>JH0237</t>
        </is>
      </c>
      <c r="B240" s="17" t="inlineStr">
        <is>
          <t>其他</t>
        </is>
      </c>
      <c r="C240" s="17" t="inlineStr">
        <is>
          <t>硬质合金旋转锉圆柱形A平</t>
        </is>
      </c>
      <c r="D240" s="17" t="inlineStr">
        <is>
          <t>8mm</t>
        </is>
      </c>
      <c r="E240" s="17" t="inlineStr">
        <is>
          <t>支</t>
        </is>
      </c>
      <c r="F240" s="17" t="inlineStr">
        <is>
          <t>否</t>
        </is>
      </c>
      <c r="G240" s="23" t="n"/>
      <c r="H240" s="24">
        <f>IF($A240="","",IFERROR(LOOKUP(2,1/((入库单!$G$4:$G$2503=$A240)*(入库单!$Y$4:$Y$2503="正常")*(入库单!$L$4:$L$2503&gt;0)),入库单!$D$4:$D$2503),""))</f>
        <v/>
      </c>
      <c r="I240" s="25">
        <f>IF($A240="","",IFERROR(LOOKUP(2,1/((入库单!$G$4:$G$2503=$A240)*(入库单!$Y$4:$Y$2503="正常")*(入库单!$L$4:$L$2503&gt;0)),入库单!$L$4:$L$2503),0))</f>
        <v/>
      </c>
      <c r="J240" s="26">
        <f>IF($A240="","",IF($H240="A国内",ROUND($I240*倍数A*汇率,0),IF($H240="B当地",ROUND($I240*系数B,0),0)))</f>
        <v/>
      </c>
      <c r="K240" s="24">
        <f>IF($A240="","",IF(COUNTIFS(入库单!$G$4:$G$2503,$A240,入库单!$X$4:$X$2503,"待补价")&gt;0,"待补价",IF(COUNTIFS(入库单!$G$4:$G$2503,$A240,入库单!$X$4:$X$2503,"暂估")&gt;0,"暂估",IF($I240=0,"没有进价","正常"))))</f>
        <v/>
      </c>
      <c r="L240" s="27">
        <f>IF($A240="","",IFERROR(VLOOKUP($A240,库存台账!$A$5:$Y$1204,24,0),0))</f>
        <v/>
      </c>
      <c r="M240" s="26">
        <f>IF($A240="","",IFERROR(VLOOKUP($A240,库存台账!$A$5:$Y$1204,25,0),0))</f>
        <v/>
      </c>
      <c r="N240" s="19">
        <f>IF($A240="","",IFERROR(LOOKUP(2,1/((出库单!$D$4:$D$4003=$A240)*(出库单!$T$4:$T$4003="正常")),出库单!$C$4:$C$4003),""))</f>
        <v/>
      </c>
      <c r="O240" s="28">
        <f>IF($A240="","",IF($L240&lt;=0,"",IF($N240="",IFERROR(账期止-LOOKUP(2,1/(入库单!$G$4:$G$2503=$A240),入库单!$C$4:$C$2503),""),账期止-$N240)))</f>
        <v/>
      </c>
      <c r="P240" s="17" t="n"/>
    </row>
    <row r="241">
      <c r="A241" s="17" t="inlineStr">
        <is>
          <t>JH0238</t>
        </is>
      </c>
      <c r="B241" s="17" t="inlineStr">
        <is>
          <t>其他</t>
        </is>
      </c>
      <c r="C241" s="17" t="inlineStr">
        <is>
          <t>硬质合金旋转锉圆柱形A平</t>
        </is>
      </c>
      <c r="D241" s="17" t="inlineStr">
        <is>
          <t>10mm</t>
        </is>
      </c>
      <c r="E241" s="17" t="inlineStr">
        <is>
          <t>支</t>
        </is>
      </c>
      <c r="F241" s="17" t="inlineStr">
        <is>
          <t>否</t>
        </is>
      </c>
      <c r="G241" s="23" t="n"/>
      <c r="H241" s="24">
        <f>IF($A241="","",IFERROR(LOOKUP(2,1/((入库单!$G$4:$G$2503=$A241)*(入库单!$Y$4:$Y$2503="正常")*(入库单!$L$4:$L$2503&gt;0)),入库单!$D$4:$D$2503),""))</f>
        <v/>
      </c>
      <c r="I241" s="25">
        <f>IF($A241="","",IFERROR(LOOKUP(2,1/((入库单!$G$4:$G$2503=$A241)*(入库单!$Y$4:$Y$2503="正常")*(入库单!$L$4:$L$2503&gt;0)),入库单!$L$4:$L$2503),0))</f>
        <v/>
      </c>
      <c r="J241" s="26">
        <f>IF($A241="","",IF($H241="A国内",ROUND($I241*倍数A*汇率,0),IF($H241="B当地",ROUND($I241*系数B,0),0)))</f>
        <v/>
      </c>
      <c r="K241" s="24">
        <f>IF($A241="","",IF(COUNTIFS(入库单!$G$4:$G$2503,$A241,入库单!$X$4:$X$2503,"待补价")&gt;0,"待补价",IF(COUNTIFS(入库单!$G$4:$G$2503,$A241,入库单!$X$4:$X$2503,"暂估")&gt;0,"暂估",IF($I241=0,"没有进价","正常"))))</f>
        <v/>
      </c>
      <c r="L241" s="27">
        <f>IF($A241="","",IFERROR(VLOOKUP($A241,库存台账!$A$5:$Y$1204,24,0),0))</f>
        <v/>
      </c>
      <c r="M241" s="26">
        <f>IF($A241="","",IFERROR(VLOOKUP($A241,库存台账!$A$5:$Y$1204,25,0),0))</f>
        <v/>
      </c>
      <c r="N241" s="19">
        <f>IF($A241="","",IFERROR(LOOKUP(2,1/((出库单!$D$4:$D$4003=$A241)*(出库单!$T$4:$T$4003="正常")),出库单!$C$4:$C$4003),""))</f>
        <v/>
      </c>
      <c r="O241" s="28">
        <f>IF($A241="","",IF($L241&lt;=0,"",IF($N241="",IFERROR(账期止-LOOKUP(2,1/(入库单!$G$4:$G$2503=$A241),入库单!$C$4:$C$2503),""),账期止-$N241)))</f>
        <v/>
      </c>
      <c r="P241" s="17" t="n"/>
    </row>
    <row r="242">
      <c r="A242" s="17" t="inlineStr">
        <is>
          <t>JH0239</t>
        </is>
      </c>
      <c r="B242" s="17" t="inlineStr">
        <is>
          <t>其他</t>
        </is>
      </c>
      <c r="C242" s="17" t="inlineStr">
        <is>
          <t>硬质合金旋转锉圆柱形A平</t>
        </is>
      </c>
      <c r="D242" s="17" t="inlineStr">
        <is>
          <t>12mm</t>
        </is>
      </c>
      <c r="E242" s="17" t="inlineStr">
        <is>
          <t>支</t>
        </is>
      </c>
      <c r="F242" s="17" t="inlineStr">
        <is>
          <t>否</t>
        </is>
      </c>
      <c r="G242" s="23" t="n"/>
      <c r="H242" s="24">
        <f>IF($A242="","",IFERROR(LOOKUP(2,1/((入库单!$G$4:$G$2503=$A242)*(入库单!$Y$4:$Y$2503="正常")*(入库单!$L$4:$L$2503&gt;0)),入库单!$D$4:$D$2503),""))</f>
        <v/>
      </c>
      <c r="I242" s="25">
        <f>IF($A242="","",IFERROR(LOOKUP(2,1/((入库单!$G$4:$G$2503=$A242)*(入库单!$Y$4:$Y$2503="正常")*(入库单!$L$4:$L$2503&gt;0)),入库单!$L$4:$L$2503),0))</f>
        <v/>
      </c>
      <c r="J242" s="26">
        <f>IF($A242="","",IF($H242="A国内",ROUND($I242*倍数A*汇率,0),IF($H242="B当地",ROUND($I242*系数B,0),0)))</f>
        <v/>
      </c>
      <c r="K242" s="24">
        <f>IF($A242="","",IF(COUNTIFS(入库单!$G$4:$G$2503,$A242,入库单!$X$4:$X$2503,"待补价")&gt;0,"待补价",IF(COUNTIFS(入库单!$G$4:$G$2503,$A242,入库单!$X$4:$X$2503,"暂估")&gt;0,"暂估",IF($I242=0,"没有进价","正常"))))</f>
        <v/>
      </c>
      <c r="L242" s="27">
        <f>IF($A242="","",IFERROR(VLOOKUP($A242,库存台账!$A$5:$Y$1204,24,0),0))</f>
        <v/>
      </c>
      <c r="M242" s="26">
        <f>IF($A242="","",IFERROR(VLOOKUP($A242,库存台账!$A$5:$Y$1204,25,0),0))</f>
        <v/>
      </c>
      <c r="N242" s="19">
        <f>IF($A242="","",IFERROR(LOOKUP(2,1/((出库单!$D$4:$D$4003=$A242)*(出库单!$T$4:$T$4003="正常")),出库单!$C$4:$C$4003),""))</f>
        <v/>
      </c>
      <c r="O242" s="28">
        <f>IF($A242="","",IF($L242&lt;=0,"",IF($N242="",IFERROR(账期止-LOOKUP(2,1/(入库单!$G$4:$G$2503=$A242),入库单!$C$4:$C$2503),""),账期止-$N242)))</f>
        <v/>
      </c>
      <c r="P242" s="17" t="n"/>
    </row>
    <row r="243">
      <c r="A243" s="17" t="inlineStr">
        <is>
          <t>JH0240</t>
        </is>
      </c>
      <c r="B243" s="17" t="inlineStr">
        <is>
          <t>五金管件</t>
        </is>
      </c>
      <c r="C243" s="17" t="inlineStr">
        <is>
          <t>BS伸缩式棘轮扳手</t>
        </is>
      </c>
      <c r="D243" s="17" t="inlineStr">
        <is>
          <t>1/2 72齿</t>
        </is>
      </c>
      <c r="E243" s="17" t="inlineStr">
        <is>
          <t>把</t>
        </is>
      </c>
      <c r="F243" s="17" t="inlineStr">
        <is>
          <t>否</t>
        </is>
      </c>
      <c r="G243" s="23" t="n"/>
      <c r="H243" s="24">
        <f>IF($A243="","",IFERROR(LOOKUP(2,1/((入库单!$G$4:$G$2503=$A243)*(入库单!$Y$4:$Y$2503="正常")*(入库单!$L$4:$L$2503&gt;0)),入库单!$D$4:$D$2503),""))</f>
        <v/>
      </c>
      <c r="I243" s="25">
        <f>IF($A243="","",IFERROR(LOOKUP(2,1/((入库单!$G$4:$G$2503=$A243)*(入库单!$Y$4:$Y$2503="正常")*(入库单!$L$4:$L$2503&gt;0)),入库单!$L$4:$L$2503),0))</f>
        <v/>
      </c>
      <c r="J243" s="26">
        <f>IF($A243="","",IF($H243="A国内",ROUND($I243*倍数A*汇率,0),IF($H243="B当地",ROUND($I243*系数B,0),0)))</f>
        <v/>
      </c>
      <c r="K243" s="24">
        <f>IF($A243="","",IF(COUNTIFS(入库单!$G$4:$G$2503,$A243,入库单!$X$4:$X$2503,"待补价")&gt;0,"待补价",IF(COUNTIFS(入库单!$G$4:$G$2503,$A243,入库单!$X$4:$X$2503,"暂估")&gt;0,"暂估",IF($I243=0,"没有进价","正常"))))</f>
        <v/>
      </c>
      <c r="L243" s="27">
        <f>IF($A243="","",IFERROR(VLOOKUP($A243,库存台账!$A$5:$Y$1204,24,0),0))</f>
        <v/>
      </c>
      <c r="M243" s="26">
        <f>IF($A243="","",IFERROR(VLOOKUP($A243,库存台账!$A$5:$Y$1204,25,0),0))</f>
        <v/>
      </c>
      <c r="N243" s="19">
        <f>IF($A243="","",IFERROR(LOOKUP(2,1/((出库单!$D$4:$D$4003=$A243)*(出库单!$T$4:$T$4003="正常")),出库单!$C$4:$C$4003),""))</f>
        <v/>
      </c>
      <c r="O243" s="28">
        <f>IF($A243="","",IF($L243&lt;=0,"",IF($N243="",IFERROR(账期止-LOOKUP(2,1/(入库单!$G$4:$G$2503=$A243),入库单!$C$4:$C$2503),""),账期止-$N243)))</f>
        <v/>
      </c>
      <c r="P243" s="17" t="n"/>
    </row>
    <row r="244">
      <c r="A244" s="17" t="inlineStr">
        <is>
          <t>JH0241</t>
        </is>
      </c>
      <c r="B244" s="17" t="inlineStr">
        <is>
          <t>其他</t>
        </is>
      </c>
      <c r="C244" s="17" t="inlineStr">
        <is>
          <t>高压气动清洗壶</t>
        </is>
      </c>
      <c r="D244" s="17" t="inlineStr"/>
      <c r="E244" s="17" t="inlineStr">
        <is>
          <t>个</t>
        </is>
      </c>
      <c r="F244" s="17" t="inlineStr">
        <is>
          <t>否</t>
        </is>
      </c>
      <c r="G244" s="23" t="n"/>
      <c r="H244" s="24">
        <f>IF($A244="","",IFERROR(LOOKUP(2,1/((入库单!$G$4:$G$2503=$A244)*(入库单!$Y$4:$Y$2503="正常")*(入库单!$L$4:$L$2503&gt;0)),入库单!$D$4:$D$2503),""))</f>
        <v/>
      </c>
      <c r="I244" s="25">
        <f>IF($A244="","",IFERROR(LOOKUP(2,1/((入库单!$G$4:$G$2503=$A244)*(入库单!$Y$4:$Y$2503="正常")*(入库单!$L$4:$L$2503&gt;0)),入库单!$L$4:$L$2503),0))</f>
        <v/>
      </c>
      <c r="J244" s="26">
        <f>IF($A244="","",IF($H244="A国内",ROUND($I244*倍数A*汇率,0),IF($H244="B当地",ROUND($I244*系数B,0),0)))</f>
        <v/>
      </c>
      <c r="K244" s="24">
        <f>IF($A244="","",IF(COUNTIFS(入库单!$G$4:$G$2503,$A244,入库单!$X$4:$X$2503,"待补价")&gt;0,"待补价",IF(COUNTIFS(入库单!$G$4:$G$2503,$A244,入库单!$X$4:$X$2503,"暂估")&gt;0,"暂估",IF($I244=0,"没有进价","正常"))))</f>
        <v/>
      </c>
      <c r="L244" s="27">
        <f>IF($A244="","",IFERROR(VLOOKUP($A244,库存台账!$A$5:$Y$1204,24,0),0))</f>
        <v/>
      </c>
      <c r="M244" s="26">
        <f>IF($A244="","",IFERROR(VLOOKUP($A244,库存台账!$A$5:$Y$1204,25,0),0))</f>
        <v/>
      </c>
      <c r="N244" s="19">
        <f>IF($A244="","",IFERROR(LOOKUP(2,1/((出库单!$D$4:$D$4003=$A244)*(出库单!$T$4:$T$4003="正常")),出库单!$C$4:$C$4003),""))</f>
        <v/>
      </c>
      <c r="O244" s="28">
        <f>IF($A244="","",IF($L244&lt;=0,"",IF($N244="",IFERROR(账期止-LOOKUP(2,1/(入库单!$G$4:$G$2503=$A244),入库单!$C$4:$C$2503),""),账期止-$N244)))</f>
        <v/>
      </c>
      <c r="P244" s="17" t="n"/>
    </row>
    <row r="245">
      <c r="A245" s="17" t="inlineStr">
        <is>
          <t>JH0242</t>
        </is>
      </c>
      <c r="B245" s="17" t="inlineStr">
        <is>
          <t>其他</t>
        </is>
      </c>
      <c r="C245" s="17" t="inlineStr">
        <is>
          <t>汽车应急启动电源</t>
        </is>
      </c>
      <c r="D245" s="17" t="inlineStr">
        <is>
          <t>12-24V通用(大)</t>
        </is>
      </c>
      <c r="E245" s="17" t="inlineStr">
        <is>
          <t>个</t>
        </is>
      </c>
      <c r="F245" s="17" t="inlineStr">
        <is>
          <t>否</t>
        </is>
      </c>
      <c r="G245" s="23" t="n"/>
      <c r="H245" s="24">
        <f>IF($A245="","",IFERROR(LOOKUP(2,1/((入库单!$G$4:$G$2503=$A245)*(入库单!$Y$4:$Y$2503="正常")*(入库单!$L$4:$L$2503&gt;0)),入库单!$D$4:$D$2503),""))</f>
        <v/>
      </c>
      <c r="I245" s="25">
        <f>IF($A245="","",IFERROR(LOOKUP(2,1/((入库单!$G$4:$G$2503=$A245)*(入库单!$Y$4:$Y$2503="正常")*(入库单!$L$4:$L$2503&gt;0)),入库单!$L$4:$L$2503),0))</f>
        <v/>
      </c>
      <c r="J245" s="26">
        <f>IF($A245="","",IF($H245="A国内",ROUND($I245*倍数A*汇率,0),IF($H245="B当地",ROUND($I245*系数B,0),0)))</f>
        <v/>
      </c>
      <c r="K245" s="24">
        <f>IF($A245="","",IF(COUNTIFS(入库单!$G$4:$G$2503,$A245,入库单!$X$4:$X$2503,"待补价")&gt;0,"待补价",IF(COUNTIFS(入库单!$G$4:$G$2503,$A245,入库单!$X$4:$X$2503,"暂估")&gt;0,"暂估",IF($I245=0,"没有进价","正常"))))</f>
        <v/>
      </c>
      <c r="L245" s="27">
        <f>IF($A245="","",IFERROR(VLOOKUP($A245,库存台账!$A$5:$Y$1204,24,0),0))</f>
        <v/>
      </c>
      <c r="M245" s="26">
        <f>IF($A245="","",IFERROR(VLOOKUP($A245,库存台账!$A$5:$Y$1204,25,0),0))</f>
        <v/>
      </c>
      <c r="N245" s="19">
        <f>IF($A245="","",IFERROR(LOOKUP(2,1/((出库单!$D$4:$D$4003=$A245)*(出库单!$T$4:$T$4003="正常")),出库单!$C$4:$C$4003),""))</f>
        <v/>
      </c>
      <c r="O245" s="28">
        <f>IF($A245="","",IF($L245&lt;=0,"",IF($N245="",IFERROR(账期止-LOOKUP(2,1/(入库单!$G$4:$G$2503=$A245),入库单!$C$4:$C$2503),""),账期止-$N245)))</f>
        <v/>
      </c>
      <c r="P245" s="17" t="n"/>
    </row>
    <row r="246">
      <c r="A246" s="17" t="inlineStr">
        <is>
          <t>JH0243</t>
        </is>
      </c>
      <c r="B246" s="17" t="inlineStr">
        <is>
          <t>机械设备</t>
        </is>
      </c>
      <c r="C246" s="17" t="inlineStr">
        <is>
          <t>轴承30211</t>
        </is>
      </c>
      <c r="D246" s="17" t="inlineStr">
        <is>
          <t>1500搅拌桶配件</t>
        </is>
      </c>
      <c r="E246" s="17" t="inlineStr">
        <is>
          <t>套</t>
        </is>
      </c>
      <c r="F246" s="17" t="inlineStr">
        <is>
          <t>否</t>
        </is>
      </c>
      <c r="G246" s="23" t="n"/>
      <c r="H246" s="24">
        <f>IF($A246="","",IFERROR(LOOKUP(2,1/((入库单!$G$4:$G$2503=$A246)*(入库单!$Y$4:$Y$2503="正常")*(入库单!$L$4:$L$2503&gt;0)),入库单!$D$4:$D$2503),""))</f>
        <v/>
      </c>
      <c r="I246" s="25">
        <f>IF($A246="","",IFERROR(LOOKUP(2,1/((入库单!$G$4:$G$2503=$A246)*(入库单!$Y$4:$Y$2503="正常")*(入库单!$L$4:$L$2503&gt;0)),入库单!$L$4:$L$2503),0))</f>
        <v/>
      </c>
      <c r="J246" s="26">
        <f>IF($A246="","",IF($H246="A国内",ROUND($I246*倍数A*汇率,0),IF($H246="B当地",ROUND($I246*系数B,0),0)))</f>
        <v/>
      </c>
      <c r="K246" s="24">
        <f>IF($A246="","",IF(COUNTIFS(入库单!$G$4:$G$2503,$A246,入库单!$X$4:$X$2503,"待补价")&gt;0,"待补价",IF(COUNTIFS(入库单!$G$4:$G$2503,$A246,入库单!$X$4:$X$2503,"暂估")&gt;0,"暂估",IF($I246=0,"没有进价","正常"))))</f>
        <v/>
      </c>
      <c r="L246" s="27">
        <f>IF($A246="","",IFERROR(VLOOKUP($A246,库存台账!$A$5:$Y$1204,24,0),0))</f>
        <v/>
      </c>
      <c r="M246" s="26">
        <f>IF($A246="","",IFERROR(VLOOKUP($A246,库存台账!$A$5:$Y$1204,25,0),0))</f>
        <v/>
      </c>
      <c r="N246" s="19">
        <f>IF($A246="","",IFERROR(LOOKUP(2,1/((出库单!$D$4:$D$4003=$A246)*(出库单!$T$4:$T$4003="正常")),出库单!$C$4:$C$4003),""))</f>
        <v/>
      </c>
      <c r="O246" s="28">
        <f>IF($A246="","",IF($L246&lt;=0,"",IF($N246="",IFERROR(账期止-LOOKUP(2,1/(入库单!$G$4:$G$2503=$A246),入库单!$C$4:$C$2503),""),账期止-$N246)))</f>
        <v/>
      </c>
      <c r="P246" s="17" t="n"/>
    </row>
    <row r="247">
      <c r="A247" s="17" t="inlineStr">
        <is>
          <t>JH0244</t>
        </is>
      </c>
      <c r="B247" s="17" t="inlineStr">
        <is>
          <t>机械设备</t>
        </is>
      </c>
      <c r="C247" s="17" t="inlineStr">
        <is>
          <t>轴帽36</t>
        </is>
      </c>
      <c r="D247" s="17" t="inlineStr">
        <is>
          <t>1500搅拌桶配件</t>
        </is>
      </c>
      <c r="E247" s="17" t="inlineStr">
        <is>
          <t>个</t>
        </is>
      </c>
      <c r="F247" s="17" t="inlineStr">
        <is>
          <t>否</t>
        </is>
      </c>
      <c r="G247" s="23" t="n"/>
      <c r="H247" s="24">
        <f>IF($A247="","",IFERROR(LOOKUP(2,1/((入库单!$G$4:$G$2503=$A247)*(入库单!$Y$4:$Y$2503="正常")*(入库单!$L$4:$L$2503&gt;0)),入库单!$D$4:$D$2503),""))</f>
        <v/>
      </c>
      <c r="I247" s="25">
        <f>IF($A247="","",IFERROR(LOOKUP(2,1/((入库单!$G$4:$G$2503=$A247)*(入库单!$Y$4:$Y$2503="正常")*(入库单!$L$4:$L$2503&gt;0)),入库单!$L$4:$L$2503),0))</f>
        <v/>
      </c>
      <c r="J247" s="26">
        <f>IF($A247="","",IF($H247="A国内",ROUND($I247*倍数A*汇率,0),IF($H247="B当地",ROUND($I247*系数B,0),0)))</f>
        <v/>
      </c>
      <c r="K247" s="24">
        <f>IF($A247="","",IF(COUNTIFS(入库单!$G$4:$G$2503,$A247,入库单!$X$4:$X$2503,"待补价")&gt;0,"待补价",IF(COUNTIFS(入库单!$G$4:$G$2503,$A247,入库单!$X$4:$X$2503,"暂估")&gt;0,"暂估",IF($I247=0,"没有进价","正常"))))</f>
        <v/>
      </c>
      <c r="L247" s="27">
        <f>IF($A247="","",IFERROR(VLOOKUP($A247,库存台账!$A$5:$Y$1204,24,0),0))</f>
        <v/>
      </c>
      <c r="M247" s="26">
        <f>IF($A247="","",IFERROR(VLOOKUP($A247,库存台账!$A$5:$Y$1204,25,0),0))</f>
        <v/>
      </c>
      <c r="N247" s="19">
        <f>IF($A247="","",IFERROR(LOOKUP(2,1/((出库单!$D$4:$D$4003=$A247)*(出库单!$T$4:$T$4003="正常")),出库单!$C$4:$C$4003),""))</f>
        <v/>
      </c>
      <c r="O247" s="28">
        <f>IF($A247="","",IF($L247&lt;=0,"",IF($N247="",IFERROR(账期止-LOOKUP(2,1/(入库单!$G$4:$G$2503=$A247),入库单!$C$4:$C$2503),""),账期止-$N247)))</f>
        <v/>
      </c>
      <c r="P247" s="17" t="n"/>
    </row>
    <row r="248">
      <c r="A248" s="17" t="inlineStr">
        <is>
          <t>JH0245</t>
        </is>
      </c>
      <c r="B248" s="17" t="inlineStr">
        <is>
          <t>机械设备</t>
        </is>
      </c>
      <c r="C248" s="17" t="inlineStr">
        <is>
          <t>轴承32212</t>
        </is>
      </c>
      <c r="D248" s="17" t="inlineStr">
        <is>
          <t>2000搅拌桶配件</t>
        </is>
      </c>
      <c r="E248" s="17" t="inlineStr">
        <is>
          <t>套</t>
        </is>
      </c>
      <c r="F248" s="17" t="inlineStr">
        <is>
          <t>否</t>
        </is>
      </c>
      <c r="G248" s="23" t="n"/>
      <c r="H248" s="24">
        <f>IF($A248="","",IFERROR(LOOKUP(2,1/((入库单!$G$4:$G$2503=$A248)*(入库单!$Y$4:$Y$2503="正常")*(入库单!$L$4:$L$2503&gt;0)),入库单!$D$4:$D$2503),""))</f>
        <v/>
      </c>
      <c r="I248" s="25">
        <f>IF($A248="","",IFERROR(LOOKUP(2,1/((入库单!$G$4:$G$2503=$A248)*(入库单!$Y$4:$Y$2503="正常")*(入库单!$L$4:$L$2503&gt;0)),入库单!$L$4:$L$2503),0))</f>
        <v/>
      </c>
      <c r="J248" s="26">
        <f>IF($A248="","",IF($H248="A国内",ROUND($I248*倍数A*汇率,0),IF($H248="B当地",ROUND($I248*系数B,0),0)))</f>
        <v/>
      </c>
      <c r="K248" s="24">
        <f>IF($A248="","",IF(COUNTIFS(入库单!$G$4:$G$2503,$A248,入库单!$X$4:$X$2503,"待补价")&gt;0,"待补价",IF(COUNTIFS(入库单!$G$4:$G$2503,$A248,入库单!$X$4:$X$2503,"暂估")&gt;0,"暂估",IF($I248=0,"没有进价","正常"))))</f>
        <v/>
      </c>
      <c r="L248" s="27">
        <f>IF($A248="","",IFERROR(VLOOKUP($A248,库存台账!$A$5:$Y$1204,24,0),0))</f>
        <v/>
      </c>
      <c r="M248" s="26">
        <f>IF($A248="","",IFERROR(VLOOKUP($A248,库存台账!$A$5:$Y$1204,25,0),0))</f>
        <v/>
      </c>
      <c r="N248" s="19">
        <f>IF($A248="","",IFERROR(LOOKUP(2,1/((出库单!$D$4:$D$4003=$A248)*(出库单!$T$4:$T$4003="正常")),出库单!$C$4:$C$4003),""))</f>
        <v/>
      </c>
      <c r="O248" s="28">
        <f>IF($A248="","",IF($L248&lt;=0,"",IF($N248="",IFERROR(账期止-LOOKUP(2,1/(入库单!$G$4:$G$2503=$A248),入库单!$C$4:$C$2503),""),账期止-$N248)))</f>
        <v/>
      </c>
      <c r="P248" s="17" t="n"/>
    </row>
    <row r="249">
      <c r="A249" s="17" t="inlineStr">
        <is>
          <t>JH0246</t>
        </is>
      </c>
      <c r="B249" s="17" t="inlineStr">
        <is>
          <t>机械设备</t>
        </is>
      </c>
      <c r="C249" s="17" t="inlineStr">
        <is>
          <t>尼龙棒30*50</t>
        </is>
      </c>
      <c r="D249" s="17" t="inlineStr">
        <is>
          <t>Φ1845球磨机配件</t>
        </is>
      </c>
      <c r="E249" s="17" t="inlineStr">
        <is>
          <t>个</t>
        </is>
      </c>
      <c r="F249" s="17" t="inlineStr">
        <is>
          <t>否</t>
        </is>
      </c>
      <c r="G249" s="23" t="n"/>
      <c r="H249" s="24">
        <f>IF($A249="","",IFERROR(LOOKUP(2,1/((入库单!$G$4:$G$2503=$A249)*(入库单!$Y$4:$Y$2503="正常")*(入库单!$L$4:$L$2503&gt;0)),入库单!$D$4:$D$2503),""))</f>
        <v/>
      </c>
      <c r="I249" s="25">
        <f>IF($A249="","",IFERROR(LOOKUP(2,1/((入库单!$G$4:$G$2503=$A249)*(入库单!$Y$4:$Y$2503="正常")*(入库单!$L$4:$L$2503&gt;0)),入库单!$L$4:$L$2503),0))</f>
        <v/>
      </c>
      <c r="J249" s="26">
        <f>IF($A249="","",IF($H249="A国内",ROUND($I249*倍数A*汇率,0),IF($H249="B当地",ROUND($I249*系数B,0),0)))</f>
        <v/>
      </c>
      <c r="K249" s="24">
        <f>IF($A249="","",IF(COUNTIFS(入库单!$G$4:$G$2503,$A249,入库单!$X$4:$X$2503,"待补价")&gt;0,"待补价",IF(COUNTIFS(入库单!$G$4:$G$2503,$A249,入库单!$X$4:$X$2503,"暂估")&gt;0,"暂估",IF($I249=0,"没有进价","正常"))))</f>
        <v/>
      </c>
      <c r="L249" s="27">
        <f>IF($A249="","",IFERROR(VLOOKUP($A249,库存台账!$A$5:$Y$1204,24,0),0))</f>
        <v/>
      </c>
      <c r="M249" s="26">
        <f>IF($A249="","",IFERROR(VLOOKUP($A249,库存台账!$A$5:$Y$1204,25,0),0))</f>
        <v/>
      </c>
      <c r="N249" s="19">
        <f>IF($A249="","",IFERROR(LOOKUP(2,1/((出库单!$D$4:$D$4003=$A249)*(出库单!$T$4:$T$4003="正常")),出库单!$C$4:$C$4003),""))</f>
        <v/>
      </c>
      <c r="O249" s="28">
        <f>IF($A249="","",IF($L249&lt;=0,"",IF($N249="",IFERROR(账期止-LOOKUP(2,1/(入库单!$G$4:$G$2503=$A249),入库单!$C$4:$C$2503),""),账期止-$N249)))</f>
        <v/>
      </c>
      <c r="P249" s="17" t="n"/>
    </row>
    <row r="250">
      <c r="A250" s="17" t="inlineStr">
        <is>
          <t>JH0247</t>
        </is>
      </c>
      <c r="B250" s="17" t="inlineStr">
        <is>
          <t>机械设备</t>
        </is>
      </c>
      <c r="C250" s="17" t="inlineStr">
        <is>
          <t>尼龙棒40*65</t>
        </is>
      </c>
      <c r="D250" s="17" t="inlineStr">
        <is>
          <t>Φ1845球磨机配件</t>
        </is>
      </c>
      <c r="E250" s="17" t="inlineStr">
        <is>
          <t>个</t>
        </is>
      </c>
      <c r="F250" s="17" t="inlineStr">
        <is>
          <t>否</t>
        </is>
      </c>
      <c r="G250" s="23" t="n"/>
      <c r="H250" s="24">
        <f>IF($A250="","",IFERROR(LOOKUP(2,1/((入库单!$G$4:$G$2503=$A250)*(入库单!$Y$4:$Y$2503="正常")*(入库单!$L$4:$L$2503&gt;0)),入库单!$D$4:$D$2503),""))</f>
        <v/>
      </c>
      <c r="I250" s="25">
        <f>IF($A250="","",IFERROR(LOOKUP(2,1/((入库单!$G$4:$G$2503=$A250)*(入库单!$Y$4:$Y$2503="正常")*(入库单!$L$4:$L$2503&gt;0)),入库单!$L$4:$L$2503),0))</f>
        <v/>
      </c>
      <c r="J250" s="26">
        <f>IF($A250="","",IF($H250="A国内",ROUND($I250*倍数A*汇率,0),IF($H250="B当地",ROUND($I250*系数B,0),0)))</f>
        <v/>
      </c>
      <c r="K250" s="24">
        <f>IF($A250="","",IF(COUNTIFS(入库单!$G$4:$G$2503,$A250,入库单!$X$4:$X$2503,"待补价")&gt;0,"待补价",IF(COUNTIFS(入库单!$G$4:$G$2503,$A250,入库单!$X$4:$X$2503,"暂估")&gt;0,"暂估",IF($I250=0,"没有进价","正常"))))</f>
        <v/>
      </c>
      <c r="L250" s="27">
        <f>IF($A250="","",IFERROR(VLOOKUP($A250,库存台账!$A$5:$Y$1204,24,0),0))</f>
        <v/>
      </c>
      <c r="M250" s="26">
        <f>IF($A250="","",IFERROR(VLOOKUP($A250,库存台账!$A$5:$Y$1204,25,0),0))</f>
        <v/>
      </c>
      <c r="N250" s="19">
        <f>IF($A250="","",IFERROR(LOOKUP(2,1/((出库单!$D$4:$D$4003=$A250)*(出库单!$T$4:$T$4003="正常")),出库单!$C$4:$C$4003),""))</f>
        <v/>
      </c>
      <c r="O250" s="28">
        <f>IF($A250="","",IF($L250&lt;=0,"",IF($N250="",IFERROR(账期止-LOOKUP(2,1/(入库单!$G$4:$G$2503=$A250),入库单!$C$4:$C$2503),""),账期止-$N250)))</f>
        <v/>
      </c>
      <c r="P250" s="17" t="n"/>
    </row>
    <row r="251">
      <c r="A251" s="17" t="inlineStr">
        <is>
          <t>JH0248</t>
        </is>
      </c>
      <c r="B251" s="17" t="inlineStr">
        <is>
          <t>机械设备</t>
        </is>
      </c>
      <c r="C251" s="17" t="inlineStr">
        <is>
          <t>尼龙瓦</t>
        </is>
      </c>
      <c r="D251" s="17" t="inlineStr">
        <is>
          <t>1500分级机配件</t>
        </is>
      </c>
      <c r="E251" s="17" t="inlineStr">
        <is>
          <t>件</t>
        </is>
      </c>
      <c r="F251" s="17" t="inlineStr">
        <is>
          <t>否</t>
        </is>
      </c>
      <c r="G251" s="23" t="n"/>
      <c r="H251" s="24">
        <f>IF($A251="","",IFERROR(LOOKUP(2,1/((入库单!$G$4:$G$2503=$A251)*(入库单!$Y$4:$Y$2503="正常")*(入库单!$L$4:$L$2503&gt;0)),入库单!$D$4:$D$2503),""))</f>
        <v/>
      </c>
      <c r="I251" s="25">
        <f>IF($A251="","",IFERROR(LOOKUP(2,1/((入库单!$G$4:$G$2503=$A251)*(入库单!$Y$4:$Y$2503="正常")*(入库单!$L$4:$L$2503&gt;0)),入库单!$L$4:$L$2503),0))</f>
        <v/>
      </c>
      <c r="J251" s="26">
        <f>IF($A251="","",IF($H251="A国内",ROUND($I251*倍数A*汇率,0),IF($H251="B当地",ROUND($I251*系数B,0),0)))</f>
        <v/>
      </c>
      <c r="K251" s="24">
        <f>IF($A251="","",IF(COUNTIFS(入库单!$G$4:$G$2503,$A251,入库单!$X$4:$X$2503,"待补价")&gt;0,"待补价",IF(COUNTIFS(入库单!$G$4:$G$2503,$A251,入库单!$X$4:$X$2503,"暂估")&gt;0,"暂估",IF($I251=0,"没有进价","正常"))))</f>
        <v/>
      </c>
      <c r="L251" s="27">
        <f>IF($A251="","",IFERROR(VLOOKUP($A251,库存台账!$A$5:$Y$1204,24,0),0))</f>
        <v/>
      </c>
      <c r="M251" s="26">
        <f>IF($A251="","",IFERROR(VLOOKUP($A251,库存台账!$A$5:$Y$1204,25,0),0))</f>
        <v/>
      </c>
      <c r="N251" s="19">
        <f>IF($A251="","",IFERROR(LOOKUP(2,1/((出库单!$D$4:$D$4003=$A251)*(出库单!$T$4:$T$4003="正常")),出库单!$C$4:$C$4003),""))</f>
        <v/>
      </c>
      <c r="O251" s="28">
        <f>IF($A251="","",IF($L251&lt;=0,"",IF($N251="",IFERROR(账期止-LOOKUP(2,1/(入库单!$G$4:$G$2503=$A251),入库单!$C$4:$C$2503),""),账期止-$N251)))</f>
        <v/>
      </c>
      <c r="P251" s="17" t="n"/>
    </row>
    <row r="252">
      <c r="A252" s="17" t="inlineStr">
        <is>
          <t>JH0249</t>
        </is>
      </c>
      <c r="B252" s="17" t="inlineStr">
        <is>
          <t>机械配件</t>
        </is>
      </c>
      <c r="C252" s="17" t="inlineStr">
        <is>
          <t>压块螺栓四方24*500</t>
        </is>
      </c>
      <c r="D252" s="17" t="inlineStr">
        <is>
          <t>PE400*600配件</t>
        </is>
      </c>
      <c r="E252" s="17" t="inlineStr">
        <is>
          <t>套</t>
        </is>
      </c>
      <c r="F252" s="17" t="inlineStr">
        <is>
          <t>否</t>
        </is>
      </c>
      <c r="G252" s="23" t="n"/>
      <c r="H252" s="24">
        <f>IF($A252="","",IFERROR(LOOKUP(2,1/((入库单!$G$4:$G$2503=$A252)*(入库单!$Y$4:$Y$2503="正常")*(入库单!$L$4:$L$2503&gt;0)),入库单!$D$4:$D$2503),""))</f>
        <v/>
      </c>
      <c r="I252" s="25">
        <f>IF($A252="","",IFERROR(LOOKUP(2,1/((入库单!$G$4:$G$2503=$A252)*(入库单!$Y$4:$Y$2503="正常")*(入库单!$L$4:$L$2503&gt;0)),入库单!$L$4:$L$2503),0))</f>
        <v/>
      </c>
      <c r="J252" s="26">
        <f>IF($A252="","",IF($H252="A国内",ROUND($I252*倍数A*汇率,0),IF($H252="B当地",ROUND($I252*系数B,0),0)))</f>
        <v/>
      </c>
      <c r="K252" s="24">
        <f>IF($A252="","",IF(COUNTIFS(入库单!$G$4:$G$2503,$A252,入库单!$X$4:$X$2503,"待补价")&gt;0,"待补价",IF(COUNTIFS(入库单!$G$4:$G$2503,$A252,入库单!$X$4:$X$2503,"暂估")&gt;0,"暂估",IF($I252=0,"没有进价","正常"))))</f>
        <v/>
      </c>
      <c r="L252" s="27">
        <f>IF($A252="","",IFERROR(VLOOKUP($A252,库存台账!$A$5:$Y$1204,24,0),0))</f>
        <v/>
      </c>
      <c r="M252" s="26">
        <f>IF($A252="","",IFERROR(VLOOKUP($A252,库存台账!$A$5:$Y$1204,25,0),0))</f>
        <v/>
      </c>
      <c r="N252" s="19">
        <f>IF($A252="","",IFERROR(LOOKUP(2,1/((出库单!$D$4:$D$4003=$A252)*(出库单!$T$4:$T$4003="正常")),出库单!$C$4:$C$4003),""))</f>
        <v/>
      </c>
      <c r="O252" s="28">
        <f>IF($A252="","",IF($L252&lt;=0,"",IF($N252="",IFERROR(账期止-LOOKUP(2,1/(入库单!$G$4:$G$2503=$A252),入库单!$C$4:$C$2503),""),账期止-$N252)))</f>
        <v/>
      </c>
      <c r="P252" s="17" t="n"/>
    </row>
    <row r="253">
      <c r="A253" s="17" t="inlineStr">
        <is>
          <t>JH0250</t>
        </is>
      </c>
      <c r="B253" s="17" t="inlineStr">
        <is>
          <t>机械配件</t>
        </is>
      </c>
      <c r="C253" s="17" t="inlineStr">
        <is>
          <t>边护板螺栓斗24*130</t>
        </is>
      </c>
      <c r="D253" s="17" t="inlineStr">
        <is>
          <t>PE400*600配件</t>
        </is>
      </c>
      <c r="E253" s="17" t="inlineStr">
        <is>
          <t>套</t>
        </is>
      </c>
      <c r="F253" s="17" t="inlineStr">
        <is>
          <t>否</t>
        </is>
      </c>
      <c r="G253" s="23" t="n"/>
      <c r="H253" s="24">
        <f>IF($A253="","",IFERROR(LOOKUP(2,1/((入库单!$G$4:$G$2503=$A253)*(入库单!$Y$4:$Y$2503="正常")*(入库单!$L$4:$L$2503&gt;0)),入库单!$D$4:$D$2503),""))</f>
        <v/>
      </c>
      <c r="I253" s="25">
        <f>IF($A253="","",IFERROR(LOOKUP(2,1/((入库单!$G$4:$G$2503=$A253)*(入库单!$Y$4:$Y$2503="正常")*(入库单!$L$4:$L$2503&gt;0)),入库单!$L$4:$L$2503),0))</f>
        <v/>
      </c>
      <c r="J253" s="26">
        <f>IF($A253="","",IF($H253="A国内",ROUND($I253*倍数A*汇率,0),IF($H253="B当地",ROUND($I253*系数B,0),0)))</f>
        <v/>
      </c>
      <c r="K253" s="24">
        <f>IF($A253="","",IF(COUNTIFS(入库单!$G$4:$G$2503,$A253,入库单!$X$4:$X$2503,"待补价")&gt;0,"待补价",IF(COUNTIFS(入库单!$G$4:$G$2503,$A253,入库单!$X$4:$X$2503,"暂估")&gt;0,"暂估",IF($I253=0,"没有进价","正常"))))</f>
        <v/>
      </c>
      <c r="L253" s="27">
        <f>IF($A253="","",IFERROR(VLOOKUP($A253,库存台账!$A$5:$Y$1204,24,0),0))</f>
        <v/>
      </c>
      <c r="M253" s="26">
        <f>IF($A253="","",IFERROR(VLOOKUP($A253,库存台账!$A$5:$Y$1204,25,0),0))</f>
        <v/>
      </c>
      <c r="N253" s="19">
        <f>IF($A253="","",IFERROR(LOOKUP(2,1/((出库单!$D$4:$D$4003=$A253)*(出库单!$T$4:$T$4003="正常")),出库单!$C$4:$C$4003),""))</f>
        <v/>
      </c>
      <c r="O253" s="28">
        <f>IF($A253="","",IF($L253&lt;=0,"",IF($N253="",IFERROR(账期止-LOOKUP(2,1/(入库单!$G$4:$G$2503=$A253),入库单!$C$4:$C$2503),""),账期止-$N253)))</f>
        <v/>
      </c>
      <c r="P253" s="17" t="n"/>
    </row>
    <row r="254">
      <c r="A254" s="17" t="inlineStr">
        <is>
          <t>JH0251</t>
        </is>
      </c>
      <c r="B254" s="17" t="inlineStr">
        <is>
          <t>机械配件</t>
        </is>
      </c>
      <c r="C254" s="17" t="inlineStr">
        <is>
          <t>压块螺栓四方24*500</t>
        </is>
      </c>
      <c r="D254" s="17" t="inlineStr">
        <is>
          <t>PE250*1000配件</t>
        </is>
      </c>
      <c r="E254" s="17" t="inlineStr">
        <is>
          <t>套</t>
        </is>
      </c>
      <c r="F254" s="17" t="inlineStr">
        <is>
          <t>否</t>
        </is>
      </c>
      <c r="G254" s="23" t="n"/>
      <c r="H254" s="24">
        <f>IF($A254="","",IFERROR(LOOKUP(2,1/((入库单!$G$4:$G$2503=$A254)*(入库单!$Y$4:$Y$2503="正常")*(入库单!$L$4:$L$2503&gt;0)),入库单!$D$4:$D$2503),""))</f>
        <v/>
      </c>
      <c r="I254" s="25">
        <f>IF($A254="","",IFERROR(LOOKUP(2,1/((入库单!$G$4:$G$2503=$A254)*(入库单!$Y$4:$Y$2503="正常")*(入库单!$L$4:$L$2503&gt;0)),入库单!$L$4:$L$2503),0))</f>
        <v/>
      </c>
      <c r="J254" s="26">
        <f>IF($A254="","",IF($H254="A国内",ROUND($I254*倍数A*汇率,0),IF($H254="B当地",ROUND($I254*系数B,0),0)))</f>
        <v/>
      </c>
      <c r="K254" s="24">
        <f>IF($A254="","",IF(COUNTIFS(入库单!$G$4:$G$2503,$A254,入库单!$X$4:$X$2503,"待补价")&gt;0,"待补价",IF(COUNTIFS(入库单!$G$4:$G$2503,$A254,入库单!$X$4:$X$2503,"暂估")&gt;0,"暂估",IF($I254=0,"没有进价","正常"))))</f>
        <v/>
      </c>
      <c r="L254" s="27">
        <f>IF($A254="","",IFERROR(VLOOKUP($A254,库存台账!$A$5:$Y$1204,24,0),0))</f>
        <v/>
      </c>
      <c r="M254" s="26">
        <f>IF($A254="","",IFERROR(VLOOKUP($A254,库存台账!$A$5:$Y$1204,25,0),0))</f>
        <v/>
      </c>
      <c r="N254" s="19">
        <f>IF($A254="","",IFERROR(LOOKUP(2,1/((出库单!$D$4:$D$4003=$A254)*(出库单!$T$4:$T$4003="正常")),出库单!$C$4:$C$4003),""))</f>
        <v/>
      </c>
      <c r="O254" s="28">
        <f>IF($A254="","",IF($L254&lt;=0,"",IF($N254="",IFERROR(账期止-LOOKUP(2,1/(入库单!$G$4:$G$2503=$A254),入库单!$C$4:$C$2503),""),账期止-$N254)))</f>
        <v/>
      </c>
      <c r="P254" s="17" t="n"/>
    </row>
    <row r="255">
      <c r="A255" s="17" t="inlineStr">
        <is>
          <t>JH0252</t>
        </is>
      </c>
      <c r="B255" s="17" t="inlineStr">
        <is>
          <t>机械配件</t>
        </is>
      </c>
      <c r="C255" s="17" t="inlineStr">
        <is>
          <t>吊螺栓四方24*150</t>
        </is>
      </c>
      <c r="D255" s="17" t="inlineStr">
        <is>
          <t>PE250*1000配件</t>
        </is>
      </c>
      <c r="E255" s="17" t="inlineStr">
        <is>
          <t>套</t>
        </is>
      </c>
      <c r="F255" s="17" t="inlineStr">
        <is>
          <t>否</t>
        </is>
      </c>
      <c r="G255" s="23" t="n"/>
      <c r="H255" s="24">
        <f>IF($A255="","",IFERROR(LOOKUP(2,1/((入库单!$G$4:$G$2503=$A255)*(入库单!$Y$4:$Y$2503="正常")*(入库单!$L$4:$L$2503&gt;0)),入库单!$D$4:$D$2503),""))</f>
        <v/>
      </c>
      <c r="I255" s="25">
        <f>IF($A255="","",IFERROR(LOOKUP(2,1/((入库单!$G$4:$G$2503=$A255)*(入库单!$Y$4:$Y$2503="正常")*(入库单!$L$4:$L$2503&gt;0)),入库单!$L$4:$L$2503),0))</f>
        <v/>
      </c>
      <c r="J255" s="26">
        <f>IF($A255="","",IF($H255="A国内",ROUND($I255*倍数A*汇率,0),IF($H255="B当地",ROUND($I255*系数B,0),0)))</f>
        <v/>
      </c>
      <c r="K255" s="24">
        <f>IF($A255="","",IF(COUNTIFS(入库单!$G$4:$G$2503,$A255,入库单!$X$4:$X$2503,"待补价")&gt;0,"待补价",IF(COUNTIFS(入库单!$G$4:$G$2503,$A255,入库单!$X$4:$X$2503,"暂估")&gt;0,"暂估",IF($I255=0,"没有进价","正常"))))</f>
        <v/>
      </c>
      <c r="L255" s="27">
        <f>IF($A255="","",IFERROR(VLOOKUP($A255,库存台账!$A$5:$Y$1204,24,0),0))</f>
        <v/>
      </c>
      <c r="M255" s="26">
        <f>IF($A255="","",IFERROR(VLOOKUP($A255,库存台账!$A$5:$Y$1204,25,0),0))</f>
        <v/>
      </c>
      <c r="N255" s="19">
        <f>IF($A255="","",IFERROR(LOOKUP(2,1/((出库单!$D$4:$D$4003=$A255)*(出库单!$T$4:$T$4003="正常")),出库单!$C$4:$C$4003),""))</f>
        <v/>
      </c>
      <c r="O255" s="28">
        <f>IF($A255="","",IF($L255&lt;=0,"",IF($N255="",IFERROR(账期止-LOOKUP(2,1/(入库单!$G$4:$G$2503=$A255),入库单!$C$4:$C$2503),""),账期止-$N255)))</f>
        <v/>
      </c>
      <c r="P255" s="17" t="n"/>
    </row>
    <row r="256">
      <c r="A256" s="17" t="inlineStr">
        <is>
          <t>JH0253</t>
        </is>
      </c>
      <c r="B256" s="17" t="inlineStr">
        <is>
          <t>机械配件</t>
        </is>
      </c>
      <c r="C256" s="17" t="inlineStr">
        <is>
          <t>拉螺栓四方30*500</t>
        </is>
      </c>
      <c r="D256" s="17" t="inlineStr">
        <is>
          <t>PE250*1000配件</t>
        </is>
      </c>
      <c r="E256" s="17" t="inlineStr">
        <is>
          <t>套</t>
        </is>
      </c>
      <c r="F256" s="17" t="inlineStr">
        <is>
          <t>否</t>
        </is>
      </c>
      <c r="G256" s="23" t="n"/>
      <c r="H256" s="24">
        <f>IF($A256="","",IFERROR(LOOKUP(2,1/((入库单!$G$4:$G$2503=$A256)*(入库单!$Y$4:$Y$2503="正常")*(入库单!$L$4:$L$2503&gt;0)),入库单!$D$4:$D$2503),""))</f>
        <v/>
      </c>
      <c r="I256" s="25">
        <f>IF($A256="","",IFERROR(LOOKUP(2,1/((入库单!$G$4:$G$2503=$A256)*(入库单!$Y$4:$Y$2503="正常")*(入库单!$L$4:$L$2503&gt;0)),入库单!$L$4:$L$2503),0))</f>
        <v/>
      </c>
      <c r="J256" s="26">
        <f>IF($A256="","",IF($H256="A国内",ROUND($I256*倍数A*汇率,0),IF($H256="B当地",ROUND($I256*系数B,0),0)))</f>
        <v/>
      </c>
      <c r="K256" s="24">
        <f>IF($A256="","",IF(COUNTIFS(入库单!$G$4:$G$2503,$A256,入库单!$X$4:$X$2503,"待补价")&gt;0,"待补价",IF(COUNTIFS(入库单!$G$4:$G$2503,$A256,入库单!$X$4:$X$2503,"暂估")&gt;0,"暂估",IF($I256=0,"没有进价","正常"))))</f>
        <v/>
      </c>
      <c r="L256" s="27">
        <f>IF($A256="","",IFERROR(VLOOKUP($A256,库存台账!$A$5:$Y$1204,24,0),0))</f>
        <v/>
      </c>
      <c r="M256" s="26">
        <f>IF($A256="","",IFERROR(VLOOKUP($A256,库存台账!$A$5:$Y$1204,25,0),0))</f>
        <v/>
      </c>
      <c r="N256" s="19">
        <f>IF($A256="","",IFERROR(LOOKUP(2,1/((出库单!$D$4:$D$4003=$A256)*(出库单!$T$4:$T$4003="正常")),出库单!$C$4:$C$4003),""))</f>
        <v/>
      </c>
      <c r="O256" s="28">
        <f>IF($A256="","",IF($L256&lt;=0,"",IF($N256="",IFERROR(账期止-LOOKUP(2,1/(入库单!$G$4:$G$2503=$A256),入库单!$C$4:$C$2503),""),账期止-$N256)))</f>
        <v/>
      </c>
      <c r="P256" s="17" t="n"/>
    </row>
    <row r="257">
      <c r="A257" s="17" t="inlineStr">
        <is>
          <t>JH0254</t>
        </is>
      </c>
      <c r="B257" s="17" t="inlineStr">
        <is>
          <t>机械设备</t>
        </is>
      </c>
      <c r="C257" s="17" t="inlineStr">
        <is>
          <t>浮选机1-2</t>
        </is>
      </c>
      <c r="D257" s="17" t="inlineStr">
        <is>
          <t>XCF43</t>
        </is>
      </c>
      <c r="E257" s="17" t="inlineStr">
        <is>
          <t>台</t>
        </is>
      </c>
      <c r="F257" s="17" t="inlineStr">
        <is>
          <t>否</t>
        </is>
      </c>
      <c r="G257" s="23" t="n"/>
      <c r="H257" s="24">
        <f>IF($A257="","",IFERROR(LOOKUP(2,1/((入库单!$G$4:$G$2503=$A257)*(入库单!$Y$4:$Y$2503="正常")*(入库单!$L$4:$L$2503&gt;0)),入库单!$D$4:$D$2503),""))</f>
        <v/>
      </c>
      <c r="I257" s="25">
        <f>IF($A257="","",IFERROR(LOOKUP(2,1/((入库单!$G$4:$G$2503=$A257)*(入库单!$Y$4:$Y$2503="正常")*(入库单!$L$4:$L$2503&gt;0)),入库单!$L$4:$L$2503),0))</f>
        <v/>
      </c>
      <c r="J257" s="26">
        <f>IF($A257="","",IF($H257="A国内",ROUND($I257*倍数A*汇率,0),IF($H257="B当地",ROUND($I257*系数B,0),0)))</f>
        <v/>
      </c>
      <c r="K257" s="24">
        <f>IF($A257="","",IF(COUNTIFS(入库单!$G$4:$G$2503,$A257,入库单!$X$4:$X$2503,"待补价")&gt;0,"待补价",IF(COUNTIFS(入库单!$G$4:$G$2503,$A257,入库单!$X$4:$X$2503,"暂估")&gt;0,"暂估",IF($I257=0,"没有进价","正常"))))</f>
        <v/>
      </c>
      <c r="L257" s="27">
        <f>IF($A257="","",IFERROR(VLOOKUP($A257,库存台账!$A$5:$Y$1204,24,0),0))</f>
        <v/>
      </c>
      <c r="M257" s="26">
        <f>IF($A257="","",IFERROR(VLOOKUP($A257,库存台账!$A$5:$Y$1204,25,0),0))</f>
        <v/>
      </c>
      <c r="N257" s="19">
        <f>IF($A257="","",IFERROR(LOOKUP(2,1/((出库单!$D$4:$D$4003=$A257)*(出库单!$T$4:$T$4003="正常")),出库单!$C$4:$C$4003),""))</f>
        <v/>
      </c>
      <c r="O257" s="28">
        <f>IF($A257="","",IF($L257&lt;=0,"",IF($N257="",IFERROR(账期止-LOOKUP(2,1/(入库单!$G$4:$G$2503=$A257),入库单!$C$4:$C$2503),""),账期止-$N257)))</f>
        <v/>
      </c>
      <c r="P257" s="17" t="n"/>
    </row>
    <row r="258">
      <c r="A258" s="17" t="inlineStr">
        <is>
          <t>JH0255</t>
        </is>
      </c>
      <c r="B258" s="17" t="inlineStr">
        <is>
          <t>机械设备</t>
        </is>
      </c>
      <c r="C258" s="17" t="inlineStr">
        <is>
          <t>浮选机1-2</t>
        </is>
      </c>
      <c r="D258" s="17" t="inlineStr">
        <is>
          <t>KYF43</t>
        </is>
      </c>
      <c r="E258" s="17" t="inlineStr">
        <is>
          <t>台</t>
        </is>
      </c>
      <c r="F258" s="17" t="inlineStr">
        <is>
          <t>否</t>
        </is>
      </c>
      <c r="G258" s="23" t="n"/>
      <c r="H258" s="24">
        <f>IF($A258="","",IFERROR(LOOKUP(2,1/((入库单!$G$4:$G$2503=$A258)*(入库单!$Y$4:$Y$2503="正常")*(入库单!$L$4:$L$2503&gt;0)),入库单!$D$4:$D$2503),""))</f>
        <v/>
      </c>
      <c r="I258" s="25">
        <f>IF($A258="","",IFERROR(LOOKUP(2,1/((入库单!$G$4:$G$2503=$A258)*(入库单!$Y$4:$Y$2503="正常")*(入库单!$L$4:$L$2503&gt;0)),入库单!$L$4:$L$2503),0))</f>
        <v/>
      </c>
      <c r="J258" s="26">
        <f>IF($A258="","",IF($H258="A国内",ROUND($I258*倍数A*汇率,0),IF($H258="B当地",ROUND($I258*系数B,0),0)))</f>
        <v/>
      </c>
      <c r="K258" s="24">
        <f>IF($A258="","",IF(COUNTIFS(入库单!$G$4:$G$2503,$A258,入库单!$X$4:$X$2503,"待补价")&gt;0,"待补价",IF(COUNTIFS(入库单!$G$4:$G$2503,$A258,入库单!$X$4:$X$2503,"暂估")&gt;0,"暂估",IF($I258=0,"没有进价","正常"))))</f>
        <v/>
      </c>
      <c r="L258" s="27">
        <f>IF($A258="","",IFERROR(VLOOKUP($A258,库存台账!$A$5:$Y$1204,24,0),0))</f>
        <v/>
      </c>
      <c r="M258" s="26">
        <f>IF($A258="","",IFERROR(VLOOKUP($A258,库存台账!$A$5:$Y$1204,25,0),0))</f>
        <v/>
      </c>
      <c r="N258" s="19">
        <f>IF($A258="","",IFERROR(LOOKUP(2,1/((出库单!$D$4:$D$4003=$A258)*(出库单!$T$4:$T$4003="正常")),出库单!$C$4:$C$4003),""))</f>
        <v/>
      </c>
      <c r="O258" s="28">
        <f>IF($A258="","",IF($L258&lt;=0,"",IF($N258="",IFERROR(账期止-LOOKUP(2,1/(入库单!$G$4:$G$2503=$A258),入库单!$C$4:$C$2503),""),账期止-$N258)))</f>
        <v/>
      </c>
      <c r="P258" s="17" t="n"/>
    </row>
    <row r="259">
      <c r="A259" s="17" t="inlineStr">
        <is>
          <t>JH0256</t>
        </is>
      </c>
      <c r="B259" s="17" t="inlineStr">
        <is>
          <t>电缆电气</t>
        </is>
      </c>
      <c r="C259" s="17" t="inlineStr">
        <is>
          <t>电机11kw</t>
        </is>
      </c>
      <c r="D259" s="17" t="inlineStr"/>
      <c r="E259" s="17" t="inlineStr">
        <is>
          <t>台</t>
        </is>
      </c>
      <c r="F259" s="17" t="inlineStr">
        <is>
          <t>否</t>
        </is>
      </c>
      <c r="G259" s="23" t="n"/>
      <c r="H259" s="24">
        <f>IF($A259="","",IFERROR(LOOKUP(2,1/((入库单!$G$4:$G$2503=$A259)*(入库单!$Y$4:$Y$2503="正常")*(入库单!$L$4:$L$2503&gt;0)),入库单!$D$4:$D$2503),""))</f>
        <v/>
      </c>
      <c r="I259" s="25">
        <f>IF($A259="","",IFERROR(LOOKUP(2,1/((入库单!$G$4:$G$2503=$A259)*(入库单!$Y$4:$Y$2503="正常")*(入库单!$L$4:$L$2503&gt;0)),入库单!$L$4:$L$2503),0))</f>
        <v/>
      </c>
      <c r="J259" s="26">
        <f>IF($A259="","",IF($H259="A国内",ROUND($I259*倍数A*汇率,0),IF($H259="B当地",ROUND($I259*系数B,0),0)))</f>
        <v/>
      </c>
      <c r="K259" s="24">
        <f>IF($A259="","",IF(COUNTIFS(入库单!$G$4:$G$2503,$A259,入库单!$X$4:$X$2503,"待补价")&gt;0,"待补价",IF(COUNTIFS(入库单!$G$4:$G$2503,$A259,入库单!$X$4:$X$2503,"暂估")&gt;0,"暂估",IF($I259=0,"没有进价","正常"))))</f>
        <v/>
      </c>
      <c r="L259" s="27">
        <f>IF($A259="","",IFERROR(VLOOKUP($A259,库存台账!$A$5:$Y$1204,24,0),0))</f>
        <v/>
      </c>
      <c r="M259" s="26">
        <f>IF($A259="","",IFERROR(VLOOKUP($A259,库存台账!$A$5:$Y$1204,25,0),0))</f>
        <v/>
      </c>
      <c r="N259" s="19">
        <f>IF($A259="","",IFERROR(LOOKUP(2,1/((出库单!$D$4:$D$4003=$A259)*(出库单!$T$4:$T$4003="正常")),出库单!$C$4:$C$4003),""))</f>
        <v/>
      </c>
      <c r="O259" s="28">
        <f>IF($A259="","",IF($L259&lt;=0,"",IF($N259="",IFERROR(账期止-LOOKUP(2,1/(入库单!$G$4:$G$2503=$A259),入库单!$C$4:$C$2503),""),账期止-$N259)))</f>
        <v/>
      </c>
      <c r="P259" s="17" t="n"/>
    </row>
    <row r="260">
      <c r="A260" s="17" t="inlineStr">
        <is>
          <t>JH0257</t>
        </is>
      </c>
      <c r="B260" s="17" t="inlineStr">
        <is>
          <t>电缆电气</t>
        </is>
      </c>
      <c r="C260" s="17" t="inlineStr">
        <is>
          <t>电机15kw</t>
        </is>
      </c>
      <c r="D260" s="17" t="inlineStr"/>
      <c r="E260" s="17" t="inlineStr">
        <is>
          <t>台</t>
        </is>
      </c>
      <c r="F260" s="17" t="inlineStr">
        <is>
          <t>否</t>
        </is>
      </c>
      <c r="G260" s="23" t="n"/>
      <c r="H260" s="24">
        <f>IF($A260="","",IFERROR(LOOKUP(2,1/((入库单!$G$4:$G$2503=$A260)*(入库单!$Y$4:$Y$2503="正常")*(入库单!$L$4:$L$2503&gt;0)),入库单!$D$4:$D$2503),""))</f>
        <v/>
      </c>
      <c r="I260" s="25">
        <f>IF($A260="","",IFERROR(LOOKUP(2,1/((入库单!$G$4:$G$2503=$A260)*(入库单!$Y$4:$Y$2503="正常")*(入库单!$L$4:$L$2503&gt;0)),入库单!$L$4:$L$2503),0))</f>
        <v/>
      </c>
      <c r="J260" s="26">
        <f>IF($A260="","",IF($H260="A国内",ROUND($I260*倍数A*汇率,0),IF($H260="B当地",ROUND($I260*系数B,0),0)))</f>
        <v/>
      </c>
      <c r="K260" s="24">
        <f>IF($A260="","",IF(COUNTIFS(入库单!$G$4:$G$2503,$A260,入库单!$X$4:$X$2503,"待补价")&gt;0,"待补价",IF(COUNTIFS(入库单!$G$4:$G$2503,$A260,入库单!$X$4:$X$2503,"暂估")&gt;0,"暂估",IF($I260=0,"没有进价","正常"))))</f>
        <v/>
      </c>
      <c r="L260" s="27">
        <f>IF($A260="","",IFERROR(VLOOKUP($A260,库存台账!$A$5:$Y$1204,24,0),0))</f>
        <v/>
      </c>
      <c r="M260" s="26">
        <f>IF($A260="","",IFERROR(VLOOKUP($A260,库存台账!$A$5:$Y$1204,25,0),0))</f>
        <v/>
      </c>
      <c r="N260" s="19">
        <f>IF($A260="","",IFERROR(LOOKUP(2,1/((出库单!$D$4:$D$4003=$A260)*(出库单!$T$4:$T$4003="正常")),出库单!$C$4:$C$4003),""))</f>
        <v/>
      </c>
      <c r="O260" s="28">
        <f>IF($A260="","",IF($L260&lt;=0,"",IF($N260="",IFERROR(账期止-LOOKUP(2,1/(入库单!$G$4:$G$2503=$A260),入库单!$C$4:$C$2503),""),账期止-$N260)))</f>
        <v/>
      </c>
      <c r="P260" s="17" t="n"/>
    </row>
    <row r="261">
      <c r="A261" s="17" t="inlineStr">
        <is>
          <t>JH0258</t>
        </is>
      </c>
      <c r="B261" s="17" t="inlineStr">
        <is>
          <t>其他</t>
        </is>
      </c>
      <c r="C261" s="17" t="inlineStr">
        <is>
          <t>大轮（带通气管座）</t>
        </is>
      </c>
      <c r="D261" s="17" t="inlineStr"/>
      <c r="E261" s="17" t="inlineStr">
        <is>
          <t>套</t>
        </is>
      </c>
      <c r="F261" s="17" t="inlineStr">
        <is>
          <t>否</t>
        </is>
      </c>
      <c r="G261" s="23" t="n"/>
      <c r="H261" s="24">
        <f>IF($A261="","",IFERROR(LOOKUP(2,1/((入库单!$G$4:$G$2503=$A261)*(入库单!$Y$4:$Y$2503="正常")*(入库单!$L$4:$L$2503&gt;0)),入库单!$D$4:$D$2503),""))</f>
        <v/>
      </c>
      <c r="I261" s="25">
        <f>IF($A261="","",IFERROR(LOOKUP(2,1/((入库单!$G$4:$G$2503=$A261)*(入库单!$Y$4:$Y$2503="正常")*(入库单!$L$4:$L$2503&gt;0)),入库单!$L$4:$L$2503),0))</f>
        <v/>
      </c>
      <c r="J261" s="26">
        <f>IF($A261="","",IF($H261="A国内",ROUND($I261*倍数A*汇率,0),IF($H261="B当地",ROUND($I261*系数B,0),0)))</f>
        <v/>
      </c>
      <c r="K261" s="24">
        <f>IF($A261="","",IF(COUNTIFS(入库单!$G$4:$G$2503,$A261,入库单!$X$4:$X$2503,"待补价")&gt;0,"待补价",IF(COUNTIFS(入库单!$G$4:$G$2503,$A261,入库单!$X$4:$X$2503,"暂估")&gt;0,"暂估",IF($I261=0,"没有进价","正常"))))</f>
        <v/>
      </c>
      <c r="L261" s="27">
        <f>IF($A261="","",IFERROR(VLOOKUP($A261,库存台账!$A$5:$Y$1204,24,0),0))</f>
        <v/>
      </c>
      <c r="M261" s="26">
        <f>IF($A261="","",IFERROR(VLOOKUP($A261,库存台账!$A$5:$Y$1204,25,0),0))</f>
        <v/>
      </c>
      <c r="N261" s="19">
        <f>IF($A261="","",IFERROR(LOOKUP(2,1/((出库单!$D$4:$D$4003=$A261)*(出库单!$T$4:$T$4003="正常")),出库单!$C$4:$C$4003),""))</f>
        <v/>
      </c>
      <c r="O261" s="28">
        <f>IF($A261="","",IF($L261&lt;=0,"",IF($N261="",IFERROR(账期止-LOOKUP(2,1/(入库单!$G$4:$G$2503=$A261),入库单!$C$4:$C$2503),""),账期止-$N261)))</f>
        <v/>
      </c>
      <c r="P261" s="17" t="n"/>
    </row>
    <row r="262">
      <c r="A262" s="17" t="inlineStr">
        <is>
          <t>JH0259</t>
        </is>
      </c>
      <c r="B262" s="17" t="inlineStr">
        <is>
          <t>其他</t>
        </is>
      </c>
      <c r="C262" s="17" t="inlineStr">
        <is>
          <t>三角带C3650</t>
        </is>
      </c>
      <c r="D262" s="17" t="inlineStr"/>
      <c r="E262" s="17" t="inlineStr">
        <is>
          <t>条</t>
        </is>
      </c>
      <c r="F262" s="17" t="inlineStr">
        <is>
          <t>否</t>
        </is>
      </c>
      <c r="G262" s="23" t="n"/>
      <c r="H262" s="24">
        <f>IF($A262="","",IFERROR(LOOKUP(2,1/((入库单!$G$4:$G$2503=$A262)*(入库单!$Y$4:$Y$2503="正常")*(入库单!$L$4:$L$2503&gt;0)),入库单!$D$4:$D$2503),""))</f>
        <v/>
      </c>
      <c r="I262" s="25">
        <f>IF($A262="","",IFERROR(LOOKUP(2,1/((入库单!$G$4:$G$2503=$A262)*(入库单!$Y$4:$Y$2503="正常")*(入库单!$L$4:$L$2503&gt;0)),入库单!$L$4:$L$2503),0))</f>
        <v/>
      </c>
      <c r="J262" s="26">
        <f>IF($A262="","",IF($H262="A国内",ROUND($I262*倍数A*汇率,0),IF($H262="B当地",ROUND($I262*系数B,0),0)))</f>
        <v/>
      </c>
      <c r="K262" s="24">
        <f>IF($A262="","",IF(COUNTIFS(入库单!$G$4:$G$2503,$A262,入库单!$X$4:$X$2503,"待补价")&gt;0,"待补价",IF(COUNTIFS(入库单!$G$4:$G$2503,$A262,入库单!$X$4:$X$2503,"暂估")&gt;0,"暂估",IF($I262=0,"没有进价","正常"))))</f>
        <v/>
      </c>
      <c r="L262" s="27">
        <f>IF($A262="","",IFERROR(VLOOKUP($A262,库存台账!$A$5:$Y$1204,24,0),0))</f>
        <v/>
      </c>
      <c r="M262" s="26">
        <f>IF($A262="","",IFERROR(VLOOKUP($A262,库存台账!$A$5:$Y$1204,25,0),0))</f>
        <v/>
      </c>
      <c r="N262" s="19">
        <f>IF($A262="","",IFERROR(LOOKUP(2,1/((出库单!$D$4:$D$4003=$A262)*(出库单!$T$4:$T$4003="正常")),出库单!$C$4:$C$4003),""))</f>
        <v/>
      </c>
      <c r="O262" s="28">
        <f>IF($A262="","",IF($L262&lt;=0,"",IF($N262="",IFERROR(账期止-LOOKUP(2,1/(入库单!$G$4:$G$2503=$A262),入库单!$C$4:$C$2503),""),账期止-$N262)))</f>
        <v/>
      </c>
      <c r="P262" s="17" t="n"/>
    </row>
    <row r="263">
      <c r="A263" s="17" t="inlineStr">
        <is>
          <t>JH0260</t>
        </is>
      </c>
      <c r="B263" s="17" t="inlineStr">
        <is>
          <t>机械配件</t>
        </is>
      </c>
      <c r="C263" s="17" t="inlineStr">
        <is>
          <t>皮带罩子</t>
        </is>
      </c>
      <c r="D263" s="17" t="inlineStr"/>
      <c r="E263" s="17" t="inlineStr">
        <is>
          <t>件</t>
        </is>
      </c>
      <c r="F263" s="17" t="inlineStr">
        <is>
          <t>否</t>
        </is>
      </c>
      <c r="G263" s="23" t="n"/>
      <c r="H263" s="24">
        <f>IF($A263="","",IFERROR(LOOKUP(2,1/((入库单!$G$4:$G$2503=$A263)*(入库单!$Y$4:$Y$2503="正常")*(入库单!$L$4:$L$2503&gt;0)),入库单!$D$4:$D$2503),""))</f>
        <v/>
      </c>
      <c r="I263" s="25">
        <f>IF($A263="","",IFERROR(LOOKUP(2,1/((入库单!$G$4:$G$2503=$A263)*(入库单!$Y$4:$Y$2503="正常")*(入库单!$L$4:$L$2503&gt;0)),入库单!$L$4:$L$2503),0))</f>
        <v/>
      </c>
      <c r="J263" s="26">
        <f>IF($A263="","",IF($H263="A国内",ROUND($I263*倍数A*汇率,0),IF($H263="B当地",ROUND($I263*系数B,0),0)))</f>
        <v/>
      </c>
      <c r="K263" s="24">
        <f>IF($A263="","",IF(COUNTIFS(入库单!$G$4:$G$2503,$A263,入库单!$X$4:$X$2503,"待补价")&gt;0,"待补价",IF(COUNTIFS(入库单!$G$4:$G$2503,$A263,入库单!$X$4:$X$2503,"暂估")&gt;0,"暂估",IF($I263=0,"没有进价","正常"))))</f>
        <v/>
      </c>
      <c r="L263" s="27">
        <f>IF($A263="","",IFERROR(VLOOKUP($A263,库存台账!$A$5:$Y$1204,24,0),0))</f>
        <v/>
      </c>
      <c r="M263" s="26">
        <f>IF($A263="","",IFERROR(VLOOKUP($A263,库存台账!$A$5:$Y$1204,25,0),0))</f>
        <v/>
      </c>
      <c r="N263" s="19">
        <f>IF($A263="","",IFERROR(LOOKUP(2,1/((出库单!$D$4:$D$4003=$A263)*(出库单!$T$4:$T$4003="正常")),出库单!$C$4:$C$4003),""))</f>
        <v/>
      </c>
      <c r="O263" s="28">
        <f>IF($A263="","",IF($L263&lt;=0,"",IF($N263="",IFERROR(账期止-LOOKUP(2,1/(入库单!$G$4:$G$2503=$A263),入库单!$C$4:$C$2503),""),账期止-$N263)))</f>
        <v/>
      </c>
      <c r="P263" s="17" t="n"/>
    </row>
    <row r="264">
      <c r="A264" s="17" t="inlineStr">
        <is>
          <t>JH0261</t>
        </is>
      </c>
      <c r="B264" s="17" t="inlineStr">
        <is>
          <t>其他</t>
        </is>
      </c>
      <c r="C264" s="17" t="inlineStr">
        <is>
          <t>长接管</t>
        </is>
      </c>
      <c r="D264" s="17" t="inlineStr"/>
      <c r="E264" s="17" t="inlineStr">
        <is>
          <t>件</t>
        </is>
      </c>
      <c r="F264" s="17" t="inlineStr">
        <is>
          <t>否</t>
        </is>
      </c>
      <c r="G264" s="23" t="n"/>
      <c r="H264" s="24">
        <f>IF($A264="","",IFERROR(LOOKUP(2,1/((入库单!$G$4:$G$2503=$A264)*(入库单!$Y$4:$Y$2503="正常")*(入库单!$L$4:$L$2503&gt;0)),入库单!$D$4:$D$2503),""))</f>
        <v/>
      </c>
      <c r="I264" s="25">
        <f>IF($A264="","",IFERROR(LOOKUP(2,1/((入库单!$G$4:$G$2503=$A264)*(入库单!$Y$4:$Y$2503="正常")*(入库单!$L$4:$L$2503&gt;0)),入库单!$L$4:$L$2503),0))</f>
        <v/>
      </c>
      <c r="J264" s="26">
        <f>IF($A264="","",IF($H264="A国内",ROUND($I264*倍数A*汇率,0),IF($H264="B当地",ROUND($I264*系数B,0),0)))</f>
        <v/>
      </c>
      <c r="K264" s="24">
        <f>IF($A264="","",IF(COUNTIFS(入库单!$G$4:$G$2503,$A264,入库单!$X$4:$X$2503,"待补价")&gt;0,"待补价",IF(COUNTIFS(入库单!$G$4:$G$2503,$A264,入库单!$X$4:$X$2503,"暂估")&gt;0,"暂估",IF($I264=0,"没有进价","正常"))))</f>
        <v/>
      </c>
      <c r="L264" s="27">
        <f>IF($A264="","",IFERROR(VLOOKUP($A264,库存台账!$A$5:$Y$1204,24,0),0))</f>
        <v/>
      </c>
      <c r="M264" s="26">
        <f>IF($A264="","",IFERROR(VLOOKUP($A264,库存台账!$A$5:$Y$1204,25,0),0))</f>
        <v/>
      </c>
      <c r="N264" s="19">
        <f>IF($A264="","",IFERROR(LOOKUP(2,1/((出库单!$D$4:$D$4003=$A264)*(出库单!$T$4:$T$4003="正常")),出库单!$C$4:$C$4003),""))</f>
        <v/>
      </c>
      <c r="O264" s="28">
        <f>IF($A264="","",IF($L264&lt;=0,"",IF($N264="",IFERROR(账期止-LOOKUP(2,1/(入库单!$G$4:$G$2503=$A264),入库单!$C$4:$C$2503),""),账期止-$N264)))</f>
        <v/>
      </c>
      <c r="P264" s="17" t="n"/>
    </row>
    <row r="265">
      <c r="A265" s="17" t="inlineStr">
        <is>
          <t>JH0262</t>
        </is>
      </c>
      <c r="B265" s="17" t="inlineStr">
        <is>
          <t>机械配件</t>
        </is>
      </c>
      <c r="C265" s="17" t="inlineStr">
        <is>
          <t>刮板传动装置</t>
        </is>
      </c>
      <c r="D265" s="17" t="inlineStr"/>
      <c r="E265" s="17" t="inlineStr">
        <is>
          <t>套</t>
        </is>
      </c>
      <c r="F265" s="17" t="inlineStr">
        <is>
          <t>否</t>
        </is>
      </c>
      <c r="G265" s="23" t="n"/>
      <c r="H265" s="24">
        <f>IF($A265="","",IFERROR(LOOKUP(2,1/((入库单!$G$4:$G$2503=$A265)*(入库单!$Y$4:$Y$2503="正常")*(入库单!$L$4:$L$2503&gt;0)),入库单!$D$4:$D$2503),""))</f>
        <v/>
      </c>
      <c r="I265" s="25">
        <f>IF($A265="","",IFERROR(LOOKUP(2,1/((入库单!$G$4:$G$2503=$A265)*(入库单!$Y$4:$Y$2503="正常")*(入库单!$L$4:$L$2503&gt;0)),入库单!$L$4:$L$2503),0))</f>
        <v/>
      </c>
      <c r="J265" s="26">
        <f>IF($A265="","",IF($H265="A国内",ROUND($I265*倍数A*汇率,0),IF($H265="B当地",ROUND($I265*系数B,0),0)))</f>
        <v/>
      </c>
      <c r="K265" s="24">
        <f>IF($A265="","",IF(COUNTIFS(入库单!$G$4:$G$2503,$A265,入库单!$X$4:$X$2503,"待补价")&gt;0,"待补价",IF(COUNTIFS(入库单!$G$4:$G$2503,$A265,入库单!$X$4:$X$2503,"暂估")&gt;0,"暂估",IF($I265=0,"没有进价","正常"))))</f>
        <v/>
      </c>
      <c r="L265" s="27">
        <f>IF($A265="","",IFERROR(VLOOKUP($A265,库存台账!$A$5:$Y$1204,24,0),0))</f>
        <v/>
      </c>
      <c r="M265" s="26">
        <f>IF($A265="","",IFERROR(VLOOKUP($A265,库存台账!$A$5:$Y$1204,25,0),0))</f>
        <v/>
      </c>
      <c r="N265" s="19">
        <f>IF($A265="","",IFERROR(LOOKUP(2,1/((出库单!$D$4:$D$4003=$A265)*(出库单!$T$4:$T$4003="正常")),出库单!$C$4:$C$4003),""))</f>
        <v/>
      </c>
      <c r="O265" s="28">
        <f>IF($A265="","",IF($L265&lt;=0,"",IF($N265="",IFERROR(账期止-LOOKUP(2,1/(入库单!$G$4:$G$2503=$A265),入库单!$C$4:$C$2503),""),账期止-$N265)))</f>
        <v/>
      </c>
      <c r="P265" s="17" t="n"/>
    </row>
    <row r="266">
      <c r="A266" s="17" t="inlineStr">
        <is>
          <t>JH0263</t>
        </is>
      </c>
      <c r="B266" s="17" t="inlineStr">
        <is>
          <t>机械配件</t>
        </is>
      </c>
      <c r="C266" s="17" t="inlineStr">
        <is>
          <t>刮板三角带</t>
        </is>
      </c>
      <c r="D266" s="17" t="inlineStr"/>
      <c r="E266" s="17" t="inlineStr">
        <is>
          <t>条</t>
        </is>
      </c>
      <c r="F266" s="17" t="inlineStr">
        <is>
          <t>否</t>
        </is>
      </c>
      <c r="G266" s="23" t="n"/>
      <c r="H266" s="24">
        <f>IF($A266="","",IFERROR(LOOKUP(2,1/((入库单!$G$4:$G$2503=$A266)*(入库单!$Y$4:$Y$2503="正常")*(入库单!$L$4:$L$2503&gt;0)),入库单!$D$4:$D$2503),""))</f>
        <v/>
      </c>
      <c r="I266" s="25">
        <f>IF($A266="","",IFERROR(LOOKUP(2,1/((入库单!$G$4:$G$2503=$A266)*(入库单!$Y$4:$Y$2503="正常")*(入库单!$L$4:$L$2503&gt;0)),入库单!$L$4:$L$2503),0))</f>
        <v/>
      </c>
      <c r="J266" s="26">
        <f>IF($A266="","",IF($H266="A国内",ROUND($I266*倍数A*汇率,0),IF($H266="B当地",ROUND($I266*系数B,0),0)))</f>
        <v/>
      </c>
      <c r="K266" s="24">
        <f>IF($A266="","",IF(COUNTIFS(入库单!$G$4:$G$2503,$A266,入库单!$X$4:$X$2503,"待补价")&gt;0,"待补价",IF(COUNTIFS(入库单!$G$4:$G$2503,$A266,入库单!$X$4:$X$2503,"暂估")&gt;0,"暂估",IF($I266=0,"没有进价","正常"))))</f>
        <v/>
      </c>
      <c r="L266" s="27">
        <f>IF($A266="","",IFERROR(VLOOKUP($A266,库存台账!$A$5:$Y$1204,24,0),0))</f>
        <v/>
      </c>
      <c r="M266" s="26">
        <f>IF($A266="","",IFERROR(VLOOKUP($A266,库存台账!$A$5:$Y$1204,25,0),0))</f>
        <v/>
      </c>
      <c r="N266" s="19">
        <f>IF($A266="","",IFERROR(LOOKUP(2,1/((出库单!$D$4:$D$4003=$A266)*(出库单!$T$4:$T$4003="正常")),出库单!$C$4:$C$4003),""))</f>
        <v/>
      </c>
      <c r="O266" s="28">
        <f>IF($A266="","",IF($L266&lt;=0,"",IF($N266="",IFERROR(账期止-LOOKUP(2,1/(入库单!$G$4:$G$2503=$A266),入库单!$C$4:$C$2503),""),账期止-$N266)))</f>
        <v/>
      </c>
      <c r="P266" s="17" t="n"/>
    </row>
    <row r="267">
      <c r="A267" s="17" t="inlineStr">
        <is>
          <t>JH0264</t>
        </is>
      </c>
      <c r="B267" s="17" t="inlineStr">
        <is>
          <t>机械配件</t>
        </is>
      </c>
      <c r="C267" s="17" t="inlineStr">
        <is>
          <t>刮板罩子</t>
        </is>
      </c>
      <c r="D267" s="17" t="inlineStr"/>
      <c r="E267" s="17" t="inlineStr">
        <is>
          <t>件</t>
        </is>
      </c>
      <c r="F267" s="17" t="inlineStr">
        <is>
          <t>否</t>
        </is>
      </c>
      <c r="G267" s="23" t="n"/>
      <c r="H267" s="24">
        <f>IF($A267="","",IFERROR(LOOKUP(2,1/((入库单!$G$4:$G$2503=$A267)*(入库单!$Y$4:$Y$2503="正常")*(入库单!$L$4:$L$2503&gt;0)),入库单!$D$4:$D$2503),""))</f>
        <v/>
      </c>
      <c r="I267" s="25">
        <f>IF($A267="","",IFERROR(LOOKUP(2,1/((入库单!$G$4:$G$2503=$A267)*(入库单!$Y$4:$Y$2503="正常")*(入库单!$L$4:$L$2503&gt;0)),入库单!$L$4:$L$2503),0))</f>
        <v/>
      </c>
      <c r="J267" s="26">
        <f>IF($A267="","",IF($H267="A国内",ROUND($I267*倍数A*汇率,0),IF($H267="B当地",ROUND($I267*系数B,0),0)))</f>
        <v/>
      </c>
      <c r="K267" s="24">
        <f>IF($A267="","",IF(COUNTIFS(入库单!$G$4:$G$2503,$A267,入库单!$X$4:$X$2503,"待补价")&gt;0,"待补价",IF(COUNTIFS(入库单!$G$4:$G$2503,$A267,入库单!$X$4:$X$2503,"暂估")&gt;0,"暂估",IF($I267=0,"没有进价","正常"))))</f>
        <v/>
      </c>
      <c r="L267" s="27">
        <f>IF($A267="","",IFERROR(VLOOKUP($A267,库存台账!$A$5:$Y$1204,24,0),0))</f>
        <v/>
      </c>
      <c r="M267" s="26">
        <f>IF($A267="","",IFERROR(VLOOKUP($A267,库存台账!$A$5:$Y$1204,25,0),0))</f>
        <v/>
      </c>
      <c r="N267" s="19">
        <f>IF($A267="","",IFERROR(LOOKUP(2,1/((出库单!$D$4:$D$4003=$A267)*(出库单!$T$4:$T$4003="正常")),出库单!$C$4:$C$4003),""))</f>
        <v/>
      </c>
      <c r="O267" s="28">
        <f>IF($A267="","",IF($L267&lt;=0,"",IF($N267="",IFERROR(账期止-LOOKUP(2,1/(入库单!$G$4:$G$2503=$A267),入库单!$C$4:$C$2503),""),账期止-$N267)))</f>
        <v/>
      </c>
      <c r="P267" s="17" t="n"/>
    </row>
    <row r="268">
      <c r="A268" s="17" t="inlineStr">
        <is>
          <t>JH0265</t>
        </is>
      </c>
      <c r="B268" s="17" t="inlineStr">
        <is>
          <t>其他</t>
        </is>
      </c>
      <c r="C268" s="17" t="inlineStr">
        <is>
          <t>给矿管</t>
        </is>
      </c>
      <c r="D268" s="17" t="inlineStr"/>
      <c r="E268" s="17" t="inlineStr">
        <is>
          <t>件</t>
        </is>
      </c>
      <c r="F268" s="17" t="inlineStr">
        <is>
          <t>否</t>
        </is>
      </c>
      <c r="G268" s="23" t="n"/>
      <c r="H268" s="24">
        <f>IF($A268="","",IFERROR(LOOKUP(2,1/((入库单!$G$4:$G$2503=$A268)*(入库单!$Y$4:$Y$2503="正常")*(入库单!$L$4:$L$2503&gt;0)),入库单!$D$4:$D$2503),""))</f>
        <v/>
      </c>
      <c r="I268" s="25">
        <f>IF($A268="","",IFERROR(LOOKUP(2,1/((入库单!$G$4:$G$2503=$A268)*(入库单!$Y$4:$Y$2503="正常")*(入库单!$L$4:$L$2503&gt;0)),入库单!$L$4:$L$2503),0))</f>
        <v/>
      </c>
      <c r="J268" s="26">
        <f>IF($A268="","",IF($H268="A国内",ROUND($I268*倍数A*汇率,0),IF($H268="B当地",ROUND($I268*系数B,0),0)))</f>
        <v/>
      </c>
      <c r="K268" s="24">
        <f>IF($A268="","",IF(COUNTIFS(入库单!$G$4:$G$2503,$A268,入库单!$X$4:$X$2503,"待补价")&gt;0,"待补价",IF(COUNTIFS(入库单!$G$4:$G$2503,$A268,入库单!$X$4:$X$2503,"暂估")&gt;0,"暂估",IF($I268=0,"没有进价","正常"))))</f>
        <v/>
      </c>
      <c r="L268" s="27">
        <f>IF($A268="","",IFERROR(VLOOKUP($A268,库存台账!$A$5:$Y$1204,24,0),0))</f>
        <v/>
      </c>
      <c r="M268" s="26">
        <f>IF($A268="","",IFERROR(VLOOKUP($A268,库存台账!$A$5:$Y$1204,25,0),0))</f>
        <v/>
      </c>
      <c r="N268" s="19">
        <f>IF($A268="","",IFERROR(LOOKUP(2,1/((出库单!$D$4:$D$4003=$A268)*(出库单!$T$4:$T$4003="正常")),出库单!$C$4:$C$4003),""))</f>
        <v/>
      </c>
      <c r="O268" s="28">
        <f>IF($A268="","",IF($L268&lt;=0,"",IF($N268="",IFERROR(账期止-LOOKUP(2,1/(入库单!$G$4:$G$2503=$A268),入库单!$C$4:$C$2503),""),账期止-$N268)))</f>
        <v/>
      </c>
      <c r="P268" s="17" t="n"/>
    </row>
    <row r="269">
      <c r="A269" s="17" t="inlineStr">
        <is>
          <t>JH0266</t>
        </is>
      </c>
      <c r="B269" s="17" t="inlineStr">
        <is>
          <t>钢材</t>
        </is>
      </c>
      <c r="C269" s="17" t="inlineStr">
        <is>
          <t>Φ159钢管</t>
        </is>
      </c>
      <c r="D269" s="17" t="inlineStr"/>
      <c r="E269" s="17" t="inlineStr">
        <is>
          <t>2米/支</t>
        </is>
      </c>
      <c r="F269" s="17" t="inlineStr">
        <is>
          <t>否</t>
        </is>
      </c>
      <c r="G269" s="23" t="n"/>
      <c r="H269" s="24">
        <f>IF($A269="","",IFERROR(LOOKUP(2,1/((入库单!$G$4:$G$2503=$A269)*(入库单!$Y$4:$Y$2503="正常")*(入库单!$L$4:$L$2503&gt;0)),入库单!$D$4:$D$2503),""))</f>
        <v/>
      </c>
      <c r="I269" s="25">
        <f>IF($A269="","",IFERROR(LOOKUP(2,1/((入库单!$G$4:$G$2503=$A269)*(入库单!$Y$4:$Y$2503="正常")*(入库单!$L$4:$L$2503&gt;0)),入库单!$L$4:$L$2503),0))</f>
        <v/>
      </c>
      <c r="J269" s="26">
        <f>IF($A269="","",IF($H269="A国内",ROUND($I269*倍数A*汇率,0),IF($H269="B当地",ROUND($I269*系数B,0),0)))</f>
        <v/>
      </c>
      <c r="K269" s="24">
        <f>IF($A269="","",IF(COUNTIFS(入库单!$G$4:$G$2503,$A269,入库单!$X$4:$X$2503,"待补价")&gt;0,"待补价",IF(COUNTIFS(入库单!$G$4:$G$2503,$A269,入库单!$X$4:$X$2503,"暂估")&gt;0,"暂估",IF($I269=0,"没有进价","正常"))))</f>
        <v/>
      </c>
      <c r="L269" s="27">
        <f>IF($A269="","",IFERROR(VLOOKUP($A269,库存台账!$A$5:$Y$1204,24,0),0))</f>
        <v/>
      </c>
      <c r="M269" s="26">
        <f>IF($A269="","",IFERROR(VLOOKUP($A269,库存台账!$A$5:$Y$1204,25,0),0))</f>
        <v/>
      </c>
      <c r="N269" s="19">
        <f>IF($A269="","",IFERROR(LOOKUP(2,1/((出库单!$D$4:$D$4003=$A269)*(出库单!$T$4:$T$4003="正常")),出库单!$C$4:$C$4003),""))</f>
        <v/>
      </c>
      <c r="O269" s="28">
        <f>IF($A269="","",IF($L269&lt;=0,"",IF($N269="",IFERROR(账期止-LOOKUP(2,1/(入库单!$G$4:$G$2503=$A269),入库单!$C$4:$C$2503),""),账期止-$N269)))</f>
        <v/>
      </c>
      <c r="P269" s="17" t="n"/>
    </row>
    <row r="270">
      <c r="A270" s="17" t="inlineStr">
        <is>
          <t>JH0267</t>
        </is>
      </c>
      <c r="B270" s="17" t="inlineStr">
        <is>
          <t>五金管件</t>
        </is>
      </c>
      <c r="C270" s="17" t="inlineStr">
        <is>
          <t>159法兰</t>
        </is>
      </c>
      <c r="D270" s="17" t="inlineStr"/>
      <c r="E270" s="17" t="inlineStr">
        <is>
          <t>件</t>
        </is>
      </c>
      <c r="F270" s="17" t="inlineStr">
        <is>
          <t>否</t>
        </is>
      </c>
      <c r="G270" s="23" t="n"/>
      <c r="H270" s="24">
        <f>IF($A270="","",IFERROR(LOOKUP(2,1/((入库单!$G$4:$G$2503=$A270)*(入库单!$Y$4:$Y$2503="正常")*(入库单!$L$4:$L$2503&gt;0)),入库单!$D$4:$D$2503),""))</f>
        <v/>
      </c>
      <c r="I270" s="25">
        <f>IF($A270="","",IFERROR(LOOKUP(2,1/((入库单!$G$4:$G$2503=$A270)*(入库单!$Y$4:$Y$2503="正常")*(入库单!$L$4:$L$2503&gt;0)),入库单!$L$4:$L$2503),0))</f>
        <v/>
      </c>
      <c r="J270" s="26">
        <f>IF($A270="","",IF($H270="A国内",ROUND($I270*倍数A*汇率,0),IF($H270="B当地",ROUND($I270*系数B,0),0)))</f>
        <v/>
      </c>
      <c r="K270" s="24">
        <f>IF($A270="","",IF(COUNTIFS(入库单!$G$4:$G$2503,$A270,入库单!$X$4:$X$2503,"待补价")&gt;0,"待补价",IF(COUNTIFS(入库单!$G$4:$G$2503,$A270,入库单!$X$4:$X$2503,"暂估")&gt;0,"暂估",IF($I270=0,"没有进价","正常"))))</f>
        <v/>
      </c>
      <c r="L270" s="27">
        <f>IF($A270="","",IFERROR(VLOOKUP($A270,库存台账!$A$5:$Y$1204,24,0),0))</f>
        <v/>
      </c>
      <c r="M270" s="26">
        <f>IF($A270="","",IFERROR(VLOOKUP($A270,库存台账!$A$5:$Y$1204,25,0),0))</f>
        <v/>
      </c>
      <c r="N270" s="19">
        <f>IF($A270="","",IFERROR(LOOKUP(2,1/((出库单!$D$4:$D$4003=$A270)*(出库单!$T$4:$T$4003="正常")),出库单!$C$4:$C$4003),""))</f>
        <v/>
      </c>
      <c r="O270" s="28">
        <f>IF($A270="","",IF($L270&lt;=0,"",IF($N270="",IFERROR(账期止-LOOKUP(2,1/(入库单!$G$4:$G$2503=$A270),入库单!$C$4:$C$2503),""),账期止-$N270)))</f>
        <v/>
      </c>
      <c r="P270" s="17" t="n"/>
    </row>
    <row r="271">
      <c r="A271" s="17" t="inlineStr">
        <is>
          <t>JH0268</t>
        </is>
      </c>
      <c r="B271" s="17" t="inlineStr">
        <is>
          <t>机械设备</t>
        </is>
      </c>
      <c r="C271" s="17" t="inlineStr">
        <is>
          <t>浮选机5</t>
        </is>
      </c>
      <c r="D271" s="17" t="inlineStr">
        <is>
          <t>XCF43</t>
        </is>
      </c>
      <c r="E271" s="17" t="inlineStr">
        <is>
          <t>台</t>
        </is>
      </c>
      <c r="F271" s="17" t="inlineStr">
        <is>
          <t>否</t>
        </is>
      </c>
      <c r="G271" s="23" t="n"/>
      <c r="H271" s="24">
        <f>IF($A271="","",IFERROR(LOOKUP(2,1/((入库单!$G$4:$G$2503=$A271)*(入库单!$Y$4:$Y$2503="正常")*(入库单!$L$4:$L$2503&gt;0)),入库单!$D$4:$D$2503),""))</f>
        <v/>
      </c>
      <c r="I271" s="25">
        <f>IF($A271="","",IFERROR(LOOKUP(2,1/((入库单!$G$4:$G$2503=$A271)*(入库单!$Y$4:$Y$2503="正常")*(入库单!$L$4:$L$2503&gt;0)),入库单!$L$4:$L$2503),0))</f>
        <v/>
      </c>
      <c r="J271" s="26">
        <f>IF($A271="","",IF($H271="A国内",ROUND($I271*倍数A*汇率,0),IF($H271="B当地",ROUND($I271*系数B,0),0)))</f>
        <v/>
      </c>
      <c r="K271" s="24">
        <f>IF($A271="","",IF(COUNTIFS(入库单!$G$4:$G$2503,$A271,入库单!$X$4:$X$2503,"待补价")&gt;0,"待补价",IF(COUNTIFS(入库单!$G$4:$G$2503,$A271,入库单!$X$4:$X$2503,"暂估")&gt;0,"暂估",IF($I271=0,"没有进价","正常"))))</f>
        <v/>
      </c>
      <c r="L271" s="27">
        <f>IF($A271="","",IFERROR(VLOOKUP($A271,库存台账!$A$5:$Y$1204,24,0),0))</f>
        <v/>
      </c>
      <c r="M271" s="26">
        <f>IF($A271="","",IFERROR(VLOOKUP($A271,库存台账!$A$5:$Y$1204,25,0),0))</f>
        <v/>
      </c>
      <c r="N271" s="19">
        <f>IF($A271="","",IFERROR(LOOKUP(2,1/((出库单!$D$4:$D$4003=$A271)*(出库单!$T$4:$T$4003="正常")),出库单!$C$4:$C$4003),""))</f>
        <v/>
      </c>
      <c r="O271" s="28">
        <f>IF($A271="","",IF($L271&lt;=0,"",IF($N271="",IFERROR(账期止-LOOKUP(2,1/(入库单!$G$4:$G$2503=$A271),入库单!$C$4:$C$2503),""),账期止-$N271)))</f>
        <v/>
      </c>
      <c r="P271" s="17" t="n"/>
    </row>
    <row r="272">
      <c r="A272" s="17" t="inlineStr">
        <is>
          <t>JH0269</t>
        </is>
      </c>
      <c r="B272" s="17" t="inlineStr">
        <is>
          <t>其他</t>
        </is>
      </c>
      <c r="C272" s="17" t="inlineStr">
        <is>
          <t>中矿管</t>
        </is>
      </c>
      <c r="D272" s="17" t="inlineStr"/>
      <c r="E272" s="17" t="inlineStr">
        <is>
          <t>件</t>
        </is>
      </c>
      <c r="F272" s="17" t="inlineStr">
        <is>
          <t>否</t>
        </is>
      </c>
      <c r="G272" s="23" t="n"/>
      <c r="H272" s="24">
        <f>IF($A272="","",IFERROR(LOOKUP(2,1/((入库单!$G$4:$G$2503=$A272)*(入库单!$Y$4:$Y$2503="正常")*(入库单!$L$4:$L$2503&gt;0)),入库单!$D$4:$D$2503),""))</f>
        <v/>
      </c>
      <c r="I272" s="25">
        <f>IF($A272="","",IFERROR(LOOKUP(2,1/((入库单!$G$4:$G$2503=$A272)*(入库单!$Y$4:$Y$2503="正常")*(入库单!$L$4:$L$2503&gt;0)),入库单!$L$4:$L$2503),0))</f>
        <v/>
      </c>
      <c r="J272" s="26">
        <f>IF($A272="","",IF($H272="A国内",ROUND($I272*倍数A*汇率,0),IF($H272="B当地",ROUND($I272*系数B,0),0)))</f>
        <v/>
      </c>
      <c r="K272" s="24">
        <f>IF($A272="","",IF(COUNTIFS(入库单!$G$4:$G$2503,$A272,入库单!$X$4:$X$2503,"待补价")&gt;0,"待补价",IF(COUNTIFS(入库单!$G$4:$G$2503,$A272,入库单!$X$4:$X$2503,"暂估")&gt;0,"暂估",IF($I272=0,"没有进价","正常"))))</f>
        <v/>
      </c>
      <c r="L272" s="27">
        <f>IF($A272="","",IFERROR(VLOOKUP($A272,库存台账!$A$5:$Y$1204,24,0),0))</f>
        <v/>
      </c>
      <c r="M272" s="26">
        <f>IF($A272="","",IFERROR(VLOOKUP($A272,库存台账!$A$5:$Y$1204,25,0),0))</f>
        <v/>
      </c>
      <c r="N272" s="19">
        <f>IF($A272="","",IFERROR(LOOKUP(2,1/((出库单!$D$4:$D$4003=$A272)*(出库单!$T$4:$T$4003="正常")),出库单!$C$4:$C$4003),""))</f>
        <v/>
      </c>
      <c r="O272" s="28">
        <f>IF($A272="","",IF($L272&lt;=0,"",IF($N272="",IFERROR(账期止-LOOKUP(2,1/(入库单!$G$4:$G$2503=$A272),入库单!$C$4:$C$2503),""),账期止-$N272)))</f>
        <v/>
      </c>
      <c r="P272" s="17" t="n"/>
    </row>
    <row r="273">
      <c r="A273" s="17" t="inlineStr">
        <is>
          <t>JH0270</t>
        </is>
      </c>
      <c r="B273" s="17" t="inlineStr">
        <is>
          <t>机械设备</t>
        </is>
      </c>
      <c r="C273" s="17" t="inlineStr">
        <is>
          <t>配件三角带C3650</t>
        </is>
      </c>
      <c r="D273" s="17" t="inlineStr">
        <is>
          <t>4立方浮选机</t>
        </is>
      </c>
      <c r="E273" s="17" t="inlineStr">
        <is>
          <t>条</t>
        </is>
      </c>
      <c r="F273" s="17" t="inlineStr">
        <is>
          <t>否</t>
        </is>
      </c>
      <c r="G273" s="23" t="n"/>
      <c r="H273" s="24">
        <f>IF($A273="","",IFERROR(LOOKUP(2,1/((入库单!$G$4:$G$2503=$A273)*(入库单!$Y$4:$Y$2503="正常")*(入库单!$L$4:$L$2503&gt;0)),入库单!$D$4:$D$2503),""))</f>
        <v/>
      </c>
      <c r="I273" s="25">
        <f>IF($A273="","",IFERROR(LOOKUP(2,1/((入库单!$G$4:$G$2503=$A273)*(入库单!$Y$4:$Y$2503="正常")*(入库单!$L$4:$L$2503&gt;0)),入库单!$L$4:$L$2503),0))</f>
        <v/>
      </c>
      <c r="J273" s="26">
        <f>IF($A273="","",IF($H273="A国内",ROUND($I273*倍数A*汇率,0),IF($H273="B当地",ROUND($I273*系数B,0),0)))</f>
        <v/>
      </c>
      <c r="K273" s="24">
        <f>IF($A273="","",IF(COUNTIFS(入库单!$G$4:$G$2503,$A273,入库单!$X$4:$X$2503,"待补价")&gt;0,"待补价",IF(COUNTIFS(入库单!$G$4:$G$2503,$A273,入库单!$X$4:$X$2503,"暂估")&gt;0,"暂估",IF($I273=0,"没有进价","正常"))))</f>
        <v/>
      </c>
      <c r="L273" s="27">
        <f>IF($A273="","",IFERROR(VLOOKUP($A273,库存台账!$A$5:$Y$1204,24,0),0))</f>
        <v/>
      </c>
      <c r="M273" s="26">
        <f>IF($A273="","",IFERROR(VLOOKUP($A273,库存台账!$A$5:$Y$1204,25,0),0))</f>
        <v/>
      </c>
      <c r="N273" s="19">
        <f>IF($A273="","",IFERROR(LOOKUP(2,1/((出库单!$D$4:$D$4003=$A273)*(出库单!$T$4:$T$4003="正常")),出库单!$C$4:$C$4003),""))</f>
        <v/>
      </c>
      <c r="O273" s="28">
        <f>IF($A273="","",IF($L273&lt;=0,"",IF($N273="",IFERROR(账期止-LOOKUP(2,1/(入库单!$G$4:$G$2503=$A273),入库单!$C$4:$C$2503),""),账期止-$N273)))</f>
        <v/>
      </c>
      <c r="P273" s="17" t="n"/>
    </row>
    <row r="274">
      <c r="A274" s="17" t="inlineStr">
        <is>
          <t>JH0271</t>
        </is>
      </c>
      <c r="B274" s="17" t="inlineStr">
        <is>
          <t>机械配件</t>
        </is>
      </c>
      <c r="C274" s="17" t="inlineStr">
        <is>
          <t>配件   轴承7521</t>
        </is>
      </c>
      <c r="D274" s="17" t="inlineStr"/>
      <c r="E274" s="17" t="inlineStr">
        <is>
          <t>套</t>
        </is>
      </c>
      <c r="F274" s="17" t="inlineStr">
        <is>
          <t>否</t>
        </is>
      </c>
      <c r="G274" s="23" t="n"/>
      <c r="H274" s="24">
        <f>IF($A274="","",IFERROR(LOOKUP(2,1/((入库单!$G$4:$G$2503=$A274)*(入库单!$Y$4:$Y$2503="正常")*(入库单!$L$4:$L$2503&gt;0)),入库单!$D$4:$D$2503),""))</f>
        <v/>
      </c>
      <c r="I274" s="25">
        <f>IF($A274="","",IFERROR(LOOKUP(2,1/((入库单!$G$4:$G$2503=$A274)*(入库单!$Y$4:$Y$2503="正常")*(入库单!$L$4:$L$2503&gt;0)),入库单!$L$4:$L$2503),0))</f>
        <v/>
      </c>
      <c r="J274" s="26">
        <f>IF($A274="","",IF($H274="A国内",ROUND($I274*倍数A*汇率,0),IF($H274="B当地",ROUND($I274*系数B,0),0)))</f>
        <v/>
      </c>
      <c r="K274" s="24">
        <f>IF($A274="","",IF(COUNTIFS(入库单!$G$4:$G$2503,$A274,入库单!$X$4:$X$2503,"待补价")&gt;0,"待补价",IF(COUNTIFS(入库单!$G$4:$G$2503,$A274,入库单!$X$4:$X$2503,"暂估")&gt;0,"暂估",IF($I274=0,"没有进价","正常"))))</f>
        <v/>
      </c>
      <c r="L274" s="27">
        <f>IF($A274="","",IFERROR(VLOOKUP($A274,库存台账!$A$5:$Y$1204,24,0),0))</f>
        <v/>
      </c>
      <c r="M274" s="26">
        <f>IF($A274="","",IFERROR(VLOOKUP($A274,库存台账!$A$5:$Y$1204,25,0),0))</f>
        <v/>
      </c>
      <c r="N274" s="19">
        <f>IF($A274="","",IFERROR(LOOKUP(2,1/((出库单!$D$4:$D$4003=$A274)*(出库单!$T$4:$T$4003="正常")),出库单!$C$4:$C$4003),""))</f>
        <v/>
      </c>
      <c r="O274" s="28">
        <f>IF($A274="","",IF($L274&lt;=0,"",IF($N274="",IFERROR(账期止-LOOKUP(2,1/(入库单!$G$4:$G$2503=$A274),入库单!$C$4:$C$2503),""),账期止-$N274)))</f>
        <v/>
      </c>
      <c r="P274" s="17" t="n"/>
    </row>
    <row r="275">
      <c r="A275" s="17" t="inlineStr">
        <is>
          <t>JH0272</t>
        </is>
      </c>
      <c r="B275" s="17" t="inlineStr">
        <is>
          <t>机械配件</t>
        </is>
      </c>
      <c r="C275" s="17" t="inlineStr">
        <is>
          <t>配件轴承瓦座P210</t>
        </is>
      </c>
      <c r="D275" s="17" t="inlineStr"/>
      <c r="E275" s="17" t="inlineStr">
        <is>
          <t>套</t>
        </is>
      </c>
      <c r="F275" s="17" t="inlineStr">
        <is>
          <t>否</t>
        </is>
      </c>
      <c r="G275" s="23" t="n"/>
      <c r="H275" s="24">
        <f>IF($A275="","",IFERROR(LOOKUP(2,1/((入库单!$G$4:$G$2503=$A275)*(入库单!$Y$4:$Y$2503="正常")*(入库单!$L$4:$L$2503&gt;0)),入库单!$D$4:$D$2503),""))</f>
        <v/>
      </c>
      <c r="I275" s="25">
        <f>IF($A275="","",IFERROR(LOOKUP(2,1/((入库单!$G$4:$G$2503=$A275)*(入库单!$Y$4:$Y$2503="正常")*(入库单!$L$4:$L$2503&gt;0)),入库单!$L$4:$L$2503),0))</f>
        <v/>
      </c>
      <c r="J275" s="26">
        <f>IF($A275="","",IF($H275="A国内",ROUND($I275*倍数A*汇率,0),IF($H275="B当地",ROUND($I275*系数B,0),0)))</f>
        <v/>
      </c>
      <c r="K275" s="24">
        <f>IF($A275="","",IF(COUNTIFS(入库单!$G$4:$G$2503,$A275,入库单!$X$4:$X$2503,"待补价")&gt;0,"待补价",IF(COUNTIFS(入库单!$G$4:$G$2503,$A275,入库单!$X$4:$X$2503,"暂估")&gt;0,"暂估",IF($I275=0,"没有进价","正常"))))</f>
        <v/>
      </c>
      <c r="L275" s="27">
        <f>IF($A275="","",IFERROR(VLOOKUP($A275,库存台账!$A$5:$Y$1204,24,0),0))</f>
        <v/>
      </c>
      <c r="M275" s="26">
        <f>IF($A275="","",IFERROR(VLOOKUP($A275,库存台账!$A$5:$Y$1204,25,0),0))</f>
        <v/>
      </c>
      <c r="N275" s="19">
        <f>IF($A275="","",IFERROR(LOOKUP(2,1/((出库单!$D$4:$D$4003=$A275)*(出库单!$T$4:$T$4003="正常")),出库单!$C$4:$C$4003),""))</f>
        <v/>
      </c>
      <c r="O275" s="28">
        <f>IF($A275="","",IF($L275&lt;=0,"",IF($N275="",IFERROR(账期止-LOOKUP(2,1/(入库单!$G$4:$G$2503=$A275),入库单!$C$4:$C$2503),""),账期止-$N275)))</f>
        <v/>
      </c>
      <c r="P275" s="17" t="n"/>
    </row>
    <row r="276">
      <c r="A276" s="17" t="inlineStr">
        <is>
          <t>JH0273</t>
        </is>
      </c>
      <c r="B276" s="17" t="inlineStr">
        <is>
          <t>机械设备</t>
        </is>
      </c>
      <c r="C276" s="17" t="inlineStr">
        <is>
          <t>配件三角带B2240</t>
        </is>
      </c>
      <c r="D276" s="17" t="inlineStr">
        <is>
          <t>1.5米搅拌桶</t>
        </is>
      </c>
      <c r="E276" s="17" t="inlineStr">
        <is>
          <t>条</t>
        </is>
      </c>
      <c r="F276" s="17" t="inlineStr">
        <is>
          <t>否</t>
        </is>
      </c>
      <c r="G276" s="23" t="n"/>
      <c r="H276" s="24">
        <f>IF($A276="","",IFERROR(LOOKUP(2,1/((入库单!$G$4:$G$2503=$A276)*(入库单!$Y$4:$Y$2503="正常")*(入库单!$L$4:$L$2503&gt;0)),入库单!$D$4:$D$2503),""))</f>
        <v/>
      </c>
      <c r="I276" s="25">
        <f>IF($A276="","",IFERROR(LOOKUP(2,1/((入库单!$G$4:$G$2503=$A276)*(入库单!$Y$4:$Y$2503="正常")*(入库单!$L$4:$L$2503&gt;0)),入库单!$L$4:$L$2503),0))</f>
        <v/>
      </c>
      <c r="J276" s="26">
        <f>IF($A276="","",IF($H276="A国内",ROUND($I276*倍数A*汇率,0),IF($H276="B当地",ROUND($I276*系数B,0),0)))</f>
        <v/>
      </c>
      <c r="K276" s="24">
        <f>IF($A276="","",IF(COUNTIFS(入库单!$G$4:$G$2503,$A276,入库单!$X$4:$X$2503,"待补价")&gt;0,"待补价",IF(COUNTIFS(入库单!$G$4:$G$2503,$A276,入库单!$X$4:$X$2503,"暂估")&gt;0,"暂估",IF($I276=0,"没有进价","正常"))))</f>
        <v/>
      </c>
      <c r="L276" s="27">
        <f>IF($A276="","",IFERROR(VLOOKUP($A276,库存台账!$A$5:$Y$1204,24,0),0))</f>
        <v/>
      </c>
      <c r="M276" s="26">
        <f>IF($A276="","",IFERROR(VLOOKUP($A276,库存台账!$A$5:$Y$1204,25,0),0))</f>
        <v/>
      </c>
      <c r="N276" s="19">
        <f>IF($A276="","",IFERROR(LOOKUP(2,1/((出库单!$D$4:$D$4003=$A276)*(出库单!$T$4:$T$4003="正常")),出库单!$C$4:$C$4003),""))</f>
        <v/>
      </c>
      <c r="O276" s="28">
        <f>IF($A276="","",IF($L276&lt;=0,"",IF($N276="",IFERROR(账期止-LOOKUP(2,1/(入库单!$G$4:$G$2503=$A276),入库单!$C$4:$C$2503),""),账期止-$N276)))</f>
        <v/>
      </c>
      <c r="P276" s="17" t="n"/>
    </row>
    <row r="277">
      <c r="A277" s="17" t="inlineStr">
        <is>
          <t>JH0274</t>
        </is>
      </c>
      <c r="B277" s="17" t="inlineStr">
        <is>
          <t>机械设备</t>
        </is>
      </c>
      <c r="C277" s="17" t="inlineStr">
        <is>
          <t>配件三角带B3000</t>
        </is>
      </c>
      <c r="D277" s="17" t="inlineStr">
        <is>
          <t>1.5米分级机</t>
        </is>
      </c>
      <c r="E277" s="17" t="inlineStr">
        <is>
          <t>条</t>
        </is>
      </c>
      <c r="F277" s="17" t="inlineStr">
        <is>
          <t>否</t>
        </is>
      </c>
      <c r="G277" s="23" t="n"/>
      <c r="H277" s="24">
        <f>IF($A277="","",IFERROR(LOOKUP(2,1/((入库单!$G$4:$G$2503=$A277)*(入库单!$Y$4:$Y$2503="正常")*(入库单!$L$4:$L$2503&gt;0)),入库单!$D$4:$D$2503),""))</f>
        <v/>
      </c>
      <c r="I277" s="25">
        <f>IF($A277="","",IFERROR(LOOKUP(2,1/((入库单!$G$4:$G$2503=$A277)*(入库单!$Y$4:$Y$2503="正常")*(入库单!$L$4:$L$2503&gt;0)),入库单!$L$4:$L$2503),0))</f>
        <v/>
      </c>
      <c r="J277" s="26">
        <f>IF($A277="","",IF($H277="A国内",ROUND($I277*倍数A*汇率,0),IF($H277="B当地",ROUND($I277*系数B,0),0)))</f>
        <v/>
      </c>
      <c r="K277" s="24">
        <f>IF($A277="","",IF(COUNTIFS(入库单!$G$4:$G$2503,$A277,入库单!$X$4:$X$2503,"待补价")&gt;0,"待补价",IF(COUNTIFS(入库单!$G$4:$G$2503,$A277,入库单!$X$4:$X$2503,"暂估")&gt;0,"暂估",IF($I277=0,"没有进价","正常"))))</f>
        <v/>
      </c>
      <c r="L277" s="27">
        <f>IF($A277="","",IFERROR(VLOOKUP($A277,库存台账!$A$5:$Y$1204,24,0),0))</f>
        <v/>
      </c>
      <c r="M277" s="26">
        <f>IF($A277="","",IFERROR(VLOOKUP($A277,库存台账!$A$5:$Y$1204,25,0),0))</f>
        <v/>
      </c>
      <c r="N277" s="19">
        <f>IF($A277="","",IFERROR(LOOKUP(2,1/((出库单!$D$4:$D$4003=$A277)*(出库单!$T$4:$T$4003="正常")),出库单!$C$4:$C$4003),""))</f>
        <v/>
      </c>
      <c r="O277" s="28">
        <f>IF($A277="","",IF($L277&lt;=0,"",IF($N277="",IFERROR(账期止-LOOKUP(2,1/(入库单!$G$4:$G$2503=$A277),入库单!$C$4:$C$2503),""),账期止-$N277)))</f>
        <v/>
      </c>
      <c r="P277" s="17" t="n"/>
    </row>
    <row r="278">
      <c r="A278" s="17" t="inlineStr">
        <is>
          <t>JH0275</t>
        </is>
      </c>
      <c r="B278" s="17" t="inlineStr">
        <is>
          <t>机械设备</t>
        </is>
      </c>
      <c r="C278" s="17" t="inlineStr">
        <is>
          <t>配件三角带B2800</t>
        </is>
      </c>
      <c r="D278" s="17" t="inlineStr">
        <is>
          <t>2米搅拌桶</t>
        </is>
      </c>
      <c r="E278" s="17" t="inlineStr">
        <is>
          <t>条</t>
        </is>
      </c>
      <c r="F278" s="17" t="inlineStr">
        <is>
          <t>否</t>
        </is>
      </c>
      <c r="G278" s="23" t="n"/>
      <c r="H278" s="24">
        <f>IF($A278="","",IFERROR(LOOKUP(2,1/((入库单!$G$4:$G$2503=$A278)*(入库单!$Y$4:$Y$2503="正常")*(入库单!$L$4:$L$2503&gt;0)),入库单!$D$4:$D$2503),""))</f>
        <v/>
      </c>
      <c r="I278" s="25">
        <f>IF($A278="","",IFERROR(LOOKUP(2,1/((入库单!$G$4:$G$2503=$A278)*(入库单!$Y$4:$Y$2503="正常")*(入库单!$L$4:$L$2503&gt;0)),入库单!$L$4:$L$2503),0))</f>
        <v/>
      </c>
      <c r="J278" s="26">
        <f>IF($A278="","",IF($H278="A国内",ROUND($I278*倍数A*汇率,0),IF($H278="B当地",ROUND($I278*系数B,0),0)))</f>
        <v/>
      </c>
      <c r="K278" s="24">
        <f>IF($A278="","",IF(COUNTIFS(入库单!$G$4:$G$2503,$A278,入库单!$X$4:$X$2503,"待补价")&gt;0,"待补价",IF(COUNTIFS(入库单!$G$4:$G$2503,$A278,入库单!$X$4:$X$2503,"暂估")&gt;0,"暂估",IF($I278=0,"没有进价","正常"))))</f>
        <v/>
      </c>
      <c r="L278" s="27">
        <f>IF($A278="","",IFERROR(VLOOKUP($A278,库存台账!$A$5:$Y$1204,24,0),0))</f>
        <v/>
      </c>
      <c r="M278" s="26">
        <f>IF($A278="","",IFERROR(VLOOKUP($A278,库存台账!$A$5:$Y$1204,25,0),0))</f>
        <v/>
      </c>
      <c r="N278" s="19">
        <f>IF($A278="","",IFERROR(LOOKUP(2,1/((出库单!$D$4:$D$4003=$A278)*(出库单!$T$4:$T$4003="正常")),出库单!$C$4:$C$4003),""))</f>
        <v/>
      </c>
      <c r="O278" s="28">
        <f>IF($A278="","",IF($L278&lt;=0,"",IF($N278="",IFERROR(账期止-LOOKUP(2,1/(入库单!$G$4:$G$2503=$A278),入库单!$C$4:$C$2503),""),账期止-$N278)))</f>
        <v/>
      </c>
      <c r="P278" s="17" t="n"/>
    </row>
    <row r="279">
      <c r="A279" s="17" t="inlineStr">
        <is>
          <t>JH0276</t>
        </is>
      </c>
      <c r="B279" s="17" t="inlineStr">
        <is>
          <t>机械设备</t>
        </is>
      </c>
      <c r="C279" s="17" t="inlineStr">
        <is>
          <t>配件   叶轮</t>
        </is>
      </c>
      <c r="D279" s="17" t="inlineStr">
        <is>
          <t>1.5米搅拌桶</t>
        </is>
      </c>
      <c r="E279" s="17" t="inlineStr">
        <is>
          <t>个</t>
        </is>
      </c>
      <c r="F279" s="17" t="inlineStr">
        <is>
          <t>否</t>
        </is>
      </c>
      <c r="G279" s="23" t="n"/>
      <c r="H279" s="24">
        <f>IF($A279="","",IFERROR(LOOKUP(2,1/((入库单!$G$4:$G$2503=$A279)*(入库单!$Y$4:$Y$2503="正常")*(入库单!$L$4:$L$2503&gt;0)),入库单!$D$4:$D$2503),""))</f>
        <v/>
      </c>
      <c r="I279" s="25">
        <f>IF($A279="","",IFERROR(LOOKUP(2,1/((入库单!$G$4:$G$2503=$A279)*(入库单!$Y$4:$Y$2503="正常")*(入库单!$L$4:$L$2503&gt;0)),入库单!$L$4:$L$2503),0))</f>
        <v/>
      </c>
      <c r="J279" s="26">
        <f>IF($A279="","",IF($H279="A国内",ROUND($I279*倍数A*汇率,0),IF($H279="B当地",ROUND($I279*系数B,0),0)))</f>
        <v/>
      </c>
      <c r="K279" s="24">
        <f>IF($A279="","",IF(COUNTIFS(入库单!$G$4:$G$2503,$A279,入库单!$X$4:$X$2503,"待补价")&gt;0,"待补价",IF(COUNTIFS(入库单!$G$4:$G$2503,$A279,入库单!$X$4:$X$2503,"暂估")&gt;0,"暂估",IF($I279=0,"没有进价","正常"))))</f>
        <v/>
      </c>
      <c r="L279" s="27">
        <f>IF($A279="","",IFERROR(VLOOKUP($A279,库存台账!$A$5:$Y$1204,24,0),0))</f>
        <v/>
      </c>
      <c r="M279" s="26">
        <f>IF($A279="","",IFERROR(VLOOKUP($A279,库存台账!$A$5:$Y$1204,25,0),0))</f>
        <v/>
      </c>
      <c r="N279" s="19">
        <f>IF($A279="","",IFERROR(LOOKUP(2,1/((出库单!$D$4:$D$4003=$A279)*(出库单!$T$4:$T$4003="正常")),出库单!$C$4:$C$4003),""))</f>
        <v/>
      </c>
      <c r="O279" s="28">
        <f>IF($A279="","",IF($L279&lt;=0,"",IF($N279="",IFERROR(账期止-LOOKUP(2,1/(入库单!$G$4:$G$2503=$A279),入库单!$C$4:$C$2503),""),账期止-$N279)))</f>
        <v/>
      </c>
      <c r="P279" s="17" t="n"/>
    </row>
    <row r="280">
      <c r="A280" s="17" t="inlineStr">
        <is>
          <t>JH0277</t>
        </is>
      </c>
      <c r="B280" s="17" t="inlineStr">
        <is>
          <t>机械设备</t>
        </is>
      </c>
      <c r="C280" s="17" t="inlineStr">
        <is>
          <t>配件   叶轮</t>
        </is>
      </c>
      <c r="D280" s="17" t="inlineStr">
        <is>
          <t>2米搅拌桶</t>
        </is>
      </c>
      <c r="E280" s="17" t="inlineStr">
        <is>
          <t>个</t>
        </is>
      </c>
      <c r="F280" s="17" t="inlineStr">
        <is>
          <t>否</t>
        </is>
      </c>
      <c r="G280" s="23" t="n"/>
      <c r="H280" s="24">
        <f>IF($A280="","",IFERROR(LOOKUP(2,1/((入库单!$G$4:$G$2503=$A280)*(入库单!$Y$4:$Y$2503="正常")*(入库单!$L$4:$L$2503&gt;0)),入库单!$D$4:$D$2503),""))</f>
        <v/>
      </c>
      <c r="I280" s="25">
        <f>IF($A280="","",IFERROR(LOOKUP(2,1/((入库单!$G$4:$G$2503=$A280)*(入库单!$Y$4:$Y$2503="正常")*(入库单!$L$4:$L$2503&gt;0)),入库单!$L$4:$L$2503),0))</f>
        <v/>
      </c>
      <c r="J280" s="26">
        <f>IF($A280="","",IF($H280="A国内",ROUND($I280*倍数A*汇率,0),IF($H280="B当地",ROUND($I280*系数B,0),0)))</f>
        <v/>
      </c>
      <c r="K280" s="24">
        <f>IF($A280="","",IF(COUNTIFS(入库单!$G$4:$G$2503,$A280,入库单!$X$4:$X$2503,"待补价")&gt;0,"待补价",IF(COUNTIFS(入库单!$G$4:$G$2503,$A280,入库单!$X$4:$X$2503,"暂估")&gt;0,"暂估",IF($I280=0,"没有进价","正常"))))</f>
        <v/>
      </c>
      <c r="L280" s="27">
        <f>IF($A280="","",IFERROR(VLOOKUP($A280,库存台账!$A$5:$Y$1204,24,0),0))</f>
        <v/>
      </c>
      <c r="M280" s="26">
        <f>IF($A280="","",IFERROR(VLOOKUP($A280,库存台账!$A$5:$Y$1204,25,0),0))</f>
        <v/>
      </c>
      <c r="N280" s="19">
        <f>IF($A280="","",IFERROR(LOOKUP(2,1/((出库单!$D$4:$D$4003=$A280)*(出库单!$T$4:$T$4003="正常")),出库单!$C$4:$C$4003),""))</f>
        <v/>
      </c>
      <c r="O280" s="28">
        <f>IF($A280="","",IF($L280&lt;=0,"",IF($N280="",IFERROR(账期止-LOOKUP(2,1/(入库单!$G$4:$G$2503=$A280),入库单!$C$4:$C$2503),""),账期止-$N280)))</f>
        <v/>
      </c>
      <c r="P280" s="17" t="n"/>
    </row>
    <row r="281">
      <c r="A281" s="17" t="inlineStr">
        <is>
          <t>JH0278</t>
        </is>
      </c>
      <c r="B281" s="17" t="inlineStr">
        <is>
          <t>机械设备</t>
        </is>
      </c>
      <c r="C281" s="17" t="inlineStr">
        <is>
          <t>浮选机7-6</t>
        </is>
      </c>
      <c r="D281" s="17" t="inlineStr">
        <is>
          <t>KYF43</t>
        </is>
      </c>
      <c r="E281" s="17" t="inlineStr">
        <is>
          <t>台</t>
        </is>
      </c>
      <c r="F281" s="17" t="inlineStr">
        <is>
          <t>否</t>
        </is>
      </c>
      <c r="G281" s="23" t="n"/>
      <c r="H281" s="24">
        <f>IF($A281="","",IFERROR(LOOKUP(2,1/((入库单!$G$4:$G$2503=$A281)*(入库单!$Y$4:$Y$2503="正常")*(入库单!$L$4:$L$2503&gt;0)),入库单!$D$4:$D$2503),""))</f>
        <v/>
      </c>
      <c r="I281" s="25">
        <f>IF($A281="","",IFERROR(LOOKUP(2,1/((入库单!$G$4:$G$2503=$A281)*(入库单!$Y$4:$Y$2503="正常")*(入库单!$L$4:$L$2503&gt;0)),入库单!$L$4:$L$2503),0))</f>
        <v/>
      </c>
      <c r="J281" s="26">
        <f>IF($A281="","",IF($H281="A国内",ROUND($I281*倍数A*汇率,0),IF($H281="B当地",ROUND($I281*系数B,0),0)))</f>
        <v/>
      </c>
      <c r="K281" s="24">
        <f>IF($A281="","",IF(COUNTIFS(入库单!$G$4:$G$2503,$A281,入库单!$X$4:$X$2503,"待补价")&gt;0,"待补价",IF(COUNTIFS(入库单!$G$4:$G$2503,$A281,入库单!$X$4:$X$2503,"暂估")&gt;0,"暂估",IF($I281=0,"没有进价","正常"))))</f>
        <v/>
      </c>
      <c r="L281" s="27">
        <f>IF($A281="","",IFERROR(VLOOKUP($A281,库存台账!$A$5:$Y$1204,24,0),0))</f>
        <v/>
      </c>
      <c r="M281" s="26">
        <f>IF($A281="","",IFERROR(VLOOKUP($A281,库存台账!$A$5:$Y$1204,25,0),0))</f>
        <v/>
      </c>
      <c r="N281" s="19">
        <f>IF($A281="","",IFERROR(LOOKUP(2,1/((出库单!$D$4:$D$4003=$A281)*(出库单!$T$4:$T$4003="正常")),出库单!$C$4:$C$4003),""))</f>
        <v/>
      </c>
      <c r="O281" s="28">
        <f>IF($A281="","",IF($L281&lt;=0,"",IF($N281="",IFERROR(账期止-LOOKUP(2,1/(入库单!$G$4:$G$2503=$A281),入库单!$C$4:$C$2503),""),账期止-$N281)))</f>
        <v/>
      </c>
      <c r="P281" s="17" t="n"/>
    </row>
    <row r="282">
      <c r="A282" s="17" t="inlineStr">
        <is>
          <t>JH0279</t>
        </is>
      </c>
      <c r="B282" s="17" t="inlineStr">
        <is>
          <t>机械配件</t>
        </is>
      </c>
      <c r="C282" s="17" t="inlineStr">
        <is>
          <t>刮板卡子</t>
        </is>
      </c>
      <c r="D282" s="17" t="inlineStr"/>
      <c r="E282" s="17" t="inlineStr">
        <is>
          <t>件</t>
        </is>
      </c>
      <c r="F282" s="17" t="inlineStr">
        <is>
          <t>否</t>
        </is>
      </c>
      <c r="G282" s="23" t="n"/>
      <c r="H282" s="24">
        <f>IF($A282="","",IFERROR(LOOKUP(2,1/((入库单!$G$4:$G$2503=$A282)*(入库单!$Y$4:$Y$2503="正常")*(入库单!$L$4:$L$2503&gt;0)),入库单!$D$4:$D$2503),""))</f>
        <v/>
      </c>
      <c r="I282" s="25">
        <f>IF($A282="","",IFERROR(LOOKUP(2,1/((入库单!$G$4:$G$2503=$A282)*(入库单!$Y$4:$Y$2503="正常")*(入库单!$L$4:$L$2503&gt;0)),入库单!$L$4:$L$2503),0))</f>
        <v/>
      </c>
      <c r="J282" s="26">
        <f>IF($A282="","",IF($H282="A国内",ROUND($I282*倍数A*汇率,0),IF($H282="B当地",ROUND($I282*系数B,0),0)))</f>
        <v/>
      </c>
      <c r="K282" s="24">
        <f>IF($A282="","",IF(COUNTIFS(入库单!$G$4:$G$2503,$A282,入库单!$X$4:$X$2503,"待补价")&gt;0,"待补价",IF(COUNTIFS(入库单!$G$4:$G$2503,$A282,入库单!$X$4:$X$2503,"暂估")&gt;0,"暂估",IF($I282=0,"没有进价","正常"))))</f>
        <v/>
      </c>
      <c r="L282" s="27">
        <f>IF($A282="","",IFERROR(VLOOKUP($A282,库存台账!$A$5:$Y$1204,24,0),0))</f>
        <v/>
      </c>
      <c r="M282" s="26">
        <f>IF($A282="","",IFERROR(VLOOKUP($A282,库存台账!$A$5:$Y$1204,25,0),0))</f>
        <v/>
      </c>
      <c r="N282" s="19">
        <f>IF($A282="","",IFERROR(LOOKUP(2,1/((出库单!$D$4:$D$4003=$A282)*(出库单!$T$4:$T$4003="正常")),出库单!$C$4:$C$4003),""))</f>
        <v/>
      </c>
      <c r="O282" s="28">
        <f>IF($A282="","",IF($L282&lt;=0,"",IF($N282="",IFERROR(账期止-LOOKUP(2,1/(入库单!$G$4:$G$2503=$A282),入库单!$C$4:$C$2503),""),账期止-$N282)))</f>
        <v/>
      </c>
      <c r="P282" s="17" t="n"/>
    </row>
    <row r="283">
      <c r="A283" s="17" t="inlineStr">
        <is>
          <t>JH0280</t>
        </is>
      </c>
      <c r="B283" s="17" t="inlineStr">
        <is>
          <t>五金管件</t>
        </is>
      </c>
      <c r="C283" s="17" t="inlineStr">
        <is>
          <t>159弯头</t>
        </is>
      </c>
      <c r="D283" s="17" t="inlineStr"/>
      <c r="E283" s="17" t="inlineStr">
        <is>
          <t>个</t>
        </is>
      </c>
      <c r="F283" s="17" t="inlineStr">
        <is>
          <t>否</t>
        </is>
      </c>
      <c r="G283" s="23" t="n"/>
      <c r="H283" s="24">
        <f>IF($A283="","",IFERROR(LOOKUP(2,1/((入库单!$G$4:$G$2503=$A283)*(入库单!$Y$4:$Y$2503="正常")*(入库单!$L$4:$L$2503&gt;0)),入库单!$D$4:$D$2503),""))</f>
        <v/>
      </c>
      <c r="I283" s="25">
        <f>IF($A283="","",IFERROR(LOOKUP(2,1/((入库单!$G$4:$G$2503=$A283)*(入库单!$Y$4:$Y$2503="正常")*(入库单!$L$4:$L$2503&gt;0)),入库单!$L$4:$L$2503),0))</f>
        <v/>
      </c>
      <c r="J283" s="26">
        <f>IF($A283="","",IF($H283="A国内",ROUND($I283*倍数A*汇率,0),IF($H283="B当地",ROUND($I283*系数B,0),0)))</f>
        <v/>
      </c>
      <c r="K283" s="24">
        <f>IF($A283="","",IF(COUNTIFS(入库单!$G$4:$G$2503,$A283,入库单!$X$4:$X$2503,"待补价")&gt;0,"待补价",IF(COUNTIFS(入库单!$G$4:$G$2503,$A283,入库单!$X$4:$X$2503,"暂估")&gt;0,"暂估",IF($I283=0,"没有进价","正常"))))</f>
        <v/>
      </c>
      <c r="L283" s="27">
        <f>IF($A283="","",IFERROR(VLOOKUP($A283,库存台账!$A$5:$Y$1204,24,0),0))</f>
        <v/>
      </c>
      <c r="M283" s="26">
        <f>IF($A283="","",IFERROR(VLOOKUP($A283,库存台账!$A$5:$Y$1204,25,0),0))</f>
        <v/>
      </c>
      <c r="N283" s="19">
        <f>IF($A283="","",IFERROR(LOOKUP(2,1/((出库单!$D$4:$D$4003=$A283)*(出库单!$T$4:$T$4003="正常")),出库单!$C$4:$C$4003),""))</f>
        <v/>
      </c>
      <c r="O283" s="28">
        <f>IF($A283="","",IF($L283&lt;=0,"",IF($N283="",IFERROR(账期止-LOOKUP(2,1/(入库单!$G$4:$G$2503=$A283),入库单!$C$4:$C$2503),""),账期止-$N283)))</f>
        <v/>
      </c>
      <c r="P283" s="17" t="n"/>
    </row>
    <row r="284">
      <c r="A284" s="17" t="inlineStr">
        <is>
          <t>JH0281</t>
        </is>
      </c>
      <c r="B284" s="17" t="inlineStr">
        <is>
          <t>其他</t>
        </is>
      </c>
      <c r="C284" s="17" t="inlineStr">
        <is>
          <t>盘根</t>
        </is>
      </c>
      <c r="D284" s="17" t="inlineStr"/>
      <c r="E284" s="17" t="inlineStr">
        <is>
          <t>件</t>
        </is>
      </c>
      <c r="F284" s="17" t="inlineStr">
        <is>
          <t>否</t>
        </is>
      </c>
      <c r="G284" s="23" t="n"/>
      <c r="H284" s="24">
        <f>IF($A284="","",IFERROR(LOOKUP(2,1/((入库单!$G$4:$G$2503=$A284)*(入库单!$Y$4:$Y$2503="正常")*(入库单!$L$4:$L$2503&gt;0)),入库单!$D$4:$D$2503),""))</f>
        <v/>
      </c>
      <c r="I284" s="25">
        <f>IF($A284="","",IFERROR(LOOKUP(2,1/((入库单!$G$4:$G$2503=$A284)*(入库单!$Y$4:$Y$2503="正常")*(入库单!$L$4:$L$2503&gt;0)),入库单!$L$4:$L$2503),0))</f>
        <v/>
      </c>
      <c r="J284" s="26">
        <f>IF($A284="","",IF($H284="A国内",ROUND($I284*倍数A*汇率,0),IF($H284="B当地",ROUND($I284*系数B,0),0)))</f>
        <v/>
      </c>
      <c r="K284" s="24">
        <f>IF($A284="","",IF(COUNTIFS(入库单!$G$4:$G$2503,$A284,入库单!$X$4:$X$2503,"待补价")&gt;0,"待补价",IF(COUNTIFS(入库单!$G$4:$G$2503,$A284,入库单!$X$4:$X$2503,"暂估")&gt;0,"暂估",IF($I284=0,"没有进价","正常"))))</f>
        <v/>
      </c>
      <c r="L284" s="27">
        <f>IF($A284="","",IFERROR(VLOOKUP($A284,库存台账!$A$5:$Y$1204,24,0),0))</f>
        <v/>
      </c>
      <c r="M284" s="26">
        <f>IF($A284="","",IFERROR(VLOOKUP($A284,库存台账!$A$5:$Y$1204,25,0),0))</f>
        <v/>
      </c>
      <c r="N284" s="19">
        <f>IF($A284="","",IFERROR(LOOKUP(2,1/((出库单!$D$4:$D$4003=$A284)*(出库单!$T$4:$T$4003="正常")),出库单!$C$4:$C$4003),""))</f>
        <v/>
      </c>
      <c r="O284" s="28">
        <f>IF($A284="","",IF($L284&lt;=0,"",IF($N284="",IFERROR(账期止-LOOKUP(2,1/(入库单!$G$4:$G$2503=$A284),入库单!$C$4:$C$2503),""),账期止-$N284)))</f>
        <v/>
      </c>
      <c r="P284" s="17" t="n"/>
    </row>
    <row r="285">
      <c r="A285" s="17" t="inlineStr">
        <is>
          <t>JH0282</t>
        </is>
      </c>
      <c r="B285" s="17" t="inlineStr">
        <is>
          <t>机械设备</t>
        </is>
      </c>
      <c r="C285" s="17" t="inlineStr">
        <is>
          <t>配件 浮选机下体</t>
        </is>
      </c>
      <c r="D285" s="17" t="inlineStr">
        <is>
          <t>浮选机4立方</t>
        </is>
      </c>
      <c r="E285" s="17" t="inlineStr">
        <is>
          <t>件</t>
        </is>
      </c>
      <c r="F285" s="17" t="inlineStr">
        <is>
          <t>否</t>
        </is>
      </c>
      <c r="G285" s="23" t="n"/>
      <c r="H285" s="24">
        <f>IF($A285="","",IFERROR(LOOKUP(2,1/((入库单!$G$4:$G$2503=$A285)*(入库单!$Y$4:$Y$2503="正常")*(入库单!$L$4:$L$2503&gt;0)),入库单!$D$4:$D$2503),""))</f>
        <v/>
      </c>
      <c r="I285" s="25">
        <f>IF($A285="","",IFERROR(LOOKUP(2,1/((入库单!$G$4:$G$2503=$A285)*(入库单!$Y$4:$Y$2503="正常")*(入库单!$L$4:$L$2503&gt;0)),入库单!$L$4:$L$2503),0))</f>
        <v/>
      </c>
      <c r="J285" s="26">
        <f>IF($A285="","",IF($H285="A国内",ROUND($I285*倍数A*汇率,0),IF($H285="B当地",ROUND($I285*系数B,0),0)))</f>
        <v/>
      </c>
      <c r="K285" s="24">
        <f>IF($A285="","",IF(COUNTIFS(入库单!$G$4:$G$2503,$A285,入库单!$X$4:$X$2503,"待补价")&gt;0,"待补价",IF(COUNTIFS(入库单!$G$4:$G$2503,$A285,入库单!$X$4:$X$2503,"暂估")&gt;0,"暂估",IF($I285=0,"没有进价","正常"))))</f>
        <v/>
      </c>
      <c r="L285" s="27">
        <f>IF($A285="","",IFERROR(VLOOKUP($A285,库存台账!$A$5:$Y$1204,24,0),0))</f>
        <v/>
      </c>
      <c r="M285" s="26">
        <f>IF($A285="","",IFERROR(VLOOKUP($A285,库存台账!$A$5:$Y$1204,25,0),0))</f>
        <v/>
      </c>
      <c r="N285" s="19">
        <f>IF($A285="","",IFERROR(LOOKUP(2,1/((出库单!$D$4:$D$4003=$A285)*(出库单!$T$4:$T$4003="正常")),出库单!$C$4:$C$4003),""))</f>
        <v/>
      </c>
      <c r="O285" s="28">
        <f>IF($A285="","",IF($L285&lt;=0,"",IF($N285="",IFERROR(账期止-LOOKUP(2,1/(入库单!$G$4:$G$2503=$A285),入库单!$C$4:$C$2503),""),账期止-$N285)))</f>
        <v/>
      </c>
      <c r="P285" s="17" t="n"/>
    </row>
    <row r="286">
      <c r="A286" s="17" t="inlineStr">
        <is>
          <t>JH0283</t>
        </is>
      </c>
      <c r="B286" s="17" t="inlineStr">
        <is>
          <t>机械设备</t>
        </is>
      </c>
      <c r="C286" s="17" t="inlineStr">
        <is>
          <t>配件浮选机总成</t>
        </is>
      </c>
      <c r="D286" s="17" t="inlineStr">
        <is>
          <t>SF2.8</t>
        </is>
      </c>
      <c r="E286" s="17" t="inlineStr">
        <is>
          <t>套</t>
        </is>
      </c>
      <c r="F286" s="17" t="inlineStr">
        <is>
          <t>否</t>
        </is>
      </c>
      <c r="G286" s="23" t="n"/>
      <c r="H286" s="24">
        <f>IF($A286="","",IFERROR(LOOKUP(2,1/((入库单!$G$4:$G$2503=$A286)*(入库单!$Y$4:$Y$2503="正常")*(入库单!$L$4:$L$2503&gt;0)),入库单!$D$4:$D$2503),""))</f>
        <v/>
      </c>
      <c r="I286" s="25">
        <f>IF($A286="","",IFERROR(LOOKUP(2,1/((入库单!$G$4:$G$2503=$A286)*(入库单!$Y$4:$Y$2503="正常")*(入库单!$L$4:$L$2503&gt;0)),入库单!$L$4:$L$2503),0))</f>
        <v/>
      </c>
      <c r="J286" s="26">
        <f>IF($A286="","",IF($H286="A国内",ROUND($I286*倍数A*汇率,0),IF($H286="B当地",ROUND($I286*系数B,0),0)))</f>
        <v/>
      </c>
      <c r="K286" s="24">
        <f>IF($A286="","",IF(COUNTIFS(入库单!$G$4:$G$2503,$A286,入库单!$X$4:$X$2503,"待补价")&gt;0,"待补价",IF(COUNTIFS(入库单!$G$4:$G$2503,$A286,入库单!$X$4:$X$2503,"暂估")&gt;0,"暂估",IF($I286=0,"没有进价","正常"))))</f>
        <v/>
      </c>
      <c r="L286" s="27">
        <f>IF($A286="","",IFERROR(VLOOKUP($A286,库存台账!$A$5:$Y$1204,24,0),0))</f>
        <v/>
      </c>
      <c r="M286" s="26">
        <f>IF($A286="","",IFERROR(VLOOKUP($A286,库存台账!$A$5:$Y$1204,25,0),0))</f>
        <v/>
      </c>
      <c r="N286" s="19">
        <f>IF($A286="","",IFERROR(LOOKUP(2,1/((出库单!$D$4:$D$4003=$A286)*(出库单!$T$4:$T$4003="正常")),出库单!$C$4:$C$4003),""))</f>
        <v/>
      </c>
      <c r="O286" s="28">
        <f>IF($A286="","",IF($L286&lt;=0,"",IF($N286="",IFERROR(账期止-LOOKUP(2,1/(入库单!$G$4:$G$2503=$A286),入库单!$C$4:$C$2503),""),账期止-$N286)))</f>
        <v/>
      </c>
      <c r="P286" s="17" t="n"/>
    </row>
    <row r="287">
      <c r="A287" s="17" t="inlineStr">
        <is>
          <t>JH0284</t>
        </is>
      </c>
      <c r="B287" s="17" t="inlineStr">
        <is>
          <t>电缆电气</t>
        </is>
      </c>
      <c r="C287" s="17" t="inlineStr">
        <is>
          <t>配件电机</t>
        </is>
      </c>
      <c r="D287" s="17" t="inlineStr">
        <is>
          <t>11kw-8</t>
        </is>
      </c>
      <c r="E287" s="17" t="inlineStr">
        <is>
          <t>台</t>
        </is>
      </c>
      <c r="F287" s="17" t="inlineStr">
        <is>
          <t>否</t>
        </is>
      </c>
      <c r="G287" s="23" t="n"/>
      <c r="H287" s="24">
        <f>IF($A287="","",IFERROR(LOOKUP(2,1/((入库单!$G$4:$G$2503=$A287)*(入库单!$Y$4:$Y$2503="正常")*(入库单!$L$4:$L$2503&gt;0)),入库单!$D$4:$D$2503),""))</f>
        <v/>
      </c>
      <c r="I287" s="25">
        <f>IF($A287="","",IFERROR(LOOKUP(2,1/((入库单!$G$4:$G$2503=$A287)*(入库单!$Y$4:$Y$2503="正常")*(入库单!$L$4:$L$2503&gt;0)),入库单!$L$4:$L$2503),0))</f>
        <v/>
      </c>
      <c r="J287" s="26">
        <f>IF($A287="","",IF($H287="A国内",ROUND($I287*倍数A*汇率,0),IF($H287="B当地",ROUND($I287*系数B,0),0)))</f>
        <v/>
      </c>
      <c r="K287" s="24">
        <f>IF($A287="","",IF(COUNTIFS(入库单!$G$4:$G$2503,$A287,入库单!$X$4:$X$2503,"待补价")&gt;0,"待补价",IF(COUNTIFS(入库单!$G$4:$G$2503,$A287,入库单!$X$4:$X$2503,"暂估")&gt;0,"暂估",IF($I287=0,"没有进价","正常"))))</f>
        <v/>
      </c>
      <c r="L287" s="27">
        <f>IF($A287="","",IFERROR(VLOOKUP($A287,库存台账!$A$5:$Y$1204,24,0),0))</f>
        <v/>
      </c>
      <c r="M287" s="26">
        <f>IF($A287="","",IFERROR(VLOOKUP($A287,库存台账!$A$5:$Y$1204,25,0),0))</f>
        <v/>
      </c>
      <c r="N287" s="19">
        <f>IF($A287="","",IFERROR(LOOKUP(2,1/((出库单!$D$4:$D$4003=$A287)*(出库单!$T$4:$T$4003="正常")),出库单!$C$4:$C$4003),""))</f>
        <v/>
      </c>
      <c r="O287" s="28">
        <f>IF($A287="","",IF($L287&lt;=0,"",IF($N287="",IFERROR(账期止-LOOKUP(2,1/(入库单!$G$4:$G$2503=$A287),入库单!$C$4:$C$2503),""),账期止-$N287)))</f>
        <v/>
      </c>
      <c r="P287" s="17" t="n"/>
    </row>
    <row r="288">
      <c r="A288" s="17" t="inlineStr">
        <is>
          <t>JH0285</t>
        </is>
      </c>
      <c r="B288" s="17" t="inlineStr">
        <is>
          <t>电缆电气</t>
        </is>
      </c>
      <c r="C288" s="17" t="inlineStr">
        <is>
          <t>配件电机</t>
        </is>
      </c>
      <c r="D288" s="17" t="inlineStr">
        <is>
          <t>15kw-6</t>
        </is>
      </c>
      <c r="E288" s="17" t="inlineStr">
        <is>
          <t>台</t>
        </is>
      </c>
      <c r="F288" s="17" t="inlineStr">
        <is>
          <t>否</t>
        </is>
      </c>
      <c r="G288" s="23" t="n"/>
      <c r="H288" s="24">
        <f>IF($A288="","",IFERROR(LOOKUP(2,1/((入库单!$G$4:$G$2503=$A288)*(入库单!$Y$4:$Y$2503="正常")*(入库单!$L$4:$L$2503&gt;0)),入库单!$D$4:$D$2503),""))</f>
        <v/>
      </c>
      <c r="I288" s="25">
        <f>IF($A288="","",IFERROR(LOOKUP(2,1/((入库单!$G$4:$G$2503=$A288)*(入库单!$Y$4:$Y$2503="正常")*(入库单!$L$4:$L$2503&gt;0)),入库单!$L$4:$L$2503),0))</f>
        <v/>
      </c>
      <c r="J288" s="26">
        <f>IF($A288="","",IF($H288="A国内",ROUND($I288*倍数A*汇率,0),IF($H288="B当地",ROUND($I288*系数B,0),0)))</f>
        <v/>
      </c>
      <c r="K288" s="24">
        <f>IF($A288="","",IF(COUNTIFS(入库单!$G$4:$G$2503,$A288,入库单!$X$4:$X$2503,"待补价")&gt;0,"待补价",IF(COUNTIFS(入库单!$G$4:$G$2503,$A288,入库单!$X$4:$X$2503,"暂估")&gt;0,"暂估",IF($I288=0,"没有进价","正常"))))</f>
        <v/>
      </c>
      <c r="L288" s="27">
        <f>IF($A288="","",IFERROR(VLOOKUP($A288,库存台账!$A$5:$Y$1204,24,0),0))</f>
        <v/>
      </c>
      <c r="M288" s="26">
        <f>IF($A288="","",IFERROR(VLOOKUP($A288,库存台账!$A$5:$Y$1204,25,0),0))</f>
        <v/>
      </c>
      <c r="N288" s="19">
        <f>IF($A288="","",IFERROR(LOOKUP(2,1/((出库单!$D$4:$D$4003=$A288)*(出库单!$T$4:$T$4003="正常")),出库单!$C$4:$C$4003),""))</f>
        <v/>
      </c>
      <c r="O288" s="28">
        <f>IF($A288="","",IF($L288&lt;=0,"",IF($N288="",IFERROR(账期止-LOOKUP(2,1/(入库单!$G$4:$G$2503=$A288),入库单!$C$4:$C$2503),""),账期止-$N288)))</f>
        <v/>
      </c>
      <c r="P288" s="17" t="n"/>
    </row>
    <row r="289">
      <c r="A289" s="17" t="inlineStr">
        <is>
          <t>JH0286</t>
        </is>
      </c>
      <c r="B289" s="17" t="inlineStr">
        <is>
          <t>机械设备</t>
        </is>
      </c>
      <c r="C289" s="17" t="inlineStr">
        <is>
          <t>3槽泡沫槽</t>
        </is>
      </c>
      <c r="D289" s="17" t="inlineStr">
        <is>
          <t>浮选机4立方</t>
        </is>
      </c>
      <c r="E289" s="17" t="inlineStr">
        <is>
          <t>件</t>
        </is>
      </c>
      <c r="F289" s="17" t="inlineStr">
        <is>
          <t>否</t>
        </is>
      </c>
      <c r="G289" s="23" t="n"/>
      <c r="H289" s="24">
        <f>IF($A289="","",IFERROR(LOOKUP(2,1/((入库单!$G$4:$G$2503=$A289)*(入库单!$Y$4:$Y$2503="正常")*(入库单!$L$4:$L$2503&gt;0)),入库单!$D$4:$D$2503),""))</f>
        <v/>
      </c>
      <c r="I289" s="25">
        <f>IF($A289="","",IFERROR(LOOKUP(2,1/((入库单!$G$4:$G$2503=$A289)*(入库单!$Y$4:$Y$2503="正常")*(入库单!$L$4:$L$2503&gt;0)),入库单!$L$4:$L$2503),0))</f>
        <v/>
      </c>
      <c r="J289" s="26">
        <f>IF($A289="","",IF($H289="A国内",ROUND($I289*倍数A*汇率,0),IF($H289="B当地",ROUND($I289*系数B,0),0)))</f>
        <v/>
      </c>
      <c r="K289" s="24">
        <f>IF($A289="","",IF(COUNTIFS(入库单!$G$4:$G$2503,$A289,入库单!$X$4:$X$2503,"待补价")&gt;0,"待补价",IF(COUNTIFS(入库单!$G$4:$G$2503,$A289,入库单!$X$4:$X$2503,"暂估")&gt;0,"暂估",IF($I289=0,"没有进价","正常"))))</f>
        <v/>
      </c>
      <c r="L289" s="27">
        <f>IF($A289="","",IFERROR(VLOOKUP($A289,库存台账!$A$5:$Y$1204,24,0),0))</f>
        <v/>
      </c>
      <c r="M289" s="26">
        <f>IF($A289="","",IFERROR(VLOOKUP($A289,库存台账!$A$5:$Y$1204,25,0),0))</f>
        <v/>
      </c>
      <c r="N289" s="19">
        <f>IF($A289="","",IFERROR(LOOKUP(2,1/((出库单!$D$4:$D$4003=$A289)*(出库单!$T$4:$T$4003="正常")),出库单!$C$4:$C$4003),""))</f>
        <v/>
      </c>
      <c r="O289" s="28">
        <f>IF($A289="","",IF($L289&lt;=0,"",IF($N289="",IFERROR(账期止-LOOKUP(2,1/(入库单!$G$4:$G$2503=$A289),入库单!$C$4:$C$2503),""),账期止-$N289)))</f>
        <v/>
      </c>
      <c r="P289" s="17" t="n"/>
    </row>
    <row r="290">
      <c r="A290" s="17" t="inlineStr">
        <is>
          <t>JH0287</t>
        </is>
      </c>
      <c r="B290" s="17" t="inlineStr">
        <is>
          <t>机械设备</t>
        </is>
      </c>
      <c r="C290" s="17" t="inlineStr">
        <is>
          <t>泡沫槽</t>
        </is>
      </c>
      <c r="D290" s="17" t="inlineStr">
        <is>
          <t>浮选机2.8</t>
        </is>
      </c>
      <c r="E290" s="17" t="inlineStr">
        <is>
          <t>件</t>
        </is>
      </c>
      <c r="F290" s="17" t="inlineStr">
        <is>
          <t>否</t>
        </is>
      </c>
      <c r="G290" s="23" t="n"/>
      <c r="H290" s="24">
        <f>IF($A290="","",IFERROR(LOOKUP(2,1/((入库单!$G$4:$G$2503=$A290)*(入库单!$Y$4:$Y$2503="正常")*(入库单!$L$4:$L$2503&gt;0)),入库单!$D$4:$D$2503),""))</f>
        <v/>
      </c>
      <c r="I290" s="25">
        <f>IF($A290="","",IFERROR(LOOKUP(2,1/((入库单!$G$4:$G$2503=$A290)*(入库单!$Y$4:$Y$2503="正常")*(入库单!$L$4:$L$2503&gt;0)),入库单!$L$4:$L$2503),0))</f>
        <v/>
      </c>
      <c r="J290" s="26">
        <f>IF($A290="","",IF($H290="A国内",ROUND($I290*倍数A*汇率,0),IF($H290="B当地",ROUND($I290*系数B,0),0)))</f>
        <v/>
      </c>
      <c r="K290" s="24">
        <f>IF($A290="","",IF(COUNTIFS(入库单!$G$4:$G$2503,$A290,入库单!$X$4:$X$2503,"待补价")&gt;0,"待补价",IF(COUNTIFS(入库单!$G$4:$G$2503,$A290,入库单!$X$4:$X$2503,"暂估")&gt;0,"暂估",IF($I290=0,"没有进价","正常"))))</f>
        <v/>
      </c>
      <c r="L290" s="27">
        <f>IF($A290="","",IFERROR(VLOOKUP($A290,库存台账!$A$5:$Y$1204,24,0),0))</f>
        <v/>
      </c>
      <c r="M290" s="26">
        <f>IF($A290="","",IFERROR(VLOOKUP($A290,库存台账!$A$5:$Y$1204,25,0),0))</f>
        <v/>
      </c>
      <c r="N290" s="19">
        <f>IF($A290="","",IFERROR(LOOKUP(2,1/((出库单!$D$4:$D$4003=$A290)*(出库单!$T$4:$T$4003="正常")),出库单!$C$4:$C$4003),""))</f>
        <v/>
      </c>
      <c r="O290" s="28">
        <f>IF($A290="","",IF($L290&lt;=0,"",IF($N290="",IFERROR(账期止-LOOKUP(2,1/(入库单!$G$4:$G$2503=$A290),入库单!$C$4:$C$2503),""),账期止-$N290)))</f>
        <v/>
      </c>
      <c r="P290" s="17" t="n"/>
    </row>
    <row r="291">
      <c r="A291" s="17" t="inlineStr">
        <is>
          <t>JH0288</t>
        </is>
      </c>
      <c r="B291" s="17" t="inlineStr">
        <is>
          <t>钢材</t>
        </is>
      </c>
      <c r="C291" s="17" t="inlineStr">
        <is>
          <t>Φ159钢管x370</t>
        </is>
      </c>
      <c r="D291" s="17" t="inlineStr"/>
      <c r="E291" s="17" t="inlineStr">
        <is>
          <t>件</t>
        </is>
      </c>
      <c r="F291" s="17" t="inlineStr">
        <is>
          <t>否</t>
        </is>
      </c>
      <c r="G291" s="23" t="n"/>
      <c r="H291" s="24">
        <f>IF($A291="","",IFERROR(LOOKUP(2,1/((入库单!$G$4:$G$2503=$A291)*(入库单!$Y$4:$Y$2503="正常")*(入库单!$L$4:$L$2503&gt;0)),入库单!$D$4:$D$2503),""))</f>
        <v/>
      </c>
      <c r="I291" s="25">
        <f>IF($A291="","",IFERROR(LOOKUP(2,1/((入库单!$G$4:$G$2503=$A291)*(入库单!$Y$4:$Y$2503="正常")*(入库单!$L$4:$L$2503&gt;0)),入库单!$L$4:$L$2503),0))</f>
        <v/>
      </c>
      <c r="J291" s="26">
        <f>IF($A291="","",IF($H291="A国内",ROUND($I291*倍数A*汇率,0),IF($H291="B当地",ROUND($I291*系数B,0),0)))</f>
        <v/>
      </c>
      <c r="K291" s="24">
        <f>IF($A291="","",IF(COUNTIFS(入库单!$G$4:$G$2503,$A291,入库单!$X$4:$X$2503,"待补价")&gt;0,"待补价",IF(COUNTIFS(入库单!$G$4:$G$2503,$A291,入库单!$X$4:$X$2503,"暂估")&gt;0,"暂估",IF($I291=0,"没有进价","正常"))))</f>
        <v/>
      </c>
      <c r="L291" s="27">
        <f>IF($A291="","",IFERROR(VLOOKUP($A291,库存台账!$A$5:$Y$1204,24,0),0))</f>
        <v/>
      </c>
      <c r="M291" s="26">
        <f>IF($A291="","",IFERROR(VLOOKUP($A291,库存台账!$A$5:$Y$1204,25,0),0))</f>
        <v/>
      </c>
      <c r="N291" s="19">
        <f>IF($A291="","",IFERROR(LOOKUP(2,1/((出库单!$D$4:$D$4003=$A291)*(出库单!$T$4:$T$4003="正常")),出库单!$C$4:$C$4003),""))</f>
        <v/>
      </c>
      <c r="O291" s="28">
        <f>IF($A291="","",IF($L291&lt;=0,"",IF($N291="",IFERROR(账期止-LOOKUP(2,1/(入库单!$G$4:$G$2503=$A291),入库单!$C$4:$C$2503),""),账期止-$N291)))</f>
        <v/>
      </c>
      <c r="P291" s="17" t="n"/>
    </row>
    <row r="292">
      <c r="A292" s="17" t="inlineStr">
        <is>
          <t>JH0289</t>
        </is>
      </c>
      <c r="B292" s="17" t="inlineStr">
        <is>
          <t>其他</t>
        </is>
      </c>
      <c r="C292" s="17" t="inlineStr">
        <is>
          <t>清水压力泵</t>
        </is>
      </c>
      <c r="D292" s="17" t="inlineStr">
        <is>
          <t>ISW80-200</t>
        </is>
      </c>
      <c r="E292" s="17" t="inlineStr">
        <is>
          <t>台</t>
        </is>
      </c>
      <c r="F292" s="17" t="inlineStr">
        <is>
          <t>否</t>
        </is>
      </c>
      <c r="G292" s="23" t="n"/>
      <c r="H292" s="24">
        <f>IF($A292="","",IFERROR(LOOKUP(2,1/((入库单!$G$4:$G$2503=$A292)*(入库单!$Y$4:$Y$2503="正常")*(入库单!$L$4:$L$2503&gt;0)),入库单!$D$4:$D$2503),""))</f>
        <v/>
      </c>
      <c r="I292" s="25">
        <f>IF($A292="","",IFERROR(LOOKUP(2,1/((入库单!$G$4:$G$2503=$A292)*(入库单!$Y$4:$Y$2503="正常")*(入库单!$L$4:$L$2503&gt;0)),入库单!$L$4:$L$2503),0))</f>
        <v/>
      </c>
      <c r="J292" s="26">
        <f>IF($A292="","",IF($H292="A国内",ROUND($I292*倍数A*汇率,0),IF($H292="B当地",ROUND($I292*系数B,0),0)))</f>
        <v/>
      </c>
      <c r="K292" s="24">
        <f>IF($A292="","",IF(COUNTIFS(入库单!$G$4:$G$2503,$A292,入库单!$X$4:$X$2503,"待补价")&gt;0,"待补价",IF(COUNTIFS(入库单!$G$4:$G$2503,$A292,入库单!$X$4:$X$2503,"暂估")&gt;0,"暂估",IF($I292=0,"没有进价","正常"))))</f>
        <v/>
      </c>
      <c r="L292" s="27">
        <f>IF($A292="","",IFERROR(VLOOKUP($A292,库存台账!$A$5:$Y$1204,24,0),0))</f>
        <v/>
      </c>
      <c r="M292" s="26">
        <f>IF($A292="","",IFERROR(VLOOKUP($A292,库存台账!$A$5:$Y$1204,25,0),0))</f>
        <v/>
      </c>
      <c r="N292" s="19">
        <f>IF($A292="","",IFERROR(LOOKUP(2,1/((出库单!$D$4:$D$4003=$A292)*(出库单!$T$4:$T$4003="正常")),出库单!$C$4:$C$4003),""))</f>
        <v/>
      </c>
      <c r="O292" s="28">
        <f>IF($A292="","",IF($L292&lt;=0,"",IF($N292="",IFERROR(账期止-LOOKUP(2,1/(入库单!$G$4:$G$2503=$A292),入库单!$C$4:$C$2503),""),账期止-$N292)))</f>
        <v/>
      </c>
      <c r="P292" s="17" t="n"/>
    </row>
    <row r="293">
      <c r="A293" s="17" t="inlineStr">
        <is>
          <t>JH0290</t>
        </is>
      </c>
      <c r="B293" s="17" t="inlineStr">
        <is>
          <t>机械设备</t>
        </is>
      </c>
      <c r="C293" s="17" t="inlineStr">
        <is>
          <t>清水抽水泵</t>
        </is>
      </c>
      <c r="D293" s="17" t="inlineStr">
        <is>
          <t>ISW50-125</t>
        </is>
      </c>
      <c r="E293" s="17" t="inlineStr">
        <is>
          <t>台</t>
        </is>
      </c>
      <c r="F293" s="17" t="inlineStr">
        <is>
          <t>否</t>
        </is>
      </c>
      <c r="G293" s="23" t="n"/>
      <c r="H293" s="24">
        <f>IF($A293="","",IFERROR(LOOKUP(2,1/((入库单!$G$4:$G$2503=$A293)*(入库单!$Y$4:$Y$2503="正常")*(入库单!$L$4:$L$2503&gt;0)),入库单!$D$4:$D$2503),""))</f>
        <v/>
      </c>
      <c r="I293" s="25">
        <f>IF($A293="","",IFERROR(LOOKUP(2,1/((入库单!$G$4:$G$2503=$A293)*(入库单!$Y$4:$Y$2503="正常")*(入库单!$L$4:$L$2503&gt;0)),入库单!$L$4:$L$2503),0))</f>
        <v/>
      </c>
      <c r="J293" s="26">
        <f>IF($A293="","",IF($H293="A国内",ROUND($I293*倍数A*汇率,0),IF($H293="B当地",ROUND($I293*系数B,0),0)))</f>
        <v/>
      </c>
      <c r="K293" s="24">
        <f>IF($A293="","",IF(COUNTIFS(入库单!$G$4:$G$2503,$A293,入库单!$X$4:$X$2503,"待补价")&gt;0,"待补价",IF(COUNTIFS(入库单!$G$4:$G$2503,$A293,入库单!$X$4:$X$2503,"暂估")&gt;0,"暂估",IF($I293=0,"没有进价","正常"))))</f>
        <v/>
      </c>
      <c r="L293" s="27">
        <f>IF($A293="","",IFERROR(VLOOKUP($A293,库存台账!$A$5:$Y$1204,24,0),0))</f>
        <v/>
      </c>
      <c r="M293" s="26">
        <f>IF($A293="","",IFERROR(VLOOKUP($A293,库存台账!$A$5:$Y$1204,25,0),0))</f>
        <v/>
      </c>
      <c r="N293" s="19">
        <f>IF($A293="","",IFERROR(LOOKUP(2,1/((出库单!$D$4:$D$4003=$A293)*(出库单!$T$4:$T$4003="正常")),出库单!$C$4:$C$4003),""))</f>
        <v/>
      </c>
      <c r="O293" s="28">
        <f>IF($A293="","",IF($L293&lt;=0,"",IF($N293="",IFERROR(账期止-LOOKUP(2,1/(入库单!$G$4:$G$2503=$A293),入库单!$C$4:$C$2503),""),账期止-$N293)))</f>
        <v/>
      </c>
      <c r="P293" s="17" t="n"/>
    </row>
    <row r="294">
      <c r="A294" s="17" t="inlineStr">
        <is>
          <t>JH0291</t>
        </is>
      </c>
      <c r="B294" s="17" t="inlineStr">
        <is>
          <t>其他</t>
        </is>
      </c>
      <c r="C294" s="17" t="inlineStr">
        <is>
          <t>安装辅材</t>
        </is>
      </c>
      <c r="D294" s="17" t="inlineStr">
        <is>
          <t>H钢200  12米/支</t>
        </is>
      </c>
      <c r="E294" s="17" t="inlineStr">
        <is>
          <t>米</t>
        </is>
      </c>
      <c r="F294" s="17" t="inlineStr">
        <is>
          <t>否</t>
        </is>
      </c>
      <c r="G294" s="23" t="n"/>
      <c r="H294" s="24">
        <f>IF($A294="","",IFERROR(LOOKUP(2,1/((入库单!$G$4:$G$2503=$A294)*(入库单!$Y$4:$Y$2503="正常")*(入库单!$L$4:$L$2503&gt;0)),入库单!$D$4:$D$2503),""))</f>
        <v/>
      </c>
      <c r="I294" s="25">
        <f>IF($A294="","",IFERROR(LOOKUP(2,1/((入库单!$G$4:$G$2503=$A294)*(入库单!$Y$4:$Y$2503="正常")*(入库单!$L$4:$L$2503&gt;0)),入库单!$L$4:$L$2503),0))</f>
        <v/>
      </c>
      <c r="J294" s="26">
        <f>IF($A294="","",IF($H294="A国内",ROUND($I294*倍数A*汇率,0),IF($H294="B当地",ROUND($I294*系数B,0),0)))</f>
        <v/>
      </c>
      <c r="K294" s="24">
        <f>IF($A294="","",IF(COUNTIFS(入库单!$G$4:$G$2503,$A294,入库单!$X$4:$X$2503,"待补价")&gt;0,"待补价",IF(COUNTIFS(入库单!$G$4:$G$2503,$A294,入库单!$X$4:$X$2503,"暂估")&gt;0,"暂估",IF($I294=0,"没有进价","正常"))))</f>
        <v/>
      </c>
      <c r="L294" s="27">
        <f>IF($A294="","",IFERROR(VLOOKUP($A294,库存台账!$A$5:$Y$1204,24,0),0))</f>
        <v/>
      </c>
      <c r="M294" s="26">
        <f>IF($A294="","",IFERROR(VLOOKUP($A294,库存台账!$A$5:$Y$1204,25,0),0))</f>
        <v/>
      </c>
      <c r="N294" s="19">
        <f>IF($A294="","",IFERROR(LOOKUP(2,1/((出库单!$D$4:$D$4003=$A294)*(出库单!$T$4:$T$4003="正常")),出库单!$C$4:$C$4003),""))</f>
        <v/>
      </c>
      <c r="O294" s="28">
        <f>IF($A294="","",IF($L294&lt;=0,"",IF($N294="",IFERROR(账期止-LOOKUP(2,1/(入库单!$G$4:$G$2503=$A294),入库单!$C$4:$C$2503),""),账期止-$N294)))</f>
        <v/>
      </c>
      <c r="P294" s="17" t="n"/>
    </row>
    <row r="295">
      <c r="A295" s="17" t="inlineStr">
        <is>
          <t>JH0292</t>
        </is>
      </c>
      <c r="B295" s="17" t="inlineStr">
        <is>
          <t>磨矿介质</t>
        </is>
      </c>
      <c r="C295" s="17" t="inlineStr">
        <is>
          <t>钢球</t>
        </is>
      </c>
      <c r="D295" s="17" t="inlineStr">
        <is>
          <t>Φ60</t>
        </is>
      </c>
      <c r="E295" s="17" t="inlineStr">
        <is>
          <t>吨</t>
        </is>
      </c>
      <c r="F295" s="17" t="inlineStr">
        <is>
          <t>是</t>
        </is>
      </c>
      <c r="G295" s="23" t="n"/>
      <c r="H295" s="24">
        <f>IF($A295="","",IFERROR(LOOKUP(2,1/((入库单!$G$4:$G$2503=$A295)*(入库单!$Y$4:$Y$2503="正常")*(入库单!$L$4:$L$2503&gt;0)),入库单!$D$4:$D$2503),""))</f>
        <v/>
      </c>
      <c r="I295" s="25">
        <f>IF($A295="","",IFERROR(LOOKUP(2,1/((入库单!$G$4:$G$2503=$A295)*(入库单!$Y$4:$Y$2503="正常")*(入库单!$L$4:$L$2503&gt;0)),入库单!$L$4:$L$2503),0))</f>
        <v/>
      </c>
      <c r="J295" s="26">
        <f>IF($A295="","",IF($H295="A国内",ROUND($I295*倍数A*汇率,0),IF($H295="B当地",ROUND($I295*系数B,0),0)))</f>
        <v/>
      </c>
      <c r="K295" s="24">
        <f>IF($A295="","",IF(COUNTIFS(入库单!$G$4:$G$2503,$A295,入库单!$X$4:$X$2503,"待补价")&gt;0,"待补价",IF(COUNTIFS(入库单!$G$4:$G$2503,$A295,入库单!$X$4:$X$2503,"暂估")&gt;0,"暂估",IF($I295=0,"没有进价","正常"))))</f>
        <v/>
      </c>
      <c r="L295" s="27">
        <f>IF($A295="","",IFERROR(VLOOKUP($A295,库存台账!$A$5:$Y$1204,24,0),0))</f>
        <v/>
      </c>
      <c r="M295" s="26">
        <f>IF($A295="","",IFERROR(VLOOKUP($A295,库存台账!$A$5:$Y$1204,25,0),0))</f>
        <v/>
      </c>
      <c r="N295" s="19">
        <f>IF($A295="","",IFERROR(LOOKUP(2,1/((出库单!$D$4:$D$4003=$A295)*(出库单!$T$4:$T$4003="正常")),出库单!$C$4:$C$4003),""))</f>
        <v/>
      </c>
      <c r="O295" s="28">
        <f>IF($A295="","",IF($L295&lt;=0,"",IF($N295="",IFERROR(账期止-LOOKUP(2,1/(入库单!$G$4:$G$2503=$A295),入库单!$C$4:$C$2503),""),账期止-$N295)))</f>
        <v/>
      </c>
      <c r="P295" s="17" t="n"/>
    </row>
    <row r="296">
      <c r="A296" s="17" t="inlineStr">
        <is>
          <t>JH0293</t>
        </is>
      </c>
      <c r="B296" s="17" t="inlineStr">
        <is>
          <t>磨矿介质</t>
        </is>
      </c>
      <c r="C296" s="17" t="inlineStr">
        <is>
          <t>钢球</t>
        </is>
      </c>
      <c r="D296" s="17" t="inlineStr">
        <is>
          <t>Φ100</t>
        </is>
      </c>
      <c r="E296" s="17" t="inlineStr">
        <is>
          <t>吨</t>
        </is>
      </c>
      <c r="F296" s="17" t="inlineStr">
        <is>
          <t>是</t>
        </is>
      </c>
      <c r="G296" s="23" t="n"/>
      <c r="H296" s="24">
        <f>IF($A296="","",IFERROR(LOOKUP(2,1/((入库单!$G$4:$G$2503=$A296)*(入库单!$Y$4:$Y$2503="正常")*(入库单!$L$4:$L$2503&gt;0)),入库单!$D$4:$D$2503),""))</f>
        <v/>
      </c>
      <c r="I296" s="25">
        <f>IF($A296="","",IFERROR(LOOKUP(2,1/((入库单!$G$4:$G$2503=$A296)*(入库单!$Y$4:$Y$2503="正常")*(入库单!$L$4:$L$2503&gt;0)),入库单!$L$4:$L$2503),0))</f>
        <v/>
      </c>
      <c r="J296" s="26">
        <f>IF($A296="","",IF($H296="A国内",ROUND($I296*倍数A*汇率,0),IF($H296="B当地",ROUND($I296*系数B,0),0)))</f>
        <v/>
      </c>
      <c r="K296" s="24">
        <f>IF($A296="","",IF(COUNTIFS(入库单!$G$4:$G$2503,$A296,入库单!$X$4:$X$2503,"待补价")&gt;0,"待补价",IF(COUNTIFS(入库单!$G$4:$G$2503,$A296,入库单!$X$4:$X$2503,"暂估")&gt;0,"暂估",IF($I296=0,"没有进价","正常"))))</f>
        <v/>
      </c>
      <c r="L296" s="27">
        <f>IF($A296="","",IFERROR(VLOOKUP($A296,库存台账!$A$5:$Y$1204,24,0),0))</f>
        <v/>
      </c>
      <c r="M296" s="26">
        <f>IF($A296="","",IFERROR(VLOOKUP($A296,库存台账!$A$5:$Y$1204,25,0),0))</f>
        <v/>
      </c>
      <c r="N296" s="19">
        <f>IF($A296="","",IFERROR(LOOKUP(2,1/((出库单!$D$4:$D$4003=$A296)*(出库单!$T$4:$T$4003="正常")),出库单!$C$4:$C$4003),""))</f>
        <v/>
      </c>
      <c r="O296" s="28">
        <f>IF($A296="","",IF($L296&lt;=0,"",IF($N296="",IFERROR(账期止-LOOKUP(2,1/(入库单!$G$4:$G$2503=$A296),入库单!$C$4:$C$2503),""),账期止-$N296)))</f>
        <v/>
      </c>
      <c r="P296" s="17" t="n"/>
    </row>
    <row r="297">
      <c r="A297" s="17" t="inlineStr">
        <is>
          <t>JH0294</t>
        </is>
      </c>
      <c r="B297" s="17" t="inlineStr">
        <is>
          <t>机械设备</t>
        </is>
      </c>
      <c r="C297" s="17" t="inlineStr">
        <is>
          <t>浮选机9-8号</t>
        </is>
      </c>
      <c r="D297" s="17" t="inlineStr">
        <is>
          <t>XCF43</t>
        </is>
      </c>
      <c r="E297" s="17" t="inlineStr">
        <is>
          <t>台</t>
        </is>
      </c>
      <c r="F297" s="17" t="inlineStr">
        <is>
          <t>否</t>
        </is>
      </c>
      <c r="G297" s="23" t="n"/>
      <c r="H297" s="24">
        <f>IF($A297="","",IFERROR(LOOKUP(2,1/((入库单!$G$4:$G$2503=$A297)*(入库单!$Y$4:$Y$2503="正常")*(入库单!$L$4:$L$2503&gt;0)),入库单!$D$4:$D$2503),""))</f>
        <v/>
      </c>
      <c r="I297" s="25">
        <f>IF($A297="","",IFERROR(LOOKUP(2,1/((入库单!$G$4:$G$2503=$A297)*(入库单!$Y$4:$Y$2503="正常")*(入库单!$L$4:$L$2503&gt;0)),入库单!$L$4:$L$2503),0))</f>
        <v/>
      </c>
      <c r="J297" s="26">
        <f>IF($A297="","",IF($H297="A国内",ROUND($I297*倍数A*汇率,0),IF($H297="B当地",ROUND($I297*系数B,0),0)))</f>
        <v/>
      </c>
      <c r="K297" s="24">
        <f>IF($A297="","",IF(COUNTIFS(入库单!$G$4:$G$2503,$A297,入库单!$X$4:$X$2503,"待补价")&gt;0,"待补价",IF(COUNTIFS(入库单!$G$4:$G$2503,$A297,入库单!$X$4:$X$2503,"暂估")&gt;0,"暂估",IF($I297=0,"没有进价","正常"))))</f>
        <v/>
      </c>
      <c r="L297" s="27">
        <f>IF($A297="","",IFERROR(VLOOKUP($A297,库存台账!$A$5:$Y$1204,24,0),0))</f>
        <v/>
      </c>
      <c r="M297" s="26">
        <f>IF($A297="","",IFERROR(VLOOKUP($A297,库存台账!$A$5:$Y$1204,25,0),0))</f>
        <v/>
      </c>
      <c r="N297" s="19">
        <f>IF($A297="","",IFERROR(LOOKUP(2,1/((出库单!$D$4:$D$4003=$A297)*(出库单!$T$4:$T$4003="正常")),出库单!$C$4:$C$4003),""))</f>
        <v/>
      </c>
      <c r="O297" s="28">
        <f>IF($A297="","",IF($L297&lt;=0,"",IF($N297="",IFERROR(账期止-LOOKUP(2,1/(入库单!$G$4:$G$2503=$A297),入库单!$C$4:$C$2503),""),账期止-$N297)))</f>
        <v/>
      </c>
      <c r="P297" s="17" t="n"/>
    </row>
    <row r="298">
      <c r="A298" s="17" t="inlineStr">
        <is>
          <t>JH0295</t>
        </is>
      </c>
      <c r="B298" s="17" t="inlineStr">
        <is>
          <t>机械设备</t>
        </is>
      </c>
      <c r="C298" s="17" t="inlineStr">
        <is>
          <t>浮选机9-8号</t>
        </is>
      </c>
      <c r="D298" s="17" t="inlineStr">
        <is>
          <t>KYF43</t>
        </is>
      </c>
      <c r="E298" s="17" t="inlineStr">
        <is>
          <t>台</t>
        </is>
      </c>
      <c r="F298" s="17" t="inlineStr">
        <is>
          <t>否</t>
        </is>
      </c>
      <c r="G298" s="23" t="n"/>
      <c r="H298" s="24">
        <f>IF($A298="","",IFERROR(LOOKUP(2,1/((入库单!$G$4:$G$2503=$A298)*(入库单!$Y$4:$Y$2503="正常")*(入库单!$L$4:$L$2503&gt;0)),入库单!$D$4:$D$2503),""))</f>
        <v/>
      </c>
      <c r="I298" s="25">
        <f>IF($A298="","",IFERROR(LOOKUP(2,1/((入库单!$G$4:$G$2503=$A298)*(入库单!$Y$4:$Y$2503="正常")*(入库单!$L$4:$L$2503&gt;0)),入库单!$L$4:$L$2503),0))</f>
        <v/>
      </c>
      <c r="J298" s="26">
        <f>IF($A298="","",IF($H298="A国内",ROUND($I298*倍数A*汇率,0),IF($H298="B当地",ROUND($I298*系数B,0),0)))</f>
        <v/>
      </c>
      <c r="K298" s="24">
        <f>IF($A298="","",IF(COUNTIFS(入库单!$G$4:$G$2503,$A298,入库单!$X$4:$X$2503,"待补价")&gt;0,"待补价",IF(COUNTIFS(入库单!$G$4:$G$2503,$A298,入库单!$X$4:$X$2503,"暂估")&gt;0,"暂估",IF($I298=0,"没有进价","正常"))))</f>
        <v/>
      </c>
      <c r="L298" s="27">
        <f>IF($A298="","",IFERROR(VLOOKUP($A298,库存台账!$A$5:$Y$1204,24,0),0))</f>
        <v/>
      </c>
      <c r="M298" s="26">
        <f>IF($A298="","",IFERROR(VLOOKUP($A298,库存台账!$A$5:$Y$1204,25,0),0))</f>
        <v/>
      </c>
      <c r="N298" s="19">
        <f>IF($A298="","",IFERROR(LOOKUP(2,1/((出库单!$D$4:$D$4003=$A298)*(出库单!$T$4:$T$4003="正常")),出库单!$C$4:$C$4003),""))</f>
        <v/>
      </c>
      <c r="O298" s="28">
        <f>IF($A298="","",IF($L298&lt;=0,"",IF($N298="",IFERROR(账期止-LOOKUP(2,1/(入库单!$G$4:$G$2503=$A298),入库单!$C$4:$C$2503),""),账期止-$N298)))</f>
        <v/>
      </c>
      <c r="P298" s="17" t="n"/>
    </row>
    <row r="299">
      <c r="A299" s="17" t="inlineStr">
        <is>
          <t>JH0296</t>
        </is>
      </c>
      <c r="B299" s="17" t="inlineStr">
        <is>
          <t>电缆电气</t>
        </is>
      </c>
      <c r="C299" s="17" t="inlineStr">
        <is>
          <t>电机11kw-8</t>
        </is>
      </c>
      <c r="D299" s="17" t="inlineStr"/>
      <c r="E299" s="17" t="inlineStr">
        <is>
          <t>台</t>
        </is>
      </c>
      <c r="F299" s="17" t="inlineStr">
        <is>
          <t>否</t>
        </is>
      </c>
      <c r="G299" s="23" t="n"/>
      <c r="H299" s="24">
        <f>IF($A299="","",IFERROR(LOOKUP(2,1/((入库单!$G$4:$G$2503=$A299)*(入库单!$Y$4:$Y$2503="正常")*(入库单!$L$4:$L$2503&gt;0)),入库单!$D$4:$D$2503),""))</f>
        <v/>
      </c>
      <c r="I299" s="25">
        <f>IF($A299="","",IFERROR(LOOKUP(2,1/((入库单!$G$4:$G$2503=$A299)*(入库单!$Y$4:$Y$2503="正常")*(入库单!$L$4:$L$2503&gt;0)),入库单!$L$4:$L$2503),0))</f>
        <v/>
      </c>
      <c r="J299" s="26">
        <f>IF($A299="","",IF($H299="A国内",ROUND($I299*倍数A*汇率,0),IF($H299="B当地",ROUND($I299*系数B,0),0)))</f>
        <v/>
      </c>
      <c r="K299" s="24">
        <f>IF($A299="","",IF(COUNTIFS(入库单!$G$4:$G$2503,$A299,入库单!$X$4:$X$2503,"待补价")&gt;0,"待补价",IF(COUNTIFS(入库单!$G$4:$G$2503,$A299,入库单!$X$4:$X$2503,"暂估")&gt;0,"暂估",IF($I299=0,"没有进价","正常"))))</f>
        <v/>
      </c>
      <c r="L299" s="27">
        <f>IF($A299="","",IFERROR(VLOOKUP($A299,库存台账!$A$5:$Y$1204,24,0),0))</f>
        <v/>
      </c>
      <c r="M299" s="26">
        <f>IF($A299="","",IFERROR(VLOOKUP($A299,库存台账!$A$5:$Y$1204,25,0),0))</f>
        <v/>
      </c>
      <c r="N299" s="19">
        <f>IF($A299="","",IFERROR(LOOKUP(2,1/((出库单!$D$4:$D$4003=$A299)*(出库单!$T$4:$T$4003="正常")),出库单!$C$4:$C$4003),""))</f>
        <v/>
      </c>
      <c r="O299" s="28">
        <f>IF($A299="","",IF($L299&lt;=0,"",IF($N299="",IFERROR(账期止-LOOKUP(2,1/(入库单!$G$4:$G$2503=$A299),入库单!$C$4:$C$2503),""),账期止-$N299)))</f>
        <v/>
      </c>
      <c r="P299" s="17" t="n"/>
    </row>
    <row r="300">
      <c r="A300" s="17" t="inlineStr">
        <is>
          <t>JH0297</t>
        </is>
      </c>
      <c r="B300" s="17" t="inlineStr">
        <is>
          <t>电缆电气</t>
        </is>
      </c>
      <c r="C300" s="17" t="inlineStr">
        <is>
          <t>电机15kw-6</t>
        </is>
      </c>
      <c r="D300" s="17" t="inlineStr"/>
      <c r="E300" s="17" t="inlineStr">
        <is>
          <t>台</t>
        </is>
      </c>
      <c r="F300" s="17" t="inlineStr">
        <is>
          <t>否</t>
        </is>
      </c>
      <c r="G300" s="23" t="n"/>
      <c r="H300" s="24">
        <f>IF($A300="","",IFERROR(LOOKUP(2,1/((入库单!$G$4:$G$2503=$A300)*(入库单!$Y$4:$Y$2503="正常")*(入库单!$L$4:$L$2503&gt;0)),入库单!$D$4:$D$2503),""))</f>
        <v/>
      </c>
      <c r="I300" s="25">
        <f>IF($A300="","",IFERROR(LOOKUP(2,1/((入库单!$G$4:$G$2503=$A300)*(入库单!$Y$4:$Y$2503="正常")*(入库单!$L$4:$L$2503&gt;0)),入库单!$L$4:$L$2503),0))</f>
        <v/>
      </c>
      <c r="J300" s="26">
        <f>IF($A300="","",IF($H300="A国内",ROUND($I300*倍数A*汇率,0),IF($H300="B当地",ROUND($I300*系数B,0),0)))</f>
        <v/>
      </c>
      <c r="K300" s="24">
        <f>IF($A300="","",IF(COUNTIFS(入库单!$G$4:$G$2503,$A300,入库单!$X$4:$X$2503,"待补价")&gt;0,"待补价",IF(COUNTIFS(入库单!$G$4:$G$2503,$A300,入库单!$X$4:$X$2503,"暂估")&gt;0,"暂估",IF($I300=0,"没有进价","正常"))))</f>
        <v/>
      </c>
      <c r="L300" s="27">
        <f>IF($A300="","",IFERROR(VLOOKUP($A300,库存台账!$A$5:$Y$1204,24,0),0))</f>
        <v/>
      </c>
      <c r="M300" s="26">
        <f>IF($A300="","",IFERROR(VLOOKUP($A300,库存台账!$A$5:$Y$1204,25,0),0))</f>
        <v/>
      </c>
      <c r="N300" s="19">
        <f>IF($A300="","",IFERROR(LOOKUP(2,1/((出库单!$D$4:$D$4003=$A300)*(出库单!$T$4:$T$4003="正常")),出库单!$C$4:$C$4003),""))</f>
        <v/>
      </c>
      <c r="O300" s="28">
        <f>IF($A300="","",IF($L300&lt;=0,"",IF($N300="",IFERROR(账期止-LOOKUP(2,1/(入库单!$G$4:$G$2503=$A300),入库单!$C$4:$C$2503),""),账期止-$N300)))</f>
        <v/>
      </c>
      <c r="P300" s="17" t="n"/>
    </row>
    <row r="301">
      <c r="A301" s="17" t="inlineStr">
        <is>
          <t>JH0298</t>
        </is>
      </c>
      <c r="B301" s="17" t="inlineStr">
        <is>
          <t>其他</t>
        </is>
      </c>
      <c r="C301" s="17" t="inlineStr">
        <is>
          <t>中间箱</t>
        </is>
      </c>
      <c r="D301" s="17" t="inlineStr"/>
      <c r="E301" s="17" t="inlineStr">
        <is>
          <t>套</t>
        </is>
      </c>
      <c r="F301" s="17" t="inlineStr">
        <is>
          <t>否</t>
        </is>
      </c>
      <c r="G301" s="23" t="n"/>
      <c r="H301" s="24">
        <f>IF($A301="","",IFERROR(LOOKUP(2,1/((入库单!$G$4:$G$2503=$A301)*(入库单!$Y$4:$Y$2503="正常")*(入库单!$L$4:$L$2503&gt;0)),入库单!$D$4:$D$2503),""))</f>
        <v/>
      </c>
      <c r="I301" s="25">
        <f>IF($A301="","",IFERROR(LOOKUP(2,1/((入库单!$G$4:$G$2503=$A301)*(入库单!$Y$4:$Y$2503="正常")*(入库单!$L$4:$L$2503&gt;0)),入库单!$L$4:$L$2503),0))</f>
        <v/>
      </c>
      <c r="J301" s="26">
        <f>IF($A301="","",IF($H301="A国内",ROUND($I301*倍数A*汇率,0),IF($H301="B当地",ROUND($I301*系数B,0),0)))</f>
        <v/>
      </c>
      <c r="K301" s="24">
        <f>IF($A301="","",IF(COUNTIFS(入库单!$G$4:$G$2503,$A301,入库单!$X$4:$X$2503,"待补价")&gt;0,"待补价",IF(COUNTIFS(入库单!$G$4:$G$2503,$A301,入库单!$X$4:$X$2503,"暂估")&gt;0,"暂估",IF($I301=0,"没有进价","正常"))))</f>
        <v/>
      </c>
      <c r="L301" s="27">
        <f>IF($A301="","",IFERROR(VLOOKUP($A301,库存台账!$A$5:$Y$1204,24,0),0))</f>
        <v/>
      </c>
      <c r="M301" s="26">
        <f>IF($A301="","",IFERROR(VLOOKUP($A301,库存台账!$A$5:$Y$1204,25,0),0))</f>
        <v/>
      </c>
      <c r="N301" s="19">
        <f>IF($A301="","",IFERROR(LOOKUP(2,1/((出库单!$D$4:$D$4003=$A301)*(出库单!$T$4:$T$4003="正常")),出库单!$C$4:$C$4003),""))</f>
        <v/>
      </c>
      <c r="O301" s="28">
        <f>IF($A301="","",IF($L301&lt;=0,"",IF($N301="",IFERROR(账期止-LOOKUP(2,1/(入库单!$G$4:$G$2503=$A301),入库单!$C$4:$C$2503),""),账期止-$N301)))</f>
        <v/>
      </c>
      <c r="P301" s="17" t="n"/>
    </row>
    <row r="302">
      <c r="A302" s="17" t="inlineStr">
        <is>
          <t>JH0299</t>
        </is>
      </c>
      <c r="B302" s="17" t="inlineStr">
        <is>
          <t>其他</t>
        </is>
      </c>
      <c r="C302" s="17" t="inlineStr">
        <is>
          <t>尾矿箱</t>
        </is>
      </c>
      <c r="D302" s="17" t="inlineStr"/>
      <c r="E302" s="17" t="inlineStr">
        <is>
          <t>套</t>
        </is>
      </c>
      <c r="F302" s="17" t="inlineStr">
        <is>
          <t>否</t>
        </is>
      </c>
      <c r="G302" s="23" t="n"/>
      <c r="H302" s="24">
        <f>IF($A302="","",IFERROR(LOOKUP(2,1/((入库单!$G$4:$G$2503=$A302)*(入库单!$Y$4:$Y$2503="正常")*(入库单!$L$4:$L$2503&gt;0)),入库单!$D$4:$D$2503),""))</f>
        <v/>
      </c>
      <c r="I302" s="25">
        <f>IF($A302="","",IFERROR(LOOKUP(2,1/((入库单!$G$4:$G$2503=$A302)*(入库单!$Y$4:$Y$2503="正常")*(入库单!$L$4:$L$2503&gt;0)),入库单!$L$4:$L$2503),0))</f>
        <v/>
      </c>
      <c r="J302" s="26">
        <f>IF($A302="","",IF($H302="A国内",ROUND($I302*倍数A*汇率,0),IF($H302="B当地",ROUND($I302*系数B,0),0)))</f>
        <v/>
      </c>
      <c r="K302" s="24">
        <f>IF($A302="","",IF(COUNTIFS(入库单!$G$4:$G$2503,$A302,入库单!$X$4:$X$2503,"待补价")&gt;0,"待补价",IF(COUNTIFS(入库单!$G$4:$G$2503,$A302,入库单!$X$4:$X$2503,"暂估")&gt;0,"暂估",IF($I302=0,"没有进价","正常"))))</f>
        <v/>
      </c>
      <c r="L302" s="27">
        <f>IF($A302="","",IFERROR(VLOOKUP($A302,库存台账!$A$5:$Y$1204,24,0),0))</f>
        <v/>
      </c>
      <c r="M302" s="26">
        <f>IF($A302="","",IFERROR(VLOOKUP($A302,库存台账!$A$5:$Y$1204,25,0),0))</f>
        <v/>
      </c>
      <c r="N302" s="19">
        <f>IF($A302="","",IFERROR(LOOKUP(2,1/((出库单!$D$4:$D$4003=$A302)*(出库单!$T$4:$T$4003="正常")),出库单!$C$4:$C$4003),""))</f>
        <v/>
      </c>
      <c r="O302" s="28">
        <f>IF($A302="","",IF($L302&lt;=0,"",IF($N302="",IFERROR(账期止-LOOKUP(2,1/(入库单!$G$4:$G$2503=$A302),入库单!$C$4:$C$2503),""),账期止-$N302)))</f>
        <v/>
      </c>
      <c r="P302" s="17" t="n"/>
    </row>
    <row r="303">
      <c r="A303" s="17" t="inlineStr">
        <is>
          <t>JH0300</t>
        </is>
      </c>
      <c r="B303" s="17" t="inlineStr">
        <is>
          <t>五金管件</t>
        </is>
      </c>
      <c r="C303" s="17" t="inlineStr">
        <is>
          <t>螺栓12x40</t>
        </is>
      </c>
      <c r="D303" s="17" t="inlineStr"/>
      <c r="E303" s="17" t="inlineStr">
        <is>
          <t>套</t>
        </is>
      </c>
      <c r="F303" s="17" t="inlineStr">
        <is>
          <t>否</t>
        </is>
      </c>
      <c r="G303" s="23" t="n"/>
      <c r="H303" s="24">
        <f>IF($A303="","",IFERROR(LOOKUP(2,1/((入库单!$G$4:$G$2503=$A303)*(入库单!$Y$4:$Y$2503="正常")*(入库单!$L$4:$L$2503&gt;0)),入库单!$D$4:$D$2503),""))</f>
        <v/>
      </c>
      <c r="I303" s="25">
        <f>IF($A303="","",IFERROR(LOOKUP(2,1/((入库单!$G$4:$G$2503=$A303)*(入库单!$Y$4:$Y$2503="正常")*(入库单!$L$4:$L$2503&gt;0)),入库单!$L$4:$L$2503),0))</f>
        <v/>
      </c>
      <c r="J303" s="26">
        <f>IF($A303="","",IF($H303="A国内",ROUND($I303*倍数A*汇率,0),IF($H303="B当地",ROUND($I303*系数B,0),0)))</f>
        <v/>
      </c>
      <c r="K303" s="24">
        <f>IF($A303="","",IF(COUNTIFS(入库单!$G$4:$G$2503,$A303,入库单!$X$4:$X$2503,"待补价")&gt;0,"待补价",IF(COUNTIFS(入库单!$G$4:$G$2503,$A303,入库单!$X$4:$X$2503,"暂估")&gt;0,"暂估",IF($I303=0,"没有进价","正常"))))</f>
        <v/>
      </c>
      <c r="L303" s="27">
        <f>IF($A303="","",IFERROR(VLOOKUP($A303,库存台账!$A$5:$Y$1204,24,0),0))</f>
        <v/>
      </c>
      <c r="M303" s="26">
        <f>IF($A303="","",IFERROR(VLOOKUP($A303,库存台账!$A$5:$Y$1204,25,0),0))</f>
        <v/>
      </c>
      <c r="N303" s="19">
        <f>IF($A303="","",IFERROR(LOOKUP(2,1/((出库单!$D$4:$D$4003=$A303)*(出库单!$T$4:$T$4003="正常")),出库单!$C$4:$C$4003),""))</f>
        <v/>
      </c>
      <c r="O303" s="28">
        <f>IF($A303="","",IF($L303&lt;=0,"",IF($N303="",IFERROR(账期止-LOOKUP(2,1/(入库单!$G$4:$G$2503=$A303),入库单!$C$4:$C$2503),""),账期止-$N303)))</f>
        <v/>
      </c>
      <c r="P303" s="17" t="n"/>
    </row>
    <row r="304">
      <c r="A304" s="17" t="inlineStr">
        <is>
          <t>JH0301</t>
        </is>
      </c>
      <c r="B304" s="17" t="inlineStr">
        <is>
          <t>五金管件</t>
        </is>
      </c>
      <c r="C304" s="17" t="inlineStr">
        <is>
          <t>螺栓16x50</t>
        </is>
      </c>
      <c r="D304" s="17" t="inlineStr"/>
      <c r="E304" s="17" t="inlineStr">
        <is>
          <t>套</t>
        </is>
      </c>
      <c r="F304" s="17" t="inlineStr">
        <is>
          <t>否</t>
        </is>
      </c>
      <c r="G304" s="23" t="n"/>
      <c r="H304" s="24">
        <f>IF($A304="","",IFERROR(LOOKUP(2,1/((入库单!$G$4:$G$2503=$A304)*(入库单!$Y$4:$Y$2503="正常")*(入库单!$L$4:$L$2503&gt;0)),入库单!$D$4:$D$2503),""))</f>
        <v/>
      </c>
      <c r="I304" s="25">
        <f>IF($A304="","",IFERROR(LOOKUP(2,1/((入库单!$G$4:$G$2503=$A304)*(入库单!$Y$4:$Y$2503="正常")*(入库单!$L$4:$L$2503&gt;0)),入库单!$L$4:$L$2503),0))</f>
        <v/>
      </c>
      <c r="J304" s="26">
        <f>IF($A304="","",IF($H304="A国内",ROUND($I304*倍数A*汇率,0),IF($H304="B当地",ROUND($I304*系数B,0),0)))</f>
        <v/>
      </c>
      <c r="K304" s="24">
        <f>IF($A304="","",IF(COUNTIFS(入库单!$G$4:$G$2503,$A304,入库单!$X$4:$X$2503,"待补价")&gt;0,"待补价",IF(COUNTIFS(入库单!$G$4:$G$2503,$A304,入库单!$X$4:$X$2503,"暂估")&gt;0,"暂估",IF($I304=0,"没有进价","正常"))))</f>
        <v/>
      </c>
      <c r="L304" s="27">
        <f>IF($A304="","",IFERROR(VLOOKUP($A304,库存台账!$A$5:$Y$1204,24,0),0))</f>
        <v/>
      </c>
      <c r="M304" s="26">
        <f>IF($A304="","",IFERROR(VLOOKUP($A304,库存台账!$A$5:$Y$1204,25,0),0))</f>
        <v/>
      </c>
      <c r="N304" s="19">
        <f>IF($A304="","",IFERROR(LOOKUP(2,1/((出库单!$D$4:$D$4003=$A304)*(出库单!$T$4:$T$4003="正常")),出库单!$C$4:$C$4003),""))</f>
        <v/>
      </c>
      <c r="O304" s="28">
        <f>IF($A304="","",IF($L304&lt;=0,"",IF($N304="",IFERROR(账期止-LOOKUP(2,1/(入库单!$G$4:$G$2503=$A304),入库单!$C$4:$C$2503),""),账期止-$N304)))</f>
        <v/>
      </c>
      <c r="P304" s="17" t="n"/>
    </row>
    <row r="305">
      <c r="A305" s="17" t="inlineStr">
        <is>
          <t>JH0302</t>
        </is>
      </c>
      <c r="B305" s="17" t="inlineStr">
        <is>
          <t>五金管件</t>
        </is>
      </c>
      <c r="C305" s="17" t="inlineStr">
        <is>
          <t>螺栓20x80</t>
        </is>
      </c>
      <c r="D305" s="17" t="inlineStr"/>
      <c r="E305" s="17" t="inlineStr">
        <is>
          <t>套</t>
        </is>
      </c>
      <c r="F305" s="17" t="inlineStr">
        <is>
          <t>否</t>
        </is>
      </c>
      <c r="G305" s="23" t="n"/>
      <c r="H305" s="24">
        <f>IF($A305="","",IFERROR(LOOKUP(2,1/((入库单!$G$4:$G$2503=$A305)*(入库单!$Y$4:$Y$2503="正常")*(入库单!$L$4:$L$2503&gt;0)),入库单!$D$4:$D$2503),""))</f>
        <v/>
      </c>
      <c r="I305" s="25">
        <f>IF($A305="","",IFERROR(LOOKUP(2,1/((入库单!$G$4:$G$2503=$A305)*(入库单!$Y$4:$Y$2503="正常")*(入库单!$L$4:$L$2503&gt;0)),入库单!$L$4:$L$2503),0))</f>
        <v/>
      </c>
      <c r="J305" s="26">
        <f>IF($A305="","",IF($H305="A国内",ROUND($I305*倍数A*汇率,0),IF($H305="B当地",ROUND($I305*系数B,0),0)))</f>
        <v/>
      </c>
      <c r="K305" s="24">
        <f>IF($A305="","",IF(COUNTIFS(入库单!$G$4:$G$2503,$A305,入库单!$X$4:$X$2503,"待补价")&gt;0,"待补价",IF(COUNTIFS(入库单!$G$4:$G$2503,$A305,入库单!$X$4:$X$2503,"暂估")&gt;0,"暂估",IF($I305=0,"没有进价","正常"))))</f>
        <v/>
      </c>
      <c r="L305" s="27">
        <f>IF($A305="","",IFERROR(VLOOKUP($A305,库存台账!$A$5:$Y$1204,24,0),0))</f>
        <v/>
      </c>
      <c r="M305" s="26">
        <f>IF($A305="","",IFERROR(VLOOKUP($A305,库存台账!$A$5:$Y$1204,25,0),0))</f>
        <v/>
      </c>
      <c r="N305" s="19">
        <f>IF($A305="","",IFERROR(LOOKUP(2,1/((出库单!$D$4:$D$4003=$A305)*(出库单!$T$4:$T$4003="正常")),出库单!$C$4:$C$4003),""))</f>
        <v/>
      </c>
      <c r="O305" s="28">
        <f>IF($A305="","",IF($L305&lt;=0,"",IF($N305="",IFERROR(账期止-LOOKUP(2,1/(入库单!$G$4:$G$2503=$A305),入库单!$C$4:$C$2503),""),账期止-$N305)))</f>
        <v/>
      </c>
      <c r="P305" s="17" t="n"/>
    </row>
    <row r="306">
      <c r="A306" s="17" t="inlineStr">
        <is>
          <t>JH0303</t>
        </is>
      </c>
      <c r="B306" s="17" t="inlineStr">
        <is>
          <t>五金管件</t>
        </is>
      </c>
      <c r="C306" s="17" t="inlineStr">
        <is>
          <t>螺栓20x60</t>
        </is>
      </c>
      <c r="D306" s="17" t="inlineStr"/>
      <c r="E306" s="17" t="inlineStr">
        <is>
          <t>套</t>
        </is>
      </c>
      <c r="F306" s="17" t="inlineStr">
        <is>
          <t>否</t>
        </is>
      </c>
      <c r="G306" s="23" t="n"/>
      <c r="H306" s="24">
        <f>IF($A306="","",IFERROR(LOOKUP(2,1/((入库单!$G$4:$G$2503=$A306)*(入库单!$Y$4:$Y$2503="正常")*(入库单!$L$4:$L$2503&gt;0)),入库单!$D$4:$D$2503),""))</f>
        <v/>
      </c>
      <c r="I306" s="25">
        <f>IF($A306="","",IFERROR(LOOKUP(2,1/((入库单!$G$4:$G$2503=$A306)*(入库单!$Y$4:$Y$2503="正常")*(入库单!$L$4:$L$2503&gt;0)),入库单!$L$4:$L$2503),0))</f>
        <v/>
      </c>
      <c r="J306" s="26">
        <f>IF($A306="","",IF($H306="A国内",ROUND($I306*倍数A*汇率,0),IF($H306="B当地",ROUND($I306*系数B,0),0)))</f>
        <v/>
      </c>
      <c r="K306" s="24">
        <f>IF($A306="","",IF(COUNTIFS(入库单!$G$4:$G$2503,$A306,入库单!$X$4:$X$2503,"待补价")&gt;0,"待补价",IF(COUNTIFS(入库单!$G$4:$G$2503,$A306,入库单!$X$4:$X$2503,"暂估")&gt;0,"暂估",IF($I306=0,"没有进价","正常"))))</f>
        <v/>
      </c>
      <c r="L306" s="27">
        <f>IF($A306="","",IFERROR(VLOOKUP($A306,库存台账!$A$5:$Y$1204,24,0),0))</f>
        <v/>
      </c>
      <c r="M306" s="26">
        <f>IF($A306="","",IFERROR(VLOOKUP($A306,库存台账!$A$5:$Y$1204,25,0),0))</f>
        <v/>
      </c>
      <c r="N306" s="19">
        <f>IF($A306="","",IFERROR(LOOKUP(2,1/((出库单!$D$4:$D$4003=$A306)*(出库单!$T$4:$T$4003="正常")),出库单!$C$4:$C$4003),""))</f>
        <v/>
      </c>
      <c r="O306" s="28">
        <f>IF($A306="","",IF($L306&lt;=0,"",IF($N306="",IFERROR(账期止-LOOKUP(2,1/(入库单!$G$4:$G$2503=$A306),入库单!$C$4:$C$2503),""),账期止-$N306)))</f>
        <v/>
      </c>
      <c r="P306" s="17" t="n"/>
    </row>
    <row r="307">
      <c r="A307" s="17" t="inlineStr">
        <is>
          <t>JH0304</t>
        </is>
      </c>
      <c r="B307" s="17" t="inlineStr">
        <is>
          <t>机械设备</t>
        </is>
      </c>
      <c r="C307" s="17" t="inlineStr">
        <is>
          <t>浮选机4-3号</t>
        </is>
      </c>
      <c r="D307" s="17" t="inlineStr">
        <is>
          <t>KYF43</t>
        </is>
      </c>
      <c r="E307" s="17" t="inlineStr">
        <is>
          <t>台</t>
        </is>
      </c>
      <c r="F307" s="17" t="inlineStr">
        <is>
          <t>否</t>
        </is>
      </c>
      <c r="G307" s="23" t="n"/>
      <c r="H307" s="24">
        <f>IF($A307="","",IFERROR(LOOKUP(2,1/((入库单!$G$4:$G$2503=$A307)*(入库单!$Y$4:$Y$2503="正常")*(入库单!$L$4:$L$2503&gt;0)),入库单!$D$4:$D$2503),""))</f>
        <v/>
      </c>
      <c r="I307" s="25">
        <f>IF($A307="","",IFERROR(LOOKUP(2,1/((入库单!$G$4:$G$2503=$A307)*(入库单!$Y$4:$Y$2503="正常")*(入库单!$L$4:$L$2503&gt;0)),入库单!$L$4:$L$2503),0))</f>
        <v/>
      </c>
      <c r="J307" s="26">
        <f>IF($A307="","",IF($H307="A国内",ROUND($I307*倍数A*汇率,0),IF($H307="B当地",ROUND($I307*系数B,0),0)))</f>
        <v/>
      </c>
      <c r="K307" s="24">
        <f>IF($A307="","",IF(COUNTIFS(入库单!$G$4:$G$2503,$A307,入库单!$X$4:$X$2503,"待补价")&gt;0,"待补价",IF(COUNTIFS(入库单!$G$4:$G$2503,$A307,入库单!$X$4:$X$2503,"暂估")&gt;0,"暂估",IF($I307=0,"没有进价","正常"))))</f>
        <v/>
      </c>
      <c r="L307" s="27">
        <f>IF($A307="","",IFERROR(VLOOKUP($A307,库存台账!$A$5:$Y$1204,24,0),0))</f>
        <v/>
      </c>
      <c r="M307" s="26">
        <f>IF($A307="","",IFERROR(VLOOKUP($A307,库存台账!$A$5:$Y$1204,25,0),0))</f>
        <v/>
      </c>
      <c r="N307" s="19">
        <f>IF($A307="","",IFERROR(LOOKUP(2,1/((出库单!$D$4:$D$4003=$A307)*(出库单!$T$4:$T$4003="正常")),出库单!$C$4:$C$4003),""))</f>
        <v/>
      </c>
      <c r="O307" s="28">
        <f>IF($A307="","",IF($L307&lt;=0,"",IF($N307="",IFERROR(账期止-LOOKUP(2,1/(入库单!$G$4:$G$2503=$A307),入库单!$C$4:$C$2503),""),账期止-$N307)))</f>
        <v/>
      </c>
      <c r="P307" s="17" t="n"/>
    </row>
    <row r="308">
      <c r="A308" s="17" t="inlineStr">
        <is>
          <t>JH0305</t>
        </is>
      </c>
      <c r="B308" s="17" t="inlineStr">
        <is>
          <t>机械配件</t>
        </is>
      </c>
      <c r="C308" s="17" t="inlineStr">
        <is>
          <t>配件KYF总成</t>
        </is>
      </c>
      <c r="D308" s="17" t="inlineStr"/>
      <c r="E308" s="17" t="inlineStr">
        <is>
          <t>套</t>
        </is>
      </c>
      <c r="F308" s="17" t="inlineStr">
        <is>
          <t>否</t>
        </is>
      </c>
      <c r="G308" s="23" t="n"/>
      <c r="H308" s="24">
        <f>IF($A308="","",IFERROR(LOOKUP(2,1/((入库单!$G$4:$G$2503=$A308)*(入库单!$Y$4:$Y$2503="正常")*(入库单!$L$4:$L$2503&gt;0)),入库单!$D$4:$D$2503),""))</f>
        <v/>
      </c>
      <c r="I308" s="25">
        <f>IF($A308="","",IFERROR(LOOKUP(2,1/((入库单!$G$4:$G$2503=$A308)*(入库单!$Y$4:$Y$2503="正常")*(入库单!$L$4:$L$2503&gt;0)),入库单!$L$4:$L$2503),0))</f>
        <v/>
      </c>
      <c r="J308" s="26">
        <f>IF($A308="","",IF($H308="A国内",ROUND($I308*倍数A*汇率,0),IF($H308="B当地",ROUND($I308*系数B,0),0)))</f>
        <v/>
      </c>
      <c r="K308" s="24">
        <f>IF($A308="","",IF(COUNTIFS(入库单!$G$4:$G$2503,$A308,入库单!$X$4:$X$2503,"待补价")&gt;0,"待补价",IF(COUNTIFS(入库单!$G$4:$G$2503,$A308,入库单!$X$4:$X$2503,"暂估")&gt;0,"暂估",IF($I308=0,"没有进价","正常"))))</f>
        <v/>
      </c>
      <c r="L308" s="27">
        <f>IF($A308="","",IFERROR(VLOOKUP($A308,库存台账!$A$5:$Y$1204,24,0),0))</f>
        <v/>
      </c>
      <c r="M308" s="26">
        <f>IF($A308="","",IFERROR(VLOOKUP($A308,库存台账!$A$5:$Y$1204,25,0),0))</f>
        <v/>
      </c>
      <c r="N308" s="19">
        <f>IF($A308="","",IFERROR(LOOKUP(2,1/((出库单!$D$4:$D$4003=$A308)*(出库单!$T$4:$T$4003="正常")),出库单!$C$4:$C$4003),""))</f>
        <v/>
      </c>
      <c r="O308" s="28">
        <f>IF($A308="","",IF($L308&lt;=0,"",IF($N308="",IFERROR(账期止-LOOKUP(2,1/(入库单!$G$4:$G$2503=$A308),入库单!$C$4:$C$2503),""),账期止-$N308)))</f>
        <v/>
      </c>
      <c r="P308" s="17" t="n"/>
    </row>
    <row r="309">
      <c r="A309" s="17" t="inlineStr">
        <is>
          <t>JH0306</t>
        </is>
      </c>
      <c r="B309" s="17" t="inlineStr">
        <is>
          <t>机械配件</t>
        </is>
      </c>
      <c r="C309" s="17" t="inlineStr">
        <is>
          <t>配件XCF总成</t>
        </is>
      </c>
      <c r="D309" s="17" t="inlineStr"/>
      <c r="E309" s="17" t="inlineStr">
        <is>
          <t>套</t>
        </is>
      </c>
      <c r="F309" s="17" t="inlineStr">
        <is>
          <t>否</t>
        </is>
      </c>
      <c r="G309" s="23" t="n"/>
      <c r="H309" s="24">
        <f>IF($A309="","",IFERROR(LOOKUP(2,1/((入库单!$G$4:$G$2503=$A309)*(入库单!$Y$4:$Y$2503="正常")*(入库单!$L$4:$L$2503&gt;0)),入库单!$D$4:$D$2503),""))</f>
        <v/>
      </c>
      <c r="I309" s="25">
        <f>IF($A309="","",IFERROR(LOOKUP(2,1/((入库单!$G$4:$G$2503=$A309)*(入库单!$Y$4:$Y$2503="正常")*(入库单!$L$4:$L$2503&gt;0)),入库单!$L$4:$L$2503),0))</f>
        <v/>
      </c>
      <c r="J309" s="26">
        <f>IF($A309="","",IF($H309="A国内",ROUND($I309*倍数A*汇率,0),IF($H309="B当地",ROUND($I309*系数B,0),0)))</f>
        <v/>
      </c>
      <c r="K309" s="24">
        <f>IF($A309="","",IF(COUNTIFS(入库单!$G$4:$G$2503,$A309,入库单!$X$4:$X$2503,"待补价")&gt;0,"待补价",IF(COUNTIFS(入库单!$G$4:$G$2503,$A309,入库单!$X$4:$X$2503,"暂估")&gt;0,"暂估",IF($I309=0,"没有进价","正常"))))</f>
        <v/>
      </c>
      <c r="L309" s="27">
        <f>IF($A309="","",IFERROR(VLOOKUP($A309,库存台账!$A$5:$Y$1204,24,0),0))</f>
        <v/>
      </c>
      <c r="M309" s="26">
        <f>IF($A309="","",IFERROR(VLOOKUP($A309,库存台账!$A$5:$Y$1204,25,0),0))</f>
        <v/>
      </c>
      <c r="N309" s="19">
        <f>IF($A309="","",IFERROR(LOOKUP(2,1/((出库单!$D$4:$D$4003=$A309)*(出库单!$T$4:$T$4003="正常")),出库单!$C$4:$C$4003),""))</f>
        <v/>
      </c>
      <c r="O309" s="28">
        <f>IF($A309="","",IF($L309&lt;=0,"",IF($N309="",IFERROR(账期止-LOOKUP(2,1/(入库单!$G$4:$G$2503=$A309),入库单!$C$4:$C$2503),""),账期止-$N309)))</f>
        <v/>
      </c>
      <c r="P309" s="17" t="n"/>
    </row>
    <row r="310">
      <c r="A310" s="17" t="inlineStr">
        <is>
          <t>JH0307</t>
        </is>
      </c>
      <c r="B310" s="17" t="inlineStr">
        <is>
          <t>机械配件</t>
        </is>
      </c>
      <c r="C310" s="17" t="inlineStr">
        <is>
          <t>配件盖板叶轮</t>
        </is>
      </c>
      <c r="D310" s="17" t="inlineStr">
        <is>
          <t>KYF43</t>
        </is>
      </c>
      <c r="E310" s="17" t="inlineStr">
        <is>
          <t>套</t>
        </is>
      </c>
      <c r="F310" s="17" t="inlineStr">
        <is>
          <t>否</t>
        </is>
      </c>
      <c r="G310" s="23" t="n"/>
      <c r="H310" s="24">
        <f>IF($A310="","",IFERROR(LOOKUP(2,1/((入库单!$G$4:$G$2503=$A310)*(入库单!$Y$4:$Y$2503="正常")*(入库单!$L$4:$L$2503&gt;0)),入库单!$D$4:$D$2503),""))</f>
        <v/>
      </c>
      <c r="I310" s="25">
        <f>IF($A310="","",IFERROR(LOOKUP(2,1/((入库单!$G$4:$G$2503=$A310)*(入库单!$Y$4:$Y$2503="正常")*(入库单!$L$4:$L$2503&gt;0)),入库单!$L$4:$L$2503),0))</f>
        <v/>
      </c>
      <c r="J310" s="26">
        <f>IF($A310="","",IF($H310="A国内",ROUND($I310*倍数A*汇率,0),IF($H310="B当地",ROUND($I310*系数B,0),0)))</f>
        <v/>
      </c>
      <c r="K310" s="24">
        <f>IF($A310="","",IF(COUNTIFS(入库单!$G$4:$G$2503,$A310,入库单!$X$4:$X$2503,"待补价")&gt;0,"待补价",IF(COUNTIFS(入库单!$G$4:$G$2503,$A310,入库单!$X$4:$X$2503,"暂估")&gt;0,"暂估",IF($I310=0,"没有进价","正常"))))</f>
        <v/>
      </c>
      <c r="L310" s="27">
        <f>IF($A310="","",IFERROR(VLOOKUP($A310,库存台账!$A$5:$Y$1204,24,0),0))</f>
        <v/>
      </c>
      <c r="M310" s="26">
        <f>IF($A310="","",IFERROR(VLOOKUP($A310,库存台账!$A$5:$Y$1204,25,0),0))</f>
        <v/>
      </c>
      <c r="N310" s="19">
        <f>IF($A310="","",IFERROR(LOOKUP(2,1/((出库单!$D$4:$D$4003=$A310)*(出库单!$T$4:$T$4003="正常")),出库单!$C$4:$C$4003),""))</f>
        <v/>
      </c>
      <c r="O310" s="28">
        <f>IF($A310="","",IF($L310&lt;=0,"",IF($N310="",IFERROR(账期止-LOOKUP(2,1/(入库单!$G$4:$G$2503=$A310),入库单!$C$4:$C$2503),""),账期止-$N310)))</f>
        <v/>
      </c>
      <c r="P310" s="17" t="n"/>
    </row>
    <row r="311">
      <c r="A311" s="17" t="inlineStr">
        <is>
          <t>JH0308</t>
        </is>
      </c>
      <c r="B311" s="17" t="inlineStr">
        <is>
          <t>机械配件</t>
        </is>
      </c>
      <c r="C311" s="17" t="inlineStr">
        <is>
          <t>配件盖板叶轮</t>
        </is>
      </c>
      <c r="D311" s="17" t="inlineStr">
        <is>
          <t>大.小胶帽</t>
        </is>
      </c>
      <c r="E311" s="17" t="inlineStr">
        <is>
          <t>各6个</t>
        </is>
      </c>
      <c r="F311" s="17" t="inlineStr">
        <is>
          <t>否</t>
        </is>
      </c>
      <c r="G311" s="23" t="n"/>
      <c r="H311" s="24">
        <f>IF($A311="","",IFERROR(LOOKUP(2,1/((入库单!$G$4:$G$2503=$A311)*(入库单!$Y$4:$Y$2503="正常")*(入库单!$L$4:$L$2503&gt;0)),入库单!$D$4:$D$2503),""))</f>
        <v/>
      </c>
      <c r="I311" s="25">
        <f>IF($A311="","",IFERROR(LOOKUP(2,1/((入库单!$G$4:$G$2503=$A311)*(入库单!$Y$4:$Y$2503="正常")*(入库单!$L$4:$L$2503&gt;0)),入库单!$L$4:$L$2503),0))</f>
        <v/>
      </c>
      <c r="J311" s="26">
        <f>IF($A311="","",IF($H311="A国内",ROUND($I311*倍数A*汇率,0),IF($H311="B当地",ROUND($I311*系数B,0),0)))</f>
        <v/>
      </c>
      <c r="K311" s="24">
        <f>IF($A311="","",IF(COUNTIFS(入库单!$G$4:$G$2503,$A311,入库单!$X$4:$X$2503,"待补价")&gt;0,"待补价",IF(COUNTIFS(入库单!$G$4:$G$2503,$A311,入库单!$X$4:$X$2503,"暂估")&gt;0,"暂估",IF($I311=0,"没有进价","正常"))))</f>
        <v/>
      </c>
      <c r="L311" s="27">
        <f>IF($A311="","",IFERROR(VLOOKUP($A311,库存台账!$A$5:$Y$1204,24,0),0))</f>
        <v/>
      </c>
      <c r="M311" s="26">
        <f>IF($A311="","",IFERROR(VLOOKUP($A311,库存台账!$A$5:$Y$1204,25,0),0))</f>
        <v/>
      </c>
      <c r="N311" s="19">
        <f>IF($A311="","",IFERROR(LOOKUP(2,1/((出库单!$D$4:$D$4003=$A311)*(出库单!$T$4:$T$4003="正常")),出库单!$C$4:$C$4003),""))</f>
        <v/>
      </c>
      <c r="O311" s="28">
        <f>IF($A311="","",IF($L311&lt;=0,"",IF($N311="",IFERROR(账期止-LOOKUP(2,1/(入库单!$G$4:$G$2503=$A311),入库单!$C$4:$C$2503),""),账期止-$N311)))</f>
        <v/>
      </c>
      <c r="P311" s="17" t="n"/>
    </row>
    <row r="312">
      <c r="A312" s="17" t="inlineStr">
        <is>
          <t>JH0309</t>
        </is>
      </c>
      <c r="B312" s="17" t="inlineStr">
        <is>
          <t>机械配件</t>
        </is>
      </c>
      <c r="C312" s="17" t="inlineStr">
        <is>
          <t>配件盖板叶轮</t>
        </is>
      </c>
      <c r="D312" s="17" t="inlineStr">
        <is>
          <t>分配器</t>
        </is>
      </c>
      <c r="E312" s="17" t="inlineStr">
        <is>
          <t>个</t>
        </is>
      </c>
      <c r="F312" s="17" t="inlineStr">
        <is>
          <t>否</t>
        </is>
      </c>
      <c r="G312" s="23" t="n"/>
      <c r="H312" s="24">
        <f>IF($A312="","",IFERROR(LOOKUP(2,1/((入库单!$G$4:$G$2503=$A312)*(入库单!$Y$4:$Y$2503="正常")*(入库单!$L$4:$L$2503&gt;0)),入库单!$D$4:$D$2503),""))</f>
        <v/>
      </c>
      <c r="I312" s="25">
        <f>IF($A312="","",IFERROR(LOOKUP(2,1/((入库单!$G$4:$G$2503=$A312)*(入库单!$Y$4:$Y$2503="正常")*(入库单!$L$4:$L$2503&gt;0)),入库单!$L$4:$L$2503),0))</f>
        <v/>
      </c>
      <c r="J312" s="26">
        <f>IF($A312="","",IF($H312="A国内",ROUND($I312*倍数A*汇率,0),IF($H312="B当地",ROUND($I312*系数B,0),0)))</f>
        <v/>
      </c>
      <c r="K312" s="24">
        <f>IF($A312="","",IF(COUNTIFS(入库单!$G$4:$G$2503,$A312,入库单!$X$4:$X$2503,"待补价")&gt;0,"待补价",IF(COUNTIFS(入库单!$G$4:$G$2503,$A312,入库单!$X$4:$X$2503,"暂估")&gt;0,"暂估",IF($I312=0,"没有进价","正常"))))</f>
        <v/>
      </c>
      <c r="L312" s="27">
        <f>IF($A312="","",IFERROR(VLOOKUP($A312,库存台账!$A$5:$Y$1204,24,0),0))</f>
        <v/>
      </c>
      <c r="M312" s="26">
        <f>IF($A312="","",IFERROR(VLOOKUP($A312,库存台账!$A$5:$Y$1204,25,0),0))</f>
        <v/>
      </c>
      <c r="N312" s="19">
        <f>IF($A312="","",IFERROR(LOOKUP(2,1/((出库单!$D$4:$D$4003=$A312)*(出库单!$T$4:$T$4003="正常")),出库单!$C$4:$C$4003),""))</f>
        <v/>
      </c>
      <c r="O312" s="28">
        <f>IF($A312="","",IF($L312&lt;=0,"",IF($N312="",IFERROR(账期止-LOOKUP(2,1/(入库单!$G$4:$G$2503=$A312),入库单!$C$4:$C$2503),""),账期止-$N312)))</f>
        <v/>
      </c>
      <c r="P312" s="17" t="n"/>
    </row>
    <row r="313">
      <c r="A313" s="17" t="inlineStr">
        <is>
          <t>JH0310</t>
        </is>
      </c>
      <c r="B313" s="17" t="inlineStr">
        <is>
          <t>机械配件</t>
        </is>
      </c>
      <c r="C313" s="17" t="inlineStr">
        <is>
          <t>配件盖板叶轮</t>
        </is>
      </c>
      <c r="D313" s="17" t="inlineStr">
        <is>
          <t>XCF4³</t>
        </is>
      </c>
      <c r="E313" s="17" t="inlineStr">
        <is>
          <t>套</t>
        </is>
      </c>
      <c r="F313" s="17" t="inlineStr">
        <is>
          <t>否</t>
        </is>
      </c>
      <c r="G313" s="23" t="n"/>
      <c r="H313" s="24">
        <f>IF($A313="","",IFERROR(LOOKUP(2,1/((入库单!$G$4:$G$2503=$A313)*(入库单!$Y$4:$Y$2503="正常")*(入库单!$L$4:$L$2503&gt;0)),入库单!$D$4:$D$2503),""))</f>
        <v/>
      </c>
      <c r="I313" s="25">
        <f>IF($A313="","",IFERROR(LOOKUP(2,1/((入库单!$G$4:$G$2503=$A313)*(入库单!$Y$4:$Y$2503="正常")*(入库单!$L$4:$L$2503&gt;0)),入库单!$L$4:$L$2503),0))</f>
        <v/>
      </c>
      <c r="J313" s="26">
        <f>IF($A313="","",IF($H313="A国内",ROUND($I313*倍数A*汇率,0),IF($H313="B当地",ROUND($I313*系数B,0),0)))</f>
        <v/>
      </c>
      <c r="K313" s="24">
        <f>IF($A313="","",IF(COUNTIFS(入库单!$G$4:$G$2503,$A313,入库单!$X$4:$X$2503,"待补价")&gt;0,"待补价",IF(COUNTIFS(入库单!$G$4:$G$2503,$A313,入库单!$X$4:$X$2503,"暂估")&gt;0,"暂估",IF($I313=0,"没有进价","正常"))))</f>
        <v/>
      </c>
      <c r="L313" s="27">
        <f>IF($A313="","",IFERROR(VLOOKUP($A313,库存台账!$A$5:$Y$1204,24,0),0))</f>
        <v/>
      </c>
      <c r="M313" s="26">
        <f>IF($A313="","",IFERROR(VLOOKUP($A313,库存台账!$A$5:$Y$1204,25,0),0))</f>
        <v/>
      </c>
      <c r="N313" s="19">
        <f>IF($A313="","",IFERROR(LOOKUP(2,1/((出库单!$D$4:$D$4003=$A313)*(出库单!$T$4:$T$4003="正常")),出库单!$C$4:$C$4003),""))</f>
        <v/>
      </c>
      <c r="O313" s="28">
        <f>IF($A313="","",IF($L313&lt;=0,"",IF($N313="",IFERROR(账期止-LOOKUP(2,1/(入库单!$G$4:$G$2503=$A313),入库单!$C$4:$C$2503),""),账期止-$N313)))</f>
        <v/>
      </c>
      <c r="P313" s="17" t="n"/>
    </row>
    <row r="314">
      <c r="A314" s="17" t="inlineStr">
        <is>
          <t>JH0311</t>
        </is>
      </c>
      <c r="B314" s="17" t="inlineStr">
        <is>
          <t>机械配件</t>
        </is>
      </c>
      <c r="C314" s="17" t="inlineStr">
        <is>
          <t>配件盖板叶轮胶钉</t>
        </is>
      </c>
      <c r="D314" s="17" t="inlineStr"/>
      <c r="E314" s="17" t="inlineStr">
        <is>
          <t>袋</t>
        </is>
      </c>
      <c r="F314" s="17" t="inlineStr">
        <is>
          <t>否</t>
        </is>
      </c>
      <c r="G314" s="23" t="n"/>
      <c r="H314" s="24">
        <f>IF($A314="","",IFERROR(LOOKUP(2,1/((入库单!$G$4:$G$2503=$A314)*(入库单!$Y$4:$Y$2503="正常")*(入库单!$L$4:$L$2503&gt;0)),入库单!$D$4:$D$2503),""))</f>
        <v/>
      </c>
      <c r="I314" s="25">
        <f>IF($A314="","",IFERROR(LOOKUP(2,1/((入库单!$G$4:$G$2503=$A314)*(入库单!$Y$4:$Y$2503="正常")*(入库单!$L$4:$L$2503&gt;0)),入库单!$L$4:$L$2503),0))</f>
        <v/>
      </c>
      <c r="J314" s="26">
        <f>IF($A314="","",IF($H314="A国内",ROUND($I314*倍数A*汇率,0),IF($H314="B当地",ROUND($I314*系数B,0),0)))</f>
        <v/>
      </c>
      <c r="K314" s="24">
        <f>IF($A314="","",IF(COUNTIFS(入库单!$G$4:$G$2503,$A314,入库单!$X$4:$X$2503,"待补价")&gt;0,"待补价",IF(COUNTIFS(入库单!$G$4:$G$2503,$A314,入库单!$X$4:$X$2503,"暂估")&gt;0,"暂估",IF($I314=0,"没有进价","正常"))))</f>
        <v/>
      </c>
      <c r="L314" s="27">
        <f>IF($A314="","",IFERROR(VLOOKUP($A314,库存台账!$A$5:$Y$1204,24,0),0))</f>
        <v/>
      </c>
      <c r="M314" s="26">
        <f>IF($A314="","",IFERROR(VLOOKUP($A314,库存台账!$A$5:$Y$1204,25,0),0))</f>
        <v/>
      </c>
      <c r="N314" s="19">
        <f>IF($A314="","",IFERROR(LOOKUP(2,1/((出库单!$D$4:$D$4003=$A314)*(出库单!$T$4:$T$4003="正常")),出库单!$C$4:$C$4003),""))</f>
        <v/>
      </c>
      <c r="O314" s="28">
        <f>IF($A314="","",IF($L314&lt;=0,"",IF($N314="",IFERROR(账期止-LOOKUP(2,1/(入库单!$G$4:$G$2503=$A314),入库单!$C$4:$C$2503),""),账期止-$N314)))</f>
        <v/>
      </c>
      <c r="P314" s="17" t="n"/>
    </row>
    <row r="315">
      <c r="A315" s="17" t="inlineStr">
        <is>
          <t>JH0312</t>
        </is>
      </c>
      <c r="B315" s="17" t="inlineStr">
        <is>
          <t>其他</t>
        </is>
      </c>
      <c r="C315" s="17" t="inlineStr">
        <is>
          <t>泡沫槽</t>
        </is>
      </c>
      <c r="D315" s="17" t="inlineStr">
        <is>
          <t>KYF-XCF4³</t>
        </is>
      </c>
      <c r="E315" s="17" t="inlineStr">
        <is>
          <t>件</t>
        </is>
      </c>
      <c r="F315" s="17" t="inlineStr">
        <is>
          <t>否</t>
        </is>
      </c>
      <c r="G315" s="23" t="n"/>
      <c r="H315" s="24">
        <f>IF($A315="","",IFERROR(LOOKUP(2,1/((入库单!$G$4:$G$2503=$A315)*(入库单!$Y$4:$Y$2503="正常")*(入库单!$L$4:$L$2503&gt;0)),入库单!$D$4:$D$2503),""))</f>
        <v/>
      </c>
      <c r="I315" s="25">
        <f>IF($A315="","",IFERROR(LOOKUP(2,1/((入库单!$G$4:$G$2503=$A315)*(入库单!$Y$4:$Y$2503="正常")*(入库单!$L$4:$L$2503&gt;0)),入库单!$L$4:$L$2503),0))</f>
        <v/>
      </c>
      <c r="J315" s="26">
        <f>IF($A315="","",IF($H315="A国内",ROUND($I315*倍数A*汇率,0),IF($H315="B当地",ROUND($I315*系数B,0),0)))</f>
        <v/>
      </c>
      <c r="K315" s="24">
        <f>IF($A315="","",IF(COUNTIFS(入库单!$G$4:$G$2503,$A315,入库单!$X$4:$X$2503,"待补价")&gt;0,"待补价",IF(COUNTIFS(入库单!$G$4:$G$2503,$A315,入库单!$X$4:$X$2503,"暂估")&gt;0,"暂估",IF($I315=0,"没有进价","正常"))))</f>
        <v/>
      </c>
      <c r="L315" s="27">
        <f>IF($A315="","",IFERROR(VLOOKUP($A315,库存台账!$A$5:$Y$1204,24,0),0))</f>
        <v/>
      </c>
      <c r="M315" s="26">
        <f>IF($A315="","",IFERROR(VLOOKUP($A315,库存台账!$A$5:$Y$1204,25,0),0))</f>
        <v/>
      </c>
      <c r="N315" s="19">
        <f>IF($A315="","",IFERROR(LOOKUP(2,1/((出库单!$D$4:$D$4003=$A315)*(出库单!$T$4:$T$4003="正常")),出库单!$C$4:$C$4003),""))</f>
        <v/>
      </c>
      <c r="O315" s="28">
        <f>IF($A315="","",IF($L315&lt;=0,"",IF($N315="",IFERROR(账期止-LOOKUP(2,1/(入库单!$G$4:$G$2503=$A315),入库单!$C$4:$C$2503),""),账期止-$N315)))</f>
        <v/>
      </c>
      <c r="P315" s="17" t="n"/>
    </row>
    <row r="316">
      <c r="A316" s="17" t="inlineStr">
        <is>
          <t>JH0313</t>
        </is>
      </c>
      <c r="B316" s="17" t="inlineStr">
        <is>
          <t>其他</t>
        </is>
      </c>
      <c r="C316" s="17" t="inlineStr">
        <is>
          <t>安装辅材</t>
        </is>
      </c>
      <c r="D316" s="17" t="inlineStr">
        <is>
          <t>H钢200*12米</t>
        </is>
      </c>
      <c r="E316" s="17" t="inlineStr">
        <is>
          <t>根</t>
        </is>
      </c>
      <c r="F316" s="17" t="inlineStr">
        <is>
          <t>否</t>
        </is>
      </c>
      <c r="G316" s="23" t="n"/>
      <c r="H316" s="24">
        <f>IF($A316="","",IFERROR(LOOKUP(2,1/((入库单!$G$4:$G$2503=$A316)*(入库单!$Y$4:$Y$2503="正常")*(入库单!$L$4:$L$2503&gt;0)),入库单!$D$4:$D$2503),""))</f>
        <v/>
      </c>
      <c r="I316" s="25">
        <f>IF($A316="","",IFERROR(LOOKUP(2,1/((入库单!$G$4:$G$2503=$A316)*(入库单!$Y$4:$Y$2503="正常")*(入库单!$L$4:$L$2503&gt;0)),入库单!$L$4:$L$2503),0))</f>
        <v/>
      </c>
      <c r="J316" s="26">
        <f>IF($A316="","",IF($H316="A国内",ROUND($I316*倍数A*汇率,0),IF($H316="B当地",ROUND($I316*系数B,0),0)))</f>
        <v/>
      </c>
      <c r="K316" s="24">
        <f>IF($A316="","",IF(COUNTIFS(入库单!$G$4:$G$2503,$A316,入库单!$X$4:$X$2503,"待补价")&gt;0,"待补价",IF(COUNTIFS(入库单!$G$4:$G$2503,$A316,入库单!$X$4:$X$2503,"暂估")&gt;0,"暂估",IF($I316=0,"没有进价","正常"))))</f>
        <v/>
      </c>
      <c r="L316" s="27">
        <f>IF($A316="","",IFERROR(VLOOKUP($A316,库存台账!$A$5:$Y$1204,24,0),0))</f>
        <v/>
      </c>
      <c r="M316" s="26">
        <f>IF($A316="","",IFERROR(VLOOKUP($A316,库存台账!$A$5:$Y$1204,25,0),0))</f>
        <v/>
      </c>
      <c r="N316" s="19">
        <f>IF($A316="","",IFERROR(LOOKUP(2,1/((出库单!$D$4:$D$4003=$A316)*(出库单!$T$4:$T$4003="正常")),出库单!$C$4:$C$4003),""))</f>
        <v/>
      </c>
      <c r="O316" s="28">
        <f>IF($A316="","",IF($L316&lt;=0,"",IF($N316="",IFERROR(账期止-LOOKUP(2,1/(入库单!$G$4:$G$2503=$A316),入库单!$C$4:$C$2503),""),账期止-$N316)))</f>
        <v/>
      </c>
      <c r="P316" s="17" t="n"/>
    </row>
    <row r="317">
      <c r="A317" s="17" t="inlineStr">
        <is>
          <t>JH0314</t>
        </is>
      </c>
      <c r="B317" s="17" t="inlineStr">
        <is>
          <t>钢材</t>
        </is>
      </c>
      <c r="C317" s="17" t="inlineStr">
        <is>
          <t>钢管</t>
        </is>
      </c>
      <c r="D317" s="17" t="inlineStr">
        <is>
          <t>φ219*8*10米</t>
        </is>
      </c>
      <c r="E317" s="17" t="inlineStr">
        <is>
          <t>米</t>
        </is>
      </c>
      <c r="F317" s="17" t="inlineStr">
        <is>
          <t>否</t>
        </is>
      </c>
      <c r="G317" s="23" t="n"/>
      <c r="H317" s="24">
        <f>IF($A317="","",IFERROR(LOOKUP(2,1/((入库单!$G$4:$G$2503=$A317)*(入库单!$Y$4:$Y$2503="正常")*(入库单!$L$4:$L$2503&gt;0)),入库单!$D$4:$D$2503),""))</f>
        <v/>
      </c>
      <c r="I317" s="25">
        <f>IF($A317="","",IFERROR(LOOKUP(2,1/((入库单!$G$4:$G$2503=$A317)*(入库单!$Y$4:$Y$2503="正常")*(入库单!$L$4:$L$2503&gt;0)),入库单!$L$4:$L$2503),0))</f>
        <v/>
      </c>
      <c r="J317" s="26">
        <f>IF($A317="","",IF($H317="A国内",ROUND($I317*倍数A*汇率,0),IF($H317="B当地",ROUND($I317*系数B,0),0)))</f>
        <v/>
      </c>
      <c r="K317" s="24">
        <f>IF($A317="","",IF(COUNTIFS(入库单!$G$4:$G$2503,$A317,入库单!$X$4:$X$2503,"待补价")&gt;0,"待补价",IF(COUNTIFS(入库单!$G$4:$G$2503,$A317,入库单!$X$4:$X$2503,"暂估")&gt;0,"暂估",IF($I317=0,"没有进价","正常"))))</f>
        <v/>
      </c>
      <c r="L317" s="27">
        <f>IF($A317="","",IFERROR(VLOOKUP($A317,库存台账!$A$5:$Y$1204,24,0),0))</f>
        <v/>
      </c>
      <c r="M317" s="26">
        <f>IF($A317="","",IFERROR(VLOOKUP($A317,库存台账!$A$5:$Y$1204,25,0),0))</f>
        <v/>
      </c>
      <c r="N317" s="19">
        <f>IF($A317="","",IFERROR(LOOKUP(2,1/((出库单!$D$4:$D$4003=$A317)*(出库单!$T$4:$T$4003="正常")),出库单!$C$4:$C$4003),""))</f>
        <v/>
      </c>
      <c r="O317" s="28">
        <f>IF($A317="","",IF($L317&lt;=0,"",IF($N317="",IFERROR(账期止-LOOKUP(2,1/(入库单!$G$4:$G$2503=$A317),入库单!$C$4:$C$2503),""),账期止-$N317)))</f>
        <v/>
      </c>
      <c r="P317" s="17" t="n"/>
    </row>
    <row r="318">
      <c r="A318" s="17" t="inlineStr">
        <is>
          <t>JH0315</t>
        </is>
      </c>
      <c r="B318" s="17" t="inlineStr">
        <is>
          <t>钢材</t>
        </is>
      </c>
      <c r="C318" s="17" t="inlineStr">
        <is>
          <t>钢管</t>
        </is>
      </c>
      <c r="D318" s="17" t="inlineStr">
        <is>
          <t>φ76</t>
        </is>
      </c>
      <c r="E318" s="17" t="inlineStr">
        <is>
          <t>米</t>
        </is>
      </c>
      <c r="F318" s="17" t="inlineStr">
        <is>
          <t>否</t>
        </is>
      </c>
      <c r="G318" s="23" t="n"/>
      <c r="H318" s="24">
        <f>IF($A318="","",IFERROR(LOOKUP(2,1/((入库单!$G$4:$G$2503=$A318)*(入库单!$Y$4:$Y$2503="正常")*(入库单!$L$4:$L$2503&gt;0)),入库单!$D$4:$D$2503),""))</f>
        <v/>
      </c>
      <c r="I318" s="25">
        <f>IF($A318="","",IFERROR(LOOKUP(2,1/((入库单!$G$4:$G$2503=$A318)*(入库单!$Y$4:$Y$2503="正常")*(入库单!$L$4:$L$2503&gt;0)),入库单!$L$4:$L$2503),0))</f>
        <v/>
      </c>
      <c r="J318" s="26">
        <f>IF($A318="","",IF($H318="A国内",ROUND($I318*倍数A*汇率,0),IF($H318="B当地",ROUND($I318*系数B,0),0)))</f>
        <v/>
      </c>
      <c r="K318" s="24">
        <f>IF($A318="","",IF(COUNTIFS(入库单!$G$4:$G$2503,$A318,入库单!$X$4:$X$2503,"待补价")&gt;0,"待补价",IF(COUNTIFS(入库单!$G$4:$G$2503,$A318,入库单!$X$4:$X$2503,"暂估")&gt;0,"暂估",IF($I318=0,"没有进价","正常"))))</f>
        <v/>
      </c>
      <c r="L318" s="27">
        <f>IF($A318="","",IFERROR(VLOOKUP($A318,库存台账!$A$5:$Y$1204,24,0),0))</f>
        <v/>
      </c>
      <c r="M318" s="26">
        <f>IF($A318="","",IFERROR(VLOOKUP($A318,库存台账!$A$5:$Y$1204,25,0),0))</f>
        <v/>
      </c>
      <c r="N318" s="19">
        <f>IF($A318="","",IFERROR(LOOKUP(2,1/((出库单!$D$4:$D$4003=$A318)*(出库单!$T$4:$T$4003="正常")),出库单!$C$4:$C$4003),""))</f>
        <v/>
      </c>
      <c r="O318" s="28">
        <f>IF($A318="","",IF($L318&lt;=0,"",IF($N318="",IFERROR(账期止-LOOKUP(2,1/(入库单!$G$4:$G$2503=$A318),入库单!$C$4:$C$2503),""),账期止-$N318)))</f>
        <v/>
      </c>
      <c r="P318" s="17" t="n"/>
    </row>
    <row r="319">
      <c r="A319" s="17" t="inlineStr">
        <is>
          <t>JH0316</t>
        </is>
      </c>
      <c r="B319" s="17" t="inlineStr">
        <is>
          <t>其他</t>
        </is>
      </c>
      <c r="C319" s="17" t="inlineStr">
        <is>
          <t>角铁</t>
        </is>
      </c>
      <c r="D319" s="17" t="inlineStr">
        <is>
          <t>70*6米</t>
        </is>
      </c>
      <c r="E319" s="17" t="inlineStr">
        <is>
          <t>米</t>
        </is>
      </c>
      <c r="F319" s="17" t="inlineStr">
        <is>
          <t>否</t>
        </is>
      </c>
      <c r="G319" s="23" t="n"/>
      <c r="H319" s="24">
        <f>IF($A319="","",IFERROR(LOOKUP(2,1/((入库单!$G$4:$G$2503=$A319)*(入库单!$Y$4:$Y$2503="正常")*(入库单!$L$4:$L$2503&gt;0)),入库单!$D$4:$D$2503),""))</f>
        <v/>
      </c>
      <c r="I319" s="25">
        <f>IF($A319="","",IFERROR(LOOKUP(2,1/((入库单!$G$4:$G$2503=$A319)*(入库单!$Y$4:$Y$2503="正常")*(入库单!$L$4:$L$2503&gt;0)),入库单!$L$4:$L$2503),0))</f>
        <v/>
      </c>
      <c r="J319" s="26">
        <f>IF($A319="","",IF($H319="A国内",ROUND($I319*倍数A*汇率,0),IF($H319="B当地",ROUND($I319*系数B,0),0)))</f>
        <v/>
      </c>
      <c r="K319" s="24">
        <f>IF($A319="","",IF(COUNTIFS(入库单!$G$4:$G$2503,$A319,入库单!$X$4:$X$2503,"待补价")&gt;0,"待补价",IF(COUNTIFS(入库单!$G$4:$G$2503,$A319,入库单!$X$4:$X$2503,"暂估")&gt;0,"暂估",IF($I319=0,"没有进价","正常"))))</f>
        <v/>
      </c>
      <c r="L319" s="27">
        <f>IF($A319="","",IFERROR(VLOOKUP($A319,库存台账!$A$5:$Y$1204,24,0),0))</f>
        <v/>
      </c>
      <c r="M319" s="26">
        <f>IF($A319="","",IFERROR(VLOOKUP($A319,库存台账!$A$5:$Y$1204,25,0),0))</f>
        <v/>
      </c>
      <c r="N319" s="19">
        <f>IF($A319="","",IFERROR(LOOKUP(2,1/((出库单!$D$4:$D$4003=$A319)*(出库单!$T$4:$T$4003="正常")),出库单!$C$4:$C$4003),""))</f>
        <v/>
      </c>
      <c r="O319" s="28">
        <f>IF($A319="","",IF($L319&lt;=0,"",IF($N319="",IFERROR(账期止-LOOKUP(2,1/(入库单!$G$4:$G$2503=$A319),入库单!$C$4:$C$2503),""),账期止-$N319)))</f>
        <v/>
      </c>
      <c r="P319" s="17" t="n"/>
    </row>
    <row r="320">
      <c r="A320" s="17" t="inlineStr">
        <is>
          <t>JH0317</t>
        </is>
      </c>
      <c r="B320" s="17" t="inlineStr">
        <is>
          <t>机械设备</t>
        </is>
      </c>
      <c r="C320" s="17" t="inlineStr">
        <is>
          <t>短头圆锥破碎机主体</t>
        </is>
      </c>
      <c r="D320" s="17" t="inlineStr">
        <is>
          <t>PYD-900</t>
        </is>
      </c>
      <c r="E320" s="17" t="inlineStr">
        <is>
          <t>台</t>
        </is>
      </c>
      <c r="F320" s="17" t="inlineStr">
        <is>
          <t>否</t>
        </is>
      </c>
      <c r="G320" s="23" t="n"/>
      <c r="H320" s="24">
        <f>IF($A320="","",IFERROR(LOOKUP(2,1/((入库单!$G$4:$G$2503=$A320)*(入库单!$Y$4:$Y$2503="正常")*(入库单!$L$4:$L$2503&gt;0)),入库单!$D$4:$D$2503),""))</f>
        <v/>
      </c>
      <c r="I320" s="25">
        <f>IF($A320="","",IFERROR(LOOKUP(2,1/((入库单!$G$4:$G$2503=$A320)*(入库单!$Y$4:$Y$2503="正常")*(入库单!$L$4:$L$2503&gt;0)),入库单!$L$4:$L$2503),0))</f>
        <v/>
      </c>
      <c r="J320" s="26">
        <f>IF($A320="","",IF($H320="A国内",ROUND($I320*倍数A*汇率,0),IF($H320="B当地",ROUND($I320*系数B,0),0)))</f>
        <v/>
      </c>
      <c r="K320" s="24">
        <f>IF($A320="","",IF(COUNTIFS(入库单!$G$4:$G$2503,$A320,入库单!$X$4:$X$2503,"待补价")&gt;0,"待补价",IF(COUNTIFS(入库单!$G$4:$G$2503,$A320,入库单!$X$4:$X$2503,"暂估")&gt;0,"暂估",IF($I320=0,"没有进价","正常"))))</f>
        <v/>
      </c>
      <c r="L320" s="27">
        <f>IF($A320="","",IFERROR(VLOOKUP($A320,库存台账!$A$5:$Y$1204,24,0),0))</f>
        <v/>
      </c>
      <c r="M320" s="26">
        <f>IF($A320="","",IFERROR(VLOOKUP($A320,库存台账!$A$5:$Y$1204,25,0),0))</f>
        <v/>
      </c>
      <c r="N320" s="19">
        <f>IF($A320="","",IFERROR(LOOKUP(2,1/((出库单!$D$4:$D$4003=$A320)*(出库单!$T$4:$T$4003="正常")),出库单!$C$4:$C$4003),""))</f>
        <v/>
      </c>
      <c r="O320" s="28">
        <f>IF($A320="","",IF($L320&lt;=0,"",IF($N320="",IFERROR(账期止-LOOKUP(2,1/(入库单!$G$4:$G$2503=$A320),入库单!$C$4:$C$2503),""),账期止-$N320)))</f>
        <v/>
      </c>
      <c r="P320" s="17" t="n"/>
    </row>
    <row r="321">
      <c r="A321" s="17" t="inlineStr">
        <is>
          <t>JH0318</t>
        </is>
      </c>
      <c r="B321" s="17" t="inlineStr">
        <is>
          <t>电缆电气</t>
        </is>
      </c>
      <c r="C321" s="17" t="inlineStr">
        <is>
          <t>启动柜</t>
        </is>
      </c>
      <c r="D321" s="17" t="inlineStr">
        <is>
          <t>PYD-900</t>
        </is>
      </c>
      <c r="E321" s="17" t="inlineStr">
        <is>
          <t>台</t>
        </is>
      </c>
      <c r="F321" s="17" t="inlineStr">
        <is>
          <t>否</t>
        </is>
      </c>
      <c r="G321" s="23" t="n"/>
      <c r="H321" s="24">
        <f>IF($A321="","",IFERROR(LOOKUP(2,1/((入库单!$G$4:$G$2503=$A321)*(入库单!$Y$4:$Y$2503="正常")*(入库单!$L$4:$L$2503&gt;0)),入库单!$D$4:$D$2503),""))</f>
        <v/>
      </c>
      <c r="I321" s="25">
        <f>IF($A321="","",IFERROR(LOOKUP(2,1/((入库单!$G$4:$G$2503=$A321)*(入库单!$Y$4:$Y$2503="正常")*(入库单!$L$4:$L$2503&gt;0)),入库单!$L$4:$L$2503),0))</f>
        <v/>
      </c>
      <c r="J321" s="26">
        <f>IF($A321="","",IF($H321="A国内",ROUND($I321*倍数A*汇率,0),IF($H321="B当地",ROUND($I321*系数B,0),0)))</f>
        <v/>
      </c>
      <c r="K321" s="24">
        <f>IF($A321="","",IF(COUNTIFS(入库单!$G$4:$G$2503,$A321,入库单!$X$4:$X$2503,"待补价")&gt;0,"待补价",IF(COUNTIFS(入库单!$G$4:$G$2503,$A321,入库单!$X$4:$X$2503,"暂估")&gt;0,"暂估",IF($I321=0,"没有进价","正常"))))</f>
        <v/>
      </c>
      <c r="L321" s="27">
        <f>IF($A321="","",IFERROR(VLOOKUP($A321,库存台账!$A$5:$Y$1204,24,0),0))</f>
        <v/>
      </c>
      <c r="M321" s="26">
        <f>IF($A321="","",IFERROR(VLOOKUP($A321,库存台账!$A$5:$Y$1204,25,0),0))</f>
        <v/>
      </c>
      <c r="N321" s="19">
        <f>IF($A321="","",IFERROR(LOOKUP(2,1/((出库单!$D$4:$D$4003=$A321)*(出库单!$T$4:$T$4003="正常")),出库单!$C$4:$C$4003),""))</f>
        <v/>
      </c>
      <c r="O321" s="28">
        <f>IF($A321="","",IF($L321&lt;=0,"",IF($N321="",IFERROR(账期止-LOOKUP(2,1/(入库单!$G$4:$G$2503=$A321),入库单!$C$4:$C$2503),""),账期止-$N321)))</f>
        <v/>
      </c>
      <c r="P321" s="17" t="n"/>
    </row>
    <row r="322">
      <c r="A322" s="17" t="inlineStr">
        <is>
          <t>JH0319</t>
        </is>
      </c>
      <c r="B322" s="17" t="inlineStr">
        <is>
          <t>电缆电气</t>
        </is>
      </c>
      <c r="C322" s="17" t="inlineStr">
        <is>
          <t>电机55KW-8</t>
        </is>
      </c>
      <c r="D322" s="17" t="inlineStr">
        <is>
          <t>PYD-900</t>
        </is>
      </c>
      <c r="E322" s="17" t="inlineStr">
        <is>
          <t>台</t>
        </is>
      </c>
      <c r="F322" s="17" t="inlineStr">
        <is>
          <t>否</t>
        </is>
      </c>
      <c r="G322" s="23" t="n"/>
      <c r="H322" s="24">
        <f>IF($A322="","",IFERROR(LOOKUP(2,1/((入库单!$G$4:$G$2503=$A322)*(入库单!$Y$4:$Y$2503="正常")*(入库单!$L$4:$L$2503&gt;0)),入库单!$D$4:$D$2503),""))</f>
        <v/>
      </c>
      <c r="I322" s="25">
        <f>IF($A322="","",IFERROR(LOOKUP(2,1/((入库单!$G$4:$G$2503=$A322)*(入库单!$Y$4:$Y$2503="正常")*(入库单!$L$4:$L$2503&gt;0)),入库单!$L$4:$L$2503),0))</f>
        <v/>
      </c>
      <c r="J322" s="26">
        <f>IF($A322="","",IF($H322="A国内",ROUND($I322*倍数A*汇率,0),IF($H322="B当地",ROUND($I322*系数B,0),0)))</f>
        <v/>
      </c>
      <c r="K322" s="24">
        <f>IF($A322="","",IF(COUNTIFS(入库单!$G$4:$G$2503,$A322,入库单!$X$4:$X$2503,"待补价")&gt;0,"待补价",IF(COUNTIFS(入库单!$G$4:$G$2503,$A322,入库单!$X$4:$X$2503,"暂估")&gt;0,"暂估",IF($I322=0,"没有进价","正常"))))</f>
        <v/>
      </c>
      <c r="L322" s="27">
        <f>IF($A322="","",IFERROR(VLOOKUP($A322,库存台账!$A$5:$Y$1204,24,0),0))</f>
        <v/>
      </c>
      <c r="M322" s="26">
        <f>IF($A322="","",IFERROR(VLOOKUP($A322,库存台账!$A$5:$Y$1204,25,0),0))</f>
        <v/>
      </c>
      <c r="N322" s="19">
        <f>IF($A322="","",IFERROR(LOOKUP(2,1/((出库单!$D$4:$D$4003=$A322)*(出库单!$T$4:$T$4003="正常")),出库单!$C$4:$C$4003),""))</f>
        <v/>
      </c>
      <c r="O322" s="28">
        <f>IF($A322="","",IF($L322&lt;=0,"",IF($N322="",IFERROR(账期止-LOOKUP(2,1/(入库单!$G$4:$G$2503=$A322),入库单!$C$4:$C$2503),""),账期止-$N322)))</f>
        <v/>
      </c>
      <c r="P322" s="17" t="n"/>
    </row>
    <row r="323">
      <c r="A323" s="17" t="inlineStr">
        <is>
          <t>JH0320</t>
        </is>
      </c>
      <c r="B323" s="17" t="inlineStr">
        <is>
          <t>电缆电气</t>
        </is>
      </c>
      <c r="C323" s="17" t="inlineStr">
        <is>
          <t>稀油站+电柜</t>
        </is>
      </c>
      <c r="D323" s="17" t="inlineStr">
        <is>
          <t>PYD-900</t>
        </is>
      </c>
      <c r="E323" s="17" t="inlineStr">
        <is>
          <t>套</t>
        </is>
      </c>
      <c r="F323" s="17" t="inlineStr">
        <is>
          <t>否</t>
        </is>
      </c>
      <c r="G323" s="23" t="n"/>
      <c r="H323" s="24">
        <f>IF($A323="","",IFERROR(LOOKUP(2,1/((入库单!$G$4:$G$2503=$A323)*(入库单!$Y$4:$Y$2503="正常")*(入库单!$L$4:$L$2503&gt;0)),入库单!$D$4:$D$2503),""))</f>
        <v/>
      </c>
      <c r="I323" s="25">
        <f>IF($A323="","",IFERROR(LOOKUP(2,1/((入库单!$G$4:$G$2503=$A323)*(入库单!$Y$4:$Y$2503="正常")*(入库单!$L$4:$L$2503&gt;0)),入库单!$L$4:$L$2503),0))</f>
        <v/>
      </c>
      <c r="J323" s="26">
        <f>IF($A323="","",IF($H323="A国内",ROUND($I323*倍数A*汇率,0),IF($H323="B当地",ROUND($I323*系数B,0),0)))</f>
        <v/>
      </c>
      <c r="K323" s="24">
        <f>IF($A323="","",IF(COUNTIFS(入库单!$G$4:$G$2503,$A323,入库单!$X$4:$X$2503,"待补价")&gt;0,"待补价",IF(COUNTIFS(入库单!$G$4:$G$2503,$A323,入库单!$X$4:$X$2503,"暂估")&gt;0,"暂估",IF($I323=0,"没有进价","正常"))))</f>
        <v/>
      </c>
      <c r="L323" s="27">
        <f>IF($A323="","",IFERROR(VLOOKUP($A323,库存台账!$A$5:$Y$1204,24,0),0))</f>
        <v/>
      </c>
      <c r="M323" s="26">
        <f>IF($A323="","",IFERROR(VLOOKUP($A323,库存台账!$A$5:$Y$1204,25,0),0))</f>
        <v/>
      </c>
      <c r="N323" s="19">
        <f>IF($A323="","",IFERROR(LOOKUP(2,1/((出库单!$D$4:$D$4003=$A323)*(出库单!$T$4:$T$4003="正常")),出库单!$C$4:$C$4003),""))</f>
        <v/>
      </c>
      <c r="O323" s="28">
        <f>IF($A323="","",IF($L323&lt;=0,"",IF($N323="",IFERROR(账期止-LOOKUP(2,1/(入库单!$G$4:$G$2503=$A323),入库单!$C$4:$C$2503),""),账期止-$N323)))</f>
        <v/>
      </c>
      <c r="P323" s="17" t="n"/>
    </row>
    <row r="324">
      <c r="A324" s="17" t="inlineStr">
        <is>
          <t>JH0321</t>
        </is>
      </c>
      <c r="B324" s="17" t="inlineStr">
        <is>
          <t>五金管件</t>
        </is>
      </c>
      <c r="C324" s="17" t="inlineStr">
        <is>
          <t>地脚螺栓+吊装工具</t>
        </is>
      </c>
      <c r="D324" s="17" t="inlineStr">
        <is>
          <t>PYD-900</t>
        </is>
      </c>
      <c r="E324" s="17" t="inlineStr">
        <is>
          <t>套</t>
        </is>
      </c>
      <c r="F324" s="17" t="inlineStr">
        <is>
          <t>否</t>
        </is>
      </c>
      <c r="G324" s="23" t="n"/>
      <c r="H324" s="24">
        <f>IF($A324="","",IFERROR(LOOKUP(2,1/((入库单!$G$4:$G$2503=$A324)*(入库单!$Y$4:$Y$2503="正常")*(入库单!$L$4:$L$2503&gt;0)),入库单!$D$4:$D$2503),""))</f>
        <v/>
      </c>
      <c r="I324" s="25">
        <f>IF($A324="","",IFERROR(LOOKUP(2,1/((入库单!$G$4:$G$2503=$A324)*(入库单!$Y$4:$Y$2503="正常")*(入库单!$L$4:$L$2503&gt;0)),入库单!$L$4:$L$2503),0))</f>
        <v/>
      </c>
      <c r="J324" s="26">
        <f>IF($A324="","",IF($H324="A国内",ROUND($I324*倍数A*汇率,0),IF($H324="B当地",ROUND($I324*系数B,0),0)))</f>
        <v/>
      </c>
      <c r="K324" s="24">
        <f>IF($A324="","",IF(COUNTIFS(入库单!$G$4:$G$2503,$A324,入库单!$X$4:$X$2503,"待补价")&gt;0,"待补价",IF(COUNTIFS(入库单!$G$4:$G$2503,$A324,入库单!$X$4:$X$2503,"暂估")&gt;0,"暂估",IF($I324=0,"没有进价","正常"))))</f>
        <v/>
      </c>
      <c r="L324" s="27">
        <f>IF($A324="","",IFERROR(VLOOKUP($A324,库存台账!$A$5:$Y$1204,24,0),0))</f>
        <v/>
      </c>
      <c r="M324" s="26">
        <f>IF($A324="","",IFERROR(VLOOKUP($A324,库存台账!$A$5:$Y$1204,25,0),0))</f>
        <v/>
      </c>
      <c r="N324" s="19">
        <f>IF($A324="","",IFERROR(LOOKUP(2,1/((出库单!$D$4:$D$4003=$A324)*(出库单!$T$4:$T$4003="正常")),出库单!$C$4:$C$4003),""))</f>
        <v/>
      </c>
      <c r="O324" s="28">
        <f>IF($A324="","",IF($L324&lt;=0,"",IF($N324="",IFERROR(账期止-LOOKUP(2,1/(入库单!$G$4:$G$2503=$A324),入库单!$C$4:$C$2503),""),账期止-$N324)))</f>
        <v/>
      </c>
      <c r="P324" s="17" t="n"/>
    </row>
    <row r="325">
      <c r="A325" s="17" t="inlineStr">
        <is>
          <t>JH0322</t>
        </is>
      </c>
      <c r="B325" s="17" t="inlineStr">
        <is>
          <t>机械配件</t>
        </is>
      </c>
      <c r="C325" s="17" t="inlineStr">
        <is>
          <t>配件护板</t>
        </is>
      </c>
      <c r="D325" s="17" t="inlineStr">
        <is>
          <t>PYD-900</t>
        </is>
      </c>
      <c r="E325" s="17" t="inlineStr">
        <is>
          <t>件</t>
        </is>
      </c>
      <c r="F325" s="17" t="inlineStr">
        <is>
          <t>否</t>
        </is>
      </c>
      <c r="G325" s="23" t="n"/>
      <c r="H325" s="24">
        <f>IF($A325="","",IFERROR(LOOKUP(2,1/((入库单!$G$4:$G$2503=$A325)*(入库单!$Y$4:$Y$2503="正常")*(入库单!$L$4:$L$2503&gt;0)),入库单!$D$4:$D$2503),""))</f>
        <v/>
      </c>
      <c r="I325" s="25">
        <f>IF($A325="","",IFERROR(LOOKUP(2,1/((入库单!$G$4:$G$2503=$A325)*(入库单!$Y$4:$Y$2503="正常")*(入库单!$L$4:$L$2503&gt;0)),入库单!$L$4:$L$2503),0))</f>
        <v/>
      </c>
      <c r="J325" s="26">
        <f>IF($A325="","",IF($H325="A国内",ROUND($I325*倍数A*汇率,0),IF($H325="B当地",ROUND($I325*系数B,0),0)))</f>
        <v/>
      </c>
      <c r="K325" s="24">
        <f>IF($A325="","",IF(COUNTIFS(入库单!$G$4:$G$2503,$A325,入库单!$X$4:$X$2503,"待补价")&gt;0,"待补价",IF(COUNTIFS(入库单!$G$4:$G$2503,$A325,入库单!$X$4:$X$2503,"暂估")&gt;0,"暂估",IF($I325=0,"没有进价","正常"))))</f>
        <v/>
      </c>
      <c r="L325" s="27">
        <f>IF($A325="","",IFERROR(VLOOKUP($A325,库存台账!$A$5:$Y$1204,24,0),0))</f>
        <v/>
      </c>
      <c r="M325" s="26">
        <f>IF($A325="","",IFERROR(VLOOKUP($A325,库存台账!$A$5:$Y$1204,25,0),0))</f>
        <v/>
      </c>
      <c r="N325" s="19">
        <f>IF($A325="","",IFERROR(LOOKUP(2,1/((出库单!$D$4:$D$4003=$A325)*(出库单!$T$4:$T$4003="正常")),出库单!$C$4:$C$4003),""))</f>
        <v/>
      </c>
      <c r="O325" s="28">
        <f>IF($A325="","",IF($L325&lt;=0,"",IF($N325="",IFERROR(账期止-LOOKUP(2,1/(入库单!$G$4:$G$2503=$A325),入库单!$C$4:$C$2503),""),账期止-$N325)))</f>
        <v/>
      </c>
      <c r="P325" s="17" t="n"/>
    </row>
    <row r="326">
      <c r="A326" s="17" t="inlineStr">
        <is>
          <t>JH0323</t>
        </is>
      </c>
      <c r="B326" s="17" t="inlineStr">
        <is>
          <t>机械配件</t>
        </is>
      </c>
      <c r="C326" s="17" t="inlineStr">
        <is>
          <t>配件分料盘</t>
        </is>
      </c>
      <c r="D326" s="17" t="inlineStr">
        <is>
          <t>PYD-900</t>
        </is>
      </c>
      <c r="E326" s="17" t="inlineStr">
        <is>
          <t>件</t>
        </is>
      </c>
      <c r="F326" s="17" t="inlineStr">
        <is>
          <t>否</t>
        </is>
      </c>
      <c r="G326" s="23" t="n"/>
      <c r="H326" s="24">
        <f>IF($A326="","",IFERROR(LOOKUP(2,1/((入库单!$G$4:$G$2503=$A326)*(入库单!$Y$4:$Y$2503="正常")*(入库单!$L$4:$L$2503&gt;0)),入库单!$D$4:$D$2503),""))</f>
        <v/>
      </c>
      <c r="I326" s="25">
        <f>IF($A326="","",IFERROR(LOOKUP(2,1/((入库单!$G$4:$G$2503=$A326)*(入库单!$Y$4:$Y$2503="正常")*(入库单!$L$4:$L$2503&gt;0)),入库单!$L$4:$L$2503),0))</f>
        <v/>
      </c>
      <c r="J326" s="26">
        <f>IF($A326="","",IF($H326="A国内",ROUND($I326*倍数A*汇率,0),IF($H326="B当地",ROUND($I326*系数B,0),0)))</f>
        <v/>
      </c>
      <c r="K326" s="24">
        <f>IF($A326="","",IF(COUNTIFS(入库单!$G$4:$G$2503,$A326,入库单!$X$4:$X$2503,"待补价")&gt;0,"待补价",IF(COUNTIFS(入库单!$G$4:$G$2503,$A326,入库单!$X$4:$X$2503,"暂估")&gt;0,"暂估",IF($I326=0,"没有进价","正常"))))</f>
        <v/>
      </c>
      <c r="L326" s="27">
        <f>IF($A326="","",IFERROR(VLOOKUP($A326,库存台账!$A$5:$Y$1204,24,0),0))</f>
        <v/>
      </c>
      <c r="M326" s="26">
        <f>IF($A326="","",IFERROR(VLOOKUP($A326,库存台账!$A$5:$Y$1204,25,0),0))</f>
        <v/>
      </c>
      <c r="N326" s="19">
        <f>IF($A326="","",IFERROR(LOOKUP(2,1/((出库单!$D$4:$D$4003=$A326)*(出库单!$T$4:$T$4003="正常")),出库单!$C$4:$C$4003),""))</f>
        <v/>
      </c>
      <c r="O326" s="28">
        <f>IF($A326="","",IF($L326&lt;=0,"",IF($N326="",IFERROR(账期止-LOOKUP(2,1/(入库单!$G$4:$G$2503=$A326),入库单!$C$4:$C$2503),""),账期止-$N326)))</f>
        <v/>
      </c>
      <c r="P326" s="17" t="n"/>
    </row>
    <row r="327">
      <c r="A327" s="17" t="inlineStr">
        <is>
          <t>JH0324</t>
        </is>
      </c>
      <c r="B327" s="17" t="inlineStr">
        <is>
          <t>机械配件</t>
        </is>
      </c>
      <c r="C327" s="17" t="inlineStr">
        <is>
          <t>配件压套</t>
        </is>
      </c>
      <c r="D327" s="17" t="inlineStr">
        <is>
          <t>PYD-900</t>
        </is>
      </c>
      <c r="E327" s="17" t="inlineStr">
        <is>
          <t>件</t>
        </is>
      </c>
      <c r="F327" s="17" t="inlineStr">
        <is>
          <t>否</t>
        </is>
      </c>
      <c r="G327" s="23" t="n"/>
      <c r="H327" s="24">
        <f>IF($A327="","",IFERROR(LOOKUP(2,1/((入库单!$G$4:$G$2503=$A327)*(入库单!$Y$4:$Y$2503="正常")*(入库单!$L$4:$L$2503&gt;0)),入库单!$D$4:$D$2503),""))</f>
        <v/>
      </c>
      <c r="I327" s="25">
        <f>IF($A327="","",IFERROR(LOOKUP(2,1/((入库单!$G$4:$G$2503=$A327)*(入库单!$Y$4:$Y$2503="正常")*(入库单!$L$4:$L$2503&gt;0)),入库单!$L$4:$L$2503),0))</f>
        <v/>
      </c>
      <c r="J327" s="26">
        <f>IF($A327="","",IF($H327="A国内",ROUND($I327*倍数A*汇率,0),IF($H327="B当地",ROUND($I327*系数B,0),0)))</f>
        <v/>
      </c>
      <c r="K327" s="24">
        <f>IF($A327="","",IF(COUNTIFS(入库单!$G$4:$G$2503,$A327,入库单!$X$4:$X$2503,"待补价")&gt;0,"待补价",IF(COUNTIFS(入库单!$G$4:$G$2503,$A327,入库单!$X$4:$X$2503,"暂估")&gt;0,"暂估",IF($I327=0,"没有进价","正常"))))</f>
        <v/>
      </c>
      <c r="L327" s="27">
        <f>IF($A327="","",IFERROR(VLOOKUP($A327,库存台账!$A$5:$Y$1204,24,0),0))</f>
        <v/>
      </c>
      <c r="M327" s="26">
        <f>IF($A327="","",IFERROR(VLOOKUP($A327,库存台账!$A$5:$Y$1204,25,0),0))</f>
        <v/>
      </c>
      <c r="N327" s="19">
        <f>IF($A327="","",IFERROR(LOOKUP(2,1/((出库单!$D$4:$D$4003=$A327)*(出库单!$T$4:$T$4003="正常")),出库单!$C$4:$C$4003),""))</f>
        <v/>
      </c>
      <c r="O327" s="28">
        <f>IF($A327="","",IF($L327&lt;=0,"",IF($N327="",IFERROR(账期止-LOOKUP(2,1/(入库单!$G$4:$G$2503=$A327),入库单!$C$4:$C$2503),""),账期止-$N327)))</f>
        <v/>
      </c>
      <c r="P327" s="17" t="n"/>
    </row>
    <row r="328">
      <c r="A328" s="17" t="inlineStr">
        <is>
          <t>JH0325</t>
        </is>
      </c>
      <c r="B328" s="17" t="inlineStr">
        <is>
          <t>机械配件</t>
        </is>
      </c>
      <c r="C328" s="17" t="inlineStr">
        <is>
          <t>配件U型螺栓</t>
        </is>
      </c>
      <c r="D328" s="17" t="inlineStr">
        <is>
          <t>PYD-900</t>
        </is>
      </c>
      <c r="E328" s="17" t="inlineStr">
        <is>
          <t>套</t>
        </is>
      </c>
      <c r="F328" s="17" t="inlineStr">
        <is>
          <t>否</t>
        </is>
      </c>
      <c r="G328" s="23" t="n"/>
      <c r="H328" s="24">
        <f>IF($A328="","",IFERROR(LOOKUP(2,1/((入库单!$G$4:$G$2503=$A328)*(入库单!$Y$4:$Y$2503="正常")*(入库单!$L$4:$L$2503&gt;0)),入库单!$D$4:$D$2503),""))</f>
        <v/>
      </c>
      <c r="I328" s="25">
        <f>IF($A328="","",IFERROR(LOOKUP(2,1/((入库单!$G$4:$G$2503=$A328)*(入库单!$Y$4:$Y$2503="正常")*(入库单!$L$4:$L$2503&gt;0)),入库单!$L$4:$L$2503),0))</f>
        <v/>
      </c>
      <c r="J328" s="26">
        <f>IF($A328="","",IF($H328="A国内",ROUND($I328*倍数A*汇率,0),IF($H328="B当地",ROUND($I328*系数B,0),0)))</f>
        <v/>
      </c>
      <c r="K328" s="24">
        <f>IF($A328="","",IF(COUNTIFS(入库单!$G$4:$G$2503,$A328,入库单!$X$4:$X$2503,"待补价")&gt;0,"待补价",IF(COUNTIFS(入库单!$G$4:$G$2503,$A328,入库单!$X$4:$X$2503,"暂估")&gt;0,"暂估",IF($I328=0,"没有进价","正常"))))</f>
        <v/>
      </c>
      <c r="L328" s="27">
        <f>IF($A328="","",IFERROR(VLOOKUP($A328,库存台账!$A$5:$Y$1204,24,0),0))</f>
        <v/>
      </c>
      <c r="M328" s="26">
        <f>IF($A328="","",IFERROR(VLOOKUP($A328,库存台账!$A$5:$Y$1204,25,0),0))</f>
        <v/>
      </c>
      <c r="N328" s="19">
        <f>IF($A328="","",IFERROR(LOOKUP(2,1/((出库单!$D$4:$D$4003=$A328)*(出库单!$T$4:$T$4003="正常")),出库单!$C$4:$C$4003),""))</f>
        <v/>
      </c>
      <c r="O328" s="28">
        <f>IF($A328="","",IF($L328&lt;=0,"",IF($N328="",IFERROR(账期止-LOOKUP(2,1/(入库单!$G$4:$G$2503=$A328),入库单!$C$4:$C$2503),""),账期止-$N328)))</f>
        <v/>
      </c>
      <c r="P328" s="17" t="n"/>
    </row>
    <row r="329">
      <c r="A329" s="17" t="inlineStr">
        <is>
          <t>JH0326</t>
        </is>
      </c>
      <c r="B329" s="17" t="inlineStr">
        <is>
          <t>其他</t>
        </is>
      </c>
      <c r="C329" s="17" t="inlineStr">
        <is>
          <t>零件</t>
        </is>
      </c>
      <c r="D329" s="17" t="inlineStr">
        <is>
          <t>PYD-900</t>
        </is>
      </c>
      <c r="E329" s="17" t="inlineStr">
        <is>
          <t>套</t>
        </is>
      </c>
      <c r="F329" s="17" t="inlineStr">
        <is>
          <t>否</t>
        </is>
      </c>
      <c r="G329" s="23" t="n"/>
      <c r="H329" s="24">
        <f>IF($A329="","",IFERROR(LOOKUP(2,1/((入库单!$G$4:$G$2503=$A329)*(入库单!$Y$4:$Y$2503="正常")*(入库单!$L$4:$L$2503&gt;0)),入库单!$D$4:$D$2503),""))</f>
        <v/>
      </c>
      <c r="I329" s="25">
        <f>IF($A329="","",IFERROR(LOOKUP(2,1/((入库单!$G$4:$G$2503=$A329)*(入库单!$Y$4:$Y$2503="正常")*(入库单!$L$4:$L$2503&gt;0)),入库单!$L$4:$L$2503),0))</f>
        <v/>
      </c>
      <c r="J329" s="26">
        <f>IF($A329="","",IF($H329="A国内",ROUND($I329*倍数A*汇率,0),IF($H329="B当地",ROUND($I329*系数B,0),0)))</f>
        <v/>
      </c>
      <c r="K329" s="24">
        <f>IF($A329="","",IF(COUNTIFS(入库单!$G$4:$G$2503,$A329,入库单!$X$4:$X$2503,"待补价")&gt;0,"待补价",IF(COUNTIFS(入库单!$G$4:$G$2503,$A329,入库单!$X$4:$X$2503,"暂估")&gt;0,"暂估",IF($I329=0,"没有进价","正常"))))</f>
        <v/>
      </c>
      <c r="L329" s="27">
        <f>IF($A329="","",IFERROR(VLOOKUP($A329,库存台账!$A$5:$Y$1204,24,0),0))</f>
        <v/>
      </c>
      <c r="M329" s="26">
        <f>IF($A329="","",IFERROR(VLOOKUP($A329,库存台账!$A$5:$Y$1204,25,0),0))</f>
        <v/>
      </c>
      <c r="N329" s="19">
        <f>IF($A329="","",IFERROR(LOOKUP(2,1/((出库单!$D$4:$D$4003=$A329)*(出库单!$T$4:$T$4003="正常")),出库单!$C$4:$C$4003),""))</f>
        <v/>
      </c>
      <c r="O329" s="28">
        <f>IF($A329="","",IF($L329&lt;=0,"",IF($N329="",IFERROR(账期止-LOOKUP(2,1/(入库单!$G$4:$G$2503=$A329),入库单!$C$4:$C$2503),""),账期止-$N329)))</f>
        <v/>
      </c>
      <c r="P329" s="17" t="n"/>
    </row>
    <row r="330">
      <c r="A330" s="17" t="inlineStr">
        <is>
          <t>JH0327</t>
        </is>
      </c>
      <c r="B330" s="17" t="inlineStr">
        <is>
          <t>机械配件</t>
        </is>
      </c>
      <c r="C330" s="17" t="inlineStr">
        <is>
          <t>配件扎臼壁</t>
        </is>
      </c>
      <c r="D330" s="17" t="inlineStr">
        <is>
          <t>PYD-900</t>
        </is>
      </c>
      <c r="E330" s="17" t="inlineStr">
        <is>
          <t>件</t>
        </is>
      </c>
      <c r="F330" s="17" t="inlineStr">
        <is>
          <t>否</t>
        </is>
      </c>
      <c r="G330" s="23" t="n"/>
      <c r="H330" s="24">
        <f>IF($A330="","",IFERROR(LOOKUP(2,1/((入库单!$G$4:$G$2503=$A330)*(入库单!$Y$4:$Y$2503="正常")*(入库单!$L$4:$L$2503&gt;0)),入库单!$D$4:$D$2503),""))</f>
        <v/>
      </c>
      <c r="I330" s="25">
        <f>IF($A330="","",IFERROR(LOOKUP(2,1/((入库单!$G$4:$G$2503=$A330)*(入库单!$Y$4:$Y$2503="正常")*(入库单!$L$4:$L$2503&gt;0)),入库单!$L$4:$L$2503),0))</f>
        <v/>
      </c>
      <c r="J330" s="26">
        <f>IF($A330="","",IF($H330="A国内",ROUND($I330*倍数A*汇率,0),IF($H330="B当地",ROUND($I330*系数B,0),0)))</f>
        <v/>
      </c>
      <c r="K330" s="24">
        <f>IF($A330="","",IF(COUNTIFS(入库单!$G$4:$G$2503,$A330,入库单!$X$4:$X$2503,"待补价")&gt;0,"待补价",IF(COUNTIFS(入库单!$G$4:$G$2503,$A330,入库单!$X$4:$X$2503,"暂估")&gt;0,"暂估",IF($I330=0,"没有进价","正常"))))</f>
        <v/>
      </c>
      <c r="L330" s="27">
        <f>IF($A330="","",IFERROR(VLOOKUP($A330,库存台账!$A$5:$Y$1204,24,0),0))</f>
        <v/>
      </c>
      <c r="M330" s="26">
        <f>IF($A330="","",IFERROR(VLOOKUP($A330,库存台账!$A$5:$Y$1204,25,0),0))</f>
        <v/>
      </c>
      <c r="N330" s="19">
        <f>IF($A330="","",IFERROR(LOOKUP(2,1/((出库单!$D$4:$D$4003=$A330)*(出库单!$T$4:$T$4003="正常")),出库单!$C$4:$C$4003),""))</f>
        <v/>
      </c>
      <c r="O330" s="28">
        <f>IF($A330="","",IF($L330&lt;=0,"",IF($N330="",IFERROR(账期止-LOOKUP(2,1/(入库单!$G$4:$G$2503=$A330),入库单!$C$4:$C$2503),""),账期止-$N330)))</f>
        <v/>
      </c>
      <c r="P330" s="17" t="n"/>
    </row>
    <row r="331">
      <c r="A331" s="17" t="inlineStr">
        <is>
          <t>JH0328</t>
        </is>
      </c>
      <c r="B331" s="17" t="inlineStr">
        <is>
          <t>机械配件</t>
        </is>
      </c>
      <c r="C331" s="17" t="inlineStr">
        <is>
          <t>配件破碎壁</t>
        </is>
      </c>
      <c r="D331" s="17" t="inlineStr">
        <is>
          <t>PYD-900</t>
        </is>
      </c>
      <c r="E331" s="17" t="inlineStr">
        <is>
          <t>件</t>
        </is>
      </c>
      <c r="F331" s="17" t="inlineStr">
        <is>
          <t>否</t>
        </is>
      </c>
      <c r="G331" s="23" t="n"/>
      <c r="H331" s="24">
        <f>IF($A331="","",IFERROR(LOOKUP(2,1/((入库单!$G$4:$G$2503=$A331)*(入库单!$Y$4:$Y$2503="正常")*(入库单!$L$4:$L$2503&gt;0)),入库单!$D$4:$D$2503),""))</f>
        <v/>
      </c>
      <c r="I331" s="25">
        <f>IF($A331="","",IFERROR(LOOKUP(2,1/((入库单!$G$4:$G$2503=$A331)*(入库单!$Y$4:$Y$2503="正常")*(入库单!$L$4:$L$2503&gt;0)),入库单!$L$4:$L$2503),0))</f>
        <v/>
      </c>
      <c r="J331" s="26">
        <f>IF($A331="","",IF($H331="A国内",ROUND($I331*倍数A*汇率,0),IF($H331="B当地",ROUND($I331*系数B,0),0)))</f>
        <v/>
      </c>
      <c r="K331" s="24">
        <f>IF($A331="","",IF(COUNTIFS(入库单!$G$4:$G$2503,$A331,入库单!$X$4:$X$2503,"待补价")&gt;0,"待补价",IF(COUNTIFS(入库单!$G$4:$G$2503,$A331,入库单!$X$4:$X$2503,"暂估")&gt;0,"暂估",IF($I331=0,"没有进价","正常"))))</f>
        <v/>
      </c>
      <c r="L331" s="27">
        <f>IF($A331="","",IFERROR(VLOOKUP($A331,库存台账!$A$5:$Y$1204,24,0),0))</f>
        <v/>
      </c>
      <c r="M331" s="26">
        <f>IF($A331="","",IFERROR(VLOOKUP($A331,库存台账!$A$5:$Y$1204,25,0),0))</f>
        <v/>
      </c>
      <c r="N331" s="19">
        <f>IF($A331="","",IFERROR(LOOKUP(2,1/((出库单!$D$4:$D$4003=$A331)*(出库单!$T$4:$T$4003="正常")),出库单!$C$4:$C$4003),""))</f>
        <v/>
      </c>
      <c r="O331" s="28">
        <f>IF($A331="","",IF($L331&lt;=0,"",IF($N331="",IFERROR(账期止-LOOKUP(2,1/(入库单!$G$4:$G$2503=$A331),入库单!$C$4:$C$2503),""),账期止-$N331)))</f>
        <v/>
      </c>
      <c r="P331" s="17" t="n"/>
    </row>
    <row r="332">
      <c r="A332" s="17" t="inlineStr">
        <is>
          <t>JH0329</t>
        </is>
      </c>
      <c r="B332" s="17" t="inlineStr">
        <is>
          <t>电缆电气</t>
        </is>
      </c>
      <c r="C332" s="17" t="inlineStr">
        <is>
          <t>配件电机55KW-8</t>
        </is>
      </c>
      <c r="D332" s="17" t="inlineStr">
        <is>
          <t>PYD-900</t>
        </is>
      </c>
      <c r="E332" s="17" t="inlineStr">
        <is>
          <t>台</t>
        </is>
      </c>
      <c r="F332" s="17" t="inlineStr">
        <is>
          <t>否</t>
        </is>
      </c>
      <c r="G332" s="23" t="n"/>
      <c r="H332" s="24">
        <f>IF($A332="","",IFERROR(LOOKUP(2,1/((入库单!$G$4:$G$2503=$A332)*(入库单!$Y$4:$Y$2503="正常")*(入库单!$L$4:$L$2503&gt;0)),入库单!$D$4:$D$2503),""))</f>
        <v/>
      </c>
      <c r="I332" s="25">
        <f>IF($A332="","",IFERROR(LOOKUP(2,1/((入库单!$G$4:$G$2503=$A332)*(入库单!$Y$4:$Y$2503="正常")*(入库单!$L$4:$L$2503&gt;0)),入库单!$L$4:$L$2503),0))</f>
        <v/>
      </c>
      <c r="J332" s="26">
        <f>IF($A332="","",IF($H332="A国内",ROUND($I332*倍数A*汇率,0),IF($H332="B当地",ROUND($I332*系数B,0),0)))</f>
        <v/>
      </c>
      <c r="K332" s="24">
        <f>IF($A332="","",IF(COUNTIFS(入库单!$G$4:$G$2503,$A332,入库单!$X$4:$X$2503,"待补价")&gt;0,"待补价",IF(COUNTIFS(入库单!$G$4:$G$2503,$A332,入库单!$X$4:$X$2503,"暂估")&gt;0,"暂估",IF($I332=0,"没有进价","正常"))))</f>
        <v/>
      </c>
      <c r="L332" s="27">
        <f>IF($A332="","",IFERROR(VLOOKUP($A332,库存台账!$A$5:$Y$1204,24,0),0))</f>
        <v/>
      </c>
      <c r="M332" s="26">
        <f>IF($A332="","",IFERROR(VLOOKUP($A332,库存台账!$A$5:$Y$1204,25,0),0))</f>
        <v/>
      </c>
      <c r="N332" s="19">
        <f>IF($A332="","",IFERROR(LOOKUP(2,1/((出库单!$D$4:$D$4003=$A332)*(出库单!$T$4:$T$4003="正常")),出库单!$C$4:$C$4003),""))</f>
        <v/>
      </c>
      <c r="O332" s="28">
        <f>IF($A332="","",IF($L332&lt;=0,"",IF($N332="",IFERROR(账期止-LOOKUP(2,1/(入库单!$G$4:$G$2503=$A332),入库单!$C$4:$C$2503),""),账期止-$N332)))</f>
        <v/>
      </c>
      <c r="P332" s="17" t="n"/>
    </row>
    <row r="333">
      <c r="A333" s="17" t="inlineStr">
        <is>
          <t>JH0330</t>
        </is>
      </c>
      <c r="B333" s="17" t="inlineStr">
        <is>
          <t>五金管件</t>
        </is>
      </c>
      <c r="C333" s="17" t="inlineStr">
        <is>
          <t>100软连接</t>
        </is>
      </c>
      <c r="D333" s="17" t="inlineStr">
        <is>
          <t>管件.阀门.法兰等</t>
        </is>
      </c>
      <c r="E333" s="17" t="inlineStr">
        <is>
          <t>个</t>
        </is>
      </c>
      <c r="F333" s="17" t="inlineStr">
        <is>
          <t>否</t>
        </is>
      </c>
      <c r="G333" s="23" t="n"/>
      <c r="H333" s="24">
        <f>IF($A333="","",IFERROR(LOOKUP(2,1/((入库单!$G$4:$G$2503=$A333)*(入库单!$Y$4:$Y$2503="正常")*(入库单!$L$4:$L$2503&gt;0)),入库单!$D$4:$D$2503),""))</f>
        <v/>
      </c>
      <c r="I333" s="25">
        <f>IF($A333="","",IFERROR(LOOKUP(2,1/((入库单!$G$4:$G$2503=$A333)*(入库单!$Y$4:$Y$2503="正常")*(入库单!$L$4:$L$2503&gt;0)),入库单!$L$4:$L$2503),0))</f>
        <v/>
      </c>
      <c r="J333" s="26">
        <f>IF($A333="","",IF($H333="A国内",ROUND($I333*倍数A*汇率,0),IF($H333="B当地",ROUND($I333*系数B,0),0)))</f>
        <v/>
      </c>
      <c r="K333" s="24">
        <f>IF($A333="","",IF(COUNTIFS(入库单!$G$4:$G$2503,$A333,入库单!$X$4:$X$2503,"待补价")&gt;0,"待补价",IF(COUNTIFS(入库单!$G$4:$G$2503,$A333,入库单!$X$4:$X$2503,"暂估")&gt;0,"暂估",IF($I333=0,"没有进价","正常"))))</f>
        <v/>
      </c>
      <c r="L333" s="27">
        <f>IF($A333="","",IFERROR(VLOOKUP($A333,库存台账!$A$5:$Y$1204,24,0),0))</f>
        <v/>
      </c>
      <c r="M333" s="26">
        <f>IF($A333="","",IFERROR(VLOOKUP($A333,库存台账!$A$5:$Y$1204,25,0),0))</f>
        <v/>
      </c>
      <c r="N333" s="19">
        <f>IF($A333="","",IFERROR(LOOKUP(2,1/((出库单!$D$4:$D$4003=$A333)*(出库单!$T$4:$T$4003="正常")),出库单!$C$4:$C$4003),""))</f>
        <v/>
      </c>
      <c r="O333" s="28">
        <f>IF($A333="","",IF($L333&lt;=0,"",IF($N333="",IFERROR(账期止-LOOKUP(2,1/(入库单!$G$4:$G$2503=$A333),入库单!$C$4:$C$2503),""),账期止-$N333)))</f>
        <v/>
      </c>
      <c r="P333" s="17" t="n"/>
    </row>
    <row r="334">
      <c r="A334" s="17" t="inlineStr">
        <is>
          <t>JH0331</t>
        </is>
      </c>
      <c r="B334" s="17" t="inlineStr">
        <is>
          <t>五金管件</t>
        </is>
      </c>
      <c r="C334" s="17" t="inlineStr">
        <is>
          <t>40软连接</t>
        </is>
      </c>
      <c r="D334" s="17" t="inlineStr">
        <is>
          <t>管件.阀门.法兰等</t>
        </is>
      </c>
      <c r="E334" s="17" t="inlineStr">
        <is>
          <t>个</t>
        </is>
      </c>
      <c r="F334" s="17" t="inlineStr">
        <is>
          <t>否</t>
        </is>
      </c>
      <c r="G334" s="23" t="n"/>
      <c r="H334" s="24">
        <f>IF($A334="","",IFERROR(LOOKUP(2,1/((入库单!$G$4:$G$2503=$A334)*(入库单!$Y$4:$Y$2503="正常")*(入库单!$L$4:$L$2503&gt;0)),入库单!$D$4:$D$2503),""))</f>
        <v/>
      </c>
      <c r="I334" s="25">
        <f>IF($A334="","",IFERROR(LOOKUP(2,1/((入库单!$G$4:$G$2503=$A334)*(入库单!$Y$4:$Y$2503="正常")*(入库单!$L$4:$L$2503&gt;0)),入库单!$L$4:$L$2503),0))</f>
        <v/>
      </c>
      <c r="J334" s="26">
        <f>IF($A334="","",IF($H334="A国内",ROUND($I334*倍数A*汇率,0),IF($H334="B当地",ROUND($I334*系数B,0),0)))</f>
        <v/>
      </c>
      <c r="K334" s="24">
        <f>IF($A334="","",IF(COUNTIFS(入库单!$G$4:$G$2503,$A334,入库单!$X$4:$X$2503,"待补价")&gt;0,"待补价",IF(COUNTIFS(入库单!$G$4:$G$2503,$A334,入库单!$X$4:$X$2503,"暂估")&gt;0,"暂估",IF($I334=0,"没有进价","正常"))))</f>
        <v/>
      </c>
      <c r="L334" s="27">
        <f>IF($A334="","",IFERROR(VLOOKUP($A334,库存台账!$A$5:$Y$1204,24,0),0))</f>
        <v/>
      </c>
      <c r="M334" s="26">
        <f>IF($A334="","",IFERROR(VLOOKUP($A334,库存台账!$A$5:$Y$1204,25,0),0))</f>
        <v/>
      </c>
      <c r="N334" s="19">
        <f>IF($A334="","",IFERROR(LOOKUP(2,1/((出库单!$D$4:$D$4003=$A334)*(出库单!$T$4:$T$4003="正常")),出库单!$C$4:$C$4003),""))</f>
        <v/>
      </c>
      <c r="O334" s="28">
        <f>IF($A334="","",IF($L334&lt;=0,"",IF($N334="",IFERROR(账期止-LOOKUP(2,1/(入库单!$G$4:$G$2503=$A334),入库单!$C$4:$C$2503),""),账期止-$N334)))</f>
        <v/>
      </c>
      <c r="P334" s="17" t="n"/>
    </row>
    <row r="335">
      <c r="A335" s="17" t="inlineStr">
        <is>
          <t>JH0332</t>
        </is>
      </c>
      <c r="B335" s="17" t="inlineStr">
        <is>
          <t>五金管件</t>
        </is>
      </c>
      <c r="C335" s="17" t="inlineStr">
        <is>
          <t>50丝球阀</t>
        </is>
      </c>
      <c r="D335" s="17" t="inlineStr">
        <is>
          <t>管件.阀门.法兰等</t>
        </is>
      </c>
      <c r="E335" s="17" t="inlineStr">
        <is>
          <t>个</t>
        </is>
      </c>
      <c r="F335" s="17" t="inlineStr">
        <is>
          <t>否</t>
        </is>
      </c>
      <c r="G335" s="23" t="n"/>
      <c r="H335" s="24">
        <f>IF($A335="","",IFERROR(LOOKUP(2,1/((入库单!$G$4:$G$2503=$A335)*(入库单!$Y$4:$Y$2503="正常")*(入库单!$L$4:$L$2503&gt;0)),入库单!$D$4:$D$2503),""))</f>
        <v/>
      </c>
      <c r="I335" s="25">
        <f>IF($A335="","",IFERROR(LOOKUP(2,1/((入库单!$G$4:$G$2503=$A335)*(入库单!$Y$4:$Y$2503="正常")*(入库单!$L$4:$L$2503&gt;0)),入库单!$L$4:$L$2503),0))</f>
        <v/>
      </c>
      <c r="J335" s="26">
        <f>IF($A335="","",IF($H335="A国内",ROUND($I335*倍数A*汇率,0),IF($H335="B当地",ROUND($I335*系数B,0),0)))</f>
        <v/>
      </c>
      <c r="K335" s="24">
        <f>IF($A335="","",IF(COUNTIFS(入库单!$G$4:$G$2503,$A335,入库单!$X$4:$X$2503,"待补价")&gt;0,"待补价",IF(COUNTIFS(入库单!$G$4:$G$2503,$A335,入库单!$X$4:$X$2503,"暂估")&gt;0,"暂估",IF($I335=0,"没有进价","正常"))))</f>
        <v/>
      </c>
      <c r="L335" s="27">
        <f>IF($A335="","",IFERROR(VLOOKUP($A335,库存台账!$A$5:$Y$1204,24,0),0))</f>
        <v/>
      </c>
      <c r="M335" s="26">
        <f>IF($A335="","",IFERROR(VLOOKUP($A335,库存台账!$A$5:$Y$1204,25,0),0))</f>
        <v/>
      </c>
      <c r="N335" s="19">
        <f>IF($A335="","",IFERROR(LOOKUP(2,1/((出库单!$D$4:$D$4003=$A335)*(出库单!$T$4:$T$4003="正常")),出库单!$C$4:$C$4003),""))</f>
        <v/>
      </c>
      <c r="O335" s="28">
        <f>IF($A335="","",IF($L335&lt;=0,"",IF($N335="",IFERROR(账期止-LOOKUP(2,1/(入库单!$G$4:$G$2503=$A335),入库单!$C$4:$C$2503),""),账期止-$N335)))</f>
        <v/>
      </c>
      <c r="P335" s="17" t="n"/>
    </row>
    <row r="336">
      <c r="A336" s="17" t="inlineStr">
        <is>
          <t>JH0333</t>
        </is>
      </c>
      <c r="B336" s="17" t="inlineStr">
        <is>
          <t>五金管件</t>
        </is>
      </c>
      <c r="C336" s="17" t="inlineStr">
        <is>
          <t>25丝球阀</t>
        </is>
      </c>
      <c r="D336" s="17" t="inlineStr">
        <is>
          <t>管件.阀门.法兰等</t>
        </is>
      </c>
      <c r="E336" s="17" t="inlineStr">
        <is>
          <t>个</t>
        </is>
      </c>
      <c r="F336" s="17" t="inlineStr">
        <is>
          <t>否</t>
        </is>
      </c>
      <c r="G336" s="23" t="n"/>
      <c r="H336" s="24">
        <f>IF($A336="","",IFERROR(LOOKUP(2,1/((入库单!$G$4:$G$2503=$A336)*(入库单!$Y$4:$Y$2503="正常")*(入库单!$L$4:$L$2503&gt;0)),入库单!$D$4:$D$2503),""))</f>
        <v/>
      </c>
      <c r="I336" s="25">
        <f>IF($A336="","",IFERROR(LOOKUP(2,1/((入库单!$G$4:$G$2503=$A336)*(入库单!$Y$4:$Y$2503="正常")*(入库单!$L$4:$L$2503&gt;0)),入库单!$L$4:$L$2503),0))</f>
        <v/>
      </c>
      <c r="J336" s="26">
        <f>IF($A336="","",IF($H336="A国内",ROUND($I336*倍数A*汇率,0),IF($H336="B当地",ROUND($I336*系数B,0),0)))</f>
        <v/>
      </c>
      <c r="K336" s="24">
        <f>IF($A336="","",IF(COUNTIFS(入库单!$G$4:$G$2503,$A336,入库单!$X$4:$X$2503,"待补价")&gt;0,"待补价",IF(COUNTIFS(入库单!$G$4:$G$2503,$A336,入库单!$X$4:$X$2503,"暂估")&gt;0,"暂估",IF($I336=0,"没有进价","正常"))))</f>
        <v/>
      </c>
      <c r="L336" s="27">
        <f>IF($A336="","",IFERROR(VLOOKUP($A336,库存台账!$A$5:$Y$1204,24,0),0))</f>
        <v/>
      </c>
      <c r="M336" s="26">
        <f>IF($A336="","",IFERROR(VLOOKUP($A336,库存台账!$A$5:$Y$1204,25,0),0))</f>
        <v/>
      </c>
      <c r="N336" s="19">
        <f>IF($A336="","",IFERROR(LOOKUP(2,1/((出库单!$D$4:$D$4003=$A336)*(出库单!$T$4:$T$4003="正常")),出库单!$C$4:$C$4003),""))</f>
        <v/>
      </c>
      <c r="O336" s="28">
        <f>IF($A336="","",IF($L336&lt;=0,"",IF($N336="",IFERROR(账期止-LOOKUP(2,1/(入库单!$G$4:$G$2503=$A336),入库单!$C$4:$C$2503),""),账期止-$N336)))</f>
        <v/>
      </c>
      <c r="P336" s="17" t="n"/>
    </row>
    <row r="337">
      <c r="A337" s="17" t="inlineStr">
        <is>
          <t>JH0334</t>
        </is>
      </c>
      <c r="B337" s="17" t="inlineStr">
        <is>
          <t>五金管件</t>
        </is>
      </c>
      <c r="C337" s="17" t="inlineStr">
        <is>
          <t>金属垫25</t>
        </is>
      </c>
      <c r="D337" s="17" t="inlineStr">
        <is>
          <t>管件.阀门.法兰等</t>
        </is>
      </c>
      <c r="E337" s="17" t="inlineStr">
        <is>
          <t>个</t>
        </is>
      </c>
      <c r="F337" s="17" t="inlineStr">
        <is>
          <t>否</t>
        </is>
      </c>
      <c r="G337" s="23" t="n"/>
      <c r="H337" s="24">
        <f>IF($A337="","",IFERROR(LOOKUP(2,1/((入库单!$G$4:$G$2503=$A337)*(入库单!$Y$4:$Y$2503="正常")*(入库单!$L$4:$L$2503&gt;0)),入库单!$D$4:$D$2503),""))</f>
        <v/>
      </c>
      <c r="I337" s="25">
        <f>IF($A337="","",IFERROR(LOOKUP(2,1/((入库单!$G$4:$G$2503=$A337)*(入库单!$Y$4:$Y$2503="正常")*(入库单!$L$4:$L$2503&gt;0)),入库单!$L$4:$L$2503),0))</f>
        <v/>
      </c>
      <c r="J337" s="26">
        <f>IF($A337="","",IF($H337="A国内",ROUND($I337*倍数A*汇率,0),IF($H337="B当地",ROUND($I337*系数B,0),0)))</f>
        <v/>
      </c>
      <c r="K337" s="24">
        <f>IF($A337="","",IF(COUNTIFS(入库单!$G$4:$G$2503,$A337,入库单!$X$4:$X$2503,"待补价")&gt;0,"待补价",IF(COUNTIFS(入库单!$G$4:$G$2503,$A337,入库单!$X$4:$X$2503,"暂估")&gt;0,"暂估",IF($I337=0,"没有进价","正常"))))</f>
        <v/>
      </c>
      <c r="L337" s="27">
        <f>IF($A337="","",IFERROR(VLOOKUP($A337,库存台账!$A$5:$Y$1204,24,0),0))</f>
        <v/>
      </c>
      <c r="M337" s="26">
        <f>IF($A337="","",IFERROR(VLOOKUP($A337,库存台账!$A$5:$Y$1204,25,0),0))</f>
        <v/>
      </c>
      <c r="N337" s="19">
        <f>IF($A337="","",IFERROR(LOOKUP(2,1/((出库单!$D$4:$D$4003=$A337)*(出库单!$T$4:$T$4003="正常")),出库单!$C$4:$C$4003),""))</f>
        <v/>
      </c>
      <c r="O337" s="28">
        <f>IF($A337="","",IF($L337&lt;=0,"",IF($N337="",IFERROR(账期止-LOOKUP(2,1/(入库单!$G$4:$G$2503=$A337),入库单!$C$4:$C$2503),""),账期止-$N337)))</f>
        <v/>
      </c>
      <c r="P337" s="17" t="n"/>
    </row>
    <row r="338">
      <c r="A338" s="17" t="inlineStr">
        <is>
          <t>JH0335</t>
        </is>
      </c>
      <c r="B338" s="17" t="inlineStr">
        <is>
          <t>五金管件</t>
        </is>
      </c>
      <c r="C338" s="17" t="inlineStr">
        <is>
          <t>金属垫40</t>
        </is>
      </c>
      <c r="D338" s="17" t="inlineStr">
        <is>
          <t>管件.阀门.法兰等</t>
        </is>
      </c>
      <c r="E338" s="17" t="inlineStr">
        <is>
          <t>个</t>
        </is>
      </c>
      <c r="F338" s="17" t="inlineStr">
        <is>
          <t>否</t>
        </is>
      </c>
      <c r="G338" s="23" t="n"/>
      <c r="H338" s="24">
        <f>IF($A338="","",IFERROR(LOOKUP(2,1/((入库单!$G$4:$G$2503=$A338)*(入库单!$Y$4:$Y$2503="正常")*(入库单!$L$4:$L$2503&gt;0)),入库单!$D$4:$D$2503),""))</f>
        <v/>
      </c>
      <c r="I338" s="25">
        <f>IF($A338="","",IFERROR(LOOKUP(2,1/((入库单!$G$4:$G$2503=$A338)*(入库单!$Y$4:$Y$2503="正常")*(入库单!$L$4:$L$2503&gt;0)),入库单!$L$4:$L$2503),0))</f>
        <v/>
      </c>
      <c r="J338" s="26">
        <f>IF($A338="","",IF($H338="A国内",ROUND($I338*倍数A*汇率,0),IF($H338="B当地",ROUND($I338*系数B,0),0)))</f>
        <v/>
      </c>
      <c r="K338" s="24">
        <f>IF($A338="","",IF(COUNTIFS(入库单!$G$4:$G$2503,$A338,入库单!$X$4:$X$2503,"待补价")&gt;0,"待补价",IF(COUNTIFS(入库单!$G$4:$G$2503,$A338,入库单!$X$4:$X$2503,"暂估")&gt;0,"暂估",IF($I338=0,"没有进价","正常"))))</f>
        <v/>
      </c>
      <c r="L338" s="27">
        <f>IF($A338="","",IFERROR(VLOOKUP($A338,库存台账!$A$5:$Y$1204,24,0),0))</f>
        <v/>
      </c>
      <c r="M338" s="26">
        <f>IF($A338="","",IFERROR(VLOOKUP($A338,库存台账!$A$5:$Y$1204,25,0),0))</f>
        <v/>
      </c>
      <c r="N338" s="19">
        <f>IF($A338="","",IFERROR(LOOKUP(2,1/((出库单!$D$4:$D$4003=$A338)*(出库单!$T$4:$T$4003="正常")),出库单!$C$4:$C$4003),""))</f>
        <v/>
      </c>
      <c r="O338" s="28">
        <f>IF($A338="","",IF($L338&lt;=0,"",IF($N338="",IFERROR(账期止-LOOKUP(2,1/(入库单!$G$4:$G$2503=$A338),入库单!$C$4:$C$2503),""),账期止-$N338)))</f>
        <v/>
      </c>
      <c r="P338" s="17" t="n"/>
    </row>
    <row r="339">
      <c r="A339" s="17" t="inlineStr">
        <is>
          <t>JH0336</t>
        </is>
      </c>
      <c r="B339" s="17" t="inlineStr">
        <is>
          <t>五金管件</t>
        </is>
      </c>
      <c r="C339" s="17" t="inlineStr">
        <is>
          <t>金属垫65</t>
        </is>
      </c>
      <c r="D339" s="17" t="inlineStr">
        <is>
          <t>管件.阀门.法兰等</t>
        </is>
      </c>
      <c r="E339" s="17" t="inlineStr">
        <is>
          <t>个</t>
        </is>
      </c>
      <c r="F339" s="17" t="inlineStr">
        <is>
          <t>否</t>
        </is>
      </c>
      <c r="G339" s="23" t="n"/>
      <c r="H339" s="24">
        <f>IF($A339="","",IFERROR(LOOKUP(2,1/((入库单!$G$4:$G$2503=$A339)*(入库单!$Y$4:$Y$2503="正常")*(入库单!$L$4:$L$2503&gt;0)),入库单!$D$4:$D$2503),""))</f>
        <v/>
      </c>
      <c r="I339" s="25">
        <f>IF($A339="","",IFERROR(LOOKUP(2,1/((入库单!$G$4:$G$2503=$A339)*(入库单!$Y$4:$Y$2503="正常")*(入库单!$L$4:$L$2503&gt;0)),入库单!$L$4:$L$2503),0))</f>
        <v/>
      </c>
      <c r="J339" s="26">
        <f>IF($A339="","",IF($H339="A国内",ROUND($I339*倍数A*汇率,0),IF($H339="B当地",ROUND($I339*系数B,0),0)))</f>
        <v/>
      </c>
      <c r="K339" s="24">
        <f>IF($A339="","",IF(COUNTIFS(入库单!$G$4:$G$2503,$A339,入库单!$X$4:$X$2503,"待补价")&gt;0,"待补价",IF(COUNTIFS(入库单!$G$4:$G$2503,$A339,入库单!$X$4:$X$2503,"暂估")&gt;0,"暂估",IF($I339=0,"没有进价","正常"))))</f>
        <v/>
      </c>
      <c r="L339" s="27">
        <f>IF($A339="","",IFERROR(VLOOKUP($A339,库存台账!$A$5:$Y$1204,24,0),0))</f>
        <v/>
      </c>
      <c r="M339" s="26">
        <f>IF($A339="","",IFERROR(VLOOKUP($A339,库存台账!$A$5:$Y$1204,25,0),0))</f>
        <v/>
      </c>
      <c r="N339" s="19">
        <f>IF($A339="","",IFERROR(LOOKUP(2,1/((出库单!$D$4:$D$4003=$A339)*(出库单!$T$4:$T$4003="正常")),出库单!$C$4:$C$4003),""))</f>
        <v/>
      </c>
      <c r="O339" s="28">
        <f>IF($A339="","",IF($L339&lt;=0,"",IF($N339="",IFERROR(账期止-LOOKUP(2,1/(入库单!$G$4:$G$2503=$A339),入库单!$C$4:$C$2503),""),账期止-$N339)))</f>
        <v/>
      </c>
      <c r="P339" s="17" t="n"/>
    </row>
    <row r="340">
      <c r="A340" s="17" t="inlineStr">
        <is>
          <t>JH0337</t>
        </is>
      </c>
      <c r="B340" s="17" t="inlineStr">
        <is>
          <t>五金管件</t>
        </is>
      </c>
      <c r="C340" s="17" t="inlineStr">
        <is>
          <t>金属垫80</t>
        </is>
      </c>
      <c r="D340" s="17" t="inlineStr">
        <is>
          <t>管件.阀门.法兰等</t>
        </is>
      </c>
      <c r="E340" s="17" t="inlineStr">
        <is>
          <t>个</t>
        </is>
      </c>
      <c r="F340" s="17" t="inlineStr">
        <is>
          <t>否</t>
        </is>
      </c>
      <c r="G340" s="23" t="n"/>
      <c r="H340" s="24">
        <f>IF($A340="","",IFERROR(LOOKUP(2,1/((入库单!$G$4:$G$2503=$A340)*(入库单!$Y$4:$Y$2503="正常")*(入库单!$L$4:$L$2503&gt;0)),入库单!$D$4:$D$2503),""))</f>
        <v/>
      </c>
      <c r="I340" s="25">
        <f>IF($A340="","",IFERROR(LOOKUP(2,1/((入库单!$G$4:$G$2503=$A340)*(入库单!$Y$4:$Y$2503="正常")*(入库单!$L$4:$L$2503&gt;0)),入库单!$L$4:$L$2503),0))</f>
        <v/>
      </c>
      <c r="J340" s="26">
        <f>IF($A340="","",IF($H340="A国内",ROUND($I340*倍数A*汇率,0),IF($H340="B当地",ROUND($I340*系数B,0),0)))</f>
        <v/>
      </c>
      <c r="K340" s="24">
        <f>IF($A340="","",IF(COUNTIFS(入库单!$G$4:$G$2503,$A340,入库单!$X$4:$X$2503,"待补价")&gt;0,"待补价",IF(COUNTIFS(入库单!$G$4:$G$2503,$A340,入库单!$X$4:$X$2503,"暂估")&gt;0,"暂估",IF($I340=0,"没有进价","正常"))))</f>
        <v/>
      </c>
      <c r="L340" s="27">
        <f>IF($A340="","",IFERROR(VLOOKUP($A340,库存台账!$A$5:$Y$1204,24,0),0))</f>
        <v/>
      </c>
      <c r="M340" s="26">
        <f>IF($A340="","",IFERROR(VLOOKUP($A340,库存台账!$A$5:$Y$1204,25,0),0))</f>
        <v/>
      </c>
      <c r="N340" s="19">
        <f>IF($A340="","",IFERROR(LOOKUP(2,1/((出库单!$D$4:$D$4003=$A340)*(出库单!$T$4:$T$4003="正常")),出库单!$C$4:$C$4003),""))</f>
        <v/>
      </c>
      <c r="O340" s="28">
        <f>IF($A340="","",IF($L340&lt;=0,"",IF($N340="",IFERROR(账期止-LOOKUP(2,1/(入库单!$G$4:$G$2503=$A340),入库单!$C$4:$C$2503),""),账期止-$N340)))</f>
        <v/>
      </c>
      <c r="P340" s="17" t="n"/>
    </row>
    <row r="341">
      <c r="A341" s="17" t="inlineStr">
        <is>
          <t>JH0338</t>
        </is>
      </c>
      <c r="B341" s="17" t="inlineStr">
        <is>
          <t>五金管件</t>
        </is>
      </c>
      <c r="C341" s="17" t="inlineStr">
        <is>
          <t>金属垫100</t>
        </is>
      </c>
      <c r="D341" s="17" t="inlineStr">
        <is>
          <t>管件.阀门.法兰等</t>
        </is>
      </c>
      <c r="E341" s="17" t="inlineStr">
        <is>
          <t>个</t>
        </is>
      </c>
      <c r="F341" s="17" t="inlineStr">
        <is>
          <t>否</t>
        </is>
      </c>
      <c r="G341" s="23" t="n"/>
      <c r="H341" s="24">
        <f>IF($A341="","",IFERROR(LOOKUP(2,1/((入库单!$G$4:$G$2503=$A341)*(入库单!$Y$4:$Y$2503="正常")*(入库单!$L$4:$L$2503&gt;0)),入库单!$D$4:$D$2503),""))</f>
        <v/>
      </c>
      <c r="I341" s="25">
        <f>IF($A341="","",IFERROR(LOOKUP(2,1/((入库单!$G$4:$G$2503=$A341)*(入库单!$Y$4:$Y$2503="正常")*(入库单!$L$4:$L$2503&gt;0)),入库单!$L$4:$L$2503),0))</f>
        <v/>
      </c>
      <c r="J341" s="26">
        <f>IF($A341="","",IF($H341="A国内",ROUND($I341*倍数A*汇率,0),IF($H341="B当地",ROUND($I341*系数B,0),0)))</f>
        <v/>
      </c>
      <c r="K341" s="24">
        <f>IF($A341="","",IF(COUNTIFS(入库单!$G$4:$G$2503,$A341,入库单!$X$4:$X$2503,"待补价")&gt;0,"待补价",IF(COUNTIFS(入库单!$G$4:$G$2503,$A341,入库单!$X$4:$X$2503,"暂估")&gt;0,"暂估",IF($I341=0,"没有进价","正常"))))</f>
        <v/>
      </c>
      <c r="L341" s="27">
        <f>IF($A341="","",IFERROR(VLOOKUP($A341,库存台账!$A$5:$Y$1204,24,0),0))</f>
        <v/>
      </c>
      <c r="M341" s="26">
        <f>IF($A341="","",IFERROR(VLOOKUP($A341,库存台账!$A$5:$Y$1204,25,0),0))</f>
        <v/>
      </c>
      <c r="N341" s="19">
        <f>IF($A341="","",IFERROR(LOOKUP(2,1/((出库单!$D$4:$D$4003=$A341)*(出库单!$T$4:$T$4003="正常")),出库单!$C$4:$C$4003),""))</f>
        <v/>
      </c>
      <c r="O341" s="28">
        <f>IF($A341="","",IF($L341&lt;=0,"",IF($N341="",IFERROR(账期止-LOOKUP(2,1/(入库单!$G$4:$G$2503=$A341),入库单!$C$4:$C$2503),""),账期止-$N341)))</f>
        <v/>
      </c>
      <c r="P341" s="17" t="n"/>
    </row>
    <row r="342">
      <c r="A342" s="17" t="inlineStr">
        <is>
          <t>JH0339</t>
        </is>
      </c>
      <c r="B342" s="17" t="inlineStr">
        <is>
          <t>五金管件</t>
        </is>
      </c>
      <c r="C342" s="17" t="inlineStr">
        <is>
          <t>胶垫25</t>
        </is>
      </c>
      <c r="D342" s="17" t="inlineStr">
        <is>
          <t>管件.阀门.法兰等</t>
        </is>
      </c>
      <c r="E342" s="17" t="inlineStr">
        <is>
          <t>个</t>
        </is>
      </c>
      <c r="F342" s="17" t="inlineStr">
        <is>
          <t>否</t>
        </is>
      </c>
      <c r="G342" s="23" t="n"/>
      <c r="H342" s="24">
        <f>IF($A342="","",IFERROR(LOOKUP(2,1/((入库单!$G$4:$G$2503=$A342)*(入库单!$Y$4:$Y$2503="正常")*(入库单!$L$4:$L$2503&gt;0)),入库单!$D$4:$D$2503),""))</f>
        <v/>
      </c>
      <c r="I342" s="25">
        <f>IF($A342="","",IFERROR(LOOKUP(2,1/((入库单!$G$4:$G$2503=$A342)*(入库单!$Y$4:$Y$2503="正常")*(入库单!$L$4:$L$2503&gt;0)),入库单!$L$4:$L$2503),0))</f>
        <v/>
      </c>
      <c r="J342" s="26">
        <f>IF($A342="","",IF($H342="A国内",ROUND($I342*倍数A*汇率,0),IF($H342="B当地",ROUND($I342*系数B,0),0)))</f>
        <v/>
      </c>
      <c r="K342" s="24">
        <f>IF($A342="","",IF(COUNTIFS(入库单!$G$4:$G$2503,$A342,入库单!$X$4:$X$2503,"待补价")&gt;0,"待补价",IF(COUNTIFS(入库单!$G$4:$G$2503,$A342,入库单!$X$4:$X$2503,"暂估")&gt;0,"暂估",IF($I342=0,"没有进价","正常"))))</f>
        <v/>
      </c>
      <c r="L342" s="27">
        <f>IF($A342="","",IFERROR(VLOOKUP($A342,库存台账!$A$5:$Y$1204,24,0),0))</f>
        <v/>
      </c>
      <c r="M342" s="26">
        <f>IF($A342="","",IFERROR(VLOOKUP($A342,库存台账!$A$5:$Y$1204,25,0),0))</f>
        <v/>
      </c>
      <c r="N342" s="19">
        <f>IF($A342="","",IFERROR(LOOKUP(2,1/((出库单!$D$4:$D$4003=$A342)*(出库单!$T$4:$T$4003="正常")),出库单!$C$4:$C$4003),""))</f>
        <v/>
      </c>
      <c r="O342" s="28">
        <f>IF($A342="","",IF($L342&lt;=0,"",IF($N342="",IFERROR(账期止-LOOKUP(2,1/(入库单!$G$4:$G$2503=$A342),入库单!$C$4:$C$2503),""),账期止-$N342)))</f>
        <v/>
      </c>
      <c r="P342" s="17" t="n"/>
    </row>
    <row r="343">
      <c r="A343" s="17" t="inlineStr">
        <is>
          <t>JH0340</t>
        </is>
      </c>
      <c r="B343" s="17" t="inlineStr">
        <is>
          <t>五金管件</t>
        </is>
      </c>
      <c r="C343" s="17" t="inlineStr">
        <is>
          <t>胶垫40</t>
        </is>
      </c>
      <c r="D343" s="17" t="inlineStr">
        <is>
          <t>管件.阀门.法兰等</t>
        </is>
      </c>
      <c r="E343" s="17" t="inlineStr">
        <is>
          <t>个</t>
        </is>
      </c>
      <c r="F343" s="17" t="inlineStr">
        <is>
          <t>否</t>
        </is>
      </c>
      <c r="G343" s="23" t="n"/>
      <c r="H343" s="24">
        <f>IF($A343="","",IFERROR(LOOKUP(2,1/((入库单!$G$4:$G$2503=$A343)*(入库单!$Y$4:$Y$2503="正常")*(入库单!$L$4:$L$2503&gt;0)),入库单!$D$4:$D$2503),""))</f>
        <v/>
      </c>
      <c r="I343" s="25">
        <f>IF($A343="","",IFERROR(LOOKUP(2,1/((入库单!$G$4:$G$2503=$A343)*(入库单!$Y$4:$Y$2503="正常")*(入库单!$L$4:$L$2503&gt;0)),入库单!$L$4:$L$2503),0))</f>
        <v/>
      </c>
      <c r="J343" s="26">
        <f>IF($A343="","",IF($H343="A国内",ROUND($I343*倍数A*汇率,0),IF($H343="B当地",ROUND($I343*系数B,0),0)))</f>
        <v/>
      </c>
      <c r="K343" s="24">
        <f>IF($A343="","",IF(COUNTIFS(入库单!$G$4:$G$2503,$A343,入库单!$X$4:$X$2503,"待补价")&gt;0,"待补价",IF(COUNTIFS(入库单!$G$4:$G$2503,$A343,入库单!$X$4:$X$2503,"暂估")&gt;0,"暂估",IF($I343=0,"没有进价","正常"))))</f>
        <v/>
      </c>
      <c r="L343" s="27">
        <f>IF($A343="","",IFERROR(VLOOKUP($A343,库存台账!$A$5:$Y$1204,24,0),0))</f>
        <v/>
      </c>
      <c r="M343" s="26">
        <f>IF($A343="","",IFERROR(VLOOKUP($A343,库存台账!$A$5:$Y$1204,25,0),0))</f>
        <v/>
      </c>
      <c r="N343" s="19">
        <f>IF($A343="","",IFERROR(LOOKUP(2,1/((出库单!$D$4:$D$4003=$A343)*(出库单!$T$4:$T$4003="正常")),出库单!$C$4:$C$4003),""))</f>
        <v/>
      </c>
      <c r="O343" s="28">
        <f>IF($A343="","",IF($L343&lt;=0,"",IF($N343="",IFERROR(账期止-LOOKUP(2,1/(入库单!$G$4:$G$2503=$A343),入库单!$C$4:$C$2503),""),账期止-$N343)))</f>
        <v/>
      </c>
      <c r="P343" s="17" t="n"/>
    </row>
    <row r="344">
      <c r="A344" s="17" t="inlineStr">
        <is>
          <t>JH0341</t>
        </is>
      </c>
      <c r="B344" s="17" t="inlineStr">
        <is>
          <t>五金管件</t>
        </is>
      </c>
      <c r="C344" s="17" t="inlineStr">
        <is>
          <t>胶垫65</t>
        </is>
      </c>
      <c r="D344" s="17" t="inlineStr">
        <is>
          <t>管件.阀门.法兰等</t>
        </is>
      </c>
      <c r="E344" s="17" t="inlineStr">
        <is>
          <t>个</t>
        </is>
      </c>
      <c r="F344" s="17" t="inlineStr">
        <is>
          <t>否</t>
        </is>
      </c>
      <c r="G344" s="23" t="n"/>
      <c r="H344" s="24">
        <f>IF($A344="","",IFERROR(LOOKUP(2,1/((入库单!$G$4:$G$2503=$A344)*(入库单!$Y$4:$Y$2503="正常")*(入库单!$L$4:$L$2503&gt;0)),入库单!$D$4:$D$2503),""))</f>
        <v/>
      </c>
      <c r="I344" s="25">
        <f>IF($A344="","",IFERROR(LOOKUP(2,1/((入库单!$G$4:$G$2503=$A344)*(入库单!$Y$4:$Y$2503="正常")*(入库单!$L$4:$L$2503&gt;0)),入库单!$L$4:$L$2503),0))</f>
        <v/>
      </c>
      <c r="J344" s="26">
        <f>IF($A344="","",IF($H344="A国内",ROUND($I344*倍数A*汇率,0),IF($H344="B当地",ROUND($I344*系数B,0),0)))</f>
        <v/>
      </c>
      <c r="K344" s="24">
        <f>IF($A344="","",IF(COUNTIFS(入库单!$G$4:$G$2503,$A344,入库单!$X$4:$X$2503,"待补价")&gt;0,"待补价",IF(COUNTIFS(入库单!$G$4:$G$2503,$A344,入库单!$X$4:$X$2503,"暂估")&gt;0,"暂估",IF($I344=0,"没有进价","正常"))))</f>
        <v/>
      </c>
      <c r="L344" s="27">
        <f>IF($A344="","",IFERROR(VLOOKUP($A344,库存台账!$A$5:$Y$1204,24,0),0))</f>
        <v/>
      </c>
      <c r="M344" s="26">
        <f>IF($A344="","",IFERROR(VLOOKUP($A344,库存台账!$A$5:$Y$1204,25,0),0))</f>
        <v/>
      </c>
      <c r="N344" s="19">
        <f>IF($A344="","",IFERROR(LOOKUP(2,1/((出库单!$D$4:$D$4003=$A344)*(出库单!$T$4:$T$4003="正常")),出库单!$C$4:$C$4003),""))</f>
        <v/>
      </c>
      <c r="O344" s="28">
        <f>IF($A344="","",IF($L344&lt;=0,"",IF($N344="",IFERROR(账期止-LOOKUP(2,1/(入库单!$G$4:$G$2503=$A344),入库单!$C$4:$C$2503),""),账期止-$N344)))</f>
        <v/>
      </c>
      <c r="P344" s="17" t="n"/>
    </row>
    <row r="345">
      <c r="A345" s="17" t="inlineStr">
        <is>
          <t>JH0342</t>
        </is>
      </c>
      <c r="B345" s="17" t="inlineStr">
        <is>
          <t>五金管件</t>
        </is>
      </c>
      <c r="C345" s="17" t="inlineStr">
        <is>
          <t>胶垫80</t>
        </is>
      </c>
      <c r="D345" s="17" t="inlineStr">
        <is>
          <t>管件.阀门.法兰等</t>
        </is>
      </c>
      <c r="E345" s="17" t="inlineStr">
        <is>
          <t>个</t>
        </is>
      </c>
      <c r="F345" s="17" t="inlineStr">
        <is>
          <t>否</t>
        </is>
      </c>
      <c r="G345" s="23" t="n"/>
      <c r="H345" s="24">
        <f>IF($A345="","",IFERROR(LOOKUP(2,1/((入库单!$G$4:$G$2503=$A345)*(入库单!$Y$4:$Y$2503="正常")*(入库单!$L$4:$L$2503&gt;0)),入库单!$D$4:$D$2503),""))</f>
        <v/>
      </c>
      <c r="I345" s="25">
        <f>IF($A345="","",IFERROR(LOOKUP(2,1/((入库单!$G$4:$G$2503=$A345)*(入库单!$Y$4:$Y$2503="正常")*(入库单!$L$4:$L$2503&gt;0)),入库单!$L$4:$L$2503),0))</f>
        <v/>
      </c>
      <c r="J345" s="26">
        <f>IF($A345="","",IF($H345="A国内",ROUND($I345*倍数A*汇率,0),IF($H345="B当地",ROUND($I345*系数B,0),0)))</f>
        <v/>
      </c>
      <c r="K345" s="24">
        <f>IF($A345="","",IF(COUNTIFS(入库单!$G$4:$G$2503,$A345,入库单!$X$4:$X$2503,"待补价")&gt;0,"待补价",IF(COUNTIFS(入库单!$G$4:$G$2503,$A345,入库单!$X$4:$X$2503,"暂估")&gt;0,"暂估",IF($I345=0,"没有进价","正常"))))</f>
        <v/>
      </c>
      <c r="L345" s="27">
        <f>IF($A345="","",IFERROR(VLOOKUP($A345,库存台账!$A$5:$Y$1204,24,0),0))</f>
        <v/>
      </c>
      <c r="M345" s="26">
        <f>IF($A345="","",IFERROR(VLOOKUP($A345,库存台账!$A$5:$Y$1204,25,0),0))</f>
        <v/>
      </c>
      <c r="N345" s="19">
        <f>IF($A345="","",IFERROR(LOOKUP(2,1/((出库单!$D$4:$D$4003=$A345)*(出库单!$T$4:$T$4003="正常")),出库单!$C$4:$C$4003),""))</f>
        <v/>
      </c>
      <c r="O345" s="28">
        <f>IF($A345="","",IF($L345&lt;=0,"",IF($N345="",IFERROR(账期止-LOOKUP(2,1/(入库单!$G$4:$G$2503=$A345),入库单!$C$4:$C$2503),""),账期止-$N345)))</f>
        <v/>
      </c>
      <c r="P345" s="17" t="n"/>
    </row>
    <row r="346">
      <c r="A346" s="17" t="inlineStr">
        <is>
          <t>JH0343</t>
        </is>
      </c>
      <c r="B346" s="17" t="inlineStr">
        <is>
          <t>五金管件</t>
        </is>
      </c>
      <c r="C346" s="17" t="inlineStr">
        <is>
          <t>胶垫100</t>
        </is>
      </c>
      <c r="D346" s="17" t="inlineStr">
        <is>
          <t>管件.阀门.法兰等</t>
        </is>
      </c>
      <c r="E346" s="17" t="inlineStr">
        <is>
          <t>个</t>
        </is>
      </c>
      <c r="F346" s="17" t="inlineStr">
        <is>
          <t>否</t>
        </is>
      </c>
      <c r="G346" s="23" t="n"/>
      <c r="H346" s="24">
        <f>IF($A346="","",IFERROR(LOOKUP(2,1/((入库单!$G$4:$G$2503=$A346)*(入库单!$Y$4:$Y$2503="正常")*(入库单!$L$4:$L$2503&gt;0)),入库单!$D$4:$D$2503),""))</f>
        <v/>
      </c>
      <c r="I346" s="25">
        <f>IF($A346="","",IFERROR(LOOKUP(2,1/((入库单!$G$4:$G$2503=$A346)*(入库单!$Y$4:$Y$2503="正常")*(入库单!$L$4:$L$2503&gt;0)),入库单!$L$4:$L$2503),0))</f>
        <v/>
      </c>
      <c r="J346" s="26">
        <f>IF($A346="","",IF($H346="A国内",ROUND($I346*倍数A*汇率,0),IF($H346="B当地",ROUND($I346*系数B,0),0)))</f>
        <v/>
      </c>
      <c r="K346" s="24">
        <f>IF($A346="","",IF(COUNTIFS(入库单!$G$4:$G$2503,$A346,入库单!$X$4:$X$2503,"待补价")&gt;0,"待补价",IF(COUNTIFS(入库单!$G$4:$G$2503,$A346,入库单!$X$4:$X$2503,"暂估")&gt;0,"暂估",IF($I346=0,"没有进价","正常"))))</f>
        <v/>
      </c>
      <c r="L346" s="27">
        <f>IF($A346="","",IFERROR(VLOOKUP($A346,库存台账!$A$5:$Y$1204,24,0),0))</f>
        <v/>
      </c>
      <c r="M346" s="26">
        <f>IF($A346="","",IFERROR(VLOOKUP($A346,库存台账!$A$5:$Y$1204,25,0),0))</f>
        <v/>
      </c>
      <c r="N346" s="19">
        <f>IF($A346="","",IFERROR(LOOKUP(2,1/((出库单!$D$4:$D$4003=$A346)*(出库单!$T$4:$T$4003="正常")),出库单!$C$4:$C$4003),""))</f>
        <v/>
      </c>
      <c r="O346" s="28">
        <f>IF($A346="","",IF($L346&lt;=0,"",IF($N346="",IFERROR(账期止-LOOKUP(2,1/(入库单!$G$4:$G$2503=$A346),入库单!$C$4:$C$2503),""),账期止-$N346)))</f>
        <v/>
      </c>
      <c r="P346" s="17" t="n"/>
    </row>
    <row r="347">
      <c r="A347" s="17" t="inlineStr">
        <is>
          <t>JH0344</t>
        </is>
      </c>
      <c r="B347" s="17" t="inlineStr">
        <is>
          <t>磨矿介质</t>
        </is>
      </c>
      <c r="C347" s="17" t="inlineStr">
        <is>
          <t>铸钢球阀65</t>
        </is>
      </c>
      <c r="D347" s="17" t="inlineStr">
        <is>
          <t>管件.阀门.法兰等</t>
        </is>
      </c>
      <c r="E347" s="17" t="inlineStr">
        <is>
          <t>个</t>
        </is>
      </c>
      <c r="F347" s="17" t="inlineStr">
        <is>
          <t>是</t>
        </is>
      </c>
      <c r="G347" s="23" t="n"/>
      <c r="H347" s="24">
        <f>IF($A347="","",IFERROR(LOOKUP(2,1/((入库单!$G$4:$G$2503=$A347)*(入库单!$Y$4:$Y$2503="正常")*(入库单!$L$4:$L$2503&gt;0)),入库单!$D$4:$D$2503),""))</f>
        <v/>
      </c>
      <c r="I347" s="25">
        <f>IF($A347="","",IFERROR(LOOKUP(2,1/((入库单!$G$4:$G$2503=$A347)*(入库单!$Y$4:$Y$2503="正常")*(入库单!$L$4:$L$2503&gt;0)),入库单!$L$4:$L$2503),0))</f>
        <v/>
      </c>
      <c r="J347" s="26">
        <f>IF($A347="","",IF($H347="A国内",ROUND($I347*倍数A*汇率,0),IF($H347="B当地",ROUND($I347*系数B,0),0)))</f>
        <v/>
      </c>
      <c r="K347" s="24">
        <f>IF($A347="","",IF(COUNTIFS(入库单!$G$4:$G$2503,$A347,入库单!$X$4:$X$2503,"待补价")&gt;0,"待补价",IF(COUNTIFS(入库单!$G$4:$G$2503,$A347,入库单!$X$4:$X$2503,"暂估")&gt;0,"暂估",IF($I347=0,"没有进价","正常"))))</f>
        <v/>
      </c>
      <c r="L347" s="27">
        <f>IF($A347="","",IFERROR(VLOOKUP($A347,库存台账!$A$5:$Y$1204,24,0),0))</f>
        <v/>
      </c>
      <c r="M347" s="26">
        <f>IF($A347="","",IFERROR(VLOOKUP($A347,库存台账!$A$5:$Y$1204,25,0),0))</f>
        <v/>
      </c>
      <c r="N347" s="19">
        <f>IF($A347="","",IFERROR(LOOKUP(2,1/((出库单!$D$4:$D$4003=$A347)*(出库单!$T$4:$T$4003="正常")),出库单!$C$4:$C$4003),""))</f>
        <v/>
      </c>
      <c r="O347" s="28">
        <f>IF($A347="","",IF($L347&lt;=0,"",IF($N347="",IFERROR(账期止-LOOKUP(2,1/(入库单!$G$4:$G$2503=$A347),入库单!$C$4:$C$2503),""),账期止-$N347)))</f>
        <v/>
      </c>
      <c r="P347" s="17" t="n"/>
    </row>
    <row r="348">
      <c r="A348" s="17" t="inlineStr">
        <is>
          <t>JH0345</t>
        </is>
      </c>
      <c r="B348" s="17" t="inlineStr">
        <is>
          <t>磨矿介质</t>
        </is>
      </c>
      <c r="C348" s="17" t="inlineStr">
        <is>
          <t>铸钢球阀80</t>
        </is>
      </c>
      <c r="D348" s="17" t="inlineStr">
        <is>
          <t>管件.阀门.法兰等</t>
        </is>
      </c>
      <c r="E348" s="17" t="inlineStr">
        <is>
          <t>个</t>
        </is>
      </c>
      <c r="F348" s="17" t="inlineStr">
        <is>
          <t>是</t>
        </is>
      </c>
      <c r="G348" s="23" t="n"/>
      <c r="H348" s="24">
        <f>IF($A348="","",IFERROR(LOOKUP(2,1/((入库单!$G$4:$G$2503=$A348)*(入库单!$Y$4:$Y$2503="正常")*(入库单!$L$4:$L$2503&gt;0)),入库单!$D$4:$D$2503),""))</f>
        <v/>
      </c>
      <c r="I348" s="25">
        <f>IF($A348="","",IFERROR(LOOKUP(2,1/((入库单!$G$4:$G$2503=$A348)*(入库单!$Y$4:$Y$2503="正常")*(入库单!$L$4:$L$2503&gt;0)),入库单!$L$4:$L$2503),0))</f>
        <v/>
      </c>
      <c r="J348" s="26">
        <f>IF($A348="","",IF($H348="A国内",ROUND($I348*倍数A*汇率,0),IF($H348="B当地",ROUND($I348*系数B,0),0)))</f>
        <v/>
      </c>
      <c r="K348" s="24">
        <f>IF($A348="","",IF(COUNTIFS(入库单!$G$4:$G$2503,$A348,入库单!$X$4:$X$2503,"待补价")&gt;0,"待补价",IF(COUNTIFS(入库单!$G$4:$G$2503,$A348,入库单!$X$4:$X$2503,"暂估")&gt;0,"暂估",IF($I348=0,"没有进价","正常"))))</f>
        <v/>
      </c>
      <c r="L348" s="27">
        <f>IF($A348="","",IFERROR(VLOOKUP($A348,库存台账!$A$5:$Y$1204,24,0),0))</f>
        <v/>
      </c>
      <c r="M348" s="26">
        <f>IF($A348="","",IFERROR(VLOOKUP($A348,库存台账!$A$5:$Y$1204,25,0),0))</f>
        <v/>
      </c>
      <c r="N348" s="19">
        <f>IF($A348="","",IFERROR(LOOKUP(2,1/((出库单!$D$4:$D$4003=$A348)*(出库单!$T$4:$T$4003="正常")),出库单!$C$4:$C$4003),""))</f>
        <v/>
      </c>
      <c r="O348" s="28">
        <f>IF($A348="","",IF($L348&lt;=0,"",IF($N348="",IFERROR(账期止-LOOKUP(2,1/(入库单!$G$4:$G$2503=$A348),入库单!$C$4:$C$2503),""),账期止-$N348)))</f>
        <v/>
      </c>
      <c r="P348" s="17" t="n"/>
    </row>
    <row r="349">
      <c r="A349" s="17" t="inlineStr">
        <is>
          <t>JH0346</t>
        </is>
      </c>
      <c r="B349" s="17" t="inlineStr">
        <is>
          <t>磨矿介质</t>
        </is>
      </c>
      <c r="C349" s="17" t="inlineStr">
        <is>
          <t>铸钢球阀100</t>
        </is>
      </c>
      <c r="D349" s="17" t="inlineStr">
        <is>
          <t>管件.阀门.法兰等</t>
        </is>
      </c>
      <c r="E349" s="17" t="inlineStr">
        <is>
          <t>个</t>
        </is>
      </c>
      <c r="F349" s="17" t="inlineStr">
        <is>
          <t>是</t>
        </is>
      </c>
      <c r="G349" s="23" t="n"/>
      <c r="H349" s="24">
        <f>IF($A349="","",IFERROR(LOOKUP(2,1/((入库单!$G$4:$G$2503=$A349)*(入库单!$Y$4:$Y$2503="正常")*(入库单!$L$4:$L$2503&gt;0)),入库单!$D$4:$D$2503),""))</f>
        <v/>
      </c>
      <c r="I349" s="25">
        <f>IF($A349="","",IFERROR(LOOKUP(2,1/((入库单!$G$4:$G$2503=$A349)*(入库单!$Y$4:$Y$2503="正常")*(入库单!$L$4:$L$2503&gt;0)),入库单!$L$4:$L$2503),0))</f>
        <v/>
      </c>
      <c r="J349" s="26">
        <f>IF($A349="","",IF($H349="A国内",ROUND($I349*倍数A*汇率,0),IF($H349="B当地",ROUND($I349*系数B,0),0)))</f>
        <v/>
      </c>
      <c r="K349" s="24">
        <f>IF($A349="","",IF(COUNTIFS(入库单!$G$4:$G$2503,$A349,入库单!$X$4:$X$2503,"待补价")&gt;0,"待补价",IF(COUNTIFS(入库单!$G$4:$G$2503,$A349,入库单!$X$4:$X$2503,"暂估")&gt;0,"暂估",IF($I349=0,"没有进价","正常"))))</f>
        <v/>
      </c>
      <c r="L349" s="27">
        <f>IF($A349="","",IFERROR(VLOOKUP($A349,库存台账!$A$5:$Y$1204,24,0),0))</f>
        <v/>
      </c>
      <c r="M349" s="26">
        <f>IF($A349="","",IFERROR(VLOOKUP($A349,库存台账!$A$5:$Y$1204,25,0),0))</f>
        <v/>
      </c>
      <c r="N349" s="19">
        <f>IF($A349="","",IFERROR(LOOKUP(2,1/((出库单!$D$4:$D$4003=$A349)*(出库单!$T$4:$T$4003="正常")),出库单!$C$4:$C$4003),""))</f>
        <v/>
      </c>
      <c r="O349" s="28">
        <f>IF($A349="","",IF($L349&lt;=0,"",IF($N349="",IFERROR(账期止-LOOKUP(2,1/(入库单!$G$4:$G$2503=$A349),入库单!$C$4:$C$2503),""),账期止-$N349)))</f>
        <v/>
      </c>
      <c r="P349" s="17" t="n"/>
    </row>
    <row r="350">
      <c r="A350" s="17" t="inlineStr">
        <is>
          <t>JH0347</t>
        </is>
      </c>
      <c r="B350" s="17" t="inlineStr">
        <is>
          <t>磨矿介质</t>
        </is>
      </c>
      <c r="C350" s="17" t="inlineStr">
        <is>
          <t>铸钢球阀50</t>
        </is>
      </c>
      <c r="D350" s="17" t="inlineStr">
        <is>
          <t>管件.阀门.法兰等</t>
        </is>
      </c>
      <c r="E350" s="17" t="inlineStr">
        <is>
          <t>个</t>
        </is>
      </c>
      <c r="F350" s="17" t="inlineStr">
        <is>
          <t>是</t>
        </is>
      </c>
      <c r="G350" s="23" t="n"/>
      <c r="H350" s="24">
        <f>IF($A350="","",IFERROR(LOOKUP(2,1/((入库单!$G$4:$G$2503=$A350)*(入库单!$Y$4:$Y$2503="正常")*(入库单!$L$4:$L$2503&gt;0)),入库单!$D$4:$D$2503),""))</f>
        <v/>
      </c>
      <c r="I350" s="25">
        <f>IF($A350="","",IFERROR(LOOKUP(2,1/((入库单!$G$4:$G$2503=$A350)*(入库单!$Y$4:$Y$2503="正常")*(入库单!$L$4:$L$2503&gt;0)),入库单!$L$4:$L$2503),0))</f>
        <v/>
      </c>
      <c r="J350" s="26">
        <f>IF($A350="","",IF($H350="A国内",ROUND($I350*倍数A*汇率,0),IF($H350="B当地",ROUND($I350*系数B,0),0)))</f>
        <v/>
      </c>
      <c r="K350" s="24">
        <f>IF($A350="","",IF(COUNTIFS(入库单!$G$4:$G$2503,$A350,入库单!$X$4:$X$2503,"待补价")&gt;0,"待补价",IF(COUNTIFS(入库单!$G$4:$G$2503,$A350,入库单!$X$4:$X$2503,"暂估")&gt;0,"暂估",IF($I350=0,"没有进价","正常"))))</f>
        <v/>
      </c>
      <c r="L350" s="27">
        <f>IF($A350="","",IFERROR(VLOOKUP($A350,库存台账!$A$5:$Y$1204,24,0),0))</f>
        <v/>
      </c>
      <c r="M350" s="26">
        <f>IF($A350="","",IFERROR(VLOOKUP($A350,库存台账!$A$5:$Y$1204,25,0),0))</f>
        <v/>
      </c>
      <c r="N350" s="19">
        <f>IF($A350="","",IFERROR(LOOKUP(2,1/((出库单!$D$4:$D$4003=$A350)*(出库单!$T$4:$T$4003="正常")),出库单!$C$4:$C$4003),""))</f>
        <v/>
      </c>
      <c r="O350" s="28">
        <f>IF($A350="","",IF($L350&lt;=0,"",IF($N350="",IFERROR(账期止-LOOKUP(2,1/(入库单!$G$4:$G$2503=$A350),入库单!$C$4:$C$2503),""),账期止-$N350)))</f>
        <v/>
      </c>
      <c r="P350" s="17" t="n"/>
    </row>
    <row r="351">
      <c r="A351" s="17" t="inlineStr">
        <is>
          <t>JH0348</t>
        </is>
      </c>
      <c r="B351" s="17" t="inlineStr">
        <is>
          <t>五金管件</t>
        </is>
      </c>
      <c r="C351" s="17" t="inlineStr">
        <is>
          <t>闸阀150</t>
        </is>
      </c>
      <c r="D351" s="17" t="inlineStr">
        <is>
          <t>管件.阀门.法兰等</t>
        </is>
      </c>
      <c r="E351" s="17" t="inlineStr">
        <is>
          <t>个</t>
        </is>
      </c>
      <c r="F351" s="17" t="inlineStr">
        <is>
          <t>否</t>
        </is>
      </c>
      <c r="G351" s="23" t="n"/>
      <c r="H351" s="24">
        <f>IF($A351="","",IFERROR(LOOKUP(2,1/((入库单!$G$4:$G$2503=$A351)*(入库单!$Y$4:$Y$2503="正常")*(入库单!$L$4:$L$2503&gt;0)),入库单!$D$4:$D$2503),""))</f>
        <v/>
      </c>
      <c r="I351" s="25">
        <f>IF($A351="","",IFERROR(LOOKUP(2,1/((入库单!$G$4:$G$2503=$A351)*(入库单!$Y$4:$Y$2503="正常")*(入库单!$L$4:$L$2503&gt;0)),入库单!$L$4:$L$2503),0))</f>
        <v/>
      </c>
      <c r="J351" s="26">
        <f>IF($A351="","",IF($H351="A国内",ROUND($I351*倍数A*汇率,0),IF($H351="B当地",ROUND($I351*系数B,0),0)))</f>
        <v/>
      </c>
      <c r="K351" s="24">
        <f>IF($A351="","",IF(COUNTIFS(入库单!$G$4:$G$2503,$A351,入库单!$X$4:$X$2503,"待补价")&gt;0,"待补价",IF(COUNTIFS(入库单!$G$4:$G$2503,$A351,入库单!$X$4:$X$2503,"暂估")&gt;0,"暂估",IF($I351=0,"没有进价","正常"))))</f>
        <v/>
      </c>
      <c r="L351" s="27">
        <f>IF($A351="","",IFERROR(VLOOKUP($A351,库存台账!$A$5:$Y$1204,24,0),0))</f>
        <v/>
      </c>
      <c r="M351" s="26">
        <f>IF($A351="","",IFERROR(VLOOKUP($A351,库存台账!$A$5:$Y$1204,25,0),0))</f>
        <v/>
      </c>
      <c r="N351" s="19">
        <f>IF($A351="","",IFERROR(LOOKUP(2,1/((出库单!$D$4:$D$4003=$A351)*(出库单!$T$4:$T$4003="正常")),出库单!$C$4:$C$4003),""))</f>
        <v/>
      </c>
      <c r="O351" s="28">
        <f>IF($A351="","",IF($L351&lt;=0,"",IF($N351="",IFERROR(账期止-LOOKUP(2,1/(入库单!$G$4:$G$2503=$A351),入库单!$C$4:$C$2503),""),账期止-$N351)))</f>
        <v/>
      </c>
      <c r="P351" s="17" t="n"/>
    </row>
    <row r="352">
      <c r="A352" s="17" t="inlineStr">
        <is>
          <t>JH0349</t>
        </is>
      </c>
      <c r="B352" s="17" t="inlineStr">
        <is>
          <t>五金管件</t>
        </is>
      </c>
      <c r="C352" s="17" t="inlineStr">
        <is>
          <t>闸阀100</t>
        </is>
      </c>
      <c r="D352" s="17" t="inlineStr">
        <is>
          <t>管件.阀门.法兰等</t>
        </is>
      </c>
      <c r="E352" s="17" t="inlineStr">
        <is>
          <t>个</t>
        </is>
      </c>
      <c r="F352" s="17" t="inlineStr">
        <is>
          <t>否</t>
        </is>
      </c>
      <c r="G352" s="23" t="n"/>
      <c r="H352" s="24">
        <f>IF($A352="","",IFERROR(LOOKUP(2,1/((入库单!$G$4:$G$2503=$A352)*(入库单!$Y$4:$Y$2503="正常")*(入库单!$L$4:$L$2503&gt;0)),入库单!$D$4:$D$2503),""))</f>
        <v/>
      </c>
      <c r="I352" s="25">
        <f>IF($A352="","",IFERROR(LOOKUP(2,1/((入库单!$G$4:$G$2503=$A352)*(入库单!$Y$4:$Y$2503="正常")*(入库单!$L$4:$L$2503&gt;0)),入库单!$L$4:$L$2503),0))</f>
        <v/>
      </c>
      <c r="J352" s="26">
        <f>IF($A352="","",IF($H352="A国内",ROUND($I352*倍数A*汇率,0),IF($H352="B当地",ROUND($I352*系数B,0),0)))</f>
        <v/>
      </c>
      <c r="K352" s="24">
        <f>IF($A352="","",IF(COUNTIFS(入库单!$G$4:$G$2503,$A352,入库单!$X$4:$X$2503,"待补价")&gt;0,"待补价",IF(COUNTIFS(入库单!$G$4:$G$2503,$A352,入库单!$X$4:$X$2503,"暂估")&gt;0,"暂估",IF($I352=0,"没有进价","正常"))))</f>
        <v/>
      </c>
      <c r="L352" s="27">
        <f>IF($A352="","",IFERROR(VLOOKUP($A352,库存台账!$A$5:$Y$1204,24,0),0))</f>
        <v/>
      </c>
      <c r="M352" s="26">
        <f>IF($A352="","",IFERROR(VLOOKUP($A352,库存台账!$A$5:$Y$1204,25,0),0))</f>
        <v/>
      </c>
      <c r="N352" s="19">
        <f>IF($A352="","",IFERROR(LOOKUP(2,1/((出库单!$D$4:$D$4003=$A352)*(出库单!$T$4:$T$4003="正常")),出库单!$C$4:$C$4003),""))</f>
        <v/>
      </c>
      <c r="O352" s="28">
        <f>IF($A352="","",IF($L352&lt;=0,"",IF($N352="",IFERROR(账期止-LOOKUP(2,1/(入库单!$G$4:$G$2503=$A352),入库单!$C$4:$C$2503),""),账期止-$N352)))</f>
        <v/>
      </c>
      <c r="P352" s="17" t="n"/>
    </row>
    <row r="353">
      <c r="A353" s="17" t="inlineStr">
        <is>
          <t>JH0350</t>
        </is>
      </c>
      <c r="B353" s="17" t="inlineStr">
        <is>
          <t>五金管件</t>
        </is>
      </c>
      <c r="C353" s="17" t="inlineStr">
        <is>
          <t>球阀80</t>
        </is>
      </c>
      <c r="D353" s="17" t="inlineStr">
        <is>
          <t>管件.阀门.法兰等</t>
        </is>
      </c>
      <c r="E353" s="17" t="inlineStr">
        <is>
          <t>个</t>
        </is>
      </c>
      <c r="F353" s="17" t="inlineStr">
        <is>
          <t>否</t>
        </is>
      </c>
      <c r="G353" s="23" t="n"/>
      <c r="H353" s="24">
        <f>IF($A353="","",IFERROR(LOOKUP(2,1/((入库单!$G$4:$G$2503=$A353)*(入库单!$Y$4:$Y$2503="正常")*(入库单!$L$4:$L$2503&gt;0)),入库单!$D$4:$D$2503),""))</f>
        <v/>
      </c>
      <c r="I353" s="25">
        <f>IF($A353="","",IFERROR(LOOKUP(2,1/((入库单!$G$4:$G$2503=$A353)*(入库单!$Y$4:$Y$2503="正常")*(入库单!$L$4:$L$2503&gt;0)),入库单!$L$4:$L$2503),0))</f>
        <v/>
      </c>
      <c r="J353" s="26">
        <f>IF($A353="","",IF($H353="A国内",ROUND($I353*倍数A*汇率,0),IF($H353="B当地",ROUND($I353*系数B,0),0)))</f>
        <v/>
      </c>
      <c r="K353" s="24">
        <f>IF($A353="","",IF(COUNTIFS(入库单!$G$4:$G$2503,$A353,入库单!$X$4:$X$2503,"待补价")&gt;0,"待补价",IF(COUNTIFS(入库单!$G$4:$G$2503,$A353,入库单!$X$4:$X$2503,"暂估")&gt;0,"暂估",IF($I353=0,"没有进价","正常"))))</f>
        <v/>
      </c>
      <c r="L353" s="27">
        <f>IF($A353="","",IFERROR(VLOOKUP($A353,库存台账!$A$5:$Y$1204,24,0),0))</f>
        <v/>
      </c>
      <c r="M353" s="26">
        <f>IF($A353="","",IFERROR(VLOOKUP($A353,库存台账!$A$5:$Y$1204,25,0),0))</f>
        <v/>
      </c>
      <c r="N353" s="19">
        <f>IF($A353="","",IFERROR(LOOKUP(2,1/((出库单!$D$4:$D$4003=$A353)*(出库单!$T$4:$T$4003="正常")),出库单!$C$4:$C$4003),""))</f>
        <v/>
      </c>
      <c r="O353" s="28">
        <f>IF($A353="","",IF($L353&lt;=0,"",IF($N353="",IFERROR(账期止-LOOKUP(2,1/(入库单!$G$4:$G$2503=$A353),入库单!$C$4:$C$2503),""),账期止-$N353)))</f>
        <v/>
      </c>
      <c r="P353" s="17" t="n"/>
    </row>
    <row r="354">
      <c r="A354" s="17" t="inlineStr">
        <is>
          <t>JH0351</t>
        </is>
      </c>
      <c r="B354" s="17" t="inlineStr">
        <is>
          <t>五金管件</t>
        </is>
      </c>
      <c r="C354" s="17" t="inlineStr">
        <is>
          <t>法兰65</t>
        </is>
      </c>
      <c r="D354" s="17" t="inlineStr">
        <is>
          <t>管件.阀门.法兰等</t>
        </is>
      </c>
      <c r="E354" s="17" t="inlineStr">
        <is>
          <t>个</t>
        </is>
      </c>
      <c r="F354" s="17" t="inlineStr">
        <is>
          <t>否</t>
        </is>
      </c>
      <c r="G354" s="23" t="n"/>
      <c r="H354" s="24">
        <f>IF($A354="","",IFERROR(LOOKUP(2,1/((入库单!$G$4:$G$2503=$A354)*(入库单!$Y$4:$Y$2503="正常")*(入库单!$L$4:$L$2503&gt;0)),入库单!$D$4:$D$2503),""))</f>
        <v/>
      </c>
      <c r="I354" s="25">
        <f>IF($A354="","",IFERROR(LOOKUP(2,1/((入库单!$G$4:$G$2503=$A354)*(入库单!$Y$4:$Y$2503="正常")*(入库单!$L$4:$L$2503&gt;0)),入库单!$L$4:$L$2503),0))</f>
        <v/>
      </c>
      <c r="J354" s="26">
        <f>IF($A354="","",IF($H354="A国内",ROUND($I354*倍数A*汇率,0),IF($H354="B当地",ROUND($I354*系数B,0),0)))</f>
        <v/>
      </c>
      <c r="K354" s="24">
        <f>IF($A354="","",IF(COUNTIFS(入库单!$G$4:$G$2503,$A354,入库单!$X$4:$X$2503,"待补价")&gt;0,"待补价",IF(COUNTIFS(入库单!$G$4:$G$2503,$A354,入库单!$X$4:$X$2503,"暂估")&gt;0,"暂估",IF($I354=0,"没有进价","正常"))))</f>
        <v/>
      </c>
      <c r="L354" s="27">
        <f>IF($A354="","",IFERROR(VLOOKUP($A354,库存台账!$A$5:$Y$1204,24,0),0))</f>
        <v/>
      </c>
      <c r="M354" s="26">
        <f>IF($A354="","",IFERROR(VLOOKUP($A354,库存台账!$A$5:$Y$1204,25,0),0))</f>
        <v/>
      </c>
      <c r="N354" s="19">
        <f>IF($A354="","",IFERROR(LOOKUP(2,1/((出库单!$D$4:$D$4003=$A354)*(出库单!$T$4:$T$4003="正常")),出库单!$C$4:$C$4003),""))</f>
        <v/>
      </c>
      <c r="O354" s="28">
        <f>IF($A354="","",IF($L354&lt;=0,"",IF($N354="",IFERROR(账期止-LOOKUP(2,1/(入库单!$G$4:$G$2503=$A354),入库单!$C$4:$C$2503),""),账期止-$N354)))</f>
        <v/>
      </c>
      <c r="P354" s="17" t="n"/>
    </row>
    <row r="355">
      <c r="A355" s="17" t="inlineStr">
        <is>
          <t>JH0352</t>
        </is>
      </c>
      <c r="B355" s="17" t="inlineStr">
        <is>
          <t>五金管件</t>
        </is>
      </c>
      <c r="C355" s="17" t="inlineStr">
        <is>
          <t>法兰100</t>
        </is>
      </c>
      <c r="D355" s="17" t="inlineStr">
        <is>
          <t>管件.阀门.法兰等</t>
        </is>
      </c>
      <c r="E355" s="17" t="inlineStr">
        <is>
          <t>个</t>
        </is>
      </c>
      <c r="F355" s="17" t="inlineStr">
        <is>
          <t>否</t>
        </is>
      </c>
      <c r="G355" s="23" t="n"/>
      <c r="H355" s="24">
        <f>IF($A355="","",IFERROR(LOOKUP(2,1/((入库单!$G$4:$G$2503=$A355)*(入库单!$Y$4:$Y$2503="正常")*(入库单!$L$4:$L$2503&gt;0)),入库单!$D$4:$D$2503),""))</f>
        <v/>
      </c>
      <c r="I355" s="25">
        <f>IF($A355="","",IFERROR(LOOKUP(2,1/((入库单!$G$4:$G$2503=$A355)*(入库单!$Y$4:$Y$2503="正常")*(入库单!$L$4:$L$2503&gt;0)),入库单!$L$4:$L$2503),0))</f>
        <v/>
      </c>
      <c r="J355" s="26">
        <f>IF($A355="","",IF($H355="A国内",ROUND($I355*倍数A*汇率,0),IF($H355="B当地",ROUND($I355*系数B,0),0)))</f>
        <v/>
      </c>
      <c r="K355" s="24">
        <f>IF($A355="","",IF(COUNTIFS(入库单!$G$4:$G$2503,$A355,入库单!$X$4:$X$2503,"待补价")&gt;0,"待补价",IF(COUNTIFS(入库单!$G$4:$G$2503,$A355,入库单!$X$4:$X$2503,"暂估")&gt;0,"暂估",IF($I355=0,"没有进价","正常"))))</f>
        <v/>
      </c>
      <c r="L355" s="27">
        <f>IF($A355="","",IFERROR(VLOOKUP($A355,库存台账!$A$5:$Y$1204,24,0),0))</f>
        <v/>
      </c>
      <c r="M355" s="26">
        <f>IF($A355="","",IFERROR(VLOOKUP($A355,库存台账!$A$5:$Y$1204,25,0),0))</f>
        <v/>
      </c>
      <c r="N355" s="19">
        <f>IF($A355="","",IFERROR(LOOKUP(2,1/((出库单!$D$4:$D$4003=$A355)*(出库单!$T$4:$T$4003="正常")),出库单!$C$4:$C$4003),""))</f>
        <v/>
      </c>
      <c r="O355" s="28">
        <f>IF($A355="","",IF($L355&lt;=0,"",IF($N355="",IFERROR(账期止-LOOKUP(2,1/(入库单!$G$4:$G$2503=$A355),入库单!$C$4:$C$2503),""),账期止-$N355)))</f>
        <v/>
      </c>
      <c r="P355" s="17" t="n"/>
    </row>
    <row r="356">
      <c r="A356" s="17" t="inlineStr">
        <is>
          <t>JH0353</t>
        </is>
      </c>
      <c r="B356" s="17" t="inlineStr">
        <is>
          <t>五金管件</t>
        </is>
      </c>
      <c r="C356" s="17" t="inlineStr">
        <is>
          <t>法兰80</t>
        </is>
      </c>
      <c r="D356" s="17" t="inlineStr">
        <is>
          <t>管件.阀门.法兰等</t>
        </is>
      </c>
      <c r="E356" s="17" t="inlineStr">
        <is>
          <t>个</t>
        </is>
      </c>
      <c r="F356" s="17" t="inlineStr">
        <is>
          <t>否</t>
        </is>
      </c>
      <c r="G356" s="23" t="n"/>
      <c r="H356" s="24">
        <f>IF($A356="","",IFERROR(LOOKUP(2,1/((入库单!$G$4:$G$2503=$A356)*(入库单!$Y$4:$Y$2503="正常")*(入库单!$L$4:$L$2503&gt;0)),入库单!$D$4:$D$2503),""))</f>
        <v/>
      </c>
      <c r="I356" s="25">
        <f>IF($A356="","",IFERROR(LOOKUP(2,1/((入库单!$G$4:$G$2503=$A356)*(入库单!$Y$4:$Y$2503="正常")*(入库单!$L$4:$L$2503&gt;0)),入库单!$L$4:$L$2503),0))</f>
        <v/>
      </c>
      <c r="J356" s="26">
        <f>IF($A356="","",IF($H356="A国内",ROUND($I356*倍数A*汇率,0),IF($H356="B当地",ROUND($I356*系数B,0),0)))</f>
        <v/>
      </c>
      <c r="K356" s="24">
        <f>IF($A356="","",IF(COUNTIFS(入库单!$G$4:$G$2503,$A356,入库单!$X$4:$X$2503,"待补价")&gt;0,"待补价",IF(COUNTIFS(入库单!$G$4:$G$2503,$A356,入库单!$X$4:$X$2503,"暂估")&gt;0,"暂估",IF($I356=0,"没有进价","正常"))))</f>
        <v/>
      </c>
      <c r="L356" s="27">
        <f>IF($A356="","",IFERROR(VLOOKUP($A356,库存台账!$A$5:$Y$1204,24,0),0))</f>
        <v/>
      </c>
      <c r="M356" s="26">
        <f>IF($A356="","",IFERROR(VLOOKUP($A356,库存台账!$A$5:$Y$1204,25,0),0))</f>
        <v/>
      </c>
      <c r="N356" s="19">
        <f>IF($A356="","",IFERROR(LOOKUP(2,1/((出库单!$D$4:$D$4003=$A356)*(出库单!$T$4:$T$4003="正常")),出库单!$C$4:$C$4003),""))</f>
        <v/>
      </c>
      <c r="O356" s="28">
        <f>IF($A356="","",IF($L356&lt;=0,"",IF($N356="",IFERROR(账期止-LOOKUP(2,1/(入库单!$G$4:$G$2503=$A356),入库单!$C$4:$C$2503),""),账期止-$N356)))</f>
        <v/>
      </c>
      <c r="P356" s="17" t="n"/>
    </row>
    <row r="357">
      <c r="A357" s="17" t="inlineStr">
        <is>
          <t>JH0354</t>
        </is>
      </c>
      <c r="B357" s="17" t="inlineStr">
        <is>
          <t>五金管件</t>
        </is>
      </c>
      <c r="C357" s="17" t="inlineStr">
        <is>
          <t>法兰50</t>
        </is>
      </c>
      <c r="D357" s="17" t="inlineStr">
        <is>
          <t>管件.阀门.法兰等</t>
        </is>
      </c>
      <c r="E357" s="17" t="inlineStr">
        <is>
          <t>个</t>
        </is>
      </c>
      <c r="F357" s="17" t="inlineStr">
        <is>
          <t>否</t>
        </is>
      </c>
      <c r="G357" s="23" t="n"/>
      <c r="H357" s="24">
        <f>IF($A357="","",IFERROR(LOOKUP(2,1/((入库单!$G$4:$G$2503=$A357)*(入库单!$Y$4:$Y$2503="正常")*(入库单!$L$4:$L$2503&gt;0)),入库单!$D$4:$D$2503),""))</f>
        <v/>
      </c>
      <c r="I357" s="25">
        <f>IF($A357="","",IFERROR(LOOKUP(2,1/((入库单!$G$4:$G$2503=$A357)*(入库单!$Y$4:$Y$2503="正常")*(入库单!$L$4:$L$2503&gt;0)),入库单!$L$4:$L$2503),0))</f>
        <v/>
      </c>
      <c r="J357" s="26">
        <f>IF($A357="","",IF($H357="A国内",ROUND($I357*倍数A*汇率,0),IF($H357="B当地",ROUND($I357*系数B,0),0)))</f>
        <v/>
      </c>
      <c r="K357" s="24">
        <f>IF($A357="","",IF(COUNTIFS(入库单!$G$4:$G$2503,$A357,入库单!$X$4:$X$2503,"待补价")&gt;0,"待补价",IF(COUNTIFS(入库单!$G$4:$G$2503,$A357,入库单!$X$4:$X$2503,"暂估")&gt;0,"暂估",IF($I357=0,"没有进价","正常"))))</f>
        <v/>
      </c>
      <c r="L357" s="27">
        <f>IF($A357="","",IFERROR(VLOOKUP($A357,库存台账!$A$5:$Y$1204,24,0),0))</f>
        <v/>
      </c>
      <c r="M357" s="26">
        <f>IF($A357="","",IFERROR(VLOOKUP($A357,库存台账!$A$5:$Y$1204,25,0),0))</f>
        <v/>
      </c>
      <c r="N357" s="19">
        <f>IF($A357="","",IFERROR(LOOKUP(2,1/((出库单!$D$4:$D$4003=$A357)*(出库单!$T$4:$T$4003="正常")),出库单!$C$4:$C$4003),""))</f>
        <v/>
      </c>
      <c r="O357" s="28">
        <f>IF($A357="","",IF($L357&lt;=0,"",IF($N357="",IFERROR(账期止-LOOKUP(2,1/(入库单!$G$4:$G$2503=$A357),入库单!$C$4:$C$2503),""),账期止-$N357)))</f>
        <v/>
      </c>
      <c r="P357" s="17" t="n"/>
    </row>
    <row r="358">
      <c r="A358" s="17" t="inlineStr">
        <is>
          <t>JH0355</t>
        </is>
      </c>
      <c r="B358" s="17" t="inlineStr">
        <is>
          <t>五金管件</t>
        </is>
      </c>
      <c r="C358" s="17" t="inlineStr">
        <is>
          <t>法兰40</t>
        </is>
      </c>
      <c r="D358" s="17" t="inlineStr">
        <is>
          <t>管件.阀门.法兰等</t>
        </is>
      </c>
      <c r="E358" s="17" t="inlineStr">
        <is>
          <t>个</t>
        </is>
      </c>
      <c r="F358" s="17" t="inlineStr">
        <is>
          <t>否</t>
        </is>
      </c>
      <c r="G358" s="23" t="n"/>
      <c r="H358" s="24">
        <f>IF($A358="","",IFERROR(LOOKUP(2,1/((入库单!$G$4:$G$2503=$A358)*(入库单!$Y$4:$Y$2503="正常")*(入库单!$L$4:$L$2503&gt;0)),入库单!$D$4:$D$2503),""))</f>
        <v/>
      </c>
      <c r="I358" s="25">
        <f>IF($A358="","",IFERROR(LOOKUP(2,1/((入库单!$G$4:$G$2503=$A358)*(入库单!$Y$4:$Y$2503="正常")*(入库单!$L$4:$L$2503&gt;0)),入库单!$L$4:$L$2503),0))</f>
        <v/>
      </c>
      <c r="J358" s="26">
        <f>IF($A358="","",IF($H358="A国内",ROUND($I358*倍数A*汇率,0),IF($H358="B当地",ROUND($I358*系数B,0),0)))</f>
        <v/>
      </c>
      <c r="K358" s="24">
        <f>IF($A358="","",IF(COUNTIFS(入库单!$G$4:$G$2503,$A358,入库单!$X$4:$X$2503,"待补价")&gt;0,"待补价",IF(COUNTIFS(入库单!$G$4:$G$2503,$A358,入库单!$X$4:$X$2503,"暂估")&gt;0,"暂估",IF($I358=0,"没有进价","正常"))))</f>
        <v/>
      </c>
      <c r="L358" s="27">
        <f>IF($A358="","",IFERROR(VLOOKUP($A358,库存台账!$A$5:$Y$1204,24,0),0))</f>
        <v/>
      </c>
      <c r="M358" s="26">
        <f>IF($A358="","",IFERROR(VLOOKUP($A358,库存台账!$A$5:$Y$1204,25,0),0))</f>
        <v/>
      </c>
      <c r="N358" s="19">
        <f>IF($A358="","",IFERROR(LOOKUP(2,1/((出库单!$D$4:$D$4003=$A358)*(出库单!$T$4:$T$4003="正常")),出库单!$C$4:$C$4003),""))</f>
        <v/>
      </c>
      <c r="O358" s="28">
        <f>IF($A358="","",IF($L358&lt;=0,"",IF($N358="",IFERROR(账期止-LOOKUP(2,1/(入库单!$G$4:$G$2503=$A358),入库单!$C$4:$C$2503),""),账期止-$N358)))</f>
        <v/>
      </c>
      <c r="P358" s="17" t="n"/>
    </row>
    <row r="359">
      <c r="A359" s="17" t="inlineStr">
        <is>
          <t>JH0356</t>
        </is>
      </c>
      <c r="B359" s="17" t="inlineStr">
        <is>
          <t>五金管件</t>
        </is>
      </c>
      <c r="C359" s="17" t="inlineStr">
        <is>
          <t>法兰150</t>
        </is>
      </c>
      <c r="D359" s="17" t="inlineStr">
        <is>
          <t>管件.阀门.法兰等</t>
        </is>
      </c>
      <c r="E359" s="17" t="inlineStr">
        <is>
          <t>个</t>
        </is>
      </c>
      <c r="F359" s="17" t="inlineStr">
        <is>
          <t>否</t>
        </is>
      </c>
      <c r="G359" s="23" t="n"/>
      <c r="H359" s="24">
        <f>IF($A359="","",IFERROR(LOOKUP(2,1/((入库单!$G$4:$G$2503=$A359)*(入库单!$Y$4:$Y$2503="正常")*(入库单!$L$4:$L$2503&gt;0)),入库单!$D$4:$D$2503),""))</f>
        <v/>
      </c>
      <c r="I359" s="25">
        <f>IF($A359="","",IFERROR(LOOKUP(2,1/((入库单!$G$4:$G$2503=$A359)*(入库单!$Y$4:$Y$2503="正常")*(入库单!$L$4:$L$2503&gt;0)),入库单!$L$4:$L$2503),0))</f>
        <v/>
      </c>
      <c r="J359" s="26">
        <f>IF($A359="","",IF($H359="A国内",ROUND($I359*倍数A*汇率,0),IF($H359="B当地",ROUND($I359*系数B,0),0)))</f>
        <v/>
      </c>
      <c r="K359" s="24">
        <f>IF($A359="","",IF(COUNTIFS(入库单!$G$4:$G$2503,$A359,入库单!$X$4:$X$2503,"待补价")&gt;0,"待补价",IF(COUNTIFS(入库单!$G$4:$G$2503,$A359,入库单!$X$4:$X$2503,"暂估")&gt;0,"暂估",IF($I359=0,"没有进价","正常"))))</f>
        <v/>
      </c>
      <c r="L359" s="27">
        <f>IF($A359="","",IFERROR(VLOOKUP($A359,库存台账!$A$5:$Y$1204,24,0),0))</f>
        <v/>
      </c>
      <c r="M359" s="26">
        <f>IF($A359="","",IFERROR(VLOOKUP($A359,库存台账!$A$5:$Y$1204,25,0),0))</f>
        <v/>
      </c>
      <c r="N359" s="19">
        <f>IF($A359="","",IFERROR(LOOKUP(2,1/((出库单!$D$4:$D$4003=$A359)*(出库单!$T$4:$T$4003="正常")),出库单!$C$4:$C$4003),""))</f>
        <v/>
      </c>
      <c r="O359" s="28">
        <f>IF($A359="","",IF($L359&lt;=0,"",IF($N359="",IFERROR(账期止-LOOKUP(2,1/(入库单!$G$4:$G$2503=$A359),入库单!$C$4:$C$2503),""),账期止-$N359)))</f>
        <v/>
      </c>
      <c r="P359" s="17" t="n"/>
    </row>
    <row r="360">
      <c r="A360" s="17" t="inlineStr">
        <is>
          <t>JH0357</t>
        </is>
      </c>
      <c r="B360" s="17" t="inlineStr">
        <is>
          <t>五金管件</t>
        </is>
      </c>
      <c r="C360" s="17" t="inlineStr">
        <is>
          <t>80*65变径</t>
        </is>
      </c>
      <c r="D360" s="17" t="inlineStr">
        <is>
          <t>管件.阀门.法兰等</t>
        </is>
      </c>
      <c r="E360" s="17" t="inlineStr">
        <is>
          <t>个</t>
        </is>
      </c>
      <c r="F360" s="17" t="inlineStr">
        <is>
          <t>否</t>
        </is>
      </c>
      <c r="G360" s="23" t="n"/>
      <c r="H360" s="24">
        <f>IF($A360="","",IFERROR(LOOKUP(2,1/((入库单!$G$4:$G$2503=$A360)*(入库单!$Y$4:$Y$2503="正常")*(入库单!$L$4:$L$2503&gt;0)),入库单!$D$4:$D$2503),""))</f>
        <v/>
      </c>
      <c r="I360" s="25">
        <f>IF($A360="","",IFERROR(LOOKUP(2,1/((入库单!$G$4:$G$2503=$A360)*(入库单!$Y$4:$Y$2503="正常")*(入库单!$L$4:$L$2503&gt;0)),入库单!$L$4:$L$2503),0))</f>
        <v/>
      </c>
      <c r="J360" s="26">
        <f>IF($A360="","",IF($H360="A国内",ROUND($I360*倍数A*汇率,0),IF($H360="B当地",ROUND($I360*系数B,0),0)))</f>
        <v/>
      </c>
      <c r="K360" s="24">
        <f>IF($A360="","",IF(COUNTIFS(入库单!$G$4:$G$2503,$A360,入库单!$X$4:$X$2503,"待补价")&gt;0,"待补价",IF(COUNTIFS(入库单!$G$4:$G$2503,$A360,入库单!$X$4:$X$2503,"暂估")&gt;0,"暂估",IF($I360=0,"没有进价","正常"))))</f>
        <v/>
      </c>
      <c r="L360" s="27">
        <f>IF($A360="","",IFERROR(VLOOKUP($A360,库存台账!$A$5:$Y$1204,24,0),0))</f>
        <v/>
      </c>
      <c r="M360" s="26">
        <f>IF($A360="","",IFERROR(VLOOKUP($A360,库存台账!$A$5:$Y$1204,25,0),0))</f>
        <v/>
      </c>
      <c r="N360" s="19">
        <f>IF($A360="","",IFERROR(LOOKUP(2,1/((出库单!$D$4:$D$4003=$A360)*(出库单!$T$4:$T$4003="正常")),出库单!$C$4:$C$4003),""))</f>
        <v/>
      </c>
      <c r="O360" s="28">
        <f>IF($A360="","",IF($L360&lt;=0,"",IF($N360="",IFERROR(账期止-LOOKUP(2,1/(入库单!$G$4:$G$2503=$A360),入库单!$C$4:$C$2503),""),账期止-$N360)))</f>
        <v/>
      </c>
      <c r="P360" s="17" t="n"/>
    </row>
    <row r="361">
      <c r="A361" s="17" t="inlineStr">
        <is>
          <t>JH0358</t>
        </is>
      </c>
      <c r="B361" s="17" t="inlineStr">
        <is>
          <t>五金管件</t>
        </is>
      </c>
      <c r="C361" s="17" t="inlineStr">
        <is>
          <t>100*80变径</t>
        </is>
      </c>
      <c r="D361" s="17" t="inlineStr">
        <is>
          <t>管件.阀门.法兰等</t>
        </is>
      </c>
      <c r="E361" s="17" t="inlineStr">
        <is>
          <t>个</t>
        </is>
      </c>
      <c r="F361" s="17" t="inlineStr">
        <is>
          <t>否</t>
        </is>
      </c>
      <c r="G361" s="23" t="n"/>
      <c r="H361" s="24">
        <f>IF($A361="","",IFERROR(LOOKUP(2,1/((入库单!$G$4:$G$2503=$A361)*(入库单!$Y$4:$Y$2503="正常")*(入库单!$L$4:$L$2503&gt;0)),入库单!$D$4:$D$2503),""))</f>
        <v/>
      </c>
      <c r="I361" s="25">
        <f>IF($A361="","",IFERROR(LOOKUP(2,1/((入库单!$G$4:$G$2503=$A361)*(入库单!$Y$4:$Y$2503="正常")*(入库单!$L$4:$L$2503&gt;0)),入库单!$L$4:$L$2503),0))</f>
        <v/>
      </c>
      <c r="J361" s="26">
        <f>IF($A361="","",IF($H361="A国内",ROUND($I361*倍数A*汇率,0),IF($H361="B当地",ROUND($I361*系数B,0),0)))</f>
        <v/>
      </c>
      <c r="K361" s="24">
        <f>IF($A361="","",IF(COUNTIFS(入库单!$G$4:$G$2503,$A361,入库单!$X$4:$X$2503,"待补价")&gt;0,"待补价",IF(COUNTIFS(入库单!$G$4:$G$2503,$A361,入库单!$X$4:$X$2503,"暂估")&gt;0,"暂估",IF($I361=0,"没有进价","正常"))))</f>
        <v/>
      </c>
      <c r="L361" s="27">
        <f>IF($A361="","",IFERROR(VLOOKUP($A361,库存台账!$A$5:$Y$1204,24,0),0))</f>
        <v/>
      </c>
      <c r="M361" s="26">
        <f>IF($A361="","",IFERROR(VLOOKUP($A361,库存台账!$A$5:$Y$1204,25,0),0))</f>
        <v/>
      </c>
      <c r="N361" s="19">
        <f>IF($A361="","",IFERROR(LOOKUP(2,1/((出库单!$D$4:$D$4003=$A361)*(出库单!$T$4:$T$4003="正常")),出库单!$C$4:$C$4003),""))</f>
        <v/>
      </c>
      <c r="O361" s="28">
        <f>IF($A361="","",IF($L361&lt;=0,"",IF($N361="",IFERROR(账期止-LOOKUP(2,1/(入库单!$G$4:$G$2503=$A361),入库单!$C$4:$C$2503),""),账期止-$N361)))</f>
        <v/>
      </c>
      <c r="P361" s="17" t="n"/>
    </row>
    <row r="362">
      <c r="A362" s="17" t="inlineStr">
        <is>
          <t>JH0359</t>
        </is>
      </c>
      <c r="B362" s="17" t="inlineStr">
        <is>
          <t>五金管件</t>
        </is>
      </c>
      <c r="C362" s="17" t="inlineStr">
        <is>
          <t>50*40变径</t>
        </is>
      </c>
      <c r="D362" s="17" t="inlineStr">
        <is>
          <t>管件.阀门.法兰等</t>
        </is>
      </c>
      <c r="E362" s="17" t="inlineStr">
        <is>
          <t>个</t>
        </is>
      </c>
      <c r="F362" s="17" t="inlineStr">
        <is>
          <t>否</t>
        </is>
      </c>
      <c r="G362" s="23" t="n"/>
      <c r="H362" s="24">
        <f>IF($A362="","",IFERROR(LOOKUP(2,1/((入库单!$G$4:$G$2503=$A362)*(入库单!$Y$4:$Y$2503="正常")*(入库单!$L$4:$L$2503&gt;0)),入库单!$D$4:$D$2503),""))</f>
        <v/>
      </c>
      <c r="I362" s="25">
        <f>IF($A362="","",IFERROR(LOOKUP(2,1/((入库单!$G$4:$G$2503=$A362)*(入库单!$Y$4:$Y$2503="正常")*(入库单!$L$4:$L$2503&gt;0)),入库单!$L$4:$L$2503),0))</f>
        <v/>
      </c>
      <c r="J362" s="26">
        <f>IF($A362="","",IF($H362="A国内",ROUND($I362*倍数A*汇率,0),IF($H362="B当地",ROUND($I362*系数B,0),0)))</f>
        <v/>
      </c>
      <c r="K362" s="24">
        <f>IF($A362="","",IF(COUNTIFS(入库单!$G$4:$G$2503,$A362,入库单!$X$4:$X$2503,"待补价")&gt;0,"待补价",IF(COUNTIFS(入库单!$G$4:$G$2503,$A362,入库单!$X$4:$X$2503,"暂估")&gt;0,"暂估",IF($I362=0,"没有进价","正常"))))</f>
        <v/>
      </c>
      <c r="L362" s="27">
        <f>IF($A362="","",IFERROR(VLOOKUP($A362,库存台账!$A$5:$Y$1204,24,0),0))</f>
        <v/>
      </c>
      <c r="M362" s="26">
        <f>IF($A362="","",IFERROR(VLOOKUP($A362,库存台账!$A$5:$Y$1204,25,0),0))</f>
        <v/>
      </c>
      <c r="N362" s="19">
        <f>IF($A362="","",IFERROR(LOOKUP(2,1/((出库单!$D$4:$D$4003=$A362)*(出库单!$T$4:$T$4003="正常")),出库单!$C$4:$C$4003),""))</f>
        <v/>
      </c>
      <c r="O362" s="28">
        <f>IF($A362="","",IF($L362&lt;=0,"",IF($N362="",IFERROR(账期止-LOOKUP(2,1/(入库单!$G$4:$G$2503=$A362),入库单!$C$4:$C$2503),""),账期止-$N362)))</f>
        <v/>
      </c>
      <c r="P362" s="17" t="n"/>
    </row>
    <row r="363">
      <c r="A363" s="17" t="inlineStr">
        <is>
          <t>JH0360</t>
        </is>
      </c>
      <c r="B363" s="17" t="inlineStr">
        <is>
          <t>五金管件</t>
        </is>
      </c>
      <c r="C363" s="17" t="inlineStr">
        <is>
          <t>弯头80</t>
        </is>
      </c>
      <c r="D363" s="17" t="inlineStr">
        <is>
          <t>管件.阀门.法兰等</t>
        </is>
      </c>
      <c r="E363" s="17" t="inlineStr">
        <is>
          <t>个</t>
        </is>
      </c>
      <c r="F363" s="17" t="inlineStr">
        <is>
          <t>否</t>
        </is>
      </c>
      <c r="G363" s="23" t="n"/>
      <c r="H363" s="24">
        <f>IF($A363="","",IFERROR(LOOKUP(2,1/((入库单!$G$4:$G$2503=$A363)*(入库单!$Y$4:$Y$2503="正常")*(入库单!$L$4:$L$2503&gt;0)),入库单!$D$4:$D$2503),""))</f>
        <v/>
      </c>
      <c r="I363" s="25">
        <f>IF($A363="","",IFERROR(LOOKUP(2,1/((入库单!$G$4:$G$2503=$A363)*(入库单!$Y$4:$Y$2503="正常")*(入库单!$L$4:$L$2503&gt;0)),入库单!$L$4:$L$2503),0))</f>
        <v/>
      </c>
      <c r="J363" s="26">
        <f>IF($A363="","",IF($H363="A国内",ROUND($I363*倍数A*汇率,0),IF($H363="B当地",ROUND($I363*系数B,0),0)))</f>
        <v/>
      </c>
      <c r="K363" s="24">
        <f>IF($A363="","",IF(COUNTIFS(入库单!$G$4:$G$2503,$A363,入库单!$X$4:$X$2503,"待补价")&gt;0,"待补价",IF(COUNTIFS(入库单!$G$4:$G$2503,$A363,入库单!$X$4:$X$2503,"暂估")&gt;0,"暂估",IF($I363=0,"没有进价","正常"))))</f>
        <v/>
      </c>
      <c r="L363" s="27">
        <f>IF($A363="","",IFERROR(VLOOKUP($A363,库存台账!$A$5:$Y$1204,24,0),0))</f>
        <v/>
      </c>
      <c r="M363" s="26">
        <f>IF($A363="","",IFERROR(VLOOKUP($A363,库存台账!$A$5:$Y$1204,25,0),0))</f>
        <v/>
      </c>
      <c r="N363" s="19">
        <f>IF($A363="","",IFERROR(LOOKUP(2,1/((出库单!$D$4:$D$4003=$A363)*(出库单!$T$4:$T$4003="正常")),出库单!$C$4:$C$4003),""))</f>
        <v/>
      </c>
      <c r="O363" s="28">
        <f>IF($A363="","",IF($L363&lt;=0,"",IF($N363="",IFERROR(账期止-LOOKUP(2,1/(入库单!$G$4:$G$2503=$A363),入库单!$C$4:$C$2503),""),账期止-$N363)))</f>
        <v/>
      </c>
      <c r="P363" s="17" t="n"/>
    </row>
    <row r="364">
      <c r="A364" s="17" t="inlineStr">
        <is>
          <t>JH0361</t>
        </is>
      </c>
      <c r="B364" s="17" t="inlineStr">
        <is>
          <t>五金管件</t>
        </is>
      </c>
      <c r="C364" s="17" t="inlineStr">
        <is>
          <t>弯头100</t>
        </is>
      </c>
      <c r="D364" s="17" t="inlineStr">
        <is>
          <t>管件.阀门.法兰等</t>
        </is>
      </c>
      <c r="E364" s="17" t="inlineStr">
        <is>
          <t>个</t>
        </is>
      </c>
      <c r="F364" s="17" t="inlineStr">
        <is>
          <t>否</t>
        </is>
      </c>
      <c r="G364" s="23" t="n"/>
      <c r="H364" s="24">
        <f>IF($A364="","",IFERROR(LOOKUP(2,1/((入库单!$G$4:$G$2503=$A364)*(入库单!$Y$4:$Y$2503="正常")*(入库单!$L$4:$L$2503&gt;0)),入库单!$D$4:$D$2503),""))</f>
        <v/>
      </c>
      <c r="I364" s="25">
        <f>IF($A364="","",IFERROR(LOOKUP(2,1/((入库单!$G$4:$G$2503=$A364)*(入库单!$Y$4:$Y$2503="正常")*(入库单!$L$4:$L$2503&gt;0)),入库单!$L$4:$L$2503),0))</f>
        <v/>
      </c>
      <c r="J364" s="26">
        <f>IF($A364="","",IF($H364="A国内",ROUND($I364*倍数A*汇率,0),IF($H364="B当地",ROUND($I364*系数B,0),0)))</f>
        <v/>
      </c>
      <c r="K364" s="24">
        <f>IF($A364="","",IF(COUNTIFS(入库单!$G$4:$G$2503,$A364,入库单!$X$4:$X$2503,"待补价")&gt;0,"待补价",IF(COUNTIFS(入库单!$G$4:$G$2503,$A364,入库单!$X$4:$X$2503,"暂估")&gt;0,"暂估",IF($I364=0,"没有进价","正常"))))</f>
        <v/>
      </c>
      <c r="L364" s="27">
        <f>IF($A364="","",IFERROR(VLOOKUP($A364,库存台账!$A$5:$Y$1204,24,0),0))</f>
        <v/>
      </c>
      <c r="M364" s="26">
        <f>IF($A364="","",IFERROR(VLOOKUP($A364,库存台账!$A$5:$Y$1204,25,0),0))</f>
        <v/>
      </c>
      <c r="N364" s="19">
        <f>IF($A364="","",IFERROR(LOOKUP(2,1/((出库单!$D$4:$D$4003=$A364)*(出库单!$T$4:$T$4003="正常")),出库单!$C$4:$C$4003),""))</f>
        <v/>
      </c>
      <c r="O364" s="28">
        <f>IF($A364="","",IF($L364&lt;=0,"",IF($N364="",IFERROR(账期止-LOOKUP(2,1/(入库单!$G$4:$G$2503=$A364),入库单!$C$4:$C$2503),""),账期止-$N364)))</f>
        <v/>
      </c>
      <c r="P364" s="17" t="n"/>
    </row>
    <row r="365">
      <c r="A365" s="17" t="inlineStr">
        <is>
          <t>JH0362</t>
        </is>
      </c>
      <c r="B365" s="17" t="inlineStr">
        <is>
          <t>五金管件</t>
        </is>
      </c>
      <c r="C365" s="17" t="inlineStr">
        <is>
          <t>弯头65</t>
        </is>
      </c>
      <c r="D365" s="17" t="inlineStr">
        <is>
          <t>管件.阀门.法兰等</t>
        </is>
      </c>
      <c r="E365" s="17" t="inlineStr">
        <is>
          <t>个</t>
        </is>
      </c>
      <c r="F365" s="17" t="inlineStr">
        <is>
          <t>否</t>
        </is>
      </c>
      <c r="G365" s="23" t="n"/>
      <c r="H365" s="24">
        <f>IF($A365="","",IFERROR(LOOKUP(2,1/((入库单!$G$4:$G$2503=$A365)*(入库单!$Y$4:$Y$2503="正常")*(入库单!$L$4:$L$2503&gt;0)),入库单!$D$4:$D$2503),""))</f>
        <v/>
      </c>
      <c r="I365" s="25">
        <f>IF($A365="","",IFERROR(LOOKUP(2,1/((入库单!$G$4:$G$2503=$A365)*(入库单!$Y$4:$Y$2503="正常")*(入库单!$L$4:$L$2503&gt;0)),入库单!$L$4:$L$2503),0))</f>
        <v/>
      </c>
      <c r="J365" s="26">
        <f>IF($A365="","",IF($H365="A国内",ROUND($I365*倍数A*汇率,0),IF($H365="B当地",ROUND($I365*系数B,0),0)))</f>
        <v/>
      </c>
      <c r="K365" s="24">
        <f>IF($A365="","",IF(COUNTIFS(入库单!$G$4:$G$2503,$A365,入库单!$X$4:$X$2503,"待补价")&gt;0,"待补价",IF(COUNTIFS(入库单!$G$4:$G$2503,$A365,入库单!$X$4:$X$2503,"暂估")&gt;0,"暂估",IF($I365=0,"没有进价","正常"))))</f>
        <v/>
      </c>
      <c r="L365" s="27">
        <f>IF($A365="","",IFERROR(VLOOKUP($A365,库存台账!$A$5:$Y$1204,24,0),0))</f>
        <v/>
      </c>
      <c r="M365" s="26">
        <f>IF($A365="","",IFERROR(VLOOKUP($A365,库存台账!$A$5:$Y$1204,25,0),0))</f>
        <v/>
      </c>
      <c r="N365" s="19">
        <f>IF($A365="","",IFERROR(LOOKUP(2,1/((出库单!$D$4:$D$4003=$A365)*(出库单!$T$4:$T$4003="正常")),出库单!$C$4:$C$4003),""))</f>
        <v/>
      </c>
      <c r="O365" s="28">
        <f>IF($A365="","",IF($L365&lt;=0,"",IF($N365="",IFERROR(账期止-LOOKUP(2,1/(入库单!$G$4:$G$2503=$A365),入库单!$C$4:$C$2503),""),账期止-$N365)))</f>
        <v/>
      </c>
      <c r="P365" s="17" t="n"/>
    </row>
    <row r="366">
      <c r="A366" s="17" t="inlineStr">
        <is>
          <t>JH0363</t>
        </is>
      </c>
      <c r="B366" s="17" t="inlineStr">
        <is>
          <t>五金管件</t>
        </is>
      </c>
      <c r="C366" s="17" t="inlineStr">
        <is>
          <t>弯头150</t>
        </is>
      </c>
      <c r="D366" s="17" t="inlineStr">
        <is>
          <t>管件.阀门.法兰等</t>
        </is>
      </c>
      <c r="E366" s="17" t="inlineStr">
        <is>
          <t>个</t>
        </is>
      </c>
      <c r="F366" s="17" t="inlineStr">
        <is>
          <t>否</t>
        </is>
      </c>
      <c r="G366" s="23" t="n"/>
      <c r="H366" s="24">
        <f>IF($A366="","",IFERROR(LOOKUP(2,1/((入库单!$G$4:$G$2503=$A366)*(入库单!$Y$4:$Y$2503="正常")*(入库单!$L$4:$L$2503&gt;0)),入库单!$D$4:$D$2503),""))</f>
        <v/>
      </c>
      <c r="I366" s="25">
        <f>IF($A366="","",IFERROR(LOOKUP(2,1/((入库单!$G$4:$G$2503=$A366)*(入库单!$Y$4:$Y$2503="正常")*(入库单!$L$4:$L$2503&gt;0)),入库单!$L$4:$L$2503),0))</f>
        <v/>
      </c>
      <c r="J366" s="26">
        <f>IF($A366="","",IF($H366="A国内",ROUND($I366*倍数A*汇率,0),IF($H366="B当地",ROUND($I366*系数B,0),0)))</f>
        <v/>
      </c>
      <c r="K366" s="24">
        <f>IF($A366="","",IF(COUNTIFS(入库单!$G$4:$G$2503,$A366,入库单!$X$4:$X$2503,"待补价")&gt;0,"待补价",IF(COUNTIFS(入库单!$G$4:$G$2503,$A366,入库单!$X$4:$X$2503,"暂估")&gt;0,"暂估",IF($I366=0,"没有进价","正常"))))</f>
        <v/>
      </c>
      <c r="L366" s="27">
        <f>IF($A366="","",IFERROR(VLOOKUP($A366,库存台账!$A$5:$Y$1204,24,0),0))</f>
        <v/>
      </c>
      <c r="M366" s="26">
        <f>IF($A366="","",IFERROR(VLOOKUP($A366,库存台账!$A$5:$Y$1204,25,0),0))</f>
        <v/>
      </c>
      <c r="N366" s="19">
        <f>IF($A366="","",IFERROR(LOOKUP(2,1/((出库单!$D$4:$D$4003=$A366)*(出库单!$T$4:$T$4003="正常")),出库单!$C$4:$C$4003),""))</f>
        <v/>
      </c>
      <c r="O366" s="28">
        <f>IF($A366="","",IF($L366&lt;=0,"",IF($N366="",IFERROR(账期止-LOOKUP(2,1/(入库单!$G$4:$G$2503=$A366),入库单!$C$4:$C$2503),""),账期止-$N366)))</f>
        <v/>
      </c>
      <c r="P366" s="17" t="n"/>
    </row>
    <row r="367">
      <c r="A367" s="17" t="inlineStr">
        <is>
          <t>JH0364</t>
        </is>
      </c>
      <c r="B367" s="17" t="inlineStr">
        <is>
          <t>五金管件</t>
        </is>
      </c>
      <c r="C367" s="17" t="inlineStr">
        <is>
          <t>三通25</t>
        </is>
      </c>
      <c r="D367" s="17" t="inlineStr">
        <is>
          <t>管件.阀门.法兰等</t>
        </is>
      </c>
      <c r="E367" s="17" t="inlineStr">
        <is>
          <t>个</t>
        </is>
      </c>
      <c r="F367" s="17" t="inlineStr">
        <is>
          <t>否</t>
        </is>
      </c>
      <c r="G367" s="23" t="n"/>
      <c r="H367" s="24">
        <f>IF($A367="","",IFERROR(LOOKUP(2,1/((入库单!$G$4:$G$2503=$A367)*(入库单!$Y$4:$Y$2503="正常")*(入库单!$L$4:$L$2503&gt;0)),入库单!$D$4:$D$2503),""))</f>
        <v/>
      </c>
      <c r="I367" s="25">
        <f>IF($A367="","",IFERROR(LOOKUP(2,1/((入库单!$G$4:$G$2503=$A367)*(入库单!$Y$4:$Y$2503="正常")*(入库单!$L$4:$L$2503&gt;0)),入库单!$L$4:$L$2503),0))</f>
        <v/>
      </c>
      <c r="J367" s="26">
        <f>IF($A367="","",IF($H367="A国内",ROUND($I367*倍数A*汇率,0),IF($H367="B当地",ROUND($I367*系数B,0),0)))</f>
        <v/>
      </c>
      <c r="K367" s="24">
        <f>IF($A367="","",IF(COUNTIFS(入库单!$G$4:$G$2503,$A367,入库单!$X$4:$X$2503,"待补价")&gt;0,"待补价",IF(COUNTIFS(入库单!$G$4:$G$2503,$A367,入库单!$X$4:$X$2503,"暂估")&gt;0,"暂估",IF($I367=0,"没有进价","正常"))))</f>
        <v/>
      </c>
      <c r="L367" s="27">
        <f>IF($A367="","",IFERROR(VLOOKUP($A367,库存台账!$A$5:$Y$1204,24,0),0))</f>
        <v/>
      </c>
      <c r="M367" s="26">
        <f>IF($A367="","",IFERROR(VLOOKUP($A367,库存台账!$A$5:$Y$1204,25,0),0))</f>
        <v/>
      </c>
      <c r="N367" s="19">
        <f>IF($A367="","",IFERROR(LOOKUP(2,1/((出库单!$D$4:$D$4003=$A367)*(出库单!$T$4:$T$4003="正常")),出库单!$C$4:$C$4003),""))</f>
        <v/>
      </c>
      <c r="O367" s="28">
        <f>IF($A367="","",IF($L367&lt;=0,"",IF($N367="",IFERROR(账期止-LOOKUP(2,1/(入库单!$G$4:$G$2503=$A367),入库单!$C$4:$C$2503),""),账期止-$N367)))</f>
        <v/>
      </c>
      <c r="P367" s="17" t="n"/>
    </row>
    <row r="368">
      <c r="A368" s="17" t="inlineStr">
        <is>
          <t>JH0365</t>
        </is>
      </c>
      <c r="B368" s="17" t="inlineStr">
        <is>
          <t>五金管件</t>
        </is>
      </c>
      <c r="C368" s="17" t="inlineStr">
        <is>
          <t>三通50</t>
        </is>
      </c>
      <c r="D368" s="17" t="inlineStr">
        <is>
          <t>管件.阀门.法兰等</t>
        </is>
      </c>
      <c r="E368" s="17" t="inlineStr">
        <is>
          <t>个</t>
        </is>
      </c>
      <c r="F368" s="17" t="inlineStr">
        <is>
          <t>否</t>
        </is>
      </c>
      <c r="G368" s="23" t="n"/>
      <c r="H368" s="24">
        <f>IF($A368="","",IFERROR(LOOKUP(2,1/((入库单!$G$4:$G$2503=$A368)*(入库单!$Y$4:$Y$2503="正常")*(入库单!$L$4:$L$2503&gt;0)),入库单!$D$4:$D$2503),""))</f>
        <v/>
      </c>
      <c r="I368" s="25">
        <f>IF($A368="","",IFERROR(LOOKUP(2,1/((入库单!$G$4:$G$2503=$A368)*(入库单!$Y$4:$Y$2503="正常")*(入库单!$L$4:$L$2503&gt;0)),入库单!$L$4:$L$2503),0))</f>
        <v/>
      </c>
      <c r="J368" s="26">
        <f>IF($A368="","",IF($H368="A国内",ROUND($I368*倍数A*汇率,0),IF($H368="B当地",ROUND($I368*系数B,0),0)))</f>
        <v/>
      </c>
      <c r="K368" s="24">
        <f>IF($A368="","",IF(COUNTIFS(入库单!$G$4:$G$2503,$A368,入库单!$X$4:$X$2503,"待补价")&gt;0,"待补价",IF(COUNTIFS(入库单!$G$4:$G$2503,$A368,入库单!$X$4:$X$2503,"暂估")&gt;0,"暂估",IF($I368=0,"没有进价","正常"))))</f>
        <v/>
      </c>
      <c r="L368" s="27">
        <f>IF($A368="","",IFERROR(VLOOKUP($A368,库存台账!$A$5:$Y$1204,24,0),0))</f>
        <v/>
      </c>
      <c r="M368" s="26">
        <f>IF($A368="","",IFERROR(VLOOKUP($A368,库存台账!$A$5:$Y$1204,25,0),0))</f>
        <v/>
      </c>
      <c r="N368" s="19">
        <f>IF($A368="","",IFERROR(LOOKUP(2,1/((出库单!$D$4:$D$4003=$A368)*(出库单!$T$4:$T$4003="正常")),出库单!$C$4:$C$4003),""))</f>
        <v/>
      </c>
      <c r="O368" s="28">
        <f>IF($A368="","",IF($L368&lt;=0,"",IF($N368="",IFERROR(账期止-LOOKUP(2,1/(入库单!$G$4:$G$2503=$A368),入库单!$C$4:$C$2503),""),账期止-$N368)))</f>
        <v/>
      </c>
      <c r="P368" s="17" t="n"/>
    </row>
    <row r="369">
      <c r="A369" s="17" t="inlineStr">
        <is>
          <t>JH0366</t>
        </is>
      </c>
      <c r="B369" s="17" t="inlineStr">
        <is>
          <t>五金管件</t>
        </is>
      </c>
      <c r="C369" s="17" t="inlineStr">
        <is>
          <t>丝头50*150</t>
        </is>
      </c>
      <c r="D369" s="17" t="inlineStr">
        <is>
          <t>管件.阀门.法兰等</t>
        </is>
      </c>
      <c r="E369" s="17" t="inlineStr">
        <is>
          <t>个</t>
        </is>
      </c>
      <c r="F369" s="17" t="inlineStr">
        <is>
          <t>否</t>
        </is>
      </c>
      <c r="G369" s="23" t="n"/>
      <c r="H369" s="24">
        <f>IF($A369="","",IFERROR(LOOKUP(2,1/((入库单!$G$4:$G$2503=$A369)*(入库单!$Y$4:$Y$2503="正常")*(入库单!$L$4:$L$2503&gt;0)),入库单!$D$4:$D$2503),""))</f>
        <v/>
      </c>
      <c r="I369" s="25">
        <f>IF($A369="","",IFERROR(LOOKUP(2,1/((入库单!$G$4:$G$2503=$A369)*(入库单!$Y$4:$Y$2503="正常")*(入库单!$L$4:$L$2503&gt;0)),入库单!$L$4:$L$2503),0))</f>
        <v/>
      </c>
      <c r="J369" s="26">
        <f>IF($A369="","",IF($H369="A国内",ROUND($I369*倍数A*汇率,0),IF($H369="B当地",ROUND($I369*系数B,0),0)))</f>
        <v/>
      </c>
      <c r="K369" s="24">
        <f>IF($A369="","",IF(COUNTIFS(入库单!$G$4:$G$2503,$A369,入库单!$X$4:$X$2503,"待补价")&gt;0,"待补价",IF(COUNTIFS(入库单!$G$4:$G$2503,$A369,入库单!$X$4:$X$2503,"暂估")&gt;0,"暂估",IF($I369=0,"没有进价","正常"))))</f>
        <v/>
      </c>
      <c r="L369" s="27">
        <f>IF($A369="","",IFERROR(VLOOKUP($A369,库存台账!$A$5:$Y$1204,24,0),0))</f>
        <v/>
      </c>
      <c r="M369" s="26">
        <f>IF($A369="","",IFERROR(VLOOKUP($A369,库存台账!$A$5:$Y$1204,25,0),0))</f>
        <v/>
      </c>
      <c r="N369" s="19">
        <f>IF($A369="","",IFERROR(LOOKUP(2,1/((出库单!$D$4:$D$4003=$A369)*(出库单!$T$4:$T$4003="正常")),出库单!$C$4:$C$4003),""))</f>
        <v/>
      </c>
      <c r="O369" s="28">
        <f>IF($A369="","",IF($L369&lt;=0,"",IF($N369="",IFERROR(账期止-LOOKUP(2,1/(入库单!$G$4:$G$2503=$A369),入库单!$C$4:$C$2503),""),账期止-$N369)))</f>
        <v/>
      </c>
      <c r="P369" s="17" t="n"/>
    </row>
    <row r="370">
      <c r="A370" s="17" t="inlineStr">
        <is>
          <t>JH0367</t>
        </is>
      </c>
      <c r="B370" s="17" t="inlineStr">
        <is>
          <t>五金管件</t>
        </is>
      </c>
      <c r="C370" s="17" t="inlineStr">
        <is>
          <t>丝头25*150</t>
        </is>
      </c>
      <c r="D370" s="17" t="inlineStr">
        <is>
          <t>管件.阀门.法兰等</t>
        </is>
      </c>
      <c r="E370" s="17" t="inlineStr">
        <is>
          <t>个</t>
        </is>
      </c>
      <c r="F370" s="17" t="inlineStr">
        <is>
          <t>否</t>
        </is>
      </c>
      <c r="G370" s="23" t="n"/>
      <c r="H370" s="24">
        <f>IF($A370="","",IFERROR(LOOKUP(2,1/((入库单!$G$4:$G$2503=$A370)*(入库单!$Y$4:$Y$2503="正常")*(入库单!$L$4:$L$2503&gt;0)),入库单!$D$4:$D$2503),""))</f>
        <v/>
      </c>
      <c r="I370" s="25">
        <f>IF($A370="","",IFERROR(LOOKUP(2,1/((入库单!$G$4:$G$2503=$A370)*(入库单!$Y$4:$Y$2503="正常")*(入库单!$L$4:$L$2503&gt;0)),入库单!$L$4:$L$2503),0))</f>
        <v/>
      </c>
      <c r="J370" s="26">
        <f>IF($A370="","",IF($H370="A国内",ROUND($I370*倍数A*汇率,0),IF($H370="B当地",ROUND($I370*系数B,0),0)))</f>
        <v/>
      </c>
      <c r="K370" s="24">
        <f>IF($A370="","",IF(COUNTIFS(入库单!$G$4:$G$2503,$A370,入库单!$X$4:$X$2503,"待补价")&gt;0,"待补价",IF(COUNTIFS(入库单!$G$4:$G$2503,$A370,入库单!$X$4:$X$2503,"暂估")&gt;0,"暂估",IF($I370=0,"没有进价","正常"))))</f>
        <v/>
      </c>
      <c r="L370" s="27">
        <f>IF($A370="","",IFERROR(VLOOKUP($A370,库存台账!$A$5:$Y$1204,24,0),0))</f>
        <v/>
      </c>
      <c r="M370" s="26">
        <f>IF($A370="","",IFERROR(VLOOKUP($A370,库存台账!$A$5:$Y$1204,25,0),0))</f>
        <v/>
      </c>
      <c r="N370" s="19">
        <f>IF($A370="","",IFERROR(LOOKUP(2,1/((出库单!$D$4:$D$4003=$A370)*(出库单!$T$4:$T$4003="正常")),出库单!$C$4:$C$4003),""))</f>
        <v/>
      </c>
      <c r="O370" s="28">
        <f>IF($A370="","",IF($L370&lt;=0,"",IF($N370="",IFERROR(账期止-LOOKUP(2,1/(入库单!$G$4:$G$2503=$A370),入库单!$C$4:$C$2503),""),账期止-$N370)))</f>
        <v/>
      </c>
      <c r="P370" s="17" t="n"/>
    </row>
    <row r="371">
      <c r="A371" s="17" t="inlineStr">
        <is>
          <t>JH0368</t>
        </is>
      </c>
      <c r="B371" s="17" t="inlineStr">
        <is>
          <t>五金管件</t>
        </is>
      </c>
      <c r="C371" s="17" t="inlineStr">
        <is>
          <t>对丝25</t>
        </is>
      </c>
      <c r="D371" s="17" t="inlineStr">
        <is>
          <t>管件.阀门.法兰等</t>
        </is>
      </c>
      <c r="E371" s="17" t="inlineStr">
        <is>
          <t>个</t>
        </is>
      </c>
      <c r="F371" s="17" t="inlineStr">
        <is>
          <t>否</t>
        </is>
      </c>
      <c r="G371" s="23" t="n"/>
      <c r="H371" s="24">
        <f>IF($A371="","",IFERROR(LOOKUP(2,1/((入库单!$G$4:$G$2503=$A371)*(入库单!$Y$4:$Y$2503="正常")*(入库单!$L$4:$L$2503&gt;0)),入库单!$D$4:$D$2503),""))</f>
        <v/>
      </c>
      <c r="I371" s="25">
        <f>IF($A371="","",IFERROR(LOOKUP(2,1/((入库单!$G$4:$G$2503=$A371)*(入库单!$Y$4:$Y$2503="正常")*(入库单!$L$4:$L$2503&gt;0)),入库单!$L$4:$L$2503),0))</f>
        <v/>
      </c>
      <c r="J371" s="26">
        <f>IF($A371="","",IF($H371="A国内",ROUND($I371*倍数A*汇率,0),IF($H371="B当地",ROUND($I371*系数B,0),0)))</f>
        <v/>
      </c>
      <c r="K371" s="24">
        <f>IF($A371="","",IF(COUNTIFS(入库单!$G$4:$G$2503,$A371,入库单!$X$4:$X$2503,"待补价")&gt;0,"待补价",IF(COUNTIFS(入库单!$G$4:$G$2503,$A371,入库单!$X$4:$X$2503,"暂估")&gt;0,"暂估",IF($I371=0,"没有进价","正常"))))</f>
        <v/>
      </c>
      <c r="L371" s="27">
        <f>IF($A371="","",IFERROR(VLOOKUP($A371,库存台账!$A$5:$Y$1204,24,0),0))</f>
        <v/>
      </c>
      <c r="M371" s="26">
        <f>IF($A371="","",IFERROR(VLOOKUP($A371,库存台账!$A$5:$Y$1204,25,0),0))</f>
        <v/>
      </c>
      <c r="N371" s="19">
        <f>IF($A371="","",IFERROR(LOOKUP(2,1/((出库单!$D$4:$D$4003=$A371)*(出库单!$T$4:$T$4003="正常")),出库单!$C$4:$C$4003),""))</f>
        <v/>
      </c>
      <c r="O371" s="28">
        <f>IF($A371="","",IF($L371&lt;=0,"",IF($N371="",IFERROR(账期止-LOOKUP(2,1/(入库单!$G$4:$G$2503=$A371),入库单!$C$4:$C$2503),""),账期止-$N371)))</f>
        <v/>
      </c>
      <c r="P371" s="17" t="n"/>
    </row>
    <row r="372">
      <c r="A372" s="17" t="inlineStr">
        <is>
          <t>JH0369</t>
        </is>
      </c>
      <c r="B372" s="17" t="inlineStr">
        <is>
          <t>五金管件</t>
        </is>
      </c>
      <c r="C372" s="17" t="inlineStr">
        <is>
          <t>对丝50</t>
        </is>
      </c>
      <c r="D372" s="17" t="inlineStr">
        <is>
          <t>管件.阀门.法兰等</t>
        </is>
      </c>
      <c r="E372" s="17" t="inlineStr">
        <is>
          <t>个</t>
        </is>
      </c>
      <c r="F372" s="17" t="inlineStr">
        <is>
          <t>否</t>
        </is>
      </c>
      <c r="G372" s="23" t="n"/>
      <c r="H372" s="24">
        <f>IF($A372="","",IFERROR(LOOKUP(2,1/((入库单!$G$4:$G$2503=$A372)*(入库单!$Y$4:$Y$2503="正常")*(入库单!$L$4:$L$2503&gt;0)),入库单!$D$4:$D$2503),""))</f>
        <v/>
      </c>
      <c r="I372" s="25">
        <f>IF($A372="","",IFERROR(LOOKUP(2,1/((入库单!$G$4:$G$2503=$A372)*(入库单!$Y$4:$Y$2503="正常")*(入库单!$L$4:$L$2503&gt;0)),入库单!$L$4:$L$2503),0))</f>
        <v/>
      </c>
      <c r="J372" s="26">
        <f>IF($A372="","",IF($H372="A国内",ROUND($I372*倍数A*汇率,0),IF($H372="B当地",ROUND($I372*系数B,0),0)))</f>
        <v/>
      </c>
      <c r="K372" s="24">
        <f>IF($A372="","",IF(COUNTIFS(入库单!$G$4:$G$2503,$A372,入库单!$X$4:$X$2503,"待补价")&gt;0,"待补价",IF(COUNTIFS(入库单!$G$4:$G$2503,$A372,入库单!$X$4:$X$2503,"暂估")&gt;0,"暂估",IF($I372=0,"没有进价","正常"))))</f>
        <v/>
      </c>
      <c r="L372" s="27">
        <f>IF($A372="","",IFERROR(VLOOKUP($A372,库存台账!$A$5:$Y$1204,24,0),0))</f>
        <v/>
      </c>
      <c r="M372" s="26">
        <f>IF($A372="","",IFERROR(VLOOKUP($A372,库存台账!$A$5:$Y$1204,25,0),0))</f>
        <v/>
      </c>
      <c r="N372" s="19">
        <f>IF($A372="","",IFERROR(LOOKUP(2,1/((出库单!$D$4:$D$4003=$A372)*(出库单!$T$4:$T$4003="正常")),出库单!$C$4:$C$4003),""))</f>
        <v/>
      </c>
      <c r="O372" s="28">
        <f>IF($A372="","",IF($L372&lt;=0,"",IF($N372="",IFERROR(账期止-LOOKUP(2,1/(入库单!$G$4:$G$2503=$A372),入库单!$C$4:$C$2503),""),账期止-$N372)))</f>
        <v/>
      </c>
      <c r="P372" s="17" t="n"/>
    </row>
    <row r="373">
      <c r="A373" s="17" t="inlineStr">
        <is>
          <t>JH0370</t>
        </is>
      </c>
      <c r="B373" s="17" t="inlineStr">
        <is>
          <t>五金管件</t>
        </is>
      </c>
      <c r="C373" s="17" t="inlineStr">
        <is>
          <t>胶管阀150</t>
        </is>
      </c>
      <c r="D373" s="17" t="inlineStr">
        <is>
          <t>管件.阀门.法兰等</t>
        </is>
      </c>
      <c r="E373" s="17" t="inlineStr">
        <is>
          <t>个</t>
        </is>
      </c>
      <c r="F373" s="17" t="inlineStr">
        <is>
          <t>否</t>
        </is>
      </c>
      <c r="G373" s="23" t="n"/>
      <c r="H373" s="24">
        <f>IF($A373="","",IFERROR(LOOKUP(2,1/((入库单!$G$4:$G$2503=$A373)*(入库单!$Y$4:$Y$2503="正常")*(入库单!$L$4:$L$2503&gt;0)),入库单!$D$4:$D$2503),""))</f>
        <v/>
      </c>
      <c r="I373" s="25">
        <f>IF($A373="","",IFERROR(LOOKUP(2,1/((入库单!$G$4:$G$2503=$A373)*(入库单!$Y$4:$Y$2503="正常")*(入库单!$L$4:$L$2503&gt;0)),入库单!$L$4:$L$2503),0))</f>
        <v/>
      </c>
      <c r="J373" s="26">
        <f>IF($A373="","",IF($H373="A国内",ROUND($I373*倍数A*汇率,0),IF($H373="B当地",ROUND($I373*系数B,0),0)))</f>
        <v/>
      </c>
      <c r="K373" s="24">
        <f>IF($A373="","",IF(COUNTIFS(入库单!$G$4:$G$2503,$A373,入库单!$X$4:$X$2503,"待补价")&gt;0,"待补价",IF(COUNTIFS(入库单!$G$4:$G$2503,$A373,入库单!$X$4:$X$2503,"暂估")&gt;0,"暂估",IF($I373=0,"没有进价","正常"))))</f>
        <v/>
      </c>
      <c r="L373" s="27">
        <f>IF($A373="","",IFERROR(VLOOKUP($A373,库存台账!$A$5:$Y$1204,24,0),0))</f>
        <v/>
      </c>
      <c r="M373" s="26">
        <f>IF($A373="","",IFERROR(VLOOKUP($A373,库存台账!$A$5:$Y$1204,25,0),0))</f>
        <v/>
      </c>
      <c r="N373" s="19">
        <f>IF($A373="","",IFERROR(LOOKUP(2,1/((出库单!$D$4:$D$4003=$A373)*(出库单!$T$4:$T$4003="正常")),出库单!$C$4:$C$4003),""))</f>
        <v/>
      </c>
      <c r="O373" s="28">
        <f>IF($A373="","",IF($L373&lt;=0,"",IF($N373="",IFERROR(账期止-LOOKUP(2,1/(入库单!$G$4:$G$2503=$A373),入库单!$C$4:$C$2503),""),账期止-$N373)))</f>
        <v/>
      </c>
      <c r="P373" s="17" t="n"/>
    </row>
    <row r="374">
      <c r="A374" s="17" t="inlineStr">
        <is>
          <t>JH0371</t>
        </is>
      </c>
      <c r="B374" s="17" t="inlineStr">
        <is>
          <t>五金管件</t>
        </is>
      </c>
      <c r="C374" s="17" t="inlineStr">
        <is>
          <t>螺栓16*60</t>
        </is>
      </c>
      <c r="D374" s="17" t="inlineStr">
        <is>
          <t>管件法兰螺栓</t>
        </is>
      </c>
      <c r="E374" s="17" t="inlineStr">
        <is>
          <t>套</t>
        </is>
      </c>
      <c r="F374" s="17" t="inlineStr">
        <is>
          <t>否</t>
        </is>
      </c>
      <c r="G374" s="23" t="n"/>
      <c r="H374" s="24">
        <f>IF($A374="","",IFERROR(LOOKUP(2,1/((入库单!$G$4:$G$2503=$A374)*(入库单!$Y$4:$Y$2503="正常")*(入库单!$L$4:$L$2503&gt;0)),入库单!$D$4:$D$2503),""))</f>
        <v/>
      </c>
      <c r="I374" s="25">
        <f>IF($A374="","",IFERROR(LOOKUP(2,1/((入库单!$G$4:$G$2503=$A374)*(入库单!$Y$4:$Y$2503="正常")*(入库单!$L$4:$L$2503&gt;0)),入库单!$L$4:$L$2503),0))</f>
        <v/>
      </c>
      <c r="J374" s="26">
        <f>IF($A374="","",IF($H374="A国内",ROUND($I374*倍数A*汇率,0),IF($H374="B当地",ROUND($I374*系数B,0),0)))</f>
        <v/>
      </c>
      <c r="K374" s="24">
        <f>IF($A374="","",IF(COUNTIFS(入库单!$G$4:$G$2503,$A374,入库单!$X$4:$X$2503,"待补价")&gt;0,"待补价",IF(COUNTIFS(入库单!$G$4:$G$2503,$A374,入库单!$X$4:$X$2503,"暂估")&gt;0,"暂估",IF($I374=0,"没有进价","正常"))))</f>
        <v/>
      </c>
      <c r="L374" s="27">
        <f>IF($A374="","",IFERROR(VLOOKUP($A374,库存台账!$A$5:$Y$1204,24,0),0))</f>
        <v/>
      </c>
      <c r="M374" s="26">
        <f>IF($A374="","",IFERROR(VLOOKUP($A374,库存台账!$A$5:$Y$1204,25,0),0))</f>
        <v/>
      </c>
      <c r="N374" s="19">
        <f>IF($A374="","",IFERROR(LOOKUP(2,1/((出库单!$D$4:$D$4003=$A374)*(出库单!$T$4:$T$4003="正常")),出库单!$C$4:$C$4003),""))</f>
        <v/>
      </c>
      <c r="O374" s="28">
        <f>IF($A374="","",IF($L374&lt;=0,"",IF($N374="",IFERROR(账期止-LOOKUP(2,1/(入库单!$G$4:$G$2503=$A374),入库单!$C$4:$C$2503),""),账期止-$N374)))</f>
        <v/>
      </c>
      <c r="P374" s="17" t="n"/>
    </row>
    <row r="375">
      <c r="A375" s="17" t="inlineStr">
        <is>
          <t>JH0372</t>
        </is>
      </c>
      <c r="B375" s="17" t="inlineStr">
        <is>
          <t>五金管件</t>
        </is>
      </c>
      <c r="C375" s="17" t="inlineStr">
        <is>
          <t>螺栓16*70</t>
        </is>
      </c>
      <c r="D375" s="17" t="inlineStr">
        <is>
          <t>管件法兰螺栓</t>
        </is>
      </c>
      <c r="E375" s="17" t="inlineStr">
        <is>
          <t>套</t>
        </is>
      </c>
      <c r="F375" s="17" t="inlineStr">
        <is>
          <t>否</t>
        </is>
      </c>
      <c r="G375" s="23" t="n"/>
      <c r="H375" s="24">
        <f>IF($A375="","",IFERROR(LOOKUP(2,1/((入库单!$G$4:$G$2503=$A375)*(入库单!$Y$4:$Y$2503="正常")*(入库单!$L$4:$L$2503&gt;0)),入库单!$D$4:$D$2503),""))</f>
        <v/>
      </c>
      <c r="I375" s="25">
        <f>IF($A375="","",IFERROR(LOOKUP(2,1/((入库单!$G$4:$G$2503=$A375)*(入库单!$Y$4:$Y$2503="正常")*(入库单!$L$4:$L$2503&gt;0)),入库单!$L$4:$L$2503),0))</f>
        <v/>
      </c>
      <c r="J375" s="26">
        <f>IF($A375="","",IF($H375="A国内",ROUND($I375*倍数A*汇率,0),IF($H375="B当地",ROUND($I375*系数B,0),0)))</f>
        <v/>
      </c>
      <c r="K375" s="24">
        <f>IF($A375="","",IF(COUNTIFS(入库单!$G$4:$G$2503,$A375,入库单!$X$4:$X$2503,"待补价")&gt;0,"待补价",IF(COUNTIFS(入库单!$G$4:$G$2503,$A375,入库单!$X$4:$X$2503,"暂估")&gt;0,"暂估",IF($I375=0,"没有进价","正常"))))</f>
        <v/>
      </c>
      <c r="L375" s="27">
        <f>IF($A375="","",IFERROR(VLOOKUP($A375,库存台账!$A$5:$Y$1204,24,0),0))</f>
        <v/>
      </c>
      <c r="M375" s="26">
        <f>IF($A375="","",IFERROR(VLOOKUP($A375,库存台账!$A$5:$Y$1204,25,0),0))</f>
        <v/>
      </c>
      <c r="N375" s="19">
        <f>IF($A375="","",IFERROR(LOOKUP(2,1/((出库单!$D$4:$D$4003=$A375)*(出库单!$T$4:$T$4003="正常")),出库单!$C$4:$C$4003),""))</f>
        <v/>
      </c>
      <c r="O375" s="28">
        <f>IF($A375="","",IF($L375&lt;=0,"",IF($N375="",IFERROR(账期止-LOOKUP(2,1/(入库单!$G$4:$G$2503=$A375),入库单!$C$4:$C$2503),""),账期止-$N375)))</f>
        <v/>
      </c>
      <c r="P375" s="17" t="n"/>
    </row>
    <row r="376">
      <c r="A376" s="17" t="inlineStr">
        <is>
          <t>JH0373</t>
        </is>
      </c>
      <c r="B376" s="17" t="inlineStr">
        <is>
          <t>五金管件</t>
        </is>
      </c>
      <c r="C376" s="17" t="inlineStr">
        <is>
          <t>螺栓20*70</t>
        </is>
      </c>
      <c r="D376" s="17" t="inlineStr">
        <is>
          <t>管件法兰螺栓</t>
        </is>
      </c>
      <c r="E376" s="17" t="inlineStr">
        <is>
          <t>套</t>
        </is>
      </c>
      <c r="F376" s="17" t="inlineStr">
        <is>
          <t>否</t>
        </is>
      </c>
      <c r="G376" s="23" t="n"/>
      <c r="H376" s="24">
        <f>IF($A376="","",IFERROR(LOOKUP(2,1/((入库单!$G$4:$G$2503=$A376)*(入库单!$Y$4:$Y$2503="正常")*(入库单!$L$4:$L$2503&gt;0)),入库单!$D$4:$D$2503),""))</f>
        <v/>
      </c>
      <c r="I376" s="25">
        <f>IF($A376="","",IFERROR(LOOKUP(2,1/((入库单!$G$4:$G$2503=$A376)*(入库单!$Y$4:$Y$2503="正常")*(入库单!$L$4:$L$2503&gt;0)),入库单!$L$4:$L$2503),0))</f>
        <v/>
      </c>
      <c r="J376" s="26">
        <f>IF($A376="","",IF($H376="A国内",ROUND($I376*倍数A*汇率,0),IF($H376="B当地",ROUND($I376*系数B,0),0)))</f>
        <v/>
      </c>
      <c r="K376" s="24">
        <f>IF($A376="","",IF(COUNTIFS(入库单!$G$4:$G$2503,$A376,入库单!$X$4:$X$2503,"待补价")&gt;0,"待补价",IF(COUNTIFS(入库单!$G$4:$G$2503,$A376,入库单!$X$4:$X$2503,"暂估")&gt;0,"暂估",IF($I376=0,"没有进价","正常"))))</f>
        <v/>
      </c>
      <c r="L376" s="27">
        <f>IF($A376="","",IFERROR(VLOOKUP($A376,库存台账!$A$5:$Y$1204,24,0),0))</f>
        <v/>
      </c>
      <c r="M376" s="26">
        <f>IF($A376="","",IFERROR(VLOOKUP($A376,库存台账!$A$5:$Y$1204,25,0),0))</f>
        <v/>
      </c>
      <c r="N376" s="19">
        <f>IF($A376="","",IFERROR(LOOKUP(2,1/((出库单!$D$4:$D$4003=$A376)*(出库单!$T$4:$T$4003="正常")),出库单!$C$4:$C$4003),""))</f>
        <v/>
      </c>
      <c r="O376" s="28">
        <f>IF($A376="","",IF($L376&lt;=0,"",IF($N376="",IFERROR(账期止-LOOKUP(2,1/(入库单!$G$4:$G$2503=$A376),入库单!$C$4:$C$2503),""),账期止-$N376)))</f>
        <v/>
      </c>
      <c r="P376" s="17" t="n"/>
    </row>
    <row r="377">
      <c r="A377" s="17" t="inlineStr">
        <is>
          <t>JH0374</t>
        </is>
      </c>
      <c r="B377" s="17" t="inlineStr">
        <is>
          <t>五金管件</t>
        </is>
      </c>
      <c r="C377" s="17" t="inlineStr">
        <is>
          <t>螺栓20*80</t>
        </is>
      </c>
      <c r="D377" s="17" t="inlineStr">
        <is>
          <t>管件法兰螺栓</t>
        </is>
      </c>
      <c r="E377" s="17" t="inlineStr">
        <is>
          <t>套</t>
        </is>
      </c>
      <c r="F377" s="17" t="inlineStr">
        <is>
          <t>否</t>
        </is>
      </c>
      <c r="G377" s="23" t="n"/>
      <c r="H377" s="24">
        <f>IF($A377="","",IFERROR(LOOKUP(2,1/((入库单!$G$4:$G$2503=$A377)*(入库单!$Y$4:$Y$2503="正常")*(入库单!$L$4:$L$2503&gt;0)),入库单!$D$4:$D$2503),""))</f>
        <v/>
      </c>
      <c r="I377" s="25">
        <f>IF($A377="","",IFERROR(LOOKUP(2,1/((入库单!$G$4:$G$2503=$A377)*(入库单!$Y$4:$Y$2503="正常")*(入库单!$L$4:$L$2503&gt;0)),入库单!$L$4:$L$2503),0))</f>
        <v/>
      </c>
      <c r="J377" s="26">
        <f>IF($A377="","",IF($H377="A国内",ROUND($I377*倍数A*汇率,0),IF($H377="B当地",ROUND($I377*系数B,0),0)))</f>
        <v/>
      </c>
      <c r="K377" s="24">
        <f>IF($A377="","",IF(COUNTIFS(入库单!$G$4:$G$2503,$A377,入库单!$X$4:$X$2503,"待补价")&gt;0,"待补价",IF(COUNTIFS(入库单!$G$4:$G$2503,$A377,入库单!$X$4:$X$2503,"暂估")&gt;0,"暂估",IF($I377=0,"没有进价","正常"))))</f>
        <v/>
      </c>
      <c r="L377" s="27">
        <f>IF($A377="","",IFERROR(VLOOKUP($A377,库存台账!$A$5:$Y$1204,24,0),0))</f>
        <v/>
      </c>
      <c r="M377" s="26">
        <f>IF($A377="","",IFERROR(VLOOKUP($A377,库存台账!$A$5:$Y$1204,25,0),0))</f>
        <v/>
      </c>
      <c r="N377" s="19">
        <f>IF($A377="","",IFERROR(LOOKUP(2,1/((出库单!$D$4:$D$4003=$A377)*(出库单!$T$4:$T$4003="正常")),出库单!$C$4:$C$4003),""))</f>
        <v/>
      </c>
      <c r="O377" s="28">
        <f>IF($A377="","",IF($L377&lt;=0,"",IF($N377="",IFERROR(账期止-LOOKUP(2,1/(入库单!$G$4:$G$2503=$A377),入库单!$C$4:$C$2503),""),账期止-$N377)))</f>
        <v/>
      </c>
      <c r="P377" s="17" t="n"/>
    </row>
    <row r="378">
      <c r="A378" s="17" t="inlineStr">
        <is>
          <t>JH0375</t>
        </is>
      </c>
      <c r="B378" s="17" t="inlineStr">
        <is>
          <t>机械设备</t>
        </is>
      </c>
      <c r="C378" s="17" t="inlineStr">
        <is>
          <t>长衬板</t>
        </is>
      </c>
      <c r="D378" s="17" t="inlineStr">
        <is>
          <t>1845球磨机配件</t>
        </is>
      </c>
      <c r="E378" s="17" t="inlineStr">
        <is>
          <t>件</t>
        </is>
      </c>
      <c r="F378" s="17" t="inlineStr">
        <is>
          <t>否</t>
        </is>
      </c>
      <c r="G378" s="23" t="n"/>
      <c r="H378" s="24">
        <f>IF($A378="","",IFERROR(LOOKUP(2,1/((入库单!$G$4:$G$2503=$A378)*(入库单!$Y$4:$Y$2503="正常")*(入库单!$L$4:$L$2503&gt;0)),入库单!$D$4:$D$2503),""))</f>
        <v/>
      </c>
      <c r="I378" s="25">
        <f>IF($A378="","",IFERROR(LOOKUP(2,1/((入库单!$G$4:$G$2503=$A378)*(入库单!$Y$4:$Y$2503="正常")*(入库单!$L$4:$L$2503&gt;0)),入库单!$L$4:$L$2503),0))</f>
        <v/>
      </c>
      <c r="J378" s="26">
        <f>IF($A378="","",IF($H378="A国内",ROUND($I378*倍数A*汇率,0),IF($H378="B当地",ROUND($I378*系数B,0),0)))</f>
        <v/>
      </c>
      <c r="K378" s="24">
        <f>IF($A378="","",IF(COUNTIFS(入库单!$G$4:$G$2503,$A378,入库单!$X$4:$X$2503,"待补价")&gt;0,"待补价",IF(COUNTIFS(入库单!$G$4:$G$2503,$A378,入库单!$X$4:$X$2503,"暂估")&gt;0,"暂估",IF($I378=0,"没有进价","正常"))))</f>
        <v/>
      </c>
      <c r="L378" s="27">
        <f>IF($A378="","",IFERROR(VLOOKUP($A378,库存台账!$A$5:$Y$1204,24,0),0))</f>
        <v/>
      </c>
      <c r="M378" s="26">
        <f>IF($A378="","",IFERROR(VLOOKUP($A378,库存台账!$A$5:$Y$1204,25,0),0))</f>
        <v/>
      </c>
      <c r="N378" s="19">
        <f>IF($A378="","",IFERROR(LOOKUP(2,1/((出库单!$D$4:$D$4003=$A378)*(出库单!$T$4:$T$4003="正常")),出库单!$C$4:$C$4003),""))</f>
        <v/>
      </c>
      <c r="O378" s="28">
        <f>IF($A378="","",IF($L378&lt;=0,"",IF($N378="",IFERROR(账期止-LOOKUP(2,1/(入库单!$G$4:$G$2503=$A378),入库单!$C$4:$C$2503),""),账期止-$N378)))</f>
        <v/>
      </c>
      <c r="P378" s="17" t="n"/>
    </row>
    <row r="379">
      <c r="A379" s="17" t="inlineStr">
        <is>
          <t>JH0376</t>
        </is>
      </c>
      <c r="B379" s="17" t="inlineStr">
        <is>
          <t>电缆电气</t>
        </is>
      </c>
      <c r="C379" s="17" t="inlineStr">
        <is>
          <t>启动柜</t>
        </is>
      </c>
      <c r="D379" s="17" t="inlineStr"/>
      <c r="E379" s="17" t="inlineStr">
        <is>
          <t>台</t>
        </is>
      </c>
      <c r="F379" s="17" t="inlineStr">
        <is>
          <t>否</t>
        </is>
      </c>
      <c r="G379" s="23" t="n"/>
      <c r="H379" s="24">
        <f>IF($A379="","",IFERROR(LOOKUP(2,1/((入库单!$G$4:$G$2503=$A379)*(入库单!$Y$4:$Y$2503="正常")*(入库单!$L$4:$L$2503&gt;0)),入库单!$D$4:$D$2503),""))</f>
        <v/>
      </c>
      <c r="I379" s="25">
        <f>IF($A379="","",IFERROR(LOOKUP(2,1/((入库单!$G$4:$G$2503=$A379)*(入库单!$Y$4:$Y$2503="正常")*(入库单!$L$4:$L$2503&gt;0)),入库单!$L$4:$L$2503),0))</f>
        <v/>
      </c>
      <c r="J379" s="26">
        <f>IF($A379="","",IF($H379="A国内",ROUND($I379*倍数A*汇率,0),IF($H379="B当地",ROUND($I379*系数B,0),0)))</f>
        <v/>
      </c>
      <c r="K379" s="24">
        <f>IF($A379="","",IF(COUNTIFS(入库单!$G$4:$G$2503,$A379,入库单!$X$4:$X$2503,"待补价")&gt;0,"待补价",IF(COUNTIFS(入库单!$G$4:$G$2503,$A379,入库单!$X$4:$X$2503,"暂估")&gt;0,"暂估",IF($I379=0,"没有进价","正常"))))</f>
        <v/>
      </c>
      <c r="L379" s="27">
        <f>IF($A379="","",IFERROR(VLOOKUP($A379,库存台账!$A$5:$Y$1204,24,0),0))</f>
        <v/>
      </c>
      <c r="M379" s="26">
        <f>IF($A379="","",IFERROR(VLOOKUP($A379,库存台账!$A$5:$Y$1204,25,0),0))</f>
        <v/>
      </c>
      <c r="N379" s="19">
        <f>IF($A379="","",IFERROR(LOOKUP(2,1/((出库单!$D$4:$D$4003=$A379)*(出库单!$T$4:$T$4003="正常")),出库单!$C$4:$C$4003),""))</f>
        <v/>
      </c>
      <c r="O379" s="28">
        <f>IF($A379="","",IF($L379&lt;=0,"",IF($N379="",IFERROR(账期止-LOOKUP(2,1/(入库单!$G$4:$G$2503=$A379),入库单!$C$4:$C$2503),""),账期止-$N379)))</f>
        <v/>
      </c>
      <c r="P379" s="17" t="n"/>
    </row>
    <row r="380">
      <c r="A380" s="17" t="inlineStr">
        <is>
          <t>JH0377</t>
        </is>
      </c>
      <c r="B380" s="17" t="inlineStr">
        <is>
          <t>机械设备</t>
        </is>
      </c>
      <c r="C380" s="17" t="inlineStr">
        <is>
          <t>浮选机</t>
        </is>
      </c>
      <c r="D380" s="17" t="inlineStr">
        <is>
          <t>SF2.8浮选机</t>
        </is>
      </c>
      <c r="E380" s="17" t="inlineStr">
        <is>
          <t>台</t>
        </is>
      </c>
      <c r="F380" s="17" t="inlineStr">
        <is>
          <t>否</t>
        </is>
      </c>
      <c r="G380" s="23" t="n"/>
      <c r="H380" s="24">
        <f>IF($A380="","",IFERROR(LOOKUP(2,1/((入库单!$G$4:$G$2503=$A380)*(入库单!$Y$4:$Y$2503="正常")*(入库单!$L$4:$L$2503&gt;0)),入库单!$D$4:$D$2503),""))</f>
        <v/>
      </c>
      <c r="I380" s="25">
        <f>IF($A380="","",IFERROR(LOOKUP(2,1/((入库单!$G$4:$G$2503=$A380)*(入库单!$Y$4:$Y$2503="正常")*(入库单!$L$4:$L$2503&gt;0)),入库单!$L$4:$L$2503),0))</f>
        <v/>
      </c>
      <c r="J380" s="26">
        <f>IF($A380="","",IF($H380="A国内",ROUND($I380*倍数A*汇率,0),IF($H380="B当地",ROUND($I380*系数B,0),0)))</f>
        <v/>
      </c>
      <c r="K380" s="24">
        <f>IF($A380="","",IF(COUNTIFS(入库单!$G$4:$G$2503,$A380,入库单!$X$4:$X$2503,"待补价")&gt;0,"待补价",IF(COUNTIFS(入库单!$G$4:$G$2503,$A380,入库单!$X$4:$X$2503,"暂估")&gt;0,"暂估",IF($I380=0,"没有进价","正常"))))</f>
        <v/>
      </c>
      <c r="L380" s="27">
        <f>IF($A380="","",IFERROR(VLOOKUP($A380,库存台账!$A$5:$Y$1204,24,0),0))</f>
        <v/>
      </c>
      <c r="M380" s="26">
        <f>IF($A380="","",IFERROR(VLOOKUP($A380,库存台账!$A$5:$Y$1204,25,0),0))</f>
        <v/>
      </c>
      <c r="N380" s="19">
        <f>IF($A380="","",IFERROR(LOOKUP(2,1/((出库单!$D$4:$D$4003=$A380)*(出库单!$T$4:$T$4003="正常")),出库单!$C$4:$C$4003),""))</f>
        <v/>
      </c>
      <c r="O380" s="28">
        <f>IF($A380="","",IF($L380&lt;=0,"",IF($N380="",IFERROR(账期止-LOOKUP(2,1/(入库单!$G$4:$G$2503=$A380),入库单!$C$4:$C$2503),""),账期止-$N380)))</f>
        <v/>
      </c>
      <c r="P380" s="17" t="n"/>
    </row>
    <row r="381">
      <c r="A381" s="17" t="inlineStr">
        <is>
          <t>JH0378</t>
        </is>
      </c>
      <c r="B381" s="17" t="inlineStr">
        <is>
          <t>机械设备</t>
        </is>
      </c>
      <c r="C381" s="17" t="inlineStr">
        <is>
          <t>随机螺栓12*40</t>
        </is>
      </c>
      <c r="D381" s="17" t="inlineStr">
        <is>
          <t>SF2.8浮选机</t>
        </is>
      </c>
      <c r="E381" s="17" t="inlineStr">
        <is>
          <t>套</t>
        </is>
      </c>
      <c r="F381" s="17" t="inlineStr">
        <is>
          <t>否</t>
        </is>
      </c>
      <c r="G381" s="23" t="n"/>
      <c r="H381" s="24">
        <f>IF($A381="","",IFERROR(LOOKUP(2,1/((入库单!$G$4:$G$2503=$A381)*(入库单!$Y$4:$Y$2503="正常")*(入库单!$L$4:$L$2503&gt;0)),入库单!$D$4:$D$2503),""))</f>
        <v/>
      </c>
      <c r="I381" s="25">
        <f>IF($A381="","",IFERROR(LOOKUP(2,1/((入库单!$G$4:$G$2503=$A381)*(入库单!$Y$4:$Y$2503="正常")*(入库单!$L$4:$L$2503&gt;0)),入库单!$L$4:$L$2503),0))</f>
        <v/>
      </c>
      <c r="J381" s="26">
        <f>IF($A381="","",IF($H381="A国内",ROUND($I381*倍数A*汇率,0),IF($H381="B当地",ROUND($I381*系数B,0),0)))</f>
        <v/>
      </c>
      <c r="K381" s="24">
        <f>IF($A381="","",IF(COUNTIFS(入库单!$G$4:$G$2503,$A381,入库单!$X$4:$X$2503,"待补价")&gt;0,"待补价",IF(COUNTIFS(入库单!$G$4:$G$2503,$A381,入库单!$X$4:$X$2503,"暂估")&gt;0,"暂估",IF($I381=0,"没有进价","正常"))))</f>
        <v/>
      </c>
      <c r="L381" s="27">
        <f>IF($A381="","",IFERROR(VLOOKUP($A381,库存台账!$A$5:$Y$1204,24,0),0))</f>
        <v/>
      </c>
      <c r="M381" s="26">
        <f>IF($A381="","",IFERROR(VLOOKUP($A381,库存台账!$A$5:$Y$1204,25,0),0))</f>
        <v/>
      </c>
      <c r="N381" s="19">
        <f>IF($A381="","",IFERROR(LOOKUP(2,1/((出库单!$D$4:$D$4003=$A381)*(出库单!$T$4:$T$4003="正常")),出库单!$C$4:$C$4003),""))</f>
        <v/>
      </c>
      <c r="O381" s="28">
        <f>IF($A381="","",IF($L381&lt;=0,"",IF($N381="",IFERROR(账期止-LOOKUP(2,1/(入库单!$G$4:$G$2503=$A381),入库单!$C$4:$C$2503),""),账期止-$N381)))</f>
        <v/>
      </c>
      <c r="P381" s="17" t="n"/>
    </row>
    <row r="382">
      <c r="A382" s="17" t="inlineStr">
        <is>
          <t>JH0379</t>
        </is>
      </c>
      <c r="B382" s="17" t="inlineStr">
        <is>
          <t>机械设备</t>
        </is>
      </c>
      <c r="C382" s="17" t="inlineStr">
        <is>
          <t>随机螺栓12*50</t>
        </is>
      </c>
      <c r="D382" s="17" t="inlineStr">
        <is>
          <t>SF2.8浮选机</t>
        </is>
      </c>
      <c r="E382" s="17" t="inlineStr">
        <is>
          <t>套</t>
        </is>
      </c>
      <c r="F382" s="17" t="inlineStr">
        <is>
          <t>否</t>
        </is>
      </c>
      <c r="G382" s="23" t="n"/>
      <c r="H382" s="24">
        <f>IF($A382="","",IFERROR(LOOKUP(2,1/((入库单!$G$4:$G$2503=$A382)*(入库单!$Y$4:$Y$2503="正常")*(入库单!$L$4:$L$2503&gt;0)),入库单!$D$4:$D$2503),""))</f>
        <v/>
      </c>
      <c r="I382" s="25">
        <f>IF($A382="","",IFERROR(LOOKUP(2,1/((入库单!$G$4:$G$2503=$A382)*(入库单!$Y$4:$Y$2503="正常")*(入库单!$L$4:$L$2503&gt;0)),入库单!$L$4:$L$2503),0))</f>
        <v/>
      </c>
      <c r="J382" s="26">
        <f>IF($A382="","",IF($H382="A国内",ROUND($I382*倍数A*汇率,0),IF($H382="B当地",ROUND($I382*系数B,0),0)))</f>
        <v/>
      </c>
      <c r="K382" s="24">
        <f>IF($A382="","",IF(COUNTIFS(入库单!$G$4:$G$2503,$A382,入库单!$X$4:$X$2503,"待补价")&gt;0,"待补价",IF(COUNTIFS(入库单!$G$4:$G$2503,$A382,入库单!$X$4:$X$2503,"暂估")&gt;0,"暂估",IF($I382=0,"没有进价","正常"))))</f>
        <v/>
      </c>
      <c r="L382" s="27">
        <f>IF($A382="","",IFERROR(VLOOKUP($A382,库存台账!$A$5:$Y$1204,24,0),0))</f>
        <v/>
      </c>
      <c r="M382" s="26">
        <f>IF($A382="","",IFERROR(VLOOKUP($A382,库存台账!$A$5:$Y$1204,25,0),0))</f>
        <v/>
      </c>
      <c r="N382" s="19">
        <f>IF($A382="","",IFERROR(LOOKUP(2,1/((出库单!$D$4:$D$4003=$A382)*(出库单!$T$4:$T$4003="正常")),出库单!$C$4:$C$4003),""))</f>
        <v/>
      </c>
      <c r="O382" s="28">
        <f>IF($A382="","",IF($L382&lt;=0,"",IF($N382="",IFERROR(账期止-LOOKUP(2,1/(入库单!$G$4:$G$2503=$A382),入库单!$C$4:$C$2503),""),账期止-$N382)))</f>
        <v/>
      </c>
      <c r="P382" s="17" t="n"/>
    </row>
    <row r="383">
      <c r="A383" s="17" t="inlineStr">
        <is>
          <t>JH0380</t>
        </is>
      </c>
      <c r="B383" s="17" t="inlineStr">
        <is>
          <t>机械设备</t>
        </is>
      </c>
      <c r="C383" s="17" t="inlineStr">
        <is>
          <t>刮板</t>
        </is>
      </c>
      <c r="D383" s="17" t="inlineStr">
        <is>
          <t>SF2.8浮选机</t>
        </is>
      </c>
      <c r="E383" s="17" t="inlineStr">
        <is>
          <t>件</t>
        </is>
      </c>
      <c r="F383" s="17" t="inlineStr">
        <is>
          <t>否</t>
        </is>
      </c>
      <c r="G383" s="23" t="n"/>
      <c r="H383" s="24">
        <f>IF($A383="","",IFERROR(LOOKUP(2,1/((入库单!$G$4:$G$2503=$A383)*(入库单!$Y$4:$Y$2503="正常")*(入库单!$L$4:$L$2503&gt;0)),入库单!$D$4:$D$2503),""))</f>
        <v/>
      </c>
      <c r="I383" s="25">
        <f>IF($A383="","",IFERROR(LOOKUP(2,1/((入库单!$G$4:$G$2503=$A383)*(入库单!$Y$4:$Y$2503="正常")*(入库单!$L$4:$L$2503&gt;0)),入库单!$L$4:$L$2503),0))</f>
        <v/>
      </c>
      <c r="J383" s="26">
        <f>IF($A383="","",IF($H383="A国内",ROUND($I383*倍数A*汇率,0),IF($H383="B当地",ROUND($I383*系数B,0),0)))</f>
        <v/>
      </c>
      <c r="K383" s="24">
        <f>IF($A383="","",IF(COUNTIFS(入库单!$G$4:$G$2503,$A383,入库单!$X$4:$X$2503,"待补价")&gt;0,"待补价",IF(COUNTIFS(入库单!$G$4:$G$2503,$A383,入库单!$X$4:$X$2503,"暂估")&gt;0,"暂估",IF($I383=0,"没有进价","正常"))))</f>
        <v/>
      </c>
      <c r="L383" s="27">
        <f>IF($A383="","",IFERROR(VLOOKUP($A383,库存台账!$A$5:$Y$1204,24,0),0))</f>
        <v/>
      </c>
      <c r="M383" s="26">
        <f>IF($A383="","",IFERROR(VLOOKUP($A383,库存台账!$A$5:$Y$1204,25,0),0))</f>
        <v/>
      </c>
      <c r="N383" s="19">
        <f>IF($A383="","",IFERROR(LOOKUP(2,1/((出库单!$D$4:$D$4003=$A383)*(出库单!$T$4:$T$4003="正常")),出库单!$C$4:$C$4003),""))</f>
        <v/>
      </c>
      <c r="O383" s="28">
        <f>IF($A383="","",IF($L383&lt;=0,"",IF($N383="",IFERROR(账期止-LOOKUP(2,1/(入库单!$G$4:$G$2503=$A383),入库单!$C$4:$C$2503),""),账期止-$N383)))</f>
        <v/>
      </c>
      <c r="P383" s="17" t="n"/>
    </row>
    <row r="384">
      <c r="A384" s="17" t="inlineStr">
        <is>
          <t>JH0381</t>
        </is>
      </c>
      <c r="B384" s="17" t="inlineStr">
        <is>
          <t>机械设备</t>
        </is>
      </c>
      <c r="C384" s="17" t="inlineStr">
        <is>
          <t>刮板卡子</t>
        </is>
      </c>
      <c r="D384" s="17" t="inlineStr">
        <is>
          <t>SF2.8浮选机</t>
        </is>
      </c>
      <c r="E384" s="17" t="inlineStr">
        <is>
          <t>付</t>
        </is>
      </c>
      <c r="F384" s="17" t="inlineStr">
        <is>
          <t>否</t>
        </is>
      </c>
      <c r="G384" s="23" t="n"/>
      <c r="H384" s="24">
        <f>IF($A384="","",IFERROR(LOOKUP(2,1/((入库单!$G$4:$G$2503=$A384)*(入库单!$Y$4:$Y$2503="正常")*(入库单!$L$4:$L$2503&gt;0)),入库单!$D$4:$D$2503),""))</f>
        <v/>
      </c>
      <c r="I384" s="25">
        <f>IF($A384="","",IFERROR(LOOKUP(2,1/((入库单!$G$4:$G$2503=$A384)*(入库单!$Y$4:$Y$2503="正常")*(入库单!$L$4:$L$2503&gt;0)),入库单!$L$4:$L$2503),0))</f>
        <v/>
      </c>
      <c r="J384" s="26">
        <f>IF($A384="","",IF($H384="A国内",ROUND($I384*倍数A*汇率,0),IF($H384="B当地",ROUND($I384*系数B,0),0)))</f>
        <v/>
      </c>
      <c r="K384" s="24">
        <f>IF($A384="","",IF(COUNTIFS(入库单!$G$4:$G$2503,$A384,入库单!$X$4:$X$2503,"待补价")&gt;0,"待补价",IF(COUNTIFS(入库单!$G$4:$G$2503,$A384,入库单!$X$4:$X$2503,"暂估")&gt;0,"暂估",IF($I384=0,"没有进价","正常"))))</f>
        <v/>
      </c>
      <c r="L384" s="27">
        <f>IF($A384="","",IFERROR(VLOOKUP($A384,库存台账!$A$5:$Y$1204,24,0),0))</f>
        <v/>
      </c>
      <c r="M384" s="26">
        <f>IF($A384="","",IFERROR(VLOOKUP($A384,库存台账!$A$5:$Y$1204,25,0),0))</f>
        <v/>
      </c>
      <c r="N384" s="19">
        <f>IF($A384="","",IFERROR(LOOKUP(2,1/((出库单!$D$4:$D$4003=$A384)*(出库单!$T$4:$T$4003="正常")),出库单!$C$4:$C$4003),""))</f>
        <v/>
      </c>
      <c r="O384" s="28">
        <f>IF($A384="","",IF($L384&lt;=0,"",IF($N384="",IFERROR(账期止-LOOKUP(2,1/(入库单!$G$4:$G$2503=$A384),入库单!$C$4:$C$2503),""),账期止-$N384)))</f>
        <v/>
      </c>
      <c r="P384" s="17" t="n"/>
    </row>
    <row r="385">
      <c r="A385" s="17" t="inlineStr">
        <is>
          <t>JH0382</t>
        </is>
      </c>
      <c r="B385" s="17" t="inlineStr">
        <is>
          <t>机械设备</t>
        </is>
      </c>
      <c r="C385" s="17" t="inlineStr">
        <is>
          <t>219弯头</t>
        </is>
      </c>
      <c r="D385" s="17" t="inlineStr">
        <is>
          <t>SF2.8浮选机</t>
        </is>
      </c>
      <c r="E385" s="17" t="inlineStr">
        <is>
          <t>件</t>
        </is>
      </c>
      <c r="F385" s="17" t="inlineStr">
        <is>
          <t>否</t>
        </is>
      </c>
      <c r="G385" s="23" t="n"/>
      <c r="H385" s="24">
        <f>IF($A385="","",IFERROR(LOOKUP(2,1/((入库单!$G$4:$G$2503=$A385)*(入库单!$Y$4:$Y$2503="正常")*(入库单!$L$4:$L$2503&gt;0)),入库单!$D$4:$D$2503),""))</f>
        <v/>
      </c>
      <c r="I385" s="25">
        <f>IF($A385="","",IFERROR(LOOKUP(2,1/((入库单!$G$4:$G$2503=$A385)*(入库单!$Y$4:$Y$2503="正常")*(入库单!$L$4:$L$2503&gt;0)),入库单!$L$4:$L$2503),0))</f>
        <v/>
      </c>
      <c r="J385" s="26">
        <f>IF($A385="","",IF($H385="A国内",ROUND($I385*倍数A*汇率,0),IF($H385="B当地",ROUND($I385*系数B,0),0)))</f>
        <v/>
      </c>
      <c r="K385" s="24">
        <f>IF($A385="","",IF(COUNTIFS(入库单!$G$4:$G$2503,$A385,入库单!$X$4:$X$2503,"待补价")&gt;0,"待补价",IF(COUNTIFS(入库单!$G$4:$G$2503,$A385,入库单!$X$4:$X$2503,"暂估")&gt;0,"暂估",IF($I385=0,"没有进价","正常"))))</f>
        <v/>
      </c>
      <c r="L385" s="27">
        <f>IF($A385="","",IFERROR(VLOOKUP($A385,库存台账!$A$5:$Y$1204,24,0),0))</f>
        <v/>
      </c>
      <c r="M385" s="26">
        <f>IF($A385="","",IFERROR(VLOOKUP($A385,库存台账!$A$5:$Y$1204,25,0),0))</f>
        <v/>
      </c>
      <c r="N385" s="19">
        <f>IF($A385="","",IFERROR(LOOKUP(2,1/((出库单!$D$4:$D$4003=$A385)*(出库单!$T$4:$T$4003="正常")),出库单!$C$4:$C$4003),""))</f>
        <v/>
      </c>
      <c r="O385" s="28">
        <f>IF($A385="","",IF($L385&lt;=0,"",IF($N385="",IFERROR(账期止-LOOKUP(2,1/(入库单!$G$4:$G$2503=$A385),入库单!$C$4:$C$2503),""),账期止-$N385)))</f>
        <v/>
      </c>
      <c r="P385" s="17" t="n"/>
    </row>
    <row r="386">
      <c r="A386" s="17" t="inlineStr">
        <is>
          <t>JH0383</t>
        </is>
      </c>
      <c r="B386" s="17" t="inlineStr">
        <is>
          <t>机械设备</t>
        </is>
      </c>
      <c r="C386" s="17" t="inlineStr">
        <is>
          <t>中矿管</t>
        </is>
      </c>
      <c r="D386" s="17" t="inlineStr">
        <is>
          <t>SF2.8浮选机</t>
        </is>
      </c>
      <c r="E386" s="17" t="inlineStr">
        <is>
          <t>件</t>
        </is>
      </c>
      <c r="F386" s="17" t="inlineStr">
        <is>
          <t>否</t>
        </is>
      </c>
      <c r="G386" s="23" t="n"/>
      <c r="H386" s="24">
        <f>IF($A386="","",IFERROR(LOOKUP(2,1/((入库单!$G$4:$G$2503=$A386)*(入库单!$Y$4:$Y$2503="正常")*(入库单!$L$4:$L$2503&gt;0)),入库单!$D$4:$D$2503),""))</f>
        <v/>
      </c>
      <c r="I386" s="25">
        <f>IF($A386="","",IFERROR(LOOKUP(2,1/((入库单!$G$4:$G$2503=$A386)*(入库单!$Y$4:$Y$2503="正常")*(入库单!$L$4:$L$2503&gt;0)),入库单!$L$4:$L$2503),0))</f>
        <v/>
      </c>
      <c r="J386" s="26">
        <f>IF($A386="","",IF($H386="A国内",ROUND($I386*倍数A*汇率,0),IF($H386="B当地",ROUND($I386*系数B,0),0)))</f>
        <v/>
      </c>
      <c r="K386" s="24">
        <f>IF($A386="","",IF(COUNTIFS(入库单!$G$4:$G$2503,$A386,入库单!$X$4:$X$2503,"待补价")&gt;0,"待补价",IF(COUNTIFS(入库单!$G$4:$G$2503,$A386,入库单!$X$4:$X$2503,"暂估")&gt;0,"暂估",IF($I386=0,"没有进价","正常"))))</f>
        <v/>
      </c>
      <c r="L386" s="27">
        <f>IF($A386="","",IFERROR(VLOOKUP($A386,库存台账!$A$5:$Y$1204,24,0),0))</f>
        <v/>
      </c>
      <c r="M386" s="26">
        <f>IF($A386="","",IFERROR(VLOOKUP($A386,库存台账!$A$5:$Y$1204,25,0),0))</f>
        <v/>
      </c>
      <c r="N386" s="19">
        <f>IF($A386="","",IFERROR(LOOKUP(2,1/((出库单!$D$4:$D$4003=$A386)*(出库单!$T$4:$T$4003="正常")),出库单!$C$4:$C$4003),""))</f>
        <v/>
      </c>
      <c r="O386" s="28">
        <f>IF($A386="","",IF($L386&lt;=0,"",IF($N386="",IFERROR(账期止-LOOKUP(2,1/(入库单!$G$4:$G$2503=$A386),入库单!$C$4:$C$2503),""),账期止-$N386)))</f>
        <v/>
      </c>
      <c r="P386" s="17" t="n"/>
    </row>
    <row r="387">
      <c r="A387" s="17" t="inlineStr">
        <is>
          <t>JH0384</t>
        </is>
      </c>
      <c r="B387" s="17" t="inlineStr">
        <is>
          <t>机械设备</t>
        </is>
      </c>
      <c r="C387" s="17" t="inlineStr">
        <is>
          <t>给矿管</t>
        </is>
      </c>
      <c r="D387" s="17" t="inlineStr">
        <is>
          <t>SF2.8浮选机</t>
        </is>
      </c>
      <c r="E387" s="17" t="inlineStr">
        <is>
          <t>件</t>
        </is>
      </c>
      <c r="F387" s="17" t="inlineStr">
        <is>
          <t>否</t>
        </is>
      </c>
      <c r="G387" s="23" t="n"/>
      <c r="H387" s="24">
        <f>IF($A387="","",IFERROR(LOOKUP(2,1/((入库单!$G$4:$G$2503=$A387)*(入库单!$Y$4:$Y$2503="正常")*(入库单!$L$4:$L$2503&gt;0)),入库单!$D$4:$D$2503),""))</f>
        <v/>
      </c>
      <c r="I387" s="25">
        <f>IF($A387="","",IFERROR(LOOKUP(2,1/((入库单!$G$4:$G$2503=$A387)*(入库单!$Y$4:$Y$2503="正常")*(入库单!$L$4:$L$2503&gt;0)),入库单!$L$4:$L$2503),0))</f>
        <v/>
      </c>
      <c r="J387" s="26">
        <f>IF($A387="","",IF($H387="A国内",ROUND($I387*倍数A*汇率,0),IF($H387="B当地",ROUND($I387*系数B,0),0)))</f>
        <v/>
      </c>
      <c r="K387" s="24">
        <f>IF($A387="","",IF(COUNTIFS(入库单!$G$4:$G$2503,$A387,入库单!$X$4:$X$2503,"待补价")&gt;0,"待补价",IF(COUNTIFS(入库单!$G$4:$G$2503,$A387,入库单!$X$4:$X$2503,"暂估")&gt;0,"暂估",IF($I387=0,"没有进价","正常"))))</f>
        <v/>
      </c>
      <c r="L387" s="27">
        <f>IF($A387="","",IFERROR(VLOOKUP($A387,库存台账!$A$5:$Y$1204,24,0),0))</f>
        <v/>
      </c>
      <c r="M387" s="26">
        <f>IF($A387="","",IFERROR(VLOOKUP($A387,库存台账!$A$5:$Y$1204,25,0),0))</f>
        <v/>
      </c>
      <c r="N387" s="19">
        <f>IF($A387="","",IFERROR(LOOKUP(2,1/((出库单!$D$4:$D$4003=$A387)*(出库单!$T$4:$T$4003="正常")),出库单!$C$4:$C$4003),""))</f>
        <v/>
      </c>
      <c r="O387" s="28">
        <f>IF($A387="","",IF($L387&lt;=0,"",IF($N387="",IFERROR(账期止-LOOKUP(2,1/(入库单!$G$4:$G$2503=$A387),入库单!$C$4:$C$2503),""),账期止-$N387)))</f>
        <v/>
      </c>
      <c r="P387" s="17" t="n"/>
    </row>
    <row r="388">
      <c r="A388" s="17" t="inlineStr">
        <is>
          <t>JH0385</t>
        </is>
      </c>
      <c r="B388" s="17" t="inlineStr">
        <is>
          <t>机械设备</t>
        </is>
      </c>
      <c r="C388" s="17" t="inlineStr">
        <is>
          <t>配件中心筒-护轴筒</t>
        </is>
      </c>
      <c r="D388" s="17" t="inlineStr">
        <is>
          <t>SF2.8浮选机</t>
        </is>
      </c>
      <c r="E388" s="17" t="inlineStr">
        <is>
          <t>件</t>
        </is>
      </c>
      <c r="F388" s="17" t="inlineStr">
        <is>
          <t>否</t>
        </is>
      </c>
      <c r="G388" s="23" t="n"/>
      <c r="H388" s="24">
        <f>IF($A388="","",IFERROR(LOOKUP(2,1/((入库单!$G$4:$G$2503=$A388)*(入库单!$Y$4:$Y$2503="正常")*(入库单!$L$4:$L$2503&gt;0)),入库单!$D$4:$D$2503),""))</f>
        <v/>
      </c>
      <c r="I388" s="25">
        <f>IF($A388="","",IFERROR(LOOKUP(2,1/((入库单!$G$4:$G$2503=$A388)*(入库单!$Y$4:$Y$2503="正常")*(入库单!$L$4:$L$2503&gt;0)),入库单!$L$4:$L$2503),0))</f>
        <v/>
      </c>
      <c r="J388" s="26">
        <f>IF($A388="","",IF($H388="A国内",ROUND($I388*倍数A*汇率,0),IF($H388="B当地",ROUND($I388*系数B,0),0)))</f>
        <v/>
      </c>
      <c r="K388" s="24">
        <f>IF($A388="","",IF(COUNTIFS(入库单!$G$4:$G$2503,$A388,入库单!$X$4:$X$2503,"待补价")&gt;0,"待补价",IF(COUNTIFS(入库单!$G$4:$G$2503,$A388,入库单!$X$4:$X$2503,"暂估")&gt;0,"暂估",IF($I388=0,"没有进价","正常"))))</f>
        <v/>
      </c>
      <c r="L388" s="27">
        <f>IF($A388="","",IFERROR(VLOOKUP($A388,库存台账!$A$5:$Y$1204,24,0),0))</f>
        <v/>
      </c>
      <c r="M388" s="26">
        <f>IF($A388="","",IFERROR(VLOOKUP($A388,库存台账!$A$5:$Y$1204,25,0),0))</f>
        <v/>
      </c>
      <c r="N388" s="19">
        <f>IF($A388="","",IFERROR(LOOKUP(2,1/((出库单!$D$4:$D$4003=$A388)*(出库单!$T$4:$T$4003="正常")),出库单!$C$4:$C$4003),""))</f>
        <v/>
      </c>
      <c r="O388" s="28">
        <f>IF($A388="","",IF($L388&lt;=0,"",IF($N388="",IFERROR(账期止-LOOKUP(2,1/(入库单!$G$4:$G$2503=$A388),入库单!$C$4:$C$2503),""),账期止-$N388)))</f>
        <v/>
      </c>
      <c r="P388" s="17" t="n"/>
    </row>
    <row r="389">
      <c r="A389" s="17" t="inlineStr">
        <is>
          <t>JH0386</t>
        </is>
      </c>
      <c r="B389" s="17" t="inlineStr">
        <is>
          <t>机械设备</t>
        </is>
      </c>
      <c r="C389" s="17" t="inlineStr">
        <is>
          <t>配件盖板叶轮</t>
        </is>
      </c>
      <c r="D389" s="17" t="inlineStr">
        <is>
          <t>SF2.8浮选机</t>
        </is>
      </c>
      <c r="E389" s="17" t="inlineStr">
        <is>
          <t>套</t>
        </is>
      </c>
      <c r="F389" s="17" t="inlineStr">
        <is>
          <t>否</t>
        </is>
      </c>
      <c r="G389" s="23" t="n"/>
      <c r="H389" s="24">
        <f>IF($A389="","",IFERROR(LOOKUP(2,1/((入库单!$G$4:$G$2503=$A389)*(入库单!$Y$4:$Y$2503="正常")*(入库单!$L$4:$L$2503&gt;0)),入库单!$D$4:$D$2503),""))</f>
        <v/>
      </c>
      <c r="I389" s="25">
        <f>IF($A389="","",IFERROR(LOOKUP(2,1/((入库单!$G$4:$G$2503=$A389)*(入库单!$Y$4:$Y$2503="正常")*(入库单!$L$4:$L$2503&gt;0)),入库单!$L$4:$L$2503),0))</f>
        <v/>
      </c>
      <c r="J389" s="26">
        <f>IF($A389="","",IF($H389="A国内",ROUND($I389*倍数A*汇率,0),IF($H389="B当地",ROUND($I389*系数B,0),0)))</f>
        <v/>
      </c>
      <c r="K389" s="24">
        <f>IF($A389="","",IF(COUNTIFS(入库单!$G$4:$G$2503,$A389,入库单!$X$4:$X$2503,"待补价")&gt;0,"待补价",IF(COUNTIFS(入库单!$G$4:$G$2503,$A389,入库单!$X$4:$X$2503,"暂估")&gt;0,"暂估",IF($I389=0,"没有进价","正常"))))</f>
        <v/>
      </c>
      <c r="L389" s="27">
        <f>IF($A389="","",IFERROR(VLOOKUP($A389,库存台账!$A$5:$Y$1204,24,0),0))</f>
        <v/>
      </c>
      <c r="M389" s="26">
        <f>IF($A389="","",IFERROR(VLOOKUP($A389,库存台账!$A$5:$Y$1204,25,0),0))</f>
        <v/>
      </c>
      <c r="N389" s="19">
        <f>IF($A389="","",IFERROR(LOOKUP(2,1/((出库单!$D$4:$D$4003=$A389)*(出库单!$T$4:$T$4003="正常")),出库单!$C$4:$C$4003),""))</f>
        <v/>
      </c>
      <c r="O389" s="28">
        <f>IF($A389="","",IF($L389&lt;=0,"",IF($N389="",IFERROR(账期止-LOOKUP(2,1/(入库单!$G$4:$G$2503=$A389),入库单!$C$4:$C$2503),""),账期止-$N389)))</f>
        <v/>
      </c>
      <c r="P389" s="17" t="n"/>
    </row>
    <row r="390">
      <c r="A390" s="17" t="inlineStr">
        <is>
          <t>JH0387</t>
        </is>
      </c>
      <c r="B390" s="17" t="inlineStr">
        <is>
          <t>机械设备</t>
        </is>
      </c>
      <c r="C390" s="17" t="inlineStr">
        <is>
          <t>压滤机泵</t>
        </is>
      </c>
      <c r="D390" s="17" t="inlineStr">
        <is>
          <t>50SYA-22</t>
        </is>
      </c>
      <c r="E390" s="17" t="inlineStr">
        <is>
          <t>台</t>
        </is>
      </c>
      <c r="F390" s="17" t="inlineStr">
        <is>
          <t>否</t>
        </is>
      </c>
      <c r="G390" s="23" t="n"/>
      <c r="H390" s="24">
        <f>IF($A390="","",IFERROR(LOOKUP(2,1/((入库单!$G$4:$G$2503=$A390)*(入库单!$Y$4:$Y$2503="正常")*(入库单!$L$4:$L$2503&gt;0)),入库单!$D$4:$D$2503),""))</f>
        <v/>
      </c>
      <c r="I390" s="25">
        <f>IF($A390="","",IFERROR(LOOKUP(2,1/((入库单!$G$4:$G$2503=$A390)*(入库单!$Y$4:$Y$2503="正常")*(入库单!$L$4:$L$2503&gt;0)),入库单!$L$4:$L$2503),0))</f>
        <v/>
      </c>
      <c r="J390" s="26">
        <f>IF($A390="","",IF($H390="A国内",ROUND($I390*倍数A*汇率,0),IF($H390="B当地",ROUND($I390*系数B,0),0)))</f>
        <v/>
      </c>
      <c r="K390" s="24">
        <f>IF($A390="","",IF(COUNTIFS(入库单!$G$4:$G$2503,$A390,入库单!$X$4:$X$2503,"待补价")&gt;0,"待补价",IF(COUNTIFS(入库单!$G$4:$G$2503,$A390,入库单!$X$4:$X$2503,"暂估")&gt;0,"暂估",IF($I390=0,"没有进价","正常"))))</f>
        <v/>
      </c>
      <c r="L390" s="27">
        <f>IF($A390="","",IFERROR(VLOOKUP($A390,库存台账!$A$5:$Y$1204,24,0),0))</f>
        <v/>
      </c>
      <c r="M390" s="26">
        <f>IF($A390="","",IFERROR(VLOOKUP($A390,库存台账!$A$5:$Y$1204,25,0),0))</f>
        <v/>
      </c>
      <c r="N390" s="19">
        <f>IF($A390="","",IFERROR(LOOKUP(2,1/((出库单!$D$4:$D$4003=$A390)*(出库单!$T$4:$T$4003="正常")),出库单!$C$4:$C$4003),""))</f>
        <v/>
      </c>
      <c r="O390" s="28">
        <f>IF($A390="","",IF($L390&lt;=0,"",IF($N390="",IFERROR(账期止-LOOKUP(2,1/(入库单!$G$4:$G$2503=$A390),入库单!$C$4:$C$2503),""),账期止-$N390)))</f>
        <v/>
      </c>
      <c r="P390" s="17" t="n"/>
    </row>
    <row r="391">
      <c r="A391" s="17" t="inlineStr">
        <is>
          <t>JH0388</t>
        </is>
      </c>
      <c r="B391" s="17" t="inlineStr">
        <is>
          <t>钢材</t>
        </is>
      </c>
      <c r="C391" s="17" t="inlineStr">
        <is>
          <t>槽钢</t>
        </is>
      </c>
      <c r="D391" s="17" t="inlineStr">
        <is>
          <t>160   6米/支</t>
        </is>
      </c>
      <c r="E391" s="17" t="inlineStr">
        <is>
          <t>米</t>
        </is>
      </c>
      <c r="F391" s="17" t="inlineStr">
        <is>
          <t>否</t>
        </is>
      </c>
      <c r="G391" s="23" t="n"/>
      <c r="H391" s="24">
        <f>IF($A391="","",IFERROR(LOOKUP(2,1/((入库单!$G$4:$G$2503=$A391)*(入库单!$Y$4:$Y$2503="正常")*(入库单!$L$4:$L$2503&gt;0)),入库单!$D$4:$D$2503),""))</f>
        <v/>
      </c>
      <c r="I391" s="25">
        <f>IF($A391="","",IFERROR(LOOKUP(2,1/((入库单!$G$4:$G$2503=$A391)*(入库单!$Y$4:$Y$2503="正常")*(入库单!$L$4:$L$2503&gt;0)),入库单!$L$4:$L$2503),0))</f>
        <v/>
      </c>
      <c r="J391" s="26">
        <f>IF($A391="","",IF($H391="A国内",ROUND($I391*倍数A*汇率,0),IF($H391="B当地",ROUND($I391*系数B,0),0)))</f>
        <v/>
      </c>
      <c r="K391" s="24">
        <f>IF($A391="","",IF(COUNTIFS(入库单!$G$4:$G$2503,$A391,入库单!$X$4:$X$2503,"待补价")&gt;0,"待补价",IF(COUNTIFS(入库单!$G$4:$G$2503,$A391,入库单!$X$4:$X$2503,"暂估")&gt;0,"暂估",IF($I391=0,"没有进价","正常"))))</f>
        <v/>
      </c>
      <c r="L391" s="27">
        <f>IF($A391="","",IFERROR(VLOOKUP($A391,库存台账!$A$5:$Y$1204,24,0),0))</f>
        <v/>
      </c>
      <c r="M391" s="26">
        <f>IF($A391="","",IFERROR(VLOOKUP($A391,库存台账!$A$5:$Y$1204,25,0),0))</f>
        <v/>
      </c>
      <c r="N391" s="19">
        <f>IF($A391="","",IFERROR(LOOKUP(2,1/((出库单!$D$4:$D$4003=$A391)*(出库单!$T$4:$T$4003="正常")),出库单!$C$4:$C$4003),""))</f>
        <v/>
      </c>
      <c r="O391" s="28">
        <f>IF($A391="","",IF($L391&lt;=0,"",IF($N391="",IFERROR(账期止-LOOKUP(2,1/(入库单!$G$4:$G$2503=$A391),入库单!$C$4:$C$2503),""),账期止-$N391)))</f>
        <v/>
      </c>
      <c r="P391" s="17" t="n"/>
    </row>
    <row r="392">
      <c r="A392" s="17" t="inlineStr">
        <is>
          <t>JH0389</t>
        </is>
      </c>
      <c r="B392" s="17" t="inlineStr">
        <is>
          <t>钢材</t>
        </is>
      </c>
      <c r="C392" s="17" t="inlineStr">
        <is>
          <t>焊管DN50</t>
        </is>
      </c>
      <c r="D392" s="17" t="inlineStr">
        <is>
          <t>Φ60   6米/支</t>
        </is>
      </c>
      <c r="E392" s="17" t="inlineStr">
        <is>
          <t>米</t>
        </is>
      </c>
      <c r="F392" s="17" t="inlineStr">
        <is>
          <t>否</t>
        </is>
      </c>
      <c r="G392" s="23" t="n"/>
      <c r="H392" s="24">
        <f>IF($A392="","",IFERROR(LOOKUP(2,1/((入库单!$G$4:$G$2503=$A392)*(入库单!$Y$4:$Y$2503="正常")*(入库单!$L$4:$L$2503&gt;0)),入库单!$D$4:$D$2503),""))</f>
        <v/>
      </c>
      <c r="I392" s="25">
        <f>IF($A392="","",IFERROR(LOOKUP(2,1/((入库单!$G$4:$G$2503=$A392)*(入库单!$Y$4:$Y$2503="正常")*(入库单!$L$4:$L$2503&gt;0)),入库单!$L$4:$L$2503),0))</f>
        <v/>
      </c>
      <c r="J392" s="26">
        <f>IF($A392="","",IF($H392="A国内",ROUND($I392*倍数A*汇率,0),IF($H392="B当地",ROUND($I392*系数B,0),0)))</f>
        <v/>
      </c>
      <c r="K392" s="24">
        <f>IF($A392="","",IF(COUNTIFS(入库单!$G$4:$G$2503,$A392,入库单!$X$4:$X$2503,"待补价")&gt;0,"待补价",IF(COUNTIFS(入库单!$G$4:$G$2503,$A392,入库单!$X$4:$X$2503,"暂估")&gt;0,"暂估",IF($I392=0,"没有进价","正常"))))</f>
        <v/>
      </c>
      <c r="L392" s="27">
        <f>IF($A392="","",IFERROR(VLOOKUP($A392,库存台账!$A$5:$Y$1204,24,0),0))</f>
        <v/>
      </c>
      <c r="M392" s="26">
        <f>IF($A392="","",IFERROR(VLOOKUP($A392,库存台账!$A$5:$Y$1204,25,0),0))</f>
        <v/>
      </c>
      <c r="N392" s="19">
        <f>IF($A392="","",IFERROR(LOOKUP(2,1/((出库单!$D$4:$D$4003=$A392)*(出库单!$T$4:$T$4003="正常")),出库单!$C$4:$C$4003),""))</f>
        <v/>
      </c>
      <c r="O392" s="28">
        <f>IF($A392="","",IF($L392&lt;=0,"",IF($N392="",IFERROR(账期止-LOOKUP(2,1/(入库单!$G$4:$G$2503=$A392),入库单!$C$4:$C$2503),""),账期止-$N392)))</f>
        <v/>
      </c>
      <c r="P392" s="17" t="n"/>
    </row>
    <row r="393">
      <c r="A393" s="17" t="inlineStr">
        <is>
          <t>JH0390</t>
        </is>
      </c>
      <c r="B393" s="17" t="inlineStr">
        <is>
          <t>钢材</t>
        </is>
      </c>
      <c r="C393" s="17" t="inlineStr">
        <is>
          <t>钢管DN100</t>
        </is>
      </c>
      <c r="D393" s="17" t="inlineStr">
        <is>
          <t>Φ108  6米/支</t>
        </is>
      </c>
      <c r="E393" s="17" t="inlineStr">
        <is>
          <t>米</t>
        </is>
      </c>
      <c r="F393" s="17" t="inlineStr">
        <is>
          <t>否</t>
        </is>
      </c>
      <c r="G393" s="23" t="n"/>
      <c r="H393" s="24">
        <f>IF($A393="","",IFERROR(LOOKUP(2,1/((入库单!$G$4:$G$2503=$A393)*(入库单!$Y$4:$Y$2503="正常")*(入库单!$L$4:$L$2503&gt;0)),入库单!$D$4:$D$2503),""))</f>
        <v/>
      </c>
      <c r="I393" s="25">
        <f>IF($A393="","",IFERROR(LOOKUP(2,1/((入库单!$G$4:$G$2503=$A393)*(入库单!$Y$4:$Y$2503="正常")*(入库单!$L$4:$L$2503&gt;0)),入库单!$L$4:$L$2503),0))</f>
        <v/>
      </c>
      <c r="J393" s="26">
        <f>IF($A393="","",IF($H393="A国内",ROUND($I393*倍数A*汇率,0),IF($H393="B当地",ROUND($I393*系数B,0),0)))</f>
        <v/>
      </c>
      <c r="K393" s="24">
        <f>IF($A393="","",IF(COUNTIFS(入库单!$G$4:$G$2503,$A393,入库单!$X$4:$X$2503,"待补价")&gt;0,"待补价",IF(COUNTIFS(入库单!$G$4:$G$2503,$A393,入库单!$X$4:$X$2503,"暂估")&gt;0,"暂估",IF($I393=0,"没有进价","正常"))))</f>
        <v/>
      </c>
      <c r="L393" s="27">
        <f>IF($A393="","",IFERROR(VLOOKUP($A393,库存台账!$A$5:$Y$1204,24,0),0))</f>
        <v/>
      </c>
      <c r="M393" s="26">
        <f>IF($A393="","",IFERROR(VLOOKUP($A393,库存台账!$A$5:$Y$1204,25,0),0))</f>
        <v/>
      </c>
      <c r="N393" s="19">
        <f>IF($A393="","",IFERROR(LOOKUP(2,1/((出库单!$D$4:$D$4003=$A393)*(出库单!$T$4:$T$4003="正常")),出库单!$C$4:$C$4003),""))</f>
        <v/>
      </c>
      <c r="O393" s="28">
        <f>IF($A393="","",IF($L393&lt;=0,"",IF($N393="",IFERROR(账期止-LOOKUP(2,1/(入库单!$G$4:$G$2503=$A393),入库单!$C$4:$C$2503),""),账期止-$N393)))</f>
        <v/>
      </c>
      <c r="P393" s="17" t="n"/>
    </row>
    <row r="394">
      <c r="A394" s="17" t="inlineStr">
        <is>
          <t>JH0391</t>
        </is>
      </c>
      <c r="B394" s="17" t="inlineStr">
        <is>
          <t>机械设备</t>
        </is>
      </c>
      <c r="C394" s="17" t="inlineStr">
        <is>
          <t>鄂式破碎机</t>
        </is>
      </c>
      <c r="D394" s="17" t="inlineStr">
        <is>
          <t>PE400×600</t>
        </is>
      </c>
      <c r="E394" s="17" t="inlineStr">
        <is>
          <t>台</t>
        </is>
      </c>
      <c r="F394" s="17" t="inlineStr">
        <is>
          <t>否</t>
        </is>
      </c>
      <c r="G394" s="23" t="n"/>
      <c r="H394" s="24">
        <f>IF($A394="","",IFERROR(LOOKUP(2,1/((入库单!$G$4:$G$2503=$A394)*(入库单!$Y$4:$Y$2503="正常")*(入库单!$L$4:$L$2503&gt;0)),入库单!$D$4:$D$2503),""))</f>
        <v/>
      </c>
      <c r="I394" s="25">
        <f>IF($A394="","",IFERROR(LOOKUP(2,1/((入库单!$G$4:$G$2503=$A394)*(入库单!$Y$4:$Y$2503="正常")*(入库单!$L$4:$L$2503&gt;0)),入库单!$L$4:$L$2503),0))</f>
        <v/>
      </c>
      <c r="J394" s="26">
        <f>IF($A394="","",IF($H394="A国内",ROUND($I394*倍数A*汇率,0),IF($H394="B当地",ROUND($I394*系数B,0),0)))</f>
        <v/>
      </c>
      <c r="K394" s="24">
        <f>IF($A394="","",IF(COUNTIFS(入库单!$G$4:$G$2503,$A394,入库单!$X$4:$X$2503,"待补价")&gt;0,"待补价",IF(COUNTIFS(入库单!$G$4:$G$2503,$A394,入库单!$X$4:$X$2503,"暂估")&gt;0,"暂估",IF($I394=0,"没有进价","正常"))))</f>
        <v/>
      </c>
      <c r="L394" s="27">
        <f>IF($A394="","",IFERROR(VLOOKUP($A394,库存台账!$A$5:$Y$1204,24,0),0))</f>
        <v/>
      </c>
      <c r="M394" s="26">
        <f>IF($A394="","",IFERROR(VLOOKUP($A394,库存台账!$A$5:$Y$1204,25,0),0))</f>
        <v/>
      </c>
      <c r="N394" s="19">
        <f>IF($A394="","",IFERROR(LOOKUP(2,1/((出库单!$D$4:$D$4003=$A394)*(出库单!$T$4:$T$4003="正常")),出库单!$C$4:$C$4003),""))</f>
        <v/>
      </c>
      <c r="O394" s="28">
        <f>IF($A394="","",IF($L394&lt;=0,"",IF($N394="",IFERROR(账期止-LOOKUP(2,1/(入库单!$G$4:$G$2503=$A394),入库单!$C$4:$C$2503),""),账期止-$N394)))</f>
        <v/>
      </c>
      <c r="P394" s="17" t="n"/>
    </row>
    <row r="395">
      <c r="A395" s="17" t="inlineStr">
        <is>
          <t>JH0392</t>
        </is>
      </c>
      <c r="B395" s="17" t="inlineStr">
        <is>
          <t>电缆电气</t>
        </is>
      </c>
      <c r="C395" s="17" t="inlineStr">
        <is>
          <t>30kw-6电机带轮</t>
        </is>
      </c>
      <c r="D395" s="17" t="inlineStr"/>
      <c r="E395" s="17" t="inlineStr">
        <is>
          <t>台</t>
        </is>
      </c>
      <c r="F395" s="17" t="inlineStr">
        <is>
          <t>否</t>
        </is>
      </c>
      <c r="G395" s="23" t="n"/>
      <c r="H395" s="24">
        <f>IF($A395="","",IFERROR(LOOKUP(2,1/((入库单!$G$4:$G$2503=$A395)*(入库单!$Y$4:$Y$2503="正常")*(入库单!$L$4:$L$2503&gt;0)),入库单!$D$4:$D$2503),""))</f>
        <v/>
      </c>
      <c r="I395" s="25">
        <f>IF($A395="","",IFERROR(LOOKUP(2,1/((入库单!$G$4:$G$2503=$A395)*(入库单!$Y$4:$Y$2503="正常")*(入库单!$L$4:$L$2503&gt;0)),入库单!$L$4:$L$2503),0))</f>
        <v/>
      </c>
      <c r="J395" s="26">
        <f>IF($A395="","",IF($H395="A国内",ROUND($I395*倍数A*汇率,0),IF($H395="B当地",ROUND($I395*系数B,0),0)))</f>
        <v/>
      </c>
      <c r="K395" s="24">
        <f>IF($A395="","",IF(COUNTIFS(入库单!$G$4:$G$2503,$A395,入库单!$X$4:$X$2503,"待补价")&gt;0,"待补价",IF(COUNTIFS(入库单!$G$4:$G$2503,$A395,入库单!$X$4:$X$2503,"暂估")&gt;0,"暂估",IF($I395=0,"没有进价","正常"))))</f>
        <v/>
      </c>
      <c r="L395" s="27">
        <f>IF($A395="","",IFERROR(VLOOKUP($A395,库存台账!$A$5:$Y$1204,24,0),0))</f>
        <v/>
      </c>
      <c r="M395" s="26">
        <f>IF($A395="","",IFERROR(VLOOKUP($A395,库存台账!$A$5:$Y$1204,25,0),0))</f>
        <v/>
      </c>
      <c r="N395" s="19">
        <f>IF($A395="","",IFERROR(LOOKUP(2,1/((出库单!$D$4:$D$4003=$A395)*(出库单!$T$4:$T$4003="正常")),出库单!$C$4:$C$4003),""))</f>
        <v/>
      </c>
      <c r="O395" s="28">
        <f>IF($A395="","",IF($L395&lt;=0,"",IF($N395="",IFERROR(账期止-LOOKUP(2,1/(入库单!$G$4:$G$2503=$A395),入库单!$C$4:$C$2503),""),账期止-$N395)))</f>
        <v/>
      </c>
      <c r="P395" s="17" t="n"/>
    </row>
    <row r="396">
      <c r="A396" s="17" t="inlineStr">
        <is>
          <t>JH0393</t>
        </is>
      </c>
      <c r="B396" s="17" t="inlineStr">
        <is>
          <t>其他</t>
        </is>
      </c>
      <c r="C396" s="17" t="inlineStr">
        <is>
          <t>滑道</t>
        </is>
      </c>
      <c r="D396" s="17" t="inlineStr"/>
      <c r="E396" s="17" t="inlineStr">
        <is>
          <t>条</t>
        </is>
      </c>
      <c r="F396" s="17" t="inlineStr">
        <is>
          <t>否</t>
        </is>
      </c>
      <c r="G396" s="23" t="n"/>
      <c r="H396" s="24">
        <f>IF($A396="","",IFERROR(LOOKUP(2,1/((入库单!$G$4:$G$2503=$A396)*(入库单!$Y$4:$Y$2503="正常")*(入库单!$L$4:$L$2503&gt;0)),入库单!$D$4:$D$2503),""))</f>
        <v/>
      </c>
      <c r="I396" s="25">
        <f>IF($A396="","",IFERROR(LOOKUP(2,1/((入库单!$G$4:$G$2503=$A396)*(入库单!$Y$4:$Y$2503="正常")*(入库单!$L$4:$L$2503&gt;0)),入库单!$L$4:$L$2503),0))</f>
        <v/>
      </c>
      <c r="J396" s="26">
        <f>IF($A396="","",IF($H396="A国内",ROUND($I396*倍数A*汇率,0),IF($H396="B当地",ROUND($I396*系数B,0),0)))</f>
        <v/>
      </c>
      <c r="K396" s="24">
        <f>IF($A396="","",IF(COUNTIFS(入库单!$G$4:$G$2503,$A396,入库单!$X$4:$X$2503,"待补价")&gt;0,"待补价",IF(COUNTIFS(入库单!$G$4:$G$2503,$A396,入库单!$X$4:$X$2503,"暂估")&gt;0,"暂估",IF($I396=0,"没有进价","正常"))))</f>
        <v/>
      </c>
      <c r="L396" s="27">
        <f>IF($A396="","",IFERROR(VLOOKUP($A396,库存台账!$A$5:$Y$1204,24,0),0))</f>
        <v/>
      </c>
      <c r="M396" s="26">
        <f>IF($A396="","",IFERROR(VLOOKUP($A396,库存台账!$A$5:$Y$1204,25,0),0))</f>
        <v/>
      </c>
      <c r="N396" s="19">
        <f>IF($A396="","",IFERROR(LOOKUP(2,1/((出库单!$D$4:$D$4003=$A396)*(出库单!$T$4:$T$4003="正常")),出库单!$C$4:$C$4003),""))</f>
        <v/>
      </c>
      <c r="O396" s="28">
        <f>IF($A396="","",IF($L396&lt;=0,"",IF($N396="",IFERROR(账期止-LOOKUP(2,1/(入库单!$G$4:$G$2503=$A396),入库单!$C$4:$C$2503),""),账期止-$N396)))</f>
        <v/>
      </c>
      <c r="P396" s="17" t="n"/>
    </row>
    <row r="397">
      <c r="A397" s="17" t="inlineStr">
        <is>
          <t>JH0394</t>
        </is>
      </c>
      <c r="B397" s="17" t="inlineStr">
        <is>
          <t>其他</t>
        </is>
      </c>
      <c r="C397" s="17" t="inlineStr">
        <is>
          <t>三角带C4953</t>
        </is>
      </c>
      <c r="D397" s="17" t="inlineStr"/>
      <c r="E397" s="17" t="inlineStr">
        <is>
          <t>条</t>
        </is>
      </c>
      <c r="F397" s="17" t="inlineStr">
        <is>
          <t>否</t>
        </is>
      </c>
      <c r="G397" s="23" t="n"/>
      <c r="H397" s="24">
        <f>IF($A397="","",IFERROR(LOOKUP(2,1/((入库单!$G$4:$G$2503=$A397)*(入库单!$Y$4:$Y$2503="正常")*(入库单!$L$4:$L$2503&gt;0)),入库单!$D$4:$D$2503),""))</f>
        <v/>
      </c>
      <c r="I397" s="25">
        <f>IF($A397="","",IFERROR(LOOKUP(2,1/((入库单!$G$4:$G$2503=$A397)*(入库单!$Y$4:$Y$2503="正常")*(入库单!$L$4:$L$2503&gt;0)),入库单!$L$4:$L$2503),0))</f>
        <v/>
      </c>
      <c r="J397" s="26">
        <f>IF($A397="","",IF($H397="A国内",ROUND($I397*倍数A*汇率,0),IF($H397="B当地",ROUND($I397*系数B,0),0)))</f>
        <v/>
      </c>
      <c r="K397" s="24">
        <f>IF($A397="","",IF(COUNTIFS(入库单!$G$4:$G$2503,$A397,入库单!$X$4:$X$2503,"待补价")&gt;0,"待补价",IF(COUNTIFS(入库单!$G$4:$G$2503,$A397,入库单!$X$4:$X$2503,"暂估")&gt;0,"暂估",IF($I397=0,"没有进价","正常"))))</f>
        <v/>
      </c>
      <c r="L397" s="27">
        <f>IF($A397="","",IFERROR(VLOOKUP($A397,库存台账!$A$5:$Y$1204,24,0),0))</f>
        <v/>
      </c>
      <c r="M397" s="26">
        <f>IF($A397="","",IFERROR(VLOOKUP($A397,库存台账!$A$5:$Y$1204,25,0),0))</f>
        <v/>
      </c>
      <c r="N397" s="19">
        <f>IF($A397="","",IFERROR(LOOKUP(2,1/((出库单!$D$4:$D$4003=$A397)*(出库单!$T$4:$T$4003="正常")),出库单!$C$4:$C$4003),""))</f>
        <v/>
      </c>
      <c r="O397" s="28">
        <f>IF($A397="","",IF($L397&lt;=0,"",IF($N397="",IFERROR(账期止-LOOKUP(2,1/(入库单!$G$4:$G$2503=$A397),入库单!$C$4:$C$2503),""),账期止-$N397)))</f>
        <v/>
      </c>
      <c r="P397" s="17" t="n"/>
    </row>
    <row r="398">
      <c r="A398" s="17" t="inlineStr">
        <is>
          <t>JH0395</t>
        </is>
      </c>
      <c r="B398" s="17" t="inlineStr">
        <is>
          <t>五金管件</t>
        </is>
      </c>
      <c r="C398" s="17" t="inlineStr">
        <is>
          <t>地脚螺栓30x600</t>
        </is>
      </c>
      <c r="D398" s="17" t="inlineStr"/>
      <c r="E398" s="17" t="inlineStr">
        <is>
          <t>套</t>
        </is>
      </c>
      <c r="F398" s="17" t="inlineStr">
        <is>
          <t>否</t>
        </is>
      </c>
      <c r="G398" s="23" t="n"/>
      <c r="H398" s="24">
        <f>IF($A398="","",IFERROR(LOOKUP(2,1/((入库单!$G$4:$G$2503=$A398)*(入库单!$Y$4:$Y$2503="正常")*(入库单!$L$4:$L$2503&gt;0)),入库单!$D$4:$D$2503),""))</f>
        <v/>
      </c>
      <c r="I398" s="25">
        <f>IF($A398="","",IFERROR(LOOKUP(2,1/((入库单!$G$4:$G$2503=$A398)*(入库单!$Y$4:$Y$2503="正常")*(入库单!$L$4:$L$2503&gt;0)),入库单!$L$4:$L$2503),0))</f>
        <v/>
      </c>
      <c r="J398" s="26">
        <f>IF($A398="","",IF($H398="A国内",ROUND($I398*倍数A*汇率,0),IF($H398="B当地",ROUND($I398*系数B,0),0)))</f>
        <v/>
      </c>
      <c r="K398" s="24">
        <f>IF($A398="","",IF(COUNTIFS(入库单!$G$4:$G$2503,$A398,入库单!$X$4:$X$2503,"待补价")&gt;0,"待补价",IF(COUNTIFS(入库单!$G$4:$G$2503,$A398,入库单!$X$4:$X$2503,"暂估")&gt;0,"暂估",IF($I398=0,"没有进价","正常"))))</f>
        <v/>
      </c>
      <c r="L398" s="27">
        <f>IF($A398="","",IFERROR(VLOOKUP($A398,库存台账!$A$5:$Y$1204,24,0),0))</f>
        <v/>
      </c>
      <c r="M398" s="26">
        <f>IF($A398="","",IFERROR(VLOOKUP($A398,库存台账!$A$5:$Y$1204,25,0),0))</f>
        <v/>
      </c>
      <c r="N398" s="19">
        <f>IF($A398="","",IFERROR(LOOKUP(2,1/((出库单!$D$4:$D$4003=$A398)*(出库单!$T$4:$T$4003="正常")),出库单!$C$4:$C$4003),""))</f>
        <v/>
      </c>
      <c r="O398" s="28">
        <f>IF($A398="","",IF($L398&lt;=0,"",IF($N398="",IFERROR(账期止-LOOKUP(2,1/(入库单!$G$4:$G$2503=$A398),入库单!$C$4:$C$2503),""),账期止-$N398)))</f>
        <v/>
      </c>
      <c r="P398" s="17" t="n"/>
    </row>
    <row r="399">
      <c r="A399" s="17" t="inlineStr">
        <is>
          <t>JH0396</t>
        </is>
      </c>
      <c r="B399" s="17" t="inlineStr">
        <is>
          <t>五金管件</t>
        </is>
      </c>
      <c r="C399" s="17" t="inlineStr">
        <is>
          <t>地脚螺栓20x300</t>
        </is>
      </c>
      <c r="D399" s="17" t="inlineStr"/>
      <c r="E399" s="17" t="inlineStr">
        <is>
          <t>套</t>
        </is>
      </c>
      <c r="F399" s="17" t="inlineStr">
        <is>
          <t>否</t>
        </is>
      </c>
      <c r="G399" s="23" t="n"/>
      <c r="H399" s="24">
        <f>IF($A399="","",IFERROR(LOOKUP(2,1/((入库单!$G$4:$G$2503=$A399)*(入库单!$Y$4:$Y$2503="正常")*(入库单!$L$4:$L$2503&gt;0)),入库单!$D$4:$D$2503),""))</f>
        <v/>
      </c>
      <c r="I399" s="25">
        <f>IF($A399="","",IFERROR(LOOKUP(2,1/((入库单!$G$4:$G$2503=$A399)*(入库单!$Y$4:$Y$2503="正常")*(入库单!$L$4:$L$2503&gt;0)),入库单!$L$4:$L$2503),0))</f>
        <v/>
      </c>
      <c r="J399" s="26">
        <f>IF($A399="","",IF($H399="A国内",ROUND($I399*倍数A*汇率,0),IF($H399="B当地",ROUND($I399*系数B,0),0)))</f>
        <v/>
      </c>
      <c r="K399" s="24">
        <f>IF($A399="","",IF(COUNTIFS(入库单!$G$4:$G$2503,$A399,入库单!$X$4:$X$2503,"待补价")&gt;0,"待补价",IF(COUNTIFS(入库单!$G$4:$G$2503,$A399,入库单!$X$4:$X$2503,"暂估")&gt;0,"暂估",IF($I399=0,"没有进价","正常"))))</f>
        <v/>
      </c>
      <c r="L399" s="27">
        <f>IF($A399="","",IFERROR(VLOOKUP($A399,库存台账!$A$5:$Y$1204,24,0),0))</f>
        <v/>
      </c>
      <c r="M399" s="26">
        <f>IF($A399="","",IFERROR(VLOOKUP($A399,库存台账!$A$5:$Y$1204,25,0),0))</f>
        <v/>
      </c>
      <c r="N399" s="19">
        <f>IF($A399="","",IFERROR(LOOKUP(2,1/((出库单!$D$4:$D$4003=$A399)*(出库单!$T$4:$T$4003="正常")),出库单!$C$4:$C$4003),""))</f>
        <v/>
      </c>
      <c r="O399" s="28">
        <f>IF($A399="","",IF($L399&lt;=0,"",IF($N399="",IFERROR(账期止-LOOKUP(2,1/(入库单!$G$4:$G$2503=$A399),入库单!$C$4:$C$2503),""),账期止-$N399)))</f>
        <v/>
      </c>
      <c r="P399" s="17" t="n"/>
    </row>
    <row r="400">
      <c r="A400" s="17" t="inlineStr">
        <is>
          <t>JH0397</t>
        </is>
      </c>
      <c r="B400" s="17" t="inlineStr">
        <is>
          <t>电缆电气</t>
        </is>
      </c>
      <c r="C400" s="17" t="inlineStr">
        <is>
          <t>电机螺栓16x70</t>
        </is>
      </c>
      <c r="D400" s="17" t="inlineStr"/>
      <c r="E400" s="17" t="inlineStr">
        <is>
          <t>台</t>
        </is>
      </c>
      <c r="F400" s="17" t="inlineStr">
        <is>
          <t>否</t>
        </is>
      </c>
      <c r="G400" s="23" t="n"/>
      <c r="H400" s="24">
        <f>IF($A400="","",IFERROR(LOOKUP(2,1/((入库单!$G$4:$G$2503=$A400)*(入库单!$Y$4:$Y$2503="正常")*(入库单!$L$4:$L$2503&gt;0)),入库单!$D$4:$D$2503),""))</f>
        <v/>
      </c>
      <c r="I400" s="25">
        <f>IF($A400="","",IFERROR(LOOKUP(2,1/((入库单!$G$4:$G$2503=$A400)*(入库单!$Y$4:$Y$2503="正常")*(入库单!$L$4:$L$2503&gt;0)),入库单!$L$4:$L$2503),0))</f>
        <v/>
      </c>
      <c r="J400" s="26">
        <f>IF($A400="","",IF($H400="A国内",ROUND($I400*倍数A*汇率,0),IF($H400="B当地",ROUND($I400*系数B,0),0)))</f>
        <v/>
      </c>
      <c r="K400" s="24">
        <f>IF($A400="","",IF(COUNTIFS(入库单!$G$4:$G$2503,$A400,入库单!$X$4:$X$2503,"待补价")&gt;0,"待补价",IF(COUNTIFS(入库单!$G$4:$G$2503,$A400,入库单!$X$4:$X$2503,"暂估")&gt;0,"暂估",IF($I400=0,"没有进价","正常"))))</f>
        <v/>
      </c>
      <c r="L400" s="27">
        <f>IF($A400="","",IFERROR(VLOOKUP($A400,库存台账!$A$5:$Y$1204,24,0),0))</f>
        <v/>
      </c>
      <c r="M400" s="26">
        <f>IF($A400="","",IFERROR(VLOOKUP($A400,库存台账!$A$5:$Y$1204,25,0),0))</f>
        <v/>
      </c>
      <c r="N400" s="19">
        <f>IF($A400="","",IFERROR(LOOKUP(2,1/((出库单!$D$4:$D$4003=$A400)*(出库单!$T$4:$T$4003="正常")),出库单!$C$4:$C$4003),""))</f>
        <v/>
      </c>
      <c r="O400" s="28">
        <f>IF($A400="","",IF($L400&lt;=0,"",IF($N400="",IFERROR(账期止-LOOKUP(2,1/(入库单!$G$4:$G$2503=$A400),入库单!$C$4:$C$2503),""),账期止-$N400)))</f>
        <v/>
      </c>
      <c r="P400" s="17" t="n"/>
    </row>
    <row r="401">
      <c r="A401" s="17" t="inlineStr">
        <is>
          <t>JH0398</t>
        </is>
      </c>
      <c r="B401" s="17" t="inlineStr">
        <is>
          <t>机械设备</t>
        </is>
      </c>
      <c r="C401" s="17" t="inlineStr">
        <is>
          <t>鄂式破碎机</t>
        </is>
      </c>
      <c r="D401" s="17" t="inlineStr">
        <is>
          <t>PEX250×1000</t>
        </is>
      </c>
      <c r="E401" s="17" t="inlineStr">
        <is>
          <t>台</t>
        </is>
      </c>
      <c r="F401" s="17" t="inlineStr">
        <is>
          <t>否</t>
        </is>
      </c>
      <c r="G401" s="23" t="n"/>
      <c r="H401" s="24">
        <f>IF($A401="","",IFERROR(LOOKUP(2,1/((入库单!$G$4:$G$2503=$A401)*(入库单!$Y$4:$Y$2503="正常")*(入库单!$L$4:$L$2503&gt;0)),入库单!$D$4:$D$2503),""))</f>
        <v/>
      </c>
      <c r="I401" s="25">
        <f>IF($A401="","",IFERROR(LOOKUP(2,1/((入库单!$G$4:$G$2503=$A401)*(入库单!$Y$4:$Y$2503="正常")*(入库单!$L$4:$L$2503&gt;0)),入库单!$L$4:$L$2503),0))</f>
        <v/>
      </c>
      <c r="J401" s="26">
        <f>IF($A401="","",IF($H401="A国内",ROUND($I401*倍数A*汇率,0),IF($H401="B当地",ROUND($I401*系数B,0),0)))</f>
        <v/>
      </c>
      <c r="K401" s="24">
        <f>IF($A401="","",IF(COUNTIFS(入库单!$G$4:$G$2503,$A401,入库单!$X$4:$X$2503,"待补价")&gt;0,"待补价",IF(COUNTIFS(入库单!$G$4:$G$2503,$A401,入库单!$X$4:$X$2503,"暂估")&gt;0,"暂估",IF($I401=0,"没有进价","正常"))))</f>
        <v/>
      </c>
      <c r="L401" s="27">
        <f>IF($A401="","",IFERROR(VLOOKUP($A401,库存台账!$A$5:$Y$1204,24,0),0))</f>
        <v/>
      </c>
      <c r="M401" s="26">
        <f>IF($A401="","",IFERROR(VLOOKUP($A401,库存台账!$A$5:$Y$1204,25,0),0))</f>
        <v/>
      </c>
      <c r="N401" s="19">
        <f>IF($A401="","",IFERROR(LOOKUP(2,1/((出库单!$D$4:$D$4003=$A401)*(出库单!$T$4:$T$4003="正常")),出库单!$C$4:$C$4003),""))</f>
        <v/>
      </c>
      <c r="O401" s="28">
        <f>IF($A401="","",IF($L401&lt;=0,"",IF($N401="",IFERROR(账期止-LOOKUP(2,1/(入库单!$G$4:$G$2503=$A401),入库单!$C$4:$C$2503),""),账期止-$N401)))</f>
        <v/>
      </c>
      <c r="P401" s="17" t="n"/>
    </row>
    <row r="402">
      <c r="A402" s="17" t="inlineStr">
        <is>
          <t>JH0399</t>
        </is>
      </c>
      <c r="B402" s="17" t="inlineStr">
        <is>
          <t>其他</t>
        </is>
      </c>
      <c r="C402" s="17" t="inlineStr">
        <is>
          <t>三角带D5000</t>
        </is>
      </c>
      <c r="D402" s="17" t="inlineStr"/>
      <c r="E402" s="17" t="inlineStr">
        <is>
          <t>条</t>
        </is>
      </c>
      <c r="F402" s="17" t="inlineStr">
        <is>
          <t>否</t>
        </is>
      </c>
      <c r="G402" s="23" t="n"/>
      <c r="H402" s="24">
        <f>IF($A402="","",IFERROR(LOOKUP(2,1/((入库单!$G$4:$G$2503=$A402)*(入库单!$Y$4:$Y$2503="正常")*(入库单!$L$4:$L$2503&gt;0)),入库单!$D$4:$D$2503),""))</f>
        <v/>
      </c>
      <c r="I402" s="25">
        <f>IF($A402="","",IFERROR(LOOKUP(2,1/((入库单!$G$4:$G$2503=$A402)*(入库单!$Y$4:$Y$2503="正常")*(入库单!$L$4:$L$2503&gt;0)),入库单!$L$4:$L$2503),0))</f>
        <v/>
      </c>
      <c r="J402" s="26">
        <f>IF($A402="","",IF($H402="A国内",ROUND($I402*倍数A*汇率,0),IF($H402="B当地",ROUND($I402*系数B,0),0)))</f>
        <v/>
      </c>
      <c r="K402" s="24">
        <f>IF($A402="","",IF(COUNTIFS(入库单!$G$4:$G$2503,$A402,入库单!$X$4:$X$2503,"待补价")&gt;0,"待补价",IF(COUNTIFS(入库单!$G$4:$G$2503,$A402,入库单!$X$4:$X$2503,"暂估")&gt;0,"暂估",IF($I402=0,"没有进价","正常"))))</f>
        <v/>
      </c>
      <c r="L402" s="27">
        <f>IF($A402="","",IFERROR(VLOOKUP($A402,库存台账!$A$5:$Y$1204,24,0),0))</f>
        <v/>
      </c>
      <c r="M402" s="26">
        <f>IF($A402="","",IFERROR(VLOOKUP($A402,库存台账!$A$5:$Y$1204,25,0),0))</f>
        <v/>
      </c>
      <c r="N402" s="19">
        <f>IF($A402="","",IFERROR(LOOKUP(2,1/((出库单!$D$4:$D$4003=$A402)*(出库单!$T$4:$T$4003="正常")),出库单!$C$4:$C$4003),""))</f>
        <v/>
      </c>
      <c r="O402" s="28">
        <f>IF($A402="","",IF($L402&lt;=0,"",IF($N402="",IFERROR(账期止-LOOKUP(2,1/(入库单!$G$4:$G$2503=$A402),入库单!$C$4:$C$2503),""),账期止-$N402)))</f>
        <v/>
      </c>
      <c r="P402" s="17" t="n"/>
    </row>
    <row r="403">
      <c r="A403" s="17" t="inlineStr">
        <is>
          <t>JH0400</t>
        </is>
      </c>
      <c r="B403" s="17" t="inlineStr">
        <is>
          <t>机械配件</t>
        </is>
      </c>
      <c r="C403" s="17" t="inlineStr">
        <is>
          <t>自备件3寸塑料管</t>
        </is>
      </c>
      <c r="D403" s="17" t="inlineStr"/>
      <c r="E403" s="17" t="inlineStr">
        <is>
          <t>卷</t>
        </is>
      </c>
      <c r="F403" s="17" t="inlineStr">
        <is>
          <t>否</t>
        </is>
      </c>
      <c r="G403" s="23" t="n"/>
      <c r="H403" s="24">
        <f>IF($A403="","",IFERROR(LOOKUP(2,1/((入库单!$G$4:$G$2503=$A403)*(入库单!$Y$4:$Y$2503="正常")*(入库单!$L$4:$L$2503&gt;0)),入库单!$D$4:$D$2503),""))</f>
        <v/>
      </c>
      <c r="I403" s="25">
        <f>IF($A403="","",IFERROR(LOOKUP(2,1/((入库单!$G$4:$G$2503=$A403)*(入库单!$Y$4:$Y$2503="正常")*(入库单!$L$4:$L$2503&gt;0)),入库单!$L$4:$L$2503),0))</f>
        <v/>
      </c>
      <c r="J403" s="26">
        <f>IF($A403="","",IF($H403="A国内",ROUND($I403*倍数A*汇率,0),IF($H403="B当地",ROUND($I403*系数B,0),0)))</f>
        <v/>
      </c>
      <c r="K403" s="24">
        <f>IF($A403="","",IF(COUNTIFS(入库单!$G$4:$G$2503,$A403,入库单!$X$4:$X$2503,"待补价")&gt;0,"待补价",IF(COUNTIFS(入库单!$G$4:$G$2503,$A403,入库单!$X$4:$X$2503,"暂估")&gt;0,"暂估",IF($I403=0,"没有进价","正常"))))</f>
        <v/>
      </c>
      <c r="L403" s="27">
        <f>IF($A403="","",IFERROR(VLOOKUP($A403,库存台账!$A$5:$Y$1204,24,0),0))</f>
        <v/>
      </c>
      <c r="M403" s="26">
        <f>IF($A403="","",IFERROR(VLOOKUP($A403,库存台账!$A$5:$Y$1204,25,0),0))</f>
        <v/>
      </c>
      <c r="N403" s="19">
        <f>IF($A403="","",IFERROR(LOOKUP(2,1/((出库单!$D$4:$D$4003=$A403)*(出库单!$T$4:$T$4003="正常")),出库单!$C$4:$C$4003),""))</f>
        <v/>
      </c>
      <c r="O403" s="28">
        <f>IF($A403="","",IF($L403&lt;=0,"",IF($N403="",IFERROR(账期止-LOOKUP(2,1/(入库单!$G$4:$G$2503=$A403),入库单!$C$4:$C$2503),""),账期止-$N403)))</f>
        <v/>
      </c>
      <c r="P403" s="17" t="n"/>
    </row>
    <row r="404">
      <c r="A404" s="17" t="inlineStr">
        <is>
          <t>JH0401</t>
        </is>
      </c>
      <c r="B404" s="17" t="inlineStr">
        <is>
          <t>机械设备</t>
        </is>
      </c>
      <c r="C404" s="17" t="inlineStr">
        <is>
          <t>自备件水泵</t>
        </is>
      </c>
      <c r="D404" s="17" t="inlineStr">
        <is>
          <t>大木箱1700x330xh1160</t>
        </is>
      </c>
      <c r="E404" s="17" t="inlineStr">
        <is>
          <t>件</t>
        </is>
      </c>
      <c r="F404" s="17" t="inlineStr">
        <is>
          <t>否</t>
        </is>
      </c>
      <c r="G404" s="23" t="n"/>
      <c r="H404" s="24">
        <f>IF($A404="","",IFERROR(LOOKUP(2,1/((入库单!$G$4:$G$2503=$A404)*(入库单!$Y$4:$Y$2503="正常")*(入库单!$L$4:$L$2503&gt;0)),入库单!$D$4:$D$2503),""))</f>
        <v/>
      </c>
      <c r="I404" s="25">
        <f>IF($A404="","",IFERROR(LOOKUP(2,1/((入库单!$G$4:$G$2503=$A404)*(入库单!$Y$4:$Y$2503="正常")*(入库单!$L$4:$L$2503&gt;0)),入库单!$L$4:$L$2503),0))</f>
        <v/>
      </c>
      <c r="J404" s="26">
        <f>IF($A404="","",IF($H404="A国内",ROUND($I404*倍数A*汇率,0),IF($H404="B当地",ROUND($I404*系数B,0),0)))</f>
        <v/>
      </c>
      <c r="K404" s="24">
        <f>IF($A404="","",IF(COUNTIFS(入库单!$G$4:$G$2503,$A404,入库单!$X$4:$X$2503,"待补价")&gt;0,"待补价",IF(COUNTIFS(入库单!$G$4:$G$2503,$A404,入库单!$X$4:$X$2503,"暂估")&gt;0,"暂估",IF($I404=0,"没有进价","正常"))))</f>
        <v/>
      </c>
      <c r="L404" s="27">
        <f>IF($A404="","",IFERROR(VLOOKUP($A404,库存台账!$A$5:$Y$1204,24,0),0))</f>
        <v/>
      </c>
      <c r="M404" s="26">
        <f>IF($A404="","",IFERROR(VLOOKUP($A404,库存台账!$A$5:$Y$1204,25,0),0))</f>
        <v/>
      </c>
      <c r="N404" s="19">
        <f>IF($A404="","",IFERROR(LOOKUP(2,1/((出库单!$D$4:$D$4003=$A404)*(出库单!$T$4:$T$4003="正常")),出库单!$C$4:$C$4003),""))</f>
        <v/>
      </c>
      <c r="O404" s="28">
        <f>IF($A404="","",IF($L404&lt;=0,"",IF($N404="",IFERROR(账期止-LOOKUP(2,1/(入库单!$G$4:$G$2503=$A404),入库单!$C$4:$C$2503),""),账期止-$N404)))</f>
        <v/>
      </c>
      <c r="P404" s="17" t="n"/>
    </row>
    <row r="405">
      <c r="A405" s="17" t="inlineStr">
        <is>
          <t>JH0402</t>
        </is>
      </c>
      <c r="B405" s="17" t="inlineStr">
        <is>
          <t>机械设备</t>
        </is>
      </c>
      <c r="C405" s="17" t="inlineStr">
        <is>
          <t>自备件水泵</t>
        </is>
      </c>
      <c r="D405" s="17" t="inlineStr">
        <is>
          <t>小木箱1160x300xh340</t>
        </is>
      </c>
      <c r="E405" s="17" t="inlineStr">
        <is>
          <t>件</t>
        </is>
      </c>
      <c r="F405" s="17" t="inlineStr">
        <is>
          <t>否</t>
        </is>
      </c>
      <c r="G405" s="23" t="n"/>
      <c r="H405" s="24">
        <f>IF($A405="","",IFERROR(LOOKUP(2,1/((入库单!$G$4:$G$2503=$A405)*(入库单!$Y$4:$Y$2503="正常")*(入库单!$L$4:$L$2503&gt;0)),入库单!$D$4:$D$2503),""))</f>
        <v/>
      </c>
      <c r="I405" s="25">
        <f>IF($A405="","",IFERROR(LOOKUP(2,1/((入库单!$G$4:$G$2503=$A405)*(入库单!$Y$4:$Y$2503="正常")*(入库单!$L$4:$L$2503&gt;0)),入库单!$L$4:$L$2503),0))</f>
        <v/>
      </c>
      <c r="J405" s="26">
        <f>IF($A405="","",IF($H405="A国内",ROUND($I405*倍数A*汇率,0),IF($H405="B当地",ROUND($I405*系数B,0),0)))</f>
        <v/>
      </c>
      <c r="K405" s="24">
        <f>IF($A405="","",IF(COUNTIFS(入库单!$G$4:$G$2503,$A405,入库单!$X$4:$X$2503,"待补价")&gt;0,"待补价",IF(COUNTIFS(入库单!$G$4:$G$2503,$A405,入库单!$X$4:$X$2503,"暂估")&gt;0,"暂估",IF($I405=0,"没有进价","正常"))))</f>
        <v/>
      </c>
      <c r="L405" s="27">
        <f>IF($A405="","",IFERROR(VLOOKUP($A405,库存台账!$A$5:$Y$1204,24,0),0))</f>
        <v/>
      </c>
      <c r="M405" s="26">
        <f>IF($A405="","",IFERROR(VLOOKUP($A405,库存台账!$A$5:$Y$1204,25,0),0))</f>
        <v/>
      </c>
      <c r="N405" s="19">
        <f>IF($A405="","",IFERROR(LOOKUP(2,1/((出库单!$D$4:$D$4003=$A405)*(出库单!$T$4:$T$4003="正常")),出库单!$C$4:$C$4003),""))</f>
        <v/>
      </c>
      <c r="O405" s="28">
        <f>IF($A405="","",IF($L405&lt;=0,"",IF($N405="",IFERROR(账期止-LOOKUP(2,1/(入库单!$G$4:$G$2503=$A405),入库单!$C$4:$C$2503),""),账期止-$N405)))</f>
        <v/>
      </c>
      <c r="P405" s="17" t="n"/>
    </row>
    <row r="406">
      <c r="A406" s="17" t="inlineStr">
        <is>
          <t>JH0403</t>
        </is>
      </c>
      <c r="B406" s="17" t="inlineStr">
        <is>
          <t>机械配件</t>
        </is>
      </c>
      <c r="C406" s="17" t="inlineStr">
        <is>
          <t>自备件无刷切割机架子</t>
        </is>
      </c>
      <c r="D406" s="17" t="inlineStr">
        <is>
          <t>纸箱60x80xh30</t>
        </is>
      </c>
      <c r="E406" s="17" t="inlineStr">
        <is>
          <t>件</t>
        </is>
      </c>
      <c r="F406" s="17" t="inlineStr">
        <is>
          <t>否</t>
        </is>
      </c>
      <c r="G406" s="23" t="n"/>
      <c r="H406" s="24">
        <f>IF($A406="","",IFERROR(LOOKUP(2,1/((入库单!$G$4:$G$2503=$A406)*(入库单!$Y$4:$Y$2503="正常")*(入库单!$L$4:$L$2503&gt;0)),入库单!$D$4:$D$2503),""))</f>
        <v/>
      </c>
      <c r="I406" s="25">
        <f>IF($A406="","",IFERROR(LOOKUP(2,1/((入库单!$G$4:$G$2503=$A406)*(入库单!$Y$4:$Y$2503="正常")*(入库单!$L$4:$L$2503&gt;0)),入库单!$L$4:$L$2503),0))</f>
        <v/>
      </c>
      <c r="J406" s="26">
        <f>IF($A406="","",IF($H406="A国内",ROUND($I406*倍数A*汇率,0),IF($H406="B当地",ROUND($I406*系数B,0),0)))</f>
        <v/>
      </c>
      <c r="K406" s="24">
        <f>IF($A406="","",IF(COUNTIFS(入库单!$G$4:$G$2503,$A406,入库单!$X$4:$X$2503,"待补价")&gt;0,"待补价",IF(COUNTIFS(入库单!$G$4:$G$2503,$A406,入库单!$X$4:$X$2503,"暂估")&gt;0,"暂估",IF($I406=0,"没有进价","正常"))))</f>
        <v/>
      </c>
      <c r="L406" s="27">
        <f>IF($A406="","",IFERROR(VLOOKUP($A406,库存台账!$A$5:$Y$1204,24,0),0))</f>
        <v/>
      </c>
      <c r="M406" s="26">
        <f>IF($A406="","",IFERROR(VLOOKUP($A406,库存台账!$A$5:$Y$1204,25,0),0))</f>
        <v/>
      </c>
      <c r="N406" s="19">
        <f>IF($A406="","",IFERROR(LOOKUP(2,1/((出库单!$D$4:$D$4003=$A406)*(出库单!$T$4:$T$4003="正常")),出库单!$C$4:$C$4003),""))</f>
        <v/>
      </c>
      <c r="O406" s="28">
        <f>IF($A406="","",IF($L406&lt;=0,"",IF($N406="",IFERROR(账期止-LOOKUP(2,1/(入库单!$G$4:$G$2503=$A406),入库单!$C$4:$C$2503),""),账期止-$N406)))</f>
        <v/>
      </c>
      <c r="P406" s="17" t="n"/>
    </row>
    <row r="407">
      <c r="A407" s="17" t="inlineStr">
        <is>
          <t>JH0404</t>
        </is>
      </c>
      <c r="B407" s="17" t="inlineStr">
        <is>
          <t>机械配件</t>
        </is>
      </c>
      <c r="C407" s="17" t="inlineStr">
        <is>
          <t>自备件烟囱</t>
        </is>
      </c>
      <c r="D407" s="17" t="inlineStr"/>
      <c r="E407" s="17" t="inlineStr">
        <is>
          <t>件</t>
        </is>
      </c>
      <c r="F407" s="17" t="inlineStr">
        <is>
          <t>否</t>
        </is>
      </c>
      <c r="G407" s="23" t="n"/>
      <c r="H407" s="24">
        <f>IF($A407="","",IFERROR(LOOKUP(2,1/((入库单!$G$4:$G$2503=$A407)*(入库单!$Y$4:$Y$2503="正常")*(入库单!$L$4:$L$2503&gt;0)),入库单!$D$4:$D$2503),""))</f>
        <v/>
      </c>
      <c r="I407" s="25">
        <f>IF($A407="","",IFERROR(LOOKUP(2,1/((入库单!$G$4:$G$2503=$A407)*(入库单!$Y$4:$Y$2503="正常")*(入库单!$L$4:$L$2503&gt;0)),入库单!$L$4:$L$2503),0))</f>
        <v/>
      </c>
      <c r="J407" s="26">
        <f>IF($A407="","",IF($H407="A国内",ROUND($I407*倍数A*汇率,0),IF($H407="B当地",ROUND($I407*系数B,0),0)))</f>
        <v/>
      </c>
      <c r="K407" s="24">
        <f>IF($A407="","",IF(COUNTIFS(入库单!$G$4:$G$2503,$A407,入库单!$X$4:$X$2503,"待补价")&gt;0,"待补价",IF(COUNTIFS(入库单!$G$4:$G$2503,$A407,入库单!$X$4:$X$2503,"暂估")&gt;0,"暂估",IF($I407=0,"没有进价","正常"))))</f>
        <v/>
      </c>
      <c r="L407" s="27">
        <f>IF($A407="","",IFERROR(VLOOKUP($A407,库存台账!$A$5:$Y$1204,24,0),0))</f>
        <v/>
      </c>
      <c r="M407" s="26">
        <f>IF($A407="","",IFERROR(VLOOKUP($A407,库存台账!$A$5:$Y$1204,25,0),0))</f>
        <v/>
      </c>
      <c r="N407" s="19">
        <f>IF($A407="","",IFERROR(LOOKUP(2,1/((出库单!$D$4:$D$4003=$A407)*(出库单!$T$4:$T$4003="正常")),出库单!$C$4:$C$4003),""))</f>
        <v/>
      </c>
      <c r="O407" s="28">
        <f>IF($A407="","",IF($L407&lt;=0,"",IF($N407="",IFERROR(账期止-LOOKUP(2,1/(入库单!$G$4:$G$2503=$A407),入库单!$C$4:$C$2503),""),账期止-$N407)))</f>
        <v/>
      </c>
      <c r="P407" s="17" t="n"/>
    </row>
    <row r="408">
      <c r="A408" s="17" t="inlineStr">
        <is>
          <t>JH0405</t>
        </is>
      </c>
      <c r="B408" s="17" t="inlineStr">
        <is>
          <t>钢材</t>
        </is>
      </c>
      <c r="C408" s="17" t="inlineStr">
        <is>
          <t>钢板</t>
        </is>
      </c>
      <c r="D408" s="17" t="inlineStr">
        <is>
          <t>δ14x2270x9100</t>
        </is>
      </c>
      <c r="E408" s="17" t="inlineStr">
        <is>
          <t>张</t>
        </is>
      </c>
      <c r="F408" s="17" t="inlineStr">
        <is>
          <t>否</t>
        </is>
      </c>
      <c r="G408" s="23" t="n"/>
      <c r="H408" s="24">
        <f>IF($A408="","",IFERROR(LOOKUP(2,1/((入库单!$G$4:$G$2503=$A408)*(入库单!$Y$4:$Y$2503="正常")*(入库单!$L$4:$L$2503&gt;0)),入库单!$D$4:$D$2503),""))</f>
        <v/>
      </c>
      <c r="I408" s="25">
        <f>IF($A408="","",IFERROR(LOOKUP(2,1/((入库单!$G$4:$G$2503=$A408)*(入库单!$Y$4:$Y$2503="正常")*(入库单!$L$4:$L$2503&gt;0)),入库单!$L$4:$L$2503),0))</f>
        <v/>
      </c>
      <c r="J408" s="26">
        <f>IF($A408="","",IF($H408="A国内",ROUND($I408*倍数A*汇率,0),IF($H408="B当地",ROUND($I408*系数B,0),0)))</f>
        <v/>
      </c>
      <c r="K408" s="24">
        <f>IF($A408="","",IF(COUNTIFS(入库单!$G$4:$G$2503,$A408,入库单!$X$4:$X$2503,"待补价")&gt;0,"待补价",IF(COUNTIFS(入库单!$G$4:$G$2503,$A408,入库单!$X$4:$X$2503,"暂估")&gt;0,"暂估",IF($I408=0,"没有进价","正常"))))</f>
        <v/>
      </c>
      <c r="L408" s="27">
        <f>IF($A408="","",IFERROR(VLOOKUP($A408,库存台账!$A$5:$Y$1204,24,0),0))</f>
        <v/>
      </c>
      <c r="M408" s="26">
        <f>IF($A408="","",IFERROR(VLOOKUP($A408,库存台账!$A$5:$Y$1204,25,0),0))</f>
        <v/>
      </c>
      <c r="N408" s="19">
        <f>IF($A408="","",IFERROR(LOOKUP(2,1/((出库单!$D$4:$D$4003=$A408)*(出库单!$T$4:$T$4003="正常")),出库单!$C$4:$C$4003),""))</f>
        <v/>
      </c>
      <c r="O408" s="28">
        <f>IF($A408="","",IF($L408&lt;=0,"",IF($N408="",IFERROR(账期止-LOOKUP(2,1/(入库单!$G$4:$G$2503=$A408),入库单!$C$4:$C$2503),""),账期止-$N408)))</f>
        <v/>
      </c>
      <c r="P408" s="17" t="n"/>
    </row>
    <row r="409">
      <c r="A409" s="17" t="inlineStr">
        <is>
          <t>JH0406</t>
        </is>
      </c>
      <c r="B409" s="17" t="inlineStr">
        <is>
          <t>钢材</t>
        </is>
      </c>
      <c r="C409" s="17" t="inlineStr">
        <is>
          <t>钢板</t>
        </is>
      </c>
      <c r="D409" s="17" t="inlineStr">
        <is>
          <t>δ10x1510*6000</t>
        </is>
      </c>
      <c r="E409" s="17" t="inlineStr">
        <is>
          <t>张</t>
        </is>
      </c>
      <c r="F409" s="17" t="inlineStr">
        <is>
          <t>否</t>
        </is>
      </c>
      <c r="G409" s="23" t="n"/>
      <c r="H409" s="24">
        <f>IF($A409="","",IFERROR(LOOKUP(2,1/((入库单!$G$4:$G$2503=$A409)*(入库单!$Y$4:$Y$2503="正常")*(入库单!$L$4:$L$2503&gt;0)),入库单!$D$4:$D$2503),""))</f>
        <v/>
      </c>
      <c r="I409" s="25">
        <f>IF($A409="","",IFERROR(LOOKUP(2,1/((入库单!$G$4:$G$2503=$A409)*(入库单!$Y$4:$Y$2503="正常")*(入库单!$L$4:$L$2503&gt;0)),入库单!$L$4:$L$2503),0))</f>
        <v/>
      </c>
      <c r="J409" s="26">
        <f>IF($A409="","",IF($H409="A国内",ROUND($I409*倍数A*汇率,0),IF($H409="B当地",ROUND($I409*系数B,0),0)))</f>
        <v/>
      </c>
      <c r="K409" s="24">
        <f>IF($A409="","",IF(COUNTIFS(入库单!$G$4:$G$2503,$A409,入库单!$X$4:$X$2503,"待补价")&gt;0,"待补价",IF(COUNTIFS(入库单!$G$4:$G$2503,$A409,入库单!$X$4:$X$2503,"暂估")&gt;0,"暂估",IF($I409=0,"没有进价","正常"))))</f>
        <v/>
      </c>
      <c r="L409" s="27">
        <f>IF($A409="","",IFERROR(VLOOKUP($A409,库存台账!$A$5:$Y$1204,24,0),0))</f>
        <v/>
      </c>
      <c r="M409" s="26">
        <f>IF($A409="","",IFERROR(VLOOKUP($A409,库存台账!$A$5:$Y$1204,25,0),0))</f>
        <v/>
      </c>
      <c r="N409" s="19">
        <f>IF($A409="","",IFERROR(LOOKUP(2,1/((出库单!$D$4:$D$4003=$A409)*(出库单!$T$4:$T$4003="正常")),出库单!$C$4:$C$4003),""))</f>
        <v/>
      </c>
      <c r="O409" s="28">
        <f>IF($A409="","",IF($L409&lt;=0,"",IF($N409="",IFERROR(账期止-LOOKUP(2,1/(入库单!$G$4:$G$2503=$A409),入库单!$C$4:$C$2503),""),账期止-$N409)))</f>
        <v/>
      </c>
      <c r="P409" s="17" t="n"/>
    </row>
    <row r="410">
      <c r="A410" s="17" t="inlineStr">
        <is>
          <t>JH0407</t>
        </is>
      </c>
      <c r="B410" s="17" t="inlineStr">
        <is>
          <t>其他</t>
        </is>
      </c>
      <c r="C410" s="17" t="inlineStr">
        <is>
          <t>水路管</t>
        </is>
      </c>
      <c r="D410" s="17" t="inlineStr">
        <is>
          <t>φ89*4.5</t>
        </is>
      </c>
      <c r="E410" s="17" t="inlineStr">
        <is>
          <t>米</t>
        </is>
      </c>
      <c r="F410" s="17" t="inlineStr">
        <is>
          <t>否</t>
        </is>
      </c>
      <c r="G410" s="23" t="n"/>
      <c r="H410" s="24">
        <f>IF($A410="","",IFERROR(LOOKUP(2,1/((入库单!$G$4:$G$2503=$A410)*(入库单!$Y$4:$Y$2503="正常")*(入库单!$L$4:$L$2503&gt;0)),入库单!$D$4:$D$2503),""))</f>
        <v/>
      </c>
      <c r="I410" s="25">
        <f>IF($A410="","",IFERROR(LOOKUP(2,1/((入库单!$G$4:$G$2503=$A410)*(入库单!$Y$4:$Y$2503="正常")*(入库单!$L$4:$L$2503&gt;0)),入库单!$L$4:$L$2503),0))</f>
        <v/>
      </c>
      <c r="J410" s="26">
        <f>IF($A410="","",IF($H410="A国内",ROUND($I410*倍数A*汇率,0),IF($H410="B当地",ROUND($I410*系数B,0),0)))</f>
        <v/>
      </c>
      <c r="K410" s="24">
        <f>IF($A410="","",IF(COUNTIFS(入库单!$G$4:$G$2503,$A410,入库单!$X$4:$X$2503,"待补价")&gt;0,"待补价",IF(COUNTIFS(入库单!$G$4:$G$2503,$A410,入库单!$X$4:$X$2503,"暂估")&gt;0,"暂估",IF($I410=0,"没有进价","正常"))))</f>
        <v/>
      </c>
      <c r="L410" s="27">
        <f>IF($A410="","",IFERROR(VLOOKUP($A410,库存台账!$A$5:$Y$1204,24,0),0))</f>
        <v/>
      </c>
      <c r="M410" s="26">
        <f>IF($A410="","",IFERROR(VLOOKUP($A410,库存台账!$A$5:$Y$1204,25,0),0))</f>
        <v/>
      </c>
      <c r="N410" s="19">
        <f>IF($A410="","",IFERROR(LOOKUP(2,1/((出库单!$D$4:$D$4003=$A410)*(出库单!$T$4:$T$4003="正常")),出库单!$C$4:$C$4003),""))</f>
        <v/>
      </c>
      <c r="O410" s="28">
        <f>IF($A410="","",IF($L410&lt;=0,"",IF($N410="",IFERROR(账期止-LOOKUP(2,1/(入库单!$G$4:$G$2503=$A410),入库单!$C$4:$C$2503),""),账期止-$N410)))</f>
        <v/>
      </c>
      <c r="P410" s="17" t="n"/>
    </row>
    <row r="411">
      <c r="A411" s="17" t="inlineStr">
        <is>
          <t>JH0408</t>
        </is>
      </c>
      <c r="B411" s="17" t="inlineStr">
        <is>
          <t>其他</t>
        </is>
      </c>
      <c r="C411" s="17" t="inlineStr">
        <is>
          <t>水路管</t>
        </is>
      </c>
      <c r="D411" s="17" t="inlineStr">
        <is>
          <t>φ159*6</t>
        </is>
      </c>
      <c r="E411" s="17" t="inlineStr">
        <is>
          <t>米</t>
        </is>
      </c>
      <c r="F411" s="17" t="inlineStr">
        <is>
          <t>否</t>
        </is>
      </c>
      <c r="G411" s="23" t="n"/>
      <c r="H411" s="24">
        <f>IF($A411="","",IFERROR(LOOKUP(2,1/((入库单!$G$4:$G$2503=$A411)*(入库单!$Y$4:$Y$2503="正常")*(入库单!$L$4:$L$2503&gt;0)),入库单!$D$4:$D$2503),""))</f>
        <v/>
      </c>
      <c r="I411" s="25">
        <f>IF($A411="","",IFERROR(LOOKUP(2,1/((入库单!$G$4:$G$2503=$A411)*(入库单!$Y$4:$Y$2503="正常")*(入库单!$L$4:$L$2503&gt;0)),入库单!$L$4:$L$2503),0))</f>
        <v/>
      </c>
      <c r="J411" s="26">
        <f>IF($A411="","",IF($H411="A国内",ROUND($I411*倍数A*汇率,0),IF($H411="B当地",ROUND($I411*系数B,0),0)))</f>
        <v/>
      </c>
      <c r="K411" s="24">
        <f>IF($A411="","",IF(COUNTIFS(入库单!$G$4:$G$2503,$A411,入库单!$X$4:$X$2503,"待补价")&gt;0,"待补价",IF(COUNTIFS(入库单!$G$4:$G$2503,$A411,入库单!$X$4:$X$2503,"暂估")&gt;0,"暂估",IF($I411=0,"没有进价","正常"))))</f>
        <v/>
      </c>
      <c r="L411" s="27">
        <f>IF($A411="","",IFERROR(VLOOKUP($A411,库存台账!$A$5:$Y$1204,24,0),0))</f>
        <v/>
      </c>
      <c r="M411" s="26">
        <f>IF($A411="","",IFERROR(VLOOKUP($A411,库存台账!$A$5:$Y$1204,25,0),0))</f>
        <v/>
      </c>
      <c r="N411" s="19">
        <f>IF($A411="","",IFERROR(LOOKUP(2,1/((出库单!$D$4:$D$4003=$A411)*(出库单!$T$4:$T$4003="正常")),出库单!$C$4:$C$4003),""))</f>
        <v/>
      </c>
      <c r="O411" s="28">
        <f>IF($A411="","",IF($L411&lt;=0,"",IF($N411="",IFERROR(账期止-LOOKUP(2,1/(入库单!$G$4:$G$2503=$A411),入库单!$C$4:$C$2503),""),账期止-$N411)))</f>
        <v/>
      </c>
      <c r="P411" s="17" t="n"/>
    </row>
    <row r="412">
      <c r="A412" s="17" t="inlineStr">
        <is>
          <t>JH0409</t>
        </is>
      </c>
      <c r="B412" s="17" t="inlineStr">
        <is>
          <t>钢材</t>
        </is>
      </c>
      <c r="C412" s="17" t="inlineStr">
        <is>
          <t>槽钢</t>
        </is>
      </c>
      <c r="D412" s="17" t="inlineStr">
        <is>
          <t>200*6米</t>
        </is>
      </c>
      <c r="E412" s="17" t="inlineStr">
        <is>
          <t>米</t>
        </is>
      </c>
      <c r="F412" s="17" t="inlineStr">
        <is>
          <t>否</t>
        </is>
      </c>
      <c r="G412" s="23" t="n"/>
      <c r="H412" s="24">
        <f>IF($A412="","",IFERROR(LOOKUP(2,1/((入库单!$G$4:$G$2503=$A412)*(入库单!$Y$4:$Y$2503="正常")*(入库单!$L$4:$L$2503&gt;0)),入库单!$D$4:$D$2503),""))</f>
        <v/>
      </c>
      <c r="I412" s="25">
        <f>IF($A412="","",IFERROR(LOOKUP(2,1/((入库单!$G$4:$G$2503=$A412)*(入库单!$Y$4:$Y$2503="正常")*(入库单!$L$4:$L$2503&gt;0)),入库单!$L$4:$L$2503),0))</f>
        <v/>
      </c>
      <c r="J412" s="26">
        <f>IF($A412="","",IF($H412="A国内",ROUND($I412*倍数A*汇率,0),IF($H412="B当地",ROUND($I412*系数B,0),0)))</f>
        <v/>
      </c>
      <c r="K412" s="24">
        <f>IF($A412="","",IF(COUNTIFS(入库单!$G$4:$G$2503,$A412,入库单!$X$4:$X$2503,"待补价")&gt;0,"待补价",IF(COUNTIFS(入库单!$G$4:$G$2503,$A412,入库单!$X$4:$X$2503,"暂估")&gt;0,"暂估",IF($I412=0,"没有进价","正常"))))</f>
        <v/>
      </c>
      <c r="L412" s="27">
        <f>IF($A412="","",IFERROR(VLOOKUP($A412,库存台账!$A$5:$Y$1204,24,0),0))</f>
        <v/>
      </c>
      <c r="M412" s="26">
        <f>IF($A412="","",IFERROR(VLOOKUP($A412,库存台账!$A$5:$Y$1204,25,0),0))</f>
        <v/>
      </c>
      <c r="N412" s="19">
        <f>IF($A412="","",IFERROR(LOOKUP(2,1/((出库单!$D$4:$D$4003=$A412)*(出库单!$T$4:$T$4003="正常")),出库单!$C$4:$C$4003),""))</f>
        <v/>
      </c>
      <c r="O412" s="28">
        <f>IF($A412="","",IF($L412&lt;=0,"",IF($N412="",IFERROR(账期止-LOOKUP(2,1/(入库单!$G$4:$G$2503=$A412),入库单!$C$4:$C$2503),""),账期止-$N412)))</f>
        <v/>
      </c>
      <c r="P412" s="17" t="n"/>
    </row>
    <row r="413">
      <c r="A413" s="17" t="inlineStr">
        <is>
          <t>JH0410</t>
        </is>
      </c>
      <c r="B413" s="17" t="inlineStr">
        <is>
          <t>其他</t>
        </is>
      </c>
      <c r="C413" s="17" t="inlineStr">
        <is>
          <t>角铁</t>
        </is>
      </c>
      <c r="D413" s="17" t="inlineStr">
        <is>
          <t>90*6米</t>
        </is>
      </c>
      <c r="E413" s="17" t="inlineStr">
        <is>
          <t>米</t>
        </is>
      </c>
      <c r="F413" s="17" t="inlineStr">
        <is>
          <t>否</t>
        </is>
      </c>
      <c r="G413" s="23" t="n"/>
      <c r="H413" s="24">
        <f>IF($A413="","",IFERROR(LOOKUP(2,1/((入库单!$G$4:$G$2503=$A413)*(入库单!$Y$4:$Y$2503="正常")*(入库单!$L$4:$L$2503&gt;0)),入库单!$D$4:$D$2503),""))</f>
        <v/>
      </c>
      <c r="I413" s="25">
        <f>IF($A413="","",IFERROR(LOOKUP(2,1/((入库单!$G$4:$G$2503=$A413)*(入库单!$Y$4:$Y$2503="正常")*(入库单!$L$4:$L$2503&gt;0)),入库单!$L$4:$L$2503),0))</f>
        <v/>
      </c>
      <c r="J413" s="26">
        <f>IF($A413="","",IF($H413="A国内",ROUND($I413*倍数A*汇率,0),IF($H413="B当地",ROUND($I413*系数B,0),0)))</f>
        <v/>
      </c>
      <c r="K413" s="24">
        <f>IF($A413="","",IF(COUNTIFS(入库单!$G$4:$G$2503,$A413,入库单!$X$4:$X$2503,"待补价")&gt;0,"待补价",IF(COUNTIFS(入库单!$G$4:$G$2503,$A413,入库单!$X$4:$X$2503,"暂估")&gt;0,"暂估",IF($I413=0,"没有进价","正常"))))</f>
        <v/>
      </c>
      <c r="L413" s="27">
        <f>IF($A413="","",IFERROR(VLOOKUP($A413,库存台账!$A$5:$Y$1204,24,0),0))</f>
        <v/>
      </c>
      <c r="M413" s="26">
        <f>IF($A413="","",IFERROR(VLOOKUP($A413,库存台账!$A$5:$Y$1204,25,0),0))</f>
        <v/>
      </c>
      <c r="N413" s="19">
        <f>IF($A413="","",IFERROR(LOOKUP(2,1/((出库单!$D$4:$D$4003=$A413)*(出库单!$T$4:$T$4003="正常")),出库单!$C$4:$C$4003),""))</f>
        <v/>
      </c>
      <c r="O413" s="28">
        <f>IF($A413="","",IF($L413&lt;=0,"",IF($N413="",IFERROR(账期止-LOOKUP(2,1/(入库单!$G$4:$G$2503=$A413),入库单!$C$4:$C$2503),""),账期止-$N413)))</f>
        <v/>
      </c>
      <c r="P413" s="17" t="n"/>
    </row>
    <row r="414">
      <c r="A414" s="17" t="inlineStr">
        <is>
          <t>JH0411</t>
        </is>
      </c>
      <c r="B414" s="17" t="inlineStr">
        <is>
          <t>钢材</t>
        </is>
      </c>
      <c r="C414" s="17" t="inlineStr">
        <is>
          <t>钢管</t>
        </is>
      </c>
      <c r="D414" s="17" t="inlineStr">
        <is>
          <t>φ89*3.5</t>
        </is>
      </c>
      <c r="E414" s="17" t="inlineStr">
        <is>
          <t>米</t>
        </is>
      </c>
      <c r="F414" s="17" t="inlineStr">
        <is>
          <t>否</t>
        </is>
      </c>
      <c r="G414" s="23" t="n"/>
      <c r="H414" s="24">
        <f>IF($A414="","",IFERROR(LOOKUP(2,1/((入库单!$G$4:$G$2503=$A414)*(入库单!$Y$4:$Y$2503="正常")*(入库单!$L$4:$L$2503&gt;0)),入库单!$D$4:$D$2503),""))</f>
        <v/>
      </c>
      <c r="I414" s="25">
        <f>IF($A414="","",IFERROR(LOOKUP(2,1/((入库单!$G$4:$G$2503=$A414)*(入库单!$Y$4:$Y$2503="正常")*(入库单!$L$4:$L$2503&gt;0)),入库单!$L$4:$L$2503),0))</f>
        <v/>
      </c>
      <c r="J414" s="26">
        <f>IF($A414="","",IF($H414="A国内",ROUND($I414*倍数A*汇率,0),IF($H414="B当地",ROUND($I414*系数B,0),0)))</f>
        <v/>
      </c>
      <c r="K414" s="24">
        <f>IF($A414="","",IF(COUNTIFS(入库单!$G$4:$G$2503,$A414,入库单!$X$4:$X$2503,"待补价")&gt;0,"待补价",IF(COUNTIFS(入库单!$G$4:$G$2503,$A414,入库单!$X$4:$X$2503,"暂估")&gt;0,"暂估",IF($I414=0,"没有进价","正常"))))</f>
        <v/>
      </c>
      <c r="L414" s="27">
        <f>IF($A414="","",IFERROR(VLOOKUP($A414,库存台账!$A$5:$Y$1204,24,0),0))</f>
        <v/>
      </c>
      <c r="M414" s="26">
        <f>IF($A414="","",IFERROR(VLOOKUP($A414,库存台账!$A$5:$Y$1204,25,0),0))</f>
        <v/>
      </c>
      <c r="N414" s="19">
        <f>IF($A414="","",IFERROR(LOOKUP(2,1/((出库单!$D$4:$D$4003=$A414)*(出库单!$T$4:$T$4003="正常")),出库单!$C$4:$C$4003),""))</f>
        <v/>
      </c>
      <c r="O414" s="28">
        <f>IF($A414="","",IF($L414&lt;=0,"",IF($N414="",IFERROR(账期止-LOOKUP(2,1/(入库单!$G$4:$G$2503=$A414),入库单!$C$4:$C$2503),""),账期止-$N414)))</f>
        <v/>
      </c>
      <c r="P414" s="17" t="n"/>
    </row>
    <row r="415">
      <c r="A415" s="17" t="inlineStr">
        <is>
          <t>JH0412</t>
        </is>
      </c>
      <c r="B415" s="17" t="inlineStr">
        <is>
          <t>钢材</t>
        </is>
      </c>
      <c r="C415" s="17" t="inlineStr">
        <is>
          <t>钢板厚6*1515*6000</t>
        </is>
      </c>
      <c r="D415" s="17" t="inlineStr">
        <is>
          <t>φ6米浓缩机槽体</t>
        </is>
      </c>
      <c r="E415" s="17" t="inlineStr">
        <is>
          <t>张</t>
        </is>
      </c>
      <c r="F415" s="17" t="inlineStr">
        <is>
          <t>否</t>
        </is>
      </c>
      <c r="G415" s="23" t="n"/>
      <c r="H415" s="24">
        <f>IF($A415="","",IFERROR(LOOKUP(2,1/((入库单!$G$4:$G$2503=$A415)*(入库单!$Y$4:$Y$2503="正常")*(入库单!$L$4:$L$2503&gt;0)),入库单!$D$4:$D$2503),""))</f>
        <v/>
      </c>
      <c r="I415" s="25">
        <f>IF($A415="","",IFERROR(LOOKUP(2,1/((入库单!$G$4:$G$2503=$A415)*(入库单!$Y$4:$Y$2503="正常")*(入库单!$L$4:$L$2503&gt;0)),入库单!$L$4:$L$2503),0))</f>
        <v/>
      </c>
      <c r="J415" s="26">
        <f>IF($A415="","",IF($H415="A国内",ROUND($I415*倍数A*汇率,0),IF($H415="B当地",ROUND($I415*系数B,0),0)))</f>
        <v/>
      </c>
      <c r="K415" s="24">
        <f>IF($A415="","",IF(COUNTIFS(入库单!$G$4:$G$2503,$A415,入库单!$X$4:$X$2503,"待补价")&gt;0,"待补价",IF(COUNTIFS(入库单!$G$4:$G$2503,$A415,入库单!$X$4:$X$2503,"暂估")&gt;0,"暂估",IF($I415=0,"没有进价","正常"))))</f>
        <v/>
      </c>
      <c r="L415" s="27">
        <f>IF($A415="","",IFERROR(VLOOKUP($A415,库存台账!$A$5:$Y$1204,24,0),0))</f>
        <v/>
      </c>
      <c r="M415" s="26">
        <f>IF($A415="","",IFERROR(VLOOKUP($A415,库存台账!$A$5:$Y$1204,25,0),0))</f>
        <v/>
      </c>
      <c r="N415" s="19">
        <f>IF($A415="","",IFERROR(LOOKUP(2,1/((出库单!$D$4:$D$4003=$A415)*(出库单!$T$4:$T$4003="正常")),出库单!$C$4:$C$4003),""))</f>
        <v/>
      </c>
      <c r="O415" s="28">
        <f>IF($A415="","",IF($L415&lt;=0,"",IF($N415="",IFERROR(账期止-LOOKUP(2,1/(入库单!$G$4:$G$2503=$A415),入库单!$C$4:$C$2503),""),账期止-$N415)))</f>
        <v/>
      </c>
      <c r="P415" s="17" t="n"/>
    </row>
    <row r="416">
      <c r="A416" s="17" t="inlineStr">
        <is>
          <t>JH0413</t>
        </is>
      </c>
      <c r="B416" s="17" t="inlineStr">
        <is>
          <t>钢材</t>
        </is>
      </c>
      <c r="C416" s="17" t="inlineStr">
        <is>
          <t>钢板厚6*1435*6000</t>
        </is>
      </c>
      <c r="D416" s="17" t="inlineStr">
        <is>
          <t>φ6米浓缩机槽体</t>
        </is>
      </c>
      <c r="E416" s="17" t="inlineStr">
        <is>
          <t>张</t>
        </is>
      </c>
      <c r="F416" s="17" t="inlineStr">
        <is>
          <t>否</t>
        </is>
      </c>
      <c r="G416" s="23" t="n"/>
      <c r="H416" s="24">
        <f>IF($A416="","",IFERROR(LOOKUP(2,1/((入库单!$G$4:$G$2503=$A416)*(入库单!$Y$4:$Y$2503="正常")*(入库单!$L$4:$L$2503&gt;0)),入库单!$D$4:$D$2503),""))</f>
        <v/>
      </c>
      <c r="I416" s="25">
        <f>IF($A416="","",IFERROR(LOOKUP(2,1/((入库单!$G$4:$G$2503=$A416)*(入库单!$Y$4:$Y$2503="正常")*(入库单!$L$4:$L$2503&gt;0)),入库单!$L$4:$L$2503),0))</f>
        <v/>
      </c>
      <c r="J416" s="26">
        <f>IF($A416="","",IF($H416="A国内",ROUND($I416*倍数A*汇率,0),IF($H416="B当地",ROUND($I416*系数B,0),0)))</f>
        <v/>
      </c>
      <c r="K416" s="24">
        <f>IF($A416="","",IF(COUNTIFS(入库单!$G$4:$G$2503,$A416,入库单!$X$4:$X$2503,"待补价")&gt;0,"待补价",IF(COUNTIFS(入库单!$G$4:$G$2503,$A416,入库单!$X$4:$X$2503,"暂估")&gt;0,"暂估",IF($I416=0,"没有进价","正常"))))</f>
        <v/>
      </c>
      <c r="L416" s="27">
        <f>IF($A416="","",IFERROR(VLOOKUP($A416,库存台账!$A$5:$Y$1204,24,0),0))</f>
        <v/>
      </c>
      <c r="M416" s="26">
        <f>IF($A416="","",IFERROR(VLOOKUP($A416,库存台账!$A$5:$Y$1204,25,0),0))</f>
        <v/>
      </c>
      <c r="N416" s="19">
        <f>IF($A416="","",IFERROR(LOOKUP(2,1/((出库单!$D$4:$D$4003=$A416)*(出库单!$T$4:$T$4003="正常")),出库单!$C$4:$C$4003),""))</f>
        <v/>
      </c>
      <c r="O416" s="28">
        <f>IF($A416="","",IF($L416&lt;=0,"",IF($N416="",IFERROR(账期止-LOOKUP(2,1/(入库单!$G$4:$G$2503=$A416),入库单!$C$4:$C$2503),""),账期止-$N416)))</f>
        <v/>
      </c>
      <c r="P416" s="17" t="n"/>
    </row>
    <row r="417">
      <c r="A417" s="17" t="inlineStr">
        <is>
          <t>JH0414</t>
        </is>
      </c>
      <c r="B417" s="17" t="inlineStr">
        <is>
          <t>钢材</t>
        </is>
      </c>
      <c r="C417" s="17" t="inlineStr">
        <is>
          <t>钢板厚6*1515*1000</t>
        </is>
      </c>
      <c r="D417" s="17" t="inlineStr">
        <is>
          <t>φ6米浓缩机槽体</t>
        </is>
      </c>
      <c r="E417" s="17" t="inlineStr">
        <is>
          <t>张</t>
        </is>
      </c>
      <c r="F417" s="17" t="inlineStr">
        <is>
          <t>否</t>
        </is>
      </c>
      <c r="G417" s="23" t="n"/>
      <c r="H417" s="24">
        <f>IF($A417="","",IFERROR(LOOKUP(2,1/((入库单!$G$4:$G$2503=$A417)*(入库单!$Y$4:$Y$2503="正常")*(入库单!$L$4:$L$2503&gt;0)),入库单!$D$4:$D$2503),""))</f>
        <v/>
      </c>
      <c r="I417" s="25">
        <f>IF($A417="","",IFERROR(LOOKUP(2,1/((入库单!$G$4:$G$2503=$A417)*(入库单!$Y$4:$Y$2503="正常")*(入库单!$L$4:$L$2503&gt;0)),入库单!$L$4:$L$2503),0))</f>
        <v/>
      </c>
      <c r="J417" s="26">
        <f>IF($A417="","",IF($H417="A国内",ROUND($I417*倍数A*汇率,0),IF($H417="B当地",ROUND($I417*系数B,0),0)))</f>
        <v/>
      </c>
      <c r="K417" s="24">
        <f>IF($A417="","",IF(COUNTIFS(入库单!$G$4:$G$2503,$A417,入库单!$X$4:$X$2503,"待补价")&gt;0,"待补价",IF(COUNTIFS(入库单!$G$4:$G$2503,$A417,入库单!$X$4:$X$2503,"暂估")&gt;0,"暂估",IF($I417=0,"没有进价","正常"))))</f>
        <v/>
      </c>
      <c r="L417" s="27">
        <f>IF($A417="","",IFERROR(VLOOKUP($A417,库存台账!$A$5:$Y$1204,24,0),0))</f>
        <v/>
      </c>
      <c r="M417" s="26">
        <f>IF($A417="","",IFERROR(VLOOKUP($A417,库存台账!$A$5:$Y$1204,25,0),0))</f>
        <v/>
      </c>
      <c r="N417" s="19">
        <f>IF($A417="","",IFERROR(LOOKUP(2,1/((出库单!$D$4:$D$4003=$A417)*(出库单!$T$4:$T$4003="正常")),出库单!$C$4:$C$4003),""))</f>
        <v/>
      </c>
      <c r="O417" s="28">
        <f>IF($A417="","",IF($L417&lt;=0,"",IF($N417="",IFERROR(账期止-LOOKUP(2,1/(入库单!$G$4:$G$2503=$A417),入库单!$C$4:$C$2503),""),账期止-$N417)))</f>
        <v/>
      </c>
      <c r="P417" s="17" t="n"/>
    </row>
    <row r="418">
      <c r="A418" s="17" t="inlineStr">
        <is>
          <t>JH0415</t>
        </is>
      </c>
      <c r="B418" s="17" t="inlineStr">
        <is>
          <t>钢材</t>
        </is>
      </c>
      <c r="C418" s="17" t="inlineStr">
        <is>
          <t>钢板厚6*1435*1000</t>
        </is>
      </c>
      <c r="D418" s="17" t="inlineStr">
        <is>
          <t>φ6米浓缩机槽体</t>
        </is>
      </c>
      <c r="E418" s="17" t="inlineStr">
        <is>
          <t>张</t>
        </is>
      </c>
      <c r="F418" s="17" t="inlineStr">
        <is>
          <t>否</t>
        </is>
      </c>
      <c r="G418" s="23" t="n"/>
      <c r="H418" s="24">
        <f>IF($A418="","",IFERROR(LOOKUP(2,1/((入库单!$G$4:$G$2503=$A418)*(入库单!$Y$4:$Y$2503="正常")*(入库单!$L$4:$L$2503&gt;0)),入库单!$D$4:$D$2503),""))</f>
        <v/>
      </c>
      <c r="I418" s="25">
        <f>IF($A418="","",IFERROR(LOOKUP(2,1/((入库单!$G$4:$G$2503=$A418)*(入库单!$Y$4:$Y$2503="正常")*(入库单!$L$4:$L$2503&gt;0)),入库单!$L$4:$L$2503),0))</f>
        <v/>
      </c>
      <c r="J418" s="26">
        <f>IF($A418="","",IF($H418="A国内",ROUND($I418*倍数A*汇率,0),IF($H418="B当地",ROUND($I418*系数B,0),0)))</f>
        <v/>
      </c>
      <c r="K418" s="24">
        <f>IF($A418="","",IF(COUNTIFS(入库单!$G$4:$G$2503,$A418,入库单!$X$4:$X$2503,"待补价")&gt;0,"待补价",IF(COUNTIFS(入库单!$G$4:$G$2503,$A418,入库单!$X$4:$X$2503,"暂估")&gt;0,"暂估",IF($I418=0,"没有进价","正常"))))</f>
        <v/>
      </c>
      <c r="L418" s="27">
        <f>IF($A418="","",IFERROR(VLOOKUP($A418,库存台账!$A$5:$Y$1204,24,0),0))</f>
        <v/>
      </c>
      <c r="M418" s="26">
        <f>IF($A418="","",IFERROR(VLOOKUP($A418,库存台账!$A$5:$Y$1204,25,0),0))</f>
        <v/>
      </c>
      <c r="N418" s="19">
        <f>IF($A418="","",IFERROR(LOOKUP(2,1/((出库单!$D$4:$D$4003=$A418)*(出库单!$T$4:$T$4003="正常")),出库单!$C$4:$C$4003),""))</f>
        <v/>
      </c>
      <c r="O418" s="28">
        <f>IF($A418="","",IF($L418&lt;=0,"",IF($N418="",IFERROR(账期止-LOOKUP(2,1/(入库单!$G$4:$G$2503=$A418),入库单!$C$4:$C$2503),""),账期止-$N418)))</f>
        <v/>
      </c>
      <c r="P418" s="17" t="n"/>
    </row>
    <row r="419">
      <c r="A419" s="17" t="inlineStr">
        <is>
          <t>JH0416</t>
        </is>
      </c>
      <c r="B419" s="17" t="inlineStr">
        <is>
          <t>其他</t>
        </is>
      </c>
      <c r="C419" s="17" t="inlineStr">
        <is>
          <t>槽底厚6*φ6060</t>
        </is>
      </c>
      <c r="D419" s="17" t="inlineStr">
        <is>
          <t>φ6米浓缩机槽体</t>
        </is>
      </c>
      <c r="E419" s="17" t="inlineStr">
        <is>
          <t>张</t>
        </is>
      </c>
      <c r="F419" s="17" t="inlineStr">
        <is>
          <t>否</t>
        </is>
      </c>
      <c r="G419" s="23" t="n"/>
      <c r="H419" s="24">
        <f>IF($A419="","",IFERROR(LOOKUP(2,1/((入库单!$G$4:$G$2503=$A419)*(入库单!$Y$4:$Y$2503="正常")*(入库单!$L$4:$L$2503&gt;0)),入库单!$D$4:$D$2503),""))</f>
        <v/>
      </c>
      <c r="I419" s="25">
        <f>IF($A419="","",IFERROR(LOOKUP(2,1/((入库单!$G$4:$G$2503=$A419)*(入库单!$Y$4:$Y$2503="正常")*(入库单!$L$4:$L$2503&gt;0)),入库单!$L$4:$L$2503),0))</f>
        <v/>
      </c>
      <c r="J419" s="26">
        <f>IF($A419="","",IF($H419="A国内",ROUND($I419*倍数A*汇率,0),IF($H419="B当地",ROUND($I419*系数B,0),0)))</f>
        <v/>
      </c>
      <c r="K419" s="24">
        <f>IF($A419="","",IF(COUNTIFS(入库单!$G$4:$G$2503,$A419,入库单!$X$4:$X$2503,"待补价")&gt;0,"待补价",IF(COUNTIFS(入库单!$G$4:$G$2503,$A419,入库单!$X$4:$X$2503,"暂估")&gt;0,"暂估",IF($I419=0,"没有进价","正常"))))</f>
        <v/>
      </c>
      <c r="L419" s="27">
        <f>IF($A419="","",IFERROR(VLOOKUP($A419,库存台账!$A$5:$Y$1204,24,0),0))</f>
        <v/>
      </c>
      <c r="M419" s="26">
        <f>IF($A419="","",IFERROR(VLOOKUP($A419,库存台账!$A$5:$Y$1204,25,0),0))</f>
        <v/>
      </c>
      <c r="N419" s="19">
        <f>IF($A419="","",IFERROR(LOOKUP(2,1/((出库单!$D$4:$D$4003=$A419)*(出库单!$T$4:$T$4003="正常")),出库单!$C$4:$C$4003),""))</f>
        <v/>
      </c>
      <c r="O419" s="28">
        <f>IF($A419="","",IF($L419&lt;=0,"",IF($N419="",IFERROR(账期止-LOOKUP(2,1/(入库单!$G$4:$G$2503=$A419),入库单!$C$4:$C$2503),""),账期止-$N419)))</f>
        <v/>
      </c>
      <c r="P419" s="17" t="n"/>
    </row>
    <row r="420">
      <c r="A420" s="17" t="inlineStr">
        <is>
          <t>JH0417</t>
        </is>
      </c>
      <c r="B420" s="17" t="inlineStr">
        <is>
          <t>其他</t>
        </is>
      </c>
      <c r="C420" s="17" t="inlineStr">
        <is>
          <t>内溢流圈245*6000</t>
        </is>
      </c>
      <c r="D420" s="17" t="inlineStr">
        <is>
          <t>φ6米浓缩机槽体</t>
        </is>
      </c>
      <c r="E420" s="17" t="inlineStr">
        <is>
          <t>张</t>
        </is>
      </c>
      <c r="F420" s="17" t="inlineStr">
        <is>
          <t>否</t>
        </is>
      </c>
      <c r="G420" s="23" t="n"/>
      <c r="H420" s="24">
        <f>IF($A420="","",IFERROR(LOOKUP(2,1/((入库单!$G$4:$G$2503=$A420)*(入库单!$Y$4:$Y$2503="正常")*(入库单!$L$4:$L$2503&gt;0)),入库单!$D$4:$D$2503),""))</f>
        <v/>
      </c>
      <c r="I420" s="25">
        <f>IF($A420="","",IFERROR(LOOKUP(2,1/((入库单!$G$4:$G$2503=$A420)*(入库单!$Y$4:$Y$2503="正常")*(入库单!$L$4:$L$2503&gt;0)),入库单!$L$4:$L$2503),0))</f>
        <v/>
      </c>
      <c r="J420" s="26">
        <f>IF($A420="","",IF($H420="A国内",ROUND($I420*倍数A*汇率,0),IF($H420="B当地",ROUND($I420*系数B,0),0)))</f>
        <v/>
      </c>
      <c r="K420" s="24">
        <f>IF($A420="","",IF(COUNTIFS(入库单!$G$4:$G$2503,$A420,入库单!$X$4:$X$2503,"待补价")&gt;0,"待补价",IF(COUNTIFS(入库单!$G$4:$G$2503,$A420,入库单!$X$4:$X$2503,"暂估")&gt;0,"暂估",IF($I420=0,"没有进价","正常"))))</f>
        <v/>
      </c>
      <c r="L420" s="27">
        <f>IF($A420="","",IFERROR(VLOOKUP($A420,库存台账!$A$5:$Y$1204,24,0),0))</f>
        <v/>
      </c>
      <c r="M420" s="26">
        <f>IF($A420="","",IFERROR(VLOOKUP($A420,库存台账!$A$5:$Y$1204,25,0),0))</f>
        <v/>
      </c>
      <c r="N420" s="19">
        <f>IF($A420="","",IFERROR(LOOKUP(2,1/((出库单!$D$4:$D$4003=$A420)*(出库单!$T$4:$T$4003="正常")),出库单!$C$4:$C$4003),""))</f>
        <v/>
      </c>
      <c r="O420" s="28">
        <f>IF($A420="","",IF($L420&lt;=0,"",IF($N420="",IFERROR(账期止-LOOKUP(2,1/(入库单!$G$4:$G$2503=$A420),入库单!$C$4:$C$2503),""),账期止-$N420)))</f>
        <v/>
      </c>
      <c r="P420" s="17" t="n"/>
    </row>
    <row r="421">
      <c r="A421" s="17" t="inlineStr">
        <is>
          <t>JH0418</t>
        </is>
      </c>
      <c r="B421" s="17" t="inlineStr">
        <is>
          <t>五金管件</t>
        </is>
      </c>
      <c r="C421" s="17" t="inlineStr">
        <is>
          <t>槽体内溢流法兰</t>
        </is>
      </c>
      <c r="D421" s="17" t="inlineStr">
        <is>
          <t>φ6米浓缩机槽体</t>
        </is>
      </c>
      <c r="E421" s="17" t="inlineStr">
        <is>
          <t>件</t>
        </is>
      </c>
      <c r="F421" s="17" t="inlineStr">
        <is>
          <t>否</t>
        </is>
      </c>
      <c r="G421" s="23" t="n"/>
      <c r="H421" s="24">
        <f>IF($A421="","",IFERROR(LOOKUP(2,1/((入库单!$G$4:$G$2503=$A421)*(入库单!$Y$4:$Y$2503="正常")*(入库单!$L$4:$L$2503&gt;0)),入库单!$D$4:$D$2503),""))</f>
        <v/>
      </c>
      <c r="I421" s="25">
        <f>IF($A421="","",IFERROR(LOOKUP(2,1/((入库单!$G$4:$G$2503=$A421)*(入库单!$Y$4:$Y$2503="正常")*(入库单!$L$4:$L$2503&gt;0)),入库单!$L$4:$L$2503),0))</f>
        <v/>
      </c>
      <c r="J421" s="26">
        <f>IF($A421="","",IF($H421="A国内",ROUND($I421*倍数A*汇率,0),IF($H421="B当地",ROUND($I421*系数B,0),0)))</f>
        <v/>
      </c>
      <c r="K421" s="24">
        <f>IF($A421="","",IF(COUNTIFS(入库单!$G$4:$G$2503,$A421,入库单!$X$4:$X$2503,"待补价")&gt;0,"待补价",IF(COUNTIFS(入库单!$G$4:$G$2503,$A421,入库单!$X$4:$X$2503,"暂估")&gt;0,"暂估",IF($I421=0,"没有进价","正常"))))</f>
        <v/>
      </c>
      <c r="L421" s="27">
        <f>IF($A421="","",IFERROR(VLOOKUP($A421,库存台账!$A$5:$Y$1204,24,0),0))</f>
        <v/>
      </c>
      <c r="M421" s="26">
        <f>IF($A421="","",IFERROR(VLOOKUP($A421,库存台账!$A$5:$Y$1204,25,0),0))</f>
        <v/>
      </c>
      <c r="N421" s="19">
        <f>IF($A421="","",IFERROR(LOOKUP(2,1/((出库单!$D$4:$D$4003=$A421)*(出库单!$T$4:$T$4003="正常")),出库单!$C$4:$C$4003),""))</f>
        <v/>
      </c>
      <c r="O421" s="28">
        <f>IF($A421="","",IF($L421&lt;=0,"",IF($N421="",IFERROR(账期止-LOOKUP(2,1/(入库单!$G$4:$G$2503=$A421),入库单!$C$4:$C$2503),""),账期止-$N421)))</f>
        <v/>
      </c>
      <c r="P421" s="17" t="n"/>
    </row>
    <row r="422">
      <c r="A422" s="17" t="inlineStr">
        <is>
          <t>JH0419</t>
        </is>
      </c>
      <c r="B422" s="17" t="inlineStr">
        <is>
          <t>五金管件</t>
        </is>
      </c>
      <c r="C422" s="17" t="inlineStr">
        <is>
          <t>槽体上法兰</t>
        </is>
      </c>
      <c r="D422" s="17" t="inlineStr">
        <is>
          <t>φ6米浓缩机槽体</t>
        </is>
      </c>
      <c r="E422" s="17" t="inlineStr">
        <is>
          <t>件</t>
        </is>
      </c>
      <c r="F422" s="17" t="inlineStr">
        <is>
          <t>否</t>
        </is>
      </c>
      <c r="G422" s="23" t="n"/>
      <c r="H422" s="24">
        <f>IF($A422="","",IFERROR(LOOKUP(2,1/((入库单!$G$4:$G$2503=$A422)*(入库单!$Y$4:$Y$2503="正常")*(入库单!$L$4:$L$2503&gt;0)),入库单!$D$4:$D$2503),""))</f>
        <v/>
      </c>
      <c r="I422" s="25">
        <f>IF($A422="","",IFERROR(LOOKUP(2,1/((入库单!$G$4:$G$2503=$A422)*(入库单!$Y$4:$Y$2503="正常")*(入库单!$L$4:$L$2503&gt;0)),入库单!$L$4:$L$2503),0))</f>
        <v/>
      </c>
      <c r="J422" s="26">
        <f>IF($A422="","",IF($H422="A国内",ROUND($I422*倍数A*汇率,0),IF($H422="B当地",ROUND($I422*系数B,0),0)))</f>
        <v/>
      </c>
      <c r="K422" s="24">
        <f>IF($A422="","",IF(COUNTIFS(入库单!$G$4:$G$2503,$A422,入库单!$X$4:$X$2503,"待补价")&gt;0,"待补价",IF(COUNTIFS(入库单!$G$4:$G$2503,$A422,入库单!$X$4:$X$2503,"暂估")&gt;0,"暂估",IF($I422=0,"没有进价","正常"))))</f>
        <v/>
      </c>
      <c r="L422" s="27">
        <f>IF($A422="","",IFERROR(VLOOKUP($A422,库存台账!$A$5:$Y$1204,24,0),0))</f>
        <v/>
      </c>
      <c r="M422" s="26">
        <f>IF($A422="","",IFERROR(VLOOKUP($A422,库存台账!$A$5:$Y$1204,25,0),0))</f>
        <v/>
      </c>
      <c r="N422" s="19">
        <f>IF($A422="","",IFERROR(LOOKUP(2,1/((出库单!$D$4:$D$4003=$A422)*(出库单!$T$4:$T$4003="正常")),出库单!$C$4:$C$4003),""))</f>
        <v/>
      </c>
      <c r="O422" s="28">
        <f>IF($A422="","",IF($L422&lt;=0,"",IF($N422="",IFERROR(账期止-LOOKUP(2,1/(入库单!$G$4:$G$2503=$A422),入库单!$C$4:$C$2503),""),账期止-$N422)))</f>
        <v/>
      </c>
      <c r="P422" s="17" t="n"/>
    </row>
    <row r="423">
      <c r="A423" s="17" t="inlineStr">
        <is>
          <t>JH0420</t>
        </is>
      </c>
      <c r="B423" s="17" t="inlineStr">
        <is>
          <t>五金管件</t>
        </is>
      </c>
      <c r="C423" s="17" t="inlineStr">
        <is>
          <t>法兰筋板</t>
        </is>
      </c>
      <c r="D423" s="17" t="inlineStr">
        <is>
          <t>φ6米浓缩机槽体</t>
        </is>
      </c>
      <c r="E423" s="17" t="inlineStr">
        <is>
          <t>件</t>
        </is>
      </c>
      <c r="F423" s="17" t="inlineStr">
        <is>
          <t>否</t>
        </is>
      </c>
      <c r="G423" s="23" t="n"/>
      <c r="H423" s="24">
        <f>IF($A423="","",IFERROR(LOOKUP(2,1/((入库单!$G$4:$G$2503=$A423)*(入库单!$Y$4:$Y$2503="正常")*(入库单!$L$4:$L$2503&gt;0)),入库单!$D$4:$D$2503),""))</f>
        <v/>
      </c>
      <c r="I423" s="25">
        <f>IF($A423="","",IFERROR(LOOKUP(2,1/((入库单!$G$4:$G$2503=$A423)*(入库单!$Y$4:$Y$2503="正常")*(入库单!$L$4:$L$2503&gt;0)),入库单!$L$4:$L$2503),0))</f>
        <v/>
      </c>
      <c r="J423" s="26">
        <f>IF($A423="","",IF($H423="A国内",ROUND($I423*倍数A*汇率,0),IF($H423="B当地",ROUND($I423*系数B,0),0)))</f>
        <v/>
      </c>
      <c r="K423" s="24">
        <f>IF($A423="","",IF(COUNTIFS(入库单!$G$4:$G$2503,$A423,入库单!$X$4:$X$2503,"待补价")&gt;0,"待补价",IF(COUNTIFS(入库单!$G$4:$G$2503,$A423,入库单!$X$4:$X$2503,"暂估")&gt;0,"暂估",IF($I423=0,"没有进价","正常"))))</f>
        <v/>
      </c>
      <c r="L423" s="27">
        <f>IF($A423="","",IFERROR(VLOOKUP($A423,库存台账!$A$5:$Y$1204,24,0),0))</f>
        <v/>
      </c>
      <c r="M423" s="26">
        <f>IF($A423="","",IFERROR(VLOOKUP($A423,库存台账!$A$5:$Y$1204,25,0),0))</f>
        <v/>
      </c>
      <c r="N423" s="19">
        <f>IF($A423="","",IFERROR(LOOKUP(2,1/((出库单!$D$4:$D$4003=$A423)*(出库单!$T$4:$T$4003="正常")),出库单!$C$4:$C$4003),""))</f>
        <v/>
      </c>
      <c r="O423" s="28">
        <f>IF($A423="","",IF($L423&lt;=0,"",IF($N423="",IFERROR(账期止-LOOKUP(2,1/(入库单!$G$4:$G$2503=$A423),入库单!$C$4:$C$2503),""),账期止-$N423)))</f>
        <v/>
      </c>
      <c r="P423" s="17" t="n"/>
    </row>
    <row r="424">
      <c r="A424" s="17" t="inlineStr">
        <is>
          <t>JH0421</t>
        </is>
      </c>
      <c r="B424" s="17" t="inlineStr">
        <is>
          <t>其他</t>
        </is>
      </c>
      <c r="C424" s="17" t="inlineStr">
        <is>
          <t>主体</t>
        </is>
      </c>
      <c r="D424" s="17" t="inlineStr">
        <is>
          <t>φ6米浓缩机</t>
        </is>
      </c>
      <c r="E424" s="17" t="inlineStr">
        <is>
          <t>台</t>
        </is>
      </c>
      <c r="F424" s="17" t="inlineStr">
        <is>
          <t>否</t>
        </is>
      </c>
      <c r="G424" s="23" t="n"/>
      <c r="H424" s="24">
        <f>IF($A424="","",IFERROR(LOOKUP(2,1/((入库单!$G$4:$G$2503=$A424)*(入库单!$Y$4:$Y$2503="正常")*(入库单!$L$4:$L$2503&gt;0)),入库单!$D$4:$D$2503),""))</f>
        <v/>
      </c>
      <c r="I424" s="25">
        <f>IF($A424="","",IFERROR(LOOKUP(2,1/((入库单!$G$4:$G$2503=$A424)*(入库单!$Y$4:$Y$2503="正常")*(入库单!$L$4:$L$2503&gt;0)),入库单!$L$4:$L$2503),0))</f>
        <v/>
      </c>
      <c r="J424" s="26">
        <f>IF($A424="","",IF($H424="A国内",ROUND($I424*倍数A*汇率,0),IF($H424="B当地",ROUND($I424*系数B,0),0)))</f>
        <v/>
      </c>
      <c r="K424" s="24">
        <f>IF($A424="","",IF(COUNTIFS(入库单!$G$4:$G$2503,$A424,入库单!$X$4:$X$2503,"待补价")&gt;0,"待补价",IF(COUNTIFS(入库单!$G$4:$G$2503,$A424,入库单!$X$4:$X$2503,"暂估")&gt;0,"暂估",IF($I424=0,"没有进价","正常"))))</f>
        <v/>
      </c>
      <c r="L424" s="27">
        <f>IF($A424="","",IFERROR(VLOOKUP($A424,库存台账!$A$5:$Y$1204,24,0),0))</f>
        <v/>
      </c>
      <c r="M424" s="26">
        <f>IF($A424="","",IFERROR(VLOOKUP($A424,库存台账!$A$5:$Y$1204,25,0),0))</f>
        <v/>
      </c>
      <c r="N424" s="19">
        <f>IF($A424="","",IFERROR(LOOKUP(2,1/((出库单!$D$4:$D$4003=$A424)*(出库单!$T$4:$T$4003="正常")),出库单!$C$4:$C$4003),""))</f>
        <v/>
      </c>
      <c r="O424" s="28">
        <f>IF($A424="","",IF($L424&lt;=0,"",IF($N424="",IFERROR(账期止-LOOKUP(2,1/(入库单!$G$4:$G$2503=$A424),入库单!$C$4:$C$2503),""),账期止-$N424)))</f>
        <v/>
      </c>
      <c r="P424" s="17" t="n"/>
    </row>
    <row r="425">
      <c r="A425" s="17" t="inlineStr">
        <is>
          <t>JH0422</t>
        </is>
      </c>
      <c r="B425" s="17" t="inlineStr">
        <is>
          <t>其他</t>
        </is>
      </c>
      <c r="C425" s="17" t="inlineStr">
        <is>
          <t>长耙</t>
        </is>
      </c>
      <c r="D425" s="17" t="inlineStr">
        <is>
          <t>φ6米浓缩机</t>
        </is>
      </c>
      <c r="E425" s="17" t="inlineStr">
        <is>
          <t>件</t>
        </is>
      </c>
      <c r="F425" s="17" t="inlineStr">
        <is>
          <t>否</t>
        </is>
      </c>
      <c r="G425" s="23" t="n"/>
      <c r="H425" s="24">
        <f>IF($A425="","",IFERROR(LOOKUP(2,1/((入库单!$G$4:$G$2503=$A425)*(入库单!$Y$4:$Y$2503="正常")*(入库单!$L$4:$L$2503&gt;0)),入库单!$D$4:$D$2503),""))</f>
        <v/>
      </c>
      <c r="I425" s="25">
        <f>IF($A425="","",IFERROR(LOOKUP(2,1/((入库单!$G$4:$G$2503=$A425)*(入库单!$Y$4:$Y$2503="正常")*(入库单!$L$4:$L$2503&gt;0)),入库单!$L$4:$L$2503),0))</f>
        <v/>
      </c>
      <c r="J425" s="26">
        <f>IF($A425="","",IF($H425="A国内",ROUND($I425*倍数A*汇率,0),IF($H425="B当地",ROUND($I425*系数B,0),0)))</f>
        <v/>
      </c>
      <c r="K425" s="24">
        <f>IF($A425="","",IF(COUNTIFS(入库单!$G$4:$G$2503,$A425,入库单!$X$4:$X$2503,"待补价")&gt;0,"待补价",IF(COUNTIFS(入库单!$G$4:$G$2503,$A425,入库单!$X$4:$X$2503,"暂估")&gt;0,"暂估",IF($I425=0,"没有进价","正常"))))</f>
        <v/>
      </c>
      <c r="L425" s="27">
        <f>IF($A425="","",IFERROR(VLOOKUP($A425,库存台账!$A$5:$Y$1204,24,0),0))</f>
        <v/>
      </c>
      <c r="M425" s="26">
        <f>IF($A425="","",IFERROR(VLOOKUP($A425,库存台账!$A$5:$Y$1204,25,0),0))</f>
        <v/>
      </c>
      <c r="N425" s="19">
        <f>IF($A425="","",IFERROR(LOOKUP(2,1/((出库单!$D$4:$D$4003=$A425)*(出库单!$T$4:$T$4003="正常")),出库单!$C$4:$C$4003),""))</f>
        <v/>
      </c>
      <c r="O425" s="28">
        <f>IF($A425="","",IF($L425&lt;=0,"",IF($N425="",IFERROR(账期止-LOOKUP(2,1/(入库单!$G$4:$G$2503=$A425),入库单!$C$4:$C$2503),""),账期止-$N425)))</f>
        <v/>
      </c>
      <c r="P425" s="17" t="n"/>
    </row>
    <row r="426">
      <c r="A426" s="17" t="inlineStr">
        <is>
          <t>JH0423</t>
        </is>
      </c>
      <c r="B426" s="17" t="inlineStr">
        <is>
          <t>其他</t>
        </is>
      </c>
      <c r="C426" s="17" t="inlineStr">
        <is>
          <t>短耙</t>
        </is>
      </c>
      <c r="D426" s="17" t="inlineStr">
        <is>
          <t>φ6米浓缩机</t>
        </is>
      </c>
      <c r="E426" s="17" t="inlineStr">
        <is>
          <t>件</t>
        </is>
      </c>
      <c r="F426" s="17" t="inlineStr">
        <is>
          <t>否</t>
        </is>
      </c>
      <c r="G426" s="23" t="n"/>
      <c r="H426" s="24">
        <f>IF($A426="","",IFERROR(LOOKUP(2,1/((入库单!$G$4:$G$2503=$A426)*(入库单!$Y$4:$Y$2503="正常")*(入库单!$L$4:$L$2503&gt;0)),入库单!$D$4:$D$2503),""))</f>
        <v/>
      </c>
      <c r="I426" s="25">
        <f>IF($A426="","",IFERROR(LOOKUP(2,1/((入库单!$G$4:$G$2503=$A426)*(入库单!$Y$4:$Y$2503="正常")*(入库单!$L$4:$L$2503&gt;0)),入库单!$L$4:$L$2503),0))</f>
        <v/>
      </c>
      <c r="J426" s="26">
        <f>IF($A426="","",IF($H426="A国内",ROUND($I426*倍数A*汇率,0),IF($H426="B当地",ROUND($I426*系数B,0),0)))</f>
        <v/>
      </c>
      <c r="K426" s="24">
        <f>IF($A426="","",IF(COUNTIFS(入库单!$G$4:$G$2503,$A426,入库单!$X$4:$X$2503,"待补价")&gt;0,"待补价",IF(COUNTIFS(入库单!$G$4:$G$2503,$A426,入库单!$X$4:$X$2503,"暂估")&gt;0,"暂估",IF($I426=0,"没有进价","正常"))))</f>
        <v/>
      </c>
      <c r="L426" s="27">
        <f>IF($A426="","",IFERROR(VLOOKUP($A426,库存台账!$A$5:$Y$1204,24,0),0))</f>
        <v/>
      </c>
      <c r="M426" s="26">
        <f>IF($A426="","",IFERROR(VLOOKUP($A426,库存台账!$A$5:$Y$1204,25,0),0))</f>
        <v/>
      </c>
      <c r="N426" s="19">
        <f>IF($A426="","",IFERROR(LOOKUP(2,1/((出库单!$D$4:$D$4003=$A426)*(出库单!$T$4:$T$4003="正常")),出库单!$C$4:$C$4003),""))</f>
        <v/>
      </c>
      <c r="O426" s="28">
        <f>IF($A426="","",IF($L426&lt;=0,"",IF($N426="",IFERROR(账期止-LOOKUP(2,1/(入库单!$G$4:$G$2503=$A426),入库单!$C$4:$C$2503),""),账期止-$N426)))</f>
        <v/>
      </c>
      <c r="P426" s="17" t="n"/>
    </row>
    <row r="427">
      <c r="A427" s="17" t="inlineStr">
        <is>
          <t>JH0424</t>
        </is>
      </c>
      <c r="B427" s="17" t="inlineStr">
        <is>
          <t>其他</t>
        </is>
      </c>
      <c r="C427" s="17" t="inlineStr">
        <is>
          <t>拉杆</t>
        </is>
      </c>
      <c r="D427" s="17" t="inlineStr">
        <is>
          <t>φ6米浓缩机</t>
        </is>
      </c>
      <c r="E427" s="17" t="inlineStr">
        <is>
          <t>件</t>
        </is>
      </c>
      <c r="F427" s="17" t="inlineStr">
        <is>
          <t>否</t>
        </is>
      </c>
      <c r="G427" s="23" t="n"/>
      <c r="H427" s="24">
        <f>IF($A427="","",IFERROR(LOOKUP(2,1/((入库单!$G$4:$G$2503=$A427)*(入库单!$Y$4:$Y$2503="正常")*(入库单!$L$4:$L$2503&gt;0)),入库单!$D$4:$D$2503),""))</f>
        <v/>
      </c>
      <c r="I427" s="25">
        <f>IF($A427="","",IFERROR(LOOKUP(2,1/((入库单!$G$4:$G$2503=$A427)*(入库单!$Y$4:$Y$2503="正常")*(入库单!$L$4:$L$2503&gt;0)),入库单!$L$4:$L$2503),0))</f>
        <v/>
      </c>
      <c r="J427" s="26">
        <f>IF($A427="","",IF($H427="A国内",ROUND($I427*倍数A*汇率,0),IF($H427="B当地",ROUND($I427*系数B,0),0)))</f>
        <v/>
      </c>
      <c r="K427" s="24">
        <f>IF($A427="","",IF(COUNTIFS(入库单!$G$4:$G$2503,$A427,入库单!$X$4:$X$2503,"待补价")&gt;0,"待补价",IF(COUNTIFS(入库单!$G$4:$G$2503,$A427,入库单!$X$4:$X$2503,"暂估")&gt;0,"暂估",IF($I427=0,"没有进价","正常"))))</f>
        <v/>
      </c>
      <c r="L427" s="27">
        <f>IF($A427="","",IFERROR(VLOOKUP($A427,库存台账!$A$5:$Y$1204,24,0),0))</f>
        <v/>
      </c>
      <c r="M427" s="26">
        <f>IF($A427="","",IFERROR(VLOOKUP($A427,库存台账!$A$5:$Y$1204,25,0),0))</f>
        <v/>
      </c>
      <c r="N427" s="19">
        <f>IF($A427="","",IFERROR(LOOKUP(2,1/((出库单!$D$4:$D$4003=$A427)*(出库单!$T$4:$T$4003="正常")),出库单!$C$4:$C$4003),""))</f>
        <v/>
      </c>
      <c r="O427" s="28">
        <f>IF($A427="","",IF($L427&lt;=0,"",IF($N427="",IFERROR(账期止-LOOKUP(2,1/(入库单!$G$4:$G$2503=$A427),入库单!$C$4:$C$2503),""),账期止-$N427)))</f>
        <v/>
      </c>
      <c r="P427" s="17" t="n"/>
    </row>
    <row r="428">
      <c r="A428" s="17" t="inlineStr">
        <is>
          <t>JH0425</t>
        </is>
      </c>
      <c r="B428" s="17" t="inlineStr">
        <is>
          <t>其他</t>
        </is>
      </c>
      <c r="C428" s="17" t="inlineStr">
        <is>
          <t>刮刀</t>
        </is>
      </c>
      <c r="D428" s="17" t="inlineStr">
        <is>
          <t>φ6米浓缩机</t>
        </is>
      </c>
      <c r="E428" s="17" t="inlineStr">
        <is>
          <t>件</t>
        </is>
      </c>
      <c r="F428" s="17" t="inlineStr">
        <is>
          <t>否</t>
        </is>
      </c>
      <c r="G428" s="23" t="n"/>
      <c r="H428" s="24">
        <f>IF($A428="","",IFERROR(LOOKUP(2,1/((入库单!$G$4:$G$2503=$A428)*(入库单!$Y$4:$Y$2503="正常")*(入库单!$L$4:$L$2503&gt;0)),入库单!$D$4:$D$2503),""))</f>
        <v/>
      </c>
      <c r="I428" s="25">
        <f>IF($A428="","",IFERROR(LOOKUP(2,1/((入库单!$G$4:$G$2503=$A428)*(入库单!$Y$4:$Y$2503="正常")*(入库单!$L$4:$L$2503&gt;0)),入库单!$L$4:$L$2503),0))</f>
        <v/>
      </c>
      <c r="J428" s="26">
        <f>IF($A428="","",IF($H428="A国内",ROUND($I428*倍数A*汇率,0),IF($H428="B当地",ROUND($I428*系数B,0),0)))</f>
        <v/>
      </c>
      <c r="K428" s="24">
        <f>IF($A428="","",IF(COUNTIFS(入库单!$G$4:$G$2503,$A428,入库单!$X$4:$X$2503,"待补价")&gt;0,"待补价",IF(COUNTIFS(入库单!$G$4:$G$2503,$A428,入库单!$X$4:$X$2503,"暂估")&gt;0,"暂估",IF($I428=0,"没有进价","正常"))))</f>
        <v/>
      </c>
      <c r="L428" s="27">
        <f>IF($A428="","",IFERROR(VLOOKUP($A428,库存台账!$A$5:$Y$1204,24,0),0))</f>
        <v/>
      </c>
      <c r="M428" s="26">
        <f>IF($A428="","",IFERROR(VLOOKUP($A428,库存台账!$A$5:$Y$1204,25,0),0))</f>
        <v/>
      </c>
      <c r="N428" s="19">
        <f>IF($A428="","",IFERROR(LOOKUP(2,1/((出库单!$D$4:$D$4003=$A428)*(出库单!$T$4:$T$4003="正常")),出库单!$C$4:$C$4003),""))</f>
        <v/>
      </c>
      <c r="O428" s="28">
        <f>IF($A428="","",IF($L428&lt;=0,"",IF($N428="",IFERROR(账期止-LOOKUP(2,1/(入库单!$G$4:$G$2503=$A428),入库单!$C$4:$C$2503),""),账期止-$N428)))</f>
        <v/>
      </c>
      <c r="P428" s="17" t="n"/>
    </row>
    <row r="429">
      <c r="A429" s="17" t="inlineStr">
        <is>
          <t>JH0426</t>
        </is>
      </c>
      <c r="B429" s="17" t="inlineStr">
        <is>
          <t>其他</t>
        </is>
      </c>
      <c r="C429" s="17" t="inlineStr">
        <is>
          <t>大轴</t>
        </is>
      </c>
      <c r="D429" s="17" t="inlineStr">
        <is>
          <t>φ6米浓缩机</t>
        </is>
      </c>
      <c r="E429" s="17" t="inlineStr">
        <is>
          <t>件</t>
        </is>
      </c>
      <c r="F429" s="17" t="inlineStr">
        <is>
          <t>否</t>
        </is>
      </c>
      <c r="G429" s="23" t="n"/>
      <c r="H429" s="24">
        <f>IF($A429="","",IFERROR(LOOKUP(2,1/((入库单!$G$4:$G$2503=$A429)*(入库单!$Y$4:$Y$2503="正常")*(入库单!$L$4:$L$2503&gt;0)),入库单!$D$4:$D$2503),""))</f>
        <v/>
      </c>
      <c r="I429" s="25">
        <f>IF($A429="","",IFERROR(LOOKUP(2,1/((入库单!$G$4:$G$2503=$A429)*(入库单!$Y$4:$Y$2503="正常")*(入库单!$L$4:$L$2503&gt;0)),入库单!$L$4:$L$2503),0))</f>
        <v/>
      </c>
      <c r="J429" s="26">
        <f>IF($A429="","",IF($H429="A国内",ROUND($I429*倍数A*汇率,0),IF($H429="B当地",ROUND($I429*系数B,0),0)))</f>
        <v/>
      </c>
      <c r="K429" s="24">
        <f>IF($A429="","",IF(COUNTIFS(入库单!$G$4:$G$2503,$A429,入库单!$X$4:$X$2503,"待补价")&gt;0,"待补价",IF(COUNTIFS(入库单!$G$4:$G$2503,$A429,入库单!$X$4:$X$2503,"暂估")&gt;0,"暂估",IF($I429=0,"没有进价","正常"))))</f>
        <v/>
      </c>
      <c r="L429" s="27">
        <f>IF($A429="","",IFERROR(VLOOKUP($A429,库存台账!$A$5:$Y$1204,24,0),0))</f>
        <v/>
      </c>
      <c r="M429" s="26">
        <f>IF($A429="","",IFERROR(VLOOKUP($A429,库存台账!$A$5:$Y$1204,25,0),0))</f>
        <v/>
      </c>
      <c r="N429" s="19">
        <f>IF($A429="","",IFERROR(LOOKUP(2,1/((出库单!$D$4:$D$4003=$A429)*(出库单!$T$4:$T$4003="正常")),出库单!$C$4:$C$4003),""))</f>
        <v/>
      </c>
      <c r="O429" s="28">
        <f>IF($A429="","",IF($L429&lt;=0,"",IF($N429="",IFERROR(账期止-LOOKUP(2,1/(入库单!$G$4:$G$2503=$A429),入库单!$C$4:$C$2503),""),账期止-$N429)))</f>
        <v/>
      </c>
      <c r="P429" s="17" t="n"/>
    </row>
    <row r="430">
      <c r="A430" s="17" t="inlineStr">
        <is>
          <t>JH0427</t>
        </is>
      </c>
      <c r="B430" s="17" t="inlineStr">
        <is>
          <t>其他</t>
        </is>
      </c>
      <c r="C430" s="17" t="inlineStr">
        <is>
          <t>放矿斗</t>
        </is>
      </c>
      <c r="D430" s="17" t="inlineStr">
        <is>
          <t>φ6米浓缩机</t>
        </is>
      </c>
      <c r="E430" s="17" t="inlineStr">
        <is>
          <t>件</t>
        </is>
      </c>
      <c r="F430" s="17" t="inlineStr">
        <is>
          <t>否</t>
        </is>
      </c>
      <c r="G430" s="23" t="n"/>
      <c r="H430" s="24">
        <f>IF($A430="","",IFERROR(LOOKUP(2,1/((入库单!$G$4:$G$2503=$A430)*(入库单!$Y$4:$Y$2503="正常")*(入库单!$L$4:$L$2503&gt;0)),入库单!$D$4:$D$2503),""))</f>
        <v/>
      </c>
      <c r="I430" s="25">
        <f>IF($A430="","",IFERROR(LOOKUP(2,1/((入库单!$G$4:$G$2503=$A430)*(入库单!$Y$4:$Y$2503="正常")*(入库单!$L$4:$L$2503&gt;0)),入库单!$L$4:$L$2503),0))</f>
        <v/>
      </c>
      <c r="J430" s="26">
        <f>IF($A430="","",IF($H430="A国内",ROUND($I430*倍数A*汇率,0),IF($H430="B当地",ROUND($I430*系数B,0),0)))</f>
        <v/>
      </c>
      <c r="K430" s="24">
        <f>IF($A430="","",IF(COUNTIFS(入库单!$G$4:$G$2503,$A430,入库单!$X$4:$X$2503,"待补价")&gt;0,"待补价",IF(COUNTIFS(入库单!$G$4:$G$2503,$A430,入库单!$X$4:$X$2503,"暂估")&gt;0,"暂估",IF($I430=0,"没有进价","正常"))))</f>
        <v/>
      </c>
      <c r="L430" s="27">
        <f>IF($A430="","",IFERROR(VLOOKUP($A430,库存台账!$A$5:$Y$1204,24,0),0))</f>
        <v/>
      </c>
      <c r="M430" s="26">
        <f>IF($A430="","",IFERROR(VLOOKUP($A430,库存台账!$A$5:$Y$1204,25,0),0))</f>
        <v/>
      </c>
      <c r="N430" s="19">
        <f>IF($A430="","",IFERROR(LOOKUP(2,1/((出库单!$D$4:$D$4003=$A430)*(出库单!$T$4:$T$4003="正常")),出库单!$C$4:$C$4003),""))</f>
        <v/>
      </c>
      <c r="O430" s="28">
        <f>IF($A430="","",IF($L430&lt;=0,"",IF($N430="",IFERROR(账期止-LOOKUP(2,1/(入库单!$G$4:$G$2503=$A430),入库单!$C$4:$C$2503),""),账期止-$N430)))</f>
        <v/>
      </c>
      <c r="P430" s="17" t="n"/>
    </row>
    <row r="431">
      <c r="A431" s="17" t="inlineStr">
        <is>
          <t>JH0428</t>
        </is>
      </c>
      <c r="B431" s="17" t="inlineStr">
        <is>
          <t>机械配件</t>
        </is>
      </c>
      <c r="C431" s="17" t="inlineStr">
        <is>
          <t>十字头</t>
        </is>
      </c>
      <c r="D431" s="17" t="inlineStr">
        <is>
          <t>φ6米浓缩机</t>
        </is>
      </c>
      <c r="E431" s="17" t="inlineStr">
        <is>
          <t>件</t>
        </is>
      </c>
      <c r="F431" s="17" t="inlineStr">
        <is>
          <t>否</t>
        </is>
      </c>
      <c r="G431" s="23" t="n"/>
      <c r="H431" s="24">
        <f>IF($A431="","",IFERROR(LOOKUP(2,1/((入库单!$G$4:$G$2503=$A431)*(入库单!$Y$4:$Y$2503="正常")*(入库单!$L$4:$L$2503&gt;0)),入库单!$D$4:$D$2503),""))</f>
        <v/>
      </c>
      <c r="I431" s="25">
        <f>IF($A431="","",IFERROR(LOOKUP(2,1/((入库单!$G$4:$G$2503=$A431)*(入库单!$Y$4:$Y$2503="正常")*(入库单!$L$4:$L$2503&gt;0)),入库单!$L$4:$L$2503),0))</f>
        <v/>
      </c>
      <c r="J431" s="26">
        <f>IF($A431="","",IF($H431="A国内",ROUND($I431*倍数A*汇率,0),IF($H431="B当地",ROUND($I431*系数B,0),0)))</f>
        <v/>
      </c>
      <c r="K431" s="24">
        <f>IF($A431="","",IF(COUNTIFS(入库单!$G$4:$G$2503,$A431,入库单!$X$4:$X$2503,"待补价")&gt;0,"待补价",IF(COUNTIFS(入库单!$G$4:$G$2503,$A431,入库单!$X$4:$X$2503,"暂估")&gt;0,"暂估",IF($I431=0,"没有进价","正常"))))</f>
        <v/>
      </c>
      <c r="L431" s="27">
        <f>IF($A431="","",IFERROR(VLOOKUP($A431,库存台账!$A$5:$Y$1204,24,0),0))</f>
        <v/>
      </c>
      <c r="M431" s="26">
        <f>IF($A431="","",IFERROR(VLOOKUP($A431,库存台账!$A$5:$Y$1204,25,0),0))</f>
        <v/>
      </c>
      <c r="N431" s="19">
        <f>IF($A431="","",IFERROR(LOOKUP(2,1/((出库单!$D$4:$D$4003=$A431)*(出库单!$T$4:$T$4003="正常")),出库单!$C$4:$C$4003),""))</f>
        <v/>
      </c>
      <c r="O431" s="28">
        <f>IF($A431="","",IF($L431&lt;=0,"",IF($N431="",IFERROR(账期止-LOOKUP(2,1/(入库单!$G$4:$G$2503=$A431),入库单!$C$4:$C$2503),""),账期止-$N431)))</f>
        <v/>
      </c>
      <c r="P431" s="17" t="n"/>
    </row>
    <row r="432">
      <c r="A432" s="17" t="inlineStr">
        <is>
          <t>JH0429</t>
        </is>
      </c>
      <c r="B432" s="17" t="inlineStr">
        <is>
          <t>其他</t>
        </is>
      </c>
      <c r="C432" s="17" t="inlineStr">
        <is>
          <t>护轴管</t>
        </is>
      </c>
      <c r="D432" s="17" t="inlineStr">
        <is>
          <t>φ6米浓缩机</t>
        </is>
      </c>
      <c r="E432" s="17" t="inlineStr">
        <is>
          <t>件</t>
        </is>
      </c>
      <c r="F432" s="17" t="inlineStr">
        <is>
          <t>否</t>
        </is>
      </c>
      <c r="G432" s="23" t="n"/>
      <c r="H432" s="24">
        <f>IF($A432="","",IFERROR(LOOKUP(2,1/((入库单!$G$4:$G$2503=$A432)*(入库单!$Y$4:$Y$2503="正常")*(入库单!$L$4:$L$2503&gt;0)),入库单!$D$4:$D$2503),""))</f>
        <v/>
      </c>
      <c r="I432" s="25">
        <f>IF($A432="","",IFERROR(LOOKUP(2,1/((入库单!$G$4:$G$2503=$A432)*(入库单!$Y$4:$Y$2503="正常")*(入库单!$L$4:$L$2503&gt;0)),入库单!$L$4:$L$2503),0))</f>
        <v/>
      </c>
      <c r="J432" s="26">
        <f>IF($A432="","",IF($H432="A国内",ROUND($I432*倍数A*汇率,0),IF($H432="B当地",ROUND($I432*系数B,0),0)))</f>
        <v/>
      </c>
      <c r="K432" s="24">
        <f>IF($A432="","",IF(COUNTIFS(入库单!$G$4:$G$2503,$A432,入库单!$X$4:$X$2503,"待补价")&gt;0,"待补价",IF(COUNTIFS(入库单!$G$4:$G$2503,$A432,入库单!$X$4:$X$2503,"暂估")&gt;0,"暂估",IF($I432=0,"没有进价","正常"))))</f>
        <v/>
      </c>
      <c r="L432" s="27">
        <f>IF($A432="","",IFERROR(VLOOKUP($A432,库存台账!$A$5:$Y$1204,24,0),0))</f>
        <v/>
      </c>
      <c r="M432" s="26">
        <f>IF($A432="","",IFERROR(VLOOKUP($A432,库存台账!$A$5:$Y$1204,25,0),0))</f>
        <v/>
      </c>
      <c r="N432" s="19">
        <f>IF($A432="","",IFERROR(LOOKUP(2,1/((出库单!$D$4:$D$4003=$A432)*(出库单!$T$4:$T$4003="正常")),出库单!$C$4:$C$4003),""))</f>
        <v/>
      </c>
      <c r="O432" s="28">
        <f>IF($A432="","",IF($L432&lt;=0,"",IF($N432="",IFERROR(账期止-LOOKUP(2,1/(入库单!$G$4:$G$2503=$A432),入库单!$C$4:$C$2503),""),账期止-$N432)))</f>
        <v/>
      </c>
      <c r="P432" s="17" t="n"/>
    </row>
    <row r="433">
      <c r="A433" s="17" t="inlineStr">
        <is>
          <t>JH0430</t>
        </is>
      </c>
      <c r="B433" s="17" t="inlineStr">
        <is>
          <t>其他</t>
        </is>
      </c>
      <c r="C433" s="17" t="inlineStr">
        <is>
          <t>受矿槽</t>
        </is>
      </c>
      <c r="D433" s="17" t="inlineStr">
        <is>
          <t>φ6米浓缩机</t>
        </is>
      </c>
      <c r="E433" s="17" t="inlineStr">
        <is>
          <t>件</t>
        </is>
      </c>
      <c r="F433" s="17" t="inlineStr">
        <is>
          <t>否</t>
        </is>
      </c>
      <c r="G433" s="23" t="n"/>
      <c r="H433" s="24">
        <f>IF($A433="","",IFERROR(LOOKUP(2,1/((入库单!$G$4:$G$2503=$A433)*(入库单!$Y$4:$Y$2503="正常")*(入库单!$L$4:$L$2503&gt;0)),入库单!$D$4:$D$2503),""))</f>
        <v/>
      </c>
      <c r="I433" s="25">
        <f>IF($A433="","",IFERROR(LOOKUP(2,1/((入库单!$G$4:$G$2503=$A433)*(入库单!$Y$4:$Y$2503="正常")*(入库单!$L$4:$L$2503&gt;0)),入库单!$L$4:$L$2503),0))</f>
        <v/>
      </c>
      <c r="J433" s="26">
        <f>IF($A433="","",IF($H433="A国内",ROUND($I433*倍数A*汇率,0),IF($H433="B当地",ROUND($I433*系数B,0),0)))</f>
        <v/>
      </c>
      <c r="K433" s="24">
        <f>IF($A433="","",IF(COUNTIFS(入库单!$G$4:$G$2503,$A433,入库单!$X$4:$X$2503,"待补价")&gt;0,"待补价",IF(COUNTIFS(入库单!$G$4:$G$2503,$A433,入库单!$X$4:$X$2503,"暂估")&gt;0,"暂估",IF($I433=0,"没有进价","正常"))))</f>
        <v/>
      </c>
      <c r="L433" s="27">
        <f>IF($A433="","",IFERROR(VLOOKUP($A433,库存台账!$A$5:$Y$1204,24,0),0))</f>
        <v/>
      </c>
      <c r="M433" s="26">
        <f>IF($A433="","",IFERROR(VLOOKUP($A433,库存台账!$A$5:$Y$1204,25,0),0))</f>
        <v/>
      </c>
      <c r="N433" s="19">
        <f>IF($A433="","",IFERROR(LOOKUP(2,1/((出库单!$D$4:$D$4003=$A433)*(出库单!$T$4:$T$4003="正常")),出库单!$C$4:$C$4003),""))</f>
        <v/>
      </c>
      <c r="O433" s="28">
        <f>IF($A433="","",IF($L433&lt;=0,"",IF($N433="",IFERROR(账期止-LOOKUP(2,1/(入库单!$G$4:$G$2503=$A433),入库单!$C$4:$C$2503),""),账期止-$N433)))</f>
        <v/>
      </c>
      <c r="P433" s="17" t="n"/>
    </row>
    <row r="434">
      <c r="A434" s="17" t="inlineStr">
        <is>
          <t>JH0431</t>
        </is>
      </c>
      <c r="B434" s="17" t="inlineStr">
        <is>
          <t>机械配件</t>
        </is>
      </c>
      <c r="C434" s="17" t="inlineStr">
        <is>
          <t>环形体</t>
        </is>
      </c>
      <c r="D434" s="17" t="inlineStr">
        <is>
          <t>φ6米浓缩机</t>
        </is>
      </c>
      <c r="E434" s="17" t="inlineStr">
        <is>
          <t>件</t>
        </is>
      </c>
      <c r="F434" s="17" t="inlineStr">
        <is>
          <t>否</t>
        </is>
      </c>
      <c r="G434" s="23" t="n"/>
      <c r="H434" s="24">
        <f>IF($A434="","",IFERROR(LOOKUP(2,1/((入库单!$G$4:$G$2503=$A434)*(入库单!$Y$4:$Y$2503="正常")*(入库单!$L$4:$L$2503&gt;0)),入库单!$D$4:$D$2503),""))</f>
        <v/>
      </c>
      <c r="I434" s="25">
        <f>IF($A434="","",IFERROR(LOOKUP(2,1/((入库单!$G$4:$G$2503=$A434)*(入库单!$Y$4:$Y$2503="正常")*(入库单!$L$4:$L$2503&gt;0)),入库单!$L$4:$L$2503),0))</f>
        <v/>
      </c>
      <c r="J434" s="26">
        <f>IF($A434="","",IF($H434="A国内",ROUND($I434*倍数A*汇率,0),IF($H434="B当地",ROUND($I434*系数B,0),0)))</f>
        <v/>
      </c>
      <c r="K434" s="24">
        <f>IF($A434="","",IF(COUNTIFS(入库单!$G$4:$G$2503,$A434,入库单!$X$4:$X$2503,"待补价")&gt;0,"待补价",IF(COUNTIFS(入库单!$G$4:$G$2503,$A434,入库单!$X$4:$X$2503,"暂估")&gt;0,"暂估",IF($I434=0,"没有进价","正常"))))</f>
        <v/>
      </c>
      <c r="L434" s="27">
        <f>IF($A434="","",IFERROR(VLOOKUP($A434,库存台账!$A$5:$Y$1204,24,0),0))</f>
        <v/>
      </c>
      <c r="M434" s="26">
        <f>IF($A434="","",IFERROR(VLOOKUP($A434,库存台账!$A$5:$Y$1204,25,0),0))</f>
        <v/>
      </c>
      <c r="N434" s="19">
        <f>IF($A434="","",IFERROR(LOOKUP(2,1/((出库单!$D$4:$D$4003=$A434)*(出库单!$T$4:$T$4003="正常")),出库单!$C$4:$C$4003),""))</f>
        <v/>
      </c>
      <c r="O434" s="28">
        <f>IF($A434="","",IF($L434&lt;=0,"",IF($N434="",IFERROR(账期止-LOOKUP(2,1/(入库单!$G$4:$G$2503=$A434),入库单!$C$4:$C$2503),""),账期止-$N434)))</f>
        <v/>
      </c>
      <c r="P434" s="17" t="n"/>
    </row>
    <row r="435">
      <c r="A435" s="17" t="inlineStr">
        <is>
          <t>JH0432</t>
        </is>
      </c>
      <c r="B435" s="17" t="inlineStr">
        <is>
          <t>其他</t>
        </is>
      </c>
      <c r="C435" s="17" t="inlineStr">
        <is>
          <t>弹簧</t>
        </is>
      </c>
      <c r="D435" s="17" t="inlineStr">
        <is>
          <t>φ6米浓缩机</t>
        </is>
      </c>
      <c r="E435" s="17" t="inlineStr">
        <is>
          <t>件</t>
        </is>
      </c>
      <c r="F435" s="17" t="inlineStr">
        <is>
          <t>否</t>
        </is>
      </c>
      <c r="G435" s="23" t="n"/>
      <c r="H435" s="24">
        <f>IF($A435="","",IFERROR(LOOKUP(2,1/((入库单!$G$4:$G$2503=$A435)*(入库单!$Y$4:$Y$2503="正常")*(入库单!$L$4:$L$2503&gt;0)),入库单!$D$4:$D$2503),""))</f>
        <v/>
      </c>
      <c r="I435" s="25">
        <f>IF($A435="","",IFERROR(LOOKUP(2,1/((入库单!$G$4:$G$2503=$A435)*(入库单!$Y$4:$Y$2503="正常")*(入库单!$L$4:$L$2503&gt;0)),入库单!$L$4:$L$2503),0))</f>
        <v/>
      </c>
      <c r="J435" s="26">
        <f>IF($A435="","",IF($H435="A国内",ROUND($I435*倍数A*汇率,0),IF($H435="B当地",ROUND($I435*系数B,0),0)))</f>
        <v/>
      </c>
      <c r="K435" s="24">
        <f>IF($A435="","",IF(COUNTIFS(入库单!$G$4:$G$2503,$A435,入库单!$X$4:$X$2503,"待补价")&gt;0,"待补价",IF(COUNTIFS(入库单!$G$4:$G$2503,$A435,入库单!$X$4:$X$2503,"暂估")&gt;0,"暂估",IF($I435=0,"没有进价","正常"))))</f>
        <v/>
      </c>
      <c r="L435" s="27">
        <f>IF($A435="","",IFERROR(VLOOKUP($A435,库存台账!$A$5:$Y$1204,24,0),0))</f>
        <v/>
      </c>
      <c r="M435" s="26">
        <f>IF($A435="","",IFERROR(VLOOKUP($A435,库存台账!$A$5:$Y$1204,25,0),0))</f>
        <v/>
      </c>
      <c r="N435" s="19">
        <f>IF($A435="","",IFERROR(LOOKUP(2,1/((出库单!$D$4:$D$4003=$A435)*(出库单!$T$4:$T$4003="正常")),出库单!$C$4:$C$4003),""))</f>
        <v/>
      </c>
      <c r="O435" s="28">
        <f>IF($A435="","",IF($L435&lt;=0,"",IF($N435="",IFERROR(账期止-LOOKUP(2,1/(入库单!$G$4:$G$2503=$A435),入库单!$C$4:$C$2503),""),账期止-$N435)))</f>
        <v/>
      </c>
      <c r="P435" s="17" t="n"/>
    </row>
    <row r="436">
      <c r="A436" s="17" t="inlineStr">
        <is>
          <t>JH0433</t>
        </is>
      </c>
      <c r="B436" s="17" t="inlineStr">
        <is>
          <t>其他</t>
        </is>
      </c>
      <c r="C436" s="17" t="inlineStr">
        <is>
          <t>尼龙棒20*50</t>
        </is>
      </c>
      <c r="D436" s="17" t="inlineStr">
        <is>
          <t>φ6米浓缩机</t>
        </is>
      </c>
      <c r="E436" s="17" t="inlineStr">
        <is>
          <t>个</t>
        </is>
      </c>
      <c r="F436" s="17" t="inlineStr">
        <is>
          <t>否</t>
        </is>
      </c>
      <c r="G436" s="23" t="n"/>
      <c r="H436" s="24">
        <f>IF($A436="","",IFERROR(LOOKUP(2,1/((入库单!$G$4:$G$2503=$A436)*(入库单!$Y$4:$Y$2503="正常")*(入库单!$L$4:$L$2503&gt;0)),入库单!$D$4:$D$2503),""))</f>
        <v/>
      </c>
      <c r="I436" s="25">
        <f>IF($A436="","",IFERROR(LOOKUP(2,1/((入库单!$G$4:$G$2503=$A436)*(入库单!$Y$4:$Y$2503="正常")*(入库单!$L$4:$L$2503&gt;0)),入库单!$L$4:$L$2503),0))</f>
        <v/>
      </c>
      <c r="J436" s="26">
        <f>IF($A436="","",IF($H436="A国内",ROUND($I436*倍数A*汇率,0),IF($H436="B当地",ROUND($I436*系数B,0),0)))</f>
        <v/>
      </c>
      <c r="K436" s="24">
        <f>IF($A436="","",IF(COUNTIFS(入库单!$G$4:$G$2503,$A436,入库单!$X$4:$X$2503,"待补价")&gt;0,"待补价",IF(COUNTIFS(入库单!$G$4:$G$2503,$A436,入库单!$X$4:$X$2503,"暂估")&gt;0,"暂估",IF($I436=0,"没有进价","正常"))))</f>
        <v/>
      </c>
      <c r="L436" s="27">
        <f>IF($A436="","",IFERROR(VLOOKUP($A436,库存台账!$A$5:$Y$1204,24,0),0))</f>
        <v/>
      </c>
      <c r="M436" s="26">
        <f>IF($A436="","",IFERROR(VLOOKUP($A436,库存台账!$A$5:$Y$1204,25,0),0))</f>
        <v/>
      </c>
      <c r="N436" s="19">
        <f>IF($A436="","",IFERROR(LOOKUP(2,1/((出库单!$D$4:$D$4003=$A436)*(出库单!$T$4:$T$4003="正常")),出库单!$C$4:$C$4003),""))</f>
        <v/>
      </c>
      <c r="O436" s="28">
        <f>IF($A436="","",IF($L436&lt;=0,"",IF($N436="",IFERROR(账期止-LOOKUP(2,1/(入库单!$G$4:$G$2503=$A436),入库单!$C$4:$C$2503),""),账期止-$N436)))</f>
        <v/>
      </c>
      <c r="P436" s="17" t="n"/>
    </row>
    <row r="437">
      <c r="A437" s="17" t="inlineStr">
        <is>
          <t>JH0434</t>
        </is>
      </c>
      <c r="B437" s="17" t="inlineStr">
        <is>
          <t>电缆电气</t>
        </is>
      </c>
      <c r="C437" s="17" t="inlineStr">
        <is>
          <t>电机3KW-4</t>
        </is>
      </c>
      <c r="D437" s="17" t="inlineStr">
        <is>
          <t>φ6米浓缩机</t>
        </is>
      </c>
      <c r="E437" s="17" t="inlineStr">
        <is>
          <t>台</t>
        </is>
      </c>
      <c r="F437" s="17" t="inlineStr">
        <is>
          <t>否</t>
        </is>
      </c>
      <c r="G437" s="23" t="n"/>
      <c r="H437" s="24">
        <f>IF($A437="","",IFERROR(LOOKUP(2,1/((入库单!$G$4:$G$2503=$A437)*(入库单!$Y$4:$Y$2503="正常")*(入库单!$L$4:$L$2503&gt;0)),入库单!$D$4:$D$2503),""))</f>
        <v/>
      </c>
      <c r="I437" s="25">
        <f>IF($A437="","",IFERROR(LOOKUP(2,1/((入库单!$G$4:$G$2503=$A437)*(入库单!$Y$4:$Y$2503="正常")*(入库单!$L$4:$L$2503&gt;0)),入库单!$L$4:$L$2503),0))</f>
        <v/>
      </c>
      <c r="J437" s="26">
        <f>IF($A437="","",IF($H437="A国内",ROUND($I437*倍数A*汇率,0),IF($H437="B当地",ROUND($I437*系数B,0),0)))</f>
        <v/>
      </c>
      <c r="K437" s="24">
        <f>IF($A437="","",IF(COUNTIFS(入库单!$G$4:$G$2503,$A437,入库单!$X$4:$X$2503,"待补价")&gt;0,"待补价",IF(COUNTIFS(入库单!$G$4:$G$2503,$A437,入库单!$X$4:$X$2503,"暂估")&gt;0,"暂估",IF($I437=0,"没有进价","正常"))))</f>
        <v/>
      </c>
      <c r="L437" s="27">
        <f>IF($A437="","",IFERROR(VLOOKUP($A437,库存台账!$A$5:$Y$1204,24,0),0))</f>
        <v/>
      </c>
      <c r="M437" s="26">
        <f>IF($A437="","",IFERROR(VLOOKUP($A437,库存台账!$A$5:$Y$1204,25,0),0))</f>
        <v/>
      </c>
      <c r="N437" s="19">
        <f>IF($A437="","",IFERROR(LOOKUP(2,1/((出库单!$D$4:$D$4003=$A437)*(出库单!$T$4:$T$4003="正常")),出库单!$C$4:$C$4003),""))</f>
        <v/>
      </c>
      <c r="O437" s="28">
        <f>IF($A437="","",IF($L437&lt;=0,"",IF($N437="",IFERROR(账期止-LOOKUP(2,1/(入库单!$G$4:$G$2503=$A437),入库单!$C$4:$C$2503),""),账期止-$N437)))</f>
        <v/>
      </c>
      <c r="P437" s="17" t="n"/>
    </row>
    <row r="438">
      <c r="A438" s="17" t="inlineStr">
        <is>
          <t>JH0435</t>
        </is>
      </c>
      <c r="B438" s="17" t="inlineStr">
        <is>
          <t>其他</t>
        </is>
      </c>
      <c r="C438" s="17" t="inlineStr">
        <is>
          <t>尾矿泵</t>
        </is>
      </c>
      <c r="D438" s="17" t="inlineStr">
        <is>
          <t>4/3C-AH</t>
        </is>
      </c>
      <c r="E438" s="17" t="inlineStr">
        <is>
          <t>台</t>
        </is>
      </c>
      <c r="F438" s="17" t="inlineStr">
        <is>
          <t>否</t>
        </is>
      </c>
      <c r="G438" s="23" t="n"/>
      <c r="H438" s="24">
        <f>IF($A438="","",IFERROR(LOOKUP(2,1/((入库单!$G$4:$G$2503=$A438)*(入库单!$Y$4:$Y$2503="正常")*(入库单!$L$4:$L$2503&gt;0)),入库单!$D$4:$D$2503),""))</f>
        <v/>
      </c>
      <c r="I438" s="25">
        <f>IF($A438="","",IFERROR(LOOKUP(2,1/((入库单!$G$4:$G$2503=$A438)*(入库单!$Y$4:$Y$2503="正常")*(入库单!$L$4:$L$2503&gt;0)),入库单!$L$4:$L$2503),0))</f>
        <v/>
      </c>
      <c r="J438" s="26">
        <f>IF($A438="","",IF($H438="A国内",ROUND($I438*倍数A*汇率,0),IF($H438="B当地",ROUND($I438*系数B,0),0)))</f>
        <v/>
      </c>
      <c r="K438" s="24">
        <f>IF($A438="","",IF(COUNTIFS(入库单!$G$4:$G$2503,$A438,入库单!$X$4:$X$2503,"待补价")&gt;0,"待补价",IF(COUNTIFS(入库单!$G$4:$G$2503,$A438,入库单!$X$4:$X$2503,"暂估")&gt;0,"暂估",IF($I438=0,"没有进价","正常"))))</f>
        <v/>
      </c>
      <c r="L438" s="27">
        <f>IF($A438="","",IFERROR(VLOOKUP($A438,库存台账!$A$5:$Y$1204,24,0),0))</f>
        <v/>
      </c>
      <c r="M438" s="26">
        <f>IF($A438="","",IFERROR(VLOOKUP($A438,库存台账!$A$5:$Y$1204,25,0),0))</f>
        <v/>
      </c>
      <c r="N438" s="19">
        <f>IF($A438="","",IFERROR(LOOKUP(2,1/((出库单!$D$4:$D$4003=$A438)*(出库单!$T$4:$T$4003="正常")),出库单!$C$4:$C$4003),""))</f>
        <v/>
      </c>
      <c r="O438" s="28">
        <f>IF($A438="","",IF($L438&lt;=0,"",IF($N438="",IFERROR(账期止-LOOKUP(2,1/(入库单!$G$4:$G$2503=$A438),入库单!$C$4:$C$2503),""),账期止-$N438)))</f>
        <v/>
      </c>
      <c r="P438" s="17" t="n"/>
    </row>
    <row r="439">
      <c r="A439" s="17" t="inlineStr">
        <is>
          <t>JH0436</t>
        </is>
      </c>
      <c r="B439" s="17" t="inlineStr">
        <is>
          <t>电缆电气</t>
        </is>
      </c>
      <c r="C439" s="17" t="inlineStr">
        <is>
          <t>电机</t>
        </is>
      </c>
      <c r="D439" s="17" t="inlineStr">
        <is>
          <t>18.5KW-4</t>
        </is>
      </c>
      <c r="E439" s="17" t="inlineStr">
        <is>
          <t>台</t>
        </is>
      </c>
      <c r="F439" s="17" t="inlineStr">
        <is>
          <t>否</t>
        </is>
      </c>
      <c r="G439" s="23" t="n"/>
      <c r="H439" s="24">
        <f>IF($A439="","",IFERROR(LOOKUP(2,1/((入库单!$G$4:$G$2503=$A439)*(入库单!$Y$4:$Y$2503="正常")*(入库单!$L$4:$L$2503&gt;0)),入库单!$D$4:$D$2503),""))</f>
        <v/>
      </c>
      <c r="I439" s="25">
        <f>IF($A439="","",IFERROR(LOOKUP(2,1/((入库单!$G$4:$G$2503=$A439)*(入库单!$Y$4:$Y$2503="正常")*(入库单!$L$4:$L$2503&gt;0)),入库单!$L$4:$L$2503),0))</f>
        <v/>
      </c>
      <c r="J439" s="26">
        <f>IF($A439="","",IF($H439="A国内",ROUND($I439*倍数A*汇率,0),IF($H439="B当地",ROUND($I439*系数B,0),0)))</f>
        <v/>
      </c>
      <c r="K439" s="24">
        <f>IF($A439="","",IF(COUNTIFS(入库单!$G$4:$G$2503,$A439,入库单!$X$4:$X$2503,"待补价")&gt;0,"待补价",IF(COUNTIFS(入库单!$G$4:$G$2503,$A439,入库单!$X$4:$X$2503,"暂估")&gt;0,"暂估",IF($I439=0,"没有进价","正常"))))</f>
        <v/>
      </c>
      <c r="L439" s="27">
        <f>IF($A439="","",IFERROR(VLOOKUP($A439,库存台账!$A$5:$Y$1204,24,0),0))</f>
        <v/>
      </c>
      <c r="M439" s="26">
        <f>IF($A439="","",IFERROR(VLOOKUP($A439,库存台账!$A$5:$Y$1204,25,0),0))</f>
        <v/>
      </c>
      <c r="N439" s="19">
        <f>IF($A439="","",IFERROR(LOOKUP(2,1/((出库单!$D$4:$D$4003=$A439)*(出库单!$T$4:$T$4003="正常")),出库单!$C$4:$C$4003),""))</f>
        <v/>
      </c>
      <c r="O439" s="28">
        <f>IF($A439="","",IF($L439&lt;=0,"",IF($N439="",IFERROR(账期止-LOOKUP(2,1/(入库单!$G$4:$G$2503=$A439),入库单!$C$4:$C$2503),""),账期止-$N439)))</f>
        <v/>
      </c>
      <c r="P439" s="17" t="n"/>
    </row>
    <row r="440">
      <c r="A440" s="17" t="inlineStr">
        <is>
          <t>JH0437</t>
        </is>
      </c>
      <c r="B440" s="17" t="inlineStr">
        <is>
          <t>机械设备</t>
        </is>
      </c>
      <c r="C440" s="17" t="inlineStr">
        <is>
          <t>振动筛</t>
        </is>
      </c>
      <c r="D440" s="17" t="inlineStr">
        <is>
          <t>2SZZ1536</t>
        </is>
      </c>
      <c r="E440" s="17" t="inlineStr">
        <is>
          <t>台</t>
        </is>
      </c>
      <c r="F440" s="17" t="inlineStr">
        <is>
          <t>否</t>
        </is>
      </c>
      <c r="G440" s="23" t="n"/>
      <c r="H440" s="24">
        <f>IF($A440="","",IFERROR(LOOKUP(2,1/((入库单!$G$4:$G$2503=$A440)*(入库单!$Y$4:$Y$2503="正常")*(入库单!$L$4:$L$2503&gt;0)),入库单!$D$4:$D$2503),""))</f>
        <v/>
      </c>
      <c r="I440" s="25">
        <f>IF($A440="","",IFERROR(LOOKUP(2,1/((入库单!$G$4:$G$2503=$A440)*(入库单!$Y$4:$Y$2503="正常")*(入库单!$L$4:$L$2503&gt;0)),入库单!$L$4:$L$2503),0))</f>
        <v/>
      </c>
      <c r="J440" s="26">
        <f>IF($A440="","",IF($H440="A国内",ROUND($I440*倍数A*汇率,0),IF($H440="B当地",ROUND($I440*系数B,0),0)))</f>
        <v/>
      </c>
      <c r="K440" s="24">
        <f>IF($A440="","",IF(COUNTIFS(入库单!$G$4:$G$2503,$A440,入库单!$X$4:$X$2503,"待补价")&gt;0,"待补价",IF(COUNTIFS(入库单!$G$4:$G$2503,$A440,入库单!$X$4:$X$2503,"暂估")&gt;0,"暂估",IF($I440=0,"没有进价","正常"))))</f>
        <v/>
      </c>
      <c r="L440" s="27">
        <f>IF($A440="","",IFERROR(VLOOKUP($A440,库存台账!$A$5:$Y$1204,24,0),0))</f>
        <v/>
      </c>
      <c r="M440" s="26">
        <f>IF($A440="","",IFERROR(VLOOKUP($A440,库存台账!$A$5:$Y$1204,25,0),0))</f>
        <v/>
      </c>
      <c r="N440" s="19">
        <f>IF($A440="","",IFERROR(LOOKUP(2,1/((出库单!$D$4:$D$4003=$A440)*(出库单!$T$4:$T$4003="正常")),出库单!$C$4:$C$4003),""))</f>
        <v/>
      </c>
      <c r="O440" s="28">
        <f>IF($A440="","",IF($L440&lt;=0,"",IF($N440="",IFERROR(账期止-LOOKUP(2,1/(入库单!$G$4:$G$2503=$A440),入库单!$C$4:$C$2503),""),账期止-$N440)))</f>
        <v/>
      </c>
      <c r="P440" s="17" t="n"/>
    </row>
    <row r="441">
      <c r="A441" s="17" t="inlineStr">
        <is>
          <t>JH0438</t>
        </is>
      </c>
      <c r="B441" s="17" t="inlineStr">
        <is>
          <t>电缆电气</t>
        </is>
      </c>
      <c r="C441" s="17" t="inlineStr">
        <is>
          <t>电机7.5KW-4</t>
        </is>
      </c>
      <c r="D441" s="17" t="inlineStr">
        <is>
          <t>2SZZ1536</t>
        </is>
      </c>
      <c r="E441" s="17" t="inlineStr">
        <is>
          <t>台</t>
        </is>
      </c>
      <c r="F441" s="17" t="inlineStr">
        <is>
          <t>否</t>
        </is>
      </c>
      <c r="G441" s="23" t="n"/>
      <c r="H441" s="24">
        <f>IF($A441="","",IFERROR(LOOKUP(2,1/((入库单!$G$4:$G$2503=$A441)*(入库单!$Y$4:$Y$2503="正常")*(入库单!$L$4:$L$2503&gt;0)),入库单!$D$4:$D$2503),""))</f>
        <v/>
      </c>
      <c r="I441" s="25">
        <f>IF($A441="","",IFERROR(LOOKUP(2,1/((入库单!$G$4:$G$2503=$A441)*(入库单!$Y$4:$Y$2503="正常")*(入库单!$L$4:$L$2503&gt;0)),入库单!$L$4:$L$2503),0))</f>
        <v/>
      </c>
      <c r="J441" s="26">
        <f>IF($A441="","",IF($H441="A国内",ROUND($I441*倍数A*汇率,0),IF($H441="B当地",ROUND($I441*系数B,0),0)))</f>
        <v/>
      </c>
      <c r="K441" s="24">
        <f>IF($A441="","",IF(COUNTIFS(入库单!$G$4:$G$2503,$A441,入库单!$X$4:$X$2503,"待补价")&gt;0,"待补价",IF(COUNTIFS(入库单!$G$4:$G$2503,$A441,入库单!$X$4:$X$2503,"暂估")&gt;0,"暂估",IF($I441=0,"没有进价","正常"))))</f>
        <v/>
      </c>
      <c r="L441" s="27">
        <f>IF($A441="","",IFERROR(VLOOKUP($A441,库存台账!$A$5:$Y$1204,24,0),0))</f>
        <v/>
      </c>
      <c r="M441" s="26">
        <f>IF($A441="","",IFERROR(VLOOKUP($A441,库存台账!$A$5:$Y$1204,25,0),0))</f>
        <v/>
      </c>
      <c r="N441" s="19">
        <f>IF($A441="","",IFERROR(LOOKUP(2,1/((出库单!$D$4:$D$4003=$A441)*(出库单!$T$4:$T$4003="正常")),出库单!$C$4:$C$4003),""))</f>
        <v/>
      </c>
      <c r="O441" s="28">
        <f>IF($A441="","",IF($L441&lt;=0,"",IF($N441="",IFERROR(账期止-LOOKUP(2,1/(入库单!$G$4:$G$2503=$A441),入库单!$C$4:$C$2503),""),账期止-$N441)))</f>
        <v/>
      </c>
      <c r="P441" s="17" t="n"/>
    </row>
    <row r="442">
      <c r="A442" s="17" t="inlineStr">
        <is>
          <t>JH0439</t>
        </is>
      </c>
      <c r="B442" s="17" t="inlineStr">
        <is>
          <t>机械配件</t>
        </is>
      </c>
      <c r="C442" s="17" t="inlineStr">
        <is>
          <t>筛网16*1600*1960</t>
        </is>
      </c>
      <c r="D442" s="17" t="inlineStr">
        <is>
          <t>2SZZ1536</t>
        </is>
      </c>
      <c r="E442" s="17" t="inlineStr">
        <is>
          <t>张</t>
        </is>
      </c>
      <c r="F442" s="17" t="inlineStr">
        <is>
          <t>否</t>
        </is>
      </c>
      <c r="G442" s="23" t="n"/>
      <c r="H442" s="24">
        <f>IF($A442="","",IFERROR(LOOKUP(2,1/((入库单!$G$4:$G$2503=$A442)*(入库单!$Y$4:$Y$2503="正常")*(入库单!$L$4:$L$2503&gt;0)),入库单!$D$4:$D$2503),""))</f>
        <v/>
      </c>
      <c r="I442" s="25">
        <f>IF($A442="","",IFERROR(LOOKUP(2,1/((入库单!$G$4:$G$2503=$A442)*(入库单!$Y$4:$Y$2503="正常")*(入库单!$L$4:$L$2503&gt;0)),入库单!$L$4:$L$2503),0))</f>
        <v/>
      </c>
      <c r="J442" s="26">
        <f>IF($A442="","",IF($H442="A国内",ROUND($I442*倍数A*汇率,0),IF($H442="B当地",ROUND($I442*系数B,0),0)))</f>
        <v/>
      </c>
      <c r="K442" s="24">
        <f>IF($A442="","",IF(COUNTIFS(入库单!$G$4:$G$2503,$A442,入库单!$X$4:$X$2503,"待补价")&gt;0,"待补价",IF(COUNTIFS(入库单!$G$4:$G$2503,$A442,入库单!$X$4:$X$2503,"暂估")&gt;0,"暂估",IF($I442=0,"没有进价","正常"))))</f>
        <v/>
      </c>
      <c r="L442" s="27">
        <f>IF($A442="","",IFERROR(VLOOKUP($A442,库存台账!$A$5:$Y$1204,24,0),0))</f>
        <v/>
      </c>
      <c r="M442" s="26">
        <f>IF($A442="","",IFERROR(VLOOKUP($A442,库存台账!$A$5:$Y$1204,25,0),0))</f>
        <v/>
      </c>
      <c r="N442" s="19">
        <f>IF($A442="","",IFERROR(LOOKUP(2,1/((出库单!$D$4:$D$4003=$A442)*(出库单!$T$4:$T$4003="正常")),出库单!$C$4:$C$4003),""))</f>
        <v/>
      </c>
      <c r="O442" s="28">
        <f>IF($A442="","",IF($L442&lt;=0,"",IF($N442="",IFERROR(账期止-LOOKUP(2,1/(入库单!$G$4:$G$2503=$A442),入库单!$C$4:$C$2503),""),账期止-$N442)))</f>
        <v/>
      </c>
      <c r="P442" s="17" t="n"/>
    </row>
    <row r="443">
      <c r="A443" s="17" t="inlineStr">
        <is>
          <t>JH0440</t>
        </is>
      </c>
      <c r="B443" s="17" t="inlineStr">
        <is>
          <t>机械配件</t>
        </is>
      </c>
      <c r="C443" s="17" t="inlineStr">
        <is>
          <t>筛网40*1600*1960</t>
        </is>
      </c>
      <c r="D443" s="17" t="inlineStr">
        <is>
          <t>2SZZ1536</t>
        </is>
      </c>
      <c r="E443" s="17" t="inlineStr">
        <is>
          <t>张</t>
        </is>
      </c>
      <c r="F443" s="17" t="inlineStr">
        <is>
          <t>否</t>
        </is>
      </c>
      <c r="G443" s="23" t="n"/>
      <c r="H443" s="24">
        <f>IF($A443="","",IFERROR(LOOKUP(2,1/((入库单!$G$4:$G$2503=$A443)*(入库单!$Y$4:$Y$2503="正常")*(入库单!$L$4:$L$2503&gt;0)),入库单!$D$4:$D$2503),""))</f>
        <v/>
      </c>
      <c r="I443" s="25">
        <f>IF($A443="","",IFERROR(LOOKUP(2,1/((入库单!$G$4:$G$2503=$A443)*(入库单!$Y$4:$Y$2503="正常")*(入库单!$L$4:$L$2503&gt;0)),入库单!$L$4:$L$2503),0))</f>
        <v/>
      </c>
      <c r="J443" s="26">
        <f>IF($A443="","",IF($H443="A国内",ROUND($I443*倍数A*汇率,0),IF($H443="B当地",ROUND($I443*系数B,0),0)))</f>
        <v/>
      </c>
      <c r="K443" s="24">
        <f>IF($A443="","",IF(COUNTIFS(入库单!$G$4:$G$2503,$A443,入库单!$X$4:$X$2503,"待补价")&gt;0,"待补价",IF(COUNTIFS(入库单!$G$4:$G$2503,$A443,入库单!$X$4:$X$2503,"暂估")&gt;0,"暂估",IF($I443=0,"没有进价","正常"))))</f>
        <v/>
      </c>
      <c r="L443" s="27">
        <f>IF($A443="","",IFERROR(VLOOKUP($A443,库存台账!$A$5:$Y$1204,24,0),0))</f>
        <v/>
      </c>
      <c r="M443" s="26">
        <f>IF($A443="","",IFERROR(VLOOKUP($A443,库存台账!$A$5:$Y$1204,25,0),0))</f>
        <v/>
      </c>
      <c r="N443" s="19">
        <f>IF($A443="","",IFERROR(LOOKUP(2,1/((出库单!$D$4:$D$4003=$A443)*(出库单!$T$4:$T$4003="正常")),出库单!$C$4:$C$4003),""))</f>
        <v/>
      </c>
      <c r="O443" s="28">
        <f>IF($A443="","",IF($L443&lt;=0,"",IF($N443="",IFERROR(账期止-LOOKUP(2,1/(入库单!$G$4:$G$2503=$A443),入库单!$C$4:$C$2503),""),账期止-$N443)))</f>
        <v/>
      </c>
      <c r="P443" s="17" t="n"/>
    </row>
    <row r="444">
      <c r="A444" s="17" t="inlineStr">
        <is>
          <t>JH0441</t>
        </is>
      </c>
      <c r="B444" s="17" t="inlineStr">
        <is>
          <t>机械配件</t>
        </is>
      </c>
      <c r="C444" s="17" t="inlineStr">
        <is>
          <t>三角带B2500</t>
        </is>
      </c>
      <c r="D444" s="17" t="inlineStr">
        <is>
          <t>2SZZ1536</t>
        </is>
      </c>
      <c r="E444" s="17" t="inlineStr">
        <is>
          <t>条</t>
        </is>
      </c>
      <c r="F444" s="17" t="inlineStr">
        <is>
          <t>否</t>
        </is>
      </c>
      <c r="G444" s="23" t="n"/>
      <c r="H444" s="24">
        <f>IF($A444="","",IFERROR(LOOKUP(2,1/((入库单!$G$4:$G$2503=$A444)*(入库单!$Y$4:$Y$2503="正常")*(入库单!$L$4:$L$2503&gt;0)),入库单!$D$4:$D$2503),""))</f>
        <v/>
      </c>
      <c r="I444" s="25">
        <f>IF($A444="","",IFERROR(LOOKUP(2,1/((入库单!$G$4:$G$2503=$A444)*(入库单!$Y$4:$Y$2503="正常")*(入库单!$L$4:$L$2503&gt;0)),入库单!$L$4:$L$2503),0))</f>
        <v/>
      </c>
      <c r="J444" s="26">
        <f>IF($A444="","",IF($H444="A国内",ROUND($I444*倍数A*汇率,0),IF($H444="B当地",ROUND($I444*系数B,0),0)))</f>
        <v/>
      </c>
      <c r="K444" s="24">
        <f>IF($A444="","",IF(COUNTIFS(入库单!$G$4:$G$2503,$A444,入库单!$X$4:$X$2503,"待补价")&gt;0,"待补价",IF(COUNTIFS(入库单!$G$4:$G$2503,$A444,入库单!$X$4:$X$2503,"暂估")&gt;0,"暂估",IF($I444=0,"没有进价","正常"))))</f>
        <v/>
      </c>
      <c r="L444" s="27">
        <f>IF($A444="","",IFERROR(VLOOKUP($A444,库存台账!$A$5:$Y$1204,24,0),0))</f>
        <v/>
      </c>
      <c r="M444" s="26">
        <f>IF($A444="","",IFERROR(VLOOKUP($A444,库存台账!$A$5:$Y$1204,25,0),0))</f>
        <v/>
      </c>
      <c r="N444" s="19">
        <f>IF($A444="","",IFERROR(LOOKUP(2,1/((出库单!$D$4:$D$4003=$A444)*(出库单!$T$4:$T$4003="正常")),出库单!$C$4:$C$4003),""))</f>
        <v/>
      </c>
      <c r="O444" s="28">
        <f>IF($A444="","",IF($L444&lt;=0,"",IF($N444="",IFERROR(账期止-LOOKUP(2,1/(入库单!$G$4:$G$2503=$A444),入库单!$C$4:$C$2503),""),账期止-$N444)))</f>
        <v/>
      </c>
      <c r="P444" s="17" t="n"/>
    </row>
    <row r="445">
      <c r="A445" s="17" t="inlineStr">
        <is>
          <t>JH0442</t>
        </is>
      </c>
      <c r="B445" s="17" t="inlineStr">
        <is>
          <t>机械配件</t>
        </is>
      </c>
      <c r="C445" s="17" t="inlineStr">
        <is>
          <t>弹簧</t>
        </is>
      </c>
      <c r="D445" s="17" t="inlineStr">
        <is>
          <t>2SZZ1536</t>
        </is>
      </c>
      <c r="E445" s="17" t="inlineStr">
        <is>
          <t>件</t>
        </is>
      </c>
      <c r="F445" s="17" t="inlineStr">
        <is>
          <t>否</t>
        </is>
      </c>
      <c r="G445" s="23" t="n"/>
      <c r="H445" s="24">
        <f>IF($A445="","",IFERROR(LOOKUP(2,1/((入库单!$G$4:$G$2503=$A445)*(入库单!$Y$4:$Y$2503="正常")*(入库单!$L$4:$L$2503&gt;0)),入库单!$D$4:$D$2503),""))</f>
        <v/>
      </c>
      <c r="I445" s="25">
        <f>IF($A445="","",IFERROR(LOOKUP(2,1/((入库单!$G$4:$G$2503=$A445)*(入库单!$Y$4:$Y$2503="正常")*(入库单!$L$4:$L$2503&gt;0)),入库单!$L$4:$L$2503),0))</f>
        <v/>
      </c>
      <c r="J445" s="26">
        <f>IF($A445="","",IF($H445="A国内",ROUND($I445*倍数A*汇率,0),IF($H445="B当地",ROUND($I445*系数B,0),0)))</f>
        <v/>
      </c>
      <c r="K445" s="24">
        <f>IF($A445="","",IF(COUNTIFS(入库单!$G$4:$G$2503,$A445,入库单!$X$4:$X$2503,"待补价")&gt;0,"待补价",IF(COUNTIFS(入库单!$G$4:$G$2503,$A445,入库单!$X$4:$X$2503,"暂估")&gt;0,"暂估",IF($I445=0,"没有进价","正常"))))</f>
        <v/>
      </c>
      <c r="L445" s="27">
        <f>IF($A445="","",IFERROR(VLOOKUP($A445,库存台账!$A$5:$Y$1204,24,0),0))</f>
        <v/>
      </c>
      <c r="M445" s="26">
        <f>IF($A445="","",IFERROR(VLOOKUP($A445,库存台账!$A$5:$Y$1204,25,0),0))</f>
        <v/>
      </c>
      <c r="N445" s="19">
        <f>IF($A445="","",IFERROR(LOOKUP(2,1/((出库单!$D$4:$D$4003=$A445)*(出库单!$T$4:$T$4003="正常")),出库单!$C$4:$C$4003),""))</f>
        <v/>
      </c>
      <c r="O445" s="28">
        <f>IF($A445="","",IF($L445&lt;=0,"",IF($N445="",IFERROR(账期止-LOOKUP(2,1/(入库单!$G$4:$G$2503=$A445),入库单!$C$4:$C$2503),""),账期止-$N445)))</f>
        <v/>
      </c>
      <c r="P445" s="17" t="n"/>
    </row>
    <row r="446">
      <c r="A446" s="17" t="inlineStr">
        <is>
          <t>JH0443</t>
        </is>
      </c>
      <c r="B446" s="17" t="inlineStr">
        <is>
          <t>机械设备</t>
        </is>
      </c>
      <c r="C446" s="17" t="inlineStr">
        <is>
          <t>联轴器</t>
        </is>
      </c>
      <c r="D446" s="17" t="inlineStr">
        <is>
          <t>600*600摆式给矿机</t>
        </is>
      </c>
      <c r="E446" s="17" t="inlineStr">
        <is>
          <t>付</t>
        </is>
      </c>
      <c r="F446" s="17" t="inlineStr">
        <is>
          <t>否</t>
        </is>
      </c>
      <c r="G446" s="23" t="n"/>
      <c r="H446" s="24">
        <f>IF($A446="","",IFERROR(LOOKUP(2,1/((入库单!$G$4:$G$2503=$A446)*(入库单!$Y$4:$Y$2503="正常")*(入库单!$L$4:$L$2503&gt;0)),入库单!$D$4:$D$2503),""))</f>
        <v/>
      </c>
      <c r="I446" s="25">
        <f>IF($A446="","",IFERROR(LOOKUP(2,1/((入库单!$G$4:$G$2503=$A446)*(入库单!$Y$4:$Y$2503="正常")*(入库单!$L$4:$L$2503&gt;0)),入库单!$L$4:$L$2503),0))</f>
        <v/>
      </c>
      <c r="J446" s="26">
        <f>IF($A446="","",IF($H446="A国内",ROUND($I446*倍数A*汇率,0),IF($H446="B当地",ROUND($I446*系数B,0),0)))</f>
        <v/>
      </c>
      <c r="K446" s="24">
        <f>IF($A446="","",IF(COUNTIFS(入库单!$G$4:$G$2503,$A446,入库单!$X$4:$X$2503,"待补价")&gt;0,"待补价",IF(COUNTIFS(入库单!$G$4:$G$2503,$A446,入库单!$X$4:$X$2503,"暂估")&gt;0,"暂估",IF($I446=0,"没有进价","正常"))))</f>
        <v/>
      </c>
      <c r="L446" s="27">
        <f>IF($A446="","",IFERROR(VLOOKUP($A446,库存台账!$A$5:$Y$1204,24,0),0))</f>
        <v/>
      </c>
      <c r="M446" s="26">
        <f>IF($A446="","",IFERROR(VLOOKUP($A446,库存台账!$A$5:$Y$1204,25,0),0))</f>
        <v/>
      </c>
      <c r="N446" s="19">
        <f>IF($A446="","",IFERROR(LOOKUP(2,1/((出库单!$D$4:$D$4003=$A446)*(出库单!$T$4:$T$4003="正常")),出库单!$C$4:$C$4003),""))</f>
        <v/>
      </c>
      <c r="O446" s="28">
        <f>IF($A446="","",IF($L446&lt;=0,"",IF($N446="",IFERROR(账期止-LOOKUP(2,1/(入库单!$G$4:$G$2503=$A446),入库单!$C$4:$C$2503),""),账期止-$N446)))</f>
        <v/>
      </c>
      <c r="P446" s="17" t="n"/>
    </row>
    <row r="447">
      <c r="A447" s="17" t="inlineStr">
        <is>
          <t>JH0444</t>
        </is>
      </c>
      <c r="B447" s="17" t="inlineStr">
        <is>
          <t>机械设备</t>
        </is>
      </c>
      <c r="C447" s="17" t="inlineStr">
        <is>
          <t>五花垫</t>
        </is>
      </c>
      <c r="D447" s="17" t="inlineStr">
        <is>
          <t>600*600摆式给矿机</t>
        </is>
      </c>
      <c r="E447" s="17" t="inlineStr">
        <is>
          <t>个</t>
        </is>
      </c>
      <c r="F447" s="17" t="inlineStr">
        <is>
          <t>否</t>
        </is>
      </c>
      <c r="G447" s="23" t="n"/>
      <c r="H447" s="24">
        <f>IF($A447="","",IFERROR(LOOKUP(2,1/((入库单!$G$4:$G$2503=$A447)*(入库单!$Y$4:$Y$2503="正常")*(入库单!$L$4:$L$2503&gt;0)),入库单!$D$4:$D$2503),""))</f>
        <v/>
      </c>
      <c r="I447" s="25">
        <f>IF($A447="","",IFERROR(LOOKUP(2,1/((入库单!$G$4:$G$2503=$A447)*(入库单!$Y$4:$Y$2503="正常")*(入库单!$L$4:$L$2503&gt;0)),入库单!$L$4:$L$2503),0))</f>
        <v/>
      </c>
      <c r="J447" s="26">
        <f>IF($A447="","",IF($H447="A国内",ROUND($I447*倍数A*汇率,0),IF($H447="B当地",ROUND($I447*系数B,0),0)))</f>
        <v/>
      </c>
      <c r="K447" s="24">
        <f>IF($A447="","",IF(COUNTIFS(入库单!$G$4:$G$2503,$A447,入库单!$X$4:$X$2503,"待补价")&gt;0,"待补价",IF(COUNTIFS(入库单!$G$4:$G$2503,$A447,入库单!$X$4:$X$2503,"暂估")&gt;0,"暂估",IF($I447=0,"没有进价","正常"))))</f>
        <v/>
      </c>
      <c r="L447" s="27">
        <f>IF($A447="","",IFERROR(VLOOKUP($A447,库存台账!$A$5:$Y$1204,24,0),0))</f>
        <v/>
      </c>
      <c r="M447" s="26">
        <f>IF($A447="","",IFERROR(VLOOKUP($A447,库存台账!$A$5:$Y$1204,25,0),0))</f>
        <v/>
      </c>
      <c r="N447" s="19">
        <f>IF($A447="","",IFERROR(LOOKUP(2,1/((出库单!$D$4:$D$4003=$A447)*(出库单!$T$4:$T$4003="正常")),出库单!$C$4:$C$4003),""))</f>
        <v/>
      </c>
      <c r="O447" s="28">
        <f>IF($A447="","",IF($L447&lt;=0,"",IF($N447="",IFERROR(账期止-LOOKUP(2,1/(入库单!$G$4:$G$2503=$A447),入库单!$C$4:$C$2503),""),账期止-$N447)))</f>
        <v/>
      </c>
      <c r="P447" s="17" t="n"/>
    </row>
    <row r="448">
      <c r="A448" s="17" t="inlineStr">
        <is>
          <t>JH0445</t>
        </is>
      </c>
      <c r="B448" s="17" t="inlineStr">
        <is>
          <t>机械设备</t>
        </is>
      </c>
      <c r="C448" s="17" t="inlineStr">
        <is>
          <t>联轴器</t>
        </is>
      </c>
      <c r="D448" s="17" t="inlineStr">
        <is>
          <t>槽式给矿机</t>
        </is>
      </c>
      <c r="E448" s="17" t="inlineStr">
        <is>
          <t>付</t>
        </is>
      </c>
      <c r="F448" s="17" t="inlineStr">
        <is>
          <t>否</t>
        </is>
      </c>
      <c r="G448" s="23" t="n"/>
      <c r="H448" s="24">
        <f>IF($A448="","",IFERROR(LOOKUP(2,1/((入库单!$G$4:$G$2503=$A448)*(入库单!$Y$4:$Y$2503="正常")*(入库单!$L$4:$L$2503&gt;0)),入库单!$D$4:$D$2503),""))</f>
        <v/>
      </c>
      <c r="I448" s="25">
        <f>IF($A448="","",IFERROR(LOOKUP(2,1/((入库单!$G$4:$G$2503=$A448)*(入库单!$Y$4:$Y$2503="正常")*(入库单!$L$4:$L$2503&gt;0)),入库单!$L$4:$L$2503),0))</f>
        <v/>
      </c>
      <c r="J448" s="26">
        <f>IF($A448="","",IF($H448="A国内",ROUND($I448*倍数A*汇率,0),IF($H448="B当地",ROUND($I448*系数B,0),0)))</f>
        <v/>
      </c>
      <c r="K448" s="24">
        <f>IF($A448="","",IF(COUNTIFS(入库单!$G$4:$G$2503,$A448,入库单!$X$4:$X$2503,"待补价")&gt;0,"待补价",IF(COUNTIFS(入库单!$G$4:$G$2503,$A448,入库单!$X$4:$X$2503,"暂估")&gt;0,"暂估",IF($I448=0,"没有进价","正常"))))</f>
        <v/>
      </c>
      <c r="L448" s="27">
        <f>IF($A448="","",IFERROR(VLOOKUP($A448,库存台账!$A$5:$Y$1204,24,0),0))</f>
        <v/>
      </c>
      <c r="M448" s="26">
        <f>IF($A448="","",IFERROR(VLOOKUP($A448,库存台账!$A$5:$Y$1204,25,0),0))</f>
        <v/>
      </c>
      <c r="N448" s="19">
        <f>IF($A448="","",IFERROR(LOOKUP(2,1/((出库单!$D$4:$D$4003=$A448)*(出库单!$T$4:$T$4003="正常")),出库单!$C$4:$C$4003),""))</f>
        <v/>
      </c>
      <c r="O448" s="28">
        <f>IF($A448="","",IF($L448&lt;=0,"",IF($N448="",IFERROR(账期止-LOOKUP(2,1/(入库单!$G$4:$G$2503=$A448),入库单!$C$4:$C$2503),""),账期止-$N448)))</f>
        <v/>
      </c>
      <c r="P448" s="17" t="n"/>
    </row>
    <row r="449">
      <c r="A449" s="17" t="inlineStr">
        <is>
          <t>JH0446</t>
        </is>
      </c>
      <c r="B449" s="17" t="inlineStr">
        <is>
          <t>钢材</t>
        </is>
      </c>
      <c r="C449" s="17" t="inlineStr">
        <is>
          <t>钢板</t>
        </is>
      </c>
      <c r="D449" s="17" t="inlineStr">
        <is>
          <t>δ14*2290*8750</t>
        </is>
      </c>
      <c r="E449" s="17" t="inlineStr">
        <is>
          <t>张</t>
        </is>
      </c>
      <c r="F449" s="17" t="inlineStr">
        <is>
          <t>否</t>
        </is>
      </c>
      <c r="G449" s="23" t="n"/>
      <c r="H449" s="24">
        <f>IF($A449="","",IFERROR(LOOKUP(2,1/((入库单!$G$4:$G$2503=$A449)*(入库单!$Y$4:$Y$2503="正常")*(入库单!$L$4:$L$2503&gt;0)),入库单!$D$4:$D$2503),""))</f>
        <v/>
      </c>
      <c r="I449" s="25">
        <f>IF($A449="","",IFERROR(LOOKUP(2,1/((入库单!$G$4:$G$2503=$A449)*(入库单!$Y$4:$Y$2503="正常")*(入库单!$L$4:$L$2503&gt;0)),入库单!$L$4:$L$2503),0))</f>
        <v/>
      </c>
      <c r="J449" s="26">
        <f>IF($A449="","",IF($H449="A国内",ROUND($I449*倍数A*汇率,0),IF($H449="B当地",ROUND($I449*系数B,0),0)))</f>
        <v/>
      </c>
      <c r="K449" s="24">
        <f>IF($A449="","",IF(COUNTIFS(入库单!$G$4:$G$2503,$A449,入库单!$X$4:$X$2503,"待补价")&gt;0,"待补价",IF(COUNTIFS(入库单!$G$4:$G$2503,$A449,入库单!$X$4:$X$2503,"暂估")&gt;0,"暂估",IF($I449=0,"没有进价","正常"))))</f>
        <v/>
      </c>
      <c r="L449" s="27">
        <f>IF($A449="","",IFERROR(VLOOKUP($A449,库存台账!$A$5:$Y$1204,24,0),0))</f>
        <v/>
      </c>
      <c r="M449" s="26">
        <f>IF($A449="","",IFERROR(VLOOKUP($A449,库存台账!$A$5:$Y$1204,25,0),0))</f>
        <v/>
      </c>
      <c r="N449" s="19">
        <f>IF($A449="","",IFERROR(LOOKUP(2,1/((出库单!$D$4:$D$4003=$A449)*(出库单!$T$4:$T$4003="正常")),出库单!$C$4:$C$4003),""))</f>
        <v/>
      </c>
      <c r="O449" s="28">
        <f>IF($A449="","",IF($L449&lt;=0,"",IF($N449="",IFERROR(账期止-LOOKUP(2,1/(入库单!$G$4:$G$2503=$A449),入库单!$C$4:$C$2503),""),账期止-$N449)))</f>
        <v/>
      </c>
      <c r="P449" s="17" t="n"/>
    </row>
    <row r="450">
      <c r="A450" s="17" t="inlineStr">
        <is>
          <t>JH0447</t>
        </is>
      </c>
      <c r="B450" s="17" t="inlineStr">
        <is>
          <t>钢材</t>
        </is>
      </c>
      <c r="C450" s="17" t="inlineStr">
        <is>
          <t>钢板</t>
        </is>
      </c>
      <c r="D450" s="17" t="inlineStr">
        <is>
          <t>δ16*2270*4000</t>
        </is>
      </c>
      <c r="E450" s="17" t="inlineStr">
        <is>
          <t>张</t>
        </is>
      </c>
      <c r="F450" s="17" t="inlineStr">
        <is>
          <t>否</t>
        </is>
      </c>
      <c r="G450" s="23" t="n"/>
      <c r="H450" s="24">
        <f>IF($A450="","",IFERROR(LOOKUP(2,1/((入库单!$G$4:$G$2503=$A450)*(入库单!$Y$4:$Y$2503="正常")*(入库单!$L$4:$L$2503&gt;0)),入库单!$D$4:$D$2503),""))</f>
        <v/>
      </c>
      <c r="I450" s="25">
        <f>IF($A450="","",IFERROR(LOOKUP(2,1/((入库单!$G$4:$G$2503=$A450)*(入库单!$Y$4:$Y$2503="正常")*(入库单!$L$4:$L$2503&gt;0)),入库单!$L$4:$L$2503),0))</f>
        <v/>
      </c>
      <c r="J450" s="26">
        <f>IF($A450="","",IF($H450="A国内",ROUND($I450*倍数A*汇率,0),IF($H450="B当地",ROUND($I450*系数B,0),0)))</f>
        <v/>
      </c>
      <c r="K450" s="24">
        <f>IF($A450="","",IF(COUNTIFS(入库单!$G$4:$G$2503,$A450,入库单!$X$4:$X$2503,"待补价")&gt;0,"待补价",IF(COUNTIFS(入库单!$G$4:$G$2503,$A450,入库单!$X$4:$X$2503,"暂估")&gt;0,"暂估",IF($I450=0,"没有进价","正常"))))</f>
        <v/>
      </c>
      <c r="L450" s="27">
        <f>IF($A450="","",IFERROR(VLOOKUP($A450,库存台账!$A$5:$Y$1204,24,0),0))</f>
        <v/>
      </c>
      <c r="M450" s="26">
        <f>IF($A450="","",IFERROR(VLOOKUP($A450,库存台账!$A$5:$Y$1204,25,0),0))</f>
        <v/>
      </c>
      <c r="N450" s="19">
        <f>IF($A450="","",IFERROR(LOOKUP(2,1/((出库单!$D$4:$D$4003=$A450)*(出库单!$T$4:$T$4003="正常")),出库单!$C$4:$C$4003),""))</f>
        <v/>
      </c>
      <c r="O450" s="28">
        <f>IF($A450="","",IF($L450&lt;=0,"",IF($N450="",IFERROR(账期止-LOOKUP(2,1/(入库单!$G$4:$G$2503=$A450),入库单!$C$4:$C$2503),""),账期止-$N450)))</f>
        <v/>
      </c>
      <c r="P450" s="17" t="n"/>
    </row>
    <row r="451">
      <c r="A451" s="17" t="inlineStr">
        <is>
          <t>JH0448</t>
        </is>
      </c>
      <c r="B451" s="17" t="inlineStr">
        <is>
          <t>机械设备</t>
        </is>
      </c>
      <c r="C451" s="17" t="inlineStr">
        <is>
          <t>固定牙板</t>
        </is>
      </c>
      <c r="D451" s="17" t="inlineStr">
        <is>
          <t>PE400×600破碎机配件</t>
        </is>
      </c>
      <c r="E451" s="17" t="inlineStr">
        <is>
          <t>件</t>
        </is>
      </c>
      <c r="F451" s="17" t="inlineStr">
        <is>
          <t>否</t>
        </is>
      </c>
      <c r="G451" s="23" t="n"/>
      <c r="H451" s="24">
        <f>IF($A451="","",IFERROR(LOOKUP(2,1/((入库单!$G$4:$G$2503=$A451)*(入库单!$Y$4:$Y$2503="正常")*(入库单!$L$4:$L$2503&gt;0)),入库单!$D$4:$D$2503),""))</f>
        <v/>
      </c>
      <c r="I451" s="25">
        <f>IF($A451="","",IFERROR(LOOKUP(2,1/((入库单!$G$4:$G$2503=$A451)*(入库单!$Y$4:$Y$2503="正常")*(入库单!$L$4:$L$2503&gt;0)),入库单!$L$4:$L$2503),0))</f>
        <v/>
      </c>
      <c r="J451" s="26">
        <f>IF($A451="","",IF($H451="A国内",ROUND($I451*倍数A*汇率,0),IF($H451="B当地",ROUND($I451*系数B,0),0)))</f>
        <v/>
      </c>
      <c r="K451" s="24">
        <f>IF($A451="","",IF(COUNTIFS(入库单!$G$4:$G$2503,$A451,入库单!$X$4:$X$2503,"待补价")&gt;0,"待补价",IF(COUNTIFS(入库单!$G$4:$G$2503,$A451,入库单!$X$4:$X$2503,"暂估")&gt;0,"暂估",IF($I451=0,"没有进价","正常"))))</f>
        <v/>
      </c>
      <c r="L451" s="27">
        <f>IF($A451="","",IFERROR(VLOOKUP($A451,库存台账!$A$5:$Y$1204,24,0),0))</f>
        <v/>
      </c>
      <c r="M451" s="26">
        <f>IF($A451="","",IFERROR(VLOOKUP($A451,库存台账!$A$5:$Y$1204,25,0),0))</f>
        <v/>
      </c>
      <c r="N451" s="19">
        <f>IF($A451="","",IFERROR(LOOKUP(2,1/((出库单!$D$4:$D$4003=$A451)*(出库单!$T$4:$T$4003="正常")),出库单!$C$4:$C$4003),""))</f>
        <v/>
      </c>
      <c r="O451" s="28">
        <f>IF($A451="","",IF($L451&lt;=0,"",IF($N451="",IFERROR(账期止-LOOKUP(2,1/(入库单!$G$4:$G$2503=$A451),入库单!$C$4:$C$2503),""),账期止-$N451)))</f>
        <v/>
      </c>
      <c r="P451" s="17" t="n"/>
    </row>
    <row r="452">
      <c r="A452" s="17" t="inlineStr">
        <is>
          <t>JH0449</t>
        </is>
      </c>
      <c r="B452" s="17" t="inlineStr">
        <is>
          <t>机械设备</t>
        </is>
      </c>
      <c r="C452" s="17" t="inlineStr">
        <is>
          <t>边护板</t>
        </is>
      </c>
      <c r="D452" s="17" t="inlineStr">
        <is>
          <t>PE400×600破碎机配件</t>
        </is>
      </c>
      <c r="E452" s="17" t="inlineStr">
        <is>
          <t>付</t>
        </is>
      </c>
      <c r="F452" s="17" t="inlineStr">
        <is>
          <t>否</t>
        </is>
      </c>
      <c r="G452" s="23" t="n"/>
      <c r="H452" s="24">
        <f>IF($A452="","",IFERROR(LOOKUP(2,1/((入库单!$G$4:$G$2503=$A452)*(入库单!$Y$4:$Y$2503="正常")*(入库单!$L$4:$L$2503&gt;0)),入库单!$D$4:$D$2503),""))</f>
        <v/>
      </c>
      <c r="I452" s="25">
        <f>IF($A452="","",IFERROR(LOOKUP(2,1/((入库单!$G$4:$G$2503=$A452)*(入库单!$Y$4:$Y$2503="正常")*(入库单!$L$4:$L$2503&gt;0)),入库单!$L$4:$L$2503),0))</f>
        <v/>
      </c>
      <c r="J452" s="26">
        <f>IF($A452="","",IF($H452="A国内",ROUND($I452*倍数A*汇率,0),IF($H452="B当地",ROUND($I452*系数B,0),0)))</f>
        <v/>
      </c>
      <c r="K452" s="24">
        <f>IF($A452="","",IF(COUNTIFS(入库单!$G$4:$G$2503,$A452,入库单!$X$4:$X$2503,"待补价")&gt;0,"待补价",IF(COUNTIFS(入库单!$G$4:$G$2503,$A452,入库单!$X$4:$X$2503,"暂估")&gt;0,"暂估",IF($I452=0,"没有进价","正常"))))</f>
        <v/>
      </c>
      <c r="L452" s="27">
        <f>IF($A452="","",IFERROR(VLOOKUP($A452,库存台账!$A$5:$Y$1204,24,0),0))</f>
        <v/>
      </c>
      <c r="M452" s="26">
        <f>IF($A452="","",IFERROR(VLOOKUP($A452,库存台账!$A$5:$Y$1204,25,0),0))</f>
        <v/>
      </c>
      <c r="N452" s="19">
        <f>IF($A452="","",IFERROR(LOOKUP(2,1/((出库单!$D$4:$D$4003=$A452)*(出库单!$T$4:$T$4003="正常")),出库单!$C$4:$C$4003),""))</f>
        <v/>
      </c>
      <c r="O452" s="28">
        <f>IF($A452="","",IF($L452&lt;=0,"",IF($N452="",IFERROR(账期止-LOOKUP(2,1/(入库单!$G$4:$G$2503=$A452),入库单!$C$4:$C$2503),""),账期止-$N452)))</f>
        <v/>
      </c>
      <c r="P452" s="17" t="n"/>
    </row>
    <row r="453">
      <c r="A453" s="17" t="inlineStr">
        <is>
          <t>JH0450</t>
        </is>
      </c>
      <c r="B453" s="17" t="inlineStr">
        <is>
          <t>电缆电气</t>
        </is>
      </c>
      <c r="C453" s="17" t="inlineStr">
        <is>
          <t>配件电机30KW-6</t>
        </is>
      </c>
      <c r="D453" s="17" t="inlineStr">
        <is>
          <t>PE400×600破碎机配件</t>
        </is>
      </c>
      <c r="E453" s="17" t="inlineStr">
        <is>
          <t>台</t>
        </is>
      </c>
      <c r="F453" s="17" t="inlineStr">
        <is>
          <t>否</t>
        </is>
      </c>
      <c r="G453" s="23" t="n"/>
      <c r="H453" s="24">
        <f>IF($A453="","",IFERROR(LOOKUP(2,1/((入库单!$G$4:$G$2503=$A453)*(入库单!$Y$4:$Y$2503="正常")*(入库单!$L$4:$L$2503&gt;0)),入库单!$D$4:$D$2503),""))</f>
        <v/>
      </c>
      <c r="I453" s="25">
        <f>IF($A453="","",IFERROR(LOOKUP(2,1/((入库单!$G$4:$G$2503=$A453)*(入库单!$Y$4:$Y$2503="正常")*(入库单!$L$4:$L$2503&gt;0)),入库单!$L$4:$L$2503),0))</f>
        <v/>
      </c>
      <c r="J453" s="26">
        <f>IF($A453="","",IF($H453="A国内",ROUND($I453*倍数A*汇率,0),IF($H453="B当地",ROUND($I453*系数B,0),0)))</f>
        <v/>
      </c>
      <c r="K453" s="24">
        <f>IF($A453="","",IF(COUNTIFS(入库单!$G$4:$G$2503,$A453,入库单!$X$4:$X$2503,"待补价")&gt;0,"待补价",IF(COUNTIFS(入库单!$G$4:$G$2503,$A453,入库单!$X$4:$X$2503,"暂估")&gt;0,"暂估",IF($I453=0,"没有进价","正常"))))</f>
        <v/>
      </c>
      <c r="L453" s="27">
        <f>IF($A453="","",IFERROR(VLOOKUP($A453,库存台账!$A$5:$Y$1204,24,0),0))</f>
        <v/>
      </c>
      <c r="M453" s="26">
        <f>IF($A453="","",IFERROR(VLOOKUP($A453,库存台账!$A$5:$Y$1204,25,0),0))</f>
        <v/>
      </c>
      <c r="N453" s="19">
        <f>IF($A453="","",IFERROR(LOOKUP(2,1/((出库单!$D$4:$D$4003=$A453)*(出库单!$T$4:$T$4003="正常")),出库单!$C$4:$C$4003),""))</f>
        <v/>
      </c>
      <c r="O453" s="28">
        <f>IF($A453="","",IF($L453&lt;=0,"",IF($N453="",IFERROR(账期止-LOOKUP(2,1/(入库单!$G$4:$G$2503=$A453),入库单!$C$4:$C$2503),""),账期止-$N453)))</f>
        <v/>
      </c>
      <c r="P453" s="17" t="n"/>
    </row>
    <row r="454">
      <c r="A454" s="17" t="inlineStr">
        <is>
          <t>JH0451</t>
        </is>
      </c>
      <c r="B454" s="17" t="inlineStr">
        <is>
          <t>机械配件</t>
        </is>
      </c>
      <c r="C454" s="17" t="inlineStr">
        <is>
          <t>固定牙板</t>
        </is>
      </c>
      <c r="D454" s="17" t="inlineStr">
        <is>
          <t>PEX250×1000配件</t>
        </is>
      </c>
      <c r="E454" s="17" t="inlineStr">
        <is>
          <t>件</t>
        </is>
      </c>
      <c r="F454" s="17" t="inlineStr">
        <is>
          <t>否</t>
        </is>
      </c>
      <c r="G454" s="23" t="n"/>
      <c r="H454" s="24">
        <f>IF($A454="","",IFERROR(LOOKUP(2,1/((入库单!$G$4:$G$2503=$A454)*(入库单!$Y$4:$Y$2503="正常")*(入库单!$L$4:$L$2503&gt;0)),入库单!$D$4:$D$2503),""))</f>
        <v/>
      </c>
      <c r="I454" s="25">
        <f>IF($A454="","",IFERROR(LOOKUP(2,1/((入库单!$G$4:$G$2503=$A454)*(入库单!$Y$4:$Y$2503="正常")*(入库单!$L$4:$L$2503&gt;0)),入库单!$L$4:$L$2503),0))</f>
        <v/>
      </c>
      <c r="J454" s="26">
        <f>IF($A454="","",IF($H454="A国内",ROUND($I454*倍数A*汇率,0),IF($H454="B当地",ROUND($I454*系数B,0),0)))</f>
        <v/>
      </c>
      <c r="K454" s="24">
        <f>IF($A454="","",IF(COUNTIFS(入库单!$G$4:$G$2503,$A454,入库单!$X$4:$X$2503,"待补价")&gt;0,"待补价",IF(COUNTIFS(入库单!$G$4:$G$2503,$A454,入库单!$X$4:$X$2503,"暂估")&gt;0,"暂估",IF($I454=0,"没有进价","正常"))))</f>
        <v/>
      </c>
      <c r="L454" s="27">
        <f>IF($A454="","",IFERROR(VLOOKUP($A454,库存台账!$A$5:$Y$1204,24,0),0))</f>
        <v/>
      </c>
      <c r="M454" s="26">
        <f>IF($A454="","",IFERROR(VLOOKUP($A454,库存台账!$A$5:$Y$1204,25,0),0))</f>
        <v/>
      </c>
      <c r="N454" s="19">
        <f>IF($A454="","",IFERROR(LOOKUP(2,1/((出库单!$D$4:$D$4003=$A454)*(出库单!$T$4:$T$4003="正常")),出库单!$C$4:$C$4003),""))</f>
        <v/>
      </c>
      <c r="O454" s="28">
        <f>IF($A454="","",IF($L454&lt;=0,"",IF($N454="",IFERROR(账期止-LOOKUP(2,1/(入库单!$G$4:$G$2503=$A454),入库单!$C$4:$C$2503),""),账期止-$N454)))</f>
        <v/>
      </c>
      <c r="P454" s="17" t="n"/>
    </row>
    <row r="455">
      <c r="A455" s="17" t="inlineStr">
        <is>
          <t>JH0452</t>
        </is>
      </c>
      <c r="B455" s="17" t="inlineStr">
        <is>
          <t>机械配件</t>
        </is>
      </c>
      <c r="C455" s="17" t="inlineStr">
        <is>
          <t>活动牙板</t>
        </is>
      </c>
      <c r="D455" s="17" t="inlineStr">
        <is>
          <t>PEX250×1000配件</t>
        </is>
      </c>
      <c r="E455" s="17" t="inlineStr">
        <is>
          <t>件</t>
        </is>
      </c>
      <c r="F455" s="17" t="inlineStr">
        <is>
          <t>否</t>
        </is>
      </c>
      <c r="G455" s="23" t="n"/>
      <c r="H455" s="24">
        <f>IF($A455="","",IFERROR(LOOKUP(2,1/((入库单!$G$4:$G$2503=$A455)*(入库单!$Y$4:$Y$2503="正常")*(入库单!$L$4:$L$2503&gt;0)),入库单!$D$4:$D$2503),""))</f>
        <v/>
      </c>
      <c r="I455" s="25">
        <f>IF($A455="","",IFERROR(LOOKUP(2,1/((入库单!$G$4:$G$2503=$A455)*(入库单!$Y$4:$Y$2503="正常")*(入库单!$L$4:$L$2503&gt;0)),入库单!$L$4:$L$2503),0))</f>
        <v/>
      </c>
      <c r="J455" s="26">
        <f>IF($A455="","",IF($H455="A国内",ROUND($I455*倍数A*汇率,0),IF($H455="B当地",ROUND($I455*系数B,0),0)))</f>
        <v/>
      </c>
      <c r="K455" s="24">
        <f>IF($A455="","",IF(COUNTIFS(入库单!$G$4:$G$2503,$A455,入库单!$X$4:$X$2503,"待补价")&gt;0,"待补价",IF(COUNTIFS(入库单!$G$4:$G$2503,$A455,入库单!$X$4:$X$2503,"暂估")&gt;0,"暂估",IF($I455=0,"没有进价","正常"))))</f>
        <v/>
      </c>
      <c r="L455" s="27">
        <f>IF($A455="","",IFERROR(VLOOKUP($A455,库存台账!$A$5:$Y$1204,24,0),0))</f>
        <v/>
      </c>
      <c r="M455" s="26">
        <f>IF($A455="","",IFERROR(VLOOKUP($A455,库存台账!$A$5:$Y$1204,25,0),0))</f>
        <v/>
      </c>
      <c r="N455" s="19">
        <f>IF($A455="","",IFERROR(LOOKUP(2,1/((出库单!$D$4:$D$4003=$A455)*(出库单!$T$4:$T$4003="正常")),出库单!$C$4:$C$4003),""))</f>
        <v/>
      </c>
      <c r="O455" s="28">
        <f>IF($A455="","",IF($L455&lt;=0,"",IF($N455="",IFERROR(账期止-LOOKUP(2,1/(入库单!$G$4:$G$2503=$A455),入库单!$C$4:$C$2503),""),账期止-$N455)))</f>
        <v/>
      </c>
      <c r="P455" s="17" t="n"/>
    </row>
    <row r="456">
      <c r="A456" s="17" t="inlineStr">
        <is>
          <t>JH0453</t>
        </is>
      </c>
      <c r="B456" s="17" t="inlineStr">
        <is>
          <t>机械配件</t>
        </is>
      </c>
      <c r="C456" s="17" t="inlineStr">
        <is>
          <t>压块</t>
        </is>
      </c>
      <c r="D456" s="17" t="inlineStr">
        <is>
          <t>PEX250×1000配件</t>
        </is>
      </c>
      <c r="E456" s="17" t="inlineStr">
        <is>
          <t>件</t>
        </is>
      </c>
      <c r="F456" s="17" t="inlineStr">
        <is>
          <t>否</t>
        </is>
      </c>
      <c r="G456" s="23" t="n"/>
      <c r="H456" s="24">
        <f>IF($A456="","",IFERROR(LOOKUP(2,1/((入库单!$G$4:$G$2503=$A456)*(入库单!$Y$4:$Y$2503="正常")*(入库单!$L$4:$L$2503&gt;0)),入库单!$D$4:$D$2503),""))</f>
        <v/>
      </c>
      <c r="I456" s="25">
        <f>IF($A456="","",IFERROR(LOOKUP(2,1/((入库单!$G$4:$G$2503=$A456)*(入库单!$Y$4:$Y$2503="正常")*(入库单!$L$4:$L$2503&gt;0)),入库单!$L$4:$L$2503),0))</f>
        <v/>
      </c>
      <c r="J456" s="26">
        <f>IF($A456="","",IF($H456="A国内",ROUND($I456*倍数A*汇率,0),IF($H456="B当地",ROUND($I456*系数B,0),0)))</f>
        <v/>
      </c>
      <c r="K456" s="24">
        <f>IF($A456="","",IF(COUNTIFS(入库单!$G$4:$G$2503,$A456,入库单!$X$4:$X$2503,"待补价")&gt;0,"待补价",IF(COUNTIFS(入库单!$G$4:$G$2503,$A456,入库单!$X$4:$X$2503,"暂估")&gt;0,"暂估",IF($I456=0,"没有进价","正常"))))</f>
        <v/>
      </c>
      <c r="L456" s="27">
        <f>IF($A456="","",IFERROR(VLOOKUP($A456,库存台账!$A$5:$Y$1204,24,0),0))</f>
        <v/>
      </c>
      <c r="M456" s="26">
        <f>IF($A456="","",IFERROR(VLOOKUP($A456,库存台账!$A$5:$Y$1204,25,0),0))</f>
        <v/>
      </c>
      <c r="N456" s="19">
        <f>IF($A456="","",IFERROR(LOOKUP(2,1/((出库单!$D$4:$D$4003=$A456)*(出库单!$T$4:$T$4003="正常")),出库单!$C$4:$C$4003),""))</f>
        <v/>
      </c>
      <c r="O456" s="28">
        <f>IF($A456="","",IF($L456&lt;=0,"",IF($N456="",IFERROR(账期止-LOOKUP(2,1/(入库单!$G$4:$G$2503=$A456),入库单!$C$4:$C$2503),""),账期止-$N456)))</f>
        <v/>
      </c>
      <c r="P456" s="17" t="n"/>
    </row>
    <row r="457">
      <c r="A457" s="17" t="inlineStr">
        <is>
          <t>JH0454</t>
        </is>
      </c>
      <c r="B457" s="17" t="inlineStr">
        <is>
          <t>机械配件</t>
        </is>
      </c>
      <c r="C457" s="17" t="inlineStr">
        <is>
          <t>边护板</t>
        </is>
      </c>
      <c r="D457" s="17" t="inlineStr">
        <is>
          <t>PEX250×1000配件</t>
        </is>
      </c>
      <c r="E457" s="17" t="inlineStr">
        <is>
          <t>付</t>
        </is>
      </c>
      <c r="F457" s="17" t="inlineStr">
        <is>
          <t>否</t>
        </is>
      </c>
      <c r="G457" s="23" t="n"/>
      <c r="H457" s="24">
        <f>IF($A457="","",IFERROR(LOOKUP(2,1/((入库单!$G$4:$G$2503=$A457)*(入库单!$Y$4:$Y$2503="正常")*(入库单!$L$4:$L$2503&gt;0)),入库单!$D$4:$D$2503),""))</f>
        <v/>
      </c>
      <c r="I457" s="25">
        <f>IF($A457="","",IFERROR(LOOKUP(2,1/((入库单!$G$4:$G$2503=$A457)*(入库单!$Y$4:$Y$2503="正常")*(入库单!$L$4:$L$2503&gt;0)),入库单!$L$4:$L$2503),0))</f>
        <v/>
      </c>
      <c r="J457" s="26">
        <f>IF($A457="","",IF($H457="A国内",ROUND($I457*倍数A*汇率,0),IF($H457="B当地",ROUND($I457*系数B,0),0)))</f>
        <v/>
      </c>
      <c r="K457" s="24">
        <f>IF($A457="","",IF(COUNTIFS(入库单!$G$4:$G$2503,$A457,入库单!$X$4:$X$2503,"待补价")&gt;0,"待补价",IF(COUNTIFS(入库单!$G$4:$G$2503,$A457,入库单!$X$4:$X$2503,"暂估")&gt;0,"暂估",IF($I457=0,"没有进价","正常"))))</f>
        <v/>
      </c>
      <c r="L457" s="27">
        <f>IF($A457="","",IFERROR(VLOOKUP($A457,库存台账!$A$5:$Y$1204,24,0),0))</f>
        <v/>
      </c>
      <c r="M457" s="26">
        <f>IF($A457="","",IFERROR(VLOOKUP($A457,库存台账!$A$5:$Y$1204,25,0),0))</f>
        <v/>
      </c>
      <c r="N457" s="19">
        <f>IF($A457="","",IFERROR(LOOKUP(2,1/((出库单!$D$4:$D$4003=$A457)*(出库单!$T$4:$T$4003="正常")),出库单!$C$4:$C$4003),""))</f>
        <v/>
      </c>
      <c r="O457" s="28">
        <f>IF($A457="","",IF($L457&lt;=0,"",IF($N457="",IFERROR(账期止-LOOKUP(2,1/(入库单!$G$4:$G$2503=$A457),入库单!$C$4:$C$2503),""),账期止-$N457)))</f>
        <v/>
      </c>
      <c r="P457" s="17" t="n"/>
    </row>
    <row r="458">
      <c r="A458" s="17" t="inlineStr">
        <is>
          <t>JH0455</t>
        </is>
      </c>
      <c r="B458" s="17" t="inlineStr">
        <is>
          <t>机械配件</t>
        </is>
      </c>
      <c r="C458" s="17" t="inlineStr">
        <is>
          <t>肘板</t>
        </is>
      </c>
      <c r="D458" s="17" t="inlineStr">
        <is>
          <t>PEX250×1000配件</t>
        </is>
      </c>
      <c r="E458" s="17" t="inlineStr">
        <is>
          <t>件</t>
        </is>
      </c>
      <c r="F458" s="17" t="inlineStr">
        <is>
          <t>否</t>
        </is>
      </c>
      <c r="G458" s="23" t="n"/>
      <c r="H458" s="24">
        <f>IF($A458="","",IFERROR(LOOKUP(2,1/((入库单!$G$4:$G$2503=$A458)*(入库单!$Y$4:$Y$2503="正常")*(入库单!$L$4:$L$2503&gt;0)),入库单!$D$4:$D$2503),""))</f>
        <v/>
      </c>
      <c r="I458" s="25">
        <f>IF($A458="","",IFERROR(LOOKUP(2,1/((入库单!$G$4:$G$2503=$A458)*(入库单!$Y$4:$Y$2503="正常")*(入库单!$L$4:$L$2503&gt;0)),入库单!$L$4:$L$2503),0))</f>
        <v/>
      </c>
      <c r="J458" s="26">
        <f>IF($A458="","",IF($H458="A国内",ROUND($I458*倍数A*汇率,0),IF($H458="B当地",ROUND($I458*系数B,0),0)))</f>
        <v/>
      </c>
      <c r="K458" s="24">
        <f>IF($A458="","",IF(COUNTIFS(入库单!$G$4:$G$2503,$A458,入库单!$X$4:$X$2503,"待补价")&gt;0,"待补价",IF(COUNTIFS(入库单!$G$4:$G$2503,$A458,入库单!$X$4:$X$2503,"暂估")&gt;0,"暂估",IF($I458=0,"没有进价","正常"))))</f>
        <v/>
      </c>
      <c r="L458" s="27">
        <f>IF($A458="","",IFERROR(VLOOKUP($A458,库存台账!$A$5:$Y$1204,24,0),0))</f>
        <v/>
      </c>
      <c r="M458" s="26">
        <f>IF($A458="","",IFERROR(VLOOKUP($A458,库存台账!$A$5:$Y$1204,25,0),0))</f>
        <v/>
      </c>
      <c r="N458" s="19">
        <f>IF($A458="","",IFERROR(LOOKUP(2,1/((出库单!$D$4:$D$4003=$A458)*(出库单!$T$4:$T$4003="正常")),出库单!$C$4:$C$4003),""))</f>
        <v/>
      </c>
      <c r="O458" s="28">
        <f>IF($A458="","",IF($L458&lt;=0,"",IF($N458="",IFERROR(账期止-LOOKUP(2,1/(入库单!$G$4:$G$2503=$A458),入库单!$C$4:$C$2503),""),账期止-$N458)))</f>
        <v/>
      </c>
      <c r="P458" s="17" t="n"/>
    </row>
    <row r="459">
      <c r="A459" s="17" t="inlineStr">
        <is>
          <t>JH0456</t>
        </is>
      </c>
      <c r="B459" s="17" t="inlineStr">
        <is>
          <t>机械配件</t>
        </is>
      </c>
      <c r="C459" s="17" t="inlineStr">
        <is>
          <t>肘板垫</t>
        </is>
      </c>
      <c r="D459" s="17" t="inlineStr">
        <is>
          <t>PEX250×1000配件</t>
        </is>
      </c>
      <c r="E459" s="17" t="inlineStr">
        <is>
          <t>付</t>
        </is>
      </c>
      <c r="F459" s="17" t="inlineStr">
        <is>
          <t>否</t>
        </is>
      </c>
      <c r="G459" s="23" t="n"/>
      <c r="H459" s="24">
        <f>IF($A459="","",IFERROR(LOOKUP(2,1/((入库单!$G$4:$G$2503=$A459)*(入库单!$Y$4:$Y$2503="正常")*(入库单!$L$4:$L$2503&gt;0)),入库单!$D$4:$D$2503),""))</f>
        <v/>
      </c>
      <c r="I459" s="25">
        <f>IF($A459="","",IFERROR(LOOKUP(2,1/((入库单!$G$4:$G$2503=$A459)*(入库单!$Y$4:$Y$2503="正常")*(入库单!$L$4:$L$2503&gt;0)),入库单!$L$4:$L$2503),0))</f>
        <v/>
      </c>
      <c r="J459" s="26">
        <f>IF($A459="","",IF($H459="A国内",ROUND($I459*倍数A*汇率,0),IF($H459="B当地",ROUND($I459*系数B,0),0)))</f>
        <v/>
      </c>
      <c r="K459" s="24">
        <f>IF($A459="","",IF(COUNTIFS(入库单!$G$4:$G$2503,$A459,入库单!$X$4:$X$2503,"待补价")&gt;0,"待补价",IF(COUNTIFS(入库单!$G$4:$G$2503,$A459,入库单!$X$4:$X$2503,"暂估")&gt;0,"暂估",IF($I459=0,"没有进价","正常"))))</f>
        <v/>
      </c>
      <c r="L459" s="27">
        <f>IF($A459="","",IFERROR(VLOOKUP($A459,库存台账!$A$5:$Y$1204,24,0),0))</f>
        <v/>
      </c>
      <c r="M459" s="26">
        <f>IF($A459="","",IFERROR(VLOOKUP($A459,库存台账!$A$5:$Y$1204,25,0),0))</f>
        <v/>
      </c>
      <c r="N459" s="19">
        <f>IF($A459="","",IFERROR(LOOKUP(2,1/((出库单!$D$4:$D$4003=$A459)*(出库单!$T$4:$T$4003="正常")),出库单!$C$4:$C$4003),""))</f>
        <v/>
      </c>
      <c r="O459" s="28">
        <f>IF($A459="","",IF($L459&lt;=0,"",IF($N459="",IFERROR(账期止-LOOKUP(2,1/(入库单!$G$4:$G$2503=$A459),入库单!$C$4:$C$2503),""),账期止-$N459)))</f>
        <v/>
      </c>
      <c r="P459" s="17" t="n"/>
    </row>
    <row r="460">
      <c r="A460" s="17" t="inlineStr">
        <is>
          <t>JH0457</t>
        </is>
      </c>
      <c r="B460" s="17" t="inlineStr">
        <is>
          <t>机械配件</t>
        </is>
      </c>
      <c r="C460" s="17" t="inlineStr">
        <is>
          <t>弹簧拉杆+弹簧</t>
        </is>
      </c>
      <c r="D460" s="17" t="inlineStr">
        <is>
          <t>PEX250×1000配件</t>
        </is>
      </c>
      <c r="E460" s="17" t="inlineStr">
        <is>
          <t>套</t>
        </is>
      </c>
      <c r="F460" s="17" t="inlineStr">
        <is>
          <t>否</t>
        </is>
      </c>
      <c r="G460" s="23" t="n"/>
      <c r="H460" s="24">
        <f>IF($A460="","",IFERROR(LOOKUP(2,1/((入库单!$G$4:$G$2503=$A460)*(入库单!$Y$4:$Y$2503="正常")*(入库单!$L$4:$L$2503&gt;0)),入库单!$D$4:$D$2503),""))</f>
        <v/>
      </c>
      <c r="I460" s="25">
        <f>IF($A460="","",IFERROR(LOOKUP(2,1/((入库单!$G$4:$G$2503=$A460)*(入库单!$Y$4:$Y$2503="正常")*(入库单!$L$4:$L$2503&gt;0)),入库单!$L$4:$L$2503),0))</f>
        <v/>
      </c>
      <c r="J460" s="26">
        <f>IF($A460="","",IF($H460="A国内",ROUND($I460*倍数A*汇率,0),IF($H460="B当地",ROUND($I460*系数B,0),0)))</f>
        <v/>
      </c>
      <c r="K460" s="24">
        <f>IF($A460="","",IF(COUNTIFS(入库单!$G$4:$G$2503,$A460,入库单!$X$4:$X$2503,"待补价")&gt;0,"待补价",IF(COUNTIFS(入库单!$G$4:$G$2503,$A460,入库单!$X$4:$X$2503,"暂估")&gt;0,"暂估",IF($I460=0,"没有进价","正常"))))</f>
        <v/>
      </c>
      <c r="L460" s="27">
        <f>IF($A460="","",IFERROR(VLOOKUP($A460,库存台账!$A$5:$Y$1204,24,0),0))</f>
        <v/>
      </c>
      <c r="M460" s="26">
        <f>IF($A460="","",IFERROR(VLOOKUP($A460,库存台账!$A$5:$Y$1204,25,0),0))</f>
        <v/>
      </c>
      <c r="N460" s="19">
        <f>IF($A460="","",IFERROR(LOOKUP(2,1/((出库单!$D$4:$D$4003=$A460)*(出库单!$T$4:$T$4003="正常")),出库单!$C$4:$C$4003),""))</f>
        <v/>
      </c>
      <c r="O460" s="28">
        <f>IF($A460="","",IF($L460&lt;=0,"",IF($N460="",IFERROR(账期止-LOOKUP(2,1/(入库单!$G$4:$G$2503=$A460),入库单!$C$4:$C$2503),""),账期止-$N460)))</f>
        <v/>
      </c>
      <c r="P460" s="17" t="n"/>
    </row>
    <row r="461">
      <c r="A461" s="17" t="inlineStr">
        <is>
          <t>JH0458</t>
        </is>
      </c>
      <c r="B461" s="17" t="inlineStr">
        <is>
          <t>机械配件</t>
        </is>
      </c>
      <c r="C461" s="17" t="inlineStr">
        <is>
          <t>三角带D5000</t>
        </is>
      </c>
      <c r="D461" s="17" t="inlineStr">
        <is>
          <t>PEX250×1000配件</t>
        </is>
      </c>
      <c r="E461" s="17" t="inlineStr">
        <is>
          <t>付</t>
        </is>
      </c>
      <c r="F461" s="17" t="inlineStr">
        <is>
          <t>否</t>
        </is>
      </c>
      <c r="G461" s="23" t="n"/>
      <c r="H461" s="24">
        <f>IF($A461="","",IFERROR(LOOKUP(2,1/((入库单!$G$4:$G$2503=$A461)*(入库单!$Y$4:$Y$2503="正常")*(入库单!$L$4:$L$2503&gt;0)),入库单!$D$4:$D$2503),""))</f>
        <v/>
      </c>
      <c r="I461" s="25">
        <f>IF($A461="","",IFERROR(LOOKUP(2,1/((入库单!$G$4:$G$2503=$A461)*(入库单!$Y$4:$Y$2503="正常")*(入库单!$L$4:$L$2503&gt;0)),入库单!$L$4:$L$2503),0))</f>
        <v/>
      </c>
      <c r="J461" s="26">
        <f>IF($A461="","",IF($H461="A国内",ROUND($I461*倍数A*汇率,0),IF($H461="B当地",ROUND($I461*系数B,0),0)))</f>
        <v/>
      </c>
      <c r="K461" s="24">
        <f>IF($A461="","",IF(COUNTIFS(入库单!$G$4:$G$2503,$A461,入库单!$X$4:$X$2503,"待补价")&gt;0,"待补价",IF(COUNTIFS(入库单!$G$4:$G$2503,$A461,入库单!$X$4:$X$2503,"暂估")&gt;0,"暂估",IF($I461=0,"没有进价","正常"))))</f>
        <v/>
      </c>
      <c r="L461" s="27">
        <f>IF($A461="","",IFERROR(VLOOKUP($A461,库存台账!$A$5:$Y$1204,24,0),0))</f>
        <v/>
      </c>
      <c r="M461" s="26">
        <f>IF($A461="","",IFERROR(VLOOKUP($A461,库存台账!$A$5:$Y$1204,25,0),0))</f>
        <v/>
      </c>
      <c r="N461" s="19">
        <f>IF($A461="","",IFERROR(LOOKUP(2,1/((出库单!$D$4:$D$4003=$A461)*(出库单!$T$4:$T$4003="正常")),出库单!$C$4:$C$4003),""))</f>
        <v/>
      </c>
      <c r="O461" s="28">
        <f>IF($A461="","",IF($L461&lt;=0,"",IF($N461="",IFERROR(账期止-LOOKUP(2,1/(入库单!$G$4:$G$2503=$A461),入库单!$C$4:$C$2503),""),账期止-$N461)))</f>
        <v/>
      </c>
      <c r="P461" s="17" t="n"/>
    </row>
    <row r="462">
      <c r="A462" s="17" t="inlineStr">
        <is>
          <t>JH0459</t>
        </is>
      </c>
      <c r="B462" s="17" t="inlineStr">
        <is>
          <t>机械设备</t>
        </is>
      </c>
      <c r="C462" s="17" t="inlineStr">
        <is>
          <t>摆式给矿机</t>
        </is>
      </c>
      <c r="D462" s="17" t="inlineStr">
        <is>
          <t>600*600</t>
        </is>
      </c>
      <c r="E462" s="17" t="inlineStr">
        <is>
          <t>台</t>
        </is>
      </c>
      <c r="F462" s="17" t="inlineStr">
        <is>
          <t>否</t>
        </is>
      </c>
      <c r="G462" s="23" t="n"/>
      <c r="H462" s="24">
        <f>IF($A462="","",IFERROR(LOOKUP(2,1/((入库单!$G$4:$G$2503=$A462)*(入库单!$Y$4:$Y$2503="正常")*(入库单!$L$4:$L$2503&gt;0)),入库单!$D$4:$D$2503),""))</f>
        <v/>
      </c>
      <c r="I462" s="25">
        <f>IF($A462="","",IFERROR(LOOKUP(2,1/((入库单!$G$4:$G$2503=$A462)*(入库单!$Y$4:$Y$2503="正常")*(入库单!$L$4:$L$2503&gt;0)),入库单!$L$4:$L$2503),0))</f>
        <v/>
      </c>
      <c r="J462" s="26">
        <f>IF($A462="","",IF($H462="A国内",ROUND($I462*倍数A*汇率,0),IF($H462="B当地",ROUND($I462*系数B,0),0)))</f>
        <v/>
      </c>
      <c r="K462" s="24">
        <f>IF($A462="","",IF(COUNTIFS(入库单!$G$4:$G$2503,$A462,入库单!$X$4:$X$2503,"待补价")&gt;0,"待补价",IF(COUNTIFS(入库单!$G$4:$G$2503,$A462,入库单!$X$4:$X$2503,"暂估")&gt;0,"暂估",IF($I462=0,"没有进价","正常"))))</f>
        <v/>
      </c>
      <c r="L462" s="27">
        <f>IF($A462="","",IFERROR(VLOOKUP($A462,库存台账!$A$5:$Y$1204,24,0),0))</f>
        <v/>
      </c>
      <c r="M462" s="26">
        <f>IF($A462="","",IFERROR(VLOOKUP($A462,库存台账!$A$5:$Y$1204,25,0),0))</f>
        <v/>
      </c>
      <c r="N462" s="19">
        <f>IF($A462="","",IFERROR(LOOKUP(2,1/((出库单!$D$4:$D$4003=$A462)*(出库单!$T$4:$T$4003="正常")),出库单!$C$4:$C$4003),""))</f>
        <v/>
      </c>
      <c r="O462" s="28">
        <f>IF($A462="","",IF($L462&lt;=0,"",IF($N462="",IFERROR(账期止-LOOKUP(2,1/(入库单!$G$4:$G$2503=$A462),入库单!$C$4:$C$2503),""),账期止-$N462)))</f>
        <v/>
      </c>
      <c r="P462" s="17" t="n"/>
    </row>
    <row r="463">
      <c r="A463" s="17" t="inlineStr">
        <is>
          <t>JH0460</t>
        </is>
      </c>
      <c r="B463" s="17" t="inlineStr">
        <is>
          <t>电缆电气</t>
        </is>
      </c>
      <c r="C463" s="17" t="inlineStr">
        <is>
          <t>配件电机2.2KW-4</t>
        </is>
      </c>
      <c r="D463" s="17" t="inlineStr">
        <is>
          <t>600*600</t>
        </is>
      </c>
      <c r="E463" s="17" t="inlineStr">
        <is>
          <t>台</t>
        </is>
      </c>
      <c r="F463" s="17" t="inlineStr">
        <is>
          <t>否</t>
        </is>
      </c>
      <c r="G463" s="23" t="n"/>
      <c r="H463" s="24">
        <f>IF($A463="","",IFERROR(LOOKUP(2,1/((入库单!$G$4:$G$2503=$A463)*(入库单!$Y$4:$Y$2503="正常")*(入库单!$L$4:$L$2503&gt;0)),入库单!$D$4:$D$2503),""))</f>
        <v/>
      </c>
      <c r="I463" s="25">
        <f>IF($A463="","",IFERROR(LOOKUP(2,1/((入库单!$G$4:$G$2503=$A463)*(入库单!$Y$4:$Y$2503="正常")*(入库单!$L$4:$L$2503&gt;0)),入库单!$L$4:$L$2503),0))</f>
        <v/>
      </c>
      <c r="J463" s="26">
        <f>IF($A463="","",IF($H463="A国内",ROUND($I463*倍数A*汇率,0),IF($H463="B当地",ROUND($I463*系数B,0),0)))</f>
        <v/>
      </c>
      <c r="K463" s="24">
        <f>IF($A463="","",IF(COUNTIFS(入库单!$G$4:$G$2503,$A463,入库单!$X$4:$X$2503,"待补价")&gt;0,"待补价",IF(COUNTIFS(入库单!$G$4:$G$2503,$A463,入库单!$X$4:$X$2503,"暂估")&gt;0,"暂估",IF($I463=0,"没有进价","正常"))))</f>
        <v/>
      </c>
      <c r="L463" s="27">
        <f>IF($A463="","",IFERROR(VLOOKUP($A463,库存台账!$A$5:$Y$1204,24,0),0))</f>
        <v/>
      </c>
      <c r="M463" s="26">
        <f>IF($A463="","",IFERROR(VLOOKUP($A463,库存台账!$A$5:$Y$1204,25,0),0))</f>
        <v/>
      </c>
      <c r="N463" s="19">
        <f>IF($A463="","",IFERROR(LOOKUP(2,1/((出库单!$D$4:$D$4003=$A463)*(出库单!$T$4:$T$4003="正常")),出库单!$C$4:$C$4003),""))</f>
        <v/>
      </c>
      <c r="O463" s="28">
        <f>IF($A463="","",IF($L463&lt;=0,"",IF($N463="",IFERROR(账期止-LOOKUP(2,1/(入库单!$G$4:$G$2503=$A463),入库单!$C$4:$C$2503),""),账期止-$N463)))</f>
        <v/>
      </c>
      <c r="P463" s="17" t="n"/>
    </row>
    <row r="464">
      <c r="A464" s="17" t="inlineStr">
        <is>
          <t>JH0461</t>
        </is>
      </c>
      <c r="B464" s="17" t="inlineStr">
        <is>
          <t>机械配件</t>
        </is>
      </c>
      <c r="C464" s="17" t="inlineStr">
        <is>
          <t>配件摆底</t>
        </is>
      </c>
      <c r="D464" s="17" t="inlineStr">
        <is>
          <t>600*600</t>
        </is>
      </c>
      <c r="E464" s="17" t="inlineStr">
        <is>
          <t>件</t>
        </is>
      </c>
      <c r="F464" s="17" t="inlineStr">
        <is>
          <t>否</t>
        </is>
      </c>
      <c r="G464" s="23" t="n"/>
      <c r="H464" s="24">
        <f>IF($A464="","",IFERROR(LOOKUP(2,1/((入库单!$G$4:$G$2503=$A464)*(入库单!$Y$4:$Y$2503="正常")*(入库单!$L$4:$L$2503&gt;0)),入库单!$D$4:$D$2503),""))</f>
        <v/>
      </c>
      <c r="I464" s="25">
        <f>IF($A464="","",IFERROR(LOOKUP(2,1/((入库单!$G$4:$G$2503=$A464)*(入库单!$Y$4:$Y$2503="正常")*(入库单!$L$4:$L$2503&gt;0)),入库单!$L$4:$L$2503),0))</f>
        <v/>
      </c>
      <c r="J464" s="26">
        <f>IF($A464="","",IF($H464="A国内",ROUND($I464*倍数A*汇率,0),IF($H464="B当地",ROUND($I464*系数B,0),0)))</f>
        <v/>
      </c>
      <c r="K464" s="24">
        <f>IF($A464="","",IF(COUNTIFS(入库单!$G$4:$G$2503,$A464,入库单!$X$4:$X$2503,"待补价")&gt;0,"待补价",IF(COUNTIFS(入库单!$G$4:$G$2503,$A464,入库单!$X$4:$X$2503,"暂估")&gt;0,"暂估",IF($I464=0,"没有进价","正常"))))</f>
        <v/>
      </c>
      <c r="L464" s="27">
        <f>IF($A464="","",IFERROR(VLOOKUP($A464,库存台账!$A$5:$Y$1204,24,0),0))</f>
        <v/>
      </c>
      <c r="M464" s="26">
        <f>IF($A464="","",IFERROR(VLOOKUP($A464,库存台账!$A$5:$Y$1204,25,0),0))</f>
        <v/>
      </c>
      <c r="N464" s="19">
        <f>IF($A464="","",IFERROR(LOOKUP(2,1/((出库单!$D$4:$D$4003=$A464)*(出库单!$T$4:$T$4003="正常")),出库单!$C$4:$C$4003),""))</f>
        <v/>
      </c>
      <c r="O464" s="28">
        <f>IF($A464="","",IF($L464&lt;=0,"",IF($N464="",IFERROR(账期止-LOOKUP(2,1/(入库单!$G$4:$G$2503=$A464),入库单!$C$4:$C$2503),""),账期止-$N464)))</f>
        <v/>
      </c>
      <c r="P464" s="17" t="n"/>
    </row>
    <row r="465">
      <c r="A465" s="17" t="inlineStr">
        <is>
          <t>JH0462</t>
        </is>
      </c>
      <c r="B465" s="17" t="inlineStr">
        <is>
          <t>其他</t>
        </is>
      </c>
      <c r="C465" s="17" t="inlineStr">
        <is>
          <t>精矿泵</t>
        </is>
      </c>
      <c r="D465" s="17" t="inlineStr">
        <is>
          <t>1.5/1B-AH</t>
        </is>
      </c>
      <c r="E465" s="17" t="inlineStr">
        <is>
          <t>台</t>
        </is>
      </c>
      <c r="F465" s="17" t="inlineStr">
        <is>
          <t>否</t>
        </is>
      </c>
      <c r="G465" s="23" t="n"/>
      <c r="H465" s="24">
        <f>IF($A465="","",IFERROR(LOOKUP(2,1/((入库单!$G$4:$G$2503=$A465)*(入库单!$Y$4:$Y$2503="正常")*(入库单!$L$4:$L$2503&gt;0)),入库单!$D$4:$D$2503),""))</f>
        <v/>
      </c>
      <c r="I465" s="25">
        <f>IF($A465="","",IFERROR(LOOKUP(2,1/((入库单!$G$4:$G$2503=$A465)*(入库单!$Y$4:$Y$2503="正常")*(入库单!$L$4:$L$2503&gt;0)),入库单!$L$4:$L$2503),0))</f>
        <v/>
      </c>
      <c r="J465" s="26">
        <f>IF($A465="","",IF($H465="A国内",ROUND($I465*倍数A*汇率,0),IF($H465="B当地",ROUND($I465*系数B,0),0)))</f>
        <v/>
      </c>
      <c r="K465" s="24">
        <f>IF($A465="","",IF(COUNTIFS(入库单!$G$4:$G$2503,$A465,入库单!$X$4:$X$2503,"待补价")&gt;0,"待补价",IF(COUNTIFS(入库单!$G$4:$G$2503,$A465,入库单!$X$4:$X$2503,"暂估")&gt;0,"暂估",IF($I465=0,"没有进价","正常"))))</f>
        <v/>
      </c>
      <c r="L465" s="27">
        <f>IF($A465="","",IFERROR(VLOOKUP($A465,库存台账!$A$5:$Y$1204,24,0),0))</f>
        <v/>
      </c>
      <c r="M465" s="26">
        <f>IF($A465="","",IFERROR(VLOOKUP($A465,库存台账!$A$5:$Y$1204,25,0),0))</f>
        <v/>
      </c>
      <c r="N465" s="19">
        <f>IF($A465="","",IFERROR(LOOKUP(2,1/((出库单!$D$4:$D$4003=$A465)*(出库单!$T$4:$T$4003="正常")),出库单!$C$4:$C$4003),""))</f>
        <v/>
      </c>
      <c r="O465" s="28">
        <f>IF($A465="","",IF($L465&lt;=0,"",IF($N465="",IFERROR(账期止-LOOKUP(2,1/(入库单!$G$4:$G$2503=$A465),入库单!$C$4:$C$2503),""),账期止-$N465)))</f>
        <v/>
      </c>
      <c r="P465" s="17" t="n"/>
    </row>
    <row r="466">
      <c r="A466" s="17" t="inlineStr">
        <is>
          <t>JH0463</t>
        </is>
      </c>
      <c r="B466" s="17" t="inlineStr">
        <is>
          <t>其他</t>
        </is>
      </c>
      <c r="C466" s="17" t="inlineStr">
        <is>
          <t>液下泵</t>
        </is>
      </c>
      <c r="D466" s="17" t="inlineStr">
        <is>
          <t>40PV</t>
        </is>
      </c>
      <c r="E466" s="17" t="inlineStr">
        <is>
          <t>台</t>
        </is>
      </c>
      <c r="F466" s="17" t="inlineStr">
        <is>
          <t>否</t>
        </is>
      </c>
      <c r="G466" s="23" t="n"/>
      <c r="H466" s="24">
        <f>IF($A466="","",IFERROR(LOOKUP(2,1/((入库单!$G$4:$G$2503=$A466)*(入库单!$Y$4:$Y$2503="正常")*(入库单!$L$4:$L$2503&gt;0)),入库单!$D$4:$D$2503),""))</f>
        <v/>
      </c>
      <c r="I466" s="25">
        <f>IF($A466="","",IFERROR(LOOKUP(2,1/((入库单!$G$4:$G$2503=$A466)*(入库单!$Y$4:$Y$2503="正常")*(入库单!$L$4:$L$2503&gt;0)),入库单!$L$4:$L$2503),0))</f>
        <v/>
      </c>
      <c r="J466" s="26">
        <f>IF($A466="","",IF($H466="A国内",ROUND($I466*倍数A*汇率,0),IF($H466="B当地",ROUND($I466*系数B,0),0)))</f>
        <v/>
      </c>
      <c r="K466" s="24">
        <f>IF($A466="","",IF(COUNTIFS(入库单!$G$4:$G$2503,$A466,入库单!$X$4:$X$2503,"待补价")&gt;0,"待补价",IF(COUNTIFS(入库单!$G$4:$G$2503,$A466,入库单!$X$4:$X$2503,"暂估")&gt;0,"暂估",IF($I466=0,"没有进价","正常"))))</f>
        <v/>
      </c>
      <c r="L466" s="27">
        <f>IF($A466="","",IFERROR(VLOOKUP($A466,库存台账!$A$5:$Y$1204,24,0),0))</f>
        <v/>
      </c>
      <c r="M466" s="26">
        <f>IF($A466="","",IFERROR(VLOOKUP($A466,库存台账!$A$5:$Y$1204,25,0),0))</f>
        <v/>
      </c>
      <c r="N466" s="19">
        <f>IF($A466="","",IFERROR(LOOKUP(2,1/((出库单!$D$4:$D$4003=$A466)*(出库单!$T$4:$T$4003="正常")),出库单!$C$4:$C$4003),""))</f>
        <v/>
      </c>
      <c r="O466" s="28">
        <f>IF($A466="","",IF($L466&lt;=0,"",IF($N466="",IFERROR(账期止-LOOKUP(2,1/(入库单!$G$4:$G$2503=$A466),入库单!$C$4:$C$2503),""),账期止-$N466)))</f>
        <v/>
      </c>
      <c r="P466" s="17" t="n"/>
    </row>
    <row r="467">
      <c r="A467" s="17" t="inlineStr">
        <is>
          <t>JH0464</t>
        </is>
      </c>
      <c r="B467" s="17" t="inlineStr">
        <is>
          <t>其他</t>
        </is>
      </c>
      <c r="C467" s="17" t="inlineStr">
        <is>
          <t>除铁器</t>
        </is>
      </c>
      <c r="D467" s="17" t="inlineStr">
        <is>
          <t>500*650</t>
        </is>
      </c>
      <c r="E467" s="17" t="inlineStr">
        <is>
          <t>台</t>
        </is>
      </c>
      <c r="F467" s="17" t="inlineStr">
        <is>
          <t>否</t>
        </is>
      </c>
      <c r="G467" s="23" t="n"/>
      <c r="H467" s="24">
        <f>IF($A467="","",IFERROR(LOOKUP(2,1/((入库单!$G$4:$G$2503=$A467)*(入库单!$Y$4:$Y$2503="正常")*(入库单!$L$4:$L$2503&gt;0)),入库单!$D$4:$D$2503),""))</f>
        <v/>
      </c>
      <c r="I467" s="25">
        <f>IF($A467="","",IFERROR(LOOKUP(2,1/((入库单!$G$4:$G$2503=$A467)*(入库单!$Y$4:$Y$2503="正常")*(入库单!$L$4:$L$2503&gt;0)),入库单!$L$4:$L$2503),0))</f>
        <v/>
      </c>
      <c r="J467" s="26">
        <f>IF($A467="","",IF($H467="A国内",ROUND($I467*倍数A*汇率,0),IF($H467="B当地",ROUND($I467*系数B,0),0)))</f>
        <v/>
      </c>
      <c r="K467" s="24">
        <f>IF($A467="","",IF(COUNTIFS(入库单!$G$4:$G$2503,$A467,入库单!$X$4:$X$2503,"待补价")&gt;0,"待补价",IF(COUNTIFS(入库单!$G$4:$G$2503,$A467,入库单!$X$4:$X$2503,"暂估")&gt;0,"暂估",IF($I467=0,"没有进价","正常"))))</f>
        <v/>
      </c>
      <c r="L467" s="27">
        <f>IF($A467="","",IFERROR(VLOOKUP($A467,库存台账!$A$5:$Y$1204,24,0),0))</f>
        <v/>
      </c>
      <c r="M467" s="26">
        <f>IF($A467="","",IFERROR(VLOOKUP($A467,库存台账!$A$5:$Y$1204,25,0),0))</f>
        <v/>
      </c>
      <c r="N467" s="19">
        <f>IF($A467="","",IFERROR(LOOKUP(2,1/((出库单!$D$4:$D$4003=$A467)*(出库单!$T$4:$T$4003="正常")),出库单!$C$4:$C$4003),""))</f>
        <v/>
      </c>
      <c r="O467" s="28">
        <f>IF($A467="","",IF($L467&lt;=0,"",IF($N467="",IFERROR(账期止-LOOKUP(2,1/(入库单!$G$4:$G$2503=$A467),入库单!$C$4:$C$2503),""),账期止-$N467)))</f>
        <v/>
      </c>
      <c r="P467" s="17" t="n"/>
    </row>
    <row r="468">
      <c r="A468" s="17" t="inlineStr">
        <is>
          <t>JH0465</t>
        </is>
      </c>
      <c r="B468" s="17" t="inlineStr">
        <is>
          <t>机械配件</t>
        </is>
      </c>
      <c r="C468" s="17" t="inlineStr">
        <is>
          <t>皮带输送机主25米</t>
        </is>
      </c>
      <c r="D468" s="17" t="inlineStr">
        <is>
          <t>650</t>
        </is>
      </c>
      <c r="E468" s="17" t="inlineStr">
        <is>
          <t>台</t>
        </is>
      </c>
      <c r="F468" s="17" t="inlineStr">
        <is>
          <t>否</t>
        </is>
      </c>
      <c r="G468" s="23" t="n"/>
      <c r="H468" s="24">
        <f>IF($A468="","",IFERROR(LOOKUP(2,1/((入库单!$G$4:$G$2503=$A468)*(入库单!$Y$4:$Y$2503="正常")*(入库单!$L$4:$L$2503&gt;0)),入库单!$D$4:$D$2503),""))</f>
        <v/>
      </c>
      <c r="I468" s="25">
        <f>IF($A468="","",IFERROR(LOOKUP(2,1/((入库单!$G$4:$G$2503=$A468)*(入库单!$Y$4:$Y$2503="正常")*(入库单!$L$4:$L$2503&gt;0)),入库单!$L$4:$L$2503),0))</f>
        <v/>
      </c>
      <c r="J468" s="26">
        <f>IF($A468="","",IF($H468="A国内",ROUND($I468*倍数A*汇率,0),IF($H468="B当地",ROUND($I468*系数B,0),0)))</f>
        <v/>
      </c>
      <c r="K468" s="24">
        <f>IF($A468="","",IF(COUNTIFS(入库单!$G$4:$G$2503,$A468,入库单!$X$4:$X$2503,"待补价")&gt;0,"待补价",IF(COUNTIFS(入库单!$G$4:$G$2503,$A468,入库单!$X$4:$X$2503,"暂估")&gt;0,"暂估",IF($I468=0,"没有进价","正常"))))</f>
        <v/>
      </c>
      <c r="L468" s="27">
        <f>IF($A468="","",IFERROR(VLOOKUP($A468,库存台账!$A$5:$Y$1204,24,0),0))</f>
        <v/>
      </c>
      <c r="M468" s="26">
        <f>IF($A468="","",IFERROR(VLOOKUP($A468,库存台账!$A$5:$Y$1204,25,0),0))</f>
        <v/>
      </c>
      <c r="N468" s="19">
        <f>IF($A468="","",IFERROR(LOOKUP(2,1/((出库单!$D$4:$D$4003=$A468)*(出库单!$T$4:$T$4003="正常")),出库单!$C$4:$C$4003),""))</f>
        <v/>
      </c>
      <c r="O468" s="28">
        <f>IF($A468="","",IF($L468&lt;=0,"",IF($N468="",IFERROR(账期止-LOOKUP(2,1/(入库单!$G$4:$G$2503=$A468),入库单!$C$4:$C$2503),""),账期止-$N468)))</f>
        <v/>
      </c>
      <c r="P468" s="17" t="n"/>
    </row>
    <row r="469">
      <c r="A469" s="17" t="inlineStr">
        <is>
          <t>JH0466</t>
        </is>
      </c>
      <c r="B469" s="17" t="inlineStr">
        <is>
          <t>其他</t>
        </is>
      </c>
      <c r="C469" s="17" t="inlineStr">
        <is>
          <t>头架</t>
        </is>
      </c>
      <c r="D469" s="17" t="inlineStr"/>
      <c r="E469" s="17" t="inlineStr">
        <is>
          <t>台</t>
        </is>
      </c>
      <c r="F469" s="17" t="inlineStr">
        <is>
          <t>否</t>
        </is>
      </c>
      <c r="G469" s="23" t="n"/>
      <c r="H469" s="24">
        <f>IF($A469="","",IFERROR(LOOKUP(2,1/((入库单!$G$4:$G$2503=$A469)*(入库单!$Y$4:$Y$2503="正常")*(入库单!$L$4:$L$2503&gt;0)),入库单!$D$4:$D$2503),""))</f>
        <v/>
      </c>
      <c r="I469" s="25">
        <f>IF($A469="","",IFERROR(LOOKUP(2,1/((入库单!$G$4:$G$2503=$A469)*(入库单!$Y$4:$Y$2503="正常")*(入库单!$L$4:$L$2503&gt;0)),入库单!$L$4:$L$2503),0))</f>
        <v/>
      </c>
      <c r="J469" s="26">
        <f>IF($A469="","",IF($H469="A国内",ROUND($I469*倍数A*汇率,0),IF($H469="B当地",ROUND($I469*系数B,0),0)))</f>
        <v/>
      </c>
      <c r="K469" s="24">
        <f>IF($A469="","",IF(COUNTIFS(入库单!$G$4:$G$2503,$A469,入库单!$X$4:$X$2503,"待补价")&gt;0,"待补价",IF(COUNTIFS(入库单!$G$4:$G$2503,$A469,入库单!$X$4:$X$2503,"暂估")&gt;0,"暂估",IF($I469=0,"没有进价","正常"))))</f>
        <v/>
      </c>
      <c r="L469" s="27">
        <f>IF($A469="","",IFERROR(VLOOKUP($A469,库存台账!$A$5:$Y$1204,24,0),0))</f>
        <v/>
      </c>
      <c r="M469" s="26">
        <f>IF($A469="","",IFERROR(VLOOKUP($A469,库存台账!$A$5:$Y$1204,25,0),0))</f>
        <v/>
      </c>
      <c r="N469" s="19">
        <f>IF($A469="","",IFERROR(LOOKUP(2,1/((出库单!$D$4:$D$4003=$A469)*(出库单!$T$4:$T$4003="正常")),出库单!$C$4:$C$4003),""))</f>
        <v/>
      </c>
      <c r="O469" s="28">
        <f>IF($A469="","",IF($L469&lt;=0,"",IF($N469="",IFERROR(账期止-LOOKUP(2,1/(入库单!$G$4:$G$2503=$A469),入库单!$C$4:$C$2503),""),账期止-$N469)))</f>
        <v/>
      </c>
      <c r="P469" s="17" t="n"/>
    </row>
    <row r="470">
      <c r="A470" s="17" t="inlineStr">
        <is>
          <t>JH0467</t>
        </is>
      </c>
      <c r="B470" s="17" t="inlineStr">
        <is>
          <t>其他</t>
        </is>
      </c>
      <c r="C470" s="17" t="inlineStr">
        <is>
          <t>尾架</t>
        </is>
      </c>
      <c r="D470" s="17" t="inlineStr"/>
      <c r="E470" s="17" t="inlineStr">
        <is>
          <t>台</t>
        </is>
      </c>
      <c r="F470" s="17" t="inlineStr">
        <is>
          <t>否</t>
        </is>
      </c>
      <c r="G470" s="23" t="n"/>
      <c r="H470" s="24">
        <f>IF($A470="","",IFERROR(LOOKUP(2,1/((入库单!$G$4:$G$2503=$A470)*(入库单!$Y$4:$Y$2503="正常")*(入库单!$L$4:$L$2503&gt;0)),入库单!$D$4:$D$2503),""))</f>
        <v/>
      </c>
      <c r="I470" s="25">
        <f>IF($A470="","",IFERROR(LOOKUP(2,1/((入库单!$G$4:$G$2503=$A470)*(入库单!$Y$4:$Y$2503="正常")*(入库单!$L$4:$L$2503&gt;0)),入库单!$L$4:$L$2503),0))</f>
        <v/>
      </c>
      <c r="J470" s="26">
        <f>IF($A470="","",IF($H470="A国内",ROUND($I470*倍数A*汇率,0),IF($H470="B当地",ROUND($I470*系数B,0),0)))</f>
        <v/>
      </c>
      <c r="K470" s="24">
        <f>IF($A470="","",IF(COUNTIFS(入库单!$G$4:$G$2503,$A470,入库单!$X$4:$X$2503,"待补价")&gt;0,"待补价",IF(COUNTIFS(入库单!$G$4:$G$2503,$A470,入库单!$X$4:$X$2503,"暂估")&gt;0,"暂估",IF($I470=0,"没有进价","正常"))))</f>
        <v/>
      </c>
      <c r="L470" s="27">
        <f>IF($A470="","",IFERROR(VLOOKUP($A470,库存台账!$A$5:$Y$1204,24,0),0))</f>
        <v/>
      </c>
      <c r="M470" s="26">
        <f>IF($A470="","",IFERROR(VLOOKUP($A470,库存台账!$A$5:$Y$1204,25,0),0))</f>
        <v/>
      </c>
      <c r="N470" s="19">
        <f>IF($A470="","",IFERROR(LOOKUP(2,1/((出库单!$D$4:$D$4003=$A470)*(出库单!$T$4:$T$4003="正常")),出库单!$C$4:$C$4003),""))</f>
        <v/>
      </c>
      <c r="O470" s="28">
        <f>IF($A470="","",IF($L470&lt;=0,"",IF($N470="",IFERROR(账期止-LOOKUP(2,1/(入库单!$G$4:$G$2503=$A470),入库单!$C$4:$C$2503),""),账期止-$N470)))</f>
        <v/>
      </c>
      <c r="P470" s="17" t="n"/>
    </row>
    <row r="471">
      <c r="A471" s="17" t="inlineStr">
        <is>
          <t>JH0468</t>
        </is>
      </c>
      <c r="B471" s="17" t="inlineStr">
        <is>
          <t>钢材</t>
        </is>
      </c>
      <c r="C471" s="17" t="inlineStr">
        <is>
          <t>中间架</t>
        </is>
      </c>
      <c r="D471" s="17" t="inlineStr">
        <is>
          <t>槽钢80</t>
        </is>
      </c>
      <c r="E471" s="17" t="inlineStr">
        <is>
          <t>台</t>
        </is>
      </c>
      <c r="F471" s="17" t="inlineStr">
        <is>
          <t>否</t>
        </is>
      </c>
      <c r="G471" s="23" t="n"/>
      <c r="H471" s="24">
        <f>IF($A471="","",IFERROR(LOOKUP(2,1/((入库单!$G$4:$G$2503=$A471)*(入库单!$Y$4:$Y$2503="正常")*(入库单!$L$4:$L$2503&gt;0)),入库单!$D$4:$D$2503),""))</f>
        <v/>
      </c>
      <c r="I471" s="25">
        <f>IF($A471="","",IFERROR(LOOKUP(2,1/((入库单!$G$4:$G$2503=$A471)*(入库单!$Y$4:$Y$2503="正常")*(入库单!$L$4:$L$2503&gt;0)),入库单!$L$4:$L$2503),0))</f>
        <v/>
      </c>
      <c r="J471" s="26">
        <f>IF($A471="","",IF($H471="A国内",ROUND($I471*倍数A*汇率,0),IF($H471="B当地",ROUND($I471*系数B,0),0)))</f>
        <v/>
      </c>
      <c r="K471" s="24">
        <f>IF($A471="","",IF(COUNTIFS(入库单!$G$4:$G$2503,$A471,入库单!$X$4:$X$2503,"待补价")&gt;0,"待补价",IF(COUNTIFS(入库单!$G$4:$G$2503,$A471,入库单!$X$4:$X$2503,"暂估")&gt;0,"暂估",IF($I471=0,"没有进价","正常"))))</f>
        <v/>
      </c>
      <c r="L471" s="27">
        <f>IF($A471="","",IFERROR(VLOOKUP($A471,库存台账!$A$5:$Y$1204,24,0),0))</f>
        <v/>
      </c>
      <c r="M471" s="26">
        <f>IF($A471="","",IFERROR(VLOOKUP($A471,库存台账!$A$5:$Y$1204,25,0),0))</f>
        <v/>
      </c>
      <c r="N471" s="19">
        <f>IF($A471="","",IFERROR(LOOKUP(2,1/((出库单!$D$4:$D$4003=$A471)*(出库单!$T$4:$T$4003="正常")),出库单!$C$4:$C$4003),""))</f>
        <v/>
      </c>
      <c r="O471" s="28">
        <f>IF($A471="","",IF($L471&lt;=0,"",IF($N471="",IFERROR(账期止-LOOKUP(2,1/(入库单!$G$4:$G$2503=$A471),入库单!$C$4:$C$2503),""),账期止-$N471)))</f>
        <v/>
      </c>
      <c r="P471" s="17" t="n"/>
    </row>
    <row r="472">
      <c r="A472" s="17" t="inlineStr">
        <is>
          <t>JH0469</t>
        </is>
      </c>
      <c r="B472" s="17" t="inlineStr">
        <is>
          <t>电缆电气</t>
        </is>
      </c>
      <c r="C472" s="17" t="inlineStr">
        <is>
          <t>配件电机</t>
        </is>
      </c>
      <c r="D472" s="17" t="inlineStr">
        <is>
          <t>11KW-4B5</t>
        </is>
      </c>
      <c r="E472" s="17" t="inlineStr">
        <is>
          <t>台</t>
        </is>
      </c>
      <c r="F472" s="17" t="inlineStr">
        <is>
          <t>否</t>
        </is>
      </c>
      <c r="G472" s="23" t="n"/>
      <c r="H472" s="24">
        <f>IF($A472="","",IFERROR(LOOKUP(2,1/((入库单!$G$4:$G$2503=$A472)*(入库单!$Y$4:$Y$2503="正常")*(入库单!$L$4:$L$2503&gt;0)),入库单!$D$4:$D$2503),""))</f>
        <v/>
      </c>
      <c r="I472" s="25">
        <f>IF($A472="","",IFERROR(LOOKUP(2,1/((入库单!$G$4:$G$2503=$A472)*(入库单!$Y$4:$Y$2503="正常")*(入库单!$L$4:$L$2503&gt;0)),入库单!$L$4:$L$2503),0))</f>
        <v/>
      </c>
      <c r="J472" s="26">
        <f>IF($A472="","",IF($H472="A国内",ROUND($I472*倍数A*汇率,0),IF($H472="B当地",ROUND($I472*系数B,0),0)))</f>
        <v/>
      </c>
      <c r="K472" s="24">
        <f>IF($A472="","",IF(COUNTIFS(入库单!$G$4:$G$2503,$A472,入库单!$X$4:$X$2503,"待补价")&gt;0,"待补价",IF(COUNTIFS(入库单!$G$4:$G$2503,$A472,入库单!$X$4:$X$2503,"暂估")&gt;0,"暂估",IF($I472=0,"没有进价","正常"))))</f>
        <v/>
      </c>
      <c r="L472" s="27">
        <f>IF($A472="","",IFERROR(VLOOKUP($A472,库存台账!$A$5:$Y$1204,24,0),0))</f>
        <v/>
      </c>
      <c r="M472" s="26">
        <f>IF($A472="","",IFERROR(VLOOKUP($A472,库存台账!$A$5:$Y$1204,25,0),0))</f>
        <v/>
      </c>
      <c r="N472" s="19">
        <f>IF($A472="","",IFERROR(LOOKUP(2,1/((出库单!$D$4:$D$4003=$A472)*(出库单!$T$4:$T$4003="正常")),出库单!$C$4:$C$4003),""))</f>
        <v/>
      </c>
      <c r="O472" s="28">
        <f>IF($A472="","",IF($L472&lt;=0,"",IF($N472="",IFERROR(账期止-LOOKUP(2,1/(入库单!$G$4:$G$2503=$A472),入库单!$C$4:$C$2503),""),账期止-$N472)))</f>
        <v/>
      </c>
      <c r="P472" s="17" t="n"/>
    </row>
    <row r="473">
      <c r="A473" s="17" t="inlineStr">
        <is>
          <t>JH0470</t>
        </is>
      </c>
      <c r="B473" s="17" t="inlineStr">
        <is>
          <t>机械配件</t>
        </is>
      </c>
      <c r="C473" s="17" t="inlineStr">
        <is>
          <t>皮带输送机主19.5米</t>
        </is>
      </c>
      <c r="D473" s="17" t="inlineStr">
        <is>
          <t>650</t>
        </is>
      </c>
      <c r="E473" s="17" t="inlineStr">
        <is>
          <t>台</t>
        </is>
      </c>
      <c r="F473" s="17" t="inlineStr">
        <is>
          <t>否</t>
        </is>
      </c>
      <c r="G473" s="23" t="n"/>
      <c r="H473" s="24">
        <f>IF($A473="","",IFERROR(LOOKUP(2,1/((入库单!$G$4:$G$2503=$A473)*(入库单!$Y$4:$Y$2503="正常")*(入库单!$L$4:$L$2503&gt;0)),入库单!$D$4:$D$2503),""))</f>
        <v/>
      </c>
      <c r="I473" s="25">
        <f>IF($A473="","",IFERROR(LOOKUP(2,1/((入库单!$G$4:$G$2503=$A473)*(入库单!$Y$4:$Y$2503="正常")*(入库单!$L$4:$L$2503&gt;0)),入库单!$L$4:$L$2503),0))</f>
        <v/>
      </c>
      <c r="J473" s="26">
        <f>IF($A473="","",IF($H473="A国内",ROUND($I473*倍数A*汇率,0),IF($H473="B当地",ROUND($I473*系数B,0),0)))</f>
        <v/>
      </c>
      <c r="K473" s="24">
        <f>IF($A473="","",IF(COUNTIFS(入库单!$G$4:$G$2503,$A473,入库单!$X$4:$X$2503,"待补价")&gt;0,"待补价",IF(COUNTIFS(入库单!$G$4:$G$2503,$A473,入库单!$X$4:$X$2503,"暂估")&gt;0,"暂估",IF($I473=0,"没有进价","正常"))))</f>
        <v/>
      </c>
      <c r="L473" s="27">
        <f>IF($A473="","",IFERROR(VLOOKUP($A473,库存台账!$A$5:$Y$1204,24,0),0))</f>
        <v/>
      </c>
      <c r="M473" s="26">
        <f>IF($A473="","",IFERROR(VLOOKUP($A473,库存台账!$A$5:$Y$1204,25,0),0))</f>
        <v/>
      </c>
      <c r="N473" s="19">
        <f>IF($A473="","",IFERROR(LOOKUP(2,1/((出库单!$D$4:$D$4003=$A473)*(出库单!$T$4:$T$4003="正常")),出库单!$C$4:$C$4003),""))</f>
        <v/>
      </c>
      <c r="O473" s="28">
        <f>IF($A473="","",IF($L473&lt;=0,"",IF($N473="",IFERROR(账期止-LOOKUP(2,1/(入库单!$G$4:$G$2503=$A473),入库单!$C$4:$C$2503),""),账期止-$N473)))</f>
        <v/>
      </c>
      <c r="P473" s="17" t="n"/>
    </row>
    <row r="474">
      <c r="A474" s="17" t="inlineStr">
        <is>
          <t>JH0471</t>
        </is>
      </c>
      <c r="B474" s="17" t="inlineStr">
        <is>
          <t>电缆电气</t>
        </is>
      </c>
      <c r="C474" s="17" t="inlineStr">
        <is>
          <t>配件电机</t>
        </is>
      </c>
      <c r="D474" s="17" t="inlineStr">
        <is>
          <t>7.5KW-4B5</t>
        </is>
      </c>
      <c r="E474" s="17" t="inlineStr">
        <is>
          <t>台</t>
        </is>
      </c>
      <c r="F474" s="17" t="inlineStr">
        <is>
          <t>否</t>
        </is>
      </c>
      <c r="G474" s="23" t="n"/>
      <c r="H474" s="24">
        <f>IF($A474="","",IFERROR(LOOKUP(2,1/((入库单!$G$4:$G$2503=$A474)*(入库单!$Y$4:$Y$2503="正常")*(入库单!$L$4:$L$2503&gt;0)),入库单!$D$4:$D$2503),""))</f>
        <v/>
      </c>
      <c r="I474" s="25">
        <f>IF($A474="","",IFERROR(LOOKUP(2,1/((入库单!$G$4:$G$2503=$A474)*(入库单!$Y$4:$Y$2503="正常")*(入库单!$L$4:$L$2503&gt;0)),入库单!$L$4:$L$2503),0))</f>
        <v/>
      </c>
      <c r="J474" s="26">
        <f>IF($A474="","",IF($H474="A国内",ROUND($I474*倍数A*汇率,0),IF($H474="B当地",ROUND($I474*系数B,0),0)))</f>
        <v/>
      </c>
      <c r="K474" s="24">
        <f>IF($A474="","",IF(COUNTIFS(入库单!$G$4:$G$2503,$A474,入库单!$X$4:$X$2503,"待补价")&gt;0,"待补价",IF(COUNTIFS(入库单!$G$4:$G$2503,$A474,入库单!$X$4:$X$2503,"暂估")&gt;0,"暂估",IF($I474=0,"没有进价","正常"))))</f>
        <v/>
      </c>
      <c r="L474" s="27">
        <f>IF($A474="","",IFERROR(VLOOKUP($A474,库存台账!$A$5:$Y$1204,24,0),0))</f>
        <v/>
      </c>
      <c r="M474" s="26">
        <f>IF($A474="","",IFERROR(VLOOKUP($A474,库存台账!$A$5:$Y$1204,25,0),0))</f>
        <v/>
      </c>
      <c r="N474" s="19">
        <f>IF($A474="","",IFERROR(LOOKUP(2,1/((出库单!$D$4:$D$4003=$A474)*(出库单!$T$4:$T$4003="正常")),出库单!$C$4:$C$4003),""))</f>
        <v/>
      </c>
      <c r="O474" s="28">
        <f>IF($A474="","",IF($L474&lt;=0,"",IF($N474="",IFERROR(账期止-LOOKUP(2,1/(入库单!$G$4:$G$2503=$A474),入库单!$C$4:$C$2503),""),账期止-$N474)))</f>
        <v/>
      </c>
      <c r="P474" s="17" t="n"/>
    </row>
    <row r="475">
      <c r="A475" s="17" t="inlineStr">
        <is>
          <t>JH0472</t>
        </is>
      </c>
      <c r="B475" s="17" t="inlineStr">
        <is>
          <t>机械配件</t>
        </is>
      </c>
      <c r="C475" s="17" t="inlineStr">
        <is>
          <t>皮带输送机长25米</t>
        </is>
      </c>
      <c r="D475" s="17" t="inlineStr">
        <is>
          <t>500</t>
        </is>
      </c>
      <c r="E475" s="17" t="inlineStr">
        <is>
          <t>台</t>
        </is>
      </c>
      <c r="F475" s="17" t="inlineStr">
        <is>
          <t>否</t>
        </is>
      </c>
      <c r="G475" s="23" t="n"/>
      <c r="H475" s="24">
        <f>IF($A475="","",IFERROR(LOOKUP(2,1/((入库单!$G$4:$G$2503=$A475)*(入库单!$Y$4:$Y$2503="正常")*(入库单!$L$4:$L$2503&gt;0)),入库单!$D$4:$D$2503),""))</f>
        <v/>
      </c>
      <c r="I475" s="25">
        <f>IF($A475="","",IFERROR(LOOKUP(2,1/((入库单!$G$4:$G$2503=$A475)*(入库单!$Y$4:$Y$2503="正常")*(入库单!$L$4:$L$2503&gt;0)),入库单!$L$4:$L$2503),0))</f>
        <v/>
      </c>
      <c r="J475" s="26">
        <f>IF($A475="","",IF($H475="A国内",ROUND($I475*倍数A*汇率,0),IF($H475="B当地",ROUND($I475*系数B,0),0)))</f>
        <v/>
      </c>
      <c r="K475" s="24">
        <f>IF($A475="","",IF(COUNTIFS(入库单!$G$4:$G$2503,$A475,入库单!$X$4:$X$2503,"待补价")&gt;0,"待补价",IF(COUNTIFS(入库单!$G$4:$G$2503,$A475,入库单!$X$4:$X$2503,"暂估")&gt;0,"暂估",IF($I475=0,"没有进价","正常"))))</f>
        <v/>
      </c>
      <c r="L475" s="27">
        <f>IF($A475="","",IFERROR(VLOOKUP($A475,库存台账!$A$5:$Y$1204,24,0),0))</f>
        <v/>
      </c>
      <c r="M475" s="26">
        <f>IF($A475="","",IFERROR(VLOOKUP($A475,库存台账!$A$5:$Y$1204,25,0),0))</f>
        <v/>
      </c>
      <c r="N475" s="19">
        <f>IF($A475="","",IFERROR(LOOKUP(2,1/((出库单!$D$4:$D$4003=$A475)*(出库单!$T$4:$T$4003="正常")),出库单!$C$4:$C$4003),""))</f>
        <v/>
      </c>
      <c r="O475" s="28">
        <f>IF($A475="","",IF($L475&lt;=0,"",IF($N475="",IFERROR(账期止-LOOKUP(2,1/(入库单!$G$4:$G$2503=$A475),入库单!$C$4:$C$2503),""),账期止-$N475)))</f>
        <v/>
      </c>
      <c r="P475" s="17" t="n"/>
    </row>
    <row r="476">
      <c r="A476" s="17" t="inlineStr">
        <is>
          <t>JH0473</t>
        </is>
      </c>
      <c r="B476" s="17" t="inlineStr">
        <is>
          <t>机械配件</t>
        </is>
      </c>
      <c r="C476" s="17" t="inlineStr">
        <is>
          <t>皮带输送机长7米</t>
        </is>
      </c>
      <c r="D476" s="17" t="inlineStr">
        <is>
          <t>500</t>
        </is>
      </c>
      <c r="E476" s="17" t="inlineStr">
        <is>
          <t>台</t>
        </is>
      </c>
      <c r="F476" s="17" t="inlineStr">
        <is>
          <t>否</t>
        </is>
      </c>
      <c r="G476" s="23" t="n"/>
      <c r="H476" s="24">
        <f>IF($A476="","",IFERROR(LOOKUP(2,1/((入库单!$G$4:$G$2503=$A476)*(入库单!$Y$4:$Y$2503="正常")*(入库单!$L$4:$L$2503&gt;0)),入库单!$D$4:$D$2503),""))</f>
        <v/>
      </c>
      <c r="I476" s="25">
        <f>IF($A476="","",IFERROR(LOOKUP(2,1/((入库单!$G$4:$G$2503=$A476)*(入库单!$Y$4:$Y$2503="正常")*(入库单!$L$4:$L$2503&gt;0)),入库单!$L$4:$L$2503),0))</f>
        <v/>
      </c>
      <c r="J476" s="26">
        <f>IF($A476="","",IF($H476="A国内",ROUND($I476*倍数A*汇率,0),IF($H476="B当地",ROUND($I476*系数B,0),0)))</f>
        <v/>
      </c>
      <c r="K476" s="24">
        <f>IF($A476="","",IF(COUNTIFS(入库单!$G$4:$G$2503,$A476,入库单!$X$4:$X$2503,"待补价")&gt;0,"待补价",IF(COUNTIFS(入库单!$G$4:$G$2503,$A476,入库单!$X$4:$X$2503,"暂估")&gt;0,"暂估",IF($I476=0,"没有进价","正常"))))</f>
        <v/>
      </c>
      <c r="L476" s="27">
        <f>IF($A476="","",IFERROR(VLOOKUP($A476,库存台账!$A$5:$Y$1204,24,0),0))</f>
        <v/>
      </c>
      <c r="M476" s="26">
        <f>IF($A476="","",IFERROR(VLOOKUP($A476,库存台账!$A$5:$Y$1204,25,0),0))</f>
        <v/>
      </c>
      <c r="N476" s="19">
        <f>IF($A476="","",IFERROR(LOOKUP(2,1/((出库单!$D$4:$D$4003=$A476)*(出库单!$T$4:$T$4003="正常")),出库单!$C$4:$C$4003),""))</f>
        <v/>
      </c>
      <c r="O476" s="28">
        <f>IF($A476="","",IF($L476&lt;=0,"",IF($N476="",IFERROR(账期止-LOOKUP(2,1/(入库单!$G$4:$G$2503=$A476),入库单!$C$4:$C$2503),""),账期止-$N476)))</f>
        <v/>
      </c>
      <c r="P476" s="17" t="n"/>
    </row>
    <row r="477">
      <c r="A477" s="17" t="inlineStr">
        <is>
          <t>JH0474</t>
        </is>
      </c>
      <c r="B477" s="17" t="inlineStr">
        <is>
          <t>其他</t>
        </is>
      </c>
      <c r="C477" s="17" t="inlineStr">
        <is>
          <t>头架</t>
        </is>
      </c>
      <c r="D477" s="17" t="inlineStr">
        <is>
          <t>0</t>
        </is>
      </c>
      <c r="E477" s="17" t="inlineStr">
        <is>
          <t>台</t>
        </is>
      </c>
      <c r="F477" s="17" t="inlineStr">
        <is>
          <t>否</t>
        </is>
      </c>
      <c r="G477" s="23" t="n"/>
      <c r="H477" s="24">
        <f>IF($A477="","",IFERROR(LOOKUP(2,1/((入库单!$G$4:$G$2503=$A477)*(入库单!$Y$4:$Y$2503="正常")*(入库单!$L$4:$L$2503&gt;0)),入库单!$D$4:$D$2503),""))</f>
        <v/>
      </c>
      <c r="I477" s="25">
        <f>IF($A477="","",IFERROR(LOOKUP(2,1/((入库单!$G$4:$G$2503=$A477)*(入库单!$Y$4:$Y$2503="正常")*(入库单!$L$4:$L$2503&gt;0)),入库单!$L$4:$L$2503),0))</f>
        <v/>
      </c>
      <c r="J477" s="26">
        <f>IF($A477="","",IF($H477="A国内",ROUND($I477*倍数A*汇率,0),IF($H477="B当地",ROUND($I477*系数B,0),0)))</f>
        <v/>
      </c>
      <c r="K477" s="24">
        <f>IF($A477="","",IF(COUNTIFS(入库单!$G$4:$G$2503,$A477,入库单!$X$4:$X$2503,"待补价")&gt;0,"待补价",IF(COUNTIFS(入库单!$G$4:$G$2503,$A477,入库单!$X$4:$X$2503,"暂估")&gt;0,"暂估",IF($I477=0,"没有进价","正常"))))</f>
        <v/>
      </c>
      <c r="L477" s="27">
        <f>IF($A477="","",IFERROR(VLOOKUP($A477,库存台账!$A$5:$Y$1204,24,0),0))</f>
        <v/>
      </c>
      <c r="M477" s="26">
        <f>IF($A477="","",IFERROR(VLOOKUP($A477,库存台账!$A$5:$Y$1204,25,0),0))</f>
        <v/>
      </c>
      <c r="N477" s="19">
        <f>IF($A477="","",IFERROR(LOOKUP(2,1/((出库单!$D$4:$D$4003=$A477)*(出库单!$T$4:$T$4003="正常")),出库单!$C$4:$C$4003),""))</f>
        <v/>
      </c>
      <c r="O477" s="28">
        <f>IF($A477="","",IF($L477&lt;=0,"",IF($N477="",IFERROR(账期止-LOOKUP(2,1/(入库单!$G$4:$G$2503=$A477),入库单!$C$4:$C$2503),""),账期止-$N477)))</f>
        <v/>
      </c>
      <c r="P477" s="17" t="n"/>
    </row>
    <row r="478">
      <c r="A478" s="17" t="inlineStr">
        <is>
          <t>JH0475</t>
        </is>
      </c>
      <c r="B478" s="17" t="inlineStr">
        <is>
          <t>其他</t>
        </is>
      </c>
      <c r="C478" s="17" t="inlineStr">
        <is>
          <t>尾架</t>
        </is>
      </c>
      <c r="D478" s="17" t="inlineStr">
        <is>
          <t>0</t>
        </is>
      </c>
      <c r="E478" s="17" t="inlineStr">
        <is>
          <t>台</t>
        </is>
      </c>
      <c r="F478" s="17" t="inlineStr">
        <is>
          <t>否</t>
        </is>
      </c>
      <c r="G478" s="23" t="n"/>
      <c r="H478" s="24">
        <f>IF($A478="","",IFERROR(LOOKUP(2,1/((入库单!$G$4:$G$2503=$A478)*(入库单!$Y$4:$Y$2503="正常")*(入库单!$L$4:$L$2503&gt;0)),入库单!$D$4:$D$2503),""))</f>
        <v/>
      </c>
      <c r="I478" s="25">
        <f>IF($A478="","",IFERROR(LOOKUP(2,1/((入库单!$G$4:$G$2503=$A478)*(入库单!$Y$4:$Y$2503="正常")*(入库单!$L$4:$L$2503&gt;0)),入库单!$L$4:$L$2503),0))</f>
        <v/>
      </c>
      <c r="J478" s="26">
        <f>IF($A478="","",IF($H478="A国内",ROUND($I478*倍数A*汇率,0),IF($H478="B当地",ROUND($I478*系数B,0),0)))</f>
        <v/>
      </c>
      <c r="K478" s="24">
        <f>IF($A478="","",IF(COUNTIFS(入库单!$G$4:$G$2503,$A478,入库单!$X$4:$X$2503,"待补价")&gt;0,"待补价",IF(COUNTIFS(入库单!$G$4:$G$2503,$A478,入库单!$X$4:$X$2503,"暂估")&gt;0,"暂估",IF($I478=0,"没有进价","正常"))))</f>
        <v/>
      </c>
      <c r="L478" s="27">
        <f>IF($A478="","",IFERROR(VLOOKUP($A478,库存台账!$A$5:$Y$1204,24,0),0))</f>
        <v/>
      </c>
      <c r="M478" s="26">
        <f>IF($A478="","",IFERROR(VLOOKUP($A478,库存台账!$A$5:$Y$1204,25,0),0))</f>
        <v/>
      </c>
      <c r="N478" s="19">
        <f>IF($A478="","",IFERROR(LOOKUP(2,1/((出库单!$D$4:$D$4003=$A478)*(出库单!$T$4:$T$4003="正常")),出库单!$C$4:$C$4003),""))</f>
        <v/>
      </c>
      <c r="O478" s="28">
        <f>IF($A478="","",IF($L478&lt;=0,"",IF($N478="",IFERROR(账期止-LOOKUP(2,1/(入库单!$G$4:$G$2503=$A478),入库单!$C$4:$C$2503),""),账期止-$N478)))</f>
        <v/>
      </c>
      <c r="P478" s="17" t="n"/>
    </row>
    <row r="479">
      <c r="A479" s="17" t="inlineStr">
        <is>
          <t>JH0476</t>
        </is>
      </c>
      <c r="B479" s="17" t="inlineStr">
        <is>
          <t>电缆电气</t>
        </is>
      </c>
      <c r="C479" s="17" t="inlineStr">
        <is>
          <t>配件电机</t>
        </is>
      </c>
      <c r="D479" s="17" t="inlineStr">
        <is>
          <t>3KW-4B5</t>
        </is>
      </c>
      <c r="E479" s="17" t="inlineStr">
        <is>
          <t>台</t>
        </is>
      </c>
      <c r="F479" s="17" t="inlineStr">
        <is>
          <t>否</t>
        </is>
      </c>
      <c r="G479" s="23" t="n"/>
      <c r="H479" s="24">
        <f>IF($A479="","",IFERROR(LOOKUP(2,1/((入库单!$G$4:$G$2503=$A479)*(入库单!$Y$4:$Y$2503="正常")*(入库单!$L$4:$L$2503&gt;0)),入库单!$D$4:$D$2503),""))</f>
        <v/>
      </c>
      <c r="I479" s="25">
        <f>IF($A479="","",IFERROR(LOOKUP(2,1/((入库单!$G$4:$G$2503=$A479)*(入库单!$Y$4:$Y$2503="正常")*(入库单!$L$4:$L$2503&gt;0)),入库单!$L$4:$L$2503),0))</f>
        <v/>
      </c>
      <c r="J479" s="26">
        <f>IF($A479="","",IF($H479="A国内",ROUND($I479*倍数A*汇率,0),IF($H479="B当地",ROUND($I479*系数B,0),0)))</f>
        <v/>
      </c>
      <c r="K479" s="24">
        <f>IF($A479="","",IF(COUNTIFS(入库单!$G$4:$G$2503,$A479,入库单!$X$4:$X$2503,"待补价")&gt;0,"待补价",IF(COUNTIFS(入库单!$G$4:$G$2503,$A479,入库单!$X$4:$X$2503,"暂估")&gt;0,"暂估",IF($I479=0,"没有进价","正常"))))</f>
        <v/>
      </c>
      <c r="L479" s="27">
        <f>IF($A479="","",IFERROR(VLOOKUP($A479,库存台账!$A$5:$Y$1204,24,0),0))</f>
        <v/>
      </c>
      <c r="M479" s="26">
        <f>IF($A479="","",IFERROR(VLOOKUP($A479,库存台账!$A$5:$Y$1204,25,0),0))</f>
        <v/>
      </c>
      <c r="N479" s="19">
        <f>IF($A479="","",IFERROR(LOOKUP(2,1/((出库单!$D$4:$D$4003=$A479)*(出库单!$T$4:$T$4003="正常")),出库单!$C$4:$C$4003),""))</f>
        <v/>
      </c>
      <c r="O479" s="28">
        <f>IF($A479="","",IF($L479&lt;=0,"",IF($N479="",IFERROR(账期止-LOOKUP(2,1/(入库单!$G$4:$G$2503=$A479),入库单!$C$4:$C$2503),""),账期止-$N479)))</f>
        <v/>
      </c>
      <c r="P479" s="17" t="n"/>
    </row>
    <row r="480">
      <c r="A480" s="17" t="inlineStr">
        <is>
          <t>JH0477</t>
        </is>
      </c>
      <c r="B480" s="17" t="inlineStr">
        <is>
          <t>机械配件</t>
        </is>
      </c>
      <c r="C480" s="17" t="inlineStr">
        <is>
          <t>所有皮带机连接板</t>
        </is>
      </c>
      <c r="D480" s="17" t="inlineStr">
        <is>
          <t>0</t>
        </is>
      </c>
      <c r="E480" s="17" t="inlineStr">
        <is>
          <t>件</t>
        </is>
      </c>
      <c r="F480" s="17" t="inlineStr">
        <is>
          <t>否</t>
        </is>
      </c>
      <c r="G480" s="23" t="n"/>
      <c r="H480" s="24">
        <f>IF($A480="","",IFERROR(LOOKUP(2,1/((入库单!$G$4:$G$2503=$A480)*(入库单!$Y$4:$Y$2503="正常")*(入库单!$L$4:$L$2503&gt;0)),入库单!$D$4:$D$2503),""))</f>
        <v/>
      </c>
      <c r="I480" s="25">
        <f>IF($A480="","",IFERROR(LOOKUP(2,1/((入库单!$G$4:$G$2503=$A480)*(入库单!$Y$4:$Y$2503="正常")*(入库单!$L$4:$L$2503&gt;0)),入库单!$L$4:$L$2503),0))</f>
        <v/>
      </c>
      <c r="J480" s="26">
        <f>IF($A480="","",IF($H480="A国内",ROUND($I480*倍数A*汇率,0),IF($H480="B当地",ROUND($I480*系数B,0),0)))</f>
        <v/>
      </c>
      <c r="K480" s="24">
        <f>IF($A480="","",IF(COUNTIFS(入库单!$G$4:$G$2503,$A480,入库单!$X$4:$X$2503,"待补价")&gt;0,"待补价",IF(COUNTIFS(入库单!$G$4:$G$2503,$A480,入库单!$X$4:$X$2503,"暂估")&gt;0,"暂估",IF($I480=0,"没有进价","正常"))))</f>
        <v/>
      </c>
      <c r="L480" s="27">
        <f>IF($A480="","",IFERROR(VLOOKUP($A480,库存台账!$A$5:$Y$1204,24,0),0))</f>
        <v/>
      </c>
      <c r="M480" s="26">
        <f>IF($A480="","",IFERROR(VLOOKUP($A480,库存台账!$A$5:$Y$1204,25,0),0))</f>
        <v/>
      </c>
      <c r="N480" s="19">
        <f>IF($A480="","",IFERROR(LOOKUP(2,1/((出库单!$D$4:$D$4003=$A480)*(出库单!$T$4:$T$4003="正常")),出库单!$C$4:$C$4003),""))</f>
        <v/>
      </c>
      <c r="O480" s="28">
        <f>IF($A480="","",IF($L480&lt;=0,"",IF($N480="",IFERROR(账期止-LOOKUP(2,1/(入库单!$G$4:$G$2503=$A480),入库单!$C$4:$C$2503),""),账期止-$N480)))</f>
        <v/>
      </c>
      <c r="P480" s="17" t="n"/>
    </row>
    <row r="481">
      <c r="A481" s="17" t="inlineStr">
        <is>
          <t>JH0478</t>
        </is>
      </c>
      <c r="B481" s="17" t="inlineStr">
        <is>
          <t>机械配件</t>
        </is>
      </c>
      <c r="C481" s="17" t="inlineStr">
        <is>
          <t>所有皮带机螺栓</t>
        </is>
      </c>
      <c r="D481" s="17" t="inlineStr">
        <is>
          <t>16*40</t>
        </is>
      </c>
      <c r="E481" s="17" t="inlineStr">
        <is>
          <t>套</t>
        </is>
      </c>
      <c r="F481" s="17" t="inlineStr">
        <is>
          <t>否</t>
        </is>
      </c>
      <c r="G481" s="23" t="n"/>
      <c r="H481" s="24">
        <f>IF($A481="","",IFERROR(LOOKUP(2,1/((入库单!$G$4:$G$2503=$A481)*(入库单!$Y$4:$Y$2503="正常")*(入库单!$L$4:$L$2503&gt;0)),入库单!$D$4:$D$2503),""))</f>
        <v/>
      </c>
      <c r="I481" s="25">
        <f>IF($A481="","",IFERROR(LOOKUP(2,1/((入库单!$G$4:$G$2503=$A481)*(入库单!$Y$4:$Y$2503="正常")*(入库单!$L$4:$L$2503&gt;0)),入库单!$L$4:$L$2503),0))</f>
        <v/>
      </c>
      <c r="J481" s="26">
        <f>IF($A481="","",IF($H481="A国内",ROUND($I481*倍数A*汇率,0),IF($H481="B当地",ROUND($I481*系数B,0),0)))</f>
        <v/>
      </c>
      <c r="K481" s="24">
        <f>IF($A481="","",IF(COUNTIFS(入库单!$G$4:$G$2503,$A481,入库单!$X$4:$X$2503,"待补价")&gt;0,"待补价",IF(COUNTIFS(入库单!$G$4:$G$2503,$A481,入库单!$X$4:$X$2503,"暂估")&gt;0,"暂估",IF($I481=0,"没有进价","正常"))))</f>
        <v/>
      </c>
      <c r="L481" s="27">
        <f>IF($A481="","",IFERROR(VLOOKUP($A481,库存台账!$A$5:$Y$1204,24,0),0))</f>
        <v/>
      </c>
      <c r="M481" s="26">
        <f>IF($A481="","",IFERROR(VLOOKUP($A481,库存台账!$A$5:$Y$1204,25,0),0))</f>
        <v/>
      </c>
      <c r="N481" s="19">
        <f>IF($A481="","",IFERROR(LOOKUP(2,1/((出库单!$D$4:$D$4003=$A481)*(出库单!$T$4:$T$4003="正常")),出库单!$C$4:$C$4003),""))</f>
        <v/>
      </c>
      <c r="O481" s="28">
        <f>IF($A481="","",IF($L481&lt;=0,"",IF($N481="",IFERROR(账期止-LOOKUP(2,1/(入库单!$G$4:$G$2503=$A481),入库单!$C$4:$C$2503),""),账期止-$N481)))</f>
        <v/>
      </c>
      <c r="P481" s="17" t="n"/>
    </row>
    <row r="482">
      <c r="A482" s="17" t="inlineStr">
        <is>
          <t>JH0479</t>
        </is>
      </c>
      <c r="B482" s="17" t="inlineStr">
        <is>
          <t>机械配件</t>
        </is>
      </c>
      <c r="C482" s="17" t="inlineStr">
        <is>
          <t>所有皮带机螺栓</t>
        </is>
      </c>
      <c r="D482" s="17" t="inlineStr">
        <is>
          <t>8*30</t>
        </is>
      </c>
      <c r="E482" s="17" t="inlineStr">
        <is>
          <t>套</t>
        </is>
      </c>
      <c r="F482" s="17" t="inlineStr">
        <is>
          <t>否</t>
        </is>
      </c>
      <c r="G482" s="23" t="n"/>
      <c r="H482" s="24">
        <f>IF($A482="","",IFERROR(LOOKUP(2,1/((入库单!$G$4:$G$2503=$A482)*(入库单!$Y$4:$Y$2503="正常")*(入库单!$L$4:$L$2503&gt;0)),入库单!$D$4:$D$2503),""))</f>
        <v/>
      </c>
      <c r="I482" s="25">
        <f>IF($A482="","",IFERROR(LOOKUP(2,1/((入库单!$G$4:$G$2503=$A482)*(入库单!$Y$4:$Y$2503="正常")*(入库单!$L$4:$L$2503&gt;0)),入库单!$L$4:$L$2503),0))</f>
        <v/>
      </c>
      <c r="J482" s="26">
        <f>IF($A482="","",IF($H482="A国内",ROUND($I482*倍数A*汇率,0),IF($H482="B当地",ROUND($I482*系数B,0),0)))</f>
        <v/>
      </c>
      <c r="K482" s="24">
        <f>IF($A482="","",IF(COUNTIFS(入库单!$G$4:$G$2503,$A482,入库单!$X$4:$X$2503,"待补价")&gt;0,"待补价",IF(COUNTIFS(入库单!$G$4:$G$2503,$A482,入库单!$X$4:$X$2503,"暂估")&gt;0,"暂估",IF($I482=0,"没有进价","正常"))))</f>
        <v/>
      </c>
      <c r="L482" s="27">
        <f>IF($A482="","",IFERROR(VLOOKUP($A482,库存台账!$A$5:$Y$1204,24,0),0))</f>
        <v/>
      </c>
      <c r="M482" s="26">
        <f>IF($A482="","",IFERROR(VLOOKUP($A482,库存台账!$A$5:$Y$1204,25,0),0))</f>
        <v/>
      </c>
      <c r="N482" s="19">
        <f>IF($A482="","",IFERROR(LOOKUP(2,1/((出库单!$D$4:$D$4003=$A482)*(出库单!$T$4:$T$4003="正常")),出库单!$C$4:$C$4003),""))</f>
        <v/>
      </c>
      <c r="O482" s="28">
        <f>IF($A482="","",IF($L482&lt;=0,"",IF($N482="",IFERROR(账期止-LOOKUP(2,1/(入库单!$G$4:$G$2503=$A482),入库单!$C$4:$C$2503),""),账期止-$N482)))</f>
        <v/>
      </c>
      <c r="P482" s="17" t="n"/>
    </row>
    <row r="483">
      <c r="A483" s="17" t="inlineStr">
        <is>
          <t>JH0480</t>
        </is>
      </c>
      <c r="B483" s="17" t="inlineStr">
        <is>
          <t>机械配件</t>
        </is>
      </c>
      <c r="C483" s="17" t="inlineStr">
        <is>
          <t>所有皮带机螺栓</t>
        </is>
      </c>
      <c r="D483" s="17" t="inlineStr">
        <is>
          <t>12*40</t>
        </is>
      </c>
      <c r="E483" s="17" t="inlineStr">
        <is>
          <t>套</t>
        </is>
      </c>
      <c r="F483" s="17" t="inlineStr">
        <is>
          <t>否</t>
        </is>
      </c>
      <c r="G483" s="23" t="n"/>
      <c r="H483" s="24">
        <f>IF($A483="","",IFERROR(LOOKUP(2,1/((入库单!$G$4:$G$2503=$A483)*(入库单!$Y$4:$Y$2503="正常")*(入库单!$L$4:$L$2503&gt;0)),入库单!$D$4:$D$2503),""))</f>
        <v/>
      </c>
      <c r="I483" s="25">
        <f>IF($A483="","",IFERROR(LOOKUP(2,1/((入库单!$G$4:$G$2503=$A483)*(入库单!$Y$4:$Y$2503="正常")*(入库单!$L$4:$L$2503&gt;0)),入库单!$L$4:$L$2503),0))</f>
        <v/>
      </c>
      <c r="J483" s="26">
        <f>IF($A483="","",IF($H483="A国内",ROUND($I483*倍数A*汇率,0),IF($H483="B当地",ROUND($I483*系数B,0),0)))</f>
        <v/>
      </c>
      <c r="K483" s="24">
        <f>IF($A483="","",IF(COUNTIFS(入库单!$G$4:$G$2503,$A483,入库单!$X$4:$X$2503,"待补价")&gt;0,"待补价",IF(COUNTIFS(入库单!$G$4:$G$2503,$A483,入库单!$X$4:$X$2503,"暂估")&gt;0,"暂估",IF($I483=0,"没有进价","正常"))))</f>
        <v/>
      </c>
      <c r="L483" s="27">
        <f>IF($A483="","",IFERROR(VLOOKUP($A483,库存台账!$A$5:$Y$1204,24,0),0))</f>
        <v/>
      </c>
      <c r="M483" s="26">
        <f>IF($A483="","",IFERROR(VLOOKUP($A483,库存台账!$A$5:$Y$1204,25,0),0))</f>
        <v/>
      </c>
      <c r="N483" s="19">
        <f>IF($A483="","",IFERROR(LOOKUP(2,1/((出库单!$D$4:$D$4003=$A483)*(出库单!$T$4:$T$4003="正常")),出库单!$C$4:$C$4003),""))</f>
        <v/>
      </c>
      <c r="O483" s="28">
        <f>IF($A483="","",IF($L483&lt;=0,"",IF($N483="",IFERROR(账期止-LOOKUP(2,1/(入库单!$G$4:$G$2503=$A483),入库单!$C$4:$C$2503),""),账期止-$N483)))</f>
        <v/>
      </c>
      <c r="P483" s="17" t="n"/>
    </row>
    <row r="484">
      <c r="A484" s="17" t="inlineStr">
        <is>
          <t>JH0481</t>
        </is>
      </c>
      <c r="B484" s="17" t="inlineStr">
        <is>
          <t>机械设备</t>
        </is>
      </c>
      <c r="C484" s="17" t="inlineStr">
        <is>
          <t>长衬板</t>
        </is>
      </c>
      <c r="D484" s="17" t="inlineStr">
        <is>
          <t>1845球磨机装机衬板</t>
        </is>
      </c>
      <c r="E484" s="17" t="inlineStr">
        <is>
          <t>件</t>
        </is>
      </c>
      <c r="F484" s="17" t="inlineStr">
        <is>
          <t>否</t>
        </is>
      </c>
      <c r="G484" s="23" t="n"/>
      <c r="H484" s="24">
        <f>IF($A484="","",IFERROR(LOOKUP(2,1/((入库单!$G$4:$G$2503=$A484)*(入库单!$Y$4:$Y$2503="正常")*(入库单!$L$4:$L$2503&gt;0)),入库单!$D$4:$D$2503),""))</f>
        <v/>
      </c>
      <c r="I484" s="25">
        <f>IF($A484="","",IFERROR(LOOKUP(2,1/((入库单!$G$4:$G$2503=$A484)*(入库单!$Y$4:$Y$2503="正常")*(入库单!$L$4:$L$2503&gt;0)),入库单!$L$4:$L$2503),0))</f>
        <v/>
      </c>
      <c r="J484" s="26">
        <f>IF($A484="","",IF($H484="A国内",ROUND($I484*倍数A*汇率,0),IF($H484="B当地",ROUND($I484*系数B,0),0)))</f>
        <v/>
      </c>
      <c r="K484" s="24">
        <f>IF($A484="","",IF(COUNTIFS(入库单!$G$4:$G$2503,$A484,入库单!$X$4:$X$2503,"待补价")&gt;0,"待补价",IF(COUNTIFS(入库单!$G$4:$G$2503,$A484,入库单!$X$4:$X$2503,"暂估")&gt;0,"暂估",IF($I484=0,"没有进价","正常"))))</f>
        <v/>
      </c>
      <c r="L484" s="27">
        <f>IF($A484="","",IFERROR(VLOOKUP($A484,库存台账!$A$5:$Y$1204,24,0),0))</f>
        <v/>
      </c>
      <c r="M484" s="26">
        <f>IF($A484="","",IFERROR(VLOOKUP($A484,库存台账!$A$5:$Y$1204,25,0),0))</f>
        <v/>
      </c>
      <c r="N484" s="19">
        <f>IF($A484="","",IFERROR(LOOKUP(2,1/((出库单!$D$4:$D$4003=$A484)*(出库单!$T$4:$T$4003="正常")),出库单!$C$4:$C$4003),""))</f>
        <v/>
      </c>
      <c r="O484" s="28">
        <f>IF($A484="","",IF($L484&lt;=0,"",IF($N484="",IFERROR(账期止-LOOKUP(2,1/(入库单!$G$4:$G$2503=$A484),入库单!$C$4:$C$2503),""),账期止-$N484)))</f>
        <v/>
      </c>
      <c r="P484" s="17" t="n"/>
    </row>
    <row r="485">
      <c r="A485" s="17" t="inlineStr">
        <is>
          <t>JH0482</t>
        </is>
      </c>
      <c r="B485" s="17" t="inlineStr">
        <is>
          <t>机械设备</t>
        </is>
      </c>
      <c r="C485" s="17" t="inlineStr">
        <is>
          <t>短衬板</t>
        </is>
      </c>
      <c r="D485" s="17" t="inlineStr">
        <is>
          <t>1845球磨机装机衬板</t>
        </is>
      </c>
      <c r="E485" s="17" t="inlineStr">
        <is>
          <t>件</t>
        </is>
      </c>
      <c r="F485" s="17" t="inlineStr">
        <is>
          <t>否</t>
        </is>
      </c>
      <c r="G485" s="23" t="n"/>
      <c r="H485" s="24">
        <f>IF($A485="","",IFERROR(LOOKUP(2,1/((入库单!$G$4:$G$2503=$A485)*(入库单!$Y$4:$Y$2503="正常")*(入库单!$L$4:$L$2503&gt;0)),入库单!$D$4:$D$2503),""))</f>
        <v/>
      </c>
      <c r="I485" s="25">
        <f>IF($A485="","",IFERROR(LOOKUP(2,1/((入库单!$G$4:$G$2503=$A485)*(入库单!$Y$4:$Y$2503="正常")*(入库单!$L$4:$L$2503&gt;0)),入库单!$L$4:$L$2503),0))</f>
        <v/>
      </c>
      <c r="J485" s="26">
        <f>IF($A485="","",IF($H485="A国内",ROUND($I485*倍数A*汇率,0),IF($H485="B当地",ROUND($I485*系数B,0),0)))</f>
        <v/>
      </c>
      <c r="K485" s="24">
        <f>IF($A485="","",IF(COUNTIFS(入库单!$G$4:$G$2503,$A485,入库单!$X$4:$X$2503,"待补价")&gt;0,"待补价",IF(COUNTIFS(入库单!$G$4:$G$2503,$A485,入库单!$X$4:$X$2503,"暂估")&gt;0,"暂估",IF($I485=0,"没有进价","正常"))))</f>
        <v/>
      </c>
      <c r="L485" s="27">
        <f>IF($A485="","",IFERROR(VLOOKUP($A485,库存台账!$A$5:$Y$1204,24,0),0))</f>
        <v/>
      </c>
      <c r="M485" s="26">
        <f>IF($A485="","",IFERROR(VLOOKUP($A485,库存台账!$A$5:$Y$1204,25,0),0))</f>
        <v/>
      </c>
      <c r="N485" s="19">
        <f>IF($A485="","",IFERROR(LOOKUP(2,1/((出库单!$D$4:$D$4003=$A485)*(出库单!$T$4:$T$4003="正常")),出库单!$C$4:$C$4003),""))</f>
        <v/>
      </c>
      <c r="O485" s="28">
        <f>IF($A485="","",IF($L485&lt;=0,"",IF($N485="",IFERROR(账期止-LOOKUP(2,1/(入库单!$G$4:$G$2503=$A485),入库单!$C$4:$C$2503),""),账期止-$N485)))</f>
        <v/>
      </c>
      <c r="P485" s="17" t="n"/>
    </row>
    <row r="486">
      <c r="A486" s="17" t="inlineStr">
        <is>
          <t>JH0483</t>
        </is>
      </c>
      <c r="B486" s="17" t="inlineStr">
        <is>
          <t>机械设备</t>
        </is>
      </c>
      <c r="C486" s="17" t="inlineStr">
        <is>
          <t>进料端板</t>
        </is>
      </c>
      <c r="D486" s="17" t="inlineStr">
        <is>
          <t>1845球磨机装机衬板</t>
        </is>
      </c>
      <c r="E486" s="17" t="inlineStr">
        <is>
          <t>件</t>
        </is>
      </c>
      <c r="F486" s="17" t="inlineStr">
        <is>
          <t>否</t>
        </is>
      </c>
      <c r="G486" s="23" t="n"/>
      <c r="H486" s="24">
        <f>IF($A486="","",IFERROR(LOOKUP(2,1/((入库单!$G$4:$G$2503=$A486)*(入库单!$Y$4:$Y$2503="正常")*(入库单!$L$4:$L$2503&gt;0)),入库单!$D$4:$D$2503),""))</f>
        <v/>
      </c>
      <c r="I486" s="25">
        <f>IF($A486="","",IFERROR(LOOKUP(2,1/((入库单!$G$4:$G$2503=$A486)*(入库单!$Y$4:$Y$2503="正常")*(入库单!$L$4:$L$2503&gt;0)),入库单!$L$4:$L$2503),0))</f>
        <v/>
      </c>
      <c r="J486" s="26">
        <f>IF($A486="","",IF($H486="A国内",ROUND($I486*倍数A*汇率,0),IF($H486="B当地",ROUND($I486*系数B,0),0)))</f>
        <v/>
      </c>
      <c r="K486" s="24">
        <f>IF($A486="","",IF(COUNTIFS(入库单!$G$4:$G$2503,$A486,入库单!$X$4:$X$2503,"待补价")&gt;0,"待补价",IF(COUNTIFS(入库单!$G$4:$G$2503,$A486,入库单!$X$4:$X$2503,"暂估")&gt;0,"暂估",IF($I486=0,"没有进价","正常"))))</f>
        <v/>
      </c>
      <c r="L486" s="27">
        <f>IF($A486="","",IFERROR(VLOOKUP($A486,库存台账!$A$5:$Y$1204,24,0),0))</f>
        <v/>
      </c>
      <c r="M486" s="26">
        <f>IF($A486="","",IFERROR(VLOOKUP($A486,库存台账!$A$5:$Y$1204,25,0),0))</f>
        <v/>
      </c>
      <c r="N486" s="19">
        <f>IF($A486="","",IFERROR(LOOKUP(2,1/((出库单!$D$4:$D$4003=$A486)*(出库单!$T$4:$T$4003="正常")),出库单!$C$4:$C$4003),""))</f>
        <v/>
      </c>
      <c r="O486" s="28">
        <f>IF($A486="","",IF($L486&lt;=0,"",IF($N486="",IFERROR(账期止-LOOKUP(2,1/(入库单!$G$4:$G$2503=$A486),入库单!$C$4:$C$2503),""),账期止-$N486)))</f>
        <v/>
      </c>
      <c r="P486" s="17" t="n"/>
    </row>
    <row r="487">
      <c r="A487" s="17" t="inlineStr">
        <is>
          <t>JH0484</t>
        </is>
      </c>
      <c r="B487" s="17" t="inlineStr">
        <is>
          <t>机械设备</t>
        </is>
      </c>
      <c r="C487" s="17" t="inlineStr">
        <is>
          <t>出料格板</t>
        </is>
      </c>
      <c r="D487" s="17" t="inlineStr">
        <is>
          <t>1845球磨机装机衬板</t>
        </is>
      </c>
      <c r="E487" s="17" t="inlineStr">
        <is>
          <t>件</t>
        </is>
      </c>
      <c r="F487" s="17" t="inlineStr">
        <is>
          <t>否</t>
        </is>
      </c>
      <c r="G487" s="23" t="n"/>
      <c r="H487" s="24">
        <f>IF($A487="","",IFERROR(LOOKUP(2,1/((入库单!$G$4:$G$2503=$A487)*(入库单!$Y$4:$Y$2503="正常")*(入库单!$L$4:$L$2503&gt;0)),入库单!$D$4:$D$2503),""))</f>
        <v/>
      </c>
      <c r="I487" s="25">
        <f>IF($A487="","",IFERROR(LOOKUP(2,1/((入库单!$G$4:$G$2503=$A487)*(入库单!$Y$4:$Y$2503="正常")*(入库单!$L$4:$L$2503&gt;0)),入库单!$L$4:$L$2503),0))</f>
        <v/>
      </c>
      <c r="J487" s="26">
        <f>IF($A487="","",IF($H487="A国内",ROUND($I487*倍数A*汇率,0),IF($H487="B当地",ROUND($I487*系数B,0),0)))</f>
        <v/>
      </c>
      <c r="K487" s="24">
        <f>IF($A487="","",IF(COUNTIFS(入库单!$G$4:$G$2503,$A487,入库单!$X$4:$X$2503,"待补价")&gt;0,"待补价",IF(COUNTIFS(入库单!$G$4:$G$2503,$A487,入库单!$X$4:$X$2503,"暂估")&gt;0,"暂估",IF($I487=0,"没有进价","正常"))))</f>
        <v/>
      </c>
      <c r="L487" s="27">
        <f>IF($A487="","",IFERROR(VLOOKUP($A487,库存台账!$A$5:$Y$1204,24,0),0))</f>
        <v/>
      </c>
      <c r="M487" s="26">
        <f>IF($A487="","",IFERROR(VLOOKUP($A487,库存台账!$A$5:$Y$1204,25,0),0))</f>
        <v/>
      </c>
      <c r="N487" s="19">
        <f>IF($A487="","",IFERROR(LOOKUP(2,1/((出库单!$D$4:$D$4003=$A487)*(出库单!$T$4:$T$4003="正常")),出库单!$C$4:$C$4003),""))</f>
        <v/>
      </c>
      <c r="O487" s="28">
        <f>IF($A487="","",IF($L487&lt;=0,"",IF($N487="",IFERROR(账期止-LOOKUP(2,1/(入库单!$G$4:$G$2503=$A487),入库单!$C$4:$C$2503),""),账期止-$N487)))</f>
        <v/>
      </c>
      <c r="P487" s="17" t="n"/>
    </row>
    <row r="488">
      <c r="A488" s="17" t="inlineStr">
        <is>
          <t>JH0485</t>
        </is>
      </c>
      <c r="B488" s="17" t="inlineStr">
        <is>
          <t>机械设备</t>
        </is>
      </c>
      <c r="C488" s="17" t="inlineStr">
        <is>
          <t>出料导筋</t>
        </is>
      </c>
      <c r="D488" s="17" t="inlineStr">
        <is>
          <t>1845球磨机装机衬板</t>
        </is>
      </c>
      <c r="E488" s="17" t="inlineStr">
        <is>
          <t>件</t>
        </is>
      </c>
      <c r="F488" s="17" t="inlineStr">
        <is>
          <t>否</t>
        </is>
      </c>
      <c r="G488" s="23" t="n"/>
      <c r="H488" s="24">
        <f>IF($A488="","",IFERROR(LOOKUP(2,1/((入库单!$G$4:$G$2503=$A488)*(入库单!$Y$4:$Y$2503="正常")*(入库单!$L$4:$L$2503&gt;0)),入库单!$D$4:$D$2503),""))</f>
        <v/>
      </c>
      <c r="I488" s="25">
        <f>IF($A488="","",IFERROR(LOOKUP(2,1/((入库单!$G$4:$G$2503=$A488)*(入库单!$Y$4:$Y$2503="正常")*(入库单!$L$4:$L$2503&gt;0)),入库单!$L$4:$L$2503),0))</f>
        <v/>
      </c>
      <c r="J488" s="26">
        <f>IF($A488="","",IF($H488="A国内",ROUND($I488*倍数A*汇率,0),IF($H488="B当地",ROUND($I488*系数B,0),0)))</f>
        <v/>
      </c>
      <c r="K488" s="24">
        <f>IF($A488="","",IF(COUNTIFS(入库单!$G$4:$G$2503,$A488,入库单!$X$4:$X$2503,"待补价")&gt;0,"待补价",IF(COUNTIFS(入库单!$G$4:$G$2503,$A488,入库单!$X$4:$X$2503,"暂估")&gt;0,"暂估",IF($I488=0,"没有进价","正常"))))</f>
        <v/>
      </c>
      <c r="L488" s="27">
        <f>IF($A488="","",IFERROR(VLOOKUP($A488,库存台账!$A$5:$Y$1204,24,0),0))</f>
        <v/>
      </c>
      <c r="M488" s="26">
        <f>IF($A488="","",IFERROR(VLOOKUP($A488,库存台账!$A$5:$Y$1204,25,0),0))</f>
        <v/>
      </c>
      <c r="N488" s="19">
        <f>IF($A488="","",IFERROR(LOOKUP(2,1/((出库单!$D$4:$D$4003=$A488)*(出库单!$T$4:$T$4003="正常")),出库单!$C$4:$C$4003),""))</f>
        <v/>
      </c>
      <c r="O488" s="28">
        <f>IF($A488="","",IF($L488&lt;=0,"",IF($N488="",IFERROR(账期止-LOOKUP(2,1/(入库单!$G$4:$G$2503=$A488),入库单!$C$4:$C$2503),""),账期止-$N488)))</f>
        <v/>
      </c>
      <c r="P488" s="17" t="n"/>
    </row>
    <row r="489">
      <c r="A489" s="17" t="inlineStr">
        <is>
          <t>JH0486</t>
        </is>
      </c>
      <c r="B489" s="17" t="inlineStr">
        <is>
          <t>机械设备</t>
        </is>
      </c>
      <c r="C489" s="17" t="inlineStr">
        <is>
          <t>螺栓元宝头30*120</t>
        </is>
      </c>
      <c r="D489" s="17" t="inlineStr">
        <is>
          <t>球磨机装机衬板螺栓</t>
        </is>
      </c>
      <c r="E489" s="17" t="inlineStr">
        <is>
          <t>套</t>
        </is>
      </c>
      <c r="F489" s="17" t="inlineStr">
        <is>
          <t>否</t>
        </is>
      </c>
      <c r="G489" s="23" t="n"/>
      <c r="H489" s="24">
        <f>IF($A489="","",IFERROR(LOOKUP(2,1/((入库单!$G$4:$G$2503=$A489)*(入库单!$Y$4:$Y$2503="正常")*(入库单!$L$4:$L$2503&gt;0)),入库单!$D$4:$D$2503),""))</f>
        <v/>
      </c>
      <c r="I489" s="25">
        <f>IF($A489="","",IFERROR(LOOKUP(2,1/((入库单!$G$4:$G$2503=$A489)*(入库单!$Y$4:$Y$2503="正常")*(入库单!$L$4:$L$2503&gt;0)),入库单!$L$4:$L$2503),0))</f>
        <v/>
      </c>
      <c r="J489" s="26">
        <f>IF($A489="","",IF($H489="A国内",ROUND($I489*倍数A*汇率,0),IF($H489="B当地",ROUND($I489*系数B,0),0)))</f>
        <v/>
      </c>
      <c r="K489" s="24">
        <f>IF($A489="","",IF(COUNTIFS(入库单!$G$4:$G$2503,$A489,入库单!$X$4:$X$2503,"待补价")&gt;0,"待补价",IF(COUNTIFS(入库单!$G$4:$G$2503,$A489,入库单!$X$4:$X$2503,"暂估")&gt;0,"暂估",IF($I489=0,"没有进价","正常"))))</f>
        <v/>
      </c>
      <c r="L489" s="27">
        <f>IF($A489="","",IFERROR(VLOOKUP($A489,库存台账!$A$5:$Y$1204,24,0),0))</f>
        <v/>
      </c>
      <c r="M489" s="26">
        <f>IF($A489="","",IFERROR(VLOOKUP($A489,库存台账!$A$5:$Y$1204,25,0),0))</f>
        <v/>
      </c>
      <c r="N489" s="19">
        <f>IF($A489="","",IFERROR(LOOKUP(2,1/((出库单!$D$4:$D$4003=$A489)*(出库单!$T$4:$T$4003="正常")),出库单!$C$4:$C$4003),""))</f>
        <v/>
      </c>
      <c r="O489" s="28">
        <f>IF($A489="","",IF($L489&lt;=0,"",IF($N489="",IFERROR(账期止-LOOKUP(2,1/(入库单!$G$4:$G$2503=$A489),入库单!$C$4:$C$2503),""),账期止-$N489)))</f>
        <v/>
      </c>
      <c r="P489" s="17" t="n"/>
    </row>
    <row r="490">
      <c r="A490" s="17" t="inlineStr">
        <is>
          <t>JH0487</t>
        </is>
      </c>
      <c r="B490" s="17" t="inlineStr">
        <is>
          <t>机械设备</t>
        </is>
      </c>
      <c r="C490" s="17" t="inlineStr">
        <is>
          <t>斗30*180</t>
        </is>
      </c>
      <c r="D490" s="17" t="inlineStr">
        <is>
          <t>球磨机装机衬板螺栓</t>
        </is>
      </c>
      <c r="E490" s="17" t="inlineStr">
        <is>
          <t>套</t>
        </is>
      </c>
      <c r="F490" s="17" t="inlineStr">
        <is>
          <t>否</t>
        </is>
      </c>
      <c r="G490" s="23" t="n"/>
      <c r="H490" s="24">
        <f>IF($A490="","",IFERROR(LOOKUP(2,1/((入库单!$G$4:$G$2503=$A490)*(入库单!$Y$4:$Y$2503="正常")*(入库单!$L$4:$L$2503&gt;0)),入库单!$D$4:$D$2503),""))</f>
        <v/>
      </c>
      <c r="I490" s="25">
        <f>IF($A490="","",IFERROR(LOOKUP(2,1/((入库单!$G$4:$G$2503=$A490)*(入库单!$Y$4:$Y$2503="正常")*(入库单!$L$4:$L$2503&gt;0)),入库单!$L$4:$L$2503),0))</f>
        <v/>
      </c>
      <c r="J490" s="26">
        <f>IF($A490="","",IF($H490="A国内",ROUND($I490*倍数A*汇率,0),IF($H490="B当地",ROUND($I490*系数B,0),0)))</f>
        <v/>
      </c>
      <c r="K490" s="24">
        <f>IF($A490="","",IF(COUNTIFS(入库单!$G$4:$G$2503,$A490,入库单!$X$4:$X$2503,"待补价")&gt;0,"待补价",IF(COUNTIFS(入库单!$G$4:$G$2503,$A490,入库单!$X$4:$X$2503,"暂估")&gt;0,"暂估",IF($I490=0,"没有进价","正常"))))</f>
        <v/>
      </c>
      <c r="L490" s="27">
        <f>IF($A490="","",IFERROR(VLOOKUP($A490,库存台账!$A$5:$Y$1204,24,0),0))</f>
        <v/>
      </c>
      <c r="M490" s="26">
        <f>IF($A490="","",IFERROR(VLOOKUP($A490,库存台账!$A$5:$Y$1204,25,0),0))</f>
        <v/>
      </c>
      <c r="N490" s="19">
        <f>IF($A490="","",IFERROR(LOOKUP(2,1/((出库单!$D$4:$D$4003=$A490)*(出库单!$T$4:$T$4003="正常")),出库单!$C$4:$C$4003),""))</f>
        <v/>
      </c>
      <c r="O490" s="28">
        <f>IF($A490="","",IF($L490&lt;=0,"",IF($N490="",IFERROR(账期止-LOOKUP(2,1/(入库单!$G$4:$G$2503=$A490),入库单!$C$4:$C$2503),""),账期止-$N490)))</f>
        <v/>
      </c>
      <c r="P490" s="17" t="n"/>
    </row>
    <row r="491">
      <c r="A491" s="17" t="inlineStr">
        <is>
          <t>JH0488</t>
        </is>
      </c>
      <c r="B491" s="17" t="inlineStr">
        <is>
          <t>机械设备</t>
        </is>
      </c>
      <c r="C491" s="17" t="inlineStr">
        <is>
          <t>斗30*260</t>
        </is>
      </c>
      <c r="D491" s="17" t="inlineStr">
        <is>
          <t>球磨机装机衬板螺栓</t>
        </is>
      </c>
      <c r="E491" s="17" t="inlineStr">
        <is>
          <t>套</t>
        </is>
      </c>
      <c r="F491" s="17" t="inlineStr">
        <is>
          <t>否</t>
        </is>
      </c>
      <c r="G491" s="23" t="n"/>
      <c r="H491" s="24">
        <f>IF($A491="","",IFERROR(LOOKUP(2,1/((入库单!$G$4:$G$2503=$A491)*(入库单!$Y$4:$Y$2503="正常")*(入库单!$L$4:$L$2503&gt;0)),入库单!$D$4:$D$2503),""))</f>
        <v/>
      </c>
      <c r="I491" s="25">
        <f>IF($A491="","",IFERROR(LOOKUP(2,1/((入库单!$G$4:$G$2503=$A491)*(入库单!$Y$4:$Y$2503="正常")*(入库单!$L$4:$L$2503&gt;0)),入库单!$L$4:$L$2503),0))</f>
        <v/>
      </c>
      <c r="J491" s="26">
        <f>IF($A491="","",IF($H491="A国内",ROUND($I491*倍数A*汇率,0),IF($H491="B当地",ROUND($I491*系数B,0),0)))</f>
        <v/>
      </c>
      <c r="K491" s="24">
        <f>IF($A491="","",IF(COUNTIFS(入库单!$G$4:$G$2503,$A491,入库单!$X$4:$X$2503,"待补价")&gt;0,"待补价",IF(COUNTIFS(入库单!$G$4:$G$2503,$A491,入库单!$X$4:$X$2503,"暂估")&gt;0,"暂估",IF($I491=0,"没有进价","正常"))))</f>
        <v/>
      </c>
      <c r="L491" s="27">
        <f>IF($A491="","",IFERROR(VLOOKUP($A491,库存台账!$A$5:$Y$1204,24,0),0))</f>
        <v/>
      </c>
      <c r="M491" s="26">
        <f>IF($A491="","",IFERROR(VLOOKUP($A491,库存台账!$A$5:$Y$1204,25,0),0))</f>
        <v/>
      </c>
      <c r="N491" s="19">
        <f>IF($A491="","",IFERROR(LOOKUP(2,1/((出库单!$D$4:$D$4003=$A491)*(出库单!$T$4:$T$4003="正常")),出库单!$C$4:$C$4003),""))</f>
        <v/>
      </c>
      <c r="O491" s="28">
        <f>IF($A491="","",IF($L491&lt;=0,"",IF($N491="",IFERROR(账期止-LOOKUP(2,1/(入库单!$G$4:$G$2503=$A491),入库单!$C$4:$C$2503),""),账期止-$N491)))</f>
        <v/>
      </c>
      <c r="P491" s="17" t="n"/>
    </row>
    <row r="492">
      <c r="A492" s="17" t="inlineStr">
        <is>
          <t>JH0489</t>
        </is>
      </c>
      <c r="B492" s="17" t="inlineStr">
        <is>
          <t>机械设备</t>
        </is>
      </c>
      <c r="C492" s="17" t="inlineStr">
        <is>
          <t>斗30*320</t>
        </is>
      </c>
      <c r="D492" s="17" t="inlineStr">
        <is>
          <t>球磨机装机衬板螺栓</t>
        </is>
      </c>
      <c r="E492" s="17" t="inlineStr">
        <is>
          <t>套</t>
        </is>
      </c>
      <c r="F492" s="17" t="inlineStr">
        <is>
          <t>否</t>
        </is>
      </c>
      <c r="G492" s="23" t="n"/>
      <c r="H492" s="24">
        <f>IF($A492="","",IFERROR(LOOKUP(2,1/((入库单!$G$4:$G$2503=$A492)*(入库单!$Y$4:$Y$2503="正常")*(入库单!$L$4:$L$2503&gt;0)),入库单!$D$4:$D$2503),""))</f>
        <v/>
      </c>
      <c r="I492" s="25">
        <f>IF($A492="","",IFERROR(LOOKUP(2,1/((入库单!$G$4:$G$2503=$A492)*(入库单!$Y$4:$Y$2503="正常")*(入库单!$L$4:$L$2503&gt;0)),入库单!$L$4:$L$2503),0))</f>
        <v/>
      </c>
      <c r="J492" s="26">
        <f>IF($A492="","",IF($H492="A国内",ROUND($I492*倍数A*汇率,0),IF($H492="B当地",ROUND($I492*系数B,0),0)))</f>
        <v/>
      </c>
      <c r="K492" s="24">
        <f>IF($A492="","",IF(COUNTIFS(入库单!$G$4:$G$2503,$A492,入库单!$X$4:$X$2503,"待补价")&gt;0,"待补价",IF(COUNTIFS(入库单!$G$4:$G$2503,$A492,入库单!$X$4:$X$2503,"暂估")&gt;0,"暂估",IF($I492=0,"没有进价","正常"))))</f>
        <v/>
      </c>
      <c r="L492" s="27">
        <f>IF($A492="","",IFERROR(VLOOKUP($A492,库存台账!$A$5:$Y$1204,24,0),0))</f>
        <v/>
      </c>
      <c r="M492" s="26">
        <f>IF($A492="","",IFERROR(VLOOKUP($A492,库存台账!$A$5:$Y$1204,25,0),0))</f>
        <v/>
      </c>
      <c r="N492" s="19">
        <f>IF($A492="","",IFERROR(LOOKUP(2,1/((出库单!$D$4:$D$4003=$A492)*(出库单!$T$4:$T$4003="正常")),出库单!$C$4:$C$4003),""))</f>
        <v/>
      </c>
      <c r="O492" s="28">
        <f>IF($A492="","",IF($L492&lt;=0,"",IF($N492="",IFERROR(账期止-LOOKUP(2,1/(入库单!$G$4:$G$2503=$A492),入库单!$C$4:$C$2503),""),账期止-$N492)))</f>
        <v/>
      </c>
      <c r="P492" s="17" t="n"/>
    </row>
    <row r="493">
      <c r="A493" s="17" t="inlineStr">
        <is>
          <t>JH0490</t>
        </is>
      </c>
      <c r="B493" s="17" t="inlineStr">
        <is>
          <t>机械设备</t>
        </is>
      </c>
      <c r="C493" s="17" t="inlineStr">
        <is>
          <t>螺栓元宝头30*120</t>
        </is>
      </c>
      <c r="D493" s="17" t="inlineStr">
        <is>
          <t>球磨机衬板配件螺栓</t>
        </is>
      </c>
      <c r="E493" s="17" t="inlineStr">
        <is>
          <t>套</t>
        </is>
      </c>
      <c r="F493" s="17" t="inlineStr">
        <is>
          <t>否</t>
        </is>
      </c>
      <c r="G493" s="23" t="n"/>
      <c r="H493" s="24">
        <f>IF($A493="","",IFERROR(LOOKUP(2,1/((入库单!$G$4:$G$2503=$A493)*(入库单!$Y$4:$Y$2503="正常")*(入库单!$L$4:$L$2503&gt;0)),入库单!$D$4:$D$2503),""))</f>
        <v/>
      </c>
      <c r="I493" s="25">
        <f>IF($A493="","",IFERROR(LOOKUP(2,1/((入库单!$G$4:$G$2503=$A493)*(入库单!$Y$4:$Y$2503="正常")*(入库单!$L$4:$L$2503&gt;0)),入库单!$L$4:$L$2503),0))</f>
        <v/>
      </c>
      <c r="J493" s="26">
        <f>IF($A493="","",IF($H493="A国内",ROUND($I493*倍数A*汇率,0),IF($H493="B当地",ROUND($I493*系数B,0),0)))</f>
        <v/>
      </c>
      <c r="K493" s="24">
        <f>IF($A493="","",IF(COUNTIFS(入库单!$G$4:$G$2503,$A493,入库单!$X$4:$X$2503,"待补价")&gt;0,"待补价",IF(COUNTIFS(入库单!$G$4:$G$2503,$A493,入库单!$X$4:$X$2503,"暂估")&gt;0,"暂估",IF($I493=0,"没有进价","正常"))))</f>
        <v/>
      </c>
      <c r="L493" s="27">
        <f>IF($A493="","",IFERROR(VLOOKUP($A493,库存台账!$A$5:$Y$1204,24,0),0))</f>
        <v/>
      </c>
      <c r="M493" s="26">
        <f>IF($A493="","",IFERROR(VLOOKUP($A493,库存台账!$A$5:$Y$1204,25,0),0))</f>
        <v/>
      </c>
      <c r="N493" s="19">
        <f>IF($A493="","",IFERROR(LOOKUP(2,1/((出库单!$D$4:$D$4003=$A493)*(出库单!$T$4:$T$4003="正常")),出库单!$C$4:$C$4003),""))</f>
        <v/>
      </c>
      <c r="O493" s="28">
        <f>IF($A493="","",IF($L493&lt;=0,"",IF($N493="",IFERROR(账期止-LOOKUP(2,1/(入库单!$G$4:$G$2503=$A493),入库单!$C$4:$C$2503),""),账期止-$N493)))</f>
        <v/>
      </c>
      <c r="P493" s="17" t="n"/>
    </row>
    <row r="494">
      <c r="A494" s="17" t="inlineStr">
        <is>
          <t>JH0491</t>
        </is>
      </c>
      <c r="B494" s="17" t="inlineStr">
        <is>
          <t>机械设备</t>
        </is>
      </c>
      <c r="C494" s="17" t="inlineStr">
        <is>
          <t>斗30*180</t>
        </is>
      </c>
      <c r="D494" s="17" t="inlineStr">
        <is>
          <t>球磨机衬板配件螺栓</t>
        </is>
      </c>
      <c r="E494" s="17" t="inlineStr">
        <is>
          <t>套</t>
        </is>
      </c>
      <c r="F494" s="17" t="inlineStr">
        <is>
          <t>否</t>
        </is>
      </c>
      <c r="G494" s="23" t="n"/>
      <c r="H494" s="24">
        <f>IF($A494="","",IFERROR(LOOKUP(2,1/((入库单!$G$4:$G$2503=$A494)*(入库单!$Y$4:$Y$2503="正常")*(入库单!$L$4:$L$2503&gt;0)),入库单!$D$4:$D$2503),""))</f>
        <v/>
      </c>
      <c r="I494" s="25">
        <f>IF($A494="","",IFERROR(LOOKUP(2,1/((入库单!$G$4:$G$2503=$A494)*(入库单!$Y$4:$Y$2503="正常")*(入库单!$L$4:$L$2503&gt;0)),入库单!$L$4:$L$2503),0))</f>
        <v/>
      </c>
      <c r="J494" s="26">
        <f>IF($A494="","",IF($H494="A国内",ROUND($I494*倍数A*汇率,0),IF($H494="B当地",ROUND($I494*系数B,0),0)))</f>
        <v/>
      </c>
      <c r="K494" s="24">
        <f>IF($A494="","",IF(COUNTIFS(入库单!$G$4:$G$2503,$A494,入库单!$X$4:$X$2503,"待补价")&gt;0,"待补价",IF(COUNTIFS(入库单!$G$4:$G$2503,$A494,入库单!$X$4:$X$2503,"暂估")&gt;0,"暂估",IF($I494=0,"没有进价","正常"))))</f>
        <v/>
      </c>
      <c r="L494" s="27">
        <f>IF($A494="","",IFERROR(VLOOKUP($A494,库存台账!$A$5:$Y$1204,24,0),0))</f>
        <v/>
      </c>
      <c r="M494" s="26">
        <f>IF($A494="","",IFERROR(VLOOKUP($A494,库存台账!$A$5:$Y$1204,25,0),0))</f>
        <v/>
      </c>
      <c r="N494" s="19">
        <f>IF($A494="","",IFERROR(LOOKUP(2,1/((出库单!$D$4:$D$4003=$A494)*(出库单!$T$4:$T$4003="正常")),出库单!$C$4:$C$4003),""))</f>
        <v/>
      </c>
      <c r="O494" s="28">
        <f>IF($A494="","",IF($L494&lt;=0,"",IF($N494="",IFERROR(账期止-LOOKUP(2,1/(入库单!$G$4:$G$2503=$A494),入库单!$C$4:$C$2503),""),账期止-$N494)))</f>
        <v/>
      </c>
      <c r="P494" s="17" t="n"/>
    </row>
    <row r="495">
      <c r="A495" s="17" t="inlineStr">
        <is>
          <t>JH0492</t>
        </is>
      </c>
      <c r="B495" s="17" t="inlineStr">
        <is>
          <t>机械设备</t>
        </is>
      </c>
      <c r="C495" s="17" t="inlineStr">
        <is>
          <t>斗30*260</t>
        </is>
      </c>
      <c r="D495" s="17" t="inlineStr">
        <is>
          <t>球磨机衬板配件螺栓</t>
        </is>
      </c>
      <c r="E495" s="17" t="inlineStr">
        <is>
          <t>套</t>
        </is>
      </c>
      <c r="F495" s="17" t="inlineStr">
        <is>
          <t>否</t>
        </is>
      </c>
      <c r="G495" s="23" t="n"/>
      <c r="H495" s="24">
        <f>IF($A495="","",IFERROR(LOOKUP(2,1/((入库单!$G$4:$G$2503=$A495)*(入库单!$Y$4:$Y$2503="正常")*(入库单!$L$4:$L$2503&gt;0)),入库单!$D$4:$D$2503),""))</f>
        <v/>
      </c>
      <c r="I495" s="25">
        <f>IF($A495="","",IFERROR(LOOKUP(2,1/((入库单!$G$4:$G$2503=$A495)*(入库单!$Y$4:$Y$2503="正常")*(入库单!$L$4:$L$2503&gt;0)),入库单!$L$4:$L$2503),0))</f>
        <v/>
      </c>
      <c r="J495" s="26">
        <f>IF($A495="","",IF($H495="A国内",ROUND($I495*倍数A*汇率,0),IF($H495="B当地",ROUND($I495*系数B,0),0)))</f>
        <v/>
      </c>
      <c r="K495" s="24">
        <f>IF($A495="","",IF(COUNTIFS(入库单!$G$4:$G$2503,$A495,入库单!$X$4:$X$2503,"待补价")&gt;0,"待补价",IF(COUNTIFS(入库单!$G$4:$G$2503,$A495,入库单!$X$4:$X$2503,"暂估")&gt;0,"暂估",IF($I495=0,"没有进价","正常"))))</f>
        <v/>
      </c>
      <c r="L495" s="27">
        <f>IF($A495="","",IFERROR(VLOOKUP($A495,库存台账!$A$5:$Y$1204,24,0),0))</f>
        <v/>
      </c>
      <c r="M495" s="26">
        <f>IF($A495="","",IFERROR(VLOOKUP($A495,库存台账!$A$5:$Y$1204,25,0),0))</f>
        <v/>
      </c>
      <c r="N495" s="19">
        <f>IF($A495="","",IFERROR(LOOKUP(2,1/((出库单!$D$4:$D$4003=$A495)*(出库单!$T$4:$T$4003="正常")),出库单!$C$4:$C$4003),""))</f>
        <v/>
      </c>
      <c r="O495" s="28">
        <f>IF($A495="","",IF($L495&lt;=0,"",IF($N495="",IFERROR(账期止-LOOKUP(2,1/(入库单!$G$4:$G$2503=$A495),入库单!$C$4:$C$2503),""),账期止-$N495)))</f>
        <v/>
      </c>
      <c r="P495" s="17" t="n"/>
    </row>
    <row r="496">
      <c r="A496" s="17" t="inlineStr">
        <is>
          <t>JH0493</t>
        </is>
      </c>
      <c r="B496" s="17" t="inlineStr">
        <is>
          <t>机械设备</t>
        </is>
      </c>
      <c r="C496" s="17" t="inlineStr">
        <is>
          <t>斗30*320</t>
        </is>
      </c>
      <c r="D496" s="17" t="inlineStr">
        <is>
          <t>球磨机衬板配件螺栓</t>
        </is>
      </c>
      <c r="E496" s="17" t="inlineStr">
        <is>
          <t>套</t>
        </is>
      </c>
      <c r="F496" s="17" t="inlineStr">
        <is>
          <t>否</t>
        </is>
      </c>
      <c r="G496" s="23" t="n"/>
      <c r="H496" s="24">
        <f>IF($A496="","",IFERROR(LOOKUP(2,1/((入库单!$G$4:$G$2503=$A496)*(入库单!$Y$4:$Y$2503="正常")*(入库单!$L$4:$L$2503&gt;0)),入库单!$D$4:$D$2503),""))</f>
        <v/>
      </c>
      <c r="I496" s="25">
        <f>IF($A496="","",IFERROR(LOOKUP(2,1/((入库单!$G$4:$G$2503=$A496)*(入库单!$Y$4:$Y$2503="正常")*(入库单!$L$4:$L$2503&gt;0)),入库单!$L$4:$L$2503),0))</f>
        <v/>
      </c>
      <c r="J496" s="26">
        <f>IF($A496="","",IF($H496="A国内",ROUND($I496*倍数A*汇率,0),IF($H496="B当地",ROUND($I496*系数B,0),0)))</f>
        <v/>
      </c>
      <c r="K496" s="24">
        <f>IF($A496="","",IF(COUNTIFS(入库单!$G$4:$G$2503,$A496,入库单!$X$4:$X$2503,"待补价")&gt;0,"待补价",IF(COUNTIFS(入库单!$G$4:$G$2503,$A496,入库单!$X$4:$X$2503,"暂估")&gt;0,"暂估",IF($I496=0,"没有进价","正常"))))</f>
        <v/>
      </c>
      <c r="L496" s="27">
        <f>IF($A496="","",IFERROR(VLOOKUP($A496,库存台账!$A$5:$Y$1204,24,0),0))</f>
        <v/>
      </c>
      <c r="M496" s="26">
        <f>IF($A496="","",IFERROR(VLOOKUP($A496,库存台账!$A$5:$Y$1204,25,0),0))</f>
        <v/>
      </c>
      <c r="N496" s="19">
        <f>IF($A496="","",IFERROR(LOOKUP(2,1/((出库单!$D$4:$D$4003=$A496)*(出库单!$T$4:$T$4003="正常")),出库单!$C$4:$C$4003),""))</f>
        <v/>
      </c>
      <c r="O496" s="28">
        <f>IF($A496="","",IF($L496&lt;=0,"",IF($N496="",IFERROR(账期止-LOOKUP(2,1/(入库单!$G$4:$G$2503=$A496),入库单!$C$4:$C$2503),""),账期止-$N496)))</f>
        <v/>
      </c>
      <c r="P496" s="17" t="n"/>
    </row>
    <row r="497">
      <c r="A497" s="17" t="inlineStr">
        <is>
          <t>JH0494</t>
        </is>
      </c>
      <c r="B497" s="17" t="inlineStr">
        <is>
          <t>机械设备</t>
        </is>
      </c>
      <c r="C497" s="17" t="inlineStr">
        <is>
          <t>元宝头全牙30*220</t>
        </is>
      </c>
      <c r="D497" s="17" t="inlineStr">
        <is>
          <t>球磨机衬板配件螺栓</t>
        </is>
      </c>
      <c r="E497" s="17" t="inlineStr">
        <is>
          <t>套</t>
        </is>
      </c>
      <c r="F497" s="17" t="inlineStr">
        <is>
          <t>否</t>
        </is>
      </c>
      <c r="G497" s="23" t="n"/>
      <c r="H497" s="24">
        <f>IF($A497="","",IFERROR(LOOKUP(2,1/((入库单!$G$4:$G$2503=$A497)*(入库单!$Y$4:$Y$2503="正常")*(入库单!$L$4:$L$2503&gt;0)),入库单!$D$4:$D$2503),""))</f>
        <v/>
      </c>
      <c r="I497" s="25">
        <f>IF($A497="","",IFERROR(LOOKUP(2,1/((入库单!$G$4:$G$2503=$A497)*(入库单!$Y$4:$Y$2503="正常")*(入库单!$L$4:$L$2503&gt;0)),入库单!$L$4:$L$2503),0))</f>
        <v/>
      </c>
      <c r="J497" s="26">
        <f>IF($A497="","",IF($H497="A国内",ROUND($I497*倍数A*汇率,0),IF($H497="B当地",ROUND($I497*系数B,0),0)))</f>
        <v/>
      </c>
      <c r="K497" s="24">
        <f>IF($A497="","",IF(COUNTIFS(入库单!$G$4:$G$2503,$A497,入库单!$X$4:$X$2503,"待补价")&gt;0,"待补价",IF(COUNTIFS(入库单!$G$4:$G$2503,$A497,入库单!$X$4:$X$2503,"暂估")&gt;0,"暂估",IF($I497=0,"没有进价","正常"))))</f>
        <v/>
      </c>
      <c r="L497" s="27">
        <f>IF($A497="","",IFERROR(VLOOKUP($A497,库存台账!$A$5:$Y$1204,24,0),0))</f>
        <v/>
      </c>
      <c r="M497" s="26">
        <f>IF($A497="","",IFERROR(VLOOKUP($A497,库存台账!$A$5:$Y$1204,25,0),0))</f>
        <v/>
      </c>
      <c r="N497" s="19">
        <f>IF($A497="","",IFERROR(LOOKUP(2,1/((出库单!$D$4:$D$4003=$A497)*(出库单!$T$4:$T$4003="正常")),出库单!$C$4:$C$4003),""))</f>
        <v/>
      </c>
      <c r="O497" s="28">
        <f>IF($A497="","",IF($L497&lt;=0,"",IF($N497="",IFERROR(账期止-LOOKUP(2,1/(入库单!$G$4:$G$2503=$A497),入库单!$C$4:$C$2503),""),账期止-$N497)))</f>
        <v/>
      </c>
      <c r="P497" s="17" t="n"/>
    </row>
    <row r="498">
      <c r="A498" s="17" t="inlineStr">
        <is>
          <t>JH0495</t>
        </is>
      </c>
      <c r="B498" s="17" t="inlineStr">
        <is>
          <t>机械设备</t>
        </is>
      </c>
      <c r="C498" s="17" t="inlineStr">
        <is>
          <t>四方头16*40螺栓</t>
        </is>
      </c>
      <c r="D498" s="17" t="inlineStr">
        <is>
          <t>分级机配件小叶片螺栓</t>
        </is>
      </c>
      <c r="E498" s="17" t="inlineStr">
        <is>
          <t>套</t>
        </is>
      </c>
      <c r="F498" s="17" t="inlineStr">
        <is>
          <t>否</t>
        </is>
      </c>
      <c r="G498" s="23" t="n"/>
      <c r="H498" s="24">
        <f>IF($A498="","",IFERROR(LOOKUP(2,1/((入库单!$G$4:$G$2503=$A498)*(入库单!$Y$4:$Y$2503="正常")*(入库单!$L$4:$L$2503&gt;0)),入库单!$D$4:$D$2503),""))</f>
        <v/>
      </c>
      <c r="I498" s="25">
        <f>IF($A498="","",IFERROR(LOOKUP(2,1/((入库单!$G$4:$G$2503=$A498)*(入库单!$Y$4:$Y$2503="正常")*(入库单!$L$4:$L$2503&gt;0)),入库单!$L$4:$L$2503),0))</f>
        <v/>
      </c>
      <c r="J498" s="26">
        <f>IF($A498="","",IF($H498="A国内",ROUND($I498*倍数A*汇率,0),IF($H498="B当地",ROUND($I498*系数B,0),0)))</f>
        <v/>
      </c>
      <c r="K498" s="24">
        <f>IF($A498="","",IF(COUNTIFS(入库单!$G$4:$G$2503,$A498,入库单!$X$4:$X$2503,"待补价")&gt;0,"待补价",IF(COUNTIFS(入库单!$G$4:$G$2503,$A498,入库单!$X$4:$X$2503,"暂估")&gt;0,"暂估",IF($I498=0,"没有进价","正常"))))</f>
        <v/>
      </c>
      <c r="L498" s="27">
        <f>IF($A498="","",IFERROR(VLOOKUP($A498,库存台账!$A$5:$Y$1204,24,0),0))</f>
        <v/>
      </c>
      <c r="M498" s="26">
        <f>IF($A498="","",IFERROR(VLOOKUP($A498,库存台账!$A$5:$Y$1204,25,0),0))</f>
        <v/>
      </c>
      <c r="N498" s="19">
        <f>IF($A498="","",IFERROR(LOOKUP(2,1/((出库单!$D$4:$D$4003=$A498)*(出库单!$T$4:$T$4003="正常")),出库单!$C$4:$C$4003),""))</f>
        <v/>
      </c>
      <c r="O498" s="28">
        <f>IF($A498="","",IF($L498&lt;=0,"",IF($N498="",IFERROR(账期止-LOOKUP(2,1/(入库单!$G$4:$G$2503=$A498),入库单!$C$4:$C$2503),""),账期止-$N498)))</f>
        <v/>
      </c>
      <c r="P498" s="17" t="n"/>
    </row>
    <row r="499">
      <c r="A499" s="17" t="inlineStr">
        <is>
          <t>JH0496</t>
        </is>
      </c>
      <c r="B499" s="17" t="inlineStr">
        <is>
          <t>机械配件</t>
        </is>
      </c>
      <c r="C499" s="17" t="inlineStr">
        <is>
          <t>自备件</t>
        </is>
      </c>
      <c r="D499" s="17" t="inlineStr">
        <is>
          <t>白塑料管</t>
        </is>
      </c>
      <c r="E499" s="17" t="inlineStr">
        <is>
          <t>捆</t>
        </is>
      </c>
      <c r="F499" s="17" t="inlineStr">
        <is>
          <t>否</t>
        </is>
      </c>
      <c r="G499" s="23" t="n"/>
      <c r="H499" s="24">
        <f>IF($A499="","",IFERROR(LOOKUP(2,1/((入库单!$G$4:$G$2503=$A499)*(入库单!$Y$4:$Y$2503="正常")*(入库单!$L$4:$L$2503&gt;0)),入库单!$D$4:$D$2503),""))</f>
        <v/>
      </c>
      <c r="I499" s="25">
        <f>IF($A499="","",IFERROR(LOOKUP(2,1/((入库单!$G$4:$G$2503=$A499)*(入库单!$Y$4:$Y$2503="正常")*(入库单!$L$4:$L$2503&gt;0)),入库单!$L$4:$L$2503),0))</f>
        <v/>
      </c>
      <c r="J499" s="26">
        <f>IF($A499="","",IF($H499="A国内",ROUND($I499*倍数A*汇率,0),IF($H499="B当地",ROUND($I499*系数B,0),0)))</f>
        <v/>
      </c>
      <c r="K499" s="24">
        <f>IF($A499="","",IF(COUNTIFS(入库单!$G$4:$G$2503,$A499,入库单!$X$4:$X$2503,"待补价")&gt;0,"待补价",IF(COUNTIFS(入库单!$G$4:$G$2503,$A499,入库单!$X$4:$X$2503,"暂估")&gt;0,"暂估",IF($I499=0,"没有进价","正常"))))</f>
        <v/>
      </c>
      <c r="L499" s="27">
        <f>IF($A499="","",IFERROR(VLOOKUP($A499,库存台账!$A$5:$Y$1204,24,0),0))</f>
        <v/>
      </c>
      <c r="M499" s="26">
        <f>IF($A499="","",IFERROR(VLOOKUP($A499,库存台账!$A$5:$Y$1204,25,0),0))</f>
        <v/>
      </c>
      <c r="N499" s="19">
        <f>IF($A499="","",IFERROR(LOOKUP(2,1/((出库单!$D$4:$D$4003=$A499)*(出库单!$T$4:$T$4003="正常")),出库单!$C$4:$C$4003),""))</f>
        <v/>
      </c>
      <c r="O499" s="28">
        <f>IF($A499="","",IF($L499&lt;=0,"",IF($N499="",IFERROR(账期止-LOOKUP(2,1/(入库单!$G$4:$G$2503=$A499),入库单!$C$4:$C$2503),""),账期止-$N499)))</f>
        <v/>
      </c>
      <c r="P499" s="17" t="n"/>
    </row>
    <row r="500">
      <c r="A500" s="17" t="inlineStr">
        <is>
          <t>JH0497</t>
        </is>
      </c>
      <c r="B500" s="17" t="inlineStr">
        <is>
          <t>钢材</t>
        </is>
      </c>
      <c r="C500" s="17" t="inlineStr">
        <is>
          <t>花纹板</t>
        </is>
      </c>
      <c r="D500" s="17" t="inlineStr">
        <is>
          <t>δ4x1510x6000</t>
        </is>
      </c>
      <c r="E500" s="17" t="inlineStr">
        <is>
          <t>张</t>
        </is>
      </c>
      <c r="F500" s="17" t="inlineStr">
        <is>
          <t>否</t>
        </is>
      </c>
      <c r="G500" s="23" t="n"/>
      <c r="H500" s="24">
        <f>IF($A500="","",IFERROR(LOOKUP(2,1/((入库单!$G$4:$G$2503=$A500)*(入库单!$Y$4:$Y$2503="正常")*(入库单!$L$4:$L$2503&gt;0)),入库单!$D$4:$D$2503),""))</f>
        <v/>
      </c>
      <c r="I500" s="25">
        <f>IF($A500="","",IFERROR(LOOKUP(2,1/((入库单!$G$4:$G$2503=$A500)*(入库单!$Y$4:$Y$2503="正常")*(入库单!$L$4:$L$2503&gt;0)),入库单!$L$4:$L$2503),0))</f>
        <v/>
      </c>
      <c r="J500" s="26">
        <f>IF($A500="","",IF($H500="A国内",ROUND($I500*倍数A*汇率,0),IF($H500="B当地",ROUND($I500*系数B,0),0)))</f>
        <v/>
      </c>
      <c r="K500" s="24">
        <f>IF($A500="","",IF(COUNTIFS(入库单!$G$4:$G$2503,$A500,入库单!$X$4:$X$2503,"待补价")&gt;0,"待补价",IF(COUNTIFS(入库单!$G$4:$G$2503,$A500,入库单!$X$4:$X$2503,"暂估")&gt;0,"暂估",IF($I500=0,"没有进价","正常"))))</f>
        <v/>
      </c>
      <c r="L500" s="27">
        <f>IF($A500="","",IFERROR(VLOOKUP($A500,库存台账!$A$5:$Y$1204,24,0),0))</f>
        <v/>
      </c>
      <c r="M500" s="26">
        <f>IF($A500="","",IFERROR(VLOOKUP($A500,库存台账!$A$5:$Y$1204,25,0),0))</f>
        <v/>
      </c>
      <c r="N500" s="19">
        <f>IF($A500="","",IFERROR(LOOKUP(2,1/((出库单!$D$4:$D$4003=$A500)*(出库单!$T$4:$T$4003="正常")),出库单!$C$4:$C$4003),""))</f>
        <v/>
      </c>
      <c r="O500" s="28">
        <f>IF($A500="","",IF($L500&lt;=0,"",IF($N500="",IFERROR(账期止-LOOKUP(2,1/(入库单!$G$4:$G$2503=$A500),入库单!$C$4:$C$2503),""),账期止-$N500)))</f>
        <v/>
      </c>
      <c r="P500" s="17" t="n"/>
    </row>
    <row r="501">
      <c r="A501" s="17" t="inlineStr">
        <is>
          <t>JH0498</t>
        </is>
      </c>
      <c r="B501" s="17" t="inlineStr">
        <is>
          <t>钢材</t>
        </is>
      </c>
      <c r="C501" s="17" t="inlineStr">
        <is>
          <t>槽钢</t>
        </is>
      </c>
      <c r="D501" s="17" t="inlineStr">
        <is>
          <t>120# 6米/支</t>
        </is>
      </c>
      <c r="E501" s="17" t="inlineStr">
        <is>
          <t>米</t>
        </is>
      </c>
      <c r="F501" s="17" t="inlineStr">
        <is>
          <t>否</t>
        </is>
      </c>
      <c r="G501" s="23" t="n"/>
      <c r="H501" s="24">
        <f>IF($A501="","",IFERROR(LOOKUP(2,1/((入库单!$G$4:$G$2503=$A501)*(入库单!$Y$4:$Y$2503="正常")*(入库单!$L$4:$L$2503&gt;0)),入库单!$D$4:$D$2503),""))</f>
        <v/>
      </c>
      <c r="I501" s="25">
        <f>IF($A501="","",IFERROR(LOOKUP(2,1/((入库单!$G$4:$G$2503=$A501)*(入库单!$Y$4:$Y$2503="正常")*(入库单!$L$4:$L$2503&gt;0)),入库单!$L$4:$L$2503),0))</f>
        <v/>
      </c>
      <c r="J501" s="26">
        <f>IF($A501="","",IF($H501="A国内",ROUND($I501*倍数A*汇率,0),IF($H501="B当地",ROUND($I501*系数B,0),0)))</f>
        <v/>
      </c>
      <c r="K501" s="24">
        <f>IF($A501="","",IF(COUNTIFS(入库单!$G$4:$G$2503,$A501,入库单!$X$4:$X$2503,"待补价")&gt;0,"待补价",IF(COUNTIFS(入库单!$G$4:$G$2503,$A501,入库单!$X$4:$X$2503,"暂估")&gt;0,"暂估",IF($I501=0,"没有进价","正常"))))</f>
        <v/>
      </c>
      <c r="L501" s="27">
        <f>IF($A501="","",IFERROR(VLOOKUP($A501,库存台账!$A$5:$Y$1204,24,0),0))</f>
        <v/>
      </c>
      <c r="M501" s="26">
        <f>IF($A501="","",IFERROR(VLOOKUP($A501,库存台账!$A$5:$Y$1204,25,0),0))</f>
        <v/>
      </c>
      <c r="N501" s="19">
        <f>IF($A501="","",IFERROR(LOOKUP(2,1/((出库单!$D$4:$D$4003=$A501)*(出库单!$T$4:$T$4003="正常")),出库单!$C$4:$C$4003),""))</f>
        <v/>
      </c>
      <c r="O501" s="28">
        <f>IF($A501="","",IF($L501&lt;=0,"",IF($N501="",IFERROR(账期止-LOOKUP(2,1/(入库单!$G$4:$G$2503=$A501),入库单!$C$4:$C$2503),""),账期止-$N501)))</f>
        <v/>
      </c>
      <c r="P501" s="17" t="n"/>
    </row>
    <row r="502">
      <c r="A502" s="17" t="inlineStr">
        <is>
          <t>JH0499</t>
        </is>
      </c>
      <c r="B502" s="17" t="inlineStr">
        <is>
          <t>钢材</t>
        </is>
      </c>
      <c r="C502" s="17" t="inlineStr">
        <is>
          <t>槽钢</t>
        </is>
      </c>
      <c r="D502" s="17" t="inlineStr">
        <is>
          <t>140#  6米/支</t>
        </is>
      </c>
      <c r="E502" s="17" t="inlineStr">
        <is>
          <t>米</t>
        </is>
      </c>
      <c r="F502" s="17" t="inlineStr">
        <is>
          <t>否</t>
        </is>
      </c>
      <c r="G502" s="23" t="n"/>
      <c r="H502" s="24">
        <f>IF($A502="","",IFERROR(LOOKUP(2,1/((入库单!$G$4:$G$2503=$A502)*(入库单!$Y$4:$Y$2503="正常")*(入库单!$L$4:$L$2503&gt;0)),入库单!$D$4:$D$2503),""))</f>
        <v/>
      </c>
      <c r="I502" s="25">
        <f>IF($A502="","",IFERROR(LOOKUP(2,1/((入库单!$G$4:$G$2503=$A502)*(入库单!$Y$4:$Y$2503="正常")*(入库单!$L$4:$L$2503&gt;0)),入库单!$L$4:$L$2503),0))</f>
        <v/>
      </c>
      <c r="J502" s="26">
        <f>IF($A502="","",IF($H502="A国内",ROUND($I502*倍数A*汇率,0),IF($H502="B当地",ROUND($I502*系数B,0),0)))</f>
        <v/>
      </c>
      <c r="K502" s="24">
        <f>IF($A502="","",IF(COUNTIFS(入库单!$G$4:$G$2503,$A502,入库单!$X$4:$X$2503,"待补价")&gt;0,"待补价",IF(COUNTIFS(入库单!$G$4:$G$2503,$A502,入库单!$X$4:$X$2503,"暂估")&gt;0,"暂估",IF($I502=0,"没有进价","正常"))))</f>
        <v/>
      </c>
      <c r="L502" s="27">
        <f>IF($A502="","",IFERROR(VLOOKUP($A502,库存台账!$A$5:$Y$1204,24,0),0))</f>
        <v/>
      </c>
      <c r="M502" s="26">
        <f>IF($A502="","",IFERROR(VLOOKUP($A502,库存台账!$A$5:$Y$1204,25,0),0))</f>
        <v/>
      </c>
      <c r="N502" s="19">
        <f>IF($A502="","",IFERROR(LOOKUP(2,1/((出库单!$D$4:$D$4003=$A502)*(出库单!$T$4:$T$4003="正常")),出库单!$C$4:$C$4003),""))</f>
        <v/>
      </c>
      <c r="O502" s="28">
        <f>IF($A502="","",IF($L502&lt;=0,"",IF($N502="",IFERROR(账期止-LOOKUP(2,1/(入库单!$G$4:$G$2503=$A502),入库单!$C$4:$C$2503),""),账期止-$N502)))</f>
        <v/>
      </c>
      <c r="P502" s="17" t="n"/>
    </row>
    <row r="503">
      <c r="A503" s="17" t="inlineStr">
        <is>
          <t>JH0500</t>
        </is>
      </c>
      <c r="B503" s="17" t="inlineStr">
        <is>
          <t>钢材</t>
        </is>
      </c>
      <c r="C503" s="17" t="inlineStr">
        <is>
          <t>槽钢</t>
        </is>
      </c>
      <c r="D503" s="17" t="inlineStr">
        <is>
          <t>100# 6米/支</t>
        </is>
      </c>
      <c r="E503" s="17" t="inlineStr">
        <is>
          <t>米</t>
        </is>
      </c>
      <c r="F503" s="17" t="inlineStr">
        <is>
          <t>否</t>
        </is>
      </c>
      <c r="G503" s="23" t="n"/>
      <c r="H503" s="24">
        <f>IF($A503="","",IFERROR(LOOKUP(2,1/((入库单!$G$4:$G$2503=$A503)*(入库单!$Y$4:$Y$2503="正常")*(入库单!$L$4:$L$2503&gt;0)),入库单!$D$4:$D$2503),""))</f>
        <v/>
      </c>
      <c r="I503" s="25">
        <f>IF($A503="","",IFERROR(LOOKUP(2,1/((入库单!$G$4:$G$2503=$A503)*(入库单!$Y$4:$Y$2503="正常")*(入库单!$L$4:$L$2503&gt;0)),入库单!$L$4:$L$2503),0))</f>
        <v/>
      </c>
      <c r="J503" s="26">
        <f>IF($A503="","",IF($H503="A国内",ROUND($I503*倍数A*汇率,0),IF($H503="B当地",ROUND($I503*系数B,0),0)))</f>
        <v/>
      </c>
      <c r="K503" s="24">
        <f>IF($A503="","",IF(COUNTIFS(入库单!$G$4:$G$2503,$A503,入库单!$X$4:$X$2503,"待补价")&gt;0,"待补价",IF(COUNTIFS(入库单!$G$4:$G$2503,$A503,入库单!$X$4:$X$2503,"暂估")&gt;0,"暂估",IF($I503=0,"没有进价","正常"))))</f>
        <v/>
      </c>
      <c r="L503" s="27">
        <f>IF($A503="","",IFERROR(VLOOKUP($A503,库存台账!$A$5:$Y$1204,24,0),0))</f>
        <v/>
      </c>
      <c r="M503" s="26">
        <f>IF($A503="","",IFERROR(VLOOKUP($A503,库存台账!$A$5:$Y$1204,25,0),0))</f>
        <v/>
      </c>
      <c r="N503" s="19">
        <f>IF($A503="","",IFERROR(LOOKUP(2,1/((出库单!$D$4:$D$4003=$A503)*(出库单!$T$4:$T$4003="正常")),出库单!$C$4:$C$4003),""))</f>
        <v/>
      </c>
      <c r="O503" s="28">
        <f>IF($A503="","",IF($L503&lt;=0,"",IF($N503="",IFERROR(账期止-LOOKUP(2,1/(入库单!$G$4:$G$2503=$A503),入库单!$C$4:$C$2503),""),账期止-$N503)))</f>
        <v/>
      </c>
      <c r="P503" s="17" t="n"/>
    </row>
    <row r="504">
      <c r="A504" s="17" t="inlineStr">
        <is>
          <t>JH0501</t>
        </is>
      </c>
      <c r="B504" s="17" t="inlineStr">
        <is>
          <t>钢材</t>
        </is>
      </c>
      <c r="C504" s="17" t="inlineStr">
        <is>
          <t>角钢</t>
        </is>
      </c>
      <c r="D504" s="17" t="inlineStr">
        <is>
          <t>∠80   6米/支</t>
        </is>
      </c>
      <c r="E504" s="17" t="inlineStr">
        <is>
          <t>米</t>
        </is>
      </c>
      <c r="F504" s="17" t="inlineStr">
        <is>
          <t>否</t>
        </is>
      </c>
      <c r="G504" s="23" t="n"/>
      <c r="H504" s="24">
        <f>IF($A504="","",IFERROR(LOOKUP(2,1/((入库单!$G$4:$G$2503=$A504)*(入库单!$Y$4:$Y$2503="正常")*(入库单!$L$4:$L$2503&gt;0)),入库单!$D$4:$D$2503),""))</f>
        <v/>
      </c>
      <c r="I504" s="25">
        <f>IF($A504="","",IFERROR(LOOKUP(2,1/((入库单!$G$4:$G$2503=$A504)*(入库单!$Y$4:$Y$2503="正常")*(入库单!$L$4:$L$2503&gt;0)),入库单!$L$4:$L$2503),0))</f>
        <v/>
      </c>
      <c r="J504" s="26">
        <f>IF($A504="","",IF($H504="A国内",ROUND($I504*倍数A*汇率,0),IF($H504="B当地",ROUND($I504*系数B,0),0)))</f>
        <v/>
      </c>
      <c r="K504" s="24">
        <f>IF($A504="","",IF(COUNTIFS(入库单!$G$4:$G$2503,$A504,入库单!$X$4:$X$2503,"待补价")&gt;0,"待补价",IF(COUNTIFS(入库单!$G$4:$G$2503,$A504,入库单!$X$4:$X$2503,"暂估")&gt;0,"暂估",IF($I504=0,"没有进价","正常"))))</f>
        <v/>
      </c>
      <c r="L504" s="27">
        <f>IF($A504="","",IFERROR(VLOOKUP($A504,库存台账!$A$5:$Y$1204,24,0),0))</f>
        <v/>
      </c>
      <c r="M504" s="26">
        <f>IF($A504="","",IFERROR(VLOOKUP($A504,库存台账!$A$5:$Y$1204,25,0),0))</f>
        <v/>
      </c>
      <c r="N504" s="19">
        <f>IF($A504="","",IFERROR(LOOKUP(2,1/((出库单!$D$4:$D$4003=$A504)*(出库单!$T$4:$T$4003="正常")),出库单!$C$4:$C$4003),""))</f>
        <v/>
      </c>
      <c r="O504" s="28">
        <f>IF($A504="","",IF($L504&lt;=0,"",IF($N504="",IFERROR(账期止-LOOKUP(2,1/(入库单!$G$4:$G$2503=$A504),入库单!$C$4:$C$2503),""),账期止-$N504)))</f>
        <v/>
      </c>
      <c r="P504" s="17" t="n"/>
    </row>
    <row r="505">
      <c r="A505" s="17" t="inlineStr">
        <is>
          <t>JH0502</t>
        </is>
      </c>
      <c r="B505" s="17" t="inlineStr">
        <is>
          <t>钢材</t>
        </is>
      </c>
      <c r="C505" s="17" t="inlineStr">
        <is>
          <t>角钢</t>
        </is>
      </c>
      <c r="D505" s="17" t="inlineStr">
        <is>
          <t>∠30   6米/支</t>
        </is>
      </c>
      <c r="E505" s="17" t="inlineStr">
        <is>
          <t>米</t>
        </is>
      </c>
      <c r="F505" s="17" t="inlineStr">
        <is>
          <t>否</t>
        </is>
      </c>
      <c r="G505" s="23" t="n"/>
      <c r="H505" s="24">
        <f>IF($A505="","",IFERROR(LOOKUP(2,1/((入库单!$G$4:$G$2503=$A505)*(入库单!$Y$4:$Y$2503="正常")*(入库单!$L$4:$L$2503&gt;0)),入库单!$D$4:$D$2503),""))</f>
        <v/>
      </c>
      <c r="I505" s="25">
        <f>IF($A505="","",IFERROR(LOOKUP(2,1/((入库单!$G$4:$G$2503=$A505)*(入库单!$Y$4:$Y$2503="正常")*(入库单!$L$4:$L$2503&gt;0)),入库单!$L$4:$L$2503),0))</f>
        <v/>
      </c>
      <c r="J505" s="26">
        <f>IF($A505="","",IF($H505="A国内",ROUND($I505*倍数A*汇率,0),IF($H505="B当地",ROUND($I505*系数B,0),0)))</f>
        <v/>
      </c>
      <c r="K505" s="24">
        <f>IF($A505="","",IF(COUNTIFS(入库单!$G$4:$G$2503,$A505,入库单!$X$4:$X$2503,"待补价")&gt;0,"待补价",IF(COUNTIFS(入库单!$G$4:$G$2503,$A505,入库单!$X$4:$X$2503,"暂估")&gt;0,"暂估",IF($I505=0,"没有进价","正常"))))</f>
        <v/>
      </c>
      <c r="L505" s="27">
        <f>IF($A505="","",IFERROR(VLOOKUP($A505,库存台账!$A$5:$Y$1204,24,0),0))</f>
        <v/>
      </c>
      <c r="M505" s="26">
        <f>IF($A505="","",IFERROR(VLOOKUP($A505,库存台账!$A$5:$Y$1204,25,0),0))</f>
        <v/>
      </c>
      <c r="N505" s="19">
        <f>IF($A505="","",IFERROR(LOOKUP(2,1/((出库单!$D$4:$D$4003=$A505)*(出库单!$T$4:$T$4003="正常")),出库单!$C$4:$C$4003),""))</f>
        <v/>
      </c>
      <c r="O505" s="28">
        <f>IF($A505="","",IF($L505&lt;=0,"",IF($N505="",IFERROR(账期止-LOOKUP(2,1/(入库单!$G$4:$G$2503=$A505),入库单!$C$4:$C$2503),""),账期止-$N505)))</f>
        <v/>
      </c>
      <c r="P505" s="17" t="n"/>
    </row>
    <row r="506">
      <c r="A506" s="17" t="inlineStr">
        <is>
          <t>JH0503</t>
        </is>
      </c>
      <c r="B506" s="17" t="inlineStr">
        <is>
          <t>钢材</t>
        </is>
      </c>
      <c r="C506" s="17" t="inlineStr">
        <is>
          <t>角钢</t>
        </is>
      </c>
      <c r="D506" s="17" t="inlineStr">
        <is>
          <t>∠50   6米/支</t>
        </is>
      </c>
      <c r="E506" s="17" t="inlineStr">
        <is>
          <t>米</t>
        </is>
      </c>
      <c r="F506" s="17" t="inlineStr">
        <is>
          <t>否</t>
        </is>
      </c>
      <c r="G506" s="23" t="n"/>
      <c r="H506" s="24">
        <f>IF($A506="","",IFERROR(LOOKUP(2,1/((入库单!$G$4:$G$2503=$A506)*(入库单!$Y$4:$Y$2503="正常")*(入库单!$L$4:$L$2503&gt;0)),入库单!$D$4:$D$2503),""))</f>
        <v/>
      </c>
      <c r="I506" s="25">
        <f>IF($A506="","",IFERROR(LOOKUP(2,1/((入库单!$G$4:$G$2503=$A506)*(入库单!$Y$4:$Y$2503="正常")*(入库单!$L$4:$L$2503&gt;0)),入库单!$L$4:$L$2503),0))</f>
        <v/>
      </c>
      <c r="J506" s="26">
        <f>IF($A506="","",IF($H506="A国内",ROUND($I506*倍数A*汇率,0),IF($H506="B当地",ROUND($I506*系数B,0),0)))</f>
        <v/>
      </c>
      <c r="K506" s="24">
        <f>IF($A506="","",IF(COUNTIFS(入库单!$G$4:$G$2503,$A506,入库单!$X$4:$X$2503,"待补价")&gt;0,"待补价",IF(COUNTIFS(入库单!$G$4:$G$2503,$A506,入库单!$X$4:$X$2503,"暂估")&gt;0,"暂估",IF($I506=0,"没有进价","正常"))))</f>
        <v/>
      </c>
      <c r="L506" s="27">
        <f>IF($A506="","",IFERROR(VLOOKUP($A506,库存台账!$A$5:$Y$1204,24,0),0))</f>
        <v/>
      </c>
      <c r="M506" s="26">
        <f>IF($A506="","",IFERROR(VLOOKUP($A506,库存台账!$A$5:$Y$1204,25,0),0))</f>
        <v/>
      </c>
      <c r="N506" s="19">
        <f>IF($A506="","",IFERROR(LOOKUP(2,1/((出库单!$D$4:$D$4003=$A506)*(出库单!$T$4:$T$4003="正常")),出库单!$C$4:$C$4003),""))</f>
        <v/>
      </c>
      <c r="O506" s="28">
        <f>IF($A506="","",IF($L506&lt;=0,"",IF($N506="",IFERROR(账期止-LOOKUP(2,1/(入库单!$G$4:$G$2503=$A506),入库单!$C$4:$C$2503),""),账期止-$N506)))</f>
        <v/>
      </c>
      <c r="P506" s="17" t="n"/>
    </row>
    <row r="507">
      <c r="A507" s="17" t="inlineStr">
        <is>
          <t>JH0504</t>
        </is>
      </c>
      <c r="B507" s="17" t="inlineStr">
        <is>
          <t>钢材</t>
        </is>
      </c>
      <c r="C507" s="17" t="inlineStr">
        <is>
          <t>钢管</t>
        </is>
      </c>
      <c r="D507" s="17" t="inlineStr">
        <is>
          <t>Φ108   6米/支</t>
        </is>
      </c>
      <c r="E507" s="17" t="inlineStr">
        <is>
          <t>米</t>
        </is>
      </c>
      <c r="F507" s="17" t="inlineStr">
        <is>
          <t>否</t>
        </is>
      </c>
      <c r="G507" s="23" t="n"/>
      <c r="H507" s="24">
        <f>IF($A507="","",IFERROR(LOOKUP(2,1/((入库单!$G$4:$G$2503=$A507)*(入库单!$Y$4:$Y$2503="正常")*(入库单!$L$4:$L$2503&gt;0)),入库单!$D$4:$D$2503),""))</f>
        <v/>
      </c>
      <c r="I507" s="25">
        <f>IF($A507="","",IFERROR(LOOKUP(2,1/((入库单!$G$4:$G$2503=$A507)*(入库单!$Y$4:$Y$2503="正常")*(入库单!$L$4:$L$2503&gt;0)),入库单!$L$4:$L$2503),0))</f>
        <v/>
      </c>
      <c r="J507" s="26">
        <f>IF($A507="","",IF($H507="A国内",ROUND($I507*倍数A*汇率,0),IF($H507="B当地",ROUND($I507*系数B,0),0)))</f>
        <v/>
      </c>
      <c r="K507" s="24">
        <f>IF($A507="","",IF(COUNTIFS(入库单!$G$4:$G$2503,$A507,入库单!$X$4:$X$2503,"待补价")&gt;0,"待补价",IF(COUNTIFS(入库单!$G$4:$G$2503,$A507,入库单!$X$4:$X$2503,"暂估")&gt;0,"暂估",IF($I507=0,"没有进价","正常"))))</f>
        <v/>
      </c>
      <c r="L507" s="27">
        <f>IF($A507="","",IFERROR(VLOOKUP($A507,库存台账!$A$5:$Y$1204,24,0),0))</f>
        <v/>
      </c>
      <c r="M507" s="26">
        <f>IF($A507="","",IFERROR(VLOOKUP($A507,库存台账!$A$5:$Y$1204,25,0),0))</f>
        <v/>
      </c>
      <c r="N507" s="19">
        <f>IF($A507="","",IFERROR(LOOKUP(2,1/((出库单!$D$4:$D$4003=$A507)*(出库单!$T$4:$T$4003="正常")),出库单!$C$4:$C$4003),""))</f>
        <v/>
      </c>
      <c r="O507" s="28">
        <f>IF($A507="","",IF($L507&lt;=0,"",IF($N507="",IFERROR(账期止-LOOKUP(2,1/(入库单!$G$4:$G$2503=$A507),入库单!$C$4:$C$2503),""),账期止-$N507)))</f>
        <v/>
      </c>
      <c r="P507" s="17" t="n"/>
    </row>
    <row r="508">
      <c r="A508" s="17" t="inlineStr">
        <is>
          <t>JH0505</t>
        </is>
      </c>
      <c r="B508" s="17" t="inlineStr">
        <is>
          <t>钢材</t>
        </is>
      </c>
      <c r="C508" s="17" t="inlineStr">
        <is>
          <t>焊管</t>
        </is>
      </c>
      <c r="D508" s="17" t="inlineStr">
        <is>
          <t>1寸管x2.5   6米/支</t>
        </is>
      </c>
      <c r="E508" s="17" t="inlineStr">
        <is>
          <t>米</t>
        </is>
      </c>
      <c r="F508" s="17" t="inlineStr">
        <is>
          <t>否</t>
        </is>
      </c>
      <c r="G508" s="23" t="n"/>
      <c r="H508" s="24">
        <f>IF($A508="","",IFERROR(LOOKUP(2,1/((入库单!$G$4:$G$2503=$A508)*(入库单!$Y$4:$Y$2503="正常")*(入库单!$L$4:$L$2503&gt;0)),入库单!$D$4:$D$2503),""))</f>
        <v/>
      </c>
      <c r="I508" s="25">
        <f>IF($A508="","",IFERROR(LOOKUP(2,1/((入库单!$G$4:$G$2503=$A508)*(入库单!$Y$4:$Y$2503="正常")*(入库单!$L$4:$L$2503&gt;0)),入库单!$L$4:$L$2503),0))</f>
        <v/>
      </c>
      <c r="J508" s="26">
        <f>IF($A508="","",IF($H508="A国内",ROUND($I508*倍数A*汇率,0),IF($H508="B当地",ROUND($I508*系数B,0),0)))</f>
        <v/>
      </c>
      <c r="K508" s="24">
        <f>IF($A508="","",IF(COUNTIFS(入库单!$G$4:$G$2503,$A508,入库单!$X$4:$X$2503,"待补价")&gt;0,"待补价",IF(COUNTIFS(入库单!$G$4:$G$2503,$A508,入库单!$X$4:$X$2503,"暂估")&gt;0,"暂估",IF($I508=0,"没有进价","正常"))))</f>
        <v/>
      </c>
      <c r="L508" s="27">
        <f>IF($A508="","",IFERROR(VLOOKUP($A508,库存台账!$A$5:$Y$1204,24,0),0))</f>
        <v/>
      </c>
      <c r="M508" s="26">
        <f>IF($A508="","",IFERROR(VLOOKUP($A508,库存台账!$A$5:$Y$1204,25,0),0))</f>
        <v/>
      </c>
      <c r="N508" s="19">
        <f>IF($A508="","",IFERROR(LOOKUP(2,1/((出库单!$D$4:$D$4003=$A508)*(出库单!$T$4:$T$4003="正常")),出库单!$C$4:$C$4003),""))</f>
        <v/>
      </c>
      <c r="O508" s="28">
        <f>IF($A508="","",IF($L508&lt;=0,"",IF($N508="",IFERROR(账期止-LOOKUP(2,1/(入库单!$G$4:$G$2503=$A508),入库单!$C$4:$C$2503),""),账期止-$N508)))</f>
        <v/>
      </c>
      <c r="P508" s="17" t="n"/>
    </row>
    <row r="509">
      <c r="A509" s="17" t="inlineStr">
        <is>
          <t>JH0506</t>
        </is>
      </c>
      <c r="B509" s="17" t="inlineStr">
        <is>
          <t>机械设备</t>
        </is>
      </c>
      <c r="C509" s="17" t="inlineStr">
        <is>
          <t>槽式给矿机</t>
        </is>
      </c>
      <c r="D509" s="17" t="inlineStr">
        <is>
          <t>CG1240×980</t>
        </is>
      </c>
      <c r="E509" s="17" t="inlineStr">
        <is>
          <t>台</t>
        </is>
      </c>
      <c r="F509" s="17" t="inlineStr">
        <is>
          <t>否</t>
        </is>
      </c>
      <c r="G509" s="23" t="n"/>
      <c r="H509" s="24">
        <f>IF($A509="","",IFERROR(LOOKUP(2,1/((入库单!$G$4:$G$2503=$A509)*(入库单!$Y$4:$Y$2503="正常")*(入库单!$L$4:$L$2503&gt;0)),入库单!$D$4:$D$2503),""))</f>
        <v/>
      </c>
      <c r="I509" s="25">
        <f>IF($A509="","",IFERROR(LOOKUP(2,1/((入库单!$G$4:$G$2503=$A509)*(入库单!$Y$4:$Y$2503="正常")*(入库单!$L$4:$L$2503&gt;0)),入库单!$L$4:$L$2503),0))</f>
        <v/>
      </c>
      <c r="J509" s="26">
        <f>IF($A509="","",IF($H509="A国内",ROUND($I509*倍数A*汇率,0),IF($H509="B当地",ROUND($I509*系数B,0),0)))</f>
        <v/>
      </c>
      <c r="K509" s="24">
        <f>IF($A509="","",IF(COUNTIFS(入库单!$G$4:$G$2503,$A509,入库单!$X$4:$X$2503,"待补价")&gt;0,"待补价",IF(COUNTIFS(入库单!$G$4:$G$2503,$A509,入库单!$X$4:$X$2503,"暂估")&gt;0,"暂估",IF($I509=0,"没有进价","正常"))))</f>
        <v/>
      </c>
      <c r="L509" s="27">
        <f>IF($A509="","",IFERROR(VLOOKUP($A509,库存台账!$A$5:$Y$1204,24,0),0))</f>
        <v/>
      </c>
      <c r="M509" s="26">
        <f>IF($A509="","",IFERROR(VLOOKUP($A509,库存台账!$A$5:$Y$1204,25,0),0))</f>
        <v/>
      </c>
      <c r="N509" s="19">
        <f>IF($A509="","",IFERROR(LOOKUP(2,1/((出库单!$D$4:$D$4003=$A509)*(出库单!$T$4:$T$4003="正常")),出库单!$C$4:$C$4003),""))</f>
        <v/>
      </c>
      <c r="O509" s="28">
        <f>IF($A509="","",IF($L509&lt;=0,"",IF($N509="",IFERROR(账期止-LOOKUP(2,1/(入库单!$G$4:$G$2503=$A509),入库单!$C$4:$C$2503),""),账期止-$N509)))</f>
        <v/>
      </c>
      <c r="P509" s="17" t="n"/>
    </row>
    <row r="510">
      <c r="A510" s="17" t="inlineStr">
        <is>
          <t>JH0507</t>
        </is>
      </c>
      <c r="B510" s="17" t="inlineStr">
        <is>
          <t>电缆电气</t>
        </is>
      </c>
      <c r="C510" s="17" t="inlineStr">
        <is>
          <t>电机7.5kw-6</t>
        </is>
      </c>
      <c r="D510" s="17" t="inlineStr">
        <is>
          <t>槽式给矿机配件</t>
        </is>
      </c>
      <c r="E510" s="17" t="inlineStr">
        <is>
          <t>台</t>
        </is>
      </c>
      <c r="F510" s="17" t="inlineStr">
        <is>
          <t>否</t>
        </is>
      </c>
      <c r="G510" s="23" t="n"/>
      <c r="H510" s="24">
        <f>IF($A510="","",IFERROR(LOOKUP(2,1/((入库单!$G$4:$G$2503=$A510)*(入库单!$Y$4:$Y$2503="正常")*(入库单!$L$4:$L$2503&gt;0)),入库单!$D$4:$D$2503),""))</f>
        <v/>
      </c>
      <c r="I510" s="25">
        <f>IF($A510="","",IFERROR(LOOKUP(2,1/((入库单!$G$4:$G$2503=$A510)*(入库单!$Y$4:$Y$2503="正常")*(入库单!$L$4:$L$2503&gt;0)),入库单!$L$4:$L$2503),0))</f>
        <v/>
      </c>
      <c r="J510" s="26">
        <f>IF($A510="","",IF($H510="A国内",ROUND($I510*倍数A*汇率,0),IF($H510="B当地",ROUND($I510*系数B,0),0)))</f>
        <v/>
      </c>
      <c r="K510" s="24">
        <f>IF($A510="","",IF(COUNTIFS(入库单!$G$4:$G$2503,$A510,入库单!$X$4:$X$2503,"待补价")&gt;0,"待补价",IF(COUNTIFS(入库单!$G$4:$G$2503,$A510,入库单!$X$4:$X$2503,"暂估")&gt;0,"暂估",IF($I510=0,"没有进价","正常"))))</f>
        <v/>
      </c>
      <c r="L510" s="27">
        <f>IF($A510="","",IFERROR(VLOOKUP($A510,库存台账!$A$5:$Y$1204,24,0),0))</f>
        <v/>
      </c>
      <c r="M510" s="26">
        <f>IF($A510="","",IFERROR(VLOOKUP($A510,库存台账!$A$5:$Y$1204,25,0),0))</f>
        <v/>
      </c>
      <c r="N510" s="19">
        <f>IF($A510="","",IFERROR(LOOKUP(2,1/((出库单!$D$4:$D$4003=$A510)*(出库单!$T$4:$T$4003="正常")),出库单!$C$4:$C$4003),""))</f>
        <v/>
      </c>
      <c r="O510" s="28">
        <f>IF($A510="","",IF($L510&lt;=0,"",IF($N510="",IFERROR(账期止-LOOKUP(2,1/(入库单!$G$4:$G$2503=$A510),入库单!$C$4:$C$2503),""),账期止-$N510)))</f>
        <v/>
      </c>
      <c r="P510" s="17" t="n"/>
    </row>
    <row r="511">
      <c r="A511" s="17" t="inlineStr">
        <is>
          <t>JH0508</t>
        </is>
      </c>
      <c r="B511" s="17" t="inlineStr">
        <is>
          <t>机械设备</t>
        </is>
      </c>
      <c r="C511" s="17" t="inlineStr">
        <is>
          <t>罗茨鼓风机</t>
        </is>
      </c>
      <c r="D511" s="17" t="inlineStr">
        <is>
          <t>SR150</t>
        </is>
      </c>
      <c r="E511" s="17" t="inlineStr">
        <is>
          <t>台</t>
        </is>
      </c>
      <c r="F511" s="17" t="inlineStr">
        <is>
          <t>否</t>
        </is>
      </c>
      <c r="G511" s="23" t="n"/>
      <c r="H511" s="24">
        <f>IF($A511="","",IFERROR(LOOKUP(2,1/((入库单!$G$4:$G$2503=$A511)*(入库单!$Y$4:$Y$2503="正常")*(入库单!$L$4:$L$2503&gt;0)),入库单!$D$4:$D$2503),""))</f>
        <v/>
      </c>
      <c r="I511" s="25">
        <f>IF($A511="","",IFERROR(LOOKUP(2,1/((入库单!$G$4:$G$2503=$A511)*(入库单!$Y$4:$Y$2503="正常")*(入库单!$L$4:$L$2503&gt;0)),入库单!$L$4:$L$2503),0))</f>
        <v/>
      </c>
      <c r="J511" s="26">
        <f>IF($A511="","",IF($H511="A国内",ROUND($I511*倍数A*汇率,0),IF($H511="B当地",ROUND($I511*系数B,0),0)))</f>
        <v/>
      </c>
      <c r="K511" s="24">
        <f>IF($A511="","",IF(COUNTIFS(入库单!$G$4:$G$2503,$A511,入库单!$X$4:$X$2503,"待补价")&gt;0,"待补价",IF(COUNTIFS(入库单!$G$4:$G$2503,$A511,入库单!$X$4:$X$2503,"暂估")&gt;0,"暂估",IF($I511=0,"没有进价","正常"))))</f>
        <v/>
      </c>
      <c r="L511" s="27">
        <f>IF($A511="","",IFERROR(VLOOKUP($A511,库存台账!$A$5:$Y$1204,24,0),0))</f>
        <v/>
      </c>
      <c r="M511" s="26">
        <f>IF($A511="","",IFERROR(VLOOKUP($A511,库存台账!$A$5:$Y$1204,25,0),0))</f>
        <v/>
      </c>
      <c r="N511" s="19">
        <f>IF($A511="","",IFERROR(LOOKUP(2,1/((出库单!$D$4:$D$4003=$A511)*(出库单!$T$4:$T$4003="正常")),出库单!$C$4:$C$4003),""))</f>
        <v/>
      </c>
      <c r="O511" s="28">
        <f>IF($A511="","",IF($L511&lt;=0,"",IF($N511="",IFERROR(账期止-LOOKUP(2,1/(入库单!$G$4:$G$2503=$A511),入库单!$C$4:$C$2503),""),账期止-$N511)))</f>
        <v/>
      </c>
      <c r="P511" s="17" t="n"/>
    </row>
    <row r="512">
      <c r="A512" s="17" t="inlineStr">
        <is>
          <t>JH0509</t>
        </is>
      </c>
      <c r="B512" s="17" t="inlineStr">
        <is>
          <t>机械设备</t>
        </is>
      </c>
      <c r="C512" s="17" t="inlineStr">
        <is>
          <t>压滤机</t>
        </is>
      </c>
      <c r="D512" s="17" t="inlineStr">
        <is>
          <t>XMYZ60/1000-U</t>
        </is>
      </c>
      <c r="E512" s="17" t="inlineStr">
        <is>
          <t>台</t>
        </is>
      </c>
      <c r="F512" s="17" t="inlineStr">
        <is>
          <t>否</t>
        </is>
      </c>
      <c r="G512" s="23" t="n"/>
      <c r="H512" s="24">
        <f>IF($A512="","",IFERROR(LOOKUP(2,1/((入库单!$G$4:$G$2503=$A512)*(入库单!$Y$4:$Y$2503="正常")*(入库单!$L$4:$L$2503&gt;0)),入库单!$D$4:$D$2503),""))</f>
        <v/>
      </c>
      <c r="I512" s="25">
        <f>IF($A512="","",IFERROR(LOOKUP(2,1/((入库单!$G$4:$G$2503=$A512)*(入库单!$Y$4:$Y$2503="正常")*(入库单!$L$4:$L$2503&gt;0)),入库单!$L$4:$L$2503),0))</f>
        <v/>
      </c>
      <c r="J512" s="26">
        <f>IF($A512="","",IF($H512="A国内",ROUND($I512*倍数A*汇率,0),IF($H512="B当地",ROUND($I512*系数B,0),0)))</f>
        <v/>
      </c>
      <c r="K512" s="24">
        <f>IF($A512="","",IF(COUNTIFS(入库单!$G$4:$G$2503,$A512,入库单!$X$4:$X$2503,"待补价")&gt;0,"待补价",IF(COUNTIFS(入库单!$G$4:$G$2503,$A512,入库单!$X$4:$X$2503,"暂估")&gt;0,"暂估",IF($I512=0,"没有进价","正常"))))</f>
        <v/>
      </c>
      <c r="L512" s="27">
        <f>IF($A512="","",IFERROR(VLOOKUP($A512,库存台账!$A$5:$Y$1204,24,0),0))</f>
        <v/>
      </c>
      <c r="M512" s="26">
        <f>IF($A512="","",IFERROR(VLOOKUP($A512,库存台账!$A$5:$Y$1204,25,0),0))</f>
        <v/>
      </c>
      <c r="N512" s="19">
        <f>IF($A512="","",IFERROR(LOOKUP(2,1/((出库单!$D$4:$D$4003=$A512)*(出库单!$T$4:$T$4003="正常")),出库单!$C$4:$C$4003),""))</f>
        <v/>
      </c>
      <c r="O512" s="28">
        <f>IF($A512="","",IF($L512&lt;=0,"",IF($N512="",IFERROR(账期止-LOOKUP(2,1/(入库单!$G$4:$G$2503=$A512),入库单!$C$4:$C$2503),""),账期止-$N512)))</f>
        <v/>
      </c>
      <c r="P512" s="17" t="n"/>
    </row>
    <row r="513">
      <c r="A513" s="17" t="inlineStr">
        <is>
          <t>JH0510</t>
        </is>
      </c>
      <c r="B513" s="17" t="inlineStr">
        <is>
          <t>其他</t>
        </is>
      </c>
      <c r="C513" s="17" t="inlineStr">
        <is>
          <t>厢板37块.滤布38块（2袋）.水嘴80个（1袋）.</t>
        </is>
      </c>
      <c r="D513" s="17" t="inlineStr">
        <is>
          <t>0</t>
        </is>
      </c>
      <c r="E513" s="17" t="inlineStr">
        <is>
          <t>个</t>
        </is>
      </c>
      <c r="F513" s="17" t="inlineStr">
        <is>
          <t>否</t>
        </is>
      </c>
      <c r="G513" s="23" t="n"/>
      <c r="H513" s="24">
        <f>IF($A513="","",IFERROR(LOOKUP(2,1/((入库单!$G$4:$G$2503=$A513)*(入库单!$Y$4:$Y$2503="正常")*(入库单!$L$4:$L$2503&gt;0)),入库单!$D$4:$D$2503),""))</f>
        <v/>
      </c>
      <c r="I513" s="25">
        <f>IF($A513="","",IFERROR(LOOKUP(2,1/((入库单!$G$4:$G$2503=$A513)*(入库单!$Y$4:$Y$2503="正常")*(入库单!$L$4:$L$2503&gt;0)),入库单!$L$4:$L$2503),0))</f>
        <v/>
      </c>
      <c r="J513" s="26">
        <f>IF($A513="","",IF($H513="A国内",ROUND($I513*倍数A*汇率,0),IF($H513="B当地",ROUND($I513*系数B,0),0)))</f>
        <v/>
      </c>
      <c r="K513" s="24">
        <f>IF($A513="","",IF(COUNTIFS(入库单!$G$4:$G$2503,$A513,入库单!$X$4:$X$2503,"待补价")&gt;0,"待补价",IF(COUNTIFS(入库单!$G$4:$G$2503,$A513,入库单!$X$4:$X$2503,"暂估")&gt;0,"暂估",IF($I513=0,"没有进价","正常"))))</f>
        <v/>
      </c>
      <c r="L513" s="27">
        <f>IF($A513="","",IFERROR(VLOOKUP($A513,库存台账!$A$5:$Y$1204,24,0),0))</f>
        <v/>
      </c>
      <c r="M513" s="26">
        <f>IF($A513="","",IFERROR(VLOOKUP($A513,库存台账!$A$5:$Y$1204,25,0),0))</f>
        <v/>
      </c>
      <c r="N513" s="19">
        <f>IF($A513="","",IFERROR(LOOKUP(2,1/((出库单!$D$4:$D$4003=$A513)*(出库单!$T$4:$T$4003="正常")),出库单!$C$4:$C$4003),""))</f>
        <v/>
      </c>
      <c r="O513" s="28">
        <f>IF($A513="","",IF($L513&lt;=0,"",IF($N513="",IFERROR(账期止-LOOKUP(2,1/(入库单!$G$4:$G$2503=$A513),入库单!$C$4:$C$2503),""),账期止-$N513)))</f>
        <v/>
      </c>
      <c r="P513" s="17" t="n"/>
    </row>
    <row r="514">
      <c r="A514" s="17" t="inlineStr">
        <is>
          <t>JH0511</t>
        </is>
      </c>
      <c r="B514" s="17" t="inlineStr">
        <is>
          <t>其他</t>
        </is>
      </c>
      <c r="C514" s="17" t="inlineStr">
        <is>
          <t>压力表1块.卸料铲2把.挂布销300个（在液压站上）</t>
        </is>
      </c>
      <c r="D514" s="17" t="inlineStr">
        <is>
          <t>0</t>
        </is>
      </c>
      <c r="E514" s="17" t="inlineStr">
        <is>
          <t>个</t>
        </is>
      </c>
      <c r="F514" s="17" t="inlineStr">
        <is>
          <t>否</t>
        </is>
      </c>
      <c r="G514" s="23" t="n"/>
      <c r="H514" s="24">
        <f>IF($A514="","",IFERROR(LOOKUP(2,1/((入库单!$G$4:$G$2503=$A514)*(入库单!$Y$4:$Y$2503="正常")*(入库单!$L$4:$L$2503&gt;0)),入库单!$D$4:$D$2503),""))</f>
        <v/>
      </c>
      <c r="I514" s="25">
        <f>IF($A514="","",IFERROR(LOOKUP(2,1/((入库单!$G$4:$G$2503=$A514)*(入库单!$Y$4:$Y$2503="正常")*(入库单!$L$4:$L$2503&gt;0)),入库单!$L$4:$L$2503),0))</f>
        <v/>
      </c>
      <c r="J514" s="26">
        <f>IF($A514="","",IF($H514="A国内",ROUND($I514*倍数A*汇率,0),IF($H514="B当地",ROUND($I514*系数B,0),0)))</f>
        <v/>
      </c>
      <c r="K514" s="24">
        <f>IF($A514="","",IF(COUNTIFS(入库单!$G$4:$G$2503,$A514,入库单!$X$4:$X$2503,"待补价")&gt;0,"待补价",IF(COUNTIFS(入库单!$G$4:$G$2503,$A514,入库单!$X$4:$X$2503,"暂估")&gt;0,"暂估",IF($I514=0,"没有进价","正常"))))</f>
        <v/>
      </c>
      <c r="L514" s="27">
        <f>IF($A514="","",IFERROR(VLOOKUP($A514,库存台账!$A$5:$Y$1204,24,0),0))</f>
        <v/>
      </c>
      <c r="M514" s="26">
        <f>IF($A514="","",IFERROR(VLOOKUP($A514,库存台账!$A$5:$Y$1204,25,0),0))</f>
        <v/>
      </c>
      <c r="N514" s="19">
        <f>IF($A514="","",IFERROR(LOOKUP(2,1/((出库单!$D$4:$D$4003=$A514)*(出库单!$T$4:$T$4003="正常")),出库单!$C$4:$C$4003),""))</f>
        <v/>
      </c>
      <c r="O514" s="28">
        <f>IF($A514="","",IF($L514&lt;=0,"",IF($N514="",IFERROR(账期止-LOOKUP(2,1/(入库单!$G$4:$G$2503=$A514),入库单!$C$4:$C$2503),""),账期止-$N514)))</f>
        <v/>
      </c>
      <c r="P514" s="17" t="n"/>
    </row>
    <row r="515">
      <c r="A515" s="17" t="inlineStr">
        <is>
          <t>JH0512</t>
        </is>
      </c>
      <c r="B515" s="17" t="inlineStr">
        <is>
          <t>其他</t>
        </is>
      </c>
      <c r="C515" s="17" t="inlineStr">
        <is>
          <t>液压站</t>
        </is>
      </c>
      <c r="D515" s="17" t="inlineStr">
        <is>
          <t>0</t>
        </is>
      </c>
      <c r="E515" s="17" t="inlineStr">
        <is>
          <t>台</t>
        </is>
      </c>
      <c r="F515" s="17" t="inlineStr">
        <is>
          <t>否</t>
        </is>
      </c>
      <c r="G515" s="23" t="n"/>
      <c r="H515" s="24">
        <f>IF($A515="","",IFERROR(LOOKUP(2,1/((入库单!$G$4:$G$2503=$A515)*(入库单!$Y$4:$Y$2503="正常")*(入库单!$L$4:$L$2503&gt;0)),入库单!$D$4:$D$2503),""))</f>
        <v/>
      </c>
      <c r="I515" s="25">
        <f>IF($A515="","",IFERROR(LOOKUP(2,1/((入库单!$G$4:$G$2503=$A515)*(入库单!$Y$4:$Y$2503="正常")*(入库单!$L$4:$L$2503&gt;0)),入库单!$L$4:$L$2503),0))</f>
        <v/>
      </c>
      <c r="J515" s="26">
        <f>IF($A515="","",IF($H515="A国内",ROUND($I515*倍数A*汇率,0),IF($H515="B当地",ROUND($I515*系数B,0),0)))</f>
        <v/>
      </c>
      <c r="K515" s="24">
        <f>IF($A515="","",IF(COUNTIFS(入库单!$G$4:$G$2503,$A515,入库单!$X$4:$X$2503,"待补价")&gt;0,"待补价",IF(COUNTIFS(入库单!$G$4:$G$2503,$A515,入库单!$X$4:$X$2503,"暂估")&gt;0,"暂估",IF($I515=0,"没有进价","正常"))))</f>
        <v/>
      </c>
      <c r="L515" s="27">
        <f>IF($A515="","",IFERROR(VLOOKUP($A515,库存台账!$A$5:$Y$1204,24,0),0))</f>
        <v/>
      </c>
      <c r="M515" s="26">
        <f>IF($A515="","",IFERROR(VLOOKUP($A515,库存台账!$A$5:$Y$1204,25,0),0))</f>
        <v/>
      </c>
      <c r="N515" s="19">
        <f>IF($A515="","",IFERROR(LOOKUP(2,1/((出库单!$D$4:$D$4003=$A515)*(出库单!$T$4:$T$4003="正常")),出库单!$C$4:$C$4003),""))</f>
        <v/>
      </c>
      <c r="O515" s="28">
        <f>IF($A515="","",IF($L515&lt;=0,"",IF($N515="",IFERROR(账期止-LOOKUP(2,1/(入库单!$G$4:$G$2503=$A515),入库单!$C$4:$C$2503),""),账期止-$N515)))</f>
        <v/>
      </c>
      <c r="P515" s="17" t="n"/>
    </row>
    <row r="516">
      <c r="A516" s="17" t="inlineStr">
        <is>
          <t>JH0513</t>
        </is>
      </c>
      <c r="B516" s="17" t="inlineStr">
        <is>
          <t>电缆电气</t>
        </is>
      </c>
      <c r="C516" s="17" t="inlineStr">
        <is>
          <t>配电柜</t>
        </is>
      </c>
      <c r="D516" s="17" t="inlineStr">
        <is>
          <t>0</t>
        </is>
      </c>
      <c r="E516" s="17" t="inlineStr">
        <is>
          <t>台</t>
        </is>
      </c>
      <c r="F516" s="17" t="inlineStr">
        <is>
          <t>否</t>
        </is>
      </c>
      <c r="G516" s="23" t="n"/>
      <c r="H516" s="24">
        <f>IF($A516="","",IFERROR(LOOKUP(2,1/((入库单!$G$4:$G$2503=$A516)*(入库单!$Y$4:$Y$2503="正常")*(入库单!$L$4:$L$2503&gt;0)),入库单!$D$4:$D$2503),""))</f>
        <v/>
      </c>
      <c r="I516" s="25">
        <f>IF($A516="","",IFERROR(LOOKUP(2,1/((入库单!$G$4:$G$2503=$A516)*(入库单!$Y$4:$Y$2503="正常")*(入库单!$L$4:$L$2503&gt;0)),入库单!$L$4:$L$2503),0))</f>
        <v/>
      </c>
      <c r="J516" s="26">
        <f>IF($A516="","",IF($H516="A国内",ROUND($I516*倍数A*汇率,0),IF($H516="B当地",ROUND($I516*系数B,0),0)))</f>
        <v/>
      </c>
      <c r="K516" s="24">
        <f>IF($A516="","",IF(COUNTIFS(入库单!$G$4:$G$2503,$A516,入库单!$X$4:$X$2503,"待补价")&gt;0,"待补价",IF(COUNTIFS(入库单!$G$4:$G$2503,$A516,入库单!$X$4:$X$2503,"暂估")&gt;0,"暂估",IF($I516=0,"没有进价","正常"))))</f>
        <v/>
      </c>
      <c r="L516" s="27">
        <f>IF($A516="","",IFERROR(VLOOKUP($A516,库存台账!$A$5:$Y$1204,24,0),0))</f>
        <v/>
      </c>
      <c r="M516" s="26">
        <f>IF($A516="","",IFERROR(VLOOKUP($A516,库存台账!$A$5:$Y$1204,25,0),0))</f>
        <v/>
      </c>
      <c r="N516" s="19">
        <f>IF($A516="","",IFERROR(LOOKUP(2,1/((出库单!$D$4:$D$4003=$A516)*(出库单!$T$4:$T$4003="正常")),出库单!$C$4:$C$4003),""))</f>
        <v/>
      </c>
      <c r="O516" s="28">
        <f>IF($A516="","",IF($L516&lt;=0,"",IF($N516="",IFERROR(账期止-LOOKUP(2,1/(入库单!$G$4:$G$2503=$A516),入库单!$C$4:$C$2503),""),账期止-$N516)))</f>
        <v/>
      </c>
      <c r="P516" s="17" t="n"/>
    </row>
    <row r="517">
      <c r="A517" s="17" t="inlineStr">
        <is>
          <t>JH0514</t>
        </is>
      </c>
      <c r="B517" s="17" t="inlineStr">
        <is>
          <t>机械设备</t>
        </is>
      </c>
      <c r="C517" s="17" t="inlineStr">
        <is>
          <t>厢板</t>
        </is>
      </c>
      <c r="D517" s="17" t="inlineStr">
        <is>
          <t>WMYZ60/1000-U
压滤机配件</t>
        </is>
      </c>
      <c r="E517" s="17" t="inlineStr">
        <is>
          <t>块</t>
        </is>
      </c>
      <c r="F517" s="17" t="inlineStr">
        <is>
          <t>否</t>
        </is>
      </c>
      <c r="G517" s="23" t="n"/>
      <c r="H517" s="24">
        <f>IF($A517="","",IFERROR(LOOKUP(2,1/((入库单!$G$4:$G$2503=$A517)*(入库单!$Y$4:$Y$2503="正常")*(入库单!$L$4:$L$2503&gt;0)),入库单!$D$4:$D$2503),""))</f>
        <v/>
      </c>
      <c r="I517" s="25">
        <f>IF($A517="","",IFERROR(LOOKUP(2,1/((入库单!$G$4:$G$2503=$A517)*(入库单!$Y$4:$Y$2503="正常")*(入库单!$L$4:$L$2503&gt;0)),入库单!$L$4:$L$2503),0))</f>
        <v/>
      </c>
      <c r="J517" s="26">
        <f>IF($A517="","",IF($H517="A国内",ROUND($I517*倍数A*汇率,0),IF($H517="B当地",ROUND($I517*系数B,0),0)))</f>
        <v/>
      </c>
      <c r="K517" s="24">
        <f>IF($A517="","",IF(COUNTIFS(入库单!$G$4:$G$2503,$A517,入库单!$X$4:$X$2503,"待补价")&gt;0,"待补价",IF(COUNTIFS(入库单!$G$4:$G$2503,$A517,入库单!$X$4:$X$2503,"暂估")&gt;0,"暂估",IF($I517=0,"没有进价","正常"))))</f>
        <v/>
      </c>
      <c r="L517" s="27">
        <f>IF($A517="","",IFERROR(VLOOKUP($A517,库存台账!$A$5:$Y$1204,24,0),0))</f>
        <v/>
      </c>
      <c r="M517" s="26">
        <f>IF($A517="","",IFERROR(VLOOKUP($A517,库存台账!$A$5:$Y$1204,25,0),0))</f>
        <v/>
      </c>
      <c r="N517" s="19">
        <f>IF($A517="","",IFERROR(LOOKUP(2,1/((出库单!$D$4:$D$4003=$A517)*(出库单!$T$4:$T$4003="正常")),出库单!$C$4:$C$4003),""))</f>
        <v/>
      </c>
      <c r="O517" s="28">
        <f>IF($A517="","",IF($L517&lt;=0,"",IF($N517="",IFERROR(账期止-LOOKUP(2,1/(入库单!$G$4:$G$2503=$A517),入库单!$C$4:$C$2503),""),账期止-$N517)))</f>
        <v/>
      </c>
      <c r="P517" s="17" t="n"/>
    </row>
    <row r="518">
      <c r="A518" s="17" t="inlineStr">
        <is>
          <t>JH0515</t>
        </is>
      </c>
      <c r="B518" s="17" t="inlineStr">
        <is>
          <t>机械设备</t>
        </is>
      </c>
      <c r="C518" s="17" t="inlineStr">
        <is>
          <t>滤布</t>
        </is>
      </c>
      <c r="D518" s="17" t="inlineStr">
        <is>
          <t>WMYZ60/1000-U
压滤机配件</t>
        </is>
      </c>
      <c r="E518" s="17" t="inlineStr">
        <is>
          <t>块</t>
        </is>
      </c>
      <c r="F518" s="17" t="inlineStr">
        <is>
          <t>否</t>
        </is>
      </c>
      <c r="G518" s="23" t="n"/>
      <c r="H518" s="24">
        <f>IF($A518="","",IFERROR(LOOKUP(2,1/((入库单!$G$4:$G$2503=$A518)*(入库单!$Y$4:$Y$2503="正常")*(入库单!$L$4:$L$2503&gt;0)),入库单!$D$4:$D$2503),""))</f>
        <v/>
      </c>
      <c r="I518" s="25">
        <f>IF($A518="","",IFERROR(LOOKUP(2,1/((入库单!$G$4:$G$2503=$A518)*(入库单!$Y$4:$Y$2503="正常")*(入库单!$L$4:$L$2503&gt;0)),入库单!$L$4:$L$2503),0))</f>
        <v/>
      </c>
      <c r="J518" s="26">
        <f>IF($A518="","",IF($H518="A国内",ROUND($I518*倍数A*汇率,0),IF($H518="B当地",ROUND($I518*系数B,0),0)))</f>
        <v/>
      </c>
      <c r="K518" s="24">
        <f>IF($A518="","",IF(COUNTIFS(入库单!$G$4:$G$2503,$A518,入库单!$X$4:$X$2503,"待补价")&gt;0,"待补价",IF(COUNTIFS(入库单!$G$4:$G$2503,$A518,入库单!$X$4:$X$2503,"暂估")&gt;0,"暂估",IF($I518=0,"没有进价","正常"))))</f>
        <v/>
      </c>
      <c r="L518" s="27">
        <f>IF($A518="","",IFERROR(VLOOKUP($A518,库存台账!$A$5:$Y$1204,24,0),0))</f>
        <v/>
      </c>
      <c r="M518" s="26">
        <f>IF($A518="","",IFERROR(VLOOKUP($A518,库存台账!$A$5:$Y$1204,25,0),0))</f>
        <v/>
      </c>
      <c r="N518" s="19">
        <f>IF($A518="","",IFERROR(LOOKUP(2,1/((出库单!$D$4:$D$4003=$A518)*(出库单!$T$4:$T$4003="正常")),出库单!$C$4:$C$4003),""))</f>
        <v/>
      </c>
      <c r="O518" s="28">
        <f>IF($A518="","",IF($L518&lt;=0,"",IF($N518="",IFERROR(账期止-LOOKUP(2,1/(入库单!$G$4:$G$2503=$A518),入库单!$C$4:$C$2503),""),账期止-$N518)))</f>
        <v/>
      </c>
      <c r="P518" s="17" t="n"/>
    </row>
    <row r="519">
      <c r="A519" s="17" t="inlineStr">
        <is>
          <t>JH0516</t>
        </is>
      </c>
      <c r="B519" s="17" t="inlineStr">
        <is>
          <t>机械设备</t>
        </is>
      </c>
      <c r="C519" s="17" t="inlineStr">
        <is>
          <t>6分水嘴</t>
        </is>
      </c>
      <c r="D519" s="17" t="inlineStr">
        <is>
          <t>WMYZ60/1000-U
压滤机配件</t>
        </is>
      </c>
      <c r="E519" s="17" t="inlineStr">
        <is>
          <t>个</t>
        </is>
      </c>
      <c r="F519" s="17" t="inlineStr">
        <is>
          <t>否</t>
        </is>
      </c>
      <c r="G519" s="23" t="n"/>
      <c r="H519" s="24">
        <f>IF($A519="","",IFERROR(LOOKUP(2,1/((入库单!$G$4:$G$2503=$A519)*(入库单!$Y$4:$Y$2503="正常")*(入库单!$L$4:$L$2503&gt;0)),入库单!$D$4:$D$2503),""))</f>
        <v/>
      </c>
      <c r="I519" s="25">
        <f>IF($A519="","",IFERROR(LOOKUP(2,1/((入库单!$G$4:$G$2503=$A519)*(入库单!$Y$4:$Y$2503="正常")*(入库单!$L$4:$L$2503&gt;0)),入库单!$L$4:$L$2503),0))</f>
        <v/>
      </c>
      <c r="J519" s="26">
        <f>IF($A519="","",IF($H519="A国内",ROUND($I519*倍数A*汇率,0),IF($H519="B当地",ROUND($I519*系数B,0),0)))</f>
        <v/>
      </c>
      <c r="K519" s="24">
        <f>IF($A519="","",IF(COUNTIFS(入库单!$G$4:$G$2503,$A519,入库单!$X$4:$X$2503,"待补价")&gt;0,"待补价",IF(COUNTIFS(入库单!$G$4:$G$2503,$A519,入库单!$X$4:$X$2503,"暂估")&gt;0,"暂估",IF($I519=0,"没有进价","正常"))))</f>
        <v/>
      </c>
      <c r="L519" s="27">
        <f>IF($A519="","",IFERROR(VLOOKUP($A519,库存台账!$A$5:$Y$1204,24,0),0))</f>
        <v/>
      </c>
      <c r="M519" s="26">
        <f>IF($A519="","",IFERROR(VLOOKUP($A519,库存台账!$A$5:$Y$1204,25,0),0))</f>
        <v/>
      </c>
      <c r="N519" s="19">
        <f>IF($A519="","",IFERROR(LOOKUP(2,1/((出库单!$D$4:$D$4003=$A519)*(出库单!$T$4:$T$4003="正常")),出库单!$C$4:$C$4003),""))</f>
        <v/>
      </c>
      <c r="O519" s="28">
        <f>IF($A519="","",IF($L519&lt;=0,"",IF($N519="",IFERROR(账期止-LOOKUP(2,1/(入库单!$G$4:$G$2503=$A519),入库单!$C$4:$C$2503),""),账期止-$N519)))</f>
        <v/>
      </c>
      <c r="P519" s="17" t="n"/>
    </row>
    <row r="520">
      <c r="A520" s="17" t="inlineStr">
        <is>
          <t>JH0517</t>
        </is>
      </c>
      <c r="B520" s="17" t="inlineStr">
        <is>
          <t>机械设备</t>
        </is>
      </c>
      <c r="C520" s="17" t="inlineStr">
        <is>
          <t>把手</t>
        </is>
      </c>
      <c r="D520" s="17" t="inlineStr">
        <is>
          <t>WMYZ60/1000-U
压滤机配件</t>
        </is>
      </c>
      <c r="E520" s="17" t="inlineStr">
        <is>
          <t>个</t>
        </is>
      </c>
      <c r="F520" s="17" t="inlineStr">
        <is>
          <t>否</t>
        </is>
      </c>
      <c r="G520" s="23" t="n"/>
      <c r="H520" s="24">
        <f>IF($A520="","",IFERROR(LOOKUP(2,1/((入库单!$G$4:$G$2503=$A520)*(入库单!$Y$4:$Y$2503="正常")*(入库单!$L$4:$L$2503&gt;0)),入库单!$D$4:$D$2503),""))</f>
        <v/>
      </c>
      <c r="I520" s="25">
        <f>IF($A520="","",IFERROR(LOOKUP(2,1/((入库单!$G$4:$G$2503=$A520)*(入库单!$Y$4:$Y$2503="正常")*(入库单!$L$4:$L$2503&gt;0)),入库单!$L$4:$L$2503),0))</f>
        <v/>
      </c>
      <c r="J520" s="26">
        <f>IF($A520="","",IF($H520="A国内",ROUND($I520*倍数A*汇率,0),IF($H520="B当地",ROUND($I520*系数B,0),0)))</f>
        <v/>
      </c>
      <c r="K520" s="24">
        <f>IF($A520="","",IF(COUNTIFS(入库单!$G$4:$G$2503,$A520,入库单!$X$4:$X$2503,"待补价")&gt;0,"待补价",IF(COUNTIFS(入库单!$G$4:$G$2503,$A520,入库单!$X$4:$X$2503,"暂估")&gt;0,"暂估",IF($I520=0,"没有进价","正常"))))</f>
        <v/>
      </c>
      <c r="L520" s="27">
        <f>IF($A520="","",IFERROR(VLOOKUP($A520,库存台账!$A$5:$Y$1204,24,0),0))</f>
        <v/>
      </c>
      <c r="M520" s="26">
        <f>IF($A520="","",IFERROR(VLOOKUP($A520,库存台账!$A$5:$Y$1204,25,0),0))</f>
        <v/>
      </c>
      <c r="N520" s="19">
        <f>IF($A520="","",IFERROR(LOOKUP(2,1/((出库单!$D$4:$D$4003=$A520)*(出库单!$T$4:$T$4003="正常")),出库单!$C$4:$C$4003),""))</f>
        <v/>
      </c>
      <c r="O520" s="28">
        <f>IF($A520="","",IF($L520&lt;=0,"",IF($N520="",IFERROR(账期止-LOOKUP(2,1/(入库单!$G$4:$G$2503=$A520),入库单!$C$4:$C$2503),""),账期止-$N520)))</f>
        <v/>
      </c>
      <c r="P520" s="17" t="n"/>
    </row>
    <row r="521">
      <c r="A521" s="17" t="inlineStr">
        <is>
          <t>JH0518</t>
        </is>
      </c>
      <c r="B521" s="17" t="inlineStr">
        <is>
          <t>机械设备</t>
        </is>
      </c>
      <c r="C521" s="17" t="inlineStr">
        <is>
          <t>单向阀（在液压站上）</t>
        </is>
      </c>
      <c r="D521" s="17" t="inlineStr">
        <is>
          <t>WMYZ60/1000-U
压滤机配件</t>
        </is>
      </c>
      <c r="E521" s="17" t="inlineStr">
        <is>
          <t>件</t>
        </is>
      </c>
      <c r="F521" s="17" t="inlineStr">
        <is>
          <t>否</t>
        </is>
      </c>
      <c r="G521" s="23" t="n"/>
      <c r="H521" s="24">
        <f>IF($A521="","",IFERROR(LOOKUP(2,1/((入库单!$G$4:$G$2503=$A521)*(入库单!$Y$4:$Y$2503="正常")*(入库单!$L$4:$L$2503&gt;0)),入库单!$D$4:$D$2503),""))</f>
        <v/>
      </c>
      <c r="I521" s="25">
        <f>IF($A521="","",IFERROR(LOOKUP(2,1/((入库单!$G$4:$G$2503=$A521)*(入库单!$Y$4:$Y$2503="正常")*(入库单!$L$4:$L$2503&gt;0)),入库单!$L$4:$L$2503),0))</f>
        <v/>
      </c>
      <c r="J521" s="26">
        <f>IF($A521="","",IF($H521="A国内",ROUND($I521*倍数A*汇率,0),IF($H521="B当地",ROUND($I521*系数B,0),0)))</f>
        <v/>
      </c>
      <c r="K521" s="24">
        <f>IF($A521="","",IF(COUNTIFS(入库单!$G$4:$G$2503,$A521,入库单!$X$4:$X$2503,"待补价")&gt;0,"待补价",IF(COUNTIFS(入库单!$G$4:$G$2503,$A521,入库单!$X$4:$X$2503,"暂估")&gt;0,"暂估",IF($I521=0,"没有进价","正常"))))</f>
        <v/>
      </c>
      <c r="L521" s="27">
        <f>IF($A521="","",IFERROR(VLOOKUP($A521,库存台账!$A$5:$Y$1204,24,0),0))</f>
        <v/>
      </c>
      <c r="M521" s="26">
        <f>IF($A521="","",IFERROR(VLOOKUP($A521,库存台账!$A$5:$Y$1204,25,0),0))</f>
        <v/>
      </c>
      <c r="N521" s="19">
        <f>IF($A521="","",IFERROR(LOOKUP(2,1/((出库单!$D$4:$D$4003=$A521)*(出库单!$T$4:$T$4003="正常")),出库单!$C$4:$C$4003),""))</f>
        <v/>
      </c>
      <c r="O521" s="28">
        <f>IF($A521="","",IF($L521&lt;=0,"",IF($N521="",IFERROR(账期止-LOOKUP(2,1/(入库单!$G$4:$G$2503=$A521),入库单!$C$4:$C$2503),""),账期止-$N521)))</f>
        <v/>
      </c>
      <c r="P521" s="17" t="n"/>
    </row>
    <row r="522">
      <c r="A522" s="17" t="inlineStr">
        <is>
          <t>JH0519</t>
        </is>
      </c>
      <c r="B522" s="17" t="inlineStr">
        <is>
          <t>电缆电气</t>
        </is>
      </c>
      <c r="C522" s="17" t="inlineStr">
        <is>
          <t>接近开关（在液压站上）</t>
        </is>
      </c>
      <c r="D522" s="17" t="inlineStr">
        <is>
          <t>WMYZ60/1000-U
压滤机配件</t>
        </is>
      </c>
      <c r="E522" s="17" t="inlineStr">
        <is>
          <t>套</t>
        </is>
      </c>
      <c r="F522" s="17" t="inlineStr">
        <is>
          <t>否</t>
        </is>
      </c>
      <c r="G522" s="23" t="n"/>
      <c r="H522" s="24">
        <f>IF($A522="","",IFERROR(LOOKUP(2,1/((入库单!$G$4:$G$2503=$A522)*(入库单!$Y$4:$Y$2503="正常")*(入库单!$L$4:$L$2503&gt;0)),入库单!$D$4:$D$2503),""))</f>
        <v/>
      </c>
      <c r="I522" s="25">
        <f>IF($A522="","",IFERROR(LOOKUP(2,1/((入库单!$G$4:$G$2503=$A522)*(入库单!$Y$4:$Y$2503="正常")*(入库单!$L$4:$L$2503&gt;0)),入库单!$L$4:$L$2503),0))</f>
        <v/>
      </c>
      <c r="J522" s="26">
        <f>IF($A522="","",IF($H522="A国内",ROUND($I522*倍数A*汇率,0),IF($H522="B当地",ROUND($I522*系数B,0),0)))</f>
        <v/>
      </c>
      <c r="K522" s="24">
        <f>IF($A522="","",IF(COUNTIFS(入库单!$G$4:$G$2503,$A522,入库单!$X$4:$X$2503,"待补价")&gt;0,"待补价",IF(COUNTIFS(入库单!$G$4:$G$2503,$A522,入库单!$X$4:$X$2503,"暂估")&gt;0,"暂估",IF($I522=0,"没有进价","正常"))))</f>
        <v/>
      </c>
      <c r="L522" s="27">
        <f>IF($A522="","",IFERROR(VLOOKUP($A522,库存台账!$A$5:$Y$1204,24,0),0))</f>
        <v/>
      </c>
      <c r="M522" s="26">
        <f>IF($A522="","",IFERROR(VLOOKUP($A522,库存台账!$A$5:$Y$1204,25,0),0))</f>
        <v/>
      </c>
      <c r="N522" s="19">
        <f>IF($A522="","",IFERROR(LOOKUP(2,1/((出库单!$D$4:$D$4003=$A522)*(出库单!$T$4:$T$4003="正常")),出库单!$C$4:$C$4003),""))</f>
        <v/>
      </c>
      <c r="O522" s="28">
        <f>IF($A522="","",IF($L522&lt;=0,"",IF($N522="",IFERROR(账期止-LOOKUP(2,1/(入库单!$G$4:$G$2503=$A522),入库单!$C$4:$C$2503),""),账期止-$N522)))</f>
        <v/>
      </c>
      <c r="P522" s="17" t="n"/>
    </row>
    <row r="523">
      <c r="A523" s="17" t="inlineStr">
        <is>
          <t>JH0520</t>
        </is>
      </c>
      <c r="B523" s="17" t="inlineStr">
        <is>
          <t>电缆电气</t>
        </is>
      </c>
      <c r="C523" s="17" t="inlineStr">
        <is>
          <t>电机3kw-4</t>
        </is>
      </c>
      <c r="D523" s="17" t="inlineStr">
        <is>
          <t>WMYZ60/1000-U
压滤机配件</t>
        </is>
      </c>
      <c r="E523" s="17" t="inlineStr">
        <is>
          <t>台</t>
        </is>
      </c>
      <c r="F523" s="17" t="inlineStr">
        <is>
          <t>否</t>
        </is>
      </c>
      <c r="G523" s="23" t="n"/>
      <c r="H523" s="24">
        <f>IF($A523="","",IFERROR(LOOKUP(2,1/((入库单!$G$4:$G$2503=$A523)*(入库单!$Y$4:$Y$2503="正常")*(入库单!$L$4:$L$2503&gt;0)),入库单!$D$4:$D$2503),""))</f>
        <v/>
      </c>
      <c r="I523" s="25">
        <f>IF($A523="","",IFERROR(LOOKUP(2,1/((入库单!$G$4:$G$2503=$A523)*(入库单!$Y$4:$Y$2503="正常")*(入库单!$L$4:$L$2503&gt;0)),入库单!$L$4:$L$2503),0))</f>
        <v/>
      </c>
      <c r="J523" s="26">
        <f>IF($A523="","",IF($H523="A国内",ROUND($I523*倍数A*汇率,0),IF($H523="B当地",ROUND($I523*系数B,0),0)))</f>
        <v/>
      </c>
      <c r="K523" s="24">
        <f>IF($A523="","",IF(COUNTIFS(入库单!$G$4:$G$2503,$A523,入库单!$X$4:$X$2503,"待补价")&gt;0,"待补价",IF(COUNTIFS(入库单!$G$4:$G$2503,$A523,入库单!$X$4:$X$2503,"暂估")&gt;0,"暂估",IF($I523=0,"没有进价","正常"))))</f>
        <v/>
      </c>
      <c r="L523" s="27">
        <f>IF($A523="","",IFERROR(VLOOKUP($A523,库存台账!$A$5:$Y$1204,24,0),0))</f>
        <v/>
      </c>
      <c r="M523" s="26">
        <f>IF($A523="","",IFERROR(VLOOKUP($A523,库存台账!$A$5:$Y$1204,25,0),0))</f>
        <v/>
      </c>
      <c r="N523" s="19">
        <f>IF($A523="","",IFERROR(LOOKUP(2,1/((出库单!$D$4:$D$4003=$A523)*(出库单!$T$4:$T$4003="正常")),出库单!$C$4:$C$4003),""))</f>
        <v/>
      </c>
      <c r="O523" s="28">
        <f>IF($A523="","",IF($L523&lt;=0,"",IF($N523="",IFERROR(账期止-LOOKUP(2,1/(入库单!$G$4:$G$2503=$A523),入库单!$C$4:$C$2503),""),账期止-$N523)))</f>
        <v/>
      </c>
      <c r="P523" s="17" t="n"/>
    </row>
    <row r="524">
      <c r="A524" s="17" t="inlineStr">
        <is>
          <t>JH0521</t>
        </is>
      </c>
      <c r="B524" s="17" t="inlineStr">
        <is>
          <t>机械设备</t>
        </is>
      </c>
      <c r="C524" s="17" t="inlineStr">
        <is>
          <t>出料格子衬板</t>
        </is>
      </c>
      <c r="D524" s="17" t="inlineStr">
        <is>
          <t>GM1845球磨机
衬板配件</t>
        </is>
      </c>
      <c r="E524" s="17" t="inlineStr">
        <is>
          <t>块</t>
        </is>
      </c>
      <c r="F524" s="17" t="inlineStr">
        <is>
          <t>否</t>
        </is>
      </c>
      <c r="G524" s="23" t="n"/>
      <c r="H524" s="24">
        <f>IF($A524="","",IFERROR(LOOKUP(2,1/((入库单!$G$4:$G$2503=$A524)*(入库单!$Y$4:$Y$2503="正常")*(入库单!$L$4:$L$2503&gt;0)),入库单!$D$4:$D$2503),""))</f>
        <v/>
      </c>
      <c r="I524" s="25">
        <f>IF($A524="","",IFERROR(LOOKUP(2,1/((入库单!$G$4:$G$2503=$A524)*(入库单!$Y$4:$Y$2503="正常")*(入库单!$L$4:$L$2503&gt;0)),入库单!$L$4:$L$2503),0))</f>
        <v/>
      </c>
      <c r="J524" s="26">
        <f>IF($A524="","",IF($H524="A国内",ROUND($I524*倍数A*汇率,0),IF($H524="B当地",ROUND($I524*系数B,0),0)))</f>
        <v/>
      </c>
      <c r="K524" s="24">
        <f>IF($A524="","",IF(COUNTIFS(入库单!$G$4:$G$2503,$A524,入库单!$X$4:$X$2503,"待补价")&gt;0,"待补价",IF(COUNTIFS(入库单!$G$4:$G$2503,$A524,入库单!$X$4:$X$2503,"暂估")&gt;0,"暂估",IF($I524=0,"没有进价","正常"))))</f>
        <v/>
      </c>
      <c r="L524" s="27">
        <f>IF($A524="","",IFERROR(VLOOKUP($A524,库存台账!$A$5:$Y$1204,24,0),0))</f>
        <v/>
      </c>
      <c r="M524" s="26">
        <f>IF($A524="","",IFERROR(VLOOKUP($A524,库存台账!$A$5:$Y$1204,25,0),0))</f>
        <v/>
      </c>
      <c r="N524" s="19">
        <f>IF($A524="","",IFERROR(LOOKUP(2,1/((出库单!$D$4:$D$4003=$A524)*(出库单!$T$4:$T$4003="正常")),出库单!$C$4:$C$4003),""))</f>
        <v/>
      </c>
      <c r="O524" s="28">
        <f>IF($A524="","",IF($L524&lt;=0,"",IF($N524="",IFERROR(账期止-LOOKUP(2,1/(入库单!$G$4:$G$2503=$A524),入库单!$C$4:$C$2503),""),账期止-$N524)))</f>
        <v/>
      </c>
      <c r="P524" s="17" t="n"/>
    </row>
    <row r="525">
      <c r="A525" s="17" t="inlineStr">
        <is>
          <t>JH0522</t>
        </is>
      </c>
      <c r="B525" s="17" t="inlineStr">
        <is>
          <t>机械设备</t>
        </is>
      </c>
      <c r="C525" s="17" t="inlineStr">
        <is>
          <t>出料导筋板</t>
        </is>
      </c>
      <c r="D525" s="17" t="inlineStr">
        <is>
          <t>GM1845球磨机
衬板配件</t>
        </is>
      </c>
      <c r="E525" s="17" t="inlineStr">
        <is>
          <t>块</t>
        </is>
      </c>
      <c r="F525" s="17" t="inlineStr">
        <is>
          <t>否</t>
        </is>
      </c>
      <c r="G525" s="23" t="n"/>
      <c r="H525" s="24">
        <f>IF($A525="","",IFERROR(LOOKUP(2,1/((入库单!$G$4:$G$2503=$A525)*(入库单!$Y$4:$Y$2503="正常")*(入库单!$L$4:$L$2503&gt;0)),入库单!$D$4:$D$2503),""))</f>
        <v/>
      </c>
      <c r="I525" s="25">
        <f>IF($A525="","",IFERROR(LOOKUP(2,1/((入库单!$G$4:$G$2503=$A525)*(入库单!$Y$4:$Y$2503="正常")*(入库单!$L$4:$L$2503&gt;0)),入库单!$L$4:$L$2503),0))</f>
        <v/>
      </c>
      <c r="J525" s="26">
        <f>IF($A525="","",IF($H525="A国内",ROUND($I525*倍数A*汇率,0),IF($H525="B当地",ROUND($I525*系数B,0),0)))</f>
        <v/>
      </c>
      <c r="K525" s="24">
        <f>IF($A525="","",IF(COUNTIFS(入库单!$G$4:$G$2503,$A525,入库单!$X$4:$X$2503,"待补价")&gt;0,"待补价",IF(COUNTIFS(入库单!$G$4:$G$2503,$A525,入库单!$X$4:$X$2503,"暂估")&gt;0,"暂估",IF($I525=0,"没有进价","正常"))))</f>
        <v/>
      </c>
      <c r="L525" s="27">
        <f>IF($A525="","",IFERROR(VLOOKUP($A525,库存台账!$A$5:$Y$1204,24,0),0))</f>
        <v/>
      </c>
      <c r="M525" s="26">
        <f>IF($A525="","",IFERROR(VLOOKUP($A525,库存台账!$A$5:$Y$1204,25,0),0))</f>
        <v/>
      </c>
      <c r="N525" s="19">
        <f>IF($A525="","",IFERROR(LOOKUP(2,1/((出库单!$D$4:$D$4003=$A525)*(出库单!$T$4:$T$4003="正常")),出库单!$C$4:$C$4003),""))</f>
        <v/>
      </c>
      <c r="O525" s="28">
        <f>IF($A525="","",IF($L525&lt;=0,"",IF($N525="",IFERROR(账期止-LOOKUP(2,1/(入库单!$G$4:$G$2503=$A525),入库单!$C$4:$C$2503),""),账期止-$N525)))</f>
        <v/>
      </c>
      <c r="P525" s="17" t="n"/>
    </row>
    <row r="526">
      <c r="A526" s="17" t="inlineStr">
        <is>
          <t>JH0523</t>
        </is>
      </c>
      <c r="B526" s="17" t="inlineStr">
        <is>
          <t>机械配件</t>
        </is>
      </c>
      <c r="C526" s="17" t="inlineStr">
        <is>
          <t>自备件卷板机</t>
        </is>
      </c>
      <c r="D526" s="17" t="inlineStr">
        <is>
          <t>0</t>
        </is>
      </c>
      <c r="E526" s="17" t="inlineStr">
        <is>
          <t>台</t>
        </is>
      </c>
      <c r="F526" s="17" t="inlineStr">
        <is>
          <t>否</t>
        </is>
      </c>
      <c r="G526" s="23" t="n"/>
      <c r="H526" s="24">
        <f>IF($A526="","",IFERROR(LOOKUP(2,1/((入库单!$G$4:$G$2503=$A526)*(入库单!$Y$4:$Y$2503="正常")*(入库单!$L$4:$L$2503&gt;0)),入库单!$D$4:$D$2503),""))</f>
        <v/>
      </c>
      <c r="I526" s="25">
        <f>IF($A526="","",IFERROR(LOOKUP(2,1/((入库单!$G$4:$G$2503=$A526)*(入库单!$Y$4:$Y$2503="正常")*(入库单!$L$4:$L$2503&gt;0)),入库单!$L$4:$L$2503),0))</f>
        <v/>
      </c>
      <c r="J526" s="26">
        <f>IF($A526="","",IF($H526="A国内",ROUND($I526*倍数A*汇率,0),IF($H526="B当地",ROUND($I526*系数B,0),0)))</f>
        <v/>
      </c>
      <c r="K526" s="24">
        <f>IF($A526="","",IF(COUNTIFS(入库单!$G$4:$G$2503,$A526,入库单!$X$4:$X$2503,"待补价")&gt;0,"待补价",IF(COUNTIFS(入库单!$G$4:$G$2503,$A526,入库单!$X$4:$X$2503,"暂估")&gt;0,"暂估",IF($I526=0,"没有进价","正常"))))</f>
        <v/>
      </c>
      <c r="L526" s="27">
        <f>IF($A526="","",IFERROR(VLOOKUP($A526,库存台账!$A$5:$Y$1204,24,0),0))</f>
        <v/>
      </c>
      <c r="M526" s="26">
        <f>IF($A526="","",IFERROR(VLOOKUP($A526,库存台账!$A$5:$Y$1204,25,0),0))</f>
        <v/>
      </c>
      <c r="N526" s="19">
        <f>IF($A526="","",IFERROR(LOOKUP(2,1/((出库单!$D$4:$D$4003=$A526)*(出库单!$T$4:$T$4003="正常")),出库单!$C$4:$C$4003),""))</f>
        <v/>
      </c>
      <c r="O526" s="28">
        <f>IF($A526="","",IF($L526&lt;=0,"",IF($N526="",IFERROR(账期止-LOOKUP(2,1/(入库单!$G$4:$G$2503=$A526),入库单!$C$4:$C$2503),""),账期止-$N526)))</f>
        <v/>
      </c>
      <c r="P526" s="17" t="n"/>
    </row>
    <row r="527">
      <c r="A527" s="17" t="inlineStr">
        <is>
          <t>JH0524</t>
        </is>
      </c>
      <c r="B527" s="17" t="inlineStr">
        <is>
          <t>机械设备</t>
        </is>
      </c>
      <c r="C527" s="17" t="inlineStr">
        <is>
          <t>单叶轮搅拌桶主体</t>
        </is>
      </c>
      <c r="D527" s="17" t="inlineStr">
        <is>
          <t>RJ20</t>
        </is>
      </c>
      <c r="E527" s="17" t="inlineStr">
        <is>
          <t>台</t>
        </is>
      </c>
      <c r="F527" s="17" t="inlineStr">
        <is>
          <t>否</t>
        </is>
      </c>
      <c r="G527" s="23" t="n"/>
      <c r="H527" s="24">
        <f>IF($A527="","",IFERROR(LOOKUP(2,1/((入库单!$G$4:$G$2503=$A527)*(入库单!$Y$4:$Y$2503="正常")*(入库单!$L$4:$L$2503&gt;0)),入库单!$D$4:$D$2503),""))</f>
        <v/>
      </c>
      <c r="I527" s="25">
        <f>IF($A527="","",IFERROR(LOOKUP(2,1/((入库单!$G$4:$G$2503=$A527)*(入库单!$Y$4:$Y$2503="正常")*(入库单!$L$4:$L$2503&gt;0)),入库单!$L$4:$L$2503),0))</f>
        <v/>
      </c>
      <c r="J527" s="26">
        <f>IF($A527="","",IF($H527="A国内",ROUND($I527*倍数A*汇率,0),IF($H527="B当地",ROUND($I527*系数B,0),0)))</f>
        <v/>
      </c>
      <c r="K527" s="24">
        <f>IF($A527="","",IF(COUNTIFS(入库单!$G$4:$G$2503,$A527,入库单!$X$4:$X$2503,"待补价")&gt;0,"待补价",IF(COUNTIFS(入库单!$G$4:$G$2503,$A527,入库单!$X$4:$X$2503,"暂估")&gt;0,"暂估",IF($I527=0,"没有进价","正常"))))</f>
        <v/>
      </c>
      <c r="L527" s="27">
        <f>IF($A527="","",IFERROR(VLOOKUP($A527,库存台账!$A$5:$Y$1204,24,0),0))</f>
        <v/>
      </c>
      <c r="M527" s="26">
        <f>IF($A527="","",IFERROR(VLOOKUP($A527,库存台账!$A$5:$Y$1204,25,0),0))</f>
        <v/>
      </c>
      <c r="N527" s="19">
        <f>IF($A527="","",IFERROR(LOOKUP(2,1/((出库单!$D$4:$D$4003=$A527)*(出库单!$T$4:$T$4003="正常")),出库单!$C$4:$C$4003),""))</f>
        <v/>
      </c>
      <c r="O527" s="28">
        <f>IF($A527="","",IF($L527&lt;=0,"",IF($N527="",IFERROR(账期止-LOOKUP(2,1/(入库单!$G$4:$G$2503=$A527),入库单!$C$4:$C$2503),""),账期止-$N527)))</f>
        <v/>
      </c>
      <c r="P527" s="17" t="n"/>
    </row>
    <row r="528">
      <c r="A528" s="17" t="inlineStr">
        <is>
          <t>JH0525</t>
        </is>
      </c>
      <c r="B528" s="17" t="inlineStr">
        <is>
          <t>其他</t>
        </is>
      </c>
      <c r="C528" s="17" t="inlineStr">
        <is>
          <t>总成</t>
        </is>
      </c>
      <c r="D528" s="17" t="inlineStr">
        <is>
          <t>RJ20</t>
        </is>
      </c>
      <c r="E528" s="17" t="inlineStr">
        <is>
          <t>件</t>
        </is>
      </c>
      <c r="F528" s="17" t="inlineStr">
        <is>
          <t>否</t>
        </is>
      </c>
      <c r="G528" s="23" t="n"/>
      <c r="H528" s="24">
        <f>IF($A528="","",IFERROR(LOOKUP(2,1/((入库单!$G$4:$G$2503=$A528)*(入库单!$Y$4:$Y$2503="正常")*(入库单!$L$4:$L$2503&gt;0)),入库单!$D$4:$D$2503),""))</f>
        <v/>
      </c>
      <c r="I528" s="25">
        <f>IF($A528="","",IFERROR(LOOKUP(2,1/((入库单!$G$4:$G$2503=$A528)*(入库单!$Y$4:$Y$2503="正常")*(入库单!$L$4:$L$2503&gt;0)),入库单!$L$4:$L$2503),0))</f>
        <v/>
      </c>
      <c r="J528" s="26">
        <f>IF($A528="","",IF($H528="A国内",ROUND($I528*倍数A*汇率,0),IF($H528="B当地",ROUND($I528*系数B,0),0)))</f>
        <v/>
      </c>
      <c r="K528" s="24">
        <f>IF($A528="","",IF(COUNTIFS(入库单!$G$4:$G$2503,$A528,入库单!$X$4:$X$2503,"待补价")&gt;0,"待补价",IF(COUNTIFS(入库单!$G$4:$G$2503,$A528,入库单!$X$4:$X$2503,"暂估")&gt;0,"暂估",IF($I528=0,"没有进价","正常"))))</f>
        <v/>
      </c>
      <c r="L528" s="27">
        <f>IF($A528="","",IFERROR(VLOOKUP($A528,库存台账!$A$5:$Y$1204,24,0),0))</f>
        <v/>
      </c>
      <c r="M528" s="26">
        <f>IF($A528="","",IFERROR(VLOOKUP($A528,库存台账!$A$5:$Y$1204,25,0),0))</f>
        <v/>
      </c>
      <c r="N528" s="19">
        <f>IF($A528="","",IFERROR(LOOKUP(2,1/((出库单!$D$4:$D$4003=$A528)*(出库单!$T$4:$T$4003="正常")),出库单!$C$4:$C$4003),""))</f>
        <v/>
      </c>
      <c r="O528" s="28">
        <f>IF($A528="","",IF($L528&lt;=0,"",IF($N528="",IFERROR(账期止-LOOKUP(2,1/(入库单!$G$4:$G$2503=$A528),入库单!$C$4:$C$2503),""),账期止-$N528)))</f>
        <v/>
      </c>
      <c r="P528" s="17" t="n"/>
    </row>
    <row r="529">
      <c r="A529" s="17" t="inlineStr">
        <is>
          <t>JH0526</t>
        </is>
      </c>
      <c r="B529" s="17" t="inlineStr">
        <is>
          <t>机械设备</t>
        </is>
      </c>
      <c r="C529" s="17" t="inlineStr">
        <is>
          <t>搅拌槽</t>
        </is>
      </c>
      <c r="D529" s="17" t="inlineStr">
        <is>
          <t>RJ15</t>
        </is>
      </c>
      <c r="E529" s="17" t="inlineStr">
        <is>
          <t>1</t>
        </is>
      </c>
      <c r="F529" s="17" t="inlineStr">
        <is>
          <t>否</t>
        </is>
      </c>
      <c r="G529" s="23" t="n"/>
      <c r="H529" s="24">
        <f>IF($A529="","",IFERROR(LOOKUP(2,1/((入库单!$G$4:$G$2503=$A529)*(入库单!$Y$4:$Y$2503="正常")*(入库单!$L$4:$L$2503&gt;0)),入库单!$D$4:$D$2503),""))</f>
        <v/>
      </c>
      <c r="I529" s="25">
        <f>IF($A529="","",IFERROR(LOOKUP(2,1/((入库单!$G$4:$G$2503=$A529)*(入库单!$Y$4:$Y$2503="正常")*(入库单!$L$4:$L$2503&gt;0)),入库单!$L$4:$L$2503),0))</f>
        <v/>
      </c>
      <c r="J529" s="26">
        <f>IF($A529="","",IF($H529="A国内",ROUND($I529*倍数A*汇率,0),IF($H529="B当地",ROUND($I529*系数B,0),0)))</f>
        <v/>
      </c>
      <c r="K529" s="24">
        <f>IF($A529="","",IF(COUNTIFS(入库单!$G$4:$G$2503,$A529,入库单!$X$4:$X$2503,"待补价")&gt;0,"待补价",IF(COUNTIFS(入库单!$G$4:$G$2503,$A529,入库单!$X$4:$X$2503,"暂估")&gt;0,"暂估",IF($I529=0,"没有进价","正常"))))</f>
        <v/>
      </c>
      <c r="L529" s="27">
        <f>IF($A529="","",IFERROR(VLOOKUP($A529,库存台账!$A$5:$Y$1204,24,0),0))</f>
        <v/>
      </c>
      <c r="M529" s="26">
        <f>IF($A529="","",IFERROR(VLOOKUP($A529,库存台账!$A$5:$Y$1204,25,0),0))</f>
        <v/>
      </c>
      <c r="N529" s="19">
        <f>IF($A529="","",IFERROR(LOOKUP(2,1/((出库单!$D$4:$D$4003=$A529)*(出库单!$T$4:$T$4003="正常")),出库单!$C$4:$C$4003),""))</f>
        <v/>
      </c>
      <c r="O529" s="28">
        <f>IF($A529="","",IF($L529&lt;=0,"",IF($N529="",IFERROR(账期止-LOOKUP(2,1/(入库单!$G$4:$G$2503=$A529),入库单!$C$4:$C$2503),""),账期止-$N529)))</f>
        <v/>
      </c>
      <c r="P529" s="17" t="n"/>
    </row>
    <row r="530">
      <c r="A530" s="17" t="inlineStr">
        <is>
          <t>JH0527</t>
        </is>
      </c>
      <c r="B530" s="17" t="inlineStr">
        <is>
          <t>其他</t>
        </is>
      </c>
      <c r="C530" s="17" t="inlineStr">
        <is>
          <t>400*600汞板</t>
        </is>
      </c>
      <c r="D530" s="17" t="inlineStr">
        <is>
          <t>镀银200克</t>
        </is>
      </c>
      <c r="E530" s="17" t="inlineStr">
        <is>
          <t>块</t>
        </is>
      </c>
      <c r="F530" s="17" t="inlineStr">
        <is>
          <t>否</t>
        </is>
      </c>
      <c r="G530" s="23" t="n"/>
      <c r="H530" s="24">
        <f>IF($A530="","",IFERROR(LOOKUP(2,1/((入库单!$G$4:$G$2503=$A530)*(入库单!$Y$4:$Y$2503="正常")*(入库单!$L$4:$L$2503&gt;0)),入库单!$D$4:$D$2503),""))</f>
        <v/>
      </c>
      <c r="I530" s="25">
        <f>IF($A530="","",IFERROR(LOOKUP(2,1/((入库单!$G$4:$G$2503=$A530)*(入库单!$Y$4:$Y$2503="正常")*(入库单!$L$4:$L$2503&gt;0)),入库单!$L$4:$L$2503),0))</f>
        <v/>
      </c>
      <c r="J530" s="26">
        <f>IF($A530="","",IF($H530="A国内",ROUND($I530*倍数A*汇率,0),IF($H530="B当地",ROUND($I530*系数B,0),0)))</f>
        <v/>
      </c>
      <c r="K530" s="24">
        <f>IF($A530="","",IF(COUNTIFS(入库单!$G$4:$G$2503,$A530,入库单!$X$4:$X$2503,"待补价")&gt;0,"待补价",IF(COUNTIFS(入库单!$G$4:$G$2503,$A530,入库单!$X$4:$X$2503,"暂估")&gt;0,"暂估",IF($I530=0,"没有进价","正常"))))</f>
        <v/>
      </c>
      <c r="L530" s="27">
        <f>IF($A530="","",IFERROR(VLOOKUP($A530,库存台账!$A$5:$Y$1204,24,0),0))</f>
        <v/>
      </c>
      <c r="M530" s="26">
        <f>IF($A530="","",IFERROR(VLOOKUP($A530,库存台账!$A$5:$Y$1204,25,0),0))</f>
        <v/>
      </c>
      <c r="N530" s="19">
        <f>IF($A530="","",IFERROR(LOOKUP(2,1/((出库单!$D$4:$D$4003=$A530)*(出库单!$T$4:$T$4003="正常")),出库单!$C$4:$C$4003),""))</f>
        <v/>
      </c>
      <c r="O530" s="28">
        <f>IF($A530="","",IF($L530&lt;=0,"",IF($N530="",IFERROR(账期止-LOOKUP(2,1/(入库单!$G$4:$G$2503=$A530),入库单!$C$4:$C$2503),""),账期止-$N530)))</f>
        <v/>
      </c>
      <c r="P530" s="17" t="n"/>
    </row>
    <row r="531">
      <c r="A531" s="17" t="inlineStr">
        <is>
          <t>JH0528</t>
        </is>
      </c>
      <c r="B531" s="17" t="inlineStr">
        <is>
          <t>其他</t>
        </is>
      </c>
      <c r="C531" s="17" t="inlineStr">
        <is>
          <t>汞（水银）</t>
        </is>
      </c>
      <c r="D531" s="17" t="inlineStr">
        <is>
          <t>34.5千克/罐</t>
        </is>
      </c>
      <c r="E531" s="17" t="inlineStr">
        <is>
          <t>罐</t>
        </is>
      </c>
      <c r="F531" s="17" t="inlineStr">
        <is>
          <t>否</t>
        </is>
      </c>
      <c r="G531" s="23" t="n"/>
      <c r="H531" s="24">
        <f>IF($A531="","",IFERROR(LOOKUP(2,1/((入库单!$G$4:$G$2503=$A531)*(入库单!$Y$4:$Y$2503="正常")*(入库单!$L$4:$L$2503&gt;0)),入库单!$D$4:$D$2503),""))</f>
        <v/>
      </c>
      <c r="I531" s="25">
        <f>IF($A531="","",IFERROR(LOOKUP(2,1/((入库单!$G$4:$G$2503=$A531)*(入库单!$Y$4:$Y$2503="正常")*(入库单!$L$4:$L$2503&gt;0)),入库单!$L$4:$L$2503),0))</f>
        <v/>
      </c>
      <c r="J531" s="26">
        <f>IF($A531="","",IF($H531="A国内",ROUND($I531*倍数A*汇率,0),IF($H531="B当地",ROUND($I531*系数B,0),0)))</f>
        <v/>
      </c>
      <c r="K531" s="24">
        <f>IF($A531="","",IF(COUNTIFS(入库单!$G$4:$G$2503,$A531,入库单!$X$4:$X$2503,"待补价")&gt;0,"待补价",IF(COUNTIFS(入库单!$G$4:$G$2503,$A531,入库单!$X$4:$X$2503,"暂估")&gt;0,"暂估",IF($I531=0,"没有进价","正常"))))</f>
        <v/>
      </c>
      <c r="L531" s="27">
        <f>IF($A531="","",IFERROR(VLOOKUP($A531,库存台账!$A$5:$Y$1204,24,0),0))</f>
        <v/>
      </c>
      <c r="M531" s="26">
        <f>IF($A531="","",IFERROR(VLOOKUP($A531,库存台账!$A$5:$Y$1204,25,0),0))</f>
        <v/>
      </c>
      <c r="N531" s="19">
        <f>IF($A531="","",IFERROR(LOOKUP(2,1/((出库单!$D$4:$D$4003=$A531)*(出库单!$T$4:$T$4003="正常")),出库单!$C$4:$C$4003),""))</f>
        <v/>
      </c>
      <c r="O531" s="28">
        <f>IF($A531="","",IF($L531&lt;=0,"",IF($N531="",IFERROR(账期止-LOOKUP(2,1/(入库单!$G$4:$G$2503=$A531),入库单!$C$4:$C$2503),""),账期止-$N531)))</f>
        <v/>
      </c>
      <c r="P531" s="17" t="n"/>
    </row>
    <row r="532">
      <c r="A532" s="17" t="inlineStr">
        <is>
          <t>JH0529</t>
        </is>
      </c>
      <c r="B532" s="17" t="inlineStr">
        <is>
          <t>电缆电气</t>
        </is>
      </c>
      <c r="C532" s="17" t="inlineStr">
        <is>
          <t>电机22kw-4</t>
        </is>
      </c>
      <c r="D532" s="17" t="inlineStr">
        <is>
          <t>压滤机泵配件</t>
        </is>
      </c>
      <c r="E532" s="17" t="inlineStr">
        <is>
          <t>台</t>
        </is>
      </c>
      <c r="F532" s="17" t="inlineStr">
        <is>
          <t>否</t>
        </is>
      </c>
      <c r="G532" s="23" t="n"/>
      <c r="H532" s="24">
        <f>IF($A532="","",IFERROR(LOOKUP(2,1/((入库单!$G$4:$G$2503=$A532)*(入库单!$Y$4:$Y$2503="正常")*(入库单!$L$4:$L$2503&gt;0)),入库单!$D$4:$D$2503),""))</f>
        <v/>
      </c>
      <c r="I532" s="25">
        <f>IF($A532="","",IFERROR(LOOKUP(2,1/((入库单!$G$4:$G$2503=$A532)*(入库单!$Y$4:$Y$2503="正常")*(入库单!$L$4:$L$2503&gt;0)),入库单!$L$4:$L$2503),0))</f>
        <v/>
      </c>
      <c r="J532" s="26">
        <f>IF($A532="","",IF($H532="A国内",ROUND($I532*倍数A*汇率,0),IF($H532="B当地",ROUND($I532*系数B,0),0)))</f>
        <v/>
      </c>
      <c r="K532" s="24">
        <f>IF($A532="","",IF(COUNTIFS(入库单!$G$4:$G$2503,$A532,入库单!$X$4:$X$2503,"待补价")&gt;0,"待补价",IF(COUNTIFS(入库单!$G$4:$G$2503,$A532,入库单!$X$4:$X$2503,"暂估")&gt;0,"暂估",IF($I532=0,"没有进价","正常"))))</f>
        <v/>
      </c>
      <c r="L532" s="27">
        <f>IF($A532="","",IFERROR(VLOOKUP($A532,库存台账!$A$5:$Y$1204,24,0),0))</f>
        <v/>
      </c>
      <c r="M532" s="26">
        <f>IF($A532="","",IFERROR(VLOOKUP($A532,库存台账!$A$5:$Y$1204,25,0),0))</f>
        <v/>
      </c>
      <c r="N532" s="19">
        <f>IF($A532="","",IFERROR(LOOKUP(2,1/((出库单!$D$4:$D$4003=$A532)*(出库单!$T$4:$T$4003="正常")),出库单!$C$4:$C$4003),""))</f>
        <v/>
      </c>
      <c r="O532" s="28">
        <f>IF($A532="","",IF($L532&lt;=0,"",IF($N532="",IFERROR(账期止-LOOKUP(2,1/(入库单!$G$4:$G$2503=$A532),入库单!$C$4:$C$2503),""),账期止-$N532)))</f>
        <v/>
      </c>
      <c r="P532" s="17" t="n"/>
    </row>
    <row r="533">
      <c r="A533" s="17" t="inlineStr">
        <is>
          <t>JH0530</t>
        </is>
      </c>
      <c r="B533" s="17" t="inlineStr">
        <is>
          <t>电缆电气</t>
        </is>
      </c>
      <c r="C533" s="17" t="inlineStr">
        <is>
          <t>电机11kw-6</t>
        </is>
      </c>
      <c r="D533" s="17" t="inlineStr">
        <is>
          <t>FLG-15分级机配件</t>
        </is>
      </c>
      <c r="E533" s="17" t="inlineStr">
        <is>
          <t>台</t>
        </is>
      </c>
      <c r="F533" s="17" t="inlineStr">
        <is>
          <t>否</t>
        </is>
      </c>
      <c r="G533" s="23" t="n"/>
      <c r="H533" s="24">
        <f>IF($A533="","",IFERROR(LOOKUP(2,1/((入库单!$G$4:$G$2503=$A533)*(入库单!$Y$4:$Y$2503="正常")*(入库单!$L$4:$L$2503&gt;0)),入库单!$D$4:$D$2503),""))</f>
        <v/>
      </c>
      <c r="I533" s="25">
        <f>IF($A533="","",IFERROR(LOOKUP(2,1/((入库单!$G$4:$G$2503=$A533)*(入库单!$Y$4:$Y$2503="正常")*(入库单!$L$4:$L$2503&gt;0)),入库单!$L$4:$L$2503),0))</f>
        <v/>
      </c>
      <c r="J533" s="26">
        <f>IF($A533="","",IF($H533="A国内",ROUND($I533*倍数A*汇率,0),IF($H533="B当地",ROUND($I533*系数B,0),0)))</f>
        <v/>
      </c>
      <c r="K533" s="24">
        <f>IF($A533="","",IF(COUNTIFS(入库单!$G$4:$G$2503,$A533,入库单!$X$4:$X$2503,"待补价")&gt;0,"待补价",IF(COUNTIFS(入库单!$G$4:$G$2503,$A533,入库单!$X$4:$X$2503,"暂估")&gt;0,"暂估",IF($I533=0,"没有进价","正常"))))</f>
        <v/>
      </c>
      <c r="L533" s="27">
        <f>IF($A533="","",IFERROR(VLOOKUP($A533,库存台账!$A$5:$Y$1204,24,0),0))</f>
        <v/>
      </c>
      <c r="M533" s="26">
        <f>IF($A533="","",IFERROR(VLOOKUP($A533,库存台账!$A$5:$Y$1204,25,0),0))</f>
        <v/>
      </c>
      <c r="N533" s="19">
        <f>IF($A533="","",IFERROR(LOOKUP(2,1/((出库单!$D$4:$D$4003=$A533)*(出库单!$T$4:$T$4003="正常")),出库单!$C$4:$C$4003),""))</f>
        <v/>
      </c>
      <c r="O533" s="28">
        <f>IF($A533="","",IF($L533&lt;=0,"",IF($N533="",IFERROR(账期止-LOOKUP(2,1/(入库单!$G$4:$G$2503=$A533),入库单!$C$4:$C$2503),""),账期止-$N533)))</f>
        <v/>
      </c>
      <c r="P533" s="17" t="n"/>
    </row>
    <row r="534">
      <c r="A534" s="17" t="inlineStr">
        <is>
          <t>JH0531</t>
        </is>
      </c>
      <c r="B534" s="17" t="inlineStr">
        <is>
          <t>电缆电气</t>
        </is>
      </c>
      <c r="C534" s="17" t="inlineStr">
        <is>
          <t>电机11kw-6</t>
        </is>
      </c>
      <c r="D534" s="17" t="inlineStr">
        <is>
          <t>SF2.8浮选机配件</t>
        </is>
      </c>
      <c r="E534" s="17" t="inlineStr">
        <is>
          <t>台</t>
        </is>
      </c>
      <c r="F534" s="17" t="inlineStr">
        <is>
          <t>否</t>
        </is>
      </c>
      <c r="G534" s="23" t="n"/>
      <c r="H534" s="24">
        <f>IF($A534="","",IFERROR(LOOKUP(2,1/((入库单!$G$4:$G$2503=$A534)*(入库单!$Y$4:$Y$2503="正常")*(入库单!$L$4:$L$2503&gt;0)),入库单!$D$4:$D$2503),""))</f>
        <v/>
      </c>
      <c r="I534" s="25">
        <f>IF($A534="","",IFERROR(LOOKUP(2,1/((入库单!$G$4:$G$2503=$A534)*(入库单!$Y$4:$Y$2503="正常")*(入库单!$L$4:$L$2503&gt;0)),入库单!$L$4:$L$2503),0))</f>
        <v/>
      </c>
      <c r="J534" s="26">
        <f>IF($A534="","",IF($H534="A国内",ROUND($I534*倍数A*汇率,0),IF($H534="B当地",ROUND($I534*系数B,0),0)))</f>
        <v/>
      </c>
      <c r="K534" s="24">
        <f>IF($A534="","",IF(COUNTIFS(入库单!$G$4:$G$2503,$A534,入库单!$X$4:$X$2503,"待补价")&gt;0,"待补价",IF(COUNTIFS(入库单!$G$4:$G$2503,$A534,入库单!$X$4:$X$2503,"暂估")&gt;0,"暂估",IF($I534=0,"没有进价","正常"))))</f>
        <v/>
      </c>
      <c r="L534" s="27">
        <f>IF($A534="","",IFERROR(VLOOKUP($A534,库存台账!$A$5:$Y$1204,24,0),0))</f>
        <v/>
      </c>
      <c r="M534" s="26">
        <f>IF($A534="","",IFERROR(VLOOKUP($A534,库存台账!$A$5:$Y$1204,25,0),0))</f>
        <v/>
      </c>
      <c r="N534" s="19">
        <f>IF($A534="","",IFERROR(LOOKUP(2,1/((出库单!$D$4:$D$4003=$A534)*(出库单!$T$4:$T$4003="正常")),出库单!$C$4:$C$4003),""))</f>
        <v/>
      </c>
      <c r="O534" s="28">
        <f>IF($A534="","",IF($L534&lt;=0,"",IF($N534="",IFERROR(账期止-LOOKUP(2,1/(入库单!$G$4:$G$2503=$A534),入库单!$C$4:$C$2503),""),账期止-$N534)))</f>
        <v/>
      </c>
      <c r="P534" s="17" t="n"/>
    </row>
    <row r="535">
      <c r="A535" s="17" t="inlineStr">
        <is>
          <t>JH0532</t>
        </is>
      </c>
      <c r="B535" s="17" t="inlineStr">
        <is>
          <t>机械设备</t>
        </is>
      </c>
      <c r="C535" s="17" t="inlineStr">
        <is>
          <t>开口式塑料搅拌桶</t>
        </is>
      </c>
      <c r="D535" s="17" t="inlineStr">
        <is>
          <t>800公斤-1吨</t>
        </is>
      </c>
      <c r="E535" s="17" t="inlineStr">
        <is>
          <t>个</t>
        </is>
      </c>
      <c r="F535" s="17" t="inlineStr">
        <is>
          <t>否</t>
        </is>
      </c>
      <c r="G535" s="23" t="n"/>
      <c r="H535" s="24">
        <f>IF($A535="","",IFERROR(LOOKUP(2,1/((入库单!$G$4:$G$2503=$A535)*(入库单!$Y$4:$Y$2503="正常")*(入库单!$L$4:$L$2503&gt;0)),入库单!$D$4:$D$2503),""))</f>
        <v/>
      </c>
      <c r="I535" s="25">
        <f>IF($A535="","",IFERROR(LOOKUP(2,1/((入库单!$G$4:$G$2503=$A535)*(入库单!$Y$4:$Y$2503="正常")*(入库单!$L$4:$L$2503&gt;0)),入库单!$L$4:$L$2503),0))</f>
        <v/>
      </c>
      <c r="J535" s="26">
        <f>IF($A535="","",IF($H535="A国内",ROUND($I535*倍数A*汇率,0),IF($H535="B当地",ROUND($I535*系数B,0),0)))</f>
        <v/>
      </c>
      <c r="K535" s="24">
        <f>IF($A535="","",IF(COUNTIFS(入库单!$G$4:$G$2503,$A535,入库单!$X$4:$X$2503,"待补价")&gt;0,"待补价",IF(COUNTIFS(入库单!$G$4:$G$2503,$A535,入库单!$X$4:$X$2503,"暂估")&gt;0,"暂估",IF($I535=0,"没有进价","正常"))))</f>
        <v/>
      </c>
      <c r="L535" s="27">
        <f>IF($A535="","",IFERROR(VLOOKUP($A535,库存台账!$A$5:$Y$1204,24,0),0))</f>
        <v/>
      </c>
      <c r="M535" s="26">
        <f>IF($A535="","",IFERROR(VLOOKUP($A535,库存台账!$A$5:$Y$1204,25,0),0))</f>
        <v/>
      </c>
      <c r="N535" s="19">
        <f>IF($A535="","",IFERROR(LOOKUP(2,1/((出库单!$D$4:$D$4003=$A535)*(出库单!$T$4:$T$4003="正常")),出库单!$C$4:$C$4003),""))</f>
        <v/>
      </c>
      <c r="O535" s="28">
        <f>IF($A535="","",IF($L535&lt;=0,"",IF($N535="",IFERROR(账期止-LOOKUP(2,1/(入库单!$G$4:$G$2503=$A535),入库单!$C$4:$C$2503),""),账期止-$N535)))</f>
        <v/>
      </c>
      <c r="P535" s="17" t="n"/>
    </row>
    <row r="536">
      <c r="A536" s="17" t="inlineStr">
        <is>
          <t>JH0533</t>
        </is>
      </c>
      <c r="B536" s="17" t="inlineStr">
        <is>
          <t>劳保用品</t>
        </is>
      </c>
      <c r="C536" s="17" t="inlineStr">
        <is>
          <t>手套</t>
        </is>
      </c>
      <c r="D536" s="17" t="inlineStr">
        <is>
          <t>0</t>
        </is>
      </c>
      <c r="E536" s="17" t="inlineStr">
        <is>
          <t>付</t>
        </is>
      </c>
      <c r="F536" s="17" t="inlineStr">
        <is>
          <t>否</t>
        </is>
      </c>
      <c r="G536" s="23" t="n"/>
      <c r="H536" s="24">
        <f>IF($A536="","",IFERROR(LOOKUP(2,1/((入库单!$G$4:$G$2503=$A536)*(入库单!$Y$4:$Y$2503="正常")*(入库单!$L$4:$L$2503&gt;0)),入库单!$D$4:$D$2503),""))</f>
        <v/>
      </c>
      <c r="I536" s="25">
        <f>IF($A536="","",IFERROR(LOOKUP(2,1/((入库单!$G$4:$G$2503=$A536)*(入库单!$Y$4:$Y$2503="正常")*(入库单!$L$4:$L$2503&gt;0)),入库单!$L$4:$L$2503),0))</f>
        <v/>
      </c>
      <c r="J536" s="26">
        <f>IF($A536="","",IF($H536="A国内",ROUND($I536*倍数A*汇率,0),IF($H536="B当地",ROUND($I536*系数B,0),0)))</f>
        <v/>
      </c>
      <c r="K536" s="24">
        <f>IF($A536="","",IF(COUNTIFS(入库单!$G$4:$G$2503,$A536,入库单!$X$4:$X$2503,"待补价")&gt;0,"待补价",IF(COUNTIFS(入库单!$G$4:$G$2503,$A536,入库单!$X$4:$X$2503,"暂估")&gt;0,"暂估",IF($I536=0,"没有进价","正常"))))</f>
        <v/>
      </c>
      <c r="L536" s="27">
        <f>IF($A536="","",IFERROR(VLOOKUP($A536,库存台账!$A$5:$Y$1204,24,0),0))</f>
        <v/>
      </c>
      <c r="M536" s="26">
        <f>IF($A536="","",IFERROR(VLOOKUP($A536,库存台账!$A$5:$Y$1204,25,0),0))</f>
        <v/>
      </c>
      <c r="N536" s="19">
        <f>IF($A536="","",IFERROR(LOOKUP(2,1/((出库单!$D$4:$D$4003=$A536)*(出库单!$T$4:$T$4003="正常")),出库单!$C$4:$C$4003),""))</f>
        <v/>
      </c>
      <c r="O536" s="28">
        <f>IF($A536="","",IF($L536&lt;=0,"",IF($N536="",IFERROR(账期止-LOOKUP(2,1/(入库单!$G$4:$G$2503=$A536),入库单!$C$4:$C$2503),""),账期止-$N536)))</f>
        <v/>
      </c>
      <c r="P536" s="17" t="n"/>
    </row>
    <row r="537">
      <c r="A537" s="17" t="inlineStr">
        <is>
          <t>JH0534</t>
        </is>
      </c>
      <c r="B537" s="17" t="inlineStr">
        <is>
          <t>劳保用品</t>
        </is>
      </c>
      <c r="C537" s="17" t="inlineStr">
        <is>
          <t>安全帽</t>
        </is>
      </c>
      <c r="D537" s="17" t="inlineStr">
        <is>
          <t>0</t>
        </is>
      </c>
      <c r="E537" s="17" t="inlineStr">
        <is>
          <t>个</t>
        </is>
      </c>
      <c r="F537" s="17" t="inlineStr">
        <is>
          <t>否</t>
        </is>
      </c>
      <c r="G537" s="23" t="n"/>
      <c r="H537" s="24">
        <f>IF($A537="","",IFERROR(LOOKUP(2,1/((入库单!$G$4:$G$2503=$A537)*(入库单!$Y$4:$Y$2503="正常")*(入库单!$L$4:$L$2503&gt;0)),入库单!$D$4:$D$2503),""))</f>
        <v/>
      </c>
      <c r="I537" s="25">
        <f>IF($A537="","",IFERROR(LOOKUP(2,1/((入库单!$G$4:$G$2503=$A537)*(入库单!$Y$4:$Y$2503="正常")*(入库单!$L$4:$L$2503&gt;0)),入库单!$L$4:$L$2503),0))</f>
        <v/>
      </c>
      <c r="J537" s="26">
        <f>IF($A537="","",IF($H537="A国内",ROUND($I537*倍数A*汇率,0),IF($H537="B当地",ROUND($I537*系数B,0),0)))</f>
        <v/>
      </c>
      <c r="K537" s="24">
        <f>IF($A537="","",IF(COUNTIFS(入库单!$G$4:$G$2503,$A537,入库单!$X$4:$X$2503,"待补价")&gt;0,"待补价",IF(COUNTIFS(入库单!$G$4:$G$2503,$A537,入库单!$X$4:$X$2503,"暂估")&gt;0,"暂估",IF($I537=0,"没有进价","正常"))))</f>
        <v/>
      </c>
      <c r="L537" s="27">
        <f>IF($A537="","",IFERROR(VLOOKUP($A537,库存台账!$A$5:$Y$1204,24,0),0))</f>
        <v/>
      </c>
      <c r="M537" s="26">
        <f>IF($A537="","",IFERROR(VLOOKUP($A537,库存台账!$A$5:$Y$1204,25,0),0))</f>
        <v/>
      </c>
      <c r="N537" s="19">
        <f>IF($A537="","",IFERROR(LOOKUP(2,1/((出库单!$D$4:$D$4003=$A537)*(出库单!$T$4:$T$4003="正常")),出库单!$C$4:$C$4003),""))</f>
        <v/>
      </c>
      <c r="O537" s="28">
        <f>IF($A537="","",IF($L537&lt;=0,"",IF($N537="",IFERROR(账期止-LOOKUP(2,1/(入库单!$G$4:$G$2503=$A537),入库单!$C$4:$C$2503),""),账期止-$N537)))</f>
        <v/>
      </c>
      <c r="P537" s="17" t="n"/>
    </row>
    <row r="538">
      <c r="A538" s="17" t="inlineStr">
        <is>
          <t>JH0535</t>
        </is>
      </c>
      <c r="B538" s="17" t="inlineStr">
        <is>
          <t>劳保用品</t>
        </is>
      </c>
      <c r="C538" s="17" t="inlineStr">
        <is>
          <t>雨衣</t>
        </is>
      </c>
      <c r="D538" s="17" t="inlineStr">
        <is>
          <t>0</t>
        </is>
      </c>
      <c r="E538" s="17" t="inlineStr">
        <is>
          <t>套</t>
        </is>
      </c>
      <c r="F538" s="17" t="inlineStr">
        <is>
          <t>否</t>
        </is>
      </c>
      <c r="G538" s="23" t="n"/>
      <c r="H538" s="24">
        <f>IF($A538="","",IFERROR(LOOKUP(2,1/((入库单!$G$4:$G$2503=$A538)*(入库单!$Y$4:$Y$2503="正常")*(入库单!$L$4:$L$2503&gt;0)),入库单!$D$4:$D$2503),""))</f>
        <v/>
      </c>
      <c r="I538" s="25">
        <f>IF($A538="","",IFERROR(LOOKUP(2,1/((入库单!$G$4:$G$2503=$A538)*(入库单!$Y$4:$Y$2503="正常")*(入库单!$L$4:$L$2503&gt;0)),入库单!$L$4:$L$2503),0))</f>
        <v/>
      </c>
      <c r="J538" s="26">
        <f>IF($A538="","",IF($H538="A国内",ROUND($I538*倍数A*汇率,0),IF($H538="B当地",ROUND($I538*系数B,0),0)))</f>
        <v/>
      </c>
      <c r="K538" s="24">
        <f>IF($A538="","",IF(COUNTIFS(入库单!$G$4:$G$2503,$A538,入库单!$X$4:$X$2503,"待补价")&gt;0,"待补价",IF(COUNTIFS(入库单!$G$4:$G$2503,$A538,入库单!$X$4:$X$2503,"暂估")&gt;0,"暂估",IF($I538=0,"没有进价","正常"))))</f>
        <v/>
      </c>
      <c r="L538" s="27">
        <f>IF($A538="","",IFERROR(VLOOKUP($A538,库存台账!$A$5:$Y$1204,24,0),0))</f>
        <v/>
      </c>
      <c r="M538" s="26">
        <f>IF($A538="","",IFERROR(VLOOKUP($A538,库存台账!$A$5:$Y$1204,25,0),0))</f>
        <v/>
      </c>
      <c r="N538" s="19">
        <f>IF($A538="","",IFERROR(LOOKUP(2,1/((出库单!$D$4:$D$4003=$A538)*(出库单!$T$4:$T$4003="正常")),出库单!$C$4:$C$4003),""))</f>
        <v/>
      </c>
      <c r="O538" s="28">
        <f>IF($A538="","",IF($L538&lt;=0,"",IF($N538="",IFERROR(账期止-LOOKUP(2,1/(入库单!$G$4:$G$2503=$A538),入库单!$C$4:$C$2503),""),账期止-$N538)))</f>
        <v/>
      </c>
      <c r="P538" s="17" t="n"/>
    </row>
    <row r="539">
      <c r="A539" s="17" t="inlineStr">
        <is>
          <t>JH0536</t>
        </is>
      </c>
      <c r="B539" s="17" t="inlineStr">
        <is>
          <t>机械设备</t>
        </is>
      </c>
      <c r="C539" s="17" t="inlineStr">
        <is>
          <t>装载机轮胎</t>
        </is>
      </c>
      <c r="D539" s="17" t="inlineStr">
        <is>
          <t>23.5-25</t>
        </is>
      </c>
      <c r="E539" s="17" t="inlineStr">
        <is>
          <t>条</t>
        </is>
      </c>
      <c r="F539" s="17" t="inlineStr">
        <is>
          <t>否</t>
        </is>
      </c>
      <c r="G539" s="23" t="n"/>
      <c r="H539" s="24">
        <f>IF($A539="","",IFERROR(LOOKUP(2,1/((入库单!$G$4:$G$2503=$A539)*(入库单!$Y$4:$Y$2503="正常")*(入库单!$L$4:$L$2503&gt;0)),入库单!$D$4:$D$2503),""))</f>
        <v/>
      </c>
      <c r="I539" s="25">
        <f>IF($A539="","",IFERROR(LOOKUP(2,1/((入库单!$G$4:$G$2503=$A539)*(入库单!$Y$4:$Y$2503="正常")*(入库单!$L$4:$L$2503&gt;0)),入库单!$L$4:$L$2503),0))</f>
        <v/>
      </c>
      <c r="J539" s="26">
        <f>IF($A539="","",IF($H539="A国内",ROUND($I539*倍数A*汇率,0),IF($H539="B当地",ROUND($I539*系数B,0),0)))</f>
        <v/>
      </c>
      <c r="K539" s="24">
        <f>IF($A539="","",IF(COUNTIFS(入库单!$G$4:$G$2503,$A539,入库单!$X$4:$X$2503,"待补价")&gt;0,"待补价",IF(COUNTIFS(入库单!$G$4:$G$2503,$A539,入库单!$X$4:$X$2503,"暂估")&gt;0,"暂估",IF($I539=0,"没有进价","正常"))))</f>
        <v/>
      </c>
      <c r="L539" s="27">
        <f>IF($A539="","",IFERROR(VLOOKUP($A539,库存台账!$A$5:$Y$1204,24,0),0))</f>
        <v/>
      </c>
      <c r="M539" s="26">
        <f>IF($A539="","",IFERROR(VLOOKUP($A539,库存台账!$A$5:$Y$1204,25,0),0))</f>
        <v/>
      </c>
      <c r="N539" s="19">
        <f>IF($A539="","",IFERROR(LOOKUP(2,1/((出库单!$D$4:$D$4003=$A539)*(出库单!$T$4:$T$4003="正常")),出库单!$C$4:$C$4003),""))</f>
        <v/>
      </c>
      <c r="O539" s="28">
        <f>IF($A539="","",IF($L539&lt;=0,"",IF($N539="",IFERROR(账期止-LOOKUP(2,1/(入库单!$G$4:$G$2503=$A539),入库单!$C$4:$C$2503),""),账期止-$N539)))</f>
        <v/>
      </c>
      <c r="P539" s="17" t="n"/>
    </row>
    <row r="540">
      <c r="A540" s="17" t="inlineStr">
        <is>
          <t>JH0537</t>
        </is>
      </c>
      <c r="B540" s="17" t="inlineStr">
        <is>
          <t>其他</t>
        </is>
      </c>
      <c r="C540" s="17" t="inlineStr">
        <is>
          <t>大花自卸车轮胎</t>
        </is>
      </c>
      <c r="D540" s="17" t="inlineStr">
        <is>
          <t>12.00R20</t>
        </is>
      </c>
      <c r="E540" s="17" t="inlineStr">
        <is>
          <t>条</t>
        </is>
      </c>
      <c r="F540" s="17" t="inlineStr">
        <is>
          <t>否</t>
        </is>
      </c>
      <c r="G540" s="23" t="n"/>
      <c r="H540" s="24">
        <f>IF($A540="","",IFERROR(LOOKUP(2,1/((入库单!$G$4:$G$2503=$A540)*(入库单!$Y$4:$Y$2503="正常")*(入库单!$L$4:$L$2503&gt;0)),入库单!$D$4:$D$2503),""))</f>
        <v/>
      </c>
      <c r="I540" s="25">
        <f>IF($A540="","",IFERROR(LOOKUP(2,1/((入库单!$G$4:$G$2503=$A540)*(入库单!$Y$4:$Y$2503="正常")*(入库单!$L$4:$L$2503&gt;0)),入库单!$L$4:$L$2503),0))</f>
        <v/>
      </c>
      <c r="J540" s="26">
        <f>IF($A540="","",IF($H540="A国内",ROUND($I540*倍数A*汇率,0),IF($H540="B当地",ROUND($I540*系数B,0),0)))</f>
        <v/>
      </c>
      <c r="K540" s="24">
        <f>IF($A540="","",IF(COUNTIFS(入库单!$G$4:$G$2503,$A540,入库单!$X$4:$X$2503,"待补价")&gt;0,"待补价",IF(COUNTIFS(入库单!$G$4:$G$2503,$A540,入库单!$X$4:$X$2503,"暂估")&gt;0,"暂估",IF($I540=0,"没有进价","正常"))))</f>
        <v/>
      </c>
      <c r="L540" s="27">
        <f>IF($A540="","",IFERROR(VLOOKUP($A540,库存台账!$A$5:$Y$1204,24,0),0))</f>
        <v/>
      </c>
      <c r="M540" s="26">
        <f>IF($A540="","",IFERROR(VLOOKUP($A540,库存台账!$A$5:$Y$1204,25,0),0))</f>
        <v/>
      </c>
      <c r="N540" s="19">
        <f>IF($A540="","",IFERROR(LOOKUP(2,1/((出库单!$D$4:$D$4003=$A540)*(出库单!$T$4:$T$4003="正常")),出库单!$C$4:$C$4003),""))</f>
        <v/>
      </c>
      <c r="O540" s="28">
        <f>IF($A540="","",IF($L540&lt;=0,"",IF($N540="",IFERROR(账期止-LOOKUP(2,1/(入库单!$G$4:$G$2503=$A540),入库单!$C$4:$C$2503),""),账期止-$N540)))</f>
        <v/>
      </c>
      <c r="P540" s="17" t="n"/>
    </row>
    <row r="541">
      <c r="A541" s="17" t="inlineStr">
        <is>
          <t>JH0538</t>
        </is>
      </c>
      <c r="B541" s="17" t="inlineStr">
        <is>
          <t>机械设备</t>
        </is>
      </c>
      <c r="C541" s="17" t="inlineStr">
        <is>
          <t>装载机内胎和衬里</t>
        </is>
      </c>
      <c r="D541" s="17" t="inlineStr">
        <is>
          <t>套</t>
        </is>
      </c>
      <c r="E541" s="17" t="inlineStr">
        <is>
          <t>套</t>
        </is>
      </c>
      <c r="F541" s="17" t="inlineStr">
        <is>
          <t>否</t>
        </is>
      </c>
      <c r="G541" s="23" t="n"/>
      <c r="H541" s="24">
        <f>IF($A541="","",IFERROR(LOOKUP(2,1/((入库单!$G$4:$G$2503=$A541)*(入库单!$Y$4:$Y$2503="正常")*(入库单!$L$4:$L$2503&gt;0)),入库单!$D$4:$D$2503),""))</f>
        <v/>
      </c>
      <c r="I541" s="25">
        <f>IF($A541="","",IFERROR(LOOKUP(2,1/((入库单!$G$4:$G$2503=$A541)*(入库单!$Y$4:$Y$2503="正常")*(入库单!$L$4:$L$2503&gt;0)),入库单!$L$4:$L$2503),0))</f>
        <v/>
      </c>
      <c r="J541" s="26">
        <f>IF($A541="","",IF($H541="A国内",ROUND($I541*倍数A*汇率,0),IF($H541="B当地",ROUND($I541*系数B,0),0)))</f>
        <v/>
      </c>
      <c r="K541" s="24">
        <f>IF($A541="","",IF(COUNTIFS(入库单!$G$4:$G$2503,$A541,入库单!$X$4:$X$2503,"待补价")&gt;0,"待补价",IF(COUNTIFS(入库单!$G$4:$G$2503,$A541,入库单!$X$4:$X$2503,"暂估")&gt;0,"暂估",IF($I541=0,"没有进价","正常"))))</f>
        <v/>
      </c>
      <c r="L541" s="27">
        <f>IF($A541="","",IFERROR(VLOOKUP($A541,库存台账!$A$5:$Y$1204,24,0),0))</f>
        <v/>
      </c>
      <c r="M541" s="26">
        <f>IF($A541="","",IFERROR(VLOOKUP($A541,库存台账!$A$5:$Y$1204,25,0),0))</f>
        <v/>
      </c>
      <c r="N541" s="19">
        <f>IF($A541="","",IFERROR(LOOKUP(2,1/((出库单!$D$4:$D$4003=$A541)*(出库单!$T$4:$T$4003="正常")),出库单!$C$4:$C$4003),""))</f>
        <v/>
      </c>
      <c r="O541" s="28">
        <f>IF($A541="","",IF($L541&lt;=0,"",IF($N541="",IFERROR(账期止-LOOKUP(2,1/(入库单!$G$4:$G$2503=$A541),入库单!$C$4:$C$2503),""),账期止-$N541)))</f>
        <v/>
      </c>
      <c r="P541" s="17" t="n"/>
    </row>
    <row r="542">
      <c r="A542" s="17" t="inlineStr">
        <is>
          <t>JH0539</t>
        </is>
      </c>
      <c r="B542" s="17" t="inlineStr">
        <is>
          <t>其他</t>
        </is>
      </c>
      <c r="C542" s="17" t="inlineStr">
        <is>
          <t>自卸车内胎和衬里</t>
        </is>
      </c>
      <c r="D542" s="17" t="inlineStr">
        <is>
          <t>套</t>
        </is>
      </c>
      <c r="E542" s="17" t="inlineStr">
        <is>
          <t>套</t>
        </is>
      </c>
      <c r="F542" s="17" t="inlineStr">
        <is>
          <t>否</t>
        </is>
      </c>
      <c r="G542" s="23" t="n"/>
      <c r="H542" s="24">
        <f>IF($A542="","",IFERROR(LOOKUP(2,1/((入库单!$G$4:$G$2503=$A542)*(入库单!$Y$4:$Y$2503="正常")*(入库单!$L$4:$L$2503&gt;0)),入库单!$D$4:$D$2503),""))</f>
        <v/>
      </c>
      <c r="I542" s="25">
        <f>IF($A542="","",IFERROR(LOOKUP(2,1/((入库单!$G$4:$G$2503=$A542)*(入库单!$Y$4:$Y$2503="正常")*(入库单!$L$4:$L$2503&gt;0)),入库单!$L$4:$L$2503),0))</f>
        <v/>
      </c>
      <c r="J542" s="26">
        <f>IF($A542="","",IF($H542="A国内",ROUND($I542*倍数A*汇率,0),IF($H542="B当地",ROUND($I542*系数B,0),0)))</f>
        <v/>
      </c>
      <c r="K542" s="24">
        <f>IF($A542="","",IF(COUNTIFS(入库单!$G$4:$G$2503,$A542,入库单!$X$4:$X$2503,"待补价")&gt;0,"待补价",IF(COUNTIFS(入库单!$G$4:$G$2503,$A542,入库单!$X$4:$X$2503,"暂估")&gt;0,"暂估",IF($I542=0,"没有进价","正常"))))</f>
        <v/>
      </c>
      <c r="L542" s="27">
        <f>IF($A542="","",IFERROR(VLOOKUP($A542,库存台账!$A$5:$Y$1204,24,0),0))</f>
        <v/>
      </c>
      <c r="M542" s="26">
        <f>IF($A542="","",IFERROR(VLOOKUP($A542,库存台账!$A$5:$Y$1204,25,0),0))</f>
        <v/>
      </c>
      <c r="N542" s="19">
        <f>IF($A542="","",IFERROR(LOOKUP(2,1/((出库单!$D$4:$D$4003=$A542)*(出库单!$T$4:$T$4003="正常")),出库单!$C$4:$C$4003),""))</f>
        <v/>
      </c>
      <c r="O542" s="28">
        <f>IF($A542="","",IF($L542&lt;=0,"",IF($N542="",IFERROR(账期止-LOOKUP(2,1/(入库单!$G$4:$G$2503=$A542),入库单!$C$4:$C$2503),""),账期止-$N542)))</f>
        <v/>
      </c>
      <c r="P542" s="17" t="n"/>
    </row>
    <row r="543">
      <c r="A543" s="17" t="inlineStr">
        <is>
          <t>JH0540</t>
        </is>
      </c>
      <c r="B543" s="17" t="inlineStr">
        <is>
          <t>选矿药剂</t>
        </is>
      </c>
      <c r="C543" s="17" t="inlineStr">
        <is>
          <t>药剂搅拌槽</t>
        </is>
      </c>
      <c r="D543" s="17" t="inlineStr">
        <is>
          <t>RJW-15</t>
        </is>
      </c>
      <c r="E543" s="17" t="inlineStr">
        <is>
          <t>台</t>
        </is>
      </c>
      <c r="F543" s="17" t="inlineStr">
        <is>
          <t>是</t>
        </is>
      </c>
      <c r="G543" s="23" t="n"/>
      <c r="H543" s="24">
        <f>IF($A543="","",IFERROR(LOOKUP(2,1/((入库单!$G$4:$G$2503=$A543)*(入库单!$Y$4:$Y$2503="正常")*(入库单!$L$4:$L$2503&gt;0)),入库单!$D$4:$D$2503),""))</f>
        <v/>
      </c>
      <c r="I543" s="25">
        <f>IF($A543="","",IFERROR(LOOKUP(2,1/((入库单!$G$4:$G$2503=$A543)*(入库单!$Y$4:$Y$2503="正常")*(入库单!$L$4:$L$2503&gt;0)),入库单!$L$4:$L$2503),0))</f>
        <v/>
      </c>
      <c r="J543" s="26">
        <f>IF($A543="","",IF($H543="A国内",ROUND($I543*倍数A*汇率,0),IF($H543="B当地",ROUND($I543*系数B,0),0)))</f>
        <v/>
      </c>
      <c r="K543" s="24">
        <f>IF($A543="","",IF(COUNTIFS(入库单!$G$4:$G$2503,$A543,入库单!$X$4:$X$2503,"待补价")&gt;0,"待补价",IF(COUNTIFS(入库单!$G$4:$G$2503,$A543,入库单!$X$4:$X$2503,"暂估")&gt;0,"暂估",IF($I543=0,"没有进价","正常"))))</f>
        <v/>
      </c>
      <c r="L543" s="27">
        <f>IF($A543="","",IFERROR(VLOOKUP($A543,库存台账!$A$5:$Y$1204,24,0),0))</f>
        <v/>
      </c>
      <c r="M543" s="26">
        <f>IF($A543="","",IFERROR(VLOOKUP($A543,库存台账!$A$5:$Y$1204,25,0),0))</f>
        <v/>
      </c>
      <c r="N543" s="19">
        <f>IF($A543="","",IFERROR(LOOKUP(2,1/((出库单!$D$4:$D$4003=$A543)*(出库单!$T$4:$T$4003="正常")),出库单!$C$4:$C$4003),""))</f>
        <v/>
      </c>
      <c r="O543" s="28">
        <f>IF($A543="","",IF($L543&lt;=0,"",IF($N543="",IFERROR(账期止-LOOKUP(2,1/(入库单!$G$4:$G$2503=$A543),入库单!$C$4:$C$2503),""),账期止-$N543)))</f>
        <v/>
      </c>
      <c r="P543" s="17" t="n"/>
    </row>
    <row r="544">
      <c r="A544" s="17" t="inlineStr">
        <is>
          <t>JH0541</t>
        </is>
      </c>
      <c r="B544" s="17" t="inlineStr">
        <is>
          <t>机械配件</t>
        </is>
      </c>
      <c r="C544" s="17" t="inlineStr">
        <is>
          <t>泵包</t>
        </is>
      </c>
      <c r="D544" s="17" t="inlineStr">
        <is>
          <t>50SYA-22泵配件</t>
        </is>
      </c>
      <c r="E544" s="17" t="inlineStr">
        <is>
          <t>套</t>
        </is>
      </c>
      <c r="F544" s="17" t="inlineStr">
        <is>
          <t>否</t>
        </is>
      </c>
      <c r="G544" s="23" t="n"/>
      <c r="H544" s="24">
        <f>IF($A544="","",IFERROR(LOOKUP(2,1/((入库单!$G$4:$G$2503=$A544)*(入库单!$Y$4:$Y$2503="正常")*(入库单!$L$4:$L$2503&gt;0)),入库单!$D$4:$D$2503),""))</f>
        <v/>
      </c>
      <c r="I544" s="25">
        <f>IF($A544="","",IFERROR(LOOKUP(2,1/((入库单!$G$4:$G$2503=$A544)*(入库单!$Y$4:$Y$2503="正常")*(入库单!$L$4:$L$2503&gt;0)),入库单!$L$4:$L$2503),0))</f>
        <v/>
      </c>
      <c r="J544" s="26">
        <f>IF($A544="","",IF($H544="A国内",ROUND($I544*倍数A*汇率,0),IF($H544="B当地",ROUND($I544*系数B,0),0)))</f>
        <v/>
      </c>
      <c r="K544" s="24">
        <f>IF($A544="","",IF(COUNTIFS(入库单!$G$4:$G$2503,$A544,入库单!$X$4:$X$2503,"待补价")&gt;0,"待补价",IF(COUNTIFS(入库单!$G$4:$G$2503,$A544,入库单!$X$4:$X$2503,"暂估")&gt;0,"暂估",IF($I544=0,"没有进价","正常"))))</f>
        <v/>
      </c>
      <c r="L544" s="27">
        <f>IF($A544="","",IFERROR(VLOOKUP($A544,库存台账!$A$5:$Y$1204,24,0),0))</f>
        <v/>
      </c>
      <c r="M544" s="26">
        <f>IF($A544="","",IFERROR(VLOOKUP($A544,库存台账!$A$5:$Y$1204,25,0),0))</f>
        <v/>
      </c>
      <c r="N544" s="19">
        <f>IF($A544="","",IFERROR(LOOKUP(2,1/((出库单!$D$4:$D$4003=$A544)*(出库单!$T$4:$T$4003="正常")),出库单!$C$4:$C$4003),""))</f>
        <v/>
      </c>
      <c r="O544" s="28">
        <f>IF($A544="","",IF($L544&lt;=0,"",IF($N544="",IFERROR(账期止-LOOKUP(2,1/(入库单!$G$4:$G$2503=$A544),入库单!$C$4:$C$2503),""),账期止-$N544)))</f>
        <v/>
      </c>
      <c r="P544" s="17" t="n"/>
    </row>
    <row r="545">
      <c r="A545" s="17" t="inlineStr">
        <is>
          <t>JH0542</t>
        </is>
      </c>
      <c r="B545" s="17" t="inlineStr">
        <is>
          <t>机械配件</t>
        </is>
      </c>
      <c r="C545" s="17" t="inlineStr">
        <is>
          <t>叶轮</t>
        </is>
      </c>
      <c r="D545" s="17" t="inlineStr">
        <is>
          <t>50SYA-22泵配件</t>
        </is>
      </c>
      <c r="E545" s="17" t="inlineStr">
        <is>
          <t>套</t>
        </is>
      </c>
      <c r="F545" s="17" t="inlineStr">
        <is>
          <t>否</t>
        </is>
      </c>
      <c r="G545" s="23" t="n"/>
      <c r="H545" s="24">
        <f>IF($A545="","",IFERROR(LOOKUP(2,1/((入库单!$G$4:$G$2503=$A545)*(入库单!$Y$4:$Y$2503="正常")*(入库单!$L$4:$L$2503&gt;0)),入库单!$D$4:$D$2503),""))</f>
        <v/>
      </c>
      <c r="I545" s="25">
        <f>IF($A545="","",IFERROR(LOOKUP(2,1/((入库单!$G$4:$G$2503=$A545)*(入库单!$Y$4:$Y$2503="正常")*(入库单!$L$4:$L$2503&gt;0)),入库单!$L$4:$L$2503),0))</f>
        <v/>
      </c>
      <c r="J545" s="26">
        <f>IF($A545="","",IF($H545="A国内",ROUND($I545*倍数A*汇率,0),IF($H545="B当地",ROUND($I545*系数B,0),0)))</f>
        <v/>
      </c>
      <c r="K545" s="24">
        <f>IF($A545="","",IF(COUNTIFS(入库单!$G$4:$G$2503,$A545,入库单!$X$4:$X$2503,"待补价")&gt;0,"待补价",IF(COUNTIFS(入库单!$G$4:$G$2503,$A545,入库单!$X$4:$X$2503,"暂估")&gt;0,"暂估",IF($I545=0,"没有进价","正常"))))</f>
        <v/>
      </c>
      <c r="L545" s="27">
        <f>IF($A545="","",IFERROR(VLOOKUP($A545,库存台账!$A$5:$Y$1204,24,0),0))</f>
        <v/>
      </c>
      <c r="M545" s="26">
        <f>IF($A545="","",IFERROR(VLOOKUP($A545,库存台账!$A$5:$Y$1204,25,0),0))</f>
        <v/>
      </c>
      <c r="N545" s="19">
        <f>IF($A545="","",IFERROR(LOOKUP(2,1/((出库单!$D$4:$D$4003=$A545)*(出库单!$T$4:$T$4003="正常")),出库单!$C$4:$C$4003),""))</f>
        <v/>
      </c>
      <c r="O545" s="28">
        <f>IF($A545="","",IF($L545&lt;=0,"",IF($N545="",IFERROR(账期止-LOOKUP(2,1/(入库单!$G$4:$G$2503=$A545),入库单!$C$4:$C$2503),""),账期止-$N545)))</f>
        <v/>
      </c>
      <c r="P545" s="17" t="n"/>
    </row>
    <row r="546">
      <c r="A546" s="17" t="inlineStr">
        <is>
          <t>JH0543</t>
        </is>
      </c>
      <c r="B546" s="17" t="inlineStr">
        <is>
          <t>机械配件</t>
        </is>
      </c>
      <c r="C546" s="17" t="inlineStr">
        <is>
          <t>护板</t>
        </is>
      </c>
      <c r="D546" s="17" t="inlineStr">
        <is>
          <t>50SYA-22泵配件</t>
        </is>
      </c>
      <c r="E546" s="17" t="inlineStr">
        <is>
          <t>件</t>
        </is>
      </c>
      <c r="F546" s="17" t="inlineStr">
        <is>
          <t>否</t>
        </is>
      </c>
      <c r="G546" s="23" t="n"/>
      <c r="H546" s="24">
        <f>IF($A546="","",IFERROR(LOOKUP(2,1/((入库单!$G$4:$G$2503=$A546)*(入库单!$Y$4:$Y$2503="正常")*(入库单!$L$4:$L$2503&gt;0)),入库单!$D$4:$D$2503),""))</f>
        <v/>
      </c>
      <c r="I546" s="25">
        <f>IF($A546="","",IFERROR(LOOKUP(2,1/((入库单!$G$4:$G$2503=$A546)*(入库单!$Y$4:$Y$2503="正常")*(入库单!$L$4:$L$2503&gt;0)),入库单!$L$4:$L$2503),0))</f>
        <v/>
      </c>
      <c r="J546" s="26">
        <f>IF($A546="","",IF($H546="A国内",ROUND($I546*倍数A*汇率,0),IF($H546="B当地",ROUND($I546*系数B,0),0)))</f>
        <v/>
      </c>
      <c r="K546" s="24">
        <f>IF($A546="","",IF(COUNTIFS(入库单!$G$4:$G$2503,$A546,入库单!$X$4:$X$2503,"待补价")&gt;0,"待补价",IF(COUNTIFS(入库单!$G$4:$G$2503,$A546,入库单!$X$4:$X$2503,"暂估")&gt;0,"暂估",IF($I546=0,"没有进价","正常"))))</f>
        <v/>
      </c>
      <c r="L546" s="27">
        <f>IF($A546="","",IFERROR(VLOOKUP($A546,库存台账!$A$5:$Y$1204,24,0),0))</f>
        <v/>
      </c>
      <c r="M546" s="26">
        <f>IF($A546="","",IFERROR(VLOOKUP($A546,库存台账!$A$5:$Y$1204,25,0),0))</f>
        <v/>
      </c>
      <c r="N546" s="19">
        <f>IF($A546="","",IFERROR(LOOKUP(2,1/((出库单!$D$4:$D$4003=$A546)*(出库单!$T$4:$T$4003="正常")),出库单!$C$4:$C$4003),""))</f>
        <v/>
      </c>
      <c r="O546" s="28">
        <f>IF($A546="","",IF($L546&lt;=0,"",IF($N546="",IFERROR(账期止-LOOKUP(2,1/(入库单!$G$4:$G$2503=$A546),入库单!$C$4:$C$2503),""),账期止-$N546)))</f>
        <v/>
      </c>
      <c r="P546" s="17" t="n"/>
    </row>
    <row r="547">
      <c r="A547" s="17" t="inlineStr">
        <is>
          <t>JH0544</t>
        </is>
      </c>
      <c r="B547" s="17" t="inlineStr">
        <is>
          <t>机械配件</t>
        </is>
      </c>
      <c r="C547" s="17" t="inlineStr">
        <is>
          <t>减压体</t>
        </is>
      </c>
      <c r="D547" s="17" t="inlineStr">
        <is>
          <t>50SYA-22泵配件</t>
        </is>
      </c>
      <c r="E547" s="17" t="inlineStr">
        <is>
          <t>件</t>
        </is>
      </c>
      <c r="F547" s="17" t="inlineStr">
        <is>
          <t>否</t>
        </is>
      </c>
      <c r="G547" s="23" t="n"/>
      <c r="H547" s="24">
        <f>IF($A547="","",IFERROR(LOOKUP(2,1/((入库单!$G$4:$G$2503=$A547)*(入库单!$Y$4:$Y$2503="正常")*(入库单!$L$4:$L$2503&gt;0)),入库单!$D$4:$D$2503),""))</f>
        <v/>
      </c>
      <c r="I547" s="25">
        <f>IF($A547="","",IFERROR(LOOKUP(2,1/((入库单!$G$4:$G$2503=$A547)*(入库单!$Y$4:$Y$2503="正常")*(入库单!$L$4:$L$2503&gt;0)),入库单!$L$4:$L$2503),0))</f>
        <v/>
      </c>
      <c r="J547" s="26">
        <f>IF($A547="","",IF($H547="A国内",ROUND($I547*倍数A*汇率,0),IF($H547="B当地",ROUND($I547*系数B,0),0)))</f>
        <v/>
      </c>
      <c r="K547" s="24">
        <f>IF($A547="","",IF(COUNTIFS(入库单!$G$4:$G$2503,$A547,入库单!$X$4:$X$2503,"待补价")&gt;0,"待补价",IF(COUNTIFS(入库单!$G$4:$G$2503,$A547,入库单!$X$4:$X$2503,"暂估")&gt;0,"暂估",IF($I547=0,"没有进价","正常"))))</f>
        <v/>
      </c>
      <c r="L547" s="27">
        <f>IF($A547="","",IFERROR(VLOOKUP($A547,库存台账!$A$5:$Y$1204,24,0),0))</f>
        <v/>
      </c>
      <c r="M547" s="26">
        <f>IF($A547="","",IFERROR(VLOOKUP($A547,库存台账!$A$5:$Y$1204,25,0),0))</f>
        <v/>
      </c>
      <c r="N547" s="19">
        <f>IF($A547="","",IFERROR(LOOKUP(2,1/((出库单!$D$4:$D$4003=$A547)*(出库单!$T$4:$T$4003="正常")),出库单!$C$4:$C$4003),""))</f>
        <v/>
      </c>
      <c r="O547" s="28">
        <f>IF($A547="","",IF($L547&lt;=0,"",IF($N547="",IFERROR(账期止-LOOKUP(2,1/(入库单!$G$4:$G$2503=$A547),入库单!$C$4:$C$2503),""),账期止-$N547)))</f>
        <v/>
      </c>
      <c r="P547" s="17" t="n"/>
    </row>
    <row r="548">
      <c r="A548" s="17" t="inlineStr">
        <is>
          <t>JH0545</t>
        </is>
      </c>
      <c r="B548" s="17" t="inlineStr">
        <is>
          <t>机械配件</t>
        </is>
      </c>
      <c r="C548" s="17" t="inlineStr">
        <is>
          <t>副叶轮</t>
        </is>
      </c>
      <c r="D548" s="17" t="inlineStr">
        <is>
          <t>50SYA-22泵配件</t>
        </is>
      </c>
      <c r="E548" s="17" t="inlineStr">
        <is>
          <t>件</t>
        </is>
      </c>
      <c r="F548" s="17" t="inlineStr">
        <is>
          <t>否</t>
        </is>
      </c>
      <c r="G548" s="23" t="n"/>
      <c r="H548" s="24">
        <f>IF($A548="","",IFERROR(LOOKUP(2,1/((入库单!$G$4:$G$2503=$A548)*(入库单!$Y$4:$Y$2503="正常")*(入库单!$L$4:$L$2503&gt;0)),入库单!$D$4:$D$2503),""))</f>
        <v/>
      </c>
      <c r="I548" s="25">
        <f>IF($A548="","",IFERROR(LOOKUP(2,1/((入库单!$G$4:$G$2503=$A548)*(入库单!$Y$4:$Y$2503="正常")*(入库单!$L$4:$L$2503&gt;0)),入库单!$L$4:$L$2503),0))</f>
        <v/>
      </c>
      <c r="J548" s="26">
        <f>IF($A548="","",IF($H548="A国内",ROUND($I548*倍数A*汇率,0),IF($H548="B当地",ROUND($I548*系数B,0),0)))</f>
        <v/>
      </c>
      <c r="K548" s="24">
        <f>IF($A548="","",IF(COUNTIFS(入库单!$G$4:$G$2503,$A548,入库单!$X$4:$X$2503,"待补价")&gt;0,"待补价",IF(COUNTIFS(入库单!$G$4:$G$2503,$A548,入库单!$X$4:$X$2503,"暂估")&gt;0,"暂估",IF($I548=0,"没有进价","正常"))))</f>
        <v/>
      </c>
      <c r="L548" s="27">
        <f>IF($A548="","",IFERROR(VLOOKUP($A548,库存台账!$A$5:$Y$1204,24,0),0))</f>
        <v/>
      </c>
      <c r="M548" s="26">
        <f>IF($A548="","",IFERROR(VLOOKUP($A548,库存台账!$A$5:$Y$1204,25,0),0))</f>
        <v/>
      </c>
      <c r="N548" s="19">
        <f>IF($A548="","",IFERROR(LOOKUP(2,1/((出库单!$D$4:$D$4003=$A548)*(出库单!$T$4:$T$4003="正常")),出库单!$C$4:$C$4003),""))</f>
        <v/>
      </c>
      <c r="O548" s="28">
        <f>IF($A548="","",IF($L548&lt;=0,"",IF($N548="",IFERROR(账期止-LOOKUP(2,1/(入库单!$G$4:$G$2503=$A548),入库单!$C$4:$C$2503),""),账期止-$N548)))</f>
        <v/>
      </c>
      <c r="P548" s="17" t="n"/>
    </row>
    <row r="549">
      <c r="A549" s="17" t="inlineStr">
        <is>
          <t>JH0546</t>
        </is>
      </c>
      <c r="B549" s="17" t="inlineStr">
        <is>
          <t>机械配件</t>
        </is>
      </c>
      <c r="C549" s="17" t="inlineStr">
        <is>
          <t>轴套</t>
        </is>
      </c>
      <c r="D549" s="17" t="inlineStr">
        <is>
          <t>50SYA-22泵配件</t>
        </is>
      </c>
      <c r="E549" s="17" t="inlineStr">
        <is>
          <t>套</t>
        </is>
      </c>
      <c r="F549" s="17" t="inlineStr">
        <is>
          <t>否</t>
        </is>
      </c>
      <c r="G549" s="23" t="n"/>
      <c r="H549" s="24">
        <f>IF($A549="","",IFERROR(LOOKUP(2,1/((入库单!$G$4:$G$2503=$A549)*(入库单!$Y$4:$Y$2503="正常")*(入库单!$L$4:$L$2503&gt;0)),入库单!$D$4:$D$2503),""))</f>
        <v/>
      </c>
      <c r="I549" s="25">
        <f>IF($A549="","",IFERROR(LOOKUP(2,1/((入库单!$G$4:$G$2503=$A549)*(入库单!$Y$4:$Y$2503="正常")*(入库单!$L$4:$L$2503&gt;0)),入库单!$L$4:$L$2503),0))</f>
        <v/>
      </c>
      <c r="J549" s="26">
        <f>IF($A549="","",IF($H549="A国内",ROUND($I549*倍数A*汇率,0),IF($H549="B当地",ROUND($I549*系数B,0),0)))</f>
        <v/>
      </c>
      <c r="K549" s="24">
        <f>IF($A549="","",IF(COUNTIFS(入库单!$G$4:$G$2503,$A549,入库单!$X$4:$X$2503,"待补价")&gt;0,"待补价",IF(COUNTIFS(入库单!$G$4:$G$2503,$A549,入库单!$X$4:$X$2503,"暂估")&gt;0,"暂估",IF($I549=0,"没有进价","正常"))))</f>
        <v/>
      </c>
      <c r="L549" s="27">
        <f>IF($A549="","",IFERROR(VLOOKUP($A549,库存台账!$A$5:$Y$1204,24,0),0))</f>
        <v/>
      </c>
      <c r="M549" s="26">
        <f>IF($A549="","",IFERROR(VLOOKUP($A549,库存台账!$A$5:$Y$1204,25,0),0))</f>
        <v/>
      </c>
      <c r="N549" s="19">
        <f>IF($A549="","",IFERROR(LOOKUP(2,1/((出库单!$D$4:$D$4003=$A549)*(出库单!$T$4:$T$4003="正常")),出库单!$C$4:$C$4003),""))</f>
        <v/>
      </c>
      <c r="O549" s="28">
        <f>IF($A549="","",IF($L549&lt;=0,"",IF($N549="",IFERROR(账期止-LOOKUP(2,1/(入库单!$G$4:$G$2503=$A549),入库单!$C$4:$C$2503),""),账期止-$N549)))</f>
        <v/>
      </c>
      <c r="P549" s="17" t="n"/>
    </row>
    <row r="550">
      <c r="A550" s="17" t="inlineStr">
        <is>
          <t>JH0547</t>
        </is>
      </c>
      <c r="B550" s="17" t="inlineStr">
        <is>
          <t>机械配件</t>
        </is>
      </c>
      <c r="C550" s="17" t="inlineStr">
        <is>
          <t>进料室</t>
        </is>
      </c>
      <c r="D550" s="17" t="inlineStr">
        <is>
          <t>50SYA-22泵配件</t>
        </is>
      </c>
      <c r="E550" s="17" t="inlineStr">
        <is>
          <t>件</t>
        </is>
      </c>
      <c r="F550" s="17" t="inlineStr">
        <is>
          <t>否</t>
        </is>
      </c>
      <c r="G550" s="23" t="n"/>
      <c r="H550" s="24">
        <f>IF($A550="","",IFERROR(LOOKUP(2,1/((入库单!$G$4:$G$2503=$A550)*(入库单!$Y$4:$Y$2503="正常")*(入库单!$L$4:$L$2503&gt;0)),入库单!$D$4:$D$2503),""))</f>
        <v/>
      </c>
      <c r="I550" s="25">
        <f>IF($A550="","",IFERROR(LOOKUP(2,1/((入库单!$G$4:$G$2503=$A550)*(入库单!$Y$4:$Y$2503="正常")*(入库单!$L$4:$L$2503&gt;0)),入库单!$L$4:$L$2503),0))</f>
        <v/>
      </c>
      <c r="J550" s="26">
        <f>IF($A550="","",IF($H550="A国内",ROUND($I550*倍数A*汇率,0),IF($H550="B当地",ROUND($I550*系数B,0),0)))</f>
        <v/>
      </c>
      <c r="K550" s="24">
        <f>IF($A550="","",IF(COUNTIFS(入库单!$G$4:$G$2503,$A550,入库单!$X$4:$X$2503,"待补价")&gt;0,"待补价",IF(COUNTIFS(入库单!$G$4:$G$2503,$A550,入库单!$X$4:$X$2503,"暂估")&gt;0,"暂估",IF($I550=0,"没有进价","正常"))))</f>
        <v/>
      </c>
      <c r="L550" s="27">
        <f>IF($A550="","",IFERROR(VLOOKUP($A550,库存台账!$A$5:$Y$1204,24,0),0))</f>
        <v/>
      </c>
      <c r="M550" s="26">
        <f>IF($A550="","",IFERROR(VLOOKUP($A550,库存台账!$A$5:$Y$1204,25,0),0))</f>
        <v/>
      </c>
      <c r="N550" s="19">
        <f>IF($A550="","",IFERROR(LOOKUP(2,1/((出库单!$D$4:$D$4003=$A550)*(出库单!$T$4:$T$4003="正常")),出库单!$C$4:$C$4003),""))</f>
        <v/>
      </c>
      <c r="O550" s="28">
        <f>IF($A550="","",IF($L550&lt;=0,"",IF($N550="",IFERROR(账期止-LOOKUP(2,1/(入库单!$G$4:$G$2503=$A550),入库单!$C$4:$C$2503),""),账期止-$N550)))</f>
        <v/>
      </c>
      <c r="P550" s="17" t="n"/>
    </row>
    <row r="551">
      <c r="A551" s="17" t="inlineStr">
        <is>
          <t>JH0548</t>
        </is>
      </c>
      <c r="B551" s="17" t="inlineStr">
        <is>
          <t>机械配件</t>
        </is>
      </c>
      <c r="C551" s="17" t="inlineStr">
        <is>
          <t>轴承</t>
        </is>
      </c>
      <c r="D551" s="17" t="inlineStr">
        <is>
          <t>50SYA-22泵配件</t>
        </is>
      </c>
      <c r="E551" s="17" t="inlineStr">
        <is>
          <t>套</t>
        </is>
      </c>
      <c r="F551" s="17" t="inlineStr">
        <is>
          <t>否</t>
        </is>
      </c>
      <c r="G551" s="23" t="n"/>
      <c r="H551" s="24">
        <f>IF($A551="","",IFERROR(LOOKUP(2,1/((入库单!$G$4:$G$2503=$A551)*(入库单!$Y$4:$Y$2503="正常")*(入库单!$L$4:$L$2503&gt;0)),入库单!$D$4:$D$2503),""))</f>
        <v/>
      </c>
      <c r="I551" s="25">
        <f>IF($A551="","",IFERROR(LOOKUP(2,1/((入库单!$G$4:$G$2503=$A551)*(入库单!$Y$4:$Y$2503="正常")*(入库单!$L$4:$L$2503&gt;0)),入库单!$L$4:$L$2503),0))</f>
        <v/>
      </c>
      <c r="J551" s="26">
        <f>IF($A551="","",IF($H551="A国内",ROUND($I551*倍数A*汇率,0),IF($H551="B当地",ROUND($I551*系数B,0),0)))</f>
        <v/>
      </c>
      <c r="K551" s="24">
        <f>IF($A551="","",IF(COUNTIFS(入库单!$G$4:$G$2503,$A551,入库单!$X$4:$X$2503,"待补价")&gt;0,"待补价",IF(COUNTIFS(入库单!$G$4:$G$2503,$A551,入库单!$X$4:$X$2503,"暂估")&gt;0,"暂估",IF($I551=0,"没有进价","正常"))))</f>
        <v/>
      </c>
      <c r="L551" s="27">
        <f>IF($A551="","",IFERROR(VLOOKUP($A551,库存台账!$A$5:$Y$1204,24,0),0))</f>
        <v/>
      </c>
      <c r="M551" s="26">
        <f>IF($A551="","",IFERROR(VLOOKUP($A551,库存台账!$A$5:$Y$1204,25,0),0))</f>
        <v/>
      </c>
      <c r="N551" s="19">
        <f>IF($A551="","",IFERROR(LOOKUP(2,1/((出库单!$D$4:$D$4003=$A551)*(出库单!$T$4:$T$4003="正常")),出库单!$C$4:$C$4003),""))</f>
        <v/>
      </c>
      <c r="O551" s="28">
        <f>IF($A551="","",IF($L551&lt;=0,"",IF($N551="",IFERROR(账期止-LOOKUP(2,1/(入库单!$G$4:$G$2503=$A551),入库单!$C$4:$C$2503),""),账期止-$N551)))</f>
        <v/>
      </c>
      <c r="P551" s="17" t="n"/>
    </row>
    <row r="552">
      <c r="A552" s="17" t="inlineStr">
        <is>
          <t>JH0549</t>
        </is>
      </c>
      <c r="B552" s="17" t="inlineStr">
        <is>
          <t>机械配件</t>
        </is>
      </c>
      <c r="C552" s="17" t="inlineStr">
        <is>
          <t>密封圈</t>
        </is>
      </c>
      <c r="D552" s="17" t="inlineStr">
        <is>
          <t>50SYA-22泵配件</t>
        </is>
      </c>
      <c r="E552" s="17" t="inlineStr">
        <is>
          <t>套</t>
        </is>
      </c>
      <c r="F552" s="17" t="inlineStr">
        <is>
          <t>否</t>
        </is>
      </c>
      <c r="G552" s="23" t="n"/>
      <c r="H552" s="24">
        <f>IF($A552="","",IFERROR(LOOKUP(2,1/((入库单!$G$4:$G$2503=$A552)*(入库单!$Y$4:$Y$2503="正常")*(入库单!$L$4:$L$2503&gt;0)),入库单!$D$4:$D$2503),""))</f>
        <v/>
      </c>
      <c r="I552" s="25">
        <f>IF($A552="","",IFERROR(LOOKUP(2,1/((入库单!$G$4:$G$2503=$A552)*(入库单!$Y$4:$Y$2503="正常")*(入库单!$L$4:$L$2503&gt;0)),入库单!$L$4:$L$2503),0))</f>
        <v/>
      </c>
      <c r="J552" s="26">
        <f>IF($A552="","",IF($H552="A国内",ROUND($I552*倍数A*汇率,0),IF($H552="B当地",ROUND($I552*系数B,0),0)))</f>
        <v/>
      </c>
      <c r="K552" s="24">
        <f>IF($A552="","",IF(COUNTIFS(入库单!$G$4:$G$2503,$A552,入库单!$X$4:$X$2503,"待补价")&gt;0,"待补价",IF(COUNTIFS(入库单!$G$4:$G$2503,$A552,入库单!$X$4:$X$2503,"暂估")&gt;0,"暂估",IF($I552=0,"没有进价","正常"))))</f>
        <v/>
      </c>
      <c r="L552" s="27">
        <f>IF($A552="","",IFERROR(VLOOKUP($A552,库存台账!$A$5:$Y$1204,24,0),0))</f>
        <v/>
      </c>
      <c r="M552" s="26">
        <f>IF($A552="","",IFERROR(VLOOKUP($A552,库存台账!$A$5:$Y$1204,25,0),0))</f>
        <v/>
      </c>
      <c r="N552" s="19">
        <f>IF($A552="","",IFERROR(LOOKUP(2,1/((出库单!$D$4:$D$4003=$A552)*(出库单!$T$4:$T$4003="正常")),出库单!$C$4:$C$4003),""))</f>
        <v/>
      </c>
      <c r="O552" s="28">
        <f>IF($A552="","",IF($L552&lt;=0,"",IF($N552="",IFERROR(账期止-LOOKUP(2,1/(入库单!$G$4:$G$2503=$A552),入库单!$C$4:$C$2503),""),账期止-$N552)))</f>
        <v/>
      </c>
      <c r="P552" s="17" t="n"/>
    </row>
    <row r="553">
      <c r="A553" s="17" t="inlineStr">
        <is>
          <t>JH0550</t>
        </is>
      </c>
      <c r="B553" s="17" t="inlineStr">
        <is>
          <t>机械配件</t>
        </is>
      </c>
      <c r="C553" s="17" t="inlineStr">
        <is>
          <t>油封</t>
        </is>
      </c>
      <c r="D553" s="17" t="inlineStr">
        <is>
          <t>50SYA-22泵配件</t>
        </is>
      </c>
      <c r="E553" s="17" t="inlineStr">
        <is>
          <t>套</t>
        </is>
      </c>
      <c r="F553" s="17" t="inlineStr">
        <is>
          <t>否</t>
        </is>
      </c>
      <c r="G553" s="23" t="n"/>
      <c r="H553" s="24">
        <f>IF($A553="","",IFERROR(LOOKUP(2,1/((入库单!$G$4:$G$2503=$A553)*(入库单!$Y$4:$Y$2503="正常")*(入库单!$L$4:$L$2503&gt;0)),入库单!$D$4:$D$2503),""))</f>
        <v/>
      </c>
      <c r="I553" s="25">
        <f>IF($A553="","",IFERROR(LOOKUP(2,1/((入库单!$G$4:$G$2503=$A553)*(入库单!$Y$4:$Y$2503="正常")*(入库单!$L$4:$L$2503&gt;0)),入库单!$L$4:$L$2503),0))</f>
        <v/>
      </c>
      <c r="J553" s="26">
        <f>IF($A553="","",IF($H553="A国内",ROUND($I553*倍数A*汇率,0),IF($H553="B当地",ROUND($I553*系数B,0),0)))</f>
        <v/>
      </c>
      <c r="K553" s="24">
        <f>IF($A553="","",IF(COUNTIFS(入库单!$G$4:$G$2503,$A553,入库单!$X$4:$X$2503,"待补价")&gt;0,"待补价",IF(COUNTIFS(入库单!$G$4:$G$2503,$A553,入库单!$X$4:$X$2503,"暂估")&gt;0,"暂估",IF($I553=0,"没有进价","正常"))))</f>
        <v/>
      </c>
      <c r="L553" s="27">
        <f>IF($A553="","",IFERROR(VLOOKUP($A553,库存台账!$A$5:$Y$1204,24,0),0))</f>
        <v/>
      </c>
      <c r="M553" s="26">
        <f>IF($A553="","",IFERROR(VLOOKUP($A553,库存台账!$A$5:$Y$1204,25,0),0))</f>
        <v/>
      </c>
      <c r="N553" s="19">
        <f>IF($A553="","",IFERROR(LOOKUP(2,1/((出库单!$D$4:$D$4003=$A553)*(出库单!$T$4:$T$4003="正常")),出库单!$C$4:$C$4003),""))</f>
        <v/>
      </c>
      <c r="O553" s="28">
        <f>IF($A553="","",IF($L553&lt;=0,"",IF($N553="",IFERROR(账期止-LOOKUP(2,1/(入库单!$G$4:$G$2503=$A553),入库单!$C$4:$C$2503),""),账期止-$N553)))</f>
        <v/>
      </c>
      <c r="P553" s="17" t="n"/>
    </row>
    <row r="554">
      <c r="A554" s="17" t="inlineStr">
        <is>
          <t>JH0551</t>
        </is>
      </c>
      <c r="B554" s="17" t="inlineStr">
        <is>
          <t>机械配件</t>
        </is>
      </c>
      <c r="C554" s="17" t="inlineStr">
        <is>
          <t>弯管</t>
        </is>
      </c>
      <c r="D554" s="17" t="inlineStr">
        <is>
          <t>50SYA-22泵配件</t>
        </is>
      </c>
      <c r="E554" s="17" t="inlineStr">
        <is>
          <t>件</t>
        </is>
      </c>
      <c r="F554" s="17" t="inlineStr">
        <is>
          <t>否</t>
        </is>
      </c>
      <c r="G554" s="23" t="n"/>
      <c r="H554" s="24">
        <f>IF($A554="","",IFERROR(LOOKUP(2,1/((入库单!$G$4:$G$2503=$A554)*(入库单!$Y$4:$Y$2503="正常")*(入库单!$L$4:$L$2503&gt;0)),入库单!$D$4:$D$2503),""))</f>
        <v/>
      </c>
      <c r="I554" s="25">
        <f>IF($A554="","",IFERROR(LOOKUP(2,1/((入库单!$G$4:$G$2503=$A554)*(入库单!$Y$4:$Y$2503="正常")*(入库单!$L$4:$L$2503&gt;0)),入库单!$L$4:$L$2503),0))</f>
        <v/>
      </c>
      <c r="J554" s="26">
        <f>IF($A554="","",IF($H554="A国内",ROUND($I554*倍数A*汇率,0),IF($H554="B当地",ROUND($I554*系数B,0),0)))</f>
        <v/>
      </c>
      <c r="K554" s="24">
        <f>IF($A554="","",IF(COUNTIFS(入库单!$G$4:$G$2503,$A554,入库单!$X$4:$X$2503,"待补价")&gt;0,"待补价",IF(COUNTIFS(入库单!$G$4:$G$2503,$A554,入库单!$X$4:$X$2503,"暂估")&gt;0,"暂估",IF($I554=0,"没有进价","正常"))))</f>
        <v/>
      </c>
      <c r="L554" s="27">
        <f>IF($A554="","",IFERROR(VLOOKUP($A554,库存台账!$A$5:$Y$1204,24,0),0))</f>
        <v/>
      </c>
      <c r="M554" s="26">
        <f>IF($A554="","",IFERROR(VLOOKUP($A554,库存台账!$A$5:$Y$1204,25,0),0))</f>
        <v/>
      </c>
      <c r="N554" s="19">
        <f>IF($A554="","",IFERROR(LOOKUP(2,1/((出库单!$D$4:$D$4003=$A554)*(出库单!$T$4:$T$4003="正常")),出库单!$C$4:$C$4003),""))</f>
        <v/>
      </c>
      <c r="O554" s="28">
        <f>IF($A554="","",IF($L554&lt;=0,"",IF($N554="",IFERROR(账期止-LOOKUP(2,1/(入库单!$G$4:$G$2503=$A554),入库单!$C$4:$C$2503),""),账期止-$N554)))</f>
        <v/>
      </c>
      <c r="P554" s="17" t="n"/>
    </row>
    <row r="555">
      <c r="A555" s="17" t="inlineStr">
        <is>
          <t>JH0552</t>
        </is>
      </c>
      <c r="B555" s="17" t="inlineStr">
        <is>
          <t>机械设备</t>
        </is>
      </c>
      <c r="C555" s="17" t="inlineStr">
        <is>
          <t>长衬板</t>
        </is>
      </c>
      <c r="D555" s="17" t="inlineStr">
        <is>
          <t>1845球磨机衬板配件</t>
        </is>
      </c>
      <c r="E555" s="17" t="inlineStr">
        <is>
          <t>块</t>
        </is>
      </c>
      <c r="F555" s="17" t="inlineStr">
        <is>
          <t>否</t>
        </is>
      </c>
      <c r="G555" s="23" t="n"/>
      <c r="H555" s="24">
        <f>IF($A555="","",IFERROR(LOOKUP(2,1/((入库单!$G$4:$G$2503=$A555)*(入库单!$Y$4:$Y$2503="正常")*(入库单!$L$4:$L$2503&gt;0)),入库单!$D$4:$D$2503),""))</f>
        <v/>
      </c>
      <c r="I555" s="25">
        <f>IF($A555="","",IFERROR(LOOKUP(2,1/((入库单!$G$4:$G$2503=$A555)*(入库单!$Y$4:$Y$2503="正常")*(入库单!$L$4:$L$2503&gt;0)),入库单!$L$4:$L$2503),0))</f>
        <v/>
      </c>
      <c r="J555" s="26">
        <f>IF($A555="","",IF($H555="A国内",ROUND($I555*倍数A*汇率,0),IF($H555="B当地",ROUND($I555*系数B,0),0)))</f>
        <v/>
      </c>
      <c r="K555" s="24">
        <f>IF($A555="","",IF(COUNTIFS(入库单!$G$4:$G$2503,$A555,入库单!$X$4:$X$2503,"待补价")&gt;0,"待补价",IF(COUNTIFS(入库单!$G$4:$G$2503,$A555,入库单!$X$4:$X$2503,"暂估")&gt;0,"暂估",IF($I555=0,"没有进价","正常"))))</f>
        <v/>
      </c>
      <c r="L555" s="27">
        <f>IF($A555="","",IFERROR(VLOOKUP($A555,库存台账!$A$5:$Y$1204,24,0),0))</f>
        <v/>
      </c>
      <c r="M555" s="26">
        <f>IF($A555="","",IFERROR(VLOOKUP($A555,库存台账!$A$5:$Y$1204,25,0),0))</f>
        <v/>
      </c>
      <c r="N555" s="19">
        <f>IF($A555="","",IFERROR(LOOKUP(2,1/((出库单!$D$4:$D$4003=$A555)*(出库单!$T$4:$T$4003="正常")),出库单!$C$4:$C$4003),""))</f>
        <v/>
      </c>
      <c r="O555" s="28">
        <f>IF($A555="","",IF($L555&lt;=0,"",IF($N555="",IFERROR(账期止-LOOKUP(2,1/(入库单!$G$4:$G$2503=$A555),入库单!$C$4:$C$2503),""),账期止-$N555)))</f>
        <v/>
      </c>
      <c r="P555" s="17" t="n"/>
    </row>
    <row r="556">
      <c r="A556" s="17" t="inlineStr">
        <is>
          <t>JH0553</t>
        </is>
      </c>
      <c r="B556" s="17" t="inlineStr">
        <is>
          <t>机械设备</t>
        </is>
      </c>
      <c r="C556" s="17" t="inlineStr">
        <is>
          <t>短衬板</t>
        </is>
      </c>
      <c r="D556" s="17" t="inlineStr">
        <is>
          <t>1845球磨机衬板配件</t>
        </is>
      </c>
      <c r="E556" s="17" t="inlineStr">
        <is>
          <t>块</t>
        </is>
      </c>
      <c r="F556" s="17" t="inlineStr">
        <is>
          <t>否</t>
        </is>
      </c>
      <c r="G556" s="23" t="n"/>
      <c r="H556" s="24">
        <f>IF($A556="","",IFERROR(LOOKUP(2,1/((入库单!$G$4:$G$2503=$A556)*(入库单!$Y$4:$Y$2503="正常")*(入库单!$L$4:$L$2503&gt;0)),入库单!$D$4:$D$2503),""))</f>
        <v/>
      </c>
      <c r="I556" s="25">
        <f>IF($A556="","",IFERROR(LOOKUP(2,1/((入库单!$G$4:$G$2503=$A556)*(入库单!$Y$4:$Y$2503="正常")*(入库单!$L$4:$L$2503&gt;0)),入库单!$L$4:$L$2503),0))</f>
        <v/>
      </c>
      <c r="J556" s="26">
        <f>IF($A556="","",IF($H556="A国内",ROUND($I556*倍数A*汇率,0),IF($H556="B当地",ROUND($I556*系数B,0),0)))</f>
        <v/>
      </c>
      <c r="K556" s="24">
        <f>IF($A556="","",IF(COUNTIFS(入库单!$G$4:$G$2503,$A556,入库单!$X$4:$X$2503,"待补价")&gt;0,"待补价",IF(COUNTIFS(入库单!$G$4:$G$2503,$A556,入库单!$X$4:$X$2503,"暂估")&gt;0,"暂估",IF($I556=0,"没有进价","正常"))))</f>
        <v/>
      </c>
      <c r="L556" s="27">
        <f>IF($A556="","",IFERROR(VLOOKUP($A556,库存台账!$A$5:$Y$1204,24,0),0))</f>
        <v/>
      </c>
      <c r="M556" s="26">
        <f>IF($A556="","",IFERROR(VLOOKUP($A556,库存台账!$A$5:$Y$1204,25,0),0))</f>
        <v/>
      </c>
      <c r="N556" s="19">
        <f>IF($A556="","",IFERROR(LOOKUP(2,1/((出库单!$D$4:$D$4003=$A556)*(出库单!$T$4:$T$4003="正常")),出库单!$C$4:$C$4003),""))</f>
        <v/>
      </c>
      <c r="O556" s="28">
        <f>IF($A556="","",IF($L556&lt;=0,"",IF($N556="",IFERROR(账期止-LOOKUP(2,1/(入库单!$G$4:$G$2503=$A556),入库单!$C$4:$C$2503),""),账期止-$N556)))</f>
        <v/>
      </c>
      <c r="P556" s="17" t="n"/>
    </row>
    <row r="557">
      <c r="A557" s="17" t="inlineStr">
        <is>
          <t>JH0554</t>
        </is>
      </c>
      <c r="B557" s="17" t="inlineStr">
        <is>
          <t>机械设备</t>
        </is>
      </c>
      <c r="C557" s="17" t="inlineStr">
        <is>
          <t>进料端衬板</t>
        </is>
      </c>
      <c r="D557" s="17" t="inlineStr">
        <is>
          <t>1845球磨机衬板配件</t>
        </is>
      </c>
      <c r="E557" s="17" t="inlineStr">
        <is>
          <t>块</t>
        </is>
      </c>
      <c r="F557" s="17" t="inlineStr">
        <is>
          <t>否</t>
        </is>
      </c>
      <c r="G557" s="23" t="n"/>
      <c r="H557" s="24">
        <f>IF($A557="","",IFERROR(LOOKUP(2,1/((入库单!$G$4:$G$2503=$A557)*(入库单!$Y$4:$Y$2503="正常")*(入库单!$L$4:$L$2503&gt;0)),入库单!$D$4:$D$2503),""))</f>
        <v/>
      </c>
      <c r="I557" s="25">
        <f>IF($A557="","",IFERROR(LOOKUP(2,1/((入库单!$G$4:$G$2503=$A557)*(入库单!$Y$4:$Y$2503="正常")*(入库单!$L$4:$L$2503&gt;0)),入库单!$L$4:$L$2503),0))</f>
        <v/>
      </c>
      <c r="J557" s="26">
        <f>IF($A557="","",IF($H557="A国内",ROUND($I557*倍数A*汇率,0),IF($H557="B当地",ROUND($I557*系数B,0),0)))</f>
        <v/>
      </c>
      <c r="K557" s="24">
        <f>IF($A557="","",IF(COUNTIFS(入库单!$G$4:$G$2503,$A557,入库单!$X$4:$X$2503,"待补价")&gt;0,"待补价",IF(COUNTIFS(入库单!$G$4:$G$2503,$A557,入库单!$X$4:$X$2503,"暂估")&gt;0,"暂估",IF($I557=0,"没有进价","正常"))))</f>
        <v/>
      </c>
      <c r="L557" s="27">
        <f>IF($A557="","",IFERROR(VLOOKUP($A557,库存台账!$A$5:$Y$1204,24,0),0))</f>
        <v/>
      </c>
      <c r="M557" s="26">
        <f>IF($A557="","",IFERROR(VLOOKUP($A557,库存台账!$A$5:$Y$1204,25,0),0))</f>
        <v/>
      </c>
      <c r="N557" s="19">
        <f>IF($A557="","",IFERROR(LOOKUP(2,1/((出库单!$D$4:$D$4003=$A557)*(出库单!$T$4:$T$4003="正常")),出库单!$C$4:$C$4003),""))</f>
        <v/>
      </c>
      <c r="O557" s="28">
        <f>IF($A557="","",IF($L557&lt;=0,"",IF($N557="",IFERROR(账期止-LOOKUP(2,1/(入库单!$G$4:$G$2503=$A557),入库单!$C$4:$C$2503),""),账期止-$N557)))</f>
        <v/>
      </c>
      <c r="P557" s="17" t="n"/>
    </row>
    <row r="558">
      <c r="A558" s="17" t="inlineStr">
        <is>
          <t>JH0555</t>
        </is>
      </c>
      <c r="B558" s="17" t="inlineStr">
        <is>
          <t>电缆电气</t>
        </is>
      </c>
      <c r="C558" s="17" t="inlineStr">
        <is>
          <t>电缆</t>
        </is>
      </c>
      <c r="D558" s="17" t="inlineStr">
        <is>
          <t>YJV4*2.5</t>
        </is>
      </c>
      <c r="E558" s="17" t="inlineStr">
        <is>
          <t>米</t>
        </is>
      </c>
      <c r="F558" s="17" t="inlineStr">
        <is>
          <t>否</t>
        </is>
      </c>
      <c r="G558" s="23" t="n"/>
      <c r="H558" s="24">
        <f>IF($A558="","",IFERROR(LOOKUP(2,1/((入库单!$G$4:$G$2503=$A558)*(入库单!$Y$4:$Y$2503="正常")*(入库单!$L$4:$L$2503&gt;0)),入库单!$D$4:$D$2503),""))</f>
        <v/>
      </c>
      <c r="I558" s="25">
        <f>IF($A558="","",IFERROR(LOOKUP(2,1/((入库单!$G$4:$G$2503=$A558)*(入库单!$Y$4:$Y$2503="正常")*(入库单!$L$4:$L$2503&gt;0)),入库单!$L$4:$L$2503),0))</f>
        <v/>
      </c>
      <c r="J558" s="26">
        <f>IF($A558="","",IF($H558="A国内",ROUND($I558*倍数A*汇率,0),IF($H558="B当地",ROUND($I558*系数B,0),0)))</f>
        <v/>
      </c>
      <c r="K558" s="24">
        <f>IF($A558="","",IF(COUNTIFS(入库单!$G$4:$G$2503,$A558,入库单!$X$4:$X$2503,"待补价")&gt;0,"待补价",IF(COUNTIFS(入库单!$G$4:$G$2503,$A558,入库单!$X$4:$X$2503,"暂估")&gt;0,"暂估",IF($I558=0,"没有进价","正常"))))</f>
        <v/>
      </c>
      <c r="L558" s="27">
        <f>IF($A558="","",IFERROR(VLOOKUP($A558,库存台账!$A$5:$Y$1204,24,0),0))</f>
        <v/>
      </c>
      <c r="M558" s="26">
        <f>IF($A558="","",IFERROR(VLOOKUP($A558,库存台账!$A$5:$Y$1204,25,0),0))</f>
        <v/>
      </c>
      <c r="N558" s="19">
        <f>IF($A558="","",IFERROR(LOOKUP(2,1/((出库单!$D$4:$D$4003=$A558)*(出库单!$T$4:$T$4003="正常")),出库单!$C$4:$C$4003),""))</f>
        <v/>
      </c>
      <c r="O558" s="28">
        <f>IF($A558="","",IF($L558&lt;=0,"",IF($N558="",IFERROR(账期止-LOOKUP(2,1/(入库单!$G$4:$G$2503=$A558),入库单!$C$4:$C$2503),""),账期止-$N558)))</f>
        <v/>
      </c>
      <c r="P558" s="17" t="n"/>
    </row>
    <row r="559">
      <c r="A559" s="17" t="inlineStr">
        <is>
          <t>JH0556</t>
        </is>
      </c>
      <c r="B559" s="17" t="inlineStr">
        <is>
          <t>电缆电气</t>
        </is>
      </c>
      <c r="C559" s="17" t="inlineStr">
        <is>
          <t>电缆</t>
        </is>
      </c>
      <c r="D559" s="17" t="inlineStr">
        <is>
          <t>YJV3*4+1</t>
        </is>
      </c>
      <c r="E559" s="17" t="inlineStr">
        <is>
          <t>米</t>
        </is>
      </c>
      <c r="F559" s="17" t="inlineStr">
        <is>
          <t>否</t>
        </is>
      </c>
      <c r="G559" s="23" t="n"/>
      <c r="H559" s="24">
        <f>IF($A559="","",IFERROR(LOOKUP(2,1/((入库单!$G$4:$G$2503=$A559)*(入库单!$Y$4:$Y$2503="正常")*(入库单!$L$4:$L$2503&gt;0)),入库单!$D$4:$D$2503),""))</f>
        <v/>
      </c>
      <c r="I559" s="25">
        <f>IF($A559="","",IFERROR(LOOKUP(2,1/((入库单!$G$4:$G$2503=$A559)*(入库单!$Y$4:$Y$2503="正常")*(入库单!$L$4:$L$2503&gt;0)),入库单!$L$4:$L$2503),0))</f>
        <v/>
      </c>
      <c r="J559" s="26">
        <f>IF($A559="","",IF($H559="A国内",ROUND($I559*倍数A*汇率,0),IF($H559="B当地",ROUND($I559*系数B,0),0)))</f>
        <v/>
      </c>
      <c r="K559" s="24">
        <f>IF($A559="","",IF(COUNTIFS(入库单!$G$4:$G$2503,$A559,入库单!$X$4:$X$2503,"待补价")&gt;0,"待补价",IF(COUNTIFS(入库单!$G$4:$G$2503,$A559,入库单!$X$4:$X$2503,"暂估")&gt;0,"暂估",IF($I559=0,"没有进价","正常"))))</f>
        <v/>
      </c>
      <c r="L559" s="27">
        <f>IF($A559="","",IFERROR(VLOOKUP($A559,库存台账!$A$5:$Y$1204,24,0),0))</f>
        <v/>
      </c>
      <c r="M559" s="26">
        <f>IF($A559="","",IFERROR(VLOOKUP($A559,库存台账!$A$5:$Y$1204,25,0),0))</f>
        <v/>
      </c>
      <c r="N559" s="19">
        <f>IF($A559="","",IFERROR(LOOKUP(2,1/((出库单!$D$4:$D$4003=$A559)*(出库单!$T$4:$T$4003="正常")),出库单!$C$4:$C$4003),""))</f>
        <v/>
      </c>
      <c r="O559" s="28">
        <f>IF($A559="","",IF($L559&lt;=0,"",IF($N559="",IFERROR(账期止-LOOKUP(2,1/(入库单!$G$4:$G$2503=$A559),入库单!$C$4:$C$2503),""),账期止-$N559)))</f>
        <v/>
      </c>
      <c r="P559" s="17" t="n"/>
    </row>
    <row r="560">
      <c r="A560" s="17" t="inlineStr">
        <is>
          <t>JH0557</t>
        </is>
      </c>
      <c r="B560" s="17" t="inlineStr">
        <is>
          <t>电缆电气</t>
        </is>
      </c>
      <c r="C560" s="17" t="inlineStr">
        <is>
          <t>电缆</t>
        </is>
      </c>
      <c r="D560" s="17" t="inlineStr">
        <is>
          <t>YJV3*6+1</t>
        </is>
      </c>
      <c r="E560" s="17" t="inlineStr">
        <is>
          <t>米</t>
        </is>
      </c>
      <c r="F560" s="17" t="inlineStr">
        <is>
          <t>否</t>
        </is>
      </c>
      <c r="G560" s="23" t="n"/>
      <c r="H560" s="24">
        <f>IF($A560="","",IFERROR(LOOKUP(2,1/((入库单!$G$4:$G$2503=$A560)*(入库单!$Y$4:$Y$2503="正常")*(入库单!$L$4:$L$2503&gt;0)),入库单!$D$4:$D$2503),""))</f>
        <v/>
      </c>
      <c r="I560" s="25">
        <f>IF($A560="","",IFERROR(LOOKUP(2,1/((入库单!$G$4:$G$2503=$A560)*(入库单!$Y$4:$Y$2503="正常")*(入库单!$L$4:$L$2503&gt;0)),入库单!$L$4:$L$2503),0))</f>
        <v/>
      </c>
      <c r="J560" s="26">
        <f>IF($A560="","",IF($H560="A国内",ROUND($I560*倍数A*汇率,0),IF($H560="B当地",ROUND($I560*系数B,0),0)))</f>
        <v/>
      </c>
      <c r="K560" s="24">
        <f>IF($A560="","",IF(COUNTIFS(入库单!$G$4:$G$2503,$A560,入库单!$X$4:$X$2503,"待补价")&gt;0,"待补价",IF(COUNTIFS(入库单!$G$4:$G$2503,$A560,入库单!$X$4:$X$2503,"暂估")&gt;0,"暂估",IF($I560=0,"没有进价","正常"))))</f>
        <v/>
      </c>
      <c r="L560" s="27">
        <f>IF($A560="","",IFERROR(VLOOKUP($A560,库存台账!$A$5:$Y$1204,24,0),0))</f>
        <v/>
      </c>
      <c r="M560" s="26">
        <f>IF($A560="","",IFERROR(VLOOKUP($A560,库存台账!$A$5:$Y$1204,25,0),0))</f>
        <v/>
      </c>
      <c r="N560" s="19">
        <f>IF($A560="","",IFERROR(LOOKUP(2,1/((出库单!$D$4:$D$4003=$A560)*(出库单!$T$4:$T$4003="正常")),出库单!$C$4:$C$4003),""))</f>
        <v/>
      </c>
      <c r="O560" s="28">
        <f>IF($A560="","",IF($L560&lt;=0,"",IF($N560="",IFERROR(账期止-LOOKUP(2,1/(入库单!$G$4:$G$2503=$A560),入库单!$C$4:$C$2503),""),账期止-$N560)))</f>
        <v/>
      </c>
      <c r="P560" s="17" t="n"/>
    </row>
    <row r="561">
      <c r="A561" s="17" t="inlineStr">
        <is>
          <t>JH0558</t>
        </is>
      </c>
      <c r="B561" s="17" t="inlineStr">
        <is>
          <t>电缆电气</t>
        </is>
      </c>
      <c r="C561" s="17" t="inlineStr">
        <is>
          <t>电缆</t>
        </is>
      </c>
      <c r="D561" s="17" t="inlineStr">
        <is>
          <t>YJV3*10+1</t>
        </is>
      </c>
      <c r="E561" s="17" t="inlineStr">
        <is>
          <t>米</t>
        </is>
      </c>
      <c r="F561" s="17" t="inlineStr">
        <is>
          <t>否</t>
        </is>
      </c>
      <c r="G561" s="23" t="n"/>
      <c r="H561" s="24">
        <f>IF($A561="","",IFERROR(LOOKUP(2,1/((入库单!$G$4:$G$2503=$A561)*(入库单!$Y$4:$Y$2503="正常")*(入库单!$L$4:$L$2503&gt;0)),入库单!$D$4:$D$2503),""))</f>
        <v/>
      </c>
      <c r="I561" s="25">
        <f>IF($A561="","",IFERROR(LOOKUP(2,1/((入库单!$G$4:$G$2503=$A561)*(入库单!$Y$4:$Y$2503="正常")*(入库单!$L$4:$L$2503&gt;0)),入库单!$L$4:$L$2503),0))</f>
        <v/>
      </c>
      <c r="J561" s="26">
        <f>IF($A561="","",IF($H561="A国内",ROUND($I561*倍数A*汇率,0),IF($H561="B当地",ROUND($I561*系数B,0),0)))</f>
        <v/>
      </c>
      <c r="K561" s="24">
        <f>IF($A561="","",IF(COUNTIFS(入库单!$G$4:$G$2503,$A561,入库单!$X$4:$X$2503,"待补价")&gt;0,"待补价",IF(COUNTIFS(入库单!$G$4:$G$2503,$A561,入库单!$X$4:$X$2503,"暂估")&gt;0,"暂估",IF($I561=0,"没有进价","正常"))))</f>
        <v/>
      </c>
      <c r="L561" s="27">
        <f>IF($A561="","",IFERROR(VLOOKUP($A561,库存台账!$A$5:$Y$1204,24,0),0))</f>
        <v/>
      </c>
      <c r="M561" s="26">
        <f>IF($A561="","",IFERROR(VLOOKUP($A561,库存台账!$A$5:$Y$1204,25,0),0))</f>
        <v/>
      </c>
      <c r="N561" s="19">
        <f>IF($A561="","",IFERROR(LOOKUP(2,1/((出库单!$D$4:$D$4003=$A561)*(出库单!$T$4:$T$4003="正常")),出库单!$C$4:$C$4003),""))</f>
        <v/>
      </c>
      <c r="O561" s="28">
        <f>IF($A561="","",IF($L561&lt;=0,"",IF($N561="",IFERROR(账期止-LOOKUP(2,1/(入库单!$G$4:$G$2503=$A561),入库单!$C$4:$C$2503),""),账期止-$N561)))</f>
        <v/>
      </c>
      <c r="P561" s="17" t="n"/>
    </row>
    <row r="562">
      <c r="A562" s="17" t="inlineStr">
        <is>
          <t>JH0559</t>
        </is>
      </c>
      <c r="B562" s="17" t="inlineStr">
        <is>
          <t>电缆电气</t>
        </is>
      </c>
      <c r="C562" s="17" t="inlineStr">
        <is>
          <t>电缆</t>
        </is>
      </c>
      <c r="D562" s="17" t="inlineStr">
        <is>
          <t>YJV3*16+1</t>
        </is>
      </c>
      <c r="E562" s="17" t="inlineStr">
        <is>
          <t>米</t>
        </is>
      </c>
      <c r="F562" s="17" t="inlineStr">
        <is>
          <t>否</t>
        </is>
      </c>
      <c r="G562" s="23" t="n"/>
      <c r="H562" s="24">
        <f>IF($A562="","",IFERROR(LOOKUP(2,1/((入库单!$G$4:$G$2503=$A562)*(入库单!$Y$4:$Y$2503="正常")*(入库单!$L$4:$L$2503&gt;0)),入库单!$D$4:$D$2503),""))</f>
        <v/>
      </c>
      <c r="I562" s="25">
        <f>IF($A562="","",IFERROR(LOOKUP(2,1/((入库单!$G$4:$G$2503=$A562)*(入库单!$Y$4:$Y$2503="正常")*(入库单!$L$4:$L$2503&gt;0)),入库单!$L$4:$L$2503),0))</f>
        <v/>
      </c>
      <c r="J562" s="26">
        <f>IF($A562="","",IF($H562="A国内",ROUND($I562*倍数A*汇率,0),IF($H562="B当地",ROUND($I562*系数B,0),0)))</f>
        <v/>
      </c>
      <c r="K562" s="24">
        <f>IF($A562="","",IF(COUNTIFS(入库单!$G$4:$G$2503,$A562,入库单!$X$4:$X$2503,"待补价")&gt;0,"待补价",IF(COUNTIFS(入库单!$G$4:$G$2503,$A562,入库单!$X$4:$X$2503,"暂估")&gt;0,"暂估",IF($I562=0,"没有进价","正常"))))</f>
        <v/>
      </c>
      <c r="L562" s="27">
        <f>IF($A562="","",IFERROR(VLOOKUP($A562,库存台账!$A$5:$Y$1204,24,0),0))</f>
        <v/>
      </c>
      <c r="M562" s="26">
        <f>IF($A562="","",IFERROR(VLOOKUP($A562,库存台账!$A$5:$Y$1204,25,0),0))</f>
        <v/>
      </c>
      <c r="N562" s="19">
        <f>IF($A562="","",IFERROR(LOOKUP(2,1/((出库单!$D$4:$D$4003=$A562)*(出库单!$T$4:$T$4003="正常")),出库单!$C$4:$C$4003),""))</f>
        <v/>
      </c>
      <c r="O562" s="28">
        <f>IF($A562="","",IF($L562&lt;=0,"",IF($N562="",IFERROR(账期止-LOOKUP(2,1/(入库单!$G$4:$G$2503=$A562),入库单!$C$4:$C$2503),""),账期止-$N562)))</f>
        <v/>
      </c>
      <c r="P562" s="17" t="n"/>
    </row>
    <row r="563">
      <c r="A563" s="17" t="inlineStr">
        <is>
          <t>JH0560</t>
        </is>
      </c>
      <c r="B563" s="17" t="inlineStr">
        <is>
          <t>电缆电气</t>
        </is>
      </c>
      <c r="C563" s="17" t="inlineStr">
        <is>
          <t>电缆</t>
        </is>
      </c>
      <c r="D563" s="17" t="inlineStr">
        <is>
          <t>YJV3*50+1</t>
        </is>
      </c>
      <c r="E563" s="17" t="inlineStr">
        <is>
          <t>米</t>
        </is>
      </c>
      <c r="F563" s="17" t="inlineStr">
        <is>
          <t>否</t>
        </is>
      </c>
      <c r="G563" s="23" t="n"/>
      <c r="H563" s="24">
        <f>IF($A563="","",IFERROR(LOOKUP(2,1/((入库单!$G$4:$G$2503=$A563)*(入库单!$Y$4:$Y$2503="正常")*(入库单!$L$4:$L$2503&gt;0)),入库单!$D$4:$D$2503),""))</f>
        <v/>
      </c>
      <c r="I563" s="25">
        <f>IF($A563="","",IFERROR(LOOKUP(2,1/((入库单!$G$4:$G$2503=$A563)*(入库单!$Y$4:$Y$2503="正常")*(入库单!$L$4:$L$2503&gt;0)),入库单!$L$4:$L$2503),0))</f>
        <v/>
      </c>
      <c r="J563" s="26">
        <f>IF($A563="","",IF($H563="A国内",ROUND($I563*倍数A*汇率,0),IF($H563="B当地",ROUND($I563*系数B,0),0)))</f>
        <v/>
      </c>
      <c r="K563" s="24">
        <f>IF($A563="","",IF(COUNTIFS(入库单!$G$4:$G$2503,$A563,入库单!$X$4:$X$2503,"待补价")&gt;0,"待补价",IF(COUNTIFS(入库单!$G$4:$G$2503,$A563,入库单!$X$4:$X$2503,"暂估")&gt;0,"暂估",IF($I563=0,"没有进价","正常"))))</f>
        <v/>
      </c>
      <c r="L563" s="27">
        <f>IF($A563="","",IFERROR(VLOOKUP($A563,库存台账!$A$5:$Y$1204,24,0),0))</f>
        <v/>
      </c>
      <c r="M563" s="26">
        <f>IF($A563="","",IFERROR(VLOOKUP($A563,库存台账!$A$5:$Y$1204,25,0),0))</f>
        <v/>
      </c>
      <c r="N563" s="19">
        <f>IF($A563="","",IFERROR(LOOKUP(2,1/((出库单!$D$4:$D$4003=$A563)*(出库单!$T$4:$T$4003="正常")),出库单!$C$4:$C$4003),""))</f>
        <v/>
      </c>
      <c r="O563" s="28">
        <f>IF($A563="","",IF($L563&lt;=0,"",IF($N563="",IFERROR(账期止-LOOKUP(2,1/(入库单!$G$4:$G$2503=$A563),入库单!$C$4:$C$2503),""),账期止-$N563)))</f>
        <v/>
      </c>
      <c r="P563" s="17" t="n"/>
    </row>
    <row r="564">
      <c r="A564" s="17" t="inlineStr">
        <is>
          <t>JH0561</t>
        </is>
      </c>
      <c r="B564" s="17" t="inlineStr">
        <is>
          <t>电缆电气</t>
        </is>
      </c>
      <c r="C564" s="17" t="inlineStr">
        <is>
          <t>电缆</t>
        </is>
      </c>
      <c r="D564" s="17" t="inlineStr">
        <is>
          <t>YJV3*70+1</t>
        </is>
      </c>
      <c r="E564" s="17" t="inlineStr">
        <is>
          <t>米</t>
        </is>
      </c>
      <c r="F564" s="17" t="inlineStr">
        <is>
          <t>否</t>
        </is>
      </c>
      <c r="G564" s="23" t="n"/>
      <c r="H564" s="24">
        <f>IF($A564="","",IFERROR(LOOKUP(2,1/((入库单!$G$4:$G$2503=$A564)*(入库单!$Y$4:$Y$2503="正常")*(入库单!$L$4:$L$2503&gt;0)),入库单!$D$4:$D$2503),""))</f>
        <v/>
      </c>
      <c r="I564" s="25">
        <f>IF($A564="","",IFERROR(LOOKUP(2,1/((入库单!$G$4:$G$2503=$A564)*(入库单!$Y$4:$Y$2503="正常")*(入库单!$L$4:$L$2503&gt;0)),入库单!$L$4:$L$2503),0))</f>
        <v/>
      </c>
      <c r="J564" s="26">
        <f>IF($A564="","",IF($H564="A国内",ROUND($I564*倍数A*汇率,0),IF($H564="B当地",ROUND($I564*系数B,0),0)))</f>
        <v/>
      </c>
      <c r="K564" s="24">
        <f>IF($A564="","",IF(COUNTIFS(入库单!$G$4:$G$2503,$A564,入库单!$X$4:$X$2503,"待补价")&gt;0,"待补价",IF(COUNTIFS(入库单!$G$4:$G$2503,$A564,入库单!$X$4:$X$2503,"暂估")&gt;0,"暂估",IF($I564=0,"没有进价","正常"))))</f>
        <v/>
      </c>
      <c r="L564" s="27">
        <f>IF($A564="","",IFERROR(VLOOKUP($A564,库存台账!$A$5:$Y$1204,24,0),0))</f>
        <v/>
      </c>
      <c r="M564" s="26">
        <f>IF($A564="","",IFERROR(VLOOKUP($A564,库存台账!$A$5:$Y$1204,25,0),0))</f>
        <v/>
      </c>
      <c r="N564" s="19">
        <f>IF($A564="","",IFERROR(LOOKUP(2,1/((出库单!$D$4:$D$4003=$A564)*(出库单!$T$4:$T$4003="正常")),出库单!$C$4:$C$4003),""))</f>
        <v/>
      </c>
      <c r="O564" s="28">
        <f>IF($A564="","",IF($L564&lt;=0,"",IF($N564="",IFERROR(账期止-LOOKUP(2,1/(入库单!$G$4:$G$2503=$A564),入库单!$C$4:$C$2503),""),账期止-$N564)))</f>
        <v/>
      </c>
      <c r="P564" s="17" t="n"/>
    </row>
    <row r="565">
      <c r="A565" s="17" t="inlineStr">
        <is>
          <t>JH0562</t>
        </is>
      </c>
      <c r="B565" s="17" t="inlineStr">
        <is>
          <t>电缆电气</t>
        </is>
      </c>
      <c r="C565" s="17" t="inlineStr">
        <is>
          <t>电缆</t>
        </is>
      </c>
      <c r="D565" s="17" t="inlineStr">
        <is>
          <t>YJV3*95+1</t>
        </is>
      </c>
      <c r="E565" s="17" t="inlineStr">
        <is>
          <t>米</t>
        </is>
      </c>
      <c r="F565" s="17" t="inlineStr">
        <is>
          <t>否</t>
        </is>
      </c>
      <c r="G565" s="23" t="n"/>
      <c r="H565" s="24">
        <f>IF($A565="","",IFERROR(LOOKUP(2,1/((入库单!$G$4:$G$2503=$A565)*(入库单!$Y$4:$Y$2503="正常")*(入库单!$L$4:$L$2503&gt;0)),入库单!$D$4:$D$2503),""))</f>
        <v/>
      </c>
      <c r="I565" s="25">
        <f>IF($A565="","",IFERROR(LOOKUP(2,1/((入库单!$G$4:$G$2503=$A565)*(入库单!$Y$4:$Y$2503="正常")*(入库单!$L$4:$L$2503&gt;0)),入库单!$L$4:$L$2503),0))</f>
        <v/>
      </c>
      <c r="J565" s="26">
        <f>IF($A565="","",IF($H565="A国内",ROUND($I565*倍数A*汇率,0),IF($H565="B当地",ROUND($I565*系数B,0),0)))</f>
        <v/>
      </c>
      <c r="K565" s="24">
        <f>IF($A565="","",IF(COUNTIFS(入库单!$G$4:$G$2503,$A565,入库单!$X$4:$X$2503,"待补价")&gt;0,"待补价",IF(COUNTIFS(入库单!$G$4:$G$2503,$A565,入库单!$X$4:$X$2503,"暂估")&gt;0,"暂估",IF($I565=0,"没有进价","正常"))))</f>
        <v/>
      </c>
      <c r="L565" s="27">
        <f>IF($A565="","",IFERROR(VLOOKUP($A565,库存台账!$A$5:$Y$1204,24,0),0))</f>
        <v/>
      </c>
      <c r="M565" s="26">
        <f>IF($A565="","",IFERROR(VLOOKUP($A565,库存台账!$A$5:$Y$1204,25,0),0))</f>
        <v/>
      </c>
      <c r="N565" s="19">
        <f>IF($A565="","",IFERROR(LOOKUP(2,1/((出库单!$D$4:$D$4003=$A565)*(出库单!$T$4:$T$4003="正常")),出库单!$C$4:$C$4003),""))</f>
        <v/>
      </c>
      <c r="O565" s="28">
        <f>IF($A565="","",IF($L565&lt;=0,"",IF($N565="",IFERROR(账期止-LOOKUP(2,1/(入库单!$G$4:$G$2503=$A565),入库单!$C$4:$C$2503),""),账期止-$N565)))</f>
        <v/>
      </c>
      <c r="P565" s="17" t="n"/>
    </row>
    <row r="566">
      <c r="A566" s="17" t="inlineStr">
        <is>
          <t>JH0563</t>
        </is>
      </c>
      <c r="B566" s="17" t="inlineStr">
        <is>
          <t>电缆电气</t>
        </is>
      </c>
      <c r="C566" s="17" t="inlineStr">
        <is>
          <t>电缆</t>
        </is>
      </c>
      <c r="D566" s="17" t="inlineStr">
        <is>
          <t>YJLV3*120+1</t>
        </is>
      </c>
      <c r="E566" s="17" t="inlineStr">
        <is>
          <t>米</t>
        </is>
      </c>
      <c r="F566" s="17" t="inlineStr">
        <is>
          <t>否</t>
        </is>
      </c>
      <c r="G566" s="23" t="n"/>
      <c r="H566" s="24">
        <f>IF($A566="","",IFERROR(LOOKUP(2,1/((入库单!$G$4:$G$2503=$A566)*(入库单!$Y$4:$Y$2503="正常")*(入库单!$L$4:$L$2503&gt;0)),入库单!$D$4:$D$2503),""))</f>
        <v/>
      </c>
      <c r="I566" s="25">
        <f>IF($A566="","",IFERROR(LOOKUP(2,1/((入库单!$G$4:$G$2503=$A566)*(入库单!$Y$4:$Y$2503="正常")*(入库单!$L$4:$L$2503&gt;0)),入库单!$L$4:$L$2503),0))</f>
        <v/>
      </c>
      <c r="J566" s="26">
        <f>IF($A566="","",IF($H566="A国内",ROUND($I566*倍数A*汇率,0),IF($H566="B当地",ROUND($I566*系数B,0),0)))</f>
        <v/>
      </c>
      <c r="K566" s="24">
        <f>IF($A566="","",IF(COUNTIFS(入库单!$G$4:$G$2503,$A566,入库单!$X$4:$X$2503,"待补价")&gt;0,"待补价",IF(COUNTIFS(入库单!$G$4:$G$2503,$A566,入库单!$X$4:$X$2503,"暂估")&gt;0,"暂估",IF($I566=0,"没有进价","正常"))))</f>
        <v/>
      </c>
      <c r="L566" s="27">
        <f>IF($A566="","",IFERROR(VLOOKUP($A566,库存台账!$A$5:$Y$1204,24,0),0))</f>
        <v/>
      </c>
      <c r="M566" s="26">
        <f>IF($A566="","",IFERROR(VLOOKUP($A566,库存台账!$A$5:$Y$1204,25,0),0))</f>
        <v/>
      </c>
      <c r="N566" s="19">
        <f>IF($A566="","",IFERROR(LOOKUP(2,1/((出库单!$D$4:$D$4003=$A566)*(出库单!$T$4:$T$4003="正常")),出库单!$C$4:$C$4003),""))</f>
        <v/>
      </c>
      <c r="O566" s="28">
        <f>IF($A566="","",IF($L566&lt;=0,"",IF($N566="",IFERROR(账期止-LOOKUP(2,1/(入库单!$G$4:$G$2503=$A566),入库单!$C$4:$C$2503),""),账期止-$N566)))</f>
        <v/>
      </c>
      <c r="P566" s="17" t="n"/>
    </row>
    <row r="567">
      <c r="A567" s="17" t="inlineStr">
        <is>
          <t>JH0564</t>
        </is>
      </c>
      <c r="B567" s="17" t="inlineStr">
        <is>
          <t>电缆电气</t>
        </is>
      </c>
      <c r="C567" s="17" t="inlineStr">
        <is>
          <t>电缆</t>
        </is>
      </c>
      <c r="D567" s="17" t="inlineStr">
        <is>
          <t>YJLV3*240+1</t>
        </is>
      </c>
      <c r="E567" s="17" t="inlineStr">
        <is>
          <t>米</t>
        </is>
      </c>
      <c r="F567" s="17" t="inlineStr">
        <is>
          <t>否</t>
        </is>
      </c>
      <c r="G567" s="23" t="n"/>
      <c r="H567" s="24">
        <f>IF($A567="","",IFERROR(LOOKUP(2,1/((入库单!$G$4:$G$2503=$A567)*(入库单!$Y$4:$Y$2503="正常")*(入库单!$L$4:$L$2503&gt;0)),入库单!$D$4:$D$2503),""))</f>
        <v/>
      </c>
      <c r="I567" s="25">
        <f>IF($A567="","",IFERROR(LOOKUP(2,1/((入库单!$G$4:$G$2503=$A567)*(入库单!$Y$4:$Y$2503="正常")*(入库单!$L$4:$L$2503&gt;0)),入库单!$L$4:$L$2503),0))</f>
        <v/>
      </c>
      <c r="J567" s="26">
        <f>IF($A567="","",IF($H567="A国内",ROUND($I567*倍数A*汇率,0),IF($H567="B当地",ROUND($I567*系数B,0),0)))</f>
        <v/>
      </c>
      <c r="K567" s="24">
        <f>IF($A567="","",IF(COUNTIFS(入库单!$G$4:$G$2503,$A567,入库单!$X$4:$X$2503,"待补价")&gt;0,"待补价",IF(COUNTIFS(入库单!$G$4:$G$2503,$A567,入库单!$X$4:$X$2503,"暂估")&gt;0,"暂估",IF($I567=0,"没有进价","正常"))))</f>
        <v/>
      </c>
      <c r="L567" s="27">
        <f>IF($A567="","",IFERROR(VLOOKUP($A567,库存台账!$A$5:$Y$1204,24,0),0))</f>
        <v/>
      </c>
      <c r="M567" s="26">
        <f>IF($A567="","",IFERROR(VLOOKUP($A567,库存台账!$A$5:$Y$1204,25,0),0))</f>
        <v/>
      </c>
      <c r="N567" s="19">
        <f>IF($A567="","",IFERROR(LOOKUP(2,1/((出库单!$D$4:$D$4003=$A567)*(出库单!$T$4:$T$4003="正常")),出库单!$C$4:$C$4003),""))</f>
        <v/>
      </c>
      <c r="O567" s="28">
        <f>IF($A567="","",IF($L567&lt;=0,"",IF($N567="",IFERROR(账期止-LOOKUP(2,1/(入库单!$G$4:$G$2503=$A567),入库单!$C$4:$C$2503),""),账期止-$N567)))</f>
        <v/>
      </c>
      <c r="P567" s="17" t="n"/>
    </row>
    <row r="568">
      <c r="A568" s="17" t="inlineStr">
        <is>
          <t>JH0565</t>
        </is>
      </c>
      <c r="B568" s="17" t="inlineStr">
        <is>
          <t>机械配件</t>
        </is>
      </c>
      <c r="C568" s="17" t="inlineStr">
        <is>
          <t>输送带</t>
        </is>
      </c>
      <c r="D568" s="17" t="inlineStr">
        <is>
          <t>650皮带机</t>
        </is>
      </c>
      <c r="E568" s="17" t="inlineStr">
        <is>
          <t>米</t>
        </is>
      </c>
      <c r="F568" s="17" t="inlineStr">
        <is>
          <t>否</t>
        </is>
      </c>
      <c r="G568" s="23" t="n"/>
      <c r="H568" s="24">
        <f>IF($A568="","",IFERROR(LOOKUP(2,1/((入库单!$G$4:$G$2503=$A568)*(入库单!$Y$4:$Y$2503="正常")*(入库单!$L$4:$L$2503&gt;0)),入库单!$D$4:$D$2503),""))</f>
        <v/>
      </c>
      <c r="I568" s="25">
        <f>IF($A568="","",IFERROR(LOOKUP(2,1/((入库单!$G$4:$G$2503=$A568)*(入库单!$Y$4:$Y$2503="正常")*(入库单!$L$4:$L$2503&gt;0)),入库单!$L$4:$L$2503),0))</f>
        <v/>
      </c>
      <c r="J568" s="26">
        <f>IF($A568="","",IF($H568="A国内",ROUND($I568*倍数A*汇率,0),IF($H568="B当地",ROUND($I568*系数B,0),0)))</f>
        <v/>
      </c>
      <c r="K568" s="24">
        <f>IF($A568="","",IF(COUNTIFS(入库单!$G$4:$G$2503,$A568,入库单!$X$4:$X$2503,"待补价")&gt;0,"待补价",IF(COUNTIFS(入库单!$G$4:$G$2503,$A568,入库单!$X$4:$X$2503,"暂估")&gt;0,"暂估",IF($I568=0,"没有进价","正常"))))</f>
        <v/>
      </c>
      <c r="L568" s="27">
        <f>IF($A568="","",IFERROR(VLOOKUP($A568,库存台账!$A$5:$Y$1204,24,0),0))</f>
        <v/>
      </c>
      <c r="M568" s="26">
        <f>IF($A568="","",IFERROR(VLOOKUP($A568,库存台账!$A$5:$Y$1204,25,0),0))</f>
        <v/>
      </c>
      <c r="N568" s="19">
        <f>IF($A568="","",IFERROR(LOOKUP(2,1/((出库单!$D$4:$D$4003=$A568)*(出库单!$T$4:$T$4003="正常")),出库单!$C$4:$C$4003),""))</f>
        <v/>
      </c>
      <c r="O568" s="28">
        <f>IF($A568="","",IF($L568&lt;=0,"",IF($N568="",IFERROR(账期止-LOOKUP(2,1/(入库单!$G$4:$G$2503=$A568),入库单!$C$4:$C$2503),""),账期止-$N568)))</f>
        <v/>
      </c>
      <c r="P568" s="17" t="n"/>
    </row>
    <row r="569">
      <c r="A569" s="17" t="inlineStr">
        <is>
          <t>JH0566</t>
        </is>
      </c>
      <c r="B569" s="17" t="inlineStr">
        <is>
          <t>机械配件</t>
        </is>
      </c>
      <c r="C569" s="17" t="inlineStr">
        <is>
          <t>输送带</t>
        </is>
      </c>
      <c r="D569" s="17" t="inlineStr">
        <is>
          <t>500皮带机</t>
        </is>
      </c>
      <c r="E569" s="17" t="inlineStr">
        <is>
          <t>米</t>
        </is>
      </c>
      <c r="F569" s="17" t="inlineStr">
        <is>
          <t>否</t>
        </is>
      </c>
      <c r="G569" s="23" t="n"/>
      <c r="H569" s="24">
        <f>IF($A569="","",IFERROR(LOOKUP(2,1/((入库单!$G$4:$G$2503=$A569)*(入库单!$Y$4:$Y$2503="正常")*(入库单!$L$4:$L$2503&gt;0)),入库单!$D$4:$D$2503),""))</f>
        <v/>
      </c>
      <c r="I569" s="25">
        <f>IF($A569="","",IFERROR(LOOKUP(2,1/((入库单!$G$4:$G$2503=$A569)*(入库单!$Y$4:$Y$2503="正常")*(入库单!$L$4:$L$2503&gt;0)),入库单!$L$4:$L$2503),0))</f>
        <v/>
      </c>
      <c r="J569" s="26">
        <f>IF($A569="","",IF($H569="A国内",ROUND($I569*倍数A*汇率,0),IF($H569="B当地",ROUND($I569*系数B,0),0)))</f>
        <v/>
      </c>
      <c r="K569" s="24">
        <f>IF($A569="","",IF(COUNTIFS(入库单!$G$4:$G$2503,$A569,入库单!$X$4:$X$2503,"待补价")&gt;0,"待补价",IF(COUNTIFS(入库单!$G$4:$G$2503,$A569,入库单!$X$4:$X$2503,"暂估")&gt;0,"暂估",IF($I569=0,"没有进价","正常"))))</f>
        <v/>
      </c>
      <c r="L569" s="27">
        <f>IF($A569="","",IFERROR(VLOOKUP($A569,库存台账!$A$5:$Y$1204,24,0),0))</f>
        <v/>
      </c>
      <c r="M569" s="26">
        <f>IF($A569="","",IFERROR(VLOOKUP($A569,库存台账!$A$5:$Y$1204,25,0),0))</f>
        <v/>
      </c>
      <c r="N569" s="19">
        <f>IF($A569="","",IFERROR(LOOKUP(2,1/((出库单!$D$4:$D$4003=$A569)*(出库单!$T$4:$T$4003="正常")),出库单!$C$4:$C$4003),""))</f>
        <v/>
      </c>
      <c r="O569" s="28">
        <f>IF($A569="","",IF($L569&lt;=0,"",IF($N569="",IFERROR(账期止-LOOKUP(2,1/(入库单!$G$4:$G$2503=$A569),入库单!$C$4:$C$2503),""),账期止-$N569)))</f>
        <v/>
      </c>
      <c r="P569" s="17" t="n"/>
    </row>
    <row r="570">
      <c r="A570" s="17" t="inlineStr">
        <is>
          <t>JH0567</t>
        </is>
      </c>
      <c r="B570" s="17" t="inlineStr">
        <is>
          <t>机械配件</t>
        </is>
      </c>
      <c r="C570" s="17" t="inlineStr">
        <is>
          <t>长托辊89x600</t>
        </is>
      </c>
      <c r="D570" s="17" t="inlineStr">
        <is>
          <t>500皮带机</t>
        </is>
      </c>
      <c r="E570" s="17" t="inlineStr">
        <is>
          <t>个</t>
        </is>
      </c>
      <c r="F570" s="17" t="inlineStr">
        <is>
          <t>否</t>
        </is>
      </c>
      <c r="G570" s="23" t="n"/>
      <c r="H570" s="24">
        <f>IF($A570="","",IFERROR(LOOKUP(2,1/((入库单!$G$4:$G$2503=$A570)*(入库单!$Y$4:$Y$2503="正常")*(入库单!$L$4:$L$2503&gt;0)),入库单!$D$4:$D$2503),""))</f>
        <v/>
      </c>
      <c r="I570" s="25">
        <f>IF($A570="","",IFERROR(LOOKUP(2,1/((入库单!$G$4:$G$2503=$A570)*(入库单!$Y$4:$Y$2503="正常")*(入库单!$L$4:$L$2503&gt;0)),入库单!$L$4:$L$2503),0))</f>
        <v/>
      </c>
      <c r="J570" s="26">
        <f>IF($A570="","",IF($H570="A国内",ROUND($I570*倍数A*汇率,0),IF($H570="B当地",ROUND($I570*系数B,0),0)))</f>
        <v/>
      </c>
      <c r="K570" s="24">
        <f>IF($A570="","",IF(COUNTIFS(入库单!$G$4:$G$2503,$A570,入库单!$X$4:$X$2503,"待补价")&gt;0,"待补价",IF(COUNTIFS(入库单!$G$4:$G$2503,$A570,入库单!$X$4:$X$2503,"暂估")&gt;0,"暂估",IF($I570=0,"没有进价","正常"))))</f>
        <v/>
      </c>
      <c r="L570" s="27">
        <f>IF($A570="","",IFERROR(VLOOKUP($A570,库存台账!$A$5:$Y$1204,24,0),0))</f>
        <v/>
      </c>
      <c r="M570" s="26">
        <f>IF($A570="","",IFERROR(VLOOKUP($A570,库存台账!$A$5:$Y$1204,25,0),0))</f>
        <v/>
      </c>
      <c r="N570" s="19">
        <f>IF($A570="","",IFERROR(LOOKUP(2,1/((出库单!$D$4:$D$4003=$A570)*(出库单!$T$4:$T$4003="正常")),出库单!$C$4:$C$4003),""))</f>
        <v/>
      </c>
      <c r="O570" s="28">
        <f>IF($A570="","",IF($L570&lt;=0,"",IF($N570="",IFERROR(账期止-LOOKUP(2,1/(入库单!$G$4:$G$2503=$A570),入库单!$C$4:$C$2503),""),账期止-$N570)))</f>
        <v/>
      </c>
      <c r="P570" s="17" t="n"/>
    </row>
    <row r="571">
      <c r="A571" s="17" t="inlineStr">
        <is>
          <t>JH0568</t>
        </is>
      </c>
      <c r="B571" s="17" t="inlineStr">
        <is>
          <t>机械配件</t>
        </is>
      </c>
      <c r="C571" s="17" t="inlineStr">
        <is>
          <t>短托辊89x190</t>
        </is>
      </c>
      <c r="D571" s="17" t="inlineStr">
        <is>
          <t>500皮带机</t>
        </is>
      </c>
      <c r="E571" s="17" t="inlineStr">
        <is>
          <t>个</t>
        </is>
      </c>
      <c r="F571" s="17" t="inlineStr">
        <is>
          <t>否</t>
        </is>
      </c>
      <c r="G571" s="23" t="n"/>
      <c r="H571" s="24">
        <f>IF($A571="","",IFERROR(LOOKUP(2,1/((入库单!$G$4:$G$2503=$A571)*(入库单!$Y$4:$Y$2503="正常")*(入库单!$L$4:$L$2503&gt;0)),入库单!$D$4:$D$2503),""))</f>
        <v/>
      </c>
      <c r="I571" s="25">
        <f>IF($A571="","",IFERROR(LOOKUP(2,1/((入库单!$G$4:$G$2503=$A571)*(入库单!$Y$4:$Y$2503="正常")*(入库单!$L$4:$L$2503&gt;0)),入库单!$L$4:$L$2503),0))</f>
        <v/>
      </c>
      <c r="J571" s="26">
        <f>IF($A571="","",IF($H571="A国内",ROUND($I571*倍数A*汇率,0),IF($H571="B当地",ROUND($I571*系数B,0),0)))</f>
        <v/>
      </c>
      <c r="K571" s="24">
        <f>IF($A571="","",IF(COUNTIFS(入库单!$G$4:$G$2503,$A571,入库单!$X$4:$X$2503,"待补价")&gt;0,"待补价",IF(COUNTIFS(入库单!$G$4:$G$2503,$A571,入库单!$X$4:$X$2503,"暂估")&gt;0,"暂估",IF($I571=0,"没有进价","正常"))))</f>
        <v/>
      </c>
      <c r="L571" s="27">
        <f>IF($A571="","",IFERROR(VLOOKUP($A571,库存台账!$A$5:$Y$1204,24,0),0))</f>
        <v/>
      </c>
      <c r="M571" s="26">
        <f>IF($A571="","",IFERROR(VLOOKUP($A571,库存台账!$A$5:$Y$1204,25,0),0))</f>
        <v/>
      </c>
      <c r="N571" s="19">
        <f>IF($A571="","",IFERROR(LOOKUP(2,1/((出库单!$D$4:$D$4003=$A571)*(出库单!$T$4:$T$4003="正常")),出库单!$C$4:$C$4003),""))</f>
        <v/>
      </c>
      <c r="O571" s="28">
        <f>IF($A571="","",IF($L571&lt;=0,"",IF($N571="",IFERROR(账期止-LOOKUP(2,1/(入库单!$G$4:$G$2503=$A571),入库单!$C$4:$C$2503),""),账期止-$N571)))</f>
        <v/>
      </c>
      <c r="P571" s="17" t="n"/>
    </row>
    <row r="572">
      <c r="A572" s="17" t="inlineStr">
        <is>
          <t>JH0569</t>
        </is>
      </c>
      <c r="B572" s="17" t="inlineStr">
        <is>
          <t>机械配件</t>
        </is>
      </c>
      <c r="C572" s="17" t="inlineStr">
        <is>
          <t>缓冲托辊89x190</t>
        </is>
      </c>
      <c r="D572" s="17" t="inlineStr">
        <is>
          <t>500皮带机</t>
        </is>
      </c>
      <c r="E572" s="17" t="inlineStr">
        <is>
          <t>个</t>
        </is>
      </c>
      <c r="F572" s="17" t="inlineStr">
        <is>
          <t>否</t>
        </is>
      </c>
      <c r="G572" s="23" t="n"/>
      <c r="H572" s="24">
        <f>IF($A572="","",IFERROR(LOOKUP(2,1/((入库单!$G$4:$G$2503=$A572)*(入库单!$Y$4:$Y$2503="正常")*(入库单!$L$4:$L$2503&gt;0)),入库单!$D$4:$D$2503),""))</f>
        <v/>
      </c>
      <c r="I572" s="25">
        <f>IF($A572="","",IFERROR(LOOKUP(2,1/((入库单!$G$4:$G$2503=$A572)*(入库单!$Y$4:$Y$2503="正常")*(入库单!$L$4:$L$2503&gt;0)),入库单!$L$4:$L$2503),0))</f>
        <v/>
      </c>
      <c r="J572" s="26">
        <f>IF($A572="","",IF($H572="A国内",ROUND($I572*倍数A*汇率,0),IF($H572="B当地",ROUND($I572*系数B,0),0)))</f>
        <v/>
      </c>
      <c r="K572" s="24">
        <f>IF($A572="","",IF(COUNTIFS(入库单!$G$4:$G$2503,$A572,入库单!$X$4:$X$2503,"待补价")&gt;0,"待补价",IF(COUNTIFS(入库单!$G$4:$G$2503,$A572,入库单!$X$4:$X$2503,"暂估")&gt;0,"暂估",IF($I572=0,"没有进价","正常"))))</f>
        <v/>
      </c>
      <c r="L572" s="27">
        <f>IF($A572="","",IFERROR(VLOOKUP($A572,库存台账!$A$5:$Y$1204,24,0),0))</f>
        <v/>
      </c>
      <c r="M572" s="26">
        <f>IF($A572="","",IFERROR(VLOOKUP($A572,库存台账!$A$5:$Y$1204,25,0),0))</f>
        <v/>
      </c>
      <c r="N572" s="19">
        <f>IF($A572="","",IFERROR(LOOKUP(2,1/((出库单!$D$4:$D$4003=$A572)*(出库单!$T$4:$T$4003="正常")),出库单!$C$4:$C$4003),""))</f>
        <v/>
      </c>
      <c r="O572" s="28">
        <f>IF($A572="","",IF($L572&lt;=0,"",IF($N572="",IFERROR(账期止-LOOKUP(2,1/(入库单!$G$4:$G$2503=$A572),入库单!$C$4:$C$2503),""),账期止-$N572)))</f>
        <v/>
      </c>
      <c r="P572" s="17" t="n"/>
    </row>
    <row r="573">
      <c r="A573" s="17" t="inlineStr">
        <is>
          <t>JH0570</t>
        </is>
      </c>
      <c r="B573" s="17" t="inlineStr">
        <is>
          <t>机械配件</t>
        </is>
      </c>
      <c r="C573" s="17" t="inlineStr">
        <is>
          <t>立辊</t>
        </is>
      </c>
      <c r="D573" s="17" t="inlineStr">
        <is>
          <t>500皮带机</t>
        </is>
      </c>
      <c r="E573" s="17" t="inlineStr">
        <is>
          <t>个</t>
        </is>
      </c>
      <c r="F573" s="17" t="inlineStr">
        <is>
          <t>否</t>
        </is>
      </c>
      <c r="G573" s="23" t="n"/>
      <c r="H573" s="24">
        <f>IF($A573="","",IFERROR(LOOKUP(2,1/((入库单!$G$4:$G$2503=$A573)*(入库单!$Y$4:$Y$2503="正常")*(入库单!$L$4:$L$2503&gt;0)),入库单!$D$4:$D$2503),""))</f>
        <v/>
      </c>
      <c r="I573" s="25">
        <f>IF($A573="","",IFERROR(LOOKUP(2,1/((入库单!$G$4:$G$2503=$A573)*(入库单!$Y$4:$Y$2503="正常")*(入库单!$L$4:$L$2503&gt;0)),入库单!$L$4:$L$2503),0))</f>
        <v/>
      </c>
      <c r="J573" s="26">
        <f>IF($A573="","",IF($H573="A国内",ROUND($I573*倍数A*汇率,0),IF($H573="B当地",ROUND($I573*系数B,0),0)))</f>
        <v/>
      </c>
      <c r="K573" s="24">
        <f>IF($A573="","",IF(COUNTIFS(入库单!$G$4:$G$2503,$A573,入库单!$X$4:$X$2503,"待补价")&gt;0,"待补价",IF(COUNTIFS(入库单!$G$4:$G$2503,$A573,入库单!$X$4:$X$2503,"暂估")&gt;0,"暂估",IF($I573=0,"没有进价","正常"))))</f>
        <v/>
      </c>
      <c r="L573" s="27">
        <f>IF($A573="","",IFERROR(VLOOKUP($A573,库存台账!$A$5:$Y$1204,24,0),0))</f>
        <v/>
      </c>
      <c r="M573" s="26">
        <f>IF($A573="","",IFERROR(VLOOKUP($A573,库存台账!$A$5:$Y$1204,25,0),0))</f>
        <v/>
      </c>
      <c r="N573" s="19">
        <f>IF($A573="","",IFERROR(LOOKUP(2,1/((出库单!$D$4:$D$4003=$A573)*(出库单!$T$4:$T$4003="正常")),出库单!$C$4:$C$4003),""))</f>
        <v/>
      </c>
      <c r="O573" s="28">
        <f>IF($A573="","",IF($L573&lt;=0,"",IF($N573="",IFERROR(账期止-LOOKUP(2,1/(入库单!$G$4:$G$2503=$A573),入库单!$C$4:$C$2503),""),账期止-$N573)))</f>
        <v/>
      </c>
      <c r="P573" s="17" t="n"/>
    </row>
    <row r="574">
      <c r="A574" s="17" t="inlineStr">
        <is>
          <t>JH0571</t>
        </is>
      </c>
      <c r="B574" s="17" t="inlineStr">
        <is>
          <t>机械配件</t>
        </is>
      </c>
      <c r="C574" s="17" t="inlineStr">
        <is>
          <t>吊耳</t>
        </is>
      </c>
      <c r="D574" s="17" t="inlineStr">
        <is>
          <t>500皮带机</t>
        </is>
      </c>
      <c r="E574" s="17" t="inlineStr">
        <is>
          <t>个</t>
        </is>
      </c>
      <c r="F574" s="17" t="inlineStr">
        <is>
          <t>否</t>
        </is>
      </c>
      <c r="G574" s="23" t="n"/>
      <c r="H574" s="24">
        <f>IF($A574="","",IFERROR(LOOKUP(2,1/((入库单!$G$4:$G$2503=$A574)*(入库单!$Y$4:$Y$2503="正常")*(入库单!$L$4:$L$2503&gt;0)),入库单!$D$4:$D$2503),""))</f>
        <v/>
      </c>
      <c r="I574" s="25">
        <f>IF($A574="","",IFERROR(LOOKUP(2,1/((入库单!$G$4:$G$2503=$A574)*(入库单!$Y$4:$Y$2503="正常")*(入库单!$L$4:$L$2503&gt;0)),入库单!$L$4:$L$2503),0))</f>
        <v/>
      </c>
      <c r="J574" s="26">
        <f>IF($A574="","",IF($H574="A国内",ROUND($I574*倍数A*汇率,0),IF($H574="B当地",ROUND($I574*系数B,0),0)))</f>
        <v/>
      </c>
      <c r="K574" s="24">
        <f>IF($A574="","",IF(COUNTIFS(入库单!$G$4:$G$2503,$A574,入库单!$X$4:$X$2503,"待补价")&gt;0,"待补价",IF(COUNTIFS(入库单!$G$4:$G$2503,$A574,入库单!$X$4:$X$2503,"暂估")&gt;0,"暂估",IF($I574=0,"没有进价","正常"))))</f>
        <v/>
      </c>
      <c r="L574" s="27">
        <f>IF($A574="","",IFERROR(VLOOKUP($A574,库存台账!$A$5:$Y$1204,24,0),0))</f>
        <v/>
      </c>
      <c r="M574" s="26">
        <f>IF($A574="","",IFERROR(VLOOKUP($A574,库存台账!$A$5:$Y$1204,25,0),0))</f>
        <v/>
      </c>
      <c r="N574" s="19">
        <f>IF($A574="","",IFERROR(LOOKUP(2,1/((出库单!$D$4:$D$4003=$A574)*(出库单!$T$4:$T$4003="正常")),出库单!$C$4:$C$4003),""))</f>
        <v/>
      </c>
      <c r="O574" s="28">
        <f>IF($A574="","",IF($L574&lt;=0,"",IF($N574="",IFERROR(账期止-LOOKUP(2,1/(入库单!$G$4:$G$2503=$A574),入库单!$C$4:$C$2503),""),账期止-$N574)))</f>
        <v/>
      </c>
      <c r="P574" s="17" t="n"/>
    </row>
    <row r="575">
      <c r="A575" s="17" t="inlineStr">
        <is>
          <t>JH0572</t>
        </is>
      </c>
      <c r="B575" s="17" t="inlineStr">
        <is>
          <t>机械配件</t>
        </is>
      </c>
      <c r="C575" s="17" t="inlineStr">
        <is>
          <t>支架</t>
        </is>
      </c>
      <c r="D575" s="17" t="inlineStr">
        <is>
          <t>500皮带机</t>
        </is>
      </c>
      <c r="E575" s="17" t="inlineStr">
        <is>
          <t>个</t>
        </is>
      </c>
      <c r="F575" s="17" t="inlineStr">
        <is>
          <t>否</t>
        </is>
      </c>
      <c r="G575" s="23" t="n"/>
      <c r="H575" s="24">
        <f>IF($A575="","",IFERROR(LOOKUP(2,1/((入库单!$G$4:$G$2503=$A575)*(入库单!$Y$4:$Y$2503="正常")*(入库单!$L$4:$L$2503&gt;0)),入库单!$D$4:$D$2503),""))</f>
        <v/>
      </c>
      <c r="I575" s="25">
        <f>IF($A575="","",IFERROR(LOOKUP(2,1/((入库单!$G$4:$G$2503=$A575)*(入库单!$Y$4:$Y$2503="正常")*(入库单!$L$4:$L$2503&gt;0)),入库单!$L$4:$L$2503),0))</f>
        <v/>
      </c>
      <c r="J575" s="26">
        <f>IF($A575="","",IF($H575="A国内",ROUND($I575*倍数A*汇率,0),IF($H575="B当地",ROUND($I575*系数B,0),0)))</f>
        <v/>
      </c>
      <c r="K575" s="24">
        <f>IF($A575="","",IF(COUNTIFS(入库单!$G$4:$G$2503,$A575,入库单!$X$4:$X$2503,"待补价")&gt;0,"待补价",IF(COUNTIFS(入库单!$G$4:$G$2503,$A575,入库单!$X$4:$X$2503,"暂估")&gt;0,"暂估",IF($I575=0,"没有进价","正常"))))</f>
        <v/>
      </c>
      <c r="L575" s="27">
        <f>IF($A575="","",IFERROR(VLOOKUP($A575,库存台账!$A$5:$Y$1204,24,0),0))</f>
        <v/>
      </c>
      <c r="M575" s="26">
        <f>IF($A575="","",IFERROR(VLOOKUP($A575,库存台账!$A$5:$Y$1204,25,0),0))</f>
        <v/>
      </c>
      <c r="N575" s="19">
        <f>IF($A575="","",IFERROR(LOOKUP(2,1/((出库单!$D$4:$D$4003=$A575)*(出库单!$T$4:$T$4003="正常")),出库单!$C$4:$C$4003),""))</f>
        <v/>
      </c>
      <c r="O575" s="28">
        <f>IF($A575="","",IF($L575&lt;=0,"",IF($N575="",IFERROR(账期止-LOOKUP(2,1/(入库单!$G$4:$G$2503=$A575),入库单!$C$4:$C$2503),""),账期止-$N575)))</f>
        <v/>
      </c>
      <c r="P575" s="17" t="n"/>
    </row>
    <row r="576">
      <c r="A576" s="17" t="inlineStr">
        <is>
          <t>JH0573</t>
        </is>
      </c>
      <c r="B576" s="17" t="inlineStr">
        <is>
          <t>机械配件</t>
        </is>
      </c>
      <c r="C576" s="17" t="inlineStr">
        <is>
          <t>上调心支架</t>
        </is>
      </c>
      <c r="D576" s="17" t="inlineStr">
        <is>
          <t>500皮带机</t>
        </is>
      </c>
      <c r="E576" s="17" t="inlineStr">
        <is>
          <t>个</t>
        </is>
      </c>
      <c r="F576" s="17" t="inlineStr">
        <is>
          <t>否</t>
        </is>
      </c>
      <c r="G576" s="23" t="n"/>
      <c r="H576" s="24">
        <f>IF($A576="","",IFERROR(LOOKUP(2,1/((入库单!$G$4:$G$2503=$A576)*(入库单!$Y$4:$Y$2503="正常")*(入库单!$L$4:$L$2503&gt;0)),入库单!$D$4:$D$2503),""))</f>
        <v/>
      </c>
      <c r="I576" s="25">
        <f>IF($A576="","",IFERROR(LOOKUP(2,1/((入库单!$G$4:$G$2503=$A576)*(入库单!$Y$4:$Y$2503="正常")*(入库单!$L$4:$L$2503&gt;0)),入库单!$L$4:$L$2503),0))</f>
        <v/>
      </c>
      <c r="J576" s="26">
        <f>IF($A576="","",IF($H576="A国内",ROUND($I576*倍数A*汇率,0),IF($H576="B当地",ROUND($I576*系数B,0),0)))</f>
        <v/>
      </c>
      <c r="K576" s="24">
        <f>IF($A576="","",IF(COUNTIFS(入库单!$G$4:$G$2503,$A576,入库单!$X$4:$X$2503,"待补价")&gt;0,"待补价",IF(COUNTIFS(入库单!$G$4:$G$2503,$A576,入库单!$X$4:$X$2503,"暂估")&gt;0,"暂估",IF($I576=0,"没有进价","正常"))))</f>
        <v/>
      </c>
      <c r="L576" s="27">
        <f>IF($A576="","",IFERROR(VLOOKUP($A576,库存台账!$A$5:$Y$1204,24,0),0))</f>
        <v/>
      </c>
      <c r="M576" s="26">
        <f>IF($A576="","",IFERROR(VLOOKUP($A576,库存台账!$A$5:$Y$1204,25,0),0))</f>
        <v/>
      </c>
      <c r="N576" s="19">
        <f>IF($A576="","",IFERROR(LOOKUP(2,1/((出库单!$D$4:$D$4003=$A576)*(出库单!$T$4:$T$4003="正常")),出库单!$C$4:$C$4003),""))</f>
        <v/>
      </c>
      <c r="O576" s="28">
        <f>IF($A576="","",IF($L576&lt;=0,"",IF($N576="",IFERROR(账期止-LOOKUP(2,1/(入库单!$G$4:$G$2503=$A576),入库单!$C$4:$C$2503),""),账期止-$N576)))</f>
        <v/>
      </c>
      <c r="P576" s="17" t="n"/>
    </row>
    <row r="577">
      <c r="A577" s="17" t="inlineStr">
        <is>
          <t>JH0574</t>
        </is>
      </c>
      <c r="B577" s="17" t="inlineStr">
        <is>
          <t>机械配件</t>
        </is>
      </c>
      <c r="C577" s="17" t="inlineStr">
        <is>
          <t>下调心支架</t>
        </is>
      </c>
      <c r="D577" s="17" t="inlineStr">
        <is>
          <t>500皮带机</t>
        </is>
      </c>
      <c r="E577" s="17" t="inlineStr">
        <is>
          <t>个</t>
        </is>
      </c>
      <c r="F577" s="17" t="inlineStr">
        <is>
          <t>否</t>
        </is>
      </c>
      <c r="G577" s="23" t="n"/>
      <c r="H577" s="24">
        <f>IF($A577="","",IFERROR(LOOKUP(2,1/((入库单!$G$4:$G$2503=$A577)*(入库单!$Y$4:$Y$2503="正常")*(入库单!$L$4:$L$2503&gt;0)),入库单!$D$4:$D$2503),""))</f>
        <v/>
      </c>
      <c r="I577" s="25">
        <f>IF($A577="","",IFERROR(LOOKUP(2,1/((入库单!$G$4:$G$2503=$A577)*(入库单!$Y$4:$Y$2503="正常")*(入库单!$L$4:$L$2503&gt;0)),入库单!$L$4:$L$2503),0))</f>
        <v/>
      </c>
      <c r="J577" s="26">
        <f>IF($A577="","",IF($H577="A国内",ROUND($I577*倍数A*汇率,0),IF($H577="B当地",ROUND($I577*系数B,0),0)))</f>
        <v/>
      </c>
      <c r="K577" s="24">
        <f>IF($A577="","",IF(COUNTIFS(入库单!$G$4:$G$2503,$A577,入库单!$X$4:$X$2503,"待补价")&gt;0,"待补价",IF(COUNTIFS(入库单!$G$4:$G$2503,$A577,入库单!$X$4:$X$2503,"暂估")&gt;0,"暂估",IF($I577=0,"没有进价","正常"))))</f>
        <v/>
      </c>
      <c r="L577" s="27">
        <f>IF($A577="","",IFERROR(VLOOKUP($A577,库存台账!$A$5:$Y$1204,24,0),0))</f>
        <v/>
      </c>
      <c r="M577" s="26">
        <f>IF($A577="","",IFERROR(VLOOKUP($A577,库存台账!$A$5:$Y$1204,25,0),0))</f>
        <v/>
      </c>
      <c r="N577" s="19">
        <f>IF($A577="","",IFERROR(LOOKUP(2,1/((出库单!$D$4:$D$4003=$A577)*(出库单!$T$4:$T$4003="正常")),出库单!$C$4:$C$4003),""))</f>
        <v/>
      </c>
      <c r="O577" s="28">
        <f>IF($A577="","",IF($L577&lt;=0,"",IF($N577="",IFERROR(账期止-LOOKUP(2,1/(入库单!$G$4:$G$2503=$A577),入库单!$C$4:$C$2503),""),账期止-$N577)))</f>
        <v/>
      </c>
      <c r="P577" s="17" t="n"/>
    </row>
    <row r="578">
      <c r="A578" s="17" t="inlineStr">
        <is>
          <t>JH0575</t>
        </is>
      </c>
      <c r="B578" s="17" t="inlineStr">
        <is>
          <t>机械配件</t>
        </is>
      </c>
      <c r="C578" s="17" t="inlineStr">
        <is>
          <t>空段清扫器</t>
        </is>
      </c>
      <c r="D578" s="17" t="inlineStr">
        <is>
          <t>500皮带机</t>
        </is>
      </c>
      <c r="E578" s="17" t="inlineStr">
        <is>
          <t>个</t>
        </is>
      </c>
      <c r="F578" s="17" t="inlineStr">
        <is>
          <t>否</t>
        </is>
      </c>
      <c r="G578" s="23" t="n"/>
      <c r="H578" s="24">
        <f>IF($A578="","",IFERROR(LOOKUP(2,1/((入库单!$G$4:$G$2503=$A578)*(入库单!$Y$4:$Y$2503="正常")*(入库单!$L$4:$L$2503&gt;0)),入库单!$D$4:$D$2503),""))</f>
        <v/>
      </c>
      <c r="I578" s="25">
        <f>IF($A578="","",IFERROR(LOOKUP(2,1/((入库单!$G$4:$G$2503=$A578)*(入库单!$Y$4:$Y$2503="正常")*(入库单!$L$4:$L$2503&gt;0)),入库单!$L$4:$L$2503),0))</f>
        <v/>
      </c>
      <c r="J578" s="26">
        <f>IF($A578="","",IF($H578="A国内",ROUND($I578*倍数A*汇率,0),IF($H578="B当地",ROUND($I578*系数B,0),0)))</f>
        <v/>
      </c>
      <c r="K578" s="24">
        <f>IF($A578="","",IF(COUNTIFS(入库单!$G$4:$G$2503,$A578,入库单!$X$4:$X$2503,"待补价")&gt;0,"待补价",IF(COUNTIFS(入库单!$G$4:$G$2503,$A578,入库单!$X$4:$X$2503,"暂估")&gt;0,"暂估",IF($I578=0,"没有进价","正常"))))</f>
        <v/>
      </c>
      <c r="L578" s="27">
        <f>IF($A578="","",IFERROR(VLOOKUP($A578,库存台账!$A$5:$Y$1204,24,0),0))</f>
        <v/>
      </c>
      <c r="M578" s="26">
        <f>IF($A578="","",IFERROR(VLOOKUP($A578,库存台账!$A$5:$Y$1204,25,0),0))</f>
        <v/>
      </c>
      <c r="N578" s="19">
        <f>IF($A578="","",IFERROR(LOOKUP(2,1/((出库单!$D$4:$D$4003=$A578)*(出库单!$T$4:$T$4003="正常")),出库单!$C$4:$C$4003),""))</f>
        <v/>
      </c>
      <c r="O578" s="28">
        <f>IF($A578="","",IF($L578&lt;=0,"",IF($N578="",IFERROR(账期止-LOOKUP(2,1/(入库单!$G$4:$G$2503=$A578),入库单!$C$4:$C$2503),""),账期止-$N578)))</f>
        <v/>
      </c>
      <c r="P578" s="17" t="n"/>
    </row>
    <row r="579">
      <c r="A579" s="17" t="inlineStr">
        <is>
          <t>JH0576</t>
        </is>
      </c>
      <c r="B579" s="17" t="inlineStr">
        <is>
          <t>机械配件</t>
        </is>
      </c>
      <c r="C579" s="17" t="inlineStr">
        <is>
          <t>头部清扫器</t>
        </is>
      </c>
      <c r="D579" s="17" t="inlineStr">
        <is>
          <t>500皮带机</t>
        </is>
      </c>
      <c r="E579" s="17" t="inlineStr">
        <is>
          <t>个</t>
        </is>
      </c>
      <c r="F579" s="17" t="inlineStr">
        <is>
          <t>否</t>
        </is>
      </c>
      <c r="G579" s="23" t="n"/>
      <c r="H579" s="24">
        <f>IF($A579="","",IFERROR(LOOKUP(2,1/((入库单!$G$4:$G$2503=$A579)*(入库单!$Y$4:$Y$2503="正常")*(入库单!$L$4:$L$2503&gt;0)),入库单!$D$4:$D$2503),""))</f>
        <v/>
      </c>
      <c r="I579" s="25">
        <f>IF($A579="","",IFERROR(LOOKUP(2,1/((入库单!$G$4:$G$2503=$A579)*(入库单!$Y$4:$Y$2503="正常")*(入库单!$L$4:$L$2503&gt;0)),入库单!$L$4:$L$2503),0))</f>
        <v/>
      </c>
      <c r="J579" s="26">
        <f>IF($A579="","",IF($H579="A国内",ROUND($I579*倍数A*汇率,0),IF($H579="B当地",ROUND($I579*系数B,0),0)))</f>
        <v/>
      </c>
      <c r="K579" s="24">
        <f>IF($A579="","",IF(COUNTIFS(入库单!$G$4:$G$2503,$A579,入库单!$X$4:$X$2503,"待补价")&gt;0,"待补价",IF(COUNTIFS(入库单!$G$4:$G$2503,$A579,入库单!$X$4:$X$2503,"暂估")&gt;0,"暂估",IF($I579=0,"没有进价","正常"))))</f>
        <v/>
      </c>
      <c r="L579" s="27">
        <f>IF($A579="","",IFERROR(VLOOKUP($A579,库存台账!$A$5:$Y$1204,24,0),0))</f>
        <v/>
      </c>
      <c r="M579" s="26">
        <f>IF($A579="","",IFERROR(VLOOKUP($A579,库存台账!$A$5:$Y$1204,25,0),0))</f>
        <v/>
      </c>
      <c r="N579" s="19">
        <f>IF($A579="","",IFERROR(LOOKUP(2,1/((出库单!$D$4:$D$4003=$A579)*(出库单!$T$4:$T$4003="正常")),出库单!$C$4:$C$4003),""))</f>
        <v/>
      </c>
      <c r="O579" s="28">
        <f>IF($A579="","",IF($L579&lt;=0,"",IF($N579="",IFERROR(账期止-LOOKUP(2,1/(入库单!$G$4:$G$2503=$A579),入库单!$C$4:$C$2503),""),账期止-$N579)))</f>
        <v/>
      </c>
      <c r="P579" s="17" t="n"/>
    </row>
    <row r="580">
      <c r="A580" s="17" t="inlineStr">
        <is>
          <t>JH0577</t>
        </is>
      </c>
      <c r="B580" s="17" t="inlineStr">
        <is>
          <t>机械配件</t>
        </is>
      </c>
      <c r="C580" s="17" t="inlineStr">
        <is>
          <t>皮带胶+皮带钉1盒</t>
        </is>
      </c>
      <c r="D580" s="17" t="inlineStr">
        <is>
          <t>500皮带机</t>
        </is>
      </c>
      <c r="E580" s="17" t="inlineStr">
        <is>
          <t>组</t>
        </is>
      </c>
      <c r="F580" s="17" t="inlineStr">
        <is>
          <t>否</t>
        </is>
      </c>
      <c r="G580" s="23" t="n"/>
      <c r="H580" s="24">
        <f>IF($A580="","",IFERROR(LOOKUP(2,1/((入库单!$G$4:$G$2503=$A580)*(入库单!$Y$4:$Y$2503="正常")*(入库单!$L$4:$L$2503&gt;0)),入库单!$D$4:$D$2503),""))</f>
        <v/>
      </c>
      <c r="I580" s="25">
        <f>IF($A580="","",IFERROR(LOOKUP(2,1/((入库单!$G$4:$G$2503=$A580)*(入库单!$Y$4:$Y$2503="正常")*(入库单!$L$4:$L$2503&gt;0)),入库单!$L$4:$L$2503),0))</f>
        <v/>
      </c>
      <c r="J580" s="26">
        <f>IF($A580="","",IF($H580="A国内",ROUND($I580*倍数A*汇率,0),IF($H580="B当地",ROUND($I580*系数B,0),0)))</f>
        <v/>
      </c>
      <c r="K580" s="24">
        <f>IF($A580="","",IF(COUNTIFS(入库单!$G$4:$G$2503,$A580,入库单!$X$4:$X$2503,"待补价")&gt;0,"待补价",IF(COUNTIFS(入库单!$G$4:$G$2503,$A580,入库单!$X$4:$X$2503,"暂估")&gt;0,"暂估",IF($I580=0,"没有进价","正常"))))</f>
        <v/>
      </c>
      <c r="L580" s="27">
        <f>IF($A580="","",IFERROR(VLOOKUP($A580,库存台账!$A$5:$Y$1204,24,0),0))</f>
        <v/>
      </c>
      <c r="M580" s="26">
        <f>IF($A580="","",IFERROR(VLOOKUP($A580,库存台账!$A$5:$Y$1204,25,0),0))</f>
        <v/>
      </c>
      <c r="N580" s="19">
        <f>IF($A580="","",IFERROR(LOOKUP(2,1/((出库单!$D$4:$D$4003=$A580)*(出库单!$T$4:$T$4003="正常")),出库单!$C$4:$C$4003),""))</f>
        <v/>
      </c>
      <c r="O580" s="28">
        <f>IF($A580="","",IF($L580&lt;=0,"",IF($N580="",IFERROR(账期止-LOOKUP(2,1/(入库单!$G$4:$G$2503=$A580),入库单!$C$4:$C$2503),""),账期止-$N580)))</f>
        <v/>
      </c>
      <c r="P580" s="17" t="n"/>
    </row>
    <row r="581">
      <c r="A581" s="17" t="inlineStr">
        <is>
          <t>JH0578</t>
        </is>
      </c>
      <c r="B581" s="17" t="inlineStr">
        <is>
          <t>机械配件</t>
        </is>
      </c>
      <c r="C581" s="17" t="inlineStr">
        <is>
          <t>长托辊89x750</t>
        </is>
      </c>
      <c r="D581" s="17" t="inlineStr">
        <is>
          <t>650皮带机</t>
        </is>
      </c>
      <c r="E581" s="17" t="inlineStr">
        <is>
          <t>14</t>
        </is>
      </c>
      <c r="F581" s="17" t="inlineStr">
        <is>
          <t>否</t>
        </is>
      </c>
      <c r="G581" s="23" t="n"/>
      <c r="H581" s="24">
        <f>IF($A581="","",IFERROR(LOOKUP(2,1/((入库单!$G$4:$G$2503=$A581)*(入库单!$Y$4:$Y$2503="正常")*(入库单!$L$4:$L$2503&gt;0)),入库单!$D$4:$D$2503),""))</f>
        <v/>
      </c>
      <c r="I581" s="25">
        <f>IF($A581="","",IFERROR(LOOKUP(2,1/((入库单!$G$4:$G$2503=$A581)*(入库单!$Y$4:$Y$2503="正常")*(入库单!$L$4:$L$2503&gt;0)),入库单!$L$4:$L$2503),0))</f>
        <v/>
      </c>
      <c r="J581" s="26">
        <f>IF($A581="","",IF($H581="A国内",ROUND($I581*倍数A*汇率,0),IF($H581="B当地",ROUND($I581*系数B,0),0)))</f>
        <v/>
      </c>
      <c r="K581" s="24">
        <f>IF($A581="","",IF(COUNTIFS(入库单!$G$4:$G$2503,$A581,入库单!$X$4:$X$2503,"待补价")&gt;0,"待补价",IF(COUNTIFS(入库单!$G$4:$G$2503,$A581,入库单!$X$4:$X$2503,"暂估")&gt;0,"暂估",IF($I581=0,"没有进价","正常"))))</f>
        <v/>
      </c>
      <c r="L581" s="27">
        <f>IF($A581="","",IFERROR(VLOOKUP($A581,库存台账!$A$5:$Y$1204,24,0),0))</f>
        <v/>
      </c>
      <c r="M581" s="26">
        <f>IF($A581="","",IFERROR(VLOOKUP($A581,库存台账!$A$5:$Y$1204,25,0),0))</f>
        <v/>
      </c>
      <c r="N581" s="19">
        <f>IF($A581="","",IFERROR(LOOKUP(2,1/((出库单!$D$4:$D$4003=$A581)*(出库单!$T$4:$T$4003="正常")),出库单!$C$4:$C$4003),""))</f>
        <v/>
      </c>
      <c r="O581" s="28">
        <f>IF($A581="","",IF($L581&lt;=0,"",IF($N581="",IFERROR(账期止-LOOKUP(2,1/(入库单!$G$4:$G$2503=$A581),入库单!$C$4:$C$2503),""),账期止-$N581)))</f>
        <v/>
      </c>
      <c r="P581" s="17" t="n"/>
    </row>
    <row r="582">
      <c r="A582" s="17" t="inlineStr">
        <is>
          <t>JH0579</t>
        </is>
      </c>
      <c r="B582" s="17" t="inlineStr">
        <is>
          <t>机械配件</t>
        </is>
      </c>
      <c r="C582" s="17" t="inlineStr">
        <is>
          <t>短托辊89x240</t>
        </is>
      </c>
      <c r="D582" s="17" t="inlineStr">
        <is>
          <t>650皮带机</t>
        </is>
      </c>
      <c r="E582" s="17" t="inlineStr">
        <is>
          <t>个</t>
        </is>
      </c>
      <c r="F582" s="17" t="inlineStr">
        <is>
          <t>否</t>
        </is>
      </c>
      <c r="G582" s="23" t="n"/>
      <c r="H582" s="24">
        <f>IF($A582="","",IFERROR(LOOKUP(2,1/((入库单!$G$4:$G$2503=$A582)*(入库单!$Y$4:$Y$2503="正常")*(入库单!$L$4:$L$2503&gt;0)),入库单!$D$4:$D$2503),""))</f>
        <v/>
      </c>
      <c r="I582" s="25">
        <f>IF($A582="","",IFERROR(LOOKUP(2,1/((入库单!$G$4:$G$2503=$A582)*(入库单!$Y$4:$Y$2503="正常")*(入库单!$L$4:$L$2503&gt;0)),入库单!$L$4:$L$2503),0))</f>
        <v/>
      </c>
      <c r="J582" s="26">
        <f>IF($A582="","",IF($H582="A国内",ROUND($I582*倍数A*汇率,0),IF($H582="B当地",ROUND($I582*系数B,0),0)))</f>
        <v/>
      </c>
      <c r="K582" s="24">
        <f>IF($A582="","",IF(COUNTIFS(入库单!$G$4:$G$2503,$A582,入库单!$X$4:$X$2503,"待补价")&gt;0,"待补价",IF(COUNTIFS(入库单!$G$4:$G$2503,$A582,入库单!$X$4:$X$2503,"暂估")&gt;0,"暂估",IF($I582=0,"没有进价","正常"))))</f>
        <v/>
      </c>
      <c r="L582" s="27">
        <f>IF($A582="","",IFERROR(VLOOKUP($A582,库存台账!$A$5:$Y$1204,24,0),0))</f>
        <v/>
      </c>
      <c r="M582" s="26">
        <f>IF($A582="","",IFERROR(VLOOKUP($A582,库存台账!$A$5:$Y$1204,25,0),0))</f>
        <v/>
      </c>
      <c r="N582" s="19">
        <f>IF($A582="","",IFERROR(LOOKUP(2,1/((出库单!$D$4:$D$4003=$A582)*(出库单!$T$4:$T$4003="正常")),出库单!$C$4:$C$4003),""))</f>
        <v/>
      </c>
      <c r="O582" s="28">
        <f>IF($A582="","",IF($L582&lt;=0,"",IF($N582="",IFERROR(账期止-LOOKUP(2,1/(入库单!$G$4:$G$2503=$A582),入库单!$C$4:$C$2503),""),账期止-$N582)))</f>
        <v/>
      </c>
      <c r="P582" s="17" t="n"/>
    </row>
    <row r="583">
      <c r="A583" s="17" t="inlineStr">
        <is>
          <t>JH0580</t>
        </is>
      </c>
      <c r="B583" s="17" t="inlineStr">
        <is>
          <t>机械配件</t>
        </is>
      </c>
      <c r="C583" s="17" t="inlineStr">
        <is>
          <t>缓冲托辊89x240</t>
        </is>
      </c>
      <c r="D583" s="17" t="inlineStr">
        <is>
          <t>650皮带机</t>
        </is>
      </c>
      <c r="E583" s="17" t="inlineStr">
        <is>
          <t>个</t>
        </is>
      </c>
      <c r="F583" s="17" t="inlineStr">
        <is>
          <t>否</t>
        </is>
      </c>
      <c r="G583" s="23" t="n"/>
      <c r="H583" s="24">
        <f>IF($A583="","",IFERROR(LOOKUP(2,1/((入库单!$G$4:$G$2503=$A583)*(入库单!$Y$4:$Y$2503="正常")*(入库单!$L$4:$L$2503&gt;0)),入库单!$D$4:$D$2503),""))</f>
        <v/>
      </c>
      <c r="I583" s="25">
        <f>IF($A583="","",IFERROR(LOOKUP(2,1/((入库单!$G$4:$G$2503=$A583)*(入库单!$Y$4:$Y$2503="正常")*(入库单!$L$4:$L$2503&gt;0)),入库单!$L$4:$L$2503),0))</f>
        <v/>
      </c>
      <c r="J583" s="26">
        <f>IF($A583="","",IF($H583="A国内",ROUND($I583*倍数A*汇率,0),IF($H583="B当地",ROUND($I583*系数B,0),0)))</f>
        <v/>
      </c>
      <c r="K583" s="24">
        <f>IF($A583="","",IF(COUNTIFS(入库单!$G$4:$G$2503,$A583,入库单!$X$4:$X$2503,"待补价")&gt;0,"待补价",IF(COUNTIFS(入库单!$G$4:$G$2503,$A583,入库单!$X$4:$X$2503,"暂估")&gt;0,"暂估",IF($I583=0,"没有进价","正常"))))</f>
        <v/>
      </c>
      <c r="L583" s="27">
        <f>IF($A583="","",IFERROR(VLOOKUP($A583,库存台账!$A$5:$Y$1204,24,0),0))</f>
        <v/>
      </c>
      <c r="M583" s="26">
        <f>IF($A583="","",IFERROR(VLOOKUP($A583,库存台账!$A$5:$Y$1204,25,0),0))</f>
        <v/>
      </c>
      <c r="N583" s="19">
        <f>IF($A583="","",IFERROR(LOOKUP(2,1/((出库单!$D$4:$D$4003=$A583)*(出库单!$T$4:$T$4003="正常")),出库单!$C$4:$C$4003),""))</f>
        <v/>
      </c>
      <c r="O583" s="28">
        <f>IF($A583="","",IF($L583&lt;=0,"",IF($N583="",IFERROR(账期止-LOOKUP(2,1/(入库单!$G$4:$G$2503=$A583),入库单!$C$4:$C$2503),""),账期止-$N583)))</f>
        <v/>
      </c>
      <c r="P583" s="17" t="n"/>
    </row>
    <row r="584">
      <c r="A584" s="17" t="inlineStr">
        <is>
          <t>JH0581</t>
        </is>
      </c>
      <c r="B584" s="17" t="inlineStr">
        <is>
          <t>机械配件</t>
        </is>
      </c>
      <c r="C584" s="17" t="inlineStr">
        <is>
          <t>立辊</t>
        </is>
      </c>
      <c r="D584" s="17" t="inlineStr">
        <is>
          <t>650皮带机</t>
        </is>
      </c>
      <c r="E584" s="17" t="inlineStr">
        <is>
          <t>个</t>
        </is>
      </c>
      <c r="F584" s="17" t="inlineStr">
        <is>
          <t>否</t>
        </is>
      </c>
      <c r="G584" s="23" t="n"/>
      <c r="H584" s="24">
        <f>IF($A584="","",IFERROR(LOOKUP(2,1/((入库单!$G$4:$G$2503=$A584)*(入库单!$Y$4:$Y$2503="正常")*(入库单!$L$4:$L$2503&gt;0)),入库单!$D$4:$D$2503),""))</f>
        <v/>
      </c>
      <c r="I584" s="25">
        <f>IF($A584="","",IFERROR(LOOKUP(2,1/((入库单!$G$4:$G$2503=$A584)*(入库单!$Y$4:$Y$2503="正常")*(入库单!$L$4:$L$2503&gt;0)),入库单!$L$4:$L$2503),0))</f>
        <v/>
      </c>
      <c r="J584" s="26">
        <f>IF($A584="","",IF($H584="A国内",ROUND($I584*倍数A*汇率,0),IF($H584="B当地",ROUND($I584*系数B,0),0)))</f>
        <v/>
      </c>
      <c r="K584" s="24">
        <f>IF($A584="","",IF(COUNTIFS(入库单!$G$4:$G$2503,$A584,入库单!$X$4:$X$2503,"待补价")&gt;0,"待补价",IF(COUNTIFS(入库单!$G$4:$G$2503,$A584,入库单!$X$4:$X$2503,"暂估")&gt;0,"暂估",IF($I584=0,"没有进价","正常"))))</f>
        <v/>
      </c>
      <c r="L584" s="27">
        <f>IF($A584="","",IFERROR(VLOOKUP($A584,库存台账!$A$5:$Y$1204,24,0),0))</f>
        <v/>
      </c>
      <c r="M584" s="26">
        <f>IF($A584="","",IFERROR(VLOOKUP($A584,库存台账!$A$5:$Y$1204,25,0),0))</f>
        <v/>
      </c>
      <c r="N584" s="19">
        <f>IF($A584="","",IFERROR(LOOKUP(2,1/((出库单!$D$4:$D$4003=$A584)*(出库单!$T$4:$T$4003="正常")),出库单!$C$4:$C$4003),""))</f>
        <v/>
      </c>
      <c r="O584" s="28">
        <f>IF($A584="","",IF($L584&lt;=0,"",IF($N584="",IFERROR(账期止-LOOKUP(2,1/(入库单!$G$4:$G$2503=$A584),入库单!$C$4:$C$2503),""),账期止-$N584)))</f>
        <v/>
      </c>
      <c r="P584" s="17" t="n"/>
    </row>
    <row r="585">
      <c r="A585" s="17" t="inlineStr">
        <is>
          <t>JH0582</t>
        </is>
      </c>
      <c r="B585" s="17" t="inlineStr">
        <is>
          <t>机械配件</t>
        </is>
      </c>
      <c r="C585" s="17" t="inlineStr">
        <is>
          <t>吊耳</t>
        </is>
      </c>
      <c r="D585" s="17" t="inlineStr">
        <is>
          <t>650皮带机</t>
        </is>
      </c>
      <c r="E585" s="17" t="inlineStr">
        <is>
          <t>个</t>
        </is>
      </c>
      <c r="F585" s="17" t="inlineStr">
        <is>
          <t>否</t>
        </is>
      </c>
      <c r="G585" s="23" t="n"/>
      <c r="H585" s="24">
        <f>IF($A585="","",IFERROR(LOOKUP(2,1/((入库单!$G$4:$G$2503=$A585)*(入库单!$Y$4:$Y$2503="正常")*(入库单!$L$4:$L$2503&gt;0)),入库单!$D$4:$D$2503),""))</f>
        <v/>
      </c>
      <c r="I585" s="25">
        <f>IF($A585="","",IFERROR(LOOKUP(2,1/((入库单!$G$4:$G$2503=$A585)*(入库单!$Y$4:$Y$2503="正常")*(入库单!$L$4:$L$2503&gt;0)),入库单!$L$4:$L$2503),0))</f>
        <v/>
      </c>
      <c r="J585" s="26">
        <f>IF($A585="","",IF($H585="A国内",ROUND($I585*倍数A*汇率,0),IF($H585="B当地",ROUND($I585*系数B,0),0)))</f>
        <v/>
      </c>
      <c r="K585" s="24">
        <f>IF($A585="","",IF(COUNTIFS(入库单!$G$4:$G$2503,$A585,入库单!$X$4:$X$2503,"待补价")&gt;0,"待补价",IF(COUNTIFS(入库单!$G$4:$G$2503,$A585,入库单!$X$4:$X$2503,"暂估")&gt;0,"暂估",IF($I585=0,"没有进价","正常"))))</f>
        <v/>
      </c>
      <c r="L585" s="27">
        <f>IF($A585="","",IFERROR(VLOOKUP($A585,库存台账!$A$5:$Y$1204,24,0),0))</f>
        <v/>
      </c>
      <c r="M585" s="26">
        <f>IF($A585="","",IFERROR(VLOOKUP($A585,库存台账!$A$5:$Y$1204,25,0),0))</f>
        <v/>
      </c>
      <c r="N585" s="19">
        <f>IF($A585="","",IFERROR(LOOKUP(2,1/((出库单!$D$4:$D$4003=$A585)*(出库单!$T$4:$T$4003="正常")),出库单!$C$4:$C$4003),""))</f>
        <v/>
      </c>
      <c r="O585" s="28">
        <f>IF($A585="","",IF($L585&lt;=0,"",IF($N585="",IFERROR(账期止-LOOKUP(2,1/(入库单!$G$4:$G$2503=$A585),入库单!$C$4:$C$2503),""),账期止-$N585)))</f>
        <v/>
      </c>
      <c r="P585" s="17" t="n"/>
    </row>
    <row r="586">
      <c r="A586" s="17" t="inlineStr">
        <is>
          <t>JH0583</t>
        </is>
      </c>
      <c r="B586" s="17" t="inlineStr">
        <is>
          <t>机械配件</t>
        </is>
      </c>
      <c r="C586" s="17" t="inlineStr">
        <is>
          <t>支架</t>
        </is>
      </c>
      <c r="D586" s="17" t="inlineStr">
        <is>
          <t>650皮带机</t>
        </is>
      </c>
      <c r="E586" s="17" t="inlineStr">
        <is>
          <t>个</t>
        </is>
      </c>
      <c r="F586" s="17" t="inlineStr">
        <is>
          <t>否</t>
        </is>
      </c>
      <c r="G586" s="23" t="n"/>
      <c r="H586" s="24">
        <f>IF($A586="","",IFERROR(LOOKUP(2,1/((入库单!$G$4:$G$2503=$A586)*(入库单!$Y$4:$Y$2503="正常")*(入库单!$L$4:$L$2503&gt;0)),入库单!$D$4:$D$2503),""))</f>
        <v/>
      </c>
      <c r="I586" s="25">
        <f>IF($A586="","",IFERROR(LOOKUP(2,1/((入库单!$G$4:$G$2503=$A586)*(入库单!$Y$4:$Y$2503="正常")*(入库单!$L$4:$L$2503&gt;0)),入库单!$L$4:$L$2503),0))</f>
        <v/>
      </c>
      <c r="J586" s="26">
        <f>IF($A586="","",IF($H586="A国内",ROUND($I586*倍数A*汇率,0),IF($H586="B当地",ROUND($I586*系数B,0),0)))</f>
        <v/>
      </c>
      <c r="K586" s="24">
        <f>IF($A586="","",IF(COUNTIFS(入库单!$G$4:$G$2503,$A586,入库单!$X$4:$X$2503,"待补价")&gt;0,"待补价",IF(COUNTIFS(入库单!$G$4:$G$2503,$A586,入库单!$X$4:$X$2503,"暂估")&gt;0,"暂估",IF($I586=0,"没有进价","正常"))))</f>
        <v/>
      </c>
      <c r="L586" s="27">
        <f>IF($A586="","",IFERROR(VLOOKUP($A586,库存台账!$A$5:$Y$1204,24,0),0))</f>
        <v/>
      </c>
      <c r="M586" s="26">
        <f>IF($A586="","",IFERROR(VLOOKUP($A586,库存台账!$A$5:$Y$1204,25,0),0))</f>
        <v/>
      </c>
      <c r="N586" s="19">
        <f>IF($A586="","",IFERROR(LOOKUP(2,1/((出库单!$D$4:$D$4003=$A586)*(出库单!$T$4:$T$4003="正常")),出库单!$C$4:$C$4003),""))</f>
        <v/>
      </c>
      <c r="O586" s="28">
        <f>IF($A586="","",IF($L586&lt;=0,"",IF($N586="",IFERROR(账期止-LOOKUP(2,1/(入库单!$G$4:$G$2503=$A586),入库单!$C$4:$C$2503),""),账期止-$N586)))</f>
        <v/>
      </c>
      <c r="P586" s="17" t="n"/>
    </row>
    <row r="587">
      <c r="A587" s="17" t="inlineStr">
        <is>
          <t>JH0584</t>
        </is>
      </c>
      <c r="B587" s="17" t="inlineStr">
        <is>
          <t>机械配件</t>
        </is>
      </c>
      <c r="C587" s="17" t="inlineStr">
        <is>
          <t>上调心支架</t>
        </is>
      </c>
      <c r="D587" s="17" t="inlineStr">
        <is>
          <t>650皮带机</t>
        </is>
      </c>
      <c r="E587" s="17" t="inlineStr">
        <is>
          <t>个</t>
        </is>
      </c>
      <c r="F587" s="17" t="inlineStr">
        <is>
          <t>否</t>
        </is>
      </c>
      <c r="G587" s="23" t="n"/>
      <c r="H587" s="24">
        <f>IF($A587="","",IFERROR(LOOKUP(2,1/((入库单!$G$4:$G$2503=$A587)*(入库单!$Y$4:$Y$2503="正常")*(入库单!$L$4:$L$2503&gt;0)),入库单!$D$4:$D$2503),""))</f>
        <v/>
      </c>
      <c r="I587" s="25">
        <f>IF($A587="","",IFERROR(LOOKUP(2,1/((入库单!$G$4:$G$2503=$A587)*(入库单!$Y$4:$Y$2503="正常")*(入库单!$L$4:$L$2503&gt;0)),入库单!$L$4:$L$2503),0))</f>
        <v/>
      </c>
      <c r="J587" s="26">
        <f>IF($A587="","",IF($H587="A国内",ROUND($I587*倍数A*汇率,0),IF($H587="B当地",ROUND($I587*系数B,0),0)))</f>
        <v/>
      </c>
      <c r="K587" s="24">
        <f>IF($A587="","",IF(COUNTIFS(入库单!$G$4:$G$2503,$A587,入库单!$X$4:$X$2503,"待补价")&gt;0,"待补价",IF(COUNTIFS(入库单!$G$4:$G$2503,$A587,入库单!$X$4:$X$2503,"暂估")&gt;0,"暂估",IF($I587=0,"没有进价","正常"))))</f>
        <v/>
      </c>
      <c r="L587" s="27">
        <f>IF($A587="","",IFERROR(VLOOKUP($A587,库存台账!$A$5:$Y$1204,24,0),0))</f>
        <v/>
      </c>
      <c r="M587" s="26">
        <f>IF($A587="","",IFERROR(VLOOKUP($A587,库存台账!$A$5:$Y$1204,25,0),0))</f>
        <v/>
      </c>
      <c r="N587" s="19">
        <f>IF($A587="","",IFERROR(LOOKUP(2,1/((出库单!$D$4:$D$4003=$A587)*(出库单!$T$4:$T$4003="正常")),出库单!$C$4:$C$4003),""))</f>
        <v/>
      </c>
      <c r="O587" s="28">
        <f>IF($A587="","",IF($L587&lt;=0,"",IF($N587="",IFERROR(账期止-LOOKUP(2,1/(入库单!$G$4:$G$2503=$A587),入库单!$C$4:$C$2503),""),账期止-$N587)))</f>
        <v/>
      </c>
      <c r="P587" s="17" t="n"/>
    </row>
    <row r="588">
      <c r="A588" s="17" t="inlineStr">
        <is>
          <t>JH0585</t>
        </is>
      </c>
      <c r="B588" s="17" t="inlineStr">
        <is>
          <t>机械配件</t>
        </is>
      </c>
      <c r="C588" s="17" t="inlineStr">
        <is>
          <t>下调心支架</t>
        </is>
      </c>
      <c r="D588" s="17" t="inlineStr">
        <is>
          <t>650皮带机</t>
        </is>
      </c>
      <c r="E588" s="17" t="inlineStr">
        <is>
          <t>个</t>
        </is>
      </c>
      <c r="F588" s="17" t="inlineStr">
        <is>
          <t>否</t>
        </is>
      </c>
      <c r="G588" s="23" t="n"/>
      <c r="H588" s="24">
        <f>IF($A588="","",IFERROR(LOOKUP(2,1/((入库单!$G$4:$G$2503=$A588)*(入库单!$Y$4:$Y$2503="正常")*(入库单!$L$4:$L$2503&gt;0)),入库单!$D$4:$D$2503),""))</f>
        <v/>
      </c>
      <c r="I588" s="25">
        <f>IF($A588="","",IFERROR(LOOKUP(2,1/((入库单!$G$4:$G$2503=$A588)*(入库单!$Y$4:$Y$2503="正常")*(入库单!$L$4:$L$2503&gt;0)),入库单!$L$4:$L$2503),0))</f>
        <v/>
      </c>
      <c r="J588" s="26">
        <f>IF($A588="","",IF($H588="A国内",ROUND($I588*倍数A*汇率,0),IF($H588="B当地",ROUND($I588*系数B,0),0)))</f>
        <v/>
      </c>
      <c r="K588" s="24">
        <f>IF($A588="","",IF(COUNTIFS(入库单!$G$4:$G$2503,$A588,入库单!$X$4:$X$2503,"待补价")&gt;0,"待补价",IF(COUNTIFS(入库单!$G$4:$G$2503,$A588,入库单!$X$4:$X$2503,"暂估")&gt;0,"暂估",IF($I588=0,"没有进价","正常"))))</f>
        <v/>
      </c>
      <c r="L588" s="27">
        <f>IF($A588="","",IFERROR(VLOOKUP($A588,库存台账!$A$5:$Y$1204,24,0),0))</f>
        <v/>
      </c>
      <c r="M588" s="26">
        <f>IF($A588="","",IFERROR(VLOOKUP($A588,库存台账!$A$5:$Y$1204,25,0),0))</f>
        <v/>
      </c>
      <c r="N588" s="19">
        <f>IF($A588="","",IFERROR(LOOKUP(2,1/((出库单!$D$4:$D$4003=$A588)*(出库单!$T$4:$T$4003="正常")),出库单!$C$4:$C$4003),""))</f>
        <v/>
      </c>
      <c r="O588" s="28">
        <f>IF($A588="","",IF($L588&lt;=0,"",IF($N588="",IFERROR(账期止-LOOKUP(2,1/(入库单!$G$4:$G$2503=$A588),入库单!$C$4:$C$2503),""),账期止-$N588)))</f>
        <v/>
      </c>
      <c r="P588" s="17" t="n"/>
    </row>
    <row r="589">
      <c r="A589" s="17" t="inlineStr">
        <is>
          <t>JH0586</t>
        </is>
      </c>
      <c r="B589" s="17" t="inlineStr">
        <is>
          <t>机械配件</t>
        </is>
      </c>
      <c r="C589" s="17" t="inlineStr">
        <is>
          <t>空段清扫器</t>
        </is>
      </c>
      <c r="D589" s="17" t="inlineStr">
        <is>
          <t>650皮带机</t>
        </is>
      </c>
      <c r="E589" s="17" t="inlineStr">
        <is>
          <t>个</t>
        </is>
      </c>
      <c r="F589" s="17" t="inlineStr">
        <is>
          <t>否</t>
        </is>
      </c>
      <c r="G589" s="23" t="n"/>
      <c r="H589" s="24">
        <f>IF($A589="","",IFERROR(LOOKUP(2,1/((入库单!$G$4:$G$2503=$A589)*(入库单!$Y$4:$Y$2503="正常")*(入库单!$L$4:$L$2503&gt;0)),入库单!$D$4:$D$2503),""))</f>
        <v/>
      </c>
      <c r="I589" s="25">
        <f>IF($A589="","",IFERROR(LOOKUP(2,1/((入库单!$G$4:$G$2503=$A589)*(入库单!$Y$4:$Y$2503="正常")*(入库单!$L$4:$L$2503&gt;0)),入库单!$L$4:$L$2503),0))</f>
        <v/>
      </c>
      <c r="J589" s="26">
        <f>IF($A589="","",IF($H589="A国内",ROUND($I589*倍数A*汇率,0),IF($H589="B当地",ROUND($I589*系数B,0),0)))</f>
        <v/>
      </c>
      <c r="K589" s="24">
        <f>IF($A589="","",IF(COUNTIFS(入库单!$G$4:$G$2503,$A589,入库单!$X$4:$X$2503,"待补价")&gt;0,"待补价",IF(COUNTIFS(入库单!$G$4:$G$2503,$A589,入库单!$X$4:$X$2503,"暂估")&gt;0,"暂估",IF($I589=0,"没有进价","正常"))))</f>
        <v/>
      </c>
      <c r="L589" s="27">
        <f>IF($A589="","",IFERROR(VLOOKUP($A589,库存台账!$A$5:$Y$1204,24,0),0))</f>
        <v/>
      </c>
      <c r="M589" s="26">
        <f>IF($A589="","",IFERROR(VLOOKUP($A589,库存台账!$A$5:$Y$1204,25,0),0))</f>
        <v/>
      </c>
      <c r="N589" s="19">
        <f>IF($A589="","",IFERROR(LOOKUP(2,1/((出库单!$D$4:$D$4003=$A589)*(出库单!$T$4:$T$4003="正常")),出库单!$C$4:$C$4003),""))</f>
        <v/>
      </c>
      <c r="O589" s="28">
        <f>IF($A589="","",IF($L589&lt;=0,"",IF($N589="",IFERROR(账期止-LOOKUP(2,1/(入库单!$G$4:$G$2503=$A589),入库单!$C$4:$C$2503),""),账期止-$N589)))</f>
        <v/>
      </c>
      <c r="P589" s="17" t="n"/>
    </row>
    <row r="590">
      <c r="A590" s="17" t="inlineStr">
        <is>
          <t>JH0587</t>
        </is>
      </c>
      <c r="B590" s="17" t="inlineStr">
        <is>
          <t>机械配件</t>
        </is>
      </c>
      <c r="C590" s="17" t="inlineStr">
        <is>
          <t>头部清扫器</t>
        </is>
      </c>
      <c r="D590" s="17" t="inlineStr">
        <is>
          <t>650皮带机</t>
        </is>
      </c>
      <c r="E590" s="17" t="inlineStr">
        <is>
          <t>个</t>
        </is>
      </c>
      <c r="F590" s="17" t="inlineStr">
        <is>
          <t>否</t>
        </is>
      </c>
      <c r="G590" s="23" t="n"/>
      <c r="H590" s="24">
        <f>IF($A590="","",IFERROR(LOOKUP(2,1/((入库单!$G$4:$G$2503=$A590)*(入库单!$Y$4:$Y$2503="正常")*(入库单!$L$4:$L$2503&gt;0)),入库单!$D$4:$D$2503),""))</f>
        <v/>
      </c>
      <c r="I590" s="25">
        <f>IF($A590="","",IFERROR(LOOKUP(2,1/((入库单!$G$4:$G$2503=$A590)*(入库单!$Y$4:$Y$2503="正常")*(入库单!$L$4:$L$2503&gt;0)),入库单!$L$4:$L$2503),0))</f>
        <v/>
      </c>
      <c r="J590" s="26">
        <f>IF($A590="","",IF($H590="A国内",ROUND($I590*倍数A*汇率,0),IF($H590="B当地",ROUND($I590*系数B,0),0)))</f>
        <v/>
      </c>
      <c r="K590" s="24">
        <f>IF($A590="","",IF(COUNTIFS(入库单!$G$4:$G$2503,$A590,入库单!$X$4:$X$2503,"待补价")&gt;0,"待补价",IF(COUNTIFS(入库单!$G$4:$G$2503,$A590,入库单!$X$4:$X$2503,"暂估")&gt;0,"暂估",IF($I590=0,"没有进价","正常"))))</f>
        <v/>
      </c>
      <c r="L590" s="27">
        <f>IF($A590="","",IFERROR(VLOOKUP($A590,库存台账!$A$5:$Y$1204,24,0),0))</f>
        <v/>
      </c>
      <c r="M590" s="26">
        <f>IF($A590="","",IFERROR(VLOOKUP($A590,库存台账!$A$5:$Y$1204,25,0),0))</f>
        <v/>
      </c>
      <c r="N590" s="19">
        <f>IF($A590="","",IFERROR(LOOKUP(2,1/((出库单!$D$4:$D$4003=$A590)*(出库单!$T$4:$T$4003="正常")),出库单!$C$4:$C$4003),""))</f>
        <v/>
      </c>
      <c r="O590" s="28">
        <f>IF($A590="","",IF($L590&lt;=0,"",IF($N590="",IFERROR(账期止-LOOKUP(2,1/(入库单!$G$4:$G$2503=$A590),入库单!$C$4:$C$2503),""),账期止-$N590)))</f>
        <v/>
      </c>
      <c r="P590" s="17" t="n"/>
    </row>
    <row r="591">
      <c r="A591" s="17" t="inlineStr">
        <is>
          <t>JH0588</t>
        </is>
      </c>
      <c r="B591" s="17" t="inlineStr">
        <is>
          <t>机械配件</t>
        </is>
      </c>
      <c r="C591" s="17" t="inlineStr">
        <is>
          <t>短托辊</t>
        </is>
      </c>
      <c r="D591" s="17" t="inlineStr">
        <is>
          <t>500皮带机配件</t>
        </is>
      </c>
      <c r="E591" s="17" t="inlineStr">
        <is>
          <t>个</t>
        </is>
      </c>
      <c r="F591" s="17" t="inlineStr">
        <is>
          <t>否</t>
        </is>
      </c>
      <c r="G591" s="23" t="n"/>
      <c r="H591" s="24">
        <f>IF($A591="","",IFERROR(LOOKUP(2,1/((入库单!$G$4:$G$2503=$A591)*(入库单!$Y$4:$Y$2503="正常")*(入库单!$L$4:$L$2503&gt;0)),入库单!$D$4:$D$2503),""))</f>
        <v/>
      </c>
      <c r="I591" s="25">
        <f>IF($A591="","",IFERROR(LOOKUP(2,1/((入库单!$G$4:$G$2503=$A591)*(入库单!$Y$4:$Y$2503="正常")*(入库单!$L$4:$L$2503&gt;0)),入库单!$L$4:$L$2503),0))</f>
        <v/>
      </c>
      <c r="J591" s="26">
        <f>IF($A591="","",IF($H591="A国内",ROUND($I591*倍数A*汇率,0),IF($H591="B当地",ROUND($I591*系数B,0),0)))</f>
        <v/>
      </c>
      <c r="K591" s="24">
        <f>IF($A591="","",IF(COUNTIFS(入库单!$G$4:$G$2503,$A591,入库单!$X$4:$X$2503,"待补价")&gt;0,"待补价",IF(COUNTIFS(入库单!$G$4:$G$2503,$A591,入库单!$X$4:$X$2503,"暂估")&gt;0,"暂估",IF($I591=0,"没有进价","正常"))))</f>
        <v/>
      </c>
      <c r="L591" s="27">
        <f>IF($A591="","",IFERROR(VLOOKUP($A591,库存台账!$A$5:$Y$1204,24,0),0))</f>
        <v/>
      </c>
      <c r="M591" s="26">
        <f>IF($A591="","",IFERROR(VLOOKUP($A591,库存台账!$A$5:$Y$1204,25,0),0))</f>
        <v/>
      </c>
      <c r="N591" s="19">
        <f>IF($A591="","",IFERROR(LOOKUP(2,1/((出库单!$D$4:$D$4003=$A591)*(出库单!$T$4:$T$4003="正常")),出库单!$C$4:$C$4003),""))</f>
        <v/>
      </c>
      <c r="O591" s="28">
        <f>IF($A591="","",IF($L591&lt;=0,"",IF($N591="",IFERROR(账期止-LOOKUP(2,1/(入库单!$G$4:$G$2503=$A591),入库单!$C$4:$C$2503),""),账期止-$N591)))</f>
        <v/>
      </c>
      <c r="P591" s="17" t="n"/>
    </row>
    <row r="592">
      <c r="A592" s="17" t="inlineStr">
        <is>
          <t>JH0589</t>
        </is>
      </c>
      <c r="B592" s="17" t="inlineStr">
        <is>
          <t>机械配件</t>
        </is>
      </c>
      <c r="C592" s="17" t="inlineStr">
        <is>
          <t>长托辊</t>
        </is>
      </c>
      <c r="D592" s="17" t="inlineStr">
        <is>
          <t>500皮带机配件</t>
        </is>
      </c>
      <c r="E592" s="17" t="inlineStr">
        <is>
          <t>个</t>
        </is>
      </c>
      <c r="F592" s="17" t="inlineStr">
        <is>
          <t>否</t>
        </is>
      </c>
      <c r="G592" s="23" t="n"/>
      <c r="H592" s="24">
        <f>IF($A592="","",IFERROR(LOOKUP(2,1/((入库单!$G$4:$G$2503=$A592)*(入库单!$Y$4:$Y$2503="正常")*(入库单!$L$4:$L$2503&gt;0)),入库单!$D$4:$D$2503),""))</f>
        <v/>
      </c>
      <c r="I592" s="25">
        <f>IF($A592="","",IFERROR(LOOKUP(2,1/((入库单!$G$4:$G$2503=$A592)*(入库单!$Y$4:$Y$2503="正常")*(入库单!$L$4:$L$2503&gt;0)),入库单!$L$4:$L$2503),0))</f>
        <v/>
      </c>
      <c r="J592" s="26">
        <f>IF($A592="","",IF($H592="A国内",ROUND($I592*倍数A*汇率,0),IF($H592="B当地",ROUND($I592*系数B,0),0)))</f>
        <v/>
      </c>
      <c r="K592" s="24">
        <f>IF($A592="","",IF(COUNTIFS(入库单!$G$4:$G$2503,$A592,入库单!$X$4:$X$2503,"待补价")&gt;0,"待补价",IF(COUNTIFS(入库单!$G$4:$G$2503,$A592,入库单!$X$4:$X$2503,"暂估")&gt;0,"暂估",IF($I592=0,"没有进价","正常"))))</f>
        <v/>
      </c>
      <c r="L592" s="27">
        <f>IF($A592="","",IFERROR(VLOOKUP($A592,库存台账!$A$5:$Y$1204,24,0),0))</f>
        <v/>
      </c>
      <c r="M592" s="26">
        <f>IF($A592="","",IFERROR(VLOOKUP($A592,库存台账!$A$5:$Y$1204,25,0),0))</f>
        <v/>
      </c>
      <c r="N592" s="19">
        <f>IF($A592="","",IFERROR(LOOKUP(2,1/((出库单!$D$4:$D$4003=$A592)*(出库单!$T$4:$T$4003="正常")),出库单!$C$4:$C$4003),""))</f>
        <v/>
      </c>
      <c r="O592" s="28">
        <f>IF($A592="","",IF($L592&lt;=0,"",IF($N592="",IFERROR(账期止-LOOKUP(2,1/(入库单!$G$4:$G$2503=$A592),入库单!$C$4:$C$2503),""),账期止-$N592)))</f>
        <v/>
      </c>
      <c r="P592" s="17" t="n"/>
    </row>
    <row r="593">
      <c r="A593" s="17" t="inlineStr">
        <is>
          <t>JH0590</t>
        </is>
      </c>
      <c r="B593" s="17" t="inlineStr">
        <is>
          <t>机械配件</t>
        </is>
      </c>
      <c r="C593" s="17" t="inlineStr">
        <is>
          <t>立辊</t>
        </is>
      </c>
      <c r="D593" s="17" t="inlineStr">
        <is>
          <t>500皮带机配件</t>
        </is>
      </c>
      <c r="E593" s="17" t="inlineStr">
        <is>
          <t>个</t>
        </is>
      </c>
      <c r="F593" s="17" t="inlineStr">
        <is>
          <t>否</t>
        </is>
      </c>
      <c r="G593" s="23" t="n"/>
      <c r="H593" s="24">
        <f>IF($A593="","",IFERROR(LOOKUP(2,1/((入库单!$G$4:$G$2503=$A593)*(入库单!$Y$4:$Y$2503="正常")*(入库单!$L$4:$L$2503&gt;0)),入库单!$D$4:$D$2503),""))</f>
        <v/>
      </c>
      <c r="I593" s="25">
        <f>IF($A593="","",IFERROR(LOOKUP(2,1/((入库单!$G$4:$G$2503=$A593)*(入库单!$Y$4:$Y$2503="正常")*(入库单!$L$4:$L$2503&gt;0)),入库单!$L$4:$L$2503),0))</f>
        <v/>
      </c>
      <c r="J593" s="26">
        <f>IF($A593="","",IF($H593="A国内",ROUND($I593*倍数A*汇率,0),IF($H593="B当地",ROUND($I593*系数B,0),0)))</f>
        <v/>
      </c>
      <c r="K593" s="24">
        <f>IF($A593="","",IF(COUNTIFS(入库单!$G$4:$G$2503,$A593,入库单!$X$4:$X$2503,"待补价")&gt;0,"待补价",IF(COUNTIFS(入库单!$G$4:$G$2503,$A593,入库单!$X$4:$X$2503,"暂估")&gt;0,"暂估",IF($I593=0,"没有进价","正常"))))</f>
        <v/>
      </c>
      <c r="L593" s="27">
        <f>IF($A593="","",IFERROR(VLOOKUP($A593,库存台账!$A$5:$Y$1204,24,0),0))</f>
        <v/>
      </c>
      <c r="M593" s="26">
        <f>IF($A593="","",IFERROR(VLOOKUP($A593,库存台账!$A$5:$Y$1204,25,0),0))</f>
        <v/>
      </c>
      <c r="N593" s="19">
        <f>IF($A593="","",IFERROR(LOOKUP(2,1/((出库单!$D$4:$D$4003=$A593)*(出库单!$T$4:$T$4003="正常")),出库单!$C$4:$C$4003),""))</f>
        <v/>
      </c>
      <c r="O593" s="28">
        <f>IF($A593="","",IF($L593&lt;=0,"",IF($N593="",IFERROR(账期止-LOOKUP(2,1/(入库单!$G$4:$G$2503=$A593),入库单!$C$4:$C$2503),""),账期止-$N593)))</f>
        <v/>
      </c>
      <c r="P593" s="17" t="n"/>
    </row>
    <row r="594">
      <c r="A594" s="17" t="inlineStr">
        <is>
          <t>JH0591</t>
        </is>
      </c>
      <c r="B594" s="17" t="inlineStr">
        <is>
          <t>机械配件</t>
        </is>
      </c>
      <c r="C594" s="17" t="inlineStr">
        <is>
          <t>短托辊</t>
        </is>
      </c>
      <c r="D594" s="17" t="inlineStr">
        <is>
          <t>650皮带机配件</t>
        </is>
      </c>
      <c r="E594" s="17" t="inlineStr">
        <is>
          <t>个</t>
        </is>
      </c>
      <c r="F594" s="17" t="inlineStr">
        <is>
          <t>否</t>
        </is>
      </c>
      <c r="G594" s="23" t="n"/>
      <c r="H594" s="24">
        <f>IF($A594="","",IFERROR(LOOKUP(2,1/((入库单!$G$4:$G$2503=$A594)*(入库单!$Y$4:$Y$2503="正常")*(入库单!$L$4:$L$2503&gt;0)),入库单!$D$4:$D$2503),""))</f>
        <v/>
      </c>
      <c r="I594" s="25">
        <f>IF($A594="","",IFERROR(LOOKUP(2,1/((入库单!$G$4:$G$2503=$A594)*(入库单!$Y$4:$Y$2503="正常")*(入库单!$L$4:$L$2503&gt;0)),入库单!$L$4:$L$2503),0))</f>
        <v/>
      </c>
      <c r="J594" s="26">
        <f>IF($A594="","",IF($H594="A国内",ROUND($I594*倍数A*汇率,0),IF($H594="B当地",ROUND($I594*系数B,0),0)))</f>
        <v/>
      </c>
      <c r="K594" s="24">
        <f>IF($A594="","",IF(COUNTIFS(入库单!$G$4:$G$2503,$A594,入库单!$X$4:$X$2503,"待补价")&gt;0,"待补价",IF(COUNTIFS(入库单!$G$4:$G$2503,$A594,入库单!$X$4:$X$2503,"暂估")&gt;0,"暂估",IF($I594=0,"没有进价","正常"))))</f>
        <v/>
      </c>
      <c r="L594" s="27">
        <f>IF($A594="","",IFERROR(VLOOKUP($A594,库存台账!$A$5:$Y$1204,24,0),0))</f>
        <v/>
      </c>
      <c r="M594" s="26">
        <f>IF($A594="","",IFERROR(VLOOKUP($A594,库存台账!$A$5:$Y$1204,25,0),0))</f>
        <v/>
      </c>
      <c r="N594" s="19">
        <f>IF($A594="","",IFERROR(LOOKUP(2,1/((出库单!$D$4:$D$4003=$A594)*(出库单!$T$4:$T$4003="正常")),出库单!$C$4:$C$4003),""))</f>
        <v/>
      </c>
      <c r="O594" s="28">
        <f>IF($A594="","",IF($L594&lt;=0,"",IF($N594="",IFERROR(账期止-LOOKUP(2,1/(入库单!$G$4:$G$2503=$A594),入库单!$C$4:$C$2503),""),账期止-$N594)))</f>
        <v/>
      </c>
      <c r="P594" s="17" t="n"/>
    </row>
    <row r="595">
      <c r="A595" s="17" t="inlineStr">
        <is>
          <t>JH0592</t>
        </is>
      </c>
      <c r="B595" s="17" t="inlineStr">
        <is>
          <t>机械配件</t>
        </is>
      </c>
      <c r="C595" s="17" t="inlineStr">
        <is>
          <t>长托辊</t>
        </is>
      </c>
      <c r="D595" s="17" t="inlineStr">
        <is>
          <t>650皮带机配件</t>
        </is>
      </c>
      <c r="E595" s="17" t="inlineStr">
        <is>
          <t>个</t>
        </is>
      </c>
      <c r="F595" s="17" t="inlineStr">
        <is>
          <t>否</t>
        </is>
      </c>
      <c r="G595" s="23" t="n"/>
      <c r="H595" s="24">
        <f>IF($A595="","",IFERROR(LOOKUP(2,1/((入库单!$G$4:$G$2503=$A595)*(入库单!$Y$4:$Y$2503="正常")*(入库单!$L$4:$L$2503&gt;0)),入库单!$D$4:$D$2503),""))</f>
        <v/>
      </c>
      <c r="I595" s="25">
        <f>IF($A595="","",IFERROR(LOOKUP(2,1/((入库单!$G$4:$G$2503=$A595)*(入库单!$Y$4:$Y$2503="正常")*(入库单!$L$4:$L$2503&gt;0)),入库单!$L$4:$L$2503),0))</f>
        <v/>
      </c>
      <c r="J595" s="26">
        <f>IF($A595="","",IF($H595="A国内",ROUND($I595*倍数A*汇率,0),IF($H595="B当地",ROUND($I595*系数B,0),0)))</f>
        <v/>
      </c>
      <c r="K595" s="24">
        <f>IF($A595="","",IF(COUNTIFS(入库单!$G$4:$G$2503,$A595,入库单!$X$4:$X$2503,"待补价")&gt;0,"待补价",IF(COUNTIFS(入库单!$G$4:$G$2503,$A595,入库单!$X$4:$X$2503,"暂估")&gt;0,"暂估",IF($I595=0,"没有进价","正常"))))</f>
        <v/>
      </c>
      <c r="L595" s="27">
        <f>IF($A595="","",IFERROR(VLOOKUP($A595,库存台账!$A$5:$Y$1204,24,0),0))</f>
        <v/>
      </c>
      <c r="M595" s="26">
        <f>IF($A595="","",IFERROR(VLOOKUP($A595,库存台账!$A$5:$Y$1204,25,0),0))</f>
        <v/>
      </c>
      <c r="N595" s="19">
        <f>IF($A595="","",IFERROR(LOOKUP(2,1/((出库单!$D$4:$D$4003=$A595)*(出库单!$T$4:$T$4003="正常")),出库单!$C$4:$C$4003),""))</f>
        <v/>
      </c>
      <c r="O595" s="28">
        <f>IF($A595="","",IF($L595&lt;=0,"",IF($N595="",IFERROR(账期止-LOOKUP(2,1/(入库单!$G$4:$G$2503=$A595),入库单!$C$4:$C$2503),""),账期止-$N595)))</f>
        <v/>
      </c>
      <c r="P595" s="17" t="n"/>
    </row>
    <row r="596">
      <c r="A596" s="17" t="inlineStr">
        <is>
          <t>JH0593</t>
        </is>
      </c>
      <c r="B596" s="17" t="inlineStr">
        <is>
          <t>机械配件</t>
        </is>
      </c>
      <c r="C596" s="17" t="inlineStr">
        <is>
          <t>立辊</t>
        </is>
      </c>
      <c r="D596" s="17" t="inlineStr">
        <is>
          <t>650皮带机配件</t>
        </is>
      </c>
      <c r="E596" s="17" t="inlineStr">
        <is>
          <t>个</t>
        </is>
      </c>
      <c r="F596" s="17" t="inlineStr">
        <is>
          <t>否</t>
        </is>
      </c>
      <c r="G596" s="23" t="n"/>
      <c r="H596" s="24">
        <f>IF($A596="","",IFERROR(LOOKUP(2,1/((入库单!$G$4:$G$2503=$A596)*(入库单!$Y$4:$Y$2503="正常")*(入库单!$L$4:$L$2503&gt;0)),入库单!$D$4:$D$2503),""))</f>
        <v/>
      </c>
      <c r="I596" s="25">
        <f>IF($A596="","",IFERROR(LOOKUP(2,1/((入库单!$G$4:$G$2503=$A596)*(入库单!$Y$4:$Y$2503="正常")*(入库单!$L$4:$L$2503&gt;0)),入库单!$L$4:$L$2503),0))</f>
        <v/>
      </c>
      <c r="J596" s="26">
        <f>IF($A596="","",IF($H596="A国内",ROUND($I596*倍数A*汇率,0),IF($H596="B当地",ROUND($I596*系数B,0),0)))</f>
        <v/>
      </c>
      <c r="K596" s="24">
        <f>IF($A596="","",IF(COUNTIFS(入库单!$G$4:$G$2503,$A596,入库单!$X$4:$X$2503,"待补价")&gt;0,"待补价",IF(COUNTIFS(入库单!$G$4:$G$2503,$A596,入库单!$X$4:$X$2503,"暂估")&gt;0,"暂估",IF($I596=0,"没有进价","正常"))))</f>
        <v/>
      </c>
      <c r="L596" s="27">
        <f>IF($A596="","",IFERROR(VLOOKUP($A596,库存台账!$A$5:$Y$1204,24,0),0))</f>
        <v/>
      </c>
      <c r="M596" s="26">
        <f>IF($A596="","",IFERROR(VLOOKUP($A596,库存台账!$A$5:$Y$1204,25,0),0))</f>
        <v/>
      </c>
      <c r="N596" s="19">
        <f>IF($A596="","",IFERROR(LOOKUP(2,1/((出库单!$D$4:$D$4003=$A596)*(出库单!$T$4:$T$4003="正常")),出库单!$C$4:$C$4003),""))</f>
        <v/>
      </c>
      <c r="O596" s="28">
        <f>IF($A596="","",IF($L596&lt;=0,"",IF($N596="",IFERROR(账期止-LOOKUP(2,1/(入库单!$G$4:$G$2503=$A596),入库单!$C$4:$C$2503),""),账期止-$N596)))</f>
        <v/>
      </c>
      <c r="P596" s="17" t="n"/>
    </row>
    <row r="597">
      <c r="A597" s="17" t="inlineStr">
        <is>
          <t>JH0594</t>
        </is>
      </c>
      <c r="B597" s="17" t="inlineStr">
        <is>
          <t>机械配件</t>
        </is>
      </c>
      <c r="C597" s="17" t="inlineStr">
        <is>
          <t>护套</t>
        </is>
      </c>
      <c r="D597" s="17" t="inlineStr">
        <is>
          <t>4/3渣浆泵配件</t>
        </is>
      </c>
      <c r="E597" s="17" t="inlineStr">
        <is>
          <t>件</t>
        </is>
      </c>
      <c r="F597" s="17" t="inlineStr">
        <is>
          <t>否</t>
        </is>
      </c>
      <c r="G597" s="23" t="n"/>
      <c r="H597" s="24">
        <f>IF($A597="","",IFERROR(LOOKUP(2,1/((入库单!$G$4:$G$2503=$A597)*(入库单!$Y$4:$Y$2503="正常")*(入库单!$L$4:$L$2503&gt;0)),入库单!$D$4:$D$2503),""))</f>
        <v/>
      </c>
      <c r="I597" s="25">
        <f>IF($A597="","",IFERROR(LOOKUP(2,1/((入库单!$G$4:$G$2503=$A597)*(入库单!$Y$4:$Y$2503="正常")*(入库单!$L$4:$L$2503&gt;0)),入库单!$L$4:$L$2503),0))</f>
        <v/>
      </c>
      <c r="J597" s="26">
        <f>IF($A597="","",IF($H597="A国内",ROUND($I597*倍数A*汇率,0),IF($H597="B当地",ROUND($I597*系数B,0),0)))</f>
        <v/>
      </c>
      <c r="K597" s="24">
        <f>IF($A597="","",IF(COUNTIFS(入库单!$G$4:$G$2503,$A597,入库单!$X$4:$X$2503,"待补价")&gt;0,"待补价",IF(COUNTIFS(入库单!$G$4:$G$2503,$A597,入库单!$X$4:$X$2503,"暂估")&gt;0,"暂估",IF($I597=0,"没有进价","正常"))))</f>
        <v/>
      </c>
      <c r="L597" s="27">
        <f>IF($A597="","",IFERROR(VLOOKUP($A597,库存台账!$A$5:$Y$1204,24,0),0))</f>
        <v/>
      </c>
      <c r="M597" s="26">
        <f>IF($A597="","",IFERROR(VLOOKUP($A597,库存台账!$A$5:$Y$1204,25,0),0))</f>
        <v/>
      </c>
      <c r="N597" s="19">
        <f>IF($A597="","",IFERROR(LOOKUP(2,1/((出库单!$D$4:$D$4003=$A597)*(出库单!$T$4:$T$4003="正常")),出库单!$C$4:$C$4003),""))</f>
        <v/>
      </c>
      <c r="O597" s="28">
        <f>IF($A597="","",IF($L597&lt;=0,"",IF($N597="",IFERROR(账期止-LOOKUP(2,1/(入库单!$G$4:$G$2503=$A597),入库单!$C$4:$C$2503),""),账期止-$N597)))</f>
        <v/>
      </c>
      <c r="P597" s="17" t="n"/>
    </row>
    <row r="598">
      <c r="A598" s="17" t="inlineStr">
        <is>
          <t>JH0595</t>
        </is>
      </c>
      <c r="B598" s="17" t="inlineStr">
        <is>
          <t>机械配件</t>
        </is>
      </c>
      <c r="C598" s="17" t="inlineStr">
        <is>
          <t>叶轮</t>
        </is>
      </c>
      <c r="D598" s="17" t="inlineStr">
        <is>
          <t>4/3渣浆泵配件</t>
        </is>
      </c>
      <c r="E598" s="17" t="inlineStr">
        <is>
          <t>件</t>
        </is>
      </c>
      <c r="F598" s="17" t="inlineStr">
        <is>
          <t>否</t>
        </is>
      </c>
      <c r="G598" s="23" t="n"/>
      <c r="H598" s="24">
        <f>IF($A598="","",IFERROR(LOOKUP(2,1/((入库单!$G$4:$G$2503=$A598)*(入库单!$Y$4:$Y$2503="正常")*(入库单!$L$4:$L$2503&gt;0)),入库单!$D$4:$D$2503),""))</f>
        <v/>
      </c>
      <c r="I598" s="25">
        <f>IF($A598="","",IFERROR(LOOKUP(2,1/((入库单!$G$4:$G$2503=$A598)*(入库单!$Y$4:$Y$2503="正常")*(入库单!$L$4:$L$2503&gt;0)),入库单!$L$4:$L$2503),0))</f>
        <v/>
      </c>
      <c r="J598" s="26">
        <f>IF($A598="","",IF($H598="A国内",ROUND($I598*倍数A*汇率,0),IF($H598="B当地",ROUND($I598*系数B,0),0)))</f>
        <v/>
      </c>
      <c r="K598" s="24">
        <f>IF($A598="","",IF(COUNTIFS(入库单!$G$4:$G$2503,$A598,入库单!$X$4:$X$2503,"待补价")&gt;0,"待补价",IF(COUNTIFS(入库单!$G$4:$G$2503,$A598,入库单!$X$4:$X$2503,"暂估")&gt;0,"暂估",IF($I598=0,"没有进价","正常"))))</f>
        <v/>
      </c>
      <c r="L598" s="27">
        <f>IF($A598="","",IFERROR(VLOOKUP($A598,库存台账!$A$5:$Y$1204,24,0),0))</f>
        <v/>
      </c>
      <c r="M598" s="26">
        <f>IF($A598="","",IFERROR(VLOOKUP($A598,库存台账!$A$5:$Y$1204,25,0),0))</f>
        <v/>
      </c>
      <c r="N598" s="19">
        <f>IF($A598="","",IFERROR(LOOKUP(2,1/((出库单!$D$4:$D$4003=$A598)*(出库单!$T$4:$T$4003="正常")),出库单!$C$4:$C$4003),""))</f>
        <v/>
      </c>
      <c r="O598" s="28">
        <f>IF($A598="","",IF($L598&lt;=0,"",IF($N598="",IFERROR(账期止-LOOKUP(2,1/(入库单!$G$4:$G$2503=$A598),入库单!$C$4:$C$2503),""),账期止-$N598)))</f>
        <v/>
      </c>
      <c r="P598" s="17" t="n"/>
    </row>
    <row r="599">
      <c r="A599" s="17" t="inlineStr">
        <is>
          <t>JH0596</t>
        </is>
      </c>
      <c r="B599" s="17" t="inlineStr">
        <is>
          <t>机械配件</t>
        </is>
      </c>
      <c r="C599" s="17" t="inlineStr">
        <is>
          <t>护板</t>
        </is>
      </c>
      <c r="D599" s="17" t="inlineStr">
        <is>
          <t>4/3渣浆泵配件</t>
        </is>
      </c>
      <c r="E599" s="17" t="inlineStr">
        <is>
          <t>件</t>
        </is>
      </c>
      <c r="F599" s="17" t="inlineStr">
        <is>
          <t>否</t>
        </is>
      </c>
      <c r="G599" s="23" t="n"/>
      <c r="H599" s="24">
        <f>IF($A599="","",IFERROR(LOOKUP(2,1/((入库单!$G$4:$G$2503=$A599)*(入库单!$Y$4:$Y$2503="正常")*(入库单!$L$4:$L$2503&gt;0)),入库单!$D$4:$D$2503),""))</f>
        <v/>
      </c>
      <c r="I599" s="25">
        <f>IF($A599="","",IFERROR(LOOKUP(2,1/((入库单!$G$4:$G$2503=$A599)*(入库单!$Y$4:$Y$2503="正常")*(入库单!$L$4:$L$2503&gt;0)),入库单!$L$4:$L$2503),0))</f>
        <v/>
      </c>
      <c r="J599" s="26">
        <f>IF($A599="","",IF($H599="A国内",ROUND($I599*倍数A*汇率,0),IF($H599="B当地",ROUND($I599*系数B,0),0)))</f>
        <v/>
      </c>
      <c r="K599" s="24">
        <f>IF($A599="","",IF(COUNTIFS(入库单!$G$4:$G$2503,$A599,入库单!$X$4:$X$2503,"待补价")&gt;0,"待补价",IF(COUNTIFS(入库单!$G$4:$G$2503,$A599,入库单!$X$4:$X$2503,"暂估")&gt;0,"暂估",IF($I599=0,"没有进价","正常"))))</f>
        <v/>
      </c>
      <c r="L599" s="27">
        <f>IF($A599="","",IFERROR(VLOOKUP($A599,库存台账!$A$5:$Y$1204,24,0),0))</f>
        <v/>
      </c>
      <c r="M599" s="26">
        <f>IF($A599="","",IFERROR(VLOOKUP($A599,库存台账!$A$5:$Y$1204,25,0),0))</f>
        <v/>
      </c>
      <c r="N599" s="19">
        <f>IF($A599="","",IFERROR(LOOKUP(2,1/((出库单!$D$4:$D$4003=$A599)*(出库单!$T$4:$T$4003="正常")),出库单!$C$4:$C$4003),""))</f>
        <v/>
      </c>
      <c r="O599" s="28">
        <f>IF($A599="","",IF($L599&lt;=0,"",IF($N599="",IFERROR(账期止-LOOKUP(2,1/(入库单!$G$4:$G$2503=$A599),入库单!$C$4:$C$2503),""),账期止-$N599)))</f>
        <v/>
      </c>
      <c r="P599" s="17" t="n"/>
    </row>
    <row r="600">
      <c r="A600" s="17" t="inlineStr">
        <is>
          <t>JH0597</t>
        </is>
      </c>
      <c r="B600" s="17" t="inlineStr">
        <is>
          <t>机械配件</t>
        </is>
      </c>
      <c r="C600" s="17" t="inlineStr">
        <is>
          <t>减压盖</t>
        </is>
      </c>
      <c r="D600" s="17" t="inlineStr">
        <is>
          <t>4/3渣浆泵配件</t>
        </is>
      </c>
      <c r="E600" s="17" t="inlineStr">
        <is>
          <t>件</t>
        </is>
      </c>
      <c r="F600" s="17" t="inlineStr">
        <is>
          <t>否</t>
        </is>
      </c>
      <c r="G600" s="23" t="n"/>
      <c r="H600" s="24">
        <f>IF($A600="","",IFERROR(LOOKUP(2,1/((入库单!$G$4:$G$2503=$A600)*(入库单!$Y$4:$Y$2503="正常")*(入库单!$L$4:$L$2503&gt;0)),入库单!$D$4:$D$2503),""))</f>
        <v/>
      </c>
      <c r="I600" s="25">
        <f>IF($A600="","",IFERROR(LOOKUP(2,1/((入库单!$G$4:$G$2503=$A600)*(入库单!$Y$4:$Y$2503="正常")*(入库单!$L$4:$L$2503&gt;0)),入库单!$L$4:$L$2503),0))</f>
        <v/>
      </c>
      <c r="J600" s="26">
        <f>IF($A600="","",IF($H600="A国内",ROUND($I600*倍数A*汇率,0),IF($H600="B当地",ROUND($I600*系数B,0),0)))</f>
        <v/>
      </c>
      <c r="K600" s="24">
        <f>IF($A600="","",IF(COUNTIFS(入库单!$G$4:$G$2503,$A600,入库单!$X$4:$X$2503,"待补价")&gt;0,"待补价",IF(COUNTIFS(入库单!$G$4:$G$2503,$A600,入库单!$X$4:$X$2503,"暂估")&gt;0,"暂估",IF($I600=0,"没有进价","正常"))))</f>
        <v/>
      </c>
      <c r="L600" s="27">
        <f>IF($A600="","",IFERROR(VLOOKUP($A600,库存台账!$A$5:$Y$1204,24,0),0))</f>
        <v/>
      </c>
      <c r="M600" s="26">
        <f>IF($A600="","",IFERROR(VLOOKUP($A600,库存台账!$A$5:$Y$1204,25,0),0))</f>
        <v/>
      </c>
      <c r="N600" s="19">
        <f>IF($A600="","",IFERROR(LOOKUP(2,1/((出库单!$D$4:$D$4003=$A600)*(出库单!$T$4:$T$4003="正常")),出库单!$C$4:$C$4003),""))</f>
        <v/>
      </c>
      <c r="O600" s="28">
        <f>IF($A600="","",IF($L600&lt;=0,"",IF($N600="",IFERROR(账期止-LOOKUP(2,1/(入库单!$G$4:$G$2503=$A600),入库单!$C$4:$C$2503),""),账期止-$N600)))</f>
        <v/>
      </c>
      <c r="P600" s="17" t="n"/>
    </row>
    <row r="601">
      <c r="A601" s="17" t="inlineStr">
        <is>
          <t>JH0598</t>
        </is>
      </c>
      <c r="B601" s="17" t="inlineStr">
        <is>
          <t>机械配件</t>
        </is>
      </c>
      <c r="C601" s="17" t="inlineStr">
        <is>
          <t>副叶轮</t>
        </is>
      </c>
      <c r="D601" s="17" t="inlineStr">
        <is>
          <t>4/3渣浆泵配件</t>
        </is>
      </c>
      <c r="E601" s="17" t="inlineStr">
        <is>
          <t>件</t>
        </is>
      </c>
      <c r="F601" s="17" t="inlineStr">
        <is>
          <t>否</t>
        </is>
      </c>
      <c r="G601" s="23" t="n"/>
      <c r="H601" s="24">
        <f>IF($A601="","",IFERROR(LOOKUP(2,1/((入库单!$G$4:$G$2503=$A601)*(入库单!$Y$4:$Y$2503="正常")*(入库单!$L$4:$L$2503&gt;0)),入库单!$D$4:$D$2503),""))</f>
        <v/>
      </c>
      <c r="I601" s="25">
        <f>IF($A601="","",IFERROR(LOOKUP(2,1/((入库单!$G$4:$G$2503=$A601)*(入库单!$Y$4:$Y$2503="正常")*(入库单!$L$4:$L$2503&gt;0)),入库单!$L$4:$L$2503),0))</f>
        <v/>
      </c>
      <c r="J601" s="26">
        <f>IF($A601="","",IF($H601="A国内",ROUND($I601*倍数A*汇率,0),IF($H601="B当地",ROUND($I601*系数B,0),0)))</f>
        <v/>
      </c>
      <c r="K601" s="24">
        <f>IF($A601="","",IF(COUNTIFS(入库单!$G$4:$G$2503,$A601,入库单!$X$4:$X$2503,"待补价")&gt;0,"待补价",IF(COUNTIFS(入库单!$G$4:$G$2503,$A601,入库单!$X$4:$X$2503,"暂估")&gt;0,"暂估",IF($I601=0,"没有进价","正常"))))</f>
        <v/>
      </c>
      <c r="L601" s="27">
        <f>IF($A601="","",IFERROR(VLOOKUP($A601,库存台账!$A$5:$Y$1204,24,0),0))</f>
        <v/>
      </c>
      <c r="M601" s="26">
        <f>IF($A601="","",IFERROR(VLOOKUP($A601,库存台账!$A$5:$Y$1204,25,0),0))</f>
        <v/>
      </c>
      <c r="N601" s="19">
        <f>IF($A601="","",IFERROR(LOOKUP(2,1/((出库单!$D$4:$D$4003=$A601)*(出库单!$T$4:$T$4003="正常")),出库单!$C$4:$C$4003),""))</f>
        <v/>
      </c>
      <c r="O601" s="28">
        <f>IF($A601="","",IF($L601&lt;=0,"",IF($N601="",IFERROR(账期止-LOOKUP(2,1/(入库单!$G$4:$G$2503=$A601),入库单!$C$4:$C$2503),""),账期止-$N601)))</f>
        <v/>
      </c>
      <c r="P601" s="17" t="n"/>
    </row>
    <row r="602">
      <c r="A602" s="17" t="inlineStr">
        <is>
          <t>JH0599</t>
        </is>
      </c>
      <c r="B602" s="17" t="inlineStr">
        <is>
          <t>机械配件</t>
        </is>
      </c>
      <c r="C602" s="17" t="inlineStr">
        <is>
          <t>轴套</t>
        </is>
      </c>
      <c r="D602" s="17" t="inlineStr">
        <is>
          <t>4/3渣浆泵配件</t>
        </is>
      </c>
      <c r="E602" s="17" t="inlineStr">
        <is>
          <t>件</t>
        </is>
      </c>
      <c r="F602" s="17" t="inlineStr">
        <is>
          <t>否</t>
        </is>
      </c>
      <c r="G602" s="23" t="n"/>
      <c r="H602" s="24">
        <f>IF($A602="","",IFERROR(LOOKUP(2,1/((入库单!$G$4:$G$2503=$A602)*(入库单!$Y$4:$Y$2503="正常")*(入库单!$L$4:$L$2503&gt;0)),入库单!$D$4:$D$2503),""))</f>
        <v/>
      </c>
      <c r="I602" s="25">
        <f>IF($A602="","",IFERROR(LOOKUP(2,1/((入库单!$G$4:$G$2503=$A602)*(入库单!$Y$4:$Y$2503="正常")*(入库单!$L$4:$L$2503&gt;0)),入库单!$L$4:$L$2503),0))</f>
        <v/>
      </c>
      <c r="J602" s="26">
        <f>IF($A602="","",IF($H602="A国内",ROUND($I602*倍数A*汇率,0),IF($H602="B当地",ROUND($I602*系数B,0),0)))</f>
        <v/>
      </c>
      <c r="K602" s="24">
        <f>IF($A602="","",IF(COUNTIFS(入库单!$G$4:$G$2503,$A602,入库单!$X$4:$X$2503,"待补价")&gt;0,"待补价",IF(COUNTIFS(入库单!$G$4:$G$2503,$A602,入库单!$X$4:$X$2503,"暂估")&gt;0,"暂估",IF($I602=0,"没有进价","正常"))))</f>
        <v/>
      </c>
      <c r="L602" s="27">
        <f>IF($A602="","",IFERROR(VLOOKUP($A602,库存台账!$A$5:$Y$1204,24,0),0))</f>
        <v/>
      </c>
      <c r="M602" s="26">
        <f>IF($A602="","",IFERROR(VLOOKUP($A602,库存台账!$A$5:$Y$1204,25,0),0))</f>
        <v/>
      </c>
      <c r="N602" s="19">
        <f>IF($A602="","",IFERROR(LOOKUP(2,1/((出库单!$D$4:$D$4003=$A602)*(出库单!$T$4:$T$4003="正常")),出库单!$C$4:$C$4003),""))</f>
        <v/>
      </c>
      <c r="O602" s="28">
        <f>IF($A602="","",IF($L602&lt;=0,"",IF($N602="",IFERROR(账期止-LOOKUP(2,1/(入库单!$G$4:$G$2503=$A602),入库单!$C$4:$C$2503),""),账期止-$N602)))</f>
        <v/>
      </c>
      <c r="P602" s="17" t="n"/>
    </row>
    <row r="603">
      <c r="A603" s="17" t="inlineStr">
        <is>
          <t>JH0600</t>
        </is>
      </c>
      <c r="B603" s="17" t="inlineStr">
        <is>
          <t>机械配件</t>
        </is>
      </c>
      <c r="C603" s="17" t="inlineStr">
        <is>
          <t>主轴</t>
        </is>
      </c>
      <c r="D603" s="17" t="inlineStr">
        <is>
          <t>4/3渣浆泵配件</t>
        </is>
      </c>
      <c r="E603" s="17" t="inlineStr">
        <is>
          <t>根</t>
        </is>
      </c>
      <c r="F603" s="17" t="inlineStr">
        <is>
          <t>否</t>
        </is>
      </c>
      <c r="G603" s="23" t="n"/>
      <c r="H603" s="24">
        <f>IF($A603="","",IFERROR(LOOKUP(2,1/((入库单!$G$4:$G$2503=$A603)*(入库单!$Y$4:$Y$2503="正常")*(入库单!$L$4:$L$2503&gt;0)),入库单!$D$4:$D$2503),""))</f>
        <v/>
      </c>
      <c r="I603" s="25">
        <f>IF($A603="","",IFERROR(LOOKUP(2,1/((入库单!$G$4:$G$2503=$A603)*(入库单!$Y$4:$Y$2503="正常")*(入库单!$L$4:$L$2503&gt;0)),入库单!$L$4:$L$2503),0))</f>
        <v/>
      </c>
      <c r="J603" s="26">
        <f>IF($A603="","",IF($H603="A国内",ROUND($I603*倍数A*汇率,0),IF($H603="B当地",ROUND($I603*系数B,0),0)))</f>
        <v/>
      </c>
      <c r="K603" s="24">
        <f>IF($A603="","",IF(COUNTIFS(入库单!$G$4:$G$2503,$A603,入库单!$X$4:$X$2503,"待补价")&gt;0,"待补价",IF(COUNTIFS(入库单!$G$4:$G$2503,$A603,入库单!$X$4:$X$2503,"暂估")&gt;0,"暂估",IF($I603=0,"没有进价","正常"))))</f>
        <v/>
      </c>
      <c r="L603" s="27">
        <f>IF($A603="","",IFERROR(VLOOKUP($A603,库存台账!$A$5:$Y$1204,24,0),0))</f>
        <v/>
      </c>
      <c r="M603" s="26">
        <f>IF($A603="","",IFERROR(VLOOKUP($A603,库存台账!$A$5:$Y$1204,25,0),0))</f>
        <v/>
      </c>
      <c r="N603" s="19">
        <f>IF($A603="","",IFERROR(LOOKUP(2,1/((出库单!$D$4:$D$4003=$A603)*(出库单!$T$4:$T$4003="正常")),出库单!$C$4:$C$4003),""))</f>
        <v/>
      </c>
      <c r="O603" s="28">
        <f>IF($A603="","",IF($L603&lt;=0,"",IF($N603="",IFERROR(账期止-LOOKUP(2,1/(入库单!$G$4:$G$2503=$A603),入库单!$C$4:$C$2503),""),账期止-$N603)))</f>
        <v/>
      </c>
      <c r="P603" s="17" t="n"/>
    </row>
    <row r="604">
      <c r="A604" s="17" t="inlineStr">
        <is>
          <t>JH0601</t>
        </is>
      </c>
      <c r="B604" s="17" t="inlineStr">
        <is>
          <t>机械配件</t>
        </is>
      </c>
      <c r="C604" s="17" t="inlineStr">
        <is>
          <t>轴承522/529</t>
        </is>
      </c>
      <c r="D604" s="17" t="inlineStr">
        <is>
          <t>4/3渣浆泵配件</t>
        </is>
      </c>
      <c r="E604" s="17" t="inlineStr">
        <is>
          <t>套</t>
        </is>
      </c>
      <c r="F604" s="17" t="inlineStr">
        <is>
          <t>否</t>
        </is>
      </c>
      <c r="G604" s="23" t="n"/>
      <c r="H604" s="24">
        <f>IF($A604="","",IFERROR(LOOKUP(2,1/((入库单!$G$4:$G$2503=$A604)*(入库单!$Y$4:$Y$2503="正常")*(入库单!$L$4:$L$2503&gt;0)),入库单!$D$4:$D$2503),""))</f>
        <v/>
      </c>
      <c r="I604" s="25">
        <f>IF($A604="","",IFERROR(LOOKUP(2,1/((入库单!$G$4:$G$2503=$A604)*(入库单!$Y$4:$Y$2503="正常")*(入库单!$L$4:$L$2503&gt;0)),入库单!$L$4:$L$2503),0))</f>
        <v/>
      </c>
      <c r="J604" s="26">
        <f>IF($A604="","",IF($H604="A国内",ROUND($I604*倍数A*汇率,0),IF($H604="B当地",ROUND($I604*系数B,0),0)))</f>
        <v/>
      </c>
      <c r="K604" s="24">
        <f>IF($A604="","",IF(COUNTIFS(入库单!$G$4:$G$2503,$A604,入库单!$X$4:$X$2503,"待补价")&gt;0,"待补价",IF(COUNTIFS(入库单!$G$4:$G$2503,$A604,入库单!$X$4:$X$2503,"暂估")&gt;0,"暂估",IF($I604=0,"没有进价","正常"))))</f>
        <v/>
      </c>
      <c r="L604" s="27">
        <f>IF($A604="","",IFERROR(VLOOKUP($A604,库存台账!$A$5:$Y$1204,24,0),0))</f>
        <v/>
      </c>
      <c r="M604" s="26">
        <f>IF($A604="","",IFERROR(VLOOKUP($A604,库存台账!$A$5:$Y$1204,25,0),0))</f>
        <v/>
      </c>
      <c r="N604" s="19">
        <f>IF($A604="","",IFERROR(LOOKUP(2,1/((出库单!$D$4:$D$4003=$A604)*(出库单!$T$4:$T$4003="正常")),出库单!$C$4:$C$4003),""))</f>
        <v/>
      </c>
      <c r="O604" s="28">
        <f>IF($A604="","",IF($L604&lt;=0,"",IF($N604="",IFERROR(账期止-LOOKUP(2,1/(入库单!$G$4:$G$2503=$A604),入库单!$C$4:$C$2503),""),账期止-$N604)))</f>
        <v/>
      </c>
      <c r="P604" s="17" t="n"/>
    </row>
    <row r="605">
      <c r="A605" s="17" t="inlineStr">
        <is>
          <t>JH0602</t>
        </is>
      </c>
      <c r="B605" s="17" t="inlineStr">
        <is>
          <t>机械配件</t>
        </is>
      </c>
      <c r="C605" s="17" t="inlineStr">
        <is>
          <t>密封圈</t>
        </is>
      </c>
      <c r="D605" s="17" t="inlineStr">
        <is>
          <t>4/3渣浆泵配件</t>
        </is>
      </c>
      <c r="E605" s="17" t="inlineStr">
        <is>
          <t>套</t>
        </is>
      </c>
      <c r="F605" s="17" t="inlineStr">
        <is>
          <t>否</t>
        </is>
      </c>
      <c r="G605" s="23" t="n"/>
      <c r="H605" s="24">
        <f>IF($A605="","",IFERROR(LOOKUP(2,1/((入库单!$G$4:$G$2503=$A605)*(入库单!$Y$4:$Y$2503="正常")*(入库单!$L$4:$L$2503&gt;0)),入库单!$D$4:$D$2503),""))</f>
        <v/>
      </c>
      <c r="I605" s="25">
        <f>IF($A605="","",IFERROR(LOOKUP(2,1/((入库单!$G$4:$G$2503=$A605)*(入库单!$Y$4:$Y$2503="正常")*(入库单!$L$4:$L$2503&gt;0)),入库单!$L$4:$L$2503),0))</f>
        <v/>
      </c>
      <c r="J605" s="26">
        <f>IF($A605="","",IF($H605="A国内",ROUND($I605*倍数A*汇率,0),IF($H605="B当地",ROUND($I605*系数B,0),0)))</f>
        <v/>
      </c>
      <c r="K605" s="24">
        <f>IF($A605="","",IF(COUNTIFS(入库单!$G$4:$G$2503,$A605,入库单!$X$4:$X$2503,"待补价")&gt;0,"待补价",IF(COUNTIFS(入库单!$G$4:$G$2503,$A605,入库单!$X$4:$X$2503,"暂估")&gt;0,"暂估",IF($I605=0,"没有进价","正常"))))</f>
        <v/>
      </c>
      <c r="L605" s="27">
        <f>IF($A605="","",IFERROR(VLOOKUP($A605,库存台账!$A$5:$Y$1204,24,0),0))</f>
        <v/>
      </c>
      <c r="M605" s="26">
        <f>IF($A605="","",IFERROR(VLOOKUP($A605,库存台账!$A$5:$Y$1204,25,0),0))</f>
        <v/>
      </c>
      <c r="N605" s="19">
        <f>IF($A605="","",IFERROR(LOOKUP(2,1/((出库单!$D$4:$D$4003=$A605)*(出库单!$T$4:$T$4003="正常")),出库单!$C$4:$C$4003),""))</f>
        <v/>
      </c>
      <c r="O605" s="28">
        <f>IF($A605="","",IF($L605&lt;=0,"",IF($N605="",IFERROR(账期止-LOOKUP(2,1/(入库单!$G$4:$G$2503=$A605),入库单!$C$4:$C$2503),""),账期止-$N605)))</f>
        <v/>
      </c>
      <c r="P605" s="17" t="n"/>
    </row>
    <row r="606">
      <c r="A606" s="17" t="inlineStr">
        <is>
          <t>JH0603</t>
        </is>
      </c>
      <c r="B606" s="17" t="inlineStr">
        <is>
          <t>机械配件</t>
        </is>
      </c>
      <c r="C606" s="17" t="inlineStr">
        <is>
          <t>三角带B1956</t>
        </is>
      </c>
      <c r="D606" s="17" t="inlineStr">
        <is>
          <t>4/3渣浆泵配件</t>
        </is>
      </c>
      <c r="E606" s="17" t="inlineStr">
        <is>
          <t>条</t>
        </is>
      </c>
      <c r="F606" s="17" t="inlineStr">
        <is>
          <t>否</t>
        </is>
      </c>
      <c r="G606" s="23" t="n"/>
      <c r="H606" s="24">
        <f>IF($A606="","",IFERROR(LOOKUP(2,1/((入库单!$G$4:$G$2503=$A606)*(入库单!$Y$4:$Y$2503="正常")*(入库单!$L$4:$L$2503&gt;0)),入库单!$D$4:$D$2503),""))</f>
        <v/>
      </c>
      <c r="I606" s="25">
        <f>IF($A606="","",IFERROR(LOOKUP(2,1/((入库单!$G$4:$G$2503=$A606)*(入库单!$Y$4:$Y$2503="正常")*(入库单!$L$4:$L$2503&gt;0)),入库单!$L$4:$L$2503),0))</f>
        <v/>
      </c>
      <c r="J606" s="26">
        <f>IF($A606="","",IF($H606="A国内",ROUND($I606*倍数A*汇率,0),IF($H606="B当地",ROUND($I606*系数B,0),0)))</f>
        <v/>
      </c>
      <c r="K606" s="24">
        <f>IF($A606="","",IF(COUNTIFS(入库单!$G$4:$G$2503,$A606,入库单!$X$4:$X$2503,"待补价")&gt;0,"待补价",IF(COUNTIFS(入库单!$G$4:$G$2503,$A606,入库单!$X$4:$X$2503,"暂估")&gt;0,"暂估",IF($I606=0,"没有进价","正常"))))</f>
        <v/>
      </c>
      <c r="L606" s="27">
        <f>IF($A606="","",IFERROR(VLOOKUP($A606,库存台账!$A$5:$Y$1204,24,0),0))</f>
        <v/>
      </c>
      <c r="M606" s="26">
        <f>IF($A606="","",IFERROR(VLOOKUP($A606,库存台账!$A$5:$Y$1204,25,0),0))</f>
        <v/>
      </c>
      <c r="N606" s="19">
        <f>IF($A606="","",IFERROR(LOOKUP(2,1/((出库单!$D$4:$D$4003=$A606)*(出库单!$T$4:$T$4003="正常")),出库单!$C$4:$C$4003),""))</f>
        <v/>
      </c>
      <c r="O606" s="28">
        <f>IF($A606="","",IF($L606&lt;=0,"",IF($N606="",IFERROR(账期止-LOOKUP(2,1/(入库单!$G$4:$G$2503=$A606),入库单!$C$4:$C$2503),""),账期止-$N606)))</f>
        <v/>
      </c>
      <c r="P606" s="17" t="n"/>
    </row>
    <row r="607">
      <c r="A607" s="17" t="inlineStr">
        <is>
          <t>JH0604</t>
        </is>
      </c>
      <c r="B607" s="17" t="inlineStr">
        <is>
          <t>机械配件</t>
        </is>
      </c>
      <c r="C607" s="17" t="inlineStr">
        <is>
          <t>护套</t>
        </is>
      </c>
      <c r="D607" s="17" t="inlineStr">
        <is>
          <t>1.5/1B-AH泵配件</t>
        </is>
      </c>
      <c r="E607" s="17" t="inlineStr">
        <is>
          <t>件</t>
        </is>
      </c>
      <c r="F607" s="17" t="inlineStr">
        <is>
          <t>否</t>
        </is>
      </c>
      <c r="G607" s="23" t="n"/>
      <c r="H607" s="24">
        <f>IF($A607="","",IFERROR(LOOKUP(2,1/((入库单!$G$4:$G$2503=$A607)*(入库单!$Y$4:$Y$2503="正常")*(入库单!$L$4:$L$2503&gt;0)),入库单!$D$4:$D$2503),""))</f>
        <v/>
      </c>
      <c r="I607" s="25">
        <f>IF($A607="","",IFERROR(LOOKUP(2,1/((入库单!$G$4:$G$2503=$A607)*(入库单!$Y$4:$Y$2503="正常")*(入库单!$L$4:$L$2503&gt;0)),入库单!$L$4:$L$2503),0))</f>
        <v/>
      </c>
      <c r="J607" s="26">
        <f>IF($A607="","",IF($H607="A国内",ROUND($I607*倍数A*汇率,0),IF($H607="B当地",ROUND($I607*系数B,0),0)))</f>
        <v/>
      </c>
      <c r="K607" s="24">
        <f>IF($A607="","",IF(COUNTIFS(入库单!$G$4:$G$2503,$A607,入库单!$X$4:$X$2503,"待补价")&gt;0,"待补价",IF(COUNTIFS(入库单!$G$4:$G$2503,$A607,入库单!$X$4:$X$2503,"暂估")&gt;0,"暂估",IF($I607=0,"没有进价","正常"))))</f>
        <v/>
      </c>
      <c r="L607" s="27">
        <f>IF($A607="","",IFERROR(VLOOKUP($A607,库存台账!$A$5:$Y$1204,24,0),0))</f>
        <v/>
      </c>
      <c r="M607" s="26">
        <f>IF($A607="","",IFERROR(VLOOKUP($A607,库存台账!$A$5:$Y$1204,25,0),0))</f>
        <v/>
      </c>
      <c r="N607" s="19">
        <f>IF($A607="","",IFERROR(LOOKUP(2,1/((出库单!$D$4:$D$4003=$A607)*(出库单!$T$4:$T$4003="正常")),出库单!$C$4:$C$4003),""))</f>
        <v/>
      </c>
      <c r="O607" s="28">
        <f>IF($A607="","",IF($L607&lt;=0,"",IF($N607="",IFERROR(账期止-LOOKUP(2,1/(入库单!$G$4:$G$2503=$A607),入库单!$C$4:$C$2503),""),账期止-$N607)))</f>
        <v/>
      </c>
      <c r="P607" s="17" t="n"/>
    </row>
    <row r="608">
      <c r="A608" s="17" t="inlineStr">
        <is>
          <t>JH0605</t>
        </is>
      </c>
      <c r="B608" s="17" t="inlineStr">
        <is>
          <t>机械配件</t>
        </is>
      </c>
      <c r="C608" s="17" t="inlineStr">
        <is>
          <t>叶轮</t>
        </is>
      </c>
      <c r="D608" s="17" t="inlineStr">
        <is>
          <t>1.5/1B-AH泵配件</t>
        </is>
      </c>
      <c r="E608" s="17" t="inlineStr">
        <is>
          <t>件</t>
        </is>
      </c>
      <c r="F608" s="17" t="inlineStr">
        <is>
          <t>否</t>
        </is>
      </c>
      <c r="G608" s="23" t="n"/>
      <c r="H608" s="24">
        <f>IF($A608="","",IFERROR(LOOKUP(2,1/((入库单!$G$4:$G$2503=$A608)*(入库单!$Y$4:$Y$2503="正常")*(入库单!$L$4:$L$2503&gt;0)),入库单!$D$4:$D$2503),""))</f>
        <v/>
      </c>
      <c r="I608" s="25">
        <f>IF($A608="","",IFERROR(LOOKUP(2,1/((入库单!$G$4:$G$2503=$A608)*(入库单!$Y$4:$Y$2503="正常")*(入库单!$L$4:$L$2503&gt;0)),入库单!$L$4:$L$2503),0))</f>
        <v/>
      </c>
      <c r="J608" s="26">
        <f>IF($A608="","",IF($H608="A国内",ROUND($I608*倍数A*汇率,0),IF($H608="B当地",ROUND($I608*系数B,0),0)))</f>
        <v/>
      </c>
      <c r="K608" s="24">
        <f>IF($A608="","",IF(COUNTIFS(入库单!$G$4:$G$2503,$A608,入库单!$X$4:$X$2503,"待补价")&gt;0,"待补价",IF(COUNTIFS(入库单!$G$4:$G$2503,$A608,入库单!$X$4:$X$2503,"暂估")&gt;0,"暂估",IF($I608=0,"没有进价","正常"))))</f>
        <v/>
      </c>
      <c r="L608" s="27">
        <f>IF($A608="","",IFERROR(VLOOKUP($A608,库存台账!$A$5:$Y$1204,24,0),0))</f>
        <v/>
      </c>
      <c r="M608" s="26">
        <f>IF($A608="","",IFERROR(VLOOKUP($A608,库存台账!$A$5:$Y$1204,25,0),0))</f>
        <v/>
      </c>
      <c r="N608" s="19">
        <f>IF($A608="","",IFERROR(LOOKUP(2,1/((出库单!$D$4:$D$4003=$A608)*(出库单!$T$4:$T$4003="正常")),出库单!$C$4:$C$4003),""))</f>
        <v/>
      </c>
      <c r="O608" s="28">
        <f>IF($A608="","",IF($L608&lt;=0,"",IF($N608="",IFERROR(账期止-LOOKUP(2,1/(入库单!$G$4:$G$2503=$A608),入库单!$C$4:$C$2503),""),账期止-$N608)))</f>
        <v/>
      </c>
      <c r="P608" s="17" t="n"/>
    </row>
    <row r="609">
      <c r="A609" s="17" t="inlineStr">
        <is>
          <t>JH0606</t>
        </is>
      </c>
      <c r="B609" s="17" t="inlineStr">
        <is>
          <t>机械配件</t>
        </is>
      </c>
      <c r="C609" s="17" t="inlineStr">
        <is>
          <t>护板</t>
        </is>
      </c>
      <c r="D609" s="17" t="inlineStr">
        <is>
          <t>1.5/1B-AH泵配件</t>
        </is>
      </c>
      <c r="E609" s="17" t="inlineStr">
        <is>
          <t>件</t>
        </is>
      </c>
      <c r="F609" s="17" t="inlineStr">
        <is>
          <t>否</t>
        </is>
      </c>
      <c r="G609" s="23" t="n"/>
      <c r="H609" s="24">
        <f>IF($A609="","",IFERROR(LOOKUP(2,1/((入库单!$G$4:$G$2503=$A609)*(入库单!$Y$4:$Y$2503="正常")*(入库单!$L$4:$L$2503&gt;0)),入库单!$D$4:$D$2503),""))</f>
        <v/>
      </c>
      <c r="I609" s="25">
        <f>IF($A609="","",IFERROR(LOOKUP(2,1/((入库单!$G$4:$G$2503=$A609)*(入库单!$Y$4:$Y$2503="正常")*(入库单!$L$4:$L$2503&gt;0)),入库单!$L$4:$L$2503),0))</f>
        <v/>
      </c>
      <c r="J609" s="26">
        <f>IF($A609="","",IF($H609="A国内",ROUND($I609*倍数A*汇率,0),IF($H609="B当地",ROUND($I609*系数B,0),0)))</f>
        <v/>
      </c>
      <c r="K609" s="24">
        <f>IF($A609="","",IF(COUNTIFS(入库单!$G$4:$G$2503,$A609,入库单!$X$4:$X$2503,"待补价")&gt;0,"待补价",IF(COUNTIFS(入库单!$G$4:$G$2503,$A609,入库单!$X$4:$X$2503,"暂估")&gt;0,"暂估",IF($I609=0,"没有进价","正常"))))</f>
        <v/>
      </c>
      <c r="L609" s="27">
        <f>IF($A609="","",IFERROR(VLOOKUP($A609,库存台账!$A$5:$Y$1204,24,0),0))</f>
        <v/>
      </c>
      <c r="M609" s="26">
        <f>IF($A609="","",IFERROR(VLOOKUP($A609,库存台账!$A$5:$Y$1204,25,0),0))</f>
        <v/>
      </c>
      <c r="N609" s="19">
        <f>IF($A609="","",IFERROR(LOOKUP(2,1/((出库单!$D$4:$D$4003=$A609)*(出库单!$T$4:$T$4003="正常")),出库单!$C$4:$C$4003),""))</f>
        <v/>
      </c>
      <c r="O609" s="28">
        <f>IF($A609="","",IF($L609&lt;=0,"",IF($N609="",IFERROR(账期止-LOOKUP(2,1/(入库单!$G$4:$G$2503=$A609),入库单!$C$4:$C$2503),""),账期止-$N609)))</f>
        <v/>
      </c>
      <c r="P609" s="17" t="n"/>
    </row>
    <row r="610">
      <c r="A610" s="17" t="inlineStr">
        <is>
          <t>JH0607</t>
        </is>
      </c>
      <c r="B610" s="17" t="inlineStr">
        <is>
          <t>机械配件</t>
        </is>
      </c>
      <c r="C610" s="17" t="inlineStr">
        <is>
          <t>减压盖</t>
        </is>
      </c>
      <c r="D610" s="17" t="inlineStr">
        <is>
          <t>1.5/1B-AH泵配件</t>
        </is>
      </c>
      <c r="E610" s="17" t="inlineStr">
        <is>
          <t>件</t>
        </is>
      </c>
      <c r="F610" s="17" t="inlineStr">
        <is>
          <t>否</t>
        </is>
      </c>
      <c r="G610" s="23" t="n"/>
      <c r="H610" s="24">
        <f>IF($A610="","",IFERROR(LOOKUP(2,1/((入库单!$G$4:$G$2503=$A610)*(入库单!$Y$4:$Y$2503="正常")*(入库单!$L$4:$L$2503&gt;0)),入库单!$D$4:$D$2503),""))</f>
        <v/>
      </c>
      <c r="I610" s="25">
        <f>IF($A610="","",IFERROR(LOOKUP(2,1/((入库单!$G$4:$G$2503=$A610)*(入库单!$Y$4:$Y$2503="正常")*(入库单!$L$4:$L$2503&gt;0)),入库单!$L$4:$L$2503),0))</f>
        <v/>
      </c>
      <c r="J610" s="26">
        <f>IF($A610="","",IF($H610="A国内",ROUND($I610*倍数A*汇率,0),IF($H610="B当地",ROUND($I610*系数B,0),0)))</f>
        <v/>
      </c>
      <c r="K610" s="24">
        <f>IF($A610="","",IF(COUNTIFS(入库单!$G$4:$G$2503,$A610,入库单!$X$4:$X$2503,"待补价")&gt;0,"待补价",IF(COUNTIFS(入库单!$G$4:$G$2503,$A610,入库单!$X$4:$X$2503,"暂估")&gt;0,"暂估",IF($I610=0,"没有进价","正常"))))</f>
        <v/>
      </c>
      <c r="L610" s="27">
        <f>IF($A610="","",IFERROR(VLOOKUP($A610,库存台账!$A$5:$Y$1204,24,0),0))</f>
        <v/>
      </c>
      <c r="M610" s="26">
        <f>IF($A610="","",IFERROR(VLOOKUP($A610,库存台账!$A$5:$Y$1204,25,0),0))</f>
        <v/>
      </c>
      <c r="N610" s="19">
        <f>IF($A610="","",IFERROR(LOOKUP(2,1/((出库单!$D$4:$D$4003=$A610)*(出库单!$T$4:$T$4003="正常")),出库单!$C$4:$C$4003),""))</f>
        <v/>
      </c>
      <c r="O610" s="28">
        <f>IF($A610="","",IF($L610&lt;=0,"",IF($N610="",IFERROR(账期止-LOOKUP(2,1/(入库单!$G$4:$G$2503=$A610),入库单!$C$4:$C$2503),""),账期止-$N610)))</f>
        <v/>
      </c>
      <c r="P610" s="17" t="n"/>
    </row>
    <row r="611">
      <c r="A611" s="17" t="inlineStr">
        <is>
          <t>JH0608</t>
        </is>
      </c>
      <c r="B611" s="17" t="inlineStr">
        <is>
          <t>机械配件</t>
        </is>
      </c>
      <c r="C611" s="17" t="inlineStr">
        <is>
          <t>副叶轮</t>
        </is>
      </c>
      <c r="D611" s="17" t="inlineStr">
        <is>
          <t>1.5/1B-AH泵配件</t>
        </is>
      </c>
      <c r="E611" s="17" t="inlineStr">
        <is>
          <t>件</t>
        </is>
      </c>
      <c r="F611" s="17" t="inlineStr">
        <is>
          <t>否</t>
        </is>
      </c>
      <c r="G611" s="23" t="n"/>
      <c r="H611" s="24">
        <f>IF($A611="","",IFERROR(LOOKUP(2,1/((入库单!$G$4:$G$2503=$A611)*(入库单!$Y$4:$Y$2503="正常")*(入库单!$L$4:$L$2503&gt;0)),入库单!$D$4:$D$2503),""))</f>
        <v/>
      </c>
      <c r="I611" s="25">
        <f>IF($A611="","",IFERROR(LOOKUP(2,1/((入库单!$G$4:$G$2503=$A611)*(入库单!$Y$4:$Y$2503="正常")*(入库单!$L$4:$L$2503&gt;0)),入库单!$L$4:$L$2503),0))</f>
        <v/>
      </c>
      <c r="J611" s="26">
        <f>IF($A611="","",IF($H611="A国内",ROUND($I611*倍数A*汇率,0),IF($H611="B当地",ROUND($I611*系数B,0),0)))</f>
        <v/>
      </c>
      <c r="K611" s="24">
        <f>IF($A611="","",IF(COUNTIFS(入库单!$G$4:$G$2503,$A611,入库单!$X$4:$X$2503,"待补价")&gt;0,"待补价",IF(COUNTIFS(入库单!$G$4:$G$2503,$A611,入库单!$X$4:$X$2503,"暂估")&gt;0,"暂估",IF($I611=0,"没有进价","正常"))))</f>
        <v/>
      </c>
      <c r="L611" s="27">
        <f>IF($A611="","",IFERROR(VLOOKUP($A611,库存台账!$A$5:$Y$1204,24,0),0))</f>
        <v/>
      </c>
      <c r="M611" s="26">
        <f>IF($A611="","",IFERROR(VLOOKUP($A611,库存台账!$A$5:$Y$1204,25,0),0))</f>
        <v/>
      </c>
      <c r="N611" s="19">
        <f>IF($A611="","",IFERROR(LOOKUP(2,1/((出库单!$D$4:$D$4003=$A611)*(出库单!$T$4:$T$4003="正常")),出库单!$C$4:$C$4003),""))</f>
        <v/>
      </c>
      <c r="O611" s="28">
        <f>IF($A611="","",IF($L611&lt;=0,"",IF($N611="",IFERROR(账期止-LOOKUP(2,1/(入库单!$G$4:$G$2503=$A611),入库单!$C$4:$C$2503),""),账期止-$N611)))</f>
        <v/>
      </c>
      <c r="P611" s="17" t="n"/>
    </row>
    <row r="612">
      <c r="A612" s="17" t="inlineStr">
        <is>
          <t>JH0609</t>
        </is>
      </c>
      <c r="B612" s="17" t="inlineStr">
        <is>
          <t>机械配件</t>
        </is>
      </c>
      <c r="C612" s="17" t="inlineStr">
        <is>
          <t>轴承3490/3420</t>
        </is>
      </c>
      <c r="D612" s="17" t="inlineStr">
        <is>
          <t>1.5/1B-AH泵配件</t>
        </is>
      </c>
      <c r="E612" s="17" t="inlineStr">
        <is>
          <t>套</t>
        </is>
      </c>
      <c r="F612" s="17" t="inlineStr">
        <is>
          <t>否</t>
        </is>
      </c>
      <c r="G612" s="23" t="n"/>
      <c r="H612" s="24">
        <f>IF($A612="","",IFERROR(LOOKUP(2,1/((入库单!$G$4:$G$2503=$A612)*(入库单!$Y$4:$Y$2503="正常")*(入库单!$L$4:$L$2503&gt;0)),入库单!$D$4:$D$2503),""))</f>
        <v/>
      </c>
      <c r="I612" s="25">
        <f>IF($A612="","",IFERROR(LOOKUP(2,1/((入库单!$G$4:$G$2503=$A612)*(入库单!$Y$4:$Y$2503="正常")*(入库单!$L$4:$L$2503&gt;0)),入库单!$L$4:$L$2503),0))</f>
        <v/>
      </c>
      <c r="J612" s="26">
        <f>IF($A612="","",IF($H612="A国内",ROUND($I612*倍数A*汇率,0),IF($H612="B当地",ROUND($I612*系数B,0),0)))</f>
        <v/>
      </c>
      <c r="K612" s="24">
        <f>IF($A612="","",IF(COUNTIFS(入库单!$G$4:$G$2503,$A612,入库单!$X$4:$X$2503,"待补价")&gt;0,"待补价",IF(COUNTIFS(入库单!$G$4:$G$2503,$A612,入库单!$X$4:$X$2503,"暂估")&gt;0,"暂估",IF($I612=0,"没有进价","正常"))))</f>
        <v/>
      </c>
      <c r="L612" s="27">
        <f>IF($A612="","",IFERROR(VLOOKUP($A612,库存台账!$A$5:$Y$1204,24,0),0))</f>
        <v/>
      </c>
      <c r="M612" s="26">
        <f>IF($A612="","",IFERROR(VLOOKUP($A612,库存台账!$A$5:$Y$1204,25,0),0))</f>
        <v/>
      </c>
      <c r="N612" s="19">
        <f>IF($A612="","",IFERROR(LOOKUP(2,1/((出库单!$D$4:$D$4003=$A612)*(出库单!$T$4:$T$4003="正常")),出库单!$C$4:$C$4003),""))</f>
        <v/>
      </c>
      <c r="O612" s="28">
        <f>IF($A612="","",IF($L612&lt;=0,"",IF($N612="",IFERROR(账期止-LOOKUP(2,1/(入库单!$G$4:$G$2503=$A612),入库单!$C$4:$C$2503),""),账期止-$N612)))</f>
        <v/>
      </c>
      <c r="P612" s="17" t="n"/>
    </row>
    <row r="613">
      <c r="A613" s="17" t="inlineStr">
        <is>
          <t>JH0610</t>
        </is>
      </c>
      <c r="B613" s="17" t="inlineStr">
        <is>
          <t>机械配件</t>
        </is>
      </c>
      <c r="C613" s="17" t="inlineStr">
        <is>
          <t>密封圈</t>
        </is>
      </c>
      <c r="D613" s="17" t="inlineStr">
        <is>
          <t>1.5/1B-AH泵配件</t>
        </is>
      </c>
      <c r="E613" s="17" t="inlineStr">
        <is>
          <t>套</t>
        </is>
      </c>
      <c r="F613" s="17" t="inlineStr">
        <is>
          <t>否</t>
        </is>
      </c>
      <c r="G613" s="23" t="n"/>
      <c r="H613" s="24">
        <f>IF($A613="","",IFERROR(LOOKUP(2,1/((入库单!$G$4:$G$2503=$A613)*(入库单!$Y$4:$Y$2503="正常")*(入库单!$L$4:$L$2503&gt;0)),入库单!$D$4:$D$2503),""))</f>
        <v/>
      </c>
      <c r="I613" s="25">
        <f>IF($A613="","",IFERROR(LOOKUP(2,1/((入库单!$G$4:$G$2503=$A613)*(入库单!$Y$4:$Y$2503="正常")*(入库单!$L$4:$L$2503&gt;0)),入库单!$L$4:$L$2503),0))</f>
        <v/>
      </c>
      <c r="J613" s="26">
        <f>IF($A613="","",IF($H613="A国内",ROUND($I613*倍数A*汇率,0),IF($H613="B当地",ROUND($I613*系数B,0),0)))</f>
        <v/>
      </c>
      <c r="K613" s="24">
        <f>IF($A613="","",IF(COUNTIFS(入库单!$G$4:$G$2503,$A613,入库单!$X$4:$X$2503,"待补价")&gt;0,"待补价",IF(COUNTIFS(入库单!$G$4:$G$2503,$A613,入库单!$X$4:$X$2503,"暂估")&gt;0,"暂估",IF($I613=0,"没有进价","正常"))))</f>
        <v/>
      </c>
      <c r="L613" s="27">
        <f>IF($A613="","",IFERROR(VLOOKUP($A613,库存台账!$A$5:$Y$1204,24,0),0))</f>
        <v/>
      </c>
      <c r="M613" s="26">
        <f>IF($A613="","",IFERROR(VLOOKUP($A613,库存台账!$A$5:$Y$1204,25,0),0))</f>
        <v/>
      </c>
      <c r="N613" s="19">
        <f>IF($A613="","",IFERROR(LOOKUP(2,1/((出库单!$D$4:$D$4003=$A613)*(出库单!$T$4:$T$4003="正常")),出库单!$C$4:$C$4003),""))</f>
        <v/>
      </c>
      <c r="O613" s="28">
        <f>IF($A613="","",IF($L613&lt;=0,"",IF($N613="",IFERROR(账期止-LOOKUP(2,1/(入库单!$G$4:$G$2503=$A613),入库单!$C$4:$C$2503),""),账期止-$N613)))</f>
        <v/>
      </c>
      <c r="P613" s="17" t="n"/>
    </row>
    <row r="614">
      <c r="A614" s="17" t="inlineStr">
        <is>
          <t>JH0611</t>
        </is>
      </c>
      <c r="B614" s="17" t="inlineStr">
        <is>
          <t>机械配件</t>
        </is>
      </c>
      <c r="C614" s="17" t="inlineStr">
        <is>
          <t>三角带B1750</t>
        </is>
      </c>
      <c r="D614" s="17" t="inlineStr">
        <is>
          <t>1.5/1B-AH泵配件</t>
        </is>
      </c>
      <c r="E614" s="17" t="inlineStr">
        <is>
          <t>条</t>
        </is>
      </c>
      <c r="F614" s="17" t="inlineStr">
        <is>
          <t>否</t>
        </is>
      </c>
      <c r="G614" s="23" t="n"/>
      <c r="H614" s="24">
        <f>IF($A614="","",IFERROR(LOOKUP(2,1/((入库单!$G$4:$G$2503=$A614)*(入库单!$Y$4:$Y$2503="正常")*(入库单!$L$4:$L$2503&gt;0)),入库单!$D$4:$D$2503),""))</f>
        <v/>
      </c>
      <c r="I614" s="25">
        <f>IF($A614="","",IFERROR(LOOKUP(2,1/((入库单!$G$4:$G$2503=$A614)*(入库单!$Y$4:$Y$2503="正常")*(入库单!$L$4:$L$2503&gt;0)),入库单!$L$4:$L$2503),0))</f>
        <v/>
      </c>
      <c r="J614" s="26">
        <f>IF($A614="","",IF($H614="A国内",ROUND($I614*倍数A*汇率,0),IF($H614="B当地",ROUND($I614*系数B,0),0)))</f>
        <v/>
      </c>
      <c r="K614" s="24">
        <f>IF($A614="","",IF(COUNTIFS(入库单!$G$4:$G$2503,$A614,入库单!$X$4:$X$2503,"待补价")&gt;0,"待补价",IF(COUNTIFS(入库单!$G$4:$G$2503,$A614,入库单!$X$4:$X$2503,"暂估")&gt;0,"暂估",IF($I614=0,"没有进价","正常"))))</f>
        <v/>
      </c>
      <c r="L614" s="27">
        <f>IF($A614="","",IFERROR(VLOOKUP($A614,库存台账!$A$5:$Y$1204,24,0),0))</f>
        <v/>
      </c>
      <c r="M614" s="26">
        <f>IF($A614="","",IFERROR(VLOOKUP($A614,库存台账!$A$5:$Y$1204,25,0),0))</f>
        <v/>
      </c>
      <c r="N614" s="19">
        <f>IF($A614="","",IFERROR(LOOKUP(2,1/((出库单!$D$4:$D$4003=$A614)*(出库单!$T$4:$T$4003="正常")),出库单!$C$4:$C$4003),""))</f>
        <v/>
      </c>
      <c r="O614" s="28">
        <f>IF($A614="","",IF($L614&lt;=0,"",IF($N614="",IFERROR(账期止-LOOKUP(2,1/(入库单!$G$4:$G$2503=$A614),入库单!$C$4:$C$2503),""),账期止-$N614)))</f>
        <v/>
      </c>
      <c r="P614" s="17" t="n"/>
    </row>
    <row r="615">
      <c r="A615" s="17" t="inlineStr">
        <is>
          <t>JH0612</t>
        </is>
      </c>
      <c r="B615" s="17" t="inlineStr">
        <is>
          <t>机械设备</t>
        </is>
      </c>
      <c r="C615" s="17" t="inlineStr">
        <is>
          <t>三角带C2540</t>
        </is>
      </c>
      <c r="D615" s="17" t="inlineStr">
        <is>
          <t>SF2.8浮选机</t>
        </is>
      </c>
      <c r="E615" s="17" t="inlineStr">
        <is>
          <t>条</t>
        </is>
      </c>
      <c r="F615" s="17" t="inlineStr">
        <is>
          <t>否</t>
        </is>
      </c>
      <c r="G615" s="23" t="n"/>
      <c r="H615" s="24">
        <f>IF($A615="","",IFERROR(LOOKUP(2,1/((入库单!$G$4:$G$2503=$A615)*(入库单!$Y$4:$Y$2503="正常")*(入库单!$L$4:$L$2503&gt;0)),入库单!$D$4:$D$2503),""))</f>
        <v/>
      </c>
      <c r="I615" s="25">
        <f>IF($A615="","",IFERROR(LOOKUP(2,1/((入库单!$G$4:$G$2503=$A615)*(入库单!$Y$4:$Y$2503="正常")*(入库单!$L$4:$L$2503&gt;0)),入库单!$L$4:$L$2503),0))</f>
        <v/>
      </c>
      <c r="J615" s="26">
        <f>IF($A615="","",IF($H615="A国内",ROUND($I615*倍数A*汇率,0),IF($H615="B当地",ROUND($I615*系数B,0),0)))</f>
        <v/>
      </c>
      <c r="K615" s="24">
        <f>IF($A615="","",IF(COUNTIFS(入库单!$G$4:$G$2503,$A615,入库单!$X$4:$X$2503,"待补价")&gt;0,"待补价",IF(COUNTIFS(入库单!$G$4:$G$2503,$A615,入库单!$X$4:$X$2503,"暂估")&gt;0,"暂估",IF($I615=0,"没有进价","正常"))))</f>
        <v/>
      </c>
      <c r="L615" s="27">
        <f>IF($A615="","",IFERROR(VLOOKUP($A615,库存台账!$A$5:$Y$1204,24,0),0))</f>
        <v/>
      </c>
      <c r="M615" s="26">
        <f>IF($A615="","",IFERROR(VLOOKUP($A615,库存台账!$A$5:$Y$1204,25,0),0))</f>
        <v/>
      </c>
      <c r="N615" s="19">
        <f>IF($A615="","",IFERROR(LOOKUP(2,1/((出库单!$D$4:$D$4003=$A615)*(出库单!$T$4:$T$4003="正常")),出库单!$C$4:$C$4003),""))</f>
        <v/>
      </c>
      <c r="O615" s="28">
        <f>IF($A615="","",IF($L615&lt;=0,"",IF($N615="",IFERROR(账期止-LOOKUP(2,1/(入库单!$G$4:$G$2503=$A615),入库单!$C$4:$C$2503),""),账期止-$N615)))</f>
        <v/>
      </c>
      <c r="P615" s="17" t="n"/>
    </row>
    <row r="616">
      <c r="A616" s="17" t="inlineStr">
        <is>
          <t>JH0613</t>
        </is>
      </c>
      <c r="B616" s="17" t="inlineStr">
        <is>
          <t>机械设备</t>
        </is>
      </c>
      <c r="C616" s="17" t="inlineStr">
        <is>
          <t>轴承7517</t>
        </is>
      </c>
      <c r="D616" s="17" t="inlineStr">
        <is>
          <t>SF2.8浮选机</t>
        </is>
      </c>
      <c r="E616" s="17" t="inlineStr">
        <is>
          <t>套</t>
        </is>
      </c>
      <c r="F616" s="17" t="inlineStr">
        <is>
          <t>否</t>
        </is>
      </c>
      <c r="G616" s="23" t="n"/>
      <c r="H616" s="24">
        <f>IF($A616="","",IFERROR(LOOKUP(2,1/((入库单!$G$4:$G$2503=$A616)*(入库单!$Y$4:$Y$2503="正常")*(入库单!$L$4:$L$2503&gt;0)),入库单!$D$4:$D$2503),""))</f>
        <v/>
      </c>
      <c r="I616" s="25">
        <f>IF($A616="","",IFERROR(LOOKUP(2,1/((入库单!$G$4:$G$2503=$A616)*(入库单!$Y$4:$Y$2503="正常")*(入库单!$L$4:$L$2503&gt;0)),入库单!$L$4:$L$2503),0))</f>
        <v/>
      </c>
      <c r="J616" s="26">
        <f>IF($A616="","",IF($H616="A国内",ROUND($I616*倍数A*汇率,0),IF($H616="B当地",ROUND($I616*系数B,0),0)))</f>
        <v/>
      </c>
      <c r="K616" s="24">
        <f>IF($A616="","",IF(COUNTIFS(入库单!$G$4:$G$2503,$A616,入库单!$X$4:$X$2503,"待补价")&gt;0,"待补价",IF(COUNTIFS(入库单!$G$4:$G$2503,$A616,入库单!$X$4:$X$2503,"暂估")&gt;0,"暂估",IF($I616=0,"没有进价","正常"))))</f>
        <v/>
      </c>
      <c r="L616" s="27">
        <f>IF($A616="","",IFERROR(VLOOKUP($A616,库存台账!$A$5:$Y$1204,24,0),0))</f>
        <v/>
      </c>
      <c r="M616" s="26">
        <f>IF($A616="","",IFERROR(VLOOKUP($A616,库存台账!$A$5:$Y$1204,25,0),0))</f>
        <v/>
      </c>
      <c r="N616" s="19">
        <f>IF($A616="","",IFERROR(LOOKUP(2,1/((出库单!$D$4:$D$4003=$A616)*(出库单!$T$4:$T$4003="正常")),出库单!$C$4:$C$4003),""))</f>
        <v/>
      </c>
      <c r="O616" s="28">
        <f>IF($A616="","",IF($L616&lt;=0,"",IF($N616="",IFERROR(账期止-LOOKUP(2,1/(入库单!$G$4:$G$2503=$A616),入库单!$C$4:$C$2503),""),账期止-$N616)))</f>
        <v/>
      </c>
      <c r="P616" s="17" t="n"/>
    </row>
    <row r="617">
      <c r="A617" s="17" t="inlineStr">
        <is>
          <t>JH0614</t>
        </is>
      </c>
      <c r="B617" s="17" t="inlineStr">
        <is>
          <t>机械设备</t>
        </is>
      </c>
      <c r="C617" s="17" t="inlineStr">
        <is>
          <t>轴承瓦座P210</t>
        </is>
      </c>
      <c r="D617" s="17" t="inlineStr">
        <is>
          <t>SF2.8浮选机</t>
        </is>
      </c>
      <c r="E617" s="17" t="inlineStr">
        <is>
          <t>套</t>
        </is>
      </c>
      <c r="F617" s="17" t="inlineStr">
        <is>
          <t>否</t>
        </is>
      </c>
      <c r="G617" s="23" t="n"/>
      <c r="H617" s="24">
        <f>IF($A617="","",IFERROR(LOOKUP(2,1/((入库单!$G$4:$G$2503=$A617)*(入库单!$Y$4:$Y$2503="正常")*(入库单!$L$4:$L$2503&gt;0)),入库单!$D$4:$D$2503),""))</f>
        <v/>
      </c>
      <c r="I617" s="25">
        <f>IF($A617="","",IFERROR(LOOKUP(2,1/((入库单!$G$4:$G$2503=$A617)*(入库单!$Y$4:$Y$2503="正常")*(入库单!$L$4:$L$2503&gt;0)),入库单!$L$4:$L$2503),0))</f>
        <v/>
      </c>
      <c r="J617" s="26">
        <f>IF($A617="","",IF($H617="A国内",ROUND($I617*倍数A*汇率,0),IF($H617="B当地",ROUND($I617*系数B,0),0)))</f>
        <v/>
      </c>
      <c r="K617" s="24">
        <f>IF($A617="","",IF(COUNTIFS(入库单!$G$4:$G$2503,$A617,入库单!$X$4:$X$2503,"待补价")&gt;0,"待补价",IF(COUNTIFS(入库单!$G$4:$G$2503,$A617,入库单!$X$4:$X$2503,"暂估")&gt;0,"暂估",IF($I617=0,"没有进价","正常"))))</f>
        <v/>
      </c>
      <c r="L617" s="27">
        <f>IF($A617="","",IFERROR(VLOOKUP($A617,库存台账!$A$5:$Y$1204,24,0),0))</f>
        <v/>
      </c>
      <c r="M617" s="26">
        <f>IF($A617="","",IFERROR(VLOOKUP($A617,库存台账!$A$5:$Y$1204,25,0),0))</f>
        <v/>
      </c>
      <c r="N617" s="19">
        <f>IF($A617="","",IFERROR(LOOKUP(2,1/((出库单!$D$4:$D$4003=$A617)*(出库单!$T$4:$T$4003="正常")),出库单!$C$4:$C$4003),""))</f>
        <v/>
      </c>
      <c r="O617" s="28">
        <f>IF($A617="","",IF($L617&lt;=0,"",IF($N617="",IFERROR(账期止-LOOKUP(2,1/(入库单!$G$4:$G$2503=$A617),入库单!$C$4:$C$2503),""),账期止-$N617)))</f>
        <v/>
      </c>
      <c r="P617" s="17" t="n"/>
    </row>
    <row r="618">
      <c r="A618" s="17" t="inlineStr">
        <is>
          <t>JH0615</t>
        </is>
      </c>
      <c r="B618" s="17" t="inlineStr">
        <is>
          <t>机械设备</t>
        </is>
      </c>
      <c r="C618" s="17" t="inlineStr">
        <is>
          <t>轴帽</t>
        </is>
      </c>
      <c r="D618" s="17" t="inlineStr">
        <is>
          <t>SF2.8浮选机</t>
        </is>
      </c>
      <c r="E618" s="17" t="inlineStr">
        <is>
          <t>个</t>
        </is>
      </c>
      <c r="F618" s="17" t="inlineStr">
        <is>
          <t>否</t>
        </is>
      </c>
      <c r="G618" s="23" t="n"/>
      <c r="H618" s="24">
        <f>IF($A618="","",IFERROR(LOOKUP(2,1/((入库单!$G$4:$G$2503=$A618)*(入库单!$Y$4:$Y$2503="正常")*(入库单!$L$4:$L$2503&gt;0)),入库单!$D$4:$D$2503),""))</f>
        <v/>
      </c>
      <c r="I618" s="25">
        <f>IF($A618="","",IFERROR(LOOKUP(2,1/((入库单!$G$4:$G$2503=$A618)*(入库单!$Y$4:$Y$2503="正常")*(入库单!$L$4:$L$2503&gt;0)),入库单!$L$4:$L$2503),0))</f>
        <v/>
      </c>
      <c r="J618" s="26">
        <f>IF($A618="","",IF($H618="A国内",ROUND($I618*倍数A*汇率,0),IF($H618="B当地",ROUND($I618*系数B,0),0)))</f>
        <v/>
      </c>
      <c r="K618" s="24">
        <f>IF($A618="","",IF(COUNTIFS(入库单!$G$4:$G$2503,$A618,入库单!$X$4:$X$2503,"待补价")&gt;0,"待补价",IF(COUNTIFS(入库单!$G$4:$G$2503,$A618,入库单!$X$4:$X$2503,"暂估")&gt;0,"暂估",IF($I618=0,"没有进价","正常"))))</f>
        <v/>
      </c>
      <c r="L618" s="27">
        <f>IF($A618="","",IFERROR(VLOOKUP($A618,库存台账!$A$5:$Y$1204,24,0),0))</f>
        <v/>
      </c>
      <c r="M618" s="26">
        <f>IF($A618="","",IFERROR(VLOOKUP($A618,库存台账!$A$5:$Y$1204,25,0),0))</f>
        <v/>
      </c>
      <c r="N618" s="19">
        <f>IF($A618="","",IFERROR(LOOKUP(2,1/((出库单!$D$4:$D$4003=$A618)*(出库单!$T$4:$T$4003="正常")),出库单!$C$4:$C$4003),""))</f>
        <v/>
      </c>
      <c r="O618" s="28">
        <f>IF($A618="","",IF($L618&lt;=0,"",IF($N618="",IFERROR(账期止-LOOKUP(2,1/(入库单!$G$4:$G$2503=$A618),入库单!$C$4:$C$2503),""),账期止-$N618)))</f>
        <v/>
      </c>
      <c r="P618" s="17" t="n"/>
    </row>
    <row r="619">
      <c r="A619" s="17" t="inlineStr">
        <is>
          <t>JH0616</t>
        </is>
      </c>
      <c r="B619" s="17" t="inlineStr">
        <is>
          <t>机械设备</t>
        </is>
      </c>
      <c r="C619" s="17" t="inlineStr">
        <is>
          <t>尼龙棒20*50</t>
        </is>
      </c>
      <c r="D619" s="17" t="inlineStr">
        <is>
          <t>980*1240槽式给矿机</t>
        </is>
      </c>
      <c r="E619" s="17" t="inlineStr">
        <is>
          <t>个</t>
        </is>
      </c>
      <c r="F619" s="17" t="inlineStr">
        <is>
          <t>否</t>
        </is>
      </c>
      <c r="G619" s="23" t="n"/>
      <c r="H619" s="24">
        <f>IF($A619="","",IFERROR(LOOKUP(2,1/((入库单!$G$4:$G$2503=$A619)*(入库单!$Y$4:$Y$2503="正常")*(入库单!$L$4:$L$2503&gt;0)),入库单!$D$4:$D$2503),""))</f>
        <v/>
      </c>
      <c r="I619" s="25">
        <f>IF($A619="","",IFERROR(LOOKUP(2,1/((入库单!$G$4:$G$2503=$A619)*(入库单!$Y$4:$Y$2503="正常")*(入库单!$L$4:$L$2503&gt;0)),入库单!$L$4:$L$2503),0))</f>
        <v/>
      </c>
      <c r="J619" s="26">
        <f>IF($A619="","",IF($H619="A国内",ROUND($I619*倍数A*汇率,0),IF($H619="B当地",ROUND($I619*系数B,0),0)))</f>
        <v/>
      </c>
      <c r="K619" s="24">
        <f>IF($A619="","",IF(COUNTIFS(入库单!$G$4:$G$2503,$A619,入库单!$X$4:$X$2503,"待补价")&gt;0,"待补价",IF(COUNTIFS(入库单!$G$4:$G$2503,$A619,入库单!$X$4:$X$2503,"暂估")&gt;0,"暂估",IF($I619=0,"没有进价","正常"))))</f>
        <v/>
      </c>
      <c r="L619" s="27">
        <f>IF($A619="","",IFERROR(VLOOKUP($A619,库存台账!$A$5:$Y$1204,24,0),0))</f>
        <v/>
      </c>
      <c r="M619" s="26">
        <f>IF($A619="","",IFERROR(VLOOKUP($A619,库存台账!$A$5:$Y$1204,25,0),0))</f>
        <v/>
      </c>
      <c r="N619" s="19">
        <f>IF($A619="","",IFERROR(LOOKUP(2,1/((出库单!$D$4:$D$4003=$A619)*(出库单!$T$4:$T$4003="正常")),出库单!$C$4:$C$4003),""))</f>
        <v/>
      </c>
      <c r="O619" s="28">
        <f>IF($A619="","",IF($L619&lt;=0,"",IF($N619="",IFERROR(账期止-LOOKUP(2,1/(入库单!$G$4:$G$2503=$A619),入库单!$C$4:$C$2503),""),账期止-$N619)))</f>
        <v/>
      </c>
      <c r="P619" s="17" t="n"/>
    </row>
    <row r="620">
      <c r="A620" s="17" t="inlineStr">
        <is>
          <t>JH0617</t>
        </is>
      </c>
      <c r="B620" s="17" t="inlineStr">
        <is>
          <t>机械设备</t>
        </is>
      </c>
      <c r="C620" s="17" t="inlineStr">
        <is>
          <t>活动牙板</t>
        </is>
      </c>
      <c r="D620" s="17" t="inlineStr">
        <is>
          <t>PE400*600破碎机配件</t>
        </is>
      </c>
      <c r="E620" s="17" t="inlineStr">
        <is>
          <t>件</t>
        </is>
      </c>
      <c r="F620" s="17" t="inlineStr">
        <is>
          <t>否</t>
        </is>
      </c>
      <c r="G620" s="23" t="n"/>
      <c r="H620" s="24">
        <f>IF($A620="","",IFERROR(LOOKUP(2,1/((入库单!$G$4:$G$2503=$A620)*(入库单!$Y$4:$Y$2503="正常")*(入库单!$L$4:$L$2503&gt;0)),入库单!$D$4:$D$2503),""))</f>
        <v/>
      </c>
      <c r="I620" s="25">
        <f>IF($A620="","",IFERROR(LOOKUP(2,1/((入库单!$G$4:$G$2503=$A620)*(入库单!$Y$4:$Y$2503="正常")*(入库单!$L$4:$L$2503&gt;0)),入库单!$L$4:$L$2503),0))</f>
        <v/>
      </c>
      <c r="J620" s="26">
        <f>IF($A620="","",IF($H620="A国内",ROUND($I620*倍数A*汇率,0),IF($H620="B当地",ROUND($I620*系数B,0),0)))</f>
        <v/>
      </c>
      <c r="K620" s="24">
        <f>IF($A620="","",IF(COUNTIFS(入库单!$G$4:$G$2503,$A620,入库单!$X$4:$X$2503,"待补价")&gt;0,"待补价",IF(COUNTIFS(入库单!$G$4:$G$2503,$A620,入库单!$X$4:$X$2503,"暂估")&gt;0,"暂估",IF($I620=0,"没有进价","正常"))))</f>
        <v/>
      </c>
      <c r="L620" s="27">
        <f>IF($A620="","",IFERROR(VLOOKUP($A620,库存台账!$A$5:$Y$1204,24,0),0))</f>
        <v/>
      </c>
      <c r="M620" s="26">
        <f>IF($A620="","",IFERROR(VLOOKUP($A620,库存台账!$A$5:$Y$1204,25,0),0))</f>
        <v/>
      </c>
      <c r="N620" s="19">
        <f>IF($A620="","",IFERROR(LOOKUP(2,1/((出库单!$D$4:$D$4003=$A620)*(出库单!$T$4:$T$4003="正常")),出库单!$C$4:$C$4003),""))</f>
        <v/>
      </c>
      <c r="O620" s="28">
        <f>IF($A620="","",IF($L620&lt;=0,"",IF($N620="",IFERROR(账期止-LOOKUP(2,1/(入库单!$G$4:$G$2503=$A620),入库单!$C$4:$C$2503),""),账期止-$N620)))</f>
        <v/>
      </c>
      <c r="P620" s="17" t="n"/>
    </row>
    <row r="621">
      <c r="A621" s="17" t="inlineStr">
        <is>
          <t>JH0618</t>
        </is>
      </c>
      <c r="B621" s="17" t="inlineStr">
        <is>
          <t>机械设备</t>
        </is>
      </c>
      <c r="C621" s="17" t="inlineStr">
        <is>
          <t>压块</t>
        </is>
      </c>
      <c r="D621" s="17" t="inlineStr">
        <is>
          <t>PE400*600破碎机配件</t>
        </is>
      </c>
      <c r="E621" s="17" t="inlineStr">
        <is>
          <t>件</t>
        </is>
      </c>
      <c r="F621" s="17" t="inlineStr">
        <is>
          <t>否</t>
        </is>
      </c>
      <c r="G621" s="23" t="n"/>
      <c r="H621" s="24">
        <f>IF($A621="","",IFERROR(LOOKUP(2,1/((入库单!$G$4:$G$2503=$A621)*(入库单!$Y$4:$Y$2503="正常")*(入库单!$L$4:$L$2503&gt;0)),入库单!$D$4:$D$2503),""))</f>
        <v/>
      </c>
      <c r="I621" s="25">
        <f>IF($A621="","",IFERROR(LOOKUP(2,1/((入库单!$G$4:$G$2503=$A621)*(入库单!$Y$4:$Y$2503="正常")*(入库单!$L$4:$L$2503&gt;0)),入库单!$L$4:$L$2503),0))</f>
        <v/>
      </c>
      <c r="J621" s="26">
        <f>IF($A621="","",IF($H621="A国内",ROUND($I621*倍数A*汇率,0),IF($H621="B当地",ROUND($I621*系数B,0),0)))</f>
        <v/>
      </c>
      <c r="K621" s="24">
        <f>IF($A621="","",IF(COUNTIFS(入库单!$G$4:$G$2503,$A621,入库单!$X$4:$X$2503,"待补价")&gt;0,"待补价",IF(COUNTIFS(入库单!$G$4:$G$2503,$A621,入库单!$X$4:$X$2503,"暂估")&gt;0,"暂估",IF($I621=0,"没有进价","正常"))))</f>
        <v/>
      </c>
      <c r="L621" s="27">
        <f>IF($A621="","",IFERROR(VLOOKUP($A621,库存台账!$A$5:$Y$1204,24,0),0))</f>
        <v/>
      </c>
      <c r="M621" s="26">
        <f>IF($A621="","",IFERROR(VLOOKUP($A621,库存台账!$A$5:$Y$1204,25,0),0))</f>
        <v/>
      </c>
      <c r="N621" s="19">
        <f>IF($A621="","",IFERROR(LOOKUP(2,1/((出库单!$D$4:$D$4003=$A621)*(出库单!$T$4:$T$4003="正常")),出库单!$C$4:$C$4003),""))</f>
        <v/>
      </c>
      <c r="O621" s="28">
        <f>IF($A621="","",IF($L621&lt;=0,"",IF($N621="",IFERROR(账期止-LOOKUP(2,1/(入库单!$G$4:$G$2503=$A621),入库单!$C$4:$C$2503),""),账期止-$N621)))</f>
        <v/>
      </c>
      <c r="P621" s="17" t="n"/>
    </row>
    <row r="622">
      <c r="A622" s="17" t="inlineStr">
        <is>
          <t>JH0619</t>
        </is>
      </c>
      <c r="B622" s="17" t="inlineStr">
        <is>
          <t>机械设备</t>
        </is>
      </c>
      <c r="C622" s="17" t="inlineStr">
        <is>
          <t>肘板</t>
        </is>
      </c>
      <c r="D622" s="17" t="inlineStr">
        <is>
          <t>PE400*600破碎机配件</t>
        </is>
      </c>
      <c r="E622" s="17" t="inlineStr">
        <is>
          <t>件</t>
        </is>
      </c>
      <c r="F622" s="17" t="inlineStr">
        <is>
          <t>否</t>
        </is>
      </c>
      <c r="G622" s="23" t="n"/>
      <c r="H622" s="24">
        <f>IF($A622="","",IFERROR(LOOKUP(2,1/((入库单!$G$4:$G$2503=$A622)*(入库单!$Y$4:$Y$2503="正常")*(入库单!$L$4:$L$2503&gt;0)),入库单!$D$4:$D$2503),""))</f>
        <v/>
      </c>
      <c r="I622" s="25">
        <f>IF($A622="","",IFERROR(LOOKUP(2,1/((入库单!$G$4:$G$2503=$A622)*(入库单!$Y$4:$Y$2503="正常")*(入库单!$L$4:$L$2503&gt;0)),入库单!$L$4:$L$2503),0))</f>
        <v/>
      </c>
      <c r="J622" s="26">
        <f>IF($A622="","",IF($H622="A国内",ROUND($I622*倍数A*汇率,0),IF($H622="B当地",ROUND($I622*系数B,0),0)))</f>
        <v/>
      </c>
      <c r="K622" s="24">
        <f>IF($A622="","",IF(COUNTIFS(入库单!$G$4:$G$2503,$A622,入库单!$X$4:$X$2503,"待补价")&gt;0,"待补价",IF(COUNTIFS(入库单!$G$4:$G$2503,$A622,入库单!$X$4:$X$2503,"暂估")&gt;0,"暂估",IF($I622=0,"没有进价","正常"))))</f>
        <v/>
      </c>
      <c r="L622" s="27">
        <f>IF($A622="","",IFERROR(VLOOKUP($A622,库存台账!$A$5:$Y$1204,24,0),0))</f>
        <v/>
      </c>
      <c r="M622" s="26">
        <f>IF($A622="","",IFERROR(VLOOKUP($A622,库存台账!$A$5:$Y$1204,25,0),0))</f>
        <v/>
      </c>
      <c r="N622" s="19">
        <f>IF($A622="","",IFERROR(LOOKUP(2,1/((出库单!$D$4:$D$4003=$A622)*(出库单!$T$4:$T$4003="正常")),出库单!$C$4:$C$4003),""))</f>
        <v/>
      </c>
      <c r="O622" s="28">
        <f>IF($A622="","",IF($L622&lt;=0,"",IF($N622="",IFERROR(账期止-LOOKUP(2,1/(入库单!$G$4:$G$2503=$A622),入库单!$C$4:$C$2503),""),账期止-$N622)))</f>
        <v/>
      </c>
      <c r="P622" s="17" t="n"/>
    </row>
    <row r="623">
      <c r="A623" s="17" t="inlineStr">
        <is>
          <t>JH0620</t>
        </is>
      </c>
      <c r="B623" s="17" t="inlineStr">
        <is>
          <t>机械设备</t>
        </is>
      </c>
      <c r="C623" s="17" t="inlineStr">
        <is>
          <t>肘板垫</t>
        </is>
      </c>
      <c r="D623" s="17" t="inlineStr">
        <is>
          <t>PE400*600破碎机配件</t>
        </is>
      </c>
      <c r="E623" s="17" t="inlineStr">
        <is>
          <t>付</t>
        </is>
      </c>
      <c r="F623" s="17" t="inlineStr">
        <is>
          <t>否</t>
        </is>
      </c>
      <c r="G623" s="23" t="n"/>
      <c r="H623" s="24">
        <f>IF($A623="","",IFERROR(LOOKUP(2,1/((入库单!$G$4:$G$2503=$A623)*(入库单!$Y$4:$Y$2503="正常")*(入库单!$L$4:$L$2503&gt;0)),入库单!$D$4:$D$2503),""))</f>
        <v/>
      </c>
      <c r="I623" s="25">
        <f>IF($A623="","",IFERROR(LOOKUP(2,1/((入库单!$G$4:$G$2503=$A623)*(入库单!$Y$4:$Y$2503="正常")*(入库单!$L$4:$L$2503&gt;0)),入库单!$L$4:$L$2503),0))</f>
        <v/>
      </c>
      <c r="J623" s="26">
        <f>IF($A623="","",IF($H623="A国内",ROUND($I623*倍数A*汇率,0),IF($H623="B当地",ROUND($I623*系数B,0),0)))</f>
        <v/>
      </c>
      <c r="K623" s="24">
        <f>IF($A623="","",IF(COUNTIFS(入库单!$G$4:$G$2503,$A623,入库单!$X$4:$X$2503,"待补价")&gt;0,"待补价",IF(COUNTIFS(入库单!$G$4:$G$2503,$A623,入库单!$X$4:$X$2503,"暂估")&gt;0,"暂估",IF($I623=0,"没有进价","正常"))))</f>
        <v/>
      </c>
      <c r="L623" s="27">
        <f>IF($A623="","",IFERROR(VLOOKUP($A623,库存台账!$A$5:$Y$1204,24,0),0))</f>
        <v/>
      </c>
      <c r="M623" s="26">
        <f>IF($A623="","",IFERROR(VLOOKUP($A623,库存台账!$A$5:$Y$1204,25,0),0))</f>
        <v/>
      </c>
      <c r="N623" s="19">
        <f>IF($A623="","",IFERROR(LOOKUP(2,1/((出库单!$D$4:$D$4003=$A623)*(出库单!$T$4:$T$4003="正常")),出库单!$C$4:$C$4003),""))</f>
        <v/>
      </c>
      <c r="O623" s="28">
        <f>IF($A623="","",IF($L623&lt;=0,"",IF($N623="",IFERROR(账期止-LOOKUP(2,1/(入库单!$G$4:$G$2503=$A623),入库单!$C$4:$C$2503),""),账期止-$N623)))</f>
        <v/>
      </c>
      <c r="P623" s="17" t="n"/>
    </row>
    <row r="624">
      <c r="A624" s="17" t="inlineStr">
        <is>
          <t>JH0621</t>
        </is>
      </c>
      <c r="B624" s="17" t="inlineStr">
        <is>
          <t>机械设备</t>
        </is>
      </c>
      <c r="C624" s="17" t="inlineStr">
        <is>
          <t>三角带C4953</t>
        </is>
      </c>
      <c r="D624" s="17" t="inlineStr">
        <is>
          <t>PE400*600破碎机配件</t>
        </is>
      </c>
      <c r="E624" s="17" t="inlineStr">
        <is>
          <t>条</t>
        </is>
      </c>
      <c r="F624" s="17" t="inlineStr">
        <is>
          <t>否</t>
        </is>
      </c>
      <c r="G624" s="23" t="n"/>
      <c r="H624" s="24">
        <f>IF($A624="","",IFERROR(LOOKUP(2,1/((入库单!$G$4:$G$2503=$A624)*(入库单!$Y$4:$Y$2503="正常")*(入库单!$L$4:$L$2503&gt;0)),入库单!$D$4:$D$2503),""))</f>
        <v/>
      </c>
      <c r="I624" s="25">
        <f>IF($A624="","",IFERROR(LOOKUP(2,1/((入库单!$G$4:$G$2503=$A624)*(入库单!$Y$4:$Y$2503="正常")*(入库单!$L$4:$L$2503&gt;0)),入库单!$L$4:$L$2503),0))</f>
        <v/>
      </c>
      <c r="J624" s="26">
        <f>IF($A624="","",IF($H624="A国内",ROUND($I624*倍数A*汇率,0),IF($H624="B当地",ROUND($I624*系数B,0),0)))</f>
        <v/>
      </c>
      <c r="K624" s="24">
        <f>IF($A624="","",IF(COUNTIFS(入库单!$G$4:$G$2503,$A624,入库单!$X$4:$X$2503,"待补价")&gt;0,"待补价",IF(COUNTIFS(入库单!$G$4:$G$2503,$A624,入库单!$X$4:$X$2503,"暂估")&gt;0,"暂估",IF($I624=0,"没有进价","正常"))))</f>
        <v/>
      </c>
      <c r="L624" s="27">
        <f>IF($A624="","",IFERROR(VLOOKUP($A624,库存台账!$A$5:$Y$1204,24,0),0))</f>
        <v/>
      </c>
      <c r="M624" s="26">
        <f>IF($A624="","",IFERROR(VLOOKUP($A624,库存台账!$A$5:$Y$1204,25,0),0))</f>
        <v/>
      </c>
      <c r="N624" s="19">
        <f>IF($A624="","",IFERROR(LOOKUP(2,1/((出库单!$D$4:$D$4003=$A624)*(出库单!$T$4:$T$4003="正常")),出库单!$C$4:$C$4003),""))</f>
        <v/>
      </c>
      <c r="O624" s="28">
        <f>IF($A624="","",IF($L624&lt;=0,"",IF($N624="",IFERROR(账期止-LOOKUP(2,1/(入库单!$G$4:$G$2503=$A624),入库单!$C$4:$C$2503),""),账期止-$N624)))</f>
        <v/>
      </c>
      <c r="P624" s="17" t="n"/>
    </row>
    <row r="625">
      <c r="A625" s="17" t="inlineStr">
        <is>
          <t>JH0622</t>
        </is>
      </c>
      <c r="B625" s="17" t="inlineStr">
        <is>
          <t>机械设备</t>
        </is>
      </c>
      <c r="C625" s="17" t="inlineStr">
        <is>
          <t>弹簧+拉杆</t>
        </is>
      </c>
      <c r="D625" s="17" t="inlineStr">
        <is>
          <t>PE400*600破碎机配件</t>
        </is>
      </c>
      <c r="E625" s="17" t="inlineStr">
        <is>
          <t>套</t>
        </is>
      </c>
      <c r="F625" s="17" t="inlineStr">
        <is>
          <t>否</t>
        </is>
      </c>
      <c r="G625" s="23" t="n"/>
      <c r="H625" s="24">
        <f>IF($A625="","",IFERROR(LOOKUP(2,1/((入库单!$G$4:$G$2503=$A625)*(入库单!$Y$4:$Y$2503="正常")*(入库单!$L$4:$L$2503&gt;0)),入库单!$D$4:$D$2503),""))</f>
        <v/>
      </c>
      <c r="I625" s="25">
        <f>IF($A625="","",IFERROR(LOOKUP(2,1/((入库单!$G$4:$G$2503=$A625)*(入库单!$Y$4:$Y$2503="正常")*(入库单!$L$4:$L$2503&gt;0)),入库单!$L$4:$L$2503),0))</f>
        <v/>
      </c>
      <c r="J625" s="26">
        <f>IF($A625="","",IF($H625="A国内",ROUND($I625*倍数A*汇率,0),IF($H625="B当地",ROUND($I625*系数B,0),0)))</f>
        <v/>
      </c>
      <c r="K625" s="24">
        <f>IF($A625="","",IF(COUNTIFS(入库单!$G$4:$G$2503,$A625,入库单!$X$4:$X$2503,"待补价")&gt;0,"待补价",IF(COUNTIFS(入库单!$G$4:$G$2503,$A625,入库单!$X$4:$X$2503,"暂估")&gt;0,"暂估",IF($I625=0,"没有进价","正常"))))</f>
        <v/>
      </c>
      <c r="L625" s="27">
        <f>IF($A625="","",IFERROR(VLOOKUP($A625,库存台账!$A$5:$Y$1204,24,0),0))</f>
        <v/>
      </c>
      <c r="M625" s="26">
        <f>IF($A625="","",IFERROR(VLOOKUP($A625,库存台账!$A$5:$Y$1204,25,0),0))</f>
        <v/>
      </c>
      <c r="N625" s="19">
        <f>IF($A625="","",IFERROR(LOOKUP(2,1/((出库单!$D$4:$D$4003=$A625)*(出库单!$T$4:$T$4003="正常")),出库单!$C$4:$C$4003),""))</f>
        <v/>
      </c>
      <c r="O625" s="28">
        <f>IF($A625="","",IF($L625&lt;=0,"",IF($N625="",IFERROR(账期止-LOOKUP(2,1/(入库单!$G$4:$G$2503=$A625),入库单!$C$4:$C$2503),""),账期止-$N625)))</f>
        <v/>
      </c>
      <c r="P625" s="17" t="n"/>
    </row>
    <row r="626">
      <c r="A626" s="17" t="inlineStr">
        <is>
          <t>JH0623</t>
        </is>
      </c>
      <c r="B626" s="17" t="inlineStr">
        <is>
          <t>钢材</t>
        </is>
      </c>
      <c r="C626" s="17" t="inlineStr">
        <is>
          <t>安装辅材</t>
        </is>
      </c>
      <c r="D626" s="17" t="inlineStr">
        <is>
          <t>钢管φ219*6米</t>
        </is>
      </c>
      <c r="E626" s="17" t="inlineStr">
        <is>
          <t>米</t>
        </is>
      </c>
      <c r="F626" s="17" t="inlineStr">
        <is>
          <t>否</t>
        </is>
      </c>
      <c r="G626" s="23" t="n"/>
      <c r="H626" s="24">
        <f>IF($A626="","",IFERROR(LOOKUP(2,1/((入库单!$G$4:$G$2503=$A626)*(入库单!$Y$4:$Y$2503="正常")*(入库单!$L$4:$L$2503&gt;0)),入库单!$D$4:$D$2503),""))</f>
        <v/>
      </c>
      <c r="I626" s="25">
        <f>IF($A626="","",IFERROR(LOOKUP(2,1/((入库单!$G$4:$G$2503=$A626)*(入库单!$Y$4:$Y$2503="正常")*(入库单!$L$4:$L$2503&gt;0)),入库单!$L$4:$L$2503),0))</f>
        <v/>
      </c>
      <c r="J626" s="26">
        <f>IF($A626="","",IF($H626="A国内",ROUND($I626*倍数A*汇率,0),IF($H626="B当地",ROUND($I626*系数B,0),0)))</f>
        <v/>
      </c>
      <c r="K626" s="24">
        <f>IF($A626="","",IF(COUNTIFS(入库单!$G$4:$G$2503,$A626,入库单!$X$4:$X$2503,"待补价")&gt;0,"待补价",IF(COUNTIFS(入库单!$G$4:$G$2503,$A626,入库单!$X$4:$X$2503,"暂估")&gt;0,"暂估",IF($I626=0,"没有进价","正常"))))</f>
        <v/>
      </c>
      <c r="L626" s="27">
        <f>IF($A626="","",IFERROR(VLOOKUP($A626,库存台账!$A$5:$Y$1204,24,0),0))</f>
        <v/>
      </c>
      <c r="M626" s="26">
        <f>IF($A626="","",IFERROR(VLOOKUP($A626,库存台账!$A$5:$Y$1204,25,0),0))</f>
        <v/>
      </c>
      <c r="N626" s="19">
        <f>IF($A626="","",IFERROR(LOOKUP(2,1/((出库单!$D$4:$D$4003=$A626)*(出库单!$T$4:$T$4003="正常")),出库单!$C$4:$C$4003),""))</f>
        <v/>
      </c>
      <c r="O626" s="28">
        <f>IF($A626="","",IF($L626&lt;=0,"",IF($N626="",IFERROR(账期止-LOOKUP(2,1/(入库单!$G$4:$G$2503=$A626),入库单!$C$4:$C$2503),""),账期止-$N626)))</f>
        <v/>
      </c>
      <c r="P626" s="17" t="n"/>
    </row>
    <row r="627">
      <c r="A627" s="17" t="inlineStr">
        <is>
          <t>JH0624</t>
        </is>
      </c>
      <c r="B627" s="17" t="inlineStr">
        <is>
          <t>钢材</t>
        </is>
      </c>
      <c r="C627" s="17" t="inlineStr">
        <is>
          <t>安装辅材</t>
        </is>
      </c>
      <c r="D627" s="17" t="inlineStr">
        <is>
          <t>工字钢180*12米</t>
        </is>
      </c>
      <c r="E627" s="17" t="inlineStr">
        <is>
          <t>米</t>
        </is>
      </c>
      <c r="F627" s="17" t="inlineStr">
        <is>
          <t>否</t>
        </is>
      </c>
      <c r="G627" s="23" t="n"/>
      <c r="H627" s="24">
        <f>IF($A627="","",IFERROR(LOOKUP(2,1/((入库单!$G$4:$G$2503=$A627)*(入库单!$Y$4:$Y$2503="正常")*(入库单!$L$4:$L$2503&gt;0)),入库单!$D$4:$D$2503),""))</f>
        <v/>
      </c>
      <c r="I627" s="25">
        <f>IF($A627="","",IFERROR(LOOKUP(2,1/((入库单!$G$4:$G$2503=$A627)*(入库单!$Y$4:$Y$2503="正常")*(入库单!$L$4:$L$2503&gt;0)),入库单!$L$4:$L$2503),0))</f>
        <v/>
      </c>
      <c r="J627" s="26">
        <f>IF($A627="","",IF($H627="A国内",ROUND($I627*倍数A*汇率,0),IF($H627="B当地",ROUND($I627*系数B,0),0)))</f>
        <v/>
      </c>
      <c r="K627" s="24">
        <f>IF($A627="","",IF(COUNTIFS(入库单!$G$4:$G$2503,$A627,入库单!$X$4:$X$2503,"待补价")&gt;0,"待补价",IF(COUNTIFS(入库单!$G$4:$G$2503,$A627,入库单!$X$4:$X$2503,"暂估")&gt;0,"暂估",IF($I627=0,"没有进价","正常"))))</f>
        <v/>
      </c>
      <c r="L627" s="27">
        <f>IF($A627="","",IFERROR(VLOOKUP($A627,库存台账!$A$5:$Y$1204,24,0),0))</f>
        <v/>
      </c>
      <c r="M627" s="26">
        <f>IF($A627="","",IFERROR(VLOOKUP($A627,库存台账!$A$5:$Y$1204,25,0),0))</f>
        <v/>
      </c>
      <c r="N627" s="19">
        <f>IF($A627="","",IFERROR(LOOKUP(2,1/((出库单!$D$4:$D$4003=$A627)*(出库单!$T$4:$T$4003="正常")),出库单!$C$4:$C$4003),""))</f>
        <v/>
      </c>
      <c r="O627" s="28">
        <f>IF($A627="","",IF($L627&lt;=0,"",IF($N627="",IFERROR(账期止-LOOKUP(2,1/(入库单!$G$4:$G$2503=$A627),入库单!$C$4:$C$2503),""),账期止-$N627)))</f>
        <v/>
      </c>
      <c r="P627" s="17" t="n"/>
    </row>
    <row r="628">
      <c r="A628" s="17" t="inlineStr">
        <is>
          <t>JH0625</t>
        </is>
      </c>
      <c r="B628" s="17" t="inlineStr">
        <is>
          <t>钢材</t>
        </is>
      </c>
      <c r="C628" s="17" t="inlineStr">
        <is>
          <t>安装辅材</t>
        </is>
      </c>
      <c r="D628" s="17" t="inlineStr">
        <is>
          <t>钢板14*1260*1385</t>
        </is>
      </c>
      <c r="E628" s="17" t="inlineStr">
        <is>
          <t>张</t>
        </is>
      </c>
      <c r="F628" s="17" t="inlineStr">
        <is>
          <t>否</t>
        </is>
      </c>
      <c r="G628" s="23" t="n"/>
      <c r="H628" s="24">
        <f>IF($A628="","",IFERROR(LOOKUP(2,1/((入库单!$G$4:$G$2503=$A628)*(入库单!$Y$4:$Y$2503="正常")*(入库单!$L$4:$L$2503&gt;0)),入库单!$D$4:$D$2503),""))</f>
        <v/>
      </c>
      <c r="I628" s="25">
        <f>IF($A628="","",IFERROR(LOOKUP(2,1/((入库单!$G$4:$G$2503=$A628)*(入库单!$Y$4:$Y$2503="正常")*(入库单!$L$4:$L$2503&gt;0)),入库单!$L$4:$L$2503),0))</f>
        <v/>
      </c>
      <c r="J628" s="26">
        <f>IF($A628="","",IF($H628="A国内",ROUND($I628*倍数A*汇率,0),IF($H628="B当地",ROUND($I628*系数B,0),0)))</f>
        <v/>
      </c>
      <c r="K628" s="24">
        <f>IF($A628="","",IF(COUNTIFS(入库单!$G$4:$G$2503,$A628,入库单!$X$4:$X$2503,"待补价")&gt;0,"待补价",IF(COUNTIFS(入库单!$G$4:$G$2503,$A628,入库单!$X$4:$X$2503,"暂估")&gt;0,"暂估",IF($I628=0,"没有进价","正常"))))</f>
        <v/>
      </c>
      <c r="L628" s="27">
        <f>IF($A628="","",IFERROR(VLOOKUP($A628,库存台账!$A$5:$Y$1204,24,0),0))</f>
        <v/>
      </c>
      <c r="M628" s="26">
        <f>IF($A628="","",IFERROR(VLOOKUP($A628,库存台账!$A$5:$Y$1204,25,0),0))</f>
        <v/>
      </c>
      <c r="N628" s="19">
        <f>IF($A628="","",IFERROR(LOOKUP(2,1/((出库单!$D$4:$D$4003=$A628)*(出库单!$T$4:$T$4003="正常")),出库单!$C$4:$C$4003),""))</f>
        <v/>
      </c>
      <c r="O628" s="28">
        <f>IF($A628="","",IF($L628&lt;=0,"",IF($N628="",IFERROR(账期止-LOOKUP(2,1/(入库单!$G$4:$G$2503=$A628),入库单!$C$4:$C$2503),""),账期止-$N628)))</f>
        <v/>
      </c>
      <c r="P628" s="17" t="n"/>
    </row>
    <row r="629">
      <c r="A629" s="17" t="inlineStr">
        <is>
          <t>JH0626</t>
        </is>
      </c>
      <c r="B629" s="17" t="inlineStr">
        <is>
          <t>其他</t>
        </is>
      </c>
      <c r="C629" s="17" t="inlineStr">
        <is>
          <t>轮胎</t>
        </is>
      </c>
      <c r="D629" s="17" t="inlineStr">
        <is>
          <t>23.5-25</t>
        </is>
      </c>
      <c r="E629" s="17" t="inlineStr">
        <is>
          <t>套</t>
        </is>
      </c>
      <c r="F629" s="17" t="inlineStr">
        <is>
          <t>否</t>
        </is>
      </c>
      <c r="G629" s="23" t="n"/>
      <c r="H629" s="24">
        <f>IF($A629="","",IFERROR(LOOKUP(2,1/((入库单!$G$4:$G$2503=$A629)*(入库单!$Y$4:$Y$2503="正常")*(入库单!$L$4:$L$2503&gt;0)),入库单!$D$4:$D$2503),""))</f>
        <v/>
      </c>
      <c r="I629" s="25">
        <f>IF($A629="","",IFERROR(LOOKUP(2,1/((入库单!$G$4:$G$2503=$A629)*(入库单!$Y$4:$Y$2503="正常")*(入库单!$L$4:$L$2503&gt;0)),入库单!$L$4:$L$2503),0))</f>
        <v/>
      </c>
      <c r="J629" s="26">
        <f>IF($A629="","",IF($H629="A国内",ROUND($I629*倍数A*汇率,0),IF($H629="B当地",ROUND($I629*系数B,0),0)))</f>
        <v/>
      </c>
      <c r="K629" s="24">
        <f>IF($A629="","",IF(COUNTIFS(入库单!$G$4:$G$2503,$A629,入库单!$X$4:$X$2503,"待补价")&gt;0,"待补价",IF(COUNTIFS(入库单!$G$4:$G$2503,$A629,入库单!$X$4:$X$2503,"暂估")&gt;0,"暂估",IF($I629=0,"没有进价","正常"))))</f>
        <v/>
      </c>
      <c r="L629" s="27">
        <f>IF($A629="","",IFERROR(VLOOKUP($A629,库存台账!$A$5:$Y$1204,24,0),0))</f>
        <v/>
      </c>
      <c r="M629" s="26">
        <f>IF($A629="","",IFERROR(VLOOKUP($A629,库存台账!$A$5:$Y$1204,25,0),0))</f>
        <v/>
      </c>
      <c r="N629" s="19">
        <f>IF($A629="","",IFERROR(LOOKUP(2,1/((出库单!$D$4:$D$4003=$A629)*(出库单!$T$4:$T$4003="正常")),出库单!$C$4:$C$4003),""))</f>
        <v/>
      </c>
      <c r="O629" s="28">
        <f>IF($A629="","",IF($L629&lt;=0,"",IF($N629="",IFERROR(账期止-LOOKUP(2,1/(入库单!$G$4:$G$2503=$A629),入库单!$C$4:$C$2503),""),账期止-$N629)))</f>
        <v/>
      </c>
      <c r="P629" s="17" t="n"/>
    </row>
    <row r="630">
      <c r="A630" s="17" t="inlineStr">
        <is>
          <t>JH0627</t>
        </is>
      </c>
      <c r="B630" s="17" t="inlineStr">
        <is>
          <t>其他</t>
        </is>
      </c>
      <c r="C630" s="17" t="inlineStr">
        <is>
          <t>轮胎</t>
        </is>
      </c>
      <c r="D630" s="17" t="inlineStr">
        <is>
          <t>12.00R20</t>
        </is>
      </c>
      <c r="E630" s="17" t="inlineStr">
        <is>
          <t>套</t>
        </is>
      </c>
      <c r="F630" s="17" t="inlineStr">
        <is>
          <t>否</t>
        </is>
      </c>
      <c r="G630" s="23" t="n"/>
      <c r="H630" s="24">
        <f>IF($A630="","",IFERROR(LOOKUP(2,1/((入库单!$G$4:$G$2503=$A630)*(入库单!$Y$4:$Y$2503="正常")*(入库单!$L$4:$L$2503&gt;0)),入库单!$D$4:$D$2503),""))</f>
        <v/>
      </c>
      <c r="I630" s="25">
        <f>IF($A630="","",IFERROR(LOOKUP(2,1/((入库单!$G$4:$G$2503=$A630)*(入库单!$Y$4:$Y$2503="正常")*(入库单!$L$4:$L$2503&gt;0)),入库单!$L$4:$L$2503),0))</f>
        <v/>
      </c>
      <c r="J630" s="26">
        <f>IF($A630="","",IF($H630="A国内",ROUND($I630*倍数A*汇率,0),IF($H630="B当地",ROUND($I630*系数B,0),0)))</f>
        <v/>
      </c>
      <c r="K630" s="24">
        <f>IF($A630="","",IF(COUNTIFS(入库单!$G$4:$G$2503,$A630,入库单!$X$4:$X$2503,"待补价")&gt;0,"待补价",IF(COUNTIFS(入库单!$G$4:$G$2503,$A630,入库单!$X$4:$X$2503,"暂估")&gt;0,"暂估",IF($I630=0,"没有进价","正常"))))</f>
        <v/>
      </c>
      <c r="L630" s="27">
        <f>IF($A630="","",IFERROR(VLOOKUP($A630,库存台账!$A$5:$Y$1204,24,0),0))</f>
        <v/>
      </c>
      <c r="M630" s="26">
        <f>IF($A630="","",IFERROR(VLOOKUP($A630,库存台账!$A$5:$Y$1204,25,0),0))</f>
        <v/>
      </c>
      <c r="N630" s="19">
        <f>IF($A630="","",IFERROR(LOOKUP(2,1/((出库单!$D$4:$D$4003=$A630)*(出库单!$T$4:$T$4003="正常")),出库单!$C$4:$C$4003),""))</f>
        <v/>
      </c>
      <c r="O630" s="28">
        <f>IF($A630="","",IF($L630&lt;=0,"",IF($N630="",IFERROR(账期止-LOOKUP(2,1/(入库单!$G$4:$G$2503=$A630),入库单!$C$4:$C$2503),""),账期止-$N630)))</f>
        <v/>
      </c>
      <c r="P630" s="17" t="n"/>
    </row>
    <row r="631">
      <c r="A631" s="17" t="inlineStr">
        <is>
          <t>JH0628</t>
        </is>
      </c>
      <c r="B631" s="17" t="inlineStr">
        <is>
          <t>磨矿介质</t>
        </is>
      </c>
      <c r="C631" s="17" t="inlineStr">
        <is>
          <t>钢球</t>
        </is>
      </c>
      <c r="D631" s="17" t="inlineStr">
        <is>
          <t>φ40</t>
        </is>
      </c>
      <c r="E631" s="17" t="inlineStr">
        <is>
          <t>吨</t>
        </is>
      </c>
      <c r="F631" s="17" t="inlineStr">
        <is>
          <t>是</t>
        </is>
      </c>
      <c r="G631" s="23" t="n"/>
      <c r="H631" s="24">
        <f>IF($A631="","",IFERROR(LOOKUP(2,1/((入库单!$G$4:$G$2503=$A631)*(入库单!$Y$4:$Y$2503="正常")*(入库单!$L$4:$L$2503&gt;0)),入库单!$D$4:$D$2503),""))</f>
        <v/>
      </c>
      <c r="I631" s="25">
        <f>IF($A631="","",IFERROR(LOOKUP(2,1/((入库单!$G$4:$G$2503=$A631)*(入库单!$Y$4:$Y$2503="正常")*(入库单!$L$4:$L$2503&gt;0)),入库单!$L$4:$L$2503),0))</f>
        <v/>
      </c>
      <c r="J631" s="26">
        <f>IF($A631="","",IF($H631="A国内",ROUND($I631*倍数A*汇率,0),IF($H631="B当地",ROUND($I631*系数B,0),0)))</f>
        <v/>
      </c>
      <c r="K631" s="24">
        <f>IF($A631="","",IF(COUNTIFS(入库单!$G$4:$G$2503,$A631,入库单!$X$4:$X$2503,"待补价")&gt;0,"待补价",IF(COUNTIFS(入库单!$G$4:$G$2503,$A631,入库单!$X$4:$X$2503,"暂估")&gt;0,"暂估",IF($I631=0,"没有进价","正常"))))</f>
        <v/>
      </c>
      <c r="L631" s="27">
        <f>IF($A631="","",IFERROR(VLOOKUP($A631,库存台账!$A$5:$Y$1204,24,0),0))</f>
        <v/>
      </c>
      <c r="M631" s="26">
        <f>IF($A631="","",IFERROR(VLOOKUP($A631,库存台账!$A$5:$Y$1204,25,0),0))</f>
        <v/>
      </c>
      <c r="N631" s="19">
        <f>IF($A631="","",IFERROR(LOOKUP(2,1/((出库单!$D$4:$D$4003=$A631)*(出库单!$T$4:$T$4003="正常")),出库单!$C$4:$C$4003),""))</f>
        <v/>
      </c>
      <c r="O631" s="28">
        <f>IF($A631="","",IF($L631&lt;=0,"",IF($N631="",IFERROR(账期止-LOOKUP(2,1/(入库单!$G$4:$G$2503=$A631),入库单!$C$4:$C$2503),""),账期止-$N631)))</f>
        <v/>
      </c>
      <c r="P631" s="17" t="n"/>
    </row>
    <row r="632">
      <c r="A632" s="17" t="inlineStr">
        <is>
          <t>JH0629</t>
        </is>
      </c>
      <c r="B632" s="17" t="inlineStr">
        <is>
          <t>磨矿介质</t>
        </is>
      </c>
      <c r="C632" s="17" t="inlineStr">
        <is>
          <t>钢球</t>
        </is>
      </c>
      <c r="D632" s="17" t="inlineStr">
        <is>
          <t>φ60</t>
        </is>
      </c>
      <c r="E632" s="17" t="inlineStr">
        <is>
          <t>吨</t>
        </is>
      </c>
      <c r="F632" s="17" t="inlineStr">
        <is>
          <t>是</t>
        </is>
      </c>
      <c r="G632" s="23" t="n"/>
      <c r="H632" s="24">
        <f>IF($A632="","",IFERROR(LOOKUP(2,1/((入库单!$G$4:$G$2503=$A632)*(入库单!$Y$4:$Y$2503="正常")*(入库单!$L$4:$L$2503&gt;0)),入库单!$D$4:$D$2503),""))</f>
        <v/>
      </c>
      <c r="I632" s="25">
        <f>IF($A632="","",IFERROR(LOOKUP(2,1/((入库单!$G$4:$G$2503=$A632)*(入库单!$Y$4:$Y$2503="正常")*(入库单!$L$4:$L$2503&gt;0)),入库单!$L$4:$L$2503),0))</f>
        <v/>
      </c>
      <c r="J632" s="26">
        <f>IF($A632="","",IF($H632="A国内",ROUND($I632*倍数A*汇率,0),IF($H632="B当地",ROUND($I632*系数B,0),0)))</f>
        <v/>
      </c>
      <c r="K632" s="24">
        <f>IF($A632="","",IF(COUNTIFS(入库单!$G$4:$G$2503,$A632,入库单!$X$4:$X$2503,"待补价")&gt;0,"待补价",IF(COUNTIFS(入库单!$G$4:$G$2503,$A632,入库单!$X$4:$X$2503,"暂估")&gt;0,"暂估",IF($I632=0,"没有进价","正常"))))</f>
        <v/>
      </c>
      <c r="L632" s="27">
        <f>IF($A632="","",IFERROR(VLOOKUP($A632,库存台账!$A$5:$Y$1204,24,0),0))</f>
        <v/>
      </c>
      <c r="M632" s="26">
        <f>IF($A632="","",IFERROR(VLOOKUP($A632,库存台账!$A$5:$Y$1204,25,0),0))</f>
        <v/>
      </c>
      <c r="N632" s="19">
        <f>IF($A632="","",IFERROR(LOOKUP(2,1/((出库单!$D$4:$D$4003=$A632)*(出库单!$T$4:$T$4003="正常")),出库单!$C$4:$C$4003),""))</f>
        <v/>
      </c>
      <c r="O632" s="28">
        <f>IF($A632="","",IF($L632&lt;=0,"",IF($N632="",IFERROR(账期止-LOOKUP(2,1/(入库单!$G$4:$G$2503=$A632),入库单!$C$4:$C$2503),""),账期止-$N632)))</f>
        <v/>
      </c>
      <c r="P632" s="17" t="n"/>
    </row>
    <row r="633">
      <c r="A633" s="17" t="inlineStr">
        <is>
          <t>JH0630</t>
        </is>
      </c>
      <c r="B633" s="17" t="inlineStr">
        <is>
          <t>磨矿介质</t>
        </is>
      </c>
      <c r="C633" s="17" t="inlineStr">
        <is>
          <t>钢球</t>
        </is>
      </c>
      <c r="D633" s="17" t="inlineStr">
        <is>
          <t>φ80</t>
        </is>
      </c>
      <c r="E633" s="17" t="inlineStr">
        <is>
          <t>吨</t>
        </is>
      </c>
      <c r="F633" s="17" t="inlineStr">
        <is>
          <t>是</t>
        </is>
      </c>
      <c r="G633" s="23" t="n"/>
      <c r="H633" s="24">
        <f>IF($A633="","",IFERROR(LOOKUP(2,1/((入库单!$G$4:$G$2503=$A633)*(入库单!$Y$4:$Y$2503="正常")*(入库单!$L$4:$L$2503&gt;0)),入库单!$D$4:$D$2503),""))</f>
        <v/>
      </c>
      <c r="I633" s="25">
        <f>IF($A633="","",IFERROR(LOOKUP(2,1/((入库单!$G$4:$G$2503=$A633)*(入库单!$Y$4:$Y$2503="正常")*(入库单!$L$4:$L$2503&gt;0)),入库单!$L$4:$L$2503),0))</f>
        <v/>
      </c>
      <c r="J633" s="26">
        <f>IF($A633="","",IF($H633="A国内",ROUND($I633*倍数A*汇率,0),IF($H633="B当地",ROUND($I633*系数B,0),0)))</f>
        <v/>
      </c>
      <c r="K633" s="24">
        <f>IF($A633="","",IF(COUNTIFS(入库单!$G$4:$G$2503,$A633,入库单!$X$4:$X$2503,"待补价")&gt;0,"待补价",IF(COUNTIFS(入库单!$G$4:$G$2503,$A633,入库单!$X$4:$X$2503,"暂估")&gt;0,"暂估",IF($I633=0,"没有进价","正常"))))</f>
        <v/>
      </c>
      <c r="L633" s="27">
        <f>IF($A633="","",IFERROR(VLOOKUP($A633,库存台账!$A$5:$Y$1204,24,0),0))</f>
        <v/>
      </c>
      <c r="M633" s="26">
        <f>IF($A633="","",IFERROR(VLOOKUP($A633,库存台账!$A$5:$Y$1204,25,0),0))</f>
        <v/>
      </c>
      <c r="N633" s="19">
        <f>IF($A633="","",IFERROR(LOOKUP(2,1/((出库单!$D$4:$D$4003=$A633)*(出库单!$T$4:$T$4003="正常")),出库单!$C$4:$C$4003),""))</f>
        <v/>
      </c>
      <c r="O633" s="28">
        <f>IF($A633="","",IF($L633&lt;=0,"",IF($N633="",IFERROR(账期止-LOOKUP(2,1/(入库单!$G$4:$G$2503=$A633),入库单!$C$4:$C$2503),""),账期止-$N633)))</f>
        <v/>
      </c>
      <c r="P633" s="17" t="n"/>
    </row>
    <row r="634">
      <c r="A634" s="17" t="inlineStr">
        <is>
          <t>JH0631</t>
        </is>
      </c>
      <c r="B634" s="17" t="inlineStr">
        <is>
          <t>机械设备</t>
        </is>
      </c>
      <c r="C634" s="17" t="inlineStr">
        <is>
          <t>皮带秤机架</t>
        </is>
      </c>
      <c r="D634" s="17" t="inlineStr">
        <is>
          <t>ICS-500</t>
        </is>
      </c>
      <c r="E634" s="17" t="inlineStr">
        <is>
          <t>台</t>
        </is>
      </c>
      <c r="F634" s="17" t="inlineStr">
        <is>
          <t>否</t>
        </is>
      </c>
      <c r="G634" s="23" t="n"/>
      <c r="H634" s="24">
        <f>IF($A634="","",IFERROR(LOOKUP(2,1/((入库单!$G$4:$G$2503=$A634)*(入库单!$Y$4:$Y$2503="正常")*(入库单!$L$4:$L$2503&gt;0)),入库单!$D$4:$D$2503),""))</f>
        <v/>
      </c>
      <c r="I634" s="25">
        <f>IF($A634="","",IFERROR(LOOKUP(2,1/((入库单!$G$4:$G$2503=$A634)*(入库单!$Y$4:$Y$2503="正常")*(入库单!$L$4:$L$2503&gt;0)),入库单!$L$4:$L$2503),0))</f>
        <v/>
      </c>
      <c r="J634" s="26">
        <f>IF($A634="","",IF($H634="A国内",ROUND($I634*倍数A*汇率,0),IF($H634="B当地",ROUND($I634*系数B,0),0)))</f>
        <v/>
      </c>
      <c r="K634" s="24">
        <f>IF($A634="","",IF(COUNTIFS(入库单!$G$4:$G$2503,$A634,入库单!$X$4:$X$2503,"待补价")&gt;0,"待补价",IF(COUNTIFS(入库单!$G$4:$G$2503,$A634,入库单!$X$4:$X$2503,"暂估")&gt;0,"暂估",IF($I634=0,"没有进价","正常"))))</f>
        <v/>
      </c>
      <c r="L634" s="27">
        <f>IF($A634="","",IFERROR(VLOOKUP($A634,库存台账!$A$5:$Y$1204,24,0),0))</f>
        <v/>
      </c>
      <c r="M634" s="26">
        <f>IF($A634="","",IFERROR(VLOOKUP($A634,库存台账!$A$5:$Y$1204,25,0),0))</f>
        <v/>
      </c>
      <c r="N634" s="19">
        <f>IF($A634="","",IFERROR(LOOKUP(2,1/((出库单!$D$4:$D$4003=$A634)*(出库单!$T$4:$T$4003="正常")),出库单!$C$4:$C$4003),""))</f>
        <v/>
      </c>
      <c r="O634" s="28">
        <f>IF($A634="","",IF($L634&lt;=0,"",IF($N634="",IFERROR(账期止-LOOKUP(2,1/(入库单!$G$4:$G$2503=$A634),入库单!$C$4:$C$2503),""),账期止-$N634)))</f>
        <v/>
      </c>
      <c r="P634" s="17" t="n"/>
    </row>
    <row r="635">
      <c r="A635" s="17" t="inlineStr">
        <is>
          <t>JH0632</t>
        </is>
      </c>
      <c r="B635" s="17" t="inlineStr">
        <is>
          <t>其他</t>
        </is>
      </c>
      <c r="C635" s="17" t="inlineStr">
        <is>
          <t>测速轮</t>
        </is>
      </c>
      <c r="D635" s="17" t="inlineStr">
        <is>
          <t>ICS-500</t>
        </is>
      </c>
      <c r="E635" s="17" t="inlineStr">
        <is>
          <t>件</t>
        </is>
      </c>
      <c r="F635" s="17" t="inlineStr">
        <is>
          <t>否</t>
        </is>
      </c>
      <c r="G635" s="23" t="n"/>
      <c r="H635" s="24">
        <f>IF($A635="","",IFERROR(LOOKUP(2,1/((入库单!$G$4:$G$2503=$A635)*(入库单!$Y$4:$Y$2503="正常")*(入库单!$L$4:$L$2503&gt;0)),入库单!$D$4:$D$2503),""))</f>
        <v/>
      </c>
      <c r="I635" s="25">
        <f>IF($A635="","",IFERROR(LOOKUP(2,1/((入库单!$G$4:$G$2503=$A635)*(入库单!$Y$4:$Y$2503="正常")*(入库单!$L$4:$L$2503&gt;0)),入库单!$L$4:$L$2503),0))</f>
        <v/>
      </c>
      <c r="J635" s="26">
        <f>IF($A635="","",IF($H635="A国内",ROUND($I635*倍数A*汇率,0),IF($H635="B当地",ROUND($I635*系数B,0),0)))</f>
        <v/>
      </c>
      <c r="K635" s="24">
        <f>IF($A635="","",IF(COUNTIFS(入库单!$G$4:$G$2503,$A635,入库单!$X$4:$X$2503,"待补价")&gt;0,"待补价",IF(COUNTIFS(入库单!$G$4:$G$2503,$A635,入库单!$X$4:$X$2503,"暂估")&gt;0,"暂估",IF($I635=0,"没有进价","正常"))))</f>
        <v/>
      </c>
      <c r="L635" s="27">
        <f>IF($A635="","",IFERROR(VLOOKUP($A635,库存台账!$A$5:$Y$1204,24,0),0))</f>
        <v/>
      </c>
      <c r="M635" s="26">
        <f>IF($A635="","",IFERROR(VLOOKUP($A635,库存台账!$A$5:$Y$1204,25,0),0))</f>
        <v/>
      </c>
      <c r="N635" s="19">
        <f>IF($A635="","",IFERROR(LOOKUP(2,1/((出库单!$D$4:$D$4003=$A635)*(出库单!$T$4:$T$4003="正常")),出库单!$C$4:$C$4003),""))</f>
        <v/>
      </c>
      <c r="O635" s="28">
        <f>IF($A635="","",IF($L635&lt;=0,"",IF($N635="",IFERROR(账期止-LOOKUP(2,1/(入库单!$G$4:$G$2503=$A635),入库单!$C$4:$C$2503),""),账期止-$N635)))</f>
        <v/>
      </c>
      <c r="P635" s="17" t="n"/>
    </row>
    <row r="636">
      <c r="A636" s="17" t="inlineStr">
        <is>
          <t>JH0633</t>
        </is>
      </c>
      <c r="B636" s="17" t="inlineStr">
        <is>
          <t>电缆电气</t>
        </is>
      </c>
      <c r="C636" s="17" t="inlineStr">
        <is>
          <t>屏蔽线</t>
        </is>
      </c>
      <c r="D636" s="17" t="inlineStr">
        <is>
          <t>ICS-500</t>
        </is>
      </c>
      <c r="E636" s="17" t="inlineStr">
        <is>
          <t>米</t>
        </is>
      </c>
      <c r="F636" s="17" t="inlineStr">
        <is>
          <t>否</t>
        </is>
      </c>
      <c r="G636" s="23" t="n"/>
      <c r="H636" s="24">
        <f>IF($A636="","",IFERROR(LOOKUP(2,1/((入库单!$G$4:$G$2503=$A636)*(入库单!$Y$4:$Y$2503="正常")*(入库单!$L$4:$L$2503&gt;0)),入库单!$D$4:$D$2503),""))</f>
        <v/>
      </c>
      <c r="I636" s="25">
        <f>IF($A636="","",IFERROR(LOOKUP(2,1/((入库单!$G$4:$G$2503=$A636)*(入库单!$Y$4:$Y$2503="正常")*(入库单!$L$4:$L$2503&gt;0)),入库单!$L$4:$L$2503),0))</f>
        <v/>
      </c>
      <c r="J636" s="26">
        <f>IF($A636="","",IF($H636="A国内",ROUND($I636*倍数A*汇率,0),IF($H636="B当地",ROUND($I636*系数B,0),0)))</f>
        <v/>
      </c>
      <c r="K636" s="24">
        <f>IF($A636="","",IF(COUNTIFS(入库单!$G$4:$G$2503,$A636,入库单!$X$4:$X$2503,"待补价")&gt;0,"待补价",IF(COUNTIFS(入库单!$G$4:$G$2503,$A636,入库单!$X$4:$X$2503,"暂估")&gt;0,"暂估",IF($I636=0,"没有进价","正常"))))</f>
        <v/>
      </c>
      <c r="L636" s="27">
        <f>IF($A636="","",IFERROR(VLOOKUP($A636,库存台账!$A$5:$Y$1204,24,0),0))</f>
        <v/>
      </c>
      <c r="M636" s="26">
        <f>IF($A636="","",IFERROR(VLOOKUP($A636,库存台账!$A$5:$Y$1204,25,0),0))</f>
        <v/>
      </c>
      <c r="N636" s="19">
        <f>IF($A636="","",IFERROR(LOOKUP(2,1/((出库单!$D$4:$D$4003=$A636)*(出库单!$T$4:$T$4003="正常")),出库单!$C$4:$C$4003),""))</f>
        <v/>
      </c>
      <c r="O636" s="28">
        <f>IF($A636="","",IF($L636&lt;=0,"",IF($N636="",IFERROR(账期止-LOOKUP(2,1/(入库单!$G$4:$G$2503=$A636),入库单!$C$4:$C$2503),""),账期止-$N636)))</f>
        <v/>
      </c>
      <c r="P636" s="17" t="n"/>
    </row>
    <row r="637">
      <c r="A637" s="17" t="inlineStr">
        <is>
          <t>JH0634</t>
        </is>
      </c>
      <c r="B637" s="17" t="inlineStr">
        <is>
          <t>电缆电气</t>
        </is>
      </c>
      <c r="C637" s="17" t="inlineStr">
        <is>
          <t>控制柜</t>
        </is>
      </c>
      <c r="D637" s="17" t="inlineStr">
        <is>
          <t>ICS-500</t>
        </is>
      </c>
      <c r="E637" s="17" t="inlineStr">
        <is>
          <t>台</t>
        </is>
      </c>
      <c r="F637" s="17" t="inlineStr">
        <is>
          <t>否</t>
        </is>
      </c>
      <c r="G637" s="23" t="n"/>
      <c r="H637" s="24">
        <f>IF($A637="","",IFERROR(LOOKUP(2,1/((入库单!$G$4:$G$2503=$A637)*(入库单!$Y$4:$Y$2503="正常")*(入库单!$L$4:$L$2503&gt;0)),入库单!$D$4:$D$2503),""))</f>
        <v/>
      </c>
      <c r="I637" s="25">
        <f>IF($A637="","",IFERROR(LOOKUP(2,1/((入库单!$G$4:$G$2503=$A637)*(入库单!$Y$4:$Y$2503="正常")*(入库单!$L$4:$L$2503&gt;0)),入库单!$L$4:$L$2503),0))</f>
        <v/>
      </c>
      <c r="J637" s="26">
        <f>IF($A637="","",IF($H637="A国内",ROUND($I637*倍数A*汇率,0),IF($H637="B当地",ROUND($I637*系数B,0),0)))</f>
        <v/>
      </c>
      <c r="K637" s="24">
        <f>IF($A637="","",IF(COUNTIFS(入库单!$G$4:$G$2503,$A637,入库单!$X$4:$X$2503,"待补价")&gt;0,"待补价",IF(COUNTIFS(入库单!$G$4:$G$2503,$A637,入库单!$X$4:$X$2503,"暂估")&gt;0,"暂估",IF($I637=0,"没有进价","正常"))))</f>
        <v/>
      </c>
      <c r="L637" s="27">
        <f>IF($A637="","",IFERROR(VLOOKUP($A637,库存台账!$A$5:$Y$1204,24,0),0))</f>
        <v/>
      </c>
      <c r="M637" s="26">
        <f>IF($A637="","",IFERROR(VLOOKUP($A637,库存台账!$A$5:$Y$1204,25,0),0))</f>
        <v/>
      </c>
      <c r="N637" s="19">
        <f>IF($A637="","",IFERROR(LOOKUP(2,1/((出库单!$D$4:$D$4003=$A637)*(出库单!$T$4:$T$4003="正常")),出库单!$C$4:$C$4003),""))</f>
        <v/>
      </c>
      <c r="O637" s="28">
        <f>IF($A637="","",IF($L637&lt;=0,"",IF($N637="",IFERROR(账期止-LOOKUP(2,1/(入库单!$G$4:$G$2503=$A637),入库单!$C$4:$C$2503),""),账期止-$N637)))</f>
        <v/>
      </c>
      <c r="P637" s="17" t="n"/>
    </row>
    <row r="638">
      <c r="A638" s="17" t="inlineStr">
        <is>
          <t>JH0635</t>
        </is>
      </c>
      <c r="B638" s="17" t="inlineStr">
        <is>
          <t>包装材料</t>
        </is>
      </c>
      <c r="C638" s="17" t="inlineStr">
        <is>
          <t>吨袋</t>
        </is>
      </c>
      <c r="D638" s="17" t="inlineStr">
        <is>
          <t>100*100*130四吊托底大开口一围，袋重1.65KG</t>
        </is>
      </c>
      <c r="E638" s="17" t="inlineStr">
        <is>
          <t>条</t>
        </is>
      </c>
      <c r="F638" s="17" t="inlineStr">
        <is>
          <t>否</t>
        </is>
      </c>
      <c r="G638" s="23" t="n"/>
      <c r="H638" s="24">
        <f>IF($A638="","",IFERROR(LOOKUP(2,1/((入库单!$G$4:$G$2503=$A638)*(入库单!$Y$4:$Y$2503="正常")*(入库单!$L$4:$L$2503&gt;0)),入库单!$D$4:$D$2503),""))</f>
        <v/>
      </c>
      <c r="I638" s="25">
        <f>IF($A638="","",IFERROR(LOOKUP(2,1/((入库单!$G$4:$G$2503=$A638)*(入库单!$Y$4:$Y$2503="正常")*(入库单!$L$4:$L$2503&gt;0)),入库单!$L$4:$L$2503),0))</f>
        <v/>
      </c>
      <c r="J638" s="26">
        <f>IF($A638="","",IF($H638="A国内",ROUND($I638*倍数A*汇率,0),IF($H638="B当地",ROUND($I638*系数B,0),0)))</f>
        <v/>
      </c>
      <c r="K638" s="24">
        <f>IF($A638="","",IF(COUNTIFS(入库单!$G$4:$G$2503,$A638,入库单!$X$4:$X$2503,"待补价")&gt;0,"待补价",IF(COUNTIFS(入库单!$G$4:$G$2503,$A638,入库单!$X$4:$X$2503,"暂估")&gt;0,"暂估",IF($I638=0,"没有进价","正常"))))</f>
        <v/>
      </c>
      <c r="L638" s="27">
        <f>IF($A638="","",IFERROR(VLOOKUP($A638,库存台账!$A$5:$Y$1204,24,0),0))</f>
        <v/>
      </c>
      <c r="M638" s="26">
        <f>IF($A638="","",IFERROR(VLOOKUP($A638,库存台账!$A$5:$Y$1204,25,0),0))</f>
        <v/>
      </c>
      <c r="N638" s="19">
        <f>IF($A638="","",IFERROR(LOOKUP(2,1/((出库单!$D$4:$D$4003=$A638)*(出库单!$T$4:$T$4003="正常")),出库单!$C$4:$C$4003),""))</f>
        <v/>
      </c>
      <c r="O638" s="28">
        <f>IF($A638="","",IF($L638&lt;=0,"",IF($N638="",IFERROR(账期止-LOOKUP(2,1/(入库单!$G$4:$G$2503=$A638),入库单!$C$4:$C$2503),""),账期止-$N638)))</f>
        <v/>
      </c>
      <c r="P638" s="17" t="n"/>
    </row>
    <row r="639">
      <c r="A639" s="17" t="inlineStr">
        <is>
          <t>JH0636</t>
        </is>
      </c>
      <c r="B639" s="17" t="inlineStr">
        <is>
          <t>包装材料</t>
        </is>
      </c>
      <c r="C639" s="17" t="inlineStr">
        <is>
          <t>吨袋</t>
        </is>
      </c>
      <c r="D639" s="17" t="inlineStr">
        <is>
          <t>100*100*130四吊托底大开口二围，袋重1.73KG</t>
        </is>
      </c>
      <c r="E639" s="17" t="inlineStr">
        <is>
          <t>条</t>
        </is>
      </c>
      <c r="F639" s="17" t="inlineStr">
        <is>
          <t>否</t>
        </is>
      </c>
      <c r="G639" s="23" t="n"/>
      <c r="H639" s="24">
        <f>IF($A639="","",IFERROR(LOOKUP(2,1/((入库单!$G$4:$G$2503=$A639)*(入库单!$Y$4:$Y$2503="正常")*(入库单!$L$4:$L$2503&gt;0)),入库单!$D$4:$D$2503),""))</f>
        <v/>
      </c>
      <c r="I639" s="25">
        <f>IF($A639="","",IFERROR(LOOKUP(2,1/((入库单!$G$4:$G$2503=$A639)*(入库单!$Y$4:$Y$2503="正常")*(入库单!$L$4:$L$2503&gt;0)),入库单!$L$4:$L$2503),0))</f>
        <v/>
      </c>
      <c r="J639" s="26">
        <f>IF($A639="","",IF($H639="A国内",ROUND($I639*倍数A*汇率,0),IF($H639="B当地",ROUND($I639*系数B,0),0)))</f>
        <v/>
      </c>
      <c r="K639" s="24">
        <f>IF($A639="","",IF(COUNTIFS(入库单!$G$4:$G$2503,$A639,入库单!$X$4:$X$2503,"待补价")&gt;0,"待补价",IF(COUNTIFS(入库单!$G$4:$G$2503,$A639,入库单!$X$4:$X$2503,"暂估")&gt;0,"暂估",IF($I639=0,"没有进价","正常"))))</f>
        <v/>
      </c>
      <c r="L639" s="27">
        <f>IF($A639="","",IFERROR(VLOOKUP($A639,库存台账!$A$5:$Y$1204,24,0),0))</f>
        <v/>
      </c>
      <c r="M639" s="26">
        <f>IF($A639="","",IFERROR(VLOOKUP($A639,库存台账!$A$5:$Y$1204,25,0),0))</f>
        <v/>
      </c>
      <c r="N639" s="19">
        <f>IF($A639="","",IFERROR(LOOKUP(2,1/((出库单!$D$4:$D$4003=$A639)*(出库单!$T$4:$T$4003="正常")),出库单!$C$4:$C$4003),""))</f>
        <v/>
      </c>
      <c r="O639" s="28">
        <f>IF($A639="","",IF($L639&lt;=0,"",IF($N639="",IFERROR(账期止-LOOKUP(2,1/(入库单!$G$4:$G$2503=$A639),入库单!$C$4:$C$2503),""),账期止-$N639)))</f>
        <v/>
      </c>
      <c r="P639" s="17" t="n"/>
    </row>
    <row r="640">
      <c r="A640" s="17" t="inlineStr">
        <is>
          <t>JH0637</t>
        </is>
      </c>
      <c r="B640" s="17" t="inlineStr">
        <is>
          <t>机械配件</t>
        </is>
      </c>
      <c r="C640" s="17" t="inlineStr">
        <is>
          <t>上叶轮</t>
        </is>
      </c>
      <c r="D640" s="17" t="inlineStr">
        <is>
          <t>3A30T（球铁）</t>
        </is>
      </c>
      <c r="E640" s="17" t="inlineStr">
        <is>
          <t>个</t>
        </is>
      </c>
      <c r="F640" s="17" t="inlineStr">
        <is>
          <t>否</t>
        </is>
      </c>
      <c r="G640" s="23" t="n"/>
      <c r="H640" s="24">
        <f>IF($A640="","",IFERROR(LOOKUP(2,1/((入库单!$G$4:$G$2503=$A640)*(入库单!$Y$4:$Y$2503="正常")*(入库单!$L$4:$L$2503&gt;0)),入库单!$D$4:$D$2503),""))</f>
        <v/>
      </c>
      <c r="I640" s="25">
        <f>IF($A640="","",IFERROR(LOOKUP(2,1/((入库单!$G$4:$G$2503=$A640)*(入库单!$Y$4:$Y$2503="正常")*(入库单!$L$4:$L$2503&gt;0)),入库单!$L$4:$L$2503),0))</f>
        <v/>
      </c>
      <c r="J640" s="26">
        <f>IF($A640="","",IF($H640="A国内",ROUND($I640*倍数A*汇率,0),IF($H640="B当地",ROUND($I640*系数B,0),0)))</f>
        <v/>
      </c>
      <c r="K640" s="24">
        <f>IF($A640="","",IF(COUNTIFS(入库单!$G$4:$G$2503,$A640,入库单!$X$4:$X$2503,"待补价")&gt;0,"待补价",IF(COUNTIFS(入库单!$G$4:$G$2503,$A640,入库单!$X$4:$X$2503,"暂估")&gt;0,"暂估",IF($I640=0,"没有进价","正常"))))</f>
        <v/>
      </c>
      <c r="L640" s="27">
        <f>IF($A640="","",IFERROR(VLOOKUP($A640,库存台账!$A$5:$Y$1204,24,0),0))</f>
        <v/>
      </c>
      <c r="M640" s="26">
        <f>IF($A640="","",IFERROR(VLOOKUP($A640,库存台账!$A$5:$Y$1204,25,0),0))</f>
        <v/>
      </c>
      <c r="N640" s="19">
        <f>IF($A640="","",IFERROR(LOOKUP(2,1/((出库单!$D$4:$D$4003=$A640)*(出库单!$T$4:$T$4003="正常")),出库单!$C$4:$C$4003),""))</f>
        <v/>
      </c>
      <c r="O640" s="28">
        <f>IF($A640="","",IF($L640&lt;=0,"",IF($N640="",IFERROR(账期止-LOOKUP(2,1/(入库单!$G$4:$G$2503=$A640),入库单!$C$4:$C$2503),""),账期止-$N640)))</f>
        <v/>
      </c>
      <c r="P640" s="17" t="n"/>
    </row>
    <row r="641">
      <c r="A641" s="17" t="inlineStr">
        <is>
          <t>JH0638</t>
        </is>
      </c>
      <c r="B641" s="17" t="inlineStr">
        <is>
          <t>机械配件</t>
        </is>
      </c>
      <c r="C641" s="17" t="inlineStr">
        <is>
          <t>叶轮</t>
        </is>
      </c>
      <c r="D641" s="17" t="inlineStr">
        <is>
          <t>3A30T（球铁）</t>
        </is>
      </c>
      <c r="E641" s="17" t="inlineStr">
        <is>
          <t>个</t>
        </is>
      </c>
      <c r="F641" s="17" t="inlineStr">
        <is>
          <t>否</t>
        </is>
      </c>
      <c r="G641" s="23" t="n"/>
      <c r="H641" s="24">
        <f>IF($A641="","",IFERROR(LOOKUP(2,1/((入库单!$G$4:$G$2503=$A641)*(入库单!$Y$4:$Y$2503="正常")*(入库单!$L$4:$L$2503&gt;0)),入库单!$D$4:$D$2503),""))</f>
        <v/>
      </c>
      <c r="I641" s="25">
        <f>IF($A641="","",IFERROR(LOOKUP(2,1/((入库单!$G$4:$G$2503=$A641)*(入库单!$Y$4:$Y$2503="正常")*(入库单!$L$4:$L$2503&gt;0)),入库单!$L$4:$L$2503),0))</f>
        <v/>
      </c>
      <c r="J641" s="26">
        <f>IF($A641="","",IF($H641="A国内",ROUND($I641*倍数A*汇率,0),IF($H641="B当地",ROUND($I641*系数B,0),0)))</f>
        <v/>
      </c>
      <c r="K641" s="24">
        <f>IF($A641="","",IF(COUNTIFS(入库单!$G$4:$G$2503,$A641,入库单!$X$4:$X$2503,"待补价")&gt;0,"待补价",IF(COUNTIFS(入库单!$G$4:$G$2503,$A641,入库单!$X$4:$X$2503,"暂估")&gt;0,"暂估",IF($I641=0,"没有进价","正常"))))</f>
        <v/>
      </c>
      <c r="L641" s="27">
        <f>IF($A641="","",IFERROR(VLOOKUP($A641,库存台账!$A$5:$Y$1204,24,0),0))</f>
        <v/>
      </c>
      <c r="M641" s="26">
        <f>IF($A641="","",IFERROR(VLOOKUP($A641,库存台账!$A$5:$Y$1204,25,0),0))</f>
        <v/>
      </c>
      <c r="N641" s="19">
        <f>IF($A641="","",IFERROR(LOOKUP(2,1/((出库单!$D$4:$D$4003=$A641)*(出库单!$T$4:$T$4003="正常")),出库单!$C$4:$C$4003),""))</f>
        <v/>
      </c>
      <c r="O641" s="28">
        <f>IF($A641="","",IF($L641&lt;=0,"",IF($N641="",IFERROR(账期止-LOOKUP(2,1/(入库单!$G$4:$G$2503=$A641),入库单!$C$4:$C$2503),""),账期止-$N641)))</f>
        <v/>
      </c>
      <c r="P641" s="17" t="n"/>
    </row>
    <row r="642">
      <c r="A642" s="17" t="inlineStr">
        <is>
          <t>JH0639</t>
        </is>
      </c>
      <c r="B642" s="17" t="inlineStr">
        <is>
          <t>其他</t>
        </is>
      </c>
      <c r="C642" s="17" t="inlineStr">
        <is>
          <t>导叶</t>
        </is>
      </c>
      <c r="D642" s="17" t="inlineStr">
        <is>
          <t>3A30T（球铁）</t>
        </is>
      </c>
      <c r="E642" s="17" t="inlineStr">
        <is>
          <t>个</t>
        </is>
      </c>
      <c r="F642" s="17" t="inlineStr">
        <is>
          <t>否</t>
        </is>
      </c>
      <c r="G642" s="23" t="n"/>
      <c r="H642" s="24">
        <f>IF($A642="","",IFERROR(LOOKUP(2,1/((入库单!$G$4:$G$2503=$A642)*(入库单!$Y$4:$Y$2503="正常")*(入库单!$L$4:$L$2503&gt;0)),入库单!$D$4:$D$2503),""))</f>
        <v/>
      </c>
      <c r="I642" s="25">
        <f>IF($A642="","",IFERROR(LOOKUP(2,1/((入库单!$G$4:$G$2503=$A642)*(入库单!$Y$4:$Y$2503="正常")*(入库单!$L$4:$L$2503&gt;0)),入库单!$L$4:$L$2503),0))</f>
        <v/>
      </c>
      <c r="J642" s="26">
        <f>IF($A642="","",IF($H642="A国内",ROUND($I642*倍数A*汇率,0),IF($H642="B当地",ROUND($I642*系数B,0),0)))</f>
        <v/>
      </c>
      <c r="K642" s="24">
        <f>IF($A642="","",IF(COUNTIFS(入库单!$G$4:$G$2503,$A642,入库单!$X$4:$X$2503,"待补价")&gt;0,"待补价",IF(COUNTIFS(入库单!$G$4:$G$2503,$A642,入库单!$X$4:$X$2503,"暂估")&gt;0,"暂估",IF($I642=0,"没有进价","正常"))))</f>
        <v/>
      </c>
      <c r="L642" s="27">
        <f>IF($A642="","",IFERROR(VLOOKUP($A642,库存台账!$A$5:$Y$1204,24,0),0))</f>
        <v/>
      </c>
      <c r="M642" s="26">
        <f>IF($A642="","",IFERROR(VLOOKUP($A642,库存台账!$A$5:$Y$1204,25,0),0))</f>
        <v/>
      </c>
      <c r="N642" s="19">
        <f>IF($A642="","",IFERROR(LOOKUP(2,1/((出库单!$D$4:$D$4003=$A642)*(出库单!$T$4:$T$4003="正常")),出库单!$C$4:$C$4003),""))</f>
        <v/>
      </c>
      <c r="O642" s="28">
        <f>IF($A642="","",IF($L642&lt;=0,"",IF($N642="",IFERROR(账期止-LOOKUP(2,1/(入库单!$G$4:$G$2503=$A642),入库单!$C$4:$C$2503),""),账期止-$N642)))</f>
        <v/>
      </c>
      <c r="P642" s="17" t="n"/>
    </row>
    <row r="643">
      <c r="A643" s="17" t="inlineStr">
        <is>
          <t>JH0640</t>
        </is>
      </c>
      <c r="B643" s="17" t="inlineStr">
        <is>
          <t>其他</t>
        </is>
      </c>
      <c r="C643" s="17" t="inlineStr">
        <is>
          <t>导环</t>
        </is>
      </c>
      <c r="D643" s="17" t="inlineStr">
        <is>
          <t>3A30T（塑料）</t>
        </is>
      </c>
      <c r="E643" s="17" t="inlineStr">
        <is>
          <t>个</t>
        </is>
      </c>
      <c r="F643" s="17" t="inlineStr">
        <is>
          <t>否</t>
        </is>
      </c>
      <c r="G643" s="23" t="n"/>
      <c r="H643" s="24">
        <f>IF($A643="","",IFERROR(LOOKUP(2,1/((入库单!$G$4:$G$2503=$A643)*(入库单!$Y$4:$Y$2503="正常")*(入库单!$L$4:$L$2503&gt;0)),入库单!$D$4:$D$2503),""))</f>
        <v/>
      </c>
      <c r="I643" s="25">
        <f>IF($A643="","",IFERROR(LOOKUP(2,1/((入库单!$G$4:$G$2503=$A643)*(入库单!$Y$4:$Y$2503="正常")*(入库单!$L$4:$L$2503&gt;0)),入库单!$L$4:$L$2503),0))</f>
        <v/>
      </c>
      <c r="J643" s="26">
        <f>IF($A643="","",IF($H643="A国内",ROUND($I643*倍数A*汇率,0),IF($H643="B当地",ROUND($I643*系数B,0),0)))</f>
        <v/>
      </c>
      <c r="K643" s="24">
        <f>IF($A643="","",IF(COUNTIFS(入库单!$G$4:$G$2503,$A643,入库单!$X$4:$X$2503,"待补价")&gt;0,"待补价",IF(COUNTIFS(入库单!$G$4:$G$2503,$A643,入库单!$X$4:$X$2503,"暂估")&gt;0,"暂估",IF($I643=0,"没有进价","正常"))))</f>
        <v/>
      </c>
      <c r="L643" s="27">
        <f>IF($A643="","",IFERROR(VLOOKUP($A643,库存台账!$A$5:$Y$1204,24,0),0))</f>
        <v/>
      </c>
      <c r="M643" s="26">
        <f>IF($A643="","",IFERROR(VLOOKUP($A643,库存台账!$A$5:$Y$1204,25,0),0))</f>
        <v/>
      </c>
      <c r="N643" s="19">
        <f>IF($A643="","",IFERROR(LOOKUP(2,1/((出库单!$D$4:$D$4003=$A643)*(出库单!$T$4:$T$4003="正常")),出库单!$C$4:$C$4003),""))</f>
        <v/>
      </c>
      <c r="O643" s="28">
        <f>IF($A643="","",IF($L643&lt;=0,"",IF($N643="",IFERROR(账期止-LOOKUP(2,1/(入库单!$G$4:$G$2503=$A643),入库单!$C$4:$C$2503),""),账期止-$N643)))</f>
        <v/>
      </c>
      <c r="P643" s="17" t="n"/>
    </row>
    <row r="644">
      <c r="A644" s="17" t="inlineStr">
        <is>
          <t>JH0641</t>
        </is>
      </c>
      <c r="B644" s="17" t="inlineStr">
        <is>
          <t>其他</t>
        </is>
      </c>
      <c r="C644" s="17" t="inlineStr">
        <is>
          <t>导叶</t>
        </is>
      </c>
      <c r="D644" s="17" t="inlineStr">
        <is>
          <t>3A30T（塑料）</t>
        </is>
      </c>
      <c r="E644" s="17" t="inlineStr">
        <is>
          <t>个</t>
        </is>
      </c>
      <c r="F644" s="17" t="inlineStr">
        <is>
          <t>否</t>
        </is>
      </c>
      <c r="G644" s="23" t="n"/>
      <c r="H644" s="24">
        <f>IF($A644="","",IFERROR(LOOKUP(2,1/((入库单!$G$4:$G$2503=$A644)*(入库单!$Y$4:$Y$2503="正常")*(入库单!$L$4:$L$2503&gt;0)),入库单!$D$4:$D$2503),""))</f>
        <v/>
      </c>
      <c r="I644" s="25">
        <f>IF($A644="","",IFERROR(LOOKUP(2,1/((入库单!$G$4:$G$2503=$A644)*(入库单!$Y$4:$Y$2503="正常")*(入库单!$L$4:$L$2503&gt;0)),入库单!$L$4:$L$2503),0))</f>
        <v/>
      </c>
      <c r="J644" s="26">
        <f>IF($A644="","",IF($H644="A国内",ROUND($I644*倍数A*汇率,0),IF($H644="B当地",ROUND($I644*系数B,0),0)))</f>
        <v/>
      </c>
      <c r="K644" s="24">
        <f>IF($A644="","",IF(COUNTIFS(入库单!$G$4:$G$2503,$A644,入库单!$X$4:$X$2503,"待补价")&gt;0,"待补价",IF(COUNTIFS(入库单!$G$4:$G$2503,$A644,入库单!$X$4:$X$2503,"暂估")&gt;0,"暂估",IF($I644=0,"没有进价","正常"))))</f>
        <v/>
      </c>
      <c r="L644" s="27">
        <f>IF($A644="","",IFERROR(VLOOKUP($A644,库存台账!$A$5:$Y$1204,24,0),0))</f>
        <v/>
      </c>
      <c r="M644" s="26">
        <f>IF($A644="","",IFERROR(VLOOKUP($A644,库存台账!$A$5:$Y$1204,25,0),0))</f>
        <v/>
      </c>
      <c r="N644" s="19">
        <f>IF($A644="","",IFERROR(LOOKUP(2,1/((出库单!$D$4:$D$4003=$A644)*(出库单!$T$4:$T$4003="正常")),出库单!$C$4:$C$4003),""))</f>
        <v/>
      </c>
      <c r="O644" s="28">
        <f>IF($A644="","",IF($L644&lt;=0,"",IF($N644="",IFERROR(账期止-LOOKUP(2,1/(入库单!$G$4:$G$2503=$A644),入库单!$C$4:$C$2503),""),账期止-$N644)))</f>
        <v/>
      </c>
      <c r="P644" s="17" t="n"/>
    </row>
    <row r="645">
      <c r="A645" s="17" t="inlineStr">
        <is>
          <t>JH0642</t>
        </is>
      </c>
      <c r="B645" s="17" t="inlineStr">
        <is>
          <t>选矿药剂</t>
        </is>
      </c>
      <c r="C645" s="17" t="inlineStr">
        <is>
          <t>药剂</t>
        </is>
      </c>
      <c r="D645" s="17" t="inlineStr">
        <is>
          <t>IPETC (95%)异丙基乙</t>
        </is>
      </c>
      <c r="E645" s="17" t="inlineStr">
        <is>
          <t>桶/吨</t>
        </is>
      </c>
      <c r="F645" s="17" t="inlineStr">
        <is>
          <t>是</t>
        </is>
      </c>
      <c r="G645" s="23" t="n"/>
      <c r="H645" s="24">
        <f>IF($A645="","",IFERROR(LOOKUP(2,1/((入库单!$G$4:$G$2503=$A645)*(入库单!$Y$4:$Y$2503="正常")*(入库单!$L$4:$L$2503&gt;0)),入库单!$D$4:$D$2503),""))</f>
        <v/>
      </c>
      <c r="I645" s="25">
        <f>IF($A645="","",IFERROR(LOOKUP(2,1/((入库单!$G$4:$G$2503=$A645)*(入库单!$Y$4:$Y$2503="正常")*(入库单!$L$4:$L$2503&gt;0)),入库单!$L$4:$L$2503),0))</f>
        <v/>
      </c>
      <c r="J645" s="26">
        <f>IF($A645="","",IF($H645="A国内",ROUND($I645*倍数A*汇率,0),IF($H645="B当地",ROUND($I645*系数B,0),0)))</f>
        <v/>
      </c>
      <c r="K645" s="24">
        <f>IF($A645="","",IF(COUNTIFS(入库单!$G$4:$G$2503,$A645,入库单!$X$4:$X$2503,"待补价")&gt;0,"待补价",IF(COUNTIFS(入库单!$G$4:$G$2503,$A645,入库单!$X$4:$X$2503,"暂估")&gt;0,"暂估",IF($I645=0,"没有进价","正常"))))</f>
        <v/>
      </c>
      <c r="L645" s="27">
        <f>IF($A645="","",IFERROR(VLOOKUP($A645,库存台账!$A$5:$Y$1204,24,0),0))</f>
        <v/>
      </c>
      <c r="M645" s="26">
        <f>IF($A645="","",IFERROR(VLOOKUP($A645,库存台账!$A$5:$Y$1204,25,0),0))</f>
        <v/>
      </c>
      <c r="N645" s="19">
        <f>IF($A645="","",IFERROR(LOOKUP(2,1/((出库单!$D$4:$D$4003=$A645)*(出库单!$T$4:$T$4003="正常")),出库单!$C$4:$C$4003),""))</f>
        <v/>
      </c>
      <c r="O645" s="28">
        <f>IF($A645="","",IF($L645&lt;=0,"",IF($N645="",IFERROR(账期止-LOOKUP(2,1/(入库单!$G$4:$G$2503=$A645),入库单!$C$4:$C$2503),""),账期止-$N645)))</f>
        <v/>
      </c>
      <c r="P645" s="17" t="n"/>
    </row>
    <row r="646">
      <c r="A646" s="17" t="inlineStr">
        <is>
          <t>JH0643</t>
        </is>
      </c>
      <c r="B646" s="17" t="inlineStr">
        <is>
          <t>选矿药剂</t>
        </is>
      </c>
      <c r="C646" s="17" t="inlineStr">
        <is>
          <t>药剂</t>
        </is>
      </c>
      <c r="D646" s="17" t="inlineStr">
        <is>
          <t>丁基黄原酸钠</t>
        </is>
      </c>
      <c r="E646" s="17" t="inlineStr">
        <is>
          <t>袋/25KG</t>
        </is>
      </c>
      <c r="F646" s="17" t="inlineStr">
        <is>
          <t>是</t>
        </is>
      </c>
      <c r="G646" s="23" t="n"/>
      <c r="H646" s="24">
        <f>IF($A646="","",IFERROR(LOOKUP(2,1/((入库单!$G$4:$G$2503=$A646)*(入库单!$Y$4:$Y$2503="正常")*(入库单!$L$4:$L$2503&gt;0)),入库单!$D$4:$D$2503),""))</f>
        <v/>
      </c>
      <c r="I646" s="25">
        <f>IF($A646="","",IFERROR(LOOKUP(2,1/((入库单!$G$4:$G$2503=$A646)*(入库单!$Y$4:$Y$2503="正常")*(入库单!$L$4:$L$2503&gt;0)),入库单!$L$4:$L$2503),0))</f>
        <v/>
      </c>
      <c r="J646" s="26">
        <f>IF($A646="","",IF($H646="A国内",ROUND($I646*倍数A*汇率,0),IF($H646="B当地",ROUND($I646*系数B,0),0)))</f>
        <v/>
      </c>
      <c r="K646" s="24">
        <f>IF($A646="","",IF(COUNTIFS(入库单!$G$4:$G$2503,$A646,入库单!$X$4:$X$2503,"待补价")&gt;0,"待补价",IF(COUNTIFS(入库单!$G$4:$G$2503,$A646,入库单!$X$4:$X$2503,"暂估")&gt;0,"暂估",IF($I646=0,"没有进价","正常"))))</f>
        <v/>
      </c>
      <c r="L646" s="27">
        <f>IF($A646="","",IFERROR(VLOOKUP($A646,库存台账!$A$5:$Y$1204,24,0),0))</f>
        <v/>
      </c>
      <c r="M646" s="26">
        <f>IF($A646="","",IFERROR(VLOOKUP($A646,库存台账!$A$5:$Y$1204,25,0),0))</f>
        <v/>
      </c>
      <c r="N646" s="19">
        <f>IF($A646="","",IFERROR(LOOKUP(2,1/((出库单!$D$4:$D$4003=$A646)*(出库单!$T$4:$T$4003="正常")),出库单!$C$4:$C$4003),""))</f>
        <v/>
      </c>
      <c r="O646" s="28">
        <f>IF($A646="","",IF($L646&lt;=0,"",IF($N646="",IFERROR(账期止-LOOKUP(2,1/(入库单!$G$4:$G$2503=$A646),入库单!$C$4:$C$2503),""),账期止-$N646)))</f>
        <v/>
      </c>
      <c r="P646" s="17" t="n"/>
    </row>
    <row r="647">
      <c r="A647" s="17" t="inlineStr">
        <is>
          <t>JH0644</t>
        </is>
      </c>
      <c r="B647" s="17" t="inlineStr">
        <is>
          <t>选矿药剂</t>
        </is>
      </c>
      <c r="C647" s="17" t="inlineStr">
        <is>
          <t>药剂</t>
        </is>
      </c>
      <c r="D647" s="17" t="inlineStr">
        <is>
          <t>乙基黄原酸钠</t>
        </is>
      </c>
      <c r="E647" s="17" t="inlineStr">
        <is>
          <t>袋/25KG</t>
        </is>
      </c>
      <c r="F647" s="17" t="inlineStr">
        <is>
          <t>是</t>
        </is>
      </c>
      <c r="G647" s="23" t="n"/>
      <c r="H647" s="24">
        <f>IF($A647="","",IFERROR(LOOKUP(2,1/((入库单!$G$4:$G$2503=$A647)*(入库单!$Y$4:$Y$2503="正常")*(入库单!$L$4:$L$2503&gt;0)),入库单!$D$4:$D$2503),""))</f>
        <v/>
      </c>
      <c r="I647" s="25">
        <f>IF($A647="","",IFERROR(LOOKUP(2,1/((入库单!$G$4:$G$2503=$A647)*(入库单!$Y$4:$Y$2503="正常")*(入库单!$L$4:$L$2503&gt;0)),入库单!$L$4:$L$2503),0))</f>
        <v/>
      </c>
      <c r="J647" s="26">
        <f>IF($A647="","",IF($H647="A国内",ROUND($I647*倍数A*汇率,0),IF($H647="B当地",ROUND($I647*系数B,0),0)))</f>
        <v/>
      </c>
      <c r="K647" s="24">
        <f>IF($A647="","",IF(COUNTIFS(入库单!$G$4:$G$2503,$A647,入库单!$X$4:$X$2503,"待补价")&gt;0,"待补价",IF(COUNTIFS(入库单!$G$4:$G$2503,$A647,入库单!$X$4:$X$2503,"暂估")&gt;0,"暂估",IF($I647=0,"没有进价","正常"))))</f>
        <v/>
      </c>
      <c r="L647" s="27">
        <f>IF($A647="","",IFERROR(VLOOKUP($A647,库存台账!$A$5:$Y$1204,24,0),0))</f>
        <v/>
      </c>
      <c r="M647" s="26">
        <f>IF($A647="","",IFERROR(VLOOKUP($A647,库存台账!$A$5:$Y$1204,25,0),0))</f>
        <v/>
      </c>
      <c r="N647" s="19">
        <f>IF($A647="","",IFERROR(LOOKUP(2,1/((出库单!$D$4:$D$4003=$A647)*(出库单!$T$4:$T$4003="正常")),出库单!$C$4:$C$4003),""))</f>
        <v/>
      </c>
      <c r="O647" s="28">
        <f>IF($A647="","",IF($L647&lt;=0,"",IF($N647="",IFERROR(账期止-LOOKUP(2,1/(入库单!$G$4:$G$2503=$A647),入库单!$C$4:$C$2503),""),账期止-$N647)))</f>
        <v/>
      </c>
      <c r="P647" s="17" t="n"/>
    </row>
    <row r="648">
      <c r="A648" s="17" t="inlineStr">
        <is>
          <t>JH0645</t>
        </is>
      </c>
      <c r="B648" s="17" t="inlineStr">
        <is>
          <t>选矿药剂</t>
        </is>
      </c>
      <c r="C648" s="17" t="inlineStr">
        <is>
          <t>药剂</t>
        </is>
      </c>
      <c r="D648" s="17" t="inlineStr">
        <is>
          <t>碳酸钠</t>
        </is>
      </c>
      <c r="E648" s="17" t="inlineStr">
        <is>
          <t>袋/1250KG</t>
        </is>
      </c>
      <c r="F648" s="17" t="inlineStr">
        <is>
          <t>是</t>
        </is>
      </c>
      <c r="G648" s="23" t="n"/>
      <c r="H648" s="24">
        <f>IF($A648="","",IFERROR(LOOKUP(2,1/((入库单!$G$4:$G$2503=$A648)*(入库单!$Y$4:$Y$2503="正常")*(入库单!$L$4:$L$2503&gt;0)),入库单!$D$4:$D$2503),""))</f>
        <v/>
      </c>
      <c r="I648" s="25">
        <f>IF($A648="","",IFERROR(LOOKUP(2,1/((入库单!$G$4:$G$2503=$A648)*(入库单!$Y$4:$Y$2503="正常")*(入库单!$L$4:$L$2503&gt;0)),入库单!$L$4:$L$2503),0))</f>
        <v/>
      </c>
      <c r="J648" s="26">
        <f>IF($A648="","",IF($H648="A国内",ROUND($I648*倍数A*汇率,0),IF($H648="B当地",ROUND($I648*系数B,0),0)))</f>
        <v/>
      </c>
      <c r="K648" s="24">
        <f>IF($A648="","",IF(COUNTIFS(入库单!$G$4:$G$2503,$A648,入库单!$X$4:$X$2503,"待补价")&gt;0,"待补价",IF(COUNTIFS(入库单!$G$4:$G$2503,$A648,入库单!$X$4:$X$2503,"暂估")&gt;0,"暂估",IF($I648=0,"没有进价","正常"))))</f>
        <v/>
      </c>
      <c r="L648" s="27">
        <f>IF($A648="","",IFERROR(VLOOKUP($A648,库存台账!$A$5:$Y$1204,24,0),0))</f>
        <v/>
      </c>
      <c r="M648" s="26">
        <f>IF($A648="","",IFERROR(VLOOKUP($A648,库存台账!$A$5:$Y$1204,25,0),0))</f>
        <v/>
      </c>
      <c r="N648" s="19">
        <f>IF($A648="","",IFERROR(LOOKUP(2,1/((出库单!$D$4:$D$4003=$A648)*(出库单!$T$4:$T$4003="正常")),出库单!$C$4:$C$4003),""))</f>
        <v/>
      </c>
      <c r="O648" s="28">
        <f>IF($A648="","",IF($L648&lt;=0,"",IF($N648="",IFERROR(账期止-LOOKUP(2,1/(入库单!$G$4:$G$2503=$A648),入库单!$C$4:$C$2503),""),账期止-$N648)))</f>
        <v/>
      </c>
      <c r="P648" s="17" t="n"/>
    </row>
    <row r="649">
      <c r="A649" s="17" t="inlineStr">
        <is>
          <t>JH0646</t>
        </is>
      </c>
      <c r="B649" s="17" t="inlineStr">
        <is>
          <t>钢材</t>
        </is>
      </c>
      <c r="C649" s="17" t="inlineStr">
        <is>
          <t>钢轨</t>
        </is>
      </c>
      <c r="D649" s="17" t="inlineStr">
        <is>
          <t>12*6mm</t>
        </is>
      </c>
      <c r="E649" s="17" t="inlineStr">
        <is>
          <t>吨</t>
        </is>
      </c>
      <c r="F649" s="17" t="inlineStr">
        <is>
          <t>否</t>
        </is>
      </c>
      <c r="G649" s="23" t="n"/>
      <c r="H649" s="24">
        <f>IF($A649="","",IFERROR(LOOKUP(2,1/((入库单!$G$4:$G$2503=$A649)*(入库单!$Y$4:$Y$2503="正常")*(入库单!$L$4:$L$2503&gt;0)),入库单!$D$4:$D$2503),""))</f>
        <v/>
      </c>
      <c r="I649" s="25">
        <f>IF($A649="","",IFERROR(LOOKUP(2,1/((入库单!$G$4:$G$2503=$A649)*(入库单!$Y$4:$Y$2503="正常")*(入库单!$L$4:$L$2503&gt;0)),入库单!$L$4:$L$2503),0))</f>
        <v/>
      </c>
      <c r="J649" s="26">
        <f>IF($A649="","",IF($H649="A国内",ROUND($I649*倍数A*汇率,0),IF($H649="B当地",ROUND($I649*系数B,0),0)))</f>
        <v/>
      </c>
      <c r="K649" s="24">
        <f>IF($A649="","",IF(COUNTIFS(入库单!$G$4:$G$2503,$A649,入库单!$X$4:$X$2503,"待补价")&gt;0,"待补价",IF(COUNTIFS(入库单!$G$4:$G$2503,$A649,入库单!$X$4:$X$2503,"暂估")&gt;0,"暂估",IF($I649=0,"没有进价","正常"))))</f>
        <v/>
      </c>
      <c r="L649" s="27">
        <f>IF($A649="","",IFERROR(VLOOKUP($A649,库存台账!$A$5:$Y$1204,24,0),0))</f>
        <v/>
      </c>
      <c r="M649" s="26">
        <f>IF($A649="","",IFERROR(VLOOKUP($A649,库存台账!$A$5:$Y$1204,25,0),0))</f>
        <v/>
      </c>
      <c r="N649" s="19">
        <f>IF($A649="","",IFERROR(LOOKUP(2,1/((出库单!$D$4:$D$4003=$A649)*(出库单!$T$4:$T$4003="正常")),出库单!$C$4:$C$4003),""))</f>
        <v/>
      </c>
      <c r="O649" s="28">
        <f>IF($A649="","",IF($L649&lt;=0,"",IF($N649="",IFERROR(账期止-LOOKUP(2,1/(入库单!$G$4:$G$2503=$A649),入库单!$C$4:$C$2503),""),账期止-$N649)))</f>
        <v/>
      </c>
      <c r="P649" s="17" t="n"/>
    </row>
    <row r="650">
      <c r="A650" s="17" t="inlineStr">
        <is>
          <t>JH0647</t>
        </is>
      </c>
      <c r="B650" s="17" t="inlineStr">
        <is>
          <t>机械设备</t>
        </is>
      </c>
      <c r="C650" s="17" t="inlineStr">
        <is>
          <t>江淮叉车CPC35H3</t>
        </is>
      </c>
      <c r="D650" s="17" t="inlineStr">
        <is>
          <t>配新昌 4D29V41,3米门架，
二级自由提升，
1.3米加宽货叉架；
侧移器，前轮双胎
（充气）；后轮实心胎；
双空滤，
1.37米货叉，3.5吨。</t>
        </is>
      </c>
      <c r="E650" s="17" t="inlineStr">
        <is>
          <t>台</t>
        </is>
      </c>
      <c r="F650" s="17" t="inlineStr">
        <is>
          <t>否</t>
        </is>
      </c>
      <c r="G650" s="23" t="n"/>
      <c r="H650" s="24">
        <f>IF($A650="","",IFERROR(LOOKUP(2,1/((入库单!$G$4:$G$2503=$A650)*(入库单!$Y$4:$Y$2503="正常")*(入库单!$L$4:$L$2503&gt;0)),入库单!$D$4:$D$2503),""))</f>
        <v/>
      </c>
      <c r="I650" s="25">
        <f>IF($A650="","",IFERROR(LOOKUP(2,1/((入库单!$G$4:$G$2503=$A650)*(入库单!$Y$4:$Y$2503="正常")*(入库单!$L$4:$L$2503&gt;0)),入库单!$L$4:$L$2503),0))</f>
        <v/>
      </c>
      <c r="J650" s="26">
        <f>IF($A650="","",IF($H650="A国内",ROUND($I650*倍数A*汇率,0),IF($H650="B当地",ROUND($I650*系数B,0),0)))</f>
        <v/>
      </c>
      <c r="K650" s="24">
        <f>IF($A650="","",IF(COUNTIFS(入库单!$G$4:$G$2503,$A650,入库单!$X$4:$X$2503,"待补价")&gt;0,"待补价",IF(COUNTIFS(入库单!$G$4:$G$2503,$A650,入库单!$X$4:$X$2503,"暂估")&gt;0,"暂估",IF($I650=0,"没有进价","正常"))))</f>
        <v/>
      </c>
      <c r="L650" s="27">
        <f>IF($A650="","",IFERROR(VLOOKUP($A650,库存台账!$A$5:$Y$1204,24,0),0))</f>
        <v/>
      </c>
      <c r="M650" s="26">
        <f>IF($A650="","",IFERROR(VLOOKUP($A650,库存台账!$A$5:$Y$1204,25,0),0))</f>
        <v/>
      </c>
      <c r="N650" s="19">
        <f>IF($A650="","",IFERROR(LOOKUP(2,1/((出库单!$D$4:$D$4003=$A650)*(出库单!$T$4:$T$4003="正常")),出库单!$C$4:$C$4003),""))</f>
        <v/>
      </c>
      <c r="O650" s="28">
        <f>IF($A650="","",IF($L650&lt;=0,"",IF($N650="",IFERROR(账期止-LOOKUP(2,1/(入库单!$G$4:$G$2503=$A650),入库单!$C$4:$C$2503),""),账期止-$N650)))</f>
        <v/>
      </c>
      <c r="P650" s="17" t="n"/>
    </row>
    <row r="651">
      <c r="A651" s="17" t="inlineStr">
        <is>
          <t>JH0648</t>
        </is>
      </c>
      <c r="B651" s="17" t="inlineStr">
        <is>
          <t>机械设备</t>
        </is>
      </c>
      <c r="C651" s="17" t="inlineStr">
        <is>
          <t>离合器压盘</t>
        </is>
      </c>
      <c r="D651" s="17" t="inlineStr"/>
      <c r="E651" s="17" t="inlineStr">
        <is>
          <t>个</t>
        </is>
      </c>
      <c r="F651" s="17" t="inlineStr">
        <is>
          <t>否</t>
        </is>
      </c>
      <c r="G651" s="23" t="n"/>
      <c r="H651" s="24">
        <f>IF($A651="","",IFERROR(LOOKUP(2,1/((入库单!$G$4:$G$2503=$A651)*(入库单!$Y$4:$Y$2503="正常")*(入库单!$L$4:$L$2503&gt;0)),入库单!$D$4:$D$2503),""))</f>
        <v/>
      </c>
      <c r="I651" s="25">
        <f>IF($A651="","",IFERROR(LOOKUP(2,1/((入库单!$G$4:$G$2503=$A651)*(入库单!$Y$4:$Y$2503="正常")*(入库单!$L$4:$L$2503&gt;0)),入库单!$L$4:$L$2503),0))</f>
        <v/>
      </c>
      <c r="J651" s="26">
        <f>IF($A651="","",IF($H651="A国内",ROUND($I651*倍数A*汇率,0),IF($H651="B当地",ROUND($I651*系数B,0),0)))</f>
        <v/>
      </c>
      <c r="K651" s="24">
        <f>IF($A651="","",IF(COUNTIFS(入库单!$G$4:$G$2503,$A651,入库单!$X$4:$X$2503,"待补价")&gt;0,"待补价",IF(COUNTIFS(入库单!$G$4:$G$2503,$A651,入库单!$X$4:$X$2503,"暂估")&gt;0,"暂估",IF($I651=0,"没有进价","正常"))))</f>
        <v/>
      </c>
      <c r="L651" s="27">
        <f>IF($A651="","",IFERROR(VLOOKUP($A651,库存台账!$A$5:$Y$1204,24,0),0))</f>
        <v/>
      </c>
      <c r="M651" s="26">
        <f>IF($A651="","",IFERROR(VLOOKUP($A651,库存台账!$A$5:$Y$1204,25,0),0))</f>
        <v/>
      </c>
      <c r="N651" s="19">
        <f>IF($A651="","",IFERROR(LOOKUP(2,1/((出库单!$D$4:$D$4003=$A651)*(出库单!$T$4:$T$4003="正常")),出库单!$C$4:$C$4003),""))</f>
        <v/>
      </c>
      <c r="O651" s="28">
        <f>IF($A651="","",IF($L651&lt;=0,"",IF($N651="",IFERROR(账期止-LOOKUP(2,1/(入库单!$G$4:$G$2503=$A651),入库单!$C$4:$C$2503),""),账期止-$N651)))</f>
        <v/>
      </c>
      <c r="P651" s="17" t="n"/>
    </row>
    <row r="652">
      <c r="A652" s="17" t="inlineStr">
        <is>
          <t>JH0649</t>
        </is>
      </c>
      <c r="B652" s="17" t="inlineStr">
        <is>
          <t>机械设备</t>
        </is>
      </c>
      <c r="C652" s="17" t="inlineStr">
        <is>
          <t>中叉离合器片</t>
        </is>
      </c>
      <c r="D652" s="17" t="inlineStr"/>
      <c r="E652" s="17" t="inlineStr">
        <is>
          <t>片</t>
        </is>
      </c>
      <c r="F652" s="17" t="inlineStr">
        <is>
          <t>否</t>
        </is>
      </c>
      <c r="G652" s="23" t="n"/>
      <c r="H652" s="24">
        <f>IF($A652="","",IFERROR(LOOKUP(2,1/((入库单!$G$4:$G$2503=$A652)*(入库单!$Y$4:$Y$2503="正常")*(入库单!$L$4:$L$2503&gt;0)),入库单!$D$4:$D$2503),""))</f>
        <v/>
      </c>
      <c r="I652" s="25">
        <f>IF($A652="","",IFERROR(LOOKUP(2,1/((入库单!$G$4:$G$2503=$A652)*(入库单!$Y$4:$Y$2503="正常")*(入库单!$L$4:$L$2503&gt;0)),入库单!$L$4:$L$2503),0))</f>
        <v/>
      </c>
      <c r="J652" s="26">
        <f>IF($A652="","",IF($H652="A国内",ROUND($I652*倍数A*汇率,0),IF($H652="B当地",ROUND($I652*系数B,0),0)))</f>
        <v/>
      </c>
      <c r="K652" s="24">
        <f>IF($A652="","",IF(COUNTIFS(入库单!$G$4:$G$2503,$A652,入库单!$X$4:$X$2503,"待补价")&gt;0,"待补价",IF(COUNTIFS(入库单!$G$4:$G$2503,$A652,入库单!$X$4:$X$2503,"暂估")&gt;0,"暂估",IF($I652=0,"没有进价","正常"))))</f>
        <v/>
      </c>
      <c r="L652" s="27">
        <f>IF($A652="","",IFERROR(VLOOKUP($A652,库存台账!$A$5:$Y$1204,24,0),0))</f>
        <v/>
      </c>
      <c r="M652" s="26">
        <f>IF($A652="","",IFERROR(VLOOKUP($A652,库存台账!$A$5:$Y$1204,25,0),0))</f>
        <v/>
      </c>
      <c r="N652" s="19">
        <f>IF($A652="","",IFERROR(LOOKUP(2,1/((出库单!$D$4:$D$4003=$A652)*(出库单!$T$4:$T$4003="正常")),出库单!$C$4:$C$4003),""))</f>
        <v/>
      </c>
      <c r="O652" s="28">
        <f>IF($A652="","",IF($L652&lt;=0,"",IF($N652="",IFERROR(账期止-LOOKUP(2,1/(入库单!$G$4:$G$2503=$A652),入库单!$C$4:$C$2503),""),账期止-$N652)))</f>
        <v/>
      </c>
      <c r="P652" s="17" t="n"/>
    </row>
    <row r="653">
      <c r="A653" s="17" t="inlineStr">
        <is>
          <t>JH0650</t>
        </is>
      </c>
      <c r="B653" s="17" t="inlineStr">
        <is>
          <t>机械设备</t>
        </is>
      </c>
      <c r="C653" s="17" t="inlineStr">
        <is>
          <t>分离轴承</t>
        </is>
      </c>
      <c r="D653" s="17" t="inlineStr"/>
      <c r="E653" s="17" t="inlineStr">
        <is>
          <t>粒</t>
        </is>
      </c>
      <c r="F653" s="17" t="inlineStr">
        <is>
          <t>否</t>
        </is>
      </c>
      <c r="G653" s="23" t="n"/>
      <c r="H653" s="24">
        <f>IF($A653="","",IFERROR(LOOKUP(2,1/((入库单!$G$4:$G$2503=$A653)*(入库单!$Y$4:$Y$2503="正常")*(入库单!$L$4:$L$2503&gt;0)),入库单!$D$4:$D$2503),""))</f>
        <v/>
      </c>
      <c r="I653" s="25">
        <f>IF($A653="","",IFERROR(LOOKUP(2,1/((入库单!$G$4:$G$2503=$A653)*(入库单!$Y$4:$Y$2503="正常")*(入库单!$L$4:$L$2503&gt;0)),入库单!$L$4:$L$2503),0))</f>
        <v/>
      </c>
      <c r="J653" s="26">
        <f>IF($A653="","",IF($H653="A国内",ROUND($I653*倍数A*汇率,0),IF($H653="B当地",ROUND($I653*系数B,0),0)))</f>
        <v/>
      </c>
      <c r="K653" s="24">
        <f>IF($A653="","",IF(COUNTIFS(入库单!$G$4:$G$2503,$A653,入库单!$X$4:$X$2503,"待补价")&gt;0,"待补价",IF(COUNTIFS(入库单!$G$4:$G$2503,$A653,入库单!$X$4:$X$2503,"暂估")&gt;0,"暂估",IF($I653=0,"没有进价","正常"))))</f>
        <v/>
      </c>
      <c r="L653" s="27">
        <f>IF($A653="","",IFERROR(VLOOKUP($A653,库存台账!$A$5:$Y$1204,24,0),0))</f>
        <v/>
      </c>
      <c r="M653" s="26">
        <f>IF($A653="","",IFERROR(VLOOKUP($A653,库存台账!$A$5:$Y$1204,25,0),0))</f>
        <v/>
      </c>
      <c r="N653" s="19">
        <f>IF($A653="","",IFERROR(LOOKUP(2,1/((出库单!$D$4:$D$4003=$A653)*(出库单!$T$4:$T$4003="正常")),出库单!$C$4:$C$4003),""))</f>
        <v/>
      </c>
      <c r="O653" s="28">
        <f>IF($A653="","",IF($L653&lt;=0,"",IF($N653="",IFERROR(账期止-LOOKUP(2,1/(入库单!$G$4:$G$2503=$A653),入库单!$C$4:$C$2503),""),账期止-$N653)))</f>
        <v/>
      </c>
      <c r="P653" s="17" t="n"/>
    </row>
    <row r="654">
      <c r="A654" s="17" t="inlineStr">
        <is>
          <t>JH0651</t>
        </is>
      </c>
      <c r="B654" s="17" t="inlineStr">
        <is>
          <t>机械设备</t>
        </is>
      </c>
      <c r="C654" s="17" t="inlineStr">
        <is>
          <t>分离轴承座</t>
        </is>
      </c>
      <c r="D654" s="17" t="inlineStr"/>
      <c r="E654" s="17" t="inlineStr">
        <is>
          <t>个</t>
        </is>
      </c>
      <c r="F654" s="17" t="inlineStr">
        <is>
          <t>否</t>
        </is>
      </c>
      <c r="G654" s="23" t="n"/>
      <c r="H654" s="24">
        <f>IF($A654="","",IFERROR(LOOKUP(2,1/((入库单!$G$4:$G$2503=$A654)*(入库单!$Y$4:$Y$2503="正常")*(入库单!$L$4:$L$2503&gt;0)),入库单!$D$4:$D$2503),""))</f>
        <v/>
      </c>
      <c r="I654" s="25">
        <f>IF($A654="","",IFERROR(LOOKUP(2,1/((入库单!$G$4:$G$2503=$A654)*(入库单!$Y$4:$Y$2503="正常")*(入库单!$L$4:$L$2503&gt;0)),入库单!$L$4:$L$2503),0))</f>
        <v/>
      </c>
      <c r="J654" s="26">
        <f>IF($A654="","",IF($H654="A国内",ROUND($I654*倍数A*汇率,0),IF($H654="B当地",ROUND($I654*系数B,0),0)))</f>
        <v/>
      </c>
      <c r="K654" s="24">
        <f>IF($A654="","",IF(COUNTIFS(入库单!$G$4:$G$2503,$A654,入库单!$X$4:$X$2503,"待补价")&gt;0,"待补价",IF(COUNTIFS(入库单!$G$4:$G$2503,$A654,入库单!$X$4:$X$2503,"暂估")&gt;0,"暂估",IF($I654=0,"没有进价","正常"))))</f>
        <v/>
      </c>
      <c r="L654" s="27">
        <f>IF($A654="","",IFERROR(VLOOKUP($A654,库存台账!$A$5:$Y$1204,24,0),0))</f>
        <v/>
      </c>
      <c r="M654" s="26">
        <f>IF($A654="","",IFERROR(VLOOKUP($A654,库存台账!$A$5:$Y$1204,25,0),0))</f>
        <v/>
      </c>
      <c r="N654" s="19">
        <f>IF($A654="","",IFERROR(LOOKUP(2,1/((出库单!$D$4:$D$4003=$A654)*(出库单!$T$4:$T$4003="正常")),出库单!$C$4:$C$4003),""))</f>
        <v/>
      </c>
      <c r="O654" s="28">
        <f>IF($A654="","",IF($L654&lt;=0,"",IF($N654="",IFERROR(账期止-LOOKUP(2,1/(入库单!$G$4:$G$2503=$A654),入库单!$C$4:$C$2503),""),账期止-$N654)))</f>
        <v/>
      </c>
      <c r="P654" s="17" t="n"/>
    </row>
    <row r="655">
      <c r="A655" s="17" t="inlineStr">
        <is>
          <t>JH0652</t>
        </is>
      </c>
      <c r="B655" s="17" t="inlineStr">
        <is>
          <t>机械设备</t>
        </is>
      </c>
      <c r="C655" s="17" t="inlineStr">
        <is>
          <t>前进实心胎</t>
        </is>
      </c>
      <c r="D655" s="17" t="inlineStr">
        <is>
          <t>650-10</t>
        </is>
      </c>
      <c r="E655" s="17" t="inlineStr">
        <is>
          <t>粒</t>
        </is>
      </c>
      <c r="F655" s="17" t="inlineStr">
        <is>
          <t>否</t>
        </is>
      </c>
      <c r="G655" s="23" t="n"/>
      <c r="H655" s="24">
        <f>IF($A655="","",IFERROR(LOOKUP(2,1/((入库单!$G$4:$G$2503=$A655)*(入库单!$Y$4:$Y$2503="正常")*(入库单!$L$4:$L$2503&gt;0)),入库单!$D$4:$D$2503),""))</f>
        <v/>
      </c>
      <c r="I655" s="25">
        <f>IF($A655="","",IFERROR(LOOKUP(2,1/((入库单!$G$4:$G$2503=$A655)*(入库单!$Y$4:$Y$2503="正常")*(入库单!$L$4:$L$2503&gt;0)),入库单!$L$4:$L$2503),0))</f>
        <v/>
      </c>
      <c r="J655" s="26">
        <f>IF($A655="","",IF($H655="A国内",ROUND($I655*倍数A*汇率,0),IF($H655="B当地",ROUND($I655*系数B,0),0)))</f>
        <v/>
      </c>
      <c r="K655" s="24">
        <f>IF($A655="","",IF(COUNTIFS(入库单!$G$4:$G$2503,$A655,入库单!$X$4:$X$2503,"待补价")&gt;0,"待补价",IF(COUNTIFS(入库单!$G$4:$G$2503,$A655,入库单!$X$4:$X$2503,"暂估")&gt;0,"暂估",IF($I655=0,"没有进价","正常"))))</f>
        <v/>
      </c>
      <c r="L655" s="27">
        <f>IF($A655="","",IFERROR(VLOOKUP($A655,库存台账!$A$5:$Y$1204,24,0),0))</f>
        <v/>
      </c>
      <c r="M655" s="26">
        <f>IF($A655="","",IFERROR(VLOOKUP($A655,库存台账!$A$5:$Y$1204,25,0),0))</f>
        <v/>
      </c>
      <c r="N655" s="19">
        <f>IF($A655="","",IFERROR(LOOKUP(2,1/((出库单!$D$4:$D$4003=$A655)*(出库单!$T$4:$T$4003="正常")),出库单!$C$4:$C$4003),""))</f>
        <v/>
      </c>
      <c r="O655" s="28">
        <f>IF($A655="","",IF($L655&lt;=0,"",IF($N655="",IFERROR(账期止-LOOKUP(2,1/(入库单!$G$4:$G$2503=$A655),入库单!$C$4:$C$2503),""),账期止-$N655)))</f>
        <v/>
      </c>
      <c r="P655" s="17" t="n"/>
    </row>
    <row r="656">
      <c r="A656" s="17" t="inlineStr">
        <is>
          <t>JH0653</t>
        </is>
      </c>
      <c r="B656" s="17" t="inlineStr">
        <is>
          <t>机械设备</t>
        </is>
      </c>
      <c r="C656" s="17" t="inlineStr">
        <is>
          <t>朝阳充气胎</t>
        </is>
      </c>
      <c r="D656" s="17" t="inlineStr">
        <is>
          <t>28*9-15</t>
        </is>
      </c>
      <c r="E656" s="17" t="inlineStr">
        <is>
          <t>粒</t>
        </is>
      </c>
      <c r="F656" s="17" t="inlineStr">
        <is>
          <t>否</t>
        </is>
      </c>
      <c r="G656" s="23" t="n"/>
      <c r="H656" s="24">
        <f>IF($A656="","",IFERROR(LOOKUP(2,1/((入库单!$G$4:$G$2503=$A656)*(入库单!$Y$4:$Y$2503="正常")*(入库单!$L$4:$L$2503&gt;0)),入库单!$D$4:$D$2503),""))</f>
        <v/>
      </c>
      <c r="I656" s="25">
        <f>IF($A656="","",IFERROR(LOOKUP(2,1/((入库单!$G$4:$G$2503=$A656)*(入库单!$Y$4:$Y$2503="正常")*(入库单!$L$4:$L$2503&gt;0)),入库单!$L$4:$L$2503),0))</f>
        <v/>
      </c>
      <c r="J656" s="26">
        <f>IF($A656="","",IF($H656="A国内",ROUND($I656*倍数A*汇率,0),IF($H656="B当地",ROUND($I656*系数B,0),0)))</f>
        <v/>
      </c>
      <c r="K656" s="24">
        <f>IF($A656="","",IF(COUNTIFS(入库单!$G$4:$G$2503,$A656,入库单!$X$4:$X$2503,"待补价")&gt;0,"待补价",IF(COUNTIFS(入库单!$G$4:$G$2503,$A656,入库单!$X$4:$X$2503,"暂估")&gt;0,"暂估",IF($I656=0,"没有进价","正常"))))</f>
        <v/>
      </c>
      <c r="L656" s="27">
        <f>IF($A656="","",IFERROR(VLOOKUP($A656,库存台账!$A$5:$Y$1204,24,0),0))</f>
        <v/>
      </c>
      <c r="M656" s="26">
        <f>IF($A656="","",IFERROR(VLOOKUP($A656,库存台账!$A$5:$Y$1204,25,0),0))</f>
        <v/>
      </c>
      <c r="N656" s="19">
        <f>IF($A656="","",IFERROR(LOOKUP(2,1/((出库单!$D$4:$D$4003=$A656)*(出库单!$T$4:$T$4003="正常")),出库单!$C$4:$C$4003),""))</f>
        <v/>
      </c>
      <c r="O656" s="28">
        <f>IF($A656="","",IF($L656&lt;=0,"",IF($N656="",IFERROR(账期止-LOOKUP(2,1/(入库单!$G$4:$G$2503=$A656),入库单!$C$4:$C$2503),""),账期止-$N656)))</f>
        <v/>
      </c>
      <c r="P656" s="17" t="n"/>
    </row>
    <row r="657">
      <c r="A657" s="17" t="inlineStr">
        <is>
          <t>JH0654</t>
        </is>
      </c>
      <c r="B657" s="17" t="inlineStr">
        <is>
          <t>机械设备</t>
        </is>
      </c>
      <c r="C657" s="17" t="inlineStr">
        <is>
          <t>分离拔叉</t>
        </is>
      </c>
      <c r="D657" s="17" t="inlineStr"/>
      <c r="E657" s="17" t="inlineStr">
        <is>
          <t>根</t>
        </is>
      </c>
      <c r="F657" s="17" t="inlineStr">
        <is>
          <t>否</t>
        </is>
      </c>
      <c r="G657" s="23" t="n"/>
      <c r="H657" s="24">
        <f>IF($A657="","",IFERROR(LOOKUP(2,1/((入库单!$G$4:$G$2503=$A657)*(入库单!$Y$4:$Y$2503="正常")*(入库单!$L$4:$L$2503&gt;0)),入库单!$D$4:$D$2503),""))</f>
        <v/>
      </c>
      <c r="I657" s="25">
        <f>IF($A657="","",IFERROR(LOOKUP(2,1/((入库单!$G$4:$G$2503=$A657)*(入库单!$Y$4:$Y$2503="正常")*(入库单!$L$4:$L$2503&gt;0)),入库单!$L$4:$L$2503),0))</f>
        <v/>
      </c>
      <c r="J657" s="26">
        <f>IF($A657="","",IF($H657="A国内",ROUND($I657*倍数A*汇率,0),IF($H657="B当地",ROUND($I657*系数B,0),0)))</f>
        <v/>
      </c>
      <c r="K657" s="24">
        <f>IF($A657="","",IF(COUNTIFS(入库单!$G$4:$G$2503,$A657,入库单!$X$4:$X$2503,"待补价")&gt;0,"待补价",IF(COUNTIFS(入库单!$G$4:$G$2503,$A657,入库单!$X$4:$X$2503,"暂估")&gt;0,"暂估",IF($I657=0,"没有进价","正常"))))</f>
        <v/>
      </c>
      <c r="L657" s="27">
        <f>IF($A657="","",IFERROR(VLOOKUP($A657,库存台账!$A$5:$Y$1204,24,0),0))</f>
        <v/>
      </c>
      <c r="M657" s="26">
        <f>IF($A657="","",IFERROR(VLOOKUP($A657,库存台账!$A$5:$Y$1204,25,0),0))</f>
        <v/>
      </c>
      <c r="N657" s="19">
        <f>IF($A657="","",IFERROR(LOOKUP(2,1/((出库单!$D$4:$D$4003=$A657)*(出库单!$T$4:$T$4003="正常")),出库单!$C$4:$C$4003),""))</f>
        <v/>
      </c>
      <c r="O657" s="28">
        <f>IF($A657="","",IF($L657&lt;=0,"",IF($N657="",IFERROR(账期止-LOOKUP(2,1/(入库单!$G$4:$G$2503=$A657),入库单!$C$4:$C$2503),""),账期止-$N657)))</f>
        <v/>
      </c>
      <c r="P657" s="17" t="n"/>
    </row>
    <row r="658">
      <c r="A658" s="17" t="inlineStr">
        <is>
          <t>JH0655</t>
        </is>
      </c>
      <c r="B658" s="17" t="inlineStr">
        <is>
          <t>机械设备</t>
        </is>
      </c>
      <c r="C658" s="17" t="inlineStr">
        <is>
          <t>转向油管</t>
        </is>
      </c>
      <c r="D658" s="17" t="inlineStr"/>
      <c r="E658" s="17" t="inlineStr">
        <is>
          <t>条</t>
        </is>
      </c>
      <c r="F658" s="17" t="inlineStr">
        <is>
          <t>否</t>
        </is>
      </c>
      <c r="G658" s="23" t="n"/>
      <c r="H658" s="24">
        <f>IF($A658="","",IFERROR(LOOKUP(2,1/((入库单!$G$4:$G$2503=$A658)*(入库单!$Y$4:$Y$2503="正常")*(入库单!$L$4:$L$2503&gt;0)),入库单!$D$4:$D$2503),""))</f>
        <v/>
      </c>
      <c r="I658" s="25">
        <f>IF($A658="","",IFERROR(LOOKUP(2,1/((入库单!$G$4:$G$2503=$A658)*(入库单!$Y$4:$Y$2503="正常")*(入库单!$L$4:$L$2503&gt;0)),入库单!$L$4:$L$2503),0))</f>
        <v/>
      </c>
      <c r="J658" s="26">
        <f>IF($A658="","",IF($H658="A国内",ROUND($I658*倍数A*汇率,0),IF($H658="B当地",ROUND($I658*系数B,0),0)))</f>
        <v/>
      </c>
      <c r="K658" s="24">
        <f>IF($A658="","",IF(COUNTIFS(入库单!$G$4:$G$2503,$A658,入库单!$X$4:$X$2503,"待补价")&gt;0,"待补价",IF(COUNTIFS(入库单!$G$4:$G$2503,$A658,入库单!$X$4:$X$2503,"暂估")&gt;0,"暂估",IF($I658=0,"没有进价","正常"))))</f>
        <v/>
      </c>
      <c r="L658" s="27">
        <f>IF($A658="","",IFERROR(VLOOKUP($A658,库存台账!$A$5:$Y$1204,24,0),0))</f>
        <v/>
      </c>
      <c r="M658" s="26">
        <f>IF($A658="","",IFERROR(VLOOKUP($A658,库存台账!$A$5:$Y$1204,25,0),0))</f>
        <v/>
      </c>
      <c r="N658" s="19">
        <f>IF($A658="","",IFERROR(LOOKUP(2,1/((出库单!$D$4:$D$4003=$A658)*(出库单!$T$4:$T$4003="正常")),出库单!$C$4:$C$4003),""))</f>
        <v/>
      </c>
      <c r="O658" s="28">
        <f>IF($A658="","",IF($L658&lt;=0,"",IF($N658="",IFERROR(账期止-LOOKUP(2,1/(入库单!$G$4:$G$2503=$A658),入库单!$C$4:$C$2503),""),账期止-$N658)))</f>
        <v/>
      </c>
      <c r="P658" s="17" t="n"/>
    </row>
    <row r="659">
      <c r="A659" s="17" t="inlineStr">
        <is>
          <t>JH0656</t>
        </is>
      </c>
      <c r="B659" s="17" t="inlineStr">
        <is>
          <t>机械设备</t>
        </is>
      </c>
      <c r="C659" s="17" t="inlineStr">
        <is>
          <t>倾斜油管</t>
        </is>
      </c>
      <c r="D659" s="17" t="inlineStr">
        <is>
          <t>直</t>
        </is>
      </c>
      <c r="E659" s="17" t="inlineStr">
        <is>
          <t>条</t>
        </is>
      </c>
      <c r="F659" s="17" t="inlineStr">
        <is>
          <t>否</t>
        </is>
      </c>
      <c r="G659" s="23" t="n"/>
      <c r="H659" s="24">
        <f>IF($A659="","",IFERROR(LOOKUP(2,1/((入库单!$G$4:$G$2503=$A659)*(入库单!$Y$4:$Y$2503="正常")*(入库单!$L$4:$L$2503&gt;0)),入库单!$D$4:$D$2503),""))</f>
        <v/>
      </c>
      <c r="I659" s="25">
        <f>IF($A659="","",IFERROR(LOOKUP(2,1/((入库单!$G$4:$G$2503=$A659)*(入库单!$Y$4:$Y$2503="正常")*(入库单!$L$4:$L$2503&gt;0)),入库单!$L$4:$L$2503),0))</f>
        <v/>
      </c>
      <c r="J659" s="26">
        <f>IF($A659="","",IF($H659="A国内",ROUND($I659*倍数A*汇率,0),IF($H659="B当地",ROUND($I659*系数B,0),0)))</f>
        <v/>
      </c>
      <c r="K659" s="24">
        <f>IF($A659="","",IF(COUNTIFS(入库单!$G$4:$G$2503,$A659,入库单!$X$4:$X$2503,"待补价")&gt;0,"待补价",IF(COUNTIFS(入库单!$G$4:$G$2503,$A659,入库单!$X$4:$X$2503,"暂估")&gt;0,"暂估",IF($I659=0,"没有进价","正常"))))</f>
        <v/>
      </c>
      <c r="L659" s="27">
        <f>IF($A659="","",IFERROR(VLOOKUP($A659,库存台账!$A$5:$Y$1204,24,0),0))</f>
        <v/>
      </c>
      <c r="M659" s="26">
        <f>IF($A659="","",IFERROR(VLOOKUP($A659,库存台账!$A$5:$Y$1204,25,0),0))</f>
        <v/>
      </c>
      <c r="N659" s="19">
        <f>IF($A659="","",IFERROR(LOOKUP(2,1/((出库单!$D$4:$D$4003=$A659)*(出库单!$T$4:$T$4003="正常")),出库单!$C$4:$C$4003),""))</f>
        <v/>
      </c>
      <c r="O659" s="28">
        <f>IF($A659="","",IF($L659&lt;=0,"",IF($N659="",IFERROR(账期止-LOOKUP(2,1/(入库单!$G$4:$G$2503=$A659),入库单!$C$4:$C$2503),""),账期止-$N659)))</f>
        <v/>
      </c>
      <c r="P659" s="17" t="n"/>
    </row>
    <row r="660">
      <c r="A660" s="17" t="inlineStr">
        <is>
          <t>JH0657</t>
        </is>
      </c>
      <c r="B660" s="17" t="inlineStr">
        <is>
          <t>机械设备</t>
        </is>
      </c>
      <c r="C660" s="17" t="inlineStr">
        <is>
          <t>倾斜油管</t>
        </is>
      </c>
      <c r="D660" s="17" t="inlineStr">
        <is>
          <t>弯</t>
        </is>
      </c>
      <c r="E660" s="17" t="inlineStr">
        <is>
          <t>条</t>
        </is>
      </c>
      <c r="F660" s="17" t="inlineStr">
        <is>
          <t>否</t>
        </is>
      </c>
      <c r="G660" s="23" t="n"/>
      <c r="H660" s="24">
        <f>IF($A660="","",IFERROR(LOOKUP(2,1/((入库单!$G$4:$G$2503=$A660)*(入库单!$Y$4:$Y$2503="正常")*(入库单!$L$4:$L$2503&gt;0)),入库单!$D$4:$D$2503),""))</f>
        <v/>
      </c>
      <c r="I660" s="25">
        <f>IF($A660="","",IFERROR(LOOKUP(2,1/((入库单!$G$4:$G$2503=$A660)*(入库单!$Y$4:$Y$2503="正常")*(入库单!$L$4:$L$2503&gt;0)),入库单!$L$4:$L$2503),0))</f>
        <v/>
      </c>
      <c r="J660" s="26">
        <f>IF($A660="","",IF($H660="A国内",ROUND($I660*倍数A*汇率,0),IF($H660="B当地",ROUND($I660*系数B,0),0)))</f>
        <v/>
      </c>
      <c r="K660" s="24">
        <f>IF($A660="","",IF(COUNTIFS(入库单!$G$4:$G$2503,$A660,入库单!$X$4:$X$2503,"待补价")&gt;0,"待补价",IF(COUNTIFS(入库单!$G$4:$G$2503,$A660,入库单!$X$4:$X$2503,"暂估")&gt;0,"暂估",IF($I660=0,"没有进价","正常"))))</f>
        <v/>
      </c>
      <c r="L660" s="27">
        <f>IF($A660="","",IFERROR(VLOOKUP($A660,库存台账!$A$5:$Y$1204,24,0),0))</f>
        <v/>
      </c>
      <c r="M660" s="26">
        <f>IF($A660="","",IFERROR(VLOOKUP($A660,库存台账!$A$5:$Y$1204,25,0),0))</f>
        <v/>
      </c>
      <c r="N660" s="19">
        <f>IF($A660="","",IFERROR(LOOKUP(2,1/((出库单!$D$4:$D$4003=$A660)*(出库单!$T$4:$T$4003="正常")),出库单!$C$4:$C$4003),""))</f>
        <v/>
      </c>
      <c r="O660" s="28">
        <f>IF($A660="","",IF($L660&lt;=0,"",IF($N660="",IFERROR(账期止-LOOKUP(2,1/(入库单!$G$4:$G$2503=$A660),入库单!$C$4:$C$2503),""),账期止-$N660)))</f>
        <v/>
      </c>
      <c r="P660" s="17" t="n"/>
    </row>
    <row r="661">
      <c r="A661" s="17" t="inlineStr">
        <is>
          <t>JH0658</t>
        </is>
      </c>
      <c r="B661" s="17" t="inlineStr">
        <is>
          <t>机械设备</t>
        </is>
      </c>
      <c r="C661" s="17" t="inlineStr">
        <is>
          <t>电门锁</t>
        </is>
      </c>
      <c r="D661" s="17" t="inlineStr"/>
      <c r="E661" s="17" t="inlineStr">
        <is>
          <t>粒</t>
        </is>
      </c>
      <c r="F661" s="17" t="inlineStr">
        <is>
          <t>否</t>
        </is>
      </c>
      <c r="G661" s="23" t="n"/>
      <c r="H661" s="24">
        <f>IF($A661="","",IFERROR(LOOKUP(2,1/((入库单!$G$4:$G$2503=$A661)*(入库单!$Y$4:$Y$2503="正常")*(入库单!$L$4:$L$2503&gt;0)),入库单!$D$4:$D$2503),""))</f>
        <v/>
      </c>
      <c r="I661" s="25">
        <f>IF($A661="","",IFERROR(LOOKUP(2,1/((入库单!$G$4:$G$2503=$A661)*(入库单!$Y$4:$Y$2503="正常")*(入库单!$L$4:$L$2503&gt;0)),入库单!$L$4:$L$2503),0))</f>
        <v/>
      </c>
      <c r="J661" s="26">
        <f>IF($A661="","",IF($H661="A国内",ROUND($I661*倍数A*汇率,0),IF($H661="B当地",ROUND($I661*系数B,0),0)))</f>
        <v/>
      </c>
      <c r="K661" s="24">
        <f>IF($A661="","",IF(COUNTIFS(入库单!$G$4:$G$2503,$A661,入库单!$X$4:$X$2503,"待补价")&gt;0,"待补价",IF(COUNTIFS(入库单!$G$4:$G$2503,$A661,入库单!$X$4:$X$2503,"暂估")&gt;0,"暂估",IF($I661=0,"没有进价","正常"))))</f>
        <v/>
      </c>
      <c r="L661" s="27">
        <f>IF($A661="","",IFERROR(VLOOKUP($A661,库存台账!$A$5:$Y$1204,24,0),0))</f>
        <v/>
      </c>
      <c r="M661" s="26">
        <f>IF($A661="","",IFERROR(VLOOKUP($A661,库存台账!$A$5:$Y$1204,25,0),0))</f>
        <v/>
      </c>
      <c r="N661" s="19">
        <f>IF($A661="","",IFERROR(LOOKUP(2,1/((出库单!$D$4:$D$4003=$A661)*(出库单!$T$4:$T$4003="正常")),出库单!$C$4:$C$4003),""))</f>
        <v/>
      </c>
      <c r="O661" s="28">
        <f>IF($A661="","",IF($L661&lt;=0,"",IF($N661="",IFERROR(账期止-LOOKUP(2,1/(入库单!$G$4:$G$2503=$A661),入库单!$C$4:$C$2503),""),账期止-$N661)))</f>
        <v/>
      </c>
      <c r="P661" s="17" t="n"/>
    </row>
    <row r="662">
      <c r="A662" s="17" t="inlineStr">
        <is>
          <t>JH0659</t>
        </is>
      </c>
      <c r="B662" s="17" t="inlineStr">
        <is>
          <t>机械设备</t>
        </is>
      </c>
      <c r="C662" s="17" t="inlineStr">
        <is>
          <t>SCS-60T/3*16M
全钢结构出口式电子汽车衡一台</t>
        </is>
      </c>
      <c r="D662" s="17" t="inlineStr"/>
      <c r="E662" s="17" t="inlineStr">
        <is>
          <t>台</t>
        </is>
      </c>
      <c r="F662" s="17" t="inlineStr">
        <is>
          <t>否</t>
        </is>
      </c>
      <c r="G662" s="23" t="n"/>
      <c r="H662" s="24">
        <f>IF($A662="","",IFERROR(LOOKUP(2,1/((入库单!$G$4:$G$2503=$A662)*(入库单!$Y$4:$Y$2503="正常")*(入库单!$L$4:$L$2503&gt;0)),入库单!$D$4:$D$2503),""))</f>
        <v/>
      </c>
      <c r="I662" s="25">
        <f>IF($A662="","",IFERROR(LOOKUP(2,1/((入库单!$G$4:$G$2503=$A662)*(入库单!$Y$4:$Y$2503="正常")*(入库单!$L$4:$L$2503&gt;0)),入库单!$L$4:$L$2503),0))</f>
        <v/>
      </c>
      <c r="J662" s="26">
        <f>IF($A662="","",IF($H662="A国内",ROUND($I662*倍数A*汇率,0),IF($H662="B当地",ROUND($I662*系数B,0),0)))</f>
        <v/>
      </c>
      <c r="K662" s="24">
        <f>IF($A662="","",IF(COUNTIFS(入库单!$G$4:$G$2503,$A662,入库单!$X$4:$X$2503,"待补价")&gt;0,"待补价",IF(COUNTIFS(入库单!$G$4:$G$2503,$A662,入库单!$X$4:$X$2503,"暂估")&gt;0,"暂估",IF($I662=0,"没有进价","正常"))))</f>
        <v/>
      </c>
      <c r="L662" s="27">
        <f>IF($A662="","",IFERROR(VLOOKUP($A662,库存台账!$A$5:$Y$1204,24,0),0))</f>
        <v/>
      </c>
      <c r="M662" s="26">
        <f>IF($A662="","",IFERROR(VLOOKUP($A662,库存台账!$A$5:$Y$1204,25,0),0))</f>
        <v/>
      </c>
      <c r="N662" s="19">
        <f>IF($A662="","",IFERROR(LOOKUP(2,1/((出库单!$D$4:$D$4003=$A662)*(出库单!$T$4:$T$4003="正常")),出库单!$C$4:$C$4003),""))</f>
        <v/>
      </c>
      <c r="O662" s="28">
        <f>IF($A662="","",IF($L662&lt;=0,"",IF($N662="",IFERROR(账期止-LOOKUP(2,1/(入库单!$G$4:$G$2503=$A662),入库单!$C$4:$C$2503),""),账期止-$N662)))</f>
        <v/>
      </c>
      <c r="P662" s="17" t="n"/>
    </row>
    <row r="663">
      <c r="A663" s="17" t="inlineStr">
        <is>
          <t>JH0660</t>
        </is>
      </c>
      <c r="B663" s="17" t="inlineStr">
        <is>
          <t>机械设备</t>
        </is>
      </c>
      <c r="C663" s="17" t="inlineStr">
        <is>
          <t>3*16M全钢结构出口式汽车衡称台</t>
        </is>
      </c>
      <c r="D663" s="17" t="inlineStr">
        <is>
          <t>6片</t>
        </is>
      </c>
      <c r="E663" s="17" t="inlineStr">
        <is>
          <t>节</t>
        </is>
      </c>
      <c r="F663" s="17" t="inlineStr">
        <is>
          <t>否</t>
        </is>
      </c>
      <c r="G663" s="23" t="n"/>
      <c r="H663" s="24">
        <f>IF($A663="","",IFERROR(LOOKUP(2,1/((入库单!$G$4:$G$2503=$A663)*(入库单!$Y$4:$Y$2503="正常")*(入库单!$L$4:$L$2503&gt;0)),入库单!$D$4:$D$2503),""))</f>
        <v/>
      </c>
      <c r="I663" s="25">
        <f>IF($A663="","",IFERROR(LOOKUP(2,1/((入库单!$G$4:$G$2503=$A663)*(入库单!$Y$4:$Y$2503="正常")*(入库单!$L$4:$L$2503&gt;0)),入库单!$L$4:$L$2503),0))</f>
        <v/>
      </c>
      <c r="J663" s="26">
        <f>IF($A663="","",IF($H663="A国内",ROUND($I663*倍数A*汇率,0),IF($H663="B当地",ROUND($I663*系数B,0),0)))</f>
        <v/>
      </c>
      <c r="K663" s="24">
        <f>IF($A663="","",IF(COUNTIFS(入库单!$G$4:$G$2503,$A663,入库单!$X$4:$X$2503,"待补价")&gt;0,"待补价",IF(COUNTIFS(入库单!$G$4:$G$2503,$A663,入库单!$X$4:$X$2503,"暂估")&gt;0,"暂估",IF($I663=0,"没有进价","正常"))))</f>
        <v/>
      </c>
      <c r="L663" s="27">
        <f>IF($A663="","",IFERROR(VLOOKUP($A663,库存台账!$A$5:$Y$1204,24,0),0))</f>
        <v/>
      </c>
      <c r="M663" s="26">
        <f>IF($A663="","",IFERROR(VLOOKUP($A663,库存台账!$A$5:$Y$1204,25,0),0))</f>
        <v/>
      </c>
      <c r="N663" s="19">
        <f>IF($A663="","",IFERROR(LOOKUP(2,1/((出库单!$D$4:$D$4003=$A663)*(出库单!$T$4:$T$4003="正常")),出库单!$C$4:$C$4003),""))</f>
        <v/>
      </c>
      <c r="O663" s="28">
        <f>IF($A663="","",IF($L663&lt;=0,"",IF($N663="",IFERROR(账期止-LOOKUP(2,1/(入库单!$G$4:$G$2503=$A663),入库单!$C$4:$C$2503),""),账期止-$N663)))</f>
        <v/>
      </c>
      <c r="P663" s="17" t="n"/>
    </row>
    <row r="664">
      <c r="A664" s="17" t="inlineStr">
        <is>
          <t>JH0661</t>
        </is>
      </c>
      <c r="B664" s="17" t="inlineStr">
        <is>
          <t>机械设备</t>
        </is>
      </c>
      <c r="C664" s="17" t="inlineStr">
        <is>
          <t>厦门大华高精密度数字式称重传感器QS-D-30T</t>
        </is>
      </c>
      <c r="D664" s="17" t="inlineStr"/>
      <c r="E664" s="17" t="inlineStr">
        <is>
          <t>套</t>
        </is>
      </c>
      <c r="F664" s="17" t="inlineStr">
        <is>
          <t>否</t>
        </is>
      </c>
      <c r="G664" s="23" t="n"/>
      <c r="H664" s="24">
        <f>IF($A664="","",IFERROR(LOOKUP(2,1/((入库单!$G$4:$G$2503=$A664)*(入库单!$Y$4:$Y$2503="正常")*(入库单!$L$4:$L$2503&gt;0)),入库单!$D$4:$D$2503),""))</f>
        <v/>
      </c>
      <c r="I664" s="25">
        <f>IF($A664="","",IFERROR(LOOKUP(2,1/((入库单!$G$4:$G$2503=$A664)*(入库单!$Y$4:$Y$2503="正常")*(入库单!$L$4:$L$2503&gt;0)),入库单!$L$4:$L$2503),0))</f>
        <v/>
      </c>
      <c r="J664" s="26">
        <f>IF($A664="","",IF($H664="A国内",ROUND($I664*倍数A*汇率,0),IF($H664="B当地",ROUND($I664*系数B,0),0)))</f>
        <v/>
      </c>
      <c r="K664" s="24">
        <f>IF($A664="","",IF(COUNTIFS(入库单!$G$4:$G$2503,$A664,入库单!$X$4:$X$2503,"待补价")&gt;0,"待补价",IF(COUNTIFS(入库单!$G$4:$G$2503,$A664,入库单!$X$4:$X$2503,"暂估")&gt;0,"暂估",IF($I664=0,"没有进价","正常"))))</f>
        <v/>
      </c>
      <c r="L664" s="27">
        <f>IF($A664="","",IFERROR(VLOOKUP($A664,库存台账!$A$5:$Y$1204,24,0),0))</f>
        <v/>
      </c>
      <c r="M664" s="26">
        <f>IF($A664="","",IFERROR(VLOOKUP($A664,库存台账!$A$5:$Y$1204,25,0),0))</f>
        <v/>
      </c>
      <c r="N664" s="19">
        <f>IF($A664="","",IFERROR(LOOKUP(2,1/((出库单!$D$4:$D$4003=$A664)*(出库单!$T$4:$T$4003="正常")),出库单!$C$4:$C$4003),""))</f>
        <v/>
      </c>
      <c r="O664" s="28">
        <f>IF($A664="","",IF($L664&lt;=0,"",IF($N664="",IFERROR(账期止-LOOKUP(2,1/(入库单!$G$4:$G$2503=$A664),入库单!$C$4:$C$2503),""),账期止-$N664)))</f>
        <v/>
      </c>
      <c r="P664" s="17" t="n"/>
    </row>
    <row r="665">
      <c r="A665" s="17" t="inlineStr">
        <is>
          <t>JH0662</t>
        </is>
      </c>
      <c r="B665" s="17" t="inlineStr">
        <is>
          <t>机械设备</t>
        </is>
      </c>
      <c r="C665" s="17" t="inlineStr">
        <is>
          <t>厦门大华高精密度数字式称重显示仪表D12</t>
        </is>
      </c>
      <c r="D665" s="17" t="inlineStr"/>
      <c r="E665" s="17" t="inlineStr">
        <is>
          <t>台</t>
        </is>
      </c>
      <c r="F665" s="17" t="inlineStr">
        <is>
          <t>否</t>
        </is>
      </c>
      <c r="G665" s="23" t="n"/>
      <c r="H665" s="24">
        <f>IF($A665="","",IFERROR(LOOKUP(2,1/((入库单!$G$4:$G$2503=$A665)*(入库单!$Y$4:$Y$2503="正常")*(入库单!$L$4:$L$2503&gt;0)),入库单!$D$4:$D$2503),""))</f>
        <v/>
      </c>
      <c r="I665" s="25">
        <f>IF($A665="","",IFERROR(LOOKUP(2,1/((入库单!$G$4:$G$2503=$A665)*(入库单!$Y$4:$Y$2503="正常")*(入库单!$L$4:$L$2503&gt;0)),入库单!$L$4:$L$2503),0))</f>
        <v/>
      </c>
      <c r="J665" s="26">
        <f>IF($A665="","",IF($H665="A国内",ROUND($I665*倍数A*汇率,0),IF($H665="B当地",ROUND($I665*系数B,0),0)))</f>
        <v/>
      </c>
      <c r="K665" s="24">
        <f>IF($A665="","",IF(COUNTIFS(入库单!$G$4:$G$2503,$A665,入库单!$X$4:$X$2503,"待补价")&gt;0,"待补价",IF(COUNTIFS(入库单!$G$4:$G$2503,$A665,入库单!$X$4:$X$2503,"暂估")&gt;0,"暂估",IF($I665=0,"没有进价","正常"))))</f>
        <v/>
      </c>
      <c r="L665" s="27">
        <f>IF($A665="","",IFERROR(VLOOKUP($A665,库存台账!$A$5:$Y$1204,24,0),0))</f>
        <v/>
      </c>
      <c r="M665" s="26">
        <f>IF($A665="","",IFERROR(VLOOKUP($A665,库存台账!$A$5:$Y$1204,25,0),0))</f>
        <v/>
      </c>
      <c r="N665" s="19">
        <f>IF($A665="","",IFERROR(LOOKUP(2,1/((出库单!$D$4:$D$4003=$A665)*(出库单!$T$4:$T$4003="正常")),出库单!$C$4:$C$4003),""))</f>
        <v/>
      </c>
      <c r="O665" s="28">
        <f>IF($A665="","",IF($L665&lt;=0,"",IF($N665="",IFERROR(账期止-LOOKUP(2,1/(入库单!$G$4:$G$2503=$A665),入库单!$C$4:$C$2503),""),账期止-$N665)))</f>
        <v/>
      </c>
      <c r="P665" s="17" t="n"/>
    </row>
    <row r="666">
      <c r="A666" s="17" t="inlineStr">
        <is>
          <t>JH0663</t>
        </is>
      </c>
      <c r="B666" s="17" t="inlineStr">
        <is>
          <t>机械设备</t>
        </is>
      </c>
      <c r="C666" s="17" t="inlineStr">
        <is>
          <t>厦门大华称重专用信号发送器JXH-8</t>
        </is>
      </c>
      <c r="D666" s="17" t="inlineStr"/>
      <c r="E666" s="17" t="inlineStr">
        <is>
          <t>个</t>
        </is>
      </c>
      <c r="F666" s="17" t="inlineStr">
        <is>
          <t>否</t>
        </is>
      </c>
      <c r="G666" s="23" t="n"/>
      <c r="H666" s="24">
        <f>IF($A666="","",IFERROR(LOOKUP(2,1/((入库单!$G$4:$G$2503=$A666)*(入库单!$Y$4:$Y$2503="正常")*(入库单!$L$4:$L$2503&gt;0)),入库单!$D$4:$D$2503),""))</f>
        <v/>
      </c>
      <c r="I666" s="25">
        <f>IF($A666="","",IFERROR(LOOKUP(2,1/((入库单!$G$4:$G$2503=$A666)*(入库单!$Y$4:$Y$2503="正常")*(入库单!$L$4:$L$2503&gt;0)),入库单!$L$4:$L$2503),0))</f>
        <v/>
      </c>
      <c r="J666" s="26">
        <f>IF($A666="","",IF($H666="A国内",ROUND($I666*倍数A*汇率,0),IF($H666="B当地",ROUND($I666*系数B,0),0)))</f>
        <v/>
      </c>
      <c r="K666" s="24">
        <f>IF($A666="","",IF(COUNTIFS(入库单!$G$4:$G$2503,$A666,入库单!$X$4:$X$2503,"待补价")&gt;0,"待补价",IF(COUNTIFS(入库单!$G$4:$G$2503,$A666,入库单!$X$4:$X$2503,"暂估")&gt;0,"暂估",IF($I666=0,"没有进价","正常"))))</f>
        <v/>
      </c>
      <c r="L666" s="27">
        <f>IF($A666="","",IFERROR(VLOOKUP($A666,库存台账!$A$5:$Y$1204,24,0),0))</f>
        <v/>
      </c>
      <c r="M666" s="26">
        <f>IF($A666="","",IFERROR(VLOOKUP($A666,库存台账!$A$5:$Y$1204,25,0),0))</f>
        <v/>
      </c>
      <c r="N666" s="19">
        <f>IF($A666="","",IFERROR(LOOKUP(2,1/((出库单!$D$4:$D$4003=$A666)*(出库单!$T$4:$T$4003="正常")),出库单!$C$4:$C$4003),""))</f>
        <v/>
      </c>
      <c r="O666" s="28">
        <f>IF($A666="","",IF($L666&lt;=0,"",IF($N666="",IFERROR(账期止-LOOKUP(2,1/(入库单!$G$4:$G$2503=$A666),入库单!$C$4:$C$2503),""),账期止-$N666)))</f>
        <v/>
      </c>
      <c r="P666" s="17" t="n"/>
    </row>
    <row r="667">
      <c r="A667" s="17" t="inlineStr">
        <is>
          <t>JH0664</t>
        </is>
      </c>
      <c r="B667" s="17" t="inlineStr">
        <is>
          <t>电缆电气</t>
        </is>
      </c>
      <c r="C667" s="17" t="inlineStr">
        <is>
          <t>称重专用屏蔽电缆
（长度根据现场决定）RVVP4-0.3</t>
        </is>
      </c>
      <c r="D667" s="17" t="inlineStr"/>
      <c r="E667" s="17" t="inlineStr">
        <is>
          <t>根</t>
        </is>
      </c>
      <c r="F667" s="17" t="inlineStr">
        <is>
          <t>否</t>
        </is>
      </c>
      <c r="G667" s="23" t="n"/>
      <c r="H667" s="24">
        <f>IF($A667="","",IFERROR(LOOKUP(2,1/((入库单!$G$4:$G$2503=$A667)*(入库单!$Y$4:$Y$2503="正常")*(入库单!$L$4:$L$2503&gt;0)),入库单!$D$4:$D$2503),""))</f>
        <v/>
      </c>
      <c r="I667" s="25">
        <f>IF($A667="","",IFERROR(LOOKUP(2,1/((入库单!$G$4:$G$2503=$A667)*(入库单!$Y$4:$Y$2503="正常")*(入库单!$L$4:$L$2503&gt;0)),入库单!$L$4:$L$2503),0))</f>
        <v/>
      </c>
      <c r="J667" s="26">
        <f>IF($A667="","",IF($H667="A国内",ROUND($I667*倍数A*汇率,0),IF($H667="B当地",ROUND($I667*系数B,0),0)))</f>
        <v/>
      </c>
      <c r="K667" s="24">
        <f>IF($A667="","",IF(COUNTIFS(入库单!$G$4:$G$2503,$A667,入库单!$X$4:$X$2503,"待补价")&gt;0,"待补价",IF(COUNTIFS(入库单!$G$4:$G$2503,$A667,入库单!$X$4:$X$2503,"暂估")&gt;0,"暂估",IF($I667=0,"没有进价","正常"))))</f>
        <v/>
      </c>
      <c r="L667" s="27">
        <f>IF($A667="","",IFERROR(VLOOKUP($A667,库存台账!$A$5:$Y$1204,24,0),0))</f>
        <v/>
      </c>
      <c r="M667" s="26">
        <f>IF($A667="","",IFERROR(VLOOKUP($A667,库存台账!$A$5:$Y$1204,25,0),0))</f>
        <v/>
      </c>
      <c r="N667" s="19">
        <f>IF($A667="","",IFERROR(LOOKUP(2,1/((出库单!$D$4:$D$4003=$A667)*(出库单!$T$4:$T$4003="正常")),出库单!$C$4:$C$4003),""))</f>
        <v/>
      </c>
      <c r="O667" s="28">
        <f>IF($A667="","",IF($L667&lt;=0,"",IF($N667="",IFERROR(账期止-LOOKUP(2,1/(入库单!$G$4:$G$2503=$A667),入库单!$C$4:$C$2503),""),账期止-$N667)))</f>
        <v/>
      </c>
      <c r="P667" s="17" t="n"/>
    </row>
    <row r="668">
      <c r="A668" s="17" t="inlineStr">
        <is>
          <t>JH0665</t>
        </is>
      </c>
      <c r="B668" s="17" t="inlineStr">
        <is>
          <t>机械设备</t>
        </is>
      </c>
      <c r="C668" s="17" t="inlineStr">
        <is>
          <t>称重专用打印机</t>
        </is>
      </c>
      <c r="D668" s="17" t="inlineStr"/>
      <c r="E668" s="17" t="inlineStr">
        <is>
          <t>台</t>
        </is>
      </c>
      <c r="F668" s="17" t="inlineStr">
        <is>
          <t>否</t>
        </is>
      </c>
      <c r="G668" s="23" t="n"/>
      <c r="H668" s="24">
        <f>IF($A668="","",IFERROR(LOOKUP(2,1/((入库单!$G$4:$G$2503=$A668)*(入库单!$Y$4:$Y$2503="正常")*(入库单!$L$4:$L$2503&gt;0)),入库单!$D$4:$D$2503),""))</f>
        <v/>
      </c>
      <c r="I668" s="25">
        <f>IF($A668="","",IFERROR(LOOKUP(2,1/((入库单!$G$4:$G$2503=$A668)*(入库单!$Y$4:$Y$2503="正常")*(入库单!$L$4:$L$2503&gt;0)),入库单!$L$4:$L$2503),0))</f>
        <v/>
      </c>
      <c r="J668" s="26">
        <f>IF($A668="","",IF($H668="A国内",ROUND($I668*倍数A*汇率,0),IF($H668="B当地",ROUND($I668*系数B,0),0)))</f>
        <v/>
      </c>
      <c r="K668" s="24">
        <f>IF($A668="","",IF(COUNTIFS(入库单!$G$4:$G$2503,$A668,入库单!$X$4:$X$2503,"待补价")&gt;0,"待补价",IF(COUNTIFS(入库单!$G$4:$G$2503,$A668,入库单!$X$4:$X$2503,"暂估")&gt;0,"暂估",IF($I668=0,"没有进价","正常"))))</f>
        <v/>
      </c>
      <c r="L668" s="27">
        <f>IF($A668="","",IFERROR(VLOOKUP($A668,库存台账!$A$5:$Y$1204,24,0),0))</f>
        <v/>
      </c>
      <c r="M668" s="26">
        <f>IF($A668="","",IFERROR(VLOOKUP($A668,库存台账!$A$5:$Y$1204,25,0),0))</f>
        <v/>
      </c>
      <c r="N668" s="19">
        <f>IF($A668="","",IFERROR(LOOKUP(2,1/((出库单!$D$4:$D$4003=$A668)*(出库单!$T$4:$T$4003="正常")),出库单!$C$4:$C$4003),""))</f>
        <v/>
      </c>
      <c r="O668" s="28">
        <f>IF($A668="","",IF($L668&lt;=0,"",IF($N668="",IFERROR(账期止-LOOKUP(2,1/(入库单!$G$4:$G$2503=$A668),入库单!$C$4:$C$2503),""),账期止-$N668)))</f>
        <v/>
      </c>
      <c r="P668" s="17" t="n"/>
    </row>
    <row r="669">
      <c r="A669" s="17" t="inlineStr">
        <is>
          <t>JH0666</t>
        </is>
      </c>
      <c r="B669" s="17" t="inlineStr">
        <is>
          <t>机械设备</t>
        </is>
      </c>
      <c r="C669" s="17" t="inlineStr">
        <is>
          <t>称重专用过磅单  3联/1000份/箱</t>
        </is>
      </c>
      <c r="D669" s="17" t="inlineStr"/>
      <c r="E669" s="17" t="inlineStr">
        <is>
          <t>箱</t>
        </is>
      </c>
      <c r="F669" s="17" t="inlineStr">
        <is>
          <t>否</t>
        </is>
      </c>
      <c r="G669" s="23" t="n"/>
      <c r="H669" s="24">
        <f>IF($A669="","",IFERROR(LOOKUP(2,1/((入库单!$G$4:$G$2503=$A669)*(入库单!$Y$4:$Y$2503="正常")*(入库单!$L$4:$L$2503&gt;0)),入库单!$D$4:$D$2503),""))</f>
        <v/>
      </c>
      <c r="I669" s="25">
        <f>IF($A669="","",IFERROR(LOOKUP(2,1/((入库单!$G$4:$G$2503=$A669)*(入库单!$Y$4:$Y$2503="正常")*(入库单!$L$4:$L$2503&gt;0)),入库单!$L$4:$L$2503),0))</f>
        <v/>
      </c>
      <c r="J669" s="26">
        <f>IF($A669="","",IF($H669="A国内",ROUND($I669*倍数A*汇率,0),IF($H669="B当地",ROUND($I669*系数B,0),0)))</f>
        <v/>
      </c>
      <c r="K669" s="24">
        <f>IF($A669="","",IF(COUNTIFS(入库单!$G$4:$G$2503,$A669,入库单!$X$4:$X$2503,"待补价")&gt;0,"待补价",IF(COUNTIFS(入库单!$G$4:$G$2503,$A669,入库单!$X$4:$X$2503,"暂估")&gt;0,"暂估",IF($I669=0,"没有进价","正常"))))</f>
        <v/>
      </c>
      <c r="L669" s="27">
        <f>IF($A669="","",IFERROR(VLOOKUP($A669,库存台账!$A$5:$Y$1204,24,0),0))</f>
        <v/>
      </c>
      <c r="M669" s="26">
        <f>IF($A669="","",IFERROR(VLOOKUP($A669,库存台账!$A$5:$Y$1204,25,0),0))</f>
        <v/>
      </c>
      <c r="N669" s="19">
        <f>IF($A669="","",IFERROR(LOOKUP(2,1/((出库单!$D$4:$D$4003=$A669)*(出库单!$T$4:$T$4003="正常")),出库单!$C$4:$C$4003),""))</f>
        <v/>
      </c>
      <c r="O669" s="28">
        <f>IF($A669="","",IF($L669&lt;=0,"",IF($N669="",IFERROR(账期止-LOOKUP(2,1/(入库单!$G$4:$G$2503=$A669),入库单!$C$4:$C$2503),""),账期止-$N669)))</f>
        <v/>
      </c>
      <c r="P669" s="17" t="n"/>
    </row>
    <row r="670">
      <c r="A670" s="17" t="inlineStr">
        <is>
          <t>JH0667</t>
        </is>
      </c>
      <c r="B670" s="17" t="inlineStr">
        <is>
          <t>机械设备</t>
        </is>
      </c>
      <c r="C670" s="17" t="inlineStr">
        <is>
          <t>长螺杆</t>
        </is>
      </c>
      <c r="D670" s="17" t="inlineStr">
        <is>
          <t>YT28</t>
        </is>
      </c>
      <c r="E670" s="17" t="inlineStr">
        <is>
          <t>根</t>
        </is>
      </c>
      <c r="F670" s="17" t="inlineStr">
        <is>
          <t>否</t>
        </is>
      </c>
      <c r="G670" s="23" t="n"/>
      <c r="H670" s="24">
        <f>IF($A670="","",IFERROR(LOOKUP(2,1/((入库单!$G$4:$G$2503=$A670)*(入库单!$Y$4:$Y$2503="正常")*(入库单!$L$4:$L$2503&gt;0)),入库单!$D$4:$D$2503),""))</f>
        <v/>
      </c>
      <c r="I670" s="25">
        <f>IF($A670="","",IFERROR(LOOKUP(2,1/((入库单!$G$4:$G$2503=$A670)*(入库单!$Y$4:$Y$2503="正常")*(入库单!$L$4:$L$2503&gt;0)),入库单!$L$4:$L$2503),0))</f>
        <v/>
      </c>
      <c r="J670" s="26">
        <f>IF($A670="","",IF($H670="A国内",ROUND($I670*倍数A*汇率,0),IF($H670="B当地",ROUND($I670*系数B,0),0)))</f>
        <v/>
      </c>
      <c r="K670" s="24">
        <f>IF($A670="","",IF(COUNTIFS(入库单!$G$4:$G$2503,$A670,入库单!$X$4:$X$2503,"待补价")&gt;0,"待补价",IF(COUNTIFS(入库单!$G$4:$G$2503,$A670,入库单!$X$4:$X$2503,"暂估")&gt;0,"暂估",IF($I670=0,"没有进价","正常"))))</f>
        <v/>
      </c>
      <c r="L670" s="27">
        <f>IF($A670="","",IFERROR(VLOOKUP($A670,库存台账!$A$5:$Y$1204,24,0),0))</f>
        <v/>
      </c>
      <c r="M670" s="26">
        <f>IF($A670="","",IFERROR(VLOOKUP($A670,库存台账!$A$5:$Y$1204,25,0),0))</f>
        <v/>
      </c>
      <c r="N670" s="19">
        <f>IF($A670="","",IFERROR(LOOKUP(2,1/((出库单!$D$4:$D$4003=$A670)*(出库单!$T$4:$T$4003="正常")),出库单!$C$4:$C$4003),""))</f>
        <v/>
      </c>
      <c r="O670" s="28">
        <f>IF($A670="","",IF($L670&lt;=0,"",IF($N670="",IFERROR(账期止-LOOKUP(2,1/(入库单!$G$4:$G$2503=$A670),入库单!$C$4:$C$2503),""),账期止-$N670)))</f>
        <v/>
      </c>
      <c r="P670" s="17" t="n"/>
    </row>
    <row r="671">
      <c r="A671" s="17" t="inlineStr">
        <is>
          <t>JH0668</t>
        </is>
      </c>
      <c r="B671" s="17" t="inlineStr">
        <is>
          <t>机械设备</t>
        </is>
      </c>
      <c r="C671" s="17" t="inlineStr">
        <is>
          <t>销声罩</t>
        </is>
      </c>
      <c r="D671" s="17" t="inlineStr">
        <is>
          <t>YT28</t>
        </is>
      </c>
      <c r="E671" s="17" t="inlineStr">
        <is>
          <t>个</t>
        </is>
      </c>
      <c r="F671" s="17" t="inlineStr">
        <is>
          <t>否</t>
        </is>
      </c>
      <c r="G671" s="23" t="n"/>
      <c r="H671" s="24">
        <f>IF($A671="","",IFERROR(LOOKUP(2,1/((入库单!$G$4:$G$2503=$A671)*(入库单!$Y$4:$Y$2503="正常")*(入库单!$L$4:$L$2503&gt;0)),入库单!$D$4:$D$2503),""))</f>
        <v/>
      </c>
      <c r="I671" s="25">
        <f>IF($A671="","",IFERROR(LOOKUP(2,1/((入库单!$G$4:$G$2503=$A671)*(入库单!$Y$4:$Y$2503="正常")*(入库单!$L$4:$L$2503&gt;0)),入库单!$L$4:$L$2503),0))</f>
        <v/>
      </c>
      <c r="J671" s="26">
        <f>IF($A671="","",IF($H671="A国内",ROUND($I671*倍数A*汇率,0),IF($H671="B当地",ROUND($I671*系数B,0),0)))</f>
        <v/>
      </c>
      <c r="K671" s="24">
        <f>IF($A671="","",IF(COUNTIFS(入库单!$G$4:$G$2503,$A671,入库单!$X$4:$X$2503,"待补价")&gt;0,"待补价",IF(COUNTIFS(入库单!$G$4:$G$2503,$A671,入库单!$X$4:$X$2503,"暂估")&gt;0,"暂估",IF($I671=0,"没有进价","正常"))))</f>
        <v/>
      </c>
      <c r="L671" s="27">
        <f>IF($A671="","",IFERROR(VLOOKUP($A671,库存台账!$A$5:$Y$1204,24,0),0))</f>
        <v/>
      </c>
      <c r="M671" s="26">
        <f>IF($A671="","",IFERROR(VLOOKUP($A671,库存台账!$A$5:$Y$1204,25,0),0))</f>
        <v/>
      </c>
      <c r="N671" s="19">
        <f>IF($A671="","",IFERROR(LOOKUP(2,1/((出库单!$D$4:$D$4003=$A671)*(出库单!$T$4:$T$4003="正常")),出库单!$C$4:$C$4003),""))</f>
        <v/>
      </c>
      <c r="O671" s="28">
        <f>IF($A671="","",IF($L671&lt;=0,"",IF($N671="",IFERROR(账期止-LOOKUP(2,1/(入库单!$G$4:$G$2503=$A671),入库单!$C$4:$C$2503),""),账期止-$N671)))</f>
        <v/>
      </c>
      <c r="P671" s="17" t="n"/>
    </row>
    <row r="672">
      <c r="A672" s="17" t="inlineStr">
        <is>
          <t>JH0669</t>
        </is>
      </c>
      <c r="B672" s="17" t="inlineStr">
        <is>
          <t>机械设备</t>
        </is>
      </c>
      <c r="C672" s="17" t="inlineStr">
        <is>
          <t>气针</t>
        </is>
      </c>
      <c r="D672" s="17" t="inlineStr">
        <is>
          <t>YT28</t>
        </is>
      </c>
      <c r="E672" s="17" t="inlineStr">
        <is>
          <t>根</t>
        </is>
      </c>
      <c r="F672" s="17" t="inlineStr">
        <is>
          <t>否</t>
        </is>
      </c>
      <c r="G672" s="23" t="n"/>
      <c r="H672" s="24">
        <f>IF($A672="","",IFERROR(LOOKUP(2,1/((入库单!$G$4:$G$2503=$A672)*(入库单!$Y$4:$Y$2503="正常")*(入库单!$L$4:$L$2503&gt;0)),入库单!$D$4:$D$2503),""))</f>
        <v/>
      </c>
      <c r="I672" s="25">
        <f>IF($A672="","",IFERROR(LOOKUP(2,1/((入库单!$G$4:$G$2503=$A672)*(入库单!$Y$4:$Y$2503="正常")*(入库单!$L$4:$L$2503&gt;0)),入库单!$L$4:$L$2503),0))</f>
        <v/>
      </c>
      <c r="J672" s="26">
        <f>IF($A672="","",IF($H672="A国内",ROUND($I672*倍数A*汇率,0),IF($H672="B当地",ROUND($I672*系数B,0),0)))</f>
        <v/>
      </c>
      <c r="K672" s="24">
        <f>IF($A672="","",IF(COUNTIFS(入库单!$G$4:$G$2503,$A672,入库单!$X$4:$X$2503,"待补价")&gt;0,"待补价",IF(COUNTIFS(入库单!$G$4:$G$2503,$A672,入库单!$X$4:$X$2503,"暂估")&gt;0,"暂估",IF($I672=0,"没有进价","正常"))))</f>
        <v/>
      </c>
      <c r="L672" s="27">
        <f>IF($A672="","",IFERROR(VLOOKUP($A672,库存台账!$A$5:$Y$1204,24,0),0))</f>
        <v/>
      </c>
      <c r="M672" s="26">
        <f>IF($A672="","",IFERROR(VLOOKUP($A672,库存台账!$A$5:$Y$1204,25,0),0))</f>
        <v/>
      </c>
      <c r="N672" s="19">
        <f>IF($A672="","",IFERROR(LOOKUP(2,1/((出库单!$D$4:$D$4003=$A672)*(出库单!$T$4:$T$4003="正常")),出库单!$C$4:$C$4003),""))</f>
        <v/>
      </c>
      <c r="O672" s="28">
        <f>IF($A672="","",IF($L672&lt;=0,"",IF($N672="",IFERROR(账期止-LOOKUP(2,1/(入库单!$G$4:$G$2503=$A672),入库单!$C$4:$C$2503),""),账期止-$N672)))</f>
        <v/>
      </c>
      <c r="P672" s="17" t="n"/>
    </row>
    <row r="673">
      <c r="A673" s="17" t="inlineStr">
        <is>
          <t>JH0670</t>
        </is>
      </c>
      <c r="B673" s="17" t="inlineStr">
        <is>
          <t>机械设备</t>
        </is>
      </c>
      <c r="C673" s="17" t="inlineStr">
        <is>
          <t>水针</t>
        </is>
      </c>
      <c r="D673" s="17" t="inlineStr">
        <is>
          <t>YT28</t>
        </is>
      </c>
      <c r="E673" s="17" t="inlineStr">
        <is>
          <t>根</t>
        </is>
      </c>
      <c r="F673" s="17" t="inlineStr">
        <is>
          <t>否</t>
        </is>
      </c>
      <c r="G673" s="23" t="n"/>
      <c r="H673" s="24">
        <f>IF($A673="","",IFERROR(LOOKUP(2,1/((入库单!$G$4:$G$2503=$A673)*(入库单!$Y$4:$Y$2503="正常")*(入库单!$L$4:$L$2503&gt;0)),入库单!$D$4:$D$2503),""))</f>
        <v/>
      </c>
      <c r="I673" s="25">
        <f>IF($A673="","",IFERROR(LOOKUP(2,1/((入库单!$G$4:$G$2503=$A673)*(入库单!$Y$4:$Y$2503="正常")*(入库单!$L$4:$L$2503&gt;0)),入库单!$L$4:$L$2503),0))</f>
        <v/>
      </c>
      <c r="J673" s="26">
        <f>IF($A673="","",IF($H673="A国内",ROUND($I673*倍数A*汇率,0),IF($H673="B当地",ROUND($I673*系数B,0),0)))</f>
        <v/>
      </c>
      <c r="K673" s="24">
        <f>IF($A673="","",IF(COUNTIFS(入库单!$G$4:$G$2503,$A673,入库单!$X$4:$X$2503,"待补价")&gt;0,"待补价",IF(COUNTIFS(入库单!$G$4:$G$2503,$A673,入库单!$X$4:$X$2503,"暂估")&gt;0,"暂估",IF($I673=0,"没有进价","正常"))))</f>
        <v/>
      </c>
      <c r="L673" s="27">
        <f>IF($A673="","",IFERROR(VLOOKUP($A673,库存台账!$A$5:$Y$1204,24,0),0))</f>
        <v/>
      </c>
      <c r="M673" s="26">
        <f>IF($A673="","",IFERROR(VLOOKUP($A673,库存台账!$A$5:$Y$1204,25,0),0))</f>
        <v/>
      </c>
      <c r="N673" s="19">
        <f>IF($A673="","",IFERROR(LOOKUP(2,1/((出库单!$D$4:$D$4003=$A673)*(出库单!$T$4:$T$4003="正常")),出库单!$C$4:$C$4003),""))</f>
        <v/>
      </c>
      <c r="O673" s="28">
        <f>IF($A673="","",IF($L673&lt;=0,"",IF($N673="",IFERROR(账期止-LOOKUP(2,1/(入库单!$G$4:$G$2503=$A673),入库单!$C$4:$C$2503),""),账期止-$N673)))</f>
        <v/>
      </c>
      <c r="P673" s="17" t="n"/>
    </row>
    <row r="674">
      <c r="A674" s="17" t="inlineStr">
        <is>
          <t>JH0671</t>
        </is>
      </c>
      <c r="B674" s="17" t="inlineStr">
        <is>
          <t>机械设备</t>
        </is>
      </c>
      <c r="C674" s="17" t="inlineStr">
        <is>
          <t>注油器</t>
        </is>
      </c>
      <c r="D674" s="17" t="inlineStr">
        <is>
          <t>YT28</t>
        </is>
      </c>
      <c r="E674" s="17" t="inlineStr">
        <is>
          <t>个</t>
        </is>
      </c>
      <c r="F674" s="17" t="inlineStr">
        <is>
          <t>否</t>
        </is>
      </c>
      <c r="G674" s="23" t="n"/>
      <c r="H674" s="24">
        <f>IF($A674="","",IFERROR(LOOKUP(2,1/((入库单!$G$4:$G$2503=$A674)*(入库单!$Y$4:$Y$2503="正常")*(入库单!$L$4:$L$2503&gt;0)),入库单!$D$4:$D$2503),""))</f>
        <v/>
      </c>
      <c r="I674" s="25">
        <f>IF($A674="","",IFERROR(LOOKUP(2,1/((入库单!$G$4:$G$2503=$A674)*(入库单!$Y$4:$Y$2503="正常")*(入库单!$L$4:$L$2503&gt;0)),入库单!$L$4:$L$2503),0))</f>
        <v/>
      </c>
      <c r="J674" s="26">
        <f>IF($A674="","",IF($H674="A国内",ROUND($I674*倍数A*汇率,0),IF($H674="B当地",ROUND($I674*系数B,0),0)))</f>
        <v/>
      </c>
      <c r="K674" s="24">
        <f>IF($A674="","",IF(COUNTIFS(入库单!$G$4:$G$2503,$A674,入库单!$X$4:$X$2503,"待补价")&gt;0,"待补价",IF(COUNTIFS(入库单!$G$4:$G$2503,$A674,入库单!$X$4:$X$2503,"暂估")&gt;0,"暂估",IF($I674=0,"没有进价","正常"))))</f>
        <v/>
      </c>
      <c r="L674" s="27">
        <f>IF($A674="","",IFERROR(VLOOKUP($A674,库存台账!$A$5:$Y$1204,24,0),0))</f>
        <v/>
      </c>
      <c r="M674" s="26">
        <f>IF($A674="","",IFERROR(VLOOKUP($A674,库存台账!$A$5:$Y$1204,25,0),0))</f>
        <v/>
      </c>
      <c r="N674" s="19">
        <f>IF($A674="","",IFERROR(LOOKUP(2,1/((出库单!$D$4:$D$4003=$A674)*(出库单!$T$4:$T$4003="正常")),出库单!$C$4:$C$4003),""))</f>
        <v/>
      </c>
      <c r="O674" s="28">
        <f>IF($A674="","",IF($L674&lt;=0,"",IF($N674="",IFERROR(账期止-LOOKUP(2,1/(入库单!$G$4:$G$2503=$A674),入库单!$C$4:$C$2503),""),账期止-$N674)))</f>
        <v/>
      </c>
      <c r="P674" s="17" t="n"/>
    </row>
    <row r="675">
      <c r="A675" s="17" t="inlineStr">
        <is>
          <t>JH0672</t>
        </is>
      </c>
      <c r="B675" s="17" t="inlineStr">
        <is>
          <t>机械设备</t>
        </is>
      </c>
      <c r="C675" s="17" t="inlineStr">
        <is>
          <t>气弯</t>
        </is>
      </c>
      <c r="D675" s="17" t="inlineStr">
        <is>
          <t>YT28</t>
        </is>
      </c>
      <c r="E675" s="17" t="inlineStr">
        <is>
          <t>个</t>
        </is>
      </c>
      <c r="F675" s="17" t="inlineStr">
        <is>
          <t>否</t>
        </is>
      </c>
      <c r="G675" s="23" t="n"/>
      <c r="H675" s="24">
        <f>IF($A675="","",IFERROR(LOOKUP(2,1/((入库单!$G$4:$G$2503=$A675)*(入库单!$Y$4:$Y$2503="正常")*(入库单!$L$4:$L$2503&gt;0)),入库单!$D$4:$D$2503),""))</f>
        <v/>
      </c>
      <c r="I675" s="25">
        <f>IF($A675="","",IFERROR(LOOKUP(2,1/((入库单!$G$4:$G$2503=$A675)*(入库单!$Y$4:$Y$2503="正常")*(入库单!$L$4:$L$2503&gt;0)),入库单!$L$4:$L$2503),0))</f>
        <v/>
      </c>
      <c r="J675" s="26">
        <f>IF($A675="","",IF($H675="A国内",ROUND($I675*倍数A*汇率,0),IF($H675="B当地",ROUND($I675*系数B,0),0)))</f>
        <v/>
      </c>
      <c r="K675" s="24">
        <f>IF($A675="","",IF(COUNTIFS(入库单!$G$4:$G$2503,$A675,入库单!$X$4:$X$2503,"待补价")&gt;0,"待补价",IF(COUNTIFS(入库单!$G$4:$G$2503,$A675,入库单!$X$4:$X$2503,"暂估")&gt;0,"暂估",IF($I675=0,"没有进价","正常"))))</f>
        <v/>
      </c>
      <c r="L675" s="27">
        <f>IF($A675="","",IFERROR(VLOOKUP($A675,库存台账!$A$5:$Y$1204,24,0),0))</f>
        <v/>
      </c>
      <c r="M675" s="26">
        <f>IF($A675="","",IFERROR(VLOOKUP($A675,库存台账!$A$5:$Y$1204,25,0),0))</f>
        <v/>
      </c>
      <c r="N675" s="19">
        <f>IF($A675="","",IFERROR(LOOKUP(2,1/((出库单!$D$4:$D$4003=$A675)*(出库单!$T$4:$T$4003="正常")),出库单!$C$4:$C$4003),""))</f>
        <v/>
      </c>
      <c r="O675" s="28">
        <f>IF($A675="","",IF($L675&lt;=0,"",IF($N675="",IFERROR(账期止-LOOKUP(2,1/(入库单!$G$4:$G$2503=$A675),入库单!$C$4:$C$2503),""),账期止-$N675)))</f>
        <v/>
      </c>
      <c r="P675" s="17" t="n"/>
    </row>
    <row r="676">
      <c r="A676" s="17" t="inlineStr">
        <is>
          <t>JH0673</t>
        </is>
      </c>
      <c r="B676" s="17" t="inlineStr">
        <is>
          <t>机械设备</t>
        </is>
      </c>
      <c r="C676" s="17" t="inlineStr">
        <is>
          <t>水弯</t>
        </is>
      </c>
      <c r="D676" s="17" t="inlineStr">
        <is>
          <t>YT28</t>
        </is>
      </c>
      <c r="E676" s="17" t="inlineStr">
        <is>
          <t>个</t>
        </is>
      </c>
      <c r="F676" s="17" t="inlineStr">
        <is>
          <t>否</t>
        </is>
      </c>
      <c r="G676" s="23" t="n"/>
      <c r="H676" s="24">
        <f>IF($A676="","",IFERROR(LOOKUP(2,1/((入库单!$G$4:$G$2503=$A676)*(入库单!$Y$4:$Y$2503="正常")*(入库单!$L$4:$L$2503&gt;0)),入库单!$D$4:$D$2503),""))</f>
        <v/>
      </c>
      <c r="I676" s="25">
        <f>IF($A676="","",IFERROR(LOOKUP(2,1/((入库单!$G$4:$G$2503=$A676)*(入库单!$Y$4:$Y$2503="正常")*(入库单!$L$4:$L$2503&gt;0)),入库单!$L$4:$L$2503),0))</f>
        <v/>
      </c>
      <c r="J676" s="26">
        <f>IF($A676="","",IF($H676="A国内",ROUND($I676*倍数A*汇率,0),IF($H676="B当地",ROUND($I676*系数B,0),0)))</f>
        <v/>
      </c>
      <c r="K676" s="24">
        <f>IF($A676="","",IF(COUNTIFS(入库单!$G$4:$G$2503,$A676,入库单!$X$4:$X$2503,"待补价")&gt;0,"待补价",IF(COUNTIFS(入库单!$G$4:$G$2503,$A676,入库单!$X$4:$X$2503,"暂估")&gt;0,"暂估",IF($I676=0,"没有进价","正常"))))</f>
        <v/>
      </c>
      <c r="L676" s="27">
        <f>IF($A676="","",IFERROR(VLOOKUP($A676,库存台账!$A$5:$Y$1204,24,0),0))</f>
        <v/>
      </c>
      <c r="M676" s="26">
        <f>IF($A676="","",IFERROR(VLOOKUP($A676,库存台账!$A$5:$Y$1204,25,0),0))</f>
        <v/>
      </c>
      <c r="N676" s="19">
        <f>IF($A676="","",IFERROR(LOOKUP(2,1/((出库单!$D$4:$D$4003=$A676)*(出库单!$T$4:$T$4003="正常")),出库单!$C$4:$C$4003),""))</f>
        <v/>
      </c>
      <c r="O676" s="28">
        <f>IF($A676="","",IF($L676&lt;=0,"",IF($N676="",IFERROR(账期止-LOOKUP(2,1/(入库单!$G$4:$G$2503=$A676),入库单!$C$4:$C$2503),""),账期止-$N676)))</f>
        <v/>
      </c>
      <c r="P676" s="17" t="n"/>
    </row>
    <row r="677">
      <c r="A677" s="17" t="inlineStr">
        <is>
          <t>JH0674</t>
        </is>
      </c>
      <c r="B677" s="17" t="inlineStr">
        <is>
          <t>机械设备</t>
        </is>
      </c>
      <c r="C677" s="17" t="inlineStr">
        <is>
          <t>胶把</t>
        </is>
      </c>
      <c r="D677" s="17" t="inlineStr">
        <is>
          <t>YT28</t>
        </is>
      </c>
      <c r="E677" s="17" t="inlineStr">
        <is>
          <t>个</t>
        </is>
      </c>
      <c r="F677" s="17" t="inlineStr">
        <is>
          <t>否</t>
        </is>
      </c>
      <c r="G677" s="23" t="n"/>
      <c r="H677" s="24">
        <f>IF($A677="","",IFERROR(LOOKUP(2,1/((入库单!$G$4:$G$2503=$A677)*(入库单!$Y$4:$Y$2503="正常")*(入库单!$L$4:$L$2503&gt;0)),入库单!$D$4:$D$2503),""))</f>
        <v/>
      </c>
      <c r="I677" s="25">
        <f>IF($A677="","",IFERROR(LOOKUP(2,1/((入库单!$G$4:$G$2503=$A677)*(入库单!$Y$4:$Y$2503="正常")*(入库单!$L$4:$L$2503&gt;0)),入库单!$L$4:$L$2503),0))</f>
        <v/>
      </c>
      <c r="J677" s="26">
        <f>IF($A677="","",IF($H677="A国内",ROUND($I677*倍数A*汇率,0),IF($H677="B当地",ROUND($I677*系数B,0),0)))</f>
        <v/>
      </c>
      <c r="K677" s="24">
        <f>IF($A677="","",IF(COUNTIFS(入库单!$G$4:$G$2503,$A677,入库单!$X$4:$X$2503,"待补价")&gt;0,"待补价",IF(COUNTIFS(入库单!$G$4:$G$2503,$A677,入库单!$X$4:$X$2503,"暂估")&gt;0,"暂估",IF($I677=0,"没有进价","正常"))))</f>
        <v/>
      </c>
      <c r="L677" s="27">
        <f>IF($A677="","",IFERROR(VLOOKUP($A677,库存台账!$A$5:$Y$1204,24,0),0))</f>
        <v/>
      </c>
      <c r="M677" s="26">
        <f>IF($A677="","",IFERROR(VLOOKUP($A677,库存台账!$A$5:$Y$1204,25,0),0))</f>
        <v/>
      </c>
      <c r="N677" s="19">
        <f>IF($A677="","",IFERROR(LOOKUP(2,1/((出库单!$D$4:$D$4003=$A677)*(出库单!$T$4:$T$4003="正常")),出库单!$C$4:$C$4003),""))</f>
        <v/>
      </c>
      <c r="O677" s="28">
        <f>IF($A677="","",IF($L677&lt;=0,"",IF($N677="",IFERROR(账期止-LOOKUP(2,1/(入库单!$G$4:$G$2503=$A677),入库单!$C$4:$C$2503),""),账期止-$N677)))</f>
        <v/>
      </c>
      <c r="P677" s="17" t="n"/>
    </row>
    <row r="678">
      <c r="A678" s="17" t="inlineStr">
        <is>
          <t>JH0675</t>
        </is>
      </c>
      <c r="B678" s="17" t="inlineStr">
        <is>
          <t>机械设备</t>
        </is>
      </c>
      <c r="C678" s="17" t="inlineStr">
        <is>
          <t>螺栓</t>
        </is>
      </c>
      <c r="D678" s="17" t="inlineStr">
        <is>
          <t>YT28</t>
        </is>
      </c>
      <c r="E678" s="17" t="inlineStr">
        <is>
          <t>个</t>
        </is>
      </c>
      <c r="F678" s="17" t="inlineStr">
        <is>
          <t>否</t>
        </is>
      </c>
      <c r="G678" s="23" t="n"/>
      <c r="H678" s="24">
        <f>IF($A678="","",IFERROR(LOOKUP(2,1/((入库单!$G$4:$G$2503=$A678)*(入库单!$Y$4:$Y$2503="正常")*(入库单!$L$4:$L$2503&gt;0)),入库单!$D$4:$D$2503),""))</f>
        <v/>
      </c>
      <c r="I678" s="25">
        <f>IF($A678="","",IFERROR(LOOKUP(2,1/((入库单!$G$4:$G$2503=$A678)*(入库单!$Y$4:$Y$2503="正常")*(入库单!$L$4:$L$2503&gt;0)),入库单!$L$4:$L$2503),0))</f>
        <v/>
      </c>
      <c r="J678" s="26">
        <f>IF($A678="","",IF($H678="A国内",ROUND($I678*倍数A*汇率,0),IF($H678="B当地",ROUND($I678*系数B,0),0)))</f>
        <v/>
      </c>
      <c r="K678" s="24">
        <f>IF($A678="","",IF(COUNTIFS(入库单!$G$4:$G$2503,$A678,入库单!$X$4:$X$2503,"待补价")&gt;0,"待补价",IF(COUNTIFS(入库单!$G$4:$G$2503,$A678,入库单!$X$4:$X$2503,"暂估")&gt;0,"暂估",IF($I678=0,"没有进价","正常"))))</f>
        <v/>
      </c>
      <c r="L678" s="27">
        <f>IF($A678="","",IFERROR(VLOOKUP($A678,库存台账!$A$5:$Y$1204,24,0),0))</f>
        <v/>
      </c>
      <c r="M678" s="26">
        <f>IF($A678="","",IFERROR(VLOOKUP($A678,库存台账!$A$5:$Y$1204,25,0),0))</f>
        <v/>
      </c>
      <c r="N678" s="19">
        <f>IF($A678="","",IFERROR(LOOKUP(2,1/((出库单!$D$4:$D$4003=$A678)*(出库单!$T$4:$T$4003="正常")),出库单!$C$4:$C$4003),""))</f>
        <v/>
      </c>
      <c r="O678" s="28">
        <f>IF($A678="","",IF($L678&lt;=0,"",IF($N678="",IFERROR(账期止-LOOKUP(2,1/(入库单!$G$4:$G$2503=$A678),入库单!$C$4:$C$2503),""),账期止-$N678)))</f>
        <v/>
      </c>
      <c r="P678" s="17" t="n"/>
    </row>
    <row r="679">
      <c r="A679" s="17" t="inlineStr">
        <is>
          <t>JH0676</t>
        </is>
      </c>
      <c r="B679" s="17" t="inlineStr">
        <is>
          <t>机械设备</t>
        </is>
      </c>
      <c r="C679" s="17" t="inlineStr">
        <is>
          <t>注水阀</t>
        </is>
      </c>
      <c r="D679" s="17" t="inlineStr">
        <is>
          <t>YT28</t>
        </is>
      </c>
      <c r="E679" s="17" t="inlineStr">
        <is>
          <t>个</t>
        </is>
      </c>
      <c r="F679" s="17" t="inlineStr">
        <is>
          <t>否</t>
        </is>
      </c>
      <c r="G679" s="23" t="n"/>
      <c r="H679" s="24">
        <f>IF($A679="","",IFERROR(LOOKUP(2,1/((入库单!$G$4:$G$2503=$A679)*(入库单!$Y$4:$Y$2503="正常")*(入库单!$L$4:$L$2503&gt;0)),入库单!$D$4:$D$2503),""))</f>
        <v/>
      </c>
      <c r="I679" s="25">
        <f>IF($A679="","",IFERROR(LOOKUP(2,1/((入库单!$G$4:$G$2503=$A679)*(入库单!$Y$4:$Y$2503="正常")*(入库单!$L$4:$L$2503&gt;0)),入库单!$L$4:$L$2503),0))</f>
        <v/>
      </c>
      <c r="J679" s="26">
        <f>IF($A679="","",IF($H679="A国内",ROUND($I679*倍数A*汇率,0),IF($H679="B当地",ROUND($I679*系数B,0),0)))</f>
        <v/>
      </c>
      <c r="K679" s="24">
        <f>IF($A679="","",IF(COUNTIFS(入库单!$G$4:$G$2503,$A679,入库单!$X$4:$X$2503,"待补价")&gt;0,"待补价",IF(COUNTIFS(入库单!$G$4:$G$2503,$A679,入库单!$X$4:$X$2503,"暂估")&gt;0,"暂估",IF($I679=0,"没有进价","正常"))))</f>
        <v/>
      </c>
      <c r="L679" s="27">
        <f>IF($A679="","",IFERROR(VLOOKUP($A679,库存台账!$A$5:$Y$1204,24,0),0))</f>
        <v/>
      </c>
      <c r="M679" s="26">
        <f>IF($A679="","",IFERROR(VLOOKUP($A679,库存台账!$A$5:$Y$1204,25,0),0))</f>
        <v/>
      </c>
      <c r="N679" s="19">
        <f>IF($A679="","",IFERROR(LOOKUP(2,1/((出库单!$D$4:$D$4003=$A679)*(出库单!$T$4:$T$4003="正常")),出库单!$C$4:$C$4003),""))</f>
        <v/>
      </c>
      <c r="O679" s="28">
        <f>IF($A679="","",IF($L679&lt;=0,"",IF($N679="",IFERROR(账期止-LOOKUP(2,1/(入库单!$G$4:$G$2503=$A679),入库单!$C$4:$C$2503),""),账期止-$N679)))</f>
        <v/>
      </c>
      <c r="P679" s="17" t="n"/>
    </row>
    <row r="680">
      <c r="A680" s="17" t="inlineStr">
        <is>
          <t>JH0677</t>
        </is>
      </c>
      <c r="B680" s="17" t="inlineStr">
        <is>
          <t>机械设备</t>
        </is>
      </c>
      <c r="C680" s="17" t="inlineStr">
        <is>
          <t>管接套</t>
        </is>
      </c>
      <c r="D680" s="17" t="inlineStr">
        <is>
          <t>YT28</t>
        </is>
      </c>
      <c r="E680" s="17" t="inlineStr">
        <is>
          <t>个</t>
        </is>
      </c>
      <c r="F680" s="17" t="inlineStr">
        <is>
          <t>否</t>
        </is>
      </c>
      <c r="G680" s="23" t="n"/>
      <c r="H680" s="24">
        <f>IF($A680="","",IFERROR(LOOKUP(2,1/((入库单!$G$4:$G$2503=$A680)*(入库单!$Y$4:$Y$2503="正常")*(入库单!$L$4:$L$2503&gt;0)),入库单!$D$4:$D$2503),""))</f>
        <v/>
      </c>
      <c r="I680" s="25">
        <f>IF($A680="","",IFERROR(LOOKUP(2,1/((入库单!$G$4:$G$2503=$A680)*(入库单!$Y$4:$Y$2503="正常")*(入库单!$L$4:$L$2503&gt;0)),入库单!$L$4:$L$2503),0))</f>
        <v/>
      </c>
      <c r="J680" s="26">
        <f>IF($A680="","",IF($H680="A国内",ROUND($I680*倍数A*汇率,0),IF($H680="B当地",ROUND($I680*系数B,0),0)))</f>
        <v/>
      </c>
      <c r="K680" s="24">
        <f>IF($A680="","",IF(COUNTIFS(入库单!$G$4:$G$2503,$A680,入库单!$X$4:$X$2503,"待补价")&gt;0,"待补价",IF(COUNTIFS(入库单!$G$4:$G$2503,$A680,入库单!$X$4:$X$2503,"暂估")&gt;0,"暂估",IF($I680=0,"没有进价","正常"))))</f>
        <v/>
      </c>
      <c r="L680" s="27">
        <f>IF($A680="","",IFERROR(VLOOKUP($A680,库存台账!$A$5:$Y$1204,24,0),0))</f>
        <v/>
      </c>
      <c r="M680" s="26">
        <f>IF($A680="","",IFERROR(VLOOKUP($A680,库存台账!$A$5:$Y$1204,25,0),0))</f>
        <v/>
      </c>
      <c r="N680" s="19">
        <f>IF($A680="","",IFERROR(LOOKUP(2,1/((出库单!$D$4:$D$4003=$A680)*(出库单!$T$4:$T$4003="正常")),出库单!$C$4:$C$4003),""))</f>
        <v/>
      </c>
      <c r="O680" s="28">
        <f>IF($A680="","",IF($L680&lt;=0,"",IF($N680="",IFERROR(账期止-LOOKUP(2,1/(入库单!$G$4:$G$2503=$A680),入库单!$C$4:$C$2503),""),账期止-$N680)))</f>
        <v/>
      </c>
      <c r="P680" s="17" t="n"/>
    </row>
    <row r="681">
      <c r="A681" s="17" t="inlineStr">
        <is>
          <t>JH0678</t>
        </is>
      </c>
      <c r="B681" s="17" t="inlineStr">
        <is>
          <t>机械设备</t>
        </is>
      </c>
      <c r="C681" s="17" t="inlineStr">
        <is>
          <t>气腿风针（长）</t>
        </is>
      </c>
      <c r="D681" s="17" t="inlineStr">
        <is>
          <t>YT28</t>
        </is>
      </c>
      <c r="E681" s="17" t="inlineStr">
        <is>
          <t>根</t>
        </is>
      </c>
      <c r="F681" s="17" t="inlineStr">
        <is>
          <t>否</t>
        </is>
      </c>
      <c r="G681" s="23" t="n"/>
      <c r="H681" s="24">
        <f>IF($A681="","",IFERROR(LOOKUP(2,1/((入库单!$G$4:$G$2503=$A681)*(入库单!$Y$4:$Y$2503="正常")*(入库单!$L$4:$L$2503&gt;0)),入库单!$D$4:$D$2503),""))</f>
        <v/>
      </c>
      <c r="I681" s="25">
        <f>IF($A681="","",IFERROR(LOOKUP(2,1/((入库单!$G$4:$G$2503=$A681)*(入库单!$Y$4:$Y$2503="正常")*(入库单!$L$4:$L$2503&gt;0)),入库单!$L$4:$L$2503),0))</f>
        <v/>
      </c>
      <c r="J681" s="26">
        <f>IF($A681="","",IF($H681="A国内",ROUND($I681*倍数A*汇率,0),IF($H681="B当地",ROUND($I681*系数B,0),0)))</f>
        <v/>
      </c>
      <c r="K681" s="24">
        <f>IF($A681="","",IF(COUNTIFS(入库单!$G$4:$G$2503,$A681,入库单!$X$4:$X$2503,"待补价")&gt;0,"待补价",IF(COUNTIFS(入库单!$G$4:$G$2503,$A681,入库单!$X$4:$X$2503,"暂估")&gt;0,"暂估",IF($I681=0,"没有进价","正常"))))</f>
        <v/>
      </c>
      <c r="L681" s="27">
        <f>IF($A681="","",IFERROR(VLOOKUP($A681,库存台账!$A$5:$Y$1204,24,0),0))</f>
        <v/>
      </c>
      <c r="M681" s="26">
        <f>IF($A681="","",IFERROR(VLOOKUP($A681,库存台账!$A$5:$Y$1204,25,0),0))</f>
        <v/>
      </c>
      <c r="N681" s="19">
        <f>IF($A681="","",IFERROR(LOOKUP(2,1/((出库单!$D$4:$D$4003=$A681)*(出库单!$T$4:$T$4003="正常")),出库单!$C$4:$C$4003),""))</f>
        <v/>
      </c>
      <c r="O681" s="28">
        <f>IF($A681="","",IF($L681&lt;=0,"",IF($N681="",IFERROR(账期止-LOOKUP(2,1/(入库单!$G$4:$G$2503=$A681),入库单!$C$4:$C$2503),""),账期止-$N681)))</f>
        <v/>
      </c>
      <c r="P681" s="17" t="n"/>
    </row>
    <row r="682">
      <c r="A682" s="17" t="inlineStr">
        <is>
          <t>JH0679</t>
        </is>
      </c>
      <c r="B682" s="17" t="inlineStr">
        <is>
          <t>机械设备</t>
        </is>
      </c>
      <c r="C682" s="17" t="inlineStr">
        <is>
          <t>铜螺母（大）</t>
        </is>
      </c>
      <c r="D682" s="17" t="inlineStr">
        <is>
          <t>YT28</t>
        </is>
      </c>
      <c r="E682" s="17" t="inlineStr">
        <is>
          <t>个</t>
        </is>
      </c>
      <c r="F682" s="17" t="inlineStr">
        <is>
          <t>否</t>
        </is>
      </c>
      <c r="G682" s="23" t="n"/>
      <c r="H682" s="24">
        <f>IF($A682="","",IFERROR(LOOKUP(2,1/((入库单!$G$4:$G$2503=$A682)*(入库单!$Y$4:$Y$2503="正常")*(入库单!$L$4:$L$2503&gt;0)),入库单!$D$4:$D$2503),""))</f>
        <v/>
      </c>
      <c r="I682" s="25">
        <f>IF($A682="","",IFERROR(LOOKUP(2,1/((入库单!$G$4:$G$2503=$A682)*(入库单!$Y$4:$Y$2503="正常")*(入库单!$L$4:$L$2503&gt;0)),入库单!$L$4:$L$2503),0))</f>
        <v/>
      </c>
      <c r="J682" s="26">
        <f>IF($A682="","",IF($H682="A国内",ROUND($I682*倍数A*汇率,0),IF($H682="B当地",ROUND($I682*系数B,0),0)))</f>
        <v/>
      </c>
      <c r="K682" s="24">
        <f>IF($A682="","",IF(COUNTIFS(入库单!$G$4:$G$2503,$A682,入库单!$X$4:$X$2503,"待补价")&gt;0,"待补价",IF(COUNTIFS(入库单!$G$4:$G$2503,$A682,入库单!$X$4:$X$2503,"暂估")&gt;0,"暂估",IF($I682=0,"没有进价","正常"))))</f>
        <v/>
      </c>
      <c r="L682" s="27">
        <f>IF($A682="","",IFERROR(VLOOKUP($A682,库存台账!$A$5:$Y$1204,24,0),0))</f>
        <v/>
      </c>
      <c r="M682" s="26">
        <f>IF($A682="","",IFERROR(VLOOKUP($A682,库存台账!$A$5:$Y$1204,25,0),0))</f>
        <v/>
      </c>
      <c r="N682" s="19">
        <f>IF($A682="","",IFERROR(LOOKUP(2,1/((出库单!$D$4:$D$4003=$A682)*(出库单!$T$4:$T$4003="正常")),出库单!$C$4:$C$4003),""))</f>
        <v/>
      </c>
      <c r="O682" s="28">
        <f>IF($A682="","",IF($L682&lt;=0,"",IF($N682="",IFERROR(账期止-LOOKUP(2,1/(入库单!$G$4:$G$2503=$A682),入库单!$C$4:$C$2503),""),账期止-$N682)))</f>
        <v/>
      </c>
      <c r="P682" s="17" t="n"/>
    </row>
    <row r="683">
      <c r="A683" s="17" t="inlineStr">
        <is>
          <t>JH0680</t>
        </is>
      </c>
      <c r="B683" s="17" t="inlineStr">
        <is>
          <t>机械设备</t>
        </is>
      </c>
      <c r="C683" s="17" t="inlineStr">
        <is>
          <t>铜螺母（小）</t>
        </is>
      </c>
      <c r="D683" s="17" t="inlineStr">
        <is>
          <t>YT28</t>
        </is>
      </c>
      <c r="E683" s="17" t="inlineStr">
        <is>
          <t>个</t>
        </is>
      </c>
      <c r="F683" s="17" t="inlineStr">
        <is>
          <t>否</t>
        </is>
      </c>
      <c r="G683" s="23" t="n"/>
      <c r="H683" s="24">
        <f>IF($A683="","",IFERROR(LOOKUP(2,1/((入库单!$G$4:$G$2503=$A683)*(入库单!$Y$4:$Y$2503="正常")*(入库单!$L$4:$L$2503&gt;0)),入库单!$D$4:$D$2503),""))</f>
        <v/>
      </c>
      <c r="I683" s="25">
        <f>IF($A683="","",IFERROR(LOOKUP(2,1/((入库单!$G$4:$G$2503=$A683)*(入库单!$Y$4:$Y$2503="正常")*(入库单!$L$4:$L$2503&gt;0)),入库单!$L$4:$L$2503),0))</f>
        <v/>
      </c>
      <c r="J683" s="26">
        <f>IF($A683="","",IF($H683="A国内",ROUND($I683*倍数A*汇率,0),IF($H683="B当地",ROUND($I683*系数B,0),0)))</f>
        <v/>
      </c>
      <c r="K683" s="24">
        <f>IF($A683="","",IF(COUNTIFS(入库单!$G$4:$G$2503,$A683,入库单!$X$4:$X$2503,"待补价")&gt;0,"待补价",IF(COUNTIFS(入库单!$G$4:$G$2503,$A683,入库单!$X$4:$X$2503,"暂估")&gt;0,"暂估",IF($I683=0,"没有进价","正常"))))</f>
        <v/>
      </c>
      <c r="L683" s="27">
        <f>IF($A683="","",IFERROR(VLOOKUP($A683,库存台账!$A$5:$Y$1204,24,0),0))</f>
        <v/>
      </c>
      <c r="M683" s="26">
        <f>IF($A683="","",IFERROR(VLOOKUP($A683,库存台账!$A$5:$Y$1204,25,0),0))</f>
        <v/>
      </c>
      <c r="N683" s="19">
        <f>IF($A683="","",IFERROR(LOOKUP(2,1/((出库单!$D$4:$D$4003=$A683)*(出库单!$T$4:$T$4003="正常")),出库单!$C$4:$C$4003),""))</f>
        <v/>
      </c>
      <c r="O683" s="28">
        <f>IF($A683="","",IF($L683&lt;=0,"",IF($N683="",IFERROR(账期止-LOOKUP(2,1/(入库单!$G$4:$G$2503=$A683),入库单!$C$4:$C$2503),""),账期止-$N683)))</f>
        <v/>
      </c>
      <c r="P683" s="17" t="n"/>
    </row>
    <row r="684">
      <c r="A684" s="17" t="inlineStr">
        <is>
          <t>JH0681</t>
        </is>
      </c>
      <c r="B684" s="17" t="inlineStr">
        <is>
          <t>机械设备</t>
        </is>
      </c>
      <c r="C684" s="17" t="inlineStr">
        <is>
          <t>气腿大弯</t>
        </is>
      </c>
      <c r="D684" s="17" t="inlineStr">
        <is>
          <t>YT28</t>
        </is>
      </c>
      <c r="E684" s="17" t="inlineStr">
        <is>
          <t>个</t>
        </is>
      </c>
      <c r="F684" s="17" t="inlineStr">
        <is>
          <t>否</t>
        </is>
      </c>
      <c r="G684" s="23" t="n"/>
      <c r="H684" s="24">
        <f>IF($A684="","",IFERROR(LOOKUP(2,1/((入库单!$G$4:$G$2503=$A684)*(入库单!$Y$4:$Y$2503="正常")*(入库单!$L$4:$L$2503&gt;0)),入库单!$D$4:$D$2503),""))</f>
        <v/>
      </c>
      <c r="I684" s="25">
        <f>IF($A684="","",IFERROR(LOOKUP(2,1/((入库单!$G$4:$G$2503=$A684)*(入库单!$Y$4:$Y$2503="正常")*(入库单!$L$4:$L$2503&gt;0)),入库单!$L$4:$L$2503),0))</f>
        <v/>
      </c>
      <c r="J684" s="26">
        <f>IF($A684="","",IF($H684="A国内",ROUND($I684*倍数A*汇率,0),IF($H684="B当地",ROUND($I684*系数B,0),0)))</f>
        <v/>
      </c>
      <c r="K684" s="24">
        <f>IF($A684="","",IF(COUNTIFS(入库单!$G$4:$G$2503,$A684,入库单!$X$4:$X$2503,"待补价")&gt;0,"待补价",IF(COUNTIFS(入库单!$G$4:$G$2503,$A684,入库单!$X$4:$X$2503,"暂估")&gt;0,"暂估",IF($I684=0,"没有进价","正常"))))</f>
        <v/>
      </c>
      <c r="L684" s="27">
        <f>IF($A684="","",IFERROR(VLOOKUP($A684,库存台账!$A$5:$Y$1204,24,0),0))</f>
        <v/>
      </c>
      <c r="M684" s="26">
        <f>IF($A684="","",IFERROR(VLOOKUP($A684,库存台账!$A$5:$Y$1204,25,0),0))</f>
        <v/>
      </c>
      <c r="N684" s="19">
        <f>IF($A684="","",IFERROR(LOOKUP(2,1/((出库单!$D$4:$D$4003=$A684)*(出库单!$T$4:$T$4003="正常")),出库单!$C$4:$C$4003),""))</f>
        <v/>
      </c>
      <c r="O684" s="28">
        <f>IF($A684="","",IF($L684&lt;=0,"",IF($N684="",IFERROR(账期止-LOOKUP(2,1/(入库单!$G$4:$G$2503=$A684),入库单!$C$4:$C$2503),""),账期止-$N684)))</f>
        <v/>
      </c>
      <c r="P684" s="17" t="n"/>
    </row>
    <row r="685">
      <c r="A685" s="17" t="inlineStr">
        <is>
          <t>JH0682</t>
        </is>
      </c>
      <c r="B685" s="17" t="inlineStr">
        <is>
          <t>机械设备</t>
        </is>
      </c>
      <c r="C685" s="17" t="inlineStr">
        <is>
          <t>螺杆主机头</t>
        </is>
      </c>
      <c r="D685" s="17" t="inlineStr">
        <is>
          <t>MODEL:SKKE105-7   P/N:4150301 
 S/N;2201180</t>
        </is>
      </c>
      <c r="E685" s="17" t="inlineStr">
        <is>
          <t>台</t>
        </is>
      </c>
      <c r="F685" s="17" t="inlineStr">
        <is>
          <t>否</t>
        </is>
      </c>
      <c r="G685" s="23" t="n"/>
      <c r="H685" s="24">
        <f>IF($A685="","",IFERROR(LOOKUP(2,1/((入库单!$G$4:$G$2503=$A685)*(入库单!$Y$4:$Y$2503="正常")*(入库单!$L$4:$L$2503&gt;0)),入库单!$D$4:$D$2503),""))</f>
        <v/>
      </c>
      <c r="I685" s="25">
        <f>IF($A685="","",IFERROR(LOOKUP(2,1/((入库单!$G$4:$G$2503=$A685)*(入库单!$Y$4:$Y$2503="正常")*(入库单!$L$4:$L$2503&gt;0)),入库单!$L$4:$L$2503),0))</f>
        <v/>
      </c>
      <c r="J685" s="26">
        <f>IF($A685="","",IF($H685="A国内",ROUND($I685*倍数A*汇率,0),IF($H685="B当地",ROUND($I685*系数B,0),0)))</f>
        <v/>
      </c>
      <c r="K685" s="24">
        <f>IF($A685="","",IF(COUNTIFS(入库单!$G$4:$G$2503,$A685,入库单!$X$4:$X$2503,"待补价")&gt;0,"待补价",IF(COUNTIFS(入库单!$G$4:$G$2503,$A685,入库单!$X$4:$X$2503,"暂估")&gt;0,"暂估",IF($I685=0,"没有进价","正常"))))</f>
        <v/>
      </c>
      <c r="L685" s="27">
        <f>IF($A685="","",IFERROR(VLOOKUP($A685,库存台账!$A$5:$Y$1204,24,0),0))</f>
        <v/>
      </c>
      <c r="M685" s="26">
        <f>IF($A685="","",IFERROR(VLOOKUP($A685,库存台账!$A$5:$Y$1204,25,0),0))</f>
        <v/>
      </c>
      <c r="N685" s="19">
        <f>IF($A685="","",IFERROR(LOOKUP(2,1/((出库单!$D$4:$D$4003=$A685)*(出库单!$T$4:$T$4003="正常")),出库单!$C$4:$C$4003),""))</f>
        <v/>
      </c>
      <c r="O685" s="28">
        <f>IF($A685="","",IF($L685&lt;=0,"",IF($N685="",IFERROR(账期止-LOOKUP(2,1/(入库单!$G$4:$G$2503=$A685),入库单!$C$4:$C$2503),""),账期止-$N685)))</f>
        <v/>
      </c>
      <c r="P685" s="17" t="n"/>
    </row>
    <row r="686">
      <c r="A686" s="17" t="inlineStr">
        <is>
          <t>JH0683</t>
        </is>
      </c>
      <c r="B686" s="17" t="inlineStr">
        <is>
          <t>油料</t>
        </is>
      </c>
      <c r="C686" s="17" t="inlineStr">
        <is>
          <t>螺杆式空压机机油过滤器</t>
        </is>
      </c>
      <c r="D686" s="17" t="inlineStr">
        <is>
          <t>BK75-8G</t>
        </is>
      </c>
      <c r="E686" s="17" t="inlineStr">
        <is>
          <t>个</t>
        </is>
      </c>
      <c r="F686" s="17" t="inlineStr">
        <is>
          <t>是</t>
        </is>
      </c>
      <c r="G686" s="23" t="n"/>
      <c r="H686" s="24">
        <f>IF($A686="","",IFERROR(LOOKUP(2,1/((入库单!$G$4:$G$2503=$A686)*(入库单!$Y$4:$Y$2503="正常")*(入库单!$L$4:$L$2503&gt;0)),入库单!$D$4:$D$2503),""))</f>
        <v/>
      </c>
      <c r="I686" s="25">
        <f>IF($A686="","",IFERROR(LOOKUP(2,1/((入库单!$G$4:$G$2503=$A686)*(入库单!$Y$4:$Y$2503="正常")*(入库单!$L$4:$L$2503&gt;0)),入库单!$L$4:$L$2503),0))</f>
        <v/>
      </c>
      <c r="J686" s="26">
        <f>IF($A686="","",IF($H686="A国内",ROUND($I686*倍数A*汇率,0),IF($H686="B当地",ROUND($I686*系数B,0),0)))</f>
        <v/>
      </c>
      <c r="K686" s="24">
        <f>IF($A686="","",IF(COUNTIFS(入库单!$G$4:$G$2503,$A686,入库单!$X$4:$X$2503,"待补价")&gt;0,"待补价",IF(COUNTIFS(入库单!$G$4:$G$2503,$A686,入库单!$X$4:$X$2503,"暂估")&gt;0,"暂估",IF($I686=0,"没有进价","正常"))))</f>
        <v/>
      </c>
      <c r="L686" s="27">
        <f>IF($A686="","",IFERROR(VLOOKUP($A686,库存台账!$A$5:$Y$1204,24,0),0))</f>
        <v/>
      </c>
      <c r="M686" s="26">
        <f>IF($A686="","",IFERROR(VLOOKUP($A686,库存台账!$A$5:$Y$1204,25,0),0))</f>
        <v/>
      </c>
      <c r="N686" s="19">
        <f>IF($A686="","",IFERROR(LOOKUP(2,1/((出库单!$D$4:$D$4003=$A686)*(出库单!$T$4:$T$4003="正常")),出库单!$C$4:$C$4003),""))</f>
        <v/>
      </c>
      <c r="O686" s="28">
        <f>IF($A686="","",IF($L686&lt;=0,"",IF($N686="",IFERROR(账期止-LOOKUP(2,1/(入库单!$G$4:$G$2503=$A686),入库单!$C$4:$C$2503),""),账期止-$N686)))</f>
        <v/>
      </c>
      <c r="P686" s="17" t="n"/>
    </row>
    <row r="687">
      <c r="A687" s="17" t="inlineStr">
        <is>
          <t>JH0684</t>
        </is>
      </c>
      <c r="B687" s="17" t="inlineStr">
        <is>
          <t>机械设备</t>
        </is>
      </c>
      <c r="C687" s="17" t="inlineStr">
        <is>
          <t>螺杆式空压机空气滤芯器</t>
        </is>
      </c>
      <c r="D687" s="17" t="inlineStr">
        <is>
          <t>BK75-8G</t>
        </is>
      </c>
      <c r="E687" s="17" t="inlineStr">
        <is>
          <t>个</t>
        </is>
      </c>
      <c r="F687" s="17" t="inlineStr">
        <is>
          <t>否</t>
        </is>
      </c>
      <c r="G687" s="23" t="n"/>
      <c r="H687" s="24">
        <f>IF($A687="","",IFERROR(LOOKUP(2,1/((入库单!$G$4:$G$2503=$A687)*(入库单!$Y$4:$Y$2503="正常")*(入库单!$L$4:$L$2503&gt;0)),入库单!$D$4:$D$2503),""))</f>
        <v/>
      </c>
      <c r="I687" s="25">
        <f>IF($A687="","",IFERROR(LOOKUP(2,1/((入库单!$G$4:$G$2503=$A687)*(入库单!$Y$4:$Y$2503="正常")*(入库单!$L$4:$L$2503&gt;0)),入库单!$L$4:$L$2503),0))</f>
        <v/>
      </c>
      <c r="J687" s="26">
        <f>IF($A687="","",IF($H687="A国内",ROUND($I687*倍数A*汇率,0),IF($H687="B当地",ROUND($I687*系数B,0),0)))</f>
        <v/>
      </c>
      <c r="K687" s="24">
        <f>IF($A687="","",IF(COUNTIFS(入库单!$G$4:$G$2503,$A687,入库单!$X$4:$X$2503,"待补价")&gt;0,"待补价",IF(COUNTIFS(入库单!$G$4:$G$2503,$A687,入库单!$X$4:$X$2503,"暂估")&gt;0,"暂估",IF($I687=0,"没有进价","正常"))))</f>
        <v/>
      </c>
      <c r="L687" s="27">
        <f>IF($A687="","",IFERROR(VLOOKUP($A687,库存台账!$A$5:$Y$1204,24,0),0))</f>
        <v/>
      </c>
      <c r="M687" s="26">
        <f>IF($A687="","",IFERROR(VLOOKUP($A687,库存台账!$A$5:$Y$1204,25,0),0))</f>
        <v/>
      </c>
      <c r="N687" s="19">
        <f>IF($A687="","",IFERROR(LOOKUP(2,1/((出库单!$D$4:$D$4003=$A687)*(出库单!$T$4:$T$4003="正常")),出库单!$C$4:$C$4003),""))</f>
        <v/>
      </c>
      <c r="O687" s="28">
        <f>IF($A687="","",IF($L687&lt;=0,"",IF($N687="",IFERROR(账期止-LOOKUP(2,1/(入库单!$G$4:$G$2503=$A687),入库单!$C$4:$C$2503),""),账期止-$N687)))</f>
        <v/>
      </c>
      <c r="P687" s="17" t="n"/>
    </row>
    <row r="688">
      <c r="A688" s="17" t="inlineStr">
        <is>
          <t>JH0685</t>
        </is>
      </c>
      <c r="B688" s="17" t="inlineStr">
        <is>
          <t>油料</t>
        </is>
      </c>
      <c r="C688" s="17" t="inlineStr">
        <is>
          <t>螺杆式空压机油分芯</t>
        </is>
      </c>
      <c r="D688" s="17" t="inlineStr">
        <is>
          <t>BK75-8G</t>
        </is>
      </c>
      <c r="E688" s="17" t="inlineStr">
        <is>
          <t>个</t>
        </is>
      </c>
      <c r="F688" s="17" t="inlineStr">
        <is>
          <t>是</t>
        </is>
      </c>
      <c r="G688" s="23" t="n"/>
      <c r="H688" s="24">
        <f>IF($A688="","",IFERROR(LOOKUP(2,1/((入库单!$G$4:$G$2503=$A688)*(入库单!$Y$4:$Y$2503="正常")*(入库单!$L$4:$L$2503&gt;0)),入库单!$D$4:$D$2503),""))</f>
        <v/>
      </c>
      <c r="I688" s="25">
        <f>IF($A688="","",IFERROR(LOOKUP(2,1/((入库单!$G$4:$G$2503=$A688)*(入库单!$Y$4:$Y$2503="正常")*(入库单!$L$4:$L$2503&gt;0)),入库单!$L$4:$L$2503),0))</f>
        <v/>
      </c>
      <c r="J688" s="26">
        <f>IF($A688="","",IF($H688="A国内",ROUND($I688*倍数A*汇率,0),IF($H688="B当地",ROUND($I688*系数B,0),0)))</f>
        <v/>
      </c>
      <c r="K688" s="24">
        <f>IF($A688="","",IF(COUNTIFS(入库单!$G$4:$G$2503,$A688,入库单!$X$4:$X$2503,"待补价")&gt;0,"待补价",IF(COUNTIFS(入库单!$G$4:$G$2503,$A688,入库单!$X$4:$X$2503,"暂估")&gt;0,"暂估",IF($I688=0,"没有进价","正常"))))</f>
        <v/>
      </c>
      <c r="L688" s="27">
        <f>IF($A688="","",IFERROR(VLOOKUP($A688,库存台账!$A$5:$Y$1204,24,0),0))</f>
        <v/>
      </c>
      <c r="M688" s="26">
        <f>IF($A688="","",IFERROR(VLOOKUP($A688,库存台账!$A$5:$Y$1204,25,0),0))</f>
        <v/>
      </c>
      <c r="N688" s="19">
        <f>IF($A688="","",IFERROR(LOOKUP(2,1/((出库单!$D$4:$D$4003=$A688)*(出库单!$T$4:$T$4003="正常")),出库单!$C$4:$C$4003),""))</f>
        <v/>
      </c>
      <c r="O688" s="28">
        <f>IF($A688="","",IF($L688&lt;=0,"",IF($N688="",IFERROR(账期止-LOOKUP(2,1/(入库单!$G$4:$G$2503=$A688),入库单!$C$4:$C$2503),""),账期止-$N688)))</f>
        <v/>
      </c>
      <c r="P688" s="17" t="n"/>
    </row>
    <row r="689">
      <c r="A689" s="17" t="inlineStr">
        <is>
          <t>JH0686</t>
        </is>
      </c>
      <c r="B689" s="17" t="inlineStr">
        <is>
          <t>机械设备</t>
        </is>
      </c>
      <c r="C689" s="17" t="inlineStr">
        <is>
          <t>萍乡江南11KW接线柱</t>
        </is>
      </c>
      <c r="D689" s="17" t="inlineStr">
        <is>
          <t>11kw</t>
        </is>
      </c>
      <c r="E689" s="17" t="inlineStr">
        <is>
          <t>个</t>
        </is>
      </c>
      <c r="F689" s="17" t="inlineStr">
        <is>
          <t>否</t>
        </is>
      </c>
      <c r="G689" s="23" t="n"/>
      <c r="H689" s="24">
        <f>IF($A689="","",IFERROR(LOOKUP(2,1/((入库单!$G$4:$G$2503=$A689)*(入库单!$Y$4:$Y$2503="正常")*(入库单!$L$4:$L$2503&gt;0)),入库单!$D$4:$D$2503),""))</f>
        <v/>
      </c>
      <c r="I689" s="25">
        <f>IF($A689="","",IFERROR(LOOKUP(2,1/((入库单!$G$4:$G$2503=$A689)*(入库单!$Y$4:$Y$2503="正常")*(入库单!$L$4:$L$2503&gt;0)),入库单!$L$4:$L$2503),0))</f>
        <v/>
      </c>
      <c r="J689" s="26">
        <f>IF($A689="","",IF($H689="A国内",ROUND($I689*倍数A*汇率,0),IF($H689="B当地",ROUND($I689*系数B,0),0)))</f>
        <v/>
      </c>
      <c r="K689" s="24">
        <f>IF($A689="","",IF(COUNTIFS(入库单!$G$4:$G$2503,$A689,入库单!$X$4:$X$2503,"待补价")&gt;0,"待补价",IF(COUNTIFS(入库单!$G$4:$G$2503,$A689,入库单!$X$4:$X$2503,"暂估")&gt;0,"暂估",IF($I689=0,"没有进价","正常"))))</f>
        <v/>
      </c>
      <c r="L689" s="27">
        <f>IF($A689="","",IFERROR(VLOOKUP($A689,库存台账!$A$5:$Y$1204,24,0),0))</f>
        <v/>
      </c>
      <c r="M689" s="26">
        <f>IF($A689="","",IFERROR(VLOOKUP($A689,库存台账!$A$5:$Y$1204,25,0),0))</f>
        <v/>
      </c>
      <c r="N689" s="19">
        <f>IF($A689="","",IFERROR(LOOKUP(2,1/((出库单!$D$4:$D$4003=$A689)*(出库单!$T$4:$T$4003="正常")),出库单!$C$4:$C$4003),""))</f>
        <v/>
      </c>
      <c r="O689" s="28">
        <f>IF($A689="","",IF($L689&lt;=0,"",IF($N689="",IFERROR(账期止-LOOKUP(2,1/(入库单!$G$4:$G$2503=$A689),入库单!$C$4:$C$2503),""),账期止-$N689)))</f>
        <v/>
      </c>
      <c r="P689" s="17" t="n"/>
    </row>
    <row r="690">
      <c r="A690" s="17" t="inlineStr">
        <is>
          <t>JH0687</t>
        </is>
      </c>
      <c r="B690" s="17" t="inlineStr">
        <is>
          <t>机械设备</t>
        </is>
      </c>
      <c r="C690" s="17" t="inlineStr">
        <is>
          <t>YT28天水钎尾套</t>
        </is>
      </c>
      <c r="D690" s="17" t="inlineStr">
        <is>
          <t>YT28</t>
        </is>
      </c>
      <c r="E690" s="17" t="inlineStr">
        <is>
          <t>个</t>
        </is>
      </c>
      <c r="F690" s="17" t="inlineStr">
        <is>
          <t>否</t>
        </is>
      </c>
      <c r="G690" s="23" t="n"/>
      <c r="H690" s="24">
        <f>IF($A690="","",IFERROR(LOOKUP(2,1/((入库单!$G$4:$G$2503=$A690)*(入库单!$Y$4:$Y$2503="正常")*(入库单!$L$4:$L$2503&gt;0)),入库单!$D$4:$D$2503),""))</f>
        <v/>
      </c>
      <c r="I690" s="25">
        <f>IF($A690="","",IFERROR(LOOKUP(2,1/((入库单!$G$4:$G$2503=$A690)*(入库单!$Y$4:$Y$2503="正常")*(入库单!$L$4:$L$2503&gt;0)),入库单!$L$4:$L$2503),0))</f>
        <v/>
      </c>
      <c r="J690" s="26">
        <f>IF($A690="","",IF($H690="A国内",ROUND($I690*倍数A*汇率,0),IF($H690="B当地",ROUND($I690*系数B,0),0)))</f>
        <v/>
      </c>
      <c r="K690" s="24">
        <f>IF($A690="","",IF(COUNTIFS(入库单!$G$4:$G$2503,$A690,入库单!$X$4:$X$2503,"待补价")&gt;0,"待补价",IF(COUNTIFS(入库单!$G$4:$G$2503,$A690,入库单!$X$4:$X$2503,"暂估")&gt;0,"暂估",IF($I690=0,"没有进价","正常"))))</f>
        <v/>
      </c>
      <c r="L690" s="27">
        <f>IF($A690="","",IFERROR(VLOOKUP($A690,库存台账!$A$5:$Y$1204,24,0),0))</f>
        <v/>
      </c>
      <c r="M690" s="26">
        <f>IF($A690="","",IFERROR(VLOOKUP($A690,库存台账!$A$5:$Y$1204,25,0),0))</f>
        <v/>
      </c>
      <c r="N690" s="19">
        <f>IF($A690="","",IFERROR(LOOKUP(2,1/((出库单!$D$4:$D$4003=$A690)*(出库单!$T$4:$T$4003="正常")),出库单!$C$4:$C$4003),""))</f>
        <v/>
      </c>
      <c r="O690" s="28">
        <f>IF($A690="","",IF($L690&lt;=0,"",IF($N690="",IFERROR(账期止-LOOKUP(2,1/(入库单!$G$4:$G$2503=$A690),入库单!$C$4:$C$2503),""),账期止-$N690)))</f>
        <v/>
      </c>
      <c r="P690" s="17" t="n"/>
    </row>
    <row r="691">
      <c r="A691" s="17" t="inlineStr">
        <is>
          <t>JH0688</t>
        </is>
      </c>
      <c r="B691" s="17" t="inlineStr">
        <is>
          <t>机械设备</t>
        </is>
      </c>
      <c r="C691" s="17" t="inlineStr">
        <is>
          <t>注油器外壳</t>
        </is>
      </c>
      <c r="D691" s="17" t="inlineStr">
        <is>
          <t>YT28</t>
        </is>
      </c>
      <c r="E691" s="17" t="inlineStr">
        <is>
          <t>个</t>
        </is>
      </c>
      <c r="F691" s="17" t="inlineStr">
        <is>
          <t>否</t>
        </is>
      </c>
      <c r="G691" s="23" t="n"/>
      <c r="H691" s="24">
        <f>IF($A691="","",IFERROR(LOOKUP(2,1/((入库单!$G$4:$G$2503=$A691)*(入库单!$Y$4:$Y$2503="正常")*(入库单!$L$4:$L$2503&gt;0)),入库单!$D$4:$D$2503),""))</f>
        <v/>
      </c>
      <c r="I691" s="25">
        <f>IF($A691="","",IFERROR(LOOKUP(2,1/((入库单!$G$4:$G$2503=$A691)*(入库单!$Y$4:$Y$2503="正常")*(入库单!$L$4:$L$2503&gt;0)),入库单!$L$4:$L$2503),0))</f>
        <v/>
      </c>
      <c r="J691" s="26">
        <f>IF($A691="","",IF($H691="A国内",ROUND($I691*倍数A*汇率,0),IF($H691="B当地",ROUND($I691*系数B,0),0)))</f>
        <v/>
      </c>
      <c r="K691" s="24">
        <f>IF($A691="","",IF(COUNTIFS(入库单!$G$4:$G$2503,$A691,入库单!$X$4:$X$2503,"待补价")&gt;0,"待补价",IF(COUNTIFS(入库单!$G$4:$G$2503,$A691,入库单!$X$4:$X$2503,"暂估")&gt;0,"暂估",IF($I691=0,"没有进价","正常"))))</f>
        <v/>
      </c>
      <c r="L691" s="27">
        <f>IF($A691="","",IFERROR(VLOOKUP($A691,库存台账!$A$5:$Y$1204,24,0),0))</f>
        <v/>
      </c>
      <c r="M691" s="26">
        <f>IF($A691="","",IFERROR(VLOOKUP($A691,库存台账!$A$5:$Y$1204,25,0),0))</f>
        <v/>
      </c>
      <c r="N691" s="19">
        <f>IF($A691="","",IFERROR(LOOKUP(2,1/((出库单!$D$4:$D$4003=$A691)*(出库单!$T$4:$T$4003="正常")),出库单!$C$4:$C$4003),""))</f>
        <v/>
      </c>
      <c r="O691" s="28">
        <f>IF($A691="","",IF($L691&lt;=0,"",IF($N691="",IFERROR(账期止-LOOKUP(2,1/(入库单!$G$4:$G$2503=$A691),入库单!$C$4:$C$2503),""),账期止-$N691)))</f>
        <v/>
      </c>
      <c r="P691" s="17" t="n"/>
    </row>
    <row r="692">
      <c r="A692" s="17" t="inlineStr">
        <is>
          <t>JH0689</t>
        </is>
      </c>
      <c r="B692" s="17" t="inlineStr">
        <is>
          <t>机械设备</t>
        </is>
      </c>
      <c r="C692" s="17" t="inlineStr">
        <is>
          <t>注油器盖子</t>
        </is>
      </c>
      <c r="D692" s="17" t="inlineStr">
        <is>
          <t>YT28</t>
        </is>
      </c>
      <c r="E692" s="17" t="inlineStr">
        <is>
          <t>个</t>
        </is>
      </c>
      <c r="F692" s="17" t="inlineStr">
        <is>
          <t>否</t>
        </is>
      </c>
      <c r="G692" s="23" t="n"/>
      <c r="H692" s="24">
        <f>IF($A692="","",IFERROR(LOOKUP(2,1/((入库单!$G$4:$G$2503=$A692)*(入库单!$Y$4:$Y$2503="正常")*(入库单!$L$4:$L$2503&gt;0)),入库单!$D$4:$D$2503),""))</f>
        <v/>
      </c>
      <c r="I692" s="25">
        <f>IF($A692="","",IFERROR(LOOKUP(2,1/((入库单!$G$4:$G$2503=$A692)*(入库单!$Y$4:$Y$2503="正常")*(入库单!$L$4:$L$2503&gt;0)),入库单!$L$4:$L$2503),0))</f>
        <v/>
      </c>
      <c r="J692" s="26">
        <f>IF($A692="","",IF($H692="A国内",ROUND($I692*倍数A*汇率,0),IF($H692="B当地",ROUND($I692*系数B,0),0)))</f>
        <v/>
      </c>
      <c r="K692" s="24">
        <f>IF($A692="","",IF(COUNTIFS(入库单!$G$4:$G$2503,$A692,入库单!$X$4:$X$2503,"待补价")&gt;0,"待补价",IF(COUNTIFS(入库单!$G$4:$G$2503,$A692,入库单!$X$4:$X$2503,"暂估")&gt;0,"暂估",IF($I692=0,"没有进价","正常"))))</f>
        <v/>
      </c>
      <c r="L692" s="27">
        <f>IF($A692="","",IFERROR(VLOOKUP($A692,库存台账!$A$5:$Y$1204,24,0),0))</f>
        <v/>
      </c>
      <c r="M692" s="26">
        <f>IF($A692="","",IFERROR(VLOOKUP($A692,库存台账!$A$5:$Y$1204,25,0),0))</f>
        <v/>
      </c>
      <c r="N692" s="19">
        <f>IF($A692="","",IFERROR(LOOKUP(2,1/((出库单!$D$4:$D$4003=$A692)*(出库单!$T$4:$T$4003="正常")),出库单!$C$4:$C$4003),""))</f>
        <v/>
      </c>
      <c r="O692" s="28">
        <f>IF($A692="","",IF($L692&lt;=0,"",IF($N692="",IFERROR(账期止-LOOKUP(2,1/(入库单!$G$4:$G$2503=$A692),入库单!$C$4:$C$2503),""),账期止-$N692)))</f>
        <v/>
      </c>
      <c r="P692" s="17" t="n"/>
    </row>
    <row r="693">
      <c r="A693" s="17" t="inlineStr">
        <is>
          <t>JH0690</t>
        </is>
      </c>
      <c r="B693" s="17" t="inlineStr">
        <is>
          <t>机械设备</t>
        </is>
      </c>
      <c r="C693" s="17" t="inlineStr">
        <is>
          <t>钎卡</t>
        </is>
      </c>
      <c r="D693" s="17" t="inlineStr">
        <is>
          <t>YT28</t>
        </is>
      </c>
      <c r="E693" s="17" t="inlineStr">
        <is>
          <t>个</t>
        </is>
      </c>
      <c r="F693" s="17" t="inlineStr">
        <is>
          <t>否</t>
        </is>
      </c>
      <c r="G693" s="23" t="n"/>
      <c r="H693" s="24">
        <f>IF($A693="","",IFERROR(LOOKUP(2,1/((入库单!$G$4:$G$2503=$A693)*(入库单!$Y$4:$Y$2503="正常")*(入库单!$L$4:$L$2503&gt;0)),入库单!$D$4:$D$2503),""))</f>
        <v/>
      </c>
      <c r="I693" s="25">
        <f>IF($A693="","",IFERROR(LOOKUP(2,1/((入库单!$G$4:$G$2503=$A693)*(入库单!$Y$4:$Y$2503="正常")*(入库单!$L$4:$L$2503&gt;0)),入库单!$L$4:$L$2503),0))</f>
        <v/>
      </c>
      <c r="J693" s="26">
        <f>IF($A693="","",IF($H693="A国内",ROUND($I693*倍数A*汇率,0),IF($H693="B当地",ROUND($I693*系数B,0),0)))</f>
        <v/>
      </c>
      <c r="K693" s="24">
        <f>IF($A693="","",IF(COUNTIFS(入库单!$G$4:$G$2503,$A693,入库单!$X$4:$X$2503,"待补价")&gt;0,"待补价",IF(COUNTIFS(入库单!$G$4:$G$2503,$A693,入库单!$X$4:$X$2503,"暂估")&gt;0,"暂估",IF($I693=0,"没有进价","正常"))))</f>
        <v/>
      </c>
      <c r="L693" s="27">
        <f>IF($A693="","",IFERROR(VLOOKUP($A693,库存台账!$A$5:$Y$1204,24,0),0))</f>
        <v/>
      </c>
      <c r="M693" s="26">
        <f>IF($A693="","",IFERROR(VLOOKUP($A693,库存台账!$A$5:$Y$1204,25,0),0))</f>
        <v/>
      </c>
      <c r="N693" s="19">
        <f>IF($A693="","",IFERROR(LOOKUP(2,1/((出库单!$D$4:$D$4003=$A693)*(出库单!$T$4:$T$4003="正常")),出库单!$C$4:$C$4003),""))</f>
        <v/>
      </c>
      <c r="O693" s="28">
        <f>IF($A693="","",IF($L693&lt;=0,"",IF($N693="",IFERROR(账期止-LOOKUP(2,1/(入库单!$G$4:$G$2503=$A693),入库单!$C$4:$C$2503),""),账期止-$N693)))</f>
        <v/>
      </c>
      <c r="P693" s="17" t="n"/>
    </row>
    <row r="694">
      <c r="A694" s="17" t="inlineStr">
        <is>
          <t>JH0691</t>
        </is>
      </c>
      <c r="B694" s="17" t="inlineStr">
        <is>
          <t>机械设备</t>
        </is>
      </c>
      <c r="C694" s="17" t="inlineStr">
        <is>
          <t>塔型弹簧</t>
        </is>
      </c>
      <c r="D694" s="17" t="inlineStr">
        <is>
          <t>YT28</t>
        </is>
      </c>
      <c r="E694" s="17" t="inlineStr">
        <is>
          <t>个</t>
        </is>
      </c>
      <c r="F694" s="17" t="inlineStr">
        <is>
          <t>否</t>
        </is>
      </c>
      <c r="G694" s="23" t="n"/>
      <c r="H694" s="24">
        <f>IF($A694="","",IFERROR(LOOKUP(2,1/((入库单!$G$4:$G$2503=$A694)*(入库单!$Y$4:$Y$2503="正常")*(入库单!$L$4:$L$2503&gt;0)),入库单!$D$4:$D$2503),""))</f>
        <v/>
      </c>
      <c r="I694" s="25">
        <f>IF($A694="","",IFERROR(LOOKUP(2,1/((入库单!$G$4:$G$2503=$A694)*(入库单!$Y$4:$Y$2503="正常")*(入库单!$L$4:$L$2503&gt;0)),入库单!$L$4:$L$2503),0))</f>
        <v/>
      </c>
      <c r="J694" s="26">
        <f>IF($A694="","",IF($H694="A国内",ROUND($I694*倍数A*汇率,0),IF($H694="B当地",ROUND($I694*系数B,0),0)))</f>
        <v/>
      </c>
      <c r="K694" s="24">
        <f>IF($A694="","",IF(COUNTIFS(入库单!$G$4:$G$2503,$A694,入库单!$X$4:$X$2503,"待补价")&gt;0,"待补价",IF(COUNTIFS(入库单!$G$4:$G$2503,$A694,入库单!$X$4:$X$2503,"暂估")&gt;0,"暂估",IF($I694=0,"没有进价","正常"))))</f>
        <v/>
      </c>
      <c r="L694" s="27">
        <f>IF($A694="","",IFERROR(VLOOKUP($A694,库存台账!$A$5:$Y$1204,24,0),0))</f>
        <v/>
      </c>
      <c r="M694" s="26">
        <f>IF($A694="","",IFERROR(VLOOKUP($A694,库存台账!$A$5:$Y$1204,25,0),0))</f>
        <v/>
      </c>
      <c r="N694" s="19">
        <f>IF($A694="","",IFERROR(LOOKUP(2,1/((出库单!$D$4:$D$4003=$A694)*(出库单!$T$4:$T$4003="正常")),出库单!$C$4:$C$4003),""))</f>
        <v/>
      </c>
      <c r="O694" s="28">
        <f>IF($A694="","",IF($L694&lt;=0,"",IF($N694="",IFERROR(账期止-LOOKUP(2,1/(入库单!$G$4:$G$2503=$A694),入库单!$C$4:$C$2503),""),账期止-$N694)))</f>
        <v/>
      </c>
      <c r="P694" s="17" t="n"/>
    </row>
    <row r="695">
      <c r="A695" s="17" t="inlineStr">
        <is>
          <t>JH0692</t>
        </is>
      </c>
      <c r="B695" s="17" t="inlineStr">
        <is>
          <t>机械设备</t>
        </is>
      </c>
      <c r="C695" s="17" t="inlineStr">
        <is>
          <t>爪片</t>
        </is>
      </c>
      <c r="D695" s="17" t="inlineStr">
        <is>
          <t>YT28</t>
        </is>
      </c>
      <c r="E695" s="17" t="inlineStr">
        <is>
          <t>个</t>
        </is>
      </c>
      <c r="F695" s="17" t="inlineStr">
        <is>
          <t>否</t>
        </is>
      </c>
      <c r="G695" s="23" t="n"/>
      <c r="H695" s="24">
        <f>IF($A695="","",IFERROR(LOOKUP(2,1/((入库单!$G$4:$G$2503=$A695)*(入库单!$Y$4:$Y$2503="正常")*(入库单!$L$4:$L$2503&gt;0)),入库单!$D$4:$D$2503),""))</f>
        <v/>
      </c>
      <c r="I695" s="25">
        <f>IF($A695="","",IFERROR(LOOKUP(2,1/((入库单!$G$4:$G$2503=$A695)*(入库单!$Y$4:$Y$2503="正常")*(入库单!$L$4:$L$2503&gt;0)),入库单!$L$4:$L$2503),0))</f>
        <v/>
      </c>
      <c r="J695" s="26">
        <f>IF($A695="","",IF($H695="A国内",ROUND($I695*倍数A*汇率,0),IF($H695="B当地",ROUND($I695*系数B,0),0)))</f>
        <v/>
      </c>
      <c r="K695" s="24">
        <f>IF($A695="","",IF(COUNTIFS(入库单!$G$4:$G$2503,$A695,入库单!$X$4:$X$2503,"待补价")&gt;0,"待补价",IF(COUNTIFS(入库单!$G$4:$G$2503,$A695,入库单!$X$4:$X$2503,"暂估")&gt;0,"暂估",IF($I695=0,"没有进价","正常"))))</f>
        <v/>
      </c>
      <c r="L695" s="27">
        <f>IF($A695="","",IFERROR(VLOOKUP($A695,库存台账!$A$5:$Y$1204,24,0),0))</f>
        <v/>
      </c>
      <c r="M695" s="26">
        <f>IF($A695="","",IFERROR(VLOOKUP($A695,库存台账!$A$5:$Y$1204,25,0),0))</f>
        <v/>
      </c>
      <c r="N695" s="19">
        <f>IF($A695="","",IFERROR(LOOKUP(2,1/((出库单!$D$4:$D$4003=$A695)*(出库单!$T$4:$T$4003="正常")),出库单!$C$4:$C$4003),""))</f>
        <v/>
      </c>
      <c r="O695" s="28">
        <f>IF($A695="","",IF($L695&lt;=0,"",IF($N695="",IFERROR(账期止-LOOKUP(2,1/(入库单!$G$4:$G$2503=$A695),入库单!$C$4:$C$2503),""),账期止-$N695)))</f>
        <v/>
      </c>
      <c r="P695" s="17" t="n"/>
    </row>
    <row r="696">
      <c r="A696" s="17" t="inlineStr">
        <is>
          <t>JH0693</t>
        </is>
      </c>
      <c r="B696" s="17" t="inlineStr">
        <is>
          <t>机械设备</t>
        </is>
      </c>
      <c r="C696" s="17" t="inlineStr">
        <is>
          <t>大象胶管</t>
        </is>
      </c>
      <c r="D696" s="17" t="inlineStr">
        <is>
          <t>25*18m</t>
        </is>
      </c>
      <c r="E696" s="17" t="inlineStr">
        <is>
          <t>盘</t>
        </is>
      </c>
      <c r="F696" s="17" t="inlineStr">
        <is>
          <t>否</t>
        </is>
      </c>
      <c r="G696" s="23" t="n"/>
      <c r="H696" s="24">
        <f>IF($A696="","",IFERROR(LOOKUP(2,1/((入库单!$G$4:$G$2503=$A696)*(入库单!$Y$4:$Y$2503="正常")*(入库单!$L$4:$L$2503&gt;0)),入库单!$D$4:$D$2503),""))</f>
        <v/>
      </c>
      <c r="I696" s="25">
        <f>IF($A696="","",IFERROR(LOOKUP(2,1/((入库单!$G$4:$G$2503=$A696)*(入库单!$Y$4:$Y$2503="正常")*(入库单!$L$4:$L$2503&gt;0)),入库单!$L$4:$L$2503),0))</f>
        <v/>
      </c>
      <c r="J696" s="26">
        <f>IF($A696="","",IF($H696="A国内",ROUND($I696*倍数A*汇率,0),IF($H696="B当地",ROUND($I696*系数B,0),0)))</f>
        <v/>
      </c>
      <c r="K696" s="24">
        <f>IF($A696="","",IF(COUNTIFS(入库单!$G$4:$G$2503,$A696,入库单!$X$4:$X$2503,"待补价")&gt;0,"待补价",IF(COUNTIFS(入库单!$G$4:$G$2503,$A696,入库单!$X$4:$X$2503,"暂估")&gt;0,"暂估",IF($I696=0,"没有进价","正常"))))</f>
        <v/>
      </c>
      <c r="L696" s="27">
        <f>IF($A696="","",IFERROR(VLOOKUP($A696,库存台账!$A$5:$Y$1204,24,0),0))</f>
        <v/>
      </c>
      <c r="M696" s="26">
        <f>IF($A696="","",IFERROR(VLOOKUP($A696,库存台账!$A$5:$Y$1204,25,0),0))</f>
        <v/>
      </c>
      <c r="N696" s="19">
        <f>IF($A696="","",IFERROR(LOOKUP(2,1/((出库单!$D$4:$D$4003=$A696)*(出库单!$T$4:$T$4003="正常")),出库单!$C$4:$C$4003),""))</f>
        <v/>
      </c>
      <c r="O696" s="28">
        <f>IF($A696="","",IF($L696&lt;=0,"",IF($N696="",IFERROR(账期止-LOOKUP(2,1/(入库单!$G$4:$G$2503=$A696),入库单!$C$4:$C$2503),""),账期止-$N696)))</f>
        <v/>
      </c>
      <c r="P696" s="17" t="n"/>
    </row>
    <row r="697">
      <c r="A697" s="17" t="inlineStr">
        <is>
          <t>JH0694</t>
        </is>
      </c>
      <c r="B697" s="17" t="inlineStr">
        <is>
          <t>机械设备</t>
        </is>
      </c>
      <c r="C697" s="17" t="inlineStr">
        <is>
          <t>氧气管</t>
        </is>
      </c>
      <c r="D697" s="17" t="inlineStr"/>
      <c r="E697" s="17" t="inlineStr">
        <is>
          <t>盘</t>
        </is>
      </c>
      <c r="F697" s="17" t="inlineStr">
        <is>
          <t>否</t>
        </is>
      </c>
      <c r="G697" s="23" t="n"/>
      <c r="H697" s="24">
        <f>IF($A697="","",IFERROR(LOOKUP(2,1/((入库单!$G$4:$G$2503=$A697)*(入库单!$Y$4:$Y$2503="正常")*(入库单!$L$4:$L$2503&gt;0)),入库单!$D$4:$D$2503),""))</f>
        <v/>
      </c>
      <c r="I697" s="25">
        <f>IF($A697="","",IFERROR(LOOKUP(2,1/((入库单!$G$4:$G$2503=$A697)*(入库单!$Y$4:$Y$2503="正常")*(入库单!$L$4:$L$2503&gt;0)),入库单!$L$4:$L$2503),0))</f>
        <v/>
      </c>
      <c r="J697" s="26">
        <f>IF($A697="","",IF($H697="A国内",ROUND($I697*倍数A*汇率,0),IF($H697="B当地",ROUND($I697*系数B,0),0)))</f>
        <v/>
      </c>
      <c r="K697" s="24">
        <f>IF($A697="","",IF(COUNTIFS(入库单!$G$4:$G$2503,$A697,入库单!$X$4:$X$2503,"待补价")&gt;0,"待补价",IF(COUNTIFS(入库单!$G$4:$G$2503,$A697,入库单!$X$4:$X$2503,"暂估")&gt;0,"暂估",IF($I697=0,"没有进价","正常"))))</f>
        <v/>
      </c>
      <c r="L697" s="27">
        <f>IF($A697="","",IFERROR(VLOOKUP($A697,库存台账!$A$5:$Y$1204,24,0),0))</f>
        <v/>
      </c>
      <c r="M697" s="26">
        <f>IF($A697="","",IFERROR(VLOOKUP($A697,库存台账!$A$5:$Y$1204,25,0),0))</f>
        <v/>
      </c>
      <c r="N697" s="19">
        <f>IF($A697="","",IFERROR(LOOKUP(2,1/((出库单!$D$4:$D$4003=$A697)*(出库单!$T$4:$T$4003="正常")),出库单!$C$4:$C$4003),""))</f>
        <v/>
      </c>
      <c r="O697" s="28">
        <f>IF($A697="","",IF($L697&lt;=0,"",IF($N697="",IFERROR(账期止-LOOKUP(2,1/(入库单!$G$4:$G$2503=$A697),入库单!$C$4:$C$2503),""),账期止-$N697)))</f>
        <v/>
      </c>
      <c r="P697" s="17" t="n"/>
    </row>
    <row r="698">
      <c r="A698" s="17" t="inlineStr">
        <is>
          <t>JH0695</t>
        </is>
      </c>
      <c r="B698" s="17" t="inlineStr">
        <is>
          <t>电缆电气</t>
        </is>
      </c>
      <c r="C698" s="17" t="inlineStr">
        <is>
          <t>2X2.5铜芯电缆</t>
        </is>
      </c>
      <c r="D698" s="17" t="inlineStr">
        <is>
          <t>国标 可送检</t>
        </is>
      </c>
      <c r="E698" s="17" t="inlineStr">
        <is>
          <t>米</t>
        </is>
      </c>
      <c r="F698" s="17" t="inlineStr">
        <is>
          <t>否</t>
        </is>
      </c>
      <c r="G698" s="23" t="n"/>
      <c r="H698" s="24">
        <f>IF($A698="","",IFERROR(LOOKUP(2,1/((入库单!$G$4:$G$2503=$A698)*(入库单!$Y$4:$Y$2503="正常")*(入库单!$L$4:$L$2503&gt;0)),入库单!$D$4:$D$2503),""))</f>
        <v/>
      </c>
      <c r="I698" s="25">
        <f>IF($A698="","",IFERROR(LOOKUP(2,1/((入库单!$G$4:$G$2503=$A698)*(入库单!$Y$4:$Y$2503="正常")*(入库单!$L$4:$L$2503&gt;0)),入库单!$L$4:$L$2503),0))</f>
        <v/>
      </c>
      <c r="J698" s="26">
        <f>IF($A698="","",IF($H698="A国内",ROUND($I698*倍数A*汇率,0),IF($H698="B当地",ROUND($I698*系数B,0),0)))</f>
        <v/>
      </c>
      <c r="K698" s="24">
        <f>IF($A698="","",IF(COUNTIFS(入库单!$G$4:$G$2503,$A698,入库单!$X$4:$X$2503,"待补价")&gt;0,"待补价",IF(COUNTIFS(入库单!$G$4:$G$2503,$A698,入库单!$X$4:$X$2503,"暂估")&gt;0,"暂估",IF($I698=0,"没有进价","正常"))))</f>
        <v/>
      </c>
      <c r="L698" s="27">
        <f>IF($A698="","",IFERROR(VLOOKUP($A698,库存台账!$A$5:$Y$1204,24,0),0))</f>
        <v/>
      </c>
      <c r="M698" s="26">
        <f>IF($A698="","",IFERROR(VLOOKUP($A698,库存台账!$A$5:$Y$1204,25,0),0))</f>
        <v/>
      </c>
      <c r="N698" s="19">
        <f>IF($A698="","",IFERROR(LOOKUP(2,1/((出库单!$D$4:$D$4003=$A698)*(出库单!$T$4:$T$4003="正常")),出库单!$C$4:$C$4003),""))</f>
        <v/>
      </c>
      <c r="O698" s="28">
        <f>IF($A698="","",IF($L698&lt;=0,"",IF($N698="",IFERROR(账期止-LOOKUP(2,1/(入库单!$G$4:$G$2503=$A698),入库单!$C$4:$C$2503),""),账期止-$N698)))</f>
        <v/>
      </c>
      <c r="P698" s="17" t="n"/>
    </row>
    <row r="699">
      <c r="A699" s="17" t="inlineStr">
        <is>
          <t>JH0696</t>
        </is>
      </c>
      <c r="B699" s="17" t="inlineStr">
        <is>
          <t>电缆电气</t>
        </is>
      </c>
      <c r="C699" s="17" t="inlineStr">
        <is>
          <t>3X2.5铜芯电缆</t>
        </is>
      </c>
      <c r="D699" s="17" t="inlineStr">
        <is>
          <t>国标 可送检</t>
        </is>
      </c>
      <c r="E699" s="17" t="inlineStr">
        <is>
          <t>米</t>
        </is>
      </c>
      <c r="F699" s="17" t="inlineStr">
        <is>
          <t>否</t>
        </is>
      </c>
      <c r="G699" s="23" t="n"/>
      <c r="H699" s="24">
        <f>IF($A699="","",IFERROR(LOOKUP(2,1/((入库单!$G$4:$G$2503=$A699)*(入库单!$Y$4:$Y$2503="正常")*(入库单!$L$4:$L$2503&gt;0)),入库单!$D$4:$D$2503),""))</f>
        <v/>
      </c>
      <c r="I699" s="25">
        <f>IF($A699="","",IFERROR(LOOKUP(2,1/((入库单!$G$4:$G$2503=$A699)*(入库单!$Y$4:$Y$2503="正常")*(入库单!$L$4:$L$2503&gt;0)),入库单!$L$4:$L$2503),0))</f>
        <v/>
      </c>
      <c r="J699" s="26">
        <f>IF($A699="","",IF($H699="A国内",ROUND($I699*倍数A*汇率,0),IF($H699="B当地",ROUND($I699*系数B,0),0)))</f>
        <v/>
      </c>
      <c r="K699" s="24">
        <f>IF($A699="","",IF(COUNTIFS(入库单!$G$4:$G$2503,$A699,入库单!$X$4:$X$2503,"待补价")&gt;0,"待补价",IF(COUNTIFS(入库单!$G$4:$G$2503,$A699,入库单!$X$4:$X$2503,"暂估")&gt;0,"暂估",IF($I699=0,"没有进价","正常"))))</f>
        <v/>
      </c>
      <c r="L699" s="27">
        <f>IF($A699="","",IFERROR(VLOOKUP($A699,库存台账!$A$5:$Y$1204,24,0),0))</f>
        <v/>
      </c>
      <c r="M699" s="26">
        <f>IF($A699="","",IFERROR(VLOOKUP($A699,库存台账!$A$5:$Y$1204,25,0),0))</f>
        <v/>
      </c>
      <c r="N699" s="19">
        <f>IF($A699="","",IFERROR(LOOKUP(2,1/((出库单!$D$4:$D$4003=$A699)*(出库单!$T$4:$T$4003="正常")),出库单!$C$4:$C$4003),""))</f>
        <v/>
      </c>
      <c r="O699" s="28">
        <f>IF($A699="","",IF($L699&lt;=0,"",IF($N699="",IFERROR(账期止-LOOKUP(2,1/(入库单!$G$4:$G$2503=$A699),入库单!$C$4:$C$2503),""),账期止-$N699)))</f>
        <v/>
      </c>
      <c r="P699" s="17" t="n"/>
    </row>
    <row r="700">
      <c r="A700" s="17" t="inlineStr">
        <is>
          <t>JH0697</t>
        </is>
      </c>
      <c r="B700" s="17" t="inlineStr">
        <is>
          <t>电缆电气</t>
        </is>
      </c>
      <c r="C700" s="17" t="inlineStr">
        <is>
          <t>3X4铜芯电缆</t>
        </is>
      </c>
      <c r="D700" s="17" t="inlineStr">
        <is>
          <t>国标 可送检</t>
        </is>
      </c>
      <c r="E700" s="17" t="inlineStr">
        <is>
          <t>米</t>
        </is>
      </c>
      <c r="F700" s="17" t="inlineStr">
        <is>
          <t>否</t>
        </is>
      </c>
      <c r="G700" s="23" t="n"/>
      <c r="H700" s="24">
        <f>IF($A700="","",IFERROR(LOOKUP(2,1/((入库单!$G$4:$G$2503=$A700)*(入库单!$Y$4:$Y$2503="正常")*(入库单!$L$4:$L$2503&gt;0)),入库单!$D$4:$D$2503),""))</f>
        <v/>
      </c>
      <c r="I700" s="25">
        <f>IF($A700="","",IFERROR(LOOKUP(2,1/((入库单!$G$4:$G$2503=$A700)*(入库单!$Y$4:$Y$2503="正常")*(入库单!$L$4:$L$2503&gt;0)),入库单!$L$4:$L$2503),0))</f>
        <v/>
      </c>
      <c r="J700" s="26">
        <f>IF($A700="","",IF($H700="A国内",ROUND($I700*倍数A*汇率,0),IF($H700="B当地",ROUND($I700*系数B,0),0)))</f>
        <v/>
      </c>
      <c r="K700" s="24">
        <f>IF($A700="","",IF(COUNTIFS(入库单!$G$4:$G$2503,$A700,入库单!$X$4:$X$2503,"待补价")&gt;0,"待补价",IF(COUNTIFS(入库单!$G$4:$G$2503,$A700,入库单!$X$4:$X$2503,"暂估")&gt;0,"暂估",IF($I700=0,"没有进价","正常"))))</f>
        <v/>
      </c>
      <c r="L700" s="27">
        <f>IF($A700="","",IFERROR(VLOOKUP($A700,库存台账!$A$5:$Y$1204,24,0),0))</f>
        <v/>
      </c>
      <c r="M700" s="26">
        <f>IF($A700="","",IFERROR(VLOOKUP($A700,库存台账!$A$5:$Y$1204,25,0),0))</f>
        <v/>
      </c>
      <c r="N700" s="19">
        <f>IF($A700="","",IFERROR(LOOKUP(2,1/((出库单!$D$4:$D$4003=$A700)*(出库单!$T$4:$T$4003="正常")),出库单!$C$4:$C$4003),""))</f>
        <v/>
      </c>
      <c r="O700" s="28">
        <f>IF($A700="","",IF($L700&lt;=0,"",IF($N700="",IFERROR(账期止-LOOKUP(2,1/(入库单!$G$4:$G$2503=$A700),入库单!$C$4:$C$2503),""),账期止-$N700)))</f>
        <v/>
      </c>
      <c r="P700" s="17" t="n"/>
    </row>
    <row r="701">
      <c r="A701" s="17" t="inlineStr">
        <is>
          <t>JH0698</t>
        </is>
      </c>
      <c r="B701" s="17" t="inlineStr">
        <is>
          <t>电缆电气</t>
        </is>
      </c>
      <c r="C701" s="17" t="inlineStr">
        <is>
          <t>3X6铜芯电缆</t>
        </is>
      </c>
      <c r="D701" s="17" t="inlineStr">
        <is>
          <t>国标 可送检</t>
        </is>
      </c>
      <c r="E701" s="17" t="inlineStr">
        <is>
          <t>米</t>
        </is>
      </c>
      <c r="F701" s="17" t="inlineStr">
        <is>
          <t>否</t>
        </is>
      </c>
      <c r="G701" s="23" t="n"/>
      <c r="H701" s="24">
        <f>IF($A701="","",IFERROR(LOOKUP(2,1/((入库单!$G$4:$G$2503=$A701)*(入库单!$Y$4:$Y$2503="正常")*(入库单!$L$4:$L$2503&gt;0)),入库单!$D$4:$D$2503),""))</f>
        <v/>
      </c>
      <c r="I701" s="25">
        <f>IF($A701="","",IFERROR(LOOKUP(2,1/((入库单!$G$4:$G$2503=$A701)*(入库单!$Y$4:$Y$2503="正常")*(入库单!$L$4:$L$2503&gt;0)),入库单!$L$4:$L$2503),0))</f>
        <v/>
      </c>
      <c r="J701" s="26">
        <f>IF($A701="","",IF($H701="A国内",ROUND($I701*倍数A*汇率,0),IF($H701="B当地",ROUND($I701*系数B,0),0)))</f>
        <v/>
      </c>
      <c r="K701" s="24">
        <f>IF($A701="","",IF(COUNTIFS(入库单!$G$4:$G$2503,$A701,入库单!$X$4:$X$2503,"待补价")&gt;0,"待补价",IF(COUNTIFS(入库单!$G$4:$G$2503,$A701,入库单!$X$4:$X$2503,"暂估")&gt;0,"暂估",IF($I701=0,"没有进价","正常"))))</f>
        <v/>
      </c>
      <c r="L701" s="27">
        <f>IF($A701="","",IFERROR(VLOOKUP($A701,库存台账!$A$5:$Y$1204,24,0),0))</f>
        <v/>
      </c>
      <c r="M701" s="26">
        <f>IF($A701="","",IFERROR(VLOOKUP($A701,库存台账!$A$5:$Y$1204,25,0),0))</f>
        <v/>
      </c>
      <c r="N701" s="19">
        <f>IF($A701="","",IFERROR(LOOKUP(2,1/((出库单!$D$4:$D$4003=$A701)*(出库单!$T$4:$T$4003="正常")),出库单!$C$4:$C$4003),""))</f>
        <v/>
      </c>
      <c r="O701" s="28">
        <f>IF($A701="","",IF($L701&lt;=0,"",IF($N701="",IFERROR(账期止-LOOKUP(2,1/(入库单!$G$4:$G$2503=$A701),入库单!$C$4:$C$2503),""),账期止-$N701)))</f>
        <v/>
      </c>
      <c r="P701" s="17" t="n"/>
    </row>
    <row r="702">
      <c r="A702" s="17" t="inlineStr">
        <is>
          <t>JH0699</t>
        </is>
      </c>
      <c r="B702" s="17" t="inlineStr">
        <is>
          <t>电缆电气</t>
        </is>
      </c>
      <c r="C702" s="17" t="inlineStr">
        <is>
          <t>3X10铜芯电缆</t>
        </is>
      </c>
      <c r="D702" s="17" t="inlineStr">
        <is>
          <t>国标 可送检</t>
        </is>
      </c>
      <c r="E702" s="17" t="inlineStr">
        <is>
          <t>米</t>
        </is>
      </c>
      <c r="F702" s="17" t="inlineStr">
        <is>
          <t>否</t>
        </is>
      </c>
      <c r="G702" s="23" t="n"/>
      <c r="H702" s="24">
        <f>IF($A702="","",IFERROR(LOOKUP(2,1/((入库单!$G$4:$G$2503=$A702)*(入库单!$Y$4:$Y$2503="正常")*(入库单!$L$4:$L$2503&gt;0)),入库单!$D$4:$D$2503),""))</f>
        <v/>
      </c>
      <c r="I702" s="25">
        <f>IF($A702="","",IFERROR(LOOKUP(2,1/((入库单!$G$4:$G$2503=$A702)*(入库单!$Y$4:$Y$2503="正常")*(入库单!$L$4:$L$2503&gt;0)),入库单!$L$4:$L$2503),0))</f>
        <v/>
      </c>
      <c r="J702" s="26">
        <f>IF($A702="","",IF($H702="A国内",ROUND($I702*倍数A*汇率,0),IF($H702="B当地",ROUND($I702*系数B,0),0)))</f>
        <v/>
      </c>
      <c r="K702" s="24">
        <f>IF($A702="","",IF(COUNTIFS(入库单!$G$4:$G$2503,$A702,入库单!$X$4:$X$2503,"待补价")&gt;0,"待补价",IF(COUNTIFS(入库单!$G$4:$G$2503,$A702,入库单!$X$4:$X$2503,"暂估")&gt;0,"暂估",IF($I702=0,"没有进价","正常"))))</f>
        <v/>
      </c>
      <c r="L702" s="27">
        <f>IF($A702="","",IFERROR(VLOOKUP($A702,库存台账!$A$5:$Y$1204,24,0),0))</f>
        <v/>
      </c>
      <c r="M702" s="26">
        <f>IF($A702="","",IFERROR(VLOOKUP($A702,库存台账!$A$5:$Y$1204,25,0),0))</f>
        <v/>
      </c>
      <c r="N702" s="19">
        <f>IF($A702="","",IFERROR(LOOKUP(2,1/((出库单!$D$4:$D$4003=$A702)*(出库单!$T$4:$T$4003="正常")),出库单!$C$4:$C$4003),""))</f>
        <v/>
      </c>
      <c r="O702" s="28">
        <f>IF($A702="","",IF($L702&lt;=0,"",IF($N702="",IFERROR(账期止-LOOKUP(2,1/(入库单!$G$4:$G$2503=$A702),入库单!$C$4:$C$2503),""),账期止-$N702)))</f>
        <v/>
      </c>
      <c r="P702" s="17" t="n"/>
    </row>
    <row r="703">
      <c r="A703" s="17" t="inlineStr">
        <is>
          <t>JH0700</t>
        </is>
      </c>
      <c r="B703" s="17" t="inlineStr">
        <is>
          <t>电缆电气</t>
        </is>
      </c>
      <c r="C703" s="17" t="inlineStr">
        <is>
          <t>4X10铜芯电缆</t>
        </is>
      </c>
      <c r="D703" s="17" t="inlineStr">
        <is>
          <t>国标 可送检</t>
        </is>
      </c>
      <c r="E703" s="17" t="inlineStr">
        <is>
          <t>米</t>
        </is>
      </c>
      <c r="F703" s="17" t="inlineStr">
        <is>
          <t>否</t>
        </is>
      </c>
      <c r="G703" s="23" t="n"/>
      <c r="H703" s="24">
        <f>IF($A703="","",IFERROR(LOOKUP(2,1/((入库单!$G$4:$G$2503=$A703)*(入库单!$Y$4:$Y$2503="正常")*(入库单!$L$4:$L$2503&gt;0)),入库单!$D$4:$D$2503),""))</f>
        <v/>
      </c>
      <c r="I703" s="25">
        <f>IF($A703="","",IFERROR(LOOKUP(2,1/((入库单!$G$4:$G$2503=$A703)*(入库单!$Y$4:$Y$2503="正常")*(入库单!$L$4:$L$2503&gt;0)),入库单!$L$4:$L$2503),0))</f>
        <v/>
      </c>
      <c r="J703" s="26">
        <f>IF($A703="","",IF($H703="A国内",ROUND($I703*倍数A*汇率,0),IF($H703="B当地",ROUND($I703*系数B,0),0)))</f>
        <v/>
      </c>
      <c r="K703" s="24">
        <f>IF($A703="","",IF(COUNTIFS(入库单!$G$4:$G$2503,$A703,入库单!$X$4:$X$2503,"待补价")&gt;0,"待补价",IF(COUNTIFS(入库单!$G$4:$G$2503,$A703,入库单!$X$4:$X$2503,"暂估")&gt;0,"暂估",IF($I703=0,"没有进价","正常"))))</f>
        <v/>
      </c>
      <c r="L703" s="27">
        <f>IF($A703="","",IFERROR(VLOOKUP($A703,库存台账!$A$5:$Y$1204,24,0),0))</f>
        <v/>
      </c>
      <c r="M703" s="26">
        <f>IF($A703="","",IFERROR(VLOOKUP($A703,库存台账!$A$5:$Y$1204,25,0),0))</f>
        <v/>
      </c>
      <c r="N703" s="19">
        <f>IF($A703="","",IFERROR(LOOKUP(2,1/((出库单!$D$4:$D$4003=$A703)*(出库单!$T$4:$T$4003="正常")),出库单!$C$4:$C$4003),""))</f>
        <v/>
      </c>
      <c r="O703" s="28">
        <f>IF($A703="","",IF($L703&lt;=0,"",IF($N703="",IFERROR(账期止-LOOKUP(2,1/(入库单!$G$4:$G$2503=$A703),入库单!$C$4:$C$2503),""),账期止-$N703)))</f>
        <v/>
      </c>
      <c r="P703" s="17" t="n"/>
    </row>
    <row r="704">
      <c r="A704" s="17" t="inlineStr">
        <is>
          <t>JH0701</t>
        </is>
      </c>
      <c r="B704" s="17" t="inlineStr">
        <is>
          <t>电缆电气</t>
        </is>
      </c>
      <c r="C704" s="17" t="inlineStr">
        <is>
          <t>5X2.5铜芯电缆</t>
        </is>
      </c>
      <c r="D704" s="17" t="inlineStr">
        <is>
          <t>国标 可送检</t>
        </is>
      </c>
      <c r="E704" s="17" t="inlineStr">
        <is>
          <t>米</t>
        </is>
      </c>
      <c r="F704" s="17" t="inlineStr">
        <is>
          <t>否</t>
        </is>
      </c>
      <c r="G704" s="23" t="n"/>
      <c r="H704" s="24">
        <f>IF($A704="","",IFERROR(LOOKUP(2,1/((入库单!$G$4:$G$2503=$A704)*(入库单!$Y$4:$Y$2503="正常")*(入库单!$L$4:$L$2503&gt;0)),入库单!$D$4:$D$2503),""))</f>
        <v/>
      </c>
      <c r="I704" s="25">
        <f>IF($A704="","",IFERROR(LOOKUP(2,1/((入库单!$G$4:$G$2503=$A704)*(入库单!$Y$4:$Y$2503="正常")*(入库单!$L$4:$L$2503&gt;0)),入库单!$L$4:$L$2503),0))</f>
        <v/>
      </c>
      <c r="J704" s="26">
        <f>IF($A704="","",IF($H704="A国内",ROUND($I704*倍数A*汇率,0),IF($H704="B当地",ROUND($I704*系数B,0),0)))</f>
        <v/>
      </c>
      <c r="K704" s="24">
        <f>IF($A704="","",IF(COUNTIFS(入库单!$G$4:$G$2503,$A704,入库单!$X$4:$X$2503,"待补价")&gt;0,"待补价",IF(COUNTIFS(入库单!$G$4:$G$2503,$A704,入库单!$X$4:$X$2503,"暂估")&gt;0,"暂估",IF($I704=0,"没有进价","正常"))))</f>
        <v/>
      </c>
      <c r="L704" s="27">
        <f>IF($A704="","",IFERROR(VLOOKUP($A704,库存台账!$A$5:$Y$1204,24,0),0))</f>
        <v/>
      </c>
      <c r="M704" s="26">
        <f>IF($A704="","",IFERROR(VLOOKUP($A704,库存台账!$A$5:$Y$1204,25,0),0))</f>
        <v/>
      </c>
      <c r="N704" s="19">
        <f>IF($A704="","",IFERROR(LOOKUP(2,1/((出库单!$D$4:$D$4003=$A704)*(出库单!$T$4:$T$4003="正常")),出库单!$C$4:$C$4003),""))</f>
        <v/>
      </c>
      <c r="O704" s="28">
        <f>IF($A704="","",IF($L704&lt;=0,"",IF($N704="",IFERROR(账期止-LOOKUP(2,1/(入库单!$G$4:$G$2503=$A704),入库单!$C$4:$C$2503),""),账期止-$N704)))</f>
        <v/>
      </c>
      <c r="P704" s="17" t="n"/>
    </row>
    <row r="705">
      <c r="A705" s="17" t="inlineStr">
        <is>
          <t>JH0702</t>
        </is>
      </c>
      <c r="B705" s="17" t="inlineStr">
        <is>
          <t>电缆电气</t>
        </is>
      </c>
      <c r="C705" s="17" t="inlineStr">
        <is>
          <t>3x95+1x50铝芯电缆</t>
        </is>
      </c>
      <c r="D705" s="17" t="inlineStr">
        <is>
          <t>国标 可送检</t>
        </is>
      </c>
      <c r="E705" s="17" t="inlineStr">
        <is>
          <t>米</t>
        </is>
      </c>
      <c r="F705" s="17" t="inlineStr">
        <is>
          <t>否</t>
        </is>
      </c>
      <c r="G705" s="23" t="n"/>
      <c r="H705" s="24">
        <f>IF($A705="","",IFERROR(LOOKUP(2,1/((入库单!$G$4:$G$2503=$A705)*(入库单!$Y$4:$Y$2503="正常")*(入库单!$L$4:$L$2503&gt;0)),入库单!$D$4:$D$2503),""))</f>
        <v/>
      </c>
      <c r="I705" s="25">
        <f>IF($A705="","",IFERROR(LOOKUP(2,1/((入库单!$G$4:$G$2503=$A705)*(入库单!$Y$4:$Y$2503="正常")*(入库单!$L$4:$L$2503&gt;0)),入库单!$L$4:$L$2503),0))</f>
        <v/>
      </c>
      <c r="J705" s="26">
        <f>IF($A705="","",IF($H705="A国内",ROUND($I705*倍数A*汇率,0),IF($H705="B当地",ROUND($I705*系数B,0),0)))</f>
        <v/>
      </c>
      <c r="K705" s="24">
        <f>IF($A705="","",IF(COUNTIFS(入库单!$G$4:$G$2503,$A705,入库单!$X$4:$X$2503,"待补价")&gt;0,"待补价",IF(COUNTIFS(入库单!$G$4:$G$2503,$A705,入库单!$X$4:$X$2503,"暂估")&gt;0,"暂估",IF($I705=0,"没有进价","正常"))))</f>
        <v/>
      </c>
      <c r="L705" s="27">
        <f>IF($A705="","",IFERROR(VLOOKUP($A705,库存台账!$A$5:$Y$1204,24,0),0))</f>
        <v/>
      </c>
      <c r="M705" s="26">
        <f>IF($A705="","",IFERROR(VLOOKUP($A705,库存台账!$A$5:$Y$1204,25,0),0))</f>
        <v/>
      </c>
      <c r="N705" s="19">
        <f>IF($A705="","",IFERROR(LOOKUP(2,1/((出库单!$D$4:$D$4003=$A705)*(出库单!$T$4:$T$4003="正常")),出库单!$C$4:$C$4003),""))</f>
        <v/>
      </c>
      <c r="O705" s="28">
        <f>IF($A705="","",IF($L705&lt;=0,"",IF($N705="",IFERROR(账期止-LOOKUP(2,1/(入库单!$G$4:$G$2503=$A705),入库单!$C$4:$C$2503),""),账期止-$N705)))</f>
        <v/>
      </c>
      <c r="P705" s="17" t="n"/>
    </row>
    <row r="706">
      <c r="A706" s="17" t="inlineStr">
        <is>
          <t>JH0703</t>
        </is>
      </c>
      <c r="B706" s="17" t="inlineStr">
        <is>
          <t>机械配件</t>
        </is>
      </c>
      <c r="C706" s="17" t="inlineStr">
        <is>
          <t>不锈钢蒸馏水器</t>
        </is>
      </c>
      <c r="D706" s="17" t="inlineStr">
        <is>
          <t>20L  15KW</t>
        </is>
      </c>
      <c r="E706" s="17" t="inlineStr">
        <is>
          <t>个</t>
        </is>
      </c>
      <c r="F706" s="17" t="inlineStr">
        <is>
          <t>否</t>
        </is>
      </c>
      <c r="G706" s="23" t="n"/>
      <c r="H706" s="24">
        <f>IF($A706="","",IFERROR(LOOKUP(2,1/((入库单!$G$4:$G$2503=$A706)*(入库单!$Y$4:$Y$2503="正常")*(入库单!$L$4:$L$2503&gt;0)),入库单!$D$4:$D$2503),""))</f>
        <v/>
      </c>
      <c r="I706" s="25">
        <f>IF($A706="","",IFERROR(LOOKUP(2,1/((入库单!$G$4:$G$2503=$A706)*(入库单!$Y$4:$Y$2503="正常")*(入库单!$L$4:$L$2503&gt;0)),入库单!$L$4:$L$2503),0))</f>
        <v/>
      </c>
      <c r="J706" s="26">
        <f>IF($A706="","",IF($H706="A国内",ROUND($I706*倍数A*汇率,0),IF($H706="B当地",ROUND($I706*系数B,0),0)))</f>
        <v/>
      </c>
      <c r="K706" s="24">
        <f>IF($A706="","",IF(COUNTIFS(入库单!$G$4:$G$2503,$A706,入库单!$X$4:$X$2503,"待补价")&gt;0,"待补价",IF(COUNTIFS(入库单!$G$4:$G$2503,$A706,入库单!$X$4:$X$2503,"暂估")&gt;0,"暂估",IF($I706=0,"没有进价","正常"))))</f>
        <v/>
      </c>
      <c r="L706" s="27">
        <f>IF($A706="","",IFERROR(VLOOKUP($A706,库存台账!$A$5:$Y$1204,24,0),0))</f>
        <v/>
      </c>
      <c r="M706" s="26">
        <f>IF($A706="","",IFERROR(VLOOKUP($A706,库存台账!$A$5:$Y$1204,25,0),0))</f>
        <v/>
      </c>
      <c r="N706" s="19">
        <f>IF($A706="","",IFERROR(LOOKUP(2,1/((出库单!$D$4:$D$4003=$A706)*(出库单!$T$4:$T$4003="正常")),出库单!$C$4:$C$4003),""))</f>
        <v/>
      </c>
      <c r="O706" s="28">
        <f>IF($A706="","",IF($L706&lt;=0,"",IF($N706="",IFERROR(账期止-LOOKUP(2,1/(入库单!$G$4:$G$2503=$A706),入库单!$C$4:$C$2503),""),账期止-$N706)))</f>
        <v/>
      </c>
      <c r="P706" s="17" t="n"/>
    </row>
    <row r="707">
      <c r="A707" s="17" t="inlineStr">
        <is>
          <t>JH0704</t>
        </is>
      </c>
      <c r="B707" s="17" t="inlineStr">
        <is>
          <t>机械配件</t>
        </is>
      </c>
      <c r="C707" s="17" t="inlineStr">
        <is>
          <t>坑道服</t>
        </is>
      </c>
      <c r="D707" s="17" t="inlineStr"/>
      <c r="E707" s="17" t="inlineStr">
        <is>
          <t>套</t>
        </is>
      </c>
      <c r="F707" s="17" t="inlineStr">
        <is>
          <t>否</t>
        </is>
      </c>
      <c r="G707" s="23" t="n"/>
      <c r="H707" s="24">
        <f>IF($A707="","",IFERROR(LOOKUP(2,1/((入库单!$G$4:$G$2503=$A707)*(入库单!$Y$4:$Y$2503="正常")*(入库单!$L$4:$L$2503&gt;0)),入库单!$D$4:$D$2503),""))</f>
        <v/>
      </c>
      <c r="I707" s="25">
        <f>IF($A707="","",IFERROR(LOOKUP(2,1/((入库单!$G$4:$G$2503=$A707)*(入库单!$Y$4:$Y$2503="正常")*(入库单!$L$4:$L$2503&gt;0)),入库单!$L$4:$L$2503),0))</f>
        <v/>
      </c>
      <c r="J707" s="26">
        <f>IF($A707="","",IF($H707="A国内",ROUND($I707*倍数A*汇率,0),IF($H707="B当地",ROUND($I707*系数B,0),0)))</f>
        <v/>
      </c>
      <c r="K707" s="24">
        <f>IF($A707="","",IF(COUNTIFS(入库单!$G$4:$G$2503,$A707,入库单!$X$4:$X$2503,"待补价")&gt;0,"待补价",IF(COUNTIFS(入库单!$G$4:$G$2503,$A707,入库单!$X$4:$X$2503,"暂估")&gt;0,"暂估",IF($I707=0,"没有进价","正常"))))</f>
        <v/>
      </c>
      <c r="L707" s="27">
        <f>IF($A707="","",IFERROR(VLOOKUP($A707,库存台账!$A$5:$Y$1204,24,0),0))</f>
        <v/>
      </c>
      <c r="M707" s="26">
        <f>IF($A707="","",IFERROR(VLOOKUP($A707,库存台账!$A$5:$Y$1204,25,0),0))</f>
        <v/>
      </c>
      <c r="N707" s="19">
        <f>IF($A707="","",IFERROR(LOOKUP(2,1/((出库单!$D$4:$D$4003=$A707)*(出库单!$T$4:$T$4003="正常")),出库单!$C$4:$C$4003),""))</f>
        <v/>
      </c>
      <c r="O707" s="28">
        <f>IF($A707="","",IF($L707&lt;=0,"",IF($N707="",IFERROR(账期止-LOOKUP(2,1/(入库单!$G$4:$G$2503=$A707),入库单!$C$4:$C$2503),""),账期止-$N707)))</f>
        <v/>
      </c>
      <c r="P707" s="17" t="n"/>
    </row>
    <row r="708">
      <c r="A708" s="17" t="inlineStr">
        <is>
          <t>JH0705</t>
        </is>
      </c>
      <c r="B708" s="17" t="inlineStr">
        <is>
          <t>机械配件</t>
        </is>
      </c>
      <c r="C708" s="17" t="inlineStr">
        <is>
          <t>半胶手套</t>
        </is>
      </c>
      <c r="D708" s="17" t="inlineStr">
        <is>
          <t>198型号</t>
        </is>
      </c>
      <c r="E708" s="17" t="inlineStr">
        <is>
          <t>双</t>
        </is>
      </c>
      <c r="F708" s="17" t="inlineStr">
        <is>
          <t>否</t>
        </is>
      </c>
      <c r="G708" s="23" t="n"/>
      <c r="H708" s="24">
        <f>IF($A708="","",IFERROR(LOOKUP(2,1/((入库单!$G$4:$G$2503=$A708)*(入库单!$Y$4:$Y$2503="正常")*(入库单!$L$4:$L$2503&gt;0)),入库单!$D$4:$D$2503),""))</f>
        <v/>
      </c>
      <c r="I708" s="25">
        <f>IF($A708="","",IFERROR(LOOKUP(2,1/((入库单!$G$4:$G$2503=$A708)*(入库单!$Y$4:$Y$2503="正常")*(入库单!$L$4:$L$2503&gt;0)),入库单!$L$4:$L$2503),0))</f>
        <v/>
      </c>
      <c r="J708" s="26">
        <f>IF($A708="","",IF($H708="A国内",ROUND($I708*倍数A*汇率,0),IF($H708="B当地",ROUND($I708*系数B,0),0)))</f>
        <v/>
      </c>
      <c r="K708" s="24">
        <f>IF($A708="","",IF(COUNTIFS(入库单!$G$4:$G$2503,$A708,入库单!$X$4:$X$2503,"待补价")&gt;0,"待补价",IF(COUNTIFS(入库单!$G$4:$G$2503,$A708,入库单!$X$4:$X$2503,"暂估")&gt;0,"暂估",IF($I708=0,"没有进价","正常"))))</f>
        <v/>
      </c>
      <c r="L708" s="27">
        <f>IF($A708="","",IFERROR(VLOOKUP($A708,库存台账!$A$5:$Y$1204,24,0),0))</f>
        <v/>
      </c>
      <c r="M708" s="26">
        <f>IF($A708="","",IFERROR(VLOOKUP($A708,库存台账!$A$5:$Y$1204,25,0),0))</f>
        <v/>
      </c>
      <c r="N708" s="19">
        <f>IF($A708="","",IFERROR(LOOKUP(2,1/((出库单!$D$4:$D$4003=$A708)*(出库单!$T$4:$T$4003="正常")),出库单!$C$4:$C$4003),""))</f>
        <v/>
      </c>
      <c r="O708" s="28">
        <f>IF($A708="","",IF($L708&lt;=0,"",IF($N708="",IFERROR(账期止-LOOKUP(2,1/(入库单!$G$4:$G$2503=$A708),入库单!$C$4:$C$2503),""),账期止-$N708)))</f>
        <v/>
      </c>
      <c r="P708" s="17" t="n"/>
    </row>
    <row r="709">
      <c r="A709" s="17" t="inlineStr">
        <is>
          <t>JH0706</t>
        </is>
      </c>
      <c r="B709" s="17" t="inlineStr">
        <is>
          <t>电缆电气</t>
        </is>
      </c>
      <c r="C709" s="17" t="inlineStr">
        <is>
          <t>矿灯充电架</t>
        </is>
      </c>
      <c r="D709" s="17" t="inlineStr">
        <is>
          <t>56孔</t>
        </is>
      </c>
      <c r="E709" s="17" t="inlineStr">
        <is>
          <t>个</t>
        </is>
      </c>
      <c r="F709" s="17" t="inlineStr">
        <is>
          <t>否</t>
        </is>
      </c>
      <c r="G709" s="23" t="n"/>
      <c r="H709" s="24">
        <f>IF($A709="","",IFERROR(LOOKUP(2,1/((入库单!$G$4:$G$2503=$A709)*(入库单!$Y$4:$Y$2503="正常")*(入库单!$L$4:$L$2503&gt;0)),入库单!$D$4:$D$2503),""))</f>
        <v/>
      </c>
      <c r="I709" s="25">
        <f>IF($A709="","",IFERROR(LOOKUP(2,1/((入库单!$G$4:$G$2503=$A709)*(入库单!$Y$4:$Y$2503="正常")*(入库单!$L$4:$L$2503&gt;0)),入库单!$L$4:$L$2503),0))</f>
        <v/>
      </c>
      <c r="J709" s="26">
        <f>IF($A709="","",IF($H709="A国内",ROUND($I709*倍数A*汇率,0),IF($H709="B当地",ROUND($I709*系数B,0),0)))</f>
        <v/>
      </c>
      <c r="K709" s="24">
        <f>IF($A709="","",IF(COUNTIFS(入库单!$G$4:$G$2503,$A709,入库单!$X$4:$X$2503,"待补价")&gt;0,"待补价",IF(COUNTIFS(入库单!$G$4:$G$2503,$A709,入库单!$X$4:$X$2503,"暂估")&gt;0,"暂估",IF($I709=0,"没有进价","正常"))))</f>
        <v/>
      </c>
      <c r="L709" s="27">
        <f>IF($A709="","",IFERROR(VLOOKUP($A709,库存台账!$A$5:$Y$1204,24,0),0))</f>
        <v/>
      </c>
      <c r="M709" s="26">
        <f>IF($A709="","",IFERROR(VLOOKUP($A709,库存台账!$A$5:$Y$1204,25,0),0))</f>
        <v/>
      </c>
      <c r="N709" s="19">
        <f>IF($A709="","",IFERROR(LOOKUP(2,1/((出库单!$D$4:$D$4003=$A709)*(出库单!$T$4:$T$4003="正常")),出库单!$C$4:$C$4003),""))</f>
        <v/>
      </c>
      <c r="O709" s="28">
        <f>IF($A709="","",IF($L709&lt;=0,"",IF($N709="",IFERROR(账期止-LOOKUP(2,1/(入库单!$G$4:$G$2503=$A709),入库单!$C$4:$C$2503),""),账期止-$N709)))</f>
        <v/>
      </c>
      <c r="P709" s="17" t="n"/>
    </row>
    <row r="710">
      <c r="A710" s="17" t="inlineStr">
        <is>
          <t>JH0707</t>
        </is>
      </c>
      <c r="B710" s="17" t="inlineStr">
        <is>
          <t>机械配件</t>
        </is>
      </c>
      <c r="C710" s="17" t="inlineStr">
        <is>
          <t>焊条</t>
        </is>
      </c>
      <c r="D710" s="17" t="inlineStr">
        <is>
          <t>J422-4</t>
        </is>
      </c>
      <c r="E710" s="17" t="inlineStr">
        <is>
          <t>件</t>
        </is>
      </c>
      <c r="F710" s="17" t="inlineStr">
        <is>
          <t>否</t>
        </is>
      </c>
      <c r="G710" s="23" t="n"/>
      <c r="H710" s="24">
        <f>IF($A710="","",IFERROR(LOOKUP(2,1/((入库单!$G$4:$G$2503=$A710)*(入库单!$Y$4:$Y$2503="正常")*(入库单!$L$4:$L$2503&gt;0)),入库单!$D$4:$D$2503),""))</f>
        <v/>
      </c>
      <c r="I710" s="25">
        <f>IF($A710="","",IFERROR(LOOKUP(2,1/((入库单!$G$4:$G$2503=$A710)*(入库单!$Y$4:$Y$2503="正常")*(入库单!$L$4:$L$2503&gt;0)),入库单!$L$4:$L$2503),0))</f>
        <v/>
      </c>
      <c r="J710" s="26">
        <f>IF($A710="","",IF($H710="A国内",ROUND($I710*倍数A*汇率,0),IF($H710="B当地",ROUND($I710*系数B,0),0)))</f>
        <v/>
      </c>
      <c r="K710" s="24">
        <f>IF($A710="","",IF(COUNTIFS(入库单!$G$4:$G$2503,$A710,入库单!$X$4:$X$2503,"待补价")&gt;0,"待补价",IF(COUNTIFS(入库单!$G$4:$G$2503,$A710,入库单!$X$4:$X$2503,"暂估")&gt;0,"暂估",IF($I710=0,"没有进价","正常"))))</f>
        <v/>
      </c>
      <c r="L710" s="27">
        <f>IF($A710="","",IFERROR(VLOOKUP($A710,库存台账!$A$5:$Y$1204,24,0),0))</f>
        <v/>
      </c>
      <c r="M710" s="26">
        <f>IF($A710="","",IFERROR(VLOOKUP($A710,库存台账!$A$5:$Y$1204,25,0),0))</f>
        <v/>
      </c>
      <c r="N710" s="19">
        <f>IF($A710="","",IFERROR(LOOKUP(2,1/((出库单!$D$4:$D$4003=$A710)*(出库单!$T$4:$T$4003="正常")),出库单!$C$4:$C$4003),""))</f>
        <v/>
      </c>
      <c r="O710" s="28">
        <f>IF($A710="","",IF($L710&lt;=0,"",IF($N710="",IFERROR(账期止-LOOKUP(2,1/(入库单!$G$4:$G$2503=$A710),入库单!$C$4:$C$2503),""),账期止-$N710)))</f>
        <v/>
      </c>
      <c r="P710" s="17" t="n"/>
    </row>
    <row r="711">
      <c r="A711" s="17" t="inlineStr">
        <is>
          <t>JH0708</t>
        </is>
      </c>
      <c r="B711" s="17" t="inlineStr">
        <is>
          <t>机械配件</t>
        </is>
      </c>
      <c r="C711" s="17" t="inlineStr">
        <is>
          <t>焊条</t>
        </is>
      </c>
      <c r="D711" s="17" t="inlineStr">
        <is>
          <t>J422-3.2</t>
        </is>
      </c>
      <c r="E711" s="17" t="inlineStr">
        <is>
          <t>件</t>
        </is>
      </c>
      <c r="F711" s="17" t="inlineStr">
        <is>
          <t>否</t>
        </is>
      </c>
      <c r="G711" s="23" t="n"/>
      <c r="H711" s="24">
        <f>IF($A711="","",IFERROR(LOOKUP(2,1/((入库单!$G$4:$G$2503=$A711)*(入库单!$Y$4:$Y$2503="正常")*(入库单!$L$4:$L$2503&gt;0)),入库单!$D$4:$D$2503),""))</f>
        <v/>
      </c>
      <c r="I711" s="25">
        <f>IF($A711="","",IFERROR(LOOKUP(2,1/((入库单!$G$4:$G$2503=$A711)*(入库单!$Y$4:$Y$2503="正常")*(入库单!$L$4:$L$2503&gt;0)),入库单!$L$4:$L$2503),0))</f>
        <v/>
      </c>
      <c r="J711" s="26">
        <f>IF($A711="","",IF($H711="A国内",ROUND($I711*倍数A*汇率,0),IF($H711="B当地",ROUND($I711*系数B,0),0)))</f>
        <v/>
      </c>
      <c r="K711" s="24">
        <f>IF($A711="","",IF(COUNTIFS(入库单!$G$4:$G$2503,$A711,入库单!$X$4:$X$2503,"待补价")&gt;0,"待补价",IF(COUNTIFS(入库单!$G$4:$G$2503,$A711,入库单!$X$4:$X$2503,"暂估")&gt;0,"暂估",IF($I711=0,"没有进价","正常"))))</f>
        <v/>
      </c>
      <c r="L711" s="27">
        <f>IF($A711="","",IFERROR(VLOOKUP($A711,库存台账!$A$5:$Y$1204,24,0),0))</f>
        <v/>
      </c>
      <c r="M711" s="26">
        <f>IF($A711="","",IFERROR(VLOOKUP($A711,库存台账!$A$5:$Y$1204,25,0),0))</f>
        <v/>
      </c>
      <c r="N711" s="19">
        <f>IF($A711="","",IFERROR(LOOKUP(2,1/((出库单!$D$4:$D$4003=$A711)*(出库单!$T$4:$T$4003="正常")),出库单!$C$4:$C$4003),""))</f>
        <v/>
      </c>
      <c r="O711" s="28">
        <f>IF($A711="","",IF($L711&lt;=0,"",IF($N711="",IFERROR(账期止-LOOKUP(2,1/(入库单!$G$4:$G$2503=$A711),入库单!$C$4:$C$2503),""),账期止-$N711)))</f>
        <v/>
      </c>
      <c r="P711" s="17" t="n"/>
    </row>
    <row r="712">
      <c r="A712" s="17" t="inlineStr">
        <is>
          <t>JH0709</t>
        </is>
      </c>
      <c r="B712" s="17" t="inlineStr">
        <is>
          <t>机械配件</t>
        </is>
      </c>
      <c r="C712" s="17" t="inlineStr">
        <is>
          <t>焊条</t>
        </is>
      </c>
      <c r="D712" s="17" t="inlineStr">
        <is>
          <t>J422-2.5</t>
        </is>
      </c>
      <c r="E712" s="17" t="inlineStr">
        <is>
          <t>件</t>
        </is>
      </c>
      <c r="F712" s="17" t="inlineStr">
        <is>
          <t>否</t>
        </is>
      </c>
      <c r="G712" s="23" t="n"/>
      <c r="H712" s="24">
        <f>IF($A712="","",IFERROR(LOOKUP(2,1/((入库单!$G$4:$G$2503=$A712)*(入库单!$Y$4:$Y$2503="正常")*(入库单!$L$4:$L$2503&gt;0)),入库单!$D$4:$D$2503),""))</f>
        <v/>
      </c>
      <c r="I712" s="25">
        <f>IF($A712="","",IFERROR(LOOKUP(2,1/((入库单!$G$4:$G$2503=$A712)*(入库单!$Y$4:$Y$2503="正常")*(入库单!$L$4:$L$2503&gt;0)),入库单!$L$4:$L$2503),0))</f>
        <v/>
      </c>
      <c r="J712" s="26">
        <f>IF($A712="","",IF($H712="A国内",ROUND($I712*倍数A*汇率,0),IF($H712="B当地",ROUND($I712*系数B,0),0)))</f>
        <v/>
      </c>
      <c r="K712" s="24">
        <f>IF($A712="","",IF(COUNTIFS(入库单!$G$4:$G$2503,$A712,入库单!$X$4:$X$2503,"待补价")&gt;0,"待补价",IF(COUNTIFS(入库单!$G$4:$G$2503,$A712,入库单!$X$4:$X$2503,"暂估")&gt;0,"暂估",IF($I712=0,"没有进价","正常"))))</f>
        <v/>
      </c>
      <c r="L712" s="27">
        <f>IF($A712="","",IFERROR(VLOOKUP($A712,库存台账!$A$5:$Y$1204,24,0),0))</f>
        <v/>
      </c>
      <c r="M712" s="26">
        <f>IF($A712="","",IFERROR(VLOOKUP($A712,库存台账!$A$5:$Y$1204,25,0),0))</f>
        <v/>
      </c>
      <c r="N712" s="19">
        <f>IF($A712="","",IFERROR(LOOKUP(2,1/((出库单!$D$4:$D$4003=$A712)*(出库单!$T$4:$T$4003="正常")),出库单!$C$4:$C$4003),""))</f>
        <v/>
      </c>
      <c r="O712" s="28">
        <f>IF($A712="","",IF($L712&lt;=0,"",IF($N712="",IFERROR(账期止-LOOKUP(2,1/(入库单!$G$4:$G$2503=$A712),入库单!$C$4:$C$2503),""),账期止-$N712)))</f>
        <v/>
      </c>
      <c r="P712" s="17" t="n"/>
    </row>
    <row r="713">
      <c r="A713" s="17" t="inlineStr">
        <is>
          <t>JH0710</t>
        </is>
      </c>
      <c r="B713" s="17" t="inlineStr">
        <is>
          <t>机械配件</t>
        </is>
      </c>
      <c r="C713" s="17" t="inlineStr">
        <is>
          <t>等离子切割机</t>
        </is>
      </c>
      <c r="D713" s="17" t="inlineStr">
        <is>
          <t>LGK-120</t>
        </is>
      </c>
      <c r="E713" s="17" t="inlineStr">
        <is>
          <t>台</t>
        </is>
      </c>
      <c r="F713" s="17" t="inlineStr">
        <is>
          <t>否</t>
        </is>
      </c>
      <c r="G713" s="23" t="n"/>
      <c r="H713" s="24">
        <f>IF($A713="","",IFERROR(LOOKUP(2,1/((入库单!$G$4:$G$2503=$A713)*(入库单!$Y$4:$Y$2503="正常")*(入库单!$L$4:$L$2503&gt;0)),入库单!$D$4:$D$2503),""))</f>
        <v/>
      </c>
      <c r="I713" s="25">
        <f>IF($A713="","",IFERROR(LOOKUP(2,1/((入库单!$G$4:$G$2503=$A713)*(入库单!$Y$4:$Y$2503="正常")*(入库单!$L$4:$L$2503&gt;0)),入库单!$L$4:$L$2503),0))</f>
        <v/>
      </c>
      <c r="J713" s="26">
        <f>IF($A713="","",IF($H713="A国内",ROUND($I713*倍数A*汇率,0),IF($H713="B当地",ROUND($I713*系数B,0),0)))</f>
        <v/>
      </c>
      <c r="K713" s="24">
        <f>IF($A713="","",IF(COUNTIFS(入库单!$G$4:$G$2503,$A713,入库单!$X$4:$X$2503,"待补价")&gt;0,"待补价",IF(COUNTIFS(入库单!$G$4:$G$2503,$A713,入库单!$X$4:$X$2503,"暂估")&gt;0,"暂估",IF($I713=0,"没有进价","正常"))))</f>
        <v/>
      </c>
      <c r="L713" s="27">
        <f>IF($A713="","",IFERROR(VLOOKUP($A713,库存台账!$A$5:$Y$1204,24,0),0))</f>
        <v/>
      </c>
      <c r="M713" s="26">
        <f>IF($A713="","",IFERROR(VLOOKUP($A713,库存台账!$A$5:$Y$1204,25,0),0))</f>
        <v/>
      </c>
      <c r="N713" s="19">
        <f>IF($A713="","",IFERROR(LOOKUP(2,1/((出库单!$D$4:$D$4003=$A713)*(出库单!$T$4:$T$4003="正常")),出库单!$C$4:$C$4003),""))</f>
        <v/>
      </c>
      <c r="O713" s="28">
        <f>IF($A713="","",IF($L713&lt;=0,"",IF($N713="",IFERROR(账期止-LOOKUP(2,1/(入库单!$G$4:$G$2503=$A713),入库单!$C$4:$C$2503),""),账期止-$N713)))</f>
        <v/>
      </c>
      <c r="P713" s="17" t="n"/>
    </row>
    <row r="714">
      <c r="A714" s="17" t="inlineStr">
        <is>
          <t>JH0711</t>
        </is>
      </c>
      <c r="B714" s="17" t="inlineStr">
        <is>
          <t>机械配件</t>
        </is>
      </c>
      <c r="C714" s="17" t="inlineStr">
        <is>
          <t>化验室电热炉</t>
        </is>
      </c>
      <c r="D714" s="17" t="inlineStr">
        <is>
          <t>电炉丝</t>
        </is>
      </c>
      <c r="E714" s="17" t="inlineStr">
        <is>
          <t>台</t>
        </is>
      </c>
      <c r="F714" s="17" t="inlineStr">
        <is>
          <t>否</t>
        </is>
      </c>
      <c r="G714" s="23" t="n"/>
      <c r="H714" s="24">
        <f>IF($A714="","",IFERROR(LOOKUP(2,1/((入库单!$G$4:$G$2503=$A714)*(入库单!$Y$4:$Y$2503="正常")*(入库单!$L$4:$L$2503&gt;0)),入库单!$D$4:$D$2503),""))</f>
        <v/>
      </c>
      <c r="I714" s="25">
        <f>IF($A714="","",IFERROR(LOOKUP(2,1/((入库单!$G$4:$G$2503=$A714)*(入库单!$Y$4:$Y$2503="正常")*(入库单!$L$4:$L$2503&gt;0)),入库单!$L$4:$L$2503),0))</f>
        <v/>
      </c>
      <c r="J714" s="26">
        <f>IF($A714="","",IF($H714="A国内",ROUND($I714*倍数A*汇率,0),IF($H714="B当地",ROUND($I714*系数B,0),0)))</f>
        <v/>
      </c>
      <c r="K714" s="24">
        <f>IF($A714="","",IF(COUNTIFS(入库单!$G$4:$G$2503,$A714,入库单!$X$4:$X$2503,"待补价")&gt;0,"待补价",IF(COUNTIFS(入库单!$G$4:$G$2503,$A714,入库单!$X$4:$X$2503,"暂估")&gt;0,"暂估",IF($I714=0,"没有进价","正常"))))</f>
        <v/>
      </c>
      <c r="L714" s="27">
        <f>IF($A714="","",IFERROR(VLOOKUP($A714,库存台账!$A$5:$Y$1204,24,0),0))</f>
        <v/>
      </c>
      <c r="M714" s="26">
        <f>IF($A714="","",IFERROR(VLOOKUP($A714,库存台账!$A$5:$Y$1204,25,0),0))</f>
        <v/>
      </c>
      <c r="N714" s="19">
        <f>IF($A714="","",IFERROR(LOOKUP(2,1/((出库单!$D$4:$D$4003=$A714)*(出库单!$T$4:$T$4003="正常")),出库单!$C$4:$C$4003),""))</f>
        <v/>
      </c>
      <c r="O714" s="28">
        <f>IF($A714="","",IF($L714&lt;=0,"",IF($N714="",IFERROR(账期止-LOOKUP(2,1/(入库单!$G$4:$G$2503=$A714),入库单!$C$4:$C$2503),""),账期止-$N714)))</f>
        <v/>
      </c>
      <c r="P714" s="17" t="n"/>
    </row>
    <row r="715">
      <c r="A715" s="17" t="inlineStr">
        <is>
          <t>JH0712</t>
        </is>
      </c>
      <c r="B715" s="17" t="inlineStr">
        <is>
          <t>机械配件</t>
        </is>
      </c>
      <c r="C715" s="17" t="inlineStr">
        <is>
          <t>补车胎胶水</t>
        </is>
      </c>
      <c r="D715" s="17" t="inlineStr"/>
      <c r="E715" s="17" t="inlineStr">
        <is>
          <t>瓶</t>
        </is>
      </c>
      <c r="F715" s="17" t="inlineStr">
        <is>
          <t>否</t>
        </is>
      </c>
      <c r="G715" s="23" t="n"/>
      <c r="H715" s="24">
        <f>IF($A715="","",IFERROR(LOOKUP(2,1/((入库单!$G$4:$G$2503=$A715)*(入库单!$Y$4:$Y$2503="正常")*(入库单!$L$4:$L$2503&gt;0)),入库单!$D$4:$D$2503),""))</f>
        <v/>
      </c>
      <c r="I715" s="25">
        <f>IF($A715="","",IFERROR(LOOKUP(2,1/((入库单!$G$4:$G$2503=$A715)*(入库单!$Y$4:$Y$2503="正常")*(入库单!$L$4:$L$2503&gt;0)),入库单!$L$4:$L$2503),0))</f>
        <v/>
      </c>
      <c r="J715" s="26">
        <f>IF($A715="","",IF($H715="A国内",ROUND($I715*倍数A*汇率,0),IF($H715="B当地",ROUND($I715*系数B,0),0)))</f>
        <v/>
      </c>
      <c r="K715" s="24">
        <f>IF($A715="","",IF(COUNTIFS(入库单!$G$4:$G$2503,$A715,入库单!$X$4:$X$2503,"待补价")&gt;0,"待补价",IF(COUNTIFS(入库单!$G$4:$G$2503,$A715,入库单!$X$4:$X$2503,"暂估")&gt;0,"暂估",IF($I715=0,"没有进价","正常"))))</f>
        <v/>
      </c>
      <c r="L715" s="27">
        <f>IF($A715="","",IFERROR(VLOOKUP($A715,库存台账!$A$5:$Y$1204,24,0),0))</f>
        <v/>
      </c>
      <c r="M715" s="26">
        <f>IF($A715="","",IFERROR(VLOOKUP($A715,库存台账!$A$5:$Y$1204,25,0),0))</f>
        <v/>
      </c>
      <c r="N715" s="19">
        <f>IF($A715="","",IFERROR(LOOKUP(2,1/((出库单!$D$4:$D$4003=$A715)*(出库单!$T$4:$T$4003="正常")),出库单!$C$4:$C$4003),""))</f>
        <v/>
      </c>
      <c r="O715" s="28">
        <f>IF($A715="","",IF($L715&lt;=0,"",IF($N715="",IFERROR(账期止-LOOKUP(2,1/(入库单!$G$4:$G$2503=$A715),入库单!$C$4:$C$2503),""),账期止-$N715)))</f>
        <v/>
      </c>
      <c r="P715" s="17" t="n"/>
    </row>
    <row r="716">
      <c r="A716" s="17" t="inlineStr">
        <is>
          <t>JH0713</t>
        </is>
      </c>
      <c r="B716" s="17" t="inlineStr">
        <is>
          <t>机械配件</t>
        </is>
      </c>
      <c r="C716" s="17" t="inlineStr">
        <is>
          <t>补车胎胶片</t>
        </is>
      </c>
      <c r="D716" s="17" t="inlineStr"/>
      <c r="E716" s="17" t="inlineStr">
        <is>
          <t>盒</t>
        </is>
      </c>
      <c r="F716" s="17" t="inlineStr">
        <is>
          <t>否</t>
        </is>
      </c>
      <c r="G716" s="23" t="n"/>
      <c r="H716" s="24">
        <f>IF($A716="","",IFERROR(LOOKUP(2,1/((入库单!$G$4:$G$2503=$A716)*(入库单!$Y$4:$Y$2503="正常")*(入库单!$L$4:$L$2503&gt;0)),入库单!$D$4:$D$2503),""))</f>
        <v/>
      </c>
      <c r="I716" s="25">
        <f>IF($A716="","",IFERROR(LOOKUP(2,1/((入库单!$G$4:$G$2503=$A716)*(入库单!$Y$4:$Y$2503="正常")*(入库单!$L$4:$L$2503&gt;0)),入库单!$L$4:$L$2503),0))</f>
        <v/>
      </c>
      <c r="J716" s="26">
        <f>IF($A716="","",IF($H716="A国内",ROUND($I716*倍数A*汇率,0),IF($H716="B当地",ROUND($I716*系数B,0),0)))</f>
        <v/>
      </c>
      <c r="K716" s="24">
        <f>IF($A716="","",IF(COUNTIFS(入库单!$G$4:$G$2503,$A716,入库单!$X$4:$X$2503,"待补价")&gt;0,"待补价",IF(COUNTIFS(入库单!$G$4:$G$2503,$A716,入库单!$X$4:$X$2503,"暂估")&gt;0,"暂估",IF($I716=0,"没有进价","正常"))))</f>
        <v/>
      </c>
      <c r="L716" s="27">
        <f>IF($A716="","",IFERROR(VLOOKUP($A716,库存台账!$A$5:$Y$1204,24,0),0))</f>
        <v/>
      </c>
      <c r="M716" s="26">
        <f>IF($A716="","",IFERROR(VLOOKUP($A716,库存台账!$A$5:$Y$1204,25,0),0))</f>
        <v/>
      </c>
      <c r="N716" s="19">
        <f>IF($A716="","",IFERROR(LOOKUP(2,1/((出库单!$D$4:$D$4003=$A716)*(出库单!$T$4:$T$4003="正常")),出库单!$C$4:$C$4003),""))</f>
        <v/>
      </c>
      <c r="O716" s="28">
        <f>IF($A716="","",IF($L716&lt;=0,"",IF($N716="",IFERROR(账期止-LOOKUP(2,1/(入库单!$G$4:$G$2503=$A716),入库单!$C$4:$C$2503),""),账期止-$N716)))</f>
        <v/>
      </c>
      <c r="P716" s="17" t="n"/>
    </row>
    <row r="717">
      <c r="A717" s="17" t="inlineStr">
        <is>
          <t>JH0714</t>
        </is>
      </c>
      <c r="B717" s="17" t="inlineStr">
        <is>
          <t>机械配件</t>
        </is>
      </c>
      <c r="C717" s="17" t="inlineStr">
        <is>
          <t>6分阀门</t>
        </is>
      </c>
      <c r="D717" s="17" t="inlineStr"/>
      <c r="E717" s="17" t="inlineStr">
        <is>
          <t>个</t>
        </is>
      </c>
      <c r="F717" s="17" t="inlineStr">
        <is>
          <t>否</t>
        </is>
      </c>
      <c r="G717" s="23" t="n"/>
      <c r="H717" s="24">
        <f>IF($A717="","",IFERROR(LOOKUP(2,1/((入库单!$G$4:$G$2503=$A717)*(入库单!$Y$4:$Y$2503="正常")*(入库单!$L$4:$L$2503&gt;0)),入库单!$D$4:$D$2503),""))</f>
        <v/>
      </c>
      <c r="I717" s="25">
        <f>IF($A717="","",IFERROR(LOOKUP(2,1/((入库单!$G$4:$G$2503=$A717)*(入库单!$Y$4:$Y$2503="正常")*(入库单!$L$4:$L$2503&gt;0)),入库单!$L$4:$L$2503),0))</f>
        <v/>
      </c>
      <c r="J717" s="26">
        <f>IF($A717="","",IF($H717="A国内",ROUND($I717*倍数A*汇率,0),IF($H717="B当地",ROUND($I717*系数B,0),0)))</f>
        <v/>
      </c>
      <c r="K717" s="24">
        <f>IF($A717="","",IF(COUNTIFS(入库单!$G$4:$G$2503,$A717,入库单!$X$4:$X$2503,"待补价")&gt;0,"待补价",IF(COUNTIFS(入库单!$G$4:$G$2503,$A717,入库单!$X$4:$X$2503,"暂估")&gt;0,"暂估",IF($I717=0,"没有进价","正常"))))</f>
        <v/>
      </c>
      <c r="L717" s="27">
        <f>IF($A717="","",IFERROR(VLOOKUP($A717,库存台账!$A$5:$Y$1204,24,0),0))</f>
        <v/>
      </c>
      <c r="M717" s="26">
        <f>IF($A717="","",IFERROR(VLOOKUP($A717,库存台账!$A$5:$Y$1204,25,0),0))</f>
        <v/>
      </c>
      <c r="N717" s="19">
        <f>IF($A717="","",IFERROR(LOOKUP(2,1/((出库单!$D$4:$D$4003=$A717)*(出库单!$T$4:$T$4003="正常")),出库单!$C$4:$C$4003),""))</f>
        <v/>
      </c>
      <c r="O717" s="28">
        <f>IF($A717="","",IF($L717&lt;=0,"",IF($N717="",IFERROR(账期止-LOOKUP(2,1/(入库单!$G$4:$G$2503=$A717),入库单!$C$4:$C$2503),""),账期止-$N717)))</f>
        <v/>
      </c>
      <c r="P717" s="17" t="n"/>
    </row>
    <row r="718">
      <c r="A718" s="17" t="inlineStr">
        <is>
          <t>JH0715</t>
        </is>
      </c>
      <c r="B718" s="17" t="inlineStr">
        <is>
          <t>机械配件</t>
        </is>
      </c>
      <c r="C718" s="17" t="inlineStr">
        <is>
          <t>4分阀门</t>
        </is>
      </c>
      <c r="D718" s="17" t="inlineStr"/>
      <c r="E718" s="17" t="inlineStr">
        <is>
          <t>个</t>
        </is>
      </c>
      <c r="F718" s="17" t="inlineStr">
        <is>
          <t>否</t>
        </is>
      </c>
      <c r="G718" s="23" t="n"/>
      <c r="H718" s="24">
        <f>IF($A718="","",IFERROR(LOOKUP(2,1/((入库单!$G$4:$G$2503=$A718)*(入库单!$Y$4:$Y$2503="正常")*(入库单!$L$4:$L$2503&gt;0)),入库单!$D$4:$D$2503),""))</f>
        <v/>
      </c>
      <c r="I718" s="25">
        <f>IF($A718="","",IFERROR(LOOKUP(2,1/((入库单!$G$4:$G$2503=$A718)*(入库单!$Y$4:$Y$2503="正常")*(入库单!$L$4:$L$2503&gt;0)),入库单!$L$4:$L$2503),0))</f>
        <v/>
      </c>
      <c r="J718" s="26">
        <f>IF($A718="","",IF($H718="A国内",ROUND($I718*倍数A*汇率,0),IF($H718="B当地",ROUND($I718*系数B,0),0)))</f>
        <v/>
      </c>
      <c r="K718" s="24">
        <f>IF($A718="","",IF(COUNTIFS(入库单!$G$4:$G$2503,$A718,入库单!$X$4:$X$2503,"待补价")&gt;0,"待补价",IF(COUNTIFS(入库单!$G$4:$G$2503,$A718,入库单!$X$4:$X$2503,"暂估")&gt;0,"暂估",IF($I718=0,"没有进价","正常"))))</f>
        <v/>
      </c>
      <c r="L718" s="27">
        <f>IF($A718="","",IFERROR(VLOOKUP($A718,库存台账!$A$5:$Y$1204,24,0),0))</f>
        <v/>
      </c>
      <c r="M718" s="26">
        <f>IF($A718="","",IFERROR(VLOOKUP($A718,库存台账!$A$5:$Y$1204,25,0),0))</f>
        <v/>
      </c>
      <c r="N718" s="19">
        <f>IF($A718="","",IFERROR(LOOKUP(2,1/((出库单!$D$4:$D$4003=$A718)*(出库单!$T$4:$T$4003="正常")),出库单!$C$4:$C$4003),""))</f>
        <v/>
      </c>
      <c r="O718" s="28">
        <f>IF($A718="","",IF($L718&lt;=0,"",IF($N718="",IFERROR(账期止-LOOKUP(2,1/(入库单!$G$4:$G$2503=$A718),入库单!$C$4:$C$2503),""),账期止-$N718)))</f>
        <v/>
      </c>
      <c r="P718" s="17" t="n"/>
    </row>
    <row r="719">
      <c r="A719" s="17" t="inlineStr">
        <is>
          <t>JH0716</t>
        </is>
      </c>
      <c r="B719" s="17" t="inlineStr">
        <is>
          <t>机械配件</t>
        </is>
      </c>
      <c r="C719" s="17" t="inlineStr">
        <is>
          <t>630A塑壳缺相短路器</t>
        </is>
      </c>
      <c r="D719" s="17" t="inlineStr"/>
      <c r="E719" s="17" t="inlineStr">
        <is>
          <t>个</t>
        </is>
      </c>
      <c r="F719" s="17" t="inlineStr">
        <is>
          <t>否</t>
        </is>
      </c>
      <c r="G719" s="23" t="n"/>
      <c r="H719" s="24">
        <f>IF($A719="","",IFERROR(LOOKUP(2,1/((入库单!$G$4:$G$2503=$A719)*(入库单!$Y$4:$Y$2503="正常")*(入库单!$L$4:$L$2503&gt;0)),入库单!$D$4:$D$2503),""))</f>
        <v/>
      </c>
      <c r="I719" s="25">
        <f>IF($A719="","",IFERROR(LOOKUP(2,1/((入库单!$G$4:$G$2503=$A719)*(入库单!$Y$4:$Y$2503="正常")*(入库单!$L$4:$L$2503&gt;0)),入库单!$L$4:$L$2503),0))</f>
        <v/>
      </c>
      <c r="J719" s="26">
        <f>IF($A719="","",IF($H719="A国内",ROUND($I719*倍数A*汇率,0),IF($H719="B当地",ROUND($I719*系数B,0),0)))</f>
        <v/>
      </c>
      <c r="K719" s="24">
        <f>IF($A719="","",IF(COUNTIFS(入库单!$G$4:$G$2503,$A719,入库单!$X$4:$X$2503,"待补价")&gt;0,"待补价",IF(COUNTIFS(入库单!$G$4:$G$2503,$A719,入库单!$X$4:$X$2503,"暂估")&gt;0,"暂估",IF($I719=0,"没有进价","正常"))))</f>
        <v/>
      </c>
      <c r="L719" s="27">
        <f>IF($A719="","",IFERROR(VLOOKUP($A719,库存台账!$A$5:$Y$1204,24,0),0))</f>
        <v/>
      </c>
      <c r="M719" s="26">
        <f>IF($A719="","",IFERROR(VLOOKUP($A719,库存台账!$A$5:$Y$1204,25,0),0))</f>
        <v/>
      </c>
      <c r="N719" s="19">
        <f>IF($A719="","",IFERROR(LOOKUP(2,1/((出库单!$D$4:$D$4003=$A719)*(出库单!$T$4:$T$4003="正常")),出库单!$C$4:$C$4003),""))</f>
        <v/>
      </c>
      <c r="O719" s="28">
        <f>IF($A719="","",IF($L719&lt;=0,"",IF($N719="",IFERROR(账期止-LOOKUP(2,1/(入库单!$G$4:$G$2503=$A719),入库单!$C$4:$C$2503),""),账期止-$N719)))</f>
        <v/>
      </c>
      <c r="P719" s="17" t="n"/>
    </row>
    <row r="720">
      <c r="A720" s="17" t="inlineStr">
        <is>
          <t>JH0717</t>
        </is>
      </c>
      <c r="B720" s="17" t="inlineStr">
        <is>
          <t>机械配件</t>
        </is>
      </c>
      <c r="C720" s="17" t="inlineStr">
        <is>
          <t>不锈钢蒸馏水器加热棒</t>
        </is>
      </c>
      <c r="D720" s="17" t="inlineStr"/>
      <c r="E720" s="17" t="inlineStr">
        <is>
          <t>个</t>
        </is>
      </c>
      <c r="F720" s="17" t="inlineStr">
        <is>
          <t>否</t>
        </is>
      </c>
      <c r="G720" s="23" t="n"/>
      <c r="H720" s="24">
        <f>IF($A720="","",IFERROR(LOOKUP(2,1/((入库单!$G$4:$G$2503=$A720)*(入库单!$Y$4:$Y$2503="正常")*(入库单!$L$4:$L$2503&gt;0)),入库单!$D$4:$D$2503),""))</f>
        <v/>
      </c>
      <c r="I720" s="25">
        <f>IF($A720="","",IFERROR(LOOKUP(2,1/((入库单!$G$4:$G$2503=$A720)*(入库单!$Y$4:$Y$2503="正常")*(入库单!$L$4:$L$2503&gt;0)),入库单!$L$4:$L$2503),0))</f>
        <v/>
      </c>
      <c r="J720" s="26">
        <f>IF($A720="","",IF($H720="A国内",ROUND($I720*倍数A*汇率,0),IF($H720="B当地",ROUND($I720*系数B,0),0)))</f>
        <v/>
      </c>
      <c r="K720" s="24">
        <f>IF($A720="","",IF(COUNTIFS(入库单!$G$4:$G$2503,$A720,入库单!$X$4:$X$2503,"待补价")&gt;0,"待补价",IF(COUNTIFS(入库单!$G$4:$G$2503,$A720,入库单!$X$4:$X$2503,"暂估")&gt;0,"暂估",IF($I720=0,"没有进价","正常"))))</f>
        <v/>
      </c>
      <c r="L720" s="27">
        <f>IF($A720="","",IFERROR(VLOOKUP($A720,库存台账!$A$5:$Y$1204,24,0),0))</f>
        <v/>
      </c>
      <c r="M720" s="26">
        <f>IF($A720="","",IFERROR(VLOOKUP($A720,库存台账!$A$5:$Y$1204,25,0),0))</f>
        <v/>
      </c>
      <c r="N720" s="19">
        <f>IF($A720="","",IFERROR(LOOKUP(2,1/((出库单!$D$4:$D$4003=$A720)*(出库单!$T$4:$T$4003="正常")),出库单!$C$4:$C$4003),""))</f>
        <v/>
      </c>
      <c r="O720" s="28">
        <f>IF($A720="","",IF($L720&lt;=0,"",IF($N720="",IFERROR(账期止-LOOKUP(2,1/(入库单!$G$4:$G$2503=$A720),入库单!$C$4:$C$2503),""),账期止-$N720)))</f>
        <v/>
      </c>
      <c r="P720" s="17" t="n"/>
    </row>
    <row r="721">
      <c r="A721" s="17" t="inlineStr">
        <is>
          <t>JH0718</t>
        </is>
      </c>
      <c r="B721" s="17" t="inlineStr">
        <is>
          <t>机械配件</t>
        </is>
      </c>
      <c r="C721" s="17" t="inlineStr">
        <is>
          <t>摄像头架子</t>
        </is>
      </c>
      <c r="D721" s="17" t="inlineStr"/>
      <c r="E721" s="17" t="inlineStr">
        <is>
          <t>个</t>
        </is>
      </c>
      <c r="F721" s="17" t="inlineStr">
        <is>
          <t>否</t>
        </is>
      </c>
      <c r="G721" s="23" t="n"/>
      <c r="H721" s="24">
        <f>IF($A721="","",IFERROR(LOOKUP(2,1/((入库单!$G$4:$G$2503=$A721)*(入库单!$Y$4:$Y$2503="正常")*(入库单!$L$4:$L$2503&gt;0)),入库单!$D$4:$D$2503),""))</f>
        <v/>
      </c>
      <c r="I721" s="25">
        <f>IF($A721="","",IFERROR(LOOKUP(2,1/((入库单!$G$4:$G$2503=$A721)*(入库单!$Y$4:$Y$2503="正常")*(入库单!$L$4:$L$2503&gt;0)),入库单!$L$4:$L$2503),0))</f>
        <v/>
      </c>
      <c r="J721" s="26">
        <f>IF($A721="","",IF($H721="A国内",ROUND($I721*倍数A*汇率,0),IF($H721="B当地",ROUND($I721*系数B,0),0)))</f>
        <v/>
      </c>
      <c r="K721" s="24">
        <f>IF($A721="","",IF(COUNTIFS(入库单!$G$4:$G$2503,$A721,入库单!$X$4:$X$2503,"待补价")&gt;0,"待补价",IF(COUNTIFS(入库单!$G$4:$G$2503,$A721,入库单!$X$4:$X$2503,"暂估")&gt;0,"暂估",IF($I721=0,"没有进价","正常"))))</f>
        <v/>
      </c>
      <c r="L721" s="27">
        <f>IF($A721="","",IFERROR(VLOOKUP($A721,库存台账!$A$5:$Y$1204,24,0),0))</f>
        <v/>
      </c>
      <c r="M721" s="26">
        <f>IF($A721="","",IFERROR(VLOOKUP($A721,库存台账!$A$5:$Y$1204,25,0),0))</f>
        <v/>
      </c>
      <c r="N721" s="19">
        <f>IF($A721="","",IFERROR(LOOKUP(2,1/((出库单!$D$4:$D$4003=$A721)*(出库单!$T$4:$T$4003="正常")),出库单!$C$4:$C$4003),""))</f>
        <v/>
      </c>
      <c r="O721" s="28">
        <f>IF($A721="","",IF($L721&lt;=0,"",IF($N721="",IFERROR(账期止-LOOKUP(2,1/(入库单!$G$4:$G$2503=$A721),入库单!$C$4:$C$2503),""),账期止-$N721)))</f>
        <v/>
      </c>
      <c r="P721" s="17" t="n"/>
    </row>
    <row r="722">
      <c r="A722" s="17" t="inlineStr">
        <is>
          <t>JH0719</t>
        </is>
      </c>
      <c r="B722" s="17" t="inlineStr">
        <is>
          <t>电缆电气</t>
        </is>
      </c>
      <c r="C722" s="17" t="inlineStr">
        <is>
          <t>本安矿灯</t>
        </is>
      </c>
      <c r="D722" s="17" t="inlineStr"/>
      <c r="E722" s="17" t="inlineStr">
        <is>
          <t>个</t>
        </is>
      </c>
      <c r="F722" s="17" t="inlineStr">
        <is>
          <t>否</t>
        </is>
      </c>
      <c r="G722" s="23" t="n"/>
      <c r="H722" s="24">
        <f>IF($A722="","",IFERROR(LOOKUP(2,1/((入库单!$G$4:$G$2503=$A722)*(入库单!$Y$4:$Y$2503="正常")*(入库单!$L$4:$L$2503&gt;0)),入库单!$D$4:$D$2503),""))</f>
        <v/>
      </c>
      <c r="I722" s="25">
        <f>IF($A722="","",IFERROR(LOOKUP(2,1/((入库单!$G$4:$G$2503=$A722)*(入库单!$Y$4:$Y$2503="正常")*(入库单!$L$4:$L$2503&gt;0)),入库单!$L$4:$L$2503),0))</f>
        <v/>
      </c>
      <c r="J722" s="26">
        <f>IF($A722="","",IF($H722="A国内",ROUND($I722*倍数A*汇率,0),IF($H722="B当地",ROUND($I722*系数B,0),0)))</f>
        <v/>
      </c>
      <c r="K722" s="24">
        <f>IF($A722="","",IF(COUNTIFS(入库单!$G$4:$G$2503,$A722,入库单!$X$4:$X$2503,"待补价")&gt;0,"待补价",IF(COUNTIFS(入库单!$G$4:$G$2503,$A722,入库单!$X$4:$X$2503,"暂估")&gt;0,"暂估",IF($I722=0,"没有进价","正常"))))</f>
        <v/>
      </c>
      <c r="L722" s="27">
        <f>IF($A722="","",IFERROR(VLOOKUP($A722,库存台账!$A$5:$Y$1204,24,0),0))</f>
        <v/>
      </c>
      <c r="M722" s="26">
        <f>IF($A722="","",IFERROR(VLOOKUP($A722,库存台账!$A$5:$Y$1204,25,0),0))</f>
        <v/>
      </c>
      <c r="N722" s="19">
        <f>IF($A722="","",IFERROR(LOOKUP(2,1/((出库单!$D$4:$D$4003=$A722)*(出库单!$T$4:$T$4003="正常")),出库单!$C$4:$C$4003),""))</f>
        <v/>
      </c>
      <c r="O722" s="28">
        <f>IF($A722="","",IF($L722&lt;=0,"",IF($N722="",IFERROR(账期止-LOOKUP(2,1/(入库单!$G$4:$G$2503=$A722),入库单!$C$4:$C$2503),""),账期止-$N722)))</f>
        <v/>
      </c>
      <c r="P722" s="17" t="n"/>
    </row>
    <row r="723">
      <c r="A723" s="17" t="inlineStr">
        <is>
          <t>JH0720</t>
        </is>
      </c>
      <c r="B723" s="17" t="inlineStr">
        <is>
          <t>机械配件</t>
        </is>
      </c>
      <c r="C723" s="17" t="inlineStr">
        <is>
          <t>三角耙子把</t>
        </is>
      </c>
      <c r="D723" s="17" t="inlineStr"/>
      <c r="E723" s="17" t="inlineStr">
        <is>
          <t>根</t>
        </is>
      </c>
      <c r="F723" s="17" t="inlineStr">
        <is>
          <t>否</t>
        </is>
      </c>
      <c r="G723" s="23" t="n"/>
      <c r="H723" s="24">
        <f>IF($A723="","",IFERROR(LOOKUP(2,1/((入库单!$G$4:$G$2503=$A723)*(入库单!$Y$4:$Y$2503="正常")*(入库单!$L$4:$L$2503&gt;0)),入库单!$D$4:$D$2503),""))</f>
        <v/>
      </c>
      <c r="I723" s="25">
        <f>IF($A723="","",IFERROR(LOOKUP(2,1/((入库单!$G$4:$G$2503=$A723)*(入库单!$Y$4:$Y$2503="正常")*(入库单!$L$4:$L$2503&gt;0)),入库单!$L$4:$L$2503),0))</f>
        <v/>
      </c>
      <c r="J723" s="26">
        <f>IF($A723="","",IF($H723="A国内",ROUND($I723*倍数A*汇率,0),IF($H723="B当地",ROUND($I723*系数B,0),0)))</f>
        <v/>
      </c>
      <c r="K723" s="24">
        <f>IF($A723="","",IF(COUNTIFS(入库单!$G$4:$G$2503,$A723,入库单!$X$4:$X$2503,"待补价")&gt;0,"待补价",IF(COUNTIFS(入库单!$G$4:$G$2503,$A723,入库单!$X$4:$X$2503,"暂估")&gt;0,"暂估",IF($I723=0,"没有进价","正常"))))</f>
        <v/>
      </c>
      <c r="L723" s="27">
        <f>IF($A723="","",IFERROR(VLOOKUP($A723,库存台账!$A$5:$Y$1204,24,0),0))</f>
        <v/>
      </c>
      <c r="M723" s="26">
        <f>IF($A723="","",IFERROR(VLOOKUP($A723,库存台账!$A$5:$Y$1204,25,0),0))</f>
        <v/>
      </c>
      <c r="N723" s="19">
        <f>IF($A723="","",IFERROR(LOOKUP(2,1/((出库单!$D$4:$D$4003=$A723)*(出库单!$T$4:$T$4003="正常")),出库单!$C$4:$C$4003),""))</f>
        <v/>
      </c>
      <c r="O723" s="28">
        <f>IF($A723="","",IF($L723&lt;=0,"",IF($N723="",IFERROR(账期止-LOOKUP(2,1/(入库单!$G$4:$G$2503=$A723),入库单!$C$4:$C$2503),""),账期止-$N723)))</f>
        <v/>
      </c>
      <c r="P723" s="17" t="n"/>
    </row>
    <row r="724">
      <c r="A724" s="17" t="inlineStr">
        <is>
          <t>JH0721</t>
        </is>
      </c>
      <c r="B724" s="17" t="inlineStr">
        <is>
          <t>机械配件</t>
        </is>
      </c>
      <c r="C724" s="17" t="inlineStr">
        <is>
          <t>切割带</t>
        </is>
      </c>
      <c r="D724" s="17" t="inlineStr">
        <is>
          <t>10米</t>
        </is>
      </c>
      <c r="E724" s="17" t="inlineStr">
        <is>
          <t>个</t>
        </is>
      </c>
      <c r="F724" s="17" t="inlineStr">
        <is>
          <t>否</t>
        </is>
      </c>
      <c r="G724" s="23" t="n"/>
      <c r="H724" s="24">
        <f>IF($A724="","",IFERROR(LOOKUP(2,1/((入库单!$G$4:$G$2503=$A724)*(入库单!$Y$4:$Y$2503="正常")*(入库单!$L$4:$L$2503&gt;0)),入库单!$D$4:$D$2503),""))</f>
        <v/>
      </c>
      <c r="I724" s="25">
        <f>IF($A724="","",IFERROR(LOOKUP(2,1/((入库单!$G$4:$G$2503=$A724)*(入库单!$Y$4:$Y$2503="正常")*(入库单!$L$4:$L$2503&gt;0)),入库单!$L$4:$L$2503),0))</f>
        <v/>
      </c>
      <c r="J724" s="26">
        <f>IF($A724="","",IF($H724="A国内",ROUND($I724*倍数A*汇率,0),IF($H724="B当地",ROUND($I724*系数B,0),0)))</f>
        <v/>
      </c>
      <c r="K724" s="24">
        <f>IF($A724="","",IF(COUNTIFS(入库单!$G$4:$G$2503,$A724,入库单!$X$4:$X$2503,"待补价")&gt;0,"待补价",IF(COUNTIFS(入库单!$G$4:$G$2503,$A724,入库单!$X$4:$X$2503,"暂估")&gt;0,"暂估",IF($I724=0,"没有进价","正常"))))</f>
        <v/>
      </c>
      <c r="L724" s="27">
        <f>IF($A724="","",IFERROR(VLOOKUP($A724,库存台账!$A$5:$Y$1204,24,0),0))</f>
        <v/>
      </c>
      <c r="M724" s="26">
        <f>IF($A724="","",IFERROR(VLOOKUP($A724,库存台账!$A$5:$Y$1204,25,0),0))</f>
        <v/>
      </c>
      <c r="N724" s="19">
        <f>IF($A724="","",IFERROR(LOOKUP(2,1/((出库单!$D$4:$D$4003=$A724)*(出库单!$T$4:$T$4003="正常")),出库单!$C$4:$C$4003),""))</f>
        <v/>
      </c>
      <c r="O724" s="28">
        <f>IF($A724="","",IF($L724&lt;=0,"",IF($N724="",IFERROR(账期止-LOOKUP(2,1/(入库单!$G$4:$G$2503=$A724),入库单!$C$4:$C$2503),""),账期止-$N724)))</f>
        <v/>
      </c>
      <c r="P724" s="17" t="n"/>
    </row>
    <row r="725">
      <c r="A725" s="17" t="inlineStr">
        <is>
          <t>JH0722</t>
        </is>
      </c>
      <c r="B725" s="17" t="inlineStr">
        <is>
          <t>机械配件</t>
        </is>
      </c>
      <c r="C725" s="17" t="inlineStr">
        <is>
          <t>电瓶充电器</t>
        </is>
      </c>
      <c r="D725" s="17" t="inlineStr"/>
      <c r="E725" s="17" t="inlineStr">
        <is>
          <t>个</t>
        </is>
      </c>
      <c r="F725" s="17" t="inlineStr">
        <is>
          <t>否</t>
        </is>
      </c>
      <c r="G725" s="23" t="n"/>
      <c r="H725" s="24">
        <f>IF($A725="","",IFERROR(LOOKUP(2,1/((入库单!$G$4:$G$2503=$A725)*(入库单!$Y$4:$Y$2503="正常")*(入库单!$L$4:$L$2503&gt;0)),入库单!$D$4:$D$2503),""))</f>
        <v/>
      </c>
      <c r="I725" s="25">
        <f>IF($A725="","",IFERROR(LOOKUP(2,1/((入库单!$G$4:$G$2503=$A725)*(入库单!$Y$4:$Y$2503="正常")*(入库单!$L$4:$L$2503&gt;0)),入库单!$L$4:$L$2503),0))</f>
        <v/>
      </c>
      <c r="J725" s="26">
        <f>IF($A725="","",IF($H725="A国内",ROUND($I725*倍数A*汇率,0),IF($H725="B当地",ROUND($I725*系数B,0),0)))</f>
        <v/>
      </c>
      <c r="K725" s="24">
        <f>IF($A725="","",IF(COUNTIFS(入库单!$G$4:$G$2503,$A725,入库单!$X$4:$X$2503,"待补价")&gt;0,"待补价",IF(COUNTIFS(入库单!$G$4:$G$2503,$A725,入库单!$X$4:$X$2503,"暂估")&gt;0,"暂估",IF($I725=0,"没有进价","正常"))))</f>
        <v/>
      </c>
      <c r="L725" s="27">
        <f>IF($A725="","",IFERROR(VLOOKUP($A725,库存台账!$A$5:$Y$1204,24,0),0))</f>
        <v/>
      </c>
      <c r="M725" s="26">
        <f>IF($A725="","",IFERROR(VLOOKUP($A725,库存台账!$A$5:$Y$1204,25,0),0))</f>
        <v/>
      </c>
      <c r="N725" s="19">
        <f>IF($A725="","",IFERROR(LOOKUP(2,1/((出库单!$D$4:$D$4003=$A725)*(出库单!$T$4:$T$4003="正常")),出库单!$C$4:$C$4003),""))</f>
        <v/>
      </c>
      <c r="O725" s="28">
        <f>IF($A725="","",IF($L725&lt;=0,"",IF($N725="",IFERROR(账期止-LOOKUP(2,1/(入库单!$G$4:$G$2503=$A725),入库单!$C$4:$C$2503),""),账期止-$N725)))</f>
        <v/>
      </c>
      <c r="P725" s="17" t="n"/>
    </row>
    <row r="726">
      <c r="A726" s="17" t="inlineStr">
        <is>
          <t>JH0723</t>
        </is>
      </c>
      <c r="B726" s="17" t="inlineStr">
        <is>
          <t>电缆电气</t>
        </is>
      </c>
      <c r="C726" s="17" t="inlineStr">
        <is>
          <t>电缆线液压钳</t>
        </is>
      </c>
      <c r="D726" s="17" t="inlineStr"/>
      <c r="E726" s="17" t="inlineStr">
        <is>
          <t>把</t>
        </is>
      </c>
      <c r="F726" s="17" t="inlineStr">
        <is>
          <t>否</t>
        </is>
      </c>
      <c r="G726" s="23" t="n"/>
      <c r="H726" s="24">
        <f>IF($A726="","",IFERROR(LOOKUP(2,1/((入库单!$G$4:$G$2503=$A726)*(入库单!$Y$4:$Y$2503="正常")*(入库单!$L$4:$L$2503&gt;0)),入库单!$D$4:$D$2503),""))</f>
        <v/>
      </c>
      <c r="I726" s="25">
        <f>IF($A726="","",IFERROR(LOOKUP(2,1/((入库单!$G$4:$G$2503=$A726)*(入库单!$Y$4:$Y$2503="正常")*(入库单!$L$4:$L$2503&gt;0)),入库单!$L$4:$L$2503),0))</f>
        <v/>
      </c>
      <c r="J726" s="26">
        <f>IF($A726="","",IF($H726="A国内",ROUND($I726*倍数A*汇率,0),IF($H726="B当地",ROUND($I726*系数B,0),0)))</f>
        <v/>
      </c>
      <c r="K726" s="24">
        <f>IF($A726="","",IF(COUNTIFS(入库单!$G$4:$G$2503,$A726,入库单!$X$4:$X$2503,"待补价")&gt;0,"待补价",IF(COUNTIFS(入库单!$G$4:$G$2503,$A726,入库单!$X$4:$X$2503,"暂估")&gt;0,"暂估",IF($I726=0,"没有进价","正常"))))</f>
        <v/>
      </c>
      <c r="L726" s="27">
        <f>IF($A726="","",IFERROR(VLOOKUP($A726,库存台账!$A$5:$Y$1204,24,0),0))</f>
        <v/>
      </c>
      <c r="M726" s="26">
        <f>IF($A726="","",IFERROR(VLOOKUP($A726,库存台账!$A$5:$Y$1204,25,0),0))</f>
        <v/>
      </c>
      <c r="N726" s="19">
        <f>IF($A726="","",IFERROR(LOOKUP(2,1/((出库单!$D$4:$D$4003=$A726)*(出库单!$T$4:$T$4003="正常")),出库单!$C$4:$C$4003),""))</f>
        <v/>
      </c>
      <c r="O726" s="28">
        <f>IF($A726="","",IF($L726&lt;=0,"",IF($N726="",IFERROR(账期止-LOOKUP(2,1/(入库单!$G$4:$G$2503=$A726),入库单!$C$4:$C$2503),""),账期止-$N726)))</f>
        <v/>
      </c>
      <c r="P726" s="17" t="n"/>
    </row>
    <row r="727">
      <c r="A727" s="17" t="inlineStr">
        <is>
          <t>JH0724</t>
        </is>
      </c>
      <c r="B727" s="17" t="inlineStr">
        <is>
          <t>机械配件</t>
        </is>
      </c>
      <c r="C727" s="17" t="inlineStr">
        <is>
          <t>东城手电钻夹头</t>
        </is>
      </c>
      <c r="D727" s="17" t="inlineStr"/>
      <c r="E727" s="17" t="inlineStr">
        <is>
          <t>个</t>
        </is>
      </c>
      <c r="F727" s="17" t="inlineStr">
        <is>
          <t>否</t>
        </is>
      </c>
      <c r="G727" s="23" t="n"/>
      <c r="H727" s="24">
        <f>IF($A727="","",IFERROR(LOOKUP(2,1/((入库单!$G$4:$G$2503=$A727)*(入库单!$Y$4:$Y$2503="正常")*(入库单!$L$4:$L$2503&gt;0)),入库单!$D$4:$D$2503),""))</f>
        <v/>
      </c>
      <c r="I727" s="25">
        <f>IF($A727="","",IFERROR(LOOKUP(2,1/((入库单!$G$4:$G$2503=$A727)*(入库单!$Y$4:$Y$2503="正常")*(入库单!$L$4:$L$2503&gt;0)),入库单!$L$4:$L$2503),0))</f>
        <v/>
      </c>
      <c r="J727" s="26">
        <f>IF($A727="","",IF($H727="A国内",ROUND($I727*倍数A*汇率,0),IF($H727="B当地",ROUND($I727*系数B,0),0)))</f>
        <v/>
      </c>
      <c r="K727" s="24">
        <f>IF($A727="","",IF(COUNTIFS(入库单!$G$4:$G$2503,$A727,入库单!$X$4:$X$2503,"待补价")&gt;0,"待补价",IF(COUNTIFS(入库单!$G$4:$G$2503,$A727,入库单!$X$4:$X$2503,"暂估")&gt;0,"暂估",IF($I727=0,"没有进价","正常"))))</f>
        <v/>
      </c>
      <c r="L727" s="27">
        <f>IF($A727="","",IFERROR(VLOOKUP($A727,库存台账!$A$5:$Y$1204,24,0),0))</f>
        <v/>
      </c>
      <c r="M727" s="26">
        <f>IF($A727="","",IFERROR(VLOOKUP($A727,库存台账!$A$5:$Y$1204,25,0),0))</f>
        <v/>
      </c>
      <c r="N727" s="19">
        <f>IF($A727="","",IFERROR(LOOKUP(2,1/((出库单!$D$4:$D$4003=$A727)*(出库单!$T$4:$T$4003="正常")),出库单!$C$4:$C$4003),""))</f>
        <v/>
      </c>
      <c r="O727" s="28">
        <f>IF($A727="","",IF($L727&lt;=0,"",IF($N727="",IFERROR(账期止-LOOKUP(2,1/(入库单!$G$4:$G$2503=$A727),入库单!$C$4:$C$2503),""),账期止-$N727)))</f>
        <v/>
      </c>
      <c r="P727" s="17" t="n"/>
    </row>
    <row r="728">
      <c r="A728" s="17" t="inlineStr">
        <is>
          <t>JH0725</t>
        </is>
      </c>
      <c r="B728" s="17" t="inlineStr">
        <is>
          <t>机械配件</t>
        </is>
      </c>
      <c r="C728" s="17" t="inlineStr">
        <is>
          <t>电锯锉</t>
        </is>
      </c>
      <c r="D728" s="17" t="inlineStr"/>
      <c r="E728" s="17" t="inlineStr">
        <is>
          <t>把</t>
        </is>
      </c>
      <c r="F728" s="17" t="inlineStr">
        <is>
          <t>否</t>
        </is>
      </c>
      <c r="G728" s="23" t="n"/>
      <c r="H728" s="24">
        <f>IF($A728="","",IFERROR(LOOKUP(2,1/((入库单!$G$4:$G$2503=$A728)*(入库单!$Y$4:$Y$2503="正常")*(入库单!$L$4:$L$2503&gt;0)),入库单!$D$4:$D$2503),""))</f>
        <v/>
      </c>
      <c r="I728" s="25">
        <f>IF($A728="","",IFERROR(LOOKUP(2,1/((入库单!$G$4:$G$2503=$A728)*(入库单!$Y$4:$Y$2503="正常")*(入库单!$L$4:$L$2503&gt;0)),入库单!$L$4:$L$2503),0))</f>
        <v/>
      </c>
      <c r="J728" s="26">
        <f>IF($A728="","",IF($H728="A国内",ROUND($I728*倍数A*汇率,0),IF($H728="B当地",ROUND($I728*系数B,0),0)))</f>
        <v/>
      </c>
      <c r="K728" s="24">
        <f>IF($A728="","",IF(COUNTIFS(入库单!$G$4:$G$2503,$A728,入库单!$X$4:$X$2503,"待补价")&gt;0,"待补价",IF(COUNTIFS(入库单!$G$4:$G$2503,$A728,入库单!$X$4:$X$2503,"暂估")&gt;0,"暂估",IF($I728=0,"没有进价","正常"))))</f>
        <v/>
      </c>
      <c r="L728" s="27">
        <f>IF($A728="","",IFERROR(VLOOKUP($A728,库存台账!$A$5:$Y$1204,24,0),0))</f>
        <v/>
      </c>
      <c r="M728" s="26">
        <f>IF($A728="","",IFERROR(VLOOKUP($A728,库存台账!$A$5:$Y$1204,25,0),0))</f>
        <v/>
      </c>
      <c r="N728" s="19">
        <f>IF($A728="","",IFERROR(LOOKUP(2,1/((出库单!$D$4:$D$4003=$A728)*(出库单!$T$4:$T$4003="正常")),出库单!$C$4:$C$4003),""))</f>
        <v/>
      </c>
      <c r="O728" s="28">
        <f>IF($A728="","",IF($L728&lt;=0,"",IF($N728="",IFERROR(账期止-LOOKUP(2,1/(入库单!$G$4:$G$2503=$A728),入库单!$C$4:$C$2503),""),账期止-$N728)))</f>
        <v/>
      </c>
      <c r="P728" s="17" t="n"/>
    </row>
    <row r="729">
      <c r="A729" s="17" t="inlineStr">
        <is>
          <t>JH0726</t>
        </is>
      </c>
      <c r="B729" s="17" t="inlineStr">
        <is>
          <t>机械配件</t>
        </is>
      </c>
      <c r="C729" s="17" t="inlineStr">
        <is>
          <t>菱形锉刀</t>
        </is>
      </c>
      <c r="D729" s="17" t="inlineStr"/>
      <c r="E729" s="17" t="inlineStr">
        <is>
          <t>把</t>
        </is>
      </c>
      <c r="F729" s="17" t="inlineStr">
        <is>
          <t>否</t>
        </is>
      </c>
      <c r="G729" s="23" t="n"/>
      <c r="H729" s="24">
        <f>IF($A729="","",IFERROR(LOOKUP(2,1/((入库单!$G$4:$G$2503=$A729)*(入库单!$Y$4:$Y$2503="正常")*(入库单!$L$4:$L$2503&gt;0)),入库单!$D$4:$D$2503),""))</f>
        <v/>
      </c>
      <c r="I729" s="25">
        <f>IF($A729="","",IFERROR(LOOKUP(2,1/((入库单!$G$4:$G$2503=$A729)*(入库单!$Y$4:$Y$2503="正常")*(入库单!$L$4:$L$2503&gt;0)),入库单!$L$4:$L$2503),0))</f>
        <v/>
      </c>
      <c r="J729" s="26">
        <f>IF($A729="","",IF($H729="A国内",ROUND($I729*倍数A*汇率,0),IF($H729="B当地",ROUND($I729*系数B,0),0)))</f>
        <v/>
      </c>
      <c r="K729" s="24">
        <f>IF($A729="","",IF(COUNTIFS(入库单!$G$4:$G$2503,$A729,入库单!$X$4:$X$2503,"待补价")&gt;0,"待补价",IF(COUNTIFS(入库单!$G$4:$G$2503,$A729,入库单!$X$4:$X$2503,"暂估")&gt;0,"暂估",IF($I729=0,"没有进价","正常"))))</f>
        <v/>
      </c>
      <c r="L729" s="27">
        <f>IF($A729="","",IFERROR(VLOOKUP($A729,库存台账!$A$5:$Y$1204,24,0),0))</f>
        <v/>
      </c>
      <c r="M729" s="26">
        <f>IF($A729="","",IFERROR(VLOOKUP($A729,库存台账!$A$5:$Y$1204,25,0),0))</f>
        <v/>
      </c>
      <c r="N729" s="19">
        <f>IF($A729="","",IFERROR(LOOKUP(2,1/((出库单!$D$4:$D$4003=$A729)*(出库单!$T$4:$T$4003="正常")),出库单!$C$4:$C$4003),""))</f>
        <v/>
      </c>
      <c r="O729" s="28">
        <f>IF($A729="","",IF($L729&lt;=0,"",IF($N729="",IFERROR(账期止-LOOKUP(2,1/(入库单!$G$4:$G$2503=$A729),入库单!$C$4:$C$2503),""),账期止-$N729)))</f>
        <v/>
      </c>
      <c r="P729" s="17" t="n"/>
    </row>
    <row r="730">
      <c r="A730" s="17" t="inlineStr">
        <is>
          <t>JH0727</t>
        </is>
      </c>
      <c r="B730" s="17" t="inlineStr">
        <is>
          <t>机械配件</t>
        </is>
      </c>
      <c r="C730" s="17" t="inlineStr">
        <is>
          <t>钳工锉刀套装</t>
        </is>
      </c>
      <c r="D730" s="17" t="inlineStr"/>
      <c r="E730" s="17" t="inlineStr">
        <is>
          <t>套</t>
        </is>
      </c>
      <c r="F730" s="17" t="inlineStr">
        <is>
          <t>否</t>
        </is>
      </c>
      <c r="G730" s="23" t="n"/>
      <c r="H730" s="24">
        <f>IF($A730="","",IFERROR(LOOKUP(2,1/((入库单!$G$4:$G$2503=$A730)*(入库单!$Y$4:$Y$2503="正常")*(入库单!$L$4:$L$2503&gt;0)),入库单!$D$4:$D$2503),""))</f>
        <v/>
      </c>
      <c r="I730" s="25">
        <f>IF($A730="","",IFERROR(LOOKUP(2,1/((入库单!$G$4:$G$2503=$A730)*(入库单!$Y$4:$Y$2503="正常")*(入库单!$L$4:$L$2503&gt;0)),入库单!$L$4:$L$2503),0))</f>
        <v/>
      </c>
      <c r="J730" s="26">
        <f>IF($A730="","",IF($H730="A国内",ROUND($I730*倍数A*汇率,0),IF($H730="B当地",ROUND($I730*系数B,0),0)))</f>
        <v/>
      </c>
      <c r="K730" s="24">
        <f>IF($A730="","",IF(COUNTIFS(入库单!$G$4:$G$2503,$A730,入库单!$X$4:$X$2503,"待补价")&gt;0,"待补价",IF(COUNTIFS(入库单!$G$4:$G$2503,$A730,入库单!$X$4:$X$2503,"暂估")&gt;0,"暂估",IF($I730=0,"没有进价","正常"))))</f>
        <v/>
      </c>
      <c r="L730" s="27">
        <f>IF($A730="","",IFERROR(VLOOKUP($A730,库存台账!$A$5:$Y$1204,24,0),0))</f>
        <v/>
      </c>
      <c r="M730" s="26">
        <f>IF($A730="","",IFERROR(VLOOKUP($A730,库存台账!$A$5:$Y$1204,25,0),0))</f>
        <v/>
      </c>
      <c r="N730" s="19">
        <f>IF($A730="","",IFERROR(LOOKUP(2,1/((出库单!$D$4:$D$4003=$A730)*(出库单!$T$4:$T$4003="正常")),出库单!$C$4:$C$4003),""))</f>
        <v/>
      </c>
      <c r="O730" s="28">
        <f>IF($A730="","",IF($L730&lt;=0,"",IF($N730="",IFERROR(账期止-LOOKUP(2,1/(入库单!$G$4:$G$2503=$A730),入库单!$C$4:$C$2503),""),账期止-$N730)))</f>
        <v/>
      </c>
      <c r="P730" s="17" t="n"/>
    </row>
    <row r="731">
      <c r="A731" s="17" t="inlineStr">
        <is>
          <t>JH0728</t>
        </is>
      </c>
      <c r="B731" s="17" t="inlineStr">
        <is>
          <t>机械配件</t>
        </is>
      </c>
      <c r="C731" s="17" t="inlineStr">
        <is>
          <t>监控线直接头</t>
        </is>
      </c>
      <c r="D731" s="17" t="inlineStr"/>
      <c r="E731" s="17" t="inlineStr">
        <is>
          <t>个</t>
        </is>
      </c>
      <c r="F731" s="17" t="inlineStr">
        <is>
          <t>否</t>
        </is>
      </c>
      <c r="G731" s="23" t="n"/>
      <c r="H731" s="24">
        <f>IF($A731="","",IFERROR(LOOKUP(2,1/((入库单!$G$4:$G$2503=$A731)*(入库单!$Y$4:$Y$2503="正常")*(入库单!$L$4:$L$2503&gt;0)),入库单!$D$4:$D$2503),""))</f>
        <v/>
      </c>
      <c r="I731" s="25">
        <f>IF($A731="","",IFERROR(LOOKUP(2,1/((入库单!$G$4:$G$2503=$A731)*(入库单!$Y$4:$Y$2503="正常")*(入库单!$L$4:$L$2503&gt;0)),入库单!$L$4:$L$2503),0))</f>
        <v/>
      </c>
      <c r="J731" s="26">
        <f>IF($A731="","",IF($H731="A国内",ROUND($I731*倍数A*汇率,0),IF($H731="B当地",ROUND($I731*系数B,0),0)))</f>
        <v/>
      </c>
      <c r="K731" s="24">
        <f>IF($A731="","",IF(COUNTIFS(入库单!$G$4:$G$2503,$A731,入库单!$X$4:$X$2503,"待补价")&gt;0,"待补价",IF(COUNTIFS(入库单!$G$4:$G$2503,$A731,入库单!$X$4:$X$2503,"暂估")&gt;0,"暂估",IF($I731=0,"没有进价","正常"))))</f>
        <v/>
      </c>
      <c r="L731" s="27">
        <f>IF($A731="","",IFERROR(VLOOKUP($A731,库存台账!$A$5:$Y$1204,24,0),0))</f>
        <v/>
      </c>
      <c r="M731" s="26">
        <f>IF($A731="","",IFERROR(VLOOKUP($A731,库存台账!$A$5:$Y$1204,25,0),0))</f>
        <v/>
      </c>
      <c r="N731" s="19">
        <f>IF($A731="","",IFERROR(LOOKUP(2,1/((出库单!$D$4:$D$4003=$A731)*(出库单!$T$4:$T$4003="正常")),出库单!$C$4:$C$4003),""))</f>
        <v/>
      </c>
      <c r="O731" s="28">
        <f>IF($A731="","",IF($L731&lt;=0,"",IF($N731="",IFERROR(账期止-LOOKUP(2,1/(入库单!$G$4:$G$2503=$A731),入库单!$C$4:$C$2503),""),账期止-$N731)))</f>
        <v/>
      </c>
      <c r="P731" s="17" t="n"/>
    </row>
    <row r="732">
      <c r="A732" s="17" t="inlineStr">
        <is>
          <t>JH0729</t>
        </is>
      </c>
      <c r="B732" s="17" t="inlineStr">
        <is>
          <t>机械配件</t>
        </is>
      </c>
      <c r="C732" s="17" t="inlineStr">
        <is>
          <t>断头螺丝取出器</t>
        </is>
      </c>
      <c r="D732" s="17" t="inlineStr"/>
      <c r="E732" s="17" t="inlineStr">
        <is>
          <t>套</t>
        </is>
      </c>
      <c r="F732" s="17" t="inlineStr">
        <is>
          <t>否</t>
        </is>
      </c>
      <c r="G732" s="23" t="n"/>
      <c r="H732" s="24">
        <f>IF($A732="","",IFERROR(LOOKUP(2,1/((入库单!$G$4:$G$2503=$A732)*(入库单!$Y$4:$Y$2503="正常")*(入库单!$L$4:$L$2503&gt;0)),入库单!$D$4:$D$2503),""))</f>
        <v/>
      </c>
      <c r="I732" s="25">
        <f>IF($A732="","",IFERROR(LOOKUP(2,1/((入库单!$G$4:$G$2503=$A732)*(入库单!$Y$4:$Y$2503="正常")*(入库单!$L$4:$L$2503&gt;0)),入库单!$L$4:$L$2503),0))</f>
        <v/>
      </c>
      <c r="J732" s="26">
        <f>IF($A732="","",IF($H732="A国内",ROUND($I732*倍数A*汇率,0),IF($H732="B当地",ROUND($I732*系数B,0),0)))</f>
        <v/>
      </c>
      <c r="K732" s="24">
        <f>IF($A732="","",IF(COUNTIFS(入库单!$G$4:$G$2503,$A732,入库单!$X$4:$X$2503,"待补价")&gt;0,"待补价",IF(COUNTIFS(入库单!$G$4:$G$2503,$A732,入库单!$X$4:$X$2503,"暂估")&gt;0,"暂估",IF($I732=0,"没有进价","正常"))))</f>
        <v/>
      </c>
      <c r="L732" s="27">
        <f>IF($A732="","",IFERROR(VLOOKUP($A732,库存台账!$A$5:$Y$1204,24,0),0))</f>
        <v/>
      </c>
      <c r="M732" s="26">
        <f>IF($A732="","",IFERROR(VLOOKUP($A732,库存台账!$A$5:$Y$1204,25,0),0))</f>
        <v/>
      </c>
      <c r="N732" s="19">
        <f>IF($A732="","",IFERROR(LOOKUP(2,1/((出库单!$D$4:$D$4003=$A732)*(出库单!$T$4:$T$4003="正常")),出库单!$C$4:$C$4003),""))</f>
        <v/>
      </c>
      <c r="O732" s="28">
        <f>IF($A732="","",IF($L732&lt;=0,"",IF($N732="",IFERROR(账期止-LOOKUP(2,1/(入库单!$G$4:$G$2503=$A732),入库单!$C$4:$C$2503),""),账期止-$N732)))</f>
        <v/>
      </c>
      <c r="P732" s="17" t="n"/>
    </row>
    <row r="733">
      <c r="A733" s="17" t="inlineStr">
        <is>
          <t>JH0730</t>
        </is>
      </c>
      <c r="B733" s="17" t="inlineStr">
        <is>
          <t>机械配件</t>
        </is>
      </c>
      <c r="C733" s="17" t="inlineStr">
        <is>
          <t>电胶布</t>
        </is>
      </c>
      <c r="D733" s="17" t="inlineStr">
        <is>
          <t>红、黄、蓝、绿、黑各12000</t>
        </is>
      </c>
      <c r="E733" s="17" t="inlineStr">
        <is>
          <t>个</t>
        </is>
      </c>
      <c r="F733" s="17" t="inlineStr">
        <is>
          <t>否</t>
        </is>
      </c>
      <c r="G733" s="23" t="n"/>
      <c r="H733" s="24">
        <f>IF($A733="","",IFERROR(LOOKUP(2,1/((入库单!$G$4:$G$2503=$A733)*(入库单!$Y$4:$Y$2503="正常")*(入库单!$L$4:$L$2503&gt;0)),入库单!$D$4:$D$2503),""))</f>
        <v/>
      </c>
      <c r="I733" s="25">
        <f>IF($A733="","",IFERROR(LOOKUP(2,1/((入库单!$G$4:$G$2503=$A733)*(入库单!$Y$4:$Y$2503="正常")*(入库单!$L$4:$L$2503&gt;0)),入库单!$L$4:$L$2503),0))</f>
        <v/>
      </c>
      <c r="J733" s="26">
        <f>IF($A733="","",IF($H733="A国内",ROUND($I733*倍数A*汇率,0),IF($H733="B当地",ROUND($I733*系数B,0),0)))</f>
        <v/>
      </c>
      <c r="K733" s="24">
        <f>IF($A733="","",IF(COUNTIFS(入库单!$G$4:$G$2503,$A733,入库单!$X$4:$X$2503,"待补价")&gt;0,"待补价",IF(COUNTIFS(入库单!$G$4:$G$2503,$A733,入库单!$X$4:$X$2503,"暂估")&gt;0,"暂估",IF($I733=0,"没有进价","正常"))))</f>
        <v/>
      </c>
      <c r="L733" s="27">
        <f>IF($A733="","",IFERROR(VLOOKUP($A733,库存台账!$A$5:$Y$1204,24,0),0))</f>
        <v/>
      </c>
      <c r="M733" s="26">
        <f>IF($A733="","",IFERROR(VLOOKUP($A733,库存台账!$A$5:$Y$1204,25,0),0))</f>
        <v/>
      </c>
      <c r="N733" s="19">
        <f>IF($A733="","",IFERROR(LOOKUP(2,1/((出库单!$D$4:$D$4003=$A733)*(出库单!$T$4:$T$4003="正常")),出库单!$C$4:$C$4003),""))</f>
        <v/>
      </c>
      <c r="O733" s="28">
        <f>IF($A733="","",IF($L733&lt;=0,"",IF($N733="",IFERROR(账期止-LOOKUP(2,1/(入库单!$G$4:$G$2503=$A733),入库单!$C$4:$C$2503),""),账期止-$N733)))</f>
        <v/>
      </c>
      <c r="P733" s="17" t="n"/>
    </row>
    <row r="734">
      <c r="A734" s="17" t="inlineStr">
        <is>
          <t>JH0731</t>
        </is>
      </c>
      <c r="B734" s="17" t="inlineStr">
        <is>
          <t>机械配件</t>
        </is>
      </c>
      <c r="C734" s="17" t="inlineStr">
        <is>
          <t>手动抽油泵</t>
        </is>
      </c>
      <c r="D734" s="17" t="inlineStr"/>
      <c r="E734" s="17" t="inlineStr">
        <is>
          <t>个</t>
        </is>
      </c>
      <c r="F734" s="17" t="inlineStr">
        <is>
          <t>否</t>
        </is>
      </c>
      <c r="G734" s="23" t="n"/>
      <c r="H734" s="24">
        <f>IF($A734="","",IFERROR(LOOKUP(2,1/((入库单!$G$4:$G$2503=$A734)*(入库单!$Y$4:$Y$2503="正常")*(入库单!$L$4:$L$2503&gt;0)),入库单!$D$4:$D$2503),""))</f>
        <v/>
      </c>
      <c r="I734" s="25">
        <f>IF($A734="","",IFERROR(LOOKUP(2,1/((入库单!$G$4:$G$2503=$A734)*(入库单!$Y$4:$Y$2503="正常")*(入库单!$L$4:$L$2503&gt;0)),入库单!$L$4:$L$2503),0))</f>
        <v/>
      </c>
      <c r="J734" s="26">
        <f>IF($A734="","",IF($H734="A国内",ROUND($I734*倍数A*汇率,0),IF($H734="B当地",ROUND($I734*系数B,0),0)))</f>
        <v/>
      </c>
      <c r="K734" s="24">
        <f>IF($A734="","",IF(COUNTIFS(入库单!$G$4:$G$2503,$A734,入库单!$X$4:$X$2503,"待补价")&gt;0,"待补价",IF(COUNTIFS(入库单!$G$4:$G$2503,$A734,入库单!$X$4:$X$2503,"暂估")&gt;0,"暂估",IF($I734=0,"没有进价","正常"))))</f>
        <v/>
      </c>
      <c r="L734" s="27">
        <f>IF($A734="","",IFERROR(VLOOKUP($A734,库存台账!$A$5:$Y$1204,24,0),0))</f>
        <v/>
      </c>
      <c r="M734" s="26">
        <f>IF($A734="","",IFERROR(VLOOKUP($A734,库存台账!$A$5:$Y$1204,25,0),0))</f>
        <v/>
      </c>
      <c r="N734" s="19">
        <f>IF($A734="","",IFERROR(LOOKUP(2,1/((出库单!$D$4:$D$4003=$A734)*(出库单!$T$4:$T$4003="正常")),出库单!$C$4:$C$4003),""))</f>
        <v/>
      </c>
      <c r="O734" s="28">
        <f>IF($A734="","",IF($L734&lt;=0,"",IF($N734="",IFERROR(账期止-LOOKUP(2,1/(入库单!$G$4:$G$2503=$A734),入库单!$C$4:$C$2503),""),账期止-$N734)))</f>
        <v/>
      </c>
      <c r="P734" s="17" t="n"/>
    </row>
    <row r="735">
      <c r="A735" s="17" t="inlineStr">
        <is>
          <t>JH0732</t>
        </is>
      </c>
      <c r="B735" s="17" t="inlineStr">
        <is>
          <t>电缆电气</t>
        </is>
      </c>
      <c r="C735" s="17" t="inlineStr">
        <is>
          <t>电缆剪刀10寸</t>
        </is>
      </c>
      <c r="D735" s="17" t="inlineStr"/>
      <c r="E735" s="17" t="inlineStr">
        <is>
          <t>把</t>
        </is>
      </c>
      <c r="F735" s="17" t="inlineStr">
        <is>
          <t>否</t>
        </is>
      </c>
      <c r="G735" s="23" t="n"/>
      <c r="H735" s="24">
        <f>IF($A735="","",IFERROR(LOOKUP(2,1/((入库单!$G$4:$G$2503=$A735)*(入库单!$Y$4:$Y$2503="正常")*(入库单!$L$4:$L$2503&gt;0)),入库单!$D$4:$D$2503),""))</f>
        <v/>
      </c>
      <c r="I735" s="25">
        <f>IF($A735="","",IFERROR(LOOKUP(2,1/((入库单!$G$4:$G$2503=$A735)*(入库单!$Y$4:$Y$2503="正常")*(入库单!$L$4:$L$2503&gt;0)),入库单!$L$4:$L$2503),0))</f>
        <v/>
      </c>
      <c r="J735" s="26">
        <f>IF($A735="","",IF($H735="A国内",ROUND($I735*倍数A*汇率,0),IF($H735="B当地",ROUND($I735*系数B,0),0)))</f>
        <v/>
      </c>
      <c r="K735" s="24">
        <f>IF($A735="","",IF(COUNTIFS(入库单!$G$4:$G$2503,$A735,入库单!$X$4:$X$2503,"待补价")&gt;0,"待补价",IF(COUNTIFS(入库单!$G$4:$G$2503,$A735,入库单!$X$4:$X$2503,"暂估")&gt;0,"暂估",IF($I735=0,"没有进价","正常"))))</f>
        <v/>
      </c>
      <c r="L735" s="27">
        <f>IF($A735="","",IFERROR(VLOOKUP($A735,库存台账!$A$5:$Y$1204,24,0),0))</f>
        <v/>
      </c>
      <c r="M735" s="26">
        <f>IF($A735="","",IFERROR(VLOOKUP($A735,库存台账!$A$5:$Y$1204,25,0),0))</f>
        <v/>
      </c>
      <c r="N735" s="19">
        <f>IF($A735="","",IFERROR(LOOKUP(2,1/((出库单!$D$4:$D$4003=$A735)*(出库单!$T$4:$T$4003="正常")),出库单!$C$4:$C$4003),""))</f>
        <v/>
      </c>
      <c r="O735" s="28">
        <f>IF($A735="","",IF($L735&lt;=0,"",IF($N735="",IFERROR(账期止-LOOKUP(2,1/(入库单!$G$4:$G$2503=$A735),入库单!$C$4:$C$2503),""),账期止-$N735)))</f>
        <v/>
      </c>
      <c r="P735" s="17" t="n"/>
    </row>
    <row r="736">
      <c r="A736" s="17" t="inlineStr">
        <is>
          <t>JH0733</t>
        </is>
      </c>
      <c r="B736" s="17" t="inlineStr">
        <is>
          <t>电缆电气</t>
        </is>
      </c>
      <c r="C736" s="17" t="inlineStr">
        <is>
          <t>电缆剥皮刀</t>
        </is>
      </c>
      <c r="D736" s="17" t="inlineStr"/>
      <c r="E736" s="17" t="inlineStr">
        <is>
          <t>把</t>
        </is>
      </c>
      <c r="F736" s="17" t="inlineStr">
        <is>
          <t>否</t>
        </is>
      </c>
      <c r="G736" s="23" t="n"/>
      <c r="H736" s="24">
        <f>IF($A736="","",IFERROR(LOOKUP(2,1/((入库单!$G$4:$G$2503=$A736)*(入库单!$Y$4:$Y$2503="正常")*(入库单!$L$4:$L$2503&gt;0)),入库单!$D$4:$D$2503),""))</f>
        <v/>
      </c>
      <c r="I736" s="25">
        <f>IF($A736="","",IFERROR(LOOKUP(2,1/((入库单!$G$4:$G$2503=$A736)*(入库单!$Y$4:$Y$2503="正常")*(入库单!$L$4:$L$2503&gt;0)),入库单!$L$4:$L$2503),0))</f>
        <v/>
      </c>
      <c r="J736" s="26">
        <f>IF($A736="","",IF($H736="A国内",ROUND($I736*倍数A*汇率,0),IF($H736="B当地",ROUND($I736*系数B,0),0)))</f>
        <v/>
      </c>
      <c r="K736" s="24">
        <f>IF($A736="","",IF(COUNTIFS(入库单!$G$4:$G$2503,$A736,入库单!$X$4:$X$2503,"待补价")&gt;0,"待补价",IF(COUNTIFS(入库单!$G$4:$G$2503,$A736,入库单!$X$4:$X$2503,"暂估")&gt;0,"暂估",IF($I736=0,"没有进价","正常"))))</f>
        <v/>
      </c>
      <c r="L736" s="27">
        <f>IF($A736="","",IFERROR(VLOOKUP($A736,库存台账!$A$5:$Y$1204,24,0),0))</f>
        <v/>
      </c>
      <c r="M736" s="26">
        <f>IF($A736="","",IFERROR(VLOOKUP($A736,库存台账!$A$5:$Y$1204,25,0),0))</f>
        <v/>
      </c>
      <c r="N736" s="19">
        <f>IF($A736="","",IFERROR(LOOKUP(2,1/((出库单!$D$4:$D$4003=$A736)*(出库单!$T$4:$T$4003="正常")),出库单!$C$4:$C$4003),""))</f>
        <v/>
      </c>
      <c r="O736" s="28">
        <f>IF($A736="","",IF($L736&lt;=0,"",IF($N736="",IFERROR(账期止-LOOKUP(2,1/(入库单!$G$4:$G$2503=$A736),入库单!$C$4:$C$2503),""),账期止-$N736)))</f>
        <v/>
      </c>
      <c r="P736" s="17" t="n"/>
    </row>
    <row r="737">
      <c r="A737" s="17" t="inlineStr">
        <is>
          <t>JH0734</t>
        </is>
      </c>
      <c r="B737" s="17" t="inlineStr">
        <is>
          <t>机械配件</t>
        </is>
      </c>
      <c r="C737" s="17" t="inlineStr">
        <is>
          <t>德力西螺丝刀套装</t>
        </is>
      </c>
      <c r="D737" s="17" t="inlineStr"/>
      <c r="E737" s="17" t="inlineStr">
        <is>
          <t>套</t>
        </is>
      </c>
      <c r="F737" s="17" t="inlineStr">
        <is>
          <t>否</t>
        </is>
      </c>
      <c r="G737" s="23" t="n"/>
      <c r="H737" s="24">
        <f>IF($A737="","",IFERROR(LOOKUP(2,1/((入库单!$G$4:$G$2503=$A737)*(入库单!$Y$4:$Y$2503="正常")*(入库单!$L$4:$L$2503&gt;0)),入库单!$D$4:$D$2503),""))</f>
        <v/>
      </c>
      <c r="I737" s="25">
        <f>IF($A737="","",IFERROR(LOOKUP(2,1/((入库单!$G$4:$G$2503=$A737)*(入库单!$Y$4:$Y$2503="正常")*(入库单!$L$4:$L$2503&gt;0)),入库单!$L$4:$L$2503),0))</f>
        <v/>
      </c>
      <c r="J737" s="26">
        <f>IF($A737="","",IF($H737="A国内",ROUND($I737*倍数A*汇率,0),IF($H737="B当地",ROUND($I737*系数B,0),0)))</f>
        <v/>
      </c>
      <c r="K737" s="24">
        <f>IF($A737="","",IF(COUNTIFS(入库单!$G$4:$G$2503,$A737,入库单!$X$4:$X$2503,"待补价")&gt;0,"待补价",IF(COUNTIFS(入库单!$G$4:$G$2503,$A737,入库单!$X$4:$X$2503,"暂估")&gt;0,"暂估",IF($I737=0,"没有进价","正常"))))</f>
        <v/>
      </c>
      <c r="L737" s="27">
        <f>IF($A737="","",IFERROR(VLOOKUP($A737,库存台账!$A$5:$Y$1204,24,0),0))</f>
        <v/>
      </c>
      <c r="M737" s="26">
        <f>IF($A737="","",IFERROR(VLOOKUP($A737,库存台账!$A$5:$Y$1204,25,0),0))</f>
        <v/>
      </c>
      <c r="N737" s="19">
        <f>IF($A737="","",IFERROR(LOOKUP(2,1/((出库单!$D$4:$D$4003=$A737)*(出库单!$T$4:$T$4003="正常")),出库单!$C$4:$C$4003),""))</f>
        <v/>
      </c>
      <c r="O737" s="28">
        <f>IF($A737="","",IF($L737&lt;=0,"",IF($N737="",IFERROR(账期止-LOOKUP(2,1/(入库单!$G$4:$G$2503=$A737),入库单!$C$4:$C$2503),""),账期止-$N737)))</f>
        <v/>
      </c>
      <c r="P737" s="17" t="n"/>
    </row>
    <row r="738">
      <c r="A738" s="17" t="inlineStr">
        <is>
          <t>JH0735</t>
        </is>
      </c>
      <c r="B738" s="17" t="inlineStr">
        <is>
          <t>机械配件</t>
        </is>
      </c>
      <c r="C738" s="17" t="inlineStr">
        <is>
          <t>370mm活动扳手</t>
        </is>
      </c>
      <c r="D738" s="17" t="inlineStr"/>
      <c r="E738" s="17" t="inlineStr">
        <is>
          <t>把</t>
        </is>
      </c>
      <c r="F738" s="17" t="inlineStr">
        <is>
          <t>否</t>
        </is>
      </c>
      <c r="G738" s="23" t="n"/>
      <c r="H738" s="24">
        <f>IF($A738="","",IFERROR(LOOKUP(2,1/((入库单!$G$4:$G$2503=$A738)*(入库单!$Y$4:$Y$2503="正常")*(入库单!$L$4:$L$2503&gt;0)),入库单!$D$4:$D$2503),""))</f>
        <v/>
      </c>
      <c r="I738" s="25">
        <f>IF($A738="","",IFERROR(LOOKUP(2,1/((入库单!$G$4:$G$2503=$A738)*(入库单!$Y$4:$Y$2503="正常")*(入库单!$L$4:$L$2503&gt;0)),入库单!$L$4:$L$2503),0))</f>
        <v/>
      </c>
      <c r="J738" s="26">
        <f>IF($A738="","",IF($H738="A国内",ROUND($I738*倍数A*汇率,0),IF($H738="B当地",ROUND($I738*系数B,0),0)))</f>
        <v/>
      </c>
      <c r="K738" s="24">
        <f>IF($A738="","",IF(COUNTIFS(入库单!$G$4:$G$2503,$A738,入库单!$X$4:$X$2503,"待补价")&gt;0,"待补价",IF(COUNTIFS(入库单!$G$4:$G$2503,$A738,入库单!$X$4:$X$2503,"暂估")&gt;0,"暂估",IF($I738=0,"没有进价","正常"))))</f>
        <v/>
      </c>
      <c r="L738" s="27">
        <f>IF($A738="","",IFERROR(VLOOKUP($A738,库存台账!$A$5:$Y$1204,24,0),0))</f>
        <v/>
      </c>
      <c r="M738" s="26">
        <f>IF($A738="","",IFERROR(VLOOKUP($A738,库存台账!$A$5:$Y$1204,25,0),0))</f>
        <v/>
      </c>
      <c r="N738" s="19">
        <f>IF($A738="","",IFERROR(LOOKUP(2,1/((出库单!$D$4:$D$4003=$A738)*(出库单!$T$4:$T$4003="正常")),出库单!$C$4:$C$4003),""))</f>
        <v/>
      </c>
      <c r="O738" s="28">
        <f>IF($A738="","",IF($L738&lt;=0,"",IF($N738="",IFERROR(账期止-LOOKUP(2,1/(入库单!$G$4:$G$2503=$A738),入库单!$C$4:$C$2503),""),账期止-$N738)))</f>
        <v/>
      </c>
      <c r="P738" s="17" t="n"/>
    </row>
    <row r="739">
      <c r="A739" s="17" t="inlineStr">
        <is>
          <t>JH0736</t>
        </is>
      </c>
      <c r="B739" s="17" t="inlineStr">
        <is>
          <t>机械配件</t>
        </is>
      </c>
      <c r="C739" s="17" t="inlineStr">
        <is>
          <t>刀片</t>
        </is>
      </c>
      <c r="D739" s="17" t="inlineStr"/>
      <c r="E739" s="17" t="inlineStr">
        <is>
          <t>盒</t>
        </is>
      </c>
      <c r="F739" s="17" t="inlineStr">
        <is>
          <t>否</t>
        </is>
      </c>
      <c r="G739" s="23" t="n"/>
      <c r="H739" s="24">
        <f>IF($A739="","",IFERROR(LOOKUP(2,1/((入库单!$G$4:$G$2503=$A739)*(入库单!$Y$4:$Y$2503="正常")*(入库单!$L$4:$L$2503&gt;0)),入库单!$D$4:$D$2503),""))</f>
        <v/>
      </c>
      <c r="I739" s="25">
        <f>IF($A739="","",IFERROR(LOOKUP(2,1/((入库单!$G$4:$G$2503=$A739)*(入库单!$Y$4:$Y$2503="正常")*(入库单!$L$4:$L$2503&gt;0)),入库单!$L$4:$L$2503),0))</f>
        <v/>
      </c>
      <c r="J739" s="26">
        <f>IF($A739="","",IF($H739="A国内",ROUND($I739*倍数A*汇率,0),IF($H739="B当地",ROUND($I739*系数B,0),0)))</f>
        <v/>
      </c>
      <c r="K739" s="24">
        <f>IF($A739="","",IF(COUNTIFS(入库单!$G$4:$G$2503,$A739,入库单!$X$4:$X$2503,"待补价")&gt;0,"待补价",IF(COUNTIFS(入库单!$G$4:$G$2503,$A739,入库单!$X$4:$X$2503,"暂估")&gt;0,"暂估",IF($I739=0,"没有进价","正常"))))</f>
        <v/>
      </c>
      <c r="L739" s="27">
        <f>IF($A739="","",IFERROR(VLOOKUP($A739,库存台账!$A$5:$Y$1204,24,0),0))</f>
        <v/>
      </c>
      <c r="M739" s="26">
        <f>IF($A739="","",IFERROR(VLOOKUP($A739,库存台账!$A$5:$Y$1204,25,0),0))</f>
        <v/>
      </c>
      <c r="N739" s="19">
        <f>IF($A739="","",IFERROR(LOOKUP(2,1/((出库单!$D$4:$D$4003=$A739)*(出库单!$T$4:$T$4003="正常")),出库单!$C$4:$C$4003),""))</f>
        <v/>
      </c>
      <c r="O739" s="28">
        <f>IF($A739="","",IF($L739&lt;=0,"",IF($N739="",IFERROR(账期止-LOOKUP(2,1/(入库单!$G$4:$G$2503=$A739),入库单!$C$4:$C$2503),""),账期止-$N739)))</f>
        <v/>
      </c>
      <c r="P739" s="17" t="n"/>
    </row>
    <row r="740">
      <c r="A740" s="17" t="inlineStr">
        <is>
          <t>JH0737</t>
        </is>
      </c>
      <c r="B740" s="17" t="inlineStr">
        <is>
          <t>电缆电气</t>
        </is>
      </c>
      <c r="C740" s="17" t="inlineStr">
        <is>
          <t>小型断路器NXB-633PD型32A</t>
        </is>
      </c>
      <c r="D740" s="17" t="inlineStr"/>
      <c r="E740" s="17" t="inlineStr">
        <is>
          <t>只</t>
        </is>
      </c>
      <c r="F740" s="17" t="inlineStr">
        <is>
          <t>否</t>
        </is>
      </c>
      <c r="G740" s="23" t="n"/>
      <c r="H740" s="24">
        <f>IF($A740="","",IFERROR(LOOKUP(2,1/((入库单!$G$4:$G$2503=$A740)*(入库单!$Y$4:$Y$2503="正常")*(入库单!$L$4:$L$2503&gt;0)),入库单!$D$4:$D$2503),""))</f>
        <v/>
      </c>
      <c r="I740" s="25">
        <f>IF($A740="","",IFERROR(LOOKUP(2,1/((入库单!$G$4:$G$2503=$A740)*(入库单!$Y$4:$Y$2503="正常")*(入库单!$L$4:$L$2503&gt;0)),入库单!$L$4:$L$2503),0))</f>
        <v/>
      </c>
      <c r="J740" s="26">
        <f>IF($A740="","",IF($H740="A国内",ROUND($I740*倍数A*汇率,0),IF($H740="B当地",ROUND($I740*系数B,0),0)))</f>
        <v/>
      </c>
      <c r="K740" s="24">
        <f>IF($A740="","",IF(COUNTIFS(入库单!$G$4:$G$2503,$A740,入库单!$X$4:$X$2503,"待补价")&gt;0,"待补价",IF(COUNTIFS(入库单!$G$4:$G$2503,$A740,入库单!$X$4:$X$2503,"暂估")&gt;0,"暂估",IF($I740=0,"没有进价","正常"))))</f>
        <v/>
      </c>
      <c r="L740" s="27">
        <f>IF($A740="","",IFERROR(VLOOKUP($A740,库存台账!$A$5:$Y$1204,24,0),0))</f>
        <v/>
      </c>
      <c r="M740" s="26">
        <f>IF($A740="","",IFERROR(VLOOKUP($A740,库存台账!$A$5:$Y$1204,25,0),0))</f>
        <v/>
      </c>
      <c r="N740" s="19">
        <f>IF($A740="","",IFERROR(LOOKUP(2,1/((出库单!$D$4:$D$4003=$A740)*(出库单!$T$4:$T$4003="正常")),出库单!$C$4:$C$4003),""))</f>
        <v/>
      </c>
      <c r="O740" s="28">
        <f>IF($A740="","",IF($L740&lt;=0,"",IF($N740="",IFERROR(账期止-LOOKUP(2,1/(入库单!$G$4:$G$2503=$A740),入库单!$C$4:$C$2503),""),账期止-$N740)))</f>
        <v/>
      </c>
      <c r="P740" s="17" t="n"/>
    </row>
    <row r="741">
      <c r="A741" s="17" t="inlineStr">
        <is>
          <t>JH0738</t>
        </is>
      </c>
      <c r="B741" s="17" t="inlineStr">
        <is>
          <t>电缆电气</t>
        </is>
      </c>
      <c r="C741" s="17" t="inlineStr">
        <is>
          <t>小型断路器NXB-633PD型40A</t>
        </is>
      </c>
      <c r="D741" s="17" t="inlineStr"/>
      <c r="E741" s="17" t="inlineStr">
        <is>
          <t>只</t>
        </is>
      </c>
      <c r="F741" s="17" t="inlineStr">
        <is>
          <t>否</t>
        </is>
      </c>
      <c r="G741" s="23" t="n"/>
      <c r="H741" s="24">
        <f>IF($A741="","",IFERROR(LOOKUP(2,1/((入库单!$G$4:$G$2503=$A741)*(入库单!$Y$4:$Y$2503="正常")*(入库单!$L$4:$L$2503&gt;0)),入库单!$D$4:$D$2503),""))</f>
        <v/>
      </c>
      <c r="I741" s="25">
        <f>IF($A741="","",IFERROR(LOOKUP(2,1/((入库单!$G$4:$G$2503=$A741)*(入库单!$Y$4:$Y$2503="正常")*(入库单!$L$4:$L$2503&gt;0)),入库单!$L$4:$L$2503),0))</f>
        <v/>
      </c>
      <c r="J741" s="26">
        <f>IF($A741="","",IF($H741="A国内",ROUND($I741*倍数A*汇率,0),IF($H741="B当地",ROUND($I741*系数B,0),0)))</f>
        <v/>
      </c>
      <c r="K741" s="24">
        <f>IF($A741="","",IF(COUNTIFS(入库单!$G$4:$G$2503,$A741,入库单!$X$4:$X$2503,"待补价")&gt;0,"待补价",IF(COUNTIFS(入库单!$G$4:$G$2503,$A741,入库单!$X$4:$X$2503,"暂估")&gt;0,"暂估",IF($I741=0,"没有进价","正常"))))</f>
        <v/>
      </c>
      <c r="L741" s="27">
        <f>IF($A741="","",IFERROR(VLOOKUP($A741,库存台账!$A$5:$Y$1204,24,0),0))</f>
        <v/>
      </c>
      <c r="M741" s="26">
        <f>IF($A741="","",IFERROR(VLOOKUP($A741,库存台账!$A$5:$Y$1204,25,0),0))</f>
        <v/>
      </c>
      <c r="N741" s="19">
        <f>IF($A741="","",IFERROR(LOOKUP(2,1/((出库单!$D$4:$D$4003=$A741)*(出库单!$T$4:$T$4003="正常")),出库单!$C$4:$C$4003),""))</f>
        <v/>
      </c>
      <c r="O741" s="28">
        <f>IF($A741="","",IF($L741&lt;=0,"",IF($N741="",IFERROR(账期止-LOOKUP(2,1/(入库单!$G$4:$G$2503=$A741),入库单!$C$4:$C$2503),""),账期止-$N741)))</f>
        <v/>
      </c>
      <c r="P741" s="17" t="n"/>
    </row>
    <row r="742">
      <c r="A742" s="17" t="inlineStr">
        <is>
          <t>JH0739</t>
        </is>
      </c>
      <c r="B742" s="17" t="inlineStr">
        <is>
          <t>电缆电气</t>
        </is>
      </c>
      <c r="C742" s="17" t="inlineStr">
        <is>
          <t>小型断路器NXB-633PD型63A</t>
        </is>
      </c>
      <c r="D742" s="17" t="inlineStr"/>
      <c r="E742" s="17" t="inlineStr">
        <is>
          <t>只</t>
        </is>
      </c>
      <c r="F742" s="17" t="inlineStr">
        <is>
          <t>否</t>
        </is>
      </c>
      <c r="G742" s="23" t="n"/>
      <c r="H742" s="24">
        <f>IF($A742="","",IFERROR(LOOKUP(2,1/((入库单!$G$4:$G$2503=$A742)*(入库单!$Y$4:$Y$2503="正常")*(入库单!$L$4:$L$2503&gt;0)),入库单!$D$4:$D$2503),""))</f>
        <v/>
      </c>
      <c r="I742" s="25">
        <f>IF($A742="","",IFERROR(LOOKUP(2,1/((入库单!$G$4:$G$2503=$A742)*(入库单!$Y$4:$Y$2503="正常")*(入库单!$L$4:$L$2503&gt;0)),入库单!$L$4:$L$2503),0))</f>
        <v/>
      </c>
      <c r="J742" s="26">
        <f>IF($A742="","",IF($H742="A国内",ROUND($I742*倍数A*汇率,0),IF($H742="B当地",ROUND($I742*系数B,0),0)))</f>
        <v/>
      </c>
      <c r="K742" s="24">
        <f>IF($A742="","",IF(COUNTIFS(入库单!$G$4:$G$2503,$A742,入库单!$X$4:$X$2503,"待补价")&gt;0,"待补价",IF(COUNTIFS(入库单!$G$4:$G$2503,$A742,入库单!$X$4:$X$2503,"暂估")&gt;0,"暂估",IF($I742=0,"没有进价","正常"))))</f>
        <v/>
      </c>
      <c r="L742" s="27">
        <f>IF($A742="","",IFERROR(VLOOKUP($A742,库存台账!$A$5:$Y$1204,24,0),0))</f>
        <v/>
      </c>
      <c r="M742" s="26">
        <f>IF($A742="","",IFERROR(VLOOKUP($A742,库存台账!$A$5:$Y$1204,25,0),0))</f>
        <v/>
      </c>
      <c r="N742" s="19">
        <f>IF($A742="","",IFERROR(LOOKUP(2,1/((出库单!$D$4:$D$4003=$A742)*(出库单!$T$4:$T$4003="正常")),出库单!$C$4:$C$4003),""))</f>
        <v/>
      </c>
      <c r="O742" s="28">
        <f>IF($A742="","",IF($L742&lt;=0,"",IF($N742="",IFERROR(账期止-LOOKUP(2,1/(入库单!$G$4:$G$2503=$A742),入库单!$C$4:$C$2503),""),账期止-$N742)))</f>
        <v/>
      </c>
      <c r="P742" s="17" t="n"/>
    </row>
    <row r="743">
      <c r="A743" s="17" t="inlineStr">
        <is>
          <t>JH0740</t>
        </is>
      </c>
      <c r="B743" s="17" t="inlineStr">
        <is>
          <t>电缆电气</t>
        </is>
      </c>
      <c r="C743" s="17" t="inlineStr">
        <is>
          <t>小型断路器NXB-632PD型32A</t>
        </is>
      </c>
      <c r="D743" s="17" t="inlineStr"/>
      <c r="E743" s="17" t="inlineStr">
        <is>
          <t>只</t>
        </is>
      </c>
      <c r="F743" s="17" t="inlineStr">
        <is>
          <t>否</t>
        </is>
      </c>
      <c r="G743" s="23" t="n"/>
      <c r="H743" s="24">
        <f>IF($A743="","",IFERROR(LOOKUP(2,1/((入库单!$G$4:$G$2503=$A743)*(入库单!$Y$4:$Y$2503="正常")*(入库单!$L$4:$L$2503&gt;0)),入库单!$D$4:$D$2503),""))</f>
        <v/>
      </c>
      <c r="I743" s="25">
        <f>IF($A743="","",IFERROR(LOOKUP(2,1/((入库单!$G$4:$G$2503=$A743)*(入库单!$Y$4:$Y$2503="正常")*(入库单!$L$4:$L$2503&gt;0)),入库单!$L$4:$L$2503),0))</f>
        <v/>
      </c>
      <c r="J743" s="26">
        <f>IF($A743="","",IF($H743="A国内",ROUND($I743*倍数A*汇率,0),IF($H743="B当地",ROUND($I743*系数B,0),0)))</f>
        <v/>
      </c>
      <c r="K743" s="24">
        <f>IF($A743="","",IF(COUNTIFS(入库单!$G$4:$G$2503,$A743,入库单!$X$4:$X$2503,"待补价")&gt;0,"待补价",IF(COUNTIFS(入库单!$G$4:$G$2503,$A743,入库单!$X$4:$X$2503,"暂估")&gt;0,"暂估",IF($I743=0,"没有进价","正常"))))</f>
        <v/>
      </c>
      <c r="L743" s="27">
        <f>IF($A743="","",IFERROR(VLOOKUP($A743,库存台账!$A$5:$Y$1204,24,0),0))</f>
        <v/>
      </c>
      <c r="M743" s="26">
        <f>IF($A743="","",IFERROR(VLOOKUP($A743,库存台账!$A$5:$Y$1204,25,0),0))</f>
        <v/>
      </c>
      <c r="N743" s="19">
        <f>IF($A743="","",IFERROR(LOOKUP(2,1/((出库单!$D$4:$D$4003=$A743)*(出库单!$T$4:$T$4003="正常")),出库单!$C$4:$C$4003),""))</f>
        <v/>
      </c>
      <c r="O743" s="28">
        <f>IF($A743="","",IF($L743&lt;=0,"",IF($N743="",IFERROR(账期止-LOOKUP(2,1/(入库单!$G$4:$G$2503=$A743),入库单!$C$4:$C$2503),""),账期止-$N743)))</f>
        <v/>
      </c>
      <c r="P743" s="17" t="n"/>
    </row>
    <row r="744">
      <c r="A744" s="17" t="inlineStr">
        <is>
          <t>JH0741</t>
        </is>
      </c>
      <c r="B744" s="17" t="inlineStr">
        <is>
          <t>机械配件</t>
        </is>
      </c>
      <c r="C744" s="17" t="inlineStr">
        <is>
          <t>安装导轨（厚）1米</t>
        </is>
      </c>
      <c r="D744" s="17" t="inlineStr"/>
      <c r="E744" s="17" t="inlineStr">
        <is>
          <t>条</t>
        </is>
      </c>
      <c r="F744" s="17" t="inlineStr">
        <is>
          <t>否</t>
        </is>
      </c>
      <c r="G744" s="23" t="n"/>
      <c r="H744" s="24">
        <f>IF($A744="","",IFERROR(LOOKUP(2,1/((入库单!$G$4:$G$2503=$A744)*(入库单!$Y$4:$Y$2503="正常")*(入库单!$L$4:$L$2503&gt;0)),入库单!$D$4:$D$2503),""))</f>
        <v/>
      </c>
      <c r="I744" s="25">
        <f>IF($A744="","",IFERROR(LOOKUP(2,1/((入库单!$G$4:$G$2503=$A744)*(入库单!$Y$4:$Y$2503="正常")*(入库单!$L$4:$L$2503&gt;0)),入库单!$L$4:$L$2503),0))</f>
        <v/>
      </c>
      <c r="J744" s="26">
        <f>IF($A744="","",IF($H744="A国内",ROUND($I744*倍数A*汇率,0),IF($H744="B当地",ROUND($I744*系数B,0),0)))</f>
        <v/>
      </c>
      <c r="K744" s="24">
        <f>IF($A744="","",IF(COUNTIFS(入库单!$G$4:$G$2503,$A744,入库单!$X$4:$X$2503,"待补价")&gt;0,"待补价",IF(COUNTIFS(入库单!$G$4:$G$2503,$A744,入库单!$X$4:$X$2503,"暂估")&gt;0,"暂估",IF($I744=0,"没有进价","正常"))))</f>
        <v/>
      </c>
      <c r="L744" s="27">
        <f>IF($A744="","",IFERROR(VLOOKUP($A744,库存台账!$A$5:$Y$1204,24,0),0))</f>
        <v/>
      </c>
      <c r="M744" s="26">
        <f>IF($A744="","",IFERROR(VLOOKUP($A744,库存台账!$A$5:$Y$1204,25,0),0))</f>
        <v/>
      </c>
      <c r="N744" s="19">
        <f>IF($A744="","",IFERROR(LOOKUP(2,1/((出库单!$D$4:$D$4003=$A744)*(出库单!$T$4:$T$4003="正常")),出库单!$C$4:$C$4003),""))</f>
        <v/>
      </c>
      <c r="O744" s="28">
        <f>IF($A744="","",IF($L744&lt;=0,"",IF($N744="",IFERROR(账期止-LOOKUP(2,1/(入库单!$G$4:$G$2503=$A744),入库单!$C$4:$C$2503),""),账期止-$N744)))</f>
        <v/>
      </c>
      <c r="P744" s="17" t="n"/>
    </row>
    <row r="745">
      <c r="A745" s="17" t="inlineStr">
        <is>
          <t>JH0742</t>
        </is>
      </c>
      <c r="B745" s="17" t="inlineStr">
        <is>
          <t>电缆电气</t>
        </is>
      </c>
      <c r="C745" s="17" t="inlineStr">
        <is>
          <t>正泰交流接触器CJ20-100  380V</t>
        </is>
      </c>
      <c r="D745" s="17" t="inlineStr"/>
      <c r="E745" s="17" t="inlineStr">
        <is>
          <t>只</t>
        </is>
      </c>
      <c r="F745" s="17" t="inlineStr">
        <is>
          <t>否</t>
        </is>
      </c>
      <c r="G745" s="23" t="n"/>
      <c r="H745" s="24">
        <f>IF($A745="","",IFERROR(LOOKUP(2,1/((入库单!$G$4:$G$2503=$A745)*(入库单!$Y$4:$Y$2503="正常")*(入库单!$L$4:$L$2503&gt;0)),入库单!$D$4:$D$2503),""))</f>
        <v/>
      </c>
      <c r="I745" s="25">
        <f>IF($A745="","",IFERROR(LOOKUP(2,1/((入库单!$G$4:$G$2503=$A745)*(入库单!$Y$4:$Y$2503="正常")*(入库单!$L$4:$L$2503&gt;0)),入库单!$L$4:$L$2503),0))</f>
        <v/>
      </c>
      <c r="J745" s="26">
        <f>IF($A745="","",IF($H745="A国内",ROUND($I745*倍数A*汇率,0),IF($H745="B当地",ROUND($I745*系数B,0),0)))</f>
        <v/>
      </c>
      <c r="K745" s="24">
        <f>IF($A745="","",IF(COUNTIFS(入库单!$G$4:$G$2503,$A745,入库单!$X$4:$X$2503,"待补价")&gt;0,"待补价",IF(COUNTIFS(入库单!$G$4:$G$2503,$A745,入库单!$X$4:$X$2503,"暂估")&gt;0,"暂估",IF($I745=0,"没有进价","正常"))))</f>
        <v/>
      </c>
      <c r="L745" s="27">
        <f>IF($A745="","",IFERROR(VLOOKUP($A745,库存台账!$A$5:$Y$1204,24,0),0))</f>
        <v/>
      </c>
      <c r="M745" s="26">
        <f>IF($A745="","",IFERROR(VLOOKUP($A745,库存台账!$A$5:$Y$1204,25,0),0))</f>
        <v/>
      </c>
      <c r="N745" s="19">
        <f>IF($A745="","",IFERROR(LOOKUP(2,1/((出库单!$D$4:$D$4003=$A745)*(出库单!$T$4:$T$4003="正常")),出库单!$C$4:$C$4003),""))</f>
        <v/>
      </c>
      <c r="O745" s="28">
        <f>IF($A745="","",IF($L745&lt;=0,"",IF($N745="",IFERROR(账期止-LOOKUP(2,1/(入库单!$G$4:$G$2503=$A745),入库单!$C$4:$C$2503),""),账期止-$N745)))</f>
        <v/>
      </c>
      <c r="P745" s="17" t="n"/>
    </row>
    <row r="746">
      <c r="A746" s="17" t="inlineStr">
        <is>
          <t>JH0743</t>
        </is>
      </c>
      <c r="B746" s="17" t="inlineStr">
        <is>
          <t>电缆电气</t>
        </is>
      </c>
      <c r="C746" s="17" t="inlineStr">
        <is>
          <t>正泰塑料外壳断路器NM1-250S/4300   250A</t>
        </is>
      </c>
      <c r="D746" s="17" t="inlineStr"/>
      <c r="E746" s="17" t="inlineStr">
        <is>
          <t>只</t>
        </is>
      </c>
      <c r="F746" s="17" t="inlineStr">
        <is>
          <t>否</t>
        </is>
      </c>
      <c r="G746" s="23" t="n"/>
      <c r="H746" s="24">
        <f>IF($A746="","",IFERROR(LOOKUP(2,1/((入库单!$G$4:$G$2503=$A746)*(入库单!$Y$4:$Y$2503="正常")*(入库单!$L$4:$L$2503&gt;0)),入库单!$D$4:$D$2503),""))</f>
        <v/>
      </c>
      <c r="I746" s="25">
        <f>IF($A746="","",IFERROR(LOOKUP(2,1/((入库单!$G$4:$G$2503=$A746)*(入库单!$Y$4:$Y$2503="正常")*(入库单!$L$4:$L$2503&gt;0)),入库单!$L$4:$L$2503),0))</f>
        <v/>
      </c>
      <c r="J746" s="26">
        <f>IF($A746="","",IF($H746="A国内",ROUND($I746*倍数A*汇率,0),IF($H746="B当地",ROUND($I746*系数B,0),0)))</f>
        <v/>
      </c>
      <c r="K746" s="24">
        <f>IF($A746="","",IF(COUNTIFS(入库单!$G$4:$G$2503,$A746,入库单!$X$4:$X$2503,"待补价")&gt;0,"待补价",IF(COUNTIFS(入库单!$G$4:$G$2503,$A746,入库单!$X$4:$X$2503,"暂估")&gt;0,"暂估",IF($I746=0,"没有进价","正常"))))</f>
        <v/>
      </c>
      <c r="L746" s="27">
        <f>IF($A746="","",IFERROR(VLOOKUP($A746,库存台账!$A$5:$Y$1204,24,0),0))</f>
        <v/>
      </c>
      <c r="M746" s="26">
        <f>IF($A746="","",IFERROR(VLOOKUP($A746,库存台账!$A$5:$Y$1204,25,0),0))</f>
        <v/>
      </c>
      <c r="N746" s="19">
        <f>IF($A746="","",IFERROR(LOOKUP(2,1/((出库单!$D$4:$D$4003=$A746)*(出库单!$T$4:$T$4003="正常")),出库单!$C$4:$C$4003),""))</f>
        <v/>
      </c>
      <c r="O746" s="28">
        <f>IF($A746="","",IF($L746&lt;=0,"",IF($N746="",IFERROR(账期止-LOOKUP(2,1/(入库单!$G$4:$G$2503=$A746),入库单!$C$4:$C$2503),""),账期止-$N746)))</f>
        <v/>
      </c>
      <c r="P746" s="17" t="n"/>
    </row>
    <row r="747">
      <c r="A747" s="17" t="inlineStr">
        <is>
          <t>JH0744</t>
        </is>
      </c>
      <c r="B747" s="17" t="inlineStr">
        <is>
          <t>电缆电气</t>
        </is>
      </c>
      <c r="C747" s="17" t="inlineStr">
        <is>
          <t>矿灯带</t>
        </is>
      </c>
      <c r="D747" s="17" t="inlineStr">
        <is>
          <t>1.5米长</t>
        </is>
      </c>
      <c r="E747" s="17" t="inlineStr">
        <is>
          <t>根</t>
        </is>
      </c>
      <c r="F747" s="17" t="inlineStr">
        <is>
          <t>否</t>
        </is>
      </c>
      <c r="G747" s="23" t="n"/>
      <c r="H747" s="24">
        <f>IF($A747="","",IFERROR(LOOKUP(2,1/((入库单!$G$4:$G$2503=$A747)*(入库单!$Y$4:$Y$2503="正常")*(入库单!$L$4:$L$2503&gt;0)),入库单!$D$4:$D$2503),""))</f>
        <v/>
      </c>
      <c r="I747" s="25">
        <f>IF($A747="","",IFERROR(LOOKUP(2,1/((入库单!$G$4:$G$2503=$A747)*(入库单!$Y$4:$Y$2503="正常")*(入库单!$L$4:$L$2503&gt;0)),入库单!$L$4:$L$2503),0))</f>
        <v/>
      </c>
      <c r="J747" s="26">
        <f>IF($A747="","",IF($H747="A国内",ROUND($I747*倍数A*汇率,0),IF($H747="B当地",ROUND($I747*系数B,0),0)))</f>
        <v/>
      </c>
      <c r="K747" s="24">
        <f>IF($A747="","",IF(COUNTIFS(入库单!$G$4:$G$2503,$A747,入库单!$X$4:$X$2503,"待补价")&gt;0,"待补价",IF(COUNTIFS(入库单!$G$4:$G$2503,$A747,入库单!$X$4:$X$2503,"暂估")&gt;0,"暂估",IF($I747=0,"没有进价","正常"))))</f>
        <v/>
      </c>
      <c r="L747" s="27">
        <f>IF($A747="","",IFERROR(VLOOKUP($A747,库存台账!$A$5:$Y$1204,24,0),0))</f>
        <v/>
      </c>
      <c r="M747" s="26">
        <f>IF($A747="","",IFERROR(VLOOKUP($A747,库存台账!$A$5:$Y$1204,25,0),0))</f>
        <v/>
      </c>
      <c r="N747" s="19">
        <f>IF($A747="","",IFERROR(LOOKUP(2,1/((出库单!$D$4:$D$4003=$A747)*(出库单!$T$4:$T$4003="正常")),出库单!$C$4:$C$4003),""))</f>
        <v/>
      </c>
      <c r="O747" s="28">
        <f>IF($A747="","",IF($L747&lt;=0,"",IF($N747="",IFERROR(账期止-LOOKUP(2,1/(入库单!$G$4:$G$2503=$A747),入库单!$C$4:$C$2503),""),账期止-$N747)))</f>
        <v/>
      </c>
      <c r="P747" s="17" t="n"/>
    </row>
    <row r="748">
      <c r="A748" s="17" t="inlineStr">
        <is>
          <t>JH0745</t>
        </is>
      </c>
      <c r="B748" s="17" t="inlineStr">
        <is>
          <t>劳保用品</t>
        </is>
      </c>
      <c r="C748" s="17" t="inlineStr">
        <is>
          <t>飞鹤牌雨鞋43/44/45各20</t>
        </is>
      </c>
      <c r="D748" s="17" t="inlineStr"/>
      <c r="E748" s="17" t="inlineStr">
        <is>
          <t>双</t>
        </is>
      </c>
      <c r="F748" s="17" t="inlineStr">
        <is>
          <t>否</t>
        </is>
      </c>
      <c r="G748" s="23" t="n"/>
      <c r="H748" s="24">
        <f>IF($A748="","",IFERROR(LOOKUP(2,1/((入库单!$G$4:$G$2503=$A748)*(入库单!$Y$4:$Y$2503="正常")*(入库单!$L$4:$L$2503&gt;0)),入库单!$D$4:$D$2503),""))</f>
        <v/>
      </c>
      <c r="I748" s="25">
        <f>IF($A748="","",IFERROR(LOOKUP(2,1/((入库单!$G$4:$G$2503=$A748)*(入库单!$Y$4:$Y$2503="正常")*(入库单!$L$4:$L$2503&gt;0)),入库单!$L$4:$L$2503),0))</f>
        <v/>
      </c>
      <c r="J748" s="26">
        <f>IF($A748="","",IF($H748="A国内",ROUND($I748*倍数A*汇率,0),IF($H748="B当地",ROUND($I748*系数B,0),0)))</f>
        <v/>
      </c>
      <c r="K748" s="24">
        <f>IF($A748="","",IF(COUNTIFS(入库单!$G$4:$G$2503,$A748,入库单!$X$4:$X$2503,"待补价")&gt;0,"待补价",IF(COUNTIFS(入库单!$G$4:$G$2503,$A748,入库单!$X$4:$X$2503,"暂估")&gt;0,"暂估",IF($I748=0,"没有进价","正常"))))</f>
        <v/>
      </c>
      <c r="L748" s="27">
        <f>IF($A748="","",IFERROR(VLOOKUP($A748,库存台账!$A$5:$Y$1204,24,0),0))</f>
        <v/>
      </c>
      <c r="M748" s="26">
        <f>IF($A748="","",IFERROR(VLOOKUP($A748,库存台账!$A$5:$Y$1204,25,0),0))</f>
        <v/>
      </c>
      <c r="N748" s="19">
        <f>IF($A748="","",IFERROR(LOOKUP(2,1/((出库单!$D$4:$D$4003=$A748)*(出库单!$T$4:$T$4003="正常")),出库单!$C$4:$C$4003),""))</f>
        <v/>
      </c>
      <c r="O748" s="28">
        <f>IF($A748="","",IF($L748&lt;=0,"",IF($N748="",IFERROR(账期止-LOOKUP(2,1/(入库单!$G$4:$G$2503=$A748),入库单!$C$4:$C$2503),""),账期止-$N748)))</f>
        <v/>
      </c>
      <c r="P748" s="17" t="n"/>
    </row>
    <row r="749">
      <c r="A749" s="17" t="inlineStr">
        <is>
          <t>JH0746</t>
        </is>
      </c>
      <c r="B749" s="17" t="inlineStr">
        <is>
          <t>劳保用品</t>
        </is>
      </c>
      <c r="C749" s="17" t="inlineStr">
        <is>
          <t>电工绝缘手套</t>
        </is>
      </c>
      <c r="D749" s="17" t="inlineStr"/>
      <c r="E749" s="17" t="inlineStr">
        <is>
          <t>副</t>
        </is>
      </c>
      <c r="F749" s="17" t="inlineStr">
        <is>
          <t>否</t>
        </is>
      </c>
      <c r="G749" s="23" t="n"/>
      <c r="H749" s="24">
        <f>IF($A749="","",IFERROR(LOOKUP(2,1/((入库单!$G$4:$G$2503=$A749)*(入库单!$Y$4:$Y$2503="正常")*(入库单!$L$4:$L$2503&gt;0)),入库单!$D$4:$D$2503),""))</f>
        <v/>
      </c>
      <c r="I749" s="25">
        <f>IF($A749="","",IFERROR(LOOKUP(2,1/((入库单!$G$4:$G$2503=$A749)*(入库单!$Y$4:$Y$2503="正常")*(入库单!$L$4:$L$2503&gt;0)),入库单!$L$4:$L$2503),0))</f>
        <v/>
      </c>
      <c r="J749" s="26">
        <f>IF($A749="","",IF($H749="A国内",ROUND($I749*倍数A*汇率,0),IF($H749="B当地",ROUND($I749*系数B,0),0)))</f>
        <v/>
      </c>
      <c r="K749" s="24">
        <f>IF($A749="","",IF(COUNTIFS(入库单!$G$4:$G$2503,$A749,入库单!$X$4:$X$2503,"待补价")&gt;0,"待补价",IF(COUNTIFS(入库单!$G$4:$G$2503,$A749,入库单!$X$4:$X$2503,"暂估")&gt;0,"暂估",IF($I749=0,"没有进价","正常"))))</f>
        <v/>
      </c>
      <c r="L749" s="27">
        <f>IF($A749="","",IFERROR(VLOOKUP($A749,库存台账!$A$5:$Y$1204,24,0),0))</f>
        <v/>
      </c>
      <c r="M749" s="26">
        <f>IF($A749="","",IFERROR(VLOOKUP($A749,库存台账!$A$5:$Y$1204,25,0),0))</f>
        <v/>
      </c>
      <c r="N749" s="19">
        <f>IF($A749="","",IFERROR(LOOKUP(2,1/((出库单!$D$4:$D$4003=$A749)*(出库单!$T$4:$T$4003="正常")),出库单!$C$4:$C$4003),""))</f>
        <v/>
      </c>
      <c r="O749" s="28">
        <f>IF($A749="","",IF($L749&lt;=0,"",IF($N749="",IFERROR(账期止-LOOKUP(2,1/(入库单!$G$4:$G$2503=$A749),入库单!$C$4:$C$2503),""),账期止-$N749)))</f>
        <v/>
      </c>
      <c r="P749" s="17" t="n"/>
    </row>
    <row r="750">
      <c r="A750" s="17" t="inlineStr">
        <is>
          <t>JH0747</t>
        </is>
      </c>
      <c r="B750" s="17" t="inlineStr">
        <is>
          <t>劳保用品</t>
        </is>
      </c>
      <c r="C750" s="17" t="inlineStr">
        <is>
          <t>电工绝缘鞋</t>
        </is>
      </c>
      <c r="D750" s="17" t="inlineStr">
        <is>
          <t>41.42.43码各3双</t>
        </is>
      </c>
      <c r="E750" s="17" t="inlineStr">
        <is>
          <t>双</t>
        </is>
      </c>
      <c r="F750" s="17" t="inlineStr">
        <is>
          <t>否</t>
        </is>
      </c>
      <c r="G750" s="23" t="n"/>
      <c r="H750" s="24">
        <f>IF($A750="","",IFERROR(LOOKUP(2,1/((入库单!$G$4:$G$2503=$A750)*(入库单!$Y$4:$Y$2503="正常")*(入库单!$L$4:$L$2503&gt;0)),入库单!$D$4:$D$2503),""))</f>
        <v/>
      </c>
      <c r="I750" s="25">
        <f>IF($A750="","",IFERROR(LOOKUP(2,1/((入库单!$G$4:$G$2503=$A750)*(入库单!$Y$4:$Y$2503="正常")*(入库单!$L$4:$L$2503&gt;0)),入库单!$L$4:$L$2503),0))</f>
        <v/>
      </c>
      <c r="J750" s="26">
        <f>IF($A750="","",IF($H750="A国内",ROUND($I750*倍数A*汇率,0),IF($H750="B当地",ROUND($I750*系数B,0),0)))</f>
        <v/>
      </c>
      <c r="K750" s="24">
        <f>IF($A750="","",IF(COUNTIFS(入库单!$G$4:$G$2503,$A750,入库单!$X$4:$X$2503,"待补价")&gt;0,"待补价",IF(COUNTIFS(入库单!$G$4:$G$2503,$A750,入库单!$X$4:$X$2503,"暂估")&gt;0,"暂估",IF($I750=0,"没有进价","正常"))))</f>
        <v/>
      </c>
      <c r="L750" s="27">
        <f>IF($A750="","",IFERROR(VLOOKUP($A750,库存台账!$A$5:$Y$1204,24,0),0))</f>
        <v/>
      </c>
      <c r="M750" s="26">
        <f>IF($A750="","",IFERROR(VLOOKUP($A750,库存台账!$A$5:$Y$1204,25,0),0))</f>
        <v/>
      </c>
      <c r="N750" s="19">
        <f>IF($A750="","",IFERROR(LOOKUP(2,1/((出库单!$D$4:$D$4003=$A750)*(出库单!$T$4:$T$4003="正常")),出库单!$C$4:$C$4003),""))</f>
        <v/>
      </c>
      <c r="O750" s="28">
        <f>IF($A750="","",IF($L750&lt;=0,"",IF($N750="",IFERROR(账期止-LOOKUP(2,1/(入库单!$G$4:$G$2503=$A750),入库单!$C$4:$C$2503),""),账期止-$N750)))</f>
        <v/>
      </c>
      <c r="P750" s="17" t="n"/>
    </row>
    <row r="751">
      <c r="A751" s="17" t="inlineStr">
        <is>
          <t>JH0748</t>
        </is>
      </c>
      <c r="B751" s="17" t="inlineStr">
        <is>
          <t>劳保用品</t>
        </is>
      </c>
      <c r="C751" s="17" t="inlineStr">
        <is>
          <t>焊工翻毛防护鞋</t>
        </is>
      </c>
      <c r="D751" s="17" t="inlineStr">
        <is>
          <t>44码</t>
        </is>
      </c>
      <c r="E751" s="17" t="inlineStr">
        <is>
          <t>双</t>
        </is>
      </c>
      <c r="F751" s="17" t="inlineStr">
        <is>
          <t>否</t>
        </is>
      </c>
      <c r="G751" s="23" t="n"/>
      <c r="H751" s="24">
        <f>IF($A751="","",IFERROR(LOOKUP(2,1/((入库单!$G$4:$G$2503=$A751)*(入库单!$Y$4:$Y$2503="正常")*(入库单!$L$4:$L$2503&gt;0)),入库单!$D$4:$D$2503),""))</f>
        <v/>
      </c>
      <c r="I751" s="25">
        <f>IF($A751="","",IFERROR(LOOKUP(2,1/((入库单!$G$4:$G$2503=$A751)*(入库单!$Y$4:$Y$2503="正常")*(入库单!$L$4:$L$2503&gt;0)),入库单!$L$4:$L$2503),0))</f>
        <v/>
      </c>
      <c r="J751" s="26">
        <f>IF($A751="","",IF($H751="A国内",ROUND($I751*倍数A*汇率,0),IF($H751="B当地",ROUND($I751*系数B,0),0)))</f>
        <v/>
      </c>
      <c r="K751" s="24">
        <f>IF($A751="","",IF(COUNTIFS(入库单!$G$4:$G$2503,$A751,入库单!$X$4:$X$2503,"待补价")&gt;0,"待补价",IF(COUNTIFS(入库单!$G$4:$G$2503,$A751,入库单!$X$4:$X$2503,"暂估")&gt;0,"暂估",IF($I751=0,"没有进价","正常"))))</f>
        <v/>
      </c>
      <c r="L751" s="27">
        <f>IF($A751="","",IFERROR(VLOOKUP($A751,库存台账!$A$5:$Y$1204,24,0),0))</f>
        <v/>
      </c>
      <c r="M751" s="26">
        <f>IF($A751="","",IFERROR(VLOOKUP($A751,库存台账!$A$5:$Y$1204,25,0),0))</f>
        <v/>
      </c>
      <c r="N751" s="19">
        <f>IF($A751="","",IFERROR(LOOKUP(2,1/((出库单!$D$4:$D$4003=$A751)*(出库单!$T$4:$T$4003="正常")),出库单!$C$4:$C$4003),""))</f>
        <v/>
      </c>
      <c r="O751" s="28">
        <f>IF($A751="","",IF($L751&lt;=0,"",IF($N751="",IFERROR(账期止-LOOKUP(2,1/(入库单!$G$4:$G$2503=$A751),入库单!$C$4:$C$2503),""),账期止-$N751)))</f>
        <v/>
      </c>
      <c r="P751" s="17" t="n"/>
    </row>
    <row r="752">
      <c r="A752" s="17" t="inlineStr">
        <is>
          <t>JH0749</t>
        </is>
      </c>
      <c r="B752" s="17" t="inlineStr">
        <is>
          <t>机械配件</t>
        </is>
      </c>
      <c r="C752" s="17" t="inlineStr">
        <is>
          <t>上海弗列加fs1212</t>
        </is>
      </c>
      <c r="D752" s="17" t="inlineStr"/>
      <c r="E752" s="17" t="inlineStr">
        <is>
          <t>个</t>
        </is>
      </c>
      <c r="F752" s="17" t="inlineStr">
        <is>
          <t>否</t>
        </is>
      </c>
      <c r="G752" s="23" t="n"/>
      <c r="H752" s="24">
        <f>IF($A752="","",IFERROR(LOOKUP(2,1/((入库单!$G$4:$G$2503=$A752)*(入库单!$Y$4:$Y$2503="正常")*(入库单!$L$4:$L$2503&gt;0)),入库单!$D$4:$D$2503),""))</f>
        <v/>
      </c>
      <c r="I752" s="25">
        <f>IF($A752="","",IFERROR(LOOKUP(2,1/((入库单!$G$4:$G$2503=$A752)*(入库单!$Y$4:$Y$2503="正常")*(入库单!$L$4:$L$2503&gt;0)),入库单!$L$4:$L$2503),0))</f>
        <v/>
      </c>
      <c r="J752" s="26">
        <f>IF($A752="","",IF($H752="A国内",ROUND($I752*倍数A*汇率,0),IF($H752="B当地",ROUND($I752*系数B,0),0)))</f>
        <v/>
      </c>
      <c r="K752" s="24">
        <f>IF($A752="","",IF(COUNTIFS(入库单!$G$4:$G$2503,$A752,入库单!$X$4:$X$2503,"待补价")&gt;0,"待补价",IF(COUNTIFS(入库单!$G$4:$G$2503,$A752,入库单!$X$4:$X$2503,"暂估")&gt;0,"暂估",IF($I752=0,"没有进价","正常"))))</f>
        <v/>
      </c>
      <c r="L752" s="27">
        <f>IF($A752="","",IFERROR(VLOOKUP($A752,库存台账!$A$5:$Y$1204,24,0),0))</f>
        <v/>
      </c>
      <c r="M752" s="26">
        <f>IF($A752="","",IFERROR(VLOOKUP($A752,库存台账!$A$5:$Y$1204,25,0),0))</f>
        <v/>
      </c>
      <c r="N752" s="19">
        <f>IF($A752="","",IFERROR(LOOKUP(2,1/((出库单!$D$4:$D$4003=$A752)*(出库单!$T$4:$T$4003="正常")),出库单!$C$4:$C$4003),""))</f>
        <v/>
      </c>
      <c r="O752" s="28">
        <f>IF($A752="","",IF($L752&lt;=0,"",IF($N752="",IFERROR(账期止-LOOKUP(2,1/(入库单!$G$4:$G$2503=$A752),入库单!$C$4:$C$2503),""),账期止-$N752)))</f>
        <v/>
      </c>
      <c r="P752" s="17" t="n"/>
    </row>
    <row r="753">
      <c r="A753" s="17" t="inlineStr">
        <is>
          <t>JH0750</t>
        </is>
      </c>
      <c r="B753" s="17" t="inlineStr">
        <is>
          <t>机械配件</t>
        </is>
      </c>
      <c r="C753" s="17" t="inlineStr">
        <is>
          <t>上海弗列加LF9009</t>
        </is>
      </c>
      <c r="D753" s="17" t="inlineStr"/>
      <c r="E753" s="17" t="inlineStr">
        <is>
          <t>个</t>
        </is>
      </c>
      <c r="F753" s="17" t="inlineStr">
        <is>
          <t>否</t>
        </is>
      </c>
      <c r="G753" s="23" t="n"/>
      <c r="H753" s="24">
        <f>IF($A753="","",IFERROR(LOOKUP(2,1/((入库单!$G$4:$G$2503=$A753)*(入库单!$Y$4:$Y$2503="正常")*(入库单!$L$4:$L$2503&gt;0)),入库单!$D$4:$D$2503),""))</f>
        <v/>
      </c>
      <c r="I753" s="25">
        <f>IF($A753="","",IFERROR(LOOKUP(2,1/((入库单!$G$4:$G$2503=$A753)*(入库单!$Y$4:$Y$2503="正常")*(入库单!$L$4:$L$2503&gt;0)),入库单!$L$4:$L$2503),0))</f>
        <v/>
      </c>
      <c r="J753" s="26">
        <f>IF($A753="","",IF($H753="A国内",ROUND($I753*倍数A*汇率,0),IF($H753="B当地",ROUND($I753*系数B,0),0)))</f>
        <v/>
      </c>
      <c r="K753" s="24">
        <f>IF($A753="","",IF(COUNTIFS(入库单!$G$4:$G$2503,$A753,入库单!$X$4:$X$2503,"待补价")&gt;0,"待补价",IF(COUNTIFS(入库单!$G$4:$G$2503,$A753,入库单!$X$4:$X$2503,"暂估")&gt;0,"暂估",IF($I753=0,"没有进价","正常"))))</f>
        <v/>
      </c>
      <c r="L753" s="27">
        <f>IF($A753="","",IFERROR(VLOOKUP($A753,库存台账!$A$5:$Y$1204,24,0),0))</f>
        <v/>
      </c>
      <c r="M753" s="26">
        <f>IF($A753="","",IFERROR(VLOOKUP($A753,库存台账!$A$5:$Y$1204,25,0),0))</f>
        <v/>
      </c>
      <c r="N753" s="19">
        <f>IF($A753="","",IFERROR(LOOKUP(2,1/((出库单!$D$4:$D$4003=$A753)*(出库单!$T$4:$T$4003="正常")),出库单!$C$4:$C$4003),""))</f>
        <v/>
      </c>
      <c r="O753" s="28">
        <f>IF($A753="","",IF($L753&lt;=0,"",IF($N753="",IFERROR(账期止-LOOKUP(2,1/(入库单!$G$4:$G$2503=$A753),入库单!$C$4:$C$2503),""),账期止-$N753)))</f>
        <v/>
      </c>
      <c r="P753" s="17" t="n"/>
    </row>
    <row r="754">
      <c r="A754" s="17" t="inlineStr">
        <is>
          <t>JH0751</t>
        </is>
      </c>
      <c r="B754" s="17" t="inlineStr">
        <is>
          <t>机械配件</t>
        </is>
      </c>
      <c r="C754" s="17" t="inlineStr">
        <is>
          <t>上海弗列加WF2075/3100308</t>
        </is>
      </c>
      <c r="D754" s="17" t="inlineStr"/>
      <c r="E754" s="17" t="inlineStr">
        <is>
          <t>个</t>
        </is>
      </c>
      <c r="F754" s="17" t="inlineStr">
        <is>
          <t>否</t>
        </is>
      </c>
      <c r="G754" s="23" t="n"/>
      <c r="H754" s="24">
        <f>IF($A754="","",IFERROR(LOOKUP(2,1/((入库单!$G$4:$G$2503=$A754)*(入库单!$Y$4:$Y$2503="正常")*(入库单!$L$4:$L$2503&gt;0)),入库单!$D$4:$D$2503),""))</f>
        <v/>
      </c>
      <c r="I754" s="25">
        <f>IF($A754="","",IFERROR(LOOKUP(2,1/((入库单!$G$4:$G$2503=$A754)*(入库单!$Y$4:$Y$2503="正常")*(入库单!$L$4:$L$2503&gt;0)),入库单!$L$4:$L$2503),0))</f>
        <v/>
      </c>
      <c r="J754" s="26">
        <f>IF($A754="","",IF($H754="A国内",ROUND($I754*倍数A*汇率,0),IF($H754="B当地",ROUND($I754*系数B,0),0)))</f>
        <v/>
      </c>
      <c r="K754" s="24">
        <f>IF($A754="","",IF(COUNTIFS(入库单!$G$4:$G$2503,$A754,入库单!$X$4:$X$2503,"待补价")&gt;0,"待补价",IF(COUNTIFS(入库单!$G$4:$G$2503,$A754,入库单!$X$4:$X$2503,"暂估")&gt;0,"暂估",IF($I754=0,"没有进价","正常"))))</f>
        <v/>
      </c>
      <c r="L754" s="27">
        <f>IF($A754="","",IFERROR(VLOOKUP($A754,库存台账!$A$5:$Y$1204,24,0),0))</f>
        <v/>
      </c>
      <c r="M754" s="26">
        <f>IF($A754="","",IFERROR(VLOOKUP($A754,库存台账!$A$5:$Y$1204,25,0),0))</f>
        <v/>
      </c>
      <c r="N754" s="19">
        <f>IF($A754="","",IFERROR(LOOKUP(2,1/((出库单!$D$4:$D$4003=$A754)*(出库单!$T$4:$T$4003="正常")),出库单!$C$4:$C$4003),""))</f>
        <v/>
      </c>
      <c r="O754" s="28">
        <f>IF($A754="","",IF($L754&lt;=0,"",IF($N754="",IFERROR(账期止-LOOKUP(2,1/(入库单!$G$4:$G$2503=$A754),入库单!$C$4:$C$2503),""),账期止-$N754)))</f>
        <v/>
      </c>
      <c r="P754" s="17" t="n"/>
    </row>
    <row r="755">
      <c r="A755" s="17" t="inlineStr">
        <is>
          <t>JH0752</t>
        </is>
      </c>
      <c r="B755" s="17" t="inlineStr">
        <is>
          <t>机械配件</t>
        </is>
      </c>
      <c r="C755" s="17" t="inlineStr">
        <is>
          <t>空滤235</t>
        </is>
      </c>
      <c r="D755" s="17" t="inlineStr"/>
      <c r="E755" s="17" t="inlineStr">
        <is>
          <t>个</t>
        </is>
      </c>
      <c r="F755" s="17" t="inlineStr">
        <is>
          <t>否</t>
        </is>
      </c>
      <c r="G755" s="23" t="n"/>
      <c r="H755" s="24">
        <f>IF($A755="","",IFERROR(LOOKUP(2,1/((入库单!$G$4:$G$2503=$A755)*(入库单!$Y$4:$Y$2503="正常")*(入库单!$L$4:$L$2503&gt;0)),入库单!$D$4:$D$2503),""))</f>
        <v/>
      </c>
      <c r="I755" s="25">
        <f>IF($A755="","",IFERROR(LOOKUP(2,1/((入库单!$G$4:$G$2503=$A755)*(入库单!$Y$4:$Y$2503="正常")*(入库单!$L$4:$L$2503&gt;0)),入库单!$L$4:$L$2503),0))</f>
        <v/>
      </c>
      <c r="J755" s="26">
        <f>IF($A755="","",IF($H755="A国内",ROUND($I755*倍数A*汇率,0),IF($H755="B当地",ROUND($I755*系数B,0),0)))</f>
        <v/>
      </c>
      <c r="K755" s="24">
        <f>IF($A755="","",IF(COUNTIFS(入库单!$G$4:$G$2503,$A755,入库单!$X$4:$X$2503,"待补价")&gt;0,"待补价",IF(COUNTIFS(入库单!$G$4:$G$2503,$A755,入库单!$X$4:$X$2503,"暂估")&gt;0,"暂估",IF($I755=0,"没有进价","正常"))))</f>
        <v/>
      </c>
      <c r="L755" s="27">
        <f>IF($A755="","",IFERROR(VLOOKUP($A755,库存台账!$A$5:$Y$1204,24,0),0))</f>
        <v/>
      </c>
      <c r="M755" s="26">
        <f>IF($A755="","",IFERROR(VLOOKUP($A755,库存台账!$A$5:$Y$1204,25,0),0))</f>
        <v/>
      </c>
      <c r="N755" s="19">
        <f>IF($A755="","",IFERROR(LOOKUP(2,1/((出库单!$D$4:$D$4003=$A755)*(出库单!$T$4:$T$4003="正常")),出库单!$C$4:$C$4003),""))</f>
        <v/>
      </c>
      <c r="O755" s="28">
        <f>IF($A755="","",IF($L755&lt;=0,"",IF($N755="",IFERROR(账期止-LOOKUP(2,1/(入库单!$G$4:$G$2503=$A755),入库单!$C$4:$C$2503),""),账期止-$N755)))</f>
        <v/>
      </c>
      <c r="P755" s="17" t="n"/>
    </row>
    <row r="756">
      <c r="A756" s="17" t="inlineStr">
        <is>
          <t>JH0753</t>
        </is>
      </c>
      <c r="B756" s="17" t="inlineStr">
        <is>
          <t>机械配件</t>
        </is>
      </c>
      <c r="C756" s="17" t="inlineStr">
        <is>
          <t>上海弗列加LF3349</t>
        </is>
      </c>
      <c r="D756" s="17" t="inlineStr"/>
      <c r="E756" s="17" t="inlineStr">
        <is>
          <t>个</t>
        </is>
      </c>
      <c r="F756" s="17" t="inlineStr">
        <is>
          <t>否</t>
        </is>
      </c>
      <c r="G756" s="23" t="n"/>
      <c r="H756" s="24">
        <f>IF($A756="","",IFERROR(LOOKUP(2,1/((入库单!$G$4:$G$2503=$A756)*(入库单!$Y$4:$Y$2503="正常")*(入库单!$L$4:$L$2503&gt;0)),入库单!$D$4:$D$2503),""))</f>
        <v/>
      </c>
      <c r="I756" s="25">
        <f>IF($A756="","",IFERROR(LOOKUP(2,1/((入库单!$G$4:$G$2503=$A756)*(入库单!$Y$4:$Y$2503="正常")*(入库单!$L$4:$L$2503&gt;0)),入库单!$L$4:$L$2503),0))</f>
        <v/>
      </c>
      <c r="J756" s="26">
        <f>IF($A756="","",IF($H756="A国内",ROUND($I756*倍数A*汇率,0),IF($H756="B当地",ROUND($I756*系数B,0),0)))</f>
        <v/>
      </c>
      <c r="K756" s="24">
        <f>IF($A756="","",IF(COUNTIFS(入库单!$G$4:$G$2503,$A756,入库单!$X$4:$X$2503,"待补价")&gt;0,"待补价",IF(COUNTIFS(入库单!$G$4:$G$2503,$A756,入库单!$X$4:$X$2503,"暂估")&gt;0,"暂估",IF($I756=0,"没有进价","正常"))))</f>
        <v/>
      </c>
      <c r="L756" s="27">
        <f>IF($A756="","",IFERROR(VLOOKUP($A756,库存台账!$A$5:$Y$1204,24,0),0))</f>
        <v/>
      </c>
      <c r="M756" s="26">
        <f>IF($A756="","",IFERROR(VLOOKUP($A756,库存台账!$A$5:$Y$1204,25,0),0))</f>
        <v/>
      </c>
      <c r="N756" s="19">
        <f>IF($A756="","",IFERROR(LOOKUP(2,1/((出库单!$D$4:$D$4003=$A756)*(出库单!$T$4:$T$4003="正常")),出库单!$C$4:$C$4003),""))</f>
        <v/>
      </c>
      <c r="O756" s="28">
        <f>IF($A756="","",IF($L756&lt;=0,"",IF($N756="",IFERROR(账期止-LOOKUP(2,1/(入库单!$G$4:$G$2503=$A756),入库单!$C$4:$C$2503),""),账期止-$N756)))</f>
        <v/>
      </c>
      <c r="P756" s="17" t="n"/>
    </row>
    <row r="757">
      <c r="A757" s="17" t="inlineStr">
        <is>
          <t>JH0754</t>
        </is>
      </c>
      <c r="B757" s="17" t="inlineStr">
        <is>
          <t>机械配件</t>
        </is>
      </c>
      <c r="C757" s="17" t="inlineStr">
        <is>
          <t>上海弗列加FF5052</t>
        </is>
      </c>
      <c r="D757" s="17" t="inlineStr"/>
      <c r="E757" s="17" t="inlineStr">
        <is>
          <t>个</t>
        </is>
      </c>
      <c r="F757" s="17" t="inlineStr">
        <is>
          <t>否</t>
        </is>
      </c>
      <c r="G757" s="23" t="n"/>
      <c r="H757" s="24">
        <f>IF($A757="","",IFERROR(LOOKUP(2,1/((入库单!$G$4:$G$2503=$A757)*(入库单!$Y$4:$Y$2503="正常")*(入库单!$L$4:$L$2503&gt;0)),入库单!$D$4:$D$2503),""))</f>
        <v/>
      </c>
      <c r="I757" s="25">
        <f>IF($A757="","",IFERROR(LOOKUP(2,1/((入库单!$G$4:$G$2503=$A757)*(入库单!$Y$4:$Y$2503="正常")*(入库单!$L$4:$L$2503&gt;0)),入库单!$L$4:$L$2503),0))</f>
        <v/>
      </c>
      <c r="J757" s="26">
        <f>IF($A757="","",IF($H757="A国内",ROUND($I757*倍数A*汇率,0),IF($H757="B当地",ROUND($I757*系数B,0),0)))</f>
        <v/>
      </c>
      <c r="K757" s="24">
        <f>IF($A757="","",IF(COUNTIFS(入库单!$G$4:$G$2503,$A757,入库单!$X$4:$X$2503,"待补价")&gt;0,"待补价",IF(COUNTIFS(入库单!$G$4:$G$2503,$A757,入库单!$X$4:$X$2503,"暂估")&gt;0,"暂估",IF($I757=0,"没有进价","正常"))))</f>
        <v/>
      </c>
      <c r="L757" s="27">
        <f>IF($A757="","",IFERROR(VLOOKUP($A757,库存台账!$A$5:$Y$1204,24,0),0))</f>
        <v/>
      </c>
      <c r="M757" s="26">
        <f>IF($A757="","",IFERROR(VLOOKUP($A757,库存台账!$A$5:$Y$1204,25,0),0))</f>
        <v/>
      </c>
      <c r="N757" s="19">
        <f>IF($A757="","",IFERROR(LOOKUP(2,1/((出库单!$D$4:$D$4003=$A757)*(出库单!$T$4:$T$4003="正常")),出库单!$C$4:$C$4003),""))</f>
        <v/>
      </c>
      <c r="O757" s="28">
        <f>IF($A757="","",IF($L757&lt;=0,"",IF($N757="",IFERROR(账期止-LOOKUP(2,1/(入库单!$G$4:$G$2503=$A757),入库单!$C$4:$C$2503),""),账期止-$N757)))</f>
        <v/>
      </c>
      <c r="P757" s="17" t="n"/>
    </row>
    <row r="758">
      <c r="A758" s="17" t="inlineStr">
        <is>
          <t>JH0755</t>
        </is>
      </c>
      <c r="B758" s="17" t="inlineStr">
        <is>
          <t>机械配件</t>
        </is>
      </c>
      <c r="C758" s="17" t="inlineStr">
        <is>
          <t>（潍柴）滤芯（13055724）</t>
        </is>
      </c>
      <c r="D758" s="17" t="inlineStr"/>
      <c r="E758" s="17" t="inlineStr">
        <is>
          <t>个</t>
        </is>
      </c>
      <c r="F758" s="17" t="inlineStr">
        <is>
          <t>否</t>
        </is>
      </c>
      <c r="G758" s="23" t="n"/>
      <c r="H758" s="24">
        <f>IF($A758="","",IFERROR(LOOKUP(2,1/((入库单!$G$4:$G$2503=$A758)*(入库单!$Y$4:$Y$2503="正常")*(入库单!$L$4:$L$2503&gt;0)),入库单!$D$4:$D$2503),""))</f>
        <v/>
      </c>
      <c r="I758" s="25">
        <f>IF($A758="","",IFERROR(LOOKUP(2,1/((入库单!$G$4:$G$2503=$A758)*(入库单!$Y$4:$Y$2503="正常")*(入库单!$L$4:$L$2503&gt;0)),入库单!$L$4:$L$2503),0))</f>
        <v/>
      </c>
      <c r="J758" s="26">
        <f>IF($A758="","",IF($H758="A国内",ROUND($I758*倍数A*汇率,0),IF($H758="B当地",ROUND($I758*系数B,0),0)))</f>
        <v/>
      </c>
      <c r="K758" s="24">
        <f>IF($A758="","",IF(COUNTIFS(入库单!$G$4:$G$2503,$A758,入库单!$X$4:$X$2503,"待补价")&gt;0,"待补价",IF(COUNTIFS(入库单!$G$4:$G$2503,$A758,入库单!$X$4:$X$2503,"暂估")&gt;0,"暂估",IF($I758=0,"没有进价","正常"))))</f>
        <v/>
      </c>
      <c r="L758" s="27">
        <f>IF($A758="","",IFERROR(VLOOKUP($A758,库存台账!$A$5:$Y$1204,24,0),0))</f>
        <v/>
      </c>
      <c r="M758" s="26">
        <f>IF($A758="","",IFERROR(VLOOKUP($A758,库存台账!$A$5:$Y$1204,25,0),0))</f>
        <v/>
      </c>
      <c r="N758" s="19">
        <f>IF($A758="","",IFERROR(LOOKUP(2,1/((出库单!$D$4:$D$4003=$A758)*(出库单!$T$4:$T$4003="正常")),出库单!$C$4:$C$4003),""))</f>
        <v/>
      </c>
      <c r="O758" s="28">
        <f>IF($A758="","",IF($L758&lt;=0,"",IF($N758="",IFERROR(账期止-LOOKUP(2,1/(入库单!$G$4:$G$2503=$A758),入库单!$C$4:$C$2503),""),账期止-$N758)))</f>
        <v/>
      </c>
      <c r="P758" s="17" t="n"/>
    </row>
    <row r="759">
      <c r="A759" s="17" t="inlineStr">
        <is>
          <t>JH0756</t>
        </is>
      </c>
      <c r="B759" s="17" t="inlineStr">
        <is>
          <t>机械配件</t>
        </is>
      </c>
      <c r="C759" s="17" t="inlineStr">
        <is>
          <t>（潍柴）燃油滤清器滤芯（1000816691）</t>
        </is>
      </c>
      <c r="D759" s="17" t="inlineStr"/>
      <c r="E759" s="17" t="inlineStr">
        <is>
          <t>个</t>
        </is>
      </c>
      <c r="F759" s="17" t="inlineStr">
        <is>
          <t>否</t>
        </is>
      </c>
      <c r="G759" s="23" t="n"/>
      <c r="H759" s="24">
        <f>IF($A759="","",IFERROR(LOOKUP(2,1/((入库单!$G$4:$G$2503=$A759)*(入库单!$Y$4:$Y$2503="正常")*(入库单!$L$4:$L$2503&gt;0)),入库单!$D$4:$D$2503),""))</f>
        <v/>
      </c>
      <c r="I759" s="25">
        <f>IF($A759="","",IFERROR(LOOKUP(2,1/((入库单!$G$4:$G$2503=$A759)*(入库单!$Y$4:$Y$2503="正常")*(入库单!$L$4:$L$2503&gt;0)),入库单!$L$4:$L$2503),0))</f>
        <v/>
      </c>
      <c r="J759" s="26">
        <f>IF($A759="","",IF($H759="A国内",ROUND($I759*倍数A*汇率,0),IF($H759="B当地",ROUND($I759*系数B,0),0)))</f>
        <v/>
      </c>
      <c r="K759" s="24">
        <f>IF($A759="","",IF(COUNTIFS(入库单!$G$4:$G$2503,$A759,入库单!$X$4:$X$2503,"待补价")&gt;0,"待补价",IF(COUNTIFS(入库单!$G$4:$G$2503,$A759,入库单!$X$4:$X$2503,"暂估")&gt;0,"暂估",IF($I759=0,"没有进价","正常"))))</f>
        <v/>
      </c>
      <c r="L759" s="27">
        <f>IF($A759="","",IFERROR(VLOOKUP($A759,库存台账!$A$5:$Y$1204,24,0),0))</f>
        <v/>
      </c>
      <c r="M759" s="26">
        <f>IF($A759="","",IFERROR(VLOOKUP($A759,库存台账!$A$5:$Y$1204,25,0),0))</f>
        <v/>
      </c>
      <c r="N759" s="19">
        <f>IF($A759="","",IFERROR(LOOKUP(2,1/((出库单!$D$4:$D$4003=$A759)*(出库单!$T$4:$T$4003="正常")),出库单!$C$4:$C$4003),""))</f>
        <v/>
      </c>
      <c r="O759" s="28">
        <f>IF($A759="","",IF($L759&lt;=0,"",IF($N759="",IFERROR(账期止-LOOKUP(2,1/(入库单!$G$4:$G$2503=$A759),入库单!$C$4:$C$2503),""),账期止-$N759)))</f>
        <v/>
      </c>
      <c r="P759" s="17" t="n"/>
    </row>
    <row r="760">
      <c r="A760" s="17" t="inlineStr">
        <is>
          <t>JH0757</t>
        </is>
      </c>
      <c r="B760" s="17" t="inlineStr">
        <is>
          <t>机械配件</t>
        </is>
      </c>
      <c r="C760" s="17" t="inlineStr">
        <is>
          <t>（潍柴）空气滤清器（13058098）</t>
        </is>
      </c>
      <c r="D760" s="17" t="inlineStr"/>
      <c r="E760" s="17" t="inlineStr">
        <is>
          <t>个</t>
        </is>
      </c>
      <c r="F760" s="17" t="inlineStr">
        <is>
          <t>否</t>
        </is>
      </c>
      <c r="G760" s="23" t="n"/>
      <c r="H760" s="24">
        <f>IF($A760="","",IFERROR(LOOKUP(2,1/((入库单!$G$4:$G$2503=$A760)*(入库单!$Y$4:$Y$2503="正常")*(入库单!$L$4:$L$2503&gt;0)),入库单!$D$4:$D$2503),""))</f>
        <v/>
      </c>
      <c r="I760" s="25">
        <f>IF($A760="","",IFERROR(LOOKUP(2,1/((入库单!$G$4:$G$2503=$A760)*(入库单!$Y$4:$Y$2503="正常")*(入库单!$L$4:$L$2503&gt;0)),入库单!$L$4:$L$2503),0))</f>
        <v/>
      </c>
      <c r="J760" s="26">
        <f>IF($A760="","",IF($H760="A国内",ROUND($I760*倍数A*汇率,0),IF($H760="B当地",ROUND($I760*系数B,0),0)))</f>
        <v/>
      </c>
      <c r="K760" s="24">
        <f>IF($A760="","",IF(COUNTIFS(入库单!$G$4:$G$2503,$A760,入库单!$X$4:$X$2503,"待补价")&gt;0,"待补价",IF(COUNTIFS(入库单!$G$4:$G$2503,$A760,入库单!$X$4:$X$2503,"暂估")&gt;0,"暂估",IF($I760=0,"没有进价","正常"))))</f>
        <v/>
      </c>
      <c r="L760" s="27">
        <f>IF($A760="","",IFERROR(VLOOKUP($A760,库存台账!$A$5:$Y$1204,24,0),0))</f>
        <v/>
      </c>
      <c r="M760" s="26">
        <f>IF($A760="","",IFERROR(VLOOKUP($A760,库存台账!$A$5:$Y$1204,25,0),0))</f>
        <v/>
      </c>
      <c r="N760" s="19">
        <f>IF($A760="","",IFERROR(LOOKUP(2,1/((出库单!$D$4:$D$4003=$A760)*(出库单!$T$4:$T$4003="正常")),出库单!$C$4:$C$4003),""))</f>
        <v/>
      </c>
      <c r="O760" s="28">
        <f>IF($A760="","",IF($L760&lt;=0,"",IF($N760="",IFERROR(账期止-LOOKUP(2,1/(入库单!$G$4:$G$2503=$A760),入库单!$C$4:$C$2503),""),账期止-$N760)))</f>
        <v/>
      </c>
      <c r="P760" s="17" t="n"/>
    </row>
    <row r="761">
      <c r="A761" s="17" t="inlineStr">
        <is>
          <t>JH0758</t>
        </is>
      </c>
      <c r="B761" s="17" t="inlineStr">
        <is>
          <t>油料</t>
        </is>
      </c>
      <c r="C761" s="17" t="inlineStr">
        <is>
          <t>中临机油滤芯器（JX08108）</t>
        </is>
      </c>
      <c r="D761" s="17" t="inlineStr"/>
      <c r="E761" s="17" t="inlineStr">
        <is>
          <t>个</t>
        </is>
      </c>
      <c r="F761" s="17" t="inlineStr">
        <is>
          <t>是</t>
        </is>
      </c>
      <c r="G761" s="23" t="n"/>
      <c r="H761" s="24">
        <f>IF($A761="","",IFERROR(LOOKUP(2,1/((入库单!$G$4:$G$2503=$A761)*(入库单!$Y$4:$Y$2503="正常")*(入库单!$L$4:$L$2503&gt;0)),入库单!$D$4:$D$2503),""))</f>
        <v/>
      </c>
      <c r="I761" s="25">
        <f>IF($A761="","",IFERROR(LOOKUP(2,1/((入库单!$G$4:$G$2503=$A761)*(入库单!$Y$4:$Y$2503="正常")*(入库单!$L$4:$L$2503&gt;0)),入库单!$L$4:$L$2503),0))</f>
        <v/>
      </c>
      <c r="J761" s="26">
        <f>IF($A761="","",IF($H761="A国内",ROUND($I761*倍数A*汇率,0),IF($H761="B当地",ROUND($I761*系数B,0),0)))</f>
        <v/>
      </c>
      <c r="K761" s="24">
        <f>IF($A761="","",IF(COUNTIFS(入库单!$G$4:$G$2503,$A761,入库单!$X$4:$X$2503,"待补价")&gt;0,"待补价",IF(COUNTIFS(入库单!$G$4:$G$2503,$A761,入库单!$X$4:$X$2503,"暂估")&gt;0,"暂估",IF($I761=0,"没有进价","正常"))))</f>
        <v/>
      </c>
      <c r="L761" s="27">
        <f>IF($A761="","",IFERROR(VLOOKUP($A761,库存台账!$A$5:$Y$1204,24,0),0))</f>
        <v/>
      </c>
      <c r="M761" s="26">
        <f>IF($A761="","",IFERROR(VLOOKUP($A761,库存台账!$A$5:$Y$1204,25,0),0))</f>
        <v/>
      </c>
      <c r="N761" s="19">
        <f>IF($A761="","",IFERROR(LOOKUP(2,1/((出库单!$D$4:$D$4003=$A761)*(出库单!$T$4:$T$4003="正常")),出库单!$C$4:$C$4003),""))</f>
        <v/>
      </c>
      <c r="O761" s="28">
        <f>IF($A761="","",IF($L761&lt;=0,"",IF($N761="",IFERROR(账期止-LOOKUP(2,1/(入库单!$G$4:$G$2503=$A761),入库单!$C$4:$C$2503),""),账期止-$N761)))</f>
        <v/>
      </c>
      <c r="P761" s="17" t="n"/>
    </row>
    <row r="762">
      <c r="A762" s="17" t="inlineStr">
        <is>
          <t>JH0759</t>
        </is>
      </c>
      <c r="B762" s="17" t="inlineStr">
        <is>
          <t>机械配件</t>
        </is>
      </c>
      <c r="C762" s="17" t="inlineStr">
        <is>
          <t>立曼达空气滤清器（K2640）</t>
        </is>
      </c>
      <c r="D762" s="17" t="inlineStr"/>
      <c r="E762" s="17" t="inlineStr">
        <is>
          <t>个</t>
        </is>
      </c>
      <c r="F762" s="17" t="inlineStr">
        <is>
          <t>否</t>
        </is>
      </c>
      <c r="G762" s="23" t="n"/>
      <c r="H762" s="24">
        <f>IF($A762="","",IFERROR(LOOKUP(2,1/((入库单!$G$4:$G$2503=$A762)*(入库单!$Y$4:$Y$2503="正常")*(入库单!$L$4:$L$2503&gt;0)),入库单!$D$4:$D$2503),""))</f>
        <v/>
      </c>
      <c r="I762" s="25">
        <f>IF($A762="","",IFERROR(LOOKUP(2,1/((入库单!$G$4:$G$2503=$A762)*(入库单!$Y$4:$Y$2503="正常")*(入库单!$L$4:$L$2503&gt;0)),入库单!$L$4:$L$2503),0))</f>
        <v/>
      </c>
      <c r="J762" s="26">
        <f>IF($A762="","",IF($H762="A国内",ROUND($I762*倍数A*汇率,0),IF($H762="B当地",ROUND($I762*系数B,0),0)))</f>
        <v/>
      </c>
      <c r="K762" s="24">
        <f>IF($A762="","",IF(COUNTIFS(入库单!$G$4:$G$2503,$A762,入库单!$X$4:$X$2503,"待补价")&gt;0,"待补价",IF(COUNTIFS(入库单!$G$4:$G$2503,$A762,入库单!$X$4:$X$2503,"暂估")&gt;0,"暂估",IF($I762=0,"没有进价","正常"))))</f>
        <v/>
      </c>
      <c r="L762" s="27">
        <f>IF($A762="","",IFERROR(VLOOKUP($A762,库存台账!$A$5:$Y$1204,24,0),0))</f>
        <v/>
      </c>
      <c r="M762" s="26">
        <f>IF($A762="","",IFERROR(VLOOKUP($A762,库存台账!$A$5:$Y$1204,25,0),0))</f>
        <v/>
      </c>
      <c r="N762" s="19">
        <f>IF($A762="","",IFERROR(LOOKUP(2,1/((出库单!$D$4:$D$4003=$A762)*(出库单!$T$4:$T$4003="正常")),出库单!$C$4:$C$4003),""))</f>
        <v/>
      </c>
      <c r="O762" s="28">
        <f>IF($A762="","",IF($L762&lt;=0,"",IF($N762="",IFERROR(账期止-LOOKUP(2,1/(入库单!$G$4:$G$2503=$A762),入库单!$C$4:$C$2503),""),账期止-$N762)))</f>
        <v/>
      </c>
      <c r="P762" s="17" t="n"/>
    </row>
    <row r="763">
      <c r="A763" s="17" t="inlineStr">
        <is>
          <t>JH0760</t>
        </is>
      </c>
      <c r="B763" s="17" t="inlineStr">
        <is>
          <t>机械配件</t>
        </is>
      </c>
      <c r="C763" s="17" t="inlineStr">
        <is>
          <t>中临燃油滤清器（1000442956）</t>
        </is>
      </c>
      <c r="D763" s="17" t="inlineStr"/>
      <c r="E763" s="17" t="inlineStr">
        <is>
          <t>个</t>
        </is>
      </c>
      <c r="F763" s="17" t="inlineStr">
        <is>
          <t>否</t>
        </is>
      </c>
      <c r="G763" s="23" t="n"/>
      <c r="H763" s="24">
        <f>IF($A763="","",IFERROR(LOOKUP(2,1/((入库单!$G$4:$G$2503=$A763)*(入库单!$Y$4:$Y$2503="正常")*(入库单!$L$4:$L$2503&gt;0)),入库单!$D$4:$D$2503),""))</f>
        <v/>
      </c>
      <c r="I763" s="25">
        <f>IF($A763="","",IFERROR(LOOKUP(2,1/((入库单!$G$4:$G$2503=$A763)*(入库单!$Y$4:$Y$2503="正常")*(入库单!$L$4:$L$2503&gt;0)),入库单!$L$4:$L$2503),0))</f>
        <v/>
      </c>
      <c r="J763" s="26">
        <f>IF($A763="","",IF($H763="A国内",ROUND($I763*倍数A*汇率,0),IF($H763="B当地",ROUND($I763*系数B,0),0)))</f>
        <v/>
      </c>
      <c r="K763" s="24">
        <f>IF($A763="","",IF(COUNTIFS(入库单!$G$4:$G$2503,$A763,入库单!$X$4:$X$2503,"待补价")&gt;0,"待补价",IF(COUNTIFS(入库单!$G$4:$G$2503,$A763,入库单!$X$4:$X$2503,"暂估")&gt;0,"暂估",IF($I763=0,"没有进价","正常"))))</f>
        <v/>
      </c>
      <c r="L763" s="27">
        <f>IF($A763="","",IFERROR(VLOOKUP($A763,库存台账!$A$5:$Y$1204,24,0),0))</f>
        <v/>
      </c>
      <c r="M763" s="26">
        <f>IF($A763="","",IFERROR(VLOOKUP($A763,库存台账!$A$5:$Y$1204,25,0),0))</f>
        <v/>
      </c>
      <c r="N763" s="19">
        <f>IF($A763="","",IFERROR(LOOKUP(2,1/((出库单!$D$4:$D$4003=$A763)*(出库单!$T$4:$T$4003="正常")),出库单!$C$4:$C$4003),""))</f>
        <v/>
      </c>
      <c r="O763" s="28">
        <f>IF($A763="","",IF($L763&lt;=0,"",IF($N763="",IFERROR(账期止-LOOKUP(2,1/(入库单!$G$4:$G$2503=$A763),入库单!$C$4:$C$2503),""),账期止-$N763)))</f>
        <v/>
      </c>
      <c r="P763" s="17" t="n"/>
    </row>
    <row r="764">
      <c r="A764" s="17" t="inlineStr">
        <is>
          <t>JH0761</t>
        </is>
      </c>
      <c r="B764" s="17" t="inlineStr">
        <is>
          <t>机械设备</t>
        </is>
      </c>
      <c r="C764" s="17" t="inlineStr">
        <is>
          <t>柳工边齿</t>
        </is>
      </c>
      <c r="D764" s="17" t="inlineStr"/>
      <c r="E764" s="17" t="inlineStr">
        <is>
          <t>个</t>
        </is>
      </c>
      <c r="F764" s="17" t="inlineStr">
        <is>
          <t>否</t>
        </is>
      </c>
      <c r="G764" s="23" t="n"/>
      <c r="H764" s="24">
        <f>IF($A764="","",IFERROR(LOOKUP(2,1/((入库单!$G$4:$G$2503=$A764)*(入库单!$Y$4:$Y$2503="正常")*(入库单!$L$4:$L$2503&gt;0)),入库单!$D$4:$D$2503),""))</f>
        <v/>
      </c>
      <c r="I764" s="25">
        <f>IF($A764="","",IFERROR(LOOKUP(2,1/((入库单!$G$4:$G$2503=$A764)*(入库单!$Y$4:$Y$2503="正常")*(入库单!$L$4:$L$2503&gt;0)),入库单!$L$4:$L$2503),0))</f>
        <v/>
      </c>
      <c r="J764" s="26">
        <f>IF($A764="","",IF($H764="A国内",ROUND($I764*倍数A*汇率,0),IF($H764="B当地",ROUND($I764*系数B,0),0)))</f>
        <v/>
      </c>
      <c r="K764" s="24">
        <f>IF($A764="","",IF(COUNTIFS(入库单!$G$4:$G$2503,$A764,入库单!$X$4:$X$2503,"待补价")&gt;0,"待补价",IF(COUNTIFS(入库单!$G$4:$G$2503,$A764,入库单!$X$4:$X$2503,"暂估")&gt;0,"暂估",IF($I764=0,"没有进价","正常"))))</f>
        <v/>
      </c>
      <c r="L764" s="27">
        <f>IF($A764="","",IFERROR(VLOOKUP($A764,库存台账!$A$5:$Y$1204,24,0),0))</f>
        <v/>
      </c>
      <c r="M764" s="26">
        <f>IF($A764="","",IFERROR(VLOOKUP($A764,库存台账!$A$5:$Y$1204,25,0),0))</f>
        <v/>
      </c>
      <c r="N764" s="19">
        <f>IF($A764="","",IFERROR(LOOKUP(2,1/((出库单!$D$4:$D$4003=$A764)*(出库单!$T$4:$T$4003="正常")),出库单!$C$4:$C$4003),""))</f>
        <v/>
      </c>
      <c r="O764" s="28">
        <f>IF($A764="","",IF($L764&lt;=0,"",IF($N764="",IFERROR(账期止-LOOKUP(2,1/(入库单!$G$4:$G$2503=$A764),入库单!$C$4:$C$2503),""),账期止-$N764)))</f>
        <v/>
      </c>
      <c r="P764" s="17" t="n"/>
    </row>
    <row r="765">
      <c r="A765" s="17" t="inlineStr">
        <is>
          <t>JH0762</t>
        </is>
      </c>
      <c r="B765" s="17" t="inlineStr">
        <is>
          <t>机械设备</t>
        </is>
      </c>
      <c r="C765" s="17" t="inlineStr">
        <is>
          <t>柳工铲车轮胎（内外胎）</t>
        </is>
      </c>
      <c r="D765" s="17" t="inlineStr"/>
      <c r="E765" s="17" t="inlineStr">
        <is>
          <t>条</t>
        </is>
      </c>
      <c r="F765" s="17" t="inlineStr">
        <is>
          <t>否</t>
        </is>
      </c>
      <c r="G765" s="23" t="n"/>
      <c r="H765" s="24">
        <f>IF($A765="","",IFERROR(LOOKUP(2,1/((入库单!$G$4:$G$2503=$A765)*(入库单!$Y$4:$Y$2503="正常")*(入库单!$L$4:$L$2503&gt;0)),入库单!$D$4:$D$2503),""))</f>
        <v/>
      </c>
      <c r="I765" s="25">
        <f>IF($A765="","",IFERROR(LOOKUP(2,1/((入库单!$G$4:$G$2503=$A765)*(入库单!$Y$4:$Y$2503="正常")*(入库单!$L$4:$L$2503&gt;0)),入库单!$L$4:$L$2503),0))</f>
        <v/>
      </c>
      <c r="J765" s="26">
        <f>IF($A765="","",IF($H765="A国内",ROUND($I765*倍数A*汇率,0),IF($H765="B当地",ROUND($I765*系数B,0),0)))</f>
        <v/>
      </c>
      <c r="K765" s="24">
        <f>IF($A765="","",IF(COUNTIFS(入库单!$G$4:$G$2503,$A765,入库单!$X$4:$X$2503,"待补价")&gt;0,"待补价",IF(COUNTIFS(入库单!$G$4:$G$2503,$A765,入库单!$X$4:$X$2503,"暂估")&gt;0,"暂估",IF($I765=0,"没有进价","正常"))))</f>
        <v/>
      </c>
      <c r="L765" s="27">
        <f>IF($A765="","",IFERROR(VLOOKUP($A765,库存台账!$A$5:$Y$1204,24,0),0))</f>
        <v/>
      </c>
      <c r="M765" s="26">
        <f>IF($A765="","",IFERROR(VLOOKUP($A765,库存台账!$A$5:$Y$1204,25,0),0))</f>
        <v/>
      </c>
      <c r="N765" s="19">
        <f>IF($A765="","",IFERROR(LOOKUP(2,1/((出库单!$D$4:$D$4003=$A765)*(出库单!$T$4:$T$4003="正常")),出库单!$C$4:$C$4003),""))</f>
        <v/>
      </c>
      <c r="O765" s="28">
        <f>IF($A765="","",IF($L765&lt;=0,"",IF($N765="",IFERROR(账期止-LOOKUP(2,1/(入库单!$G$4:$G$2503=$A765),入库单!$C$4:$C$2503),""),账期止-$N765)))</f>
        <v/>
      </c>
      <c r="P765" s="17" t="n"/>
    </row>
    <row r="766">
      <c r="A766" s="17" t="inlineStr">
        <is>
          <t>JH0763</t>
        </is>
      </c>
      <c r="B766" s="17" t="inlineStr">
        <is>
          <t>机械设备</t>
        </is>
      </c>
      <c r="C766" s="17" t="inlineStr">
        <is>
          <t>柳工铲车实心胎</t>
        </is>
      </c>
      <c r="D766" s="17" t="inlineStr"/>
      <c r="E766" s="17" t="inlineStr">
        <is>
          <t>条</t>
        </is>
      </c>
      <c r="F766" s="17" t="inlineStr">
        <is>
          <t>否</t>
        </is>
      </c>
      <c r="G766" s="23" t="n"/>
      <c r="H766" s="24">
        <f>IF($A766="","",IFERROR(LOOKUP(2,1/((入库单!$G$4:$G$2503=$A766)*(入库单!$Y$4:$Y$2503="正常")*(入库单!$L$4:$L$2503&gt;0)),入库单!$D$4:$D$2503),""))</f>
        <v/>
      </c>
      <c r="I766" s="25">
        <f>IF($A766="","",IFERROR(LOOKUP(2,1/((入库单!$G$4:$G$2503=$A766)*(入库单!$Y$4:$Y$2503="正常")*(入库单!$L$4:$L$2503&gt;0)),入库单!$L$4:$L$2503),0))</f>
        <v/>
      </c>
      <c r="J766" s="26">
        <f>IF($A766="","",IF($H766="A国内",ROUND($I766*倍数A*汇率,0),IF($H766="B当地",ROUND($I766*系数B,0),0)))</f>
        <v/>
      </c>
      <c r="K766" s="24">
        <f>IF($A766="","",IF(COUNTIFS(入库单!$G$4:$G$2503,$A766,入库单!$X$4:$X$2503,"待补价")&gt;0,"待补价",IF(COUNTIFS(入库单!$G$4:$G$2503,$A766,入库单!$X$4:$X$2503,"暂估")&gt;0,"暂估",IF($I766=0,"没有进价","正常"))))</f>
        <v/>
      </c>
      <c r="L766" s="27">
        <f>IF($A766="","",IFERROR(VLOOKUP($A766,库存台账!$A$5:$Y$1204,24,0),0))</f>
        <v/>
      </c>
      <c r="M766" s="26">
        <f>IF($A766="","",IFERROR(VLOOKUP($A766,库存台账!$A$5:$Y$1204,25,0),0))</f>
        <v/>
      </c>
      <c r="N766" s="19">
        <f>IF($A766="","",IFERROR(LOOKUP(2,1/((出库单!$D$4:$D$4003=$A766)*(出库单!$T$4:$T$4003="正常")),出库单!$C$4:$C$4003),""))</f>
        <v/>
      </c>
      <c r="O766" s="28">
        <f>IF($A766="","",IF($L766&lt;=0,"",IF($N766="",IFERROR(账期止-LOOKUP(2,1/(入库单!$G$4:$G$2503=$A766),入库单!$C$4:$C$2503),""),账期止-$N766)))</f>
        <v/>
      </c>
      <c r="P766" s="17" t="n"/>
    </row>
    <row r="767">
      <c r="A767" s="17" t="inlineStr">
        <is>
          <t>JH0764</t>
        </is>
      </c>
      <c r="B767" s="17" t="inlineStr">
        <is>
          <t>机械设备</t>
        </is>
      </c>
      <c r="C767" s="17" t="inlineStr">
        <is>
          <t>柳工铲车轮胎/ZL50</t>
        </is>
      </c>
      <c r="D767" s="17" t="inlineStr"/>
      <c r="E767" s="17" t="inlineStr">
        <is>
          <t>条</t>
        </is>
      </c>
      <c r="F767" s="17" t="inlineStr">
        <is>
          <t>否</t>
        </is>
      </c>
      <c r="G767" s="23" t="n"/>
      <c r="H767" s="24">
        <f>IF($A767="","",IFERROR(LOOKUP(2,1/((入库单!$G$4:$G$2503=$A767)*(入库单!$Y$4:$Y$2503="正常")*(入库单!$L$4:$L$2503&gt;0)),入库单!$D$4:$D$2503),""))</f>
        <v/>
      </c>
      <c r="I767" s="25">
        <f>IF($A767="","",IFERROR(LOOKUP(2,1/((入库单!$G$4:$G$2503=$A767)*(入库单!$Y$4:$Y$2503="正常")*(入库单!$L$4:$L$2503&gt;0)),入库单!$L$4:$L$2503),0))</f>
        <v/>
      </c>
      <c r="J767" s="26">
        <f>IF($A767="","",IF($H767="A国内",ROUND($I767*倍数A*汇率,0),IF($H767="B当地",ROUND($I767*系数B,0),0)))</f>
        <v/>
      </c>
      <c r="K767" s="24">
        <f>IF($A767="","",IF(COUNTIFS(入库单!$G$4:$G$2503,$A767,入库单!$X$4:$X$2503,"待补价")&gt;0,"待补价",IF(COUNTIFS(入库单!$G$4:$G$2503,$A767,入库单!$X$4:$X$2503,"暂估")&gt;0,"暂估",IF($I767=0,"没有进价","正常"))))</f>
        <v/>
      </c>
      <c r="L767" s="27">
        <f>IF($A767="","",IFERROR(VLOOKUP($A767,库存台账!$A$5:$Y$1204,24,0),0))</f>
        <v/>
      </c>
      <c r="M767" s="26">
        <f>IF($A767="","",IFERROR(VLOOKUP($A767,库存台账!$A$5:$Y$1204,25,0),0))</f>
        <v/>
      </c>
      <c r="N767" s="19">
        <f>IF($A767="","",IFERROR(LOOKUP(2,1/((出库单!$D$4:$D$4003=$A767)*(出库单!$T$4:$T$4003="正常")),出库单!$C$4:$C$4003),""))</f>
        <v/>
      </c>
      <c r="O767" s="28">
        <f>IF($A767="","",IF($L767&lt;=0,"",IF($N767="",IFERROR(账期止-LOOKUP(2,1/(入库单!$G$4:$G$2503=$A767),入库单!$C$4:$C$2503),""),账期止-$N767)))</f>
        <v/>
      </c>
      <c r="P767" s="17" t="n"/>
    </row>
    <row r="768">
      <c r="A768" s="17" t="inlineStr">
        <is>
          <t>JH0765</t>
        </is>
      </c>
      <c r="B768" s="17" t="inlineStr">
        <is>
          <t>机械设备</t>
        </is>
      </c>
      <c r="C768" s="17" t="inlineStr">
        <is>
          <t>柳工铲车轮胎胎垫/衬带</t>
        </is>
      </c>
      <c r="D768" s="17" t="inlineStr"/>
      <c r="E768" s="17" t="inlineStr">
        <is>
          <t>条</t>
        </is>
      </c>
      <c r="F768" s="17" t="inlineStr">
        <is>
          <t>否</t>
        </is>
      </c>
      <c r="G768" s="23" t="n"/>
      <c r="H768" s="24">
        <f>IF($A768="","",IFERROR(LOOKUP(2,1/((入库单!$G$4:$G$2503=$A768)*(入库单!$Y$4:$Y$2503="正常")*(入库单!$L$4:$L$2503&gt;0)),入库单!$D$4:$D$2503),""))</f>
        <v/>
      </c>
      <c r="I768" s="25">
        <f>IF($A768="","",IFERROR(LOOKUP(2,1/((入库单!$G$4:$G$2503=$A768)*(入库单!$Y$4:$Y$2503="正常")*(入库单!$L$4:$L$2503&gt;0)),入库单!$L$4:$L$2503),0))</f>
        <v/>
      </c>
      <c r="J768" s="26">
        <f>IF($A768="","",IF($H768="A国内",ROUND($I768*倍数A*汇率,0),IF($H768="B当地",ROUND($I768*系数B,0),0)))</f>
        <v/>
      </c>
      <c r="K768" s="24">
        <f>IF($A768="","",IF(COUNTIFS(入库单!$G$4:$G$2503,$A768,入库单!$X$4:$X$2503,"待补价")&gt;0,"待补价",IF(COUNTIFS(入库单!$G$4:$G$2503,$A768,入库单!$X$4:$X$2503,"暂估")&gt;0,"暂估",IF($I768=0,"没有进价","正常"))))</f>
        <v/>
      </c>
      <c r="L768" s="27">
        <f>IF($A768="","",IFERROR(VLOOKUP($A768,库存台账!$A$5:$Y$1204,24,0),0))</f>
        <v/>
      </c>
      <c r="M768" s="26">
        <f>IF($A768="","",IFERROR(VLOOKUP($A768,库存台账!$A$5:$Y$1204,25,0),0))</f>
        <v/>
      </c>
      <c r="N768" s="19">
        <f>IF($A768="","",IFERROR(LOOKUP(2,1/((出库单!$D$4:$D$4003=$A768)*(出库单!$T$4:$T$4003="正常")),出库单!$C$4:$C$4003),""))</f>
        <v/>
      </c>
      <c r="O768" s="28">
        <f>IF($A768="","",IF($L768&lt;=0,"",IF($N768="",IFERROR(账期止-LOOKUP(2,1/(入库单!$G$4:$G$2503=$A768),入库单!$C$4:$C$2503),""),账期止-$N768)))</f>
        <v/>
      </c>
      <c r="P768" s="17" t="n"/>
    </row>
    <row r="769">
      <c r="A769" s="17" t="inlineStr">
        <is>
          <t>JH0766</t>
        </is>
      </c>
      <c r="B769" s="17" t="inlineStr">
        <is>
          <t>电缆电气</t>
        </is>
      </c>
      <c r="C769" s="17" t="inlineStr">
        <is>
          <t>太阳能LED路灯3030系列</t>
        </is>
      </c>
      <c r="D769" s="17" t="inlineStr">
        <is>
          <t>400W</t>
        </is>
      </c>
      <c r="E769" s="17" t="inlineStr">
        <is>
          <t>台</t>
        </is>
      </c>
      <c r="F769" s="17" t="inlineStr">
        <is>
          <t>否</t>
        </is>
      </c>
      <c r="G769" s="23" t="n"/>
      <c r="H769" s="24">
        <f>IF($A769="","",IFERROR(LOOKUP(2,1/((入库单!$G$4:$G$2503=$A769)*(入库单!$Y$4:$Y$2503="正常")*(入库单!$L$4:$L$2503&gt;0)),入库单!$D$4:$D$2503),""))</f>
        <v/>
      </c>
      <c r="I769" s="25">
        <f>IF($A769="","",IFERROR(LOOKUP(2,1/((入库单!$G$4:$G$2503=$A769)*(入库单!$Y$4:$Y$2503="正常")*(入库单!$L$4:$L$2503&gt;0)),入库单!$L$4:$L$2503),0))</f>
        <v/>
      </c>
      <c r="J769" s="26">
        <f>IF($A769="","",IF($H769="A国内",ROUND($I769*倍数A*汇率,0),IF($H769="B当地",ROUND($I769*系数B,0),0)))</f>
        <v/>
      </c>
      <c r="K769" s="24">
        <f>IF($A769="","",IF(COUNTIFS(入库单!$G$4:$G$2503,$A769,入库单!$X$4:$X$2503,"待补价")&gt;0,"待补价",IF(COUNTIFS(入库单!$G$4:$G$2503,$A769,入库单!$X$4:$X$2503,"暂估")&gt;0,"暂估",IF($I769=0,"没有进价","正常"))))</f>
        <v/>
      </c>
      <c r="L769" s="27">
        <f>IF($A769="","",IFERROR(VLOOKUP($A769,库存台账!$A$5:$Y$1204,24,0),0))</f>
        <v/>
      </c>
      <c r="M769" s="26">
        <f>IF($A769="","",IFERROR(VLOOKUP($A769,库存台账!$A$5:$Y$1204,25,0),0))</f>
        <v/>
      </c>
      <c r="N769" s="19">
        <f>IF($A769="","",IFERROR(LOOKUP(2,1/((出库单!$D$4:$D$4003=$A769)*(出库单!$T$4:$T$4003="正常")),出库单!$C$4:$C$4003),""))</f>
        <v/>
      </c>
      <c r="O769" s="28">
        <f>IF($A769="","",IF($L769&lt;=0,"",IF($N769="",IFERROR(账期止-LOOKUP(2,1/(入库单!$G$4:$G$2503=$A769),入库单!$C$4:$C$2503),""),账期止-$N769)))</f>
        <v/>
      </c>
      <c r="P769" s="17" t="n"/>
    </row>
    <row r="770">
      <c r="A770" s="17" t="inlineStr">
        <is>
          <t>JH0767</t>
        </is>
      </c>
      <c r="B770" s="17" t="inlineStr">
        <is>
          <t>其他</t>
        </is>
      </c>
      <c r="C770" s="17" t="inlineStr">
        <is>
          <t>正新轮胎1200R20  CR969</t>
        </is>
      </c>
      <c r="D770" s="17" t="inlineStr"/>
      <c r="E770" s="17" t="inlineStr">
        <is>
          <t>套</t>
        </is>
      </c>
      <c r="F770" s="17" t="inlineStr">
        <is>
          <t>否</t>
        </is>
      </c>
      <c r="G770" s="23" t="n"/>
      <c r="H770" s="24">
        <f>IF($A770="","",IFERROR(LOOKUP(2,1/((入库单!$G$4:$G$2503=$A770)*(入库单!$Y$4:$Y$2503="正常")*(入库单!$L$4:$L$2503&gt;0)),入库单!$D$4:$D$2503),""))</f>
        <v/>
      </c>
      <c r="I770" s="25">
        <f>IF($A770="","",IFERROR(LOOKUP(2,1/((入库单!$G$4:$G$2503=$A770)*(入库单!$Y$4:$Y$2503="正常")*(入库单!$L$4:$L$2503&gt;0)),入库单!$L$4:$L$2503),0))</f>
        <v/>
      </c>
      <c r="J770" s="26">
        <f>IF($A770="","",IF($H770="A国内",ROUND($I770*倍数A*汇率,0),IF($H770="B当地",ROUND($I770*系数B,0),0)))</f>
        <v/>
      </c>
      <c r="K770" s="24">
        <f>IF($A770="","",IF(COUNTIFS(入库单!$G$4:$G$2503,$A770,入库单!$X$4:$X$2503,"待补价")&gt;0,"待补价",IF(COUNTIFS(入库单!$G$4:$G$2503,$A770,入库单!$X$4:$X$2503,"暂估")&gt;0,"暂估",IF($I770=0,"没有进价","正常"))))</f>
        <v/>
      </c>
      <c r="L770" s="27">
        <f>IF($A770="","",IFERROR(VLOOKUP($A770,库存台账!$A$5:$Y$1204,24,0),0))</f>
        <v/>
      </c>
      <c r="M770" s="26">
        <f>IF($A770="","",IFERROR(VLOOKUP($A770,库存台账!$A$5:$Y$1204,25,0),0))</f>
        <v/>
      </c>
      <c r="N770" s="19">
        <f>IF($A770="","",IFERROR(LOOKUP(2,1/((出库单!$D$4:$D$4003=$A770)*(出库单!$T$4:$T$4003="正常")),出库单!$C$4:$C$4003),""))</f>
        <v/>
      </c>
      <c r="O770" s="28">
        <f>IF($A770="","",IF($L770&lt;=0,"",IF($N770="",IFERROR(账期止-LOOKUP(2,1/(入库单!$G$4:$G$2503=$A770),入库单!$C$4:$C$2503),""),账期止-$N770)))</f>
        <v/>
      </c>
      <c r="P770" s="17" t="n"/>
    </row>
    <row r="771">
      <c r="A771" s="17" t="inlineStr">
        <is>
          <t>JH0768</t>
        </is>
      </c>
      <c r="B771" s="17" t="inlineStr">
        <is>
          <t>机械配件</t>
        </is>
      </c>
      <c r="C771" s="17" t="inlineStr">
        <is>
          <t>1寸软管</t>
        </is>
      </c>
      <c r="D771" s="17" t="inlineStr">
        <is>
          <t>25MM</t>
        </is>
      </c>
      <c r="E771" s="17" t="inlineStr">
        <is>
          <t>捆</t>
        </is>
      </c>
      <c r="F771" s="17" t="inlineStr">
        <is>
          <t>否</t>
        </is>
      </c>
      <c r="G771" s="23" t="n"/>
      <c r="H771" s="24">
        <f>IF($A771="","",IFERROR(LOOKUP(2,1/((入库单!$G$4:$G$2503=$A771)*(入库单!$Y$4:$Y$2503="正常")*(入库单!$L$4:$L$2503&gt;0)),入库单!$D$4:$D$2503),""))</f>
        <v/>
      </c>
      <c r="I771" s="25">
        <f>IF($A771="","",IFERROR(LOOKUP(2,1/((入库单!$G$4:$G$2503=$A771)*(入库单!$Y$4:$Y$2503="正常")*(入库单!$L$4:$L$2503&gt;0)),入库单!$L$4:$L$2503),0))</f>
        <v/>
      </c>
      <c r="J771" s="26">
        <f>IF($A771="","",IF($H771="A国内",ROUND($I771*倍数A*汇率,0),IF($H771="B当地",ROUND($I771*系数B,0),0)))</f>
        <v/>
      </c>
      <c r="K771" s="24">
        <f>IF($A771="","",IF(COUNTIFS(入库单!$G$4:$G$2503,$A771,入库单!$X$4:$X$2503,"待补价")&gt;0,"待补价",IF(COUNTIFS(入库单!$G$4:$G$2503,$A771,入库单!$X$4:$X$2503,"暂估")&gt;0,"暂估",IF($I771=0,"没有进价","正常"))))</f>
        <v/>
      </c>
      <c r="L771" s="27">
        <f>IF($A771="","",IFERROR(VLOOKUP($A771,库存台账!$A$5:$Y$1204,24,0),0))</f>
        <v/>
      </c>
      <c r="M771" s="26">
        <f>IF($A771="","",IFERROR(VLOOKUP($A771,库存台账!$A$5:$Y$1204,25,0),0))</f>
        <v/>
      </c>
      <c r="N771" s="19">
        <f>IF($A771="","",IFERROR(LOOKUP(2,1/((出库单!$D$4:$D$4003=$A771)*(出库单!$T$4:$T$4003="正常")),出库单!$C$4:$C$4003),""))</f>
        <v/>
      </c>
      <c r="O771" s="28">
        <f>IF($A771="","",IF($L771&lt;=0,"",IF($N771="",IFERROR(账期止-LOOKUP(2,1/(入库单!$G$4:$G$2503=$A771),入库单!$C$4:$C$2503),""),账期止-$N771)))</f>
        <v/>
      </c>
      <c r="P771" s="17" t="n"/>
    </row>
    <row r="772">
      <c r="A772" s="17" t="inlineStr">
        <is>
          <t>JH0769</t>
        </is>
      </c>
      <c r="B772" s="17" t="inlineStr">
        <is>
          <t>机械配件</t>
        </is>
      </c>
      <c r="C772" s="17" t="inlineStr">
        <is>
          <t>1寸PE</t>
        </is>
      </c>
      <c r="D772" s="17" t="inlineStr">
        <is>
          <t>32*3.0MM</t>
        </is>
      </c>
      <c r="E772" s="17" t="inlineStr">
        <is>
          <t>捆</t>
        </is>
      </c>
      <c r="F772" s="17" t="inlineStr">
        <is>
          <t>否</t>
        </is>
      </c>
      <c r="G772" s="23" t="n"/>
      <c r="H772" s="24">
        <f>IF($A772="","",IFERROR(LOOKUP(2,1/((入库单!$G$4:$G$2503=$A772)*(入库单!$Y$4:$Y$2503="正常")*(入库单!$L$4:$L$2503&gt;0)),入库单!$D$4:$D$2503),""))</f>
        <v/>
      </c>
      <c r="I772" s="25">
        <f>IF($A772="","",IFERROR(LOOKUP(2,1/((入库单!$G$4:$G$2503=$A772)*(入库单!$Y$4:$Y$2503="正常")*(入库单!$L$4:$L$2503&gt;0)),入库单!$L$4:$L$2503),0))</f>
        <v/>
      </c>
      <c r="J772" s="26">
        <f>IF($A772="","",IF($H772="A国内",ROUND($I772*倍数A*汇率,0),IF($H772="B当地",ROUND($I772*系数B,0),0)))</f>
        <v/>
      </c>
      <c r="K772" s="24">
        <f>IF($A772="","",IF(COUNTIFS(入库单!$G$4:$G$2503,$A772,入库单!$X$4:$X$2503,"待补价")&gt;0,"待补价",IF(COUNTIFS(入库单!$G$4:$G$2503,$A772,入库单!$X$4:$X$2503,"暂估")&gt;0,"暂估",IF($I772=0,"没有进价","正常"))))</f>
        <v/>
      </c>
      <c r="L772" s="27">
        <f>IF($A772="","",IFERROR(VLOOKUP($A772,库存台账!$A$5:$Y$1204,24,0),0))</f>
        <v/>
      </c>
      <c r="M772" s="26">
        <f>IF($A772="","",IFERROR(VLOOKUP($A772,库存台账!$A$5:$Y$1204,25,0),0))</f>
        <v/>
      </c>
      <c r="N772" s="19">
        <f>IF($A772="","",IFERROR(LOOKUP(2,1/((出库单!$D$4:$D$4003=$A772)*(出库单!$T$4:$T$4003="正常")),出库单!$C$4:$C$4003),""))</f>
        <v/>
      </c>
      <c r="O772" s="28">
        <f>IF($A772="","",IF($L772&lt;=0,"",IF($N772="",IFERROR(账期止-LOOKUP(2,1/(入库单!$G$4:$G$2503=$A772),入库单!$C$4:$C$2503),""),账期止-$N772)))</f>
        <v/>
      </c>
      <c r="P772" s="17" t="n"/>
    </row>
    <row r="773">
      <c r="A773" s="17" t="inlineStr">
        <is>
          <t>JH0770</t>
        </is>
      </c>
      <c r="B773" s="17" t="inlineStr">
        <is>
          <t>劳保用品</t>
        </is>
      </c>
      <c r="C773" s="17" t="inlineStr">
        <is>
          <t>棉被</t>
        </is>
      </c>
      <c r="D773" s="17" t="inlineStr"/>
      <c r="E773" s="17" t="inlineStr">
        <is>
          <t>套</t>
        </is>
      </c>
      <c r="F773" s="17" t="inlineStr">
        <is>
          <t>否</t>
        </is>
      </c>
      <c r="G773" s="23" t="n"/>
      <c r="H773" s="24">
        <f>IF($A773="","",IFERROR(LOOKUP(2,1/((入库单!$G$4:$G$2503=$A773)*(入库单!$Y$4:$Y$2503="正常")*(入库单!$L$4:$L$2503&gt;0)),入库单!$D$4:$D$2503),""))</f>
        <v/>
      </c>
      <c r="I773" s="25">
        <f>IF($A773="","",IFERROR(LOOKUP(2,1/((入库单!$G$4:$G$2503=$A773)*(入库单!$Y$4:$Y$2503="正常")*(入库单!$L$4:$L$2503&gt;0)),入库单!$L$4:$L$2503),0))</f>
        <v/>
      </c>
      <c r="J773" s="26">
        <f>IF($A773="","",IF($H773="A国内",ROUND($I773*倍数A*汇率,0),IF($H773="B当地",ROUND($I773*系数B,0),0)))</f>
        <v/>
      </c>
      <c r="K773" s="24">
        <f>IF($A773="","",IF(COUNTIFS(入库单!$G$4:$G$2503,$A773,入库单!$X$4:$X$2503,"待补价")&gt;0,"待补价",IF(COUNTIFS(入库单!$G$4:$G$2503,$A773,入库单!$X$4:$X$2503,"暂估")&gt;0,"暂估",IF($I773=0,"没有进价","正常"))))</f>
        <v/>
      </c>
      <c r="L773" s="27">
        <f>IF($A773="","",IFERROR(VLOOKUP($A773,库存台账!$A$5:$Y$1204,24,0),0))</f>
        <v/>
      </c>
      <c r="M773" s="26">
        <f>IF($A773="","",IFERROR(VLOOKUP($A773,库存台账!$A$5:$Y$1204,25,0),0))</f>
        <v/>
      </c>
      <c r="N773" s="19">
        <f>IF($A773="","",IFERROR(LOOKUP(2,1/((出库单!$D$4:$D$4003=$A773)*(出库单!$T$4:$T$4003="正常")),出库单!$C$4:$C$4003),""))</f>
        <v/>
      </c>
      <c r="O773" s="28">
        <f>IF($A773="","",IF($L773&lt;=0,"",IF($N773="",IFERROR(账期止-LOOKUP(2,1/(入库单!$G$4:$G$2503=$A773),入库单!$C$4:$C$2503),""),账期止-$N773)))</f>
        <v/>
      </c>
      <c r="P773" s="17" t="n"/>
    </row>
    <row r="774">
      <c r="A774" s="17" t="inlineStr">
        <is>
          <t>JH0771</t>
        </is>
      </c>
      <c r="B774" s="17" t="inlineStr">
        <is>
          <t>其他</t>
        </is>
      </c>
      <c r="C774" s="17" t="inlineStr">
        <is>
          <t>被套</t>
        </is>
      </c>
      <c r="D774" s="17" t="inlineStr"/>
      <c r="E774" s="17" t="inlineStr">
        <is>
          <t>套</t>
        </is>
      </c>
      <c r="F774" s="17" t="inlineStr">
        <is>
          <t>否</t>
        </is>
      </c>
      <c r="G774" s="23" t="n"/>
      <c r="H774" s="24">
        <f>IF($A774="","",IFERROR(LOOKUP(2,1/((入库单!$G$4:$G$2503=$A774)*(入库单!$Y$4:$Y$2503="正常")*(入库单!$L$4:$L$2503&gt;0)),入库单!$D$4:$D$2503),""))</f>
        <v/>
      </c>
      <c r="I774" s="25">
        <f>IF($A774="","",IFERROR(LOOKUP(2,1/((入库单!$G$4:$G$2503=$A774)*(入库单!$Y$4:$Y$2503="正常")*(入库单!$L$4:$L$2503&gt;0)),入库单!$L$4:$L$2503),0))</f>
        <v/>
      </c>
      <c r="J774" s="26">
        <f>IF($A774="","",IF($H774="A国内",ROUND($I774*倍数A*汇率,0),IF($H774="B当地",ROUND($I774*系数B,0),0)))</f>
        <v/>
      </c>
      <c r="K774" s="24">
        <f>IF($A774="","",IF(COUNTIFS(入库单!$G$4:$G$2503,$A774,入库单!$X$4:$X$2503,"待补价")&gt;0,"待补价",IF(COUNTIFS(入库单!$G$4:$G$2503,$A774,入库单!$X$4:$X$2503,"暂估")&gt;0,"暂估",IF($I774=0,"没有进价","正常"))))</f>
        <v/>
      </c>
      <c r="L774" s="27">
        <f>IF($A774="","",IFERROR(VLOOKUP($A774,库存台账!$A$5:$Y$1204,24,0),0))</f>
        <v/>
      </c>
      <c r="M774" s="26">
        <f>IF($A774="","",IFERROR(VLOOKUP($A774,库存台账!$A$5:$Y$1204,25,0),0))</f>
        <v/>
      </c>
      <c r="N774" s="19">
        <f>IF($A774="","",IFERROR(LOOKUP(2,1/((出库单!$D$4:$D$4003=$A774)*(出库单!$T$4:$T$4003="正常")),出库单!$C$4:$C$4003),""))</f>
        <v/>
      </c>
      <c r="O774" s="28">
        <f>IF($A774="","",IF($L774&lt;=0,"",IF($N774="",IFERROR(账期止-LOOKUP(2,1/(入库单!$G$4:$G$2503=$A774),入库单!$C$4:$C$2503),""),账期止-$N774)))</f>
        <v/>
      </c>
      <c r="P774" s="17" t="n"/>
    </row>
    <row r="775">
      <c r="A775" s="17" t="inlineStr">
        <is>
          <t>JH0772</t>
        </is>
      </c>
      <c r="B775" s="17" t="inlineStr">
        <is>
          <t>机械配件</t>
        </is>
      </c>
      <c r="C775" s="17" t="inlineStr">
        <is>
          <t>平口铁锹</t>
        </is>
      </c>
      <c r="D775" s="17" t="inlineStr"/>
      <c r="E775" s="17" t="inlineStr">
        <is>
          <t>把</t>
        </is>
      </c>
      <c r="F775" s="17" t="inlineStr">
        <is>
          <t>否</t>
        </is>
      </c>
      <c r="G775" s="23" t="n"/>
      <c r="H775" s="24">
        <f>IF($A775="","",IFERROR(LOOKUP(2,1/((入库单!$G$4:$G$2503=$A775)*(入库单!$Y$4:$Y$2503="正常")*(入库单!$L$4:$L$2503&gt;0)),入库单!$D$4:$D$2503),""))</f>
        <v/>
      </c>
      <c r="I775" s="25">
        <f>IF($A775="","",IFERROR(LOOKUP(2,1/((入库单!$G$4:$G$2503=$A775)*(入库单!$Y$4:$Y$2503="正常")*(入库单!$L$4:$L$2503&gt;0)),入库单!$L$4:$L$2503),0))</f>
        <v/>
      </c>
      <c r="J775" s="26">
        <f>IF($A775="","",IF($H775="A国内",ROUND($I775*倍数A*汇率,0),IF($H775="B当地",ROUND($I775*系数B,0),0)))</f>
        <v/>
      </c>
      <c r="K775" s="24">
        <f>IF($A775="","",IF(COUNTIFS(入库单!$G$4:$G$2503,$A775,入库单!$X$4:$X$2503,"待补价")&gt;0,"待补价",IF(COUNTIFS(入库单!$G$4:$G$2503,$A775,入库单!$X$4:$X$2503,"暂估")&gt;0,"暂估",IF($I775=0,"没有进价","正常"))))</f>
        <v/>
      </c>
      <c r="L775" s="27">
        <f>IF($A775="","",IFERROR(VLOOKUP($A775,库存台账!$A$5:$Y$1204,24,0),0))</f>
        <v/>
      </c>
      <c r="M775" s="26">
        <f>IF($A775="","",IFERROR(VLOOKUP($A775,库存台账!$A$5:$Y$1204,25,0),0))</f>
        <v/>
      </c>
      <c r="N775" s="19">
        <f>IF($A775="","",IFERROR(LOOKUP(2,1/((出库单!$D$4:$D$4003=$A775)*(出库单!$T$4:$T$4003="正常")),出库单!$C$4:$C$4003),""))</f>
        <v/>
      </c>
      <c r="O775" s="28">
        <f>IF($A775="","",IF($L775&lt;=0,"",IF($N775="",IFERROR(账期止-LOOKUP(2,1/(入库单!$G$4:$G$2503=$A775),入库单!$C$4:$C$2503),""),账期止-$N775)))</f>
        <v/>
      </c>
      <c r="P775" s="17" t="n"/>
    </row>
    <row r="776">
      <c r="A776" s="17" t="inlineStr">
        <is>
          <t>JH0773</t>
        </is>
      </c>
      <c r="B776" s="17" t="inlineStr">
        <is>
          <t>机械配件</t>
        </is>
      </c>
      <c r="C776" s="17" t="inlineStr">
        <is>
          <t>尖口铁锹</t>
        </is>
      </c>
      <c r="D776" s="17" t="inlineStr"/>
      <c r="E776" s="17" t="inlineStr">
        <is>
          <t>把</t>
        </is>
      </c>
      <c r="F776" s="17" t="inlineStr">
        <is>
          <t>否</t>
        </is>
      </c>
      <c r="G776" s="23" t="n"/>
      <c r="H776" s="24">
        <f>IF($A776="","",IFERROR(LOOKUP(2,1/((入库单!$G$4:$G$2503=$A776)*(入库单!$Y$4:$Y$2503="正常")*(入库单!$L$4:$L$2503&gt;0)),入库单!$D$4:$D$2503),""))</f>
        <v/>
      </c>
      <c r="I776" s="25">
        <f>IF($A776="","",IFERROR(LOOKUP(2,1/((入库单!$G$4:$G$2503=$A776)*(入库单!$Y$4:$Y$2503="正常")*(入库单!$L$4:$L$2503&gt;0)),入库单!$L$4:$L$2503),0))</f>
        <v/>
      </c>
      <c r="J776" s="26">
        <f>IF($A776="","",IF($H776="A国内",ROUND($I776*倍数A*汇率,0),IF($H776="B当地",ROUND($I776*系数B,0),0)))</f>
        <v/>
      </c>
      <c r="K776" s="24">
        <f>IF($A776="","",IF(COUNTIFS(入库单!$G$4:$G$2503,$A776,入库单!$X$4:$X$2503,"待补价")&gt;0,"待补价",IF(COUNTIFS(入库单!$G$4:$G$2503,$A776,入库单!$X$4:$X$2503,"暂估")&gt;0,"暂估",IF($I776=0,"没有进价","正常"))))</f>
        <v/>
      </c>
      <c r="L776" s="27">
        <f>IF($A776="","",IFERROR(VLOOKUP($A776,库存台账!$A$5:$Y$1204,24,0),0))</f>
        <v/>
      </c>
      <c r="M776" s="26">
        <f>IF($A776="","",IFERROR(VLOOKUP($A776,库存台账!$A$5:$Y$1204,25,0),0))</f>
        <v/>
      </c>
      <c r="N776" s="19">
        <f>IF($A776="","",IFERROR(LOOKUP(2,1/((出库单!$D$4:$D$4003=$A776)*(出库单!$T$4:$T$4003="正常")),出库单!$C$4:$C$4003),""))</f>
        <v/>
      </c>
      <c r="O776" s="28">
        <f>IF($A776="","",IF($L776&lt;=0,"",IF($N776="",IFERROR(账期止-LOOKUP(2,1/(入库单!$G$4:$G$2503=$A776),入库单!$C$4:$C$2503),""),账期止-$N776)))</f>
        <v/>
      </c>
      <c r="P776" s="17" t="n"/>
    </row>
    <row r="777">
      <c r="A777" s="17" t="inlineStr">
        <is>
          <t>JH0774</t>
        </is>
      </c>
      <c r="B777" s="17" t="inlineStr">
        <is>
          <t>机械设备</t>
        </is>
      </c>
      <c r="C777" s="17" t="inlineStr">
        <is>
          <t>瓦块</t>
        </is>
      </c>
      <c r="D777" s="17" t="inlineStr"/>
      <c r="E777" s="17" t="inlineStr">
        <is>
          <t>对</t>
        </is>
      </c>
      <c r="F777" s="17" t="inlineStr">
        <is>
          <t>否</t>
        </is>
      </c>
      <c r="G777" s="23" t="n"/>
      <c r="H777" s="24">
        <f>IF($A777="","",IFERROR(LOOKUP(2,1/((入库单!$G$4:$G$2503=$A777)*(入库单!$Y$4:$Y$2503="正常")*(入库单!$L$4:$L$2503&gt;0)),入库单!$D$4:$D$2503),""))</f>
        <v/>
      </c>
      <c r="I777" s="25">
        <f>IF($A777="","",IFERROR(LOOKUP(2,1/((入库单!$G$4:$G$2503=$A777)*(入库单!$Y$4:$Y$2503="正常")*(入库单!$L$4:$L$2503&gt;0)),入库单!$L$4:$L$2503),0))</f>
        <v/>
      </c>
      <c r="J777" s="26">
        <f>IF($A777="","",IF($H777="A国内",ROUND($I777*倍数A*汇率,0),IF($H777="B当地",ROUND($I777*系数B,0),0)))</f>
        <v/>
      </c>
      <c r="K777" s="24">
        <f>IF($A777="","",IF(COUNTIFS(入库单!$G$4:$G$2503,$A777,入库单!$X$4:$X$2503,"待补价")&gt;0,"待补价",IF(COUNTIFS(入库单!$G$4:$G$2503,$A777,入库单!$X$4:$X$2503,"暂估")&gt;0,"暂估",IF($I777=0,"没有进价","正常"))))</f>
        <v/>
      </c>
      <c r="L777" s="27">
        <f>IF($A777="","",IFERROR(VLOOKUP($A777,库存台账!$A$5:$Y$1204,24,0),0))</f>
        <v/>
      </c>
      <c r="M777" s="26">
        <f>IF($A777="","",IFERROR(VLOOKUP($A777,库存台账!$A$5:$Y$1204,25,0),0))</f>
        <v/>
      </c>
      <c r="N777" s="19">
        <f>IF($A777="","",IFERROR(LOOKUP(2,1/((出库单!$D$4:$D$4003=$A777)*(出库单!$T$4:$T$4003="正常")),出库单!$C$4:$C$4003),""))</f>
        <v/>
      </c>
      <c r="O777" s="28">
        <f>IF($A777="","",IF($L777&lt;=0,"",IF($N777="",IFERROR(账期止-LOOKUP(2,1/(入库单!$G$4:$G$2503=$A777),入库单!$C$4:$C$2503),""),账期止-$N777)))</f>
        <v/>
      </c>
      <c r="P777" s="17" t="n"/>
    </row>
    <row r="778">
      <c r="A778" s="17" t="inlineStr">
        <is>
          <t>JH0775</t>
        </is>
      </c>
      <c r="B778" s="17" t="inlineStr">
        <is>
          <t>机械设备</t>
        </is>
      </c>
      <c r="C778" s="17" t="inlineStr">
        <is>
          <t>刹车皮</t>
        </is>
      </c>
      <c r="D778" s="17" t="inlineStr"/>
      <c r="E778" s="17" t="inlineStr">
        <is>
          <t>米</t>
        </is>
      </c>
      <c r="F778" s="17" t="inlineStr">
        <is>
          <t>否</t>
        </is>
      </c>
      <c r="G778" s="23" t="n"/>
      <c r="H778" s="24">
        <f>IF($A778="","",IFERROR(LOOKUP(2,1/((入库单!$G$4:$G$2503=$A778)*(入库单!$Y$4:$Y$2503="正常")*(入库单!$L$4:$L$2503&gt;0)),入库单!$D$4:$D$2503),""))</f>
        <v/>
      </c>
      <c r="I778" s="25">
        <f>IF($A778="","",IFERROR(LOOKUP(2,1/((入库单!$G$4:$G$2503=$A778)*(入库单!$Y$4:$Y$2503="正常")*(入库单!$L$4:$L$2503&gt;0)),入库单!$L$4:$L$2503),0))</f>
        <v/>
      </c>
      <c r="J778" s="26">
        <f>IF($A778="","",IF($H778="A国内",ROUND($I778*倍数A*汇率,0),IF($H778="B当地",ROUND($I778*系数B,0),0)))</f>
        <v/>
      </c>
      <c r="K778" s="24">
        <f>IF($A778="","",IF(COUNTIFS(入库单!$G$4:$G$2503,$A778,入库单!$X$4:$X$2503,"待补价")&gt;0,"待补价",IF(COUNTIFS(入库单!$G$4:$G$2503,$A778,入库单!$X$4:$X$2503,"暂估")&gt;0,"暂估",IF($I778=0,"没有进价","正常"))))</f>
        <v/>
      </c>
      <c r="L778" s="27">
        <f>IF($A778="","",IFERROR(VLOOKUP($A778,库存台账!$A$5:$Y$1204,24,0),0))</f>
        <v/>
      </c>
      <c r="M778" s="26">
        <f>IF($A778="","",IFERROR(VLOOKUP($A778,库存台账!$A$5:$Y$1204,25,0),0))</f>
        <v/>
      </c>
      <c r="N778" s="19">
        <f>IF($A778="","",IFERROR(LOOKUP(2,1/((出库单!$D$4:$D$4003=$A778)*(出库单!$T$4:$T$4003="正常")),出库单!$C$4:$C$4003),""))</f>
        <v/>
      </c>
      <c r="O778" s="28">
        <f>IF($A778="","",IF($L778&lt;=0,"",IF($N778="",IFERROR(账期止-LOOKUP(2,1/(入库单!$G$4:$G$2503=$A778),入库单!$C$4:$C$2503),""),账期止-$N778)))</f>
        <v/>
      </c>
      <c r="P778" s="17" t="n"/>
    </row>
    <row r="779">
      <c r="A779" s="17" t="inlineStr">
        <is>
          <t>JH0776</t>
        </is>
      </c>
      <c r="B779" s="17" t="inlineStr">
        <is>
          <t>机械设备</t>
        </is>
      </c>
      <c r="C779" s="17" t="inlineStr">
        <is>
          <t>刹车块</t>
        </is>
      </c>
      <c r="D779" s="17" t="inlineStr"/>
      <c r="E779" s="17" t="inlineStr">
        <is>
          <t>块</t>
        </is>
      </c>
      <c r="F779" s="17" t="inlineStr">
        <is>
          <t>否</t>
        </is>
      </c>
      <c r="G779" s="23" t="n"/>
      <c r="H779" s="24">
        <f>IF($A779="","",IFERROR(LOOKUP(2,1/((入库单!$G$4:$G$2503=$A779)*(入库单!$Y$4:$Y$2503="正常")*(入库单!$L$4:$L$2503&gt;0)),入库单!$D$4:$D$2503),""))</f>
        <v/>
      </c>
      <c r="I779" s="25">
        <f>IF($A779="","",IFERROR(LOOKUP(2,1/((入库单!$G$4:$G$2503=$A779)*(入库单!$Y$4:$Y$2503="正常")*(入库单!$L$4:$L$2503&gt;0)),入库单!$L$4:$L$2503),0))</f>
        <v/>
      </c>
      <c r="J779" s="26">
        <f>IF($A779="","",IF($H779="A国内",ROUND($I779*倍数A*汇率,0),IF($H779="B当地",ROUND($I779*系数B,0),0)))</f>
        <v/>
      </c>
      <c r="K779" s="24">
        <f>IF($A779="","",IF(COUNTIFS(入库单!$G$4:$G$2503,$A779,入库单!$X$4:$X$2503,"待补价")&gt;0,"待补价",IF(COUNTIFS(入库单!$G$4:$G$2503,$A779,入库单!$X$4:$X$2503,"暂估")&gt;0,"暂估",IF($I779=0,"没有进价","正常"))))</f>
        <v/>
      </c>
      <c r="L779" s="27">
        <f>IF($A779="","",IFERROR(VLOOKUP($A779,库存台账!$A$5:$Y$1204,24,0),0))</f>
        <v/>
      </c>
      <c r="M779" s="26">
        <f>IF($A779="","",IFERROR(VLOOKUP($A779,库存台账!$A$5:$Y$1204,25,0),0))</f>
        <v/>
      </c>
      <c r="N779" s="19">
        <f>IF($A779="","",IFERROR(LOOKUP(2,1/((出库单!$D$4:$D$4003=$A779)*(出库单!$T$4:$T$4003="正常")),出库单!$C$4:$C$4003),""))</f>
        <v/>
      </c>
      <c r="O779" s="28">
        <f>IF($A779="","",IF($L779&lt;=0,"",IF($N779="",IFERROR(账期止-LOOKUP(2,1/(入库单!$G$4:$G$2503=$A779),入库单!$C$4:$C$2503),""),账期止-$N779)))</f>
        <v/>
      </c>
      <c r="P779" s="17" t="n"/>
    </row>
    <row r="780">
      <c r="A780" s="17" t="inlineStr">
        <is>
          <t>JH0777</t>
        </is>
      </c>
      <c r="B780" s="17" t="inlineStr">
        <is>
          <t>机械设备</t>
        </is>
      </c>
      <c r="C780" s="17" t="inlineStr">
        <is>
          <t>高压过滤器滤芯</t>
        </is>
      </c>
      <c r="D780" s="17" t="inlineStr"/>
      <c r="E780" s="17" t="inlineStr">
        <is>
          <t>个</t>
        </is>
      </c>
      <c r="F780" s="17" t="inlineStr">
        <is>
          <t>否</t>
        </is>
      </c>
      <c r="G780" s="23" t="n"/>
      <c r="H780" s="24">
        <f>IF($A780="","",IFERROR(LOOKUP(2,1/((入库单!$G$4:$G$2503=$A780)*(入库单!$Y$4:$Y$2503="正常")*(入库单!$L$4:$L$2503&gt;0)),入库单!$D$4:$D$2503),""))</f>
        <v/>
      </c>
      <c r="I780" s="25">
        <f>IF($A780="","",IFERROR(LOOKUP(2,1/((入库单!$G$4:$G$2503=$A780)*(入库单!$Y$4:$Y$2503="正常")*(入库单!$L$4:$L$2503&gt;0)),入库单!$L$4:$L$2503),0))</f>
        <v/>
      </c>
      <c r="J780" s="26">
        <f>IF($A780="","",IF($H780="A国内",ROUND($I780*倍数A*汇率,0),IF($H780="B当地",ROUND($I780*系数B,0),0)))</f>
        <v/>
      </c>
      <c r="K780" s="24">
        <f>IF($A780="","",IF(COUNTIFS(入库单!$G$4:$G$2503,$A780,入库单!$X$4:$X$2503,"待补价")&gt;0,"待补价",IF(COUNTIFS(入库单!$G$4:$G$2503,$A780,入库单!$X$4:$X$2503,"暂估")&gt;0,"暂估",IF($I780=0,"没有进价","正常"))))</f>
        <v/>
      </c>
      <c r="L780" s="27">
        <f>IF($A780="","",IFERROR(VLOOKUP($A780,库存台账!$A$5:$Y$1204,24,0),0))</f>
        <v/>
      </c>
      <c r="M780" s="26">
        <f>IF($A780="","",IFERROR(VLOOKUP($A780,库存台账!$A$5:$Y$1204,25,0),0))</f>
        <v/>
      </c>
      <c r="N780" s="19">
        <f>IF($A780="","",IFERROR(LOOKUP(2,1/((出库单!$D$4:$D$4003=$A780)*(出库单!$T$4:$T$4003="正常")),出库单!$C$4:$C$4003),""))</f>
        <v/>
      </c>
      <c r="O780" s="28">
        <f>IF($A780="","",IF($L780&lt;=0,"",IF($N780="",IFERROR(账期止-LOOKUP(2,1/(入库单!$G$4:$G$2503=$A780),入库单!$C$4:$C$2503),""),账期止-$N780)))</f>
        <v/>
      </c>
      <c r="P780" s="17" t="n"/>
    </row>
    <row r="781">
      <c r="A781" s="17" t="inlineStr">
        <is>
          <t>JH0778</t>
        </is>
      </c>
      <c r="B781" s="17" t="inlineStr">
        <is>
          <t>机械设备</t>
        </is>
      </c>
      <c r="C781" s="17" t="inlineStr">
        <is>
          <t>进油过滤器</t>
        </is>
      </c>
      <c r="D781" s="17" t="inlineStr">
        <is>
          <t>WU--63--100J</t>
        </is>
      </c>
      <c r="E781" s="17" t="inlineStr">
        <is>
          <t>个</t>
        </is>
      </c>
      <c r="F781" s="17" t="inlineStr">
        <is>
          <t>否</t>
        </is>
      </c>
      <c r="G781" s="23" t="n"/>
      <c r="H781" s="24">
        <f>IF($A781="","",IFERROR(LOOKUP(2,1/((入库单!$G$4:$G$2503=$A781)*(入库单!$Y$4:$Y$2503="正常")*(入库单!$L$4:$L$2503&gt;0)),入库单!$D$4:$D$2503),""))</f>
        <v/>
      </c>
      <c r="I781" s="25">
        <f>IF($A781="","",IFERROR(LOOKUP(2,1/((入库单!$G$4:$G$2503=$A781)*(入库单!$Y$4:$Y$2503="正常")*(入库单!$L$4:$L$2503&gt;0)),入库单!$L$4:$L$2503),0))</f>
        <v/>
      </c>
      <c r="J781" s="26">
        <f>IF($A781="","",IF($H781="A国内",ROUND($I781*倍数A*汇率,0),IF($H781="B当地",ROUND($I781*系数B,0),0)))</f>
        <v/>
      </c>
      <c r="K781" s="24">
        <f>IF($A781="","",IF(COUNTIFS(入库单!$G$4:$G$2503,$A781,入库单!$X$4:$X$2503,"待补价")&gt;0,"待补价",IF(COUNTIFS(入库单!$G$4:$G$2503,$A781,入库单!$X$4:$X$2503,"暂估")&gt;0,"暂估",IF($I781=0,"没有进价","正常"))))</f>
        <v/>
      </c>
      <c r="L781" s="27">
        <f>IF($A781="","",IFERROR(VLOOKUP($A781,库存台账!$A$5:$Y$1204,24,0),0))</f>
        <v/>
      </c>
      <c r="M781" s="26">
        <f>IF($A781="","",IFERROR(VLOOKUP($A781,库存台账!$A$5:$Y$1204,25,0),0))</f>
        <v/>
      </c>
      <c r="N781" s="19">
        <f>IF($A781="","",IFERROR(LOOKUP(2,1/((出库单!$D$4:$D$4003=$A781)*(出库单!$T$4:$T$4003="正常")),出库单!$C$4:$C$4003),""))</f>
        <v/>
      </c>
      <c r="O781" s="28">
        <f>IF($A781="","",IF($L781&lt;=0,"",IF($N781="",IFERROR(账期止-LOOKUP(2,1/(入库单!$G$4:$G$2503=$A781),入库单!$C$4:$C$2503),""),账期止-$N781)))</f>
        <v/>
      </c>
      <c r="P781" s="17" t="n"/>
    </row>
    <row r="782">
      <c r="A782" s="17" t="inlineStr">
        <is>
          <t>JH0779</t>
        </is>
      </c>
      <c r="B782" s="17" t="inlineStr">
        <is>
          <t>机械设备</t>
        </is>
      </c>
      <c r="C782" s="17" t="inlineStr">
        <is>
          <t>空滤器</t>
        </is>
      </c>
      <c r="D782" s="17" t="inlineStr">
        <is>
          <t>QUQ2</t>
        </is>
      </c>
      <c r="E782" s="17" t="inlineStr">
        <is>
          <t>个</t>
        </is>
      </c>
      <c r="F782" s="17" t="inlineStr">
        <is>
          <t>否</t>
        </is>
      </c>
      <c r="G782" s="23" t="n"/>
      <c r="H782" s="24">
        <f>IF($A782="","",IFERROR(LOOKUP(2,1/((入库单!$G$4:$G$2503=$A782)*(入库单!$Y$4:$Y$2503="正常")*(入库单!$L$4:$L$2503&gt;0)),入库单!$D$4:$D$2503),""))</f>
        <v/>
      </c>
      <c r="I782" s="25">
        <f>IF($A782="","",IFERROR(LOOKUP(2,1/((入库单!$G$4:$G$2503=$A782)*(入库单!$Y$4:$Y$2503="正常")*(入库单!$L$4:$L$2503&gt;0)),入库单!$L$4:$L$2503),0))</f>
        <v/>
      </c>
      <c r="J782" s="26">
        <f>IF($A782="","",IF($H782="A国内",ROUND($I782*倍数A*汇率,0),IF($H782="B当地",ROUND($I782*系数B,0),0)))</f>
        <v/>
      </c>
      <c r="K782" s="24">
        <f>IF($A782="","",IF(COUNTIFS(入库单!$G$4:$G$2503,$A782,入库单!$X$4:$X$2503,"待补价")&gt;0,"待补价",IF(COUNTIFS(入库单!$G$4:$G$2503,$A782,入库单!$X$4:$X$2503,"暂估")&gt;0,"暂估",IF($I782=0,"没有进价","正常"))))</f>
        <v/>
      </c>
      <c r="L782" s="27">
        <f>IF($A782="","",IFERROR(VLOOKUP($A782,库存台账!$A$5:$Y$1204,24,0),0))</f>
        <v/>
      </c>
      <c r="M782" s="26">
        <f>IF($A782="","",IFERROR(VLOOKUP($A782,库存台账!$A$5:$Y$1204,25,0),0))</f>
        <v/>
      </c>
      <c r="N782" s="19">
        <f>IF($A782="","",IFERROR(LOOKUP(2,1/((出库单!$D$4:$D$4003=$A782)*(出库单!$T$4:$T$4003="正常")),出库单!$C$4:$C$4003),""))</f>
        <v/>
      </c>
      <c r="O782" s="28">
        <f>IF($A782="","",IF($L782&lt;=0,"",IF($N782="",IFERROR(账期止-LOOKUP(2,1/(入库单!$G$4:$G$2503=$A782),入库单!$C$4:$C$2503),""),账期止-$N782)))</f>
        <v/>
      </c>
      <c r="P782" s="17" t="n"/>
    </row>
    <row r="783">
      <c r="A783" s="17" t="inlineStr">
        <is>
          <t>JH0780</t>
        </is>
      </c>
      <c r="B783" s="17" t="inlineStr">
        <is>
          <t>机械设备</t>
        </is>
      </c>
      <c r="C783" s="17" t="inlineStr">
        <is>
          <t>卷筒刹车带</t>
        </is>
      </c>
      <c r="D783" s="17" t="inlineStr">
        <is>
          <t>100*10*800（一卷8米）</t>
        </is>
      </c>
      <c r="E783" s="17" t="inlineStr">
        <is>
          <t>盘</t>
        </is>
      </c>
      <c r="F783" s="17" t="inlineStr">
        <is>
          <t>否</t>
        </is>
      </c>
      <c r="G783" s="23" t="n"/>
      <c r="H783" s="24">
        <f>IF($A783="","",IFERROR(LOOKUP(2,1/((入库单!$G$4:$G$2503=$A783)*(入库单!$Y$4:$Y$2503="正常")*(入库单!$L$4:$L$2503&gt;0)),入库单!$D$4:$D$2503),""))</f>
        <v/>
      </c>
      <c r="I783" s="25">
        <f>IF($A783="","",IFERROR(LOOKUP(2,1/((入库单!$G$4:$G$2503=$A783)*(入库单!$Y$4:$Y$2503="正常")*(入库单!$L$4:$L$2503&gt;0)),入库单!$L$4:$L$2503),0))</f>
        <v/>
      </c>
      <c r="J783" s="26">
        <f>IF($A783="","",IF($H783="A国内",ROUND($I783*倍数A*汇率,0),IF($H783="B当地",ROUND($I783*系数B,0),0)))</f>
        <v/>
      </c>
      <c r="K783" s="24">
        <f>IF($A783="","",IF(COUNTIFS(入库单!$G$4:$G$2503,$A783,入库单!$X$4:$X$2503,"待补价")&gt;0,"待补价",IF(COUNTIFS(入库单!$G$4:$G$2503,$A783,入库单!$X$4:$X$2503,"暂估")&gt;0,"暂估",IF($I783=0,"没有进价","正常"))))</f>
        <v/>
      </c>
      <c r="L783" s="27">
        <f>IF($A783="","",IFERROR(VLOOKUP($A783,库存台账!$A$5:$Y$1204,24,0),0))</f>
        <v/>
      </c>
      <c r="M783" s="26">
        <f>IF($A783="","",IFERROR(VLOOKUP($A783,库存台账!$A$5:$Y$1204,25,0),0))</f>
        <v/>
      </c>
      <c r="N783" s="19">
        <f>IF($A783="","",IFERROR(LOOKUP(2,1/((出库单!$D$4:$D$4003=$A783)*(出库单!$T$4:$T$4003="正常")),出库单!$C$4:$C$4003),""))</f>
        <v/>
      </c>
      <c r="O783" s="28">
        <f>IF($A783="","",IF($L783&lt;=0,"",IF($N783="",IFERROR(账期止-LOOKUP(2,1/(入库单!$G$4:$G$2503=$A783),入库单!$C$4:$C$2503),""),账期止-$N783)))</f>
        <v/>
      </c>
      <c r="P783" s="17" t="n"/>
    </row>
    <row r="784">
      <c r="A784" s="17" t="inlineStr">
        <is>
          <t>JH0781</t>
        </is>
      </c>
      <c r="B784" s="17" t="inlineStr">
        <is>
          <t>机械设备</t>
        </is>
      </c>
      <c r="C784" s="17" t="inlineStr">
        <is>
          <t>瓦块刹车带</t>
        </is>
      </c>
      <c r="D784" s="17" t="inlineStr">
        <is>
          <t>140*10*200（一卷8米）</t>
        </is>
      </c>
      <c r="E784" s="17" t="inlineStr">
        <is>
          <t>盘</t>
        </is>
      </c>
      <c r="F784" s="17" t="inlineStr">
        <is>
          <t>否</t>
        </is>
      </c>
      <c r="G784" s="23" t="n"/>
      <c r="H784" s="24">
        <f>IF($A784="","",IFERROR(LOOKUP(2,1/((入库单!$G$4:$G$2503=$A784)*(入库单!$Y$4:$Y$2503="正常")*(入库单!$L$4:$L$2503&gt;0)),入库单!$D$4:$D$2503),""))</f>
        <v/>
      </c>
      <c r="I784" s="25">
        <f>IF($A784="","",IFERROR(LOOKUP(2,1/((入库单!$G$4:$G$2503=$A784)*(入库单!$Y$4:$Y$2503="正常")*(入库单!$L$4:$L$2503&gt;0)),入库单!$L$4:$L$2503),0))</f>
        <v/>
      </c>
      <c r="J784" s="26">
        <f>IF($A784="","",IF($H784="A国内",ROUND($I784*倍数A*汇率,0),IF($H784="B当地",ROUND($I784*系数B,0),0)))</f>
        <v/>
      </c>
      <c r="K784" s="24">
        <f>IF($A784="","",IF(COUNTIFS(入库单!$G$4:$G$2503,$A784,入库单!$X$4:$X$2503,"待补价")&gt;0,"待补价",IF(COUNTIFS(入库单!$G$4:$G$2503,$A784,入库单!$X$4:$X$2503,"暂估")&gt;0,"暂估",IF($I784=0,"没有进价","正常"))))</f>
        <v/>
      </c>
      <c r="L784" s="27">
        <f>IF($A784="","",IFERROR(VLOOKUP($A784,库存台账!$A$5:$Y$1204,24,0),0))</f>
        <v/>
      </c>
      <c r="M784" s="26">
        <f>IF($A784="","",IFERROR(VLOOKUP($A784,库存台账!$A$5:$Y$1204,25,0),0))</f>
        <v/>
      </c>
      <c r="N784" s="19">
        <f>IF($A784="","",IFERROR(LOOKUP(2,1/((出库单!$D$4:$D$4003=$A784)*(出库单!$T$4:$T$4003="正常")),出库单!$C$4:$C$4003),""))</f>
        <v/>
      </c>
      <c r="O784" s="28">
        <f>IF($A784="","",IF($L784&lt;=0,"",IF($N784="",IFERROR(账期止-LOOKUP(2,1/(入库单!$G$4:$G$2503=$A784),入库单!$C$4:$C$2503),""),账期止-$N784)))</f>
        <v/>
      </c>
      <c r="P784" s="17" t="n"/>
    </row>
    <row r="785">
      <c r="A785" s="17" t="inlineStr">
        <is>
          <t>JH0782</t>
        </is>
      </c>
      <c r="B785" s="17" t="inlineStr">
        <is>
          <t>机械设备</t>
        </is>
      </c>
      <c r="C785" s="17" t="inlineStr">
        <is>
          <t>电力抱闸瓦块</t>
        </is>
      </c>
      <c r="D785" s="17" t="inlineStr">
        <is>
          <t>YWZ-300 140*210
（手刹两块，电刹两块）</t>
        </is>
      </c>
      <c r="E785" s="17" t="inlineStr">
        <is>
          <t>个</t>
        </is>
      </c>
      <c r="F785" s="17" t="inlineStr">
        <is>
          <t>否</t>
        </is>
      </c>
      <c r="G785" s="23" t="n"/>
      <c r="H785" s="24">
        <f>IF($A785="","",IFERROR(LOOKUP(2,1/((入库单!$G$4:$G$2503=$A785)*(入库单!$Y$4:$Y$2503="正常")*(入库单!$L$4:$L$2503&gt;0)),入库单!$D$4:$D$2503),""))</f>
        <v/>
      </c>
      <c r="I785" s="25">
        <f>IF($A785="","",IFERROR(LOOKUP(2,1/((入库单!$G$4:$G$2503=$A785)*(入库单!$Y$4:$Y$2503="正常")*(入库单!$L$4:$L$2503&gt;0)),入库单!$L$4:$L$2503),0))</f>
        <v/>
      </c>
      <c r="J785" s="26">
        <f>IF($A785="","",IF($H785="A国内",ROUND($I785*倍数A*汇率,0),IF($H785="B当地",ROUND($I785*系数B,0),0)))</f>
        <v/>
      </c>
      <c r="K785" s="24">
        <f>IF($A785="","",IF(COUNTIFS(入库单!$G$4:$G$2503,$A785,入库单!$X$4:$X$2503,"待补价")&gt;0,"待补价",IF(COUNTIFS(入库单!$G$4:$G$2503,$A785,入库单!$X$4:$X$2503,"暂估")&gt;0,"暂估",IF($I785=0,"没有进价","正常"))))</f>
        <v/>
      </c>
      <c r="L785" s="27">
        <f>IF($A785="","",IFERROR(VLOOKUP($A785,库存台账!$A$5:$Y$1204,24,0),0))</f>
        <v/>
      </c>
      <c r="M785" s="26">
        <f>IF($A785="","",IFERROR(VLOOKUP($A785,库存台账!$A$5:$Y$1204,25,0),0))</f>
        <v/>
      </c>
      <c r="N785" s="19">
        <f>IF($A785="","",IFERROR(LOOKUP(2,1/((出库单!$D$4:$D$4003=$A785)*(出库单!$T$4:$T$4003="正常")),出库单!$C$4:$C$4003),""))</f>
        <v/>
      </c>
      <c r="O785" s="28">
        <f>IF($A785="","",IF($L785&lt;=0,"",IF($N785="",IFERROR(账期止-LOOKUP(2,1/(入库单!$G$4:$G$2503=$A785),入库单!$C$4:$C$2503),""),账期止-$N785)))</f>
        <v/>
      </c>
      <c r="P785" s="17" t="n"/>
    </row>
    <row r="786">
      <c r="A786" s="17" t="inlineStr">
        <is>
          <t>JH0783</t>
        </is>
      </c>
      <c r="B786" s="17" t="inlineStr">
        <is>
          <t>机械设备</t>
        </is>
      </c>
      <c r="C786" s="17" t="inlineStr">
        <is>
          <t>刹车带铝铆钉</t>
        </is>
      </c>
      <c r="D786" s="17" t="inlineStr">
        <is>
          <t>JTK-1.0×0.8
（瓦块：32个，卷筒刹车：32个）</t>
        </is>
      </c>
      <c r="E786" s="17" t="inlineStr">
        <is>
          <t>个</t>
        </is>
      </c>
      <c r="F786" s="17" t="inlineStr">
        <is>
          <t>否</t>
        </is>
      </c>
      <c r="G786" s="23" t="n"/>
      <c r="H786" s="24">
        <f>IF($A786="","",IFERROR(LOOKUP(2,1/((入库单!$G$4:$G$2503=$A786)*(入库单!$Y$4:$Y$2503="正常")*(入库单!$L$4:$L$2503&gt;0)),入库单!$D$4:$D$2503),""))</f>
        <v/>
      </c>
      <c r="I786" s="25">
        <f>IF($A786="","",IFERROR(LOOKUP(2,1/((入库单!$G$4:$G$2503=$A786)*(入库单!$Y$4:$Y$2503="正常")*(入库单!$L$4:$L$2503&gt;0)),入库单!$L$4:$L$2503),0))</f>
        <v/>
      </c>
      <c r="J786" s="26">
        <f>IF($A786="","",IF($H786="A国内",ROUND($I786*倍数A*汇率,0),IF($H786="B当地",ROUND($I786*系数B,0),0)))</f>
        <v/>
      </c>
      <c r="K786" s="24">
        <f>IF($A786="","",IF(COUNTIFS(入库单!$G$4:$G$2503,$A786,入库单!$X$4:$X$2503,"待补价")&gt;0,"待补价",IF(COUNTIFS(入库单!$G$4:$G$2503,$A786,入库单!$X$4:$X$2503,"暂估")&gt;0,"暂估",IF($I786=0,"没有进价","正常"))))</f>
        <v/>
      </c>
      <c r="L786" s="27">
        <f>IF($A786="","",IFERROR(VLOOKUP($A786,库存台账!$A$5:$Y$1204,24,0),0))</f>
        <v/>
      </c>
      <c r="M786" s="26">
        <f>IF($A786="","",IFERROR(VLOOKUP($A786,库存台账!$A$5:$Y$1204,25,0),0))</f>
        <v/>
      </c>
      <c r="N786" s="19">
        <f>IF($A786="","",IFERROR(LOOKUP(2,1/((出库单!$D$4:$D$4003=$A786)*(出库单!$T$4:$T$4003="正常")),出库单!$C$4:$C$4003),""))</f>
        <v/>
      </c>
      <c r="O786" s="28">
        <f>IF($A786="","",IF($L786&lt;=0,"",IF($N786="",IFERROR(账期止-LOOKUP(2,1/(入库单!$G$4:$G$2503=$A786),入库单!$C$4:$C$2503),""),账期止-$N786)))</f>
        <v/>
      </c>
      <c r="P786" s="17" t="n"/>
    </row>
    <row r="787">
      <c r="A787" s="17" t="inlineStr">
        <is>
          <t>JH0784</t>
        </is>
      </c>
      <c r="B787" s="17" t="inlineStr">
        <is>
          <t>集装箱</t>
        </is>
      </c>
      <c r="C787" s="17" t="inlineStr">
        <is>
          <t>集装箱</t>
        </is>
      </c>
      <c r="D787" s="17" t="inlineStr">
        <is>
          <t>20GP小箱</t>
        </is>
      </c>
      <c r="E787" s="17" t="inlineStr">
        <is>
          <t>个</t>
        </is>
      </c>
      <c r="F787" s="17" t="inlineStr">
        <is>
          <t>否</t>
        </is>
      </c>
      <c r="G787" s="23" t="n"/>
      <c r="H787" s="24">
        <f>IF($A787="","",IFERROR(LOOKUP(2,1/((入库单!$G$4:$G$2503=$A787)*(入库单!$Y$4:$Y$2503="正常")*(入库单!$L$4:$L$2503&gt;0)),入库单!$D$4:$D$2503),""))</f>
        <v/>
      </c>
      <c r="I787" s="25">
        <f>IF($A787="","",IFERROR(LOOKUP(2,1/((入库单!$G$4:$G$2503=$A787)*(入库单!$Y$4:$Y$2503="正常")*(入库单!$L$4:$L$2503&gt;0)),入库单!$L$4:$L$2503),0))</f>
        <v/>
      </c>
      <c r="J787" s="26">
        <f>IF($A787="","",IF($H787="A国内",ROUND($I787*倍数A*汇率,0),IF($H787="B当地",ROUND($I787*系数B,0),0)))</f>
        <v/>
      </c>
      <c r="K787" s="24">
        <f>IF($A787="","",IF(COUNTIFS(入库单!$G$4:$G$2503,$A787,入库单!$X$4:$X$2503,"待补价")&gt;0,"待补价",IF(COUNTIFS(入库单!$G$4:$G$2503,$A787,入库单!$X$4:$X$2503,"暂估")&gt;0,"暂估",IF($I787=0,"没有进价","正常"))))</f>
        <v/>
      </c>
      <c r="L787" s="27">
        <f>IF($A787="","",IFERROR(VLOOKUP($A787,库存台账!$A$5:$Y$1204,24,0),0))</f>
        <v/>
      </c>
      <c r="M787" s="26">
        <f>IF($A787="","",IFERROR(VLOOKUP($A787,库存台账!$A$5:$Y$1204,25,0),0))</f>
        <v/>
      </c>
      <c r="N787" s="19">
        <f>IF($A787="","",IFERROR(LOOKUP(2,1/((出库单!$D$4:$D$4003=$A787)*(出库单!$T$4:$T$4003="正常")),出库单!$C$4:$C$4003),""))</f>
        <v/>
      </c>
      <c r="O787" s="28">
        <f>IF($A787="","",IF($L787&lt;=0,"",IF($N787="",IFERROR(账期止-LOOKUP(2,1/(入库单!$G$4:$G$2503=$A787),入库单!$C$4:$C$2503),""),账期止-$N787)))</f>
        <v/>
      </c>
      <c r="P787" s="17" t="n"/>
    </row>
    <row r="788">
      <c r="A788" s="17" t="inlineStr">
        <is>
          <t>JH0785</t>
        </is>
      </c>
      <c r="B788" s="17" t="inlineStr">
        <is>
          <t>选矿药剂</t>
        </is>
      </c>
      <c r="C788" s="17" t="inlineStr">
        <is>
          <t>二丁基二硫代磷酸铵</t>
        </is>
      </c>
      <c r="D788" s="17" t="inlineStr"/>
      <c r="E788" s="17" t="inlineStr">
        <is>
          <t>袋/25KG</t>
        </is>
      </c>
      <c r="F788" s="17" t="inlineStr">
        <is>
          <t>是</t>
        </is>
      </c>
      <c r="G788" s="23" t="n"/>
      <c r="H788" s="24">
        <f>IF($A788="","",IFERROR(LOOKUP(2,1/((入库单!$G$4:$G$2503=$A788)*(入库单!$Y$4:$Y$2503="正常")*(入库单!$L$4:$L$2503&gt;0)),入库单!$D$4:$D$2503),""))</f>
        <v/>
      </c>
      <c r="I788" s="25">
        <f>IF($A788="","",IFERROR(LOOKUP(2,1/((入库单!$G$4:$G$2503=$A788)*(入库单!$Y$4:$Y$2503="正常")*(入库单!$L$4:$L$2503&gt;0)),入库单!$L$4:$L$2503),0))</f>
        <v/>
      </c>
      <c r="J788" s="26">
        <f>IF($A788="","",IF($H788="A国内",ROUND($I788*倍数A*汇率,0),IF($H788="B当地",ROUND($I788*系数B,0),0)))</f>
        <v/>
      </c>
      <c r="K788" s="24">
        <f>IF($A788="","",IF(COUNTIFS(入库单!$G$4:$G$2503,$A788,入库单!$X$4:$X$2503,"待补价")&gt;0,"待补价",IF(COUNTIFS(入库单!$G$4:$G$2503,$A788,入库单!$X$4:$X$2503,"暂估")&gt;0,"暂估",IF($I788=0,"没有进价","正常"))))</f>
        <v/>
      </c>
      <c r="L788" s="27">
        <f>IF($A788="","",IFERROR(VLOOKUP($A788,库存台账!$A$5:$Y$1204,24,0),0))</f>
        <v/>
      </c>
      <c r="M788" s="26">
        <f>IF($A788="","",IFERROR(VLOOKUP($A788,库存台账!$A$5:$Y$1204,25,0),0))</f>
        <v/>
      </c>
      <c r="N788" s="19">
        <f>IF($A788="","",IFERROR(LOOKUP(2,1/((出库单!$D$4:$D$4003=$A788)*(出库单!$T$4:$T$4003="正常")),出库单!$C$4:$C$4003),""))</f>
        <v/>
      </c>
      <c r="O788" s="28">
        <f>IF($A788="","",IF($L788&lt;=0,"",IF($N788="",IFERROR(账期止-LOOKUP(2,1/(入库单!$G$4:$G$2503=$A788),入库单!$C$4:$C$2503),""),账期止-$N788)))</f>
        <v/>
      </c>
      <c r="P788" s="17" t="n"/>
    </row>
    <row r="789">
      <c r="A789" s="17" t="inlineStr">
        <is>
          <t>JH0786</t>
        </is>
      </c>
      <c r="B789" s="17" t="inlineStr">
        <is>
          <t>选矿药剂</t>
        </is>
      </c>
      <c r="C789" s="17" t="inlineStr">
        <is>
          <t>松醇油 (松节油 2)</t>
        </is>
      </c>
      <c r="D789" s="17" t="inlineStr"/>
      <c r="E789" s="17" t="inlineStr">
        <is>
          <t>桶/900KG</t>
        </is>
      </c>
      <c r="F789" s="17" t="inlineStr">
        <is>
          <t>是</t>
        </is>
      </c>
      <c r="G789" s="23" t="n"/>
      <c r="H789" s="24">
        <f>IF($A789="","",IFERROR(LOOKUP(2,1/((入库单!$G$4:$G$2503=$A789)*(入库单!$Y$4:$Y$2503="正常")*(入库单!$L$4:$L$2503&gt;0)),入库单!$D$4:$D$2503),""))</f>
        <v/>
      </c>
      <c r="I789" s="25">
        <f>IF($A789="","",IFERROR(LOOKUP(2,1/((入库单!$G$4:$G$2503=$A789)*(入库单!$Y$4:$Y$2503="正常")*(入库单!$L$4:$L$2503&gt;0)),入库单!$L$4:$L$2503),0))</f>
        <v/>
      </c>
      <c r="J789" s="26">
        <f>IF($A789="","",IF($H789="A国内",ROUND($I789*倍数A*汇率,0),IF($H789="B当地",ROUND($I789*系数B,0),0)))</f>
        <v/>
      </c>
      <c r="K789" s="24">
        <f>IF($A789="","",IF(COUNTIFS(入库单!$G$4:$G$2503,$A789,入库单!$X$4:$X$2503,"待补价")&gt;0,"待补价",IF(COUNTIFS(入库单!$G$4:$G$2503,$A789,入库单!$X$4:$X$2503,"暂估")&gt;0,"暂估",IF($I789=0,"没有进价","正常"))))</f>
        <v/>
      </c>
      <c r="L789" s="27">
        <f>IF($A789="","",IFERROR(VLOOKUP($A789,库存台账!$A$5:$Y$1204,24,0),0))</f>
        <v/>
      </c>
      <c r="M789" s="26">
        <f>IF($A789="","",IFERROR(VLOOKUP($A789,库存台账!$A$5:$Y$1204,25,0),0))</f>
        <v/>
      </c>
      <c r="N789" s="19">
        <f>IF($A789="","",IFERROR(LOOKUP(2,1/((出库单!$D$4:$D$4003=$A789)*(出库单!$T$4:$T$4003="正常")),出库单!$C$4:$C$4003),""))</f>
        <v/>
      </c>
      <c r="O789" s="28">
        <f>IF($A789="","",IF($L789&lt;=0,"",IF($N789="",IFERROR(账期止-LOOKUP(2,1/(入库单!$G$4:$G$2503=$A789),入库单!$C$4:$C$2503),""),账期止-$N789)))</f>
        <v/>
      </c>
      <c r="P789" s="17" t="n"/>
    </row>
    <row r="790">
      <c r="A790" s="17" t="inlineStr">
        <is>
          <t>JH0787</t>
        </is>
      </c>
      <c r="B790" s="17" t="inlineStr">
        <is>
          <t>选矿药剂</t>
        </is>
      </c>
      <c r="C790" s="17" t="inlineStr">
        <is>
          <t>硫酸铜</t>
        </is>
      </c>
      <c r="D790" s="17" t="inlineStr"/>
      <c r="E790" s="17" t="inlineStr">
        <is>
          <t>袋/25KG</t>
        </is>
      </c>
      <c r="F790" s="17" t="inlineStr">
        <is>
          <t>是</t>
        </is>
      </c>
      <c r="G790" s="23" t="n"/>
      <c r="H790" s="24">
        <f>IF($A790="","",IFERROR(LOOKUP(2,1/((入库单!$G$4:$G$2503=$A790)*(入库单!$Y$4:$Y$2503="正常")*(入库单!$L$4:$L$2503&gt;0)),入库单!$D$4:$D$2503),""))</f>
        <v/>
      </c>
      <c r="I790" s="25">
        <f>IF($A790="","",IFERROR(LOOKUP(2,1/((入库单!$G$4:$G$2503=$A790)*(入库单!$Y$4:$Y$2503="正常")*(入库单!$L$4:$L$2503&gt;0)),入库单!$L$4:$L$2503),0))</f>
        <v/>
      </c>
      <c r="J790" s="26">
        <f>IF($A790="","",IF($H790="A国内",ROUND($I790*倍数A*汇率,0),IF($H790="B当地",ROUND($I790*系数B,0),0)))</f>
        <v/>
      </c>
      <c r="K790" s="24">
        <f>IF($A790="","",IF(COUNTIFS(入库单!$G$4:$G$2503,$A790,入库单!$X$4:$X$2503,"待补价")&gt;0,"待补价",IF(COUNTIFS(入库单!$G$4:$G$2503,$A790,入库单!$X$4:$X$2503,"暂估")&gt;0,"暂估",IF($I790=0,"没有进价","正常"))))</f>
        <v/>
      </c>
      <c r="L790" s="27">
        <f>IF($A790="","",IFERROR(VLOOKUP($A790,库存台账!$A$5:$Y$1204,24,0),0))</f>
        <v/>
      </c>
      <c r="M790" s="26">
        <f>IF($A790="","",IFERROR(VLOOKUP($A790,库存台账!$A$5:$Y$1204,25,0),0))</f>
        <v/>
      </c>
      <c r="N790" s="19">
        <f>IF($A790="","",IFERROR(LOOKUP(2,1/((出库单!$D$4:$D$4003=$A790)*(出库单!$T$4:$T$4003="正常")),出库单!$C$4:$C$4003),""))</f>
        <v/>
      </c>
      <c r="O790" s="28">
        <f>IF($A790="","",IF($L790&lt;=0,"",IF($N790="",IFERROR(账期止-LOOKUP(2,1/(入库单!$G$4:$G$2503=$A790),入库单!$C$4:$C$2503),""),账期止-$N790)))</f>
        <v/>
      </c>
      <c r="P790" s="17" t="n"/>
    </row>
    <row r="791">
      <c r="A791" s="17" t="inlineStr">
        <is>
          <t>JH0788</t>
        </is>
      </c>
      <c r="B791" s="17" t="inlineStr">
        <is>
          <t>选矿药剂</t>
        </is>
      </c>
      <c r="C791" s="17" t="inlineStr">
        <is>
          <t>JB-05</t>
        </is>
      </c>
      <c r="D791" s="17" t="inlineStr"/>
      <c r="E791" s="17" t="inlineStr">
        <is>
          <t>袋/25KG</t>
        </is>
      </c>
      <c r="F791" s="17" t="inlineStr">
        <is>
          <t>是</t>
        </is>
      </c>
      <c r="G791" s="23" t="n"/>
      <c r="H791" s="24">
        <f>IF($A791="","",IFERROR(LOOKUP(2,1/((入库单!$G$4:$G$2503=$A791)*(入库单!$Y$4:$Y$2503="正常")*(入库单!$L$4:$L$2503&gt;0)),入库单!$D$4:$D$2503),""))</f>
        <v/>
      </c>
      <c r="I791" s="25">
        <f>IF($A791="","",IFERROR(LOOKUP(2,1/((入库单!$G$4:$G$2503=$A791)*(入库单!$Y$4:$Y$2503="正常")*(入库单!$L$4:$L$2503&gt;0)),入库单!$L$4:$L$2503),0))</f>
        <v/>
      </c>
      <c r="J791" s="26">
        <f>IF($A791="","",IF($H791="A国内",ROUND($I791*倍数A*汇率,0),IF($H791="B当地",ROUND($I791*系数B,0),0)))</f>
        <v/>
      </c>
      <c r="K791" s="24">
        <f>IF($A791="","",IF(COUNTIFS(入库单!$G$4:$G$2503,$A791,入库单!$X$4:$X$2503,"待补价")&gt;0,"待补价",IF(COUNTIFS(入库单!$G$4:$G$2503,$A791,入库单!$X$4:$X$2503,"暂估")&gt;0,"暂估",IF($I791=0,"没有进价","正常"))))</f>
        <v/>
      </c>
      <c r="L791" s="27">
        <f>IF($A791="","",IFERROR(VLOOKUP($A791,库存台账!$A$5:$Y$1204,24,0),0))</f>
        <v/>
      </c>
      <c r="M791" s="26">
        <f>IF($A791="","",IFERROR(VLOOKUP($A791,库存台账!$A$5:$Y$1204,25,0),0))</f>
        <v/>
      </c>
      <c r="N791" s="19">
        <f>IF($A791="","",IFERROR(LOOKUP(2,1/((出库单!$D$4:$D$4003=$A791)*(出库单!$T$4:$T$4003="正常")),出库单!$C$4:$C$4003),""))</f>
        <v/>
      </c>
      <c r="O791" s="28">
        <f>IF($A791="","",IF($L791&lt;=0,"",IF($N791="",IFERROR(账期止-LOOKUP(2,1/(入库单!$G$4:$G$2503=$A791),入库单!$C$4:$C$2503),""),账期止-$N791)))</f>
        <v/>
      </c>
      <c r="P791" s="17" t="n"/>
    </row>
    <row r="792">
      <c r="A792" s="17" t="inlineStr">
        <is>
          <t>JH0789</t>
        </is>
      </c>
      <c r="B792" s="17" t="inlineStr">
        <is>
          <t>磨矿介质</t>
        </is>
      </c>
      <c r="C792" s="17" t="inlineStr">
        <is>
          <t>钢球-30</t>
        </is>
      </c>
      <c r="D792" s="17" t="inlineStr"/>
      <c r="E792" s="17" t="inlineStr">
        <is>
          <t>吨</t>
        </is>
      </c>
      <c r="F792" s="17" t="inlineStr">
        <is>
          <t>是</t>
        </is>
      </c>
      <c r="G792" s="23" t="n"/>
      <c r="H792" s="24">
        <f>IF($A792="","",IFERROR(LOOKUP(2,1/((入库单!$G$4:$G$2503=$A792)*(入库单!$Y$4:$Y$2503="正常")*(入库单!$L$4:$L$2503&gt;0)),入库单!$D$4:$D$2503),""))</f>
        <v/>
      </c>
      <c r="I792" s="25">
        <f>IF($A792="","",IFERROR(LOOKUP(2,1/((入库单!$G$4:$G$2503=$A792)*(入库单!$Y$4:$Y$2503="正常")*(入库单!$L$4:$L$2503&gt;0)),入库单!$L$4:$L$2503),0))</f>
        <v/>
      </c>
      <c r="J792" s="26">
        <f>IF($A792="","",IF($H792="A国内",ROUND($I792*倍数A*汇率,0),IF($H792="B当地",ROUND($I792*系数B,0),0)))</f>
        <v/>
      </c>
      <c r="K792" s="24">
        <f>IF($A792="","",IF(COUNTIFS(入库单!$G$4:$G$2503,$A792,入库单!$X$4:$X$2503,"待补价")&gt;0,"待补价",IF(COUNTIFS(入库单!$G$4:$G$2503,$A792,入库单!$X$4:$X$2503,"暂估")&gt;0,"暂估",IF($I792=0,"没有进价","正常"))))</f>
        <v/>
      </c>
      <c r="L792" s="27">
        <f>IF($A792="","",IFERROR(VLOOKUP($A792,库存台账!$A$5:$Y$1204,24,0),0))</f>
        <v/>
      </c>
      <c r="M792" s="26">
        <f>IF($A792="","",IFERROR(VLOOKUP($A792,库存台账!$A$5:$Y$1204,25,0),0))</f>
        <v/>
      </c>
      <c r="N792" s="19">
        <f>IF($A792="","",IFERROR(LOOKUP(2,1/((出库单!$D$4:$D$4003=$A792)*(出库单!$T$4:$T$4003="正常")),出库单!$C$4:$C$4003),""))</f>
        <v/>
      </c>
      <c r="O792" s="28">
        <f>IF($A792="","",IF($L792&lt;=0,"",IF($N792="",IFERROR(账期止-LOOKUP(2,1/(入库单!$G$4:$G$2503=$A792),入库单!$C$4:$C$2503),""),账期止-$N792)))</f>
        <v/>
      </c>
      <c r="P792" s="17" t="n"/>
    </row>
    <row r="793">
      <c r="A793" s="17" t="inlineStr">
        <is>
          <t>JH0790</t>
        </is>
      </c>
      <c r="B793" s="17" t="inlineStr">
        <is>
          <t>磨矿介质</t>
        </is>
      </c>
      <c r="C793" s="17" t="inlineStr">
        <is>
          <t>钢球-50</t>
        </is>
      </c>
      <c r="D793" s="17" t="inlineStr"/>
      <c r="E793" s="17" t="inlineStr">
        <is>
          <t>吨</t>
        </is>
      </c>
      <c r="F793" s="17" t="inlineStr">
        <is>
          <t>是</t>
        </is>
      </c>
      <c r="G793" s="23" t="n"/>
      <c r="H793" s="24">
        <f>IF($A793="","",IFERROR(LOOKUP(2,1/((入库单!$G$4:$G$2503=$A793)*(入库单!$Y$4:$Y$2503="正常")*(入库单!$L$4:$L$2503&gt;0)),入库单!$D$4:$D$2503),""))</f>
        <v/>
      </c>
      <c r="I793" s="25">
        <f>IF($A793="","",IFERROR(LOOKUP(2,1/((入库单!$G$4:$G$2503=$A793)*(入库单!$Y$4:$Y$2503="正常")*(入库单!$L$4:$L$2503&gt;0)),入库单!$L$4:$L$2503),0))</f>
        <v/>
      </c>
      <c r="J793" s="26">
        <f>IF($A793="","",IF($H793="A国内",ROUND($I793*倍数A*汇率,0),IF($H793="B当地",ROUND($I793*系数B,0),0)))</f>
        <v/>
      </c>
      <c r="K793" s="24">
        <f>IF($A793="","",IF(COUNTIFS(入库单!$G$4:$G$2503,$A793,入库单!$X$4:$X$2503,"待补价")&gt;0,"待补价",IF(COUNTIFS(入库单!$G$4:$G$2503,$A793,入库单!$X$4:$X$2503,"暂估")&gt;0,"暂估",IF($I793=0,"没有进价","正常"))))</f>
        <v/>
      </c>
      <c r="L793" s="27">
        <f>IF($A793="","",IFERROR(VLOOKUP($A793,库存台账!$A$5:$Y$1204,24,0),0))</f>
        <v/>
      </c>
      <c r="M793" s="26">
        <f>IF($A793="","",IFERROR(VLOOKUP($A793,库存台账!$A$5:$Y$1204,25,0),0))</f>
        <v/>
      </c>
      <c r="N793" s="19">
        <f>IF($A793="","",IFERROR(LOOKUP(2,1/((出库单!$D$4:$D$4003=$A793)*(出库单!$T$4:$T$4003="正常")),出库单!$C$4:$C$4003),""))</f>
        <v/>
      </c>
      <c r="O793" s="28">
        <f>IF($A793="","",IF($L793&lt;=0,"",IF($N793="",IFERROR(账期止-LOOKUP(2,1/(入库单!$G$4:$G$2503=$A793),入库单!$C$4:$C$2503),""),账期止-$N793)))</f>
        <v/>
      </c>
      <c r="P793" s="17" t="n"/>
    </row>
    <row r="794">
      <c r="A794" s="17" t="inlineStr">
        <is>
          <t>JH0791</t>
        </is>
      </c>
      <c r="B794" s="17" t="inlineStr">
        <is>
          <t>其他</t>
        </is>
      </c>
      <c r="C794" s="17" t="inlineStr">
        <is>
          <t>试剂</t>
        </is>
      </c>
      <c r="D794" s="17" t="inlineStr"/>
      <c r="E794" s="17" t="inlineStr">
        <is>
          <t>个</t>
        </is>
      </c>
      <c r="F794" s="17" t="inlineStr">
        <is>
          <t>否</t>
        </is>
      </c>
      <c r="G794" s="23" t="n"/>
      <c r="H794" s="24">
        <f>IF($A794="","",IFERROR(LOOKUP(2,1/((入库单!$G$4:$G$2503=$A794)*(入库单!$Y$4:$Y$2503="正常")*(入库单!$L$4:$L$2503&gt;0)),入库单!$D$4:$D$2503),""))</f>
        <v/>
      </c>
      <c r="I794" s="25">
        <f>IF($A794="","",IFERROR(LOOKUP(2,1/((入库单!$G$4:$G$2503=$A794)*(入库单!$Y$4:$Y$2503="正常")*(入库单!$L$4:$L$2503&gt;0)),入库单!$L$4:$L$2503),0))</f>
        <v/>
      </c>
      <c r="J794" s="26">
        <f>IF($A794="","",IF($H794="A国内",ROUND($I794*倍数A*汇率,0),IF($H794="B当地",ROUND($I794*系数B,0),0)))</f>
        <v/>
      </c>
      <c r="K794" s="24">
        <f>IF($A794="","",IF(COUNTIFS(入库单!$G$4:$G$2503,$A794,入库单!$X$4:$X$2503,"待补价")&gt;0,"待补价",IF(COUNTIFS(入库单!$G$4:$G$2503,$A794,入库单!$X$4:$X$2503,"暂估")&gt;0,"暂估",IF($I794=0,"没有进价","正常"))))</f>
        <v/>
      </c>
      <c r="L794" s="27">
        <f>IF($A794="","",IFERROR(VLOOKUP($A794,库存台账!$A$5:$Y$1204,24,0),0))</f>
        <v/>
      </c>
      <c r="M794" s="26">
        <f>IF($A794="","",IFERROR(VLOOKUP($A794,库存台账!$A$5:$Y$1204,25,0),0))</f>
        <v/>
      </c>
      <c r="N794" s="19">
        <f>IF($A794="","",IFERROR(LOOKUP(2,1/((出库单!$D$4:$D$4003=$A794)*(出库单!$T$4:$T$4003="正常")),出库单!$C$4:$C$4003),""))</f>
        <v/>
      </c>
      <c r="O794" s="28">
        <f>IF($A794="","",IF($L794&lt;=0,"",IF($N794="",IFERROR(账期止-LOOKUP(2,1/(入库单!$G$4:$G$2503=$A794),入库单!$C$4:$C$2503),""),账期止-$N794)))</f>
        <v/>
      </c>
      <c r="P794" s="17" t="n"/>
    </row>
    <row r="795">
      <c r="A795" s="17" t="inlineStr">
        <is>
          <t>JH0792</t>
        </is>
      </c>
      <c r="B795" s="17" t="inlineStr">
        <is>
          <t>其他</t>
        </is>
      </c>
      <c r="C795" s="17" t="inlineStr">
        <is>
          <t>硫酸钠SODIUM SULFIDE</t>
        </is>
      </c>
      <c r="D795" s="17" t="inlineStr">
        <is>
          <t>1000公斤/袋</t>
        </is>
      </c>
      <c r="E795" s="17" t="inlineStr">
        <is>
          <t>袋</t>
        </is>
      </c>
      <c r="F795" s="17" t="inlineStr">
        <is>
          <t>否</t>
        </is>
      </c>
      <c r="G795" s="23" t="n"/>
      <c r="H795" s="24">
        <f>IF($A795="","",IFERROR(LOOKUP(2,1/((入库单!$G$4:$G$2503=$A795)*(入库单!$Y$4:$Y$2503="正常")*(入库单!$L$4:$L$2503&gt;0)),入库单!$D$4:$D$2503),""))</f>
        <v/>
      </c>
      <c r="I795" s="25">
        <f>IF($A795="","",IFERROR(LOOKUP(2,1/((入库单!$G$4:$G$2503=$A795)*(入库单!$Y$4:$Y$2503="正常")*(入库单!$L$4:$L$2503&gt;0)),入库单!$L$4:$L$2503),0))</f>
        <v/>
      </c>
      <c r="J795" s="26">
        <f>IF($A795="","",IF($H795="A国内",ROUND($I795*倍数A*汇率,0),IF($H795="B当地",ROUND($I795*系数B,0),0)))</f>
        <v/>
      </c>
      <c r="K795" s="24">
        <f>IF($A795="","",IF(COUNTIFS(入库单!$G$4:$G$2503,$A795,入库单!$X$4:$X$2503,"待补价")&gt;0,"待补价",IF(COUNTIFS(入库单!$G$4:$G$2503,$A795,入库单!$X$4:$X$2503,"暂估")&gt;0,"暂估",IF($I795=0,"没有进价","正常"))))</f>
        <v/>
      </c>
      <c r="L795" s="27">
        <f>IF($A795="","",IFERROR(VLOOKUP($A795,库存台账!$A$5:$Y$1204,24,0),0))</f>
        <v/>
      </c>
      <c r="M795" s="26">
        <f>IF($A795="","",IFERROR(VLOOKUP($A795,库存台账!$A$5:$Y$1204,25,0),0))</f>
        <v/>
      </c>
      <c r="N795" s="19">
        <f>IF($A795="","",IFERROR(LOOKUP(2,1/((出库单!$D$4:$D$4003=$A795)*(出库单!$T$4:$T$4003="正常")),出库单!$C$4:$C$4003),""))</f>
        <v/>
      </c>
      <c r="O795" s="28">
        <f>IF($A795="","",IF($L795&lt;=0,"",IF($N795="",IFERROR(账期止-LOOKUP(2,1/(入库单!$G$4:$G$2503=$A795),入库单!$C$4:$C$2503),""),账期止-$N795)))</f>
        <v/>
      </c>
      <c r="P795" s="17" t="n"/>
    </row>
    <row r="796">
      <c r="A796" s="17" t="inlineStr">
        <is>
          <t>JH0793</t>
        </is>
      </c>
      <c r="B796" s="17" t="inlineStr">
        <is>
          <t>选矿药剂</t>
        </is>
      </c>
      <c r="C796" s="17" t="inlineStr">
        <is>
          <t>硅酸钠（水玻璃）Sodium Silicate</t>
        </is>
      </c>
      <c r="D796" s="17" t="inlineStr">
        <is>
          <t>1000公斤/袋</t>
        </is>
      </c>
      <c r="E796" s="17" t="inlineStr">
        <is>
          <t>袋</t>
        </is>
      </c>
      <c r="F796" s="17" t="inlineStr">
        <is>
          <t>是</t>
        </is>
      </c>
      <c r="G796" s="23" t="n"/>
      <c r="H796" s="24">
        <f>IF($A796="","",IFERROR(LOOKUP(2,1/((入库单!$G$4:$G$2503=$A796)*(入库单!$Y$4:$Y$2503="正常")*(入库单!$L$4:$L$2503&gt;0)),入库单!$D$4:$D$2503),""))</f>
        <v/>
      </c>
      <c r="I796" s="25">
        <f>IF($A796="","",IFERROR(LOOKUP(2,1/((入库单!$G$4:$G$2503=$A796)*(入库单!$Y$4:$Y$2503="正常")*(入库单!$L$4:$L$2503&gt;0)),入库单!$L$4:$L$2503),0))</f>
        <v/>
      </c>
      <c r="J796" s="26">
        <f>IF($A796="","",IF($H796="A国内",ROUND($I796*倍数A*汇率,0),IF($H796="B当地",ROUND($I796*系数B,0),0)))</f>
        <v/>
      </c>
      <c r="K796" s="24">
        <f>IF($A796="","",IF(COUNTIFS(入库单!$G$4:$G$2503,$A796,入库单!$X$4:$X$2503,"待补价")&gt;0,"待补价",IF(COUNTIFS(入库单!$G$4:$G$2503,$A796,入库单!$X$4:$X$2503,"暂估")&gt;0,"暂估",IF($I796=0,"没有进价","正常"))))</f>
        <v/>
      </c>
      <c r="L796" s="27">
        <f>IF($A796="","",IFERROR(VLOOKUP($A796,库存台账!$A$5:$Y$1204,24,0),0))</f>
        <v/>
      </c>
      <c r="M796" s="26">
        <f>IF($A796="","",IFERROR(VLOOKUP($A796,库存台账!$A$5:$Y$1204,25,0),0))</f>
        <v/>
      </c>
      <c r="N796" s="19">
        <f>IF($A796="","",IFERROR(LOOKUP(2,1/((出库单!$D$4:$D$4003=$A796)*(出库单!$T$4:$T$4003="正常")),出库单!$C$4:$C$4003),""))</f>
        <v/>
      </c>
      <c r="O796" s="28">
        <f>IF($A796="","",IF($L796&lt;=0,"",IF($N796="",IFERROR(账期止-LOOKUP(2,1/(入库单!$G$4:$G$2503=$A796),入库单!$C$4:$C$2503),""),账期止-$N796)))</f>
        <v/>
      </c>
      <c r="P796" s="17" t="n"/>
    </row>
    <row r="797">
      <c r="A797" s="17" t="inlineStr">
        <is>
          <t>JH0794</t>
        </is>
      </c>
      <c r="B797" s="17" t="inlineStr">
        <is>
          <t>电缆电气</t>
        </is>
      </c>
      <c r="C797" s="17" t="inlineStr">
        <is>
          <t>发电机组及配件</t>
        </is>
      </c>
      <c r="D797" s="17" t="inlineStr"/>
      <c r="E797" s="17" t="inlineStr">
        <is>
          <t>个</t>
        </is>
      </c>
      <c r="F797" s="17" t="inlineStr">
        <is>
          <t>否</t>
        </is>
      </c>
      <c r="G797" s="23" t="n"/>
      <c r="H797" s="24">
        <f>IF($A797="","",IFERROR(LOOKUP(2,1/((入库单!$G$4:$G$2503=$A797)*(入库单!$Y$4:$Y$2503="正常")*(入库单!$L$4:$L$2503&gt;0)),入库单!$D$4:$D$2503),""))</f>
        <v/>
      </c>
      <c r="I797" s="25">
        <f>IF($A797="","",IFERROR(LOOKUP(2,1/((入库单!$G$4:$G$2503=$A797)*(入库单!$Y$4:$Y$2503="正常")*(入库单!$L$4:$L$2503&gt;0)),入库单!$L$4:$L$2503),0))</f>
        <v/>
      </c>
      <c r="J797" s="26">
        <f>IF($A797="","",IF($H797="A国内",ROUND($I797*倍数A*汇率,0),IF($H797="B当地",ROUND($I797*系数B,0),0)))</f>
        <v/>
      </c>
      <c r="K797" s="24">
        <f>IF($A797="","",IF(COUNTIFS(入库单!$G$4:$G$2503,$A797,入库单!$X$4:$X$2503,"待补价")&gt;0,"待补价",IF(COUNTIFS(入库单!$G$4:$G$2503,$A797,入库单!$X$4:$X$2503,"暂估")&gt;0,"暂估",IF($I797=0,"没有进价","正常"))))</f>
        <v/>
      </c>
      <c r="L797" s="27">
        <f>IF($A797="","",IFERROR(VLOOKUP($A797,库存台账!$A$5:$Y$1204,24,0),0))</f>
        <v/>
      </c>
      <c r="M797" s="26">
        <f>IF($A797="","",IFERROR(VLOOKUP($A797,库存台账!$A$5:$Y$1204,25,0),0))</f>
        <v/>
      </c>
      <c r="N797" s="19">
        <f>IF($A797="","",IFERROR(LOOKUP(2,1/((出库单!$D$4:$D$4003=$A797)*(出库单!$T$4:$T$4003="正常")),出库单!$C$4:$C$4003),""))</f>
        <v/>
      </c>
      <c r="O797" s="28">
        <f>IF($A797="","",IF($L797&lt;=0,"",IF($N797="",IFERROR(账期止-LOOKUP(2,1/(入库单!$G$4:$G$2503=$A797),入库单!$C$4:$C$2503),""),账期止-$N797)))</f>
        <v/>
      </c>
      <c r="P797" s="17" t="n"/>
    </row>
    <row r="798">
      <c r="A798" s="17" t="inlineStr">
        <is>
          <t>JH0795</t>
        </is>
      </c>
      <c r="B798" s="17" t="inlineStr">
        <is>
          <t>集装箱</t>
        </is>
      </c>
      <c r="C798" s="17" t="inlineStr">
        <is>
          <t>集装箱</t>
        </is>
      </c>
      <c r="D798" s="17" t="inlineStr"/>
      <c r="E798" s="17" t="inlineStr">
        <is>
          <t>个</t>
        </is>
      </c>
      <c r="F798" s="17" t="inlineStr">
        <is>
          <t>否</t>
        </is>
      </c>
      <c r="G798" s="23" t="n"/>
      <c r="H798" s="24">
        <f>IF($A798="","",IFERROR(LOOKUP(2,1/((入库单!$G$4:$G$2503=$A798)*(入库单!$Y$4:$Y$2503="正常")*(入库单!$L$4:$L$2503&gt;0)),入库单!$D$4:$D$2503),""))</f>
        <v/>
      </c>
      <c r="I798" s="25">
        <f>IF($A798="","",IFERROR(LOOKUP(2,1/((入库单!$G$4:$G$2503=$A798)*(入库单!$Y$4:$Y$2503="正常")*(入库单!$L$4:$L$2503&gt;0)),入库单!$L$4:$L$2503),0))</f>
        <v/>
      </c>
      <c r="J798" s="26">
        <f>IF($A798="","",IF($H798="A国内",ROUND($I798*倍数A*汇率,0),IF($H798="B当地",ROUND($I798*系数B,0),0)))</f>
        <v/>
      </c>
      <c r="K798" s="24">
        <f>IF($A798="","",IF(COUNTIFS(入库单!$G$4:$G$2503,$A798,入库单!$X$4:$X$2503,"待补价")&gt;0,"待补价",IF(COUNTIFS(入库单!$G$4:$G$2503,$A798,入库单!$X$4:$X$2503,"暂估")&gt;0,"暂估",IF($I798=0,"没有进价","正常"))))</f>
        <v/>
      </c>
      <c r="L798" s="27">
        <f>IF($A798="","",IFERROR(VLOOKUP($A798,库存台账!$A$5:$Y$1204,24,0),0))</f>
        <v/>
      </c>
      <c r="M798" s="26">
        <f>IF($A798="","",IFERROR(VLOOKUP($A798,库存台账!$A$5:$Y$1204,25,0),0))</f>
        <v/>
      </c>
      <c r="N798" s="19">
        <f>IF($A798="","",IFERROR(LOOKUP(2,1/((出库单!$D$4:$D$4003=$A798)*(出库单!$T$4:$T$4003="正常")),出库单!$C$4:$C$4003),""))</f>
        <v/>
      </c>
      <c r="O798" s="28">
        <f>IF($A798="","",IF($L798&lt;=0,"",IF($N798="",IFERROR(账期止-LOOKUP(2,1/(入库单!$G$4:$G$2503=$A798),入库单!$C$4:$C$2503),""),账期止-$N798)))</f>
        <v/>
      </c>
      <c r="P798" s="17" t="n"/>
    </row>
    <row r="799">
      <c r="A799" s="17" t="n"/>
      <c r="B799" s="17" t="n"/>
      <c r="C799" s="17" t="n"/>
      <c r="D799" s="17" t="n"/>
      <c r="E799" s="17" t="n"/>
      <c r="F799" s="17" t="n"/>
      <c r="G799" s="23" t="n"/>
      <c r="H799" s="24">
        <f>IF($A799="","",IFERROR(LOOKUP(2,1/((入库单!$G$4:$G$2503=$A799)*(入库单!$Y$4:$Y$2503="正常")*(入库单!$L$4:$L$2503&gt;0)),入库单!$D$4:$D$2503),""))</f>
        <v/>
      </c>
      <c r="I799" s="25">
        <f>IF($A799="","",IFERROR(LOOKUP(2,1/((入库单!$G$4:$G$2503=$A799)*(入库单!$Y$4:$Y$2503="正常")*(入库单!$L$4:$L$2503&gt;0)),入库单!$L$4:$L$2503),0))</f>
        <v/>
      </c>
      <c r="J799" s="26">
        <f>IF($A799="","",IF($H799="A国内",ROUND($I799*倍数A*汇率,0),IF($H799="B当地",ROUND($I799*系数B,0),0)))</f>
        <v/>
      </c>
      <c r="K799" s="24">
        <f>IF($A799="","",IF(COUNTIFS(入库单!$G$4:$G$2503,$A799,入库单!$X$4:$X$2503,"待补价")&gt;0,"待补价",IF(COUNTIFS(入库单!$G$4:$G$2503,$A799,入库单!$X$4:$X$2503,"暂估")&gt;0,"暂估",IF($I799=0,"没有进价","正常"))))</f>
        <v/>
      </c>
      <c r="L799" s="27">
        <f>IF($A799="","",IFERROR(VLOOKUP($A799,库存台账!$A$5:$Y$1204,24,0),0))</f>
        <v/>
      </c>
      <c r="M799" s="26">
        <f>IF($A799="","",IFERROR(VLOOKUP($A799,库存台账!$A$5:$Y$1204,25,0),0))</f>
        <v/>
      </c>
      <c r="N799" s="19">
        <f>IF($A799="","",IFERROR(LOOKUP(2,1/((出库单!$D$4:$D$4003=$A799)*(出库单!$T$4:$T$4003="正常")),出库单!$C$4:$C$4003),""))</f>
        <v/>
      </c>
      <c r="O799" s="28">
        <f>IF($A799="","",IF($L799&lt;=0,"",IF($N799="",IFERROR(账期止-LOOKUP(2,1/(入库单!$G$4:$G$2503=$A799),入库单!$C$4:$C$2503),""),账期止-$N799)))</f>
        <v/>
      </c>
      <c r="P799" s="17" t="n"/>
    </row>
    <row r="800">
      <c r="A800" s="17" t="n"/>
      <c r="B800" s="17" t="n"/>
      <c r="C800" s="17" t="n"/>
      <c r="D800" s="17" t="n"/>
      <c r="E800" s="17" t="n"/>
      <c r="F800" s="17" t="n"/>
      <c r="G800" s="23" t="n"/>
      <c r="H800" s="24">
        <f>IF($A800="","",IFERROR(LOOKUP(2,1/((入库单!$G$4:$G$2503=$A800)*(入库单!$Y$4:$Y$2503="正常")*(入库单!$L$4:$L$2503&gt;0)),入库单!$D$4:$D$2503),""))</f>
        <v/>
      </c>
      <c r="I800" s="25">
        <f>IF($A800="","",IFERROR(LOOKUP(2,1/((入库单!$G$4:$G$2503=$A800)*(入库单!$Y$4:$Y$2503="正常")*(入库单!$L$4:$L$2503&gt;0)),入库单!$L$4:$L$2503),0))</f>
        <v/>
      </c>
      <c r="J800" s="26">
        <f>IF($A800="","",IF($H800="A国内",ROUND($I800*倍数A*汇率,0),IF($H800="B当地",ROUND($I800*系数B,0),0)))</f>
        <v/>
      </c>
      <c r="K800" s="24">
        <f>IF($A800="","",IF(COUNTIFS(入库单!$G$4:$G$2503,$A800,入库单!$X$4:$X$2503,"待补价")&gt;0,"待补价",IF(COUNTIFS(入库单!$G$4:$G$2503,$A800,入库单!$X$4:$X$2503,"暂估")&gt;0,"暂估",IF($I800=0,"没有进价","正常"))))</f>
        <v/>
      </c>
      <c r="L800" s="27">
        <f>IF($A800="","",IFERROR(VLOOKUP($A800,库存台账!$A$5:$Y$1204,24,0),0))</f>
        <v/>
      </c>
      <c r="M800" s="26">
        <f>IF($A800="","",IFERROR(VLOOKUP($A800,库存台账!$A$5:$Y$1204,25,0),0))</f>
        <v/>
      </c>
      <c r="N800" s="19">
        <f>IF($A800="","",IFERROR(LOOKUP(2,1/((出库单!$D$4:$D$4003=$A800)*(出库单!$T$4:$T$4003="正常")),出库单!$C$4:$C$4003),""))</f>
        <v/>
      </c>
      <c r="O800" s="28">
        <f>IF($A800="","",IF($L800&lt;=0,"",IF($N800="",IFERROR(账期止-LOOKUP(2,1/(入库单!$G$4:$G$2503=$A800),入库单!$C$4:$C$2503),""),账期止-$N800)))</f>
        <v/>
      </c>
      <c r="P800" s="17" t="n"/>
    </row>
    <row r="801">
      <c r="A801" s="17" t="n"/>
      <c r="B801" s="17" t="n"/>
      <c r="C801" s="17" t="n"/>
      <c r="D801" s="17" t="n"/>
      <c r="E801" s="17" t="n"/>
      <c r="F801" s="17" t="n"/>
      <c r="G801" s="23" t="n"/>
      <c r="H801" s="24">
        <f>IF($A801="","",IFERROR(LOOKUP(2,1/((入库单!$G$4:$G$2503=$A801)*(入库单!$Y$4:$Y$2503="正常")*(入库单!$L$4:$L$2503&gt;0)),入库单!$D$4:$D$2503),""))</f>
        <v/>
      </c>
      <c r="I801" s="25">
        <f>IF($A801="","",IFERROR(LOOKUP(2,1/((入库单!$G$4:$G$2503=$A801)*(入库单!$Y$4:$Y$2503="正常")*(入库单!$L$4:$L$2503&gt;0)),入库单!$L$4:$L$2503),0))</f>
        <v/>
      </c>
      <c r="J801" s="26">
        <f>IF($A801="","",IF($H801="A国内",ROUND($I801*倍数A*汇率,0),IF($H801="B当地",ROUND($I801*系数B,0),0)))</f>
        <v/>
      </c>
      <c r="K801" s="24">
        <f>IF($A801="","",IF(COUNTIFS(入库单!$G$4:$G$2503,$A801,入库单!$X$4:$X$2503,"待补价")&gt;0,"待补价",IF(COUNTIFS(入库单!$G$4:$G$2503,$A801,入库单!$X$4:$X$2503,"暂估")&gt;0,"暂估",IF($I801=0,"没有进价","正常"))))</f>
        <v/>
      </c>
      <c r="L801" s="27">
        <f>IF($A801="","",IFERROR(VLOOKUP($A801,库存台账!$A$5:$Y$1204,24,0),0))</f>
        <v/>
      </c>
      <c r="M801" s="26">
        <f>IF($A801="","",IFERROR(VLOOKUP($A801,库存台账!$A$5:$Y$1204,25,0),0))</f>
        <v/>
      </c>
      <c r="N801" s="19">
        <f>IF($A801="","",IFERROR(LOOKUP(2,1/((出库单!$D$4:$D$4003=$A801)*(出库单!$T$4:$T$4003="正常")),出库单!$C$4:$C$4003),""))</f>
        <v/>
      </c>
      <c r="O801" s="28">
        <f>IF($A801="","",IF($L801&lt;=0,"",IF($N801="",IFERROR(账期止-LOOKUP(2,1/(入库单!$G$4:$G$2503=$A801),入库单!$C$4:$C$2503),""),账期止-$N801)))</f>
        <v/>
      </c>
      <c r="P801" s="17" t="n"/>
    </row>
    <row r="802">
      <c r="A802" s="17" t="n"/>
      <c r="B802" s="17" t="n"/>
      <c r="C802" s="17" t="n"/>
      <c r="D802" s="17" t="n"/>
      <c r="E802" s="17" t="n"/>
      <c r="F802" s="17" t="n"/>
      <c r="G802" s="23" t="n"/>
      <c r="H802" s="24">
        <f>IF($A802="","",IFERROR(LOOKUP(2,1/((入库单!$G$4:$G$2503=$A802)*(入库单!$Y$4:$Y$2503="正常")*(入库单!$L$4:$L$2503&gt;0)),入库单!$D$4:$D$2503),""))</f>
        <v/>
      </c>
      <c r="I802" s="25">
        <f>IF($A802="","",IFERROR(LOOKUP(2,1/((入库单!$G$4:$G$2503=$A802)*(入库单!$Y$4:$Y$2503="正常")*(入库单!$L$4:$L$2503&gt;0)),入库单!$L$4:$L$2503),0))</f>
        <v/>
      </c>
      <c r="J802" s="26">
        <f>IF($A802="","",IF($H802="A国内",ROUND($I802*倍数A*汇率,0),IF($H802="B当地",ROUND($I802*系数B,0),0)))</f>
        <v/>
      </c>
      <c r="K802" s="24">
        <f>IF($A802="","",IF(COUNTIFS(入库单!$G$4:$G$2503,$A802,入库单!$X$4:$X$2503,"待补价")&gt;0,"待补价",IF(COUNTIFS(入库单!$G$4:$G$2503,$A802,入库单!$X$4:$X$2503,"暂估")&gt;0,"暂估",IF($I802=0,"没有进价","正常"))))</f>
        <v/>
      </c>
      <c r="L802" s="27">
        <f>IF($A802="","",IFERROR(VLOOKUP($A802,库存台账!$A$5:$Y$1204,24,0),0))</f>
        <v/>
      </c>
      <c r="M802" s="26">
        <f>IF($A802="","",IFERROR(VLOOKUP($A802,库存台账!$A$5:$Y$1204,25,0),0))</f>
        <v/>
      </c>
      <c r="N802" s="19">
        <f>IF($A802="","",IFERROR(LOOKUP(2,1/((出库单!$D$4:$D$4003=$A802)*(出库单!$T$4:$T$4003="正常")),出库单!$C$4:$C$4003),""))</f>
        <v/>
      </c>
      <c r="O802" s="28">
        <f>IF($A802="","",IF($L802&lt;=0,"",IF($N802="",IFERROR(账期止-LOOKUP(2,1/(入库单!$G$4:$G$2503=$A802),入库单!$C$4:$C$2503),""),账期止-$N802)))</f>
        <v/>
      </c>
      <c r="P802" s="17" t="n"/>
    </row>
    <row r="803">
      <c r="A803" s="17" t="n"/>
      <c r="B803" s="17" t="n"/>
      <c r="C803" s="17" t="n"/>
      <c r="D803" s="17" t="n"/>
      <c r="E803" s="17" t="n"/>
      <c r="F803" s="17" t="n"/>
      <c r="G803" s="23" t="n"/>
      <c r="H803" s="24">
        <f>IF($A803="","",IFERROR(LOOKUP(2,1/((入库单!$G$4:$G$2503=$A803)*(入库单!$Y$4:$Y$2503="正常")*(入库单!$L$4:$L$2503&gt;0)),入库单!$D$4:$D$2503),""))</f>
        <v/>
      </c>
      <c r="I803" s="25">
        <f>IF($A803="","",IFERROR(LOOKUP(2,1/((入库单!$G$4:$G$2503=$A803)*(入库单!$Y$4:$Y$2503="正常")*(入库单!$L$4:$L$2503&gt;0)),入库单!$L$4:$L$2503),0))</f>
        <v/>
      </c>
      <c r="J803" s="26">
        <f>IF($A803="","",IF($H803="A国内",ROUND($I803*倍数A*汇率,0),IF($H803="B当地",ROUND($I803*系数B,0),0)))</f>
        <v/>
      </c>
      <c r="K803" s="24">
        <f>IF($A803="","",IF(COUNTIFS(入库单!$G$4:$G$2503,$A803,入库单!$X$4:$X$2503,"待补价")&gt;0,"待补价",IF(COUNTIFS(入库单!$G$4:$G$2503,$A803,入库单!$X$4:$X$2503,"暂估")&gt;0,"暂估",IF($I803=0,"没有进价","正常"))))</f>
        <v/>
      </c>
      <c r="L803" s="27">
        <f>IF($A803="","",IFERROR(VLOOKUP($A803,库存台账!$A$5:$Y$1204,24,0),0))</f>
        <v/>
      </c>
      <c r="M803" s="26">
        <f>IF($A803="","",IFERROR(VLOOKUP($A803,库存台账!$A$5:$Y$1204,25,0),0))</f>
        <v/>
      </c>
      <c r="N803" s="19">
        <f>IF($A803="","",IFERROR(LOOKUP(2,1/((出库单!$D$4:$D$4003=$A803)*(出库单!$T$4:$T$4003="正常")),出库单!$C$4:$C$4003),""))</f>
        <v/>
      </c>
      <c r="O803" s="28">
        <f>IF($A803="","",IF($L803&lt;=0,"",IF($N803="",IFERROR(账期止-LOOKUP(2,1/(入库单!$G$4:$G$2503=$A803),入库单!$C$4:$C$2503),""),账期止-$N803)))</f>
        <v/>
      </c>
      <c r="P803" s="17" t="n"/>
    </row>
    <row r="804">
      <c r="A804" s="17" t="n"/>
      <c r="B804" s="17" t="n"/>
      <c r="C804" s="17" t="n"/>
      <c r="D804" s="17" t="n"/>
      <c r="E804" s="17" t="n"/>
      <c r="F804" s="17" t="n"/>
      <c r="G804" s="23" t="n"/>
      <c r="H804" s="24">
        <f>IF($A804="","",IFERROR(LOOKUP(2,1/((入库单!$G$4:$G$2503=$A804)*(入库单!$Y$4:$Y$2503="正常")*(入库单!$L$4:$L$2503&gt;0)),入库单!$D$4:$D$2503),""))</f>
        <v/>
      </c>
      <c r="I804" s="25">
        <f>IF($A804="","",IFERROR(LOOKUP(2,1/((入库单!$G$4:$G$2503=$A804)*(入库单!$Y$4:$Y$2503="正常")*(入库单!$L$4:$L$2503&gt;0)),入库单!$L$4:$L$2503),0))</f>
        <v/>
      </c>
      <c r="J804" s="26">
        <f>IF($A804="","",IF($H804="A国内",ROUND($I804*倍数A*汇率,0),IF($H804="B当地",ROUND($I804*系数B,0),0)))</f>
        <v/>
      </c>
      <c r="K804" s="24">
        <f>IF($A804="","",IF(COUNTIFS(入库单!$G$4:$G$2503,$A804,入库单!$X$4:$X$2503,"待补价")&gt;0,"待补价",IF(COUNTIFS(入库单!$G$4:$G$2503,$A804,入库单!$X$4:$X$2503,"暂估")&gt;0,"暂估",IF($I804=0,"没有进价","正常"))))</f>
        <v/>
      </c>
      <c r="L804" s="27">
        <f>IF($A804="","",IFERROR(VLOOKUP($A804,库存台账!$A$5:$Y$1204,24,0),0))</f>
        <v/>
      </c>
      <c r="M804" s="26">
        <f>IF($A804="","",IFERROR(VLOOKUP($A804,库存台账!$A$5:$Y$1204,25,0),0))</f>
        <v/>
      </c>
      <c r="N804" s="19">
        <f>IF($A804="","",IFERROR(LOOKUP(2,1/((出库单!$D$4:$D$4003=$A804)*(出库单!$T$4:$T$4003="正常")),出库单!$C$4:$C$4003),""))</f>
        <v/>
      </c>
      <c r="O804" s="28">
        <f>IF($A804="","",IF($L804&lt;=0,"",IF($N804="",IFERROR(账期止-LOOKUP(2,1/(入库单!$G$4:$G$2503=$A804),入库单!$C$4:$C$2503),""),账期止-$N804)))</f>
        <v/>
      </c>
      <c r="P804" s="17" t="n"/>
    </row>
    <row r="805">
      <c r="A805" s="17" t="n"/>
      <c r="B805" s="17" t="n"/>
      <c r="C805" s="17" t="n"/>
      <c r="D805" s="17" t="n"/>
      <c r="E805" s="17" t="n"/>
      <c r="F805" s="17" t="n"/>
      <c r="G805" s="23" t="n"/>
      <c r="H805" s="24">
        <f>IF($A805="","",IFERROR(LOOKUP(2,1/((入库单!$G$4:$G$2503=$A805)*(入库单!$Y$4:$Y$2503="正常")*(入库单!$L$4:$L$2503&gt;0)),入库单!$D$4:$D$2503),""))</f>
        <v/>
      </c>
      <c r="I805" s="25">
        <f>IF($A805="","",IFERROR(LOOKUP(2,1/((入库单!$G$4:$G$2503=$A805)*(入库单!$Y$4:$Y$2503="正常")*(入库单!$L$4:$L$2503&gt;0)),入库单!$L$4:$L$2503),0))</f>
        <v/>
      </c>
      <c r="J805" s="26">
        <f>IF($A805="","",IF($H805="A国内",ROUND($I805*倍数A*汇率,0),IF($H805="B当地",ROUND($I805*系数B,0),0)))</f>
        <v/>
      </c>
      <c r="K805" s="24">
        <f>IF($A805="","",IF(COUNTIFS(入库单!$G$4:$G$2503,$A805,入库单!$X$4:$X$2503,"待补价")&gt;0,"待补价",IF(COUNTIFS(入库单!$G$4:$G$2503,$A805,入库单!$X$4:$X$2503,"暂估")&gt;0,"暂估",IF($I805=0,"没有进价","正常"))))</f>
        <v/>
      </c>
      <c r="L805" s="27">
        <f>IF($A805="","",IFERROR(VLOOKUP($A805,库存台账!$A$5:$Y$1204,24,0),0))</f>
        <v/>
      </c>
      <c r="M805" s="26">
        <f>IF($A805="","",IFERROR(VLOOKUP($A805,库存台账!$A$5:$Y$1204,25,0),0))</f>
        <v/>
      </c>
      <c r="N805" s="19">
        <f>IF($A805="","",IFERROR(LOOKUP(2,1/((出库单!$D$4:$D$4003=$A805)*(出库单!$T$4:$T$4003="正常")),出库单!$C$4:$C$4003),""))</f>
        <v/>
      </c>
      <c r="O805" s="28">
        <f>IF($A805="","",IF($L805&lt;=0,"",IF($N805="",IFERROR(账期止-LOOKUP(2,1/(入库单!$G$4:$G$2503=$A805),入库单!$C$4:$C$2503),""),账期止-$N805)))</f>
        <v/>
      </c>
      <c r="P805" s="17" t="n"/>
    </row>
    <row r="806">
      <c r="A806" s="17" t="n"/>
      <c r="B806" s="17" t="n"/>
      <c r="C806" s="17" t="n"/>
      <c r="D806" s="17" t="n"/>
      <c r="E806" s="17" t="n"/>
      <c r="F806" s="17" t="n"/>
      <c r="G806" s="23" t="n"/>
      <c r="H806" s="24">
        <f>IF($A806="","",IFERROR(LOOKUP(2,1/((入库单!$G$4:$G$2503=$A806)*(入库单!$Y$4:$Y$2503="正常")*(入库单!$L$4:$L$2503&gt;0)),入库单!$D$4:$D$2503),""))</f>
        <v/>
      </c>
      <c r="I806" s="25">
        <f>IF($A806="","",IFERROR(LOOKUP(2,1/((入库单!$G$4:$G$2503=$A806)*(入库单!$Y$4:$Y$2503="正常")*(入库单!$L$4:$L$2503&gt;0)),入库单!$L$4:$L$2503),0))</f>
        <v/>
      </c>
      <c r="J806" s="26">
        <f>IF($A806="","",IF($H806="A国内",ROUND($I806*倍数A*汇率,0),IF($H806="B当地",ROUND($I806*系数B,0),0)))</f>
        <v/>
      </c>
      <c r="K806" s="24">
        <f>IF($A806="","",IF(COUNTIFS(入库单!$G$4:$G$2503,$A806,入库单!$X$4:$X$2503,"待补价")&gt;0,"待补价",IF(COUNTIFS(入库单!$G$4:$G$2503,$A806,入库单!$X$4:$X$2503,"暂估")&gt;0,"暂估",IF($I806=0,"没有进价","正常"))))</f>
        <v/>
      </c>
      <c r="L806" s="27">
        <f>IF($A806="","",IFERROR(VLOOKUP($A806,库存台账!$A$5:$Y$1204,24,0),0))</f>
        <v/>
      </c>
      <c r="M806" s="26">
        <f>IF($A806="","",IFERROR(VLOOKUP($A806,库存台账!$A$5:$Y$1204,25,0),0))</f>
        <v/>
      </c>
      <c r="N806" s="19">
        <f>IF($A806="","",IFERROR(LOOKUP(2,1/((出库单!$D$4:$D$4003=$A806)*(出库单!$T$4:$T$4003="正常")),出库单!$C$4:$C$4003),""))</f>
        <v/>
      </c>
      <c r="O806" s="28">
        <f>IF($A806="","",IF($L806&lt;=0,"",IF($N806="",IFERROR(账期止-LOOKUP(2,1/(入库单!$G$4:$G$2503=$A806),入库单!$C$4:$C$2503),""),账期止-$N806)))</f>
        <v/>
      </c>
      <c r="P806" s="17" t="n"/>
    </row>
    <row r="807">
      <c r="A807" s="17" t="n"/>
      <c r="B807" s="17" t="n"/>
      <c r="C807" s="17" t="n"/>
      <c r="D807" s="17" t="n"/>
      <c r="E807" s="17" t="n"/>
      <c r="F807" s="17" t="n"/>
      <c r="G807" s="23" t="n"/>
      <c r="H807" s="24">
        <f>IF($A807="","",IFERROR(LOOKUP(2,1/((入库单!$G$4:$G$2503=$A807)*(入库单!$Y$4:$Y$2503="正常")*(入库单!$L$4:$L$2503&gt;0)),入库单!$D$4:$D$2503),""))</f>
        <v/>
      </c>
      <c r="I807" s="25">
        <f>IF($A807="","",IFERROR(LOOKUP(2,1/((入库单!$G$4:$G$2503=$A807)*(入库单!$Y$4:$Y$2503="正常")*(入库单!$L$4:$L$2503&gt;0)),入库单!$L$4:$L$2503),0))</f>
        <v/>
      </c>
      <c r="J807" s="26">
        <f>IF($A807="","",IF($H807="A国内",ROUND($I807*倍数A*汇率,0),IF($H807="B当地",ROUND($I807*系数B,0),0)))</f>
        <v/>
      </c>
      <c r="K807" s="24">
        <f>IF($A807="","",IF(COUNTIFS(入库单!$G$4:$G$2503,$A807,入库单!$X$4:$X$2503,"待补价")&gt;0,"待补价",IF(COUNTIFS(入库单!$G$4:$G$2503,$A807,入库单!$X$4:$X$2503,"暂估")&gt;0,"暂估",IF($I807=0,"没有进价","正常"))))</f>
        <v/>
      </c>
      <c r="L807" s="27">
        <f>IF($A807="","",IFERROR(VLOOKUP($A807,库存台账!$A$5:$Y$1204,24,0),0))</f>
        <v/>
      </c>
      <c r="M807" s="26">
        <f>IF($A807="","",IFERROR(VLOOKUP($A807,库存台账!$A$5:$Y$1204,25,0),0))</f>
        <v/>
      </c>
      <c r="N807" s="19">
        <f>IF($A807="","",IFERROR(LOOKUP(2,1/((出库单!$D$4:$D$4003=$A807)*(出库单!$T$4:$T$4003="正常")),出库单!$C$4:$C$4003),""))</f>
        <v/>
      </c>
      <c r="O807" s="28">
        <f>IF($A807="","",IF($L807&lt;=0,"",IF($N807="",IFERROR(账期止-LOOKUP(2,1/(入库单!$G$4:$G$2503=$A807),入库单!$C$4:$C$2503),""),账期止-$N807)))</f>
        <v/>
      </c>
      <c r="P807" s="17" t="n"/>
    </row>
    <row r="808">
      <c r="A808" s="17" t="n"/>
      <c r="B808" s="17" t="n"/>
      <c r="C808" s="17" t="n"/>
      <c r="D808" s="17" t="n"/>
      <c r="E808" s="17" t="n"/>
      <c r="F808" s="17" t="n"/>
      <c r="G808" s="23" t="n"/>
      <c r="H808" s="24">
        <f>IF($A808="","",IFERROR(LOOKUP(2,1/((入库单!$G$4:$G$2503=$A808)*(入库单!$Y$4:$Y$2503="正常")*(入库单!$L$4:$L$2503&gt;0)),入库单!$D$4:$D$2503),""))</f>
        <v/>
      </c>
      <c r="I808" s="25">
        <f>IF($A808="","",IFERROR(LOOKUP(2,1/((入库单!$G$4:$G$2503=$A808)*(入库单!$Y$4:$Y$2503="正常")*(入库单!$L$4:$L$2503&gt;0)),入库单!$L$4:$L$2503),0))</f>
        <v/>
      </c>
      <c r="J808" s="26">
        <f>IF($A808="","",IF($H808="A国内",ROUND($I808*倍数A*汇率,0),IF($H808="B当地",ROUND($I808*系数B,0),0)))</f>
        <v/>
      </c>
      <c r="K808" s="24">
        <f>IF($A808="","",IF(COUNTIFS(入库单!$G$4:$G$2503,$A808,入库单!$X$4:$X$2503,"待补价")&gt;0,"待补价",IF(COUNTIFS(入库单!$G$4:$G$2503,$A808,入库单!$X$4:$X$2503,"暂估")&gt;0,"暂估",IF($I808=0,"没有进价","正常"))))</f>
        <v/>
      </c>
      <c r="L808" s="27">
        <f>IF($A808="","",IFERROR(VLOOKUP($A808,库存台账!$A$5:$Y$1204,24,0),0))</f>
        <v/>
      </c>
      <c r="M808" s="26">
        <f>IF($A808="","",IFERROR(VLOOKUP($A808,库存台账!$A$5:$Y$1204,25,0),0))</f>
        <v/>
      </c>
      <c r="N808" s="19">
        <f>IF($A808="","",IFERROR(LOOKUP(2,1/((出库单!$D$4:$D$4003=$A808)*(出库单!$T$4:$T$4003="正常")),出库单!$C$4:$C$4003),""))</f>
        <v/>
      </c>
      <c r="O808" s="28">
        <f>IF($A808="","",IF($L808&lt;=0,"",IF($N808="",IFERROR(账期止-LOOKUP(2,1/(入库单!$G$4:$G$2503=$A808),入库单!$C$4:$C$2503),""),账期止-$N808)))</f>
        <v/>
      </c>
      <c r="P808" s="17" t="n"/>
    </row>
    <row r="809">
      <c r="A809" s="17" t="n"/>
      <c r="B809" s="17" t="n"/>
      <c r="C809" s="17" t="n"/>
      <c r="D809" s="17" t="n"/>
      <c r="E809" s="17" t="n"/>
      <c r="F809" s="17" t="n"/>
      <c r="G809" s="23" t="n"/>
      <c r="H809" s="24">
        <f>IF($A809="","",IFERROR(LOOKUP(2,1/((入库单!$G$4:$G$2503=$A809)*(入库单!$Y$4:$Y$2503="正常")*(入库单!$L$4:$L$2503&gt;0)),入库单!$D$4:$D$2503),""))</f>
        <v/>
      </c>
      <c r="I809" s="25">
        <f>IF($A809="","",IFERROR(LOOKUP(2,1/((入库单!$G$4:$G$2503=$A809)*(入库单!$Y$4:$Y$2503="正常")*(入库单!$L$4:$L$2503&gt;0)),入库单!$L$4:$L$2503),0))</f>
        <v/>
      </c>
      <c r="J809" s="26">
        <f>IF($A809="","",IF($H809="A国内",ROUND($I809*倍数A*汇率,0),IF($H809="B当地",ROUND($I809*系数B,0),0)))</f>
        <v/>
      </c>
      <c r="K809" s="24">
        <f>IF($A809="","",IF(COUNTIFS(入库单!$G$4:$G$2503,$A809,入库单!$X$4:$X$2503,"待补价")&gt;0,"待补价",IF(COUNTIFS(入库单!$G$4:$G$2503,$A809,入库单!$X$4:$X$2503,"暂估")&gt;0,"暂估",IF($I809=0,"没有进价","正常"))))</f>
        <v/>
      </c>
      <c r="L809" s="27">
        <f>IF($A809="","",IFERROR(VLOOKUP($A809,库存台账!$A$5:$Y$1204,24,0),0))</f>
        <v/>
      </c>
      <c r="M809" s="26">
        <f>IF($A809="","",IFERROR(VLOOKUP($A809,库存台账!$A$5:$Y$1204,25,0),0))</f>
        <v/>
      </c>
      <c r="N809" s="19">
        <f>IF($A809="","",IFERROR(LOOKUP(2,1/((出库单!$D$4:$D$4003=$A809)*(出库单!$T$4:$T$4003="正常")),出库单!$C$4:$C$4003),""))</f>
        <v/>
      </c>
      <c r="O809" s="28">
        <f>IF($A809="","",IF($L809&lt;=0,"",IF($N809="",IFERROR(账期止-LOOKUP(2,1/(入库单!$G$4:$G$2503=$A809),入库单!$C$4:$C$2503),""),账期止-$N809)))</f>
        <v/>
      </c>
      <c r="P809" s="17" t="n"/>
    </row>
    <row r="810">
      <c r="A810" s="17" t="n"/>
      <c r="B810" s="17" t="n"/>
      <c r="C810" s="17" t="n"/>
      <c r="D810" s="17" t="n"/>
      <c r="E810" s="17" t="n"/>
      <c r="F810" s="17" t="n"/>
      <c r="G810" s="23" t="n"/>
      <c r="H810" s="24">
        <f>IF($A810="","",IFERROR(LOOKUP(2,1/((入库单!$G$4:$G$2503=$A810)*(入库单!$Y$4:$Y$2503="正常")*(入库单!$L$4:$L$2503&gt;0)),入库单!$D$4:$D$2503),""))</f>
        <v/>
      </c>
      <c r="I810" s="25">
        <f>IF($A810="","",IFERROR(LOOKUP(2,1/((入库单!$G$4:$G$2503=$A810)*(入库单!$Y$4:$Y$2503="正常")*(入库单!$L$4:$L$2503&gt;0)),入库单!$L$4:$L$2503),0))</f>
        <v/>
      </c>
      <c r="J810" s="26">
        <f>IF($A810="","",IF($H810="A国内",ROUND($I810*倍数A*汇率,0),IF($H810="B当地",ROUND($I810*系数B,0),0)))</f>
        <v/>
      </c>
      <c r="K810" s="24">
        <f>IF($A810="","",IF(COUNTIFS(入库单!$G$4:$G$2503,$A810,入库单!$X$4:$X$2503,"待补价")&gt;0,"待补价",IF(COUNTIFS(入库单!$G$4:$G$2503,$A810,入库单!$X$4:$X$2503,"暂估")&gt;0,"暂估",IF($I810=0,"没有进价","正常"))))</f>
        <v/>
      </c>
      <c r="L810" s="27">
        <f>IF($A810="","",IFERROR(VLOOKUP($A810,库存台账!$A$5:$Y$1204,24,0),0))</f>
        <v/>
      </c>
      <c r="M810" s="26">
        <f>IF($A810="","",IFERROR(VLOOKUP($A810,库存台账!$A$5:$Y$1204,25,0),0))</f>
        <v/>
      </c>
      <c r="N810" s="19">
        <f>IF($A810="","",IFERROR(LOOKUP(2,1/((出库单!$D$4:$D$4003=$A810)*(出库单!$T$4:$T$4003="正常")),出库单!$C$4:$C$4003),""))</f>
        <v/>
      </c>
      <c r="O810" s="28">
        <f>IF($A810="","",IF($L810&lt;=0,"",IF($N810="",IFERROR(账期止-LOOKUP(2,1/(入库单!$G$4:$G$2503=$A810),入库单!$C$4:$C$2503),""),账期止-$N810)))</f>
        <v/>
      </c>
      <c r="P810" s="17" t="n"/>
    </row>
    <row r="811">
      <c r="A811" s="17" t="n"/>
      <c r="B811" s="17" t="n"/>
      <c r="C811" s="17" t="n"/>
      <c r="D811" s="17" t="n"/>
      <c r="E811" s="17" t="n"/>
      <c r="F811" s="17" t="n"/>
      <c r="G811" s="23" t="n"/>
      <c r="H811" s="24">
        <f>IF($A811="","",IFERROR(LOOKUP(2,1/((入库单!$G$4:$G$2503=$A811)*(入库单!$Y$4:$Y$2503="正常")*(入库单!$L$4:$L$2503&gt;0)),入库单!$D$4:$D$2503),""))</f>
        <v/>
      </c>
      <c r="I811" s="25">
        <f>IF($A811="","",IFERROR(LOOKUP(2,1/((入库单!$G$4:$G$2503=$A811)*(入库单!$Y$4:$Y$2503="正常")*(入库单!$L$4:$L$2503&gt;0)),入库单!$L$4:$L$2503),0))</f>
        <v/>
      </c>
      <c r="J811" s="26">
        <f>IF($A811="","",IF($H811="A国内",ROUND($I811*倍数A*汇率,0),IF($H811="B当地",ROUND($I811*系数B,0),0)))</f>
        <v/>
      </c>
      <c r="K811" s="24">
        <f>IF($A811="","",IF(COUNTIFS(入库单!$G$4:$G$2503,$A811,入库单!$X$4:$X$2503,"待补价")&gt;0,"待补价",IF(COUNTIFS(入库单!$G$4:$G$2503,$A811,入库单!$X$4:$X$2503,"暂估")&gt;0,"暂估",IF($I811=0,"没有进价","正常"))))</f>
        <v/>
      </c>
      <c r="L811" s="27">
        <f>IF($A811="","",IFERROR(VLOOKUP($A811,库存台账!$A$5:$Y$1204,24,0),0))</f>
        <v/>
      </c>
      <c r="M811" s="26">
        <f>IF($A811="","",IFERROR(VLOOKUP($A811,库存台账!$A$5:$Y$1204,25,0),0))</f>
        <v/>
      </c>
      <c r="N811" s="19">
        <f>IF($A811="","",IFERROR(LOOKUP(2,1/((出库单!$D$4:$D$4003=$A811)*(出库单!$T$4:$T$4003="正常")),出库单!$C$4:$C$4003),""))</f>
        <v/>
      </c>
      <c r="O811" s="28">
        <f>IF($A811="","",IF($L811&lt;=0,"",IF($N811="",IFERROR(账期止-LOOKUP(2,1/(入库单!$G$4:$G$2503=$A811),入库单!$C$4:$C$2503),""),账期止-$N811)))</f>
        <v/>
      </c>
      <c r="P811" s="17" t="n"/>
    </row>
    <row r="812">
      <c r="A812" s="17" t="n"/>
      <c r="B812" s="17" t="n"/>
      <c r="C812" s="17" t="n"/>
      <c r="D812" s="17" t="n"/>
      <c r="E812" s="17" t="n"/>
      <c r="F812" s="17" t="n"/>
      <c r="G812" s="23" t="n"/>
      <c r="H812" s="24">
        <f>IF($A812="","",IFERROR(LOOKUP(2,1/((入库单!$G$4:$G$2503=$A812)*(入库单!$Y$4:$Y$2503="正常")*(入库单!$L$4:$L$2503&gt;0)),入库单!$D$4:$D$2503),""))</f>
        <v/>
      </c>
      <c r="I812" s="25">
        <f>IF($A812="","",IFERROR(LOOKUP(2,1/((入库单!$G$4:$G$2503=$A812)*(入库单!$Y$4:$Y$2503="正常")*(入库单!$L$4:$L$2503&gt;0)),入库单!$L$4:$L$2503),0))</f>
        <v/>
      </c>
      <c r="J812" s="26">
        <f>IF($A812="","",IF($H812="A国内",ROUND($I812*倍数A*汇率,0),IF($H812="B当地",ROUND($I812*系数B,0),0)))</f>
        <v/>
      </c>
      <c r="K812" s="24">
        <f>IF($A812="","",IF(COUNTIFS(入库单!$G$4:$G$2503,$A812,入库单!$X$4:$X$2503,"待补价")&gt;0,"待补价",IF(COUNTIFS(入库单!$G$4:$G$2503,$A812,入库单!$X$4:$X$2503,"暂估")&gt;0,"暂估",IF($I812=0,"没有进价","正常"))))</f>
        <v/>
      </c>
      <c r="L812" s="27">
        <f>IF($A812="","",IFERROR(VLOOKUP($A812,库存台账!$A$5:$Y$1204,24,0),0))</f>
        <v/>
      </c>
      <c r="M812" s="26">
        <f>IF($A812="","",IFERROR(VLOOKUP($A812,库存台账!$A$5:$Y$1204,25,0),0))</f>
        <v/>
      </c>
      <c r="N812" s="19">
        <f>IF($A812="","",IFERROR(LOOKUP(2,1/((出库单!$D$4:$D$4003=$A812)*(出库单!$T$4:$T$4003="正常")),出库单!$C$4:$C$4003),""))</f>
        <v/>
      </c>
      <c r="O812" s="28">
        <f>IF($A812="","",IF($L812&lt;=0,"",IF($N812="",IFERROR(账期止-LOOKUP(2,1/(入库单!$G$4:$G$2503=$A812),入库单!$C$4:$C$2503),""),账期止-$N812)))</f>
        <v/>
      </c>
      <c r="P812" s="17" t="n"/>
    </row>
    <row r="813">
      <c r="A813" s="17" t="n"/>
      <c r="B813" s="17" t="n"/>
      <c r="C813" s="17" t="n"/>
      <c r="D813" s="17" t="n"/>
      <c r="E813" s="17" t="n"/>
      <c r="F813" s="17" t="n"/>
      <c r="G813" s="23" t="n"/>
      <c r="H813" s="24">
        <f>IF($A813="","",IFERROR(LOOKUP(2,1/((入库单!$G$4:$G$2503=$A813)*(入库单!$Y$4:$Y$2503="正常")*(入库单!$L$4:$L$2503&gt;0)),入库单!$D$4:$D$2503),""))</f>
        <v/>
      </c>
      <c r="I813" s="25">
        <f>IF($A813="","",IFERROR(LOOKUP(2,1/((入库单!$G$4:$G$2503=$A813)*(入库单!$Y$4:$Y$2503="正常")*(入库单!$L$4:$L$2503&gt;0)),入库单!$L$4:$L$2503),0))</f>
        <v/>
      </c>
      <c r="J813" s="26">
        <f>IF($A813="","",IF($H813="A国内",ROUND($I813*倍数A*汇率,0),IF($H813="B当地",ROUND($I813*系数B,0),0)))</f>
        <v/>
      </c>
      <c r="K813" s="24">
        <f>IF($A813="","",IF(COUNTIFS(入库单!$G$4:$G$2503,$A813,入库单!$X$4:$X$2503,"待补价")&gt;0,"待补价",IF(COUNTIFS(入库单!$G$4:$G$2503,$A813,入库单!$X$4:$X$2503,"暂估")&gt;0,"暂估",IF($I813=0,"没有进价","正常"))))</f>
        <v/>
      </c>
      <c r="L813" s="27">
        <f>IF($A813="","",IFERROR(VLOOKUP($A813,库存台账!$A$5:$Y$1204,24,0),0))</f>
        <v/>
      </c>
      <c r="M813" s="26">
        <f>IF($A813="","",IFERROR(VLOOKUP($A813,库存台账!$A$5:$Y$1204,25,0),0))</f>
        <v/>
      </c>
      <c r="N813" s="19">
        <f>IF($A813="","",IFERROR(LOOKUP(2,1/((出库单!$D$4:$D$4003=$A813)*(出库单!$T$4:$T$4003="正常")),出库单!$C$4:$C$4003),""))</f>
        <v/>
      </c>
      <c r="O813" s="28">
        <f>IF($A813="","",IF($L813&lt;=0,"",IF($N813="",IFERROR(账期止-LOOKUP(2,1/(入库单!$G$4:$G$2503=$A813),入库单!$C$4:$C$2503),""),账期止-$N813)))</f>
        <v/>
      </c>
      <c r="P813" s="17" t="n"/>
    </row>
    <row r="814">
      <c r="A814" s="17" t="n"/>
      <c r="B814" s="17" t="n"/>
      <c r="C814" s="17" t="n"/>
      <c r="D814" s="17" t="n"/>
      <c r="E814" s="17" t="n"/>
      <c r="F814" s="17" t="n"/>
      <c r="G814" s="23" t="n"/>
      <c r="H814" s="24">
        <f>IF($A814="","",IFERROR(LOOKUP(2,1/((入库单!$G$4:$G$2503=$A814)*(入库单!$Y$4:$Y$2503="正常")*(入库单!$L$4:$L$2503&gt;0)),入库单!$D$4:$D$2503),""))</f>
        <v/>
      </c>
      <c r="I814" s="25">
        <f>IF($A814="","",IFERROR(LOOKUP(2,1/((入库单!$G$4:$G$2503=$A814)*(入库单!$Y$4:$Y$2503="正常")*(入库单!$L$4:$L$2503&gt;0)),入库单!$L$4:$L$2503),0))</f>
        <v/>
      </c>
      <c r="J814" s="26">
        <f>IF($A814="","",IF($H814="A国内",ROUND($I814*倍数A*汇率,0),IF($H814="B当地",ROUND($I814*系数B,0),0)))</f>
        <v/>
      </c>
      <c r="K814" s="24">
        <f>IF($A814="","",IF(COUNTIFS(入库单!$G$4:$G$2503,$A814,入库单!$X$4:$X$2503,"待补价")&gt;0,"待补价",IF(COUNTIFS(入库单!$G$4:$G$2503,$A814,入库单!$X$4:$X$2503,"暂估")&gt;0,"暂估",IF($I814=0,"没有进价","正常"))))</f>
        <v/>
      </c>
      <c r="L814" s="27">
        <f>IF($A814="","",IFERROR(VLOOKUP($A814,库存台账!$A$5:$Y$1204,24,0),0))</f>
        <v/>
      </c>
      <c r="M814" s="26">
        <f>IF($A814="","",IFERROR(VLOOKUP($A814,库存台账!$A$5:$Y$1204,25,0),0))</f>
        <v/>
      </c>
      <c r="N814" s="19">
        <f>IF($A814="","",IFERROR(LOOKUP(2,1/((出库单!$D$4:$D$4003=$A814)*(出库单!$T$4:$T$4003="正常")),出库单!$C$4:$C$4003),""))</f>
        <v/>
      </c>
      <c r="O814" s="28">
        <f>IF($A814="","",IF($L814&lt;=0,"",IF($N814="",IFERROR(账期止-LOOKUP(2,1/(入库单!$G$4:$G$2503=$A814),入库单!$C$4:$C$2503),""),账期止-$N814)))</f>
        <v/>
      </c>
      <c r="P814" s="17" t="n"/>
    </row>
    <row r="815">
      <c r="A815" s="17" t="n"/>
      <c r="B815" s="17" t="n"/>
      <c r="C815" s="17" t="n"/>
      <c r="D815" s="17" t="n"/>
      <c r="E815" s="17" t="n"/>
      <c r="F815" s="17" t="n"/>
      <c r="G815" s="23" t="n"/>
      <c r="H815" s="24">
        <f>IF($A815="","",IFERROR(LOOKUP(2,1/((入库单!$G$4:$G$2503=$A815)*(入库单!$Y$4:$Y$2503="正常")*(入库单!$L$4:$L$2503&gt;0)),入库单!$D$4:$D$2503),""))</f>
        <v/>
      </c>
      <c r="I815" s="25">
        <f>IF($A815="","",IFERROR(LOOKUP(2,1/((入库单!$G$4:$G$2503=$A815)*(入库单!$Y$4:$Y$2503="正常")*(入库单!$L$4:$L$2503&gt;0)),入库单!$L$4:$L$2503),0))</f>
        <v/>
      </c>
      <c r="J815" s="26">
        <f>IF($A815="","",IF($H815="A国内",ROUND($I815*倍数A*汇率,0),IF($H815="B当地",ROUND($I815*系数B,0),0)))</f>
        <v/>
      </c>
      <c r="K815" s="24">
        <f>IF($A815="","",IF(COUNTIFS(入库单!$G$4:$G$2503,$A815,入库单!$X$4:$X$2503,"待补价")&gt;0,"待补价",IF(COUNTIFS(入库单!$G$4:$G$2503,$A815,入库单!$X$4:$X$2503,"暂估")&gt;0,"暂估",IF($I815=0,"没有进价","正常"))))</f>
        <v/>
      </c>
      <c r="L815" s="27">
        <f>IF($A815="","",IFERROR(VLOOKUP($A815,库存台账!$A$5:$Y$1204,24,0),0))</f>
        <v/>
      </c>
      <c r="M815" s="26">
        <f>IF($A815="","",IFERROR(VLOOKUP($A815,库存台账!$A$5:$Y$1204,25,0),0))</f>
        <v/>
      </c>
      <c r="N815" s="19">
        <f>IF($A815="","",IFERROR(LOOKUP(2,1/((出库单!$D$4:$D$4003=$A815)*(出库单!$T$4:$T$4003="正常")),出库单!$C$4:$C$4003),""))</f>
        <v/>
      </c>
      <c r="O815" s="28">
        <f>IF($A815="","",IF($L815&lt;=0,"",IF($N815="",IFERROR(账期止-LOOKUP(2,1/(入库单!$G$4:$G$2503=$A815),入库单!$C$4:$C$2503),""),账期止-$N815)))</f>
        <v/>
      </c>
      <c r="P815" s="17" t="n"/>
    </row>
    <row r="816">
      <c r="A816" s="17" t="n"/>
      <c r="B816" s="17" t="n"/>
      <c r="C816" s="17" t="n"/>
      <c r="D816" s="17" t="n"/>
      <c r="E816" s="17" t="n"/>
      <c r="F816" s="17" t="n"/>
      <c r="G816" s="23" t="n"/>
      <c r="H816" s="24">
        <f>IF($A816="","",IFERROR(LOOKUP(2,1/((入库单!$G$4:$G$2503=$A816)*(入库单!$Y$4:$Y$2503="正常")*(入库单!$L$4:$L$2503&gt;0)),入库单!$D$4:$D$2503),""))</f>
        <v/>
      </c>
      <c r="I816" s="25">
        <f>IF($A816="","",IFERROR(LOOKUP(2,1/((入库单!$G$4:$G$2503=$A816)*(入库单!$Y$4:$Y$2503="正常")*(入库单!$L$4:$L$2503&gt;0)),入库单!$L$4:$L$2503),0))</f>
        <v/>
      </c>
      <c r="J816" s="26">
        <f>IF($A816="","",IF($H816="A国内",ROUND($I816*倍数A*汇率,0),IF($H816="B当地",ROUND($I816*系数B,0),0)))</f>
        <v/>
      </c>
      <c r="K816" s="24">
        <f>IF($A816="","",IF(COUNTIFS(入库单!$G$4:$G$2503,$A816,入库单!$X$4:$X$2503,"待补价")&gt;0,"待补价",IF(COUNTIFS(入库单!$G$4:$G$2503,$A816,入库单!$X$4:$X$2503,"暂估")&gt;0,"暂估",IF($I816=0,"没有进价","正常"))))</f>
        <v/>
      </c>
      <c r="L816" s="27">
        <f>IF($A816="","",IFERROR(VLOOKUP($A816,库存台账!$A$5:$Y$1204,24,0),0))</f>
        <v/>
      </c>
      <c r="M816" s="26">
        <f>IF($A816="","",IFERROR(VLOOKUP($A816,库存台账!$A$5:$Y$1204,25,0),0))</f>
        <v/>
      </c>
      <c r="N816" s="19">
        <f>IF($A816="","",IFERROR(LOOKUP(2,1/((出库单!$D$4:$D$4003=$A816)*(出库单!$T$4:$T$4003="正常")),出库单!$C$4:$C$4003),""))</f>
        <v/>
      </c>
      <c r="O816" s="28">
        <f>IF($A816="","",IF($L816&lt;=0,"",IF($N816="",IFERROR(账期止-LOOKUP(2,1/(入库单!$G$4:$G$2503=$A816),入库单!$C$4:$C$2503),""),账期止-$N816)))</f>
        <v/>
      </c>
      <c r="P816" s="17" t="n"/>
    </row>
    <row r="817">
      <c r="A817" s="17" t="n"/>
      <c r="B817" s="17" t="n"/>
      <c r="C817" s="17" t="n"/>
      <c r="D817" s="17" t="n"/>
      <c r="E817" s="17" t="n"/>
      <c r="F817" s="17" t="n"/>
      <c r="G817" s="23" t="n"/>
      <c r="H817" s="24">
        <f>IF($A817="","",IFERROR(LOOKUP(2,1/((入库单!$G$4:$G$2503=$A817)*(入库单!$Y$4:$Y$2503="正常")*(入库单!$L$4:$L$2503&gt;0)),入库单!$D$4:$D$2503),""))</f>
        <v/>
      </c>
      <c r="I817" s="25">
        <f>IF($A817="","",IFERROR(LOOKUP(2,1/((入库单!$G$4:$G$2503=$A817)*(入库单!$Y$4:$Y$2503="正常")*(入库单!$L$4:$L$2503&gt;0)),入库单!$L$4:$L$2503),0))</f>
        <v/>
      </c>
      <c r="J817" s="26">
        <f>IF($A817="","",IF($H817="A国内",ROUND($I817*倍数A*汇率,0),IF($H817="B当地",ROUND($I817*系数B,0),0)))</f>
        <v/>
      </c>
      <c r="K817" s="24">
        <f>IF($A817="","",IF(COUNTIFS(入库单!$G$4:$G$2503,$A817,入库单!$X$4:$X$2503,"待补价")&gt;0,"待补价",IF(COUNTIFS(入库单!$G$4:$G$2503,$A817,入库单!$X$4:$X$2503,"暂估")&gt;0,"暂估",IF($I817=0,"没有进价","正常"))))</f>
        <v/>
      </c>
      <c r="L817" s="27">
        <f>IF($A817="","",IFERROR(VLOOKUP($A817,库存台账!$A$5:$Y$1204,24,0),0))</f>
        <v/>
      </c>
      <c r="M817" s="26">
        <f>IF($A817="","",IFERROR(VLOOKUP($A817,库存台账!$A$5:$Y$1204,25,0),0))</f>
        <v/>
      </c>
      <c r="N817" s="19">
        <f>IF($A817="","",IFERROR(LOOKUP(2,1/((出库单!$D$4:$D$4003=$A817)*(出库单!$T$4:$T$4003="正常")),出库单!$C$4:$C$4003),""))</f>
        <v/>
      </c>
      <c r="O817" s="28">
        <f>IF($A817="","",IF($L817&lt;=0,"",IF($N817="",IFERROR(账期止-LOOKUP(2,1/(入库单!$G$4:$G$2503=$A817),入库单!$C$4:$C$2503),""),账期止-$N817)))</f>
        <v/>
      </c>
      <c r="P817" s="17" t="n"/>
    </row>
    <row r="818">
      <c r="A818" s="17" t="n"/>
      <c r="B818" s="17" t="n"/>
      <c r="C818" s="17" t="n"/>
      <c r="D818" s="17" t="n"/>
      <c r="E818" s="17" t="n"/>
      <c r="F818" s="17" t="n"/>
      <c r="G818" s="23" t="n"/>
      <c r="H818" s="24">
        <f>IF($A818="","",IFERROR(LOOKUP(2,1/((入库单!$G$4:$G$2503=$A818)*(入库单!$Y$4:$Y$2503="正常")*(入库单!$L$4:$L$2503&gt;0)),入库单!$D$4:$D$2503),""))</f>
        <v/>
      </c>
      <c r="I818" s="25">
        <f>IF($A818="","",IFERROR(LOOKUP(2,1/((入库单!$G$4:$G$2503=$A818)*(入库单!$Y$4:$Y$2503="正常")*(入库单!$L$4:$L$2503&gt;0)),入库单!$L$4:$L$2503),0))</f>
        <v/>
      </c>
      <c r="J818" s="26">
        <f>IF($A818="","",IF($H818="A国内",ROUND($I818*倍数A*汇率,0),IF($H818="B当地",ROUND($I818*系数B,0),0)))</f>
        <v/>
      </c>
      <c r="K818" s="24">
        <f>IF($A818="","",IF(COUNTIFS(入库单!$G$4:$G$2503,$A818,入库单!$X$4:$X$2503,"待补价")&gt;0,"待补价",IF(COUNTIFS(入库单!$G$4:$G$2503,$A818,入库单!$X$4:$X$2503,"暂估")&gt;0,"暂估",IF($I818=0,"没有进价","正常"))))</f>
        <v/>
      </c>
      <c r="L818" s="27">
        <f>IF($A818="","",IFERROR(VLOOKUP($A818,库存台账!$A$5:$Y$1204,24,0),0))</f>
        <v/>
      </c>
      <c r="M818" s="26">
        <f>IF($A818="","",IFERROR(VLOOKUP($A818,库存台账!$A$5:$Y$1204,25,0),0))</f>
        <v/>
      </c>
      <c r="N818" s="19">
        <f>IF($A818="","",IFERROR(LOOKUP(2,1/((出库单!$D$4:$D$4003=$A818)*(出库单!$T$4:$T$4003="正常")),出库单!$C$4:$C$4003),""))</f>
        <v/>
      </c>
      <c r="O818" s="28">
        <f>IF($A818="","",IF($L818&lt;=0,"",IF($N818="",IFERROR(账期止-LOOKUP(2,1/(入库单!$G$4:$G$2503=$A818),入库单!$C$4:$C$2503),""),账期止-$N818)))</f>
        <v/>
      </c>
      <c r="P818" s="17" t="n"/>
    </row>
    <row r="819">
      <c r="A819" s="17" t="n"/>
      <c r="B819" s="17" t="n"/>
      <c r="C819" s="17" t="n"/>
      <c r="D819" s="17" t="n"/>
      <c r="E819" s="17" t="n"/>
      <c r="F819" s="17" t="n"/>
      <c r="G819" s="23" t="n"/>
      <c r="H819" s="24">
        <f>IF($A819="","",IFERROR(LOOKUP(2,1/((入库单!$G$4:$G$2503=$A819)*(入库单!$Y$4:$Y$2503="正常")*(入库单!$L$4:$L$2503&gt;0)),入库单!$D$4:$D$2503),""))</f>
        <v/>
      </c>
      <c r="I819" s="25">
        <f>IF($A819="","",IFERROR(LOOKUP(2,1/((入库单!$G$4:$G$2503=$A819)*(入库单!$Y$4:$Y$2503="正常")*(入库单!$L$4:$L$2503&gt;0)),入库单!$L$4:$L$2503),0))</f>
        <v/>
      </c>
      <c r="J819" s="26">
        <f>IF($A819="","",IF($H819="A国内",ROUND($I819*倍数A*汇率,0),IF($H819="B当地",ROUND($I819*系数B,0),0)))</f>
        <v/>
      </c>
      <c r="K819" s="24">
        <f>IF($A819="","",IF(COUNTIFS(入库单!$G$4:$G$2503,$A819,入库单!$X$4:$X$2503,"待补价")&gt;0,"待补价",IF(COUNTIFS(入库单!$G$4:$G$2503,$A819,入库单!$X$4:$X$2503,"暂估")&gt;0,"暂估",IF($I819=0,"没有进价","正常"))))</f>
        <v/>
      </c>
      <c r="L819" s="27">
        <f>IF($A819="","",IFERROR(VLOOKUP($A819,库存台账!$A$5:$Y$1204,24,0),0))</f>
        <v/>
      </c>
      <c r="M819" s="26">
        <f>IF($A819="","",IFERROR(VLOOKUP($A819,库存台账!$A$5:$Y$1204,25,0),0))</f>
        <v/>
      </c>
      <c r="N819" s="19">
        <f>IF($A819="","",IFERROR(LOOKUP(2,1/((出库单!$D$4:$D$4003=$A819)*(出库单!$T$4:$T$4003="正常")),出库单!$C$4:$C$4003),""))</f>
        <v/>
      </c>
      <c r="O819" s="28">
        <f>IF($A819="","",IF($L819&lt;=0,"",IF($N819="",IFERROR(账期止-LOOKUP(2,1/(入库单!$G$4:$G$2503=$A819),入库单!$C$4:$C$2503),""),账期止-$N819)))</f>
        <v/>
      </c>
      <c r="P819" s="17" t="n"/>
    </row>
    <row r="820">
      <c r="A820" s="17" t="n"/>
      <c r="B820" s="17" t="n"/>
      <c r="C820" s="17" t="n"/>
      <c r="D820" s="17" t="n"/>
      <c r="E820" s="17" t="n"/>
      <c r="F820" s="17" t="n"/>
      <c r="G820" s="23" t="n"/>
      <c r="H820" s="24">
        <f>IF($A820="","",IFERROR(LOOKUP(2,1/((入库单!$G$4:$G$2503=$A820)*(入库单!$Y$4:$Y$2503="正常")*(入库单!$L$4:$L$2503&gt;0)),入库单!$D$4:$D$2503),""))</f>
        <v/>
      </c>
      <c r="I820" s="25">
        <f>IF($A820="","",IFERROR(LOOKUP(2,1/((入库单!$G$4:$G$2503=$A820)*(入库单!$Y$4:$Y$2503="正常")*(入库单!$L$4:$L$2503&gt;0)),入库单!$L$4:$L$2503),0))</f>
        <v/>
      </c>
      <c r="J820" s="26">
        <f>IF($A820="","",IF($H820="A国内",ROUND($I820*倍数A*汇率,0),IF($H820="B当地",ROUND($I820*系数B,0),0)))</f>
        <v/>
      </c>
      <c r="K820" s="24">
        <f>IF($A820="","",IF(COUNTIFS(入库单!$G$4:$G$2503,$A820,入库单!$X$4:$X$2503,"待补价")&gt;0,"待补价",IF(COUNTIFS(入库单!$G$4:$G$2503,$A820,入库单!$X$4:$X$2503,"暂估")&gt;0,"暂估",IF($I820=0,"没有进价","正常"))))</f>
        <v/>
      </c>
      <c r="L820" s="27">
        <f>IF($A820="","",IFERROR(VLOOKUP($A820,库存台账!$A$5:$Y$1204,24,0),0))</f>
        <v/>
      </c>
      <c r="M820" s="26">
        <f>IF($A820="","",IFERROR(VLOOKUP($A820,库存台账!$A$5:$Y$1204,25,0),0))</f>
        <v/>
      </c>
      <c r="N820" s="19">
        <f>IF($A820="","",IFERROR(LOOKUP(2,1/((出库单!$D$4:$D$4003=$A820)*(出库单!$T$4:$T$4003="正常")),出库单!$C$4:$C$4003),""))</f>
        <v/>
      </c>
      <c r="O820" s="28">
        <f>IF($A820="","",IF($L820&lt;=0,"",IF($N820="",IFERROR(账期止-LOOKUP(2,1/(入库单!$G$4:$G$2503=$A820),入库单!$C$4:$C$2503),""),账期止-$N820)))</f>
        <v/>
      </c>
      <c r="P820" s="17" t="n"/>
    </row>
    <row r="821">
      <c r="A821" s="17" t="n"/>
      <c r="B821" s="17" t="n"/>
      <c r="C821" s="17" t="n"/>
      <c r="D821" s="17" t="n"/>
      <c r="E821" s="17" t="n"/>
      <c r="F821" s="17" t="n"/>
      <c r="G821" s="23" t="n"/>
      <c r="H821" s="24">
        <f>IF($A821="","",IFERROR(LOOKUP(2,1/((入库单!$G$4:$G$2503=$A821)*(入库单!$Y$4:$Y$2503="正常")*(入库单!$L$4:$L$2503&gt;0)),入库单!$D$4:$D$2503),""))</f>
        <v/>
      </c>
      <c r="I821" s="25">
        <f>IF($A821="","",IFERROR(LOOKUP(2,1/((入库单!$G$4:$G$2503=$A821)*(入库单!$Y$4:$Y$2503="正常")*(入库单!$L$4:$L$2503&gt;0)),入库单!$L$4:$L$2503),0))</f>
        <v/>
      </c>
      <c r="J821" s="26">
        <f>IF($A821="","",IF($H821="A国内",ROUND($I821*倍数A*汇率,0),IF($H821="B当地",ROUND($I821*系数B,0),0)))</f>
        <v/>
      </c>
      <c r="K821" s="24">
        <f>IF($A821="","",IF(COUNTIFS(入库单!$G$4:$G$2503,$A821,入库单!$X$4:$X$2503,"待补价")&gt;0,"待补价",IF(COUNTIFS(入库单!$G$4:$G$2503,$A821,入库单!$X$4:$X$2503,"暂估")&gt;0,"暂估",IF($I821=0,"没有进价","正常"))))</f>
        <v/>
      </c>
      <c r="L821" s="27">
        <f>IF($A821="","",IFERROR(VLOOKUP($A821,库存台账!$A$5:$Y$1204,24,0),0))</f>
        <v/>
      </c>
      <c r="M821" s="26">
        <f>IF($A821="","",IFERROR(VLOOKUP($A821,库存台账!$A$5:$Y$1204,25,0),0))</f>
        <v/>
      </c>
      <c r="N821" s="19">
        <f>IF($A821="","",IFERROR(LOOKUP(2,1/((出库单!$D$4:$D$4003=$A821)*(出库单!$T$4:$T$4003="正常")),出库单!$C$4:$C$4003),""))</f>
        <v/>
      </c>
      <c r="O821" s="28">
        <f>IF($A821="","",IF($L821&lt;=0,"",IF($N821="",IFERROR(账期止-LOOKUP(2,1/(入库单!$G$4:$G$2503=$A821),入库单!$C$4:$C$2503),""),账期止-$N821)))</f>
        <v/>
      </c>
      <c r="P821" s="17" t="n"/>
    </row>
    <row r="822">
      <c r="A822" s="17" t="n"/>
      <c r="B822" s="17" t="n"/>
      <c r="C822" s="17" t="n"/>
      <c r="D822" s="17" t="n"/>
      <c r="E822" s="17" t="n"/>
      <c r="F822" s="17" t="n"/>
      <c r="G822" s="23" t="n"/>
      <c r="H822" s="24">
        <f>IF($A822="","",IFERROR(LOOKUP(2,1/((入库单!$G$4:$G$2503=$A822)*(入库单!$Y$4:$Y$2503="正常")*(入库单!$L$4:$L$2503&gt;0)),入库单!$D$4:$D$2503),""))</f>
        <v/>
      </c>
      <c r="I822" s="25">
        <f>IF($A822="","",IFERROR(LOOKUP(2,1/((入库单!$G$4:$G$2503=$A822)*(入库单!$Y$4:$Y$2503="正常")*(入库单!$L$4:$L$2503&gt;0)),入库单!$L$4:$L$2503),0))</f>
        <v/>
      </c>
      <c r="J822" s="26">
        <f>IF($A822="","",IF($H822="A国内",ROUND($I822*倍数A*汇率,0),IF($H822="B当地",ROUND($I822*系数B,0),0)))</f>
        <v/>
      </c>
      <c r="K822" s="24">
        <f>IF($A822="","",IF(COUNTIFS(入库单!$G$4:$G$2503,$A822,入库单!$X$4:$X$2503,"待补价")&gt;0,"待补价",IF(COUNTIFS(入库单!$G$4:$G$2503,$A822,入库单!$X$4:$X$2503,"暂估")&gt;0,"暂估",IF($I822=0,"没有进价","正常"))))</f>
        <v/>
      </c>
      <c r="L822" s="27">
        <f>IF($A822="","",IFERROR(VLOOKUP($A822,库存台账!$A$5:$Y$1204,24,0),0))</f>
        <v/>
      </c>
      <c r="M822" s="26">
        <f>IF($A822="","",IFERROR(VLOOKUP($A822,库存台账!$A$5:$Y$1204,25,0),0))</f>
        <v/>
      </c>
      <c r="N822" s="19">
        <f>IF($A822="","",IFERROR(LOOKUP(2,1/((出库单!$D$4:$D$4003=$A822)*(出库单!$T$4:$T$4003="正常")),出库单!$C$4:$C$4003),""))</f>
        <v/>
      </c>
      <c r="O822" s="28">
        <f>IF($A822="","",IF($L822&lt;=0,"",IF($N822="",IFERROR(账期止-LOOKUP(2,1/(入库单!$G$4:$G$2503=$A822),入库单!$C$4:$C$2503),""),账期止-$N822)))</f>
        <v/>
      </c>
      <c r="P822" s="17" t="n"/>
    </row>
    <row r="823">
      <c r="A823" s="17" t="n"/>
      <c r="B823" s="17" t="n"/>
      <c r="C823" s="17" t="n"/>
      <c r="D823" s="17" t="n"/>
      <c r="E823" s="17" t="n"/>
      <c r="F823" s="17" t="n"/>
      <c r="G823" s="23" t="n"/>
      <c r="H823" s="24">
        <f>IF($A823="","",IFERROR(LOOKUP(2,1/((入库单!$G$4:$G$2503=$A823)*(入库单!$Y$4:$Y$2503="正常")*(入库单!$L$4:$L$2503&gt;0)),入库单!$D$4:$D$2503),""))</f>
        <v/>
      </c>
      <c r="I823" s="25">
        <f>IF($A823="","",IFERROR(LOOKUP(2,1/((入库单!$G$4:$G$2503=$A823)*(入库单!$Y$4:$Y$2503="正常")*(入库单!$L$4:$L$2503&gt;0)),入库单!$L$4:$L$2503),0))</f>
        <v/>
      </c>
      <c r="J823" s="26">
        <f>IF($A823="","",IF($H823="A国内",ROUND($I823*倍数A*汇率,0),IF($H823="B当地",ROUND($I823*系数B,0),0)))</f>
        <v/>
      </c>
      <c r="K823" s="24">
        <f>IF($A823="","",IF(COUNTIFS(入库单!$G$4:$G$2503,$A823,入库单!$X$4:$X$2503,"待补价")&gt;0,"待补价",IF(COUNTIFS(入库单!$G$4:$G$2503,$A823,入库单!$X$4:$X$2503,"暂估")&gt;0,"暂估",IF($I823=0,"没有进价","正常"))))</f>
        <v/>
      </c>
      <c r="L823" s="27">
        <f>IF($A823="","",IFERROR(VLOOKUP($A823,库存台账!$A$5:$Y$1204,24,0),0))</f>
        <v/>
      </c>
      <c r="M823" s="26">
        <f>IF($A823="","",IFERROR(VLOOKUP($A823,库存台账!$A$5:$Y$1204,25,0),0))</f>
        <v/>
      </c>
      <c r="N823" s="19">
        <f>IF($A823="","",IFERROR(LOOKUP(2,1/((出库单!$D$4:$D$4003=$A823)*(出库单!$T$4:$T$4003="正常")),出库单!$C$4:$C$4003),""))</f>
        <v/>
      </c>
      <c r="O823" s="28">
        <f>IF($A823="","",IF($L823&lt;=0,"",IF($N823="",IFERROR(账期止-LOOKUP(2,1/(入库单!$G$4:$G$2503=$A823),入库单!$C$4:$C$2503),""),账期止-$N823)))</f>
        <v/>
      </c>
      <c r="P823" s="17" t="n"/>
    </row>
    <row r="824">
      <c r="A824" s="17" t="n"/>
      <c r="B824" s="17" t="n"/>
      <c r="C824" s="17" t="n"/>
      <c r="D824" s="17" t="n"/>
      <c r="E824" s="17" t="n"/>
      <c r="F824" s="17" t="n"/>
      <c r="G824" s="23" t="n"/>
      <c r="H824" s="24">
        <f>IF($A824="","",IFERROR(LOOKUP(2,1/((入库单!$G$4:$G$2503=$A824)*(入库单!$Y$4:$Y$2503="正常")*(入库单!$L$4:$L$2503&gt;0)),入库单!$D$4:$D$2503),""))</f>
        <v/>
      </c>
      <c r="I824" s="25">
        <f>IF($A824="","",IFERROR(LOOKUP(2,1/((入库单!$G$4:$G$2503=$A824)*(入库单!$Y$4:$Y$2503="正常")*(入库单!$L$4:$L$2503&gt;0)),入库单!$L$4:$L$2503),0))</f>
        <v/>
      </c>
      <c r="J824" s="26">
        <f>IF($A824="","",IF($H824="A国内",ROUND($I824*倍数A*汇率,0),IF($H824="B当地",ROUND($I824*系数B,0),0)))</f>
        <v/>
      </c>
      <c r="K824" s="24">
        <f>IF($A824="","",IF(COUNTIFS(入库单!$G$4:$G$2503,$A824,入库单!$X$4:$X$2503,"待补价")&gt;0,"待补价",IF(COUNTIFS(入库单!$G$4:$G$2503,$A824,入库单!$X$4:$X$2503,"暂估")&gt;0,"暂估",IF($I824=0,"没有进价","正常"))))</f>
        <v/>
      </c>
      <c r="L824" s="27">
        <f>IF($A824="","",IFERROR(VLOOKUP($A824,库存台账!$A$5:$Y$1204,24,0),0))</f>
        <v/>
      </c>
      <c r="M824" s="26">
        <f>IF($A824="","",IFERROR(VLOOKUP($A824,库存台账!$A$5:$Y$1204,25,0),0))</f>
        <v/>
      </c>
      <c r="N824" s="19">
        <f>IF($A824="","",IFERROR(LOOKUP(2,1/((出库单!$D$4:$D$4003=$A824)*(出库单!$T$4:$T$4003="正常")),出库单!$C$4:$C$4003),""))</f>
        <v/>
      </c>
      <c r="O824" s="28">
        <f>IF($A824="","",IF($L824&lt;=0,"",IF($N824="",IFERROR(账期止-LOOKUP(2,1/(入库单!$G$4:$G$2503=$A824),入库单!$C$4:$C$2503),""),账期止-$N824)))</f>
        <v/>
      </c>
      <c r="P824" s="17" t="n"/>
    </row>
    <row r="825">
      <c r="A825" s="17" t="n"/>
      <c r="B825" s="17" t="n"/>
      <c r="C825" s="17" t="n"/>
      <c r="D825" s="17" t="n"/>
      <c r="E825" s="17" t="n"/>
      <c r="F825" s="17" t="n"/>
      <c r="G825" s="23" t="n"/>
      <c r="H825" s="24">
        <f>IF($A825="","",IFERROR(LOOKUP(2,1/((入库单!$G$4:$G$2503=$A825)*(入库单!$Y$4:$Y$2503="正常")*(入库单!$L$4:$L$2503&gt;0)),入库单!$D$4:$D$2503),""))</f>
        <v/>
      </c>
      <c r="I825" s="25">
        <f>IF($A825="","",IFERROR(LOOKUP(2,1/((入库单!$G$4:$G$2503=$A825)*(入库单!$Y$4:$Y$2503="正常")*(入库单!$L$4:$L$2503&gt;0)),入库单!$L$4:$L$2503),0))</f>
        <v/>
      </c>
      <c r="J825" s="26">
        <f>IF($A825="","",IF($H825="A国内",ROUND($I825*倍数A*汇率,0),IF($H825="B当地",ROUND($I825*系数B,0),0)))</f>
        <v/>
      </c>
      <c r="K825" s="24">
        <f>IF($A825="","",IF(COUNTIFS(入库单!$G$4:$G$2503,$A825,入库单!$X$4:$X$2503,"待补价")&gt;0,"待补价",IF(COUNTIFS(入库单!$G$4:$G$2503,$A825,入库单!$X$4:$X$2503,"暂估")&gt;0,"暂估",IF($I825=0,"没有进价","正常"))))</f>
        <v/>
      </c>
      <c r="L825" s="27">
        <f>IF($A825="","",IFERROR(VLOOKUP($A825,库存台账!$A$5:$Y$1204,24,0),0))</f>
        <v/>
      </c>
      <c r="M825" s="26">
        <f>IF($A825="","",IFERROR(VLOOKUP($A825,库存台账!$A$5:$Y$1204,25,0),0))</f>
        <v/>
      </c>
      <c r="N825" s="19">
        <f>IF($A825="","",IFERROR(LOOKUP(2,1/((出库单!$D$4:$D$4003=$A825)*(出库单!$T$4:$T$4003="正常")),出库单!$C$4:$C$4003),""))</f>
        <v/>
      </c>
      <c r="O825" s="28">
        <f>IF($A825="","",IF($L825&lt;=0,"",IF($N825="",IFERROR(账期止-LOOKUP(2,1/(入库单!$G$4:$G$2503=$A825),入库单!$C$4:$C$2503),""),账期止-$N825)))</f>
        <v/>
      </c>
      <c r="P825" s="17" t="n"/>
    </row>
    <row r="826">
      <c r="A826" s="17" t="n"/>
      <c r="B826" s="17" t="n"/>
      <c r="C826" s="17" t="n"/>
      <c r="D826" s="17" t="n"/>
      <c r="E826" s="17" t="n"/>
      <c r="F826" s="17" t="n"/>
      <c r="G826" s="23" t="n"/>
      <c r="H826" s="24">
        <f>IF($A826="","",IFERROR(LOOKUP(2,1/((入库单!$G$4:$G$2503=$A826)*(入库单!$Y$4:$Y$2503="正常")*(入库单!$L$4:$L$2503&gt;0)),入库单!$D$4:$D$2503),""))</f>
        <v/>
      </c>
      <c r="I826" s="25">
        <f>IF($A826="","",IFERROR(LOOKUP(2,1/((入库单!$G$4:$G$2503=$A826)*(入库单!$Y$4:$Y$2503="正常")*(入库单!$L$4:$L$2503&gt;0)),入库单!$L$4:$L$2503),0))</f>
        <v/>
      </c>
      <c r="J826" s="26">
        <f>IF($A826="","",IF($H826="A国内",ROUND($I826*倍数A*汇率,0),IF($H826="B当地",ROUND($I826*系数B,0),0)))</f>
        <v/>
      </c>
      <c r="K826" s="24">
        <f>IF($A826="","",IF(COUNTIFS(入库单!$G$4:$G$2503,$A826,入库单!$X$4:$X$2503,"待补价")&gt;0,"待补价",IF(COUNTIFS(入库单!$G$4:$G$2503,$A826,入库单!$X$4:$X$2503,"暂估")&gt;0,"暂估",IF($I826=0,"没有进价","正常"))))</f>
        <v/>
      </c>
      <c r="L826" s="27">
        <f>IF($A826="","",IFERROR(VLOOKUP($A826,库存台账!$A$5:$Y$1204,24,0),0))</f>
        <v/>
      </c>
      <c r="M826" s="26">
        <f>IF($A826="","",IFERROR(VLOOKUP($A826,库存台账!$A$5:$Y$1204,25,0),0))</f>
        <v/>
      </c>
      <c r="N826" s="19">
        <f>IF($A826="","",IFERROR(LOOKUP(2,1/((出库单!$D$4:$D$4003=$A826)*(出库单!$T$4:$T$4003="正常")),出库单!$C$4:$C$4003),""))</f>
        <v/>
      </c>
      <c r="O826" s="28">
        <f>IF($A826="","",IF($L826&lt;=0,"",IF($N826="",IFERROR(账期止-LOOKUP(2,1/(入库单!$G$4:$G$2503=$A826),入库单!$C$4:$C$2503),""),账期止-$N826)))</f>
        <v/>
      </c>
      <c r="P826" s="17" t="n"/>
    </row>
    <row r="827">
      <c r="A827" s="17" t="n"/>
      <c r="B827" s="17" t="n"/>
      <c r="C827" s="17" t="n"/>
      <c r="D827" s="17" t="n"/>
      <c r="E827" s="17" t="n"/>
      <c r="F827" s="17" t="n"/>
      <c r="G827" s="23" t="n"/>
      <c r="H827" s="24">
        <f>IF($A827="","",IFERROR(LOOKUP(2,1/((入库单!$G$4:$G$2503=$A827)*(入库单!$Y$4:$Y$2503="正常")*(入库单!$L$4:$L$2503&gt;0)),入库单!$D$4:$D$2503),""))</f>
        <v/>
      </c>
      <c r="I827" s="25">
        <f>IF($A827="","",IFERROR(LOOKUP(2,1/((入库单!$G$4:$G$2503=$A827)*(入库单!$Y$4:$Y$2503="正常")*(入库单!$L$4:$L$2503&gt;0)),入库单!$L$4:$L$2503),0))</f>
        <v/>
      </c>
      <c r="J827" s="26">
        <f>IF($A827="","",IF($H827="A国内",ROUND($I827*倍数A*汇率,0),IF($H827="B当地",ROUND($I827*系数B,0),0)))</f>
        <v/>
      </c>
      <c r="K827" s="24">
        <f>IF($A827="","",IF(COUNTIFS(入库单!$G$4:$G$2503,$A827,入库单!$X$4:$X$2503,"待补价")&gt;0,"待补价",IF(COUNTIFS(入库单!$G$4:$G$2503,$A827,入库单!$X$4:$X$2503,"暂估")&gt;0,"暂估",IF($I827=0,"没有进价","正常"))))</f>
        <v/>
      </c>
      <c r="L827" s="27">
        <f>IF($A827="","",IFERROR(VLOOKUP($A827,库存台账!$A$5:$Y$1204,24,0),0))</f>
        <v/>
      </c>
      <c r="M827" s="26">
        <f>IF($A827="","",IFERROR(VLOOKUP($A827,库存台账!$A$5:$Y$1204,25,0),0))</f>
        <v/>
      </c>
      <c r="N827" s="19">
        <f>IF($A827="","",IFERROR(LOOKUP(2,1/((出库单!$D$4:$D$4003=$A827)*(出库单!$T$4:$T$4003="正常")),出库单!$C$4:$C$4003),""))</f>
        <v/>
      </c>
      <c r="O827" s="28">
        <f>IF($A827="","",IF($L827&lt;=0,"",IF($N827="",IFERROR(账期止-LOOKUP(2,1/(入库单!$G$4:$G$2503=$A827),入库单!$C$4:$C$2503),""),账期止-$N827)))</f>
        <v/>
      </c>
      <c r="P827" s="17" t="n"/>
    </row>
    <row r="828">
      <c r="A828" s="17" t="n"/>
      <c r="B828" s="17" t="n"/>
      <c r="C828" s="17" t="n"/>
      <c r="D828" s="17" t="n"/>
      <c r="E828" s="17" t="n"/>
      <c r="F828" s="17" t="n"/>
      <c r="G828" s="23" t="n"/>
      <c r="H828" s="24">
        <f>IF($A828="","",IFERROR(LOOKUP(2,1/((入库单!$G$4:$G$2503=$A828)*(入库单!$Y$4:$Y$2503="正常")*(入库单!$L$4:$L$2503&gt;0)),入库单!$D$4:$D$2503),""))</f>
        <v/>
      </c>
      <c r="I828" s="25">
        <f>IF($A828="","",IFERROR(LOOKUP(2,1/((入库单!$G$4:$G$2503=$A828)*(入库单!$Y$4:$Y$2503="正常")*(入库单!$L$4:$L$2503&gt;0)),入库单!$L$4:$L$2503),0))</f>
        <v/>
      </c>
      <c r="J828" s="26">
        <f>IF($A828="","",IF($H828="A国内",ROUND($I828*倍数A*汇率,0),IF($H828="B当地",ROUND($I828*系数B,0),0)))</f>
        <v/>
      </c>
      <c r="K828" s="24">
        <f>IF($A828="","",IF(COUNTIFS(入库单!$G$4:$G$2503,$A828,入库单!$X$4:$X$2503,"待补价")&gt;0,"待补价",IF(COUNTIFS(入库单!$G$4:$G$2503,$A828,入库单!$X$4:$X$2503,"暂估")&gt;0,"暂估",IF($I828=0,"没有进价","正常"))))</f>
        <v/>
      </c>
      <c r="L828" s="27">
        <f>IF($A828="","",IFERROR(VLOOKUP($A828,库存台账!$A$5:$Y$1204,24,0),0))</f>
        <v/>
      </c>
      <c r="M828" s="26">
        <f>IF($A828="","",IFERROR(VLOOKUP($A828,库存台账!$A$5:$Y$1204,25,0),0))</f>
        <v/>
      </c>
      <c r="N828" s="19">
        <f>IF($A828="","",IFERROR(LOOKUP(2,1/((出库单!$D$4:$D$4003=$A828)*(出库单!$T$4:$T$4003="正常")),出库单!$C$4:$C$4003),""))</f>
        <v/>
      </c>
      <c r="O828" s="28">
        <f>IF($A828="","",IF($L828&lt;=0,"",IF($N828="",IFERROR(账期止-LOOKUP(2,1/(入库单!$G$4:$G$2503=$A828),入库单!$C$4:$C$2503),""),账期止-$N828)))</f>
        <v/>
      </c>
      <c r="P828" s="17" t="n"/>
    </row>
    <row r="829">
      <c r="A829" s="17" t="n"/>
      <c r="B829" s="17" t="n"/>
      <c r="C829" s="17" t="n"/>
      <c r="D829" s="17" t="n"/>
      <c r="E829" s="17" t="n"/>
      <c r="F829" s="17" t="n"/>
      <c r="G829" s="23" t="n"/>
      <c r="H829" s="24">
        <f>IF($A829="","",IFERROR(LOOKUP(2,1/((入库单!$G$4:$G$2503=$A829)*(入库单!$Y$4:$Y$2503="正常")*(入库单!$L$4:$L$2503&gt;0)),入库单!$D$4:$D$2503),""))</f>
        <v/>
      </c>
      <c r="I829" s="25">
        <f>IF($A829="","",IFERROR(LOOKUP(2,1/((入库单!$G$4:$G$2503=$A829)*(入库单!$Y$4:$Y$2503="正常")*(入库单!$L$4:$L$2503&gt;0)),入库单!$L$4:$L$2503),0))</f>
        <v/>
      </c>
      <c r="J829" s="26">
        <f>IF($A829="","",IF($H829="A国内",ROUND($I829*倍数A*汇率,0),IF($H829="B当地",ROUND($I829*系数B,0),0)))</f>
        <v/>
      </c>
      <c r="K829" s="24">
        <f>IF($A829="","",IF(COUNTIFS(入库单!$G$4:$G$2503,$A829,入库单!$X$4:$X$2503,"待补价")&gt;0,"待补价",IF(COUNTIFS(入库单!$G$4:$G$2503,$A829,入库单!$X$4:$X$2503,"暂估")&gt;0,"暂估",IF($I829=0,"没有进价","正常"))))</f>
        <v/>
      </c>
      <c r="L829" s="27">
        <f>IF($A829="","",IFERROR(VLOOKUP($A829,库存台账!$A$5:$Y$1204,24,0),0))</f>
        <v/>
      </c>
      <c r="M829" s="26">
        <f>IF($A829="","",IFERROR(VLOOKUP($A829,库存台账!$A$5:$Y$1204,25,0),0))</f>
        <v/>
      </c>
      <c r="N829" s="19">
        <f>IF($A829="","",IFERROR(LOOKUP(2,1/((出库单!$D$4:$D$4003=$A829)*(出库单!$T$4:$T$4003="正常")),出库单!$C$4:$C$4003),""))</f>
        <v/>
      </c>
      <c r="O829" s="28">
        <f>IF($A829="","",IF($L829&lt;=0,"",IF($N829="",IFERROR(账期止-LOOKUP(2,1/(入库单!$G$4:$G$2503=$A829),入库单!$C$4:$C$2503),""),账期止-$N829)))</f>
        <v/>
      </c>
      <c r="P829" s="17" t="n"/>
    </row>
    <row r="830">
      <c r="A830" s="17" t="n"/>
      <c r="B830" s="17" t="n"/>
      <c r="C830" s="17" t="n"/>
      <c r="D830" s="17" t="n"/>
      <c r="E830" s="17" t="n"/>
      <c r="F830" s="17" t="n"/>
      <c r="G830" s="23" t="n"/>
      <c r="H830" s="24">
        <f>IF($A830="","",IFERROR(LOOKUP(2,1/((入库单!$G$4:$G$2503=$A830)*(入库单!$Y$4:$Y$2503="正常")*(入库单!$L$4:$L$2503&gt;0)),入库单!$D$4:$D$2503),""))</f>
        <v/>
      </c>
      <c r="I830" s="25">
        <f>IF($A830="","",IFERROR(LOOKUP(2,1/((入库单!$G$4:$G$2503=$A830)*(入库单!$Y$4:$Y$2503="正常")*(入库单!$L$4:$L$2503&gt;0)),入库单!$L$4:$L$2503),0))</f>
        <v/>
      </c>
      <c r="J830" s="26">
        <f>IF($A830="","",IF($H830="A国内",ROUND($I830*倍数A*汇率,0),IF($H830="B当地",ROUND($I830*系数B,0),0)))</f>
        <v/>
      </c>
      <c r="K830" s="24">
        <f>IF($A830="","",IF(COUNTIFS(入库单!$G$4:$G$2503,$A830,入库单!$X$4:$X$2503,"待补价")&gt;0,"待补价",IF(COUNTIFS(入库单!$G$4:$G$2503,$A830,入库单!$X$4:$X$2503,"暂估")&gt;0,"暂估",IF($I830=0,"没有进价","正常"))))</f>
        <v/>
      </c>
      <c r="L830" s="27">
        <f>IF($A830="","",IFERROR(VLOOKUP($A830,库存台账!$A$5:$Y$1204,24,0),0))</f>
        <v/>
      </c>
      <c r="M830" s="26">
        <f>IF($A830="","",IFERROR(VLOOKUP($A830,库存台账!$A$5:$Y$1204,25,0),0))</f>
        <v/>
      </c>
      <c r="N830" s="19">
        <f>IF($A830="","",IFERROR(LOOKUP(2,1/((出库单!$D$4:$D$4003=$A830)*(出库单!$T$4:$T$4003="正常")),出库单!$C$4:$C$4003),""))</f>
        <v/>
      </c>
      <c r="O830" s="28">
        <f>IF($A830="","",IF($L830&lt;=0,"",IF($N830="",IFERROR(账期止-LOOKUP(2,1/(入库单!$G$4:$G$2503=$A830),入库单!$C$4:$C$2503),""),账期止-$N830)))</f>
        <v/>
      </c>
      <c r="P830" s="17" t="n"/>
    </row>
    <row r="831">
      <c r="A831" s="17" t="n"/>
      <c r="B831" s="17" t="n"/>
      <c r="C831" s="17" t="n"/>
      <c r="D831" s="17" t="n"/>
      <c r="E831" s="17" t="n"/>
      <c r="F831" s="17" t="n"/>
      <c r="G831" s="23" t="n"/>
      <c r="H831" s="24">
        <f>IF($A831="","",IFERROR(LOOKUP(2,1/((入库单!$G$4:$G$2503=$A831)*(入库单!$Y$4:$Y$2503="正常")*(入库单!$L$4:$L$2503&gt;0)),入库单!$D$4:$D$2503),""))</f>
        <v/>
      </c>
      <c r="I831" s="25">
        <f>IF($A831="","",IFERROR(LOOKUP(2,1/((入库单!$G$4:$G$2503=$A831)*(入库单!$Y$4:$Y$2503="正常")*(入库单!$L$4:$L$2503&gt;0)),入库单!$L$4:$L$2503),0))</f>
        <v/>
      </c>
      <c r="J831" s="26">
        <f>IF($A831="","",IF($H831="A国内",ROUND($I831*倍数A*汇率,0),IF($H831="B当地",ROUND($I831*系数B,0),0)))</f>
        <v/>
      </c>
      <c r="K831" s="24">
        <f>IF($A831="","",IF(COUNTIFS(入库单!$G$4:$G$2503,$A831,入库单!$X$4:$X$2503,"待补价")&gt;0,"待补价",IF(COUNTIFS(入库单!$G$4:$G$2503,$A831,入库单!$X$4:$X$2503,"暂估")&gt;0,"暂估",IF($I831=0,"没有进价","正常"))))</f>
        <v/>
      </c>
      <c r="L831" s="27">
        <f>IF($A831="","",IFERROR(VLOOKUP($A831,库存台账!$A$5:$Y$1204,24,0),0))</f>
        <v/>
      </c>
      <c r="M831" s="26">
        <f>IF($A831="","",IFERROR(VLOOKUP($A831,库存台账!$A$5:$Y$1204,25,0),0))</f>
        <v/>
      </c>
      <c r="N831" s="19">
        <f>IF($A831="","",IFERROR(LOOKUP(2,1/((出库单!$D$4:$D$4003=$A831)*(出库单!$T$4:$T$4003="正常")),出库单!$C$4:$C$4003),""))</f>
        <v/>
      </c>
      <c r="O831" s="28">
        <f>IF($A831="","",IF($L831&lt;=0,"",IF($N831="",IFERROR(账期止-LOOKUP(2,1/(入库单!$G$4:$G$2503=$A831),入库单!$C$4:$C$2503),""),账期止-$N831)))</f>
        <v/>
      </c>
      <c r="P831" s="17" t="n"/>
    </row>
    <row r="832">
      <c r="A832" s="17" t="n"/>
      <c r="B832" s="17" t="n"/>
      <c r="C832" s="17" t="n"/>
      <c r="D832" s="17" t="n"/>
      <c r="E832" s="17" t="n"/>
      <c r="F832" s="17" t="n"/>
      <c r="G832" s="23" t="n"/>
      <c r="H832" s="24">
        <f>IF($A832="","",IFERROR(LOOKUP(2,1/((入库单!$G$4:$G$2503=$A832)*(入库单!$Y$4:$Y$2503="正常")*(入库单!$L$4:$L$2503&gt;0)),入库单!$D$4:$D$2503),""))</f>
        <v/>
      </c>
      <c r="I832" s="25">
        <f>IF($A832="","",IFERROR(LOOKUP(2,1/((入库单!$G$4:$G$2503=$A832)*(入库单!$Y$4:$Y$2503="正常")*(入库单!$L$4:$L$2503&gt;0)),入库单!$L$4:$L$2503),0))</f>
        <v/>
      </c>
      <c r="J832" s="26">
        <f>IF($A832="","",IF($H832="A国内",ROUND($I832*倍数A*汇率,0),IF($H832="B当地",ROUND($I832*系数B,0),0)))</f>
        <v/>
      </c>
      <c r="K832" s="24">
        <f>IF($A832="","",IF(COUNTIFS(入库单!$G$4:$G$2503,$A832,入库单!$X$4:$X$2503,"待补价")&gt;0,"待补价",IF(COUNTIFS(入库单!$G$4:$G$2503,$A832,入库单!$X$4:$X$2503,"暂估")&gt;0,"暂估",IF($I832=0,"没有进价","正常"))))</f>
        <v/>
      </c>
      <c r="L832" s="27">
        <f>IF($A832="","",IFERROR(VLOOKUP($A832,库存台账!$A$5:$Y$1204,24,0),0))</f>
        <v/>
      </c>
      <c r="M832" s="26">
        <f>IF($A832="","",IFERROR(VLOOKUP($A832,库存台账!$A$5:$Y$1204,25,0),0))</f>
        <v/>
      </c>
      <c r="N832" s="19">
        <f>IF($A832="","",IFERROR(LOOKUP(2,1/((出库单!$D$4:$D$4003=$A832)*(出库单!$T$4:$T$4003="正常")),出库单!$C$4:$C$4003),""))</f>
        <v/>
      </c>
      <c r="O832" s="28">
        <f>IF($A832="","",IF($L832&lt;=0,"",IF($N832="",IFERROR(账期止-LOOKUP(2,1/(入库单!$G$4:$G$2503=$A832),入库单!$C$4:$C$2503),""),账期止-$N832)))</f>
        <v/>
      </c>
      <c r="P832" s="17" t="n"/>
    </row>
    <row r="833">
      <c r="A833" s="17" t="n"/>
      <c r="B833" s="17" t="n"/>
      <c r="C833" s="17" t="n"/>
      <c r="D833" s="17" t="n"/>
      <c r="E833" s="17" t="n"/>
      <c r="F833" s="17" t="n"/>
      <c r="G833" s="23" t="n"/>
      <c r="H833" s="24">
        <f>IF($A833="","",IFERROR(LOOKUP(2,1/((入库单!$G$4:$G$2503=$A833)*(入库单!$Y$4:$Y$2503="正常")*(入库单!$L$4:$L$2503&gt;0)),入库单!$D$4:$D$2503),""))</f>
        <v/>
      </c>
      <c r="I833" s="25">
        <f>IF($A833="","",IFERROR(LOOKUP(2,1/((入库单!$G$4:$G$2503=$A833)*(入库单!$Y$4:$Y$2503="正常")*(入库单!$L$4:$L$2503&gt;0)),入库单!$L$4:$L$2503),0))</f>
        <v/>
      </c>
      <c r="J833" s="26">
        <f>IF($A833="","",IF($H833="A国内",ROUND($I833*倍数A*汇率,0),IF($H833="B当地",ROUND($I833*系数B,0),0)))</f>
        <v/>
      </c>
      <c r="K833" s="24">
        <f>IF($A833="","",IF(COUNTIFS(入库单!$G$4:$G$2503,$A833,入库单!$X$4:$X$2503,"待补价")&gt;0,"待补价",IF(COUNTIFS(入库单!$G$4:$G$2503,$A833,入库单!$X$4:$X$2503,"暂估")&gt;0,"暂估",IF($I833=0,"没有进价","正常"))))</f>
        <v/>
      </c>
      <c r="L833" s="27">
        <f>IF($A833="","",IFERROR(VLOOKUP($A833,库存台账!$A$5:$Y$1204,24,0),0))</f>
        <v/>
      </c>
      <c r="M833" s="26">
        <f>IF($A833="","",IFERROR(VLOOKUP($A833,库存台账!$A$5:$Y$1204,25,0),0))</f>
        <v/>
      </c>
      <c r="N833" s="19">
        <f>IF($A833="","",IFERROR(LOOKUP(2,1/((出库单!$D$4:$D$4003=$A833)*(出库单!$T$4:$T$4003="正常")),出库单!$C$4:$C$4003),""))</f>
        <v/>
      </c>
      <c r="O833" s="28">
        <f>IF($A833="","",IF($L833&lt;=0,"",IF($N833="",IFERROR(账期止-LOOKUP(2,1/(入库单!$G$4:$G$2503=$A833),入库单!$C$4:$C$2503),""),账期止-$N833)))</f>
        <v/>
      </c>
      <c r="P833" s="17" t="n"/>
    </row>
    <row r="834">
      <c r="A834" s="17" t="n"/>
      <c r="B834" s="17" t="n"/>
      <c r="C834" s="17" t="n"/>
      <c r="D834" s="17" t="n"/>
      <c r="E834" s="17" t="n"/>
      <c r="F834" s="17" t="n"/>
      <c r="G834" s="23" t="n"/>
      <c r="H834" s="24">
        <f>IF($A834="","",IFERROR(LOOKUP(2,1/((入库单!$G$4:$G$2503=$A834)*(入库单!$Y$4:$Y$2503="正常")*(入库单!$L$4:$L$2503&gt;0)),入库单!$D$4:$D$2503),""))</f>
        <v/>
      </c>
      <c r="I834" s="25">
        <f>IF($A834="","",IFERROR(LOOKUP(2,1/((入库单!$G$4:$G$2503=$A834)*(入库单!$Y$4:$Y$2503="正常")*(入库单!$L$4:$L$2503&gt;0)),入库单!$L$4:$L$2503),0))</f>
        <v/>
      </c>
      <c r="J834" s="26">
        <f>IF($A834="","",IF($H834="A国内",ROUND($I834*倍数A*汇率,0),IF($H834="B当地",ROUND($I834*系数B,0),0)))</f>
        <v/>
      </c>
      <c r="K834" s="24">
        <f>IF($A834="","",IF(COUNTIFS(入库单!$G$4:$G$2503,$A834,入库单!$X$4:$X$2503,"待补价")&gt;0,"待补价",IF(COUNTIFS(入库单!$G$4:$G$2503,$A834,入库单!$X$4:$X$2503,"暂估")&gt;0,"暂估",IF($I834=0,"没有进价","正常"))))</f>
        <v/>
      </c>
      <c r="L834" s="27">
        <f>IF($A834="","",IFERROR(VLOOKUP($A834,库存台账!$A$5:$Y$1204,24,0),0))</f>
        <v/>
      </c>
      <c r="M834" s="26">
        <f>IF($A834="","",IFERROR(VLOOKUP($A834,库存台账!$A$5:$Y$1204,25,0),0))</f>
        <v/>
      </c>
      <c r="N834" s="19">
        <f>IF($A834="","",IFERROR(LOOKUP(2,1/((出库单!$D$4:$D$4003=$A834)*(出库单!$T$4:$T$4003="正常")),出库单!$C$4:$C$4003),""))</f>
        <v/>
      </c>
      <c r="O834" s="28">
        <f>IF($A834="","",IF($L834&lt;=0,"",IF($N834="",IFERROR(账期止-LOOKUP(2,1/(入库单!$G$4:$G$2503=$A834),入库单!$C$4:$C$2503),""),账期止-$N834)))</f>
        <v/>
      </c>
      <c r="P834" s="17" t="n"/>
    </row>
    <row r="835">
      <c r="A835" s="17" t="n"/>
      <c r="B835" s="17" t="n"/>
      <c r="C835" s="17" t="n"/>
      <c r="D835" s="17" t="n"/>
      <c r="E835" s="17" t="n"/>
      <c r="F835" s="17" t="n"/>
      <c r="G835" s="23" t="n"/>
      <c r="H835" s="24">
        <f>IF($A835="","",IFERROR(LOOKUP(2,1/((入库单!$G$4:$G$2503=$A835)*(入库单!$Y$4:$Y$2503="正常")*(入库单!$L$4:$L$2503&gt;0)),入库单!$D$4:$D$2503),""))</f>
        <v/>
      </c>
      <c r="I835" s="25">
        <f>IF($A835="","",IFERROR(LOOKUP(2,1/((入库单!$G$4:$G$2503=$A835)*(入库单!$Y$4:$Y$2503="正常")*(入库单!$L$4:$L$2503&gt;0)),入库单!$L$4:$L$2503),0))</f>
        <v/>
      </c>
      <c r="J835" s="26">
        <f>IF($A835="","",IF($H835="A国内",ROUND($I835*倍数A*汇率,0),IF($H835="B当地",ROUND($I835*系数B,0),0)))</f>
        <v/>
      </c>
      <c r="K835" s="24">
        <f>IF($A835="","",IF(COUNTIFS(入库单!$G$4:$G$2503,$A835,入库单!$X$4:$X$2503,"待补价")&gt;0,"待补价",IF(COUNTIFS(入库单!$G$4:$G$2503,$A835,入库单!$X$4:$X$2503,"暂估")&gt;0,"暂估",IF($I835=0,"没有进价","正常"))))</f>
        <v/>
      </c>
      <c r="L835" s="27">
        <f>IF($A835="","",IFERROR(VLOOKUP($A835,库存台账!$A$5:$Y$1204,24,0),0))</f>
        <v/>
      </c>
      <c r="M835" s="26">
        <f>IF($A835="","",IFERROR(VLOOKUP($A835,库存台账!$A$5:$Y$1204,25,0),0))</f>
        <v/>
      </c>
      <c r="N835" s="19">
        <f>IF($A835="","",IFERROR(LOOKUP(2,1/((出库单!$D$4:$D$4003=$A835)*(出库单!$T$4:$T$4003="正常")),出库单!$C$4:$C$4003),""))</f>
        <v/>
      </c>
      <c r="O835" s="28">
        <f>IF($A835="","",IF($L835&lt;=0,"",IF($N835="",IFERROR(账期止-LOOKUP(2,1/(入库单!$G$4:$G$2503=$A835),入库单!$C$4:$C$2503),""),账期止-$N835)))</f>
        <v/>
      </c>
      <c r="P835" s="17" t="n"/>
    </row>
    <row r="836">
      <c r="A836" s="17" t="n"/>
      <c r="B836" s="17" t="n"/>
      <c r="C836" s="17" t="n"/>
      <c r="D836" s="17" t="n"/>
      <c r="E836" s="17" t="n"/>
      <c r="F836" s="17" t="n"/>
      <c r="G836" s="23" t="n"/>
      <c r="H836" s="24">
        <f>IF($A836="","",IFERROR(LOOKUP(2,1/((入库单!$G$4:$G$2503=$A836)*(入库单!$Y$4:$Y$2503="正常")*(入库单!$L$4:$L$2503&gt;0)),入库单!$D$4:$D$2503),""))</f>
        <v/>
      </c>
      <c r="I836" s="25">
        <f>IF($A836="","",IFERROR(LOOKUP(2,1/((入库单!$G$4:$G$2503=$A836)*(入库单!$Y$4:$Y$2503="正常")*(入库单!$L$4:$L$2503&gt;0)),入库单!$L$4:$L$2503),0))</f>
        <v/>
      </c>
      <c r="J836" s="26">
        <f>IF($A836="","",IF($H836="A国内",ROUND($I836*倍数A*汇率,0),IF($H836="B当地",ROUND($I836*系数B,0),0)))</f>
        <v/>
      </c>
      <c r="K836" s="24">
        <f>IF($A836="","",IF(COUNTIFS(入库单!$G$4:$G$2503,$A836,入库单!$X$4:$X$2503,"待补价")&gt;0,"待补价",IF(COUNTIFS(入库单!$G$4:$G$2503,$A836,入库单!$X$4:$X$2503,"暂估")&gt;0,"暂估",IF($I836=0,"没有进价","正常"))))</f>
        <v/>
      </c>
      <c r="L836" s="27">
        <f>IF($A836="","",IFERROR(VLOOKUP($A836,库存台账!$A$5:$Y$1204,24,0),0))</f>
        <v/>
      </c>
      <c r="M836" s="26">
        <f>IF($A836="","",IFERROR(VLOOKUP($A836,库存台账!$A$5:$Y$1204,25,0),0))</f>
        <v/>
      </c>
      <c r="N836" s="19">
        <f>IF($A836="","",IFERROR(LOOKUP(2,1/((出库单!$D$4:$D$4003=$A836)*(出库单!$T$4:$T$4003="正常")),出库单!$C$4:$C$4003),""))</f>
        <v/>
      </c>
      <c r="O836" s="28">
        <f>IF($A836="","",IF($L836&lt;=0,"",IF($N836="",IFERROR(账期止-LOOKUP(2,1/(入库单!$G$4:$G$2503=$A836),入库单!$C$4:$C$2503),""),账期止-$N836)))</f>
        <v/>
      </c>
      <c r="P836" s="17" t="n"/>
    </row>
    <row r="837">
      <c r="A837" s="17" t="n"/>
      <c r="B837" s="17" t="n"/>
      <c r="C837" s="17" t="n"/>
      <c r="D837" s="17" t="n"/>
      <c r="E837" s="17" t="n"/>
      <c r="F837" s="17" t="n"/>
      <c r="G837" s="23" t="n"/>
      <c r="H837" s="24">
        <f>IF($A837="","",IFERROR(LOOKUP(2,1/((入库单!$G$4:$G$2503=$A837)*(入库单!$Y$4:$Y$2503="正常")*(入库单!$L$4:$L$2503&gt;0)),入库单!$D$4:$D$2503),""))</f>
        <v/>
      </c>
      <c r="I837" s="25">
        <f>IF($A837="","",IFERROR(LOOKUP(2,1/((入库单!$G$4:$G$2503=$A837)*(入库单!$Y$4:$Y$2503="正常")*(入库单!$L$4:$L$2503&gt;0)),入库单!$L$4:$L$2503),0))</f>
        <v/>
      </c>
      <c r="J837" s="26">
        <f>IF($A837="","",IF($H837="A国内",ROUND($I837*倍数A*汇率,0),IF($H837="B当地",ROUND($I837*系数B,0),0)))</f>
        <v/>
      </c>
      <c r="K837" s="24">
        <f>IF($A837="","",IF(COUNTIFS(入库单!$G$4:$G$2503,$A837,入库单!$X$4:$X$2503,"待补价")&gt;0,"待补价",IF(COUNTIFS(入库单!$G$4:$G$2503,$A837,入库单!$X$4:$X$2503,"暂估")&gt;0,"暂估",IF($I837=0,"没有进价","正常"))))</f>
        <v/>
      </c>
      <c r="L837" s="27">
        <f>IF($A837="","",IFERROR(VLOOKUP($A837,库存台账!$A$5:$Y$1204,24,0),0))</f>
        <v/>
      </c>
      <c r="M837" s="26">
        <f>IF($A837="","",IFERROR(VLOOKUP($A837,库存台账!$A$5:$Y$1204,25,0),0))</f>
        <v/>
      </c>
      <c r="N837" s="19">
        <f>IF($A837="","",IFERROR(LOOKUP(2,1/((出库单!$D$4:$D$4003=$A837)*(出库单!$T$4:$T$4003="正常")),出库单!$C$4:$C$4003),""))</f>
        <v/>
      </c>
      <c r="O837" s="28">
        <f>IF($A837="","",IF($L837&lt;=0,"",IF($N837="",IFERROR(账期止-LOOKUP(2,1/(入库单!$G$4:$G$2503=$A837),入库单!$C$4:$C$2503),""),账期止-$N837)))</f>
        <v/>
      </c>
      <c r="P837" s="17" t="n"/>
    </row>
    <row r="838">
      <c r="A838" s="17" t="n"/>
      <c r="B838" s="17" t="n"/>
      <c r="C838" s="17" t="n"/>
      <c r="D838" s="17" t="n"/>
      <c r="E838" s="17" t="n"/>
      <c r="F838" s="17" t="n"/>
      <c r="G838" s="23" t="n"/>
      <c r="H838" s="24">
        <f>IF($A838="","",IFERROR(LOOKUP(2,1/((入库单!$G$4:$G$2503=$A838)*(入库单!$Y$4:$Y$2503="正常")*(入库单!$L$4:$L$2503&gt;0)),入库单!$D$4:$D$2503),""))</f>
        <v/>
      </c>
      <c r="I838" s="25">
        <f>IF($A838="","",IFERROR(LOOKUP(2,1/((入库单!$G$4:$G$2503=$A838)*(入库单!$Y$4:$Y$2503="正常")*(入库单!$L$4:$L$2503&gt;0)),入库单!$L$4:$L$2503),0))</f>
        <v/>
      </c>
      <c r="J838" s="26">
        <f>IF($A838="","",IF($H838="A国内",ROUND($I838*倍数A*汇率,0),IF($H838="B当地",ROUND($I838*系数B,0),0)))</f>
        <v/>
      </c>
      <c r="K838" s="24">
        <f>IF($A838="","",IF(COUNTIFS(入库单!$G$4:$G$2503,$A838,入库单!$X$4:$X$2503,"待补价")&gt;0,"待补价",IF(COUNTIFS(入库单!$G$4:$G$2503,$A838,入库单!$X$4:$X$2503,"暂估")&gt;0,"暂估",IF($I838=0,"没有进价","正常"))))</f>
        <v/>
      </c>
      <c r="L838" s="27">
        <f>IF($A838="","",IFERROR(VLOOKUP($A838,库存台账!$A$5:$Y$1204,24,0),0))</f>
        <v/>
      </c>
      <c r="M838" s="26">
        <f>IF($A838="","",IFERROR(VLOOKUP($A838,库存台账!$A$5:$Y$1204,25,0),0))</f>
        <v/>
      </c>
      <c r="N838" s="19">
        <f>IF($A838="","",IFERROR(LOOKUP(2,1/((出库单!$D$4:$D$4003=$A838)*(出库单!$T$4:$T$4003="正常")),出库单!$C$4:$C$4003),""))</f>
        <v/>
      </c>
      <c r="O838" s="28">
        <f>IF($A838="","",IF($L838&lt;=0,"",IF($N838="",IFERROR(账期止-LOOKUP(2,1/(入库单!$G$4:$G$2503=$A838),入库单!$C$4:$C$2503),""),账期止-$N838)))</f>
        <v/>
      </c>
      <c r="P838" s="17" t="n"/>
    </row>
    <row r="839">
      <c r="A839" s="17" t="n"/>
      <c r="B839" s="17" t="n"/>
      <c r="C839" s="17" t="n"/>
      <c r="D839" s="17" t="n"/>
      <c r="E839" s="17" t="n"/>
      <c r="F839" s="17" t="n"/>
      <c r="G839" s="23" t="n"/>
      <c r="H839" s="24">
        <f>IF($A839="","",IFERROR(LOOKUP(2,1/((入库单!$G$4:$G$2503=$A839)*(入库单!$Y$4:$Y$2503="正常")*(入库单!$L$4:$L$2503&gt;0)),入库单!$D$4:$D$2503),""))</f>
        <v/>
      </c>
      <c r="I839" s="25">
        <f>IF($A839="","",IFERROR(LOOKUP(2,1/((入库单!$G$4:$G$2503=$A839)*(入库单!$Y$4:$Y$2503="正常")*(入库单!$L$4:$L$2503&gt;0)),入库单!$L$4:$L$2503),0))</f>
        <v/>
      </c>
      <c r="J839" s="26">
        <f>IF($A839="","",IF($H839="A国内",ROUND($I839*倍数A*汇率,0),IF($H839="B当地",ROUND($I839*系数B,0),0)))</f>
        <v/>
      </c>
      <c r="K839" s="24">
        <f>IF($A839="","",IF(COUNTIFS(入库单!$G$4:$G$2503,$A839,入库单!$X$4:$X$2503,"待补价")&gt;0,"待补价",IF(COUNTIFS(入库单!$G$4:$G$2503,$A839,入库单!$X$4:$X$2503,"暂估")&gt;0,"暂估",IF($I839=0,"没有进价","正常"))))</f>
        <v/>
      </c>
      <c r="L839" s="27">
        <f>IF($A839="","",IFERROR(VLOOKUP($A839,库存台账!$A$5:$Y$1204,24,0),0))</f>
        <v/>
      </c>
      <c r="M839" s="26">
        <f>IF($A839="","",IFERROR(VLOOKUP($A839,库存台账!$A$5:$Y$1204,25,0),0))</f>
        <v/>
      </c>
      <c r="N839" s="19">
        <f>IF($A839="","",IFERROR(LOOKUP(2,1/((出库单!$D$4:$D$4003=$A839)*(出库单!$T$4:$T$4003="正常")),出库单!$C$4:$C$4003),""))</f>
        <v/>
      </c>
      <c r="O839" s="28">
        <f>IF($A839="","",IF($L839&lt;=0,"",IF($N839="",IFERROR(账期止-LOOKUP(2,1/(入库单!$G$4:$G$2503=$A839),入库单!$C$4:$C$2503),""),账期止-$N839)))</f>
        <v/>
      </c>
      <c r="P839" s="17" t="n"/>
    </row>
    <row r="840">
      <c r="A840" s="17" t="n"/>
      <c r="B840" s="17" t="n"/>
      <c r="C840" s="17" t="n"/>
      <c r="D840" s="17" t="n"/>
      <c r="E840" s="17" t="n"/>
      <c r="F840" s="17" t="n"/>
      <c r="G840" s="23" t="n"/>
      <c r="H840" s="24">
        <f>IF($A840="","",IFERROR(LOOKUP(2,1/((入库单!$G$4:$G$2503=$A840)*(入库单!$Y$4:$Y$2503="正常")*(入库单!$L$4:$L$2503&gt;0)),入库单!$D$4:$D$2503),""))</f>
        <v/>
      </c>
      <c r="I840" s="25">
        <f>IF($A840="","",IFERROR(LOOKUP(2,1/((入库单!$G$4:$G$2503=$A840)*(入库单!$Y$4:$Y$2503="正常")*(入库单!$L$4:$L$2503&gt;0)),入库单!$L$4:$L$2503),0))</f>
        <v/>
      </c>
      <c r="J840" s="26">
        <f>IF($A840="","",IF($H840="A国内",ROUND($I840*倍数A*汇率,0),IF($H840="B当地",ROUND($I840*系数B,0),0)))</f>
        <v/>
      </c>
      <c r="K840" s="24">
        <f>IF($A840="","",IF(COUNTIFS(入库单!$G$4:$G$2503,$A840,入库单!$X$4:$X$2503,"待补价")&gt;0,"待补价",IF(COUNTIFS(入库单!$G$4:$G$2503,$A840,入库单!$X$4:$X$2503,"暂估")&gt;0,"暂估",IF($I840=0,"没有进价","正常"))))</f>
        <v/>
      </c>
      <c r="L840" s="27">
        <f>IF($A840="","",IFERROR(VLOOKUP($A840,库存台账!$A$5:$Y$1204,24,0),0))</f>
        <v/>
      </c>
      <c r="M840" s="26">
        <f>IF($A840="","",IFERROR(VLOOKUP($A840,库存台账!$A$5:$Y$1204,25,0),0))</f>
        <v/>
      </c>
      <c r="N840" s="19">
        <f>IF($A840="","",IFERROR(LOOKUP(2,1/((出库单!$D$4:$D$4003=$A840)*(出库单!$T$4:$T$4003="正常")),出库单!$C$4:$C$4003),""))</f>
        <v/>
      </c>
      <c r="O840" s="28">
        <f>IF($A840="","",IF($L840&lt;=0,"",IF($N840="",IFERROR(账期止-LOOKUP(2,1/(入库单!$G$4:$G$2503=$A840),入库单!$C$4:$C$2503),""),账期止-$N840)))</f>
        <v/>
      </c>
      <c r="P840" s="17" t="n"/>
    </row>
    <row r="841">
      <c r="A841" s="17" t="n"/>
      <c r="B841" s="17" t="n"/>
      <c r="C841" s="17" t="n"/>
      <c r="D841" s="17" t="n"/>
      <c r="E841" s="17" t="n"/>
      <c r="F841" s="17" t="n"/>
      <c r="G841" s="23" t="n"/>
      <c r="H841" s="24">
        <f>IF($A841="","",IFERROR(LOOKUP(2,1/((入库单!$G$4:$G$2503=$A841)*(入库单!$Y$4:$Y$2503="正常")*(入库单!$L$4:$L$2503&gt;0)),入库单!$D$4:$D$2503),""))</f>
        <v/>
      </c>
      <c r="I841" s="25">
        <f>IF($A841="","",IFERROR(LOOKUP(2,1/((入库单!$G$4:$G$2503=$A841)*(入库单!$Y$4:$Y$2503="正常")*(入库单!$L$4:$L$2503&gt;0)),入库单!$L$4:$L$2503),0))</f>
        <v/>
      </c>
      <c r="J841" s="26">
        <f>IF($A841="","",IF($H841="A国内",ROUND($I841*倍数A*汇率,0),IF($H841="B当地",ROUND($I841*系数B,0),0)))</f>
        <v/>
      </c>
      <c r="K841" s="24">
        <f>IF($A841="","",IF(COUNTIFS(入库单!$G$4:$G$2503,$A841,入库单!$X$4:$X$2503,"待补价")&gt;0,"待补价",IF(COUNTIFS(入库单!$G$4:$G$2503,$A841,入库单!$X$4:$X$2503,"暂估")&gt;0,"暂估",IF($I841=0,"没有进价","正常"))))</f>
        <v/>
      </c>
      <c r="L841" s="27">
        <f>IF($A841="","",IFERROR(VLOOKUP($A841,库存台账!$A$5:$Y$1204,24,0),0))</f>
        <v/>
      </c>
      <c r="M841" s="26">
        <f>IF($A841="","",IFERROR(VLOOKUP($A841,库存台账!$A$5:$Y$1204,25,0),0))</f>
        <v/>
      </c>
      <c r="N841" s="19">
        <f>IF($A841="","",IFERROR(LOOKUP(2,1/((出库单!$D$4:$D$4003=$A841)*(出库单!$T$4:$T$4003="正常")),出库单!$C$4:$C$4003),""))</f>
        <v/>
      </c>
      <c r="O841" s="28">
        <f>IF($A841="","",IF($L841&lt;=0,"",IF($N841="",IFERROR(账期止-LOOKUP(2,1/(入库单!$G$4:$G$2503=$A841),入库单!$C$4:$C$2503),""),账期止-$N841)))</f>
        <v/>
      </c>
      <c r="P841" s="17" t="n"/>
    </row>
    <row r="842">
      <c r="A842" s="17" t="n"/>
      <c r="B842" s="17" t="n"/>
      <c r="C842" s="17" t="n"/>
      <c r="D842" s="17" t="n"/>
      <c r="E842" s="17" t="n"/>
      <c r="F842" s="17" t="n"/>
      <c r="G842" s="23" t="n"/>
      <c r="H842" s="24">
        <f>IF($A842="","",IFERROR(LOOKUP(2,1/((入库单!$G$4:$G$2503=$A842)*(入库单!$Y$4:$Y$2503="正常")*(入库单!$L$4:$L$2503&gt;0)),入库单!$D$4:$D$2503),""))</f>
        <v/>
      </c>
      <c r="I842" s="25">
        <f>IF($A842="","",IFERROR(LOOKUP(2,1/((入库单!$G$4:$G$2503=$A842)*(入库单!$Y$4:$Y$2503="正常")*(入库单!$L$4:$L$2503&gt;0)),入库单!$L$4:$L$2503),0))</f>
        <v/>
      </c>
      <c r="J842" s="26">
        <f>IF($A842="","",IF($H842="A国内",ROUND($I842*倍数A*汇率,0),IF($H842="B当地",ROUND($I842*系数B,0),0)))</f>
        <v/>
      </c>
      <c r="K842" s="24">
        <f>IF($A842="","",IF(COUNTIFS(入库单!$G$4:$G$2503,$A842,入库单!$X$4:$X$2503,"待补价")&gt;0,"待补价",IF(COUNTIFS(入库单!$G$4:$G$2503,$A842,入库单!$X$4:$X$2503,"暂估")&gt;0,"暂估",IF($I842=0,"没有进价","正常"))))</f>
        <v/>
      </c>
      <c r="L842" s="27">
        <f>IF($A842="","",IFERROR(VLOOKUP($A842,库存台账!$A$5:$Y$1204,24,0),0))</f>
        <v/>
      </c>
      <c r="M842" s="26">
        <f>IF($A842="","",IFERROR(VLOOKUP($A842,库存台账!$A$5:$Y$1204,25,0),0))</f>
        <v/>
      </c>
      <c r="N842" s="19">
        <f>IF($A842="","",IFERROR(LOOKUP(2,1/((出库单!$D$4:$D$4003=$A842)*(出库单!$T$4:$T$4003="正常")),出库单!$C$4:$C$4003),""))</f>
        <v/>
      </c>
      <c r="O842" s="28">
        <f>IF($A842="","",IF($L842&lt;=0,"",IF($N842="",IFERROR(账期止-LOOKUP(2,1/(入库单!$G$4:$G$2503=$A842),入库单!$C$4:$C$2503),""),账期止-$N842)))</f>
        <v/>
      </c>
      <c r="P842" s="17" t="n"/>
    </row>
    <row r="843">
      <c r="A843" s="17" t="n"/>
      <c r="B843" s="17" t="n"/>
      <c r="C843" s="17" t="n"/>
      <c r="D843" s="17" t="n"/>
      <c r="E843" s="17" t="n"/>
      <c r="F843" s="17" t="n"/>
      <c r="G843" s="23" t="n"/>
      <c r="H843" s="24">
        <f>IF($A843="","",IFERROR(LOOKUP(2,1/((入库单!$G$4:$G$2503=$A843)*(入库单!$Y$4:$Y$2503="正常")*(入库单!$L$4:$L$2503&gt;0)),入库单!$D$4:$D$2503),""))</f>
        <v/>
      </c>
      <c r="I843" s="25">
        <f>IF($A843="","",IFERROR(LOOKUP(2,1/((入库单!$G$4:$G$2503=$A843)*(入库单!$Y$4:$Y$2503="正常")*(入库单!$L$4:$L$2503&gt;0)),入库单!$L$4:$L$2503),0))</f>
        <v/>
      </c>
      <c r="J843" s="26">
        <f>IF($A843="","",IF($H843="A国内",ROUND($I843*倍数A*汇率,0),IF($H843="B当地",ROUND($I843*系数B,0),0)))</f>
        <v/>
      </c>
      <c r="K843" s="24">
        <f>IF($A843="","",IF(COUNTIFS(入库单!$G$4:$G$2503,$A843,入库单!$X$4:$X$2503,"待补价")&gt;0,"待补价",IF(COUNTIFS(入库单!$G$4:$G$2503,$A843,入库单!$X$4:$X$2503,"暂估")&gt;0,"暂估",IF($I843=0,"没有进价","正常"))))</f>
        <v/>
      </c>
      <c r="L843" s="27">
        <f>IF($A843="","",IFERROR(VLOOKUP($A843,库存台账!$A$5:$Y$1204,24,0),0))</f>
        <v/>
      </c>
      <c r="M843" s="26">
        <f>IF($A843="","",IFERROR(VLOOKUP($A843,库存台账!$A$5:$Y$1204,25,0),0))</f>
        <v/>
      </c>
      <c r="N843" s="19">
        <f>IF($A843="","",IFERROR(LOOKUP(2,1/((出库单!$D$4:$D$4003=$A843)*(出库单!$T$4:$T$4003="正常")),出库单!$C$4:$C$4003),""))</f>
        <v/>
      </c>
      <c r="O843" s="28">
        <f>IF($A843="","",IF($L843&lt;=0,"",IF($N843="",IFERROR(账期止-LOOKUP(2,1/(入库单!$G$4:$G$2503=$A843),入库单!$C$4:$C$2503),""),账期止-$N843)))</f>
        <v/>
      </c>
      <c r="P843" s="17" t="n"/>
    </row>
    <row r="844">
      <c r="A844" s="17" t="n"/>
      <c r="B844" s="17" t="n"/>
      <c r="C844" s="17" t="n"/>
      <c r="D844" s="17" t="n"/>
      <c r="E844" s="17" t="n"/>
      <c r="F844" s="17" t="n"/>
      <c r="G844" s="23" t="n"/>
      <c r="H844" s="24">
        <f>IF($A844="","",IFERROR(LOOKUP(2,1/((入库单!$G$4:$G$2503=$A844)*(入库单!$Y$4:$Y$2503="正常")*(入库单!$L$4:$L$2503&gt;0)),入库单!$D$4:$D$2503),""))</f>
        <v/>
      </c>
      <c r="I844" s="25">
        <f>IF($A844="","",IFERROR(LOOKUP(2,1/((入库单!$G$4:$G$2503=$A844)*(入库单!$Y$4:$Y$2503="正常")*(入库单!$L$4:$L$2503&gt;0)),入库单!$L$4:$L$2503),0))</f>
        <v/>
      </c>
      <c r="J844" s="26">
        <f>IF($A844="","",IF($H844="A国内",ROUND($I844*倍数A*汇率,0),IF($H844="B当地",ROUND($I844*系数B,0),0)))</f>
        <v/>
      </c>
      <c r="K844" s="24">
        <f>IF($A844="","",IF(COUNTIFS(入库单!$G$4:$G$2503,$A844,入库单!$X$4:$X$2503,"待补价")&gt;0,"待补价",IF(COUNTIFS(入库单!$G$4:$G$2503,$A844,入库单!$X$4:$X$2503,"暂估")&gt;0,"暂估",IF($I844=0,"没有进价","正常"))))</f>
        <v/>
      </c>
      <c r="L844" s="27">
        <f>IF($A844="","",IFERROR(VLOOKUP($A844,库存台账!$A$5:$Y$1204,24,0),0))</f>
        <v/>
      </c>
      <c r="M844" s="26">
        <f>IF($A844="","",IFERROR(VLOOKUP($A844,库存台账!$A$5:$Y$1204,25,0),0))</f>
        <v/>
      </c>
      <c r="N844" s="19">
        <f>IF($A844="","",IFERROR(LOOKUP(2,1/((出库单!$D$4:$D$4003=$A844)*(出库单!$T$4:$T$4003="正常")),出库单!$C$4:$C$4003),""))</f>
        <v/>
      </c>
      <c r="O844" s="28">
        <f>IF($A844="","",IF($L844&lt;=0,"",IF($N844="",IFERROR(账期止-LOOKUP(2,1/(入库单!$G$4:$G$2503=$A844),入库单!$C$4:$C$2503),""),账期止-$N844)))</f>
        <v/>
      </c>
      <c r="P844" s="17" t="n"/>
    </row>
    <row r="845">
      <c r="A845" s="17" t="n"/>
      <c r="B845" s="17" t="n"/>
      <c r="C845" s="17" t="n"/>
      <c r="D845" s="17" t="n"/>
      <c r="E845" s="17" t="n"/>
      <c r="F845" s="17" t="n"/>
      <c r="G845" s="23" t="n"/>
      <c r="H845" s="24">
        <f>IF($A845="","",IFERROR(LOOKUP(2,1/((入库单!$G$4:$G$2503=$A845)*(入库单!$Y$4:$Y$2503="正常")*(入库单!$L$4:$L$2503&gt;0)),入库单!$D$4:$D$2503),""))</f>
        <v/>
      </c>
      <c r="I845" s="25">
        <f>IF($A845="","",IFERROR(LOOKUP(2,1/((入库单!$G$4:$G$2503=$A845)*(入库单!$Y$4:$Y$2503="正常")*(入库单!$L$4:$L$2503&gt;0)),入库单!$L$4:$L$2503),0))</f>
        <v/>
      </c>
      <c r="J845" s="26">
        <f>IF($A845="","",IF($H845="A国内",ROUND($I845*倍数A*汇率,0),IF($H845="B当地",ROUND($I845*系数B,0),0)))</f>
        <v/>
      </c>
      <c r="K845" s="24">
        <f>IF($A845="","",IF(COUNTIFS(入库单!$G$4:$G$2503,$A845,入库单!$X$4:$X$2503,"待补价")&gt;0,"待补价",IF(COUNTIFS(入库单!$G$4:$G$2503,$A845,入库单!$X$4:$X$2503,"暂估")&gt;0,"暂估",IF($I845=0,"没有进价","正常"))))</f>
        <v/>
      </c>
      <c r="L845" s="27">
        <f>IF($A845="","",IFERROR(VLOOKUP($A845,库存台账!$A$5:$Y$1204,24,0),0))</f>
        <v/>
      </c>
      <c r="M845" s="26">
        <f>IF($A845="","",IFERROR(VLOOKUP($A845,库存台账!$A$5:$Y$1204,25,0),0))</f>
        <v/>
      </c>
      <c r="N845" s="19">
        <f>IF($A845="","",IFERROR(LOOKUP(2,1/((出库单!$D$4:$D$4003=$A845)*(出库单!$T$4:$T$4003="正常")),出库单!$C$4:$C$4003),""))</f>
        <v/>
      </c>
      <c r="O845" s="28">
        <f>IF($A845="","",IF($L845&lt;=0,"",IF($N845="",IFERROR(账期止-LOOKUP(2,1/(入库单!$G$4:$G$2503=$A845),入库单!$C$4:$C$2503),""),账期止-$N845)))</f>
        <v/>
      </c>
      <c r="P845" s="17" t="n"/>
    </row>
    <row r="846">
      <c r="A846" s="17" t="n"/>
      <c r="B846" s="17" t="n"/>
      <c r="C846" s="17" t="n"/>
      <c r="D846" s="17" t="n"/>
      <c r="E846" s="17" t="n"/>
      <c r="F846" s="17" t="n"/>
      <c r="G846" s="23" t="n"/>
      <c r="H846" s="24">
        <f>IF($A846="","",IFERROR(LOOKUP(2,1/((入库单!$G$4:$G$2503=$A846)*(入库单!$Y$4:$Y$2503="正常")*(入库单!$L$4:$L$2503&gt;0)),入库单!$D$4:$D$2503),""))</f>
        <v/>
      </c>
      <c r="I846" s="25">
        <f>IF($A846="","",IFERROR(LOOKUP(2,1/((入库单!$G$4:$G$2503=$A846)*(入库单!$Y$4:$Y$2503="正常")*(入库单!$L$4:$L$2503&gt;0)),入库单!$L$4:$L$2503),0))</f>
        <v/>
      </c>
      <c r="J846" s="26">
        <f>IF($A846="","",IF($H846="A国内",ROUND($I846*倍数A*汇率,0),IF($H846="B当地",ROUND($I846*系数B,0),0)))</f>
        <v/>
      </c>
      <c r="K846" s="24">
        <f>IF($A846="","",IF(COUNTIFS(入库单!$G$4:$G$2503,$A846,入库单!$X$4:$X$2503,"待补价")&gt;0,"待补价",IF(COUNTIFS(入库单!$G$4:$G$2503,$A846,入库单!$X$4:$X$2503,"暂估")&gt;0,"暂估",IF($I846=0,"没有进价","正常"))))</f>
        <v/>
      </c>
      <c r="L846" s="27">
        <f>IF($A846="","",IFERROR(VLOOKUP($A846,库存台账!$A$5:$Y$1204,24,0),0))</f>
        <v/>
      </c>
      <c r="M846" s="26">
        <f>IF($A846="","",IFERROR(VLOOKUP($A846,库存台账!$A$5:$Y$1204,25,0),0))</f>
        <v/>
      </c>
      <c r="N846" s="19">
        <f>IF($A846="","",IFERROR(LOOKUP(2,1/((出库单!$D$4:$D$4003=$A846)*(出库单!$T$4:$T$4003="正常")),出库单!$C$4:$C$4003),""))</f>
        <v/>
      </c>
      <c r="O846" s="28">
        <f>IF($A846="","",IF($L846&lt;=0,"",IF($N846="",IFERROR(账期止-LOOKUP(2,1/(入库单!$G$4:$G$2503=$A846),入库单!$C$4:$C$2503),""),账期止-$N846)))</f>
        <v/>
      </c>
      <c r="P846" s="17" t="n"/>
    </row>
    <row r="847">
      <c r="A847" s="17" t="n"/>
      <c r="B847" s="17" t="n"/>
      <c r="C847" s="17" t="n"/>
      <c r="D847" s="17" t="n"/>
      <c r="E847" s="17" t="n"/>
      <c r="F847" s="17" t="n"/>
      <c r="G847" s="23" t="n"/>
      <c r="H847" s="24">
        <f>IF($A847="","",IFERROR(LOOKUP(2,1/((入库单!$G$4:$G$2503=$A847)*(入库单!$Y$4:$Y$2503="正常")*(入库单!$L$4:$L$2503&gt;0)),入库单!$D$4:$D$2503),""))</f>
        <v/>
      </c>
      <c r="I847" s="25">
        <f>IF($A847="","",IFERROR(LOOKUP(2,1/((入库单!$G$4:$G$2503=$A847)*(入库单!$Y$4:$Y$2503="正常")*(入库单!$L$4:$L$2503&gt;0)),入库单!$L$4:$L$2503),0))</f>
        <v/>
      </c>
      <c r="J847" s="26">
        <f>IF($A847="","",IF($H847="A国内",ROUND($I847*倍数A*汇率,0),IF($H847="B当地",ROUND($I847*系数B,0),0)))</f>
        <v/>
      </c>
      <c r="K847" s="24">
        <f>IF($A847="","",IF(COUNTIFS(入库单!$G$4:$G$2503,$A847,入库单!$X$4:$X$2503,"待补价")&gt;0,"待补价",IF(COUNTIFS(入库单!$G$4:$G$2503,$A847,入库单!$X$4:$X$2503,"暂估")&gt;0,"暂估",IF($I847=0,"没有进价","正常"))))</f>
        <v/>
      </c>
      <c r="L847" s="27">
        <f>IF($A847="","",IFERROR(VLOOKUP($A847,库存台账!$A$5:$Y$1204,24,0),0))</f>
        <v/>
      </c>
      <c r="M847" s="26">
        <f>IF($A847="","",IFERROR(VLOOKUP($A847,库存台账!$A$5:$Y$1204,25,0),0))</f>
        <v/>
      </c>
      <c r="N847" s="19">
        <f>IF($A847="","",IFERROR(LOOKUP(2,1/((出库单!$D$4:$D$4003=$A847)*(出库单!$T$4:$T$4003="正常")),出库单!$C$4:$C$4003),""))</f>
        <v/>
      </c>
      <c r="O847" s="28">
        <f>IF($A847="","",IF($L847&lt;=0,"",IF($N847="",IFERROR(账期止-LOOKUP(2,1/(入库单!$G$4:$G$2503=$A847),入库单!$C$4:$C$2503),""),账期止-$N847)))</f>
        <v/>
      </c>
      <c r="P847" s="17" t="n"/>
    </row>
    <row r="848">
      <c r="A848" s="17" t="n"/>
      <c r="B848" s="17" t="n"/>
      <c r="C848" s="17" t="n"/>
      <c r="D848" s="17" t="n"/>
      <c r="E848" s="17" t="n"/>
      <c r="F848" s="17" t="n"/>
      <c r="G848" s="23" t="n"/>
      <c r="H848" s="24">
        <f>IF($A848="","",IFERROR(LOOKUP(2,1/((入库单!$G$4:$G$2503=$A848)*(入库单!$Y$4:$Y$2503="正常")*(入库单!$L$4:$L$2503&gt;0)),入库单!$D$4:$D$2503),""))</f>
        <v/>
      </c>
      <c r="I848" s="25">
        <f>IF($A848="","",IFERROR(LOOKUP(2,1/((入库单!$G$4:$G$2503=$A848)*(入库单!$Y$4:$Y$2503="正常")*(入库单!$L$4:$L$2503&gt;0)),入库单!$L$4:$L$2503),0))</f>
        <v/>
      </c>
      <c r="J848" s="26">
        <f>IF($A848="","",IF($H848="A国内",ROUND($I848*倍数A*汇率,0),IF($H848="B当地",ROUND($I848*系数B,0),0)))</f>
        <v/>
      </c>
      <c r="K848" s="24">
        <f>IF($A848="","",IF(COUNTIFS(入库单!$G$4:$G$2503,$A848,入库单!$X$4:$X$2503,"待补价")&gt;0,"待补价",IF(COUNTIFS(入库单!$G$4:$G$2503,$A848,入库单!$X$4:$X$2503,"暂估")&gt;0,"暂估",IF($I848=0,"没有进价","正常"))))</f>
        <v/>
      </c>
      <c r="L848" s="27">
        <f>IF($A848="","",IFERROR(VLOOKUP($A848,库存台账!$A$5:$Y$1204,24,0),0))</f>
        <v/>
      </c>
      <c r="M848" s="26">
        <f>IF($A848="","",IFERROR(VLOOKUP($A848,库存台账!$A$5:$Y$1204,25,0),0))</f>
        <v/>
      </c>
      <c r="N848" s="19">
        <f>IF($A848="","",IFERROR(LOOKUP(2,1/((出库单!$D$4:$D$4003=$A848)*(出库单!$T$4:$T$4003="正常")),出库单!$C$4:$C$4003),""))</f>
        <v/>
      </c>
      <c r="O848" s="28">
        <f>IF($A848="","",IF($L848&lt;=0,"",IF($N848="",IFERROR(账期止-LOOKUP(2,1/(入库单!$G$4:$G$2503=$A848),入库单!$C$4:$C$2503),""),账期止-$N848)))</f>
        <v/>
      </c>
      <c r="P848" s="17" t="n"/>
    </row>
    <row r="849">
      <c r="A849" s="17" t="n"/>
      <c r="B849" s="17" t="n"/>
      <c r="C849" s="17" t="n"/>
      <c r="D849" s="17" t="n"/>
      <c r="E849" s="17" t="n"/>
      <c r="F849" s="17" t="n"/>
      <c r="G849" s="23" t="n"/>
      <c r="H849" s="24">
        <f>IF($A849="","",IFERROR(LOOKUP(2,1/((入库单!$G$4:$G$2503=$A849)*(入库单!$Y$4:$Y$2503="正常")*(入库单!$L$4:$L$2503&gt;0)),入库单!$D$4:$D$2503),""))</f>
        <v/>
      </c>
      <c r="I849" s="25">
        <f>IF($A849="","",IFERROR(LOOKUP(2,1/((入库单!$G$4:$G$2503=$A849)*(入库单!$Y$4:$Y$2503="正常")*(入库单!$L$4:$L$2503&gt;0)),入库单!$L$4:$L$2503),0))</f>
        <v/>
      </c>
      <c r="J849" s="26">
        <f>IF($A849="","",IF($H849="A国内",ROUND($I849*倍数A*汇率,0),IF($H849="B当地",ROUND($I849*系数B,0),0)))</f>
        <v/>
      </c>
      <c r="K849" s="24">
        <f>IF($A849="","",IF(COUNTIFS(入库单!$G$4:$G$2503,$A849,入库单!$X$4:$X$2503,"待补价")&gt;0,"待补价",IF(COUNTIFS(入库单!$G$4:$G$2503,$A849,入库单!$X$4:$X$2503,"暂估")&gt;0,"暂估",IF($I849=0,"没有进价","正常"))))</f>
        <v/>
      </c>
      <c r="L849" s="27">
        <f>IF($A849="","",IFERROR(VLOOKUP($A849,库存台账!$A$5:$Y$1204,24,0),0))</f>
        <v/>
      </c>
      <c r="M849" s="26">
        <f>IF($A849="","",IFERROR(VLOOKUP($A849,库存台账!$A$5:$Y$1204,25,0),0))</f>
        <v/>
      </c>
      <c r="N849" s="19">
        <f>IF($A849="","",IFERROR(LOOKUP(2,1/((出库单!$D$4:$D$4003=$A849)*(出库单!$T$4:$T$4003="正常")),出库单!$C$4:$C$4003),""))</f>
        <v/>
      </c>
      <c r="O849" s="28">
        <f>IF($A849="","",IF($L849&lt;=0,"",IF($N849="",IFERROR(账期止-LOOKUP(2,1/(入库单!$G$4:$G$2503=$A849),入库单!$C$4:$C$2503),""),账期止-$N849)))</f>
        <v/>
      </c>
      <c r="P849" s="17" t="n"/>
    </row>
    <row r="850">
      <c r="A850" s="17" t="n"/>
      <c r="B850" s="17" t="n"/>
      <c r="C850" s="17" t="n"/>
      <c r="D850" s="17" t="n"/>
      <c r="E850" s="17" t="n"/>
      <c r="F850" s="17" t="n"/>
      <c r="G850" s="23" t="n"/>
      <c r="H850" s="24">
        <f>IF($A850="","",IFERROR(LOOKUP(2,1/((入库单!$G$4:$G$2503=$A850)*(入库单!$Y$4:$Y$2503="正常")*(入库单!$L$4:$L$2503&gt;0)),入库单!$D$4:$D$2503),""))</f>
        <v/>
      </c>
      <c r="I850" s="25">
        <f>IF($A850="","",IFERROR(LOOKUP(2,1/((入库单!$G$4:$G$2503=$A850)*(入库单!$Y$4:$Y$2503="正常")*(入库单!$L$4:$L$2503&gt;0)),入库单!$L$4:$L$2503),0))</f>
        <v/>
      </c>
      <c r="J850" s="26">
        <f>IF($A850="","",IF($H850="A国内",ROUND($I850*倍数A*汇率,0),IF($H850="B当地",ROUND($I850*系数B,0),0)))</f>
        <v/>
      </c>
      <c r="K850" s="24">
        <f>IF($A850="","",IF(COUNTIFS(入库单!$G$4:$G$2503,$A850,入库单!$X$4:$X$2503,"待补价")&gt;0,"待补价",IF(COUNTIFS(入库单!$G$4:$G$2503,$A850,入库单!$X$4:$X$2503,"暂估")&gt;0,"暂估",IF($I850=0,"没有进价","正常"))))</f>
        <v/>
      </c>
      <c r="L850" s="27">
        <f>IF($A850="","",IFERROR(VLOOKUP($A850,库存台账!$A$5:$Y$1204,24,0),0))</f>
        <v/>
      </c>
      <c r="M850" s="26">
        <f>IF($A850="","",IFERROR(VLOOKUP($A850,库存台账!$A$5:$Y$1204,25,0),0))</f>
        <v/>
      </c>
      <c r="N850" s="19">
        <f>IF($A850="","",IFERROR(LOOKUP(2,1/((出库单!$D$4:$D$4003=$A850)*(出库单!$T$4:$T$4003="正常")),出库单!$C$4:$C$4003),""))</f>
        <v/>
      </c>
      <c r="O850" s="28">
        <f>IF($A850="","",IF($L850&lt;=0,"",IF($N850="",IFERROR(账期止-LOOKUP(2,1/(入库单!$G$4:$G$2503=$A850),入库单!$C$4:$C$2503),""),账期止-$N850)))</f>
        <v/>
      </c>
      <c r="P850" s="17" t="n"/>
    </row>
    <row r="851">
      <c r="A851" s="17" t="n"/>
      <c r="B851" s="17" t="n"/>
      <c r="C851" s="17" t="n"/>
      <c r="D851" s="17" t="n"/>
      <c r="E851" s="17" t="n"/>
      <c r="F851" s="17" t="n"/>
      <c r="G851" s="23" t="n"/>
      <c r="H851" s="24">
        <f>IF($A851="","",IFERROR(LOOKUP(2,1/((入库单!$G$4:$G$2503=$A851)*(入库单!$Y$4:$Y$2503="正常")*(入库单!$L$4:$L$2503&gt;0)),入库单!$D$4:$D$2503),""))</f>
        <v/>
      </c>
      <c r="I851" s="25">
        <f>IF($A851="","",IFERROR(LOOKUP(2,1/((入库单!$G$4:$G$2503=$A851)*(入库单!$Y$4:$Y$2503="正常")*(入库单!$L$4:$L$2503&gt;0)),入库单!$L$4:$L$2503),0))</f>
        <v/>
      </c>
      <c r="J851" s="26">
        <f>IF($A851="","",IF($H851="A国内",ROUND($I851*倍数A*汇率,0),IF($H851="B当地",ROUND($I851*系数B,0),0)))</f>
        <v/>
      </c>
      <c r="K851" s="24">
        <f>IF($A851="","",IF(COUNTIFS(入库单!$G$4:$G$2503,$A851,入库单!$X$4:$X$2503,"待补价")&gt;0,"待补价",IF(COUNTIFS(入库单!$G$4:$G$2503,$A851,入库单!$X$4:$X$2503,"暂估")&gt;0,"暂估",IF($I851=0,"没有进价","正常"))))</f>
        <v/>
      </c>
      <c r="L851" s="27">
        <f>IF($A851="","",IFERROR(VLOOKUP($A851,库存台账!$A$5:$Y$1204,24,0),0))</f>
        <v/>
      </c>
      <c r="M851" s="26">
        <f>IF($A851="","",IFERROR(VLOOKUP($A851,库存台账!$A$5:$Y$1204,25,0),0))</f>
        <v/>
      </c>
      <c r="N851" s="19">
        <f>IF($A851="","",IFERROR(LOOKUP(2,1/((出库单!$D$4:$D$4003=$A851)*(出库单!$T$4:$T$4003="正常")),出库单!$C$4:$C$4003),""))</f>
        <v/>
      </c>
      <c r="O851" s="28">
        <f>IF($A851="","",IF($L851&lt;=0,"",IF($N851="",IFERROR(账期止-LOOKUP(2,1/(入库单!$G$4:$G$2503=$A851),入库单!$C$4:$C$2503),""),账期止-$N851)))</f>
        <v/>
      </c>
      <c r="P851" s="17" t="n"/>
    </row>
    <row r="852">
      <c r="A852" s="17" t="n"/>
      <c r="B852" s="17" t="n"/>
      <c r="C852" s="17" t="n"/>
      <c r="D852" s="17" t="n"/>
      <c r="E852" s="17" t="n"/>
      <c r="F852" s="17" t="n"/>
      <c r="G852" s="23" t="n"/>
      <c r="H852" s="24">
        <f>IF($A852="","",IFERROR(LOOKUP(2,1/((入库单!$G$4:$G$2503=$A852)*(入库单!$Y$4:$Y$2503="正常")*(入库单!$L$4:$L$2503&gt;0)),入库单!$D$4:$D$2503),""))</f>
        <v/>
      </c>
      <c r="I852" s="25">
        <f>IF($A852="","",IFERROR(LOOKUP(2,1/((入库单!$G$4:$G$2503=$A852)*(入库单!$Y$4:$Y$2503="正常")*(入库单!$L$4:$L$2503&gt;0)),入库单!$L$4:$L$2503),0))</f>
        <v/>
      </c>
      <c r="J852" s="26">
        <f>IF($A852="","",IF($H852="A国内",ROUND($I852*倍数A*汇率,0),IF($H852="B当地",ROUND($I852*系数B,0),0)))</f>
        <v/>
      </c>
      <c r="K852" s="24">
        <f>IF($A852="","",IF(COUNTIFS(入库单!$G$4:$G$2503,$A852,入库单!$X$4:$X$2503,"待补价")&gt;0,"待补价",IF(COUNTIFS(入库单!$G$4:$G$2503,$A852,入库单!$X$4:$X$2503,"暂估")&gt;0,"暂估",IF($I852=0,"没有进价","正常"))))</f>
        <v/>
      </c>
      <c r="L852" s="27">
        <f>IF($A852="","",IFERROR(VLOOKUP($A852,库存台账!$A$5:$Y$1204,24,0),0))</f>
        <v/>
      </c>
      <c r="M852" s="26">
        <f>IF($A852="","",IFERROR(VLOOKUP($A852,库存台账!$A$5:$Y$1204,25,0),0))</f>
        <v/>
      </c>
      <c r="N852" s="19">
        <f>IF($A852="","",IFERROR(LOOKUP(2,1/((出库单!$D$4:$D$4003=$A852)*(出库单!$T$4:$T$4003="正常")),出库单!$C$4:$C$4003),""))</f>
        <v/>
      </c>
      <c r="O852" s="28">
        <f>IF($A852="","",IF($L852&lt;=0,"",IF($N852="",IFERROR(账期止-LOOKUP(2,1/(入库单!$G$4:$G$2503=$A852),入库单!$C$4:$C$2503),""),账期止-$N852)))</f>
        <v/>
      </c>
      <c r="P852" s="17" t="n"/>
    </row>
    <row r="853">
      <c r="A853" s="17" t="n"/>
      <c r="B853" s="17" t="n"/>
      <c r="C853" s="17" t="n"/>
      <c r="D853" s="17" t="n"/>
      <c r="E853" s="17" t="n"/>
      <c r="F853" s="17" t="n"/>
      <c r="G853" s="23" t="n"/>
      <c r="H853" s="24">
        <f>IF($A853="","",IFERROR(LOOKUP(2,1/((入库单!$G$4:$G$2503=$A853)*(入库单!$Y$4:$Y$2503="正常")*(入库单!$L$4:$L$2503&gt;0)),入库单!$D$4:$D$2503),""))</f>
        <v/>
      </c>
      <c r="I853" s="25">
        <f>IF($A853="","",IFERROR(LOOKUP(2,1/((入库单!$G$4:$G$2503=$A853)*(入库单!$Y$4:$Y$2503="正常")*(入库单!$L$4:$L$2503&gt;0)),入库单!$L$4:$L$2503),0))</f>
        <v/>
      </c>
      <c r="J853" s="26">
        <f>IF($A853="","",IF($H853="A国内",ROUND($I853*倍数A*汇率,0),IF($H853="B当地",ROUND($I853*系数B,0),0)))</f>
        <v/>
      </c>
      <c r="K853" s="24">
        <f>IF($A853="","",IF(COUNTIFS(入库单!$G$4:$G$2503,$A853,入库单!$X$4:$X$2503,"待补价")&gt;0,"待补价",IF(COUNTIFS(入库单!$G$4:$G$2503,$A853,入库单!$X$4:$X$2503,"暂估")&gt;0,"暂估",IF($I853=0,"没有进价","正常"))))</f>
        <v/>
      </c>
      <c r="L853" s="27">
        <f>IF($A853="","",IFERROR(VLOOKUP($A853,库存台账!$A$5:$Y$1204,24,0),0))</f>
        <v/>
      </c>
      <c r="M853" s="26">
        <f>IF($A853="","",IFERROR(VLOOKUP($A853,库存台账!$A$5:$Y$1204,25,0),0))</f>
        <v/>
      </c>
      <c r="N853" s="19">
        <f>IF($A853="","",IFERROR(LOOKUP(2,1/((出库单!$D$4:$D$4003=$A853)*(出库单!$T$4:$T$4003="正常")),出库单!$C$4:$C$4003),""))</f>
        <v/>
      </c>
      <c r="O853" s="28">
        <f>IF($A853="","",IF($L853&lt;=0,"",IF($N853="",IFERROR(账期止-LOOKUP(2,1/(入库单!$G$4:$G$2503=$A853),入库单!$C$4:$C$2503),""),账期止-$N853)))</f>
        <v/>
      </c>
      <c r="P853" s="17" t="n"/>
    </row>
    <row r="854">
      <c r="A854" s="17" t="n"/>
      <c r="B854" s="17" t="n"/>
      <c r="C854" s="17" t="n"/>
      <c r="D854" s="17" t="n"/>
      <c r="E854" s="17" t="n"/>
      <c r="F854" s="17" t="n"/>
      <c r="G854" s="23" t="n"/>
      <c r="H854" s="24">
        <f>IF($A854="","",IFERROR(LOOKUP(2,1/((入库单!$G$4:$G$2503=$A854)*(入库单!$Y$4:$Y$2503="正常")*(入库单!$L$4:$L$2503&gt;0)),入库单!$D$4:$D$2503),""))</f>
        <v/>
      </c>
      <c r="I854" s="25">
        <f>IF($A854="","",IFERROR(LOOKUP(2,1/((入库单!$G$4:$G$2503=$A854)*(入库单!$Y$4:$Y$2503="正常")*(入库单!$L$4:$L$2503&gt;0)),入库单!$L$4:$L$2503),0))</f>
        <v/>
      </c>
      <c r="J854" s="26">
        <f>IF($A854="","",IF($H854="A国内",ROUND($I854*倍数A*汇率,0),IF($H854="B当地",ROUND($I854*系数B,0),0)))</f>
        <v/>
      </c>
      <c r="K854" s="24">
        <f>IF($A854="","",IF(COUNTIFS(入库单!$G$4:$G$2503,$A854,入库单!$X$4:$X$2503,"待补价")&gt;0,"待补价",IF(COUNTIFS(入库单!$G$4:$G$2503,$A854,入库单!$X$4:$X$2503,"暂估")&gt;0,"暂估",IF($I854=0,"没有进价","正常"))))</f>
        <v/>
      </c>
      <c r="L854" s="27">
        <f>IF($A854="","",IFERROR(VLOOKUP($A854,库存台账!$A$5:$Y$1204,24,0),0))</f>
        <v/>
      </c>
      <c r="M854" s="26">
        <f>IF($A854="","",IFERROR(VLOOKUP($A854,库存台账!$A$5:$Y$1204,25,0),0))</f>
        <v/>
      </c>
      <c r="N854" s="19">
        <f>IF($A854="","",IFERROR(LOOKUP(2,1/((出库单!$D$4:$D$4003=$A854)*(出库单!$T$4:$T$4003="正常")),出库单!$C$4:$C$4003),""))</f>
        <v/>
      </c>
      <c r="O854" s="28">
        <f>IF($A854="","",IF($L854&lt;=0,"",IF($N854="",IFERROR(账期止-LOOKUP(2,1/(入库单!$G$4:$G$2503=$A854),入库单!$C$4:$C$2503),""),账期止-$N854)))</f>
        <v/>
      </c>
      <c r="P854" s="17" t="n"/>
    </row>
    <row r="855">
      <c r="A855" s="17" t="n"/>
      <c r="B855" s="17" t="n"/>
      <c r="C855" s="17" t="n"/>
      <c r="D855" s="17" t="n"/>
      <c r="E855" s="17" t="n"/>
      <c r="F855" s="17" t="n"/>
      <c r="G855" s="23" t="n"/>
      <c r="H855" s="24">
        <f>IF($A855="","",IFERROR(LOOKUP(2,1/((入库单!$G$4:$G$2503=$A855)*(入库单!$Y$4:$Y$2503="正常")*(入库单!$L$4:$L$2503&gt;0)),入库单!$D$4:$D$2503),""))</f>
        <v/>
      </c>
      <c r="I855" s="25">
        <f>IF($A855="","",IFERROR(LOOKUP(2,1/((入库单!$G$4:$G$2503=$A855)*(入库单!$Y$4:$Y$2503="正常")*(入库单!$L$4:$L$2503&gt;0)),入库单!$L$4:$L$2503),0))</f>
        <v/>
      </c>
      <c r="J855" s="26">
        <f>IF($A855="","",IF($H855="A国内",ROUND($I855*倍数A*汇率,0),IF($H855="B当地",ROUND($I855*系数B,0),0)))</f>
        <v/>
      </c>
      <c r="K855" s="24">
        <f>IF($A855="","",IF(COUNTIFS(入库单!$G$4:$G$2503,$A855,入库单!$X$4:$X$2503,"待补价")&gt;0,"待补价",IF(COUNTIFS(入库单!$G$4:$G$2503,$A855,入库单!$X$4:$X$2503,"暂估")&gt;0,"暂估",IF($I855=0,"没有进价","正常"))))</f>
        <v/>
      </c>
      <c r="L855" s="27">
        <f>IF($A855="","",IFERROR(VLOOKUP($A855,库存台账!$A$5:$Y$1204,24,0),0))</f>
        <v/>
      </c>
      <c r="M855" s="26">
        <f>IF($A855="","",IFERROR(VLOOKUP($A855,库存台账!$A$5:$Y$1204,25,0),0))</f>
        <v/>
      </c>
      <c r="N855" s="19">
        <f>IF($A855="","",IFERROR(LOOKUP(2,1/((出库单!$D$4:$D$4003=$A855)*(出库单!$T$4:$T$4003="正常")),出库单!$C$4:$C$4003),""))</f>
        <v/>
      </c>
      <c r="O855" s="28">
        <f>IF($A855="","",IF($L855&lt;=0,"",IF($N855="",IFERROR(账期止-LOOKUP(2,1/(入库单!$G$4:$G$2503=$A855),入库单!$C$4:$C$2503),""),账期止-$N855)))</f>
        <v/>
      </c>
      <c r="P855" s="17" t="n"/>
    </row>
    <row r="856">
      <c r="A856" s="17" t="n"/>
      <c r="B856" s="17" t="n"/>
      <c r="C856" s="17" t="n"/>
      <c r="D856" s="17" t="n"/>
      <c r="E856" s="17" t="n"/>
      <c r="F856" s="17" t="n"/>
      <c r="G856" s="23" t="n"/>
      <c r="H856" s="24">
        <f>IF($A856="","",IFERROR(LOOKUP(2,1/((入库单!$G$4:$G$2503=$A856)*(入库单!$Y$4:$Y$2503="正常")*(入库单!$L$4:$L$2503&gt;0)),入库单!$D$4:$D$2503),""))</f>
        <v/>
      </c>
      <c r="I856" s="25">
        <f>IF($A856="","",IFERROR(LOOKUP(2,1/((入库单!$G$4:$G$2503=$A856)*(入库单!$Y$4:$Y$2503="正常")*(入库单!$L$4:$L$2503&gt;0)),入库单!$L$4:$L$2503),0))</f>
        <v/>
      </c>
      <c r="J856" s="26">
        <f>IF($A856="","",IF($H856="A国内",ROUND($I856*倍数A*汇率,0),IF($H856="B当地",ROUND($I856*系数B,0),0)))</f>
        <v/>
      </c>
      <c r="K856" s="24">
        <f>IF($A856="","",IF(COUNTIFS(入库单!$G$4:$G$2503,$A856,入库单!$X$4:$X$2503,"待补价")&gt;0,"待补价",IF(COUNTIFS(入库单!$G$4:$G$2503,$A856,入库单!$X$4:$X$2503,"暂估")&gt;0,"暂估",IF($I856=0,"没有进价","正常"))))</f>
        <v/>
      </c>
      <c r="L856" s="27">
        <f>IF($A856="","",IFERROR(VLOOKUP($A856,库存台账!$A$5:$Y$1204,24,0),0))</f>
        <v/>
      </c>
      <c r="M856" s="26">
        <f>IF($A856="","",IFERROR(VLOOKUP($A856,库存台账!$A$5:$Y$1204,25,0),0))</f>
        <v/>
      </c>
      <c r="N856" s="19">
        <f>IF($A856="","",IFERROR(LOOKUP(2,1/((出库单!$D$4:$D$4003=$A856)*(出库单!$T$4:$T$4003="正常")),出库单!$C$4:$C$4003),""))</f>
        <v/>
      </c>
      <c r="O856" s="28">
        <f>IF($A856="","",IF($L856&lt;=0,"",IF($N856="",IFERROR(账期止-LOOKUP(2,1/(入库单!$G$4:$G$2503=$A856),入库单!$C$4:$C$2503),""),账期止-$N856)))</f>
        <v/>
      </c>
      <c r="P856" s="17" t="n"/>
    </row>
    <row r="857">
      <c r="A857" s="17" t="n"/>
      <c r="B857" s="17" t="n"/>
      <c r="C857" s="17" t="n"/>
      <c r="D857" s="17" t="n"/>
      <c r="E857" s="17" t="n"/>
      <c r="F857" s="17" t="n"/>
      <c r="G857" s="23" t="n"/>
      <c r="H857" s="24">
        <f>IF($A857="","",IFERROR(LOOKUP(2,1/((入库单!$G$4:$G$2503=$A857)*(入库单!$Y$4:$Y$2503="正常")*(入库单!$L$4:$L$2503&gt;0)),入库单!$D$4:$D$2503),""))</f>
        <v/>
      </c>
      <c r="I857" s="25">
        <f>IF($A857="","",IFERROR(LOOKUP(2,1/((入库单!$G$4:$G$2503=$A857)*(入库单!$Y$4:$Y$2503="正常")*(入库单!$L$4:$L$2503&gt;0)),入库单!$L$4:$L$2503),0))</f>
        <v/>
      </c>
      <c r="J857" s="26">
        <f>IF($A857="","",IF($H857="A国内",ROUND($I857*倍数A*汇率,0),IF($H857="B当地",ROUND($I857*系数B,0),0)))</f>
        <v/>
      </c>
      <c r="K857" s="24">
        <f>IF($A857="","",IF(COUNTIFS(入库单!$G$4:$G$2503,$A857,入库单!$X$4:$X$2503,"待补价")&gt;0,"待补价",IF(COUNTIFS(入库单!$G$4:$G$2503,$A857,入库单!$X$4:$X$2503,"暂估")&gt;0,"暂估",IF($I857=0,"没有进价","正常"))))</f>
        <v/>
      </c>
      <c r="L857" s="27">
        <f>IF($A857="","",IFERROR(VLOOKUP($A857,库存台账!$A$5:$Y$1204,24,0),0))</f>
        <v/>
      </c>
      <c r="M857" s="26">
        <f>IF($A857="","",IFERROR(VLOOKUP($A857,库存台账!$A$5:$Y$1204,25,0),0))</f>
        <v/>
      </c>
      <c r="N857" s="19">
        <f>IF($A857="","",IFERROR(LOOKUP(2,1/((出库单!$D$4:$D$4003=$A857)*(出库单!$T$4:$T$4003="正常")),出库单!$C$4:$C$4003),""))</f>
        <v/>
      </c>
      <c r="O857" s="28">
        <f>IF($A857="","",IF($L857&lt;=0,"",IF($N857="",IFERROR(账期止-LOOKUP(2,1/(入库单!$G$4:$G$2503=$A857),入库单!$C$4:$C$2503),""),账期止-$N857)))</f>
        <v/>
      </c>
      <c r="P857" s="17" t="n"/>
    </row>
    <row r="858">
      <c r="A858" s="17" t="n"/>
      <c r="B858" s="17" t="n"/>
      <c r="C858" s="17" t="n"/>
      <c r="D858" s="17" t="n"/>
      <c r="E858" s="17" t="n"/>
      <c r="F858" s="17" t="n"/>
      <c r="G858" s="23" t="n"/>
      <c r="H858" s="24">
        <f>IF($A858="","",IFERROR(LOOKUP(2,1/((入库单!$G$4:$G$2503=$A858)*(入库单!$Y$4:$Y$2503="正常")*(入库单!$L$4:$L$2503&gt;0)),入库单!$D$4:$D$2503),""))</f>
        <v/>
      </c>
      <c r="I858" s="25">
        <f>IF($A858="","",IFERROR(LOOKUP(2,1/((入库单!$G$4:$G$2503=$A858)*(入库单!$Y$4:$Y$2503="正常")*(入库单!$L$4:$L$2503&gt;0)),入库单!$L$4:$L$2503),0))</f>
        <v/>
      </c>
      <c r="J858" s="26">
        <f>IF($A858="","",IF($H858="A国内",ROUND($I858*倍数A*汇率,0),IF($H858="B当地",ROUND($I858*系数B,0),0)))</f>
        <v/>
      </c>
      <c r="K858" s="24">
        <f>IF($A858="","",IF(COUNTIFS(入库单!$G$4:$G$2503,$A858,入库单!$X$4:$X$2503,"待补价")&gt;0,"待补价",IF(COUNTIFS(入库单!$G$4:$G$2503,$A858,入库单!$X$4:$X$2503,"暂估")&gt;0,"暂估",IF($I858=0,"没有进价","正常"))))</f>
        <v/>
      </c>
      <c r="L858" s="27">
        <f>IF($A858="","",IFERROR(VLOOKUP($A858,库存台账!$A$5:$Y$1204,24,0),0))</f>
        <v/>
      </c>
      <c r="M858" s="26">
        <f>IF($A858="","",IFERROR(VLOOKUP($A858,库存台账!$A$5:$Y$1204,25,0),0))</f>
        <v/>
      </c>
      <c r="N858" s="19">
        <f>IF($A858="","",IFERROR(LOOKUP(2,1/((出库单!$D$4:$D$4003=$A858)*(出库单!$T$4:$T$4003="正常")),出库单!$C$4:$C$4003),""))</f>
        <v/>
      </c>
      <c r="O858" s="28">
        <f>IF($A858="","",IF($L858&lt;=0,"",IF($N858="",IFERROR(账期止-LOOKUP(2,1/(入库单!$G$4:$G$2503=$A858),入库单!$C$4:$C$2503),""),账期止-$N858)))</f>
        <v/>
      </c>
      <c r="P858" s="17" t="n"/>
    </row>
    <row r="859">
      <c r="A859" s="17" t="n"/>
      <c r="B859" s="17" t="n"/>
      <c r="C859" s="17" t="n"/>
      <c r="D859" s="17" t="n"/>
      <c r="E859" s="17" t="n"/>
      <c r="F859" s="17" t="n"/>
      <c r="G859" s="23" t="n"/>
      <c r="H859" s="24">
        <f>IF($A859="","",IFERROR(LOOKUP(2,1/((入库单!$G$4:$G$2503=$A859)*(入库单!$Y$4:$Y$2503="正常")*(入库单!$L$4:$L$2503&gt;0)),入库单!$D$4:$D$2503),""))</f>
        <v/>
      </c>
      <c r="I859" s="25">
        <f>IF($A859="","",IFERROR(LOOKUP(2,1/((入库单!$G$4:$G$2503=$A859)*(入库单!$Y$4:$Y$2503="正常")*(入库单!$L$4:$L$2503&gt;0)),入库单!$L$4:$L$2503),0))</f>
        <v/>
      </c>
      <c r="J859" s="26">
        <f>IF($A859="","",IF($H859="A国内",ROUND($I859*倍数A*汇率,0),IF($H859="B当地",ROUND($I859*系数B,0),0)))</f>
        <v/>
      </c>
      <c r="K859" s="24">
        <f>IF($A859="","",IF(COUNTIFS(入库单!$G$4:$G$2503,$A859,入库单!$X$4:$X$2503,"待补价")&gt;0,"待补价",IF(COUNTIFS(入库单!$G$4:$G$2503,$A859,入库单!$X$4:$X$2503,"暂估")&gt;0,"暂估",IF($I859=0,"没有进价","正常"))))</f>
        <v/>
      </c>
      <c r="L859" s="27">
        <f>IF($A859="","",IFERROR(VLOOKUP($A859,库存台账!$A$5:$Y$1204,24,0),0))</f>
        <v/>
      </c>
      <c r="M859" s="26">
        <f>IF($A859="","",IFERROR(VLOOKUP($A859,库存台账!$A$5:$Y$1204,25,0),0))</f>
        <v/>
      </c>
      <c r="N859" s="19">
        <f>IF($A859="","",IFERROR(LOOKUP(2,1/((出库单!$D$4:$D$4003=$A859)*(出库单!$T$4:$T$4003="正常")),出库单!$C$4:$C$4003),""))</f>
        <v/>
      </c>
      <c r="O859" s="28">
        <f>IF($A859="","",IF($L859&lt;=0,"",IF($N859="",IFERROR(账期止-LOOKUP(2,1/(入库单!$G$4:$G$2503=$A859),入库单!$C$4:$C$2503),""),账期止-$N859)))</f>
        <v/>
      </c>
      <c r="P859" s="17" t="n"/>
    </row>
    <row r="860">
      <c r="A860" s="17" t="n"/>
      <c r="B860" s="17" t="n"/>
      <c r="C860" s="17" t="n"/>
      <c r="D860" s="17" t="n"/>
      <c r="E860" s="17" t="n"/>
      <c r="F860" s="17" t="n"/>
      <c r="G860" s="23" t="n"/>
      <c r="H860" s="24">
        <f>IF($A860="","",IFERROR(LOOKUP(2,1/((入库单!$G$4:$G$2503=$A860)*(入库单!$Y$4:$Y$2503="正常")*(入库单!$L$4:$L$2503&gt;0)),入库单!$D$4:$D$2503),""))</f>
        <v/>
      </c>
      <c r="I860" s="25">
        <f>IF($A860="","",IFERROR(LOOKUP(2,1/((入库单!$G$4:$G$2503=$A860)*(入库单!$Y$4:$Y$2503="正常")*(入库单!$L$4:$L$2503&gt;0)),入库单!$L$4:$L$2503),0))</f>
        <v/>
      </c>
      <c r="J860" s="26">
        <f>IF($A860="","",IF($H860="A国内",ROUND($I860*倍数A*汇率,0),IF($H860="B当地",ROUND($I860*系数B,0),0)))</f>
        <v/>
      </c>
      <c r="K860" s="24">
        <f>IF($A860="","",IF(COUNTIFS(入库单!$G$4:$G$2503,$A860,入库单!$X$4:$X$2503,"待补价")&gt;0,"待补价",IF(COUNTIFS(入库单!$G$4:$G$2503,$A860,入库单!$X$4:$X$2503,"暂估")&gt;0,"暂估",IF($I860=0,"没有进价","正常"))))</f>
        <v/>
      </c>
      <c r="L860" s="27">
        <f>IF($A860="","",IFERROR(VLOOKUP($A860,库存台账!$A$5:$Y$1204,24,0),0))</f>
        <v/>
      </c>
      <c r="M860" s="26">
        <f>IF($A860="","",IFERROR(VLOOKUP($A860,库存台账!$A$5:$Y$1204,25,0),0))</f>
        <v/>
      </c>
      <c r="N860" s="19">
        <f>IF($A860="","",IFERROR(LOOKUP(2,1/((出库单!$D$4:$D$4003=$A860)*(出库单!$T$4:$T$4003="正常")),出库单!$C$4:$C$4003),""))</f>
        <v/>
      </c>
      <c r="O860" s="28">
        <f>IF($A860="","",IF($L860&lt;=0,"",IF($N860="",IFERROR(账期止-LOOKUP(2,1/(入库单!$G$4:$G$2503=$A860),入库单!$C$4:$C$2503),""),账期止-$N860)))</f>
        <v/>
      </c>
      <c r="P860" s="17" t="n"/>
    </row>
    <row r="861">
      <c r="A861" s="17" t="n"/>
      <c r="B861" s="17" t="n"/>
      <c r="C861" s="17" t="n"/>
      <c r="D861" s="17" t="n"/>
      <c r="E861" s="17" t="n"/>
      <c r="F861" s="17" t="n"/>
      <c r="G861" s="23" t="n"/>
      <c r="H861" s="24">
        <f>IF($A861="","",IFERROR(LOOKUP(2,1/((入库单!$G$4:$G$2503=$A861)*(入库单!$Y$4:$Y$2503="正常")*(入库单!$L$4:$L$2503&gt;0)),入库单!$D$4:$D$2503),""))</f>
        <v/>
      </c>
      <c r="I861" s="25">
        <f>IF($A861="","",IFERROR(LOOKUP(2,1/((入库单!$G$4:$G$2503=$A861)*(入库单!$Y$4:$Y$2503="正常")*(入库单!$L$4:$L$2503&gt;0)),入库单!$L$4:$L$2503),0))</f>
        <v/>
      </c>
      <c r="J861" s="26">
        <f>IF($A861="","",IF($H861="A国内",ROUND($I861*倍数A*汇率,0),IF($H861="B当地",ROUND($I861*系数B,0),0)))</f>
        <v/>
      </c>
      <c r="K861" s="24">
        <f>IF($A861="","",IF(COUNTIFS(入库单!$G$4:$G$2503,$A861,入库单!$X$4:$X$2503,"待补价")&gt;0,"待补价",IF(COUNTIFS(入库单!$G$4:$G$2503,$A861,入库单!$X$4:$X$2503,"暂估")&gt;0,"暂估",IF($I861=0,"没有进价","正常"))))</f>
        <v/>
      </c>
      <c r="L861" s="27">
        <f>IF($A861="","",IFERROR(VLOOKUP($A861,库存台账!$A$5:$Y$1204,24,0),0))</f>
        <v/>
      </c>
      <c r="M861" s="26">
        <f>IF($A861="","",IFERROR(VLOOKUP($A861,库存台账!$A$5:$Y$1204,25,0),0))</f>
        <v/>
      </c>
      <c r="N861" s="19">
        <f>IF($A861="","",IFERROR(LOOKUP(2,1/((出库单!$D$4:$D$4003=$A861)*(出库单!$T$4:$T$4003="正常")),出库单!$C$4:$C$4003),""))</f>
        <v/>
      </c>
      <c r="O861" s="28">
        <f>IF($A861="","",IF($L861&lt;=0,"",IF($N861="",IFERROR(账期止-LOOKUP(2,1/(入库单!$G$4:$G$2503=$A861),入库单!$C$4:$C$2503),""),账期止-$N861)))</f>
        <v/>
      </c>
      <c r="P861" s="17" t="n"/>
    </row>
    <row r="862">
      <c r="A862" s="17" t="n"/>
      <c r="B862" s="17" t="n"/>
      <c r="C862" s="17" t="n"/>
      <c r="D862" s="17" t="n"/>
      <c r="E862" s="17" t="n"/>
      <c r="F862" s="17" t="n"/>
      <c r="G862" s="23" t="n"/>
      <c r="H862" s="24">
        <f>IF($A862="","",IFERROR(LOOKUP(2,1/((入库单!$G$4:$G$2503=$A862)*(入库单!$Y$4:$Y$2503="正常")*(入库单!$L$4:$L$2503&gt;0)),入库单!$D$4:$D$2503),""))</f>
        <v/>
      </c>
      <c r="I862" s="25">
        <f>IF($A862="","",IFERROR(LOOKUP(2,1/((入库单!$G$4:$G$2503=$A862)*(入库单!$Y$4:$Y$2503="正常")*(入库单!$L$4:$L$2503&gt;0)),入库单!$L$4:$L$2503),0))</f>
        <v/>
      </c>
      <c r="J862" s="26">
        <f>IF($A862="","",IF($H862="A国内",ROUND($I862*倍数A*汇率,0),IF($H862="B当地",ROUND($I862*系数B,0),0)))</f>
        <v/>
      </c>
      <c r="K862" s="24">
        <f>IF($A862="","",IF(COUNTIFS(入库单!$G$4:$G$2503,$A862,入库单!$X$4:$X$2503,"待补价")&gt;0,"待补价",IF(COUNTIFS(入库单!$G$4:$G$2503,$A862,入库单!$X$4:$X$2503,"暂估")&gt;0,"暂估",IF($I862=0,"没有进价","正常"))))</f>
        <v/>
      </c>
      <c r="L862" s="27">
        <f>IF($A862="","",IFERROR(VLOOKUP($A862,库存台账!$A$5:$Y$1204,24,0),0))</f>
        <v/>
      </c>
      <c r="M862" s="26">
        <f>IF($A862="","",IFERROR(VLOOKUP($A862,库存台账!$A$5:$Y$1204,25,0),0))</f>
        <v/>
      </c>
      <c r="N862" s="19">
        <f>IF($A862="","",IFERROR(LOOKUP(2,1/((出库单!$D$4:$D$4003=$A862)*(出库单!$T$4:$T$4003="正常")),出库单!$C$4:$C$4003),""))</f>
        <v/>
      </c>
      <c r="O862" s="28">
        <f>IF($A862="","",IF($L862&lt;=0,"",IF($N862="",IFERROR(账期止-LOOKUP(2,1/(入库单!$G$4:$G$2503=$A862),入库单!$C$4:$C$2503),""),账期止-$N862)))</f>
        <v/>
      </c>
      <c r="P862" s="17" t="n"/>
    </row>
    <row r="863">
      <c r="A863" s="17" t="n"/>
      <c r="B863" s="17" t="n"/>
      <c r="C863" s="17" t="n"/>
      <c r="D863" s="17" t="n"/>
      <c r="E863" s="17" t="n"/>
      <c r="F863" s="17" t="n"/>
      <c r="G863" s="23" t="n"/>
      <c r="H863" s="24">
        <f>IF($A863="","",IFERROR(LOOKUP(2,1/((入库单!$G$4:$G$2503=$A863)*(入库单!$Y$4:$Y$2503="正常")*(入库单!$L$4:$L$2503&gt;0)),入库单!$D$4:$D$2503),""))</f>
        <v/>
      </c>
      <c r="I863" s="25">
        <f>IF($A863="","",IFERROR(LOOKUP(2,1/((入库单!$G$4:$G$2503=$A863)*(入库单!$Y$4:$Y$2503="正常")*(入库单!$L$4:$L$2503&gt;0)),入库单!$L$4:$L$2503),0))</f>
        <v/>
      </c>
      <c r="J863" s="26">
        <f>IF($A863="","",IF($H863="A国内",ROUND($I863*倍数A*汇率,0),IF($H863="B当地",ROUND($I863*系数B,0),0)))</f>
        <v/>
      </c>
      <c r="K863" s="24">
        <f>IF($A863="","",IF(COUNTIFS(入库单!$G$4:$G$2503,$A863,入库单!$X$4:$X$2503,"待补价")&gt;0,"待补价",IF(COUNTIFS(入库单!$G$4:$G$2503,$A863,入库单!$X$4:$X$2503,"暂估")&gt;0,"暂估",IF($I863=0,"没有进价","正常"))))</f>
        <v/>
      </c>
      <c r="L863" s="27">
        <f>IF($A863="","",IFERROR(VLOOKUP($A863,库存台账!$A$5:$Y$1204,24,0),0))</f>
        <v/>
      </c>
      <c r="M863" s="26">
        <f>IF($A863="","",IFERROR(VLOOKUP($A863,库存台账!$A$5:$Y$1204,25,0),0))</f>
        <v/>
      </c>
      <c r="N863" s="19">
        <f>IF($A863="","",IFERROR(LOOKUP(2,1/((出库单!$D$4:$D$4003=$A863)*(出库单!$T$4:$T$4003="正常")),出库单!$C$4:$C$4003),""))</f>
        <v/>
      </c>
      <c r="O863" s="28">
        <f>IF($A863="","",IF($L863&lt;=0,"",IF($N863="",IFERROR(账期止-LOOKUP(2,1/(入库单!$G$4:$G$2503=$A863),入库单!$C$4:$C$2503),""),账期止-$N863)))</f>
        <v/>
      </c>
      <c r="P863" s="17" t="n"/>
    </row>
    <row r="864">
      <c r="A864" s="17" t="n"/>
      <c r="B864" s="17" t="n"/>
      <c r="C864" s="17" t="n"/>
      <c r="D864" s="17" t="n"/>
      <c r="E864" s="17" t="n"/>
      <c r="F864" s="17" t="n"/>
      <c r="G864" s="23" t="n"/>
      <c r="H864" s="24">
        <f>IF($A864="","",IFERROR(LOOKUP(2,1/((入库单!$G$4:$G$2503=$A864)*(入库单!$Y$4:$Y$2503="正常")*(入库单!$L$4:$L$2503&gt;0)),入库单!$D$4:$D$2503),""))</f>
        <v/>
      </c>
      <c r="I864" s="25">
        <f>IF($A864="","",IFERROR(LOOKUP(2,1/((入库单!$G$4:$G$2503=$A864)*(入库单!$Y$4:$Y$2503="正常")*(入库单!$L$4:$L$2503&gt;0)),入库单!$L$4:$L$2503),0))</f>
        <v/>
      </c>
      <c r="J864" s="26">
        <f>IF($A864="","",IF($H864="A国内",ROUND($I864*倍数A*汇率,0),IF($H864="B当地",ROUND($I864*系数B,0),0)))</f>
        <v/>
      </c>
      <c r="K864" s="24">
        <f>IF($A864="","",IF(COUNTIFS(入库单!$G$4:$G$2503,$A864,入库单!$X$4:$X$2503,"待补价")&gt;0,"待补价",IF(COUNTIFS(入库单!$G$4:$G$2503,$A864,入库单!$X$4:$X$2503,"暂估")&gt;0,"暂估",IF($I864=0,"没有进价","正常"))))</f>
        <v/>
      </c>
      <c r="L864" s="27">
        <f>IF($A864="","",IFERROR(VLOOKUP($A864,库存台账!$A$5:$Y$1204,24,0),0))</f>
        <v/>
      </c>
      <c r="M864" s="26">
        <f>IF($A864="","",IFERROR(VLOOKUP($A864,库存台账!$A$5:$Y$1204,25,0),0))</f>
        <v/>
      </c>
      <c r="N864" s="19">
        <f>IF($A864="","",IFERROR(LOOKUP(2,1/((出库单!$D$4:$D$4003=$A864)*(出库单!$T$4:$T$4003="正常")),出库单!$C$4:$C$4003),""))</f>
        <v/>
      </c>
      <c r="O864" s="28">
        <f>IF($A864="","",IF($L864&lt;=0,"",IF($N864="",IFERROR(账期止-LOOKUP(2,1/(入库单!$G$4:$G$2503=$A864),入库单!$C$4:$C$2503),""),账期止-$N864)))</f>
        <v/>
      </c>
      <c r="P864" s="17" t="n"/>
    </row>
    <row r="865">
      <c r="A865" s="17" t="n"/>
      <c r="B865" s="17" t="n"/>
      <c r="C865" s="17" t="n"/>
      <c r="D865" s="17" t="n"/>
      <c r="E865" s="17" t="n"/>
      <c r="F865" s="17" t="n"/>
      <c r="G865" s="23" t="n"/>
      <c r="H865" s="24">
        <f>IF($A865="","",IFERROR(LOOKUP(2,1/((入库单!$G$4:$G$2503=$A865)*(入库单!$Y$4:$Y$2503="正常")*(入库单!$L$4:$L$2503&gt;0)),入库单!$D$4:$D$2503),""))</f>
        <v/>
      </c>
      <c r="I865" s="25">
        <f>IF($A865="","",IFERROR(LOOKUP(2,1/((入库单!$G$4:$G$2503=$A865)*(入库单!$Y$4:$Y$2503="正常")*(入库单!$L$4:$L$2503&gt;0)),入库单!$L$4:$L$2503),0))</f>
        <v/>
      </c>
      <c r="J865" s="26">
        <f>IF($A865="","",IF($H865="A国内",ROUND($I865*倍数A*汇率,0),IF($H865="B当地",ROUND($I865*系数B,0),0)))</f>
        <v/>
      </c>
      <c r="K865" s="24">
        <f>IF($A865="","",IF(COUNTIFS(入库单!$G$4:$G$2503,$A865,入库单!$X$4:$X$2503,"待补价")&gt;0,"待补价",IF(COUNTIFS(入库单!$G$4:$G$2503,$A865,入库单!$X$4:$X$2503,"暂估")&gt;0,"暂估",IF($I865=0,"没有进价","正常"))))</f>
        <v/>
      </c>
      <c r="L865" s="27">
        <f>IF($A865="","",IFERROR(VLOOKUP($A865,库存台账!$A$5:$Y$1204,24,0),0))</f>
        <v/>
      </c>
      <c r="M865" s="26">
        <f>IF($A865="","",IFERROR(VLOOKUP($A865,库存台账!$A$5:$Y$1204,25,0),0))</f>
        <v/>
      </c>
      <c r="N865" s="19">
        <f>IF($A865="","",IFERROR(LOOKUP(2,1/((出库单!$D$4:$D$4003=$A865)*(出库单!$T$4:$T$4003="正常")),出库单!$C$4:$C$4003),""))</f>
        <v/>
      </c>
      <c r="O865" s="28">
        <f>IF($A865="","",IF($L865&lt;=0,"",IF($N865="",IFERROR(账期止-LOOKUP(2,1/(入库单!$G$4:$G$2503=$A865),入库单!$C$4:$C$2503),""),账期止-$N865)))</f>
        <v/>
      </c>
      <c r="P865" s="17" t="n"/>
    </row>
    <row r="866">
      <c r="A866" s="17" t="n"/>
      <c r="B866" s="17" t="n"/>
      <c r="C866" s="17" t="n"/>
      <c r="D866" s="17" t="n"/>
      <c r="E866" s="17" t="n"/>
      <c r="F866" s="17" t="n"/>
      <c r="G866" s="23" t="n"/>
      <c r="H866" s="24">
        <f>IF($A866="","",IFERROR(LOOKUP(2,1/((入库单!$G$4:$G$2503=$A866)*(入库单!$Y$4:$Y$2503="正常")*(入库单!$L$4:$L$2503&gt;0)),入库单!$D$4:$D$2503),""))</f>
        <v/>
      </c>
      <c r="I866" s="25">
        <f>IF($A866="","",IFERROR(LOOKUP(2,1/((入库单!$G$4:$G$2503=$A866)*(入库单!$Y$4:$Y$2503="正常")*(入库单!$L$4:$L$2503&gt;0)),入库单!$L$4:$L$2503),0))</f>
        <v/>
      </c>
      <c r="J866" s="26">
        <f>IF($A866="","",IF($H866="A国内",ROUND($I866*倍数A*汇率,0),IF($H866="B当地",ROUND($I866*系数B,0),0)))</f>
        <v/>
      </c>
      <c r="K866" s="24">
        <f>IF($A866="","",IF(COUNTIFS(入库单!$G$4:$G$2503,$A866,入库单!$X$4:$X$2503,"待补价")&gt;0,"待补价",IF(COUNTIFS(入库单!$G$4:$G$2503,$A866,入库单!$X$4:$X$2503,"暂估")&gt;0,"暂估",IF($I866=0,"没有进价","正常"))))</f>
        <v/>
      </c>
      <c r="L866" s="27">
        <f>IF($A866="","",IFERROR(VLOOKUP($A866,库存台账!$A$5:$Y$1204,24,0),0))</f>
        <v/>
      </c>
      <c r="M866" s="26">
        <f>IF($A866="","",IFERROR(VLOOKUP($A866,库存台账!$A$5:$Y$1204,25,0),0))</f>
        <v/>
      </c>
      <c r="N866" s="19">
        <f>IF($A866="","",IFERROR(LOOKUP(2,1/((出库单!$D$4:$D$4003=$A866)*(出库单!$T$4:$T$4003="正常")),出库单!$C$4:$C$4003),""))</f>
        <v/>
      </c>
      <c r="O866" s="28">
        <f>IF($A866="","",IF($L866&lt;=0,"",IF($N866="",IFERROR(账期止-LOOKUP(2,1/(入库单!$G$4:$G$2503=$A866),入库单!$C$4:$C$2503),""),账期止-$N866)))</f>
        <v/>
      </c>
      <c r="P866" s="17" t="n"/>
    </row>
    <row r="867">
      <c r="A867" s="17" t="n"/>
      <c r="B867" s="17" t="n"/>
      <c r="C867" s="17" t="n"/>
      <c r="D867" s="17" t="n"/>
      <c r="E867" s="17" t="n"/>
      <c r="F867" s="17" t="n"/>
      <c r="G867" s="23" t="n"/>
      <c r="H867" s="24">
        <f>IF($A867="","",IFERROR(LOOKUP(2,1/((入库单!$G$4:$G$2503=$A867)*(入库单!$Y$4:$Y$2503="正常")*(入库单!$L$4:$L$2503&gt;0)),入库单!$D$4:$D$2503),""))</f>
        <v/>
      </c>
      <c r="I867" s="25">
        <f>IF($A867="","",IFERROR(LOOKUP(2,1/((入库单!$G$4:$G$2503=$A867)*(入库单!$Y$4:$Y$2503="正常")*(入库单!$L$4:$L$2503&gt;0)),入库单!$L$4:$L$2503),0))</f>
        <v/>
      </c>
      <c r="J867" s="26">
        <f>IF($A867="","",IF($H867="A国内",ROUND($I867*倍数A*汇率,0),IF($H867="B当地",ROUND($I867*系数B,0),0)))</f>
        <v/>
      </c>
      <c r="K867" s="24">
        <f>IF($A867="","",IF(COUNTIFS(入库单!$G$4:$G$2503,$A867,入库单!$X$4:$X$2503,"待补价")&gt;0,"待补价",IF(COUNTIFS(入库单!$G$4:$G$2503,$A867,入库单!$X$4:$X$2503,"暂估")&gt;0,"暂估",IF($I867=0,"没有进价","正常"))))</f>
        <v/>
      </c>
      <c r="L867" s="27">
        <f>IF($A867="","",IFERROR(VLOOKUP($A867,库存台账!$A$5:$Y$1204,24,0),0))</f>
        <v/>
      </c>
      <c r="M867" s="26">
        <f>IF($A867="","",IFERROR(VLOOKUP($A867,库存台账!$A$5:$Y$1204,25,0),0))</f>
        <v/>
      </c>
      <c r="N867" s="19">
        <f>IF($A867="","",IFERROR(LOOKUP(2,1/((出库单!$D$4:$D$4003=$A867)*(出库单!$T$4:$T$4003="正常")),出库单!$C$4:$C$4003),""))</f>
        <v/>
      </c>
      <c r="O867" s="28">
        <f>IF($A867="","",IF($L867&lt;=0,"",IF($N867="",IFERROR(账期止-LOOKUP(2,1/(入库单!$G$4:$G$2503=$A867),入库单!$C$4:$C$2503),""),账期止-$N867)))</f>
        <v/>
      </c>
      <c r="P867" s="17" t="n"/>
    </row>
    <row r="868">
      <c r="A868" s="17" t="n"/>
      <c r="B868" s="17" t="n"/>
      <c r="C868" s="17" t="n"/>
      <c r="D868" s="17" t="n"/>
      <c r="E868" s="17" t="n"/>
      <c r="F868" s="17" t="n"/>
      <c r="G868" s="23" t="n"/>
      <c r="H868" s="24">
        <f>IF($A868="","",IFERROR(LOOKUP(2,1/((入库单!$G$4:$G$2503=$A868)*(入库单!$Y$4:$Y$2503="正常")*(入库单!$L$4:$L$2503&gt;0)),入库单!$D$4:$D$2503),""))</f>
        <v/>
      </c>
      <c r="I868" s="25">
        <f>IF($A868="","",IFERROR(LOOKUP(2,1/((入库单!$G$4:$G$2503=$A868)*(入库单!$Y$4:$Y$2503="正常")*(入库单!$L$4:$L$2503&gt;0)),入库单!$L$4:$L$2503),0))</f>
        <v/>
      </c>
      <c r="J868" s="26">
        <f>IF($A868="","",IF($H868="A国内",ROUND($I868*倍数A*汇率,0),IF($H868="B当地",ROUND($I868*系数B,0),0)))</f>
        <v/>
      </c>
      <c r="K868" s="24">
        <f>IF($A868="","",IF(COUNTIFS(入库单!$G$4:$G$2503,$A868,入库单!$X$4:$X$2503,"待补价")&gt;0,"待补价",IF(COUNTIFS(入库单!$G$4:$G$2503,$A868,入库单!$X$4:$X$2503,"暂估")&gt;0,"暂估",IF($I868=0,"没有进价","正常"))))</f>
        <v/>
      </c>
      <c r="L868" s="27">
        <f>IF($A868="","",IFERROR(VLOOKUP($A868,库存台账!$A$5:$Y$1204,24,0),0))</f>
        <v/>
      </c>
      <c r="M868" s="26">
        <f>IF($A868="","",IFERROR(VLOOKUP($A868,库存台账!$A$5:$Y$1204,25,0),0))</f>
        <v/>
      </c>
      <c r="N868" s="19">
        <f>IF($A868="","",IFERROR(LOOKUP(2,1/((出库单!$D$4:$D$4003=$A868)*(出库单!$T$4:$T$4003="正常")),出库单!$C$4:$C$4003),""))</f>
        <v/>
      </c>
      <c r="O868" s="28">
        <f>IF($A868="","",IF($L868&lt;=0,"",IF($N868="",IFERROR(账期止-LOOKUP(2,1/(入库单!$G$4:$G$2503=$A868),入库单!$C$4:$C$2503),""),账期止-$N868)))</f>
        <v/>
      </c>
      <c r="P868" s="17" t="n"/>
    </row>
    <row r="869">
      <c r="A869" s="17" t="n"/>
      <c r="B869" s="17" t="n"/>
      <c r="C869" s="17" t="n"/>
      <c r="D869" s="17" t="n"/>
      <c r="E869" s="17" t="n"/>
      <c r="F869" s="17" t="n"/>
      <c r="G869" s="23" t="n"/>
      <c r="H869" s="24">
        <f>IF($A869="","",IFERROR(LOOKUP(2,1/((入库单!$G$4:$G$2503=$A869)*(入库单!$Y$4:$Y$2503="正常")*(入库单!$L$4:$L$2503&gt;0)),入库单!$D$4:$D$2503),""))</f>
        <v/>
      </c>
      <c r="I869" s="25">
        <f>IF($A869="","",IFERROR(LOOKUP(2,1/((入库单!$G$4:$G$2503=$A869)*(入库单!$Y$4:$Y$2503="正常")*(入库单!$L$4:$L$2503&gt;0)),入库单!$L$4:$L$2503),0))</f>
        <v/>
      </c>
      <c r="J869" s="26">
        <f>IF($A869="","",IF($H869="A国内",ROUND($I869*倍数A*汇率,0),IF($H869="B当地",ROUND($I869*系数B,0),0)))</f>
        <v/>
      </c>
      <c r="K869" s="24">
        <f>IF($A869="","",IF(COUNTIFS(入库单!$G$4:$G$2503,$A869,入库单!$X$4:$X$2503,"待补价")&gt;0,"待补价",IF(COUNTIFS(入库单!$G$4:$G$2503,$A869,入库单!$X$4:$X$2503,"暂估")&gt;0,"暂估",IF($I869=0,"没有进价","正常"))))</f>
        <v/>
      </c>
      <c r="L869" s="27">
        <f>IF($A869="","",IFERROR(VLOOKUP($A869,库存台账!$A$5:$Y$1204,24,0),0))</f>
        <v/>
      </c>
      <c r="M869" s="26">
        <f>IF($A869="","",IFERROR(VLOOKUP($A869,库存台账!$A$5:$Y$1204,25,0),0))</f>
        <v/>
      </c>
      <c r="N869" s="19">
        <f>IF($A869="","",IFERROR(LOOKUP(2,1/((出库单!$D$4:$D$4003=$A869)*(出库单!$T$4:$T$4003="正常")),出库单!$C$4:$C$4003),""))</f>
        <v/>
      </c>
      <c r="O869" s="28">
        <f>IF($A869="","",IF($L869&lt;=0,"",IF($N869="",IFERROR(账期止-LOOKUP(2,1/(入库单!$G$4:$G$2503=$A869),入库单!$C$4:$C$2503),""),账期止-$N869)))</f>
        <v/>
      </c>
      <c r="P869" s="17" t="n"/>
    </row>
    <row r="870">
      <c r="A870" s="17" t="n"/>
      <c r="B870" s="17" t="n"/>
      <c r="C870" s="17" t="n"/>
      <c r="D870" s="17" t="n"/>
      <c r="E870" s="17" t="n"/>
      <c r="F870" s="17" t="n"/>
      <c r="G870" s="23" t="n"/>
      <c r="H870" s="24">
        <f>IF($A870="","",IFERROR(LOOKUP(2,1/((入库单!$G$4:$G$2503=$A870)*(入库单!$Y$4:$Y$2503="正常")*(入库单!$L$4:$L$2503&gt;0)),入库单!$D$4:$D$2503),""))</f>
        <v/>
      </c>
      <c r="I870" s="25">
        <f>IF($A870="","",IFERROR(LOOKUP(2,1/((入库单!$G$4:$G$2503=$A870)*(入库单!$Y$4:$Y$2503="正常")*(入库单!$L$4:$L$2503&gt;0)),入库单!$L$4:$L$2503),0))</f>
        <v/>
      </c>
      <c r="J870" s="26">
        <f>IF($A870="","",IF($H870="A国内",ROUND($I870*倍数A*汇率,0),IF($H870="B当地",ROUND($I870*系数B,0),0)))</f>
        <v/>
      </c>
      <c r="K870" s="24">
        <f>IF($A870="","",IF(COUNTIFS(入库单!$G$4:$G$2503,$A870,入库单!$X$4:$X$2503,"待补价")&gt;0,"待补价",IF(COUNTIFS(入库单!$G$4:$G$2503,$A870,入库单!$X$4:$X$2503,"暂估")&gt;0,"暂估",IF($I870=0,"没有进价","正常"))))</f>
        <v/>
      </c>
      <c r="L870" s="27">
        <f>IF($A870="","",IFERROR(VLOOKUP($A870,库存台账!$A$5:$Y$1204,24,0),0))</f>
        <v/>
      </c>
      <c r="M870" s="26">
        <f>IF($A870="","",IFERROR(VLOOKUP($A870,库存台账!$A$5:$Y$1204,25,0),0))</f>
        <v/>
      </c>
      <c r="N870" s="19">
        <f>IF($A870="","",IFERROR(LOOKUP(2,1/((出库单!$D$4:$D$4003=$A870)*(出库单!$T$4:$T$4003="正常")),出库单!$C$4:$C$4003),""))</f>
        <v/>
      </c>
      <c r="O870" s="28">
        <f>IF($A870="","",IF($L870&lt;=0,"",IF($N870="",IFERROR(账期止-LOOKUP(2,1/(入库单!$G$4:$G$2503=$A870),入库单!$C$4:$C$2503),""),账期止-$N870)))</f>
        <v/>
      </c>
      <c r="P870" s="17" t="n"/>
    </row>
    <row r="871">
      <c r="A871" s="17" t="n"/>
      <c r="B871" s="17" t="n"/>
      <c r="C871" s="17" t="n"/>
      <c r="D871" s="17" t="n"/>
      <c r="E871" s="17" t="n"/>
      <c r="F871" s="17" t="n"/>
      <c r="G871" s="23" t="n"/>
      <c r="H871" s="24">
        <f>IF($A871="","",IFERROR(LOOKUP(2,1/((入库单!$G$4:$G$2503=$A871)*(入库单!$Y$4:$Y$2503="正常")*(入库单!$L$4:$L$2503&gt;0)),入库单!$D$4:$D$2503),""))</f>
        <v/>
      </c>
      <c r="I871" s="25">
        <f>IF($A871="","",IFERROR(LOOKUP(2,1/((入库单!$G$4:$G$2503=$A871)*(入库单!$Y$4:$Y$2503="正常")*(入库单!$L$4:$L$2503&gt;0)),入库单!$L$4:$L$2503),0))</f>
        <v/>
      </c>
      <c r="J871" s="26">
        <f>IF($A871="","",IF($H871="A国内",ROUND($I871*倍数A*汇率,0),IF($H871="B当地",ROUND($I871*系数B,0),0)))</f>
        <v/>
      </c>
      <c r="K871" s="24">
        <f>IF($A871="","",IF(COUNTIFS(入库单!$G$4:$G$2503,$A871,入库单!$X$4:$X$2503,"待补价")&gt;0,"待补价",IF(COUNTIFS(入库单!$G$4:$G$2503,$A871,入库单!$X$4:$X$2503,"暂估")&gt;0,"暂估",IF($I871=0,"没有进价","正常"))))</f>
        <v/>
      </c>
      <c r="L871" s="27">
        <f>IF($A871="","",IFERROR(VLOOKUP($A871,库存台账!$A$5:$Y$1204,24,0),0))</f>
        <v/>
      </c>
      <c r="M871" s="26">
        <f>IF($A871="","",IFERROR(VLOOKUP($A871,库存台账!$A$5:$Y$1204,25,0),0))</f>
        <v/>
      </c>
      <c r="N871" s="19">
        <f>IF($A871="","",IFERROR(LOOKUP(2,1/((出库单!$D$4:$D$4003=$A871)*(出库单!$T$4:$T$4003="正常")),出库单!$C$4:$C$4003),""))</f>
        <v/>
      </c>
      <c r="O871" s="28">
        <f>IF($A871="","",IF($L871&lt;=0,"",IF($N871="",IFERROR(账期止-LOOKUP(2,1/(入库单!$G$4:$G$2503=$A871),入库单!$C$4:$C$2503),""),账期止-$N871)))</f>
        <v/>
      </c>
      <c r="P871" s="17" t="n"/>
    </row>
    <row r="872">
      <c r="A872" s="17" t="n"/>
      <c r="B872" s="17" t="n"/>
      <c r="C872" s="17" t="n"/>
      <c r="D872" s="17" t="n"/>
      <c r="E872" s="17" t="n"/>
      <c r="F872" s="17" t="n"/>
      <c r="G872" s="23" t="n"/>
      <c r="H872" s="24">
        <f>IF($A872="","",IFERROR(LOOKUP(2,1/((入库单!$G$4:$G$2503=$A872)*(入库单!$Y$4:$Y$2503="正常")*(入库单!$L$4:$L$2503&gt;0)),入库单!$D$4:$D$2503),""))</f>
        <v/>
      </c>
      <c r="I872" s="25">
        <f>IF($A872="","",IFERROR(LOOKUP(2,1/((入库单!$G$4:$G$2503=$A872)*(入库单!$Y$4:$Y$2503="正常")*(入库单!$L$4:$L$2503&gt;0)),入库单!$L$4:$L$2503),0))</f>
        <v/>
      </c>
      <c r="J872" s="26">
        <f>IF($A872="","",IF($H872="A国内",ROUND($I872*倍数A*汇率,0),IF($H872="B当地",ROUND($I872*系数B,0),0)))</f>
        <v/>
      </c>
      <c r="K872" s="24">
        <f>IF($A872="","",IF(COUNTIFS(入库单!$G$4:$G$2503,$A872,入库单!$X$4:$X$2503,"待补价")&gt;0,"待补价",IF(COUNTIFS(入库单!$G$4:$G$2503,$A872,入库单!$X$4:$X$2503,"暂估")&gt;0,"暂估",IF($I872=0,"没有进价","正常"))))</f>
        <v/>
      </c>
      <c r="L872" s="27">
        <f>IF($A872="","",IFERROR(VLOOKUP($A872,库存台账!$A$5:$Y$1204,24,0),0))</f>
        <v/>
      </c>
      <c r="M872" s="26">
        <f>IF($A872="","",IFERROR(VLOOKUP($A872,库存台账!$A$5:$Y$1204,25,0),0))</f>
        <v/>
      </c>
      <c r="N872" s="19">
        <f>IF($A872="","",IFERROR(LOOKUP(2,1/((出库单!$D$4:$D$4003=$A872)*(出库单!$T$4:$T$4003="正常")),出库单!$C$4:$C$4003),""))</f>
        <v/>
      </c>
      <c r="O872" s="28">
        <f>IF($A872="","",IF($L872&lt;=0,"",IF($N872="",IFERROR(账期止-LOOKUP(2,1/(入库单!$G$4:$G$2503=$A872),入库单!$C$4:$C$2503),""),账期止-$N872)))</f>
        <v/>
      </c>
      <c r="P872" s="17" t="n"/>
    </row>
    <row r="873">
      <c r="A873" s="17" t="n"/>
      <c r="B873" s="17" t="n"/>
      <c r="C873" s="17" t="n"/>
      <c r="D873" s="17" t="n"/>
      <c r="E873" s="17" t="n"/>
      <c r="F873" s="17" t="n"/>
      <c r="G873" s="23" t="n"/>
      <c r="H873" s="24">
        <f>IF($A873="","",IFERROR(LOOKUP(2,1/((入库单!$G$4:$G$2503=$A873)*(入库单!$Y$4:$Y$2503="正常")*(入库单!$L$4:$L$2503&gt;0)),入库单!$D$4:$D$2503),""))</f>
        <v/>
      </c>
      <c r="I873" s="25">
        <f>IF($A873="","",IFERROR(LOOKUP(2,1/((入库单!$G$4:$G$2503=$A873)*(入库单!$Y$4:$Y$2503="正常")*(入库单!$L$4:$L$2503&gt;0)),入库单!$L$4:$L$2503),0))</f>
        <v/>
      </c>
      <c r="J873" s="26">
        <f>IF($A873="","",IF($H873="A国内",ROUND($I873*倍数A*汇率,0),IF($H873="B当地",ROUND($I873*系数B,0),0)))</f>
        <v/>
      </c>
      <c r="K873" s="24">
        <f>IF($A873="","",IF(COUNTIFS(入库单!$G$4:$G$2503,$A873,入库单!$X$4:$X$2503,"待补价")&gt;0,"待补价",IF(COUNTIFS(入库单!$G$4:$G$2503,$A873,入库单!$X$4:$X$2503,"暂估")&gt;0,"暂估",IF($I873=0,"没有进价","正常"))))</f>
        <v/>
      </c>
      <c r="L873" s="27">
        <f>IF($A873="","",IFERROR(VLOOKUP($A873,库存台账!$A$5:$Y$1204,24,0),0))</f>
        <v/>
      </c>
      <c r="M873" s="26">
        <f>IF($A873="","",IFERROR(VLOOKUP($A873,库存台账!$A$5:$Y$1204,25,0),0))</f>
        <v/>
      </c>
      <c r="N873" s="19">
        <f>IF($A873="","",IFERROR(LOOKUP(2,1/((出库单!$D$4:$D$4003=$A873)*(出库单!$T$4:$T$4003="正常")),出库单!$C$4:$C$4003),""))</f>
        <v/>
      </c>
      <c r="O873" s="28">
        <f>IF($A873="","",IF($L873&lt;=0,"",IF($N873="",IFERROR(账期止-LOOKUP(2,1/(入库单!$G$4:$G$2503=$A873),入库单!$C$4:$C$2503),""),账期止-$N873)))</f>
        <v/>
      </c>
      <c r="P873" s="17" t="n"/>
    </row>
    <row r="874">
      <c r="A874" s="17" t="n"/>
      <c r="B874" s="17" t="n"/>
      <c r="C874" s="17" t="n"/>
      <c r="D874" s="17" t="n"/>
      <c r="E874" s="17" t="n"/>
      <c r="F874" s="17" t="n"/>
      <c r="G874" s="23" t="n"/>
      <c r="H874" s="24">
        <f>IF($A874="","",IFERROR(LOOKUP(2,1/((入库单!$G$4:$G$2503=$A874)*(入库单!$Y$4:$Y$2503="正常")*(入库单!$L$4:$L$2503&gt;0)),入库单!$D$4:$D$2503),""))</f>
        <v/>
      </c>
      <c r="I874" s="25">
        <f>IF($A874="","",IFERROR(LOOKUP(2,1/((入库单!$G$4:$G$2503=$A874)*(入库单!$Y$4:$Y$2503="正常")*(入库单!$L$4:$L$2503&gt;0)),入库单!$L$4:$L$2503),0))</f>
        <v/>
      </c>
      <c r="J874" s="26">
        <f>IF($A874="","",IF($H874="A国内",ROUND($I874*倍数A*汇率,0),IF($H874="B当地",ROUND($I874*系数B,0),0)))</f>
        <v/>
      </c>
      <c r="K874" s="24">
        <f>IF($A874="","",IF(COUNTIFS(入库单!$G$4:$G$2503,$A874,入库单!$X$4:$X$2503,"待补价")&gt;0,"待补价",IF(COUNTIFS(入库单!$G$4:$G$2503,$A874,入库单!$X$4:$X$2503,"暂估")&gt;0,"暂估",IF($I874=0,"没有进价","正常"))))</f>
        <v/>
      </c>
      <c r="L874" s="27">
        <f>IF($A874="","",IFERROR(VLOOKUP($A874,库存台账!$A$5:$Y$1204,24,0),0))</f>
        <v/>
      </c>
      <c r="M874" s="26">
        <f>IF($A874="","",IFERROR(VLOOKUP($A874,库存台账!$A$5:$Y$1204,25,0),0))</f>
        <v/>
      </c>
      <c r="N874" s="19">
        <f>IF($A874="","",IFERROR(LOOKUP(2,1/((出库单!$D$4:$D$4003=$A874)*(出库单!$T$4:$T$4003="正常")),出库单!$C$4:$C$4003),""))</f>
        <v/>
      </c>
      <c r="O874" s="28">
        <f>IF($A874="","",IF($L874&lt;=0,"",IF($N874="",IFERROR(账期止-LOOKUP(2,1/(入库单!$G$4:$G$2503=$A874),入库单!$C$4:$C$2503),""),账期止-$N874)))</f>
        <v/>
      </c>
      <c r="P874" s="17" t="n"/>
    </row>
    <row r="875">
      <c r="A875" s="17" t="n"/>
      <c r="B875" s="17" t="n"/>
      <c r="C875" s="17" t="n"/>
      <c r="D875" s="17" t="n"/>
      <c r="E875" s="17" t="n"/>
      <c r="F875" s="17" t="n"/>
      <c r="G875" s="23" t="n"/>
      <c r="H875" s="24">
        <f>IF($A875="","",IFERROR(LOOKUP(2,1/((入库单!$G$4:$G$2503=$A875)*(入库单!$Y$4:$Y$2503="正常")*(入库单!$L$4:$L$2503&gt;0)),入库单!$D$4:$D$2503),""))</f>
        <v/>
      </c>
      <c r="I875" s="25">
        <f>IF($A875="","",IFERROR(LOOKUP(2,1/((入库单!$G$4:$G$2503=$A875)*(入库单!$Y$4:$Y$2503="正常")*(入库单!$L$4:$L$2503&gt;0)),入库单!$L$4:$L$2503),0))</f>
        <v/>
      </c>
      <c r="J875" s="26">
        <f>IF($A875="","",IF($H875="A国内",ROUND($I875*倍数A*汇率,0),IF($H875="B当地",ROUND($I875*系数B,0),0)))</f>
        <v/>
      </c>
      <c r="K875" s="24">
        <f>IF($A875="","",IF(COUNTIFS(入库单!$G$4:$G$2503,$A875,入库单!$X$4:$X$2503,"待补价")&gt;0,"待补价",IF(COUNTIFS(入库单!$G$4:$G$2503,$A875,入库单!$X$4:$X$2503,"暂估")&gt;0,"暂估",IF($I875=0,"没有进价","正常"))))</f>
        <v/>
      </c>
      <c r="L875" s="27">
        <f>IF($A875="","",IFERROR(VLOOKUP($A875,库存台账!$A$5:$Y$1204,24,0),0))</f>
        <v/>
      </c>
      <c r="M875" s="26">
        <f>IF($A875="","",IFERROR(VLOOKUP($A875,库存台账!$A$5:$Y$1204,25,0),0))</f>
        <v/>
      </c>
      <c r="N875" s="19">
        <f>IF($A875="","",IFERROR(LOOKUP(2,1/((出库单!$D$4:$D$4003=$A875)*(出库单!$T$4:$T$4003="正常")),出库单!$C$4:$C$4003),""))</f>
        <v/>
      </c>
      <c r="O875" s="28">
        <f>IF($A875="","",IF($L875&lt;=0,"",IF($N875="",IFERROR(账期止-LOOKUP(2,1/(入库单!$G$4:$G$2503=$A875),入库单!$C$4:$C$2503),""),账期止-$N875)))</f>
        <v/>
      </c>
      <c r="P875" s="17" t="n"/>
    </row>
    <row r="876">
      <c r="A876" s="17" t="n"/>
      <c r="B876" s="17" t="n"/>
      <c r="C876" s="17" t="n"/>
      <c r="D876" s="17" t="n"/>
      <c r="E876" s="17" t="n"/>
      <c r="F876" s="17" t="n"/>
      <c r="G876" s="23" t="n"/>
      <c r="H876" s="24">
        <f>IF($A876="","",IFERROR(LOOKUP(2,1/((入库单!$G$4:$G$2503=$A876)*(入库单!$Y$4:$Y$2503="正常")*(入库单!$L$4:$L$2503&gt;0)),入库单!$D$4:$D$2503),""))</f>
        <v/>
      </c>
      <c r="I876" s="25">
        <f>IF($A876="","",IFERROR(LOOKUP(2,1/((入库单!$G$4:$G$2503=$A876)*(入库单!$Y$4:$Y$2503="正常")*(入库单!$L$4:$L$2503&gt;0)),入库单!$L$4:$L$2503),0))</f>
        <v/>
      </c>
      <c r="J876" s="26">
        <f>IF($A876="","",IF($H876="A国内",ROUND($I876*倍数A*汇率,0),IF($H876="B当地",ROUND($I876*系数B,0),0)))</f>
        <v/>
      </c>
      <c r="K876" s="24">
        <f>IF($A876="","",IF(COUNTIFS(入库单!$G$4:$G$2503,$A876,入库单!$X$4:$X$2503,"待补价")&gt;0,"待补价",IF(COUNTIFS(入库单!$G$4:$G$2503,$A876,入库单!$X$4:$X$2503,"暂估")&gt;0,"暂估",IF($I876=0,"没有进价","正常"))))</f>
        <v/>
      </c>
      <c r="L876" s="27">
        <f>IF($A876="","",IFERROR(VLOOKUP($A876,库存台账!$A$5:$Y$1204,24,0),0))</f>
        <v/>
      </c>
      <c r="M876" s="26">
        <f>IF($A876="","",IFERROR(VLOOKUP($A876,库存台账!$A$5:$Y$1204,25,0),0))</f>
        <v/>
      </c>
      <c r="N876" s="19">
        <f>IF($A876="","",IFERROR(LOOKUP(2,1/((出库单!$D$4:$D$4003=$A876)*(出库单!$T$4:$T$4003="正常")),出库单!$C$4:$C$4003),""))</f>
        <v/>
      </c>
      <c r="O876" s="28">
        <f>IF($A876="","",IF($L876&lt;=0,"",IF($N876="",IFERROR(账期止-LOOKUP(2,1/(入库单!$G$4:$G$2503=$A876),入库单!$C$4:$C$2503),""),账期止-$N876)))</f>
        <v/>
      </c>
      <c r="P876" s="17" t="n"/>
    </row>
    <row r="877">
      <c r="A877" s="17" t="n"/>
      <c r="B877" s="17" t="n"/>
      <c r="C877" s="17" t="n"/>
      <c r="D877" s="17" t="n"/>
      <c r="E877" s="17" t="n"/>
      <c r="F877" s="17" t="n"/>
      <c r="G877" s="23" t="n"/>
      <c r="H877" s="24">
        <f>IF($A877="","",IFERROR(LOOKUP(2,1/((入库单!$G$4:$G$2503=$A877)*(入库单!$Y$4:$Y$2503="正常")*(入库单!$L$4:$L$2503&gt;0)),入库单!$D$4:$D$2503),""))</f>
        <v/>
      </c>
      <c r="I877" s="25">
        <f>IF($A877="","",IFERROR(LOOKUP(2,1/((入库单!$G$4:$G$2503=$A877)*(入库单!$Y$4:$Y$2503="正常")*(入库单!$L$4:$L$2503&gt;0)),入库单!$L$4:$L$2503),0))</f>
        <v/>
      </c>
      <c r="J877" s="26">
        <f>IF($A877="","",IF($H877="A国内",ROUND($I877*倍数A*汇率,0),IF($H877="B当地",ROUND($I877*系数B,0),0)))</f>
        <v/>
      </c>
      <c r="K877" s="24">
        <f>IF($A877="","",IF(COUNTIFS(入库单!$G$4:$G$2503,$A877,入库单!$X$4:$X$2503,"待补价")&gt;0,"待补价",IF(COUNTIFS(入库单!$G$4:$G$2503,$A877,入库单!$X$4:$X$2503,"暂估")&gt;0,"暂估",IF($I877=0,"没有进价","正常"))))</f>
        <v/>
      </c>
      <c r="L877" s="27">
        <f>IF($A877="","",IFERROR(VLOOKUP($A877,库存台账!$A$5:$Y$1204,24,0),0))</f>
        <v/>
      </c>
      <c r="M877" s="26">
        <f>IF($A877="","",IFERROR(VLOOKUP($A877,库存台账!$A$5:$Y$1204,25,0),0))</f>
        <v/>
      </c>
      <c r="N877" s="19">
        <f>IF($A877="","",IFERROR(LOOKUP(2,1/((出库单!$D$4:$D$4003=$A877)*(出库单!$T$4:$T$4003="正常")),出库单!$C$4:$C$4003),""))</f>
        <v/>
      </c>
      <c r="O877" s="28">
        <f>IF($A877="","",IF($L877&lt;=0,"",IF($N877="",IFERROR(账期止-LOOKUP(2,1/(入库单!$G$4:$G$2503=$A877),入库单!$C$4:$C$2503),""),账期止-$N877)))</f>
        <v/>
      </c>
      <c r="P877" s="17" t="n"/>
    </row>
    <row r="878">
      <c r="A878" s="17" t="n"/>
      <c r="B878" s="17" t="n"/>
      <c r="C878" s="17" t="n"/>
      <c r="D878" s="17" t="n"/>
      <c r="E878" s="17" t="n"/>
      <c r="F878" s="17" t="n"/>
      <c r="G878" s="23" t="n"/>
      <c r="H878" s="24">
        <f>IF($A878="","",IFERROR(LOOKUP(2,1/((入库单!$G$4:$G$2503=$A878)*(入库单!$Y$4:$Y$2503="正常")*(入库单!$L$4:$L$2503&gt;0)),入库单!$D$4:$D$2503),""))</f>
        <v/>
      </c>
      <c r="I878" s="25">
        <f>IF($A878="","",IFERROR(LOOKUP(2,1/((入库单!$G$4:$G$2503=$A878)*(入库单!$Y$4:$Y$2503="正常")*(入库单!$L$4:$L$2503&gt;0)),入库单!$L$4:$L$2503),0))</f>
        <v/>
      </c>
      <c r="J878" s="26">
        <f>IF($A878="","",IF($H878="A国内",ROUND($I878*倍数A*汇率,0),IF($H878="B当地",ROUND($I878*系数B,0),0)))</f>
        <v/>
      </c>
      <c r="K878" s="24">
        <f>IF($A878="","",IF(COUNTIFS(入库单!$G$4:$G$2503,$A878,入库单!$X$4:$X$2503,"待补价")&gt;0,"待补价",IF(COUNTIFS(入库单!$G$4:$G$2503,$A878,入库单!$X$4:$X$2503,"暂估")&gt;0,"暂估",IF($I878=0,"没有进价","正常"))))</f>
        <v/>
      </c>
      <c r="L878" s="27">
        <f>IF($A878="","",IFERROR(VLOOKUP($A878,库存台账!$A$5:$Y$1204,24,0),0))</f>
        <v/>
      </c>
      <c r="M878" s="26">
        <f>IF($A878="","",IFERROR(VLOOKUP($A878,库存台账!$A$5:$Y$1204,25,0),0))</f>
        <v/>
      </c>
      <c r="N878" s="19">
        <f>IF($A878="","",IFERROR(LOOKUP(2,1/((出库单!$D$4:$D$4003=$A878)*(出库单!$T$4:$T$4003="正常")),出库单!$C$4:$C$4003),""))</f>
        <v/>
      </c>
      <c r="O878" s="28">
        <f>IF($A878="","",IF($L878&lt;=0,"",IF($N878="",IFERROR(账期止-LOOKUP(2,1/(入库单!$G$4:$G$2503=$A878),入库单!$C$4:$C$2503),""),账期止-$N878)))</f>
        <v/>
      </c>
      <c r="P878" s="17" t="n"/>
    </row>
    <row r="879">
      <c r="A879" s="17" t="n"/>
      <c r="B879" s="17" t="n"/>
      <c r="C879" s="17" t="n"/>
      <c r="D879" s="17" t="n"/>
      <c r="E879" s="17" t="n"/>
      <c r="F879" s="17" t="n"/>
      <c r="G879" s="23" t="n"/>
      <c r="H879" s="24">
        <f>IF($A879="","",IFERROR(LOOKUP(2,1/((入库单!$G$4:$G$2503=$A879)*(入库单!$Y$4:$Y$2503="正常")*(入库单!$L$4:$L$2503&gt;0)),入库单!$D$4:$D$2503),""))</f>
        <v/>
      </c>
      <c r="I879" s="25">
        <f>IF($A879="","",IFERROR(LOOKUP(2,1/((入库单!$G$4:$G$2503=$A879)*(入库单!$Y$4:$Y$2503="正常")*(入库单!$L$4:$L$2503&gt;0)),入库单!$L$4:$L$2503),0))</f>
        <v/>
      </c>
      <c r="J879" s="26">
        <f>IF($A879="","",IF($H879="A国内",ROUND($I879*倍数A*汇率,0),IF($H879="B当地",ROUND($I879*系数B,0),0)))</f>
        <v/>
      </c>
      <c r="K879" s="24">
        <f>IF($A879="","",IF(COUNTIFS(入库单!$G$4:$G$2503,$A879,入库单!$X$4:$X$2503,"待补价")&gt;0,"待补价",IF(COUNTIFS(入库单!$G$4:$G$2503,$A879,入库单!$X$4:$X$2503,"暂估")&gt;0,"暂估",IF($I879=0,"没有进价","正常"))))</f>
        <v/>
      </c>
      <c r="L879" s="27">
        <f>IF($A879="","",IFERROR(VLOOKUP($A879,库存台账!$A$5:$Y$1204,24,0),0))</f>
        <v/>
      </c>
      <c r="M879" s="26">
        <f>IF($A879="","",IFERROR(VLOOKUP($A879,库存台账!$A$5:$Y$1204,25,0),0))</f>
        <v/>
      </c>
      <c r="N879" s="19">
        <f>IF($A879="","",IFERROR(LOOKUP(2,1/((出库单!$D$4:$D$4003=$A879)*(出库单!$T$4:$T$4003="正常")),出库单!$C$4:$C$4003),""))</f>
        <v/>
      </c>
      <c r="O879" s="28">
        <f>IF($A879="","",IF($L879&lt;=0,"",IF($N879="",IFERROR(账期止-LOOKUP(2,1/(入库单!$G$4:$G$2503=$A879),入库单!$C$4:$C$2503),""),账期止-$N879)))</f>
        <v/>
      </c>
      <c r="P879" s="17" t="n"/>
    </row>
    <row r="880">
      <c r="A880" s="17" t="n"/>
      <c r="B880" s="17" t="n"/>
      <c r="C880" s="17" t="n"/>
      <c r="D880" s="17" t="n"/>
      <c r="E880" s="17" t="n"/>
      <c r="F880" s="17" t="n"/>
      <c r="G880" s="23" t="n"/>
      <c r="H880" s="24">
        <f>IF($A880="","",IFERROR(LOOKUP(2,1/((入库单!$G$4:$G$2503=$A880)*(入库单!$Y$4:$Y$2503="正常")*(入库单!$L$4:$L$2503&gt;0)),入库单!$D$4:$D$2503),""))</f>
        <v/>
      </c>
      <c r="I880" s="25">
        <f>IF($A880="","",IFERROR(LOOKUP(2,1/((入库单!$G$4:$G$2503=$A880)*(入库单!$Y$4:$Y$2503="正常")*(入库单!$L$4:$L$2503&gt;0)),入库单!$L$4:$L$2503),0))</f>
        <v/>
      </c>
      <c r="J880" s="26">
        <f>IF($A880="","",IF($H880="A国内",ROUND($I880*倍数A*汇率,0),IF($H880="B当地",ROUND($I880*系数B,0),0)))</f>
        <v/>
      </c>
      <c r="K880" s="24">
        <f>IF($A880="","",IF(COUNTIFS(入库单!$G$4:$G$2503,$A880,入库单!$X$4:$X$2503,"待补价")&gt;0,"待补价",IF(COUNTIFS(入库单!$G$4:$G$2503,$A880,入库单!$X$4:$X$2503,"暂估")&gt;0,"暂估",IF($I880=0,"没有进价","正常"))))</f>
        <v/>
      </c>
      <c r="L880" s="27">
        <f>IF($A880="","",IFERROR(VLOOKUP($A880,库存台账!$A$5:$Y$1204,24,0),0))</f>
        <v/>
      </c>
      <c r="M880" s="26">
        <f>IF($A880="","",IFERROR(VLOOKUP($A880,库存台账!$A$5:$Y$1204,25,0),0))</f>
        <v/>
      </c>
      <c r="N880" s="19">
        <f>IF($A880="","",IFERROR(LOOKUP(2,1/((出库单!$D$4:$D$4003=$A880)*(出库单!$T$4:$T$4003="正常")),出库单!$C$4:$C$4003),""))</f>
        <v/>
      </c>
      <c r="O880" s="28">
        <f>IF($A880="","",IF($L880&lt;=0,"",IF($N880="",IFERROR(账期止-LOOKUP(2,1/(入库单!$G$4:$G$2503=$A880),入库单!$C$4:$C$2503),""),账期止-$N880)))</f>
        <v/>
      </c>
      <c r="P880" s="17" t="n"/>
    </row>
    <row r="881">
      <c r="A881" s="17" t="n"/>
      <c r="B881" s="17" t="n"/>
      <c r="C881" s="17" t="n"/>
      <c r="D881" s="17" t="n"/>
      <c r="E881" s="17" t="n"/>
      <c r="F881" s="17" t="n"/>
      <c r="G881" s="23" t="n"/>
      <c r="H881" s="24">
        <f>IF($A881="","",IFERROR(LOOKUP(2,1/((入库单!$G$4:$G$2503=$A881)*(入库单!$Y$4:$Y$2503="正常")*(入库单!$L$4:$L$2503&gt;0)),入库单!$D$4:$D$2503),""))</f>
        <v/>
      </c>
      <c r="I881" s="25">
        <f>IF($A881="","",IFERROR(LOOKUP(2,1/((入库单!$G$4:$G$2503=$A881)*(入库单!$Y$4:$Y$2503="正常")*(入库单!$L$4:$L$2503&gt;0)),入库单!$L$4:$L$2503),0))</f>
        <v/>
      </c>
      <c r="J881" s="26">
        <f>IF($A881="","",IF($H881="A国内",ROUND($I881*倍数A*汇率,0),IF($H881="B当地",ROUND($I881*系数B,0),0)))</f>
        <v/>
      </c>
      <c r="K881" s="24">
        <f>IF($A881="","",IF(COUNTIFS(入库单!$G$4:$G$2503,$A881,入库单!$X$4:$X$2503,"待补价")&gt;0,"待补价",IF(COUNTIFS(入库单!$G$4:$G$2503,$A881,入库单!$X$4:$X$2503,"暂估")&gt;0,"暂估",IF($I881=0,"没有进价","正常"))))</f>
        <v/>
      </c>
      <c r="L881" s="27">
        <f>IF($A881="","",IFERROR(VLOOKUP($A881,库存台账!$A$5:$Y$1204,24,0),0))</f>
        <v/>
      </c>
      <c r="M881" s="26">
        <f>IF($A881="","",IFERROR(VLOOKUP($A881,库存台账!$A$5:$Y$1204,25,0),0))</f>
        <v/>
      </c>
      <c r="N881" s="19">
        <f>IF($A881="","",IFERROR(LOOKUP(2,1/((出库单!$D$4:$D$4003=$A881)*(出库单!$T$4:$T$4003="正常")),出库单!$C$4:$C$4003),""))</f>
        <v/>
      </c>
      <c r="O881" s="28">
        <f>IF($A881="","",IF($L881&lt;=0,"",IF($N881="",IFERROR(账期止-LOOKUP(2,1/(入库单!$G$4:$G$2503=$A881),入库单!$C$4:$C$2503),""),账期止-$N881)))</f>
        <v/>
      </c>
      <c r="P881" s="17" t="n"/>
    </row>
    <row r="882">
      <c r="A882" s="17" t="n"/>
      <c r="B882" s="17" t="n"/>
      <c r="C882" s="17" t="n"/>
      <c r="D882" s="17" t="n"/>
      <c r="E882" s="17" t="n"/>
      <c r="F882" s="17" t="n"/>
      <c r="G882" s="23" t="n"/>
      <c r="H882" s="24">
        <f>IF($A882="","",IFERROR(LOOKUP(2,1/((入库单!$G$4:$G$2503=$A882)*(入库单!$Y$4:$Y$2503="正常")*(入库单!$L$4:$L$2503&gt;0)),入库单!$D$4:$D$2503),""))</f>
        <v/>
      </c>
      <c r="I882" s="25">
        <f>IF($A882="","",IFERROR(LOOKUP(2,1/((入库单!$G$4:$G$2503=$A882)*(入库单!$Y$4:$Y$2503="正常")*(入库单!$L$4:$L$2503&gt;0)),入库单!$L$4:$L$2503),0))</f>
        <v/>
      </c>
      <c r="J882" s="26">
        <f>IF($A882="","",IF($H882="A国内",ROUND($I882*倍数A*汇率,0),IF($H882="B当地",ROUND($I882*系数B,0),0)))</f>
        <v/>
      </c>
      <c r="K882" s="24">
        <f>IF($A882="","",IF(COUNTIFS(入库单!$G$4:$G$2503,$A882,入库单!$X$4:$X$2503,"待补价")&gt;0,"待补价",IF(COUNTIFS(入库单!$G$4:$G$2503,$A882,入库单!$X$4:$X$2503,"暂估")&gt;0,"暂估",IF($I882=0,"没有进价","正常"))))</f>
        <v/>
      </c>
      <c r="L882" s="27">
        <f>IF($A882="","",IFERROR(VLOOKUP($A882,库存台账!$A$5:$Y$1204,24,0),0))</f>
        <v/>
      </c>
      <c r="M882" s="26">
        <f>IF($A882="","",IFERROR(VLOOKUP($A882,库存台账!$A$5:$Y$1204,25,0),0))</f>
        <v/>
      </c>
      <c r="N882" s="19">
        <f>IF($A882="","",IFERROR(LOOKUP(2,1/((出库单!$D$4:$D$4003=$A882)*(出库单!$T$4:$T$4003="正常")),出库单!$C$4:$C$4003),""))</f>
        <v/>
      </c>
      <c r="O882" s="28">
        <f>IF($A882="","",IF($L882&lt;=0,"",IF($N882="",IFERROR(账期止-LOOKUP(2,1/(入库单!$G$4:$G$2503=$A882),入库单!$C$4:$C$2503),""),账期止-$N882)))</f>
        <v/>
      </c>
      <c r="P882" s="17" t="n"/>
    </row>
    <row r="883">
      <c r="A883" s="17" t="n"/>
      <c r="B883" s="17" t="n"/>
      <c r="C883" s="17" t="n"/>
      <c r="D883" s="17" t="n"/>
      <c r="E883" s="17" t="n"/>
      <c r="F883" s="17" t="n"/>
      <c r="G883" s="23" t="n"/>
      <c r="H883" s="24">
        <f>IF($A883="","",IFERROR(LOOKUP(2,1/((入库单!$G$4:$G$2503=$A883)*(入库单!$Y$4:$Y$2503="正常")*(入库单!$L$4:$L$2503&gt;0)),入库单!$D$4:$D$2503),""))</f>
        <v/>
      </c>
      <c r="I883" s="25">
        <f>IF($A883="","",IFERROR(LOOKUP(2,1/((入库单!$G$4:$G$2503=$A883)*(入库单!$Y$4:$Y$2503="正常")*(入库单!$L$4:$L$2503&gt;0)),入库单!$L$4:$L$2503),0))</f>
        <v/>
      </c>
      <c r="J883" s="26">
        <f>IF($A883="","",IF($H883="A国内",ROUND($I883*倍数A*汇率,0),IF($H883="B当地",ROUND($I883*系数B,0),0)))</f>
        <v/>
      </c>
      <c r="K883" s="24">
        <f>IF($A883="","",IF(COUNTIFS(入库单!$G$4:$G$2503,$A883,入库单!$X$4:$X$2503,"待补价")&gt;0,"待补价",IF(COUNTIFS(入库单!$G$4:$G$2503,$A883,入库单!$X$4:$X$2503,"暂估")&gt;0,"暂估",IF($I883=0,"没有进价","正常"))))</f>
        <v/>
      </c>
      <c r="L883" s="27">
        <f>IF($A883="","",IFERROR(VLOOKUP($A883,库存台账!$A$5:$Y$1204,24,0),0))</f>
        <v/>
      </c>
      <c r="M883" s="26">
        <f>IF($A883="","",IFERROR(VLOOKUP($A883,库存台账!$A$5:$Y$1204,25,0),0))</f>
        <v/>
      </c>
      <c r="N883" s="19">
        <f>IF($A883="","",IFERROR(LOOKUP(2,1/((出库单!$D$4:$D$4003=$A883)*(出库单!$T$4:$T$4003="正常")),出库单!$C$4:$C$4003),""))</f>
        <v/>
      </c>
      <c r="O883" s="28">
        <f>IF($A883="","",IF($L883&lt;=0,"",IF($N883="",IFERROR(账期止-LOOKUP(2,1/(入库单!$G$4:$G$2503=$A883),入库单!$C$4:$C$2503),""),账期止-$N883)))</f>
        <v/>
      </c>
      <c r="P883" s="17" t="n"/>
    </row>
    <row r="884">
      <c r="A884" s="17" t="n"/>
      <c r="B884" s="17" t="n"/>
      <c r="C884" s="17" t="n"/>
      <c r="D884" s="17" t="n"/>
      <c r="E884" s="17" t="n"/>
      <c r="F884" s="17" t="n"/>
      <c r="G884" s="23" t="n"/>
      <c r="H884" s="24">
        <f>IF($A884="","",IFERROR(LOOKUP(2,1/((入库单!$G$4:$G$2503=$A884)*(入库单!$Y$4:$Y$2503="正常")*(入库单!$L$4:$L$2503&gt;0)),入库单!$D$4:$D$2503),""))</f>
        <v/>
      </c>
      <c r="I884" s="25">
        <f>IF($A884="","",IFERROR(LOOKUP(2,1/((入库单!$G$4:$G$2503=$A884)*(入库单!$Y$4:$Y$2503="正常")*(入库单!$L$4:$L$2503&gt;0)),入库单!$L$4:$L$2503),0))</f>
        <v/>
      </c>
      <c r="J884" s="26">
        <f>IF($A884="","",IF($H884="A国内",ROUND($I884*倍数A*汇率,0),IF($H884="B当地",ROUND($I884*系数B,0),0)))</f>
        <v/>
      </c>
      <c r="K884" s="24">
        <f>IF($A884="","",IF(COUNTIFS(入库单!$G$4:$G$2503,$A884,入库单!$X$4:$X$2503,"待补价")&gt;0,"待补价",IF(COUNTIFS(入库单!$G$4:$G$2503,$A884,入库单!$X$4:$X$2503,"暂估")&gt;0,"暂估",IF($I884=0,"没有进价","正常"))))</f>
        <v/>
      </c>
      <c r="L884" s="27">
        <f>IF($A884="","",IFERROR(VLOOKUP($A884,库存台账!$A$5:$Y$1204,24,0),0))</f>
        <v/>
      </c>
      <c r="M884" s="26">
        <f>IF($A884="","",IFERROR(VLOOKUP($A884,库存台账!$A$5:$Y$1204,25,0),0))</f>
        <v/>
      </c>
      <c r="N884" s="19">
        <f>IF($A884="","",IFERROR(LOOKUP(2,1/((出库单!$D$4:$D$4003=$A884)*(出库单!$T$4:$T$4003="正常")),出库单!$C$4:$C$4003),""))</f>
        <v/>
      </c>
      <c r="O884" s="28">
        <f>IF($A884="","",IF($L884&lt;=0,"",IF($N884="",IFERROR(账期止-LOOKUP(2,1/(入库单!$G$4:$G$2503=$A884),入库单!$C$4:$C$2503),""),账期止-$N884)))</f>
        <v/>
      </c>
      <c r="P884" s="17" t="n"/>
    </row>
    <row r="885">
      <c r="A885" s="17" t="n"/>
      <c r="B885" s="17" t="n"/>
      <c r="C885" s="17" t="n"/>
      <c r="D885" s="17" t="n"/>
      <c r="E885" s="17" t="n"/>
      <c r="F885" s="17" t="n"/>
      <c r="G885" s="23" t="n"/>
      <c r="H885" s="24">
        <f>IF($A885="","",IFERROR(LOOKUP(2,1/((入库单!$G$4:$G$2503=$A885)*(入库单!$Y$4:$Y$2503="正常")*(入库单!$L$4:$L$2503&gt;0)),入库单!$D$4:$D$2503),""))</f>
        <v/>
      </c>
      <c r="I885" s="25">
        <f>IF($A885="","",IFERROR(LOOKUP(2,1/((入库单!$G$4:$G$2503=$A885)*(入库单!$Y$4:$Y$2503="正常")*(入库单!$L$4:$L$2503&gt;0)),入库单!$L$4:$L$2503),0))</f>
        <v/>
      </c>
      <c r="J885" s="26">
        <f>IF($A885="","",IF($H885="A国内",ROUND($I885*倍数A*汇率,0),IF($H885="B当地",ROUND($I885*系数B,0),0)))</f>
        <v/>
      </c>
      <c r="K885" s="24">
        <f>IF($A885="","",IF(COUNTIFS(入库单!$G$4:$G$2503,$A885,入库单!$X$4:$X$2503,"待补价")&gt;0,"待补价",IF(COUNTIFS(入库单!$G$4:$G$2503,$A885,入库单!$X$4:$X$2503,"暂估")&gt;0,"暂估",IF($I885=0,"没有进价","正常"))))</f>
        <v/>
      </c>
      <c r="L885" s="27">
        <f>IF($A885="","",IFERROR(VLOOKUP($A885,库存台账!$A$5:$Y$1204,24,0),0))</f>
        <v/>
      </c>
      <c r="M885" s="26">
        <f>IF($A885="","",IFERROR(VLOOKUP($A885,库存台账!$A$5:$Y$1204,25,0),0))</f>
        <v/>
      </c>
      <c r="N885" s="19">
        <f>IF($A885="","",IFERROR(LOOKUP(2,1/((出库单!$D$4:$D$4003=$A885)*(出库单!$T$4:$T$4003="正常")),出库单!$C$4:$C$4003),""))</f>
        <v/>
      </c>
      <c r="O885" s="28">
        <f>IF($A885="","",IF($L885&lt;=0,"",IF($N885="",IFERROR(账期止-LOOKUP(2,1/(入库单!$G$4:$G$2503=$A885),入库单!$C$4:$C$2503),""),账期止-$N885)))</f>
        <v/>
      </c>
      <c r="P885" s="17" t="n"/>
    </row>
    <row r="886">
      <c r="A886" s="17" t="n"/>
      <c r="B886" s="17" t="n"/>
      <c r="C886" s="17" t="n"/>
      <c r="D886" s="17" t="n"/>
      <c r="E886" s="17" t="n"/>
      <c r="F886" s="17" t="n"/>
      <c r="G886" s="23" t="n"/>
      <c r="H886" s="24">
        <f>IF($A886="","",IFERROR(LOOKUP(2,1/((入库单!$G$4:$G$2503=$A886)*(入库单!$Y$4:$Y$2503="正常")*(入库单!$L$4:$L$2503&gt;0)),入库单!$D$4:$D$2503),""))</f>
        <v/>
      </c>
      <c r="I886" s="25">
        <f>IF($A886="","",IFERROR(LOOKUP(2,1/((入库单!$G$4:$G$2503=$A886)*(入库单!$Y$4:$Y$2503="正常")*(入库单!$L$4:$L$2503&gt;0)),入库单!$L$4:$L$2503),0))</f>
        <v/>
      </c>
      <c r="J886" s="26">
        <f>IF($A886="","",IF($H886="A国内",ROUND($I886*倍数A*汇率,0),IF($H886="B当地",ROUND($I886*系数B,0),0)))</f>
        <v/>
      </c>
      <c r="K886" s="24">
        <f>IF($A886="","",IF(COUNTIFS(入库单!$G$4:$G$2503,$A886,入库单!$X$4:$X$2503,"待补价")&gt;0,"待补价",IF(COUNTIFS(入库单!$G$4:$G$2503,$A886,入库单!$X$4:$X$2503,"暂估")&gt;0,"暂估",IF($I886=0,"没有进价","正常"))))</f>
        <v/>
      </c>
      <c r="L886" s="27">
        <f>IF($A886="","",IFERROR(VLOOKUP($A886,库存台账!$A$5:$Y$1204,24,0),0))</f>
        <v/>
      </c>
      <c r="M886" s="26">
        <f>IF($A886="","",IFERROR(VLOOKUP($A886,库存台账!$A$5:$Y$1204,25,0),0))</f>
        <v/>
      </c>
      <c r="N886" s="19">
        <f>IF($A886="","",IFERROR(LOOKUP(2,1/((出库单!$D$4:$D$4003=$A886)*(出库单!$T$4:$T$4003="正常")),出库单!$C$4:$C$4003),""))</f>
        <v/>
      </c>
      <c r="O886" s="28">
        <f>IF($A886="","",IF($L886&lt;=0,"",IF($N886="",IFERROR(账期止-LOOKUP(2,1/(入库单!$G$4:$G$2503=$A886),入库单!$C$4:$C$2503),""),账期止-$N886)))</f>
        <v/>
      </c>
      <c r="P886" s="17" t="n"/>
    </row>
    <row r="887">
      <c r="A887" s="17" t="n"/>
      <c r="B887" s="17" t="n"/>
      <c r="C887" s="17" t="n"/>
      <c r="D887" s="17" t="n"/>
      <c r="E887" s="17" t="n"/>
      <c r="F887" s="17" t="n"/>
      <c r="G887" s="23" t="n"/>
      <c r="H887" s="24">
        <f>IF($A887="","",IFERROR(LOOKUP(2,1/((入库单!$G$4:$G$2503=$A887)*(入库单!$Y$4:$Y$2503="正常")*(入库单!$L$4:$L$2503&gt;0)),入库单!$D$4:$D$2503),""))</f>
        <v/>
      </c>
      <c r="I887" s="25">
        <f>IF($A887="","",IFERROR(LOOKUP(2,1/((入库单!$G$4:$G$2503=$A887)*(入库单!$Y$4:$Y$2503="正常")*(入库单!$L$4:$L$2503&gt;0)),入库单!$L$4:$L$2503),0))</f>
        <v/>
      </c>
      <c r="J887" s="26">
        <f>IF($A887="","",IF($H887="A国内",ROUND($I887*倍数A*汇率,0),IF($H887="B当地",ROUND($I887*系数B,0),0)))</f>
        <v/>
      </c>
      <c r="K887" s="24">
        <f>IF($A887="","",IF(COUNTIFS(入库单!$G$4:$G$2503,$A887,入库单!$X$4:$X$2503,"待补价")&gt;0,"待补价",IF(COUNTIFS(入库单!$G$4:$G$2503,$A887,入库单!$X$4:$X$2503,"暂估")&gt;0,"暂估",IF($I887=0,"没有进价","正常"))))</f>
        <v/>
      </c>
      <c r="L887" s="27">
        <f>IF($A887="","",IFERROR(VLOOKUP($A887,库存台账!$A$5:$Y$1204,24,0),0))</f>
        <v/>
      </c>
      <c r="M887" s="26">
        <f>IF($A887="","",IFERROR(VLOOKUP($A887,库存台账!$A$5:$Y$1204,25,0),0))</f>
        <v/>
      </c>
      <c r="N887" s="19">
        <f>IF($A887="","",IFERROR(LOOKUP(2,1/((出库单!$D$4:$D$4003=$A887)*(出库单!$T$4:$T$4003="正常")),出库单!$C$4:$C$4003),""))</f>
        <v/>
      </c>
      <c r="O887" s="28">
        <f>IF($A887="","",IF($L887&lt;=0,"",IF($N887="",IFERROR(账期止-LOOKUP(2,1/(入库单!$G$4:$G$2503=$A887),入库单!$C$4:$C$2503),""),账期止-$N887)))</f>
        <v/>
      </c>
      <c r="P887" s="17" t="n"/>
    </row>
    <row r="888">
      <c r="A888" s="17" t="n"/>
      <c r="B888" s="17" t="n"/>
      <c r="C888" s="17" t="n"/>
      <c r="D888" s="17" t="n"/>
      <c r="E888" s="17" t="n"/>
      <c r="F888" s="17" t="n"/>
      <c r="G888" s="23" t="n"/>
      <c r="H888" s="24">
        <f>IF($A888="","",IFERROR(LOOKUP(2,1/((入库单!$G$4:$G$2503=$A888)*(入库单!$Y$4:$Y$2503="正常")*(入库单!$L$4:$L$2503&gt;0)),入库单!$D$4:$D$2503),""))</f>
        <v/>
      </c>
      <c r="I888" s="25">
        <f>IF($A888="","",IFERROR(LOOKUP(2,1/((入库单!$G$4:$G$2503=$A888)*(入库单!$Y$4:$Y$2503="正常")*(入库单!$L$4:$L$2503&gt;0)),入库单!$L$4:$L$2503),0))</f>
        <v/>
      </c>
      <c r="J888" s="26">
        <f>IF($A888="","",IF($H888="A国内",ROUND($I888*倍数A*汇率,0),IF($H888="B当地",ROUND($I888*系数B,0),0)))</f>
        <v/>
      </c>
      <c r="K888" s="24">
        <f>IF($A888="","",IF(COUNTIFS(入库单!$G$4:$G$2503,$A888,入库单!$X$4:$X$2503,"待补价")&gt;0,"待补价",IF(COUNTIFS(入库单!$G$4:$G$2503,$A888,入库单!$X$4:$X$2503,"暂估")&gt;0,"暂估",IF($I888=0,"没有进价","正常"))))</f>
        <v/>
      </c>
      <c r="L888" s="27">
        <f>IF($A888="","",IFERROR(VLOOKUP($A888,库存台账!$A$5:$Y$1204,24,0),0))</f>
        <v/>
      </c>
      <c r="M888" s="26">
        <f>IF($A888="","",IFERROR(VLOOKUP($A888,库存台账!$A$5:$Y$1204,25,0),0))</f>
        <v/>
      </c>
      <c r="N888" s="19">
        <f>IF($A888="","",IFERROR(LOOKUP(2,1/((出库单!$D$4:$D$4003=$A888)*(出库单!$T$4:$T$4003="正常")),出库单!$C$4:$C$4003),""))</f>
        <v/>
      </c>
      <c r="O888" s="28">
        <f>IF($A888="","",IF($L888&lt;=0,"",IF($N888="",IFERROR(账期止-LOOKUP(2,1/(入库单!$G$4:$G$2503=$A888),入库单!$C$4:$C$2503),""),账期止-$N888)))</f>
        <v/>
      </c>
      <c r="P888" s="17" t="n"/>
    </row>
    <row r="889">
      <c r="A889" s="17" t="n"/>
      <c r="B889" s="17" t="n"/>
      <c r="C889" s="17" t="n"/>
      <c r="D889" s="17" t="n"/>
      <c r="E889" s="17" t="n"/>
      <c r="F889" s="17" t="n"/>
      <c r="G889" s="23" t="n"/>
      <c r="H889" s="24">
        <f>IF($A889="","",IFERROR(LOOKUP(2,1/((入库单!$G$4:$G$2503=$A889)*(入库单!$Y$4:$Y$2503="正常")*(入库单!$L$4:$L$2503&gt;0)),入库单!$D$4:$D$2503),""))</f>
        <v/>
      </c>
      <c r="I889" s="25">
        <f>IF($A889="","",IFERROR(LOOKUP(2,1/((入库单!$G$4:$G$2503=$A889)*(入库单!$Y$4:$Y$2503="正常")*(入库单!$L$4:$L$2503&gt;0)),入库单!$L$4:$L$2503),0))</f>
        <v/>
      </c>
      <c r="J889" s="26">
        <f>IF($A889="","",IF($H889="A国内",ROUND($I889*倍数A*汇率,0),IF($H889="B当地",ROUND($I889*系数B,0),0)))</f>
        <v/>
      </c>
      <c r="K889" s="24">
        <f>IF($A889="","",IF(COUNTIFS(入库单!$G$4:$G$2503,$A889,入库单!$X$4:$X$2503,"待补价")&gt;0,"待补价",IF(COUNTIFS(入库单!$G$4:$G$2503,$A889,入库单!$X$4:$X$2503,"暂估")&gt;0,"暂估",IF($I889=0,"没有进价","正常"))))</f>
        <v/>
      </c>
      <c r="L889" s="27">
        <f>IF($A889="","",IFERROR(VLOOKUP($A889,库存台账!$A$5:$Y$1204,24,0),0))</f>
        <v/>
      </c>
      <c r="M889" s="26">
        <f>IF($A889="","",IFERROR(VLOOKUP($A889,库存台账!$A$5:$Y$1204,25,0),0))</f>
        <v/>
      </c>
      <c r="N889" s="19">
        <f>IF($A889="","",IFERROR(LOOKUP(2,1/((出库单!$D$4:$D$4003=$A889)*(出库单!$T$4:$T$4003="正常")),出库单!$C$4:$C$4003),""))</f>
        <v/>
      </c>
      <c r="O889" s="28">
        <f>IF($A889="","",IF($L889&lt;=0,"",IF($N889="",IFERROR(账期止-LOOKUP(2,1/(入库单!$G$4:$G$2503=$A889),入库单!$C$4:$C$2503),""),账期止-$N889)))</f>
        <v/>
      </c>
      <c r="P889" s="17" t="n"/>
    </row>
    <row r="890">
      <c r="A890" s="17" t="n"/>
      <c r="B890" s="17" t="n"/>
      <c r="C890" s="17" t="n"/>
      <c r="D890" s="17" t="n"/>
      <c r="E890" s="17" t="n"/>
      <c r="F890" s="17" t="n"/>
      <c r="G890" s="23" t="n"/>
      <c r="H890" s="24">
        <f>IF($A890="","",IFERROR(LOOKUP(2,1/((入库单!$G$4:$G$2503=$A890)*(入库单!$Y$4:$Y$2503="正常")*(入库单!$L$4:$L$2503&gt;0)),入库单!$D$4:$D$2503),""))</f>
        <v/>
      </c>
      <c r="I890" s="25">
        <f>IF($A890="","",IFERROR(LOOKUP(2,1/((入库单!$G$4:$G$2503=$A890)*(入库单!$Y$4:$Y$2503="正常")*(入库单!$L$4:$L$2503&gt;0)),入库单!$L$4:$L$2503),0))</f>
        <v/>
      </c>
      <c r="J890" s="26">
        <f>IF($A890="","",IF($H890="A国内",ROUND($I890*倍数A*汇率,0),IF($H890="B当地",ROUND($I890*系数B,0),0)))</f>
        <v/>
      </c>
      <c r="K890" s="24">
        <f>IF($A890="","",IF(COUNTIFS(入库单!$G$4:$G$2503,$A890,入库单!$X$4:$X$2503,"待补价")&gt;0,"待补价",IF(COUNTIFS(入库单!$G$4:$G$2503,$A890,入库单!$X$4:$X$2503,"暂估")&gt;0,"暂估",IF($I890=0,"没有进价","正常"))))</f>
        <v/>
      </c>
      <c r="L890" s="27">
        <f>IF($A890="","",IFERROR(VLOOKUP($A890,库存台账!$A$5:$Y$1204,24,0),0))</f>
        <v/>
      </c>
      <c r="M890" s="26">
        <f>IF($A890="","",IFERROR(VLOOKUP($A890,库存台账!$A$5:$Y$1204,25,0),0))</f>
        <v/>
      </c>
      <c r="N890" s="19">
        <f>IF($A890="","",IFERROR(LOOKUP(2,1/((出库单!$D$4:$D$4003=$A890)*(出库单!$T$4:$T$4003="正常")),出库单!$C$4:$C$4003),""))</f>
        <v/>
      </c>
      <c r="O890" s="28">
        <f>IF($A890="","",IF($L890&lt;=0,"",IF($N890="",IFERROR(账期止-LOOKUP(2,1/(入库单!$G$4:$G$2503=$A890),入库单!$C$4:$C$2503),""),账期止-$N890)))</f>
        <v/>
      </c>
      <c r="P890" s="17" t="n"/>
    </row>
    <row r="891">
      <c r="A891" s="17" t="n"/>
      <c r="B891" s="17" t="n"/>
      <c r="C891" s="17" t="n"/>
      <c r="D891" s="17" t="n"/>
      <c r="E891" s="17" t="n"/>
      <c r="F891" s="17" t="n"/>
      <c r="G891" s="23" t="n"/>
      <c r="H891" s="24">
        <f>IF($A891="","",IFERROR(LOOKUP(2,1/((入库单!$G$4:$G$2503=$A891)*(入库单!$Y$4:$Y$2503="正常")*(入库单!$L$4:$L$2503&gt;0)),入库单!$D$4:$D$2503),""))</f>
        <v/>
      </c>
      <c r="I891" s="25">
        <f>IF($A891="","",IFERROR(LOOKUP(2,1/((入库单!$G$4:$G$2503=$A891)*(入库单!$Y$4:$Y$2503="正常")*(入库单!$L$4:$L$2503&gt;0)),入库单!$L$4:$L$2503),0))</f>
        <v/>
      </c>
      <c r="J891" s="26">
        <f>IF($A891="","",IF($H891="A国内",ROUND($I891*倍数A*汇率,0),IF($H891="B当地",ROUND($I891*系数B,0),0)))</f>
        <v/>
      </c>
      <c r="K891" s="24">
        <f>IF($A891="","",IF(COUNTIFS(入库单!$G$4:$G$2503,$A891,入库单!$X$4:$X$2503,"待补价")&gt;0,"待补价",IF(COUNTIFS(入库单!$G$4:$G$2503,$A891,入库单!$X$4:$X$2503,"暂估")&gt;0,"暂估",IF($I891=0,"没有进价","正常"))))</f>
        <v/>
      </c>
      <c r="L891" s="27">
        <f>IF($A891="","",IFERROR(VLOOKUP($A891,库存台账!$A$5:$Y$1204,24,0),0))</f>
        <v/>
      </c>
      <c r="M891" s="26">
        <f>IF($A891="","",IFERROR(VLOOKUP($A891,库存台账!$A$5:$Y$1204,25,0),0))</f>
        <v/>
      </c>
      <c r="N891" s="19">
        <f>IF($A891="","",IFERROR(LOOKUP(2,1/((出库单!$D$4:$D$4003=$A891)*(出库单!$T$4:$T$4003="正常")),出库单!$C$4:$C$4003),""))</f>
        <v/>
      </c>
      <c r="O891" s="28">
        <f>IF($A891="","",IF($L891&lt;=0,"",IF($N891="",IFERROR(账期止-LOOKUP(2,1/(入库单!$G$4:$G$2503=$A891),入库单!$C$4:$C$2503),""),账期止-$N891)))</f>
        <v/>
      </c>
      <c r="P891" s="17" t="n"/>
    </row>
    <row r="892">
      <c r="A892" s="17" t="n"/>
      <c r="B892" s="17" t="n"/>
      <c r="C892" s="17" t="n"/>
      <c r="D892" s="17" t="n"/>
      <c r="E892" s="17" t="n"/>
      <c r="F892" s="17" t="n"/>
      <c r="G892" s="23" t="n"/>
      <c r="H892" s="24">
        <f>IF($A892="","",IFERROR(LOOKUP(2,1/((入库单!$G$4:$G$2503=$A892)*(入库单!$Y$4:$Y$2503="正常")*(入库单!$L$4:$L$2503&gt;0)),入库单!$D$4:$D$2503),""))</f>
        <v/>
      </c>
      <c r="I892" s="25">
        <f>IF($A892="","",IFERROR(LOOKUP(2,1/((入库单!$G$4:$G$2503=$A892)*(入库单!$Y$4:$Y$2503="正常")*(入库单!$L$4:$L$2503&gt;0)),入库单!$L$4:$L$2503),0))</f>
        <v/>
      </c>
      <c r="J892" s="26">
        <f>IF($A892="","",IF($H892="A国内",ROUND($I892*倍数A*汇率,0),IF($H892="B当地",ROUND($I892*系数B,0),0)))</f>
        <v/>
      </c>
      <c r="K892" s="24">
        <f>IF($A892="","",IF(COUNTIFS(入库单!$G$4:$G$2503,$A892,入库单!$X$4:$X$2503,"待补价")&gt;0,"待补价",IF(COUNTIFS(入库单!$G$4:$G$2503,$A892,入库单!$X$4:$X$2503,"暂估")&gt;0,"暂估",IF($I892=0,"没有进价","正常"))))</f>
        <v/>
      </c>
      <c r="L892" s="27">
        <f>IF($A892="","",IFERROR(VLOOKUP($A892,库存台账!$A$5:$Y$1204,24,0),0))</f>
        <v/>
      </c>
      <c r="M892" s="26">
        <f>IF($A892="","",IFERROR(VLOOKUP($A892,库存台账!$A$5:$Y$1204,25,0),0))</f>
        <v/>
      </c>
      <c r="N892" s="19">
        <f>IF($A892="","",IFERROR(LOOKUP(2,1/((出库单!$D$4:$D$4003=$A892)*(出库单!$T$4:$T$4003="正常")),出库单!$C$4:$C$4003),""))</f>
        <v/>
      </c>
      <c r="O892" s="28">
        <f>IF($A892="","",IF($L892&lt;=0,"",IF($N892="",IFERROR(账期止-LOOKUP(2,1/(入库单!$G$4:$G$2503=$A892),入库单!$C$4:$C$2503),""),账期止-$N892)))</f>
        <v/>
      </c>
      <c r="P892" s="17" t="n"/>
    </row>
    <row r="893">
      <c r="A893" s="17" t="n"/>
      <c r="B893" s="17" t="n"/>
      <c r="C893" s="17" t="n"/>
      <c r="D893" s="17" t="n"/>
      <c r="E893" s="17" t="n"/>
      <c r="F893" s="17" t="n"/>
      <c r="G893" s="23" t="n"/>
      <c r="H893" s="24">
        <f>IF($A893="","",IFERROR(LOOKUP(2,1/((入库单!$G$4:$G$2503=$A893)*(入库单!$Y$4:$Y$2503="正常")*(入库单!$L$4:$L$2503&gt;0)),入库单!$D$4:$D$2503),""))</f>
        <v/>
      </c>
      <c r="I893" s="25">
        <f>IF($A893="","",IFERROR(LOOKUP(2,1/((入库单!$G$4:$G$2503=$A893)*(入库单!$Y$4:$Y$2503="正常")*(入库单!$L$4:$L$2503&gt;0)),入库单!$L$4:$L$2503),0))</f>
        <v/>
      </c>
      <c r="J893" s="26">
        <f>IF($A893="","",IF($H893="A国内",ROUND($I893*倍数A*汇率,0),IF($H893="B当地",ROUND($I893*系数B,0),0)))</f>
        <v/>
      </c>
      <c r="K893" s="24">
        <f>IF($A893="","",IF(COUNTIFS(入库单!$G$4:$G$2503,$A893,入库单!$X$4:$X$2503,"待补价")&gt;0,"待补价",IF(COUNTIFS(入库单!$G$4:$G$2503,$A893,入库单!$X$4:$X$2503,"暂估")&gt;0,"暂估",IF($I893=0,"没有进价","正常"))))</f>
        <v/>
      </c>
      <c r="L893" s="27">
        <f>IF($A893="","",IFERROR(VLOOKUP($A893,库存台账!$A$5:$Y$1204,24,0),0))</f>
        <v/>
      </c>
      <c r="M893" s="26">
        <f>IF($A893="","",IFERROR(VLOOKUP($A893,库存台账!$A$5:$Y$1204,25,0),0))</f>
        <v/>
      </c>
      <c r="N893" s="19">
        <f>IF($A893="","",IFERROR(LOOKUP(2,1/((出库单!$D$4:$D$4003=$A893)*(出库单!$T$4:$T$4003="正常")),出库单!$C$4:$C$4003),""))</f>
        <v/>
      </c>
      <c r="O893" s="28">
        <f>IF($A893="","",IF($L893&lt;=0,"",IF($N893="",IFERROR(账期止-LOOKUP(2,1/(入库单!$G$4:$G$2503=$A893),入库单!$C$4:$C$2503),""),账期止-$N893)))</f>
        <v/>
      </c>
      <c r="P893" s="17" t="n"/>
    </row>
    <row r="894">
      <c r="A894" s="17" t="n"/>
      <c r="B894" s="17" t="n"/>
      <c r="C894" s="17" t="n"/>
      <c r="D894" s="17" t="n"/>
      <c r="E894" s="17" t="n"/>
      <c r="F894" s="17" t="n"/>
      <c r="G894" s="23" t="n"/>
      <c r="H894" s="24">
        <f>IF($A894="","",IFERROR(LOOKUP(2,1/((入库单!$G$4:$G$2503=$A894)*(入库单!$Y$4:$Y$2503="正常")*(入库单!$L$4:$L$2503&gt;0)),入库单!$D$4:$D$2503),""))</f>
        <v/>
      </c>
      <c r="I894" s="25">
        <f>IF($A894="","",IFERROR(LOOKUP(2,1/((入库单!$G$4:$G$2503=$A894)*(入库单!$Y$4:$Y$2503="正常")*(入库单!$L$4:$L$2503&gt;0)),入库单!$L$4:$L$2503),0))</f>
        <v/>
      </c>
      <c r="J894" s="26">
        <f>IF($A894="","",IF($H894="A国内",ROUND($I894*倍数A*汇率,0),IF($H894="B当地",ROUND($I894*系数B,0),0)))</f>
        <v/>
      </c>
      <c r="K894" s="24">
        <f>IF($A894="","",IF(COUNTIFS(入库单!$G$4:$G$2503,$A894,入库单!$X$4:$X$2503,"待补价")&gt;0,"待补价",IF(COUNTIFS(入库单!$G$4:$G$2503,$A894,入库单!$X$4:$X$2503,"暂估")&gt;0,"暂估",IF($I894=0,"没有进价","正常"))))</f>
        <v/>
      </c>
      <c r="L894" s="27">
        <f>IF($A894="","",IFERROR(VLOOKUP($A894,库存台账!$A$5:$Y$1204,24,0),0))</f>
        <v/>
      </c>
      <c r="M894" s="26">
        <f>IF($A894="","",IFERROR(VLOOKUP($A894,库存台账!$A$5:$Y$1204,25,0),0))</f>
        <v/>
      </c>
      <c r="N894" s="19">
        <f>IF($A894="","",IFERROR(LOOKUP(2,1/((出库单!$D$4:$D$4003=$A894)*(出库单!$T$4:$T$4003="正常")),出库单!$C$4:$C$4003),""))</f>
        <v/>
      </c>
      <c r="O894" s="28">
        <f>IF($A894="","",IF($L894&lt;=0,"",IF($N894="",IFERROR(账期止-LOOKUP(2,1/(入库单!$G$4:$G$2503=$A894),入库单!$C$4:$C$2503),""),账期止-$N894)))</f>
        <v/>
      </c>
      <c r="P894" s="17" t="n"/>
    </row>
    <row r="895">
      <c r="A895" s="17" t="n"/>
      <c r="B895" s="17" t="n"/>
      <c r="C895" s="17" t="n"/>
      <c r="D895" s="17" t="n"/>
      <c r="E895" s="17" t="n"/>
      <c r="F895" s="17" t="n"/>
      <c r="G895" s="23" t="n"/>
      <c r="H895" s="24">
        <f>IF($A895="","",IFERROR(LOOKUP(2,1/((入库单!$G$4:$G$2503=$A895)*(入库单!$Y$4:$Y$2503="正常")*(入库单!$L$4:$L$2503&gt;0)),入库单!$D$4:$D$2503),""))</f>
        <v/>
      </c>
      <c r="I895" s="25">
        <f>IF($A895="","",IFERROR(LOOKUP(2,1/((入库单!$G$4:$G$2503=$A895)*(入库单!$Y$4:$Y$2503="正常")*(入库单!$L$4:$L$2503&gt;0)),入库单!$L$4:$L$2503),0))</f>
        <v/>
      </c>
      <c r="J895" s="26">
        <f>IF($A895="","",IF($H895="A国内",ROUND($I895*倍数A*汇率,0),IF($H895="B当地",ROUND($I895*系数B,0),0)))</f>
        <v/>
      </c>
      <c r="K895" s="24">
        <f>IF($A895="","",IF(COUNTIFS(入库单!$G$4:$G$2503,$A895,入库单!$X$4:$X$2503,"待补价")&gt;0,"待补价",IF(COUNTIFS(入库单!$G$4:$G$2503,$A895,入库单!$X$4:$X$2503,"暂估")&gt;0,"暂估",IF($I895=0,"没有进价","正常"))))</f>
        <v/>
      </c>
      <c r="L895" s="27">
        <f>IF($A895="","",IFERROR(VLOOKUP($A895,库存台账!$A$5:$Y$1204,24,0),0))</f>
        <v/>
      </c>
      <c r="M895" s="26">
        <f>IF($A895="","",IFERROR(VLOOKUP($A895,库存台账!$A$5:$Y$1204,25,0),0))</f>
        <v/>
      </c>
      <c r="N895" s="19">
        <f>IF($A895="","",IFERROR(LOOKUP(2,1/((出库单!$D$4:$D$4003=$A895)*(出库单!$T$4:$T$4003="正常")),出库单!$C$4:$C$4003),""))</f>
        <v/>
      </c>
      <c r="O895" s="28">
        <f>IF($A895="","",IF($L895&lt;=0,"",IF($N895="",IFERROR(账期止-LOOKUP(2,1/(入库单!$G$4:$G$2503=$A895),入库单!$C$4:$C$2503),""),账期止-$N895)))</f>
        <v/>
      </c>
      <c r="P895" s="17" t="n"/>
    </row>
    <row r="896">
      <c r="A896" s="17" t="n"/>
      <c r="B896" s="17" t="n"/>
      <c r="C896" s="17" t="n"/>
      <c r="D896" s="17" t="n"/>
      <c r="E896" s="17" t="n"/>
      <c r="F896" s="17" t="n"/>
      <c r="G896" s="23" t="n"/>
      <c r="H896" s="24">
        <f>IF($A896="","",IFERROR(LOOKUP(2,1/((入库单!$G$4:$G$2503=$A896)*(入库单!$Y$4:$Y$2503="正常")*(入库单!$L$4:$L$2503&gt;0)),入库单!$D$4:$D$2503),""))</f>
        <v/>
      </c>
      <c r="I896" s="25">
        <f>IF($A896="","",IFERROR(LOOKUP(2,1/((入库单!$G$4:$G$2503=$A896)*(入库单!$Y$4:$Y$2503="正常")*(入库单!$L$4:$L$2503&gt;0)),入库单!$L$4:$L$2503),0))</f>
        <v/>
      </c>
      <c r="J896" s="26">
        <f>IF($A896="","",IF($H896="A国内",ROUND($I896*倍数A*汇率,0),IF($H896="B当地",ROUND($I896*系数B,0),0)))</f>
        <v/>
      </c>
      <c r="K896" s="24">
        <f>IF($A896="","",IF(COUNTIFS(入库单!$G$4:$G$2503,$A896,入库单!$X$4:$X$2503,"待补价")&gt;0,"待补价",IF(COUNTIFS(入库单!$G$4:$G$2503,$A896,入库单!$X$4:$X$2503,"暂估")&gt;0,"暂估",IF($I896=0,"没有进价","正常"))))</f>
        <v/>
      </c>
      <c r="L896" s="27">
        <f>IF($A896="","",IFERROR(VLOOKUP($A896,库存台账!$A$5:$Y$1204,24,0),0))</f>
        <v/>
      </c>
      <c r="M896" s="26">
        <f>IF($A896="","",IFERROR(VLOOKUP($A896,库存台账!$A$5:$Y$1204,25,0),0))</f>
        <v/>
      </c>
      <c r="N896" s="19">
        <f>IF($A896="","",IFERROR(LOOKUP(2,1/((出库单!$D$4:$D$4003=$A896)*(出库单!$T$4:$T$4003="正常")),出库单!$C$4:$C$4003),""))</f>
        <v/>
      </c>
      <c r="O896" s="28">
        <f>IF($A896="","",IF($L896&lt;=0,"",IF($N896="",IFERROR(账期止-LOOKUP(2,1/(入库单!$G$4:$G$2503=$A896),入库单!$C$4:$C$2503),""),账期止-$N896)))</f>
        <v/>
      </c>
      <c r="P896" s="17" t="n"/>
    </row>
    <row r="897">
      <c r="A897" s="17" t="n"/>
      <c r="B897" s="17" t="n"/>
      <c r="C897" s="17" t="n"/>
      <c r="D897" s="17" t="n"/>
      <c r="E897" s="17" t="n"/>
      <c r="F897" s="17" t="n"/>
      <c r="G897" s="23" t="n"/>
      <c r="H897" s="24">
        <f>IF($A897="","",IFERROR(LOOKUP(2,1/((入库单!$G$4:$G$2503=$A897)*(入库单!$Y$4:$Y$2503="正常")*(入库单!$L$4:$L$2503&gt;0)),入库单!$D$4:$D$2503),""))</f>
        <v/>
      </c>
      <c r="I897" s="25">
        <f>IF($A897="","",IFERROR(LOOKUP(2,1/((入库单!$G$4:$G$2503=$A897)*(入库单!$Y$4:$Y$2503="正常")*(入库单!$L$4:$L$2503&gt;0)),入库单!$L$4:$L$2503),0))</f>
        <v/>
      </c>
      <c r="J897" s="26">
        <f>IF($A897="","",IF($H897="A国内",ROUND($I897*倍数A*汇率,0),IF($H897="B当地",ROUND($I897*系数B,0),0)))</f>
        <v/>
      </c>
      <c r="K897" s="24">
        <f>IF($A897="","",IF(COUNTIFS(入库单!$G$4:$G$2503,$A897,入库单!$X$4:$X$2503,"待补价")&gt;0,"待补价",IF(COUNTIFS(入库单!$G$4:$G$2503,$A897,入库单!$X$4:$X$2503,"暂估")&gt;0,"暂估",IF($I897=0,"没有进价","正常"))))</f>
        <v/>
      </c>
      <c r="L897" s="27">
        <f>IF($A897="","",IFERROR(VLOOKUP($A897,库存台账!$A$5:$Y$1204,24,0),0))</f>
        <v/>
      </c>
      <c r="M897" s="26">
        <f>IF($A897="","",IFERROR(VLOOKUP($A897,库存台账!$A$5:$Y$1204,25,0),0))</f>
        <v/>
      </c>
      <c r="N897" s="19">
        <f>IF($A897="","",IFERROR(LOOKUP(2,1/((出库单!$D$4:$D$4003=$A897)*(出库单!$T$4:$T$4003="正常")),出库单!$C$4:$C$4003),""))</f>
        <v/>
      </c>
      <c r="O897" s="28">
        <f>IF($A897="","",IF($L897&lt;=0,"",IF($N897="",IFERROR(账期止-LOOKUP(2,1/(入库单!$G$4:$G$2503=$A897),入库单!$C$4:$C$2503),""),账期止-$N897)))</f>
        <v/>
      </c>
      <c r="P897" s="17" t="n"/>
    </row>
    <row r="898">
      <c r="A898" s="17" t="n"/>
      <c r="B898" s="17" t="n"/>
      <c r="C898" s="17" t="n"/>
      <c r="D898" s="17" t="n"/>
      <c r="E898" s="17" t="n"/>
      <c r="F898" s="17" t="n"/>
      <c r="G898" s="23" t="n"/>
      <c r="H898" s="24">
        <f>IF($A898="","",IFERROR(LOOKUP(2,1/((入库单!$G$4:$G$2503=$A898)*(入库单!$Y$4:$Y$2503="正常")*(入库单!$L$4:$L$2503&gt;0)),入库单!$D$4:$D$2503),""))</f>
        <v/>
      </c>
      <c r="I898" s="25">
        <f>IF($A898="","",IFERROR(LOOKUP(2,1/((入库单!$G$4:$G$2503=$A898)*(入库单!$Y$4:$Y$2503="正常")*(入库单!$L$4:$L$2503&gt;0)),入库单!$L$4:$L$2503),0))</f>
        <v/>
      </c>
      <c r="J898" s="26">
        <f>IF($A898="","",IF($H898="A国内",ROUND($I898*倍数A*汇率,0),IF($H898="B当地",ROUND($I898*系数B,0),0)))</f>
        <v/>
      </c>
      <c r="K898" s="24">
        <f>IF($A898="","",IF(COUNTIFS(入库单!$G$4:$G$2503,$A898,入库单!$X$4:$X$2503,"待补价")&gt;0,"待补价",IF(COUNTIFS(入库单!$G$4:$G$2503,$A898,入库单!$X$4:$X$2503,"暂估")&gt;0,"暂估",IF($I898=0,"没有进价","正常"))))</f>
        <v/>
      </c>
      <c r="L898" s="27">
        <f>IF($A898="","",IFERROR(VLOOKUP($A898,库存台账!$A$5:$Y$1204,24,0),0))</f>
        <v/>
      </c>
      <c r="M898" s="26">
        <f>IF($A898="","",IFERROR(VLOOKUP($A898,库存台账!$A$5:$Y$1204,25,0),0))</f>
        <v/>
      </c>
      <c r="N898" s="19">
        <f>IF($A898="","",IFERROR(LOOKUP(2,1/((出库单!$D$4:$D$4003=$A898)*(出库单!$T$4:$T$4003="正常")),出库单!$C$4:$C$4003),""))</f>
        <v/>
      </c>
      <c r="O898" s="28">
        <f>IF($A898="","",IF($L898&lt;=0,"",IF($N898="",IFERROR(账期止-LOOKUP(2,1/(入库单!$G$4:$G$2503=$A898),入库单!$C$4:$C$2503),""),账期止-$N898)))</f>
        <v/>
      </c>
      <c r="P898" s="17" t="n"/>
    </row>
    <row r="899">
      <c r="A899" s="17" t="n"/>
      <c r="B899" s="17" t="n"/>
      <c r="C899" s="17" t="n"/>
      <c r="D899" s="17" t="n"/>
      <c r="E899" s="17" t="n"/>
      <c r="F899" s="17" t="n"/>
      <c r="G899" s="23" t="n"/>
      <c r="H899" s="24">
        <f>IF($A899="","",IFERROR(LOOKUP(2,1/((入库单!$G$4:$G$2503=$A899)*(入库单!$Y$4:$Y$2503="正常")*(入库单!$L$4:$L$2503&gt;0)),入库单!$D$4:$D$2503),""))</f>
        <v/>
      </c>
      <c r="I899" s="25">
        <f>IF($A899="","",IFERROR(LOOKUP(2,1/((入库单!$G$4:$G$2503=$A899)*(入库单!$Y$4:$Y$2503="正常")*(入库单!$L$4:$L$2503&gt;0)),入库单!$L$4:$L$2503),0))</f>
        <v/>
      </c>
      <c r="J899" s="26">
        <f>IF($A899="","",IF($H899="A国内",ROUND($I899*倍数A*汇率,0),IF($H899="B当地",ROUND($I899*系数B,0),0)))</f>
        <v/>
      </c>
      <c r="K899" s="24">
        <f>IF($A899="","",IF(COUNTIFS(入库单!$G$4:$G$2503,$A899,入库单!$X$4:$X$2503,"待补价")&gt;0,"待补价",IF(COUNTIFS(入库单!$G$4:$G$2503,$A899,入库单!$X$4:$X$2503,"暂估")&gt;0,"暂估",IF($I899=0,"没有进价","正常"))))</f>
        <v/>
      </c>
      <c r="L899" s="27">
        <f>IF($A899="","",IFERROR(VLOOKUP($A899,库存台账!$A$5:$Y$1204,24,0),0))</f>
        <v/>
      </c>
      <c r="M899" s="26">
        <f>IF($A899="","",IFERROR(VLOOKUP($A899,库存台账!$A$5:$Y$1204,25,0),0))</f>
        <v/>
      </c>
      <c r="N899" s="19">
        <f>IF($A899="","",IFERROR(LOOKUP(2,1/((出库单!$D$4:$D$4003=$A899)*(出库单!$T$4:$T$4003="正常")),出库单!$C$4:$C$4003),""))</f>
        <v/>
      </c>
      <c r="O899" s="28">
        <f>IF($A899="","",IF($L899&lt;=0,"",IF($N899="",IFERROR(账期止-LOOKUP(2,1/(入库单!$G$4:$G$2503=$A899),入库单!$C$4:$C$2503),""),账期止-$N899)))</f>
        <v/>
      </c>
      <c r="P899" s="17" t="n"/>
    </row>
    <row r="900">
      <c r="A900" s="17" t="n"/>
      <c r="B900" s="17" t="n"/>
      <c r="C900" s="17" t="n"/>
      <c r="D900" s="17" t="n"/>
      <c r="E900" s="17" t="n"/>
      <c r="F900" s="17" t="n"/>
      <c r="G900" s="23" t="n"/>
      <c r="H900" s="24">
        <f>IF($A900="","",IFERROR(LOOKUP(2,1/((入库单!$G$4:$G$2503=$A900)*(入库单!$Y$4:$Y$2503="正常")*(入库单!$L$4:$L$2503&gt;0)),入库单!$D$4:$D$2503),""))</f>
        <v/>
      </c>
      <c r="I900" s="25">
        <f>IF($A900="","",IFERROR(LOOKUP(2,1/((入库单!$G$4:$G$2503=$A900)*(入库单!$Y$4:$Y$2503="正常")*(入库单!$L$4:$L$2503&gt;0)),入库单!$L$4:$L$2503),0))</f>
        <v/>
      </c>
      <c r="J900" s="26">
        <f>IF($A900="","",IF($H900="A国内",ROUND($I900*倍数A*汇率,0),IF($H900="B当地",ROUND($I900*系数B,0),0)))</f>
        <v/>
      </c>
      <c r="K900" s="24">
        <f>IF($A900="","",IF(COUNTIFS(入库单!$G$4:$G$2503,$A900,入库单!$X$4:$X$2503,"待补价")&gt;0,"待补价",IF(COUNTIFS(入库单!$G$4:$G$2503,$A900,入库单!$X$4:$X$2503,"暂估")&gt;0,"暂估",IF($I900=0,"没有进价","正常"))))</f>
        <v/>
      </c>
      <c r="L900" s="27">
        <f>IF($A900="","",IFERROR(VLOOKUP($A900,库存台账!$A$5:$Y$1204,24,0),0))</f>
        <v/>
      </c>
      <c r="M900" s="26">
        <f>IF($A900="","",IFERROR(VLOOKUP($A900,库存台账!$A$5:$Y$1204,25,0),0))</f>
        <v/>
      </c>
      <c r="N900" s="19">
        <f>IF($A900="","",IFERROR(LOOKUP(2,1/((出库单!$D$4:$D$4003=$A900)*(出库单!$T$4:$T$4003="正常")),出库单!$C$4:$C$4003),""))</f>
        <v/>
      </c>
      <c r="O900" s="28">
        <f>IF($A900="","",IF($L900&lt;=0,"",IF($N900="",IFERROR(账期止-LOOKUP(2,1/(入库单!$G$4:$G$2503=$A900),入库单!$C$4:$C$2503),""),账期止-$N900)))</f>
        <v/>
      </c>
      <c r="P900" s="17" t="n"/>
    </row>
    <row r="901">
      <c r="A901" s="17" t="n"/>
      <c r="B901" s="17" t="n"/>
      <c r="C901" s="17" t="n"/>
      <c r="D901" s="17" t="n"/>
      <c r="E901" s="17" t="n"/>
      <c r="F901" s="17" t="n"/>
      <c r="G901" s="23" t="n"/>
      <c r="H901" s="24">
        <f>IF($A901="","",IFERROR(LOOKUP(2,1/((入库单!$G$4:$G$2503=$A901)*(入库单!$Y$4:$Y$2503="正常")*(入库单!$L$4:$L$2503&gt;0)),入库单!$D$4:$D$2503),""))</f>
        <v/>
      </c>
      <c r="I901" s="25">
        <f>IF($A901="","",IFERROR(LOOKUP(2,1/((入库单!$G$4:$G$2503=$A901)*(入库单!$Y$4:$Y$2503="正常")*(入库单!$L$4:$L$2503&gt;0)),入库单!$L$4:$L$2503),0))</f>
        <v/>
      </c>
      <c r="J901" s="26">
        <f>IF($A901="","",IF($H901="A国内",ROUND($I901*倍数A*汇率,0),IF($H901="B当地",ROUND($I901*系数B,0),0)))</f>
        <v/>
      </c>
      <c r="K901" s="24">
        <f>IF($A901="","",IF(COUNTIFS(入库单!$G$4:$G$2503,$A901,入库单!$X$4:$X$2503,"待补价")&gt;0,"待补价",IF(COUNTIFS(入库单!$G$4:$G$2503,$A901,入库单!$X$4:$X$2503,"暂估")&gt;0,"暂估",IF($I901=0,"没有进价","正常"))))</f>
        <v/>
      </c>
      <c r="L901" s="27">
        <f>IF($A901="","",IFERROR(VLOOKUP($A901,库存台账!$A$5:$Y$1204,24,0),0))</f>
        <v/>
      </c>
      <c r="M901" s="26">
        <f>IF($A901="","",IFERROR(VLOOKUP($A901,库存台账!$A$5:$Y$1204,25,0),0))</f>
        <v/>
      </c>
      <c r="N901" s="19">
        <f>IF($A901="","",IFERROR(LOOKUP(2,1/((出库单!$D$4:$D$4003=$A901)*(出库单!$T$4:$T$4003="正常")),出库单!$C$4:$C$4003),""))</f>
        <v/>
      </c>
      <c r="O901" s="28">
        <f>IF($A901="","",IF($L901&lt;=0,"",IF($N901="",IFERROR(账期止-LOOKUP(2,1/(入库单!$G$4:$G$2503=$A901),入库单!$C$4:$C$2503),""),账期止-$N901)))</f>
        <v/>
      </c>
      <c r="P901" s="17" t="n"/>
    </row>
    <row r="902">
      <c r="A902" s="17" t="n"/>
      <c r="B902" s="17" t="n"/>
      <c r="C902" s="17" t="n"/>
      <c r="D902" s="17" t="n"/>
      <c r="E902" s="17" t="n"/>
      <c r="F902" s="17" t="n"/>
      <c r="G902" s="23" t="n"/>
      <c r="H902" s="24">
        <f>IF($A902="","",IFERROR(LOOKUP(2,1/((入库单!$G$4:$G$2503=$A902)*(入库单!$Y$4:$Y$2503="正常")*(入库单!$L$4:$L$2503&gt;0)),入库单!$D$4:$D$2503),""))</f>
        <v/>
      </c>
      <c r="I902" s="25">
        <f>IF($A902="","",IFERROR(LOOKUP(2,1/((入库单!$G$4:$G$2503=$A902)*(入库单!$Y$4:$Y$2503="正常")*(入库单!$L$4:$L$2503&gt;0)),入库单!$L$4:$L$2503),0))</f>
        <v/>
      </c>
      <c r="J902" s="26">
        <f>IF($A902="","",IF($H902="A国内",ROUND($I902*倍数A*汇率,0),IF($H902="B当地",ROUND($I902*系数B,0),0)))</f>
        <v/>
      </c>
      <c r="K902" s="24">
        <f>IF($A902="","",IF(COUNTIFS(入库单!$G$4:$G$2503,$A902,入库单!$X$4:$X$2503,"待补价")&gt;0,"待补价",IF(COUNTIFS(入库单!$G$4:$G$2503,$A902,入库单!$X$4:$X$2503,"暂估")&gt;0,"暂估",IF($I902=0,"没有进价","正常"))))</f>
        <v/>
      </c>
      <c r="L902" s="27">
        <f>IF($A902="","",IFERROR(VLOOKUP($A902,库存台账!$A$5:$Y$1204,24,0),0))</f>
        <v/>
      </c>
      <c r="M902" s="26">
        <f>IF($A902="","",IFERROR(VLOOKUP($A902,库存台账!$A$5:$Y$1204,25,0),0))</f>
        <v/>
      </c>
      <c r="N902" s="19">
        <f>IF($A902="","",IFERROR(LOOKUP(2,1/((出库单!$D$4:$D$4003=$A902)*(出库单!$T$4:$T$4003="正常")),出库单!$C$4:$C$4003),""))</f>
        <v/>
      </c>
      <c r="O902" s="28">
        <f>IF($A902="","",IF($L902&lt;=0,"",IF($N902="",IFERROR(账期止-LOOKUP(2,1/(入库单!$G$4:$G$2503=$A902),入库单!$C$4:$C$2503),""),账期止-$N902)))</f>
        <v/>
      </c>
      <c r="P902" s="17" t="n"/>
    </row>
    <row r="903">
      <c r="A903" s="17" t="n"/>
      <c r="B903" s="17" t="n"/>
      <c r="C903" s="17" t="n"/>
      <c r="D903" s="17" t="n"/>
      <c r="E903" s="17" t="n"/>
      <c r="F903" s="17" t="n"/>
      <c r="G903" s="23" t="n"/>
      <c r="H903" s="24">
        <f>IF($A903="","",IFERROR(LOOKUP(2,1/((入库单!$G$4:$G$2503=$A903)*(入库单!$Y$4:$Y$2503="正常")*(入库单!$L$4:$L$2503&gt;0)),入库单!$D$4:$D$2503),""))</f>
        <v/>
      </c>
      <c r="I903" s="25">
        <f>IF($A903="","",IFERROR(LOOKUP(2,1/((入库单!$G$4:$G$2503=$A903)*(入库单!$Y$4:$Y$2503="正常")*(入库单!$L$4:$L$2503&gt;0)),入库单!$L$4:$L$2503),0))</f>
        <v/>
      </c>
      <c r="J903" s="26">
        <f>IF($A903="","",IF($H903="A国内",ROUND($I903*倍数A*汇率,0),IF($H903="B当地",ROUND($I903*系数B,0),0)))</f>
        <v/>
      </c>
      <c r="K903" s="24">
        <f>IF($A903="","",IF(COUNTIFS(入库单!$G$4:$G$2503,$A903,入库单!$X$4:$X$2503,"待补价")&gt;0,"待补价",IF(COUNTIFS(入库单!$G$4:$G$2503,$A903,入库单!$X$4:$X$2503,"暂估")&gt;0,"暂估",IF($I903=0,"没有进价","正常"))))</f>
        <v/>
      </c>
      <c r="L903" s="27">
        <f>IF($A903="","",IFERROR(VLOOKUP($A903,库存台账!$A$5:$Y$1204,24,0),0))</f>
        <v/>
      </c>
      <c r="M903" s="26">
        <f>IF($A903="","",IFERROR(VLOOKUP($A903,库存台账!$A$5:$Y$1204,25,0),0))</f>
        <v/>
      </c>
      <c r="N903" s="19">
        <f>IF($A903="","",IFERROR(LOOKUP(2,1/((出库单!$D$4:$D$4003=$A903)*(出库单!$T$4:$T$4003="正常")),出库单!$C$4:$C$4003),""))</f>
        <v/>
      </c>
      <c r="O903" s="28">
        <f>IF($A903="","",IF($L903&lt;=0,"",IF($N903="",IFERROR(账期止-LOOKUP(2,1/(入库单!$G$4:$G$2503=$A903),入库单!$C$4:$C$2503),""),账期止-$N903)))</f>
        <v/>
      </c>
      <c r="P903" s="17" t="n"/>
    </row>
    <row r="904">
      <c r="A904" s="17" t="n"/>
      <c r="B904" s="17" t="n"/>
      <c r="C904" s="17" t="n"/>
      <c r="D904" s="17" t="n"/>
      <c r="E904" s="17" t="n"/>
      <c r="F904" s="17" t="n"/>
      <c r="G904" s="23" t="n"/>
      <c r="H904" s="24">
        <f>IF($A904="","",IFERROR(LOOKUP(2,1/((入库单!$G$4:$G$2503=$A904)*(入库单!$Y$4:$Y$2503="正常")*(入库单!$L$4:$L$2503&gt;0)),入库单!$D$4:$D$2503),""))</f>
        <v/>
      </c>
      <c r="I904" s="25">
        <f>IF($A904="","",IFERROR(LOOKUP(2,1/((入库单!$G$4:$G$2503=$A904)*(入库单!$Y$4:$Y$2503="正常")*(入库单!$L$4:$L$2503&gt;0)),入库单!$L$4:$L$2503),0))</f>
        <v/>
      </c>
      <c r="J904" s="26">
        <f>IF($A904="","",IF($H904="A国内",ROUND($I904*倍数A*汇率,0),IF($H904="B当地",ROUND($I904*系数B,0),0)))</f>
        <v/>
      </c>
      <c r="K904" s="24">
        <f>IF($A904="","",IF(COUNTIFS(入库单!$G$4:$G$2503,$A904,入库单!$X$4:$X$2503,"待补价")&gt;0,"待补价",IF(COUNTIFS(入库单!$G$4:$G$2503,$A904,入库单!$X$4:$X$2503,"暂估")&gt;0,"暂估",IF($I904=0,"没有进价","正常"))))</f>
        <v/>
      </c>
      <c r="L904" s="27">
        <f>IF($A904="","",IFERROR(VLOOKUP($A904,库存台账!$A$5:$Y$1204,24,0),0))</f>
        <v/>
      </c>
      <c r="M904" s="26">
        <f>IF($A904="","",IFERROR(VLOOKUP($A904,库存台账!$A$5:$Y$1204,25,0),0))</f>
        <v/>
      </c>
      <c r="N904" s="19">
        <f>IF($A904="","",IFERROR(LOOKUP(2,1/((出库单!$D$4:$D$4003=$A904)*(出库单!$T$4:$T$4003="正常")),出库单!$C$4:$C$4003),""))</f>
        <v/>
      </c>
      <c r="O904" s="28">
        <f>IF($A904="","",IF($L904&lt;=0,"",IF($N904="",IFERROR(账期止-LOOKUP(2,1/(入库单!$G$4:$G$2503=$A904),入库单!$C$4:$C$2503),""),账期止-$N904)))</f>
        <v/>
      </c>
      <c r="P904" s="17" t="n"/>
    </row>
    <row r="905">
      <c r="A905" s="17" t="n"/>
      <c r="B905" s="17" t="n"/>
      <c r="C905" s="17" t="n"/>
      <c r="D905" s="17" t="n"/>
      <c r="E905" s="17" t="n"/>
      <c r="F905" s="17" t="n"/>
      <c r="G905" s="23" t="n"/>
      <c r="H905" s="24">
        <f>IF($A905="","",IFERROR(LOOKUP(2,1/((入库单!$G$4:$G$2503=$A905)*(入库单!$Y$4:$Y$2503="正常")*(入库单!$L$4:$L$2503&gt;0)),入库单!$D$4:$D$2503),""))</f>
        <v/>
      </c>
      <c r="I905" s="25">
        <f>IF($A905="","",IFERROR(LOOKUP(2,1/((入库单!$G$4:$G$2503=$A905)*(入库单!$Y$4:$Y$2503="正常")*(入库单!$L$4:$L$2503&gt;0)),入库单!$L$4:$L$2503),0))</f>
        <v/>
      </c>
      <c r="J905" s="26">
        <f>IF($A905="","",IF($H905="A国内",ROUND($I905*倍数A*汇率,0),IF($H905="B当地",ROUND($I905*系数B,0),0)))</f>
        <v/>
      </c>
      <c r="K905" s="24">
        <f>IF($A905="","",IF(COUNTIFS(入库单!$G$4:$G$2503,$A905,入库单!$X$4:$X$2503,"待补价")&gt;0,"待补价",IF(COUNTIFS(入库单!$G$4:$G$2503,$A905,入库单!$X$4:$X$2503,"暂估")&gt;0,"暂估",IF($I905=0,"没有进价","正常"))))</f>
        <v/>
      </c>
      <c r="L905" s="27">
        <f>IF($A905="","",IFERROR(VLOOKUP($A905,库存台账!$A$5:$Y$1204,24,0),0))</f>
        <v/>
      </c>
      <c r="M905" s="26">
        <f>IF($A905="","",IFERROR(VLOOKUP($A905,库存台账!$A$5:$Y$1204,25,0),0))</f>
        <v/>
      </c>
      <c r="N905" s="19">
        <f>IF($A905="","",IFERROR(LOOKUP(2,1/((出库单!$D$4:$D$4003=$A905)*(出库单!$T$4:$T$4003="正常")),出库单!$C$4:$C$4003),""))</f>
        <v/>
      </c>
      <c r="O905" s="28">
        <f>IF($A905="","",IF($L905&lt;=0,"",IF($N905="",IFERROR(账期止-LOOKUP(2,1/(入库单!$G$4:$G$2503=$A905),入库单!$C$4:$C$2503),""),账期止-$N905)))</f>
        <v/>
      </c>
      <c r="P905" s="17" t="n"/>
    </row>
    <row r="906">
      <c r="A906" s="17" t="n"/>
      <c r="B906" s="17" t="n"/>
      <c r="C906" s="17" t="n"/>
      <c r="D906" s="17" t="n"/>
      <c r="E906" s="17" t="n"/>
      <c r="F906" s="17" t="n"/>
      <c r="G906" s="23" t="n"/>
      <c r="H906" s="24">
        <f>IF($A906="","",IFERROR(LOOKUP(2,1/((入库单!$G$4:$G$2503=$A906)*(入库单!$Y$4:$Y$2503="正常")*(入库单!$L$4:$L$2503&gt;0)),入库单!$D$4:$D$2503),""))</f>
        <v/>
      </c>
      <c r="I906" s="25">
        <f>IF($A906="","",IFERROR(LOOKUP(2,1/((入库单!$G$4:$G$2503=$A906)*(入库单!$Y$4:$Y$2503="正常")*(入库单!$L$4:$L$2503&gt;0)),入库单!$L$4:$L$2503),0))</f>
        <v/>
      </c>
      <c r="J906" s="26">
        <f>IF($A906="","",IF($H906="A国内",ROUND($I906*倍数A*汇率,0),IF($H906="B当地",ROUND($I906*系数B,0),0)))</f>
        <v/>
      </c>
      <c r="K906" s="24">
        <f>IF($A906="","",IF(COUNTIFS(入库单!$G$4:$G$2503,$A906,入库单!$X$4:$X$2503,"待补价")&gt;0,"待补价",IF(COUNTIFS(入库单!$G$4:$G$2503,$A906,入库单!$X$4:$X$2503,"暂估")&gt;0,"暂估",IF($I906=0,"没有进价","正常"))))</f>
        <v/>
      </c>
      <c r="L906" s="27">
        <f>IF($A906="","",IFERROR(VLOOKUP($A906,库存台账!$A$5:$Y$1204,24,0),0))</f>
        <v/>
      </c>
      <c r="M906" s="26">
        <f>IF($A906="","",IFERROR(VLOOKUP($A906,库存台账!$A$5:$Y$1204,25,0),0))</f>
        <v/>
      </c>
      <c r="N906" s="19">
        <f>IF($A906="","",IFERROR(LOOKUP(2,1/((出库单!$D$4:$D$4003=$A906)*(出库单!$T$4:$T$4003="正常")),出库单!$C$4:$C$4003),""))</f>
        <v/>
      </c>
      <c r="O906" s="28">
        <f>IF($A906="","",IF($L906&lt;=0,"",IF($N906="",IFERROR(账期止-LOOKUP(2,1/(入库单!$G$4:$G$2503=$A906),入库单!$C$4:$C$2503),""),账期止-$N906)))</f>
        <v/>
      </c>
      <c r="P906" s="17" t="n"/>
    </row>
    <row r="907">
      <c r="A907" s="17" t="n"/>
      <c r="B907" s="17" t="n"/>
      <c r="C907" s="17" t="n"/>
      <c r="D907" s="17" t="n"/>
      <c r="E907" s="17" t="n"/>
      <c r="F907" s="17" t="n"/>
      <c r="G907" s="23" t="n"/>
      <c r="H907" s="24">
        <f>IF($A907="","",IFERROR(LOOKUP(2,1/((入库单!$G$4:$G$2503=$A907)*(入库单!$Y$4:$Y$2503="正常")*(入库单!$L$4:$L$2503&gt;0)),入库单!$D$4:$D$2503),""))</f>
        <v/>
      </c>
      <c r="I907" s="25">
        <f>IF($A907="","",IFERROR(LOOKUP(2,1/((入库单!$G$4:$G$2503=$A907)*(入库单!$Y$4:$Y$2503="正常")*(入库单!$L$4:$L$2503&gt;0)),入库单!$L$4:$L$2503),0))</f>
        <v/>
      </c>
      <c r="J907" s="26">
        <f>IF($A907="","",IF($H907="A国内",ROUND($I907*倍数A*汇率,0),IF($H907="B当地",ROUND($I907*系数B,0),0)))</f>
        <v/>
      </c>
      <c r="K907" s="24">
        <f>IF($A907="","",IF(COUNTIFS(入库单!$G$4:$G$2503,$A907,入库单!$X$4:$X$2503,"待补价")&gt;0,"待补价",IF(COUNTIFS(入库单!$G$4:$G$2503,$A907,入库单!$X$4:$X$2503,"暂估")&gt;0,"暂估",IF($I907=0,"没有进价","正常"))))</f>
        <v/>
      </c>
      <c r="L907" s="27">
        <f>IF($A907="","",IFERROR(VLOOKUP($A907,库存台账!$A$5:$Y$1204,24,0),0))</f>
        <v/>
      </c>
      <c r="M907" s="26">
        <f>IF($A907="","",IFERROR(VLOOKUP($A907,库存台账!$A$5:$Y$1204,25,0),0))</f>
        <v/>
      </c>
      <c r="N907" s="19">
        <f>IF($A907="","",IFERROR(LOOKUP(2,1/((出库单!$D$4:$D$4003=$A907)*(出库单!$T$4:$T$4003="正常")),出库单!$C$4:$C$4003),""))</f>
        <v/>
      </c>
      <c r="O907" s="28">
        <f>IF($A907="","",IF($L907&lt;=0,"",IF($N907="",IFERROR(账期止-LOOKUP(2,1/(入库单!$G$4:$G$2503=$A907),入库单!$C$4:$C$2503),""),账期止-$N907)))</f>
        <v/>
      </c>
      <c r="P907" s="17" t="n"/>
    </row>
    <row r="908">
      <c r="A908" s="17" t="n"/>
      <c r="B908" s="17" t="n"/>
      <c r="C908" s="17" t="n"/>
      <c r="D908" s="17" t="n"/>
      <c r="E908" s="17" t="n"/>
      <c r="F908" s="17" t="n"/>
      <c r="G908" s="23" t="n"/>
      <c r="H908" s="24">
        <f>IF($A908="","",IFERROR(LOOKUP(2,1/((入库单!$G$4:$G$2503=$A908)*(入库单!$Y$4:$Y$2503="正常")*(入库单!$L$4:$L$2503&gt;0)),入库单!$D$4:$D$2503),""))</f>
        <v/>
      </c>
      <c r="I908" s="25">
        <f>IF($A908="","",IFERROR(LOOKUP(2,1/((入库单!$G$4:$G$2503=$A908)*(入库单!$Y$4:$Y$2503="正常")*(入库单!$L$4:$L$2503&gt;0)),入库单!$L$4:$L$2503),0))</f>
        <v/>
      </c>
      <c r="J908" s="26">
        <f>IF($A908="","",IF($H908="A国内",ROUND($I908*倍数A*汇率,0),IF($H908="B当地",ROUND($I908*系数B,0),0)))</f>
        <v/>
      </c>
      <c r="K908" s="24">
        <f>IF($A908="","",IF(COUNTIFS(入库单!$G$4:$G$2503,$A908,入库单!$X$4:$X$2503,"待补价")&gt;0,"待补价",IF(COUNTIFS(入库单!$G$4:$G$2503,$A908,入库单!$X$4:$X$2503,"暂估")&gt;0,"暂估",IF($I908=0,"没有进价","正常"))))</f>
        <v/>
      </c>
      <c r="L908" s="27">
        <f>IF($A908="","",IFERROR(VLOOKUP($A908,库存台账!$A$5:$Y$1204,24,0),0))</f>
        <v/>
      </c>
      <c r="M908" s="26">
        <f>IF($A908="","",IFERROR(VLOOKUP($A908,库存台账!$A$5:$Y$1204,25,0),0))</f>
        <v/>
      </c>
      <c r="N908" s="19">
        <f>IF($A908="","",IFERROR(LOOKUP(2,1/((出库单!$D$4:$D$4003=$A908)*(出库单!$T$4:$T$4003="正常")),出库单!$C$4:$C$4003),""))</f>
        <v/>
      </c>
      <c r="O908" s="28">
        <f>IF($A908="","",IF($L908&lt;=0,"",IF($N908="",IFERROR(账期止-LOOKUP(2,1/(入库单!$G$4:$G$2503=$A908),入库单!$C$4:$C$2503),""),账期止-$N908)))</f>
        <v/>
      </c>
      <c r="P908" s="17" t="n"/>
    </row>
    <row r="909">
      <c r="A909" s="17" t="n"/>
      <c r="B909" s="17" t="n"/>
      <c r="C909" s="17" t="n"/>
      <c r="D909" s="17" t="n"/>
      <c r="E909" s="17" t="n"/>
      <c r="F909" s="17" t="n"/>
      <c r="G909" s="23" t="n"/>
      <c r="H909" s="24">
        <f>IF($A909="","",IFERROR(LOOKUP(2,1/((入库单!$G$4:$G$2503=$A909)*(入库单!$Y$4:$Y$2503="正常")*(入库单!$L$4:$L$2503&gt;0)),入库单!$D$4:$D$2503),""))</f>
        <v/>
      </c>
      <c r="I909" s="25">
        <f>IF($A909="","",IFERROR(LOOKUP(2,1/((入库单!$G$4:$G$2503=$A909)*(入库单!$Y$4:$Y$2503="正常")*(入库单!$L$4:$L$2503&gt;0)),入库单!$L$4:$L$2503),0))</f>
        <v/>
      </c>
      <c r="J909" s="26">
        <f>IF($A909="","",IF($H909="A国内",ROUND($I909*倍数A*汇率,0),IF($H909="B当地",ROUND($I909*系数B,0),0)))</f>
        <v/>
      </c>
      <c r="K909" s="24">
        <f>IF($A909="","",IF(COUNTIFS(入库单!$G$4:$G$2503,$A909,入库单!$X$4:$X$2503,"待补价")&gt;0,"待补价",IF(COUNTIFS(入库单!$G$4:$G$2503,$A909,入库单!$X$4:$X$2503,"暂估")&gt;0,"暂估",IF($I909=0,"没有进价","正常"))))</f>
        <v/>
      </c>
      <c r="L909" s="27">
        <f>IF($A909="","",IFERROR(VLOOKUP($A909,库存台账!$A$5:$Y$1204,24,0),0))</f>
        <v/>
      </c>
      <c r="M909" s="26">
        <f>IF($A909="","",IFERROR(VLOOKUP($A909,库存台账!$A$5:$Y$1204,25,0),0))</f>
        <v/>
      </c>
      <c r="N909" s="19">
        <f>IF($A909="","",IFERROR(LOOKUP(2,1/((出库单!$D$4:$D$4003=$A909)*(出库单!$T$4:$T$4003="正常")),出库单!$C$4:$C$4003),""))</f>
        <v/>
      </c>
      <c r="O909" s="28">
        <f>IF($A909="","",IF($L909&lt;=0,"",IF($N909="",IFERROR(账期止-LOOKUP(2,1/(入库单!$G$4:$G$2503=$A909),入库单!$C$4:$C$2503),""),账期止-$N909)))</f>
        <v/>
      </c>
      <c r="P909" s="17" t="n"/>
    </row>
    <row r="910">
      <c r="A910" s="17" t="n"/>
      <c r="B910" s="17" t="n"/>
      <c r="C910" s="17" t="n"/>
      <c r="D910" s="17" t="n"/>
      <c r="E910" s="17" t="n"/>
      <c r="F910" s="17" t="n"/>
      <c r="G910" s="23" t="n"/>
      <c r="H910" s="24">
        <f>IF($A910="","",IFERROR(LOOKUP(2,1/((入库单!$G$4:$G$2503=$A910)*(入库单!$Y$4:$Y$2503="正常")*(入库单!$L$4:$L$2503&gt;0)),入库单!$D$4:$D$2503),""))</f>
        <v/>
      </c>
      <c r="I910" s="25">
        <f>IF($A910="","",IFERROR(LOOKUP(2,1/((入库单!$G$4:$G$2503=$A910)*(入库单!$Y$4:$Y$2503="正常")*(入库单!$L$4:$L$2503&gt;0)),入库单!$L$4:$L$2503),0))</f>
        <v/>
      </c>
      <c r="J910" s="26">
        <f>IF($A910="","",IF($H910="A国内",ROUND($I910*倍数A*汇率,0),IF($H910="B当地",ROUND($I910*系数B,0),0)))</f>
        <v/>
      </c>
      <c r="K910" s="24">
        <f>IF($A910="","",IF(COUNTIFS(入库单!$G$4:$G$2503,$A910,入库单!$X$4:$X$2503,"待补价")&gt;0,"待补价",IF(COUNTIFS(入库单!$G$4:$G$2503,$A910,入库单!$X$4:$X$2503,"暂估")&gt;0,"暂估",IF($I910=0,"没有进价","正常"))))</f>
        <v/>
      </c>
      <c r="L910" s="27">
        <f>IF($A910="","",IFERROR(VLOOKUP($A910,库存台账!$A$5:$Y$1204,24,0),0))</f>
        <v/>
      </c>
      <c r="M910" s="26">
        <f>IF($A910="","",IFERROR(VLOOKUP($A910,库存台账!$A$5:$Y$1204,25,0),0))</f>
        <v/>
      </c>
      <c r="N910" s="19">
        <f>IF($A910="","",IFERROR(LOOKUP(2,1/((出库单!$D$4:$D$4003=$A910)*(出库单!$T$4:$T$4003="正常")),出库单!$C$4:$C$4003),""))</f>
        <v/>
      </c>
      <c r="O910" s="28">
        <f>IF($A910="","",IF($L910&lt;=0,"",IF($N910="",IFERROR(账期止-LOOKUP(2,1/(入库单!$G$4:$G$2503=$A910),入库单!$C$4:$C$2503),""),账期止-$N910)))</f>
        <v/>
      </c>
      <c r="P910" s="17" t="n"/>
    </row>
    <row r="911">
      <c r="A911" s="17" t="n"/>
      <c r="B911" s="17" t="n"/>
      <c r="C911" s="17" t="n"/>
      <c r="D911" s="17" t="n"/>
      <c r="E911" s="17" t="n"/>
      <c r="F911" s="17" t="n"/>
      <c r="G911" s="23" t="n"/>
      <c r="H911" s="24">
        <f>IF($A911="","",IFERROR(LOOKUP(2,1/((入库单!$G$4:$G$2503=$A911)*(入库单!$Y$4:$Y$2503="正常")*(入库单!$L$4:$L$2503&gt;0)),入库单!$D$4:$D$2503),""))</f>
        <v/>
      </c>
      <c r="I911" s="25">
        <f>IF($A911="","",IFERROR(LOOKUP(2,1/((入库单!$G$4:$G$2503=$A911)*(入库单!$Y$4:$Y$2503="正常")*(入库单!$L$4:$L$2503&gt;0)),入库单!$L$4:$L$2503),0))</f>
        <v/>
      </c>
      <c r="J911" s="26">
        <f>IF($A911="","",IF($H911="A国内",ROUND($I911*倍数A*汇率,0),IF($H911="B当地",ROUND($I911*系数B,0),0)))</f>
        <v/>
      </c>
      <c r="K911" s="24">
        <f>IF($A911="","",IF(COUNTIFS(入库单!$G$4:$G$2503,$A911,入库单!$X$4:$X$2503,"待补价")&gt;0,"待补价",IF(COUNTIFS(入库单!$G$4:$G$2503,$A911,入库单!$X$4:$X$2503,"暂估")&gt;0,"暂估",IF($I911=0,"没有进价","正常"))))</f>
        <v/>
      </c>
      <c r="L911" s="27">
        <f>IF($A911="","",IFERROR(VLOOKUP($A911,库存台账!$A$5:$Y$1204,24,0),0))</f>
        <v/>
      </c>
      <c r="M911" s="26">
        <f>IF($A911="","",IFERROR(VLOOKUP($A911,库存台账!$A$5:$Y$1204,25,0),0))</f>
        <v/>
      </c>
      <c r="N911" s="19">
        <f>IF($A911="","",IFERROR(LOOKUP(2,1/((出库单!$D$4:$D$4003=$A911)*(出库单!$T$4:$T$4003="正常")),出库单!$C$4:$C$4003),""))</f>
        <v/>
      </c>
      <c r="O911" s="28">
        <f>IF($A911="","",IF($L911&lt;=0,"",IF($N911="",IFERROR(账期止-LOOKUP(2,1/(入库单!$G$4:$G$2503=$A911),入库单!$C$4:$C$2503),""),账期止-$N911)))</f>
        <v/>
      </c>
      <c r="P911" s="17" t="n"/>
    </row>
    <row r="912">
      <c r="A912" s="17" t="n"/>
      <c r="B912" s="17" t="n"/>
      <c r="C912" s="17" t="n"/>
      <c r="D912" s="17" t="n"/>
      <c r="E912" s="17" t="n"/>
      <c r="F912" s="17" t="n"/>
      <c r="G912" s="23" t="n"/>
      <c r="H912" s="24">
        <f>IF($A912="","",IFERROR(LOOKUP(2,1/((入库单!$G$4:$G$2503=$A912)*(入库单!$Y$4:$Y$2503="正常")*(入库单!$L$4:$L$2503&gt;0)),入库单!$D$4:$D$2503),""))</f>
        <v/>
      </c>
      <c r="I912" s="25">
        <f>IF($A912="","",IFERROR(LOOKUP(2,1/((入库单!$G$4:$G$2503=$A912)*(入库单!$Y$4:$Y$2503="正常")*(入库单!$L$4:$L$2503&gt;0)),入库单!$L$4:$L$2503),0))</f>
        <v/>
      </c>
      <c r="J912" s="26">
        <f>IF($A912="","",IF($H912="A国内",ROUND($I912*倍数A*汇率,0),IF($H912="B当地",ROUND($I912*系数B,0),0)))</f>
        <v/>
      </c>
      <c r="K912" s="24">
        <f>IF($A912="","",IF(COUNTIFS(入库单!$G$4:$G$2503,$A912,入库单!$X$4:$X$2503,"待补价")&gt;0,"待补价",IF(COUNTIFS(入库单!$G$4:$G$2503,$A912,入库单!$X$4:$X$2503,"暂估")&gt;0,"暂估",IF($I912=0,"没有进价","正常"))))</f>
        <v/>
      </c>
      <c r="L912" s="27">
        <f>IF($A912="","",IFERROR(VLOOKUP($A912,库存台账!$A$5:$Y$1204,24,0),0))</f>
        <v/>
      </c>
      <c r="M912" s="26">
        <f>IF($A912="","",IFERROR(VLOOKUP($A912,库存台账!$A$5:$Y$1204,25,0),0))</f>
        <v/>
      </c>
      <c r="N912" s="19">
        <f>IF($A912="","",IFERROR(LOOKUP(2,1/((出库单!$D$4:$D$4003=$A912)*(出库单!$T$4:$T$4003="正常")),出库单!$C$4:$C$4003),""))</f>
        <v/>
      </c>
      <c r="O912" s="28">
        <f>IF($A912="","",IF($L912&lt;=0,"",IF($N912="",IFERROR(账期止-LOOKUP(2,1/(入库单!$G$4:$G$2503=$A912),入库单!$C$4:$C$2503),""),账期止-$N912)))</f>
        <v/>
      </c>
      <c r="P912" s="17" t="n"/>
    </row>
    <row r="913">
      <c r="A913" s="17" t="n"/>
      <c r="B913" s="17" t="n"/>
      <c r="C913" s="17" t="n"/>
      <c r="D913" s="17" t="n"/>
      <c r="E913" s="17" t="n"/>
      <c r="F913" s="17" t="n"/>
      <c r="G913" s="23" t="n"/>
      <c r="H913" s="24">
        <f>IF($A913="","",IFERROR(LOOKUP(2,1/((入库单!$G$4:$G$2503=$A913)*(入库单!$Y$4:$Y$2503="正常")*(入库单!$L$4:$L$2503&gt;0)),入库单!$D$4:$D$2503),""))</f>
        <v/>
      </c>
      <c r="I913" s="25">
        <f>IF($A913="","",IFERROR(LOOKUP(2,1/((入库单!$G$4:$G$2503=$A913)*(入库单!$Y$4:$Y$2503="正常")*(入库单!$L$4:$L$2503&gt;0)),入库单!$L$4:$L$2503),0))</f>
        <v/>
      </c>
      <c r="J913" s="26">
        <f>IF($A913="","",IF($H913="A国内",ROUND($I913*倍数A*汇率,0),IF($H913="B当地",ROUND($I913*系数B,0),0)))</f>
        <v/>
      </c>
      <c r="K913" s="24">
        <f>IF($A913="","",IF(COUNTIFS(入库单!$G$4:$G$2503,$A913,入库单!$X$4:$X$2503,"待补价")&gt;0,"待补价",IF(COUNTIFS(入库单!$G$4:$G$2503,$A913,入库单!$X$4:$X$2503,"暂估")&gt;0,"暂估",IF($I913=0,"没有进价","正常"))))</f>
        <v/>
      </c>
      <c r="L913" s="27">
        <f>IF($A913="","",IFERROR(VLOOKUP($A913,库存台账!$A$5:$Y$1204,24,0),0))</f>
        <v/>
      </c>
      <c r="M913" s="26">
        <f>IF($A913="","",IFERROR(VLOOKUP($A913,库存台账!$A$5:$Y$1204,25,0),0))</f>
        <v/>
      </c>
      <c r="N913" s="19">
        <f>IF($A913="","",IFERROR(LOOKUP(2,1/((出库单!$D$4:$D$4003=$A913)*(出库单!$T$4:$T$4003="正常")),出库单!$C$4:$C$4003),""))</f>
        <v/>
      </c>
      <c r="O913" s="28">
        <f>IF($A913="","",IF($L913&lt;=0,"",IF($N913="",IFERROR(账期止-LOOKUP(2,1/(入库单!$G$4:$G$2503=$A913),入库单!$C$4:$C$2503),""),账期止-$N913)))</f>
        <v/>
      </c>
      <c r="P913" s="17" t="n"/>
    </row>
    <row r="914">
      <c r="A914" s="17" t="n"/>
      <c r="B914" s="17" t="n"/>
      <c r="C914" s="17" t="n"/>
      <c r="D914" s="17" t="n"/>
      <c r="E914" s="17" t="n"/>
      <c r="F914" s="17" t="n"/>
      <c r="G914" s="23" t="n"/>
      <c r="H914" s="24">
        <f>IF($A914="","",IFERROR(LOOKUP(2,1/((入库单!$G$4:$G$2503=$A914)*(入库单!$Y$4:$Y$2503="正常")*(入库单!$L$4:$L$2503&gt;0)),入库单!$D$4:$D$2503),""))</f>
        <v/>
      </c>
      <c r="I914" s="25">
        <f>IF($A914="","",IFERROR(LOOKUP(2,1/((入库单!$G$4:$G$2503=$A914)*(入库单!$Y$4:$Y$2503="正常")*(入库单!$L$4:$L$2503&gt;0)),入库单!$L$4:$L$2503),0))</f>
        <v/>
      </c>
      <c r="J914" s="26">
        <f>IF($A914="","",IF($H914="A国内",ROUND($I914*倍数A*汇率,0),IF($H914="B当地",ROUND($I914*系数B,0),0)))</f>
        <v/>
      </c>
      <c r="K914" s="24">
        <f>IF($A914="","",IF(COUNTIFS(入库单!$G$4:$G$2503,$A914,入库单!$X$4:$X$2503,"待补价")&gt;0,"待补价",IF(COUNTIFS(入库单!$G$4:$G$2503,$A914,入库单!$X$4:$X$2503,"暂估")&gt;0,"暂估",IF($I914=0,"没有进价","正常"))))</f>
        <v/>
      </c>
      <c r="L914" s="27">
        <f>IF($A914="","",IFERROR(VLOOKUP($A914,库存台账!$A$5:$Y$1204,24,0),0))</f>
        <v/>
      </c>
      <c r="M914" s="26">
        <f>IF($A914="","",IFERROR(VLOOKUP($A914,库存台账!$A$5:$Y$1204,25,0),0))</f>
        <v/>
      </c>
      <c r="N914" s="19">
        <f>IF($A914="","",IFERROR(LOOKUP(2,1/((出库单!$D$4:$D$4003=$A914)*(出库单!$T$4:$T$4003="正常")),出库单!$C$4:$C$4003),""))</f>
        <v/>
      </c>
      <c r="O914" s="28">
        <f>IF($A914="","",IF($L914&lt;=0,"",IF($N914="",IFERROR(账期止-LOOKUP(2,1/(入库单!$G$4:$G$2503=$A914),入库单!$C$4:$C$2503),""),账期止-$N914)))</f>
        <v/>
      </c>
      <c r="P914" s="17" t="n"/>
    </row>
    <row r="915">
      <c r="A915" s="17" t="n"/>
      <c r="B915" s="17" t="n"/>
      <c r="C915" s="17" t="n"/>
      <c r="D915" s="17" t="n"/>
      <c r="E915" s="17" t="n"/>
      <c r="F915" s="17" t="n"/>
      <c r="G915" s="23" t="n"/>
      <c r="H915" s="24">
        <f>IF($A915="","",IFERROR(LOOKUP(2,1/((入库单!$G$4:$G$2503=$A915)*(入库单!$Y$4:$Y$2503="正常")*(入库单!$L$4:$L$2503&gt;0)),入库单!$D$4:$D$2503),""))</f>
        <v/>
      </c>
      <c r="I915" s="25">
        <f>IF($A915="","",IFERROR(LOOKUP(2,1/((入库单!$G$4:$G$2503=$A915)*(入库单!$Y$4:$Y$2503="正常")*(入库单!$L$4:$L$2503&gt;0)),入库单!$L$4:$L$2503),0))</f>
        <v/>
      </c>
      <c r="J915" s="26">
        <f>IF($A915="","",IF($H915="A国内",ROUND($I915*倍数A*汇率,0),IF($H915="B当地",ROUND($I915*系数B,0),0)))</f>
        <v/>
      </c>
      <c r="K915" s="24">
        <f>IF($A915="","",IF(COUNTIFS(入库单!$G$4:$G$2503,$A915,入库单!$X$4:$X$2503,"待补价")&gt;0,"待补价",IF(COUNTIFS(入库单!$G$4:$G$2503,$A915,入库单!$X$4:$X$2503,"暂估")&gt;0,"暂估",IF($I915=0,"没有进价","正常"))))</f>
        <v/>
      </c>
      <c r="L915" s="27">
        <f>IF($A915="","",IFERROR(VLOOKUP($A915,库存台账!$A$5:$Y$1204,24,0),0))</f>
        <v/>
      </c>
      <c r="M915" s="26">
        <f>IF($A915="","",IFERROR(VLOOKUP($A915,库存台账!$A$5:$Y$1204,25,0),0))</f>
        <v/>
      </c>
      <c r="N915" s="19">
        <f>IF($A915="","",IFERROR(LOOKUP(2,1/((出库单!$D$4:$D$4003=$A915)*(出库单!$T$4:$T$4003="正常")),出库单!$C$4:$C$4003),""))</f>
        <v/>
      </c>
      <c r="O915" s="28">
        <f>IF($A915="","",IF($L915&lt;=0,"",IF($N915="",IFERROR(账期止-LOOKUP(2,1/(入库单!$G$4:$G$2503=$A915),入库单!$C$4:$C$2503),""),账期止-$N915)))</f>
        <v/>
      </c>
      <c r="P915" s="17" t="n"/>
    </row>
    <row r="916">
      <c r="A916" s="17" t="n"/>
      <c r="B916" s="17" t="n"/>
      <c r="C916" s="17" t="n"/>
      <c r="D916" s="17" t="n"/>
      <c r="E916" s="17" t="n"/>
      <c r="F916" s="17" t="n"/>
      <c r="G916" s="23" t="n"/>
      <c r="H916" s="24">
        <f>IF($A916="","",IFERROR(LOOKUP(2,1/((入库单!$G$4:$G$2503=$A916)*(入库单!$Y$4:$Y$2503="正常")*(入库单!$L$4:$L$2503&gt;0)),入库单!$D$4:$D$2503),""))</f>
        <v/>
      </c>
      <c r="I916" s="25">
        <f>IF($A916="","",IFERROR(LOOKUP(2,1/((入库单!$G$4:$G$2503=$A916)*(入库单!$Y$4:$Y$2503="正常")*(入库单!$L$4:$L$2503&gt;0)),入库单!$L$4:$L$2503),0))</f>
        <v/>
      </c>
      <c r="J916" s="26">
        <f>IF($A916="","",IF($H916="A国内",ROUND($I916*倍数A*汇率,0),IF($H916="B当地",ROUND($I916*系数B,0),0)))</f>
        <v/>
      </c>
      <c r="K916" s="24">
        <f>IF($A916="","",IF(COUNTIFS(入库单!$G$4:$G$2503,$A916,入库单!$X$4:$X$2503,"待补价")&gt;0,"待补价",IF(COUNTIFS(入库单!$G$4:$G$2503,$A916,入库单!$X$4:$X$2503,"暂估")&gt;0,"暂估",IF($I916=0,"没有进价","正常"))))</f>
        <v/>
      </c>
      <c r="L916" s="27">
        <f>IF($A916="","",IFERROR(VLOOKUP($A916,库存台账!$A$5:$Y$1204,24,0),0))</f>
        <v/>
      </c>
      <c r="M916" s="26">
        <f>IF($A916="","",IFERROR(VLOOKUP($A916,库存台账!$A$5:$Y$1204,25,0),0))</f>
        <v/>
      </c>
      <c r="N916" s="19">
        <f>IF($A916="","",IFERROR(LOOKUP(2,1/((出库单!$D$4:$D$4003=$A916)*(出库单!$T$4:$T$4003="正常")),出库单!$C$4:$C$4003),""))</f>
        <v/>
      </c>
      <c r="O916" s="28">
        <f>IF($A916="","",IF($L916&lt;=0,"",IF($N916="",IFERROR(账期止-LOOKUP(2,1/(入库单!$G$4:$G$2503=$A916),入库单!$C$4:$C$2503),""),账期止-$N916)))</f>
        <v/>
      </c>
      <c r="P916" s="17" t="n"/>
    </row>
    <row r="917">
      <c r="A917" s="17" t="n"/>
      <c r="B917" s="17" t="n"/>
      <c r="C917" s="17" t="n"/>
      <c r="D917" s="17" t="n"/>
      <c r="E917" s="17" t="n"/>
      <c r="F917" s="17" t="n"/>
      <c r="G917" s="23" t="n"/>
      <c r="H917" s="24">
        <f>IF($A917="","",IFERROR(LOOKUP(2,1/((入库单!$G$4:$G$2503=$A917)*(入库单!$Y$4:$Y$2503="正常")*(入库单!$L$4:$L$2503&gt;0)),入库单!$D$4:$D$2503),""))</f>
        <v/>
      </c>
      <c r="I917" s="25">
        <f>IF($A917="","",IFERROR(LOOKUP(2,1/((入库单!$G$4:$G$2503=$A917)*(入库单!$Y$4:$Y$2503="正常")*(入库单!$L$4:$L$2503&gt;0)),入库单!$L$4:$L$2503),0))</f>
        <v/>
      </c>
      <c r="J917" s="26">
        <f>IF($A917="","",IF($H917="A国内",ROUND($I917*倍数A*汇率,0),IF($H917="B当地",ROUND($I917*系数B,0),0)))</f>
        <v/>
      </c>
      <c r="K917" s="24">
        <f>IF($A917="","",IF(COUNTIFS(入库单!$G$4:$G$2503,$A917,入库单!$X$4:$X$2503,"待补价")&gt;0,"待补价",IF(COUNTIFS(入库单!$G$4:$G$2503,$A917,入库单!$X$4:$X$2503,"暂估")&gt;0,"暂估",IF($I917=0,"没有进价","正常"))))</f>
        <v/>
      </c>
      <c r="L917" s="27">
        <f>IF($A917="","",IFERROR(VLOOKUP($A917,库存台账!$A$5:$Y$1204,24,0),0))</f>
        <v/>
      </c>
      <c r="M917" s="26">
        <f>IF($A917="","",IFERROR(VLOOKUP($A917,库存台账!$A$5:$Y$1204,25,0),0))</f>
        <v/>
      </c>
      <c r="N917" s="19">
        <f>IF($A917="","",IFERROR(LOOKUP(2,1/((出库单!$D$4:$D$4003=$A917)*(出库单!$T$4:$T$4003="正常")),出库单!$C$4:$C$4003),""))</f>
        <v/>
      </c>
      <c r="O917" s="28">
        <f>IF($A917="","",IF($L917&lt;=0,"",IF($N917="",IFERROR(账期止-LOOKUP(2,1/(入库单!$G$4:$G$2503=$A917),入库单!$C$4:$C$2503),""),账期止-$N917)))</f>
        <v/>
      </c>
      <c r="P917" s="17" t="n"/>
    </row>
    <row r="918">
      <c r="A918" s="17" t="n"/>
      <c r="B918" s="17" t="n"/>
      <c r="C918" s="17" t="n"/>
      <c r="D918" s="17" t="n"/>
      <c r="E918" s="17" t="n"/>
      <c r="F918" s="17" t="n"/>
      <c r="G918" s="23" t="n"/>
      <c r="H918" s="24">
        <f>IF($A918="","",IFERROR(LOOKUP(2,1/((入库单!$G$4:$G$2503=$A918)*(入库单!$Y$4:$Y$2503="正常")*(入库单!$L$4:$L$2503&gt;0)),入库单!$D$4:$D$2503),""))</f>
        <v/>
      </c>
      <c r="I918" s="25">
        <f>IF($A918="","",IFERROR(LOOKUP(2,1/((入库单!$G$4:$G$2503=$A918)*(入库单!$Y$4:$Y$2503="正常")*(入库单!$L$4:$L$2503&gt;0)),入库单!$L$4:$L$2503),0))</f>
        <v/>
      </c>
      <c r="J918" s="26">
        <f>IF($A918="","",IF($H918="A国内",ROUND($I918*倍数A*汇率,0),IF($H918="B当地",ROUND($I918*系数B,0),0)))</f>
        <v/>
      </c>
      <c r="K918" s="24">
        <f>IF($A918="","",IF(COUNTIFS(入库单!$G$4:$G$2503,$A918,入库单!$X$4:$X$2503,"待补价")&gt;0,"待补价",IF(COUNTIFS(入库单!$G$4:$G$2503,$A918,入库单!$X$4:$X$2503,"暂估")&gt;0,"暂估",IF($I918=0,"没有进价","正常"))))</f>
        <v/>
      </c>
      <c r="L918" s="27">
        <f>IF($A918="","",IFERROR(VLOOKUP($A918,库存台账!$A$5:$Y$1204,24,0),0))</f>
        <v/>
      </c>
      <c r="M918" s="26">
        <f>IF($A918="","",IFERROR(VLOOKUP($A918,库存台账!$A$5:$Y$1204,25,0),0))</f>
        <v/>
      </c>
      <c r="N918" s="19">
        <f>IF($A918="","",IFERROR(LOOKUP(2,1/((出库单!$D$4:$D$4003=$A918)*(出库单!$T$4:$T$4003="正常")),出库单!$C$4:$C$4003),""))</f>
        <v/>
      </c>
      <c r="O918" s="28">
        <f>IF($A918="","",IF($L918&lt;=0,"",IF($N918="",IFERROR(账期止-LOOKUP(2,1/(入库单!$G$4:$G$2503=$A918),入库单!$C$4:$C$2503),""),账期止-$N918)))</f>
        <v/>
      </c>
      <c r="P918" s="17" t="n"/>
    </row>
    <row r="919">
      <c r="A919" s="17" t="n"/>
      <c r="B919" s="17" t="n"/>
      <c r="C919" s="17" t="n"/>
      <c r="D919" s="17" t="n"/>
      <c r="E919" s="17" t="n"/>
      <c r="F919" s="17" t="n"/>
      <c r="G919" s="23" t="n"/>
      <c r="H919" s="24">
        <f>IF($A919="","",IFERROR(LOOKUP(2,1/((入库单!$G$4:$G$2503=$A919)*(入库单!$Y$4:$Y$2503="正常")*(入库单!$L$4:$L$2503&gt;0)),入库单!$D$4:$D$2503),""))</f>
        <v/>
      </c>
      <c r="I919" s="25">
        <f>IF($A919="","",IFERROR(LOOKUP(2,1/((入库单!$G$4:$G$2503=$A919)*(入库单!$Y$4:$Y$2503="正常")*(入库单!$L$4:$L$2503&gt;0)),入库单!$L$4:$L$2503),0))</f>
        <v/>
      </c>
      <c r="J919" s="26">
        <f>IF($A919="","",IF($H919="A国内",ROUND($I919*倍数A*汇率,0),IF($H919="B当地",ROUND($I919*系数B,0),0)))</f>
        <v/>
      </c>
      <c r="K919" s="24">
        <f>IF($A919="","",IF(COUNTIFS(入库单!$G$4:$G$2503,$A919,入库单!$X$4:$X$2503,"待补价")&gt;0,"待补价",IF(COUNTIFS(入库单!$G$4:$G$2503,$A919,入库单!$X$4:$X$2503,"暂估")&gt;0,"暂估",IF($I919=0,"没有进价","正常"))))</f>
        <v/>
      </c>
      <c r="L919" s="27">
        <f>IF($A919="","",IFERROR(VLOOKUP($A919,库存台账!$A$5:$Y$1204,24,0),0))</f>
        <v/>
      </c>
      <c r="M919" s="26">
        <f>IF($A919="","",IFERROR(VLOOKUP($A919,库存台账!$A$5:$Y$1204,25,0),0))</f>
        <v/>
      </c>
      <c r="N919" s="19">
        <f>IF($A919="","",IFERROR(LOOKUP(2,1/((出库单!$D$4:$D$4003=$A919)*(出库单!$T$4:$T$4003="正常")),出库单!$C$4:$C$4003),""))</f>
        <v/>
      </c>
      <c r="O919" s="28">
        <f>IF($A919="","",IF($L919&lt;=0,"",IF($N919="",IFERROR(账期止-LOOKUP(2,1/(入库单!$G$4:$G$2503=$A919),入库单!$C$4:$C$2503),""),账期止-$N919)))</f>
        <v/>
      </c>
      <c r="P919" s="17" t="n"/>
    </row>
    <row r="920">
      <c r="A920" s="17" t="n"/>
      <c r="B920" s="17" t="n"/>
      <c r="C920" s="17" t="n"/>
      <c r="D920" s="17" t="n"/>
      <c r="E920" s="17" t="n"/>
      <c r="F920" s="17" t="n"/>
      <c r="G920" s="23" t="n"/>
      <c r="H920" s="24">
        <f>IF($A920="","",IFERROR(LOOKUP(2,1/((入库单!$G$4:$G$2503=$A920)*(入库单!$Y$4:$Y$2503="正常")*(入库单!$L$4:$L$2503&gt;0)),入库单!$D$4:$D$2503),""))</f>
        <v/>
      </c>
      <c r="I920" s="25">
        <f>IF($A920="","",IFERROR(LOOKUP(2,1/((入库单!$G$4:$G$2503=$A920)*(入库单!$Y$4:$Y$2503="正常")*(入库单!$L$4:$L$2503&gt;0)),入库单!$L$4:$L$2503),0))</f>
        <v/>
      </c>
      <c r="J920" s="26">
        <f>IF($A920="","",IF($H920="A国内",ROUND($I920*倍数A*汇率,0),IF($H920="B当地",ROUND($I920*系数B,0),0)))</f>
        <v/>
      </c>
      <c r="K920" s="24">
        <f>IF($A920="","",IF(COUNTIFS(入库单!$G$4:$G$2503,$A920,入库单!$X$4:$X$2503,"待补价")&gt;0,"待补价",IF(COUNTIFS(入库单!$G$4:$G$2503,$A920,入库单!$X$4:$X$2503,"暂估")&gt;0,"暂估",IF($I920=0,"没有进价","正常"))))</f>
        <v/>
      </c>
      <c r="L920" s="27">
        <f>IF($A920="","",IFERROR(VLOOKUP($A920,库存台账!$A$5:$Y$1204,24,0),0))</f>
        <v/>
      </c>
      <c r="M920" s="26">
        <f>IF($A920="","",IFERROR(VLOOKUP($A920,库存台账!$A$5:$Y$1204,25,0),0))</f>
        <v/>
      </c>
      <c r="N920" s="19">
        <f>IF($A920="","",IFERROR(LOOKUP(2,1/((出库单!$D$4:$D$4003=$A920)*(出库单!$T$4:$T$4003="正常")),出库单!$C$4:$C$4003),""))</f>
        <v/>
      </c>
      <c r="O920" s="28">
        <f>IF($A920="","",IF($L920&lt;=0,"",IF($N920="",IFERROR(账期止-LOOKUP(2,1/(入库单!$G$4:$G$2503=$A920),入库单!$C$4:$C$2503),""),账期止-$N920)))</f>
        <v/>
      </c>
      <c r="P920" s="17" t="n"/>
    </row>
    <row r="921">
      <c r="A921" s="17" t="n"/>
      <c r="B921" s="17" t="n"/>
      <c r="C921" s="17" t="n"/>
      <c r="D921" s="17" t="n"/>
      <c r="E921" s="17" t="n"/>
      <c r="F921" s="17" t="n"/>
      <c r="G921" s="23" t="n"/>
      <c r="H921" s="24">
        <f>IF($A921="","",IFERROR(LOOKUP(2,1/((入库单!$G$4:$G$2503=$A921)*(入库单!$Y$4:$Y$2503="正常")*(入库单!$L$4:$L$2503&gt;0)),入库单!$D$4:$D$2503),""))</f>
        <v/>
      </c>
      <c r="I921" s="25">
        <f>IF($A921="","",IFERROR(LOOKUP(2,1/((入库单!$G$4:$G$2503=$A921)*(入库单!$Y$4:$Y$2503="正常")*(入库单!$L$4:$L$2503&gt;0)),入库单!$L$4:$L$2503),0))</f>
        <v/>
      </c>
      <c r="J921" s="26">
        <f>IF($A921="","",IF($H921="A国内",ROUND($I921*倍数A*汇率,0),IF($H921="B当地",ROUND($I921*系数B,0),0)))</f>
        <v/>
      </c>
      <c r="K921" s="24">
        <f>IF($A921="","",IF(COUNTIFS(入库单!$G$4:$G$2503,$A921,入库单!$X$4:$X$2503,"待补价")&gt;0,"待补价",IF(COUNTIFS(入库单!$G$4:$G$2503,$A921,入库单!$X$4:$X$2503,"暂估")&gt;0,"暂估",IF($I921=0,"没有进价","正常"))))</f>
        <v/>
      </c>
      <c r="L921" s="27">
        <f>IF($A921="","",IFERROR(VLOOKUP($A921,库存台账!$A$5:$Y$1204,24,0),0))</f>
        <v/>
      </c>
      <c r="M921" s="26">
        <f>IF($A921="","",IFERROR(VLOOKUP($A921,库存台账!$A$5:$Y$1204,25,0),0))</f>
        <v/>
      </c>
      <c r="N921" s="19">
        <f>IF($A921="","",IFERROR(LOOKUP(2,1/((出库单!$D$4:$D$4003=$A921)*(出库单!$T$4:$T$4003="正常")),出库单!$C$4:$C$4003),""))</f>
        <v/>
      </c>
      <c r="O921" s="28">
        <f>IF($A921="","",IF($L921&lt;=0,"",IF($N921="",IFERROR(账期止-LOOKUP(2,1/(入库单!$G$4:$G$2503=$A921),入库单!$C$4:$C$2503),""),账期止-$N921)))</f>
        <v/>
      </c>
      <c r="P921" s="17" t="n"/>
    </row>
    <row r="922">
      <c r="A922" s="17" t="n"/>
      <c r="B922" s="17" t="n"/>
      <c r="C922" s="17" t="n"/>
      <c r="D922" s="17" t="n"/>
      <c r="E922" s="17" t="n"/>
      <c r="F922" s="17" t="n"/>
      <c r="G922" s="23" t="n"/>
      <c r="H922" s="24">
        <f>IF($A922="","",IFERROR(LOOKUP(2,1/((入库单!$G$4:$G$2503=$A922)*(入库单!$Y$4:$Y$2503="正常")*(入库单!$L$4:$L$2503&gt;0)),入库单!$D$4:$D$2503),""))</f>
        <v/>
      </c>
      <c r="I922" s="25">
        <f>IF($A922="","",IFERROR(LOOKUP(2,1/((入库单!$G$4:$G$2503=$A922)*(入库单!$Y$4:$Y$2503="正常")*(入库单!$L$4:$L$2503&gt;0)),入库单!$L$4:$L$2503),0))</f>
        <v/>
      </c>
      <c r="J922" s="26">
        <f>IF($A922="","",IF($H922="A国内",ROUND($I922*倍数A*汇率,0),IF($H922="B当地",ROUND($I922*系数B,0),0)))</f>
        <v/>
      </c>
      <c r="K922" s="24">
        <f>IF($A922="","",IF(COUNTIFS(入库单!$G$4:$G$2503,$A922,入库单!$X$4:$X$2503,"待补价")&gt;0,"待补价",IF(COUNTIFS(入库单!$G$4:$G$2503,$A922,入库单!$X$4:$X$2503,"暂估")&gt;0,"暂估",IF($I922=0,"没有进价","正常"))))</f>
        <v/>
      </c>
      <c r="L922" s="27">
        <f>IF($A922="","",IFERROR(VLOOKUP($A922,库存台账!$A$5:$Y$1204,24,0),0))</f>
        <v/>
      </c>
      <c r="M922" s="26">
        <f>IF($A922="","",IFERROR(VLOOKUP($A922,库存台账!$A$5:$Y$1204,25,0),0))</f>
        <v/>
      </c>
      <c r="N922" s="19">
        <f>IF($A922="","",IFERROR(LOOKUP(2,1/((出库单!$D$4:$D$4003=$A922)*(出库单!$T$4:$T$4003="正常")),出库单!$C$4:$C$4003),""))</f>
        <v/>
      </c>
      <c r="O922" s="28">
        <f>IF($A922="","",IF($L922&lt;=0,"",IF($N922="",IFERROR(账期止-LOOKUP(2,1/(入库单!$G$4:$G$2503=$A922),入库单!$C$4:$C$2503),""),账期止-$N922)))</f>
        <v/>
      </c>
      <c r="P922" s="17" t="n"/>
    </row>
    <row r="923">
      <c r="A923" s="17" t="n"/>
      <c r="B923" s="17" t="n"/>
      <c r="C923" s="17" t="n"/>
      <c r="D923" s="17" t="n"/>
      <c r="E923" s="17" t="n"/>
      <c r="F923" s="17" t="n"/>
      <c r="G923" s="23" t="n"/>
      <c r="H923" s="24">
        <f>IF($A923="","",IFERROR(LOOKUP(2,1/((入库单!$G$4:$G$2503=$A923)*(入库单!$Y$4:$Y$2503="正常")*(入库单!$L$4:$L$2503&gt;0)),入库单!$D$4:$D$2503),""))</f>
        <v/>
      </c>
      <c r="I923" s="25">
        <f>IF($A923="","",IFERROR(LOOKUP(2,1/((入库单!$G$4:$G$2503=$A923)*(入库单!$Y$4:$Y$2503="正常")*(入库单!$L$4:$L$2503&gt;0)),入库单!$L$4:$L$2503),0))</f>
        <v/>
      </c>
      <c r="J923" s="26">
        <f>IF($A923="","",IF($H923="A国内",ROUND($I923*倍数A*汇率,0),IF($H923="B当地",ROUND($I923*系数B,0),0)))</f>
        <v/>
      </c>
      <c r="K923" s="24">
        <f>IF($A923="","",IF(COUNTIFS(入库单!$G$4:$G$2503,$A923,入库单!$X$4:$X$2503,"待补价")&gt;0,"待补价",IF(COUNTIFS(入库单!$G$4:$G$2503,$A923,入库单!$X$4:$X$2503,"暂估")&gt;0,"暂估",IF($I923=0,"没有进价","正常"))))</f>
        <v/>
      </c>
      <c r="L923" s="27">
        <f>IF($A923="","",IFERROR(VLOOKUP($A923,库存台账!$A$5:$Y$1204,24,0),0))</f>
        <v/>
      </c>
      <c r="M923" s="26">
        <f>IF($A923="","",IFERROR(VLOOKUP($A923,库存台账!$A$5:$Y$1204,25,0),0))</f>
        <v/>
      </c>
      <c r="N923" s="19">
        <f>IF($A923="","",IFERROR(LOOKUP(2,1/((出库单!$D$4:$D$4003=$A923)*(出库单!$T$4:$T$4003="正常")),出库单!$C$4:$C$4003),""))</f>
        <v/>
      </c>
      <c r="O923" s="28">
        <f>IF($A923="","",IF($L923&lt;=0,"",IF($N923="",IFERROR(账期止-LOOKUP(2,1/(入库单!$G$4:$G$2503=$A923),入库单!$C$4:$C$2503),""),账期止-$N923)))</f>
        <v/>
      </c>
      <c r="P923" s="17" t="n"/>
    </row>
    <row r="924">
      <c r="A924" s="17" t="n"/>
      <c r="B924" s="17" t="n"/>
      <c r="C924" s="17" t="n"/>
      <c r="D924" s="17" t="n"/>
      <c r="E924" s="17" t="n"/>
      <c r="F924" s="17" t="n"/>
      <c r="G924" s="23" t="n"/>
      <c r="H924" s="24">
        <f>IF($A924="","",IFERROR(LOOKUP(2,1/((入库单!$G$4:$G$2503=$A924)*(入库单!$Y$4:$Y$2503="正常")*(入库单!$L$4:$L$2503&gt;0)),入库单!$D$4:$D$2503),""))</f>
        <v/>
      </c>
      <c r="I924" s="25">
        <f>IF($A924="","",IFERROR(LOOKUP(2,1/((入库单!$G$4:$G$2503=$A924)*(入库单!$Y$4:$Y$2503="正常")*(入库单!$L$4:$L$2503&gt;0)),入库单!$L$4:$L$2503),0))</f>
        <v/>
      </c>
      <c r="J924" s="26">
        <f>IF($A924="","",IF($H924="A国内",ROUND($I924*倍数A*汇率,0),IF($H924="B当地",ROUND($I924*系数B,0),0)))</f>
        <v/>
      </c>
      <c r="K924" s="24">
        <f>IF($A924="","",IF(COUNTIFS(入库单!$G$4:$G$2503,$A924,入库单!$X$4:$X$2503,"待补价")&gt;0,"待补价",IF(COUNTIFS(入库单!$G$4:$G$2503,$A924,入库单!$X$4:$X$2503,"暂估")&gt;0,"暂估",IF($I924=0,"没有进价","正常"))))</f>
        <v/>
      </c>
      <c r="L924" s="27">
        <f>IF($A924="","",IFERROR(VLOOKUP($A924,库存台账!$A$5:$Y$1204,24,0),0))</f>
        <v/>
      </c>
      <c r="M924" s="26">
        <f>IF($A924="","",IFERROR(VLOOKUP($A924,库存台账!$A$5:$Y$1204,25,0),0))</f>
        <v/>
      </c>
      <c r="N924" s="19">
        <f>IF($A924="","",IFERROR(LOOKUP(2,1/((出库单!$D$4:$D$4003=$A924)*(出库单!$T$4:$T$4003="正常")),出库单!$C$4:$C$4003),""))</f>
        <v/>
      </c>
      <c r="O924" s="28">
        <f>IF($A924="","",IF($L924&lt;=0,"",IF($N924="",IFERROR(账期止-LOOKUP(2,1/(入库单!$G$4:$G$2503=$A924),入库单!$C$4:$C$2503),""),账期止-$N924)))</f>
        <v/>
      </c>
      <c r="P924" s="17" t="n"/>
    </row>
    <row r="925">
      <c r="A925" s="17" t="n"/>
      <c r="B925" s="17" t="n"/>
      <c r="C925" s="17" t="n"/>
      <c r="D925" s="17" t="n"/>
      <c r="E925" s="17" t="n"/>
      <c r="F925" s="17" t="n"/>
      <c r="G925" s="23" t="n"/>
      <c r="H925" s="24">
        <f>IF($A925="","",IFERROR(LOOKUP(2,1/((入库单!$G$4:$G$2503=$A925)*(入库单!$Y$4:$Y$2503="正常")*(入库单!$L$4:$L$2503&gt;0)),入库单!$D$4:$D$2503),""))</f>
        <v/>
      </c>
      <c r="I925" s="25">
        <f>IF($A925="","",IFERROR(LOOKUP(2,1/((入库单!$G$4:$G$2503=$A925)*(入库单!$Y$4:$Y$2503="正常")*(入库单!$L$4:$L$2503&gt;0)),入库单!$L$4:$L$2503),0))</f>
        <v/>
      </c>
      <c r="J925" s="26">
        <f>IF($A925="","",IF($H925="A国内",ROUND($I925*倍数A*汇率,0),IF($H925="B当地",ROUND($I925*系数B,0),0)))</f>
        <v/>
      </c>
      <c r="K925" s="24">
        <f>IF($A925="","",IF(COUNTIFS(入库单!$G$4:$G$2503,$A925,入库单!$X$4:$X$2503,"待补价")&gt;0,"待补价",IF(COUNTIFS(入库单!$G$4:$G$2503,$A925,入库单!$X$4:$X$2503,"暂估")&gt;0,"暂估",IF($I925=0,"没有进价","正常"))))</f>
        <v/>
      </c>
      <c r="L925" s="27">
        <f>IF($A925="","",IFERROR(VLOOKUP($A925,库存台账!$A$5:$Y$1204,24,0),0))</f>
        <v/>
      </c>
      <c r="M925" s="26">
        <f>IF($A925="","",IFERROR(VLOOKUP($A925,库存台账!$A$5:$Y$1204,25,0),0))</f>
        <v/>
      </c>
      <c r="N925" s="19">
        <f>IF($A925="","",IFERROR(LOOKUP(2,1/((出库单!$D$4:$D$4003=$A925)*(出库单!$T$4:$T$4003="正常")),出库单!$C$4:$C$4003),""))</f>
        <v/>
      </c>
      <c r="O925" s="28">
        <f>IF($A925="","",IF($L925&lt;=0,"",IF($N925="",IFERROR(账期止-LOOKUP(2,1/(入库单!$G$4:$G$2503=$A925),入库单!$C$4:$C$2503),""),账期止-$N925)))</f>
        <v/>
      </c>
      <c r="P925" s="17" t="n"/>
    </row>
    <row r="926">
      <c r="A926" s="17" t="n"/>
      <c r="B926" s="17" t="n"/>
      <c r="C926" s="17" t="n"/>
      <c r="D926" s="17" t="n"/>
      <c r="E926" s="17" t="n"/>
      <c r="F926" s="17" t="n"/>
      <c r="G926" s="23" t="n"/>
      <c r="H926" s="24">
        <f>IF($A926="","",IFERROR(LOOKUP(2,1/((入库单!$G$4:$G$2503=$A926)*(入库单!$Y$4:$Y$2503="正常")*(入库单!$L$4:$L$2503&gt;0)),入库单!$D$4:$D$2503),""))</f>
        <v/>
      </c>
      <c r="I926" s="25">
        <f>IF($A926="","",IFERROR(LOOKUP(2,1/((入库单!$G$4:$G$2503=$A926)*(入库单!$Y$4:$Y$2503="正常")*(入库单!$L$4:$L$2503&gt;0)),入库单!$L$4:$L$2503),0))</f>
        <v/>
      </c>
      <c r="J926" s="26">
        <f>IF($A926="","",IF($H926="A国内",ROUND($I926*倍数A*汇率,0),IF($H926="B当地",ROUND($I926*系数B,0),0)))</f>
        <v/>
      </c>
      <c r="K926" s="24">
        <f>IF($A926="","",IF(COUNTIFS(入库单!$G$4:$G$2503,$A926,入库单!$X$4:$X$2503,"待补价")&gt;0,"待补价",IF(COUNTIFS(入库单!$G$4:$G$2503,$A926,入库单!$X$4:$X$2503,"暂估")&gt;0,"暂估",IF($I926=0,"没有进价","正常"))))</f>
        <v/>
      </c>
      <c r="L926" s="27">
        <f>IF($A926="","",IFERROR(VLOOKUP($A926,库存台账!$A$5:$Y$1204,24,0),0))</f>
        <v/>
      </c>
      <c r="M926" s="26">
        <f>IF($A926="","",IFERROR(VLOOKUP($A926,库存台账!$A$5:$Y$1204,25,0),0))</f>
        <v/>
      </c>
      <c r="N926" s="19">
        <f>IF($A926="","",IFERROR(LOOKUP(2,1/((出库单!$D$4:$D$4003=$A926)*(出库单!$T$4:$T$4003="正常")),出库单!$C$4:$C$4003),""))</f>
        <v/>
      </c>
      <c r="O926" s="28">
        <f>IF($A926="","",IF($L926&lt;=0,"",IF($N926="",IFERROR(账期止-LOOKUP(2,1/(入库单!$G$4:$G$2503=$A926),入库单!$C$4:$C$2503),""),账期止-$N926)))</f>
        <v/>
      </c>
      <c r="P926" s="17" t="n"/>
    </row>
    <row r="927">
      <c r="A927" s="17" t="n"/>
      <c r="B927" s="17" t="n"/>
      <c r="C927" s="17" t="n"/>
      <c r="D927" s="17" t="n"/>
      <c r="E927" s="17" t="n"/>
      <c r="F927" s="17" t="n"/>
      <c r="G927" s="23" t="n"/>
      <c r="H927" s="24">
        <f>IF($A927="","",IFERROR(LOOKUP(2,1/((入库单!$G$4:$G$2503=$A927)*(入库单!$Y$4:$Y$2503="正常")*(入库单!$L$4:$L$2503&gt;0)),入库单!$D$4:$D$2503),""))</f>
        <v/>
      </c>
      <c r="I927" s="25">
        <f>IF($A927="","",IFERROR(LOOKUP(2,1/((入库单!$G$4:$G$2503=$A927)*(入库单!$Y$4:$Y$2503="正常")*(入库单!$L$4:$L$2503&gt;0)),入库单!$L$4:$L$2503),0))</f>
        <v/>
      </c>
      <c r="J927" s="26">
        <f>IF($A927="","",IF($H927="A国内",ROUND($I927*倍数A*汇率,0),IF($H927="B当地",ROUND($I927*系数B,0),0)))</f>
        <v/>
      </c>
      <c r="K927" s="24">
        <f>IF($A927="","",IF(COUNTIFS(入库单!$G$4:$G$2503,$A927,入库单!$X$4:$X$2503,"待补价")&gt;0,"待补价",IF(COUNTIFS(入库单!$G$4:$G$2503,$A927,入库单!$X$4:$X$2503,"暂估")&gt;0,"暂估",IF($I927=0,"没有进价","正常"))))</f>
        <v/>
      </c>
      <c r="L927" s="27">
        <f>IF($A927="","",IFERROR(VLOOKUP($A927,库存台账!$A$5:$Y$1204,24,0),0))</f>
        <v/>
      </c>
      <c r="M927" s="26">
        <f>IF($A927="","",IFERROR(VLOOKUP($A927,库存台账!$A$5:$Y$1204,25,0),0))</f>
        <v/>
      </c>
      <c r="N927" s="19">
        <f>IF($A927="","",IFERROR(LOOKUP(2,1/((出库单!$D$4:$D$4003=$A927)*(出库单!$T$4:$T$4003="正常")),出库单!$C$4:$C$4003),""))</f>
        <v/>
      </c>
      <c r="O927" s="28">
        <f>IF($A927="","",IF($L927&lt;=0,"",IF($N927="",IFERROR(账期止-LOOKUP(2,1/(入库单!$G$4:$G$2503=$A927),入库单!$C$4:$C$2503),""),账期止-$N927)))</f>
        <v/>
      </c>
      <c r="P927" s="17" t="n"/>
    </row>
    <row r="928">
      <c r="A928" s="17" t="n"/>
      <c r="B928" s="17" t="n"/>
      <c r="C928" s="17" t="n"/>
      <c r="D928" s="17" t="n"/>
      <c r="E928" s="17" t="n"/>
      <c r="F928" s="17" t="n"/>
      <c r="G928" s="23" t="n"/>
      <c r="H928" s="24">
        <f>IF($A928="","",IFERROR(LOOKUP(2,1/((入库单!$G$4:$G$2503=$A928)*(入库单!$Y$4:$Y$2503="正常")*(入库单!$L$4:$L$2503&gt;0)),入库单!$D$4:$D$2503),""))</f>
        <v/>
      </c>
      <c r="I928" s="25">
        <f>IF($A928="","",IFERROR(LOOKUP(2,1/((入库单!$G$4:$G$2503=$A928)*(入库单!$Y$4:$Y$2503="正常")*(入库单!$L$4:$L$2503&gt;0)),入库单!$L$4:$L$2503),0))</f>
        <v/>
      </c>
      <c r="J928" s="26">
        <f>IF($A928="","",IF($H928="A国内",ROUND($I928*倍数A*汇率,0),IF($H928="B当地",ROUND($I928*系数B,0),0)))</f>
        <v/>
      </c>
      <c r="K928" s="24">
        <f>IF($A928="","",IF(COUNTIFS(入库单!$G$4:$G$2503,$A928,入库单!$X$4:$X$2503,"待补价")&gt;0,"待补价",IF(COUNTIFS(入库单!$G$4:$G$2503,$A928,入库单!$X$4:$X$2503,"暂估")&gt;0,"暂估",IF($I928=0,"没有进价","正常"))))</f>
        <v/>
      </c>
      <c r="L928" s="27">
        <f>IF($A928="","",IFERROR(VLOOKUP($A928,库存台账!$A$5:$Y$1204,24,0),0))</f>
        <v/>
      </c>
      <c r="M928" s="26">
        <f>IF($A928="","",IFERROR(VLOOKUP($A928,库存台账!$A$5:$Y$1204,25,0),0))</f>
        <v/>
      </c>
      <c r="N928" s="19">
        <f>IF($A928="","",IFERROR(LOOKUP(2,1/((出库单!$D$4:$D$4003=$A928)*(出库单!$T$4:$T$4003="正常")),出库单!$C$4:$C$4003),""))</f>
        <v/>
      </c>
      <c r="O928" s="28">
        <f>IF($A928="","",IF($L928&lt;=0,"",IF($N928="",IFERROR(账期止-LOOKUP(2,1/(入库单!$G$4:$G$2503=$A928),入库单!$C$4:$C$2503),""),账期止-$N928)))</f>
        <v/>
      </c>
      <c r="P928" s="17" t="n"/>
    </row>
    <row r="929">
      <c r="A929" s="17" t="n"/>
      <c r="B929" s="17" t="n"/>
      <c r="C929" s="17" t="n"/>
      <c r="D929" s="17" t="n"/>
      <c r="E929" s="17" t="n"/>
      <c r="F929" s="17" t="n"/>
      <c r="G929" s="23" t="n"/>
      <c r="H929" s="24">
        <f>IF($A929="","",IFERROR(LOOKUP(2,1/((入库单!$G$4:$G$2503=$A929)*(入库单!$Y$4:$Y$2503="正常")*(入库单!$L$4:$L$2503&gt;0)),入库单!$D$4:$D$2503),""))</f>
        <v/>
      </c>
      <c r="I929" s="25">
        <f>IF($A929="","",IFERROR(LOOKUP(2,1/((入库单!$G$4:$G$2503=$A929)*(入库单!$Y$4:$Y$2503="正常")*(入库单!$L$4:$L$2503&gt;0)),入库单!$L$4:$L$2503),0))</f>
        <v/>
      </c>
      <c r="J929" s="26">
        <f>IF($A929="","",IF($H929="A国内",ROUND($I929*倍数A*汇率,0),IF($H929="B当地",ROUND($I929*系数B,0),0)))</f>
        <v/>
      </c>
      <c r="K929" s="24">
        <f>IF($A929="","",IF(COUNTIFS(入库单!$G$4:$G$2503,$A929,入库单!$X$4:$X$2503,"待补价")&gt;0,"待补价",IF(COUNTIFS(入库单!$G$4:$G$2503,$A929,入库单!$X$4:$X$2503,"暂估")&gt;0,"暂估",IF($I929=0,"没有进价","正常"))))</f>
        <v/>
      </c>
      <c r="L929" s="27">
        <f>IF($A929="","",IFERROR(VLOOKUP($A929,库存台账!$A$5:$Y$1204,24,0),0))</f>
        <v/>
      </c>
      <c r="M929" s="26">
        <f>IF($A929="","",IFERROR(VLOOKUP($A929,库存台账!$A$5:$Y$1204,25,0),0))</f>
        <v/>
      </c>
      <c r="N929" s="19">
        <f>IF($A929="","",IFERROR(LOOKUP(2,1/((出库单!$D$4:$D$4003=$A929)*(出库单!$T$4:$T$4003="正常")),出库单!$C$4:$C$4003),""))</f>
        <v/>
      </c>
      <c r="O929" s="28">
        <f>IF($A929="","",IF($L929&lt;=0,"",IF($N929="",IFERROR(账期止-LOOKUP(2,1/(入库单!$G$4:$G$2503=$A929),入库单!$C$4:$C$2503),""),账期止-$N929)))</f>
        <v/>
      </c>
      <c r="P929" s="17" t="n"/>
    </row>
    <row r="930">
      <c r="A930" s="17" t="n"/>
      <c r="B930" s="17" t="n"/>
      <c r="C930" s="17" t="n"/>
      <c r="D930" s="17" t="n"/>
      <c r="E930" s="17" t="n"/>
      <c r="F930" s="17" t="n"/>
      <c r="G930" s="23" t="n"/>
      <c r="H930" s="24">
        <f>IF($A930="","",IFERROR(LOOKUP(2,1/((入库单!$G$4:$G$2503=$A930)*(入库单!$Y$4:$Y$2503="正常")*(入库单!$L$4:$L$2503&gt;0)),入库单!$D$4:$D$2503),""))</f>
        <v/>
      </c>
      <c r="I930" s="25">
        <f>IF($A930="","",IFERROR(LOOKUP(2,1/((入库单!$G$4:$G$2503=$A930)*(入库单!$Y$4:$Y$2503="正常")*(入库单!$L$4:$L$2503&gt;0)),入库单!$L$4:$L$2503),0))</f>
        <v/>
      </c>
      <c r="J930" s="26">
        <f>IF($A930="","",IF($H930="A国内",ROUND($I930*倍数A*汇率,0),IF($H930="B当地",ROUND($I930*系数B,0),0)))</f>
        <v/>
      </c>
      <c r="K930" s="24">
        <f>IF($A930="","",IF(COUNTIFS(入库单!$G$4:$G$2503,$A930,入库单!$X$4:$X$2503,"待补价")&gt;0,"待补价",IF(COUNTIFS(入库单!$G$4:$G$2503,$A930,入库单!$X$4:$X$2503,"暂估")&gt;0,"暂估",IF($I930=0,"没有进价","正常"))))</f>
        <v/>
      </c>
      <c r="L930" s="27">
        <f>IF($A930="","",IFERROR(VLOOKUP($A930,库存台账!$A$5:$Y$1204,24,0),0))</f>
        <v/>
      </c>
      <c r="M930" s="26">
        <f>IF($A930="","",IFERROR(VLOOKUP($A930,库存台账!$A$5:$Y$1204,25,0),0))</f>
        <v/>
      </c>
      <c r="N930" s="19">
        <f>IF($A930="","",IFERROR(LOOKUP(2,1/((出库单!$D$4:$D$4003=$A930)*(出库单!$T$4:$T$4003="正常")),出库单!$C$4:$C$4003),""))</f>
        <v/>
      </c>
      <c r="O930" s="28">
        <f>IF($A930="","",IF($L930&lt;=0,"",IF($N930="",IFERROR(账期止-LOOKUP(2,1/(入库单!$G$4:$G$2503=$A930),入库单!$C$4:$C$2503),""),账期止-$N930)))</f>
        <v/>
      </c>
      <c r="P930" s="17" t="n"/>
    </row>
    <row r="931">
      <c r="A931" s="17" t="n"/>
      <c r="B931" s="17" t="n"/>
      <c r="C931" s="17" t="n"/>
      <c r="D931" s="17" t="n"/>
      <c r="E931" s="17" t="n"/>
      <c r="F931" s="17" t="n"/>
      <c r="G931" s="23" t="n"/>
      <c r="H931" s="24">
        <f>IF($A931="","",IFERROR(LOOKUP(2,1/((入库单!$G$4:$G$2503=$A931)*(入库单!$Y$4:$Y$2503="正常")*(入库单!$L$4:$L$2503&gt;0)),入库单!$D$4:$D$2503),""))</f>
        <v/>
      </c>
      <c r="I931" s="25">
        <f>IF($A931="","",IFERROR(LOOKUP(2,1/((入库单!$G$4:$G$2503=$A931)*(入库单!$Y$4:$Y$2503="正常")*(入库单!$L$4:$L$2503&gt;0)),入库单!$L$4:$L$2503),0))</f>
        <v/>
      </c>
      <c r="J931" s="26">
        <f>IF($A931="","",IF($H931="A国内",ROUND($I931*倍数A*汇率,0),IF($H931="B当地",ROUND($I931*系数B,0),0)))</f>
        <v/>
      </c>
      <c r="K931" s="24">
        <f>IF($A931="","",IF(COUNTIFS(入库单!$G$4:$G$2503,$A931,入库单!$X$4:$X$2503,"待补价")&gt;0,"待补价",IF(COUNTIFS(入库单!$G$4:$G$2503,$A931,入库单!$X$4:$X$2503,"暂估")&gt;0,"暂估",IF($I931=0,"没有进价","正常"))))</f>
        <v/>
      </c>
      <c r="L931" s="27">
        <f>IF($A931="","",IFERROR(VLOOKUP($A931,库存台账!$A$5:$Y$1204,24,0),0))</f>
        <v/>
      </c>
      <c r="M931" s="26">
        <f>IF($A931="","",IFERROR(VLOOKUP($A931,库存台账!$A$5:$Y$1204,25,0),0))</f>
        <v/>
      </c>
      <c r="N931" s="19">
        <f>IF($A931="","",IFERROR(LOOKUP(2,1/((出库单!$D$4:$D$4003=$A931)*(出库单!$T$4:$T$4003="正常")),出库单!$C$4:$C$4003),""))</f>
        <v/>
      </c>
      <c r="O931" s="28">
        <f>IF($A931="","",IF($L931&lt;=0,"",IF($N931="",IFERROR(账期止-LOOKUP(2,1/(入库单!$G$4:$G$2503=$A931),入库单!$C$4:$C$2503),""),账期止-$N931)))</f>
        <v/>
      </c>
      <c r="P931" s="17" t="n"/>
    </row>
    <row r="932">
      <c r="A932" s="17" t="n"/>
      <c r="B932" s="17" t="n"/>
      <c r="C932" s="17" t="n"/>
      <c r="D932" s="17" t="n"/>
      <c r="E932" s="17" t="n"/>
      <c r="F932" s="17" t="n"/>
      <c r="G932" s="23" t="n"/>
      <c r="H932" s="24">
        <f>IF($A932="","",IFERROR(LOOKUP(2,1/((入库单!$G$4:$G$2503=$A932)*(入库单!$Y$4:$Y$2503="正常")*(入库单!$L$4:$L$2503&gt;0)),入库单!$D$4:$D$2503),""))</f>
        <v/>
      </c>
      <c r="I932" s="25">
        <f>IF($A932="","",IFERROR(LOOKUP(2,1/((入库单!$G$4:$G$2503=$A932)*(入库单!$Y$4:$Y$2503="正常")*(入库单!$L$4:$L$2503&gt;0)),入库单!$L$4:$L$2503),0))</f>
        <v/>
      </c>
      <c r="J932" s="26">
        <f>IF($A932="","",IF($H932="A国内",ROUND($I932*倍数A*汇率,0),IF($H932="B当地",ROUND($I932*系数B,0),0)))</f>
        <v/>
      </c>
      <c r="K932" s="24">
        <f>IF($A932="","",IF(COUNTIFS(入库单!$G$4:$G$2503,$A932,入库单!$X$4:$X$2503,"待补价")&gt;0,"待补价",IF(COUNTIFS(入库单!$G$4:$G$2503,$A932,入库单!$X$4:$X$2503,"暂估")&gt;0,"暂估",IF($I932=0,"没有进价","正常"))))</f>
        <v/>
      </c>
      <c r="L932" s="27">
        <f>IF($A932="","",IFERROR(VLOOKUP($A932,库存台账!$A$5:$Y$1204,24,0),0))</f>
        <v/>
      </c>
      <c r="M932" s="26">
        <f>IF($A932="","",IFERROR(VLOOKUP($A932,库存台账!$A$5:$Y$1204,25,0),0))</f>
        <v/>
      </c>
      <c r="N932" s="19">
        <f>IF($A932="","",IFERROR(LOOKUP(2,1/((出库单!$D$4:$D$4003=$A932)*(出库单!$T$4:$T$4003="正常")),出库单!$C$4:$C$4003),""))</f>
        <v/>
      </c>
      <c r="O932" s="28">
        <f>IF($A932="","",IF($L932&lt;=0,"",IF($N932="",IFERROR(账期止-LOOKUP(2,1/(入库单!$G$4:$G$2503=$A932),入库单!$C$4:$C$2503),""),账期止-$N932)))</f>
        <v/>
      </c>
      <c r="P932" s="17" t="n"/>
    </row>
    <row r="933">
      <c r="A933" s="17" t="n"/>
      <c r="B933" s="17" t="n"/>
      <c r="C933" s="17" t="n"/>
      <c r="D933" s="17" t="n"/>
      <c r="E933" s="17" t="n"/>
      <c r="F933" s="17" t="n"/>
      <c r="G933" s="23" t="n"/>
      <c r="H933" s="24">
        <f>IF($A933="","",IFERROR(LOOKUP(2,1/((入库单!$G$4:$G$2503=$A933)*(入库单!$Y$4:$Y$2503="正常")*(入库单!$L$4:$L$2503&gt;0)),入库单!$D$4:$D$2503),""))</f>
        <v/>
      </c>
      <c r="I933" s="25">
        <f>IF($A933="","",IFERROR(LOOKUP(2,1/((入库单!$G$4:$G$2503=$A933)*(入库单!$Y$4:$Y$2503="正常")*(入库单!$L$4:$L$2503&gt;0)),入库单!$L$4:$L$2503),0))</f>
        <v/>
      </c>
      <c r="J933" s="26">
        <f>IF($A933="","",IF($H933="A国内",ROUND($I933*倍数A*汇率,0),IF($H933="B当地",ROUND($I933*系数B,0),0)))</f>
        <v/>
      </c>
      <c r="K933" s="24">
        <f>IF($A933="","",IF(COUNTIFS(入库单!$G$4:$G$2503,$A933,入库单!$X$4:$X$2503,"待补价")&gt;0,"待补价",IF(COUNTIFS(入库单!$G$4:$G$2503,$A933,入库单!$X$4:$X$2503,"暂估")&gt;0,"暂估",IF($I933=0,"没有进价","正常"))))</f>
        <v/>
      </c>
      <c r="L933" s="27">
        <f>IF($A933="","",IFERROR(VLOOKUP($A933,库存台账!$A$5:$Y$1204,24,0),0))</f>
        <v/>
      </c>
      <c r="M933" s="26">
        <f>IF($A933="","",IFERROR(VLOOKUP($A933,库存台账!$A$5:$Y$1204,25,0),0))</f>
        <v/>
      </c>
      <c r="N933" s="19">
        <f>IF($A933="","",IFERROR(LOOKUP(2,1/((出库单!$D$4:$D$4003=$A933)*(出库单!$T$4:$T$4003="正常")),出库单!$C$4:$C$4003),""))</f>
        <v/>
      </c>
      <c r="O933" s="28">
        <f>IF($A933="","",IF($L933&lt;=0,"",IF($N933="",IFERROR(账期止-LOOKUP(2,1/(入库单!$G$4:$G$2503=$A933),入库单!$C$4:$C$2503),""),账期止-$N933)))</f>
        <v/>
      </c>
      <c r="P933" s="17" t="n"/>
    </row>
    <row r="934">
      <c r="A934" s="17" t="n"/>
      <c r="B934" s="17" t="n"/>
      <c r="C934" s="17" t="n"/>
      <c r="D934" s="17" t="n"/>
      <c r="E934" s="17" t="n"/>
      <c r="F934" s="17" t="n"/>
      <c r="G934" s="23" t="n"/>
      <c r="H934" s="24">
        <f>IF($A934="","",IFERROR(LOOKUP(2,1/((入库单!$G$4:$G$2503=$A934)*(入库单!$Y$4:$Y$2503="正常")*(入库单!$L$4:$L$2503&gt;0)),入库单!$D$4:$D$2503),""))</f>
        <v/>
      </c>
      <c r="I934" s="25">
        <f>IF($A934="","",IFERROR(LOOKUP(2,1/((入库单!$G$4:$G$2503=$A934)*(入库单!$Y$4:$Y$2503="正常")*(入库单!$L$4:$L$2503&gt;0)),入库单!$L$4:$L$2503),0))</f>
        <v/>
      </c>
      <c r="J934" s="26">
        <f>IF($A934="","",IF($H934="A国内",ROUND($I934*倍数A*汇率,0),IF($H934="B当地",ROUND($I934*系数B,0),0)))</f>
        <v/>
      </c>
      <c r="K934" s="24">
        <f>IF($A934="","",IF(COUNTIFS(入库单!$G$4:$G$2503,$A934,入库单!$X$4:$X$2503,"待补价")&gt;0,"待补价",IF(COUNTIFS(入库单!$G$4:$G$2503,$A934,入库单!$X$4:$X$2503,"暂估")&gt;0,"暂估",IF($I934=0,"没有进价","正常"))))</f>
        <v/>
      </c>
      <c r="L934" s="27">
        <f>IF($A934="","",IFERROR(VLOOKUP($A934,库存台账!$A$5:$Y$1204,24,0),0))</f>
        <v/>
      </c>
      <c r="M934" s="26">
        <f>IF($A934="","",IFERROR(VLOOKUP($A934,库存台账!$A$5:$Y$1204,25,0),0))</f>
        <v/>
      </c>
      <c r="N934" s="19">
        <f>IF($A934="","",IFERROR(LOOKUP(2,1/((出库单!$D$4:$D$4003=$A934)*(出库单!$T$4:$T$4003="正常")),出库单!$C$4:$C$4003),""))</f>
        <v/>
      </c>
      <c r="O934" s="28">
        <f>IF($A934="","",IF($L934&lt;=0,"",IF($N934="",IFERROR(账期止-LOOKUP(2,1/(入库单!$G$4:$G$2503=$A934),入库单!$C$4:$C$2503),""),账期止-$N934)))</f>
        <v/>
      </c>
      <c r="P934" s="17" t="n"/>
    </row>
    <row r="935">
      <c r="A935" s="17" t="n"/>
      <c r="B935" s="17" t="n"/>
      <c r="C935" s="17" t="n"/>
      <c r="D935" s="17" t="n"/>
      <c r="E935" s="17" t="n"/>
      <c r="F935" s="17" t="n"/>
      <c r="G935" s="23" t="n"/>
      <c r="H935" s="24">
        <f>IF($A935="","",IFERROR(LOOKUP(2,1/((入库单!$G$4:$G$2503=$A935)*(入库单!$Y$4:$Y$2503="正常")*(入库单!$L$4:$L$2503&gt;0)),入库单!$D$4:$D$2503),""))</f>
        <v/>
      </c>
      <c r="I935" s="25">
        <f>IF($A935="","",IFERROR(LOOKUP(2,1/((入库单!$G$4:$G$2503=$A935)*(入库单!$Y$4:$Y$2503="正常")*(入库单!$L$4:$L$2503&gt;0)),入库单!$L$4:$L$2503),0))</f>
        <v/>
      </c>
      <c r="J935" s="26">
        <f>IF($A935="","",IF($H935="A国内",ROUND($I935*倍数A*汇率,0),IF($H935="B当地",ROUND($I935*系数B,0),0)))</f>
        <v/>
      </c>
      <c r="K935" s="24">
        <f>IF($A935="","",IF(COUNTIFS(入库单!$G$4:$G$2503,$A935,入库单!$X$4:$X$2503,"待补价")&gt;0,"待补价",IF(COUNTIFS(入库单!$G$4:$G$2503,$A935,入库单!$X$4:$X$2503,"暂估")&gt;0,"暂估",IF($I935=0,"没有进价","正常"))))</f>
        <v/>
      </c>
      <c r="L935" s="27">
        <f>IF($A935="","",IFERROR(VLOOKUP($A935,库存台账!$A$5:$Y$1204,24,0),0))</f>
        <v/>
      </c>
      <c r="M935" s="26">
        <f>IF($A935="","",IFERROR(VLOOKUP($A935,库存台账!$A$5:$Y$1204,25,0),0))</f>
        <v/>
      </c>
      <c r="N935" s="19">
        <f>IF($A935="","",IFERROR(LOOKUP(2,1/((出库单!$D$4:$D$4003=$A935)*(出库单!$T$4:$T$4003="正常")),出库单!$C$4:$C$4003),""))</f>
        <v/>
      </c>
      <c r="O935" s="28">
        <f>IF($A935="","",IF($L935&lt;=0,"",IF($N935="",IFERROR(账期止-LOOKUP(2,1/(入库单!$G$4:$G$2503=$A935),入库单!$C$4:$C$2503),""),账期止-$N935)))</f>
        <v/>
      </c>
      <c r="P935" s="17" t="n"/>
    </row>
    <row r="936">
      <c r="A936" s="17" t="n"/>
      <c r="B936" s="17" t="n"/>
      <c r="C936" s="17" t="n"/>
      <c r="D936" s="17" t="n"/>
      <c r="E936" s="17" t="n"/>
      <c r="F936" s="17" t="n"/>
      <c r="G936" s="23" t="n"/>
      <c r="H936" s="24">
        <f>IF($A936="","",IFERROR(LOOKUP(2,1/((入库单!$G$4:$G$2503=$A936)*(入库单!$Y$4:$Y$2503="正常")*(入库单!$L$4:$L$2503&gt;0)),入库单!$D$4:$D$2503),""))</f>
        <v/>
      </c>
      <c r="I936" s="25">
        <f>IF($A936="","",IFERROR(LOOKUP(2,1/((入库单!$G$4:$G$2503=$A936)*(入库单!$Y$4:$Y$2503="正常")*(入库单!$L$4:$L$2503&gt;0)),入库单!$L$4:$L$2503),0))</f>
        <v/>
      </c>
      <c r="J936" s="26">
        <f>IF($A936="","",IF($H936="A国内",ROUND($I936*倍数A*汇率,0),IF($H936="B当地",ROUND($I936*系数B,0),0)))</f>
        <v/>
      </c>
      <c r="K936" s="24">
        <f>IF($A936="","",IF(COUNTIFS(入库单!$G$4:$G$2503,$A936,入库单!$X$4:$X$2503,"待补价")&gt;0,"待补价",IF(COUNTIFS(入库单!$G$4:$G$2503,$A936,入库单!$X$4:$X$2503,"暂估")&gt;0,"暂估",IF($I936=0,"没有进价","正常"))))</f>
        <v/>
      </c>
      <c r="L936" s="27">
        <f>IF($A936="","",IFERROR(VLOOKUP($A936,库存台账!$A$5:$Y$1204,24,0),0))</f>
        <v/>
      </c>
      <c r="M936" s="26">
        <f>IF($A936="","",IFERROR(VLOOKUP($A936,库存台账!$A$5:$Y$1204,25,0),0))</f>
        <v/>
      </c>
      <c r="N936" s="19">
        <f>IF($A936="","",IFERROR(LOOKUP(2,1/((出库单!$D$4:$D$4003=$A936)*(出库单!$T$4:$T$4003="正常")),出库单!$C$4:$C$4003),""))</f>
        <v/>
      </c>
      <c r="O936" s="28">
        <f>IF($A936="","",IF($L936&lt;=0,"",IF($N936="",IFERROR(账期止-LOOKUP(2,1/(入库单!$G$4:$G$2503=$A936),入库单!$C$4:$C$2503),""),账期止-$N936)))</f>
        <v/>
      </c>
      <c r="P936" s="17" t="n"/>
    </row>
    <row r="937">
      <c r="A937" s="17" t="n"/>
      <c r="B937" s="17" t="n"/>
      <c r="C937" s="17" t="n"/>
      <c r="D937" s="17" t="n"/>
      <c r="E937" s="17" t="n"/>
      <c r="F937" s="17" t="n"/>
      <c r="G937" s="23" t="n"/>
      <c r="H937" s="24">
        <f>IF($A937="","",IFERROR(LOOKUP(2,1/((入库单!$G$4:$G$2503=$A937)*(入库单!$Y$4:$Y$2503="正常")*(入库单!$L$4:$L$2503&gt;0)),入库单!$D$4:$D$2503),""))</f>
        <v/>
      </c>
      <c r="I937" s="25">
        <f>IF($A937="","",IFERROR(LOOKUP(2,1/((入库单!$G$4:$G$2503=$A937)*(入库单!$Y$4:$Y$2503="正常")*(入库单!$L$4:$L$2503&gt;0)),入库单!$L$4:$L$2503),0))</f>
        <v/>
      </c>
      <c r="J937" s="26">
        <f>IF($A937="","",IF($H937="A国内",ROUND($I937*倍数A*汇率,0),IF($H937="B当地",ROUND($I937*系数B,0),0)))</f>
        <v/>
      </c>
      <c r="K937" s="24">
        <f>IF($A937="","",IF(COUNTIFS(入库单!$G$4:$G$2503,$A937,入库单!$X$4:$X$2503,"待补价")&gt;0,"待补价",IF(COUNTIFS(入库单!$G$4:$G$2503,$A937,入库单!$X$4:$X$2503,"暂估")&gt;0,"暂估",IF($I937=0,"没有进价","正常"))))</f>
        <v/>
      </c>
      <c r="L937" s="27">
        <f>IF($A937="","",IFERROR(VLOOKUP($A937,库存台账!$A$5:$Y$1204,24,0),0))</f>
        <v/>
      </c>
      <c r="M937" s="26">
        <f>IF($A937="","",IFERROR(VLOOKUP($A937,库存台账!$A$5:$Y$1204,25,0),0))</f>
        <v/>
      </c>
      <c r="N937" s="19">
        <f>IF($A937="","",IFERROR(LOOKUP(2,1/((出库单!$D$4:$D$4003=$A937)*(出库单!$T$4:$T$4003="正常")),出库单!$C$4:$C$4003),""))</f>
        <v/>
      </c>
      <c r="O937" s="28">
        <f>IF($A937="","",IF($L937&lt;=0,"",IF($N937="",IFERROR(账期止-LOOKUP(2,1/(入库单!$G$4:$G$2503=$A937),入库单!$C$4:$C$2503),""),账期止-$N937)))</f>
        <v/>
      </c>
      <c r="P937" s="17" t="n"/>
    </row>
    <row r="938">
      <c r="A938" s="17" t="n"/>
      <c r="B938" s="17" t="n"/>
      <c r="C938" s="17" t="n"/>
      <c r="D938" s="17" t="n"/>
      <c r="E938" s="17" t="n"/>
      <c r="F938" s="17" t="n"/>
      <c r="G938" s="23" t="n"/>
      <c r="H938" s="24">
        <f>IF($A938="","",IFERROR(LOOKUP(2,1/((入库单!$G$4:$G$2503=$A938)*(入库单!$Y$4:$Y$2503="正常")*(入库单!$L$4:$L$2503&gt;0)),入库单!$D$4:$D$2503),""))</f>
        <v/>
      </c>
      <c r="I938" s="25">
        <f>IF($A938="","",IFERROR(LOOKUP(2,1/((入库单!$G$4:$G$2503=$A938)*(入库单!$Y$4:$Y$2503="正常")*(入库单!$L$4:$L$2503&gt;0)),入库单!$L$4:$L$2503),0))</f>
        <v/>
      </c>
      <c r="J938" s="26">
        <f>IF($A938="","",IF($H938="A国内",ROUND($I938*倍数A*汇率,0),IF($H938="B当地",ROUND($I938*系数B,0),0)))</f>
        <v/>
      </c>
      <c r="K938" s="24">
        <f>IF($A938="","",IF(COUNTIFS(入库单!$G$4:$G$2503,$A938,入库单!$X$4:$X$2503,"待补价")&gt;0,"待补价",IF(COUNTIFS(入库单!$G$4:$G$2503,$A938,入库单!$X$4:$X$2503,"暂估")&gt;0,"暂估",IF($I938=0,"没有进价","正常"))))</f>
        <v/>
      </c>
      <c r="L938" s="27">
        <f>IF($A938="","",IFERROR(VLOOKUP($A938,库存台账!$A$5:$Y$1204,24,0),0))</f>
        <v/>
      </c>
      <c r="M938" s="26">
        <f>IF($A938="","",IFERROR(VLOOKUP($A938,库存台账!$A$5:$Y$1204,25,0),0))</f>
        <v/>
      </c>
      <c r="N938" s="19">
        <f>IF($A938="","",IFERROR(LOOKUP(2,1/((出库单!$D$4:$D$4003=$A938)*(出库单!$T$4:$T$4003="正常")),出库单!$C$4:$C$4003),""))</f>
        <v/>
      </c>
      <c r="O938" s="28">
        <f>IF($A938="","",IF($L938&lt;=0,"",IF($N938="",IFERROR(账期止-LOOKUP(2,1/(入库单!$G$4:$G$2503=$A938),入库单!$C$4:$C$2503),""),账期止-$N938)))</f>
        <v/>
      </c>
      <c r="P938" s="17" t="n"/>
    </row>
    <row r="939">
      <c r="A939" s="17" t="n"/>
      <c r="B939" s="17" t="n"/>
      <c r="C939" s="17" t="n"/>
      <c r="D939" s="17" t="n"/>
      <c r="E939" s="17" t="n"/>
      <c r="F939" s="17" t="n"/>
      <c r="G939" s="23" t="n"/>
      <c r="H939" s="24">
        <f>IF($A939="","",IFERROR(LOOKUP(2,1/((入库单!$G$4:$G$2503=$A939)*(入库单!$Y$4:$Y$2503="正常")*(入库单!$L$4:$L$2503&gt;0)),入库单!$D$4:$D$2503),""))</f>
        <v/>
      </c>
      <c r="I939" s="25">
        <f>IF($A939="","",IFERROR(LOOKUP(2,1/((入库单!$G$4:$G$2503=$A939)*(入库单!$Y$4:$Y$2503="正常")*(入库单!$L$4:$L$2503&gt;0)),入库单!$L$4:$L$2503),0))</f>
        <v/>
      </c>
      <c r="J939" s="26">
        <f>IF($A939="","",IF($H939="A国内",ROUND($I939*倍数A*汇率,0),IF($H939="B当地",ROUND($I939*系数B,0),0)))</f>
        <v/>
      </c>
      <c r="K939" s="24">
        <f>IF($A939="","",IF(COUNTIFS(入库单!$G$4:$G$2503,$A939,入库单!$X$4:$X$2503,"待补价")&gt;0,"待补价",IF(COUNTIFS(入库单!$G$4:$G$2503,$A939,入库单!$X$4:$X$2503,"暂估")&gt;0,"暂估",IF($I939=0,"没有进价","正常"))))</f>
        <v/>
      </c>
      <c r="L939" s="27">
        <f>IF($A939="","",IFERROR(VLOOKUP($A939,库存台账!$A$5:$Y$1204,24,0),0))</f>
        <v/>
      </c>
      <c r="M939" s="26">
        <f>IF($A939="","",IFERROR(VLOOKUP($A939,库存台账!$A$5:$Y$1204,25,0),0))</f>
        <v/>
      </c>
      <c r="N939" s="19">
        <f>IF($A939="","",IFERROR(LOOKUP(2,1/((出库单!$D$4:$D$4003=$A939)*(出库单!$T$4:$T$4003="正常")),出库单!$C$4:$C$4003),""))</f>
        <v/>
      </c>
      <c r="O939" s="28">
        <f>IF($A939="","",IF($L939&lt;=0,"",IF($N939="",IFERROR(账期止-LOOKUP(2,1/(入库单!$G$4:$G$2503=$A939),入库单!$C$4:$C$2503),""),账期止-$N939)))</f>
        <v/>
      </c>
      <c r="P939" s="17" t="n"/>
    </row>
    <row r="940">
      <c r="A940" s="17" t="n"/>
      <c r="B940" s="17" t="n"/>
      <c r="C940" s="17" t="n"/>
      <c r="D940" s="17" t="n"/>
      <c r="E940" s="17" t="n"/>
      <c r="F940" s="17" t="n"/>
      <c r="G940" s="23" t="n"/>
      <c r="H940" s="24">
        <f>IF($A940="","",IFERROR(LOOKUP(2,1/((入库单!$G$4:$G$2503=$A940)*(入库单!$Y$4:$Y$2503="正常")*(入库单!$L$4:$L$2503&gt;0)),入库单!$D$4:$D$2503),""))</f>
        <v/>
      </c>
      <c r="I940" s="25">
        <f>IF($A940="","",IFERROR(LOOKUP(2,1/((入库单!$G$4:$G$2503=$A940)*(入库单!$Y$4:$Y$2503="正常")*(入库单!$L$4:$L$2503&gt;0)),入库单!$L$4:$L$2503),0))</f>
        <v/>
      </c>
      <c r="J940" s="26">
        <f>IF($A940="","",IF($H940="A国内",ROUND($I940*倍数A*汇率,0),IF($H940="B当地",ROUND($I940*系数B,0),0)))</f>
        <v/>
      </c>
      <c r="K940" s="24">
        <f>IF($A940="","",IF(COUNTIFS(入库单!$G$4:$G$2503,$A940,入库单!$X$4:$X$2503,"待补价")&gt;0,"待补价",IF(COUNTIFS(入库单!$G$4:$G$2503,$A940,入库单!$X$4:$X$2503,"暂估")&gt;0,"暂估",IF($I940=0,"没有进价","正常"))))</f>
        <v/>
      </c>
      <c r="L940" s="27">
        <f>IF($A940="","",IFERROR(VLOOKUP($A940,库存台账!$A$5:$Y$1204,24,0),0))</f>
        <v/>
      </c>
      <c r="M940" s="26">
        <f>IF($A940="","",IFERROR(VLOOKUP($A940,库存台账!$A$5:$Y$1204,25,0),0))</f>
        <v/>
      </c>
      <c r="N940" s="19">
        <f>IF($A940="","",IFERROR(LOOKUP(2,1/((出库单!$D$4:$D$4003=$A940)*(出库单!$T$4:$T$4003="正常")),出库单!$C$4:$C$4003),""))</f>
        <v/>
      </c>
      <c r="O940" s="28">
        <f>IF($A940="","",IF($L940&lt;=0,"",IF($N940="",IFERROR(账期止-LOOKUP(2,1/(入库单!$G$4:$G$2503=$A940),入库单!$C$4:$C$2503),""),账期止-$N940)))</f>
        <v/>
      </c>
      <c r="P940" s="17" t="n"/>
    </row>
    <row r="941">
      <c r="A941" s="17" t="n"/>
      <c r="B941" s="17" t="n"/>
      <c r="C941" s="17" t="n"/>
      <c r="D941" s="17" t="n"/>
      <c r="E941" s="17" t="n"/>
      <c r="F941" s="17" t="n"/>
      <c r="G941" s="23" t="n"/>
      <c r="H941" s="24">
        <f>IF($A941="","",IFERROR(LOOKUP(2,1/((入库单!$G$4:$G$2503=$A941)*(入库单!$Y$4:$Y$2503="正常")*(入库单!$L$4:$L$2503&gt;0)),入库单!$D$4:$D$2503),""))</f>
        <v/>
      </c>
      <c r="I941" s="25">
        <f>IF($A941="","",IFERROR(LOOKUP(2,1/((入库单!$G$4:$G$2503=$A941)*(入库单!$Y$4:$Y$2503="正常")*(入库单!$L$4:$L$2503&gt;0)),入库单!$L$4:$L$2503),0))</f>
        <v/>
      </c>
      <c r="J941" s="26">
        <f>IF($A941="","",IF($H941="A国内",ROUND($I941*倍数A*汇率,0),IF($H941="B当地",ROUND($I941*系数B,0),0)))</f>
        <v/>
      </c>
      <c r="K941" s="24">
        <f>IF($A941="","",IF(COUNTIFS(入库单!$G$4:$G$2503,$A941,入库单!$X$4:$X$2503,"待补价")&gt;0,"待补价",IF(COUNTIFS(入库单!$G$4:$G$2503,$A941,入库单!$X$4:$X$2503,"暂估")&gt;0,"暂估",IF($I941=0,"没有进价","正常"))))</f>
        <v/>
      </c>
      <c r="L941" s="27">
        <f>IF($A941="","",IFERROR(VLOOKUP($A941,库存台账!$A$5:$Y$1204,24,0),0))</f>
        <v/>
      </c>
      <c r="M941" s="26">
        <f>IF($A941="","",IFERROR(VLOOKUP($A941,库存台账!$A$5:$Y$1204,25,0),0))</f>
        <v/>
      </c>
      <c r="N941" s="19">
        <f>IF($A941="","",IFERROR(LOOKUP(2,1/((出库单!$D$4:$D$4003=$A941)*(出库单!$T$4:$T$4003="正常")),出库单!$C$4:$C$4003),""))</f>
        <v/>
      </c>
      <c r="O941" s="28">
        <f>IF($A941="","",IF($L941&lt;=0,"",IF($N941="",IFERROR(账期止-LOOKUP(2,1/(入库单!$G$4:$G$2503=$A941),入库单!$C$4:$C$2503),""),账期止-$N941)))</f>
        <v/>
      </c>
      <c r="P941" s="17" t="n"/>
    </row>
    <row r="942">
      <c r="A942" s="17" t="n"/>
      <c r="B942" s="17" t="n"/>
      <c r="C942" s="17" t="n"/>
      <c r="D942" s="17" t="n"/>
      <c r="E942" s="17" t="n"/>
      <c r="F942" s="17" t="n"/>
      <c r="G942" s="23" t="n"/>
      <c r="H942" s="24">
        <f>IF($A942="","",IFERROR(LOOKUP(2,1/((入库单!$G$4:$G$2503=$A942)*(入库单!$Y$4:$Y$2503="正常")*(入库单!$L$4:$L$2503&gt;0)),入库单!$D$4:$D$2503),""))</f>
        <v/>
      </c>
      <c r="I942" s="25">
        <f>IF($A942="","",IFERROR(LOOKUP(2,1/((入库单!$G$4:$G$2503=$A942)*(入库单!$Y$4:$Y$2503="正常")*(入库单!$L$4:$L$2503&gt;0)),入库单!$L$4:$L$2503),0))</f>
        <v/>
      </c>
      <c r="J942" s="26">
        <f>IF($A942="","",IF($H942="A国内",ROUND($I942*倍数A*汇率,0),IF($H942="B当地",ROUND($I942*系数B,0),0)))</f>
        <v/>
      </c>
      <c r="K942" s="24">
        <f>IF($A942="","",IF(COUNTIFS(入库单!$G$4:$G$2503,$A942,入库单!$X$4:$X$2503,"待补价")&gt;0,"待补价",IF(COUNTIFS(入库单!$G$4:$G$2503,$A942,入库单!$X$4:$X$2503,"暂估")&gt;0,"暂估",IF($I942=0,"没有进价","正常"))))</f>
        <v/>
      </c>
      <c r="L942" s="27">
        <f>IF($A942="","",IFERROR(VLOOKUP($A942,库存台账!$A$5:$Y$1204,24,0),0))</f>
        <v/>
      </c>
      <c r="M942" s="26">
        <f>IF($A942="","",IFERROR(VLOOKUP($A942,库存台账!$A$5:$Y$1204,25,0),0))</f>
        <v/>
      </c>
      <c r="N942" s="19">
        <f>IF($A942="","",IFERROR(LOOKUP(2,1/((出库单!$D$4:$D$4003=$A942)*(出库单!$T$4:$T$4003="正常")),出库单!$C$4:$C$4003),""))</f>
        <v/>
      </c>
      <c r="O942" s="28">
        <f>IF($A942="","",IF($L942&lt;=0,"",IF($N942="",IFERROR(账期止-LOOKUP(2,1/(入库单!$G$4:$G$2503=$A942),入库单!$C$4:$C$2503),""),账期止-$N942)))</f>
        <v/>
      </c>
      <c r="P942" s="17" t="n"/>
    </row>
    <row r="943">
      <c r="A943" s="17" t="n"/>
      <c r="B943" s="17" t="n"/>
      <c r="C943" s="17" t="n"/>
      <c r="D943" s="17" t="n"/>
      <c r="E943" s="17" t="n"/>
      <c r="F943" s="17" t="n"/>
      <c r="G943" s="23" t="n"/>
      <c r="H943" s="24">
        <f>IF($A943="","",IFERROR(LOOKUP(2,1/((入库单!$G$4:$G$2503=$A943)*(入库单!$Y$4:$Y$2503="正常")*(入库单!$L$4:$L$2503&gt;0)),入库单!$D$4:$D$2503),""))</f>
        <v/>
      </c>
      <c r="I943" s="25">
        <f>IF($A943="","",IFERROR(LOOKUP(2,1/((入库单!$G$4:$G$2503=$A943)*(入库单!$Y$4:$Y$2503="正常")*(入库单!$L$4:$L$2503&gt;0)),入库单!$L$4:$L$2503),0))</f>
        <v/>
      </c>
      <c r="J943" s="26">
        <f>IF($A943="","",IF($H943="A国内",ROUND($I943*倍数A*汇率,0),IF($H943="B当地",ROUND($I943*系数B,0),0)))</f>
        <v/>
      </c>
      <c r="K943" s="24">
        <f>IF($A943="","",IF(COUNTIFS(入库单!$G$4:$G$2503,$A943,入库单!$X$4:$X$2503,"待补价")&gt;0,"待补价",IF(COUNTIFS(入库单!$G$4:$G$2503,$A943,入库单!$X$4:$X$2503,"暂估")&gt;0,"暂估",IF($I943=0,"没有进价","正常"))))</f>
        <v/>
      </c>
      <c r="L943" s="27">
        <f>IF($A943="","",IFERROR(VLOOKUP($A943,库存台账!$A$5:$Y$1204,24,0),0))</f>
        <v/>
      </c>
      <c r="M943" s="26">
        <f>IF($A943="","",IFERROR(VLOOKUP($A943,库存台账!$A$5:$Y$1204,25,0),0))</f>
        <v/>
      </c>
      <c r="N943" s="19">
        <f>IF($A943="","",IFERROR(LOOKUP(2,1/((出库单!$D$4:$D$4003=$A943)*(出库单!$T$4:$T$4003="正常")),出库单!$C$4:$C$4003),""))</f>
        <v/>
      </c>
      <c r="O943" s="28">
        <f>IF($A943="","",IF($L943&lt;=0,"",IF($N943="",IFERROR(账期止-LOOKUP(2,1/(入库单!$G$4:$G$2503=$A943),入库单!$C$4:$C$2503),""),账期止-$N943)))</f>
        <v/>
      </c>
      <c r="P943" s="17" t="n"/>
    </row>
    <row r="944">
      <c r="A944" s="17" t="n"/>
      <c r="B944" s="17" t="n"/>
      <c r="C944" s="17" t="n"/>
      <c r="D944" s="17" t="n"/>
      <c r="E944" s="17" t="n"/>
      <c r="F944" s="17" t="n"/>
      <c r="G944" s="23" t="n"/>
      <c r="H944" s="24">
        <f>IF($A944="","",IFERROR(LOOKUP(2,1/((入库单!$G$4:$G$2503=$A944)*(入库单!$Y$4:$Y$2503="正常")*(入库单!$L$4:$L$2503&gt;0)),入库单!$D$4:$D$2503),""))</f>
        <v/>
      </c>
      <c r="I944" s="25">
        <f>IF($A944="","",IFERROR(LOOKUP(2,1/((入库单!$G$4:$G$2503=$A944)*(入库单!$Y$4:$Y$2503="正常")*(入库单!$L$4:$L$2503&gt;0)),入库单!$L$4:$L$2503),0))</f>
        <v/>
      </c>
      <c r="J944" s="26">
        <f>IF($A944="","",IF($H944="A国内",ROUND($I944*倍数A*汇率,0),IF($H944="B当地",ROUND($I944*系数B,0),0)))</f>
        <v/>
      </c>
      <c r="K944" s="24">
        <f>IF($A944="","",IF(COUNTIFS(入库单!$G$4:$G$2503,$A944,入库单!$X$4:$X$2503,"待补价")&gt;0,"待补价",IF(COUNTIFS(入库单!$G$4:$G$2503,$A944,入库单!$X$4:$X$2503,"暂估")&gt;0,"暂估",IF($I944=0,"没有进价","正常"))))</f>
        <v/>
      </c>
      <c r="L944" s="27">
        <f>IF($A944="","",IFERROR(VLOOKUP($A944,库存台账!$A$5:$Y$1204,24,0),0))</f>
        <v/>
      </c>
      <c r="M944" s="26">
        <f>IF($A944="","",IFERROR(VLOOKUP($A944,库存台账!$A$5:$Y$1204,25,0),0))</f>
        <v/>
      </c>
      <c r="N944" s="19">
        <f>IF($A944="","",IFERROR(LOOKUP(2,1/((出库单!$D$4:$D$4003=$A944)*(出库单!$T$4:$T$4003="正常")),出库单!$C$4:$C$4003),""))</f>
        <v/>
      </c>
      <c r="O944" s="28">
        <f>IF($A944="","",IF($L944&lt;=0,"",IF($N944="",IFERROR(账期止-LOOKUP(2,1/(入库单!$G$4:$G$2503=$A944),入库单!$C$4:$C$2503),""),账期止-$N944)))</f>
        <v/>
      </c>
      <c r="P944" s="17" t="n"/>
    </row>
    <row r="945">
      <c r="A945" s="17" t="n"/>
      <c r="B945" s="17" t="n"/>
      <c r="C945" s="17" t="n"/>
      <c r="D945" s="17" t="n"/>
      <c r="E945" s="17" t="n"/>
      <c r="F945" s="17" t="n"/>
      <c r="G945" s="23" t="n"/>
      <c r="H945" s="24">
        <f>IF($A945="","",IFERROR(LOOKUP(2,1/((入库单!$G$4:$G$2503=$A945)*(入库单!$Y$4:$Y$2503="正常")*(入库单!$L$4:$L$2503&gt;0)),入库单!$D$4:$D$2503),""))</f>
        <v/>
      </c>
      <c r="I945" s="25">
        <f>IF($A945="","",IFERROR(LOOKUP(2,1/((入库单!$G$4:$G$2503=$A945)*(入库单!$Y$4:$Y$2503="正常")*(入库单!$L$4:$L$2503&gt;0)),入库单!$L$4:$L$2503),0))</f>
        <v/>
      </c>
      <c r="J945" s="26">
        <f>IF($A945="","",IF($H945="A国内",ROUND($I945*倍数A*汇率,0),IF($H945="B当地",ROUND($I945*系数B,0),0)))</f>
        <v/>
      </c>
      <c r="K945" s="24">
        <f>IF($A945="","",IF(COUNTIFS(入库单!$G$4:$G$2503,$A945,入库单!$X$4:$X$2503,"待补价")&gt;0,"待补价",IF(COUNTIFS(入库单!$G$4:$G$2503,$A945,入库单!$X$4:$X$2503,"暂估")&gt;0,"暂估",IF($I945=0,"没有进价","正常"))))</f>
        <v/>
      </c>
      <c r="L945" s="27">
        <f>IF($A945="","",IFERROR(VLOOKUP($A945,库存台账!$A$5:$Y$1204,24,0),0))</f>
        <v/>
      </c>
      <c r="M945" s="26">
        <f>IF($A945="","",IFERROR(VLOOKUP($A945,库存台账!$A$5:$Y$1204,25,0),0))</f>
        <v/>
      </c>
      <c r="N945" s="19">
        <f>IF($A945="","",IFERROR(LOOKUP(2,1/((出库单!$D$4:$D$4003=$A945)*(出库单!$T$4:$T$4003="正常")),出库单!$C$4:$C$4003),""))</f>
        <v/>
      </c>
      <c r="O945" s="28">
        <f>IF($A945="","",IF($L945&lt;=0,"",IF($N945="",IFERROR(账期止-LOOKUP(2,1/(入库单!$G$4:$G$2503=$A945),入库单!$C$4:$C$2503),""),账期止-$N945)))</f>
        <v/>
      </c>
      <c r="P945" s="17" t="n"/>
    </row>
    <row r="946">
      <c r="A946" s="17" t="n"/>
      <c r="B946" s="17" t="n"/>
      <c r="C946" s="17" t="n"/>
      <c r="D946" s="17" t="n"/>
      <c r="E946" s="17" t="n"/>
      <c r="F946" s="17" t="n"/>
      <c r="G946" s="23" t="n"/>
      <c r="H946" s="24">
        <f>IF($A946="","",IFERROR(LOOKUP(2,1/((入库单!$G$4:$G$2503=$A946)*(入库单!$Y$4:$Y$2503="正常")*(入库单!$L$4:$L$2503&gt;0)),入库单!$D$4:$D$2503),""))</f>
        <v/>
      </c>
      <c r="I946" s="25">
        <f>IF($A946="","",IFERROR(LOOKUP(2,1/((入库单!$G$4:$G$2503=$A946)*(入库单!$Y$4:$Y$2503="正常")*(入库单!$L$4:$L$2503&gt;0)),入库单!$L$4:$L$2503),0))</f>
        <v/>
      </c>
      <c r="J946" s="26">
        <f>IF($A946="","",IF($H946="A国内",ROUND($I946*倍数A*汇率,0),IF($H946="B当地",ROUND($I946*系数B,0),0)))</f>
        <v/>
      </c>
      <c r="K946" s="24">
        <f>IF($A946="","",IF(COUNTIFS(入库单!$G$4:$G$2503,$A946,入库单!$X$4:$X$2503,"待补价")&gt;0,"待补价",IF(COUNTIFS(入库单!$G$4:$G$2503,$A946,入库单!$X$4:$X$2503,"暂估")&gt;0,"暂估",IF($I946=0,"没有进价","正常"))))</f>
        <v/>
      </c>
      <c r="L946" s="27">
        <f>IF($A946="","",IFERROR(VLOOKUP($A946,库存台账!$A$5:$Y$1204,24,0),0))</f>
        <v/>
      </c>
      <c r="M946" s="26">
        <f>IF($A946="","",IFERROR(VLOOKUP($A946,库存台账!$A$5:$Y$1204,25,0),0))</f>
        <v/>
      </c>
      <c r="N946" s="19">
        <f>IF($A946="","",IFERROR(LOOKUP(2,1/((出库单!$D$4:$D$4003=$A946)*(出库单!$T$4:$T$4003="正常")),出库单!$C$4:$C$4003),""))</f>
        <v/>
      </c>
      <c r="O946" s="28">
        <f>IF($A946="","",IF($L946&lt;=0,"",IF($N946="",IFERROR(账期止-LOOKUP(2,1/(入库单!$G$4:$G$2503=$A946),入库单!$C$4:$C$2503),""),账期止-$N946)))</f>
        <v/>
      </c>
      <c r="P946" s="17" t="n"/>
    </row>
    <row r="947">
      <c r="A947" s="17" t="n"/>
      <c r="B947" s="17" t="n"/>
      <c r="C947" s="17" t="n"/>
      <c r="D947" s="17" t="n"/>
      <c r="E947" s="17" t="n"/>
      <c r="F947" s="17" t="n"/>
      <c r="G947" s="23" t="n"/>
      <c r="H947" s="24">
        <f>IF($A947="","",IFERROR(LOOKUP(2,1/((入库单!$G$4:$G$2503=$A947)*(入库单!$Y$4:$Y$2503="正常")*(入库单!$L$4:$L$2503&gt;0)),入库单!$D$4:$D$2503),""))</f>
        <v/>
      </c>
      <c r="I947" s="25">
        <f>IF($A947="","",IFERROR(LOOKUP(2,1/((入库单!$G$4:$G$2503=$A947)*(入库单!$Y$4:$Y$2503="正常")*(入库单!$L$4:$L$2503&gt;0)),入库单!$L$4:$L$2503),0))</f>
        <v/>
      </c>
      <c r="J947" s="26">
        <f>IF($A947="","",IF($H947="A国内",ROUND($I947*倍数A*汇率,0),IF($H947="B当地",ROUND($I947*系数B,0),0)))</f>
        <v/>
      </c>
      <c r="K947" s="24">
        <f>IF($A947="","",IF(COUNTIFS(入库单!$G$4:$G$2503,$A947,入库单!$X$4:$X$2503,"待补价")&gt;0,"待补价",IF(COUNTIFS(入库单!$G$4:$G$2503,$A947,入库单!$X$4:$X$2503,"暂估")&gt;0,"暂估",IF($I947=0,"没有进价","正常"))))</f>
        <v/>
      </c>
      <c r="L947" s="27">
        <f>IF($A947="","",IFERROR(VLOOKUP($A947,库存台账!$A$5:$Y$1204,24,0),0))</f>
        <v/>
      </c>
      <c r="M947" s="26">
        <f>IF($A947="","",IFERROR(VLOOKUP($A947,库存台账!$A$5:$Y$1204,25,0),0))</f>
        <v/>
      </c>
      <c r="N947" s="19">
        <f>IF($A947="","",IFERROR(LOOKUP(2,1/((出库单!$D$4:$D$4003=$A947)*(出库单!$T$4:$T$4003="正常")),出库单!$C$4:$C$4003),""))</f>
        <v/>
      </c>
      <c r="O947" s="28">
        <f>IF($A947="","",IF($L947&lt;=0,"",IF($N947="",IFERROR(账期止-LOOKUP(2,1/(入库单!$G$4:$G$2503=$A947),入库单!$C$4:$C$2503),""),账期止-$N947)))</f>
        <v/>
      </c>
      <c r="P947" s="17" t="n"/>
    </row>
    <row r="948">
      <c r="A948" s="17" t="n"/>
      <c r="B948" s="17" t="n"/>
      <c r="C948" s="17" t="n"/>
      <c r="D948" s="17" t="n"/>
      <c r="E948" s="17" t="n"/>
      <c r="F948" s="17" t="n"/>
      <c r="G948" s="23" t="n"/>
      <c r="H948" s="24">
        <f>IF($A948="","",IFERROR(LOOKUP(2,1/((入库单!$G$4:$G$2503=$A948)*(入库单!$Y$4:$Y$2503="正常")*(入库单!$L$4:$L$2503&gt;0)),入库单!$D$4:$D$2503),""))</f>
        <v/>
      </c>
      <c r="I948" s="25">
        <f>IF($A948="","",IFERROR(LOOKUP(2,1/((入库单!$G$4:$G$2503=$A948)*(入库单!$Y$4:$Y$2503="正常")*(入库单!$L$4:$L$2503&gt;0)),入库单!$L$4:$L$2503),0))</f>
        <v/>
      </c>
      <c r="J948" s="26">
        <f>IF($A948="","",IF($H948="A国内",ROUND($I948*倍数A*汇率,0),IF($H948="B当地",ROUND($I948*系数B,0),0)))</f>
        <v/>
      </c>
      <c r="K948" s="24">
        <f>IF($A948="","",IF(COUNTIFS(入库单!$G$4:$G$2503,$A948,入库单!$X$4:$X$2503,"待补价")&gt;0,"待补价",IF(COUNTIFS(入库单!$G$4:$G$2503,$A948,入库单!$X$4:$X$2503,"暂估")&gt;0,"暂估",IF($I948=0,"没有进价","正常"))))</f>
        <v/>
      </c>
      <c r="L948" s="27">
        <f>IF($A948="","",IFERROR(VLOOKUP($A948,库存台账!$A$5:$Y$1204,24,0),0))</f>
        <v/>
      </c>
      <c r="M948" s="26">
        <f>IF($A948="","",IFERROR(VLOOKUP($A948,库存台账!$A$5:$Y$1204,25,0),0))</f>
        <v/>
      </c>
      <c r="N948" s="19">
        <f>IF($A948="","",IFERROR(LOOKUP(2,1/((出库单!$D$4:$D$4003=$A948)*(出库单!$T$4:$T$4003="正常")),出库单!$C$4:$C$4003),""))</f>
        <v/>
      </c>
      <c r="O948" s="28">
        <f>IF($A948="","",IF($L948&lt;=0,"",IF($N948="",IFERROR(账期止-LOOKUP(2,1/(入库单!$G$4:$G$2503=$A948),入库单!$C$4:$C$2503),""),账期止-$N948)))</f>
        <v/>
      </c>
      <c r="P948" s="17" t="n"/>
    </row>
    <row r="949">
      <c r="A949" s="17" t="n"/>
      <c r="B949" s="17" t="n"/>
      <c r="C949" s="17" t="n"/>
      <c r="D949" s="17" t="n"/>
      <c r="E949" s="17" t="n"/>
      <c r="F949" s="17" t="n"/>
      <c r="G949" s="23" t="n"/>
      <c r="H949" s="24">
        <f>IF($A949="","",IFERROR(LOOKUP(2,1/((入库单!$G$4:$G$2503=$A949)*(入库单!$Y$4:$Y$2503="正常")*(入库单!$L$4:$L$2503&gt;0)),入库单!$D$4:$D$2503),""))</f>
        <v/>
      </c>
      <c r="I949" s="25">
        <f>IF($A949="","",IFERROR(LOOKUP(2,1/((入库单!$G$4:$G$2503=$A949)*(入库单!$Y$4:$Y$2503="正常")*(入库单!$L$4:$L$2503&gt;0)),入库单!$L$4:$L$2503),0))</f>
        <v/>
      </c>
      <c r="J949" s="26">
        <f>IF($A949="","",IF($H949="A国内",ROUND($I949*倍数A*汇率,0),IF($H949="B当地",ROUND($I949*系数B,0),0)))</f>
        <v/>
      </c>
      <c r="K949" s="24">
        <f>IF($A949="","",IF(COUNTIFS(入库单!$G$4:$G$2503,$A949,入库单!$X$4:$X$2503,"待补价")&gt;0,"待补价",IF(COUNTIFS(入库单!$G$4:$G$2503,$A949,入库单!$X$4:$X$2503,"暂估")&gt;0,"暂估",IF($I949=0,"没有进价","正常"))))</f>
        <v/>
      </c>
      <c r="L949" s="27">
        <f>IF($A949="","",IFERROR(VLOOKUP($A949,库存台账!$A$5:$Y$1204,24,0),0))</f>
        <v/>
      </c>
      <c r="M949" s="26">
        <f>IF($A949="","",IFERROR(VLOOKUP($A949,库存台账!$A$5:$Y$1204,25,0),0))</f>
        <v/>
      </c>
      <c r="N949" s="19">
        <f>IF($A949="","",IFERROR(LOOKUP(2,1/((出库单!$D$4:$D$4003=$A949)*(出库单!$T$4:$T$4003="正常")),出库单!$C$4:$C$4003),""))</f>
        <v/>
      </c>
      <c r="O949" s="28">
        <f>IF($A949="","",IF($L949&lt;=0,"",IF($N949="",IFERROR(账期止-LOOKUP(2,1/(入库单!$G$4:$G$2503=$A949),入库单!$C$4:$C$2503),""),账期止-$N949)))</f>
        <v/>
      </c>
      <c r="P949" s="17" t="n"/>
    </row>
    <row r="950">
      <c r="A950" s="17" t="n"/>
      <c r="B950" s="17" t="n"/>
      <c r="C950" s="17" t="n"/>
      <c r="D950" s="17" t="n"/>
      <c r="E950" s="17" t="n"/>
      <c r="F950" s="17" t="n"/>
      <c r="G950" s="23" t="n"/>
      <c r="H950" s="24">
        <f>IF($A950="","",IFERROR(LOOKUP(2,1/((入库单!$G$4:$G$2503=$A950)*(入库单!$Y$4:$Y$2503="正常")*(入库单!$L$4:$L$2503&gt;0)),入库单!$D$4:$D$2503),""))</f>
        <v/>
      </c>
      <c r="I950" s="25">
        <f>IF($A950="","",IFERROR(LOOKUP(2,1/((入库单!$G$4:$G$2503=$A950)*(入库单!$Y$4:$Y$2503="正常")*(入库单!$L$4:$L$2503&gt;0)),入库单!$L$4:$L$2503),0))</f>
        <v/>
      </c>
      <c r="J950" s="26">
        <f>IF($A950="","",IF($H950="A国内",ROUND($I950*倍数A*汇率,0),IF($H950="B当地",ROUND($I950*系数B,0),0)))</f>
        <v/>
      </c>
      <c r="K950" s="24">
        <f>IF($A950="","",IF(COUNTIFS(入库单!$G$4:$G$2503,$A950,入库单!$X$4:$X$2503,"待补价")&gt;0,"待补价",IF(COUNTIFS(入库单!$G$4:$G$2503,$A950,入库单!$X$4:$X$2503,"暂估")&gt;0,"暂估",IF($I950=0,"没有进价","正常"))))</f>
        <v/>
      </c>
      <c r="L950" s="27">
        <f>IF($A950="","",IFERROR(VLOOKUP($A950,库存台账!$A$5:$Y$1204,24,0),0))</f>
        <v/>
      </c>
      <c r="M950" s="26">
        <f>IF($A950="","",IFERROR(VLOOKUP($A950,库存台账!$A$5:$Y$1204,25,0),0))</f>
        <v/>
      </c>
      <c r="N950" s="19">
        <f>IF($A950="","",IFERROR(LOOKUP(2,1/((出库单!$D$4:$D$4003=$A950)*(出库单!$T$4:$T$4003="正常")),出库单!$C$4:$C$4003),""))</f>
        <v/>
      </c>
      <c r="O950" s="28">
        <f>IF($A950="","",IF($L950&lt;=0,"",IF($N950="",IFERROR(账期止-LOOKUP(2,1/(入库单!$G$4:$G$2503=$A950),入库单!$C$4:$C$2503),""),账期止-$N950)))</f>
        <v/>
      </c>
      <c r="P950" s="17" t="n"/>
    </row>
    <row r="951">
      <c r="A951" s="17" t="n"/>
      <c r="B951" s="17" t="n"/>
      <c r="C951" s="17" t="n"/>
      <c r="D951" s="17" t="n"/>
      <c r="E951" s="17" t="n"/>
      <c r="F951" s="17" t="n"/>
      <c r="G951" s="23" t="n"/>
      <c r="H951" s="24">
        <f>IF($A951="","",IFERROR(LOOKUP(2,1/((入库单!$G$4:$G$2503=$A951)*(入库单!$Y$4:$Y$2503="正常")*(入库单!$L$4:$L$2503&gt;0)),入库单!$D$4:$D$2503),""))</f>
        <v/>
      </c>
      <c r="I951" s="25">
        <f>IF($A951="","",IFERROR(LOOKUP(2,1/((入库单!$G$4:$G$2503=$A951)*(入库单!$Y$4:$Y$2503="正常")*(入库单!$L$4:$L$2503&gt;0)),入库单!$L$4:$L$2503),0))</f>
        <v/>
      </c>
      <c r="J951" s="26">
        <f>IF($A951="","",IF($H951="A国内",ROUND($I951*倍数A*汇率,0),IF($H951="B当地",ROUND($I951*系数B,0),0)))</f>
        <v/>
      </c>
      <c r="K951" s="24">
        <f>IF($A951="","",IF(COUNTIFS(入库单!$G$4:$G$2503,$A951,入库单!$X$4:$X$2503,"待补价")&gt;0,"待补价",IF(COUNTIFS(入库单!$G$4:$G$2503,$A951,入库单!$X$4:$X$2503,"暂估")&gt;0,"暂估",IF($I951=0,"没有进价","正常"))))</f>
        <v/>
      </c>
      <c r="L951" s="27">
        <f>IF($A951="","",IFERROR(VLOOKUP($A951,库存台账!$A$5:$Y$1204,24,0),0))</f>
        <v/>
      </c>
      <c r="M951" s="26">
        <f>IF($A951="","",IFERROR(VLOOKUP($A951,库存台账!$A$5:$Y$1204,25,0),0))</f>
        <v/>
      </c>
      <c r="N951" s="19">
        <f>IF($A951="","",IFERROR(LOOKUP(2,1/((出库单!$D$4:$D$4003=$A951)*(出库单!$T$4:$T$4003="正常")),出库单!$C$4:$C$4003),""))</f>
        <v/>
      </c>
      <c r="O951" s="28">
        <f>IF($A951="","",IF($L951&lt;=0,"",IF($N951="",IFERROR(账期止-LOOKUP(2,1/(入库单!$G$4:$G$2503=$A951),入库单!$C$4:$C$2503),""),账期止-$N951)))</f>
        <v/>
      </c>
      <c r="P951" s="17" t="n"/>
    </row>
    <row r="952">
      <c r="A952" s="17" t="n"/>
      <c r="B952" s="17" t="n"/>
      <c r="C952" s="17" t="n"/>
      <c r="D952" s="17" t="n"/>
      <c r="E952" s="17" t="n"/>
      <c r="F952" s="17" t="n"/>
      <c r="G952" s="23" t="n"/>
      <c r="H952" s="24">
        <f>IF($A952="","",IFERROR(LOOKUP(2,1/((入库单!$G$4:$G$2503=$A952)*(入库单!$Y$4:$Y$2503="正常")*(入库单!$L$4:$L$2503&gt;0)),入库单!$D$4:$D$2503),""))</f>
        <v/>
      </c>
      <c r="I952" s="25">
        <f>IF($A952="","",IFERROR(LOOKUP(2,1/((入库单!$G$4:$G$2503=$A952)*(入库单!$Y$4:$Y$2503="正常")*(入库单!$L$4:$L$2503&gt;0)),入库单!$L$4:$L$2503),0))</f>
        <v/>
      </c>
      <c r="J952" s="26">
        <f>IF($A952="","",IF($H952="A国内",ROUND($I952*倍数A*汇率,0),IF($H952="B当地",ROUND($I952*系数B,0),0)))</f>
        <v/>
      </c>
      <c r="K952" s="24">
        <f>IF($A952="","",IF(COUNTIFS(入库单!$G$4:$G$2503,$A952,入库单!$X$4:$X$2503,"待补价")&gt;0,"待补价",IF(COUNTIFS(入库单!$G$4:$G$2503,$A952,入库单!$X$4:$X$2503,"暂估")&gt;0,"暂估",IF($I952=0,"没有进价","正常"))))</f>
        <v/>
      </c>
      <c r="L952" s="27">
        <f>IF($A952="","",IFERROR(VLOOKUP($A952,库存台账!$A$5:$Y$1204,24,0),0))</f>
        <v/>
      </c>
      <c r="M952" s="26">
        <f>IF($A952="","",IFERROR(VLOOKUP($A952,库存台账!$A$5:$Y$1204,25,0),0))</f>
        <v/>
      </c>
      <c r="N952" s="19">
        <f>IF($A952="","",IFERROR(LOOKUP(2,1/((出库单!$D$4:$D$4003=$A952)*(出库单!$T$4:$T$4003="正常")),出库单!$C$4:$C$4003),""))</f>
        <v/>
      </c>
      <c r="O952" s="28">
        <f>IF($A952="","",IF($L952&lt;=0,"",IF($N952="",IFERROR(账期止-LOOKUP(2,1/(入库单!$G$4:$G$2503=$A952),入库单!$C$4:$C$2503),""),账期止-$N952)))</f>
        <v/>
      </c>
      <c r="P952" s="17" t="n"/>
    </row>
    <row r="953">
      <c r="A953" s="17" t="n"/>
      <c r="B953" s="17" t="n"/>
      <c r="C953" s="17" t="n"/>
      <c r="D953" s="17" t="n"/>
      <c r="E953" s="17" t="n"/>
      <c r="F953" s="17" t="n"/>
      <c r="G953" s="23" t="n"/>
      <c r="H953" s="24">
        <f>IF($A953="","",IFERROR(LOOKUP(2,1/((入库单!$G$4:$G$2503=$A953)*(入库单!$Y$4:$Y$2503="正常")*(入库单!$L$4:$L$2503&gt;0)),入库单!$D$4:$D$2503),""))</f>
        <v/>
      </c>
      <c r="I953" s="25">
        <f>IF($A953="","",IFERROR(LOOKUP(2,1/((入库单!$G$4:$G$2503=$A953)*(入库单!$Y$4:$Y$2503="正常")*(入库单!$L$4:$L$2503&gt;0)),入库单!$L$4:$L$2503),0))</f>
        <v/>
      </c>
      <c r="J953" s="26">
        <f>IF($A953="","",IF($H953="A国内",ROUND($I953*倍数A*汇率,0),IF($H953="B当地",ROUND($I953*系数B,0),0)))</f>
        <v/>
      </c>
      <c r="K953" s="24">
        <f>IF($A953="","",IF(COUNTIFS(入库单!$G$4:$G$2503,$A953,入库单!$X$4:$X$2503,"待补价")&gt;0,"待补价",IF(COUNTIFS(入库单!$G$4:$G$2503,$A953,入库单!$X$4:$X$2503,"暂估")&gt;0,"暂估",IF($I953=0,"没有进价","正常"))))</f>
        <v/>
      </c>
      <c r="L953" s="27">
        <f>IF($A953="","",IFERROR(VLOOKUP($A953,库存台账!$A$5:$Y$1204,24,0),0))</f>
        <v/>
      </c>
      <c r="M953" s="26">
        <f>IF($A953="","",IFERROR(VLOOKUP($A953,库存台账!$A$5:$Y$1204,25,0),0))</f>
        <v/>
      </c>
      <c r="N953" s="19">
        <f>IF($A953="","",IFERROR(LOOKUP(2,1/((出库单!$D$4:$D$4003=$A953)*(出库单!$T$4:$T$4003="正常")),出库单!$C$4:$C$4003),""))</f>
        <v/>
      </c>
      <c r="O953" s="28">
        <f>IF($A953="","",IF($L953&lt;=0,"",IF($N953="",IFERROR(账期止-LOOKUP(2,1/(入库单!$G$4:$G$2503=$A953),入库单!$C$4:$C$2503),""),账期止-$N953)))</f>
        <v/>
      </c>
      <c r="P953" s="17" t="n"/>
    </row>
    <row r="954">
      <c r="A954" s="17" t="n"/>
      <c r="B954" s="17" t="n"/>
      <c r="C954" s="17" t="n"/>
      <c r="D954" s="17" t="n"/>
      <c r="E954" s="17" t="n"/>
      <c r="F954" s="17" t="n"/>
      <c r="G954" s="23" t="n"/>
      <c r="H954" s="24">
        <f>IF($A954="","",IFERROR(LOOKUP(2,1/((入库单!$G$4:$G$2503=$A954)*(入库单!$Y$4:$Y$2503="正常")*(入库单!$L$4:$L$2503&gt;0)),入库单!$D$4:$D$2503),""))</f>
        <v/>
      </c>
      <c r="I954" s="25">
        <f>IF($A954="","",IFERROR(LOOKUP(2,1/((入库单!$G$4:$G$2503=$A954)*(入库单!$Y$4:$Y$2503="正常")*(入库单!$L$4:$L$2503&gt;0)),入库单!$L$4:$L$2503),0))</f>
        <v/>
      </c>
      <c r="J954" s="26">
        <f>IF($A954="","",IF($H954="A国内",ROUND($I954*倍数A*汇率,0),IF($H954="B当地",ROUND($I954*系数B,0),0)))</f>
        <v/>
      </c>
      <c r="K954" s="24">
        <f>IF($A954="","",IF(COUNTIFS(入库单!$G$4:$G$2503,$A954,入库单!$X$4:$X$2503,"待补价")&gt;0,"待补价",IF(COUNTIFS(入库单!$G$4:$G$2503,$A954,入库单!$X$4:$X$2503,"暂估")&gt;0,"暂估",IF($I954=0,"没有进价","正常"))))</f>
        <v/>
      </c>
      <c r="L954" s="27">
        <f>IF($A954="","",IFERROR(VLOOKUP($A954,库存台账!$A$5:$Y$1204,24,0),0))</f>
        <v/>
      </c>
      <c r="M954" s="26">
        <f>IF($A954="","",IFERROR(VLOOKUP($A954,库存台账!$A$5:$Y$1204,25,0),0))</f>
        <v/>
      </c>
      <c r="N954" s="19">
        <f>IF($A954="","",IFERROR(LOOKUP(2,1/((出库单!$D$4:$D$4003=$A954)*(出库单!$T$4:$T$4003="正常")),出库单!$C$4:$C$4003),""))</f>
        <v/>
      </c>
      <c r="O954" s="28">
        <f>IF($A954="","",IF($L954&lt;=0,"",IF($N954="",IFERROR(账期止-LOOKUP(2,1/(入库单!$G$4:$G$2503=$A954),入库单!$C$4:$C$2503),""),账期止-$N954)))</f>
        <v/>
      </c>
      <c r="P954" s="17" t="n"/>
    </row>
    <row r="955">
      <c r="A955" s="17" t="n"/>
      <c r="B955" s="17" t="n"/>
      <c r="C955" s="17" t="n"/>
      <c r="D955" s="17" t="n"/>
      <c r="E955" s="17" t="n"/>
      <c r="F955" s="17" t="n"/>
      <c r="G955" s="23" t="n"/>
      <c r="H955" s="24">
        <f>IF($A955="","",IFERROR(LOOKUP(2,1/((入库单!$G$4:$G$2503=$A955)*(入库单!$Y$4:$Y$2503="正常")*(入库单!$L$4:$L$2503&gt;0)),入库单!$D$4:$D$2503),""))</f>
        <v/>
      </c>
      <c r="I955" s="25">
        <f>IF($A955="","",IFERROR(LOOKUP(2,1/((入库单!$G$4:$G$2503=$A955)*(入库单!$Y$4:$Y$2503="正常")*(入库单!$L$4:$L$2503&gt;0)),入库单!$L$4:$L$2503),0))</f>
        <v/>
      </c>
      <c r="J955" s="26">
        <f>IF($A955="","",IF($H955="A国内",ROUND($I955*倍数A*汇率,0),IF($H955="B当地",ROUND($I955*系数B,0),0)))</f>
        <v/>
      </c>
      <c r="K955" s="24">
        <f>IF($A955="","",IF(COUNTIFS(入库单!$G$4:$G$2503,$A955,入库单!$X$4:$X$2503,"待补价")&gt;0,"待补价",IF(COUNTIFS(入库单!$G$4:$G$2503,$A955,入库单!$X$4:$X$2503,"暂估")&gt;0,"暂估",IF($I955=0,"没有进价","正常"))))</f>
        <v/>
      </c>
      <c r="L955" s="27">
        <f>IF($A955="","",IFERROR(VLOOKUP($A955,库存台账!$A$5:$Y$1204,24,0),0))</f>
        <v/>
      </c>
      <c r="M955" s="26">
        <f>IF($A955="","",IFERROR(VLOOKUP($A955,库存台账!$A$5:$Y$1204,25,0),0))</f>
        <v/>
      </c>
      <c r="N955" s="19">
        <f>IF($A955="","",IFERROR(LOOKUP(2,1/((出库单!$D$4:$D$4003=$A955)*(出库单!$T$4:$T$4003="正常")),出库单!$C$4:$C$4003),""))</f>
        <v/>
      </c>
      <c r="O955" s="28">
        <f>IF($A955="","",IF($L955&lt;=0,"",IF($N955="",IFERROR(账期止-LOOKUP(2,1/(入库单!$G$4:$G$2503=$A955),入库单!$C$4:$C$2503),""),账期止-$N955)))</f>
        <v/>
      </c>
      <c r="P955" s="17" t="n"/>
    </row>
    <row r="956">
      <c r="A956" s="17" t="n"/>
      <c r="B956" s="17" t="n"/>
      <c r="C956" s="17" t="n"/>
      <c r="D956" s="17" t="n"/>
      <c r="E956" s="17" t="n"/>
      <c r="F956" s="17" t="n"/>
      <c r="G956" s="23" t="n"/>
      <c r="H956" s="24">
        <f>IF($A956="","",IFERROR(LOOKUP(2,1/((入库单!$G$4:$G$2503=$A956)*(入库单!$Y$4:$Y$2503="正常")*(入库单!$L$4:$L$2503&gt;0)),入库单!$D$4:$D$2503),""))</f>
        <v/>
      </c>
      <c r="I956" s="25">
        <f>IF($A956="","",IFERROR(LOOKUP(2,1/((入库单!$G$4:$G$2503=$A956)*(入库单!$Y$4:$Y$2503="正常")*(入库单!$L$4:$L$2503&gt;0)),入库单!$L$4:$L$2503),0))</f>
        <v/>
      </c>
      <c r="J956" s="26">
        <f>IF($A956="","",IF($H956="A国内",ROUND($I956*倍数A*汇率,0),IF($H956="B当地",ROUND($I956*系数B,0),0)))</f>
        <v/>
      </c>
      <c r="K956" s="24">
        <f>IF($A956="","",IF(COUNTIFS(入库单!$G$4:$G$2503,$A956,入库单!$X$4:$X$2503,"待补价")&gt;0,"待补价",IF(COUNTIFS(入库单!$G$4:$G$2503,$A956,入库单!$X$4:$X$2503,"暂估")&gt;0,"暂估",IF($I956=0,"没有进价","正常"))))</f>
        <v/>
      </c>
      <c r="L956" s="27">
        <f>IF($A956="","",IFERROR(VLOOKUP($A956,库存台账!$A$5:$Y$1204,24,0),0))</f>
        <v/>
      </c>
      <c r="M956" s="26">
        <f>IF($A956="","",IFERROR(VLOOKUP($A956,库存台账!$A$5:$Y$1204,25,0),0))</f>
        <v/>
      </c>
      <c r="N956" s="19">
        <f>IF($A956="","",IFERROR(LOOKUP(2,1/((出库单!$D$4:$D$4003=$A956)*(出库单!$T$4:$T$4003="正常")),出库单!$C$4:$C$4003),""))</f>
        <v/>
      </c>
      <c r="O956" s="28">
        <f>IF($A956="","",IF($L956&lt;=0,"",IF($N956="",IFERROR(账期止-LOOKUP(2,1/(入库单!$G$4:$G$2503=$A956),入库单!$C$4:$C$2503),""),账期止-$N956)))</f>
        <v/>
      </c>
      <c r="P956" s="17" t="n"/>
    </row>
    <row r="957">
      <c r="A957" s="17" t="n"/>
      <c r="B957" s="17" t="n"/>
      <c r="C957" s="17" t="n"/>
      <c r="D957" s="17" t="n"/>
      <c r="E957" s="17" t="n"/>
      <c r="F957" s="17" t="n"/>
      <c r="G957" s="23" t="n"/>
      <c r="H957" s="24">
        <f>IF($A957="","",IFERROR(LOOKUP(2,1/((入库单!$G$4:$G$2503=$A957)*(入库单!$Y$4:$Y$2503="正常")*(入库单!$L$4:$L$2503&gt;0)),入库单!$D$4:$D$2503),""))</f>
        <v/>
      </c>
      <c r="I957" s="25">
        <f>IF($A957="","",IFERROR(LOOKUP(2,1/((入库单!$G$4:$G$2503=$A957)*(入库单!$Y$4:$Y$2503="正常")*(入库单!$L$4:$L$2503&gt;0)),入库单!$L$4:$L$2503),0))</f>
        <v/>
      </c>
      <c r="J957" s="26">
        <f>IF($A957="","",IF($H957="A国内",ROUND($I957*倍数A*汇率,0),IF($H957="B当地",ROUND($I957*系数B,0),0)))</f>
        <v/>
      </c>
      <c r="K957" s="24">
        <f>IF($A957="","",IF(COUNTIFS(入库单!$G$4:$G$2503,$A957,入库单!$X$4:$X$2503,"待补价")&gt;0,"待补价",IF(COUNTIFS(入库单!$G$4:$G$2503,$A957,入库单!$X$4:$X$2503,"暂估")&gt;0,"暂估",IF($I957=0,"没有进价","正常"))))</f>
        <v/>
      </c>
      <c r="L957" s="27">
        <f>IF($A957="","",IFERROR(VLOOKUP($A957,库存台账!$A$5:$Y$1204,24,0),0))</f>
        <v/>
      </c>
      <c r="M957" s="26">
        <f>IF($A957="","",IFERROR(VLOOKUP($A957,库存台账!$A$5:$Y$1204,25,0),0))</f>
        <v/>
      </c>
      <c r="N957" s="19">
        <f>IF($A957="","",IFERROR(LOOKUP(2,1/((出库单!$D$4:$D$4003=$A957)*(出库单!$T$4:$T$4003="正常")),出库单!$C$4:$C$4003),""))</f>
        <v/>
      </c>
      <c r="O957" s="28">
        <f>IF($A957="","",IF($L957&lt;=0,"",IF($N957="",IFERROR(账期止-LOOKUP(2,1/(入库单!$G$4:$G$2503=$A957),入库单!$C$4:$C$2503),""),账期止-$N957)))</f>
        <v/>
      </c>
      <c r="P957" s="17" t="n"/>
    </row>
    <row r="958">
      <c r="A958" s="17" t="n"/>
      <c r="B958" s="17" t="n"/>
      <c r="C958" s="17" t="n"/>
      <c r="D958" s="17" t="n"/>
      <c r="E958" s="17" t="n"/>
      <c r="F958" s="17" t="n"/>
      <c r="G958" s="23" t="n"/>
      <c r="H958" s="24">
        <f>IF($A958="","",IFERROR(LOOKUP(2,1/((入库单!$G$4:$G$2503=$A958)*(入库单!$Y$4:$Y$2503="正常")*(入库单!$L$4:$L$2503&gt;0)),入库单!$D$4:$D$2503),""))</f>
        <v/>
      </c>
      <c r="I958" s="25">
        <f>IF($A958="","",IFERROR(LOOKUP(2,1/((入库单!$G$4:$G$2503=$A958)*(入库单!$Y$4:$Y$2503="正常")*(入库单!$L$4:$L$2503&gt;0)),入库单!$L$4:$L$2503),0))</f>
        <v/>
      </c>
      <c r="J958" s="26">
        <f>IF($A958="","",IF($H958="A国内",ROUND($I958*倍数A*汇率,0),IF($H958="B当地",ROUND($I958*系数B,0),0)))</f>
        <v/>
      </c>
      <c r="K958" s="24">
        <f>IF($A958="","",IF(COUNTIFS(入库单!$G$4:$G$2503,$A958,入库单!$X$4:$X$2503,"待补价")&gt;0,"待补价",IF(COUNTIFS(入库单!$G$4:$G$2503,$A958,入库单!$X$4:$X$2503,"暂估")&gt;0,"暂估",IF($I958=0,"没有进价","正常"))))</f>
        <v/>
      </c>
      <c r="L958" s="27">
        <f>IF($A958="","",IFERROR(VLOOKUP($A958,库存台账!$A$5:$Y$1204,24,0),0))</f>
        <v/>
      </c>
      <c r="M958" s="26">
        <f>IF($A958="","",IFERROR(VLOOKUP($A958,库存台账!$A$5:$Y$1204,25,0),0))</f>
        <v/>
      </c>
      <c r="N958" s="19">
        <f>IF($A958="","",IFERROR(LOOKUP(2,1/((出库单!$D$4:$D$4003=$A958)*(出库单!$T$4:$T$4003="正常")),出库单!$C$4:$C$4003),""))</f>
        <v/>
      </c>
      <c r="O958" s="28">
        <f>IF($A958="","",IF($L958&lt;=0,"",IF($N958="",IFERROR(账期止-LOOKUP(2,1/(入库单!$G$4:$G$2503=$A958),入库单!$C$4:$C$2503),""),账期止-$N958)))</f>
        <v/>
      </c>
      <c r="P958" s="17" t="n"/>
    </row>
    <row r="959">
      <c r="A959" s="17" t="n"/>
      <c r="B959" s="17" t="n"/>
      <c r="C959" s="17" t="n"/>
      <c r="D959" s="17" t="n"/>
      <c r="E959" s="17" t="n"/>
      <c r="F959" s="17" t="n"/>
      <c r="G959" s="23" t="n"/>
      <c r="H959" s="24">
        <f>IF($A959="","",IFERROR(LOOKUP(2,1/((入库单!$G$4:$G$2503=$A959)*(入库单!$Y$4:$Y$2503="正常")*(入库单!$L$4:$L$2503&gt;0)),入库单!$D$4:$D$2503),""))</f>
        <v/>
      </c>
      <c r="I959" s="25">
        <f>IF($A959="","",IFERROR(LOOKUP(2,1/((入库单!$G$4:$G$2503=$A959)*(入库单!$Y$4:$Y$2503="正常")*(入库单!$L$4:$L$2503&gt;0)),入库单!$L$4:$L$2503),0))</f>
        <v/>
      </c>
      <c r="J959" s="26">
        <f>IF($A959="","",IF($H959="A国内",ROUND($I959*倍数A*汇率,0),IF($H959="B当地",ROUND($I959*系数B,0),0)))</f>
        <v/>
      </c>
      <c r="K959" s="24">
        <f>IF($A959="","",IF(COUNTIFS(入库单!$G$4:$G$2503,$A959,入库单!$X$4:$X$2503,"待补价")&gt;0,"待补价",IF(COUNTIFS(入库单!$G$4:$G$2503,$A959,入库单!$X$4:$X$2503,"暂估")&gt;0,"暂估",IF($I959=0,"没有进价","正常"))))</f>
        <v/>
      </c>
      <c r="L959" s="27">
        <f>IF($A959="","",IFERROR(VLOOKUP($A959,库存台账!$A$5:$Y$1204,24,0),0))</f>
        <v/>
      </c>
      <c r="M959" s="26">
        <f>IF($A959="","",IFERROR(VLOOKUP($A959,库存台账!$A$5:$Y$1204,25,0),0))</f>
        <v/>
      </c>
      <c r="N959" s="19">
        <f>IF($A959="","",IFERROR(LOOKUP(2,1/((出库单!$D$4:$D$4003=$A959)*(出库单!$T$4:$T$4003="正常")),出库单!$C$4:$C$4003),""))</f>
        <v/>
      </c>
      <c r="O959" s="28">
        <f>IF($A959="","",IF($L959&lt;=0,"",IF($N959="",IFERROR(账期止-LOOKUP(2,1/(入库单!$G$4:$G$2503=$A959),入库单!$C$4:$C$2503),""),账期止-$N959)))</f>
        <v/>
      </c>
      <c r="P959" s="17" t="n"/>
    </row>
    <row r="960">
      <c r="A960" s="17" t="n"/>
      <c r="B960" s="17" t="n"/>
      <c r="C960" s="17" t="n"/>
      <c r="D960" s="17" t="n"/>
      <c r="E960" s="17" t="n"/>
      <c r="F960" s="17" t="n"/>
      <c r="G960" s="23" t="n"/>
      <c r="H960" s="24">
        <f>IF($A960="","",IFERROR(LOOKUP(2,1/((入库单!$G$4:$G$2503=$A960)*(入库单!$Y$4:$Y$2503="正常")*(入库单!$L$4:$L$2503&gt;0)),入库单!$D$4:$D$2503),""))</f>
        <v/>
      </c>
      <c r="I960" s="25">
        <f>IF($A960="","",IFERROR(LOOKUP(2,1/((入库单!$G$4:$G$2503=$A960)*(入库单!$Y$4:$Y$2503="正常")*(入库单!$L$4:$L$2503&gt;0)),入库单!$L$4:$L$2503),0))</f>
        <v/>
      </c>
      <c r="J960" s="26">
        <f>IF($A960="","",IF($H960="A国内",ROUND($I960*倍数A*汇率,0),IF($H960="B当地",ROUND($I960*系数B,0),0)))</f>
        <v/>
      </c>
      <c r="K960" s="24">
        <f>IF($A960="","",IF(COUNTIFS(入库单!$G$4:$G$2503,$A960,入库单!$X$4:$X$2503,"待补价")&gt;0,"待补价",IF(COUNTIFS(入库单!$G$4:$G$2503,$A960,入库单!$X$4:$X$2503,"暂估")&gt;0,"暂估",IF($I960=0,"没有进价","正常"))))</f>
        <v/>
      </c>
      <c r="L960" s="27">
        <f>IF($A960="","",IFERROR(VLOOKUP($A960,库存台账!$A$5:$Y$1204,24,0),0))</f>
        <v/>
      </c>
      <c r="M960" s="26">
        <f>IF($A960="","",IFERROR(VLOOKUP($A960,库存台账!$A$5:$Y$1204,25,0),0))</f>
        <v/>
      </c>
      <c r="N960" s="19">
        <f>IF($A960="","",IFERROR(LOOKUP(2,1/((出库单!$D$4:$D$4003=$A960)*(出库单!$T$4:$T$4003="正常")),出库单!$C$4:$C$4003),""))</f>
        <v/>
      </c>
      <c r="O960" s="28">
        <f>IF($A960="","",IF($L960&lt;=0,"",IF($N960="",IFERROR(账期止-LOOKUP(2,1/(入库单!$G$4:$G$2503=$A960),入库单!$C$4:$C$2503),""),账期止-$N960)))</f>
        <v/>
      </c>
      <c r="P960" s="17" t="n"/>
    </row>
    <row r="961">
      <c r="A961" s="17" t="n"/>
      <c r="B961" s="17" t="n"/>
      <c r="C961" s="17" t="n"/>
      <c r="D961" s="17" t="n"/>
      <c r="E961" s="17" t="n"/>
      <c r="F961" s="17" t="n"/>
      <c r="G961" s="23" t="n"/>
      <c r="H961" s="24">
        <f>IF($A961="","",IFERROR(LOOKUP(2,1/((入库单!$G$4:$G$2503=$A961)*(入库单!$Y$4:$Y$2503="正常")*(入库单!$L$4:$L$2503&gt;0)),入库单!$D$4:$D$2503),""))</f>
        <v/>
      </c>
      <c r="I961" s="25">
        <f>IF($A961="","",IFERROR(LOOKUP(2,1/((入库单!$G$4:$G$2503=$A961)*(入库单!$Y$4:$Y$2503="正常")*(入库单!$L$4:$L$2503&gt;0)),入库单!$L$4:$L$2503),0))</f>
        <v/>
      </c>
      <c r="J961" s="26">
        <f>IF($A961="","",IF($H961="A国内",ROUND($I961*倍数A*汇率,0),IF($H961="B当地",ROUND($I961*系数B,0),0)))</f>
        <v/>
      </c>
      <c r="K961" s="24">
        <f>IF($A961="","",IF(COUNTIFS(入库单!$G$4:$G$2503,$A961,入库单!$X$4:$X$2503,"待补价")&gt;0,"待补价",IF(COUNTIFS(入库单!$G$4:$G$2503,$A961,入库单!$X$4:$X$2503,"暂估")&gt;0,"暂估",IF($I961=0,"没有进价","正常"))))</f>
        <v/>
      </c>
      <c r="L961" s="27">
        <f>IF($A961="","",IFERROR(VLOOKUP($A961,库存台账!$A$5:$Y$1204,24,0),0))</f>
        <v/>
      </c>
      <c r="M961" s="26">
        <f>IF($A961="","",IFERROR(VLOOKUP($A961,库存台账!$A$5:$Y$1204,25,0),0))</f>
        <v/>
      </c>
      <c r="N961" s="19">
        <f>IF($A961="","",IFERROR(LOOKUP(2,1/((出库单!$D$4:$D$4003=$A961)*(出库单!$T$4:$T$4003="正常")),出库单!$C$4:$C$4003),""))</f>
        <v/>
      </c>
      <c r="O961" s="28">
        <f>IF($A961="","",IF($L961&lt;=0,"",IF($N961="",IFERROR(账期止-LOOKUP(2,1/(入库单!$G$4:$G$2503=$A961),入库单!$C$4:$C$2503),""),账期止-$N961)))</f>
        <v/>
      </c>
      <c r="P961" s="17" t="n"/>
    </row>
    <row r="962">
      <c r="A962" s="17" t="n"/>
      <c r="B962" s="17" t="n"/>
      <c r="C962" s="17" t="n"/>
      <c r="D962" s="17" t="n"/>
      <c r="E962" s="17" t="n"/>
      <c r="F962" s="17" t="n"/>
      <c r="G962" s="23" t="n"/>
      <c r="H962" s="24">
        <f>IF($A962="","",IFERROR(LOOKUP(2,1/((入库单!$G$4:$G$2503=$A962)*(入库单!$Y$4:$Y$2503="正常")*(入库单!$L$4:$L$2503&gt;0)),入库单!$D$4:$D$2503),""))</f>
        <v/>
      </c>
      <c r="I962" s="25">
        <f>IF($A962="","",IFERROR(LOOKUP(2,1/((入库单!$G$4:$G$2503=$A962)*(入库单!$Y$4:$Y$2503="正常")*(入库单!$L$4:$L$2503&gt;0)),入库单!$L$4:$L$2503),0))</f>
        <v/>
      </c>
      <c r="J962" s="26">
        <f>IF($A962="","",IF($H962="A国内",ROUND($I962*倍数A*汇率,0),IF($H962="B当地",ROUND($I962*系数B,0),0)))</f>
        <v/>
      </c>
      <c r="K962" s="24">
        <f>IF($A962="","",IF(COUNTIFS(入库单!$G$4:$G$2503,$A962,入库单!$X$4:$X$2503,"待补价")&gt;0,"待补价",IF(COUNTIFS(入库单!$G$4:$G$2503,$A962,入库单!$X$4:$X$2503,"暂估")&gt;0,"暂估",IF($I962=0,"没有进价","正常"))))</f>
        <v/>
      </c>
      <c r="L962" s="27">
        <f>IF($A962="","",IFERROR(VLOOKUP($A962,库存台账!$A$5:$Y$1204,24,0),0))</f>
        <v/>
      </c>
      <c r="M962" s="26">
        <f>IF($A962="","",IFERROR(VLOOKUP($A962,库存台账!$A$5:$Y$1204,25,0),0))</f>
        <v/>
      </c>
      <c r="N962" s="19">
        <f>IF($A962="","",IFERROR(LOOKUP(2,1/((出库单!$D$4:$D$4003=$A962)*(出库单!$T$4:$T$4003="正常")),出库单!$C$4:$C$4003),""))</f>
        <v/>
      </c>
      <c r="O962" s="28">
        <f>IF($A962="","",IF($L962&lt;=0,"",IF($N962="",IFERROR(账期止-LOOKUP(2,1/(入库单!$G$4:$G$2503=$A962),入库单!$C$4:$C$2503),""),账期止-$N962)))</f>
        <v/>
      </c>
      <c r="P962" s="17" t="n"/>
    </row>
    <row r="963">
      <c r="A963" s="17" t="n"/>
      <c r="B963" s="17" t="n"/>
      <c r="C963" s="17" t="n"/>
      <c r="D963" s="17" t="n"/>
      <c r="E963" s="17" t="n"/>
      <c r="F963" s="17" t="n"/>
      <c r="G963" s="23" t="n"/>
      <c r="H963" s="24">
        <f>IF($A963="","",IFERROR(LOOKUP(2,1/((入库单!$G$4:$G$2503=$A963)*(入库单!$Y$4:$Y$2503="正常")*(入库单!$L$4:$L$2503&gt;0)),入库单!$D$4:$D$2503),""))</f>
        <v/>
      </c>
      <c r="I963" s="25">
        <f>IF($A963="","",IFERROR(LOOKUP(2,1/((入库单!$G$4:$G$2503=$A963)*(入库单!$Y$4:$Y$2503="正常")*(入库单!$L$4:$L$2503&gt;0)),入库单!$L$4:$L$2503),0))</f>
        <v/>
      </c>
      <c r="J963" s="26">
        <f>IF($A963="","",IF($H963="A国内",ROUND($I963*倍数A*汇率,0),IF($H963="B当地",ROUND($I963*系数B,0),0)))</f>
        <v/>
      </c>
      <c r="K963" s="24">
        <f>IF($A963="","",IF(COUNTIFS(入库单!$G$4:$G$2503,$A963,入库单!$X$4:$X$2503,"待补价")&gt;0,"待补价",IF(COUNTIFS(入库单!$G$4:$G$2503,$A963,入库单!$X$4:$X$2503,"暂估")&gt;0,"暂估",IF($I963=0,"没有进价","正常"))))</f>
        <v/>
      </c>
      <c r="L963" s="27">
        <f>IF($A963="","",IFERROR(VLOOKUP($A963,库存台账!$A$5:$Y$1204,24,0),0))</f>
        <v/>
      </c>
      <c r="M963" s="26">
        <f>IF($A963="","",IFERROR(VLOOKUP($A963,库存台账!$A$5:$Y$1204,25,0),0))</f>
        <v/>
      </c>
      <c r="N963" s="19">
        <f>IF($A963="","",IFERROR(LOOKUP(2,1/((出库单!$D$4:$D$4003=$A963)*(出库单!$T$4:$T$4003="正常")),出库单!$C$4:$C$4003),""))</f>
        <v/>
      </c>
      <c r="O963" s="28">
        <f>IF($A963="","",IF($L963&lt;=0,"",IF($N963="",IFERROR(账期止-LOOKUP(2,1/(入库单!$G$4:$G$2503=$A963),入库单!$C$4:$C$2503),""),账期止-$N963)))</f>
        <v/>
      </c>
      <c r="P963" s="17" t="n"/>
    </row>
    <row r="964">
      <c r="A964" s="17" t="n"/>
      <c r="B964" s="17" t="n"/>
      <c r="C964" s="17" t="n"/>
      <c r="D964" s="17" t="n"/>
      <c r="E964" s="17" t="n"/>
      <c r="F964" s="17" t="n"/>
      <c r="G964" s="23" t="n"/>
      <c r="H964" s="24">
        <f>IF($A964="","",IFERROR(LOOKUP(2,1/((入库单!$G$4:$G$2503=$A964)*(入库单!$Y$4:$Y$2503="正常")*(入库单!$L$4:$L$2503&gt;0)),入库单!$D$4:$D$2503),""))</f>
        <v/>
      </c>
      <c r="I964" s="25">
        <f>IF($A964="","",IFERROR(LOOKUP(2,1/((入库单!$G$4:$G$2503=$A964)*(入库单!$Y$4:$Y$2503="正常")*(入库单!$L$4:$L$2503&gt;0)),入库单!$L$4:$L$2503),0))</f>
        <v/>
      </c>
      <c r="J964" s="26">
        <f>IF($A964="","",IF($H964="A国内",ROUND($I964*倍数A*汇率,0),IF($H964="B当地",ROUND($I964*系数B,0),0)))</f>
        <v/>
      </c>
      <c r="K964" s="24">
        <f>IF($A964="","",IF(COUNTIFS(入库单!$G$4:$G$2503,$A964,入库单!$X$4:$X$2503,"待补价")&gt;0,"待补价",IF(COUNTIFS(入库单!$G$4:$G$2503,$A964,入库单!$X$4:$X$2503,"暂估")&gt;0,"暂估",IF($I964=0,"没有进价","正常"))))</f>
        <v/>
      </c>
      <c r="L964" s="27">
        <f>IF($A964="","",IFERROR(VLOOKUP($A964,库存台账!$A$5:$Y$1204,24,0),0))</f>
        <v/>
      </c>
      <c r="M964" s="26">
        <f>IF($A964="","",IFERROR(VLOOKUP($A964,库存台账!$A$5:$Y$1204,25,0),0))</f>
        <v/>
      </c>
      <c r="N964" s="19">
        <f>IF($A964="","",IFERROR(LOOKUP(2,1/((出库单!$D$4:$D$4003=$A964)*(出库单!$T$4:$T$4003="正常")),出库单!$C$4:$C$4003),""))</f>
        <v/>
      </c>
      <c r="O964" s="28">
        <f>IF($A964="","",IF($L964&lt;=0,"",IF($N964="",IFERROR(账期止-LOOKUP(2,1/(入库单!$G$4:$G$2503=$A964),入库单!$C$4:$C$2503),""),账期止-$N964)))</f>
        <v/>
      </c>
      <c r="P964" s="17" t="n"/>
    </row>
    <row r="965">
      <c r="A965" s="17" t="n"/>
      <c r="B965" s="17" t="n"/>
      <c r="C965" s="17" t="n"/>
      <c r="D965" s="17" t="n"/>
      <c r="E965" s="17" t="n"/>
      <c r="F965" s="17" t="n"/>
      <c r="G965" s="23" t="n"/>
      <c r="H965" s="24">
        <f>IF($A965="","",IFERROR(LOOKUP(2,1/((入库单!$G$4:$G$2503=$A965)*(入库单!$Y$4:$Y$2503="正常")*(入库单!$L$4:$L$2503&gt;0)),入库单!$D$4:$D$2503),""))</f>
        <v/>
      </c>
      <c r="I965" s="25">
        <f>IF($A965="","",IFERROR(LOOKUP(2,1/((入库单!$G$4:$G$2503=$A965)*(入库单!$Y$4:$Y$2503="正常")*(入库单!$L$4:$L$2503&gt;0)),入库单!$L$4:$L$2503),0))</f>
        <v/>
      </c>
      <c r="J965" s="26">
        <f>IF($A965="","",IF($H965="A国内",ROUND($I965*倍数A*汇率,0),IF($H965="B当地",ROUND($I965*系数B,0),0)))</f>
        <v/>
      </c>
      <c r="K965" s="24">
        <f>IF($A965="","",IF(COUNTIFS(入库单!$G$4:$G$2503,$A965,入库单!$X$4:$X$2503,"待补价")&gt;0,"待补价",IF(COUNTIFS(入库单!$G$4:$G$2503,$A965,入库单!$X$4:$X$2503,"暂估")&gt;0,"暂估",IF($I965=0,"没有进价","正常"))))</f>
        <v/>
      </c>
      <c r="L965" s="27">
        <f>IF($A965="","",IFERROR(VLOOKUP($A965,库存台账!$A$5:$Y$1204,24,0),0))</f>
        <v/>
      </c>
      <c r="M965" s="26">
        <f>IF($A965="","",IFERROR(VLOOKUP($A965,库存台账!$A$5:$Y$1204,25,0),0))</f>
        <v/>
      </c>
      <c r="N965" s="19">
        <f>IF($A965="","",IFERROR(LOOKUP(2,1/((出库单!$D$4:$D$4003=$A965)*(出库单!$T$4:$T$4003="正常")),出库单!$C$4:$C$4003),""))</f>
        <v/>
      </c>
      <c r="O965" s="28">
        <f>IF($A965="","",IF($L965&lt;=0,"",IF($N965="",IFERROR(账期止-LOOKUP(2,1/(入库单!$G$4:$G$2503=$A965),入库单!$C$4:$C$2503),""),账期止-$N965)))</f>
        <v/>
      </c>
      <c r="P965" s="17" t="n"/>
    </row>
    <row r="966">
      <c r="A966" s="17" t="n"/>
      <c r="B966" s="17" t="n"/>
      <c r="C966" s="17" t="n"/>
      <c r="D966" s="17" t="n"/>
      <c r="E966" s="17" t="n"/>
      <c r="F966" s="17" t="n"/>
      <c r="G966" s="23" t="n"/>
      <c r="H966" s="24">
        <f>IF($A966="","",IFERROR(LOOKUP(2,1/((入库单!$G$4:$G$2503=$A966)*(入库单!$Y$4:$Y$2503="正常")*(入库单!$L$4:$L$2503&gt;0)),入库单!$D$4:$D$2503),""))</f>
        <v/>
      </c>
      <c r="I966" s="25">
        <f>IF($A966="","",IFERROR(LOOKUP(2,1/((入库单!$G$4:$G$2503=$A966)*(入库单!$Y$4:$Y$2503="正常")*(入库单!$L$4:$L$2503&gt;0)),入库单!$L$4:$L$2503),0))</f>
        <v/>
      </c>
      <c r="J966" s="26">
        <f>IF($A966="","",IF($H966="A国内",ROUND($I966*倍数A*汇率,0),IF($H966="B当地",ROUND($I966*系数B,0),0)))</f>
        <v/>
      </c>
      <c r="K966" s="24">
        <f>IF($A966="","",IF(COUNTIFS(入库单!$G$4:$G$2503,$A966,入库单!$X$4:$X$2503,"待补价")&gt;0,"待补价",IF(COUNTIFS(入库单!$G$4:$G$2503,$A966,入库单!$X$4:$X$2503,"暂估")&gt;0,"暂估",IF($I966=0,"没有进价","正常"))))</f>
        <v/>
      </c>
      <c r="L966" s="27">
        <f>IF($A966="","",IFERROR(VLOOKUP($A966,库存台账!$A$5:$Y$1204,24,0),0))</f>
        <v/>
      </c>
      <c r="M966" s="26">
        <f>IF($A966="","",IFERROR(VLOOKUP($A966,库存台账!$A$5:$Y$1204,25,0),0))</f>
        <v/>
      </c>
      <c r="N966" s="19">
        <f>IF($A966="","",IFERROR(LOOKUP(2,1/((出库单!$D$4:$D$4003=$A966)*(出库单!$T$4:$T$4003="正常")),出库单!$C$4:$C$4003),""))</f>
        <v/>
      </c>
      <c r="O966" s="28">
        <f>IF($A966="","",IF($L966&lt;=0,"",IF($N966="",IFERROR(账期止-LOOKUP(2,1/(入库单!$G$4:$G$2503=$A966),入库单!$C$4:$C$2503),""),账期止-$N966)))</f>
        <v/>
      </c>
      <c r="P966" s="17" t="n"/>
    </row>
    <row r="967">
      <c r="A967" s="17" t="n"/>
      <c r="B967" s="17" t="n"/>
      <c r="C967" s="17" t="n"/>
      <c r="D967" s="17" t="n"/>
      <c r="E967" s="17" t="n"/>
      <c r="F967" s="17" t="n"/>
      <c r="G967" s="23" t="n"/>
      <c r="H967" s="24">
        <f>IF($A967="","",IFERROR(LOOKUP(2,1/((入库单!$G$4:$G$2503=$A967)*(入库单!$Y$4:$Y$2503="正常")*(入库单!$L$4:$L$2503&gt;0)),入库单!$D$4:$D$2503),""))</f>
        <v/>
      </c>
      <c r="I967" s="25">
        <f>IF($A967="","",IFERROR(LOOKUP(2,1/((入库单!$G$4:$G$2503=$A967)*(入库单!$Y$4:$Y$2503="正常")*(入库单!$L$4:$L$2503&gt;0)),入库单!$L$4:$L$2503),0))</f>
        <v/>
      </c>
      <c r="J967" s="26">
        <f>IF($A967="","",IF($H967="A国内",ROUND($I967*倍数A*汇率,0),IF($H967="B当地",ROUND($I967*系数B,0),0)))</f>
        <v/>
      </c>
      <c r="K967" s="24">
        <f>IF($A967="","",IF(COUNTIFS(入库单!$G$4:$G$2503,$A967,入库单!$X$4:$X$2503,"待补价")&gt;0,"待补价",IF(COUNTIFS(入库单!$G$4:$G$2503,$A967,入库单!$X$4:$X$2503,"暂估")&gt;0,"暂估",IF($I967=0,"没有进价","正常"))))</f>
        <v/>
      </c>
      <c r="L967" s="27">
        <f>IF($A967="","",IFERROR(VLOOKUP($A967,库存台账!$A$5:$Y$1204,24,0),0))</f>
        <v/>
      </c>
      <c r="M967" s="26">
        <f>IF($A967="","",IFERROR(VLOOKUP($A967,库存台账!$A$5:$Y$1204,25,0),0))</f>
        <v/>
      </c>
      <c r="N967" s="19">
        <f>IF($A967="","",IFERROR(LOOKUP(2,1/((出库单!$D$4:$D$4003=$A967)*(出库单!$T$4:$T$4003="正常")),出库单!$C$4:$C$4003),""))</f>
        <v/>
      </c>
      <c r="O967" s="28">
        <f>IF($A967="","",IF($L967&lt;=0,"",IF($N967="",IFERROR(账期止-LOOKUP(2,1/(入库单!$G$4:$G$2503=$A967),入库单!$C$4:$C$2503),""),账期止-$N967)))</f>
        <v/>
      </c>
      <c r="P967" s="17" t="n"/>
    </row>
    <row r="968">
      <c r="A968" s="17" t="n"/>
      <c r="B968" s="17" t="n"/>
      <c r="C968" s="17" t="n"/>
      <c r="D968" s="17" t="n"/>
      <c r="E968" s="17" t="n"/>
      <c r="F968" s="17" t="n"/>
      <c r="G968" s="23" t="n"/>
      <c r="H968" s="24">
        <f>IF($A968="","",IFERROR(LOOKUP(2,1/((入库单!$G$4:$G$2503=$A968)*(入库单!$Y$4:$Y$2503="正常")*(入库单!$L$4:$L$2503&gt;0)),入库单!$D$4:$D$2503),""))</f>
        <v/>
      </c>
      <c r="I968" s="25">
        <f>IF($A968="","",IFERROR(LOOKUP(2,1/((入库单!$G$4:$G$2503=$A968)*(入库单!$Y$4:$Y$2503="正常")*(入库单!$L$4:$L$2503&gt;0)),入库单!$L$4:$L$2503),0))</f>
        <v/>
      </c>
      <c r="J968" s="26">
        <f>IF($A968="","",IF($H968="A国内",ROUND($I968*倍数A*汇率,0),IF($H968="B当地",ROUND($I968*系数B,0),0)))</f>
        <v/>
      </c>
      <c r="K968" s="24">
        <f>IF($A968="","",IF(COUNTIFS(入库单!$G$4:$G$2503,$A968,入库单!$X$4:$X$2503,"待补价")&gt;0,"待补价",IF(COUNTIFS(入库单!$G$4:$G$2503,$A968,入库单!$X$4:$X$2503,"暂估")&gt;0,"暂估",IF($I968=0,"没有进价","正常"))))</f>
        <v/>
      </c>
      <c r="L968" s="27">
        <f>IF($A968="","",IFERROR(VLOOKUP($A968,库存台账!$A$5:$Y$1204,24,0),0))</f>
        <v/>
      </c>
      <c r="M968" s="26">
        <f>IF($A968="","",IFERROR(VLOOKUP($A968,库存台账!$A$5:$Y$1204,25,0),0))</f>
        <v/>
      </c>
      <c r="N968" s="19">
        <f>IF($A968="","",IFERROR(LOOKUP(2,1/((出库单!$D$4:$D$4003=$A968)*(出库单!$T$4:$T$4003="正常")),出库单!$C$4:$C$4003),""))</f>
        <v/>
      </c>
      <c r="O968" s="28">
        <f>IF($A968="","",IF($L968&lt;=0,"",IF($N968="",IFERROR(账期止-LOOKUP(2,1/(入库单!$G$4:$G$2503=$A968),入库单!$C$4:$C$2503),""),账期止-$N968)))</f>
        <v/>
      </c>
      <c r="P968" s="17" t="n"/>
    </row>
    <row r="969">
      <c r="A969" s="17" t="n"/>
      <c r="B969" s="17" t="n"/>
      <c r="C969" s="17" t="n"/>
      <c r="D969" s="17" t="n"/>
      <c r="E969" s="17" t="n"/>
      <c r="F969" s="17" t="n"/>
      <c r="G969" s="23" t="n"/>
      <c r="H969" s="24">
        <f>IF($A969="","",IFERROR(LOOKUP(2,1/((入库单!$G$4:$G$2503=$A969)*(入库单!$Y$4:$Y$2503="正常")*(入库单!$L$4:$L$2503&gt;0)),入库单!$D$4:$D$2503),""))</f>
        <v/>
      </c>
      <c r="I969" s="25">
        <f>IF($A969="","",IFERROR(LOOKUP(2,1/((入库单!$G$4:$G$2503=$A969)*(入库单!$Y$4:$Y$2503="正常")*(入库单!$L$4:$L$2503&gt;0)),入库单!$L$4:$L$2503),0))</f>
        <v/>
      </c>
      <c r="J969" s="26">
        <f>IF($A969="","",IF($H969="A国内",ROUND($I969*倍数A*汇率,0),IF($H969="B当地",ROUND($I969*系数B,0),0)))</f>
        <v/>
      </c>
      <c r="K969" s="24">
        <f>IF($A969="","",IF(COUNTIFS(入库单!$G$4:$G$2503,$A969,入库单!$X$4:$X$2503,"待补价")&gt;0,"待补价",IF(COUNTIFS(入库单!$G$4:$G$2503,$A969,入库单!$X$4:$X$2503,"暂估")&gt;0,"暂估",IF($I969=0,"没有进价","正常"))))</f>
        <v/>
      </c>
      <c r="L969" s="27">
        <f>IF($A969="","",IFERROR(VLOOKUP($A969,库存台账!$A$5:$Y$1204,24,0),0))</f>
        <v/>
      </c>
      <c r="M969" s="26">
        <f>IF($A969="","",IFERROR(VLOOKUP($A969,库存台账!$A$5:$Y$1204,25,0),0))</f>
        <v/>
      </c>
      <c r="N969" s="19">
        <f>IF($A969="","",IFERROR(LOOKUP(2,1/((出库单!$D$4:$D$4003=$A969)*(出库单!$T$4:$T$4003="正常")),出库单!$C$4:$C$4003),""))</f>
        <v/>
      </c>
      <c r="O969" s="28">
        <f>IF($A969="","",IF($L969&lt;=0,"",IF($N969="",IFERROR(账期止-LOOKUP(2,1/(入库单!$G$4:$G$2503=$A969),入库单!$C$4:$C$2503),""),账期止-$N969)))</f>
        <v/>
      </c>
      <c r="P969" s="17" t="n"/>
    </row>
    <row r="970">
      <c r="A970" s="17" t="n"/>
      <c r="B970" s="17" t="n"/>
      <c r="C970" s="17" t="n"/>
      <c r="D970" s="17" t="n"/>
      <c r="E970" s="17" t="n"/>
      <c r="F970" s="17" t="n"/>
      <c r="G970" s="23" t="n"/>
      <c r="H970" s="24">
        <f>IF($A970="","",IFERROR(LOOKUP(2,1/((入库单!$G$4:$G$2503=$A970)*(入库单!$Y$4:$Y$2503="正常")*(入库单!$L$4:$L$2503&gt;0)),入库单!$D$4:$D$2503),""))</f>
        <v/>
      </c>
      <c r="I970" s="25">
        <f>IF($A970="","",IFERROR(LOOKUP(2,1/((入库单!$G$4:$G$2503=$A970)*(入库单!$Y$4:$Y$2503="正常")*(入库单!$L$4:$L$2503&gt;0)),入库单!$L$4:$L$2503),0))</f>
        <v/>
      </c>
      <c r="J970" s="26">
        <f>IF($A970="","",IF($H970="A国内",ROUND($I970*倍数A*汇率,0),IF($H970="B当地",ROUND($I970*系数B,0),0)))</f>
        <v/>
      </c>
      <c r="K970" s="24">
        <f>IF($A970="","",IF(COUNTIFS(入库单!$G$4:$G$2503,$A970,入库单!$X$4:$X$2503,"待补价")&gt;0,"待补价",IF(COUNTIFS(入库单!$G$4:$G$2503,$A970,入库单!$X$4:$X$2503,"暂估")&gt;0,"暂估",IF($I970=0,"没有进价","正常"))))</f>
        <v/>
      </c>
      <c r="L970" s="27">
        <f>IF($A970="","",IFERROR(VLOOKUP($A970,库存台账!$A$5:$Y$1204,24,0),0))</f>
        <v/>
      </c>
      <c r="M970" s="26">
        <f>IF($A970="","",IFERROR(VLOOKUP($A970,库存台账!$A$5:$Y$1204,25,0),0))</f>
        <v/>
      </c>
      <c r="N970" s="19">
        <f>IF($A970="","",IFERROR(LOOKUP(2,1/((出库单!$D$4:$D$4003=$A970)*(出库单!$T$4:$T$4003="正常")),出库单!$C$4:$C$4003),""))</f>
        <v/>
      </c>
      <c r="O970" s="28">
        <f>IF($A970="","",IF($L970&lt;=0,"",IF($N970="",IFERROR(账期止-LOOKUP(2,1/(入库单!$G$4:$G$2503=$A970),入库单!$C$4:$C$2503),""),账期止-$N970)))</f>
        <v/>
      </c>
      <c r="P970" s="17" t="n"/>
    </row>
    <row r="971">
      <c r="A971" s="17" t="n"/>
      <c r="B971" s="17" t="n"/>
      <c r="C971" s="17" t="n"/>
      <c r="D971" s="17" t="n"/>
      <c r="E971" s="17" t="n"/>
      <c r="F971" s="17" t="n"/>
      <c r="G971" s="23" t="n"/>
      <c r="H971" s="24">
        <f>IF($A971="","",IFERROR(LOOKUP(2,1/((入库单!$G$4:$G$2503=$A971)*(入库单!$Y$4:$Y$2503="正常")*(入库单!$L$4:$L$2503&gt;0)),入库单!$D$4:$D$2503),""))</f>
        <v/>
      </c>
      <c r="I971" s="25">
        <f>IF($A971="","",IFERROR(LOOKUP(2,1/((入库单!$G$4:$G$2503=$A971)*(入库单!$Y$4:$Y$2503="正常")*(入库单!$L$4:$L$2503&gt;0)),入库单!$L$4:$L$2503),0))</f>
        <v/>
      </c>
      <c r="J971" s="26">
        <f>IF($A971="","",IF($H971="A国内",ROUND($I971*倍数A*汇率,0),IF($H971="B当地",ROUND($I971*系数B,0),0)))</f>
        <v/>
      </c>
      <c r="K971" s="24">
        <f>IF($A971="","",IF(COUNTIFS(入库单!$G$4:$G$2503,$A971,入库单!$X$4:$X$2503,"待补价")&gt;0,"待补价",IF(COUNTIFS(入库单!$G$4:$G$2503,$A971,入库单!$X$4:$X$2503,"暂估")&gt;0,"暂估",IF($I971=0,"没有进价","正常"))))</f>
        <v/>
      </c>
      <c r="L971" s="27">
        <f>IF($A971="","",IFERROR(VLOOKUP($A971,库存台账!$A$5:$Y$1204,24,0),0))</f>
        <v/>
      </c>
      <c r="M971" s="26">
        <f>IF($A971="","",IFERROR(VLOOKUP($A971,库存台账!$A$5:$Y$1204,25,0),0))</f>
        <v/>
      </c>
      <c r="N971" s="19">
        <f>IF($A971="","",IFERROR(LOOKUP(2,1/((出库单!$D$4:$D$4003=$A971)*(出库单!$T$4:$T$4003="正常")),出库单!$C$4:$C$4003),""))</f>
        <v/>
      </c>
      <c r="O971" s="28">
        <f>IF($A971="","",IF($L971&lt;=0,"",IF($N971="",IFERROR(账期止-LOOKUP(2,1/(入库单!$G$4:$G$2503=$A971),入库单!$C$4:$C$2503),""),账期止-$N971)))</f>
        <v/>
      </c>
      <c r="P971" s="17" t="n"/>
    </row>
    <row r="972">
      <c r="A972" s="17" t="n"/>
      <c r="B972" s="17" t="n"/>
      <c r="C972" s="17" t="n"/>
      <c r="D972" s="17" t="n"/>
      <c r="E972" s="17" t="n"/>
      <c r="F972" s="17" t="n"/>
      <c r="G972" s="23" t="n"/>
      <c r="H972" s="24">
        <f>IF($A972="","",IFERROR(LOOKUP(2,1/((入库单!$G$4:$G$2503=$A972)*(入库单!$Y$4:$Y$2503="正常")*(入库单!$L$4:$L$2503&gt;0)),入库单!$D$4:$D$2503),""))</f>
        <v/>
      </c>
      <c r="I972" s="25">
        <f>IF($A972="","",IFERROR(LOOKUP(2,1/((入库单!$G$4:$G$2503=$A972)*(入库单!$Y$4:$Y$2503="正常")*(入库单!$L$4:$L$2503&gt;0)),入库单!$L$4:$L$2503),0))</f>
        <v/>
      </c>
      <c r="J972" s="26">
        <f>IF($A972="","",IF($H972="A国内",ROUND($I972*倍数A*汇率,0),IF($H972="B当地",ROUND($I972*系数B,0),0)))</f>
        <v/>
      </c>
      <c r="K972" s="24">
        <f>IF($A972="","",IF(COUNTIFS(入库单!$G$4:$G$2503,$A972,入库单!$X$4:$X$2503,"待补价")&gt;0,"待补价",IF(COUNTIFS(入库单!$G$4:$G$2503,$A972,入库单!$X$4:$X$2503,"暂估")&gt;0,"暂估",IF($I972=0,"没有进价","正常"))))</f>
        <v/>
      </c>
      <c r="L972" s="27">
        <f>IF($A972="","",IFERROR(VLOOKUP($A972,库存台账!$A$5:$Y$1204,24,0),0))</f>
        <v/>
      </c>
      <c r="M972" s="26">
        <f>IF($A972="","",IFERROR(VLOOKUP($A972,库存台账!$A$5:$Y$1204,25,0),0))</f>
        <v/>
      </c>
      <c r="N972" s="19">
        <f>IF($A972="","",IFERROR(LOOKUP(2,1/((出库单!$D$4:$D$4003=$A972)*(出库单!$T$4:$T$4003="正常")),出库单!$C$4:$C$4003),""))</f>
        <v/>
      </c>
      <c r="O972" s="28">
        <f>IF($A972="","",IF($L972&lt;=0,"",IF($N972="",IFERROR(账期止-LOOKUP(2,1/(入库单!$G$4:$G$2503=$A972),入库单!$C$4:$C$2503),""),账期止-$N972)))</f>
        <v/>
      </c>
      <c r="P972" s="17" t="n"/>
    </row>
    <row r="973">
      <c r="A973" s="17" t="n"/>
      <c r="B973" s="17" t="n"/>
      <c r="C973" s="17" t="n"/>
      <c r="D973" s="17" t="n"/>
      <c r="E973" s="17" t="n"/>
      <c r="F973" s="17" t="n"/>
      <c r="G973" s="23" t="n"/>
      <c r="H973" s="24">
        <f>IF($A973="","",IFERROR(LOOKUP(2,1/((入库单!$G$4:$G$2503=$A973)*(入库单!$Y$4:$Y$2503="正常")*(入库单!$L$4:$L$2503&gt;0)),入库单!$D$4:$D$2503),""))</f>
        <v/>
      </c>
      <c r="I973" s="25">
        <f>IF($A973="","",IFERROR(LOOKUP(2,1/((入库单!$G$4:$G$2503=$A973)*(入库单!$Y$4:$Y$2503="正常")*(入库单!$L$4:$L$2503&gt;0)),入库单!$L$4:$L$2503),0))</f>
        <v/>
      </c>
      <c r="J973" s="26">
        <f>IF($A973="","",IF($H973="A国内",ROUND($I973*倍数A*汇率,0),IF($H973="B当地",ROUND($I973*系数B,0),0)))</f>
        <v/>
      </c>
      <c r="K973" s="24">
        <f>IF($A973="","",IF(COUNTIFS(入库单!$G$4:$G$2503,$A973,入库单!$X$4:$X$2503,"待补价")&gt;0,"待补价",IF(COUNTIFS(入库单!$G$4:$G$2503,$A973,入库单!$X$4:$X$2503,"暂估")&gt;0,"暂估",IF($I973=0,"没有进价","正常"))))</f>
        <v/>
      </c>
      <c r="L973" s="27">
        <f>IF($A973="","",IFERROR(VLOOKUP($A973,库存台账!$A$5:$Y$1204,24,0),0))</f>
        <v/>
      </c>
      <c r="M973" s="26">
        <f>IF($A973="","",IFERROR(VLOOKUP($A973,库存台账!$A$5:$Y$1204,25,0),0))</f>
        <v/>
      </c>
      <c r="N973" s="19">
        <f>IF($A973="","",IFERROR(LOOKUP(2,1/((出库单!$D$4:$D$4003=$A973)*(出库单!$T$4:$T$4003="正常")),出库单!$C$4:$C$4003),""))</f>
        <v/>
      </c>
      <c r="O973" s="28">
        <f>IF($A973="","",IF($L973&lt;=0,"",IF($N973="",IFERROR(账期止-LOOKUP(2,1/(入库单!$G$4:$G$2503=$A973),入库单!$C$4:$C$2503),""),账期止-$N973)))</f>
        <v/>
      </c>
      <c r="P973" s="17" t="n"/>
    </row>
    <row r="974">
      <c r="A974" s="17" t="n"/>
      <c r="B974" s="17" t="n"/>
      <c r="C974" s="17" t="n"/>
      <c r="D974" s="17" t="n"/>
      <c r="E974" s="17" t="n"/>
      <c r="F974" s="17" t="n"/>
      <c r="G974" s="23" t="n"/>
      <c r="H974" s="24">
        <f>IF($A974="","",IFERROR(LOOKUP(2,1/((入库单!$G$4:$G$2503=$A974)*(入库单!$Y$4:$Y$2503="正常")*(入库单!$L$4:$L$2503&gt;0)),入库单!$D$4:$D$2503),""))</f>
        <v/>
      </c>
      <c r="I974" s="25">
        <f>IF($A974="","",IFERROR(LOOKUP(2,1/((入库单!$G$4:$G$2503=$A974)*(入库单!$Y$4:$Y$2503="正常")*(入库单!$L$4:$L$2503&gt;0)),入库单!$L$4:$L$2503),0))</f>
        <v/>
      </c>
      <c r="J974" s="26">
        <f>IF($A974="","",IF($H974="A国内",ROUND($I974*倍数A*汇率,0),IF($H974="B当地",ROUND($I974*系数B,0),0)))</f>
        <v/>
      </c>
      <c r="K974" s="24">
        <f>IF($A974="","",IF(COUNTIFS(入库单!$G$4:$G$2503,$A974,入库单!$X$4:$X$2503,"待补价")&gt;0,"待补价",IF(COUNTIFS(入库单!$G$4:$G$2503,$A974,入库单!$X$4:$X$2503,"暂估")&gt;0,"暂估",IF($I974=0,"没有进价","正常"))))</f>
        <v/>
      </c>
      <c r="L974" s="27">
        <f>IF($A974="","",IFERROR(VLOOKUP($A974,库存台账!$A$5:$Y$1204,24,0),0))</f>
        <v/>
      </c>
      <c r="M974" s="26">
        <f>IF($A974="","",IFERROR(VLOOKUP($A974,库存台账!$A$5:$Y$1204,25,0),0))</f>
        <v/>
      </c>
      <c r="N974" s="19">
        <f>IF($A974="","",IFERROR(LOOKUP(2,1/((出库单!$D$4:$D$4003=$A974)*(出库单!$T$4:$T$4003="正常")),出库单!$C$4:$C$4003),""))</f>
        <v/>
      </c>
      <c r="O974" s="28">
        <f>IF($A974="","",IF($L974&lt;=0,"",IF($N974="",IFERROR(账期止-LOOKUP(2,1/(入库单!$G$4:$G$2503=$A974),入库单!$C$4:$C$2503),""),账期止-$N974)))</f>
        <v/>
      </c>
      <c r="P974" s="17" t="n"/>
    </row>
    <row r="975">
      <c r="A975" s="17" t="n"/>
      <c r="B975" s="17" t="n"/>
      <c r="C975" s="17" t="n"/>
      <c r="D975" s="17" t="n"/>
      <c r="E975" s="17" t="n"/>
      <c r="F975" s="17" t="n"/>
      <c r="G975" s="23" t="n"/>
      <c r="H975" s="24">
        <f>IF($A975="","",IFERROR(LOOKUP(2,1/((入库单!$G$4:$G$2503=$A975)*(入库单!$Y$4:$Y$2503="正常")*(入库单!$L$4:$L$2503&gt;0)),入库单!$D$4:$D$2503),""))</f>
        <v/>
      </c>
      <c r="I975" s="25">
        <f>IF($A975="","",IFERROR(LOOKUP(2,1/((入库单!$G$4:$G$2503=$A975)*(入库单!$Y$4:$Y$2503="正常")*(入库单!$L$4:$L$2503&gt;0)),入库单!$L$4:$L$2503),0))</f>
        <v/>
      </c>
      <c r="J975" s="26">
        <f>IF($A975="","",IF($H975="A国内",ROUND($I975*倍数A*汇率,0),IF($H975="B当地",ROUND($I975*系数B,0),0)))</f>
        <v/>
      </c>
      <c r="K975" s="24">
        <f>IF($A975="","",IF(COUNTIFS(入库单!$G$4:$G$2503,$A975,入库单!$X$4:$X$2503,"待补价")&gt;0,"待补价",IF(COUNTIFS(入库单!$G$4:$G$2503,$A975,入库单!$X$4:$X$2503,"暂估")&gt;0,"暂估",IF($I975=0,"没有进价","正常"))))</f>
        <v/>
      </c>
      <c r="L975" s="27">
        <f>IF($A975="","",IFERROR(VLOOKUP($A975,库存台账!$A$5:$Y$1204,24,0),0))</f>
        <v/>
      </c>
      <c r="M975" s="26">
        <f>IF($A975="","",IFERROR(VLOOKUP($A975,库存台账!$A$5:$Y$1204,25,0),0))</f>
        <v/>
      </c>
      <c r="N975" s="19">
        <f>IF($A975="","",IFERROR(LOOKUP(2,1/((出库单!$D$4:$D$4003=$A975)*(出库单!$T$4:$T$4003="正常")),出库单!$C$4:$C$4003),""))</f>
        <v/>
      </c>
      <c r="O975" s="28">
        <f>IF($A975="","",IF($L975&lt;=0,"",IF($N975="",IFERROR(账期止-LOOKUP(2,1/(入库单!$G$4:$G$2503=$A975),入库单!$C$4:$C$2503),""),账期止-$N975)))</f>
        <v/>
      </c>
      <c r="P975" s="17" t="n"/>
    </row>
    <row r="976">
      <c r="A976" s="17" t="n"/>
      <c r="B976" s="17" t="n"/>
      <c r="C976" s="17" t="n"/>
      <c r="D976" s="17" t="n"/>
      <c r="E976" s="17" t="n"/>
      <c r="F976" s="17" t="n"/>
      <c r="G976" s="23" t="n"/>
      <c r="H976" s="24">
        <f>IF($A976="","",IFERROR(LOOKUP(2,1/((入库单!$G$4:$G$2503=$A976)*(入库单!$Y$4:$Y$2503="正常")*(入库单!$L$4:$L$2503&gt;0)),入库单!$D$4:$D$2503),""))</f>
        <v/>
      </c>
      <c r="I976" s="25">
        <f>IF($A976="","",IFERROR(LOOKUP(2,1/((入库单!$G$4:$G$2503=$A976)*(入库单!$Y$4:$Y$2503="正常")*(入库单!$L$4:$L$2503&gt;0)),入库单!$L$4:$L$2503),0))</f>
        <v/>
      </c>
      <c r="J976" s="26">
        <f>IF($A976="","",IF($H976="A国内",ROUND($I976*倍数A*汇率,0),IF($H976="B当地",ROUND($I976*系数B,0),0)))</f>
        <v/>
      </c>
      <c r="K976" s="24">
        <f>IF($A976="","",IF(COUNTIFS(入库单!$G$4:$G$2503,$A976,入库单!$X$4:$X$2503,"待补价")&gt;0,"待补价",IF(COUNTIFS(入库单!$G$4:$G$2503,$A976,入库单!$X$4:$X$2503,"暂估")&gt;0,"暂估",IF($I976=0,"没有进价","正常"))))</f>
        <v/>
      </c>
      <c r="L976" s="27">
        <f>IF($A976="","",IFERROR(VLOOKUP($A976,库存台账!$A$5:$Y$1204,24,0),0))</f>
        <v/>
      </c>
      <c r="M976" s="26">
        <f>IF($A976="","",IFERROR(VLOOKUP($A976,库存台账!$A$5:$Y$1204,25,0),0))</f>
        <v/>
      </c>
      <c r="N976" s="19">
        <f>IF($A976="","",IFERROR(LOOKUP(2,1/((出库单!$D$4:$D$4003=$A976)*(出库单!$T$4:$T$4003="正常")),出库单!$C$4:$C$4003),""))</f>
        <v/>
      </c>
      <c r="O976" s="28">
        <f>IF($A976="","",IF($L976&lt;=0,"",IF($N976="",IFERROR(账期止-LOOKUP(2,1/(入库单!$G$4:$G$2503=$A976),入库单!$C$4:$C$2503),""),账期止-$N976)))</f>
        <v/>
      </c>
      <c r="P976" s="17" t="n"/>
    </row>
    <row r="977">
      <c r="A977" s="17" t="n"/>
      <c r="B977" s="17" t="n"/>
      <c r="C977" s="17" t="n"/>
      <c r="D977" s="17" t="n"/>
      <c r="E977" s="17" t="n"/>
      <c r="F977" s="17" t="n"/>
      <c r="G977" s="23" t="n"/>
      <c r="H977" s="24">
        <f>IF($A977="","",IFERROR(LOOKUP(2,1/((入库单!$G$4:$G$2503=$A977)*(入库单!$Y$4:$Y$2503="正常")*(入库单!$L$4:$L$2503&gt;0)),入库单!$D$4:$D$2503),""))</f>
        <v/>
      </c>
      <c r="I977" s="25">
        <f>IF($A977="","",IFERROR(LOOKUP(2,1/((入库单!$G$4:$G$2503=$A977)*(入库单!$Y$4:$Y$2503="正常")*(入库单!$L$4:$L$2503&gt;0)),入库单!$L$4:$L$2503),0))</f>
        <v/>
      </c>
      <c r="J977" s="26">
        <f>IF($A977="","",IF($H977="A国内",ROUND($I977*倍数A*汇率,0),IF($H977="B当地",ROUND($I977*系数B,0),0)))</f>
        <v/>
      </c>
      <c r="K977" s="24">
        <f>IF($A977="","",IF(COUNTIFS(入库单!$G$4:$G$2503,$A977,入库单!$X$4:$X$2503,"待补价")&gt;0,"待补价",IF(COUNTIFS(入库单!$G$4:$G$2503,$A977,入库单!$X$4:$X$2503,"暂估")&gt;0,"暂估",IF($I977=0,"没有进价","正常"))))</f>
        <v/>
      </c>
      <c r="L977" s="27">
        <f>IF($A977="","",IFERROR(VLOOKUP($A977,库存台账!$A$5:$Y$1204,24,0),0))</f>
        <v/>
      </c>
      <c r="M977" s="26">
        <f>IF($A977="","",IFERROR(VLOOKUP($A977,库存台账!$A$5:$Y$1204,25,0),0))</f>
        <v/>
      </c>
      <c r="N977" s="19">
        <f>IF($A977="","",IFERROR(LOOKUP(2,1/((出库单!$D$4:$D$4003=$A977)*(出库单!$T$4:$T$4003="正常")),出库单!$C$4:$C$4003),""))</f>
        <v/>
      </c>
      <c r="O977" s="28">
        <f>IF($A977="","",IF($L977&lt;=0,"",IF($N977="",IFERROR(账期止-LOOKUP(2,1/(入库单!$G$4:$G$2503=$A977),入库单!$C$4:$C$2503),""),账期止-$N977)))</f>
        <v/>
      </c>
      <c r="P977" s="17" t="n"/>
    </row>
    <row r="978">
      <c r="A978" s="17" t="n"/>
      <c r="B978" s="17" t="n"/>
      <c r="C978" s="17" t="n"/>
      <c r="D978" s="17" t="n"/>
      <c r="E978" s="17" t="n"/>
      <c r="F978" s="17" t="n"/>
      <c r="G978" s="23" t="n"/>
      <c r="H978" s="24">
        <f>IF($A978="","",IFERROR(LOOKUP(2,1/((入库单!$G$4:$G$2503=$A978)*(入库单!$Y$4:$Y$2503="正常")*(入库单!$L$4:$L$2503&gt;0)),入库单!$D$4:$D$2503),""))</f>
        <v/>
      </c>
      <c r="I978" s="25">
        <f>IF($A978="","",IFERROR(LOOKUP(2,1/((入库单!$G$4:$G$2503=$A978)*(入库单!$Y$4:$Y$2503="正常")*(入库单!$L$4:$L$2503&gt;0)),入库单!$L$4:$L$2503),0))</f>
        <v/>
      </c>
      <c r="J978" s="26">
        <f>IF($A978="","",IF($H978="A国内",ROUND($I978*倍数A*汇率,0),IF($H978="B当地",ROUND($I978*系数B,0),0)))</f>
        <v/>
      </c>
      <c r="K978" s="24">
        <f>IF($A978="","",IF(COUNTIFS(入库单!$G$4:$G$2503,$A978,入库单!$X$4:$X$2503,"待补价")&gt;0,"待补价",IF(COUNTIFS(入库单!$G$4:$G$2503,$A978,入库单!$X$4:$X$2503,"暂估")&gt;0,"暂估",IF($I978=0,"没有进价","正常"))))</f>
        <v/>
      </c>
      <c r="L978" s="27">
        <f>IF($A978="","",IFERROR(VLOOKUP($A978,库存台账!$A$5:$Y$1204,24,0),0))</f>
        <v/>
      </c>
      <c r="M978" s="26">
        <f>IF($A978="","",IFERROR(VLOOKUP($A978,库存台账!$A$5:$Y$1204,25,0),0))</f>
        <v/>
      </c>
      <c r="N978" s="19">
        <f>IF($A978="","",IFERROR(LOOKUP(2,1/((出库单!$D$4:$D$4003=$A978)*(出库单!$T$4:$T$4003="正常")),出库单!$C$4:$C$4003),""))</f>
        <v/>
      </c>
      <c r="O978" s="28">
        <f>IF($A978="","",IF($L978&lt;=0,"",IF($N978="",IFERROR(账期止-LOOKUP(2,1/(入库单!$G$4:$G$2503=$A978),入库单!$C$4:$C$2503),""),账期止-$N978)))</f>
        <v/>
      </c>
      <c r="P978" s="17" t="n"/>
    </row>
    <row r="979">
      <c r="A979" s="17" t="n"/>
      <c r="B979" s="17" t="n"/>
      <c r="C979" s="17" t="n"/>
      <c r="D979" s="17" t="n"/>
      <c r="E979" s="17" t="n"/>
      <c r="F979" s="17" t="n"/>
      <c r="G979" s="23" t="n"/>
      <c r="H979" s="24">
        <f>IF($A979="","",IFERROR(LOOKUP(2,1/((入库单!$G$4:$G$2503=$A979)*(入库单!$Y$4:$Y$2503="正常")*(入库单!$L$4:$L$2503&gt;0)),入库单!$D$4:$D$2503),""))</f>
        <v/>
      </c>
      <c r="I979" s="25">
        <f>IF($A979="","",IFERROR(LOOKUP(2,1/((入库单!$G$4:$G$2503=$A979)*(入库单!$Y$4:$Y$2503="正常")*(入库单!$L$4:$L$2503&gt;0)),入库单!$L$4:$L$2503),0))</f>
        <v/>
      </c>
      <c r="J979" s="26">
        <f>IF($A979="","",IF($H979="A国内",ROUND($I979*倍数A*汇率,0),IF($H979="B当地",ROUND($I979*系数B,0),0)))</f>
        <v/>
      </c>
      <c r="K979" s="24">
        <f>IF($A979="","",IF(COUNTIFS(入库单!$G$4:$G$2503,$A979,入库单!$X$4:$X$2503,"待补价")&gt;0,"待补价",IF(COUNTIFS(入库单!$G$4:$G$2503,$A979,入库单!$X$4:$X$2503,"暂估")&gt;0,"暂估",IF($I979=0,"没有进价","正常"))))</f>
        <v/>
      </c>
      <c r="L979" s="27">
        <f>IF($A979="","",IFERROR(VLOOKUP($A979,库存台账!$A$5:$Y$1204,24,0),0))</f>
        <v/>
      </c>
      <c r="M979" s="26">
        <f>IF($A979="","",IFERROR(VLOOKUP($A979,库存台账!$A$5:$Y$1204,25,0),0))</f>
        <v/>
      </c>
      <c r="N979" s="19">
        <f>IF($A979="","",IFERROR(LOOKUP(2,1/((出库单!$D$4:$D$4003=$A979)*(出库单!$T$4:$T$4003="正常")),出库单!$C$4:$C$4003),""))</f>
        <v/>
      </c>
      <c r="O979" s="28">
        <f>IF($A979="","",IF($L979&lt;=0,"",IF($N979="",IFERROR(账期止-LOOKUP(2,1/(入库单!$G$4:$G$2503=$A979),入库单!$C$4:$C$2503),""),账期止-$N979)))</f>
        <v/>
      </c>
      <c r="P979" s="17" t="n"/>
    </row>
    <row r="980">
      <c r="A980" s="17" t="n"/>
      <c r="B980" s="17" t="n"/>
      <c r="C980" s="17" t="n"/>
      <c r="D980" s="17" t="n"/>
      <c r="E980" s="17" t="n"/>
      <c r="F980" s="17" t="n"/>
      <c r="G980" s="23" t="n"/>
      <c r="H980" s="24">
        <f>IF($A980="","",IFERROR(LOOKUP(2,1/((入库单!$G$4:$G$2503=$A980)*(入库单!$Y$4:$Y$2503="正常")*(入库单!$L$4:$L$2503&gt;0)),入库单!$D$4:$D$2503),""))</f>
        <v/>
      </c>
      <c r="I980" s="25">
        <f>IF($A980="","",IFERROR(LOOKUP(2,1/((入库单!$G$4:$G$2503=$A980)*(入库单!$Y$4:$Y$2503="正常")*(入库单!$L$4:$L$2503&gt;0)),入库单!$L$4:$L$2503),0))</f>
        <v/>
      </c>
      <c r="J980" s="26">
        <f>IF($A980="","",IF($H980="A国内",ROUND($I980*倍数A*汇率,0),IF($H980="B当地",ROUND($I980*系数B,0),0)))</f>
        <v/>
      </c>
      <c r="K980" s="24">
        <f>IF($A980="","",IF(COUNTIFS(入库单!$G$4:$G$2503,$A980,入库单!$X$4:$X$2503,"待补价")&gt;0,"待补价",IF(COUNTIFS(入库单!$G$4:$G$2503,$A980,入库单!$X$4:$X$2503,"暂估")&gt;0,"暂估",IF($I980=0,"没有进价","正常"))))</f>
        <v/>
      </c>
      <c r="L980" s="27">
        <f>IF($A980="","",IFERROR(VLOOKUP($A980,库存台账!$A$5:$Y$1204,24,0),0))</f>
        <v/>
      </c>
      <c r="M980" s="26">
        <f>IF($A980="","",IFERROR(VLOOKUP($A980,库存台账!$A$5:$Y$1204,25,0),0))</f>
        <v/>
      </c>
      <c r="N980" s="19">
        <f>IF($A980="","",IFERROR(LOOKUP(2,1/((出库单!$D$4:$D$4003=$A980)*(出库单!$T$4:$T$4003="正常")),出库单!$C$4:$C$4003),""))</f>
        <v/>
      </c>
      <c r="O980" s="28">
        <f>IF($A980="","",IF($L980&lt;=0,"",IF($N980="",IFERROR(账期止-LOOKUP(2,1/(入库单!$G$4:$G$2503=$A980),入库单!$C$4:$C$2503),""),账期止-$N980)))</f>
        <v/>
      </c>
      <c r="P980" s="17" t="n"/>
    </row>
    <row r="981">
      <c r="A981" s="17" t="n"/>
      <c r="B981" s="17" t="n"/>
      <c r="C981" s="17" t="n"/>
      <c r="D981" s="17" t="n"/>
      <c r="E981" s="17" t="n"/>
      <c r="F981" s="17" t="n"/>
      <c r="G981" s="23" t="n"/>
      <c r="H981" s="24">
        <f>IF($A981="","",IFERROR(LOOKUP(2,1/((入库单!$G$4:$G$2503=$A981)*(入库单!$Y$4:$Y$2503="正常")*(入库单!$L$4:$L$2503&gt;0)),入库单!$D$4:$D$2503),""))</f>
        <v/>
      </c>
      <c r="I981" s="25">
        <f>IF($A981="","",IFERROR(LOOKUP(2,1/((入库单!$G$4:$G$2503=$A981)*(入库单!$Y$4:$Y$2503="正常")*(入库单!$L$4:$L$2503&gt;0)),入库单!$L$4:$L$2503),0))</f>
        <v/>
      </c>
      <c r="J981" s="26">
        <f>IF($A981="","",IF($H981="A国内",ROUND($I981*倍数A*汇率,0),IF($H981="B当地",ROUND($I981*系数B,0),0)))</f>
        <v/>
      </c>
      <c r="K981" s="24">
        <f>IF($A981="","",IF(COUNTIFS(入库单!$G$4:$G$2503,$A981,入库单!$X$4:$X$2503,"待补价")&gt;0,"待补价",IF(COUNTIFS(入库单!$G$4:$G$2503,$A981,入库单!$X$4:$X$2503,"暂估")&gt;0,"暂估",IF($I981=0,"没有进价","正常"))))</f>
        <v/>
      </c>
      <c r="L981" s="27">
        <f>IF($A981="","",IFERROR(VLOOKUP($A981,库存台账!$A$5:$Y$1204,24,0),0))</f>
        <v/>
      </c>
      <c r="M981" s="26">
        <f>IF($A981="","",IFERROR(VLOOKUP($A981,库存台账!$A$5:$Y$1204,25,0),0))</f>
        <v/>
      </c>
      <c r="N981" s="19">
        <f>IF($A981="","",IFERROR(LOOKUP(2,1/((出库单!$D$4:$D$4003=$A981)*(出库单!$T$4:$T$4003="正常")),出库单!$C$4:$C$4003),""))</f>
        <v/>
      </c>
      <c r="O981" s="28">
        <f>IF($A981="","",IF($L981&lt;=0,"",IF($N981="",IFERROR(账期止-LOOKUP(2,1/(入库单!$G$4:$G$2503=$A981),入库单!$C$4:$C$2503),""),账期止-$N981)))</f>
        <v/>
      </c>
      <c r="P981" s="17" t="n"/>
    </row>
    <row r="982">
      <c r="A982" s="17" t="n"/>
      <c r="B982" s="17" t="n"/>
      <c r="C982" s="17" t="n"/>
      <c r="D982" s="17" t="n"/>
      <c r="E982" s="17" t="n"/>
      <c r="F982" s="17" t="n"/>
      <c r="G982" s="23" t="n"/>
      <c r="H982" s="24">
        <f>IF($A982="","",IFERROR(LOOKUP(2,1/((入库单!$G$4:$G$2503=$A982)*(入库单!$Y$4:$Y$2503="正常")*(入库单!$L$4:$L$2503&gt;0)),入库单!$D$4:$D$2503),""))</f>
        <v/>
      </c>
      <c r="I982" s="25">
        <f>IF($A982="","",IFERROR(LOOKUP(2,1/((入库单!$G$4:$G$2503=$A982)*(入库单!$Y$4:$Y$2503="正常")*(入库单!$L$4:$L$2503&gt;0)),入库单!$L$4:$L$2503),0))</f>
        <v/>
      </c>
      <c r="J982" s="26">
        <f>IF($A982="","",IF($H982="A国内",ROUND($I982*倍数A*汇率,0),IF($H982="B当地",ROUND($I982*系数B,0),0)))</f>
        <v/>
      </c>
      <c r="K982" s="24">
        <f>IF($A982="","",IF(COUNTIFS(入库单!$G$4:$G$2503,$A982,入库单!$X$4:$X$2503,"待补价")&gt;0,"待补价",IF(COUNTIFS(入库单!$G$4:$G$2503,$A982,入库单!$X$4:$X$2503,"暂估")&gt;0,"暂估",IF($I982=0,"没有进价","正常"))))</f>
        <v/>
      </c>
      <c r="L982" s="27">
        <f>IF($A982="","",IFERROR(VLOOKUP($A982,库存台账!$A$5:$Y$1204,24,0),0))</f>
        <v/>
      </c>
      <c r="M982" s="26">
        <f>IF($A982="","",IFERROR(VLOOKUP($A982,库存台账!$A$5:$Y$1204,25,0),0))</f>
        <v/>
      </c>
      <c r="N982" s="19">
        <f>IF($A982="","",IFERROR(LOOKUP(2,1/((出库单!$D$4:$D$4003=$A982)*(出库单!$T$4:$T$4003="正常")),出库单!$C$4:$C$4003),""))</f>
        <v/>
      </c>
      <c r="O982" s="28">
        <f>IF($A982="","",IF($L982&lt;=0,"",IF($N982="",IFERROR(账期止-LOOKUP(2,1/(入库单!$G$4:$G$2503=$A982),入库单!$C$4:$C$2503),""),账期止-$N982)))</f>
        <v/>
      </c>
      <c r="P982" s="17" t="n"/>
    </row>
    <row r="983">
      <c r="A983" s="17" t="n"/>
      <c r="B983" s="17" t="n"/>
      <c r="C983" s="17" t="n"/>
      <c r="D983" s="17" t="n"/>
      <c r="E983" s="17" t="n"/>
      <c r="F983" s="17" t="n"/>
      <c r="G983" s="23" t="n"/>
      <c r="H983" s="24">
        <f>IF($A983="","",IFERROR(LOOKUP(2,1/((入库单!$G$4:$G$2503=$A983)*(入库单!$Y$4:$Y$2503="正常")*(入库单!$L$4:$L$2503&gt;0)),入库单!$D$4:$D$2503),""))</f>
        <v/>
      </c>
      <c r="I983" s="25">
        <f>IF($A983="","",IFERROR(LOOKUP(2,1/((入库单!$G$4:$G$2503=$A983)*(入库单!$Y$4:$Y$2503="正常")*(入库单!$L$4:$L$2503&gt;0)),入库单!$L$4:$L$2503),0))</f>
        <v/>
      </c>
      <c r="J983" s="26">
        <f>IF($A983="","",IF($H983="A国内",ROUND($I983*倍数A*汇率,0),IF($H983="B当地",ROUND($I983*系数B,0),0)))</f>
        <v/>
      </c>
      <c r="K983" s="24">
        <f>IF($A983="","",IF(COUNTIFS(入库单!$G$4:$G$2503,$A983,入库单!$X$4:$X$2503,"待补价")&gt;0,"待补价",IF(COUNTIFS(入库单!$G$4:$G$2503,$A983,入库单!$X$4:$X$2503,"暂估")&gt;0,"暂估",IF($I983=0,"没有进价","正常"))))</f>
        <v/>
      </c>
      <c r="L983" s="27">
        <f>IF($A983="","",IFERROR(VLOOKUP($A983,库存台账!$A$5:$Y$1204,24,0),0))</f>
        <v/>
      </c>
      <c r="M983" s="26">
        <f>IF($A983="","",IFERROR(VLOOKUP($A983,库存台账!$A$5:$Y$1204,25,0),0))</f>
        <v/>
      </c>
      <c r="N983" s="19">
        <f>IF($A983="","",IFERROR(LOOKUP(2,1/((出库单!$D$4:$D$4003=$A983)*(出库单!$T$4:$T$4003="正常")),出库单!$C$4:$C$4003),""))</f>
        <v/>
      </c>
      <c r="O983" s="28">
        <f>IF($A983="","",IF($L983&lt;=0,"",IF($N983="",IFERROR(账期止-LOOKUP(2,1/(入库单!$G$4:$G$2503=$A983),入库单!$C$4:$C$2503),""),账期止-$N983)))</f>
        <v/>
      </c>
      <c r="P983" s="17" t="n"/>
    </row>
    <row r="984">
      <c r="A984" s="17" t="n"/>
      <c r="B984" s="17" t="n"/>
      <c r="C984" s="17" t="n"/>
      <c r="D984" s="17" t="n"/>
      <c r="E984" s="17" t="n"/>
      <c r="F984" s="17" t="n"/>
      <c r="G984" s="23" t="n"/>
      <c r="H984" s="24">
        <f>IF($A984="","",IFERROR(LOOKUP(2,1/((入库单!$G$4:$G$2503=$A984)*(入库单!$Y$4:$Y$2503="正常")*(入库单!$L$4:$L$2503&gt;0)),入库单!$D$4:$D$2503),""))</f>
        <v/>
      </c>
      <c r="I984" s="25">
        <f>IF($A984="","",IFERROR(LOOKUP(2,1/((入库单!$G$4:$G$2503=$A984)*(入库单!$Y$4:$Y$2503="正常")*(入库单!$L$4:$L$2503&gt;0)),入库单!$L$4:$L$2503),0))</f>
        <v/>
      </c>
      <c r="J984" s="26">
        <f>IF($A984="","",IF($H984="A国内",ROUND($I984*倍数A*汇率,0),IF($H984="B当地",ROUND($I984*系数B,0),0)))</f>
        <v/>
      </c>
      <c r="K984" s="24">
        <f>IF($A984="","",IF(COUNTIFS(入库单!$G$4:$G$2503,$A984,入库单!$X$4:$X$2503,"待补价")&gt;0,"待补价",IF(COUNTIFS(入库单!$G$4:$G$2503,$A984,入库单!$X$4:$X$2503,"暂估")&gt;0,"暂估",IF($I984=0,"没有进价","正常"))))</f>
        <v/>
      </c>
      <c r="L984" s="27">
        <f>IF($A984="","",IFERROR(VLOOKUP($A984,库存台账!$A$5:$Y$1204,24,0),0))</f>
        <v/>
      </c>
      <c r="M984" s="26">
        <f>IF($A984="","",IFERROR(VLOOKUP($A984,库存台账!$A$5:$Y$1204,25,0),0))</f>
        <v/>
      </c>
      <c r="N984" s="19">
        <f>IF($A984="","",IFERROR(LOOKUP(2,1/((出库单!$D$4:$D$4003=$A984)*(出库单!$T$4:$T$4003="正常")),出库单!$C$4:$C$4003),""))</f>
        <v/>
      </c>
      <c r="O984" s="28">
        <f>IF($A984="","",IF($L984&lt;=0,"",IF($N984="",IFERROR(账期止-LOOKUP(2,1/(入库单!$G$4:$G$2503=$A984),入库单!$C$4:$C$2503),""),账期止-$N984)))</f>
        <v/>
      </c>
      <c r="P984" s="17" t="n"/>
    </row>
    <row r="985">
      <c r="A985" s="17" t="n"/>
      <c r="B985" s="17" t="n"/>
      <c r="C985" s="17" t="n"/>
      <c r="D985" s="17" t="n"/>
      <c r="E985" s="17" t="n"/>
      <c r="F985" s="17" t="n"/>
      <c r="G985" s="23" t="n"/>
      <c r="H985" s="24">
        <f>IF($A985="","",IFERROR(LOOKUP(2,1/((入库单!$G$4:$G$2503=$A985)*(入库单!$Y$4:$Y$2503="正常")*(入库单!$L$4:$L$2503&gt;0)),入库单!$D$4:$D$2503),""))</f>
        <v/>
      </c>
      <c r="I985" s="25">
        <f>IF($A985="","",IFERROR(LOOKUP(2,1/((入库单!$G$4:$G$2503=$A985)*(入库单!$Y$4:$Y$2503="正常")*(入库单!$L$4:$L$2503&gt;0)),入库单!$L$4:$L$2503),0))</f>
        <v/>
      </c>
      <c r="J985" s="26">
        <f>IF($A985="","",IF($H985="A国内",ROUND($I985*倍数A*汇率,0),IF($H985="B当地",ROUND($I985*系数B,0),0)))</f>
        <v/>
      </c>
      <c r="K985" s="24">
        <f>IF($A985="","",IF(COUNTIFS(入库单!$G$4:$G$2503,$A985,入库单!$X$4:$X$2503,"待补价")&gt;0,"待补价",IF(COUNTIFS(入库单!$G$4:$G$2503,$A985,入库单!$X$4:$X$2503,"暂估")&gt;0,"暂估",IF($I985=0,"没有进价","正常"))))</f>
        <v/>
      </c>
      <c r="L985" s="27">
        <f>IF($A985="","",IFERROR(VLOOKUP($A985,库存台账!$A$5:$Y$1204,24,0),0))</f>
        <v/>
      </c>
      <c r="M985" s="26">
        <f>IF($A985="","",IFERROR(VLOOKUP($A985,库存台账!$A$5:$Y$1204,25,0),0))</f>
        <v/>
      </c>
      <c r="N985" s="19">
        <f>IF($A985="","",IFERROR(LOOKUP(2,1/((出库单!$D$4:$D$4003=$A985)*(出库单!$T$4:$T$4003="正常")),出库单!$C$4:$C$4003),""))</f>
        <v/>
      </c>
      <c r="O985" s="28">
        <f>IF($A985="","",IF($L985&lt;=0,"",IF($N985="",IFERROR(账期止-LOOKUP(2,1/(入库单!$G$4:$G$2503=$A985),入库单!$C$4:$C$2503),""),账期止-$N985)))</f>
        <v/>
      </c>
      <c r="P985" s="17" t="n"/>
    </row>
    <row r="986">
      <c r="A986" s="17" t="n"/>
      <c r="B986" s="17" t="n"/>
      <c r="C986" s="17" t="n"/>
      <c r="D986" s="17" t="n"/>
      <c r="E986" s="17" t="n"/>
      <c r="F986" s="17" t="n"/>
      <c r="G986" s="23" t="n"/>
      <c r="H986" s="24">
        <f>IF($A986="","",IFERROR(LOOKUP(2,1/((入库单!$G$4:$G$2503=$A986)*(入库单!$Y$4:$Y$2503="正常")*(入库单!$L$4:$L$2503&gt;0)),入库单!$D$4:$D$2503),""))</f>
        <v/>
      </c>
      <c r="I986" s="25">
        <f>IF($A986="","",IFERROR(LOOKUP(2,1/((入库单!$G$4:$G$2503=$A986)*(入库单!$Y$4:$Y$2503="正常")*(入库单!$L$4:$L$2503&gt;0)),入库单!$L$4:$L$2503),0))</f>
        <v/>
      </c>
      <c r="J986" s="26">
        <f>IF($A986="","",IF($H986="A国内",ROUND($I986*倍数A*汇率,0),IF($H986="B当地",ROUND($I986*系数B,0),0)))</f>
        <v/>
      </c>
      <c r="K986" s="24">
        <f>IF($A986="","",IF(COUNTIFS(入库单!$G$4:$G$2503,$A986,入库单!$X$4:$X$2503,"待补价")&gt;0,"待补价",IF(COUNTIFS(入库单!$G$4:$G$2503,$A986,入库单!$X$4:$X$2503,"暂估")&gt;0,"暂估",IF($I986=0,"没有进价","正常"))))</f>
        <v/>
      </c>
      <c r="L986" s="27">
        <f>IF($A986="","",IFERROR(VLOOKUP($A986,库存台账!$A$5:$Y$1204,24,0),0))</f>
        <v/>
      </c>
      <c r="M986" s="26">
        <f>IF($A986="","",IFERROR(VLOOKUP($A986,库存台账!$A$5:$Y$1204,25,0),0))</f>
        <v/>
      </c>
      <c r="N986" s="19">
        <f>IF($A986="","",IFERROR(LOOKUP(2,1/((出库单!$D$4:$D$4003=$A986)*(出库单!$T$4:$T$4003="正常")),出库单!$C$4:$C$4003),""))</f>
        <v/>
      </c>
      <c r="O986" s="28">
        <f>IF($A986="","",IF($L986&lt;=0,"",IF($N986="",IFERROR(账期止-LOOKUP(2,1/(入库单!$G$4:$G$2503=$A986),入库单!$C$4:$C$2503),""),账期止-$N986)))</f>
        <v/>
      </c>
      <c r="P986" s="17" t="n"/>
    </row>
    <row r="987">
      <c r="A987" s="17" t="n"/>
      <c r="B987" s="17" t="n"/>
      <c r="C987" s="17" t="n"/>
      <c r="D987" s="17" t="n"/>
      <c r="E987" s="17" t="n"/>
      <c r="F987" s="17" t="n"/>
      <c r="G987" s="23" t="n"/>
      <c r="H987" s="24">
        <f>IF($A987="","",IFERROR(LOOKUP(2,1/((入库单!$G$4:$G$2503=$A987)*(入库单!$Y$4:$Y$2503="正常")*(入库单!$L$4:$L$2503&gt;0)),入库单!$D$4:$D$2503),""))</f>
        <v/>
      </c>
      <c r="I987" s="25">
        <f>IF($A987="","",IFERROR(LOOKUP(2,1/((入库单!$G$4:$G$2503=$A987)*(入库单!$Y$4:$Y$2503="正常")*(入库单!$L$4:$L$2503&gt;0)),入库单!$L$4:$L$2503),0))</f>
        <v/>
      </c>
      <c r="J987" s="26">
        <f>IF($A987="","",IF($H987="A国内",ROUND($I987*倍数A*汇率,0),IF($H987="B当地",ROUND($I987*系数B,0),0)))</f>
        <v/>
      </c>
      <c r="K987" s="24">
        <f>IF($A987="","",IF(COUNTIFS(入库单!$G$4:$G$2503,$A987,入库单!$X$4:$X$2503,"待补价")&gt;0,"待补价",IF(COUNTIFS(入库单!$G$4:$G$2503,$A987,入库单!$X$4:$X$2503,"暂估")&gt;0,"暂估",IF($I987=0,"没有进价","正常"))))</f>
        <v/>
      </c>
      <c r="L987" s="27">
        <f>IF($A987="","",IFERROR(VLOOKUP($A987,库存台账!$A$5:$Y$1204,24,0),0))</f>
        <v/>
      </c>
      <c r="M987" s="26">
        <f>IF($A987="","",IFERROR(VLOOKUP($A987,库存台账!$A$5:$Y$1204,25,0),0))</f>
        <v/>
      </c>
      <c r="N987" s="19">
        <f>IF($A987="","",IFERROR(LOOKUP(2,1/((出库单!$D$4:$D$4003=$A987)*(出库单!$T$4:$T$4003="正常")),出库单!$C$4:$C$4003),""))</f>
        <v/>
      </c>
      <c r="O987" s="28">
        <f>IF($A987="","",IF($L987&lt;=0,"",IF($N987="",IFERROR(账期止-LOOKUP(2,1/(入库单!$G$4:$G$2503=$A987),入库单!$C$4:$C$2503),""),账期止-$N987)))</f>
        <v/>
      </c>
      <c r="P987" s="17" t="n"/>
    </row>
    <row r="988">
      <c r="A988" s="17" t="n"/>
      <c r="B988" s="17" t="n"/>
      <c r="C988" s="17" t="n"/>
      <c r="D988" s="17" t="n"/>
      <c r="E988" s="17" t="n"/>
      <c r="F988" s="17" t="n"/>
      <c r="G988" s="23" t="n"/>
      <c r="H988" s="24">
        <f>IF($A988="","",IFERROR(LOOKUP(2,1/((入库单!$G$4:$G$2503=$A988)*(入库单!$Y$4:$Y$2503="正常")*(入库单!$L$4:$L$2503&gt;0)),入库单!$D$4:$D$2503),""))</f>
        <v/>
      </c>
      <c r="I988" s="25">
        <f>IF($A988="","",IFERROR(LOOKUP(2,1/((入库单!$G$4:$G$2503=$A988)*(入库单!$Y$4:$Y$2503="正常")*(入库单!$L$4:$L$2503&gt;0)),入库单!$L$4:$L$2503),0))</f>
        <v/>
      </c>
      <c r="J988" s="26">
        <f>IF($A988="","",IF($H988="A国内",ROUND($I988*倍数A*汇率,0),IF($H988="B当地",ROUND($I988*系数B,0),0)))</f>
        <v/>
      </c>
      <c r="K988" s="24">
        <f>IF($A988="","",IF(COUNTIFS(入库单!$G$4:$G$2503,$A988,入库单!$X$4:$X$2503,"待补价")&gt;0,"待补价",IF(COUNTIFS(入库单!$G$4:$G$2503,$A988,入库单!$X$4:$X$2503,"暂估")&gt;0,"暂估",IF($I988=0,"没有进价","正常"))))</f>
        <v/>
      </c>
      <c r="L988" s="27">
        <f>IF($A988="","",IFERROR(VLOOKUP($A988,库存台账!$A$5:$Y$1204,24,0),0))</f>
        <v/>
      </c>
      <c r="M988" s="26">
        <f>IF($A988="","",IFERROR(VLOOKUP($A988,库存台账!$A$5:$Y$1204,25,0),0))</f>
        <v/>
      </c>
      <c r="N988" s="19">
        <f>IF($A988="","",IFERROR(LOOKUP(2,1/((出库单!$D$4:$D$4003=$A988)*(出库单!$T$4:$T$4003="正常")),出库单!$C$4:$C$4003),""))</f>
        <v/>
      </c>
      <c r="O988" s="28">
        <f>IF($A988="","",IF($L988&lt;=0,"",IF($N988="",IFERROR(账期止-LOOKUP(2,1/(入库单!$G$4:$G$2503=$A988),入库单!$C$4:$C$2503),""),账期止-$N988)))</f>
        <v/>
      </c>
      <c r="P988" s="17" t="n"/>
    </row>
    <row r="989">
      <c r="A989" s="17" t="n"/>
      <c r="B989" s="17" t="n"/>
      <c r="C989" s="17" t="n"/>
      <c r="D989" s="17" t="n"/>
      <c r="E989" s="17" t="n"/>
      <c r="F989" s="17" t="n"/>
      <c r="G989" s="23" t="n"/>
      <c r="H989" s="24">
        <f>IF($A989="","",IFERROR(LOOKUP(2,1/((入库单!$G$4:$G$2503=$A989)*(入库单!$Y$4:$Y$2503="正常")*(入库单!$L$4:$L$2503&gt;0)),入库单!$D$4:$D$2503),""))</f>
        <v/>
      </c>
      <c r="I989" s="25">
        <f>IF($A989="","",IFERROR(LOOKUP(2,1/((入库单!$G$4:$G$2503=$A989)*(入库单!$Y$4:$Y$2503="正常")*(入库单!$L$4:$L$2503&gt;0)),入库单!$L$4:$L$2503),0))</f>
        <v/>
      </c>
      <c r="J989" s="26">
        <f>IF($A989="","",IF($H989="A国内",ROUND($I989*倍数A*汇率,0),IF($H989="B当地",ROUND($I989*系数B,0),0)))</f>
        <v/>
      </c>
      <c r="K989" s="24">
        <f>IF($A989="","",IF(COUNTIFS(入库单!$G$4:$G$2503,$A989,入库单!$X$4:$X$2503,"待补价")&gt;0,"待补价",IF(COUNTIFS(入库单!$G$4:$G$2503,$A989,入库单!$X$4:$X$2503,"暂估")&gt;0,"暂估",IF($I989=0,"没有进价","正常"))))</f>
        <v/>
      </c>
      <c r="L989" s="27">
        <f>IF($A989="","",IFERROR(VLOOKUP($A989,库存台账!$A$5:$Y$1204,24,0),0))</f>
        <v/>
      </c>
      <c r="M989" s="26">
        <f>IF($A989="","",IFERROR(VLOOKUP($A989,库存台账!$A$5:$Y$1204,25,0),0))</f>
        <v/>
      </c>
      <c r="N989" s="19">
        <f>IF($A989="","",IFERROR(LOOKUP(2,1/((出库单!$D$4:$D$4003=$A989)*(出库单!$T$4:$T$4003="正常")),出库单!$C$4:$C$4003),""))</f>
        <v/>
      </c>
      <c r="O989" s="28">
        <f>IF($A989="","",IF($L989&lt;=0,"",IF($N989="",IFERROR(账期止-LOOKUP(2,1/(入库单!$G$4:$G$2503=$A989),入库单!$C$4:$C$2503),""),账期止-$N989)))</f>
        <v/>
      </c>
      <c r="P989" s="17" t="n"/>
    </row>
    <row r="990">
      <c r="A990" s="17" t="n"/>
      <c r="B990" s="17" t="n"/>
      <c r="C990" s="17" t="n"/>
      <c r="D990" s="17" t="n"/>
      <c r="E990" s="17" t="n"/>
      <c r="F990" s="17" t="n"/>
      <c r="G990" s="23" t="n"/>
      <c r="H990" s="24">
        <f>IF($A990="","",IFERROR(LOOKUP(2,1/((入库单!$G$4:$G$2503=$A990)*(入库单!$Y$4:$Y$2503="正常")*(入库单!$L$4:$L$2503&gt;0)),入库单!$D$4:$D$2503),""))</f>
        <v/>
      </c>
      <c r="I990" s="25">
        <f>IF($A990="","",IFERROR(LOOKUP(2,1/((入库单!$G$4:$G$2503=$A990)*(入库单!$Y$4:$Y$2503="正常")*(入库单!$L$4:$L$2503&gt;0)),入库单!$L$4:$L$2503),0))</f>
        <v/>
      </c>
      <c r="J990" s="26">
        <f>IF($A990="","",IF($H990="A国内",ROUND($I990*倍数A*汇率,0),IF($H990="B当地",ROUND($I990*系数B,0),0)))</f>
        <v/>
      </c>
      <c r="K990" s="24">
        <f>IF($A990="","",IF(COUNTIFS(入库单!$G$4:$G$2503,$A990,入库单!$X$4:$X$2503,"待补价")&gt;0,"待补价",IF(COUNTIFS(入库单!$G$4:$G$2503,$A990,入库单!$X$4:$X$2503,"暂估")&gt;0,"暂估",IF($I990=0,"没有进价","正常"))))</f>
        <v/>
      </c>
      <c r="L990" s="27">
        <f>IF($A990="","",IFERROR(VLOOKUP($A990,库存台账!$A$5:$Y$1204,24,0),0))</f>
        <v/>
      </c>
      <c r="M990" s="26">
        <f>IF($A990="","",IFERROR(VLOOKUP($A990,库存台账!$A$5:$Y$1204,25,0),0))</f>
        <v/>
      </c>
      <c r="N990" s="19">
        <f>IF($A990="","",IFERROR(LOOKUP(2,1/((出库单!$D$4:$D$4003=$A990)*(出库单!$T$4:$T$4003="正常")),出库单!$C$4:$C$4003),""))</f>
        <v/>
      </c>
      <c r="O990" s="28">
        <f>IF($A990="","",IF($L990&lt;=0,"",IF($N990="",IFERROR(账期止-LOOKUP(2,1/(入库单!$G$4:$G$2503=$A990),入库单!$C$4:$C$2503),""),账期止-$N990)))</f>
        <v/>
      </c>
      <c r="P990" s="17" t="n"/>
    </row>
    <row r="991">
      <c r="A991" s="17" t="n"/>
      <c r="B991" s="17" t="n"/>
      <c r="C991" s="17" t="n"/>
      <c r="D991" s="17" t="n"/>
      <c r="E991" s="17" t="n"/>
      <c r="F991" s="17" t="n"/>
      <c r="G991" s="23" t="n"/>
      <c r="H991" s="24">
        <f>IF($A991="","",IFERROR(LOOKUP(2,1/((入库单!$G$4:$G$2503=$A991)*(入库单!$Y$4:$Y$2503="正常")*(入库单!$L$4:$L$2503&gt;0)),入库单!$D$4:$D$2503),""))</f>
        <v/>
      </c>
      <c r="I991" s="25">
        <f>IF($A991="","",IFERROR(LOOKUP(2,1/((入库单!$G$4:$G$2503=$A991)*(入库单!$Y$4:$Y$2503="正常")*(入库单!$L$4:$L$2503&gt;0)),入库单!$L$4:$L$2503),0))</f>
        <v/>
      </c>
      <c r="J991" s="26">
        <f>IF($A991="","",IF($H991="A国内",ROUND($I991*倍数A*汇率,0),IF($H991="B当地",ROUND($I991*系数B,0),0)))</f>
        <v/>
      </c>
      <c r="K991" s="24">
        <f>IF($A991="","",IF(COUNTIFS(入库单!$G$4:$G$2503,$A991,入库单!$X$4:$X$2503,"待补价")&gt;0,"待补价",IF(COUNTIFS(入库单!$G$4:$G$2503,$A991,入库单!$X$4:$X$2503,"暂估")&gt;0,"暂估",IF($I991=0,"没有进价","正常"))))</f>
        <v/>
      </c>
      <c r="L991" s="27">
        <f>IF($A991="","",IFERROR(VLOOKUP($A991,库存台账!$A$5:$Y$1204,24,0),0))</f>
        <v/>
      </c>
      <c r="M991" s="26">
        <f>IF($A991="","",IFERROR(VLOOKUP($A991,库存台账!$A$5:$Y$1204,25,0),0))</f>
        <v/>
      </c>
      <c r="N991" s="19">
        <f>IF($A991="","",IFERROR(LOOKUP(2,1/((出库单!$D$4:$D$4003=$A991)*(出库单!$T$4:$T$4003="正常")),出库单!$C$4:$C$4003),""))</f>
        <v/>
      </c>
      <c r="O991" s="28">
        <f>IF($A991="","",IF($L991&lt;=0,"",IF($N991="",IFERROR(账期止-LOOKUP(2,1/(入库单!$G$4:$G$2503=$A991),入库单!$C$4:$C$2503),""),账期止-$N991)))</f>
        <v/>
      </c>
      <c r="P991" s="17" t="n"/>
    </row>
    <row r="992">
      <c r="A992" s="17" t="n"/>
      <c r="B992" s="17" t="n"/>
      <c r="C992" s="17" t="n"/>
      <c r="D992" s="17" t="n"/>
      <c r="E992" s="17" t="n"/>
      <c r="F992" s="17" t="n"/>
      <c r="G992" s="23" t="n"/>
      <c r="H992" s="24">
        <f>IF($A992="","",IFERROR(LOOKUP(2,1/((入库单!$G$4:$G$2503=$A992)*(入库单!$Y$4:$Y$2503="正常")*(入库单!$L$4:$L$2503&gt;0)),入库单!$D$4:$D$2503),""))</f>
        <v/>
      </c>
      <c r="I992" s="25">
        <f>IF($A992="","",IFERROR(LOOKUP(2,1/((入库单!$G$4:$G$2503=$A992)*(入库单!$Y$4:$Y$2503="正常")*(入库单!$L$4:$L$2503&gt;0)),入库单!$L$4:$L$2503),0))</f>
        <v/>
      </c>
      <c r="J992" s="26">
        <f>IF($A992="","",IF($H992="A国内",ROUND($I992*倍数A*汇率,0),IF($H992="B当地",ROUND($I992*系数B,0),0)))</f>
        <v/>
      </c>
      <c r="K992" s="24">
        <f>IF($A992="","",IF(COUNTIFS(入库单!$G$4:$G$2503,$A992,入库单!$X$4:$X$2503,"待补价")&gt;0,"待补价",IF(COUNTIFS(入库单!$G$4:$G$2503,$A992,入库单!$X$4:$X$2503,"暂估")&gt;0,"暂估",IF($I992=0,"没有进价","正常"))))</f>
        <v/>
      </c>
      <c r="L992" s="27">
        <f>IF($A992="","",IFERROR(VLOOKUP($A992,库存台账!$A$5:$Y$1204,24,0),0))</f>
        <v/>
      </c>
      <c r="M992" s="26">
        <f>IF($A992="","",IFERROR(VLOOKUP($A992,库存台账!$A$5:$Y$1204,25,0),0))</f>
        <v/>
      </c>
      <c r="N992" s="19">
        <f>IF($A992="","",IFERROR(LOOKUP(2,1/((出库单!$D$4:$D$4003=$A992)*(出库单!$T$4:$T$4003="正常")),出库单!$C$4:$C$4003),""))</f>
        <v/>
      </c>
      <c r="O992" s="28">
        <f>IF($A992="","",IF($L992&lt;=0,"",IF($N992="",IFERROR(账期止-LOOKUP(2,1/(入库单!$G$4:$G$2503=$A992),入库单!$C$4:$C$2503),""),账期止-$N992)))</f>
        <v/>
      </c>
      <c r="P992" s="17" t="n"/>
    </row>
    <row r="993">
      <c r="A993" s="17" t="n"/>
      <c r="B993" s="17" t="n"/>
      <c r="C993" s="17" t="n"/>
      <c r="D993" s="17" t="n"/>
      <c r="E993" s="17" t="n"/>
      <c r="F993" s="17" t="n"/>
      <c r="G993" s="23" t="n"/>
      <c r="H993" s="24">
        <f>IF($A993="","",IFERROR(LOOKUP(2,1/((入库单!$G$4:$G$2503=$A993)*(入库单!$Y$4:$Y$2503="正常")*(入库单!$L$4:$L$2503&gt;0)),入库单!$D$4:$D$2503),""))</f>
        <v/>
      </c>
      <c r="I993" s="25">
        <f>IF($A993="","",IFERROR(LOOKUP(2,1/((入库单!$G$4:$G$2503=$A993)*(入库单!$Y$4:$Y$2503="正常")*(入库单!$L$4:$L$2503&gt;0)),入库单!$L$4:$L$2503),0))</f>
        <v/>
      </c>
      <c r="J993" s="26">
        <f>IF($A993="","",IF($H993="A国内",ROUND($I993*倍数A*汇率,0),IF($H993="B当地",ROUND($I993*系数B,0),0)))</f>
        <v/>
      </c>
      <c r="K993" s="24">
        <f>IF($A993="","",IF(COUNTIFS(入库单!$G$4:$G$2503,$A993,入库单!$X$4:$X$2503,"待补价")&gt;0,"待补价",IF(COUNTIFS(入库单!$G$4:$G$2503,$A993,入库单!$X$4:$X$2503,"暂估")&gt;0,"暂估",IF($I993=0,"没有进价","正常"))))</f>
        <v/>
      </c>
      <c r="L993" s="27">
        <f>IF($A993="","",IFERROR(VLOOKUP($A993,库存台账!$A$5:$Y$1204,24,0),0))</f>
        <v/>
      </c>
      <c r="M993" s="26">
        <f>IF($A993="","",IFERROR(VLOOKUP($A993,库存台账!$A$5:$Y$1204,25,0),0))</f>
        <v/>
      </c>
      <c r="N993" s="19">
        <f>IF($A993="","",IFERROR(LOOKUP(2,1/((出库单!$D$4:$D$4003=$A993)*(出库单!$T$4:$T$4003="正常")),出库单!$C$4:$C$4003),""))</f>
        <v/>
      </c>
      <c r="O993" s="28">
        <f>IF($A993="","",IF($L993&lt;=0,"",IF($N993="",IFERROR(账期止-LOOKUP(2,1/(入库单!$G$4:$G$2503=$A993),入库单!$C$4:$C$2503),""),账期止-$N993)))</f>
        <v/>
      </c>
      <c r="P993" s="17" t="n"/>
    </row>
    <row r="994">
      <c r="A994" s="17" t="n"/>
      <c r="B994" s="17" t="n"/>
      <c r="C994" s="17" t="n"/>
      <c r="D994" s="17" t="n"/>
      <c r="E994" s="17" t="n"/>
      <c r="F994" s="17" t="n"/>
      <c r="G994" s="23" t="n"/>
      <c r="H994" s="24">
        <f>IF($A994="","",IFERROR(LOOKUP(2,1/((入库单!$G$4:$G$2503=$A994)*(入库单!$Y$4:$Y$2503="正常")*(入库单!$L$4:$L$2503&gt;0)),入库单!$D$4:$D$2503),""))</f>
        <v/>
      </c>
      <c r="I994" s="25">
        <f>IF($A994="","",IFERROR(LOOKUP(2,1/((入库单!$G$4:$G$2503=$A994)*(入库单!$Y$4:$Y$2503="正常")*(入库单!$L$4:$L$2503&gt;0)),入库单!$L$4:$L$2503),0))</f>
        <v/>
      </c>
      <c r="J994" s="26">
        <f>IF($A994="","",IF($H994="A国内",ROUND($I994*倍数A*汇率,0),IF($H994="B当地",ROUND($I994*系数B,0),0)))</f>
        <v/>
      </c>
      <c r="K994" s="24">
        <f>IF($A994="","",IF(COUNTIFS(入库单!$G$4:$G$2503,$A994,入库单!$X$4:$X$2503,"待补价")&gt;0,"待补价",IF(COUNTIFS(入库单!$G$4:$G$2503,$A994,入库单!$X$4:$X$2503,"暂估")&gt;0,"暂估",IF($I994=0,"没有进价","正常"))))</f>
        <v/>
      </c>
      <c r="L994" s="27">
        <f>IF($A994="","",IFERROR(VLOOKUP($A994,库存台账!$A$5:$Y$1204,24,0),0))</f>
        <v/>
      </c>
      <c r="M994" s="26">
        <f>IF($A994="","",IFERROR(VLOOKUP($A994,库存台账!$A$5:$Y$1204,25,0),0))</f>
        <v/>
      </c>
      <c r="N994" s="19">
        <f>IF($A994="","",IFERROR(LOOKUP(2,1/((出库单!$D$4:$D$4003=$A994)*(出库单!$T$4:$T$4003="正常")),出库单!$C$4:$C$4003),""))</f>
        <v/>
      </c>
      <c r="O994" s="28">
        <f>IF($A994="","",IF($L994&lt;=0,"",IF($N994="",IFERROR(账期止-LOOKUP(2,1/(入库单!$G$4:$G$2503=$A994),入库单!$C$4:$C$2503),""),账期止-$N994)))</f>
        <v/>
      </c>
      <c r="P994" s="17" t="n"/>
    </row>
    <row r="995">
      <c r="A995" s="17" t="n"/>
      <c r="B995" s="17" t="n"/>
      <c r="C995" s="17" t="n"/>
      <c r="D995" s="17" t="n"/>
      <c r="E995" s="17" t="n"/>
      <c r="F995" s="17" t="n"/>
      <c r="G995" s="23" t="n"/>
      <c r="H995" s="24">
        <f>IF($A995="","",IFERROR(LOOKUP(2,1/((入库单!$G$4:$G$2503=$A995)*(入库单!$Y$4:$Y$2503="正常")*(入库单!$L$4:$L$2503&gt;0)),入库单!$D$4:$D$2503),""))</f>
        <v/>
      </c>
      <c r="I995" s="25">
        <f>IF($A995="","",IFERROR(LOOKUP(2,1/((入库单!$G$4:$G$2503=$A995)*(入库单!$Y$4:$Y$2503="正常")*(入库单!$L$4:$L$2503&gt;0)),入库单!$L$4:$L$2503),0))</f>
        <v/>
      </c>
      <c r="J995" s="26">
        <f>IF($A995="","",IF($H995="A国内",ROUND($I995*倍数A*汇率,0),IF($H995="B当地",ROUND($I995*系数B,0),0)))</f>
        <v/>
      </c>
      <c r="K995" s="24">
        <f>IF($A995="","",IF(COUNTIFS(入库单!$G$4:$G$2503,$A995,入库单!$X$4:$X$2503,"待补价")&gt;0,"待补价",IF(COUNTIFS(入库单!$G$4:$G$2503,$A995,入库单!$X$4:$X$2503,"暂估")&gt;0,"暂估",IF($I995=0,"没有进价","正常"))))</f>
        <v/>
      </c>
      <c r="L995" s="27">
        <f>IF($A995="","",IFERROR(VLOOKUP($A995,库存台账!$A$5:$Y$1204,24,0),0))</f>
        <v/>
      </c>
      <c r="M995" s="26">
        <f>IF($A995="","",IFERROR(VLOOKUP($A995,库存台账!$A$5:$Y$1204,25,0),0))</f>
        <v/>
      </c>
      <c r="N995" s="19">
        <f>IF($A995="","",IFERROR(LOOKUP(2,1/((出库单!$D$4:$D$4003=$A995)*(出库单!$T$4:$T$4003="正常")),出库单!$C$4:$C$4003),""))</f>
        <v/>
      </c>
      <c r="O995" s="28">
        <f>IF($A995="","",IF($L995&lt;=0,"",IF($N995="",IFERROR(账期止-LOOKUP(2,1/(入库单!$G$4:$G$2503=$A995),入库单!$C$4:$C$2503),""),账期止-$N995)))</f>
        <v/>
      </c>
      <c r="P995" s="17" t="n"/>
    </row>
    <row r="996">
      <c r="A996" s="17" t="n"/>
      <c r="B996" s="17" t="n"/>
      <c r="C996" s="17" t="n"/>
      <c r="D996" s="17" t="n"/>
      <c r="E996" s="17" t="n"/>
      <c r="F996" s="17" t="n"/>
      <c r="G996" s="23" t="n"/>
      <c r="H996" s="24">
        <f>IF($A996="","",IFERROR(LOOKUP(2,1/((入库单!$G$4:$G$2503=$A996)*(入库单!$Y$4:$Y$2503="正常")*(入库单!$L$4:$L$2503&gt;0)),入库单!$D$4:$D$2503),""))</f>
        <v/>
      </c>
      <c r="I996" s="25">
        <f>IF($A996="","",IFERROR(LOOKUP(2,1/((入库单!$G$4:$G$2503=$A996)*(入库单!$Y$4:$Y$2503="正常")*(入库单!$L$4:$L$2503&gt;0)),入库单!$L$4:$L$2503),0))</f>
        <v/>
      </c>
      <c r="J996" s="26">
        <f>IF($A996="","",IF($H996="A国内",ROUND($I996*倍数A*汇率,0),IF($H996="B当地",ROUND($I996*系数B,0),0)))</f>
        <v/>
      </c>
      <c r="K996" s="24">
        <f>IF($A996="","",IF(COUNTIFS(入库单!$G$4:$G$2503,$A996,入库单!$X$4:$X$2503,"待补价")&gt;0,"待补价",IF(COUNTIFS(入库单!$G$4:$G$2503,$A996,入库单!$X$4:$X$2503,"暂估")&gt;0,"暂估",IF($I996=0,"没有进价","正常"))))</f>
        <v/>
      </c>
      <c r="L996" s="27">
        <f>IF($A996="","",IFERROR(VLOOKUP($A996,库存台账!$A$5:$Y$1204,24,0),0))</f>
        <v/>
      </c>
      <c r="M996" s="26">
        <f>IF($A996="","",IFERROR(VLOOKUP($A996,库存台账!$A$5:$Y$1204,25,0),0))</f>
        <v/>
      </c>
      <c r="N996" s="19">
        <f>IF($A996="","",IFERROR(LOOKUP(2,1/((出库单!$D$4:$D$4003=$A996)*(出库单!$T$4:$T$4003="正常")),出库单!$C$4:$C$4003),""))</f>
        <v/>
      </c>
      <c r="O996" s="28">
        <f>IF($A996="","",IF($L996&lt;=0,"",IF($N996="",IFERROR(账期止-LOOKUP(2,1/(入库单!$G$4:$G$2503=$A996),入库单!$C$4:$C$2503),""),账期止-$N996)))</f>
        <v/>
      </c>
      <c r="P996" s="17" t="n"/>
    </row>
    <row r="997">
      <c r="A997" s="17" t="n"/>
      <c r="B997" s="17" t="n"/>
      <c r="C997" s="17" t="n"/>
      <c r="D997" s="17" t="n"/>
      <c r="E997" s="17" t="n"/>
      <c r="F997" s="17" t="n"/>
      <c r="G997" s="23" t="n"/>
      <c r="H997" s="24">
        <f>IF($A997="","",IFERROR(LOOKUP(2,1/((入库单!$G$4:$G$2503=$A997)*(入库单!$Y$4:$Y$2503="正常")*(入库单!$L$4:$L$2503&gt;0)),入库单!$D$4:$D$2503),""))</f>
        <v/>
      </c>
      <c r="I997" s="25">
        <f>IF($A997="","",IFERROR(LOOKUP(2,1/((入库单!$G$4:$G$2503=$A997)*(入库单!$Y$4:$Y$2503="正常")*(入库单!$L$4:$L$2503&gt;0)),入库单!$L$4:$L$2503),0))</f>
        <v/>
      </c>
      <c r="J997" s="26">
        <f>IF($A997="","",IF($H997="A国内",ROUND($I997*倍数A*汇率,0),IF($H997="B当地",ROUND($I997*系数B,0),0)))</f>
        <v/>
      </c>
      <c r="K997" s="24">
        <f>IF($A997="","",IF(COUNTIFS(入库单!$G$4:$G$2503,$A997,入库单!$X$4:$X$2503,"待补价")&gt;0,"待补价",IF(COUNTIFS(入库单!$G$4:$G$2503,$A997,入库单!$X$4:$X$2503,"暂估")&gt;0,"暂估",IF($I997=0,"没有进价","正常"))))</f>
        <v/>
      </c>
      <c r="L997" s="27">
        <f>IF($A997="","",IFERROR(VLOOKUP($A997,库存台账!$A$5:$Y$1204,24,0),0))</f>
        <v/>
      </c>
      <c r="M997" s="26">
        <f>IF($A997="","",IFERROR(VLOOKUP($A997,库存台账!$A$5:$Y$1204,25,0),0))</f>
        <v/>
      </c>
      <c r="N997" s="19">
        <f>IF($A997="","",IFERROR(LOOKUP(2,1/((出库单!$D$4:$D$4003=$A997)*(出库单!$T$4:$T$4003="正常")),出库单!$C$4:$C$4003),""))</f>
        <v/>
      </c>
      <c r="O997" s="28">
        <f>IF($A997="","",IF($L997&lt;=0,"",IF($N997="",IFERROR(账期止-LOOKUP(2,1/(入库单!$G$4:$G$2503=$A997),入库单!$C$4:$C$2503),""),账期止-$N997)))</f>
        <v/>
      </c>
      <c r="P997" s="17" t="n"/>
    </row>
    <row r="998">
      <c r="A998" s="17" t="n"/>
      <c r="B998" s="17" t="n"/>
      <c r="C998" s="17" t="n"/>
      <c r="D998" s="17" t="n"/>
      <c r="E998" s="17" t="n"/>
      <c r="F998" s="17" t="n"/>
      <c r="G998" s="23" t="n"/>
      <c r="H998" s="24">
        <f>IF($A998="","",IFERROR(LOOKUP(2,1/((入库单!$G$4:$G$2503=$A998)*(入库单!$Y$4:$Y$2503="正常")*(入库单!$L$4:$L$2503&gt;0)),入库单!$D$4:$D$2503),""))</f>
        <v/>
      </c>
      <c r="I998" s="25">
        <f>IF($A998="","",IFERROR(LOOKUP(2,1/((入库单!$G$4:$G$2503=$A998)*(入库单!$Y$4:$Y$2503="正常")*(入库单!$L$4:$L$2503&gt;0)),入库单!$L$4:$L$2503),0))</f>
        <v/>
      </c>
      <c r="J998" s="26">
        <f>IF($A998="","",IF($H998="A国内",ROUND($I998*倍数A*汇率,0),IF($H998="B当地",ROUND($I998*系数B,0),0)))</f>
        <v/>
      </c>
      <c r="K998" s="24">
        <f>IF($A998="","",IF(COUNTIFS(入库单!$G$4:$G$2503,$A998,入库单!$X$4:$X$2503,"待补价")&gt;0,"待补价",IF(COUNTIFS(入库单!$G$4:$G$2503,$A998,入库单!$X$4:$X$2503,"暂估")&gt;0,"暂估",IF($I998=0,"没有进价","正常"))))</f>
        <v/>
      </c>
      <c r="L998" s="27">
        <f>IF($A998="","",IFERROR(VLOOKUP($A998,库存台账!$A$5:$Y$1204,24,0),0))</f>
        <v/>
      </c>
      <c r="M998" s="26">
        <f>IF($A998="","",IFERROR(VLOOKUP($A998,库存台账!$A$5:$Y$1204,25,0),0))</f>
        <v/>
      </c>
      <c r="N998" s="19">
        <f>IF($A998="","",IFERROR(LOOKUP(2,1/((出库单!$D$4:$D$4003=$A998)*(出库单!$T$4:$T$4003="正常")),出库单!$C$4:$C$4003),""))</f>
        <v/>
      </c>
      <c r="O998" s="28">
        <f>IF($A998="","",IF($L998&lt;=0,"",IF($N998="",IFERROR(账期止-LOOKUP(2,1/(入库单!$G$4:$G$2503=$A998),入库单!$C$4:$C$2503),""),账期止-$N998)))</f>
        <v/>
      </c>
      <c r="P998" s="17" t="n"/>
    </row>
    <row r="999">
      <c r="A999" s="17" t="n"/>
      <c r="B999" s="17" t="n"/>
      <c r="C999" s="17" t="n"/>
      <c r="D999" s="17" t="n"/>
      <c r="E999" s="17" t="n"/>
      <c r="F999" s="17" t="n"/>
      <c r="G999" s="23" t="n"/>
      <c r="H999" s="24">
        <f>IF($A999="","",IFERROR(LOOKUP(2,1/((入库单!$G$4:$G$2503=$A999)*(入库单!$Y$4:$Y$2503="正常")*(入库单!$L$4:$L$2503&gt;0)),入库单!$D$4:$D$2503),""))</f>
        <v/>
      </c>
      <c r="I999" s="25">
        <f>IF($A999="","",IFERROR(LOOKUP(2,1/((入库单!$G$4:$G$2503=$A999)*(入库单!$Y$4:$Y$2503="正常")*(入库单!$L$4:$L$2503&gt;0)),入库单!$L$4:$L$2503),0))</f>
        <v/>
      </c>
      <c r="J999" s="26">
        <f>IF($A999="","",IF($H999="A国内",ROUND($I999*倍数A*汇率,0),IF($H999="B当地",ROUND($I999*系数B,0),0)))</f>
        <v/>
      </c>
      <c r="K999" s="24">
        <f>IF($A999="","",IF(COUNTIFS(入库单!$G$4:$G$2503,$A999,入库单!$X$4:$X$2503,"待补价")&gt;0,"待补价",IF(COUNTIFS(入库单!$G$4:$G$2503,$A999,入库单!$X$4:$X$2503,"暂估")&gt;0,"暂估",IF($I999=0,"没有进价","正常"))))</f>
        <v/>
      </c>
      <c r="L999" s="27">
        <f>IF($A999="","",IFERROR(VLOOKUP($A999,库存台账!$A$5:$Y$1204,24,0),0))</f>
        <v/>
      </c>
      <c r="M999" s="26">
        <f>IF($A999="","",IFERROR(VLOOKUP($A999,库存台账!$A$5:$Y$1204,25,0),0))</f>
        <v/>
      </c>
      <c r="N999" s="19">
        <f>IF($A999="","",IFERROR(LOOKUP(2,1/((出库单!$D$4:$D$4003=$A999)*(出库单!$T$4:$T$4003="正常")),出库单!$C$4:$C$4003),""))</f>
        <v/>
      </c>
      <c r="O999" s="28">
        <f>IF($A999="","",IF($L999&lt;=0,"",IF($N999="",IFERROR(账期止-LOOKUP(2,1/(入库单!$G$4:$G$2503=$A999),入库单!$C$4:$C$2503),""),账期止-$N999)))</f>
        <v/>
      </c>
      <c r="P999" s="17" t="n"/>
    </row>
    <row r="1000">
      <c r="A1000" s="17" t="n"/>
      <c r="B1000" s="17" t="n"/>
      <c r="C1000" s="17" t="n"/>
      <c r="D1000" s="17" t="n"/>
      <c r="E1000" s="17" t="n"/>
      <c r="F1000" s="17" t="n"/>
      <c r="G1000" s="23" t="n"/>
      <c r="H1000" s="24">
        <f>IF($A1000="","",IFERROR(LOOKUP(2,1/((入库单!$G$4:$G$2503=$A1000)*(入库单!$Y$4:$Y$2503="正常")*(入库单!$L$4:$L$2503&gt;0)),入库单!$D$4:$D$2503),""))</f>
        <v/>
      </c>
      <c r="I1000" s="25">
        <f>IF($A1000="","",IFERROR(LOOKUP(2,1/((入库单!$G$4:$G$2503=$A1000)*(入库单!$Y$4:$Y$2503="正常")*(入库单!$L$4:$L$2503&gt;0)),入库单!$L$4:$L$2503),0))</f>
        <v/>
      </c>
      <c r="J1000" s="26">
        <f>IF($A1000="","",IF($H1000="A国内",ROUND($I1000*倍数A*汇率,0),IF($H1000="B当地",ROUND($I1000*系数B,0),0)))</f>
        <v/>
      </c>
      <c r="K1000" s="24">
        <f>IF($A1000="","",IF(COUNTIFS(入库单!$G$4:$G$2503,$A1000,入库单!$X$4:$X$2503,"待补价")&gt;0,"待补价",IF(COUNTIFS(入库单!$G$4:$G$2503,$A1000,入库单!$X$4:$X$2503,"暂估")&gt;0,"暂估",IF($I1000=0,"没有进价","正常"))))</f>
        <v/>
      </c>
      <c r="L1000" s="27">
        <f>IF($A1000="","",IFERROR(VLOOKUP($A1000,库存台账!$A$5:$Y$1204,24,0),0))</f>
        <v/>
      </c>
      <c r="M1000" s="26">
        <f>IF($A1000="","",IFERROR(VLOOKUP($A1000,库存台账!$A$5:$Y$1204,25,0),0))</f>
        <v/>
      </c>
      <c r="N1000" s="19">
        <f>IF($A1000="","",IFERROR(LOOKUP(2,1/((出库单!$D$4:$D$4003=$A1000)*(出库单!$T$4:$T$4003="正常")),出库单!$C$4:$C$4003),""))</f>
        <v/>
      </c>
      <c r="O1000" s="28">
        <f>IF($A1000="","",IF($L1000&lt;=0,"",IF($N1000="",IFERROR(账期止-LOOKUP(2,1/(入库单!$G$4:$G$2503=$A1000),入库单!$C$4:$C$2503),""),账期止-$N1000)))</f>
        <v/>
      </c>
      <c r="P1000" s="17" t="n"/>
    </row>
    <row r="1001">
      <c r="A1001" s="17" t="n"/>
      <c r="B1001" s="17" t="n"/>
      <c r="C1001" s="17" t="n"/>
      <c r="D1001" s="17" t="n"/>
      <c r="E1001" s="17" t="n"/>
      <c r="F1001" s="17" t="n"/>
      <c r="G1001" s="23" t="n"/>
      <c r="H1001" s="24">
        <f>IF($A1001="","",IFERROR(LOOKUP(2,1/((入库单!$G$4:$G$2503=$A1001)*(入库单!$Y$4:$Y$2503="正常")*(入库单!$L$4:$L$2503&gt;0)),入库单!$D$4:$D$2503),""))</f>
        <v/>
      </c>
      <c r="I1001" s="25">
        <f>IF($A1001="","",IFERROR(LOOKUP(2,1/((入库单!$G$4:$G$2503=$A1001)*(入库单!$Y$4:$Y$2503="正常")*(入库单!$L$4:$L$2503&gt;0)),入库单!$L$4:$L$2503),0))</f>
        <v/>
      </c>
      <c r="J1001" s="26">
        <f>IF($A1001="","",IF($H1001="A国内",ROUND($I1001*倍数A*汇率,0),IF($H1001="B当地",ROUND($I1001*系数B,0),0)))</f>
        <v/>
      </c>
      <c r="K1001" s="24">
        <f>IF($A1001="","",IF(COUNTIFS(入库单!$G$4:$G$2503,$A1001,入库单!$X$4:$X$2503,"待补价")&gt;0,"待补价",IF(COUNTIFS(入库单!$G$4:$G$2503,$A1001,入库单!$X$4:$X$2503,"暂估")&gt;0,"暂估",IF($I1001=0,"没有进价","正常"))))</f>
        <v/>
      </c>
      <c r="L1001" s="27">
        <f>IF($A1001="","",IFERROR(VLOOKUP($A1001,库存台账!$A$5:$Y$1204,24,0),0))</f>
        <v/>
      </c>
      <c r="M1001" s="26">
        <f>IF($A1001="","",IFERROR(VLOOKUP($A1001,库存台账!$A$5:$Y$1204,25,0),0))</f>
        <v/>
      </c>
      <c r="N1001" s="19">
        <f>IF($A1001="","",IFERROR(LOOKUP(2,1/((出库单!$D$4:$D$4003=$A1001)*(出库单!$T$4:$T$4003="正常")),出库单!$C$4:$C$4003),""))</f>
        <v/>
      </c>
      <c r="O1001" s="28">
        <f>IF($A1001="","",IF($L1001&lt;=0,"",IF($N1001="",IFERROR(账期止-LOOKUP(2,1/(入库单!$G$4:$G$2503=$A1001),入库单!$C$4:$C$2503),""),账期止-$N1001)))</f>
        <v/>
      </c>
      <c r="P1001" s="17" t="n"/>
    </row>
    <row r="1002">
      <c r="A1002" s="17" t="n"/>
      <c r="B1002" s="17" t="n"/>
      <c r="C1002" s="17" t="n"/>
      <c r="D1002" s="17" t="n"/>
      <c r="E1002" s="17" t="n"/>
      <c r="F1002" s="17" t="n"/>
      <c r="G1002" s="23" t="n"/>
      <c r="H1002" s="24">
        <f>IF($A1002="","",IFERROR(LOOKUP(2,1/((入库单!$G$4:$G$2503=$A1002)*(入库单!$Y$4:$Y$2503="正常")*(入库单!$L$4:$L$2503&gt;0)),入库单!$D$4:$D$2503),""))</f>
        <v/>
      </c>
      <c r="I1002" s="25">
        <f>IF($A1002="","",IFERROR(LOOKUP(2,1/((入库单!$G$4:$G$2503=$A1002)*(入库单!$Y$4:$Y$2503="正常")*(入库单!$L$4:$L$2503&gt;0)),入库单!$L$4:$L$2503),0))</f>
        <v/>
      </c>
      <c r="J1002" s="26">
        <f>IF($A1002="","",IF($H1002="A国内",ROUND($I1002*倍数A*汇率,0),IF($H1002="B当地",ROUND($I1002*系数B,0),0)))</f>
        <v/>
      </c>
      <c r="K1002" s="24">
        <f>IF($A1002="","",IF(COUNTIFS(入库单!$G$4:$G$2503,$A1002,入库单!$X$4:$X$2503,"待补价")&gt;0,"待补价",IF(COUNTIFS(入库单!$G$4:$G$2503,$A1002,入库单!$X$4:$X$2503,"暂估")&gt;0,"暂估",IF($I1002=0,"没有进价","正常"))))</f>
        <v/>
      </c>
      <c r="L1002" s="27">
        <f>IF($A1002="","",IFERROR(VLOOKUP($A1002,库存台账!$A$5:$Y$1204,24,0),0))</f>
        <v/>
      </c>
      <c r="M1002" s="26">
        <f>IF($A1002="","",IFERROR(VLOOKUP($A1002,库存台账!$A$5:$Y$1204,25,0),0))</f>
        <v/>
      </c>
      <c r="N1002" s="19">
        <f>IF($A1002="","",IFERROR(LOOKUP(2,1/((出库单!$D$4:$D$4003=$A1002)*(出库单!$T$4:$T$4003="正常")),出库单!$C$4:$C$4003),""))</f>
        <v/>
      </c>
      <c r="O1002" s="28">
        <f>IF($A1002="","",IF($L1002&lt;=0,"",IF($N1002="",IFERROR(账期止-LOOKUP(2,1/(入库单!$G$4:$G$2503=$A1002),入库单!$C$4:$C$2503),""),账期止-$N1002)))</f>
        <v/>
      </c>
      <c r="P1002" s="17" t="n"/>
    </row>
    <row r="1003">
      <c r="A1003" s="17" t="n"/>
      <c r="B1003" s="17" t="n"/>
      <c r="C1003" s="17" t="n"/>
      <c r="D1003" s="17" t="n"/>
      <c r="E1003" s="17" t="n"/>
      <c r="F1003" s="17" t="n"/>
      <c r="G1003" s="23" t="n"/>
      <c r="H1003" s="24">
        <f>IF($A1003="","",IFERROR(LOOKUP(2,1/((入库单!$G$4:$G$2503=$A1003)*(入库单!$Y$4:$Y$2503="正常")*(入库单!$L$4:$L$2503&gt;0)),入库单!$D$4:$D$2503),""))</f>
        <v/>
      </c>
      <c r="I1003" s="25">
        <f>IF($A1003="","",IFERROR(LOOKUP(2,1/((入库单!$G$4:$G$2503=$A1003)*(入库单!$Y$4:$Y$2503="正常")*(入库单!$L$4:$L$2503&gt;0)),入库单!$L$4:$L$2503),0))</f>
        <v/>
      </c>
      <c r="J1003" s="26">
        <f>IF($A1003="","",IF($H1003="A国内",ROUND($I1003*倍数A*汇率,0),IF($H1003="B当地",ROUND($I1003*系数B,0),0)))</f>
        <v/>
      </c>
      <c r="K1003" s="24">
        <f>IF($A1003="","",IF(COUNTIFS(入库单!$G$4:$G$2503,$A1003,入库单!$X$4:$X$2503,"待补价")&gt;0,"待补价",IF(COUNTIFS(入库单!$G$4:$G$2503,$A1003,入库单!$X$4:$X$2503,"暂估")&gt;0,"暂估",IF($I1003=0,"没有进价","正常"))))</f>
        <v/>
      </c>
      <c r="L1003" s="27">
        <f>IF($A1003="","",IFERROR(VLOOKUP($A1003,库存台账!$A$5:$Y$1204,24,0),0))</f>
        <v/>
      </c>
      <c r="M1003" s="26">
        <f>IF($A1003="","",IFERROR(VLOOKUP($A1003,库存台账!$A$5:$Y$1204,25,0),0))</f>
        <v/>
      </c>
      <c r="N1003" s="19">
        <f>IF($A1003="","",IFERROR(LOOKUP(2,1/((出库单!$D$4:$D$4003=$A1003)*(出库单!$T$4:$T$4003="正常")),出库单!$C$4:$C$4003),""))</f>
        <v/>
      </c>
      <c r="O1003" s="28">
        <f>IF($A1003="","",IF($L1003&lt;=0,"",IF($N1003="",IFERROR(账期止-LOOKUP(2,1/(入库单!$G$4:$G$2503=$A1003),入库单!$C$4:$C$2503),""),账期止-$N1003)))</f>
        <v/>
      </c>
      <c r="P1003" s="17" t="n"/>
    </row>
    <row r="1004">
      <c r="A1004" s="17" t="n"/>
      <c r="B1004" s="17" t="n"/>
      <c r="C1004" s="17" t="n"/>
      <c r="D1004" s="17" t="n"/>
      <c r="E1004" s="17" t="n"/>
      <c r="F1004" s="17" t="n"/>
      <c r="G1004" s="23" t="n"/>
      <c r="H1004" s="24">
        <f>IF($A1004="","",IFERROR(LOOKUP(2,1/((入库单!$G$4:$G$2503=$A1004)*(入库单!$Y$4:$Y$2503="正常")*(入库单!$L$4:$L$2503&gt;0)),入库单!$D$4:$D$2503),""))</f>
        <v/>
      </c>
      <c r="I1004" s="25">
        <f>IF($A1004="","",IFERROR(LOOKUP(2,1/((入库单!$G$4:$G$2503=$A1004)*(入库单!$Y$4:$Y$2503="正常")*(入库单!$L$4:$L$2503&gt;0)),入库单!$L$4:$L$2503),0))</f>
        <v/>
      </c>
      <c r="J1004" s="26">
        <f>IF($A1004="","",IF($H1004="A国内",ROUND($I1004*倍数A*汇率,0),IF($H1004="B当地",ROUND($I1004*系数B,0),0)))</f>
        <v/>
      </c>
      <c r="K1004" s="24">
        <f>IF($A1004="","",IF(COUNTIFS(入库单!$G$4:$G$2503,$A1004,入库单!$X$4:$X$2503,"待补价")&gt;0,"待补价",IF(COUNTIFS(入库单!$G$4:$G$2503,$A1004,入库单!$X$4:$X$2503,"暂估")&gt;0,"暂估",IF($I1004=0,"没有进价","正常"))))</f>
        <v/>
      </c>
      <c r="L1004" s="27">
        <f>IF($A1004="","",IFERROR(VLOOKUP($A1004,库存台账!$A$5:$Y$1204,24,0),0))</f>
        <v/>
      </c>
      <c r="M1004" s="26">
        <f>IF($A1004="","",IFERROR(VLOOKUP($A1004,库存台账!$A$5:$Y$1204,25,0),0))</f>
        <v/>
      </c>
      <c r="N1004" s="19">
        <f>IF($A1004="","",IFERROR(LOOKUP(2,1/((出库单!$D$4:$D$4003=$A1004)*(出库单!$T$4:$T$4003="正常")),出库单!$C$4:$C$4003),""))</f>
        <v/>
      </c>
      <c r="O1004" s="28">
        <f>IF($A1004="","",IF($L1004&lt;=0,"",IF($N1004="",IFERROR(账期止-LOOKUP(2,1/(入库单!$G$4:$G$2503=$A1004),入库单!$C$4:$C$2503),""),账期止-$N1004)))</f>
        <v/>
      </c>
      <c r="P1004" s="17" t="n"/>
    </row>
    <row r="1005">
      <c r="A1005" s="17" t="n"/>
      <c r="B1005" s="17" t="n"/>
      <c r="C1005" s="17" t="n"/>
      <c r="D1005" s="17" t="n"/>
      <c r="E1005" s="17" t="n"/>
      <c r="F1005" s="17" t="n"/>
      <c r="G1005" s="23" t="n"/>
      <c r="H1005" s="24">
        <f>IF($A1005="","",IFERROR(LOOKUP(2,1/((入库单!$G$4:$G$2503=$A1005)*(入库单!$Y$4:$Y$2503="正常")*(入库单!$L$4:$L$2503&gt;0)),入库单!$D$4:$D$2503),""))</f>
        <v/>
      </c>
      <c r="I1005" s="25">
        <f>IF($A1005="","",IFERROR(LOOKUP(2,1/((入库单!$G$4:$G$2503=$A1005)*(入库单!$Y$4:$Y$2503="正常")*(入库单!$L$4:$L$2503&gt;0)),入库单!$L$4:$L$2503),0))</f>
        <v/>
      </c>
      <c r="J1005" s="26">
        <f>IF($A1005="","",IF($H1005="A国内",ROUND($I1005*倍数A*汇率,0),IF($H1005="B当地",ROUND($I1005*系数B,0),0)))</f>
        <v/>
      </c>
      <c r="K1005" s="24">
        <f>IF($A1005="","",IF(COUNTIFS(入库单!$G$4:$G$2503,$A1005,入库单!$X$4:$X$2503,"待补价")&gt;0,"待补价",IF(COUNTIFS(入库单!$G$4:$G$2503,$A1005,入库单!$X$4:$X$2503,"暂估")&gt;0,"暂估",IF($I1005=0,"没有进价","正常"))))</f>
        <v/>
      </c>
      <c r="L1005" s="27">
        <f>IF($A1005="","",IFERROR(VLOOKUP($A1005,库存台账!$A$5:$Y$1204,24,0),0))</f>
        <v/>
      </c>
      <c r="M1005" s="26">
        <f>IF($A1005="","",IFERROR(VLOOKUP($A1005,库存台账!$A$5:$Y$1204,25,0),0))</f>
        <v/>
      </c>
      <c r="N1005" s="19">
        <f>IF($A1005="","",IFERROR(LOOKUP(2,1/((出库单!$D$4:$D$4003=$A1005)*(出库单!$T$4:$T$4003="正常")),出库单!$C$4:$C$4003),""))</f>
        <v/>
      </c>
      <c r="O1005" s="28">
        <f>IF($A1005="","",IF($L1005&lt;=0,"",IF($N1005="",IFERROR(账期止-LOOKUP(2,1/(入库单!$G$4:$G$2503=$A1005),入库单!$C$4:$C$2503),""),账期止-$N1005)))</f>
        <v/>
      </c>
      <c r="P1005" s="17" t="n"/>
    </row>
    <row r="1006">
      <c r="A1006" s="17" t="n"/>
      <c r="B1006" s="17" t="n"/>
      <c r="C1006" s="17" t="n"/>
      <c r="D1006" s="17" t="n"/>
      <c r="E1006" s="17" t="n"/>
      <c r="F1006" s="17" t="n"/>
      <c r="G1006" s="23" t="n"/>
      <c r="H1006" s="24">
        <f>IF($A1006="","",IFERROR(LOOKUP(2,1/((入库单!$G$4:$G$2503=$A1006)*(入库单!$Y$4:$Y$2503="正常")*(入库单!$L$4:$L$2503&gt;0)),入库单!$D$4:$D$2503),""))</f>
        <v/>
      </c>
      <c r="I1006" s="25">
        <f>IF($A1006="","",IFERROR(LOOKUP(2,1/((入库单!$G$4:$G$2503=$A1006)*(入库单!$Y$4:$Y$2503="正常")*(入库单!$L$4:$L$2503&gt;0)),入库单!$L$4:$L$2503),0))</f>
        <v/>
      </c>
      <c r="J1006" s="26">
        <f>IF($A1006="","",IF($H1006="A国内",ROUND($I1006*倍数A*汇率,0),IF($H1006="B当地",ROUND($I1006*系数B,0),0)))</f>
        <v/>
      </c>
      <c r="K1006" s="24">
        <f>IF($A1006="","",IF(COUNTIFS(入库单!$G$4:$G$2503,$A1006,入库单!$X$4:$X$2503,"待补价")&gt;0,"待补价",IF(COUNTIFS(入库单!$G$4:$G$2503,$A1006,入库单!$X$4:$X$2503,"暂估")&gt;0,"暂估",IF($I1006=0,"没有进价","正常"))))</f>
        <v/>
      </c>
      <c r="L1006" s="27">
        <f>IF($A1006="","",IFERROR(VLOOKUP($A1006,库存台账!$A$5:$Y$1204,24,0),0))</f>
        <v/>
      </c>
      <c r="M1006" s="26">
        <f>IF($A1006="","",IFERROR(VLOOKUP($A1006,库存台账!$A$5:$Y$1204,25,0),0))</f>
        <v/>
      </c>
      <c r="N1006" s="19">
        <f>IF($A1006="","",IFERROR(LOOKUP(2,1/((出库单!$D$4:$D$4003=$A1006)*(出库单!$T$4:$T$4003="正常")),出库单!$C$4:$C$4003),""))</f>
        <v/>
      </c>
      <c r="O1006" s="28">
        <f>IF($A1006="","",IF($L1006&lt;=0,"",IF($N1006="",IFERROR(账期止-LOOKUP(2,1/(入库单!$G$4:$G$2503=$A1006),入库单!$C$4:$C$2503),""),账期止-$N1006)))</f>
        <v/>
      </c>
      <c r="P1006" s="17" t="n"/>
    </row>
    <row r="1007">
      <c r="A1007" s="17" t="n"/>
      <c r="B1007" s="17" t="n"/>
      <c r="C1007" s="17" t="n"/>
      <c r="D1007" s="17" t="n"/>
      <c r="E1007" s="17" t="n"/>
      <c r="F1007" s="17" t="n"/>
      <c r="G1007" s="23" t="n"/>
      <c r="H1007" s="24">
        <f>IF($A1007="","",IFERROR(LOOKUP(2,1/((入库单!$G$4:$G$2503=$A1007)*(入库单!$Y$4:$Y$2503="正常")*(入库单!$L$4:$L$2503&gt;0)),入库单!$D$4:$D$2503),""))</f>
        <v/>
      </c>
      <c r="I1007" s="25">
        <f>IF($A1007="","",IFERROR(LOOKUP(2,1/((入库单!$G$4:$G$2503=$A1007)*(入库单!$Y$4:$Y$2503="正常")*(入库单!$L$4:$L$2503&gt;0)),入库单!$L$4:$L$2503),0))</f>
        <v/>
      </c>
      <c r="J1007" s="26">
        <f>IF($A1007="","",IF($H1007="A国内",ROUND($I1007*倍数A*汇率,0),IF($H1007="B当地",ROUND($I1007*系数B,0),0)))</f>
        <v/>
      </c>
      <c r="K1007" s="24">
        <f>IF($A1007="","",IF(COUNTIFS(入库单!$G$4:$G$2503,$A1007,入库单!$X$4:$X$2503,"待补价")&gt;0,"待补价",IF(COUNTIFS(入库单!$G$4:$G$2503,$A1007,入库单!$X$4:$X$2503,"暂估")&gt;0,"暂估",IF($I1007=0,"没有进价","正常"))))</f>
        <v/>
      </c>
      <c r="L1007" s="27">
        <f>IF($A1007="","",IFERROR(VLOOKUP($A1007,库存台账!$A$5:$Y$1204,24,0),0))</f>
        <v/>
      </c>
      <c r="M1007" s="26">
        <f>IF($A1007="","",IFERROR(VLOOKUP($A1007,库存台账!$A$5:$Y$1204,25,0),0))</f>
        <v/>
      </c>
      <c r="N1007" s="19">
        <f>IF($A1007="","",IFERROR(LOOKUP(2,1/((出库单!$D$4:$D$4003=$A1007)*(出库单!$T$4:$T$4003="正常")),出库单!$C$4:$C$4003),""))</f>
        <v/>
      </c>
      <c r="O1007" s="28">
        <f>IF($A1007="","",IF($L1007&lt;=0,"",IF($N1007="",IFERROR(账期止-LOOKUP(2,1/(入库单!$G$4:$G$2503=$A1007),入库单!$C$4:$C$2503),""),账期止-$N1007)))</f>
        <v/>
      </c>
      <c r="P1007" s="17" t="n"/>
    </row>
    <row r="1008">
      <c r="A1008" s="17" t="n"/>
      <c r="B1008" s="17" t="n"/>
      <c r="C1008" s="17" t="n"/>
      <c r="D1008" s="17" t="n"/>
      <c r="E1008" s="17" t="n"/>
      <c r="F1008" s="17" t="n"/>
      <c r="G1008" s="23" t="n"/>
      <c r="H1008" s="24">
        <f>IF($A1008="","",IFERROR(LOOKUP(2,1/((入库单!$G$4:$G$2503=$A1008)*(入库单!$Y$4:$Y$2503="正常")*(入库单!$L$4:$L$2503&gt;0)),入库单!$D$4:$D$2503),""))</f>
        <v/>
      </c>
      <c r="I1008" s="25">
        <f>IF($A1008="","",IFERROR(LOOKUP(2,1/((入库单!$G$4:$G$2503=$A1008)*(入库单!$Y$4:$Y$2503="正常")*(入库单!$L$4:$L$2503&gt;0)),入库单!$L$4:$L$2503),0))</f>
        <v/>
      </c>
      <c r="J1008" s="26">
        <f>IF($A1008="","",IF($H1008="A国内",ROUND($I1008*倍数A*汇率,0),IF($H1008="B当地",ROUND($I1008*系数B,0),0)))</f>
        <v/>
      </c>
      <c r="K1008" s="24">
        <f>IF($A1008="","",IF(COUNTIFS(入库单!$G$4:$G$2503,$A1008,入库单!$X$4:$X$2503,"待补价")&gt;0,"待补价",IF(COUNTIFS(入库单!$G$4:$G$2503,$A1008,入库单!$X$4:$X$2503,"暂估")&gt;0,"暂估",IF($I1008=0,"没有进价","正常"))))</f>
        <v/>
      </c>
      <c r="L1008" s="27">
        <f>IF($A1008="","",IFERROR(VLOOKUP($A1008,库存台账!$A$5:$Y$1204,24,0),0))</f>
        <v/>
      </c>
      <c r="M1008" s="26">
        <f>IF($A1008="","",IFERROR(VLOOKUP($A1008,库存台账!$A$5:$Y$1204,25,0),0))</f>
        <v/>
      </c>
      <c r="N1008" s="19">
        <f>IF($A1008="","",IFERROR(LOOKUP(2,1/((出库单!$D$4:$D$4003=$A1008)*(出库单!$T$4:$T$4003="正常")),出库单!$C$4:$C$4003),""))</f>
        <v/>
      </c>
      <c r="O1008" s="28">
        <f>IF($A1008="","",IF($L1008&lt;=0,"",IF($N1008="",IFERROR(账期止-LOOKUP(2,1/(入库单!$G$4:$G$2503=$A1008),入库单!$C$4:$C$2503),""),账期止-$N1008)))</f>
        <v/>
      </c>
      <c r="P1008" s="17" t="n"/>
    </row>
    <row r="1009">
      <c r="A1009" s="17" t="n"/>
      <c r="B1009" s="17" t="n"/>
      <c r="C1009" s="17" t="n"/>
      <c r="D1009" s="17" t="n"/>
      <c r="E1009" s="17" t="n"/>
      <c r="F1009" s="17" t="n"/>
      <c r="G1009" s="23" t="n"/>
      <c r="H1009" s="24">
        <f>IF($A1009="","",IFERROR(LOOKUP(2,1/((入库单!$G$4:$G$2503=$A1009)*(入库单!$Y$4:$Y$2503="正常")*(入库单!$L$4:$L$2503&gt;0)),入库单!$D$4:$D$2503),""))</f>
        <v/>
      </c>
      <c r="I1009" s="25">
        <f>IF($A1009="","",IFERROR(LOOKUP(2,1/((入库单!$G$4:$G$2503=$A1009)*(入库单!$Y$4:$Y$2503="正常")*(入库单!$L$4:$L$2503&gt;0)),入库单!$L$4:$L$2503),0))</f>
        <v/>
      </c>
      <c r="J1009" s="26">
        <f>IF($A1009="","",IF($H1009="A国内",ROUND($I1009*倍数A*汇率,0),IF($H1009="B当地",ROUND($I1009*系数B,0),0)))</f>
        <v/>
      </c>
      <c r="K1009" s="24">
        <f>IF($A1009="","",IF(COUNTIFS(入库单!$G$4:$G$2503,$A1009,入库单!$X$4:$X$2503,"待补价")&gt;0,"待补价",IF(COUNTIFS(入库单!$G$4:$G$2503,$A1009,入库单!$X$4:$X$2503,"暂估")&gt;0,"暂估",IF($I1009=0,"没有进价","正常"))))</f>
        <v/>
      </c>
      <c r="L1009" s="27">
        <f>IF($A1009="","",IFERROR(VLOOKUP($A1009,库存台账!$A$5:$Y$1204,24,0),0))</f>
        <v/>
      </c>
      <c r="M1009" s="26">
        <f>IF($A1009="","",IFERROR(VLOOKUP($A1009,库存台账!$A$5:$Y$1204,25,0),0))</f>
        <v/>
      </c>
      <c r="N1009" s="19">
        <f>IF($A1009="","",IFERROR(LOOKUP(2,1/((出库单!$D$4:$D$4003=$A1009)*(出库单!$T$4:$T$4003="正常")),出库单!$C$4:$C$4003),""))</f>
        <v/>
      </c>
      <c r="O1009" s="28">
        <f>IF($A1009="","",IF($L1009&lt;=0,"",IF($N1009="",IFERROR(账期止-LOOKUP(2,1/(入库单!$G$4:$G$2503=$A1009),入库单!$C$4:$C$2503),""),账期止-$N1009)))</f>
        <v/>
      </c>
      <c r="P1009" s="17" t="n"/>
    </row>
    <row r="1010">
      <c r="A1010" s="17" t="n"/>
      <c r="B1010" s="17" t="n"/>
      <c r="C1010" s="17" t="n"/>
      <c r="D1010" s="17" t="n"/>
      <c r="E1010" s="17" t="n"/>
      <c r="F1010" s="17" t="n"/>
      <c r="G1010" s="23" t="n"/>
      <c r="H1010" s="24">
        <f>IF($A1010="","",IFERROR(LOOKUP(2,1/((入库单!$G$4:$G$2503=$A1010)*(入库单!$Y$4:$Y$2503="正常")*(入库单!$L$4:$L$2503&gt;0)),入库单!$D$4:$D$2503),""))</f>
        <v/>
      </c>
      <c r="I1010" s="25">
        <f>IF($A1010="","",IFERROR(LOOKUP(2,1/((入库单!$G$4:$G$2503=$A1010)*(入库单!$Y$4:$Y$2503="正常")*(入库单!$L$4:$L$2503&gt;0)),入库单!$L$4:$L$2503),0))</f>
        <v/>
      </c>
      <c r="J1010" s="26">
        <f>IF($A1010="","",IF($H1010="A国内",ROUND($I1010*倍数A*汇率,0),IF($H1010="B当地",ROUND($I1010*系数B,0),0)))</f>
        <v/>
      </c>
      <c r="K1010" s="24">
        <f>IF($A1010="","",IF(COUNTIFS(入库单!$G$4:$G$2503,$A1010,入库单!$X$4:$X$2503,"待补价")&gt;0,"待补价",IF(COUNTIFS(入库单!$G$4:$G$2503,$A1010,入库单!$X$4:$X$2503,"暂估")&gt;0,"暂估",IF($I1010=0,"没有进价","正常"))))</f>
        <v/>
      </c>
      <c r="L1010" s="27">
        <f>IF($A1010="","",IFERROR(VLOOKUP($A1010,库存台账!$A$5:$Y$1204,24,0),0))</f>
        <v/>
      </c>
      <c r="M1010" s="26">
        <f>IF($A1010="","",IFERROR(VLOOKUP($A1010,库存台账!$A$5:$Y$1204,25,0),0))</f>
        <v/>
      </c>
      <c r="N1010" s="19">
        <f>IF($A1010="","",IFERROR(LOOKUP(2,1/((出库单!$D$4:$D$4003=$A1010)*(出库单!$T$4:$T$4003="正常")),出库单!$C$4:$C$4003),""))</f>
        <v/>
      </c>
      <c r="O1010" s="28">
        <f>IF($A1010="","",IF($L1010&lt;=0,"",IF($N1010="",IFERROR(账期止-LOOKUP(2,1/(入库单!$G$4:$G$2503=$A1010),入库单!$C$4:$C$2503),""),账期止-$N1010)))</f>
        <v/>
      </c>
      <c r="P1010" s="17" t="n"/>
    </row>
    <row r="1011">
      <c r="A1011" s="17" t="n"/>
      <c r="B1011" s="17" t="n"/>
      <c r="C1011" s="17" t="n"/>
      <c r="D1011" s="17" t="n"/>
      <c r="E1011" s="17" t="n"/>
      <c r="F1011" s="17" t="n"/>
      <c r="G1011" s="23" t="n"/>
      <c r="H1011" s="24">
        <f>IF($A1011="","",IFERROR(LOOKUP(2,1/((入库单!$G$4:$G$2503=$A1011)*(入库单!$Y$4:$Y$2503="正常")*(入库单!$L$4:$L$2503&gt;0)),入库单!$D$4:$D$2503),""))</f>
        <v/>
      </c>
      <c r="I1011" s="25">
        <f>IF($A1011="","",IFERROR(LOOKUP(2,1/((入库单!$G$4:$G$2503=$A1011)*(入库单!$Y$4:$Y$2503="正常")*(入库单!$L$4:$L$2503&gt;0)),入库单!$L$4:$L$2503),0))</f>
        <v/>
      </c>
      <c r="J1011" s="26">
        <f>IF($A1011="","",IF($H1011="A国内",ROUND($I1011*倍数A*汇率,0),IF($H1011="B当地",ROUND($I1011*系数B,0),0)))</f>
        <v/>
      </c>
      <c r="K1011" s="24">
        <f>IF($A1011="","",IF(COUNTIFS(入库单!$G$4:$G$2503,$A1011,入库单!$X$4:$X$2503,"待补价")&gt;0,"待补价",IF(COUNTIFS(入库单!$G$4:$G$2503,$A1011,入库单!$X$4:$X$2503,"暂估")&gt;0,"暂估",IF($I1011=0,"没有进价","正常"))))</f>
        <v/>
      </c>
      <c r="L1011" s="27">
        <f>IF($A1011="","",IFERROR(VLOOKUP($A1011,库存台账!$A$5:$Y$1204,24,0),0))</f>
        <v/>
      </c>
      <c r="M1011" s="26">
        <f>IF($A1011="","",IFERROR(VLOOKUP($A1011,库存台账!$A$5:$Y$1204,25,0),0))</f>
        <v/>
      </c>
      <c r="N1011" s="19">
        <f>IF($A1011="","",IFERROR(LOOKUP(2,1/((出库单!$D$4:$D$4003=$A1011)*(出库单!$T$4:$T$4003="正常")),出库单!$C$4:$C$4003),""))</f>
        <v/>
      </c>
      <c r="O1011" s="28">
        <f>IF($A1011="","",IF($L1011&lt;=0,"",IF($N1011="",IFERROR(账期止-LOOKUP(2,1/(入库单!$G$4:$G$2503=$A1011),入库单!$C$4:$C$2503),""),账期止-$N1011)))</f>
        <v/>
      </c>
      <c r="P1011" s="17" t="n"/>
    </row>
    <row r="1012">
      <c r="A1012" s="17" t="n"/>
      <c r="B1012" s="17" t="n"/>
      <c r="C1012" s="17" t="n"/>
      <c r="D1012" s="17" t="n"/>
      <c r="E1012" s="17" t="n"/>
      <c r="F1012" s="17" t="n"/>
      <c r="G1012" s="23" t="n"/>
      <c r="H1012" s="24">
        <f>IF($A1012="","",IFERROR(LOOKUP(2,1/((入库单!$G$4:$G$2503=$A1012)*(入库单!$Y$4:$Y$2503="正常")*(入库单!$L$4:$L$2503&gt;0)),入库单!$D$4:$D$2503),""))</f>
        <v/>
      </c>
      <c r="I1012" s="25">
        <f>IF($A1012="","",IFERROR(LOOKUP(2,1/((入库单!$G$4:$G$2503=$A1012)*(入库单!$Y$4:$Y$2503="正常")*(入库单!$L$4:$L$2503&gt;0)),入库单!$L$4:$L$2503),0))</f>
        <v/>
      </c>
      <c r="J1012" s="26">
        <f>IF($A1012="","",IF($H1012="A国内",ROUND($I1012*倍数A*汇率,0),IF($H1012="B当地",ROUND($I1012*系数B,0),0)))</f>
        <v/>
      </c>
      <c r="K1012" s="24">
        <f>IF($A1012="","",IF(COUNTIFS(入库单!$G$4:$G$2503,$A1012,入库单!$X$4:$X$2503,"待补价")&gt;0,"待补价",IF(COUNTIFS(入库单!$G$4:$G$2503,$A1012,入库单!$X$4:$X$2503,"暂估")&gt;0,"暂估",IF($I1012=0,"没有进价","正常"))))</f>
        <v/>
      </c>
      <c r="L1012" s="27">
        <f>IF($A1012="","",IFERROR(VLOOKUP($A1012,库存台账!$A$5:$Y$1204,24,0),0))</f>
        <v/>
      </c>
      <c r="M1012" s="26">
        <f>IF($A1012="","",IFERROR(VLOOKUP($A1012,库存台账!$A$5:$Y$1204,25,0),0))</f>
        <v/>
      </c>
      <c r="N1012" s="19">
        <f>IF($A1012="","",IFERROR(LOOKUP(2,1/((出库单!$D$4:$D$4003=$A1012)*(出库单!$T$4:$T$4003="正常")),出库单!$C$4:$C$4003),""))</f>
        <v/>
      </c>
      <c r="O1012" s="28">
        <f>IF($A1012="","",IF($L1012&lt;=0,"",IF($N1012="",IFERROR(账期止-LOOKUP(2,1/(入库单!$G$4:$G$2503=$A1012),入库单!$C$4:$C$2503),""),账期止-$N1012)))</f>
        <v/>
      </c>
      <c r="P1012" s="17" t="n"/>
    </row>
    <row r="1013">
      <c r="A1013" s="17" t="n"/>
      <c r="B1013" s="17" t="n"/>
      <c r="C1013" s="17" t="n"/>
      <c r="D1013" s="17" t="n"/>
      <c r="E1013" s="17" t="n"/>
      <c r="F1013" s="17" t="n"/>
      <c r="G1013" s="23" t="n"/>
      <c r="H1013" s="24">
        <f>IF($A1013="","",IFERROR(LOOKUP(2,1/((入库单!$G$4:$G$2503=$A1013)*(入库单!$Y$4:$Y$2503="正常")*(入库单!$L$4:$L$2503&gt;0)),入库单!$D$4:$D$2503),""))</f>
        <v/>
      </c>
      <c r="I1013" s="25">
        <f>IF($A1013="","",IFERROR(LOOKUP(2,1/((入库单!$G$4:$G$2503=$A1013)*(入库单!$Y$4:$Y$2503="正常")*(入库单!$L$4:$L$2503&gt;0)),入库单!$L$4:$L$2503),0))</f>
        <v/>
      </c>
      <c r="J1013" s="26">
        <f>IF($A1013="","",IF($H1013="A国内",ROUND($I1013*倍数A*汇率,0),IF($H1013="B当地",ROUND($I1013*系数B,0),0)))</f>
        <v/>
      </c>
      <c r="K1013" s="24">
        <f>IF($A1013="","",IF(COUNTIFS(入库单!$G$4:$G$2503,$A1013,入库单!$X$4:$X$2503,"待补价")&gt;0,"待补价",IF(COUNTIFS(入库单!$G$4:$G$2503,$A1013,入库单!$X$4:$X$2503,"暂估")&gt;0,"暂估",IF($I1013=0,"没有进价","正常"))))</f>
        <v/>
      </c>
      <c r="L1013" s="27">
        <f>IF($A1013="","",IFERROR(VLOOKUP($A1013,库存台账!$A$5:$Y$1204,24,0),0))</f>
        <v/>
      </c>
      <c r="M1013" s="26">
        <f>IF($A1013="","",IFERROR(VLOOKUP($A1013,库存台账!$A$5:$Y$1204,25,0),0))</f>
        <v/>
      </c>
      <c r="N1013" s="19">
        <f>IF($A1013="","",IFERROR(LOOKUP(2,1/((出库单!$D$4:$D$4003=$A1013)*(出库单!$T$4:$T$4003="正常")),出库单!$C$4:$C$4003),""))</f>
        <v/>
      </c>
      <c r="O1013" s="28">
        <f>IF($A1013="","",IF($L1013&lt;=0,"",IF($N1013="",IFERROR(账期止-LOOKUP(2,1/(入库单!$G$4:$G$2503=$A1013),入库单!$C$4:$C$2503),""),账期止-$N1013)))</f>
        <v/>
      </c>
      <c r="P1013" s="17" t="n"/>
    </row>
    <row r="1014">
      <c r="A1014" s="17" t="n"/>
      <c r="B1014" s="17" t="n"/>
      <c r="C1014" s="17" t="n"/>
      <c r="D1014" s="17" t="n"/>
      <c r="E1014" s="17" t="n"/>
      <c r="F1014" s="17" t="n"/>
      <c r="G1014" s="23" t="n"/>
      <c r="H1014" s="24">
        <f>IF($A1014="","",IFERROR(LOOKUP(2,1/((入库单!$G$4:$G$2503=$A1014)*(入库单!$Y$4:$Y$2503="正常")*(入库单!$L$4:$L$2503&gt;0)),入库单!$D$4:$D$2503),""))</f>
        <v/>
      </c>
      <c r="I1014" s="25">
        <f>IF($A1014="","",IFERROR(LOOKUP(2,1/((入库单!$G$4:$G$2503=$A1014)*(入库单!$Y$4:$Y$2503="正常")*(入库单!$L$4:$L$2503&gt;0)),入库单!$L$4:$L$2503),0))</f>
        <v/>
      </c>
      <c r="J1014" s="26">
        <f>IF($A1014="","",IF($H1014="A国内",ROUND($I1014*倍数A*汇率,0),IF($H1014="B当地",ROUND($I1014*系数B,0),0)))</f>
        <v/>
      </c>
      <c r="K1014" s="24">
        <f>IF($A1014="","",IF(COUNTIFS(入库单!$G$4:$G$2503,$A1014,入库单!$X$4:$X$2503,"待补价")&gt;0,"待补价",IF(COUNTIFS(入库单!$G$4:$G$2503,$A1014,入库单!$X$4:$X$2503,"暂估")&gt;0,"暂估",IF($I1014=0,"没有进价","正常"))))</f>
        <v/>
      </c>
      <c r="L1014" s="27">
        <f>IF($A1014="","",IFERROR(VLOOKUP($A1014,库存台账!$A$5:$Y$1204,24,0),0))</f>
        <v/>
      </c>
      <c r="M1014" s="26">
        <f>IF($A1014="","",IFERROR(VLOOKUP($A1014,库存台账!$A$5:$Y$1204,25,0),0))</f>
        <v/>
      </c>
      <c r="N1014" s="19">
        <f>IF($A1014="","",IFERROR(LOOKUP(2,1/((出库单!$D$4:$D$4003=$A1014)*(出库单!$T$4:$T$4003="正常")),出库单!$C$4:$C$4003),""))</f>
        <v/>
      </c>
      <c r="O1014" s="28">
        <f>IF($A1014="","",IF($L1014&lt;=0,"",IF($N1014="",IFERROR(账期止-LOOKUP(2,1/(入库单!$G$4:$G$2503=$A1014),入库单!$C$4:$C$2503),""),账期止-$N1014)))</f>
        <v/>
      </c>
      <c r="P1014" s="17" t="n"/>
    </row>
    <row r="1015">
      <c r="A1015" s="17" t="n"/>
      <c r="B1015" s="17" t="n"/>
      <c r="C1015" s="17" t="n"/>
      <c r="D1015" s="17" t="n"/>
      <c r="E1015" s="17" t="n"/>
      <c r="F1015" s="17" t="n"/>
      <c r="G1015" s="23" t="n"/>
      <c r="H1015" s="24">
        <f>IF($A1015="","",IFERROR(LOOKUP(2,1/((入库单!$G$4:$G$2503=$A1015)*(入库单!$Y$4:$Y$2503="正常")*(入库单!$L$4:$L$2503&gt;0)),入库单!$D$4:$D$2503),""))</f>
        <v/>
      </c>
      <c r="I1015" s="25">
        <f>IF($A1015="","",IFERROR(LOOKUP(2,1/((入库单!$G$4:$G$2503=$A1015)*(入库单!$Y$4:$Y$2503="正常")*(入库单!$L$4:$L$2503&gt;0)),入库单!$L$4:$L$2503),0))</f>
        <v/>
      </c>
      <c r="J1015" s="26">
        <f>IF($A1015="","",IF($H1015="A国内",ROUND($I1015*倍数A*汇率,0),IF($H1015="B当地",ROUND($I1015*系数B,0),0)))</f>
        <v/>
      </c>
      <c r="K1015" s="24">
        <f>IF($A1015="","",IF(COUNTIFS(入库单!$G$4:$G$2503,$A1015,入库单!$X$4:$X$2503,"待补价")&gt;0,"待补价",IF(COUNTIFS(入库单!$G$4:$G$2503,$A1015,入库单!$X$4:$X$2503,"暂估")&gt;0,"暂估",IF($I1015=0,"没有进价","正常"))))</f>
        <v/>
      </c>
      <c r="L1015" s="27">
        <f>IF($A1015="","",IFERROR(VLOOKUP($A1015,库存台账!$A$5:$Y$1204,24,0),0))</f>
        <v/>
      </c>
      <c r="M1015" s="26">
        <f>IF($A1015="","",IFERROR(VLOOKUP($A1015,库存台账!$A$5:$Y$1204,25,0),0))</f>
        <v/>
      </c>
      <c r="N1015" s="19">
        <f>IF($A1015="","",IFERROR(LOOKUP(2,1/((出库单!$D$4:$D$4003=$A1015)*(出库单!$T$4:$T$4003="正常")),出库单!$C$4:$C$4003),""))</f>
        <v/>
      </c>
      <c r="O1015" s="28">
        <f>IF($A1015="","",IF($L1015&lt;=0,"",IF($N1015="",IFERROR(账期止-LOOKUP(2,1/(入库单!$G$4:$G$2503=$A1015),入库单!$C$4:$C$2503),""),账期止-$N1015)))</f>
        <v/>
      </c>
      <c r="P1015" s="17" t="n"/>
    </row>
    <row r="1016">
      <c r="A1016" s="17" t="n"/>
      <c r="B1016" s="17" t="n"/>
      <c r="C1016" s="17" t="n"/>
      <c r="D1016" s="17" t="n"/>
      <c r="E1016" s="17" t="n"/>
      <c r="F1016" s="17" t="n"/>
      <c r="G1016" s="23" t="n"/>
      <c r="H1016" s="24">
        <f>IF($A1016="","",IFERROR(LOOKUP(2,1/((入库单!$G$4:$G$2503=$A1016)*(入库单!$Y$4:$Y$2503="正常")*(入库单!$L$4:$L$2503&gt;0)),入库单!$D$4:$D$2503),""))</f>
        <v/>
      </c>
      <c r="I1016" s="25">
        <f>IF($A1016="","",IFERROR(LOOKUP(2,1/((入库单!$G$4:$G$2503=$A1016)*(入库单!$Y$4:$Y$2503="正常")*(入库单!$L$4:$L$2503&gt;0)),入库单!$L$4:$L$2503),0))</f>
        <v/>
      </c>
      <c r="J1016" s="26">
        <f>IF($A1016="","",IF($H1016="A国内",ROUND($I1016*倍数A*汇率,0),IF($H1016="B当地",ROUND($I1016*系数B,0),0)))</f>
        <v/>
      </c>
      <c r="K1016" s="24">
        <f>IF($A1016="","",IF(COUNTIFS(入库单!$G$4:$G$2503,$A1016,入库单!$X$4:$X$2503,"待补价")&gt;0,"待补价",IF(COUNTIFS(入库单!$G$4:$G$2503,$A1016,入库单!$X$4:$X$2503,"暂估")&gt;0,"暂估",IF($I1016=0,"没有进价","正常"))))</f>
        <v/>
      </c>
      <c r="L1016" s="27">
        <f>IF($A1016="","",IFERROR(VLOOKUP($A1016,库存台账!$A$5:$Y$1204,24,0),0))</f>
        <v/>
      </c>
      <c r="M1016" s="26">
        <f>IF($A1016="","",IFERROR(VLOOKUP($A1016,库存台账!$A$5:$Y$1204,25,0),0))</f>
        <v/>
      </c>
      <c r="N1016" s="19">
        <f>IF($A1016="","",IFERROR(LOOKUP(2,1/((出库单!$D$4:$D$4003=$A1016)*(出库单!$T$4:$T$4003="正常")),出库单!$C$4:$C$4003),""))</f>
        <v/>
      </c>
      <c r="O1016" s="28">
        <f>IF($A1016="","",IF($L1016&lt;=0,"",IF($N1016="",IFERROR(账期止-LOOKUP(2,1/(入库单!$G$4:$G$2503=$A1016),入库单!$C$4:$C$2503),""),账期止-$N1016)))</f>
        <v/>
      </c>
      <c r="P1016" s="17" t="n"/>
    </row>
    <row r="1017">
      <c r="A1017" s="17" t="n"/>
      <c r="B1017" s="17" t="n"/>
      <c r="C1017" s="17" t="n"/>
      <c r="D1017" s="17" t="n"/>
      <c r="E1017" s="17" t="n"/>
      <c r="F1017" s="17" t="n"/>
      <c r="G1017" s="23" t="n"/>
      <c r="H1017" s="24">
        <f>IF($A1017="","",IFERROR(LOOKUP(2,1/((入库单!$G$4:$G$2503=$A1017)*(入库单!$Y$4:$Y$2503="正常")*(入库单!$L$4:$L$2503&gt;0)),入库单!$D$4:$D$2503),""))</f>
        <v/>
      </c>
      <c r="I1017" s="25">
        <f>IF($A1017="","",IFERROR(LOOKUP(2,1/((入库单!$G$4:$G$2503=$A1017)*(入库单!$Y$4:$Y$2503="正常")*(入库单!$L$4:$L$2503&gt;0)),入库单!$L$4:$L$2503),0))</f>
        <v/>
      </c>
      <c r="J1017" s="26">
        <f>IF($A1017="","",IF($H1017="A国内",ROUND($I1017*倍数A*汇率,0),IF($H1017="B当地",ROUND($I1017*系数B,0),0)))</f>
        <v/>
      </c>
      <c r="K1017" s="24">
        <f>IF($A1017="","",IF(COUNTIFS(入库单!$G$4:$G$2503,$A1017,入库单!$X$4:$X$2503,"待补价")&gt;0,"待补价",IF(COUNTIFS(入库单!$G$4:$G$2503,$A1017,入库单!$X$4:$X$2503,"暂估")&gt;0,"暂估",IF($I1017=0,"没有进价","正常"))))</f>
        <v/>
      </c>
      <c r="L1017" s="27">
        <f>IF($A1017="","",IFERROR(VLOOKUP($A1017,库存台账!$A$5:$Y$1204,24,0),0))</f>
        <v/>
      </c>
      <c r="M1017" s="26">
        <f>IF($A1017="","",IFERROR(VLOOKUP($A1017,库存台账!$A$5:$Y$1204,25,0),0))</f>
        <v/>
      </c>
      <c r="N1017" s="19">
        <f>IF($A1017="","",IFERROR(LOOKUP(2,1/((出库单!$D$4:$D$4003=$A1017)*(出库单!$T$4:$T$4003="正常")),出库单!$C$4:$C$4003),""))</f>
        <v/>
      </c>
      <c r="O1017" s="28">
        <f>IF($A1017="","",IF($L1017&lt;=0,"",IF($N1017="",IFERROR(账期止-LOOKUP(2,1/(入库单!$G$4:$G$2503=$A1017),入库单!$C$4:$C$2503),""),账期止-$N1017)))</f>
        <v/>
      </c>
      <c r="P1017" s="17" t="n"/>
    </row>
    <row r="1018">
      <c r="A1018" s="17" t="n"/>
      <c r="B1018" s="17" t="n"/>
      <c r="C1018" s="17" t="n"/>
      <c r="D1018" s="17" t="n"/>
      <c r="E1018" s="17" t="n"/>
      <c r="F1018" s="17" t="n"/>
      <c r="G1018" s="23" t="n"/>
      <c r="H1018" s="24">
        <f>IF($A1018="","",IFERROR(LOOKUP(2,1/((入库单!$G$4:$G$2503=$A1018)*(入库单!$Y$4:$Y$2503="正常")*(入库单!$L$4:$L$2503&gt;0)),入库单!$D$4:$D$2503),""))</f>
        <v/>
      </c>
      <c r="I1018" s="25">
        <f>IF($A1018="","",IFERROR(LOOKUP(2,1/((入库单!$G$4:$G$2503=$A1018)*(入库单!$Y$4:$Y$2503="正常")*(入库单!$L$4:$L$2503&gt;0)),入库单!$L$4:$L$2503),0))</f>
        <v/>
      </c>
      <c r="J1018" s="26">
        <f>IF($A1018="","",IF($H1018="A国内",ROUND($I1018*倍数A*汇率,0),IF($H1018="B当地",ROUND($I1018*系数B,0),0)))</f>
        <v/>
      </c>
      <c r="K1018" s="24">
        <f>IF($A1018="","",IF(COUNTIFS(入库单!$G$4:$G$2503,$A1018,入库单!$X$4:$X$2503,"待补价")&gt;0,"待补价",IF(COUNTIFS(入库单!$G$4:$G$2503,$A1018,入库单!$X$4:$X$2503,"暂估")&gt;0,"暂估",IF($I1018=0,"没有进价","正常"))))</f>
        <v/>
      </c>
      <c r="L1018" s="27">
        <f>IF($A1018="","",IFERROR(VLOOKUP($A1018,库存台账!$A$5:$Y$1204,24,0),0))</f>
        <v/>
      </c>
      <c r="M1018" s="26">
        <f>IF($A1018="","",IFERROR(VLOOKUP($A1018,库存台账!$A$5:$Y$1204,25,0),0))</f>
        <v/>
      </c>
      <c r="N1018" s="19">
        <f>IF($A1018="","",IFERROR(LOOKUP(2,1/((出库单!$D$4:$D$4003=$A1018)*(出库单!$T$4:$T$4003="正常")),出库单!$C$4:$C$4003),""))</f>
        <v/>
      </c>
      <c r="O1018" s="28">
        <f>IF($A1018="","",IF($L1018&lt;=0,"",IF($N1018="",IFERROR(账期止-LOOKUP(2,1/(入库单!$G$4:$G$2503=$A1018),入库单!$C$4:$C$2503),""),账期止-$N1018)))</f>
        <v/>
      </c>
      <c r="P1018" s="17" t="n"/>
    </row>
    <row r="1019">
      <c r="A1019" s="17" t="n"/>
      <c r="B1019" s="17" t="n"/>
      <c r="C1019" s="17" t="n"/>
      <c r="D1019" s="17" t="n"/>
      <c r="E1019" s="17" t="n"/>
      <c r="F1019" s="17" t="n"/>
      <c r="G1019" s="23" t="n"/>
      <c r="H1019" s="24">
        <f>IF($A1019="","",IFERROR(LOOKUP(2,1/((入库单!$G$4:$G$2503=$A1019)*(入库单!$Y$4:$Y$2503="正常")*(入库单!$L$4:$L$2503&gt;0)),入库单!$D$4:$D$2503),""))</f>
        <v/>
      </c>
      <c r="I1019" s="25">
        <f>IF($A1019="","",IFERROR(LOOKUP(2,1/((入库单!$G$4:$G$2503=$A1019)*(入库单!$Y$4:$Y$2503="正常")*(入库单!$L$4:$L$2503&gt;0)),入库单!$L$4:$L$2503),0))</f>
        <v/>
      </c>
      <c r="J1019" s="26">
        <f>IF($A1019="","",IF($H1019="A国内",ROUND($I1019*倍数A*汇率,0),IF($H1019="B当地",ROUND($I1019*系数B,0),0)))</f>
        <v/>
      </c>
      <c r="K1019" s="24">
        <f>IF($A1019="","",IF(COUNTIFS(入库单!$G$4:$G$2503,$A1019,入库单!$X$4:$X$2503,"待补价")&gt;0,"待补价",IF(COUNTIFS(入库单!$G$4:$G$2503,$A1019,入库单!$X$4:$X$2503,"暂估")&gt;0,"暂估",IF($I1019=0,"没有进价","正常"))))</f>
        <v/>
      </c>
      <c r="L1019" s="27">
        <f>IF($A1019="","",IFERROR(VLOOKUP($A1019,库存台账!$A$5:$Y$1204,24,0),0))</f>
        <v/>
      </c>
      <c r="M1019" s="26">
        <f>IF($A1019="","",IFERROR(VLOOKUP($A1019,库存台账!$A$5:$Y$1204,25,0),0))</f>
        <v/>
      </c>
      <c r="N1019" s="19">
        <f>IF($A1019="","",IFERROR(LOOKUP(2,1/((出库单!$D$4:$D$4003=$A1019)*(出库单!$T$4:$T$4003="正常")),出库单!$C$4:$C$4003),""))</f>
        <v/>
      </c>
      <c r="O1019" s="28">
        <f>IF($A1019="","",IF($L1019&lt;=0,"",IF($N1019="",IFERROR(账期止-LOOKUP(2,1/(入库单!$G$4:$G$2503=$A1019),入库单!$C$4:$C$2503),""),账期止-$N1019)))</f>
        <v/>
      </c>
      <c r="P1019" s="17" t="n"/>
    </row>
    <row r="1020">
      <c r="A1020" s="17" t="n"/>
      <c r="B1020" s="17" t="n"/>
      <c r="C1020" s="17" t="n"/>
      <c r="D1020" s="17" t="n"/>
      <c r="E1020" s="17" t="n"/>
      <c r="F1020" s="17" t="n"/>
      <c r="G1020" s="23" t="n"/>
      <c r="H1020" s="24">
        <f>IF($A1020="","",IFERROR(LOOKUP(2,1/((入库单!$G$4:$G$2503=$A1020)*(入库单!$Y$4:$Y$2503="正常")*(入库单!$L$4:$L$2503&gt;0)),入库单!$D$4:$D$2503),""))</f>
        <v/>
      </c>
      <c r="I1020" s="25">
        <f>IF($A1020="","",IFERROR(LOOKUP(2,1/((入库单!$G$4:$G$2503=$A1020)*(入库单!$Y$4:$Y$2503="正常")*(入库单!$L$4:$L$2503&gt;0)),入库单!$L$4:$L$2503),0))</f>
        <v/>
      </c>
      <c r="J1020" s="26">
        <f>IF($A1020="","",IF($H1020="A国内",ROUND($I1020*倍数A*汇率,0),IF($H1020="B当地",ROUND($I1020*系数B,0),0)))</f>
        <v/>
      </c>
      <c r="K1020" s="24">
        <f>IF($A1020="","",IF(COUNTIFS(入库单!$G$4:$G$2503,$A1020,入库单!$X$4:$X$2503,"待补价")&gt;0,"待补价",IF(COUNTIFS(入库单!$G$4:$G$2503,$A1020,入库单!$X$4:$X$2503,"暂估")&gt;0,"暂估",IF($I1020=0,"没有进价","正常"))))</f>
        <v/>
      </c>
      <c r="L1020" s="27">
        <f>IF($A1020="","",IFERROR(VLOOKUP($A1020,库存台账!$A$5:$Y$1204,24,0),0))</f>
        <v/>
      </c>
      <c r="M1020" s="26">
        <f>IF($A1020="","",IFERROR(VLOOKUP($A1020,库存台账!$A$5:$Y$1204,25,0),0))</f>
        <v/>
      </c>
      <c r="N1020" s="19">
        <f>IF($A1020="","",IFERROR(LOOKUP(2,1/((出库单!$D$4:$D$4003=$A1020)*(出库单!$T$4:$T$4003="正常")),出库单!$C$4:$C$4003),""))</f>
        <v/>
      </c>
      <c r="O1020" s="28">
        <f>IF($A1020="","",IF($L1020&lt;=0,"",IF($N1020="",IFERROR(账期止-LOOKUP(2,1/(入库单!$G$4:$G$2503=$A1020),入库单!$C$4:$C$2503),""),账期止-$N1020)))</f>
        <v/>
      </c>
      <c r="P1020" s="17" t="n"/>
    </row>
    <row r="1021">
      <c r="A1021" s="17" t="n"/>
      <c r="B1021" s="17" t="n"/>
      <c r="C1021" s="17" t="n"/>
      <c r="D1021" s="17" t="n"/>
      <c r="E1021" s="17" t="n"/>
      <c r="F1021" s="17" t="n"/>
      <c r="G1021" s="23" t="n"/>
      <c r="H1021" s="24">
        <f>IF($A1021="","",IFERROR(LOOKUP(2,1/((入库单!$G$4:$G$2503=$A1021)*(入库单!$Y$4:$Y$2503="正常")*(入库单!$L$4:$L$2503&gt;0)),入库单!$D$4:$D$2503),""))</f>
        <v/>
      </c>
      <c r="I1021" s="25">
        <f>IF($A1021="","",IFERROR(LOOKUP(2,1/((入库单!$G$4:$G$2503=$A1021)*(入库单!$Y$4:$Y$2503="正常")*(入库单!$L$4:$L$2503&gt;0)),入库单!$L$4:$L$2503),0))</f>
        <v/>
      </c>
      <c r="J1021" s="26">
        <f>IF($A1021="","",IF($H1021="A国内",ROUND($I1021*倍数A*汇率,0),IF($H1021="B当地",ROUND($I1021*系数B,0),0)))</f>
        <v/>
      </c>
      <c r="K1021" s="24">
        <f>IF($A1021="","",IF(COUNTIFS(入库单!$G$4:$G$2503,$A1021,入库单!$X$4:$X$2503,"待补价")&gt;0,"待补价",IF(COUNTIFS(入库单!$G$4:$G$2503,$A1021,入库单!$X$4:$X$2503,"暂估")&gt;0,"暂估",IF($I1021=0,"没有进价","正常"))))</f>
        <v/>
      </c>
      <c r="L1021" s="27">
        <f>IF($A1021="","",IFERROR(VLOOKUP($A1021,库存台账!$A$5:$Y$1204,24,0),0))</f>
        <v/>
      </c>
      <c r="M1021" s="26">
        <f>IF($A1021="","",IFERROR(VLOOKUP($A1021,库存台账!$A$5:$Y$1204,25,0),0))</f>
        <v/>
      </c>
      <c r="N1021" s="19">
        <f>IF($A1021="","",IFERROR(LOOKUP(2,1/((出库单!$D$4:$D$4003=$A1021)*(出库单!$T$4:$T$4003="正常")),出库单!$C$4:$C$4003),""))</f>
        <v/>
      </c>
      <c r="O1021" s="28">
        <f>IF($A1021="","",IF($L1021&lt;=0,"",IF($N1021="",IFERROR(账期止-LOOKUP(2,1/(入库单!$G$4:$G$2503=$A1021),入库单!$C$4:$C$2503),""),账期止-$N1021)))</f>
        <v/>
      </c>
      <c r="P1021" s="17" t="n"/>
    </row>
    <row r="1022">
      <c r="A1022" s="17" t="n"/>
      <c r="B1022" s="17" t="n"/>
      <c r="C1022" s="17" t="n"/>
      <c r="D1022" s="17" t="n"/>
      <c r="E1022" s="17" t="n"/>
      <c r="F1022" s="17" t="n"/>
      <c r="G1022" s="23" t="n"/>
      <c r="H1022" s="24">
        <f>IF($A1022="","",IFERROR(LOOKUP(2,1/((入库单!$G$4:$G$2503=$A1022)*(入库单!$Y$4:$Y$2503="正常")*(入库单!$L$4:$L$2503&gt;0)),入库单!$D$4:$D$2503),""))</f>
        <v/>
      </c>
      <c r="I1022" s="25">
        <f>IF($A1022="","",IFERROR(LOOKUP(2,1/((入库单!$G$4:$G$2503=$A1022)*(入库单!$Y$4:$Y$2503="正常")*(入库单!$L$4:$L$2503&gt;0)),入库单!$L$4:$L$2503),0))</f>
        <v/>
      </c>
      <c r="J1022" s="26">
        <f>IF($A1022="","",IF($H1022="A国内",ROUND($I1022*倍数A*汇率,0),IF($H1022="B当地",ROUND($I1022*系数B,0),0)))</f>
        <v/>
      </c>
      <c r="K1022" s="24">
        <f>IF($A1022="","",IF(COUNTIFS(入库单!$G$4:$G$2503,$A1022,入库单!$X$4:$X$2503,"待补价")&gt;0,"待补价",IF(COUNTIFS(入库单!$G$4:$G$2503,$A1022,入库单!$X$4:$X$2503,"暂估")&gt;0,"暂估",IF($I1022=0,"没有进价","正常"))))</f>
        <v/>
      </c>
      <c r="L1022" s="27">
        <f>IF($A1022="","",IFERROR(VLOOKUP($A1022,库存台账!$A$5:$Y$1204,24,0),0))</f>
        <v/>
      </c>
      <c r="M1022" s="26">
        <f>IF($A1022="","",IFERROR(VLOOKUP($A1022,库存台账!$A$5:$Y$1204,25,0),0))</f>
        <v/>
      </c>
      <c r="N1022" s="19">
        <f>IF($A1022="","",IFERROR(LOOKUP(2,1/((出库单!$D$4:$D$4003=$A1022)*(出库单!$T$4:$T$4003="正常")),出库单!$C$4:$C$4003),""))</f>
        <v/>
      </c>
      <c r="O1022" s="28">
        <f>IF($A1022="","",IF($L1022&lt;=0,"",IF($N1022="",IFERROR(账期止-LOOKUP(2,1/(入库单!$G$4:$G$2503=$A1022),入库单!$C$4:$C$2503),""),账期止-$N1022)))</f>
        <v/>
      </c>
      <c r="P1022" s="17" t="n"/>
    </row>
    <row r="1023">
      <c r="A1023" s="17" t="n"/>
      <c r="B1023" s="17" t="n"/>
      <c r="C1023" s="17" t="n"/>
      <c r="D1023" s="17" t="n"/>
      <c r="E1023" s="17" t="n"/>
      <c r="F1023" s="17" t="n"/>
      <c r="G1023" s="23" t="n"/>
      <c r="H1023" s="24">
        <f>IF($A1023="","",IFERROR(LOOKUP(2,1/((入库单!$G$4:$G$2503=$A1023)*(入库单!$Y$4:$Y$2503="正常")*(入库单!$L$4:$L$2503&gt;0)),入库单!$D$4:$D$2503),""))</f>
        <v/>
      </c>
      <c r="I1023" s="25">
        <f>IF($A1023="","",IFERROR(LOOKUP(2,1/((入库单!$G$4:$G$2503=$A1023)*(入库单!$Y$4:$Y$2503="正常")*(入库单!$L$4:$L$2503&gt;0)),入库单!$L$4:$L$2503),0))</f>
        <v/>
      </c>
      <c r="J1023" s="26">
        <f>IF($A1023="","",IF($H1023="A国内",ROUND($I1023*倍数A*汇率,0),IF($H1023="B当地",ROUND($I1023*系数B,0),0)))</f>
        <v/>
      </c>
      <c r="K1023" s="24">
        <f>IF($A1023="","",IF(COUNTIFS(入库单!$G$4:$G$2503,$A1023,入库单!$X$4:$X$2503,"待补价")&gt;0,"待补价",IF(COUNTIFS(入库单!$G$4:$G$2503,$A1023,入库单!$X$4:$X$2503,"暂估")&gt;0,"暂估",IF($I1023=0,"没有进价","正常"))))</f>
        <v/>
      </c>
      <c r="L1023" s="27">
        <f>IF($A1023="","",IFERROR(VLOOKUP($A1023,库存台账!$A$5:$Y$1204,24,0),0))</f>
        <v/>
      </c>
      <c r="M1023" s="26">
        <f>IF($A1023="","",IFERROR(VLOOKUP($A1023,库存台账!$A$5:$Y$1204,25,0),0))</f>
        <v/>
      </c>
      <c r="N1023" s="19">
        <f>IF($A1023="","",IFERROR(LOOKUP(2,1/((出库单!$D$4:$D$4003=$A1023)*(出库单!$T$4:$T$4003="正常")),出库单!$C$4:$C$4003),""))</f>
        <v/>
      </c>
      <c r="O1023" s="28">
        <f>IF($A1023="","",IF($L1023&lt;=0,"",IF($N1023="",IFERROR(账期止-LOOKUP(2,1/(入库单!$G$4:$G$2503=$A1023),入库单!$C$4:$C$2503),""),账期止-$N1023)))</f>
        <v/>
      </c>
      <c r="P1023" s="17" t="n"/>
    </row>
    <row r="1024">
      <c r="A1024" s="17" t="n"/>
      <c r="B1024" s="17" t="n"/>
      <c r="C1024" s="17" t="n"/>
      <c r="D1024" s="17" t="n"/>
      <c r="E1024" s="17" t="n"/>
      <c r="F1024" s="17" t="n"/>
      <c r="G1024" s="23" t="n"/>
      <c r="H1024" s="24">
        <f>IF($A1024="","",IFERROR(LOOKUP(2,1/((入库单!$G$4:$G$2503=$A1024)*(入库单!$Y$4:$Y$2503="正常")*(入库单!$L$4:$L$2503&gt;0)),入库单!$D$4:$D$2503),""))</f>
        <v/>
      </c>
      <c r="I1024" s="25">
        <f>IF($A1024="","",IFERROR(LOOKUP(2,1/((入库单!$G$4:$G$2503=$A1024)*(入库单!$Y$4:$Y$2503="正常")*(入库单!$L$4:$L$2503&gt;0)),入库单!$L$4:$L$2503),0))</f>
        <v/>
      </c>
      <c r="J1024" s="26">
        <f>IF($A1024="","",IF($H1024="A国内",ROUND($I1024*倍数A*汇率,0),IF($H1024="B当地",ROUND($I1024*系数B,0),0)))</f>
        <v/>
      </c>
      <c r="K1024" s="24">
        <f>IF($A1024="","",IF(COUNTIFS(入库单!$G$4:$G$2503,$A1024,入库单!$X$4:$X$2503,"待补价")&gt;0,"待补价",IF(COUNTIFS(入库单!$G$4:$G$2503,$A1024,入库单!$X$4:$X$2503,"暂估")&gt;0,"暂估",IF($I1024=0,"没有进价","正常"))))</f>
        <v/>
      </c>
      <c r="L1024" s="27">
        <f>IF($A1024="","",IFERROR(VLOOKUP($A1024,库存台账!$A$5:$Y$1204,24,0),0))</f>
        <v/>
      </c>
      <c r="M1024" s="26">
        <f>IF($A1024="","",IFERROR(VLOOKUP($A1024,库存台账!$A$5:$Y$1204,25,0),0))</f>
        <v/>
      </c>
      <c r="N1024" s="19">
        <f>IF($A1024="","",IFERROR(LOOKUP(2,1/((出库单!$D$4:$D$4003=$A1024)*(出库单!$T$4:$T$4003="正常")),出库单!$C$4:$C$4003),""))</f>
        <v/>
      </c>
      <c r="O1024" s="28">
        <f>IF($A1024="","",IF($L1024&lt;=0,"",IF($N1024="",IFERROR(账期止-LOOKUP(2,1/(入库单!$G$4:$G$2503=$A1024),入库单!$C$4:$C$2503),""),账期止-$N1024)))</f>
        <v/>
      </c>
      <c r="P1024" s="17" t="n"/>
    </row>
    <row r="1025">
      <c r="A1025" s="17" t="n"/>
      <c r="B1025" s="17" t="n"/>
      <c r="C1025" s="17" t="n"/>
      <c r="D1025" s="17" t="n"/>
      <c r="E1025" s="17" t="n"/>
      <c r="F1025" s="17" t="n"/>
      <c r="G1025" s="23" t="n"/>
      <c r="H1025" s="24">
        <f>IF($A1025="","",IFERROR(LOOKUP(2,1/((入库单!$G$4:$G$2503=$A1025)*(入库单!$Y$4:$Y$2503="正常")*(入库单!$L$4:$L$2503&gt;0)),入库单!$D$4:$D$2503),""))</f>
        <v/>
      </c>
      <c r="I1025" s="25">
        <f>IF($A1025="","",IFERROR(LOOKUP(2,1/((入库单!$G$4:$G$2503=$A1025)*(入库单!$Y$4:$Y$2503="正常")*(入库单!$L$4:$L$2503&gt;0)),入库单!$L$4:$L$2503),0))</f>
        <v/>
      </c>
      <c r="J1025" s="26">
        <f>IF($A1025="","",IF($H1025="A国内",ROUND($I1025*倍数A*汇率,0),IF($H1025="B当地",ROUND($I1025*系数B,0),0)))</f>
        <v/>
      </c>
      <c r="K1025" s="24">
        <f>IF($A1025="","",IF(COUNTIFS(入库单!$G$4:$G$2503,$A1025,入库单!$X$4:$X$2503,"待补价")&gt;0,"待补价",IF(COUNTIFS(入库单!$G$4:$G$2503,$A1025,入库单!$X$4:$X$2503,"暂估")&gt;0,"暂估",IF($I1025=0,"没有进价","正常"))))</f>
        <v/>
      </c>
      <c r="L1025" s="27">
        <f>IF($A1025="","",IFERROR(VLOOKUP($A1025,库存台账!$A$5:$Y$1204,24,0),0))</f>
        <v/>
      </c>
      <c r="M1025" s="26">
        <f>IF($A1025="","",IFERROR(VLOOKUP($A1025,库存台账!$A$5:$Y$1204,25,0),0))</f>
        <v/>
      </c>
      <c r="N1025" s="19">
        <f>IF($A1025="","",IFERROR(LOOKUP(2,1/((出库单!$D$4:$D$4003=$A1025)*(出库单!$T$4:$T$4003="正常")),出库单!$C$4:$C$4003),""))</f>
        <v/>
      </c>
      <c r="O1025" s="28">
        <f>IF($A1025="","",IF($L1025&lt;=0,"",IF($N1025="",IFERROR(账期止-LOOKUP(2,1/(入库单!$G$4:$G$2503=$A1025),入库单!$C$4:$C$2503),""),账期止-$N1025)))</f>
        <v/>
      </c>
      <c r="P1025" s="17" t="n"/>
    </row>
    <row r="1026">
      <c r="A1026" s="17" t="n"/>
      <c r="B1026" s="17" t="n"/>
      <c r="C1026" s="17" t="n"/>
      <c r="D1026" s="17" t="n"/>
      <c r="E1026" s="17" t="n"/>
      <c r="F1026" s="17" t="n"/>
      <c r="G1026" s="23" t="n"/>
      <c r="H1026" s="24">
        <f>IF($A1026="","",IFERROR(LOOKUP(2,1/((入库单!$G$4:$G$2503=$A1026)*(入库单!$Y$4:$Y$2503="正常")*(入库单!$L$4:$L$2503&gt;0)),入库单!$D$4:$D$2503),""))</f>
        <v/>
      </c>
      <c r="I1026" s="25">
        <f>IF($A1026="","",IFERROR(LOOKUP(2,1/((入库单!$G$4:$G$2503=$A1026)*(入库单!$Y$4:$Y$2503="正常")*(入库单!$L$4:$L$2503&gt;0)),入库单!$L$4:$L$2503),0))</f>
        <v/>
      </c>
      <c r="J1026" s="26">
        <f>IF($A1026="","",IF($H1026="A国内",ROUND($I1026*倍数A*汇率,0),IF($H1026="B当地",ROUND($I1026*系数B,0),0)))</f>
        <v/>
      </c>
      <c r="K1026" s="24">
        <f>IF($A1026="","",IF(COUNTIFS(入库单!$G$4:$G$2503,$A1026,入库单!$X$4:$X$2503,"待补价")&gt;0,"待补价",IF(COUNTIFS(入库单!$G$4:$G$2503,$A1026,入库单!$X$4:$X$2503,"暂估")&gt;0,"暂估",IF($I1026=0,"没有进价","正常"))))</f>
        <v/>
      </c>
      <c r="L1026" s="27">
        <f>IF($A1026="","",IFERROR(VLOOKUP($A1026,库存台账!$A$5:$Y$1204,24,0),0))</f>
        <v/>
      </c>
      <c r="M1026" s="26">
        <f>IF($A1026="","",IFERROR(VLOOKUP($A1026,库存台账!$A$5:$Y$1204,25,0),0))</f>
        <v/>
      </c>
      <c r="N1026" s="19">
        <f>IF($A1026="","",IFERROR(LOOKUP(2,1/((出库单!$D$4:$D$4003=$A1026)*(出库单!$T$4:$T$4003="正常")),出库单!$C$4:$C$4003),""))</f>
        <v/>
      </c>
      <c r="O1026" s="28">
        <f>IF($A1026="","",IF($L1026&lt;=0,"",IF($N1026="",IFERROR(账期止-LOOKUP(2,1/(入库单!$G$4:$G$2503=$A1026),入库单!$C$4:$C$2503),""),账期止-$N1026)))</f>
        <v/>
      </c>
      <c r="P1026" s="17" t="n"/>
    </row>
    <row r="1027">
      <c r="A1027" s="17" t="n"/>
      <c r="B1027" s="17" t="n"/>
      <c r="C1027" s="17" t="n"/>
      <c r="D1027" s="17" t="n"/>
      <c r="E1027" s="17" t="n"/>
      <c r="F1027" s="17" t="n"/>
      <c r="G1027" s="23" t="n"/>
      <c r="H1027" s="24">
        <f>IF($A1027="","",IFERROR(LOOKUP(2,1/((入库单!$G$4:$G$2503=$A1027)*(入库单!$Y$4:$Y$2503="正常")*(入库单!$L$4:$L$2503&gt;0)),入库单!$D$4:$D$2503),""))</f>
        <v/>
      </c>
      <c r="I1027" s="25">
        <f>IF($A1027="","",IFERROR(LOOKUP(2,1/((入库单!$G$4:$G$2503=$A1027)*(入库单!$Y$4:$Y$2503="正常")*(入库单!$L$4:$L$2503&gt;0)),入库单!$L$4:$L$2503),0))</f>
        <v/>
      </c>
      <c r="J1027" s="26">
        <f>IF($A1027="","",IF($H1027="A国内",ROUND($I1027*倍数A*汇率,0),IF($H1027="B当地",ROUND($I1027*系数B,0),0)))</f>
        <v/>
      </c>
      <c r="K1027" s="24">
        <f>IF($A1027="","",IF(COUNTIFS(入库单!$G$4:$G$2503,$A1027,入库单!$X$4:$X$2503,"待补价")&gt;0,"待补价",IF(COUNTIFS(入库单!$G$4:$G$2503,$A1027,入库单!$X$4:$X$2503,"暂估")&gt;0,"暂估",IF($I1027=0,"没有进价","正常"))))</f>
        <v/>
      </c>
      <c r="L1027" s="27">
        <f>IF($A1027="","",IFERROR(VLOOKUP($A1027,库存台账!$A$5:$Y$1204,24,0),0))</f>
        <v/>
      </c>
      <c r="M1027" s="26">
        <f>IF($A1027="","",IFERROR(VLOOKUP($A1027,库存台账!$A$5:$Y$1204,25,0),0))</f>
        <v/>
      </c>
      <c r="N1027" s="19">
        <f>IF($A1027="","",IFERROR(LOOKUP(2,1/((出库单!$D$4:$D$4003=$A1027)*(出库单!$T$4:$T$4003="正常")),出库单!$C$4:$C$4003),""))</f>
        <v/>
      </c>
      <c r="O1027" s="28">
        <f>IF($A1027="","",IF($L1027&lt;=0,"",IF($N1027="",IFERROR(账期止-LOOKUP(2,1/(入库单!$G$4:$G$2503=$A1027),入库单!$C$4:$C$2503),""),账期止-$N1027)))</f>
        <v/>
      </c>
      <c r="P1027" s="17" t="n"/>
    </row>
    <row r="1028">
      <c r="A1028" s="17" t="n"/>
      <c r="B1028" s="17" t="n"/>
      <c r="C1028" s="17" t="n"/>
      <c r="D1028" s="17" t="n"/>
      <c r="E1028" s="17" t="n"/>
      <c r="F1028" s="17" t="n"/>
      <c r="G1028" s="23" t="n"/>
      <c r="H1028" s="24">
        <f>IF($A1028="","",IFERROR(LOOKUP(2,1/((入库单!$G$4:$G$2503=$A1028)*(入库单!$Y$4:$Y$2503="正常")*(入库单!$L$4:$L$2503&gt;0)),入库单!$D$4:$D$2503),""))</f>
        <v/>
      </c>
      <c r="I1028" s="25">
        <f>IF($A1028="","",IFERROR(LOOKUP(2,1/((入库单!$G$4:$G$2503=$A1028)*(入库单!$Y$4:$Y$2503="正常")*(入库单!$L$4:$L$2503&gt;0)),入库单!$L$4:$L$2503),0))</f>
        <v/>
      </c>
      <c r="J1028" s="26">
        <f>IF($A1028="","",IF($H1028="A国内",ROUND($I1028*倍数A*汇率,0),IF($H1028="B当地",ROUND($I1028*系数B,0),0)))</f>
        <v/>
      </c>
      <c r="K1028" s="24">
        <f>IF($A1028="","",IF(COUNTIFS(入库单!$G$4:$G$2503,$A1028,入库单!$X$4:$X$2503,"待补价")&gt;0,"待补价",IF(COUNTIFS(入库单!$G$4:$G$2503,$A1028,入库单!$X$4:$X$2503,"暂估")&gt;0,"暂估",IF($I1028=0,"没有进价","正常"))))</f>
        <v/>
      </c>
      <c r="L1028" s="27">
        <f>IF($A1028="","",IFERROR(VLOOKUP($A1028,库存台账!$A$5:$Y$1204,24,0),0))</f>
        <v/>
      </c>
      <c r="M1028" s="26">
        <f>IF($A1028="","",IFERROR(VLOOKUP($A1028,库存台账!$A$5:$Y$1204,25,0),0))</f>
        <v/>
      </c>
      <c r="N1028" s="19">
        <f>IF($A1028="","",IFERROR(LOOKUP(2,1/((出库单!$D$4:$D$4003=$A1028)*(出库单!$T$4:$T$4003="正常")),出库单!$C$4:$C$4003),""))</f>
        <v/>
      </c>
      <c r="O1028" s="28">
        <f>IF($A1028="","",IF($L1028&lt;=0,"",IF($N1028="",IFERROR(账期止-LOOKUP(2,1/(入库单!$G$4:$G$2503=$A1028),入库单!$C$4:$C$2503),""),账期止-$N1028)))</f>
        <v/>
      </c>
      <c r="P1028" s="17" t="n"/>
    </row>
    <row r="1029">
      <c r="A1029" s="17" t="n"/>
      <c r="B1029" s="17" t="n"/>
      <c r="C1029" s="17" t="n"/>
      <c r="D1029" s="17" t="n"/>
      <c r="E1029" s="17" t="n"/>
      <c r="F1029" s="17" t="n"/>
      <c r="G1029" s="23" t="n"/>
      <c r="H1029" s="24">
        <f>IF($A1029="","",IFERROR(LOOKUP(2,1/((入库单!$G$4:$G$2503=$A1029)*(入库单!$Y$4:$Y$2503="正常")*(入库单!$L$4:$L$2503&gt;0)),入库单!$D$4:$D$2503),""))</f>
        <v/>
      </c>
      <c r="I1029" s="25">
        <f>IF($A1029="","",IFERROR(LOOKUP(2,1/((入库单!$G$4:$G$2503=$A1029)*(入库单!$Y$4:$Y$2503="正常")*(入库单!$L$4:$L$2503&gt;0)),入库单!$L$4:$L$2503),0))</f>
        <v/>
      </c>
      <c r="J1029" s="26">
        <f>IF($A1029="","",IF($H1029="A国内",ROUND($I1029*倍数A*汇率,0),IF($H1029="B当地",ROUND($I1029*系数B,0),0)))</f>
        <v/>
      </c>
      <c r="K1029" s="24">
        <f>IF($A1029="","",IF(COUNTIFS(入库单!$G$4:$G$2503,$A1029,入库单!$X$4:$X$2503,"待补价")&gt;0,"待补价",IF(COUNTIFS(入库单!$G$4:$G$2503,$A1029,入库单!$X$4:$X$2503,"暂估")&gt;0,"暂估",IF($I1029=0,"没有进价","正常"))))</f>
        <v/>
      </c>
      <c r="L1029" s="27">
        <f>IF($A1029="","",IFERROR(VLOOKUP($A1029,库存台账!$A$5:$Y$1204,24,0),0))</f>
        <v/>
      </c>
      <c r="M1029" s="26">
        <f>IF($A1029="","",IFERROR(VLOOKUP($A1029,库存台账!$A$5:$Y$1204,25,0),0))</f>
        <v/>
      </c>
      <c r="N1029" s="19">
        <f>IF($A1029="","",IFERROR(LOOKUP(2,1/((出库单!$D$4:$D$4003=$A1029)*(出库单!$T$4:$T$4003="正常")),出库单!$C$4:$C$4003),""))</f>
        <v/>
      </c>
      <c r="O1029" s="28">
        <f>IF($A1029="","",IF($L1029&lt;=0,"",IF($N1029="",IFERROR(账期止-LOOKUP(2,1/(入库单!$G$4:$G$2503=$A1029),入库单!$C$4:$C$2503),""),账期止-$N1029)))</f>
        <v/>
      </c>
      <c r="P1029" s="17" t="n"/>
    </row>
    <row r="1030">
      <c r="A1030" s="17" t="n"/>
      <c r="B1030" s="17" t="n"/>
      <c r="C1030" s="17" t="n"/>
      <c r="D1030" s="17" t="n"/>
      <c r="E1030" s="17" t="n"/>
      <c r="F1030" s="17" t="n"/>
      <c r="G1030" s="23" t="n"/>
      <c r="H1030" s="24">
        <f>IF($A1030="","",IFERROR(LOOKUP(2,1/((入库单!$G$4:$G$2503=$A1030)*(入库单!$Y$4:$Y$2503="正常")*(入库单!$L$4:$L$2503&gt;0)),入库单!$D$4:$D$2503),""))</f>
        <v/>
      </c>
      <c r="I1030" s="25">
        <f>IF($A1030="","",IFERROR(LOOKUP(2,1/((入库单!$G$4:$G$2503=$A1030)*(入库单!$Y$4:$Y$2503="正常")*(入库单!$L$4:$L$2503&gt;0)),入库单!$L$4:$L$2503),0))</f>
        <v/>
      </c>
      <c r="J1030" s="26">
        <f>IF($A1030="","",IF($H1030="A国内",ROUND($I1030*倍数A*汇率,0),IF($H1030="B当地",ROUND($I1030*系数B,0),0)))</f>
        <v/>
      </c>
      <c r="K1030" s="24">
        <f>IF($A1030="","",IF(COUNTIFS(入库单!$G$4:$G$2503,$A1030,入库单!$X$4:$X$2503,"待补价")&gt;0,"待补价",IF(COUNTIFS(入库单!$G$4:$G$2503,$A1030,入库单!$X$4:$X$2503,"暂估")&gt;0,"暂估",IF($I1030=0,"没有进价","正常"))))</f>
        <v/>
      </c>
      <c r="L1030" s="27">
        <f>IF($A1030="","",IFERROR(VLOOKUP($A1030,库存台账!$A$5:$Y$1204,24,0),0))</f>
        <v/>
      </c>
      <c r="M1030" s="26">
        <f>IF($A1030="","",IFERROR(VLOOKUP($A1030,库存台账!$A$5:$Y$1204,25,0),0))</f>
        <v/>
      </c>
      <c r="N1030" s="19">
        <f>IF($A1030="","",IFERROR(LOOKUP(2,1/((出库单!$D$4:$D$4003=$A1030)*(出库单!$T$4:$T$4003="正常")),出库单!$C$4:$C$4003),""))</f>
        <v/>
      </c>
      <c r="O1030" s="28">
        <f>IF($A1030="","",IF($L1030&lt;=0,"",IF($N1030="",IFERROR(账期止-LOOKUP(2,1/(入库单!$G$4:$G$2503=$A1030),入库单!$C$4:$C$2503),""),账期止-$N1030)))</f>
        <v/>
      </c>
      <c r="P1030" s="17" t="n"/>
    </row>
    <row r="1031">
      <c r="A1031" s="17" t="n"/>
      <c r="B1031" s="17" t="n"/>
      <c r="C1031" s="17" t="n"/>
      <c r="D1031" s="17" t="n"/>
      <c r="E1031" s="17" t="n"/>
      <c r="F1031" s="17" t="n"/>
      <c r="G1031" s="23" t="n"/>
      <c r="H1031" s="24">
        <f>IF($A1031="","",IFERROR(LOOKUP(2,1/((入库单!$G$4:$G$2503=$A1031)*(入库单!$Y$4:$Y$2503="正常")*(入库单!$L$4:$L$2503&gt;0)),入库单!$D$4:$D$2503),""))</f>
        <v/>
      </c>
      <c r="I1031" s="25">
        <f>IF($A1031="","",IFERROR(LOOKUP(2,1/((入库单!$G$4:$G$2503=$A1031)*(入库单!$Y$4:$Y$2503="正常")*(入库单!$L$4:$L$2503&gt;0)),入库单!$L$4:$L$2503),0))</f>
        <v/>
      </c>
      <c r="J1031" s="26">
        <f>IF($A1031="","",IF($H1031="A国内",ROUND($I1031*倍数A*汇率,0),IF($H1031="B当地",ROUND($I1031*系数B,0),0)))</f>
        <v/>
      </c>
      <c r="K1031" s="24">
        <f>IF($A1031="","",IF(COUNTIFS(入库单!$G$4:$G$2503,$A1031,入库单!$X$4:$X$2503,"待补价")&gt;0,"待补价",IF(COUNTIFS(入库单!$G$4:$G$2503,$A1031,入库单!$X$4:$X$2503,"暂估")&gt;0,"暂估",IF($I1031=0,"没有进价","正常"))))</f>
        <v/>
      </c>
      <c r="L1031" s="27">
        <f>IF($A1031="","",IFERROR(VLOOKUP($A1031,库存台账!$A$5:$Y$1204,24,0),0))</f>
        <v/>
      </c>
      <c r="M1031" s="26">
        <f>IF($A1031="","",IFERROR(VLOOKUP($A1031,库存台账!$A$5:$Y$1204,25,0),0))</f>
        <v/>
      </c>
      <c r="N1031" s="19">
        <f>IF($A1031="","",IFERROR(LOOKUP(2,1/((出库单!$D$4:$D$4003=$A1031)*(出库单!$T$4:$T$4003="正常")),出库单!$C$4:$C$4003),""))</f>
        <v/>
      </c>
      <c r="O1031" s="28">
        <f>IF($A1031="","",IF($L1031&lt;=0,"",IF($N1031="",IFERROR(账期止-LOOKUP(2,1/(入库单!$G$4:$G$2503=$A1031),入库单!$C$4:$C$2503),""),账期止-$N1031)))</f>
        <v/>
      </c>
      <c r="P1031" s="17" t="n"/>
    </row>
    <row r="1032">
      <c r="A1032" s="17" t="n"/>
      <c r="B1032" s="17" t="n"/>
      <c r="C1032" s="17" t="n"/>
      <c r="D1032" s="17" t="n"/>
      <c r="E1032" s="17" t="n"/>
      <c r="F1032" s="17" t="n"/>
      <c r="G1032" s="23" t="n"/>
      <c r="H1032" s="24">
        <f>IF($A1032="","",IFERROR(LOOKUP(2,1/((入库单!$G$4:$G$2503=$A1032)*(入库单!$Y$4:$Y$2503="正常")*(入库单!$L$4:$L$2503&gt;0)),入库单!$D$4:$D$2503),""))</f>
        <v/>
      </c>
      <c r="I1032" s="25">
        <f>IF($A1032="","",IFERROR(LOOKUP(2,1/((入库单!$G$4:$G$2503=$A1032)*(入库单!$Y$4:$Y$2503="正常")*(入库单!$L$4:$L$2503&gt;0)),入库单!$L$4:$L$2503),0))</f>
        <v/>
      </c>
      <c r="J1032" s="26">
        <f>IF($A1032="","",IF($H1032="A国内",ROUND($I1032*倍数A*汇率,0),IF($H1032="B当地",ROUND($I1032*系数B,0),0)))</f>
        <v/>
      </c>
      <c r="K1032" s="24">
        <f>IF($A1032="","",IF(COUNTIFS(入库单!$G$4:$G$2503,$A1032,入库单!$X$4:$X$2503,"待补价")&gt;0,"待补价",IF(COUNTIFS(入库单!$G$4:$G$2503,$A1032,入库单!$X$4:$X$2503,"暂估")&gt;0,"暂估",IF($I1032=0,"没有进价","正常"))))</f>
        <v/>
      </c>
      <c r="L1032" s="27">
        <f>IF($A1032="","",IFERROR(VLOOKUP($A1032,库存台账!$A$5:$Y$1204,24,0),0))</f>
        <v/>
      </c>
      <c r="M1032" s="26">
        <f>IF($A1032="","",IFERROR(VLOOKUP($A1032,库存台账!$A$5:$Y$1204,25,0),0))</f>
        <v/>
      </c>
      <c r="N1032" s="19">
        <f>IF($A1032="","",IFERROR(LOOKUP(2,1/((出库单!$D$4:$D$4003=$A1032)*(出库单!$T$4:$T$4003="正常")),出库单!$C$4:$C$4003),""))</f>
        <v/>
      </c>
      <c r="O1032" s="28">
        <f>IF($A1032="","",IF($L1032&lt;=0,"",IF($N1032="",IFERROR(账期止-LOOKUP(2,1/(入库单!$G$4:$G$2503=$A1032),入库单!$C$4:$C$2503),""),账期止-$N1032)))</f>
        <v/>
      </c>
      <c r="P1032" s="17" t="n"/>
    </row>
    <row r="1033">
      <c r="A1033" s="17" t="n"/>
      <c r="B1033" s="17" t="n"/>
      <c r="C1033" s="17" t="n"/>
      <c r="D1033" s="17" t="n"/>
      <c r="E1033" s="17" t="n"/>
      <c r="F1033" s="17" t="n"/>
      <c r="G1033" s="23" t="n"/>
      <c r="H1033" s="24">
        <f>IF($A1033="","",IFERROR(LOOKUP(2,1/((入库单!$G$4:$G$2503=$A1033)*(入库单!$Y$4:$Y$2503="正常")*(入库单!$L$4:$L$2503&gt;0)),入库单!$D$4:$D$2503),""))</f>
        <v/>
      </c>
      <c r="I1033" s="25">
        <f>IF($A1033="","",IFERROR(LOOKUP(2,1/((入库单!$G$4:$G$2503=$A1033)*(入库单!$Y$4:$Y$2503="正常")*(入库单!$L$4:$L$2503&gt;0)),入库单!$L$4:$L$2503),0))</f>
        <v/>
      </c>
      <c r="J1033" s="26">
        <f>IF($A1033="","",IF($H1033="A国内",ROUND($I1033*倍数A*汇率,0),IF($H1033="B当地",ROUND($I1033*系数B,0),0)))</f>
        <v/>
      </c>
      <c r="K1033" s="24">
        <f>IF($A1033="","",IF(COUNTIFS(入库单!$G$4:$G$2503,$A1033,入库单!$X$4:$X$2503,"待补价")&gt;0,"待补价",IF(COUNTIFS(入库单!$G$4:$G$2503,$A1033,入库单!$X$4:$X$2503,"暂估")&gt;0,"暂估",IF($I1033=0,"没有进价","正常"))))</f>
        <v/>
      </c>
      <c r="L1033" s="27">
        <f>IF($A1033="","",IFERROR(VLOOKUP($A1033,库存台账!$A$5:$Y$1204,24,0),0))</f>
        <v/>
      </c>
      <c r="M1033" s="26">
        <f>IF($A1033="","",IFERROR(VLOOKUP($A1033,库存台账!$A$5:$Y$1204,25,0),0))</f>
        <v/>
      </c>
      <c r="N1033" s="19">
        <f>IF($A1033="","",IFERROR(LOOKUP(2,1/((出库单!$D$4:$D$4003=$A1033)*(出库单!$T$4:$T$4003="正常")),出库单!$C$4:$C$4003),""))</f>
        <v/>
      </c>
      <c r="O1033" s="28">
        <f>IF($A1033="","",IF($L1033&lt;=0,"",IF($N1033="",IFERROR(账期止-LOOKUP(2,1/(入库单!$G$4:$G$2503=$A1033),入库单!$C$4:$C$2503),""),账期止-$N1033)))</f>
        <v/>
      </c>
      <c r="P1033" s="17" t="n"/>
    </row>
    <row r="1034">
      <c r="A1034" s="17" t="n"/>
      <c r="B1034" s="17" t="n"/>
      <c r="C1034" s="17" t="n"/>
      <c r="D1034" s="17" t="n"/>
      <c r="E1034" s="17" t="n"/>
      <c r="F1034" s="17" t="n"/>
      <c r="G1034" s="23" t="n"/>
      <c r="H1034" s="24">
        <f>IF($A1034="","",IFERROR(LOOKUP(2,1/((入库单!$G$4:$G$2503=$A1034)*(入库单!$Y$4:$Y$2503="正常")*(入库单!$L$4:$L$2503&gt;0)),入库单!$D$4:$D$2503),""))</f>
        <v/>
      </c>
      <c r="I1034" s="25">
        <f>IF($A1034="","",IFERROR(LOOKUP(2,1/((入库单!$G$4:$G$2503=$A1034)*(入库单!$Y$4:$Y$2503="正常")*(入库单!$L$4:$L$2503&gt;0)),入库单!$L$4:$L$2503),0))</f>
        <v/>
      </c>
      <c r="J1034" s="26">
        <f>IF($A1034="","",IF($H1034="A国内",ROUND($I1034*倍数A*汇率,0),IF($H1034="B当地",ROUND($I1034*系数B,0),0)))</f>
        <v/>
      </c>
      <c r="K1034" s="24">
        <f>IF($A1034="","",IF(COUNTIFS(入库单!$G$4:$G$2503,$A1034,入库单!$X$4:$X$2503,"待补价")&gt;0,"待补价",IF(COUNTIFS(入库单!$G$4:$G$2503,$A1034,入库单!$X$4:$X$2503,"暂估")&gt;0,"暂估",IF($I1034=0,"没有进价","正常"))))</f>
        <v/>
      </c>
      <c r="L1034" s="27">
        <f>IF($A1034="","",IFERROR(VLOOKUP($A1034,库存台账!$A$5:$Y$1204,24,0),0))</f>
        <v/>
      </c>
      <c r="M1034" s="26">
        <f>IF($A1034="","",IFERROR(VLOOKUP($A1034,库存台账!$A$5:$Y$1204,25,0),0))</f>
        <v/>
      </c>
      <c r="N1034" s="19">
        <f>IF($A1034="","",IFERROR(LOOKUP(2,1/((出库单!$D$4:$D$4003=$A1034)*(出库单!$T$4:$T$4003="正常")),出库单!$C$4:$C$4003),""))</f>
        <v/>
      </c>
      <c r="O1034" s="28">
        <f>IF($A1034="","",IF($L1034&lt;=0,"",IF($N1034="",IFERROR(账期止-LOOKUP(2,1/(入库单!$G$4:$G$2503=$A1034),入库单!$C$4:$C$2503),""),账期止-$N1034)))</f>
        <v/>
      </c>
      <c r="P1034" s="17" t="n"/>
    </row>
    <row r="1035">
      <c r="A1035" s="17" t="n"/>
      <c r="B1035" s="17" t="n"/>
      <c r="C1035" s="17" t="n"/>
      <c r="D1035" s="17" t="n"/>
      <c r="E1035" s="17" t="n"/>
      <c r="F1035" s="17" t="n"/>
      <c r="G1035" s="23" t="n"/>
      <c r="H1035" s="24">
        <f>IF($A1035="","",IFERROR(LOOKUP(2,1/((入库单!$G$4:$G$2503=$A1035)*(入库单!$Y$4:$Y$2503="正常")*(入库单!$L$4:$L$2503&gt;0)),入库单!$D$4:$D$2503),""))</f>
        <v/>
      </c>
      <c r="I1035" s="25">
        <f>IF($A1035="","",IFERROR(LOOKUP(2,1/((入库单!$G$4:$G$2503=$A1035)*(入库单!$Y$4:$Y$2503="正常")*(入库单!$L$4:$L$2503&gt;0)),入库单!$L$4:$L$2503),0))</f>
        <v/>
      </c>
      <c r="J1035" s="26">
        <f>IF($A1035="","",IF($H1035="A国内",ROUND($I1035*倍数A*汇率,0),IF($H1035="B当地",ROUND($I1035*系数B,0),0)))</f>
        <v/>
      </c>
      <c r="K1035" s="24">
        <f>IF($A1035="","",IF(COUNTIFS(入库单!$G$4:$G$2503,$A1035,入库单!$X$4:$X$2503,"待补价")&gt;0,"待补价",IF(COUNTIFS(入库单!$G$4:$G$2503,$A1035,入库单!$X$4:$X$2503,"暂估")&gt;0,"暂估",IF($I1035=0,"没有进价","正常"))))</f>
        <v/>
      </c>
      <c r="L1035" s="27">
        <f>IF($A1035="","",IFERROR(VLOOKUP($A1035,库存台账!$A$5:$Y$1204,24,0),0))</f>
        <v/>
      </c>
      <c r="M1035" s="26">
        <f>IF($A1035="","",IFERROR(VLOOKUP($A1035,库存台账!$A$5:$Y$1204,25,0),0))</f>
        <v/>
      </c>
      <c r="N1035" s="19">
        <f>IF($A1035="","",IFERROR(LOOKUP(2,1/((出库单!$D$4:$D$4003=$A1035)*(出库单!$T$4:$T$4003="正常")),出库单!$C$4:$C$4003),""))</f>
        <v/>
      </c>
      <c r="O1035" s="28">
        <f>IF($A1035="","",IF($L1035&lt;=0,"",IF($N1035="",IFERROR(账期止-LOOKUP(2,1/(入库单!$G$4:$G$2503=$A1035),入库单!$C$4:$C$2503),""),账期止-$N1035)))</f>
        <v/>
      </c>
      <c r="P1035" s="17" t="n"/>
    </row>
    <row r="1036">
      <c r="A1036" s="17" t="n"/>
      <c r="B1036" s="17" t="n"/>
      <c r="C1036" s="17" t="n"/>
      <c r="D1036" s="17" t="n"/>
      <c r="E1036" s="17" t="n"/>
      <c r="F1036" s="17" t="n"/>
      <c r="G1036" s="23" t="n"/>
      <c r="H1036" s="24">
        <f>IF($A1036="","",IFERROR(LOOKUP(2,1/((入库单!$G$4:$G$2503=$A1036)*(入库单!$Y$4:$Y$2503="正常")*(入库单!$L$4:$L$2503&gt;0)),入库单!$D$4:$D$2503),""))</f>
        <v/>
      </c>
      <c r="I1036" s="25">
        <f>IF($A1036="","",IFERROR(LOOKUP(2,1/((入库单!$G$4:$G$2503=$A1036)*(入库单!$Y$4:$Y$2503="正常")*(入库单!$L$4:$L$2503&gt;0)),入库单!$L$4:$L$2503),0))</f>
        <v/>
      </c>
      <c r="J1036" s="26">
        <f>IF($A1036="","",IF($H1036="A国内",ROUND($I1036*倍数A*汇率,0),IF($H1036="B当地",ROUND($I1036*系数B,0),0)))</f>
        <v/>
      </c>
      <c r="K1036" s="24">
        <f>IF($A1036="","",IF(COUNTIFS(入库单!$G$4:$G$2503,$A1036,入库单!$X$4:$X$2503,"待补价")&gt;0,"待补价",IF(COUNTIFS(入库单!$G$4:$G$2503,$A1036,入库单!$X$4:$X$2503,"暂估")&gt;0,"暂估",IF($I1036=0,"没有进价","正常"))))</f>
        <v/>
      </c>
      <c r="L1036" s="27">
        <f>IF($A1036="","",IFERROR(VLOOKUP($A1036,库存台账!$A$5:$Y$1204,24,0),0))</f>
        <v/>
      </c>
      <c r="M1036" s="26">
        <f>IF($A1036="","",IFERROR(VLOOKUP($A1036,库存台账!$A$5:$Y$1204,25,0),0))</f>
        <v/>
      </c>
      <c r="N1036" s="19">
        <f>IF($A1036="","",IFERROR(LOOKUP(2,1/((出库单!$D$4:$D$4003=$A1036)*(出库单!$T$4:$T$4003="正常")),出库单!$C$4:$C$4003),""))</f>
        <v/>
      </c>
      <c r="O1036" s="28">
        <f>IF($A1036="","",IF($L1036&lt;=0,"",IF($N1036="",IFERROR(账期止-LOOKUP(2,1/(入库单!$G$4:$G$2503=$A1036),入库单!$C$4:$C$2503),""),账期止-$N1036)))</f>
        <v/>
      </c>
      <c r="P1036" s="17" t="n"/>
    </row>
    <row r="1037">
      <c r="A1037" s="17" t="n"/>
      <c r="B1037" s="17" t="n"/>
      <c r="C1037" s="17" t="n"/>
      <c r="D1037" s="17" t="n"/>
      <c r="E1037" s="17" t="n"/>
      <c r="F1037" s="17" t="n"/>
      <c r="G1037" s="23" t="n"/>
      <c r="H1037" s="24">
        <f>IF($A1037="","",IFERROR(LOOKUP(2,1/((入库单!$G$4:$G$2503=$A1037)*(入库单!$Y$4:$Y$2503="正常")*(入库单!$L$4:$L$2503&gt;0)),入库单!$D$4:$D$2503),""))</f>
        <v/>
      </c>
      <c r="I1037" s="25">
        <f>IF($A1037="","",IFERROR(LOOKUP(2,1/((入库单!$G$4:$G$2503=$A1037)*(入库单!$Y$4:$Y$2503="正常")*(入库单!$L$4:$L$2503&gt;0)),入库单!$L$4:$L$2503),0))</f>
        <v/>
      </c>
      <c r="J1037" s="26">
        <f>IF($A1037="","",IF($H1037="A国内",ROUND($I1037*倍数A*汇率,0),IF($H1037="B当地",ROUND($I1037*系数B,0),0)))</f>
        <v/>
      </c>
      <c r="K1037" s="24">
        <f>IF($A1037="","",IF(COUNTIFS(入库单!$G$4:$G$2503,$A1037,入库单!$X$4:$X$2503,"待补价")&gt;0,"待补价",IF(COUNTIFS(入库单!$G$4:$G$2503,$A1037,入库单!$X$4:$X$2503,"暂估")&gt;0,"暂估",IF($I1037=0,"没有进价","正常"))))</f>
        <v/>
      </c>
      <c r="L1037" s="27">
        <f>IF($A1037="","",IFERROR(VLOOKUP($A1037,库存台账!$A$5:$Y$1204,24,0),0))</f>
        <v/>
      </c>
      <c r="M1037" s="26">
        <f>IF($A1037="","",IFERROR(VLOOKUP($A1037,库存台账!$A$5:$Y$1204,25,0),0))</f>
        <v/>
      </c>
      <c r="N1037" s="19">
        <f>IF($A1037="","",IFERROR(LOOKUP(2,1/((出库单!$D$4:$D$4003=$A1037)*(出库单!$T$4:$T$4003="正常")),出库单!$C$4:$C$4003),""))</f>
        <v/>
      </c>
      <c r="O1037" s="28">
        <f>IF($A1037="","",IF($L1037&lt;=0,"",IF($N1037="",IFERROR(账期止-LOOKUP(2,1/(入库单!$G$4:$G$2503=$A1037),入库单!$C$4:$C$2503),""),账期止-$N1037)))</f>
        <v/>
      </c>
      <c r="P1037" s="17" t="n"/>
    </row>
    <row r="1038">
      <c r="A1038" s="17" t="n"/>
      <c r="B1038" s="17" t="n"/>
      <c r="C1038" s="17" t="n"/>
      <c r="D1038" s="17" t="n"/>
      <c r="E1038" s="17" t="n"/>
      <c r="F1038" s="17" t="n"/>
      <c r="G1038" s="23" t="n"/>
      <c r="H1038" s="24">
        <f>IF($A1038="","",IFERROR(LOOKUP(2,1/((入库单!$G$4:$G$2503=$A1038)*(入库单!$Y$4:$Y$2503="正常")*(入库单!$L$4:$L$2503&gt;0)),入库单!$D$4:$D$2503),""))</f>
        <v/>
      </c>
      <c r="I1038" s="25">
        <f>IF($A1038="","",IFERROR(LOOKUP(2,1/((入库单!$G$4:$G$2503=$A1038)*(入库单!$Y$4:$Y$2503="正常")*(入库单!$L$4:$L$2503&gt;0)),入库单!$L$4:$L$2503),0))</f>
        <v/>
      </c>
      <c r="J1038" s="26">
        <f>IF($A1038="","",IF($H1038="A国内",ROUND($I1038*倍数A*汇率,0),IF($H1038="B当地",ROUND($I1038*系数B,0),0)))</f>
        <v/>
      </c>
      <c r="K1038" s="24">
        <f>IF($A1038="","",IF(COUNTIFS(入库单!$G$4:$G$2503,$A1038,入库单!$X$4:$X$2503,"待补价")&gt;0,"待补价",IF(COUNTIFS(入库单!$G$4:$G$2503,$A1038,入库单!$X$4:$X$2503,"暂估")&gt;0,"暂估",IF($I1038=0,"没有进价","正常"))))</f>
        <v/>
      </c>
      <c r="L1038" s="27">
        <f>IF($A1038="","",IFERROR(VLOOKUP($A1038,库存台账!$A$5:$Y$1204,24,0),0))</f>
        <v/>
      </c>
      <c r="M1038" s="26">
        <f>IF($A1038="","",IFERROR(VLOOKUP($A1038,库存台账!$A$5:$Y$1204,25,0),0))</f>
        <v/>
      </c>
      <c r="N1038" s="19">
        <f>IF($A1038="","",IFERROR(LOOKUP(2,1/((出库单!$D$4:$D$4003=$A1038)*(出库单!$T$4:$T$4003="正常")),出库单!$C$4:$C$4003),""))</f>
        <v/>
      </c>
      <c r="O1038" s="28">
        <f>IF($A1038="","",IF($L1038&lt;=0,"",IF($N1038="",IFERROR(账期止-LOOKUP(2,1/(入库单!$G$4:$G$2503=$A1038),入库单!$C$4:$C$2503),""),账期止-$N1038)))</f>
        <v/>
      </c>
      <c r="P1038" s="17" t="n"/>
    </row>
    <row r="1039">
      <c r="A1039" s="17" t="n"/>
      <c r="B1039" s="17" t="n"/>
      <c r="C1039" s="17" t="n"/>
      <c r="D1039" s="17" t="n"/>
      <c r="E1039" s="17" t="n"/>
      <c r="F1039" s="17" t="n"/>
      <c r="G1039" s="23" t="n"/>
      <c r="H1039" s="24">
        <f>IF($A1039="","",IFERROR(LOOKUP(2,1/((入库单!$G$4:$G$2503=$A1039)*(入库单!$Y$4:$Y$2503="正常")*(入库单!$L$4:$L$2503&gt;0)),入库单!$D$4:$D$2503),""))</f>
        <v/>
      </c>
      <c r="I1039" s="25">
        <f>IF($A1039="","",IFERROR(LOOKUP(2,1/((入库单!$G$4:$G$2503=$A1039)*(入库单!$Y$4:$Y$2503="正常")*(入库单!$L$4:$L$2503&gt;0)),入库单!$L$4:$L$2503),0))</f>
        <v/>
      </c>
      <c r="J1039" s="26">
        <f>IF($A1039="","",IF($H1039="A国内",ROUND($I1039*倍数A*汇率,0),IF($H1039="B当地",ROUND($I1039*系数B,0),0)))</f>
        <v/>
      </c>
      <c r="K1039" s="24">
        <f>IF($A1039="","",IF(COUNTIFS(入库单!$G$4:$G$2503,$A1039,入库单!$X$4:$X$2503,"待补价")&gt;0,"待补价",IF(COUNTIFS(入库单!$G$4:$G$2503,$A1039,入库单!$X$4:$X$2503,"暂估")&gt;0,"暂估",IF($I1039=0,"没有进价","正常"))))</f>
        <v/>
      </c>
      <c r="L1039" s="27">
        <f>IF($A1039="","",IFERROR(VLOOKUP($A1039,库存台账!$A$5:$Y$1204,24,0),0))</f>
        <v/>
      </c>
      <c r="M1039" s="26">
        <f>IF($A1039="","",IFERROR(VLOOKUP($A1039,库存台账!$A$5:$Y$1204,25,0),0))</f>
        <v/>
      </c>
      <c r="N1039" s="19">
        <f>IF($A1039="","",IFERROR(LOOKUP(2,1/((出库单!$D$4:$D$4003=$A1039)*(出库单!$T$4:$T$4003="正常")),出库单!$C$4:$C$4003),""))</f>
        <v/>
      </c>
      <c r="O1039" s="28">
        <f>IF($A1039="","",IF($L1039&lt;=0,"",IF($N1039="",IFERROR(账期止-LOOKUP(2,1/(入库单!$G$4:$G$2503=$A1039),入库单!$C$4:$C$2503),""),账期止-$N1039)))</f>
        <v/>
      </c>
      <c r="P1039" s="17" t="n"/>
    </row>
    <row r="1040">
      <c r="A1040" s="17" t="n"/>
      <c r="B1040" s="17" t="n"/>
      <c r="C1040" s="17" t="n"/>
      <c r="D1040" s="17" t="n"/>
      <c r="E1040" s="17" t="n"/>
      <c r="F1040" s="17" t="n"/>
      <c r="G1040" s="23" t="n"/>
      <c r="H1040" s="24">
        <f>IF($A1040="","",IFERROR(LOOKUP(2,1/((入库单!$G$4:$G$2503=$A1040)*(入库单!$Y$4:$Y$2503="正常")*(入库单!$L$4:$L$2503&gt;0)),入库单!$D$4:$D$2503),""))</f>
        <v/>
      </c>
      <c r="I1040" s="25">
        <f>IF($A1040="","",IFERROR(LOOKUP(2,1/((入库单!$G$4:$G$2503=$A1040)*(入库单!$Y$4:$Y$2503="正常")*(入库单!$L$4:$L$2503&gt;0)),入库单!$L$4:$L$2503),0))</f>
        <v/>
      </c>
      <c r="J1040" s="26">
        <f>IF($A1040="","",IF($H1040="A国内",ROUND($I1040*倍数A*汇率,0),IF($H1040="B当地",ROUND($I1040*系数B,0),0)))</f>
        <v/>
      </c>
      <c r="K1040" s="24">
        <f>IF($A1040="","",IF(COUNTIFS(入库单!$G$4:$G$2503,$A1040,入库单!$X$4:$X$2503,"待补价")&gt;0,"待补价",IF(COUNTIFS(入库单!$G$4:$G$2503,$A1040,入库单!$X$4:$X$2503,"暂估")&gt;0,"暂估",IF($I1040=0,"没有进价","正常"))))</f>
        <v/>
      </c>
      <c r="L1040" s="27">
        <f>IF($A1040="","",IFERROR(VLOOKUP($A1040,库存台账!$A$5:$Y$1204,24,0),0))</f>
        <v/>
      </c>
      <c r="M1040" s="26">
        <f>IF($A1040="","",IFERROR(VLOOKUP($A1040,库存台账!$A$5:$Y$1204,25,0),0))</f>
        <v/>
      </c>
      <c r="N1040" s="19">
        <f>IF($A1040="","",IFERROR(LOOKUP(2,1/((出库单!$D$4:$D$4003=$A1040)*(出库单!$T$4:$T$4003="正常")),出库单!$C$4:$C$4003),""))</f>
        <v/>
      </c>
      <c r="O1040" s="28">
        <f>IF($A1040="","",IF($L1040&lt;=0,"",IF($N1040="",IFERROR(账期止-LOOKUP(2,1/(入库单!$G$4:$G$2503=$A1040),入库单!$C$4:$C$2503),""),账期止-$N1040)))</f>
        <v/>
      </c>
      <c r="P1040" s="17" t="n"/>
    </row>
    <row r="1041">
      <c r="A1041" s="17" t="n"/>
      <c r="B1041" s="17" t="n"/>
      <c r="C1041" s="17" t="n"/>
      <c r="D1041" s="17" t="n"/>
      <c r="E1041" s="17" t="n"/>
      <c r="F1041" s="17" t="n"/>
      <c r="G1041" s="23" t="n"/>
      <c r="H1041" s="24">
        <f>IF($A1041="","",IFERROR(LOOKUP(2,1/((入库单!$G$4:$G$2503=$A1041)*(入库单!$Y$4:$Y$2503="正常")*(入库单!$L$4:$L$2503&gt;0)),入库单!$D$4:$D$2503),""))</f>
        <v/>
      </c>
      <c r="I1041" s="25">
        <f>IF($A1041="","",IFERROR(LOOKUP(2,1/((入库单!$G$4:$G$2503=$A1041)*(入库单!$Y$4:$Y$2503="正常")*(入库单!$L$4:$L$2503&gt;0)),入库单!$L$4:$L$2503),0))</f>
        <v/>
      </c>
      <c r="J1041" s="26">
        <f>IF($A1041="","",IF($H1041="A国内",ROUND($I1041*倍数A*汇率,0),IF($H1041="B当地",ROUND($I1041*系数B,0),0)))</f>
        <v/>
      </c>
      <c r="K1041" s="24">
        <f>IF($A1041="","",IF(COUNTIFS(入库单!$G$4:$G$2503,$A1041,入库单!$X$4:$X$2503,"待补价")&gt;0,"待补价",IF(COUNTIFS(入库单!$G$4:$G$2503,$A1041,入库单!$X$4:$X$2503,"暂估")&gt;0,"暂估",IF($I1041=0,"没有进价","正常"))))</f>
        <v/>
      </c>
      <c r="L1041" s="27">
        <f>IF($A1041="","",IFERROR(VLOOKUP($A1041,库存台账!$A$5:$Y$1204,24,0),0))</f>
        <v/>
      </c>
      <c r="M1041" s="26">
        <f>IF($A1041="","",IFERROR(VLOOKUP($A1041,库存台账!$A$5:$Y$1204,25,0),0))</f>
        <v/>
      </c>
      <c r="N1041" s="19">
        <f>IF($A1041="","",IFERROR(LOOKUP(2,1/((出库单!$D$4:$D$4003=$A1041)*(出库单!$T$4:$T$4003="正常")),出库单!$C$4:$C$4003),""))</f>
        <v/>
      </c>
      <c r="O1041" s="28">
        <f>IF($A1041="","",IF($L1041&lt;=0,"",IF($N1041="",IFERROR(账期止-LOOKUP(2,1/(入库单!$G$4:$G$2503=$A1041),入库单!$C$4:$C$2503),""),账期止-$N1041)))</f>
        <v/>
      </c>
      <c r="P1041" s="17" t="n"/>
    </row>
    <row r="1042">
      <c r="A1042" s="17" t="n"/>
      <c r="B1042" s="17" t="n"/>
      <c r="C1042" s="17" t="n"/>
      <c r="D1042" s="17" t="n"/>
      <c r="E1042" s="17" t="n"/>
      <c r="F1042" s="17" t="n"/>
      <c r="G1042" s="23" t="n"/>
      <c r="H1042" s="24">
        <f>IF($A1042="","",IFERROR(LOOKUP(2,1/((入库单!$G$4:$G$2503=$A1042)*(入库单!$Y$4:$Y$2503="正常")*(入库单!$L$4:$L$2503&gt;0)),入库单!$D$4:$D$2503),""))</f>
        <v/>
      </c>
      <c r="I1042" s="25">
        <f>IF($A1042="","",IFERROR(LOOKUP(2,1/((入库单!$G$4:$G$2503=$A1042)*(入库单!$Y$4:$Y$2503="正常")*(入库单!$L$4:$L$2503&gt;0)),入库单!$L$4:$L$2503),0))</f>
        <v/>
      </c>
      <c r="J1042" s="26">
        <f>IF($A1042="","",IF($H1042="A国内",ROUND($I1042*倍数A*汇率,0),IF($H1042="B当地",ROUND($I1042*系数B,0),0)))</f>
        <v/>
      </c>
      <c r="K1042" s="24">
        <f>IF($A1042="","",IF(COUNTIFS(入库单!$G$4:$G$2503,$A1042,入库单!$X$4:$X$2503,"待补价")&gt;0,"待补价",IF(COUNTIFS(入库单!$G$4:$G$2503,$A1042,入库单!$X$4:$X$2503,"暂估")&gt;0,"暂估",IF($I1042=0,"没有进价","正常"))))</f>
        <v/>
      </c>
      <c r="L1042" s="27">
        <f>IF($A1042="","",IFERROR(VLOOKUP($A1042,库存台账!$A$5:$Y$1204,24,0),0))</f>
        <v/>
      </c>
      <c r="M1042" s="26">
        <f>IF($A1042="","",IFERROR(VLOOKUP($A1042,库存台账!$A$5:$Y$1204,25,0),0))</f>
        <v/>
      </c>
      <c r="N1042" s="19">
        <f>IF($A1042="","",IFERROR(LOOKUP(2,1/((出库单!$D$4:$D$4003=$A1042)*(出库单!$T$4:$T$4003="正常")),出库单!$C$4:$C$4003),""))</f>
        <v/>
      </c>
      <c r="O1042" s="28">
        <f>IF($A1042="","",IF($L1042&lt;=0,"",IF($N1042="",IFERROR(账期止-LOOKUP(2,1/(入库单!$G$4:$G$2503=$A1042),入库单!$C$4:$C$2503),""),账期止-$N1042)))</f>
        <v/>
      </c>
      <c r="P1042" s="17" t="n"/>
    </row>
    <row r="1043">
      <c r="A1043" s="17" t="n"/>
      <c r="B1043" s="17" t="n"/>
      <c r="C1043" s="17" t="n"/>
      <c r="D1043" s="17" t="n"/>
      <c r="E1043" s="17" t="n"/>
      <c r="F1043" s="17" t="n"/>
      <c r="G1043" s="23" t="n"/>
      <c r="H1043" s="24">
        <f>IF($A1043="","",IFERROR(LOOKUP(2,1/((入库单!$G$4:$G$2503=$A1043)*(入库单!$Y$4:$Y$2503="正常")*(入库单!$L$4:$L$2503&gt;0)),入库单!$D$4:$D$2503),""))</f>
        <v/>
      </c>
      <c r="I1043" s="25">
        <f>IF($A1043="","",IFERROR(LOOKUP(2,1/((入库单!$G$4:$G$2503=$A1043)*(入库单!$Y$4:$Y$2503="正常")*(入库单!$L$4:$L$2503&gt;0)),入库单!$L$4:$L$2503),0))</f>
        <v/>
      </c>
      <c r="J1043" s="26">
        <f>IF($A1043="","",IF($H1043="A国内",ROUND($I1043*倍数A*汇率,0),IF($H1043="B当地",ROUND($I1043*系数B,0),0)))</f>
        <v/>
      </c>
      <c r="K1043" s="24">
        <f>IF($A1043="","",IF(COUNTIFS(入库单!$G$4:$G$2503,$A1043,入库单!$X$4:$X$2503,"待补价")&gt;0,"待补价",IF(COUNTIFS(入库单!$G$4:$G$2503,$A1043,入库单!$X$4:$X$2503,"暂估")&gt;0,"暂估",IF($I1043=0,"没有进价","正常"))))</f>
        <v/>
      </c>
      <c r="L1043" s="27">
        <f>IF($A1043="","",IFERROR(VLOOKUP($A1043,库存台账!$A$5:$Y$1204,24,0),0))</f>
        <v/>
      </c>
      <c r="M1043" s="26">
        <f>IF($A1043="","",IFERROR(VLOOKUP($A1043,库存台账!$A$5:$Y$1204,25,0),0))</f>
        <v/>
      </c>
      <c r="N1043" s="19">
        <f>IF($A1043="","",IFERROR(LOOKUP(2,1/((出库单!$D$4:$D$4003=$A1043)*(出库单!$T$4:$T$4003="正常")),出库单!$C$4:$C$4003),""))</f>
        <v/>
      </c>
      <c r="O1043" s="28">
        <f>IF($A1043="","",IF($L1043&lt;=0,"",IF($N1043="",IFERROR(账期止-LOOKUP(2,1/(入库单!$G$4:$G$2503=$A1043),入库单!$C$4:$C$2503),""),账期止-$N1043)))</f>
        <v/>
      </c>
      <c r="P1043" s="17" t="n"/>
    </row>
    <row r="1044">
      <c r="A1044" s="17" t="n"/>
      <c r="B1044" s="17" t="n"/>
      <c r="C1044" s="17" t="n"/>
      <c r="D1044" s="17" t="n"/>
      <c r="E1044" s="17" t="n"/>
      <c r="F1044" s="17" t="n"/>
      <c r="G1044" s="23" t="n"/>
      <c r="H1044" s="24">
        <f>IF($A1044="","",IFERROR(LOOKUP(2,1/((入库单!$G$4:$G$2503=$A1044)*(入库单!$Y$4:$Y$2503="正常")*(入库单!$L$4:$L$2503&gt;0)),入库单!$D$4:$D$2503),""))</f>
        <v/>
      </c>
      <c r="I1044" s="25">
        <f>IF($A1044="","",IFERROR(LOOKUP(2,1/((入库单!$G$4:$G$2503=$A1044)*(入库单!$Y$4:$Y$2503="正常")*(入库单!$L$4:$L$2503&gt;0)),入库单!$L$4:$L$2503),0))</f>
        <v/>
      </c>
      <c r="J1044" s="26">
        <f>IF($A1044="","",IF($H1044="A国内",ROUND($I1044*倍数A*汇率,0),IF($H1044="B当地",ROUND($I1044*系数B,0),0)))</f>
        <v/>
      </c>
      <c r="K1044" s="24">
        <f>IF($A1044="","",IF(COUNTIFS(入库单!$G$4:$G$2503,$A1044,入库单!$X$4:$X$2503,"待补价")&gt;0,"待补价",IF(COUNTIFS(入库单!$G$4:$G$2503,$A1044,入库单!$X$4:$X$2503,"暂估")&gt;0,"暂估",IF($I1044=0,"没有进价","正常"))))</f>
        <v/>
      </c>
      <c r="L1044" s="27">
        <f>IF($A1044="","",IFERROR(VLOOKUP($A1044,库存台账!$A$5:$Y$1204,24,0),0))</f>
        <v/>
      </c>
      <c r="M1044" s="26">
        <f>IF($A1044="","",IFERROR(VLOOKUP($A1044,库存台账!$A$5:$Y$1204,25,0),0))</f>
        <v/>
      </c>
      <c r="N1044" s="19">
        <f>IF($A1044="","",IFERROR(LOOKUP(2,1/((出库单!$D$4:$D$4003=$A1044)*(出库单!$T$4:$T$4003="正常")),出库单!$C$4:$C$4003),""))</f>
        <v/>
      </c>
      <c r="O1044" s="28">
        <f>IF($A1044="","",IF($L1044&lt;=0,"",IF($N1044="",IFERROR(账期止-LOOKUP(2,1/(入库单!$G$4:$G$2503=$A1044),入库单!$C$4:$C$2503),""),账期止-$N1044)))</f>
        <v/>
      </c>
      <c r="P1044" s="17" t="n"/>
    </row>
    <row r="1045">
      <c r="A1045" s="17" t="n"/>
      <c r="B1045" s="17" t="n"/>
      <c r="C1045" s="17" t="n"/>
      <c r="D1045" s="17" t="n"/>
      <c r="E1045" s="17" t="n"/>
      <c r="F1045" s="17" t="n"/>
      <c r="G1045" s="23" t="n"/>
      <c r="H1045" s="24">
        <f>IF($A1045="","",IFERROR(LOOKUP(2,1/((入库单!$G$4:$G$2503=$A1045)*(入库单!$Y$4:$Y$2503="正常")*(入库单!$L$4:$L$2503&gt;0)),入库单!$D$4:$D$2503),""))</f>
        <v/>
      </c>
      <c r="I1045" s="25">
        <f>IF($A1045="","",IFERROR(LOOKUP(2,1/((入库单!$G$4:$G$2503=$A1045)*(入库单!$Y$4:$Y$2503="正常")*(入库单!$L$4:$L$2503&gt;0)),入库单!$L$4:$L$2503),0))</f>
        <v/>
      </c>
      <c r="J1045" s="26">
        <f>IF($A1045="","",IF($H1045="A国内",ROUND($I1045*倍数A*汇率,0),IF($H1045="B当地",ROUND($I1045*系数B,0),0)))</f>
        <v/>
      </c>
      <c r="K1045" s="24">
        <f>IF($A1045="","",IF(COUNTIFS(入库单!$G$4:$G$2503,$A1045,入库单!$X$4:$X$2503,"待补价")&gt;0,"待补价",IF(COUNTIFS(入库单!$G$4:$G$2503,$A1045,入库单!$X$4:$X$2503,"暂估")&gt;0,"暂估",IF($I1045=0,"没有进价","正常"))))</f>
        <v/>
      </c>
      <c r="L1045" s="27">
        <f>IF($A1045="","",IFERROR(VLOOKUP($A1045,库存台账!$A$5:$Y$1204,24,0),0))</f>
        <v/>
      </c>
      <c r="M1045" s="26">
        <f>IF($A1045="","",IFERROR(VLOOKUP($A1045,库存台账!$A$5:$Y$1204,25,0),0))</f>
        <v/>
      </c>
      <c r="N1045" s="19">
        <f>IF($A1045="","",IFERROR(LOOKUP(2,1/((出库单!$D$4:$D$4003=$A1045)*(出库单!$T$4:$T$4003="正常")),出库单!$C$4:$C$4003),""))</f>
        <v/>
      </c>
      <c r="O1045" s="28">
        <f>IF($A1045="","",IF($L1045&lt;=0,"",IF($N1045="",IFERROR(账期止-LOOKUP(2,1/(入库单!$G$4:$G$2503=$A1045),入库单!$C$4:$C$2503),""),账期止-$N1045)))</f>
        <v/>
      </c>
      <c r="P1045" s="17" t="n"/>
    </row>
    <row r="1046">
      <c r="A1046" s="17" t="n"/>
      <c r="B1046" s="17" t="n"/>
      <c r="C1046" s="17" t="n"/>
      <c r="D1046" s="17" t="n"/>
      <c r="E1046" s="17" t="n"/>
      <c r="F1046" s="17" t="n"/>
      <c r="G1046" s="23" t="n"/>
      <c r="H1046" s="24">
        <f>IF($A1046="","",IFERROR(LOOKUP(2,1/((入库单!$G$4:$G$2503=$A1046)*(入库单!$Y$4:$Y$2503="正常")*(入库单!$L$4:$L$2503&gt;0)),入库单!$D$4:$D$2503),""))</f>
        <v/>
      </c>
      <c r="I1046" s="25">
        <f>IF($A1046="","",IFERROR(LOOKUP(2,1/((入库单!$G$4:$G$2503=$A1046)*(入库单!$Y$4:$Y$2503="正常")*(入库单!$L$4:$L$2503&gt;0)),入库单!$L$4:$L$2503),0))</f>
        <v/>
      </c>
      <c r="J1046" s="26">
        <f>IF($A1046="","",IF($H1046="A国内",ROUND($I1046*倍数A*汇率,0),IF($H1046="B当地",ROUND($I1046*系数B,0),0)))</f>
        <v/>
      </c>
      <c r="K1046" s="24">
        <f>IF($A1046="","",IF(COUNTIFS(入库单!$G$4:$G$2503,$A1046,入库单!$X$4:$X$2503,"待补价")&gt;0,"待补价",IF(COUNTIFS(入库单!$G$4:$G$2503,$A1046,入库单!$X$4:$X$2503,"暂估")&gt;0,"暂估",IF($I1046=0,"没有进价","正常"))))</f>
        <v/>
      </c>
      <c r="L1046" s="27">
        <f>IF($A1046="","",IFERROR(VLOOKUP($A1046,库存台账!$A$5:$Y$1204,24,0),0))</f>
        <v/>
      </c>
      <c r="M1046" s="26">
        <f>IF($A1046="","",IFERROR(VLOOKUP($A1046,库存台账!$A$5:$Y$1204,25,0),0))</f>
        <v/>
      </c>
      <c r="N1046" s="19">
        <f>IF($A1046="","",IFERROR(LOOKUP(2,1/((出库单!$D$4:$D$4003=$A1046)*(出库单!$T$4:$T$4003="正常")),出库单!$C$4:$C$4003),""))</f>
        <v/>
      </c>
      <c r="O1046" s="28">
        <f>IF($A1046="","",IF($L1046&lt;=0,"",IF($N1046="",IFERROR(账期止-LOOKUP(2,1/(入库单!$G$4:$G$2503=$A1046),入库单!$C$4:$C$2503),""),账期止-$N1046)))</f>
        <v/>
      </c>
      <c r="P1046" s="17" t="n"/>
    </row>
    <row r="1047">
      <c r="A1047" s="17" t="n"/>
      <c r="B1047" s="17" t="n"/>
      <c r="C1047" s="17" t="n"/>
      <c r="D1047" s="17" t="n"/>
      <c r="E1047" s="17" t="n"/>
      <c r="F1047" s="17" t="n"/>
      <c r="G1047" s="23" t="n"/>
      <c r="H1047" s="24">
        <f>IF($A1047="","",IFERROR(LOOKUP(2,1/((入库单!$G$4:$G$2503=$A1047)*(入库单!$Y$4:$Y$2503="正常")*(入库单!$L$4:$L$2503&gt;0)),入库单!$D$4:$D$2503),""))</f>
        <v/>
      </c>
      <c r="I1047" s="25">
        <f>IF($A1047="","",IFERROR(LOOKUP(2,1/((入库单!$G$4:$G$2503=$A1047)*(入库单!$Y$4:$Y$2503="正常")*(入库单!$L$4:$L$2503&gt;0)),入库单!$L$4:$L$2503),0))</f>
        <v/>
      </c>
      <c r="J1047" s="26">
        <f>IF($A1047="","",IF($H1047="A国内",ROUND($I1047*倍数A*汇率,0),IF($H1047="B当地",ROUND($I1047*系数B,0),0)))</f>
        <v/>
      </c>
      <c r="K1047" s="24">
        <f>IF($A1047="","",IF(COUNTIFS(入库单!$G$4:$G$2503,$A1047,入库单!$X$4:$X$2503,"待补价")&gt;0,"待补价",IF(COUNTIFS(入库单!$G$4:$G$2503,$A1047,入库单!$X$4:$X$2503,"暂估")&gt;0,"暂估",IF($I1047=0,"没有进价","正常"))))</f>
        <v/>
      </c>
      <c r="L1047" s="27">
        <f>IF($A1047="","",IFERROR(VLOOKUP($A1047,库存台账!$A$5:$Y$1204,24,0),0))</f>
        <v/>
      </c>
      <c r="M1047" s="26">
        <f>IF($A1047="","",IFERROR(VLOOKUP($A1047,库存台账!$A$5:$Y$1204,25,0),0))</f>
        <v/>
      </c>
      <c r="N1047" s="19">
        <f>IF($A1047="","",IFERROR(LOOKUP(2,1/((出库单!$D$4:$D$4003=$A1047)*(出库单!$T$4:$T$4003="正常")),出库单!$C$4:$C$4003),""))</f>
        <v/>
      </c>
      <c r="O1047" s="28">
        <f>IF($A1047="","",IF($L1047&lt;=0,"",IF($N1047="",IFERROR(账期止-LOOKUP(2,1/(入库单!$G$4:$G$2503=$A1047),入库单!$C$4:$C$2503),""),账期止-$N1047)))</f>
        <v/>
      </c>
      <c r="P1047" s="17" t="n"/>
    </row>
    <row r="1048">
      <c r="A1048" s="17" t="n"/>
      <c r="B1048" s="17" t="n"/>
      <c r="C1048" s="17" t="n"/>
      <c r="D1048" s="17" t="n"/>
      <c r="E1048" s="17" t="n"/>
      <c r="F1048" s="17" t="n"/>
      <c r="G1048" s="23" t="n"/>
      <c r="H1048" s="24">
        <f>IF($A1048="","",IFERROR(LOOKUP(2,1/((入库单!$G$4:$G$2503=$A1048)*(入库单!$Y$4:$Y$2503="正常")*(入库单!$L$4:$L$2503&gt;0)),入库单!$D$4:$D$2503),""))</f>
        <v/>
      </c>
      <c r="I1048" s="25">
        <f>IF($A1048="","",IFERROR(LOOKUP(2,1/((入库单!$G$4:$G$2503=$A1048)*(入库单!$Y$4:$Y$2503="正常")*(入库单!$L$4:$L$2503&gt;0)),入库单!$L$4:$L$2503),0))</f>
        <v/>
      </c>
      <c r="J1048" s="26">
        <f>IF($A1048="","",IF($H1048="A国内",ROUND($I1048*倍数A*汇率,0),IF($H1048="B当地",ROUND($I1048*系数B,0),0)))</f>
        <v/>
      </c>
      <c r="K1048" s="24">
        <f>IF($A1048="","",IF(COUNTIFS(入库单!$G$4:$G$2503,$A1048,入库单!$X$4:$X$2503,"待补价")&gt;0,"待补价",IF(COUNTIFS(入库单!$G$4:$G$2503,$A1048,入库单!$X$4:$X$2503,"暂估")&gt;0,"暂估",IF($I1048=0,"没有进价","正常"))))</f>
        <v/>
      </c>
      <c r="L1048" s="27">
        <f>IF($A1048="","",IFERROR(VLOOKUP($A1048,库存台账!$A$5:$Y$1204,24,0),0))</f>
        <v/>
      </c>
      <c r="M1048" s="26">
        <f>IF($A1048="","",IFERROR(VLOOKUP($A1048,库存台账!$A$5:$Y$1204,25,0),0))</f>
        <v/>
      </c>
      <c r="N1048" s="19">
        <f>IF($A1048="","",IFERROR(LOOKUP(2,1/((出库单!$D$4:$D$4003=$A1048)*(出库单!$T$4:$T$4003="正常")),出库单!$C$4:$C$4003),""))</f>
        <v/>
      </c>
      <c r="O1048" s="28">
        <f>IF($A1048="","",IF($L1048&lt;=0,"",IF($N1048="",IFERROR(账期止-LOOKUP(2,1/(入库单!$G$4:$G$2503=$A1048),入库单!$C$4:$C$2503),""),账期止-$N1048)))</f>
        <v/>
      </c>
      <c r="P1048" s="17" t="n"/>
    </row>
    <row r="1049">
      <c r="A1049" s="17" t="n"/>
      <c r="B1049" s="17" t="n"/>
      <c r="C1049" s="17" t="n"/>
      <c r="D1049" s="17" t="n"/>
      <c r="E1049" s="17" t="n"/>
      <c r="F1049" s="17" t="n"/>
      <c r="G1049" s="23" t="n"/>
      <c r="H1049" s="24">
        <f>IF($A1049="","",IFERROR(LOOKUP(2,1/((入库单!$G$4:$G$2503=$A1049)*(入库单!$Y$4:$Y$2503="正常")*(入库单!$L$4:$L$2503&gt;0)),入库单!$D$4:$D$2503),""))</f>
        <v/>
      </c>
      <c r="I1049" s="25">
        <f>IF($A1049="","",IFERROR(LOOKUP(2,1/((入库单!$G$4:$G$2503=$A1049)*(入库单!$Y$4:$Y$2503="正常")*(入库单!$L$4:$L$2503&gt;0)),入库单!$L$4:$L$2503),0))</f>
        <v/>
      </c>
      <c r="J1049" s="26">
        <f>IF($A1049="","",IF($H1049="A国内",ROUND($I1049*倍数A*汇率,0),IF($H1049="B当地",ROUND($I1049*系数B,0),0)))</f>
        <v/>
      </c>
      <c r="K1049" s="24">
        <f>IF($A1049="","",IF(COUNTIFS(入库单!$G$4:$G$2503,$A1049,入库单!$X$4:$X$2503,"待补价")&gt;0,"待补价",IF(COUNTIFS(入库单!$G$4:$G$2503,$A1049,入库单!$X$4:$X$2503,"暂估")&gt;0,"暂估",IF($I1049=0,"没有进价","正常"))))</f>
        <v/>
      </c>
      <c r="L1049" s="27">
        <f>IF($A1049="","",IFERROR(VLOOKUP($A1049,库存台账!$A$5:$Y$1204,24,0),0))</f>
        <v/>
      </c>
      <c r="M1049" s="26">
        <f>IF($A1049="","",IFERROR(VLOOKUP($A1049,库存台账!$A$5:$Y$1204,25,0),0))</f>
        <v/>
      </c>
      <c r="N1049" s="19">
        <f>IF($A1049="","",IFERROR(LOOKUP(2,1/((出库单!$D$4:$D$4003=$A1049)*(出库单!$T$4:$T$4003="正常")),出库单!$C$4:$C$4003),""))</f>
        <v/>
      </c>
      <c r="O1049" s="28">
        <f>IF($A1049="","",IF($L1049&lt;=0,"",IF($N1049="",IFERROR(账期止-LOOKUP(2,1/(入库单!$G$4:$G$2503=$A1049),入库单!$C$4:$C$2503),""),账期止-$N1049)))</f>
        <v/>
      </c>
      <c r="P1049" s="17" t="n"/>
    </row>
    <row r="1050">
      <c r="A1050" s="17" t="n"/>
      <c r="B1050" s="17" t="n"/>
      <c r="C1050" s="17" t="n"/>
      <c r="D1050" s="17" t="n"/>
      <c r="E1050" s="17" t="n"/>
      <c r="F1050" s="17" t="n"/>
      <c r="G1050" s="23" t="n"/>
      <c r="H1050" s="24">
        <f>IF($A1050="","",IFERROR(LOOKUP(2,1/((入库单!$G$4:$G$2503=$A1050)*(入库单!$Y$4:$Y$2503="正常")*(入库单!$L$4:$L$2503&gt;0)),入库单!$D$4:$D$2503),""))</f>
        <v/>
      </c>
      <c r="I1050" s="25">
        <f>IF($A1050="","",IFERROR(LOOKUP(2,1/((入库单!$G$4:$G$2503=$A1050)*(入库单!$Y$4:$Y$2503="正常")*(入库单!$L$4:$L$2503&gt;0)),入库单!$L$4:$L$2503),0))</f>
        <v/>
      </c>
      <c r="J1050" s="26">
        <f>IF($A1050="","",IF($H1050="A国内",ROUND($I1050*倍数A*汇率,0),IF($H1050="B当地",ROUND($I1050*系数B,0),0)))</f>
        <v/>
      </c>
      <c r="K1050" s="24">
        <f>IF($A1050="","",IF(COUNTIFS(入库单!$G$4:$G$2503,$A1050,入库单!$X$4:$X$2503,"待补价")&gt;0,"待补价",IF(COUNTIFS(入库单!$G$4:$G$2503,$A1050,入库单!$X$4:$X$2503,"暂估")&gt;0,"暂估",IF($I1050=0,"没有进价","正常"))))</f>
        <v/>
      </c>
      <c r="L1050" s="27">
        <f>IF($A1050="","",IFERROR(VLOOKUP($A1050,库存台账!$A$5:$Y$1204,24,0),0))</f>
        <v/>
      </c>
      <c r="M1050" s="26">
        <f>IF($A1050="","",IFERROR(VLOOKUP($A1050,库存台账!$A$5:$Y$1204,25,0),0))</f>
        <v/>
      </c>
      <c r="N1050" s="19">
        <f>IF($A1050="","",IFERROR(LOOKUP(2,1/((出库单!$D$4:$D$4003=$A1050)*(出库单!$T$4:$T$4003="正常")),出库单!$C$4:$C$4003),""))</f>
        <v/>
      </c>
      <c r="O1050" s="28">
        <f>IF($A1050="","",IF($L1050&lt;=0,"",IF($N1050="",IFERROR(账期止-LOOKUP(2,1/(入库单!$G$4:$G$2503=$A1050),入库单!$C$4:$C$2503),""),账期止-$N1050)))</f>
        <v/>
      </c>
      <c r="P1050" s="17" t="n"/>
    </row>
    <row r="1051">
      <c r="A1051" s="17" t="n"/>
      <c r="B1051" s="17" t="n"/>
      <c r="C1051" s="17" t="n"/>
      <c r="D1051" s="17" t="n"/>
      <c r="E1051" s="17" t="n"/>
      <c r="F1051" s="17" t="n"/>
      <c r="G1051" s="23" t="n"/>
      <c r="H1051" s="24">
        <f>IF($A1051="","",IFERROR(LOOKUP(2,1/((入库单!$G$4:$G$2503=$A1051)*(入库单!$Y$4:$Y$2503="正常")*(入库单!$L$4:$L$2503&gt;0)),入库单!$D$4:$D$2503),""))</f>
        <v/>
      </c>
      <c r="I1051" s="25">
        <f>IF($A1051="","",IFERROR(LOOKUP(2,1/((入库单!$G$4:$G$2503=$A1051)*(入库单!$Y$4:$Y$2503="正常")*(入库单!$L$4:$L$2503&gt;0)),入库单!$L$4:$L$2503),0))</f>
        <v/>
      </c>
      <c r="J1051" s="26">
        <f>IF($A1051="","",IF($H1051="A国内",ROUND($I1051*倍数A*汇率,0),IF($H1051="B当地",ROUND($I1051*系数B,0),0)))</f>
        <v/>
      </c>
      <c r="K1051" s="24">
        <f>IF($A1051="","",IF(COUNTIFS(入库单!$G$4:$G$2503,$A1051,入库单!$X$4:$X$2503,"待补价")&gt;0,"待补价",IF(COUNTIFS(入库单!$G$4:$G$2503,$A1051,入库单!$X$4:$X$2503,"暂估")&gt;0,"暂估",IF($I1051=0,"没有进价","正常"))))</f>
        <v/>
      </c>
      <c r="L1051" s="27">
        <f>IF($A1051="","",IFERROR(VLOOKUP($A1051,库存台账!$A$5:$Y$1204,24,0),0))</f>
        <v/>
      </c>
      <c r="M1051" s="26">
        <f>IF($A1051="","",IFERROR(VLOOKUP($A1051,库存台账!$A$5:$Y$1204,25,0),0))</f>
        <v/>
      </c>
      <c r="N1051" s="19">
        <f>IF($A1051="","",IFERROR(LOOKUP(2,1/((出库单!$D$4:$D$4003=$A1051)*(出库单!$T$4:$T$4003="正常")),出库单!$C$4:$C$4003),""))</f>
        <v/>
      </c>
      <c r="O1051" s="28">
        <f>IF($A1051="","",IF($L1051&lt;=0,"",IF($N1051="",IFERROR(账期止-LOOKUP(2,1/(入库单!$G$4:$G$2503=$A1051),入库单!$C$4:$C$2503),""),账期止-$N1051)))</f>
        <v/>
      </c>
      <c r="P1051" s="17" t="n"/>
    </row>
    <row r="1052">
      <c r="A1052" s="17" t="n"/>
      <c r="B1052" s="17" t="n"/>
      <c r="C1052" s="17" t="n"/>
      <c r="D1052" s="17" t="n"/>
      <c r="E1052" s="17" t="n"/>
      <c r="F1052" s="17" t="n"/>
      <c r="G1052" s="23" t="n"/>
      <c r="H1052" s="24">
        <f>IF($A1052="","",IFERROR(LOOKUP(2,1/((入库单!$G$4:$G$2503=$A1052)*(入库单!$Y$4:$Y$2503="正常")*(入库单!$L$4:$L$2503&gt;0)),入库单!$D$4:$D$2503),""))</f>
        <v/>
      </c>
      <c r="I1052" s="25">
        <f>IF($A1052="","",IFERROR(LOOKUP(2,1/((入库单!$G$4:$G$2503=$A1052)*(入库单!$Y$4:$Y$2503="正常")*(入库单!$L$4:$L$2503&gt;0)),入库单!$L$4:$L$2503),0))</f>
        <v/>
      </c>
      <c r="J1052" s="26">
        <f>IF($A1052="","",IF($H1052="A国内",ROUND($I1052*倍数A*汇率,0),IF($H1052="B当地",ROUND($I1052*系数B,0),0)))</f>
        <v/>
      </c>
      <c r="K1052" s="24">
        <f>IF($A1052="","",IF(COUNTIFS(入库单!$G$4:$G$2503,$A1052,入库单!$X$4:$X$2503,"待补价")&gt;0,"待补价",IF(COUNTIFS(入库单!$G$4:$G$2503,$A1052,入库单!$X$4:$X$2503,"暂估")&gt;0,"暂估",IF($I1052=0,"没有进价","正常"))))</f>
        <v/>
      </c>
      <c r="L1052" s="27">
        <f>IF($A1052="","",IFERROR(VLOOKUP($A1052,库存台账!$A$5:$Y$1204,24,0),0))</f>
        <v/>
      </c>
      <c r="M1052" s="26">
        <f>IF($A1052="","",IFERROR(VLOOKUP($A1052,库存台账!$A$5:$Y$1204,25,0),0))</f>
        <v/>
      </c>
      <c r="N1052" s="19">
        <f>IF($A1052="","",IFERROR(LOOKUP(2,1/((出库单!$D$4:$D$4003=$A1052)*(出库单!$T$4:$T$4003="正常")),出库单!$C$4:$C$4003),""))</f>
        <v/>
      </c>
      <c r="O1052" s="28">
        <f>IF($A1052="","",IF($L1052&lt;=0,"",IF($N1052="",IFERROR(账期止-LOOKUP(2,1/(入库单!$G$4:$G$2503=$A1052),入库单!$C$4:$C$2503),""),账期止-$N1052)))</f>
        <v/>
      </c>
      <c r="P1052" s="17" t="n"/>
    </row>
    <row r="1053">
      <c r="A1053" s="17" t="n"/>
      <c r="B1053" s="17" t="n"/>
      <c r="C1053" s="17" t="n"/>
      <c r="D1053" s="17" t="n"/>
      <c r="E1053" s="17" t="n"/>
      <c r="F1053" s="17" t="n"/>
      <c r="G1053" s="23" t="n"/>
      <c r="H1053" s="24">
        <f>IF($A1053="","",IFERROR(LOOKUP(2,1/((入库单!$G$4:$G$2503=$A1053)*(入库单!$Y$4:$Y$2503="正常")*(入库单!$L$4:$L$2503&gt;0)),入库单!$D$4:$D$2503),""))</f>
        <v/>
      </c>
      <c r="I1053" s="25">
        <f>IF($A1053="","",IFERROR(LOOKUP(2,1/((入库单!$G$4:$G$2503=$A1053)*(入库单!$Y$4:$Y$2503="正常")*(入库单!$L$4:$L$2503&gt;0)),入库单!$L$4:$L$2503),0))</f>
        <v/>
      </c>
      <c r="J1053" s="26">
        <f>IF($A1053="","",IF($H1053="A国内",ROUND($I1053*倍数A*汇率,0),IF($H1053="B当地",ROUND($I1053*系数B,0),0)))</f>
        <v/>
      </c>
      <c r="K1053" s="24">
        <f>IF($A1053="","",IF(COUNTIFS(入库单!$G$4:$G$2503,$A1053,入库单!$X$4:$X$2503,"待补价")&gt;0,"待补价",IF(COUNTIFS(入库单!$G$4:$G$2503,$A1053,入库单!$X$4:$X$2503,"暂估")&gt;0,"暂估",IF($I1053=0,"没有进价","正常"))))</f>
        <v/>
      </c>
      <c r="L1053" s="27">
        <f>IF($A1053="","",IFERROR(VLOOKUP($A1053,库存台账!$A$5:$Y$1204,24,0),0))</f>
        <v/>
      </c>
      <c r="M1053" s="26">
        <f>IF($A1053="","",IFERROR(VLOOKUP($A1053,库存台账!$A$5:$Y$1204,25,0),0))</f>
        <v/>
      </c>
      <c r="N1053" s="19">
        <f>IF($A1053="","",IFERROR(LOOKUP(2,1/((出库单!$D$4:$D$4003=$A1053)*(出库单!$T$4:$T$4003="正常")),出库单!$C$4:$C$4003),""))</f>
        <v/>
      </c>
      <c r="O1053" s="28">
        <f>IF($A1053="","",IF($L1053&lt;=0,"",IF($N1053="",IFERROR(账期止-LOOKUP(2,1/(入库单!$G$4:$G$2503=$A1053),入库单!$C$4:$C$2503),""),账期止-$N1053)))</f>
        <v/>
      </c>
      <c r="P1053" s="17" t="n"/>
    </row>
    <row r="1054">
      <c r="A1054" s="17" t="n"/>
      <c r="B1054" s="17" t="n"/>
      <c r="C1054" s="17" t="n"/>
      <c r="D1054" s="17" t="n"/>
      <c r="E1054" s="17" t="n"/>
      <c r="F1054" s="17" t="n"/>
      <c r="G1054" s="23" t="n"/>
      <c r="H1054" s="24">
        <f>IF($A1054="","",IFERROR(LOOKUP(2,1/((入库单!$G$4:$G$2503=$A1054)*(入库单!$Y$4:$Y$2503="正常")*(入库单!$L$4:$L$2503&gt;0)),入库单!$D$4:$D$2503),""))</f>
        <v/>
      </c>
      <c r="I1054" s="25">
        <f>IF($A1054="","",IFERROR(LOOKUP(2,1/((入库单!$G$4:$G$2503=$A1054)*(入库单!$Y$4:$Y$2503="正常")*(入库单!$L$4:$L$2503&gt;0)),入库单!$L$4:$L$2503),0))</f>
        <v/>
      </c>
      <c r="J1054" s="26">
        <f>IF($A1054="","",IF($H1054="A国内",ROUND($I1054*倍数A*汇率,0),IF($H1054="B当地",ROUND($I1054*系数B,0),0)))</f>
        <v/>
      </c>
      <c r="K1054" s="24">
        <f>IF($A1054="","",IF(COUNTIFS(入库单!$G$4:$G$2503,$A1054,入库单!$X$4:$X$2503,"待补价")&gt;0,"待补价",IF(COUNTIFS(入库单!$G$4:$G$2503,$A1054,入库单!$X$4:$X$2503,"暂估")&gt;0,"暂估",IF($I1054=0,"没有进价","正常"))))</f>
        <v/>
      </c>
      <c r="L1054" s="27">
        <f>IF($A1054="","",IFERROR(VLOOKUP($A1054,库存台账!$A$5:$Y$1204,24,0),0))</f>
        <v/>
      </c>
      <c r="M1054" s="26">
        <f>IF($A1054="","",IFERROR(VLOOKUP($A1054,库存台账!$A$5:$Y$1204,25,0),0))</f>
        <v/>
      </c>
      <c r="N1054" s="19">
        <f>IF($A1054="","",IFERROR(LOOKUP(2,1/((出库单!$D$4:$D$4003=$A1054)*(出库单!$T$4:$T$4003="正常")),出库单!$C$4:$C$4003),""))</f>
        <v/>
      </c>
      <c r="O1054" s="28">
        <f>IF($A1054="","",IF($L1054&lt;=0,"",IF($N1054="",IFERROR(账期止-LOOKUP(2,1/(入库单!$G$4:$G$2503=$A1054),入库单!$C$4:$C$2503),""),账期止-$N1054)))</f>
        <v/>
      </c>
      <c r="P1054" s="17" t="n"/>
    </row>
    <row r="1055">
      <c r="A1055" s="17" t="n"/>
      <c r="B1055" s="17" t="n"/>
      <c r="C1055" s="17" t="n"/>
      <c r="D1055" s="17" t="n"/>
      <c r="E1055" s="17" t="n"/>
      <c r="F1055" s="17" t="n"/>
      <c r="G1055" s="23" t="n"/>
      <c r="H1055" s="24">
        <f>IF($A1055="","",IFERROR(LOOKUP(2,1/((入库单!$G$4:$G$2503=$A1055)*(入库单!$Y$4:$Y$2503="正常")*(入库单!$L$4:$L$2503&gt;0)),入库单!$D$4:$D$2503),""))</f>
        <v/>
      </c>
      <c r="I1055" s="25">
        <f>IF($A1055="","",IFERROR(LOOKUP(2,1/((入库单!$G$4:$G$2503=$A1055)*(入库单!$Y$4:$Y$2503="正常")*(入库单!$L$4:$L$2503&gt;0)),入库单!$L$4:$L$2503),0))</f>
        <v/>
      </c>
      <c r="J1055" s="26">
        <f>IF($A1055="","",IF($H1055="A国内",ROUND($I1055*倍数A*汇率,0),IF($H1055="B当地",ROUND($I1055*系数B,0),0)))</f>
        <v/>
      </c>
      <c r="K1055" s="24">
        <f>IF($A1055="","",IF(COUNTIFS(入库单!$G$4:$G$2503,$A1055,入库单!$X$4:$X$2503,"待补价")&gt;0,"待补价",IF(COUNTIFS(入库单!$G$4:$G$2503,$A1055,入库单!$X$4:$X$2503,"暂估")&gt;0,"暂估",IF($I1055=0,"没有进价","正常"))))</f>
        <v/>
      </c>
      <c r="L1055" s="27">
        <f>IF($A1055="","",IFERROR(VLOOKUP($A1055,库存台账!$A$5:$Y$1204,24,0),0))</f>
        <v/>
      </c>
      <c r="M1055" s="26">
        <f>IF($A1055="","",IFERROR(VLOOKUP($A1055,库存台账!$A$5:$Y$1204,25,0),0))</f>
        <v/>
      </c>
      <c r="N1055" s="19">
        <f>IF($A1055="","",IFERROR(LOOKUP(2,1/((出库单!$D$4:$D$4003=$A1055)*(出库单!$T$4:$T$4003="正常")),出库单!$C$4:$C$4003),""))</f>
        <v/>
      </c>
      <c r="O1055" s="28">
        <f>IF($A1055="","",IF($L1055&lt;=0,"",IF($N1055="",IFERROR(账期止-LOOKUP(2,1/(入库单!$G$4:$G$2503=$A1055),入库单!$C$4:$C$2503),""),账期止-$N1055)))</f>
        <v/>
      </c>
      <c r="P1055" s="17" t="n"/>
    </row>
    <row r="1056">
      <c r="A1056" s="17" t="n"/>
      <c r="B1056" s="17" t="n"/>
      <c r="C1056" s="17" t="n"/>
      <c r="D1056" s="17" t="n"/>
      <c r="E1056" s="17" t="n"/>
      <c r="F1056" s="17" t="n"/>
      <c r="G1056" s="23" t="n"/>
      <c r="H1056" s="24">
        <f>IF($A1056="","",IFERROR(LOOKUP(2,1/((入库单!$G$4:$G$2503=$A1056)*(入库单!$Y$4:$Y$2503="正常")*(入库单!$L$4:$L$2503&gt;0)),入库单!$D$4:$D$2503),""))</f>
        <v/>
      </c>
      <c r="I1056" s="25">
        <f>IF($A1056="","",IFERROR(LOOKUP(2,1/((入库单!$G$4:$G$2503=$A1056)*(入库单!$Y$4:$Y$2503="正常")*(入库单!$L$4:$L$2503&gt;0)),入库单!$L$4:$L$2503),0))</f>
        <v/>
      </c>
      <c r="J1056" s="26">
        <f>IF($A1056="","",IF($H1056="A国内",ROUND($I1056*倍数A*汇率,0),IF($H1056="B当地",ROUND($I1056*系数B,0),0)))</f>
        <v/>
      </c>
      <c r="K1056" s="24">
        <f>IF($A1056="","",IF(COUNTIFS(入库单!$G$4:$G$2503,$A1056,入库单!$X$4:$X$2503,"待补价")&gt;0,"待补价",IF(COUNTIFS(入库单!$G$4:$G$2503,$A1056,入库单!$X$4:$X$2503,"暂估")&gt;0,"暂估",IF($I1056=0,"没有进价","正常"))))</f>
        <v/>
      </c>
      <c r="L1056" s="27">
        <f>IF($A1056="","",IFERROR(VLOOKUP($A1056,库存台账!$A$5:$Y$1204,24,0),0))</f>
        <v/>
      </c>
      <c r="M1056" s="26">
        <f>IF($A1056="","",IFERROR(VLOOKUP($A1056,库存台账!$A$5:$Y$1204,25,0),0))</f>
        <v/>
      </c>
      <c r="N1056" s="19">
        <f>IF($A1056="","",IFERROR(LOOKUP(2,1/((出库单!$D$4:$D$4003=$A1056)*(出库单!$T$4:$T$4003="正常")),出库单!$C$4:$C$4003),""))</f>
        <v/>
      </c>
      <c r="O1056" s="28">
        <f>IF($A1056="","",IF($L1056&lt;=0,"",IF($N1056="",IFERROR(账期止-LOOKUP(2,1/(入库单!$G$4:$G$2503=$A1056),入库单!$C$4:$C$2503),""),账期止-$N1056)))</f>
        <v/>
      </c>
      <c r="P1056" s="17" t="n"/>
    </row>
    <row r="1057">
      <c r="A1057" s="17" t="n"/>
      <c r="B1057" s="17" t="n"/>
      <c r="C1057" s="17" t="n"/>
      <c r="D1057" s="17" t="n"/>
      <c r="E1057" s="17" t="n"/>
      <c r="F1057" s="17" t="n"/>
      <c r="G1057" s="23" t="n"/>
      <c r="H1057" s="24">
        <f>IF($A1057="","",IFERROR(LOOKUP(2,1/((入库单!$G$4:$G$2503=$A1057)*(入库单!$Y$4:$Y$2503="正常")*(入库单!$L$4:$L$2503&gt;0)),入库单!$D$4:$D$2503),""))</f>
        <v/>
      </c>
      <c r="I1057" s="25">
        <f>IF($A1057="","",IFERROR(LOOKUP(2,1/((入库单!$G$4:$G$2503=$A1057)*(入库单!$Y$4:$Y$2503="正常")*(入库单!$L$4:$L$2503&gt;0)),入库单!$L$4:$L$2503),0))</f>
        <v/>
      </c>
      <c r="J1057" s="26">
        <f>IF($A1057="","",IF($H1057="A国内",ROUND($I1057*倍数A*汇率,0),IF($H1057="B当地",ROUND($I1057*系数B,0),0)))</f>
        <v/>
      </c>
      <c r="K1057" s="24">
        <f>IF($A1057="","",IF(COUNTIFS(入库单!$G$4:$G$2503,$A1057,入库单!$X$4:$X$2503,"待补价")&gt;0,"待补价",IF(COUNTIFS(入库单!$G$4:$G$2503,$A1057,入库单!$X$4:$X$2503,"暂估")&gt;0,"暂估",IF($I1057=0,"没有进价","正常"))))</f>
        <v/>
      </c>
      <c r="L1057" s="27">
        <f>IF($A1057="","",IFERROR(VLOOKUP($A1057,库存台账!$A$5:$Y$1204,24,0),0))</f>
        <v/>
      </c>
      <c r="M1057" s="26">
        <f>IF($A1057="","",IFERROR(VLOOKUP($A1057,库存台账!$A$5:$Y$1204,25,0),0))</f>
        <v/>
      </c>
      <c r="N1057" s="19">
        <f>IF($A1057="","",IFERROR(LOOKUP(2,1/((出库单!$D$4:$D$4003=$A1057)*(出库单!$T$4:$T$4003="正常")),出库单!$C$4:$C$4003),""))</f>
        <v/>
      </c>
      <c r="O1057" s="28">
        <f>IF($A1057="","",IF($L1057&lt;=0,"",IF($N1057="",IFERROR(账期止-LOOKUP(2,1/(入库单!$G$4:$G$2503=$A1057),入库单!$C$4:$C$2503),""),账期止-$N1057)))</f>
        <v/>
      </c>
      <c r="P1057" s="17" t="n"/>
    </row>
    <row r="1058">
      <c r="A1058" s="17" t="n"/>
      <c r="B1058" s="17" t="n"/>
      <c r="C1058" s="17" t="n"/>
      <c r="D1058" s="17" t="n"/>
      <c r="E1058" s="17" t="n"/>
      <c r="F1058" s="17" t="n"/>
      <c r="G1058" s="23" t="n"/>
      <c r="H1058" s="24">
        <f>IF($A1058="","",IFERROR(LOOKUP(2,1/((入库单!$G$4:$G$2503=$A1058)*(入库单!$Y$4:$Y$2503="正常")*(入库单!$L$4:$L$2503&gt;0)),入库单!$D$4:$D$2503),""))</f>
        <v/>
      </c>
      <c r="I1058" s="25">
        <f>IF($A1058="","",IFERROR(LOOKUP(2,1/((入库单!$G$4:$G$2503=$A1058)*(入库单!$Y$4:$Y$2503="正常")*(入库单!$L$4:$L$2503&gt;0)),入库单!$L$4:$L$2503),0))</f>
        <v/>
      </c>
      <c r="J1058" s="26">
        <f>IF($A1058="","",IF($H1058="A国内",ROUND($I1058*倍数A*汇率,0),IF($H1058="B当地",ROUND($I1058*系数B,0),0)))</f>
        <v/>
      </c>
      <c r="K1058" s="24">
        <f>IF($A1058="","",IF(COUNTIFS(入库单!$G$4:$G$2503,$A1058,入库单!$X$4:$X$2503,"待补价")&gt;0,"待补价",IF(COUNTIFS(入库单!$G$4:$G$2503,$A1058,入库单!$X$4:$X$2503,"暂估")&gt;0,"暂估",IF($I1058=0,"没有进价","正常"))))</f>
        <v/>
      </c>
      <c r="L1058" s="27">
        <f>IF($A1058="","",IFERROR(VLOOKUP($A1058,库存台账!$A$5:$Y$1204,24,0),0))</f>
        <v/>
      </c>
      <c r="M1058" s="26">
        <f>IF($A1058="","",IFERROR(VLOOKUP($A1058,库存台账!$A$5:$Y$1204,25,0),0))</f>
        <v/>
      </c>
      <c r="N1058" s="19">
        <f>IF($A1058="","",IFERROR(LOOKUP(2,1/((出库单!$D$4:$D$4003=$A1058)*(出库单!$T$4:$T$4003="正常")),出库单!$C$4:$C$4003),""))</f>
        <v/>
      </c>
      <c r="O1058" s="28">
        <f>IF($A1058="","",IF($L1058&lt;=0,"",IF($N1058="",IFERROR(账期止-LOOKUP(2,1/(入库单!$G$4:$G$2503=$A1058),入库单!$C$4:$C$2503),""),账期止-$N1058)))</f>
        <v/>
      </c>
      <c r="P1058" s="17" t="n"/>
    </row>
    <row r="1059">
      <c r="A1059" s="17" t="n"/>
      <c r="B1059" s="17" t="n"/>
      <c r="C1059" s="17" t="n"/>
      <c r="D1059" s="17" t="n"/>
      <c r="E1059" s="17" t="n"/>
      <c r="F1059" s="17" t="n"/>
      <c r="G1059" s="23" t="n"/>
      <c r="H1059" s="24">
        <f>IF($A1059="","",IFERROR(LOOKUP(2,1/((入库单!$G$4:$G$2503=$A1059)*(入库单!$Y$4:$Y$2503="正常")*(入库单!$L$4:$L$2503&gt;0)),入库单!$D$4:$D$2503),""))</f>
        <v/>
      </c>
      <c r="I1059" s="25">
        <f>IF($A1059="","",IFERROR(LOOKUP(2,1/((入库单!$G$4:$G$2503=$A1059)*(入库单!$Y$4:$Y$2503="正常")*(入库单!$L$4:$L$2503&gt;0)),入库单!$L$4:$L$2503),0))</f>
        <v/>
      </c>
      <c r="J1059" s="26">
        <f>IF($A1059="","",IF($H1059="A国内",ROUND($I1059*倍数A*汇率,0),IF($H1059="B当地",ROUND($I1059*系数B,0),0)))</f>
        <v/>
      </c>
      <c r="K1059" s="24">
        <f>IF($A1059="","",IF(COUNTIFS(入库单!$G$4:$G$2503,$A1059,入库单!$X$4:$X$2503,"待补价")&gt;0,"待补价",IF(COUNTIFS(入库单!$G$4:$G$2503,$A1059,入库单!$X$4:$X$2503,"暂估")&gt;0,"暂估",IF($I1059=0,"没有进价","正常"))))</f>
        <v/>
      </c>
      <c r="L1059" s="27">
        <f>IF($A1059="","",IFERROR(VLOOKUP($A1059,库存台账!$A$5:$Y$1204,24,0),0))</f>
        <v/>
      </c>
      <c r="M1059" s="26">
        <f>IF($A1059="","",IFERROR(VLOOKUP($A1059,库存台账!$A$5:$Y$1204,25,0),0))</f>
        <v/>
      </c>
      <c r="N1059" s="19">
        <f>IF($A1059="","",IFERROR(LOOKUP(2,1/((出库单!$D$4:$D$4003=$A1059)*(出库单!$T$4:$T$4003="正常")),出库单!$C$4:$C$4003),""))</f>
        <v/>
      </c>
      <c r="O1059" s="28">
        <f>IF($A1059="","",IF($L1059&lt;=0,"",IF($N1059="",IFERROR(账期止-LOOKUP(2,1/(入库单!$G$4:$G$2503=$A1059),入库单!$C$4:$C$2503),""),账期止-$N1059)))</f>
        <v/>
      </c>
      <c r="P1059" s="17" t="n"/>
    </row>
    <row r="1060">
      <c r="A1060" s="17" t="n"/>
      <c r="B1060" s="17" t="n"/>
      <c r="C1060" s="17" t="n"/>
      <c r="D1060" s="17" t="n"/>
      <c r="E1060" s="17" t="n"/>
      <c r="F1060" s="17" t="n"/>
      <c r="G1060" s="23" t="n"/>
      <c r="H1060" s="24">
        <f>IF($A1060="","",IFERROR(LOOKUP(2,1/((入库单!$G$4:$G$2503=$A1060)*(入库单!$Y$4:$Y$2503="正常")*(入库单!$L$4:$L$2503&gt;0)),入库单!$D$4:$D$2503),""))</f>
        <v/>
      </c>
      <c r="I1060" s="25">
        <f>IF($A1060="","",IFERROR(LOOKUP(2,1/((入库单!$G$4:$G$2503=$A1060)*(入库单!$Y$4:$Y$2503="正常")*(入库单!$L$4:$L$2503&gt;0)),入库单!$L$4:$L$2503),0))</f>
        <v/>
      </c>
      <c r="J1060" s="26">
        <f>IF($A1060="","",IF($H1060="A国内",ROUND($I1060*倍数A*汇率,0),IF($H1060="B当地",ROUND($I1060*系数B,0),0)))</f>
        <v/>
      </c>
      <c r="K1060" s="24">
        <f>IF($A1060="","",IF(COUNTIFS(入库单!$G$4:$G$2503,$A1060,入库单!$X$4:$X$2503,"待补价")&gt;0,"待补价",IF(COUNTIFS(入库单!$G$4:$G$2503,$A1060,入库单!$X$4:$X$2503,"暂估")&gt;0,"暂估",IF($I1060=0,"没有进价","正常"))))</f>
        <v/>
      </c>
      <c r="L1060" s="27">
        <f>IF($A1060="","",IFERROR(VLOOKUP($A1060,库存台账!$A$5:$Y$1204,24,0),0))</f>
        <v/>
      </c>
      <c r="M1060" s="26">
        <f>IF($A1060="","",IFERROR(VLOOKUP($A1060,库存台账!$A$5:$Y$1204,25,0),0))</f>
        <v/>
      </c>
      <c r="N1060" s="19">
        <f>IF($A1060="","",IFERROR(LOOKUP(2,1/((出库单!$D$4:$D$4003=$A1060)*(出库单!$T$4:$T$4003="正常")),出库单!$C$4:$C$4003),""))</f>
        <v/>
      </c>
      <c r="O1060" s="28">
        <f>IF($A1060="","",IF($L1060&lt;=0,"",IF($N1060="",IFERROR(账期止-LOOKUP(2,1/(入库单!$G$4:$G$2503=$A1060),入库单!$C$4:$C$2503),""),账期止-$N1060)))</f>
        <v/>
      </c>
      <c r="P1060" s="17" t="n"/>
    </row>
    <row r="1061">
      <c r="A1061" s="17" t="n"/>
      <c r="B1061" s="17" t="n"/>
      <c r="C1061" s="17" t="n"/>
      <c r="D1061" s="17" t="n"/>
      <c r="E1061" s="17" t="n"/>
      <c r="F1061" s="17" t="n"/>
      <c r="G1061" s="23" t="n"/>
      <c r="H1061" s="24">
        <f>IF($A1061="","",IFERROR(LOOKUP(2,1/((入库单!$G$4:$G$2503=$A1061)*(入库单!$Y$4:$Y$2503="正常")*(入库单!$L$4:$L$2503&gt;0)),入库单!$D$4:$D$2503),""))</f>
        <v/>
      </c>
      <c r="I1061" s="25">
        <f>IF($A1061="","",IFERROR(LOOKUP(2,1/((入库单!$G$4:$G$2503=$A1061)*(入库单!$Y$4:$Y$2503="正常")*(入库单!$L$4:$L$2503&gt;0)),入库单!$L$4:$L$2503),0))</f>
        <v/>
      </c>
      <c r="J1061" s="26">
        <f>IF($A1061="","",IF($H1061="A国内",ROUND($I1061*倍数A*汇率,0),IF($H1061="B当地",ROUND($I1061*系数B,0),0)))</f>
        <v/>
      </c>
      <c r="K1061" s="24">
        <f>IF($A1061="","",IF(COUNTIFS(入库单!$G$4:$G$2503,$A1061,入库单!$X$4:$X$2503,"待补价")&gt;0,"待补价",IF(COUNTIFS(入库单!$G$4:$G$2503,$A1061,入库单!$X$4:$X$2503,"暂估")&gt;0,"暂估",IF($I1061=0,"没有进价","正常"))))</f>
        <v/>
      </c>
      <c r="L1061" s="27">
        <f>IF($A1061="","",IFERROR(VLOOKUP($A1061,库存台账!$A$5:$Y$1204,24,0),0))</f>
        <v/>
      </c>
      <c r="M1061" s="26">
        <f>IF($A1061="","",IFERROR(VLOOKUP($A1061,库存台账!$A$5:$Y$1204,25,0),0))</f>
        <v/>
      </c>
      <c r="N1061" s="19">
        <f>IF($A1061="","",IFERROR(LOOKUP(2,1/((出库单!$D$4:$D$4003=$A1061)*(出库单!$T$4:$T$4003="正常")),出库单!$C$4:$C$4003),""))</f>
        <v/>
      </c>
      <c r="O1061" s="28">
        <f>IF($A1061="","",IF($L1061&lt;=0,"",IF($N1061="",IFERROR(账期止-LOOKUP(2,1/(入库单!$G$4:$G$2503=$A1061),入库单!$C$4:$C$2503),""),账期止-$N1061)))</f>
        <v/>
      </c>
      <c r="P1061" s="17" t="n"/>
    </row>
    <row r="1062">
      <c r="A1062" s="17" t="n"/>
      <c r="B1062" s="17" t="n"/>
      <c r="C1062" s="17" t="n"/>
      <c r="D1062" s="17" t="n"/>
      <c r="E1062" s="17" t="n"/>
      <c r="F1062" s="17" t="n"/>
      <c r="G1062" s="23" t="n"/>
      <c r="H1062" s="24">
        <f>IF($A1062="","",IFERROR(LOOKUP(2,1/((入库单!$G$4:$G$2503=$A1062)*(入库单!$Y$4:$Y$2503="正常")*(入库单!$L$4:$L$2503&gt;0)),入库单!$D$4:$D$2503),""))</f>
        <v/>
      </c>
      <c r="I1062" s="25">
        <f>IF($A1062="","",IFERROR(LOOKUP(2,1/((入库单!$G$4:$G$2503=$A1062)*(入库单!$Y$4:$Y$2503="正常")*(入库单!$L$4:$L$2503&gt;0)),入库单!$L$4:$L$2503),0))</f>
        <v/>
      </c>
      <c r="J1062" s="26">
        <f>IF($A1062="","",IF($H1062="A国内",ROUND($I1062*倍数A*汇率,0),IF($H1062="B当地",ROUND($I1062*系数B,0),0)))</f>
        <v/>
      </c>
      <c r="K1062" s="24">
        <f>IF($A1062="","",IF(COUNTIFS(入库单!$G$4:$G$2503,$A1062,入库单!$X$4:$X$2503,"待补价")&gt;0,"待补价",IF(COUNTIFS(入库单!$G$4:$G$2503,$A1062,入库单!$X$4:$X$2503,"暂估")&gt;0,"暂估",IF($I1062=0,"没有进价","正常"))))</f>
        <v/>
      </c>
      <c r="L1062" s="27">
        <f>IF($A1062="","",IFERROR(VLOOKUP($A1062,库存台账!$A$5:$Y$1204,24,0),0))</f>
        <v/>
      </c>
      <c r="M1062" s="26">
        <f>IF($A1062="","",IFERROR(VLOOKUP($A1062,库存台账!$A$5:$Y$1204,25,0),0))</f>
        <v/>
      </c>
      <c r="N1062" s="19">
        <f>IF($A1062="","",IFERROR(LOOKUP(2,1/((出库单!$D$4:$D$4003=$A1062)*(出库单!$T$4:$T$4003="正常")),出库单!$C$4:$C$4003),""))</f>
        <v/>
      </c>
      <c r="O1062" s="28">
        <f>IF($A1062="","",IF($L1062&lt;=0,"",IF($N1062="",IFERROR(账期止-LOOKUP(2,1/(入库单!$G$4:$G$2503=$A1062),入库单!$C$4:$C$2503),""),账期止-$N1062)))</f>
        <v/>
      </c>
      <c r="P1062" s="17" t="n"/>
    </row>
    <row r="1063">
      <c r="A1063" s="17" t="n"/>
      <c r="B1063" s="17" t="n"/>
      <c r="C1063" s="17" t="n"/>
      <c r="D1063" s="17" t="n"/>
      <c r="E1063" s="17" t="n"/>
      <c r="F1063" s="17" t="n"/>
      <c r="G1063" s="23" t="n"/>
      <c r="H1063" s="24">
        <f>IF($A1063="","",IFERROR(LOOKUP(2,1/((入库单!$G$4:$G$2503=$A1063)*(入库单!$Y$4:$Y$2503="正常")*(入库单!$L$4:$L$2503&gt;0)),入库单!$D$4:$D$2503),""))</f>
        <v/>
      </c>
      <c r="I1063" s="25">
        <f>IF($A1063="","",IFERROR(LOOKUP(2,1/((入库单!$G$4:$G$2503=$A1063)*(入库单!$Y$4:$Y$2503="正常")*(入库单!$L$4:$L$2503&gt;0)),入库单!$L$4:$L$2503),0))</f>
        <v/>
      </c>
      <c r="J1063" s="26">
        <f>IF($A1063="","",IF($H1063="A国内",ROUND($I1063*倍数A*汇率,0),IF($H1063="B当地",ROUND($I1063*系数B,0),0)))</f>
        <v/>
      </c>
      <c r="K1063" s="24">
        <f>IF($A1063="","",IF(COUNTIFS(入库单!$G$4:$G$2503,$A1063,入库单!$X$4:$X$2503,"待补价")&gt;0,"待补价",IF(COUNTIFS(入库单!$G$4:$G$2503,$A1063,入库单!$X$4:$X$2503,"暂估")&gt;0,"暂估",IF($I1063=0,"没有进价","正常"))))</f>
        <v/>
      </c>
      <c r="L1063" s="27">
        <f>IF($A1063="","",IFERROR(VLOOKUP($A1063,库存台账!$A$5:$Y$1204,24,0),0))</f>
        <v/>
      </c>
      <c r="M1063" s="26">
        <f>IF($A1063="","",IFERROR(VLOOKUP($A1063,库存台账!$A$5:$Y$1204,25,0),0))</f>
        <v/>
      </c>
      <c r="N1063" s="19">
        <f>IF($A1063="","",IFERROR(LOOKUP(2,1/((出库单!$D$4:$D$4003=$A1063)*(出库单!$T$4:$T$4003="正常")),出库单!$C$4:$C$4003),""))</f>
        <v/>
      </c>
      <c r="O1063" s="28">
        <f>IF($A1063="","",IF($L1063&lt;=0,"",IF($N1063="",IFERROR(账期止-LOOKUP(2,1/(入库单!$G$4:$G$2503=$A1063),入库单!$C$4:$C$2503),""),账期止-$N1063)))</f>
        <v/>
      </c>
      <c r="P1063" s="17" t="n"/>
    </row>
    <row r="1064">
      <c r="A1064" s="17" t="n"/>
      <c r="B1064" s="17" t="n"/>
      <c r="C1064" s="17" t="n"/>
      <c r="D1064" s="17" t="n"/>
      <c r="E1064" s="17" t="n"/>
      <c r="F1064" s="17" t="n"/>
      <c r="G1064" s="23" t="n"/>
      <c r="H1064" s="24">
        <f>IF($A1064="","",IFERROR(LOOKUP(2,1/((入库单!$G$4:$G$2503=$A1064)*(入库单!$Y$4:$Y$2503="正常")*(入库单!$L$4:$L$2503&gt;0)),入库单!$D$4:$D$2503),""))</f>
        <v/>
      </c>
      <c r="I1064" s="25">
        <f>IF($A1064="","",IFERROR(LOOKUP(2,1/((入库单!$G$4:$G$2503=$A1064)*(入库单!$Y$4:$Y$2503="正常")*(入库单!$L$4:$L$2503&gt;0)),入库单!$L$4:$L$2503),0))</f>
        <v/>
      </c>
      <c r="J1064" s="26">
        <f>IF($A1064="","",IF($H1064="A国内",ROUND($I1064*倍数A*汇率,0),IF($H1064="B当地",ROUND($I1064*系数B,0),0)))</f>
        <v/>
      </c>
      <c r="K1064" s="24">
        <f>IF($A1064="","",IF(COUNTIFS(入库单!$G$4:$G$2503,$A1064,入库单!$X$4:$X$2503,"待补价")&gt;0,"待补价",IF(COUNTIFS(入库单!$G$4:$G$2503,$A1064,入库单!$X$4:$X$2503,"暂估")&gt;0,"暂估",IF($I1064=0,"没有进价","正常"))))</f>
        <v/>
      </c>
      <c r="L1064" s="27">
        <f>IF($A1064="","",IFERROR(VLOOKUP($A1064,库存台账!$A$5:$Y$1204,24,0),0))</f>
        <v/>
      </c>
      <c r="M1064" s="26">
        <f>IF($A1064="","",IFERROR(VLOOKUP($A1064,库存台账!$A$5:$Y$1204,25,0),0))</f>
        <v/>
      </c>
      <c r="N1064" s="19">
        <f>IF($A1064="","",IFERROR(LOOKUP(2,1/((出库单!$D$4:$D$4003=$A1064)*(出库单!$T$4:$T$4003="正常")),出库单!$C$4:$C$4003),""))</f>
        <v/>
      </c>
      <c r="O1064" s="28">
        <f>IF($A1064="","",IF($L1064&lt;=0,"",IF($N1064="",IFERROR(账期止-LOOKUP(2,1/(入库单!$G$4:$G$2503=$A1064),入库单!$C$4:$C$2503),""),账期止-$N1064)))</f>
        <v/>
      </c>
      <c r="P1064" s="17" t="n"/>
    </row>
    <row r="1065">
      <c r="A1065" s="17" t="n"/>
      <c r="B1065" s="17" t="n"/>
      <c r="C1065" s="17" t="n"/>
      <c r="D1065" s="17" t="n"/>
      <c r="E1065" s="17" t="n"/>
      <c r="F1065" s="17" t="n"/>
      <c r="G1065" s="23" t="n"/>
      <c r="H1065" s="24">
        <f>IF($A1065="","",IFERROR(LOOKUP(2,1/((入库单!$G$4:$G$2503=$A1065)*(入库单!$Y$4:$Y$2503="正常")*(入库单!$L$4:$L$2503&gt;0)),入库单!$D$4:$D$2503),""))</f>
        <v/>
      </c>
      <c r="I1065" s="25">
        <f>IF($A1065="","",IFERROR(LOOKUP(2,1/((入库单!$G$4:$G$2503=$A1065)*(入库单!$Y$4:$Y$2503="正常")*(入库单!$L$4:$L$2503&gt;0)),入库单!$L$4:$L$2503),0))</f>
        <v/>
      </c>
      <c r="J1065" s="26">
        <f>IF($A1065="","",IF($H1065="A国内",ROUND($I1065*倍数A*汇率,0),IF($H1065="B当地",ROUND($I1065*系数B,0),0)))</f>
        <v/>
      </c>
      <c r="K1065" s="24">
        <f>IF($A1065="","",IF(COUNTIFS(入库单!$G$4:$G$2503,$A1065,入库单!$X$4:$X$2503,"待补价")&gt;0,"待补价",IF(COUNTIFS(入库单!$G$4:$G$2503,$A1065,入库单!$X$4:$X$2503,"暂估")&gt;0,"暂估",IF($I1065=0,"没有进价","正常"))))</f>
        <v/>
      </c>
      <c r="L1065" s="27">
        <f>IF($A1065="","",IFERROR(VLOOKUP($A1065,库存台账!$A$5:$Y$1204,24,0),0))</f>
        <v/>
      </c>
      <c r="M1065" s="26">
        <f>IF($A1065="","",IFERROR(VLOOKUP($A1065,库存台账!$A$5:$Y$1204,25,0),0))</f>
        <v/>
      </c>
      <c r="N1065" s="19">
        <f>IF($A1065="","",IFERROR(LOOKUP(2,1/((出库单!$D$4:$D$4003=$A1065)*(出库单!$T$4:$T$4003="正常")),出库单!$C$4:$C$4003),""))</f>
        <v/>
      </c>
      <c r="O1065" s="28">
        <f>IF($A1065="","",IF($L1065&lt;=0,"",IF($N1065="",IFERROR(账期止-LOOKUP(2,1/(入库单!$G$4:$G$2503=$A1065),入库单!$C$4:$C$2503),""),账期止-$N1065)))</f>
        <v/>
      </c>
      <c r="P1065" s="17" t="n"/>
    </row>
    <row r="1066">
      <c r="A1066" s="17" t="n"/>
      <c r="B1066" s="17" t="n"/>
      <c r="C1066" s="17" t="n"/>
      <c r="D1066" s="17" t="n"/>
      <c r="E1066" s="17" t="n"/>
      <c r="F1066" s="17" t="n"/>
      <c r="G1066" s="23" t="n"/>
      <c r="H1066" s="24">
        <f>IF($A1066="","",IFERROR(LOOKUP(2,1/((入库单!$G$4:$G$2503=$A1066)*(入库单!$Y$4:$Y$2503="正常")*(入库单!$L$4:$L$2503&gt;0)),入库单!$D$4:$D$2503),""))</f>
        <v/>
      </c>
      <c r="I1066" s="25">
        <f>IF($A1066="","",IFERROR(LOOKUP(2,1/((入库单!$G$4:$G$2503=$A1066)*(入库单!$Y$4:$Y$2503="正常")*(入库单!$L$4:$L$2503&gt;0)),入库单!$L$4:$L$2503),0))</f>
        <v/>
      </c>
      <c r="J1066" s="26">
        <f>IF($A1066="","",IF($H1066="A国内",ROUND($I1066*倍数A*汇率,0),IF($H1066="B当地",ROUND($I1066*系数B,0),0)))</f>
        <v/>
      </c>
      <c r="K1066" s="24">
        <f>IF($A1066="","",IF(COUNTIFS(入库单!$G$4:$G$2503,$A1066,入库单!$X$4:$X$2503,"待补价")&gt;0,"待补价",IF(COUNTIFS(入库单!$G$4:$G$2503,$A1066,入库单!$X$4:$X$2503,"暂估")&gt;0,"暂估",IF($I1066=0,"没有进价","正常"))))</f>
        <v/>
      </c>
      <c r="L1066" s="27">
        <f>IF($A1066="","",IFERROR(VLOOKUP($A1066,库存台账!$A$5:$Y$1204,24,0),0))</f>
        <v/>
      </c>
      <c r="M1066" s="26">
        <f>IF($A1066="","",IFERROR(VLOOKUP($A1066,库存台账!$A$5:$Y$1204,25,0),0))</f>
        <v/>
      </c>
      <c r="N1066" s="19">
        <f>IF($A1066="","",IFERROR(LOOKUP(2,1/((出库单!$D$4:$D$4003=$A1066)*(出库单!$T$4:$T$4003="正常")),出库单!$C$4:$C$4003),""))</f>
        <v/>
      </c>
      <c r="O1066" s="28">
        <f>IF($A1066="","",IF($L1066&lt;=0,"",IF($N1066="",IFERROR(账期止-LOOKUP(2,1/(入库单!$G$4:$G$2503=$A1066),入库单!$C$4:$C$2503),""),账期止-$N1066)))</f>
        <v/>
      </c>
      <c r="P1066" s="17" t="n"/>
    </row>
    <row r="1067">
      <c r="A1067" s="17" t="n"/>
      <c r="B1067" s="17" t="n"/>
      <c r="C1067" s="17" t="n"/>
      <c r="D1067" s="17" t="n"/>
      <c r="E1067" s="17" t="n"/>
      <c r="F1067" s="17" t="n"/>
      <c r="G1067" s="23" t="n"/>
      <c r="H1067" s="24">
        <f>IF($A1067="","",IFERROR(LOOKUP(2,1/((入库单!$G$4:$G$2503=$A1067)*(入库单!$Y$4:$Y$2503="正常")*(入库单!$L$4:$L$2503&gt;0)),入库单!$D$4:$D$2503),""))</f>
        <v/>
      </c>
      <c r="I1067" s="25">
        <f>IF($A1067="","",IFERROR(LOOKUP(2,1/((入库单!$G$4:$G$2503=$A1067)*(入库单!$Y$4:$Y$2503="正常")*(入库单!$L$4:$L$2503&gt;0)),入库单!$L$4:$L$2503),0))</f>
        <v/>
      </c>
      <c r="J1067" s="26">
        <f>IF($A1067="","",IF($H1067="A国内",ROUND($I1067*倍数A*汇率,0),IF($H1067="B当地",ROUND($I1067*系数B,0),0)))</f>
        <v/>
      </c>
      <c r="K1067" s="24">
        <f>IF($A1067="","",IF(COUNTIFS(入库单!$G$4:$G$2503,$A1067,入库单!$X$4:$X$2503,"待补价")&gt;0,"待补价",IF(COUNTIFS(入库单!$G$4:$G$2503,$A1067,入库单!$X$4:$X$2503,"暂估")&gt;0,"暂估",IF($I1067=0,"没有进价","正常"))))</f>
        <v/>
      </c>
      <c r="L1067" s="27">
        <f>IF($A1067="","",IFERROR(VLOOKUP($A1067,库存台账!$A$5:$Y$1204,24,0),0))</f>
        <v/>
      </c>
      <c r="M1067" s="26">
        <f>IF($A1067="","",IFERROR(VLOOKUP($A1067,库存台账!$A$5:$Y$1204,25,0),0))</f>
        <v/>
      </c>
      <c r="N1067" s="19">
        <f>IF($A1067="","",IFERROR(LOOKUP(2,1/((出库单!$D$4:$D$4003=$A1067)*(出库单!$T$4:$T$4003="正常")),出库单!$C$4:$C$4003),""))</f>
        <v/>
      </c>
      <c r="O1067" s="28">
        <f>IF($A1067="","",IF($L1067&lt;=0,"",IF($N1067="",IFERROR(账期止-LOOKUP(2,1/(入库单!$G$4:$G$2503=$A1067),入库单!$C$4:$C$2503),""),账期止-$N1067)))</f>
        <v/>
      </c>
      <c r="P1067" s="17" t="n"/>
    </row>
    <row r="1068">
      <c r="A1068" s="17" t="n"/>
      <c r="B1068" s="17" t="n"/>
      <c r="C1068" s="17" t="n"/>
      <c r="D1068" s="17" t="n"/>
      <c r="E1068" s="17" t="n"/>
      <c r="F1068" s="17" t="n"/>
      <c r="G1068" s="23" t="n"/>
      <c r="H1068" s="24">
        <f>IF($A1068="","",IFERROR(LOOKUP(2,1/((入库单!$G$4:$G$2503=$A1068)*(入库单!$Y$4:$Y$2503="正常")*(入库单!$L$4:$L$2503&gt;0)),入库单!$D$4:$D$2503),""))</f>
        <v/>
      </c>
      <c r="I1068" s="25">
        <f>IF($A1068="","",IFERROR(LOOKUP(2,1/((入库单!$G$4:$G$2503=$A1068)*(入库单!$Y$4:$Y$2503="正常")*(入库单!$L$4:$L$2503&gt;0)),入库单!$L$4:$L$2503),0))</f>
        <v/>
      </c>
      <c r="J1068" s="26">
        <f>IF($A1068="","",IF($H1068="A国内",ROUND($I1068*倍数A*汇率,0),IF($H1068="B当地",ROUND($I1068*系数B,0),0)))</f>
        <v/>
      </c>
      <c r="K1068" s="24">
        <f>IF($A1068="","",IF(COUNTIFS(入库单!$G$4:$G$2503,$A1068,入库单!$X$4:$X$2503,"待补价")&gt;0,"待补价",IF(COUNTIFS(入库单!$G$4:$G$2503,$A1068,入库单!$X$4:$X$2503,"暂估")&gt;0,"暂估",IF($I1068=0,"没有进价","正常"))))</f>
        <v/>
      </c>
      <c r="L1068" s="27">
        <f>IF($A1068="","",IFERROR(VLOOKUP($A1068,库存台账!$A$5:$Y$1204,24,0),0))</f>
        <v/>
      </c>
      <c r="M1068" s="26">
        <f>IF($A1068="","",IFERROR(VLOOKUP($A1068,库存台账!$A$5:$Y$1204,25,0),0))</f>
        <v/>
      </c>
      <c r="N1068" s="19">
        <f>IF($A1068="","",IFERROR(LOOKUP(2,1/((出库单!$D$4:$D$4003=$A1068)*(出库单!$T$4:$T$4003="正常")),出库单!$C$4:$C$4003),""))</f>
        <v/>
      </c>
      <c r="O1068" s="28">
        <f>IF($A1068="","",IF($L1068&lt;=0,"",IF($N1068="",IFERROR(账期止-LOOKUP(2,1/(入库单!$G$4:$G$2503=$A1068),入库单!$C$4:$C$2503),""),账期止-$N1068)))</f>
        <v/>
      </c>
      <c r="P1068" s="17" t="n"/>
    </row>
    <row r="1069">
      <c r="A1069" s="17" t="n"/>
      <c r="B1069" s="17" t="n"/>
      <c r="C1069" s="17" t="n"/>
      <c r="D1069" s="17" t="n"/>
      <c r="E1069" s="17" t="n"/>
      <c r="F1069" s="17" t="n"/>
      <c r="G1069" s="23" t="n"/>
      <c r="H1069" s="24">
        <f>IF($A1069="","",IFERROR(LOOKUP(2,1/((入库单!$G$4:$G$2503=$A1069)*(入库单!$Y$4:$Y$2503="正常")*(入库单!$L$4:$L$2503&gt;0)),入库单!$D$4:$D$2503),""))</f>
        <v/>
      </c>
      <c r="I1069" s="25">
        <f>IF($A1069="","",IFERROR(LOOKUP(2,1/((入库单!$G$4:$G$2503=$A1069)*(入库单!$Y$4:$Y$2503="正常")*(入库单!$L$4:$L$2503&gt;0)),入库单!$L$4:$L$2503),0))</f>
        <v/>
      </c>
      <c r="J1069" s="26">
        <f>IF($A1069="","",IF($H1069="A国内",ROUND($I1069*倍数A*汇率,0),IF($H1069="B当地",ROUND($I1069*系数B,0),0)))</f>
        <v/>
      </c>
      <c r="K1069" s="24">
        <f>IF($A1069="","",IF(COUNTIFS(入库单!$G$4:$G$2503,$A1069,入库单!$X$4:$X$2503,"待补价")&gt;0,"待补价",IF(COUNTIFS(入库单!$G$4:$G$2503,$A1069,入库单!$X$4:$X$2503,"暂估")&gt;0,"暂估",IF($I1069=0,"没有进价","正常"))))</f>
        <v/>
      </c>
      <c r="L1069" s="27">
        <f>IF($A1069="","",IFERROR(VLOOKUP($A1069,库存台账!$A$5:$Y$1204,24,0),0))</f>
        <v/>
      </c>
      <c r="M1069" s="26">
        <f>IF($A1069="","",IFERROR(VLOOKUP($A1069,库存台账!$A$5:$Y$1204,25,0),0))</f>
        <v/>
      </c>
      <c r="N1069" s="19">
        <f>IF($A1069="","",IFERROR(LOOKUP(2,1/((出库单!$D$4:$D$4003=$A1069)*(出库单!$T$4:$T$4003="正常")),出库单!$C$4:$C$4003),""))</f>
        <v/>
      </c>
      <c r="O1069" s="28">
        <f>IF($A1069="","",IF($L1069&lt;=0,"",IF($N1069="",IFERROR(账期止-LOOKUP(2,1/(入库单!$G$4:$G$2503=$A1069),入库单!$C$4:$C$2503),""),账期止-$N1069)))</f>
        <v/>
      </c>
      <c r="P1069" s="17" t="n"/>
    </row>
    <row r="1070">
      <c r="A1070" s="17" t="n"/>
      <c r="B1070" s="17" t="n"/>
      <c r="C1070" s="17" t="n"/>
      <c r="D1070" s="17" t="n"/>
      <c r="E1070" s="17" t="n"/>
      <c r="F1070" s="17" t="n"/>
      <c r="G1070" s="23" t="n"/>
      <c r="H1070" s="24">
        <f>IF($A1070="","",IFERROR(LOOKUP(2,1/((入库单!$G$4:$G$2503=$A1070)*(入库单!$Y$4:$Y$2503="正常")*(入库单!$L$4:$L$2503&gt;0)),入库单!$D$4:$D$2503),""))</f>
        <v/>
      </c>
      <c r="I1070" s="25">
        <f>IF($A1070="","",IFERROR(LOOKUP(2,1/((入库单!$G$4:$G$2503=$A1070)*(入库单!$Y$4:$Y$2503="正常")*(入库单!$L$4:$L$2503&gt;0)),入库单!$L$4:$L$2503),0))</f>
        <v/>
      </c>
      <c r="J1070" s="26">
        <f>IF($A1070="","",IF($H1070="A国内",ROUND($I1070*倍数A*汇率,0),IF($H1070="B当地",ROUND($I1070*系数B,0),0)))</f>
        <v/>
      </c>
      <c r="K1070" s="24">
        <f>IF($A1070="","",IF(COUNTIFS(入库单!$G$4:$G$2503,$A1070,入库单!$X$4:$X$2503,"待补价")&gt;0,"待补价",IF(COUNTIFS(入库单!$G$4:$G$2503,$A1070,入库单!$X$4:$X$2503,"暂估")&gt;0,"暂估",IF($I1070=0,"没有进价","正常"))))</f>
        <v/>
      </c>
      <c r="L1070" s="27">
        <f>IF($A1070="","",IFERROR(VLOOKUP($A1070,库存台账!$A$5:$Y$1204,24,0),0))</f>
        <v/>
      </c>
      <c r="M1070" s="26">
        <f>IF($A1070="","",IFERROR(VLOOKUP($A1070,库存台账!$A$5:$Y$1204,25,0),0))</f>
        <v/>
      </c>
      <c r="N1070" s="19">
        <f>IF($A1070="","",IFERROR(LOOKUP(2,1/((出库单!$D$4:$D$4003=$A1070)*(出库单!$T$4:$T$4003="正常")),出库单!$C$4:$C$4003),""))</f>
        <v/>
      </c>
      <c r="O1070" s="28">
        <f>IF($A1070="","",IF($L1070&lt;=0,"",IF($N1070="",IFERROR(账期止-LOOKUP(2,1/(入库单!$G$4:$G$2503=$A1070),入库单!$C$4:$C$2503),""),账期止-$N1070)))</f>
        <v/>
      </c>
      <c r="P1070" s="17" t="n"/>
    </row>
    <row r="1071">
      <c r="A1071" s="17" t="n"/>
      <c r="B1071" s="17" t="n"/>
      <c r="C1071" s="17" t="n"/>
      <c r="D1071" s="17" t="n"/>
      <c r="E1071" s="17" t="n"/>
      <c r="F1071" s="17" t="n"/>
      <c r="G1071" s="23" t="n"/>
      <c r="H1071" s="24">
        <f>IF($A1071="","",IFERROR(LOOKUP(2,1/((入库单!$G$4:$G$2503=$A1071)*(入库单!$Y$4:$Y$2503="正常")*(入库单!$L$4:$L$2503&gt;0)),入库单!$D$4:$D$2503),""))</f>
        <v/>
      </c>
      <c r="I1071" s="25">
        <f>IF($A1071="","",IFERROR(LOOKUP(2,1/((入库单!$G$4:$G$2503=$A1071)*(入库单!$Y$4:$Y$2503="正常")*(入库单!$L$4:$L$2503&gt;0)),入库单!$L$4:$L$2503),0))</f>
        <v/>
      </c>
      <c r="J1071" s="26">
        <f>IF($A1071="","",IF($H1071="A国内",ROUND($I1071*倍数A*汇率,0),IF($H1071="B当地",ROUND($I1071*系数B,0),0)))</f>
        <v/>
      </c>
      <c r="K1071" s="24">
        <f>IF($A1071="","",IF(COUNTIFS(入库单!$G$4:$G$2503,$A1071,入库单!$X$4:$X$2503,"待补价")&gt;0,"待补价",IF(COUNTIFS(入库单!$G$4:$G$2503,$A1071,入库单!$X$4:$X$2503,"暂估")&gt;0,"暂估",IF($I1071=0,"没有进价","正常"))))</f>
        <v/>
      </c>
      <c r="L1071" s="27">
        <f>IF($A1071="","",IFERROR(VLOOKUP($A1071,库存台账!$A$5:$Y$1204,24,0),0))</f>
        <v/>
      </c>
      <c r="M1071" s="26">
        <f>IF($A1071="","",IFERROR(VLOOKUP($A1071,库存台账!$A$5:$Y$1204,25,0),0))</f>
        <v/>
      </c>
      <c r="N1071" s="19">
        <f>IF($A1071="","",IFERROR(LOOKUP(2,1/((出库单!$D$4:$D$4003=$A1071)*(出库单!$T$4:$T$4003="正常")),出库单!$C$4:$C$4003),""))</f>
        <v/>
      </c>
      <c r="O1071" s="28">
        <f>IF($A1071="","",IF($L1071&lt;=0,"",IF($N1071="",IFERROR(账期止-LOOKUP(2,1/(入库单!$G$4:$G$2503=$A1071),入库单!$C$4:$C$2503),""),账期止-$N1071)))</f>
        <v/>
      </c>
      <c r="P1071" s="17" t="n"/>
    </row>
    <row r="1072">
      <c r="A1072" s="17" t="n"/>
      <c r="B1072" s="17" t="n"/>
      <c r="C1072" s="17" t="n"/>
      <c r="D1072" s="17" t="n"/>
      <c r="E1072" s="17" t="n"/>
      <c r="F1072" s="17" t="n"/>
      <c r="G1072" s="23" t="n"/>
      <c r="H1072" s="24">
        <f>IF($A1072="","",IFERROR(LOOKUP(2,1/((入库单!$G$4:$G$2503=$A1072)*(入库单!$Y$4:$Y$2503="正常")*(入库单!$L$4:$L$2503&gt;0)),入库单!$D$4:$D$2503),""))</f>
        <v/>
      </c>
      <c r="I1072" s="25">
        <f>IF($A1072="","",IFERROR(LOOKUP(2,1/((入库单!$G$4:$G$2503=$A1072)*(入库单!$Y$4:$Y$2503="正常")*(入库单!$L$4:$L$2503&gt;0)),入库单!$L$4:$L$2503),0))</f>
        <v/>
      </c>
      <c r="J1072" s="26">
        <f>IF($A1072="","",IF($H1072="A国内",ROUND($I1072*倍数A*汇率,0),IF($H1072="B当地",ROUND($I1072*系数B,0),0)))</f>
        <v/>
      </c>
      <c r="K1072" s="24">
        <f>IF($A1072="","",IF(COUNTIFS(入库单!$G$4:$G$2503,$A1072,入库单!$X$4:$X$2503,"待补价")&gt;0,"待补价",IF(COUNTIFS(入库单!$G$4:$G$2503,$A1072,入库单!$X$4:$X$2503,"暂估")&gt;0,"暂估",IF($I1072=0,"没有进价","正常"))))</f>
        <v/>
      </c>
      <c r="L1072" s="27">
        <f>IF($A1072="","",IFERROR(VLOOKUP($A1072,库存台账!$A$5:$Y$1204,24,0),0))</f>
        <v/>
      </c>
      <c r="M1072" s="26">
        <f>IF($A1072="","",IFERROR(VLOOKUP($A1072,库存台账!$A$5:$Y$1204,25,0),0))</f>
        <v/>
      </c>
      <c r="N1072" s="19">
        <f>IF($A1072="","",IFERROR(LOOKUP(2,1/((出库单!$D$4:$D$4003=$A1072)*(出库单!$T$4:$T$4003="正常")),出库单!$C$4:$C$4003),""))</f>
        <v/>
      </c>
      <c r="O1072" s="28">
        <f>IF($A1072="","",IF($L1072&lt;=0,"",IF($N1072="",IFERROR(账期止-LOOKUP(2,1/(入库单!$G$4:$G$2503=$A1072),入库单!$C$4:$C$2503),""),账期止-$N1072)))</f>
        <v/>
      </c>
      <c r="P1072" s="17" t="n"/>
    </row>
    <row r="1073">
      <c r="A1073" s="17" t="n"/>
      <c r="B1073" s="17" t="n"/>
      <c r="C1073" s="17" t="n"/>
      <c r="D1073" s="17" t="n"/>
      <c r="E1073" s="17" t="n"/>
      <c r="F1073" s="17" t="n"/>
      <c r="G1073" s="23" t="n"/>
      <c r="H1073" s="24">
        <f>IF($A1073="","",IFERROR(LOOKUP(2,1/((入库单!$G$4:$G$2503=$A1073)*(入库单!$Y$4:$Y$2503="正常")*(入库单!$L$4:$L$2503&gt;0)),入库单!$D$4:$D$2503),""))</f>
        <v/>
      </c>
      <c r="I1073" s="25">
        <f>IF($A1073="","",IFERROR(LOOKUP(2,1/((入库单!$G$4:$G$2503=$A1073)*(入库单!$Y$4:$Y$2503="正常")*(入库单!$L$4:$L$2503&gt;0)),入库单!$L$4:$L$2503),0))</f>
        <v/>
      </c>
      <c r="J1073" s="26">
        <f>IF($A1073="","",IF($H1073="A国内",ROUND($I1073*倍数A*汇率,0),IF($H1073="B当地",ROUND($I1073*系数B,0),0)))</f>
        <v/>
      </c>
      <c r="K1073" s="24">
        <f>IF($A1073="","",IF(COUNTIFS(入库单!$G$4:$G$2503,$A1073,入库单!$X$4:$X$2503,"待补价")&gt;0,"待补价",IF(COUNTIFS(入库单!$G$4:$G$2503,$A1073,入库单!$X$4:$X$2503,"暂估")&gt;0,"暂估",IF($I1073=0,"没有进价","正常"))))</f>
        <v/>
      </c>
      <c r="L1073" s="27">
        <f>IF($A1073="","",IFERROR(VLOOKUP($A1073,库存台账!$A$5:$Y$1204,24,0),0))</f>
        <v/>
      </c>
      <c r="M1073" s="26">
        <f>IF($A1073="","",IFERROR(VLOOKUP($A1073,库存台账!$A$5:$Y$1204,25,0),0))</f>
        <v/>
      </c>
      <c r="N1073" s="19">
        <f>IF($A1073="","",IFERROR(LOOKUP(2,1/((出库单!$D$4:$D$4003=$A1073)*(出库单!$T$4:$T$4003="正常")),出库单!$C$4:$C$4003),""))</f>
        <v/>
      </c>
      <c r="O1073" s="28">
        <f>IF($A1073="","",IF($L1073&lt;=0,"",IF($N1073="",IFERROR(账期止-LOOKUP(2,1/(入库单!$G$4:$G$2503=$A1073),入库单!$C$4:$C$2503),""),账期止-$N1073)))</f>
        <v/>
      </c>
      <c r="P1073" s="17" t="n"/>
    </row>
    <row r="1074">
      <c r="A1074" s="17" t="n"/>
      <c r="B1074" s="17" t="n"/>
      <c r="C1074" s="17" t="n"/>
      <c r="D1074" s="17" t="n"/>
      <c r="E1074" s="17" t="n"/>
      <c r="F1074" s="17" t="n"/>
      <c r="G1074" s="23" t="n"/>
      <c r="H1074" s="24">
        <f>IF($A1074="","",IFERROR(LOOKUP(2,1/((入库单!$G$4:$G$2503=$A1074)*(入库单!$Y$4:$Y$2503="正常")*(入库单!$L$4:$L$2503&gt;0)),入库单!$D$4:$D$2503),""))</f>
        <v/>
      </c>
      <c r="I1074" s="25">
        <f>IF($A1074="","",IFERROR(LOOKUP(2,1/((入库单!$G$4:$G$2503=$A1074)*(入库单!$Y$4:$Y$2503="正常")*(入库单!$L$4:$L$2503&gt;0)),入库单!$L$4:$L$2503),0))</f>
        <v/>
      </c>
      <c r="J1074" s="26">
        <f>IF($A1074="","",IF($H1074="A国内",ROUND($I1074*倍数A*汇率,0),IF($H1074="B当地",ROUND($I1074*系数B,0),0)))</f>
        <v/>
      </c>
      <c r="K1074" s="24">
        <f>IF($A1074="","",IF(COUNTIFS(入库单!$G$4:$G$2503,$A1074,入库单!$X$4:$X$2503,"待补价")&gt;0,"待补价",IF(COUNTIFS(入库单!$G$4:$G$2503,$A1074,入库单!$X$4:$X$2503,"暂估")&gt;0,"暂估",IF($I1074=0,"没有进价","正常"))))</f>
        <v/>
      </c>
      <c r="L1074" s="27">
        <f>IF($A1074="","",IFERROR(VLOOKUP($A1074,库存台账!$A$5:$Y$1204,24,0),0))</f>
        <v/>
      </c>
      <c r="M1074" s="26">
        <f>IF($A1074="","",IFERROR(VLOOKUP($A1074,库存台账!$A$5:$Y$1204,25,0),0))</f>
        <v/>
      </c>
      <c r="N1074" s="19">
        <f>IF($A1074="","",IFERROR(LOOKUP(2,1/((出库单!$D$4:$D$4003=$A1074)*(出库单!$T$4:$T$4003="正常")),出库单!$C$4:$C$4003),""))</f>
        <v/>
      </c>
      <c r="O1074" s="28">
        <f>IF($A1074="","",IF($L1074&lt;=0,"",IF($N1074="",IFERROR(账期止-LOOKUP(2,1/(入库单!$G$4:$G$2503=$A1074),入库单!$C$4:$C$2503),""),账期止-$N1074)))</f>
        <v/>
      </c>
      <c r="P1074" s="17" t="n"/>
    </row>
    <row r="1075">
      <c r="A1075" s="17" t="n"/>
      <c r="B1075" s="17" t="n"/>
      <c r="C1075" s="17" t="n"/>
      <c r="D1075" s="17" t="n"/>
      <c r="E1075" s="17" t="n"/>
      <c r="F1075" s="17" t="n"/>
      <c r="G1075" s="23" t="n"/>
      <c r="H1075" s="24">
        <f>IF($A1075="","",IFERROR(LOOKUP(2,1/((入库单!$G$4:$G$2503=$A1075)*(入库单!$Y$4:$Y$2503="正常")*(入库单!$L$4:$L$2503&gt;0)),入库单!$D$4:$D$2503),""))</f>
        <v/>
      </c>
      <c r="I1075" s="25">
        <f>IF($A1075="","",IFERROR(LOOKUP(2,1/((入库单!$G$4:$G$2503=$A1075)*(入库单!$Y$4:$Y$2503="正常")*(入库单!$L$4:$L$2503&gt;0)),入库单!$L$4:$L$2503),0))</f>
        <v/>
      </c>
      <c r="J1075" s="26">
        <f>IF($A1075="","",IF($H1075="A国内",ROUND($I1075*倍数A*汇率,0),IF($H1075="B当地",ROUND($I1075*系数B,0),0)))</f>
        <v/>
      </c>
      <c r="K1075" s="24">
        <f>IF($A1075="","",IF(COUNTIFS(入库单!$G$4:$G$2503,$A1075,入库单!$X$4:$X$2503,"待补价")&gt;0,"待补价",IF(COUNTIFS(入库单!$G$4:$G$2503,$A1075,入库单!$X$4:$X$2503,"暂估")&gt;0,"暂估",IF($I1075=0,"没有进价","正常"))))</f>
        <v/>
      </c>
      <c r="L1075" s="27">
        <f>IF($A1075="","",IFERROR(VLOOKUP($A1075,库存台账!$A$5:$Y$1204,24,0),0))</f>
        <v/>
      </c>
      <c r="M1075" s="26">
        <f>IF($A1075="","",IFERROR(VLOOKUP($A1075,库存台账!$A$5:$Y$1204,25,0),0))</f>
        <v/>
      </c>
      <c r="N1075" s="19">
        <f>IF($A1075="","",IFERROR(LOOKUP(2,1/((出库单!$D$4:$D$4003=$A1075)*(出库单!$T$4:$T$4003="正常")),出库单!$C$4:$C$4003),""))</f>
        <v/>
      </c>
      <c r="O1075" s="28">
        <f>IF($A1075="","",IF($L1075&lt;=0,"",IF($N1075="",IFERROR(账期止-LOOKUP(2,1/(入库单!$G$4:$G$2503=$A1075),入库单!$C$4:$C$2503),""),账期止-$N1075)))</f>
        <v/>
      </c>
      <c r="P1075" s="17" t="n"/>
    </row>
    <row r="1076">
      <c r="A1076" s="17" t="n"/>
      <c r="B1076" s="17" t="n"/>
      <c r="C1076" s="17" t="n"/>
      <c r="D1076" s="17" t="n"/>
      <c r="E1076" s="17" t="n"/>
      <c r="F1076" s="17" t="n"/>
      <c r="G1076" s="23" t="n"/>
      <c r="H1076" s="24">
        <f>IF($A1076="","",IFERROR(LOOKUP(2,1/((入库单!$G$4:$G$2503=$A1076)*(入库单!$Y$4:$Y$2503="正常")*(入库单!$L$4:$L$2503&gt;0)),入库单!$D$4:$D$2503),""))</f>
        <v/>
      </c>
      <c r="I1076" s="25">
        <f>IF($A1076="","",IFERROR(LOOKUP(2,1/((入库单!$G$4:$G$2503=$A1076)*(入库单!$Y$4:$Y$2503="正常")*(入库单!$L$4:$L$2503&gt;0)),入库单!$L$4:$L$2503),0))</f>
        <v/>
      </c>
      <c r="J1076" s="26">
        <f>IF($A1076="","",IF($H1076="A国内",ROUND($I1076*倍数A*汇率,0),IF($H1076="B当地",ROUND($I1076*系数B,0),0)))</f>
        <v/>
      </c>
      <c r="K1076" s="24">
        <f>IF($A1076="","",IF(COUNTIFS(入库单!$G$4:$G$2503,$A1076,入库单!$X$4:$X$2503,"待补价")&gt;0,"待补价",IF(COUNTIFS(入库单!$G$4:$G$2503,$A1076,入库单!$X$4:$X$2503,"暂估")&gt;0,"暂估",IF($I1076=0,"没有进价","正常"))))</f>
        <v/>
      </c>
      <c r="L1076" s="27">
        <f>IF($A1076="","",IFERROR(VLOOKUP($A1076,库存台账!$A$5:$Y$1204,24,0),0))</f>
        <v/>
      </c>
      <c r="M1076" s="26">
        <f>IF($A1076="","",IFERROR(VLOOKUP($A1076,库存台账!$A$5:$Y$1204,25,0),0))</f>
        <v/>
      </c>
      <c r="N1076" s="19">
        <f>IF($A1076="","",IFERROR(LOOKUP(2,1/((出库单!$D$4:$D$4003=$A1076)*(出库单!$T$4:$T$4003="正常")),出库单!$C$4:$C$4003),""))</f>
        <v/>
      </c>
      <c r="O1076" s="28">
        <f>IF($A1076="","",IF($L1076&lt;=0,"",IF($N1076="",IFERROR(账期止-LOOKUP(2,1/(入库单!$G$4:$G$2503=$A1076),入库单!$C$4:$C$2503),""),账期止-$N1076)))</f>
        <v/>
      </c>
      <c r="P1076" s="17" t="n"/>
    </row>
    <row r="1077">
      <c r="A1077" s="17" t="n"/>
      <c r="B1077" s="17" t="n"/>
      <c r="C1077" s="17" t="n"/>
      <c r="D1077" s="17" t="n"/>
      <c r="E1077" s="17" t="n"/>
      <c r="F1077" s="17" t="n"/>
      <c r="G1077" s="23" t="n"/>
      <c r="H1077" s="24">
        <f>IF($A1077="","",IFERROR(LOOKUP(2,1/((入库单!$G$4:$G$2503=$A1077)*(入库单!$Y$4:$Y$2503="正常")*(入库单!$L$4:$L$2503&gt;0)),入库单!$D$4:$D$2503),""))</f>
        <v/>
      </c>
      <c r="I1077" s="25">
        <f>IF($A1077="","",IFERROR(LOOKUP(2,1/((入库单!$G$4:$G$2503=$A1077)*(入库单!$Y$4:$Y$2503="正常")*(入库单!$L$4:$L$2503&gt;0)),入库单!$L$4:$L$2503),0))</f>
        <v/>
      </c>
      <c r="J1077" s="26">
        <f>IF($A1077="","",IF($H1077="A国内",ROUND($I1077*倍数A*汇率,0),IF($H1077="B当地",ROUND($I1077*系数B,0),0)))</f>
        <v/>
      </c>
      <c r="K1077" s="24">
        <f>IF($A1077="","",IF(COUNTIFS(入库单!$G$4:$G$2503,$A1077,入库单!$X$4:$X$2503,"待补价")&gt;0,"待补价",IF(COUNTIFS(入库单!$G$4:$G$2503,$A1077,入库单!$X$4:$X$2503,"暂估")&gt;0,"暂估",IF($I1077=0,"没有进价","正常"))))</f>
        <v/>
      </c>
      <c r="L1077" s="27">
        <f>IF($A1077="","",IFERROR(VLOOKUP($A1077,库存台账!$A$5:$Y$1204,24,0),0))</f>
        <v/>
      </c>
      <c r="M1077" s="26">
        <f>IF($A1077="","",IFERROR(VLOOKUP($A1077,库存台账!$A$5:$Y$1204,25,0),0))</f>
        <v/>
      </c>
      <c r="N1077" s="19">
        <f>IF($A1077="","",IFERROR(LOOKUP(2,1/((出库单!$D$4:$D$4003=$A1077)*(出库单!$T$4:$T$4003="正常")),出库单!$C$4:$C$4003),""))</f>
        <v/>
      </c>
      <c r="O1077" s="28">
        <f>IF($A1077="","",IF($L1077&lt;=0,"",IF($N1077="",IFERROR(账期止-LOOKUP(2,1/(入库单!$G$4:$G$2503=$A1077),入库单!$C$4:$C$2503),""),账期止-$N1077)))</f>
        <v/>
      </c>
      <c r="P1077" s="17" t="n"/>
    </row>
    <row r="1078">
      <c r="A1078" s="17" t="n"/>
      <c r="B1078" s="17" t="n"/>
      <c r="C1078" s="17" t="n"/>
      <c r="D1078" s="17" t="n"/>
      <c r="E1078" s="17" t="n"/>
      <c r="F1078" s="17" t="n"/>
      <c r="G1078" s="23" t="n"/>
      <c r="H1078" s="24">
        <f>IF($A1078="","",IFERROR(LOOKUP(2,1/((入库单!$G$4:$G$2503=$A1078)*(入库单!$Y$4:$Y$2503="正常")*(入库单!$L$4:$L$2503&gt;0)),入库单!$D$4:$D$2503),""))</f>
        <v/>
      </c>
      <c r="I1078" s="25">
        <f>IF($A1078="","",IFERROR(LOOKUP(2,1/((入库单!$G$4:$G$2503=$A1078)*(入库单!$Y$4:$Y$2503="正常")*(入库单!$L$4:$L$2503&gt;0)),入库单!$L$4:$L$2503),0))</f>
        <v/>
      </c>
      <c r="J1078" s="26">
        <f>IF($A1078="","",IF($H1078="A国内",ROUND($I1078*倍数A*汇率,0),IF($H1078="B当地",ROUND($I1078*系数B,0),0)))</f>
        <v/>
      </c>
      <c r="K1078" s="24">
        <f>IF($A1078="","",IF(COUNTIFS(入库单!$G$4:$G$2503,$A1078,入库单!$X$4:$X$2503,"待补价")&gt;0,"待补价",IF(COUNTIFS(入库单!$G$4:$G$2503,$A1078,入库单!$X$4:$X$2503,"暂估")&gt;0,"暂估",IF($I1078=0,"没有进价","正常"))))</f>
        <v/>
      </c>
      <c r="L1078" s="27">
        <f>IF($A1078="","",IFERROR(VLOOKUP($A1078,库存台账!$A$5:$Y$1204,24,0),0))</f>
        <v/>
      </c>
      <c r="M1078" s="26">
        <f>IF($A1078="","",IFERROR(VLOOKUP($A1078,库存台账!$A$5:$Y$1204,25,0),0))</f>
        <v/>
      </c>
      <c r="N1078" s="19">
        <f>IF($A1078="","",IFERROR(LOOKUP(2,1/((出库单!$D$4:$D$4003=$A1078)*(出库单!$T$4:$T$4003="正常")),出库单!$C$4:$C$4003),""))</f>
        <v/>
      </c>
      <c r="O1078" s="28">
        <f>IF($A1078="","",IF($L1078&lt;=0,"",IF($N1078="",IFERROR(账期止-LOOKUP(2,1/(入库单!$G$4:$G$2503=$A1078),入库单!$C$4:$C$2503),""),账期止-$N1078)))</f>
        <v/>
      </c>
      <c r="P1078" s="17" t="n"/>
    </row>
    <row r="1079">
      <c r="A1079" s="17" t="n"/>
      <c r="B1079" s="17" t="n"/>
      <c r="C1079" s="17" t="n"/>
      <c r="D1079" s="17" t="n"/>
      <c r="E1079" s="17" t="n"/>
      <c r="F1079" s="17" t="n"/>
      <c r="G1079" s="23" t="n"/>
      <c r="H1079" s="24">
        <f>IF($A1079="","",IFERROR(LOOKUP(2,1/((入库单!$G$4:$G$2503=$A1079)*(入库单!$Y$4:$Y$2503="正常")*(入库单!$L$4:$L$2503&gt;0)),入库单!$D$4:$D$2503),""))</f>
        <v/>
      </c>
      <c r="I1079" s="25">
        <f>IF($A1079="","",IFERROR(LOOKUP(2,1/((入库单!$G$4:$G$2503=$A1079)*(入库单!$Y$4:$Y$2503="正常")*(入库单!$L$4:$L$2503&gt;0)),入库单!$L$4:$L$2503),0))</f>
        <v/>
      </c>
      <c r="J1079" s="26">
        <f>IF($A1079="","",IF($H1079="A国内",ROUND($I1079*倍数A*汇率,0),IF($H1079="B当地",ROUND($I1079*系数B,0),0)))</f>
        <v/>
      </c>
      <c r="K1079" s="24">
        <f>IF($A1079="","",IF(COUNTIFS(入库单!$G$4:$G$2503,$A1079,入库单!$X$4:$X$2503,"待补价")&gt;0,"待补价",IF(COUNTIFS(入库单!$G$4:$G$2503,$A1079,入库单!$X$4:$X$2503,"暂估")&gt;0,"暂估",IF($I1079=0,"没有进价","正常"))))</f>
        <v/>
      </c>
      <c r="L1079" s="27">
        <f>IF($A1079="","",IFERROR(VLOOKUP($A1079,库存台账!$A$5:$Y$1204,24,0),0))</f>
        <v/>
      </c>
      <c r="M1079" s="26">
        <f>IF($A1079="","",IFERROR(VLOOKUP($A1079,库存台账!$A$5:$Y$1204,25,0),0))</f>
        <v/>
      </c>
      <c r="N1079" s="19">
        <f>IF($A1079="","",IFERROR(LOOKUP(2,1/((出库单!$D$4:$D$4003=$A1079)*(出库单!$T$4:$T$4003="正常")),出库单!$C$4:$C$4003),""))</f>
        <v/>
      </c>
      <c r="O1079" s="28">
        <f>IF($A1079="","",IF($L1079&lt;=0,"",IF($N1079="",IFERROR(账期止-LOOKUP(2,1/(入库单!$G$4:$G$2503=$A1079),入库单!$C$4:$C$2503),""),账期止-$N1079)))</f>
        <v/>
      </c>
      <c r="P1079" s="17" t="n"/>
    </row>
    <row r="1080">
      <c r="A1080" s="17" t="n"/>
      <c r="B1080" s="17" t="n"/>
      <c r="C1080" s="17" t="n"/>
      <c r="D1080" s="17" t="n"/>
      <c r="E1080" s="17" t="n"/>
      <c r="F1080" s="17" t="n"/>
      <c r="G1080" s="23" t="n"/>
      <c r="H1080" s="24">
        <f>IF($A1080="","",IFERROR(LOOKUP(2,1/((入库单!$G$4:$G$2503=$A1080)*(入库单!$Y$4:$Y$2503="正常")*(入库单!$L$4:$L$2503&gt;0)),入库单!$D$4:$D$2503),""))</f>
        <v/>
      </c>
      <c r="I1080" s="25">
        <f>IF($A1080="","",IFERROR(LOOKUP(2,1/((入库单!$G$4:$G$2503=$A1080)*(入库单!$Y$4:$Y$2503="正常")*(入库单!$L$4:$L$2503&gt;0)),入库单!$L$4:$L$2503),0))</f>
        <v/>
      </c>
      <c r="J1080" s="26">
        <f>IF($A1080="","",IF($H1080="A国内",ROUND($I1080*倍数A*汇率,0),IF($H1080="B当地",ROUND($I1080*系数B,0),0)))</f>
        <v/>
      </c>
      <c r="K1080" s="24">
        <f>IF($A1080="","",IF(COUNTIFS(入库单!$G$4:$G$2503,$A1080,入库单!$X$4:$X$2503,"待补价")&gt;0,"待补价",IF(COUNTIFS(入库单!$G$4:$G$2503,$A1080,入库单!$X$4:$X$2503,"暂估")&gt;0,"暂估",IF($I1080=0,"没有进价","正常"))))</f>
        <v/>
      </c>
      <c r="L1080" s="27">
        <f>IF($A1080="","",IFERROR(VLOOKUP($A1080,库存台账!$A$5:$Y$1204,24,0),0))</f>
        <v/>
      </c>
      <c r="M1080" s="26">
        <f>IF($A1080="","",IFERROR(VLOOKUP($A1080,库存台账!$A$5:$Y$1204,25,0),0))</f>
        <v/>
      </c>
      <c r="N1080" s="19">
        <f>IF($A1080="","",IFERROR(LOOKUP(2,1/((出库单!$D$4:$D$4003=$A1080)*(出库单!$T$4:$T$4003="正常")),出库单!$C$4:$C$4003),""))</f>
        <v/>
      </c>
      <c r="O1080" s="28">
        <f>IF($A1080="","",IF($L1080&lt;=0,"",IF($N1080="",IFERROR(账期止-LOOKUP(2,1/(入库单!$G$4:$G$2503=$A1080),入库单!$C$4:$C$2503),""),账期止-$N1080)))</f>
        <v/>
      </c>
      <c r="P1080" s="17" t="n"/>
    </row>
    <row r="1081">
      <c r="A1081" s="17" t="n"/>
      <c r="B1081" s="17" t="n"/>
      <c r="C1081" s="17" t="n"/>
      <c r="D1081" s="17" t="n"/>
      <c r="E1081" s="17" t="n"/>
      <c r="F1081" s="17" t="n"/>
      <c r="G1081" s="23" t="n"/>
      <c r="H1081" s="24">
        <f>IF($A1081="","",IFERROR(LOOKUP(2,1/((入库单!$G$4:$G$2503=$A1081)*(入库单!$Y$4:$Y$2503="正常")*(入库单!$L$4:$L$2503&gt;0)),入库单!$D$4:$D$2503),""))</f>
        <v/>
      </c>
      <c r="I1081" s="25">
        <f>IF($A1081="","",IFERROR(LOOKUP(2,1/((入库单!$G$4:$G$2503=$A1081)*(入库单!$Y$4:$Y$2503="正常")*(入库单!$L$4:$L$2503&gt;0)),入库单!$L$4:$L$2503),0))</f>
        <v/>
      </c>
      <c r="J1081" s="26">
        <f>IF($A1081="","",IF($H1081="A国内",ROUND($I1081*倍数A*汇率,0),IF($H1081="B当地",ROUND($I1081*系数B,0),0)))</f>
        <v/>
      </c>
      <c r="K1081" s="24">
        <f>IF($A1081="","",IF(COUNTIFS(入库单!$G$4:$G$2503,$A1081,入库单!$X$4:$X$2503,"待补价")&gt;0,"待补价",IF(COUNTIFS(入库单!$G$4:$G$2503,$A1081,入库单!$X$4:$X$2503,"暂估")&gt;0,"暂估",IF($I1081=0,"没有进价","正常"))))</f>
        <v/>
      </c>
      <c r="L1081" s="27">
        <f>IF($A1081="","",IFERROR(VLOOKUP($A1081,库存台账!$A$5:$Y$1204,24,0),0))</f>
        <v/>
      </c>
      <c r="M1081" s="26">
        <f>IF($A1081="","",IFERROR(VLOOKUP($A1081,库存台账!$A$5:$Y$1204,25,0),0))</f>
        <v/>
      </c>
      <c r="N1081" s="19">
        <f>IF($A1081="","",IFERROR(LOOKUP(2,1/((出库单!$D$4:$D$4003=$A1081)*(出库单!$T$4:$T$4003="正常")),出库单!$C$4:$C$4003),""))</f>
        <v/>
      </c>
      <c r="O1081" s="28">
        <f>IF($A1081="","",IF($L1081&lt;=0,"",IF($N1081="",IFERROR(账期止-LOOKUP(2,1/(入库单!$G$4:$G$2503=$A1081),入库单!$C$4:$C$2503),""),账期止-$N1081)))</f>
        <v/>
      </c>
      <c r="P1081" s="17" t="n"/>
    </row>
    <row r="1082">
      <c r="A1082" s="17" t="n"/>
      <c r="B1082" s="17" t="n"/>
      <c r="C1082" s="17" t="n"/>
      <c r="D1082" s="17" t="n"/>
      <c r="E1082" s="17" t="n"/>
      <c r="F1082" s="17" t="n"/>
      <c r="G1082" s="23" t="n"/>
      <c r="H1082" s="24">
        <f>IF($A1082="","",IFERROR(LOOKUP(2,1/((入库单!$G$4:$G$2503=$A1082)*(入库单!$Y$4:$Y$2503="正常")*(入库单!$L$4:$L$2503&gt;0)),入库单!$D$4:$D$2503),""))</f>
        <v/>
      </c>
      <c r="I1082" s="25">
        <f>IF($A1082="","",IFERROR(LOOKUP(2,1/((入库单!$G$4:$G$2503=$A1082)*(入库单!$Y$4:$Y$2503="正常")*(入库单!$L$4:$L$2503&gt;0)),入库单!$L$4:$L$2503),0))</f>
        <v/>
      </c>
      <c r="J1082" s="26">
        <f>IF($A1082="","",IF($H1082="A国内",ROUND($I1082*倍数A*汇率,0),IF($H1082="B当地",ROUND($I1082*系数B,0),0)))</f>
        <v/>
      </c>
      <c r="K1082" s="24">
        <f>IF($A1082="","",IF(COUNTIFS(入库单!$G$4:$G$2503,$A1082,入库单!$X$4:$X$2503,"待补价")&gt;0,"待补价",IF(COUNTIFS(入库单!$G$4:$G$2503,$A1082,入库单!$X$4:$X$2503,"暂估")&gt;0,"暂估",IF($I1082=0,"没有进价","正常"))))</f>
        <v/>
      </c>
      <c r="L1082" s="27">
        <f>IF($A1082="","",IFERROR(VLOOKUP($A1082,库存台账!$A$5:$Y$1204,24,0),0))</f>
        <v/>
      </c>
      <c r="M1082" s="26">
        <f>IF($A1082="","",IFERROR(VLOOKUP($A1082,库存台账!$A$5:$Y$1204,25,0),0))</f>
        <v/>
      </c>
      <c r="N1082" s="19">
        <f>IF($A1082="","",IFERROR(LOOKUP(2,1/((出库单!$D$4:$D$4003=$A1082)*(出库单!$T$4:$T$4003="正常")),出库单!$C$4:$C$4003),""))</f>
        <v/>
      </c>
      <c r="O1082" s="28">
        <f>IF($A1082="","",IF($L1082&lt;=0,"",IF($N1082="",IFERROR(账期止-LOOKUP(2,1/(入库单!$G$4:$G$2503=$A1082),入库单!$C$4:$C$2503),""),账期止-$N1082)))</f>
        <v/>
      </c>
      <c r="P1082" s="17" t="n"/>
    </row>
    <row r="1083">
      <c r="A1083" s="17" t="n"/>
      <c r="B1083" s="17" t="n"/>
      <c r="C1083" s="17" t="n"/>
      <c r="D1083" s="17" t="n"/>
      <c r="E1083" s="17" t="n"/>
      <c r="F1083" s="17" t="n"/>
      <c r="G1083" s="23" t="n"/>
      <c r="H1083" s="24">
        <f>IF($A1083="","",IFERROR(LOOKUP(2,1/((入库单!$G$4:$G$2503=$A1083)*(入库单!$Y$4:$Y$2503="正常")*(入库单!$L$4:$L$2503&gt;0)),入库单!$D$4:$D$2503),""))</f>
        <v/>
      </c>
      <c r="I1083" s="25">
        <f>IF($A1083="","",IFERROR(LOOKUP(2,1/((入库单!$G$4:$G$2503=$A1083)*(入库单!$Y$4:$Y$2503="正常")*(入库单!$L$4:$L$2503&gt;0)),入库单!$L$4:$L$2503),0))</f>
        <v/>
      </c>
      <c r="J1083" s="26">
        <f>IF($A1083="","",IF($H1083="A国内",ROUND($I1083*倍数A*汇率,0),IF($H1083="B当地",ROUND($I1083*系数B,0),0)))</f>
        <v/>
      </c>
      <c r="K1083" s="24">
        <f>IF($A1083="","",IF(COUNTIFS(入库单!$G$4:$G$2503,$A1083,入库单!$X$4:$X$2503,"待补价")&gt;0,"待补价",IF(COUNTIFS(入库单!$G$4:$G$2503,$A1083,入库单!$X$4:$X$2503,"暂估")&gt;0,"暂估",IF($I1083=0,"没有进价","正常"))))</f>
        <v/>
      </c>
      <c r="L1083" s="27">
        <f>IF($A1083="","",IFERROR(VLOOKUP($A1083,库存台账!$A$5:$Y$1204,24,0),0))</f>
        <v/>
      </c>
      <c r="M1083" s="26">
        <f>IF($A1083="","",IFERROR(VLOOKUP($A1083,库存台账!$A$5:$Y$1204,25,0),0))</f>
        <v/>
      </c>
      <c r="N1083" s="19">
        <f>IF($A1083="","",IFERROR(LOOKUP(2,1/((出库单!$D$4:$D$4003=$A1083)*(出库单!$T$4:$T$4003="正常")),出库单!$C$4:$C$4003),""))</f>
        <v/>
      </c>
      <c r="O1083" s="28">
        <f>IF($A1083="","",IF($L1083&lt;=0,"",IF($N1083="",IFERROR(账期止-LOOKUP(2,1/(入库单!$G$4:$G$2503=$A1083),入库单!$C$4:$C$2503),""),账期止-$N1083)))</f>
        <v/>
      </c>
      <c r="P1083" s="17" t="n"/>
    </row>
    <row r="1084">
      <c r="A1084" s="17" t="n"/>
      <c r="B1084" s="17" t="n"/>
      <c r="C1084" s="17" t="n"/>
      <c r="D1084" s="17" t="n"/>
      <c r="E1084" s="17" t="n"/>
      <c r="F1084" s="17" t="n"/>
      <c r="G1084" s="23" t="n"/>
      <c r="H1084" s="24">
        <f>IF($A1084="","",IFERROR(LOOKUP(2,1/((入库单!$G$4:$G$2503=$A1084)*(入库单!$Y$4:$Y$2503="正常")*(入库单!$L$4:$L$2503&gt;0)),入库单!$D$4:$D$2503),""))</f>
        <v/>
      </c>
      <c r="I1084" s="25">
        <f>IF($A1084="","",IFERROR(LOOKUP(2,1/((入库单!$G$4:$G$2503=$A1084)*(入库单!$Y$4:$Y$2503="正常")*(入库单!$L$4:$L$2503&gt;0)),入库单!$L$4:$L$2503),0))</f>
        <v/>
      </c>
      <c r="J1084" s="26">
        <f>IF($A1084="","",IF($H1084="A国内",ROUND($I1084*倍数A*汇率,0),IF($H1084="B当地",ROUND($I1084*系数B,0),0)))</f>
        <v/>
      </c>
      <c r="K1084" s="24">
        <f>IF($A1084="","",IF(COUNTIFS(入库单!$G$4:$G$2503,$A1084,入库单!$X$4:$X$2503,"待补价")&gt;0,"待补价",IF(COUNTIFS(入库单!$G$4:$G$2503,$A1084,入库单!$X$4:$X$2503,"暂估")&gt;0,"暂估",IF($I1084=0,"没有进价","正常"))))</f>
        <v/>
      </c>
      <c r="L1084" s="27">
        <f>IF($A1084="","",IFERROR(VLOOKUP($A1084,库存台账!$A$5:$Y$1204,24,0),0))</f>
        <v/>
      </c>
      <c r="M1084" s="26">
        <f>IF($A1084="","",IFERROR(VLOOKUP($A1084,库存台账!$A$5:$Y$1204,25,0),0))</f>
        <v/>
      </c>
      <c r="N1084" s="19">
        <f>IF($A1084="","",IFERROR(LOOKUP(2,1/((出库单!$D$4:$D$4003=$A1084)*(出库单!$T$4:$T$4003="正常")),出库单!$C$4:$C$4003),""))</f>
        <v/>
      </c>
      <c r="O1084" s="28">
        <f>IF($A1084="","",IF($L1084&lt;=0,"",IF($N1084="",IFERROR(账期止-LOOKUP(2,1/(入库单!$G$4:$G$2503=$A1084),入库单!$C$4:$C$2503),""),账期止-$N1084)))</f>
        <v/>
      </c>
      <c r="P1084" s="17" t="n"/>
    </row>
    <row r="1085">
      <c r="A1085" s="17" t="n"/>
      <c r="B1085" s="17" t="n"/>
      <c r="C1085" s="17" t="n"/>
      <c r="D1085" s="17" t="n"/>
      <c r="E1085" s="17" t="n"/>
      <c r="F1085" s="17" t="n"/>
      <c r="G1085" s="23" t="n"/>
      <c r="H1085" s="24">
        <f>IF($A1085="","",IFERROR(LOOKUP(2,1/((入库单!$G$4:$G$2503=$A1085)*(入库单!$Y$4:$Y$2503="正常")*(入库单!$L$4:$L$2503&gt;0)),入库单!$D$4:$D$2503),""))</f>
        <v/>
      </c>
      <c r="I1085" s="25">
        <f>IF($A1085="","",IFERROR(LOOKUP(2,1/((入库单!$G$4:$G$2503=$A1085)*(入库单!$Y$4:$Y$2503="正常")*(入库单!$L$4:$L$2503&gt;0)),入库单!$L$4:$L$2503),0))</f>
        <v/>
      </c>
      <c r="J1085" s="26">
        <f>IF($A1085="","",IF($H1085="A国内",ROUND($I1085*倍数A*汇率,0),IF($H1085="B当地",ROUND($I1085*系数B,0),0)))</f>
        <v/>
      </c>
      <c r="K1085" s="24">
        <f>IF($A1085="","",IF(COUNTIFS(入库单!$G$4:$G$2503,$A1085,入库单!$X$4:$X$2503,"待补价")&gt;0,"待补价",IF(COUNTIFS(入库单!$G$4:$G$2503,$A1085,入库单!$X$4:$X$2503,"暂估")&gt;0,"暂估",IF($I1085=0,"没有进价","正常"))))</f>
        <v/>
      </c>
      <c r="L1085" s="27">
        <f>IF($A1085="","",IFERROR(VLOOKUP($A1085,库存台账!$A$5:$Y$1204,24,0),0))</f>
        <v/>
      </c>
      <c r="M1085" s="26">
        <f>IF($A1085="","",IFERROR(VLOOKUP($A1085,库存台账!$A$5:$Y$1204,25,0),0))</f>
        <v/>
      </c>
      <c r="N1085" s="19">
        <f>IF($A1085="","",IFERROR(LOOKUP(2,1/((出库单!$D$4:$D$4003=$A1085)*(出库单!$T$4:$T$4003="正常")),出库单!$C$4:$C$4003),""))</f>
        <v/>
      </c>
      <c r="O1085" s="28">
        <f>IF($A1085="","",IF($L1085&lt;=0,"",IF($N1085="",IFERROR(账期止-LOOKUP(2,1/(入库单!$G$4:$G$2503=$A1085),入库单!$C$4:$C$2503),""),账期止-$N1085)))</f>
        <v/>
      </c>
      <c r="P1085" s="17" t="n"/>
    </row>
    <row r="1086">
      <c r="A1086" s="17" t="n"/>
      <c r="B1086" s="17" t="n"/>
      <c r="C1086" s="17" t="n"/>
      <c r="D1086" s="17" t="n"/>
      <c r="E1086" s="17" t="n"/>
      <c r="F1086" s="17" t="n"/>
      <c r="G1086" s="23" t="n"/>
      <c r="H1086" s="24">
        <f>IF($A1086="","",IFERROR(LOOKUP(2,1/((入库单!$G$4:$G$2503=$A1086)*(入库单!$Y$4:$Y$2503="正常")*(入库单!$L$4:$L$2503&gt;0)),入库单!$D$4:$D$2503),""))</f>
        <v/>
      </c>
      <c r="I1086" s="25">
        <f>IF($A1086="","",IFERROR(LOOKUP(2,1/((入库单!$G$4:$G$2503=$A1086)*(入库单!$Y$4:$Y$2503="正常")*(入库单!$L$4:$L$2503&gt;0)),入库单!$L$4:$L$2503),0))</f>
        <v/>
      </c>
      <c r="J1086" s="26">
        <f>IF($A1086="","",IF($H1086="A国内",ROUND($I1086*倍数A*汇率,0),IF($H1086="B当地",ROUND($I1086*系数B,0),0)))</f>
        <v/>
      </c>
      <c r="K1086" s="24">
        <f>IF($A1086="","",IF(COUNTIFS(入库单!$G$4:$G$2503,$A1086,入库单!$X$4:$X$2503,"待补价")&gt;0,"待补价",IF(COUNTIFS(入库单!$G$4:$G$2503,$A1086,入库单!$X$4:$X$2503,"暂估")&gt;0,"暂估",IF($I1086=0,"没有进价","正常"))))</f>
        <v/>
      </c>
      <c r="L1086" s="27">
        <f>IF($A1086="","",IFERROR(VLOOKUP($A1086,库存台账!$A$5:$Y$1204,24,0),0))</f>
        <v/>
      </c>
      <c r="M1086" s="26">
        <f>IF($A1086="","",IFERROR(VLOOKUP($A1086,库存台账!$A$5:$Y$1204,25,0),0))</f>
        <v/>
      </c>
      <c r="N1086" s="19">
        <f>IF($A1086="","",IFERROR(LOOKUP(2,1/((出库单!$D$4:$D$4003=$A1086)*(出库单!$T$4:$T$4003="正常")),出库单!$C$4:$C$4003),""))</f>
        <v/>
      </c>
      <c r="O1086" s="28">
        <f>IF($A1086="","",IF($L1086&lt;=0,"",IF($N1086="",IFERROR(账期止-LOOKUP(2,1/(入库单!$G$4:$G$2503=$A1086),入库单!$C$4:$C$2503),""),账期止-$N1086)))</f>
        <v/>
      </c>
      <c r="P1086" s="17" t="n"/>
    </row>
    <row r="1087">
      <c r="A1087" s="17" t="n"/>
      <c r="B1087" s="17" t="n"/>
      <c r="C1087" s="17" t="n"/>
      <c r="D1087" s="17" t="n"/>
      <c r="E1087" s="17" t="n"/>
      <c r="F1087" s="17" t="n"/>
      <c r="G1087" s="23" t="n"/>
      <c r="H1087" s="24">
        <f>IF($A1087="","",IFERROR(LOOKUP(2,1/((入库单!$G$4:$G$2503=$A1087)*(入库单!$Y$4:$Y$2503="正常")*(入库单!$L$4:$L$2503&gt;0)),入库单!$D$4:$D$2503),""))</f>
        <v/>
      </c>
      <c r="I1087" s="25">
        <f>IF($A1087="","",IFERROR(LOOKUP(2,1/((入库单!$G$4:$G$2503=$A1087)*(入库单!$Y$4:$Y$2503="正常")*(入库单!$L$4:$L$2503&gt;0)),入库单!$L$4:$L$2503),0))</f>
        <v/>
      </c>
      <c r="J1087" s="26">
        <f>IF($A1087="","",IF($H1087="A国内",ROUND($I1087*倍数A*汇率,0),IF($H1087="B当地",ROUND($I1087*系数B,0),0)))</f>
        <v/>
      </c>
      <c r="K1087" s="24">
        <f>IF($A1087="","",IF(COUNTIFS(入库单!$G$4:$G$2503,$A1087,入库单!$X$4:$X$2503,"待补价")&gt;0,"待补价",IF(COUNTIFS(入库单!$G$4:$G$2503,$A1087,入库单!$X$4:$X$2503,"暂估")&gt;0,"暂估",IF($I1087=0,"没有进价","正常"))))</f>
        <v/>
      </c>
      <c r="L1087" s="27">
        <f>IF($A1087="","",IFERROR(VLOOKUP($A1087,库存台账!$A$5:$Y$1204,24,0),0))</f>
        <v/>
      </c>
      <c r="M1087" s="26">
        <f>IF($A1087="","",IFERROR(VLOOKUP($A1087,库存台账!$A$5:$Y$1204,25,0),0))</f>
        <v/>
      </c>
      <c r="N1087" s="19">
        <f>IF($A1087="","",IFERROR(LOOKUP(2,1/((出库单!$D$4:$D$4003=$A1087)*(出库单!$T$4:$T$4003="正常")),出库单!$C$4:$C$4003),""))</f>
        <v/>
      </c>
      <c r="O1087" s="28">
        <f>IF($A1087="","",IF($L1087&lt;=0,"",IF($N1087="",IFERROR(账期止-LOOKUP(2,1/(入库单!$G$4:$G$2503=$A1087),入库单!$C$4:$C$2503),""),账期止-$N1087)))</f>
        <v/>
      </c>
      <c r="P1087" s="17" t="n"/>
    </row>
    <row r="1088">
      <c r="A1088" s="17" t="n"/>
      <c r="B1088" s="17" t="n"/>
      <c r="C1088" s="17" t="n"/>
      <c r="D1088" s="17" t="n"/>
      <c r="E1088" s="17" t="n"/>
      <c r="F1088" s="17" t="n"/>
      <c r="G1088" s="23" t="n"/>
      <c r="H1088" s="24">
        <f>IF($A1088="","",IFERROR(LOOKUP(2,1/((入库单!$G$4:$G$2503=$A1088)*(入库单!$Y$4:$Y$2503="正常")*(入库单!$L$4:$L$2503&gt;0)),入库单!$D$4:$D$2503),""))</f>
        <v/>
      </c>
      <c r="I1088" s="25">
        <f>IF($A1088="","",IFERROR(LOOKUP(2,1/((入库单!$G$4:$G$2503=$A1088)*(入库单!$Y$4:$Y$2503="正常")*(入库单!$L$4:$L$2503&gt;0)),入库单!$L$4:$L$2503),0))</f>
        <v/>
      </c>
      <c r="J1088" s="26">
        <f>IF($A1088="","",IF($H1088="A国内",ROUND($I1088*倍数A*汇率,0),IF($H1088="B当地",ROUND($I1088*系数B,0),0)))</f>
        <v/>
      </c>
      <c r="K1088" s="24">
        <f>IF($A1088="","",IF(COUNTIFS(入库单!$G$4:$G$2503,$A1088,入库单!$X$4:$X$2503,"待补价")&gt;0,"待补价",IF(COUNTIFS(入库单!$G$4:$G$2503,$A1088,入库单!$X$4:$X$2503,"暂估")&gt;0,"暂估",IF($I1088=0,"没有进价","正常"))))</f>
        <v/>
      </c>
      <c r="L1088" s="27">
        <f>IF($A1088="","",IFERROR(VLOOKUP($A1088,库存台账!$A$5:$Y$1204,24,0),0))</f>
        <v/>
      </c>
      <c r="M1088" s="26">
        <f>IF($A1088="","",IFERROR(VLOOKUP($A1088,库存台账!$A$5:$Y$1204,25,0),0))</f>
        <v/>
      </c>
      <c r="N1088" s="19">
        <f>IF($A1088="","",IFERROR(LOOKUP(2,1/((出库单!$D$4:$D$4003=$A1088)*(出库单!$T$4:$T$4003="正常")),出库单!$C$4:$C$4003),""))</f>
        <v/>
      </c>
      <c r="O1088" s="28">
        <f>IF($A1088="","",IF($L1088&lt;=0,"",IF($N1088="",IFERROR(账期止-LOOKUP(2,1/(入库单!$G$4:$G$2503=$A1088),入库单!$C$4:$C$2503),""),账期止-$N1088)))</f>
        <v/>
      </c>
      <c r="P1088" s="17" t="n"/>
    </row>
    <row r="1089">
      <c r="A1089" s="17" t="n"/>
      <c r="B1089" s="17" t="n"/>
      <c r="C1089" s="17" t="n"/>
      <c r="D1089" s="17" t="n"/>
      <c r="E1089" s="17" t="n"/>
      <c r="F1089" s="17" t="n"/>
      <c r="G1089" s="23" t="n"/>
      <c r="H1089" s="24">
        <f>IF($A1089="","",IFERROR(LOOKUP(2,1/((入库单!$G$4:$G$2503=$A1089)*(入库单!$Y$4:$Y$2503="正常")*(入库单!$L$4:$L$2503&gt;0)),入库单!$D$4:$D$2503),""))</f>
        <v/>
      </c>
      <c r="I1089" s="25">
        <f>IF($A1089="","",IFERROR(LOOKUP(2,1/((入库单!$G$4:$G$2503=$A1089)*(入库单!$Y$4:$Y$2503="正常")*(入库单!$L$4:$L$2503&gt;0)),入库单!$L$4:$L$2503),0))</f>
        <v/>
      </c>
      <c r="J1089" s="26">
        <f>IF($A1089="","",IF($H1089="A国内",ROUND($I1089*倍数A*汇率,0),IF($H1089="B当地",ROUND($I1089*系数B,0),0)))</f>
        <v/>
      </c>
      <c r="K1089" s="24">
        <f>IF($A1089="","",IF(COUNTIFS(入库单!$G$4:$G$2503,$A1089,入库单!$X$4:$X$2503,"待补价")&gt;0,"待补价",IF(COUNTIFS(入库单!$G$4:$G$2503,$A1089,入库单!$X$4:$X$2503,"暂估")&gt;0,"暂估",IF($I1089=0,"没有进价","正常"))))</f>
        <v/>
      </c>
      <c r="L1089" s="27">
        <f>IF($A1089="","",IFERROR(VLOOKUP($A1089,库存台账!$A$5:$Y$1204,24,0),0))</f>
        <v/>
      </c>
      <c r="M1089" s="26">
        <f>IF($A1089="","",IFERROR(VLOOKUP($A1089,库存台账!$A$5:$Y$1204,25,0),0))</f>
        <v/>
      </c>
      <c r="N1089" s="19">
        <f>IF($A1089="","",IFERROR(LOOKUP(2,1/((出库单!$D$4:$D$4003=$A1089)*(出库单!$T$4:$T$4003="正常")),出库单!$C$4:$C$4003),""))</f>
        <v/>
      </c>
      <c r="O1089" s="28">
        <f>IF($A1089="","",IF($L1089&lt;=0,"",IF($N1089="",IFERROR(账期止-LOOKUP(2,1/(入库单!$G$4:$G$2503=$A1089),入库单!$C$4:$C$2503),""),账期止-$N1089)))</f>
        <v/>
      </c>
      <c r="P1089" s="17" t="n"/>
    </row>
    <row r="1090">
      <c r="A1090" s="17" t="n"/>
      <c r="B1090" s="17" t="n"/>
      <c r="C1090" s="17" t="n"/>
      <c r="D1090" s="17" t="n"/>
      <c r="E1090" s="17" t="n"/>
      <c r="F1090" s="17" t="n"/>
      <c r="G1090" s="23" t="n"/>
      <c r="H1090" s="24">
        <f>IF($A1090="","",IFERROR(LOOKUP(2,1/((入库单!$G$4:$G$2503=$A1090)*(入库单!$Y$4:$Y$2503="正常")*(入库单!$L$4:$L$2503&gt;0)),入库单!$D$4:$D$2503),""))</f>
        <v/>
      </c>
      <c r="I1090" s="25">
        <f>IF($A1090="","",IFERROR(LOOKUP(2,1/((入库单!$G$4:$G$2503=$A1090)*(入库单!$Y$4:$Y$2503="正常")*(入库单!$L$4:$L$2503&gt;0)),入库单!$L$4:$L$2503),0))</f>
        <v/>
      </c>
      <c r="J1090" s="26">
        <f>IF($A1090="","",IF($H1090="A国内",ROUND($I1090*倍数A*汇率,0),IF($H1090="B当地",ROUND($I1090*系数B,0),0)))</f>
        <v/>
      </c>
      <c r="K1090" s="24">
        <f>IF($A1090="","",IF(COUNTIFS(入库单!$G$4:$G$2503,$A1090,入库单!$X$4:$X$2503,"待补价")&gt;0,"待补价",IF(COUNTIFS(入库单!$G$4:$G$2503,$A1090,入库单!$X$4:$X$2503,"暂估")&gt;0,"暂估",IF($I1090=0,"没有进价","正常"))))</f>
        <v/>
      </c>
      <c r="L1090" s="27">
        <f>IF($A1090="","",IFERROR(VLOOKUP($A1090,库存台账!$A$5:$Y$1204,24,0),0))</f>
        <v/>
      </c>
      <c r="M1090" s="26">
        <f>IF($A1090="","",IFERROR(VLOOKUP($A1090,库存台账!$A$5:$Y$1204,25,0),0))</f>
        <v/>
      </c>
      <c r="N1090" s="19">
        <f>IF($A1090="","",IFERROR(LOOKUP(2,1/((出库单!$D$4:$D$4003=$A1090)*(出库单!$T$4:$T$4003="正常")),出库单!$C$4:$C$4003),""))</f>
        <v/>
      </c>
      <c r="O1090" s="28">
        <f>IF($A1090="","",IF($L1090&lt;=0,"",IF($N1090="",IFERROR(账期止-LOOKUP(2,1/(入库单!$G$4:$G$2503=$A1090),入库单!$C$4:$C$2503),""),账期止-$N1090)))</f>
        <v/>
      </c>
      <c r="P1090" s="17" t="n"/>
    </row>
    <row r="1091">
      <c r="A1091" s="17" t="n"/>
      <c r="B1091" s="17" t="n"/>
      <c r="C1091" s="17" t="n"/>
      <c r="D1091" s="17" t="n"/>
      <c r="E1091" s="17" t="n"/>
      <c r="F1091" s="17" t="n"/>
      <c r="G1091" s="23" t="n"/>
      <c r="H1091" s="24">
        <f>IF($A1091="","",IFERROR(LOOKUP(2,1/((入库单!$G$4:$G$2503=$A1091)*(入库单!$Y$4:$Y$2503="正常")*(入库单!$L$4:$L$2503&gt;0)),入库单!$D$4:$D$2503),""))</f>
        <v/>
      </c>
      <c r="I1091" s="25">
        <f>IF($A1091="","",IFERROR(LOOKUP(2,1/((入库单!$G$4:$G$2503=$A1091)*(入库单!$Y$4:$Y$2503="正常")*(入库单!$L$4:$L$2503&gt;0)),入库单!$L$4:$L$2503),0))</f>
        <v/>
      </c>
      <c r="J1091" s="26">
        <f>IF($A1091="","",IF($H1091="A国内",ROUND($I1091*倍数A*汇率,0),IF($H1091="B当地",ROUND($I1091*系数B,0),0)))</f>
        <v/>
      </c>
      <c r="K1091" s="24">
        <f>IF($A1091="","",IF(COUNTIFS(入库单!$G$4:$G$2503,$A1091,入库单!$X$4:$X$2503,"待补价")&gt;0,"待补价",IF(COUNTIFS(入库单!$G$4:$G$2503,$A1091,入库单!$X$4:$X$2503,"暂估")&gt;0,"暂估",IF($I1091=0,"没有进价","正常"))))</f>
        <v/>
      </c>
      <c r="L1091" s="27">
        <f>IF($A1091="","",IFERROR(VLOOKUP($A1091,库存台账!$A$5:$Y$1204,24,0),0))</f>
        <v/>
      </c>
      <c r="M1091" s="26">
        <f>IF($A1091="","",IFERROR(VLOOKUP($A1091,库存台账!$A$5:$Y$1204,25,0),0))</f>
        <v/>
      </c>
      <c r="N1091" s="19">
        <f>IF($A1091="","",IFERROR(LOOKUP(2,1/((出库单!$D$4:$D$4003=$A1091)*(出库单!$T$4:$T$4003="正常")),出库单!$C$4:$C$4003),""))</f>
        <v/>
      </c>
      <c r="O1091" s="28">
        <f>IF($A1091="","",IF($L1091&lt;=0,"",IF($N1091="",IFERROR(账期止-LOOKUP(2,1/(入库单!$G$4:$G$2503=$A1091),入库单!$C$4:$C$2503),""),账期止-$N1091)))</f>
        <v/>
      </c>
      <c r="P1091" s="17" t="n"/>
    </row>
    <row r="1092">
      <c r="A1092" s="17" t="n"/>
      <c r="B1092" s="17" t="n"/>
      <c r="C1092" s="17" t="n"/>
      <c r="D1092" s="17" t="n"/>
      <c r="E1092" s="17" t="n"/>
      <c r="F1092" s="17" t="n"/>
      <c r="G1092" s="23" t="n"/>
      <c r="H1092" s="24">
        <f>IF($A1092="","",IFERROR(LOOKUP(2,1/((入库单!$G$4:$G$2503=$A1092)*(入库单!$Y$4:$Y$2503="正常")*(入库单!$L$4:$L$2503&gt;0)),入库单!$D$4:$D$2503),""))</f>
        <v/>
      </c>
      <c r="I1092" s="25">
        <f>IF($A1092="","",IFERROR(LOOKUP(2,1/((入库单!$G$4:$G$2503=$A1092)*(入库单!$Y$4:$Y$2503="正常")*(入库单!$L$4:$L$2503&gt;0)),入库单!$L$4:$L$2503),0))</f>
        <v/>
      </c>
      <c r="J1092" s="26">
        <f>IF($A1092="","",IF($H1092="A国内",ROUND($I1092*倍数A*汇率,0),IF($H1092="B当地",ROUND($I1092*系数B,0),0)))</f>
        <v/>
      </c>
      <c r="K1092" s="24">
        <f>IF($A1092="","",IF(COUNTIFS(入库单!$G$4:$G$2503,$A1092,入库单!$X$4:$X$2503,"待补价")&gt;0,"待补价",IF(COUNTIFS(入库单!$G$4:$G$2503,$A1092,入库单!$X$4:$X$2503,"暂估")&gt;0,"暂估",IF($I1092=0,"没有进价","正常"))))</f>
        <v/>
      </c>
      <c r="L1092" s="27">
        <f>IF($A1092="","",IFERROR(VLOOKUP($A1092,库存台账!$A$5:$Y$1204,24,0),0))</f>
        <v/>
      </c>
      <c r="M1092" s="26">
        <f>IF($A1092="","",IFERROR(VLOOKUP($A1092,库存台账!$A$5:$Y$1204,25,0),0))</f>
        <v/>
      </c>
      <c r="N1092" s="19">
        <f>IF($A1092="","",IFERROR(LOOKUP(2,1/((出库单!$D$4:$D$4003=$A1092)*(出库单!$T$4:$T$4003="正常")),出库单!$C$4:$C$4003),""))</f>
        <v/>
      </c>
      <c r="O1092" s="28">
        <f>IF($A1092="","",IF($L1092&lt;=0,"",IF($N1092="",IFERROR(账期止-LOOKUP(2,1/(入库单!$G$4:$G$2503=$A1092),入库单!$C$4:$C$2503),""),账期止-$N1092)))</f>
        <v/>
      </c>
      <c r="P1092" s="17" t="n"/>
    </row>
    <row r="1093">
      <c r="A1093" s="17" t="n"/>
      <c r="B1093" s="17" t="n"/>
      <c r="C1093" s="17" t="n"/>
      <c r="D1093" s="17" t="n"/>
      <c r="E1093" s="17" t="n"/>
      <c r="F1093" s="17" t="n"/>
      <c r="G1093" s="23" t="n"/>
      <c r="H1093" s="24">
        <f>IF($A1093="","",IFERROR(LOOKUP(2,1/((入库单!$G$4:$G$2503=$A1093)*(入库单!$Y$4:$Y$2503="正常")*(入库单!$L$4:$L$2503&gt;0)),入库单!$D$4:$D$2503),""))</f>
        <v/>
      </c>
      <c r="I1093" s="25">
        <f>IF($A1093="","",IFERROR(LOOKUP(2,1/((入库单!$G$4:$G$2503=$A1093)*(入库单!$Y$4:$Y$2503="正常")*(入库单!$L$4:$L$2503&gt;0)),入库单!$L$4:$L$2503),0))</f>
        <v/>
      </c>
      <c r="J1093" s="26">
        <f>IF($A1093="","",IF($H1093="A国内",ROUND($I1093*倍数A*汇率,0),IF($H1093="B当地",ROUND($I1093*系数B,0),0)))</f>
        <v/>
      </c>
      <c r="K1093" s="24">
        <f>IF($A1093="","",IF(COUNTIFS(入库单!$G$4:$G$2503,$A1093,入库单!$X$4:$X$2503,"待补价")&gt;0,"待补价",IF(COUNTIFS(入库单!$G$4:$G$2503,$A1093,入库单!$X$4:$X$2503,"暂估")&gt;0,"暂估",IF($I1093=0,"没有进价","正常"))))</f>
        <v/>
      </c>
      <c r="L1093" s="27">
        <f>IF($A1093="","",IFERROR(VLOOKUP($A1093,库存台账!$A$5:$Y$1204,24,0),0))</f>
        <v/>
      </c>
      <c r="M1093" s="26">
        <f>IF($A1093="","",IFERROR(VLOOKUP($A1093,库存台账!$A$5:$Y$1204,25,0),0))</f>
        <v/>
      </c>
      <c r="N1093" s="19">
        <f>IF($A1093="","",IFERROR(LOOKUP(2,1/((出库单!$D$4:$D$4003=$A1093)*(出库单!$T$4:$T$4003="正常")),出库单!$C$4:$C$4003),""))</f>
        <v/>
      </c>
      <c r="O1093" s="28">
        <f>IF($A1093="","",IF($L1093&lt;=0,"",IF($N1093="",IFERROR(账期止-LOOKUP(2,1/(入库单!$G$4:$G$2503=$A1093),入库单!$C$4:$C$2503),""),账期止-$N1093)))</f>
        <v/>
      </c>
      <c r="P1093" s="17" t="n"/>
    </row>
    <row r="1094">
      <c r="A1094" s="17" t="n"/>
      <c r="B1094" s="17" t="n"/>
      <c r="C1094" s="17" t="n"/>
      <c r="D1094" s="17" t="n"/>
      <c r="E1094" s="17" t="n"/>
      <c r="F1094" s="17" t="n"/>
      <c r="G1094" s="23" t="n"/>
      <c r="H1094" s="24">
        <f>IF($A1094="","",IFERROR(LOOKUP(2,1/((入库单!$G$4:$G$2503=$A1094)*(入库单!$Y$4:$Y$2503="正常")*(入库单!$L$4:$L$2503&gt;0)),入库单!$D$4:$D$2503),""))</f>
        <v/>
      </c>
      <c r="I1094" s="25">
        <f>IF($A1094="","",IFERROR(LOOKUP(2,1/((入库单!$G$4:$G$2503=$A1094)*(入库单!$Y$4:$Y$2503="正常")*(入库单!$L$4:$L$2503&gt;0)),入库单!$L$4:$L$2503),0))</f>
        <v/>
      </c>
      <c r="J1094" s="26">
        <f>IF($A1094="","",IF($H1094="A国内",ROUND($I1094*倍数A*汇率,0),IF($H1094="B当地",ROUND($I1094*系数B,0),0)))</f>
        <v/>
      </c>
      <c r="K1094" s="24">
        <f>IF($A1094="","",IF(COUNTIFS(入库单!$G$4:$G$2503,$A1094,入库单!$X$4:$X$2503,"待补价")&gt;0,"待补价",IF(COUNTIFS(入库单!$G$4:$G$2503,$A1094,入库单!$X$4:$X$2503,"暂估")&gt;0,"暂估",IF($I1094=0,"没有进价","正常"))))</f>
        <v/>
      </c>
      <c r="L1094" s="27">
        <f>IF($A1094="","",IFERROR(VLOOKUP($A1094,库存台账!$A$5:$Y$1204,24,0),0))</f>
        <v/>
      </c>
      <c r="M1094" s="26">
        <f>IF($A1094="","",IFERROR(VLOOKUP($A1094,库存台账!$A$5:$Y$1204,25,0),0))</f>
        <v/>
      </c>
      <c r="N1094" s="19">
        <f>IF($A1094="","",IFERROR(LOOKUP(2,1/((出库单!$D$4:$D$4003=$A1094)*(出库单!$T$4:$T$4003="正常")),出库单!$C$4:$C$4003),""))</f>
        <v/>
      </c>
      <c r="O1094" s="28">
        <f>IF($A1094="","",IF($L1094&lt;=0,"",IF($N1094="",IFERROR(账期止-LOOKUP(2,1/(入库单!$G$4:$G$2503=$A1094),入库单!$C$4:$C$2503),""),账期止-$N1094)))</f>
        <v/>
      </c>
      <c r="P1094" s="17" t="n"/>
    </row>
    <row r="1095">
      <c r="A1095" s="17" t="n"/>
      <c r="B1095" s="17" t="n"/>
      <c r="C1095" s="17" t="n"/>
      <c r="D1095" s="17" t="n"/>
      <c r="E1095" s="17" t="n"/>
      <c r="F1095" s="17" t="n"/>
      <c r="G1095" s="23" t="n"/>
      <c r="H1095" s="24">
        <f>IF($A1095="","",IFERROR(LOOKUP(2,1/((入库单!$G$4:$G$2503=$A1095)*(入库单!$Y$4:$Y$2503="正常")*(入库单!$L$4:$L$2503&gt;0)),入库单!$D$4:$D$2503),""))</f>
        <v/>
      </c>
      <c r="I1095" s="25">
        <f>IF($A1095="","",IFERROR(LOOKUP(2,1/((入库单!$G$4:$G$2503=$A1095)*(入库单!$Y$4:$Y$2503="正常")*(入库单!$L$4:$L$2503&gt;0)),入库单!$L$4:$L$2503),0))</f>
        <v/>
      </c>
      <c r="J1095" s="26">
        <f>IF($A1095="","",IF($H1095="A国内",ROUND($I1095*倍数A*汇率,0),IF($H1095="B当地",ROUND($I1095*系数B,0),0)))</f>
        <v/>
      </c>
      <c r="K1095" s="24">
        <f>IF($A1095="","",IF(COUNTIFS(入库单!$G$4:$G$2503,$A1095,入库单!$X$4:$X$2503,"待补价")&gt;0,"待补价",IF(COUNTIFS(入库单!$G$4:$G$2503,$A1095,入库单!$X$4:$X$2503,"暂估")&gt;0,"暂估",IF($I1095=0,"没有进价","正常"))))</f>
        <v/>
      </c>
      <c r="L1095" s="27">
        <f>IF($A1095="","",IFERROR(VLOOKUP($A1095,库存台账!$A$5:$Y$1204,24,0),0))</f>
        <v/>
      </c>
      <c r="M1095" s="26">
        <f>IF($A1095="","",IFERROR(VLOOKUP($A1095,库存台账!$A$5:$Y$1204,25,0),0))</f>
        <v/>
      </c>
      <c r="N1095" s="19">
        <f>IF($A1095="","",IFERROR(LOOKUP(2,1/((出库单!$D$4:$D$4003=$A1095)*(出库单!$T$4:$T$4003="正常")),出库单!$C$4:$C$4003),""))</f>
        <v/>
      </c>
      <c r="O1095" s="28">
        <f>IF($A1095="","",IF($L1095&lt;=0,"",IF($N1095="",IFERROR(账期止-LOOKUP(2,1/(入库单!$G$4:$G$2503=$A1095),入库单!$C$4:$C$2503),""),账期止-$N1095)))</f>
        <v/>
      </c>
      <c r="P1095" s="17" t="n"/>
    </row>
    <row r="1096">
      <c r="A1096" s="17" t="n"/>
      <c r="B1096" s="17" t="n"/>
      <c r="C1096" s="17" t="n"/>
      <c r="D1096" s="17" t="n"/>
      <c r="E1096" s="17" t="n"/>
      <c r="F1096" s="17" t="n"/>
      <c r="G1096" s="23" t="n"/>
      <c r="H1096" s="24">
        <f>IF($A1096="","",IFERROR(LOOKUP(2,1/((入库单!$G$4:$G$2503=$A1096)*(入库单!$Y$4:$Y$2503="正常")*(入库单!$L$4:$L$2503&gt;0)),入库单!$D$4:$D$2503),""))</f>
        <v/>
      </c>
      <c r="I1096" s="25">
        <f>IF($A1096="","",IFERROR(LOOKUP(2,1/((入库单!$G$4:$G$2503=$A1096)*(入库单!$Y$4:$Y$2503="正常")*(入库单!$L$4:$L$2503&gt;0)),入库单!$L$4:$L$2503),0))</f>
        <v/>
      </c>
      <c r="J1096" s="26">
        <f>IF($A1096="","",IF($H1096="A国内",ROUND($I1096*倍数A*汇率,0),IF($H1096="B当地",ROUND($I1096*系数B,0),0)))</f>
        <v/>
      </c>
      <c r="K1096" s="24">
        <f>IF($A1096="","",IF(COUNTIFS(入库单!$G$4:$G$2503,$A1096,入库单!$X$4:$X$2503,"待补价")&gt;0,"待补价",IF(COUNTIFS(入库单!$G$4:$G$2503,$A1096,入库单!$X$4:$X$2503,"暂估")&gt;0,"暂估",IF($I1096=0,"没有进价","正常"))))</f>
        <v/>
      </c>
      <c r="L1096" s="27">
        <f>IF($A1096="","",IFERROR(VLOOKUP($A1096,库存台账!$A$5:$Y$1204,24,0),0))</f>
        <v/>
      </c>
      <c r="M1096" s="26">
        <f>IF($A1096="","",IFERROR(VLOOKUP($A1096,库存台账!$A$5:$Y$1204,25,0),0))</f>
        <v/>
      </c>
      <c r="N1096" s="19">
        <f>IF($A1096="","",IFERROR(LOOKUP(2,1/((出库单!$D$4:$D$4003=$A1096)*(出库单!$T$4:$T$4003="正常")),出库单!$C$4:$C$4003),""))</f>
        <v/>
      </c>
      <c r="O1096" s="28">
        <f>IF($A1096="","",IF($L1096&lt;=0,"",IF($N1096="",IFERROR(账期止-LOOKUP(2,1/(入库单!$G$4:$G$2503=$A1096),入库单!$C$4:$C$2503),""),账期止-$N1096)))</f>
        <v/>
      </c>
      <c r="P1096" s="17" t="n"/>
    </row>
    <row r="1097">
      <c r="A1097" s="17" t="n"/>
      <c r="B1097" s="17" t="n"/>
      <c r="C1097" s="17" t="n"/>
      <c r="D1097" s="17" t="n"/>
      <c r="E1097" s="17" t="n"/>
      <c r="F1097" s="17" t="n"/>
      <c r="G1097" s="23" t="n"/>
      <c r="H1097" s="24">
        <f>IF($A1097="","",IFERROR(LOOKUP(2,1/((入库单!$G$4:$G$2503=$A1097)*(入库单!$Y$4:$Y$2503="正常")*(入库单!$L$4:$L$2503&gt;0)),入库单!$D$4:$D$2503),""))</f>
        <v/>
      </c>
      <c r="I1097" s="25">
        <f>IF($A1097="","",IFERROR(LOOKUP(2,1/((入库单!$G$4:$G$2503=$A1097)*(入库单!$Y$4:$Y$2503="正常")*(入库单!$L$4:$L$2503&gt;0)),入库单!$L$4:$L$2503),0))</f>
        <v/>
      </c>
      <c r="J1097" s="26">
        <f>IF($A1097="","",IF($H1097="A国内",ROUND($I1097*倍数A*汇率,0),IF($H1097="B当地",ROUND($I1097*系数B,0),0)))</f>
        <v/>
      </c>
      <c r="K1097" s="24">
        <f>IF($A1097="","",IF(COUNTIFS(入库单!$G$4:$G$2503,$A1097,入库单!$X$4:$X$2503,"待补价")&gt;0,"待补价",IF(COUNTIFS(入库单!$G$4:$G$2503,$A1097,入库单!$X$4:$X$2503,"暂估")&gt;0,"暂估",IF($I1097=0,"没有进价","正常"))))</f>
        <v/>
      </c>
      <c r="L1097" s="27">
        <f>IF($A1097="","",IFERROR(VLOOKUP($A1097,库存台账!$A$5:$Y$1204,24,0),0))</f>
        <v/>
      </c>
      <c r="M1097" s="26">
        <f>IF($A1097="","",IFERROR(VLOOKUP($A1097,库存台账!$A$5:$Y$1204,25,0),0))</f>
        <v/>
      </c>
      <c r="N1097" s="19">
        <f>IF($A1097="","",IFERROR(LOOKUP(2,1/((出库单!$D$4:$D$4003=$A1097)*(出库单!$T$4:$T$4003="正常")),出库单!$C$4:$C$4003),""))</f>
        <v/>
      </c>
      <c r="O1097" s="28">
        <f>IF($A1097="","",IF($L1097&lt;=0,"",IF($N1097="",IFERROR(账期止-LOOKUP(2,1/(入库单!$G$4:$G$2503=$A1097),入库单!$C$4:$C$2503),""),账期止-$N1097)))</f>
        <v/>
      </c>
      <c r="P1097" s="17" t="n"/>
    </row>
    <row r="1098">
      <c r="A1098" s="17" t="n"/>
      <c r="B1098" s="17" t="n"/>
      <c r="C1098" s="17" t="n"/>
      <c r="D1098" s="17" t="n"/>
      <c r="E1098" s="17" t="n"/>
      <c r="F1098" s="17" t="n"/>
      <c r="G1098" s="23" t="n"/>
      <c r="H1098" s="24">
        <f>IF($A1098="","",IFERROR(LOOKUP(2,1/((入库单!$G$4:$G$2503=$A1098)*(入库单!$Y$4:$Y$2503="正常")*(入库单!$L$4:$L$2503&gt;0)),入库单!$D$4:$D$2503),""))</f>
        <v/>
      </c>
      <c r="I1098" s="25">
        <f>IF($A1098="","",IFERROR(LOOKUP(2,1/((入库单!$G$4:$G$2503=$A1098)*(入库单!$Y$4:$Y$2503="正常")*(入库单!$L$4:$L$2503&gt;0)),入库单!$L$4:$L$2503),0))</f>
        <v/>
      </c>
      <c r="J1098" s="26">
        <f>IF($A1098="","",IF($H1098="A国内",ROUND($I1098*倍数A*汇率,0),IF($H1098="B当地",ROUND($I1098*系数B,0),0)))</f>
        <v/>
      </c>
      <c r="K1098" s="24">
        <f>IF($A1098="","",IF(COUNTIFS(入库单!$G$4:$G$2503,$A1098,入库单!$X$4:$X$2503,"待补价")&gt;0,"待补价",IF(COUNTIFS(入库单!$G$4:$G$2503,$A1098,入库单!$X$4:$X$2503,"暂估")&gt;0,"暂估",IF($I1098=0,"没有进价","正常"))))</f>
        <v/>
      </c>
      <c r="L1098" s="27">
        <f>IF($A1098="","",IFERROR(VLOOKUP($A1098,库存台账!$A$5:$Y$1204,24,0),0))</f>
        <v/>
      </c>
      <c r="M1098" s="26">
        <f>IF($A1098="","",IFERROR(VLOOKUP($A1098,库存台账!$A$5:$Y$1204,25,0),0))</f>
        <v/>
      </c>
      <c r="N1098" s="19">
        <f>IF($A1098="","",IFERROR(LOOKUP(2,1/((出库单!$D$4:$D$4003=$A1098)*(出库单!$T$4:$T$4003="正常")),出库单!$C$4:$C$4003),""))</f>
        <v/>
      </c>
      <c r="O1098" s="28">
        <f>IF($A1098="","",IF($L1098&lt;=0,"",IF($N1098="",IFERROR(账期止-LOOKUP(2,1/(入库单!$G$4:$G$2503=$A1098),入库单!$C$4:$C$2503),""),账期止-$N1098)))</f>
        <v/>
      </c>
      <c r="P1098" s="17" t="n"/>
    </row>
    <row r="1099">
      <c r="A1099" s="17" t="n"/>
      <c r="B1099" s="17" t="n"/>
      <c r="C1099" s="17" t="n"/>
      <c r="D1099" s="17" t="n"/>
      <c r="E1099" s="17" t="n"/>
      <c r="F1099" s="17" t="n"/>
      <c r="G1099" s="23" t="n"/>
      <c r="H1099" s="24">
        <f>IF($A1099="","",IFERROR(LOOKUP(2,1/((入库单!$G$4:$G$2503=$A1099)*(入库单!$Y$4:$Y$2503="正常")*(入库单!$L$4:$L$2503&gt;0)),入库单!$D$4:$D$2503),""))</f>
        <v/>
      </c>
      <c r="I1099" s="25">
        <f>IF($A1099="","",IFERROR(LOOKUP(2,1/((入库单!$G$4:$G$2503=$A1099)*(入库单!$Y$4:$Y$2503="正常")*(入库单!$L$4:$L$2503&gt;0)),入库单!$L$4:$L$2503),0))</f>
        <v/>
      </c>
      <c r="J1099" s="26">
        <f>IF($A1099="","",IF($H1099="A国内",ROUND($I1099*倍数A*汇率,0),IF($H1099="B当地",ROUND($I1099*系数B,0),0)))</f>
        <v/>
      </c>
      <c r="K1099" s="24">
        <f>IF($A1099="","",IF(COUNTIFS(入库单!$G$4:$G$2503,$A1099,入库单!$X$4:$X$2503,"待补价")&gt;0,"待补价",IF(COUNTIFS(入库单!$G$4:$G$2503,$A1099,入库单!$X$4:$X$2503,"暂估")&gt;0,"暂估",IF($I1099=0,"没有进价","正常"))))</f>
        <v/>
      </c>
      <c r="L1099" s="27">
        <f>IF($A1099="","",IFERROR(VLOOKUP($A1099,库存台账!$A$5:$Y$1204,24,0),0))</f>
        <v/>
      </c>
      <c r="M1099" s="26">
        <f>IF($A1099="","",IFERROR(VLOOKUP($A1099,库存台账!$A$5:$Y$1204,25,0),0))</f>
        <v/>
      </c>
      <c r="N1099" s="19">
        <f>IF($A1099="","",IFERROR(LOOKUP(2,1/((出库单!$D$4:$D$4003=$A1099)*(出库单!$T$4:$T$4003="正常")),出库单!$C$4:$C$4003),""))</f>
        <v/>
      </c>
      <c r="O1099" s="28">
        <f>IF($A1099="","",IF($L1099&lt;=0,"",IF($N1099="",IFERROR(账期止-LOOKUP(2,1/(入库单!$G$4:$G$2503=$A1099),入库单!$C$4:$C$2503),""),账期止-$N1099)))</f>
        <v/>
      </c>
      <c r="P1099" s="17" t="n"/>
    </row>
    <row r="1100">
      <c r="A1100" s="17" t="n"/>
      <c r="B1100" s="17" t="n"/>
      <c r="C1100" s="17" t="n"/>
      <c r="D1100" s="17" t="n"/>
      <c r="E1100" s="17" t="n"/>
      <c r="F1100" s="17" t="n"/>
      <c r="G1100" s="23" t="n"/>
      <c r="H1100" s="24">
        <f>IF($A1100="","",IFERROR(LOOKUP(2,1/((入库单!$G$4:$G$2503=$A1100)*(入库单!$Y$4:$Y$2503="正常")*(入库单!$L$4:$L$2503&gt;0)),入库单!$D$4:$D$2503),""))</f>
        <v/>
      </c>
      <c r="I1100" s="25">
        <f>IF($A1100="","",IFERROR(LOOKUP(2,1/((入库单!$G$4:$G$2503=$A1100)*(入库单!$Y$4:$Y$2503="正常")*(入库单!$L$4:$L$2503&gt;0)),入库单!$L$4:$L$2503),0))</f>
        <v/>
      </c>
      <c r="J1100" s="26">
        <f>IF($A1100="","",IF($H1100="A国内",ROUND($I1100*倍数A*汇率,0),IF($H1100="B当地",ROUND($I1100*系数B,0),0)))</f>
        <v/>
      </c>
      <c r="K1100" s="24">
        <f>IF($A1100="","",IF(COUNTIFS(入库单!$G$4:$G$2503,$A1100,入库单!$X$4:$X$2503,"待补价")&gt;0,"待补价",IF(COUNTIFS(入库单!$G$4:$G$2503,$A1100,入库单!$X$4:$X$2503,"暂估")&gt;0,"暂估",IF($I1100=0,"没有进价","正常"))))</f>
        <v/>
      </c>
      <c r="L1100" s="27">
        <f>IF($A1100="","",IFERROR(VLOOKUP($A1100,库存台账!$A$5:$Y$1204,24,0),0))</f>
        <v/>
      </c>
      <c r="M1100" s="26">
        <f>IF($A1100="","",IFERROR(VLOOKUP($A1100,库存台账!$A$5:$Y$1204,25,0),0))</f>
        <v/>
      </c>
      <c r="N1100" s="19">
        <f>IF($A1100="","",IFERROR(LOOKUP(2,1/((出库单!$D$4:$D$4003=$A1100)*(出库单!$T$4:$T$4003="正常")),出库单!$C$4:$C$4003),""))</f>
        <v/>
      </c>
      <c r="O1100" s="28">
        <f>IF($A1100="","",IF($L1100&lt;=0,"",IF($N1100="",IFERROR(账期止-LOOKUP(2,1/(入库单!$G$4:$G$2503=$A1100),入库单!$C$4:$C$2503),""),账期止-$N1100)))</f>
        <v/>
      </c>
      <c r="P1100" s="17" t="n"/>
    </row>
    <row r="1101">
      <c r="A1101" s="17" t="n"/>
      <c r="B1101" s="17" t="n"/>
      <c r="C1101" s="17" t="n"/>
      <c r="D1101" s="17" t="n"/>
      <c r="E1101" s="17" t="n"/>
      <c r="F1101" s="17" t="n"/>
      <c r="G1101" s="23" t="n"/>
      <c r="H1101" s="24">
        <f>IF($A1101="","",IFERROR(LOOKUP(2,1/((入库单!$G$4:$G$2503=$A1101)*(入库单!$Y$4:$Y$2503="正常")*(入库单!$L$4:$L$2503&gt;0)),入库单!$D$4:$D$2503),""))</f>
        <v/>
      </c>
      <c r="I1101" s="25">
        <f>IF($A1101="","",IFERROR(LOOKUP(2,1/((入库单!$G$4:$G$2503=$A1101)*(入库单!$Y$4:$Y$2503="正常")*(入库单!$L$4:$L$2503&gt;0)),入库单!$L$4:$L$2503),0))</f>
        <v/>
      </c>
      <c r="J1101" s="26">
        <f>IF($A1101="","",IF($H1101="A国内",ROUND($I1101*倍数A*汇率,0),IF($H1101="B当地",ROUND($I1101*系数B,0),0)))</f>
        <v/>
      </c>
      <c r="K1101" s="24">
        <f>IF($A1101="","",IF(COUNTIFS(入库单!$G$4:$G$2503,$A1101,入库单!$X$4:$X$2503,"待补价")&gt;0,"待补价",IF(COUNTIFS(入库单!$G$4:$G$2503,$A1101,入库单!$X$4:$X$2503,"暂估")&gt;0,"暂估",IF($I1101=0,"没有进价","正常"))))</f>
        <v/>
      </c>
      <c r="L1101" s="27">
        <f>IF($A1101="","",IFERROR(VLOOKUP($A1101,库存台账!$A$5:$Y$1204,24,0),0))</f>
        <v/>
      </c>
      <c r="M1101" s="26">
        <f>IF($A1101="","",IFERROR(VLOOKUP($A1101,库存台账!$A$5:$Y$1204,25,0),0))</f>
        <v/>
      </c>
      <c r="N1101" s="19">
        <f>IF($A1101="","",IFERROR(LOOKUP(2,1/((出库单!$D$4:$D$4003=$A1101)*(出库单!$T$4:$T$4003="正常")),出库单!$C$4:$C$4003),""))</f>
        <v/>
      </c>
      <c r="O1101" s="28">
        <f>IF($A1101="","",IF($L1101&lt;=0,"",IF($N1101="",IFERROR(账期止-LOOKUP(2,1/(入库单!$G$4:$G$2503=$A1101),入库单!$C$4:$C$2503),""),账期止-$N1101)))</f>
        <v/>
      </c>
      <c r="P1101" s="17" t="n"/>
    </row>
    <row r="1102">
      <c r="A1102" s="17" t="n"/>
      <c r="B1102" s="17" t="n"/>
      <c r="C1102" s="17" t="n"/>
      <c r="D1102" s="17" t="n"/>
      <c r="E1102" s="17" t="n"/>
      <c r="F1102" s="17" t="n"/>
      <c r="G1102" s="23" t="n"/>
      <c r="H1102" s="24">
        <f>IF($A1102="","",IFERROR(LOOKUP(2,1/((入库单!$G$4:$G$2503=$A1102)*(入库单!$Y$4:$Y$2503="正常")*(入库单!$L$4:$L$2503&gt;0)),入库单!$D$4:$D$2503),""))</f>
        <v/>
      </c>
      <c r="I1102" s="25">
        <f>IF($A1102="","",IFERROR(LOOKUP(2,1/((入库单!$G$4:$G$2503=$A1102)*(入库单!$Y$4:$Y$2503="正常")*(入库单!$L$4:$L$2503&gt;0)),入库单!$L$4:$L$2503),0))</f>
        <v/>
      </c>
      <c r="J1102" s="26">
        <f>IF($A1102="","",IF($H1102="A国内",ROUND($I1102*倍数A*汇率,0),IF($H1102="B当地",ROUND($I1102*系数B,0),0)))</f>
        <v/>
      </c>
      <c r="K1102" s="24">
        <f>IF($A1102="","",IF(COUNTIFS(入库单!$G$4:$G$2503,$A1102,入库单!$X$4:$X$2503,"待补价")&gt;0,"待补价",IF(COUNTIFS(入库单!$G$4:$G$2503,$A1102,入库单!$X$4:$X$2503,"暂估")&gt;0,"暂估",IF($I1102=0,"没有进价","正常"))))</f>
        <v/>
      </c>
      <c r="L1102" s="27">
        <f>IF($A1102="","",IFERROR(VLOOKUP($A1102,库存台账!$A$5:$Y$1204,24,0),0))</f>
        <v/>
      </c>
      <c r="M1102" s="26">
        <f>IF($A1102="","",IFERROR(VLOOKUP($A1102,库存台账!$A$5:$Y$1204,25,0),0))</f>
        <v/>
      </c>
      <c r="N1102" s="19">
        <f>IF($A1102="","",IFERROR(LOOKUP(2,1/((出库单!$D$4:$D$4003=$A1102)*(出库单!$T$4:$T$4003="正常")),出库单!$C$4:$C$4003),""))</f>
        <v/>
      </c>
      <c r="O1102" s="28">
        <f>IF($A1102="","",IF($L1102&lt;=0,"",IF($N1102="",IFERROR(账期止-LOOKUP(2,1/(入库单!$G$4:$G$2503=$A1102),入库单!$C$4:$C$2503),""),账期止-$N1102)))</f>
        <v/>
      </c>
      <c r="P1102" s="17" t="n"/>
    </row>
    <row r="1103">
      <c r="A1103" s="17" t="n"/>
      <c r="B1103" s="17" t="n"/>
      <c r="C1103" s="17" t="n"/>
      <c r="D1103" s="17" t="n"/>
      <c r="E1103" s="17" t="n"/>
      <c r="F1103" s="17" t="n"/>
      <c r="G1103" s="23" t="n"/>
      <c r="H1103" s="24">
        <f>IF($A1103="","",IFERROR(LOOKUP(2,1/((入库单!$G$4:$G$2503=$A1103)*(入库单!$Y$4:$Y$2503="正常")*(入库单!$L$4:$L$2503&gt;0)),入库单!$D$4:$D$2503),""))</f>
        <v/>
      </c>
      <c r="I1103" s="25">
        <f>IF($A1103="","",IFERROR(LOOKUP(2,1/((入库单!$G$4:$G$2503=$A1103)*(入库单!$Y$4:$Y$2503="正常")*(入库单!$L$4:$L$2503&gt;0)),入库单!$L$4:$L$2503),0))</f>
        <v/>
      </c>
      <c r="J1103" s="26">
        <f>IF($A1103="","",IF($H1103="A国内",ROUND($I1103*倍数A*汇率,0),IF($H1103="B当地",ROUND($I1103*系数B,0),0)))</f>
        <v/>
      </c>
      <c r="K1103" s="24">
        <f>IF($A1103="","",IF(COUNTIFS(入库单!$G$4:$G$2503,$A1103,入库单!$X$4:$X$2503,"待补价")&gt;0,"待补价",IF(COUNTIFS(入库单!$G$4:$G$2503,$A1103,入库单!$X$4:$X$2503,"暂估")&gt;0,"暂估",IF($I1103=0,"没有进价","正常"))))</f>
        <v/>
      </c>
      <c r="L1103" s="27">
        <f>IF($A1103="","",IFERROR(VLOOKUP($A1103,库存台账!$A$5:$Y$1204,24,0),0))</f>
        <v/>
      </c>
      <c r="M1103" s="26">
        <f>IF($A1103="","",IFERROR(VLOOKUP($A1103,库存台账!$A$5:$Y$1204,25,0),0))</f>
        <v/>
      </c>
      <c r="N1103" s="19">
        <f>IF($A1103="","",IFERROR(LOOKUP(2,1/((出库单!$D$4:$D$4003=$A1103)*(出库单!$T$4:$T$4003="正常")),出库单!$C$4:$C$4003),""))</f>
        <v/>
      </c>
      <c r="O1103" s="28">
        <f>IF($A1103="","",IF($L1103&lt;=0,"",IF($N1103="",IFERROR(账期止-LOOKUP(2,1/(入库单!$G$4:$G$2503=$A1103),入库单!$C$4:$C$2503),""),账期止-$N1103)))</f>
        <v/>
      </c>
      <c r="P1103" s="17" t="n"/>
    </row>
    <row r="1104">
      <c r="A1104" s="17" t="n"/>
      <c r="B1104" s="17" t="n"/>
      <c r="C1104" s="17" t="n"/>
      <c r="D1104" s="17" t="n"/>
      <c r="E1104" s="17" t="n"/>
      <c r="F1104" s="17" t="n"/>
      <c r="G1104" s="23" t="n"/>
      <c r="H1104" s="24">
        <f>IF($A1104="","",IFERROR(LOOKUP(2,1/((入库单!$G$4:$G$2503=$A1104)*(入库单!$Y$4:$Y$2503="正常")*(入库单!$L$4:$L$2503&gt;0)),入库单!$D$4:$D$2503),""))</f>
        <v/>
      </c>
      <c r="I1104" s="25">
        <f>IF($A1104="","",IFERROR(LOOKUP(2,1/((入库单!$G$4:$G$2503=$A1104)*(入库单!$Y$4:$Y$2503="正常")*(入库单!$L$4:$L$2503&gt;0)),入库单!$L$4:$L$2503),0))</f>
        <v/>
      </c>
      <c r="J1104" s="26">
        <f>IF($A1104="","",IF($H1104="A国内",ROUND($I1104*倍数A*汇率,0),IF($H1104="B当地",ROUND($I1104*系数B,0),0)))</f>
        <v/>
      </c>
      <c r="K1104" s="24">
        <f>IF($A1104="","",IF(COUNTIFS(入库单!$G$4:$G$2503,$A1104,入库单!$X$4:$X$2503,"待补价")&gt;0,"待补价",IF(COUNTIFS(入库单!$G$4:$G$2503,$A1104,入库单!$X$4:$X$2503,"暂估")&gt;0,"暂估",IF($I1104=0,"没有进价","正常"))))</f>
        <v/>
      </c>
      <c r="L1104" s="27">
        <f>IF($A1104="","",IFERROR(VLOOKUP($A1104,库存台账!$A$5:$Y$1204,24,0),0))</f>
        <v/>
      </c>
      <c r="M1104" s="26">
        <f>IF($A1104="","",IFERROR(VLOOKUP($A1104,库存台账!$A$5:$Y$1204,25,0),0))</f>
        <v/>
      </c>
      <c r="N1104" s="19">
        <f>IF($A1104="","",IFERROR(LOOKUP(2,1/((出库单!$D$4:$D$4003=$A1104)*(出库单!$T$4:$T$4003="正常")),出库单!$C$4:$C$4003),""))</f>
        <v/>
      </c>
      <c r="O1104" s="28">
        <f>IF($A1104="","",IF($L1104&lt;=0,"",IF($N1104="",IFERROR(账期止-LOOKUP(2,1/(入库单!$G$4:$G$2503=$A1104),入库单!$C$4:$C$2503),""),账期止-$N1104)))</f>
        <v/>
      </c>
      <c r="P1104" s="17" t="n"/>
    </row>
    <row r="1105">
      <c r="A1105" s="17" t="n"/>
      <c r="B1105" s="17" t="n"/>
      <c r="C1105" s="17" t="n"/>
      <c r="D1105" s="17" t="n"/>
      <c r="E1105" s="17" t="n"/>
      <c r="F1105" s="17" t="n"/>
      <c r="G1105" s="23" t="n"/>
      <c r="H1105" s="24">
        <f>IF($A1105="","",IFERROR(LOOKUP(2,1/((入库单!$G$4:$G$2503=$A1105)*(入库单!$Y$4:$Y$2503="正常")*(入库单!$L$4:$L$2503&gt;0)),入库单!$D$4:$D$2503),""))</f>
        <v/>
      </c>
      <c r="I1105" s="25">
        <f>IF($A1105="","",IFERROR(LOOKUP(2,1/((入库单!$G$4:$G$2503=$A1105)*(入库单!$Y$4:$Y$2503="正常")*(入库单!$L$4:$L$2503&gt;0)),入库单!$L$4:$L$2503),0))</f>
        <v/>
      </c>
      <c r="J1105" s="26">
        <f>IF($A1105="","",IF($H1105="A国内",ROUND($I1105*倍数A*汇率,0),IF($H1105="B当地",ROUND($I1105*系数B,0),0)))</f>
        <v/>
      </c>
      <c r="K1105" s="24">
        <f>IF($A1105="","",IF(COUNTIFS(入库单!$G$4:$G$2503,$A1105,入库单!$X$4:$X$2503,"待补价")&gt;0,"待补价",IF(COUNTIFS(入库单!$G$4:$G$2503,$A1105,入库单!$X$4:$X$2503,"暂估")&gt;0,"暂估",IF($I1105=0,"没有进价","正常"))))</f>
        <v/>
      </c>
      <c r="L1105" s="27">
        <f>IF($A1105="","",IFERROR(VLOOKUP($A1105,库存台账!$A$5:$Y$1204,24,0),0))</f>
        <v/>
      </c>
      <c r="M1105" s="26">
        <f>IF($A1105="","",IFERROR(VLOOKUP($A1105,库存台账!$A$5:$Y$1204,25,0),0))</f>
        <v/>
      </c>
      <c r="N1105" s="19">
        <f>IF($A1105="","",IFERROR(LOOKUP(2,1/((出库单!$D$4:$D$4003=$A1105)*(出库单!$T$4:$T$4003="正常")),出库单!$C$4:$C$4003),""))</f>
        <v/>
      </c>
      <c r="O1105" s="28">
        <f>IF($A1105="","",IF($L1105&lt;=0,"",IF($N1105="",IFERROR(账期止-LOOKUP(2,1/(入库单!$G$4:$G$2503=$A1105),入库单!$C$4:$C$2503),""),账期止-$N1105)))</f>
        <v/>
      </c>
      <c r="P1105" s="17" t="n"/>
    </row>
    <row r="1106">
      <c r="A1106" s="17" t="n"/>
      <c r="B1106" s="17" t="n"/>
      <c r="C1106" s="17" t="n"/>
      <c r="D1106" s="17" t="n"/>
      <c r="E1106" s="17" t="n"/>
      <c r="F1106" s="17" t="n"/>
      <c r="G1106" s="23" t="n"/>
      <c r="H1106" s="24">
        <f>IF($A1106="","",IFERROR(LOOKUP(2,1/((入库单!$G$4:$G$2503=$A1106)*(入库单!$Y$4:$Y$2503="正常")*(入库单!$L$4:$L$2503&gt;0)),入库单!$D$4:$D$2503),""))</f>
        <v/>
      </c>
      <c r="I1106" s="25">
        <f>IF($A1106="","",IFERROR(LOOKUP(2,1/((入库单!$G$4:$G$2503=$A1106)*(入库单!$Y$4:$Y$2503="正常")*(入库单!$L$4:$L$2503&gt;0)),入库单!$L$4:$L$2503),0))</f>
        <v/>
      </c>
      <c r="J1106" s="26">
        <f>IF($A1106="","",IF($H1106="A国内",ROUND($I1106*倍数A*汇率,0),IF($H1106="B当地",ROUND($I1106*系数B,0),0)))</f>
        <v/>
      </c>
      <c r="K1106" s="24">
        <f>IF($A1106="","",IF(COUNTIFS(入库单!$G$4:$G$2503,$A1106,入库单!$X$4:$X$2503,"待补价")&gt;0,"待补价",IF(COUNTIFS(入库单!$G$4:$G$2503,$A1106,入库单!$X$4:$X$2503,"暂估")&gt;0,"暂估",IF($I1106=0,"没有进价","正常"))))</f>
        <v/>
      </c>
      <c r="L1106" s="27">
        <f>IF($A1106="","",IFERROR(VLOOKUP($A1106,库存台账!$A$5:$Y$1204,24,0),0))</f>
        <v/>
      </c>
      <c r="M1106" s="26">
        <f>IF($A1106="","",IFERROR(VLOOKUP($A1106,库存台账!$A$5:$Y$1204,25,0),0))</f>
        <v/>
      </c>
      <c r="N1106" s="19">
        <f>IF($A1106="","",IFERROR(LOOKUP(2,1/((出库单!$D$4:$D$4003=$A1106)*(出库单!$T$4:$T$4003="正常")),出库单!$C$4:$C$4003),""))</f>
        <v/>
      </c>
      <c r="O1106" s="28">
        <f>IF($A1106="","",IF($L1106&lt;=0,"",IF($N1106="",IFERROR(账期止-LOOKUP(2,1/(入库单!$G$4:$G$2503=$A1106),入库单!$C$4:$C$2503),""),账期止-$N1106)))</f>
        <v/>
      </c>
      <c r="P1106" s="17" t="n"/>
    </row>
    <row r="1107">
      <c r="A1107" s="17" t="n"/>
      <c r="B1107" s="17" t="n"/>
      <c r="C1107" s="17" t="n"/>
      <c r="D1107" s="17" t="n"/>
      <c r="E1107" s="17" t="n"/>
      <c r="F1107" s="17" t="n"/>
      <c r="G1107" s="23" t="n"/>
      <c r="H1107" s="24">
        <f>IF($A1107="","",IFERROR(LOOKUP(2,1/((入库单!$G$4:$G$2503=$A1107)*(入库单!$Y$4:$Y$2503="正常")*(入库单!$L$4:$L$2503&gt;0)),入库单!$D$4:$D$2503),""))</f>
        <v/>
      </c>
      <c r="I1107" s="25">
        <f>IF($A1107="","",IFERROR(LOOKUP(2,1/((入库单!$G$4:$G$2503=$A1107)*(入库单!$Y$4:$Y$2503="正常")*(入库单!$L$4:$L$2503&gt;0)),入库单!$L$4:$L$2503),0))</f>
        <v/>
      </c>
      <c r="J1107" s="26">
        <f>IF($A1107="","",IF($H1107="A国内",ROUND($I1107*倍数A*汇率,0),IF($H1107="B当地",ROUND($I1107*系数B,0),0)))</f>
        <v/>
      </c>
      <c r="K1107" s="24">
        <f>IF($A1107="","",IF(COUNTIFS(入库单!$G$4:$G$2503,$A1107,入库单!$X$4:$X$2503,"待补价")&gt;0,"待补价",IF(COUNTIFS(入库单!$G$4:$G$2503,$A1107,入库单!$X$4:$X$2503,"暂估")&gt;0,"暂估",IF($I1107=0,"没有进价","正常"))))</f>
        <v/>
      </c>
      <c r="L1107" s="27">
        <f>IF($A1107="","",IFERROR(VLOOKUP($A1107,库存台账!$A$5:$Y$1204,24,0),0))</f>
        <v/>
      </c>
      <c r="M1107" s="26">
        <f>IF($A1107="","",IFERROR(VLOOKUP($A1107,库存台账!$A$5:$Y$1204,25,0),0))</f>
        <v/>
      </c>
      <c r="N1107" s="19">
        <f>IF($A1107="","",IFERROR(LOOKUP(2,1/((出库单!$D$4:$D$4003=$A1107)*(出库单!$T$4:$T$4003="正常")),出库单!$C$4:$C$4003),""))</f>
        <v/>
      </c>
      <c r="O1107" s="28">
        <f>IF($A1107="","",IF($L1107&lt;=0,"",IF($N1107="",IFERROR(账期止-LOOKUP(2,1/(入库单!$G$4:$G$2503=$A1107),入库单!$C$4:$C$2503),""),账期止-$N1107)))</f>
        <v/>
      </c>
      <c r="P1107" s="17" t="n"/>
    </row>
    <row r="1108">
      <c r="A1108" s="17" t="n"/>
      <c r="B1108" s="17" t="n"/>
      <c r="C1108" s="17" t="n"/>
      <c r="D1108" s="17" t="n"/>
      <c r="E1108" s="17" t="n"/>
      <c r="F1108" s="17" t="n"/>
      <c r="G1108" s="23" t="n"/>
      <c r="H1108" s="24">
        <f>IF($A1108="","",IFERROR(LOOKUP(2,1/((入库单!$G$4:$G$2503=$A1108)*(入库单!$Y$4:$Y$2503="正常")*(入库单!$L$4:$L$2503&gt;0)),入库单!$D$4:$D$2503),""))</f>
        <v/>
      </c>
      <c r="I1108" s="25">
        <f>IF($A1108="","",IFERROR(LOOKUP(2,1/((入库单!$G$4:$G$2503=$A1108)*(入库单!$Y$4:$Y$2503="正常")*(入库单!$L$4:$L$2503&gt;0)),入库单!$L$4:$L$2503),0))</f>
        <v/>
      </c>
      <c r="J1108" s="26">
        <f>IF($A1108="","",IF($H1108="A国内",ROUND($I1108*倍数A*汇率,0),IF($H1108="B当地",ROUND($I1108*系数B,0),0)))</f>
        <v/>
      </c>
      <c r="K1108" s="24">
        <f>IF($A1108="","",IF(COUNTIFS(入库单!$G$4:$G$2503,$A1108,入库单!$X$4:$X$2503,"待补价")&gt;0,"待补价",IF(COUNTIFS(入库单!$G$4:$G$2503,$A1108,入库单!$X$4:$X$2503,"暂估")&gt;0,"暂估",IF($I1108=0,"没有进价","正常"))))</f>
        <v/>
      </c>
      <c r="L1108" s="27">
        <f>IF($A1108="","",IFERROR(VLOOKUP($A1108,库存台账!$A$5:$Y$1204,24,0),0))</f>
        <v/>
      </c>
      <c r="M1108" s="26">
        <f>IF($A1108="","",IFERROR(VLOOKUP($A1108,库存台账!$A$5:$Y$1204,25,0),0))</f>
        <v/>
      </c>
      <c r="N1108" s="19">
        <f>IF($A1108="","",IFERROR(LOOKUP(2,1/((出库单!$D$4:$D$4003=$A1108)*(出库单!$T$4:$T$4003="正常")),出库单!$C$4:$C$4003),""))</f>
        <v/>
      </c>
      <c r="O1108" s="28">
        <f>IF($A1108="","",IF($L1108&lt;=0,"",IF($N1108="",IFERROR(账期止-LOOKUP(2,1/(入库单!$G$4:$G$2503=$A1108),入库单!$C$4:$C$2503),""),账期止-$N1108)))</f>
        <v/>
      </c>
      <c r="P1108" s="17" t="n"/>
    </row>
    <row r="1109">
      <c r="A1109" s="17" t="n"/>
      <c r="B1109" s="17" t="n"/>
      <c r="C1109" s="17" t="n"/>
      <c r="D1109" s="17" t="n"/>
      <c r="E1109" s="17" t="n"/>
      <c r="F1109" s="17" t="n"/>
      <c r="G1109" s="23" t="n"/>
      <c r="H1109" s="24">
        <f>IF($A1109="","",IFERROR(LOOKUP(2,1/((入库单!$G$4:$G$2503=$A1109)*(入库单!$Y$4:$Y$2503="正常")*(入库单!$L$4:$L$2503&gt;0)),入库单!$D$4:$D$2503),""))</f>
        <v/>
      </c>
      <c r="I1109" s="25">
        <f>IF($A1109="","",IFERROR(LOOKUP(2,1/((入库单!$G$4:$G$2503=$A1109)*(入库单!$Y$4:$Y$2503="正常")*(入库单!$L$4:$L$2503&gt;0)),入库单!$L$4:$L$2503),0))</f>
        <v/>
      </c>
      <c r="J1109" s="26">
        <f>IF($A1109="","",IF($H1109="A国内",ROUND($I1109*倍数A*汇率,0),IF($H1109="B当地",ROUND($I1109*系数B,0),0)))</f>
        <v/>
      </c>
      <c r="K1109" s="24">
        <f>IF($A1109="","",IF(COUNTIFS(入库单!$G$4:$G$2503,$A1109,入库单!$X$4:$X$2503,"待补价")&gt;0,"待补价",IF(COUNTIFS(入库单!$G$4:$G$2503,$A1109,入库单!$X$4:$X$2503,"暂估")&gt;0,"暂估",IF($I1109=0,"没有进价","正常"))))</f>
        <v/>
      </c>
      <c r="L1109" s="27">
        <f>IF($A1109="","",IFERROR(VLOOKUP($A1109,库存台账!$A$5:$Y$1204,24,0),0))</f>
        <v/>
      </c>
      <c r="M1109" s="26">
        <f>IF($A1109="","",IFERROR(VLOOKUP($A1109,库存台账!$A$5:$Y$1204,25,0),0))</f>
        <v/>
      </c>
      <c r="N1109" s="19">
        <f>IF($A1109="","",IFERROR(LOOKUP(2,1/((出库单!$D$4:$D$4003=$A1109)*(出库单!$T$4:$T$4003="正常")),出库单!$C$4:$C$4003),""))</f>
        <v/>
      </c>
      <c r="O1109" s="28">
        <f>IF($A1109="","",IF($L1109&lt;=0,"",IF($N1109="",IFERROR(账期止-LOOKUP(2,1/(入库单!$G$4:$G$2503=$A1109),入库单!$C$4:$C$2503),""),账期止-$N1109)))</f>
        <v/>
      </c>
      <c r="P1109" s="17" t="n"/>
    </row>
    <row r="1110">
      <c r="A1110" s="17" t="n"/>
      <c r="B1110" s="17" t="n"/>
      <c r="C1110" s="17" t="n"/>
      <c r="D1110" s="17" t="n"/>
      <c r="E1110" s="17" t="n"/>
      <c r="F1110" s="17" t="n"/>
      <c r="G1110" s="23" t="n"/>
      <c r="H1110" s="24">
        <f>IF($A1110="","",IFERROR(LOOKUP(2,1/((入库单!$G$4:$G$2503=$A1110)*(入库单!$Y$4:$Y$2503="正常")*(入库单!$L$4:$L$2503&gt;0)),入库单!$D$4:$D$2503),""))</f>
        <v/>
      </c>
      <c r="I1110" s="25">
        <f>IF($A1110="","",IFERROR(LOOKUP(2,1/((入库单!$G$4:$G$2503=$A1110)*(入库单!$Y$4:$Y$2503="正常")*(入库单!$L$4:$L$2503&gt;0)),入库单!$L$4:$L$2503),0))</f>
        <v/>
      </c>
      <c r="J1110" s="26">
        <f>IF($A1110="","",IF($H1110="A国内",ROUND($I1110*倍数A*汇率,0),IF($H1110="B当地",ROUND($I1110*系数B,0),0)))</f>
        <v/>
      </c>
      <c r="K1110" s="24">
        <f>IF($A1110="","",IF(COUNTIFS(入库单!$G$4:$G$2503,$A1110,入库单!$X$4:$X$2503,"待补价")&gt;0,"待补价",IF(COUNTIFS(入库单!$G$4:$G$2503,$A1110,入库单!$X$4:$X$2503,"暂估")&gt;0,"暂估",IF($I1110=0,"没有进价","正常"))))</f>
        <v/>
      </c>
      <c r="L1110" s="27">
        <f>IF($A1110="","",IFERROR(VLOOKUP($A1110,库存台账!$A$5:$Y$1204,24,0),0))</f>
        <v/>
      </c>
      <c r="M1110" s="26">
        <f>IF($A1110="","",IFERROR(VLOOKUP($A1110,库存台账!$A$5:$Y$1204,25,0),0))</f>
        <v/>
      </c>
      <c r="N1110" s="19">
        <f>IF($A1110="","",IFERROR(LOOKUP(2,1/((出库单!$D$4:$D$4003=$A1110)*(出库单!$T$4:$T$4003="正常")),出库单!$C$4:$C$4003),""))</f>
        <v/>
      </c>
      <c r="O1110" s="28">
        <f>IF($A1110="","",IF($L1110&lt;=0,"",IF($N1110="",IFERROR(账期止-LOOKUP(2,1/(入库单!$G$4:$G$2503=$A1110),入库单!$C$4:$C$2503),""),账期止-$N1110)))</f>
        <v/>
      </c>
      <c r="P1110" s="17" t="n"/>
    </row>
    <row r="1111">
      <c r="A1111" s="17" t="n"/>
      <c r="B1111" s="17" t="n"/>
      <c r="C1111" s="17" t="n"/>
      <c r="D1111" s="17" t="n"/>
      <c r="E1111" s="17" t="n"/>
      <c r="F1111" s="17" t="n"/>
      <c r="G1111" s="23" t="n"/>
      <c r="H1111" s="24">
        <f>IF($A1111="","",IFERROR(LOOKUP(2,1/((入库单!$G$4:$G$2503=$A1111)*(入库单!$Y$4:$Y$2503="正常")*(入库单!$L$4:$L$2503&gt;0)),入库单!$D$4:$D$2503),""))</f>
        <v/>
      </c>
      <c r="I1111" s="25">
        <f>IF($A1111="","",IFERROR(LOOKUP(2,1/((入库单!$G$4:$G$2503=$A1111)*(入库单!$Y$4:$Y$2503="正常")*(入库单!$L$4:$L$2503&gt;0)),入库单!$L$4:$L$2503),0))</f>
        <v/>
      </c>
      <c r="J1111" s="26">
        <f>IF($A1111="","",IF($H1111="A国内",ROUND($I1111*倍数A*汇率,0),IF($H1111="B当地",ROUND($I1111*系数B,0),0)))</f>
        <v/>
      </c>
      <c r="K1111" s="24">
        <f>IF($A1111="","",IF(COUNTIFS(入库单!$G$4:$G$2503,$A1111,入库单!$X$4:$X$2503,"待补价")&gt;0,"待补价",IF(COUNTIFS(入库单!$G$4:$G$2503,$A1111,入库单!$X$4:$X$2503,"暂估")&gt;0,"暂估",IF($I1111=0,"没有进价","正常"))))</f>
        <v/>
      </c>
      <c r="L1111" s="27">
        <f>IF($A1111="","",IFERROR(VLOOKUP($A1111,库存台账!$A$5:$Y$1204,24,0),0))</f>
        <v/>
      </c>
      <c r="M1111" s="26">
        <f>IF($A1111="","",IFERROR(VLOOKUP($A1111,库存台账!$A$5:$Y$1204,25,0),0))</f>
        <v/>
      </c>
      <c r="N1111" s="19">
        <f>IF($A1111="","",IFERROR(LOOKUP(2,1/((出库单!$D$4:$D$4003=$A1111)*(出库单!$T$4:$T$4003="正常")),出库单!$C$4:$C$4003),""))</f>
        <v/>
      </c>
      <c r="O1111" s="28">
        <f>IF($A1111="","",IF($L1111&lt;=0,"",IF($N1111="",IFERROR(账期止-LOOKUP(2,1/(入库单!$G$4:$G$2503=$A1111),入库单!$C$4:$C$2503),""),账期止-$N1111)))</f>
        <v/>
      </c>
      <c r="P1111" s="17" t="n"/>
    </row>
    <row r="1112">
      <c r="A1112" s="17" t="n"/>
      <c r="B1112" s="17" t="n"/>
      <c r="C1112" s="17" t="n"/>
      <c r="D1112" s="17" t="n"/>
      <c r="E1112" s="17" t="n"/>
      <c r="F1112" s="17" t="n"/>
      <c r="G1112" s="23" t="n"/>
      <c r="H1112" s="24">
        <f>IF($A1112="","",IFERROR(LOOKUP(2,1/((入库单!$G$4:$G$2503=$A1112)*(入库单!$Y$4:$Y$2503="正常")*(入库单!$L$4:$L$2503&gt;0)),入库单!$D$4:$D$2503),""))</f>
        <v/>
      </c>
      <c r="I1112" s="25">
        <f>IF($A1112="","",IFERROR(LOOKUP(2,1/((入库单!$G$4:$G$2503=$A1112)*(入库单!$Y$4:$Y$2503="正常")*(入库单!$L$4:$L$2503&gt;0)),入库单!$L$4:$L$2503),0))</f>
        <v/>
      </c>
      <c r="J1112" s="26">
        <f>IF($A1112="","",IF($H1112="A国内",ROUND($I1112*倍数A*汇率,0),IF($H1112="B当地",ROUND($I1112*系数B,0),0)))</f>
        <v/>
      </c>
      <c r="K1112" s="24">
        <f>IF($A1112="","",IF(COUNTIFS(入库单!$G$4:$G$2503,$A1112,入库单!$X$4:$X$2503,"待补价")&gt;0,"待补价",IF(COUNTIFS(入库单!$G$4:$G$2503,$A1112,入库单!$X$4:$X$2503,"暂估")&gt;0,"暂估",IF($I1112=0,"没有进价","正常"))))</f>
        <v/>
      </c>
      <c r="L1112" s="27">
        <f>IF($A1112="","",IFERROR(VLOOKUP($A1112,库存台账!$A$5:$Y$1204,24,0),0))</f>
        <v/>
      </c>
      <c r="M1112" s="26">
        <f>IF($A1112="","",IFERROR(VLOOKUP($A1112,库存台账!$A$5:$Y$1204,25,0),0))</f>
        <v/>
      </c>
      <c r="N1112" s="19">
        <f>IF($A1112="","",IFERROR(LOOKUP(2,1/((出库单!$D$4:$D$4003=$A1112)*(出库单!$T$4:$T$4003="正常")),出库单!$C$4:$C$4003),""))</f>
        <v/>
      </c>
      <c r="O1112" s="28">
        <f>IF($A1112="","",IF($L1112&lt;=0,"",IF($N1112="",IFERROR(账期止-LOOKUP(2,1/(入库单!$G$4:$G$2503=$A1112),入库单!$C$4:$C$2503),""),账期止-$N1112)))</f>
        <v/>
      </c>
      <c r="P1112" s="17" t="n"/>
    </row>
    <row r="1113">
      <c r="A1113" s="17" t="n"/>
      <c r="B1113" s="17" t="n"/>
      <c r="C1113" s="17" t="n"/>
      <c r="D1113" s="17" t="n"/>
      <c r="E1113" s="17" t="n"/>
      <c r="F1113" s="17" t="n"/>
      <c r="G1113" s="23" t="n"/>
      <c r="H1113" s="24">
        <f>IF($A1113="","",IFERROR(LOOKUP(2,1/((入库单!$G$4:$G$2503=$A1113)*(入库单!$Y$4:$Y$2503="正常")*(入库单!$L$4:$L$2503&gt;0)),入库单!$D$4:$D$2503),""))</f>
        <v/>
      </c>
      <c r="I1113" s="25">
        <f>IF($A1113="","",IFERROR(LOOKUP(2,1/((入库单!$G$4:$G$2503=$A1113)*(入库单!$Y$4:$Y$2503="正常")*(入库单!$L$4:$L$2503&gt;0)),入库单!$L$4:$L$2503),0))</f>
        <v/>
      </c>
      <c r="J1113" s="26">
        <f>IF($A1113="","",IF($H1113="A国内",ROUND($I1113*倍数A*汇率,0),IF($H1113="B当地",ROUND($I1113*系数B,0),0)))</f>
        <v/>
      </c>
      <c r="K1113" s="24">
        <f>IF($A1113="","",IF(COUNTIFS(入库单!$G$4:$G$2503,$A1113,入库单!$X$4:$X$2503,"待补价")&gt;0,"待补价",IF(COUNTIFS(入库单!$G$4:$G$2503,$A1113,入库单!$X$4:$X$2503,"暂估")&gt;0,"暂估",IF($I1113=0,"没有进价","正常"))))</f>
        <v/>
      </c>
      <c r="L1113" s="27">
        <f>IF($A1113="","",IFERROR(VLOOKUP($A1113,库存台账!$A$5:$Y$1204,24,0),0))</f>
        <v/>
      </c>
      <c r="M1113" s="26">
        <f>IF($A1113="","",IFERROR(VLOOKUP($A1113,库存台账!$A$5:$Y$1204,25,0),0))</f>
        <v/>
      </c>
      <c r="N1113" s="19">
        <f>IF($A1113="","",IFERROR(LOOKUP(2,1/((出库单!$D$4:$D$4003=$A1113)*(出库单!$T$4:$T$4003="正常")),出库单!$C$4:$C$4003),""))</f>
        <v/>
      </c>
      <c r="O1113" s="28">
        <f>IF($A1113="","",IF($L1113&lt;=0,"",IF($N1113="",IFERROR(账期止-LOOKUP(2,1/(入库单!$G$4:$G$2503=$A1113),入库单!$C$4:$C$2503),""),账期止-$N1113)))</f>
        <v/>
      </c>
      <c r="P1113" s="17" t="n"/>
    </row>
    <row r="1114">
      <c r="A1114" s="17" t="n"/>
      <c r="B1114" s="17" t="n"/>
      <c r="C1114" s="17" t="n"/>
      <c r="D1114" s="17" t="n"/>
      <c r="E1114" s="17" t="n"/>
      <c r="F1114" s="17" t="n"/>
      <c r="G1114" s="23" t="n"/>
      <c r="H1114" s="24">
        <f>IF($A1114="","",IFERROR(LOOKUP(2,1/((入库单!$G$4:$G$2503=$A1114)*(入库单!$Y$4:$Y$2503="正常")*(入库单!$L$4:$L$2503&gt;0)),入库单!$D$4:$D$2503),""))</f>
        <v/>
      </c>
      <c r="I1114" s="25">
        <f>IF($A1114="","",IFERROR(LOOKUP(2,1/((入库单!$G$4:$G$2503=$A1114)*(入库单!$Y$4:$Y$2503="正常")*(入库单!$L$4:$L$2503&gt;0)),入库单!$L$4:$L$2503),0))</f>
        <v/>
      </c>
      <c r="J1114" s="26">
        <f>IF($A1114="","",IF($H1114="A国内",ROUND($I1114*倍数A*汇率,0),IF($H1114="B当地",ROUND($I1114*系数B,0),0)))</f>
        <v/>
      </c>
      <c r="K1114" s="24">
        <f>IF($A1114="","",IF(COUNTIFS(入库单!$G$4:$G$2503,$A1114,入库单!$X$4:$X$2503,"待补价")&gt;0,"待补价",IF(COUNTIFS(入库单!$G$4:$G$2503,$A1114,入库单!$X$4:$X$2503,"暂估")&gt;0,"暂估",IF($I1114=0,"没有进价","正常"))))</f>
        <v/>
      </c>
      <c r="L1114" s="27">
        <f>IF($A1114="","",IFERROR(VLOOKUP($A1114,库存台账!$A$5:$Y$1204,24,0),0))</f>
        <v/>
      </c>
      <c r="M1114" s="26">
        <f>IF($A1114="","",IFERROR(VLOOKUP($A1114,库存台账!$A$5:$Y$1204,25,0),0))</f>
        <v/>
      </c>
      <c r="N1114" s="19">
        <f>IF($A1114="","",IFERROR(LOOKUP(2,1/((出库单!$D$4:$D$4003=$A1114)*(出库单!$T$4:$T$4003="正常")),出库单!$C$4:$C$4003),""))</f>
        <v/>
      </c>
      <c r="O1114" s="28">
        <f>IF($A1114="","",IF($L1114&lt;=0,"",IF($N1114="",IFERROR(账期止-LOOKUP(2,1/(入库单!$G$4:$G$2503=$A1114),入库单!$C$4:$C$2503),""),账期止-$N1114)))</f>
        <v/>
      </c>
      <c r="P1114" s="17" t="n"/>
    </row>
    <row r="1115">
      <c r="A1115" s="17" t="n"/>
      <c r="B1115" s="17" t="n"/>
      <c r="C1115" s="17" t="n"/>
      <c r="D1115" s="17" t="n"/>
      <c r="E1115" s="17" t="n"/>
      <c r="F1115" s="17" t="n"/>
      <c r="G1115" s="23" t="n"/>
      <c r="H1115" s="24">
        <f>IF($A1115="","",IFERROR(LOOKUP(2,1/((入库单!$G$4:$G$2503=$A1115)*(入库单!$Y$4:$Y$2503="正常")*(入库单!$L$4:$L$2503&gt;0)),入库单!$D$4:$D$2503),""))</f>
        <v/>
      </c>
      <c r="I1115" s="25">
        <f>IF($A1115="","",IFERROR(LOOKUP(2,1/((入库单!$G$4:$G$2503=$A1115)*(入库单!$Y$4:$Y$2503="正常")*(入库单!$L$4:$L$2503&gt;0)),入库单!$L$4:$L$2503),0))</f>
        <v/>
      </c>
      <c r="J1115" s="26">
        <f>IF($A1115="","",IF($H1115="A国内",ROUND($I1115*倍数A*汇率,0),IF($H1115="B当地",ROUND($I1115*系数B,0),0)))</f>
        <v/>
      </c>
      <c r="K1115" s="24">
        <f>IF($A1115="","",IF(COUNTIFS(入库单!$G$4:$G$2503,$A1115,入库单!$X$4:$X$2503,"待补价")&gt;0,"待补价",IF(COUNTIFS(入库单!$G$4:$G$2503,$A1115,入库单!$X$4:$X$2503,"暂估")&gt;0,"暂估",IF($I1115=0,"没有进价","正常"))))</f>
        <v/>
      </c>
      <c r="L1115" s="27">
        <f>IF($A1115="","",IFERROR(VLOOKUP($A1115,库存台账!$A$5:$Y$1204,24,0),0))</f>
        <v/>
      </c>
      <c r="M1115" s="26">
        <f>IF($A1115="","",IFERROR(VLOOKUP($A1115,库存台账!$A$5:$Y$1204,25,0),0))</f>
        <v/>
      </c>
      <c r="N1115" s="19">
        <f>IF($A1115="","",IFERROR(LOOKUP(2,1/((出库单!$D$4:$D$4003=$A1115)*(出库单!$T$4:$T$4003="正常")),出库单!$C$4:$C$4003),""))</f>
        <v/>
      </c>
      <c r="O1115" s="28">
        <f>IF($A1115="","",IF($L1115&lt;=0,"",IF($N1115="",IFERROR(账期止-LOOKUP(2,1/(入库单!$G$4:$G$2503=$A1115),入库单!$C$4:$C$2503),""),账期止-$N1115)))</f>
        <v/>
      </c>
      <c r="P1115" s="17" t="n"/>
    </row>
    <row r="1116">
      <c r="A1116" s="17" t="n"/>
      <c r="B1116" s="17" t="n"/>
      <c r="C1116" s="17" t="n"/>
      <c r="D1116" s="17" t="n"/>
      <c r="E1116" s="17" t="n"/>
      <c r="F1116" s="17" t="n"/>
      <c r="G1116" s="23" t="n"/>
      <c r="H1116" s="24">
        <f>IF($A1116="","",IFERROR(LOOKUP(2,1/((入库单!$G$4:$G$2503=$A1116)*(入库单!$Y$4:$Y$2503="正常")*(入库单!$L$4:$L$2503&gt;0)),入库单!$D$4:$D$2503),""))</f>
        <v/>
      </c>
      <c r="I1116" s="25">
        <f>IF($A1116="","",IFERROR(LOOKUP(2,1/((入库单!$G$4:$G$2503=$A1116)*(入库单!$Y$4:$Y$2503="正常")*(入库单!$L$4:$L$2503&gt;0)),入库单!$L$4:$L$2503),0))</f>
        <v/>
      </c>
      <c r="J1116" s="26">
        <f>IF($A1116="","",IF($H1116="A国内",ROUND($I1116*倍数A*汇率,0),IF($H1116="B当地",ROUND($I1116*系数B,0),0)))</f>
        <v/>
      </c>
      <c r="K1116" s="24">
        <f>IF($A1116="","",IF(COUNTIFS(入库单!$G$4:$G$2503,$A1116,入库单!$X$4:$X$2503,"待补价")&gt;0,"待补价",IF(COUNTIFS(入库单!$G$4:$G$2503,$A1116,入库单!$X$4:$X$2503,"暂估")&gt;0,"暂估",IF($I1116=0,"没有进价","正常"))))</f>
        <v/>
      </c>
      <c r="L1116" s="27">
        <f>IF($A1116="","",IFERROR(VLOOKUP($A1116,库存台账!$A$5:$Y$1204,24,0),0))</f>
        <v/>
      </c>
      <c r="M1116" s="26">
        <f>IF($A1116="","",IFERROR(VLOOKUP($A1116,库存台账!$A$5:$Y$1204,25,0),0))</f>
        <v/>
      </c>
      <c r="N1116" s="19">
        <f>IF($A1116="","",IFERROR(LOOKUP(2,1/((出库单!$D$4:$D$4003=$A1116)*(出库单!$T$4:$T$4003="正常")),出库单!$C$4:$C$4003),""))</f>
        <v/>
      </c>
      <c r="O1116" s="28">
        <f>IF($A1116="","",IF($L1116&lt;=0,"",IF($N1116="",IFERROR(账期止-LOOKUP(2,1/(入库单!$G$4:$G$2503=$A1116),入库单!$C$4:$C$2503),""),账期止-$N1116)))</f>
        <v/>
      </c>
      <c r="P1116" s="17" t="n"/>
    </row>
    <row r="1117">
      <c r="A1117" s="17" t="n"/>
      <c r="B1117" s="17" t="n"/>
      <c r="C1117" s="17" t="n"/>
      <c r="D1117" s="17" t="n"/>
      <c r="E1117" s="17" t="n"/>
      <c r="F1117" s="17" t="n"/>
      <c r="G1117" s="23" t="n"/>
      <c r="H1117" s="24">
        <f>IF($A1117="","",IFERROR(LOOKUP(2,1/((入库单!$G$4:$G$2503=$A1117)*(入库单!$Y$4:$Y$2503="正常")*(入库单!$L$4:$L$2503&gt;0)),入库单!$D$4:$D$2503),""))</f>
        <v/>
      </c>
      <c r="I1117" s="25">
        <f>IF($A1117="","",IFERROR(LOOKUP(2,1/((入库单!$G$4:$G$2503=$A1117)*(入库单!$Y$4:$Y$2503="正常")*(入库单!$L$4:$L$2503&gt;0)),入库单!$L$4:$L$2503),0))</f>
        <v/>
      </c>
      <c r="J1117" s="26">
        <f>IF($A1117="","",IF($H1117="A国内",ROUND($I1117*倍数A*汇率,0),IF($H1117="B当地",ROUND($I1117*系数B,0),0)))</f>
        <v/>
      </c>
      <c r="K1117" s="24">
        <f>IF($A1117="","",IF(COUNTIFS(入库单!$G$4:$G$2503,$A1117,入库单!$X$4:$X$2503,"待补价")&gt;0,"待补价",IF(COUNTIFS(入库单!$G$4:$G$2503,$A1117,入库单!$X$4:$X$2503,"暂估")&gt;0,"暂估",IF($I1117=0,"没有进价","正常"))))</f>
        <v/>
      </c>
      <c r="L1117" s="27">
        <f>IF($A1117="","",IFERROR(VLOOKUP($A1117,库存台账!$A$5:$Y$1204,24,0),0))</f>
        <v/>
      </c>
      <c r="M1117" s="26">
        <f>IF($A1117="","",IFERROR(VLOOKUP($A1117,库存台账!$A$5:$Y$1204,25,0),0))</f>
        <v/>
      </c>
      <c r="N1117" s="19">
        <f>IF($A1117="","",IFERROR(LOOKUP(2,1/((出库单!$D$4:$D$4003=$A1117)*(出库单!$T$4:$T$4003="正常")),出库单!$C$4:$C$4003),""))</f>
        <v/>
      </c>
      <c r="O1117" s="28">
        <f>IF($A1117="","",IF($L1117&lt;=0,"",IF($N1117="",IFERROR(账期止-LOOKUP(2,1/(入库单!$G$4:$G$2503=$A1117),入库单!$C$4:$C$2503),""),账期止-$N1117)))</f>
        <v/>
      </c>
      <c r="P1117" s="17" t="n"/>
    </row>
    <row r="1118">
      <c r="A1118" s="17" t="n"/>
      <c r="B1118" s="17" t="n"/>
      <c r="C1118" s="17" t="n"/>
      <c r="D1118" s="17" t="n"/>
      <c r="E1118" s="17" t="n"/>
      <c r="F1118" s="17" t="n"/>
      <c r="G1118" s="23" t="n"/>
      <c r="H1118" s="24">
        <f>IF($A1118="","",IFERROR(LOOKUP(2,1/((入库单!$G$4:$G$2503=$A1118)*(入库单!$Y$4:$Y$2503="正常")*(入库单!$L$4:$L$2503&gt;0)),入库单!$D$4:$D$2503),""))</f>
        <v/>
      </c>
      <c r="I1118" s="25">
        <f>IF($A1118="","",IFERROR(LOOKUP(2,1/((入库单!$G$4:$G$2503=$A1118)*(入库单!$Y$4:$Y$2503="正常")*(入库单!$L$4:$L$2503&gt;0)),入库单!$L$4:$L$2503),0))</f>
        <v/>
      </c>
      <c r="J1118" s="26">
        <f>IF($A1118="","",IF($H1118="A国内",ROUND($I1118*倍数A*汇率,0),IF($H1118="B当地",ROUND($I1118*系数B,0),0)))</f>
        <v/>
      </c>
      <c r="K1118" s="24">
        <f>IF($A1118="","",IF(COUNTIFS(入库单!$G$4:$G$2503,$A1118,入库单!$X$4:$X$2503,"待补价")&gt;0,"待补价",IF(COUNTIFS(入库单!$G$4:$G$2503,$A1118,入库单!$X$4:$X$2503,"暂估")&gt;0,"暂估",IF($I1118=0,"没有进价","正常"))))</f>
        <v/>
      </c>
      <c r="L1118" s="27">
        <f>IF($A1118="","",IFERROR(VLOOKUP($A1118,库存台账!$A$5:$Y$1204,24,0),0))</f>
        <v/>
      </c>
      <c r="M1118" s="26">
        <f>IF($A1118="","",IFERROR(VLOOKUP($A1118,库存台账!$A$5:$Y$1204,25,0),0))</f>
        <v/>
      </c>
      <c r="N1118" s="19">
        <f>IF($A1118="","",IFERROR(LOOKUP(2,1/((出库单!$D$4:$D$4003=$A1118)*(出库单!$T$4:$T$4003="正常")),出库单!$C$4:$C$4003),""))</f>
        <v/>
      </c>
      <c r="O1118" s="28">
        <f>IF($A1118="","",IF($L1118&lt;=0,"",IF($N1118="",IFERROR(账期止-LOOKUP(2,1/(入库单!$G$4:$G$2503=$A1118),入库单!$C$4:$C$2503),""),账期止-$N1118)))</f>
        <v/>
      </c>
      <c r="P1118" s="17" t="n"/>
    </row>
    <row r="1119">
      <c r="A1119" s="17" t="n"/>
      <c r="B1119" s="17" t="n"/>
      <c r="C1119" s="17" t="n"/>
      <c r="D1119" s="17" t="n"/>
      <c r="E1119" s="17" t="n"/>
      <c r="F1119" s="17" t="n"/>
      <c r="G1119" s="23" t="n"/>
      <c r="H1119" s="24">
        <f>IF($A1119="","",IFERROR(LOOKUP(2,1/((入库单!$G$4:$G$2503=$A1119)*(入库单!$Y$4:$Y$2503="正常")*(入库单!$L$4:$L$2503&gt;0)),入库单!$D$4:$D$2503),""))</f>
        <v/>
      </c>
      <c r="I1119" s="25">
        <f>IF($A1119="","",IFERROR(LOOKUP(2,1/((入库单!$G$4:$G$2503=$A1119)*(入库单!$Y$4:$Y$2503="正常")*(入库单!$L$4:$L$2503&gt;0)),入库单!$L$4:$L$2503),0))</f>
        <v/>
      </c>
      <c r="J1119" s="26">
        <f>IF($A1119="","",IF($H1119="A国内",ROUND($I1119*倍数A*汇率,0),IF($H1119="B当地",ROUND($I1119*系数B,0),0)))</f>
        <v/>
      </c>
      <c r="K1119" s="24">
        <f>IF($A1119="","",IF(COUNTIFS(入库单!$G$4:$G$2503,$A1119,入库单!$X$4:$X$2503,"待补价")&gt;0,"待补价",IF(COUNTIFS(入库单!$G$4:$G$2503,$A1119,入库单!$X$4:$X$2503,"暂估")&gt;0,"暂估",IF($I1119=0,"没有进价","正常"))))</f>
        <v/>
      </c>
      <c r="L1119" s="27">
        <f>IF($A1119="","",IFERROR(VLOOKUP($A1119,库存台账!$A$5:$Y$1204,24,0),0))</f>
        <v/>
      </c>
      <c r="M1119" s="26">
        <f>IF($A1119="","",IFERROR(VLOOKUP($A1119,库存台账!$A$5:$Y$1204,25,0),0))</f>
        <v/>
      </c>
      <c r="N1119" s="19">
        <f>IF($A1119="","",IFERROR(LOOKUP(2,1/((出库单!$D$4:$D$4003=$A1119)*(出库单!$T$4:$T$4003="正常")),出库单!$C$4:$C$4003),""))</f>
        <v/>
      </c>
      <c r="O1119" s="28">
        <f>IF($A1119="","",IF($L1119&lt;=0,"",IF($N1119="",IFERROR(账期止-LOOKUP(2,1/(入库单!$G$4:$G$2503=$A1119),入库单!$C$4:$C$2503),""),账期止-$N1119)))</f>
        <v/>
      </c>
      <c r="P1119" s="17" t="n"/>
    </row>
    <row r="1120">
      <c r="A1120" s="17" t="n"/>
      <c r="B1120" s="17" t="n"/>
      <c r="C1120" s="17" t="n"/>
      <c r="D1120" s="17" t="n"/>
      <c r="E1120" s="17" t="n"/>
      <c r="F1120" s="17" t="n"/>
      <c r="G1120" s="23" t="n"/>
      <c r="H1120" s="24">
        <f>IF($A1120="","",IFERROR(LOOKUP(2,1/((入库单!$G$4:$G$2503=$A1120)*(入库单!$Y$4:$Y$2503="正常")*(入库单!$L$4:$L$2503&gt;0)),入库单!$D$4:$D$2503),""))</f>
        <v/>
      </c>
      <c r="I1120" s="25">
        <f>IF($A1120="","",IFERROR(LOOKUP(2,1/((入库单!$G$4:$G$2503=$A1120)*(入库单!$Y$4:$Y$2503="正常")*(入库单!$L$4:$L$2503&gt;0)),入库单!$L$4:$L$2503),0))</f>
        <v/>
      </c>
      <c r="J1120" s="26">
        <f>IF($A1120="","",IF($H1120="A国内",ROUND($I1120*倍数A*汇率,0),IF($H1120="B当地",ROUND($I1120*系数B,0),0)))</f>
        <v/>
      </c>
      <c r="K1120" s="24">
        <f>IF($A1120="","",IF(COUNTIFS(入库单!$G$4:$G$2503,$A1120,入库单!$X$4:$X$2503,"待补价")&gt;0,"待补价",IF(COUNTIFS(入库单!$G$4:$G$2503,$A1120,入库单!$X$4:$X$2503,"暂估")&gt;0,"暂估",IF($I1120=0,"没有进价","正常"))))</f>
        <v/>
      </c>
      <c r="L1120" s="27">
        <f>IF($A1120="","",IFERROR(VLOOKUP($A1120,库存台账!$A$5:$Y$1204,24,0),0))</f>
        <v/>
      </c>
      <c r="M1120" s="26">
        <f>IF($A1120="","",IFERROR(VLOOKUP($A1120,库存台账!$A$5:$Y$1204,25,0),0))</f>
        <v/>
      </c>
      <c r="N1120" s="19">
        <f>IF($A1120="","",IFERROR(LOOKUP(2,1/((出库单!$D$4:$D$4003=$A1120)*(出库单!$T$4:$T$4003="正常")),出库单!$C$4:$C$4003),""))</f>
        <v/>
      </c>
      <c r="O1120" s="28">
        <f>IF($A1120="","",IF($L1120&lt;=0,"",IF($N1120="",IFERROR(账期止-LOOKUP(2,1/(入库单!$G$4:$G$2503=$A1120),入库单!$C$4:$C$2503),""),账期止-$N1120)))</f>
        <v/>
      </c>
      <c r="P1120" s="17" t="n"/>
    </row>
    <row r="1121">
      <c r="A1121" s="17" t="n"/>
      <c r="B1121" s="17" t="n"/>
      <c r="C1121" s="17" t="n"/>
      <c r="D1121" s="17" t="n"/>
      <c r="E1121" s="17" t="n"/>
      <c r="F1121" s="17" t="n"/>
      <c r="G1121" s="23" t="n"/>
      <c r="H1121" s="24">
        <f>IF($A1121="","",IFERROR(LOOKUP(2,1/((入库单!$G$4:$G$2503=$A1121)*(入库单!$Y$4:$Y$2503="正常")*(入库单!$L$4:$L$2503&gt;0)),入库单!$D$4:$D$2503),""))</f>
        <v/>
      </c>
      <c r="I1121" s="25">
        <f>IF($A1121="","",IFERROR(LOOKUP(2,1/((入库单!$G$4:$G$2503=$A1121)*(入库单!$Y$4:$Y$2503="正常")*(入库单!$L$4:$L$2503&gt;0)),入库单!$L$4:$L$2503),0))</f>
        <v/>
      </c>
      <c r="J1121" s="26">
        <f>IF($A1121="","",IF($H1121="A国内",ROUND($I1121*倍数A*汇率,0),IF($H1121="B当地",ROUND($I1121*系数B,0),0)))</f>
        <v/>
      </c>
      <c r="K1121" s="24">
        <f>IF($A1121="","",IF(COUNTIFS(入库单!$G$4:$G$2503,$A1121,入库单!$X$4:$X$2503,"待补价")&gt;0,"待补价",IF(COUNTIFS(入库单!$G$4:$G$2503,$A1121,入库单!$X$4:$X$2503,"暂估")&gt;0,"暂估",IF($I1121=0,"没有进价","正常"))))</f>
        <v/>
      </c>
      <c r="L1121" s="27">
        <f>IF($A1121="","",IFERROR(VLOOKUP($A1121,库存台账!$A$5:$Y$1204,24,0),0))</f>
        <v/>
      </c>
      <c r="M1121" s="26">
        <f>IF($A1121="","",IFERROR(VLOOKUP($A1121,库存台账!$A$5:$Y$1204,25,0),0))</f>
        <v/>
      </c>
      <c r="N1121" s="19">
        <f>IF($A1121="","",IFERROR(LOOKUP(2,1/((出库单!$D$4:$D$4003=$A1121)*(出库单!$T$4:$T$4003="正常")),出库单!$C$4:$C$4003),""))</f>
        <v/>
      </c>
      <c r="O1121" s="28">
        <f>IF($A1121="","",IF($L1121&lt;=0,"",IF($N1121="",IFERROR(账期止-LOOKUP(2,1/(入库单!$G$4:$G$2503=$A1121),入库单!$C$4:$C$2503),""),账期止-$N1121)))</f>
        <v/>
      </c>
      <c r="P1121" s="17" t="n"/>
    </row>
    <row r="1122">
      <c r="A1122" s="17" t="n"/>
      <c r="B1122" s="17" t="n"/>
      <c r="C1122" s="17" t="n"/>
      <c r="D1122" s="17" t="n"/>
      <c r="E1122" s="17" t="n"/>
      <c r="F1122" s="17" t="n"/>
      <c r="G1122" s="23" t="n"/>
      <c r="H1122" s="24">
        <f>IF($A1122="","",IFERROR(LOOKUP(2,1/((入库单!$G$4:$G$2503=$A1122)*(入库单!$Y$4:$Y$2503="正常")*(入库单!$L$4:$L$2503&gt;0)),入库单!$D$4:$D$2503),""))</f>
        <v/>
      </c>
      <c r="I1122" s="25">
        <f>IF($A1122="","",IFERROR(LOOKUP(2,1/((入库单!$G$4:$G$2503=$A1122)*(入库单!$Y$4:$Y$2503="正常")*(入库单!$L$4:$L$2503&gt;0)),入库单!$L$4:$L$2503),0))</f>
        <v/>
      </c>
      <c r="J1122" s="26">
        <f>IF($A1122="","",IF($H1122="A国内",ROUND($I1122*倍数A*汇率,0),IF($H1122="B当地",ROUND($I1122*系数B,0),0)))</f>
        <v/>
      </c>
      <c r="K1122" s="24">
        <f>IF($A1122="","",IF(COUNTIFS(入库单!$G$4:$G$2503,$A1122,入库单!$X$4:$X$2503,"待补价")&gt;0,"待补价",IF(COUNTIFS(入库单!$G$4:$G$2503,$A1122,入库单!$X$4:$X$2503,"暂估")&gt;0,"暂估",IF($I1122=0,"没有进价","正常"))))</f>
        <v/>
      </c>
      <c r="L1122" s="27">
        <f>IF($A1122="","",IFERROR(VLOOKUP($A1122,库存台账!$A$5:$Y$1204,24,0),0))</f>
        <v/>
      </c>
      <c r="M1122" s="26">
        <f>IF($A1122="","",IFERROR(VLOOKUP($A1122,库存台账!$A$5:$Y$1204,25,0),0))</f>
        <v/>
      </c>
      <c r="N1122" s="19">
        <f>IF($A1122="","",IFERROR(LOOKUP(2,1/((出库单!$D$4:$D$4003=$A1122)*(出库单!$T$4:$T$4003="正常")),出库单!$C$4:$C$4003),""))</f>
        <v/>
      </c>
      <c r="O1122" s="28">
        <f>IF($A1122="","",IF($L1122&lt;=0,"",IF($N1122="",IFERROR(账期止-LOOKUP(2,1/(入库单!$G$4:$G$2503=$A1122),入库单!$C$4:$C$2503),""),账期止-$N1122)))</f>
        <v/>
      </c>
      <c r="P1122" s="17" t="n"/>
    </row>
    <row r="1123">
      <c r="A1123" s="17" t="n"/>
      <c r="B1123" s="17" t="n"/>
      <c r="C1123" s="17" t="n"/>
      <c r="D1123" s="17" t="n"/>
      <c r="E1123" s="17" t="n"/>
      <c r="F1123" s="17" t="n"/>
      <c r="G1123" s="23" t="n"/>
      <c r="H1123" s="24">
        <f>IF($A1123="","",IFERROR(LOOKUP(2,1/((入库单!$G$4:$G$2503=$A1123)*(入库单!$Y$4:$Y$2503="正常")*(入库单!$L$4:$L$2503&gt;0)),入库单!$D$4:$D$2503),""))</f>
        <v/>
      </c>
      <c r="I1123" s="25">
        <f>IF($A1123="","",IFERROR(LOOKUP(2,1/((入库单!$G$4:$G$2503=$A1123)*(入库单!$Y$4:$Y$2503="正常")*(入库单!$L$4:$L$2503&gt;0)),入库单!$L$4:$L$2503),0))</f>
        <v/>
      </c>
      <c r="J1123" s="26">
        <f>IF($A1123="","",IF($H1123="A国内",ROUND($I1123*倍数A*汇率,0),IF($H1123="B当地",ROUND($I1123*系数B,0),0)))</f>
        <v/>
      </c>
      <c r="K1123" s="24">
        <f>IF($A1123="","",IF(COUNTIFS(入库单!$G$4:$G$2503,$A1123,入库单!$X$4:$X$2503,"待补价")&gt;0,"待补价",IF(COUNTIFS(入库单!$G$4:$G$2503,$A1123,入库单!$X$4:$X$2503,"暂估")&gt;0,"暂估",IF($I1123=0,"没有进价","正常"))))</f>
        <v/>
      </c>
      <c r="L1123" s="27">
        <f>IF($A1123="","",IFERROR(VLOOKUP($A1123,库存台账!$A$5:$Y$1204,24,0),0))</f>
        <v/>
      </c>
      <c r="M1123" s="26">
        <f>IF($A1123="","",IFERROR(VLOOKUP($A1123,库存台账!$A$5:$Y$1204,25,0),0))</f>
        <v/>
      </c>
      <c r="N1123" s="19">
        <f>IF($A1123="","",IFERROR(LOOKUP(2,1/((出库单!$D$4:$D$4003=$A1123)*(出库单!$T$4:$T$4003="正常")),出库单!$C$4:$C$4003),""))</f>
        <v/>
      </c>
      <c r="O1123" s="28">
        <f>IF($A1123="","",IF($L1123&lt;=0,"",IF($N1123="",IFERROR(账期止-LOOKUP(2,1/(入库单!$G$4:$G$2503=$A1123),入库单!$C$4:$C$2503),""),账期止-$N1123)))</f>
        <v/>
      </c>
      <c r="P1123" s="17" t="n"/>
    </row>
    <row r="1124">
      <c r="A1124" s="17" t="n"/>
      <c r="B1124" s="17" t="n"/>
      <c r="C1124" s="17" t="n"/>
      <c r="D1124" s="17" t="n"/>
      <c r="E1124" s="17" t="n"/>
      <c r="F1124" s="17" t="n"/>
      <c r="G1124" s="23" t="n"/>
      <c r="H1124" s="24">
        <f>IF($A1124="","",IFERROR(LOOKUP(2,1/((入库单!$G$4:$G$2503=$A1124)*(入库单!$Y$4:$Y$2503="正常")*(入库单!$L$4:$L$2503&gt;0)),入库单!$D$4:$D$2503),""))</f>
        <v/>
      </c>
      <c r="I1124" s="25">
        <f>IF($A1124="","",IFERROR(LOOKUP(2,1/((入库单!$G$4:$G$2503=$A1124)*(入库单!$Y$4:$Y$2503="正常")*(入库单!$L$4:$L$2503&gt;0)),入库单!$L$4:$L$2503),0))</f>
        <v/>
      </c>
      <c r="J1124" s="26">
        <f>IF($A1124="","",IF($H1124="A国内",ROUND($I1124*倍数A*汇率,0),IF($H1124="B当地",ROUND($I1124*系数B,0),0)))</f>
        <v/>
      </c>
      <c r="K1124" s="24">
        <f>IF($A1124="","",IF(COUNTIFS(入库单!$G$4:$G$2503,$A1124,入库单!$X$4:$X$2503,"待补价")&gt;0,"待补价",IF(COUNTIFS(入库单!$G$4:$G$2503,$A1124,入库单!$X$4:$X$2503,"暂估")&gt;0,"暂估",IF($I1124=0,"没有进价","正常"))))</f>
        <v/>
      </c>
      <c r="L1124" s="27">
        <f>IF($A1124="","",IFERROR(VLOOKUP($A1124,库存台账!$A$5:$Y$1204,24,0),0))</f>
        <v/>
      </c>
      <c r="M1124" s="26">
        <f>IF($A1124="","",IFERROR(VLOOKUP($A1124,库存台账!$A$5:$Y$1204,25,0),0))</f>
        <v/>
      </c>
      <c r="N1124" s="19">
        <f>IF($A1124="","",IFERROR(LOOKUP(2,1/((出库单!$D$4:$D$4003=$A1124)*(出库单!$T$4:$T$4003="正常")),出库单!$C$4:$C$4003),""))</f>
        <v/>
      </c>
      <c r="O1124" s="28">
        <f>IF($A1124="","",IF($L1124&lt;=0,"",IF($N1124="",IFERROR(账期止-LOOKUP(2,1/(入库单!$G$4:$G$2503=$A1124),入库单!$C$4:$C$2503),""),账期止-$N1124)))</f>
        <v/>
      </c>
      <c r="P1124" s="17" t="n"/>
    </row>
    <row r="1125">
      <c r="A1125" s="17" t="n"/>
      <c r="B1125" s="17" t="n"/>
      <c r="C1125" s="17" t="n"/>
      <c r="D1125" s="17" t="n"/>
      <c r="E1125" s="17" t="n"/>
      <c r="F1125" s="17" t="n"/>
      <c r="G1125" s="23" t="n"/>
      <c r="H1125" s="24">
        <f>IF($A1125="","",IFERROR(LOOKUP(2,1/((入库单!$G$4:$G$2503=$A1125)*(入库单!$Y$4:$Y$2503="正常")*(入库单!$L$4:$L$2503&gt;0)),入库单!$D$4:$D$2503),""))</f>
        <v/>
      </c>
      <c r="I1125" s="25">
        <f>IF($A1125="","",IFERROR(LOOKUP(2,1/((入库单!$G$4:$G$2503=$A1125)*(入库单!$Y$4:$Y$2503="正常")*(入库单!$L$4:$L$2503&gt;0)),入库单!$L$4:$L$2503),0))</f>
        <v/>
      </c>
      <c r="J1125" s="26">
        <f>IF($A1125="","",IF($H1125="A国内",ROUND($I1125*倍数A*汇率,0),IF($H1125="B当地",ROUND($I1125*系数B,0),0)))</f>
        <v/>
      </c>
      <c r="K1125" s="24">
        <f>IF($A1125="","",IF(COUNTIFS(入库单!$G$4:$G$2503,$A1125,入库单!$X$4:$X$2503,"待补价")&gt;0,"待补价",IF(COUNTIFS(入库单!$G$4:$G$2503,$A1125,入库单!$X$4:$X$2503,"暂估")&gt;0,"暂估",IF($I1125=0,"没有进价","正常"))))</f>
        <v/>
      </c>
      <c r="L1125" s="27">
        <f>IF($A1125="","",IFERROR(VLOOKUP($A1125,库存台账!$A$5:$Y$1204,24,0),0))</f>
        <v/>
      </c>
      <c r="M1125" s="26">
        <f>IF($A1125="","",IFERROR(VLOOKUP($A1125,库存台账!$A$5:$Y$1204,25,0),0))</f>
        <v/>
      </c>
      <c r="N1125" s="19">
        <f>IF($A1125="","",IFERROR(LOOKUP(2,1/((出库单!$D$4:$D$4003=$A1125)*(出库单!$T$4:$T$4003="正常")),出库单!$C$4:$C$4003),""))</f>
        <v/>
      </c>
      <c r="O1125" s="28">
        <f>IF($A1125="","",IF($L1125&lt;=0,"",IF($N1125="",IFERROR(账期止-LOOKUP(2,1/(入库单!$G$4:$G$2503=$A1125),入库单!$C$4:$C$2503),""),账期止-$N1125)))</f>
        <v/>
      </c>
      <c r="P1125" s="17" t="n"/>
    </row>
    <row r="1126">
      <c r="A1126" s="17" t="n"/>
      <c r="B1126" s="17" t="n"/>
      <c r="C1126" s="17" t="n"/>
      <c r="D1126" s="17" t="n"/>
      <c r="E1126" s="17" t="n"/>
      <c r="F1126" s="17" t="n"/>
      <c r="G1126" s="23" t="n"/>
      <c r="H1126" s="24">
        <f>IF($A1126="","",IFERROR(LOOKUP(2,1/((入库单!$G$4:$G$2503=$A1126)*(入库单!$Y$4:$Y$2503="正常")*(入库单!$L$4:$L$2503&gt;0)),入库单!$D$4:$D$2503),""))</f>
        <v/>
      </c>
      <c r="I1126" s="25">
        <f>IF($A1126="","",IFERROR(LOOKUP(2,1/((入库单!$G$4:$G$2503=$A1126)*(入库单!$Y$4:$Y$2503="正常")*(入库单!$L$4:$L$2503&gt;0)),入库单!$L$4:$L$2503),0))</f>
        <v/>
      </c>
      <c r="J1126" s="26">
        <f>IF($A1126="","",IF($H1126="A国内",ROUND($I1126*倍数A*汇率,0),IF($H1126="B当地",ROUND($I1126*系数B,0),0)))</f>
        <v/>
      </c>
      <c r="K1126" s="24">
        <f>IF($A1126="","",IF(COUNTIFS(入库单!$G$4:$G$2503,$A1126,入库单!$X$4:$X$2503,"待补价")&gt;0,"待补价",IF(COUNTIFS(入库单!$G$4:$G$2503,$A1126,入库单!$X$4:$X$2503,"暂估")&gt;0,"暂估",IF($I1126=0,"没有进价","正常"))))</f>
        <v/>
      </c>
      <c r="L1126" s="27">
        <f>IF($A1126="","",IFERROR(VLOOKUP($A1126,库存台账!$A$5:$Y$1204,24,0),0))</f>
        <v/>
      </c>
      <c r="M1126" s="26">
        <f>IF($A1126="","",IFERROR(VLOOKUP($A1126,库存台账!$A$5:$Y$1204,25,0),0))</f>
        <v/>
      </c>
      <c r="N1126" s="19">
        <f>IF($A1126="","",IFERROR(LOOKUP(2,1/((出库单!$D$4:$D$4003=$A1126)*(出库单!$T$4:$T$4003="正常")),出库单!$C$4:$C$4003),""))</f>
        <v/>
      </c>
      <c r="O1126" s="28">
        <f>IF($A1126="","",IF($L1126&lt;=0,"",IF($N1126="",IFERROR(账期止-LOOKUP(2,1/(入库单!$G$4:$G$2503=$A1126),入库单!$C$4:$C$2503),""),账期止-$N1126)))</f>
        <v/>
      </c>
      <c r="P1126" s="17" t="n"/>
    </row>
    <row r="1127">
      <c r="A1127" s="17" t="n"/>
      <c r="B1127" s="17" t="n"/>
      <c r="C1127" s="17" t="n"/>
      <c r="D1127" s="17" t="n"/>
      <c r="E1127" s="17" t="n"/>
      <c r="F1127" s="17" t="n"/>
      <c r="G1127" s="23" t="n"/>
      <c r="H1127" s="24">
        <f>IF($A1127="","",IFERROR(LOOKUP(2,1/((入库单!$G$4:$G$2503=$A1127)*(入库单!$Y$4:$Y$2503="正常")*(入库单!$L$4:$L$2503&gt;0)),入库单!$D$4:$D$2503),""))</f>
        <v/>
      </c>
      <c r="I1127" s="25">
        <f>IF($A1127="","",IFERROR(LOOKUP(2,1/((入库单!$G$4:$G$2503=$A1127)*(入库单!$Y$4:$Y$2503="正常")*(入库单!$L$4:$L$2503&gt;0)),入库单!$L$4:$L$2503),0))</f>
        <v/>
      </c>
      <c r="J1127" s="26">
        <f>IF($A1127="","",IF($H1127="A国内",ROUND($I1127*倍数A*汇率,0),IF($H1127="B当地",ROUND($I1127*系数B,0),0)))</f>
        <v/>
      </c>
      <c r="K1127" s="24">
        <f>IF($A1127="","",IF(COUNTIFS(入库单!$G$4:$G$2503,$A1127,入库单!$X$4:$X$2503,"待补价")&gt;0,"待补价",IF(COUNTIFS(入库单!$G$4:$G$2503,$A1127,入库单!$X$4:$X$2503,"暂估")&gt;0,"暂估",IF($I1127=0,"没有进价","正常"))))</f>
        <v/>
      </c>
      <c r="L1127" s="27">
        <f>IF($A1127="","",IFERROR(VLOOKUP($A1127,库存台账!$A$5:$Y$1204,24,0),0))</f>
        <v/>
      </c>
      <c r="M1127" s="26">
        <f>IF($A1127="","",IFERROR(VLOOKUP($A1127,库存台账!$A$5:$Y$1204,25,0),0))</f>
        <v/>
      </c>
      <c r="N1127" s="19">
        <f>IF($A1127="","",IFERROR(LOOKUP(2,1/((出库单!$D$4:$D$4003=$A1127)*(出库单!$T$4:$T$4003="正常")),出库单!$C$4:$C$4003),""))</f>
        <v/>
      </c>
      <c r="O1127" s="28">
        <f>IF($A1127="","",IF($L1127&lt;=0,"",IF($N1127="",IFERROR(账期止-LOOKUP(2,1/(入库单!$G$4:$G$2503=$A1127),入库单!$C$4:$C$2503),""),账期止-$N1127)))</f>
        <v/>
      </c>
      <c r="P1127" s="17" t="n"/>
    </row>
    <row r="1128">
      <c r="A1128" s="17" t="n"/>
      <c r="B1128" s="17" t="n"/>
      <c r="C1128" s="17" t="n"/>
      <c r="D1128" s="17" t="n"/>
      <c r="E1128" s="17" t="n"/>
      <c r="F1128" s="17" t="n"/>
      <c r="G1128" s="23" t="n"/>
      <c r="H1128" s="24">
        <f>IF($A1128="","",IFERROR(LOOKUP(2,1/((入库单!$G$4:$G$2503=$A1128)*(入库单!$Y$4:$Y$2503="正常")*(入库单!$L$4:$L$2503&gt;0)),入库单!$D$4:$D$2503),""))</f>
        <v/>
      </c>
      <c r="I1128" s="25">
        <f>IF($A1128="","",IFERROR(LOOKUP(2,1/((入库单!$G$4:$G$2503=$A1128)*(入库单!$Y$4:$Y$2503="正常")*(入库单!$L$4:$L$2503&gt;0)),入库单!$L$4:$L$2503),0))</f>
        <v/>
      </c>
      <c r="J1128" s="26">
        <f>IF($A1128="","",IF($H1128="A国内",ROUND($I1128*倍数A*汇率,0),IF($H1128="B当地",ROUND($I1128*系数B,0),0)))</f>
        <v/>
      </c>
      <c r="K1128" s="24">
        <f>IF($A1128="","",IF(COUNTIFS(入库单!$G$4:$G$2503,$A1128,入库单!$X$4:$X$2503,"待补价")&gt;0,"待补价",IF(COUNTIFS(入库单!$G$4:$G$2503,$A1128,入库单!$X$4:$X$2503,"暂估")&gt;0,"暂估",IF($I1128=0,"没有进价","正常"))))</f>
        <v/>
      </c>
      <c r="L1128" s="27">
        <f>IF($A1128="","",IFERROR(VLOOKUP($A1128,库存台账!$A$5:$Y$1204,24,0),0))</f>
        <v/>
      </c>
      <c r="M1128" s="26">
        <f>IF($A1128="","",IFERROR(VLOOKUP($A1128,库存台账!$A$5:$Y$1204,25,0),0))</f>
        <v/>
      </c>
      <c r="N1128" s="19">
        <f>IF($A1128="","",IFERROR(LOOKUP(2,1/((出库单!$D$4:$D$4003=$A1128)*(出库单!$T$4:$T$4003="正常")),出库单!$C$4:$C$4003),""))</f>
        <v/>
      </c>
      <c r="O1128" s="28">
        <f>IF($A1128="","",IF($L1128&lt;=0,"",IF($N1128="",IFERROR(账期止-LOOKUP(2,1/(入库单!$G$4:$G$2503=$A1128),入库单!$C$4:$C$2503),""),账期止-$N1128)))</f>
        <v/>
      </c>
      <c r="P1128" s="17" t="n"/>
    </row>
    <row r="1129">
      <c r="A1129" s="17" t="n"/>
      <c r="B1129" s="17" t="n"/>
      <c r="C1129" s="17" t="n"/>
      <c r="D1129" s="17" t="n"/>
      <c r="E1129" s="17" t="n"/>
      <c r="F1129" s="17" t="n"/>
      <c r="G1129" s="23" t="n"/>
      <c r="H1129" s="24">
        <f>IF($A1129="","",IFERROR(LOOKUP(2,1/((入库单!$G$4:$G$2503=$A1129)*(入库单!$Y$4:$Y$2503="正常")*(入库单!$L$4:$L$2503&gt;0)),入库单!$D$4:$D$2503),""))</f>
        <v/>
      </c>
      <c r="I1129" s="25">
        <f>IF($A1129="","",IFERROR(LOOKUP(2,1/((入库单!$G$4:$G$2503=$A1129)*(入库单!$Y$4:$Y$2503="正常")*(入库单!$L$4:$L$2503&gt;0)),入库单!$L$4:$L$2503),0))</f>
        <v/>
      </c>
      <c r="J1129" s="26">
        <f>IF($A1129="","",IF($H1129="A国内",ROUND($I1129*倍数A*汇率,0),IF($H1129="B当地",ROUND($I1129*系数B,0),0)))</f>
        <v/>
      </c>
      <c r="K1129" s="24">
        <f>IF($A1129="","",IF(COUNTIFS(入库单!$G$4:$G$2503,$A1129,入库单!$X$4:$X$2503,"待补价")&gt;0,"待补价",IF(COUNTIFS(入库单!$G$4:$G$2503,$A1129,入库单!$X$4:$X$2503,"暂估")&gt;0,"暂估",IF($I1129=0,"没有进价","正常"))))</f>
        <v/>
      </c>
      <c r="L1129" s="27">
        <f>IF($A1129="","",IFERROR(VLOOKUP($A1129,库存台账!$A$5:$Y$1204,24,0),0))</f>
        <v/>
      </c>
      <c r="M1129" s="26">
        <f>IF($A1129="","",IFERROR(VLOOKUP($A1129,库存台账!$A$5:$Y$1204,25,0),0))</f>
        <v/>
      </c>
      <c r="N1129" s="19">
        <f>IF($A1129="","",IFERROR(LOOKUP(2,1/((出库单!$D$4:$D$4003=$A1129)*(出库单!$T$4:$T$4003="正常")),出库单!$C$4:$C$4003),""))</f>
        <v/>
      </c>
      <c r="O1129" s="28">
        <f>IF($A1129="","",IF($L1129&lt;=0,"",IF($N1129="",IFERROR(账期止-LOOKUP(2,1/(入库单!$G$4:$G$2503=$A1129),入库单!$C$4:$C$2503),""),账期止-$N1129)))</f>
        <v/>
      </c>
      <c r="P1129" s="17" t="n"/>
    </row>
    <row r="1130">
      <c r="A1130" s="17" t="n"/>
      <c r="B1130" s="17" t="n"/>
      <c r="C1130" s="17" t="n"/>
      <c r="D1130" s="17" t="n"/>
      <c r="E1130" s="17" t="n"/>
      <c r="F1130" s="17" t="n"/>
      <c r="G1130" s="23" t="n"/>
      <c r="H1130" s="24">
        <f>IF($A1130="","",IFERROR(LOOKUP(2,1/((入库单!$G$4:$G$2503=$A1130)*(入库单!$Y$4:$Y$2503="正常")*(入库单!$L$4:$L$2503&gt;0)),入库单!$D$4:$D$2503),""))</f>
        <v/>
      </c>
      <c r="I1130" s="25">
        <f>IF($A1130="","",IFERROR(LOOKUP(2,1/((入库单!$G$4:$G$2503=$A1130)*(入库单!$Y$4:$Y$2503="正常")*(入库单!$L$4:$L$2503&gt;0)),入库单!$L$4:$L$2503),0))</f>
        <v/>
      </c>
      <c r="J1130" s="26">
        <f>IF($A1130="","",IF($H1130="A国内",ROUND($I1130*倍数A*汇率,0),IF($H1130="B当地",ROUND($I1130*系数B,0),0)))</f>
        <v/>
      </c>
      <c r="K1130" s="24">
        <f>IF($A1130="","",IF(COUNTIFS(入库单!$G$4:$G$2503,$A1130,入库单!$X$4:$X$2503,"待补价")&gt;0,"待补价",IF(COUNTIFS(入库单!$G$4:$G$2503,$A1130,入库单!$X$4:$X$2503,"暂估")&gt;0,"暂估",IF($I1130=0,"没有进价","正常"))))</f>
        <v/>
      </c>
      <c r="L1130" s="27">
        <f>IF($A1130="","",IFERROR(VLOOKUP($A1130,库存台账!$A$5:$Y$1204,24,0),0))</f>
        <v/>
      </c>
      <c r="M1130" s="26">
        <f>IF($A1130="","",IFERROR(VLOOKUP($A1130,库存台账!$A$5:$Y$1204,25,0),0))</f>
        <v/>
      </c>
      <c r="N1130" s="19">
        <f>IF($A1130="","",IFERROR(LOOKUP(2,1/((出库单!$D$4:$D$4003=$A1130)*(出库单!$T$4:$T$4003="正常")),出库单!$C$4:$C$4003),""))</f>
        <v/>
      </c>
      <c r="O1130" s="28">
        <f>IF($A1130="","",IF($L1130&lt;=0,"",IF($N1130="",IFERROR(账期止-LOOKUP(2,1/(入库单!$G$4:$G$2503=$A1130),入库单!$C$4:$C$2503),""),账期止-$N1130)))</f>
        <v/>
      </c>
      <c r="P1130" s="17" t="n"/>
    </row>
    <row r="1131">
      <c r="A1131" s="17" t="n"/>
      <c r="B1131" s="17" t="n"/>
      <c r="C1131" s="17" t="n"/>
      <c r="D1131" s="17" t="n"/>
      <c r="E1131" s="17" t="n"/>
      <c r="F1131" s="17" t="n"/>
      <c r="G1131" s="23" t="n"/>
      <c r="H1131" s="24">
        <f>IF($A1131="","",IFERROR(LOOKUP(2,1/((入库单!$G$4:$G$2503=$A1131)*(入库单!$Y$4:$Y$2503="正常")*(入库单!$L$4:$L$2503&gt;0)),入库单!$D$4:$D$2503),""))</f>
        <v/>
      </c>
      <c r="I1131" s="25">
        <f>IF($A1131="","",IFERROR(LOOKUP(2,1/((入库单!$G$4:$G$2503=$A1131)*(入库单!$Y$4:$Y$2503="正常")*(入库单!$L$4:$L$2503&gt;0)),入库单!$L$4:$L$2503),0))</f>
        <v/>
      </c>
      <c r="J1131" s="26">
        <f>IF($A1131="","",IF($H1131="A国内",ROUND($I1131*倍数A*汇率,0),IF($H1131="B当地",ROUND($I1131*系数B,0),0)))</f>
        <v/>
      </c>
      <c r="K1131" s="24">
        <f>IF($A1131="","",IF(COUNTIFS(入库单!$G$4:$G$2503,$A1131,入库单!$X$4:$X$2503,"待补价")&gt;0,"待补价",IF(COUNTIFS(入库单!$G$4:$G$2503,$A1131,入库单!$X$4:$X$2503,"暂估")&gt;0,"暂估",IF($I1131=0,"没有进价","正常"))))</f>
        <v/>
      </c>
      <c r="L1131" s="27">
        <f>IF($A1131="","",IFERROR(VLOOKUP($A1131,库存台账!$A$5:$Y$1204,24,0),0))</f>
        <v/>
      </c>
      <c r="M1131" s="26">
        <f>IF($A1131="","",IFERROR(VLOOKUP($A1131,库存台账!$A$5:$Y$1204,25,0),0))</f>
        <v/>
      </c>
      <c r="N1131" s="19">
        <f>IF($A1131="","",IFERROR(LOOKUP(2,1/((出库单!$D$4:$D$4003=$A1131)*(出库单!$T$4:$T$4003="正常")),出库单!$C$4:$C$4003),""))</f>
        <v/>
      </c>
      <c r="O1131" s="28">
        <f>IF($A1131="","",IF($L1131&lt;=0,"",IF($N1131="",IFERROR(账期止-LOOKUP(2,1/(入库单!$G$4:$G$2503=$A1131),入库单!$C$4:$C$2503),""),账期止-$N1131)))</f>
        <v/>
      </c>
      <c r="P1131" s="17" t="n"/>
    </row>
    <row r="1132">
      <c r="A1132" s="17" t="n"/>
      <c r="B1132" s="17" t="n"/>
      <c r="C1132" s="17" t="n"/>
      <c r="D1132" s="17" t="n"/>
      <c r="E1132" s="17" t="n"/>
      <c r="F1132" s="17" t="n"/>
      <c r="G1132" s="23" t="n"/>
      <c r="H1132" s="24">
        <f>IF($A1132="","",IFERROR(LOOKUP(2,1/((入库单!$G$4:$G$2503=$A1132)*(入库单!$Y$4:$Y$2503="正常")*(入库单!$L$4:$L$2503&gt;0)),入库单!$D$4:$D$2503),""))</f>
        <v/>
      </c>
      <c r="I1132" s="25">
        <f>IF($A1132="","",IFERROR(LOOKUP(2,1/((入库单!$G$4:$G$2503=$A1132)*(入库单!$Y$4:$Y$2503="正常")*(入库单!$L$4:$L$2503&gt;0)),入库单!$L$4:$L$2503),0))</f>
        <v/>
      </c>
      <c r="J1132" s="26">
        <f>IF($A1132="","",IF($H1132="A国内",ROUND($I1132*倍数A*汇率,0),IF($H1132="B当地",ROUND($I1132*系数B,0),0)))</f>
        <v/>
      </c>
      <c r="K1132" s="24">
        <f>IF($A1132="","",IF(COUNTIFS(入库单!$G$4:$G$2503,$A1132,入库单!$X$4:$X$2503,"待补价")&gt;0,"待补价",IF(COUNTIFS(入库单!$G$4:$G$2503,$A1132,入库单!$X$4:$X$2503,"暂估")&gt;0,"暂估",IF($I1132=0,"没有进价","正常"))))</f>
        <v/>
      </c>
      <c r="L1132" s="27">
        <f>IF($A1132="","",IFERROR(VLOOKUP($A1132,库存台账!$A$5:$Y$1204,24,0),0))</f>
        <v/>
      </c>
      <c r="M1132" s="26">
        <f>IF($A1132="","",IFERROR(VLOOKUP($A1132,库存台账!$A$5:$Y$1204,25,0),0))</f>
        <v/>
      </c>
      <c r="N1132" s="19">
        <f>IF($A1132="","",IFERROR(LOOKUP(2,1/((出库单!$D$4:$D$4003=$A1132)*(出库单!$T$4:$T$4003="正常")),出库单!$C$4:$C$4003),""))</f>
        <v/>
      </c>
      <c r="O1132" s="28">
        <f>IF($A1132="","",IF($L1132&lt;=0,"",IF($N1132="",IFERROR(账期止-LOOKUP(2,1/(入库单!$G$4:$G$2503=$A1132),入库单!$C$4:$C$2503),""),账期止-$N1132)))</f>
        <v/>
      </c>
      <c r="P1132" s="17" t="n"/>
    </row>
    <row r="1133">
      <c r="A1133" s="17" t="n"/>
      <c r="B1133" s="17" t="n"/>
      <c r="C1133" s="17" t="n"/>
      <c r="D1133" s="17" t="n"/>
      <c r="E1133" s="17" t="n"/>
      <c r="F1133" s="17" t="n"/>
      <c r="G1133" s="23" t="n"/>
      <c r="H1133" s="24">
        <f>IF($A1133="","",IFERROR(LOOKUP(2,1/((入库单!$G$4:$G$2503=$A1133)*(入库单!$Y$4:$Y$2503="正常")*(入库单!$L$4:$L$2503&gt;0)),入库单!$D$4:$D$2503),""))</f>
        <v/>
      </c>
      <c r="I1133" s="25">
        <f>IF($A1133="","",IFERROR(LOOKUP(2,1/((入库单!$G$4:$G$2503=$A1133)*(入库单!$Y$4:$Y$2503="正常")*(入库单!$L$4:$L$2503&gt;0)),入库单!$L$4:$L$2503),0))</f>
        <v/>
      </c>
      <c r="J1133" s="26">
        <f>IF($A1133="","",IF($H1133="A国内",ROUND($I1133*倍数A*汇率,0),IF($H1133="B当地",ROUND($I1133*系数B,0),0)))</f>
        <v/>
      </c>
      <c r="K1133" s="24">
        <f>IF($A1133="","",IF(COUNTIFS(入库单!$G$4:$G$2503,$A1133,入库单!$X$4:$X$2503,"待补价")&gt;0,"待补价",IF(COUNTIFS(入库单!$G$4:$G$2503,$A1133,入库单!$X$4:$X$2503,"暂估")&gt;0,"暂估",IF($I1133=0,"没有进价","正常"))))</f>
        <v/>
      </c>
      <c r="L1133" s="27">
        <f>IF($A1133="","",IFERROR(VLOOKUP($A1133,库存台账!$A$5:$Y$1204,24,0),0))</f>
        <v/>
      </c>
      <c r="M1133" s="26">
        <f>IF($A1133="","",IFERROR(VLOOKUP($A1133,库存台账!$A$5:$Y$1204,25,0),0))</f>
        <v/>
      </c>
      <c r="N1133" s="19">
        <f>IF($A1133="","",IFERROR(LOOKUP(2,1/((出库单!$D$4:$D$4003=$A1133)*(出库单!$T$4:$T$4003="正常")),出库单!$C$4:$C$4003),""))</f>
        <v/>
      </c>
      <c r="O1133" s="28">
        <f>IF($A1133="","",IF($L1133&lt;=0,"",IF($N1133="",IFERROR(账期止-LOOKUP(2,1/(入库单!$G$4:$G$2503=$A1133),入库单!$C$4:$C$2503),""),账期止-$N1133)))</f>
        <v/>
      </c>
      <c r="P1133" s="17" t="n"/>
    </row>
    <row r="1134">
      <c r="A1134" s="17" t="n"/>
      <c r="B1134" s="17" t="n"/>
      <c r="C1134" s="17" t="n"/>
      <c r="D1134" s="17" t="n"/>
      <c r="E1134" s="17" t="n"/>
      <c r="F1134" s="17" t="n"/>
      <c r="G1134" s="23" t="n"/>
      <c r="H1134" s="24">
        <f>IF($A1134="","",IFERROR(LOOKUP(2,1/((入库单!$G$4:$G$2503=$A1134)*(入库单!$Y$4:$Y$2503="正常")*(入库单!$L$4:$L$2503&gt;0)),入库单!$D$4:$D$2503),""))</f>
        <v/>
      </c>
      <c r="I1134" s="25">
        <f>IF($A1134="","",IFERROR(LOOKUP(2,1/((入库单!$G$4:$G$2503=$A1134)*(入库单!$Y$4:$Y$2503="正常")*(入库单!$L$4:$L$2503&gt;0)),入库单!$L$4:$L$2503),0))</f>
        <v/>
      </c>
      <c r="J1134" s="26">
        <f>IF($A1134="","",IF($H1134="A国内",ROUND($I1134*倍数A*汇率,0),IF($H1134="B当地",ROUND($I1134*系数B,0),0)))</f>
        <v/>
      </c>
      <c r="K1134" s="24">
        <f>IF($A1134="","",IF(COUNTIFS(入库单!$G$4:$G$2503,$A1134,入库单!$X$4:$X$2503,"待补价")&gt;0,"待补价",IF(COUNTIFS(入库单!$G$4:$G$2503,$A1134,入库单!$X$4:$X$2503,"暂估")&gt;0,"暂估",IF($I1134=0,"没有进价","正常"))))</f>
        <v/>
      </c>
      <c r="L1134" s="27">
        <f>IF($A1134="","",IFERROR(VLOOKUP($A1134,库存台账!$A$5:$Y$1204,24,0),0))</f>
        <v/>
      </c>
      <c r="M1134" s="26">
        <f>IF($A1134="","",IFERROR(VLOOKUP($A1134,库存台账!$A$5:$Y$1204,25,0),0))</f>
        <v/>
      </c>
      <c r="N1134" s="19">
        <f>IF($A1134="","",IFERROR(LOOKUP(2,1/((出库单!$D$4:$D$4003=$A1134)*(出库单!$T$4:$T$4003="正常")),出库单!$C$4:$C$4003),""))</f>
        <v/>
      </c>
      <c r="O1134" s="28">
        <f>IF($A1134="","",IF($L1134&lt;=0,"",IF($N1134="",IFERROR(账期止-LOOKUP(2,1/(入库单!$G$4:$G$2503=$A1134),入库单!$C$4:$C$2503),""),账期止-$N1134)))</f>
        <v/>
      </c>
      <c r="P1134" s="17" t="n"/>
    </row>
    <row r="1135">
      <c r="A1135" s="17" t="n"/>
      <c r="B1135" s="17" t="n"/>
      <c r="C1135" s="17" t="n"/>
      <c r="D1135" s="17" t="n"/>
      <c r="E1135" s="17" t="n"/>
      <c r="F1135" s="17" t="n"/>
      <c r="G1135" s="23" t="n"/>
      <c r="H1135" s="24">
        <f>IF($A1135="","",IFERROR(LOOKUP(2,1/((入库单!$G$4:$G$2503=$A1135)*(入库单!$Y$4:$Y$2503="正常")*(入库单!$L$4:$L$2503&gt;0)),入库单!$D$4:$D$2503),""))</f>
        <v/>
      </c>
      <c r="I1135" s="25">
        <f>IF($A1135="","",IFERROR(LOOKUP(2,1/((入库单!$G$4:$G$2503=$A1135)*(入库单!$Y$4:$Y$2503="正常")*(入库单!$L$4:$L$2503&gt;0)),入库单!$L$4:$L$2503),0))</f>
        <v/>
      </c>
      <c r="J1135" s="26">
        <f>IF($A1135="","",IF($H1135="A国内",ROUND($I1135*倍数A*汇率,0),IF($H1135="B当地",ROUND($I1135*系数B,0),0)))</f>
        <v/>
      </c>
      <c r="K1135" s="24">
        <f>IF($A1135="","",IF(COUNTIFS(入库单!$G$4:$G$2503,$A1135,入库单!$X$4:$X$2503,"待补价")&gt;0,"待补价",IF(COUNTIFS(入库单!$G$4:$G$2503,$A1135,入库单!$X$4:$X$2503,"暂估")&gt;0,"暂估",IF($I1135=0,"没有进价","正常"))))</f>
        <v/>
      </c>
      <c r="L1135" s="27">
        <f>IF($A1135="","",IFERROR(VLOOKUP($A1135,库存台账!$A$5:$Y$1204,24,0),0))</f>
        <v/>
      </c>
      <c r="M1135" s="26">
        <f>IF($A1135="","",IFERROR(VLOOKUP($A1135,库存台账!$A$5:$Y$1204,25,0),0))</f>
        <v/>
      </c>
      <c r="N1135" s="19">
        <f>IF($A1135="","",IFERROR(LOOKUP(2,1/((出库单!$D$4:$D$4003=$A1135)*(出库单!$T$4:$T$4003="正常")),出库单!$C$4:$C$4003),""))</f>
        <v/>
      </c>
      <c r="O1135" s="28">
        <f>IF($A1135="","",IF($L1135&lt;=0,"",IF($N1135="",IFERROR(账期止-LOOKUP(2,1/(入库单!$G$4:$G$2503=$A1135),入库单!$C$4:$C$2503),""),账期止-$N1135)))</f>
        <v/>
      </c>
      <c r="P1135" s="17" t="n"/>
    </row>
    <row r="1136">
      <c r="A1136" s="17" t="n"/>
      <c r="B1136" s="17" t="n"/>
      <c r="C1136" s="17" t="n"/>
      <c r="D1136" s="17" t="n"/>
      <c r="E1136" s="17" t="n"/>
      <c r="F1136" s="17" t="n"/>
      <c r="G1136" s="23" t="n"/>
      <c r="H1136" s="24">
        <f>IF($A1136="","",IFERROR(LOOKUP(2,1/((入库单!$G$4:$G$2503=$A1136)*(入库单!$Y$4:$Y$2503="正常")*(入库单!$L$4:$L$2503&gt;0)),入库单!$D$4:$D$2503),""))</f>
        <v/>
      </c>
      <c r="I1136" s="25">
        <f>IF($A1136="","",IFERROR(LOOKUP(2,1/((入库单!$G$4:$G$2503=$A1136)*(入库单!$Y$4:$Y$2503="正常")*(入库单!$L$4:$L$2503&gt;0)),入库单!$L$4:$L$2503),0))</f>
        <v/>
      </c>
      <c r="J1136" s="26">
        <f>IF($A1136="","",IF($H1136="A国内",ROUND($I1136*倍数A*汇率,0),IF($H1136="B当地",ROUND($I1136*系数B,0),0)))</f>
        <v/>
      </c>
      <c r="K1136" s="24">
        <f>IF($A1136="","",IF(COUNTIFS(入库单!$G$4:$G$2503,$A1136,入库单!$X$4:$X$2503,"待补价")&gt;0,"待补价",IF(COUNTIFS(入库单!$G$4:$G$2503,$A1136,入库单!$X$4:$X$2503,"暂估")&gt;0,"暂估",IF($I1136=0,"没有进价","正常"))))</f>
        <v/>
      </c>
      <c r="L1136" s="27">
        <f>IF($A1136="","",IFERROR(VLOOKUP($A1136,库存台账!$A$5:$Y$1204,24,0),0))</f>
        <v/>
      </c>
      <c r="M1136" s="26">
        <f>IF($A1136="","",IFERROR(VLOOKUP($A1136,库存台账!$A$5:$Y$1204,25,0),0))</f>
        <v/>
      </c>
      <c r="N1136" s="19">
        <f>IF($A1136="","",IFERROR(LOOKUP(2,1/((出库单!$D$4:$D$4003=$A1136)*(出库单!$T$4:$T$4003="正常")),出库单!$C$4:$C$4003),""))</f>
        <v/>
      </c>
      <c r="O1136" s="28">
        <f>IF($A1136="","",IF($L1136&lt;=0,"",IF($N1136="",IFERROR(账期止-LOOKUP(2,1/(入库单!$G$4:$G$2503=$A1136),入库单!$C$4:$C$2503),""),账期止-$N1136)))</f>
        <v/>
      </c>
      <c r="P1136" s="17" t="n"/>
    </row>
    <row r="1137">
      <c r="A1137" s="17" t="n"/>
      <c r="B1137" s="17" t="n"/>
      <c r="C1137" s="17" t="n"/>
      <c r="D1137" s="17" t="n"/>
      <c r="E1137" s="17" t="n"/>
      <c r="F1137" s="17" t="n"/>
      <c r="G1137" s="23" t="n"/>
      <c r="H1137" s="24">
        <f>IF($A1137="","",IFERROR(LOOKUP(2,1/((入库单!$G$4:$G$2503=$A1137)*(入库单!$Y$4:$Y$2503="正常")*(入库单!$L$4:$L$2503&gt;0)),入库单!$D$4:$D$2503),""))</f>
        <v/>
      </c>
      <c r="I1137" s="25">
        <f>IF($A1137="","",IFERROR(LOOKUP(2,1/((入库单!$G$4:$G$2503=$A1137)*(入库单!$Y$4:$Y$2503="正常")*(入库单!$L$4:$L$2503&gt;0)),入库单!$L$4:$L$2503),0))</f>
        <v/>
      </c>
      <c r="J1137" s="26">
        <f>IF($A1137="","",IF($H1137="A国内",ROUND($I1137*倍数A*汇率,0),IF($H1137="B当地",ROUND($I1137*系数B,0),0)))</f>
        <v/>
      </c>
      <c r="K1137" s="24">
        <f>IF($A1137="","",IF(COUNTIFS(入库单!$G$4:$G$2503,$A1137,入库单!$X$4:$X$2503,"待补价")&gt;0,"待补价",IF(COUNTIFS(入库单!$G$4:$G$2503,$A1137,入库单!$X$4:$X$2503,"暂估")&gt;0,"暂估",IF($I1137=0,"没有进价","正常"))))</f>
        <v/>
      </c>
      <c r="L1137" s="27">
        <f>IF($A1137="","",IFERROR(VLOOKUP($A1137,库存台账!$A$5:$Y$1204,24,0),0))</f>
        <v/>
      </c>
      <c r="M1137" s="26">
        <f>IF($A1137="","",IFERROR(VLOOKUP($A1137,库存台账!$A$5:$Y$1204,25,0),0))</f>
        <v/>
      </c>
      <c r="N1137" s="19">
        <f>IF($A1137="","",IFERROR(LOOKUP(2,1/((出库单!$D$4:$D$4003=$A1137)*(出库单!$T$4:$T$4003="正常")),出库单!$C$4:$C$4003),""))</f>
        <v/>
      </c>
      <c r="O1137" s="28">
        <f>IF($A1137="","",IF($L1137&lt;=0,"",IF($N1137="",IFERROR(账期止-LOOKUP(2,1/(入库单!$G$4:$G$2503=$A1137),入库单!$C$4:$C$2503),""),账期止-$N1137)))</f>
        <v/>
      </c>
      <c r="P1137" s="17" t="n"/>
    </row>
    <row r="1138">
      <c r="A1138" s="17" t="n"/>
      <c r="B1138" s="17" t="n"/>
      <c r="C1138" s="17" t="n"/>
      <c r="D1138" s="17" t="n"/>
      <c r="E1138" s="17" t="n"/>
      <c r="F1138" s="17" t="n"/>
      <c r="G1138" s="23" t="n"/>
      <c r="H1138" s="24">
        <f>IF($A1138="","",IFERROR(LOOKUP(2,1/((入库单!$G$4:$G$2503=$A1138)*(入库单!$Y$4:$Y$2503="正常")*(入库单!$L$4:$L$2503&gt;0)),入库单!$D$4:$D$2503),""))</f>
        <v/>
      </c>
      <c r="I1138" s="25">
        <f>IF($A1138="","",IFERROR(LOOKUP(2,1/((入库单!$G$4:$G$2503=$A1138)*(入库单!$Y$4:$Y$2503="正常")*(入库单!$L$4:$L$2503&gt;0)),入库单!$L$4:$L$2503),0))</f>
        <v/>
      </c>
      <c r="J1138" s="26">
        <f>IF($A1138="","",IF($H1138="A国内",ROUND($I1138*倍数A*汇率,0),IF($H1138="B当地",ROUND($I1138*系数B,0),0)))</f>
        <v/>
      </c>
      <c r="K1138" s="24">
        <f>IF($A1138="","",IF(COUNTIFS(入库单!$G$4:$G$2503,$A1138,入库单!$X$4:$X$2503,"待补价")&gt;0,"待补价",IF(COUNTIFS(入库单!$G$4:$G$2503,$A1138,入库单!$X$4:$X$2503,"暂估")&gt;0,"暂估",IF($I1138=0,"没有进价","正常"))))</f>
        <v/>
      </c>
      <c r="L1138" s="27">
        <f>IF($A1138="","",IFERROR(VLOOKUP($A1138,库存台账!$A$5:$Y$1204,24,0),0))</f>
        <v/>
      </c>
      <c r="M1138" s="26">
        <f>IF($A1138="","",IFERROR(VLOOKUP($A1138,库存台账!$A$5:$Y$1204,25,0),0))</f>
        <v/>
      </c>
      <c r="N1138" s="19">
        <f>IF($A1138="","",IFERROR(LOOKUP(2,1/((出库单!$D$4:$D$4003=$A1138)*(出库单!$T$4:$T$4003="正常")),出库单!$C$4:$C$4003),""))</f>
        <v/>
      </c>
      <c r="O1138" s="28">
        <f>IF($A1138="","",IF($L1138&lt;=0,"",IF($N1138="",IFERROR(账期止-LOOKUP(2,1/(入库单!$G$4:$G$2503=$A1138),入库单!$C$4:$C$2503),""),账期止-$N1138)))</f>
        <v/>
      </c>
      <c r="P1138" s="17" t="n"/>
    </row>
    <row r="1139">
      <c r="A1139" s="17" t="n"/>
      <c r="B1139" s="17" t="n"/>
      <c r="C1139" s="17" t="n"/>
      <c r="D1139" s="17" t="n"/>
      <c r="E1139" s="17" t="n"/>
      <c r="F1139" s="17" t="n"/>
      <c r="G1139" s="23" t="n"/>
      <c r="H1139" s="24">
        <f>IF($A1139="","",IFERROR(LOOKUP(2,1/((入库单!$G$4:$G$2503=$A1139)*(入库单!$Y$4:$Y$2503="正常")*(入库单!$L$4:$L$2503&gt;0)),入库单!$D$4:$D$2503),""))</f>
        <v/>
      </c>
      <c r="I1139" s="25">
        <f>IF($A1139="","",IFERROR(LOOKUP(2,1/((入库单!$G$4:$G$2503=$A1139)*(入库单!$Y$4:$Y$2503="正常")*(入库单!$L$4:$L$2503&gt;0)),入库单!$L$4:$L$2503),0))</f>
        <v/>
      </c>
      <c r="J1139" s="26">
        <f>IF($A1139="","",IF($H1139="A国内",ROUND($I1139*倍数A*汇率,0),IF($H1139="B当地",ROUND($I1139*系数B,0),0)))</f>
        <v/>
      </c>
      <c r="K1139" s="24">
        <f>IF($A1139="","",IF(COUNTIFS(入库单!$G$4:$G$2503,$A1139,入库单!$X$4:$X$2503,"待补价")&gt;0,"待补价",IF(COUNTIFS(入库单!$G$4:$G$2503,$A1139,入库单!$X$4:$X$2503,"暂估")&gt;0,"暂估",IF($I1139=0,"没有进价","正常"))))</f>
        <v/>
      </c>
      <c r="L1139" s="27">
        <f>IF($A1139="","",IFERROR(VLOOKUP($A1139,库存台账!$A$5:$Y$1204,24,0),0))</f>
        <v/>
      </c>
      <c r="M1139" s="26">
        <f>IF($A1139="","",IFERROR(VLOOKUP($A1139,库存台账!$A$5:$Y$1204,25,0),0))</f>
        <v/>
      </c>
      <c r="N1139" s="19">
        <f>IF($A1139="","",IFERROR(LOOKUP(2,1/((出库单!$D$4:$D$4003=$A1139)*(出库单!$T$4:$T$4003="正常")),出库单!$C$4:$C$4003),""))</f>
        <v/>
      </c>
      <c r="O1139" s="28">
        <f>IF($A1139="","",IF($L1139&lt;=0,"",IF($N1139="",IFERROR(账期止-LOOKUP(2,1/(入库单!$G$4:$G$2503=$A1139),入库单!$C$4:$C$2503),""),账期止-$N1139)))</f>
        <v/>
      </c>
      <c r="P1139" s="17" t="n"/>
    </row>
    <row r="1140">
      <c r="A1140" s="17" t="n"/>
      <c r="B1140" s="17" t="n"/>
      <c r="C1140" s="17" t="n"/>
      <c r="D1140" s="17" t="n"/>
      <c r="E1140" s="17" t="n"/>
      <c r="F1140" s="17" t="n"/>
      <c r="G1140" s="23" t="n"/>
      <c r="H1140" s="24">
        <f>IF($A1140="","",IFERROR(LOOKUP(2,1/((入库单!$G$4:$G$2503=$A1140)*(入库单!$Y$4:$Y$2503="正常")*(入库单!$L$4:$L$2503&gt;0)),入库单!$D$4:$D$2503),""))</f>
        <v/>
      </c>
      <c r="I1140" s="25">
        <f>IF($A1140="","",IFERROR(LOOKUP(2,1/((入库单!$G$4:$G$2503=$A1140)*(入库单!$Y$4:$Y$2503="正常")*(入库单!$L$4:$L$2503&gt;0)),入库单!$L$4:$L$2503),0))</f>
        <v/>
      </c>
      <c r="J1140" s="26">
        <f>IF($A1140="","",IF($H1140="A国内",ROUND($I1140*倍数A*汇率,0),IF($H1140="B当地",ROUND($I1140*系数B,0),0)))</f>
        <v/>
      </c>
      <c r="K1140" s="24">
        <f>IF($A1140="","",IF(COUNTIFS(入库单!$G$4:$G$2503,$A1140,入库单!$X$4:$X$2503,"待补价")&gt;0,"待补价",IF(COUNTIFS(入库单!$G$4:$G$2503,$A1140,入库单!$X$4:$X$2503,"暂估")&gt;0,"暂估",IF($I1140=0,"没有进价","正常"))))</f>
        <v/>
      </c>
      <c r="L1140" s="27">
        <f>IF($A1140="","",IFERROR(VLOOKUP($A1140,库存台账!$A$5:$Y$1204,24,0),0))</f>
        <v/>
      </c>
      <c r="M1140" s="26">
        <f>IF($A1140="","",IFERROR(VLOOKUP($A1140,库存台账!$A$5:$Y$1204,25,0),0))</f>
        <v/>
      </c>
      <c r="N1140" s="19">
        <f>IF($A1140="","",IFERROR(LOOKUP(2,1/((出库单!$D$4:$D$4003=$A1140)*(出库单!$T$4:$T$4003="正常")),出库单!$C$4:$C$4003),""))</f>
        <v/>
      </c>
      <c r="O1140" s="28">
        <f>IF($A1140="","",IF($L1140&lt;=0,"",IF($N1140="",IFERROR(账期止-LOOKUP(2,1/(入库单!$G$4:$G$2503=$A1140),入库单!$C$4:$C$2503),""),账期止-$N1140)))</f>
        <v/>
      </c>
      <c r="P1140" s="17" t="n"/>
    </row>
    <row r="1141">
      <c r="A1141" s="17" t="n"/>
      <c r="B1141" s="17" t="n"/>
      <c r="C1141" s="17" t="n"/>
      <c r="D1141" s="17" t="n"/>
      <c r="E1141" s="17" t="n"/>
      <c r="F1141" s="17" t="n"/>
      <c r="G1141" s="23" t="n"/>
      <c r="H1141" s="24">
        <f>IF($A1141="","",IFERROR(LOOKUP(2,1/((入库单!$G$4:$G$2503=$A1141)*(入库单!$Y$4:$Y$2503="正常")*(入库单!$L$4:$L$2503&gt;0)),入库单!$D$4:$D$2503),""))</f>
        <v/>
      </c>
      <c r="I1141" s="25">
        <f>IF($A1141="","",IFERROR(LOOKUP(2,1/((入库单!$G$4:$G$2503=$A1141)*(入库单!$Y$4:$Y$2503="正常")*(入库单!$L$4:$L$2503&gt;0)),入库单!$L$4:$L$2503),0))</f>
        <v/>
      </c>
      <c r="J1141" s="26">
        <f>IF($A1141="","",IF($H1141="A国内",ROUND($I1141*倍数A*汇率,0),IF($H1141="B当地",ROUND($I1141*系数B,0),0)))</f>
        <v/>
      </c>
      <c r="K1141" s="24">
        <f>IF($A1141="","",IF(COUNTIFS(入库单!$G$4:$G$2503,$A1141,入库单!$X$4:$X$2503,"待补价")&gt;0,"待补价",IF(COUNTIFS(入库单!$G$4:$G$2503,$A1141,入库单!$X$4:$X$2503,"暂估")&gt;0,"暂估",IF($I1141=0,"没有进价","正常"))))</f>
        <v/>
      </c>
      <c r="L1141" s="27">
        <f>IF($A1141="","",IFERROR(VLOOKUP($A1141,库存台账!$A$5:$Y$1204,24,0),0))</f>
        <v/>
      </c>
      <c r="M1141" s="26">
        <f>IF($A1141="","",IFERROR(VLOOKUP($A1141,库存台账!$A$5:$Y$1204,25,0),0))</f>
        <v/>
      </c>
      <c r="N1141" s="19">
        <f>IF($A1141="","",IFERROR(LOOKUP(2,1/((出库单!$D$4:$D$4003=$A1141)*(出库单!$T$4:$T$4003="正常")),出库单!$C$4:$C$4003),""))</f>
        <v/>
      </c>
      <c r="O1141" s="28">
        <f>IF($A1141="","",IF($L1141&lt;=0,"",IF($N1141="",IFERROR(账期止-LOOKUP(2,1/(入库单!$G$4:$G$2503=$A1141),入库单!$C$4:$C$2503),""),账期止-$N1141)))</f>
        <v/>
      </c>
      <c r="P1141" s="17" t="n"/>
    </row>
    <row r="1142">
      <c r="A1142" s="17" t="n"/>
      <c r="B1142" s="17" t="n"/>
      <c r="C1142" s="17" t="n"/>
      <c r="D1142" s="17" t="n"/>
      <c r="E1142" s="17" t="n"/>
      <c r="F1142" s="17" t="n"/>
      <c r="G1142" s="23" t="n"/>
      <c r="H1142" s="24">
        <f>IF($A1142="","",IFERROR(LOOKUP(2,1/((入库单!$G$4:$G$2503=$A1142)*(入库单!$Y$4:$Y$2503="正常")*(入库单!$L$4:$L$2503&gt;0)),入库单!$D$4:$D$2503),""))</f>
        <v/>
      </c>
      <c r="I1142" s="25">
        <f>IF($A1142="","",IFERROR(LOOKUP(2,1/((入库单!$G$4:$G$2503=$A1142)*(入库单!$Y$4:$Y$2503="正常")*(入库单!$L$4:$L$2503&gt;0)),入库单!$L$4:$L$2503),0))</f>
        <v/>
      </c>
      <c r="J1142" s="26">
        <f>IF($A1142="","",IF($H1142="A国内",ROUND($I1142*倍数A*汇率,0),IF($H1142="B当地",ROUND($I1142*系数B,0),0)))</f>
        <v/>
      </c>
      <c r="K1142" s="24">
        <f>IF($A1142="","",IF(COUNTIFS(入库单!$G$4:$G$2503,$A1142,入库单!$X$4:$X$2503,"待补价")&gt;0,"待补价",IF(COUNTIFS(入库单!$G$4:$G$2503,$A1142,入库单!$X$4:$X$2503,"暂估")&gt;0,"暂估",IF($I1142=0,"没有进价","正常"))))</f>
        <v/>
      </c>
      <c r="L1142" s="27">
        <f>IF($A1142="","",IFERROR(VLOOKUP($A1142,库存台账!$A$5:$Y$1204,24,0),0))</f>
        <v/>
      </c>
      <c r="M1142" s="26">
        <f>IF($A1142="","",IFERROR(VLOOKUP($A1142,库存台账!$A$5:$Y$1204,25,0),0))</f>
        <v/>
      </c>
      <c r="N1142" s="19">
        <f>IF($A1142="","",IFERROR(LOOKUP(2,1/((出库单!$D$4:$D$4003=$A1142)*(出库单!$T$4:$T$4003="正常")),出库单!$C$4:$C$4003),""))</f>
        <v/>
      </c>
      <c r="O1142" s="28">
        <f>IF($A1142="","",IF($L1142&lt;=0,"",IF($N1142="",IFERROR(账期止-LOOKUP(2,1/(入库单!$G$4:$G$2503=$A1142),入库单!$C$4:$C$2503),""),账期止-$N1142)))</f>
        <v/>
      </c>
      <c r="P1142" s="17" t="n"/>
    </row>
    <row r="1143">
      <c r="A1143" s="17" t="n"/>
      <c r="B1143" s="17" t="n"/>
      <c r="C1143" s="17" t="n"/>
      <c r="D1143" s="17" t="n"/>
      <c r="E1143" s="17" t="n"/>
      <c r="F1143" s="17" t="n"/>
      <c r="G1143" s="23" t="n"/>
      <c r="H1143" s="24">
        <f>IF($A1143="","",IFERROR(LOOKUP(2,1/((入库单!$G$4:$G$2503=$A1143)*(入库单!$Y$4:$Y$2503="正常")*(入库单!$L$4:$L$2503&gt;0)),入库单!$D$4:$D$2503),""))</f>
        <v/>
      </c>
      <c r="I1143" s="25">
        <f>IF($A1143="","",IFERROR(LOOKUP(2,1/((入库单!$G$4:$G$2503=$A1143)*(入库单!$Y$4:$Y$2503="正常")*(入库单!$L$4:$L$2503&gt;0)),入库单!$L$4:$L$2503),0))</f>
        <v/>
      </c>
      <c r="J1143" s="26">
        <f>IF($A1143="","",IF($H1143="A国内",ROUND($I1143*倍数A*汇率,0),IF($H1143="B当地",ROUND($I1143*系数B,0),0)))</f>
        <v/>
      </c>
      <c r="K1143" s="24">
        <f>IF($A1143="","",IF(COUNTIFS(入库单!$G$4:$G$2503,$A1143,入库单!$X$4:$X$2503,"待补价")&gt;0,"待补价",IF(COUNTIFS(入库单!$G$4:$G$2503,$A1143,入库单!$X$4:$X$2503,"暂估")&gt;0,"暂估",IF($I1143=0,"没有进价","正常"))))</f>
        <v/>
      </c>
      <c r="L1143" s="27">
        <f>IF($A1143="","",IFERROR(VLOOKUP($A1143,库存台账!$A$5:$Y$1204,24,0),0))</f>
        <v/>
      </c>
      <c r="M1143" s="26">
        <f>IF($A1143="","",IFERROR(VLOOKUP($A1143,库存台账!$A$5:$Y$1204,25,0),0))</f>
        <v/>
      </c>
      <c r="N1143" s="19">
        <f>IF($A1143="","",IFERROR(LOOKUP(2,1/((出库单!$D$4:$D$4003=$A1143)*(出库单!$T$4:$T$4003="正常")),出库单!$C$4:$C$4003),""))</f>
        <v/>
      </c>
      <c r="O1143" s="28">
        <f>IF($A1143="","",IF($L1143&lt;=0,"",IF($N1143="",IFERROR(账期止-LOOKUP(2,1/(入库单!$G$4:$G$2503=$A1143),入库单!$C$4:$C$2503),""),账期止-$N1143)))</f>
        <v/>
      </c>
      <c r="P1143" s="17" t="n"/>
    </row>
    <row r="1144">
      <c r="A1144" s="17" t="n"/>
      <c r="B1144" s="17" t="n"/>
      <c r="C1144" s="17" t="n"/>
      <c r="D1144" s="17" t="n"/>
      <c r="E1144" s="17" t="n"/>
      <c r="F1144" s="17" t="n"/>
      <c r="G1144" s="23" t="n"/>
      <c r="H1144" s="24">
        <f>IF($A1144="","",IFERROR(LOOKUP(2,1/((入库单!$G$4:$G$2503=$A1144)*(入库单!$Y$4:$Y$2503="正常")*(入库单!$L$4:$L$2503&gt;0)),入库单!$D$4:$D$2503),""))</f>
        <v/>
      </c>
      <c r="I1144" s="25">
        <f>IF($A1144="","",IFERROR(LOOKUP(2,1/((入库单!$G$4:$G$2503=$A1144)*(入库单!$Y$4:$Y$2503="正常")*(入库单!$L$4:$L$2503&gt;0)),入库单!$L$4:$L$2503),0))</f>
        <v/>
      </c>
      <c r="J1144" s="26">
        <f>IF($A1144="","",IF($H1144="A国内",ROUND($I1144*倍数A*汇率,0),IF($H1144="B当地",ROUND($I1144*系数B,0),0)))</f>
        <v/>
      </c>
      <c r="K1144" s="24">
        <f>IF($A1144="","",IF(COUNTIFS(入库单!$G$4:$G$2503,$A1144,入库单!$X$4:$X$2503,"待补价")&gt;0,"待补价",IF(COUNTIFS(入库单!$G$4:$G$2503,$A1144,入库单!$X$4:$X$2503,"暂估")&gt;0,"暂估",IF($I1144=0,"没有进价","正常"))))</f>
        <v/>
      </c>
      <c r="L1144" s="27">
        <f>IF($A1144="","",IFERROR(VLOOKUP($A1144,库存台账!$A$5:$Y$1204,24,0),0))</f>
        <v/>
      </c>
      <c r="M1144" s="26">
        <f>IF($A1144="","",IFERROR(VLOOKUP($A1144,库存台账!$A$5:$Y$1204,25,0),0))</f>
        <v/>
      </c>
      <c r="N1144" s="19">
        <f>IF($A1144="","",IFERROR(LOOKUP(2,1/((出库单!$D$4:$D$4003=$A1144)*(出库单!$T$4:$T$4003="正常")),出库单!$C$4:$C$4003),""))</f>
        <v/>
      </c>
      <c r="O1144" s="28">
        <f>IF($A1144="","",IF($L1144&lt;=0,"",IF($N1144="",IFERROR(账期止-LOOKUP(2,1/(入库单!$G$4:$G$2503=$A1144),入库单!$C$4:$C$2503),""),账期止-$N1144)))</f>
        <v/>
      </c>
      <c r="P1144" s="17" t="n"/>
    </row>
    <row r="1145">
      <c r="A1145" s="17" t="n"/>
      <c r="B1145" s="17" t="n"/>
      <c r="C1145" s="17" t="n"/>
      <c r="D1145" s="17" t="n"/>
      <c r="E1145" s="17" t="n"/>
      <c r="F1145" s="17" t="n"/>
      <c r="G1145" s="23" t="n"/>
      <c r="H1145" s="24">
        <f>IF($A1145="","",IFERROR(LOOKUP(2,1/((入库单!$G$4:$G$2503=$A1145)*(入库单!$Y$4:$Y$2503="正常")*(入库单!$L$4:$L$2503&gt;0)),入库单!$D$4:$D$2503),""))</f>
        <v/>
      </c>
      <c r="I1145" s="25">
        <f>IF($A1145="","",IFERROR(LOOKUP(2,1/((入库单!$G$4:$G$2503=$A1145)*(入库单!$Y$4:$Y$2503="正常")*(入库单!$L$4:$L$2503&gt;0)),入库单!$L$4:$L$2503),0))</f>
        <v/>
      </c>
      <c r="J1145" s="26">
        <f>IF($A1145="","",IF($H1145="A国内",ROUND($I1145*倍数A*汇率,0),IF($H1145="B当地",ROUND($I1145*系数B,0),0)))</f>
        <v/>
      </c>
      <c r="K1145" s="24">
        <f>IF($A1145="","",IF(COUNTIFS(入库单!$G$4:$G$2503,$A1145,入库单!$X$4:$X$2503,"待补价")&gt;0,"待补价",IF(COUNTIFS(入库单!$G$4:$G$2503,$A1145,入库单!$X$4:$X$2503,"暂估")&gt;0,"暂估",IF($I1145=0,"没有进价","正常"))))</f>
        <v/>
      </c>
      <c r="L1145" s="27">
        <f>IF($A1145="","",IFERROR(VLOOKUP($A1145,库存台账!$A$5:$Y$1204,24,0),0))</f>
        <v/>
      </c>
      <c r="M1145" s="26">
        <f>IF($A1145="","",IFERROR(VLOOKUP($A1145,库存台账!$A$5:$Y$1204,25,0),0))</f>
        <v/>
      </c>
      <c r="N1145" s="19">
        <f>IF($A1145="","",IFERROR(LOOKUP(2,1/((出库单!$D$4:$D$4003=$A1145)*(出库单!$T$4:$T$4003="正常")),出库单!$C$4:$C$4003),""))</f>
        <v/>
      </c>
      <c r="O1145" s="28">
        <f>IF($A1145="","",IF($L1145&lt;=0,"",IF($N1145="",IFERROR(账期止-LOOKUP(2,1/(入库单!$G$4:$G$2503=$A1145),入库单!$C$4:$C$2503),""),账期止-$N1145)))</f>
        <v/>
      </c>
      <c r="P1145" s="17" t="n"/>
    </row>
    <row r="1146">
      <c r="A1146" s="17" t="n"/>
      <c r="B1146" s="17" t="n"/>
      <c r="C1146" s="17" t="n"/>
      <c r="D1146" s="17" t="n"/>
      <c r="E1146" s="17" t="n"/>
      <c r="F1146" s="17" t="n"/>
      <c r="G1146" s="23" t="n"/>
      <c r="H1146" s="24">
        <f>IF($A1146="","",IFERROR(LOOKUP(2,1/((入库单!$G$4:$G$2503=$A1146)*(入库单!$Y$4:$Y$2503="正常")*(入库单!$L$4:$L$2503&gt;0)),入库单!$D$4:$D$2503),""))</f>
        <v/>
      </c>
      <c r="I1146" s="25">
        <f>IF($A1146="","",IFERROR(LOOKUP(2,1/((入库单!$G$4:$G$2503=$A1146)*(入库单!$Y$4:$Y$2503="正常")*(入库单!$L$4:$L$2503&gt;0)),入库单!$L$4:$L$2503),0))</f>
        <v/>
      </c>
      <c r="J1146" s="26">
        <f>IF($A1146="","",IF($H1146="A国内",ROUND($I1146*倍数A*汇率,0),IF($H1146="B当地",ROUND($I1146*系数B,0),0)))</f>
        <v/>
      </c>
      <c r="K1146" s="24">
        <f>IF($A1146="","",IF(COUNTIFS(入库单!$G$4:$G$2503,$A1146,入库单!$X$4:$X$2503,"待补价")&gt;0,"待补价",IF(COUNTIFS(入库单!$G$4:$G$2503,$A1146,入库单!$X$4:$X$2503,"暂估")&gt;0,"暂估",IF($I1146=0,"没有进价","正常"))))</f>
        <v/>
      </c>
      <c r="L1146" s="27">
        <f>IF($A1146="","",IFERROR(VLOOKUP($A1146,库存台账!$A$5:$Y$1204,24,0),0))</f>
        <v/>
      </c>
      <c r="M1146" s="26">
        <f>IF($A1146="","",IFERROR(VLOOKUP($A1146,库存台账!$A$5:$Y$1204,25,0),0))</f>
        <v/>
      </c>
      <c r="N1146" s="19">
        <f>IF($A1146="","",IFERROR(LOOKUP(2,1/((出库单!$D$4:$D$4003=$A1146)*(出库单!$T$4:$T$4003="正常")),出库单!$C$4:$C$4003),""))</f>
        <v/>
      </c>
      <c r="O1146" s="28">
        <f>IF($A1146="","",IF($L1146&lt;=0,"",IF($N1146="",IFERROR(账期止-LOOKUP(2,1/(入库单!$G$4:$G$2503=$A1146),入库单!$C$4:$C$2503),""),账期止-$N1146)))</f>
        <v/>
      </c>
      <c r="P1146" s="17" t="n"/>
    </row>
    <row r="1147">
      <c r="A1147" s="17" t="n"/>
      <c r="B1147" s="17" t="n"/>
      <c r="C1147" s="17" t="n"/>
      <c r="D1147" s="17" t="n"/>
      <c r="E1147" s="17" t="n"/>
      <c r="F1147" s="17" t="n"/>
      <c r="G1147" s="23" t="n"/>
      <c r="H1147" s="24">
        <f>IF($A1147="","",IFERROR(LOOKUP(2,1/((入库单!$G$4:$G$2503=$A1147)*(入库单!$Y$4:$Y$2503="正常")*(入库单!$L$4:$L$2503&gt;0)),入库单!$D$4:$D$2503),""))</f>
        <v/>
      </c>
      <c r="I1147" s="25">
        <f>IF($A1147="","",IFERROR(LOOKUP(2,1/((入库单!$G$4:$G$2503=$A1147)*(入库单!$Y$4:$Y$2503="正常")*(入库单!$L$4:$L$2503&gt;0)),入库单!$L$4:$L$2503),0))</f>
        <v/>
      </c>
      <c r="J1147" s="26">
        <f>IF($A1147="","",IF($H1147="A国内",ROUND($I1147*倍数A*汇率,0),IF($H1147="B当地",ROUND($I1147*系数B,0),0)))</f>
        <v/>
      </c>
      <c r="K1147" s="24">
        <f>IF($A1147="","",IF(COUNTIFS(入库单!$G$4:$G$2503,$A1147,入库单!$X$4:$X$2503,"待补价")&gt;0,"待补价",IF(COUNTIFS(入库单!$G$4:$G$2503,$A1147,入库单!$X$4:$X$2503,"暂估")&gt;0,"暂估",IF($I1147=0,"没有进价","正常"))))</f>
        <v/>
      </c>
      <c r="L1147" s="27">
        <f>IF($A1147="","",IFERROR(VLOOKUP($A1147,库存台账!$A$5:$Y$1204,24,0),0))</f>
        <v/>
      </c>
      <c r="M1147" s="26">
        <f>IF($A1147="","",IFERROR(VLOOKUP($A1147,库存台账!$A$5:$Y$1204,25,0),0))</f>
        <v/>
      </c>
      <c r="N1147" s="19">
        <f>IF($A1147="","",IFERROR(LOOKUP(2,1/((出库单!$D$4:$D$4003=$A1147)*(出库单!$T$4:$T$4003="正常")),出库单!$C$4:$C$4003),""))</f>
        <v/>
      </c>
      <c r="O1147" s="28">
        <f>IF($A1147="","",IF($L1147&lt;=0,"",IF($N1147="",IFERROR(账期止-LOOKUP(2,1/(入库单!$G$4:$G$2503=$A1147),入库单!$C$4:$C$2503),""),账期止-$N1147)))</f>
        <v/>
      </c>
      <c r="P1147" s="17" t="n"/>
    </row>
    <row r="1148">
      <c r="A1148" s="17" t="n"/>
      <c r="B1148" s="17" t="n"/>
      <c r="C1148" s="17" t="n"/>
      <c r="D1148" s="17" t="n"/>
      <c r="E1148" s="17" t="n"/>
      <c r="F1148" s="17" t="n"/>
      <c r="G1148" s="23" t="n"/>
      <c r="H1148" s="24">
        <f>IF($A1148="","",IFERROR(LOOKUP(2,1/((入库单!$G$4:$G$2503=$A1148)*(入库单!$Y$4:$Y$2503="正常")*(入库单!$L$4:$L$2503&gt;0)),入库单!$D$4:$D$2503),""))</f>
        <v/>
      </c>
      <c r="I1148" s="25">
        <f>IF($A1148="","",IFERROR(LOOKUP(2,1/((入库单!$G$4:$G$2503=$A1148)*(入库单!$Y$4:$Y$2503="正常")*(入库单!$L$4:$L$2503&gt;0)),入库单!$L$4:$L$2503),0))</f>
        <v/>
      </c>
      <c r="J1148" s="26">
        <f>IF($A1148="","",IF($H1148="A国内",ROUND($I1148*倍数A*汇率,0),IF($H1148="B当地",ROUND($I1148*系数B,0),0)))</f>
        <v/>
      </c>
      <c r="K1148" s="24">
        <f>IF($A1148="","",IF(COUNTIFS(入库单!$G$4:$G$2503,$A1148,入库单!$X$4:$X$2503,"待补价")&gt;0,"待补价",IF(COUNTIFS(入库单!$G$4:$G$2503,$A1148,入库单!$X$4:$X$2503,"暂估")&gt;0,"暂估",IF($I1148=0,"没有进价","正常"))))</f>
        <v/>
      </c>
      <c r="L1148" s="27">
        <f>IF($A1148="","",IFERROR(VLOOKUP($A1148,库存台账!$A$5:$Y$1204,24,0),0))</f>
        <v/>
      </c>
      <c r="M1148" s="26">
        <f>IF($A1148="","",IFERROR(VLOOKUP($A1148,库存台账!$A$5:$Y$1204,25,0),0))</f>
        <v/>
      </c>
      <c r="N1148" s="19">
        <f>IF($A1148="","",IFERROR(LOOKUP(2,1/((出库单!$D$4:$D$4003=$A1148)*(出库单!$T$4:$T$4003="正常")),出库单!$C$4:$C$4003),""))</f>
        <v/>
      </c>
      <c r="O1148" s="28">
        <f>IF($A1148="","",IF($L1148&lt;=0,"",IF($N1148="",IFERROR(账期止-LOOKUP(2,1/(入库单!$G$4:$G$2503=$A1148),入库单!$C$4:$C$2503),""),账期止-$N1148)))</f>
        <v/>
      </c>
      <c r="P1148" s="17" t="n"/>
    </row>
    <row r="1149">
      <c r="A1149" s="17" t="n"/>
      <c r="B1149" s="17" t="n"/>
      <c r="C1149" s="17" t="n"/>
      <c r="D1149" s="17" t="n"/>
      <c r="E1149" s="17" t="n"/>
      <c r="F1149" s="17" t="n"/>
      <c r="G1149" s="23" t="n"/>
      <c r="H1149" s="24">
        <f>IF($A1149="","",IFERROR(LOOKUP(2,1/((入库单!$G$4:$G$2503=$A1149)*(入库单!$Y$4:$Y$2503="正常")*(入库单!$L$4:$L$2503&gt;0)),入库单!$D$4:$D$2503),""))</f>
        <v/>
      </c>
      <c r="I1149" s="25">
        <f>IF($A1149="","",IFERROR(LOOKUP(2,1/((入库单!$G$4:$G$2503=$A1149)*(入库单!$Y$4:$Y$2503="正常")*(入库单!$L$4:$L$2503&gt;0)),入库单!$L$4:$L$2503),0))</f>
        <v/>
      </c>
      <c r="J1149" s="26">
        <f>IF($A1149="","",IF($H1149="A国内",ROUND($I1149*倍数A*汇率,0),IF($H1149="B当地",ROUND($I1149*系数B,0),0)))</f>
        <v/>
      </c>
      <c r="K1149" s="24">
        <f>IF($A1149="","",IF(COUNTIFS(入库单!$G$4:$G$2503,$A1149,入库单!$X$4:$X$2503,"待补价")&gt;0,"待补价",IF(COUNTIFS(入库单!$G$4:$G$2503,$A1149,入库单!$X$4:$X$2503,"暂估")&gt;0,"暂估",IF($I1149=0,"没有进价","正常"))))</f>
        <v/>
      </c>
      <c r="L1149" s="27">
        <f>IF($A1149="","",IFERROR(VLOOKUP($A1149,库存台账!$A$5:$Y$1204,24,0),0))</f>
        <v/>
      </c>
      <c r="M1149" s="26">
        <f>IF($A1149="","",IFERROR(VLOOKUP($A1149,库存台账!$A$5:$Y$1204,25,0),0))</f>
        <v/>
      </c>
      <c r="N1149" s="19">
        <f>IF($A1149="","",IFERROR(LOOKUP(2,1/((出库单!$D$4:$D$4003=$A1149)*(出库单!$T$4:$T$4003="正常")),出库单!$C$4:$C$4003),""))</f>
        <v/>
      </c>
      <c r="O1149" s="28">
        <f>IF($A1149="","",IF($L1149&lt;=0,"",IF($N1149="",IFERROR(账期止-LOOKUP(2,1/(入库单!$G$4:$G$2503=$A1149),入库单!$C$4:$C$2503),""),账期止-$N1149)))</f>
        <v/>
      </c>
      <c r="P1149" s="17" t="n"/>
    </row>
    <row r="1150">
      <c r="A1150" s="17" t="n"/>
      <c r="B1150" s="17" t="n"/>
      <c r="C1150" s="17" t="n"/>
      <c r="D1150" s="17" t="n"/>
      <c r="E1150" s="17" t="n"/>
      <c r="F1150" s="17" t="n"/>
      <c r="G1150" s="23" t="n"/>
      <c r="H1150" s="24">
        <f>IF($A1150="","",IFERROR(LOOKUP(2,1/((入库单!$G$4:$G$2503=$A1150)*(入库单!$Y$4:$Y$2503="正常")*(入库单!$L$4:$L$2503&gt;0)),入库单!$D$4:$D$2503),""))</f>
        <v/>
      </c>
      <c r="I1150" s="25">
        <f>IF($A1150="","",IFERROR(LOOKUP(2,1/((入库单!$G$4:$G$2503=$A1150)*(入库单!$Y$4:$Y$2503="正常")*(入库单!$L$4:$L$2503&gt;0)),入库单!$L$4:$L$2503),0))</f>
        <v/>
      </c>
      <c r="J1150" s="26">
        <f>IF($A1150="","",IF($H1150="A国内",ROUND($I1150*倍数A*汇率,0),IF($H1150="B当地",ROUND($I1150*系数B,0),0)))</f>
        <v/>
      </c>
      <c r="K1150" s="24">
        <f>IF($A1150="","",IF(COUNTIFS(入库单!$G$4:$G$2503,$A1150,入库单!$X$4:$X$2503,"待补价")&gt;0,"待补价",IF(COUNTIFS(入库单!$G$4:$G$2503,$A1150,入库单!$X$4:$X$2503,"暂估")&gt;0,"暂估",IF($I1150=0,"没有进价","正常"))))</f>
        <v/>
      </c>
      <c r="L1150" s="27">
        <f>IF($A1150="","",IFERROR(VLOOKUP($A1150,库存台账!$A$5:$Y$1204,24,0),0))</f>
        <v/>
      </c>
      <c r="M1150" s="26">
        <f>IF($A1150="","",IFERROR(VLOOKUP($A1150,库存台账!$A$5:$Y$1204,25,0),0))</f>
        <v/>
      </c>
      <c r="N1150" s="19">
        <f>IF($A1150="","",IFERROR(LOOKUP(2,1/((出库单!$D$4:$D$4003=$A1150)*(出库单!$T$4:$T$4003="正常")),出库单!$C$4:$C$4003),""))</f>
        <v/>
      </c>
      <c r="O1150" s="28">
        <f>IF($A1150="","",IF($L1150&lt;=0,"",IF($N1150="",IFERROR(账期止-LOOKUP(2,1/(入库单!$G$4:$G$2503=$A1150),入库单!$C$4:$C$2503),""),账期止-$N1150)))</f>
        <v/>
      </c>
      <c r="P1150" s="17" t="n"/>
    </row>
    <row r="1151">
      <c r="A1151" s="17" t="n"/>
      <c r="B1151" s="17" t="n"/>
      <c r="C1151" s="17" t="n"/>
      <c r="D1151" s="17" t="n"/>
      <c r="E1151" s="17" t="n"/>
      <c r="F1151" s="17" t="n"/>
      <c r="G1151" s="23" t="n"/>
      <c r="H1151" s="24">
        <f>IF($A1151="","",IFERROR(LOOKUP(2,1/((入库单!$G$4:$G$2503=$A1151)*(入库单!$Y$4:$Y$2503="正常")*(入库单!$L$4:$L$2503&gt;0)),入库单!$D$4:$D$2503),""))</f>
        <v/>
      </c>
      <c r="I1151" s="25">
        <f>IF($A1151="","",IFERROR(LOOKUP(2,1/((入库单!$G$4:$G$2503=$A1151)*(入库单!$Y$4:$Y$2503="正常")*(入库单!$L$4:$L$2503&gt;0)),入库单!$L$4:$L$2503),0))</f>
        <v/>
      </c>
      <c r="J1151" s="26">
        <f>IF($A1151="","",IF($H1151="A国内",ROUND($I1151*倍数A*汇率,0),IF($H1151="B当地",ROUND($I1151*系数B,0),0)))</f>
        <v/>
      </c>
      <c r="K1151" s="24">
        <f>IF($A1151="","",IF(COUNTIFS(入库单!$G$4:$G$2503,$A1151,入库单!$X$4:$X$2503,"待补价")&gt;0,"待补价",IF(COUNTIFS(入库单!$G$4:$G$2503,$A1151,入库单!$X$4:$X$2503,"暂估")&gt;0,"暂估",IF($I1151=0,"没有进价","正常"))))</f>
        <v/>
      </c>
      <c r="L1151" s="27">
        <f>IF($A1151="","",IFERROR(VLOOKUP($A1151,库存台账!$A$5:$Y$1204,24,0),0))</f>
        <v/>
      </c>
      <c r="M1151" s="26">
        <f>IF($A1151="","",IFERROR(VLOOKUP($A1151,库存台账!$A$5:$Y$1204,25,0),0))</f>
        <v/>
      </c>
      <c r="N1151" s="19">
        <f>IF($A1151="","",IFERROR(LOOKUP(2,1/((出库单!$D$4:$D$4003=$A1151)*(出库单!$T$4:$T$4003="正常")),出库单!$C$4:$C$4003),""))</f>
        <v/>
      </c>
      <c r="O1151" s="28">
        <f>IF($A1151="","",IF($L1151&lt;=0,"",IF($N1151="",IFERROR(账期止-LOOKUP(2,1/(入库单!$G$4:$G$2503=$A1151),入库单!$C$4:$C$2503),""),账期止-$N1151)))</f>
        <v/>
      </c>
      <c r="P1151" s="17" t="n"/>
    </row>
    <row r="1152">
      <c r="A1152" s="17" t="n"/>
      <c r="B1152" s="17" t="n"/>
      <c r="C1152" s="17" t="n"/>
      <c r="D1152" s="17" t="n"/>
      <c r="E1152" s="17" t="n"/>
      <c r="F1152" s="17" t="n"/>
      <c r="G1152" s="23" t="n"/>
      <c r="H1152" s="24">
        <f>IF($A1152="","",IFERROR(LOOKUP(2,1/((入库单!$G$4:$G$2503=$A1152)*(入库单!$Y$4:$Y$2503="正常")*(入库单!$L$4:$L$2503&gt;0)),入库单!$D$4:$D$2503),""))</f>
        <v/>
      </c>
      <c r="I1152" s="25">
        <f>IF($A1152="","",IFERROR(LOOKUP(2,1/((入库单!$G$4:$G$2503=$A1152)*(入库单!$Y$4:$Y$2503="正常")*(入库单!$L$4:$L$2503&gt;0)),入库单!$L$4:$L$2503),0))</f>
        <v/>
      </c>
      <c r="J1152" s="26">
        <f>IF($A1152="","",IF($H1152="A国内",ROUND($I1152*倍数A*汇率,0),IF($H1152="B当地",ROUND($I1152*系数B,0),0)))</f>
        <v/>
      </c>
      <c r="K1152" s="24">
        <f>IF($A1152="","",IF(COUNTIFS(入库单!$G$4:$G$2503,$A1152,入库单!$X$4:$X$2503,"待补价")&gt;0,"待补价",IF(COUNTIFS(入库单!$G$4:$G$2503,$A1152,入库单!$X$4:$X$2503,"暂估")&gt;0,"暂估",IF($I1152=0,"没有进价","正常"))))</f>
        <v/>
      </c>
      <c r="L1152" s="27">
        <f>IF($A1152="","",IFERROR(VLOOKUP($A1152,库存台账!$A$5:$Y$1204,24,0),0))</f>
        <v/>
      </c>
      <c r="M1152" s="26">
        <f>IF($A1152="","",IFERROR(VLOOKUP($A1152,库存台账!$A$5:$Y$1204,25,0),0))</f>
        <v/>
      </c>
      <c r="N1152" s="19">
        <f>IF($A1152="","",IFERROR(LOOKUP(2,1/((出库单!$D$4:$D$4003=$A1152)*(出库单!$T$4:$T$4003="正常")),出库单!$C$4:$C$4003),""))</f>
        <v/>
      </c>
      <c r="O1152" s="28">
        <f>IF($A1152="","",IF($L1152&lt;=0,"",IF($N1152="",IFERROR(账期止-LOOKUP(2,1/(入库单!$G$4:$G$2503=$A1152),入库单!$C$4:$C$2503),""),账期止-$N1152)))</f>
        <v/>
      </c>
      <c r="P1152" s="17" t="n"/>
    </row>
    <row r="1153">
      <c r="A1153" s="17" t="n"/>
      <c r="B1153" s="17" t="n"/>
      <c r="C1153" s="17" t="n"/>
      <c r="D1153" s="17" t="n"/>
      <c r="E1153" s="17" t="n"/>
      <c r="F1153" s="17" t="n"/>
      <c r="G1153" s="23" t="n"/>
      <c r="H1153" s="24">
        <f>IF($A1153="","",IFERROR(LOOKUP(2,1/((入库单!$G$4:$G$2503=$A1153)*(入库单!$Y$4:$Y$2503="正常")*(入库单!$L$4:$L$2503&gt;0)),入库单!$D$4:$D$2503),""))</f>
        <v/>
      </c>
      <c r="I1153" s="25">
        <f>IF($A1153="","",IFERROR(LOOKUP(2,1/((入库单!$G$4:$G$2503=$A1153)*(入库单!$Y$4:$Y$2503="正常")*(入库单!$L$4:$L$2503&gt;0)),入库单!$L$4:$L$2503),0))</f>
        <v/>
      </c>
      <c r="J1153" s="26">
        <f>IF($A1153="","",IF($H1153="A国内",ROUND($I1153*倍数A*汇率,0),IF($H1153="B当地",ROUND($I1153*系数B,0),0)))</f>
        <v/>
      </c>
      <c r="K1153" s="24">
        <f>IF($A1153="","",IF(COUNTIFS(入库单!$G$4:$G$2503,$A1153,入库单!$X$4:$X$2503,"待补价")&gt;0,"待补价",IF(COUNTIFS(入库单!$G$4:$G$2503,$A1153,入库单!$X$4:$X$2503,"暂估")&gt;0,"暂估",IF($I1153=0,"没有进价","正常"))))</f>
        <v/>
      </c>
      <c r="L1153" s="27">
        <f>IF($A1153="","",IFERROR(VLOOKUP($A1153,库存台账!$A$5:$Y$1204,24,0),0))</f>
        <v/>
      </c>
      <c r="M1153" s="26">
        <f>IF($A1153="","",IFERROR(VLOOKUP($A1153,库存台账!$A$5:$Y$1204,25,0),0))</f>
        <v/>
      </c>
      <c r="N1153" s="19">
        <f>IF($A1153="","",IFERROR(LOOKUP(2,1/((出库单!$D$4:$D$4003=$A1153)*(出库单!$T$4:$T$4003="正常")),出库单!$C$4:$C$4003),""))</f>
        <v/>
      </c>
      <c r="O1153" s="28">
        <f>IF($A1153="","",IF($L1153&lt;=0,"",IF($N1153="",IFERROR(账期止-LOOKUP(2,1/(入库单!$G$4:$G$2503=$A1153),入库单!$C$4:$C$2503),""),账期止-$N1153)))</f>
        <v/>
      </c>
      <c r="P1153" s="17" t="n"/>
    </row>
    <row r="1154">
      <c r="A1154" s="17" t="n"/>
      <c r="B1154" s="17" t="n"/>
      <c r="C1154" s="17" t="n"/>
      <c r="D1154" s="17" t="n"/>
      <c r="E1154" s="17" t="n"/>
      <c r="F1154" s="17" t="n"/>
      <c r="G1154" s="23" t="n"/>
      <c r="H1154" s="24">
        <f>IF($A1154="","",IFERROR(LOOKUP(2,1/((入库单!$G$4:$G$2503=$A1154)*(入库单!$Y$4:$Y$2503="正常")*(入库单!$L$4:$L$2503&gt;0)),入库单!$D$4:$D$2503),""))</f>
        <v/>
      </c>
      <c r="I1154" s="25">
        <f>IF($A1154="","",IFERROR(LOOKUP(2,1/((入库单!$G$4:$G$2503=$A1154)*(入库单!$Y$4:$Y$2503="正常")*(入库单!$L$4:$L$2503&gt;0)),入库单!$L$4:$L$2503),0))</f>
        <v/>
      </c>
      <c r="J1154" s="26">
        <f>IF($A1154="","",IF($H1154="A国内",ROUND($I1154*倍数A*汇率,0),IF($H1154="B当地",ROUND($I1154*系数B,0),0)))</f>
        <v/>
      </c>
      <c r="K1154" s="24">
        <f>IF($A1154="","",IF(COUNTIFS(入库单!$G$4:$G$2503,$A1154,入库单!$X$4:$X$2503,"待补价")&gt;0,"待补价",IF(COUNTIFS(入库单!$G$4:$G$2503,$A1154,入库单!$X$4:$X$2503,"暂估")&gt;0,"暂估",IF($I1154=0,"没有进价","正常"))))</f>
        <v/>
      </c>
      <c r="L1154" s="27">
        <f>IF($A1154="","",IFERROR(VLOOKUP($A1154,库存台账!$A$5:$Y$1204,24,0),0))</f>
        <v/>
      </c>
      <c r="M1154" s="26">
        <f>IF($A1154="","",IFERROR(VLOOKUP($A1154,库存台账!$A$5:$Y$1204,25,0),0))</f>
        <v/>
      </c>
      <c r="N1154" s="19">
        <f>IF($A1154="","",IFERROR(LOOKUP(2,1/((出库单!$D$4:$D$4003=$A1154)*(出库单!$T$4:$T$4003="正常")),出库单!$C$4:$C$4003),""))</f>
        <v/>
      </c>
      <c r="O1154" s="28">
        <f>IF($A1154="","",IF($L1154&lt;=0,"",IF($N1154="",IFERROR(账期止-LOOKUP(2,1/(入库单!$G$4:$G$2503=$A1154),入库单!$C$4:$C$2503),""),账期止-$N1154)))</f>
        <v/>
      </c>
      <c r="P1154" s="17" t="n"/>
    </row>
    <row r="1155">
      <c r="A1155" s="17" t="n"/>
      <c r="B1155" s="17" t="n"/>
      <c r="C1155" s="17" t="n"/>
      <c r="D1155" s="17" t="n"/>
      <c r="E1155" s="17" t="n"/>
      <c r="F1155" s="17" t="n"/>
      <c r="G1155" s="23" t="n"/>
      <c r="H1155" s="24">
        <f>IF($A1155="","",IFERROR(LOOKUP(2,1/((入库单!$G$4:$G$2503=$A1155)*(入库单!$Y$4:$Y$2503="正常")*(入库单!$L$4:$L$2503&gt;0)),入库单!$D$4:$D$2503),""))</f>
        <v/>
      </c>
      <c r="I1155" s="25">
        <f>IF($A1155="","",IFERROR(LOOKUP(2,1/((入库单!$G$4:$G$2503=$A1155)*(入库单!$Y$4:$Y$2503="正常")*(入库单!$L$4:$L$2503&gt;0)),入库单!$L$4:$L$2503),0))</f>
        <v/>
      </c>
      <c r="J1155" s="26">
        <f>IF($A1155="","",IF($H1155="A国内",ROUND($I1155*倍数A*汇率,0),IF($H1155="B当地",ROUND($I1155*系数B,0),0)))</f>
        <v/>
      </c>
      <c r="K1155" s="24">
        <f>IF($A1155="","",IF(COUNTIFS(入库单!$G$4:$G$2503,$A1155,入库单!$X$4:$X$2503,"待补价")&gt;0,"待补价",IF(COUNTIFS(入库单!$G$4:$G$2503,$A1155,入库单!$X$4:$X$2503,"暂估")&gt;0,"暂估",IF($I1155=0,"没有进价","正常"))))</f>
        <v/>
      </c>
      <c r="L1155" s="27">
        <f>IF($A1155="","",IFERROR(VLOOKUP($A1155,库存台账!$A$5:$Y$1204,24,0),0))</f>
        <v/>
      </c>
      <c r="M1155" s="26">
        <f>IF($A1155="","",IFERROR(VLOOKUP($A1155,库存台账!$A$5:$Y$1204,25,0),0))</f>
        <v/>
      </c>
      <c r="N1155" s="19">
        <f>IF($A1155="","",IFERROR(LOOKUP(2,1/((出库单!$D$4:$D$4003=$A1155)*(出库单!$T$4:$T$4003="正常")),出库单!$C$4:$C$4003),""))</f>
        <v/>
      </c>
      <c r="O1155" s="28">
        <f>IF($A1155="","",IF($L1155&lt;=0,"",IF($N1155="",IFERROR(账期止-LOOKUP(2,1/(入库单!$G$4:$G$2503=$A1155),入库单!$C$4:$C$2503),""),账期止-$N1155)))</f>
        <v/>
      </c>
      <c r="P1155" s="17" t="n"/>
    </row>
    <row r="1156">
      <c r="A1156" s="17" t="n"/>
      <c r="B1156" s="17" t="n"/>
      <c r="C1156" s="17" t="n"/>
      <c r="D1156" s="17" t="n"/>
      <c r="E1156" s="17" t="n"/>
      <c r="F1156" s="17" t="n"/>
      <c r="G1156" s="23" t="n"/>
      <c r="H1156" s="24">
        <f>IF($A1156="","",IFERROR(LOOKUP(2,1/((入库单!$G$4:$G$2503=$A1156)*(入库单!$Y$4:$Y$2503="正常")*(入库单!$L$4:$L$2503&gt;0)),入库单!$D$4:$D$2503),""))</f>
        <v/>
      </c>
      <c r="I1156" s="25">
        <f>IF($A1156="","",IFERROR(LOOKUP(2,1/((入库单!$G$4:$G$2503=$A1156)*(入库单!$Y$4:$Y$2503="正常")*(入库单!$L$4:$L$2503&gt;0)),入库单!$L$4:$L$2503),0))</f>
        <v/>
      </c>
      <c r="J1156" s="26">
        <f>IF($A1156="","",IF($H1156="A国内",ROUND($I1156*倍数A*汇率,0),IF($H1156="B当地",ROUND($I1156*系数B,0),0)))</f>
        <v/>
      </c>
      <c r="K1156" s="24">
        <f>IF($A1156="","",IF(COUNTIFS(入库单!$G$4:$G$2503,$A1156,入库单!$X$4:$X$2503,"待补价")&gt;0,"待补价",IF(COUNTIFS(入库单!$G$4:$G$2503,$A1156,入库单!$X$4:$X$2503,"暂估")&gt;0,"暂估",IF($I1156=0,"没有进价","正常"))))</f>
        <v/>
      </c>
      <c r="L1156" s="27">
        <f>IF($A1156="","",IFERROR(VLOOKUP($A1156,库存台账!$A$5:$Y$1204,24,0),0))</f>
        <v/>
      </c>
      <c r="M1156" s="26">
        <f>IF($A1156="","",IFERROR(VLOOKUP($A1156,库存台账!$A$5:$Y$1204,25,0),0))</f>
        <v/>
      </c>
      <c r="N1156" s="19">
        <f>IF($A1156="","",IFERROR(LOOKUP(2,1/((出库单!$D$4:$D$4003=$A1156)*(出库单!$T$4:$T$4003="正常")),出库单!$C$4:$C$4003),""))</f>
        <v/>
      </c>
      <c r="O1156" s="28">
        <f>IF($A1156="","",IF($L1156&lt;=0,"",IF($N1156="",IFERROR(账期止-LOOKUP(2,1/(入库单!$G$4:$G$2503=$A1156),入库单!$C$4:$C$2503),""),账期止-$N1156)))</f>
        <v/>
      </c>
      <c r="P1156" s="17" t="n"/>
    </row>
    <row r="1157">
      <c r="A1157" s="17" t="n"/>
      <c r="B1157" s="17" t="n"/>
      <c r="C1157" s="17" t="n"/>
      <c r="D1157" s="17" t="n"/>
      <c r="E1157" s="17" t="n"/>
      <c r="F1157" s="17" t="n"/>
      <c r="G1157" s="23" t="n"/>
      <c r="H1157" s="24">
        <f>IF($A1157="","",IFERROR(LOOKUP(2,1/((入库单!$G$4:$G$2503=$A1157)*(入库单!$Y$4:$Y$2503="正常")*(入库单!$L$4:$L$2503&gt;0)),入库单!$D$4:$D$2503),""))</f>
        <v/>
      </c>
      <c r="I1157" s="25">
        <f>IF($A1157="","",IFERROR(LOOKUP(2,1/((入库单!$G$4:$G$2503=$A1157)*(入库单!$Y$4:$Y$2503="正常")*(入库单!$L$4:$L$2503&gt;0)),入库单!$L$4:$L$2503),0))</f>
        <v/>
      </c>
      <c r="J1157" s="26">
        <f>IF($A1157="","",IF($H1157="A国内",ROUND($I1157*倍数A*汇率,0),IF($H1157="B当地",ROUND($I1157*系数B,0),0)))</f>
        <v/>
      </c>
      <c r="K1157" s="24">
        <f>IF($A1157="","",IF(COUNTIFS(入库单!$G$4:$G$2503,$A1157,入库单!$X$4:$X$2503,"待补价")&gt;0,"待补价",IF(COUNTIFS(入库单!$G$4:$G$2503,$A1157,入库单!$X$4:$X$2503,"暂估")&gt;0,"暂估",IF($I1157=0,"没有进价","正常"))))</f>
        <v/>
      </c>
      <c r="L1157" s="27">
        <f>IF($A1157="","",IFERROR(VLOOKUP($A1157,库存台账!$A$5:$Y$1204,24,0),0))</f>
        <v/>
      </c>
      <c r="M1157" s="26">
        <f>IF($A1157="","",IFERROR(VLOOKUP($A1157,库存台账!$A$5:$Y$1204,25,0),0))</f>
        <v/>
      </c>
      <c r="N1157" s="19">
        <f>IF($A1157="","",IFERROR(LOOKUP(2,1/((出库单!$D$4:$D$4003=$A1157)*(出库单!$T$4:$T$4003="正常")),出库单!$C$4:$C$4003),""))</f>
        <v/>
      </c>
      <c r="O1157" s="28">
        <f>IF($A1157="","",IF($L1157&lt;=0,"",IF($N1157="",IFERROR(账期止-LOOKUP(2,1/(入库单!$G$4:$G$2503=$A1157),入库单!$C$4:$C$2503),""),账期止-$N1157)))</f>
        <v/>
      </c>
      <c r="P1157" s="17" t="n"/>
    </row>
    <row r="1158">
      <c r="A1158" s="17" t="n"/>
      <c r="B1158" s="17" t="n"/>
      <c r="C1158" s="17" t="n"/>
      <c r="D1158" s="17" t="n"/>
      <c r="E1158" s="17" t="n"/>
      <c r="F1158" s="17" t="n"/>
      <c r="G1158" s="23" t="n"/>
      <c r="H1158" s="24">
        <f>IF($A1158="","",IFERROR(LOOKUP(2,1/((入库单!$G$4:$G$2503=$A1158)*(入库单!$Y$4:$Y$2503="正常")*(入库单!$L$4:$L$2503&gt;0)),入库单!$D$4:$D$2503),""))</f>
        <v/>
      </c>
      <c r="I1158" s="25">
        <f>IF($A1158="","",IFERROR(LOOKUP(2,1/((入库单!$G$4:$G$2503=$A1158)*(入库单!$Y$4:$Y$2503="正常")*(入库单!$L$4:$L$2503&gt;0)),入库单!$L$4:$L$2503),0))</f>
        <v/>
      </c>
      <c r="J1158" s="26">
        <f>IF($A1158="","",IF($H1158="A国内",ROUND($I1158*倍数A*汇率,0),IF($H1158="B当地",ROUND($I1158*系数B,0),0)))</f>
        <v/>
      </c>
      <c r="K1158" s="24">
        <f>IF($A1158="","",IF(COUNTIFS(入库单!$G$4:$G$2503,$A1158,入库单!$X$4:$X$2503,"待补价")&gt;0,"待补价",IF(COUNTIFS(入库单!$G$4:$G$2503,$A1158,入库单!$X$4:$X$2503,"暂估")&gt;0,"暂估",IF($I1158=0,"没有进价","正常"))))</f>
        <v/>
      </c>
      <c r="L1158" s="27">
        <f>IF($A1158="","",IFERROR(VLOOKUP($A1158,库存台账!$A$5:$Y$1204,24,0),0))</f>
        <v/>
      </c>
      <c r="M1158" s="26">
        <f>IF($A1158="","",IFERROR(VLOOKUP($A1158,库存台账!$A$5:$Y$1204,25,0),0))</f>
        <v/>
      </c>
      <c r="N1158" s="19">
        <f>IF($A1158="","",IFERROR(LOOKUP(2,1/((出库单!$D$4:$D$4003=$A1158)*(出库单!$T$4:$T$4003="正常")),出库单!$C$4:$C$4003),""))</f>
        <v/>
      </c>
      <c r="O1158" s="28">
        <f>IF($A1158="","",IF($L1158&lt;=0,"",IF($N1158="",IFERROR(账期止-LOOKUP(2,1/(入库单!$G$4:$G$2503=$A1158),入库单!$C$4:$C$2503),""),账期止-$N1158)))</f>
        <v/>
      </c>
      <c r="P1158" s="17" t="n"/>
    </row>
    <row r="1159">
      <c r="A1159" s="17" t="n"/>
      <c r="B1159" s="17" t="n"/>
      <c r="C1159" s="17" t="n"/>
      <c r="D1159" s="17" t="n"/>
      <c r="E1159" s="17" t="n"/>
      <c r="F1159" s="17" t="n"/>
      <c r="G1159" s="23" t="n"/>
      <c r="H1159" s="24">
        <f>IF($A1159="","",IFERROR(LOOKUP(2,1/((入库单!$G$4:$G$2503=$A1159)*(入库单!$Y$4:$Y$2503="正常")*(入库单!$L$4:$L$2503&gt;0)),入库单!$D$4:$D$2503),""))</f>
        <v/>
      </c>
      <c r="I1159" s="25">
        <f>IF($A1159="","",IFERROR(LOOKUP(2,1/((入库单!$G$4:$G$2503=$A1159)*(入库单!$Y$4:$Y$2503="正常")*(入库单!$L$4:$L$2503&gt;0)),入库单!$L$4:$L$2503),0))</f>
        <v/>
      </c>
      <c r="J1159" s="26">
        <f>IF($A1159="","",IF($H1159="A国内",ROUND($I1159*倍数A*汇率,0),IF($H1159="B当地",ROUND($I1159*系数B,0),0)))</f>
        <v/>
      </c>
      <c r="K1159" s="24">
        <f>IF($A1159="","",IF(COUNTIFS(入库单!$G$4:$G$2503,$A1159,入库单!$X$4:$X$2503,"待补价")&gt;0,"待补价",IF(COUNTIFS(入库单!$G$4:$G$2503,$A1159,入库单!$X$4:$X$2503,"暂估")&gt;0,"暂估",IF($I1159=0,"没有进价","正常"))))</f>
        <v/>
      </c>
      <c r="L1159" s="27">
        <f>IF($A1159="","",IFERROR(VLOOKUP($A1159,库存台账!$A$5:$Y$1204,24,0),0))</f>
        <v/>
      </c>
      <c r="M1159" s="26">
        <f>IF($A1159="","",IFERROR(VLOOKUP($A1159,库存台账!$A$5:$Y$1204,25,0),0))</f>
        <v/>
      </c>
      <c r="N1159" s="19">
        <f>IF($A1159="","",IFERROR(LOOKUP(2,1/((出库单!$D$4:$D$4003=$A1159)*(出库单!$T$4:$T$4003="正常")),出库单!$C$4:$C$4003),""))</f>
        <v/>
      </c>
      <c r="O1159" s="28">
        <f>IF($A1159="","",IF($L1159&lt;=0,"",IF($N1159="",IFERROR(账期止-LOOKUP(2,1/(入库单!$G$4:$G$2503=$A1159),入库单!$C$4:$C$2503),""),账期止-$N1159)))</f>
        <v/>
      </c>
      <c r="P1159" s="17" t="n"/>
    </row>
    <row r="1160">
      <c r="A1160" s="17" t="n"/>
      <c r="B1160" s="17" t="n"/>
      <c r="C1160" s="17" t="n"/>
      <c r="D1160" s="17" t="n"/>
      <c r="E1160" s="17" t="n"/>
      <c r="F1160" s="17" t="n"/>
      <c r="G1160" s="23" t="n"/>
      <c r="H1160" s="24">
        <f>IF($A1160="","",IFERROR(LOOKUP(2,1/((入库单!$G$4:$G$2503=$A1160)*(入库单!$Y$4:$Y$2503="正常")*(入库单!$L$4:$L$2503&gt;0)),入库单!$D$4:$D$2503),""))</f>
        <v/>
      </c>
      <c r="I1160" s="25">
        <f>IF($A1160="","",IFERROR(LOOKUP(2,1/((入库单!$G$4:$G$2503=$A1160)*(入库单!$Y$4:$Y$2503="正常")*(入库单!$L$4:$L$2503&gt;0)),入库单!$L$4:$L$2503),0))</f>
        <v/>
      </c>
      <c r="J1160" s="26">
        <f>IF($A1160="","",IF($H1160="A国内",ROUND($I1160*倍数A*汇率,0),IF($H1160="B当地",ROUND($I1160*系数B,0),0)))</f>
        <v/>
      </c>
      <c r="K1160" s="24">
        <f>IF($A1160="","",IF(COUNTIFS(入库单!$G$4:$G$2503,$A1160,入库单!$X$4:$X$2503,"待补价")&gt;0,"待补价",IF(COUNTIFS(入库单!$G$4:$G$2503,$A1160,入库单!$X$4:$X$2503,"暂估")&gt;0,"暂估",IF($I1160=0,"没有进价","正常"))))</f>
        <v/>
      </c>
      <c r="L1160" s="27">
        <f>IF($A1160="","",IFERROR(VLOOKUP($A1160,库存台账!$A$5:$Y$1204,24,0),0))</f>
        <v/>
      </c>
      <c r="M1160" s="26">
        <f>IF($A1160="","",IFERROR(VLOOKUP($A1160,库存台账!$A$5:$Y$1204,25,0),0))</f>
        <v/>
      </c>
      <c r="N1160" s="19">
        <f>IF($A1160="","",IFERROR(LOOKUP(2,1/((出库单!$D$4:$D$4003=$A1160)*(出库单!$T$4:$T$4003="正常")),出库单!$C$4:$C$4003),""))</f>
        <v/>
      </c>
      <c r="O1160" s="28">
        <f>IF($A1160="","",IF($L1160&lt;=0,"",IF($N1160="",IFERROR(账期止-LOOKUP(2,1/(入库单!$G$4:$G$2503=$A1160),入库单!$C$4:$C$2503),""),账期止-$N1160)))</f>
        <v/>
      </c>
      <c r="P1160" s="17" t="n"/>
    </row>
    <row r="1161">
      <c r="A1161" s="17" t="n"/>
      <c r="B1161" s="17" t="n"/>
      <c r="C1161" s="17" t="n"/>
      <c r="D1161" s="17" t="n"/>
      <c r="E1161" s="17" t="n"/>
      <c r="F1161" s="17" t="n"/>
      <c r="G1161" s="23" t="n"/>
      <c r="H1161" s="24">
        <f>IF($A1161="","",IFERROR(LOOKUP(2,1/((入库单!$G$4:$G$2503=$A1161)*(入库单!$Y$4:$Y$2503="正常")*(入库单!$L$4:$L$2503&gt;0)),入库单!$D$4:$D$2503),""))</f>
        <v/>
      </c>
      <c r="I1161" s="25">
        <f>IF($A1161="","",IFERROR(LOOKUP(2,1/((入库单!$G$4:$G$2503=$A1161)*(入库单!$Y$4:$Y$2503="正常")*(入库单!$L$4:$L$2503&gt;0)),入库单!$L$4:$L$2503),0))</f>
        <v/>
      </c>
      <c r="J1161" s="26">
        <f>IF($A1161="","",IF($H1161="A国内",ROUND($I1161*倍数A*汇率,0),IF($H1161="B当地",ROUND($I1161*系数B,0),0)))</f>
        <v/>
      </c>
      <c r="K1161" s="24">
        <f>IF($A1161="","",IF(COUNTIFS(入库单!$G$4:$G$2503,$A1161,入库单!$X$4:$X$2503,"待补价")&gt;0,"待补价",IF(COUNTIFS(入库单!$G$4:$G$2503,$A1161,入库单!$X$4:$X$2503,"暂估")&gt;0,"暂估",IF($I1161=0,"没有进价","正常"))))</f>
        <v/>
      </c>
      <c r="L1161" s="27">
        <f>IF($A1161="","",IFERROR(VLOOKUP($A1161,库存台账!$A$5:$Y$1204,24,0),0))</f>
        <v/>
      </c>
      <c r="M1161" s="26">
        <f>IF($A1161="","",IFERROR(VLOOKUP($A1161,库存台账!$A$5:$Y$1204,25,0),0))</f>
        <v/>
      </c>
      <c r="N1161" s="19">
        <f>IF($A1161="","",IFERROR(LOOKUP(2,1/((出库单!$D$4:$D$4003=$A1161)*(出库单!$T$4:$T$4003="正常")),出库单!$C$4:$C$4003),""))</f>
        <v/>
      </c>
      <c r="O1161" s="28">
        <f>IF($A1161="","",IF($L1161&lt;=0,"",IF($N1161="",IFERROR(账期止-LOOKUP(2,1/(入库单!$G$4:$G$2503=$A1161),入库单!$C$4:$C$2503),""),账期止-$N1161)))</f>
        <v/>
      </c>
      <c r="P1161" s="17" t="n"/>
    </row>
    <row r="1162">
      <c r="A1162" s="17" t="n"/>
      <c r="B1162" s="17" t="n"/>
      <c r="C1162" s="17" t="n"/>
      <c r="D1162" s="17" t="n"/>
      <c r="E1162" s="17" t="n"/>
      <c r="F1162" s="17" t="n"/>
      <c r="G1162" s="23" t="n"/>
      <c r="H1162" s="24">
        <f>IF($A1162="","",IFERROR(LOOKUP(2,1/((入库单!$G$4:$G$2503=$A1162)*(入库单!$Y$4:$Y$2503="正常")*(入库单!$L$4:$L$2503&gt;0)),入库单!$D$4:$D$2503),""))</f>
        <v/>
      </c>
      <c r="I1162" s="25">
        <f>IF($A1162="","",IFERROR(LOOKUP(2,1/((入库单!$G$4:$G$2503=$A1162)*(入库单!$Y$4:$Y$2503="正常")*(入库单!$L$4:$L$2503&gt;0)),入库单!$L$4:$L$2503),0))</f>
        <v/>
      </c>
      <c r="J1162" s="26">
        <f>IF($A1162="","",IF($H1162="A国内",ROUND($I1162*倍数A*汇率,0),IF($H1162="B当地",ROUND($I1162*系数B,0),0)))</f>
        <v/>
      </c>
      <c r="K1162" s="24">
        <f>IF($A1162="","",IF(COUNTIFS(入库单!$G$4:$G$2503,$A1162,入库单!$X$4:$X$2503,"待补价")&gt;0,"待补价",IF(COUNTIFS(入库单!$G$4:$G$2503,$A1162,入库单!$X$4:$X$2503,"暂估")&gt;0,"暂估",IF($I1162=0,"没有进价","正常"))))</f>
        <v/>
      </c>
      <c r="L1162" s="27">
        <f>IF($A1162="","",IFERROR(VLOOKUP($A1162,库存台账!$A$5:$Y$1204,24,0),0))</f>
        <v/>
      </c>
      <c r="M1162" s="26">
        <f>IF($A1162="","",IFERROR(VLOOKUP($A1162,库存台账!$A$5:$Y$1204,25,0),0))</f>
        <v/>
      </c>
      <c r="N1162" s="19">
        <f>IF($A1162="","",IFERROR(LOOKUP(2,1/((出库单!$D$4:$D$4003=$A1162)*(出库单!$T$4:$T$4003="正常")),出库单!$C$4:$C$4003),""))</f>
        <v/>
      </c>
      <c r="O1162" s="28">
        <f>IF($A1162="","",IF($L1162&lt;=0,"",IF($N1162="",IFERROR(账期止-LOOKUP(2,1/(入库单!$G$4:$G$2503=$A1162),入库单!$C$4:$C$2503),""),账期止-$N1162)))</f>
        <v/>
      </c>
      <c r="P1162" s="17" t="n"/>
    </row>
    <row r="1163">
      <c r="A1163" s="17" t="n"/>
      <c r="B1163" s="17" t="n"/>
      <c r="C1163" s="17" t="n"/>
      <c r="D1163" s="17" t="n"/>
      <c r="E1163" s="17" t="n"/>
      <c r="F1163" s="17" t="n"/>
      <c r="G1163" s="23" t="n"/>
      <c r="H1163" s="24">
        <f>IF($A1163="","",IFERROR(LOOKUP(2,1/((入库单!$G$4:$G$2503=$A1163)*(入库单!$Y$4:$Y$2503="正常")*(入库单!$L$4:$L$2503&gt;0)),入库单!$D$4:$D$2503),""))</f>
        <v/>
      </c>
      <c r="I1163" s="25">
        <f>IF($A1163="","",IFERROR(LOOKUP(2,1/((入库单!$G$4:$G$2503=$A1163)*(入库单!$Y$4:$Y$2503="正常")*(入库单!$L$4:$L$2503&gt;0)),入库单!$L$4:$L$2503),0))</f>
        <v/>
      </c>
      <c r="J1163" s="26">
        <f>IF($A1163="","",IF($H1163="A国内",ROUND($I1163*倍数A*汇率,0),IF($H1163="B当地",ROUND($I1163*系数B,0),0)))</f>
        <v/>
      </c>
      <c r="K1163" s="24">
        <f>IF($A1163="","",IF(COUNTIFS(入库单!$G$4:$G$2503,$A1163,入库单!$X$4:$X$2503,"待补价")&gt;0,"待补价",IF(COUNTIFS(入库单!$G$4:$G$2503,$A1163,入库单!$X$4:$X$2503,"暂估")&gt;0,"暂估",IF($I1163=0,"没有进价","正常"))))</f>
        <v/>
      </c>
      <c r="L1163" s="27">
        <f>IF($A1163="","",IFERROR(VLOOKUP($A1163,库存台账!$A$5:$Y$1204,24,0),0))</f>
        <v/>
      </c>
      <c r="M1163" s="26">
        <f>IF($A1163="","",IFERROR(VLOOKUP($A1163,库存台账!$A$5:$Y$1204,25,0),0))</f>
        <v/>
      </c>
      <c r="N1163" s="19">
        <f>IF($A1163="","",IFERROR(LOOKUP(2,1/((出库单!$D$4:$D$4003=$A1163)*(出库单!$T$4:$T$4003="正常")),出库单!$C$4:$C$4003),""))</f>
        <v/>
      </c>
      <c r="O1163" s="28">
        <f>IF($A1163="","",IF($L1163&lt;=0,"",IF($N1163="",IFERROR(账期止-LOOKUP(2,1/(入库单!$G$4:$G$2503=$A1163),入库单!$C$4:$C$2503),""),账期止-$N1163)))</f>
        <v/>
      </c>
      <c r="P1163" s="17" t="n"/>
    </row>
    <row r="1164">
      <c r="A1164" s="17" t="n"/>
      <c r="B1164" s="17" t="n"/>
      <c r="C1164" s="17" t="n"/>
      <c r="D1164" s="17" t="n"/>
      <c r="E1164" s="17" t="n"/>
      <c r="F1164" s="17" t="n"/>
      <c r="G1164" s="23" t="n"/>
      <c r="H1164" s="24">
        <f>IF($A1164="","",IFERROR(LOOKUP(2,1/((入库单!$G$4:$G$2503=$A1164)*(入库单!$Y$4:$Y$2503="正常")*(入库单!$L$4:$L$2503&gt;0)),入库单!$D$4:$D$2503),""))</f>
        <v/>
      </c>
      <c r="I1164" s="25">
        <f>IF($A1164="","",IFERROR(LOOKUP(2,1/((入库单!$G$4:$G$2503=$A1164)*(入库单!$Y$4:$Y$2503="正常")*(入库单!$L$4:$L$2503&gt;0)),入库单!$L$4:$L$2503),0))</f>
        <v/>
      </c>
      <c r="J1164" s="26">
        <f>IF($A1164="","",IF($H1164="A国内",ROUND($I1164*倍数A*汇率,0),IF($H1164="B当地",ROUND($I1164*系数B,0),0)))</f>
        <v/>
      </c>
      <c r="K1164" s="24">
        <f>IF($A1164="","",IF(COUNTIFS(入库单!$G$4:$G$2503,$A1164,入库单!$X$4:$X$2503,"待补价")&gt;0,"待补价",IF(COUNTIFS(入库单!$G$4:$G$2503,$A1164,入库单!$X$4:$X$2503,"暂估")&gt;0,"暂估",IF($I1164=0,"没有进价","正常"))))</f>
        <v/>
      </c>
      <c r="L1164" s="27">
        <f>IF($A1164="","",IFERROR(VLOOKUP($A1164,库存台账!$A$5:$Y$1204,24,0),0))</f>
        <v/>
      </c>
      <c r="M1164" s="26">
        <f>IF($A1164="","",IFERROR(VLOOKUP($A1164,库存台账!$A$5:$Y$1204,25,0),0))</f>
        <v/>
      </c>
      <c r="N1164" s="19">
        <f>IF($A1164="","",IFERROR(LOOKUP(2,1/((出库单!$D$4:$D$4003=$A1164)*(出库单!$T$4:$T$4003="正常")),出库单!$C$4:$C$4003),""))</f>
        <v/>
      </c>
      <c r="O1164" s="28">
        <f>IF($A1164="","",IF($L1164&lt;=0,"",IF($N1164="",IFERROR(账期止-LOOKUP(2,1/(入库单!$G$4:$G$2503=$A1164),入库单!$C$4:$C$2503),""),账期止-$N1164)))</f>
        <v/>
      </c>
      <c r="P1164" s="17" t="n"/>
    </row>
    <row r="1165">
      <c r="A1165" s="17" t="n"/>
      <c r="B1165" s="17" t="n"/>
      <c r="C1165" s="17" t="n"/>
      <c r="D1165" s="17" t="n"/>
      <c r="E1165" s="17" t="n"/>
      <c r="F1165" s="17" t="n"/>
      <c r="G1165" s="23" t="n"/>
      <c r="H1165" s="24">
        <f>IF($A1165="","",IFERROR(LOOKUP(2,1/((入库单!$G$4:$G$2503=$A1165)*(入库单!$Y$4:$Y$2503="正常")*(入库单!$L$4:$L$2503&gt;0)),入库单!$D$4:$D$2503),""))</f>
        <v/>
      </c>
      <c r="I1165" s="25">
        <f>IF($A1165="","",IFERROR(LOOKUP(2,1/((入库单!$G$4:$G$2503=$A1165)*(入库单!$Y$4:$Y$2503="正常")*(入库单!$L$4:$L$2503&gt;0)),入库单!$L$4:$L$2503),0))</f>
        <v/>
      </c>
      <c r="J1165" s="26">
        <f>IF($A1165="","",IF($H1165="A国内",ROUND($I1165*倍数A*汇率,0),IF($H1165="B当地",ROUND($I1165*系数B,0),0)))</f>
        <v/>
      </c>
      <c r="K1165" s="24">
        <f>IF($A1165="","",IF(COUNTIFS(入库单!$G$4:$G$2503,$A1165,入库单!$X$4:$X$2503,"待补价")&gt;0,"待补价",IF(COUNTIFS(入库单!$G$4:$G$2503,$A1165,入库单!$X$4:$X$2503,"暂估")&gt;0,"暂估",IF($I1165=0,"没有进价","正常"))))</f>
        <v/>
      </c>
      <c r="L1165" s="27">
        <f>IF($A1165="","",IFERROR(VLOOKUP($A1165,库存台账!$A$5:$Y$1204,24,0),0))</f>
        <v/>
      </c>
      <c r="M1165" s="26">
        <f>IF($A1165="","",IFERROR(VLOOKUP($A1165,库存台账!$A$5:$Y$1204,25,0),0))</f>
        <v/>
      </c>
      <c r="N1165" s="19">
        <f>IF($A1165="","",IFERROR(LOOKUP(2,1/((出库单!$D$4:$D$4003=$A1165)*(出库单!$T$4:$T$4003="正常")),出库单!$C$4:$C$4003),""))</f>
        <v/>
      </c>
      <c r="O1165" s="28">
        <f>IF($A1165="","",IF($L1165&lt;=0,"",IF($N1165="",IFERROR(账期止-LOOKUP(2,1/(入库单!$G$4:$G$2503=$A1165),入库单!$C$4:$C$2503),""),账期止-$N1165)))</f>
        <v/>
      </c>
      <c r="P1165" s="17" t="n"/>
    </row>
    <row r="1166">
      <c r="A1166" s="17" t="n"/>
      <c r="B1166" s="17" t="n"/>
      <c r="C1166" s="17" t="n"/>
      <c r="D1166" s="17" t="n"/>
      <c r="E1166" s="17" t="n"/>
      <c r="F1166" s="17" t="n"/>
      <c r="G1166" s="23" t="n"/>
      <c r="H1166" s="24">
        <f>IF($A1166="","",IFERROR(LOOKUP(2,1/((入库单!$G$4:$G$2503=$A1166)*(入库单!$Y$4:$Y$2503="正常")*(入库单!$L$4:$L$2503&gt;0)),入库单!$D$4:$D$2503),""))</f>
        <v/>
      </c>
      <c r="I1166" s="25">
        <f>IF($A1166="","",IFERROR(LOOKUP(2,1/((入库单!$G$4:$G$2503=$A1166)*(入库单!$Y$4:$Y$2503="正常")*(入库单!$L$4:$L$2503&gt;0)),入库单!$L$4:$L$2503),0))</f>
        <v/>
      </c>
      <c r="J1166" s="26">
        <f>IF($A1166="","",IF($H1166="A国内",ROUND($I1166*倍数A*汇率,0),IF($H1166="B当地",ROUND($I1166*系数B,0),0)))</f>
        <v/>
      </c>
      <c r="K1166" s="24">
        <f>IF($A1166="","",IF(COUNTIFS(入库单!$G$4:$G$2503,$A1166,入库单!$X$4:$X$2503,"待补价")&gt;0,"待补价",IF(COUNTIFS(入库单!$G$4:$G$2503,$A1166,入库单!$X$4:$X$2503,"暂估")&gt;0,"暂估",IF($I1166=0,"没有进价","正常"))))</f>
        <v/>
      </c>
      <c r="L1166" s="27">
        <f>IF($A1166="","",IFERROR(VLOOKUP($A1166,库存台账!$A$5:$Y$1204,24,0),0))</f>
        <v/>
      </c>
      <c r="M1166" s="26">
        <f>IF($A1166="","",IFERROR(VLOOKUP($A1166,库存台账!$A$5:$Y$1204,25,0),0))</f>
        <v/>
      </c>
      <c r="N1166" s="19">
        <f>IF($A1166="","",IFERROR(LOOKUP(2,1/((出库单!$D$4:$D$4003=$A1166)*(出库单!$T$4:$T$4003="正常")),出库单!$C$4:$C$4003),""))</f>
        <v/>
      </c>
      <c r="O1166" s="28">
        <f>IF($A1166="","",IF($L1166&lt;=0,"",IF($N1166="",IFERROR(账期止-LOOKUP(2,1/(入库单!$G$4:$G$2503=$A1166),入库单!$C$4:$C$2503),""),账期止-$N1166)))</f>
        <v/>
      </c>
      <c r="P1166" s="17" t="n"/>
    </row>
    <row r="1167">
      <c r="A1167" s="17" t="n"/>
      <c r="B1167" s="17" t="n"/>
      <c r="C1167" s="17" t="n"/>
      <c r="D1167" s="17" t="n"/>
      <c r="E1167" s="17" t="n"/>
      <c r="F1167" s="17" t="n"/>
      <c r="G1167" s="23" t="n"/>
      <c r="H1167" s="24">
        <f>IF($A1167="","",IFERROR(LOOKUP(2,1/((入库单!$G$4:$G$2503=$A1167)*(入库单!$Y$4:$Y$2503="正常")*(入库单!$L$4:$L$2503&gt;0)),入库单!$D$4:$D$2503),""))</f>
        <v/>
      </c>
      <c r="I1167" s="25">
        <f>IF($A1167="","",IFERROR(LOOKUP(2,1/((入库单!$G$4:$G$2503=$A1167)*(入库单!$Y$4:$Y$2503="正常")*(入库单!$L$4:$L$2503&gt;0)),入库单!$L$4:$L$2503),0))</f>
        <v/>
      </c>
      <c r="J1167" s="26">
        <f>IF($A1167="","",IF($H1167="A国内",ROUND($I1167*倍数A*汇率,0),IF($H1167="B当地",ROUND($I1167*系数B,0),0)))</f>
        <v/>
      </c>
      <c r="K1167" s="24">
        <f>IF($A1167="","",IF(COUNTIFS(入库单!$G$4:$G$2503,$A1167,入库单!$X$4:$X$2503,"待补价")&gt;0,"待补价",IF(COUNTIFS(入库单!$G$4:$G$2503,$A1167,入库单!$X$4:$X$2503,"暂估")&gt;0,"暂估",IF($I1167=0,"没有进价","正常"))))</f>
        <v/>
      </c>
      <c r="L1167" s="27">
        <f>IF($A1167="","",IFERROR(VLOOKUP($A1167,库存台账!$A$5:$Y$1204,24,0),0))</f>
        <v/>
      </c>
      <c r="M1167" s="26">
        <f>IF($A1167="","",IFERROR(VLOOKUP($A1167,库存台账!$A$5:$Y$1204,25,0),0))</f>
        <v/>
      </c>
      <c r="N1167" s="19">
        <f>IF($A1167="","",IFERROR(LOOKUP(2,1/((出库单!$D$4:$D$4003=$A1167)*(出库单!$T$4:$T$4003="正常")),出库单!$C$4:$C$4003),""))</f>
        <v/>
      </c>
      <c r="O1167" s="28">
        <f>IF($A1167="","",IF($L1167&lt;=0,"",IF($N1167="",IFERROR(账期止-LOOKUP(2,1/(入库单!$G$4:$G$2503=$A1167),入库单!$C$4:$C$2503),""),账期止-$N1167)))</f>
        <v/>
      </c>
      <c r="P1167" s="17" t="n"/>
    </row>
    <row r="1168">
      <c r="A1168" s="17" t="n"/>
      <c r="B1168" s="17" t="n"/>
      <c r="C1168" s="17" t="n"/>
      <c r="D1168" s="17" t="n"/>
      <c r="E1168" s="17" t="n"/>
      <c r="F1168" s="17" t="n"/>
      <c r="G1168" s="23" t="n"/>
      <c r="H1168" s="24">
        <f>IF($A1168="","",IFERROR(LOOKUP(2,1/((入库单!$G$4:$G$2503=$A1168)*(入库单!$Y$4:$Y$2503="正常")*(入库单!$L$4:$L$2503&gt;0)),入库单!$D$4:$D$2503),""))</f>
        <v/>
      </c>
      <c r="I1168" s="25">
        <f>IF($A1168="","",IFERROR(LOOKUP(2,1/((入库单!$G$4:$G$2503=$A1168)*(入库单!$Y$4:$Y$2503="正常")*(入库单!$L$4:$L$2503&gt;0)),入库单!$L$4:$L$2503),0))</f>
        <v/>
      </c>
      <c r="J1168" s="26">
        <f>IF($A1168="","",IF($H1168="A国内",ROUND($I1168*倍数A*汇率,0),IF($H1168="B当地",ROUND($I1168*系数B,0),0)))</f>
        <v/>
      </c>
      <c r="K1168" s="24">
        <f>IF($A1168="","",IF(COUNTIFS(入库单!$G$4:$G$2503,$A1168,入库单!$X$4:$X$2503,"待补价")&gt;0,"待补价",IF(COUNTIFS(入库单!$G$4:$G$2503,$A1168,入库单!$X$4:$X$2503,"暂估")&gt;0,"暂估",IF($I1168=0,"没有进价","正常"))))</f>
        <v/>
      </c>
      <c r="L1168" s="27">
        <f>IF($A1168="","",IFERROR(VLOOKUP($A1168,库存台账!$A$5:$Y$1204,24,0),0))</f>
        <v/>
      </c>
      <c r="M1168" s="26">
        <f>IF($A1168="","",IFERROR(VLOOKUP($A1168,库存台账!$A$5:$Y$1204,25,0),0))</f>
        <v/>
      </c>
      <c r="N1168" s="19">
        <f>IF($A1168="","",IFERROR(LOOKUP(2,1/((出库单!$D$4:$D$4003=$A1168)*(出库单!$T$4:$T$4003="正常")),出库单!$C$4:$C$4003),""))</f>
        <v/>
      </c>
      <c r="O1168" s="28">
        <f>IF($A1168="","",IF($L1168&lt;=0,"",IF($N1168="",IFERROR(账期止-LOOKUP(2,1/(入库单!$G$4:$G$2503=$A1168),入库单!$C$4:$C$2503),""),账期止-$N1168)))</f>
        <v/>
      </c>
      <c r="P1168" s="17" t="n"/>
    </row>
    <row r="1169">
      <c r="A1169" s="17" t="n"/>
      <c r="B1169" s="17" t="n"/>
      <c r="C1169" s="17" t="n"/>
      <c r="D1169" s="17" t="n"/>
      <c r="E1169" s="17" t="n"/>
      <c r="F1169" s="17" t="n"/>
      <c r="G1169" s="23" t="n"/>
      <c r="H1169" s="24">
        <f>IF($A1169="","",IFERROR(LOOKUP(2,1/((入库单!$G$4:$G$2503=$A1169)*(入库单!$Y$4:$Y$2503="正常")*(入库单!$L$4:$L$2503&gt;0)),入库单!$D$4:$D$2503),""))</f>
        <v/>
      </c>
      <c r="I1169" s="25">
        <f>IF($A1169="","",IFERROR(LOOKUP(2,1/((入库单!$G$4:$G$2503=$A1169)*(入库单!$Y$4:$Y$2503="正常")*(入库单!$L$4:$L$2503&gt;0)),入库单!$L$4:$L$2503),0))</f>
        <v/>
      </c>
      <c r="J1169" s="26">
        <f>IF($A1169="","",IF($H1169="A国内",ROUND($I1169*倍数A*汇率,0),IF($H1169="B当地",ROUND($I1169*系数B,0),0)))</f>
        <v/>
      </c>
      <c r="K1169" s="24">
        <f>IF($A1169="","",IF(COUNTIFS(入库单!$G$4:$G$2503,$A1169,入库单!$X$4:$X$2503,"待补价")&gt;0,"待补价",IF(COUNTIFS(入库单!$G$4:$G$2503,$A1169,入库单!$X$4:$X$2503,"暂估")&gt;0,"暂估",IF($I1169=0,"没有进价","正常"))))</f>
        <v/>
      </c>
      <c r="L1169" s="27">
        <f>IF($A1169="","",IFERROR(VLOOKUP($A1169,库存台账!$A$5:$Y$1204,24,0),0))</f>
        <v/>
      </c>
      <c r="M1169" s="26">
        <f>IF($A1169="","",IFERROR(VLOOKUP($A1169,库存台账!$A$5:$Y$1204,25,0),0))</f>
        <v/>
      </c>
      <c r="N1169" s="19">
        <f>IF($A1169="","",IFERROR(LOOKUP(2,1/((出库单!$D$4:$D$4003=$A1169)*(出库单!$T$4:$T$4003="正常")),出库单!$C$4:$C$4003),""))</f>
        <v/>
      </c>
      <c r="O1169" s="28">
        <f>IF($A1169="","",IF($L1169&lt;=0,"",IF($N1169="",IFERROR(账期止-LOOKUP(2,1/(入库单!$G$4:$G$2503=$A1169),入库单!$C$4:$C$2503),""),账期止-$N1169)))</f>
        <v/>
      </c>
      <c r="P1169" s="17" t="n"/>
    </row>
    <row r="1170">
      <c r="A1170" s="17" t="n"/>
      <c r="B1170" s="17" t="n"/>
      <c r="C1170" s="17" t="n"/>
      <c r="D1170" s="17" t="n"/>
      <c r="E1170" s="17" t="n"/>
      <c r="F1170" s="17" t="n"/>
      <c r="G1170" s="23" t="n"/>
      <c r="H1170" s="24">
        <f>IF($A1170="","",IFERROR(LOOKUP(2,1/((入库单!$G$4:$G$2503=$A1170)*(入库单!$Y$4:$Y$2503="正常")*(入库单!$L$4:$L$2503&gt;0)),入库单!$D$4:$D$2503),""))</f>
        <v/>
      </c>
      <c r="I1170" s="25">
        <f>IF($A1170="","",IFERROR(LOOKUP(2,1/((入库单!$G$4:$G$2503=$A1170)*(入库单!$Y$4:$Y$2503="正常")*(入库单!$L$4:$L$2503&gt;0)),入库单!$L$4:$L$2503),0))</f>
        <v/>
      </c>
      <c r="J1170" s="26">
        <f>IF($A1170="","",IF($H1170="A国内",ROUND($I1170*倍数A*汇率,0),IF($H1170="B当地",ROUND($I1170*系数B,0),0)))</f>
        <v/>
      </c>
      <c r="K1170" s="24">
        <f>IF($A1170="","",IF(COUNTIFS(入库单!$G$4:$G$2503,$A1170,入库单!$X$4:$X$2503,"待补价")&gt;0,"待补价",IF(COUNTIFS(入库单!$G$4:$G$2503,$A1170,入库单!$X$4:$X$2503,"暂估")&gt;0,"暂估",IF($I1170=0,"没有进价","正常"))))</f>
        <v/>
      </c>
      <c r="L1170" s="27">
        <f>IF($A1170="","",IFERROR(VLOOKUP($A1170,库存台账!$A$5:$Y$1204,24,0),0))</f>
        <v/>
      </c>
      <c r="M1170" s="26">
        <f>IF($A1170="","",IFERROR(VLOOKUP($A1170,库存台账!$A$5:$Y$1204,25,0),0))</f>
        <v/>
      </c>
      <c r="N1170" s="19">
        <f>IF($A1170="","",IFERROR(LOOKUP(2,1/((出库单!$D$4:$D$4003=$A1170)*(出库单!$T$4:$T$4003="正常")),出库单!$C$4:$C$4003),""))</f>
        <v/>
      </c>
      <c r="O1170" s="28">
        <f>IF($A1170="","",IF($L1170&lt;=0,"",IF($N1170="",IFERROR(账期止-LOOKUP(2,1/(入库单!$G$4:$G$2503=$A1170),入库单!$C$4:$C$2503),""),账期止-$N1170)))</f>
        <v/>
      </c>
      <c r="P1170" s="17" t="n"/>
    </row>
    <row r="1171">
      <c r="A1171" s="17" t="n"/>
      <c r="B1171" s="17" t="n"/>
      <c r="C1171" s="17" t="n"/>
      <c r="D1171" s="17" t="n"/>
      <c r="E1171" s="17" t="n"/>
      <c r="F1171" s="17" t="n"/>
      <c r="G1171" s="23" t="n"/>
      <c r="H1171" s="24">
        <f>IF($A1171="","",IFERROR(LOOKUP(2,1/((入库单!$G$4:$G$2503=$A1171)*(入库单!$Y$4:$Y$2503="正常")*(入库单!$L$4:$L$2503&gt;0)),入库单!$D$4:$D$2503),""))</f>
        <v/>
      </c>
      <c r="I1171" s="25">
        <f>IF($A1171="","",IFERROR(LOOKUP(2,1/((入库单!$G$4:$G$2503=$A1171)*(入库单!$Y$4:$Y$2503="正常")*(入库单!$L$4:$L$2503&gt;0)),入库单!$L$4:$L$2503),0))</f>
        <v/>
      </c>
      <c r="J1171" s="26">
        <f>IF($A1171="","",IF($H1171="A国内",ROUND($I1171*倍数A*汇率,0),IF($H1171="B当地",ROUND($I1171*系数B,0),0)))</f>
        <v/>
      </c>
      <c r="K1171" s="24">
        <f>IF($A1171="","",IF(COUNTIFS(入库单!$G$4:$G$2503,$A1171,入库单!$X$4:$X$2503,"待补价")&gt;0,"待补价",IF(COUNTIFS(入库单!$G$4:$G$2503,$A1171,入库单!$X$4:$X$2503,"暂估")&gt;0,"暂估",IF($I1171=0,"没有进价","正常"))))</f>
        <v/>
      </c>
      <c r="L1171" s="27">
        <f>IF($A1171="","",IFERROR(VLOOKUP($A1171,库存台账!$A$5:$Y$1204,24,0),0))</f>
        <v/>
      </c>
      <c r="M1171" s="26">
        <f>IF($A1171="","",IFERROR(VLOOKUP($A1171,库存台账!$A$5:$Y$1204,25,0),0))</f>
        <v/>
      </c>
      <c r="N1171" s="19">
        <f>IF($A1171="","",IFERROR(LOOKUP(2,1/((出库单!$D$4:$D$4003=$A1171)*(出库单!$T$4:$T$4003="正常")),出库单!$C$4:$C$4003),""))</f>
        <v/>
      </c>
      <c r="O1171" s="28">
        <f>IF($A1171="","",IF($L1171&lt;=0,"",IF($N1171="",IFERROR(账期止-LOOKUP(2,1/(入库单!$G$4:$G$2503=$A1171),入库单!$C$4:$C$2503),""),账期止-$N1171)))</f>
        <v/>
      </c>
      <c r="P1171" s="17" t="n"/>
    </row>
    <row r="1172">
      <c r="A1172" s="17" t="n"/>
      <c r="B1172" s="17" t="n"/>
      <c r="C1172" s="17" t="n"/>
      <c r="D1172" s="17" t="n"/>
      <c r="E1172" s="17" t="n"/>
      <c r="F1172" s="17" t="n"/>
      <c r="G1172" s="23" t="n"/>
      <c r="H1172" s="24">
        <f>IF($A1172="","",IFERROR(LOOKUP(2,1/((入库单!$G$4:$G$2503=$A1172)*(入库单!$Y$4:$Y$2503="正常")*(入库单!$L$4:$L$2503&gt;0)),入库单!$D$4:$D$2503),""))</f>
        <v/>
      </c>
      <c r="I1172" s="25">
        <f>IF($A1172="","",IFERROR(LOOKUP(2,1/((入库单!$G$4:$G$2503=$A1172)*(入库单!$Y$4:$Y$2503="正常")*(入库单!$L$4:$L$2503&gt;0)),入库单!$L$4:$L$2503),0))</f>
        <v/>
      </c>
      <c r="J1172" s="26">
        <f>IF($A1172="","",IF($H1172="A国内",ROUND($I1172*倍数A*汇率,0),IF($H1172="B当地",ROUND($I1172*系数B,0),0)))</f>
        <v/>
      </c>
      <c r="K1172" s="24">
        <f>IF($A1172="","",IF(COUNTIFS(入库单!$G$4:$G$2503,$A1172,入库单!$X$4:$X$2503,"待补价")&gt;0,"待补价",IF(COUNTIFS(入库单!$G$4:$G$2503,$A1172,入库单!$X$4:$X$2503,"暂估")&gt;0,"暂估",IF($I1172=0,"没有进价","正常"))))</f>
        <v/>
      </c>
      <c r="L1172" s="27">
        <f>IF($A1172="","",IFERROR(VLOOKUP($A1172,库存台账!$A$5:$Y$1204,24,0),0))</f>
        <v/>
      </c>
      <c r="M1172" s="26">
        <f>IF($A1172="","",IFERROR(VLOOKUP($A1172,库存台账!$A$5:$Y$1204,25,0),0))</f>
        <v/>
      </c>
      <c r="N1172" s="19">
        <f>IF($A1172="","",IFERROR(LOOKUP(2,1/((出库单!$D$4:$D$4003=$A1172)*(出库单!$T$4:$T$4003="正常")),出库单!$C$4:$C$4003),""))</f>
        <v/>
      </c>
      <c r="O1172" s="28">
        <f>IF($A1172="","",IF($L1172&lt;=0,"",IF($N1172="",IFERROR(账期止-LOOKUP(2,1/(入库单!$G$4:$G$2503=$A1172),入库单!$C$4:$C$2503),""),账期止-$N1172)))</f>
        <v/>
      </c>
      <c r="P1172" s="17" t="n"/>
    </row>
    <row r="1173">
      <c r="A1173" s="17" t="n"/>
      <c r="B1173" s="17" t="n"/>
      <c r="C1173" s="17" t="n"/>
      <c r="D1173" s="17" t="n"/>
      <c r="E1173" s="17" t="n"/>
      <c r="F1173" s="17" t="n"/>
      <c r="G1173" s="23" t="n"/>
      <c r="H1173" s="24">
        <f>IF($A1173="","",IFERROR(LOOKUP(2,1/((入库单!$G$4:$G$2503=$A1173)*(入库单!$Y$4:$Y$2503="正常")*(入库单!$L$4:$L$2503&gt;0)),入库单!$D$4:$D$2503),""))</f>
        <v/>
      </c>
      <c r="I1173" s="25">
        <f>IF($A1173="","",IFERROR(LOOKUP(2,1/((入库单!$G$4:$G$2503=$A1173)*(入库单!$Y$4:$Y$2503="正常")*(入库单!$L$4:$L$2503&gt;0)),入库单!$L$4:$L$2503),0))</f>
        <v/>
      </c>
      <c r="J1173" s="26">
        <f>IF($A1173="","",IF($H1173="A国内",ROUND($I1173*倍数A*汇率,0),IF($H1173="B当地",ROUND($I1173*系数B,0),0)))</f>
        <v/>
      </c>
      <c r="K1173" s="24">
        <f>IF($A1173="","",IF(COUNTIFS(入库单!$G$4:$G$2503,$A1173,入库单!$X$4:$X$2503,"待补价")&gt;0,"待补价",IF(COUNTIFS(入库单!$G$4:$G$2503,$A1173,入库单!$X$4:$X$2503,"暂估")&gt;0,"暂估",IF($I1173=0,"没有进价","正常"))))</f>
        <v/>
      </c>
      <c r="L1173" s="27">
        <f>IF($A1173="","",IFERROR(VLOOKUP($A1173,库存台账!$A$5:$Y$1204,24,0),0))</f>
        <v/>
      </c>
      <c r="M1173" s="26">
        <f>IF($A1173="","",IFERROR(VLOOKUP($A1173,库存台账!$A$5:$Y$1204,25,0),0))</f>
        <v/>
      </c>
      <c r="N1173" s="19">
        <f>IF($A1173="","",IFERROR(LOOKUP(2,1/((出库单!$D$4:$D$4003=$A1173)*(出库单!$T$4:$T$4003="正常")),出库单!$C$4:$C$4003),""))</f>
        <v/>
      </c>
      <c r="O1173" s="28">
        <f>IF($A1173="","",IF($L1173&lt;=0,"",IF($N1173="",IFERROR(账期止-LOOKUP(2,1/(入库单!$G$4:$G$2503=$A1173),入库单!$C$4:$C$2503),""),账期止-$N1173)))</f>
        <v/>
      </c>
      <c r="P1173" s="17" t="n"/>
    </row>
    <row r="1174">
      <c r="A1174" s="17" t="n"/>
      <c r="B1174" s="17" t="n"/>
      <c r="C1174" s="17" t="n"/>
      <c r="D1174" s="17" t="n"/>
      <c r="E1174" s="17" t="n"/>
      <c r="F1174" s="17" t="n"/>
      <c r="G1174" s="23" t="n"/>
      <c r="H1174" s="24">
        <f>IF($A1174="","",IFERROR(LOOKUP(2,1/((入库单!$G$4:$G$2503=$A1174)*(入库单!$Y$4:$Y$2503="正常")*(入库单!$L$4:$L$2503&gt;0)),入库单!$D$4:$D$2503),""))</f>
        <v/>
      </c>
      <c r="I1174" s="25">
        <f>IF($A1174="","",IFERROR(LOOKUP(2,1/((入库单!$G$4:$G$2503=$A1174)*(入库单!$Y$4:$Y$2503="正常")*(入库单!$L$4:$L$2503&gt;0)),入库单!$L$4:$L$2503),0))</f>
        <v/>
      </c>
      <c r="J1174" s="26">
        <f>IF($A1174="","",IF($H1174="A国内",ROUND($I1174*倍数A*汇率,0),IF($H1174="B当地",ROUND($I1174*系数B,0),0)))</f>
        <v/>
      </c>
      <c r="K1174" s="24">
        <f>IF($A1174="","",IF(COUNTIFS(入库单!$G$4:$G$2503,$A1174,入库单!$X$4:$X$2503,"待补价")&gt;0,"待补价",IF(COUNTIFS(入库单!$G$4:$G$2503,$A1174,入库单!$X$4:$X$2503,"暂估")&gt;0,"暂估",IF($I1174=0,"没有进价","正常"))))</f>
        <v/>
      </c>
      <c r="L1174" s="27">
        <f>IF($A1174="","",IFERROR(VLOOKUP($A1174,库存台账!$A$5:$Y$1204,24,0),0))</f>
        <v/>
      </c>
      <c r="M1174" s="26">
        <f>IF($A1174="","",IFERROR(VLOOKUP($A1174,库存台账!$A$5:$Y$1204,25,0),0))</f>
        <v/>
      </c>
      <c r="N1174" s="19">
        <f>IF($A1174="","",IFERROR(LOOKUP(2,1/((出库单!$D$4:$D$4003=$A1174)*(出库单!$T$4:$T$4003="正常")),出库单!$C$4:$C$4003),""))</f>
        <v/>
      </c>
      <c r="O1174" s="28">
        <f>IF($A1174="","",IF($L1174&lt;=0,"",IF($N1174="",IFERROR(账期止-LOOKUP(2,1/(入库单!$G$4:$G$2503=$A1174),入库单!$C$4:$C$2503),""),账期止-$N1174)))</f>
        <v/>
      </c>
      <c r="P1174" s="17" t="n"/>
    </row>
    <row r="1175">
      <c r="A1175" s="17" t="n"/>
      <c r="B1175" s="17" t="n"/>
      <c r="C1175" s="17" t="n"/>
      <c r="D1175" s="17" t="n"/>
      <c r="E1175" s="17" t="n"/>
      <c r="F1175" s="17" t="n"/>
      <c r="G1175" s="23" t="n"/>
      <c r="H1175" s="24">
        <f>IF($A1175="","",IFERROR(LOOKUP(2,1/((入库单!$G$4:$G$2503=$A1175)*(入库单!$Y$4:$Y$2503="正常")*(入库单!$L$4:$L$2503&gt;0)),入库单!$D$4:$D$2503),""))</f>
        <v/>
      </c>
      <c r="I1175" s="25">
        <f>IF($A1175="","",IFERROR(LOOKUP(2,1/((入库单!$G$4:$G$2503=$A1175)*(入库单!$Y$4:$Y$2503="正常")*(入库单!$L$4:$L$2503&gt;0)),入库单!$L$4:$L$2503),0))</f>
        <v/>
      </c>
      <c r="J1175" s="26">
        <f>IF($A1175="","",IF($H1175="A国内",ROUND($I1175*倍数A*汇率,0),IF($H1175="B当地",ROUND($I1175*系数B,0),0)))</f>
        <v/>
      </c>
      <c r="K1175" s="24">
        <f>IF($A1175="","",IF(COUNTIFS(入库单!$G$4:$G$2503,$A1175,入库单!$X$4:$X$2503,"待补价")&gt;0,"待补价",IF(COUNTIFS(入库单!$G$4:$G$2503,$A1175,入库单!$X$4:$X$2503,"暂估")&gt;0,"暂估",IF($I1175=0,"没有进价","正常"))))</f>
        <v/>
      </c>
      <c r="L1175" s="27">
        <f>IF($A1175="","",IFERROR(VLOOKUP($A1175,库存台账!$A$5:$Y$1204,24,0),0))</f>
        <v/>
      </c>
      <c r="M1175" s="26">
        <f>IF($A1175="","",IFERROR(VLOOKUP($A1175,库存台账!$A$5:$Y$1204,25,0),0))</f>
        <v/>
      </c>
      <c r="N1175" s="19">
        <f>IF($A1175="","",IFERROR(LOOKUP(2,1/((出库单!$D$4:$D$4003=$A1175)*(出库单!$T$4:$T$4003="正常")),出库单!$C$4:$C$4003),""))</f>
        <v/>
      </c>
      <c r="O1175" s="28">
        <f>IF($A1175="","",IF($L1175&lt;=0,"",IF($N1175="",IFERROR(账期止-LOOKUP(2,1/(入库单!$G$4:$G$2503=$A1175),入库单!$C$4:$C$2503),""),账期止-$N1175)))</f>
        <v/>
      </c>
      <c r="P1175" s="17" t="n"/>
    </row>
    <row r="1176">
      <c r="A1176" s="17" t="n"/>
      <c r="B1176" s="17" t="n"/>
      <c r="C1176" s="17" t="n"/>
      <c r="D1176" s="17" t="n"/>
      <c r="E1176" s="17" t="n"/>
      <c r="F1176" s="17" t="n"/>
      <c r="G1176" s="23" t="n"/>
      <c r="H1176" s="24">
        <f>IF($A1176="","",IFERROR(LOOKUP(2,1/((入库单!$G$4:$G$2503=$A1176)*(入库单!$Y$4:$Y$2503="正常")*(入库单!$L$4:$L$2503&gt;0)),入库单!$D$4:$D$2503),""))</f>
        <v/>
      </c>
      <c r="I1176" s="25">
        <f>IF($A1176="","",IFERROR(LOOKUP(2,1/((入库单!$G$4:$G$2503=$A1176)*(入库单!$Y$4:$Y$2503="正常")*(入库单!$L$4:$L$2503&gt;0)),入库单!$L$4:$L$2503),0))</f>
        <v/>
      </c>
      <c r="J1176" s="26">
        <f>IF($A1176="","",IF($H1176="A国内",ROUND($I1176*倍数A*汇率,0),IF($H1176="B当地",ROUND($I1176*系数B,0),0)))</f>
        <v/>
      </c>
      <c r="K1176" s="24">
        <f>IF($A1176="","",IF(COUNTIFS(入库单!$G$4:$G$2503,$A1176,入库单!$X$4:$X$2503,"待补价")&gt;0,"待补价",IF(COUNTIFS(入库单!$G$4:$G$2503,$A1176,入库单!$X$4:$X$2503,"暂估")&gt;0,"暂估",IF($I1176=0,"没有进价","正常"))))</f>
        <v/>
      </c>
      <c r="L1176" s="27">
        <f>IF($A1176="","",IFERROR(VLOOKUP($A1176,库存台账!$A$5:$Y$1204,24,0),0))</f>
        <v/>
      </c>
      <c r="M1176" s="26">
        <f>IF($A1176="","",IFERROR(VLOOKUP($A1176,库存台账!$A$5:$Y$1204,25,0),0))</f>
        <v/>
      </c>
      <c r="N1176" s="19">
        <f>IF($A1176="","",IFERROR(LOOKUP(2,1/((出库单!$D$4:$D$4003=$A1176)*(出库单!$T$4:$T$4003="正常")),出库单!$C$4:$C$4003),""))</f>
        <v/>
      </c>
      <c r="O1176" s="28">
        <f>IF($A1176="","",IF($L1176&lt;=0,"",IF($N1176="",IFERROR(账期止-LOOKUP(2,1/(入库单!$G$4:$G$2503=$A1176),入库单!$C$4:$C$2503),""),账期止-$N1176)))</f>
        <v/>
      </c>
      <c r="P1176" s="17" t="n"/>
    </row>
    <row r="1177">
      <c r="A1177" s="17" t="n"/>
      <c r="B1177" s="17" t="n"/>
      <c r="C1177" s="17" t="n"/>
      <c r="D1177" s="17" t="n"/>
      <c r="E1177" s="17" t="n"/>
      <c r="F1177" s="17" t="n"/>
      <c r="G1177" s="23" t="n"/>
      <c r="H1177" s="24">
        <f>IF($A1177="","",IFERROR(LOOKUP(2,1/((入库单!$G$4:$G$2503=$A1177)*(入库单!$Y$4:$Y$2503="正常")*(入库单!$L$4:$L$2503&gt;0)),入库单!$D$4:$D$2503),""))</f>
        <v/>
      </c>
      <c r="I1177" s="25">
        <f>IF($A1177="","",IFERROR(LOOKUP(2,1/((入库单!$G$4:$G$2503=$A1177)*(入库单!$Y$4:$Y$2503="正常")*(入库单!$L$4:$L$2503&gt;0)),入库单!$L$4:$L$2503),0))</f>
        <v/>
      </c>
      <c r="J1177" s="26">
        <f>IF($A1177="","",IF($H1177="A国内",ROUND($I1177*倍数A*汇率,0),IF($H1177="B当地",ROUND($I1177*系数B,0),0)))</f>
        <v/>
      </c>
      <c r="K1177" s="24">
        <f>IF($A1177="","",IF(COUNTIFS(入库单!$G$4:$G$2503,$A1177,入库单!$X$4:$X$2503,"待补价")&gt;0,"待补价",IF(COUNTIFS(入库单!$G$4:$G$2503,$A1177,入库单!$X$4:$X$2503,"暂估")&gt;0,"暂估",IF($I1177=0,"没有进价","正常"))))</f>
        <v/>
      </c>
      <c r="L1177" s="27">
        <f>IF($A1177="","",IFERROR(VLOOKUP($A1177,库存台账!$A$5:$Y$1204,24,0),0))</f>
        <v/>
      </c>
      <c r="M1177" s="26">
        <f>IF($A1177="","",IFERROR(VLOOKUP($A1177,库存台账!$A$5:$Y$1204,25,0),0))</f>
        <v/>
      </c>
      <c r="N1177" s="19">
        <f>IF($A1177="","",IFERROR(LOOKUP(2,1/((出库单!$D$4:$D$4003=$A1177)*(出库单!$T$4:$T$4003="正常")),出库单!$C$4:$C$4003),""))</f>
        <v/>
      </c>
      <c r="O1177" s="28">
        <f>IF($A1177="","",IF($L1177&lt;=0,"",IF($N1177="",IFERROR(账期止-LOOKUP(2,1/(入库单!$G$4:$G$2503=$A1177),入库单!$C$4:$C$2503),""),账期止-$N1177)))</f>
        <v/>
      </c>
      <c r="P1177" s="17" t="n"/>
    </row>
    <row r="1178">
      <c r="A1178" s="17" t="n"/>
      <c r="B1178" s="17" t="n"/>
      <c r="C1178" s="17" t="n"/>
      <c r="D1178" s="17" t="n"/>
      <c r="E1178" s="17" t="n"/>
      <c r="F1178" s="17" t="n"/>
      <c r="G1178" s="23" t="n"/>
      <c r="H1178" s="24">
        <f>IF($A1178="","",IFERROR(LOOKUP(2,1/((入库单!$G$4:$G$2503=$A1178)*(入库单!$Y$4:$Y$2503="正常")*(入库单!$L$4:$L$2503&gt;0)),入库单!$D$4:$D$2503),""))</f>
        <v/>
      </c>
      <c r="I1178" s="25">
        <f>IF($A1178="","",IFERROR(LOOKUP(2,1/((入库单!$G$4:$G$2503=$A1178)*(入库单!$Y$4:$Y$2503="正常")*(入库单!$L$4:$L$2503&gt;0)),入库单!$L$4:$L$2503),0))</f>
        <v/>
      </c>
      <c r="J1178" s="26">
        <f>IF($A1178="","",IF($H1178="A国内",ROUND($I1178*倍数A*汇率,0),IF($H1178="B当地",ROUND($I1178*系数B,0),0)))</f>
        <v/>
      </c>
      <c r="K1178" s="24">
        <f>IF($A1178="","",IF(COUNTIFS(入库单!$G$4:$G$2503,$A1178,入库单!$X$4:$X$2503,"待补价")&gt;0,"待补价",IF(COUNTIFS(入库单!$G$4:$G$2503,$A1178,入库单!$X$4:$X$2503,"暂估")&gt;0,"暂估",IF($I1178=0,"没有进价","正常"))))</f>
        <v/>
      </c>
      <c r="L1178" s="27">
        <f>IF($A1178="","",IFERROR(VLOOKUP($A1178,库存台账!$A$5:$Y$1204,24,0),0))</f>
        <v/>
      </c>
      <c r="M1178" s="26">
        <f>IF($A1178="","",IFERROR(VLOOKUP($A1178,库存台账!$A$5:$Y$1204,25,0),0))</f>
        <v/>
      </c>
      <c r="N1178" s="19">
        <f>IF($A1178="","",IFERROR(LOOKUP(2,1/((出库单!$D$4:$D$4003=$A1178)*(出库单!$T$4:$T$4003="正常")),出库单!$C$4:$C$4003),""))</f>
        <v/>
      </c>
      <c r="O1178" s="28">
        <f>IF($A1178="","",IF($L1178&lt;=0,"",IF($N1178="",IFERROR(账期止-LOOKUP(2,1/(入库单!$G$4:$G$2503=$A1178),入库单!$C$4:$C$2503),""),账期止-$N1178)))</f>
        <v/>
      </c>
      <c r="P1178" s="17" t="n"/>
    </row>
    <row r="1179">
      <c r="A1179" s="17" t="n"/>
      <c r="B1179" s="17" t="n"/>
      <c r="C1179" s="17" t="n"/>
      <c r="D1179" s="17" t="n"/>
      <c r="E1179" s="17" t="n"/>
      <c r="F1179" s="17" t="n"/>
      <c r="G1179" s="23" t="n"/>
      <c r="H1179" s="24">
        <f>IF($A1179="","",IFERROR(LOOKUP(2,1/((入库单!$G$4:$G$2503=$A1179)*(入库单!$Y$4:$Y$2503="正常")*(入库单!$L$4:$L$2503&gt;0)),入库单!$D$4:$D$2503),""))</f>
        <v/>
      </c>
      <c r="I1179" s="25">
        <f>IF($A1179="","",IFERROR(LOOKUP(2,1/((入库单!$G$4:$G$2503=$A1179)*(入库单!$Y$4:$Y$2503="正常")*(入库单!$L$4:$L$2503&gt;0)),入库单!$L$4:$L$2503),0))</f>
        <v/>
      </c>
      <c r="J1179" s="26">
        <f>IF($A1179="","",IF($H1179="A国内",ROUND($I1179*倍数A*汇率,0),IF($H1179="B当地",ROUND($I1179*系数B,0),0)))</f>
        <v/>
      </c>
      <c r="K1179" s="24">
        <f>IF($A1179="","",IF(COUNTIFS(入库单!$G$4:$G$2503,$A1179,入库单!$X$4:$X$2503,"待补价")&gt;0,"待补价",IF(COUNTIFS(入库单!$G$4:$G$2503,$A1179,入库单!$X$4:$X$2503,"暂估")&gt;0,"暂估",IF($I1179=0,"没有进价","正常"))))</f>
        <v/>
      </c>
      <c r="L1179" s="27">
        <f>IF($A1179="","",IFERROR(VLOOKUP($A1179,库存台账!$A$5:$Y$1204,24,0),0))</f>
        <v/>
      </c>
      <c r="M1179" s="26">
        <f>IF($A1179="","",IFERROR(VLOOKUP($A1179,库存台账!$A$5:$Y$1204,25,0),0))</f>
        <v/>
      </c>
      <c r="N1179" s="19">
        <f>IF($A1179="","",IFERROR(LOOKUP(2,1/((出库单!$D$4:$D$4003=$A1179)*(出库单!$T$4:$T$4003="正常")),出库单!$C$4:$C$4003),""))</f>
        <v/>
      </c>
      <c r="O1179" s="28">
        <f>IF($A1179="","",IF($L1179&lt;=0,"",IF($N1179="",IFERROR(账期止-LOOKUP(2,1/(入库单!$G$4:$G$2503=$A1179),入库单!$C$4:$C$2503),""),账期止-$N1179)))</f>
        <v/>
      </c>
      <c r="P1179" s="17" t="n"/>
    </row>
    <row r="1180">
      <c r="A1180" s="17" t="n"/>
      <c r="B1180" s="17" t="n"/>
      <c r="C1180" s="17" t="n"/>
      <c r="D1180" s="17" t="n"/>
      <c r="E1180" s="17" t="n"/>
      <c r="F1180" s="17" t="n"/>
      <c r="G1180" s="23" t="n"/>
      <c r="H1180" s="24">
        <f>IF($A1180="","",IFERROR(LOOKUP(2,1/((入库单!$G$4:$G$2503=$A1180)*(入库单!$Y$4:$Y$2503="正常")*(入库单!$L$4:$L$2503&gt;0)),入库单!$D$4:$D$2503),""))</f>
        <v/>
      </c>
      <c r="I1180" s="25">
        <f>IF($A1180="","",IFERROR(LOOKUP(2,1/((入库单!$G$4:$G$2503=$A1180)*(入库单!$Y$4:$Y$2503="正常")*(入库单!$L$4:$L$2503&gt;0)),入库单!$L$4:$L$2503),0))</f>
        <v/>
      </c>
      <c r="J1180" s="26">
        <f>IF($A1180="","",IF($H1180="A国内",ROUND($I1180*倍数A*汇率,0),IF($H1180="B当地",ROUND($I1180*系数B,0),0)))</f>
        <v/>
      </c>
      <c r="K1180" s="24">
        <f>IF($A1180="","",IF(COUNTIFS(入库单!$G$4:$G$2503,$A1180,入库单!$X$4:$X$2503,"待补价")&gt;0,"待补价",IF(COUNTIFS(入库单!$G$4:$G$2503,$A1180,入库单!$X$4:$X$2503,"暂估")&gt;0,"暂估",IF($I1180=0,"没有进价","正常"))))</f>
        <v/>
      </c>
      <c r="L1180" s="27">
        <f>IF($A1180="","",IFERROR(VLOOKUP($A1180,库存台账!$A$5:$Y$1204,24,0),0))</f>
        <v/>
      </c>
      <c r="M1180" s="26">
        <f>IF($A1180="","",IFERROR(VLOOKUP($A1180,库存台账!$A$5:$Y$1204,25,0),0))</f>
        <v/>
      </c>
      <c r="N1180" s="19">
        <f>IF($A1180="","",IFERROR(LOOKUP(2,1/((出库单!$D$4:$D$4003=$A1180)*(出库单!$T$4:$T$4003="正常")),出库单!$C$4:$C$4003),""))</f>
        <v/>
      </c>
      <c r="O1180" s="28">
        <f>IF($A1180="","",IF($L1180&lt;=0,"",IF($N1180="",IFERROR(账期止-LOOKUP(2,1/(入库单!$G$4:$G$2503=$A1180),入库单!$C$4:$C$2503),""),账期止-$N1180)))</f>
        <v/>
      </c>
      <c r="P1180" s="17" t="n"/>
    </row>
    <row r="1181">
      <c r="A1181" s="17" t="n"/>
      <c r="B1181" s="17" t="n"/>
      <c r="C1181" s="17" t="n"/>
      <c r="D1181" s="17" t="n"/>
      <c r="E1181" s="17" t="n"/>
      <c r="F1181" s="17" t="n"/>
      <c r="G1181" s="23" t="n"/>
      <c r="H1181" s="24">
        <f>IF($A1181="","",IFERROR(LOOKUP(2,1/((入库单!$G$4:$G$2503=$A1181)*(入库单!$Y$4:$Y$2503="正常")*(入库单!$L$4:$L$2503&gt;0)),入库单!$D$4:$D$2503),""))</f>
        <v/>
      </c>
      <c r="I1181" s="25">
        <f>IF($A1181="","",IFERROR(LOOKUP(2,1/((入库单!$G$4:$G$2503=$A1181)*(入库单!$Y$4:$Y$2503="正常")*(入库单!$L$4:$L$2503&gt;0)),入库单!$L$4:$L$2503),0))</f>
        <v/>
      </c>
      <c r="J1181" s="26">
        <f>IF($A1181="","",IF($H1181="A国内",ROUND($I1181*倍数A*汇率,0),IF($H1181="B当地",ROUND($I1181*系数B,0),0)))</f>
        <v/>
      </c>
      <c r="K1181" s="24">
        <f>IF($A1181="","",IF(COUNTIFS(入库单!$G$4:$G$2503,$A1181,入库单!$X$4:$X$2503,"待补价")&gt;0,"待补价",IF(COUNTIFS(入库单!$G$4:$G$2503,$A1181,入库单!$X$4:$X$2503,"暂估")&gt;0,"暂估",IF($I1181=0,"没有进价","正常"))))</f>
        <v/>
      </c>
      <c r="L1181" s="27">
        <f>IF($A1181="","",IFERROR(VLOOKUP($A1181,库存台账!$A$5:$Y$1204,24,0),0))</f>
        <v/>
      </c>
      <c r="M1181" s="26">
        <f>IF($A1181="","",IFERROR(VLOOKUP($A1181,库存台账!$A$5:$Y$1204,25,0),0))</f>
        <v/>
      </c>
      <c r="N1181" s="19">
        <f>IF($A1181="","",IFERROR(LOOKUP(2,1/((出库单!$D$4:$D$4003=$A1181)*(出库单!$T$4:$T$4003="正常")),出库单!$C$4:$C$4003),""))</f>
        <v/>
      </c>
      <c r="O1181" s="28">
        <f>IF($A1181="","",IF($L1181&lt;=0,"",IF($N1181="",IFERROR(账期止-LOOKUP(2,1/(入库单!$G$4:$G$2503=$A1181),入库单!$C$4:$C$2503),""),账期止-$N1181)))</f>
        <v/>
      </c>
      <c r="P1181" s="17" t="n"/>
    </row>
    <row r="1182">
      <c r="A1182" s="17" t="n"/>
      <c r="B1182" s="17" t="n"/>
      <c r="C1182" s="17" t="n"/>
      <c r="D1182" s="17" t="n"/>
      <c r="E1182" s="17" t="n"/>
      <c r="F1182" s="17" t="n"/>
      <c r="G1182" s="23" t="n"/>
      <c r="H1182" s="24">
        <f>IF($A1182="","",IFERROR(LOOKUP(2,1/((入库单!$G$4:$G$2503=$A1182)*(入库单!$Y$4:$Y$2503="正常")*(入库单!$L$4:$L$2503&gt;0)),入库单!$D$4:$D$2503),""))</f>
        <v/>
      </c>
      <c r="I1182" s="25">
        <f>IF($A1182="","",IFERROR(LOOKUP(2,1/((入库单!$G$4:$G$2503=$A1182)*(入库单!$Y$4:$Y$2503="正常")*(入库单!$L$4:$L$2503&gt;0)),入库单!$L$4:$L$2503),0))</f>
        <v/>
      </c>
      <c r="J1182" s="26">
        <f>IF($A1182="","",IF($H1182="A国内",ROUND($I1182*倍数A*汇率,0),IF($H1182="B当地",ROUND($I1182*系数B,0),0)))</f>
        <v/>
      </c>
      <c r="K1182" s="24">
        <f>IF($A1182="","",IF(COUNTIFS(入库单!$G$4:$G$2503,$A1182,入库单!$X$4:$X$2503,"待补价")&gt;0,"待补价",IF(COUNTIFS(入库单!$G$4:$G$2503,$A1182,入库单!$X$4:$X$2503,"暂估")&gt;0,"暂估",IF($I1182=0,"没有进价","正常"))))</f>
        <v/>
      </c>
      <c r="L1182" s="27">
        <f>IF($A1182="","",IFERROR(VLOOKUP($A1182,库存台账!$A$5:$Y$1204,24,0),0))</f>
        <v/>
      </c>
      <c r="M1182" s="26">
        <f>IF($A1182="","",IFERROR(VLOOKUP($A1182,库存台账!$A$5:$Y$1204,25,0),0))</f>
        <v/>
      </c>
      <c r="N1182" s="19">
        <f>IF($A1182="","",IFERROR(LOOKUP(2,1/((出库单!$D$4:$D$4003=$A1182)*(出库单!$T$4:$T$4003="正常")),出库单!$C$4:$C$4003),""))</f>
        <v/>
      </c>
      <c r="O1182" s="28">
        <f>IF($A1182="","",IF($L1182&lt;=0,"",IF($N1182="",IFERROR(账期止-LOOKUP(2,1/(入库单!$G$4:$G$2503=$A1182),入库单!$C$4:$C$2503),""),账期止-$N1182)))</f>
        <v/>
      </c>
      <c r="P1182" s="17" t="n"/>
    </row>
    <row r="1183">
      <c r="A1183" s="17" t="n"/>
      <c r="B1183" s="17" t="n"/>
      <c r="C1183" s="17" t="n"/>
      <c r="D1183" s="17" t="n"/>
      <c r="E1183" s="17" t="n"/>
      <c r="F1183" s="17" t="n"/>
      <c r="G1183" s="23" t="n"/>
      <c r="H1183" s="24">
        <f>IF($A1183="","",IFERROR(LOOKUP(2,1/((入库单!$G$4:$G$2503=$A1183)*(入库单!$Y$4:$Y$2503="正常")*(入库单!$L$4:$L$2503&gt;0)),入库单!$D$4:$D$2503),""))</f>
        <v/>
      </c>
      <c r="I1183" s="25">
        <f>IF($A1183="","",IFERROR(LOOKUP(2,1/((入库单!$G$4:$G$2503=$A1183)*(入库单!$Y$4:$Y$2503="正常")*(入库单!$L$4:$L$2503&gt;0)),入库单!$L$4:$L$2503),0))</f>
        <v/>
      </c>
      <c r="J1183" s="26">
        <f>IF($A1183="","",IF($H1183="A国内",ROUND($I1183*倍数A*汇率,0),IF($H1183="B当地",ROUND($I1183*系数B,0),0)))</f>
        <v/>
      </c>
      <c r="K1183" s="24">
        <f>IF($A1183="","",IF(COUNTIFS(入库单!$G$4:$G$2503,$A1183,入库单!$X$4:$X$2503,"待补价")&gt;0,"待补价",IF(COUNTIFS(入库单!$G$4:$G$2503,$A1183,入库单!$X$4:$X$2503,"暂估")&gt;0,"暂估",IF($I1183=0,"没有进价","正常"))))</f>
        <v/>
      </c>
      <c r="L1183" s="27">
        <f>IF($A1183="","",IFERROR(VLOOKUP($A1183,库存台账!$A$5:$Y$1204,24,0),0))</f>
        <v/>
      </c>
      <c r="M1183" s="26">
        <f>IF($A1183="","",IFERROR(VLOOKUP($A1183,库存台账!$A$5:$Y$1204,25,0),0))</f>
        <v/>
      </c>
      <c r="N1183" s="19">
        <f>IF($A1183="","",IFERROR(LOOKUP(2,1/((出库单!$D$4:$D$4003=$A1183)*(出库单!$T$4:$T$4003="正常")),出库单!$C$4:$C$4003),""))</f>
        <v/>
      </c>
      <c r="O1183" s="28">
        <f>IF($A1183="","",IF($L1183&lt;=0,"",IF($N1183="",IFERROR(账期止-LOOKUP(2,1/(入库单!$G$4:$G$2503=$A1183),入库单!$C$4:$C$2503),""),账期止-$N1183)))</f>
        <v/>
      </c>
      <c r="P1183" s="17" t="n"/>
    </row>
    <row r="1184">
      <c r="A1184" s="17" t="n"/>
      <c r="B1184" s="17" t="n"/>
      <c r="C1184" s="17" t="n"/>
      <c r="D1184" s="17" t="n"/>
      <c r="E1184" s="17" t="n"/>
      <c r="F1184" s="17" t="n"/>
      <c r="G1184" s="23" t="n"/>
      <c r="H1184" s="24">
        <f>IF($A1184="","",IFERROR(LOOKUP(2,1/((入库单!$G$4:$G$2503=$A1184)*(入库单!$Y$4:$Y$2503="正常")*(入库单!$L$4:$L$2503&gt;0)),入库单!$D$4:$D$2503),""))</f>
        <v/>
      </c>
      <c r="I1184" s="25">
        <f>IF($A1184="","",IFERROR(LOOKUP(2,1/((入库单!$G$4:$G$2503=$A1184)*(入库单!$Y$4:$Y$2503="正常")*(入库单!$L$4:$L$2503&gt;0)),入库单!$L$4:$L$2503),0))</f>
        <v/>
      </c>
      <c r="J1184" s="26">
        <f>IF($A1184="","",IF($H1184="A国内",ROUND($I1184*倍数A*汇率,0),IF($H1184="B当地",ROUND($I1184*系数B,0),0)))</f>
        <v/>
      </c>
      <c r="K1184" s="24">
        <f>IF($A1184="","",IF(COUNTIFS(入库单!$G$4:$G$2503,$A1184,入库单!$X$4:$X$2503,"待补价")&gt;0,"待补价",IF(COUNTIFS(入库单!$G$4:$G$2503,$A1184,入库单!$X$4:$X$2503,"暂估")&gt;0,"暂估",IF($I1184=0,"没有进价","正常"))))</f>
        <v/>
      </c>
      <c r="L1184" s="27">
        <f>IF($A1184="","",IFERROR(VLOOKUP($A1184,库存台账!$A$5:$Y$1204,24,0),0))</f>
        <v/>
      </c>
      <c r="M1184" s="26">
        <f>IF($A1184="","",IFERROR(VLOOKUP($A1184,库存台账!$A$5:$Y$1204,25,0),0))</f>
        <v/>
      </c>
      <c r="N1184" s="19">
        <f>IF($A1184="","",IFERROR(LOOKUP(2,1/((出库单!$D$4:$D$4003=$A1184)*(出库单!$T$4:$T$4003="正常")),出库单!$C$4:$C$4003),""))</f>
        <v/>
      </c>
      <c r="O1184" s="28">
        <f>IF($A1184="","",IF($L1184&lt;=0,"",IF($N1184="",IFERROR(账期止-LOOKUP(2,1/(入库单!$G$4:$G$2503=$A1184),入库单!$C$4:$C$2503),""),账期止-$N1184)))</f>
        <v/>
      </c>
      <c r="P1184" s="17" t="n"/>
    </row>
    <row r="1185">
      <c r="A1185" s="17" t="n"/>
      <c r="B1185" s="17" t="n"/>
      <c r="C1185" s="17" t="n"/>
      <c r="D1185" s="17" t="n"/>
      <c r="E1185" s="17" t="n"/>
      <c r="F1185" s="17" t="n"/>
      <c r="G1185" s="23" t="n"/>
      <c r="H1185" s="24">
        <f>IF($A1185="","",IFERROR(LOOKUP(2,1/((入库单!$G$4:$G$2503=$A1185)*(入库单!$Y$4:$Y$2503="正常")*(入库单!$L$4:$L$2503&gt;0)),入库单!$D$4:$D$2503),""))</f>
        <v/>
      </c>
      <c r="I1185" s="25">
        <f>IF($A1185="","",IFERROR(LOOKUP(2,1/((入库单!$G$4:$G$2503=$A1185)*(入库单!$Y$4:$Y$2503="正常")*(入库单!$L$4:$L$2503&gt;0)),入库单!$L$4:$L$2503),0))</f>
        <v/>
      </c>
      <c r="J1185" s="26">
        <f>IF($A1185="","",IF($H1185="A国内",ROUND($I1185*倍数A*汇率,0),IF($H1185="B当地",ROUND($I1185*系数B,0),0)))</f>
        <v/>
      </c>
      <c r="K1185" s="24">
        <f>IF($A1185="","",IF(COUNTIFS(入库单!$G$4:$G$2503,$A1185,入库单!$X$4:$X$2503,"待补价")&gt;0,"待补价",IF(COUNTIFS(入库单!$G$4:$G$2503,$A1185,入库单!$X$4:$X$2503,"暂估")&gt;0,"暂估",IF($I1185=0,"没有进价","正常"))))</f>
        <v/>
      </c>
      <c r="L1185" s="27">
        <f>IF($A1185="","",IFERROR(VLOOKUP($A1185,库存台账!$A$5:$Y$1204,24,0),0))</f>
        <v/>
      </c>
      <c r="M1185" s="26">
        <f>IF($A1185="","",IFERROR(VLOOKUP($A1185,库存台账!$A$5:$Y$1204,25,0),0))</f>
        <v/>
      </c>
      <c r="N1185" s="19">
        <f>IF($A1185="","",IFERROR(LOOKUP(2,1/((出库单!$D$4:$D$4003=$A1185)*(出库单!$T$4:$T$4003="正常")),出库单!$C$4:$C$4003),""))</f>
        <v/>
      </c>
      <c r="O1185" s="28">
        <f>IF($A1185="","",IF($L1185&lt;=0,"",IF($N1185="",IFERROR(账期止-LOOKUP(2,1/(入库单!$G$4:$G$2503=$A1185),入库单!$C$4:$C$2503),""),账期止-$N1185)))</f>
        <v/>
      </c>
      <c r="P1185" s="17" t="n"/>
    </row>
    <row r="1186">
      <c r="A1186" s="17" t="n"/>
      <c r="B1186" s="17" t="n"/>
      <c r="C1186" s="17" t="n"/>
      <c r="D1186" s="17" t="n"/>
      <c r="E1186" s="17" t="n"/>
      <c r="F1186" s="17" t="n"/>
      <c r="G1186" s="23" t="n"/>
      <c r="H1186" s="24">
        <f>IF($A1186="","",IFERROR(LOOKUP(2,1/((入库单!$G$4:$G$2503=$A1186)*(入库单!$Y$4:$Y$2503="正常")*(入库单!$L$4:$L$2503&gt;0)),入库单!$D$4:$D$2503),""))</f>
        <v/>
      </c>
      <c r="I1186" s="25">
        <f>IF($A1186="","",IFERROR(LOOKUP(2,1/((入库单!$G$4:$G$2503=$A1186)*(入库单!$Y$4:$Y$2503="正常")*(入库单!$L$4:$L$2503&gt;0)),入库单!$L$4:$L$2503),0))</f>
        <v/>
      </c>
      <c r="J1186" s="26">
        <f>IF($A1186="","",IF($H1186="A国内",ROUND($I1186*倍数A*汇率,0),IF($H1186="B当地",ROUND($I1186*系数B,0),0)))</f>
        <v/>
      </c>
      <c r="K1186" s="24">
        <f>IF($A1186="","",IF(COUNTIFS(入库单!$G$4:$G$2503,$A1186,入库单!$X$4:$X$2503,"待补价")&gt;0,"待补价",IF(COUNTIFS(入库单!$G$4:$G$2503,$A1186,入库单!$X$4:$X$2503,"暂估")&gt;0,"暂估",IF($I1186=0,"没有进价","正常"))))</f>
        <v/>
      </c>
      <c r="L1186" s="27">
        <f>IF($A1186="","",IFERROR(VLOOKUP($A1186,库存台账!$A$5:$Y$1204,24,0),0))</f>
        <v/>
      </c>
      <c r="M1186" s="26">
        <f>IF($A1186="","",IFERROR(VLOOKUP($A1186,库存台账!$A$5:$Y$1204,25,0),0))</f>
        <v/>
      </c>
      <c r="N1186" s="19">
        <f>IF($A1186="","",IFERROR(LOOKUP(2,1/((出库单!$D$4:$D$4003=$A1186)*(出库单!$T$4:$T$4003="正常")),出库单!$C$4:$C$4003),""))</f>
        <v/>
      </c>
      <c r="O1186" s="28">
        <f>IF($A1186="","",IF($L1186&lt;=0,"",IF($N1186="",IFERROR(账期止-LOOKUP(2,1/(入库单!$G$4:$G$2503=$A1186),入库单!$C$4:$C$2503),""),账期止-$N1186)))</f>
        <v/>
      </c>
      <c r="P1186" s="17" t="n"/>
    </row>
    <row r="1187">
      <c r="A1187" s="17" t="n"/>
      <c r="B1187" s="17" t="n"/>
      <c r="C1187" s="17" t="n"/>
      <c r="D1187" s="17" t="n"/>
      <c r="E1187" s="17" t="n"/>
      <c r="F1187" s="17" t="n"/>
      <c r="G1187" s="23" t="n"/>
      <c r="H1187" s="24">
        <f>IF($A1187="","",IFERROR(LOOKUP(2,1/((入库单!$G$4:$G$2503=$A1187)*(入库单!$Y$4:$Y$2503="正常")*(入库单!$L$4:$L$2503&gt;0)),入库单!$D$4:$D$2503),""))</f>
        <v/>
      </c>
      <c r="I1187" s="25">
        <f>IF($A1187="","",IFERROR(LOOKUP(2,1/((入库单!$G$4:$G$2503=$A1187)*(入库单!$Y$4:$Y$2503="正常")*(入库单!$L$4:$L$2503&gt;0)),入库单!$L$4:$L$2503),0))</f>
        <v/>
      </c>
      <c r="J1187" s="26">
        <f>IF($A1187="","",IF($H1187="A国内",ROUND($I1187*倍数A*汇率,0),IF($H1187="B当地",ROUND($I1187*系数B,0),0)))</f>
        <v/>
      </c>
      <c r="K1187" s="24">
        <f>IF($A1187="","",IF(COUNTIFS(入库单!$G$4:$G$2503,$A1187,入库单!$X$4:$X$2503,"待补价")&gt;0,"待补价",IF(COUNTIFS(入库单!$G$4:$G$2503,$A1187,入库单!$X$4:$X$2503,"暂估")&gt;0,"暂估",IF($I1187=0,"没有进价","正常"))))</f>
        <v/>
      </c>
      <c r="L1187" s="27">
        <f>IF($A1187="","",IFERROR(VLOOKUP($A1187,库存台账!$A$5:$Y$1204,24,0),0))</f>
        <v/>
      </c>
      <c r="M1187" s="26">
        <f>IF($A1187="","",IFERROR(VLOOKUP($A1187,库存台账!$A$5:$Y$1204,25,0),0))</f>
        <v/>
      </c>
      <c r="N1187" s="19">
        <f>IF($A1187="","",IFERROR(LOOKUP(2,1/((出库单!$D$4:$D$4003=$A1187)*(出库单!$T$4:$T$4003="正常")),出库单!$C$4:$C$4003),""))</f>
        <v/>
      </c>
      <c r="O1187" s="28">
        <f>IF($A1187="","",IF($L1187&lt;=0,"",IF($N1187="",IFERROR(账期止-LOOKUP(2,1/(入库单!$G$4:$G$2503=$A1187),入库单!$C$4:$C$2503),""),账期止-$N1187)))</f>
        <v/>
      </c>
      <c r="P1187" s="17" t="n"/>
    </row>
    <row r="1188">
      <c r="A1188" s="17" t="n"/>
      <c r="B1188" s="17" t="n"/>
      <c r="C1188" s="17" t="n"/>
      <c r="D1188" s="17" t="n"/>
      <c r="E1188" s="17" t="n"/>
      <c r="F1188" s="17" t="n"/>
      <c r="G1188" s="23" t="n"/>
      <c r="H1188" s="24">
        <f>IF($A1188="","",IFERROR(LOOKUP(2,1/((入库单!$G$4:$G$2503=$A1188)*(入库单!$Y$4:$Y$2503="正常")*(入库单!$L$4:$L$2503&gt;0)),入库单!$D$4:$D$2503),""))</f>
        <v/>
      </c>
      <c r="I1188" s="25">
        <f>IF($A1188="","",IFERROR(LOOKUP(2,1/((入库单!$G$4:$G$2503=$A1188)*(入库单!$Y$4:$Y$2503="正常")*(入库单!$L$4:$L$2503&gt;0)),入库单!$L$4:$L$2503),0))</f>
        <v/>
      </c>
      <c r="J1188" s="26">
        <f>IF($A1188="","",IF($H1188="A国内",ROUND($I1188*倍数A*汇率,0),IF($H1188="B当地",ROUND($I1188*系数B,0),0)))</f>
        <v/>
      </c>
      <c r="K1188" s="24">
        <f>IF($A1188="","",IF(COUNTIFS(入库单!$G$4:$G$2503,$A1188,入库单!$X$4:$X$2503,"待补价")&gt;0,"待补价",IF(COUNTIFS(入库单!$G$4:$G$2503,$A1188,入库单!$X$4:$X$2503,"暂估")&gt;0,"暂估",IF($I1188=0,"没有进价","正常"))))</f>
        <v/>
      </c>
      <c r="L1188" s="27">
        <f>IF($A1188="","",IFERROR(VLOOKUP($A1188,库存台账!$A$5:$Y$1204,24,0),0))</f>
        <v/>
      </c>
      <c r="M1188" s="26">
        <f>IF($A1188="","",IFERROR(VLOOKUP($A1188,库存台账!$A$5:$Y$1204,25,0),0))</f>
        <v/>
      </c>
      <c r="N1188" s="19">
        <f>IF($A1188="","",IFERROR(LOOKUP(2,1/((出库单!$D$4:$D$4003=$A1188)*(出库单!$T$4:$T$4003="正常")),出库单!$C$4:$C$4003),""))</f>
        <v/>
      </c>
      <c r="O1188" s="28">
        <f>IF($A1188="","",IF($L1188&lt;=0,"",IF($N1188="",IFERROR(账期止-LOOKUP(2,1/(入库单!$G$4:$G$2503=$A1188),入库单!$C$4:$C$2503),""),账期止-$N1188)))</f>
        <v/>
      </c>
      <c r="P1188" s="17" t="n"/>
    </row>
    <row r="1189">
      <c r="A1189" s="17" t="n"/>
      <c r="B1189" s="17" t="n"/>
      <c r="C1189" s="17" t="n"/>
      <c r="D1189" s="17" t="n"/>
      <c r="E1189" s="17" t="n"/>
      <c r="F1189" s="17" t="n"/>
      <c r="G1189" s="23" t="n"/>
      <c r="H1189" s="24">
        <f>IF($A1189="","",IFERROR(LOOKUP(2,1/((入库单!$G$4:$G$2503=$A1189)*(入库单!$Y$4:$Y$2503="正常")*(入库单!$L$4:$L$2503&gt;0)),入库单!$D$4:$D$2503),""))</f>
        <v/>
      </c>
      <c r="I1189" s="25">
        <f>IF($A1189="","",IFERROR(LOOKUP(2,1/((入库单!$G$4:$G$2503=$A1189)*(入库单!$Y$4:$Y$2503="正常")*(入库单!$L$4:$L$2503&gt;0)),入库单!$L$4:$L$2503),0))</f>
        <v/>
      </c>
      <c r="J1189" s="26">
        <f>IF($A1189="","",IF($H1189="A国内",ROUND($I1189*倍数A*汇率,0),IF($H1189="B当地",ROUND($I1189*系数B,0),0)))</f>
        <v/>
      </c>
      <c r="K1189" s="24">
        <f>IF($A1189="","",IF(COUNTIFS(入库单!$G$4:$G$2503,$A1189,入库单!$X$4:$X$2503,"待补价")&gt;0,"待补价",IF(COUNTIFS(入库单!$G$4:$G$2503,$A1189,入库单!$X$4:$X$2503,"暂估")&gt;0,"暂估",IF($I1189=0,"没有进价","正常"))))</f>
        <v/>
      </c>
      <c r="L1189" s="27">
        <f>IF($A1189="","",IFERROR(VLOOKUP($A1189,库存台账!$A$5:$Y$1204,24,0),0))</f>
        <v/>
      </c>
      <c r="M1189" s="26">
        <f>IF($A1189="","",IFERROR(VLOOKUP($A1189,库存台账!$A$5:$Y$1204,25,0),0))</f>
        <v/>
      </c>
      <c r="N1189" s="19">
        <f>IF($A1189="","",IFERROR(LOOKUP(2,1/((出库单!$D$4:$D$4003=$A1189)*(出库单!$T$4:$T$4003="正常")),出库单!$C$4:$C$4003),""))</f>
        <v/>
      </c>
      <c r="O1189" s="28">
        <f>IF($A1189="","",IF($L1189&lt;=0,"",IF($N1189="",IFERROR(账期止-LOOKUP(2,1/(入库单!$G$4:$G$2503=$A1189),入库单!$C$4:$C$2503),""),账期止-$N1189)))</f>
        <v/>
      </c>
      <c r="P1189" s="17" t="n"/>
    </row>
    <row r="1190">
      <c r="A1190" s="17" t="n"/>
      <c r="B1190" s="17" t="n"/>
      <c r="C1190" s="17" t="n"/>
      <c r="D1190" s="17" t="n"/>
      <c r="E1190" s="17" t="n"/>
      <c r="F1190" s="17" t="n"/>
      <c r="G1190" s="23" t="n"/>
      <c r="H1190" s="24">
        <f>IF($A1190="","",IFERROR(LOOKUP(2,1/((入库单!$G$4:$G$2503=$A1190)*(入库单!$Y$4:$Y$2503="正常")*(入库单!$L$4:$L$2503&gt;0)),入库单!$D$4:$D$2503),""))</f>
        <v/>
      </c>
      <c r="I1190" s="25">
        <f>IF($A1190="","",IFERROR(LOOKUP(2,1/((入库单!$G$4:$G$2503=$A1190)*(入库单!$Y$4:$Y$2503="正常")*(入库单!$L$4:$L$2503&gt;0)),入库单!$L$4:$L$2503),0))</f>
        <v/>
      </c>
      <c r="J1190" s="26">
        <f>IF($A1190="","",IF($H1190="A国内",ROUND($I1190*倍数A*汇率,0),IF($H1190="B当地",ROUND($I1190*系数B,0),0)))</f>
        <v/>
      </c>
      <c r="K1190" s="24">
        <f>IF($A1190="","",IF(COUNTIFS(入库单!$G$4:$G$2503,$A1190,入库单!$X$4:$X$2503,"待补价")&gt;0,"待补价",IF(COUNTIFS(入库单!$G$4:$G$2503,$A1190,入库单!$X$4:$X$2503,"暂估")&gt;0,"暂估",IF($I1190=0,"没有进价","正常"))))</f>
        <v/>
      </c>
      <c r="L1190" s="27">
        <f>IF($A1190="","",IFERROR(VLOOKUP($A1190,库存台账!$A$5:$Y$1204,24,0),0))</f>
        <v/>
      </c>
      <c r="M1190" s="26">
        <f>IF($A1190="","",IFERROR(VLOOKUP($A1190,库存台账!$A$5:$Y$1204,25,0),0))</f>
        <v/>
      </c>
      <c r="N1190" s="19">
        <f>IF($A1190="","",IFERROR(LOOKUP(2,1/((出库单!$D$4:$D$4003=$A1190)*(出库单!$T$4:$T$4003="正常")),出库单!$C$4:$C$4003),""))</f>
        <v/>
      </c>
      <c r="O1190" s="28">
        <f>IF($A1190="","",IF($L1190&lt;=0,"",IF($N1190="",IFERROR(账期止-LOOKUP(2,1/(入库单!$G$4:$G$2503=$A1190),入库单!$C$4:$C$2503),""),账期止-$N1190)))</f>
        <v/>
      </c>
      <c r="P1190" s="17" t="n"/>
    </row>
    <row r="1191">
      <c r="A1191" s="17" t="n"/>
      <c r="B1191" s="17" t="n"/>
      <c r="C1191" s="17" t="n"/>
      <c r="D1191" s="17" t="n"/>
      <c r="E1191" s="17" t="n"/>
      <c r="F1191" s="17" t="n"/>
      <c r="G1191" s="23" t="n"/>
      <c r="H1191" s="24">
        <f>IF($A1191="","",IFERROR(LOOKUP(2,1/((入库单!$G$4:$G$2503=$A1191)*(入库单!$Y$4:$Y$2503="正常")*(入库单!$L$4:$L$2503&gt;0)),入库单!$D$4:$D$2503),""))</f>
        <v/>
      </c>
      <c r="I1191" s="25">
        <f>IF($A1191="","",IFERROR(LOOKUP(2,1/((入库单!$G$4:$G$2503=$A1191)*(入库单!$Y$4:$Y$2503="正常")*(入库单!$L$4:$L$2503&gt;0)),入库单!$L$4:$L$2503),0))</f>
        <v/>
      </c>
      <c r="J1191" s="26">
        <f>IF($A1191="","",IF($H1191="A国内",ROUND($I1191*倍数A*汇率,0),IF($H1191="B当地",ROUND($I1191*系数B,0),0)))</f>
        <v/>
      </c>
      <c r="K1191" s="24">
        <f>IF($A1191="","",IF(COUNTIFS(入库单!$G$4:$G$2503,$A1191,入库单!$X$4:$X$2503,"待补价")&gt;0,"待补价",IF(COUNTIFS(入库单!$G$4:$G$2503,$A1191,入库单!$X$4:$X$2503,"暂估")&gt;0,"暂估",IF($I1191=0,"没有进价","正常"))))</f>
        <v/>
      </c>
      <c r="L1191" s="27">
        <f>IF($A1191="","",IFERROR(VLOOKUP($A1191,库存台账!$A$5:$Y$1204,24,0),0))</f>
        <v/>
      </c>
      <c r="M1191" s="26">
        <f>IF($A1191="","",IFERROR(VLOOKUP($A1191,库存台账!$A$5:$Y$1204,25,0),0))</f>
        <v/>
      </c>
      <c r="N1191" s="19">
        <f>IF($A1191="","",IFERROR(LOOKUP(2,1/((出库单!$D$4:$D$4003=$A1191)*(出库单!$T$4:$T$4003="正常")),出库单!$C$4:$C$4003),""))</f>
        <v/>
      </c>
      <c r="O1191" s="28">
        <f>IF($A1191="","",IF($L1191&lt;=0,"",IF($N1191="",IFERROR(账期止-LOOKUP(2,1/(入库单!$G$4:$G$2503=$A1191),入库单!$C$4:$C$2503),""),账期止-$N1191)))</f>
        <v/>
      </c>
      <c r="P1191" s="17" t="n"/>
    </row>
    <row r="1192">
      <c r="A1192" s="17" t="n"/>
      <c r="B1192" s="17" t="n"/>
      <c r="C1192" s="17" t="n"/>
      <c r="D1192" s="17" t="n"/>
      <c r="E1192" s="17" t="n"/>
      <c r="F1192" s="17" t="n"/>
      <c r="G1192" s="23" t="n"/>
      <c r="H1192" s="24">
        <f>IF($A1192="","",IFERROR(LOOKUP(2,1/((入库单!$G$4:$G$2503=$A1192)*(入库单!$Y$4:$Y$2503="正常")*(入库单!$L$4:$L$2503&gt;0)),入库单!$D$4:$D$2503),""))</f>
        <v/>
      </c>
      <c r="I1192" s="25">
        <f>IF($A1192="","",IFERROR(LOOKUP(2,1/((入库单!$G$4:$G$2503=$A1192)*(入库单!$Y$4:$Y$2503="正常")*(入库单!$L$4:$L$2503&gt;0)),入库单!$L$4:$L$2503),0))</f>
        <v/>
      </c>
      <c r="J1192" s="26">
        <f>IF($A1192="","",IF($H1192="A国内",ROUND($I1192*倍数A*汇率,0),IF($H1192="B当地",ROUND($I1192*系数B,0),0)))</f>
        <v/>
      </c>
      <c r="K1192" s="24">
        <f>IF($A1192="","",IF(COUNTIFS(入库单!$G$4:$G$2503,$A1192,入库单!$X$4:$X$2503,"待补价")&gt;0,"待补价",IF(COUNTIFS(入库单!$G$4:$G$2503,$A1192,入库单!$X$4:$X$2503,"暂估")&gt;0,"暂估",IF($I1192=0,"没有进价","正常"))))</f>
        <v/>
      </c>
      <c r="L1192" s="27">
        <f>IF($A1192="","",IFERROR(VLOOKUP($A1192,库存台账!$A$5:$Y$1204,24,0),0))</f>
        <v/>
      </c>
      <c r="M1192" s="26">
        <f>IF($A1192="","",IFERROR(VLOOKUP($A1192,库存台账!$A$5:$Y$1204,25,0),0))</f>
        <v/>
      </c>
      <c r="N1192" s="19">
        <f>IF($A1192="","",IFERROR(LOOKUP(2,1/((出库单!$D$4:$D$4003=$A1192)*(出库单!$T$4:$T$4003="正常")),出库单!$C$4:$C$4003),""))</f>
        <v/>
      </c>
      <c r="O1192" s="28">
        <f>IF($A1192="","",IF($L1192&lt;=0,"",IF($N1192="",IFERROR(账期止-LOOKUP(2,1/(入库单!$G$4:$G$2503=$A1192),入库单!$C$4:$C$2503),""),账期止-$N1192)))</f>
        <v/>
      </c>
      <c r="P1192" s="17" t="n"/>
    </row>
    <row r="1193">
      <c r="A1193" s="17" t="n"/>
      <c r="B1193" s="17" t="n"/>
      <c r="C1193" s="17" t="n"/>
      <c r="D1193" s="17" t="n"/>
      <c r="E1193" s="17" t="n"/>
      <c r="F1193" s="17" t="n"/>
      <c r="G1193" s="23" t="n"/>
      <c r="H1193" s="24">
        <f>IF($A1193="","",IFERROR(LOOKUP(2,1/((入库单!$G$4:$G$2503=$A1193)*(入库单!$Y$4:$Y$2503="正常")*(入库单!$L$4:$L$2503&gt;0)),入库单!$D$4:$D$2503),""))</f>
        <v/>
      </c>
      <c r="I1193" s="25">
        <f>IF($A1193="","",IFERROR(LOOKUP(2,1/((入库单!$G$4:$G$2503=$A1193)*(入库单!$Y$4:$Y$2503="正常")*(入库单!$L$4:$L$2503&gt;0)),入库单!$L$4:$L$2503),0))</f>
        <v/>
      </c>
      <c r="J1193" s="26">
        <f>IF($A1193="","",IF($H1193="A国内",ROUND($I1193*倍数A*汇率,0),IF($H1193="B当地",ROUND($I1193*系数B,0),0)))</f>
        <v/>
      </c>
      <c r="K1193" s="24">
        <f>IF($A1193="","",IF(COUNTIFS(入库单!$G$4:$G$2503,$A1193,入库单!$X$4:$X$2503,"待补价")&gt;0,"待补价",IF(COUNTIFS(入库单!$G$4:$G$2503,$A1193,入库单!$X$4:$X$2503,"暂估")&gt;0,"暂估",IF($I1193=0,"没有进价","正常"))))</f>
        <v/>
      </c>
      <c r="L1193" s="27">
        <f>IF($A1193="","",IFERROR(VLOOKUP($A1193,库存台账!$A$5:$Y$1204,24,0),0))</f>
        <v/>
      </c>
      <c r="M1193" s="26">
        <f>IF($A1193="","",IFERROR(VLOOKUP($A1193,库存台账!$A$5:$Y$1204,25,0),0))</f>
        <v/>
      </c>
      <c r="N1193" s="19">
        <f>IF($A1193="","",IFERROR(LOOKUP(2,1/((出库单!$D$4:$D$4003=$A1193)*(出库单!$T$4:$T$4003="正常")),出库单!$C$4:$C$4003),""))</f>
        <v/>
      </c>
      <c r="O1193" s="28">
        <f>IF($A1193="","",IF($L1193&lt;=0,"",IF($N1193="",IFERROR(账期止-LOOKUP(2,1/(入库单!$G$4:$G$2503=$A1193),入库单!$C$4:$C$2503),""),账期止-$N1193)))</f>
        <v/>
      </c>
      <c r="P1193" s="17" t="n"/>
    </row>
    <row r="1194">
      <c r="A1194" s="17" t="n"/>
      <c r="B1194" s="17" t="n"/>
      <c r="C1194" s="17" t="n"/>
      <c r="D1194" s="17" t="n"/>
      <c r="E1194" s="17" t="n"/>
      <c r="F1194" s="17" t="n"/>
      <c r="G1194" s="23" t="n"/>
      <c r="H1194" s="24">
        <f>IF($A1194="","",IFERROR(LOOKUP(2,1/((入库单!$G$4:$G$2503=$A1194)*(入库单!$Y$4:$Y$2503="正常")*(入库单!$L$4:$L$2503&gt;0)),入库单!$D$4:$D$2503),""))</f>
        <v/>
      </c>
      <c r="I1194" s="25">
        <f>IF($A1194="","",IFERROR(LOOKUP(2,1/((入库单!$G$4:$G$2503=$A1194)*(入库单!$Y$4:$Y$2503="正常")*(入库单!$L$4:$L$2503&gt;0)),入库单!$L$4:$L$2503),0))</f>
        <v/>
      </c>
      <c r="J1194" s="26">
        <f>IF($A1194="","",IF($H1194="A国内",ROUND($I1194*倍数A*汇率,0),IF($H1194="B当地",ROUND($I1194*系数B,0),0)))</f>
        <v/>
      </c>
      <c r="K1194" s="24">
        <f>IF($A1194="","",IF(COUNTIFS(入库单!$G$4:$G$2503,$A1194,入库单!$X$4:$X$2503,"待补价")&gt;0,"待补价",IF(COUNTIFS(入库单!$G$4:$G$2503,$A1194,入库单!$X$4:$X$2503,"暂估")&gt;0,"暂估",IF($I1194=0,"没有进价","正常"))))</f>
        <v/>
      </c>
      <c r="L1194" s="27">
        <f>IF($A1194="","",IFERROR(VLOOKUP($A1194,库存台账!$A$5:$Y$1204,24,0),0))</f>
        <v/>
      </c>
      <c r="M1194" s="26">
        <f>IF($A1194="","",IFERROR(VLOOKUP($A1194,库存台账!$A$5:$Y$1204,25,0),0))</f>
        <v/>
      </c>
      <c r="N1194" s="19">
        <f>IF($A1194="","",IFERROR(LOOKUP(2,1/((出库单!$D$4:$D$4003=$A1194)*(出库单!$T$4:$T$4003="正常")),出库单!$C$4:$C$4003),""))</f>
        <v/>
      </c>
      <c r="O1194" s="28">
        <f>IF($A1194="","",IF($L1194&lt;=0,"",IF($N1194="",IFERROR(账期止-LOOKUP(2,1/(入库单!$G$4:$G$2503=$A1194),入库单!$C$4:$C$2503),""),账期止-$N1194)))</f>
        <v/>
      </c>
      <c r="P1194" s="17" t="n"/>
    </row>
    <row r="1195">
      <c r="A1195" s="17" t="n"/>
      <c r="B1195" s="17" t="n"/>
      <c r="C1195" s="17" t="n"/>
      <c r="D1195" s="17" t="n"/>
      <c r="E1195" s="17" t="n"/>
      <c r="F1195" s="17" t="n"/>
      <c r="G1195" s="23" t="n"/>
      <c r="H1195" s="24">
        <f>IF($A1195="","",IFERROR(LOOKUP(2,1/((入库单!$G$4:$G$2503=$A1195)*(入库单!$Y$4:$Y$2503="正常")*(入库单!$L$4:$L$2503&gt;0)),入库单!$D$4:$D$2503),""))</f>
        <v/>
      </c>
      <c r="I1195" s="25">
        <f>IF($A1195="","",IFERROR(LOOKUP(2,1/((入库单!$G$4:$G$2503=$A1195)*(入库单!$Y$4:$Y$2503="正常")*(入库单!$L$4:$L$2503&gt;0)),入库单!$L$4:$L$2503),0))</f>
        <v/>
      </c>
      <c r="J1195" s="26">
        <f>IF($A1195="","",IF($H1195="A国内",ROUND($I1195*倍数A*汇率,0),IF($H1195="B当地",ROUND($I1195*系数B,0),0)))</f>
        <v/>
      </c>
      <c r="K1195" s="24">
        <f>IF($A1195="","",IF(COUNTIFS(入库单!$G$4:$G$2503,$A1195,入库单!$X$4:$X$2503,"待补价")&gt;0,"待补价",IF(COUNTIFS(入库单!$G$4:$G$2503,$A1195,入库单!$X$4:$X$2503,"暂估")&gt;0,"暂估",IF($I1195=0,"没有进价","正常"))))</f>
        <v/>
      </c>
      <c r="L1195" s="27">
        <f>IF($A1195="","",IFERROR(VLOOKUP($A1195,库存台账!$A$5:$Y$1204,24,0),0))</f>
        <v/>
      </c>
      <c r="M1195" s="26">
        <f>IF($A1195="","",IFERROR(VLOOKUP($A1195,库存台账!$A$5:$Y$1204,25,0),0))</f>
        <v/>
      </c>
      <c r="N1195" s="19">
        <f>IF($A1195="","",IFERROR(LOOKUP(2,1/((出库单!$D$4:$D$4003=$A1195)*(出库单!$T$4:$T$4003="正常")),出库单!$C$4:$C$4003),""))</f>
        <v/>
      </c>
      <c r="O1195" s="28">
        <f>IF($A1195="","",IF($L1195&lt;=0,"",IF($N1195="",IFERROR(账期止-LOOKUP(2,1/(入库单!$G$4:$G$2503=$A1195),入库单!$C$4:$C$2503),""),账期止-$N1195)))</f>
        <v/>
      </c>
      <c r="P1195" s="17" t="n"/>
    </row>
    <row r="1196">
      <c r="A1196" s="17" t="n"/>
      <c r="B1196" s="17" t="n"/>
      <c r="C1196" s="17" t="n"/>
      <c r="D1196" s="17" t="n"/>
      <c r="E1196" s="17" t="n"/>
      <c r="F1196" s="17" t="n"/>
      <c r="G1196" s="23" t="n"/>
      <c r="H1196" s="24">
        <f>IF($A1196="","",IFERROR(LOOKUP(2,1/((入库单!$G$4:$G$2503=$A1196)*(入库单!$Y$4:$Y$2503="正常")*(入库单!$L$4:$L$2503&gt;0)),入库单!$D$4:$D$2503),""))</f>
        <v/>
      </c>
      <c r="I1196" s="25">
        <f>IF($A1196="","",IFERROR(LOOKUP(2,1/((入库单!$G$4:$G$2503=$A1196)*(入库单!$Y$4:$Y$2503="正常")*(入库单!$L$4:$L$2503&gt;0)),入库单!$L$4:$L$2503),0))</f>
        <v/>
      </c>
      <c r="J1196" s="26">
        <f>IF($A1196="","",IF($H1196="A国内",ROUND($I1196*倍数A*汇率,0),IF($H1196="B当地",ROUND($I1196*系数B,0),0)))</f>
        <v/>
      </c>
      <c r="K1196" s="24">
        <f>IF($A1196="","",IF(COUNTIFS(入库单!$G$4:$G$2503,$A1196,入库单!$X$4:$X$2503,"待补价")&gt;0,"待补价",IF(COUNTIFS(入库单!$G$4:$G$2503,$A1196,入库单!$X$4:$X$2503,"暂估")&gt;0,"暂估",IF($I1196=0,"没有进价","正常"))))</f>
        <v/>
      </c>
      <c r="L1196" s="27">
        <f>IF($A1196="","",IFERROR(VLOOKUP($A1196,库存台账!$A$5:$Y$1204,24,0),0))</f>
        <v/>
      </c>
      <c r="M1196" s="26">
        <f>IF($A1196="","",IFERROR(VLOOKUP($A1196,库存台账!$A$5:$Y$1204,25,0),0))</f>
        <v/>
      </c>
      <c r="N1196" s="19">
        <f>IF($A1196="","",IFERROR(LOOKUP(2,1/((出库单!$D$4:$D$4003=$A1196)*(出库单!$T$4:$T$4003="正常")),出库单!$C$4:$C$4003),""))</f>
        <v/>
      </c>
      <c r="O1196" s="28">
        <f>IF($A1196="","",IF($L1196&lt;=0,"",IF($N1196="",IFERROR(账期止-LOOKUP(2,1/(入库单!$G$4:$G$2503=$A1196),入库单!$C$4:$C$2503),""),账期止-$N1196)))</f>
        <v/>
      </c>
      <c r="P1196" s="17" t="n"/>
    </row>
    <row r="1197">
      <c r="A1197" s="17" t="n"/>
      <c r="B1197" s="17" t="n"/>
      <c r="C1197" s="17" t="n"/>
      <c r="D1197" s="17" t="n"/>
      <c r="E1197" s="17" t="n"/>
      <c r="F1197" s="17" t="n"/>
      <c r="G1197" s="23" t="n"/>
      <c r="H1197" s="24">
        <f>IF($A1197="","",IFERROR(LOOKUP(2,1/((入库单!$G$4:$G$2503=$A1197)*(入库单!$Y$4:$Y$2503="正常")*(入库单!$L$4:$L$2503&gt;0)),入库单!$D$4:$D$2503),""))</f>
        <v/>
      </c>
      <c r="I1197" s="25">
        <f>IF($A1197="","",IFERROR(LOOKUP(2,1/((入库单!$G$4:$G$2503=$A1197)*(入库单!$Y$4:$Y$2503="正常")*(入库单!$L$4:$L$2503&gt;0)),入库单!$L$4:$L$2503),0))</f>
        <v/>
      </c>
      <c r="J1197" s="26">
        <f>IF($A1197="","",IF($H1197="A国内",ROUND($I1197*倍数A*汇率,0),IF($H1197="B当地",ROUND($I1197*系数B,0),0)))</f>
        <v/>
      </c>
      <c r="K1197" s="24">
        <f>IF($A1197="","",IF(COUNTIFS(入库单!$G$4:$G$2503,$A1197,入库单!$X$4:$X$2503,"待补价")&gt;0,"待补价",IF(COUNTIFS(入库单!$G$4:$G$2503,$A1197,入库单!$X$4:$X$2503,"暂估")&gt;0,"暂估",IF($I1197=0,"没有进价","正常"))))</f>
        <v/>
      </c>
      <c r="L1197" s="27">
        <f>IF($A1197="","",IFERROR(VLOOKUP($A1197,库存台账!$A$5:$Y$1204,24,0),0))</f>
        <v/>
      </c>
      <c r="M1197" s="26">
        <f>IF($A1197="","",IFERROR(VLOOKUP($A1197,库存台账!$A$5:$Y$1204,25,0),0))</f>
        <v/>
      </c>
      <c r="N1197" s="19">
        <f>IF($A1197="","",IFERROR(LOOKUP(2,1/((出库单!$D$4:$D$4003=$A1197)*(出库单!$T$4:$T$4003="正常")),出库单!$C$4:$C$4003),""))</f>
        <v/>
      </c>
      <c r="O1197" s="28">
        <f>IF($A1197="","",IF($L1197&lt;=0,"",IF($N1197="",IFERROR(账期止-LOOKUP(2,1/(入库单!$G$4:$G$2503=$A1197),入库单!$C$4:$C$2503),""),账期止-$N1197)))</f>
        <v/>
      </c>
      <c r="P1197" s="17" t="n"/>
    </row>
    <row r="1198">
      <c r="A1198" s="17" t="n"/>
      <c r="B1198" s="17" t="n"/>
      <c r="C1198" s="17" t="n"/>
      <c r="D1198" s="17" t="n"/>
      <c r="E1198" s="17" t="n"/>
      <c r="F1198" s="17" t="n"/>
      <c r="G1198" s="23" t="n"/>
      <c r="H1198" s="24">
        <f>IF($A1198="","",IFERROR(LOOKUP(2,1/((入库单!$G$4:$G$2503=$A1198)*(入库单!$Y$4:$Y$2503="正常")*(入库单!$L$4:$L$2503&gt;0)),入库单!$D$4:$D$2503),""))</f>
        <v/>
      </c>
      <c r="I1198" s="25">
        <f>IF($A1198="","",IFERROR(LOOKUP(2,1/((入库单!$G$4:$G$2503=$A1198)*(入库单!$Y$4:$Y$2503="正常")*(入库单!$L$4:$L$2503&gt;0)),入库单!$L$4:$L$2503),0))</f>
        <v/>
      </c>
      <c r="J1198" s="26">
        <f>IF($A1198="","",IF($H1198="A国内",ROUND($I1198*倍数A*汇率,0),IF($H1198="B当地",ROUND($I1198*系数B,0),0)))</f>
        <v/>
      </c>
      <c r="K1198" s="24">
        <f>IF($A1198="","",IF(COUNTIFS(入库单!$G$4:$G$2503,$A1198,入库单!$X$4:$X$2503,"待补价")&gt;0,"待补价",IF(COUNTIFS(入库单!$G$4:$G$2503,$A1198,入库单!$X$4:$X$2503,"暂估")&gt;0,"暂估",IF($I1198=0,"没有进价","正常"))))</f>
        <v/>
      </c>
      <c r="L1198" s="27">
        <f>IF($A1198="","",IFERROR(VLOOKUP($A1198,库存台账!$A$5:$Y$1204,24,0),0))</f>
        <v/>
      </c>
      <c r="M1198" s="26">
        <f>IF($A1198="","",IFERROR(VLOOKUP($A1198,库存台账!$A$5:$Y$1204,25,0),0))</f>
        <v/>
      </c>
      <c r="N1198" s="19">
        <f>IF($A1198="","",IFERROR(LOOKUP(2,1/((出库单!$D$4:$D$4003=$A1198)*(出库单!$T$4:$T$4003="正常")),出库单!$C$4:$C$4003),""))</f>
        <v/>
      </c>
      <c r="O1198" s="28">
        <f>IF($A1198="","",IF($L1198&lt;=0,"",IF($N1198="",IFERROR(账期止-LOOKUP(2,1/(入库单!$G$4:$G$2503=$A1198),入库单!$C$4:$C$2503),""),账期止-$N1198)))</f>
        <v/>
      </c>
      <c r="P1198" s="17" t="n"/>
    </row>
    <row r="1199">
      <c r="A1199" s="17" t="n"/>
      <c r="B1199" s="17" t="n"/>
      <c r="C1199" s="17" t="n"/>
      <c r="D1199" s="17" t="n"/>
      <c r="E1199" s="17" t="n"/>
      <c r="F1199" s="17" t="n"/>
      <c r="G1199" s="23" t="n"/>
      <c r="H1199" s="24">
        <f>IF($A1199="","",IFERROR(LOOKUP(2,1/((入库单!$G$4:$G$2503=$A1199)*(入库单!$Y$4:$Y$2503="正常")*(入库单!$L$4:$L$2503&gt;0)),入库单!$D$4:$D$2503),""))</f>
        <v/>
      </c>
      <c r="I1199" s="25">
        <f>IF($A1199="","",IFERROR(LOOKUP(2,1/((入库单!$G$4:$G$2503=$A1199)*(入库单!$Y$4:$Y$2503="正常")*(入库单!$L$4:$L$2503&gt;0)),入库单!$L$4:$L$2503),0))</f>
        <v/>
      </c>
      <c r="J1199" s="26">
        <f>IF($A1199="","",IF($H1199="A国内",ROUND($I1199*倍数A*汇率,0),IF($H1199="B当地",ROUND($I1199*系数B,0),0)))</f>
        <v/>
      </c>
      <c r="K1199" s="24">
        <f>IF($A1199="","",IF(COUNTIFS(入库单!$G$4:$G$2503,$A1199,入库单!$X$4:$X$2503,"待补价")&gt;0,"待补价",IF(COUNTIFS(入库单!$G$4:$G$2503,$A1199,入库单!$X$4:$X$2503,"暂估")&gt;0,"暂估",IF($I1199=0,"没有进价","正常"))))</f>
        <v/>
      </c>
      <c r="L1199" s="27">
        <f>IF($A1199="","",IFERROR(VLOOKUP($A1199,库存台账!$A$5:$Y$1204,24,0),0))</f>
        <v/>
      </c>
      <c r="M1199" s="26">
        <f>IF($A1199="","",IFERROR(VLOOKUP($A1199,库存台账!$A$5:$Y$1204,25,0),0))</f>
        <v/>
      </c>
      <c r="N1199" s="19">
        <f>IF($A1199="","",IFERROR(LOOKUP(2,1/((出库单!$D$4:$D$4003=$A1199)*(出库单!$T$4:$T$4003="正常")),出库单!$C$4:$C$4003),""))</f>
        <v/>
      </c>
      <c r="O1199" s="28">
        <f>IF($A1199="","",IF($L1199&lt;=0,"",IF($N1199="",IFERROR(账期止-LOOKUP(2,1/(入库单!$G$4:$G$2503=$A1199),入库单!$C$4:$C$2503),""),账期止-$N1199)))</f>
        <v/>
      </c>
      <c r="P1199" s="17" t="n"/>
    </row>
    <row r="1200">
      <c r="A1200" s="17" t="n"/>
      <c r="B1200" s="17" t="n"/>
      <c r="C1200" s="17" t="n"/>
      <c r="D1200" s="17" t="n"/>
      <c r="E1200" s="17" t="n"/>
      <c r="F1200" s="17" t="n"/>
      <c r="G1200" s="23" t="n"/>
      <c r="H1200" s="24">
        <f>IF($A1200="","",IFERROR(LOOKUP(2,1/((入库单!$G$4:$G$2503=$A1200)*(入库单!$Y$4:$Y$2503="正常")*(入库单!$L$4:$L$2503&gt;0)),入库单!$D$4:$D$2503),""))</f>
        <v/>
      </c>
      <c r="I1200" s="25">
        <f>IF($A1200="","",IFERROR(LOOKUP(2,1/((入库单!$G$4:$G$2503=$A1200)*(入库单!$Y$4:$Y$2503="正常")*(入库单!$L$4:$L$2503&gt;0)),入库单!$L$4:$L$2503),0))</f>
        <v/>
      </c>
      <c r="J1200" s="26">
        <f>IF($A1200="","",IF($H1200="A国内",ROUND($I1200*倍数A*汇率,0),IF($H1200="B当地",ROUND($I1200*系数B,0),0)))</f>
        <v/>
      </c>
      <c r="K1200" s="24">
        <f>IF($A1200="","",IF(COUNTIFS(入库单!$G$4:$G$2503,$A1200,入库单!$X$4:$X$2503,"待补价")&gt;0,"待补价",IF(COUNTIFS(入库单!$G$4:$G$2503,$A1200,入库单!$X$4:$X$2503,"暂估")&gt;0,"暂估",IF($I1200=0,"没有进价","正常"))))</f>
        <v/>
      </c>
      <c r="L1200" s="27">
        <f>IF($A1200="","",IFERROR(VLOOKUP($A1200,库存台账!$A$5:$Y$1204,24,0),0))</f>
        <v/>
      </c>
      <c r="M1200" s="26">
        <f>IF($A1200="","",IFERROR(VLOOKUP($A1200,库存台账!$A$5:$Y$1204,25,0),0))</f>
        <v/>
      </c>
      <c r="N1200" s="19">
        <f>IF($A1200="","",IFERROR(LOOKUP(2,1/((出库单!$D$4:$D$4003=$A1200)*(出库单!$T$4:$T$4003="正常")),出库单!$C$4:$C$4003),""))</f>
        <v/>
      </c>
      <c r="O1200" s="28">
        <f>IF($A1200="","",IF($L1200&lt;=0,"",IF($N1200="",IFERROR(账期止-LOOKUP(2,1/(入库单!$G$4:$G$2503=$A1200),入库单!$C$4:$C$2503),""),账期止-$N1200)))</f>
        <v/>
      </c>
      <c r="P1200" s="17" t="n"/>
    </row>
    <row r="1201">
      <c r="A1201" s="17" t="n"/>
      <c r="B1201" s="17" t="n"/>
      <c r="C1201" s="17" t="n"/>
      <c r="D1201" s="17" t="n"/>
      <c r="E1201" s="17" t="n"/>
      <c r="F1201" s="17" t="n"/>
      <c r="G1201" s="23" t="n"/>
      <c r="H1201" s="24">
        <f>IF($A1201="","",IFERROR(LOOKUP(2,1/((入库单!$G$4:$G$2503=$A1201)*(入库单!$Y$4:$Y$2503="正常")*(入库单!$L$4:$L$2503&gt;0)),入库单!$D$4:$D$2503),""))</f>
        <v/>
      </c>
      <c r="I1201" s="25">
        <f>IF($A1201="","",IFERROR(LOOKUP(2,1/((入库单!$G$4:$G$2503=$A1201)*(入库单!$Y$4:$Y$2503="正常")*(入库单!$L$4:$L$2503&gt;0)),入库单!$L$4:$L$2503),0))</f>
        <v/>
      </c>
      <c r="J1201" s="26">
        <f>IF($A1201="","",IF($H1201="A国内",ROUND($I1201*倍数A*汇率,0),IF($H1201="B当地",ROUND($I1201*系数B,0),0)))</f>
        <v/>
      </c>
      <c r="K1201" s="24">
        <f>IF($A1201="","",IF(COUNTIFS(入库单!$G$4:$G$2503,$A1201,入库单!$X$4:$X$2503,"待补价")&gt;0,"待补价",IF(COUNTIFS(入库单!$G$4:$G$2503,$A1201,入库单!$X$4:$X$2503,"暂估")&gt;0,"暂估",IF($I1201=0,"没有进价","正常"))))</f>
        <v/>
      </c>
      <c r="L1201" s="27">
        <f>IF($A1201="","",IFERROR(VLOOKUP($A1201,库存台账!$A$5:$Y$1204,24,0),0))</f>
        <v/>
      </c>
      <c r="M1201" s="26">
        <f>IF($A1201="","",IFERROR(VLOOKUP($A1201,库存台账!$A$5:$Y$1204,25,0),0))</f>
        <v/>
      </c>
      <c r="N1201" s="19">
        <f>IF($A1201="","",IFERROR(LOOKUP(2,1/((出库单!$D$4:$D$4003=$A1201)*(出库单!$T$4:$T$4003="正常")),出库单!$C$4:$C$4003),""))</f>
        <v/>
      </c>
      <c r="O1201" s="28">
        <f>IF($A1201="","",IF($L1201&lt;=0,"",IF($N1201="",IFERROR(账期止-LOOKUP(2,1/(入库单!$G$4:$G$2503=$A1201),入库单!$C$4:$C$2503),""),账期止-$N1201)))</f>
        <v/>
      </c>
      <c r="P1201" s="17" t="n"/>
    </row>
    <row r="1202">
      <c r="A1202" s="17" t="n"/>
      <c r="B1202" s="17" t="n"/>
      <c r="C1202" s="17" t="n"/>
      <c r="D1202" s="17" t="n"/>
      <c r="E1202" s="17" t="n"/>
      <c r="F1202" s="17" t="n"/>
      <c r="G1202" s="23" t="n"/>
      <c r="H1202" s="24">
        <f>IF($A1202="","",IFERROR(LOOKUP(2,1/((入库单!$G$4:$G$2503=$A1202)*(入库单!$Y$4:$Y$2503="正常")*(入库单!$L$4:$L$2503&gt;0)),入库单!$D$4:$D$2503),""))</f>
        <v/>
      </c>
      <c r="I1202" s="25">
        <f>IF($A1202="","",IFERROR(LOOKUP(2,1/((入库单!$G$4:$G$2503=$A1202)*(入库单!$Y$4:$Y$2503="正常")*(入库单!$L$4:$L$2503&gt;0)),入库单!$L$4:$L$2503),0))</f>
        <v/>
      </c>
      <c r="J1202" s="26">
        <f>IF($A1202="","",IF($H1202="A国内",ROUND($I1202*倍数A*汇率,0),IF($H1202="B当地",ROUND($I1202*系数B,0),0)))</f>
        <v/>
      </c>
      <c r="K1202" s="24">
        <f>IF($A1202="","",IF(COUNTIFS(入库单!$G$4:$G$2503,$A1202,入库单!$X$4:$X$2503,"待补价")&gt;0,"待补价",IF(COUNTIFS(入库单!$G$4:$G$2503,$A1202,入库单!$X$4:$X$2503,"暂估")&gt;0,"暂估",IF($I1202=0,"没有进价","正常"))))</f>
        <v/>
      </c>
      <c r="L1202" s="27">
        <f>IF($A1202="","",IFERROR(VLOOKUP($A1202,库存台账!$A$5:$Y$1204,24,0),0))</f>
        <v/>
      </c>
      <c r="M1202" s="26">
        <f>IF($A1202="","",IFERROR(VLOOKUP($A1202,库存台账!$A$5:$Y$1204,25,0),0))</f>
        <v/>
      </c>
      <c r="N1202" s="19">
        <f>IF($A1202="","",IFERROR(LOOKUP(2,1/((出库单!$D$4:$D$4003=$A1202)*(出库单!$T$4:$T$4003="正常")),出库单!$C$4:$C$4003),""))</f>
        <v/>
      </c>
      <c r="O1202" s="28">
        <f>IF($A1202="","",IF($L1202&lt;=0,"",IF($N1202="",IFERROR(账期止-LOOKUP(2,1/(入库单!$G$4:$G$2503=$A1202),入库单!$C$4:$C$2503),""),账期止-$N1202)))</f>
        <v/>
      </c>
      <c r="P1202" s="17" t="n"/>
    </row>
    <row r="1203">
      <c r="A1203" s="17" t="n"/>
      <c r="B1203" s="17" t="n"/>
      <c r="C1203" s="17" t="n"/>
      <c r="D1203" s="17" t="n"/>
      <c r="E1203" s="17" t="n"/>
      <c r="F1203" s="17" t="n"/>
      <c r="G1203" s="23" t="n"/>
      <c r="H1203" s="24">
        <f>IF($A1203="","",IFERROR(LOOKUP(2,1/((入库单!$G$4:$G$2503=$A1203)*(入库单!$Y$4:$Y$2503="正常")*(入库单!$L$4:$L$2503&gt;0)),入库单!$D$4:$D$2503),""))</f>
        <v/>
      </c>
      <c r="I1203" s="25">
        <f>IF($A1203="","",IFERROR(LOOKUP(2,1/((入库单!$G$4:$G$2503=$A1203)*(入库单!$Y$4:$Y$2503="正常")*(入库单!$L$4:$L$2503&gt;0)),入库单!$L$4:$L$2503),0))</f>
        <v/>
      </c>
      <c r="J1203" s="26">
        <f>IF($A1203="","",IF($H1203="A国内",ROUND($I1203*倍数A*汇率,0),IF($H1203="B当地",ROUND($I1203*系数B,0),0)))</f>
        <v/>
      </c>
      <c r="K1203" s="24">
        <f>IF($A1203="","",IF(COUNTIFS(入库单!$G$4:$G$2503,$A1203,入库单!$X$4:$X$2503,"待补价")&gt;0,"待补价",IF(COUNTIFS(入库单!$G$4:$G$2503,$A1203,入库单!$X$4:$X$2503,"暂估")&gt;0,"暂估",IF($I1203=0,"没有进价","正常"))))</f>
        <v/>
      </c>
      <c r="L1203" s="27">
        <f>IF($A1203="","",IFERROR(VLOOKUP($A1203,库存台账!$A$5:$Y$1204,24,0),0))</f>
        <v/>
      </c>
      <c r="M1203" s="26">
        <f>IF($A1203="","",IFERROR(VLOOKUP($A1203,库存台账!$A$5:$Y$1204,25,0),0))</f>
        <v/>
      </c>
      <c r="N1203" s="19">
        <f>IF($A1203="","",IFERROR(LOOKUP(2,1/((出库单!$D$4:$D$4003=$A1203)*(出库单!$T$4:$T$4003="正常")),出库单!$C$4:$C$4003),""))</f>
        <v/>
      </c>
      <c r="O1203" s="28">
        <f>IF($A1203="","",IF($L1203&lt;=0,"",IF($N1203="",IFERROR(账期止-LOOKUP(2,1/(入库单!$G$4:$G$2503=$A1203),入库单!$C$4:$C$2503),""),账期止-$N1203)))</f>
        <v/>
      </c>
      <c r="P1203" s="17" t="n"/>
    </row>
  </sheetData>
  <autoFilter ref="A3:P1203"/>
  <mergeCells count="2">
    <mergeCell ref="A1:P1"/>
    <mergeCell ref="A2:P2"/>
  </mergeCells>
  <conditionalFormatting sqref="O4:O1203">
    <cfRule type="cellIs" priority="1" operator="greaterThan" dxfId="0">
      <formula>180</formula>
    </cfRule>
  </conditionalFormatting>
  <conditionalFormatting sqref="F4:F1203">
    <cfRule type="cellIs" priority="2" operator="equal" dxfId="0">
      <formula>"是"</formula>
    </cfRule>
  </conditionalFormatting>
  <dataValidations count="3">
    <dataValidation sqref="B4:B1203" showDropDown="0" showInputMessage="0" showErrorMessage="1" allowBlank="1" errorTitle="不在名单里" error="先去【参数表】或【物料档案】把它加上。" type="list" errorStyle="warning">
      <formula1>=大类表</formula1>
    </dataValidation>
    <dataValidation sqref="E4:E1203" showDropDown="0" showInputMessage="0" showErrorMessage="1" allowBlank="1" errorTitle="不在名单里" error="先去【参数表】或【物料档案】把它加上。" type="list" errorStyle="warning">
      <formula1>=单位表</formula1>
    </dataValidation>
    <dataValidation sqref="F4:F1203" showDropDown="0" showInputMessage="0" showErrorMessage="1" allowBlank="1" errorTitle="不在名单里" error="先去【参数表】或【物料档案】把它加上。" type="list" errorStyle="warning">
      <formula1>"是,否"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L50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24" customWidth="1" min="3" max="3"/>
    <col width="15" customWidth="1" min="4" max="4"/>
    <col width="22" customWidth="1" min="5" max="5"/>
    <col width="9" customWidth="1" min="6" max="6"/>
    <col width="14" customWidth="1" min="7" max="7"/>
    <col width="9" customWidth="1" min="8" max="8"/>
    <col width="15" customWidth="1" min="9" max="9"/>
    <col width="10" customWidth="1" min="10" max="10"/>
    <col width="9" customWidth="1" min="11" max="11"/>
    <col width="30" customWidth="1" min="12" max="12"/>
  </cols>
  <sheetData>
    <row r="1" ht="30" customHeight="1">
      <c r="A1" s="12" t="inlineStr">
        <is>
          <t>费用台账 · 海运费、装柜费、到港费都记这里（财务填）</t>
        </is>
      </c>
    </row>
    <row r="2" ht="24" customHeight="1">
      <c r="A2" s="13" t="inlineStr">
        <is>
          <t>费用**绝不能**混进【入库单】—— 混在一起分摊基数会把费用自己算进去，越算越错。国内那段填 CNY、坦桑那段填 TZS，系统自动折先令再按批次分摊。</t>
        </is>
      </c>
    </row>
    <row r="3" ht="34" customHeight="1">
      <c r="A3" s="29" t="inlineStr">
        <is>
          <t>序号</t>
        </is>
      </c>
      <c r="B3" s="29" t="inlineStr">
        <is>
          <t>费用日期 ★</t>
        </is>
      </c>
      <c r="C3" s="29" t="inlineStr">
        <is>
          <t>批次号 ★</t>
        </is>
      </c>
      <c r="D3" s="29" t="inlineStr">
        <is>
          <t>费用类型 ★</t>
        </is>
      </c>
      <c r="E3" s="29" t="inlineStr">
        <is>
          <t>供应商</t>
        </is>
      </c>
      <c r="F3" s="29" t="inlineStr">
        <is>
          <t>币种 ★</t>
        </is>
      </c>
      <c r="G3" s="29" t="inlineStr">
        <is>
          <t>原币金额 ★</t>
        </is>
      </c>
      <c r="H3" s="29" t="inlineStr">
        <is>
          <t>汇率</t>
        </is>
      </c>
      <c r="I3" s="29" t="inlineStr">
        <is>
          <t>金额·先令</t>
        </is>
      </c>
      <c r="J3" s="29" t="inlineStr">
        <is>
          <t>参与分摊</t>
        </is>
      </c>
      <c r="K3" s="29" t="inlineStr">
        <is>
          <t>状态</t>
        </is>
      </c>
      <c r="L3" s="29" t="inlineStr">
        <is>
          <t>备注</t>
        </is>
      </c>
    </row>
    <row r="4">
      <c r="A4" s="24">
        <f>IF($C4="","",COUNTA($C$4:$C4))</f>
        <v/>
      </c>
      <c r="B4" s="30" t="n">
        <v>46158</v>
      </c>
      <c r="C4" s="17" t="inlineStr">
        <is>
          <t>TIIU4204331-202605</t>
        </is>
      </c>
      <c r="D4" s="17" t="inlineStr">
        <is>
          <t>国内海运费</t>
        </is>
      </c>
      <c r="E4" s="17" t="inlineStr">
        <is>
          <t>福建全力供应链管理有限公司</t>
        </is>
      </c>
      <c r="F4" s="17" t="inlineStr">
        <is>
          <t>CNY</t>
        </is>
      </c>
      <c r="G4" s="31" t="n">
        <v>22835</v>
      </c>
      <c r="H4" s="28">
        <f>IF($C4="","",IF($F4="CNY",汇率,1))</f>
        <v/>
      </c>
      <c r="I4" s="26">
        <f>IF($C4="","",ROUND(N($G4)*N($H4),0))</f>
        <v/>
      </c>
      <c r="J4" s="17" t="inlineStr">
        <is>
          <t>是</t>
        </is>
      </c>
      <c r="K4" s="17" t="inlineStr">
        <is>
          <t>正常</t>
        </is>
      </c>
      <c r="L4" s="17" t="inlineStr">
        <is>
          <t>原表第 724 行：海运费费用</t>
        </is>
      </c>
    </row>
    <row r="5">
      <c r="A5" s="24">
        <f>IF($C5="","",COUNTA($C$4:$C5))</f>
        <v/>
      </c>
      <c r="B5" s="30" t="n">
        <v>46158</v>
      </c>
      <c r="C5" s="17" t="inlineStr">
        <is>
          <t>TIIU4204331-202605</t>
        </is>
      </c>
      <c r="D5" s="17" t="inlineStr">
        <is>
          <t>报关服务费</t>
        </is>
      </c>
      <c r="E5" s="17" t="inlineStr">
        <is>
          <t>福建全力供应链管理有限公司</t>
        </is>
      </c>
      <c r="F5" s="17" t="inlineStr">
        <is>
          <t>CNY</t>
        </is>
      </c>
      <c r="G5" s="31" t="n">
        <v>3000</v>
      </c>
      <c r="H5" s="28">
        <f>IF($C5="","",IF($F5="CNY",汇率,1))</f>
        <v/>
      </c>
      <c r="I5" s="26">
        <f>IF($C5="","",ROUND(N($G5)*N($H5),0))</f>
        <v/>
      </c>
      <c r="J5" s="17" t="inlineStr">
        <is>
          <t>是</t>
        </is>
      </c>
      <c r="K5" s="17" t="inlineStr">
        <is>
          <t>正常</t>
        </is>
      </c>
      <c r="L5" s="17" t="inlineStr">
        <is>
          <t>原表第 725 行：服务费</t>
        </is>
      </c>
    </row>
    <row r="6">
      <c r="A6" s="24">
        <f>IF($C6="","",COUNTA($C$4:$C6))</f>
        <v/>
      </c>
      <c r="B6" s="30" t="n">
        <v>46158</v>
      </c>
      <c r="C6" s="17" t="inlineStr">
        <is>
          <t>DRYU9381826-202605</t>
        </is>
      </c>
      <c r="D6" s="17" t="inlineStr">
        <is>
          <t>装柜费</t>
        </is>
      </c>
      <c r="E6" s="17" t="inlineStr">
        <is>
          <t>金金</t>
        </is>
      </c>
      <c r="F6" s="17" t="inlineStr">
        <is>
          <t>CNY</t>
        </is>
      </c>
      <c r="G6" s="31" t="n">
        <v>1000</v>
      </c>
      <c r="H6" s="28">
        <f>IF($C6="","",IF($F6="CNY",汇率,1))</f>
        <v/>
      </c>
      <c r="I6" s="26">
        <f>IF($C6="","",ROUND(N($G6)*N($H6),0))</f>
        <v/>
      </c>
      <c r="J6" s="17" t="inlineStr">
        <is>
          <t>是</t>
        </is>
      </c>
      <c r="K6" s="17" t="inlineStr">
        <is>
          <t>正常</t>
        </is>
      </c>
      <c r="L6" s="17" t="inlineStr">
        <is>
          <t>原表第 865 行：搬运费3人</t>
        </is>
      </c>
    </row>
    <row r="7">
      <c r="A7" s="24">
        <f>IF($C7="","",COUNTA($C$4:$C7))</f>
        <v/>
      </c>
      <c r="B7" s="30" t="n">
        <v>46158</v>
      </c>
      <c r="C7" s="17" t="inlineStr">
        <is>
          <t>DRYU9381826-202605</t>
        </is>
      </c>
      <c r="D7" s="17" t="inlineStr">
        <is>
          <t>装柜费</t>
        </is>
      </c>
      <c r="E7" s="17" t="inlineStr">
        <is>
          <t>金金</t>
        </is>
      </c>
      <c r="F7" s="17" t="inlineStr">
        <is>
          <t>CNY</t>
        </is>
      </c>
      <c r="G7" s="31" t="n">
        <v>1200</v>
      </c>
      <c r="H7" s="28">
        <f>IF($C7="","",IF($F7="CNY",汇率,1))</f>
        <v/>
      </c>
      <c r="I7" s="26">
        <f>IF($C7="","",ROUND(N($G7)*N($H7),0))</f>
        <v/>
      </c>
      <c r="J7" s="17" t="inlineStr">
        <is>
          <t>是</t>
        </is>
      </c>
      <c r="K7" s="17" t="inlineStr">
        <is>
          <t>正常</t>
        </is>
      </c>
      <c r="L7" s="17" t="inlineStr">
        <is>
          <t>原表第 866 行：叉车费</t>
        </is>
      </c>
    </row>
    <row r="8">
      <c r="A8" s="24">
        <f>IF($C8="","",COUNTA($C$4:$C8))</f>
        <v/>
      </c>
      <c r="B8" s="30" t="n">
        <v>46158</v>
      </c>
      <c r="C8" s="17" t="inlineStr">
        <is>
          <t>DRYU9381826-202605</t>
        </is>
      </c>
      <c r="D8" s="17" t="inlineStr">
        <is>
          <t>装柜费</t>
        </is>
      </c>
      <c r="E8" s="17" t="inlineStr">
        <is>
          <t>金金</t>
        </is>
      </c>
      <c r="F8" s="17" t="inlineStr">
        <is>
          <t>CNY</t>
        </is>
      </c>
      <c r="G8" s="31" t="n">
        <v>150</v>
      </c>
      <c r="H8" s="28">
        <f>IF($C8="","",IF($F8="CNY",汇率,1))</f>
        <v/>
      </c>
      <c r="I8" s="26">
        <f>IF($C8="","",ROUND(N($G8)*N($H8),0))</f>
        <v/>
      </c>
      <c r="J8" s="17" t="inlineStr">
        <is>
          <t>是</t>
        </is>
      </c>
      <c r="K8" s="17" t="inlineStr">
        <is>
          <t>正常</t>
        </is>
      </c>
      <c r="L8" s="17" t="inlineStr">
        <is>
          <t>原表第 867 行：货柜超时费</t>
        </is>
      </c>
    </row>
    <row r="9">
      <c r="A9" s="24">
        <f>IF($C9="","",COUNTA($C$4:$C9))</f>
        <v/>
      </c>
      <c r="B9" s="30" t="n">
        <v>46158</v>
      </c>
      <c r="C9" s="17" t="inlineStr">
        <is>
          <t>DRYU9381826-202605</t>
        </is>
      </c>
      <c r="D9" s="17" t="inlineStr">
        <is>
          <t>装柜费</t>
        </is>
      </c>
      <c r="E9" s="17" t="inlineStr">
        <is>
          <t>金金</t>
        </is>
      </c>
      <c r="F9" s="17" t="inlineStr">
        <is>
          <t>CNY</t>
        </is>
      </c>
      <c r="G9" s="31" t="n">
        <v>150</v>
      </c>
      <c r="H9" s="28">
        <f>IF($C9="","",IF($F9="CNY",汇率,1))</f>
        <v/>
      </c>
      <c r="I9" s="26">
        <f>IF($C9="","",ROUND(N($G9)*N($H9),0))</f>
        <v/>
      </c>
      <c r="J9" s="17" t="inlineStr">
        <is>
          <t>是</t>
        </is>
      </c>
      <c r="K9" s="17" t="inlineStr">
        <is>
          <t>正常</t>
        </is>
      </c>
      <c r="L9" s="17" t="inlineStr">
        <is>
          <t>原表第 868 行：装柜餐费</t>
        </is>
      </c>
    </row>
    <row r="10">
      <c r="A10" s="24">
        <f>IF($C10="","",COUNTA($C$4:$C10))</f>
        <v/>
      </c>
      <c r="B10" s="30" t="n">
        <v>46158</v>
      </c>
      <c r="C10" s="17" t="inlineStr">
        <is>
          <t>DRYU9381826-202605</t>
        </is>
      </c>
      <c r="D10" s="17" t="inlineStr">
        <is>
          <t>国内内陆运费</t>
        </is>
      </c>
      <c r="E10" s="17" t="inlineStr">
        <is>
          <t>金金</t>
        </is>
      </c>
      <c r="F10" s="17" t="inlineStr">
        <is>
          <t>CNY</t>
        </is>
      </c>
      <c r="G10" s="31" t="n">
        <v>360</v>
      </c>
      <c r="H10" s="28">
        <f>IF($C10="","",IF($F10="CNY",汇率,1))</f>
        <v/>
      </c>
      <c r="I10" s="26">
        <f>IF($C10="","",ROUND(N($G10)*N($H10),0))</f>
        <v/>
      </c>
      <c r="J10" s="17" t="inlineStr">
        <is>
          <t>是</t>
        </is>
      </c>
      <c r="K10" s="17" t="inlineStr">
        <is>
          <t>正常</t>
        </is>
      </c>
      <c r="L10" s="17" t="inlineStr">
        <is>
          <t>原表第 869 行：河北石家庄-漳州宝丰冷冻厂（棉被100套）</t>
        </is>
      </c>
    </row>
    <row r="11">
      <c r="A11" s="24">
        <f>IF($C11="","",COUNTA($C$4:$C11))</f>
        <v/>
      </c>
      <c r="B11" s="30" t="n">
        <v>46158</v>
      </c>
      <c r="C11" s="17" t="inlineStr">
        <is>
          <t>DRYU9381826-202605</t>
        </is>
      </c>
      <c r="D11" s="17" t="inlineStr">
        <is>
          <t>国内内陆运费</t>
        </is>
      </c>
      <c r="E11" s="17" t="inlineStr">
        <is>
          <t>金金</t>
        </is>
      </c>
      <c r="F11" s="17" t="inlineStr">
        <is>
          <t>CNY</t>
        </is>
      </c>
      <c r="G11" s="31" t="n">
        <v>509.02</v>
      </c>
      <c r="H11" s="28">
        <f>IF($C11="","",IF($F11="CNY",汇率,1))</f>
        <v/>
      </c>
      <c r="I11" s="26">
        <f>IF($C11="","",ROUND(N($G11)*N($H11),0))</f>
        <v/>
      </c>
      <c r="J11" s="17" t="inlineStr">
        <is>
          <t>是</t>
        </is>
      </c>
      <c r="K11" s="17" t="inlineStr">
        <is>
          <t>正常</t>
        </is>
      </c>
      <c r="L11" s="17" t="inlineStr">
        <is>
          <t>原表第 870 行：龙岩-漳州宝丰冷冻厂（装载机轮胎8粒）</t>
        </is>
      </c>
    </row>
    <row r="12">
      <c r="A12" s="24">
        <f>IF($C12="","",COUNTA($C$4:$C12))</f>
        <v/>
      </c>
      <c r="B12" s="30" t="n">
        <v>46158</v>
      </c>
      <c r="C12" s="17" t="inlineStr">
        <is>
          <t>DRYU9381826-202605</t>
        </is>
      </c>
      <c r="D12" s="17" t="inlineStr">
        <is>
          <t>国内海运费</t>
        </is>
      </c>
      <c r="E12" s="17" t="inlineStr">
        <is>
          <t>金金</t>
        </is>
      </c>
      <c r="F12" s="17" t="inlineStr">
        <is>
          <t>CNY</t>
        </is>
      </c>
      <c r="G12" s="31" t="n">
        <v>23165</v>
      </c>
      <c r="H12" s="28">
        <f>IF($C12="","",IF($F12="CNY",汇率,1))</f>
        <v/>
      </c>
      <c r="I12" s="26">
        <f>IF($C12="","",ROUND(N($G12)*N($H12),0))</f>
        <v/>
      </c>
      <c r="J12" s="17" t="inlineStr">
        <is>
          <t>是</t>
        </is>
      </c>
      <c r="K12" s="17" t="inlineStr">
        <is>
          <t>正常</t>
        </is>
      </c>
      <c r="L12" s="17" t="inlineStr">
        <is>
          <t>原表第 871 行：海运费费用</t>
        </is>
      </c>
    </row>
    <row r="13">
      <c r="A13" s="24">
        <f>IF($C13="","",COUNTA($C$4:$C13))</f>
        <v/>
      </c>
      <c r="B13" s="30" t="n">
        <v>46158</v>
      </c>
      <c r="C13" s="17" t="inlineStr">
        <is>
          <t>DRYU9381826-202605</t>
        </is>
      </c>
      <c r="D13" s="17" t="inlineStr">
        <is>
          <t>报关服务费</t>
        </is>
      </c>
      <c r="E13" s="17" t="inlineStr">
        <is>
          <t>金金</t>
        </is>
      </c>
      <c r="F13" s="17" t="inlineStr">
        <is>
          <t>CNY</t>
        </is>
      </c>
      <c r="G13" s="31" t="n">
        <v>3000</v>
      </c>
      <c r="H13" s="28">
        <f>IF($C13="","",IF($F13="CNY",汇率,1))</f>
        <v/>
      </c>
      <c r="I13" s="26">
        <f>IF($C13="","",ROUND(N($G13)*N($H13),0))</f>
        <v/>
      </c>
      <c r="J13" s="17" t="inlineStr">
        <is>
          <t>是</t>
        </is>
      </c>
      <c r="K13" s="17" t="inlineStr">
        <is>
          <t>正常</t>
        </is>
      </c>
      <c r="L13" s="17" t="inlineStr">
        <is>
          <t>原表第 872 行：服务费</t>
        </is>
      </c>
    </row>
    <row r="14">
      <c r="A14" s="24">
        <f>IF($C14="","",COUNTA($C$4:$C14))</f>
        <v/>
      </c>
      <c r="B14" s="30" t="n"/>
      <c r="C14" s="17" t="n"/>
      <c r="D14" s="17" t="n"/>
      <c r="E14" s="17" t="n"/>
      <c r="F14" s="17" t="n"/>
      <c r="G14" s="31" t="n"/>
      <c r="H14" s="28">
        <f>IF($C14="","",IF($F14="CNY",汇率,1))</f>
        <v/>
      </c>
      <c r="I14" s="26">
        <f>IF($C14="","",ROUND(N($G14)*N($H14),0))</f>
        <v/>
      </c>
      <c r="J14" s="17" t="n"/>
      <c r="K14" s="17" t="n"/>
      <c r="L14" s="17" t="n"/>
    </row>
    <row r="15">
      <c r="A15" s="24">
        <f>IF($C15="","",COUNTA($C$4:$C15))</f>
        <v/>
      </c>
      <c r="B15" s="30" t="n"/>
      <c r="C15" s="17" t="n"/>
      <c r="D15" s="17" t="n"/>
      <c r="E15" s="17" t="n"/>
      <c r="F15" s="17" t="n"/>
      <c r="G15" s="31" t="n"/>
      <c r="H15" s="28">
        <f>IF($C15="","",IF($F15="CNY",汇率,1))</f>
        <v/>
      </c>
      <c r="I15" s="26">
        <f>IF($C15="","",ROUND(N($G15)*N($H15),0))</f>
        <v/>
      </c>
      <c r="J15" s="17" t="n"/>
      <c r="K15" s="17" t="n"/>
      <c r="L15" s="17" t="n"/>
    </row>
    <row r="16">
      <c r="A16" s="24">
        <f>IF($C16="","",COUNTA($C$4:$C16))</f>
        <v/>
      </c>
      <c r="B16" s="30" t="n"/>
      <c r="C16" s="17" t="n"/>
      <c r="D16" s="17" t="n"/>
      <c r="E16" s="17" t="n"/>
      <c r="F16" s="17" t="n"/>
      <c r="G16" s="31" t="n"/>
      <c r="H16" s="28">
        <f>IF($C16="","",IF($F16="CNY",汇率,1))</f>
        <v/>
      </c>
      <c r="I16" s="26">
        <f>IF($C16="","",ROUND(N($G16)*N($H16),0))</f>
        <v/>
      </c>
      <c r="J16" s="17" t="n"/>
      <c r="K16" s="17" t="n"/>
      <c r="L16" s="17" t="n"/>
    </row>
    <row r="17">
      <c r="A17" s="24">
        <f>IF($C17="","",COUNTA($C$4:$C17))</f>
        <v/>
      </c>
      <c r="B17" s="30" t="n"/>
      <c r="C17" s="17" t="n"/>
      <c r="D17" s="17" t="n"/>
      <c r="E17" s="17" t="n"/>
      <c r="F17" s="17" t="n"/>
      <c r="G17" s="31" t="n"/>
      <c r="H17" s="28">
        <f>IF($C17="","",IF($F17="CNY",汇率,1))</f>
        <v/>
      </c>
      <c r="I17" s="26">
        <f>IF($C17="","",ROUND(N($G17)*N($H17),0))</f>
        <v/>
      </c>
      <c r="J17" s="17" t="n"/>
      <c r="K17" s="17" t="n"/>
      <c r="L17" s="17" t="n"/>
    </row>
    <row r="18">
      <c r="A18" s="24">
        <f>IF($C18="","",COUNTA($C$4:$C18))</f>
        <v/>
      </c>
      <c r="B18" s="30" t="n"/>
      <c r="C18" s="17" t="n"/>
      <c r="D18" s="17" t="n"/>
      <c r="E18" s="17" t="n"/>
      <c r="F18" s="17" t="n"/>
      <c r="G18" s="31" t="n"/>
      <c r="H18" s="28">
        <f>IF($C18="","",IF($F18="CNY",汇率,1))</f>
        <v/>
      </c>
      <c r="I18" s="26">
        <f>IF($C18="","",ROUND(N($G18)*N($H18),0))</f>
        <v/>
      </c>
      <c r="J18" s="17" t="n"/>
      <c r="K18" s="17" t="n"/>
      <c r="L18" s="17" t="n"/>
    </row>
    <row r="19">
      <c r="A19" s="24">
        <f>IF($C19="","",COUNTA($C$4:$C19))</f>
        <v/>
      </c>
      <c r="B19" s="30" t="n"/>
      <c r="C19" s="17" t="n"/>
      <c r="D19" s="17" t="n"/>
      <c r="E19" s="17" t="n"/>
      <c r="F19" s="17" t="n"/>
      <c r="G19" s="31" t="n"/>
      <c r="H19" s="28">
        <f>IF($C19="","",IF($F19="CNY",汇率,1))</f>
        <v/>
      </c>
      <c r="I19" s="26">
        <f>IF($C19="","",ROUND(N($G19)*N($H19),0))</f>
        <v/>
      </c>
      <c r="J19" s="17" t="n"/>
      <c r="K19" s="17" t="n"/>
      <c r="L19" s="17" t="n"/>
    </row>
    <row r="20">
      <c r="A20" s="24">
        <f>IF($C20="","",COUNTA($C$4:$C20))</f>
        <v/>
      </c>
      <c r="B20" s="30" t="n"/>
      <c r="C20" s="17" t="n"/>
      <c r="D20" s="17" t="n"/>
      <c r="E20" s="17" t="n"/>
      <c r="F20" s="17" t="n"/>
      <c r="G20" s="31" t="n"/>
      <c r="H20" s="28">
        <f>IF($C20="","",IF($F20="CNY",汇率,1))</f>
        <v/>
      </c>
      <c r="I20" s="26">
        <f>IF($C20="","",ROUND(N($G20)*N($H20),0))</f>
        <v/>
      </c>
      <c r="J20" s="17" t="n"/>
      <c r="K20" s="17" t="n"/>
      <c r="L20" s="17" t="n"/>
    </row>
    <row r="21">
      <c r="A21" s="24">
        <f>IF($C21="","",COUNTA($C$4:$C21))</f>
        <v/>
      </c>
      <c r="B21" s="30" t="n"/>
      <c r="C21" s="17" t="n"/>
      <c r="D21" s="17" t="n"/>
      <c r="E21" s="17" t="n"/>
      <c r="F21" s="17" t="n"/>
      <c r="G21" s="31" t="n"/>
      <c r="H21" s="28">
        <f>IF($C21="","",IF($F21="CNY",汇率,1))</f>
        <v/>
      </c>
      <c r="I21" s="26">
        <f>IF($C21="","",ROUND(N($G21)*N($H21),0))</f>
        <v/>
      </c>
      <c r="J21" s="17" t="n"/>
      <c r="K21" s="17" t="n"/>
      <c r="L21" s="17" t="n"/>
    </row>
    <row r="22">
      <c r="A22" s="24">
        <f>IF($C22="","",COUNTA($C$4:$C22))</f>
        <v/>
      </c>
      <c r="B22" s="30" t="n"/>
      <c r="C22" s="17" t="n"/>
      <c r="D22" s="17" t="n"/>
      <c r="E22" s="17" t="n"/>
      <c r="F22" s="17" t="n"/>
      <c r="G22" s="31" t="n"/>
      <c r="H22" s="28">
        <f>IF($C22="","",IF($F22="CNY",汇率,1))</f>
        <v/>
      </c>
      <c r="I22" s="26">
        <f>IF($C22="","",ROUND(N($G22)*N($H22),0))</f>
        <v/>
      </c>
      <c r="J22" s="17" t="n"/>
      <c r="K22" s="17" t="n"/>
      <c r="L22" s="17" t="n"/>
    </row>
    <row r="23">
      <c r="A23" s="24">
        <f>IF($C23="","",COUNTA($C$4:$C23))</f>
        <v/>
      </c>
      <c r="B23" s="30" t="n"/>
      <c r="C23" s="17" t="n"/>
      <c r="D23" s="17" t="n"/>
      <c r="E23" s="17" t="n"/>
      <c r="F23" s="17" t="n"/>
      <c r="G23" s="31" t="n"/>
      <c r="H23" s="28">
        <f>IF($C23="","",IF($F23="CNY",汇率,1))</f>
        <v/>
      </c>
      <c r="I23" s="26">
        <f>IF($C23="","",ROUND(N($G23)*N($H23),0))</f>
        <v/>
      </c>
      <c r="J23" s="17" t="n"/>
      <c r="K23" s="17" t="n"/>
      <c r="L23" s="17" t="n"/>
    </row>
    <row r="24">
      <c r="A24" s="24">
        <f>IF($C24="","",COUNTA($C$4:$C24))</f>
        <v/>
      </c>
      <c r="B24" s="30" t="n"/>
      <c r="C24" s="17" t="n"/>
      <c r="D24" s="17" t="n"/>
      <c r="E24" s="17" t="n"/>
      <c r="F24" s="17" t="n"/>
      <c r="G24" s="31" t="n"/>
      <c r="H24" s="28">
        <f>IF($C24="","",IF($F24="CNY",汇率,1))</f>
        <v/>
      </c>
      <c r="I24" s="26">
        <f>IF($C24="","",ROUND(N($G24)*N($H24),0))</f>
        <v/>
      </c>
      <c r="J24" s="17" t="n"/>
      <c r="K24" s="17" t="n"/>
      <c r="L24" s="17" t="n"/>
    </row>
    <row r="25">
      <c r="A25" s="24">
        <f>IF($C25="","",COUNTA($C$4:$C25))</f>
        <v/>
      </c>
      <c r="B25" s="30" t="n"/>
      <c r="C25" s="17" t="n"/>
      <c r="D25" s="17" t="n"/>
      <c r="E25" s="17" t="n"/>
      <c r="F25" s="17" t="n"/>
      <c r="G25" s="31" t="n"/>
      <c r="H25" s="28">
        <f>IF($C25="","",IF($F25="CNY",汇率,1))</f>
        <v/>
      </c>
      <c r="I25" s="26">
        <f>IF($C25="","",ROUND(N($G25)*N($H25),0))</f>
        <v/>
      </c>
      <c r="J25" s="17" t="n"/>
      <c r="K25" s="17" t="n"/>
      <c r="L25" s="17" t="n"/>
    </row>
    <row r="26">
      <c r="A26" s="24">
        <f>IF($C26="","",COUNTA($C$4:$C26))</f>
        <v/>
      </c>
      <c r="B26" s="30" t="n"/>
      <c r="C26" s="17" t="n"/>
      <c r="D26" s="17" t="n"/>
      <c r="E26" s="17" t="n"/>
      <c r="F26" s="17" t="n"/>
      <c r="G26" s="31" t="n"/>
      <c r="H26" s="28">
        <f>IF($C26="","",IF($F26="CNY",汇率,1))</f>
        <v/>
      </c>
      <c r="I26" s="26">
        <f>IF($C26="","",ROUND(N($G26)*N($H26),0))</f>
        <v/>
      </c>
      <c r="J26" s="17" t="n"/>
      <c r="K26" s="17" t="n"/>
      <c r="L26" s="17" t="n"/>
    </row>
    <row r="27">
      <c r="A27" s="24">
        <f>IF($C27="","",COUNTA($C$4:$C27))</f>
        <v/>
      </c>
      <c r="B27" s="30" t="n"/>
      <c r="C27" s="17" t="n"/>
      <c r="D27" s="17" t="n"/>
      <c r="E27" s="17" t="n"/>
      <c r="F27" s="17" t="n"/>
      <c r="G27" s="31" t="n"/>
      <c r="H27" s="28">
        <f>IF($C27="","",IF($F27="CNY",汇率,1))</f>
        <v/>
      </c>
      <c r="I27" s="26">
        <f>IF($C27="","",ROUND(N($G27)*N($H27),0))</f>
        <v/>
      </c>
      <c r="J27" s="17" t="n"/>
      <c r="K27" s="17" t="n"/>
      <c r="L27" s="17" t="n"/>
    </row>
    <row r="28">
      <c r="A28" s="24">
        <f>IF($C28="","",COUNTA($C$4:$C28))</f>
        <v/>
      </c>
      <c r="B28" s="30" t="n"/>
      <c r="C28" s="17" t="n"/>
      <c r="D28" s="17" t="n"/>
      <c r="E28" s="17" t="n"/>
      <c r="F28" s="17" t="n"/>
      <c r="G28" s="31" t="n"/>
      <c r="H28" s="28">
        <f>IF($C28="","",IF($F28="CNY",汇率,1))</f>
        <v/>
      </c>
      <c r="I28" s="26">
        <f>IF($C28="","",ROUND(N($G28)*N($H28),0))</f>
        <v/>
      </c>
      <c r="J28" s="17" t="n"/>
      <c r="K28" s="17" t="n"/>
      <c r="L28" s="17" t="n"/>
    </row>
    <row r="29">
      <c r="A29" s="24">
        <f>IF($C29="","",COUNTA($C$4:$C29))</f>
        <v/>
      </c>
      <c r="B29" s="30" t="n"/>
      <c r="C29" s="17" t="n"/>
      <c r="D29" s="17" t="n"/>
      <c r="E29" s="17" t="n"/>
      <c r="F29" s="17" t="n"/>
      <c r="G29" s="31" t="n"/>
      <c r="H29" s="28">
        <f>IF($C29="","",IF($F29="CNY",汇率,1))</f>
        <v/>
      </c>
      <c r="I29" s="26">
        <f>IF($C29="","",ROUND(N($G29)*N($H29),0))</f>
        <v/>
      </c>
      <c r="J29" s="17" t="n"/>
      <c r="K29" s="17" t="n"/>
      <c r="L29" s="17" t="n"/>
    </row>
    <row r="30">
      <c r="A30" s="24">
        <f>IF($C30="","",COUNTA($C$4:$C30))</f>
        <v/>
      </c>
      <c r="B30" s="30" t="n"/>
      <c r="C30" s="17" t="n"/>
      <c r="D30" s="17" t="n"/>
      <c r="E30" s="17" t="n"/>
      <c r="F30" s="17" t="n"/>
      <c r="G30" s="31" t="n"/>
      <c r="H30" s="28">
        <f>IF($C30="","",IF($F30="CNY",汇率,1))</f>
        <v/>
      </c>
      <c r="I30" s="26">
        <f>IF($C30="","",ROUND(N($G30)*N($H30),0))</f>
        <v/>
      </c>
      <c r="J30" s="17" t="n"/>
      <c r="K30" s="17" t="n"/>
      <c r="L30" s="17" t="n"/>
    </row>
    <row r="31">
      <c r="A31" s="24">
        <f>IF($C31="","",COUNTA($C$4:$C31))</f>
        <v/>
      </c>
      <c r="B31" s="30" t="n"/>
      <c r="C31" s="17" t="n"/>
      <c r="D31" s="17" t="n"/>
      <c r="E31" s="17" t="n"/>
      <c r="F31" s="17" t="n"/>
      <c r="G31" s="31" t="n"/>
      <c r="H31" s="28">
        <f>IF($C31="","",IF($F31="CNY",汇率,1))</f>
        <v/>
      </c>
      <c r="I31" s="26">
        <f>IF($C31="","",ROUND(N($G31)*N($H31),0))</f>
        <v/>
      </c>
      <c r="J31" s="17" t="n"/>
      <c r="K31" s="17" t="n"/>
      <c r="L31" s="17" t="n"/>
    </row>
    <row r="32">
      <c r="A32" s="24">
        <f>IF($C32="","",COUNTA($C$4:$C32))</f>
        <v/>
      </c>
      <c r="B32" s="30" t="n"/>
      <c r="C32" s="17" t="n"/>
      <c r="D32" s="17" t="n"/>
      <c r="E32" s="17" t="n"/>
      <c r="F32" s="17" t="n"/>
      <c r="G32" s="31" t="n"/>
      <c r="H32" s="28">
        <f>IF($C32="","",IF($F32="CNY",汇率,1))</f>
        <v/>
      </c>
      <c r="I32" s="26">
        <f>IF($C32="","",ROUND(N($G32)*N($H32),0))</f>
        <v/>
      </c>
      <c r="J32" s="17" t="n"/>
      <c r="K32" s="17" t="n"/>
      <c r="L32" s="17" t="n"/>
    </row>
    <row r="33">
      <c r="A33" s="24">
        <f>IF($C33="","",COUNTA($C$4:$C33))</f>
        <v/>
      </c>
      <c r="B33" s="30" t="n"/>
      <c r="C33" s="17" t="n"/>
      <c r="D33" s="17" t="n"/>
      <c r="E33" s="17" t="n"/>
      <c r="F33" s="17" t="n"/>
      <c r="G33" s="31" t="n"/>
      <c r="H33" s="28">
        <f>IF($C33="","",IF($F33="CNY",汇率,1))</f>
        <v/>
      </c>
      <c r="I33" s="26">
        <f>IF($C33="","",ROUND(N($G33)*N($H33),0))</f>
        <v/>
      </c>
      <c r="J33" s="17" t="n"/>
      <c r="K33" s="17" t="n"/>
      <c r="L33" s="17" t="n"/>
    </row>
    <row r="34">
      <c r="A34" s="24">
        <f>IF($C34="","",COUNTA($C$4:$C34))</f>
        <v/>
      </c>
      <c r="B34" s="30" t="n"/>
      <c r="C34" s="17" t="n"/>
      <c r="D34" s="17" t="n"/>
      <c r="E34" s="17" t="n"/>
      <c r="F34" s="17" t="n"/>
      <c r="G34" s="31" t="n"/>
      <c r="H34" s="28">
        <f>IF($C34="","",IF($F34="CNY",汇率,1))</f>
        <v/>
      </c>
      <c r="I34" s="26">
        <f>IF($C34="","",ROUND(N($G34)*N($H34),0))</f>
        <v/>
      </c>
      <c r="J34" s="17" t="n"/>
      <c r="K34" s="17" t="n"/>
      <c r="L34" s="17" t="n"/>
    </row>
    <row r="35">
      <c r="A35" s="24">
        <f>IF($C35="","",COUNTA($C$4:$C35))</f>
        <v/>
      </c>
      <c r="B35" s="30" t="n"/>
      <c r="C35" s="17" t="n"/>
      <c r="D35" s="17" t="n"/>
      <c r="E35" s="17" t="n"/>
      <c r="F35" s="17" t="n"/>
      <c r="G35" s="31" t="n"/>
      <c r="H35" s="28">
        <f>IF($C35="","",IF($F35="CNY",汇率,1))</f>
        <v/>
      </c>
      <c r="I35" s="26">
        <f>IF($C35="","",ROUND(N($G35)*N($H35),0))</f>
        <v/>
      </c>
      <c r="J35" s="17" t="n"/>
      <c r="K35" s="17" t="n"/>
      <c r="L35" s="17" t="n"/>
    </row>
    <row r="36">
      <c r="A36" s="24">
        <f>IF($C36="","",COUNTA($C$4:$C36))</f>
        <v/>
      </c>
      <c r="B36" s="30" t="n"/>
      <c r="C36" s="17" t="n"/>
      <c r="D36" s="17" t="n"/>
      <c r="E36" s="17" t="n"/>
      <c r="F36" s="17" t="n"/>
      <c r="G36" s="31" t="n"/>
      <c r="H36" s="28">
        <f>IF($C36="","",IF($F36="CNY",汇率,1))</f>
        <v/>
      </c>
      <c r="I36" s="26">
        <f>IF($C36="","",ROUND(N($G36)*N($H36),0))</f>
        <v/>
      </c>
      <c r="J36" s="17" t="n"/>
      <c r="K36" s="17" t="n"/>
      <c r="L36" s="17" t="n"/>
    </row>
    <row r="37">
      <c r="A37" s="24">
        <f>IF($C37="","",COUNTA($C$4:$C37))</f>
        <v/>
      </c>
      <c r="B37" s="30" t="n"/>
      <c r="C37" s="17" t="n"/>
      <c r="D37" s="17" t="n"/>
      <c r="E37" s="17" t="n"/>
      <c r="F37" s="17" t="n"/>
      <c r="G37" s="31" t="n"/>
      <c r="H37" s="28">
        <f>IF($C37="","",IF($F37="CNY",汇率,1))</f>
        <v/>
      </c>
      <c r="I37" s="26">
        <f>IF($C37="","",ROUND(N($G37)*N($H37),0))</f>
        <v/>
      </c>
      <c r="J37" s="17" t="n"/>
      <c r="K37" s="17" t="n"/>
      <c r="L37" s="17" t="n"/>
    </row>
    <row r="38">
      <c r="A38" s="24">
        <f>IF($C38="","",COUNTA($C$4:$C38))</f>
        <v/>
      </c>
      <c r="B38" s="30" t="n"/>
      <c r="C38" s="17" t="n"/>
      <c r="D38" s="17" t="n"/>
      <c r="E38" s="17" t="n"/>
      <c r="F38" s="17" t="n"/>
      <c r="G38" s="31" t="n"/>
      <c r="H38" s="28">
        <f>IF($C38="","",IF($F38="CNY",汇率,1))</f>
        <v/>
      </c>
      <c r="I38" s="26">
        <f>IF($C38="","",ROUND(N($G38)*N($H38),0))</f>
        <v/>
      </c>
      <c r="J38" s="17" t="n"/>
      <c r="K38" s="17" t="n"/>
      <c r="L38" s="17" t="n"/>
    </row>
    <row r="39">
      <c r="A39" s="24">
        <f>IF($C39="","",COUNTA($C$4:$C39))</f>
        <v/>
      </c>
      <c r="B39" s="30" t="n"/>
      <c r="C39" s="17" t="n"/>
      <c r="D39" s="17" t="n"/>
      <c r="E39" s="17" t="n"/>
      <c r="F39" s="17" t="n"/>
      <c r="G39" s="31" t="n"/>
      <c r="H39" s="28">
        <f>IF($C39="","",IF($F39="CNY",汇率,1))</f>
        <v/>
      </c>
      <c r="I39" s="26">
        <f>IF($C39="","",ROUND(N($G39)*N($H39),0))</f>
        <v/>
      </c>
      <c r="J39" s="17" t="n"/>
      <c r="K39" s="17" t="n"/>
      <c r="L39" s="17" t="n"/>
    </row>
    <row r="40">
      <c r="A40" s="24">
        <f>IF($C40="","",COUNTA($C$4:$C40))</f>
        <v/>
      </c>
      <c r="B40" s="30" t="n"/>
      <c r="C40" s="17" t="n"/>
      <c r="D40" s="17" t="n"/>
      <c r="E40" s="17" t="n"/>
      <c r="F40" s="17" t="n"/>
      <c r="G40" s="31" t="n"/>
      <c r="H40" s="28">
        <f>IF($C40="","",IF($F40="CNY",汇率,1))</f>
        <v/>
      </c>
      <c r="I40" s="26">
        <f>IF($C40="","",ROUND(N($G40)*N($H40),0))</f>
        <v/>
      </c>
      <c r="J40" s="17" t="n"/>
      <c r="K40" s="17" t="n"/>
      <c r="L40" s="17" t="n"/>
    </row>
    <row r="41">
      <c r="A41" s="24">
        <f>IF($C41="","",COUNTA($C$4:$C41))</f>
        <v/>
      </c>
      <c r="B41" s="30" t="n"/>
      <c r="C41" s="17" t="n"/>
      <c r="D41" s="17" t="n"/>
      <c r="E41" s="17" t="n"/>
      <c r="F41" s="17" t="n"/>
      <c r="G41" s="31" t="n"/>
      <c r="H41" s="28">
        <f>IF($C41="","",IF($F41="CNY",汇率,1))</f>
        <v/>
      </c>
      <c r="I41" s="26">
        <f>IF($C41="","",ROUND(N($G41)*N($H41),0))</f>
        <v/>
      </c>
      <c r="J41" s="17" t="n"/>
      <c r="K41" s="17" t="n"/>
      <c r="L41" s="17" t="n"/>
    </row>
    <row r="42">
      <c r="A42" s="24">
        <f>IF($C42="","",COUNTA($C$4:$C42))</f>
        <v/>
      </c>
      <c r="B42" s="30" t="n"/>
      <c r="C42" s="17" t="n"/>
      <c r="D42" s="17" t="n"/>
      <c r="E42" s="17" t="n"/>
      <c r="F42" s="17" t="n"/>
      <c r="G42" s="31" t="n"/>
      <c r="H42" s="28">
        <f>IF($C42="","",IF($F42="CNY",汇率,1))</f>
        <v/>
      </c>
      <c r="I42" s="26">
        <f>IF($C42="","",ROUND(N($G42)*N($H42),0))</f>
        <v/>
      </c>
      <c r="J42" s="17" t="n"/>
      <c r="K42" s="17" t="n"/>
      <c r="L42" s="17" t="n"/>
    </row>
    <row r="43">
      <c r="A43" s="24">
        <f>IF($C43="","",COUNTA($C$4:$C43))</f>
        <v/>
      </c>
      <c r="B43" s="30" t="n"/>
      <c r="C43" s="17" t="n"/>
      <c r="D43" s="17" t="n"/>
      <c r="E43" s="17" t="n"/>
      <c r="F43" s="17" t="n"/>
      <c r="G43" s="31" t="n"/>
      <c r="H43" s="28">
        <f>IF($C43="","",IF($F43="CNY",汇率,1))</f>
        <v/>
      </c>
      <c r="I43" s="26">
        <f>IF($C43="","",ROUND(N($G43)*N($H43),0))</f>
        <v/>
      </c>
      <c r="J43" s="17" t="n"/>
      <c r="K43" s="17" t="n"/>
      <c r="L43" s="17" t="n"/>
    </row>
    <row r="44">
      <c r="A44" s="24">
        <f>IF($C44="","",COUNTA($C$4:$C44))</f>
        <v/>
      </c>
      <c r="B44" s="30" t="n"/>
      <c r="C44" s="17" t="n"/>
      <c r="D44" s="17" t="n"/>
      <c r="E44" s="17" t="n"/>
      <c r="F44" s="17" t="n"/>
      <c r="G44" s="31" t="n"/>
      <c r="H44" s="28">
        <f>IF($C44="","",IF($F44="CNY",汇率,1))</f>
        <v/>
      </c>
      <c r="I44" s="26">
        <f>IF($C44="","",ROUND(N($G44)*N($H44),0))</f>
        <v/>
      </c>
      <c r="J44" s="17" t="n"/>
      <c r="K44" s="17" t="n"/>
      <c r="L44" s="17" t="n"/>
    </row>
    <row r="45">
      <c r="A45" s="24">
        <f>IF($C45="","",COUNTA($C$4:$C45))</f>
        <v/>
      </c>
      <c r="B45" s="30" t="n"/>
      <c r="C45" s="17" t="n"/>
      <c r="D45" s="17" t="n"/>
      <c r="E45" s="17" t="n"/>
      <c r="F45" s="17" t="n"/>
      <c r="G45" s="31" t="n"/>
      <c r="H45" s="28">
        <f>IF($C45="","",IF($F45="CNY",汇率,1))</f>
        <v/>
      </c>
      <c r="I45" s="26">
        <f>IF($C45="","",ROUND(N($G45)*N($H45),0))</f>
        <v/>
      </c>
      <c r="J45" s="17" t="n"/>
      <c r="K45" s="17" t="n"/>
      <c r="L45" s="17" t="n"/>
    </row>
    <row r="46">
      <c r="A46" s="24">
        <f>IF($C46="","",COUNTA($C$4:$C46))</f>
        <v/>
      </c>
      <c r="B46" s="30" t="n"/>
      <c r="C46" s="17" t="n"/>
      <c r="D46" s="17" t="n"/>
      <c r="E46" s="17" t="n"/>
      <c r="F46" s="17" t="n"/>
      <c r="G46" s="31" t="n"/>
      <c r="H46" s="28">
        <f>IF($C46="","",IF($F46="CNY",汇率,1))</f>
        <v/>
      </c>
      <c r="I46" s="26">
        <f>IF($C46="","",ROUND(N($G46)*N($H46),0))</f>
        <v/>
      </c>
      <c r="J46" s="17" t="n"/>
      <c r="K46" s="17" t="n"/>
      <c r="L46" s="17" t="n"/>
    </row>
    <row r="47">
      <c r="A47" s="24">
        <f>IF($C47="","",COUNTA($C$4:$C47))</f>
        <v/>
      </c>
      <c r="B47" s="30" t="n"/>
      <c r="C47" s="17" t="n"/>
      <c r="D47" s="17" t="n"/>
      <c r="E47" s="17" t="n"/>
      <c r="F47" s="17" t="n"/>
      <c r="G47" s="31" t="n"/>
      <c r="H47" s="28">
        <f>IF($C47="","",IF($F47="CNY",汇率,1))</f>
        <v/>
      </c>
      <c r="I47" s="26">
        <f>IF($C47="","",ROUND(N($G47)*N($H47),0))</f>
        <v/>
      </c>
      <c r="J47" s="17" t="n"/>
      <c r="K47" s="17" t="n"/>
      <c r="L47" s="17" t="n"/>
    </row>
    <row r="48">
      <c r="A48" s="24">
        <f>IF($C48="","",COUNTA($C$4:$C48))</f>
        <v/>
      </c>
      <c r="B48" s="30" t="n"/>
      <c r="C48" s="17" t="n"/>
      <c r="D48" s="17" t="n"/>
      <c r="E48" s="17" t="n"/>
      <c r="F48" s="17" t="n"/>
      <c r="G48" s="31" t="n"/>
      <c r="H48" s="28">
        <f>IF($C48="","",IF($F48="CNY",汇率,1))</f>
        <v/>
      </c>
      <c r="I48" s="26">
        <f>IF($C48="","",ROUND(N($G48)*N($H48),0))</f>
        <v/>
      </c>
      <c r="J48" s="17" t="n"/>
      <c r="K48" s="17" t="n"/>
      <c r="L48" s="17" t="n"/>
    </row>
    <row r="49">
      <c r="A49" s="24">
        <f>IF($C49="","",COUNTA($C$4:$C49))</f>
        <v/>
      </c>
      <c r="B49" s="30" t="n"/>
      <c r="C49" s="17" t="n"/>
      <c r="D49" s="17" t="n"/>
      <c r="E49" s="17" t="n"/>
      <c r="F49" s="17" t="n"/>
      <c r="G49" s="31" t="n"/>
      <c r="H49" s="28">
        <f>IF($C49="","",IF($F49="CNY",汇率,1))</f>
        <v/>
      </c>
      <c r="I49" s="26">
        <f>IF($C49="","",ROUND(N($G49)*N($H49),0))</f>
        <v/>
      </c>
      <c r="J49" s="17" t="n"/>
      <c r="K49" s="17" t="n"/>
      <c r="L49" s="17" t="n"/>
    </row>
    <row r="50">
      <c r="A50" s="24">
        <f>IF($C50="","",COUNTA($C$4:$C50))</f>
        <v/>
      </c>
      <c r="B50" s="30" t="n"/>
      <c r="C50" s="17" t="n"/>
      <c r="D50" s="17" t="n"/>
      <c r="E50" s="17" t="n"/>
      <c r="F50" s="17" t="n"/>
      <c r="G50" s="31" t="n"/>
      <c r="H50" s="28">
        <f>IF($C50="","",IF($F50="CNY",汇率,1))</f>
        <v/>
      </c>
      <c r="I50" s="26">
        <f>IF($C50="","",ROUND(N($G50)*N($H50),0))</f>
        <v/>
      </c>
      <c r="J50" s="17" t="n"/>
      <c r="K50" s="17" t="n"/>
      <c r="L50" s="17" t="n"/>
    </row>
    <row r="51">
      <c r="A51" s="24">
        <f>IF($C51="","",COUNTA($C$4:$C51))</f>
        <v/>
      </c>
      <c r="B51" s="30" t="n"/>
      <c r="C51" s="17" t="n"/>
      <c r="D51" s="17" t="n"/>
      <c r="E51" s="17" t="n"/>
      <c r="F51" s="17" t="n"/>
      <c r="G51" s="31" t="n"/>
      <c r="H51" s="28">
        <f>IF($C51="","",IF($F51="CNY",汇率,1))</f>
        <v/>
      </c>
      <c r="I51" s="26">
        <f>IF($C51="","",ROUND(N($G51)*N($H51),0))</f>
        <v/>
      </c>
      <c r="J51" s="17" t="n"/>
      <c r="K51" s="17" t="n"/>
      <c r="L51" s="17" t="n"/>
    </row>
    <row r="52">
      <c r="A52" s="24">
        <f>IF($C52="","",COUNTA($C$4:$C52))</f>
        <v/>
      </c>
      <c r="B52" s="30" t="n"/>
      <c r="C52" s="17" t="n"/>
      <c r="D52" s="17" t="n"/>
      <c r="E52" s="17" t="n"/>
      <c r="F52" s="17" t="n"/>
      <c r="G52" s="31" t="n"/>
      <c r="H52" s="28">
        <f>IF($C52="","",IF($F52="CNY",汇率,1))</f>
        <v/>
      </c>
      <c r="I52" s="26">
        <f>IF($C52="","",ROUND(N($G52)*N($H52),0))</f>
        <v/>
      </c>
      <c r="J52" s="17" t="n"/>
      <c r="K52" s="17" t="n"/>
      <c r="L52" s="17" t="n"/>
    </row>
    <row r="53">
      <c r="A53" s="24">
        <f>IF($C53="","",COUNTA($C$4:$C53))</f>
        <v/>
      </c>
      <c r="B53" s="30" t="n"/>
      <c r="C53" s="17" t="n"/>
      <c r="D53" s="17" t="n"/>
      <c r="E53" s="17" t="n"/>
      <c r="F53" s="17" t="n"/>
      <c r="G53" s="31" t="n"/>
      <c r="H53" s="28">
        <f>IF($C53="","",IF($F53="CNY",汇率,1))</f>
        <v/>
      </c>
      <c r="I53" s="26">
        <f>IF($C53="","",ROUND(N($G53)*N($H53),0))</f>
        <v/>
      </c>
      <c r="J53" s="17" t="n"/>
      <c r="K53" s="17" t="n"/>
      <c r="L53" s="17" t="n"/>
    </row>
    <row r="54">
      <c r="A54" s="24">
        <f>IF($C54="","",COUNTA($C$4:$C54))</f>
        <v/>
      </c>
      <c r="B54" s="30" t="n"/>
      <c r="C54" s="17" t="n"/>
      <c r="D54" s="17" t="n"/>
      <c r="E54" s="17" t="n"/>
      <c r="F54" s="17" t="n"/>
      <c r="G54" s="31" t="n"/>
      <c r="H54" s="28">
        <f>IF($C54="","",IF($F54="CNY",汇率,1))</f>
        <v/>
      </c>
      <c r="I54" s="26">
        <f>IF($C54="","",ROUND(N($G54)*N($H54),0))</f>
        <v/>
      </c>
      <c r="J54" s="17" t="n"/>
      <c r="K54" s="17" t="n"/>
      <c r="L54" s="17" t="n"/>
    </row>
    <row r="55">
      <c r="A55" s="24">
        <f>IF($C55="","",COUNTA($C$4:$C55))</f>
        <v/>
      </c>
      <c r="B55" s="30" t="n"/>
      <c r="C55" s="17" t="n"/>
      <c r="D55" s="17" t="n"/>
      <c r="E55" s="17" t="n"/>
      <c r="F55" s="17" t="n"/>
      <c r="G55" s="31" t="n"/>
      <c r="H55" s="28">
        <f>IF($C55="","",IF($F55="CNY",汇率,1))</f>
        <v/>
      </c>
      <c r="I55" s="26">
        <f>IF($C55="","",ROUND(N($G55)*N($H55),0))</f>
        <v/>
      </c>
      <c r="J55" s="17" t="n"/>
      <c r="K55" s="17" t="n"/>
      <c r="L55" s="17" t="n"/>
    </row>
    <row r="56">
      <c r="A56" s="24">
        <f>IF($C56="","",COUNTA($C$4:$C56))</f>
        <v/>
      </c>
      <c r="B56" s="30" t="n"/>
      <c r="C56" s="17" t="n"/>
      <c r="D56" s="17" t="n"/>
      <c r="E56" s="17" t="n"/>
      <c r="F56" s="17" t="n"/>
      <c r="G56" s="31" t="n"/>
      <c r="H56" s="28">
        <f>IF($C56="","",IF($F56="CNY",汇率,1))</f>
        <v/>
      </c>
      <c r="I56" s="26">
        <f>IF($C56="","",ROUND(N($G56)*N($H56),0))</f>
        <v/>
      </c>
      <c r="J56" s="17" t="n"/>
      <c r="K56" s="17" t="n"/>
      <c r="L56" s="17" t="n"/>
    </row>
    <row r="57">
      <c r="A57" s="24">
        <f>IF($C57="","",COUNTA($C$4:$C57))</f>
        <v/>
      </c>
      <c r="B57" s="30" t="n"/>
      <c r="C57" s="17" t="n"/>
      <c r="D57" s="17" t="n"/>
      <c r="E57" s="17" t="n"/>
      <c r="F57" s="17" t="n"/>
      <c r="G57" s="31" t="n"/>
      <c r="H57" s="28">
        <f>IF($C57="","",IF($F57="CNY",汇率,1))</f>
        <v/>
      </c>
      <c r="I57" s="26">
        <f>IF($C57="","",ROUND(N($G57)*N($H57),0))</f>
        <v/>
      </c>
      <c r="J57" s="17" t="n"/>
      <c r="K57" s="17" t="n"/>
      <c r="L57" s="17" t="n"/>
    </row>
    <row r="58">
      <c r="A58" s="24">
        <f>IF($C58="","",COUNTA($C$4:$C58))</f>
        <v/>
      </c>
      <c r="B58" s="30" t="n"/>
      <c r="C58" s="17" t="n"/>
      <c r="D58" s="17" t="n"/>
      <c r="E58" s="17" t="n"/>
      <c r="F58" s="17" t="n"/>
      <c r="G58" s="31" t="n"/>
      <c r="H58" s="28">
        <f>IF($C58="","",IF($F58="CNY",汇率,1))</f>
        <v/>
      </c>
      <c r="I58" s="26">
        <f>IF($C58="","",ROUND(N($G58)*N($H58),0))</f>
        <v/>
      </c>
      <c r="J58" s="17" t="n"/>
      <c r="K58" s="17" t="n"/>
      <c r="L58" s="17" t="n"/>
    </row>
    <row r="59">
      <c r="A59" s="24">
        <f>IF($C59="","",COUNTA($C$4:$C59))</f>
        <v/>
      </c>
      <c r="B59" s="30" t="n"/>
      <c r="C59" s="17" t="n"/>
      <c r="D59" s="17" t="n"/>
      <c r="E59" s="17" t="n"/>
      <c r="F59" s="17" t="n"/>
      <c r="G59" s="31" t="n"/>
      <c r="H59" s="28">
        <f>IF($C59="","",IF($F59="CNY",汇率,1))</f>
        <v/>
      </c>
      <c r="I59" s="26">
        <f>IF($C59="","",ROUND(N($G59)*N($H59),0))</f>
        <v/>
      </c>
      <c r="J59" s="17" t="n"/>
      <c r="K59" s="17" t="n"/>
      <c r="L59" s="17" t="n"/>
    </row>
    <row r="60">
      <c r="A60" s="24">
        <f>IF($C60="","",COUNTA($C$4:$C60))</f>
        <v/>
      </c>
      <c r="B60" s="30" t="n"/>
      <c r="C60" s="17" t="n"/>
      <c r="D60" s="17" t="n"/>
      <c r="E60" s="17" t="n"/>
      <c r="F60" s="17" t="n"/>
      <c r="G60" s="31" t="n"/>
      <c r="H60" s="28">
        <f>IF($C60="","",IF($F60="CNY",汇率,1))</f>
        <v/>
      </c>
      <c r="I60" s="26">
        <f>IF($C60="","",ROUND(N($G60)*N($H60),0))</f>
        <v/>
      </c>
      <c r="J60" s="17" t="n"/>
      <c r="K60" s="17" t="n"/>
      <c r="L60" s="17" t="n"/>
    </row>
    <row r="61">
      <c r="A61" s="24">
        <f>IF($C61="","",COUNTA($C$4:$C61))</f>
        <v/>
      </c>
      <c r="B61" s="30" t="n"/>
      <c r="C61" s="17" t="n"/>
      <c r="D61" s="17" t="n"/>
      <c r="E61" s="17" t="n"/>
      <c r="F61" s="17" t="n"/>
      <c r="G61" s="31" t="n"/>
      <c r="H61" s="28">
        <f>IF($C61="","",IF($F61="CNY",汇率,1))</f>
        <v/>
      </c>
      <c r="I61" s="26">
        <f>IF($C61="","",ROUND(N($G61)*N($H61),0))</f>
        <v/>
      </c>
      <c r="J61" s="17" t="n"/>
      <c r="K61" s="17" t="n"/>
      <c r="L61" s="17" t="n"/>
    </row>
    <row r="62">
      <c r="A62" s="24">
        <f>IF($C62="","",COUNTA($C$4:$C62))</f>
        <v/>
      </c>
      <c r="B62" s="30" t="n"/>
      <c r="C62" s="17" t="n"/>
      <c r="D62" s="17" t="n"/>
      <c r="E62" s="17" t="n"/>
      <c r="F62" s="17" t="n"/>
      <c r="G62" s="31" t="n"/>
      <c r="H62" s="28">
        <f>IF($C62="","",IF($F62="CNY",汇率,1))</f>
        <v/>
      </c>
      <c r="I62" s="26">
        <f>IF($C62="","",ROUND(N($G62)*N($H62),0))</f>
        <v/>
      </c>
      <c r="J62" s="17" t="n"/>
      <c r="K62" s="17" t="n"/>
      <c r="L62" s="17" t="n"/>
    </row>
    <row r="63">
      <c r="A63" s="24">
        <f>IF($C63="","",COUNTA($C$4:$C63))</f>
        <v/>
      </c>
      <c r="B63" s="30" t="n"/>
      <c r="C63" s="17" t="n"/>
      <c r="D63" s="17" t="n"/>
      <c r="E63" s="17" t="n"/>
      <c r="F63" s="17" t="n"/>
      <c r="G63" s="31" t="n"/>
      <c r="H63" s="28">
        <f>IF($C63="","",IF($F63="CNY",汇率,1))</f>
        <v/>
      </c>
      <c r="I63" s="26">
        <f>IF($C63="","",ROUND(N($G63)*N($H63),0))</f>
        <v/>
      </c>
      <c r="J63" s="17" t="n"/>
      <c r="K63" s="17" t="n"/>
      <c r="L63" s="17" t="n"/>
    </row>
    <row r="64">
      <c r="A64" s="24">
        <f>IF($C64="","",COUNTA($C$4:$C64))</f>
        <v/>
      </c>
      <c r="B64" s="30" t="n"/>
      <c r="C64" s="17" t="n"/>
      <c r="D64" s="17" t="n"/>
      <c r="E64" s="17" t="n"/>
      <c r="F64" s="17" t="n"/>
      <c r="G64" s="31" t="n"/>
      <c r="H64" s="28">
        <f>IF($C64="","",IF($F64="CNY",汇率,1))</f>
        <v/>
      </c>
      <c r="I64" s="26">
        <f>IF($C64="","",ROUND(N($G64)*N($H64),0))</f>
        <v/>
      </c>
      <c r="J64" s="17" t="n"/>
      <c r="K64" s="17" t="n"/>
      <c r="L64" s="17" t="n"/>
    </row>
    <row r="65">
      <c r="A65" s="24">
        <f>IF($C65="","",COUNTA($C$4:$C65))</f>
        <v/>
      </c>
      <c r="B65" s="30" t="n"/>
      <c r="C65" s="17" t="n"/>
      <c r="D65" s="17" t="n"/>
      <c r="E65" s="17" t="n"/>
      <c r="F65" s="17" t="n"/>
      <c r="G65" s="31" t="n"/>
      <c r="H65" s="28">
        <f>IF($C65="","",IF($F65="CNY",汇率,1))</f>
        <v/>
      </c>
      <c r="I65" s="26">
        <f>IF($C65="","",ROUND(N($G65)*N($H65),0))</f>
        <v/>
      </c>
      <c r="J65" s="17" t="n"/>
      <c r="K65" s="17" t="n"/>
      <c r="L65" s="17" t="n"/>
    </row>
    <row r="66">
      <c r="A66" s="24">
        <f>IF($C66="","",COUNTA($C$4:$C66))</f>
        <v/>
      </c>
      <c r="B66" s="30" t="n"/>
      <c r="C66" s="17" t="n"/>
      <c r="D66" s="17" t="n"/>
      <c r="E66" s="17" t="n"/>
      <c r="F66" s="17" t="n"/>
      <c r="G66" s="31" t="n"/>
      <c r="H66" s="28">
        <f>IF($C66="","",IF($F66="CNY",汇率,1))</f>
        <v/>
      </c>
      <c r="I66" s="26">
        <f>IF($C66="","",ROUND(N($G66)*N($H66),0))</f>
        <v/>
      </c>
      <c r="J66" s="17" t="n"/>
      <c r="K66" s="17" t="n"/>
      <c r="L66" s="17" t="n"/>
    </row>
    <row r="67">
      <c r="A67" s="24">
        <f>IF($C67="","",COUNTA($C$4:$C67))</f>
        <v/>
      </c>
      <c r="B67" s="30" t="n"/>
      <c r="C67" s="17" t="n"/>
      <c r="D67" s="17" t="n"/>
      <c r="E67" s="17" t="n"/>
      <c r="F67" s="17" t="n"/>
      <c r="G67" s="31" t="n"/>
      <c r="H67" s="28">
        <f>IF($C67="","",IF($F67="CNY",汇率,1))</f>
        <v/>
      </c>
      <c r="I67" s="26">
        <f>IF($C67="","",ROUND(N($G67)*N($H67),0))</f>
        <v/>
      </c>
      <c r="J67" s="17" t="n"/>
      <c r="K67" s="17" t="n"/>
      <c r="L67" s="17" t="n"/>
    </row>
    <row r="68">
      <c r="A68" s="24">
        <f>IF($C68="","",COUNTA($C$4:$C68))</f>
        <v/>
      </c>
      <c r="B68" s="30" t="n"/>
      <c r="C68" s="17" t="n"/>
      <c r="D68" s="17" t="n"/>
      <c r="E68" s="17" t="n"/>
      <c r="F68" s="17" t="n"/>
      <c r="G68" s="31" t="n"/>
      <c r="H68" s="28">
        <f>IF($C68="","",IF($F68="CNY",汇率,1))</f>
        <v/>
      </c>
      <c r="I68" s="26">
        <f>IF($C68="","",ROUND(N($G68)*N($H68),0))</f>
        <v/>
      </c>
      <c r="J68" s="17" t="n"/>
      <c r="K68" s="17" t="n"/>
      <c r="L68" s="17" t="n"/>
    </row>
    <row r="69">
      <c r="A69" s="24">
        <f>IF($C69="","",COUNTA($C$4:$C69))</f>
        <v/>
      </c>
      <c r="B69" s="30" t="n"/>
      <c r="C69" s="17" t="n"/>
      <c r="D69" s="17" t="n"/>
      <c r="E69" s="17" t="n"/>
      <c r="F69" s="17" t="n"/>
      <c r="G69" s="31" t="n"/>
      <c r="H69" s="28">
        <f>IF($C69="","",IF($F69="CNY",汇率,1))</f>
        <v/>
      </c>
      <c r="I69" s="26">
        <f>IF($C69="","",ROUND(N($G69)*N($H69),0))</f>
        <v/>
      </c>
      <c r="J69" s="17" t="n"/>
      <c r="K69" s="17" t="n"/>
      <c r="L69" s="17" t="n"/>
    </row>
    <row r="70">
      <c r="A70" s="24">
        <f>IF($C70="","",COUNTA($C$4:$C70))</f>
        <v/>
      </c>
      <c r="B70" s="30" t="n"/>
      <c r="C70" s="17" t="n"/>
      <c r="D70" s="17" t="n"/>
      <c r="E70" s="17" t="n"/>
      <c r="F70" s="17" t="n"/>
      <c r="G70" s="31" t="n"/>
      <c r="H70" s="28">
        <f>IF($C70="","",IF($F70="CNY",汇率,1))</f>
        <v/>
      </c>
      <c r="I70" s="26">
        <f>IF($C70="","",ROUND(N($G70)*N($H70),0))</f>
        <v/>
      </c>
      <c r="J70" s="17" t="n"/>
      <c r="K70" s="17" t="n"/>
      <c r="L70" s="17" t="n"/>
    </row>
    <row r="71">
      <c r="A71" s="24">
        <f>IF($C71="","",COUNTA($C$4:$C71))</f>
        <v/>
      </c>
      <c r="B71" s="30" t="n"/>
      <c r="C71" s="17" t="n"/>
      <c r="D71" s="17" t="n"/>
      <c r="E71" s="17" t="n"/>
      <c r="F71" s="17" t="n"/>
      <c r="G71" s="31" t="n"/>
      <c r="H71" s="28">
        <f>IF($C71="","",IF($F71="CNY",汇率,1))</f>
        <v/>
      </c>
      <c r="I71" s="26">
        <f>IF($C71="","",ROUND(N($G71)*N($H71),0))</f>
        <v/>
      </c>
      <c r="J71" s="17" t="n"/>
      <c r="K71" s="17" t="n"/>
      <c r="L71" s="17" t="n"/>
    </row>
    <row r="72">
      <c r="A72" s="24">
        <f>IF($C72="","",COUNTA($C$4:$C72))</f>
        <v/>
      </c>
      <c r="B72" s="30" t="n"/>
      <c r="C72" s="17" t="n"/>
      <c r="D72" s="17" t="n"/>
      <c r="E72" s="17" t="n"/>
      <c r="F72" s="17" t="n"/>
      <c r="G72" s="31" t="n"/>
      <c r="H72" s="28">
        <f>IF($C72="","",IF($F72="CNY",汇率,1))</f>
        <v/>
      </c>
      <c r="I72" s="26">
        <f>IF($C72="","",ROUND(N($G72)*N($H72),0))</f>
        <v/>
      </c>
      <c r="J72" s="17" t="n"/>
      <c r="K72" s="17" t="n"/>
      <c r="L72" s="17" t="n"/>
    </row>
    <row r="73">
      <c r="A73" s="24">
        <f>IF($C73="","",COUNTA($C$4:$C73))</f>
        <v/>
      </c>
      <c r="B73" s="30" t="n"/>
      <c r="C73" s="17" t="n"/>
      <c r="D73" s="17" t="n"/>
      <c r="E73" s="17" t="n"/>
      <c r="F73" s="17" t="n"/>
      <c r="G73" s="31" t="n"/>
      <c r="H73" s="28">
        <f>IF($C73="","",IF($F73="CNY",汇率,1))</f>
        <v/>
      </c>
      <c r="I73" s="26">
        <f>IF($C73="","",ROUND(N($G73)*N($H73),0))</f>
        <v/>
      </c>
      <c r="J73" s="17" t="n"/>
      <c r="K73" s="17" t="n"/>
      <c r="L73" s="17" t="n"/>
    </row>
    <row r="74">
      <c r="A74" s="24">
        <f>IF($C74="","",COUNTA($C$4:$C74))</f>
        <v/>
      </c>
      <c r="B74" s="30" t="n"/>
      <c r="C74" s="17" t="n"/>
      <c r="D74" s="17" t="n"/>
      <c r="E74" s="17" t="n"/>
      <c r="F74" s="17" t="n"/>
      <c r="G74" s="31" t="n"/>
      <c r="H74" s="28">
        <f>IF($C74="","",IF($F74="CNY",汇率,1))</f>
        <v/>
      </c>
      <c r="I74" s="26">
        <f>IF($C74="","",ROUND(N($G74)*N($H74),0))</f>
        <v/>
      </c>
      <c r="J74" s="17" t="n"/>
      <c r="K74" s="17" t="n"/>
      <c r="L74" s="17" t="n"/>
    </row>
    <row r="75">
      <c r="A75" s="24">
        <f>IF($C75="","",COUNTA($C$4:$C75))</f>
        <v/>
      </c>
      <c r="B75" s="30" t="n"/>
      <c r="C75" s="17" t="n"/>
      <c r="D75" s="17" t="n"/>
      <c r="E75" s="17" t="n"/>
      <c r="F75" s="17" t="n"/>
      <c r="G75" s="31" t="n"/>
      <c r="H75" s="28">
        <f>IF($C75="","",IF($F75="CNY",汇率,1))</f>
        <v/>
      </c>
      <c r="I75" s="26">
        <f>IF($C75="","",ROUND(N($G75)*N($H75),0))</f>
        <v/>
      </c>
      <c r="J75" s="17" t="n"/>
      <c r="K75" s="17" t="n"/>
      <c r="L75" s="17" t="n"/>
    </row>
    <row r="76">
      <c r="A76" s="24">
        <f>IF($C76="","",COUNTA($C$4:$C76))</f>
        <v/>
      </c>
      <c r="B76" s="30" t="n"/>
      <c r="C76" s="17" t="n"/>
      <c r="D76" s="17" t="n"/>
      <c r="E76" s="17" t="n"/>
      <c r="F76" s="17" t="n"/>
      <c r="G76" s="31" t="n"/>
      <c r="H76" s="28">
        <f>IF($C76="","",IF($F76="CNY",汇率,1))</f>
        <v/>
      </c>
      <c r="I76" s="26">
        <f>IF($C76="","",ROUND(N($G76)*N($H76),0))</f>
        <v/>
      </c>
      <c r="J76" s="17" t="n"/>
      <c r="K76" s="17" t="n"/>
      <c r="L76" s="17" t="n"/>
    </row>
    <row r="77">
      <c r="A77" s="24">
        <f>IF($C77="","",COUNTA($C$4:$C77))</f>
        <v/>
      </c>
      <c r="B77" s="30" t="n"/>
      <c r="C77" s="17" t="n"/>
      <c r="D77" s="17" t="n"/>
      <c r="E77" s="17" t="n"/>
      <c r="F77" s="17" t="n"/>
      <c r="G77" s="31" t="n"/>
      <c r="H77" s="28">
        <f>IF($C77="","",IF($F77="CNY",汇率,1))</f>
        <v/>
      </c>
      <c r="I77" s="26">
        <f>IF($C77="","",ROUND(N($G77)*N($H77),0))</f>
        <v/>
      </c>
      <c r="J77" s="17" t="n"/>
      <c r="K77" s="17" t="n"/>
      <c r="L77" s="17" t="n"/>
    </row>
    <row r="78">
      <c r="A78" s="24">
        <f>IF($C78="","",COUNTA($C$4:$C78))</f>
        <v/>
      </c>
      <c r="B78" s="30" t="n"/>
      <c r="C78" s="17" t="n"/>
      <c r="D78" s="17" t="n"/>
      <c r="E78" s="17" t="n"/>
      <c r="F78" s="17" t="n"/>
      <c r="G78" s="31" t="n"/>
      <c r="H78" s="28">
        <f>IF($C78="","",IF($F78="CNY",汇率,1))</f>
        <v/>
      </c>
      <c r="I78" s="26">
        <f>IF($C78="","",ROUND(N($G78)*N($H78),0))</f>
        <v/>
      </c>
      <c r="J78" s="17" t="n"/>
      <c r="K78" s="17" t="n"/>
      <c r="L78" s="17" t="n"/>
    </row>
    <row r="79">
      <c r="A79" s="24">
        <f>IF($C79="","",COUNTA($C$4:$C79))</f>
        <v/>
      </c>
      <c r="B79" s="30" t="n"/>
      <c r="C79" s="17" t="n"/>
      <c r="D79" s="17" t="n"/>
      <c r="E79" s="17" t="n"/>
      <c r="F79" s="17" t="n"/>
      <c r="G79" s="31" t="n"/>
      <c r="H79" s="28">
        <f>IF($C79="","",IF($F79="CNY",汇率,1))</f>
        <v/>
      </c>
      <c r="I79" s="26">
        <f>IF($C79="","",ROUND(N($G79)*N($H79),0))</f>
        <v/>
      </c>
      <c r="J79" s="17" t="n"/>
      <c r="K79" s="17" t="n"/>
      <c r="L79" s="17" t="n"/>
    </row>
    <row r="80">
      <c r="A80" s="24">
        <f>IF($C80="","",COUNTA($C$4:$C80))</f>
        <v/>
      </c>
      <c r="B80" s="30" t="n"/>
      <c r="C80" s="17" t="n"/>
      <c r="D80" s="17" t="n"/>
      <c r="E80" s="17" t="n"/>
      <c r="F80" s="17" t="n"/>
      <c r="G80" s="31" t="n"/>
      <c r="H80" s="28">
        <f>IF($C80="","",IF($F80="CNY",汇率,1))</f>
        <v/>
      </c>
      <c r="I80" s="26">
        <f>IF($C80="","",ROUND(N($G80)*N($H80),0))</f>
        <v/>
      </c>
      <c r="J80" s="17" t="n"/>
      <c r="K80" s="17" t="n"/>
      <c r="L80" s="17" t="n"/>
    </row>
    <row r="81">
      <c r="A81" s="24">
        <f>IF($C81="","",COUNTA($C$4:$C81))</f>
        <v/>
      </c>
      <c r="B81" s="30" t="n"/>
      <c r="C81" s="17" t="n"/>
      <c r="D81" s="17" t="n"/>
      <c r="E81" s="17" t="n"/>
      <c r="F81" s="17" t="n"/>
      <c r="G81" s="31" t="n"/>
      <c r="H81" s="28">
        <f>IF($C81="","",IF($F81="CNY",汇率,1))</f>
        <v/>
      </c>
      <c r="I81" s="26">
        <f>IF($C81="","",ROUND(N($G81)*N($H81),0))</f>
        <v/>
      </c>
      <c r="J81" s="17" t="n"/>
      <c r="K81" s="17" t="n"/>
      <c r="L81" s="17" t="n"/>
    </row>
    <row r="82">
      <c r="A82" s="24">
        <f>IF($C82="","",COUNTA($C$4:$C82))</f>
        <v/>
      </c>
      <c r="B82" s="30" t="n"/>
      <c r="C82" s="17" t="n"/>
      <c r="D82" s="17" t="n"/>
      <c r="E82" s="17" t="n"/>
      <c r="F82" s="17" t="n"/>
      <c r="G82" s="31" t="n"/>
      <c r="H82" s="28">
        <f>IF($C82="","",IF($F82="CNY",汇率,1))</f>
        <v/>
      </c>
      <c r="I82" s="26">
        <f>IF($C82="","",ROUND(N($G82)*N($H82),0))</f>
        <v/>
      </c>
      <c r="J82" s="17" t="n"/>
      <c r="K82" s="17" t="n"/>
      <c r="L82" s="17" t="n"/>
    </row>
    <row r="83">
      <c r="A83" s="24">
        <f>IF($C83="","",COUNTA($C$4:$C83))</f>
        <v/>
      </c>
      <c r="B83" s="30" t="n"/>
      <c r="C83" s="17" t="n"/>
      <c r="D83" s="17" t="n"/>
      <c r="E83" s="17" t="n"/>
      <c r="F83" s="17" t="n"/>
      <c r="G83" s="31" t="n"/>
      <c r="H83" s="28">
        <f>IF($C83="","",IF($F83="CNY",汇率,1))</f>
        <v/>
      </c>
      <c r="I83" s="26">
        <f>IF($C83="","",ROUND(N($G83)*N($H83),0))</f>
        <v/>
      </c>
      <c r="J83" s="17" t="n"/>
      <c r="K83" s="17" t="n"/>
      <c r="L83" s="17" t="n"/>
    </row>
    <row r="84">
      <c r="A84" s="24">
        <f>IF($C84="","",COUNTA($C$4:$C84))</f>
        <v/>
      </c>
      <c r="B84" s="30" t="n"/>
      <c r="C84" s="17" t="n"/>
      <c r="D84" s="17" t="n"/>
      <c r="E84" s="17" t="n"/>
      <c r="F84" s="17" t="n"/>
      <c r="G84" s="31" t="n"/>
      <c r="H84" s="28">
        <f>IF($C84="","",IF($F84="CNY",汇率,1))</f>
        <v/>
      </c>
      <c r="I84" s="26">
        <f>IF($C84="","",ROUND(N($G84)*N($H84),0))</f>
        <v/>
      </c>
      <c r="J84" s="17" t="n"/>
      <c r="K84" s="17" t="n"/>
      <c r="L84" s="17" t="n"/>
    </row>
    <row r="85">
      <c r="A85" s="24">
        <f>IF($C85="","",COUNTA($C$4:$C85))</f>
        <v/>
      </c>
      <c r="B85" s="30" t="n"/>
      <c r="C85" s="17" t="n"/>
      <c r="D85" s="17" t="n"/>
      <c r="E85" s="17" t="n"/>
      <c r="F85" s="17" t="n"/>
      <c r="G85" s="31" t="n"/>
      <c r="H85" s="28">
        <f>IF($C85="","",IF($F85="CNY",汇率,1))</f>
        <v/>
      </c>
      <c r="I85" s="26">
        <f>IF($C85="","",ROUND(N($G85)*N($H85),0))</f>
        <v/>
      </c>
      <c r="J85" s="17" t="n"/>
      <c r="K85" s="17" t="n"/>
      <c r="L85" s="17" t="n"/>
    </row>
    <row r="86">
      <c r="A86" s="24">
        <f>IF($C86="","",COUNTA($C$4:$C86))</f>
        <v/>
      </c>
      <c r="B86" s="30" t="n"/>
      <c r="C86" s="17" t="n"/>
      <c r="D86" s="17" t="n"/>
      <c r="E86" s="17" t="n"/>
      <c r="F86" s="17" t="n"/>
      <c r="G86" s="31" t="n"/>
      <c r="H86" s="28">
        <f>IF($C86="","",IF($F86="CNY",汇率,1))</f>
        <v/>
      </c>
      <c r="I86" s="26">
        <f>IF($C86="","",ROUND(N($G86)*N($H86),0))</f>
        <v/>
      </c>
      <c r="J86" s="17" t="n"/>
      <c r="K86" s="17" t="n"/>
      <c r="L86" s="17" t="n"/>
    </row>
    <row r="87">
      <c r="A87" s="24">
        <f>IF($C87="","",COUNTA($C$4:$C87))</f>
        <v/>
      </c>
      <c r="B87" s="30" t="n"/>
      <c r="C87" s="17" t="n"/>
      <c r="D87" s="17" t="n"/>
      <c r="E87" s="17" t="n"/>
      <c r="F87" s="17" t="n"/>
      <c r="G87" s="31" t="n"/>
      <c r="H87" s="28">
        <f>IF($C87="","",IF($F87="CNY",汇率,1))</f>
        <v/>
      </c>
      <c r="I87" s="26">
        <f>IF($C87="","",ROUND(N($G87)*N($H87),0))</f>
        <v/>
      </c>
      <c r="J87" s="17" t="n"/>
      <c r="K87" s="17" t="n"/>
      <c r="L87" s="17" t="n"/>
    </row>
    <row r="88">
      <c r="A88" s="24">
        <f>IF($C88="","",COUNTA($C$4:$C88))</f>
        <v/>
      </c>
      <c r="B88" s="30" t="n"/>
      <c r="C88" s="17" t="n"/>
      <c r="D88" s="17" t="n"/>
      <c r="E88" s="17" t="n"/>
      <c r="F88" s="17" t="n"/>
      <c r="G88" s="31" t="n"/>
      <c r="H88" s="28">
        <f>IF($C88="","",IF($F88="CNY",汇率,1))</f>
        <v/>
      </c>
      <c r="I88" s="26">
        <f>IF($C88="","",ROUND(N($G88)*N($H88),0))</f>
        <v/>
      </c>
      <c r="J88" s="17" t="n"/>
      <c r="K88" s="17" t="n"/>
      <c r="L88" s="17" t="n"/>
    </row>
    <row r="89">
      <c r="A89" s="24">
        <f>IF($C89="","",COUNTA($C$4:$C89))</f>
        <v/>
      </c>
      <c r="B89" s="30" t="n"/>
      <c r="C89" s="17" t="n"/>
      <c r="D89" s="17" t="n"/>
      <c r="E89" s="17" t="n"/>
      <c r="F89" s="17" t="n"/>
      <c r="G89" s="31" t="n"/>
      <c r="H89" s="28">
        <f>IF($C89="","",IF($F89="CNY",汇率,1))</f>
        <v/>
      </c>
      <c r="I89" s="26">
        <f>IF($C89="","",ROUND(N($G89)*N($H89),0))</f>
        <v/>
      </c>
      <c r="J89" s="17" t="n"/>
      <c r="K89" s="17" t="n"/>
      <c r="L89" s="17" t="n"/>
    </row>
    <row r="90">
      <c r="A90" s="24">
        <f>IF($C90="","",COUNTA($C$4:$C90))</f>
        <v/>
      </c>
      <c r="B90" s="30" t="n"/>
      <c r="C90" s="17" t="n"/>
      <c r="D90" s="17" t="n"/>
      <c r="E90" s="17" t="n"/>
      <c r="F90" s="17" t="n"/>
      <c r="G90" s="31" t="n"/>
      <c r="H90" s="28">
        <f>IF($C90="","",IF($F90="CNY",汇率,1))</f>
        <v/>
      </c>
      <c r="I90" s="26">
        <f>IF($C90="","",ROUND(N($G90)*N($H90),0))</f>
        <v/>
      </c>
      <c r="J90" s="17" t="n"/>
      <c r="K90" s="17" t="n"/>
      <c r="L90" s="17" t="n"/>
    </row>
    <row r="91">
      <c r="A91" s="24">
        <f>IF($C91="","",COUNTA($C$4:$C91))</f>
        <v/>
      </c>
      <c r="B91" s="30" t="n"/>
      <c r="C91" s="17" t="n"/>
      <c r="D91" s="17" t="n"/>
      <c r="E91" s="17" t="n"/>
      <c r="F91" s="17" t="n"/>
      <c r="G91" s="31" t="n"/>
      <c r="H91" s="28">
        <f>IF($C91="","",IF($F91="CNY",汇率,1))</f>
        <v/>
      </c>
      <c r="I91" s="26">
        <f>IF($C91="","",ROUND(N($G91)*N($H91),0))</f>
        <v/>
      </c>
      <c r="J91" s="17" t="n"/>
      <c r="K91" s="17" t="n"/>
      <c r="L91" s="17" t="n"/>
    </row>
    <row r="92">
      <c r="A92" s="24">
        <f>IF($C92="","",COUNTA($C$4:$C92))</f>
        <v/>
      </c>
      <c r="B92" s="30" t="n"/>
      <c r="C92" s="17" t="n"/>
      <c r="D92" s="17" t="n"/>
      <c r="E92" s="17" t="n"/>
      <c r="F92" s="17" t="n"/>
      <c r="G92" s="31" t="n"/>
      <c r="H92" s="28">
        <f>IF($C92="","",IF($F92="CNY",汇率,1))</f>
        <v/>
      </c>
      <c r="I92" s="26">
        <f>IF($C92="","",ROUND(N($G92)*N($H92),0))</f>
        <v/>
      </c>
      <c r="J92" s="17" t="n"/>
      <c r="K92" s="17" t="n"/>
      <c r="L92" s="17" t="n"/>
    </row>
    <row r="93">
      <c r="A93" s="24">
        <f>IF($C93="","",COUNTA($C$4:$C93))</f>
        <v/>
      </c>
      <c r="B93" s="30" t="n"/>
      <c r="C93" s="17" t="n"/>
      <c r="D93" s="17" t="n"/>
      <c r="E93" s="17" t="n"/>
      <c r="F93" s="17" t="n"/>
      <c r="G93" s="31" t="n"/>
      <c r="H93" s="28">
        <f>IF($C93="","",IF($F93="CNY",汇率,1))</f>
        <v/>
      </c>
      <c r="I93" s="26">
        <f>IF($C93="","",ROUND(N($G93)*N($H93),0))</f>
        <v/>
      </c>
      <c r="J93" s="17" t="n"/>
      <c r="K93" s="17" t="n"/>
      <c r="L93" s="17" t="n"/>
    </row>
    <row r="94">
      <c r="A94" s="24">
        <f>IF($C94="","",COUNTA($C$4:$C94))</f>
        <v/>
      </c>
      <c r="B94" s="30" t="n"/>
      <c r="C94" s="17" t="n"/>
      <c r="D94" s="17" t="n"/>
      <c r="E94" s="17" t="n"/>
      <c r="F94" s="17" t="n"/>
      <c r="G94" s="31" t="n"/>
      <c r="H94" s="28">
        <f>IF($C94="","",IF($F94="CNY",汇率,1))</f>
        <v/>
      </c>
      <c r="I94" s="26">
        <f>IF($C94="","",ROUND(N($G94)*N($H94),0))</f>
        <v/>
      </c>
      <c r="J94" s="17" t="n"/>
      <c r="K94" s="17" t="n"/>
      <c r="L94" s="17" t="n"/>
    </row>
    <row r="95">
      <c r="A95" s="24">
        <f>IF($C95="","",COUNTA($C$4:$C95))</f>
        <v/>
      </c>
      <c r="B95" s="30" t="n"/>
      <c r="C95" s="17" t="n"/>
      <c r="D95" s="17" t="n"/>
      <c r="E95" s="17" t="n"/>
      <c r="F95" s="17" t="n"/>
      <c r="G95" s="31" t="n"/>
      <c r="H95" s="28">
        <f>IF($C95="","",IF($F95="CNY",汇率,1))</f>
        <v/>
      </c>
      <c r="I95" s="26">
        <f>IF($C95="","",ROUND(N($G95)*N($H95),0))</f>
        <v/>
      </c>
      <c r="J95" s="17" t="n"/>
      <c r="K95" s="17" t="n"/>
      <c r="L95" s="17" t="n"/>
    </row>
    <row r="96">
      <c r="A96" s="24">
        <f>IF($C96="","",COUNTA($C$4:$C96))</f>
        <v/>
      </c>
      <c r="B96" s="30" t="n"/>
      <c r="C96" s="17" t="n"/>
      <c r="D96" s="17" t="n"/>
      <c r="E96" s="17" t="n"/>
      <c r="F96" s="17" t="n"/>
      <c r="G96" s="31" t="n"/>
      <c r="H96" s="28">
        <f>IF($C96="","",IF($F96="CNY",汇率,1))</f>
        <v/>
      </c>
      <c r="I96" s="26">
        <f>IF($C96="","",ROUND(N($G96)*N($H96),0))</f>
        <v/>
      </c>
      <c r="J96" s="17" t="n"/>
      <c r="K96" s="17" t="n"/>
      <c r="L96" s="17" t="n"/>
    </row>
    <row r="97">
      <c r="A97" s="24">
        <f>IF($C97="","",COUNTA($C$4:$C97))</f>
        <v/>
      </c>
      <c r="B97" s="30" t="n"/>
      <c r="C97" s="17" t="n"/>
      <c r="D97" s="17" t="n"/>
      <c r="E97" s="17" t="n"/>
      <c r="F97" s="17" t="n"/>
      <c r="G97" s="31" t="n"/>
      <c r="H97" s="28">
        <f>IF($C97="","",IF($F97="CNY",汇率,1))</f>
        <v/>
      </c>
      <c r="I97" s="26">
        <f>IF($C97="","",ROUND(N($G97)*N($H97),0))</f>
        <v/>
      </c>
      <c r="J97" s="17" t="n"/>
      <c r="K97" s="17" t="n"/>
      <c r="L97" s="17" t="n"/>
    </row>
    <row r="98">
      <c r="A98" s="24">
        <f>IF($C98="","",COUNTA($C$4:$C98))</f>
        <v/>
      </c>
      <c r="B98" s="30" t="n"/>
      <c r="C98" s="17" t="n"/>
      <c r="D98" s="17" t="n"/>
      <c r="E98" s="17" t="n"/>
      <c r="F98" s="17" t="n"/>
      <c r="G98" s="31" t="n"/>
      <c r="H98" s="28">
        <f>IF($C98="","",IF($F98="CNY",汇率,1))</f>
        <v/>
      </c>
      <c r="I98" s="26">
        <f>IF($C98="","",ROUND(N($G98)*N($H98),0))</f>
        <v/>
      </c>
      <c r="J98" s="17" t="n"/>
      <c r="K98" s="17" t="n"/>
      <c r="L98" s="17" t="n"/>
    </row>
    <row r="99">
      <c r="A99" s="24">
        <f>IF($C99="","",COUNTA($C$4:$C99))</f>
        <v/>
      </c>
      <c r="B99" s="30" t="n"/>
      <c r="C99" s="17" t="n"/>
      <c r="D99" s="17" t="n"/>
      <c r="E99" s="17" t="n"/>
      <c r="F99" s="17" t="n"/>
      <c r="G99" s="31" t="n"/>
      <c r="H99" s="28">
        <f>IF($C99="","",IF($F99="CNY",汇率,1))</f>
        <v/>
      </c>
      <c r="I99" s="26">
        <f>IF($C99="","",ROUND(N($G99)*N($H99),0))</f>
        <v/>
      </c>
      <c r="J99" s="17" t="n"/>
      <c r="K99" s="17" t="n"/>
      <c r="L99" s="17" t="n"/>
    </row>
    <row r="100">
      <c r="A100" s="24">
        <f>IF($C100="","",COUNTA($C$4:$C100))</f>
        <v/>
      </c>
      <c r="B100" s="30" t="n"/>
      <c r="C100" s="17" t="n"/>
      <c r="D100" s="17" t="n"/>
      <c r="E100" s="17" t="n"/>
      <c r="F100" s="17" t="n"/>
      <c r="G100" s="31" t="n"/>
      <c r="H100" s="28">
        <f>IF($C100="","",IF($F100="CNY",汇率,1))</f>
        <v/>
      </c>
      <c r="I100" s="26">
        <f>IF($C100="","",ROUND(N($G100)*N($H100),0))</f>
        <v/>
      </c>
      <c r="J100" s="17" t="n"/>
      <c r="K100" s="17" t="n"/>
      <c r="L100" s="17" t="n"/>
    </row>
    <row r="101">
      <c r="A101" s="24">
        <f>IF($C101="","",COUNTA($C$4:$C101))</f>
        <v/>
      </c>
      <c r="B101" s="30" t="n"/>
      <c r="C101" s="17" t="n"/>
      <c r="D101" s="17" t="n"/>
      <c r="E101" s="17" t="n"/>
      <c r="F101" s="17" t="n"/>
      <c r="G101" s="31" t="n"/>
      <c r="H101" s="28">
        <f>IF($C101="","",IF($F101="CNY",汇率,1))</f>
        <v/>
      </c>
      <c r="I101" s="26">
        <f>IF($C101="","",ROUND(N($G101)*N($H101),0))</f>
        <v/>
      </c>
      <c r="J101" s="17" t="n"/>
      <c r="K101" s="17" t="n"/>
      <c r="L101" s="17" t="n"/>
    </row>
    <row r="102">
      <c r="A102" s="24">
        <f>IF($C102="","",COUNTA($C$4:$C102))</f>
        <v/>
      </c>
      <c r="B102" s="30" t="n"/>
      <c r="C102" s="17" t="n"/>
      <c r="D102" s="17" t="n"/>
      <c r="E102" s="17" t="n"/>
      <c r="F102" s="17" t="n"/>
      <c r="G102" s="31" t="n"/>
      <c r="H102" s="28">
        <f>IF($C102="","",IF($F102="CNY",汇率,1))</f>
        <v/>
      </c>
      <c r="I102" s="26">
        <f>IF($C102="","",ROUND(N($G102)*N($H102),0))</f>
        <v/>
      </c>
      <c r="J102" s="17" t="n"/>
      <c r="K102" s="17" t="n"/>
      <c r="L102" s="17" t="n"/>
    </row>
    <row r="103">
      <c r="A103" s="24">
        <f>IF($C103="","",COUNTA($C$4:$C103))</f>
        <v/>
      </c>
      <c r="B103" s="30" t="n"/>
      <c r="C103" s="17" t="n"/>
      <c r="D103" s="17" t="n"/>
      <c r="E103" s="17" t="n"/>
      <c r="F103" s="17" t="n"/>
      <c r="G103" s="31" t="n"/>
      <c r="H103" s="28">
        <f>IF($C103="","",IF($F103="CNY",汇率,1))</f>
        <v/>
      </c>
      <c r="I103" s="26">
        <f>IF($C103="","",ROUND(N($G103)*N($H103),0))</f>
        <v/>
      </c>
      <c r="J103" s="17" t="n"/>
      <c r="K103" s="17" t="n"/>
      <c r="L103" s="17" t="n"/>
    </row>
    <row r="104">
      <c r="A104" s="24">
        <f>IF($C104="","",COUNTA($C$4:$C104))</f>
        <v/>
      </c>
      <c r="B104" s="30" t="n"/>
      <c r="C104" s="17" t="n"/>
      <c r="D104" s="17" t="n"/>
      <c r="E104" s="17" t="n"/>
      <c r="F104" s="17" t="n"/>
      <c r="G104" s="31" t="n"/>
      <c r="H104" s="28">
        <f>IF($C104="","",IF($F104="CNY",汇率,1))</f>
        <v/>
      </c>
      <c r="I104" s="26">
        <f>IF($C104="","",ROUND(N($G104)*N($H104),0))</f>
        <v/>
      </c>
      <c r="J104" s="17" t="n"/>
      <c r="K104" s="17" t="n"/>
      <c r="L104" s="17" t="n"/>
    </row>
    <row r="105">
      <c r="A105" s="24">
        <f>IF($C105="","",COUNTA($C$4:$C105))</f>
        <v/>
      </c>
      <c r="B105" s="30" t="n"/>
      <c r="C105" s="17" t="n"/>
      <c r="D105" s="17" t="n"/>
      <c r="E105" s="17" t="n"/>
      <c r="F105" s="17" t="n"/>
      <c r="G105" s="31" t="n"/>
      <c r="H105" s="28">
        <f>IF($C105="","",IF($F105="CNY",汇率,1))</f>
        <v/>
      </c>
      <c r="I105" s="26">
        <f>IF($C105="","",ROUND(N($G105)*N($H105),0))</f>
        <v/>
      </c>
      <c r="J105" s="17" t="n"/>
      <c r="K105" s="17" t="n"/>
      <c r="L105" s="17" t="n"/>
    </row>
    <row r="106">
      <c r="A106" s="24">
        <f>IF($C106="","",COUNTA($C$4:$C106))</f>
        <v/>
      </c>
      <c r="B106" s="30" t="n"/>
      <c r="C106" s="17" t="n"/>
      <c r="D106" s="17" t="n"/>
      <c r="E106" s="17" t="n"/>
      <c r="F106" s="17" t="n"/>
      <c r="G106" s="31" t="n"/>
      <c r="H106" s="28">
        <f>IF($C106="","",IF($F106="CNY",汇率,1))</f>
        <v/>
      </c>
      <c r="I106" s="26">
        <f>IF($C106="","",ROUND(N($G106)*N($H106),0))</f>
        <v/>
      </c>
      <c r="J106" s="17" t="n"/>
      <c r="K106" s="17" t="n"/>
      <c r="L106" s="17" t="n"/>
    </row>
    <row r="107">
      <c r="A107" s="24">
        <f>IF($C107="","",COUNTA($C$4:$C107))</f>
        <v/>
      </c>
      <c r="B107" s="30" t="n"/>
      <c r="C107" s="17" t="n"/>
      <c r="D107" s="17" t="n"/>
      <c r="E107" s="17" t="n"/>
      <c r="F107" s="17" t="n"/>
      <c r="G107" s="31" t="n"/>
      <c r="H107" s="28">
        <f>IF($C107="","",IF($F107="CNY",汇率,1))</f>
        <v/>
      </c>
      <c r="I107" s="26">
        <f>IF($C107="","",ROUND(N($G107)*N($H107),0))</f>
        <v/>
      </c>
      <c r="J107" s="17" t="n"/>
      <c r="K107" s="17" t="n"/>
      <c r="L107" s="17" t="n"/>
    </row>
    <row r="108">
      <c r="A108" s="24">
        <f>IF($C108="","",COUNTA($C$4:$C108))</f>
        <v/>
      </c>
      <c r="B108" s="30" t="n"/>
      <c r="C108" s="17" t="n"/>
      <c r="D108" s="17" t="n"/>
      <c r="E108" s="17" t="n"/>
      <c r="F108" s="17" t="n"/>
      <c r="G108" s="31" t="n"/>
      <c r="H108" s="28">
        <f>IF($C108="","",IF($F108="CNY",汇率,1))</f>
        <v/>
      </c>
      <c r="I108" s="26">
        <f>IF($C108="","",ROUND(N($G108)*N($H108),0))</f>
        <v/>
      </c>
      <c r="J108" s="17" t="n"/>
      <c r="K108" s="17" t="n"/>
      <c r="L108" s="17" t="n"/>
    </row>
    <row r="109">
      <c r="A109" s="24">
        <f>IF($C109="","",COUNTA($C$4:$C109))</f>
        <v/>
      </c>
      <c r="B109" s="30" t="n"/>
      <c r="C109" s="17" t="n"/>
      <c r="D109" s="17" t="n"/>
      <c r="E109" s="17" t="n"/>
      <c r="F109" s="17" t="n"/>
      <c r="G109" s="31" t="n"/>
      <c r="H109" s="28">
        <f>IF($C109="","",IF($F109="CNY",汇率,1))</f>
        <v/>
      </c>
      <c r="I109" s="26">
        <f>IF($C109="","",ROUND(N($G109)*N($H109),0))</f>
        <v/>
      </c>
      <c r="J109" s="17" t="n"/>
      <c r="K109" s="17" t="n"/>
      <c r="L109" s="17" t="n"/>
    </row>
    <row r="110">
      <c r="A110" s="24">
        <f>IF($C110="","",COUNTA($C$4:$C110))</f>
        <v/>
      </c>
      <c r="B110" s="30" t="n"/>
      <c r="C110" s="17" t="n"/>
      <c r="D110" s="17" t="n"/>
      <c r="E110" s="17" t="n"/>
      <c r="F110" s="17" t="n"/>
      <c r="G110" s="31" t="n"/>
      <c r="H110" s="28">
        <f>IF($C110="","",IF($F110="CNY",汇率,1))</f>
        <v/>
      </c>
      <c r="I110" s="26">
        <f>IF($C110="","",ROUND(N($G110)*N($H110),0))</f>
        <v/>
      </c>
      <c r="J110" s="17" t="n"/>
      <c r="K110" s="17" t="n"/>
      <c r="L110" s="17" t="n"/>
    </row>
    <row r="111">
      <c r="A111" s="24">
        <f>IF($C111="","",COUNTA($C$4:$C111))</f>
        <v/>
      </c>
      <c r="B111" s="30" t="n"/>
      <c r="C111" s="17" t="n"/>
      <c r="D111" s="17" t="n"/>
      <c r="E111" s="17" t="n"/>
      <c r="F111" s="17" t="n"/>
      <c r="G111" s="31" t="n"/>
      <c r="H111" s="28">
        <f>IF($C111="","",IF($F111="CNY",汇率,1))</f>
        <v/>
      </c>
      <c r="I111" s="26">
        <f>IF($C111="","",ROUND(N($G111)*N($H111),0))</f>
        <v/>
      </c>
      <c r="J111" s="17" t="n"/>
      <c r="K111" s="17" t="n"/>
      <c r="L111" s="17" t="n"/>
    </row>
    <row r="112">
      <c r="A112" s="24">
        <f>IF($C112="","",COUNTA($C$4:$C112))</f>
        <v/>
      </c>
      <c r="B112" s="30" t="n"/>
      <c r="C112" s="17" t="n"/>
      <c r="D112" s="17" t="n"/>
      <c r="E112" s="17" t="n"/>
      <c r="F112" s="17" t="n"/>
      <c r="G112" s="31" t="n"/>
      <c r="H112" s="28">
        <f>IF($C112="","",IF($F112="CNY",汇率,1))</f>
        <v/>
      </c>
      <c r="I112" s="26">
        <f>IF($C112="","",ROUND(N($G112)*N($H112),0))</f>
        <v/>
      </c>
      <c r="J112" s="17" t="n"/>
      <c r="K112" s="17" t="n"/>
      <c r="L112" s="17" t="n"/>
    </row>
    <row r="113">
      <c r="A113" s="24">
        <f>IF($C113="","",COUNTA($C$4:$C113))</f>
        <v/>
      </c>
      <c r="B113" s="30" t="n"/>
      <c r="C113" s="17" t="n"/>
      <c r="D113" s="17" t="n"/>
      <c r="E113" s="17" t="n"/>
      <c r="F113" s="17" t="n"/>
      <c r="G113" s="31" t="n"/>
      <c r="H113" s="28">
        <f>IF($C113="","",IF($F113="CNY",汇率,1))</f>
        <v/>
      </c>
      <c r="I113" s="26">
        <f>IF($C113="","",ROUND(N($G113)*N($H113),0))</f>
        <v/>
      </c>
      <c r="J113" s="17" t="n"/>
      <c r="K113" s="17" t="n"/>
      <c r="L113" s="17" t="n"/>
    </row>
    <row r="114">
      <c r="A114" s="24">
        <f>IF($C114="","",COUNTA($C$4:$C114))</f>
        <v/>
      </c>
      <c r="B114" s="30" t="n"/>
      <c r="C114" s="17" t="n"/>
      <c r="D114" s="17" t="n"/>
      <c r="E114" s="17" t="n"/>
      <c r="F114" s="17" t="n"/>
      <c r="G114" s="31" t="n"/>
      <c r="H114" s="28">
        <f>IF($C114="","",IF($F114="CNY",汇率,1))</f>
        <v/>
      </c>
      <c r="I114" s="26">
        <f>IF($C114="","",ROUND(N($G114)*N($H114),0))</f>
        <v/>
      </c>
      <c r="J114" s="17" t="n"/>
      <c r="K114" s="17" t="n"/>
      <c r="L114" s="17" t="n"/>
    </row>
    <row r="115">
      <c r="A115" s="24">
        <f>IF($C115="","",COUNTA($C$4:$C115))</f>
        <v/>
      </c>
      <c r="B115" s="30" t="n"/>
      <c r="C115" s="17" t="n"/>
      <c r="D115" s="17" t="n"/>
      <c r="E115" s="17" t="n"/>
      <c r="F115" s="17" t="n"/>
      <c r="G115" s="31" t="n"/>
      <c r="H115" s="28">
        <f>IF($C115="","",IF($F115="CNY",汇率,1))</f>
        <v/>
      </c>
      <c r="I115" s="26">
        <f>IF($C115="","",ROUND(N($G115)*N($H115),0))</f>
        <v/>
      </c>
      <c r="J115" s="17" t="n"/>
      <c r="K115" s="17" t="n"/>
      <c r="L115" s="17" t="n"/>
    </row>
    <row r="116">
      <c r="A116" s="24">
        <f>IF($C116="","",COUNTA($C$4:$C116))</f>
        <v/>
      </c>
      <c r="B116" s="30" t="n"/>
      <c r="C116" s="17" t="n"/>
      <c r="D116" s="17" t="n"/>
      <c r="E116" s="17" t="n"/>
      <c r="F116" s="17" t="n"/>
      <c r="G116" s="31" t="n"/>
      <c r="H116" s="28">
        <f>IF($C116="","",IF($F116="CNY",汇率,1))</f>
        <v/>
      </c>
      <c r="I116" s="26">
        <f>IF($C116="","",ROUND(N($G116)*N($H116),0))</f>
        <v/>
      </c>
      <c r="J116" s="17" t="n"/>
      <c r="K116" s="17" t="n"/>
      <c r="L116" s="17" t="n"/>
    </row>
    <row r="117">
      <c r="A117" s="24">
        <f>IF($C117="","",COUNTA($C$4:$C117))</f>
        <v/>
      </c>
      <c r="B117" s="30" t="n"/>
      <c r="C117" s="17" t="n"/>
      <c r="D117" s="17" t="n"/>
      <c r="E117" s="17" t="n"/>
      <c r="F117" s="17" t="n"/>
      <c r="G117" s="31" t="n"/>
      <c r="H117" s="28">
        <f>IF($C117="","",IF($F117="CNY",汇率,1))</f>
        <v/>
      </c>
      <c r="I117" s="26">
        <f>IF($C117="","",ROUND(N($G117)*N($H117),0))</f>
        <v/>
      </c>
      <c r="J117" s="17" t="n"/>
      <c r="K117" s="17" t="n"/>
      <c r="L117" s="17" t="n"/>
    </row>
    <row r="118">
      <c r="A118" s="24">
        <f>IF($C118="","",COUNTA($C$4:$C118))</f>
        <v/>
      </c>
      <c r="B118" s="30" t="n"/>
      <c r="C118" s="17" t="n"/>
      <c r="D118" s="17" t="n"/>
      <c r="E118" s="17" t="n"/>
      <c r="F118" s="17" t="n"/>
      <c r="G118" s="31" t="n"/>
      <c r="H118" s="28">
        <f>IF($C118="","",IF($F118="CNY",汇率,1))</f>
        <v/>
      </c>
      <c r="I118" s="26">
        <f>IF($C118="","",ROUND(N($G118)*N($H118),0))</f>
        <v/>
      </c>
      <c r="J118" s="17" t="n"/>
      <c r="K118" s="17" t="n"/>
      <c r="L118" s="17" t="n"/>
    </row>
    <row r="119">
      <c r="A119" s="24">
        <f>IF($C119="","",COUNTA($C$4:$C119))</f>
        <v/>
      </c>
      <c r="B119" s="30" t="n"/>
      <c r="C119" s="17" t="n"/>
      <c r="D119" s="17" t="n"/>
      <c r="E119" s="17" t="n"/>
      <c r="F119" s="17" t="n"/>
      <c r="G119" s="31" t="n"/>
      <c r="H119" s="28">
        <f>IF($C119="","",IF($F119="CNY",汇率,1))</f>
        <v/>
      </c>
      <c r="I119" s="26">
        <f>IF($C119="","",ROUND(N($G119)*N($H119),0))</f>
        <v/>
      </c>
      <c r="J119" s="17" t="n"/>
      <c r="K119" s="17" t="n"/>
      <c r="L119" s="17" t="n"/>
    </row>
    <row r="120">
      <c r="A120" s="24">
        <f>IF($C120="","",COUNTA($C$4:$C120))</f>
        <v/>
      </c>
      <c r="B120" s="30" t="n"/>
      <c r="C120" s="17" t="n"/>
      <c r="D120" s="17" t="n"/>
      <c r="E120" s="17" t="n"/>
      <c r="F120" s="17" t="n"/>
      <c r="G120" s="31" t="n"/>
      <c r="H120" s="28">
        <f>IF($C120="","",IF($F120="CNY",汇率,1))</f>
        <v/>
      </c>
      <c r="I120" s="26">
        <f>IF($C120="","",ROUND(N($G120)*N($H120),0))</f>
        <v/>
      </c>
      <c r="J120" s="17" t="n"/>
      <c r="K120" s="17" t="n"/>
      <c r="L120" s="17" t="n"/>
    </row>
    <row r="121">
      <c r="A121" s="24">
        <f>IF($C121="","",COUNTA($C$4:$C121))</f>
        <v/>
      </c>
      <c r="B121" s="30" t="n"/>
      <c r="C121" s="17" t="n"/>
      <c r="D121" s="17" t="n"/>
      <c r="E121" s="17" t="n"/>
      <c r="F121" s="17" t="n"/>
      <c r="G121" s="31" t="n"/>
      <c r="H121" s="28">
        <f>IF($C121="","",IF($F121="CNY",汇率,1))</f>
        <v/>
      </c>
      <c r="I121" s="26">
        <f>IF($C121="","",ROUND(N($G121)*N($H121),0))</f>
        <v/>
      </c>
      <c r="J121" s="17" t="n"/>
      <c r="K121" s="17" t="n"/>
      <c r="L121" s="17" t="n"/>
    </row>
    <row r="122">
      <c r="A122" s="24">
        <f>IF($C122="","",COUNTA($C$4:$C122))</f>
        <v/>
      </c>
      <c r="B122" s="30" t="n"/>
      <c r="C122" s="17" t="n"/>
      <c r="D122" s="17" t="n"/>
      <c r="E122" s="17" t="n"/>
      <c r="F122" s="17" t="n"/>
      <c r="G122" s="31" t="n"/>
      <c r="H122" s="28">
        <f>IF($C122="","",IF($F122="CNY",汇率,1))</f>
        <v/>
      </c>
      <c r="I122" s="26">
        <f>IF($C122="","",ROUND(N($G122)*N($H122),0))</f>
        <v/>
      </c>
      <c r="J122" s="17" t="n"/>
      <c r="K122" s="17" t="n"/>
      <c r="L122" s="17" t="n"/>
    </row>
    <row r="123">
      <c r="A123" s="24">
        <f>IF($C123="","",COUNTA($C$4:$C123))</f>
        <v/>
      </c>
      <c r="B123" s="30" t="n"/>
      <c r="C123" s="17" t="n"/>
      <c r="D123" s="17" t="n"/>
      <c r="E123" s="17" t="n"/>
      <c r="F123" s="17" t="n"/>
      <c r="G123" s="31" t="n"/>
      <c r="H123" s="28">
        <f>IF($C123="","",IF($F123="CNY",汇率,1))</f>
        <v/>
      </c>
      <c r="I123" s="26">
        <f>IF($C123="","",ROUND(N($G123)*N($H123),0))</f>
        <v/>
      </c>
      <c r="J123" s="17" t="n"/>
      <c r="K123" s="17" t="n"/>
      <c r="L123" s="17" t="n"/>
    </row>
    <row r="124">
      <c r="A124" s="24">
        <f>IF($C124="","",COUNTA($C$4:$C124))</f>
        <v/>
      </c>
      <c r="B124" s="30" t="n"/>
      <c r="C124" s="17" t="n"/>
      <c r="D124" s="17" t="n"/>
      <c r="E124" s="17" t="n"/>
      <c r="F124" s="17" t="n"/>
      <c r="G124" s="31" t="n"/>
      <c r="H124" s="28">
        <f>IF($C124="","",IF($F124="CNY",汇率,1))</f>
        <v/>
      </c>
      <c r="I124" s="26">
        <f>IF($C124="","",ROUND(N($G124)*N($H124),0))</f>
        <v/>
      </c>
      <c r="J124" s="17" t="n"/>
      <c r="K124" s="17" t="n"/>
      <c r="L124" s="17" t="n"/>
    </row>
    <row r="125">
      <c r="A125" s="24">
        <f>IF($C125="","",COUNTA($C$4:$C125))</f>
        <v/>
      </c>
      <c r="B125" s="30" t="n"/>
      <c r="C125" s="17" t="n"/>
      <c r="D125" s="17" t="n"/>
      <c r="E125" s="17" t="n"/>
      <c r="F125" s="17" t="n"/>
      <c r="G125" s="31" t="n"/>
      <c r="H125" s="28">
        <f>IF($C125="","",IF($F125="CNY",汇率,1))</f>
        <v/>
      </c>
      <c r="I125" s="26">
        <f>IF($C125="","",ROUND(N($G125)*N($H125),0))</f>
        <v/>
      </c>
      <c r="J125" s="17" t="n"/>
      <c r="K125" s="17" t="n"/>
      <c r="L125" s="17" t="n"/>
    </row>
    <row r="126">
      <c r="A126" s="24">
        <f>IF($C126="","",COUNTA($C$4:$C126))</f>
        <v/>
      </c>
      <c r="B126" s="30" t="n"/>
      <c r="C126" s="17" t="n"/>
      <c r="D126" s="17" t="n"/>
      <c r="E126" s="17" t="n"/>
      <c r="F126" s="17" t="n"/>
      <c r="G126" s="31" t="n"/>
      <c r="H126" s="28">
        <f>IF($C126="","",IF($F126="CNY",汇率,1))</f>
        <v/>
      </c>
      <c r="I126" s="26">
        <f>IF($C126="","",ROUND(N($G126)*N($H126),0))</f>
        <v/>
      </c>
      <c r="J126" s="17" t="n"/>
      <c r="K126" s="17" t="n"/>
      <c r="L126" s="17" t="n"/>
    </row>
    <row r="127">
      <c r="A127" s="24">
        <f>IF($C127="","",COUNTA($C$4:$C127))</f>
        <v/>
      </c>
      <c r="B127" s="30" t="n"/>
      <c r="C127" s="17" t="n"/>
      <c r="D127" s="17" t="n"/>
      <c r="E127" s="17" t="n"/>
      <c r="F127" s="17" t="n"/>
      <c r="G127" s="31" t="n"/>
      <c r="H127" s="28">
        <f>IF($C127="","",IF($F127="CNY",汇率,1))</f>
        <v/>
      </c>
      <c r="I127" s="26">
        <f>IF($C127="","",ROUND(N($G127)*N($H127),0))</f>
        <v/>
      </c>
      <c r="J127" s="17" t="n"/>
      <c r="K127" s="17" t="n"/>
      <c r="L127" s="17" t="n"/>
    </row>
    <row r="128">
      <c r="A128" s="24">
        <f>IF($C128="","",COUNTA($C$4:$C128))</f>
        <v/>
      </c>
      <c r="B128" s="30" t="n"/>
      <c r="C128" s="17" t="n"/>
      <c r="D128" s="17" t="n"/>
      <c r="E128" s="17" t="n"/>
      <c r="F128" s="17" t="n"/>
      <c r="G128" s="31" t="n"/>
      <c r="H128" s="28">
        <f>IF($C128="","",IF($F128="CNY",汇率,1))</f>
        <v/>
      </c>
      <c r="I128" s="26">
        <f>IF($C128="","",ROUND(N($G128)*N($H128),0))</f>
        <v/>
      </c>
      <c r="J128" s="17" t="n"/>
      <c r="K128" s="17" t="n"/>
      <c r="L128" s="17" t="n"/>
    </row>
    <row r="129">
      <c r="A129" s="24">
        <f>IF($C129="","",COUNTA($C$4:$C129))</f>
        <v/>
      </c>
      <c r="B129" s="30" t="n"/>
      <c r="C129" s="17" t="n"/>
      <c r="D129" s="17" t="n"/>
      <c r="E129" s="17" t="n"/>
      <c r="F129" s="17" t="n"/>
      <c r="G129" s="31" t="n"/>
      <c r="H129" s="28">
        <f>IF($C129="","",IF($F129="CNY",汇率,1))</f>
        <v/>
      </c>
      <c r="I129" s="26">
        <f>IF($C129="","",ROUND(N($G129)*N($H129),0))</f>
        <v/>
      </c>
      <c r="J129" s="17" t="n"/>
      <c r="K129" s="17" t="n"/>
      <c r="L129" s="17" t="n"/>
    </row>
    <row r="130">
      <c r="A130" s="24">
        <f>IF($C130="","",COUNTA($C$4:$C130))</f>
        <v/>
      </c>
      <c r="B130" s="30" t="n"/>
      <c r="C130" s="17" t="n"/>
      <c r="D130" s="17" t="n"/>
      <c r="E130" s="17" t="n"/>
      <c r="F130" s="17" t="n"/>
      <c r="G130" s="31" t="n"/>
      <c r="H130" s="28">
        <f>IF($C130="","",IF($F130="CNY",汇率,1))</f>
        <v/>
      </c>
      <c r="I130" s="26">
        <f>IF($C130="","",ROUND(N($G130)*N($H130),0))</f>
        <v/>
      </c>
      <c r="J130" s="17" t="n"/>
      <c r="K130" s="17" t="n"/>
      <c r="L130" s="17" t="n"/>
    </row>
    <row r="131">
      <c r="A131" s="24">
        <f>IF($C131="","",COUNTA($C$4:$C131))</f>
        <v/>
      </c>
      <c r="B131" s="30" t="n"/>
      <c r="C131" s="17" t="n"/>
      <c r="D131" s="17" t="n"/>
      <c r="E131" s="17" t="n"/>
      <c r="F131" s="17" t="n"/>
      <c r="G131" s="31" t="n"/>
      <c r="H131" s="28">
        <f>IF($C131="","",IF($F131="CNY",汇率,1))</f>
        <v/>
      </c>
      <c r="I131" s="26">
        <f>IF($C131="","",ROUND(N($G131)*N($H131),0))</f>
        <v/>
      </c>
      <c r="J131" s="17" t="n"/>
      <c r="K131" s="17" t="n"/>
      <c r="L131" s="17" t="n"/>
    </row>
    <row r="132">
      <c r="A132" s="24">
        <f>IF($C132="","",COUNTA($C$4:$C132))</f>
        <v/>
      </c>
      <c r="B132" s="30" t="n"/>
      <c r="C132" s="17" t="n"/>
      <c r="D132" s="17" t="n"/>
      <c r="E132" s="17" t="n"/>
      <c r="F132" s="17" t="n"/>
      <c r="G132" s="31" t="n"/>
      <c r="H132" s="28">
        <f>IF($C132="","",IF($F132="CNY",汇率,1))</f>
        <v/>
      </c>
      <c r="I132" s="26">
        <f>IF($C132="","",ROUND(N($G132)*N($H132),0))</f>
        <v/>
      </c>
      <c r="J132" s="17" t="n"/>
      <c r="K132" s="17" t="n"/>
      <c r="L132" s="17" t="n"/>
    </row>
    <row r="133">
      <c r="A133" s="24">
        <f>IF($C133="","",COUNTA($C$4:$C133))</f>
        <v/>
      </c>
      <c r="B133" s="30" t="n"/>
      <c r="C133" s="17" t="n"/>
      <c r="D133" s="17" t="n"/>
      <c r="E133" s="17" t="n"/>
      <c r="F133" s="17" t="n"/>
      <c r="G133" s="31" t="n"/>
      <c r="H133" s="28">
        <f>IF($C133="","",IF($F133="CNY",汇率,1))</f>
        <v/>
      </c>
      <c r="I133" s="26">
        <f>IF($C133="","",ROUND(N($G133)*N($H133),0))</f>
        <v/>
      </c>
      <c r="J133" s="17" t="n"/>
      <c r="K133" s="17" t="n"/>
      <c r="L133" s="17" t="n"/>
    </row>
    <row r="134">
      <c r="A134" s="24">
        <f>IF($C134="","",COUNTA($C$4:$C134))</f>
        <v/>
      </c>
      <c r="B134" s="30" t="n"/>
      <c r="C134" s="17" t="n"/>
      <c r="D134" s="17" t="n"/>
      <c r="E134" s="17" t="n"/>
      <c r="F134" s="17" t="n"/>
      <c r="G134" s="31" t="n"/>
      <c r="H134" s="28">
        <f>IF($C134="","",IF($F134="CNY",汇率,1))</f>
        <v/>
      </c>
      <c r="I134" s="26">
        <f>IF($C134="","",ROUND(N($G134)*N($H134),0))</f>
        <v/>
      </c>
      <c r="J134" s="17" t="n"/>
      <c r="K134" s="17" t="n"/>
      <c r="L134" s="17" t="n"/>
    </row>
    <row r="135">
      <c r="A135" s="24">
        <f>IF($C135="","",COUNTA($C$4:$C135))</f>
        <v/>
      </c>
      <c r="B135" s="30" t="n"/>
      <c r="C135" s="17" t="n"/>
      <c r="D135" s="17" t="n"/>
      <c r="E135" s="17" t="n"/>
      <c r="F135" s="17" t="n"/>
      <c r="G135" s="31" t="n"/>
      <c r="H135" s="28">
        <f>IF($C135="","",IF($F135="CNY",汇率,1))</f>
        <v/>
      </c>
      <c r="I135" s="26">
        <f>IF($C135="","",ROUND(N($G135)*N($H135),0))</f>
        <v/>
      </c>
      <c r="J135" s="17" t="n"/>
      <c r="K135" s="17" t="n"/>
      <c r="L135" s="17" t="n"/>
    </row>
    <row r="136">
      <c r="A136" s="24">
        <f>IF($C136="","",COUNTA($C$4:$C136))</f>
        <v/>
      </c>
      <c r="B136" s="30" t="n"/>
      <c r="C136" s="17" t="n"/>
      <c r="D136" s="17" t="n"/>
      <c r="E136" s="17" t="n"/>
      <c r="F136" s="17" t="n"/>
      <c r="G136" s="31" t="n"/>
      <c r="H136" s="28">
        <f>IF($C136="","",IF($F136="CNY",汇率,1))</f>
        <v/>
      </c>
      <c r="I136" s="26">
        <f>IF($C136="","",ROUND(N($G136)*N($H136),0))</f>
        <v/>
      </c>
      <c r="J136" s="17" t="n"/>
      <c r="K136" s="17" t="n"/>
      <c r="L136" s="17" t="n"/>
    </row>
    <row r="137">
      <c r="A137" s="24">
        <f>IF($C137="","",COUNTA($C$4:$C137))</f>
        <v/>
      </c>
      <c r="B137" s="30" t="n"/>
      <c r="C137" s="17" t="n"/>
      <c r="D137" s="17" t="n"/>
      <c r="E137" s="17" t="n"/>
      <c r="F137" s="17" t="n"/>
      <c r="G137" s="31" t="n"/>
      <c r="H137" s="28">
        <f>IF($C137="","",IF($F137="CNY",汇率,1))</f>
        <v/>
      </c>
      <c r="I137" s="26">
        <f>IF($C137="","",ROUND(N($G137)*N($H137),0))</f>
        <v/>
      </c>
      <c r="J137" s="17" t="n"/>
      <c r="K137" s="17" t="n"/>
      <c r="L137" s="17" t="n"/>
    </row>
    <row r="138">
      <c r="A138" s="24">
        <f>IF($C138="","",COUNTA($C$4:$C138))</f>
        <v/>
      </c>
      <c r="B138" s="30" t="n"/>
      <c r="C138" s="17" t="n"/>
      <c r="D138" s="17" t="n"/>
      <c r="E138" s="17" t="n"/>
      <c r="F138" s="17" t="n"/>
      <c r="G138" s="31" t="n"/>
      <c r="H138" s="28">
        <f>IF($C138="","",IF($F138="CNY",汇率,1))</f>
        <v/>
      </c>
      <c r="I138" s="26">
        <f>IF($C138="","",ROUND(N($G138)*N($H138),0))</f>
        <v/>
      </c>
      <c r="J138" s="17" t="n"/>
      <c r="K138" s="17" t="n"/>
      <c r="L138" s="17" t="n"/>
    </row>
    <row r="139">
      <c r="A139" s="24">
        <f>IF($C139="","",COUNTA($C$4:$C139))</f>
        <v/>
      </c>
      <c r="B139" s="30" t="n"/>
      <c r="C139" s="17" t="n"/>
      <c r="D139" s="17" t="n"/>
      <c r="E139" s="17" t="n"/>
      <c r="F139" s="17" t="n"/>
      <c r="G139" s="31" t="n"/>
      <c r="H139" s="28">
        <f>IF($C139="","",IF($F139="CNY",汇率,1))</f>
        <v/>
      </c>
      <c r="I139" s="26">
        <f>IF($C139="","",ROUND(N($G139)*N($H139),0))</f>
        <v/>
      </c>
      <c r="J139" s="17" t="n"/>
      <c r="K139" s="17" t="n"/>
      <c r="L139" s="17" t="n"/>
    </row>
    <row r="140">
      <c r="A140" s="24">
        <f>IF($C140="","",COUNTA($C$4:$C140))</f>
        <v/>
      </c>
      <c r="B140" s="30" t="n"/>
      <c r="C140" s="17" t="n"/>
      <c r="D140" s="17" t="n"/>
      <c r="E140" s="17" t="n"/>
      <c r="F140" s="17" t="n"/>
      <c r="G140" s="31" t="n"/>
      <c r="H140" s="28">
        <f>IF($C140="","",IF($F140="CNY",汇率,1))</f>
        <v/>
      </c>
      <c r="I140" s="26">
        <f>IF($C140="","",ROUND(N($G140)*N($H140),0))</f>
        <v/>
      </c>
      <c r="J140" s="17" t="n"/>
      <c r="K140" s="17" t="n"/>
      <c r="L140" s="17" t="n"/>
    </row>
    <row r="141">
      <c r="A141" s="24">
        <f>IF($C141="","",COUNTA($C$4:$C141))</f>
        <v/>
      </c>
      <c r="B141" s="30" t="n"/>
      <c r="C141" s="17" t="n"/>
      <c r="D141" s="17" t="n"/>
      <c r="E141" s="17" t="n"/>
      <c r="F141" s="17" t="n"/>
      <c r="G141" s="31" t="n"/>
      <c r="H141" s="28">
        <f>IF($C141="","",IF($F141="CNY",汇率,1))</f>
        <v/>
      </c>
      <c r="I141" s="26">
        <f>IF($C141="","",ROUND(N($G141)*N($H141),0))</f>
        <v/>
      </c>
      <c r="J141" s="17" t="n"/>
      <c r="K141" s="17" t="n"/>
      <c r="L141" s="17" t="n"/>
    </row>
    <row r="142">
      <c r="A142" s="24">
        <f>IF($C142="","",COUNTA($C$4:$C142))</f>
        <v/>
      </c>
      <c r="B142" s="30" t="n"/>
      <c r="C142" s="17" t="n"/>
      <c r="D142" s="17" t="n"/>
      <c r="E142" s="17" t="n"/>
      <c r="F142" s="17" t="n"/>
      <c r="G142" s="31" t="n"/>
      <c r="H142" s="28">
        <f>IF($C142="","",IF($F142="CNY",汇率,1))</f>
        <v/>
      </c>
      <c r="I142" s="26">
        <f>IF($C142="","",ROUND(N($G142)*N($H142),0))</f>
        <v/>
      </c>
      <c r="J142" s="17" t="n"/>
      <c r="K142" s="17" t="n"/>
      <c r="L142" s="17" t="n"/>
    </row>
    <row r="143">
      <c r="A143" s="24">
        <f>IF($C143="","",COUNTA($C$4:$C143))</f>
        <v/>
      </c>
      <c r="B143" s="30" t="n"/>
      <c r="C143" s="17" t="n"/>
      <c r="D143" s="17" t="n"/>
      <c r="E143" s="17" t="n"/>
      <c r="F143" s="17" t="n"/>
      <c r="G143" s="31" t="n"/>
      <c r="H143" s="28">
        <f>IF($C143="","",IF($F143="CNY",汇率,1))</f>
        <v/>
      </c>
      <c r="I143" s="26">
        <f>IF($C143="","",ROUND(N($G143)*N($H143),0))</f>
        <v/>
      </c>
      <c r="J143" s="17" t="n"/>
      <c r="K143" s="17" t="n"/>
      <c r="L143" s="17" t="n"/>
    </row>
    <row r="144">
      <c r="A144" s="24">
        <f>IF($C144="","",COUNTA($C$4:$C144))</f>
        <v/>
      </c>
      <c r="B144" s="30" t="n"/>
      <c r="C144" s="17" t="n"/>
      <c r="D144" s="17" t="n"/>
      <c r="E144" s="17" t="n"/>
      <c r="F144" s="17" t="n"/>
      <c r="G144" s="31" t="n"/>
      <c r="H144" s="28">
        <f>IF($C144="","",IF($F144="CNY",汇率,1))</f>
        <v/>
      </c>
      <c r="I144" s="26">
        <f>IF($C144="","",ROUND(N($G144)*N($H144),0))</f>
        <v/>
      </c>
      <c r="J144" s="17" t="n"/>
      <c r="K144" s="17" t="n"/>
      <c r="L144" s="17" t="n"/>
    </row>
    <row r="145">
      <c r="A145" s="24">
        <f>IF($C145="","",COUNTA($C$4:$C145))</f>
        <v/>
      </c>
      <c r="B145" s="30" t="n"/>
      <c r="C145" s="17" t="n"/>
      <c r="D145" s="17" t="n"/>
      <c r="E145" s="17" t="n"/>
      <c r="F145" s="17" t="n"/>
      <c r="G145" s="31" t="n"/>
      <c r="H145" s="28">
        <f>IF($C145="","",IF($F145="CNY",汇率,1))</f>
        <v/>
      </c>
      <c r="I145" s="26">
        <f>IF($C145="","",ROUND(N($G145)*N($H145),0))</f>
        <v/>
      </c>
      <c r="J145" s="17" t="n"/>
      <c r="K145" s="17" t="n"/>
      <c r="L145" s="17" t="n"/>
    </row>
    <row r="146">
      <c r="A146" s="24">
        <f>IF($C146="","",COUNTA($C$4:$C146))</f>
        <v/>
      </c>
      <c r="B146" s="30" t="n"/>
      <c r="C146" s="17" t="n"/>
      <c r="D146" s="17" t="n"/>
      <c r="E146" s="17" t="n"/>
      <c r="F146" s="17" t="n"/>
      <c r="G146" s="31" t="n"/>
      <c r="H146" s="28">
        <f>IF($C146="","",IF($F146="CNY",汇率,1))</f>
        <v/>
      </c>
      <c r="I146" s="26">
        <f>IF($C146="","",ROUND(N($G146)*N($H146),0))</f>
        <v/>
      </c>
      <c r="J146" s="17" t="n"/>
      <c r="K146" s="17" t="n"/>
      <c r="L146" s="17" t="n"/>
    </row>
    <row r="147">
      <c r="A147" s="24">
        <f>IF($C147="","",COUNTA($C$4:$C147))</f>
        <v/>
      </c>
      <c r="B147" s="30" t="n"/>
      <c r="C147" s="17" t="n"/>
      <c r="D147" s="17" t="n"/>
      <c r="E147" s="17" t="n"/>
      <c r="F147" s="17" t="n"/>
      <c r="G147" s="31" t="n"/>
      <c r="H147" s="28">
        <f>IF($C147="","",IF($F147="CNY",汇率,1))</f>
        <v/>
      </c>
      <c r="I147" s="26">
        <f>IF($C147="","",ROUND(N($G147)*N($H147),0))</f>
        <v/>
      </c>
      <c r="J147" s="17" t="n"/>
      <c r="K147" s="17" t="n"/>
      <c r="L147" s="17" t="n"/>
    </row>
    <row r="148">
      <c r="A148" s="24">
        <f>IF($C148="","",COUNTA($C$4:$C148))</f>
        <v/>
      </c>
      <c r="B148" s="30" t="n"/>
      <c r="C148" s="17" t="n"/>
      <c r="D148" s="17" t="n"/>
      <c r="E148" s="17" t="n"/>
      <c r="F148" s="17" t="n"/>
      <c r="G148" s="31" t="n"/>
      <c r="H148" s="28">
        <f>IF($C148="","",IF($F148="CNY",汇率,1))</f>
        <v/>
      </c>
      <c r="I148" s="26">
        <f>IF($C148="","",ROUND(N($G148)*N($H148),0))</f>
        <v/>
      </c>
      <c r="J148" s="17" t="n"/>
      <c r="K148" s="17" t="n"/>
      <c r="L148" s="17" t="n"/>
    </row>
    <row r="149">
      <c r="A149" s="24">
        <f>IF($C149="","",COUNTA($C$4:$C149))</f>
        <v/>
      </c>
      <c r="B149" s="30" t="n"/>
      <c r="C149" s="17" t="n"/>
      <c r="D149" s="17" t="n"/>
      <c r="E149" s="17" t="n"/>
      <c r="F149" s="17" t="n"/>
      <c r="G149" s="31" t="n"/>
      <c r="H149" s="28">
        <f>IF($C149="","",IF($F149="CNY",汇率,1))</f>
        <v/>
      </c>
      <c r="I149" s="26">
        <f>IF($C149="","",ROUND(N($G149)*N($H149),0))</f>
        <v/>
      </c>
      <c r="J149" s="17" t="n"/>
      <c r="K149" s="17" t="n"/>
      <c r="L149" s="17" t="n"/>
    </row>
    <row r="150">
      <c r="A150" s="24">
        <f>IF($C150="","",COUNTA($C$4:$C150))</f>
        <v/>
      </c>
      <c r="B150" s="30" t="n"/>
      <c r="C150" s="17" t="n"/>
      <c r="D150" s="17" t="n"/>
      <c r="E150" s="17" t="n"/>
      <c r="F150" s="17" t="n"/>
      <c r="G150" s="31" t="n"/>
      <c r="H150" s="28">
        <f>IF($C150="","",IF($F150="CNY",汇率,1))</f>
        <v/>
      </c>
      <c r="I150" s="26">
        <f>IF($C150="","",ROUND(N($G150)*N($H150),0))</f>
        <v/>
      </c>
      <c r="J150" s="17" t="n"/>
      <c r="K150" s="17" t="n"/>
      <c r="L150" s="17" t="n"/>
    </row>
    <row r="151">
      <c r="A151" s="24">
        <f>IF($C151="","",COUNTA($C$4:$C151))</f>
        <v/>
      </c>
      <c r="B151" s="30" t="n"/>
      <c r="C151" s="17" t="n"/>
      <c r="D151" s="17" t="n"/>
      <c r="E151" s="17" t="n"/>
      <c r="F151" s="17" t="n"/>
      <c r="G151" s="31" t="n"/>
      <c r="H151" s="28">
        <f>IF($C151="","",IF($F151="CNY",汇率,1))</f>
        <v/>
      </c>
      <c r="I151" s="26">
        <f>IF($C151="","",ROUND(N($G151)*N($H151),0))</f>
        <v/>
      </c>
      <c r="J151" s="17" t="n"/>
      <c r="K151" s="17" t="n"/>
      <c r="L151" s="17" t="n"/>
    </row>
    <row r="152">
      <c r="A152" s="24">
        <f>IF($C152="","",COUNTA($C$4:$C152))</f>
        <v/>
      </c>
      <c r="B152" s="30" t="n"/>
      <c r="C152" s="17" t="n"/>
      <c r="D152" s="17" t="n"/>
      <c r="E152" s="17" t="n"/>
      <c r="F152" s="17" t="n"/>
      <c r="G152" s="31" t="n"/>
      <c r="H152" s="28">
        <f>IF($C152="","",IF($F152="CNY",汇率,1))</f>
        <v/>
      </c>
      <c r="I152" s="26">
        <f>IF($C152="","",ROUND(N($G152)*N($H152),0))</f>
        <v/>
      </c>
      <c r="J152" s="17" t="n"/>
      <c r="K152" s="17" t="n"/>
      <c r="L152" s="17" t="n"/>
    </row>
    <row r="153">
      <c r="A153" s="24">
        <f>IF($C153="","",COUNTA($C$4:$C153))</f>
        <v/>
      </c>
      <c r="B153" s="30" t="n"/>
      <c r="C153" s="17" t="n"/>
      <c r="D153" s="17" t="n"/>
      <c r="E153" s="17" t="n"/>
      <c r="F153" s="17" t="n"/>
      <c r="G153" s="31" t="n"/>
      <c r="H153" s="28">
        <f>IF($C153="","",IF($F153="CNY",汇率,1))</f>
        <v/>
      </c>
      <c r="I153" s="26">
        <f>IF($C153="","",ROUND(N($G153)*N($H153),0))</f>
        <v/>
      </c>
      <c r="J153" s="17" t="n"/>
      <c r="K153" s="17" t="n"/>
      <c r="L153" s="17" t="n"/>
    </row>
    <row r="154">
      <c r="A154" s="24">
        <f>IF($C154="","",COUNTA($C$4:$C154))</f>
        <v/>
      </c>
      <c r="B154" s="30" t="n"/>
      <c r="C154" s="17" t="n"/>
      <c r="D154" s="17" t="n"/>
      <c r="E154" s="17" t="n"/>
      <c r="F154" s="17" t="n"/>
      <c r="G154" s="31" t="n"/>
      <c r="H154" s="28">
        <f>IF($C154="","",IF($F154="CNY",汇率,1))</f>
        <v/>
      </c>
      <c r="I154" s="26">
        <f>IF($C154="","",ROUND(N($G154)*N($H154),0))</f>
        <v/>
      </c>
      <c r="J154" s="17" t="n"/>
      <c r="K154" s="17" t="n"/>
      <c r="L154" s="17" t="n"/>
    </row>
    <row r="155">
      <c r="A155" s="24">
        <f>IF($C155="","",COUNTA($C$4:$C155))</f>
        <v/>
      </c>
      <c r="B155" s="30" t="n"/>
      <c r="C155" s="17" t="n"/>
      <c r="D155" s="17" t="n"/>
      <c r="E155" s="17" t="n"/>
      <c r="F155" s="17" t="n"/>
      <c r="G155" s="31" t="n"/>
      <c r="H155" s="28">
        <f>IF($C155="","",IF($F155="CNY",汇率,1))</f>
        <v/>
      </c>
      <c r="I155" s="26">
        <f>IF($C155="","",ROUND(N($G155)*N($H155),0))</f>
        <v/>
      </c>
      <c r="J155" s="17" t="n"/>
      <c r="K155" s="17" t="n"/>
      <c r="L155" s="17" t="n"/>
    </row>
    <row r="156">
      <c r="A156" s="24">
        <f>IF($C156="","",COUNTA($C$4:$C156))</f>
        <v/>
      </c>
      <c r="B156" s="30" t="n"/>
      <c r="C156" s="17" t="n"/>
      <c r="D156" s="17" t="n"/>
      <c r="E156" s="17" t="n"/>
      <c r="F156" s="17" t="n"/>
      <c r="G156" s="31" t="n"/>
      <c r="H156" s="28">
        <f>IF($C156="","",IF($F156="CNY",汇率,1))</f>
        <v/>
      </c>
      <c r="I156" s="26">
        <f>IF($C156="","",ROUND(N($G156)*N($H156),0))</f>
        <v/>
      </c>
      <c r="J156" s="17" t="n"/>
      <c r="K156" s="17" t="n"/>
      <c r="L156" s="17" t="n"/>
    </row>
    <row r="157">
      <c r="A157" s="24">
        <f>IF($C157="","",COUNTA($C$4:$C157))</f>
        <v/>
      </c>
      <c r="B157" s="30" t="n"/>
      <c r="C157" s="17" t="n"/>
      <c r="D157" s="17" t="n"/>
      <c r="E157" s="17" t="n"/>
      <c r="F157" s="17" t="n"/>
      <c r="G157" s="31" t="n"/>
      <c r="H157" s="28">
        <f>IF($C157="","",IF($F157="CNY",汇率,1))</f>
        <v/>
      </c>
      <c r="I157" s="26">
        <f>IF($C157="","",ROUND(N($G157)*N($H157),0))</f>
        <v/>
      </c>
      <c r="J157" s="17" t="n"/>
      <c r="K157" s="17" t="n"/>
      <c r="L157" s="17" t="n"/>
    </row>
    <row r="158">
      <c r="A158" s="24">
        <f>IF($C158="","",COUNTA($C$4:$C158))</f>
        <v/>
      </c>
      <c r="B158" s="30" t="n"/>
      <c r="C158" s="17" t="n"/>
      <c r="D158" s="17" t="n"/>
      <c r="E158" s="17" t="n"/>
      <c r="F158" s="17" t="n"/>
      <c r="G158" s="31" t="n"/>
      <c r="H158" s="28">
        <f>IF($C158="","",IF($F158="CNY",汇率,1))</f>
        <v/>
      </c>
      <c r="I158" s="26">
        <f>IF($C158="","",ROUND(N($G158)*N($H158),0))</f>
        <v/>
      </c>
      <c r="J158" s="17" t="n"/>
      <c r="K158" s="17" t="n"/>
      <c r="L158" s="17" t="n"/>
    </row>
    <row r="159">
      <c r="A159" s="24">
        <f>IF($C159="","",COUNTA($C$4:$C159))</f>
        <v/>
      </c>
      <c r="B159" s="30" t="n"/>
      <c r="C159" s="17" t="n"/>
      <c r="D159" s="17" t="n"/>
      <c r="E159" s="17" t="n"/>
      <c r="F159" s="17" t="n"/>
      <c r="G159" s="31" t="n"/>
      <c r="H159" s="28">
        <f>IF($C159="","",IF($F159="CNY",汇率,1))</f>
        <v/>
      </c>
      <c r="I159" s="26">
        <f>IF($C159="","",ROUND(N($G159)*N($H159),0))</f>
        <v/>
      </c>
      <c r="J159" s="17" t="n"/>
      <c r="K159" s="17" t="n"/>
      <c r="L159" s="17" t="n"/>
    </row>
    <row r="160">
      <c r="A160" s="24">
        <f>IF($C160="","",COUNTA($C$4:$C160))</f>
        <v/>
      </c>
      <c r="B160" s="30" t="n"/>
      <c r="C160" s="17" t="n"/>
      <c r="D160" s="17" t="n"/>
      <c r="E160" s="17" t="n"/>
      <c r="F160" s="17" t="n"/>
      <c r="G160" s="31" t="n"/>
      <c r="H160" s="28">
        <f>IF($C160="","",IF($F160="CNY",汇率,1))</f>
        <v/>
      </c>
      <c r="I160" s="26">
        <f>IF($C160="","",ROUND(N($G160)*N($H160),0))</f>
        <v/>
      </c>
      <c r="J160" s="17" t="n"/>
      <c r="K160" s="17" t="n"/>
      <c r="L160" s="17" t="n"/>
    </row>
    <row r="161">
      <c r="A161" s="24">
        <f>IF($C161="","",COUNTA($C$4:$C161))</f>
        <v/>
      </c>
      <c r="B161" s="30" t="n"/>
      <c r="C161" s="17" t="n"/>
      <c r="D161" s="17" t="n"/>
      <c r="E161" s="17" t="n"/>
      <c r="F161" s="17" t="n"/>
      <c r="G161" s="31" t="n"/>
      <c r="H161" s="28">
        <f>IF($C161="","",IF($F161="CNY",汇率,1))</f>
        <v/>
      </c>
      <c r="I161" s="26">
        <f>IF($C161="","",ROUND(N($G161)*N($H161),0))</f>
        <v/>
      </c>
      <c r="J161" s="17" t="n"/>
      <c r="K161" s="17" t="n"/>
      <c r="L161" s="17" t="n"/>
    </row>
    <row r="162">
      <c r="A162" s="24">
        <f>IF($C162="","",COUNTA($C$4:$C162))</f>
        <v/>
      </c>
      <c r="B162" s="30" t="n"/>
      <c r="C162" s="17" t="n"/>
      <c r="D162" s="17" t="n"/>
      <c r="E162" s="17" t="n"/>
      <c r="F162" s="17" t="n"/>
      <c r="G162" s="31" t="n"/>
      <c r="H162" s="28">
        <f>IF($C162="","",IF($F162="CNY",汇率,1))</f>
        <v/>
      </c>
      <c r="I162" s="26">
        <f>IF($C162="","",ROUND(N($G162)*N($H162),0))</f>
        <v/>
      </c>
      <c r="J162" s="17" t="n"/>
      <c r="K162" s="17" t="n"/>
      <c r="L162" s="17" t="n"/>
    </row>
    <row r="163">
      <c r="A163" s="24">
        <f>IF($C163="","",COUNTA($C$4:$C163))</f>
        <v/>
      </c>
      <c r="B163" s="30" t="n"/>
      <c r="C163" s="17" t="n"/>
      <c r="D163" s="17" t="n"/>
      <c r="E163" s="17" t="n"/>
      <c r="F163" s="17" t="n"/>
      <c r="G163" s="31" t="n"/>
      <c r="H163" s="28">
        <f>IF($C163="","",IF($F163="CNY",汇率,1))</f>
        <v/>
      </c>
      <c r="I163" s="26">
        <f>IF($C163="","",ROUND(N($G163)*N($H163),0))</f>
        <v/>
      </c>
      <c r="J163" s="17" t="n"/>
      <c r="K163" s="17" t="n"/>
      <c r="L163" s="17" t="n"/>
    </row>
    <row r="164">
      <c r="A164" s="24">
        <f>IF($C164="","",COUNTA($C$4:$C164))</f>
        <v/>
      </c>
      <c r="B164" s="30" t="n"/>
      <c r="C164" s="17" t="n"/>
      <c r="D164" s="17" t="n"/>
      <c r="E164" s="17" t="n"/>
      <c r="F164" s="17" t="n"/>
      <c r="G164" s="31" t="n"/>
      <c r="H164" s="28">
        <f>IF($C164="","",IF($F164="CNY",汇率,1))</f>
        <v/>
      </c>
      <c r="I164" s="26">
        <f>IF($C164="","",ROUND(N($G164)*N($H164),0))</f>
        <v/>
      </c>
      <c r="J164" s="17" t="n"/>
      <c r="K164" s="17" t="n"/>
      <c r="L164" s="17" t="n"/>
    </row>
    <row r="165">
      <c r="A165" s="24">
        <f>IF($C165="","",COUNTA($C$4:$C165))</f>
        <v/>
      </c>
      <c r="B165" s="30" t="n"/>
      <c r="C165" s="17" t="n"/>
      <c r="D165" s="17" t="n"/>
      <c r="E165" s="17" t="n"/>
      <c r="F165" s="17" t="n"/>
      <c r="G165" s="31" t="n"/>
      <c r="H165" s="28">
        <f>IF($C165="","",IF($F165="CNY",汇率,1))</f>
        <v/>
      </c>
      <c r="I165" s="26">
        <f>IF($C165="","",ROUND(N($G165)*N($H165),0))</f>
        <v/>
      </c>
      <c r="J165" s="17" t="n"/>
      <c r="K165" s="17" t="n"/>
      <c r="L165" s="17" t="n"/>
    </row>
    <row r="166">
      <c r="A166" s="24">
        <f>IF($C166="","",COUNTA($C$4:$C166))</f>
        <v/>
      </c>
      <c r="B166" s="30" t="n"/>
      <c r="C166" s="17" t="n"/>
      <c r="D166" s="17" t="n"/>
      <c r="E166" s="17" t="n"/>
      <c r="F166" s="17" t="n"/>
      <c r="G166" s="31" t="n"/>
      <c r="H166" s="28">
        <f>IF($C166="","",IF($F166="CNY",汇率,1))</f>
        <v/>
      </c>
      <c r="I166" s="26">
        <f>IF($C166="","",ROUND(N($G166)*N($H166),0))</f>
        <v/>
      </c>
      <c r="J166" s="17" t="n"/>
      <c r="K166" s="17" t="n"/>
      <c r="L166" s="17" t="n"/>
    </row>
    <row r="167">
      <c r="A167" s="24">
        <f>IF($C167="","",COUNTA($C$4:$C167))</f>
        <v/>
      </c>
      <c r="B167" s="30" t="n"/>
      <c r="C167" s="17" t="n"/>
      <c r="D167" s="17" t="n"/>
      <c r="E167" s="17" t="n"/>
      <c r="F167" s="17" t="n"/>
      <c r="G167" s="31" t="n"/>
      <c r="H167" s="28">
        <f>IF($C167="","",IF($F167="CNY",汇率,1))</f>
        <v/>
      </c>
      <c r="I167" s="26">
        <f>IF($C167="","",ROUND(N($G167)*N($H167),0))</f>
        <v/>
      </c>
      <c r="J167" s="17" t="n"/>
      <c r="K167" s="17" t="n"/>
      <c r="L167" s="17" t="n"/>
    </row>
    <row r="168">
      <c r="A168" s="24">
        <f>IF($C168="","",COUNTA($C$4:$C168))</f>
        <v/>
      </c>
      <c r="B168" s="30" t="n"/>
      <c r="C168" s="17" t="n"/>
      <c r="D168" s="17" t="n"/>
      <c r="E168" s="17" t="n"/>
      <c r="F168" s="17" t="n"/>
      <c r="G168" s="31" t="n"/>
      <c r="H168" s="28">
        <f>IF($C168="","",IF($F168="CNY",汇率,1))</f>
        <v/>
      </c>
      <c r="I168" s="26">
        <f>IF($C168="","",ROUND(N($G168)*N($H168),0))</f>
        <v/>
      </c>
      <c r="J168" s="17" t="n"/>
      <c r="K168" s="17" t="n"/>
      <c r="L168" s="17" t="n"/>
    </row>
    <row r="169">
      <c r="A169" s="24">
        <f>IF($C169="","",COUNTA($C$4:$C169))</f>
        <v/>
      </c>
      <c r="B169" s="30" t="n"/>
      <c r="C169" s="17" t="n"/>
      <c r="D169" s="17" t="n"/>
      <c r="E169" s="17" t="n"/>
      <c r="F169" s="17" t="n"/>
      <c r="G169" s="31" t="n"/>
      <c r="H169" s="28">
        <f>IF($C169="","",IF($F169="CNY",汇率,1))</f>
        <v/>
      </c>
      <c r="I169" s="26">
        <f>IF($C169="","",ROUND(N($G169)*N($H169),0))</f>
        <v/>
      </c>
      <c r="J169" s="17" t="n"/>
      <c r="K169" s="17" t="n"/>
      <c r="L169" s="17" t="n"/>
    </row>
    <row r="170">
      <c r="A170" s="24">
        <f>IF($C170="","",COUNTA($C$4:$C170))</f>
        <v/>
      </c>
      <c r="B170" s="30" t="n"/>
      <c r="C170" s="17" t="n"/>
      <c r="D170" s="17" t="n"/>
      <c r="E170" s="17" t="n"/>
      <c r="F170" s="17" t="n"/>
      <c r="G170" s="31" t="n"/>
      <c r="H170" s="28">
        <f>IF($C170="","",IF($F170="CNY",汇率,1))</f>
        <v/>
      </c>
      <c r="I170" s="26">
        <f>IF($C170="","",ROUND(N($G170)*N($H170),0))</f>
        <v/>
      </c>
      <c r="J170" s="17" t="n"/>
      <c r="K170" s="17" t="n"/>
      <c r="L170" s="17" t="n"/>
    </row>
    <row r="171">
      <c r="A171" s="24">
        <f>IF($C171="","",COUNTA($C$4:$C171))</f>
        <v/>
      </c>
      <c r="B171" s="30" t="n"/>
      <c r="C171" s="17" t="n"/>
      <c r="D171" s="17" t="n"/>
      <c r="E171" s="17" t="n"/>
      <c r="F171" s="17" t="n"/>
      <c r="G171" s="31" t="n"/>
      <c r="H171" s="28">
        <f>IF($C171="","",IF($F171="CNY",汇率,1))</f>
        <v/>
      </c>
      <c r="I171" s="26">
        <f>IF($C171="","",ROUND(N($G171)*N($H171),0))</f>
        <v/>
      </c>
      <c r="J171" s="17" t="n"/>
      <c r="K171" s="17" t="n"/>
      <c r="L171" s="17" t="n"/>
    </row>
    <row r="172">
      <c r="A172" s="24">
        <f>IF($C172="","",COUNTA($C$4:$C172))</f>
        <v/>
      </c>
      <c r="B172" s="30" t="n"/>
      <c r="C172" s="17" t="n"/>
      <c r="D172" s="17" t="n"/>
      <c r="E172" s="17" t="n"/>
      <c r="F172" s="17" t="n"/>
      <c r="G172" s="31" t="n"/>
      <c r="H172" s="28">
        <f>IF($C172="","",IF($F172="CNY",汇率,1))</f>
        <v/>
      </c>
      <c r="I172" s="26">
        <f>IF($C172="","",ROUND(N($G172)*N($H172),0))</f>
        <v/>
      </c>
      <c r="J172" s="17" t="n"/>
      <c r="K172" s="17" t="n"/>
      <c r="L172" s="17" t="n"/>
    </row>
    <row r="173">
      <c r="A173" s="24">
        <f>IF($C173="","",COUNTA($C$4:$C173))</f>
        <v/>
      </c>
      <c r="B173" s="30" t="n"/>
      <c r="C173" s="17" t="n"/>
      <c r="D173" s="17" t="n"/>
      <c r="E173" s="17" t="n"/>
      <c r="F173" s="17" t="n"/>
      <c r="G173" s="31" t="n"/>
      <c r="H173" s="28">
        <f>IF($C173="","",IF($F173="CNY",汇率,1))</f>
        <v/>
      </c>
      <c r="I173" s="26">
        <f>IF($C173="","",ROUND(N($G173)*N($H173),0))</f>
        <v/>
      </c>
      <c r="J173" s="17" t="n"/>
      <c r="K173" s="17" t="n"/>
      <c r="L173" s="17" t="n"/>
    </row>
    <row r="174">
      <c r="A174" s="24">
        <f>IF($C174="","",COUNTA($C$4:$C174))</f>
        <v/>
      </c>
      <c r="B174" s="30" t="n"/>
      <c r="C174" s="17" t="n"/>
      <c r="D174" s="17" t="n"/>
      <c r="E174" s="17" t="n"/>
      <c r="F174" s="17" t="n"/>
      <c r="G174" s="31" t="n"/>
      <c r="H174" s="28">
        <f>IF($C174="","",IF($F174="CNY",汇率,1))</f>
        <v/>
      </c>
      <c r="I174" s="26">
        <f>IF($C174="","",ROUND(N($G174)*N($H174),0))</f>
        <v/>
      </c>
      <c r="J174" s="17" t="n"/>
      <c r="K174" s="17" t="n"/>
      <c r="L174" s="17" t="n"/>
    </row>
    <row r="175">
      <c r="A175" s="24">
        <f>IF($C175="","",COUNTA($C$4:$C175))</f>
        <v/>
      </c>
      <c r="B175" s="30" t="n"/>
      <c r="C175" s="17" t="n"/>
      <c r="D175" s="17" t="n"/>
      <c r="E175" s="17" t="n"/>
      <c r="F175" s="17" t="n"/>
      <c r="G175" s="31" t="n"/>
      <c r="H175" s="28">
        <f>IF($C175="","",IF($F175="CNY",汇率,1))</f>
        <v/>
      </c>
      <c r="I175" s="26">
        <f>IF($C175="","",ROUND(N($G175)*N($H175),0))</f>
        <v/>
      </c>
      <c r="J175" s="17" t="n"/>
      <c r="K175" s="17" t="n"/>
      <c r="L175" s="17" t="n"/>
    </row>
    <row r="176">
      <c r="A176" s="24">
        <f>IF($C176="","",COUNTA($C$4:$C176))</f>
        <v/>
      </c>
      <c r="B176" s="30" t="n"/>
      <c r="C176" s="17" t="n"/>
      <c r="D176" s="17" t="n"/>
      <c r="E176" s="17" t="n"/>
      <c r="F176" s="17" t="n"/>
      <c r="G176" s="31" t="n"/>
      <c r="H176" s="28">
        <f>IF($C176="","",IF($F176="CNY",汇率,1))</f>
        <v/>
      </c>
      <c r="I176" s="26">
        <f>IF($C176="","",ROUND(N($G176)*N($H176),0))</f>
        <v/>
      </c>
      <c r="J176" s="17" t="n"/>
      <c r="K176" s="17" t="n"/>
      <c r="L176" s="17" t="n"/>
    </row>
    <row r="177">
      <c r="A177" s="24">
        <f>IF($C177="","",COUNTA($C$4:$C177))</f>
        <v/>
      </c>
      <c r="B177" s="30" t="n"/>
      <c r="C177" s="17" t="n"/>
      <c r="D177" s="17" t="n"/>
      <c r="E177" s="17" t="n"/>
      <c r="F177" s="17" t="n"/>
      <c r="G177" s="31" t="n"/>
      <c r="H177" s="28">
        <f>IF($C177="","",IF($F177="CNY",汇率,1))</f>
        <v/>
      </c>
      <c r="I177" s="26">
        <f>IF($C177="","",ROUND(N($G177)*N($H177),0))</f>
        <v/>
      </c>
      <c r="J177" s="17" t="n"/>
      <c r="K177" s="17" t="n"/>
      <c r="L177" s="17" t="n"/>
    </row>
    <row r="178">
      <c r="A178" s="24">
        <f>IF($C178="","",COUNTA($C$4:$C178))</f>
        <v/>
      </c>
      <c r="B178" s="30" t="n"/>
      <c r="C178" s="17" t="n"/>
      <c r="D178" s="17" t="n"/>
      <c r="E178" s="17" t="n"/>
      <c r="F178" s="17" t="n"/>
      <c r="G178" s="31" t="n"/>
      <c r="H178" s="28">
        <f>IF($C178="","",IF($F178="CNY",汇率,1))</f>
        <v/>
      </c>
      <c r="I178" s="26">
        <f>IF($C178="","",ROUND(N($G178)*N($H178),0))</f>
        <v/>
      </c>
      <c r="J178" s="17" t="n"/>
      <c r="K178" s="17" t="n"/>
      <c r="L178" s="17" t="n"/>
    </row>
    <row r="179">
      <c r="A179" s="24">
        <f>IF($C179="","",COUNTA($C$4:$C179))</f>
        <v/>
      </c>
      <c r="B179" s="30" t="n"/>
      <c r="C179" s="17" t="n"/>
      <c r="D179" s="17" t="n"/>
      <c r="E179" s="17" t="n"/>
      <c r="F179" s="17" t="n"/>
      <c r="G179" s="31" t="n"/>
      <c r="H179" s="28">
        <f>IF($C179="","",IF($F179="CNY",汇率,1))</f>
        <v/>
      </c>
      <c r="I179" s="26">
        <f>IF($C179="","",ROUND(N($G179)*N($H179),0))</f>
        <v/>
      </c>
      <c r="J179" s="17" t="n"/>
      <c r="K179" s="17" t="n"/>
      <c r="L179" s="17" t="n"/>
    </row>
    <row r="180">
      <c r="A180" s="24">
        <f>IF($C180="","",COUNTA($C$4:$C180))</f>
        <v/>
      </c>
      <c r="B180" s="30" t="n"/>
      <c r="C180" s="17" t="n"/>
      <c r="D180" s="17" t="n"/>
      <c r="E180" s="17" t="n"/>
      <c r="F180" s="17" t="n"/>
      <c r="G180" s="31" t="n"/>
      <c r="H180" s="28">
        <f>IF($C180="","",IF($F180="CNY",汇率,1))</f>
        <v/>
      </c>
      <c r="I180" s="26">
        <f>IF($C180="","",ROUND(N($G180)*N($H180),0))</f>
        <v/>
      </c>
      <c r="J180" s="17" t="n"/>
      <c r="K180" s="17" t="n"/>
      <c r="L180" s="17" t="n"/>
    </row>
    <row r="181">
      <c r="A181" s="24">
        <f>IF($C181="","",COUNTA($C$4:$C181))</f>
        <v/>
      </c>
      <c r="B181" s="30" t="n"/>
      <c r="C181" s="17" t="n"/>
      <c r="D181" s="17" t="n"/>
      <c r="E181" s="17" t="n"/>
      <c r="F181" s="17" t="n"/>
      <c r="G181" s="31" t="n"/>
      <c r="H181" s="28">
        <f>IF($C181="","",IF($F181="CNY",汇率,1))</f>
        <v/>
      </c>
      <c r="I181" s="26">
        <f>IF($C181="","",ROUND(N($G181)*N($H181),0))</f>
        <v/>
      </c>
      <c r="J181" s="17" t="n"/>
      <c r="K181" s="17" t="n"/>
      <c r="L181" s="17" t="n"/>
    </row>
    <row r="182">
      <c r="A182" s="24">
        <f>IF($C182="","",COUNTA($C$4:$C182))</f>
        <v/>
      </c>
      <c r="B182" s="30" t="n"/>
      <c r="C182" s="17" t="n"/>
      <c r="D182" s="17" t="n"/>
      <c r="E182" s="17" t="n"/>
      <c r="F182" s="17" t="n"/>
      <c r="G182" s="31" t="n"/>
      <c r="H182" s="28">
        <f>IF($C182="","",IF($F182="CNY",汇率,1))</f>
        <v/>
      </c>
      <c r="I182" s="26">
        <f>IF($C182="","",ROUND(N($G182)*N($H182),0))</f>
        <v/>
      </c>
      <c r="J182" s="17" t="n"/>
      <c r="K182" s="17" t="n"/>
      <c r="L182" s="17" t="n"/>
    </row>
    <row r="183">
      <c r="A183" s="24">
        <f>IF($C183="","",COUNTA($C$4:$C183))</f>
        <v/>
      </c>
      <c r="B183" s="30" t="n"/>
      <c r="C183" s="17" t="n"/>
      <c r="D183" s="17" t="n"/>
      <c r="E183" s="17" t="n"/>
      <c r="F183" s="17" t="n"/>
      <c r="G183" s="31" t="n"/>
      <c r="H183" s="28">
        <f>IF($C183="","",IF($F183="CNY",汇率,1))</f>
        <v/>
      </c>
      <c r="I183" s="26">
        <f>IF($C183="","",ROUND(N($G183)*N($H183),0))</f>
        <v/>
      </c>
      <c r="J183" s="17" t="n"/>
      <c r="K183" s="17" t="n"/>
      <c r="L183" s="17" t="n"/>
    </row>
    <row r="184">
      <c r="A184" s="24">
        <f>IF($C184="","",COUNTA($C$4:$C184))</f>
        <v/>
      </c>
      <c r="B184" s="30" t="n"/>
      <c r="C184" s="17" t="n"/>
      <c r="D184" s="17" t="n"/>
      <c r="E184" s="17" t="n"/>
      <c r="F184" s="17" t="n"/>
      <c r="G184" s="31" t="n"/>
      <c r="H184" s="28">
        <f>IF($C184="","",IF($F184="CNY",汇率,1))</f>
        <v/>
      </c>
      <c r="I184" s="26">
        <f>IF($C184="","",ROUND(N($G184)*N($H184),0))</f>
        <v/>
      </c>
      <c r="J184" s="17" t="n"/>
      <c r="K184" s="17" t="n"/>
      <c r="L184" s="17" t="n"/>
    </row>
    <row r="185">
      <c r="A185" s="24">
        <f>IF($C185="","",COUNTA($C$4:$C185))</f>
        <v/>
      </c>
      <c r="B185" s="30" t="n"/>
      <c r="C185" s="17" t="n"/>
      <c r="D185" s="17" t="n"/>
      <c r="E185" s="17" t="n"/>
      <c r="F185" s="17" t="n"/>
      <c r="G185" s="31" t="n"/>
      <c r="H185" s="28">
        <f>IF($C185="","",IF($F185="CNY",汇率,1))</f>
        <v/>
      </c>
      <c r="I185" s="26">
        <f>IF($C185="","",ROUND(N($G185)*N($H185),0))</f>
        <v/>
      </c>
      <c r="J185" s="17" t="n"/>
      <c r="K185" s="17" t="n"/>
      <c r="L185" s="17" t="n"/>
    </row>
    <row r="186">
      <c r="A186" s="24">
        <f>IF($C186="","",COUNTA($C$4:$C186))</f>
        <v/>
      </c>
      <c r="B186" s="30" t="n"/>
      <c r="C186" s="17" t="n"/>
      <c r="D186" s="17" t="n"/>
      <c r="E186" s="17" t="n"/>
      <c r="F186" s="17" t="n"/>
      <c r="G186" s="31" t="n"/>
      <c r="H186" s="28">
        <f>IF($C186="","",IF($F186="CNY",汇率,1))</f>
        <v/>
      </c>
      <c r="I186" s="26">
        <f>IF($C186="","",ROUND(N($G186)*N($H186),0))</f>
        <v/>
      </c>
      <c r="J186" s="17" t="n"/>
      <c r="K186" s="17" t="n"/>
      <c r="L186" s="17" t="n"/>
    </row>
    <row r="187">
      <c r="A187" s="24">
        <f>IF($C187="","",COUNTA($C$4:$C187))</f>
        <v/>
      </c>
      <c r="B187" s="30" t="n"/>
      <c r="C187" s="17" t="n"/>
      <c r="D187" s="17" t="n"/>
      <c r="E187" s="17" t="n"/>
      <c r="F187" s="17" t="n"/>
      <c r="G187" s="31" t="n"/>
      <c r="H187" s="28">
        <f>IF($C187="","",IF($F187="CNY",汇率,1))</f>
        <v/>
      </c>
      <c r="I187" s="26">
        <f>IF($C187="","",ROUND(N($G187)*N($H187),0))</f>
        <v/>
      </c>
      <c r="J187" s="17" t="n"/>
      <c r="K187" s="17" t="n"/>
      <c r="L187" s="17" t="n"/>
    </row>
    <row r="188">
      <c r="A188" s="24">
        <f>IF($C188="","",COUNTA($C$4:$C188))</f>
        <v/>
      </c>
      <c r="B188" s="30" t="n"/>
      <c r="C188" s="17" t="n"/>
      <c r="D188" s="17" t="n"/>
      <c r="E188" s="17" t="n"/>
      <c r="F188" s="17" t="n"/>
      <c r="G188" s="31" t="n"/>
      <c r="H188" s="28">
        <f>IF($C188="","",IF($F188="CNY",汇率,1))</f>
        <v/>
      </c>
      <c r="I188" s="26">
        <f>IF($C188="","",ROUND(N($G188)*N($H188),0))</f>
        <v/>
      </c>
      <c r="J188" s="17" t="n"/>
      <c r="K188" s="17" t="n"/>
      <c r="L188" s="17" t="n"/>
    </row>
    <row r="189">
      <c r="A189" s="24">
        <f>IF($C189="","",COUNTA($C$4:$C189))</f>
        <v/>
      </c>
      <c r="B189" s="30" t="n"/>
      <c r="C189" s="17" t="n"/>
      <c r="D189" s="17" t="n"/>
      <c r="E189" s="17" t="n"/>
      <c r="F189" s="17" t="n"/>
      <c r="G189" s="31" t="n"/>
      <c r="H189" s="28">
        <f>IF($C189="","",IF($F189="CNY",汇率,1))</f>
        <v/>
      </c>
      <c r="I189" s="26">
        <f>IF($C189="","",ROUND(N($G189)*N($H189),0))</f>
        <v/>
      </c>
      <c r="J189" s="17" t="n"/>
      <c r="K189" s="17" t="n"/>
      <c r="L189" s="17" t="n"/>
    </row>
    <row r="190">
      <c r="A190" s="24">
        <f>IF($C190="","",COUNTA($C$4:$C190))</f>
        <v/>
      </c>
      <c r="B190" s="30" t="n"/>
      <c r="C190" s="17" t="n"/>
      <c r="D190" s="17" t="n"/>
      <c r="E190" s="17" t="n"/>
      <c r="F190" s="17" t="n"/>
      <c r="G190" s="31" t="n"/>
      <c r="H190" s="28">
        <f>IF($C190="","",IF($F190="CNY",汇率,1))</f>
        <v/>
      </c>
      <c r="I190" s="26">
        <f>IF($C190="","",ROUND(N($G190)*N($H190),0))</f>
        <v/>
      </c>
      <c r="J190" s="17" t="n"/>
      <c r="K190" s="17" t="n"/>
      <c r="L190" s="17" t="n"/>
    </row>
    <row r="191">
      <c r="A191" s="24">
        <f>IF($C191="","",COUNTA($C$4:$C191))</f>
        <v/>
      </c>
      <c r="B191" s="30" t="n"/>
      <c r="C191" s="17" t="n"/>
      <c r="D191" s="17" t="n"/>
      <c r="E191" s="17" t="n"/>
      <c r="F191" s="17" t="n"/>
      <c r="G191" s="31" t="n"/>
      <c r="H191" s="28">
        <f>IF($C191="","",IF($F191="CNY",汇率,1))</f>
        <v/>
      </c>
      <c r="I191" s="26">
        <f>IF($C191="","",ROUND(N($G191)*N($H191),0))</f>
        <v/>
      </c>
      <c r="J191" s="17" t="n"/>
      <c r="K191" s="17" t="n"/>
      <c r="L191" s="17" t="n"/>
    </row>
    <row r="192">
      <c r="A192" s="24">
        <f>IF($C192="","",COUNTA($C$4:$C192))</f>
        <v/>
      </c>
      <c r="B192" s="30" t="n"/>
      <c r="C192" s="17" t="n"/>
      <c r="D192" s="17" t="n"/>
      <c r="E192" s="17" t="n"/>
      <c r="F192" s="17" t="n"/>
      <c r="G192" s="31" t="n"/>
      <c r="H192" s="28">
        <f>IF($C192="","",IF($F192="CNY",汇率,1))</f>
        <v/>
      </c>
      <c r="I192" s="26">
        <f>IF($C192="","",ROUND(N($G192)*N($H192),0))</f>
        <v/>
      </c>
      <c r="J192" s="17" t="n"/>
      <c r="K192" s="17" t="n"/>
      <c r="L192" s="17" t="n"/>
    </row>
    <row r="193">
      <c r="A193" s="24">
        <f>IF($C193="","",COUNTA($C$4:$C193))</f>
        <v/>
      </c>
      <c r="B193" s="30" t="n"/>
      <c r="C193" s="17" t="n"/>
      <c r="D193" s="17" t="n"/>
      <c r="E193" s="17" t="n"/>
      <c r="F193" s="17" t="n"/>
      <c r="G193" s="31" t="n"/>
      <c r="H193" s="28">
        <f>IF($C193="","",IF($F193="CNY",汇率,1))</f>
        <v/>
      </c>
      <c r="I193" s="26">
        <f>IF($C193="","",ROUND(N($G193)*N($H193),0))</f>
        <v/>
      </c>
      <c r="J193" s="17" t="n"/>
      <c r="K193" s="17" t="n"/>
      <c r="L193" s="17" t="n"/>
    </row>
    <row r="194">
      <c r="A194" s="24">
        <f>IF($C194="","",COUNTA($C$4:$C194))</f>
        <v/>
      </c>
      <c r="B194" s="30" t="n"/>
      <c r="C194" s="17" t="n"/>
      <c r="D194" s="17" t="n"/>
      <c r="E194" s="17" t="n"/>
      <c r="F194" s="17" t="n"/>
      <c r="G194" s="31" t="n"/>
      <c r="H194" s="28">
        <f>IF($C194="","",IF($F194="CNY",汇率,1))</f>
        <v/>
      </c>
      <c r="I194" s="26">
        <f>IF($C194="","",ROUND(N($G194)*N($H194),0))</f>
        <v/>
      </c>
      <c r="J194" s="17" t="n"/>
      <c r="K194" s="17" t="n"/>
      <c r="L194" s="17" t="n"/>
    </row>
    <row r="195">
      <c r="A195" s="24">
        <f>IF($C195="","",COUNTA($C$4:$C195))</f>
        <v/>
      </c>
      <c r="B195" s="30" t="n"/>
      <c r="C195" s="17" t="n"/>
      <c r="D195" s="17" t="n"/>
      <c r="E195" s="17" t="n"/>
      <c r="F195" s="17" t="n"/>
      <c r="G195" s="31" t="n"/>
      <c r="H195" s="28">
        <f>IF($C195="","",IF($F195="CNY",汇率,1))</f>
        <v/>
      </c>
      <c r="I195" s="26">
        <f>IF($C195="","",ROUND(N($G195)*N($H195),0))</f>
        <v/>
      </c>
      <c r="J195" s="17" t="n"/>
      <c r="K195" s="17" t="n"/>
      <c r="L195" s="17" t="n"/>
    </row>
    <row r="196">
      <c r="A196" s="24">
        <f>IF($C196="","",COUNTA($C$4:$C196))</f>
        <v/>
      </c>
      <c r="B196" s="30" t="n"/>
      <c r="C196" s="17" t="n"/>
      <c r="D196" s="17" t="n"/>
      <c r="E196" s="17" t="n"/>
      <c r="F196" s="17" t="n"/>
      <c r="G196" s="31" t="n"/>
      <c r="H196" s="28">
        <f>IF($C196="","",IF($F196="CNY",汇率,1))</f>
        <v/>
      </c>
      <c r="I196" s="26">
        <f>IF($C196="","",ROUND(N($G196)*N($H196),0))</f>
        <v/>
      </c>
      <c r="J196" s="17" t="n"/>
      <c r="K196" s="17" t="n"/>
      <c r="L196" s="17" t="n"/>
    </row>
    <row r="197">
      <c r="A197" s="24">
        <f>IF($C197="","",COUNTA($C$4:$C197))</f>
        <v/>
      </c>
      <c r="B197" s="30" t="n"/>
      <c r="C197" s="17" t="n"/>
      <c r="D197" s="17" t="n"/>
      <c r="E197" s="17" t="n"/>
      <c r="F197" s="17" t="n"/>
      <c r="G197" s="31" t="n"/>
      <c r="H197" s="28">
        <f>IF($C197="","",IF($F197="CNY",汇率,1))</f>
        <v/>
      </c>
      <c r="I197" s="26">
        <f>IF($C197="","",ROUND(N($G197)*N($H197),0))</f>
        <v/>
      </c>
      <c r="J197" s="17" t="n"/>
      <c r="K197" s="17" t="n"/>
      <c r="L197" s="17" t="n"/>
    </row>
    <row r="198">
      <c r="A198" s="24">
        <f>IF($C198="","",COUNTA($C$4:$C198))</f>
        <v/>
      </c>
      <c r="B198" s="30" t="n"/>
      <c r="C198" s="17" t="n"/>
      <c r="D198" s="17" t="n"/>
      <c r="E198" s="17" t="n"/>
      <c r="F198" s="17" t="n"/>
      <c r="G198" s="31" t="n"/>
      <c r="H198" s="28">
        <f>IF($C198="","",IF($F198="CNY",汇率,1))</f>
        <v/>
      </c>
      <c r="I198" s="26">
        <f>IF($C198="","",ROUND(N($G198)*N($H198),0))</f>
        <v/>
      </c>
      <c r="J198" s="17" t="n"/>
      <c r="K198" s="17" t="n"/>
      <c r="L198" s="17" t="n"/>
    </row>
    <row r="199">
      <c r="A199" s="24">
        <f>IF($C199="","",COUNTA($C$4:$C199))</f>
        <v/>
      </c>
      <c r="B199" s="30" t="n"/>
      <c r="C199" s="17" t="n"/>
      <c r="D199" s="17" t="n"/>
      <c r="E199" s="17" t="n"/>
      <c r="F199" s="17" t="n"/>
      <c r="G199" s="31" t="n"/>
      <c r="H199" s="28">
        <f>IF($C199="","",IF($F199="CNY",汇率,1))</f>
        <v/>
      </c>
      <c r="I199" s="26">
        <f>IF($C199="","",ROUND(N($G199)*N($H199),0))</f>
        <v/>
      </c>
      <c r="J199" s="17" t="n"/>
      <c r="K199" s="17" t="n"/>
      <c r="L199" s="17" t="n"/>
    </row>
    <row r="200">
      <c r="A200" s="24">
        <f>IF($C200="","",COUNTA($C$4:$C200))</f>
        <v/>
      </c>
      <c r="B200" s="30" t="n"/>
      <c r="C200" s="17" t="n"/>
      <c r="D200" s="17" t="n"/>
      <c r="E200" s="17" t="n"/>
      <c r="F200" s="17" t="n"/>
      <c r="G200" s="31" t="n"/>
      <c r="H200" s="28">
        <f>IF($C200="","",IF($F200="CNY",汇率,1))</f>
        <v/>
      </c>
      <c r="I200" s="26">
        <f>IF($C200="","",ROUND(N($G200)*N($H200),0))</f>
        <v/>
      </c>
      <c r="J200" s="17" t="n"/>
      <c r="K200" s="17" t="n"/>
      <c r="L200" s="17" t="n"/>
    </row>
    <row r="201">
      <c r="A201" s="24">
        <f>IF($C201="","",COUNTA($C$4:$C201))</f>
        <v/>
      </c>
      <c r="B201" s="30" t="n"/>
      <c r="C201" s="17" t="n"/>
      <c r="D201" s="17" t="n"/>
      <c r="E201" s="17" t="n"/>
      <c r="F201" s="17" t="n"/>
      <c r="G201" s="31" t="n"/>
      <c r="H201" s="28">
        <f>IF($C201="","",IF($F201="CNY",汇率,1))</f>
        <v/>
      </c>
      <c r="I201" s="26">
        <f>IF($C201="","",ROUND(N($G201)*N($H201),0))</f>
        <v/>
      </c>
      <c r="J201" s="17" t="n"/>
      <c r="K201" s="17" t="n"/>
      <c r="L201" s="17" t="n"/>
    </row>
    <row r="202">
      <c r="A202" s="24">
        <f>IF($C202="","",COUNTA($C$4:$C202))</f>
        <v/>
      </c>
      <c r="B202" s="30" t="n"/>
      <c r="C202" s="17" t="n"/>
      <c r="D202" s="17" t="n"/>
      <c r="E202" s="17" t="n"/>
      <c r="F202" s="17" t="n"/>
      <c r="G202" s="31" t="n"/>
      <c r="H202" s="28">
        <f>IF($C202="","",IF($F202="CNY",汇率,1))</f>
        <v/>
      </c>
      <c r="I202" s="26">
        <f>IF($C202="","",ROUND(N($G202)*N($H202),0))</f>
        <v/>
      </c>
      <c r="J202" s="17" t="n"/>
      <c r="K202" s="17" t="n"/>
      <c r="L202" s="17" t="n"/>
    </row>
    <row r="203">
      <c r="A203" s="24">
        <f>IF($C203="","",COUNTA($C$4:$C203))</f>
        <v/>
      </c>
      <c r="B203" s="30" t="n"/>
      <c r="C203" s="17" t="n"/>
      <c r="D203" s="17" t="n"/>
      <c r="E203" s="17" t="n"/>
      <c r="F203" s="17" t="n"/>
      <c r="G203" s="31" t="n"/>
      <c r="H203" s="28">
        <f>IF($C203="","",IF($F203="CNY",汇率,1))</f>
        <v/>
      </c>
      <c r="I203" s="26">
        <f>IF($C203="","",ROUND(N($G203)*N($H203),0))</f>
        <v/>
      </c>
      <c r="J203" s="17" t="n"/>
      <c r="K203" s="17" t="n"/>
      <c r="L203" s="17" t="n"/>
    </row>
    <row r="204">
      <c r="A204" s="24">
        <f>IF($C204="","",COUNTA($C$4:$C204))</f>
        <v/>
      </c>
      <c r="B204" s="30" t="n"/>
      <c r="C204" s="17" t="n"/>
      <c r="D204" s="17" t="n"/>
      <c r="E204" s="17" t="n"/>
      <c r="F204" s="17" t="n"/>
      <c r="G204" s="31" t="n"/>
      <c r="H204" s="28">
        <f>IF($C204="","",IF($F204="CNY",汇率,1))</f>
        <v/>
      </c>
      <c r="I204" s="26">
        <f>IF($C204="","",ROUND(N($G204)*N($H204),0))</f>
        <v/>
      </c>
      <c r="J204" s="17" t="n"/>
      <c r="K204" s="17" t="n"/>
      <c r="L204" s="17" t="n"/>
    </row>
    <row r="205">
      <c r="A205" s="24">
        <f>IF($C205="","",COUNTA($C$4:$C205))</f>
        <v/>
      </c>
      <c r="B205" s="30" t="n"/>
      <c r="C205" s="17" t="n"/>
      <c r="D205" s="17" t="n"/>
      <c r="E205" s="17" t="n"/>
      <c r="F205" s="17" t="n"/>
      <c r="G205" s="31" t="n"/>
      <c r="H205" s="28">
        <f>IF($C205="","",IF($F205="CNY",汇率,1))</f>
        <v/>
      </c>
      <c r="I205" s="26">
        <f>IF($C205="","",ROUND(N($G205)*N($H205),0))</f>
        <v/>
      </c>
      <c r="J205" s="17" t="n"/>
      <c r="K205" s="17" t="n"/>
      <c r="L205" s="17" t="n"/>
    </row>
    <row r="206">
      <c r="A206" s="24">
        <f>IF($C206="","",COUNTA($C$4:$C206))</f>
        <v/>
      </c>
      <c r="B206" s="30" t="n"/>
      <c r="C206" s="17" t="n"/>
      <c r="D206" s="17" t="n"/>
      <c r="E206" s="17" t="n"/>
      <c r="F206" s="17" t="n"/>
      <c r="G206" s="31" t="n"/>
      <c r="H206" s="28">
        <f>IF($C206="","",IF($F206="CNY",汇率,1))</f>
        <v/>
      </c>
      <c r="I206" s="26">
        <f>IF($C206="","",ROUND(N($G206)*N($H206),0))</f>
        <v/>
      </c>
      <c r="J206" s="17" t="n"/>
      <c r="K206" s="17" t="n"/>
      <c r="L206" s="17" t="n"/>
    </row>
    <row r="207">
      <c r="A207" s="24">
        <f>IF($C207="","",COUNTA($C$4:$C207))</f>
        <v/>
      </c>
      <c r="B207" s="30" t="n"/>
      <c r="C207" s="17" t="n"/>
      <c r="D207" s="17" t="n"/>
      <c r="E207" s="17" t="n"/>
      <c r="F207" s="17" t="n"/>
      <c r="G207" s="31" t="n"/>
      <c r="H207" s="28">
        <f>IF($C207="","",IF($F207="CNY",汇率,1))</f>
        <v/>
      </c>
      <c r="I207" s="26">
        <f>IF($C207="","",ROUND(N($G207)*N($H207),0))</f>
        <v/>
      </c>
      <c r="J207" s="17" t="n"/>
      <c r="K207" s="17" t="n"/>
      <c r="L207" s="17" t="n"/>
    </row>
    <row r="208">
      <c r="A208" s="24">
        <f>IF($C208="","",COUNTA($C$4:$C208))</f>
        <v/>
      </c>
      <c r="B208" s="30" t="n"/>
      <c r="C208" s="17" t="n"/>
      <c r="D208" s="17" t="n"/>
      <c r="E208" s="17" t="n"/>
      <c r="F208" s="17" t="n"/>
      <c r="G208" s="31" t="n"/>
      <c r="H208" s="28">
        <f>IF($C208="","",IF($F208="CNY",汇率,1))</f>
        <v/>
      </c>
      <c r="I208" s="26">
        <f>IF($C208="","",ROUND(N($G208)*N($H208),0))</f>
        <v/>
      </c>
      <c r="J208" s="17" t="n"/>
      <c r="K208" s="17" t="n"/>
      <c r="L208" s="17" t="n"/>
    </row>
    <row r="209">
      <c r="A209" s="24">
        <f>IF($C209="","",COUNTA($C$4:$C209))</f>
        <v/>
      </c>
      <c r="B209" s="30" t="n"/>
      <c r="C209" s="17" t="n"/>
      <c r="D209" s="17" t="n"/>
      <c r="E209" s="17" t="n"/>
      <c r="F209" s="17" t="n"/>
      <c r="G209" s="31" t="n"/>
      <c r="H209" s="28">
        <f>IF($C209="","",IF($F209="CNY",汇率,1))</f>
        <v/>
      </c>
      <c r="I209" s="26">
        <f>IF($C209="","",ROUND(N($G209)*N($H209),0))</f>
        <v/>
      </c>
      <c r="J209" s="17" t="n"/>
      <c r="K209" s="17" t="n"/>
      <c r="L209" s="17" t="n"/>
    </row>
    <row r="210">
      <c r="A210" s="24">
        <f>IF($C210="","",COUNTA($C$4:$C210))</f>
        <v/>
      </c>
      <c r="B210" s="30" t="n"/>
      <c r="C210" s="17" t="n"/>
      <c r="D210" s="17" t="n"/>
      <c r="E210" s="17" t="n"/>
      <c r="F210" s="17" t="n"/>
      <c r="G210" s="31" t="n"/>
      <c r="H210" s="28">
        <f>IF($C210="","",IF($F210="CNY",汇率,1))</f>
        <v/>
      </c>
      <c r="I210" s="26">
        <f>IF($C210="","",ROUND(N($G210)*N($H210),0))</f>
        <v/>
      </c>
      <c r="J210" s="17" t="n"/>
      <c r="K210" s="17" t="n"/>
      <c r="L210" s="17" t="n"/>
    </row>
    <row r="211">
      <c r="A211" s="24">
        <f>IF($C211="","",COUNTA($C$4:$C211))</f>
        <v/>
      </c>
      <c r="B211" s="30" t="n"/>
      <c r="C211" s="17" t="n"/>
      <c r="D211" s="17" t="n"/>
      <c r="E211" s="17" t="n"/>
      <c r="F211" s="17" t="n"/>
      <c r="G211" s="31" t="n"/>
      <c r="H211" s="28">
        <f>IF($C211="","",IF($F211="CNY",汇率,1))</f>
        <v/>
      </c>
      <c r="I211" s="26">
        <f>IF($C211="","",ROUND(N($G211)*N($H211),0))</f>
        <v/>
      </c>
      <c r="J211" s="17" t="n"/>
      <c r="K211" s="17" t="n"/>
      <c r="L211" s="17" t="n"/>
    </row>
    <row r="212">
      <c r="A212" s="24">
        <f>IF($C212="","",COUNTA($C$4:$C212))</f>
        <v/>
      </c>
      <c r="B212" s="30" t="n"/>
      <c r="C212" s="17" t="n"/>
      <c r="D212" s="17" t="n"/>
      <c r="E212" s="17" t="n"/>
      <c r="F212" s="17" t="n"/>
      <c r="G212" s="31" t="n"/>
      <c r="H212" s="28">
        <f>IF($C212="","",IF($F212="CNY",汇率,1))</f>
        <v/>
      </c>
      <c r="I212" s="26">
        <f>IF($C212="","",ROUND(N($G212)*N($H212),0))</f>
        <v/>
      </c>
      <c r="J212" s="17" t="n"/>
      <c r="K212" s="17" t="n"/>
      <c r="L212" s="17" t="n"/>
    </row>
    <row r="213">
      <c r="A213" s="24">
        <f>IF($C213="","",COUNTA($C$4:$C213))</f>
        <v/>
      </c>
      <c r="B213" s="30" t="n"/>
      <c r="C213" s="17" t="n"/>
      <c r="D213" s="17" t="n"/>
      <c r="E213" s="17" t="n"/>
      <c r="F213" s="17" t="n"/>
      <c r="G213" s="31" t="n"/>
      <c r="H213" s="28">
        <f>IF($C213="","",IF($F213="CNY",汇率,1))</f>
        <v/>
      </c>
      <c r="I213" s="26">
        <f>IF($C213="","",ROUND(N($G213)*N($H213),0))</f>
        <v/>
      </c>
      <c r="J213" s="17" t="n"/>
      <c r="K213" s="17" t="n"/>
      <c r="L213" s="17" t="n"/>
    </row>
    <row r="214">
      <c r="A214" s="24">
        <f>IF($C214="","",COUNTA($C$4:$C214))</f>
        <v/>
      </c>
      <c r="B214" s="30" t="n"/>
      <c r="C214" s="17" t="n"/>
      <c r="D214" s="17" t="n"/>
      <c r="E214" s="17" t="n"/>
      <c r="F214" s="17" t="n"/>
      <c r="G214" s="31" t="n"/>
      <c r="H214" s="28">
        <f>IF($C214="","",IF($F214="CNY",汇率,1))</f>
        <v/>
      </c>
      <c r="I214" s="26">
        <f>IF($C214="","",ROUND(N($G214)*N($H214),0))</f>
        <v/>
      </c>
      <c r="J214" s="17" t="n"/>
      <c r="K214" s="17" t="n"/>
      <c r="L214" s="17" t="n"/>
    </row>
    <row r="215">
      <c r="A215" s="24">
        <f>IF($C215="","",COUNTA($C$4:$C215))</f>
        <v/>
      </c>
      <c r="B215" s="30" t="n"/>
      <c r="C215" s="17" t="n"/>
      <c r="D215" s="17" t="n"/>
      <c r="E215" s="17" t="n"/>
      <c r="F215" s="17" t="n"/>
      <c r="G215" s="31" t="n"/>
      <c r="H215" s="28">
        <f>IF($C215="","",IF($F215="CNY",汇率,1))</f>
        <v/>
      </c>
      <c r="I215" s="26">
        <f>IF($C215="","",ROUND(N($G215)*N($H215),0))</f>
        <v/>
      </c>
      <c r="J215" s="17" t="n"/>
      <c r="K215" s="17" t="n"/>
      <c r="L215" s="17" t="n"/>
    </row>
    <row r="216">
      <c r="A216" s="24">
        <f>IF($C216="","",COUNTA($C$4:$C216))</f>
        <v/>
      </c>
      <c r="B216" s="30" t="n"/>
      <c r="C216" s="17" t="n"/>
      <c r="D216" s="17" t="n"/>
      <c r="E216" s="17" t="n"/>
      <c r="F216" s="17" t="n"/>
      <c r="G216" s="31" t="n"/>
      <c r="H216" s="28">
        <f>IF($C216="","",IF($F216="CNY",汇率,1))</f>
        <v/>
      </c>
      <c r="I216" s="26">
        <f>IF($C216="","",ROUND(N($G216)*N($H216),0))</f>
        <v/>
      </c>
      <c r="J216" s="17" t="n"/>
      <c r="K216" s="17" t="n"/>
      <c r="L216" s="17" t="n"/>
    </row>
    <row r="217">
      <c r="A217" s="24">
        <f>IF($C217="","",COUNTA($C$4:$C217))</f>
        <v/>
      </c>
      <c r="B217" s="30" t="n"/>
      <c r="C217" s="17" t="n"/>
      <c r="D217" s="17" t="n"/>
      <c r="E217" s="17" t="n"/>
      <c r="F217" s="17" t="n"/>
      <c r="G217" s="31" t="n"/>
      <c r="H217" s="28">
        <f>IF($C217="","",IF($F217="CNY",汇率,1))</f>
        <v/>
      </c>
      <c r="I217" s="26">
        <f>IF($C217="","",ROUND(N($G217)*N($H217),0))</f>
        <v/>
      </c>
      <c r="J217" s="17" t="n"/>
      <c r="K217" s="17" t="n"/>
      <c r="L217" s="17" t="n"/>
    </row>
    <row r="218">
      <c r="A218" s="24">
        <f>IF($C218="","",COUNTA($C$4:$C218))</f>
        <v/>
      </c>
      <c r="B218" s="30" t="n"/>
      <c r="C218" s="17" t="n"/>
      <c r="D218" s="17" t="n"/>
      <c r="E218" s="17" t="n"/>
      <c r="F218" s="17" t="n"/>
      <c r="G218" s="31" t="n"/>
      <c r="H218" s="28">
        <f>IF($C218="","",IF($F218="CNY",汇率,1))</f>
        <v/>
      </c>
      <c r="I218" s="26">
        <f>IF($C218="","",ROUND(N($G218)*N($H218),0))</f>
        <v/>
      </c>
      <c r="J218" s="17" t="n"/>
      <c r="K218" s="17" t="n"/>
      <c r="L218" s="17" t="n"/>
    </row>
    <row r="219">
      <c r="A219" s="24">
        <f>IF($C219="","",COUNTA($C$4:$C219))</f>
        <v/>
      </c>
      <c r="B219" s="30" t="n"/>
      <c r="C219" s="17" t="n"/>
      <c r="D219" s="17" t="n"/>
      <c r="E219" s="17" t="n"/>
      <c r="F219" s="17" t="n"/>
      <c r="G219" s="31" t="n"/>
      <c r="H219" s="28">
        <f>IF($C219="","",IF($F219="CNY",汇率,1))</f>
        <v/>
      </c>
      <c r="I219" s="26">
        <f>IF($C219="","",ROUND(N($G219)*N($H219),0))</f>
        <v/>
      </c>
      <c r="J219" s="17" t="n"/>
      <c r="K219" s="17" t="n"/>
      <c r="L219" s="17" t="n"/>
    </row>
    <row r="220">
      <c r="A220" s="24">
        <f>IF($C220="","",COUNTA($C$4:$C220))</f>
        <v/>
      </c>
      <c r="B220" s="30" t="n"/>
      <c r="C220" s="17" t="n"/>
      <c r="D220" s="17" t="n"/>
      <c r="E220" s="17" t="n"/>
      <c r="F220" s="17" t="n"/>
      <c r="G220" s="31" t="n"/>
      <c r="H220" s="28">
        <f>IF($C220="","",IF($F220="CNY",汇率,1))</f>
        <v/>
      </c>
      <c r="I220" s="26">
        <f>IF($C220="","",ROUND(N($G220)*N($H220),0))</f>
        <v/>
      </c>
      <c r="J220" s="17" t="n"/>
      <c r="K220" s="17" t="n"/>
      <c r="L220" s="17" t="n"/>
    </row>
    <row r="221">
      <c r="A221" s="24">
        <f>IF($C221="","",COUNTA($C$4:$C221))</f>
        <v/>
      </c>
      <c r="B221" s="30" t="n"/>
      <c r="C221" s="17" t="n"/>
      <c r="D221" s="17" t="n"/>
      <c r="E221" s="17" t="n"/>
      <c r="F221" s="17" t="n"/>
      <c r="G221" s="31" t="n"/>
      <c r="H221" s="28">
        <f>IF($C221="","",IF($F221="CNY",汇率,1))</f>
        <v/>
      </c>
      <c r="I221" s="26">
        <f>IF($C221="","",ROUND(N($G221)*N($H221),0))</f>
        <v/>
      </c>
      <c r="J221" s="17" t="n"/>
      <c r="K221" s="17" t="n"/>
      <c r="L221" s="17" t="n"/>
    </row>
    <row r="222">
      <c r="A222" s="24">
        <f>IF($C222="","",COUNTA($C$4:$C222))</f>
        <v/>
      </c>
      <c r="B222" s="30" t="n"/>
      <c r="C222" s="17" t="n"/>
      <c r="D222" s="17" t="n"/>
      <c r="E222" s="17" t="n"/>
      <c r="F222" s="17" t="n"/>
      <c r="G222" s="31" t="n"/>
      <c r="H222" s="28">
        <f>IF($C222="","",IF($F222="CNY",汇率,1))</f>
        <v/>
      </c>
      <c r="I222" s="26">
        <f>IF($C222="","",ROUND(N($G222)*N($H222),0))</f>
        <v/>
      </c>
      <c r="J222" s="17" t="n"/>
      <c r="K222" s="17" t="n"/>
      <c r="L222" s="17" t="n"/>
    </row>
    <row r="223">
      <c r="A223" s="24">
        <f>IF($C223="","",COUNTA($C$4:$C223))</f>
        <v/>
      </c>
      <c r="B223" s="30" t="n"/>
      <c r="C223" s="17" t="n"/>
      <c r="D223" s="17" t="n"/>
      <c r="E223" s="17" t="n"/>
      <c r="F223" s="17" t="n"/>
      <c r="G223" s="31" t="n"/>
      <c r="H223" s="28">
        <f>IF($C223="","",IF($F223="CNY",汇率,1))</f>
        <v/>
      </c>
      <c r="I223" s="26">
        <f>IF($C223="","",ROUND(N($G223)*N($H223),0))</f>
        <v/>
      </c>
      <c r="J223" s="17" t="n"/>
      <c r="K223" s="17" t="n"/>
      <c r="L223" s="17" t="n"/>
    </row>
    <row r="224">
      <c r="A224" s="24">
        <f>IF($C224="","",COUNTA($C$4:$C224))</f>
        <v/>
      </c>
      <c r="B224" s="30" t="n"/>
      <c r="C224" s="17" t="n"/>
      <c r="D224" s="17" t="n"/>
      <c r="E224" s="17" t="n"/>
      <c r="F224" s="17" t="n"/>
      <c r="G224" s="31" t="n"/>
      <c r="H224" s="28">
        <f>IF($C224="","",IF($F224="CNY",汇率,1))</f>
        <v/>
      </c>
      <c r="I224" s="26">
        <f>IF($C224="","",ROUND(N($G224)*N($H224),0))</f>
        <v/>
      </c>
      <c r="J224" s="17" t="n"/>
      <c r="K224" s="17" t="n"/>
      <c r="L224" s="17" t="n"/>
    </row>
    <row r="225">
      <c r="A225" s="24">
        <f>IF($C225="","",COUNTA($C$4:$C225))</f>
        <v/>
      </c>
      <c r="B225" s="30" t="n"/>
      <c r="C225" s="17" t="n"/>
      <c r="D225" s="17" t="n"/>
      <c r="E225" s="17" t="n"/>
      <c r="F225" s="17" t="n"/>
      <c r="G225" s="31" t="n"/>
      <c r="H225" s="28">
        <f>IF($C225="","",IF($F225="CNY",汇率,1))</f>
        <v/>
      </c>
      <c r="I225" s="26">
        <f>IF($C225="","",ROUND(N($G225)*N($H225),0))</f>
        <v/>
      </c>
      <c r="J225" s="17" t="n"/>
      <c r="K225" s="17" t="n"/>
      <c r="L225" s="17" t="n"/>
    </row>
    <row r="226">
      <c r="A226" s="24">
        <f>IF($C226="","",COUNTA($C$4:$C226))</f>
        <v/>
      </c>
      <c r="B226" s="30" t="n"/>
      <c r="C226" s="17" t="n"/>
      <c r="D226" s="17" t="n"/>
      <c r="E226" s="17" t="n"/>
      <c r="F226" s="17" t="n"/>
      <c r="G226" s="31" t="n"/>
      <c r="H226" s="28">
        <f>IF($C226="","",IF($F226="CNY",汇率,1))</f>
        <v/>
      </c>
      <c r="I226" s="26">
        <f>IF($C226="","",ROUND(N($G226)*N($H226),0))</f>
        <v/>
      </c>
      <c r="J226" s="17" t="n"/>
      <c r="K226" s="17" t="n"/>
      <c r="L226" s="17" t="n"/>
    </row>
    <row r="227">
      <c r="A227" s="24">
        <f>IF($C227="","",COUNTA($C$4:$C227))</f>
        <v/>
      </c>
      <c r="B227" s="30" t="n"/>
      <c r="C227" s="17" t="n"/>
      <c r="D227" s="17" t="n"/>
      <c r="E227" s="17" t="n"/>
      <c r="F227" s="17" t="n"/>
      <c r="G227" s="31" t="n"/>
      <c r="H227" s="28">
        <f>IF($C227="","",IF($F227="CNY",汇率,1))</f>
        <v/>
      </c>
      <c r="I227" s="26">
        <f>IF($C227="","",ROUND(N($G227)*N($H227),0))</f>
        <v/>
      </c>
      <c r="J227" s="17" t="n"/>
      <c r="K227" s="17" t="n"/>
      <c r="L227" s="17" t="n"/>
    </row>
    <row r="228">
      <c r="A228" s="24">
        <f>IF($C228="","",COUNTA($C$4:$C228))</f>
        <v/>
      </c>
      <c r="B228" s="30" t="n"/>
      <c r="C228" s="17" t="n"/>
      <c r="D228" s="17" t="n"/>
      <c r="E228" s="17" t="n"/>
      <c r="F228" s="17" t="n"/>
      <c r="G228" s="31" t="n"/>
      <c r="H228" s="28">
        <f>IF($C228="","",IF($F228="CNY",汇率,1))</f>
        <v/>
      </c>
      <c r="I228" s="26">
        <f>IF($C228="","",ROUND(N($G228)*N($H228),0))</f>
        <v/>
      </c>
      <c r="J228" s="17" t="n"/>
      <c r="K228" s="17" t="n"/>
      <c r="L228" s="17" t="n"/>
    </row>
    <row r="229">
      <c r="A229" s="24">
        <f>IF($C229="","",COUNTA($C$4:$C229))</f>
        <v/>
      </c>
      <c r="B229" s="30" t="n"/>
      <c r="C229" s="17" t="n"/>
      <c r="D229" s="17" t="n"/>
      <c r="E229" s="17" t="n"/>
      <c r="F229" s="17" t="n"/>
      <c r="G229" s="31" t="n"/>
      <c r="H229" s="28">
        <f>IF($C229="","",IF($F229="CNY",汇率,1))</f>
        <v/>
      </c>
      <c r="I229" s="26">
        <f>IF($C229="","",ROUND(N($G229)*N($H229),0))</f>
        <v/>
      </c>
      <c r="J229" s="17" t="n"/>
      <c r="K229" s="17" t="n"/>
      <c r="L229" s="17" t="n"/>
    </row>
    <row r="230">
      <c r="A230" s="24">
        <f>IF($C230="","",COUNTA($C$4:$C230))</f>
        <v/>
      </c>
      <c r="B230" s="30" t="n"/>
      <c r="C230" s="17" t="n"/>
      <c r="D230" s="17" t="n"/>
      <c r="E230" s="17" t="n"/>
      <c r="F230" s="17" t="n"/>
      <c r="G230" s="31" t="n"/>
      <c r="H230" s="28">
        <f>IF($C230="","",IF($F230="CNY",汇率,1))</f>
        <v/>
      </c>
      <c r="I230" s="26">
        <f>IF($C230="","",ROUND(N($G230)*N($H230),0))</f>
        <v/>
      </c>
      <c r="J230" s="17" t="n"/>
      <c r="K230" s="17" t="n"/>
      <c r="L230" s="17" t="n"/>
    </row>
    <row r="231">
      <c r="A231" s="24">
        <f>IF($C231="","",COUNTA($C$4:$C231))</f>
        <v/>
      </c>
      <c r="B231" s="30" t="n"/>
      <c r="C231" s="17" t="n"/>
      <c r="D231" s="17" t="n"/>
      <c r="E231" s="17" t="n"/>
      <c r="F231" s="17" t="n"/>
      <c r="G231" s="31" t="n"/>
      <c r="H231" s="28">
        <f>IF($C231="","",IF($F231="CNY",汇率,1))</f>
        <v/>
      </c>
      <c r="I231" s="26">
        <f>IF($C231="","",ROUND(N($G231)*N($H231),0))</f>
        <v/>
      </c>
      <c r="J231" s="17" t="n"/>
      <c r="K231" s="17" t="n"/>
      <c r="L231" s="17" t="n"/>
    </row>
    <row r="232">
      <c r="A232" s="24">
        <f>IF($C232="","",COUNTA($C$4:$C232))</f>
        <v/>
      </c>
      <c r="B232" s="30" t="n"/>
      <c r="C232" s="17" t="n"/>
      <c r="D232" s="17" t="n"/>
      <c r="E232" s="17" t="n"/>
      <c r="F232" s="17" t="n"/>
      <c r="G232" s="31" t="n"/>
      <c r="H232" s="28">
        <f>IF($C232="","",IF($F232="CNY",汇率,1))</f>
        <v/>
      </c>
      <c r="I232" s="26">
        <f>IF($C232="","",ROUND(N($G232)*N($H232),0))</f>
        <v/>
      </c>
      <c r="J232" s="17" t="n"/>
      <c r="K232" s="17" t="n"/>
      <c r="L232" s="17" t="n"/>
    </row>
    <row r="233">
      <c r="A233" s="24">
        <f>IF($C233="","",COUNTA($C$4:$C233))</f>
        <v/>
      </c>
      <c r="B233" s="30" t="n"/>
      <c r="C233" s="17" t="n"/>
      <c r="D233" s="17" t="n"/>
      <c r="E233" s="17" t="n"/>
      <c r="F233" s="17" t="n"/>
      <c r="G233" s="31" t="n"/>
      <c r="H233" s="28">
        <f>IF($C233="","",IF($F233="CNY",汇率,1))</f>
        <v/>
      </c>
      <c r="I233" s="26">
        <f>IF($C233="","",ROUND(N($G233)*N($H233),0))</f>
        <v/>
      </c>
      <c r="J233" s="17" t="n"/>
      <c r="K233" s="17" t="n"/>
      <c r="L233" s="17" t="n"/>
    </row>
    <row r="234">
      <c r="A234" s="24">
        <f>IF($C234="","",COUNTA($C$4:$C234))</f>
        <v/>
      </c>
      <c r="B234" s="30" t="n"/>
      <c r="C234" s="17" t="n"/>
      <c r="D234" s="17" t="n"/>
      <c r="E234" s="17" t="n"/>
      <c r="F234" s="17" t="n"/>
      <c r="G234" s="31" t="n"/>
      <c r="H234" s="28">
        <f>IF($C234="","",IF($F234="CNY",汇率,1))</f>
        <v/>
      </c>
      <c r="I234" s="26">
        <f>IF($C234="","",ROUND(N($G234)*N($H234),0))</f>
        <v/>
      </c>
      <c r="J234" s="17" t="n"/>
      <c r="K234" s="17" t="n"/>
      <c r="L234" s="17" t="n"/>
    </row>
    <row r="235">
      <c r="A235" s="24">
        <f>IF($C235="","",COUNTA($C$4:$C235))</f>
        <v/>
      </c>
      <c r="B235" s="30" t="n"/>
      <c r="C235" s="17" t="n"/>
      <c r="D235" s="17" t="n"/>
      <c r="E235" s="17" t="n"/>
      <c r="F235" s="17" t="n"/>
      <c r="G235" s="31" t="n"/>
      <c r="H235" s="28">
        <f>IF($C235="","",IF($F235="CNY",汇率,1))</f>
        <v/>
      </c>
      <c r="I235" s="26">
        <f>IF($C235="","",ROUND(N($G235)*N($H235),0))</f>
        <v/>
      </c>
      <c r="J235" s="17" t="n"/>
      <c r="K235" s="17" t="n"/>
      <c r="L235" s="17" t="n"/>
    </row>
    <row r="236">
      <c r="A236" s="24">
        <f>IF($C236="","",COUNTA($C$4:$C236))</f>
        <v/>
      </c>
      <c r="B236" s="30" t="n"/>
      <c r="C236" s="17" t="n"/>
      <c r="D236" s="17" t="n"/>
      <c r="E236" s="17" t="n"/>
      <c r="F236" s="17" t="n"/>
      <c r="G236" s="31" t="n"/>
      <c r="H236" s="28">
        <f>IF($C236="","",IF($F236="CNY",汇率,1))</f>
        <v/>
      </c>
      <c r="I236" s="26">
        <f>IF($C236="","",ROUND(N($G236)*N($H236),0))</f>
        <v/>
      </c>
      <c r="J236" s="17" t="n"/>
      <c r="K236" s="17" t="n"/>
      <c r="L236" s="17" t="n"/>
    </row>
    <row r="237">
      <c r="A237" s="24">
        <f>IF($C237="","",COUNTA($C$4:$C237))</f>
        <v/>
      </c>
      <c r="B237" s="30" t="n"/>
      <c r="C237" s="17" t="n"/>
      <c r="D237" s="17" t="n"/>
      <c r="E237" s="17" t="n"/>
      <c r="F237" s="17" t="n"/>
      <c r="G237" s="31" t="n"/>
      <c r="H237" s="28">
        <f>IF($C237="","",IF($F237="CNY",汇率,1))</f>
        <v/>
      </c>
      <c r="I237" s="26">
        <f>IF($C237="","",ROUND(N($G237)*N($H237),0))</f>
        <v/>
      </c>
      <c r="J237" s="17" t="n"/>
      <c r="K237" s="17" t="n"/>
      <c r="L237" s="17" t="n"/>
    </row>
    <row r="238">
      <c r="A238" s="24">
        <f>IF($C238="","",COUNTA($C$4:$C238))</f>
        <v/>
      </c>
      <c r="B238" s="30" t="n"/>
      <c r="C238" s="17" t="n"/>
      <c r="D238" s="17" t="n"/>
      <c r="E238" s="17" t="n"/>
      <c r="F238" s="17" t="n"/>
      <c r="G238" s="31" t="n"/>
      <c r="H238" s="28">
        <f>IF($C238="","",IF($F238="CNY",汇率,1))</f>
        <v/>
      </c>
      <c r="I238" s="26">
        <f>IF($C238="","",ROUND(N($G238)*N($H238),0))</f>
        <v/>
      </c>
      <c r="J238" s="17" t="n"/>
      <c r="K238" s="17" t="n"/>
      <c r="L238" s="17" t="n"/>
    </row>
    <row r="239">
      <c r="A239" s="24">
        <f>IF($C239="","",COUNTA($C$4:$C239))</f>
        <v/>
      </c>
      <c r="B239" s="30" t="n"/>
      <c r="C239" s="17" t="n"/>
      <c r="D239" s="17" t="n"/>
      <c r="E239" s="17" t="n"/>
      <c r="F239" s="17" t="n"/>
      <c r="G239" s="31" t="n"/>
      <c r="H239" s="28">
        <f>IF($C239="","",IF($F239="CNY",汇率,1))</f>
        <v/>
      </c>
      <c r="I239" s="26">
        <f>IF($C239="","",ROUND(N($G239)*N($H239),0))</f>
        <v/>
      </c>
      <c r="J239" s="17" t="n"/>
      <c r="K239" s="17" t="n"/>
      <c r="L239" s="17" t="n"/>
    </row>
    <row r="240">
      <c r="A240" s="24">
        <f>IF($C240="","",COUNTA($C$4:$C240))</f>
        <v/>
      </c>
      <c r="B240" s="30" t="n"/>
      <c r="C240" s="17" t="n"/>
      <c r="D240" s="17" t="n"/>
      <c r="E240" s="17" t="n"/>
      <c r="F240" s="17" t="n"/>
      <c r="G240" s="31" t="n"/>
      <c r="H240" s="28">
        <f>IF($C240="","",IF($F240="CNY",汇率,1))</f>
        <v/>
      </c>
      <c r="I240" s="26">
        <f>IF($C240="","",ROUND(N($G240)*N($H240),0))</f>
        <v/>
      </c>
      <c r="J240" s="17" t="n"/>
      <c r="K240" s="17" t="n"/>
      <c r="L240" s="17" t="n"/>
    </row>
    <row r="241">
      <c r="A241" s="24">
        <f>IF($C241="","",COUNTA($C$4:$C241))</f>
        <v/>
      </c>
      <c r="B241" s="30" t="n"/>
      <c r="C241" s="17" t="n"/>
      <c r="D241" s="17" t="n"/>
      <c r="E241" s="17" t="n"/>
      <c r="F241" s="17" t="n"/>
      <c r="G241" s="31" t="n"/>
      <c r="H241" s="28">
        <f>IF($C241="","",IF($F241="CNY",汇率,1))</f>
        <v/>
      </c>
      <c r="I241" s="26">
        <f>IF($C241="","",ROUND(N($G241)*N($H241),0))</f>
        <v/>
      </c>
      <c r="J241" s="17" t="n"/>
      <c r="K241" s="17" t="n"/>
      <c r="L241" s="17" t="n"/>
    </row>
    <row r="242">
      <c r="A242" s="24">
        <f>IF($C242="","",COUNTA($C$4:$C242))</f>
        <v/>
      </c>
      <c r="B242" s="30" t="n"/>
      <c r="C242" s="17" t="n"/>
      <c r="D242" s="17" t="n"/>
      <c r="E242" s="17" t="n"/>
      <c r="F242" s="17" t="n"/>
      <c r="G242" s="31" t="n"/>
      <c r="H242" s="28">
        <f>IF($C242="","",IF($F242="CNY",汇率,1))</f>
        <v/>
      </c>
      <c r="I242" s="26">
        <f>IF($C242="","",ROUND(N($G242)*N($H242),0))</f>
        <v/>
      </c>
      <c r="J242" s="17" t="n"/>
      <c r="K242" s="17" t="n"/>
      <c r="L242" s="17" t="n"/>
    </row>
    <row r="243">
      <c r="A243" s="24">
        <f>IF($C243="","",COUNTA($C$4:$C243))</f>
        <v/>
      </c>
      <c r="B243" s="30" t="n"/>
      <c r="C243" s="17" t="n"/>
      <c r="D243" s="17" t="n"/>
      <c r="E243" s="17" t="n"/>
      <c r="F243" s="17" t="n"/>
      <c r="G243" s="31" t="n"/>
      <c r="H243" s="28">
        <f>IF($C243="","",IF($F243="CNY",汇率,1))</f>
        <v/>
      </c>
      <c r="I243" s="26">
        <f>IF($C243="","",ROUND(N($G243)*N($H243),0))</f>
        <v/>
      </c>
      <c r="J243" s="17" t="n"/>
      <c r="K243" s="17" t="n"/>
      <c r="L243" s="17" t="n"/>
    </row>
    <row r="244">
      <c r="A244" s="24">
        <f>IF($C244="","",COUNTA($C$4:$C244))</f>
        <v/>
      </c>
      <c r="B244" s="30" t="n"/>
      <c r="C244" s="17" t="n"/>
      <c r="D244" s="17" t="n"/>
      <c r="E244" s="17" t="n"/>
      <c r="F244" s="17" t="n"/>
      <c r="G244" s="31" t="n"/>
      <c r="H244" s="28">
        <f>IF($C244="","",IF($F244="CNY",汇率,1))</f>
        <v/>
      </c>
      <c r="I244" s="26">
        <f>IF($C244="","",ROUND(N($G244)*N($H244),0))</f>
        <v/>
      </c>
      <c r="J244" s="17" t="n"/>
      <c r="K244" s="17" t="n"/>
      <c r="L244" s="17" t="n"/>
    </row>
    <row r="245">
      <c r="A245" s="24">
        <f>IF($C245="","",COUNTA($C$4:$C245))</f>
        <v/>
      </c>
      <c r="B245" s="30" t="n"/>
      <c r="C245" s="17" t="n"/>
      <c r="D245" s="17" t="n"/>
      <c r="E245" s="17" t="n"/>
      <c r="F245" s="17" t="n"/>
      <c r="G245" s="31" t="n"/>
      <c r="H245" s="28">
        <f>IF($C245="","",IF($F245="CNY",汇率,1))</f>
        <v/>
      </c>
      <c r="I245" s="26">
        <f>IF($C245="","",ROUND(N($G245)*N($H245),0))</f>
        <v/>
      </c>
      <c r="J245" s="17" t="n"/>
      <c r="K245" s="17" t="n"/>
      <c r="L245" s="17" t="n"/>
    </row>
    <row r="246">
      <c r="A246" s="24">
        <f>IF($C246="","",COUNTA($C$4:$C246))</f>
        <v/>
      </c>
      <c r="B246" s="30" t="n"/>
      <c r="C246" s="17" t="n"/>
      <c r="D246" s="17" t="n"/>
      <c r="E246" s="17" t="n"/>
      <c r="F246" s="17" t="n"/>
      <c r="G246" s="31" t="n"/>
      <c r="H246" s="28">
        <f>IF($C246="","",IF($F246="CNY",汇率,1))</f>
        <v/>
      </c>
      <c r="I246" s="26">
        <f>IF($C246="","",ROUND(N($G246)*N($H246),0))</f>
        <v/>
      </c>
      <c r="J246" s="17" t="n"/>
      <c r="K246" s="17" t="n"/>
      <c r="L246" s="17" t="n"/>
    </row>
    <row r="247">
      <c r="A247" s="24">
        <f>IF($C247="","",COUNTA($C$4:$C247))</f>
        <v/>
      </c>
      <c r="B247" s="30" t="n"/>
      <c r="C247" s="17" t="n"/>
      <c r="D247" s="17" t="n"/>
      <c r="E247" s="17" t="n"/>
      <c r="F247" s="17" t="n"/>
      <c r="G247" s="31" t="n"/>
      <c r="H247" s="28">
        <f>IF($C247="","",IF($F247="CNY",汇率,1))</f>
        <v/>
      </c>
      <c r="I247" s="26">
        <f>IF($C247="","",ROUND(N($G247)*N($H247),0))</f>
        <v/>
      </c>
      <c r="J247" s="17" t="n"/>
      <c r="K247" s="17" t="n"/>
      <c r="L247" s="17" t="n"/>
    </row>
    <row r="248">
      <c r="A248" s="24">
        <f>IF($C248="","",COUNTA($C$4:$C248))</f>
        <v/>
      </c>
      <c r="B248" s="30" t="n"/>
      <c r="C248" s="17" t="n"/>
      <c r="D248" s="17" t="n"/>
      <c r="E248" s="17" t="n"/>
      <c r="F248" s="17" t="n"/>
      <c r="G248" s="31" t="n"/>
      <c r="H248" s="28">
        <f>IF($C248="","",IF($F248="CNY",汇率,1))</f>
        <v/>
      </c>
      <c r="I248" s="26">
        <f>IF($C248="","",ROUND(N($G248)*N($H248),0))</f>
        <v/>
      </c>
      <c r="J248" s="17" t="n"/>
      <c r="K248" s="17" t="n"/>
      <c r="L248" s="17" t="n"/>
    </row>
    <row r="249">
      <c r="A249" s="24">
        <f>IF($C249="","",COUNTA($C$4:$C249))</f>
        <v/>
      </c>
      <c r="B249" s="30" t="n"/>
      <c r="C249" s="17" t="n"/>
      <c r="D249" s="17" t="n"/>
      <c r="E249" s="17" t="n"/>
      <c r="F249" s="17" t="n"/>
      <c r="G249" s="31" t="n"/>
      <c r="H249" s="28">
        <f>IF($C249="","",IF($F249="CNY",汇率,1))</f>
        <v/>
      </c>
      <c r="I249" s="26">
        <f>IF($C249="","",ROUND(N($G249)*N($H249),0))</f>
        <v/>
      </c>
      <c r="J249" s="17" t="n"/>
      <c r="K249" s="17" t="n"/>
      <c r="L249" s="17" t="n"/>
    </row>
    <row r="250">
      <c r="A250" s="24">
        <f>IF($C250="","",COUNTA($C$4:$C250))</f>
        <v/>
      </c>
      <c r="B250" s="30" t="n"/>
      <c r="C250" s="17" t="n"/>
      <c r="D250" s="17" t="n"/>
      <c r="E250" s="17" t="n"/>
      <c r="F250" s="17" t="n"/>
      <c r="G250" s="31" t="n"/>
      <c r="H250" s="28">
        <f>IF($C250="","",IF($F250="CNY",汇率,1))</f>
        <v/>
      </c>
      <c r="I250" s="26">
        <f>IF($C250="","",ROUND(N($G250)*N($H250),0))</f>
        <v/>
      </c>
      <c r="J250" s="17" t="n"/>
      <c r="K250" s="17" t="n"/>
      <c r="L250" s="17" t="n"/>
    </row>
    <row r="251">
      <c r="A251" s="24">
        <f>IF($C251="","",COUNTA($C$4:$C251))</f>
        <v/>
      </c>
      <c r="B251" s="30" t="n"/>
      <c r="C251" s="17" t="n"/>
      <c r="D251" s="17" t="n"/>
      <c r="E251" s="17" t="n"/>
      <c r="F251" s="17" t="n"/>
      <c r="G251" s="31" t="n"/>
      <c r="H251" s="28">
        <f>IF($C251="","",IF($F251="CNY",汇率,1))</f>
        <v/>
      </c>
      <c r="I251" s="26">
        <f>IF($C251="","",ROUND(N($G251)*N($H251),0))</f>
        <v/>
      </c>
      <c r="J251" s="17" t="n"/>
      <c r="K251" s="17" t="n"/>
      <c r="L251" s="17" t="n"/>
    </row>
    <row r="252">
      <c r="A252" s="24">
        <f>IF($C252="","",COUNTA($C$4:$C252))</f>
        <v/>
      </c>
      <c r="B252" s="30" t="n"/>
      <c r="C252" s="17" t="n"/>
      <c r="D252" s="17" t="n"/>
      <c r="E252" s="17" t="n"/>
      <c r="F252" s="17" t="n"/>
      <c r="G252" s="31" t="n"/>
      <c r="H252" s="28">
        <f>IF($C252="","",IF($F252="CNY",汇率,1))</f>
        <v/>
      </c>
      <c r="I252" s="26">
        <f>IF($C252="","",ROUND(N($G252)*N($H252),0))</f>
        <v/>
      </c>
      <c r="J252" s="17" t="n"/>
      <c r="K252" s="17" t="n"/>
      <c r="L252" s="17" t="n"/>
    </row>
    <row r="253">
      <c r="A253" s="24">
        <f>IF($C253="","",COUNTA($C$4:$C253))</f>
        <v/>
      </c>
      <c r="B253" s="30" t="n"/>
      <c r="C253" s="17" t="n"/>
      <c r="D253" s="17" t="n"/>
      <c r="E253" s="17" t="n"/>
      <c r="F253" s="17" t="n"/>
      <c r="G253" s="31" t="n"/>
      <c r="H253" s="28">
        <f>IF($C253="","",IF($F253="CNY",汇率,1))</f>
        <v/>
      </c>
      <c r="I253" s="26">
        <f>IF($C253="","",ROUND(N($G253)*N($H253),0))</f>
        <v/>
      </c>
      <c r="J253" s="17" t="n"/>
      <c r="K253" s="17" t="n"/>
      <c r="L253" s="17" t="n"/>
    </row>
    <row r="254">
      <c r="A254" s="24">
        <f>IF($C254="","",COUNTA($C$4:$C254))</f>
        <v/>
      </c>
      <c r="B254" s="30" t="n"/>
      <c r="C254" s="17" t="n"/>
      <c r="D254" s="17" t="n"/>
      <c r="E254" s="17" t="n"/>
      <c r="F254" s="17" t="n"/>
      <c r="G254" s="31" t="n"/>
      <c r="H254" s="28">
        <f>IF($C254="","",IF($F254="CNY",汇率,1))</f>
        <v/>
      </c>
      <c r="I254" s="26">
        <f>IF($C254="","",ROUND(N($G254)*N($H254),0))</f>
        <v/>
      </c>
      <c r="J254" s="17" t="n"/>
      <c r="K254" s="17" t="n"/>
      <c r="L254" s="17" t="n"/>
    </row>
    <row r="255">
      <c r="A255" s="24">
        <f>IF($C255="","",COUNTA($C$4:$C255))</f>
        <v/>
      </c>
      <c r="B255" s="30" t="n"/>
      <c r="C255" s="17" t="n"/>
      <c r="D255" s="17" t="n"/>
      <c r="E255" s="17" t="n"/>
      <c r="F255" s="17" t="n"/>
      <c r="G255" s="31" t="n"/>
      <c r="H255" s="28">
        <f>IF($C255="","",IF($F255="CNY",汇率,1))</f>
        <v/>
      </c>
      <c r="I255" s="26">
        <f>IF($C255="","",ROUND(N($G255)*N($H255),0))</f>
        <v/>
      </c>
      <c r="J255" s="17" t="n"/>
      <c r="K255" s="17" t="n"/>
      <c r="L255" s="17" t="n"/>
    </row>
    <row r="256">
      <c r="A256" s="24">
        <f>IF($C256="","",COUNTA($C$4:$C256))</f>
        <v/>
      </c>
      <c r="B256" s="30" t="n"/>
      <c r="C256" s="17" t="n"/>
      <c r="D256" s="17" t="n"/>
      <c r="E256" s="17" t="n"/>
      <c r="F256" s="17" t="n"/>
      <c r="G256" s="31" t="n"/>
      <c r="H256" s="28">
        <f>IF($C256="","",IF($F256="CNY",汇率,1))</f>
        <v/>
      </c>
      <c r="I256" s="26">
        <f>IF($C256="","",ROUND(N($G256)*N($H256),0))</f>
        <v/>
      </c>
      <c r="J256" s="17" t="n"/>
      <c r="K256" s="17" t="n"/>
      <c r="L256" s="17" t="n"/>
    </row>
    <row r="257">
      <c r="A257" s="24">
        <f>IF($C257="","",COUNTA($C$4:$C257))</f>
        <v/>
      </c>
      <c r="B257" s="30" t="n"/>
      <c r="C257" s="17" t="n"/>
      <c r="D257" s="17" t="n"/>
      <c r="E257" s="17" t="n"/>
      <c r="F257" s="17" t="n"/>
      <c r="G257" s="31" t="n"/>
      <c r="H257" s="28">
        <f>IF($C257="","",IF($F257="CNY",汇率,1))</f>
        <v/>
      </c>
      <c r="I257" s="26">
        <f>IF($C257="","",ROUND(N($G257)*N($H257),0))</f>
        <v/>
      </c>
      <c r="J257" s="17" t="n"/>
      <c r="K257" s="17" t="n"/>
      <c r="L257" s="17" t="n"/>
    </row>
    <row r="258">
      <c r="A258" s="24">
        <f>IF($C258="","",COUNTA($C$4:$C258))</f>
        <v/>
      </c>
      <c r="B258" s="30" t="n"/>
      <c r="C258" s="17" t="n"/>
      <c r="D258" s="17" t="n"/>
      <c r="E258" s="17" t="n"/>
      <c r="F258" s="17" t="n"/>
      <c r="G258" s="31" t="n"/>
      <c r="H258" s="28">
        <f>IF($C258="","",IF($F258="CNY",汇率,1))</f>
        <v/>
      </c>
      <c r="I258" s="26">
        <f>IF($C258="","",ROUND(N($G258)*N($H258),0))</f>
        <v/>
      </c>
      <c r="J258" s="17" t="n"/>
      <c r="K258" s="17" t="n"/>
      <c r="L258" s="17" t="n"/>
    </row>
    <row r="259">
      <c r="A259" s="24">
        <f>IF($C259="","",COUNTA($C$4:$C259))</f>
        <v/>
      </c>
      <c r="B259" s="30" t="n"/>
      <c r="C259" s="17" t="n"/>
      <c r="D259" s="17" t="n"/>
      <c r="E259" s="17" t="n"/>
      <c r="F259" s="17" t="n"/>
      <c r="G259" s="31" t="n"/>
      <c r="H259" s="28">
        <f>IF($C259="","",IF($F259="CNY",汇率,1))</f>
        <v/>
      </c>
      <c r="I259" s="26">
        <f>IF($C259="","",ROUND(N($G259)*N($H259),0))</f>
        <v/>
      </c>
      <c r="J259" s="17" t="n"/>
      <c r="K259" s="17" t="n"/>
      <c r="L259" s="17" t="n"/>
    </row>
    <row r="260">
      <c r="A260" s="24">
        <f>IF($C260="","",COUNTA($C$4:$C260))</f>
        <v/>
      </c>
      <c r="B260" s="30" t="n"/>
      <c r="C260" s="17" t="n"/>
      <c r="D260" s="17" t="n"/>
      <c r="E260" s="17" t="n"/>
      <c r="F260" s="17" t="n"/>
      <c r="G260" s="31" t="n"/>
      <c r="H260" s="28">
        <f>IF($C260="","",IF($F260="CNY",汇率,1))</f>
        <v/>
      </c>
      <c r="I260" s="26">
        <f>IF($C260="","",ROUND(N($G260)*N($H260),0))</f>
        <v/>
      </c>
      <c r="J260" s="17" t="n"/>
      <c r="K260" s="17" t="n"/>
      <c r="L260" s="17" t="n"/>
    </row>
    <row r="261">
      <c r="A261" s="24">
        <f>IF($C261="","",COUNTA($C$4:$C261))</f>
        <v/>
      </c>
      <c r="B261" s="30" t="n"/>
      <c r="C261" s="17" t="n"/>
      <c r="D261" s="17" t="n"/>
      <c r="E261" s="17" t="n"/>
      <c r="F261" s="17" t="n"/>
      <c r="G261" s="31" t="n"/>
      <c r="H261" s="28">
        <f>IF($C261="","",IF($F261="CNY",汇率,1))</f>
        <v/>
      </c>
      <c r="I261" s="26">
        <f>IF($C261="","",ROUND(N($G261)*N($H261),0))</f>
        <v/>
      </c>
      <c r="J261" s="17" t="n"/>
      <c r="K261" s="17" t="n"/>
      <c r="L261" s="17" t="n"/>
    </row>
    <row r="262">
      <c r="A262" s="24">
        <f>IF($C262="","",COUNTA($C$4:$C262))</f>
        <v/>
      </c>
      <c r="B262" s="30" t="n"/>
      <c r="C262" s="17" t="n"/>
      <c r="D262" s="17" t="n"/>
      <c r="E262" s="17" t="n"/>
      <c r="F262" s="17" t="n"/>
      <c r="G262" s="31" t="n"/>
      <c r="H262" s="28">
        <f>IF($C262="","",IF($F262="CNY",汇率,1))</f>
        <v/>
      </c>
      <c r="I262" s="26">
        <f>IF($C262="","",ROUND(N($G262)*N($H262),0))</f>
        <v/>
      </c>
      <c r="J262" s="17" t="n"/>
      <c r="K262" s="17" t="n"/>
      <c r="L262" s="17" t="n"/>
    </row>
    <row r="263">
      <c r="A263" s="24">
        <f>IF($C263="","",COUNTA($C$4:$C263))</f>
        <v/>
      </c>
      <c r="B263" s="30" t="n"/>
      <c r="C263" s="17" t="n"/>
      <c r="D263" s="17" t="n"/>
      <c r="E263" s="17" t="n"/>
      <c r="F263" s="17" t="n"/>
      <c r="G263" s="31" t="n"/>
      <c r="H263" s="28">
        <f>IF($C263="","",IF($F263="CNY",汇率,1))</f>
        <v/>
      </c>
      <c r="I263" s="26">
        <f>IF($C263="","",ROUND(N($G263)*N($H263),0))</f>
        <v/>
      </c>
      <c r="J263" s="17" t="n"/>
      <c r="K263" s="17" t="n"/>
      <c r="L263" s="17" t="n"/>
    </row>
    <row r="264">
      <c r="A264" s="24">
        <f>IF($C264="","",COUNTA($C$4:$C264))</f>
        <v/>
      </c>
      <c r="B264" s="30" t="n"/>
      <c r="C264" s="17" t="n"/>
      <c r="D264" s="17" t="n"/>
      <c r="E264" s="17" t="n"/>
      <c r="F264" s="17" t="n"/>
      <c r="G264" s="31" t="n"/>
      <c r="H264" s="28">
        <f>IF($C264="","",IF($F264="CNY",汇率,1))</f>
        <v/>
      </c>
      <c r="I264" s="26">
        <f>IF($C264="","",ROUND(N($G264)*N($H264),0))</f>
        <v/>
      </c>
      <c r="J264" s="17" t="n"/>
      <c r="K264" s="17" t="n"/>
      <c r="L264" s="17" t="n"/>
    </row>
    <row r="265">
      <c r="A265" s="24">
        <f>IF($C265="","",COUNTA($C$4:$C265))</f>
        <v/>
      </c>
      <c r="B265" s="30" t="n"/>
      <c r="C265" s="17" t="n"/>
      <c r="D265" s="17" t="n"/>
      <c r="E265" s="17" t="n"/>
      <c r="F265" s="17" t="n"/>
      <c r="G265" s="31" t="n"/>
      <c r="H265" s="28">
        <f>IF($C265="","",IF($F265="CNY",汇率,1))</f>
        <v/>
      </c>
      <c r="I265" s="26">
        <f>IF($C265="","",ROUND(N($G265)*N($H265),0))</f>
        <v/>
      </c>
      <c r="J265" s="17" t="n"/>
      <c r="K265" s="17" t="n"/>
      <c r="L265" s="17" t="n"/>
    </row>
    <row r="266">
      <c r="A266" s="24">
        <f>IF($C266="","",COUNTA($C$4:$C266))</f>
        <v/>
      </c>
      <c r="B266" s="30" t="n"/>
      <c r="C266" s="17" t="n"/>
      <c r="D266" s="17" t="n"/>
      <c r="E266" s="17" t="n"/>
      <c r="F266" s="17" t="n"/>
      <c r="G266" s="31" t="n"/>
      <c r="H266" s="28">
        <f>IF($C266="","",IF($F266="CNY",汇率,1))</f>
        <v/>
      </c>
      <c r="I266" s="26">
        <f>IF($C266="","",ROUND(N($G266)*N($H266),0))</f>
        <v/>
      </c>
      <c r="J266" s="17" t="n"/>
      <c r="K266" s="17" t="n"/>
      <c r="L266" s="17" t="n"/>
    </row>
    <row r="267">
      <c r="A267" s="24">
        <f>IF($C267="","",COUNTA($C$4:$C267))</f>
        <v/>
      </c>
      <c r="B267" s="30" t="n"/>
      <c r="C267" s="17" t="n"/>
      <c r="D267" s="17" t="n"/>
      <c r="E267" s="17" t="n"/>
      <c r="F267" s="17" t="n"/>
      <c r="G267" s="31" t="n"/>
      <c r="H267" s="28">
        <f>IF($C267="","",IF($F267="CNY",汇率,1))</f>
        <v/>
      </c>
      <c r="I267" s="26">
        <f>IF($C267="","",ROUND(N($G267)*N($H267),0))</f>
        <v/>
      </c>
      <c r="J267" s="17" t="n"/>
      <c r="K267" s="17" t="n"/>
      <c r="L267" s="17" t="n"/>
    </row>
    <row r="268">
      <c r="A268" s="24">
        <f>IF($C268="","",COUNTA($C$4:$C268))</f>
        <v/>
      </c>
      <c r="B268" s="30" t="n"/>
      <c r="C268" s="17" t="n"/>
      <c r="D268" s="17" t="n"/>
      <c r="E268" s="17" t="n"/>
      <c r="F268" s="17" t="n"/>
      <c r="G268" s="31" t="n"/>
      <c r="H268" s="28">
        <f>IF($C268="","",IF($F268="CNY",汇率,1))</f>
        <v/>
      </c>
      <c r="I268" s="26">
        <f>IF($C268="","",ROUND(N($G268)*N($H268),0))</f>
        <v/>
      </c>
      <c r="J268" s="17" t="n"/>
      <c r="K268" s="17" t="n"/>
      <c r="L268" s="17" t="n"/>
    </row>
    <row r="269">
      <c r="A269" s="24">
        <f>IF($C269="","",COUNTA($C$4:$C269))</f>
        <v/>
      </c>
      <c r="B269" s="30" t="n"/>
      <c r="C269" s="17" t="n"/>
      <c r="D269" s="17" t="n"/>
      <c r="E269" s="17" t="n"/>
      <c r="F269" s="17" t="n"/>
      <c r="G269" s="31" t="n"/>
      <c r="H269" s="28">
        <f>IF($C269="","",IF($F269="CNY",汇率,1))</f>
        <v/>
      </c>
      <c r="I269" s="26">
        <f>IF($C269="","",ROUND(N($G269)*N($H269),0))</f>
        <v/>
      </c>
      <c r="J269" s="17" t="n"/>
      <c r="K269" s="17" t="n"/>
      <c r="L269" s="17" t="n"/>
    </row>
    <row r="270">
      <c r="A270" s="24">
        <f>IF($C270="","",COUNTA($C$4:$C270))</f>
        <v/>
      </c>
      <c r="B270" s="30" t="n"/>
      <c r="C270" s="17" t="n"/>
      <c r="D270" s="17" t="n"/>
      <c r="E270" s="17" t="n"/>
      <c r="F270" s="17" t="n"/>
      <c r="G270" s="31" t="n"/>
      <c r="H270" s="28">
        <f>IF($C270="","",IF($F270="CNY",汇率,1))</f>
        <v/>
      </c>
      <c r="I270" s="26">
        <f>IF($C270="","",ROUND(N($G270)*N($H270),0))</f>
        <v/>
      </c>
      <c r="J270" s="17" t="n"/>
      <c r="K270" s="17" t="n"/>
      <c r="L270" s="17" t="n"/>
    </row>
    <row r="271">
      <c r="A271" s="24">
        <f>IF($C271="","",COUNTA($C$4:$C271))</f>
        <v/>
      </c>
      <c r="B271" s="30" t="n"/>
      <c r="C271" s="17" t="n"/>
      <c r="D271" s="17" t="n"/>
      <c r="E271" s="17" t="n"/>
      <c r="F271" s="17" t="n"/>
      <c r="G271" s="31" t="n"/>
      <c r="H271" s="28">
        <f>IF($C271="","",IF($F271="CNY",汇率,1))</f>
        <v/>
      </c>
      <c r="I271" s="26">
        <f>IF($C271="","",ROUND(N($G271)*N($H271),0))</f>
        <v/>
      </c>
      <c r="J271" s="17" t="n"/>
      <c r="K271" s="17" t="n"/>
      <c r="L271" s="17" t="n"/>
    </row>
    <row r="272">
      <c r="A272" s="24">
        <f>IF($C272="","",COUNTA($C$4:$C272))</f>
        <v/>
      </c>
      <c r="B272" s="30" t="n"/>
      <c r="C272" s="17" t="n"/>
      <c r="D272" s="17" t="n"/>
      <c r="E272" s="17" t="n"/>
      <c r="F272" s="17" t="n"/>
      <c r="G272" s="31" t="n"/>
      <c r="H272" s="28">
        <f>IF($C272="","",IF($F272="CNY",汇率,1))</f>
        <v/>
      </c>
      <c r="I272" s="26">
        <f>IF($C272="","",ROUND(N($G272)*N($H272),0))</f>
        <v/>
      </c>
      <c r="J272" s="17" t="n"/>
      <c r="K272" s="17" t="n"/>
      <c r="L272" s="17" t="n"/>
    </row>
    <row r="273">
      <c r="A273" s="24">
        <f>IF($C273="","",COUNTA($C$4:$C273))</f>
        <v/>
      </c>
      <c r="B273" s="30" t="n"/>
      <c r="C273" s="17" t="n"/>
      <c r="D273" s="17" t="n"/>
      <c r="E273" s="17" t="n"/>
      <c r="F273" s="17" t="n"/>
      <c r="G273" s="31" t="n"/>
      <c r="H273" s="28">
        <f>IF($C273="","",IF($F273="CNY",汇率,1))</f>
        <v/>
      </c>
      <c r="I273" s="26">
        <f>IF($C273="","",ROUND(N($G273)*N($H273),0))</f>
        <v/>
      </c>
      <c r="J273" s="17" t="n"/>
      <c r="K273" s="17" t="n"/>
      <c r="L273" s="17" t="n"/>
    </row>
    <row r="274">
      <c r="A274" s="24">
        <f>IF($C274="","",COUNTA($C$4:$C274))</f>
        <v/>
      </c>
      <c r="B274" s="30" t="n"/>
      <c r="C274" s="17" t="n"/>
      <c r="D274" s="17" t="n"/>
      <c r="E274" s="17" t="n"/>
      <c r="F274" s="17" t="n"/>
      <c r="G274" s="31" t="n"/>
      <c r="H274" s="28">
        <f>IF($C274="","",IF($F274="CNY",汇率,1))</f>
        <v/>
      </c>
      <c r="I274" s="26">
        <f>IF($C274="","",ROUND(N($G274)*N($H274),0))</f>
        <v/>
      </c>
      <c r="J274" s="17" t="n"/>
      <c r="K274" s="17" t="n"/>
      <c r="L274" s="17" t="n"/>
    </row>
    <row r="275">
      <c r="A275" s="24">
        <f>IF($C275="","",COUNTA($C$4:$C275))</f>
        <v/>
      </c>
      <c r="B275" s="30" t="n"/>
      <c r="C275" s="17" t="n"/>
      <c r="D275" s="17" t="n"/>
      <c r="E275" s="17" t="n"/>
      <c r="F275" s="17" t="n"/>
      <c r="G275" s="31" t="n"/>
      <c r="H275" s="28">
        <f>IF($C275="","",IF($F275="CNY",汇率,1))</f>
        <v/>
      </c>
      <c r="I275" s="26">
        <f>IF($C275="","",ROUND(N($G275)*N($H275),0))</f>
        <v/>
      </c>
      <c r="J275" s="17" t="n"/>
      <c r="K275" s="17" t="n"/>
      <c r="L275" s="17" t="n"/>
    </row>
    <row r="276">
      <c r="A276" s="24">
        <f>IF($C276="","",COUNTA($C$4:$C276))</f>
        <v/>
      </c>
      <c r="B276" s="30" t="n"/>
      <c r="C276" s="17" t="n"/>
      <c r="D276" s="17" t="n"/>
      <c r="E276" s="17" t="n"/>
      <c r="F276" s="17" t="n"/>
      <c r="G276" s="31" t="n"/>
      <c r="H276" s="28">
        <f>IF($C276="","",IF($F276="CNY",汇率,1))</f>
        <v/>
      </c>
      <c r="I276" s="26">
        <f>IF($C276="","",ROUND(N($G276)*N($H276),0))</f>
        <v/>
      </c>
      <c r="J276" s="17" t="n"/>
      <c r="K276" s="17" t="n"/>
      <c r="L276" s="17" t="n"/>
    </row>
    <row r="277">
      <c r="A277" s="24">
        <f>IF($C277="","",COUNTA($C$4:$C277))</f>
        <v/>
      </c>
      <c r="B277" s="30" t="n"/>
      <c r="C277" s="17" t="n"/>
      <c r="D277" s="17" t="n"/>
      <c r="E277" s="17" t="n"/>
      <c r="F277" s="17" t="n"/>
      <c r="G277" s="31" t="n"/>
      <c r="H277" s="28">
        <f>IF($C277="","",IF($F277="CNY",汇率,1))</f>
        <v/>
      </c>
      <c r="I277" s="26">
        <f>IF($C277="","",ROUND(N($G277)*N($H277),0))</f>
        <v/>
      </c>
      <c r="J277" s="17" t="n"/>
      <c r="K277" s="17" t="n"/>
      <c r="L277" s="17" t="n"/>
    </row>
    <row r="278">
      <c r="A278" s="24">
        <f>IF($C278="","",COUNTA($C$4:$C278))</f>
        <v/>
      </c>
      <c r="B278" s="30" t="n"/>
      <c r="C278" s="17" t="n"/>
      <c r="D278" s="17" t="n"/>
      <c r="E278" s="17" t="n"/>
      <c r="F278" s="17" t="n"/>
      <c r="G278" s="31" t="n"/>
      <c r="H278" s="28">
        <f>IF($C278="","",IF($F278="CNY",汇率,1))</f>
        <v/>
      </c>
      <c r="I278" s="26">
        <f>IF($C278="","",ROUND(N($G278)*N($H278),0))</f>
        <v/>
      </c>
      <c r="J278" s="17" t="n"/>
      <c r="K278" s="17" t="n"/>
      <c r="L278" s="17" t="n"/>
    </row>
    <row r="279">
      <c r="A279" s="24">
        <f>IF($C279="","",COUNTA($C$4:$C279))</f>
        <v/>
      </c>
      <c r="B279" s="30" t="n"/>
      <c r="C279" s="17" t="n"/>
      <c r="D279" s="17" t="n"/>
      <c r="E279" s="17" t="n"/>
      <c r="F279" s="17" t="n"/>
      <c r="G279" s="31" t="n"/>
      <c r="H279" s="28">
        <f>IF($C279="","",IF($F279="CNY",汇率,1))</f>
        <v/>
      </c>
      <c r="I279" s="26">
        <f>IF($C279="","",ROUND(N($G279)*N($H279),0))</f>
        <v/>
      </c>
      <c r="J279" s="17" t="n"/>
      <c r="K279" s="17" t="n"/>
      <c r="L279" s="17" t="n"/>
    </row>
    <row r="280">
      <c r="A280" s="24">
        <f>IF($C280="","",COUNTA($C$4:$C280))</f>
        <v/>
      </c>
      <c r="B280" s="30" t="n"/>
      <c r="C280" s="17" t="n"/>
      <c r="D280" s="17" t="n"/>
      <c r="E280" s="17" t="n"/>
      <c r="F280" s="17" t="n"/>
      <c r="G280" s="31" t="n"/>
      <c r="H280" s="28">
        <f>IF($C280="","",IF($F280="CNY",汇率,1))</f>
        <v/>
      </c>
      <c r="I280" s="26">
        <f>IF($C280="","",ROUND(N($G280)*N($H280),0))</f>
        <v/>
      </c>
      <c r="J280" s="17" t="n"/>
      <c r="K280" s="17" t="n"/>
      <c r="L280" s="17" t="n"/>
    </row>
    <row r="281">
      <c r="A281" s="24">
        <f>IF($C281="","",COUNTA($C$4:$C281))</f>
        <v/>
      </c>
      <c r="B281" s="30" t="n"/>
      <c r="C281" s="17" t="n"/>
      <c r="D281" s="17" t="n"/>
      <c r="E281" s="17" t="n"/>
      <c r="F281" s="17" t="n"/>
      <c r="G281" s="31" t="n"/>
      <c r="H281" s="28">
        <f>IF($C281="","",IF($F281="CNY",汇率,1))</f>
        <v/>
      </c>
      <c r="I281" s="26">
        <f>IF($C281="","",ROUND(N($G281)*N($H281),0))</f>
        <v/>
      </c>
      <c r="J281" s="17" t="n"/>
      <c r="K281" s="17" t="n"/>
      <c r="L281" s="17" t="n"/>
    </row>
    <row r="282">
      <c r="A282" s="24">
        <f>IF($C282="","",COUNTA($C$4:$C282))</f>
        <v/>
      </c>
      <c r="B282" s="30" t="n"/>
      <c r="C282" s="17" t="n"/>
      <c r="D282" s="17" t="n"/>
      <c r="E282" s="17" t="n"/>
      <c r="F282" s="17" t="n"/>
      <c r="G282" s="31" t="n"/>
      <c r="H282" s="28">
        <f>IF($C282="","",IF($F282="CNY",汇率,1))</f>
        <v/>
      </c>
      <c r="I282" s="26">
        <f>IF($C282="","",ROUND(N($G282)*N($H282),0))</f>
        <v/>
      </c>
      <c r="J282" s="17" t="n"/>
      <c r="K282" s="17" t="n"/>
      <c r="L282" s="17" t="n"/>
    </row>
    <row r="283">
      <c r="A283" s="24">
        <f>IF($C283="","",COUNTA($C$4:$C283))</f>
        <v/>
      </c>
      <c r="B283" s="30" t="n"/>
      <c r="C283" s="17" t="n"/>
      <c r="D283" s="17" t="n"/>
      <c r="E283" s="17" t="n"/>
      <c r="F283" s="17" t="n"/>
      <c r="G283" s="31" t="n"/>
      <c r="H283" s="28">
        <f>IF($C283="","",IF($F283="CNY",汇率,1))</f>
        <v/>
      </c>
      <c r="I283" s="26">
        <f>IF($C283="","",ROUND(N($G283)*N($H283),0))</f>
        <v/>
      </c>
      <c r="J283" s="17" t="n"/>
      <c r="K283" s="17" t="n"/>
      <c r="L283" s="17" t="n"/>
    </row>
    <row r="284">
      <c r="A284" s="24">
        <f>IF($C284="","",COUNTA($C$4:$C284))</f>
        <v/>
      </c>
      <c r="B284" s="30" t="n"/>
      <c r="C284" s="17" t="n"/>
      <c r="D284" s="17" t="n"/>
      <c r="E284" s="17" t="n"/>
      <c r="F284" s="17" t="n"/>
      <c r="G284" s="31" t="n"/>
      <c r="H284" s="28">
        <f>IF($C284="","",IF($F284="CNY",汇率,1))</f>
        <v/>
      </c>
      <c r="I284" s="26">
        <f>IF($C284="","",ROUND(N($G284)*N($H284),0))</f>
        <v/>
      </c>
      <c r="J284" s="17" t="n"/>
      <c r="K284" s="17" t="n"/>
      <c r="L284" s="17" t="n"/>
    </row>
    <row r="285">
      <c r="A285" s="24">
        <f>IF($C285="","",COUNTA($C$4:$C285))</f>
        <v/>
      </c>
      <c r="B285" s="30" t="n"/>
      <c r="C285" s="17" t="n"/>
      <c r="D285" s="17" t="n"/>
      <c r="E285" s="17" t="n"/>
      <c r="F285" s="17" t="n"/>
      <c r="G285" s="31" t="n"/>
      <c r="H285" s="28">
        <f>IF($C285="","",IF($F285="CNY",汇率,1))</f>
        <v/>
      </c>
      <c r="I285" s="26">
        <f>IF($C285="","",ROUND(N($G285)*N($H285),0))</f>
        <v/>
      </c>
      <c r="J285" s="17" t="n"/>
      <c r="K285" s="17" t="n"/>
      <c r="L285" s="17" t="n"/>
    </row>
    <row r="286">
      <c r="A286" s="24">
        <f>IF($C286="","",COUNTA($C$4:$C286))</f>
        <v/>
      </c>
      <c r="B286" s="30" t="n"/>
      <c r="C286" s="17" t="n"/>
      <c r="D286" s="17" t="n"/>
      <c r="E286" s="17" t="n"/>
      <c r="F286" s="17" t="n"/>
      <c r="G286" s="31" t="n"/>
      <c r="H286" s="28">
        <f>IF($C286="","",IF($F286="CNY",汇率,1))</f>
        <v/>
      </c>
      <c r="I286" s="26">
        <f>IF($C286="","",ROUND(N($G286)*N($H286),0))</f>
        <v/>
      </c>
      <c r="J286" s="17" t="n"/>
      <c r="K286" s="17" t="n"/>
      <c r="L286" s="17" t="n"/>
    </row>
    <row r="287">
      <c r="A287" s="24">
        <f>IF($C287="","",COUNTA($C$4:$C287))</f>
        <v/>
      </c>
      <c r="B287" s="30" t="n"/>
      <c r="C287" s="17" t="n"/>
      <c r="D287" s="17" t="n"/>
      <c r="E287" s="17" t="n"/>
      <c r="F287" s="17" t="n"/>
      <c r="G287" s="31" t="n"/>
      <c r="H287" s="28">
        <f>IF($C287="","",IF($F287="CNY",汇率,1))</f>
        <v/>
      </c>
      <c r="I287" s="26">
        <f>IF($C287="","",ROUND(N($G287)*N($H287),0))</f>
        <v/>
      </c>
      <c r="J287" s="17" t="n"/>
      <c r="K287" s="17" t="n"/>
      <c r="L287" s="17" t="n"/>
    </row>
    <row r="288">
      <c r="A288" s="24">
        <f>IF($C288="","",COUNTA($C$4:$C288))</f>
        <v/>
      </c>
      <c r="B288" s="30" t="n"/>
      <c r="C288" s="17" t="n"/>
      <c r="D288" s="17" t="n"/>
      <c r="E288" s="17" t="n"/>
      <c r="F288" s="17" t="n"/>
      <c r="G288" s="31" t="n"/>
      <c r="H288" s="28">
        <f>IF($C288="","",IF($F288="CNY",汇率,1))</f>
        <v/>
      </c>
      <c r="I288" s="26">
        <f>IF($C288="","",ROUND(N($G288)*N($H288),0))</f>
        <v/>
      </c>
      <c r="J288" s="17" t="n"/>
      <c r="K288" s="17" t="n"/>
      <c r="L288" s="17" t="n"/>
    </row>
    <row r="289">
      <c r="A289" s="24">
        <f>IF($C289="","",COUNTA($C$4:$C289))</f>
        <v/>
      </c>
      <c r="B289" s="30" t="n"/>
      <c r="C289" s="17" t="n"/>
      <c r="D289" s="17" t="n"/>
      <c r="E289" s="17" t="n"/>
      <c r="F289" s="17" t="n"/>
      <c r="G289" s="31" t="n"/>
      <c r="H289" s="28">
        <f>IF($C289="","",IF($F289="CNY",汇率,1))</f>
        <v/>
      </c>
      <c r="I289" s="26">
        <f>IF($C289="","",ROUND(N($G289)*N($H289),0))</f>
        <v/>
      </c>
      <c r="J289" s="17" t="n"/>
      <c r="K289" s="17" t="n"/>
      <c r="L289" s="17" t="n"/>
    </row>
    <row r="290">
      <c r="A290" s="24">
        <f>IF($C290="","",COUNTA($C$4:$C290))</f>
        <v/>
      </c>
      <c r="B290" s="30" t="n"/>
      <c r="C290" s="17" t="n"/>
      <c r="D290" s="17" t="n"/>
      <c r="E290" s="17" t="n"/>
      <c r="F290" s="17" t="n"/>
      <c r="G290" s="31" t="n"/>
      <c r="H290" s="28">
        <f>IF($C290="","",IF($F290="CNY",汇率,1))</f>
        <v/>
      </c>
      <c r="I290" s="26">
        <f>IF($C290="","",ROUND(N($G290)*N($H290),0))</f>
        <v/>
      </c>
      <c r="J290" s="17" t="n"/>
      <c r="K290" s="17" t="n"/>
      <c r="L290" s="17" t="n"/>
    </row>
    <row r="291">
      <c r="A291" s="24">
        <f>IF($C291="","",COUNTA($C$4:$C291))</f>
        <v/>
      </c>
      <c r="B291" s="30" t="n"/>
      <c r="C291" s="17" t="n"/>
      <c r="D291" s="17" t="n"/>
      <c r="E291" s="17" t="n"/>
      <c r="F291" s="17" t="n"/>
      <c r="G291" s="31" t="n"/>
      <c r="H291" s="28">
        <f>IF($C291="","",IF($F291="CNY",汇率,1))</f>
        <v/>
      </c>
      <c r="I291" s="26">
        <f>IF($C291="","",ROUND(N($G291)*N($H291),0))</f>
        <v/>
      </c>
      <c r="J291" s="17" t="n"/>
      <c r="K291" s="17" t="n"/>
      <c r="L291" s="17" t="n"/>
    </row>
    <row r="292">
      <c r="A292" s="24">
        <f>IF($C292="","",COUNTA($C$4:$C292))</f>
        <v/>
      </c>
      <c r="B292" s="30" t="n"/>
      <c r="C292" s="17" t="n"/>
      <c r="D292" s="17" t="n"/>
      <c r="E292" s="17" t="n"/>
      <c r="F292" s="17" t="n"/>
      <c r="G292" s="31" t="n"/>
      <c r="H292" s="28">
        <f>IF($C292="","",IF($F292="CNY",汇率,1))</f>
        <v/>
      </c>
      <c r="I292" s="26">
        <f>IF($C292="","",ROUND(N($G292)*N($H292),0))</f>
        <v/>
      </c>
      <c r="J292" s="17" t="n"/>
      <c r="K292" s="17" t="n"/>
      <c r="L292" s="17" t="n"/>
    </row>
    <row r="293">
      <c r="A293" s="24">
        <f>IF($C293="","",COUNTA($C$4:$C293))</f>
        <v/>
      </c>
      <c r="B293" s="30" t="n"/>
      <c r="C293" s="17" t="n"/>
      <c r="D293" s="17" t="n"/>
      <c r="E293" s="17" t="n"/>
      <c r="F293" s="17" t="n"/>
      <c r="G293" s="31" t="n"/>
      <c r="H293" s="28">
        <f>IF($C293="","",IF($F293="CNY",汇率,1))</f>
        <v/>
      </c>
      <c r="I293" s="26">
        <f>IF($C293="","",ROUND(N($G293)*N($H293),0))</f>
        <v/>
      </c>
      <c r="J293" s="17" t="n"/>
      <c r="K293" s="17" t="n"/>
      <c r="L293" s="17" t="n"/>
    </row>
    <row r="294">
      <c r="A294" s="24">
        <f>IF($C294="","",COUNTA($C$4:$C294))</f>
        <v/>
      </c>
      <c r="B294" s="30" t="n"/>
      <c r="C294" s="17" t="n"/>
      <c r="D294" s="17" t="n"/>
      <c r="E294" s="17" t="n"/>
      <c r="F294" s="17" t="n"/>
      <c r="G294" s="31" t="n"/>
      <c r="H294" s="28">
        <f>IF($C294="","",IF($F294="CNY",汇率,1))</f>
        <v/>
      </c>
      <c r="I294" s="26">
        <f>IF($C294="","",ROUND(N($G294)*N($H294),0))</f>
        <v/>
      </c>
      <c r="J294" s="17" t="n"/>
      <c r="K294" s="17" t="n"/>
      <c r="L294" s="17" t="n"/>
    </row>
    <row r="295">
      <c r="A295" s="24">
        <f>IF($C295="","",COUNTA($C$4:$C295))</f>
        <v/>
      </c>
      <c r="B295" s="30" t="n"/>
      <c r="C295" s="17" t="n"/>
      <c r="D295" s="17" t="n"/>
      <c r="E295" s="17" t="n"/>
      <c r="F295" s="17" t="n"/>
      <c r="G295" s="31" t="n"/>
      <c r="H295" s="28">
        <f>IF($C295="","",IF($F295="CNY",汇率,1))</f>
        <v/>
      </c>
      <c r="I295" s="26">
        <f>IF($C295="","",ROUND(N($G295)*N($H295),0))</f>
        <v/>
      </c>
      <c r="J295" s="17" t="n"/>
      <c r="K295" s="17" t="n"/>
      <c r="L295" s="17" t="n"/>
    </row>
    <row r="296">
      <c r="A296" s="24">
        <f>IF($C296="","",COUNTA($C$4:$C296))</f>
        <v/>
      </c>
      <c r="B296" s="30" t="n"/>
      <c r="C296" s="17" t="n"/>
      <c r="D296" s="17" t="n"/>
      <c r="E296" s="17" t="n"/>
      <c r="F296" s="17" t="n"/>
      <c r="G296" s="31" t="n"/>
      <c r="H296" s="28">
        <f>IF($C296="","",IF($F296="CNY",汇率,1))</f>
        <v/>
      </c>
      <c r="I296" s="26">
        <f>IF($C296="","",ROUND(N($G296)*N($H296),0))</f>
        <v/>
      </c>
      <c r="J296" s="17" t="n"/>
      <c r="K296" s="17" t="n"/>
      <c r="L296" s="17" t="n"/>
    </row>
    <row r="297">
      <c r="A297" s="24">
        <f>IF($C297="","",COUNTA($C$4:$C297))</f>
        <v/>
      </c>
      <c r="B297" s="30" t="n"/>
      <c r="C297" s="17" t="n"/>
      <c r="D297" s="17" t="n"/>
      <c r="E297" s="17" t="n"/>
      <c r="F297" s="17" t="n"/>
      <c r="G297" s="31" t="n"/>
      <c r="H297" s="28">
        <f>IF($C297="","",IF($F297="CNY",汇率,1))</f>
        <v/>
      </c>
      <c r="I297" s="26">
        <f>IF($C297="","",ROUND(N($G297)*N($H297),0))</f>
        <v/>
      </c>
      <c r="J297" s="17" t="n"/>
      <c r="K297" s="17" t="n"/>
      <c r="L297" s="17" t="n"/>
    </row>
    <row r="298">
      <c r="A298" s="24">
        <f>IF($C298="","",COUNTA($C$4:$C298))</f>
        <v/>
      </c>
      <c r="B298" s="30" t="n"/>
      <c r="C298" s="17" t="n"/>
      <c r="D298" s="17" t="n"/>
      <c r="E298" s="17" t="n"/>
      <c r="F298" s="17" t="n"/>
      <c r="G298" s="31" t="n"/>
      <c r="H298" s="28">
        <f>IF($C298="","",IF($F298="CNY",汇率,1))</f>
        <v/>
      </c>
      <c r="I298" s="26">
        <f>IF($C298="","",ROUND(N($G298)*N($H298),0))</f>
        <v/>
      </c>
      <c r="J298" s="17" t="n"/>
      <c r="K298" s="17" t="n"/>
      <c r="L298" s="17" t="n"/>
    </row>
    <row r="299">
      <c r="A299" s="24">
        <f>IF($C299="","",COUNTA($C$4:$C299))</f>
        <v/>
      </c>
      <c r="B299" s="30" t="n"/>
      <c r="C299" s="17" t="n"/>
      <c r="D299" s="17" t="n"/>
      <c r="E299" s="17" t="n"/>
      <c r="F299" s="17" t="n"/>
      <c r="G299" s="31" t="n"/>
      <c r="H299" s="28">
        <f>IF($C299="","",IF($F299="CNY",汇率,1))</f>
        <v/>
      </c>
      <c r="I299" s="26">
        <f>IF($C299="","",ROUND(N($G299)*N($H299),0))</f>
        <v/>
      </c>
      <c r="J299" s="17" t="n"/>
      <c r="K299" s="17" t="n"/>
      <c r="L299" s="17" t="n"/>
    </row>
    <row r="300">
      <c r="A300" s="24">
        <f>IF($C300="","",COUNTA($C$4:$C300))</f>
        <v/>
      </c>
      <c r="B300" s="30" t="n"/>
      <c r="C300" s="17" t="n"/>
      <c r="D300" s="17" t="n"/>
      <c r="E300" s="17" t="n"/>
      <c r="F300" s="17" t="n"/>
      <c r="G300" s="31" t="n"/>
      <c r="H300" s="28">
        <f>IF($C300="","",IF($F300="CNY",汇率,1))</f>
        <v/>
      </c>
      <c r="I300" s="26">
        <f>IF($C300="","",ROUND(N($G300)*N($H300),0))</f>
        <v/>
      </c>
      <c r="J300" s="17" t="n"/>
      <c r="K300" s="17" t="n"/>
      <c r="L300" s="17" t="n"/>
    </row>
    <row r="301">
      <c r="A301" s="24">
        <f>IF($C301="","",COUNTA($C$4:$C301))</f>
        <v/>
      </c>
      <c r="B301" s="30" t="n"/>
      <c r="C301" s="17" t="n"/>
      <c r="D301" s="17" t="n"/>
      <c r="E301" s="17" t="n"/>
      <c r="F301" s="17" t="n"/>
      <c r="G301" s="31" t="n"/>
      <c r="H301" s="28">
        <f>IF($C301="","",IF($F301="CNY",汇率,1))</f>
        <v/>
      </c>
      <c r="I301" s="26">
        <f>IF($C301="","",ROUND(N($G301)*N($H301),0))</f>
        <v/>
      </c>
      <c r="J301" s="17" t="n"/>
      <c r="K301" s="17" t="n"/>
      <c r="L301" s="17" t="n"/>
    </row>
    <row r="302">
      <c r="A302" s="24">
        <f>IF($C302="","",COUNTA($C$4:$C302))</f>
        <v/>
      </c>
      <c r="B302" s="30" t="n"/>
      <c r="C302" s="17" t="n"/>
      <c r="D302" s="17" t="n"/>
      <c r="E302" s="17" t="n"/>
      <c r="F302" s="17" t="n"/>
      <c r="G302" s="31" t="n"/>
      <c r="H302" s="28">
        <f>IF($C302="","",IF($F302="CNY",汇率,1))</f>
        <v/>
      </c>
      <c r="I302" s="26">
        <f>IF($C302="","",ROUND(N($G302)*N($H302),0))</f>
        <v/>
      </c>
      <c r="J302" s="17" t="n"/>
      <c r="K302" s="17" t="n"/>
      <c r="L302" s="17" t="n"/>
    </row>
    <row r="303">
      <c r="A303" s="24">
        <f>IF($C303="","",COUNTA($C$4:$C303))</f>
        <v/>
      </c>
      <c r="B303" s="30" t="n"/>
      <c r="C303" s="17" t="n"/>
      <c r="D303" s="17" t="n"/>
      <c r="E303" s="17" t="n"/>
      <c r="F303" s="17" t="n"/>
      <c r="G303" s="31" t="n"/>
      <c r="H303" s="28">
        <f>IF($C303="","",IF($F303="CNY",汇率,1))</f>
        <v/>
      </c>
      <c r="I303" s="26">
        <f>IF($C303="","",ROUND(N($G303)*N($H303),0))</f>
        <v/>
      </c>
      <c r="J303" s="17" t="n"/>
      <c r="K303" s="17" t="n"/>
      <c r="L303" s="17" t="n"/>
    </row>
    <row r="304">
      <c r="A304" s="24">
        <f>IF($C304="","",COUNTA($C$4:$C304))</f>
        <v/>
      </c>
      <c r="B304" s="30" t="n"/>
      <c r="C304" s="17" t="n"/>
      <c r="D304" s="17" t="n"/>
      <c r="E304" s="17" t="n"/>
      <c r="F304" s="17" t="n"/>
      <c r="G304" s="31" t="n"/>
      <c r="H304" s="28">
        <f>IF($C304="","",IF($F304="CNY",汇率,1))</f>
        <v/>
      </c>
      <c r="I304" s="26">
        <f>IF($C304="","",ROUND(N($G304)*N($H304),0))</f>
        <v/>
      </c>
      <c r="J304" s="17" t="n"/>
      <c r="K304" s="17" t="n"/>
      <c r="L304" s="17" t="n"/>
    </row>
    <row r="305">
      <c r="A305" s="24">
        <f>IF($C305="","",COUNTA($C$4:$C305))</f>
        <v/>
      </c>
      <c r="B305" s="30" t="n"/>
      <c r="C305" s="17" t="n"/>
      <c r="D305" s="17" t="n"/>
      <c r="E305" s="17" t="n"/>
      <c r="F305" s="17" t="n"/>
      <c r="G305" s="31" t="n"/>
      <c r="H305" s="28">
        <f>IF($C305="","",IF($F305="CNY",汇率,1))</f>
        <v/>
      </c>
      <c r="I305" s="26">
        <f>IF($C305="","",ROUND(N($G305)*N($H305),0))</f>
        <v/>
      </c>
      <c r="J305" s="17" t="n"/>
      <c r="K305" s="17" t="n"/>
      <c r="L305" s="17" t="n"/>
    </row>
    <row r="306">
      <c r="A306" s="24">
        <f>IF($C306="","",COUNTA($C$4:$C306))</f>
        <v/>
      </c>
      <c r="B306" s="30" t="n"/>
      <c r="C306" s="17" t="n"/>
      <c r="D306" s="17" t="n"/>
      <c r="E306" s="17" t="n"/>
      <c r="F306" s="17" t="n"/>
      <c r="G306" s="31" t="n"/>
      <c r="H306" s="28">
        <f>IF($C306="","",IF($F306="CNY",汇率,1))</f>
        <v/>
      </c>
      <c r="I306" s="26">
        <f>IF($C306="","",ROUND(N($G306)*N($H306),0))</f>
        <v/>
      </c>
      <c r="J306" s="17" t="n"/>
      <c r="K306" s="17" t="n"/>
      <c r="L306" s="17" t="n"/>
    </row>
    <row r="307">
      <c r="A307" s="24">
        <f>IF($C307="","",COUNTA($C$4:$C307))</f>
        <v/>
      </c>
      <c r="B307" s="30" t="n"/>
      <c r="C307" s="17" t="n"/>
      <c r="D307" s="17" t="n"/>
      <c r="E307" s="17" t="n"/>
      <c r="F307" s="17" t="n"/>
      <c r="G307" s="31" t="n"/>
      <c r="H307" s="28">
        <f>IF($C307="","",IF($F307="CNY",汇率,1))</f>
        <v/>
      </c>
      <c r="I307" s="26">
        <f>IF($C307="","",ROUND(N($G307)*N($H307),0))</f>
        <v/>
      </c>
      <c r="J307" s="17" t="n"/>
      <c r="K307" s="17" t="n"/>
      <c r="L307" s="17" t="n"/>
    </row>
    <row r="308">
      <c r="A308" s="24">
        <f>IF($C308="","",COUNTA($C$4:$C308))</f>
        <v/>
      </c>
      <c r="B308" s="30" t="n"/>
      <c r="C308" s="17" t="n"/>
      <c r="D308" s="17" t="n"/>
      <c r="E308" s="17" t="n"/>
      <c r="F308" s="17" t="n"/>
      <c r="G308" s="31" t="n"/>
      <c r="H308" s="28">
        <f>IF($C308="","",IF($F308="CNY",汇率,1))</f>
        <v/>
      </c>
      <c r="I308" s="26">
        <f>IF($C308="","",ROUND(N($G308)*N($H308),0))</f>
        <v/>
      </c>
      <c r="J308" s="17" t="n"/>
      <c r="K308" s="17" t="n"/>
      <c r="L308" s="17" t="n"/>
    </row>
    <row r="309">
      <c r="A309" s="24">
        <f>IF($C309="","",COUNTA($C$4:$C309))</f>
        <v/>
      </c>
      <c r="B309" s="30" t="n"/>
      <c r="C309" s="17" t="n"/>
      <c r="D309" s="17" t="n"/>
      <c r="E309" s="17" t="n"/>
      <c r="F309" s="17" t="n"/>
      <c r="G309" s="31" t="n"/>
      <c r="H309" s="28">
        <f>IF($C309="","",IF($F309="CNY",汇率,1))</f>
        <v/>
      </c>
      <c r="I309" s="26">
        <f>IF($C309="","",ROUND(N($G309)*N($H309),0))</f>
        <v/>
      </c>
      <c r="J309" s="17" t="n"/>
      <c r="K309" s="17" t="n"/>
      <c r="L309" s="17" t="n"/>
    </row>
    <row r="310">
      <c r="A310" s="24">
        <f>IF($C310="","",COUNTA($C$4:$C310))</f>
        <v/>
      </c>
      <c r="B310" s="30" t="n"/>
      <c r="C310" s="17" t="n"/>
      <c r="D310" s="17" t="n"/>
      <c r="E310" s="17" t="n"/>
      <c r="F310" s="17" t="n"/>
      <c r="G310" s="31" t="n"/>
      <c r="H310" s="28">
        <f>IF($C310="","",IF($F310="CNY",汇率,1))</f>
        <v/>
      </c>
      <c r="I310" s="26">
        <f>IF($C310="","",ROUND(N($G310)*N($H310),0))</f>
        <v/>
      </c>
      <c r="J310" s="17" t="n"/>
      <c r="K310" s="17" t="n"/>
      <c r="L310" s="17" t="n"/>
    </row>
    <row r="311">
      <c r="A311" s="24">
        <f>IF($C311="","",COUNTA($C$4:$C311))</f>
        <v/>
      </c>
      <c r="B311" s="30" t="n"/>
      <c r="C311" s="17" t="n"/>
      <c r="D311" s="17" t="n"/>
      <c r="E311" s="17" t="n"/>
      <c r="F311" s="17" t="n"/>
      <c r="G311" s="31" t="n"/>
      <c r="H311" s="28">
        <f>IF($C311="","",IF($F311="CNY",汇率,1))</f>
        <v/>
      </c>
      <c r="I311" s="26">
        <f>IF($C311="","",ROUND(N($G311)*N($H311),0))</f>
        <v/>
      </c>
      <c r="J311" s="17" t="n"/>
      <c r="K311" s="17" t="n"/>
      <c r="L311" s="17" t="n"/>
    </row>
    <row r="312">
      <c r="A312" s="24">
        <f>IF($C312="","",COUNTA($C$4:$C312))</f>
        <v/>
      </c>
      <c r="B312" s="30" t="n"/>
      <c r="C312" s="17" t="n"/>
      <c r="D312" s="17" t="n"/>
      <c r="E312" s="17" t="n"/>
      <c r="F312" s="17" t="n"/>
      <c r="G312" s="31" t="n"/>
      <c r="H312" s="28">
        <f>IF($C312="","",IF($F312="CNY",汇率,1))</f>
        <v/>
      </c>
      <c r="I312" s="26">
        <f>IF($C312="","",ROUND(N($G312)*N($H312),0))</f>
        <v/>
      </c>
      <c r="J312" s="17" t="n"/>
      <c r="K312" s="17" t="n"/>
      <c r="L312" s="17" t="n"/>
    </row>
    <row r="313">
      <c r="A313" s="24">
        <f>IF($C313="","",COUNTA($C$4:$C313))</f>
        <v/>
      </c>
      <c r="B313" s="30" t="n"/>
      <c r="C313" s="17" t="n"/>
      <c r="D313" s="17" t="n"/>
      <c r="E313" s="17" t="n"/>
      <c r="F313" s="17" t="n"/>
      <c r="G313" s="31" t="n"/>
      <c r="H313" s="28">
        <f>IF($C313="","",IF($F313="CNY",汇率,1))</f>
        <v/>
      </c>
      <c r="I313" s="26">
        <f>IF($C313="","",ROUND(N($G313)*N($H313),0))</f>
        <v/>
      </c>
      <c r="J313" s="17" t="n"/>
      <c r="K313" s="17" t="n"/>
      <c r="L313" s="17" t="n"/>
    </row>
    <row r="314">
      <c r="A314" s="24">
        <f>IF($C314="","",COUNTA($C$4:$C314))</f>
        <v/>
      </c>
      <c r="B314" s="30" t="n"/>
      <c r="C314" s="17" t="n"/>
      <c r="D314" s="17" t="n"/>
      <c r="E314" s="17" t="n"/>
      <c r="F314" s="17" t="n"/>
      <c r="G314" s="31" t="n"/>
      <c r="H314" s="28">
        <f>IF($C314="","",IF($F314="CNY",汇率,1))</f>
        <v/>
      </c>
      <c r="I314" s="26">
        <f>IF($C314="","",ROUND(N($G314)*N($H314),0))</f>
        <v/>
      </c>
      <c r="J314" s="17" t="n"/>
      <c r="K314" s="17" t="n"/>
      <c r="L314" s="17" t="n"/>
    </row>
    <row r="315">
      <c r="A315" s="24">
        <f>IF($C315="","",COUNTA($C$4:$C315))</f>
        <v/>
      </c>
      <c r="B315" s="30" t="n"/>
      <c r="C315" s="17" t="n"/>
      <c r="D315" s="17" t="n"/>
      <c r="E315" s="17" t="n"/>
      <c r="F315" s="17" t="n"/>
      <c r="G315" s="31" t="n"/>
      <c r="H315" s="28">
        <f>IF($C315="","",IF($F315="CNY",汇率,1))</f>
        <v/>
      </c>
      <c r="I315" s="26">
        <f>IF($C315="","",ROUND(N($G315)*N($H315),0))</f>
        <v/>
      </c>
      <c r="J315" s="17" t="n"/>
      <c r="K315" s="17" t="n"/>
      <c r="L315" s="17" t="n"/>
    </row>
    <row r="316">
      <c r="A316" s="24">
        <f>IF($C316="","",COUNTA($C$4:$C316))</f>
        <v/>
      </c>
      <c r="B316" s="30" t="n"/>
      <c r="C316" s="17" t="n"/>
      <c r="D316" s="17" t="n"/>
      <c r="E316" s="17" t="n"/>
      <c r="F316" s="17" t="n"/>
      <c r="G316" s="31" t="n"/>
      <c r="H316" s="28">
        <f>IF($C316="","",IF($F316="CNY",汇率,1))</f>
        <v/>
      </c>
      <c r="I316" s="26">
        <f>IF($C316="","",ROUND(N($G316)*N($H316),0))</f>
        <v/>
      </c>
      <c r="J316" s="17" t="n"/>
      <c r="K316" s="17" t="n"/>
      <c r="L316" s="17" t="n"/>
    </row>
    <row r="317">
      <c r="A317" s="24">
        <f>IF($C317="","",COUNTA($C$4:$C317))</f>
        <v/>
      </c>
      <c r="B317" s="30" t="n"/>
      <c r="C317" s="17" t="n"/>
      <c r="D317" s="17" t="n"/>
      <c r="E317" s="17" t="n"/>
      <c r="F317" s="17" t="n"/>
      <c r="G317" s="31" t="n"/>
      <c r="H317" s="28">
        <f>IF($C317="","",IF($F317="CNY",汇率,1))</f>
        <v/>
      </c>
      <c r="I317" s="26">
        <f>IF($C317="","",ROUND(N($G317)*N($H317),0))</f>
        <v/>
      </c>
      <c r="J317" s="17" t="n"/>
      <c r="K317" s="17" t="n"/>
      <c r="L317" s="17" t="n"/>
    </row>
    <row r="318">
      <c r="A318" s="24">
        <f>IF($C318="","",COUNTA($C$4:$C318))</f>
        <v/>
      </c>
      <c r="B318" s="30" t="n"/>
      <c r="C318" s="17" t="n"/>
      <c r="D318" s="17" t="n"/>
      <c r="E318" s="17" t="n"/>
      <c r="F318" s="17" t="n"/>
      <c r="G318" s="31" t="n"/>
      <c r="H318" s="28">
        <f>IF($C318="","",IF($F318="CNY",汇率,1))</f>
        <v/>
      </c>
      <c r="I318" s="26">
        <f>IF($C318="","",ROUND(N($G318)*N($H318),0))</f>
        <v/>
      </c>
      <c r="J318" s="17" t="n"/>
      <c r="K318" s="17" t="n"/>
      <c r="L318" s="17" t="n"/>
    </row>
    <row r="319">
      <c r="A319" s="24">
        <f>IF($C319="","",COUNTA($C$4:$C319))</f>
        <v/>
      </c>
      <c r="B319" s="30" t="n"/>
      <c r="C319" s="17" t="n"/>
      <c r="D319" s="17" t="n"/>
      <c r="E319" s="17" t="n"/>
      <c r="F319" s="17" t="n"/>
      <c r="G319" s="31" t="n"/>
      <c r="H319" s="28">
        <f>IF($C319="","",IF($F319="CNY",汇率,1))</f>
        <v/>
      </c>
      <c r="I319" s="26">
        <f>IF($C319="","",ROUND(N($G319)*N($H319),0))</f>
        <v/>
      </c>
      <c r="J319" s="17" t="n"/>
      <c r="K319" s="17" t="n"/>
      <c r="L319" s="17" t="n"/>
    </row>
    <row r="320">
      <c r="A320" s="24">
        <f>IF($C320="","",COUNTA($C$4:$C320))</f>
        <v/>
      </c>
      <c r="B320" s="30" t="n"/>
      <c r="C320" s="17" t="n"/>
      <c r="D320" s="17" t="n"/>
      <c r="E320" s="17" t="n"/>
      <c r="F320" s="17" t="n"/>
      <c r="G320" s="31" t="n"/>
      <c r="H320" s="28">
        <f>IF($C320="","",IF($F320="CNY",汇率,1))</f>
        <v/>
      </c>
      <c r="I320" s="26">
        <f>IF($C320="","",ROUND(N($G320)*N($H320),0))</f>
        <v/>
      </c>
      <c r="J320" s="17" t="n"/>
      <c r="K320" s="17" t="n"/>
      <c r="L320" s="17" t="n"/>
    </row>
    <row r="321">
      <c r="A321" s="24">
        <f>IF($C321="","",COUNTA($C$4:$C321))</f>
        <v/>
      </c>
      <c r="B321" s="30" t="n"/>
      <c r="C321" s="17" t="n"/>
      <c r="D321" s="17" t="n"/>
      <c r="E321" s="17" t="n"/>
      <c r="F321" s="17" t="n"/>
      <c r="G321" s="31" t="n"/>
      <c r="H321" s="28">
        <f>IF($C321="","",IF($F321="CNY",汇率,1))</f>
        <v/>
      </c>
      <c r="I321" s="26">
        <f>IF($C321="","",ROUND(N($G321)*N($H321),0))</f>
        <v/>
      </c>
      <c r="J321" s="17" t="n"/>
      <c r="K321" s="17" t="n"/>
      <c r="L321" s="17" t="n"/>
    </row>
    <row r="322">
      <c r="A322" s="24">
        <f>IF($C322="","",COUNTA($C$4:$C322))</f>
        <v/>
      </c>
      <c r="B322" s="30" t="n"/>
      <c r="C322" s="17" t="n"/>
      <c r="D322" s="17" t="n"/>
      <c r="E322" s="17" t="n"/>
      <c r="F322" s="17" t="n"/>
      <c r="G322" s="31" t="n"/>
      <c r="H322" s="28">
        <f>IF($C322="","",IF($F322="CNY",汇率,1))</f>
        <v/>
      </c>
      <c r="I322" s="26">
        <f>IF($C322="","",ROUND(N($G322)*N($H322),0))</f>
        <v/>
      </c>
      <c r="J322" s="17" t="n"/>
      <c r="K322" s="17" t="n"/>
      <c r="L322" s="17" t="n"/>
    </row>
    <row r="323">
      <c r="A323" s="24">
        <f>IF($C323="","",COUNTA($C$4:$C323))</f>
        <v/>
      </c>
      <c r="B323" s="30" t="n"/>
      <c r="C323" s="17" t="n"/>
      <c r="D323" s="17" t="n"/>
      <c r="E323" s="17" t="n"/>
      <c r="F323" s="17" t="n"/>
      <c r="G323" s="31" t="n"/>
      <c r="H323" s="28">
        <f>IF($C323="","",IF($F323="CNY",汇率,1))</f>
        <v/>
      </c>
      <c r="I323" s="26">
        <f>IF($C323="","",ROUND(N($G323)*N($H323),0))</f>
        <v/>
      </c>
      <c r="J323" s="17" t="n"/>
      <c r="K323" s="17" t="n"/>
      <c r="L323" s="17" t="n"/>
    </row>
    <row r="324">
      <c r="A324" s="24">
        <f>IF($C324="","",COUNTA($C$4:$C324))</f>
        <v/>
      </c>
      <c r="B324" s="30" t="n"/>
      <c r="C324" s="17" t="n"/>
      <c r="D324" s="17" t="n"/>
      <c r="E324" s="17" t="n"/>
      <c r="F324" s="17" t="n"/>
      <c r="G324" s="31" t="n"/>
      <c r="H324" s="28">
        <f>IF($C324="","",IF($F324="CNY",汇率,1))</f>
        <v/>
      </c>
      <c r="I324" s="26">
        <f>IF($C324="","",ROUND(N($G324)*N($H324),0))</f>
        <v/>
      </c>
      <c r="J324" s="17" t="n"/>
      <c r="K324" s="17" t="n"/>
      <c r="L324" s="17" t="n"/>
    </row>
    <row r="325">
      <c r="A325" s="24">
        <f>IF($C325="","",COUNTA($C$4:$C325))</f>
        <v/>
      </c>
      <c r="B325" s="30" t="n"/>
      <c r="C325" s="17" t="n"/>
      <c r="D325" s="17" t="n"/>
      <c r="E325" s="17" t="n"/>
      <c r="F325" s="17" t="n"/>
      <c r="G325" s="31" t="n"/>
      <c r="H325" s="28">
        <f>IF($C325="","",IF($F325="CNY",汇率,1))</f>
        <v/>
      </c>
      <c r="I325" s="26">
        <f>IF($C325="","",ROUND(N($G325)*N($H325),0))</f>
        <v/>
      </c>
      <c r="J325" s="17" t="n"/>
      <c r="K325" s="17" t="n"/>
      <c r="L325" s="17" t="n"/>
    </row>
    <row r="326">
      <c r="A326" s="24">
        <f>IF($C326="","",COUNTA($C$4:$C326))</f>
        <v/>
      </c>
      <c r="B326" s="30" t="n"/>
      <c r="C326" s="17" t="n"/>
      <c r="D326" s="17" t="n"/>
      <c r="E326" s="17" t="n"/>
      <c r="F326" s="17" t="n"/>
      <c r="G326" s="31" t="n"/>
      <c r="H326" s="28">
        <f>IF($C326="","",IF($F326="CNY",汇率,1))</f>
        <v/>
      </c>
      <c r="I326" s="26">
        <f>IF($C326="","",ROUND(N($G326)*N($H326),0))</f>
        <v/>
      </c>
      <c r="J326" s="17" t="n"/>
      <c r="K326" s="17" t="n"/>
      <c r="L326" s="17" t="n"/>
    </row>
    <row r="327">
      <c r="A327" s="24">
        <f>IF($C327="","",COUNTA($C$4:$C327))</f>
        <v/>
      </c>
      <c r="B327" s="30" t="n"/>
      <c r="C327" s="17" t="n"/>
      <c r="D327" s="17" t="n"/>
      <c r="E327" s="17" t="n"/>
      <c r="F327" s="17" t="n"/>
      <c r="G327" s="31" t="n"/>
      <c r="H327" s="28">
        <f>IF($C327="","",IF($F327="CNY",汇率,1))</f>
        <v/>
      </c>
      <c r="I327" s="26">
        <f>IF($C327="","",ROUND(N($G327)*N($H327),0))</f>
        <v/>
      </c>
      <c r="J327" s="17" t="n"/>
      <c r="K327" s="17" t="n"/>
      <c r="L327" s="17" t="n"/>
    </row>
    <row r="328">
      <c r="A328" s="24">
        <f>IF($C328="","",COUNTA($C$4:$C328))</f>
        <v/>
      </c>
      <c r="B328" s="30" t="n"/>
      <c r="C328" s="17" t="n"/>
      <c r="D328" s="17" t="n"/>
      <c r="E328" s="17" t="n"/>
      <c r="F328" s="17" t="n"/>
      <c r="G328" s="31" t="n"/>
      <c r="H328" s="28">
        <f>IF($C328="","",IF($F328="CNY",汇率,1))</f>
        <v/>
      </c>
      <c r="I328" s="26">
        <f>IF($C328="","",ROUND(N($G328)*N($H328),0))</f>
        <v/>
      </c>
      <c r="J328" s="17" t="n"/>
      <c r="K328" s="17" t="n"/>
      <c r="L328" s="17" t="n"/>
    </row>
    <row r="329">
      <c r="A329" s="24">
        <f>IF($C329="","",COUNTA($C$4:$C329))</f>
        <v/>
      </c>
      <c r="B329" s="30" t="n"/>
      <c r="C329" s="17" t="n"/>
      <c r="D329" s="17" t="n"/>
      <c r="E329" s="17" t="n"/>
      <c r="F329" s="17" t="n"/>
      <c r="G329" s="31" t="n"/>
      <c r="H329" s="28">
        <f>IF($C329="","",IF($F329="CNY",汇率,1))</f>
        <v/>
      </c>
      <c r="I329" s="26">
        <f>IF($C329="","",ROUND(N($G329)*N($H329),0))</f>
        <v/>
      </c>
      <c r="J329" s="17" t="n"/>
      <c r="K329" s="17" t="n"/>
      <c r="L329" s="17" t="n"/>
    </row>
    <row r="330">
      <c r="A330" s="24">
        <f>IF($C330="","",COUNTA($C$4:$C330))</f>
        <v/>
      </c>
      <c r="B330" s="30" t="n"/>
      <c r="C330" s="17" t="n"/>
      <c r="D330" s="17" t="n"/>
      <c r="E330" s="17" t="n"/>
      <c r="F330" s="17" t="n"/>
      <c r="G330" s="31" t="n"/>
      <c r="H330" s="28">
        <f>IF($C330="","",IF($F330="CNY",汇率,1))</f>
        <v/>
      </c>
      <c r="I330" s="26">
        <f>IF($C330="","",ROUND(N($G330)*N($H330),0))</f>
        <v/>
      </c>
      <c r="J330" s="17" t="n"/>
      <c r="K330" s="17" t="n"/>
      <c r="L330" s="17" t="n"/>
    </row>
    <row r="331">
      <c r="A331" s="24">
        <f>IF($C331="","",COUNTA($C$4:$C331))</f>
        <v/>
      </c>
      <c r="B331" s="30" t="n"/>
      <c r="C331" s="17" t="n"/>
      <c r="D331" s="17" t="n"/>
      <c r="E331" s="17" t="n"/>
      <c r="F331" s="17" t="n"/>
      <c r="G331" s="31" t="n"/>
      <c r="H331" s="28">
        <f>IF($C331="","",IF($F331="CNY",汇率,1))</f>
        <v/>
      </c>
      <c r="I331" s="26">
        <f>IF($C331="","",ROUND(N($G331)*N($H331),0))</f>
        <v/>
      </c>
      <c r="J331" s="17" t="n"/>
      <c r="K331" s="17" t="n"/>
      <c r="L331" s="17" t="n"/>
    </row>
    <row r="332">
      <c r="A332" s="24">
        <f>IF($C332="","",COUNTA($C$4:$C332))</f>
        <v/>
      </c>
      <c r="B332" s="30" t="n"/>
      <c r="C332" s="17" t="n"/>
      <c r="D332" s="17" t="n"/>
      <c r="E332" s="17" t="n"/>
      <c r="F332" s="17" t="n"/>
      <c r="G332" s="31" t="n"/>
      <c r="H332" s="28">
        <f>IF($C332="","",IF($F332="CNY",汇率,1))</f>
        <v/>
      </c>
      <c r="I332" s="26">
        <f>IF($C332="","",ROUND(N($G332)*N($H332),0))</f>
        <v/>
      </c>
      <c r="J332" s="17" t="n"/>
      <c r="K332" s="17" t="n"/>
      <c r="L332" s="17" t="n"/>
    </row>
    <row r="333">
      <c r="A333" s="24">
        <f>IF($C333="","",COUNTA($C$4:$C333))</f>
        <v/>
      </c>
      <c r="B333" s="30" t="n"/>
      <c r="C333" s="17" t="n"/>
      <c r="D333" s="17" t="n"/>
      <c r="E333" s="17" t="n"/>
      <c r="F333" s="17" t="n"/>
      <c r="G333" s="31" t="n"/>
      <c r="H333" s="28">
        <f>IF($C333="","",IF($F333="CNY",汇率,1))</f>
        <v/>
      </c>
      <c r="I333" s="26">
        <f>IF($C333="","",ROUND(N($G333)*N($H333),0))</f>
        <v/>
      </c>
      <c r="J333" s="17" t="n"/>
      <c r="K333" s="17" t="n"/>
      <c r="L333" s="17" t="n"/>
    </row>
    <row r="334">
      <c r="A334" s="24">
        <f>IF($C334="","",COUNTA($C$4:$C334))</f>
        <v/>
      </c>
      <c r="B334" s="30" t="n"/>
      <c r="C334" s="17" t="n"/>
      <c r="D334" s="17" t="n"/>
      <c r="E334" s="17" t="n"/>
      <c r="F334" s="17" t="n"/>
      <c r="G334" s="31" t="n"/>
      <c r="H334" s="28">
        <f>IF($C334="","",IF($F334="CNY",汇率,1))</f>
        <v/>
      </c>
      <c r="I334" s="26">
        <f>IF($C334="","",ROUND(N($G334)*N($H334),0))</f>
        <v/>
      </c>
      <c r="J334" s="17" t="n"/>
      <c r="K334" s="17" t="n"/>
      <c r="L334" s="17" t="n"/>
    </row>
    <row r="335">
      <c r="A335" s="24">
        <f>IF($C335="","",COUNTA($C$4:$C335))</f>
        <v/>
      </c>
      <c r="B335" s="30" t="n"/>
      <c r="C335" s="17" t="n"/>
      <c r="D335" s="17" t="n"/>
      <c r="E335" s="17" t="n"/>
      <c r="F335" s="17" t="n"/>
      <c r="G335" s="31" t="n"/>
      <c r="H335" s="28">
        <f>IF($C335="","",IF($F335="CNY",汇率,1))</f>
        <v/>
      </c>
      <c r="I335" s="26">
        <f>IF($C335="","",ROUND(N($G335)*N($H335),0))</f>
        <v/>
      </c>
      <c r="J335" s="17" t="n"/>
      <c r="K335" s="17" t="n"/>
      <c r="L335" s="17" t="n"/>
    </row>
    <row r="336">
      <c r="A336" s="24">
        <f>IF($C336="","",COUNTA($C$4:$C336))</f>
        <v/>
      </c>
      <c r="B336" s="30" t="n"/>
      <c r="C336" s="17" t="n"/>
      <c r="D336" s="17" t="n"/>
      <c r="E336" s="17" t="n"/>
      <c r="F336" s="17" t="n"/>
      <c r="G336" s="31" t="n"/>
      <c r="H336" s="28">
        <f>IF($C336="","",IF($F336="CNY",汇率,1))</f>
        <v/>
      </c>
      <c r="I336" s="26">
        <f>IF($C336="","",ROUND(N($G336)*N($H336),0))</f>
        <v/>
      </c>
      <c r="J336" s="17" t="n"/>
      <c r="K336" s="17" t="n"/>
      <c r="L336" s="17" t="n"/>
    </row>
    <row r="337">
      <c r="A337" s="24">
        <f>IF($C337="","",COUNTA($C$4:$C337))</f>
        <v/>
      </c>
      <c r="B337" s="30" t="n"/>
      <c r="C337" s="17" t="n"/>
      <c r="D337" s="17" t="n"/>
      <c r="E337" s="17" t="n"/>
      <c r="F337" s="17" t="n"/>
      <c r="G337" s="31" t="n"/>
      <c r="H337" s="28">
        <f>IF($C337="","",IF($F337="CNY",汇率,1))</f>
        <v/>
      </c>
      <c r="I337" s="26">
        <f>IF($C337="","",ROUND(N($G337)*N($H337),0))</f>
        <v/>
      </c>
      <c r="J337" s="17" t="n"/>
      <c r="K337" s="17" t="n"/>
      <c r="L337" s="17" t="n"/>
    </row>
    <row r="338">
      <c r="A338" s="24">
        <f>IF($C338="","",COUNTA($C$4:$C338))</f>
        <v/>
      </c>
      <c r="B338" s="30" t="n"/>
      <c r="C338" s="17" t="n"/>
      <c r="D338" s="17" t="n"/>
      <c r="E338" s="17" t="n"/>
      <c r="F338" s="17" t="n"/>
      <c r="G338" s="31" t="n"/>
      <c r="H338" s="28">
        <f>IF($C338="","",IF($F338="CNY",汇率,1))</f>
        <v/>
      </c>
      <c r="I338" s="26">
        <f>IF($C338="","",ROUND(N($G338)*N($H338),0))</f>
        <v/>
      </c>
      <c r="J338" s="17" t="n"/>
      <c r="K338" s="17" t="n"/>
      <c r="L338" s="17" t="n"/>
    </row>
    <row r="339">
      <c r="A339" s="24">
        <f>IF($C339="","",COUNTA($C$4:$C339))</f>
        <v/>
      </c>
      <c r="B339" s="30" t="n"/>
      <c r="C339" s="17" t="n"/>
      <c r="D339" s="17" t="n"/>
      <c r="E339" s="17" t="n"/>
      <c r="F339" s="17" t="n"/>
      <c r="G339" s="31" t="n"/>
      <c r="H339" s="28">
        <f>IF($C339="","",IF($F339="CNY",汇率,1))</f>
        <v/>
      </c>
      <c r="I339" s="26">
        <f>IF($C339="","",ROUND(N($G339)*N($H339),0))</f>
        <v/>
      </c>
      <c r="J339" s="17" t="n"/>
      <c r="K339" s="17" t="n"/>
      <c r="L339" s="17" t="n"/>
    </row>
    <row r="340">
      <c r="A340" s="24">
        <f>IF($C340="","",COUNTA($C$4:$C340))</f>
        <v/>
      </c>
      <c r="B340" s="30" t="n"/>
      <c r="C340" s="17" t="n"/>
      <c r="D340" s="17" t="n"/>
      <c r="E340" s="17" t="n"/>
      <c r="F340" s="17" t="n"/>
      <c r="G340" s="31" t="n"/>
      <c r="H340" s="28">
        <f>IF($C340="","",IF($F340="CNY",汇率,1))</f>
        <v/>
      </c>
      <c r="I340" s="26">
        <f>IF($C340="","",ROUND(N($G340)*N($H340),0))</f>
        <v/>
      </c>
      <c r="J340" s="17" t="n"/>
      <c r="K340" s="17" t="n"/>
      <c r="L340" s="17" t="n"/>
    </row>
    <row r="341">
      <c r="A341" s="24">
        <f>IF($C341="","",COUNTA($C$4:$C341))</f>
        <v/>
      </c>
      <c r="B341" s="30" t="n"/>
      <c r="C341" s="17" t="n"/>
      <c r="D341" s="17" t="n"/>
      <c r="E341" s="17" t="n"/>
      <c r="F341" s="17" t="n"/>
      <c r="G341" s="31" t="n"/>
      <c r="H341" s="28">
        <f>IF($C341="","",IF($F341="CNY",汇率,1))</f>
        <v/>
      </c>
      <c r="I341" s="26">
        <f>IF($C341="","",ROUND(N($G341)*N($H341),0))</f>
        <v/>
      </c>
      <c r="J341" s="17" t="n"/>
      <c r="K341" s="17" t="n"/>
      <c r="L341" s="17" t="n"/>
    </row>
    <row r="342">
      <c r="A342" s="24">
        <f>IF($C342="","",COUNTA($C$4:$C342))</f>
        <v/>
      </c>
      <c r="B342" s="30" t="n"/>
      <c r="C342" s="17" t="n"/>
      <c r="D342" s="17" t="n"/>
      <c r="E342" s="17" t="n"/>
      <c r="F342" s="17" t="n"/>
      <c r="G342" s="31" t="n"/>
      <c r="H342" s="28">
        <f>IF($C342="","",IF($F342="CNY",汇率,1))</f>
        <v/>
      </c>
      <c r="I342" s="26">
        <f>IF($C342="","",ROUND(N($G342)*N($H342),0))</f>
        <v/>
      </c>
      <c r="J342" s="17" t="n"/>
      <c r="K342" s="17" t="n"/>
      <c r="L342" s="17" t="n"/>
    </row>
    <row r="343">
      <c r="A343" s="24">
        <f>IF($C343="","",COUNTA($C$4:$C343))</f>
        <v/>
      </c>
      <c r="B343" s="30" t="n"/>
      <c r="C343" s="17" t="n"/>
      <c r="D343" s="17" t="n"/>
      <c r="E343" s="17" t="n"/>
      <c r="F343" s="17" t="n"/>
      <c r="G343" s="31" t="n"/>
      <c r="H343" s="28">
        <f>IF($C343="","",IF($F343="CNY",汇率,1))</f>
        <v/>
      </c>
      <c r="I343" s="26">
        <f>IF($C343="","",ROUND(N($G343)*N($H343),0))</f>
        <v/>
      </c>
      <c r="J343" s="17" t="n"/>
      <c r="K343" s="17" t="n"/>
      <c r="L343" s="17" t="n"/>
    </row>
    <row r="344">
      <c r="A344" s="24">
        <f>IF($C344="","",COUNTA($C$4:$C344))</f>
        <v/>
      </c>
      <c r="B344" s="30" t="n"/>
      <c r="C344" s="17" t="n"/>
      <c r="D344" s="17" t="n"/>
      <c r="E344" s="17" t="n"/>
      <c r="F344" s="17" t="n"/>
      <c r="G344" s="31" t="n"/>
      <c r="H344" s="28">
        <f>IF($C344="","",IF($F344="CNY",汇率,1))</f>
        <v/>
      </c>
      <c r="I344" s="26">
        <f>IF($C344="","",ROUND(N($G344)*N($H344),0))</f>
        <v/>
      </c>
      <c r="J344" s="17" t="n"/>
      <c r="K344" s="17" t="n"/>
      <c r="L344" s="17" t="n"/>
    </row>
    <row r="345">
      <c r="A345" s="24">
        <f>IF($C345="","",COUNTA($C$4:$C345))</f>
        <v/>
      </c>
      <c r="B345" s="30" t="n"/>
      <c r="C345" s="17" t="n"/>
      <c r="D345" s="17" t="n"/>
      <c r="E345" s="17" t="n"/>
      <c r="F345" s="17" t="n"/>
      <c r="G345" s="31" t="n"/>
      <c r="H345" s="28">
        <f>IF($C345="","",IF($F345="CNY",汇率,1))</f>
        <v/>
      </c>
      <c r="I345" s="26">
        <f>IF($C345="","",ROUND(N($G345)*N($H345),0))</f>
        <v/>
      </c>
      <c r="J345" s="17" t="n"/>
      <c r="K345" s="17" t="n"/>
      <c r="L345" s="17" t="n"/>
    </row>
    <row r="346">
      <c r="A346" s="24">
        <f>IF($C346="","",COUNTA($C$4:$C346))</f>
        <v/>
      </c>
      <c r="B346" s="30" t="n"/>
      <c r="C346" s="17" t="n"/>
      <c r="D346" s="17" t="n"/>
      <c r="E346" s="17" t="n"/>
      <c r="F346" s="17" t="n"/>
      <c r="G346" s="31" t="n"/>
      <c r="H346" s="28">
        <f>IF($C346="","",IF($F346="CNY",汇率,1))</f>
        <v/>
      </c>
      <c r="I346" s="26">
        <f>IF($C346="","",ROUND(N($G346)*N($H346),0))</f>
        <v/>
      </c>
      <c r="J346" s="17" t="n"/>
      <c r="K346" s="17" t="n"/>
      <c r="L346" s="17" t="n"/>
    </row>
    <row r="347">
      <c r="A347" s="24">
        <f>IF($C347="","",COUNTA($C$4:$C347))</f>
        <v/>
      </c>
      <c r="B347" s="30" t="n"/>
      <c r="C347" s="17" t="n"/>
      <c r="D347" s="17" t="n"/>
      <c r="E347" s="17" t="n"/>
      <c r="F347" s="17" t="n"/>
      <c r="G347" s="31" t="n"/>
      <c r="H347" s="28">
        <f>IF($C347="","",IF($F347="CNY",汇率,1))</f>
        <v/>
      </c>
      <c r="I347" s="26">
        <f>IF($C347="","",ROUND(N($G347)*N($H347),0))</f>
        <v/>
      </c>
      <c r="J347" s="17" t="n"/>
      <c r="K347" s="17" t="n"/>
      <c r="L347" s="17" t="n"/>
    </row>
    <row r="348">
      <c r="A348" s="24">
        <f>IF($C348="","",COUNTA($C$4:$C348))</f>
        <v/>
      </c>
      <c r="B348" s="30" t="n"/>
      <c r="C348" s="17" t="n"/>
      <c r="D348" s="17" t="n"/>
      <c r="E348" s="17" t="n"/>
      <c r="F348" s="17" t="n"/>
      <c r="G348" s="31" t="n"/>
      <c r="H348" s="28">
        <f>IF($C348="","",IF($F348="CNY",汇率,1))</f>
        <v/>
      </c>
      <c r="I348" s="26">
        <f>IF($C348="","",ROUND(N($G348)*N($H348),0))</f>
        <v/>
      </c>
      <c r="J348" s="17" t="n"/>
      <c r="K348" s="17" t="n"/>
      <c r="L348" s="17" t="n"/>
    </row>
    <row r="349">
      <c r="A349" s="24">
        <f>IF($C349="","",COUNTA($C$4:$C349))</f>
        <v/>
      </c>
      <c r="B349" s="30" t="n"/>
      <c r="C349" s="17" t="n"/>
      <c r="D349" s="17" t="n"/>
      <c r="E349" s="17" t="n"/>
      <c r="F349" s="17" t="n"/>
      <c r="G349" s="31" t="n"/>
      <c r="H349" s="28">
        <f>IF($C349="","",IF($F349="CNY",汇率,1))</f>
        <v/>
      </c>
      <c r="I349" s="26">
        <f>IF($C349="","",ROUND(N($G349)*N($H349),0))</f>
        <v/>
      </c>
      <c r="J349" s="17" t="n"/>
      <c r="K349" s="17" t="n"/>
      <c r="L349" s="17" t="n"/>
    </row>
    <row r="350">
      <c r="A350" s="24">
        <f>IF($C350="","",COUNTA($C$4:$C350))</f>
        <v/>
      </c>
      <c r="B350" s="30" t="n"/>
      <c r="C350" s="17" t="n"/>
      <c r="D350" s="17" t="n"/>
      <c r="E350" s="17" t="n"/>
      <c r="F350" s="17" t="n"/>
      <c r="G350" s="31" t="n"/>
      <c r="H350" s="28">
        <f>IF($C350="","",IF($F350="CNY",汇率,1))</f>
        <v/>
      </c>
      <c r="I350" s="26">
        <f>IF($C350="","",ROUND(N($G350)*N($H350),0))</f>
        <v/>
      </c>
      <c r="J350" s="17" t="n"/>
      <c r="K350" s="17" t="n"/>
      <c r="L350" s="17" t="n"/>
    </row>
    <row r="351">
      <c r="A351" s="24">
        <f>IF($C351="","",COUNTA($C$4:$C351))</f>
        <v/>
      </c>
      <c r="B351" s="30" t="n"/>
      <c r="C351" s="17" t="n"/>
      <c r="D351" s="17" t="n"/>
      <c r="E351" s="17" t="n"/>
      <c r="F351" s="17" t="n"/>
      <c r="G351" s="31" t="n"/>
      <c r="H351" s="28">
        <f>IF($C351="","",IF($F351="CNY",汇率,1))</f>
        <v/>
      </c>
      <c r="I351" s="26">
        <f>IF($C351="","",ROUND(N($G351)*N($H351),0))</f>
        <v/>
      </c>
      <c r="J351" s="17" t="n"/>
      <c r="K351" s="17" t="n"/>
      <c r="L351" s="17" t="n"/>
    </row>
    <row r="352">
      <c r="A352" s="24">
        <f>IF($C352="","",COUNTA($C$4:$C352))</f>
        <v/>
      </c>
      <c r="B352" s="30" t="n"/>
      <c r="C352" s="17" t="n"/>
      <c r="D352" s="17" t="n"/>
      <c r="E352" s="17" t="n"/>
      <c r="F352" s="17" t="n"/>
      <c r="G352" s="31" t="n"/>
      <c r="H352" s="28">
        <f>IF($C352="","",IF($F352="CNY",汇率,1))</f>
        <v/>
      </c>
      <c r="I352" s="26">
        <f>IF($C352="","",ROUND(N($G352)*N($H352),0))</f>
        <v/>
      </c>
      <c r="J352" s="17" t="n"/>
      <c r="K352" s="17" t="n"/>
      <c r="L352" s="17" t="n"/>
    </row>
    <row r="353">
      <c r="A353" s="24">
        <f>IF($C353="","",COUNTA($C$4:$C353))</f>
        <v/>
      </c>
      <c r="B353" s="30" t="n"/>
      <c r="C353" s="17" t="n"/>
      <c r="D353" s="17" t="n"/>
      <c r="E353" s="17" t="n"/>
      <c r="F353" s="17" t="n"/>
      <c r="G353" s="31" t="n"/>
      <c r="H353" s="28">
        <f>IF($C353="","",IF($F353="CNY",汇率,1))</f>
        <v/>
      </c>
      <c r="I353" s="26">
        <f>IF($C353="","",ROUND(N($G353)*N($H353),0))</f>
        <v/>
      </c>
      <c r="J353" s="17" t="n"/>
      <c r="K353" s="17" t="n"/>
      <c r="L353" s="17" t="n"/>
    </row>
    <row r="354">
      <c r="A354" s="24">
        <f>IF($C354="","",COUNTA($C$4:$C354))</f>
        <v/>
      </c>
      <c r="B354" s="30" t="n"/>
      <c r="C354" s="17" t="n"/>
      <c r="D354" s="17" t="n"/>
      <c r="E354" s="17" t="n"/>
      <c r="F354" s="17" t="n"/>
      <c r="G354" s="31" t="n"/>
      <c r="H354" s="28">
        <f>IF($C354="","",IF($F354="CNY",汇率,1))</f>
        <v/>
      </c>
      <c r="I354" s="26">
        <f>IF($C354="","",ROUND(N($G354)*N($H354),0))</f>
        <v/>
      </c>
      <c r="J354" s="17" t="n"/>
      <c r="K354" s="17" t="n"/>
      <c r="L354" s="17" t="n"/>
    </row>
    <row r="355">
      <c r="A355" s="24">
        <f>IF($C355="","",COUNTA($C$4:$C355))</f>
        <v/>
      </c>
      <c r="B355" s="30" t="n"/>
      <c r="C355" s="17" t="n"/>
      <c r="D355" s="17" t="n"/>
      <c r="E355" s="17" t="n"/>
      <c r="F355" s="17" t="n"/>
      <c r="G355" s="31" t="n"/>
      <c r="H355" s="28">
        <f>IF($C355="","",IF($F355="CNY",汇率,1))</f>
        <v/>
      </c>
      <c r="I355" s="26">
        <f>IF($C355="","",ROUND(N($G355)*N($H355),0))</f>
        <v/>
      </c>
      <c r="J355" s="17" t="n"/>
      <c r="K355" s="17" t="n"/>
      <c r="L355" s="17" t="n"/>
    </row>
    <row r="356">
      <c r="A356" s="24">
        <f>IF($C356="","",COUNTA($C$4:$C356))</f>
        <v/>
      </c>
      <c r="B356" s="30" t="n"/>
      <c r="C356" s="17" t="n"/>
      <c r="D356" s="17" t="n"/>
      <c r="E356" s="17" t="n"/>
      <c r="F356" s="17" t="n"/>
      <c r="G356" s="31" t="n"/>
      <c r="H356" s="28">
        <f>IF($C356="","",IF($F356="CNY",汇率,1))</f>
        <v/>
      </c>
      <c r="I356" s="26">
        <f>IF($C356="","",ROUND(N($G356)*N($H356),0))</f>
        <v/>
      </c>
      <c r="J356" s="17" t="n"/>
      <c r="K356" s="17" t="n"/>
      <c r="L356" s="17" t="n"/>
    </row>
    <row r="357">
      <c r="A357" s="24">
        <f>IF($C357="","",COUNTA($C$4:$C357))</f>
        <v/>
      </c>
      <c r="B357" s="30" t="n"/>
      <c r="C357" s="17" t="n"/>
      <c r="D357" s="17" t="n"/>
      <c r="E357" s="17" t="n"/>
      <c r="F357" s="17" t="n"/>
      <c r="G357" s="31" t="n"/>
      <c r="H357" s="28">
        <f>IF($C357="","",IF($F357="CNY",汇率,1))</f>
        <v/>
      </c>
      <c r="I357" s="26">
        <f>IF($C357="","",ROUND(N($G357)*N($H357),0))</f>
        <v/>
      </c>
      <c r="J357" s="17" t="n"/>
      <c r="K357" s="17" t="n"/>
      <c r="L357" s="17" t="n"/>
    </row>
    <row r="358">
      <c r="A358" s="24">
        <f>IF($C358="","",COUNTA($C$4:$C358))</f>
        <v/>
      </c>
      <c r="B358" s="30" t="n"/>
      <c r="C358" s="17" t="n"/>
      <c r="D358" s="17" t="n"/>
      <c r="E358" s="17" t="n"/>
      <c r="F358" s="17" t="n"/>
      <c r="G358" s="31" t="n"/>
      <c r="H358" s="28">
        <f>IF($C358="","",IF($F358="CNY",汇率,1))</f>
        <v/>
      </c>
      <c r="I358" s="26">
        <f>IF($C358="","",ROUND(N($G358)*N($H358),0))</f>
        <v/>
      </c>
      <c r="J358" s="17" t="n"/>
      <c r="K358" s="17" t="n"/>
      <c r="L358" s="17" t="n"/>
    </row>
    <row r="359">
      <c r="A359" s="24">
        <f>IF($C359="","",COUNTA($C$4:$C359))</f>
        <v/>
      </c>
      <c r="B359" s="30" t="n"/>
      <c r="C359" s="17" t="n"/>
      <c r="D359" s="17" t="n"/>
      <c r="E359" s="17" t="n"/>
      <c r="F359" s="17" t="n"/>
      <c r="G359" s="31" t="n"/>
      <c r="H359" s="28">
        <f>IF($C359="","",IF($F359="CNY",汇率,1))</f>
        <v/>
      </c>
      <c r="I359" s="26">
        <f>IF($C359="","",ROUND(N($G359)*N($H359),0))</f>
        <v/>
      </c>
      <c r="J359" s="17" t="n"/>
      <c r="K359" s="17" t="n"/>
      <c r="L359" s="17" t="n"/>
    </row>
    <row r="360">
      <c r="A360" s="24">
        <f>IF($C360="","",COUNTA($C$4:$C360))</f>
        <v/>
      </c>
      <c r="B360" s="30" t="n"/>
      <c r="C360" s="17" t="n"/>
      <c r="D360" s="17" t="n"/>
      <c r="E360" s="17" t="n"/>
      <c r="F360" s="17" t="n"/>
      <c r="G360" s="31" t="n"/>
      <c r="H360" s="28">
        <f>IF($C360="","",IF($F360="CNY",汇率,1))</f>
        <v/>
      </c>
      <c r="I360" s="26">
        <f>IF($C360="","",ROUND(N($G360)*N($H360),0))</f>
        <v/>
      </c>
      <c r="J360" s="17" t="n"/>
      <c r="K360" s="17" t="n"/>
      <c r="L360" s="17" t="n"/>
    </row>
    <row r="361">
      <c r="A361" s="24">
        <f>IF($C361="","",COUNTA($C$4:$C361))</f>
        <v/>
      </c>
      <c r="B361" s="30" t="n"/>
      <c r="C361" s="17" t="n"/>
      <c r="D361" s="17" t="n"/>
      <c r="E361" s="17" t="n"/>
      <c r="F361" s="17" t="n"/>
      <c r="G361" s="31" t="n"/>
      <c r="H361" s="28">
        <f>IF($C361="","",IF($F361="CNY",汇率,1))</f>
        <v/>
      </c>
      <c r="I361" s="26">
        <f>IF($C361="","",ROUND(N($G361)*N($H361),0))</f>
        <v/>
      </c>
      <c r="J361" s="17" t="n"/>
      <c r="K361" s="17" t="n"/>
      <c r="L361" s="17" t="n"/>
    </row>
    <row r="362">
      <c r="A362" s="24">
        <f>IF($C362="","",COUNTA($C$4:$C362))</f>
        <v/>
      </c>
      <c r="B362" s="30" t="n"/>
      <c r="C362" s="17" t="n"/>
      <c r="D362" s="17" t="n"/>
      <c r="E362" s="17" t="n"/>
      <c r="F362" s="17" t="n"/>
      <c r="G362" s="31" t="n"/>
      <c r="H362" s="28">
        <f>IF($C362="","",IF($F362="CNY",汇率,1))</f>
        <v/>
      </c>
      <c r="I362" s="26">
        <f>IF($C362="","",ROUND(N($G362)*N($H362),0))</f>
        <v/>
      </c>
      <c r="J362" s="17" t="n"/>
      <c r="K362" s="17" t="n"/>
      <c r="L362" s="17" t="n"/>
    </row>
    <row r="363">
      <c r="A363" s="24">
        <f>IF($C363="","",COUNTA($C$4:$C363))</f>
        <v/>
      </c>
      <c r="B363" s="30" t="n"/>
      <c r="C363" s="17" t="n"/>
      <c r="D363" s="17" t="n"/>
      <c r="E363" s="17" t="n"/>
      <c r="F363" s="17" t="n"/>
      <c r="G363" s="31" t="n"/>
      <c r="H363" s="28">
        <f>IF($C363="","",IF($F363="CNY",汇率,1))</f>
        <v/>
      </c>
      <c r="I363" s="26">
        <f>IF($C363="","",ROUND(N($G363)*N($H363),0))</f>
        <v/>
      </c>
      <c r="J363" s="17" t="n"/>
      <c r="K363" s="17" t="n"/>
      <c r="L363" s="17" t="n"/>
    </row>
    <row r="364">
      <c r="A364" s="24">
        <f>IF($C364="","",COUNTA($C$4:$C364))</f>
        <v/>
      </c>
      <c r="B364" s="30" t="n"/>
      <c r="C364" s="17" t="n"/>
      <c r="D364" s="17" t="n"/>
      <c r="E364" s="17" t="n"/>
      <c r="F364" s="17" t="n"/>
      <c r="G364" s="31" t="n"/>
      <c r="H364" s="28">
        <f>IF($C364="","",IF($F364="CNY",汇率,1))</f>
        <v/>
      </c>
      <c r="I364" s="26">
        <f>IF($C364="","",ROUND(N($G364)*N($H364),0))</f>
        <v/>
      </c>
      <c r="J364" s="17" t="n"/>
      <c r="K364" s="17" t="n"/>
      <c r="L364" s="17" t="n"/>
    </row>
    <row r="365">
      <c r="A365" s="24">
        <f>IF($C365="","",COUNTA($C$4:$C365))</f>
        <v/>
      </c>
      <c r="B365" s="30" t="n"/>
      <c r="C365" s="17" t="n"/>
      <c r="D365" s="17" t="n"/>
      <c r="E365" s="17" t="n"/>
      <c r="F365" s="17" t="n"/>
      <c r="G365" s="31" t="n"/>
      <c r="H365" s="28">
        <f>IF($C365="","",IF($F365="CNY",汇率,1))</f>
        <v/>
      </c>
      <c r="I365" s="26">
        <f>IF($C365="","",ROUND(N($G365)*N($H365),0))</f>
        <v/>
      </c>
      <c r="J365" s="17" t="n"/>
      <c r="K365" s="17" t="n"/>
      <c r="L365" s="17" t="n"/>
    </row>
    <row r="366">
      <c r="A366" s="24">
        <f>IF($C366="","",COUNTA($C$4:$C366))</f>
        <v/>
      </c>
      <c r="B366" s="30" t="n"/>
      <c r="C366" s="17" t="n"/>
      <c r="D366" s="17" t="n"/>
      <c r="E366" s="17" t="n"/>
      <c r="F366" s="17" t="n"/>
      <c r="G366" s="31" t="n"/>
      <c r="H366" s="28">
        <f>IF($C366="","",IF($F366="CNY",汇率,1))</f>
        <v/>
      </c>
      <c r="I366" s="26">
        <f>IF($C366="","",ROUND(N($G366)*N($H366),0))</f>
        <v/>
      </c>
      <c r="J366" s="17" t="n"/>
      <c r="K366" s="17" t="n"/>
      <c r="L366" s="17" t="n"/>
    </row>
    <row r="367">
      <c r="A367" s="24">
        <f>IF($C367="","",COUNTA($C$4:$C367))</f>
        <v/>
      </c>
      <c r="B367" s="30" t="n"/>
      <c r="C367" s="17" t="n"/>
      <c r="D367" s="17" t="n"/>
      <c r="E367" s="17" t="n"/>
      <c r="F367" s="17" t="n"/>
      <c r="G367" s="31" t="n"/>
      <c r="H367" s="28">
        <f>IF($C367="","",IF($F367="CNY",汇率,1))</f>
        <v/>
      </c>
      <c r="I367" s="26">
        <f>IF($C367="","",ROUND(N($G367)*N($H367),0))</f>
        <v/>
      </c>
      <c r="J367" s="17" t="n"/>
      <c r="K367" s="17" t="n"/>
      <c r="L367" s="17" t="n"/>
    </row>
    <row r="368">
      <c r="A368" s="24">
        <f>IF($C368="","",COUNTA($C$4:$C368))</f>
        <v/>
      </c>
      <c r="B368" s="30" t="n"/>
      <c r="C368" s="17" t="n"/>
      <c r="D368" s="17" t="n"/>
      <c r="E368" s="17" t="n"/>
      <c r="F368" s="17" t="n"/>
      <c r="G368" s="31" t="n"/>
      <c r="H368" s="28">
        <f>IF($C368="","",IF($F368="CNY",汇率,1))</f>
        <v/>
      </c>
      <c r="I368" s="26">
        <f>IF($C368="","",ROUND(N($G368)*N($H368),0))</f>
        <v/>
      </c>
      <c r="J368" s="17" t="n"/>
      <c r="K368" s="17" t="n"/>
      <c r="L368" s="17" t="n"/>
    </row>
    <row r="369">
      <c r="A369" s="24">
        <f>IF($C369="","",COUNTA($C$4:$C369))</f>
        <v/>
      </c>
      <c r="B369" s="30" t="n"/>
      <c r="C369" s="17" t="n"/>
      <c r="D369" s="17" t="n"/>
      <c r="E369" s="17" t="n"/>
      <c r="F369" s="17" t="n"/>
      <c r="G369" s="31" t="n"/>
      <c r="H369" s="28">
        <f>IF($C369="","",IF($F369="CNY",汇率,1))</f>
        <v/>
      </c>
      <c r="I369" s="26">
        <f>IF($C369="","",ROUND(N($G369)*N($H369),0))</f>
        <v/>
      </c>
      <c r="J369" s="17" t="n"/>
      <c r="K369" s="17" t="n"/>
      <c r="L369" s="17" t="n"/>
    </row>
    <row r="370">
      <c r="A370" s="24">
        <f>IF($C370="","",COUNTA($C$4:$C370))</f>
        <v/>
      </c>
      <c r="B370" s="30" t="n"/>
      <c r="C370" s="17" t="n"/>
      <c r="D370" s="17" t="n"/>
      <c r="E370" s="17" t="n"/>
      <c r="F370" s="17" t="n"/>
      <c r="G370" s="31" t="n"/>
      <c r="H370" s="28">
        <f>IF($C370="","",IF($F370="CNY",汇率,1))</f>
        <v/>
      </c>
      <c r="I370" s="26">
        <f>IF($C370="","",ROUND(N($G370)*N($H370),0))</f>
        <v/>
      </c>
      <c r="J370" s="17" t="n"/>
      <c r="K370" s="17" t="n"/>
      <c r="L370" s="17" t="n"/>
    </row>
    <row r="371">
      <c r="A371" s="24">
        <f>IF($C371="","",COUNTA($C$4:$C371))</f>
        <v/>
      </c>
      <c r="B371" s="30" t="n"/>
      <c r="C371" s="17" t="n"/>
      <c r="D371" s="17" t="n"/>
      <c r="E371" s="17" t="n"/>
      <c r="F371" s="17" t="n"/>
      <c r="G371" s="31" t="n"/>
      <c r="H371" s="28">
        <f>IF($C371="","",IF($F371="CNY",汇率,1))</f>
        <v/>
      </c>
      <c r="I371" s="26">
        <f>IF($C371="","",ROUND(N($G371)*N($H371),0))</f>
        <v/>
      </c>
      <c r="J371" s="17" t="n"/>
      <c r="K371" s="17" t="n"/>
      <c r="L371" s="17" t="n"/>
    </row>
    <row r="372">
      <c r="A372" s="24">
        <f>IF($C372="","",COUNTA($C$4:$C372))</f>
        <v/>
      </c>
      <c r="B372" s="30" t="n"/>
      <c r="C372" s="17" t="n"/>
      <c r="D372" s="17" t="n"/>
      <c r="E372" s="17" t="n"/>
      <c r="F372" s="17" t="n"/>
      <c r="G372" s="31" t="n"/>
      <c r="H372" s="28">
        <f>IF($C372="","",IF($F372="CNY",汇率,1))</f>
        <v/>
      </c>
      <c r="I372" s="26">
        <f>IF($C372="","",ROUND(N($G372)*N($H372),0))</f>
        <v/>
      </c>
      <c r="J372" s="17" t="n"/>
      <c r="K372" s="17" t="n"/>
      <c r="L372" s="17" t="n"/>
    </row>
    <row r="373">
      <c r="A373" s="24">
        <f>IF($C373="","",COUNTA($C$4:$C373))</f>
        <v/>
      </c>
      <c r="B373" s="30" t="n"/>
      <c r="C373" s="17" t="n"/>
      <c r="D373" s="17" t="n"/>
      <c r="E373" s="17" t="n"/>
      <c r="F373" s="17" t="n"/>
      <c r="G373" s="31" t="n"/>
      <c r="H373" s="28">
        <f>IF($C373="","",IF($F373="CNY",汇率,1))</f>
        <v/>
      </c>
      <c r="I373" s="26">
        <f>IF($C373="","",ROUND(N($G373)*N($H373),0))</f>
        <v/>
      </c>
      <c r="J373" s="17" t="n"/>
      <c r="K373" s="17" t="n"/>
      <c r="L373" s="17" t="n"/>
    </row>
    <row r="374">
      <c r="A374" s="24">
        <f>IF($C374="","",COUNTA($C$4:$C374))</f>
        <v/>
      </c>
      <c r="B374" s="30" t="n"/>
      <c r="C374" s="17" t="n"/>
      <c r="D374" s="17" t="n"/>
      <c r="E374" s="17" t="n"/>
      <c r="F374" s="17" t="n"/>
      <c r="G374" s="31" t="n"/>
      <c r="H374" s="28">
        <f>IF($C374="","",IF($F374="CNY",汇率,1))</f>
        <v/>
      </c>
      <c r="I374" s="26">
        <f>IF($C374="","",ROUND(N($G374)*N($H374),0))</f>
        <v/>
      </c>
      <c r="J374" s="17" t="n"/>
      <c r="K374" s="17" t="n"/>
      <c r="L374" s="17" t="n"/>
    </row>
    <row r="375">
      <c r="A375" s="24">
        <f>IF($C375="","",COUNTA($C$4:$C375))</f>
        <v/>
      </c>
      <c r="B375" s="30" t="n"/>
      <c r="C375" s="17" t="n"/>
      <c r="D375" s="17" t="n"/>
      <c r="E375" s="17" t="n"/>
      <c r="F375" s="17" t="n"/>
      <c r="G375" s="31" t="n"/>
      <c r="H375" s="28">
        <f>IF($C375="","",IF($F375="CNY",汇率,1))</f>
        <v/>
      </c>
      <c r="I375" s="26">
        <f>IF($C375="","",ROUND(N($G375)*N($H375),0))</f>
        <v/>
      </c>
      <c r="J375" s="17" t="n"/>
      <c r="K375" s="17" t="n"/>
      <c r="L375" s="17" t="n"/>
    </row>
    <row r="376">
      <c r="A376" s="24">
        <f>IF($C376="","",COUNTA($C$4:$C376))</f>
        <v/>
      </c>
      <c r="B376" s="30" t="n"/>
      <c r="C376" s="17" t="n"/>
      <c r="D376" s="17" t="n"/>
      <c r="E376" s="17" t="n"/>
      <c r="F376" s="17" t="n"/>
      <c r="G376" s="31" t="n"/>
      <c r="H376" s="28">
        <f>IF($C376="","",IF($F376="CNY",汇率,1))</f>
        <v/>
      </c>
      <c r="I376" s="26">
        <f>IF($C376="","",ROUND(N($G376)*N($H376),0))</f>
        <v/>
      </c>
      <c r="J376" s="17" t="n"/>
      <c r="K376" s="17" t="n"/>
      <c r="L376" s="17" t="n"/>
    </row>
    <row r="377">
      <c r="A377" s="24">
        <f>IF($C377="","",COUNTA($C$4:$C377))</f>
        <v/>
      </c>
      <c r="B377" s="30" t="n"/>
      <c r="C377" s="17" t="n"/>
      <c r="D377" s="17" t="n"/>
      <c r="E377" s="17" t="n"/>
      <c r="F377" s="17" t="n"/>
      <c r="G377" s="31" t="n"/>
      <c r="H377" s="28">
        <f>IF($C377="","",IF($F377="CNY",汇率,1))</f>
        <v/>
      </c>
      <c r="I377" s="26">
        <f>IF($C377="","",ROUND(N($G377)*N($H377),0))</f>
        <v/>
      </c>
      <c r="J377" s="17" t="n"/>
      <c r="K377" s="17" t="n"/>
      <c r="L377" s="17" t="n"/>
    </row>
    <row r="378">
      <c r="A378" s="24">
        <f>IF($C378="","",COUNTA($C$4:$C378))</f>
        <v/>
      </c>
      <c r="B378" s="30" t="n"/>
      <c r="C378" s="17" t="n"/>
      <c r="D378" s="17" t="n"/>
      <c r="E378" s="17" t="n"/>
      <c r="F378" s="17" t="n"/>
      <c r="G378" s="31" t="n"/>
      <c r="H378" s="28">
        <f>IF($C378="","",IF($F378="CNY",汇率,1))</f>
        <v/>
      </c>
      <c r="I378" s="26">
        <f>IF($C378="","",ROUND(N($G378)*N($H378),0))</f>
        <v/>
      </c>
      <c r="J378" s="17" t="n"/>
      <c r="K378" s="17" t="n"/>
      <c r="L378" s="17" t="n"/>
    </row>
    <row r="379">
      <c r="A379" s="24">
        <f>IF($C379="","",COUNTA($C$4:$C379))</f>
        <v/>
      </c>
      <c r="B379" s="30" t="n"/>
      <c r="C379" s="17" t="n"/>
      <c r="D379" s="17" t="n"/>
      <c r="E379" s="17" t="n"/>
      <c r="F379" s="17" t="n"/>
      <c r="G379" s="31" t="n"/>
      <c r="H379" s="28">
        <f>IF($C379="","",IF($F379="CNY",汇率,1))</f>
        <v/>
      </c>
      <c r="I379" s="26">
        <f>IF($C379="","",ROUND(N($G379)*N($H379),0))</f>
        <v/>
      </c>
      <c r="J379" s="17" t="n"/>
      <c r="K379" s="17" t="n"/>
      <c r="L379" s="17" t="n"/>
    </row>
    <row r="380">
      <c r="A380" s="24">
        <f>IF($C380="","",COUNTA($C$4:$C380))</f>
        <v/>
      </c>
      <c r="B380" s="30" t="n"/>
      <c r="C380" s="17" t="n"/>
      <c r="D380" s="17" t="n"/>
      <c r="E380" s="17" t="n"/>
      <c r="F380" s="17" t="n"/>
      <c r="G380" s="31" t="n"/>
      <c r="H380" s="28">
        <f>IF($C380="","",IF($F380="CNY",汇率,1))</f>
        <v/>
      </c>
      <c r="I380" s="26">
        <f>IF($C380="","",ROUND(N($G380)*N($H380),0))</f>
        <v/>
      </c>
      <c r="J380" s="17" t="n"/>
      <c r="K380" s="17" t="n"/>
      <c r="L380" s="17" t="n"/>
    </row>
    <row r="381">
      <c r="A381" s="24">
        <f>IF($C381="","",COUNTA($C$4:$C381))</f>
        <v/>
      </c>
      <c r="B381" s="30" t="n"/>
      <c r="C381" s="17" t="n"/>
      <c r="D381" s="17" t="n"/>
      <c r="E381" s="17" t="n"/>
      <c r="F381" s="17" t="n"/>
      <c r="G381" s="31" t="n"/>
      <c r="H381" s="28">
        <f>IF($C381="","",IF($F381="CNY",汇率,1))</f>
        <v/>
      </c>
      <c r="I381" s="26">
        <f>IF($C381="","",ROUND(N($G381)*N($H381),0))</f>
        <v/>
      </c>
      <c r="J381" s="17" t="n"/>
      <c r="K381" s="17" t="n"/>
      <c r="L381" s="17" t="n"/>
    </row>
    <row r="382">
      <c r="A382" s="24">
        <f>IF($C382="","",COUNTA($C$4:$C382))</f>
        <v/>
      </c>
      <c r="B382" s="30" t="n"/>
      <c r="C382" s="17" t="n"/>
      <c r="D382" s="17" t="n"/>
      <c r="E382" s="17" t="n"/>
      <c r="F382" s="17" t="n"/>
      <c r="G382" s="31" t="n"/>
      <c r="H382" s="28">
        <f>IF($C382="","",IF($F382="CNY",汇率,1))</f>
        <v/>
      </c>
      <c r="I382" s="26">
        <f>IF($C382="","",ROUND(N($G382)*N($H382),0))</f>
        <v/>
      </c>
      <c r="J382" s="17" t="n"/>
      <c r="K382" s="17" t="n"/>
      <c r="L382" s="17" t="n"/>
    </row>
    <row r="383">
      <c r="A383" s="24">
        <f>IF($C383="","",COUNTA($C$4:$C383))</f>
        <v/>
      </c>
      <c r="B383" s="30" t="n"/>
      <c r="C383" s="17" t="n"/>
      <c r="D383" s="17" t="n"/>
      <c r="E383" s="17" t="n"/>
      <c r="F383" s="17" t="n"/>
      <c r="G383" s="31" t="n"/>
      <c r="H383" s="28">
        <f>IF($C383="","",IF($F383="CNY",汇率,1))</f>
        <v/>
      </c>
      <c r="I383" s="26">
        <f>IF($C383="","",ROUND(N($G383)*N($H383),0))</f>
        <v/>
      </c>
      <c r="J383" s="17" t="n"/>
      <c r="K383" s="17" t="n"/>
      <c r="L383" s="17" t="n"/>
    </row>
    <row r="384">
      <c r="A384" s="24">
        <f>IF($C384="","",COUNTA($C$4:$C384))</f>
        <v/>
      </c>
      <c r="B384" s="30" t="n"/>
      <c r="C384" s="17" t="n"/>
      <c r="D384" s="17" t="n"/>
      <c r="E384" s="17" t="n"/>
      <c r="F384" s="17" t="n"/>
      <c r="G384" s="31" t="n"/>
      <c r="H384" s="28">
        <f>IF($C384="","",IF($F384="CNY",汇率,1))</f>
        <v/>
      </c>
      <c r="I384" s="26">
        <f>IF($C384="","",ROUND(N($G384)*N($H384),0))</f>
        <v/>
      </c>
      <c r="J384" s="17" t="n"/>
      <c r="K384" s="17" t="n"/>
      <c r="L384" s="17" t="n"/>
    </row>
    <row r="385">
      <c r="A385" s="24">
        <f>IF($C385="","",COUNTA($C$4:$C385))</f>
        <v/>
      </c>
      <c r="B385" s="30" t="n"/>
      <c r="C385" s="17" t="n"/>
      <c r="D385" s="17" t="n"/>
      <c r="E385" s="17" t="n"/>
      <c r="F385" s="17" t="n"/>
      <c r="G385" s="31" t="n"/>
      <c r="H385" s="28">
        <f>IF($C385="","",IF($F385="CNY",汇率,1))</f>
        <v/>
      </c>
      <c r="I385" s="26">
        <f>IF($C385="","",ROUND(N($G385)*N($H385),0))</f>
        <v/>
      </c>
      <c r="J385" s="17" t="n"/>
      <c r="K385" s="17" t="n"/>
      <c r="L385" s="17" t="n"/>
    </row>
    <row r="386">
      <c r="A386" s="24">
        <f>IF($C386="","",COUNTA($C$4:$C386))</f>
        <v/>
      </c>
      <c r="B386" s="30" t="n"/>
      <c r="C386" s="17" t="n"/>
      <c r="D386" s="17" t="n"/>
      <c r="E386" s="17" t="n"/>
      <c r="F386" s="17" t="n"/>
      <c r="G386" s="31" t="n"/>
      <c r="H386" s="28">
        <f>IF($C386="","",IF($F386="CNY",汇率,1))</f>
        <v/>
      </c>
      <c r="I386" s="26">
        <f>IF($C386="","",ROUND(N($G386)*N($H386),0))</f>
        <v/>
      </c>
      <c r="J386" s="17" t="n"/>
      <c r="K386" s="17" t="n"/>
      <c r="L386" s="17" t="n"/>
    </row>
    <row r="387">
      <c r="A387" s="24">
        <f>IF($C387="","",COUNTA($C$4:$C387))</f>
        <v/>
      </c>
      <c r="B387" s="30" t="n"/>
      <c r="C387" s="17" t="n"/>
      <c r="D387" s="17" t="n"/>
      <c r="E387" s="17" t="n"/>
      <c r="F387" s="17" t="n"/>
      <c r="G387" s="31" t="n"/>
      <c r="H387" s="28">
        <f>IF($C387="","",IF($F387="CNY",汇率,1))</f>
        <v/>
      </c>
      <c r="I387" s="26">
        <f>IF($C387="","",ROUND(N($G387)*N($H387),0))</f>
        <v/>
      </c>
      <c r="J387" s="17" t="n"/>
      <c r="K387" s="17" t="n"/>
      <c r="L387" s="17" t="n"/>
    </row>
    <row r="388">
      <c r="A388" s="24">
        <f>IF($C388="","",COUNTA($C$4:$C388))</f>
        <v/>
      </c>
      <c r="B388" s="30" t="n"/>
      <c r="C388" s="17" t="n"/>
      <c r="D388" s="17" t="n"/>
      <c r="E388" s="17" t="n"/>
      <c r="F388" s="17" t="n"/>
      <c r="G388" s="31" t="n"/>
      <c r="H388" s="28">
        <f>IF($C388="","",IF($F388="CNY",汇率,1))</f>
        <v/>
      </c>
      <c r="I388" s="26">
        <f>IF($C388="","",ROUND(N($G388)*N($H388),0))</f>
        <v/>
      </c>
      <c r="J388" s="17" t="n"/>
      <c r="K388" s="17" t="n"/>
      <c r="L388" s="17" t="n"/>
    </row>
    <row r="389">
      <c r="A389" s="24">
        <f>IF($C389="","",COUNTA($C$4:$C389))</f>
        <v/>
      </c>
      <c r="B389" s="30" t="n"/>
      <c r="C389" s="17" t="n"/>
      <c r="D389" s="17" t="n"/>
      <c r="E389" s="17" t="n"/>
      <c r="F389" s="17" t="n"/>
      <c r="G389" s="31" t="n"/>
      <c r="H389" s="28">
        <f>IF($C389="","",IF($F389="CNY",汇率,1))</f>
        <v/>
      </c>
      <c r="I389" s="26">
        <f>IF($C389="","",ROUND(N($G389)*N($H389),0))</f>
        <v/>
      </c>
      <c r="J389" s="17" t="n"/>
      <c r="K389" s="17" t="n"/>
      <c r="L389" s="17" t="n"/>
    </row>
    <row r="390">
      <c r="A390" s="24">
        <f>IF($C390="","",COUNTA($C$4:$C390))</f>
        <v/>
      </c>
      <c r="B390" s="30" t="n"/>
      <c r="C390" s="17" t="n"/>
      <c r="D390" s="17" t="n"/>
      <c r="E390" s="17" t="n"/>
      <c r="F390" s="17" t="n"/>
      <c r="G390" s="31" t="n"/>
      <c r="H390" s="28">
        <f>IF($C390="","",IF($F390="CNY",汇率,1))</f>
        <v/>
      </c>
      <c r="I390" s="26">
        <f>IF($C390="","",ROUND(N($G390)*N($H390),0))</f>
        <v/>
      </c>
      <c r="J390" s="17" t="n"/>
      <c r="K390" s="17" t="n"/>
      <c r="L390" s="17" t="n"/>
    </row>
    <row r="391">
      <c r="A391" s="24">
        <f>IF($C391="","",COUNTA($C$4:$C391))</f>
        <v/>
      </c>
      <c r="B391" s="30" t="n"/>
      <c r="C391" s="17" t="n"/>
      <c r="D391" s="17" t="n"/>
      <c r="E391" s="17" t="n"/>
      <c r="F391" s="17" t="n"/>
      <c r="G391" s="31" t="n"/>
      <c r="H391" s="28">
        <f>IF($C391="","",IF($F391="CNY",汇率,1))</f>
        <v/>
      </c>
      <c r="I391" s="26">
        <f>IF($C391="","",ROUND(N($G391)*N($H391),0))</f>
        <v/>
      </c>
      <c r="J391" s="17" t="n"/>
      <c r="K391" s="17" t="n"/>
      <c r="L391" s="17" t="n"/>
    </row>
    <row r="392">
      <c r="A392" s="24">
        <f>IF($C392="","",COUNTA($C$4:$C392))</f>
        <v/>
      </c>
      <c r="B392" s="30" t="n"/>
      <c r="C392" s="17" t="n"/>
      <c r="D392" s="17" t="n"/>
      <c r="E392" s="17" t="n"/>
      <c r="F392" s="17" t="n"/>
      <c r="G392" s="31" t="n"/>
      <c r="H392" s="28">
        <f>IF($C392="","",IF($F392="CNY",汇率,1))</f>
        <v/>
      </c>
      <c r="I392" s="26">
        <f>IF($C392="","",ROUND(N($G392)*N($H392),0))</f>
        <v/>
      </c>
      <c r="J392" s="17" t="n"/>
      <c r="K392" s="17" t="n"/>
      <c r="L392" s="17" t="n"/>
    </row>
    <row r="393">
      <c r="A393" s="24">
        <f>IF($C393="","",COUNTA($C$4:$C393))</f>
        <v/>
      </c>
      <c r="B393" s="30" t="n"/>
      <c r="C393" s="17" t="n"/>
      <c r="D393" s="17" t="n"/>
      <c r="E393" s="17" t="n"/>
      <c r="F393" s="17" t="n"/>
      <c r="G393" s="31" t="n"/>
      <c r="H393" s="28">
        <f>IF($C393="","",IF($F393="CNY",汇率,1))</f>
        <v/>
      </c>
      <c r="I393" s="26">
        <f>IF($C393="","",ROUND(N($G393)*N($H393),0))</f>
        <v/>
      </c>
      <c r="J393" s="17" t="n"/>
      <c r="K393" s="17" t="n"/>
      <c r="L393" s="17" t="n"/>
    </row>
    <row r="394">
      <c r="A394" s="24">
        <f>IF($C394="","",COUNTA($C$4:$C394))</f>
        <v/>
      </c>
      <c r="B394" s="30" t="n"/>
      <c r="C394" s="17" t="n"/>
      <c r="D394" s="17" t="n"/>
      <c r="E394" s="17" t="n"/>
      <c r="F394" s="17" t="n"/>
      <c r="G394" s="31" t="n"/>
      <c r="H394" s="28">
        <f>IF($C394="","",IF($F394="CNY",汇率,1))</f>
        <v/>
      </c>
      <c r="I394" s="26">
        <f>IF($C394="","",ROUND(N($G394)*N($H394),0))</f>
        <v/>
      </c>
      <c r="J394" s="17" t="n"/>
      <c r="K394" s="17" t="n"/>
      <c r="L394" s="17" t="n"/>
    </row>
    <row r="395">
      <c r="A395" s="24">
        <f>IF($C395="","",COUNTA($C$4:$C395))</f>
        <v/>
      </c>
      <c r="B395" s="30" t="n"/>
      <c r="C395" s="17" t="n"/>
      <c r="D395" s="17" t="n"/>
      <c r="E395" s="17" t="n"/>
      <c r="F395" s="17" t="n"/>
      <c r="G395" s="31" t="n"/>
      <c r="H395" s="28">
        <f>IF($C395="","",IF($F395="CNY",汇率,1))</f>
        <v/>
      </c>
      <c r="I395" s="26">
        <f>IF($C395="","",ROUND(N($G395)*N($H395),0))</f>
        <v/>
      </c>
      <c r="J395" s="17" t="n"/>
      <c r="K395" s="17" t="n"/>
      <c r="L395" s="17" t="n"/>
    </row>
    <row r="396">
      <c r="A396" s="24">
        <f>IF($C396="","",COUNTA($C$4:$C396))</f>
        <v/>
      </c>
      <c r="B396" s="30" t="n"/>
      <c r="C396" s="17" t="n"/>
      <c r="D396" s="17" t="n"/>
      <c r="E396" s="17" t="n"/>
      <c r="F396" s="17" t="n"/>
      <c r="G396" s="31" t="n"/>
      <c r="H396" s="28">
        <f>IF($C396="","",IF($F396="CNY",汇率,1))</f>
        <v/>
      </c>
      <c r="I396" s="26">
        <f>IF($C396="","",ROUND(N($G396)*N($H396),0))</f>
        <v/>
      </c>
      <c r="J396" s="17" t="n"/>
      <c r="K396" s="17" t="n"/>
      <c r="L396" s="17" t="n"/>
    </row>
    <row r="397">
      <c r="A397" s="24">
        <f>IF($C397="","",COUNTA($C$4:$C397))</f>
        <v/>
      </c>
      <c r="B397" s="30" t="n"/>
      <c r="C397" s="17" t="n"/>
      <c r="D397" s="17" t="n"/>
      <c r="E397" s="17" t="n"/>
      <c r="F397" s="17" t="n"/>
      <c r="G397" s="31" t="n"/>
      <c r="H397" s="28">
        <f>IF($C397="","",IF($F397="CNY",汇率,1))</f>
        <v/>
      </c>
      <c r="I397" s="26">
        <f>IF($C397="","",ROUND(N($G397)*N($H397),0))</f>
        <v/>
      </c>
      <c r="J397" s="17" t="n"/>
      <c r="K397" s="17" t="n"/>
      <c r="L397" s="17" t="n"/>
    </row>
    <row r="398">
      <c r="A398" s="24">
        <f>IF($C398="","",COUNTA($C$4:$C398))</f>
        <v/>
      </c>
      <c r="B398" s="30" t="n"/>
      <c r="C398" s="17" t="n"/>
      <c r="D398" s="17" t="n"/>
      <c r="E398" s="17" t="n"/>
      <c r="F398" s="17" t="n"/>
      <c r="G398" s="31" t="n"/>
      <c r="H398" s="28">
        <f>IF($C398="","",IF($F398="CNY",汇率,1))</f>
        <v/>
      </c>
      <c r="I398" s="26">
        <f>IF($C398="","",ROUND(N($G398)*N($H398),0))</f>
        <v/>
      </c>
      <c r="J398" s="17" t="n"/>
      <c r="K398" s="17" t="n"/>
      <c r="L398" s="17" t="n"/>
    </row>
    <row r="399">
      <c r="A399" s="24">
        <f>IF($C399="","",COUNTA($C$4:$C399))</f>
        <v/>
      </c>
      <c r="B399" s="30" t="n"/>
      <c r="C399" s="17" t="n"/>
      <c r="D399" s="17" t="n"/>
      <c r="E399" s="17" t="n"/>
      <c r="F399" s="17" t="n"/>
      <c r="G399" s="31" t="n"/>
      <c r="H399" s="28">
        <f>IF($C399="","",IF($F399="CNY",汇率,1))</f>
        <v/>
      </c>
      <c r="I399" s="26">
        <f>IF($C399="","",ROUND(N($G399)*N($H399),0))</f>
        <v/>
      </c>
      <c r="J399" s="17" t="n"/>
      <c r="K399" s="17" t="n"/>
      <c r="L399" s="17" t="n"/>
    </row>
    <row r="400">
      <c r="A400" s="24">
        <f>IF($C400="","",COUNTA($C$4:$C400))</f>
        <v/>
      </c>
      <c r="B400" s="30" t="n"/>
      <c r="C400" s="17" t="n"/>
      <c r="D400" s="17" t="n"/>
      <c r="E400" s="17" t="n"/>
      <c r="F400" s="17" t="n"/>
      <c r="G400" s="31" t="n"/>
      <c r="H400" s="28">
        <f>IF($C400="","",IF($F400="CNY",汇率,1))</f>
        <v/>
      </c>
      <c r="I400" s="26">
        <f>IF($C400="","",ROUND(N($G400)*N($H400),0))</f>
        <v/>
      </c>
      <c r="J400" s="17" t="n"/>
      <c r="K400" s="17" t="n"/>
      <c r="L400" s="17" t="n"/>
    </row>
    <row r="401">
      <c r="A401" s="24">
        <f>IF($C401="","",COUNTA($C$4:$C401))</f>
        <v/>
      </c>
      <c r="B401" s="30" t="n"/>
      <c r="C401" s="17" t="n"/>
      <c r="D401" s="17" t="n"/>
      <c r="E401" s="17" t="n"/>
      <c r="F401" s="17" t="n"/>
      <c r="G401" s="31" t="n"/>
      <c r="H401" s="28">
        <f>IF($C401="","",IF($F401="CNY",汇率,1))</f>
        <v/>
      </c>
      <c r="I401" s="26">
        <f>IF($C401="","",ROUND(N($G401)*N($H401),0))</f>
        <v/>
      </c>
      <c r="J401" s="17" t="n"/>
      <c r="K401" s="17" t="n"/>
      <c r="L401" s="17" t="n"/>
    </row>
    <row r="402">
      <c r="A402" s="24">
        <f>IF($C402="","",COUNTA($C$4:$C402))</f>
        <v/>
      </c>
      <c r="B402" s="30" t="n"/>
      <c r="C402" s="17" t="n"/>
      <c r="D402" s="17" t="n"/>
      <c r="E402" s="17" t="n"/>
      <c r="F402" s="17" t="n"/>
      <c r="G402" s="31" t="n"/>
      <c r="H402" s="28">
        <f>IF($C402="","",IF($F402="CNY",汇率,1))</f>
        <v/>
      </c>
      <c r="I402" s="26">
        <f>IF($C402="","",ROUND(N($G402)*N($H402),0))</f>
        <v/>
      </c>
      <c r="J402" s="17" t="n"/>
      <c r="K402" s="17" t="n"/>
      <c r="L402" s="17" t="n"/>
    </row>
    <row r="403">
      <c r="A403" s="24">
        <f>IF($C403="","",COUNTA($C$4:$C403))</f>
        <v/>
      </c>
      <c r="B403" s="30" t="n"/>
      <c r="C403" s="17" t="n"/>
      <c r="D403" s="17" t="n"/>
      <c r="E403" s="17" t="n"/>
      <c r="F403" s="17" t="n"/>
      <c r="G403" s="31" t="n"/>
      <c r="H403" s="28">
        <f>IF($C403="","",IF($F403="CNY",汇率,1))</f>
        <v/>
      </c>
      <c r="I403" s="26">
        <f>IF($C403="","",ROUND(N($G403)*N($H403),0))</f>
        <v/>
      </c>
      <c r="J403" s="17" t="n"/>
      <c r="K403" s="17" t="n"/>
      <c r="L403" s="17" t="n"/>
    </row>
    <row r="404">
      <c r="A404" s="24">
        <f>IF($C404="","",COUNTA($C$4:$C404))</f>
        <v/>
      </c>
      <c r="B404" s="30" t="n"/>
      <c r="C404" s="17" t="n"/>
      <c r="D404" s="17" t="n"/>
      <c r="E404" s="17" t="n"/>
      <c r="F404" s="17" t="n"/>
      <c r="G404" s="31" t="n"/>
      <c r="H404" s="28">
        <f>IF($C404="","",IF($F404="CNY",汇率,1))</f>
        <v/>
      </c>
      <c r="I404" s="26">
        <f>IF($C404="","",ROUND(N($G404)*N($H404),0))</f>
        <v/>
      </c>
      <c r="J404" s="17" t="n"/>
      <c r="K404" s="17" t="n"/>
      <c r="L404" s="17" t="n"/>
    </row>
    <row r="405">
      <c r="A405" s="24">
        <f>IF($C405="","",COUNTA($C$4:$C405))</f>
        <v/>
      </c>
      <c r="B405" s="30" t="n"/>
      <c r="C405" s="17" t="n"/>
      <c r="D405" s="17" t="n"/>
      <c r="E405" s="17" t="n"/>
      <c r="F405" s="17" t="n"/>
      <c r="G405" s="31" t="n"/>
      <c r="H405" s="28">
        <f>IF($C405="","",IF($F405="CNY",汇率,1))</f>
        <v/>
      </c>
      <c r="I405" s="26">
        <f>IF($C405="","",ROUND(N($G405)*N($H405),0))</f>
        <v/>
      </c>
      <c r="J405" s="17" t="n"/>
      <c r="K405" s="17" t="n"/>
      <c r="L405" s="17" t="n"/>
    </row>
    <row r="406">
      <c r="A406" s="24">
        <f>IF($C406="","",COUNTA($C$4:$C406))</f>
        <v/>
      </c>
      <c r="B406" s="30" t="n"/>
      <c r="C406" s="17" t="n"/>
      <c r="D406" s="17" t="n"/>
      <c r="E406" s="17" t="n"/>
      <c r="F406" s="17" t="n"/>
      <c r="G406" s="31" t="n"/>
      <c r="H406" s="28">
        <f>IF($C406="","",IF($F406="CNY",汇率,1))</f>
        <v/>
      </c>
      <c r="I406" s="26">
        <f>IF($C406="","",ROUND(N($G406)*N($H406),0))</f>
        <v/>
      </c>
      <c r="J406" s="17" t="n"/>
      <c r="K406" s="17" t="n"/>
      <c r="L406" s="17" t="n"/>
    </row>
    <row r="407">
      <c r="A407" s="24">
        <f>IF($C407="","",COUNTA($C$4:$C407))</f>
        <v/>
      </c>
      <c r="B407" s="30" t="n"/>
      <c r="C407" s="17" t="n"/>
      <c r="D407" s="17" t="n"/>
      <c r="E407" s="17" t="n"/>
      <c r="F407" s="17" t="n"/>
      <c r="G407" s="31" t="n"/>
      <c r="H407" s="28">
        <f>IF($C407="","",IF($F407="CNY",汇率,1))</f>
        <v/>
      </c>
      <c r="I407" s="26">
        <f>IF($C407="","",ROUND(N($G407)*N($H407),0))</f>
        <v/>
      </c>
      <c r="J407" s="17" t="n"/>
      <c r="K407" s="17" t="n"/>
      <c r="L407" s="17" t="n"/>
    </row>
    <row r="408">
      <c r="A408" s="24">
        <f>IF($C408="","",COUNTA($C$4:$C408))</f>
        <v/>
      </c>
      <c r="B408" s="30" t="n"/>
      <c r="C408" s="17" t="n"/>
      <c r="D408" s="17" t="n"/>
      <c r="E408" s="17" t="n"/>
      <c r="F408" s="17" t="n"/>
      <c r="G408" s="31" t="n"/>
      <c r="H408" s="28">
        <f>IF($C408="","",IF($F408="CNY",汇率,1))</f>
        <v/>
      </c>
      <c r="I408" s="26">
        <f>IF($C408="","",ROUND(N($G408)*N($H408),0))</f>
        <v/>
      </c>
      <c r="J408" s="17" t="n"/>
      <c r="K408" s="17" t="n"/>
      <c r="L408" s="17" t="n"/>
    </row>
    <row r="409">
      <c r="A409" s="24">
        <f>IF($C409="","",COUNTA($C$4:$C409))</f>
        <v/>
      </c>
      <c r="B409" s="30" t="n"/>
      <c r="C409" s="17" t="n"/>
      <c r="D409" s="17" t="n"/>
      <c r="E409" s="17" t="n"/>
      <c r="F409" s="17" t="n"/>
      <c r="G409" s="31" t="n"/>
      <c r="H409" s="28">
        <f>IF($C409="","",IF($F409="CNY",汇率,1))</f>
        <v/>
      </c>
      <c r="I409" s="26">
        <f>IF($C409="","",ROUND(N($G409)*N($H409),0))</f>
        <v/>
      </c>
      <c r="J409" s="17" t="n"/>
      <c r="K409" s="17" t="n"/>
      <c r="L409" s="17" t="n"/>
    </row>
    <row r="410">
      <c r="A410" s="24">
        <f>IF($C410="","",COUNTA($C$4:$C410))</f>
        <v/>
      </c>
      <c r="B410" s="30" t="n"/>
      <c r="C410" s="17" t="n"/>
      <c r="D410" s="17" t="n"/>
      <c r="E410" s="17" t="n"/>
      <c r="F410" s="17" t="n"/>
      <c r="G410" s="31" t="n"/>
      <c r="H410" s="28">
        <f>IF($C410="","",IF($F410="CNY",汇率,1))</f>
        <v/>
      </c>
      <c r="I410" s="26">
        <f>IF($C410="","",ROUND(N($G410)*N($H410),0))</f>
        <v/>
      </c>
      <c r="J410" s="17" t="n"/>
      <c r="K410" s="17" t="n"/>
      <c r="L410" s="17" t="n"/>
    </row>
    <row r="411">
      <c r="A411" s="24">
        <f>IF($C411="","",COUNTA($C$4:$C411))</f>
        <v/>
      </c>
      <c r="B411" s="30" t="n"/>
      <c r="C411" s="17" t="n"/>
      <c r="D411" s="17" t="n"/>
      <c r="E411" s="17" t="n"/>
      <c r="F411" s="17" t="n"/>
      <c r="G411" s="31" t="n"/>
      <c r="H411" s="28">
        <f>IF($C411="","",IF($F411="CNY",汇率,1))</f>
        <v/>
      </c>
      <c r="I411" s="26">
        <f>IF($C411="","",ROUND(N($G411)*N($H411),0))</f>
        <v/>
      </c>
      <c r="J411" s="17" t="n"/>
      <c r="K411" s="17" t="n"/>
      <c r="L411" s="17" t="n"/>
    </row>
    <row r="412">
      <c r="A412" s="24">
        <f>IF($C412="","",COUNTA($C$4:$C412))</f>
        <v/>
      </c>
      <c r="B412" s="30" t="n"/>
      <c r="C412" s="17" t="n"/>
      <c r="D412" s="17" t="n"/>
      <c r="E412" s="17" t="n"/>
      <c r="F412" s="17" t="n"/>
      <c r="G412" s="31" t="n"/>
      <c r="H412" s="28">
        <f>IF($C412="","",IF($F412="CNY",汇率,1))</f>
        <v/>
      </c>
      <c r="I412" s="26">
        <f>IF($C412="","",ROUND(N($G412)*N($H412),0))</f>
        <v/>
      </c>
      <c r="J412" s="17" t="n"/>
      <c r="K412" s="17" t="n"/>
      <c r="L412" s="17" t="n"/>
    </row>
    <row r="413">
      <c r="A413" s="24">
        <f>IF($C413="","",COUNTA($C$4:$C413))</f>
        <v/>
      </c>
      <c r="B413" s="30" t="n"/>
      <c r="C413" s="17" t="n"/>
      <c r="D413" s="17" t="n"/>
      <c r="E413" s="17" t="n"/>
      <c r="F413" s="17" t="n"/>
      <c r="G413" s="31" t="n"/>
      <c r="H413" s="28">
        <f>IF($C413="","",IF($F413="CNY",汇率,1))</f>
        <v/>
      </c>
      <c r="I413" s="26">
        <f>IF($C413="","",ROUND(N($G413)*N($H413),0))</f>
        <v/>
      </c>
      <c r="J413" s="17" t="n"/>
      <c r="K413" s="17" t="n"/>
      <c r="L413" s="17" t="n"/>
    </row>
    <row r="414">
      <c r="A414" s="24">
        <f>IF($C414="","",COUNTA($C$4:$C414))</f>
        <v/>
      </c>
      <c r="B414" s="30" t="n"/>
      <c r="C414" s="17" t="n"/>
      <c r="D414" s="17" t="n"/>
      <c r="E414" s="17" t="n"/>
      <c r="F414" s="17" t="n"/>
      <c r="G414" s="31" t="n"/>
      <c r="H414" s="28">
        <f>IF($C414="","",IF($F414="CNY",汇率,1))</f>
        <v/>
      </c>
      <c r="I414" s="26">
        <f>IF($C414="","",ROUND(N($G414)*N($H414),0))</f>
        <v/>
      </c>
      <c r="J414" s="17" t="n"/>
      <c r="K414" s="17" t="n"/>
      <c r="L414" s="17" t="n"/>
    </row>
    <row r="415">
      <c r="A415" s="24">
        <f>IF($C415="","",COUNTA($C$4:$C415))</f>
        <v/>
      </c>
      <c r="B415" s="30" t="n"/>
      <c r="C415" s="17" t="n"/>
      <c r="D415" s="17" t="n"/>
      <c r="E415" s="17" t="n"/>
      <c r="F415" s="17" t="n"/>
      <c r="G415" s="31" t="n"/>
      <c r="H415" s="28">
        <f>IF($C415="","",IF($F415="CNY",汇率,1))</f>
        <v/>
      </c>
      <c r="I415" s="26">
        <f>IF($C415="","",ROUND(N($G415)*N($H415),0))</f>
        <v/>
      </c>
      <c r="J415" s="17" t="n"/>
      <c r="K415" s="17" t="n"/>
      <c r="L415" s="17" t="n"/>
    </row>
    <row r="416">
      <c r="A416" s="24">
        <f>IF($C416="","",COUNTA($C$4:$C416))</f>
        <v/>
      </c>
      <c r="B416" s="30" t="n"/>
      <c r="C416" s="17" t="n"/>
      <c r="D416" s="17" t="n"/>
      <c r="E416" s="17" t="n"/>
      <c r="F416" s="17" t="n"/>
      <c r="G416" s="31" t="n"/>
      <c r="H416" s="28">
        <f>IF($C416="","",IF($F416="CNY",汇率,1))</f>
        <v/>
      </c>
      <c r="I416" s="26">
        <f>IF($C416="","",ROUND(N($G416)*N($H416),0))</f>
        <v/>
      </c>
      <c r="J416" s="17" t="n"/>
      <c r="K416" s="17" t="n"/>
      <c r="L416" s="17" t="n"/>
    </row>
    <row r="417">
      <c r="A417" s="24">
        <f>IF($C417="","",COUNTA($C$4:$C417))</f>
        <v/>
      </c>
      <c r="B417" s="30" t="n"/>
      <c r="C417" s="17" t="n"/>
      <c r="D417" s="17" t="n"/>
      <c r="E417" s="17" t="n"/>
      <c r="F417" s="17" t="n"/>
      <c r="G417" s="31" t="n"/>
      <c r="H417" s="28">
        <f>IF($C417="","",IF($F417="CNY",汇率,1))</f>
        <v/>
      </c>
      <c r="I417" s="26">
        <f>IF($C417="","",ROUND(N($G417)*N($H417),0))</f>
        <v/>
      </c>
      <c r="J417" s="17" t="n"/>
      <c r="K417" s="17" t="n"/>
      <c r="L417" s="17" t="n"/>
    </row>
    <row r="418">
      <c r="A418" s="24">
        <f>IF($C418="","",COUNTA($C$4:$C418))</f>
        <v/>
      </c>
      <c r="B418" s="30" t="n"/>
      <c r="C418" s="17" t="n"/>
      <c r="D418" s="17" t="n"/>
      <c r="E418" s="17" t="n"/>
      <c r="F418" s="17" t="n"/>
      <c r="G418" s="31" t="n"/>
      <c r="H418" s="28">
        <f>IF($C418="","",IF($F418="CNY",汇率,1))</f>
        <v/>
      </c>
      <c r="I418" s="26">
        <f>IF($C418="","",ROUND(N($G418)*N($H418),0))</f>
        <v/>
      </c>
      <c r="J418" s="17" t="n"/>
      <c r="K418" s="17" t="n"/>
      <c r="L418" s="17" t="n"/>
    </row>
    <row r="419">
      <c r="A419" s="24">
        <f>IF($C419="","",COUNTA($C$4:$C419))</f>
        <v/>
      </c>
      <c r="B419" s="30" t="n"/>
      <c r="C419" s="17" t="n"/>
      <c r="D419" s="17" t="n"/>
      <c r="E419" s="17" t="n"/>
      <c r="F419" s="17" t="n"/>
      <c r="G419" s="31" t="n"/>
      <c r="H419" s="28">
        <f>IF($C419="","",IF($F419="CNY",汇率,1))</f>
        <v/>
      </c>
      <c r="I419" s="26">
        <f>IF($C419="","",ROUND(N($G419)*N($H419),0))</f>
        <v/>
      </c>
      <c r="J419" s="17" t="n"/>
      <c r="K419" s="17" t="n"/>
      <c r="L419" s="17" t="n"/>
    </row>
    <row r="420">
      <c r="A420" s="24">
        <f>IF($C420="","",COUNTA($C$4:$C420))</f>
        <v/>
      </c>
      <c r="B420" s="30" t="n"/>
      <c r="C420" s="17" t="n"/>
      <c r="D420" s="17" t="n"/>
      <c r="E420" s="17" t="n"/>
      <c r="F420" s="17" t="n"/>
      <c r="G420" s="31" t="n"/>
      <c r="H420" s="28">
        <f>IF($C420="","",IF($F420="CNY",汇率,1))</f>
        <v/>
      </c>
      <c r="I420" s="26">
        <f>IF($C420="","",ROUND(N($G420)*N($H420),0))</f>
        <v/>
      </c>
      <c r="J420" s="17" t="n"/>
      <c r="K420" s="17" t="n"/>
      <c r="L420" s="17" t="n"/>
    </row>
    <row r="421">
      <c r="A421" s="24">
        <f>IF($C421="","",COUNTA($C$4:$C421))</f>
        <v/>
      </c>
      <c r="B421" s="30" t="n"/>
      <c r="C421" s="17" t="n"/>
      <c r="D421" s="17" t="n"/>
      <c r="E421" s="17" t="n"/>
      <c r="F421" s="17" t="n"/>
      <c r="G421" s="31" t="n"/>
      <c r="H421" s="28">
        <f>IF($C421="","",IF($F421="CNY",汇率,1))</f>
        <v/>
      </c>
      <c r="I421" s="26">
        <f>IF($C421="","",ROUND(N($G421)*N($H421),0))</f>
        <v/>
      </c>
      <c r="J421" s="17" t="n"/>
      <c r="K421" s="17" t="n"/>
      <c r="L421" s="17" t="n"/>
    </row>
    <row r="422">
      <c r="A422" s="24">
        <f>IF($C422="","",COUNTA($C$4:$C422))</f>
        <v/>
      </c>
      <c r="B422" s="30" t="n"/>
      <c r="C422" s="17" t="n"/>
      <c r="D422" s="17" t="n"/>
      <c r="E422" s="17" t="n"/>
      <c r="F422" s="17" t="n"/>
      <c r="G422" s="31" t="n"/>
      <c r="H422" s="28">
        <f>IF($C422="","",IF($F422="CNY",汇率,1))</f>
        <v/>
      </c>
      <c r="I422" s="26">
        <f>IF($C422="","",ROUND(N($G422)*N($H422),0))</f>
        <v/>
      </c>
      <c r="J422" s="17" t="n"/>
      <c r="K422" s="17" t="n"/>
      <c r="L422" s="17" t="n"/>
    </row>
    <row r="423">
      <c r="A423" s="24">
        <f>IF($C423="","",COUNTA($C$4:$C423))</f>
        <v/>
      </c>
      <c r="B423" s="30" t="n"/>
      <c r="C423" s="17" t="n"/>
      <c r="D423" s="17" t="n"/>
      <c r="E423" s="17" t="n"/>
      <c r="F423" s="17" t="n"/>
      <c r="G423" s="31" t="n"/>
      <c r="H423" s="28">
        <f>IF($C423="","",IF($F423="CNY",汇率,1))</f>
        <v/>
      </c>
      <c r="I423" s="26">
        <f>IF($C423="","",ROUND(N($G423)*N($H423),0))</f>
        <v/>
      </c>
      <c r="J423" s="17" t="n"/>
      <c r="K423" s="17" t="n"/>
      <c r="L423" s="17" t="n"/>
    </row>
    <row r="424">
      <c r="A424" s="24">
        <f>IF($C424="","",COUNTA($C$4:$C424))</f>
        <v/>
      </c>
      <c r="B424" s="30" t="n"/>
      <c r="C424" s="17" t="n"/>
      <c r="D424" s="17" t="n"/>
      <c r="E424" s="17" t="n"/>
      <c r="F424" s="17" t="n"/>
      <c r="G424" s="31" t="n"/>
      <c r="H424" s="28">
        <f>IF($C424="","",IF($F424="CNY",汇率,1))</f>
        <v/>
      </c>
      <c r="I424" s="26">
        <f>IF($C424="","",ROUND(N($G424)*N($H424),0))</f>
        <v/>
      </c>
      <c r="J424" s="17" t="n"/>
      <c r="K424" s="17" t="n"/>
      <c r="L424" s="17" t="n"/>
    </row>
    <row r="425">
      <c r="A425" s="24">
        <f>IF($C425="","",COUNTA($C$4:$C425))</f>
        <v/>
      </c>
      <c r="B425" s="30" t="n"/>
      <c r="C425" s="17" t="n"/>
      <c r="D425" s="17" t="n"/>
      <c r="E425" s="17" t="n"/>
      <c r="F425" s="17" t="n"/>
      <c r="G425" s="31" t="n"/>
      <c r="H425" s="28">
        <f>IF($C425="","",IF($F425="CNY",汇率,1))</f>
        <v/>
      </c>
      <c r="I425" s="26">
        <f>IF($C425="","",ROUND(N($G425)*N($H425),0))</f>
        <v/>
      </c>
      <c r="J425" s="17" t="n"/>
      <c r="K425" s="17" t="n"/>
      <c r="L425" s="17" t="n"/>
    </row>
    <row r="426">
      <c r="A426" s="24">
        <f>IF($C426="","",COUNTA($C$4:$C426))</f>
        <v/>
      </c>
      <c r="B426" s="30" t="n"/>
      <c r="C426" s="17" t="n"/>
      <c r="D426" s="17" t="n"/>
      <c r="E426" s="17" t="n"/>
      <c r="F426" s="17" t="n"/>
      <c r="G426" s="31" t="n"/>
      <c r="H426" s="28">
        <f>IF($C426="","",IF($F426="CNY",汇率,1))</f>
        <v/>
      </c>
      <c r="I426" s="26">
        <f>IF($C426="","",ROUND(N($G426)*N($H426),0))</f>
        <v/>
      </c>
      <c r="J426" s="17" t="n"/>
      <c r="K426" s="17" t="n"/>
      <c r="L426" s="17" t="n"/>
    </row>
    <row r="427">
      <c r="A427" s="24">
        <f>IF($C427="","",COUNTA($C$4:$C427))</f>
        <v/>
      </c>
      <c r="B427" s="30" t="n"/>
      <c r="C427" s="17" t="n"/>
      <c r="D427" s="17" t="n"/>
      <c r="E427" s="17" t="n"/>
      <c r="F427" s="17" t="n"/>
      <c r="G427" s="31" t="n"/>
      <c r="H427" s="28">
        <f>IF($C427="","",IF($F427="CNY",汇率,1))</f>
        <v/>
      </c>
      <c r="I427" s="26">
        <f>IF($C427="","",ROUND(N($G427)*N($H427),0))</f>
        <v/>
      </c>
      <c r="J427" s="17" t="n"/>
      <c r="K427" s="17" t="n"/>
      <c r="L427" s="17" t="n"/>
    </row>
    <row r="428">
      <c r="A428" s="24">
        <f>IF($C428="","",COUNTA($C$4:$C428))</f>
        <v/>
      </c>
      <c r="B428" s="30" t="n"/>
      <c r="C428" s="17" t="n"/>
      <c r="D428" s="17" t="n"/>
      <c r="E428" s="17" t="n"/>
      <c r="F428" s="17" t="n"/>
      <c r="G428" s="31" t="n"/>
      <c r="H428" s="28">
        <f>IF($C428="","",IF($F428="CNY",汇率,1))</f>
        <v/>
      </c>
      <c r="I428" s="26">
        <f>IF($C428="","",ROUND(N($G428)*N($H428),0))</f>
        <v/>
      </c>
      <c r="J428" s="17" t="n"/>
      <c r="K428" s="17" t="n"/>
      <c r="L428" s="17" t="n"/>
    </row>
    <row r="429">
      <c r="A429" s="24">
        <f>IF($C429="","",COUNTA($C$4:$C429))</f>
        <v/>
      </c>
      <c r="B429" s="30" t="n"/>
      <c r="C429" s="17" t="n"/>
      <c r="D429" s="17" t="n"/>
      <c r="E429" s="17" t="n"/>
      <c r="F429" s="17" t="n"/>
      <c r="G429" s="31" t="n"/>
      <c r="H429" s="28">
        <f>IF($C429="","",IF($F429="CNY",汇率,1))</f>
        <v/>
      </c>
      <c r="I429" s="26">
        <f>IF($C429="","",ROUND(N($G429)*N($H429),0))</f>
        <v/>
      </c>
      <c r="J429" s="17" t="n"/>
      <c r="K429" s="17" t="n"/>
      <c r="L429" s="17" t="n"/>
    </row>
    <row r="430">
      <c r="A430" s="24">
        <f>IF($C430="","",COUNTA($C$4:$C430))</f>
        <v/>
      </c>
      <c r="B430" s="30" t="n"/>
      <c r="C430" s="17" t="n"/>
      <c r="D430" s="17" t="n"/>
      <c r="E430" s="17" t="n"/>
      <c r="F430" s="17" t="n"/>
      <c r="G430" s="31" t="n"/>
      <c r="H430" s="28">
        <f>IF($C430="","",IF($F430="CNY",汇率,1))</f>
        <v/>
      </c>
      <c r="I430" s="26">
        <f>IF($C430="","",ROUND(N($G430)*N($H430),0))</f>
        <v/>
      </c>
      <c r="J430" s="17" t="n"/>
      <c r="K430" s="17" t="n"/>
      <c r="L430" s="17" t="n"/>
    </row>
    <row r="431">
      <c r="A431" s="24">
        <f>IF($C431="","",COUNTA($C$4:$C431))</f>
        <v/>
      </c>
      <c r="B431" s="30" t="n"/>
      <c r="C431" s="17" t="n"/>
      <c r="D431" s="17" t="n"/>
      <c r="E431" s="17" t="n"/>
      <c r="F431" s="17" t="n"/>
      <c r="G431" s="31" t="n"/>
      <c r="H431" s="28">
        <f>IF($C431="","",IF($F431="CNY",汇率,1))</f>
        <v/>
      </c>
      <c r="I431" s="26">
        <f>IF($C431="","",ROUND(N($G431)*N($H431),0))</f>
        <v/>
      </c>
      <c r="J431" s="17" t="n"/>
      <c r="K431" s="17" t="n"/>
      <c r="L431" s="17" t="n"/>
    </row>
    <row r="432">
      <c r="A432" s="24">
        <f>IF($C432="","",COUNTA($C$4:$C432))</f>
        <v/>
      </c>
      <c r="B432" s="30" t="n"/>
      <c r="C432" s="17" t="n"/>
      <c r="D432" s="17" t="n"/>
      <c r="E432" s="17" t="n"/>
      <c r="F432" s="17" t="n"/>
      <c r="G432" s="31" t="n"/>
      <c r="H432" s="28">
        <f>IF($C432="","",IF($F432="CNY",汇率,1))</f>
        <v/>
      </c>
      <c r="I432" s="26">
        <f>IF($C432="","",ROUND(N($G432)*N($H432),0))</f>
        <v/>
      </c>
      <c r="J432" s="17" t="n"/>
      <c r="K432" s="17" t="n"/>
      <c r="L432" s="17" t="n"/>
    </row>
    <row r="433">
      <c r="A433" s="24">
        <f>IF($C433="","",COUNTA($C$4:$C433))</f>
        <v/>
      </c>
      <c r="B433" s="30" t="n"/>
      <c r="C433" s="17" t="n"/>
      <c r="D433" s="17" t="n"/>
      <c r="E433" s="17" t="n"/>
      <c r="F433" s="17" t="n"/>
      <c r="G433" s="31" t="n"/>
      <c r="H433" s="28">
        <f>IF($C433="","",IF($F433="CNY",汇率,1))</f>
        <v/>
      </c>
      <c r="I433" s="26">
        <f>IF($C433="","",ROUND(N($G433)*N($H433),0))</f>
        <v/>
      </c>
      <c r="J433" s="17" t="n"/>
      <c r="K433" s="17" t="n"/>
      <c r="L433" s="17" t="n"/>
    </row>
    <row r="434">
      <c r="A434" s="24">
        <f>IF($C434="","",COUNTA($C$4:$C434))</f>
        <v/>
      </c>
      <c r="B434" s="30" t="n"/>
      <c r="C434" s="17" t="n"/>
      <c r="D434" s="17" t="n"/>
      <c r="E434" s="17" t="n"/>
      <c r="F434" s="17" t="n"/>
      <c r="G434" s="31" t="n"/>
      <c r="H434" s="28">
        <f>IF($C434="","",IF($F434="CNY",汇率,1))</f>
        <v/>
      </c>
      <c r="I434" s="26">
        <f>IF($C434="","",ROUND(N($G434)*N($H434),0))</f>
        <v/>
      </c>
      <c r="J434" s="17" t="n"/>
      <c r="K434" s="17" t="n"/>
      <c r="L434" s="17" t="n"/>
    </row>
    <row r="435">
      <c r="A435" s="24">
        <f>IF($C435="","",COUNTA($C$4:$C435))</f>
        <v/>
      </c>
      <c r="B435" s="30" t="n"/>
      <c r="C435" s="17" t="n"/>
      <c r="D435" s="17" t="n"/>
      <c r="E435" s="17" t="n"/>
      <c r="F435" s="17" t="n"/>
      <c r="G435" s="31" t="n"/>
      <c r="H435" s="28">
        <f>IF($C435="","",IF($F435="CNY",汇率,1))</f>
        <v/>
      </c>
      <c r="I435" s="26">
        <f>IF($C435="","",ROUND(N($G435)*N($H435),0))</f>
        <v/>
      </c>
      <c r="J435" s="17" t="n"/>
      <c r="K435" s="17" t="n"/>
      <c r="L435" s="17" t="n"/>
    </row>
    <row r="436">
      <c r="A436" s="24">
        <f>IF($C436="","",COUNTA($C$4:$C436))</f>
        <v/>
      </c>
      <c r="B436" s="30" t="n"/>
      <c r="C436" s="17" t="n"/>
      <c r="D436" s="17" t="n"/>
      <c r="E436" s="17" t="n"/>
      <c r="F436" s="17" t="n"/>
      <c r="G436" s="31" t="n"/>
      <c r="H436" s="28">
        <f>IF($C436="","",IF($F436="CNY",汇率,1))</f>
        <v/>
      </c>
      <c r="I436" s="26">
        <f>IF($C436="","",ROUND(N($G436)*N($H436),0))</f>
        <v/>
      </c>
      <c r="J436" s="17" t="n"/>
      <c r="K436" s="17" t="n"/>
      <c r="L436" s="17" t="n"/>
    </row>
    <row r="437">
      <c r="A437" s="24">
        <f>IF($C437="","",COUNTA($C$4:$C437))</f>
        <v/>
      </c>
      <c r="B437" s="30" t="n"/>
      <c r="C437" s="17" t="n"/>
      <c r="D437" s="17" t="n"/>
      <c r="E437" s="17" t="n"/>
      <c r="F437" s="17" t="n"/>
      <c r="G437" s="31" t="n"/>
      <c r="H437" s="28">
        <f>IF($C437="","",IF($F437="CNY",汇率,1))</f>
        <v/>
      </c>
      <c r="I437" s="26">
        <f>IF($C437="","",ROUND(N($G437)*N($H437),0))</f>
        <v/>
      </c>
      <c r="J437" s="17" t="n"/>
      <c r="K437" s="17" t="n"/>
      <c r="L437" s="17" t="n"/>
    </row>
    <row r="438">
      <c r="A438" s="24">
        <f>IF($C438="","",COUNTA($C$4:$C438))</f>
        <v/>
      </c>
      <c r="B438" s="30" t="n"/>
      <c r="C438" s="17" t="n"/>
      <c r="D438" s="17" t="n"/>
      <c r="E438" s="17" t="n"/>
      <c r="F438" s="17" t="n"/>
      <c r="G438" s="31" t="n"/>
      <c r="H438" s="28">
        <f>IF($C438="","",IF($F438="CNY",汇率,1))</f>
        <v/>
      </c>
      <c r="I438" s="26">
        <f>IF($C438="","",ROUND(N($G438)*N($H438),0))</f>
        <v/>
      </c>
      <c r="J438" s="17" t="n"/>
      <c r="K438" s="17" t="n"/>
      <c r="L438" s="17" t="n"/>
    </row>
    <row r="439">
      <c r="A439" s="24">
        <f>IF($C439="","",COUNTA($C$4:$C439))</f>
        <v/>
      </c>
      <c r="B439" s="30" t="n"/>
      <c r="C439" s="17" t="n"/>
      <c r="D439" s="17" t="n"/>
      <c r="E439" s="17" t="n"/>
      <c r="F439" s="17" t="n"/>
      <c r="G439" s="31" t="n"/>
      <c r="H439" s="28">
        <f>IF($C439="","",IF($F439="CNY",汇率,1))</f>
        <v/>
      </c>
      <c r="I439" s="26">
        <f>IF($C439="","",ROUND(N($G439)*N($H439),0))</f>
        <v/>
      </c>
      <c r="J439" s="17" t="n"/>
      <c r="K439" s="17" t="n"/>
      <c r="L439" s="17" t="n"/>
    </row>
    <row r="440">
      <c r="A440" s="24">
        <f>IF($C440="","",COUNTA($C$4:$C440))</f>
        <v/>
      </c>
      <c r="B440" s="30" t="n"/>
      <c r="C440" s="17" t="n"/>
      <c r="D440" s="17" t="n"/>
      <c r="E440" s="17" t="n"/>
      <c r="F440" s="17" t="n"/>
      <c r="G440" s="31" t="n"/>
      <c r="H440" s="28">
        <f>IF($C440="","",IF($F440="CNY",汇率,1))</f>
        <v/>
      </c>
      <c r="I440" s="26">
        <f>IF($C440="","",ROUND(N($G440)*N($H440),0))</f>
        <v/>
      </c>
      <c r="J440" s="17" t="n"/>
      <c r="K440" s="17" t="n"/>
      <c r="L440" s="17" t="n"/>
    </row>
    <row r="441">
      <c r="A441" s="24">
        <f>IF($C441="","",COUNTA($C$4:$C441))</f>
        <v/>
      </c>
      <c r="B441" s="30" t="n"/>
      <c r="C441" s="17" t="n"/>
      <c r="D441" s="17" t="n"/>
      <c r="E441" s="17" t="n"/>
      <c r="F441" s="17" t="n"/>
      <c r="G441" s="31" t="n"/>
      <c r="H441" s="28">
        <f>IF($C441="","",IF($F441="CNY",汇率,1))</f>
        <v/>
      </c>
      <c r="I441" s="26">
        <f>IF($C441="","",ROUND(N($G441)*N($H441),0))</f>
        <v/>
      </c>
      <c r="J441" s="17" t="n"/>
      <c r="K441" s="17" t="n"/>
      <c r="L441" s="17" t="n"/>
    </row>
    <row r="442">
      <c r="A442" s="24">
        <f>IF($C442="","",COUNTA($C$4:$C442))</f>
        <v/>
      </c>
      <c r="B442" s="30" t="n"/>
      <c r="C442" s="17" t="n"/>
      <c r="D442" s="17" t="n"/>
      <c r="E442" s="17" t="n"/>
      <c r="F442" s="17" t="n"/>
      <c r="G442" s="31" t="n"/>
      <c r="H442" s="28">
        <f>IF($C442="","",IF($F442="CNY",汇率,1))</f>
        <v/>
      </c>
      <c r="I442" s="26">
        <f>IF($C442="","",ROUND(N($G442)*N($H442),0))</f>
        <v/>
      </c>
      <c r="J442" s="17" t="n"/>
      <c r="K442" s="17" t="n"/>
      <c r="L442" s="17" t="n"/>
    </row>
    <row r="443">
      <c r="A443" s="24">
        <f>IF($C443="","",COUNTA($C$4:$C443))</f>
        <v/>
      </c>
      <c r="B443" s="30" t="n"/>
      <c r="C443" s="17" t="n"/>
      <c r="D443" s="17" t="n"/>
      <c r="E443" s="17" t="n"/>
      <c r="F443" s="17" t="n"/>
      <c r="G443" s="31" t="n"/>
      <c r="H443" s="28">
        <f>IF($C443="","",IF($F443="CNY",汇率,1))</f>
        <v/>
      </c>
      <c r="I443" s="26">
        <f>IF($C443="","",ROUND(N($G443)*N($H443),0))</f>
        <v/>
      </c>
      <c r="J443" s="17" t="n"/>
      <c r="K443" s="17" t="n"/>
      <c r="L443" s="17" t="n"/>
    </row>
    <row r="444">
      <c r="A444" s="24">
        <f>IF($C444="","",COUNTA($C$4:$C444))</f>
        <v/>
      </c>
      <c r="B444" s="30" t="n"/>
      <c r="C444" s="17" t="n"/>
      <c r="D444" s="17" t="n"/>
      <c r="E444" s="17" t="n"/>
      <c r="F444" s="17" t="n"/>
      <c r="G444" s="31" t="n"/>
      <c r="H444" s="28">
        <f>IF($C444="","",IF($F444="CNY",汇率,1))</f>
        <v/>
      </c>
      <c r="I444" s="26">
        <f>IF($C444="","",ROUND(N($G444)*N($H444),0))</f>
        <v/>
      </c>
      <c r="J444" s="17" t="n"/>
      <c r="K444" s="17" t="n"/>
      <c r="L444" s="17" t="n"/>
    </row>
    <row r="445">
      <c r="A445" s="24">
        <f>IF($C445="","",COUNTA($C$4:$C445))</f>
        <v/>
      </c>
      <c r="B445" s="30" t="n"/>
      <c r="C445" s="17" t="n"/>
      <c r="D445" s="17" t="n"/>
      <c r="E445" s="17" t="n"/>
      <c r="F445" s="17" t="n"/>
      <c r="G445" s="31" t="n"/>
      <c r="H445" s="28">
        <f>IF($C445="","",IF($F445="CNY",汇率,1))</f>
        <v/>
      </c>
      <c r="I445" s="26">
        <f>IF($C445="","",ROUND(N($G445)*N($H445),0))</f>
        <v/>
      </c>
      <c r="J445" s="17" t="n"/>
      <c r="K445" s="17" t="n"/>
      <c r="L445" s="17" t="n"/>
    </row>
    <row r="446">
      <c r="A446" s="24">
        <f>IF($C446="","",COUNTA($C$4:$C446))</f>
        <v/>
      </c>
      <c r="B446" s="30" t="n"/>
      <c r="C446" s="17" t="n"/>
      <c r="D446" s="17" t="n"/>
      <c r="E446" s="17" t="n"/>
      <c r="F446" s="17" t="n"/>
      <c r="G446" s="31" t="n"/>
      <c r="H446" s="28">
        <f>IF($C446="","",IF($F446="CNY",汇率,1))</f>
        <v/>
      </c>
      <c r="I446" s="26">
        <f>IF($C446="","",ROUND(N($G446)*N($H446),0))</f>
        <v/>
      </c>
      <c r="J446" s="17" t="n"/>
      <c r="K446" s="17" t="n"/>
      <c r="L446" s="17" t="n"/>
    </row>
    <row r="447">
      <c r="A447" s="24">
        <f>IF($C447="","",COUNTA($C$4:$C447))</f>
        <v/>
      </c>
      <c r="B447" s="30" t="n"/>
      <c r="C447" s="17" t="n"/>
      <c r="D447" s="17" t="n"/>
      <c r="E447" s="17" t="n"/>
      <c r="F447" s="17" t="n"/>
      <c r="G447" s="31" t="n"/>
      <c r="H447" s="28">
        <f>IF($C447="","",IF($F447="CNY",汇率,1))</f>
        <v/>
      </c>
      <c r="I447" s="26">
        <f>IF($C447="","",ROUND(N($G447)*N($H447),0))</f>
        <v/>
      </c>
      <c r="J447" s="17" t="n"/>
      <c r="K447" s="17" t="n"/>
      <c r="L447" s="17" t="n"/>
    </row>
    <row r="448">
      <c r="A448" s="24">
        <f>IF($C448="","",COUNTA($C$4:$C448))</f>
        <v/>
      </c>
      <c r="B448" s="30" t="n"/>
      <c r="C448" s="17" t="n"/>
      <c r="D448" s="17" t="n"/>
      <c r="E448" s="17" t="n"/>
      <c r="F448" s="17" t="n"/>
      <c r="G448" s="31" t="n"/>
      <c r="H448" s="28">
        <f>IF($C448="","",IF($F448="CNY",汇率,1))</f>
        <v/>
      </c>
      <c r="I448" s="26">
        <f>IF($C448="","",ROUND(N($G448)*N($H448),0))</f>
        <v/>
      </c>
      <c r="J448" s="17" t="n"/>
      <c r="K448" s="17" t="n"/>
      <c r="L448" s="17" t="n"/>
    </row>
    <row r="449">
      <c r="A449" s="24">
        <f>IF($C449="","",COUNTA($C$4:$C449))</f>
        <v/>
      </c>
      <c r="B449" s="30" t="n"/>
      <c r="C449" s="17" t="n"/>
      <c r="D449" s="17" t="n"/>
      <c r="E449" s="17" t="n"/>
      <c r="F449" s="17" t="n"/>
      <c r="G449" s="31" t="n"/>
      <c r="H449" s="28">
        <f>IF($C449="","",IF($F449="CNY",汇率,1))</f>
        <v/>
      </c>
      <c r="I449" s="26">
        <f>IF($C449="","",ROUND(N($G449)*N($H449),0))</f>
        <v/>
      </c>
      <c r="J449" s="17" t="n"/>
      <c r="K449" s="17" t="n"/>
      <c r="L449" s="17" t="n"/>
    </row>
    <row r="450">
      <c r="A450" s="24">
        <f>IF($C450="","",COUNTA($C$4:$C450))</f>
        <v/>
      </c>
      <c r="B450" s="30" t="n"/>
      <c r="C450" s="17" t="n"/>
      <c r="D450" s="17" t="n"/>
      <c r="E450" s="17" t="n"/>
      <c r="F450" s="17" t="n"/>
      <c r="G450" s="31" t="n"/>
      <c r="H450" s="28">
        <f>IF($C450="","",IF($F450="CNY",汇率,1))</f>
        <v/>
      </c>
      <c r="I450" s="26">
        <f>IF($C450="","",ROUND(N($G450)*N($H450),0))</f>
        <v/>
      </c>
      <c r="J450" s="17" t="n"/>
      <c r="K450" s="17" t="n"/>
      <c r="L450" s="17" t="n"/>
    </row>
    <row r="451">
      <c r="A451" s="24">
        <f>IF($C451="","",COUNTA($C$4:$C451))</f>
        <v/>
      </c>
      <c r="B451" s="30" t="n"/>
      <c r="C451" s="17" t="n"/>
      <c r="D451" s="17" t="n"/>
      <c r="E451" s="17" t="n"/>
      <c r="F451" s="17" t="n"/>
      <c r="G451" s="31" t="n"/>
      <c r="H451" s="28">
        <f>IF($C451="","",IF($F451="CNY",汇率,1))</f>
        <v/>
      </c>
      <c r="I451" s="26">
        <f>IF($C451="","",ROUND(N($G451)*N($H451),0))</f>
        <v/>
      </c>
      <c r="J451" s="17" t="n"/>
      <c r="K451" s="17" t="n"/>
      <c r="L451" s="17" t="n"/>
    </row>
    <row r="452">
      <c r="A452" s="24">
        <f>IF($C452="","",COUNTA($C$4:$C452))</f>
        <v/>
      </c>
      <c r="B452" s="30" t="n"/>
      <c r="C452" s="17" t="n"/>
      <c r="D452" s="17" t="n"/>
      <c r="E452" s="17" t="n"/>
      <c r="F452" s="17" t="n"/>
      <c r="G452" s="31" t="n"/>
      <c r="H452" s="28">
        <f>IF($C452="","",IF($F452="CNY",汇率,1))</f>
        <v/>
      </c>
      <c r="I452" s="26">
        <f>IF($C452="","",ROUND(N($G452)*N($H452),0))</f>
        <v/>
      </c>
      <c r="J452" s="17" t="n"/>
      <c r="K452" s="17" t="n"/>
      <c r="L452" s="17" t="n"/>
    </row>
    <row r="453">
      <c r="A453" s="24">
        <f>IF($C453="","",COUNTA($C$4:$C453))</f>
        <v/>
      </c>
      <c r="B453" s="30" t="n"/>
      <c r="C453" s="17" t="n"/>
      <c r="D453" s="17" t="n"/>
      <c r="E453" s="17" t="n"/>
      <c r="F453" s="17" t="n"/>
      <c r="G453" s="31" t="n"/>
      <c r="H453" s="28">
        <f>IF($C453="","",IF($F453="CNY",汇率,1))</f>
        <v/>
      </c>
      <c r="I453" s="26">
        <f>IF($C453="","",ROUND(N($G453)*N($H453),0))</f>
        <v/>
      </c>
      <c r="J453" s="17" t="n"/>
      <c r="K453" s="17" t="n"/>
      <c r="L453" s="17" t="n"/>
    </row>
    <row r="454">
      <c r="A454" s="24">
        <f>IF($C454="","",COUNTA($C$4:$C454))</f>
        <v/>
      </c>
      <c r="B454" s="30" t="n"/>
      <c r="C454" s="17" t="n"/>
      <c r="D454" s="17" t="n"/>
      <c r="E454" s="17" t="n"/>
      <c r="F454" s="17" t="n"/>
      <c r="G454" s="31" t="n"/>
      <c r="H454" s="28">
        <f>IF($C454="","",IF($F454="CNY",汇率,1))</f>
        <v/>
      </c>
      <c r="I454" s="26">
        <f>IF($C454="","",ROUND(N($G454)*N($H454),0))</f>
        <v/>
      </c>
      <c r="J454" s="17" t="n"/>
      <c r="K454" s="17" t="n"/>
      <c r="L454" s="17" t="n"/>
    </row>
    <row r="455">
      <c r="A455" s="24">
        <f>IF($C455="","",COUNTA($C$4:$C455))</f>
        <v/>
      </c>
      <c r="B455" s="30" t="n"/>
      <c r="C455" s="17" t="n"/>
      <c r="D455" s="17" t="n"/>
      <c r="E455" s="17" t="n"/>
      <c r="F455" s="17" t="n"/>
      <c r="G455" s="31" t="n"/>
      <c r="H455" s="28">
        <f>IF($C455="","",IF($F455="CNY",汇率,1))</f>
        <v/>
      </c>
      <c r="I455" s="26">
        <f>IF($C455="","",ROUND(N($G455)*N($H455),0))</f>
        <v/>
      </c>
      <c r="J455" s="17" t="n"/>
      <c r="K455" s="17" t="n"/>
      <c r="L455" s="17" t="n"/>
    </row>
    <row r="456">
      <c r="A456" s="24">
        <f>IF($C456="","",COUNTA($C$4:$C456))</f>
        <v/>
      </c>
      <c r="B456" s="30" t="n"/>
      <c r="C456" s="17" t="n"/>
      <c r="D456" s="17" t="n"/>
      <c r="E456" s="17" t="n"/>
      <c r="F456" s="17" t="n"/>
      <c r="G456" s="31" t="n"/>
      <c r="H456" s="28">
        <f>IF($C456="","",IF($F456="CNY",汇率,1))</f>
        <v/>
      </c>
      <c r="I456" s="26">
        <f>IF($C456="","",ROUND(N($G456)*N($H456),0))</f>
        <v/>
      </c>
      <c r="J456" s="17" t="n"/>
      <c r="K456" s="17" t="n"/>
      <c r="L456" s="17" t="n"/>
    </row>
    <row r="457">
      <c r="A457" s="24">
        <f>IF($C457="","",COUNTA($C$4:$C457))</f>
        <v/>
      </c>
      <c r="B457" s="30" t="n"/>
      <c r="C457" s="17" t="n"/>
      <c r="D457" s="17" t="n"/>
      <c r="E457" s="17" t="n"/>
      <c r="F457" s="17" t="n"/>
      <c r="G457" s="31" t="n"/>
      <c r="H457" s="28">
        <f>IF($C457="","",IF($F457="CNY",汇率,1))</f>
        <v/>
      </c>
      <c r="I457" s="26">
        <f>IF($C457="","",ROUND(N($G457)*N($H457),0))</f>
        <v/>
      </c>
      <c r="J457" s="17" t="n"/>
      <c r="K457" s="17" t="n"/>
      <c r="L457" s="17" t="n"/>
    </row>
    <row r="458">
      <c r="A458" s="24">
        <f>IF($C458="","",COUNTA($C$4:$C458))</f>
        <v/>
      </c>
      <c r="B458" s="30" t="n"/>
      <c r="C458" s="17" t="n"/>
      <c r="D458" s="17" t="n"/>
      <c r="E458" s="17" t="n"/>
      <c r="F458" s="17" t="n"/>
      <c r="G458" s="31" t="n"/>
      <c r="H458" s="28">
        <f>IF($C458="","",IF($F458="CNY",汇率,1))</f>
        <v/>
      </c>
      <c r="I458" s="26">
        <f>IF($C458="","",ROUND(N($G458)*N($H458),0))</f>
        <v/>
      </c>
      <c r="J458" s="17" t="n"/>
      <c r="K458" s="17" t="n"/>
      <c r="L458" s="17" t="n"/>
    </row>
    <row r="459">
      <c r="A459" s="24">
        <f>IF($C459="","",COUNTA($C$4:$C459))</f>
        <v/>
      </c>
      <c r="B459" s="30" t="n"/>
      <c r="C459" s="17" t="n"/>
      <c r="D459" s="17" t="n"/>
      <c r="E459" s="17" t="n"/>
      <c r="F459" s="17" t="n"/>
      <c r="G459" s="31" t="n"/>
      <c r="H459" s="28">
        <f>IF($C459="","",IF($F459="CNY",汇率,1))</f>
        <v/>
      </c>
      <c r="I459" s="26">
        <f>IF($C459="","",ROUND(N($G459)*N($H459),0))</f>
        <v/>
      </c>
      <c r="J459" s="17" t="n"/>
      <c r="K459" s="17" t="n"/>
      <c r="L459" s="17" t="n"/>
    </row>
    <row r="460">
      <c r="A460" s="24">
        <f>IF($C460="","",COUNTA($C$4:$C460))</f>
        <v/>
      </c>
      <c r="B460" s="30" t="n"/>
      <c r="C460" s="17" t="n"/>
      <c r="D460" s="17" t="n"/>
      <c r="E460" s="17" t="n"/>
      <c r="F460" s="17" t="n"/>
      <c r="G460" s="31" t="n"/>
      <c r="H460" s="28">
        <f>IF($C460="","",IF($F460="CNY",汇率,1))</f>
        <v/>
      </c>
      <c r="I460" s="26">
        <f>IF($C460="","",ROUND(N($G460)*N($H460),0))</f>
        <v/>
      </c>
      <c r="J460" s="17" t="n"/>
      <c r="K460" s="17" t="n"/>
      <c r="L460" s="17" t="n"/>
    </row>
    <row r="461">
      <c r="A461" s="24">
        <f>IF($C461="","",COUNTA($C$4:$C461))</f>
        <v/>
      </c>
      <c r="B461" s="30" t="n"/>
      <c r="C461" s="17" t="n"/>
      <c r="D461" s="17" t="n"/>
      <c r="E461" s="17" t="n"/>
      <c r="F461" s="17" t="n"/>
      <c r="G461" s="31" t="n"/>
      <c r="H461" s="28">
        <f>IF($C461="","",IF($F461="CNY",汇率,1))</f>
        <v/>
      </c>
      <c r="I461" s="26">
        <f>IF($C461="","",ROUND(N($G461)*N($H461),0))</f>
        <v/>
      </c>
      <c r="J461" s="17" t="n"/>
      <c r="K461" s="17" t="n"/>
      <c r="L461" s="17" t="n"/>
    </row>
    <row r="462">
      <c r="A462" s="24">
        <f>IF($C462="","",COUNTA($C$4:$C462))</f>
        <v/>
      </c>
      <c r="B462" s="30" t="n"/>
      <c r="C462" s="17" t="n"/>
      <c r="D462" s="17" t="n"/>
      <c r="E462" s="17" t="n"/>
      <c r="F462" s="17" t="n"/>
      <c r="G462" s="31" t="n"/>
      <c r="H462" s="28">
        <f>IF($C462="","",IF($F462="CNY",汇率,1))</f>
        <v/>
      </c>
      <c r="I462" s="26">
        <f>IF($C462="","",ROUND(N($G462)*N($H462),0))</f>
        <v/>
      </c>
      <c r="J462" s="17" t="n"/>
      <c r="K462" s="17" t="n"/>
      <c r="L462" s="17" t="n"/>
    </row>
    <row r="463">
      <c r="A463" s="24">
        <f>IF($C463="","",COUNTA($C$4:$C463))</f>
        <v/>
      </c>
      <c r="B463" s="30" t="n"/>
      <c r="C463" s="17" t="n"/>
      <c r="D463" s="17" t="n"/>
      <c r="E463" s="17" t="n"/>
      <c r="F463" s="17" t="n"/>
      <c r="G463" s="31" t="n"/>
      <c r="H463" s="28">
        <f>IF($C463="","",IF($F463="CNY",汇率,1))</f>
        <v/>
      </c>
      <c r="I463" s="26">
        <f>IF($C463="","",ROUND(N($G463)*N($H463),0))</f>
        <v/>
      </c>
      <c r="J463" s="17" t="n"/>
      <c r="K463" s="17" t="n"/>
      <c r="L463" s="17" t="n"/>
    </row>
    <row r="464">
      <c r="A464" s="24">
        <f>IF($C464="","",COUNTA($C$4:$C464))</f>
        <v/>
      </c>
      <c r="B464" s="30" t="n"/>
      <c r="C464" s="17" t="n"/>
      <c r="D464" s="17" t="n"/>
      <c r="E464" s="17" t="n"/>
      <c r="F464" s="17" t="n"/>
      <c r="G464" s="31" t="n"/>
      <c r="H464" s="28">
        <f>IF($C464="","",IF($F464="CNY",汇率,1))</f>
        <v/>
      </c>
      <c r="I464" s="26">
        <f>IF($C464="","",ROUND(N($G464)*N($H464),0))</f>
        <v/>
      </c>
      <c r="J464" s="17" t="n"/>
      <c r="K464" s="17" t="n"/>
      <c r="L464" s="17" t="n"/>
    </row>
    <row r="465">
      <c r="A465" s="24">
        <f>IF($C465="","",COUNTA($C$4:$C465))</f>
        <v/>
      </c>
      <c r="B465" s="30" t="n"/>
      <c r="C465" s="17" t="n"/>
      <c r="D465" s="17" t="n"/>
      <c r="E465" s="17" t="n"/>
      <c r="F465" s="17" t="n"/>
      <c r="G465" s="31" t="n"/>
      <c r="H465" s="28">
        <f>IF($C465="","",IF($F465="CNY",汇率,1))</f>
        <v/>
      </c>
      <c r="I465" s="26">
        <f>IF($C465="","",ROUND(N($G465)*N($H465),0))</f>
        <v/>
      </c>
      <c r="J465" s="17" t="n"/>
      <c r="K465" s="17" t="n"/>
      <c r="L465" s="17" t="n"/>
    </row>
    <row r="466">
      <c r="A466" s="24">
        <f>IF($C466="","",COUNTA($C$4:$C466))</f>
        <v/>
      </c>
      <c r="B466" s="30" t="n"/>
      <c r="C466" s="17" t="n"/>
      <c r="D466" s="17" t="n"/>
      <c r="E466" s="17" t="n"/>
      <c r="F466" s="17" t="n"/>
      <c r="G466" s="31" t="n"/>
      <c r="H466" s="28">
        <f>IF($C466="","",IF($F466="CNY",汇率,1))</f>
        <v/>
      </c>
      <c r="I466" s="26">
        <f>IF($C466="","",ROUND(N($G466)*N($H466),0))</f>
        <v/>
      </c>
      <c r="J466" s="17" t="n"/>
      <c r="K466" s="17" t="n"/>
      <c r="L466" s="17" t="n"/>
    </row>
    <row r="467">
      <c r="A467" s="24">
        <f>IF($C467="","",COUNTA($C$4:$C467))</f>
        <v/>
      </c>
      <c r="B467" s="30" t="n"/>
      <c r="C467" s="17" t="n"/>
      <c r="D467" s="17" t="n"/>
      <c r="E467" s="17" t="n"/>
      <c r="F467" s="17" t="n"/>
      <c r="G467" s="31" t="n"/>
      <c r="H467" s="28">
        <f>IF($C467="","",IF($F467="CNY",汇率,1))</f>
        <v/>
      </c>
      <c r="I467" s="26">
        <f>IF($C467="","",ROUND(N($G467)*N($H467),0))</f>
        <v/>
      </c>
      <c r="J467" s="17" t="n"/>
      <c r="K467" s="17" t="n"/>
      <c r="L467" s="17" t="n"/>
    </row>
    <row r="468">
      <c r="A468" s="24">
        <f>IF($C468="","",COUNTA($C$4:$C468))</f>
        <v/>
      </c>
      <c r="B468" s="30" t="n"/>
      <c r="C468" s="17" t="n"/>
      <c r="D468" s="17" t="n"/>
      <c r="E468" s="17" t="n"/>
      <c r="F468" s="17" t="n"/>
      <c r="G468" s="31" t="n"/>
      <c r="H468" s="28">
        <f>IF($C468="","",IF($F468="CNY",汇率,1))</f>
        <v/>
      </c>
      <c r="I468" s="26">
        <f>IF($C468="","",ROUND(N($G468)*N($H468),0))</f>
        <v/>
      </c>
      <c r="J468" s="17" t="n"/>
      <c r="K468" s="17" t="n"/>
      <c r="L468" s="17" t="n"/>
    </row>
    <row r="469">
      <c r="A469" s="24">
        <f>IF($C469="","",COUNTA($C$4:$C469))</f>
        <v/>
      </c>
      <c r="B469" s="30" t="n"/>
      <c r="C469" s="17" t="n"/>
      <c r="D469" s="17" t="n"/>
      <c r="E469" s="17" t="n"/>
      <c r="F469" s="17" t="n"/>
      <c r="G469" s="31" t="n"/>
      <c r="H469" s="28">
        <f>IF($C469="","",IF($F469="CNY",汇率,1))</f>
        <v/>
      </c>
      <c r="I469" s="26">
        <f>IF($C469="","",ROUND(N($G469)*N($H469),0))</f>
        <v/>
      </c>
      <c r="J469" s="17" t="n"/>
      <c r="K469" s="17" t="n"/>
      <c r="L469" s="17" t="n"/>
    </row>
    <row r="470">
      <c r="A470" s="24">
        <f>IF($C470="","",COUNTA($C$4:$C470))</f>
        <v/>
      </c>
      <c r="B470" s="30" t="n"/>
      <c r="C470" s="17" t="n"/>
      <c r="D470" s="17" t="n"/>
      <c r="E470" s="17" t="n"/>
      <c r="F470" s="17" t="n"/>
      <c r="G470" s="31" t="n"/>
      <c r="H470" s="28">
        <f>IF($C470="","",IF($F470="CNY",汇率,1))</f>
        <v/>
      </c>
      <c r="I470" s="26">
        <f>IF($C470="","",ROUND(N($G470)*N($H470),0))</f>
        <v/>
      </c>
      <c r="J470" s="17" t="n"/>
      <c r="K470" s="17" t="n"/>
      <c r="L470" s="17" t="n"/>
    </row>
    <row r="471">
      <c r="A471" s="24">
        <f>IF($C471="","",COUNTA($C$4:$C471))</f>
        <v/>
      </c>
      <c r="B471" s="30" t="n"/>
      <c r="C471" s="17" t="n"/>
      <c r="D471" s="17" t="n"/>
      <c r="E471" s="17" t="n"/>
      <c r="F471" s="17" t="n"/>
      <c r="G471" s="31" t="n"/>
      <c r="H471" s="28">
        <f>IF($C471="","",IF($F471="CNY",汇率,1))</f>
        <v/>
      </c>
      <c r="I471" s="26">
        <f>IF($C471="","",ROUND(N($G471)*N($H471),0))</f>
        <v/>
      </c>
      <c r="J471" s="17" t="n"/>
      <c r="K471" s="17" t="n"/>
      <c r="L471" s="17" t="n"/>
    </row>
    <row r="472">
      <c r="A472" s="24">
        <f>IF($C472="","",COUNTA($C$4:$C472))</f>
        <v/>
      </c>
      <c r="B472" s="30" t="n"/>
      <c r="C472" s="17" t="n"/>
      <c r="D472" s="17" t="n"/>
      <c r="E472" s="17" t="n"/>
      <c r="F472" s="17" t="n"/>
      <c r="G472" s="31" t="n"/>
      <c r="H472" s="28">
        <f>IF($C472="","",IF($F472="CNY",汇率,1))</f>
        <v/>
      </c>
      <c r="I472" s="26">
        <f>IF($C472="","",ROUND(N($G472)*N($H472),0))</f>
        <v/>
      </c>
      <c r="J472" s="17" t="n"/>
      <c r="K472" s="17" t="n"/>
      <c r="L472" s="17" t="n"/>
    </row>
    <row r="473">
      <c r="A473" s="24">
        <f>IF($C473="","",COUNTA($C$4:$C473))</f>
        <v/>
      </c>
      <c r="B473" s="30" t="n"/>
      <c r="C473" s="17" t="n"/>
      <c r="D473" s="17" t="n"/>
      <c r="E473" s="17" t="n"/>
      <c r="F473" s="17" t="n"/>
      <c r="G473" s="31" t="n"/>
      <c r="H473" s="28">
        <f>IF($C473="","",IF($F473="CNY",汇率,1))</f>
        <v/>
      </c>
      <c r="I473" s="26">
        <f>IF($C473="","",ROUND(N($G473)*N($H473),0))</f>
        <v/>
      </c>
      <c r="J473" s="17" t="n"/>
      <c r="K473" s="17" t="n"/>
      <c r="L473" s="17" t="n"/>
    </row>
    <row r="474">
      <c r="A474" s="24">
        <f>IF($C474="","",COUNTA($C$4:$C474))</f>
        <v/>
      </c>
      <c r="B474" s="30" t="n"/>
      <c r="C474" s="17" t="n"/>
      <c r="D474" s="17" t="n"/>
      <c r="E474" s="17" t="n"/>
      <c r="F474" s="17" t="n"/>
      <c r="G474" s="31" t="n"/>
      <c r="H474" s="28">
        <f>IF($C474="","",IF($F474="CNY",汇率,1))</f>
        <v/>
      </c>
      <c r="I474" s="26">
        <f>IF($C474="","",ROUND(N($G474)*N($H474),0))</f>
        <v/>
      </c>
      <c r="J474" s="17" t="n"/>
      <c r="K474" s="17" t="n"/>
      <c r="L474" s="17" t="n"/>
    </row>
    <row r="475">
      <c r="A475" s="24">
        <f>IF($C475="","",COUNTA($C$4:$C475))</f>
        <v/>
      </c>
      <c r="B475" s="30" t="n"/>
      <c r="C475" s="17" t="n"/>
      <c r="D475" s="17" t="n"/>
      <c r="E475" s="17" t="n"/>
      <c r="F475" s="17" t="n"/>
      <c r="G475" s="31" t="n"/>
      <c r="H475" s="28">
        <f>IF($C475="","",IF($F475="CNY",汇率,1))</f>
        <v/>
      </c>
      <c r="I475" s="26">
        <f>IF($C475="","",ROUND(N($G475)*N($H475),0))</f>
        <v/>
      </c>
      <c r="J475" s="17" t="n"/>
      <c r="K475" s="17" t="n"/>
      <c r="L475" s="17" t="n"/>
    </row>
    <row r="476">
      <c r="A476" s="24">
        <f>IF($C476="","",COUNTA($C$4:$C476))</f>
        <v/>
      </c>
      <c r="B476" s="30" t="n"/>
      <c r="C476" s="17" t="n"/>
      <c r="D476" s="17" t="n"/>
      <c r="E476" s="17" t="n"/>
      <c r="F476" s="17" t="n"/>
      <c r="G476" s="31" t="n"/>
      <c r="H476" s="28">
        <f>IF($C476="","",IF($F476="CNY",汇率,1))</f>
        <v/>
      </c>
      <c r="I476" s="26">
        <f>IF($C476="","",ROUND(N($G476)*N($H476),0))</f>
        <v/>
      </c>
      <c r="J476" s="17" t="n"/>
      <c r="K476" s="17" t="n"/>
      <c r="L476" s="17" t="n"/>
    </row>
    <row r="477">
      <c r="A477" s="24">
        <f>IF($C477="","",COUNTA($C$4:$C477))</f>
        <v/>
      </c>
      <c r="B477" s="30" t="n"/>
      <c r="C477" s="17" t="n"/>
      <c r="D477" s="17" t="n"/>
      <c r="E477" s="17" t="n"/>
      <c r="F477" s="17" t="n"/>
      <c r="G477" s="31" t="n"/>
      <c r="H477" s="28">
        <f>IF($C477="","",IF($F477="CNY",汇率,1))</f>
        <v/>
      </c>
      <c r="I477" s="26">
        <f>IF($C477="","",ROUND(N($G477)*N($H477),0))</f>
        <v/>
      </c>
      <c r="J477" s="17" t="n"/>
      <c r="K477" s="17" t="n"/>
      <c r="L477" s="17" t="n"/>
    </row>
    <row r="478">
      <c r="A478" s="24">
        <f>IF($C478="","",COUNTA($C$4:$C478))</f>
        <v/>
      </c>
      <c r="B478" s="30" t="n"/>
      <c r="C478" s="17" t="n"/>
      <c r="D478" s="17" t="n"/>
      <c r="E478" s="17" t="n"/>
      <c r="F478" s="17" t="n"/>
      <c r="G478" s="31" t="n"/>
      <c r="H478" s="28">
        <f>IF($C478="","",IF($F478="CNY",汇率,1))</f>
        <v/>
      </c>
      <c r="I478" s="26">
        <f>IF($C478="","",ROUND(N($G478)*N($H478),0))</f>
        <v/>
      </c>
      <c r="J478" s="17" t="n"/>
      <c r="K478" s="17" t="n"/>
      <c r="L478" s="17" t="n"/>
    </row>
    <row r="479">
      <c r="A479" s="24">
        <f>IF($C479="","",COUNTA($C$4:$C479))</f>
        <v/>
      </c>
      <c r="B479" s="30" t="n"/>
      <c r="C479" s="17" t="n"/>
      <c r="D479" s="17" t="n"/>
      <c r="E479" s="17" t="n"/>
      <c r="F479" s="17" t="n"/>
      <c r="G479" s="31" t="n"/>
      <c r="H479" s="28">
        <f>IF($C479="","",IF($F479="CNY",汇率,1))</f>
        <v/>
      </c>
      <c r="I479" s="26">
        <f>IF($C479="","",ROUND(N($G479)*N($H479),0))</f>
        <v/>
      </c>
      <c r="J479" s="17" t="n"/>
      <c r="K479" s="17" t="n"/>
      <c r="L479" s="17" t="n"/>
    </row>
    <row r="480">
      <c r="A480" s="24">
        <f>IF($C480="","",COUNTA($C$4:$C480))</f>
        <v/>
      </c>
      <c r="B480" s="30" t="n"/>
      <c r="C480" s="17" t="n"/>
      <c r="D480" s="17" t="n"/>
      <c r="E480" s="17" t="n"/>
      <c r="F480" s="17" t="n"/>
      <c r="G480" s="31" t="n"/>
      <c r="H480" s="28">
        <f>IF($C480="","",IF($F480="CNY",汇率,1))</f>
        <v/>
      </c>
      <c r="I480" s="26">
        <f>IF($C480="","",ROUND(N($G480)*N($H480),0))</f>
        <v/>
      </c>
      <c r="J480" s="17" t="n"/>
      <c r="K480" s="17" t="n"/>
      <c r="L480" s="17" t="n"/>
    </row>
    <row r="481">
      <c r="A481" s="24">
        <f>IF($C481="","",COUNTA($C$4:$C481))</f>
        <v/>
      </c>
      <c r="B481" s="30" t="n"/>
      <c r="C481" s="17" t="n"/>
      <c r="D481" s="17" t="n"/>
      <c r="E481" s="17" t="n"/>
      <c r="F481" s="17" t="n"/>
      <c r="G481" s="31" t="n"/>
      <c r="H481" s="28">
        <f>IF($C481="","",IF($F481="CNY",汇率,1))</f>
        <v/>
      </c>
      <c r="I481" s="26">
        <f>IF($C481="","",ROUND(N($G481)*N($H481),0))</f>
        <v/>
      </c>
      <c r="J481" s="17" t="n"/>
      <c r="K481" s="17" t="n"/>
      <c r="L481" s="17" t="n"/>
    </row>
    <row r="482">
      <c r="A482" s="24">
        <f>IF($C482="","",COUNTA($C$4:$C482))</f>
        <v/>
      </c>
      <c r="B482" s="30" t="n"/>
      <c r="C482" s="17" t="n"/>
      <c r="D482" s="17" t="n"/>
      <c r="E482" s="17" t="n"/>
      <c r="F482" s="17" t="n"/>
      <c r="G482" s="31" t="n"/>
      <c r="H482" s="28">
        <f>IF($C482="","",IF($F482="CNY",汇率,1))</f>
        <v/>
      </c>
      <c r="I482" s="26">
        <f>IF($C482="","",ROUND(N($G482)*N($H482),0))</f>
        <v/>
      </c>
      <c r="J482" s="17" t="n"/>
      <c r="K482" s="17" t="n"/>
      <c r="L482" s="17" t="n"/>
    </row>
    <row r="483">
      <c r="A483" s="24">
        <f>IF($C483="","",COUNTA($C$4:$C483))</f>
        <v/>
      </c>
      <c r="B483" s="30" t="n"/>
      <c r="C483" s="17" t="n"/>
      <c r="D483" s="17" t="n"/>
      <c r="E483" s="17" t="n"/>
      <c r="F483" s="17" t="n"/>
      <c r="G483" s="31" t="n"/>
      <c r="H483" s="28">
        <f>IF($C483="","",IF($F483="CNY",汇率,1))</f>
        <v/>
      </c>
      <c r="I483" s="26">
        <f>IF($C483="","",ROUND(N($G483)*N($H483),0))</f>
        <v/>
      </c>
      <c r="J483" s="17" t="n"/>
      <c r="K483" s="17" t="n"/>
      <c r="L483" s="17" t="n"/>
    </row>
    <row r="484">
      <c r="A484" s="24">
        <f>IF($C484="","",COUNTA($C$4:$C484))</f>
        <v/>
      </c>
      <c r="B484" s="30" t="n"/>
      <c r="C484" s="17" t="n"/>
      <c r="D484" s="17" t="n"/>
      <c r="E484" s="17" t="n"/>
      <c r="F484" s="17" t="n"/>
      <c r="G484" s="31" t="n"/>
      <c r="H484" s="28">
        <f>IF($C484="","",IF($F484="CNY",汇率,1))</f>
        <v/>
      </c>
      <c r="I484" s="26">
        <f>IF($C484="","",ROUND(N($G484)*N($H484),0))</f>
        <v/>
      </c>
      <c r="J484" s="17" t="n"/>
      <c r="K484" s="17" t="n"/>
      <c r="L484" s="17" t="n"/>
    </row>
    <row r="485">
      <c r="A485" s="24">
        <f>IF($C485="","",COUNTA($C$4:$C485))</f>
        <v/>
      </c>
      <c r="B485" s="30" t="n"/>
      <c r="C485" s="17" t="n"/>
      <c r="D485" s="17" t="n"/>
      <c r="E485" s="17" t="n"/>
      <c r="F485" s="17" t="n"/>
      <c r="G485" s="31" t="n"/>
      <c r="H485" s="28">
        <f>IF($C485="","",IF($F485="CNY",汇率,1))</f>
        <v/>
      </c>
      <c r="I485" s="26">
        <f>IF($C485="","",ROUND(N($G485)*N($H485),0))</f>
        <v/>
      </c>
      <c r="J485" s="17" t="n"/>
      <c r="K485" s="17" t="n"/>
      <c r="L485" s="17" t="n"/>
    </row>
    <row r="486">
      <c r="A486" s="24">
        <f>IF($C486="","",COUNTA($C$4:$C486))</f>
        <v/>
      </c>
      <c r="B486" s="30" t="n"/>
      <c r="C486" s="17" t="n"/>
      <c r="D486" s="17" t="n"/>
      <c r="E486" s="17" t="n"/>
      <c r="F486" s="17" t="n"/>
      <c r="G486" s="31" t="n"/>
      <c r="H486" s="28">
        <f>IF($C486="","",IF($F486="CNY",汇率,1))</f>
        <v/>
      </c>
      <c r="I486" s="26">
        <f>IF($C486="","",ROUND(N($G486)*N($H486),0))</f>
        <v/>
      </c>
      <c r="J486" s="17" t="n"/>
      <c r="K486" s="17" t="n"/>
      <c r="L486" s="17" t="n"/>
    </row>
    <row r="487">
      <c r="A487" s="24">
        <f>IF($C487="","",COUNTA($C$4:$C487))</f>
        <v/>
      </c>
      <c r="B487" s="30" t="n"/>
      <c r="C487" s="17" t="n"/>
      <c r="D487" s="17" t="n"/>
      <c r="E487" s="17" t="n"/>
      <c r="F487" s="17" t="n"/>
      <c r="G487" s="31" t="n"/>
      <c r="H487" s="28">
        <f>IF($C487="","",IF($F487="CNY",汇率,1))</f>
        <v/>
      </c>
      <c r="I487" s="26">
        <f>IF($C487="","",ROUND(N($G487)*N($H487),0))</f>
        <v/>
      </c>
      <c r="J487" s="17" t="n"/>
      <c r="K487" s="17" t="n"/>
      <c r="L487" s="17" t="n"/>
    </row>
    <row r="488">
      <c r="A488" s="24">
        <f>IF($C488="","",COUNTA($C$4:$C488))</f>
        <v/>
      </c>
      <c r="B488" s="30" t="n"/>
      <c r="C488" s="17" t="n"/>
      <c r="D488" s="17" t="n"/>
      <c r="E488" s="17" t="n"/>
      <c r="F488" s="17" t="n"/>
      <c r="G488" s="31" t="n"/>
      <c r="H488" s="28">
        <f>IF($C488="","",IF($F488="CNY",汇率,1))</f>
        <v/>
      </c>
      <c r="I488" s="26">
        <f>IF($C488="","",ROUND(N($G488)*N($H488),0))</f>
        <v/>
      </c>
      <c r="J488" s="17" t="n"/>
      <c r="K488" s="17" t="n"/>
      <c r="L488" s="17" t="n"/>
    </row>
    <row r="489">
      <c r="A489" s="24">
        <f>IF($C489="","",COUNTA($C$4:$C489))</f>
        <v/>
      </c>
      <c r="B489" s="30" t="n"/>
      <c r="C489" s="17" t="n"/>
      <c r="D489" s="17" t="n"/>
      <c r="E489" s="17" t="n"/>
      <c r="F489" s="17" t="n"/>
      <c r="G489" s="31" t="n"/>
      <c r="H489" s="28">
        <f>IF($C489="","",IF($F489="CNY",汇率,1))</f>
        <v/>
      </c>
      <c r="I489" s="26">
        <f>IF($C489="","",ROUND(N($G489)*N($H489),0))</f>
        <v/>
      </c>
      <c r="J489" s="17" t="n"/>
      <c r="K489" s="17" t="n"/>
      <c r="L489" s="17" t="n"/>
    </row>
    <row r="490">
      <c r="A490" s="24">
        <f>IF($C490="","",COUNTA($C$4:$C490))</f>
        <v/>
      </c>
      <c r="B490" s="30" t="n"/>
      <c r="C490" s="17" t="n"/>
      <c r="D490" s="17" t="n"/>
      <c r="E490" s="17" t="n"/>
      <c r="F490" s="17" t="n"/>
      <c r="G490" s="31" t="n"/>
      <c r="H490" s="28">
        <f>IF($C490="","",IF($F490="CNY",汇率,1))</f>
        <v/>
      </c>
      <c r="I490" s="26">
        <f>IF($C490="","",ROUND(N($G490)*N($H490),0))</f>
        <v/>
      </c>
      <c r="J490" s="17" t="n"/>
      <c r="K490" s="17" t="n"/>
      <c r="L490" s="17" t="n"/>
    </row>
    <row r="491">
      <c r="A491" s="24">
        <f>IF($C491="","",COUNTA($C$4:$C491))</f>
        <v/>
      </c>
      <c r="B491" s="30" t="n"/>
      <c r="C491" s="17" t="n"/>
      <c r="D491" s="17" t="n"/>
      <c r="E491" s="17" t="n"/>
      <c r="F491" s="17" t="n"/>
      <c r="G491" s="31" t="n"/>
      <c r="H491" s="28">
        <f>IF($C491="","",IF($F491="CNY",汇率,1))</f>
        <v/>
      </c>
      <c r="I491" s="26">
        <f>IF($C491="","",ROUND(N($G491)*N($H491),0))</f>
        <v/>
      </c>
      <c r="J491" s="17" t="n"/>
      <c r="K491" s="17" t="n"/>
      <c r="L491" s="17" t="n"/>
    </row>
    <row r="492">
      <c r="A492" s="24">
        <f>IF($C492="","",COUNTA($C$4:$C492))</f>
        <v/>
      </c>
      <c r="B492" s="30" t="n"/>
      <c r="C492" s="17" t="n"/>
      <c r="D492" s="17" t="n"/>
      <c r="E492" s="17" t="n"/>
      <c r="F492" s="17" t="n"/>
      <c r="G492" s="31" t="n"/>
      <c r="H492" s="28">
        <f>IF($C492="","",IF($F492="CNY",汇率,1))</f>
        <v/>
      </c>
      <c r="I492" s="26">
        <f>IF($C492="","",ROUND(N($G492)*N($H492),0))</f>
        <v/>
      </c>
      <c r="J492" s="17" t="n"/>
      <c r="K492" s="17" t="n"/>
      <c r="L492" s="17" t="n"/>
    </row>
    <row r="493">
      <c r="A493" s="24">
        <f>IF($C493="","",COUNTA($C$4:$C493))</f>
        <v/>
      </c>
      <c r="B493" s="30" t="n"/>
      <c r="C493" s="17" t="n"/>
      <c r="D493" s="17" t="n"/>
      <c r="E493" s="17" t="n"/>
      <c r="F493" s="17" t="n"/>
      <c r="G493" s="31" t="n"/>
      <c r="H493" s="28">
        <f>IF($C493="","",IF($F493="CNY",汇率,1))</f>
        <v/>
      </c>
      <c r="I493" s="26">
        <f>IF($C493="","",ROUND(N($G493)*N($H493),0))</f>
        <v/>
      </c>
      <c r="J493" s="17" t="n"/>
      <c r="K493" s="17" t="n"/>
      <c r="L493" s="17" t="n"/>
    </row>
    <row r="494">
      <c r="A494" s="24">
        <f>IF($C494="","",COUNTA($C$4:$C494))</f>
        <v/>
      </c>
      <c r="B494" s="30" t="n"/>
      <c r="C494" s="17" t="n"/>
      <c r="D494" s="17" t="n"/>
      <c r="E494" s="17" t="n"/>
      <c r="F494" s="17" t="n"/>
      <c r="G494" s="31" t="n"/>
      <c r="H494" s="28">
        <f>IF($C494="","",IF($F494="CNY",汇率,1))</f>
        <v/>
      </c>
      <c r="I494" s="26">
        <f>IF($C494="","",ROUND(N($G494)*N($H494),0))</f>
        <v/>
      </c>
      <c r="J494" s="17" t="n"/>
      <c r="K494" s="17" t="n"/>
      <c r="L494" s="17" t="n"/>
    </row>
    <row r="495">
      <c r="A495" s="24">
        <f>IF($C495="","",COUNTA($C$4:$C495))</f>
        <v/>
      </c>
      <c r="B495" s="30" t="n"/>
      <c r="C495" s="17" t="n"/>
      <c r="D495" s="17" t="n"/>
      <c r="E495" s="17" t="n"/>
      <c r="F495" s="17" t="n"/>
      <c r="G495" s="31" t="n"/>
      <c r="H495" s="28">
        <f>IF($C495="","",IF($F495="CNY",汇率,1))</f>
        <v/>
      </c>
      <c r="I495" s="26">
        <f>IF($C495="","",ROUND(N($G495)*N($H495),0))</f>
        <v/>
      </c>
      <c r="J495" s="17" t="n"/>
      <c r="K495" s="17" t="n"/>
      <c r="L495" s="17" t="n"/>
    </row>
    <row r="496">
      <c r="A496" s="24">
        <f>IF($C496="","",COUNTA($C$4:$C496))</f>
        <v/>
      </c>
      <c r="B496" s="30" t="n"/>
      <c r="C496" s="17" t="n"/>
      <c r="D496" s="17" t="n"/>
      <c r="E496" s="17" t="n"/>
      <c r="F496" s="17" t="n"/>
      <c r="G496" s="31" t="n"/>
      <c r="H496" s="28">
        <f>IF($C496="","",IF($F496="CNY",汇率,1))</f>
        <v/>
      </c>
      <c r="I496" s="26">
        <f>IF($C496="","",ROUND(N($G496)*N($H496),0))</f>
        <v/>
      </c>
      <c r="J496" s="17" t="n"/>
      <c r="K496" s="17" t="n"/>
      <c r="L496" s="17" t="n"/>
    </row>
    <row r="497">
      <c r="A497" s="24">
        <f>IF($C497="","",COUNTA($C$4:$C497))</f>
        <v/>
      </c>
      <c r="B497" s="30" t="n"/>
      <c r="C497" s="17" t="n"/>
      <c r="D497" s="17" t="n"/>
      <c r="E497" s="17" t="n"/>
      <c r="F497" s="17" t="n"/>
      <c r="G497" s="31" t="n"/>
      <c r="H497" s="28">
        <f>IF($C497="","",IF($F497="CNY",汇率,1))</f>
        <v/>
      </c>
      <c r="I497" s="26">
        <f>IF($C497="","",ROUND(N($G497)*N($H497),0))</f>
        <v/>
      </c>
      <c r="J497" s="17" t="n"/>
      <c r="K497" s="17" t="n"/>
      <c r="L497" s="17" t="n"/>
    </row>
    <row r="498">
      <c r="A498" s="24">
        <f>IF($C498="","",COUNTA($C$4:$C498))</f>
        <v/>
      </c>
      <c r="B498" s="30" t="n"/>
      <c r="C498" s="17" t="n"/>
      <c r="D498" s="17" t="n"/>
      <c r="E498" s="17" t="n"/>
      <c r="F498" s="17" t="n"/>
      <c r="G498" s="31" t="n"/>
      <c r="H498" s="28">
        <f>IF($C498="","",IF($F498="CNY",汇率,1))</f>
        <v/>
      </c>
      <c r="I498" s="26">
        <f>IF($C498="","",ROUND(N($G498)*N($H498),0))</f>
        <v/>
      </c>
      <c r="J498" s="17" t="n"/>
      <c r="K498" s="17" t="n"/>
      <c r="L498" s="17" t="n"/>
    </row>
    <row r="499">
      <c r="A499" s="24">
        <f>IF($C499="","",COUNTA($C$4:$C499))</f>
        <v/>
      </c>
      <c r="B499" s="30" t="n"/>
      <c r="C499" s="17" t="n"/>
      <c r="D499" s="17" t="n"/>
      <c r="E499" s="17" t="n"/>
      <c r="F499" s="17" t="n"/>
      <c r="G499" s="31" t="n"/>
      <c r="H499" s="28">
        <f>IF($C499="","",IF($F499="CNY",汇率,1))</f>
        <v/>
      </c>
      <c r="I499" s="26">
        <f>IF($C499="","",ROUND(N($G499)*N($H499),0))</f>
        <v/>
      </c>
      <c r="J499" s="17" t="n"/>
      <c r="K499" s="17" t="n"/>
      <c r="L499" s="17" t="n"/>
    </row>
    <row r="500">
      <c r="A500" s="24">
        <f>IF($C500="","",COUNTA($C$4:$C500))</f>
        <v/>
      </c>
      <c r="B500" s="30" t="n"/>
      <c r="C500" s="17" t="n"/>
      <c r="D500" s="17" t="n"/>
      <c r="E500" s="17" t="n"/>
      <c r="F500" s="17" t="n"/>
      <c r="G500" s="31" t="n"/>
      <c r="H500" s="28">
        <f>IF($C500="","",IF($F500="CNY",汇率,1))</f>
        <v/>
      </c>
      <c r="I500" s="26">
        <f>IF($C500="","",ROUND(N($G500)*N($H500),0))</f>
        <v/>
      </c>
      <c r="J500" s="17" t="n"/>
      <c r="K500" s="17" t="n"/>
      <c r="L500" s="17" t="n"/>
    </row>
    <row r="501">
      <c r="A501" s="24">
        <f>IF($C501="","",COUNTA($C$4:$C501))</f>
        <v/>
      </c>
      <c r="B501" s="30" t="n"/>
      <c r="C501" s="17" t="n"/>
      <c r="D501" s="17" t="n"/>
      <c r="E501" s="17" t="n"/>
      <c r="F501" s="17" t="n"/>
      <c r="G501" s="31" t="n"/>
      <c r="H501" s="28">
        <f>IF($C501="","",IF($F501="CNY",汇率,1))</f>
        <v/>
      </c>
      <c r="I501" s="26">
        <f>IF($C501="","",ROUND(N($G501)*N($H501),0))</f>
        <v/>
      </c>
      <c r="J501" s="17" t="n"/>
      <c r="K501" s="17" t="n"/>
      <c r="L501" s="17" t="n"/>
    </row>
    <row r="502">
      <c r="A502" s="24">
        <f>IF($C502="","",COUNTA($C$4:$C502))</f>
        <v/>
      </c>
      <c r="B502" s="30" t="n"/>
      <c r="C502" s="17" t="n"/>
      <c r="D502" s="17" t="n"/>
      <c r="E502" s="17" t="n"/>
      <c r="F502" s="17" t="n"/>
      <c r="G502" s="31" t="n"/>
      <c r="H502" s="28">
        <f>IF($C502="","",IF($F502="CNY",汇率,1))</f>
        <v/>
      </c>
      <c r="I502" s="26">
        <f>IF($C502="","",ROUND(N($G502)*N($H502),0))</f>
        <v/>
      </c>
      <c r="J502" s="17" t="n"/>
      <c r="K502" s="17" t="n"/>
      <c r="L502" s="17" t="n"/>
    </row>
    <row r="503">
      <c r="A503" s="24">
        <f>IF($C503="","",COUNTA($C$4:$C503))</f>
        <v/>
      </c>
      <c r="B503" s="30" t="n"/>
      <c r="C503" s="17" t="n"/>
      <c r="D503" s="17" t="n"/>
      <c r="E503" s="17" t="n"/>
      <c r="F503" s="17" t="n"/>
      <c r="G503" s="31" t="n"/>
      <c r="H503" s="28">
        <f>IF($C503="","",IF($F503="CNY",汇率,1))</f>
        <v/>
      </c>
      <c r="I503" s="26">
        <f>IF($C503="","",ROUND(N($G503)*N($H503),0))</f>
        <v/>
      </c>
      <c r="J503" s="17" t="n"/>
      <c r="K503" s="17" t="n"/>
      <c r="L503" s="17" t="n"/>
    </row>
  </sheetData>
  <autoFilter ref="A3:L503"/>
  <mergeCells count="2">
    <mergeCell ref="A2:L2"/>
    <mergeCell ref="A1:L1"/>
  </mergeCells>
  <dataValidations count="4">
    <dataValidation sqref="D4:D503" showDropDown="0" showInputMessage="0" showErrorMessage="1" allowBlank="1" errorTitle="不在名单里" error="先去【参数表】或【物料档案】把它加上。" type="list" errorStyle="warning">
      <formula1>=费用类型表</formula1>
    </dataValidation>
    <dataValidation sqref="F4:F503" showDropDown="0" showInputMessage="0" showErrorMessage="1" allowBlank="1" errorTitle="不在名单里" error="先去【参数表】或【物料档案】把它加上。" type="list" errorStyle="stop">
      <formula1>"CNY,TZS"</formula1>
    </dataValidation>
    <dataValidation sqref="J4:J503" showDropDown="0" showInputMessage="0" showErrorMessage="1" allowBlank="1" errorTitle="不在名单里" error="先去【参数表】或【物料档案】把它加上。" type="list" errorStyle="stop">
      <formula1>"是,否"</formula1>
    </dataValidation>
    <dataValidation sqref="K4:K503" showDropDown="0" showInputMessage="0" showErrorMessage="1" allowBlank="1" errorTitle="不在名单里" error="先去【参数表】或【物料档案】把它加上。" type="list" errorStyle="stop">
      <formula1>"正常,作废"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AC2503"/>
  <sheetViews>
    <sheetView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4" customWidth="1" min="2" max="2"/>
    <col width="12" customWidth="1" min="3" max="3"/>
    <col width="10" customWidth="1" min="4" max="4"/>
    <col width="24" customWidth="1" min="5" max="5"/>
    <col width="22" customWidth="1" min="6" max="6"/>
    <col width="11" customWidth="1" min="7" max="7"/>
    <col width="24" customWidth="1" min="8" max="8"/>
    <col width="24" customWidth="1" min="9" max="9"/>
    <col width="9" customWidth="1" min="10" max="10"/>
    <col width="12" customWidth="1" min="11" max="11"/>
    <col width="13" customWidth="1" min="12" max="12"/>
    <col width="8" customWidth="1" min="13" max="13"/>
    <col width="8" customWidth="1" min="14" max="14"/>
    <col width="14" customWidth="1" min="15" max="15"/>
    <col width="15" customWidth="1" min="16" max="16"/>
    <col width="16" customWidth="1" min="17" max="17"/>
    <col width="16" customWidth="1" min="18" max="18"/>
    <col width="12" customWidth="1" min="19" max="19"/>
    <col width="16" customWidth="1" min="20" max="20"/>
    <col width="15" customWidth="1" min="21" max="21"/>
    <col width="16" customWidth="1" min="22" max="22"/>
    <col width="15" customWidth="1" min="23" max="23"/>
    <col width="12" customWidth="1" min="24" max="24"/>
    <col width="12" customWidth="1" min="25" max="25"/>
    <col width="9" customWidth="1" min="26" max="26"/>
    <col width="10" customWidth="1" min="27" max="27"/>
    <col width="26" customWidth="1" min="28" max="28"/>
    <col width="26" customWidth="1" min="29" max="29"/>
  </cols>
  <sheetData>
    <row r="1" ht="30" customHeight="1">
      <c r="A1" s="12" t="inlineStr">
        <is>
          <t>入库单 · 库管录数量，财务补单价</t>
        </is>
      </c>
    </row>
    <row r="2" ht="24" customHeight="1">
      <c r="A2" s="13" t="inlineStr">
        <is>
          <t>库管只填：日期、批次号、物料编码、入库数量、录入人。单价财务后补，不耽误收货。批次号 = 集装箱号-到港年月（柜号会被船公司重复使用，光写柜号两年后会摊错）。当地采购批次号写「本地-年月」。</t>
        </is>
      </c>
    </row>
    <row r="3" ht="34" customHeight="1">
      <c r="A3" s="29" t="inlineStr">
        <is>
          <t>序号</t>
        </is>
      </c>
      <c r="B3" s="29" t="inlineStr">
        <is>
          <t>入库单号</t>
        </is>
      </c>
      <c r="C3" s="29" t="inlineStr">
        <is>
          <t>入库日期 ★</t>
        </is>
      </c>
      <c r="D3" s="29" t="inlineStr">
        <is>
          <t>货源 ★</t>
        </is>
      </c>
      <c r="E3" s="29" t="inlineStr">
        <is>
          <t>批次号 ★</t>
        </is>
      </c>
      <c r="F3" s="29" t="inlineStr">
        <is>
          <t>供应商</t>
        </is>
      </c>
      <c r="G3" s="29" t="inlineStr">
        <is>
          <t>物料编码 ★</t>
        </is>
      </c>
      <c r="H3" s="29" t="inlineStr">
        <is>
          <t>品名</t>
        </is>
      </c>
      <c r="I3" s="29" t="inlineStr">
        <is>
          <t>规格型号</t>
        </is>
      </c>
      <c r="J3" s="29" t="inlineStr">
        <is>
          <t>单位</t>
        </is>
      </c>
      <c r="K3" s="29" t="inlineStr">
        <is>
          <t>入库数量 ★</t>
        </is>
      </c>
      <c r="L3" s="29" t="inlineStr">
        <is>
          <t>原币单价</t>
        </is>
      </c>
      <c r="M3" s="29" t="inlineStr">
        <is>
          <t>币种</t>
        </is>
      </c>
      <c r="N3" s="29" t="inlineStr">
        <is>
          <t>汇率</t>
        </is>
      </c>
      <c r="O3" s="29" t="inlineStr">
        <is>
          <t>原币金额</t>
        </is>
      </c>
      <c r="P3" s="29" t="inlineStr">
        <is>
          <t>货值·先令</t>
        </is>
      </c>
      <c r="Q3" s="29" t="inlineStr">
        <is>
          <t>本批货值合计·先令</t>
        </is>
      </c>
      <c r="R3" s="29" t="inlineStr">
        <is>
          <t>本批可摊费用·先令</t>
        </is>
      </c>
      <c r="S3" s="29" t="inlineStr">
        <is>
          <t>本批无价行数</t>
        </is>
      </c>
      <c r="T3" s="29" t="inlineStr">
        <is>
          <t>累计货值·先令</t>
        </is>
      </c>
      <c r="U3" s="29" t="inlineStr">
        <is>
          <t>分摊运费·先令</t>
        </is>
      </c>
      <c r="V3" s="29" t="inlineStr">
        <is>
          <t>入库成本·先令</t>
        </is>
      </c>
      <c r="W3" s="29" t="inlineStr">
        <is>
          <t>单位成本·先令</t>
        </is>
      </c>
      <c r="X3" s="29" t="inlineStr">
        <is>
          <t>入库类型</t>
        </is>
      </c>
      <c r="Y3" s="29" t="inlineStr">
        <is>
          <t>价格状态</t>
        </is>
      </c>
      <c r="Z3" s="29" t="inlineStr">
        <is>
          <t>状态</t>
        </is>
      </c>
      <c r="AA3" s="29" t="inlineStr">
        <is>
          <t>录入人</t>
        </is>
      </c>
      <c r="AB3" s="29" t="inlineStr">
        <is>
          <t>备注</t>
        </is>
      </c>
      <c r="AC3" s="29" t="inlineStr">
        <is>
          <t>核对</t>
        </is>
      </c>
    </row>
    <row r="4">
      <c r="A4" s="24">
        <f>IF($G4="","",COUNTA($G$4:$G4))</f>
        <v/>
      </c>
      <c r="B4" s="17" t="n"/>
      <c r="C4" s="30" t="n">
        <v>46042</v>
      </c>
      <c r="D4" s="17" t="inlineStr">
        <is>
          <t>A国内</t>
        </is>
      </c>
      <c r="E4" s="17" t="inlineStr">
        <is>
          <t>MAEU4138660-202601</t>
        </is>
      </c>
      <c r="F4" s="17" t="inlineStr">
        <is>
          <t>烟台市金豪矿山机械有限公司</t>
        </is>
      </c>
      <c r="G4" s="17" t="inlineStr">
        <is>
          <t>JH0001</t>
        </is>
      </c>
      <c r="H4" s="24">
        <f>IF($G4="","",IFERROR(VLOOKUP($G4,物料档案!$A$4:$P$1203,3,0),"※编码不在物料档案里"))</f>
        <v/>
      </c>
      <c r="I4" s="24">
        <f>IF($G4="","",IFERROR(VLOOKUP($G4,物料档案!$A$4:$P$1203,4,0),"※编码不在物料档案里"))</f>
        <v/>
      </c>
      <c r="J4" s="24">
        <f>IF($G4="","",IFERROR(VLOOKUP($G4,物料档案!$A$4:$P$1203,5,0),"※编码不在物料档案里"))</f>
        <v/>
      </c>
      <c r="K4" s="23" t="n">
        <v>5</v>
      </c>
      <c r="L4" s="31" t="n"/>
      <c r="M4" s="24">
        <f>IF($G4="","",IF($D4="A国内","CNY","TZS"))</f>
        <v/>
      </c>
      <c r="N4" s="28">
        <f>IF($G4="","",IF($D4="A国内",汇率,1))</f>
        <v/>
      </c>
      <c r="O4" s="25">
        <f>IF($G4="","",ROUND(N($K4)*N($L4),2))</f>
        <v/>
      </c>
      <c r="P4" s="26">
        <f>IF($G4="","",ROUND($O4*$N4,0))</f>
        <v/>
      </c>
      <c r="Q4" s="26">
        <f>IF($G4="","",SUMIFS($P$4:$P$2503,$E$4:$E$2503,$E4,$Z$4:$Z$2503,"正常"))</f>
        <v/>
      </c>
      <c r="R4" s="26">
        <f>IF($G4="","",SUMIFS(费用台账!$I$4:$I$503,费用台账!$C$4:$C$503,$E4,费用台账!$J$4:$J$503,"是",费用台账!$K$4:$K$503,"正常"))</f>
        <v/>
      </c>
      <c r="S4" s="28">
        <f>IF($G4="","",COUNTIFS($E$4:$E$2503,$E4,$Z$4:$Z$2503,"正常",$Y$4:$Y$2503,"待补价"))</f>
        <v/>
      </c>
      <c r="T4" s="26">
        <f>IF($G4="","",SUMIFS($P$4:$P$2503,$E$4:$E$2503,$E4,$Z$4:$Z$2503,"正常",$A$4:$A$2503,"&lt;="&amp;$A4))</f>
        <v/>
      </c>
      <c r="U4" s="26">
        <f>IF($G4="","",IF(OR($S4&gt;0,$Q4=0,$R4=0,$Z4&lt;&gt;"正常"),0,ROUND($T4/$Q4*$R4,0)-ROUND(($T4-$P4)/$Q4*$R4,0)))</f>
        <v/>
      </c>
      <c r="V4" s="26">
        <f>IF($G4="","",ROUND($P4+$U4,0))</f>
        <v/>
      </c>
      <c r="W4" s="26">
        <f>IF($G4="","",IF(N($K4)=0,0,ROUND($V4/$K4,2)))</f>
        <v/>
      </c>
      <c r="X4" s="17" t="inlineStr">
        <is>
          <t>采购入库</t>
        </is>
      </c>
      <c r="Y4" s="17" t="inlineStr">
        <is>
          <t>待补价</t>
        </is>
      </c>
      <c r="Z4" s="17" t="inlineStr">
        <is>
          <t>正常</t>
        </is>
      </c>
      <c r="AA4" s="17" t="n"/>
      <c r="AB4" s="17" t="inlineStr">
        <is>
          <t>原表第 9 行</t>
        </is>
      </c>
      <c r="AC4" s="24">
        <f>IF($G4="","",IF($H4="※编码不在物料档案里","※物料编码不在档案里",IF(N($K4)&lt;=0,"※入库数量要大于 0",IF(AND($C4&lt;&gt;"",$C4&lt;=结账锁),"※日期早于已结账截止日，不能再录",IF(AND($L4=0,$X4="正常"),"※没填单价，价格状态请选「待补价」",IF(AND($S4&gt;0,$R4&gt;0),"△本批有 "&amp;$S4&amp;" 行没单价，整批运费先挂账没摊",IF(AND($B4&lt;&gt;"",COUNTIF($B$4:$B$2503,$B4)&gt;1),"※入库单号重复","")))))))</f>
        <v/>
      </c>
    </row>
    <row r="5">
      <c r="A5" s="24">
        <f>IF($G5="","",COUNTA($G$4:$G5))</f>
        <v/>
      </c>
      <c r="B5" s="17" t="n"/>
      <c r="C5" s="30" t="n">
        <v>46042</v>
      </c>
      <c r="D5" s="17" t="inlineStr">
        <is>
          <t>A国内</t>
        </is>
      </c>
      <c r="E5" s="17" t="inlineStr">
        <is>
          <t>MAEU4138660-202601</t>
        </is>
      </c>
      <c r="F5" s="17" t="inlineStr">
        <is>
          <t>烟台市金豪矿山机械有限公司</t>
        </is>
      </c>
      <c r="G5" s="17" t="inlineStr">
        <is>
          <t>JH0002</t>
        </is>
      </c>
      <c r="H5" s="24">
        <f>IF($G5="","",IFERROR(VLOOKUP($G5,物料档案!$A$4:$P$1203,3,0),"※编码不在物料档案里"))</f>
        <v/>
      </c>
      <c r="I5" s="24">
        <f>IF($G5="","",IFERROR(VLOOKUP($G5,物料档案!$A$4:$P$1203,4,0),"※编码不在物料档案里"))</f>
        <v/>
      </c>
      <c r="J5" s="24">
        <f>IF($G5="","",IFERROR(VLOOKUP($G5,物料档案!$A$4:$P$1203,5,0),"※编码不在物料档案里"))</f>
        <v/>
      </c>
      <c r="K5" s="23" t="n">
        <v>11</v>
      </c>
      <c r="L5" s="31" t="n"/>
      <c r="M5" s="24">
        <f>IF($G5="","",IF($D5="A国内","CNY","TZS"))</f>
        <v/>
      </c>
      <c r="N5" s="28">
        <f>IF($G5="","",IF($D5="A国内",汇率,1))</f>
        <v/>
      </c>
      <c r="O5" s="25">
        <f>IF($G5="","",ROUND(N($K5)*N($L5),2))</f>
        <v/>
      </c>
      <c r="P5" s="26">
        <f>IF($G5="","",ROUND($O5*$N5,0))</f>
        <v/>
      </c>
      <c r="Q5" s="26">
        <f>IF($G5="","",SUMIFS($P$4:$P$2503,$E$4:$E$2503,$E5,$Z$4:$Z$2503,"正常"))</f>
        <v/>
      </c>
      <c r="R5" s="26">
        <f>IF($G5="","",SUMIFS(费用台账!$I$4:$I$503,费用台账!$C$4:$C$503,$E5,费用台账!$J$4:$J$503,"是",费用台账!$K$4:$K$503,"正常"))</f>
        <v/>
      </c>
      <c r="S5" s="28">
        <f>IF($G5="","",COUNTIFS($E$4:$E$2503,$E5,$Z$4:$Z$2503,"正常",$Y$4:$Y$2503,"待补价"))</f>
        <v/>
      </c>
      <c r="T5" s="26">
        <f>IF($G5="","",SUMIFS($P$4:$P$2503,$E$4:$E$2503,$E5,$Z$4:$Z$2503,"正常",$A$4:$A$2503,"&lt;="&amp;$A5))</f>
        <v/>
      </c>
      <c r="U5" s="26">
        <f>IF($G5="","",IF(OR($S5&gt;0,$Q5=0,$R5=0,$Z5&lt;&gt;"正常"),0,ROUND($T5/$Q5*$R5,0)-ROUND(($T5-$P5)/$Q5*$R5,0)))</f>
        <v/>
      </c>
      <c r="V5" s="26">
        <f>IF($G5="","",ROUND($P5+$U5,0))</f>
        <v/>
      </c>
      <c r="W5" s="26">
        <f>IF($G5="","",IF(N($K5)=0,0,ROUND($V5/$K5,2)))</f>
        <v/>
      </c>
      <c r="X5" s="17" t="inlineStr">
        <is>
          <t>采购入库</t>
        </is>
      </c>
      <c r="Y5" s="17" t="inlineStr">
        <is>
          <t>待补价</t>
        </is>
      </c>
      <c r="Z5" s="17" t="inlineStr">
        <is>
          <t>正常</t>
        </is>
      </c>
      <c r="AA5" s="17" t="n"/>
      <c r="AB5" s="17" t="inlineStr">
        <is>
          <t>原表第 10 行</t>
        </is>
      </c>
      <c r="AC5" s="24">
        <f>IF($G5="","",IF($H5="※编码不在物料档案里","※物料编码不在档案里",IF(N($K5)&lt;=0,"※入库数量要大于 0",IF(AND($C5&lt;&gt;"",$C5&lt;=结账锁),"※日期早于已结账截止日，不能再录",IF(AND($L5=0,$X5="正常"),"※没填单价，价格状态请选「待补价」",IF(AND($S5&gt;0,$R5&gt;0),"△本批有 "&amp;$S5&amp;" 行没单价，整批运费先挂账没摊",IF(AND($B5&lt;&gt;"",COUNTIF($B$4:$B$2503,$B5)&gt;1),"※入库单号重复","")))))))</f>
        <v/>
      </c>
    </row>
    <row r="6">
      <c r="A6" s="24">
        <f>IF($G6="","",COUNTA($G$4:$G6))</f>
        <v/>
      </c>
      <c r="B6" s="17" t="n"/>
      <c r="C6" s="30" t="n">
        <v>46042</v>
      </c>
      <c r="D6" s="17" t="inlineStr">
        <is>
          <t>A国内</t>
        </is>
      </c>
      <c r="E6" s="17" t="inlineStr">
        <is>
          <t>MAEU4138660-202601</t>
        </is>
      </c>
      <c r="F6" s="17" t="inlineStr">
        <is>
          <t>烟台市金豪矿山机械有限公司</t>
        </is>
      </c>
      <c r="G6" s="17" t="inlineStr">
        <is>
          <t>JH0003</t>
        </is>
      </c>
      <c r="H6" s="24">
        <f>IF($G6="","",IFERROR(VLOOKUP($G6,物料档案!$A$4:$P$1203,3,0),"※编码不在物料档案里"))</f>
        <v/>
      </c>
      <c r="I6" s="24">
        <f>IF($G6="","",IFERROR(VLOOKUP($G6,物料档案!$A$4:$P$1203,4,0),"※编码不在物料档案里"))</f>
        <v/>
      </c>
      <c r="J6" s="24">
        <f>IF($G6="","",IFERROR(VLOOKUP($G6,物料档案!$A$4:$P$1203,5,0),"※编码不在物料档案里"))</f>
        <v/>
      </c>
      <c r="K6" s="23" t="n">
        <v>306</v>
      </c>
      <c r="L6" s="31" t="n"/>
      <c r="M6" s="24">
        <f>IF($G6="","",IF($D6="A国内","CNY","TZS"))</f>
        <v/>
      </c>
      <c r="N6" s="28">
        <f>IF($G6="","",IF($D6="A国内",汇率,1))</f>
        <v/>
      </c>
      <c r="O6" s="25">
        <f>IF($G6="","",ROUND(N($K6)*N($L6),2))</f>
        <v/>
      </c>
      <c r="P6" s="26">
        <f>IF($G6="","",ROUND($O6*$N6,0))</f>
        <v/>
      </c>
      <c r="Q6" s="26">
        <f>IF($G6="","",SUMIFS($P$4:$P$2503,$E$4:$E$2503,$E6,$Z$4:$Z$2503,"正常"))</f>
        <v/>
      </c>
      <c r="R6" s="26">
        <f>IF($G6="","",SUMIFS(费用台账!$I$4:$I$503,费用台账!$C$4:$C$503,$E6,费用台账!$J$4:$J$503,"是",费用台账!$K$4:$K$503,"正常"))</f>
        <v/>
      </c>
      <c r="S6" s="28">
        <f>IF($G6="","",COUNTIFS($E$4:$E$2503,$E6,$Z$4:$Z$2503,"正常",$Y$4:$Y$2503,"待补价"))</f>
        <v/>
      </c>
      <c r="T6" s="26">
        <f>IF($G6="","",SUMIFS($P$4:$P$2503,$E$4:$E$2503,$E6,$Z$4:$Z$2503,"正常",$A$4:$A$2503,"&lt;="&amp;$A6))</f>
        <v/>
      </c>
      <c r="U6" s="26">
        <f>IF($G6="","",IF(OR($S6&gt;0,$Q6=0,$R6=0,$Z6&lt;&gt;"正常"),0,ROUND($T6/$Q6*$R6,0)-ROUND(($T6-$P6)/$Q6*$R6,0)))</f>
        <v/>
      </c>
      <c r="V6" s="26">
        <f>IF($G6="","",ROUND($P6+$U6,0))</f>
        <v/>
      </c>
      <c r="W6" s="26">
        <f>IF($G6="","",IF(N($K6)=0,0,ROUND($V6/$K6,2)))</f>
        <v/>
      </c>
      <c r="X6" s="17" t="inlineStr">
        <is>
          <t>采购入库</t>
        </is>
      </c>
      <c r="Y6" s="17" t="inlineStr">
        <is>
          <t>待补价</t>
        </is>
      </c>
      <c r="Z6" s="17" t="inlineStr">
        <is>
          <t>正常</t>
        </is>
      </c>
      <c r="AA6" s="17" t="n"/>
      <c r="AB6" s="17" t="inlineStr">
        <is>
          <t>原表第 11 行</t>
        </is>
      </c>
      <c r="AC6" s="24">
        <f>IF($G6="","",IF($H6="※编码不在物料档案里","※物料编码不在档案里",IF(N($K6)&lt;=0,"※入库数量要大于 0",IF(AND($C6&lt;&gt;"",$C6&lt;=结账锁),"※日期早于已结账截止日，不能再录",IF(AND($L6=0,$X6="正常"),"※没填单价，价格状态请选「待补价」",IF(AND($S6&gt;0,$R6&gt;0),"△本批有 "&amp;$S6&amp;" 行没单价，整批运费先挂账没摊",IF(AND($B6&lt;&gt;"",COUNTIF($B$4:$B$2503,$B6)&gt;1),"※入库单号重复","")))))))</f>
        <v/>
      </c>
    </row>
    <row r="7">
      <c r="A7" s="24">
        <f>IF($G7="","",COUNTA($G$4:$G7))</f>
        <v/>
      </c>
      <c r="B7" s="17" t="n"/>
      <c r="C7" s="30" t="n">
        <v>46042</v>
      </c>
      <c r="D7" s="17" t="inlineStr">
        <is>
          <t>A国内</t>
        </is>
      </c>
      <c r="E7" s="17" t="inlineStr">
        <is>
          <t>MAEU4138660-202601</t>
        </is>
      </c>
      <c r="F7" s="17" t="inlineStr">
        <is>
          <t>烟台市金豪矿山机械有限公司</t>
        </is>
      </c>
      <c r="G7" s="17" t="inlineStr">
        <is>
          <t>JH0004</t>
        </is>
      </c>
      <c r="H7" s="24">
        <f>IF($G7="","",IFERROR(VLOOKUP($G7,物料档案!$A$4:$P$1203,3,0),"※编码不在物料档案里"))</f>
        <v/>
      </c>
      <c r="I7" s="24">
        <f>IF($G7="","",IFERROR(VLOOKUP($G7,物料档案!$A$4:$P$1203,4,0),"※编码不在物料档案里"))</f>
        <v/>
      </c>
      <c r="J7" s="24">
        <f>IF($G7="","",IFERROR(VLOOKUP($G7,物料档案!$A$4:$P$1203,5,0),"※编码不在物料档案里"))</f>
        <v/>
      </c>
      <c r="K7" s="23" t="n">
        <v>1</v>
      </c>
      <c r="L7" s="31" t="n">
        <v>415000</v>
      </c>
      <c r="M7" s="24">
        <f>IF($G7="","",IF($D7="A国内","CNY","TZS"))</f>
        <v/>
      </c>
      <c r="N7" s="28">
        <f>IF($G7="","",IF($D7="A国内",汇率,1))</f>
        <v/>
      </c>
      <c r="O7" s="25">
        <f>IF($G7="","",ROUND(N($K7)*N($L7),2))</f>
        <v/>
      </c>
      <c r="P7" s="26">
        <f>IF($G7="","",ROUND($O7*$N7,0))</f>
        <v/>
      </c>
      <c r="Q7" s="26">
        <f>IF($G7="","",SUMIFS($P$4:$P$2503,$E$4:$E$2503,$E7,$Z$4:$Z$2503,"正常"))</f>
        <v/>
      </c>
      <c r="R7" s="26">
        <f>IF($G7="","",SUMIFS(费用台账!$I$4:$I$503,费用台账!$C$4:$C$503,$E7,费用台账!$J$4:$J$503,"是",费用台账!$K$4:$K$503,"正常"))</f>
        <v/>
      </c>
      <c r="S7" s="28">
        <f>IF($G7="","",COUNTIFS($E$4:$E$2503,$E7,$Z$4:$Z$2503,"正常",$Y$4:$Y$2503,"待补价"))</f>
        <v/>
      </c>
      <c r="T7" s="26">
        <f>IF($G7="","",SUMIFS($P$4:$P$2503,$E$4:$E$2503,$E7,$Z$4:$Z$2503,"正常",$A$4:$A$2503,"&lt;="&amp;$A7))</f>
        <v/>
      </c>
      <c r="U7" s="26">
        <f>IF($G7="","",IF(OR($S7&gt;0,$Q7=0,$R7=0,$Z7&lt;&gt;"正常"),0,ROUND($T7/$Q7*$R7,0)-ROUND(($T7-$P7)/$Q7*$R7,0)))</f>
        <v/>
      </c>
      <c r="V7" s="26">
        <f>IF($G7="","",ROUND($P7+$U7,0))</f>
        <v/>
      </c>
      <c r="W7" s="26">
        <f>IF($G7="","",IF(N($K7)=0,0,ROUND($V7/$K7,2)))</f>
        <v/>
      </c>
      <c r="X7" s="17" t="inlineStr">
        <is>
          <t>采购入库</t>
        </is>
      </c>
      <c r="Y7" s="17" t="inlineStr">
        <is>
          <t>正常</t>
        </is>
      </c>
      <c r="Z7" s="17" t="inlineStr">
        <is>
          <t>正常</t>
        </is>
      </c>
      <c r="AA7" s="17" t="n"/>
      <c r="AB7" s="17" t="inlineStr">
        <is>
          <t>原表第 12 行</t>
        </is>
      </c>
      <c r="AC7" s="24">
        <f>IF($G7="","",IF($H7="※编码不在物料档案里","※物料编码不在档案里",IF(N($K7)&lt;=0,"※入库数量要大于 0",IF(AND($C7&lt;&gt;"",$C7&lt;=结账锁),"※日期早于已结账截止日，不能再录",IF(AND($L7=0,$X7="正常"),"※没填单价，价格状态请选「待补价」",IF(AND($S7&gt;0,$R7&gt;0),"△本批有 "&amp;$S7&amp;" 行没单价，整批运费先挂账没摊",IF(AND($B7&lt;&gt;"",COUNTIF($B$4:$B$2503,$B7)&gt;1),"※入库单号重复","")))))))</f>
        <v/>
      </c>
    </row>
    <row r="8">
      <c r="A8" s="24">
        <f>IF($G8="","",COUNTA($G$4:$G8))</f>
        <v/>
      </c>
      <c r="B8" s="17" t="n"/>
      <c r="C8" s="30" t="n">
        <v>46042</v>
      </c>
      <c r="D8" s="17" t="inlineStr">
        <is>
          <t>A国内</t>
        </is>
      </c>
      <c r="E8" s="17" t="inlineStr">
        <is>
          <t>MAEU4138660-202601</t>
        </is>
      </c>
      <c r="F8" s="17" t="inlineStr">
        <is>
          <t>烟台市金豪矿山机械有限公司</t>
        </is>
      </c>
      <c r="G8" s="17" t="inlineStr">
        <is>
          <t>JH0005</t>
        </is>
      </c>
      <c r="H8" s="24">
        <f>IF($G8="","",IFERROR(VLOOKUP($G8,物料档案!$A$4:$P$1203,3,0),"※编码不在物料档案里"))</f>
        <v/>
      </c>
      <c r="I8" s="24">
        <f>IF($G8="","",IFERROR(VLOOKUP($G8,物料档案!$A$4:$P$1203,4,0),"※编码不在物料档案里"))</f>
        <v/>
      </c>
      <c r="J8" s="24">
        <f>IF($G8="","",IFERROR(VLOOKUP($G8,物料档案!$A$4:$P$1203,5,0),"※编码不在物料档案里"))</f>
        <v/>
      </c>
      <c r="K8" s="23" t="n">
        <v>1</v>
      </c>
      <c r="L8" s="31" t="n"/>
      <c r="M8" s="24">
        <f>IF($G8="","",IF($D8="A国内","CNY","TZS"))</f>
        <v/>
      </c>
      <c r="N8" s="28">
        <f>IF($G8="","",IF($D8="A国内",汇率,1))</f>
        <v/>
      </c>
      <c r="O8" s="25">
        <f>IF($G8="","",ROUND(N($K8)*N($L8),2))</f>
        <v/>
      </c>
      <c r="P8" s="26">
        <f>IF($G8="","",ROUND($O8*$N8,0))</f>
        <v/>
      </c>
      <c r="Q8" s="26">
        <f>IF($G8="","",SUMIFS($P$4:$P$2503,$E$4:$E$2503,$E8,$Z$4:$Z$2503,"正常"))</f>
        <v/>
      </c>
      <c r="R8" s="26">
        <f>IF($G8="","",SUMIFS(费用台账!$I$4:$I$503,费用台账!$C$4:$C$503,$E8,费用台账!$J$4:$J$503,"是",费用台账!$K$4:$K$503,"正常"))</f>
        <v/>
      </c>
      <c r="S8" s="28">
        <f>IF($G8="","",COUNTIFS($E$4:$E$2503,$E8,$Z$4:$Z$2503,"正常",$Y$4:$Y$2503,"待补价"))</f>
        <v/>
      </c>
      <c r="T8" s="26">
        <f>IF($G8="","",SUMIFS($P$4:$P$2503,$E$4:$E$2503,$E8,$Z$4:$Z$2503,"正常",$A$4:$A$2503,"&lt;="&amp;$A8))</f>
        <v/>
      </c>
      <c r="U8" s="26">
        <f>IF($G8="","",IF(OR($S8&gt;0,$Q8=0,$R8=0,$Z8&lt;&gt;"正常"),0,ROUND($T8/$Q8*$R8,0)-ROUND(($T8-$P8)/$Q8*$R8,0)))</f>
        <v/>
      </c>
      <c r="V8" s="26">
        <f>IF($G8="","",ROUND($P8+$U8,0))</f>
        <v/>
      </c>
      <c r="W8" s="26">
        <f>IF($G8="","",IF(N($K8)=0,0,ROUND($V8/$K8,2)))</f>
        <v/>
      </c>
      <c r="X8" s="17" t="inlineStr">
        <is>
          <t>采购入库</t>
        </is>
      </c>
      <c r="Y8" s="17" t="inlineStr">
        <is>
          <t>待补价</t>
        </is>
      </c>
      <c r="Z8" s="17" t="inlineStr">
        <is>
          <t>正常</t>
        </is>
      </c>
      <c r="AA8" s="17" t="n"/>
      <c r="AB8" s="17" t="inlineStr">
        <is>
          <t>原表第 13 行</t>
        </is>
      </c>
      <c r="AC8" s="24">
        <f>IF($G8="","",IF($H8="※编码不在物料档案里","※物料编码不在档案里",IF(N($K8)&lt;=0,"※入库数量要大于 0",IF(AND($C8&lt;&gt;"",$C8&lt;=结账锁),"※日期早于已结账截止日，不能再录",IF(AND($L8=0,$X8="正常"),"※没填单价，价格状态请选「待补价」",IF(AND($S8&gt;0,$R8&gt;0),"△本批有 "&amp;$S8&amp;" 行没单价，整批运费先挂账没摊",IF(AND($B8&lt;&gt;"",COUNTIF($B$4:$B$2503,$B8)&gt;1),"※入库单号重复","")))))))</f>
        <v/>
      </c>
    </row>
    <row r="9">
      <c r="A9" s="24">
        <f>IF($G9="","",COUNTA($G$4:$G9))</f>
        <v/>
      </c>
      <c r="B9" s="17" t="n"/>
      <c r="C9" s="30" t="n">
        <v>46042</v>
      </c>
      <c r="D9" s="17" t="inlineStr">
        <is>
          <t>A国内</t>
        </is>
      </c>
      <c r="E9" s="17" t="inlineStr">
        <is>
          <t>MAEU4138660-202601</t>
        </is>
      </c>
      <c r="F9" s="17" t="inlineStr">
        <is>
          <t>烟台市金豪矿山机械有限公司</t>
        </is>
      </c>
      <c r="G9" s="17" t="inlineStr">
        <is>
          <t>JH0006</t>
        </is>
      </c>
      <c r="H9" s="24">
        <f>IF($G9="","",IFERROR(VLOOKUP($G9,物料档案!$A$4:$P$1203,3,0),"※编码不在物料档案里"))</f>
        <v/>
      </c>
      <c r="I9" s="24">
        <f>IF($G9="","",IFERROR(VLOOKUP($G9,物料档案!$A$4:$P$1203,4,0),"※编码不在物料档案里"))</f>
        <v/>
      </c>
      <c r="J9" s="24">
        <f>IF($G9="","",IFERROR(VLOOKUP($G9,物料档案!$A$4:$P$1203,5,0),"※编码不在物料档案里"))</f>
        <v/>
      </c>
      <c r="K9" s="23" t="n">
        <v>4</v>
      </c>
      <c r="L9" s="31" t="n"/>
      <c r="M9" s="24">
        <f>IF($G9="","",IF($D9="A国内","CNY","TZS"))</f>
        <v/>
      </c>
      <c r="N9" s="28">
        <f>IF($G9="","",IF($D9="A国内",汇率,1))</f>
        <v/>
      </c>
      <c r="O9" s="25">
        <f>IF($G9="","",ROUND(N($K9)*N($L9),2))</f>
        <v/>
      </c>
      <c r="P9" s="26">
        <f>IF($G9="","",ROUND($O9*$N9,0))</f>
        <v/>
      </c>
      <c r="Q9" s="26">
        <f>IF($G9="","",SUMIFS($P$4:$P$2503,$E$4:$E$2503,$E9,$Z$4:$Z$2503,"正常"))</f>
        <v/>
      </c>
      <c r="R9" s="26">
        <f>IF($G9="","",SUMIFS(费用台账!$I$4:$I$503,费用台账!$C$4:$C$503,$E9,费用台账!$J$4:$J$503,"是",费用台账!$K$4:$K$503,"正常"))</f>
        <v/>
      </c>
      <c r="S9" s="28">
        <f>IF($G9="","",COUNTIFS($E$4:$E$2503,$E9,$Z$4:$Z$2503,"正常",$Y$4:$Y$2503,"待补价"))</f>
        <v/>
      </c>
      <c r="T9" s="26">
        <f>IF($G9="","",SUMIFS($P$4:$P$2503,$E$4:$E$2503,$E9,$Z$4:$Z$2503,"正常",$A$4:$A$2503,"&lt;="&amp;$A9))</f>
        <v/>
      </c>
      <c r="U9" s="26">
        <f>IF($G9="","",IF(OR($S9&gt;0,$Q9=0,$R9=0,$Z9&lt;&gt;"正常"),0,ROUND($T9/$Q9*$R9,0)-ROUND(($T9-$P9)/$Q9*$R9,0)))</f>
        <v/>
      </c>
      <c r="V9" s="26">
        <f>IF($G9="","",ROUND($P9+$U9,0))</f>
        <v/>
      </c>
      <c r="W9" s="26">
        <f>IF($G9="","",IF(N($K9)=0,0,ROUND($V9/$K9,2)))</f>
        <v/>
      </c>
      <c r="X9" s="17" t="inlineStr">
        <is>
          <t>采购入库</t>
        </is>
      </c>
      <c r="Y9" s="17" t="inlineStr">
        <is>
          <t>待补价</t>
        </is>
      </c>
      <c r="Z9" s="17" t="inlineStr">
        <is>
          <t>正常</t>
        </is>
      </c>
      <c r="AA9" s="17" t="n"/>
      <c r="AB9" s="17" t="inlineStr">
        <is>
          <t>原表第 14 行</t>
        </is>
      </c>
      <c r="AC9" s="24">
        <f>IF($G9="","",IF($H9="※编码不在物料档案里","※物料编码不在档案里",IF(N($K9)&lt;=0,"※入库数量要大于 0",IF(AND($C9&lt;&gt;"",$C9&lt;=结账锁),"※日期早于已结账截止日，不能再录",IF(AND($L9=0,$X9="正常"),"※没填单价，价格状态请选「待补价」",IF(AND($S9&gt;0,$R9&gt;0),"△本批有 "&amp;$S9&amp;" 行没单价，整批运费先挂账没摊",IF(AND($B9&lt;&gt;"",COUNTIF($B$4:$B$2503,$B9)&gt;1),"※入库单号重复","")))))))</f>
        <v/>
      </c>
    </row>
    <row r="10">
      <c r="A10" s="24">
        <f>IF($G10="","",COUNTA($G$4:$G10))</f>
        <v/>
      </c>
      <c r="B10" s="17" t="n"/>
      <c r="C10" s="30" t="n">
        <v>46042</v>
      </c>
      <c r="D10" s="17" t="inlineStr">
        <is>
          <t>A国内</t>
        </is>
      </c>
      <c r="E10" s="17" t="inlineStr">
        <is>
          <t>MAEU4138660-202601</t>
        </is>
      </c>
      <c r="F10" s="17" t="inlineStr">
        <is>
          <t>烟台市金豪矿山机械有限公司</t>
        </is>
      </c>
      <c r="G10" s="17" t="inlineStr">
        <is>
          <t>JH0007</t>
        </is>
      </c>
      <c r="H10" s="24">
        <f>IF($G10="","",IFERROR(VLOOKUP($G10,物料档案!$A$4:$P$1203,3,0),"※编码不在物料档案里"))</f>
        <v/>
      </c>
      <c r="I10" s="24">
        <f>IF($G10="","",IFERROR(VLOOKUP($G10,物料档案!$A$4:$P$1203,4,0),"※编码不在物料档案里"))</f>
        <v/>
      </c>
      <c r="J10" s="24">
        <f>IF($G10="","",IFERROR(VLOOKUP($G10,物料档案!$A$4:$P$1203,5,0),"※编码不在物料档案里"))</f>
        <v/>
      </c>
      <c r="K10" s="23" t="n">
        <v>24</v>
      </c>
      <c r="L10" s="31" t="n"/>
      <c r="M10" s="24">
        <f>IF($G10="","",IF($D10="A国内","CNY","TZS"))</f>
        <v/>
      </c>
      <c r="N10" s="28">
        <f>IF($G10="","",IF($D10="A国内",汇率,1))</f>
        <v/>
      </c>
      <c r="O10" s="25">
        <f>IF($G10="","",ROUND(N($K10)*N($L10),2))</f>
        <v/>
      </c>
      <c r="P10" s="26">
        <f>IF($G10="","",ROUND($O10*$N10,0))</f>
        <v/>
      </c>
      <c r="Q10" s="26">
        <f>IF($G10="","",SUMIFS($P$4:$P$2503,$E$4:$E$2503,$E10,$Z$4:$Z$2503,"正常"))</f>
        <v/>
      </c>
      <c r="R10" s="26">
        <f>IF($G10="","",SUMIFS(费用台账!$I$4:$I$503,费用台账!$C$4:$C$503,$E10,费用台账!$J$4:$J$503,"是",费用台账!$K$4:$K$503,"正常"))</f>
        <v/>
      </c>
      <c r="S10" s="28">
        <f>IF($G10="","",COUNTIFS($E$4:$E$2503,$E10,$Z$4:$Z$2503,"正常",$Y$4:$Y$2503,"待补价"))</f>
        <v/>
      </c>
      <c r="T10" s="26">
        <f>IF($G10="","",SUMIFS($P$4:$P$2503,$E$4:$E$2503,$E10,$Z$4:$Z$2503,"正常",$A$4:$A$2503,"&lt;="&amp;$A10))</f>
        <v/>
      </c>
      <c r="U10" s="26">
        <f>IF($G10="","",IF(OR($S10&gt;0,$Q10=0,$R10=0,$Z10&lt;&gt;"正常"),0,ROUND($T10/$Q10*$R10,0)-ROUND(($T10-$P10)/$Q10*$R10,0)))</f>
        <v/>
      </c>
      <c r="V10" s="26">
        <f>IF($G10="","",ROUND($P10+$U10,0))</f>
        <v/>
      </c>
      <c r="W10" s="26">
        <f>IF($G10="","",IF(N($K10)=0,0,ROUND($V10/$K10,2)))</f>
        <v/>
      </c>
      <c r="X10" s="17" t="inlineStr">
        <is>
          <t>采购入库</t>
        </is>
      </c>
      <c r="Y10" s="17" t="inlineStr">
        <is>
          <t>待补价</t>
        </is>
      </c>
      <c r="Z10" s="17" t="inlineStr">
        <is>
          <t>正常</t>
        </is>
      </c>
      <c r="AA10" s="17" t="n"/>
      <c r="AB10" s="17" t="inlineStr">
        <is>
          <t>原表第 15 行</t>
        </is>
      </c>
      <c r="AC10" s="24">
        <f>IF($G10="","",IF($H10="※编码不在物料档案里","※物料编码不在档案里",IF(N($K10)&lt;=0,"※入库数量要大于 0",IF(AND($C10&lt;&gt;"",$C10&lt;=结账锁),"※日期早于已结账截止日，不能再录",IF(AND($L10=0,$X10="正常"),"※没填单价，价格状态请选「待补价」",IF(AND($S10&gt;0,$R10&gt;0),"△本批有 "&amp;$S10&amp;" 行没单价，整批运费先挂账没摊",IF(AND($B10&lt;&gt;"",COUNTIF($B$4:$B$2503,$B10)&gt;1),"※入库单号重复","")))))))</f>
        <v/>
      </c>
    </row>
    <row r="11">
      <c r="A11" s="24">
        <f>IF($G11="","",COUNTA($G$4:$G11))</f>
        <v/>
      </c>
      <c r="B11" s="17" t="n"/>
      <c r="C11" s="30" t="n">
        <v>46042</v>
      </c>
      <c r="D11" s="17" t="inlineStr">
        <is>
          <t>A国内</t>
        </is>
      </c>
      <c r="E11" s="17" t="inlineStr">
        <is>
          <t>MAEU4138660-202601</t>
        </is>
      </c>
      <c r="F11" s="17" t="inlineStr">
        <is>
          <t>烟台市金豪矿山机械有限公司</t>
        </is>
      </c>
      <c r="G11" s="17" t="inlineStr">
        <is>
          <t>JH0008</t>
        </is>
      </c>
      <c r="H11" s="24">
        <f>IF($G11="","",IFERROR(VLOOKUP($G11,物料档案!$A$4:$P$1203,3,0),"※编码不在物料档案里"))</f>
        <v/>
      </c>
      <c r="I11" s="24">
        <f>IF($G11="","",IFERROR(VLOOKUP($G11,物料档案!$A$4:$P$1203,4,0),"※编码不在物料档案里"))</f>
        <v/>
      </c>
      <c r="J11" s="24">
        <f>IF($G11="","",IFERROR(VLOOKUP($G11,物料档案!$A$4:$P$1203,5,0),"※编码不在物料档案里"))</f>
        <v/>
      </c>
      <c r="K11" s="23" t="n">
        <v>3</v>
      </c>
      <c r="L11" s="31" t="n"/>
      <c r="M11" s="24">
        <f>IF($G11="","",IF($D11="A国内","CNY","TZS"))</f>
        <v/>
      </c>
      <c r="N11" s="28">
        <f>IF($G11="","",IF($D11="A国内",汇率,1))</f>
        <v/>
      </c>
      <c r="O11" s="25">
        <f>IF($G11="","",ROUND(N($K11)*N($L11),2))</f>
        <v/>
      </c>
      <c r="P11" s="26">
        <f>IF($G11="","",ROUND($O11*$N11,0))</f>
        <v/>
      </c>
      <c r="Q11" s="26">
        <f>IF($G11="","",SUMIFS($P$4:$P$2503,$E$4:$E$2503,$E11,$Z$4:$Z$2503,"正常"))</f>
        <v/>
      </c>
      <c r="R11" s="26">
        <f>IF($G11="","",SUMIFS(费用台账!$I$4:$I$503,费用台账!$C$4:$C$503,$E11,费用台账!$J$4:$J$503,"是",费用台账!$K$4:$K$503,"正常"))</f>
        <v/>
      </c>
      <c r="S11" s="28">
        <f>IF($G11="","",COUNTIFS($E$4:$E$2503,$E11,$Z$4:$Z$2503,"正常",$Y$4:$Y$2503,"待补价"))</f>
        <v/>
      </c>
      <c r="T11" s="26">
        <f>IF($G11="","",SUMIFS($P$4:$P$2503,$E$4:$E$2503,$E11,$Z$4:$Z$2503,"正常",$A$4:$A$2503,"&lt;="&amp;$A11))</f>
        <v/>
      </c>
      <c r="U11" s="26">
        <f>IF($G11="","",IF(OR($S11&gt;0,$Q11=0,$R11=0,$Z11&lt;&gt;"正常"),0,ROUND($T11/$Q11*$R11,0)-ROUND(($T11-$P11)/$Q11*$R11,0)))</f>
        <v/>
      </c>
      <c r="V11" s="26">
        <f>IF($G11="","",ROUND($P11+$U11,0))</f>
        <v/>
      </c>
      <c r="W11" s="26">
        <f>IF($G11="","",IF(N($K11)=0,0,ROUND($V11/$K11,2)))</f>
        <v/>
      </c>
      <c r="X11" s="17" t="inlineStr">
        <is>
          <t>采购入库</t>
        </is>
      </c>
      <c r="Y11" s="17" t="inlineStr">
        <is>
          <t>待补价</t>
        </is>
      </c>
      <c r="Z11" s="17" t="inlineStr">
        <is>
          <t>正常</t>
        </is>
      </c>
      <c r="AA11" s="17" t="n"/>
      <c r="AB11" s="17" t="inlineStr">
        <is>
          <t>原表第 16 行</t>
        </is>
      </c>
      <c r="AC11" s="24">
        <f>IF($G11="","",IF($H11="※编码不在物料档案里","※物料编码不在档案里",IF(N($K11)&lt;=0,"※入库数量要大于 0",IF(AND($C11&lt;&gt;"",$C11&lt;=结账锁),"※日期早于已结账截止日，不能再录",IF(AND($L11=0,$X11="正常"),"※没填单价，价格状态请选「待补价」",IF(AND($S11&gt;0,$R11&gt;0),"△本批有 "&amp;$S11&amp;" 行没单价，整批运费先挂账没摊",IF(AND($B11&lt;&gt;"",COUNTIF($B$4:$B$2503,$B11)&gt;1),"※入库单号重复","")))))))</f>
        <v/>
      </c>
    </row>
    <row r="12">
      <c r="A12" s="24">
        <f>IF($G12="","",COUNTA($G$4:$G12))</f>
        <v/>
      </c>
      <c r="B12" s="17" t="n"/>
      <c r="C12" s="30" t="n">
        <v>46042</v>
      </c>
      <c r="D12" s="17" t="inlineStr">
        <is>
          <t>A国内</t>
        </is>
      </c>
      <c r="E12" s="17" t="inlineStr">
        <is>
          <t>MAEU4138660-202601</t>
        </is>
      </c>
      <c r="F12" s="17" t="inlineStr">
        <is>
          <t>烟台市金豪矿山机械有限公司</t>
        </is>
      </c>
      <c r="G12" s="17" t="inlineStr">
        <is>
          <t>JH0009</t>
        </is>
      </c>
      <c r="H12" s="24">
        <f>IF($G12="","",IFERROR(VLOOKUP($G12,物料档案!$A$4:$P$1203,3,0),"※编码不在物料档案里"))</f>
        <v/>
      </c>
      <c r="I12" s="24">
        <f>IF($G12="","",IFERROR(VLOOKUP($G12,物料档案!$A$4:$P$1203,4,0),"※编码不在物料档案里"))</f>
        <v/>
      </c>
      <c r="J12" s="24">
        <f>IF($G12="","",IFERROR(VLOOKUP($G12,物料档案!$A$4:$P$1203,5,0),"※编码不在物料档案里"))</f>
        <v/>
      </c>
      <c r="K12" s="23" t="n">
        <v>2</v>
      </c>
      <c r="L12" s="31" t="n"/>
      <c r="M12" s="24">
        <f>IF($G12="","",IF($D12="A国内","CNY","TZS"))</f>
        <v/>
      </c>
      <c r="N12" s="28">
        <f>IF($G12="","",IF($D12="A国内",汇率,1))</f>
        <v/>
      </c>
      <c r="O12" s="25">
        <f>IF($G12="","",ROUND(N($K12)*N($L12),2))</f>
        <v/>
      </c>
      <c r="P12" s="26">
        <f>IF($G12="","",ROUND($O12*$N12,0))</f>
        <v/>
      </c>
      <c r="Q12" s="26">
        <f>IF($G12="","",SUMIFS($P$4:$P$2503,$E$4:$E$2503,$E12,$Z$4:$Z$2503,"正常"))</f>
        <v/>
      </c>
      <c r="R12" s="26">
        <f>IF($G12="","",SUMIFS(费用台账!$I$4:$I$503,费用台账!$C$4:$C$503,$E12,费用台账!$J$4:$J$503,"是",费用台账!$K$4:$K$503,"正常"))</f>
        <v/>
      </c>
      <c r="S12" s="28">
        <f>IF($G12="","",COUNTIFS($E$4:$E$2503,$E12,$Z$4:$Z$2503,"正常",$Y$4:$Y$2503,"待补价"))</f>
        <v/>
      </c>
      <c r="T12" s="26">
        <f>IF($G12="","",SUMIFS($P$4:$P$2503,$E$4:$E$2503,$E12,$Z$4:$Z$2503,"正常",$A$4:$A$2503,"&lt;="&amp;$A12))</f>
        <v/>
      </c>
      <c r="U12" s="26">
        <f>IF($G12="","",IF(OR($S12&gt;0,$Q12=0,$R12=0,$Z12&lt;&gt;"正常"),0,ROUND($T12/$Q12*$R12,0)-ROUND(($T12-$P12)/$Q12*$R12,0)))</f>
        <v/>
      </c>
      <c r="V12" s="26">
        <f>IF($G12="","",ROUND($P12+$U12,0))</f>
        <v/>
      </c>
      <c r="W12" s="26">
        <f>IF($G12="","",IF(N($K12)=0,0,ROUND($V12/$K12,2)))</f>
        <v/>
      </c>
      <c r="X12" s="17" t="inlineStr">
        <is>
          <t>采购入库</t>
        </is>
      </c>
      <c r="Y12" s="17" t="inlineStr">
        <is>
          <t>待补价</t>
        </is>
      </c>
      <c r="Z12" s="17" t="inlineStr">
        <is>
          <t>正常</t>
        </is>
      </c>
      <c r="AA12" s="17" t="n"/>
      <c r="AB12" s="17" t="inlineStr">
        <is>
          <t>原表第 17 行</t>
        </is>
      </c>
      <c r="AC12" s="24">
        <f>IF($G12="","",IF($H12="※编码不在物料档案里","※物料编码不在档案里",IF(N($K12)&lt;=0,"※入库数量要大于 0",IF(AND($C12&lt;&gt;"",$C12&lt;=结账锁),"※日期早于已结账截止日，不能再录",IF(AND($L12=0,$X12="正常"),"※没填单价，价格状态请选「待补价」",IF(AND($S12&gt;0,$R12&gt;0),"△本批有 "&amp;$S12&amp;" 行没单价，整批运费先挂账没摊",IF(AND($B12&lt;&gt;"",COUNTIF($B$4:$B$2503,$B12)&gt;1),"※入库单号重复","")))))))</f>
        <v/>
      </c>
    </row>
    <row r="13">
      <c r="A13" s="24">
        <f>IF($G13="","",COUNTA($G$4:$G13))</f>
        <v/>
      </c>
      <c r="B13" s="17" t="n"/>
      <c r="C13" s="30" t="n">
        <v>46042</v>
      </c>
      <c r="D13" s="17" t="inlineStr">
        <is>
          <t>A国内</t>
        </is>
      </c>
      <c r="E13" s="17" t="inlineStr">
        <is>
          <t>MAEU4138660-202601</t>
        </is>
      </c>
      <c r="F13" s="17" t="inlineStr">
        <is>
          <t>烟台市金豪矿山机械有限公司</t>
        </is>
      </c>
      <c r="G13" s="17" t="inlineStr">
        <is>
          <t>JH0010</t>
        </is>
      </c>
      <c r="H13" s="24">
        <f>IF($G13="","",IFERROR(VLOOKUP($G13,物料档案!$A$4:$P$1203,3,0),"※编码不在物料档案里"))</f>
        <v/>
      </c>
      <c r="I13" s="24">
        <f>IF($G13="","",IFERROR(VLOOKUP($G13,物料档案!$A$4:$P$1203,4,0),"※编码不在物料档案里"))</f>
        <v/>
      </c>
      <c r="J13" s="24">
        <f>IF($G13="","",IFERROR(VLOOKUP($G13,物料档案!$A$4:$P$1203,5,0),"※编码不在物料档案里"))</f>
        <v/>
      </c>
      <c r="K13" s="23" t="n">
        <v>1</v>
      </c>
      <c r="L13" s="31" t="n"/>
      <c r="M13" s="24">
        <f>IF($G13="","",IF($D13="A国内","CNY","TZS"))</f>
        <v/>
      </c>
      <c r="N13" s="28">
        <f>IF($G13="","",IF($D13="A国内",汇率,1))</f>
        <v/>
      </c>
      <c r="O13" s="25">
        <f>IF($G13="","",ROUND(N($K13)*N($L13),2))</f>
        <v/>
      </c>
      <c r="P13" s="26">
        <f>IF($G13="","",ROUND($O13*$N13,0))</f>
        <v/>
      </c>
      <c r="Q13" s="26">
        <f>IF($G13="","",SUMIFS($P$4:$P$2503,$E$4:$E$2503,$E13,$Z$4:$Z$2503,"正常"))</f>
        <v/>
      </c>
      <c r="R13" s="26">
        <f>IF($G13="","",SUMIFS(费用台账!$I$4:$I$503,费用台账!$C$4:$C$503,$E13,费用台账!$J$4:$J$503,"是",费用台账!$K$4:$K$503,"正常"))</f>
        <v/>
      </c>
      <c r="S13" s="28">
        <f>IF($G13="","",COUNTIFS($E$4:$E$2503,$E13,$Z$4:$Z$2503,"正常",$Y$4:$Y$2503,"待补价"))</f>
        <v/>
      </c>
      <c r="T13" s="26">
        <f>IF($G13="","",SUMIFS($P$4:$P$2503,$E$4:$E$2503,$E13,$Z$4:$Z$2503,"正常",$A$4:$A$2503,"&lt;="&amp;$A13))</f>
        <v/>
      </c>
      <c r="U13" s="26">
        <f>IF($G13="","",IF(OR($S13&gt;0,$Q13=0,$R13=0,$Z13&lt;&gt;"正常"),0,ROUND($T13/$Q13*$R13,0)-ROUND(($T13-$P13)/$Q13*$R13,0)))</f>
        <v/>
      </c>
      <c r="V13" s="26">
        <f>IF($G13="","",ROUND($P13+$U13,0))</f>
        <v/>
      </c>
      <c r="W13" s="26">
        <f>IF($G13="","",IF(N($K13)=0,0,ROUND($V13/$K13,2)))</f>
        <v/>
      </c>
      <c r="X13" s="17" t="inlineStr">
        <is>
          <t>采购入库</t>
        </is>
      </c>
      <c r="Y13" s="17" t="inlineStr">
        <is>
          <t>待补价</t>
        </is>
      </c>
      <c r="Z13" s="17" t="inlineStr">
        <is>
          <t>正常</t>
        </is>
      </c>
      <c r="AA13" s="17" t="n"/>
      <c r="AB13" s="17" t="inlineStr">
        <is>
          <t>原表第 18 行</t>
        </is>
      </c>
      <c r="AC13" s="24">
        <f>IF($G13="","",IF($H13="※编码不在物料档案里","※物料编码不在档案里",IF(N($K13)&lt;=0,"※入库数量要大于 0",IF(AND($C13&lt;&gt;"",$C13&lt;=结账锁),"※日期早于已结账截止日，不能再录",IF(AND($L13=0,$X13="正常"),"※没填单价，价格状态请选「待补价」",IF(AND($S13&gt;0,$R13&gt;0),"△本批有 "&amp;$S13&amp;" 行没单价，整批运费先挂账没摊",IF(AND($B13&lt;&gt;"",COUNTIF($B$4:$B$2503,$B13)&gt;1),"※入库单号重复","")))))))</f>
        <v/>
      </c>
    </row>
    <row r="14">
      <c r="A14" s="24">
        <f>IF($G14="","",COUNTA($G$4:$G14))</f>
        <v/>
      </c>
      <c r="B14" s="17" t="n"/>
      <c r="C14" s="30" t="n">
        <v>46042</v>
      </c>
      <c r="D14" s="17" t="inlineStr">
        <is>
          <t>A国内</t>
        </is>
      </c>
      <c r="E14" s="17" t="inlineStr">
        <is>
          <t>MAEU4138660-202601</t>
        </is>
      </c>
      <c r="F14" s="17" t="inlineStr">
        <is>
          <t>烟台市金豪矿山机械有限公司</t>
        </is>
      </c>
      <c r="G14" s="17" t="inlineStr">
        <is>
          <t>JH0011</t>
        </is>
      </c>
      <c r="H14" s="24">
        <f>IF($G14="","",IFERROR(VLOOKUP($G14,物料档案!$A$4:$P$1203,3,0),"※编码不在物料档案里"))</f>
        <v/>
      </c>
      <c r="I14" s="24">
        <f>IF($G14="","",IFERROR(VLOOKUP($G14,物料档案!$A$4:$P$1203,4,0),"※编码不在物料档案里"))</f>
        <v/>
      </c>
      <c r="J14" s="24">
        <f>IF($G14="","",IFERROR(VLOOKUP($G14,物料档案!$A$4:$P$1203,5,0),"※编码不在物料档案里"))</f>
        <v/>
      </c>
      <c r="K14" s="23" t="n">
        <v>1</v>
      </c>
      <c r="L14" s="31" t="n"/>
      <c r="M14" s="24">
        <f>IF($G14="","",IF($D14="A国内","CNY","TZS"))</f>
        <v/>
      </c>
      <c r="N14" s="28">
        <f>IF($G14="","",IF($D14="A国内",汇率,1))</f>
        <v/>
      </c>
      <c r="O14" s="25">
        <f>IF($G14="","",ROUND(N($K14)*N($L14),2))</f>
        <v/>
      </c>
      <c r="P14" s="26">
        <f>IF($G14="","",ROUND($O14*$N14,0))</f>
        <v/>
      </c>
      <c r="Q14" s="26">
        <f>IF($G14="","",SUMIFS($P$4:$P$2503,$E$4:$E$2503,$E14,$Z$4:$Z$2503,"正常"))</f>
        <v/>
      </c>
      <c r="R14" s="26">
        <f>IF($G14="","",SUMIFS(费用台账!$I$4:$I$503,费用台账!$C$4:$C$503,$E14,费用台账!$J$4:$J$503,"是",费用台账!$K$4:$K$503,"正常"))</f>
        <v/>
      </c>
      <c r="S14" s="28">
        <f>IF($G14="","",COUNTIFS($E$4:$E$2503,$E14,$Z$4:$Z$2503,"正常",$Y$4:$Y$2503,"待补价"))</f>
        <v/>
      </c>
      <c r="T14" s="26">
        <f>IF($G14="","",SUMIFS($P$4:$P$2503,$E$4:$E$2503,$E14,$Z$4:$Z$2503,"正常",$A$4:$A$2503,"&lt;="&amp;$A14))</f>
        <v/>
      </c>
      <c r="U14" s="26">
        <f>IF($G14="","",IF(OR($S14&gt;0,$Q14=0,$R14=0,$Z14&lt;&gt;"正常"),0,ROUND($T14/$Q14*$R14,0)-ROUND(($T14-$P14)/$Q14*$R14,0)))</f>
        <v/>
      </c>
      <c r="V14" s="26">
        <f>IF($G14="","",ROUND($P14+$U14,0))</f>
        <v/>
      </c>
      <c r="W14" s="26">
        <f>IF($G14="","",IF(N($K14)=0,0,ROUND($V14/$K14,2)))</f>
        <v/>
      </c>
      <c r="X14" s="17" t="inlineStr">
        <is>
          <t>采购入库</t>
        </is>
      </c>
      <c r="Y14" s="17" t="inlineStr">
        <is>
          <t>待补价</t>
        </is>
      </c>
      <c r="Z14" s="17" t="inlineStr">
        <is>
          <t>正常</t>
        </is>
      </c>
      <c r="AA14" s="17" t="n"/>
      <c r="AB14" s="17" t="inlineStr">
        <is>
          <t>原表第 19 行</t>
        </is>
      </c>
      <c r="AC14" s="24">
        <f>IF($G14="","",IF($H14="※编码不在物料档案里","※物料编码不在档案里",IF(N($K14)&lt;=0,"※入库数量要大于 0",IF(AND($C14&lt;&gt;"",$C14&lt;=结账锁),"※日期早于已结账截止日，不能再录",IF(AND($L14=0,$X14="正常"),"※没填单价，价格状态请选「待补价」",IF(AND($S14&gt;0,$R14&gt;0),"△本批有 "&amp;$S14&amp;" 行没单价，整批运费先挂账没摊",IF(AND($B14&lt;&gt;"",COUNTIF($B$4:$B$2503,$B14)&gt;1),"※入库单号重复","")))))))</f>
        <v/>
      </c>
    </row>
    <row r="15">
      <c r="A15" s="24">
        <f>IF($G15="","",COUNTA($G$4:$G15))</f>
        <v/>
      </c>
      <c r="B15" s="17" t="n"/>
      <c r="C15" s="30" t="n">
        <v>46042</v>
      </c>
      <c r="D15" s="17" t="inlineStr">
        <is>
          <t>A国内</t>
        </is>
      </c>
      <c r="E15" s="17" t="inlineStr">
        <is>
          <t>MAEU4138660-202601</t>
        </is>
      </c>
      <c r="F15" s="17" t="inlineStr">
        <is>
          <t>烟台市金豪矿山机械有限公司</t>
        </is>
      </c>
      <c r="G15" s="17" t="inlineStr">
        <is>
          <t>JH0012</t>
        </is>
      </c>
      <c r="H15" s="24">
        <f>IF($G15="","",IFERROR(VLOOKUP($G15,物料档案!$A$4:$P$1203,3,0),"※编码不在物料档案里"))</f>
        <v/>
      </c>
      <c r="I15" s="24">
        <f>IF($G15="","",IFERROR(VLOOKUP($G15,物料档案!$A$4:$P$1203,4,0),"※编码不在物料档案里"))</f>
        <v/>
      </c>
      <c r="J15" s="24">
        <f>IF($G15="","",IFERROR(VLOOKUP($G15,物料档案!$A$4:$P$1203,5,0),"※编码不在物料档案里"))</f>
        <v/>
      </c>
      <c r="K15" s="23" t="n">
        <v>1</v>
      </c>
      <c r="L15" s="31" t="n"/>
      <c r="M15" s="24">
        <f>IF($G15="","",IF($D15="A国内","CNY","TZS"))</f>
        <v/>
      </c>
      <c r="N15" s="28">
        <f>IF($G15="","",IF($D15="A国内",汇率,1))</f>
        <v/>
      </c>
      <c r="O15" s="25">
        <f>IF($G15="","",ROUND(N($K15)*N($L15),2))</f>
        <v/>
      </c>
      <c r="P15" s="26">
        <f>IF($G15="","",ROUND($O15*$N15,0))</f>
        <v/>
      </c>
      <c r="Q15" s="26">
        <f>IF($G15="","",SUMIFS($P$4:$P$2503,$E$4:$E$2503,$E15,$Z$4:$Z$2503,"正常"))</f>
        <v/>
      </c>
      <c r="R15" s="26">
        <f>IF($G15="","",SUMIFS(费用台账!$I$4:$I$503,费用台账!$C$4:$C$503,$E15,费用台账!$J$4:$J$503,"是",费用台账!$K$4:$K$503,"正常"))</f>
        <v/>
      </c>
      <c r="S15" s="28">
        <f>IF($G15="","",COUNTIFS($E$4:$E$2503,$E15,$Z$4:$Z$2503,"正常",$Y$4:$Y$2503,"待补价"))</f>
        <v/>
      </c>
      <c r="T15" s="26">
        <f>IF($G15="","",SUMIFS($P$4:$P$2503,$E$4:$E$2503,$E15,$Z$4:$Z$2503,"正常",$A$4:$A$2503,"&lt;="&amp;$A15))</f>
        <v/>
      </c>
      <c r="U15" s="26">
        <f>IF($G15="","",IF(OR($S15&gt;0,$Q15=0,$R15=0,$Z15&lt;&gt;"正常"),0,ROUND($T15/$Q15*$R15,0)-ROUND(($T15-$P15)/$Q15*$R15,0)))</f>
        <v/>
      </c>
      <c r="V15" s="26">
        <f>IF($G15="","",ROUND($P15+$U15,0))</f>
        <v/>
      </c>
      <c r="W15" s="26">
        <f>IF($G15="","",IF(N($K15)=0,0,ROUND($V15/$K15,2)))</f>
        <v/>
      </c>
      <c r="X15" s="17" t="inlineStr">
        <is>
          <t>采购入库</t>
        </is>
      </c>
      <c r="Y15" s="17" t="inlineStr">
        <is>
          <t>待补价</t>
        </is>
      </c>
      <c r="Z15" s="17" t="inlineStr">
        <is>
          <t>正常</t>
        </is>
      </c>
      <c r="AA15" s="17" t="n"/>
      <c r="AB15" s="17" t="inlineStr">
        <is>
          <t>原表第 20 行</t>
        </is>
      </c>
      <c r="AC15" s="24">
        <f>IF($G15="","",IF($H15="※编码不在物料档案里","※物料编码不在档案里",IF(N($K15)&lt;=0,"※入库数量要大于 0",IF(AND($C15&lt;&gt;"",$C15&lt;=结账锁),"※日期早于已结账截止日，不能再录",IF(AND($L15=0,$X15="正常"),"※没填单价，价格状态请选「待补价」",IF(AND($S15&gt;0,$R15&gt;0),"△本批有 "&amp;$S15&amp;" 行没单价，整批运费先挂账没摊",IF(AND($B15&lt;&gt;"",COUNTIF($B$4:$B$2503,$B15)&gt;1),"※入库单号重复","")))))))</f>
        <v/>
      </c>
    </row>
    <row r="16">
      <c r="A16" s="24">
        <f>IF($G16="","",COUNTA($G$4:$G16))</f>
        <v/>
      </c>
      <c r="B16" s="17" t="n"/>
      <c r="C16" s="30" t="n">
        <v>46042</v>
      </c>
      <c r="D16" s="17" t="inlineStr">
        <is>
          <t>A国内</t>
        </is>
      </c>
      <c r="E16" s="17" t="inlineStr">
        <is>
          <t>MAEU4138660-202601</t>
        </is>
      </c>
      <c r="F16" s="17" t="inlineStr">
        <is>
          <t>烟台市金豪矿山机械有限公司</t>
        </is>
      </c>
      <c r="G16" s="17" t="inlineStr">
        <is>
          <t>JH0013</t>
        </is>
      </c>
      <c r="H16" s="24">
        <f>IF($G16="","",IFERROR(VLOOKUP($G16,物料档案!$A$4:$P$1203,3,0),"※编码不在物料档案里"))</f>
        <v/>
      </c>
      <c r="I16" s="24">
        <f>IF($G16="","",IFERROR(VLOOKUP($G16,物料档案!$A$4:$P$1203,4,0),"※编码不在物料档案里"))</f>
        <v/>
      </c>
      <c r="J16" s="24">
        <f>IF($G16="","",IFERROR(VLOOKUP($G16,物料档案!$A$4:$P$1203,5,0),"※编码不在物料档案里"))</f>
        <v/>
      </c>
      <c r="K16" s="23" t="n">
        <v>1</v>
      </c>
      <c r="L16" s="31" t="n"/>
      <c r="M16" s="24">
        <f>IF($G16="","",IF($D16="A国内","CNY","TZS"))</f>
        <v/>
      </c>
      <c r="N16" s="28">
        <f>IF($G16="","",IF($D16="A国内",汇率,1))</f>
        <v/>
      </c>
      <c r="O16" s="25">
        <f>IF($G16="","",ROUND(N($K16)*N($L16),2))</f>
        <v/>
      </c>
      <c r="P16" s="26">
        <f>IF($G16="","",ROUND($O16*$N16,0))</f>
        <v/>
      </c>
      <c r="Q16" s="26">
        <f>IF($G16="","",SUMIFS($P$4:$P$2503,$E$4:$E$2503,$E16,$Z$4:$Z$2503,"正常"))</f>
        <v/>
      </c>
      <c r="R16" s="26">
        <f>IF($G16="","",SUMIFS(费用台账!$I$4:$I$503,费用台账!$C$4:$C$503,$E16,费用台账!$J$4:$J$503,"是",费用台账!$K$4:$K$503,"正常"))</f>
        <v/>
      </c>
      <c r="S16" s="28">
        <f>IF($G16="","",COUNTIFS($E$4:$E$2503,$E16,$Z$4:$Z$2503,"正常",$Y$4:$Y$2503,"待补价"))</f>
        <v/>
      </c>
      <c r="T16" s="26">
        <f>IF($G16="","",SUMIFS($P$4:$P$2503,$E$4:$E$2503,$E16,$Z$4:$Z$2503,"正常",$A$4:$A$2503,"&lt;="&amp;$A16))</f>
        <v/>
      </c>
      <c r="U16" s="26">
        <f>IF($G16="","",IF(OR($S16&gt;0,$Q16=0,$R16=0,$Z16&lt;&gt;"正常"),0,ROUND($T16/$Q16*$R16,0)-ROUND(($T16-$P16)/$Q16*$R16,0)))</f>
        <v/>
      </c>
      <c r="V16" s="26">
        <f>IF($G16="","",ROUND($P16+$U16,0))</f>
        <v/>
      </c>
      <c r="W16" s="26">
        <f>IF($G16="","",IF(N($K16)=0,0,ROUND($V16/$K16,2)))</f>
        <v/>
      </c>
      <c r="X16" s="17" t="inlineStr">
        <is>
          <t>采购入库</t>
        </is>
      </c>
      <c r="Y16" s="17" t="inlineStr">
        <is>
          <t>待补价</t>
        </is>
      </c>
      <c r="Z16" s="17" t="inlineStr">
        <is>
          <t>正常</t>
        </is>
      </c>
      <c r="AA16" s="17" t="n"/>
      <c r="AB16" s="17" t="inlineStr">
        <is>
          <t>原表第 21 行</t>
        </is>
      </c>
      <c r="AC16" s="24">
        <f>IF($G16="","",IF($H16="※编码不在物料档案里","※物料编码不在档案里",IF(N($K16)&lt;=0,"※入库数量要大于 0",IF(AND($C16&lt;&gt;"",$C16&lt;=结账锁),"※日期早于已结账截止日，不能再录",IF(AND($L16=0,$X16="正常"),"※没填单价，价格状态请选「待补价」",IF(AND($S16&gt;0,$R16&gt;0),"△本批有 "&amp;$S16&amp;" 行没单价，整批运费先挂账没摊",IF(AND($B16&lt;&gt;"",COUNTIF($B$4:$B$2503,$B16)&gt;1),"※入库单号重复","")))))))</f>
        <v/>
      </c>
    </row>
    <row r="17">
      <c r="A17" s="24">
        <f>IF($G17="","",COUNTA($G$4:$G17))</f>
        <v/>
      </c>
      <c r="B17" s="17" t="n"/>
      <c r="C17" s="30" t="n">
        <v>46043</v>
      </c>
      <c r="D17" s="17" t="inlineStr">
        <is>
          <t>A国内</t>
        </is>
      </c>
      <c r="E17" s="17" t="inlineStr">
        <is>
          <t>MAEU4036837-202601</t>
        </is>
      </c>
      <c r="F17" s="17" t="inlineStr">
        <is>
          <t>烟台市金豪矿山机械有限公司</t>
        </is>
      </c>
      <c r="G17" s="17" t="inlineStr">
        <is>
          <t>JH0014</t>
        </is>
      </c>
      <c r="H17" s="24">
        <f>IF($G17="","",IFERROR(VLOOKUP($G17,物料档案!$A$4:$P$1203,3,0),"※编码不在物料档案里"))</f>
        <v/>
      </c>
      <c r="I17" s="24">
        <f>IF($G17="","",IFERROR(VLOOKUP($G17,物料档案!$A$4:$P$1203,4,0),"※编码不在物料档案里"))</f>
        <v/>
      </c>
      <c r="J17" s="24">
        <f>IF($G17="","",IFERROR(VLOOKUP($G17,物料档案!$A$4:$P$1203,5,0),"※编码不在物料档案里"))</f>
        <v/>
      </c>
      <c r="K17" s="23" t="n">
        <v>2</v>
      </c>
      <c r="L17" s="31" t="n"/>
      <c r="M17" s="24">
        <f>IF($G17="","",IF($D17="A国内","CNY","TZS"))</f>
        <v/>
      </c>
      <c r="N17" s="28">
        <f>IF($G17="","",IF($D17="A国内",汇率,1))</f>
        <v/>
      </c>
      <c r="O17" s="25">
        <f>IF($G17="","",ROUND(N($K17)*N($L17),2))</f>
        <v/>
      </c>
      <c r="P17" s="26">
        <f>IF($G17="","",ROUND($O17*$N17,0))</f>
        <v/>
      </c>
      <c r="Q17" s="26">
        <f>IF($G17="","",SUMIFS($P$4:$P$2503,$E$4:$E$2503,$E17,$Z$4:$Z$2503,"正常"))</f>
        <v/>
      </c>
      <c r="R17" s="26">
        <f>IF($G17="","",SUMIFS(费用台账!$I$4:$I$503,费用台账!$C$4:$C$503,$E17,费用台账!$J$4:$J$503,"是",费用台账!$K$4:$K$503,"正常"))</f>
        <v/>
      </c>
      <c r="S17" s="28">
        <f>IF($G17="","",COUNTIFS($E$4:$E$2503,$E17,$Z$4:$Z$2503,"正常",$Y$4:$Y$2503,"待补价"))</f>
        <v/>
      </c>
      <c r="T17" s="26">
        <f>IF($G17="","",SUMIFS($P$4:$P$2503,$E$4:$E$2503,$E17,$Z$4:$Z$2503,"正常",$A$4:$A$2503,"&lt;="&amp;$A17))</f>
        <v/>
      </c>
      <c r="U17" s="26">
        <f>IF($G17="","",IF(OR($S17&gt;0,$Q17=0,$R17=0,$Z17&lt;&gt;"正常"),0,ROUND($T17/$Q17*$R17,0)-ROUND(($T17-$P17)/$Q17*$R17,0)))</f>
        <v/>
      </c>
      <c r="V17" s="26">
        <f>IF($G17="","",ROUND($P17+$U17,0))</f>
        <v/>
      </c>
      <c r="W17" s="26">
        <f>IF($G17="","",IF(N($K17)=0,0,ROUND($V17/$K17,2)))</f>
        <v/>
      </c>
      <c r="X17" s="17" t="inlineStr">
        <is>
          <t>采购入库</t>
        </is>
      </c>
      <c r="Y17" s="17" t="inlineStr">
        <is>
          <t>待补价</t>
        </is>
      </c>
      <c r="Z17" s="17" t="inlineStr">
        <is>
          <t>正常</t>
        </is>
      </c>
      <c r="AA17" s="17" t="n"/>
      <c r="AB17" s="17" t="inlineStr">
        <is>
          <t>原表第 22 行</t>
        </is>
      </c>
      <c r="AC17" s="24">
        <f>IF($G17="","",IF($H17="※编码不在物料档案里","※物料编码不在档案里",IF(N($K17)&lt;=0,"※入库数量要大于 0",IF(AND($C17&lt;&gt;"",$C17&lt;=结账锁),"※日期早于已结账截止日，不能再录",IF(AND($L17=0,$X17="正常"),"※没填单价，价格状态请选「待补价」",IF(AND($S17&gt;0,$R17&gt;0),"△本批有 "&amp;$S17&amp;" 行没单价，整批运费先挂账没摊",IF(AND($B17&lt;&gt;"",COUNTIF($B$4:$B$2503,$B17)&gt;1),"※入库单号重复","")))))))</f>
        <v/>
      </c>
    </row>
    <row r="18">
      <c r="A18" s="24">
        <f>IF($G18="","",COUNTA($G$4:$G18))</f>
        <v/>
      </c>
      <c r="B18" s="17" t="n"/>
      <c r="C18" s="30" t="n">
        <v>46043</v>
      </c>
      <c r="D18" s="17" t="inlineStr">
        <is>
          <t>A国内</t>
        </is>
      </c>
      <c r="E18" s="17" t="inlineStr">
        <is>
          <t>MAEU4036837-202601</t>
        </is>
      </c>
      <c r="F18" s="17" t="inlineStr">
        <is>
          <t>烟台市金豪矿山机械有限公司</t>
        </is>
      </c>
      <c r="G18" s="17" t="inlineStr">
        <is>
          <t>JH0002</t>
        </is>
      </c>
      <c r="H18" s="24">
        <f>IF($G18="","",IFERROR(VLOOKUP($G18,物料档案!$A$4:$P$1203,3,0),"※编码不在物料档案里"))</f>
        <v/>
      </c>
      <c r="I18" s="24">
        <f>IF($G18="","",IFERROR(VLOOKUP($G18,物料档案!$A$4:$P$1203,4,0),"※编码不在物料档案里"))</f>
        <v/>
      </c>
      <c r="J18" s="24">
        <f>IF($G18="","",IFERROR(VLOOKUP($G18,物料档案!$A$4:$P$1203,5,0),"※编码不在物料档案里"))</f>
        <v/>
      </c>
      <c r="K18" s="23" t="n">
        <v>11</v>
      </c>
      <c r="L18" s="31" t="n"/>
      <c r="M18" s="24">
        <f>IF($G18="","",IF($D18="A国内","CNY","TZS"))</f>
        <v/>
      </c>
      <c r="N18" s="28">
        <f>IF($G18="","",IF($D18="A国内",汇率,1))</f>
        <v/>
      </c>
      <c r="O18" s="25">
        <f>IF($G18="","",ROUND(N($K18)*N($L18),2))</f>
        <v/>
      </c>
      <c r="P18" s="26">
        <f>IF($G18="","",ROUND($O18*$N18,0))</f>
        <v/>
      </c>
      <c r="Q18" s="26">
        <f>IF($G18="","",SUMIFS($P$4:$P$2503,$E$4:$E$2503,$E18,$Z$4:$Z$2503,"正常"))</f>
        <v/>
      </c>
      <c r="R18" s="26">
        <f>IF($G18="","",SUMIFS(费用台账!$I$4:$I$503,费用台账!$C$4:$C$503,$E18,费用台账!$J$4:$J$503,"是",费用台账!$K$4:$K$503,"正常"))</f>
        <v/>
      </c>
      <c r="S18" s="28">
        <f>IF($G18="","",COUNTIFS($E$4:$E$2503,$E18,$Z$4:$Z$2503,"正常",$Y$4:$Y$2503,"待补价"))</f>
        <v/>
      </c>
      <c r="T18" s="26">
        <f>IF($G18="","",SUMIFS($P$4:$P$2503,$E$4:$E$2503,$E18,$Z$4:$Z$2503,"正常",$A$4:$A$2503,"&lt;="&amp;$A18))</f>
        <v/>
      </c>
      <c r="U18" s="26">
        <f>IF($G18="","",IF(OR($S18&gt;0,$Q18=0,$R18=0,$Z18&lt;&gt;"正常"),0,ROUND($T18/$Q18*$R18,0)-ROUND(($T18-$P18)/$Q18*$R18,0)))</f>
        <v/>
      </c>
      <c r="V18" s="26">
        <f>IF($G18="","",ROUND($P18+$U18,0))</f>
        <v/>
      </c>
      <c r="W18" s="26">
        <f>IF($G18="","",IF(N($K18)=0,0,ROUND($V18/$K18,2)))</f>
        <v/>
      </c>
      <c r="X18" s="17" t="inlineStr">
        <is>
          <t>采购入库</t>
        </is>
      </c>
      <c r="Y18" s="17" t="inlineStr">
        <is>
          <t>待补价</t>
        </is>
      </c>
      <c r="Z18" s="17" t="inlineStr">
        <is>
          <t>正常</t>
        </is>
      </c>
      <c r="AA18" s="17" t="n"/>
      <c r="AB18" s="17" t="inlineStr">
        <is>
          <t>原表第 23 行</t>
        </is>
      </c>
      <c r="AC18" s="24">
        <f>IF($G18="","",IF($H18="※编码不在物料档案里","※物料编码不在档案里",IF(N($K18)&lt;=0,"※入库数量要大于 0",IF(AND($C18&lt;&gt;"",$C18&lt;=结账锁),"※日期早于已结账截止日，不能再录",IF(AND($L18=0,$X18="正常"),"※没填单价，价格状态请选「待补价」",IF(AND($S18&gt;0,$R18&gt;0),"△本批有 "&amp;$S18&amp;" 行没单价，整批运费先挂账没摊",IF(AND($B18&lt;&gt;"",COUNTIF($B$4:$B$2503,$B18)&gt;1),"※入库单号重复","")))))))</f>
        <v/>
      </c>
    </row>
    <row r="19">
      <c r="A19" s="24">
        <f>IF($G19="","",COUNTA($G$4:$G19))</f>
        <v/>
      </c>
      <c r="B19" s="17" t="n"/>
      <c r="C19" s="30" t="n">
        <v>46043</v>
      </c>
      <c r="D19" s="17" t="inlineStr">
        <is>
          <t>A国内</t>
        </is>
      </c>
      <c r="E19" s="17" t="inlineStr">
        <is>
          <t>MAEU4036837-202601</t>
        </is>
      </c>
      <c r="F19" s="17" t="inlineStr">
        <is>
          <t>烟台市金豪矿山机械有限公司</t>
        </is>
      </c>
      <c r="G19" s="17" t="inlineStr">
        <is>
          <t>JH0015</t>
        </is>
      </c>
      <c r="H19" s="24">
        <f>IF($G19="","",IFERROR(VLOOKUP($G19,物料档案!$A$4:$P$1203,3,0),"※编码不在物料档案里"))</f>
        <v/>
      </c>
      <c r="I19" s="24">
        <f>IF($G19="","",IFERROR(VLOOKUP($G19,物料档案!$A$4:$P$1203,4,0),"※编码不在物料档案里"))</f>
        <v/>
      </c>
      <c r="J19" s="24">
        <f>IF($G19="","",IFERROR(VLOOKUP($G19,物料档案!$A$4:$P$1203,5,0),"※编码不在物料档案里"))</f>
        <v/>
      </c>
      <c r="K19" s="23" t="n">
        <v>48</v>
      </c>
      <c r="L19" s="31" t="n"/>
      <c r="M19" s="24">
        <f>IF($G19="","",IF($D19="A国内","CNY","TZS"))</f>
        <v/>
      </c>
      <c r="N19" s="28">
        <f>IF($G19="","",IF($D19="A国内",汇率,1))</f>
        <v/>
      </c>
      <c r="O19" s="25">
        <f>IF($G19="","",ROUND(N($K19)*N($L19),2))</f>
        <v/>
      </c>
      <c r="P19" s="26">
        <f>IF($G19="","",ROUND($O19*$N19,0))</f>
        <v/>
      </c>
      <c r="Q19" s="26">
        <f>IF($G19="","",SUMIFS($P$4:$P$2503,$E$4:$E$2503,$E19,$Z$4:$Z$2503,"正常"))</f>
        <v/>
      </c>
      <c r="R19" s="26">
        <f>IF($G19="","",SUMIFS(费用台账!$I$4:$I$503,费用台账!$C$4:$C$503,$E19,费用台账!$J$4:$J$503,"是",费用台账!$K$4:$K$503,"正常"))</f>
        <v/>
      </c>
      <c r="S19" s="28">
        <f>IF($G19="","",COUNTIFS($E$4:$E$2503,$E19,$Z$4:$Z$2503,"正常",$Y$4:$Y$2503,"待补价"))</f>
        <v/>
      </c>
      <c r="T19" s="26">
        <f>IF($G19="","",SUMIFS($P$4:$P$2503,$E$4:$E$2503,$E19,$Z$4:$Z$2503,"正常",$A$4:$A$2503,"&lt;="&amp;$A19))</f>
        <v/>
      </c>
      <c r="U19" s="26">
        <f>IF($G19="","",IF(OR($S19&gt;0,$Q19=0,$R19=0,$Z19&lt;&gt;"正常"),0,ROUND($T19/$Q19*$R19,0)-ROUND(($T19-$P19)/$Q19*$R19,0)))</f>
        <v/>
      </c>
      <c r="V19" s="26">
        <f>IF($G19="","",ROUND($P19+$U19,0))</f>
        <v/>
      </c>
      <c r="W19" s="26">
        <f>IF($G19="","",IF(N($K19)=0,0,ROUND($V19/$K19,2)))</f>
        <v/>
      </c>
      <c r="X19" s="17" t="inlineStr">
        <is>
          <t>采购入库</t>
        </is>
      </c>
      <c r="Y19" s="17" t="inlineStr">
        <is>
          <t>待补价</t>
        </is>
      </c>
      <c r="Z19" s="17" t="inlineStr">
        <is>
          <t>正常</t>
        </is>
      </c>
      <c r="AA19" s="17" t="n"/>
      <c r="AB19" s="17" t="inlineStr">
        <is>
          <t>原表第 24 行</t>
        </is>
      </c>
      <c r="AC19" s="24">
        <f>IF($G19="","",IF($H19="※编码不在物料档案里","※物料编码不在档案里",IF(N($K19)&lt;=0,"※入库数量要大于 0",IF(AND($C19&lt;&gt;"",$C19&lt;=结账锁),"※日期早于已结账截止日，不能再录",IF(AND($L19=0,$X19="正常"),"※没填单价，价格状态请选「待补价」",IF(AND($S19&gt;0,$R19&gt;0),"△本批有 "&amp;$S19&amp;" 行没单价，整批运费先挂账没摊",IF(AND($B19&lt;&gt;"",COUNTIF($B$4:$B$2503,$B19)&gt;1),"※入库单号重复","")))))))</f>
        <v/>
      </c>
    </row>
    <row r="20">
      <c r="A20" s="24">
        <f>IF($G20="","",COUNTA($G$4:$G20))</f>
        <v/>
      </c>
      <c r="B20" s="17" t="n"/>
      <c r="C20" s="30" t="n">
        <v>46043</v>
      </c>
      <c r="D20" s="17" t="inlineStr">
        <is>
          <t>A国内</t>
        </is>
      </c>
      <c r="E20" s="17" t="inlineStr">
        <is>
          <t>MAEU4036837-202601</t>
        </is>
      </c>
      <c r="F20" s="17" t="inlineStr">
        <is>
          <t>烟台市金豪矿山机械有限公司</t>
        </is>
      </c>
      <c r="G20" s="17" t="inlineStr">
        <is>
          <t>JH0016</t>
        </is>
      </c>
      <c r="H20" s="24">
        <f>IF($G20="","",IFERROR(VLOOKUP($G20,物料档案!$A$4:$P$1203,3,0),"※编码不在物料档案里"))</f>
        <v/>
      </c>
      <c r="I20" s="24">
        <f>IF($G20="","",IFERROR(VLOOKUP($G20,物料档案!$A$4:$P$1203,4,0),"※编码不在物料档案里"))</f>
        <v/>
      </c>
      <c r="J20" s="24">
        <f>IF($G20="","",IFERROR(VLOOKUP($G20,物料档案!$A$4:$P$1203,5,0),"※编码不在物料档案里"))</f>
        <v/>
      </c>
      <c r="K20" s="23" t="n">
        <v>36</v>
      </c>
      <c r="L20" s="31" t="n"/>
      <c r="M20" s="24">
        <f>IF($G20="","",IF($D20="A国内","CNY","TZS"))</f>
        <v/>
      </c>
      <c r="N20" s="28">
        <f>IF($G20="","",IF($D20="A国内",汇率,1))</f>
        <v/>
      </c>
      <c r="O20" s="25">
        <f>IF($G20="","",ROUND(N($K20)*N($L20),2))</f>
        <v/>
      </c>
      <c r="P20" s="26">
        <f>IF($G20="","",ROUND($O20*$N20,0))</f>
        <v/>
      </c>
      <c r="Q20" s="26">
        <f>IF($G20="","",SUMIFS($P$4:$P$2503,$E$4:$E$2503,$E20,$Z$4:$Z$2503,"正常"))</f>
        <v/>
      </c>
      <c r="R20" s="26">
        <f>IF($G20="","",SUMIFS(费用台账!$I$4:$I$503,费用台账!$C$4:$C$503,$E20,费用台账!$J$4:$J$503,"是",费用台账!$K$4:$K$503,"正常"))</f>
        <v/>
      </c>
      <c r="S20" s="28">
        <f>IF($G20="","",COUNTIFS($E$4:$E$2503,$E20,$Z$4:$Z$2503,"正常",$Y$4:$Y$2503,"待补价"))</f>
        <v/>
      </c>
      <c r="T20" s="26">
        <f>IF($G20="","",SUMIFS($P$4:$P$2503,$E$4:$E$2503,$E20,$Z$4:$Z$2503,"正常",$A$4:$A$2503,"&lt;="&amp;$A20))</f>
        <v/>
      </c>
      <c r="U20" s="26">
        <f>IF($G20="","",IF(OR($S20&gt;0,$Q20=0,$R20=0,$Z20&lt;&gt;"正常"),0,ROUND($T20/$Q20*$R20,0)-ROUND(($T20-$P20)/$Q20*$R20,0)))</f>
        <v/>
      </c>
      <c r="V20" s="26">
        <f>IF($G20="","",ROUND($P20+$U20,0))</f>
        <v/>
      </c>
      <c r="W20" s="26">
        <f>IF($G20="","",IF(N($K20)=0,0,ROUND($V20/$K20,2)))</f>
        <v/>
      </c>
      <c r="X20" s="17" t="inlineStr">
        <is>
          <t>采购入库</t>
        </is>
      </c>
      <c r="Y20" s="17" t="inlineStr">
        <is>
          <t>待补价</t>
        </is>
      </c>
      <c r="Z20" s="17" t="inlineStr">
        <is>
          <t>正常</t>
        </is>
      </c>
      <c r="AA20" s="17" t="n"/>
      <c r="AB20" s="17" t="inlineStr">
        <is>
          <t>原表第 25 行</t>
        </is>
      </c>
      <c r="AC20" s="24">
        <f>IF($G20="","",IF($H20="※编码不在物料档案里","※物料编码不在档案里",IF(N($K20)&lt;=0,"※入库数量要大于 0",IF(AND($C20&lt;&gt;"",$C20&lt;=结账锁),"※日期早于已结账截止日，不能再录",IF(AND($L20=0,$X20="正常"),"※没填单价，价格状态请选「待补价」",IF(AND($S20&gt;0,$R20&gt;0),"△本批有 "&amp;$S20&amp;" 行没单价，整批运费先挂账没摊",IF(AND($B20&lt;&gt;"",COUNTIF($B$4:$B$2503,$B20)&gt;1),"※入库单号重复","")))))))</f>
        <v/>
      </c>
    </row>
    <row r="21">
      <c r="A21" s="24">
        <f>IF($G21="","",COUNTA($G$4:$G21))</f>
        <v/>
      </c>
      <c r="B21" s="17" t="n"/>
      <c r="C21" s="30" t="n">
        <v>46043</v>
      </c>
      <c r="D21" s="17" t="inlineStr">
        <is>
          <t>A国内</t>
        </is>
      </c>
      <c r="E21" s="17" t="inlineStr">
        <is>
          <t>MAEU4036837-202601</t>
        </is>
      </c>
      <c r="F21" s="17" t="inlineStr">
        <is>
          <t>烟台市金豪矿山机械有限公司</t>
        </is>
      </c>
      <c r="G21" s="17" t="inlineStr">
        <is>
          <t>JH0017</t>
        </is>
      </c>
      <c r="H21" s="24">
        <f>IF($G21="","",IFERROR(VLOOKUP($G21,物料档案!$A$4:$P$1203,3,0),"※编码不在物料档案里"))</f>
        <v/>
      </c>
      <c r="I21" s="24">
        <f>IF($G21="","",IFERROR(VLOOKUP($G21,物料档案!$A$4:$P$1203,4,0),"※编码不在物料档案里"))</f>
        <v/>
      </c>
      <c r="J21" s="24">
        <f>IF($G21="","",IFERROR(VLOOKUP($G21,物料档案!$A$4:$P$1203,5,0),"※编码不在物料档案里"))</f>
        <v/>
      </c>
      <c r="K21" s="23" t="n">
        <v>60</v>
      </c>
      <c r="L21" s="31" t="n"/>
      <c r="M21" s="24">
        <f>IF($G21="","",IF($D21="A国内","CNY","TZS"))</f>
        <v/>
      </c>
      <c r="N21" s="28">
        <f>IF($G21="","",IF($D21="A国内",汇率,1))</f>
        <v/>
      </c>
      <c r="O21" s="25">
        <f>IF($G21="","",ROUND(N($K21)*N($L21),2))</f>
        <v/>
      </c>
      <c r="P21" s="26">
        <f>IF($G21="","",ROUND($O21*$N21,0))</f>
        <v/>
      </c>
      <c r="Q21" s="26">
        <f>IF($G21="","",SUMIFS($P$4:$P$2503,$E$4:$E$2503,$E21,$Z$4:$Z$2503,"正常"))</f>
        <v/>
      </c>
      <c r="R21" s="26">
        <f>IF($G21="","",SUMIFS(费用台账!$I$4:$I$503,费用台账!$C$4:$C$503,$E21,费用台账!$J$4:$J$503,"是",费用台账!$K$4:$K$503,"正常"))</f>
        <v/>
      </c>
      <c r="S21" s="28">
        <f>IF($G21="","",COUNTIFS($E$4:$E$2503,$E21,$Z$4:$Z$2503,"正常",$Y$4:$Y$2503,"待补价"))</f>
        <v/>
      </c>
      <c r="T21" s="26">
        <f>IF($G21="","",SUMIFS($P$4:$P$2503,$E$4:$E$2503,$E21,$Z$4:$Z$2503,"正常",$A$4:$A$2503,"&lt;="&amp;$A21))</f>
        <v/>
      </c>
      <c r="U21" s="26">
        <f>IF($G21="","",IF(OR($S21&gt;0,$Q21=0,$R21=0,$Z21&lt;&gt;"正常"),0,ROUND($T21/$Q21*$R21,0)-ROUND(($T21-$P21)/$Q21*$R21,0)))</f>
        <v/>
      </c>
      <c r="V21" s="26">
        <f>IF($G21="","",ROUND($P21+$U21,0))</f>
        <v/>
      </c>
      <c r="W21" s="26">
        <f>IF($G21="","",IF(N($K21)=0,0,ROUND($V21/$K21,2)))</f>
        <v/>
      </c>
      <c r="X21" s="17" t="inlineStr">
        <is>
          <t>采购入库</t>
        </is>
      </c>
      <c r="Y21" s="17" t="inlineStr">
        <is>
          <t>待补价</t>
        </is>
      </c>
      <c r="Z21" s="17" t="inlineStr">
        <is>
          <t>正常</t>
        </is>
      </c>
      <c r="AA21" s="17" t="n"/>
      <c r="AB21" s="17" t="inlineStr">
        <is>
          <t>原表第 26 行</t>
        </is>
      </c>
      <c r="AC21" s="24">
        <f>IF($G21="","",IF($H21="※编码不在物料档案里","※物料编码不在档案里",IF(N($K21)&lt;=0,"※入库数量要大于 0",IF(AND($C21&lt;&gt;"",$C21&lt;=结账锁),"※日期早于已结账截止日，不能再录",IF(AND($L21=0,$X21="正常"),"※没填单价，价格状态请选「待补价」",IF(AND($S21&gt;0,$R21&gt;0),"△本批有 "&amp;$S21&amp;" 行没单价，整批运费先挂账没摊",IF(AND($B21&lt;&gt;"",COUNTIF($B$4:$B$2503,$B21)&gt;1),"※入库单号重复","")))))))</f>
        <v/>
      </c>
    </row>
    <row r="22">
      <c r="A22" s="24">
        <f>IF($G22="","",COUNTA($G$4:$G22))</f>
        <v/>
      </c>
      <c r="B22" s="17" t="n"/>
      <c r="C22" s="30" t="n">
        <v>46043</v>
      </c>
      <c r="D22" s="17" t="inlineStr">
        <is>
          <t>A国内</t>
        </is>
      </c>
      <c r="E22" s="17" t="inlineStr">
        <is>
          <t>MAEU4036837-202601</t>
        </is>
      </c>
      <c r="F22" s="17" t="inlineStr">
        <is>
          <t>烟台市金豪矿山机械有限公司</t>
        </is>
      </c>
      <c r="G22" s="17" t="inlineStr">
        <is>
          <t>JH0018</t>
        </is>
      </c>
      <c r="H22" s="24">
        <f>IF($G22="","",IFERROR(VLOOKUP($G22,物料档案!$A$4:$P$1203,3,0),"※编码不在物料档案里"))</f>
        <v/>
      </c>
      <c r="I22" s="24">
        <f>IF($G22="","",IFERROR(VLOOKUP($G22,物料档案!$A$4:$P$1203,4,0),"※编码不在物料档案里"))</f>
        <v/>
      </c>
      <c r="J22" s="24">
        <f>IF($G22="","",IFERROR(VLOOKUP($G22,物料档案!$A$4:$P$1203,5,0),"※编码不在物料档案里"))</f>
        <v/>
      </c>
      <c r="K22" s="23" t="n">
        <v>24</v>
      </c>
      <c r="L22" s="31" t="n"/>
      <c r="M22" s="24">
        <f>IF($G22="","",IF($D22="A国内","CNY","TZS"))</f>
        <v/>
      </c>
      <c r="N22" s="28">
        <f>IF($G22="","",IF($D22="A国内",汇率,1))</f>
        <v/>
      </c>
      <c r="O22" s="25">
        <f>IF($G22="","",ROUND(N($K22)*N($L22),2))</f>
        <v/>
      </c>
      <c r="P22" s="26">
        <f>IF($G22="","",ROUND($O22*$N22,0))</f>
        <v/>
      </c>
      <c r="Q22" s="26">
        <f>IF($G22="","",SUMIFS($P$4:$P$2503,$E$4:$E$2503,$E22,$Z$4:$Z$2503,"正常"))</f>
        <v/>
      </c>
      <c r="R22" s="26">
        <f>IF($G22="","",SUMIFS(费用台账!$I$4:$I$503,费用台账!$C$4:$C$503,$E22,费用台账!$J$4:$J$503,"是",费用台账!$K$4:$K$503,"正常"))</f>
        <v/>
      </c>
      <c r="S22" s="28">
        <f>IF($G22="","",COUNTIFS($E$4:$E$2503,$E22,$Z$4:$Z$2503,"正常",$Y$4:$Y$2503,"待补价"))</f>
        <v/>
      </c>
      <c r="T22" s="26">
        <f>IF($G22="","",SUMIFS($P$4:$P$2503,$E$4:$E$2503,$E22,$Z$4:$Z$2503,"正常",$A$4:$A$2503,"&lt;="&amp;$A22))</f>
        <v/>
      </c>
      <c r="U22" s="26">
        <f>IF($G22="","",IF(OR($S22&gt;0,$Q22=0,$R22=0,$Z22&lt;&gt;"正常"),0,ROUND($T22/$Q22*$R22,0)-ROUND(($T22-$P22)/$Q22*$R22,0)))</f>
        <v/>
      </c>
      <c r="V22" s="26">
        <f>IF($G22="","",ROUND($P22+$U22,0))</f>
        <v/>
      </c>
      <c r="W22" s="26">
        <f>IF($G22="","",IF(N($K22)=0,0,ROUND($V22/$K22,2)))</f>
        <v/>
      </c>
      <c r="X22" s="17" t="inlineStr">
        <is>
          <t>采购入库</t>
        </is>
      </c>
      <c r="Y22" s="17" t="inlineStr">
        <is>
          <t>待补价</t>
        </is>
      </c>
      <c r="Z22" s="17" t="inlineStr">
        <is>
          <t>正常</t>
        </is>
      </c>
      <c r="AA22" s="17" t="n"/>
      <c r="AB22" s="17" t="inlineStr">
        <is>
          <t>原表第 27 行</t>
        </is>
      </c>
      <c r="AC22" s="24">
        <f>IF($G22="","",IF($H22="※编码不在物料档案里","※物料编码不在档案里",IF(N($K22)&lt;=0,"※入库数量要大于 0",IF(AND($C22&lt;&gt;"",$C22&lt;=结账锁),"※日期早于已结账截止日，不能再录",IF(AND($L22=0,$X22="正常"),"※没填单价，价格状态请选「待补价」",IF(AND($S22&gt;0,$R22&gt;0),"△本批有 "&amp;$S22&amp;" 行没单价，整批运费先挂账没摊",IF(AND($B22&lt;&gt;"",COUNTIF($B$4:$B$2503,$B22)&gt;1),"※入库单号重复","")))))))</f>
        <v/>
      </c>
    </row>
    <row r="23">
      <c r="A23" s="24">
        <f>IF($G23="","",COUNTA($G$4:$G23))</f>
        <v/>
      </c>
      <c r="B23" s="17" t="n"/>
      <c r="C23" s="30" t="n">
        <v>46043</v>
      </c>
      <c r="D23" s="17" t="inlineStr">
        <is>
          <t>A国内</t>
        </is>
      </c>
      <c r="E23" s="17" t="inlineStr">
        <is>
          <t>MAEU4036837-202601</t>
        </is>
      </c>
      <c r="F23" s="17" t="inlineStr">
        <is>
          <t>烟台市金豪矿山机械有限公司</t>
        </is>
      </c>
      <c r="G23" s="17" t="inlineStr">
        <is>
          <t>JH0019</t>
        </is>
      </c>
      <c r="H23" s="24">
        <f>IF($G23="","",IFERROR(VLOOKUP($G23,物料档案!$A$4:$P$1203,3,0),"※编码不在物料档案里"))</f>
        <v/>
      </c>
      <c r="I23" s="24">
        <f>IF($G23="","",IFERROR(VLOOKUP($G23,物料档案!$A$4:$P$1203,4,0),"※编码不在物料档案里"))</f>
        <v/>
      </c>
      <c r="J23" s="24">
        <f>IF($G23="","",IFERROR(VLOOKUP($G23,物料档案!$A$4:$P$1203,5,0),"※编码不在物料档案里"))</f>
        <v/>
      </c>
      <c r="K23" s="23" t="n">
        <v>702</v>
      </c>
      <c r="L23" s="31" t="n"/>
      <c r="M23" s="24">
        <f>IF($G23="","",IF($D23="A国内","CNY","TZS"))</f>
        <v/>
      </c>
      <c r="N23" s="28">
        <f>IF($G23="","",IF($D23="A国内",汇率,1))</f>
        <v/>
      </c>
      <c r="O23" s="25">
        <f>IF($G23="","",ROUND(N($K23)*N($L23),2))</f>
        <v/>
      </c>
      <c r="P23" s="26">
        <f>IF($G23="","",ROUND($O23*$N23,0))</f>
        <v/>
      </c>
      <c r="Q23" s="26">
        <f>IF($G23="","",SUMIFS($P$4:$P$2503,$E$4:$E$2503,$E23,$Z$4:$Z$2503,"正常"))</f>
        <v/>
      </c>
      <c r="R23" s="26">
        <f>IF($G23="","",SUMIFS(费用台账!$I$4:$I$503,费用台账!$C$4:$C$503,$E23,费用台账!$J$4:$J$503,"是",费用台账!$K$4:$K$503,"正常"))</f>
        <v/>
      </c>
      <c r="S23" s="28">
        <f>IF($G23="","",COUNTIFS($E$4:$E$2503,$E23,$Z$4:$Z$2503,"正常",$Y$4:$Y$2503,"待补价"))</f>
        <v/>
      </c>
      <c r="T23" s="26">
        <f>IF($G23="","",SUMIFS($P$4:$P$2503,$E$4:$E$2503,$E23,$Z$4:$Z$2503,"正常",$A$4:$A$2503,"&lt;="&amp;$A23))</f>
        <v/>
      </c>
      <c r="U23" s="26">
        <f>IF($G23="","",IF(OR($S23&gt;0,$Q23=0,$R23=0,$Z23&lt;&gt;"正常"),0,ROUND($T23/$Q23*$R23,0)-ROUND(($T23-$P23)/$Q23*$R23,0)))</f>
        <v/>
      </c>
      <c r="V23" s="26">
        <f>IF($G23="","",ROUND($P23+$U23,0))</f>
        <v/>
      </c>
      <c r="W23" s="26">
        <f>IF($G23="","",IF(N($K23)=0,0,ROUND($V23/$K23,2)))</f>
        <v/>
      </c>
      <c r="X23" s="17" t="inlineStr">
        <is>
          <t>采购入库</t>
        </is>
      </c>
      <c r="Y23" s="17" t="inlineStr">
        <is>
          <t>待补价</t>
        </is>
      </c>
      <c r="Z23" s="17" t="inlineStr">
        <is>
          <t>正常</t>
        </is>
      </c>
      <c r="AA23" s="17" t="n"/>
      <c r="AB23" s="17" t="inlineStr">
        <is>
          <t>原表第 28 行</t>
        </is>
      </c>
      <c r="AC23" s="24">
        <f>IF($G23="","",IF($H23="※编码不在物料档案里","※物料编码不在档案里",IF(N($K23)&lt;=0,"※入库数量要大于 0",IF(AND($C23&lt;&gt;"",$C23&lt;=结账锁),"※日期早于已结账截止日，不能再录",IF(AND($L23=0,$X23="正常"),"※没填单价，价格状态请选「待补价」",IF(AND($S23&gt;0,$R23&gt;0),"△本批有 "&amp;$S23&amp;" 行没单价，整批运费先挂账没摊",IF(AND($B23&lt;&gt;"",COUNTIF($B$4:$B$2503,$B23)&gt;1),"※入库单号重复","")))))))</f>
        <v/>
      </c>
    </row>
    <row r="24">
      <c r="A24" s="24">
        <f>IF($G24="","",COUNTA($G$4:$G24))</f>
        <v/>
      </c>
      <c r="B24" s="17" t="n"/>
      <c r="C24" s="30" t="n">
        <v>46043</v>
      </c>
      <c r="D24" s="17" t="inlineStr">
        <is>
          <t>A国内</t>
        </is>
      </c>
      <c r="E24" s="17" t="inlineStr">
        <is>
          <t>MAEU4036837-202601</t>
        </is>
      </c>
      <c r="F24" s="17" t="inlineStr">
        <is>
          <t>烟台市金豪矿山机械有限公司</t>
        </is>
      </c>
      <c r="G24" s="17" t="inlineStr">
        <is>
          <t>JH0020</t>
        </is>
      </c>
      <c r="H24" s="24">
        <f>IF($G24="","",IFERROR(VLOOKUP($G24,物料档案!$A$4:$P$1203,3,0),"※编码不在物料档案里"))</f>
        <v/>
      </c>
      <c r="I24" s="24">
        <f>IF($G24="","",IFERROR(VLOOKUP($G24,物料档案!$A$4:$P$1203,4,0),"※编码不在物料档案里"))</f>
        <v/>
      </c>
      <c r="J24" s="24">
        <f>IF($G24="","",IFERROR(VLOOKUP($G24,物料档案!$A$4:$P$1203,5,0),"※编码不在物料档案里"))</f>
        <v/>
      </c>
      <c r="K24" s="23" t="n">
        <v>246</v>
      </c>
      <c r="L24" s="31" t="n"/>
      <c r="M24" s="24">
        <f>IF($G24="","",IF($D24="A国内","CNY","TZS"))</f>
        <v/>
      </c>
      <c r="N24" s="28">
        <f>IF($G24="","",IF($D24="A国内",汇率,1))</f>
        <v/>
      </c>
      <c r="O24" s="25">
        <f>IF($G24="","",ROUND(N($K24)*N($L24),2))</f>
        <v/>
      </c>
      <c r="P24" s="26">
        <f>IF($G24="","",ROUND($O24*$N24,0))</f>
        <v/>
      </c>
      <c r="Q24" s="26">
        <f>IF($G24="","",SUMIFS($P$4:$P$2503,$E$4:$E$2503,$E24,$Z$4:$Z$2503,"正常"))</f>
        <v/>
      </c>
      <c r="R24" s="26">
        <f>IF($G24="","",SUMIFS(费用台账!$I$4:$I$503,费用台账!$C$4:$C$503,$E24,费用台账!$J$4:$J$503,"是",费用台账!$K$4:$K$503,"正常"))</f>
        <v/>
      </c>
      <c r="S24" s="28">
        <f>IF($G24="","",COUNTIFS($E$4:$E$2503,$E24,$Z$4:$Z$2503,"正常",$Y$4:$Y$2503,"待补价"))</f>
        <v/>
      </c>
      <c r="T24" s="26">
        <f>IF($G24="","",SUMIFS($P$4:$P$2503,$E$4:$E$2503,$E24,$Z$4:$Z$2503,"正常",$A$4:$A$2503,"&lt;="&amp;$A24))</f>
        <v/>
      </c>
      <c r="U24" s="26">
        <f>IF($G24="","",IF(OR($S24&gt;0,$Q24=0,$R24=0,$Z24&lt;&gt;"正常"),0,ROUND($T24/$Q24*$R24,0)-ROUND(($T24-$P24)/$Q24*$R24,0)))</f>
        <v/>
      </c>
      <c r="V24" s="26">
        <f>IF($G24="","",ROUND($P24+$U24,0))</f>
        <v/>
      </c>
      <c r="W24" s="26">
        <f>IF($G24="","",IF(N($K24)=0,0,ROUND($V24/$K24,2)))</f>
        <v/>
      </c>
      <c r="X24" s="17" t="inlineStr">
        <is>
          <t>采购入库</t>
        </is>
      </c>
      <c r="Y24" s="17" t="inlineStr">
        <is>
          <t>待补价</t>
        </is>
      </c>
      <c r="Z24" s="17" t="inlineStr">
        <is>
          <t>正常</t>
        </is>
      </c>
      <c r="AA24" s="17" t="n"/>
      <c r="AB24" s="17" t="inlineStr">
        <is>
          <t>原表第 29 行</t>
        </is>
      </c>
      <c r="AC24" s="24">
        <f>IF($G24="","",IF($H24="※编码不在物料档案里","※物料编码不在档案里",IF(N($K24)&lt;=0,"※入库数量要大于 0",IF(AND($C24&lt;&gt;"",$C24&lt;=结账锁),"※日期早于已结账截止日，不能再录",IF(AND($L24=0,$X24="正常"),"※没填单价，价格状态请选「待补价」",IF(AND($S24&gt;0,$R24&gt;0),"△本批有 "&amp;$S24&amp;" 行没单价，整批运费先挂账没摊",IF(AND($B24&lt;&gt;"",COUNTIF($B$4:$B$2503,$B24)&gt;1),"※入库单号重复","")))))))</f>
        <v/>
      </c>
    </row>
    <row r="25">
      <c r="A25" s="24">
        <f>IF($G25="","",COUNTA($G$4:$G25))</f>
        <v/>
      </c>
      <c r="B25" s="17" t="n"/>
      <c r="C25" s="30" t="n">
        <v>46043</v>
      </c>
      <c r="D25" s="17" t="inlineStr">
        <is>
          <t>A国内</t>
        </is>
      </c>
      <c r="E25" s="17" t="inlineStr">
        <is>
          <t>MAEU4036837-202601</t>
        </is>
      </c>
      <c r="F25" s="17" t="inlineStr">
        <is>
          <t>烟台市金豪矿山机械有限公司</t>
        </is>
      </c>
      <c r="G25" s="17" t="inlineStr">
        <is>
          <t>JH0021</t>
        </is>
      </c>
      <c r="H25" s="24">
        <f>IF($G25="","",IFERROR(VLOOKUP($G25,物料档案!$A$4:$P$1203,3,0),"※编码不在物料档案里"))</f>
        <v/>
      </c>
      <c r="I25" s="24">
        <f>IF($G25="","",IFERROR(VLOOKUP($G25,物料档案!$A$4:$P$1203,4,0),"※编码不在物料档案里"))</f>
        <v/>
      </c>
      <c r="J25" s="24">
        <f>IF($G25="","",IFERROR(VLOOKUP($G25,物料档案!$A$4:$P$1203,5,0),"※编码不在物料档案里"))</f>
        <v/>
      </c>
      <c r="K25" s="23" t="n">
        <v>666</v>
      </c>
      <c r="L25" s="31" t="n"/>
      <c r="M25" s="24">
        <f>IF($G25="","",IF($D25="A国内","CNY","TZS"))</f>
        <v/>
      </c>
      <c r="N25" s="28">
        <f>IF($G25="","",IF($D25="A国内",汇率,1))</f>
        <v/>
      </c>
      <c r="O25" s="25">
        <f>IF($G25="","",ROUND(N($K25)*N($L25),2))</f>
        <v/>
      </c>
      <c r="P25" s="26">
        <f>IF($G25="","",ROUND($O25*$N25,0))</f>
        <v/>
      </c>
      <c r="Q25" s="26">
        <f>IF($G25="","",SUMIFS($P$4:$P$2503,$E$4:$E$2503,$E25,$Z$4:$Z$2503,"正常"))</f>
        <v/>
      </c>
      <c r="R25" s="26">
        <f>IF($G25="","",SUMIFS(费用台账!$I$4:$I$503,费用台账!$C$4:$C$503,$E25,费用台账!$J$4:$J$503,"是",费用台账!$K$4:$K$503,"正常"))</f>
        <v/>
      </c>
      <c r="S25" s="28">
        <f>IF($G25="","",COUNTIFS($E$4:$E$2503,$E25,$Z$4:$Z$2503,"正常",$Y$4:$Y$2503,"待补价"))</f>
        <v/>
      </c>
      <c r="T25" s="26">
        <f>IF($G25="","",SUMIFS($P$4:$P$2503,$E$4:$E$2503,$E25,$Z$4:$Z$2503,"正常",$A$4:$A$2503,"&lt;="&amp;$A25))</f>
        <v/>
      </c>
      <c r="U25" s="26">
        <f>IF($G25="","",IF(OR($S25&gt;0,$Q25=0,$R25=0,$Z25&lt;&gt;"正常"),0,ROUND($T25/$Q25*$R25,0)-ROUND(($T25-$P25)/$Q25*$R25,0)))</f>
        <v/>
      </c>
      <c r="V25" s="26">
        <f>IF($G25="","",ROUND($P25+$U25,0))</f>
        <v/>
      </c>
      <c r="W25" s="26">
        <f>IF($G25="","",IF(N($K25)=0,0,ROUND($V25/$K25,2)))</f>
        <v/>
      </c>
      <c r="X25" s="17" t="inlineStr">
        <is>
          <t>采购入库</t>
        </is>
      </c>
      <c r="Y25" s="17" t="inlineStr">
        <is>
          <t>待补价</t>
        </is>
      </c>
      <c r="Z25" s="17" t="inlineStr">
        <is>
          <t>正常</t>
        </is>
      </c>
      <c r="AA25" s="17" t="n"/>
      <c r="AB25" s="17" t="inlineStr">
        <is>
          <t>原表第 30 行</t>
        </is>
      </c>
      <c r="AC25" s="24">
        <f>IF($G25="","",IF($H25="※编码不在物料档案里","※物料编码不在档案里",IF(N($K25)&lt;=0,"※入库数量要大于 0",IF(AND($C25&lt;&gt;"",$C25&lt;=结账锁),"※日期早于已结账截止日，不能再录",IF(AND($L25=0,$X25="正常"),"※没填单价，价格状态请选「待补价」",IF(AND($S25&gt;0,$R25&gt;0),"△本批有 "&amp;$S25&amp;" 行没单价，整批运费先挂账没摊",IF(AND($B25&lt;&gt;"",COUNTIF($B$4:$B$2503,$B25)&gt;1),"※入库单号重复","")))))))</f>
        <v/>
      </c>
    </row>
    <row r="26">
      <c r="A26" s="24">
        <f>IF($G26="","",COUNTA($G$4:$G26))</f>
        <v/>
      </c>
      <c r="B26" s="17" t="n"/>
      <c r="C26" s="30" t="n">
        <v>46043</v>
      </c>
      <c r="D26" s="17" t="inlineStr">
        <is>
          <t>A国内</t>
        </is>
      </c>
      <c r="E26" s="17" t="inlineStr">
        <is>
          <t>MAEU4036837-202601</t>
        </is>
      </c>
      <c r="F26" s="17" t="inlineStr">
        <is>
          <t>烟台市金豪矿山机械有限公司</t>
        </is>
      </c>
      <c r="G26" s="17" t="inlineStr">
        <is>
          <t>JH0022</t>
        </is>
      </c>
      <c r="H26" s="24">
        <f>IF($G26="","",IFERROR(VLOOKUP($G26,物料档案!$A$4:$P$1203,3,0),"※编码不在物料档案里"))</f>
        <v/>
      </c>
      <c r="I26" s="24">
        <f>IF($G26="","",IFERROR(VLOOKUP($G26,物料档案!$A$4:$P$1203,4,0),"※编码不在物料档案里"))</f>
        <v/>
      </c>
      <c r="J26" s="24">
        <f>IF($G26="","",IFERROR(VLOOKUP($G26,物料档案!$A$4:$P$1203,5,0),"※编码不在物料档案里"))</f>
        <v/>
      </c>
      <c r="K26" s="23" t="n">
        <v>1</v>
      </c>
      <c r="L26" s="31" t="n">
        <v>125000</v>
      </c>
      <c r="M26" s="24">
        <f>IF($G26="","",IF($D26="A国内","CNY","TZS"))</f>
        <v/>
      </c>
      <c r="N26" s="28">
        <f>IF($G26="","",IF($D26="A国内",汇率,1))</f>
        <v/>
      </c>
      <c r="O26" s="25">
        <f>IF($G26="","",ROUND(N($K26)*N($L26),2))</f>
        <v/>
      </c>
      <c r="P26" s="26">
        <f>IF($G26="","",ROUND($O26*$N26,0))</f>
        <v/>
      </c>
      <c r="Q26" s="26">
        <f>IF($G26="","",SUMIFS($P$4:$P$2503,$E$4:$E$2503,$E26,$Z$4:$Z$2503,"正常"))</f>
        <v/>
      </c>
      <c r="R26" s="26">
        <f>IF($G26="","",SUMIFS(费用台账!$I$4:$I$503,费用台账!$C$4:$C$503,$E26,费用台账!$J$4:$J$503,"是",费用台账!$K$4:$K$503,"正常"))</f>
        <v/>
      </c>
      <c r="S26" s="28">
        <f>IF($G26="","",COUNTIFS($E$4:$E$2503,$E26,$Z$4:$Z$2503,"正常",$Y$4:$Y$2503,"待补价"))</f>
        <v/>
      </c>
      <c r="T26" s="26">
        <f>IF($G26="","",SUMIFS($P$4:$P$2503,$E$4:$E$2503,$E26,$Z$4:$Z$2503,"正常",$A$4:$A$2503,"&lt;="&amp;$A26))</f>
        <v/>
      </c>
      <c r="U26" s="26">
        <f>IF($G26="","",IF(OR($S26&gt;0,$Q26=0,$R26=0,$Z26&lt;&gt;"正常"),0,ROUND($T26/$Q26*$R26,0)-ROUND(($T26-$P26)/$Q26*$R26,0)))</f>
        <v/>
      </c>
      <c r="V26" s="26">
        <f>IF($G26="","",ROUND($P26+$U26,0))</f>
        <v/>
      </c>
      <c r="W26" s="26">
        <f>IF($G26="","",IF(N($K26)=0,0,ROUND($V26/$K26,2)))</f>
        <v/>
      </c>
      <c r="X26" s="17" t="inlineStr">
        <is>
          <t>采购入库</t>
        </is>
      </c>
      <c r="Y26" s="17" t="inlineStr">
        <is>
          <t>正常</t>
        </is>
      </c>
      <c r="Z26" s="17" t="inlineStr">
        <is>
          <t>正常</t>
        </is>
      </c>
      <c r="AA26" s="17" t="n"/>
      <c r="AB26" s="17" t="inlineStr">
        <is>
          <t>原表第 31 行</t>
        </is>
      </c>
      <c r="AC26" s="24">
        <f>IF($G26="","",IF($H26="※编码不在物料档案里","※物料编码不在档案里",IF(N($K26)&lt;=0,"※入库数量要大于 0",IF(AND($C26&lt;&gt;"",$C26&lt;=结账锁),"※日期早于已结账截止日，不能再录",IF(AND($L26=0,$X26="正常"),"※没填单价，价格状态请选「待补价」",IF(AND($S26&gt;0,$R26&gt;0),"△本批有 "&amp;$S26&amp;" 行没单价，整批运费先挂账没摊",IF(AND($B26&lt;&gt;"",COUNTIF($B$4:$B$2503,$B26)&gt;1),"※入库单号重复","")))))))</f>
        <v/>
      </c>
    </row>
    <row r="27">
      <c r="A27" s="24">
        <f>IF($G27="","",COUNTA($G$4:$G27))</f>
        <v/>
      </c>
      <c r="B27" s="17" t="n"/>
      <c r="C27" s="30" t="n">
        <v>46047</v>
      </c>
      <c r="D27" s="17" t="inlineStr">
        <is>
          <t>A国内</t>
        </is>
      </c>
      <c r="E27" s="17" t="inlineStr">
        <is>
          <t>ASLU7057651-202601</t>
        </is>
      </c>
      <c r="F27" s="17" t="n"/>
      <c r="G27" s="17" t="inlineStr">
        <is>
          <t>JH0023</t>
        </is>
      </c>
      <c r="H27" s="24">
        <f>IF($G27="","",IFERROR(VLOOKUP($G27,物料档案!$A$4:$P$1203,3,0),"※编码不在物料档案里"))</f>
        <v/>
      </c>
      <c r="I27" s="24">
        <f>IF($G27="","",IFERROR(VLOOKUP($G27,物料档案!$A$4:$P$1203,4,0),"※编码不在物料档案里"))</f>
        <v/>
      </c>
      <c r="J27" s="24">
        <f>IF($G27="","",IFERROR(VLOOKUP($G27,物料档案!$A$4:$P$1203,5,0),"※编码不在物料档案里"))</f>
        <v/>
      </c>
      <c r="K27" s="23" t="n">
        <v>0</v>
      </c>
      <c r="L27" s="31" t="n"/>
      <c r="M27" s="24">
        <f>IF($G27="","",IF($D27="A国内","CNY","TZS"))</f>
        <v/>
      </c>
      <c r="N27" s="28">
        <f>IF($G27="","",IF($D27="A国内",汇率,1))</f>
        <v/>
      </c>
      <c r="O27" s="25">
        <f>IF($G27="","",ROUND(N($K27)*N($L27),2))</f>
        <v/>
      </c>
      <c r="P27" s="26">
        <f>IF($G27="","",ROUND($O27*$N27,0))</f>
        <v/>
      </c>
      <c r="Q27" s="26">
        <f>IF($G27="","",SUMIFS($P$4:$P$2503,$E$4:$E$2503,$E27,$Z$4:$Z$2503,"正常"))</f>
        <v/>
      </c>
      <c r="R27" s="26">
        <f>IF($G27="","",SUMIFS(费用台账!$I$4:$I$503,费用台账!$C$4:$C$503,$E27,费用台账!$J$4:$J$503,"是",费用台账!$K$4:$K$503,"正常"))</f>
        <v/>
      </c>
      <c r="S27" s="28">
        <f>IF($G27="","",COUNTIFS($E$4:$E$2503,$E27,$Z$4:$Z$2503,"正常",$Y$4:$Y$2503,"待补价"))</f>
        <v/>
      </c>
      <c r="T27" s="26">
        <f>IF($G27="","",SUMIFS($P$4:$P$2503,$E$4:$E$2503,$E27,$Z$4:$Z$2503,"正常",$A$4:$A$2503,"&lt;="&amp;$A27))</f>
        <v/>
      </c>
      <c r="U27" s="26">
        <f>IF($G27="","",IF(OR($S27&gt;0,$Q27=0,$R27=0,$Z27&lt;&gt;"正常"),0,ROUND($T27/$Q27*$R27,0)-ROUND(($T27-$P27)/$Q27*$R27,0)))</f>
        <v/>
      </c>
      <c r="V27" s="26">
        <f>IF($G27="","",ROUND($P27+$U27,0))</f>
        <v/>
      </c>
      <c r="W27" s="26">
        <f>IF($G27="","",IF(N($K27)=0,0,ROUND($V27/$K27,2)))</f>
        <v/>
      </c>
      <c r="X27" s="17" t="inlineStr">
        <is>
          <t>采购入库</t>
        </is>
      </c>
      <c r="Y27" s="17" t="inlineStr">
        <is>
          <t>待补价</t>
        </is>
      </c>
      <c r="Z27" s="17" t="inlineStr">
        <is>
          <t>正常</t>
        </is>
      </c>
      <c r="AA27" s="17" t="n"/>
      <c r="AB27" s="17" t="inlineStr">
        <is>
          <t>原表第 32 行</t>
        </is>
      </c>
      <c r="AC27" s="24">
        <f>IF($G27="","",IF($H27="※编码不在物料档案里","※物料编码不在档案里",IF(N($K27)&lt;=0,"※入库数量要大于 0",IF(AND($C27&lt;&gt;"",$C27&lt;=结账锁),"※日期早于已结账截止日，不能再录",IF(AND($L27=0,$X27="正常"),"※没填单价，价格状态请选「待补价」",IF(AND($S27&gt;0,$R27&gt;0),"△本批有 "&amp;$S27&amp;" 行没单价，整批运费先挂账没摊",IF(AND($B27&lt;&gt;"",COUNTIF($B$4:$B$2503,$B27)&gt;1),"※入库单号重复","")))))))</f>
        <v/>
      </c>
    </row>
    <row r="28">
      <c r="A28" s="24">
        <f>IF($G28="","",COUNTA($G$4:$G28))</f>
        <v/>
      </c>
      <c r="B28" s="17" t="n"/>
      <c r="C28" s="30" t="n">
        <v>46047</v>
      </c>
      <c r="D28" s="17" t="inlineStr">
        <is>
          <t>A国内</t>
        </is>
      </c>
      <c r="E28" s="17" t="inlineStr">
        <is>
          <t>SELU4288257-202601</t>
        </is>
      </c>
      <c r="F28" s="17" t="n"/>
      <c r="G28" s="17" t="inlineStr">
        <is>
          <t>JH0023</t>
        </is>
      </c>
      <c r="H28" s="24">
        <f>IF($G28="","",IFERROR(VLOOKUP($G28,物料档案!$A$4:$P$1203,3,0),"※编码不在物料档案里"))</f>
        <v/>
      </c>
      <c r="I28" s="24">
        <f>IF($G28="","",IFERROR(VLOOKUP($G28,物料档案!$A$4:$P$1203,4,0),"※编码不在物料档案里"))</f>
        <v/>
      </c>
      <c r="J28" s="24">
        <f>IF($G28="","",IFERROR(VLOOKUP($G28,物料档案!$A$4:$P$1203,5,0),"※编码不在物料档案里"))</f>
        <v/>
      </c>
      <c r="K28" s="23" t="n">
        <v>0</v>
      </c>
      <c r="L28" s="31" t="n"/>
      <c r="M28" s="24">
        <f>IF($G28="","",IF($D28="A国内","CNY","TZS"))</f>
        <v/>
      </c>
      <c r="N28" s="28">
        <f>IF($G28="","",IF($D28="A国内",汇率,1))</f>
        <v/>
      </c>
      <c r="O28" s="25">
        <f>IF($G28="","",ROUND(N($K28)*N($L28),2))</f>
        <v/>
      </c>
      <c r="P28" s="26">
        <f>IF($G28="","",ROUND($O28*$N28,0))</f>
        <v/>
      </c>
      <c r="Q28" s="26">
        <f>IF($G28="","",SUMIFS($P$4:$P$2503,$E$4:$E$2503,$E28,$Z$4:$Z$2503,"正常"))</f>
        <v/>
      </c>
      <c r="R28" s="26">
        <f>IF($G28="","",SUMIFS(费用台账!$I$4:$I$503,费用台账!$C$4:$C$503,$E28,费用台账!$J$4:$J$503,"是",费用台账!$K$4:$K$503,"正常"))</f>
        <v/>
      </c>
      <c r="S28" s="28">
        <f>IF($G28="","",COUNTIFS($E$4:$E$2503,$E28,$Z$4:$Z$2503,"正常",$Y$4:$Y$2503,"待补价"))</f>
        <v/>
      </c>
      <c r="T28" s="26">
        <f>IF($G28="","",SUMIFS($P$4:$P$2503,$E$4:$E$2503,$E28,$Z$4:$Z$2503,"正常",$A$4:$A$2503,"&lt;="&amp;$A28))</f>
        <v/>
      </c>
      <c r="U28" s="26">
        <f>IF($G28="","",IF(OR($S28&gt;0,$Q28=0,$R28=0,$Z28&lt;&gt;"正常"),0,ROUND($T28/$Q28*$R28,0)-ROUND(($T28-$P28)/$Q28*$R28,0)))</f>
        <v/>
      </c>
      <c r="V28" s="26">
        <f>IF($G28="","",ROUND($P28+$U28,0))</f>
        <v/>
      </c>
      <c r="W28" s="26">
        <f>IF($G28="","",IF(N($K28)=0,0,ROUND($V28/$K28,2)))</f>
        <v/>
      </c>
      <c r="X28" s="17" t="inlineStr">
        <is>
          <t>采购入库</t>
        </is>
      </c>
      <c r="Y28" s="17" t="inlineStr">
        <is>
          <t>待补价</t>
        </is>
      </c>
      <c r="Z28" s="17" t="inlineStr">
        <is>
          <t>正常</t>
        </is>
      </c>
      <c r="AA28" s="17" t="n"/>
      <c r="AB28" s="17" t="inlineStr">
        <is>
          <t>原表第 33 行</t>
        </is>
      </c>
      <c r="AC28" s="24">
        <f>IF($G28="","",IF($H28="※编码不在物料档案里","※物料编码不在档案里",IF(N($K28)&lt;=0,"※入库数量要大于 0",IF(AND($C28&lt;&gt;"",$C28&lt;=结账锁),"※日期早于已结账截止日，不能再录",IF(AND($L28=0,$X28="正常"),"※没填单价，价格状态请选「待补价」",IF(AND($S28&gt;0,$R28&gt;0),"△本批有 "&amp;$S28&amp;" 行没单价，整批运费先挂账没摊",IF(AND($B28&lt;&gt;"",COUNTIF($B$4:$B$2503,$B28)&gt;1),"※入库单号重复","")))))))</f>
        <v/>
      </c>
    </row>
    <row r="29">
      <c r="A29" s="24">
        <f>IF($G29="","",COUNTA($G$4:$G29))</f>
        <v/>
      </c>
      <c r="B29" s="17" t="n"/>
      <c r="C29" s="30" t="n">
        <v>46047</v>
      </c>
      <c r="D29" s="17" t="inlineStr">
        <is>
          <t>A国内</t>
        </is>
      </c>
      <c r="E29" s="17" t="inlineStr">
        <is>
          <t>ASLU7068595-202601</t>
        </is>
      </c>
      <c r="F29" s="17" t="n"/>
      <c r="G29" s="17" t="inlineStr">
        <is>
          <t>JH0023</t>
        </is>
      </c>
      <c r="H29" s="24">
        <f>IF($G29="","",IFERROR(VLOOKUP($G29,物料档案!$A$4:$P$1203,3,0),"※编码不在物料档案里"))</f>
        <v/>
      </c>
      <c r="I29" s="24">
        <f>IF($G29="","",IFERROR(VLOOKUP($G29,物料档案!$A$4:$P$1203,4,0),"※编码不在物料档案里"))</f>
        <v/>
      </c>
      <c r="J29" s="24">
        <f>IF($G29="","",IFERROR(VLOOKUP($G29,物料档案!$A$4:$P$1203,5,0),"※编码不在物料档案里"))</f>
        <v/>
      </c>
      <c r="K29" s="23" t="n">
        <v>0</v>
      </c>
      <c r="L29" s="31" t="n"/>
      <c r="M29" s="24">
        <f>IF($G29="","",IF($D29="A国内","CNY","TZS"))</f>
        <v/>
      </c>
      <c r="N29" s="28">
        <f>IF($G29="","",IF($D29="A国内",汇率,1))</f>
        <v/>
      </c>
      <c r="O29" s="25">
        <f>IF($G29="","",ROUND(N($K29)*N($L29),2))</f>
        <v/>
      </c>
      <c r="P29" s="26">
        <f>IF($G29="","",ROUND($O29*$N29,0))</f>
        <v/>
      </c>
      <c r="Q29" s="26">
        <f>IF($G29="","",SUMIFS($P$4:$P$2503,$E$4:$E$2503,$E29,$Z$4:$Z$2503,"正常"))</f>
        <v/>
      </c>
      <c r="R29" s="26">
        <f>IF($G29="","",SUMIFS(费用台账!$I$4:$I$503,费用台账!$C$4:$C$503,$E29,费用台账!$J$4:$J$503,"是",费用台账!$K$4:$K$503,"正常"))</f>
        <v/>
      </c>
      <c r="S29" s="28">
        <f>IF($G29="","",COUNTIFS($E$4:$E$2503,$E29,$Z$4:$Z$2503,"正常",$Y$4:$Y$2503,"待补价"))</f>
        <v/>
      </c>
      <c r="T29" s="26">
        <f>IF($G29="","",SUMIFS($P$4:$P$2503,$E$4:$E$2503,$E29,$Z$4:$Z$2503,"正常",$A$4:$A$2503,"&lt;="&amp;$A29))</f>
        <v/>
      </c>
      <c r="U29" s="26">
        <f>IF($G29="","",IF(OR($S29&gt;0,$Q29=0,$R29=0,$Z29&lt;&gt;"正常"),0,ROUND($T29/$Q29*$R29,0)-ROUND(($T29-$P29)/$Q29*$R29,0)))</f>
        <v/>
      </c>
      <c r="V29" s="26">
        <f>IF($G29="","",ROUND($P29+$U29,0))</f>
        <v/>
      </c>
      <c r="W29" s="26">
        <f>IF($G29="","",IF(N($K29)=0,0,ROUND($V29/$K29,2)))</f>
        <v/>
      </c>
      <c r="X29" s="17" t="inlineStr">
        <is>
          <t>采购入库</t>
        </is>
      </c>
      <c r="Y29" s="17" t="inlineStr">
        <is>
          <t>待补价</t>
        </is>
      </c>
      <c r="Z29" s="17" t="inlineStr">
        <is>
          <t>正常</t>
        </is>
      </c>
      <c r="AA29" s="17" t="n"/>
      <c r="AB29" s="17" t="inlineStr">
        <is>
          <t>原表第 34 行</t>
        </is>
      </c>
      <c r="AC29" s="24">
        <f>IF($G29="","",IF($H29="※编码不在物料档案里","※物料编码不在档案里",IF(N($K29)&lt;=0,"※入库数量要大于 0",IF(AND($C29&lt;&gt;"",$C29&lt;=结账锁),"※日期早于已结账截止日，不能再录",IF(AND($L29=0,$X29="正常"),"※没填单价，价格状态请选「待补价」",IF(AND($S29&gt;0,$R29&gt;0),"△本批有 "&amp;$S29&amp;" 行没单价，整批运费先挂账没摊",IF(AND($B29&lt;&gt;"",COUNTIF($B$4:$B$2503,$B29)&gt;1),"※入库单号重复","")))))))</f>
        <v/>
      </c>
    </row>
    <row r="30">
      <c r="A30" s="24">
        <f>IF($G30="","",COUNTA($G$4:$G30))</f>
        <v/>
      </c>
      <c r="B30" s="17" t="n"/>
      <c r="C30" s="30" t="n">
        <v>46048</v>
      </c>
      <c r="D30" s="17" t="inlineStr">
        <is>
          <t>A国内</t>
        </is>
      </c>
      <c r="E30" s="17" t="inlineStr">
        <is>
          <t>MEDU7050813-202601</t>
        </is>
      </c>
      <c r="F30" s="17" t="inlineStr">
        <is>
          <t>广东中合电缆实业</t>
        </is>
      </c>
      <c r="G30" s="17" t="inlineStr">
        <is>
          <t>JH0024</t>
        </is>
      </c>
      <c r="H30" s="24">
        <f>IF($G30="","",IFERROR(VLOOKUP($G30,物料档案!$A$4:$P$1203,3,0),"※编码不在物料档案里"))</f>
        <v/>
      </c>
      <c r="I30" s="24">
        <f>IF($G30="","",IFERROR(VLOOKUP($G30,物料档案!$A$4:$P$1203,4,0),"※编码不在物料档案里"))</f>
        <v/>
      </c>
      <c r="J30" s="24">
        <f>IF($G30="","",IFERROR(VLOOKUP($G30,物料档案!$A$4:$P$1203,5,0),"※编码不在物料档案里"))</f>
        <v/>
      </c>
      <c r="K30" s="23" t="n">
        <v>700</v>
      </c>
      <c r="L30" s="31" t="n">
        <v>41.43</v>
      </c>
      <c r="M30" s="24">
        <f>IF($G30="","",IF($D30="A国内","CNY","TZS"))</f>
        <v/>
      </c>
      <c r="N30" s="28">
        <f>IF($G30="","",IF($D30="A国内",汇率,1))</f>
        <v/>
      </c>
      <c r="O30" s="25">
        <f>IF($G30="","",ROUND(N($K30)*N($L30),2))</f>
        <v/>
      </c>
      <c r="P30" s="26">
        <f>IF($G30="","",ROUND($O30*$N30,0))</f>
        <v/>
      </c>
      <c r="Q30" s="26">
        <f>IF($G30="","",SUMIFS($P$4:$P$2503,$E$4:$E$2503,$E30,$Z$4:$Z$2503,"正常"))</f>
        <v/>
      </c>
      <c r="R30" s="26">
        <f>IF($G30="","",SUMIFS(费用台账!$I$4:$I$503,费用台账!$C$4:$C$503,$E30,费用台账!$J$4:$J$503,"是",费用台账!$K$4:$K$503,"正常"))</f>
        <v/>
      </c>
      <c r="S30" s="28">
        <f>IF($G30="","",COUNTIFS($E$4:$E$2503,$E30,$Z$4:$Z$2503,"正常",$Y$4:$Y$2503,"待补价"))</f>
        <v/>
      </c>
      <c r="T30" s="26">
        <f>IF($G30="","",SUMIFS($P$4:$P$2503,$E$4:$E$2503,$E30,$Z$4:$Z$2503,"正常",$A$4:$A$2503,"&lt;="&amp;$A30))</f>
        <v/>
      </c>
      <c r="U30" s="26">
        <f>IF($G30="","",IF(OR($S30&gt;0,$Q30=0,$R30=0,$Z30&lt;&gt;"正常"),0,ROUND($T30/$Q30*$R30,0)-ROUND(($T30-$P30)/$Q30*$R30,0)))</f>
        <v/>
      </c>
      <c r="V30" s="26">
        <f>IF($G30="","",ROUND($P30+$U30,0))</f>
        <v/>
      </c>
      <c r="W30" s="26">
        <f>IF($G30="","",IF(N($K30)=0,0,ROUND($V30/$K30,2)))</f>
        <v/>
      </c>
      <c r="X30" s="17" t="inlineStr">
        <is>
          <t>采购入库</t>
        </is>
      </c>
      <c r="Y30" s="17" t="inlineStr">
        <is>
          <t>正常</t>
        </is>
      </c>
      <c r="Z30" s="17" t="inlineStr">
        <is>
          <t>正常</t>
        </is>
      </c>
      <c r="AA30" s="17" t="n"/>
      <c r="AB30" s="17" t="inlineStr">
        <is>
          <t>原表第 35 行</t>
        </is>
      </c>
      <c r="AC30" s="24">
        <f>IF($G30="","",IF($H30="※编码不在物料档案里","※物料编码不在档案里",IF(N($K30)&lt;=0,"※入库数量要大于 0",IF(AND($C30&lt;&gt;"",$C30&lt;=结账锁),"※日期早于已结账截止日，不能再录",IF(AND($L30=0,$X30="正常"),"※没填单价，价格状态请选「待补价」",IF(AND($S30&gt;0,$R30&gt;0),"△本批有 "&amp;$S30&amp;" 行没单价，整批运费先挂账没摊",IF(AND($B30&lt;&gt;"",COUNTIF($B$4:$B$2503,$B30)&gt;1),"※入库单号重复","")))))))</f>
        <v/>
      </c>
    </row>
    <row r="31">
      <c r="A31" s="24">
        <f>IF($G31="","",COUNTA($G$4:$G31))</f>
        <v/>
      </c>
      <c r="B31" s="17" t="n"/>
      <c r="C31" s="30" t="n">
        <v>46048</v>
      </c>
      <c r="D31" s="17" t="inlineStr">
        <is>
          <t>A国内</t>
        </is>
      </c>
      <c r="E31" s="17" t="inlineStr">
        <is>
          <t>MEDU7050813-202601</t>
        </is>
      </c>
      <c r="F31" s="17" t="inlineStr">
        <is>
          <t>广东中合电缆实业</t>
        </is>
      </c>
      <c r="G31" s="17" t="inlineStr">
        <is>
          <t>JH0025</t>
        </is>
      </c>
      <c r="H31" s="24">
        <f>IF($G31="","",IFERROR(VLOOKUP($G31,物料档案!$A$4:$P$1203,3,0),"※编码不在物料档案里"))</f>
        <v/>
      </c>
      <c r="I31" s="24">
        <f>IF($G31="","",IFERROR(VLOOKUP($G31,物料档案!$A$4:$P$1203,4,0),"※编码不在物料档案里"))</f>
        <v/>
      </c>
      <c r="J31" s="24">
        <f>IF($G31="","",IFERROR(VLOOKUP($G31,物料档案!$A$4:$P$1203,5,0),"※编码不在物料档案里"))</f>
        <v/>
      </c>
      <c r="K31" s="23" t="n">
        <v>300</v>
      </c>
      <c r="L31" s="31" t="n">
        <v>67.25</v>
      </c>
      <c r="M31" s="24">
        <f>IF($G31="","",IF($D31="A国内","CNY","TZS"))</f>
        <v/>
      </c>
      <c r="N31" s="28">
        <f>IF($G31="","",IF($D31="A国内",汇率,1))</f>
        <v/>
      </c>
      <c r="O31" s="25">
        <f>IF($G31="","",ROUND(N($K31)*N($L31),2))</f>
        <v/>
      </c>
      <c r="P31" s="26">
        <f>IF($G31="","",ROUND($O31*$N31,0))</f>
        <v/>
      </c>
      <c r="Q31" s="26">
        <f>IF($G31="","",SUMIFS($P$4:$P$2503,$E$4:$E$2503,$E31,$Z$4:$Z$2503,"正常"))</f>
        <v/>
      </c>
      <c r="R31" s="26">
        <f>IF($G31="","",SUMIFS(费用台账!$I$4:$I$503,费用台账!$C$4:$C$503,$E31,费用台账!$J$4:$J$503,"是",费用台账!$K$4:$K$503,"正常"))</f>
        <v/>
      </c>
      <c r="S31" s="28">
        <f>IF($G31="","",COUNTIFS($E$4:$E$2503,$E31,$Z$4:$Z$2503,"正常",$Y$4:$Y$2503,"待补价"))</f>
        <v/>
      </c>
      <c r="T31" s="26">
        <f>IF($G31="","",SUMIFS($P$4:$P$2503,$E$4:$E$2503,$E31,$Z$4:$Z$2503,"正常",$A$4:$A$2503,"&lt;="&amp;$A31))</f>
        <v/>
      </c>
      <c r="U31" s="26">
        <f>IF($G31="","",IF(OR($S31&gt;0,$Q31=0,$R31=0,$Z31&lt;&gt;"正常"),0,ROUND($T31/$Q31*$R31,0)-ROUND(($T31-$P31)/$Q31*$R31,0)))</f>
        <v/>
      </c>
      <c r="V31" s="26">
        <f>IF($G31="","",ROUND($P31+$U31,0))</f>
        <v/>
      </c>
      <c r="W31" s="26">
        <f>IF($G31="","",IF(N($K31)=0,0,ROUND($V31/$K31,2)))</f>
        <v/>
      </c>
      <c r="X31" s="17" t="inlineStr">
        <is>
          <t>采购入库</t>
        </is>
      </c>
      <c r="Y31" s="17" t="inlineStr">
        <is>
          <t>正常</t>
        </is>
      </c>
      <c r="Z31" s="17" t="inlineStr">
        <is>
          <t>正常</t>
        </is>
      </c>
      <c r="AA31" s="17" t="n"/>
      <c r="AB31" s="17" t="inlineStr">
        <is>
          <t>原表第 36 行</t>
        </is>
      </c>
      <c r="AC31" s="24">
        <f>IF($G31="","",IF($H31="※编码不在物料档案里","※物料编码不在档案里",IF(N($K31)&lt;=0,"※入库数量要大于 0",IF(AND($C31&lt;&gt;"",$C31&lt;=结账锁),"※日期早于已结账截止日，不能再录",IF(AND($L31=0,$X31="正常"),"※没填单价，价格状态请选「待补价」",IF(AND($S31&gt;0,$R31&gt;0),"△本批有 "&amp;$S31&amp;" 行没单价，整批运费先挂账没摊",IF(AND($B31&lt;&gt;"",COUNTIF($B$4:$B$2503,$B31)&gt;1),"※入库单号重复","")))))))</f>
        <v/>
      </c>
    </row>
    <row r="32">
      <c r="A32" s="24">
        <f>IF($G32="","",COUNTA($G$4:$G32))</f>
        <v/>
      </c>
      <c r="B32" s="17" t="n"/>
      <c r="C32" s="30" t="n">
        <v>46048</v>
      </c>
      <c r="D32" s="17" t="inlineStr">
        <is>
          <t>A国内</t>
        </is>
      </c>
      <c r="E32" s="17" t="inlineStr">
        <is>
          <t>MEDU7050813-202601</t>
        </is>
      </c>
      <c r="F32" s="17" t="inlineStr">
        <is>
          <t>广东中合电缆实业</t>
        </is>
      </c>
      <c r="G32" s="17" t="inlineStr">
        <is>
          <t>JH0026</t>
        </is>
      </c>
      <c r="H32" s="24">
        <f>IF($G32="","",IFERROR(VLOOKUP($G32,物料档案!$A$4:$P$1203,3,0),"※编码不在物料档案里"))</f>
        <v/>
      </c>
      <c r="I32" s="24">
        <f>IF($G32="","",IFERROR(VLOOKUP($G32,物料档案!$A$4:$P$1203,4,0),"※编码不在物料档案里"))</f>
        <v/>
      </c>
      <c r="J32" s="24">
        <f>IF($G32="","",IFERROR(VLOOKUP($G32,物料档案!$A$4:$P$1203,5,0),"※编码不在物料档案里"))</f>
        <v/>
      </c>
      <c r="K32" s="23" t="n">
        <v>300</v>
      </c>
      <c r="L32" s="31" t="n">
        <v>74.34</v>
      </c>
      <c r="M32" s="24">
        <f>IF($G32="","",IF($D32="A国内","CNY","TZS"))</f>
        <v/>
      </c>
      <c r="N32" s="28">
        <f>IF($G32="","",IF($D32="A国内",汇率,1))</f>
        <v/>
      </c>
      <c r="O32" s="25">
        <f>IF($G32="","",ROUND(N($K32)*N($L32),2))</f>
        <v/>
      </c>
      <c r="P32" s="26">
        <f>IF($G32="","",ROUND($O32*$N32,0))</f>
        <v/>
      </c>
      <c r="Q32" s="26">
        <f>IF($G32="","",SUMIFS($P$4:$P$2503,$E$4:$E$2503,$E32,$Z$4:$Z$2503,"正常"))</f>
        <v/>
      </c>
      <c r="R32" s="26">
        <f>IF($G32="","",SUMIFS(费用台账!$I$4:$I$503,费用台账!$C$4:$C$503,$E32,费用台账!$J$4:$J$503,"是",费用台账!$K$4:$K$503,"正常"))</f>
        <v/>
      </c>
      <c r="S32" s="28">
        <f>IF($G32="","",COUNTIFS($E$4:$E$2503,$E32,$Z$4:$Z$2503,"正常",$Y$4:$Y$2503,"待补价"))</f>
        <v/>
      </c>
      <c r="T32" s="26">
        <f>IF($G32="","",SUMIFS($P$4:$P$2503,$E$4:$E$2503,$E32,$Z$4:$Z$2503,"正常",$A$4:$A$2503,"&lt;="&amp;$A32))</f>
        <v/>
      </c>
      <c r="U32" s="26">
        <f>IF($G32="","",IF(OR($S32&gt;0,$Q32=0,$R32=0,$Z32&lt;&gt;"正常"),0,ROUND($T32/$Q32*$R32,0)-ROUND(($T32-$P32)/$Q32*$R32,0)))</f>
        <v/>
      </c>
      <c r="V32" s="26">
        <f>IF($G32="","",ROUND($P32+$U32,0))</f>
        <v/>
      </c>
      <c r="W32" s="26">
        <f>IF($G32="","",IF(N($K32)=0,0,ROUND($V32/$K32,2)))</f>
        <v/>
      </c>
      <c r="X32" s="17" t="inlineStr">
        <is>
          <t>采购入库</t>
        </is>
      </c>
      <c r="Y32" s="17" t="inlineStr">
        <is>
          <t>正常</t>
        </is>
      </c>
      <c r="Z32" s="17" t="inlineStr">
        <is>
          <t>正常</t>
        </is>
      </c>
      <c r="AA32" s="17" t="n"/>
      <c r="AB32" s="17" t="inlineStr">
        <is>
          <t>原表第 37 行</t>
        </is>
      </c>
      <c r="AC32" s="24">
        <f>IF($G32="","",IF($H32="※编码不在物料档案里","※物料编码不在档案里",IF(N($K32)&lt;=0,"※入库数量要大于 0",IF(AND($C32&lt;&gt;"",$C32&lt;=结账锁),"※日期早于已结账截止日，不能再录",IF(AND($L32=0,$X32="正常"),"※没填单价，价格状态请选「待补价」",IF(AND($S32&gt;0,$R32&gt;0),"△本批有 "&amp;$S32&amp;" 行没单价，整批运费先挂账没摊",IF(AND($B32&lt;&gt;"",COUNTIF($B$4:$B$2503,$B32)&gt;1),"※入库单号重复","")))))))</f>
        <v/>
      </c>
    </row>
    <row r="33">
      <c r="A33" s="24">
        <f>IF($G33="","",COUNTA($G$4:$G33))</f>
        <v/>
      </c>
      <c r="B33" s="17" t="n"/>
      <c r="C33" s="30" t="n">
        <v>46048</v>
      </c>
      <c r="D33" s="17" t="inlineStr">
        <is>
          <t>A国内</t>
        </is>
      </c>
      <c r="E33" s="17" t="inlineStr">
        <is>
          <t>MEDU7050813-202601</t>
        </is>
      </c>
      <c r="F33" s="17" t="inlineStr">
        <is>
          <t>广东中合电缆实业</t>
        </is>
      </c>
      <c r="G33" s="17" t="inlineStr">
        <is>
          <t>JH0027</t>
        </is>
      </c>
      <c r="H33" s="24">
        <f>IF($G33="","",IFERROR(VLOOKUP($G33,物料档案!$A$4:$P$1203,3,0),"※编码不在物料档案里"))</f>
        <v/>
      </c>
      <c r="I33" s="24">
        <f>IF($G33="","",IFERROR(VLOOKUP($G33,物料档案!$A$4:$P$1203,4,0),"※编码不在物料档案里"))</f>
        <v/>
      </c>
      <c r="J33" s="24">
        <f>IF($G33="","",IFERROR(VLOOKUP($G33,物料档案!$A$4:$P$1203,5,0),"※编码不在物料档案里"))</f>
        <v/>
      </c>
      <c r="K33" s="23" t="n">
        <v>300</v>
      </c>
      <c r="L33" s="31" t="n">
        <v>48.18</v>
      </c>
      <c r="M33" s="24">
        <f>IF($G33="","",IF($D33="A国内","CNY","TZS"))</f>
        <v/>
      </c>
      <c r="N33" s="28">
        <f>IF($G33="","",IF($D33="A国内",汇率,1))</f>
        <v/>
      </c>
      <c r="O33" s="25">
        <f>IF($G33="","",ROUND(N($K33)*N($L33),2))</f>
        <v/>
      </c>
      <c r="P33" s="26">
        <f>IF($G33="","",ROUND($O33*$N33,0))</f>
        <v/>
      </c>
      <c r="Q33" s="26">
        <f>IF($G33="","",SUMIFS($P$4:$P$2503,$E$4:$E$2503,$E33,$Z$4:$Z$2503,"正常"))</f>
        <v/>
      </c>
      <c r="R33" s="26">
        <f>IF($G33="","",SUMIFS(费用台账!$I$4:$I$503,费用台账!$C$4:$C$503,$E33,费用台账!$J$4:$J$503,"是",费用台账!$K$4:$K$503,"正常"))</f>
        <v/>
      </c>
      <c r="S33" s="28">
        <f>IF($G33="","",COUNTIFS($E$4:$E$2503,$E33,$Z$4:$Z$2503,"正常",$Y$4:$Y$2503,"待补价"))</f>
        <v/>
      </c>
      <c r="T33" s="26">
        <f>IF($G33="","",SUMIFS($P$4:$P$2503,$E$4:$E$2503,$E33,$Z$4:$Z$2503,"正常",$A$4:$A$2503,"&lt;="&amp;$A33))</f>
        <v/>
      </c>
      <c r="U33" s="26">
        <f>IF($G33="","",IF(OR($S33&gt;0,$Q33=0,$R33=0,$Z33&lt;&gt;"正常"),0,ROUND($T33/$Q33*$R33,0)-ROUND(($T33-$P33)/$Q33*$R33,0)))</f>
        <v/>
      </c>
      <c r="V33" s="26">
        <f>IF($G33="","",ROUND($P33+$U33,0))</f>
        <v/>
      </c>
      <c r="W33" s="26">
        <f>IF($G33="","",IF(N($K33)=0,0,ROUND($V33/$K33,2)))</f>
        <v/>
      </c>
      <c r="X33" s="17" t="inlineStr">
        <is>
          <t>采购入库</t>
        </is>
      </c>
      <c r="Y33" s="17" t="inlineStr">
        <is>
          <t>正常</t>
        </is>
      </c>
      <c r="Z33" s="17" t="inlineStr">
        <is>
          <t>正常</t>
        </is>
      </c>
      <c r="AA33" s="17" t="n"/>
      <c r="AB33" s="17" t="inlineStr">
        <is>
          <t>原表第 38 行</t>
        </is>
      </c>
      <c r="AC33" s="24">
        <f>IF($G33="","",IF($H33="※编码不在物料档案里","※物料编码不在档案里",IF(N($K33)&lt;=0,"※入库数量要大于 0",IF(AND($C33&lt;&gt;"",$C33&lt;=结账锁),"※日期早于已结账截止日，不能再录",IF(AND($L33=0,$X33="正常"),"※没填单价，价格状态请选「待补价」",IF(AND($S33&gt;0,$R33&gt;0),"△本批有 "&amp;$S33&amp;" 行没单价，整批运费先挂账没摊",IF(AND($B33&lt;&gt;"",COUNTIF($B$4:$B$2503,$B33)&gt;1),"※入库单号重复","")))))))</f>
        <v/>
      </c>
    </row>
    <row r="34">
      <c r="A34" s="24">
        <f>IF($G34="","",COUNTA($G$4:$G34))</f>
        <v/>
      </c>
      <c r="B34" s="17" t="n"/>
      <c r="C34" s="30" t="n">
        <v>46048</v>
      </c>
      <c r="D34" s="17" t="inlineStr">
        <is>
          <t>A国内</t>
        </is>
      </c>
      <c r="E34" s="17" t="inlineStr">
        <is>
          <t>MEDU7050813-202601</t>
        </is>
      </c>
      <c r="F34" s="17" t="inlineStr">
        <is>
          <t>广东中合电缆实业</t>
        </is>
      </c>
      <c r="G34" s="17" t="inlineStr">
        <is>
          <t>JH0028</t>
        </is>
      </c>
      <c r="H34" s="24">
        <f>IF($G34="","",IFERROR(VLOOKUP($G34,物料档案!$A$4:$P$1203,3,0),"※编码不在物料档案里"))</f>
        <v/>
      </c>
      <c r="I34" s="24">
        <f>IF($G34="","",IFERROR(VLOOKUP($G34,物料档案!$A$4:$P$1203,4,0),"※编码不在物料档案里"))</f>
        <v/>
      </c>
      <c r="J34" s="24">
        <f>IF($G34="","",IFERROR(VLOOKUP($G34,物料档案!$A$4:$P$1203,5,0),"※编码不在物料档案里"))</f>
        <v/>
      </c>
      <c r="K34" s="23" t="n">
        <v>1</v>
      </c>
      <c r="L34" s="31" t="n">
        <v>2036.12</v>
      </c>
      <c r="M34" s="24">
        <f>IF($G34="","",IF($D34="A国内","CNY","TZS"))</f>
        <v/>
      </c>
      <c r="N34" s="28">
        <f>IF($G34="","",IF($D34="A国内",汇率,1))</f>
        <v/>
      </c>
      <c r="O34" s="25">
        <f>IF($G34="","",ROUND(N($K34)*N($L34),2))</f>
        <v/>
      </c>
      <c r="P34" s="26">
        <f>IF($G34="","",ROUND($O34*$N34,0))</f>
        <v/>
      </c>
      <c r="Q34" s="26">
        <f>IF($G34="","",SUMIFS($P$4:$P$2503,$E$4:$E$2503,$E34,$Z$4:$Z$2503,"正常"))</f>
        <v/>
      </c>
      <c r="R34" s="26">
        <f>IF($G34="","",SUMIFS(费用台账!$I$4:$I$503,费用台账!$C$4:$C$503,$E34,费用台账!$J$4:$J$503,"是",费用台账!$K$4:$K$503,"正常"))</f>
        <v/>
      </c>
      <c r="S34" s="28">
        <f>IF($G34="","",COUNTIFS($E$4:$E$2503,$E34,$Z$4:$Z$2503,"正常",$Y$4:$Y$2503,"待补价"))</f>
        <v/>
      </c>
      <c r="T34" s="26">
        <f>IF($G34="","",SUMIFS($P$4:$P$2503,$E$4:$E$2503,$E34,$Z$4:$Z$2503,"正常",$A$4:$A$2503,"&lt;="&amp;$A34))</f>
        <v/>
      </c>
      <c r="U34" s="26">
        <f>IF($G34="","",IF(OR($S34&gt;0,$Q34=0,$R34=0,$Z34&lt;&gt;"正常"),0,ROUND($T34/$Q34*$R34,0)-ROUND(($T34-$P34)/$Q34*$R34,0)))</f>
        <v/>
      </c>
      <c r="V34" s="26">
        <f>IF($G34="","",ROUND($P34+$U34,0))</f>
        <v/>
      </c>
      <c r="W34" s="26">
        <f>IF($G34="","",IF(N($K34)=0,0,ROUND($V34/$K34,2)))</f>
        <v/>
      </c>
      <c r="X34" s="17" t="inlineStr">
        <is>
          <t>采购入库</t>
        </is>
      </c>
      <c r="Y34" s="17" t="inlineStr">
        <is>
          <t>正常</t>
        </is>
      </c>
      <c r="Z34" s="17" t="inlineStr">
        <is>
          <t>正常</t>
        </is>
      </c>
      <c r="AA34" s="17" t="n"/>
      <c r="AB34" s="17" t="inlineStr">
        <is>
          <t>原表第 39 行　单位含包装规格，单价是每「100米」的价</t>
        </is>
      </c>
      <c r="AC34" s="24">
        <f>IF($G34="","",IF($H34="※编码不在物料档案里","※物料编码不在档案里",IF(N($K34)&lt;=0,"※入库数量要大于 0",IF(AND($C34&lt;&gt;"",$C34&lt;=结账锁),"※日期早于已结账截止日，不能再录",IF(AND($L34=0,$X34="正常"),"※没填单价，价格状态请选「待补价」",IF(AND($S34&gt;0,$R34&gt;0),"△本批有 "&amp;$S34&amp;" 行没单价，整批运费先挂账没摊",IF(AND($B34&lt;&gt;"",COUNTIF($B$4:$B$2503,$B34)&gt;1),"※入库单号重复","")))))))</f>
        <v/>
      </c>
    </row>
    <row r="35">
      <c r="A35" s="24">
        <f>IF($G35="","",COUNTA($G$4:$G35))</f>
        <v/>
      </c>
      <c r="B35" s="17" t="n"/>
      <c r="C35" s="30" t="n">
        <v>46048</v>
      </c>
      <c r="D35" s="17" t="inlineStr">
        <is>
          <t>A国内</t>
        </is>
      </c>
      <c r="E35" s="17" t="inlineStr">
        <is>
          <t>MEDU7050813-202601</t>
        </is>
      </c>
      <c r="F35" s="17" t="inlineStr">
        <is>
          <t>广东中合电缆实业</t>
        </is>
      </c>
      <c r="G35" s="17" t="inlineStr">
        <is>
          <t>JH0029</t>
        </is>
      </c>
      <c r="H35" s="24">
        <f>IF($G35="","",IFERROR(VLOOKUP($G35,物料档案!$A$4:$P$1203,3,0),"※编码不在物料档案里"))</f>
        <v/>
      </c>
      <c r="I35" s="24">
        <f>IF($G35="","",IFERROR(VLOOKUP($G35,物料档案!$A$4:$P$1203,4,0),"※编码不在物料档案里"))</f>
        <v/>
      </c>
      <c r="J35" s="24">
        <f>IF($G35="","",IFERROR(VLOOKUP($G35,物料档案!$A$4:$P$1203,5,0),"※编码不在物料档案里"))</f>
        <v/>
      </c>
      <c r="K35" s="23" t="n">
        <v>3</v>
      </c>
      <c r="L35" s="31" t="n">
        <v>1066.02</v>
      </c>
      <c r="M35" s="24">
        <f>IF($G35="","",IF($D35="A国内","CNY","TZS"))</f>
        <v/>
      </c>
      <c r="N35" s="28">
        <f>IF($G35="","",IF($D35="A国内",汇率,1))</f>
        <v/>
      </c>
      <c r="O35" s="25">
        <f>IF($G35="","",ROUND(N($K35)*N($L35),2))</f>
        <v/>
      </c>
      <c r="P35" s="26">
        <f>IF($G35="","",ROUND($O35*$N35,0))</f>
        <v/>
      </c>
      <c r="Q35" s="26">
        <f>IF($G35="","",SUMIFS($P$4:$P$2503,$E$4:$E$2503,$E35,$Z$4:$Z$2503,"正常"))</f>
        <v/>
      </c>
      <c r="R35" s="26">
        <f>IF($G35="","",SUMIFS(费用台账!$I$4:$I$503,费用台账!$C$4:$C$503,$E35,费用台账!$J$4:$J$503,"是",费用台账!$K$4:$K$503,"正常"))</f>
        <v/>
      </c>
      <c r="S35" s="28">
        <f>IF($G35="","",COUNTIFS($E$4:$E$2503,$E35,$Z$4:$Z$2503,"正常",$Y$4:$Y$2503,"待补价"))</f>
        <v/>
      </c>
      <c r="T35" s="26">
        <f>IF($G35="","",SUMIFS($P$4:$P$2503,$E$4:$E$2503,$E35,$Z$4:$Z$2503,"正常",$A$4:$A$2503,"&lt;="&amp;$A35))</f>
        <v/>
      </c>
      <c r="U35" s="26">
        <f>IF($G35="","",IF(OR($S35&gt;0,$Q35=0,$R35=0,$Z35&lt;&gt;"正常"),0,ROUND($T35/$Q35*$R35,0)-ROUND(($T35-$P35)/$Q35*$R35,0)))</f>
        <v/>
      </c>
      <c r="V35" s="26">
        <f>IF($G35="","",ROUND($P35+$U35,0))</f>
        <v/>
      </c>
      <c r="W35" s="26">
        <f>IF($G35="","",IF(N($K35)=0,0,ROUND($V35/$K35,2)))</f>
        <v/>
      </c>
      <c r="X35" s="17" t="inlineStr">
        <is>
          <t>采购入库</t>
        </is>
      </c>
      <c r="Y35" s="17" t="inlineStr">
        <is>
          <t>正常</t>
        </is>
      </c>
      <c r="Z35" s="17" t="inlineStr">
        <is>
          <t>正常</t>
        </is>
      </c>
      <c r="AA35" s="17" t="n"/>
      <c r="AB35" s="17" t="inlineStr">
        <is>
          <t>原表第 40 行　单位含包装规格，单价是每「100米」的价</t>
        </is>
      </c>
      <c r="AC35" s="24">
        <f>IF($G35="","",IF($H35="※编码不在物料档案里","※物料编码不在档案里",IF(N($K35)&lt;=0,"※入库数量要大于 0",IF(AND($C35&lt;&gt;"",$C35&lt;=结账锁),"※日期早于已结账截止日，不能再录",IF(AND($L35=0,$X35="正常"),"※没填单价，价格状态请选「待补价」",IF(AND($S35&gt;0,$R35&gt;0),"△本批有 "&amp;$S35&amp;" 行没单价，整批运费先挂账没摊",IF(AND($B35&lt;&gt;"",COUNTIF($B$4:$B$2503,$B35)&gt;1),"※入库单号重复","")))))))</f>
        <v/>
      </c>
    </row>
    <row r="36">
      <c r="A36" s="24">
        <f>IF($G36="","",COUNTA($G$4:$G36))</f>
        <v/>
      </c>
      <c r="B36" s="17" t="n"/>
      <c r="C36" s="30" t="n">
        <v>46048</v>
      </c>
      <c r="D36" s="17" t="inlineStr">
        <is>
          <t>A国内</t>
        </is>
      </c>
      <c r="E36" s="17" t="inlineStr">
        <is>
          <t>MEDU7050813-202601</t>
        </is>
      </c>
      <c r="F36" s="17" t="inlineStr">
        <is>
          <t>广东中合电缆实业</t>
        </is>
      </c>
      <c r="G36" s="17" t="inlineStr">
        <is>
          <t>JH0030</t>
        </is>
      </c>
      <c r="H36" s="24">
        <f>IF($G36="","",IFERROR(VLOOKUP($G36,物料档案!$A$4:$P$1203,3,0),"※编码不在物料档案里"))</f>
        <v/>
      </c>
      <c r="I36" s="24">
        <f>IF($G36="","",IFERROR(VLOOKUP($G36,物料档案!$A$4:$P$1203,4,0),"※编码不在物料档案里"))</f>
        <v/>
      </c>
      <c r="J36" s="24">
        <f>IF($G36="","",IFERROR(VLOOKUP($G36,物料档案!$A$4:$P$1203,5,0),"※编码不在物料档案里"))</f>
        <v/>
      </c>
      <c r="K36" s="23" t="n">
        <v>3</v>
      </c>
      <c r="L36" s="31" t="n">
        <v>665.99</v>
      </c>
      <c r="M36" s="24">
        <f>IF($G36="","",IF($D36="A国内","CNY","TZS"))</f>
        <v/>
      </c>
      <c r="N36" s="28">
        <f>IF($G36="","",IF($D36="A国内",汇率,1))</f>
        <v/>
      </c>
      <c r="O36" s="25">
        <f>IF($G36="","",ROUND(N($K36)*N($L36),2))</f>
        <v/>
      </c>
      <c r="P36" s="26">
        <f>IF($G36="","",ROUND($O36*$N36,0))</f>
        <v/>
      </c>
      <c r="Q36" s="26">
        <f>IF($G36="","",SUMIFS($P$4:$P$2503,$E$4:$E$2503,$E36,$Z$4:$Z$2503,"正常"))</f>
        <v/>
      </c>
      <c r="R36" s="26">
        <f>IF($G36="","",SUMIFS(费用台账!$I$4:$I$503,费用台账!$C$4:$C$503,$E36,费用台账!$J$4:$J$503,"是",费用台账!$K$4:$K$503,"正常"))</f>
        <v/>
      </c>
      <c r="S36" s="28">
        <f>IF($G36="","",COUNTIFS($E$4:$E$2503,$E36,$Z$4:$Z$2503,"正常",$Y$4:$Y$2503,"待补价"))</f>
        <v/>
      </c>
      <c r="T36" s="26">
        <f>IF($G36="","",SUMIFS($P$4:$P$2503,$E$4:$E$2503,$E36,$Z$4:$Z$2503,"正常",$A$4:$A$2503,"&lt;="&amp;$A36))</f>
        <v/>
      </c>
      <c r="U36" s="26">
        <f>IF($G36="","",IF(OR($S36&gt;0,$Q36=0,$R36=0,$Z36&lt;&gt;"正常"),0,ROUND($T36/$Q36*$R36,0)-ROUND(($T36-$P36)/$Q36*$R36,0)))</f>
        <v/>
      </c>
      <c r="V36" s="26">
        <f>IF($G36="","",ROUND($P36+$U36,0))</f>
        <v/>
      </c>
      <c r="W36" s="26">
        <f>IF($G36="","",IF(N($K36)=0,0,ROUND($V36/$K36,2)))</f>
        <v/>
      </c>
      <c r="X36" s="17" t="inlineStr">
        <is>
          <t>采购入库</t>
        </is>
      </c>
      <c r="Y36" s="17" t="inlineStr">
        <is>
          <t>正常</t>
        </is>
      </c>
      <c r="Z36" s="17" t="inlineStr">
        <is>
          <t>正常</t>
        </is>
      </c>
      <c r="AA36" s="17" t="n"/>
      <c r="AB36" s="17" t="inlineStr">
        <is>
          <t>原表第 41 行　单位含包装规格，单价是每「100米」的价</t>
        </is>
      </c>
      <c r="AC36" s="24">
        <f>IF($G36="","",IF($H36="※编码不在物料档案里","※物料编码不在档案里",IF(N($K36)&lt;=0,"※入库数量要大于 0",IF(AND($C36&lt;&gt;"",$C36&lt;=结账锁),"※日期早于已结账截止日，不能再录",IF(AND($L36=0,$X36="正常"),"※没填单价，价格状态请选「待补价」",IF(AND($S36&gt;0,$R36&gt;0),"△本批有 "&amp;$S36&amp;" 行没单价，整批运费先挂账没摊",IF(AND($B36&lt;&gt;"",COUNTIF($B$4:$B$2503,$B36)&gt;1),"※入库单号重复","")))))))</f>
        <v/>
      </c>
    </row>
    <row r="37">
      <c r="A37" s="24">
        <f>IF($G37="","",COUNTA($G$4:$G37))</f>
        <v/>
      </c>
      <c r="B37" s="17" t="n"/>
      <c r="C37" s="30" t="n">
        <v>46048</v>
      </c>
      <c r="D37" s="17" t="inlineStr">
        <is>
          <t>A国内</t>
        </is>
      </c>
      <c r="E37" s="17" t="inlineStr">
        <is>
          <t>MEDU7050813-202601</t>
        </is>
      </c>
      <c r="F37" s="17" t="inlineStr">
        <is>
          <t>广东中合电缆实业</t>
        </is>
      </c>
      <c r="G37" s="17" t="inlineStr">
        <is>
          <t>JH0031</t>
        </is>
      </c>
      <c r="H37" s="24">
        <f>IF($G37="","",IFERROR(VLOOKUP($G37,物料档案!$A$4:$P$1203,3,0),"※编码不在物料档案里"))</f>
        <v/>
      </c>
      <c r="I37" s="24">
        <f>IF($G37="","",IFERROR(VLOOKUP($G37,物料档案!$A$4:$P$1203,4,0),"※编码不在物料档案里"))</f>
        <v/>
      </c>
      <c r="J37" s="24">
        <f>IF($G37="","",IFERROR(VLOOKUP($G37,物料档案!$A$4:$P$1203,5,0),"※编码不在物料档案里"))</f>
        <v/>
      </c>
      <c r="K37" s="23" t="n">
        <v>7</v>
      </c>
      <c r="L37" s="31" t="n">
        <v>470.88</v>
      </c>
      <c r="M37" s="24">
        <f>IF($G37="","",IF($D37="A国内","CNY","TZS"))</f>
        <v/>
      </c>
      <c r="N37" s="28">
        <f>IF($G37="","",IF($D37="A国内",汇率,1))</f>
        <v/>
      </c>
      <c r="O37" s="25">
        <f>IF($G37="","",ROUND(N($K37)*N($L37),2))</f>
        <v/>
      </c>
      <c r="P37" s="26">
        <f>IF($G37="","",ROUND($O37*$N37,0))</f>
        <v/>
      </c>
      <c r="Q37" s="26">
        <f>IF($G37="","",SUMIFS($P$4:$P$2503,$E$4:$E$2503,$E37,$Z$4:$Z$2503,"正常"))</f>
        <v/>
      </c>
      <c r="R37" s="26">
        <f>IF($G37="","",SUMIFS(费用台账!$I$4:$I$503,费用台账!$C$4:$C$503,$E37,费用台账!$J$4:$J$503,"是",费用台账!$K$4:$K$503,"正常"))</f>
        <v/>
      </c>
      <c r="S37" s="28">
        <f>IF($G37="","",COUNTIFS($E$4:$E$2503,$E37,$Z$4:$Z$2503,"正常",$Y$4:$Y$2503,"待补价"))</f>
        <v/>
      </c>
      <c r="T37" s="26">
        <f>IF($G37="","",SUMIFS($P$4:$P$2503,$E$4:$E$2503,$E37,$Z$4:$Z$2503,"正常",$A$4:$A$2503,"&lt;="&amp;$A37))</f>
        <v/>
      </c>
      <c r="U37" s="26">
        <f>IF($G37="","",IF(OR($S37&gt;0,$Q37=0,$R37=0,$Z37&lt;&gt;"正常"),0,ROUND($T37/$Q37*$R37,0)-ROUND(($T37-$P37)/$Q37*$R37,0)))</f>
        <v/>
      </c>
      <c r="V37" s="26">
        <f>IF($G37="","",ROUND($P37+$U37,0))</f>
        <v/>
      </c>
      <c r="W37" s="26">
        <f>IF($G37="","",IF(N($K37)=0,0,ROUND($V37/$K37,2)))</f>
        <v/>
      </c>
      <c r="X37" s="17" t="inlineStr">
        <is>
          <t>采购入库</t>
        </is>
      </c>
      <c r="Y37" s="17" t="inlineStr">
        <is>
          <t>正常</t>
        </is>
      </c>
      <c r="Z37" s="17" t="inlineStr">
        <is>
          <t>正常</t>
        </is>
      </c>
      <c r="AA37" s="17" t="n"/>
      <c r="AB37" s="17" t="inlineStr">
        <is>
          <t>原表第 42 行　单位含包装规格，单价是每「100米」的价</t>
        </is>
      </c>
      <c r="AC37" s="24">
        <f>IF($G37="","",IF($H37="※编码不在物料档案里","※物料编码不在档案里",IF(N($K37)&lt;=0,"※入库数量要大于 0",IF(AND($C37&lt;&gt;"",$C37&lt;=结账锁),"※日期早于已结账截止日，不能再录",IF(AND($L37=0,$X37="正常"),"※没填单价，价格状态请选「待补价」",IF(AND($S37&gt;0,$R37&gt;0),"△本批有 "&amp;$S37&amp;" 行没单价，整批运费先挂账没摊",IF(AND($B37&lt;&gt;"",COUNTIF($B$4:$B$2503,$B37)&gt;1),"※入库单号重复","")))))))</f>
        <v/>
      </c>
    </row>
    <row r="38">
      <c r="A38" s="24">
        <f>IF($G38="","",COUNTA($G$4:$G38))</f>
        <v/>
      </c>
      <c r="B38" s="17" t="n"/>
      <c r="C38" s="30" t="n">
        <v>46048</v>
      </c>
      <c r="D38" s="17" t="inlineStr">
        <is>
          <t>A国内</t>
        </is>
      </c>
      <c r="E38" s="17" t="inlineStr">
        <is>
          <t>MEDU7050813-202601</t>
        </is>
      </c>
      <c r="F38" s="17" t="inlineStr">
        <is>
          <t>广东中合电缆实业</t>
        </is>
      </c>
      <c r="G38" s="17" t="inlineStr">
        <is>
          <t>JH0032</t>
        </is>
      </c>
      <c r="H38" s="24">
        <f>IF($G38="","",IFERROR(VLOOKUP($G38,物料档案!$A$4:$P$1203,3,0),"※编码不在物料档案里"))</f>
        <v/>
      </c>
      <c r="I38" s="24">
        <f>IF($G38="","",IFERROR(VLOOKUP($G38,物料档案!$A$4:$P$1203,4,0),"※编码不在物料档案里"))</f>
        <v/>
      </c>
      <c r="J38" s="24">
        <f>IF($G38="","",IFERROR(VLOOKUP($G38,物料档案!$A$4:$P$1203,5,0),"※编码不在物料档案里"))</f>
        <v/>
      </c>
      <c r="K38" s="23" t="n">
        <v>2</v>
      </c>
      <c r="L38" s="31" t="n">
        <v>4670.32</v>
      </c>
      <c r="M38" s="24">
        <f>IF($G38="","",IF($D38="A国内","CNY","TZS"))</f>
        <v/>
      </c>
      <c r="N38" s="28">
        <f>IF($G38="","",IF($D38="A国内",汇率,1))</f>
        <v/>
      </c>
      <c r="O38" s="25">
        <f>IF($G38="","",ROUND(N($K38)*N($L38),2))</f>
        <v/>
      </c>
      <c r="P38" s="26">
        <f>IF($G38="","",ROUND($O38*$N38,0))</f>
        <v/>
      </c>
      <c r="Q38" s="26">
        <f>IF($G38="","",SUMIFS($P$4:$P$2503,$E$4:$E$2503,$E38,$Z$4:$Z$2503,"正常"))</f>
        <v/>
      </c>
      <c r="R38" s="26">
        <f>IF($G38="","",SUMIFS(费用台账!$I$4:$I$503,费用台账!$C$4:$C$503,$E38,费用台账!$J$4:$J$503,"是",费用台账!$K$4:$K$503,"正常"))</f>
        <v/>
      </c>
      <c r="S38" s="28">
        <f>IF($G38="","",COUNTIFS($E$4:$E$2503,$E38,$Z$4:$Z$2503,"正常",$Y$4:$Y$2503,"待补价"))</f>
        <v/>
      </c>
      <c r="T38" s="26">
        <f>IF($G38="","",SUMIFS($P$4:$P$2503,$E$4:$E$2503,$E38,$Z$4:$Z$2503,"正常",$A$4:$A$2503,"&lt;="&amp;$A38))</f>
        <v/>
      </c>
      <c r="U38" s="26">
        <f>IF($G38="","",IF(OR($S38&gt;0,$Q38=0,$R38=0,$Z38&lt;&gt;"正常"),0,ROUND($T38/$Q38*$R38,0)-ROUND(($T38-$P38)/$Q38*$R38,0)))</f>
        <v/>
      </c>
      <c r="V38" s="26">
        <f>IF($G38="","",ROUND($P38+$U38,0))</f>
        <v/>
      </c>
      <c r="W38" s="26">
        <f>IF($G38="","",IF(N($K38)=0,0,ROUND($V38/$K38,2)))</f>
        <v/>
      </c>
      <c r="X38" s="17" t="inlineStr">
        <is>
          <t>采购入库</t>
        </is>
      </c>
      <c r="Y38" s="17" t="inlineStr">
        <is>
          <t>正常</t>
        </is>
      </c>
      <c r="Z38" s="17" t="inlineStr">
        <is>
          <t>正常</t>
        </is>
      </c>
      <c r="AA38" s="17" t="n"/>
      <c r="AB38" s="17" t="inlineStr">
        <is>
          <t>原表第 43 行　单位含包装规格，单价是每「100米」的价</t>
        </is>
      </c>
      <c r="AC38" s="24">
        <f>IF($G38="","",IF($H38="※编码不在物料档案里","※物料编码不在档案里",IF(N($K38)&lt;=0,"※入库数量要大于 0",IF(AND($C38&lt;&gt;"",$C38&lt;=结账锁),"※日期早于已结账截止日，不能再录",IF(AND($L38=0,$X38="正常"),"※没填单价，价格状态请选「待补价」",IF(AND($S38&gt;0,$R38&gt;0),"△本批有 "&amp;$S38&amp;" 行没单价，整批运费先挂账没摊",IF(AND($B38&lt;&gt;"",COUNTIF($B$4:$B$2503,$B38)&gt;1),"※入库单号重复","")))))))</f>
        <v/>
      </c>
    </row>
    <row r="39">
      <c r="A39" s="24">
        <f>IF($G39="","",COUNTA($G$4:$G39))</f>
        <v/>
      </c>
      <c r="B39" s="17" t="n"/>
      <c r="C39" s="30" t="n">
        <v>46048</v>
      </c>
      <c r="D39" s="17" t="inlineStr">
        <is>
          <t>A国内</t>
        </is>
      </c>
      <c r="E39" s="17" t="inlineStr">
        <is>
          <t>MEDU7050813-202601</t>
        </is>
      </c>
      <c r="F39" s="17" t="inlineStr">
        <is>
          <t>三明市建设矿山</t>
        </is>
      </c>
      <c r="G39" s="17" t="inlineStr">
        <is>
          <t>JH0033</t>
        </is>
      </c>
      <c r="H39" s="24">
        <f>IF($G39="","",IFERROR(VLOOKUP($G39,物料档案!$A$4:$P$1203,3,0),"※编码不在物料档案里"))</f>
        <v/>
      </c>
      <c r="I39" s="24">
        <f>IF($G39="","",IFERROR(VLOOKUP($G39,物料档案!$A$4:$P$1203,4,0),"※编码不在物料档案里"))</f>
        <v/>
      </c>
      <c r="J39" s="24">
        <f>IF($G39="","",IFERROR(VLOOKUP($G39,物料档案!$A$4:$P$1203,5,0),"※编码不在物料档案里"))</f>
        <v/>
      </c>
      <c r="K39" s="23" t="n">
        <v>10</v>
      </c>
      <c r="L39" s="31" t="n">
        <v>2800</v>
      </c>
      <c r="M39" s="24">
        <f>IF($G39="","",IF($D39="A国内","CNY","TZS"))</f>
        <v/>
      </c>
      <c r="N39" s="28">
        <f>IF($G39="","",IF($D39="A国内",汇率,1))</f>
        <v/>
      </c>
      <c r="O39" s="25">
        <f>IF($G39="","",ROUND(N($K39)*N($L39),2))</f>
        <v/>
      </c>
      <c r="P39" s="26">
        <f>IF($G39="","",ROUND($O39*$N39,0))</f>
        <v/>
      </c>
      <c r="Q39" s="26">
        <f>IF($G39="","",SUMIFS($P$4:$P$2503,$E$4:$E$2503,$E39,$Z$4:$Z$2503,"正常"))</f>
        <v/>
      </c>
      <c r="R39" s="26">
        <f>IF($G39="","",SUMIFS(费用台账!$I$4:$I$503,费用台账!$C$4:$C$503,$E39,费用台账!$J$4:$J$503,"是",费用台账!$K$4:$K$503,"正常"))</f>
        <v/>
      </c>
      <c r="S39" s="28">
        <f>IF($G39="","",COUNTIFS($E$4:$E$2503,$E39,$Z$4:$Z$2503,"正常",$Y$4:$Y$2503,"待补价"))</f>
        <v/>
      </c>
      <c r="T39" s="26">
        <f>IF($G39="","",SUMIFS($P$4:$P$2503,$E$4:$E$2503,$E39,$Z$4:$Z$2503,"正常",$A$4:$A$2503,"&lt;="&amp;$A39))</f>
        <v/>
      </c>
      <c r="U39" s="26">
        <f>IF($G39="","",IF(OR($S39&gt;0,$Q39=0,$R39=0,$Z39&lt;&gt;"正常"),0,ROUND($T39/$Q39*$R39,0)-ROUND(($T39-$P39)/$Q39*$R39,0)))</f>
        <v/>
      </c>
      <c r="V39" s="26">
        <f>IF($G39="","",ROUND($P39+$U39,0))</f>
        <v/>
      </c>
      <c r="W39" s="26">
        <f>IF($G39="","",IF(N($K39)=0,0,ROUND($V39/$K39,2)))</f>
        <v/>
      </c>
      <c r="X39" s="17" t="inlineStr">
        <is>
          <t>采购入库</t>
        </is>
      </c>
      <c r="Y39" s="17" t="inlineStr">
        <is>
          <t>正常</t>
        </is>
      </c>
      <c r="Z39" s="17" t="inlineStr">
        <is>
          <t>正常</t>
        </is>
      </c>
      <c r="AA39" s="17" t="n"/>
      <c r="AB39" s="17" t="inlineStr">
        <is>
          <t>原表第 44 行</t>
        </is>
      </c>
      <c r="AC39" s="24">
        <f>IF($G39="","",IF($H39="※编码不在物料档案里","※物料编码不在档案里",IF(N($K39)&lt;=0,"※入库数量要大于 0",IF(AND($C39&lt;&gt;"",$C39&lt;=结账锁),"※日期早于已结账截止日，不能再录",IF(AND($L39=0,$X39="正常"),"※没填单价，价格状态请选「待补价」",IF(AND($S39&gt;0,$R39&gt;0),"△本批有 "&amp;$S39&amp;" 行没单价，整批运费先挂账没摊",IF(AND($B39&lt;&gt;"",COUNTIF($B$4:$B$2503,$B39)&gt;1),"※入库单号重复","")))))))</f>
        <v/>
      </c>
    </row>
    <row r="40">
      <c r="A40" s="24">
        <f>IF($G40="","",COUNTA($G$4:$G40))</f>
        <v/>
      </c>
      <c r="B40" s="17" t="n"/>
      <c r="C40" s="30" t="n">
        <v>46048</v>
      </c>
      <c r="D40" s="17" t="inlineStr">
        <is>
          <t>A国内</t>
        </is>
      </c>
      <c r="E40" s="17" t="inlineStr">
        <is>
          <t>MEDU7050813-202601</t>
        </is>
      </c>
      <c r="F40" s="17" t="inlineStr">
        <is>
          <t>三明市建设矿山</t>
        </is>
      </c>
      <c r="G40" s="17" t="inlineStr">
        <is>
          <t>JH0034</t>
        </is>
      </c>
      <c r="H40" s="24">
        <f>IF($G40="","",IFERROR(VLOOKUP($G40,物料档案!$A$4:$P$1203,3,0),"※编码不在物料档案里"))</f>
        <v/>
      </c>
      <c r="I40" s="24">
        <f>IF($G40="","",IFERROR(VLOOKUP($G40,物料档案!$A$4:$P$1203,4,0),"※编码不在物料档案里"))</f>
        <v/>
      </c>
      <c r="J40" s="24">
        <f>IF($G40="","",IFERROR(VLOOKUP($G40,物料档案!$A$4:$P$1203,5,0),"※编码不在物料档案里"))</f>
        <v/>
      </c>
      <c r="K40" s="23" t="n">
        <v>2</v>
      </c>
      <c r="L40" s="31" t="n">
        <v>9800</v>
      </c>
      <c r="M40" s="24">
        <f>IF($G40="","",IF($D40="A国内","CNY","TZS"))</f>
        <v/>
      </c>
      <c r="N40" s="28">
        <f>IF($G40="","",IF($D40="A国内",汇率,1))</f>
        <v/>
      </c>
      <c r="O40" s="25">
        <f>IF($G40="","",ROUND(N($K40)*N($L40),2))</f>
        <v/>
      </c>
      <c r="P40" s="26">
        <f>IF($G40="","",ROUND($O40*$N40,0))</f>
        <v/>
      </c>
      <c r="Q40" s="26">
        <f>IF($G40="","",SUMIFS($P$4:$P$2503,$E$4:$E$2503,$E40,$Z$4:$Z$2503,"正常"))</f>
        <v/>
      </c>
      <c r="R40" s="26">
        <f>IF($G40="","",SUMIFS(费用台账!$I$4:$I$503,费用台账!$C$4:$C$503,$E40,费用台账!$J$4:$J$503,"是",费用台账!$K$4:$K$503,"正常"))</f>
        <v/>
      </c>
      <c r="S40" s="28">
        <f>IF($G40="","",COUNTIFS($E$4:$E$2503,$E40,$Z$4:$Z$2503,"正常",$Y$4:$Y$2503,"待补价"))</f>
        <v/>
      </c>
      <c r="T40" s="26">
        <f>IF($G40="","",SUMIFS($P$4:$P$2503,$E$4:$E$2503,$E40,$Z$4:$Z$2503,"正常",$A$4:$A$2503,"&lt;="&amp;$A40))</f>
        <v/>
      </c>
      <c r="U40" s="26">
        <f>IF($G40="","",IF(OR($S40&gt;0,$Q40=0,$R40=0,$Z40&lt;&gt;"正常"),0,ROUND($T40/$Q40*$R40,0)-ROUND(($T40-$P40)/$Q40*$R40,0)))</f>
        <v/>
      </c>
      <c r="V40" s="26">
        <f>IF($G40="","",ROUND($P40+$U40,0))</f>
        <v/>
      </c>
      <c r="W40" s="26">
        <f>IF($G40="","",IF(N($K40)=0,0,ROUND($V40/$K40,2)))</f>
        <v/>
      </c>
      <c r="X40" s="17" t="inlineStr">
        <is>
          <t>采购入库</t>
        </is>
      </c>
      <c r="Y40" s="17" t="inlineStr">
        <is>
          <t>正常</t>
        </is>
      </c>
      <c r="Z40" s="17" t="inlineStr">
        <is>
          <t>正常</t>
        </is>
      </c>
      <c r="AA40" s="17" t="n"/>
      <c r="AB40" s="17" t="inlineStr">
        <is>
          <t>原表第 45 行</t>
        </is>
      </c>
      <c r="AC40" s="24">
        <f>IF($G40="","",IF($H40="※编码不在物料档案里","※物料编码不在档案里",IF(N($K40)&lt;=0,"※入库数量要大于 0",IF(AND($C40&lt;&gt;"",$C40&lt;=结账锁),"※日期早于已结账截止日，不能再录",IF(AND($L40=0,$X40="正常"),"※没填单价，价格状态请选「待补价」",IF(AND($S40&gt;0,$R40&gt;0),"△本批有 "&amp;$S40&amp;" 行没单价，整批运费先挂账没摊",IF(AND($B40&lt;&gt;"",COUNTIF($B$4:$B$2503,$B40)&gt;1),"※入库单号重复","")))))))</f>
        <v/>
      </c>
    </row>
    <row r="41">
      <c r="A41" s="24">
        <f>IF($G41="","",COUNTA($G$4:$G41))</f>
        <v/>
      </c>
      <c r="B41" s="17" t="n"/>
      <c r="C41" s="30" t="n">
        <v>46048</v>
      </c>
      <c r="D41" s="17" t="inlineStr">
        <is>
          <t>A国内</t>
        </is>
      </c>
      <c r="E41" s="17" t="inlineStr">
        <is>
          <t>MEDU7050813-202601</t>
        </is>
      </c>
      <c r="F41" s="17" t="inlineStr">
        <is>
          <t>三明市建设矿山</t>
        </is>
      </c>
      <c r="G41" s="17" t="inlineStr">
        <is>
          <t>JH0035</t>
        </is>
      </c>
      <c r="H41" s="24">
        <f>IF($G41="","",IFERROR(VLOOKUP($G41,物料档案!$A$4:$P$1203,3,0),"※编码不在物料档案里"))</f>
        <v/>
      </c>
      <c r="I41" s="24">
        <f>IF($G41="","",IFERROR(VLOOKUP($G41,物料档案!$A$4:$P$1203,4,0),"※编码不在物料档案里"))</f>
        <v/>
      </c>
      <c r="J41" s="24">
        <f>IF($G41="","",IFERROR(VLOOKUP($G41,物料档案!$A$4:$P$1203,5,0),"※编码不在物料档案里"))</f>
        <v/>
      </c>
      <c r="K41" s="23" t="n">
        <v>2</v>
      </c>
      <c r="L41" s="31" t="n">
        <v>1950</v>
      </c>
      <c r="M41" s="24">
        <f>IF($G41="","",IF($D41="A国内","CNY","TZS"))</f>
        <v/>
      </c>
      <c r="N41" s="28">
        <f>IF($G41="","",IF($D41="A国内",汇率,1))</f>
        <v/>
      </c>
      <c r="O41" s="25">
        <f>IF($G41="","",ROUND(N($K41)*N($L41),2))</f>
        <v/>
      </c>
      <c r="P41" s="26">
        <f>IF($G41="","",ROUND($O41*$N41,0))</f>
        <v/>
      </c>
      <c r="Q41" s="26">
        <f>IF($G41="","",SUMIFS($P$4:$P$2503,$E$4:$E$2503,$E41,$Z$4:$Z$2503,"正常"))</f>
        <v/>
      </c>
      <c r="R41" s="26">
        <f>IF($G41="","",SUMIFS(费用台账!$I$4:$I$503,费用台账!$C$4:$C$503,$E41,费用台账!$J$4:$J$503,"是",费用台账!$K$4:$K$503,"正常"))</f>
        <v/>
      </c>
      <c r="S41" s="28">
        <f>IF($G41="","",COUNTIFS($E$4:$E$2503,$E41,$Z$4:$Z$2503,"正常",$Y$4:$Y$2503,"待补价"))</f>
        <v/>
      </c>
      <c r="T41" s="26">
        <f>IF($G41="","",SUMIFS($P$4:$P$2503,$E$4:$E$2503,$E41,$Z$4:$Z$2503,"正常",$A$4:$A$2503,"&lt;="&amp;$A41))</f>
        <v/>
      </c>
      <c r="U41" s="26">
        <f>IF($G41="","",IF(OR($S41&gt;0,$Q41=0,$R41=0,$Z41&lt;&gt;"正常"),0,ROUND($T41/$Q41*$R41,0)-ROUND(($T41-$P41)/$Q41*$R41,0)))</f>
        <v/>
      </c>
      <c r="V41" s="26">
        <f>IF($G41="","",ROUND($P41+$U41,0))</f>
        <v/>
      </c>
      <c r="W41" s="26">
        <f>IF($G41="","",IF(N($K41)=0,0,ROUND($V41/$K41,2)))</f>
        <v/>
      </c>
      <c r="X41" s="17" t="inlineStr">
        <is>
          <t>采购入库</t>
        </is>
      </c>
      <c r="Y41" s="17" t="inlineStr">
        <is>
          <t>正常</t>
        </is>
      </c>
      <c r="Z41" s="17" t="inlineStr">
        <is>
          <t>正常</t>
        </is>
      </c>
      <c r="AA41" s="17" t="n"/>
      <c r="AB41" s="17" t="inlineStr">
        <is>
          <t>原表第 46 行</t>
        </is>
      </c>
      <c r="AC41" s="24">
        <f>IF($G41="","",IF($H41="※编码不在物料档案里","※物料编码不在档案里",IF(N($K41)&lt;=0,"※入库数量要大于 0",IF(AND($C41&lt;&gt;"",$C41&lt;=结账锁),"※日期早于已结账截止日，不能再录",IF(AND($L41=0,$X41="正常"),"※没填单价，价格状态请选「待补价」",IF(AND($S41&gt;0,$R41&gt;0),"△本批有 "&amp;$S41&amp;" 行没单价，整批运费先挂账没摊",IF(AND($B41&lt;&gt;"",COUNTIF($B$4:$B$2503,$B41)&gt;1),"※入库单号重复","")))))))</f>
        <v/>
      </c>
    </row>
    <row r="42">
      <c r="A42" s="24">
        <f>IF($G42="","",COUNTA($G$4:$G42))</f>
        <v/>
      </c>
      <c r="B42" s="17" t="n"/>
      <c r="C42" s="30" t="n">
        <v>46048</v>
      </c>
      <c r="D42" s="17" t="inlineStr">
        <is>
          <t>A国内</t>
        </is>
      </c>
      <c r="E42" s="17" t="inlineStr">
        <is>
          <t>MEDU7050813-202601</t>
        </is>
      </c>
      <c r="F42" s="17" t="inlineStr">
        <is>
          <t>三明市建设矿山</t>
        </is>
      </c>
      <c r="G42" s="17" t="inlineStr">
        <is>
          <t>JH0036</t>
        </is>
      </c>
      <c r="H42" s="24">
        <f>IF($G42="","",IFERROR(VLOOKUP($G42,物料档案!$A$4:$P$1203,3,0),"※编码不在物料档案里"))</f>
        <v/>
      </c>
      <c r="I42" s="24">
        <f>IF($G42="","",IFERROR(VLOOKUP($G42,物料档案!$A$4:$P$1203,4,0),"※编码不在物料档案里"))</f>
        <v/>
      </c>
      <c r="J42" s="24">
        <f>IF($G42="","",IFERROR(VLOOKUP($G42,物料档案!$A$4:$P$1203,5,0),"※编码不在物料档案里"))</f>
        <v/>
      </c>
      <c r="K42" s="23" t="n">
        <v>2</v>
      </c>
      <c r="L42" s="31" t="n">
        <v>34800</v>
      </c>
      <c r="M42" s="24">
        <f>IF($G42="","",IF($D42="A国内","CNY","TZS"))</f>
        <v/>
      </c>
      <c r="N42" s="28">
        <f>IF($G42="","",IF($D42="A国内",汇率,1))</f>
        <v/>
      </c>
      <c r="O42" s="25">
        <f>IF($G42="","",ROUND(N($K42)*N($L42),2))</f>
        <v/>
      </c>
      <c r="P42" s="26">
        <f>IF($G42="","",ROUND($O42*$N42,0))</f>
        <v/>
      </c>
      <c r="Q42" s="26">
        <f>IF($G42="","",SUMIFS($P$4:$P$2503,$E$4:$E$2503,$E42,$Z$4:$Z$2503,"正常"))</f>
        <v/>
      </c>
      <c r="R42" s="26">
        <f>IF($G42="","",SUMIFS(费用台账!$I$4:$I$503,费用台账!$C$4:$C$503,$E42,费用台账!$J$4:$J$503,"是",费用台账!$K$4:$K$503,"正常"))</f>
        <v/>
      </c>
      <c r="S42" s="28">
        <f>IF($G42="","",COUNTIFS($E$4:$E$2503,$E42,$Z$4:$Z$2503,"正常",$Y$4:$Y$2503,"待补价"))</f>
        <v/>
      </c>
      <c r="T42" s="26">
        <f>IF($G42="","",SUMIFS($P$4:$P$2503,$E$4:$E$2503,$E42,$Z$4:$Z$2503,"正常",$A$4:$A$2503,"&lt;="&amp;$A42))</f>
        <v/>
      </c>
      <c r="U42" s="26">
        <f>IF($G42="","",IF(OR($S42&gt;0,$Q42=0,$R42=0,$Z42&lt;&gt;"正常"),0,ROUND($T42/$Q42*$R42,0)-ROUND(($T42-$P42)/$Q42*$R42,0)))</f>
        <v/>
      </c>
      <c r="V42" s="26">
        <f>IF($G42="","",ROUND($P42+$U42,0))</f>
        <v/>
      </c>
      <c r="W42" s="26">
        <f>IF($G42="","",IF(N($K42)=0,0,ROUND($V42/$K42,2)))</f>
        <v/>
      </c>
      <c r="X42" s="17" t="inlineStr">
        <is>
          <t>采购入库</t>
        </is>
      </c>
      <c r="Y42" s="17" t="inlineStr">
        <is>
          <t>正常</t>
        </is>
      </c>
      <c r="Z42" s="17" t="inlineStr">
        <is>
          <t>正常</t>
        </is>
      </c>
      <c r="AA42" s="17" t="n"/>
      <c r="AB42" s="17" t="inlineStr">
        <is>
          <t>原表第 47 行</t>
        </is>
      </c>
      <c r="AC42" s="24">
        <f>IF($G42="","",IF($H42="※编码不在物料档案里","※物料编码不在档案里",IF(N($K42)&lt;=0,"※入库数量要大于 0",IF(AND($C42&lt;&gt;"",$C42&lt;=结账锁),"※日期早于已结账截止日，不能再录",IF(AND($L42=0,$X42="正常"),"※没填单价，价格状态请选「待补价」",IF(AND($S42&gt;0,$R42&gt;0),"△本批有 "&amp;$S42&amp;" 行没单价，整批运费先挂账没摊",IF(AND($B42&lt;&gt;"",COUNTIF($B$4:$B$2503,$B42)&gt;1),"※入库单号重复","")))))))</f>
        <v/>
      </c>
    </row>
    <row r="43">
      <c r="A43" s="24">
        <f>IF($G43="","",COUNTA($G$4:$G43))</f>
        <v/>
      </c>
      <c r="B43" s="17" t="n"/>
      <c r="C43" s="30" t="n">
        <v>46048</v>
      </c>
      <c r="D43" s="17" t="inlineStr">
        <is>
          <t>A国内</t>
        </is>
      </c>
      <c r="E43" s="17" t="inlineStr">
        <is>
          <t>MEDU7050813-202601</t>
        </is>
      </c>
      <c r="F43" s="17" t="inlineStr">
        <is>
          <t>三明市建设矿山</t>
        </is>
      </c>
      <c r="G43" s="17" t="inlineStr">
        <is>
          <t>JH0037</t>
        </is>
      </c>
      <c r="H43" s="24">
        <f>IF($G43="","",IFERROR(VLOOKUP($G43,物料档案!$A$4:$P$1203,3,0),"※编码不在物料档案里"))</f>
        <v/>
      </c>
      <c r="I43" s="24">
        <f>IF($G43="","",IFERROR(VLOOKUP($G43,物料档案!$A$4:$P$1203,4,0),"※编码不在物料档案里"))</f>
        <v/>
      </c>
      <c r="J43" s="24">
        <f>IF($G43="","",IFERROR(VLOOKUP($G43,物料档案!$A$4:$P$1203,5,0),"※编码不在物料档案里"))</f>
        <v/>
      </c>
      <c r="K43" s="23" t="n">
        <v>2</v>
      </c>
      <c r="L43" s="31" t="n">
        <v>3280</v>
      </c>
      <c r="M43" s="24">
        <f>IF($G43="","",IF($D43="A国内","CNY","TZS"))</f>
        <v/>
      </c>
      <c r="N43" s="28">
        <f>IF($G43="","",IF($D43="A国内",汇率,1))</f>
        <v/>
      </c>
      <c r="O43" s="25">
        <f>IF($G43="","",ROUND(N($K43)*N($L43),2))</f>
        <v/>
      </c>
      <c r="P43" s="26">
        <f>IF($G43="","",ROUND($O43*$N43,0))</f>
        <v/>
      </c>
      <c r="Q43" s="26">
        <f>IF($G43="","",SUMIFS($P$4:$P$2503,$E$4:$E$2503,$E43,$Z$4:$Z$2503,"正常"))</f>
        <v/>
      </c>
      <c r="R43" s="26">
        <f>IF($G43="","",SUMIFS(费用台账!$I$4:$I$503,费用台账!$C$4:$C$503,$E43,费用台账!$J$4:$J$503,"是",费用台账!$K$4:$K$503,"正常"))</f>
        <v/>
      </c>
      <c r="S43" s="28">
        <f>IF($G43="","",COUNTIFS($E$4:$E$2503,$E43,$Z$4:$Z$2503,"正常",$Y$4:$Y$2503,"待补价"))</f>
        <v/>
      </c>
      <c r="T43" s="26">
        <f>IF($G43="","",SUMIFS($P$4:$P$2503,$E$4:$E$2503,$E43,$Z$4:$Z$2503,"正常",$A$4:$A$2503,"&lt;="&amp;$A43))</f>
        <v/>
      </c>
      <c r="U43" s="26">
        <f>IF($G43="","",IF(OR($S43&gt;0,$Q43=0,$R43=0,$Z43&lt;&gt;"正常"),0,ROUND($T43/$Q43*$R43,0)-ROUND(($T43-$P43)/$Q43*$R43,0)))</f>
        <v/>
      </c>
      <c r="V43" s="26">
        <f>IF($G43="","",ROUND($P43+$U43,0))</f>
        <v/>
      </c>
      <c r="W43" s="26">
        <f>IF($G43="","",IF(N($K43)=0,0,ROUND($V43/$K43,2)))</f>
        <v/>
      </c>
      <c r="X43" s="17" t="inlineStr">
        <is>
          <t>采购入库</t>
        </is>
      </c>
      <c r="Y43" s="17" t="inlineStr">
        <is>
          <t>正常</t>
        </is>
      </c>
      <c r="Z43" s="17" t="inlineStr">
        <is>
          <t>正常</t>
        </is>
      </c>
      <c r="AA43" s="17" t="n"/>
      <c r="AB43" s="17" t="inlineStr">
        <is>
          <t>原表第 48 行</t>
        </is>
      </c>
      <c r="AC43" s="24">
        <f>IF($G43="","",IF($H43="※编码不在物料档案里","※物料编码不在档案里",IF(N($K43)&lt;=0,"※入库数量要大于 0",IF(AND($C43&lt;&gt;"",$C43&lt;=结账锁),"※日期早于已结账截止日，不能再录",IF(AND($L43=0,$X43="正常"),"※没填单价，价格状态请选「待补价」",IF(AND($S43&gt;0,$R43&gt;0),"△本批有 "&amp;$S43&amp;" 行没单价，整批运费先挂账没摊",IF(AND($B43&lt;&gt;"",COUNTIF($B$4:$B$2503,$B43)&gt;1),"※入库单号重复","")))))))</f>
        <v/>
      </c>
    </row>
    <row r="44">
      <c r="A44" s="24">
        <f>IF($G44="","",COUNTA($G$4:$G44))</f>
        <v/>
      </c>
      <c r="B44" s="17" t="n"/>
      <c r="C44" s="30" t="n">
        <v>46048</v>
      </c>
      <c r="D44" s="17" t="inlineStr">
        <is>
          <t>A国内</t>
        </is>
      </c>
      <c r="E44" s="17" t="inlineStr">
        <is>
          <t>MEDU7050813-202601</t>
        </is>
      </c>
      <c r="F44" s="17" t="inlineStr">
        <is>
          <t>楷博</t>
        </is>
      </c>
      <c r="G44" s="17" t="inlineStr">
        <is>
          <t>JH0038</t>
        </is>
      </c>
      <c r="H44" s="24">
        <f>IF($G44="","",IFERROR(VLOOKUP($G44,物料档案!$A$4:$P$1203,3,0),"※编码不在物料档案里"))</f>
        <v/>
      </c>
      <c r="I44" s="24">
        <f>IF($G44="","",IFERROR(VLOOKUP($G44,物料档案!$A$4:$P$1203,4,0),"※编码不在物料档案里"))</f>
        <v/>
      </c>
      <c r="J44" s="24">
        <f>IF($G44="","",IFERROR(VLOOKUP($G44,物料档案!$A$4:$P$1203,5,0),"※编码不在物料档案里"))</f>
        <v/>
      </c>
      <c r="K44" s="23" t="n">
        <v>2</v>
      </c>
      <c r="L44" s="31" t="n">
        <v>2700</v>
      </c>
      <c r="M44" s="24">
        <f>IF($G44="","",IF($D44="A国内","CNY","TZS"))</f>
        <v/>
      </c>
      <c r="N44" s="28">
        <f>IF($G44="","",IF($D44="A国内",汇率,1))</f>
        <v/>
      </c>
      <c r="O44" s="25">
        <f>IF($G44="","",ROUND(N($K44)*N($L44),2))</f>
        <v/>
      </c>
      <c r="P44" s="26">
        <f>IF($G44="","",ROUND($O44*$N44,0))</f>
        <v/>
      </c>
      <c r="Q44" s="26">
        <f>IF($G44="","",SUMIFS($P$4:$P$2503,$E$4:$E$2503,$E44,$Z$4:$Z$2503,"正常"))</f>
        <v/>
      </c>
      <c r="R44" s="26">
        <f>IF($G44="","",SUMIFS(费用台账!$I$4:$I$503,费用台账!$C$4:$C$503,$E44,费用台账!$J$4:$J$503,"是",费用台账!$K$4:$K$503,"正常"))</f>
        <v/>
      </c>
      <c r="S44" s="28">
        <f>IF($G44="","",COUNTIFS($E$4:$E$2503,$E44,$Z$4:$Z$2503,"正常",$Y$4:$Y$2503,"待补价"))</f>
        <v/>
      </c>
      <c r="T44" s="26">
        <f>IF($G44="","",SUMIFS($P$4:$P$2503,$E$4:$E$2503,$E44,$Z$4:$Z$2503,"正常",$A$4:$A$2503,"&lt;="&amp;$A44))</f>
        <v/>
      </c>
      <c r="U44" s="26">
        <f>IF($G44="","",IF(OR($S44&gt;0,$Q44=0,$R44=0,$Z44&lt;&gt;"正常"),0,ROUND($T44/$Q44*$R44,0)-ROUND(($T44-$P44)/$Q44*$R44,0)))</f>
        <v/>
      </c>
      <c r="V44" s="26">
        <f>IF($G44="","",ROUND($P44+$U44,0))</f>
        <v/>
      </c>
      <c r="W44" s="26">
        <f>IF($G44="","",IF(N($K44)=0,0,ROUND($V44/$K44,2)))</f>
        <v/>
      </c>
      <c r="X44" s="17" t="inlineStr">
        <is>
          <t>采购入库</t>
        </is>
      </c>
      <c r="Y44" s="17" t="inlineStr">
        <is>
          <t>正常</t>
        </is>
      </c>
      <c r="Z44" s="17" t="inlineStr">
        <is>
          <t>正常</t>
        </is>
      </c>
      <c r="AA44" s="17" t="n"/>
      <c r="AB44" s="17" t="inlineStr">
        <is>
          <t>原表第 49 行</t>
        </is>
      </c>
      <c r="AC44" s="24">
        <f>IF($G44="","",IF($H44="※编码不在物料档案里","※物料编码不在档案里",IF(N($K44)&lt;=0,"※入库数量要大于 0",IF(AND($C44&lt;&gt;"",$C44&lt;=结账锁),"※日期早于已结账截止日，不能再录",IF(AND($L44=0,$X44="正常"),"※没填单价，价格状态请选「待补价」",IF(AND($S44&gt;0,$R44&gt;0),"△本批有 "&amp;$S44&amp;" 行没单价，整批运费先挂账没摊",IF(AND($B44&lt;&gt;"",COUNTIF($B$4:$B$2503,$B44)&gt;1),"※入库单号重复","")))))))</f>
        <v/>
      </c>
    </row>
    <row r="45">
      <c r="A45" s="24">
        <f>IF($G45="","",COUNTA($G$4:$G45))</f>
        <v/>
      </c>
      <c r="B45" s="17" t="n"/>
      <c r="C45" s="30" t="n">
        <v>46048</v>
      </c>
      <c r="D45" s="17" t="inlineStr">
        <is>
          <t>A国内</t>
        </is>
      </c>
      <c r="E45" s="17" t="inlineStr">
        <is>
          <t>MEDU7050813-202601</t>
        </is>
      </c>
      <c r="F45" s="17" t="inlineStr">
        <is>
          <t>楷博</t>
        </is>
      </c>
      <c r="G45" s="17" t="inlineStr">
        <is>
          <t>JH0039</t>
        </is>
      </c>
      <c r="H45" s="24">
        <f>IF($G45="","",IFERROR(VLOOKUP($G45,物料档案!$A$4:$P$1203,3,0),"※编码不在物料档案里"))</f>
        <v/>
      </c>
      <c r="I45" s="24">
        <f>IF($G45="","",IFERROR(VLOOKUP($G45,物料档案!$A$4:$P$1203,4,0),"※编码不在物料档案里"))</f>
        <v/>
      </c>
      <c r="J45" s="24">
        <f>IF($G45="","",IFERROR(VLOOKUP($G45,物料档案!$A$4:$P$1203,5,0),"※编码不在物料档案里"))</f>
        <v/>
      </c>
      <c r="K45" s="23" t="n">
        <v>3</v>
      </c>
      <c r="L45" s="31" t="n">
        <v>2800</v>
      </c>
      <c r="M45" s="24">
        <f>IF($G45="","",IF($D45="A国内","CNY","TZS"))</f>
        <v/>
      </c>
      <c r="N45" s="28">
        <f>IF($G45="","",IF($D45="A国内",汇率,1))</f>
        <v/>
      </c>
      <c r="O45" s="25">
        <f>IF($G45="","",ROUND(N($K45)*N($L45),2))</f>
        <v/>
      </c>
      <c r="P45" s="26">
        <f>IF($G45="","",ROUND($O45*$N45,0))</f>
        <v/>
      </c>
      <c r="Q45" s="26">
        <f>IF($G45="","",SUMIFS($P$4:$P$2503,$E$4:$E$2503,$E45,$Z$4:$Z$2503,"正常"))</f>
        <v/>
      </c>
      <c r="R45" s="26">
        <f>IF($G45="","",SUMIFS(费用台账!$I$4:$I$503,费用台账!$C$4:$C$503,$E45,费用台账!$J$4:$J$503,"是",费用台账!$K$4:$K$503,"正常"))</f>
        <v/>
      </c>
      <c r="S45" s="28">
        <f>IF($G45="","",COUNTIFS($E$4:$E$2503,$E45,$Z$4:$Z$2503,"正常",$Y$4:$Y$2503,"待补价"))</f>
        <v/>
      </c>
      <c r="T45" s="26">
        <f>IF($G45="","",SUMIFS($P$4:$P$2503,$E$4:$E$2503,$E45,$Z$4:$Z$2503,"正常",$A$4:$A$2503,"&lt;="&amp;$A45))</f>
        <v/>
      </c>
      <c r="U45" s="26">
        <f>IF($G45="","",IF(OR($S45&gt;0,$Q45=0,$R45=0,$Z45&lt;&gt;"正常"),0,ROUND($T45/$Q45*$R45,0)-ROUND(($T45-$P45)/$Q45*$R45,0)))</f>
        <v/>
      </c>
      <c r="V45" s="26">
        <f>IF($G45="","",ROUND($P45+$U45,0))</f>
        <v/>
      </c>
      <c r="W45" s="26">
        <f>IF($G45="","",IF(N($K45)=0,0,ROUND($V45/$K45,2)))</f>
        <v/>
      </c>
      <c r="X45" s="17" t="inlineStr">
        <is>
          <t>采购入库</t>
        </is>
      </c>
      <c r="Y45" s="17" t="inlineStr">
        <is>
          <t>正常</t>
        </is>
      </c>
      <c r="Z45" s="17" t="inlineStr">
        <is>
          <t>正常</t>
        </is>
      </c>
      <c r="AA45" s="17" t="n"/>
      <c r="AB45" s="17" t="inlineStr">
        <is>
          <t>原表第 50 行</t>
        </is>
      </c>
      <c r="AC45" s="24">
        <f>IF($G45="","",IF($H45="※编码不在物料档案里","※物料编码不在档案里",IF(N($K45)&lt;=0,"※入库数量要大于 0",IF(AND($C45&lt;&gt;"",$C45&lt;=结账锁),"※日期早于已结账截止日，不能再录",IF(AND($L45=0,$X45="正常"),"※没填单价，价格状态请选「待补价」",IF(AND($S45&gt;0,$R45&gt;0),"△本批有 "&amp;$S45&amp;" 行没单价，整批运费先挂账没摊",IF(AND($B45&lt;&gt;"",COUNTIF($B$4:$B$2503,$B45)&gt;1),"※入库单号重复","")))))))</f>
        <v/>
      </c>
    </row>
    <row r="46">
      <c r="A46" s="24">
        <f>IF($G46="","",COUNTA($G$4:$G46))</f>
        <v/>
      </c>
      <c r="B46" s="17" t="n"/>
      <c r="C46" s="30" t="n">
        <v>46048</v>
      </c>
      <c r="D46" s="17" t="inlineStr">
        <is>
          <t>A国内</t>
        </is>
      </c>
      <c r="E46" s="17" t="inlineStr">
        <is>
          <t>MEDU7050813-202601</t>
        </is>
      </c>
      <c r="F46" s="17" t="inlineStr">
        <is>
          <t>山西天河</t>
        </is>
      </c>
      <c r="G46" s="17" t="inlineStr">
        <is>
          <t>JH0040</t>
        </is>
      </c>
      <c r="H46" s="24">
        <f>IF($G46="","",IFERROR(VLOOKUP($G46,物料档案!$A$4:$P$1203,3,0),"※编码不在物料档案里"))</f>
        <v/>
      </c>
      <c r="I46" s="24">
        <f>IF($G46="","",IFERROR(VLOOKUP($G46,物料档案!$A$4:$P$1203,4,0),"※编码不在物料档案里"))</f>
        <v/>
      </c>
      <c r="J46" s="24">
        <f>IF($G46="","",IFERROR(VLOOKUP($G46,物料档案!$A$4:$P$1203,5,0),"※编码不在物料档案里"))</f>
        <v/>
      </c>
      <c r="K46" s="23" t="n">
        <v>2</v>
      </c>
      <c r="L46" s="31" t="n">
        <v>18200</v>
      </c>
      <c r="M46" s="24">
        <f>IF($G46="","",IF($D46="A国内","CNY","TZS"))</f>
        <v/>
      </c>
      <c r="N46" s="28">
        <f>IF($G46="","",IF($D46="A国内",汇率,1))</f>
        <v/>
      </c>
      <c r="O46" s="25">
        <f>IF($G46="","",ROUND(N($K46)*N($L46),2))</f>
        <v/>
      </c>
      <c r="P46" s="26">
        <f>IF($G46="","",ROUND($O46*$N46,0))</f>
        <v/>
      </c>
      <c r="Q46" s="26">
        <f>IF($G46="","",SUMIFS($P$4:$P$2503,$E$4:$E$2503,$E46,$Z$4:$Z$2503,"正常"))</f>
        <v/>
      </c>
      <c r="R46" s="26">
        <f>IF($G46="","",SUMIFS(费用台账!$I$4:$I$503,费用台账!$C$4:$C$503,$E46,费用台账!$J$4:$J$503,"是",费用台账!$K$4:$K$503,"正常"))</f>
        <v/>
      </c>
      <c r="S46" s="28">
        <f>IF($G46="","",COUNTIFS($E$4:$E$2503,$E46,$Z$4:$Z$2503,"正常",$Y$4:$Y$2503,"待补价"))</f>
        <v/>
      </c>
      <c r="T46" s="26">
        <f>IF($G46="","",SUMIFS($P$4:$P$2503,$E$4:$E$2503,$E46,$Z$4:$Z$2503,"正常",$A$4:$A$2503,"&lt;="&amp;$A46))</f>
        <v/>
      </c>
      <c r="U46" s="26">
        <f>IF($G46="","",IF(OR($S46&gt;0,$Q46=0,$R46=0,$Z46&lt;&gt;"正常"),0,ROUND($T46/$Q46*$R46,0)-ROUND(($T46-$P46)/$Q46*$R46,0)))</f>
        <v/>
      </c>
      <c r="V46" s="26">
        <f>IF($G46="","",ROUND($P46+$U46,0))</f>
        <v/>
      </c>
      <c r="W46" s="26">
        <f>IF($G46="","",IF(N($K46)=0,0,ROUND($V46/$K46,2)))</f>
        <v/>
      </c>
      <c r="X46" s="17" t="inlineStr">
        <is>
          <t>采购入库</t>
        </is>
      </c>
      <c r="Y46" s="17" t="inlineStr">
        <is>
          <t>正常</t>
        </is>
      </c>
      <c r="Z46" s="17" t="inlineStr">
        <is>
          <t>正常</t>
        </is>
      </c>
      <c r="AA46" s="17" t="n"/>
      <c r="AB46" s="17" t="inlineStr">
        <is>
          <t>原表第 51 行</t>
        </is>
      </c>
      <c r="AC46" s="24">
        <f>IF($G46="","",IF($H46="※编码不在物料档案里","※物料编码不在档案里",IF(N($K46)&lt;=0,"※入库数量要大于 0",IF(AND($C46&lt;&gt;"",$C46&lt;=结账锁),"※日期早于已结账截止日，不能再录",IF(AND($L46=0,$X46="正常"),"※没填单价，价格状态请选「待补价」",IF(AND($S46&gt;0,$R46&gt;0),"△本批有 "&amp;$S46&amp;" 行没单价，整批运费先挂账没摊",IF(AND($B46&lt;&gt;"",COUNTIF($B$4:$B$2503,$B46)&gt;1),"※入库单号重复","")))))))</f>
        <v/>
      </c>
    </row>
    <row r="47">
      <c r="A47" s="24">
        <f>IF($G47="","",COUNTA($G$4:$G47))</f>
        <v/>
      </c>
      <c r="B47" s="17" t="n"/>
      <c r="C47" s="30" t="n">
        <v>46048</v>
      </c>
      <c r="D47" s="17" t="inlineStr">
        <is>
          <t>A国内</t>
        </is>
      </c>
      <c r="E47" s="17" t="inlineStr">
        <is>
          <t>MEDU7050813-202601</t>
        </is>
      </c>
      <c r="F47" s="17" t="inlineStr">
        <is>
          <t>山西天河</t>
        </is>
      </c>
      <c r="G47" s="17" t="inlineStr">
        <is>
          <t>JH0041</t>
        </is>
      </c>
      <c r="H47" s="24">
        <f>IF($G47="","",IFERROR(VLOOKUP($G47,物料档案!$A$4:$P$1203,3,0),"※编码不在物料档案里"))</f>
        <v/>
      </c>
      <c r="I47" s="24">
        <f>IF($G47="","",IFERROR(VLOOKUP($G47,物料档案!$A$4:$P$1203,4,0),"※编码不在物料档案里"))</f>
        <v/>
      </c>
      <c r="J47" s="24">
        <f>IF($G47="","",IFERROR(VLOOKUP($G47,物料档案!$A$4:$P$1203,5,0),"※编码不在物料档案里"))</f>
        <v/>
      </c>
      <c r="K47" s="23" t="n">
        <v>5</v>
      </c>
      <c r="L47" s="31" t="n">
        <v>1320</v>
      </c>
      <c r="M47" s="24">
        <f>IF($G47="","",IF($D47="A国内","CNY","TZS"))</f>
        <v/>
      </c>
      <c r="N47" s="28">
        <f>IF($G47="","",IF($D47="A国内",汇率,1))</f>
        <v/>
      </c>
      <c r="O47" s="25">
        <f>IF($G47="","",ROUND(N($K47)*N($L47),2))</f>
        <v/>
      </c>
      <c r="P47" s="26">
        <f>IF($G47="","",ROUND($O47*$N47,0))</f>
        <v/>
      </c>
      <c r="Q47" s="26">
        <f>IF($G47="","",SUMIFS($P$4:$P$2503,$E$4:$E$2503,$E47,$Z$4:$Z$2503,"正常"))</f>
        <v/>
      </c>
      <c r="R47" s="26">
        <f>IF($G47="","",SUMIFS(费用台账!$I$4:$I$503,费用台账!$C$4:$C$503,$E47,费用台账!$J$4:$J$503,"是",费用台账!$K$4:$K$503,"正常"))</f>
        <v/>
      </c>
      <c r="S47" s="28">
        <f>IF($G47="","",COUNTIFS($E$4:$E$2503,$E47,$Z$4:$Z$2503,"正常",$Y$4:$Y$2503,"待补价"))</f>
        <v/>
      </c>
      <c r="T47" s="26">
        <f>IF($G47="","",SUMIFS($P$4:$P$2503,$E$4:$E$2503,$E47,$Z$4:$Z$2503,"正常",$A$4:$A$2503,"&lt;="&amp;$A47))</f>
        <v/>
      </c>
      <c r="U47" s="26">
        <f>IF($G47="","",IF(OR($S47&gt;0,$Q47=0,$R47=0,$Z47&lt;&gt;"正常"),0,ROUND($T47/$Q47*$R47,0)-ROUND(($T47-$P47)/$Q47*$R47,0)))</f>
        <v/>
      </c>
      <c r="V47" s="26">
        <f>IF($G47="","",ROUND($P47+$U47,0))</f>
        <v/>
      </c>
      <c r="W47" s="26">
        <f>IF($G47="","",IF(N($K47)=0,0,ROUND($V47/$K47,2)))</f>
        <v/>
      </c>
      <c r="X47" s="17" t="inlineStr">
        <is>
          <t>采购入库</t>
        </is>
      </c>
      <c r="Y47" s="17" t="inlineStr">
        <is>
          <t>正常</t>
        </is>
      </c>
      <c r="Z47" s="17" t="inlineStr">
        <is>
          <t>正常</t>
        </is>
      </c>
      <c r="AA47" s="17" t="n"/>
      <c r="AB47" s="17" t="inlineStr">
        <is>
          <t>原表第 52 行</t>
        </is>
      </c>
      <c r="AC47" s="24">
        <f>IF($G47="","",IF($H47="※编码不在物料档案里","※物料编码不在档案里",IF(N($K47)&lt;=0,"※入库数量要大于 0",IF(AND($C47&lt;&gt;"",$C47&lt;=结账锁),"※日期早于已结账截止日，不能再录",IF(AND($L47=0,$X47="正常"),"※没填单价，价格状态请选「待补价」",IF(AND($S47&gt;0,$R47&gt;0),"△本批有 "&amp;$S47&amp;" 行没单价，整批运费先挂账没摊",IF(AND($B47&lt;&gt;"",COUNTIF($B$4:$B$2503,$B47)&gt;1),"※入库单号重复","")))))))</f>
        <v/>
      </c>
    </row>
    <row r="48">
      <c r="A48" s="24">
        <f>IF($G48="","",COUNTA($G$4:$G48))</f>
        <v/>
      </c>
      <c r="B48" s="17" t="n"/>
      <c r="C48" s="30" t="n">
        <v>46048</v>
      </c>
      <c r="D48" s="17" t="inlineStr">
        <is>
          <t>A国内</t>
        </is>
      </c>
      <c r="E48" s="17" t="inlineStr">
        <is>
          <t>MEDU7050813-202601</t>
        </is>
      </c>
      <c r="F48" s="17" t="inlineStr">
        <is>
          <t>山西天河</t>
        </is>
      </c>
      <c r="G48" s="17" t="inlineStr">
        <is>
          <t>JH0042</t>
        </is>
      </c>
      <c r="H48" s="24">
        <f>IF($G48="","",IFERROR(VLOOKUP($G48,物料档案!$A$4:$P$1203,3,0),"※编码不在物料档案里"))</f>
        <v/>
      </c>
      <c r="I48" s="24">
        <f>IF($G48="","",IFERROR(VLOOKUP($G48,物料档案!$A$4:$P$1203,4,0),"※编码不在物料档案里"))</f>
        <v/>
      </c>
      <c r="J48" s="24">
        <f>IF($G48="","",IFERROR(VLOOKUP($G48,物料档案!$A$4:$P$1203,5,0),"※编码不在物料档案里"))</f>
        <v/>
      </c>
      <c r="K48" s="23" t="n">
        <v>1</v>
      </c>
      <c r="L48" s="31" t="n">
        <v>9120</v>
      </c>
      <c r="M48" s="24">
        <f>IF($G48="","",IF($D48="A国内","CNY","TZS"))</f>
        <v/>
      </c>
      <c r="N48" s="28">
        <f>IF($G48="","",IF($D48="A国内",汇率,1))</f>
        <v/>
      </c>
      <c r="O48" s="25">
        <f>IF($G48="","",ROUND(N($K48)*N($L48),2))</f>
        <v/>
      </c>
      <c r="P48" s="26">
        <f>IF($G48="","",ROUND($O48*$N48,0))</f>
        <v/>
      </c>
      <c r="Q48" s="26">
        <f>IF($G48="","",SUMIFS($P$4:$P$2503,$E$4:$E$2503,$E48,$Z$4:$Z$2503,"正常"))</f>
        <v/>
      </c>
      <c r="R48" s="26">
        <f>IF($G48="","",SUMIFS(费用台账!$I$4:$I$503,费用台账!$C$4:$C$503,$E48,费用台账!$J$4:$J$503,"是",费用台账!$K$4:$K$503,"正常"))</f>
        <v/>
      </c>
      <c r="S48" s="28">
        <f>IF($G48="","",COUNTIFS($E$4:$E$2503,$E48,$Z$4:$Z$2503,"正常",$Y$4:$Y$2503,"待补价"))</f>
        <v/>
      </c>
      <c r="T48" s="26">
        <f>IF($G48="","",SUMIFS($P$4:$P$2503,$E$4:$E$2503,$E48,$Z$4:$Z$2503,"正常",$A$4:$A$2503,"&lt;="&amp;$A48))</f>
        <v/>
      </c>
      <c r="U48" s="26">
        <f>IF($G48="","",IF(OR($S48&gt;0,$Q48=0,$R48=0,$Z48&lt;&gt;"正常"),0,ROUND($T48/$Q48*$R48,0)-ROUND(($T48-$P48)/$Q48*$R48,0)))</f>
        <v/>
      </c>
      <c r="V48" s="26">
        <f>IF($G48="","",ROUND($P48+$U48,0))</f>
        <v/>
      </c>
      <c r="W48" s="26">
        <f>IF($G48="","",IF(N($K48)=0,0,ROUND($V48/$K48,2)))</f>
        <v/>
      </c>
      <c r="X48" s="17" t="inlineStr">
        <is>
          <t>采购入库</t>
        </is>
      </c>
      <c r="Y48" s="17" t="inlineStr">
        <is>
          <t>正常</t>
        </is>
      </c>
      <c r="Z48" s="17" t="inlineStr">
        <is>
          <t>正常</t>
        </is>
      </c>
      <c r="AA48" s="17" t="n"/>
      <c r="AB48" s="17" t="inlineStr">
        <is>
          <t>原表第 53 行</t>
        </is>
      </c>
      <c r="AC48" s="24">
        <f>IF($G48="","",IF($H48="※编码不在物料档案里","※物料编码不在档案里",IF(N($K48)&lt;=0,"※入库数量要大于 0",IF(AND($C48&lt;&gt;"",$C48&lt;=结账锁),"※日期早于已结账截止日，不能再录",IF(AND($L48=0,$X48="正常"),"※没填单价，价格状态请选「待补价」",IF(AND($S48&gt;0,$R48&gt;0),"△本批有 "&amp;$S48&amp;" 行没单价，整批运费先挂账没摊",IF(AND($B48&lt;&gt;"",COUNTIF($B$4:$B$2503,$B48)&gt;1),"※入库单号重复","")))))))</f>
        <v/>
      </c>
    </row>
    <row r="49">
      <c r="A49" s="24">
        <f>IF($G49="","",COUNTA($G$4:$G49))</f>
        <v/>
      </c>
      <c r="B49" s="17" t="n"/>
      <c r="C49" s="30" t="n">
        <v>46048</v>
      </c>
      <c r="D49" s="17" t="inlineStr">
        <is>
          <t>A国内</t>
        </is>
      </c>
      <c r="E49" s="17" t="inlineStr">
        <is>
          <t>MEDU7050813-202601</t>
        </is>
      </c>
      <c r="F49" s="17" t="inlineStr">
        <is>
          <t>山西天河</t>
        </is>
      </c>
      <c r="G49" s="17" t="inlineStr">
        <is>
          <t>JH0043</t>
        </is>
      </c>
      <c r="H49" s="24">
        <f>IF($G49="","",IFERROR(VLOOKUP($G49,物料档案!$A$4:$P$1203,3,0),"※编码不在物料档案里"))</f>
        <v/>
      </c>
      <c r="I49" s="24">
        <f>IF($G49="","",IFERROR(VLOOKUP($G49,物料档案!$A$4:$P$1203,4,0),"※编码不在物料档案里"))</f>
        <v/>
      </c>
      <c r="J49" s="24">
        <f>IF($G49="","",IFERROR(VLOOKUP($G49,物料档案!$A$4:$P$1203,5,0),"※编码不在物料档案里"))</f>
        <v/>
      </c>
      <c r="K49" s="23" t="n">
        <v>1</v>
      </c>
      <c r="L49" s="31" t="n">
        <v>6120</v>
      </c>
      <c r="M49" s="24">
        <f>IF($G49="","",IF($D49="A国内","CNY","TZS"))</f>
        <v/>
      </c>
      <c r="N49" s="28">
        <f>IF($G49="","",IF($D49="A国内",汇率,1))</f>
        <v/>
      </c>
      <c r="O49" s="25">
        <f>IF($G49="","",ROUND(N($K49)*N($L49),2))</f>
        <v/>
      </c>
      <c r="P49" s="26">
        <f>IF($G49="","",ROUND($O49*$N49,0))</f>
        <v/>
      </c>
      <c r="Q49" s="26">
        <f>IF($G49="","",SUMIFS($P$4:$P$2503,$E$4:$E$2503,$E49,$Z$4:$Z$2503,"正常"))</f>
        <v/>
      </c>
      <c r="R49" s="26">
        <f>IF($G49="","",SUMIFS(费用台账!$I$4:$I$503,费用台账!$C$4:$C$503,$E49,费用台账!$J$4:$J$503,"是",费用台账!$K$4:$K$503,"正常"))</f>
        <v/>
      </c>
      <c r="S49" s="28">
        <f>IF($G49="","",COUNTIFS($E$4:$E$2503,$E49,$Z$4:$Z$2503,"正常",$Y$4:$Y$2503,"待补价"))</f>
        <v/>
      </c>
      <c r="T49" s="26">
        <f>IF($G49="","",SUMIFS($P$4:$P$2503,$E$4:$E$2503,$E49,$Z$4:$Z$2503,"正常",$A$4:$A$2503,"&lt;="&amp;$A49))</f>
        <v/>
      </c>
      <c r="U49" s="26">
        <f>IF($G49="","",IF(OR($S49&gt;0,$Q49=0,$R49=0,$Z49&lt;&gt;"正常"),0,ROUND($T49/$Q49*$R49,0)-ROUND(($T49-$P49)/$Q49*$R49,0)))</f>
        <v/>
      </c>
      <c r="V49" s="26">
        <f>IF($G49="","",ROUND($P49+$U49,0))</f>
        <v/>
      </c>
      <c r="W49" s="26">
        <f>IF($G49="","",IF(N($K49)=0,0,ROUND($V49/$K49,2)))</f>
        <v/>
      </c>
      <c r="X49" s="17" t="inlineStr">
        <is>
          <t>采购入库</t>
        </is>
      </c>
      <c r="Y49" s="17" t="inlineStr">
        <is>
          <t>正常</t>
        </is>
      </c>
      <c r="Z49" s="17" t="inlineStr">
        <is>
          <t>正常</t>
        </is>
      </c>
      <c r="AA49" s="17" t="n"/>
      <c r="AB49" s="17" t="inlineStr">
        <is>
          <t>原表第 54 行</t>
        </is>
      </c>
      <c r="AC49" s="24">
        <f>IF($G49="","",IF($H49="※编码不在物料档案里","※物料编码不在档案里",IF(N($K49)&lt;=0,"※入库数量要大于 0",IF(AND($C49&lt;&gt;"",$C49&lt;=结账锁),"※日期早于已结账截止日，不能再录",IF(AND($L49=0,$X49="正常"),"※没填单价，价格状态请选「待补价」",IF(AND($S49&gt;0,$R49&gt;0),"△本批有 "&amp;$S49&amp;" 行没单价，整批运费先挂账没摊",IF(AND($B49&lt;&gt;"",COUNTIF($B$4:$B$2503,$B49)&gt;1),"※入库单号重复","")))))))</f>
        <v/>
      </c>
    </row>
    <row r="50">
      <c r="A50" s="24">
        <f>IF($G50="","",COUNTA($G$4:$G50))</f>
        <v/>
      </c>
      <c r="B50" s="17" t="n"/>
      <c r="C50" s="30" t="n">
        <v>46048</v>
      </c>
      <c r="D50" s="17" t="inlineStr">
        <is>
          <t>A国内</t>
        </is>
      </c>
      <c r="E50" s="17" t="inlineStr">
        <is>
          <t>MEDU7050813-202601</t>
        </is>
      </c>
      <c r="F50" s="17" t="inlineStr">
        <is>
          <t>山西天河</t>
        </is>
      </c>
      <c r="G50" s="17" t="inlineStr">
        <is>
          <t>JH0044</t>
        </is>
      </c>
      <c r="H50" s="24">
        <f>IF($G50="","",IFERROR(VLOOKUP($G50,物料档案!$A$4:$P$1203,3,0),"※编码不在物料档案里"))</f>
        <v/>
      </c>
      <c r="I50" s="24">
        <f>IF($G50="","",IFERROR(VLOOKUP($G50,物料档案!$A$4:$P$1203,4,0),"※编码不在物料档案里"))</f>
        <v/>
      </c>
      <c r="J50" s="24">
        <f>IF($G50="","",IFERROR(VLOOKUP($G50,物料档案!$A$4:$P$1203,5,0),"※编码不在物料档案里"))</f>
        <v/>
      </c>
      <c r="K50" s="23" t="n">
        <v>1</v>
      </c>
      <c r="L50" s="31" t="n">
        <v>9500</v>
      </c>
      <c r="M50" s="24">
        <f>IF($G50="","",IF($D50="A国内","CNY","TZS"))</f>
        <v/>
      </c>
      <c r="N50" s="28">
        <f>IF($G50="","",IF($D50="A国内",汇率,1))</f>
        <v/>
      </c>
      <c r="O50" s="25">
        <f>IF($G50="","",ROUND(N($K50)*N($L50),2))</f>
        <v/>
      </c>
      <c r="P50" s="26">
        <f>IF($G50="","",ROUND($O50*$N50,0))</f>
        <v/>
      </c>
      <c r="Q50" s="26">
        <f>IF($G50="","",SUMIFS($P$4:$P$2503,$E$4:$E$2503,$E50,$Z$4:$Z$2503,"正常"))</f>
        <v/>
      </c>
      <c r="R50" s="26">
        <f>IF($G50="","",SUMIFS(费用台账!$I$4:$I$503,费用台账!$C$4:$C$503,$E50,费用台账!$J$4:$J$503,"是",费用台账!$K$4:$K$503,"正常"))</f>
        <v/>
      </c>
      <c r="S50" s="28">
        <f>IF($G50="","",COUNTIFS($E$4:$E$2503,$E50,$Z$4:$Z$2503,"正常",$Y$4:$Y$2503,"待补价"))</f>
        <v/>
      </c>
      <c r="T50" s="26">
        <f>IF($G50="","",SUMIFS($P$4:$P$2503,$E$4:$E$2503,$E50,$Z$4:$Z$2503,"正常",$A$4:$A$2503,"&lt;="&amp;$A50))</f>
        <v/>
      </c>
      <c r="U50" s="26">
        <f>IF($G50="","",IF(OR($S50&gt;0,$Q50=0,$R50=0,$Z50&lt;&gt;"正常"),0,ROUND($T50/$Q50*$R50,0)-ROUND(($T50-$P50)/$Q50*$R50,0)))</f>
        <v/>
      </c>
      <c r="V50" s="26">
        <f>IF($G50="","",ROUND($P50+$U50,0))</f>
        <v/>
      </c>
      <c r="W50" s="26">
        <f>IF($G50="","",IF(N($K50)=0,0,ROUND($V50/$K50,2)))</f>
        <v/>
      </c>
      <c r="X50" s="17" t="inlineStr">
        <is>
          <t>采购入库</t>
        </is>
      </c>
      <c r="Y50" s="17" t="inlineStr">
        <is>
          <t>正常</t>
        </is>
      </c>
      <c r="Z50" s="17" t="inlineStr">
        <is>
          <t>正常</t>
        </is>
      </c>
      <c r="AA50" s="17" t="n"/>
      <c r="AB50" s="17" t="inlineStr">
        <is>
          <t>原表第 55 行</t>
        </is>
      </c>
      <c r="AC50" s="24">
        <f>IF($G50="","",IF($H50="※编码不在物料档案里","※物料编码不在档案里",IF(N($K50)&lt;=0,"※入库数量要大于 0",IF(AND($C50&lt;&gt;"",$C50&lt;=结账锁),"※日期早于已结账截止日，不能再录",IF(AND($L50=0,$X50="正常"),"※没填单价，价格状态请选「待补价」",IF(AND($S50&gt;0,$R50&gt;0),"△本批有 "&amp;$S50&amp;" 行没单价，整批运费先挂账没摊",IF(AND($B50&lt;&gt;"",COUNTIF($B$4:$B$2503,$B50)&gt;1),"※入库单号重复","")))))))</f>
        <v/>
      </c>
    </row>
    <row r="51">
      <c r="A51" s="24">
        <f>IF($G51="","",COUNTA($G$4:$G51))</f>
        <v/>
      </c>
      <c r="B51" s="17" t="n"/>
      <c r="C51" s="30" t="n">
        <v>46048</v>
      </c>
      <c r="D51" s="17" t="inlineStr">
        <is>
          <t>A国内</t>
        </is>
      </c>
      <c r="E51" s="17" t="inlineStr">
        <is>
          <t>MEDU7050813-202601</t>
        </is>
      </c>
      <c r="F51" s="17" t="inlineStr">
        <is>
          <t>山西天河</t>
        </is>
      </c>
      <c r="G51" s="17" t="inlineStr">
        <is>
          <t>JH0041</t>
        </is>
      </c>
      <c r="H51" s="24">
        <f>IF($G51="","",IFERROR(VLOOKUP($G51,物料档案!$A$4:$P$1203,3,0),"※编码不在物料档案里"))</f>
        <v/>
      </c>
      <c r="I51" s="24">
        <f>IF($G51="","",IFERROR(VLOOKUP($G51,物料档案!$A$4:$P$1203,4,0),"※编码不在物料档案里"))</f>
        <v/>
      </c>
      <c r="J51" s="24">
        <f>IF($G51="","",IFERROR(VLOOKUP($G51,物料档案!$A$4:$P$1203,5,0),"※编码不在物料档案里"))</f>
        <v/>
      </c>
      <c r="K51" s="23" t="n">
        <v>3</v>
      </c>
      <c r="L51" s="31" t="n">
        <v>630</v>
      </c>
      <c r="M51" s="24">
        <f>IF($G51="","",IF($D51="A国内","CNY","TZS"))</f>
        <v/>
      </c>
      <c r="N51" s="28">
        <f>IF($G51="","",IF($D51="A国内",汇率,1))</f>
        <v/>
      </c>
      <c r="O51" s="25">
        <f>IF($G51="","",ROUND(N($K51)*N($L51),2))</f>
        <v/>
      </c>
      <c r="P51" s="26">
        <f>IF($G51="","",ROUND($O51*$N51,0))</f>
        <v/>
      </c>
      <c r="Q51" s="26">
        <f>IF($G51="","",SUMIFS($P$4:$P$2503,$E$4:$E$2503,$E51,$Z$4:$Z$2503,"正常"))</f>
        <v/>
      </c>
      <c r="R51" s="26">
        <f>IF($G51="","",SUMIFS(费用台账!$I$4:$I$503,费用台账!$C$4:$C$503,$E51,费用台账!$J$4:$J$503,"是",费用台账!$K$4:$K$503,"正常"))</f>
        <v/>
      </c>
      <c r="S51" s="28">
        <f>IF($G51="","",COUNTIFS($E$4:$E$2503,$E51,$Z$4:$Z$2503,"正常",$Y$4:$Y$2503,"待补价"))</f>
        <v/>
      </c>
      <c r="T51" s="26">
        <f>IF($G51="","",SUMIFS($P$4:$P$2503,$E$4:$E$2503,$E51,$Z$4:$Z$2503,"正常",$A$4:$A$2503,"&lt;="&amp;$A51))</f>
        <v/>
      </c>
      <c r="U51" s="26">
        <f>IF($G51="","",IF(OR($S51&gt;0,$Q51=0,$R51=0,$Z51&lt;&gt;"正常"),0,ROUND($T51/$Q51*$R51,0)-ROUND(($T51-$P51)/$Q51*$R51,0)))</f>
        <v/>
      </c>
      <c r="V51" s="26">
        <f>IF($G51="","",ROUND($P51+$U51,0))</f>
        <v/>
      </c>
      <c r="W51" s="26">
        <f>IF($G51="","",IF(N($K51)=0,0,ROUND($V51/$K51,2)))</f>
        <v/>
      </c>
      <c r="X51" s="17" t="inlineStr">
        <is>
          <t>采购入库</t>
        </is>
      </c>
      <c r="Y51" s="17" t="inlineStr">
        <is>
          <t>正常</t>
        </is>
      </c>
      <c r="Z51" s="17" t="inlineStr">
        <is>
          <t>正常</t>
        </is>
      </c>
      <c r="AA51" s="17" t="n"/>
      <c r="AB51" s="17" t="inlineStr">
        <is>
          <t>原表第 56 行</t>
        </is>
      </c>
      <c r="AC51" s="24">
        <f>IF($G51="","",IF($H51="※编码不在物料档案里","※物料编码不在档案里",IF(N($K51)&lt;=0,"※入库数量要大于 0",IF(AND($C51&lt;&gt;"",$C51&lt;=结账锁),"※日期早于已结账截止日，不能再录",IF(AND($L51=0,$X51="正常"),"※没填单价，价格状态请选「待补价」",IF(AND($S51&gt;0,$R51&gt;0),"△本批有 "&amp;$S51&amp;" 行没单价，整批运费先挂账没摊",IF(AND($B51&lt;&gt;"",COUNTIF($B$4:$B$2503,$B51)&gt;1),"※入库单号重复","")))))))</f>
        <v/>
      </c>
    </row>
    <row r="52">
      <c r="A52" s="24">
        <f>IF($G52="","",COUNTA($G$4:$G52))</f>
        <v/>
      </c>
      <c r="B52" s="17" t="n"/>
      <c r="C52" s="30" t="n">
        <v>46048</v>
      </c>
      <c r="D52" s="17" t="inlineStr">
        <is>
          <t>A国内</t>
        </is>
      </c>
      <c r="E52" s="17" t="inlineStr">
        <is>
          <t>MEDU7050813-202601</t>
        </is>
      </c>
      <c r="F52" s="17" t="inlineStr">
        <is>
          <t>山西天河</t>
        </is>
      </c>
      <c r="G52" s="17" t="inlineStr">
        <is>
          <t>JH0045</t>
        </is>
      </c>
      <c r="H52" s="24">
        <f>IF($G52="","",IFERROR(VLOOKUP($G52,物料档案!$A$4:$P$1203,3,0),"※编码不在物料档案里"))</f>
        <v/>
      </c>
      <c r="I52" s="24">
        <f>IF($G52="","",IFERROR(VLOOKUP($G52,物料档案!$A$4:$P$1203,4,0),"※编码不在物料档案里"))</f>
        <v/>
      </c>
      <c r="J52" s="24">
        <f>IF($G52="","",IFERROR(VLOOKUP($G52,物料档案!$A$4:$P$1203,5,0),"※编码不在物料档案里"))</f>
        <v/>
      </c>
      <c r="K52" s="23" t="n">
        <v>1</v>
      </c>
      <c r="L52" s="31" t="n">
        <v>4800</v>
      </c>
      <c r="M52" s="24">
        <f>IF($G52="","",IF($D52="A国内","CNY","TZS"))</f>
        <v/>
      </c>
      <c r="N52" s="28">
        <f>IF($G52="","",IF($D52="A国内",汇率,1))</f>
        <v/>
      </c>
      <c r="O52" s="25">
        <f>IF($G52="","",ROUND(N($K52)*N($L52),2))</f>
        <v/>
      </c>
      <c r="P52" s="26">
        <f>IF($G52="","",ROUND($O52*$N52,0))</f>
        <v/>
      </c>
      <c r="Q52" s="26">
        <f>IF($G52="","",SUMIFS($P$4:$P$2503,$E$4:$E$2503,$E52,$Z$4:$Z$2503,"正常"))</f>
        <v/>
      </c>
      <c r="R52" s="26">
        <f>IF($G52="","",SUMIFS(费用台账!$I$4:$I$503,费用台账!$C$4:$C$503,$E52,费用台账!$J$4:$J$503,"是",费用台账!$K$4:$K$503,"正常"))</f>
        <v/>
      </c>
      <c r="S52" s="28">
        <f>IF($G52="","",COUNTIFS($E$4:$E$2503,$E52,$Z$4:$Z$2503,"正常",$Y$4:$Y$2503,"待补价"))</f>
        <v/>
      </c>
      <c r="T52" s="26">
        <f>IF($G52="","",SUMIFS($P$4:$P$2503,$E$4:$E$2503,$E52,$Z$4:$Z$2503,"正常",$A$4:$A$2503,"&lt;="&amp;$A52))</f>
        <v/>
      </c>
      <c r="U52" s="26">
        <f>IF($G52="","",IF(OR($S52&gt;0,$Q52=0,$R52=0,$Z52&lt;&gt;"正常"),0,ROUND($T52/$Q52*$R52,0)-ROUND(($T52-$P52)/$Q52*$R52,0)))</f>
        <v/>
      </c>
      <c r="V52" s="26">
        <f>IF($G52="","",ROUND($P52+$U52,0))</f>
        <v/>
      </c>
      <c r="W52" s="26">
        <f>IF($G52="","",IF(N($K52)=0,0,ROUND($V52/$K52,2)))</f>
        <v/>
      </c>
      <c r="X52" s="17" t="inlineStr">
        <is>
          <t>采购入库</t>
        </is>
      </c>
      <c r="Y52" s="17" t="inlineStr">
        <is>
          <t>正常</t>
        </is>
      </c>
      <c r="Z52" s="17" t="inlineStr">
        <is>
          <t>正常</t>
        </is>
      </c>
      <c r="AA52" s="17" t="n"/>
      <c r="AB52" s="17" t="inlineStr">
        <is>
          <t>原表第 57 行</t>
        </is>
      </c>
      <c r="AC52" s="24">
        <f>IF($G52="","",IF($H52="※编码不在物料档案里","※物料编码不在档案里",IF(N($K52)&lt;=0,"※入库数量要大于 0",IF(AND($C52&lt;&gt;"",$C52&lt;=结账锁),"※日期早于已结账截止日，不能再录",IF(AND($L52=0,$X52="正常"),"※没填单价，价格状态请选「待补价」",IF(AND($S52&gt;0,$R52&gt;0),"△本批有 "&amp;$S52&amp;" 行没单价，整批运费先挂账没摊",IF(AND($B52&lt;&gt;"",COUNTIF($B$4:$B$2503,$B52)&gt;1),"※入库单号重复","")))))))</f>
        <v/>
      </c>
    </row>
    <row r="53">
      <c r="A53" s="24">
        <f>IF($G53="","",COUNTA($G$4:$G53))</f>
        <v/>
      </c>
      <c r="B53" s="17" t="n"/>
      <c r="C53" s="30" t="n">
        <v>46048</v>
      </c>
      <c r="D53" s="17" t="inlineStr">
        <is>
          <t>A国内</t>
        </is>
      </c>
      <c r="E53" s="17" t="inlineStr">
        <is>
          <t>MEDU7050813-202601</t>
        </is>
      </c>
      <c r="F53" s="17" t="inlineStr">
        <is>
          <t>山西天河</t>
        </is>
      </c>
      <c r="G53" s="17" t="inlineStr">
        <is>
          <t>JH0046</t>
        </is>
      </c>
      <c r="H53" s="24">
        <f>IF($G53="","",IFERROR(VLOOKUP($G53,物料档案!$A$4:$P$1203,3,0),"※编码不在物料档案里"))</f>
        <v/>
      </c>
      <c r="I53" s="24">
        <f>IF($G53="","",IFERROR(VLOOKUP($G53,物料档案!$A$4:$P$1203,4,0),"※编码不在物料档案里"))</f>
        <v/>
      </c>
      <c r="J53" s="24">
        <f>IF($G53="","",IFERROR(VLOOKUP($G53,物料档案!$A$4:$P$1203,5,0),"※编码不在物料档案里"))</f>
        <v/>
      </c>
      <c r="K53" s="23" t="n">
        <v>10</v>
      </c>
      <c r="L53" s="31" t="n">
        <v>3300</v>
      </c>
      <c r="M53" s="24">
        <f>IF($G53="","",IF($D53="A国内","CNY","TZS"))</f>
        <v/>
      </c>
      <c r="N53" s="28">
        <f>IF($G53="","",IF($D53="A国内",汇率,1))</f>
        <v/>
      </c>
      <c r="O53" s="25">
        <f>IF($G53="","",ROUND(N($K53)*N($L53),2))</f>
        <v/>
      </c>
      <c r="P53" s="26">
        <f>IF($G53="","",ROUND($O53*$N53,0))</f>
        <v/>
      </c>
      <c r="Q53" s="26">
        <f>IF($G53="","",SUMIFS($P$4:$P$2503,$E$4:$E$2503,$E53,$Z$4:$Z$2503,"正常"))</f>
        <v/>
      </c>
      <c r="R53" s="26">
        <f>IF($G53="","",SUMIFS(费用台账!$I$4:$I$503,费用台账!$C$4:$C$503,$E53,费用台账!$J$4:$J$503,"是",费用台账!$K$4:$K$503,"正常"))</f>
        <v/>
      </c>
      <c r="S53" s="28">
        <f>IF($G53="","",COUNTIFS($E$4:$E$2503,$E53,$Z$4:$Z$2503,"正常",$Y$4:$Y$2503,"待补价"))</f>
        <v/>
      </c>
      <c r="T53" s="26">
        <f>IF($G53="","",SUMIFS($P$4:$P$2503,$E$4:$E$2503,$E53,$Z$4:$Z$2503,"正常",$A$4:$A$2503,"&lt;="&amp;$A53))</f>
        <v/>
      </c>
      <c r="U53" s="26">
        <f>IF($G53="","",IF(OR($S53&gt;0,$Q53=0,$R53=0,$Z53&lt;&gt;"正常"),0,ROUND($T53/$Q53*$R53,0)-ROUND(($T53-$P53)/$Q53*$R53,0)))</f>
        <v/>
      </c>
      <c r="V53" s="26">
        <f>IF($G53="","",ROUND($P53+$U53,0))</f>
        <v/>
      </c>
      <c r="W53" s="26">
        <f>IF($G53="","",IF(N($K53)=0,0,ROUND($V53/$K53,2)))</f>
        <v/>
      </c>
      <c r="X53" s="17" t="inlineStr">
        <is>
          <t>采购入库</t>
        </is>
      </c>
      <c r="Y53" s="17" t="inlineStr">
        <is>
          <t>正常</t>
        </is>
      </c>
      <c r="Z53" s="17" t="inlineStr">
        <is>
          <t>正常</t>
        </is>
      </c>
      <c r="AA53" s="17" t="n"/>
      <c r="AB53" s="17" t="inlineStr">
        <is>
          <t>原表第 58 行</t>
        </is>
      </c>
      <c r="AC53" s="24">
        <f>IF($G53="","",IF($H53="※编码不在物料档案里","※物料编码不在档案里",IF(N($K53)&lt;=0,"※入库数量要大于 0",IF(AND($C53&lt;&gt;"",$C53&lt;=结账锁),"※日期早于已结账截止日，不能再录",IF(AND($L53=0,$X53="正常"),"※没填单价，价格状态请选「待补价」",IF(AND($S53&gt;0,$R53&gt;0),"△本批有 "&amp;$S53&amp;" 行没单价，整批运费先挂账没摊",IF(AND($B53&lt;&gt;"",COUNTIF($B$4:$B$2503,$B53)&gt;1),"※入库单号重复","")))))))</f>
        <v/>
      </c>
    </row>
    <row r="54">
      <c r="A54" s="24">
        <f>IF($G54="","",COUNTA($G$4:$G54))</f>
        <v/>
      </c>
      <c r="B54" s="17" t="n"/>
      <c r="C54" s="30" t="n">
        <v>46048</v>
      </c>
      <c r="D54" s="17" t="inlineStr">
        <is>
          <t>A国内</t>
        </is>
      </c>
      <c r="E54" s="17" t="inlineStr">
        <is>
          <t>MEDU7050813-202601</t>
        </is>
      </c>
      <c r="F54" s="17" t="inlineStr">
        <is>
          <t>山西天河</t>
        </is>
      </c>
      <c r="G54" s="17" t="inlineStr">
        <is>
          <t>JH0047</t>
        </is>
      </c>
      <c r="H54" s="24">
        <f>IF($G54="","",IFERROR(VLOOKUP($G54,物料档案!$A$4:$P$1203,3,0),"※编码不在物料档案里"))</f>
        <v/>
      </c>
      <c r="I54" s="24">
        <f>IF($G54="","",IFERROR(VLOOKUP($G54,物料档案!$A$4:$P$1203,4,0),"※编码不在物料档案里"))</f>
        <v/>
      </c>
      <c r="J54" s="24">
        <f>IF($G54="","",IFERROR(VLOOKUP($G54,物料档案!$A$4:$P$1203,5,0),"※编码不在物料档案里"))</f>
        <v/>
      </c>
      <c r="K54" s="23" t="n">
        <v>15</v>
      </c>
      <c r="L54" s="31" t="n">
        <v>2300</v>
      </c>
      <c r="M54" s="24">
        <f>IF($G54="","",IF($D54="A国内","CNY","TZS"))</f>
        <v/>
      </c>
      <c r="N54" s="28">
        <f>IF($G54="","",IF($D54="A国内",汇率,1))</f>
        <v/>
      </c>
      <c r="O54" s="25">
        <f>IF($G54="","",ROUND(N($K54)*N($L54),2))</f>
        <v/>
      </c>
      <c r="P54" s="26">
        <f>IF($G54="","",ROUND($O54*$N54,0))</f>
        <v/>
      </c>
      <c r="Q54" s="26">
        <f>IF($G54="","",SUMIFS($P$4:$P$2503,$E$4:$E$2503,$E54,$Z$4:$Z$2503,"正常"))</f>
        <v/>
      </c>
      <c r="R54" s="26">
        <f>IF($G54="","",SUMIFS(费用台账!$I$4:$I$503,费用台账!$C$4:$C$503,$E54,费用台账!$J$4:$J$503,"是",费用台账!$K$4:$K$503,"正常"))</f>
        <v/>
      </c>
      <c r="S54" s="28">
        <f>IF($G54="","",COUNTIFS($E$4:$E$2503,$E54,$Z$4:$Z$2503,"正常",$Y$4:$Y$2503,"待补价"))</f>
        <v/>
      </c>
      <c r="T54" s="26">
        <f>IF($G54="","",SUMIFS($P$4:$P$2503,$E$4:$E$2503,$E54,$Z$4:$Z$2503,"正常",$A$4:$A$2503,"&lt;="&amp;$A54))</f>
        <v/>
      </c>
      <c r="U54" s="26">
        <f>IF($G54="","",IF(OR($S54&gt;0,$Q54=0,$R54=0,$Z54&lt;&gt;"正常"),0,ROUND($T54/$Q54*$R54,0)-ROUND(($T54-$P54)/$Q54*$R54,0)))</f>
        <v/>
      </c>
      <c r="V54" s="26">
        <f>IF($G54="","",ROUND($P54+$U54,0))</f>
        <v/>
      </c>
      <c r="W54" s="26">
        <f>IF($G54="","",IF(N($K54)=0,0,ROUND($V54/$K54,2)))</f>
        <v/>
      </c>
      <c r="X54" s="17" t="inlineStr">
        <is>
          <t>采购入库</t>
        </is>
      </c>
      <c r="Y54" s="17" t="inlineStr">
        <is>
          <t>正常</t>
        </is>
      </c>
      <c r="Z54" s="17" t="inlineStr">
        <is>
          <t>正常</t>
        </is>
      </c>
      <c r="AA54" s="17" t="n"/>
      <c r="AB54" s="17" t="inlineStr">
        <is>
          <t>原表第 59 行</t>
        </is>
      </c>
      <c r="AC54" s="24">
        <f>IF($G54="","",IF($H54="※编码不在物料档案里","※物料编码不在档案里",IF(N($K54)&lt;=0,"※入库数量要大于 0",IF(AND($C54&lt;&gt;"",$C54&lt;=结账锁),"※日期早于已结账截止日，不能再录",IF(AND($L54=0,$X54="正常"),"※没填单价，价格状态请选「待补价」",IF(AND($S54&gt;0,$R54&gt;0),"△本批有 "&amp;$S54&amp;" 行没单价，整批运费先挂账没摊",IF(AND($B54&lt;&gt;"",COUNTIF($B$4:$B$2503,$B54)&gt;1),"※入库单号重复","")))))))</f>
        <v/>
      </c>
    </row>
    <row r="55">
      <c r="A55" s="24">
        <f>IF($G55="","",COUNTA($G$4:$G55))</f>
        <v/>
      </c>
      <c r="B55" s="17" t="n"/>
      <c r="C55" s="30" t="n">
        <v>46048</v>
      </c>
      <c r="D55" s="17" t="inlineStr">
        <is>
          <t>A国内</t>
        </is>
      </c>
      <c r="E55" s="17" t="inlineStr">
        <is>
          <t>MEDU7050813-202601</t>
        </is>
      </c>
      <c r="F55" s="17" t="inlineStr">
        <is>
          <t>山西天河</t>
        </is>
      </c>
      <c r="G55" s="17" t="inlineStr">
        <is>
          <t>JH0048</t>
        </is>
      </c>
      <c r="H55" s="24">
        <f>IF($G55="","",IFERROR(VLOOKUP($G55,物料档案!$A$4:$P$1203,3,0),"※编码不在物料档案里"))</f>
        <v/>
      </c>
      <c r="I55" s="24">
        <f>IF($G55="","",IFERROR(VLOOKUP($G55,物料档案!$A$4:$P$1203,4,0),"※编码不在物料档案里"))</f>
        <v/>
      </c>
      <c r="J55" s="24">
        <f>IF($G55="","",IFERROR(VLOOKUP($G55,物料档案!$A$4:$P$1203,5,0),"※编码不在物料档案里"))</f>
        <v/>
      </c>
      <c r="K55" s="23" t="n">
        <v>1</v>
      </c>
      <c r="L55" s="31" t="n">
        <v>1550</v>
      </c>
      <c r="M55" s="24">
        <f>IF($G55="","",IF($D55="A国内","CNY","TZS"))</f>
        <v/>
      </c>
      <c r="N55" s="28">
        <f>IF($G55="","",IF($D55="A国内",汇率,1))</f>
        <v/>
      </c>
      <c r="O55" s="25">
        <f>IF($G55="","",ROUND(N($K55)*N($L55),2))</f>
        <v/>
      </c>
      <c r="P55" s="26">
        <f>IF($G55="","",ROUND($O55*$N55,0))</f>
        <v/>
      </c>
      <c r="Q55" s="26">
        <f>IF($G55="","",SUMIFS($P$4:$P$2503,$E$4:$E$2503,$E55,$Z$4:$Z$2503,"正常"))</f>
        <v/>
      </c>
      <c r="R55" s="26">
        <f>IF($G55="","",SUMIFS(费用台账!$I$4:$I$503,费用台账!$C$4:$C$503,$E55,费用台账!$J$4:$J$503,"是",费用台账!$K$4:$K$503,"正常"))</f>
        <v/>
      </c>
      <c r="S55" s="28">
        <f>IF($G55="","",COUNTIFS($E$4:$E$2503,$E55,$Z$4:$Z$2503,"正常",$Y$4:$Y$2503,"待补价"))</f>
        <v/>
      </c>
      <c r="T55" s="26">
        <f>IF($G55="","",SUMIFS($P$4:$P$2503,$E$4:$E$2503,$E55,$Z$4:$Z$2503,"正常",$A$4:$A$2503,"&lt;="&amp;$A55))</f>
        <v/>
      </c>
      <c r="U55" s="26">
        <f>IF($G55="","",IF(OR($S55&gt;0,$Q55=0,$R55=0,$Z55&lt;&gt;"正常"),0,ROUND($T55/$Q55*$R55,0)-ROUND(($T55-$P55)/$Q55*$R55,0)))</f>
        <v/>
      </c>
      <c r="V55" s="26">
        <f>IF($G55="","",ROUND($P55+$U55,0))</f>
        <v/>
      </c>
      <c r="W55" s="26">
        <f>IF($G55="","",IF(N($K55)=0,0,ROUND($V55/$K55,2)))</f>
        <v/>
      </c>
      <c r="X55" s="17" t="inlineStr">
        <is>
          <t>采购入库</t>
        </is>
      </c>
      <c r="Y55" s="17" t="inlineStr">
        <is>
          <t>正常</t>
        </is>
      </c>
      <c r="Z55" s="17" t="inlineStr">
        <is>
          <t>正常</t>
        </is>
      </c>
      <c r="AA55" s="17" t="n"/>
      <c r="AB55" s="17" t="inlineStr">
        <is>
          <t>原表第 60 行</t>
        </is>
      </c>
      <c r="AC55" s="24">
        <f>IF($G55="","",IF($H55="※编码不在物料档案里","※物料编码不在档案里",IF(N($K55)&lt;=0,"※入库数量要大于 0",IF(AND($C55&lt;&gt;"",$C55&lt;=结账锁),"※日期早于已结账截止日，不能再录",IF(AND($L55=0,$X55="正常"),"※没填单价，价格状态请选「待补价」",IF(AND($S55&gt;0,$R55&gt;0),"△本批有 "&amp;$S55&amp;" 行没单价，整批运费先挂账没摊",IF(AND($B55&lt;&gt;"",COUNTIF($B$4:$B$2503,$B55)&gt;1),"※入库单号重复","")))))))</f>
        <v/>
      </c>
    </row>
    <row r="56">
      <c r="A56" s="24">
        <f>IF($G56="","",COUNTA($G$4:$G56))</f>
        <v/>
      </c>
      <c r="B56" s="17" t="n"/>
      <c r="C56" s="30" t="n">
        <v>46048</v>
      </c>
      <c r="D56" s="17" t="inlineStr">
        <is>
          <t>A国内</t>
        </is>
      </c>
      <c r="E56" s="17" t="inlineStr">
        <is>
          <t>MEDU7050813-202601</t>
        </is>
      </c>
      <c r="F56" s="17" t="inlineStr">
        <is>
          <t>江苏汉鼎橡</t>
        </is>
      </c>
      <c r="G56" s="17" t="inlineStr">
        <is>
          <t>JH0049</t>
        </is>
      </c>
      <c r="H56" s="24">
        <f>IF($G56="","",IFERROR(VLOOKUP($G56,物料档案!$A$4:$P$1203,3,0),"※编码不在物料档案里"))</f>
        <v/>
      </c>
      <c r="I56" s="24">
        <f>IF($G56="","",IFERROR(VLOOKUP($G56,物料档案!$A$4:$P$1203,4,0),"※编码不在物料档案里"))</f>
        <v/>
      </c>
      <c r="J56" s="24">
        <f>IF($G56="","",IFERROR(VLOOKUP($G56,物料档案!$A$4:$P$1203,5,0),"※编码不在物料档案里"))</f>
        <v/>
      </c>
      <c r="K56" s="23" t="n">
        <v>4000</v>
      </c>
      <c r="L56" s="31" t="n">
        <v>8.5</v>
      </c>
      <c r="M56" s="24">
        <f>IF($G56="","",IF($D56="A国内","CNY","TZS"))</f>
        <v/>
      </c>
      <c r="N56" s="28">
        <f>IF($G56="","",IF($D56="A国内",汇率,1))</f>
        <v/>
      </c>
      <c r="O56" s="25">
        <f>IF($G56="","",ROUND(N($K56)*N($L56),2))</f>
        <v/>
      </c>
      <c r="P56" s="26">
        <f>IF($G56="","",ROUND($O56*$N56,0))</f>
        <v/>
      </c>
      <c r="Q56" s="26">
        <f>IF($G56="","",SUMIFS($P$4:$P$2503,$E$4:$E$2503,$E56,$Z$4:$Z$2503,"正常"))</f>
        <v/>
      </c>
      <c r="R56" s="26">
        <f>IF($G56="","",SUMIFS(费用台账!$I$4:$I$503,费用台账!$C$4:$C$503,$E56,费用台账!$J$4:$J$503,"是",费用台账!$K$4:$K$503,"正常"))</f>
        <v/>
      </c>
      <c r="S56" s="28">
        <f>IF($G56="","",COUNTIFS($E$4:$E$2503,$E56,$Z$4:$Z$2503,"正常",$Y$4:$Y$2503,"待补价"))</f>
        <v/>
      </c>
      <c r="T56" s="26">
        <f>IF($G56="","",SUMIFS($P$4:$P$2503,$E$4:$E$2503,$E56,$Z$4:$Z$2503,"正常",$A$4:$A$2503,"&lt;="&amp;$A56))</f>
        <v/>
      </c>
      <c r="U56" s="26">
        <f>IF($G56="","",IF(OR($S56&gt;0,$Q56=0,$R56=0,$Z56&lt;&gt;"正常"),0,ROUND($T56/$Q56*$R56,0)-ROUND(($T56-$P56)/$Q56*$R56,0)))</f>
        <v/>
      </c>
      <c r="V56" s="26">
        <f>IF($G56="","",ROUND($P56+$U56,0))</f>
        <v/>
      </c>
      <c r="W56" s="26">
        <f>IF($G56="","",IF(N($K56)=0,0,ROUND($V56/$K56,2)))</f>
        <v/>
      </c>
      <c r="X56" s="17" t="inlineStr">
        <is>
          <t>采购入库</t>
        </is>
      </c>
      <c r="Y56" s="17" t="inlineStr">
        <is>
          <t>正常</t>
        </is>
      </c>
      <c r="Z56" s="17" t="inlineStr">
        <is>
          <t>正常</t>
        </is>
      </c>
      <c r="AA56" s="17" t="n"/>
      <c r="AB56" s="17" t="inlineStr">
        <is>
          <t>原表第 61 行</t>
        </is>
      </c>
      <c r="AC56" s="24">
        <f>IF($G56="","",IF($H56="※编码不在物料档案里","※物料编码不在档案里",IF(N($K56)&lt;=0,"※入库数量要大于 0",IF(AND($C56&lt;&gt;"",$C56&lt;=结账锁),"※日期早于已结账截止日，不能再录",IF(AND($L56=0,$X56="正常"),"※没填单价，价格状态请选「待补价」",IF(AND($S56&gt;0,$R56&gt;0),"△本批有 "&amp;$S56&amp;" 行没单价，整批运费先挂账没摊",IF(AND($B56&lt;&gt;"",COUNTIF($B$4:$B$2503,$B56)&gt;1),"※入库单号重复","")))))))</f>
        <v/>
      </c>
    </row>
    <row r="57">
      <c r="A57" s="24">
        <f>IF($G57="","",COUNTA($G$4:$G57))</f>
        <v/>
      </c>
      <c r="B57" s="17" t="n"/>
      <c r="C57" s="30" t="n">
        <v>46048</v>
      </c>
      <c r="D57" s="17" t="inlineStr">
        <is>
          <t>A国内</t>
        </is>
      </c>
      <c r="E57" s="17" t="inlineStr">
        <is>
          <t>MEDU7050813-202601</t>
        </is>
      </c>
      <c r="F57" s="17" t="inlineStr">
        <is>
          <t>江苏汉鼎橡</t>
        </is>
      </c>
      <c r="G57" s="17" t="inlineStr">
        <is>
          <t>JH0050</t>
        </is>
      </c>
      <c r="H57" s="24">
        <f>IF($G57="","",IFERROR(VLOOKUP($G57,物料档案!$A$4:$P$1203,3,0),"※编码不在物料档案里"))</f>
        <v/>
      </c>
      <c r="I57" s="24">
        <f>IF($G57="","",IFERROR(VLOOKUP($G57,物料档案!$A$4:$P$1203,4,0),"※编码不在物料档案里"))</f>
        <v/>
      </c>
      <c r="J57" s="24">
        <f>IF($G57="","",IFERROR(VLOOKUP($G57,物料档案!$A$4:$P$1203,5,0),"※编码不在物料档案里"))</f>
        <v/>
      </c>
      <c r="K57" s="23" t="n">
        <v>15</v>
      </c>
      <c r="L57" s="31" t="n">
        <v>116</v>
      </c>
      <c r="M57" s="24">
        <f>IF($G57="","",IF($D57="A国内","CNY","TZS"))</f>
        <v/>
      </c>
      <c r="N57" s="28">
        <f>IF($G57="","",IF($D57="A国内",汇率,1))</f>
        <v/>
      </c>
      <c r="O57" s="25">
        <f>IF($G57="","",ROUND(N($K57)*N($L57),2))</f>
        <v/>
      </c>
      <c r="P57" s="26">
        <f>IF($G57="","",ROUND($O57*$N57,0))</f>
        <v/>
      </c>
      <c r="Q57" s="26">
        <f>IF($G57="","",SUMIFS($P$4:$P$2503,$E$4:$E$2503,$E57,$Z$4:$Z$2503,"正常"))</f>
        <v/>
      </c>
      <c r="R57" s="26">
        <f>IF($G57="","",SUMIFS(费用台账!$I$4:$I$503,费用台账!$C$4:$C$503,$E57,费用台账!$J$4:$J$503,"是",费用台账!$K$4:$K$503,"正常"))</f>
        <v/>
      </c>
      <c r="S57" s="28">
        <f>IF($G57="","",COUNTIFS($E$4:$E$2503,$E57,$Z$4:$Z$2503,"正常",$Y$4:$Y$2503,"待补价"))</f>
        <v/>
      </c>
      <c r="T57" s="26">
        <f>IF($G57="","",SUMIFS($P$4:$P$2503,$E$4:$E$2503,$E57,$Z$4:$Z$2503,"正常",$A$4:$A$2503,"&lt;="&amp;$A57))</f>
        <v/>
      </c>
      <c r="U57" s="26">
        <f>IF($G57="","",IF(OR($S57&gt;0,$Q57=0,$R57=0,$Z57&lt;&gt;"正常"),0,ROUND($T57/$Q57*$R57,0)-ROUND(($T57-$P57)/$Q57*$R57,0)))</f>
        <v/>
      </c>
      <c r="V57" s="26">
        <f>IF($G57="","",ROUND($P57+$U57,0))</f>
        <v/>
      </c>
      <c r="W57" s="26">
        <f>IF($G57="","",IF(N($K57)=0,0,ROUND($V57/$K57,2)))</f>
        <v/>
      </c>
      <c r="X57" s="17" t="inlineStr">
        <is>
          <t>采购入库</t>
        </is>
      </c>
      <c r="Y57" s="17" t="inlineStr">
        <is>
          <t>正常</t>
        </is>
      </c>
      <c r="Z57" s="17" t="inlineStr">
        <is>
          <t>正常</t>
        </is>
      </c>
      <c r="AA57" s="17" t="n"/>
      <c r="AB57" s="17" t="inlineStr">
        <is>
          <t>原表第 62 行</t>
        </is>
      </c>
      <c r="AC57" s="24">
        <f>IF($G57="","",IF($H57="※编码不在物料档案里","※物料编码不在档案里",IF(N($K57)&lt;=0,"※入库数量要大于 0",IF(AND($C57&lt;&gt;"",$C57&lt;=结账锁),"※日期早于已结账截止日，不能再录",IF(AND($L57=0,$X57="正常"),"※没填单价，价格状态请选「待补价」",IF(AND($S57&gt;0,$R57&gt;0),"△本批有 "&amp;$S57&amp;" 行没单价，整批运费先挂账没摊",IF(AND($B57&lt;&gt;"",COUNTIF($B$4:$B$2503,$B57)&gt;1),"※入库单号重复","")))))))</f>
        <v/>
      </c>
    </row>
    <row r="58">
      <c r="A58" s="24">
        <f>IF($G58="","",COUNTA($G$4:$G58))</f>
        <v/>
      </c>
      <c r="B58" s="17" t="n"/>
      <c r="C58" s="30" t="n">
        <v>46048</v>
      </c>
      <c r="D58" s="17" t="inlineStr">
        <is>
          <t>A国内</t>
        </is>
      </c>
      <c r="E58" s="17" t="inlineStr">
        <is>
          <t>MEDU7050813-202601</t>
        </is>
      </c>
      <c r="F58" s="17" t="inlineStr">
        <is>
          <t>江苏汉鼎橡</t>
        </is>
      </c>
      <c r="G58" s="17" t="inlineStr">
        <is>
          <t>JH0051</t>
        </is>
      </c>
      <c r="H58" s="24">
        <f>IF($G58="","",IFERROR(VLOOKUP($G58,物料档案!$A$4:$P$1203,3,0),"※编码不在物料档案里"))</f>
        <v/>
      </c>
      <c r="I58" s="24">
        <f>IF($G58="","",IFERROR(VLOOKUP($G58,物料档案!$A$4:$P$1203,4,0),"※编码不在物料档案里"))</f>
        <v/>
      </c>
      <c r="J58" s="24">
        <f>IF($G58="","",IFERROR(VLOOKUP($G58,物料档案!$A$4:$P$1203,5,0),"※编码不在物料档案里"))</f>
        <v/>
      </c>
      <c r="K58" s="23" t="n">
        <v>20</v>
      </c>
      <c r="L58" s="31" t="n">
        <v>71</v>
      </c>
      <c r="M58" s="24">
        <f>IF($G58="","",IF($D58="A国内","CNY","TZS"))</f>
        <v/>
      </c>
      <c r="N58" s="28">
        <f>IF($G58="","",IF($D58="A国内",汇率,1))</f>
        <v/>
      </c>
      <c r="O58" s="25">
        <f>IF($G58="","",ROUND(N($K58)*N($L58),2))</f>
        <v/>
      </c>
      <c r="P58" s="26">
        <f>IF($G58="","",ROUND($O58*$N58,0))</f>
        <v/>
      </c>
      <c r="Q58" s="26">
        <f>IF($G58="","",SUMIFS($P$4:$P$2503,$E$4:$E$2503,$E58,$Z$4:$Z$2503,"正常"))</f>
        <v/>
      </c>
      <c r="R58" s="26">
        <f>IF($G58="","",SUMIFS(费用台账!$I$4:$I$503,费用台账!$C$4:$C$503,$E58,费用台账!$J$4:$J$503,"是",费用台账!$K$4:$K$503,"正常"))</f>
        <v/>
      </c>
      <c r="S58" s="28">
        <f>IF($G58="","",COUNTIFS($E$4:$E$2503,$E58,$Z$4:$Z$2503,"正常",$Y$4:$Y$2503,"待补价"))</f>
        <v/>
      </c>
      <c r="T58" s="26">
        <f>IF($G58="","",SUMIFS($P$4:$P$2503,$E$4:$E$2503,$E58,$Z$4:$Z$2503,"正常",$A$4:$A$2503,"&lt;="&amp;$A58))</f>
        <v/>
      </c>
      <c r="U58" s="26">
        <f>IF($G58="","",IF(OR($S58&gt;0,$Q58=0,$R58=0,$Z58&lt;&gt;"正常"),0,ROUND($T58/$Q58*$R58,0)-ROUND(($T58-$P58)/$Q58*$R58,0)))</f>
        <v/>
      </c>
      <c r="V58" s="26">
        <f>IF($G58="","",ROUND($P58+$U58,0))</f>
        <v/>
      </c>
      <c r="W58" s="26">
        <f>IF($G58="","",IF(N($K58)=0,0,ROUND($V58/$K58,2)))</f>
        <v/>
      </c>
      <c r="X58" s="17" t="inlineStr">
        <is>
          <t>采购入库</t>
        </is>
      </c>
      <c r="Y58" s="17" t="inlineStr">
        <is>
          <t>正常</t>
        </is>
      </c>
      <c r="Z58" s="17" t="inlineStr">
        <is>
          <t>正常</t>
        </is>
      </c>
      <c r="AA58" s="17" t="n"/>
      <c r="AB58" s="17" t="inlineStr">
        <is>
          <t>原表第 63 行</t>
        </is>
      </c>
      <c r="AC58" s="24">
        <f>IF($G58="","",IF($H58="※编码不在物料档案里","※物料编码不在档案里",IF(N($K58)&lt;=0,"※入库数量要大于 0",IF(AND($C58&lt;&gt;"",$C58&lt;=结账锁),"※日期早于已结账截止日，不能再录",IF(AND($L58=0,$X58="正常"),"※没填单价，价格状态请选「待补价」",IF(AND($S58&gt;0,$R58&gt;0),"△本批有 "&amp;$S58&amp;" 行没单价，整批运费先挂账没摊",IF(AND($B58&lt;&gt;"",COUNTIF($B$4:$B$2503,$B58)&gt;1),"※入库单号重复","")))))))</f>
        <v/>
      </c>
    </row>
    <row r="59">
      <c r="A59" s="24">
        <f>IF($G59="","",COUNTA($G$4:$G59))</f>
        <v/>
      </c>
      <c r="B59" s="17" t="n"/>
      <c r="C59" s="30" t="n">
        <v>46048</v>
      </c>
      <c r="D59" s="17" t="inlineStr">
        <is>
          <t>A国内</t>
        </is>
      </c>
      <c r="E59" s="17" t="inlineStr">
        <is>
          <t>MEDU7050813-202601</t>
        </is>
      </c>
      <c r="F59" s="17" t="inlineStr">
        <is>
          <t>猎谜</t>
        </is>
      </c>
      <c r="G59" s="17" t="inlineStr">
        <is>
          <t>JH0052</t>
        </is>
      </c>
      <c r="H59" s="24">
        <f>IF($G59="","",IFERROR(VLOOKUP($G59,物料档案!$A$4:$P$1203,3,0),"※编码不在物料档案里"))</f>
        <v/>
      </c>
      <c r="I59" s="24">
        <f>IF($G59="","",IFERROR(VLOOKUP($G59,物料档案!$A$4:$P$1203,4,0),"※编码不在物料档案里"))</f>
        <v/>
      </c>
      <c r="J59" s="24">
        <f>IF($G59="","",IFERROR(VLOOKUP($G59,物料档案!$A$4:$P$1203,5,0),"※编码不在物料档案里"))</f>
        <v/>
      </c>
      <c r="K59" s="23" t="n">
        <v>300</v>
      </c>
      <c r="L59" s="31" t="n">
        <v>28</v>
      </c>
      <c r="M59" s="24">
        <f>IF($G59="","",IF($D59="A国内","CNY","TZS"))</f>
        <v/>
      </c>
      <c r="N59" s="28">
        <f>IF($G59="","",IF($D59="A国内",汇率,1))</f>
        <v/>
      </c>
      <c r="O59" s="25">
        <f>IF($G59="","",ROUND(N($K59)*N($L59),2))</f>
        <v/>
      </c>
      <c r="P59" s="26">
        <f>IF($G59="","",ROUND($O59*$N59,0))</f>
        <v/>
      </c>
      <c r="Q59" s="26">
        <f>IF($G59="","",SUMIFS($P$4:$P$2503,$E$4:$E$2503,$E59,$Z$4:$Z$2503,"正常"))</f>
        <v/>
      </c>
      <c r="R59" s="26">
        <f>IF($G59="","",SUMIFS(费用台账!$I$4:$I$503,费用台账!$C$4:$C$503,$E59,费用台账!$J$4:$J$503,"是",费用台账!$K$4:$K$503,"正常"))</f>
        <v/>
      </c>
      <c r="S59" s="28">
        <f>IF($G59="","",COUNTIFS($E$4:$E$2503,$E59,$Z$4:$Z$2503,"正常",$Y$4:$Y$2503,"待补价"))</f>
        <v/>
      </c>
      <c r="T59" s="26">
        <f>IF($G59="","",SUMIFS($P$4:$P$2503,$E$4:$E$2503,$E59,$Z$4:$Z$2503,"正常",$A$4:$A$2503,"&lt;="&amp;$A59))</f>
        <v/>
      </c>
      <c r="U59" s="26">
        <f>IF($G59="","",IF(OR($S59&gt;0,$Q59=0,$R59=0,$Z59&lt;&gt;"正常"),0,ROUND($T59/$Q59*$R59,0)-ROUND(($T59-$P59)/$Q59*$R59,0)))</f>
        <v/>
      </c>
      <c r="V59" s="26">
        <f>IF($G59="","",ROUND($P59+$U59,0))</f>
        <v/>
      </c>
      <c r="W59" s="26">
        <f>IF($G59="","",IF(N($K59)=0,0,ROUND($V59/$K59,2)))</f>
        <v/>
      </c>
      <c r="X59" s="17" t="inlineStr">
        <is>
          <t>采购入库</t>
        </is>
      </c>
      <c r="Y59" s="17" t="inlineStr">
        <is>
          <t>正常</t>
        </is>
      </c>
      <c r="Z59" s="17" t="inlineStr">
        <is>
          <t>正常</t>
        </is>
      </c>
      <c r="AA59" s="17" t="n"/>
      <c r="AB59" s="17" t="inlineStr">
        <is>
          <t>原表第 64 行</t>
        </is>
      </c>
      <c r="AC59" s="24">
        <f>IF($G59="","",IF($H59="※编码不在物料档案里","※物料编码不在档案里",IF(N($K59)&lt;=0,"※入库数量要大于 0",IF(AND($C59&lt;&gt;"",$C59&lt;=结账锁),"※日期早于已结账截止日，不能再录",IF(AND($L59=0,$X59="正常"),"※没填单价，价格状态请选「待补价」",IF(AND($S59&gt;0,$R59&gt;0),"△本批有 "&amp;$S59&amp;" 行没单价，整批运费先挂账没摊",IF(AND($B59&lt;&gt;"",COUNTIF($B$4:$B$2503,$B59)&gt;1),"※入库单号重复","")))))))</f>
        <v/>
      </c>
    </row>
    <row r="60">
      <c r="A60" s="24">
        <f>IF($G60="","",COUNTA($G$4:$G60))</f>
        <v/>
      </c>
      <c r="B60" s="17" t="n"/>
      <c r="C60" s="30" t="n">
        <v>46048</v>
      </c>
      <c r="D60" s="17" t="inlineStr">
        <is>
          <t>A国内</t>
        </is>
      </c>
      <c r="E60" s="17" t="inlineStr">
        <is>
          <t>MEDU7050813-202601</t>
        </is>
      </c>
      <c r="F60" s="17" t="inlineStr">
        <is>
          <t>猎谜</t>
        </is>
      </c>
      <c r="G60" s="17" t="inlineStr">
        <is>
          <t>JH0053</t>
        </is>
      </c>
      <c r="H60" s="24">
        <f>IF($G60="","",IFERROR(VLOOKUP($G60,物料档案!$A$4:$P$1203,3,0),"※编码不在物料档案里"))</f>
        <v/>
      </c>
      <c r="I60" s="24">
        <f>IF($G60="","",IFERROR(VLOOKUP($G60,物料档案!$A$4:$P$1203,4,0),"※编码不在物料档案里"))</f>
        <v/>
      </c>
      <c r="J60" s="24">
        <f>IF($G60="","",IFERROR(VLOOKUP($G60,物料档案!$A$4:$P$1203,5,0),"※编码不在物料档案里"))</f>
        <v/>
      </c>
      <c r="K60" s="23" t="n">
        <v>1</v>
      </c>
      <c r="L60" s="31" t="n">
        <v>6778</v>
      </c>
      <c r="M60" s="24">
        <f>IF($G60="","",IF($D60="A国内","CNY","TZS"))</f>
        <v/>
      </c>
      <c r="N60" s="28">
        <f>IF($G60="","",IF($D60="A国内",汇率,1))</f>
        <v/>
      </c>
      <c r="O60" s="25">
        <f>IF($G60="","",ROUND(N($K60)*N($L60),2))</f>
        <v/>
      </c>
      <c r="P60" s="26">
        <f>IF($G60="","",ROUND($O60*$N60,0))</f>
        <v/>
      </c>
      <c r="Q60" s="26">
        <f>IF($G60="","",SUMIFS($P$4:$P$2503,$E$4:$E$2503,$E60,$Z$4:$Z$2503,"正常"))</f>
        <v/>
      </c>
      <c r="R60" s="26">
        <f>IF($G60="","",SUMIFS(费用台账!$I$4:$I$503,费用台账!$C$4:$C$503,$E60,费用台账!$J$4:$J$503,"是",费用台账!$K$4:$K$503,"正常"))</f>
        <v/>
      </c>
      <c r="S60" s="28">
        <f>IF($G60="","",COUNTIFS($E$4:$E$2503,$E60,$Z$4:$Z$2503,"正常",$Y$4:$Y$2503,"待补价"))</f>
        <v/>
      </c>
      <c r="T60" s="26">
        <f>IF($G60="","",SUMIFS($P$4:$P$2503,$E$4:$E$2503,$E60,$Z$4:$Z$2503,"正常",$A$4:$A$2503,"&lt;="&amp;$A60))</f>
        <v/>
      </c>
      <c r="U60" s="26">
        <f>IF($G60="","",IF(OR($S60&gt;0,$Q60=0,$R60=0,$Z60&lt;&gt;"正常"),0,ROUND($T60/$Q60*$R60,0)-ROUND(($T60-$P60)/$Q60*$R60,0)))</f>
        <v/>
      </c>
      <c r="V60" s="26">
        <f>IF($G60="","",ROUND($P60+$U60,0))</f>
        <v/>
      </c>
      <c r="W60" s="26">
        <f>IF($G60="","",IF(N($K60)=0,0,ROUND($V60/$K60,2)))</f>
        <v/>
      </c>
      <c r="X60" s="17" t="inlineStr">
        <is>
          <t>采购入库</t>
        </is>
      </c>
      <c r="Y60" s="17" t="inlineStr">
        <is>
          <t>正常</t>
        </is>
      </c>
      <c r="Z60" s="17" t="inlineStr">
        <is>
          <t>正常</t>
        </is>
      </c>
      <c r="AA60" s="17" t="n"/>
      <c r="AB60" s="17" t="inlineStr">
        <is>
          <t>原表第 65 行</t>
        </is>
      </c>
      <c r="AC60" s="24">
        <f>IF($G60="","",IF($H60="※编码不在物料档案里","※物料编码不在档案里",IF(N($K60)&lt;=0,"※入库数量要大于 0",IF(AND($C60&lt;&gt;"",$C60&lt;=结账锁),"※日期早于已结账截止日，不能再录",IF(AND($L60=0,$X60="正常"),"※没填单价，价格状态请选「待补价」",IF(AND($S60&gt;0,$R60&gt;0),"△本批有 "&amp;$S60&amp;" 行没单价，整批运费先挂账没摊",IF(AND($B60&lt;&gt;"",COUNTIF($B$4:$B$2503,$B60)&gt;1),"※入库单号重复","")))))))</f>
        <v/>
      </c>
    </row>
    <row r="61">
      <c r="A61" s="24">
        <f>IF($G61="","",COUNTA($G$4:$G61))</f>
        <v/>
      </c>
      <c r="B61" s="17" t="n"/>
      <c r="C61" s="30" t="n">
        <v>46048</v>
      </c>
      <c r="D61" s="17" t="inlineStr">
        <is>
          <t>A国内</t>
        </is>
      </c>
      <c r="E61" s="17" t="inlineStr">
        <is>
          <t>MEDU7050813-202601</t>
        </is>
      </c>
      <c r="F61" s="17" t="inlineStr">
        <is>
          <t>猎谜</t>
        </is>
      </c>
      <c r="G61" s="17" t="inlineStr">
        <is>
          <t>JH0054</t>
        </is>
      </c>
      <c r="H61" s="24">
        <f>IF($G61="","",IFERROR(VLOOKUP($G61,物料档案!$A$4:$P$1203,3,0),"※编码不在物料档案里"))</f>
        <v/>
      </c>
      <c r="I61" s="24">
        <f>IF($G61="","",IFERROR(VLOOKUP($G61,物料档案!$A$4:$P$1203,4,0),"※编码不在物料档案里"))</f>
        <v/>
      </c>
      <c r="J61" s="24">
        <f>IF($G61="","",IFERROR(VLOOKUP($G61,物料档案!$A$4:$P$1203,5,0),"※编码不在物料档案里"))</f>
        <v/>
      </c>
      <c r="K61" s="23" t="n">
        <v>90</v>
      </c>
      <c r="L61" s="31" t="n">
        <v>95.59999999999999</v>
      </c>
      <c r="M61" s="24">
        <f>IF($G61="","",IF($D61="A国内","CNY","TZS"))</f>
        <v/>
      </c>
      <c r="N61" s="28">
        <f>IF($G61="","",IF($D61="A国内",汇率,1))</f>
        <v/>
      </c>
      <c r="O61" s="25">
        <f>IF($G61="","",ROUND(N($K61)*N($L61),2))</f>
        <v/>
      </c>
      <c r="P61" s="26">
        <f>IF($G61="","",ROUND($O61*$N61,0))</f>
        <v/>
      </c>
      <c r="Q61" s="26">
        <f>IF($G61="","",SUMIFS($P$4:$P$2503,$E$4:$E$2503,$E61,$Z$4:$Z$2503,"正常"))</f>
        <v/>
      </c>
      <c r="R61" s="26">
        <f>IF($G61="","",SUMIFS(费用台账!$I$4:$I$503,费用台账!$C$4:$C$503,$E61,费用台账!$J$4:$J$503,"是",费用台账!$K$4:$K$503,"正常"))</f>
        <v/>
      </c>
      <c r="S61" s="28">
        <f>IF($G61="","",COUNTIFS($E$4:$E$2503,$E61,$Z$4:$Z$2503,"正常",$Y$4:$Y$2503,"待补价"))</f>
        <v/>
      </c>
      <c r="T61" s="26">
        <f>IF($G61="","",SUMIFS($P$4:$P$2503,$E$4:$E$2503,$E61,$Z$4:$Z$2503,"正常",$A$4:$A$2503,"&lt;="&amp;$A61))</f>
        <v/>
      </c>
      <c r="U61" s="26">
        <f>IF($G61="","",IF(OR($S61&gt;0,$Q61=0,$R61=0,$Z61&lt;&gt;"正常"),0,ROUND($T61/$Q61*$R61,0)-ROUND(($T61-$P61)/$Q61*$R61,0)))</f>
        <v/>
      </c>
      <c r="V61" s="26">
        <f>IF($G61="","",ROUND($P61+$U61,0))</f>
        <v/>
      </c>
      <c r="W61" s="26">
        <f>IF($G61="","",IF(N($K61)=0,0,ROUND($V61/$K61,2)))</f>
        <v/>
      </c>
      <c r="X61" s="17" t="inlineStr">
        <is>
          <t>采购入库</t>
        </is>
      </c>
      <c r="Y61" s="17" t="inlineStr">
        <is>
          <t>正常</t>
        </is>
      </c>
      <c r="Z61" s="17" t="inlineStr">
        <is>
          <t>正常</t>
        </is>
      </c>
      <c r="AA61" s="17" t="n"/>
      <c r="AB61" s="17" t="inlineStr">
        <is>
          <t>原表第 66 行</t>
        </is>
      </c>
      <c r="AC61" s="24">
        <f>IF($G61="","",IF($H61="※编码不在物料档案里","※物料编码不在档案里",IF(N($K61)&lt;=0,"※入库数量要大于 0",IF(AND($C61&lt;&gt;"",$C61&lt;=结账锁),"※日期早于已结账截止日，不能再录",IF(AND($L61=0,$X61="正常"),"※没填单价，价格状态请选「待补价」",IF(AND($S61&gt;0,$R61&gt;0),"△本批有 "&amp;$S61&amp;" 行没单价，整批运费先挂账没摊",IF(AND($B61&lt;&gt;"",COUNTIF($B$4:$B$2503,$B61)&gt;1),"※入库单号重复","")))))))</f>
        <v/>
      </c>
    </row>
    <row r="62">
      <c r="A62" s="24">
        <f>IF($G62="","",COUNTA($G$4:$G62))</f>
        <v/>
      </c>
      <c r="B62" s="17" t="n"/>
      <c r="C62" s="30" t="n">
        <v>46048</v>
      </c>
      <c r="D62" s="17" t="inlineStr">
        <is>
          <t>A国内</t>
        </is>
      </c>
      <c r="E62" s="17" t="inlineStr">
        <is>
          <t>MEDU7050813-202601</t>
        </is>
      </c>
      <c r="F62" s="17" t="inlineStr">
        <is>
          <t>猎谜</t>
        </is>
      </c>
      <c r="G62" s="17" t="inlineStr">
        <is>
          <t>JH0055</t>
        </is>
      </c>
      <c r="H62" s="24">
        <f>IF($G62="","",IFERROR(VLOOKUP($G62,物料档案!$A$4:$P$1203,3,0),"※编码不在物料档案里"))</f>
        <v/>
      </c>
      <c r="I62" s="24">
        <f>IF($G62="","",IFERROR(VLOOKUP($G62,物料档案!$A$4:$P$1203,4,0),"※编码不在物料档案里"))</f>
        <v/>
      </c>
      <c r="J62" s="24">
        <f>IF($G62="","",IFERROR(VLOOKUP($G62,物料档案!$A$4:$P$1203,5,0),"※编码不在物料档案里"))</f>
        <v/>
      </c>
      <c r="K62" s="23" t="n">
        <v>50</v>
      </c>
      <c r="L62" s="31" t="n">
        <v>95.59999999999999</v>
      </c>
      <c r="M62" s="24">
        <f>IF($G62="","",IF($D62="A国内","CNY","TZS"))</f>
        <v/>
      </c>
      <c r="N62" s="28">
        <f>IF($G62="","",IF($D62="A国内",汇率,1))</f>
        <v/>
      </c>
      <c r="O62" s="25">
        <f>IF($G62="","",ROUND(N($K62)*N($L62),2))</f>
        <v/>
      </c>
      <c r="P62" s="26">
        <f>IF($G62="","",ROUND($O62*$N62,0))</f>
        <v/>
      </c>
      <c r="Q62" s="26">
        <f>IF($G62="","",SUMIFS($P$4:$P$2503,$E$4:$E$2503,$E62,$Z$4:$Z$2503,"正常"))</f>
        <v/>
      </c>
      <c r="R62" s="26">
        <f>IF($G62="","",SUMIFS(费用台账!$I$4:$I$503,费用台账!$C$4:$C$503,$E62,费用台账!$J$4:$J$503,"是",费用台账!$K$4:$K$503,"正常"))</f>
        <v/>
      </c>
      <c r="S62" s="28">
        <f>IF($G62="","",COUNTIFS($E$4:$E$2503,$E62,$Z$4:$Z$2503,"正常",$Y$4:$Y$2503,"待补价"))</f>
        <v/>
      </c>
      <c r="T62" s="26">
        <f>IF($G62="","",SUMIFS($P$4:$P$2503,$E$4:$E$2503,$E62,$Z$4:$Z$2503,"正常",$A$4:$A$2503,"&lt;="&amp;$A62))</f>
        <v/>
      </c>
      <c r="U62" s="26">
        <f>IF($G62="","",IF(OR($S62&gt;0,$Q62=0,$R62=0,$Z62&lt;&gt;"正常"),0,ROUND($T62/$Q62*$R62,0)-ROUND(($T62-$P62)/$Q62*$R62,0)))</f>
        <v/>
      </c>
      <c r="V62" s="26">
        <f>IF($G62="","",ROUND($P62+$U62,0))</f>
        <v/>
      </c>
      <c r="W62" s="26">
        <f>IF($G62="","",IF(N($K62)=0,0,ROUND($V62/$K62,2)))</f>
        <v/>
      </c>
      <c r="X62" s="17" t="inlineStr">
        <is>
          <t>采购入库</t>
        </is>
      </c>
      <c r="Y62" s="17" t="inlineStr">
        <is>
          <t>正常</t>
        </is>
      </c>
      <c r="Z62" s="17" t="inlineStr">
        <is>
          <t>正常</t>
        </is>
      </c>
      <c r="AA62" s="17" t="n"/>
      <c r="AB62" s="17" t="inlineStr">
        <is>
          <t>原表第 67 行</t>
        </is>
      </c>
      <c r="AC62" s="24">
        <f>IF($G62="","",IF($H62="※编码不在物料档案里","※物料编码不在档案里",IF(N($K62)&lt;=0,"※入库数量要大于 0",IF(AND($C62&lt;&gt;"",$C62&lt;=结账锁),"※日期早于已结账截止日，不能再录",IF(AND($L62=0,$X62="正常"),"※没填单价，价格状态请选「待补价」",IF(AND($S62&gt;0,$R62&gt;0),"△本批有 "&amp;$S62&amp;" 行没单价，整批运费先挂账没摊",IF(AND($B62&lt;&gt;"",COUNTIF($B$4:$B$2503,$B62)&gt;1),"※入库单号重复","")))))))</f>
        <v/>
      </c>
    </row>
    <row r="63">
      <c r="A63" s="24">
        <f>IF($G63="","",COUNTA($G$4:$G63))</f>
        <v/>
      </c>
      <c r="B63" s="17" t="n"/>
      <c r="C63" s="30" t="n">
        <v>46048</v>
      </c>
      <c r="D63" s="17" t="inlineStr">
        <is>
          <t>A国内</t>
        </is>
      </c>
      <c r="E63" s="17" t="inlineStr">
        <is>
          <t>MEDU7050813-202601</t>
        </is>
      </c>
      <c r="F63" s="17" t="inlineStr">
        <is>
          <t>猎谜</t>
        </is>
      </c>
      <c r="G63" s="17" t="inlineStr">
        <is>
          <t>JH0056</t>
        </is>
      </c>
      <c r="H63" s="24">
        <f>IF($G63="","",IFERROR(VLOOKUP($G63,物料档案!$A$4:$P$1203,3,0),"※编码不在物料档案里"))</f>
        <v/>
      </c>
      <c r="I63" s="24">
        <f>IF($G63="","",IFERROR(VLOOKUP($G63,物料档案!$A$4:$P$1203,4,0),"※编码不在物料档案里"))</f>
        <v/>
      </c>
      <c r="J63" s="24">
        <f>IF($G63="","",IFERROR(VLOOKUP($G63,物料档案!$A$4:$P$1203,5,0),"※编码不在物料档案里"))</f>
        <v/>
      </c>
      <c r="K63" s="23" t="n">
        <v>3</v>
      </c>
      <c r="L63" s="31" t="n">
        <v>104.4</v>
      </c>
      <c r="M63" s="24">
        <f>IF($G63="","",IF($D63="A国内","CNY","TZS"))</f>
        <v/>
      </c>
      <c r="N63" s="28">
        <f>IF($G63="","",IF($D63="A国内",汇率,1))</f>
        <v/>
      </c>
      <c r="O63" s="25">
        <f>IF($G63="","",ROUND(N($K63)*N($L63),2))</f>
        <v/>
      </c>
      <c r="P63" s="26">
        <f>IF($G63="","",ROUND($O63*$N63,0))</f>
        <v/>
      </c>
      <c r="Q63" s="26">
        <f>IF($G63="","",SUMIFS($P$4:$P$2503,$E$4:$E$2503,$E63,$Z$4:$Z$2503,"正常"))</f>
        <v/>
      </c>
      <c r="R63" s="26">
        <f>IF($G63="","",SUMIFS(费用台账!$I$4:$I$503,费用台账!$C$4:$C$503,$E63,费用台账!$J$4:$J$503,"是",费用台账!$K$4:$K$503,"正常"))</f>
        <v/>
      </c>
      <c r="S63" s="28">
        <f>IF($G63="","",COUNTIFS($E$4:$E$2503,$E63,$Z$4:$Z$2503,"正常",$Y$4:$Y$2503,"待补价"))</f>
        <v/>
      </c>
      <c r="T63" s="26">
        <f>IF($G63="","",SUMIFS($P$4:$P$2503,$E$4:$E$2503,$E63,$Z$4:$Z$2503,"正常",$A$4:$A$2503,"&lt;="&amp;$A63))</f>
        <v/>
      </c>
      <c r="U63" s="26">
        <f>IF($G63="","",IF(OR($S63&gt;0,$Q63=0,$R63=0,$Z63&lt;&gt;"正常"),0,ROUND($T63/$Q63*$R63,0)-ROUND(($T63-$P63)/$Q63*$R63,0)))</f>
        <v/>
      </c>
      <c r="V63" s="26">
        <f>IF($G63="","",ROUND($P63+$U63,0))</f>
        <v/>
      </c>
      <c r="W63" s="26">
        <f>IF($G63="","",IF(N($K63)=0,0,ROUND($V63/$K63,2)))</f>
        <v/>
      </c>
      <c r="X63" s="17" t="inlineStr">
        <is>
          <t>采购入库</t>
        </is>
      </c>
      <c r="Y63" s="17" t="inlineStr">
        <is>
          <t>正常</t>
        </is>
      </c>
      <c r="Z63" s="17" t="inlineStr">
        <is>
          <t>正常</t>
        </is>
      </c>
      <c r="AA63" s="17" t="n"/>
      <c r="AB63" s="17" t="inlineStr">
        <is>
          <t>原表第 68 行</t>
        </is>
      </c>
      <c r="AC63" s="24">
        <f>IF($G63="","",IF($H63="※编码不在物料档案里","※物料编码不在档案里",IF(N($K63)&lt;=0,"※入库数量要大于 0",IF(AND($C63&lt;&gt;"",$C63&lt;=结账锁),"※日期早于已结账截止日，不能再录",IF(AND($L63=0,$X63="正常"),"※没填单价，价格状态请选「待补价」",IF(AND($S63&gt;0,$R63&gt;0),"△本批有 "&amp;$S63&amp;" 行没单价，整批运费先挂账没摊",IF(AND($B63&lt;&gt;"",COUNTIF($B$4:$B$2503,$B63)&gt;1),"※入库单号重复","")))))))</f>
        <v/>
      </c>
    </row>
    <row r="64">
      <c r="A64" s="24">
        <f>IF($G64="","",COUNTA($G$4:$G64))</f>
        <v/>
      </c>
      <c r="B64" s="17" t="n"/>
      <c r="C64" s="30" t="n">
        <v>46048</v>
      </c>
      <c r="D64" s="17" t="inlineStr">
        <is>
          <t>A国内</t>
        </is>
      </c>
      <c r="E64" s="17" t="inlineStr">
        <is>
          <t>MEDU7050813-202601</t>
        </is>
      </c>
      <c r="F64" s="17" t="inlineStr">
        <is>
          <t>猎谜</t>
        </is>
      </c>
      <c r="G64" s="17" t="inlineStr">
        <is>
          <t>JH0057</t>
        </is>
      </c>
      <c r="H64" s="24">
        <f>IF($G64="","",IFERROR(VLOOKUP($G64,物料档案!$A$4:$P$1203,3,0),"※编码不在物料档案里"))</f>
        <v/>
      </c>
      <c r="I64" s="24">
        <f>IF($G64="","",IFERROR(VLOOKUP($G64,物料档案!$A$4:$P$1203,4,0),"※编码不在物料档案里"))</f>
        <v/>
      </c>
      <c r="J64" s="24">
        <f>IF($G64="","",IFERROR(VLOOKUP($G64,物料档案!$A$4:$P$1203,5,0),"※编码不在物料档案里"))</f>
        <v/>
      </c>
      <c r="K64" s="23" t="n">
        <v>120</v>
      </c>
      <c r="L64" s="31" t="n">
        <v>21</v>
      </c>
      <c r="M64" s="24">
        <f>IF($G64="","",IF($D64="A国内","CNY","TZS"))</f>
        <v/>
      </c>
      <c r="N64" s="28">
        <f>IF($G64="","",IF($D64="A国内",汇率,1))</f>
        <v/>
      </c>
      <c r="O64" s="25">
        <f>IF($G64="","",ROUND(N($K64)*N($L64),2))</f>
        <v/>
      </c>
      <c r="P64" s="26">
        <f>IF($G64="","",ROUND($O64*$N64,0))</f>
        <v/>
      </c>
      <c r="Q64" s="26">
        <f>IF($G64="","",SUMIFS($P$4:$P$2503,$E$4:$E$2503,$E64,$Z$4:$Z$2503,"正常"))</f>
        <v/>
      </c>
      <c r="R64" s="26">
        <f>IF($G64="","",SUMIFS(费用台账!$I$4:$I$503,费用台账!$C$4:$C$503,$E64,费用台账!$J$4:$J$503,"是",费用台账!$K$4:$K$503,"正常"))</f>
        <v/>
      </c>
      <c r="S64" s="28">
        <f>IF($G64="","",COUNTIFS($E$4:$E$2503,$E64,$Z$4:$Z$2503,"正常",$Y$4:$Y$2503,"待补价"))</f>
        <v/>
      </c>
      <c r="T64" s="26">
        <f>IF($G64="","",SUMIFS($P$4:$P$2503,$E$4:$E$2503,$E64,$Z$4:$Z$2503,"正常",$A$4:$A$2503,"&lt;="&amp;$A64))</f>
        <v/>
      </c>
      <c r="U64" s="26">
        <f>IF($G64="","",IF(OR($S64&gt;0,$Q64=0,$R64=0,$Z64&lt;&gt;"正常"),0,ROUND($T64/$Q64*$R64,0)-ROUND(($T64-$P64)/$Q64*$R64,0)))</f>
        <v/>
      </c>
      <c r="V64" s="26">
        <f>IF($G64="","",ROUND($P64+$U64,0))</f>
        <v/>
      </c>
      <c r="W64" s="26">
        <f>IF($G64="","",IF(N($K64)=0,0,ROUND($V64/$K64,2)))</f>
        <v/>
      </c>
      <c r="X64" s="17" t="inlineStr">
        <is>
          <t>采购入库</t>
        </is>
      </c>
      <c r="Y64" s="17" t="inlineStr">
        <is>
          <t>正常</t>
        </is>
      </c>
      <c r="Z64" s="17" t="inlineStr">
        <is>
          <t>正常</t>
        </is>
      </c>
      <c r="AA64" s="17" t="n"/>
      <c r="AB64" s="17" t="inlineStr">
        <is>
          <t>原表第 69 行</t>
        </is>
      </c>
      <c r="AC64" s="24">
        <f>IF($G64="","",IF($H64="※编码不在物料档案里","※物料编码不在档案里",IF(N($K64)&lt;=0,"※入库数量要大于 0",IF(AND($C64&lt;&gt;"",$C64&lt;=结账锁),"※日期早于已结账截止日，不能再录",IF(AND($L64=0,$X64="正常"),"※没填单价，价格状态请选「待补价」",IF(AND($S64&gt;0,$R64&gt;0),"△本批有 "&amp;$S64&amp;" 行没单价，整批运费先挂账没摊",IF(AND($B64&lt;&gt;"",COUNTIF($B$4:$B$2503,$B64)&gt;1),"※入库单号重复","")))))))</f>
        <v/>
      </c>
    </row>
    <row r="65">
      <c r="A65" s="24">
        <f>IF($G65="","",COUNTA($G$4:$G65))</f>
        <v/>
      </c>
      <c r="B65" s="17" t="n"/>
      <c r="C65" s="30" t="n">
        <v>46048</v>
      </c>
      <c r="D65" s="17" t="inlineStr">
        <is>
          <t>A国内</t>
        </is>
      </c>
      <c r="E65" s="17" t="inlineStr">
        <is>
          <t>MEDU7050813-202601</t>
        </is>
      </c>
      <c r="F65" s="17" t="inlineStr">
        <is>
          <t>广成家用电器</t>
        </is>
      </c>
      <c r="G65" s="17" t="inlineStr">
        <is>
          <t>JH0058</t>
        </is>
      </c>
      <c r="H65" s="24">
        <f>IF($G65="","",IFERROR(VLOOKUP($G65,物料档案!$A$4:$P$1203,3,0),"※编码不在物料档案里"))</f>
        <v/>
      </c>
      <c r="I65" s="24">
        <f>IF($G65="","",IFERROR(VLOOKUP($G65,物料档案!$A$4:$P$1203,4,0),"※编码不在物料档案里"))</f>
        <v/>
      </c>
      <c r="J65" s="24">
        <f>IF($G65="","",IFERROR(VLOOKUP($G65,物料档案!$A$4:$P$1203,5,0),"※编码不在物料档案里"))</f>
        <v/>
      </c>
      <c r="K65" s="23" t="n">
        <v>2</v>
      </c>
      <c r="L65" s="31" t="n">
        <v>1680</v>
      </c>
      <c r="M65" s="24">
        <f>IF($G65="","",IF($D65="A国内","CNY","TZS"))</f>
        <v/>
      </c>
      <c r="N65" s="28">
        <f>IF($G65="","",IF($D65="A国内",汇率,1))</f>
        <v/>
      </c>
      <c r="O65" s="25">
        <f>IF($G65="","",ROUND(N($K65)*N($L65),2))</f>
        <v/>
      </c>
      <c r="P65" s="26">
        <f>IF($G65="","",ROUND($O65*$N65,0))</f>
        <v/>
      </c>
      <c r="Q65" s="26">
        <f>IF($G65="","",SUMIFS($P$4:$P$2503,$E$4:$E$2503,$E65,$Z$4:$Z$2503,"正常"))</f>
        <v/>
      </c>
      <c r="R65" s="26">
        <f>IF($G65="","",SUMIFS(费用台账!$I$4:$I$503,费用台账!$C$4:$C$503,$E65,费用台账!$J$4:$J$503,"是",费用台账!$K$4:$K$503,"正常"))</f>
        <v/>
      </c>
      <c r="S65" s="28">
        <f>IF($G65="","",COUNTIFS($E$4:$E$2503,$E65,$Z$4:$Z$2503,"正常",$Y$4:$Y$2503,"待补价"))</f>
        <v/>
      </c>
      <c r="T65" s="26">
        <f>IF($G65="","",SUMIFS($P$4:$P$2503,$E$4:$E$2503,$E65,$Z$4:$Z$2503,"正常",$A$4:$A$2503,"&lt;="&amp;$A65))</f>
        <v/>
      </c>
      <c r="U65" s="26">
        <f>IF($G65="","",IF(OR($S65&gt;0,$Q65=0,$R65=0,$Z65&lt;&gt;"正常"),0,ROUND($T65/$Q65*$R65,0)-ROUND(($T65-$P65)/$Q65*$R65,0)))</f>
        <v/>
      </c>
      <c r="V65" s="26">
        <f>IF($G65="","",ROUND($P65+$U65,0))</f>
        <v/>
      </c>
      <c r="W65" s="26">
        <f>IF($G65="","",IF(N($K65)=0,0,ROUND($V65/$K65,2)))</f>
        <v/>
      </c>
      <c r="X65" s="17" t="inlineStr">
        <is>
          <t>采购入库</t>
        </is>
      </c>
      <c r="Y65" s="17" t="inlineStr">
        <is>
          <t>正常</t>
        </is>
      </c>
      <c r="Z65" s="17" t="inlineStr">
        <is>
          <t>正常</t>
        </is>
      </c>
      <c r="AA65" s="17" t="n"/>
      <c r="AB65" s="17" t="inlineStr">
        <is>
          <t>原表第 70 行</t>
        </is>
      </c>
      <c r="AC65" s="24">
        <f>IF($G65="","",IF($H65="※编码不在物料档案里","※物料编码不在档案里",IF(N($K65)&lt;=0,"※入库数量要大于 0",IF(AND($C65&lt;&gt;"",$C65&lt;=结账锁),"※日期早于已结账截止日，不能再录",IF(AND($L65=0,$X65="正常"),"※没填单价，价格状态请选「待补价」",IF(AND($S65&gt;0,$R65&gt;0),"△本批有 "&amp;$S65&amp;" 行没单价，整批运费先挂账没摊",IF(AND($B65&lt;&gt;"",COUNTIF($B$4:$B$2503,$B65)&gt;1),"※入库单号重复","")))))))</f>
        <v/>
      </c>
    </row>
    <row r="66">
      <c r="A66" s="24">
        <f>IF($G66="","",COUNTA($G$4:$G66))</f>
        <v/>
      </c>
      <c r="B66" s="17" t="n"/>
      <c r="C66" s="30" t="n">
        <v>46048</v>
      </c>
      <c r="D66" s="17" t="inlineStr">
        <is>
          <t>A国内</t>
        </is>
      </c>
      <c r="E66" s="17" t="inlineStr">
        <is>
          <t>MEDU7050813-202601</t>
        </is>
      </c>
      <c r="F66" s="17" t="inlineStr">
        <is>
          <t>广成家用电器</t>
        </is>
      </c>
      <c r="G66" s="17" t="inlineStr">
        <is>
          <t>JH0059</t>
        </is>
      </c>
      <c r="H66" s="24">
        <f>IF($G66="","",IFERROR(VLOOKUP($G66,物料档案!$A$4:$P$1203,3,0),"※编码不在物料档案里"))</f>
        <v/>
      </c>
      <c r="I66" s="24">
        <f>IF($G66="","",IFERROR(VLOOKUP($G66,物料档案!$A$4:$P$1203,4,0),"※编码不在物料档案里"))</f>
        <v/>
      </c>
      <c r="J66" s="24">
        <f>IF($G66="","",IFERROR(VLOOKUP($G66,物料档案!$A$4:$P$1203,5,0),"※编码不在物料档案里"))</f>
        <v/>
      </c>
      <c r="K66" s="23" t="n">
        <v>2</v>
      </c>
      <c r="L66" s="31" t="n">
        <v>1960</v>
      </c>
      <c r="M66" s="24">
        <f>IF($G66="","",IF($D66="A国内","CNY","TZS"))</f>
        <v/>
      </c>
      <c r="N66" s="28">
        <f>IF($G66="","",IF($D66="A国内",汇率,1))</f>
        <v/>
      </c>
      <c r="O66" s="25">
        <f>IF($G66="","",ROUND(N($K66)*N($L66),2))</f>
        <v/>
      </c>
      <c r="P66" s="26">
        <f>IF($G66="","",ROUND($O66*$N66,0))</f>
        <v/>
      </c>
      <c r="Q66" s="26">
        <f>IF($G66="","",SUMIFS($P$4:$P$2503,$E$4:$E$2503,$E66,$Z$4:$Z$2503,"正常"))</f>
        <v/>
      </c>
      <c r="R66" s="26">
        <f>IF($G66="","",SUMIFS(费用台账!$I$4:$I$503,费用台账!$C$4:$C$503,$E66,费用台账!$J$4:$J$503,"是",费用台账!$K$4:$K$503,"正常"))</f>
        <v/>
      </c>
      <c r="S66" s="28">
        <f>IF($G66="","",COUNTIFS($E$4:$E$2503,$E66,$Z$4:$Z$2503,"正常",$Y$4:$Y$2503,"待补价"))</f>
        <v/>
      </c>
      <c r="T66" s="26">
        <f>IF($G66="","",SUMIFS($P$4:$P$2503,$E$4:$E$2503,$E66,$Z$4:$Z$2503,"正常",$A$4:$A$2503,"&lt;="&amp;$A66))</f>
        <v/>
      </c>
      <c r="U66" s="26">
        <f>IF($G66="","",IF(OR($S66&gt;0,$Q66=0,$R66=0,$Z66&lt;&gt;"正常"),0,ROUND($T66/$Q66*$R66,0)-ROUND(($T66-$P66)/$Q66*$R66,0)))</f>
        <v/>
      </c>
      <c r="V66" s="26">
        <f>IF($G66="","",ROUND($P66+$U66,0))</f>
        <v/>
      </c>
      <c r="W66" s="26">
        <f>IF($G66="","",IF(N($K66)=0,0,ROUND($V66/$K66,2)))</f>
        <v/>
      </c>
      <c r="X66" s="17" t="inlineStr">
        <is>
          <t>采购入库</t>
        </is>
      </c>
      <c r="Y66" s="17" t="inlineStr">
        <is>
          <t>正常</t>
        </is>
      </c>
      <c r="Z66" s="17" t="inlineStr">
        <is>
          <t>正常</t>
        </is>
      </c>
      <c r="AA66" s="17" t="n"/>
      <c r="AB66" s="17" t="inlineStr">
        <is>
          <t>原表第 71 行</t>
        </is>
      </c>
      <c r="AC66" s="24">
        <f>IF($G66="","",IF($H66="※编码不在物料档案里","※物料编码不在档案里",IF(N($K66)&lt;=0,"※入库数量要大于 0",IF(AND($C66&lt;&gt;"",$C66&lt;=结账锁),"※日期早于已结账截止日，不能再录",IF(AND($L66=0,$X66="正常"),"※没填单价，价格状态请选「待补价」",IF(AND($S66&gt;0,$R66&gt;0),"△本批有 "&amp;$S66&amp;" 行没单价，整批运费先挂账没摊",IF(AND($B66&lt;&gt;"",COUNTIF($B$4:$B$2503,$B66)&gt;1),"※入库单号重复","")))))))</f>
        <v/>
      </c>
    </row>
    <row r="67">
      <c r="A67" s="24">
        <f>IF($G67="","",COUNTA($G$4:$G67))</f>
        <v/>
      </c>
      <c r="B67" s="17" t="n"/>
      <c r="C67" s="30" t="n">
        <v>46048</v>
      </c>
      <c r="D67" s="17" t="inlineStr">
        <is>
          <t>A国内</t>
        </is>
      </c>
      <c r="E67" s="17" t="inlineStr">
        <is>
          <t>MEDU7050813-202601</t>
        </is>
      </c>
      <c r="F67" s="17" t="inlineStr">
        <is>
          <t>广成家用电器</t>
        </is>
      </c>
      <c r="G67" s="17" t="inlineStr">
        <is>
          <t>JH0060</t>
        </is>
      </c>
      <c r="H67" s="24">
        <f>IF($G67="","",IFERROR(VLOOKUP($G67,物料档案!$A$4:$P$1203,3,0),"※编码不在物料档案里"))</f>
        <v/>
      </c>
      <c r="I67" s="24">
        <f>IF($G67="","",IFERROR(VLOOKUP($G67,物料档案!$A$4:$P$1203,4,0),"※编码不在物料档案里"))</f>
        <v/>
      </c>
      <c r="J67" s="24">
        <f>IF($G67="","",IFERROR(VLOOKUP($G67,物料档案!$A$4:$P$1203,5,0),"※编码不在物料档案里"))</f>
        <v/>
      </c>
      <c r="K67" s="23" t="n">
        <v>4</v>
      </c>
      <c r="L67" s="31" t="n">
        <v>2000</v>
      </c>
      <c r="M67" s="24">
        <f>IF($G67="","",IF($D67="A国内","CNY","TZS"))</f>
        <v/>
      </c>
      <c r="N67" s="28">
        <f>IF($G67="","",IF($D67="A国内",汇率,1))</f>
        <v/>
      </c>
      <c r="O67" s="25">
        <f>IF($G67="","",ROUND(N($K67)*N($L67),2))</f>
        <v/>
      </c>
      <c r="P67" s="26">
        <f>IF($G67="","",ROUND($O67*$N67,0))</f>
        <v/>
      </c>
      <c r="Q67" s="26">
        <f>IF($G67="","",SUMIFS($P$4:$P$2503,$E$4:$E$2503,$E67,$Z$4:$Z$2503,"正常"))</f>
        <v/>
      </c>
      <c r="R67" s="26">
        <f>IF($G67="","",SUMIFS(费用台账!$I$4:$I$503,费用台账!$C$4:$C$503,$E67,费用台账!$J$4:$J$503,"是",费用台账!$K$4:$K$503,"正常"))</f>
        <v/>
      </c>
      <c r="S67" s="28">
        <f>IF($G67="","",COUNTIFS($E$4:$E$2503,$E67,$Z$4:$Z$2503,"正常",$Y$4:$Y$2503,"待补价"))</f>
        <v/>
      </c>
      <c r="T67" s="26">
        <f>IF($G67="","",SUMIFS($P$4:$P$2503,$E$4:$E$2503,$E67,$Z$4:$Z$2503,"正常",$A$4:$A$2503,"&lt;="&amp;$A67))</f>
        <v/>
      </c>
      <c r="U67" s="26">
        <f>IF($G67="","",IF(OR($S67&gt;0,$Q67=0,$R67=0,$Z67&lt;&gt;"正常"),0,ROUND($T67/$Q67*$R67,0)-ROUND(($T67-$P67)/$Q67*$R67,0)))</f>
        <v/>
      </c>
      <c r="V67" s="26">
        <f>IF($G67="","",ROUND($P67+$U67,0))</f>
        <v/>
      </c>
      <c r="W67" s="26">
        <f>IF($G67="","",IF(N($K67)=0,0,ROUND($V67/$K67,2)))</f>
        <v/>
      </c>
      <c r="X67" s="17" t="inlineStr">
        <is>
          <t>采购入库</t>
        </is>
      </c>
      <c r="Y67" s="17" t="inlineStr">
        <is>
          <t>正常</t>
        </is>
      </c>
      <c r="Z67" s="17" t="inlineStr">
        <is>
          <t>正常</t>
        </is>
      </c>
      <c r="AA67" s="17" t="n"/>
      <c r="AB67" s="17" t="inlineStr">
        <is>
          <t>原表第 72 行</t>
        </is>
      </c>
      <c r="AC67" s="24">
        <f>IF($G67="","",IF($H67="※编码不在物料档案里","※物料编码不在档案里",IF(N($K67)&lt;=0,"※入库数量要大于 0",IF(AND($C67&lt;&gt;"",$C67&lt;=结账锁),"※日期早于已结账截止日，不能再录",IF(AND($L67=0,$X67="正常"),"※没填单价，价格状态请选「待补价」",IF(AND($S67&gt;0,$R67&gt;0),"△本批有 "&amp;$S67&amp;" 行没单价，整批运费先挂账没摊",IF(AND($B67&lt;&gt;"",COUNTIF($B$4:$B$2503,$B67)&gt;1),"※入库单号重复","")))))))</f>
        <v/>
      </c>
    </row>
    <row r="68">
      <c r="A68" s="24">
        <f>IF($G68="","",COUNTA($G$4:$G68))</f>
        <v/>
      </c>
      <c r="B68" s="17" t="n"/>
      <c r="C68" s="30" t="n">
        <v>46048</v>
      </c>
      <c r="D68" s="17" t="inlineStr">
        <is>
          <t>A国内</t>
        </is>
      </c>
      <c r="E68" s="17" t="inlineStr">
        <is>
          <t>MEDU7050813-202601</t>
        </is>
      </c>
      <c r="F68" s="17" t="inlineStr">
        <is>
          <t>广成家用电器</t>
        </is>
      </c>
      <c r="G68" s="17" t="inlineStr">
        <is>
          <t>JH0061</t>
        </is>
      </c>
      <c r="H68" s="24">
        <f>IF($G68="","",IFERROR(VLOOKUP($G68,物料档案!$A$4:$P$1203,3,0),"※编码不在物料档案里"))</f>
        <v/>
      </c>
      <c r="I68" s="24">
        <f>IF($G68="","",IFERROR(VLOOKUP($G68,物料档案!$A$4:$P$1203,4,0),"※编码不在物料档案里"))</f>
        <v/>
      </c>
      <c r="J68" s="24">
        <f>IF($G68="","",IFERROR(VLOOKUP($G68,物料档案!$A$4:$P$1203,5,0),"※编码不在物料档案里"))</f>
        <v/>
      </c>
      <c r="K68" s="23" t="n">
        <v>5</v>
      </c>
      <c r="L68" s="31" t="n">
        <v>1100</v>
      </c>
      <c r="M68" s="24">
        <f>IF($G68="","",IF($D68="A国内","CNY","TZS"))</f>
        <v/>
      </c>
      <c r="N68" s="28">
        <f>IF($G68="","",IF($D68="A国内",汇率,1))</f>
        <v/>
      </c>
      <c r="O68" s="25">
        <f>IF($G68="","",ROUND(N($K68)*N($L68),2))</f>
        <v/>
      </c>
      <c r="P68" s="26">
        <f>IF($G68="","",ROUND($O68*$N68,0))</f>
        <v/>
      </c>
      <c r="Q68" s="26">
        <f>IF($G68="","",SUMIFS($P$4:$P$2503,$E$4:$E$2503,$E68,$Z$4:$Z$2503,"正常"))</f>
        <v/>
      </c>
      <c r="R68" s="26">
        <f>IF($G68="","",SUMIFS(费用台账!$I$4:$I$503,费用台账!$C$4:$C$503,$E68,费用台账!$J$4:$J$503,"是",费用台账!$K$4:$K$503,"正常"))</f>
        <v/>
      </c>
      <c r="S68" s="28">
        <f>IF($G68="","",COUNTIFS($E$4:$E$2503,$E68,$Z$4:$Z$2503,"正常",$Y$4:$Y$2503,"待补价"))</f>
        <v/>
      </c>
      <c r="T68" s="26">
        <f>IF($G68="","",SUMIFS($P$4:$P$2503,$E$4:$E$2503,$E68,$Z$4:$Z$2503,"正常",$A$4:$A$2503,"&lt;="&amp;$A68))</f>
        <v/>
      </c>
      <c r="U68" s="26">
        <f>IF($G68="","",IF(OR($S68&gt;0,$Q68=0,$R68=0,$Z68&lt;&gt;"正常"),0,ROUND($T68/$Q68*$R68,0)-ROUND(($T68-$P68)/$Q68*$R68,0)))</f>
        <v/>
      </c>
      <c r="V68" s="26">
        <f>IF($G68="","",ROUND($P68+$U68,0))</f>
        <v/>
      </c>
      <c r="W68" s="26">
        <f>IF($G68="","",IF(N($K68)=0,0,ROUND($V68/$K68,2)))</f>
        <v/>
      </c>
      <c r="X68" s="17" t="inlineStr">
        <is>
          <t>采购入库</t>
        </is>
      </c>
      <c r="Y68" s="17" t="inlineStr">
        <is>
          <t>正常</t>
        </is>
      </c>
      <c r="Z68" s="17" t="inlineStr">
        <is>
          <t>正常</t>
        </is>
      </c>
      <c r="AA68" s="17" t="n"/>
      <c r="AB68" s="17" t="inlineStr">
        <is>
          <t>原表第 73 行</t>
        </is>
      </c>
      <c r="AC68" s="24">
        <f>IF($G68="","",IF($H68="※编码不在物料档案里","※物料编码不在档案里",IF(N($K68)&lt;=0,"※入库数量要大于 0",IF(AND($C68&lt;&gt;"",$C68&lt;=结账锁),"※日期早于已结账截止日，不能再录",IF(AND($L68=0,$X68="正常"),"※没填单价，价格状态请选「待补价」",IF(AND($S68&gt;0,$R68&gt;0),"△本批有 "&amp;$S68&amp;" 行没单价，整批运费先挂账没摊",IF(AND($B68&lt;&gt;"",COUNTIF($B$4:$B$2503,$B68)&gt;1),"※入库单号重复","")))))))</f>
        <v/>
      </c>
    </row>
    <row r="69">
      <c r="A69" s="24">
        <f>IF($G69="","",COUNTA($G$4:$G69))</f>
        <v/>
      </c>
      <c r="B69" s="17" t="n"/>
      <c r="C69" s="30" t="n">
        <v>46048</v>
      </c>
      <c r="D69" s="17" t="inlineStr">
        <is>
          <t>A国内</t>
        </is>
      </c>
      <c r="E69" s="17" t="inlineStr">
        <is>
          <t>MEDU7050813-202601</t>
        </is>
      </c>
      <c r="F69" s="17" t="inlineStr">
        <is>
          <t>广东乐创电器</t>
        </is>
      </c>
      <c r="G69" s="17" t="inlineStr">
        <is>
          <t>JH0062</t>
        </is>
      </c>
      <c r="H69" s="24">
        <f>IF($G69="","",IFERROR(VLOOKUP($G69,物料档案!$A$4:$P$1203,3,0),"※编码不在物料档案里"))</f>
        <v/>
      </c>
      <c r="I69" s="24">
        <f>IF($G69="","",IFERROR(VLOOKUP($G69,物料档案!$A$4:$P$1203,4,0),"※编码不在物料档案里"))</f>
        <v/>
      </c>
      <c r="J69" s="24">
        <f>IF($G69="","",IFERROR(VLOOKUP($G69,物料档案!$A$4:$P$1203,5,0),"※编码不在物料档案里"))</f>
        <v/>
      </c>
      <c r="K69" s="23" t="n">
        <v>2</v>
      </c>
      <c r="L69" s="31" t="n">
        <v>2300</v>
      </c>
      <c r="M69" s="24">
        <f>IF($G69="","",IF($D69="A国内","CNY","TZS"))</f>
        <v/>
      </c>
      <c r="N69" s="28">
        <f>IF($G69="","",IF($D69="A国内",汇率,1))</f>
        <v/>
      </c>
      <c r="O69" s="25">
        <f>IF($G69="","",ROUND(N($K69)*N($L69),2))</f>
        <v/>
      </c>
      <c r="P69" s="26">
        <f>IF($G69="","",ROUND($O69*$N69,0))</f>
        <v/>
      </c>
      <c r="Q69" s="26">
        <f>IF($G69="","",SUMIFS($P$4:$P$2503,$E$4:$E$2503,$E69,$Z$4:$Z$2503,"正常"))</f>
        <v/>
      </c>
      <c r="R69" s="26">
        <f>IF($G69="","",SUMIFS(费用台账!$I$4:$I$503,费用台账!$C$4:$C$503,$E69,费用台账!$J$4:$J$503,"是",费用台账!$K$4:$K$503,"正常"))</f>
        <v/>
      </c>
      <c r="S69" s="28">
        <f>IF($G69="","",COUNTIFS($E$4:$E$2503,$E69,$Z$4:$Z$2503,"正常",$Y$4:$Y$2503,"待补价"))</f>
        <v/>
      </c>
      <c r="T69" s="26">
        <f>IF($G69="","",SUMIFS($P$4:$P$2503,$E$4:$E$2503,$E69,$Z$4:$Z$2503,"正常",$A$4:$A$2503,"&lt;="&amp;$A69))</f>
        <v/>
      </c>
      <c r="U69" s="26">
        <f>IF($G69="","",IF(OR($S69&gt;0,$Q69=0,$R69=0,$Z69&lt;&gt;"正常"),0,ROUND($T69/$Q69*$R69,0)-ROUND(($T69-$P69)/$Q69*$R69,0)))</f>
        <v/>
      </c>
      <c r="V69" s="26">
        <f>IF($G69="","",ROUND($P69+$U69,0))</f>
        <v/>
      </c>
      <c r="W69" s="26">
        <f>IF($G69="","",IF(N($K69)=0,0,ROUND($V69/$K69,2)))</f>
        <v/>
      </c>
      <c r="X69" s="17" t="inlineStr">
        <is>
          <t>采购入库</t>
        </is>
      </c>
      <c r="Y69" s="17" t="inlineStr">
        <is>
          <t>正常</t>
        </is>
      </c>
      <c r="Z69" s="17" t="inlineStr">
        <is>
          <t>正常</t>
        </is>
      </c>
      <c r="AA69" s="17" t="n"/>
      <c r="AB69" s="17" t="inlineStr">
        <is>
          <t>原表第 74 行</t>
        </is>
      </c>
      <c r="AC69" s="24">
        <f>IF($G69="","",IF($H69="※编码不在物料档案里","※物料编码不在档案里",IF(N($K69)&lt;=0,"※入库数量要大于 0",IF(AND($C69&lt;&gt;"",$C69&lt;=结账锁),"※日期早于已结账截止日，不能再录",IF(AND($L69=0,$X69="正常"),"※没填单价，价格状态请选「待补价」",IF(AND($S69&gt;0,$R69&gt;0),"△本批有 "&amp;$S69&amp;" 行没单价，整批运费先挂账没摊",IF(AND($B69&lt;&gt;"",COUNTIF($B$4:$B$2503,$B69)&gt;1),"※入库单号重复","")))))))</f>
        <v/>
      </c>
    </row>
    <row r="70">
      <c r="A70" s="24">
        <f>IF($G70="","",COUNTA($G$4:$G70))</f>
        <v/>
      </c>
      <c r="B70" s="17" t="n"/>
      <c r="C70" s="30" t="n">
        <v>46048</v>
      </c>
      <c r="D70" s="17" t="inlineStr">
        <is>
          <t>A国内</t>
        </is>
      </c>
      <c r="E70" s="17" t="inlineStr">
        <is>
          <t>MEDU7050813-202601</t>
        </is>
      </c>
      <c r="F70" s="17" t="inlineStr">
        <is>
          <t>广东德玛仕</t>
        </is>
      </c>
      <c r="G70" s="17" t="inlineStr">
        <is>
          <t>JH0063</t>
        </is>
      </c>
      <c r="H70" s="24">
        <f>IF($G70="","",IFERROR(VLOOKUP($G70,物料档案!$A$4:$P$1203,3,0),"※编码不在物料档案里"))</f>
        <v/>
      </c>
      <c r="I70" s="24">
        <f>IF($G70="","",IFERROR(VLOOKUP($G70,物料档案!$A$4:$P$1203,4,0),"※编码不在物料档案里"))</f>
        <v/>
      </c>
      <c r="J70" s="24">
        <f>IF($G70="","",IFERROR(VLOOKUP($G70,物料档案!$A$4:$P$1203,5,0),"※编码不在物料档案里"))</f>
        <v/>
      </c>
      <c r="K70" s="23" t="n">
        <v>3</v>
      </c>
      <c r="L70" s="31" t="n">
        <v>949</v>
      </c>
      <c r="M70" s="24">
        <f>IF($G70="","",IF($D70="A国内","CNY","TZS"))</f>
        <v/>
      </c>
      <c r="N70" s="28">
        <f>IF($G70="","",IF($D70="A国内",汇率,1))</f>
        <v/>
      </c>
      <c r="O70" s="25">
        <f>IF($G70="","",ROUND(N($K70)*N($L70),2))</f>
        <v/>
      </c>
      <c r="P70" s="26">
        <f>IF($G70="","",ROUND($O70*$N70,0))</f>
        <v/>
      </c>
      <c r="Q70" s="26">
        <f>IF($G70="","",SUMIFS($P$4:$P$2503,$E$4:$E$2503,$E70,$Z$4:$Z$2503,"正常"))</f>
        <v/>
      </c>
      <c r="R70" s="26">
        <f>IF($G70="","",SUMIFS(费用台账!$I$4:$I$503,费用台账!$C$4:$C$503,$E70,费用台账!$J$4:$J$503,"是",费用台账!$K$4:$K$503,"正常"))</f>
        <v/>
      </c>
      <c r="S70" s="28">
        <f>IF($G70="","",COUNTIFS($E$4:$E$2503,$E70,$Z$4:$Z$2503,"正常",$Y$4:$Y$2503,"待补价"))</f>
        <v/>
      </c>
      <c r="T70" s="26">
        <f>IF($G70="","",SUMIFS($P$4:$P$2503,$E$4:$E$2503,$E70,$Z$4:$Z$2503,"正常",$A$4:$A$2503,"&lt;="&amp;$A70))</f>
        <v/>
      </c>
      <c r="U70" s="26">
        <f>IF($G70="","",IF(OR($S70&gt;0,$Q70=0,$R70=0,$Z70&lt;&gt;"正常"),0,ROUND($T70/$Q70*$R70,0)-ROUND(($T70-$P70)/$Q70*$R70,0)))</f>
        <v/>
      </c>
      <c r="V70" s="26">
        <f>IF($G70="","",ROUND($P70+$U70,0))</f>
        <v/>
      </c>
      <c r="W70" s="26">
        <f>IF($G70="","",IF(N($K70)=0,0,ROUND($V70/$K70,2)))</f>
        <v/>
      </c>
      <c r="X70" s="17" t="inlineStr">
        <is>
          <t>采购入库</t>
        </is>
      </c>
      <c r="Y70" s="17" t="inlineStr">
        <is>
          <t>正常</t>
        </is>
      </c>
      <c r="Z70" s="17" t="inlineStr">
        <is>
          <t>正常</t>
        </is>
      </c>
      <c r="AA70" s="17" t="n"/>
      <c r="AB70" s="17" t="inlineStr">
        <is>
          <t>原表第 75 行</t>
        </is>
      </c>
      <c r="AC70" s="24">
        <f>IF($G70="","",IF($H70="※编码不在物料档案里","※物料编码不在档案里",IF(N($K70)&lt;=0,"※入库数量要大于 0",IF(AND($C70&lt;&gt;"",$C70&lt;=结账锁),"※日期早于已结账截止日，不能再录",IF(AND($L70=0,$X70="正常"),"※没填单价，价格状态请选「待补价」",IF(AND($S70&gt;0,$R70&gt;0),"△本批有 "&amp;$S70&amp;" 行没单价，整批运费先挂账没摊",IF(AND($B70&lt;&gt;"",COUNTIF($B$4:$B$2503,$B70)&gt;1),"※入库单号重复","")))))))</f>
        <v/>
      </c>
    </row>
    <row r="71">
      <c r="A71" s="24">
        <f>IF($G71="","",COUNTA($G$4:$G71))</f>
        <v/>
      </c>
      <c r="B71" s="17" t="n"/>
      <c r="C71" s="30" t="n">
        <v>46048</v>
      </c>
      <c r="D71" s="17" t="inlineStr">
        <is>
          <t>A国内</t>
        </is>
      </c>
      <c r="E71" s="17" t="inlineStr">
        <is>
          <t>MEDU7050813-202601</t>
        </is>
      </c>
      <c r="F71" s="17" t="inlineStr">
        <is>
          <t>后厨设备</t>
        </is>
      </c>
      <c r="G71" s="17" t="inlineStr">
        <is>
          <t>JH0064</t>
        </is>
      </c>
      <c r="H71" s="24">
        <f>IF($G71="","",IFERROR(VLOOKUP($G71,物料档案!$A$4:$P$1203,3,0),"※编码不在物料档案里"))</f>
        <v/>
      </c>
      <c r="I71" s="24">
        <f>IF($G71="","",IFERROR(VLOOKUP($G71,物料档案!$A$4:$P$1203,4,0),"※编码不在物料档案里"))</f>
        <v/>
      </c>
      <c r="J71" s="24">
        <f>IF($G71="","",IFERROR(VLOOKUP($G71,物料档案!$A$4:$P$1203,5,0),"※编码不在物料档案里"))</f>
        <v/>
      </c>
      <c r="K71" s="23" t="n">
        <v>2</v>
      </c>
      <c r="L71" s="31" t="n">
        <v>755</v>
      </c>
      <c r="M71" s="24">
        <f>IF($G71="","",IF($D71="A国内","CNY","TZS"))</f>
        <v/>
      </c>
      <c r="N71" s="28">
        <f>IF($G71="","",IF($D71="A国内",汇率,1))</f>
        <v/>
      </c>
      <c r="O71" s="25">
        <f>IF($G71="","",ROUND(N($K71)*N($L71),2))</f>
        <v/>
      </c>
      <c r="P71" s="26">
        <f>IF($G71="","",ROUND($O71*$N71,0))</f>
        <v/>
      </c>
      <c r="Q71" s="26">
        <f>IF($G71="","",SUMIFS($P$4:$P$2503,$E$4:$E$2503,$E71,$Z$4:$Z$2503,"正常"))</f>
        <v/>
      </c>
      <c r="R71" s="26">
        <f>IF($G71="","",SUMIFS(费用台账!$I$4:$I$503,费用台账!$C$4:$C$503,$E71,费用台账!$J$4:$J$503,"是",费用台账!$K$4:$K$503,"正常"))</f>
        <v/>
      </c>
      <c r="S71" s="28">
        <f>IF($G71="","",COUNTIFS($E$4:$E$2503,$E71,$Z$4:$Z$2503,"正常",$Y$4:$Y$2503,"待补价"))</f>
        <v/>
      </c>
      <c r="T71" s="26">
        <f>IF($G71="","",SUMIFS($P$4:$P$2503,$E$4:$E$2503,$E71,$Z$4:$Z$2503,"正常",$A$4:$A$2503,"&lt;="&amp;$A71))</f>
        <v/>
      </c>
      <c r="U71" s="26">
        <f>IF($G71="","",IF(OR($S71&gt;0,$Q71=0,$R71=0,$Z71&lt;&gt;"正常"),0,ROUND($T71/$Q71*$R71,0)-ROUND(($T71-$P71)/$Q71*$R71,0)))</f>
        <v/>
      </c>
      <c r="V71" s="26">
        <f>IF($G71="","",ROUND($P71+$U71,0))</f>
        <v/>
      </c>
      <c r="W71" s="26">
        <f>IF($G71="","",IF(N($K71)=0,0,ROUND($V71/$K71,2)))</f>
        <v/>
      </c>
      <c r="X71" s="17" t="inlineStr">
        <is>
          <t>采购入库</t>
        </is>
      </c>
      <c r="Y71" s="17" t="inlineStr">
        <is>
          <t>正常</t>
        </is>
      </c>
      <c r="Z71" s="17" t="inlineStr">
        <is>
          <t>正常</t>
        </is>
      </c>
      <c r="AA71" s="17" t="n"/>
      <c r="AB71" s="17" t="inlineStr">
        <is>
          <t>原表第 76 行</t>
        </is>
      </c>
      <c r="AC71" s="24">
        <f>IF($G71="","",IF($H71="※编码不在物料档案里","※物料编码不在档案里",IF(N($K71)&lt;=0,"※入库数量要大于 0",IF(AND($C71&lt;&gt;"",$C71&lt;=结账锁),"※日期早于已结账截止日，不能再录",IF(AND($L71=0,$X71="正常"),"※没填单价，价格状态请选「待补价」",IF(AND($S71&gt;0,$R71&gt;0),"△本批有 "&amp;$S71&amp;" 行没单价，整批运费先挂账没摊",IF(AND($B71&lt;&gt;"",COUNTIF($B$4:$B$2503,$B71)&gt;1),"※入库单号重复","")))))))</f>
        <v/>
      </c>
    </row>
    <row r="72">
      <c r="A72" s="24">
        <f>IF($G72="","",COUNTA($G$4:$G72))</f>
        <v/>
      </c>
      <c r="B72" s="17" t="n"/>
      <c r="C72" s="30" t="n">
        <v>46048</v>
      </c>
      <c r="D72" s="17" t="inlineStr">
        <is>
          <t>A国内</t>
        </is>
      </c>
      <c r="E72" s="17" t="inlineStr">
        <is>
          <t>MEDU7050813-202601</t>
        </is>
      </c>
      <c r="F72" s="17" t="inlineStr">
        <is>
          <t>劳保用品</t>
        </is>
      </c>
      <c r="G72" s="17" t="inlineStr">
        <is>
          <t>JH0065</t>
        </is>
      </c>
      <c r="H72" s="24">
        <f>IF($G72="","",IFERROR(VLOOKUP($G72,物料档案!$A$4:$P$1203,3,0),"※编码不在物料档案里"))</f>
        <v/>
      </c>
      <c r="I72" s="24">
        <f>IF($G72="","",IFERROR(VLOOKUP($G72,物料档案!$A$4:$P$1203,4,0),"※编码不在物料档案里"))</f>
        <v/>
      </c>
      <c r="J72" s="24">
        <f>IF($G72="","",IFERROR(VLOOKUP($G72,物料档案!$A$4:$P$1203,5,0),"※编码不在物料档案里"))</f>
        <v/>
      </c>
      <c r="K72" s="23" t="n">
        <v>120</v>
      </c>
      <c r="L72" s="31" t="n">
        <v>66.09999999999999</v>
      </c>
      <c r="M72" s="24">
        <f>IF($G72="","",IF($D72="A国内","CNY","TZS"))</f>
        <v/>
      </c>
      <c r="N72" s="28">
        <f>IF($G72="","",IF($D72="A国内",汇率,1))</f>
        <v/>
      </c>
      <c r="O72" s="25">
        <f>IF($G72="","",ROUND(N($K72)*N($L72),2))</f>
        <v/>
      </c>
      <c r="P72" s="26">
        <f>IF($G72="","",ROUND($O72*$N72,0))</f>
        <v/>
      </c>
      <c r="Q72" s="26">
        <f>IF($G72="","",SUMIFS($P$4:$P$2503,$E$4:$E$2503,$E72,$Z$4:$Z$2503,"正常"))</f>
        <v/>
      </c>
      <c r="R72" s="26">
        <f>IF($G72="","",SUMIFS(费用台账!$I$4:$I$503,费用台账!$C$4:$C$503,$E72,费用台账!$J$4:$J$503,"是",费用台账!$K$4:$K$503,"正常"))</f>
        <v/>
      </c>
      <c r="S72" s="28">
        <f>IF($G72="","",COUNTIFS($E$4:$E$2503,$E72,$Z$4:$Z$2503,"正常",$Y$4:$Y$2503,"待补价"))</f>
        <v/>
      </c>
      <c r="T72" s="26">
        <f>IF($G72="","",SUMIFS($P$4:$P$2503,$E$4:$E$2503,$E72,$Z$4:$Z$2503,"正常",$A$4:$A$2503,"&lt;="&amp;$A72))</f>
        <v/>
      </c>
      <c r="U72" s="26">
        <f>IF($G72="","",IF(OR($S72&gt;0,$Q72=0,$R72=0,$Z72&lt;&gt;"正常"),0,ROUND($T72/$Q72*$R72,0)-ROUND(($T72-$P72)/$Q72*$R72,0)))</f>
        <v/>
      </c>
      <c r="V72" s="26">
        <f>IF($G72="","",ROUND($P72+$U72,0))</f>
        <v/>
      </c>
      <c r="W72" s="26">
        <f>IF($G72="","",IF(N($K72)=0,0,ROUND($V72/$K72,2)))</f>
        <v/>
      </c>
      <c r="X72" s="17" t="inlineStr">
        <is>
          <t>采购入库</t>
        </is>
      </c>
      <c r="Y72" s="17" t="inlineStr">
        <is>
          <t>正常</t>
        </is>
      </c>
      <c r="Z72" s="17" t="inlineStr">
        <is>
          <t>正常</t>
        </is>
      </c>
      <c r="AA72" s="17" t="n"/>
      <c r="AB72" s="17" t="inlineStr">
        <is>
          <t>原表第 77 行</t>
        </is>
      </c>
      <c r="AC72" s="24">
        <f>IF($G72="","",IF($H72="※编码不在物料档案里","※物料编码不在档案里",IF(N($K72)&lt;=0,"※入库数量要大于 0",IF(AND($C72&lt;&gt;"",$C72&lt;=结账锁),"※日期早于已结账截止日，不能再录",IF(AND($L72=0,$X72="正常"),"※没填单价，价格状态请选「待补价」",IF(AND($S72&gt;0,$R72&gt;0),"△本批有 "&amp;$S72&amp;" 行没单价，整批运费先挂账没摊",IF(AND($B72&lt;&gt;"",COUNTIF($B$4:$B$2503,$B72)&gt;1),"※入库单号重复","")))))))</f>
        <v/>
      </c>
    </row>
    <row r="73">
      <c r="A73" s="24">
        <f>IF($G73="","",COUNTA($G$4:$G73))</f>
        <v/>
      </c>
      <c r="B73" s="17" t="n"/>
      <c r="C73" s="30" t="n">
        <v>46048</v>
      </c>
      <c r="D73" s="17" t="inlineStr">
        <is>
          <t>A国内</t>
        </is>
      </c>
      <c r="E73" s="17" t="inlineStr">
        <is>
          <t>MEDU7050813-202601</t>
        </is>
      </c>
      <c r="F73" s="17" t="inlineStr">
        <is>
          <t>五金工具</t>
        </is>
      </c>
      <c r="G73" s="17" t="inlineStr">
        <is>
          <t>JH0066</t>
        </is>
      </c>
      <c r="H73" s="24">
        <f>IF($G73="","",IFERROR(VLOOKUP($G73,物料档案!$A$4:$P$1203,3,0),"※编码不在物料档案里"))</f>
        <v/>
      </c>
      <c r="I73" s="24">
        <f>IF($G73="","",IFERROR(VLOOKUP($G73,物料档案!$A$4:$P$1203,4,0),"※编码不在物料档案里"))</f>
        <v/>
      </c>
      <c r="J73" s="24">
        <f>IF($G73="","",IFERROR(VLOOKUP($G73,物料档案!$A$4:$P$1203,5,0),"※编码不在物料档案里"))</f>
        <v/>
      </c>
      <c r="K73" s="23" t="n">
        <v>3</v>
      </c>
      <c r="L73" s="31" t="n">
        <v>330</v>
      </c>
      <c r="M73" s="24">
        <f>IF($G73="","",IF($D73="A国内","CNY","TZS"))</f>
        <v/>
      </c>
      <c r="N73" s="28">
        <f>IF($G73="","",IF($D73="A国内",汇率,1))</f>
        <v/>
      </c>
      <c r="O73" s="25">
        <f>IF($G73="","",ROUND(N($K73)*N($L73),2))</f>
        <v/>
      </c>
      <c r="P73" s="26">
        <f>IF($G73="","",ROUND($O73*$N73,0))</f>
        <v/>
      </c>
      <c r="Q73" s="26">
        <f>IF($G73="","",SUMIFS($P$4:$P$2503,$E$4:$E$2503,$E73,$Z$4:$Z$2503,"正常"))</f>
        <v/>
      </c>
      <c r="R73" s="26">
        <f>IF($G73="","",SUMIFS(费用台账!$I$4:$I$503,费用台账!$C$4:$C$503,$E73,费用台账!$J$4:$J$503,"是",费用台账!$K$4:$K$503,"正常"))</f>
        <v/>
      </c>
      <c r="S73" s="28">
        <f>IF($G73="","",COUNTIFS($E$4:$E$2503,$E73,$Z$4:$Z$2503,"正常",$Y$4:$Y$2503,"待补价"))</f>
        <v/>
      </c>
      <c r="T73" s="26">
        <f>IF($G73="","",SUMIFS($P$4:$P$2503,$E$4:$E$2503,$E73,$Z$4:$Z$2503,"正常",$A$4:$A$2503,"&lt;="&amp;$A73))</f>
        <v/>
      </c>
      <c r="U73" s="26">
        <f>IF($G73="","",IF(OR($S73&gt;0,$Q73=0,$R73=0,$Z73&lt;&gt;"正常"),0,ROUND($T73/$Q73*$R73,0)-ROUND(($T73-$P73)/$Q73*$R73,0)))</f>
        <v/>
      </c>
      <c r="V73" s="26">
        <f>IF($G73="","",ROUND($P73+$U73,0))</f>
        <v/>
      </c>
      <c r="W73" s="26">
        <f>IF($G73="","",IF(N($K73)=0,0,ROUND($V73/$K73,2)))</f>
        <v/>
      </c>
      <c r="X73" s="17" t="inlineStr">
        <is>
          <t>采购入库</t>
        </is>
      </c>
      <c r="Y73" s="17" t="inlineStr">
        <is>
          <t>正常</t>
        </is>
      </c>
      <c r="Z73" s="17" t="inlineStr">
        <is>
          <t>正常</t>
        </is>
      </c>
      <c r="AA73" s="17" t="n"/>
      <c r="AB73" s="17" t="inlineStr">
        <is>
          <t>原表第 78 行</t>
        </is>
      </c>
      <c r="AC73" s="24">
        <f>IF($G73="","",IF($H73="※编码不在物料档案里","※物料编码不在档案里",IF(N($K73)&lt;=0,"※入库数量要大于 0",IF(AND($C73&lt;&gt;"",$C73&lt;=结账锁),"※日期早于已结账截止日，不能再录",IF(AND($L73=0,$X73="正常"),"※没填单价，价格状态请选「待补价」",IF(AND($S73&gt;0,$R73&gt;0),"△本批有 "&amp;$S73&amp;" 行没单价，整批运费先挂账没摊",IF(AND($B73&lt;&gt;"",COUNTIF($B$4:$B$2503,$B73)&gt;1),"※入库单号重复","")))))))</f>
        <v/>
      </c>
    </row>
    <row r="74">
      <c r="A74" s="24">
        <f>IF($G74="","",COUNTA($G$4:$G74))</f>
        <v/>
      </c>
      <c r="B74" s="17" t="n"/>
      <c r="C74" s="30" t="n">
        <v>46048</v>
      </c>
      <c r="D74" s="17" t="inlineStr">
        <is>
          <t>A国内</t>
        </is>
      </c>
      <c r="E74" s="17" t="inlineStr">
        <is>
          <t>MEDU7050813-202601</t>
        </is>
      </c>
      <c r="F74" s="17" t="inlineStr">
        <is>
          <t>五金工具</t>
        </is>
      </c>
      <c r="G74" s="17" t="inlineStr">
        <is>
          <t>JH0067</t>
        </is>
      </c>
      <c r="H74" s="24">
        <f>IF($G74="","",IFERROR(VLOOKUP($G74,物料档案!$A$4:$P$1203,3,0),"※编码不在物料档案里"))</f>
        <v/>
      </c>
      <c r="I74" s="24">
        <f>IF($G74="","",IFERROR(VLOOKUP($G74,物料档案!$A$4:$P$1203,4,0),"※编码不在物料档案里"))</f>
        <v/>
      </c>
      <c r="J74" s="24">
        <f>IF($G74="","",IFERROR(VLOOKUP($G74,物料档案!$A$4:$P$1203,5,0),"※编码不在物料档案里"))</f>
        <v/>
      </c>
      <c r="K74" s="23" t="n">
        <v>20</v>
      </c>
      <c r="L74" s="31" t="n">
        <v>30</v>
      </c>
      <c r="M74" s="24">
        <f>IF($G74="","",IF($D74="A国内","CNY","TZS"))</f>
        <v/>
      </c>
      <c r="N74" s="28">
        <f>IF($G74="","",IF($D74="A国内",汇率,1))</f>
        <v/>
      </c>
      <c r="O74" s="25">
        <f>IF($G74="","",ROUND(N($K74)*N($L74),2))</f>
        <v/>
      </c>
      <c r="P74" s="26">
        <f>IF($G74="","",ROUND($O74*$N74,0))</f>
        <v/>
      </c>
      <c r="Q74" s="26">
        <f>IF($G74="","",SUMIFS($P$4:$P$2503,$E$4:$E$2503,$E74,$Z$4:$Z$2503,"正常"))</f>
        <v/>
      </c>
      <c r="R74" s="26">
        <f>IF($G74="","",SUMIFS(费用台账!$I$4:$I$503,费用台账!$C$4:$C$503,$E74,费用台账!$J$4:$J$503,"是",费用台账!$K$4:$K$503,"正常"))</f>
        <v/>
      </c>
      <c r="S74" s="28">
        <f>IF($G74="","",COUNTIFS($E$4:$E$2503,$E74,$Z$4:$Z$2503,"正常",$Y$4:$Y$2503,"待补价"))</f>
        <v/>
      </c>
      <c r="T74" s="26">
        <f>IF($G74="","",SUMIFS($P$4:$P$2503,$E$4:$E$2503,$E74,$Z$4:$Z$2503,"正常",$A$4:$A$2503,"&lt;="&amp;$A74))</f>
        <v/>
      </c>
      <c r="U74" s="26">
        <f>IF($G74="","",IF(OR($S74&gt;0,$Q74=0,$R74=0,$Z74&lt;&gt;"正常"),0,ROUND($T74/$Q74*$R74,0)-ROUND(($T74-$P74)/$Q74*$R74,0)))</f>
        <v/>
      </c>
      <c r="V74" s="26">
        <f>IF($G74="","",ROUND($P74+$U74,0))</f>
        <v/>
      </c>
      <c r="W74" s="26">
        <f>IF($G74="","",IF(N($K74)=0,0,ROUND($V74/$K74,2)))</f>
        <v/>
      </c>
      <c r="X74" s="17" t="inlineStr">
        <is>
          <t>采购入库</t>
        </is>
      </c>
      <c r="Y74" s="17" t="inlineStr">
        <is>
          <t>正常</t>
        </is>
      </c>
      <c r="Z74" s="17" t="inlineStr">
        <is>
          <t>正常</t>
        </is>
      </c>
      <c r="AA74" s="17" t="n"/>
      <c r="AB74" s="17" t="inlineStr">
        <is>
          <t>原表第 79 行</t>
        </is>
      </c>
      <c r="AC74" s="24">
        <f>IF($G74="","",IF($H74="※编码不在物料档案里","※物料编码不在档案里",IF(N($K74)&lt;=0,"※入库数量要大于 0",IF(AND($C74&lt;&gt;"",$C74&lt;=结账锁),"※日期早于已结账截止日，不能再录",IF(AND($L74=0,$X74="正常"),"※没填单价，价格状态请选「待补价」",IF(AND($S74&gt;0,$R74&gt;0),"△本批有 "&amp;$S74&amp;" 行没单价，整批运费先挂账没摊",IF(AND($B74&lt;&gt;"",COUNTIF($B$4:$B$2503,$B74)&gt;1),"※入库单号重复","")))))))</f>
        <v/>
      </c>
    </row>
    <row r="75">
      <c r="A75" s="24">
        <f>IF($G75="","",COUNTA($G$4:$G75))</f>
        <v/>
      </c>
      <c r="B75" s="17" t="n"/>
      <c r="C75" s="30" t="n">
        <v>46048</v>
      </c>
      <c r="D75" s="17" t="inlineStr">
        <is>
          <t>A国内</t>
        </is>
      </c>
      <c r="E75" s="17" t="inlineStr">
        <is>
          <t>MEDU7050813-202601</t>
        </is>
      </c>
      <c r="F75" s="17" t="inlineStr">
        <is>
          <t>五金工具</t>
        </is>
      </c>
      <c r="G75" s="17" t="inlineStr">
        <is>
          <t>JH0068</t>
        </is>
      </c>
      <c r="H75" s="24">
        <f>IF($G75="","",IFERROR(VLOOKUP($G75,物料档案!$A$4:$P$1203,3,0),"※编码不在物料档案里"))</f>
        <v/>
      </c>
      <c r="I75" s="24">
        <f>IF($G75="","",IFERROR(VLOOKUP($G75,物料档案!$A$4:$P$1203,4,0),"※编码不在物料档案里"))</f>
        <v/>
      </c>
      <c r="J75" s="24">
        <f>IF($G75="","",IFERROR(VLOOKUP($G75,物料档案!$A$4:$P$1203,5,0),"※编码不在物料档案里"))</f>
        <v/>
      </c>
      <c r="K75" s="23" t="n">
        <v>1</v>
      </c>
      <c r="L75" s="31" t="n">
        <v>650</v>
      </c>
      <c r="M75" s="24">
        <f>IF($G75="","",IF($D75="A国内","CNY","TZS"))</f>
        <v/>
      </c>
      <c r="N75" s="28">
        <f>IF($G75="","",IF($D75="A国内",汇率,1))</f>
        <v/>
      </c>
      <c r="O75" s="25">
        <f>IF($G75="","",ROUND(N($K75)*N($L75),2))</f>
        <v/>
      </c>
      <c r="P75" s="26">
        <f>IF($G75="","",ROUND($O75*$N75,0))</f>
        <v/>
      </c>
      <c r="Q75" s="26">
        <f>IF($G75="","",SUMIFS($P$4:$P$2503,$E$4:$E$2503,$E75,$Z$4:$Z$2503,"正常"))</f>
        <v/>
      </c>
      <c r="R75" s="26">
        <f>IF($G75="","",SUMIFS(费用台账!$I$4:$I$503,费用台账!$C$4:$C$503,$E75,费用台账!$J$4:$J$503,"是",费用台账!$K$4:$K$503,"正常"))</f>
        <v/>
      </c>
      <c r="S75" s="28">
        <f>IF($G75="","",COUNTIFS($E$4:$E$2503,$E75,$Z$4:$Z$2503,"正常",$Y$4:$Y$2503,"待补价"))</f>
        <v/>
      </c>
      <c r="T75" s="26">
        <f>IF($G75="","",SUMIFS($P$4:$P$2503,$E$4:$E$2503,$E75,$Z$4:$Z$2503,"正常",$A$4:$A$2503,"&lt;="&amp;$A75))</f>
        <v/>
      </c>
      <c r="U75" s="26">
        <f>IF($G75="","",IF(OR($S75&gt;0,$Q75=0,$R75=0,$Z75&lt;&gt;"正常"),0,ROUND($T75/$Q75*$R75,0)-ROUND(($T75-$P75)/$Q75*$R75,0)))</f>
        <v/>
      </c>
      <c r="V75" s="26">
        <f>IF($G75="","",ROUND($P75+$U75,0))</f>
        <v/>
      </c>
      <c r="W75" s="26">
        <f>IF($G75="","",IF(N($K75)=0,0,ROUND($V75/$K75,2)))</f>
        <v/>
      </c>
      <c r="X75" s="17" t="inlineStr">
        <is>
          <t>采购入库</t>
        </is>
      </c>
      <c r="Y75" s="17" t="inlineStr">
        <is>
          <t>正常</t>
        </is>
      </c>
      <c r="Z75" s="17" t="inlineStr">
        <is>
          <t>正常</t>
        </is>
      </c>
      <c r="AA75" s="17" t="n"/>
      <c r="AB75" s="17" t="inlineStr">
        <is>
          <t>原表第 80 行</t>
        </is>
      </c>
      <c r="AC75" s="24">
        <f>IF($G75="","",IF($H75="※编码不在物料档案里","※物料编码不在档案里",IF(N($K75)&lt;=0,"※入库数量要大于 0",IF(AND($C75&lt;&gt;"",$C75&lt;=结账锁),"※日期早于已结账截止日，不能再录",IF(AND($L75=0,$X75="正常"),"※没填单价，价格状态请选「待补价」",IF(AND($S75&gt;0,$R75&gt;0),"△本批有 "&amp;$S75&amp;" 行没单价，整批运费先挂账没摊",IF(AND($B75&lt;&gt;"",COUNTIF($B$4:$B$2503,$B75)&gt;1),"※入库单号重复","")))))))</f>
        <v/>
      </c>
    </row>
    <row r="76">
      <c r="A76" s="24">
        <f>IF($G76="","",COUNTA($G$4:$G76))</f>
        <v/>
      </c>
      <c r="B76" s="17" t="n"/>
      <c r="C76" s="30" t="n">
        <v>46048</v>
      </c>
      <c r="D76" s="17" t="inlineStr">
        <is>
          <t>A国内</t>
        </is>
      </c>
      <c r="E76" s="17" t="inlineStr">
        <is>
          <t>MEDU7050813-202601</t>
        </is>
      </c>
      <c r="F76" s="17" t="inlineStr">
        <is>
          <t>五金工具</t>
        </is>
      </c>
      <c r="G76" s="17" t="inlineStr">
        <is>
          <t>JH0069</t>
        </is>
      </c>
      <c r="H76" s="24">
        <f>IF($G76="","",IFERROR(VLOOKUP($G76,物料档案!$A$4:$P$1203,3,0),"※编码不在物料档案里"))</f>
        <v/>
      </c>
      <c r="I76" s="24">
        <f>IF($G76="","",IFERROR(VLOOKUP($G76,物料档案!$A$4:$P$1203,4,0),"※编码不在物料档案里"))</f>
        <v/>
      </c>
      <c r="J76" s="24">
        <f>IF($G76="","",IFERROR(VLOOKUP($G76,物料档案!$A$4:$P$1203,5,0),"※编码不在物料档案里"))</f>
        <v/>
      </c>
      <c r="K76" s="23" t="n">
        <v>40</v>
      </c>
      <c r="L76" s="31" t="n">
        <v>240</v>
      </c>
      <c r="M76" s="24">
        <f>IF($G76="","",IF($D76="A国内","CNY","TZS"))</f>
        <v/>
      </c>
      <c r="N76" s="28">
        <f>IF($G76="","",IF($D76="A国内",汇率,1))</f>
        <v/>
      </c>
      <c r="O76" s="25">
        <f>IF($G76="","",ROUND(N($K76)*N($L76),2))</f>
        <v/>
      </c>
      <c r="P76" s="26">
        <f>IF($G76="","",ROUND($O76*$N76,0))</f>
        <v/>
      </c>
      <c r="Q76" s="26">
        <f>IF($G76="","",SUMIFS($P$4:$P$2503,$E$4:$E$2503,$E76,$Z$4:$Z$2503,"正常"))</f>
        <v/>
      </c>
      <c r="R76" s="26">
        <f>IF($G76="","",SUMIFS(费用台账!$I$4:$I$503,费用台账!$C$4:$C$503,$E76,费用台账!$J$4:$J$503,"是",费用台账!$K$4:$K$503,"正常"))</f>
        <v/>
      </c>
      <c r="S76" s="28">
        <f>IF($G76="","",COUNTIFS($E$4:$E$2503,$E76,$Z$4:$Z$2503,"正常",$Y$4:$Y$2503,"待补价"))</f>
        <v/>
      </c>
      <c r="T76" s="26">
        <f>IF($G76="","",SUMIFS($P$4:$P$2503,$E$4:$E$2503,$E76,$Z$4:$Z$2503,"正常",$A$4:$A$2503,"&lt;="&amp;$A76))</f>
        <v/>
      </c>
      <c r="U76" s="26">
        <f>IF($G76="","",IF(OR($S76&gt;0,$Q76=0,$R76=0,$Z76&lt;&gt;"正常"),0,ROUND($T76/$Q76*$R76,0)-ROUND(($T76-$P76)/$Q76*$R76,0)))</f>
        <v/>
      </c>
      <c r="V76" s="26">
        <f>IF($G76="","",ROUND($P76+$U76,0))</f>
        <v/>
      </c>
      <c r="W76" s="26">
        <f>IF($G76="","",IF(N($K76)=0,0,ROUND($V76/$K76,2)))</f>
        <v/>
      </c>
      <c r="X76" s="17" t="inlineStr">
        <is>
          <t>采购入库</t>
        </is>
      </c>
      <c r="Y76" s="17" t="inlineStr">
        <is>
          <t>正常</t>
        </is>
      </c>
      <c r="Z76" s="17" t="inlineStr">
        <is>
          <t>正常</t>
        </is>
      </c>
      <c r="AA76" s="17" t="n"/>
      <c r="AB76" s="17" t="inlineStr">
        <is>
          <t>原表第 81 行</t>
        </is>
      </c>
      <c r="AC76" s="24">
        <f>IF($G76="","",IF($H76="※编码不在物料档案里","※物料编码不在档案里",IF(N($K76)&lt;=0,"※入库数量要大于 0",IF(AND($C76&lt;&gt;"",$C76&lt;=结账锁),"※日期早于已结账截止日，不能再录",IF(AND($L76=0,$X76="正常"),"※没填单价，价格状态请选「待补价」",IF(AND($S76&gt;0,$R76&gt;0),"△本批有 "&amp;$S76&amp;" 行没单价，整批运费先挂账没摊",IF(AND($B76&lt;&gt;"",COUNTIF($B$4:$B$2503,$B76)&gt;1),"※入库单号重复","")))))))</f>
        <v/>
      </c>
    </row>
    <row r="77">
      <c r="A77" s="24">
        <f>IF($G77="","",COUNTA($G$4:$G77))</f>
        <v/>
      </c>
      <c r="B77" s="17" t="n"/>
      <c r="C77" s="30" t="n">
        <v>46048</v>
      </c>
      <c r="D77" s="17" t="inlineStr">
        <is>
          <t>A国内</t>
        </is>
      </c>
      <c r="E77" s="17" t="inlineStr">
        <is>
          <t>MEDU7050813-202601</t>
        </is>
      </c>
      <c r="F77" s="17" t="inlineStr">
        <is>
          <t>五金工具</t>
        </is>
      </c>
      <c r="G77" s="17" t="inlineStr">
        <is>
          <t>JH0070</t>
        </is>
      </c>
      <c r="H77" s="24">
        <f>IF($G77="","",IFERROR(VLOOKUP($G77,物料档案!$A$4:$P$1203,3,0),"※编码不在物料档案里"))</f>
        <v/>
      </c>
      <c r="I77" s="24">
        <f>IF($G77="","",IFERROR(VLOOKUP($G77,物料档案!$A$4:$P$1203,4,0),"※编码不在物料档案里"))</f>
        <v/>
      </c>
      <c r="J77" s="24">
        <f>IF($G77="","",IFERROR(VLOOKUP($G77,物料档案!$A$4:$P$1203,5,0),"※编码不在物料档案里"))</f>
        <v/>
      </c>
      <c r="K77" s="23" t="n">
        <v>1</v>
      </c>
      <c r="L77" s="31" t="n">
        <v>1680</v>
      </c>
      <c r="M77" s="24">
        <f>IF($G77="","",IF($D77="A国内","CNY","TZS"))</f>
        <v/>
      </c>
      <c r="N77" s="28">
        <f>IF($G77="","",IF($D77="A国内",汇率,1))</f>
        <v/>
      </c>
      <c r="O77" s="25">
        <f>IF($G77="","",ROUND(N($K77)*N($L77),2))</f>
        <v/>
      </c>
      <c r="P77" s="26">
        <f>IF($G77="","",ROUND($O77*$N77,0))</f>
        <v/>
      </c>
      <c r="Q77" s="26">
        <f>IF($G77="","",SUMIFS($P$4:$P$2503,$E$4:$E$2503,$E77,$Z$4:$Z$2503,"正常"))</f>
        <v/>
      </c>
      <c r="R77" s="26">
        <f>IF($G77="","",SUMIFS(费用台账!$I$4:$I$503,费用台账!$C$4:$C$503,$E77,费用台账!$J$4:$J$503,"是",费用台账!$K$4:$K$503,"正常"))</f>
        <v/>
      </c>
      <c r="S77" s="28">
        <f>IF($G77="","",COUNTIFS($E$4:$E$2503,$E77,$Z$4:$Z$2503,"正常",$Y$4:$Y$2503,"待补价"))</f>
        <v/>
      </c>
      <c r="T77" s="26">
        <f>IF($G77="","",SUMIFS($P$4:$P$2503,$E$4:$E$2503,$E77,$Z$4:$Z$2503,"正常",$A$4:$A$2503,"&lt;="&amp;$A77))</f>
        <v/>
      </c>
      <c r="U77" s="26">
        <f>IF($G77="","",IF(OR($S77&gt;0,$Q77=0,$R77=0,$Z77&lt;&gt;"正常"),0,ROUND($T77/$Q77*$R77,0)-ROUND(($T77-$P77)/$Q77*$R77,0)))</f>
        <v/>
      </c>
      <c r="V77" s="26">
        <f>IF($G77="","",ROUND($P77+$U77,0))</f>
        <v/>
      </c>
      <c r="W77" s="26">
        <f>IF($G77="","",IF(N($K77)=0,0,ROUND($V77/$K77,2)))</f>
        <v/>
      </c>
      <c r="X77" s="17" t="inlineStr">
        <is>
          <t>采购入库</t>
        </is>
      </c>
      <c r="Y77" s="17" t="inlineStr">
        <is>
          <t>正常</t>
        </is>
      </c>
      <c r="Z77" s="17" t="inlineStr">
        <is>
          <t>正常</t>
        </is>
      </c>
      <c r="AA77" s="17" t="n"/>
      <c r="AB77" s="17" t="inlineStr">
        <is>
          <t>原表第 82 行</t>
        </is>
      </c>
      <c r="AC77" s="24">
        <f>IF($G77="","",IF($H77="※编码不在物料档案里","※物料编码不在档案里",IF(N($K77)&lt;=0,"※入库数量要大于 0",IF(AND($C77&lt;&gt;"",$C77&lt;=结账锁),"※日期早于已结账截止日，不能再录",IF(AND($L77=0,$X77="正常"),"※没填单价，价格状态请选「待补价」",IF(AND($S77&gt;0,$R77&gt;0),"△本批有 "&amp;$S77&amp;" 行没单价，整批运费先挂账没摊",IF(AND($B77&lt;&gt;"",COUNTIF($B$4:$B$2503,$B77)&gt;1),"※入库单号重复","")))))))</f>
        <v/>
      </c>
    </row>
    <row r="78">
      <c r="A78" s="24">
        <f>IF($G78="","",COUNTA($G$4:$G78))</f>
        <v/>
      </c>
      <c r="B78" s="17" t="n"/>
      <c r="C78" s="30" t="n">
        <v>46048</v>
      </c>
      <c r="D78" s="17" t="inlineStr">
        <is>
          <t>A国内</t>
        </is>
      </c>
      <c r="E78" s="17" t="inlineStr">
        <is>
          <t>MEDU7050813-202601</t>
        </is>
      </c>
      <c r="F78" s="17" t="inlineStr">
        <is>
          <t>五金工具</t>
        </is>
      </c>
      <c r="G78" s="17" t="inlineStr">
        <is>
          <t>JH0071</t>
        </is>
      </c>
      <c r="H78" s="24">
        <f>IF($G78="","",IFERROR(VLOOKUP($G78,物料档案!$A$4:$P$1203,3,0),"※编码不在物料档案里"))</f>
        <v/>
      </c>
      <c r="I78" s="24">
        <f>IF($G78="","",IFERROR(VLOOKUP($G78,物料档案!$A$4:$P$1203,4,0),"※编码不在物料档案里"))</f>
        <v/>
      </c>
      <c r="J78" s="24">
        <f>IF($G78="","",IFERROR(VLOOKUP($G78,物料档案!$A$4:$P$1203,5,0),"※编码不在物料档案里"))</f>
        <v/>
      </c>
      <c r="K78" s="23" t="n">
        <v>20</v>
      </c>
      <c r="L78" s="31" t="n">
        <v>73</v>
      </c>
      <c r="M78" s="24">
        <f>IF($G78="","",IF($D78="A国内","CNY","TZS"))</f>
        <v/>
      </c>
      <c r="N78" s="28">
        <f>IF($G78="","",IF($D78="A国内",汇率,1))</f>
        <v/>
      </c>
      <c r="O78" s="25">
        <f>IF($G78="","",ROUND(N($K78)*N($L78),2))</f>
        <v/>
      </c>
      <c r="P78" s="26">
        <f>IF($G78="","",ROUND($O78*$N78,0))</f>
        <v/>
      </c>
      <c r="Q78" s="26">
        <f>IF($G78="","",SUMIFS($P$4:$P$2503,$E$4:$E$2503,$E78,$Z$4:$Z$2503,"正常"))</f>
        <v/>
      </c>
      <c r="R78" s="26">
        <f>IF($G78="","",SUMIFS(费用台账!$I$4:$I$503,费用台账!$C$4:$C$503,$E78,费用台账!$J$4:$J$503,"是",费用台账!$K$4:$K$503,"正常"))</f>
        <v/>
      </c>
      <c r="S78" s="28">
        <f>IF($G78="","",COUNTIFS($E$4:$E$2503,$E78,$Z$4:$Z$2503,"正常",$Y$4:$Y$2503,"待补价"))</f>
        <v/>
      </c>
      <c r="T78" s="26">
        <f>IF($G78="","",SUMIFS($P$4:$P$2503,$E$4:$E$2503,$E78,$Z$4:$Z$2503,"正常",$A$4:$A$2503,"&lt;="&amp;$A78))</f>
        <v/>
      </c>
      <c r="U78" s="26">
        <f>IF($G78="","",IF(OR($S78&gt;0,$Q78=0,$R78=0,$Z78&lt;&gt;"正常"),0,ROUND($T78/$Q78*$R78,0)-ROUND(($T78-$P78)/$Q78*$R78,0)))</f>
        <v/>
      </c>
      <c r="V78" s="26">
        <f>IF($G78="","",ROUND($P78+$U78,0))</f>
        <v/>
      </c>
      <c r="W78" s="26">
        <f>IF($G78="","",IF(N($K78)=0,0,ROUND($V78/$K78,2)))</f>
        <v/>
      </c>
      <c r="X78" s="17" t="inlineStr">
        <is>
          <t>采购入库</t>
        </is>
      </c>
      <c r="Y78" s="17" t="inlineStr">
        <is>
          <t>正常</t>
        </is>
      </c>
      <c r="Z78" s="17" t="inlineStr">
        <is>
          <t>正常</t>
        </is>
      </c>
      <c r="AA78" s="17" t="n"/>
      <c r="AB78" s="17" t="inlineStr">
        <is>
          <t>原表第 83 行</t>
        </is>
      </c>
      <c r="AC78" s="24">
        <f>IF($G78="","",IF($H78="※编码不在物料档案里","※物料编码不在档案里",IF(N($K78)&lt;=0,"※入库数量要大于 0",IF(AND($C78&lt;&gt;"",$C78&lt;=结账锁),"※日期早于已结账截止日，不能再录",IF(AND($L78=0,$X78="正常"),"※没填单价，价格状态请选「待补价」",IF(AND($S78&gt;0,$R78&gt;0),"△本批有 "&amp;$S78&amp;" 行没单价，整批运费先挂账没摊",IF(AND($B78&lt;&gt;"",COUNTIF($B$4:$B$2503,$B78)&gt;1),"※入库单号重复","")))))))</f>
        <v/>
      </c>
    </row>
    <row r="79">
      <c r="A79" s="24">
        <f>IF($G79="","",COUNTA($G$4:$G79))</f>
        <v/>
      </c>
      <c r="B79" s="17" t="n"/>
      <c r="C79" s="30" t="n">
        <v>46048</v>
      </c>
      <c r="D79" s="17" t="inlineStr">
        <is>
          <t>A国内</t>
        </is>
      </c>
      <c r="E79" s="17" t="inlineStr">
        <is>
          <t>MEDU7050813-202601</t>
        </is>
      </c>
      <c r="F79" s="17" t="inlineStr">
        <is>
          <t>五金工具</t>
        </is>
      </c>
      <c r="G79" s="17" t="inlineStr">
        <is>
          <t>JH0072</t>
        </is>
      </c>
      <c r="H79" s="24">
        <f>IF($G79="","",IFERROR(VLOOKUP($G79,物料档案!$A$4:$P$1203,3,0),"※编码不在物料档案里"))</f>
        <v/>
      </c>
      <c r="I79" s="24">
        <f>IF($G79="","",IFERROR(VLOOKUP($G79,物料档案!$A$4:$P$1203,4,0),"※编码不在物料档案里"))</f>
        <v/>
      </c>
      <c r="J79" s="24">
        <f>IF($G79="","",IFERROR(VLOOKUP($G79,物料档案!$A$4:$P$1203,5,0),"※编码不在物料档案里"))</f>
        <v/>
      </c>
      <c r="K79" s="23" t="n">
        <v>4</v>
      </c>
      <c r="L79" s="31" t="n">
        <v>35</v>
      </c>
      <c r="M79" s="24">
        <f>IF($G79="","",IF($D79="A国内","CNY","TZS"))</f>
        <v/>
      </c>
      <c r="N79" s="28">
        <f>IF($G79="","",IF($D79="A国内",汇率,1))</f>
        <v/>
      </c>
      <c r="O79" s="25">
        <f>IF($G79="","",ROUND(N($K79)*N($L79),2))</f>
        <v/>
      </c>
      <c r="P79" s="26">
        <f>IF($G79="","",ROUND($O79*$N79,0))</f>
        <v/>
      </c>
      <c r="Q79" s="26">
        <f>IF($G79="","",SUMIFS($P$4:$P$2503,$E$4:$E$2503,$E79,$Z$4:$Z$2503,"正常"))</f>
        <v/>
      </c>
      <c r="R79" s="26">
        <f>IF($G79="","",SUMIFS(费用台账!$I$4:$I$503,费用台账!$C$4:$C$503,$E79,费用台账!$J$4:$J$503,"是",费用台账!$K$4:$K$503,"正常"))</f>
        <v/>
      </c>
      <c r="S79" s="28">
        <f>IF($G79="","",COUNTIFS($E$4:$E$2503,$E79,$Z$4:$Z$2503,"正常",$Y$4:$Y$2503,"待补价"))</f>
        <v/>
      </c>
      <c r="T79" s="26">
        <f>IF($G79="","",SUMIFS($P$4:$P$2503,$E$4:$E$2503,$E79,$Z$4:$Z$2503,"正常",$A$4:$A$2503,"&lt;="&amp;$A79))</f>
        <v/>
      </c>
      <c r="U79" s="26">
        <f>IF($G79="","",IF(OR($S79&gt;0,$Q79=0,$R79=0,$Z79&lt;&gt;"正常"),0,ROUND($T79/$Q79*$R79,0)-ROUND(($T79-$P79)/$Q79*$R79,0)))</f>
        <v/>
      </c>
      <c r="V79" s="26">
        <f>IF($G79="","",ROUND($P79+$U79,0))</f>
        <v/>
      </c>
      <c r="W79" s="26">
        <f>IF($G79="","",IF(N($K79)=0,0,ROUND($V79/$K79,2)))</f>
        <v/>
      </c>
      <c r="X79" s="17" t="inlineStr">
        <is>
          <t>采购入库</t>
        </is>
      </c>
      <c r="Y79" s="17" t="inlineStr">
        <is>
          <t>正常</t>
        </is>
      </c>
      <c r="Z79" s="17" t="inlineStr">
        <is>
          <t>正常</t>
        </is>
      </c>
      <c r="AA79" s="17" t="n"/>
      <c r="AB79" s="17" t="inlineStr">
        <is>
          <t>原表第 84 行</t>
        </is>
      </c>
      <c r="AC79" s="24">
        <f>IF($G79="","",IF($H79="※编码不在物料档案里","※物料编码不在档案里",IF(N($K79)&lt;=0,"※入库数量要大于 0",IF(AND($C79&lt;&gt;"",$C79&lt;=结账锁),"※日期早于已结账截止日，不能再录",IF(AND($L79=0,$X79="正常"),"※没填单价，价格状态请选「待补价」",IF(AND($S79&gt;0,$R79&gt;0),"△本批有 "&amp;$S79&amp;" 行没单价，整批运费先挂账没摊",IF(AND($B79&lt;&gt;"",COUNTIF($B$4:$B$2503,$B79)&gt;1),"※入库单号重复","")))))))</f>
        <v/>
      </c>
    </row>
    <row r="80">
      <c r="A80" s="24">
        <f>IF($G80="","",COUNTA($G$4:$G80))</f>
        <v/>
      </c>
      <c r="B80" s="17" t="n"/>
      <c r="C80" s="30" t="n">
        <v>46048</v>
      </c>
      <c r="D80" s="17" t="inlineStr">
        <is>
          <t>A国内</t>
        </is>
      </c>
      <c r="E80" s="17" t="inlineStr">
        <is>
          <t>MEDU7050813-202601</t>
        </is>
      </c>
      <c r="F80" s="17" t="inlineStr">
        <is>
          <t>五金工具</t>
        </is>
      </c>
      <c r="G80" s="17" t="inlineStr">
        <is>
          <t>JH0073</t>
        </is>
      </c>
      <c r="H80" s="24">
        <f>IF($G80="","",IFERROR(VLOOKUP($G80,物料档案!$A$4:$P$1203,3,0),"※编码不在物料档案里"))</f>
        <v/>
      </c>
      <c r="I80" s="24">
        <f>IF($G80="","",IFERROR(VLOOKUP($G80,物料档案!$A$4:$P$1203,4,0),"※编码不在物料档案里"))</f>
        <v/>
      </c>
      <c r="J80" s="24">
        <f>IF($G80="","",IFERROR(VLOOKUP($G80,物料档案!$A$4:$P$1203,5,0),"※编码不在物料档案里"))</f>
        <v/>
      </c>
      <c r="K80" s="23" t="n">
        <v>20</v>
      </c>
      <c r="L80" s="31" t="n">
        <v>40</v>
      </c>
      <c r="M80" s="24">
        <f>IF($G80="","",IF($D80="A国内","CNY","TZS"))</f>
        <v/>
      </c>
      <c r="N80" s="28">
        <f>IF($G80="","",IF($D80="A国内",汇率,1))</f>
        <v/>
      </c>
      <c r="O80" s="25">
        <f>IF($G80="","",ROUND(N($K80)*N($L80),2))</f>
        <v/>
      </c>
      <c r="P80" s="26">
        <f>IF($G80="","",ROUND($O80*$N80,0))</f>
        <v/>
      </c>
      <c r="Q80" s="26">
        <f>IF($G80="","",SUMIFS($P$4:$P$2503,$E$4:$E$2503,$E80,$Z$4:$Z$2503,"正常"))</f>
        <v/>
      </c>
      <c r="R80" s="26">
        <f>IF($G80="","",SUMIFS(费用台账!$I$4:$I$503,费用台账!$C$4:$C$503,$E80,费用台账!$J$4:$J$503,"是",费用台账!$K$4:$K$503,"正常"))</f>
        <v/>
      </c>
      <c r="S80" s="28">
        <f>IF($G80="","",COUNTIFS($E$4:$E$2503,$E80,$Z$4:$Z$2503,"正常",$Y$4:$Y$2503,"待补价"))</f>
        <v/>
      </c>
      <c r="T80" s="26">
        <f>IF($G80="","",SUMIFS($P$4:$P$2503,$E$4:$E$2503,$E80,$Z$4:$Z$2503,"正常",$A$4:$A$2503,"&lt;="&amp;$A80))</f>
        <v/>
      </c>
      <c r="U80" s="26">
        <f>IF($G80="","",IF(OR($S80&gt;0,$Q80=0,$R80=0,$Z80&lt;&gt;"正常"),0,ROUND($T80/$Q80*$R80,0)-ROUND(($T80-$P80)/$Q80*$R80,0)))</f>
        <v/>
      </c>
      <c r="V80" s="26">
        <f>IF($G80="","",ROUND($P80+$U80,0))</f>
        <v/>
      </c>
      <c r="W80" s="26">
        <f>IF($G80="","",IF(N($K80)=0,0,ROUND($V80/$K80,2)))</f>
        <v/>
      </c>
      <c r="X80" s="17" t="inlineStr">
        <is>
          <t>采购入库</t>
        </is>
      </c>
      <c r="Y80" s="17" t="inlineStr">
        <is>
          <t>正常</t>
        </is>
      </c>
      <c r="Z80" s="17" t="inlineStr">
        <is>
          <t>正常</t>
        </is>
      </c>
      <c r="AA80" s="17" t="n"/>
      <c r="AB80" s="17" t="inlineStr">
        <is>
          <t>原表第 85 行</t>
        </is>
      </c>
      <c r="AC80" s="24">
        <f>IF($G80="","",IF($H80="※编码不在物料档案里","※物料编码不在档案里",IF(N($K80)&lt;=0,"※入库数量要大于 0",IF(AND($C80&lt;&gt;"",$C80&lt;=结账锁),"※日期早于已结账截止日，不能再录",IF(AND($L80=0,$X80="正常"),"※没填单价，价格状态请选「待补价」",IF(AND($S80&gt;0,$R80&gt;0),"△本批有 "&amp;$S80&amp;" 行没单价，整批运费先挂账没摊",IF(AND($B80&lt;&gt;"",COUNTIF($B$4:$B$2503,$B80)&gt;1),"※入库单号重复","")))))))</f>
        <v/>
      </c>
    </row>
    <row r="81">
      <c r="A81" s="24">
        <f>IF($G81="","",COUNTA($G$4:$G81))</f>
        <v/>
      </c>
      <c r="B81" s="17" t="n"/>
      <c r="C81" s="30" t="n">
        <v>46048</v>
      </c>
      <c r="D81" s="17" t="inlineStr">
        <is>
          <t>A国内</t>
        </is>
      </c>
      <c r="E81" s="17" t="inlineStr">
        <is>
          <t>MEDU7050813-202601</t>
        </is>
      </c>
      <c r="F81" s="17" t="inlineStr">
        <is>
          <t>五金工具</t>
        </is>
      </c>
      <c r="G81" s="17" t="inlineStr">
        <is>
          <t>JH0074</t>
        </is>
      </c>
      <c r="H81" s="24">
        <f>IF($G81="","",IFERROR(VLOOKUP($G81,物料档案!$A$4:$P$1203,3,0),"※编码不在物料档案里"))</f>
        <v/>
      </c>
      <c r="I81" s="24">
        <f>IF($G81="","",IFERROR(VLOOKUP($G81,物料档案!$A$4:$P$1203,4,0),"※编码不在物料档案里"))</f>
        <v/>
      </c>
      <c r="J81" s="24">
        <f>IF($G81="","",IFERROR(VLOOKUP($G81,物料档案!$A$4:$P$1203,5,0),"※编码不在物料档案里"))</f>
        <v/>
      </c>
      <c r="K81" s="23" t="n">
        <v>1</v>
      </c>
      <c r="L81" s="31" t="n">
        <v>254</v>
      </c>
      <c r="M81" s="24">
        <f>IF($G81="","",IF($D81="A国内","CNY","TZS"))</f>
        <v/>
      </c>
      <c r="N81" s="28">
        <f>IF($G81="","",IF($D81="A国内",汇率,1))</f>
        <v/>
      </c>
      <c r="O81" s="25">
        <f>IF($G81="","",ROUND(N($K81)*N($L81),2))</f>
        <v/>
      </c>
      <c r="P81" s="26">
        <f>IF($G81="","",ROUND($O81*$N81,0))</f>
        <v/>
      </c>
      <c r="Q81" s="26">
        <f>IF($G81="","",SUMIFS($P$4:$P$2503,$E$4:$E$2503,$E81,$Z$4:$Z$2503,"正常"))</f>
        <v/>
      </c>
      <c r="R81" s="26">
        <f>IF($G81="","",SUMIFS(费用台账!$I$4:$I$503,费用台账!$C$4:$C$503,$E81,费用台账!$J$4:$J$503,"是",费用台账!$K$4:$K$503,"正常"))</f>
        <v/>
      </c>
      <c r="S81" s="28">
        <f>IF($G81="","",COUNTIFS($E$4:$E$2503,$E81,$Z$4:$Z$2503,"正常",$Y$4:$Y$2503,"待补价"))</f>
        <v/>
      </c>
      <c r="T81" s="26">
        <f>IF($G81="","",SUMIFS($P$4:$P$2503,$E$4:$E$2503,$E81,$Z$4:$Z$2503,"正常",$A$4:$A$2503,"&lt;="&amp;$A81))</f>
        <v/>
      </c>
      <c r="U81" s="26">
        <f>IF($G81="","",IF(OR($S81&gt;0,$Q81=0,$R81=0,$Z81&lt;&gt;"正常"),0,ROUND($T81/$Q81*$R81,0)-ROUND(($T81-$P81)/$Q81*$R81,0)))</f>
        <v/>
      </c>
      <c r="V81" s="26">
        <f>IF($G81="","",ROUND($P81+$U81,0))</f>
        <v/>
      </c>
      <c r="W81" s="26">
        <f>IF($G81="","",IF(N($K81)=0,0,ROUND($V81/$K81,2)))</f>
        <v/>
      </c>
      <c r="X81" s="17" t="inlineStr">
        <is>
          <t>采购入库</t>
        </is>
      </c>
      <c r="Y81" s="17" t="inlineStr">
        <is>
          <t>正常</t>
        </is>
      </c>
      <c r="Z81" s="17" t="inlineStr">
        <is>
          <t>正常</t>
        </is>
      </c>
      <c r="AA81" s="17" t="n"/>
      <c r="AB81" s="17" t="inlineStr">
        <is>
          <t>原表第 86 行</t>
        </is>
      </c>
      <c r="AC81" s="24">
        <f>IF($G81="","",IF($H81="※编码不在物料档案里","※物料编码不在档案里",IF(N($K81)&lt;=0,"※入库数量要大于 0",IF(AND($C81&lt;&gt;"",$C81&lt;=结账锁),"※日期早于已结账截止日，不能再录",IF(AND($L81=0,$X81="正常"),"※没填单价，价格状态请选「待补价」",IF(AND($S81&gt;0,$R81&gt;0),"△本批有 "&amp;$S81&amp;" 行没单价，整批运费先挂账没摊",IF(AND($B81&lt;&gt;"",COUNTIF($B$4:$B$2503,$B81)&gt;1),"※入库单号重复","")))))))</f>
        <v/>
      </c>
    </row>
    <row r="82">
      <c r="A82" s="24">
        <f>IF($G82="","",COUNTA($G$4:$G82))</f>
        <v/>
      </c>
      <c r="B82" s="17" t="n"/>
      <c r="C82" s="30" t="n">
        <v>46048</v>
      </c>
      <c r="D82" s="17" t="inlineStr">
        <is>
          <t>A国内</t>
        </is>
      </c>
      <c r="E82" s="17" t="inlineStr">
        <is>
          <t>MEDU7050813-202601</t>
        </is>
      </c>
      <c r="F82" s="17" t="inlineStr">
        <is>
          <t>五金工具</t>
        </is>
      </c>
      <c r="G82" s="17" t="inlineStr">
        <is>
          <t>JH0075</t>
        </is>
      </c>
      <c r="H82" s="24">
        <f>IF($G82="","",IFERROR(VLOOKUP($G82,物料档案!$A$4:$P$1203,3,0),"※编码不在物料档案里"))</f>
        <v/>
      </c>
      <c r="I82" s="24">
        <f>IF($G82="","",IFERROR(VLOOKUP($G82,物料档案!$A$4:$P$1203,4,0),"※编码不在物料档案里"))</f>
        <v/>
      </c>
      <c r="J82" s="24">
        <f>IF($G82="","",IFERROR(VLOOKUP($G82,物料档案!$A$4:$P$1203,5,0),"※编码不在物料档案里"))</f>
        <v/>
      </c>
      <c r="K82" s="23" t="n">
        <v>1</v>
      </c>
      <c r="L82" s="31" t="n">
        <v>350</v>
      </c>
      <c r="M82" s="24">
        <f>IF($G82="","",IF($D82="A国内","CNY","TZS"))</f>
        <v/>
      </c>
      <c r="N82" s="28">
        <f>IF($G82="","",IF($D82="A国内",汇率,1))</f>
        <v/>
      </c>
      <c r="O82" s="25">
        <f>IF($G82="","",ROUND(N($K82)*N($L82),2))</f>
        <v/>
      </c>
      <c r="P82" s="26">
        <f>IF($G82="","",ROUND($O82*$N82,0))</f>
        <v/>
      </c>
      <c r="Q82" s="26">
        <f>IF($G82="","",SUMIFS($P$4:$P$2503,$E$4:$E$2503,$E82,$Z$4:$Z$2503,"正常"))</f>
        <v/>
      </c>
      <c r="R82" s="26">
        <f>IF($G82="","",SUMIFS(费用台账!$I$4:$I$503,费用台账!$C$4:$C$503,$E82,费用台账!$J$4:$J$503,"是",费用台账!$K$4:$K$503,"正常"))</f>
        <v/>
      </c>
      <c r="S82" s="28">
        <f>IF($G82="","",COUNTIFS($E$4:$E$2503,$E82,$Z$4:$Z$2503,"正常",$Y$4:$Y$2503,"待补价"))</f>
        <v/>
      </c>
      <c r="T82" s="26">
        <f>IF($G82="","",SUMIFS($P$4:$P$2503,$E$4:$E$2503,$E82,$Z$4:$Z$2503,"正常",$A$4:$A$2503,"&lt;="&amp;$A82))</f>
        <v/>
      </c>
      <c r="U82" s="26">
        <f>IF($G82="","",IF(OR($S82&gt;0,$Q82=0,$R82=0,$Z82&lt;&gt;"正常"),0,ROUND($T82/$Q82*$R82,0)-ROUND(($T82-$P82)/$Q82*$R82,0)))</f>
        <v/>
      </c>
      <c r="V82" s="26">
        <f>IF($G82="","",ROUND($P82+$U82,0))</f>
        <v/>
      </c>
      <c r="W82" s="26">
        <f>IF($G82="","",IF(N($K82)=0,0,ROUND($V82/$K82,2)))</f>
        <v/>
      </c>
      <c r="X82" s="17" t="inlineStr">
        <is>
          <t>采购入库</t>
        </is>
      </c>
      <c r="Y82" s="17" t="inlineStr">
        <is>
          <t>正常</t>
        </is>
      </c>
      <c r="Z82" s="17" t="inlineStr">
        <is>
          <t>正常</t>
        </is>
      </c>
      <c r="AA82" s="17" t="n"/>
      <c r="AB82" s="17" t="inlineStr">
        <is>
          <t>原表第 87 行</t>
        </is>
      </c>
      <c r="AC82" s="24">
        <f>IF($G82="","",IF($H82="※编码不在物料档案里","※物料编码不在档案里",IF(N($K82)&lt;=0,"※入库数量要大于 0",IF(AND($C82&lt;&gt;"",$C82&lt;=结账锁),"※日期早于已结账截止日，不能再录",IF(AND($L82=0,$X82="正常"),"※没填单价，价格状态请选「待补价」",IF(AND($S82&gt;0,$R82&gt;0),"△本批有 "&amp;$S82&amp;" 行没单价，整批运费先挂账没摊",IF(AND($B82&lt;&gt;"",COUNTIF($B$4:$B$2503,$B82)&gt;1),"※入库单号重复","")))))))</f>
        <v/>
      </c>
    </row>
    <row r="83">
      <c r="A83" s="24">
        <f>IF($G83="","",COUNTA($G$4:$G83))</f>
        <v/>
      </c>
      <c r="B83" s="17" t="n"/>
      <c r="C83" s="30" t="n">
        <v>46048</v>
      </c>
      <c r="D83" s="17" t="inlineStr">
        <is>
          <t>A国内</t>
        </is>
      </c>
      <c r="E83" s="17" t="inlineStr">
        <is>
          <t>MEDU7050813-202601</t>
        </is>
      </c>
      <c r="F83" s="17" t="inlineStr">
        <is>
          <t>五金工具</t>
        </is>
      </c>
      <c r="G83" s="17" t="inlineStr">
        <is>
          <t>JH0076</t>
        </is>
      </c>
      <c r="H83" s="24">
        <f>IF($G83="","",IFERROR(VLOOKUP($G83,物料档案!$A$4:$P$1203,3,0),"※编码不在物料档案里"))</f>
        <v/>
      </c>
      <c r="I83" s="24">
        <f>IF($G83="","",IFERROR(VLOOKUP($G83,物料档案!$A$4:$P$1203,4,0),"※编码不在物料档案里"))</f>
        <v/>
      </c>
      <c r="J83" s="24">
        <f>IF($G83="","",IFERROR(VLOOKUP($G83,物料档案!$A$4:$P$1203,5,0),"※编码不在物料档案里"))</f>
        <v/>
      </c>
      <c r="K83" s="23" t="n">
        <v>15</v>
      </c>
      <c r="L83" s="31" t="n">
        <v>140</v>
      </c>
      <c r="M83" s="24">
        <f>IF($G83="","",IF($D83="A国内","CNY","TZS"))</f>
        <v/>
      </c>
      <c r="N83" s="28">
        <f>IF($G83="","",IF($D83="A国内",汇率,1))</f>
        <v/>
      </c>
      <c r="O83" s="25">
        <f>IF($G83="","",ROUND(N($K83)*N($L83),2))</f>
        <v/>
      </c>
      <c r="P83" s="26">
        <f>IF($G83="","",ROUND($O83*$N83,0))</f>
        <v/>
      </c>
      <c r="Q83" s="26">
        <f>IF($G83="","",SUMIFS($P$4:$P$2503,$E$4:$E$2503,$E83,$Z$4:$Z$2503,"正常"))</f>
        <v/>
      </c>
      <c r="R83" s="26">
        <f>IF($G83="","",SUMIFS(费用台账!$I$4:$I$503,费用台账!$C$4:$C$503,$E83,费用台账!$J$4:$J$503,"是",费用台账!$K$4:$K$503,"正常"))</f>
        <v/>
      </c>
      <c r="S83" s="28">
        <f>IF($G83="","",COUNTIFS($E$4:$E$2503,$E83,$Z$4:$Z$2503,"正常",$Y$4:$Y$2503,"待补价"))</f>
        <v/>
      </c>
      <c r="T83" s="26">
        <f>IF($G83="","",SUMIFS($P$4:$P$2503,$E$4:$E$2503,$E83,$Z$4:$Z$2503,"正常",$A$4:$A$2503,"&lt;="&amp;$A83))</f>
        <v/>
      </c>
      <c r="U83" s="26">
        <f>IF($G83="","",IF(OR($S83&gt;0,$Q83=0,$R83=0,$Z83&lt;&gt;"正常"),0,ROUND($T83/$Q83*$R83,0)-ROUND(($T83-$P83)/$Q83*$R83,0)))</f>
        <v/>
      </c>
      <c r="V83" s="26">
        <f>IF($G83="","",ROUND($P83+$U83,0))</f>
        <v/>
      </c>
      <c r="W83" s="26">
        <f>IF($G83="","",IF(N($K83)=0,0,ROUND($V83/$K83,2)))</f>
        <v/>
      </c>
      <c r="X83" s="17" t="inlineStr">
        <is>
          <t>采购入库</t>
        </is>
      </c>
      <c r="Y83" s="17" t="inlineStr">
        <is>
          <t>正常</t>
        </is>
      </c>
      <c r="Z83" s="17" t="inlineStr">
        <is>
          <t>正常</t>
        </is>
      </c>
      <c r="AA83" s="17" t="n"/>
      <c r="AB83" s="17" t="inlineStr">
        <is>
          <t>原表第 88 行</t>
        </is>
      </c>
      <c r="AC83" s="24">
        <f>IF($G83="","",IF($H83="※编码不在物料档案里","※物料编码不在档案里",IF(N($K83)&lt;=0,"※入库数量要大于 0",IF(AND($C83&lt;&gt;"",$C83&lt;=结账锁),"※日期早于已结账截止日，不能再录",IF(AND($L83=0,$X83="正常"),"※没填单价，价格状态请选「待补价」",IF(AND($S83&gt;0,$R83&gt;0),"△本批有 "&amp;$S83&amp;" 行没单价，整批运费先挂账没摊",IF(AND($B83&lt;&gt;"",COUNTIF($B$4:$B$2503,$B83)&gt;1),"※入库单号重复","")))))))</f>
        <v/>
      </c>
    </row>
    <row r="84">
      <c r="A84" s="24">
        <f>IF($G84="","",COUNTA($G$4:$G84))</f>
        <v/>
      </c>
      <c r="B84" s="17" t="n"/>
      <c r="C84" s="30" t="n">
        <v>46048</v>
      </c>
      <c r="D84" s="17" t="inlineStr">
        <is>
          <t>A国内</t>
        </is>
      </c>
      <c r="E84" s="17" t="inlineStr">
        <is>
          <t>MEDU7050813-202601</t>
        </is>
      </c>
      <c r="F84" s="17" t="inlineStr">
        <is>
          <t>五金工具</t>
        </is>
      </c>
      <c r="G84" s="17" t="inlineStr">
        <is>
          <t>JH0077</t>
        </is>
      </c>
      <c r="H84" s="24">
        <f>IF($G84="","",IFERROR(VLOOKUP($G84,物料档案!$A$4:$P$1203,3,0),"※编码不在物料档案里"))</f>
        <v/>
      </c>
      <c r="I84" s="24">
        <f>IF($G84="","",IFERROR(VLOOKUP($G84,物料档案!$A$4:$P$1203,4,0),"※编码不在物料档案里"))</f>
        <v/>
      </c>
      <c r="J84" s="24">
        <f>IF($G84="","",IFERROR(VLOOKUP($G84,物料档案!$A$4:$P$1203,5,0),"※编码不在物料档案里"))</f>
        <v/>
      </c>
      <c r="K84" s="23" t="n">
        <v>20</v>
      </c>
      <c r="L84" s="31" t="n">
        <v>200</v>
      </c>
      <c r="M84" s="24">
        <f>IF($G84="","",IF($D84="A国内","CNY","TZS"))</f>
        <v/>
      </c>
      <c r="N84" s="28">
        <f>IF($G84="","",IF($D84="A国内",汇率,1))</f>
        <v/>
      </c>
      <c r="O84" s="25">
        <f>IF($G84="","",ROUND(N($K84)*N($L84),2))</f>
        <v/>
      </c>
      <c r="P84" s="26">
        <f>IF($G84="","",ROUND($O84*$N84,0))</f>
        <v/>
      </c>
      <c r="Q84" s="26">
        <f>IF($G84="","",SUMIFS($P$4:$P$2503,$E$4:$E$2503,$E84,$Z$4:$Z$2503,"正常"))</f>
        <v/>
      </c>
      <c r="R84" s="26">
        <f>IF($G84="","",SUMIFS(费用台账!$I$4:$I$503,费用台账!$C$4:$C$503,$E84,费用台账!$J$4:$J$503,"是",费用台账!$K$4:$K$503,"正常"))</f>
        <v/>
      </c>
      <c r="S84" s="28">
        <f>IF($G84="","",COUNTIFS($E$4:$E$2503,$E84,$Z$4:$Z$2503,"正常",$Y$4:$Y$2503,"待补价"))</f>
        <v/>
      </c>
      <c r="T84" s="26">
        <f>IF($G84="","",SUMIFS($P$4:$P$2503,$E$4:$E$2503,$E84,$Z$4:$Z$2503,"正常",$A$4:$A$2503,"&lt;="&amp;$A84))</f>
        <v/>
      </c>
      <c r="U84" s="26">
        <f>IF($G84="","",IF(OR($S84&gt;0,$Q84=0,$R84=0,$Z84&lt;&gt;"正常"),0,ROUND($T84/$Q84*$R84,0)-ROUND(($T84-$P84)/$Q84*$R84,0)))</f>
        <v/>
      </c>
      <c r="V84" s="26">
        <f>IF($G84="","",ROUND($P84+$U84,0))</f>
        <v/>
      </c>
      <c r="W84" s="26">
        <f>IF($G84="","",IF(N($K84)=0,0,ROUND($V84/$K84,2)))</f>
        <v/>
      </c>
      <c r="X84" s="17" t="inlineStr">
        <is>
          <t>采购入库</t>
        </is>
      </c>
      <c r="Y84" s="17" t="inlineStr">
        <is>
          <t>正常</t>
        </is>
      </c>
      <c r="Z84" s="17" t="inlineStr">
        <is>
          <t>正常</t>
        </is>
      </c>
      <c r="AA84" s="17" t="n"/>
      <c r="AB84" s="17" t="inlineStr">
        <is>
          <t>原表第 89 行</t>
        </is>
      </c>
      <c r="AC84" s="24">
        <f>IF($G84="","",IF($H84="※编码不在物料档案里","※物料编码不在档案里",IF(N($K84)&lt;=0,"※入库数量要大于 0",IF(AND($C84&lt;&gt;"",$C84&lt;=结账锁),"※日期早于已结账截止日，不能再录",IF(AND($L84=0,$X84="正常"),"※没填单价，价格状态请选「待补价」",IF(AND($S84&gt;0,$R84&gt;0),"△本批有 "&amp;$S84&amp;" 行没单价，整批运费先挂账没摊",IF(AND($B84&lt;&gt;"",COUNTIF($B$4:$B$2503,$B84)&gt;1),"※入库单号重复","")))))))</f>
        <v/>
      </c>
    </row>
    <row r="85">
      <c r="A85" s="24">
        <f>IF($G85="","",COUNTA($G$4:$G85))</f>
        <v/>
      </c>
      <c r="B85" s="17" t="n"/>
      <c r="C85" s="30" t="n">
        <v>46048</v>
      </c>
      <c r="D85" s="17" t="inlineStr">
        <is>
          <t>A国内</t>
        </is>
      </c>
      <c r="E85" s="17" t="inlineStr">
        <is>
          <t>MEDU7050813-202601</t>
        </is>
      </c>
      <c r="F85" s="17" t="inlineStr">
        <is>
          <t>五金工具</t>
        </is>
      </c>
      <c r="G85" s="17" t="inlineStr">
        <is>
          <t>JH0078</t>
        </is>
      </c>
      <c r="H85" s="24">
        <f>IF($G85="","",IFERROR(VLOOKUP($G85,物料档案!$A$4:$P$1203,3,0),"※编码不在物料档案里"))</f>
        <v/>
      </c>
      <c r="I85" s="24">
        <f>IF($G85="","",IFERROR(VLOOKUP($G85,物料档案!$A$4:$P$1203,4,0),"※编码不在物料档案里"))</f>
        <v/>
      </c>
      <c r="J85" s="24">
        <f>IF($G85="","",IFERROR(VLOOKUP($G85,物料档案!$A$4:$P$1203,5,0),"※编码不在物料档案里"))</f>
        <v/>
      </c>
      <c r="K85" s="23" t="n">
        <v>15</v>
      </c>
      <c r="L85" s="31" t="n">
        <v>37</v>
      </c>
      <c r="M85" s="24">
        <f>IF($G85="","",IF($D85="A国内","CNY","TZS"))</f>
        <v/>
      </c>
      <c r="N85" s="28">
        <f>IF($G85="","",IF($D85="A国内",汇率,1))</f>
        <v/>
      </c>
      <c r="O85" s="25">
        <f>IF($G85="","",ROUND(N($K85)*N($L85),2))</f>
        <v/>
      </c>
      <c r="P85" s="26">
        <f>IF($G85="","",ROUND($O85*$N85,0))</f>
        <v/>
      </c>
      <c r="Q85" s="26">
        <f>IF($G85="","",SUMIFS($P$4:$P$2503,$E$4:$E$2503,$E85,$Z$4:$Z$2503,"正常"))</f>
        <v/>
      </c>
      <c r="R85" s="26">
        <f>IF($G85="","",SUMIFS(费用台账!$I$4:$I$503,费用台账!$C$4:$C$503,$E85,费用台账!$J$4:$J$503,"是",费用台账!$K$4:$K$503,"正常"))</f>
        <v/>
      </c>
      <c r="S85" s="28">
        <f>IF($G85="","",COUNTIFS($E$4:$E$2503,$E85,$Z$4:$Z$2503,"正常",$Y$4:$Y$2503,"待补价"))</f>
        <v/>
      </c>
      <c r="T85" s="26">
        <f>IF($G85="","",SUMIFS($P$4:$P$2503,$E$4:$E$2503,$E85,$Z$4:$Z$2503,"正常",$A$4:$A$2503,"&lt;="&amp;$A85))</f>
        <v/>
      </c>
      <c r="U85" s="26">
        <f>IF($G85="","",IF(OR($S85&gt;0,$Q85=0,$R85=0,$Z85&lt;&gt;"正常"),0,ROUND($T85/$Q85*$R85,0)-ROUND(($T85-$P85)/$Q85*$R85,0)))</f>
        <v/>
      </c>
      <c r="V85" s="26">
        <f>IF($G85="","",ROUND($P85+$U85,0))</f>
        <v/>
      </c>
      <c r="W85" s="26">
        <f>IF($G85="","",IF(N($K85)=0,0,ROUND($V85/$K85,2)))</f>
        <v/>
      </c>
      <c r="X85" s="17" t="inlineStr">
        <is>
          <t>采购入库</t>
        </is>
      </c>
      <c r="Y85" s="17" t="inlineStr">
        <is>
          <t>正常</t>
        </is>
      </c>
      <c r="Z85" s="17" t="inlineStr">
        <is>
          <t>正常</t>
        </is>
      </c>
      <c r="AA85" s="17" t="n"/>
      <c r="AB85" s="17" t="inlineStr">
        <is>
          <t>原表第 90 行</t>
        </is>
      </c>
      <c r="AC85" s="24">
        <f>IF($G85="","",IF($H85="※编码不在物料档案里","※物料编码不在档案里",IF(N($K85)&lt;=0,"※入库数量要大于 0",IF(AND($C85&lt;&gt;"",$C85&lt;=结账锁),"※日期早于已结账截止日，不能再录",IF(AND($L85=0,$X85="正常"),"※没填单价，价格状态请选「待补价」",IF(AND($S85&gt;0,$R85&gt;0),"△本批有 "&amp;$S85&amp;" 行没单价，整批运费先挂账没摊",IF(AND($B85&lt;&gt;"",COUNTIF($B$4:$B$2503,$B85)&gt;1),"※入库单号重复","")))))))</f>
        <v/>
      </c>
    </row>
    <row r="86">
      <c r="A86" s="24">
        <f>IF($G86="","",COUNTA($G$4:$G86))</f>
        <v/>
      </c>
      <c r="B86" s="17" t="n"/>
      <c r="C86" s="30" t="n">
        <v>46048</v>
      </c>
      <c r="D86" s="17" t="inlineStr">
        <is>
          <t>A国内</t>
        </is>
      </c>
      <c r="E86" s="17" t="inlineStr">
        <is>
          <t>MEDU7050813-202601</t>
        </is>
      </c>
      <c r="F86" s="17" t="inlineStr">
        <is>
          <t>五金工具</t>
        </is>
      </c>
      <c r="G86" s="17" t="inlineStr">
        <is>
          <t>JH0079</t>
        </is>
      </c>
      <c r="H86" s="24">
        <f>IF($G86="","",IFERROR(VLOOKUP($G86,物料档案!$A$4:$P$1203,3,0),"※编码不在物料档案里"))</f>
        <v/>
      </c>
      <c r="I86" s="24">
        <f>IF($G86="","",IFERROR(VLOOKUP($G86,物料档案!$A$4:$P$1203,4,0),"※编码不在物料档案里"))</f>
        <v/>
      </c>
      <c r="J86" s="24">
        <f>IF($G86="","",IFERROR(VLOOKUP($G86,物料档案!$A$4:$P$1203,5,0),"※编码不在物料档案里"))</f>
        <v/>
      </c>
      <c r="K86" s="23" t="n">
        <v>7</v>
      </c>
      <c r="L86" s="31" t="n">
        <v>138</v>
      </c>
      <c r="M86" s="24">
        <f>IF($G86="","",IF($D86="A国内","CNY","TZS"))</f>
        <v/>
      </c>
      <c r="N86" s="28">
        <f>IF($G86="","",IF($D86="A国内",汇率,1))</f>
        <v/>
      </c>
      <c r="O86" s="25">
        <f>IF($G86="","",ROUND(N($K86)*N($L86),2))</f>
        <v/>
      </c>
      <c r="P86" s="26">
        <f>IF($G86="","",ROUND($O86*$N86,0))</f>
        <v/>
      </c>
      <c r="Q86" s="26">
        <f>IF($G86="","",SUMIFS($P$4:$P$2503,$E$4:$E$2503,$E86,$Z$4:$Z$2503,"正常"))</f>
        <v/>
      </c>
      <c r="R86" s="26">
        <f>IF($G86="","",SUMIFS(费用台账!$I$4:$I$503,费用台账!$C$4:$C$503,$E86,费用台账!$J$4:$J$503,"是",费用台账!$K$4:$K$503,"正常"))</f>
        <v/>
      </c>
      <c r="S86" s="28">
        <f>IF($G86="","",COUNTIFS($E$4:$E$2503,$E86,$Z$4:$Z$2503,"正常",$Y$4:$Y$2503,"待补价"))</f>
        <v/>
      </c>
      <c r="T86" s="26">
        <f>IF($G86="","",SUMIFS($P$4:$P$2503,$E$4:$E$2503,$E86,$Z$4:$Z$2503,"正常",$A$4:$A$2503,"&lt;="&amp;$A86))</f>
        <v/>
      </c>
      <c r="U86" s="26">
        <f>IF($G86="","",IF(OR($S86&gt;0,$Q86=0,$R86=0,$Z86&lt;&gt;"正常"),0,ROUND($T86/$Q86*$R86,0)-ROUND(($T86-$P86)/$Q86*$R86,0)))</f>
        <v/>
      </c>
      <c r="V86" s="26">
        <f>IF($G86="","",ROUND($P86+$U86,0))</f>
        <v/>
      </c>
      <c r="W86" s="26">
        <f>IF($G86="","",IF(N($K86)=0,0,ROUND($V86/$K86,2)))</f>
        <v/>
      </c>
      <c r="X86" s="17" t="inlineStr">
        <is>
          <t>采购入库</t>
        </is>
      </c>
      <c r="Y86" s="17" t="inlineStr">
        <is>
          <t>正常</t>
        </is>
      </c>
      <c r="Z86" s="17" t="inlineStr">
        <is>
          <t>正常</t>
        </is>
      </c>
      <c r="AA86" s="17" t="n"/>
      <c r="AB86" s="17" t="inlineStr">
        <is>
          <t>原表第 91 行</t>
        </is>
      </c>
      <c r="AC86" s="24">
        <f>IF($G86="","",IF($H86="※编码不在物料档案里","※物料编码不在档案里",IF(N($K86)&lt;=0,"※入库数量要大于 0",IF(AND($C86&lt;&gt;"",$C86&lt;=结账锁),"※日期早于已结账截止日，不能再录",IF(AND($L86=0,$X86="正常"),"※没填单价，价格状态请选「待补价」",IF(AND($S86&gt;0,$R86&gt;0),"△本批有 "&amp;$S86&amp;" 行没单价，整批运费先挂账没摊",IF(AND($B86&lt;&gt;"",COUNTIF($B$4:$B$2503,$B86)&gt;1),"※入库单号重复","")))))))</f>
        <v/>
      </c>
    </row>
    <row r="87">
      <c r="A87" s="24">
        <f>IF($G87="","",COUNTA($G$4:$G87))</f>
        <v/>
      </c>
      <c r="B87" s="17" t="n"/>
      <c r="C87" s="30" t="n">
        <v>46048</v>
      </c>
      <c r="D87" s="17" t="inlineStr">
        <is>
          <t>A国内</t>
        </is>
      </c>
      <c r="E87" s="17" t="inlineStr">
        <is>
          <t>MEDU7050813-202601</t>
        </is>
      </c>
      <c r="F87" s="17" t="inlineStr">
        <is>
          <t>五金工具</t>
        </is>
      </c>
      <c r="G87" s="17" t="inlineStr">
        <is>
          <t>JH0080</t>
        </is>
      </c>
      <c r="H87" s="24">
        <f>IF($G87="","",IFERROR(VLOOKUP($G87,物料档案!$A$4:$P$1203,3,0),"※编码不在物料档案里"))</f>
        <v/>
      </c>
      <c r="I87" s="24">
        <f>IF($G87="","",IFERROR(VLOOKUP($G87,物料档案!$A$4:$P$1203,4,0),"※编码不在物料档案里"))</f>
        <v/>
      </c>
      <c r="J87" s="24">
        <f>IF($G87="","",IFERROR(VLOOKUP($G87,物料档案!$A$4:$P$1203,5,0),"※编码不在物料档案里"))</f>
        <v/>
      </c>
      <c r="K87" s="23" t="n">
        <v>5</v>
      </c>
      <c r="L87" s="31" t="n">
        <v>320</v>
      </c>
      <c r="M87" s="24">
        <f>IF($G87="","",IF($D87="A国内","CNY","TZS"))</f>
        <v/>
      </c>
      <c r="N87" s="28">
        <f>IF($G87="","",IF($D87="A国内",汇率,1))</f>
        <v/>
      </c>
      <c r="O87" s="25">
        <f>IF($G87="","",ROUND(N($K87)*N($L87),2))</f>
        <v/>
      </c>
      <c r="P87" s="26">
        <f>IF($G87="","",ROUND($O87*$N87,0))</f>
        <v/>
      </c>
      <c r="Q87" s="26">
        <f>IF($G87="","",SUMIFS($P$4:$P$2503,$E$4:$E$2503,$E87,$Z$4:$Z$2503,"正常"))</f>
        <v/>
      </c>
      <c r="R87" s="26">
        <f>IF($G87="","",SUMIFS(费用台账!$I$4:$I$503,费用台账!$C$4:$C$503,$E87,费用台账!$J$4:$J$503,"是",费用台账!$K$4:$K$503,"正常"))</f>
        <v/>
      </c>
      <c r="S87" s="28">
        <f>IF($G87="","",COUNTIFS($E$4:$E$2503,$E87,$Z$4:$Z$2503,"正常",$Y$4:$Y$2503,"待补价"))</f>
        <v/>
      </c>
      <c r="T87" s="26">
        <f>IF($G87="","",SUMIFS($P$4:$P$2503,$E$4:$E$2503,$E87,$Z$4:$Z$2503,"正常",$A$4:$A$2503,"&lt;="&amp;$A87))</f>
        <v/>
      </c>
      <c r="U87" s="26">
        <f>IF($G87="","",IF(OR($S87&gt;0,$Q87=0,$R87=0,$Z87&lt;&gt;"正常"),0,ROUND($T87/$Q87*$R87,0)-ROUND(($T87-$P87)/$Q87*$R87,0)))</f>
        <v/>
      </c>
      <c r="V87" s="26">
        <f>IF($G87="","",ROUND($P87+$U87,0))</f>
        <v/>
      </c>
      <c r="W87" s="26">
        <f>IF($G87="","",IF(N($K87)=0,0,ROUND($V87/$K87,2)))</f>
        <v/>
      </c>
      <c r="X87" s="17" t="inlineStr">
        <is>
          <t>采购入库</t>
        </is>
      </c>
      <c r="Y87" s="17" t="inlineStr">
        <is>
          <t>正常</t>
        </is>
      </c>
      <c r="Z87" s="17" t="inlineStr">
        <is>
          <t>正常</t>
        </is>
      </c>
      <c r="AA87" s="17" t="n"/>
      <c r="AB87" s="17" t="inlineStr">
        <is>
          <t>原表第 92 行</t>
        </is>
      </c>
      <c r="AC87" s="24">
        <f>IF($G87="","",IF($H87="※编码不在物料档案里","※物料编码不在档案里",IF(N($K87)&lt;=0,"※入库数量要大于 0",IF(AND($C87&lt;&gt;"",$C87&lt;=结账锁),"※日期早于已结账截止日，不能再录",IF(AND($L87=0,$X87="正常"),"※没填单价，价格状态请选「待补价」",IF(AND($S87&gt;0,$R87&gt;0),"△本批有 "&amp;$S87&amp;" 行没单价，整批运费先挂账没摊",IF(AND($B87&lt;&gt;"",COUNTIF($B$4:$B$2503,$B87)&gt;1),"※入库单号重复","")))))))</f>
        <v/>
      </c>
    </row>
    <row r="88">
      <c r="A88" s="24">
        <f>IF($G88="","",COUNTA($G$4:$G88))</f>
        <v/>
      </c>
      <c r="B88" s="17" t="n"/>
      <c r="C88" s="30" t="n">
        <v>46048</v>
      </c>
      <c r="D88" s="17" t="inlineStr">
        <is>
          <t>A国内</t>
        </is>
      </c>
      <c r="E88" s="17" t="inlineStr">
        <is>
          <t>MEDU7050813-202601</t>
        </is>
      </c>
      <c r="F88" s="17" t="inlineStr">
        <is>
          <t>五金工具</t>
        </is>
      </c>
      <c r="G88" s="17" t="inlineStr">
        <is>
          <t>JH0081</t>
        </is>
      </c>
      <c r="H88" s="24">
        <f>IF($G88="","",IFERROR(VLOOKUP($G88,物料档案!$A$4:$P$1203,3,0),"※编码不在物料档案里"))</f>
        <v/>
      </c>
      <c r="I88" s="24">
        <f>IF($G88="","",IFERROR(VLOOKUP($G88,物料档案!$A$4:$P$1203,4,0),"※编码不在物料档案里"))</f>
        <v/>
      </c>
      <c r="J88" s="24">
        <f>IF($G88="","",IFERROR(VLOOKUP($G88,物料档案!$A$4:$P$1203,5,0),"※编码不在物料档案里"))</f>
        <v/>
      </c>
      <c r="K88" s="23" t="n">
        <v>15</v>
      </c>
      <c r="L88" s="31" t="n">
        <v>85.5</v>
      </c>
      <c r="M88" s="24">
        <f>IF($G88="","",IF($D88="A国内","CNY","TZS"))</f>
        <v/>
      </c>
      <c r="N88" s="28">
        <f>IF($G88="","",IF($D88="A国内",汇率,1))</f>
        <v/>
      </c>
      <c r="O88" s="25">
        <f>IF($G88="","",ROUND(N($K88)*N($L88),2))</f>
        <v/>
      </c>
      <c r="P88" s="26">
        <f>IF($G88="","",ROUND($O88*$N88,0))</f>
        <v/>
      </c>
      <c r="Q88" s="26">
        <f>IF($G88="","",SUMIFS($P$4:$P$2503,$E$4:$E$2503,$E88,$Z$4:$Z$2503,"正常"))</f>
        <v/>
      </c>
      <c r="R88" s="26">
        <f>IF($G88="","",SUMIFS(费用台账!$I$4:$I$503,费用台账!$C$4:$C$503,$E88,费用台账!$J$4:$J$503,"是",费用台账!$K$4:$K$503,"正常"))</f>
        <v/>
      </c>
      <c r="S88" s="28">
        <f>IF($G88="","",COUNTIFS($E$4:$E$2503,$E88,$Z$4:$Z$2503,"正常",$Y$4:$Y$2503,"待补价"))</f>
        <v/>
      </c>
      <c r="T88" s="26">
        <f>IF($G88="","",SUMIFS($P$4:$P$2503,$E$4:$E$2503,$E88,$Z$4:$Z$2503,"正常",$A$4:$A$2503,"&lt;="&amp;$A88))</f>
        <v/>
      </c>
      <c r="U88" s="26">
        <f>IF($G88="","",IF(OR($S88&gt;0,$Q88=0,$R88=0,$Z88&lt;&gt;"正常"),0,ROUND($T88/$Q88*$R88,0)-ROUND(($T88-$P88)/$Q88*$R88,0)))</f>
        <v/>
      </c>
      <c r="V88" s="26">
        <f>IF($G88="","",ROUND($P88+$U88,0))</f>
        <v/>
      </c>
      <c r="W88" s="26">
        <f>IF($G88="","",IF(N($K88)=0,0,ROUND($V88/$K88,2)))</f>
        <v/>
      </c>
      <c r="X88" s="17" t="inlineStr">
        <is>
          <t>采购入库</t>
        </is>
      </c>
      <c r="Y88" s="17" t="inlineStr">
        <is>
          <t>正常</t>
        </is>
      </c>
      <c r="Z88" s="17" t="inlineStr">
        <is>
          <t>正常</t>
        </is>
      </c>
      <c r="AA88" s="17" t="n"/>
      <c r="AB88" s="17" t="inlineStr">
        <is>
          <t>原表第 93 行</t>
        </is>
      </c>
      <c r="AC88" s="24">
        <f>IF($G88="","",IF($H88="※编码不在物料档案里","※物料编码不在档案里",IF(N($K88)&lt;=0,"※入库数量要大于 0",IF(AND($C88&lt;&gt;"",$C88&lt;=结账锁),"※日期早于已结账截止日，不能再录",IF(AND($L88=0,$X88="正常"),"※没填单价，价格状态请选「待补价」",IF(AND($S88&gt;0,$R88&gt;0),"△本批有 "&amp;$S88&amp;" 行没单价，整批运费先挂账没摊",IF(AND($B88&lt;&gt;"",COUNTIF($B$4:$B$2503,$B88)&gt;1),"※入库单号重复","")))))))</f>
        <v/>
      </c>
    </row>
    <row r="89">
      <c r="A89" s="24">
        <f>IF($G89="","",COUNTA($G$4:$G89))</f>
        <v/>
      </c>
      <c r="B89" s="17" t="n"/>
      <c r="C89" s="30" t="n">
        <v>46048</v>
      </c>
      <c r="D89" s="17" t="inlineStr">
        <is>
          <t>A国内</t>
        </is>
      </c>
      <c r="E89" s="17" t="inlineStr">
        <is>
          <t>MEDU7050813-202601</t>
        </is>
      </c>
      <c r="F89" s="17" t="inlineStr">
        <is>
          <t>五金工具</t>
        </is>
      </c>
      <c r="G89" s="17" t="inlineStr">
        <is>
          <t>JH0082</t>
        </is>
      </c>
      <c r="H89" s="24">
        <f>IF($G89="","",IFERROR(VLOOKUP($G89,物料档案!$A$4:$P$1203,3,0),"※编码不在物料档案里"))</f>
        <v/>
      </c>
      <c r="I89" s="24">
        <f>IF($G89="","",IFERROR(VLOOKUP($G89,物料档案!$A$4:$P$1203,4,0),"※编码不在物料档案里"))</f>
        <v/>
      </c>
      <c r="J89" s="24">
        <f>IF($G89="","",IFERROR(VLOOKUP($G89,物料档案!$A$4:$P$1203,5,0),"※编码不在物料档案里"))</f>
        <v/>
      </c>
      <c r="K89" s="23" t="n">
        <v>2</v>
      </c>
      <c r="L89" s="31" t="n">
        <v>480</v>
      </c>
      <c r="M89" s="24">
        <f>IF($G89="","",IF($D89="A国内","CNY","TZS"))</f>
        <v/>
      </c>
      <c r="N89" s="28">
        <f>IF($G89="","",IF($D89="A国内",汇率,1))</f>
        <v/>
      </c>
      <c r="O89" s="25">
        <f>IF($G89="","",ROUND(N($K89)*N($L89),2))</f>
        <v/>
      </c>
      <c r="P89" s="26">
        <f>IF($G89="","",ROUND($O89*$N89,0))</f>
        <v/>
      </c>
      <c r="Q89" s="26">
        <f>IF($G89="","",SUMIFS($P$4:$P$2503,$E$4:$E$2503,$E89,$Z$4:$Z$2503,"正常"))</f>
        <v/>
      </c>
      <c r="R89" s="26">
        <f>IF($G89="","",SUMIFS(费用台账!$I$4:$I$503,费用台账!$C$4:$C$503,$E89,费用台账!$J$4:$J$503,"是",费用台账!$K$4:$K$503,"正常"))</f>
        <v/>
      </c>
      <c r="S89" s="28">
        <f>IF($G89="","",COUNTIFS($E$4:$E$2503,$E89,$Z$4:$Z$2503,"正常",$Y$4:$Y$2503,"待补价"))</f>
        <v/>
      </c>
      <c r="T89" s="26">
        <f>IF($G89="","",SUMIFS($P$4:$P$2503,$E$4:$E$2503,$E89,$Z$4:$Z$2503,"正常",$A$4:$A$2503,"&lt;="&amp;$A89))</f>
        <v/>
      </c>
      <c r="U89" s="26">
        <f>IF($G89="","",IF(OR($S89&gt;0,$Q89=0,$R89=0,$Z89&lt;&gt;"正常"),0,ROUND($T89/$Q89*$R89,0)-ROUND(($T89-$P89)/$Q89*$R89,0)))</f>
        <v/>
      </c>
      <c r="V89" s="26">
        <f>IF($G89="","",ROUND($P89+$U89,0))</f>
        <v/>
      </c>
      <c r="W89" s="26">
        <f>IF($G89="","",IF(N($K89)=0,0,ROUND($V89/$K89,2)))</f>
        <v/>
      </c>
      <c r="X89" s="17" t="inlineStr">
        <is>
          <t>采购入库</t>
        </is>
      </c>
      <c r="Y89" s="17" t="inlineStr">
        <is>
          <t>正常</t>
        </is>
      </c>
      <c r="Z89" s="17" t="inlineStr">
        <is>
          <t>正常</t>
        </is>
      </c>
      <c r="AA89" s="17" t="n"/>
      <c r="AB89" s="17" t="inlineStr">
        <is>
          <t>原表第 94 行</t>
        </is>
      </c>
      <c r="AC89" s="24">
        <f>IF($G89="","",IF($H89="※编码不在物料档案里","※物料编码不在档案里",IF(N($K89)&lt;=0,"※入库数量要大于 0",IF(AND($C89&lt;&gt;"",$C89&lt;=结账锁),"※日期早于已结账截止日，不能再录",IF(AND($L89=0,$X89="正常"),"※没填单价，价格状态请选「待补价」",IF(AND($S89&gt;0,$R89&gt;0),"△本批有 "&amp;$S89&amp;" 行没单价，整批运费先挂账没摊",IF(AND($B89&lt;&gt;"",COUNTIF($B$4:$B$2503,$B89)&gt;1),"※入库单号重复","")))))))</f>
        <v/>
      </c>
    </row>
    <row r="90">
      <c r="A90" s="24">
        <f>IF($G90="","",COUNTA($G$4:$G90))</f>
        <v/>
      </c>
      <c r="B90" s="17" t="n"/>
      <c r="C90" s="30" t="n">
        <v>46048</v>
      </c>
      <c r="D90" s="17" t="inlineStr">
        <is>
          <t>A国内</t>
        </is>
      </c>
      <c r="E90" s="17" t="inlineStr">
        <is>
          <t>MEDU7050813-202601</t>
        </is>
      </c>
      <c r="F90" s="17" t="inlineStr">
        <is>
          <t>五金工具</t>
        </is>
      </c>
      <c r="G90" s="17" t="inlineStr">
        <is>
          <t>JH0083</t>
        </is>
      </c>
      <c r="H90" s="24">
        <f>IF($G90="","",IFERROR(VLOOKUP($G90,物料档案!$A$4:$P$1203,3,0),"※编码不在物料档案里"))</f>
        <v/>
      </c>
      <c r="I90" s="24">
        <f>IF($G90="","",IFERROR(VLOOKUP($G90,物料档案!$A$4:$P$1203,4,0),"※编码不在物料档案里"))</f>
        <v/>
      </c>
      <c r="J90" s="24">
        <f>IF($G90="","",IFERROR(VLOOKUP($G90,物料档案!$A$4:$P$1203,5,0),"※编码不在物料档案里"))</f>
        <v/>
      </c>
      <c r="K90" s="23" t="n">
        <v>15</v>
      </c>
      <c r="L90" s="31" t="n">
        <v>16</v>
      </c>
      <c r="M90" s="24">
        <f>IF($G90="","",IF($D90="A国内","CNY","TZS"))</f>
        <v/>
      </c>
      <c r="N90" s="28">
        <f>IF($G90="","",IF($D90="A国内",汇率,1))</f>
        <v/>
      </c>
      <c r="O90" s="25">
        <f>IF($G90="","",ROUND(N($K90)*N($L90),2))</f>
        <v/>
      </c>
      <c r="P90" s="26">
        <f>IF($G90="","",ROUND($O90*$N90,0))</f>
        <v/>
      </c>
      <c r="Q90" s="26">
        <f>IF($G90="","",SUMIFS($P$4:$P$2503,$E$4:$E$2503,$E90,$Z$4:$Z$2503,"正常"))</f>
        <v/>
      </c>
      <c r="R90" s="26">
        <f>IF($G90="","",SUMIFS(费用台账!$I$4:$I$503,费用台账!$C$4:$C$503,$E90,费用台账!$J$4:$J$503,"是",费用台账!$K$4:$K$503,"正常"))</f>
        <v/>
      </c>
      <c r="S90" s="28">
        <f>IF($G90="","",COUNTIFS($E$4:$E$2503,$E90,$Z$4:$Z$2503,"正常",$Y$4:$Y$2503,"待补价"))</f>
        <v/>
      </c>
      <c r="T90" s="26">
        <f>IF($G90="","",SUMIFS($P$4:$P$2503,$E$4:$E$2503,$E90,$Z$4:$Z$2503,"正常",$A$4:$A$2503,"&lt;="&amp;$A90))</f>
        <v/>
      </c>
      <c r="U90" s="26">
        <f>IF($G90="","",IF(OR($S90&gt;0,$Q90=0,$R90=0,$Z90&lt;&gt;"正常"),0,ROUND($T90/$Q90*$R90,0)-ROUND(($T90-$P90)/$Q90*$R90,0)))</f>
        <v/>
      </c>
      <c r="V90" s="26">
        <f>IF($G90="","",ROUND($P90+$U90,0))</f>
        <v/>
      </c>
      <c r="W90" s="26">
        <f>IF($G90="","",IF(N($K90)=0,0,ROUND($V90/$K90,2)))</f>
        <v/>
      </c>
      <c r="X90" s="17" t="inlineStr">
        <is>
          <t>采购入库</t>
        </is>
      </c>
      <c r="Y90" s="17" t="inlineStr">
        <is>
          <t>正常</t>
        </is>
      </c>
      <c r="Z90" s="17" t="inlineStr">
        <is>
          <t>正常</t>
        </is>
      </c>
      <c r="AA90" s="17" t="n"/>
      <c r="AB90" s="17" t="inlineStr">
        <is>
          <t>原表第 95 行</t>
        </is>
      </c>
      <c r="AC90" s="24">
        <f>IF($G90="","",IF($H90="※编码不在物料档案里","※物料编码不在档案里",IF(N($K90)&lt;=0,"※入库数量要大于 0",IF(AND($C90&lt;&gt;"",$C90&lt;=结账锁),"※日期早于已结账截止日，不能再录",IF(AND($L90=0,$X90="正常"),"※没填单价，价格状态请选「待补价」",IF(AND($S90&gt;0,$R90&gt;0),"△本批有 "&amp;$S90&amp;" 行没单价，整批运费先挂账没摊",IF(AND($B90&lt;&gt;"",COUNTIF($B$4:$B$2503,$B90)&gt;1),"※入库单号重复","")))))))</f>
        <v/>
      </c>
    </row>
    <row r="91">
      <c r="A91" s="24">
        <f>IF($G91="","",COUNTA($G$4:$G91))</f>
        <v/>
      </c>
      <c r="B91" s="17" t="n"/>
      <c r="C91" s="30" t="n">
        <v>46048</v>
      </c>
      <c r="D91" s="17" t="inlineStr">
        <is>
          <t>A国内</t>
        </is>
      </c>
      <c r="E91" s="17" t="inlineStr">
        <is>
          <t>MEDU7050813-202601</t>
        </is>
      </c>
      <c r="F91" s="17" t="inlineStr">
        <is>
          <t>五金工具</t>
        </is>
      </c>
      <c r="G91" s="17" t="inlineStr">
        <is>
          <t>JH0084</t>
        </is>
      </c>
      <c r="H91" s="24">
        <f>IF($G91="","",IFERROR(VLOOKUP($G91,物料档案!$A$4:$P$1203,3,0),"※编码不在物料档案里"))</f>
        <v/>
      </c>
      <c r="I91" s="24">
        <f>IF($G91="","",IFERROR(VLOOKUP($G91,物料档案!$A$4:$P$1203,4,0),"※编码不在物料档案里"))</f>
        <v/>
      </c>
      <c r="J91" s="24">
        <f>IF($G91="","",IFERROR(VLOOKUP($G91,物料档案!$A$4:$P$1203,5,0),"※编码不在物料档案里"))</f>
        <v/>
      </c>
      <c r="K91" s="23" t="n">
        <v>5</v>
      </c>
      <c r="L91" s="31" t="n">
        <v>20.5</v>
      </c>
      <c r="M91" s="24">
        <f>IF($G91="","",IF($D91="A国内","CNY","TZS"))</f>
        <v/>
      </c>
      <c r="N91" s="28">
        <f>IF($G91="","",IF($D91="A国内",汇率,1))</f>
        <v/>
      </c>
      <c r="O91" s="25">
        <f>IF($G91="","",ROUND(N($K91)*N($L91),2))</f>
        <v/>
      </c>
      <c r="P91" s="26">
        <f>IF($G91="","",ROUND($O91*$N91,0))</f>
        <v/>
      </c>
      <c r="Q91" s="26">
        <f>IF($G91="","",SUMIFS($P$4:$P$2503,$E$4:$E$2503,$E91,$Z$4:$Z$2503,"正常"))</f>
        <v/>
      </c>
      <c r="R91" s="26">
        <f>IF($G91="","",SUMIFS(费用台账!$I$4:$I$503,费用台账!$C$4:$C$503,$E91,费用台账!$J$4:$J$503,"是",费用台账!$K$4:$K$503,"正常"))</f>
        <v/>
      </c>
      <c r="S91" s="28">
        <f>IF($G91="","",COUNTIFS($E$4:$E$2503,$E91,$Z$4:$Z$2503,"正常",$Y$4:$Y$2503,"待补价"))</f>
        <v/>
      </c>
      <c r="T91" s="26">
        <f>IF($G91="","",SUMIFS($P$4:$P$2503,$E$4:$E$2503,$E91,$Z$4:$Z$2503,"正常",$A$4:$A$2503,"&lt;="&amp;$A91))</f>
        <v/>
      </c>
      <c r="U91" s="26">
        <f>IF($G91="","",IF(OR($S91&gt;0,$Q91=0,$R91=0,$Z91&lt;&gt;"正常"),0,ROUND($T91/$Q91*$R91,0)-ROUND(($T91-$P91)/$Q91*$R91,0)))</f>
        <v/>
      </c>
      <c r="V91" s="26">
        <f>IF($G91="","",ROUND($P91+$U91,0))</f>
        <v/>
      </c>
      <c r="W91" s="26">
        <f>IF($G91="","",IF(N($K91)=0,0,ROUND($V91/$K91,2)))</f>
        <v/>
      </c>
      <c r="X91" s="17" t="inlineStr">
        <is>
          <t>采购入库</t>
        </is>
      </c>
      <c r="Y91" s="17" t="inlineStr">
        <is>
          <t>正常</t>
        </is>
      </c>
      <c r="Z91" s="17" t="inlineStr">
        <is>
          <t>正常</t>
        </is>
      </c>
      <c r="AA91" s="17" t="n"/>
      <c r="AB91" s="17" t="inlineStr">
        <is>
          <t>原表第 96 行</t>
        </is>
      </c>
      <c r="AC91" s="24">
        <f>IF($G91="","",IF($H91="※编码不在物料档案里","※物料编码不在档案里",IF(N($K91)&lt;=0,"※入库数量要大于 0",IF(AND($C91&lt;&gt;"",$C91&lt;=结账锁),"※日期早于已结账截止日，不能再录",IF(AND($L91=0,$X91="正常"),"※没填单价，价格状态请选「待补价」",IF(AND($S91&gt;0,$R91&gt;0),"△本批有 "&amp;$S91&amp;" 行没单价，整批运费先挂账没摊",IF(AND($B91&lt;&gt;"",COUNTIF($B$4:$B$2503,$B91)&gt;1),"※入库单号重复","")))))))</f>
        <v/>
      </c>
    </row>
    <row r="92">
      <c r="A92" s="24">
        <f>IF($G92="","",COUNTA($G$4:$G92))</f>
        <v/>
      </c>
      <c r="B92" s="17" t="n"/>
      <c r="C92" s="30" t="n">
        <v>46048</v>
      </c>
      <c r="D92" s="17" t="inlineStr">
        <is>
          <t>A国内</t>
        </is>
      </c>
      <c r="E92" s="17" t="inlineStr">
        <is>
          <t>MEDU7050813-202601</t>
        </is>
      </c>
      <c r="F92" s="17" t="inlineStr">
        <is>
          <t>五金工具</t>
        </is>
      </c>
      <c r="G92" s="17" t="inlineStr">
        <is>
          <t>JH0085</t>
        </is>
      </c>
      <c r="H92" s="24">
        <f>IF($G92="","",IFERROR(VLOOKUP($G92,物料档案!$A$4:$P$1203,3,0),"※编码不在物料档案里"))</f>
        <v/>
      </c>
      <c r="I92" s="24">
        <f>IF($G92="","",IFERROR(VLOOKUP($G92,物料档案!$A$4:$P$1203,4,0),"※编码不在物料档案里"))</f>
        <v/>
      </c>
      <c r="J92" s="24">
        <f>IF($G92="","",IFERROR(VLOOKUP($G92,物料档案!$A$4:$P$1203,5,0),"※编码不在物料档案里"))</f>
        <v/>
      </c>
      <c r="K92" s="23" t="n">
        <v>25</v>
      </c>
      <c r="L92" s="31" t="n">
        <v>10.5</v>
      </c>
      <c r="M92" s="24">
        <f>IF($G92="","",IF($D92="A国内","CNY","TZS"))</f>
        <v/>
      </c>
      <c r="N92" s="28">
        <f>IF($G92="","",IF($D92="A国内",汇率,1))</f>
        <v/>
      </c>
      <c r="O92" s="25">
        <f>IF($G92="","",ROUND(N($K92)*N($L92),2))</f>
        <v/>
      </c>
      <c r="P92" s="26">
        <f>IF($G92="","",ROUND($O92*$N92,0))</f>
        <v/>
      </c>
      <c r="Q92" s="26">
        <f>IF($G92="","",SUMIFS($P$4:$P$2503,$E$4:$E$2503,$E92,$Z$4:$Z$2503,"正常"))</f>
        <v/>
      </c>
      <c r="R92" s="26">
        <f>IF($G92="","",SUMIFS(费用台账!$I$4:$I$503,费用台账!$C$4:$C$503,$E92,费用台账!$J$4:$J$503,"是",费用台账!$K$4:$K$503,"正常"))</f>
        <v/>
      </c>
      <c r="S92" s="28">
        <f>IF($G92="","",COUNTIFS($E$4:$E$2503,$E92,$Z$4:$Z$2503,"正常",$Y$4:$Y$2503,"待补价"))</f>
        <v/>
      </c>
      <c r="T92" s="26">
        <f>IF($G92="","",SUMIFS($P$4:$P$2503,$E$4:$E$2503,$E92,$Z$4:$Z$2503,"正常",$A$4:$A$2503,"&lt;="&amp;$A92))</f>
        <v/>
      </c>
      <c r="U92" s="26">
        <f>IF($G92="","",IF(OR($S92&gt;0,$Q92=0,$R92=0,$Z92&lt;&gt;"正常"),0,ROUND($T92/$Q92*$R92,0)-ROUND(($T92-$P92)/$Q92*$R92,0)))</f>
        <v/>
      </c>
      <c r="V92" s="26">
        <f>IF($G92="","",ROUND($P92+$U92,0))</f>
        <v/>
      </c>
      <c r="W92" s="26">
        <f>IF($G92="","",IF(N($K92)=0,0,ROUND($V92/$K92,2)))</f>
        <v/>
      </c>
      <c r="X92" s="17" t="inlineStr">
        <is>
          <t>采购入库</t>
        </is>
      </c>
      <c r="Y92" s="17" t="inlineStr">
        <is>
          <t>正常</t>
        </is>
      </c>
      <c r="Z92" s="17" t="inlineStr">
        <is>
          <t>正常</t>
        </is>
      </c>
      <c r="AA92" s="17" t="n"/>
      <c r="AB92" s="17" t="inlineStr">
        <is>
          <t>原表第 97 行</t>
        </is>
      </c>
      <c r="AC92" s="24">
        <f>IF($G92="","",IF($H92="※编码不在物料档案里","※物料编码不在档案里",IF(N($K92)&lt;=0,"※入库数量要大于 0",IF(AND($C92&lt;&gt;"",$C92&lt;=结账锁),"※日期早于已结账截止日，不能再录",IF(AND($L92=0,$X92="正常"),"※没填单价，价格状态请选「待补价」",IF(AND($S92&gt;0,$R92&gt;0),"△本批有 "&amp;$S92&amp;" 行没单价，整批运费先挂账没摊",IF(AND($B92&lt;&gt;"",COUNTIF($B$4:$B$2503,$B92)&gt;1),"※入库单号重复","")))))))</f>
        <v/>
      </c>
    </row>
    <row r="93">
      <c r="A93" s="24">
        <f>IF($G93="","",COUNTA($G$4:$G93))</f>
        <v/>
      </c>
      <c r="B93" s="17" t="n"/>
      <c r="C93" s="30" t="n">
        <v>46048</v>
      </c>
      <c r="D93" s="17" t="inlineStr">
        <is>
          <t>A国内</t>
        </is>
      </c>
      <c r="E93" s="17" t="inlineStr">
        <is>
          <t>MEDU7050813-202601</t>
        </is>
      </c>
      <c r="F93" s="17" t="inlineStr">
        <is>
          <t>五金工具</t>
        </is>
      </c>
      <c r="G93" s="17" t="inlineStr">
        <is>
          <t>JH0086</t>
        </is>
      </c>
      <c r="H93" s="24">
        <f>IF($G93="","",IFERROR(VLOOKUP($G93,物料档案!$A$4:$P$1203,3,0),"※编码不在物料档案里"))</f>
        <v/>
      </c>
      <c r="I93" s="24">
        <f>IF($G93="","",IFERROR(VLOOKUP($G93,物料档案!$A$4:$P$1203,4,0),"※编码不在物料档案里"))</f>
        <v/>
      </c>
      <c r="J93" s="24">
        <f>IF($G93="","",IFERROR(VLOOKUP($G93,物料档案!$A$4:$P$1203,5,0),"※编码不在物料档案里"))</f>
        <v/>
      </c>
      <c r="K93" s="23" t="n">
        <v>10</v>
      </c>
      <c r="L93" s="31" t="n">
        <v>9</v>
      </c>
      <c r="M93" s="24">
        <f>IF($G93="","",IF($D93="A国内","CNY","TZS"))</f>
        <v/>
      </c>
      <c r="N93" s="28">
        <f>IF($G93="","",IF($D93="A国内",汇率,1))</f>
        <v/>
      </c>
      <c r="O93" s="25">
        <f>IF($G93="","",ROUND(N($K93)*N($L93),2))</f>
        <v/>
      </c>
      <c r="P93" s="26">
        <f>IF($G93="","",ROUND($O93*$N93,0))</f>
        <v/>
      </c>
      <c r="Q93" s="26">
        <f>IF($G93="","",SUMIFS($P$4:$P$2503,$E$4:$E$2503,$E93,$Z$4:$Z$2503,"正常"))</f>
        <v/>
      </c>
      <c r="R93" s="26">
        <f>IF($G93="","",SUMIFS(费用台账!$I$4:$I$503,费用台账!$C$4:$C$503,$E93,费用台账!$J$4:$J$503,"是",费用台账!$K$4:$K$503,"正常"))</f>
        <v/>
      </c>
      <c r="S93" s="28">
        <f>IF($G93="","",COUNTIFS($E$4:$E$2503,$E93,$Z$4:$Z$2503,"正常",$Y$4:$Y$2503,"待补价"))</f>
        <v/>
      </c>
      <c r="T93" s="26">
        <f>IF($G93="","",SUMIFS($P$4:$P$2503,$E$4:$E$2503,$E93,$Z$4:$Z$2503,"正常",$A$4:$A$2503,"&lt;="&amp;$A93))</f>
        <v/>
      </c>
      <c r="U93" s="26">
        <f>IF($G93="","",IF(OR($S93&gt;0,$Q93=0,$R93=0,$Z93&lt;&gt;"正常"),0,ROUND($T93/$Q93*$R93,0)-ROUND(($T93-$P93)/$Q93*$R93,0)))</f>
        <v/>
      </c>
      <c r="V93" s="26">
        <f>IF($G93="","",ROUND($P93+$U93,0))</f>
        <v/>
      </c>
      <c r="W93" s="26">
        <f>IF($G93="","",IF(N($K93)=0,0,ROUND($V93/$K93,2)))</f>
        <v/>
      </c>
      <c r="X93" s="17" t="inlineStr">
        <is>
          <t>采购入库</t>
        </is>
      </c>
      <c r="Y93" s="17" t="inlineStr">
        <is>
          <t>正常</t>
        </is>
      </c>
      <c r="Z93" s="17" t="inlineStr">
        <is>
          <t>正常</t>
        </is>
      </c>
      <c r="AA93" s="17" t="n"/>
      <c r="AB93" s="17" t="inlineStr">
        <is>
          <t>原表第 98 行</t>
        </is>
      </c>
      <c r="AC93" s="24">
        <f>IF($G93="","",IF($H93="※编码不在物料档案里","※物料编码不在档案里",IF(N($K93)&lt;=0,"※入库数量要大于 0",IF(AND($C93&lt;&gt;"",$C93&lt;=结账锁),"※日期早于已结账截止日，不能再录",IF(AND($L93=0,$X93="正常"),"※没填单价，价格状态请选「待补价」",IF(AND($S93&gt;0,$R93&gt;0),"△本批有 "&amp;$S93&amp;" 行没单价，整批运费先挂账没摊",IF(AND($B93&lt;&gt;"",COUNTIF($B$4:$B$2503,$B93)&gt;1),"※入库单号重复","")))))))</f>
        <v/>
      </c>
    </row>
    <row r="94">
      <c r="A94" s="24">
        <f>IF($G94="","",COUNTA($G$4:$G94))</f>
        <v/>
      </c>
      <c r="B94" s="17" t="n"/>
      <c r="C94" s="30" t="n">
        <v>46048</v>
      </c>
      <c r="D94" s="17" t="inlineStr">
        <is>
          <t>A国内</t>
        </is>
      </c>
      <c r="E94" s="17" t="inlineStr">
        <is>
          <t>MEDU7050813-202601</t>
        </is>
      </c>
      <c r="F94" s="17" t="inlineStr">
        <is>
          <t>五金工具</t>
        </is>
      </c>
      <c r="G94" s="17" t="inlineStr">
        <is>
          <t>JH0087</t>
        </is>
      </c>
      <c r="H94" s="24">
        <f>IF($G94="","",IFERROR(VLOOKUP($G94,物料档案!$A$4:$P$1203,3,0),"※编码不在物料档案里"))</f>
        <v/>
      </c>
      <c r="I94" s="24">
        <f>IF($G94="","",IFERROR(VLOOKUP($G94,物料档案!$A$4:$P$1203,4,0),"※编码不在物料档案里"))</f>
        <v/>
      </c>
      <c r="J94" s="24">
        <f>IF($G94="","",IFERROR(VLOOKUP($G94,物料档案!$A$4:$P$1203,5,0),"※编码不在物料档案里"))</f>
        <v/>
      </c>
      <c r="K94" s="23" t="n">
        <v>15</v>
      </c>
      <c r="L94" s="31" t="n">
        <v>12.6</v>
      </c>
      <c r="M94" s="24">
        <f>IF($G94="","",IF($D94="A国内","CNY","TZS"))</f>
        <v/>
      </c>
      <c r="N94" s="28">
        <f>IF($G94="","",IF($D94="A国内",汇率,1))</f>
        <v/>
      </c>
      <c r="O94" s="25">
        <f>IF($G94="","",ROUND(N($K94)*N($L94),2))</f>
        <v/>
      </c>
      <c r="P94" s="26">
        <f>IF($G94="","",ROUND($O94*$N94,0))</f>
        <v/>
      </c>
      <c r="Q94" s="26">
        <f>IF($G94="","",SUMIFS($P$4:$P$2503,$E$4:$E$2503,$E94,$Z$4:$Z$2503,"正常"))</f>
        <v/>
      </c>
      <c r="R94" s="26">
        <f>IF($G94="","",SUMIFS(费用台账!$I$4:$I$503,费用台账!$C$4:$C$503,$E94,费用台账!$J$4:$J$503,"是",费用台账!$K$4:$K$503,"正常"))</f>
        <v/>
      </c>
      <c r="S94" s="28">
        <f>IF($G94="","",COUNTIFS($E$4:$E$2503,$E94,$Z$4:$Z$2503,"正常",$Y$4:$Y$2503,"待补价"))</f>
        <v/>
      </c>
      <c r="T94" s="26">
        <f>IF($G94="","",SUMIFS($P$4:$P$2503,$E$4:$E$2503,$E94,$Z$4:$Z$2503,"正常",$A$4:$A$2503,"&lt;="&amp;$A94))</f>
        <v/>
      </c>
      <c r="U94" s="26">
        <f>IF($G94="","",IF(OR($S94&gt;0,$Q94=0,$R94=0,$Z94&lt;&gt;"正常"),0,ROUND($T94/$Q94*$R94,0)-ROUND(($T94-$P94)/$Q94*$R94,0)))</f>
        <v/>
      </c>
      <c r="V94" s="26">
        <f>IF($G94="","",ROUND($P94+$U94,0))</f>
        <v/>
      </c>
      <c r="W94" s="26">
        <f>IF($G94="","",IF(N($K94)=0,0,ROUND($V94/$K94,2)))</f>
        <v/>
      </c>
      <c r="X94" s="17" t="inlineStr">
        <is>
          <t>采购入库</t>
        </is>
      </c>
      <c r="Y94" s="17" t="inlineStr">
        <is>
          <t>正常</t>
        </is>
      </c>
      <c r="Z94" s="17" t="inlineStr">
        <is>
          <t>正常</t>
        </is>
      </c>
      <c r="AA94" s="17" t="n"/>
      <c r="AB94" s="17" t="inlineStr">
        <is>
          <t>原表第 99 行</t>
        </is>
      </c>
      <c r="AC94" s="24">
        <f>IF($G94="","",IF($H94="※编码不在物料档案里","※物料编码不在档案里",IF(N($K94)&lt;=0,"※入库数量要大于 0",IF(AND($C94&lt;&gt;"",$C94&lt;=结账锁),"※日期早于已结账截止日，不能再录",IF(AND($L94=0,$X94="正常"),"※没填单价，价格状态请选「待补价」",IF(AND($S94&gt;0,$R94&gt;0),"△本批有 "&amp;$S94&amp;" 行没单价，整批运费先挂账没摊",IF(AND($B94&lt;&gt;"",COUNTIF($B$4:$B$2503,$B94)&gt;1),"※入库单号重复","")))))))</f>
        <v/>
      </c>
    </row>
    <row r="95">
      <c r="A95" s="24">
        <f>IF($G95="","",COUNTA($G$4:$G95))</f>
        <v/>
      </c>
      <c r="B95" s="17" t="n"/>
      <c r="C95" s="30" t="n">
        <v>46048</v>
      </c>
      <c r="D95" s="17" t="inlineStr">
        <is>
          <t>A国内</t>
        </is>
      </c>
      <c r="E95" s="17" t="inlineStr">
        <is>
          <t>MEDU7050813-202601</t>
        </is>
      </c>
      <c r="F95" s="17" t="inlineStr">
        <is>
          <t>五金工具</t>
        </is>
      </c>
      <c r="G95" s="17" t="inlineStr">
        <is>
          <t>JH0088</t>
        </is>
      </c>
      <c r="H95" s="24">
        <f>IF($G95="","",IFERROR(VLOOKUP($G95,物料档案!$A$4:$P$1203,3,0),"※编码不在物料档案里"))</f>
        <v/>
      </c>
      <c r="I95" s="24">
        <f>IF($G95="","",IFERROR(VLOOKUP($G95,物料档案!$A$4:$P$1203,4,0),"※编码不在物料档案里"))</f>
        <v/>
      </c>
      <c r="J95" s="24">
        <f>IF($G95="","",IFERROR(VLOOKUP($G95,物料档案!$A$4:$P$1203,5,0),"※编码不在物料档案里"))</f>
        <v/>
      </c>
      <c r="K95" s="23" t="n">
        <v>2</v>
      </c>
      <c r="L95" s="31" t="n">
        <v>218</v>
      </c>
      <c r="M95" s="24">
        <f>IF($G95="","",IF($D95="A国内","CNY","TZS"))</f>
        <v/>
      </c>
      <c r="N95" s="28">
        <f>IF($G95="","",IF($D95="A国内",汇率,1))</f>
        <v/>
      </c>
      <c r="O95" s="25">
        <f>IF($G95="","",ROUND(N($K95)*N($L95),2))</f>
        <v/>
      </c>
      <c r="P95" s="26">
        <f>IF($G95="","",ROUND($O95*$N95,0))</f>
        <v/>
      </c>
      <c r="Q95" s="26">
        <f>IF($G95="","",SUMIFS($P$4:$P$2503,$E$4:$E$2503,$E95,$Z$4:$Z$2503,"正常"))</f>
        <v/>
      </c>
      <c r="R95" s="26">
        <f>IF($G95="","",SUMIFS(费用台账!$I$4:$I$503,费用台账!$C$4:$C$503,$E95,费用台账!$J$4:$J$503,"是",费用台账!$K$4:$K$503,"正常"))</f>
        <v/>
      </c>
      <c r="S95" s="28">
        <f>IF($G95="","",COUNTIFS($E$4:$E$2503,$E95,$Z$4:$Z$2503,"正常",$Y$4:$Y$2503,"待补价"))</f>
        <v/>
      </c>
      <c r="T95" s="26">
        <f>IF($G95="","",SUMIFS($P$4:$P$2503,$E$4:$E$2503,$E95,$Z$4:$Z$2503,"正常",$A$4:$A$2503,"&lt;="&amp;$A95))</f>
        <v/>
      </c>
      <c r="U95" s="26">
        <f>IF($G95="","",IF(OR($S95&gt;0,$Q95=0,$R95=0,$Z95&lt;&gt;"正常"),0,ROUND($T95/$Q95*$R95,0)-ROUND(($T95-$P95)/$Q95*$R95,0)))</f>
        <v/>
      </c>
      <c r="V95" s="26">
        <f>IF($G95="","",ROUND($P95+$U95,0))</f>
        <v/>
      </c>
      <c r="W95" s="26">
        <f>IF($G95="","",IF(N($K95)=0,0,ROUND($V95/$K95,2)))</f>
        <v/>
      </c>
      <c r="X95" s="17" t="inlineStr">
        <is>
          <t>采购入库</t>
        </is>
      </c>
      <c r="Y95" s="17" t="inlineStr">
        <is>
          <t>正常</t>
        </is>
      </c>
      <c r="Z95" s="17" t="inlineStr">
        <is>
          <t>正常</t>
        </is>
      </c>
      <c r="AA95" s="17" t="n"/>
      <c r="AB95" s="17" t="inlineStr">
        <is>
          <t>原表第 100 行</t>
        </is>
      </c>
      <c r="AC95" s="24">
        <f>IF($G95="","",IF($H95="※编码不在物料档案里","※物料编码不在档案里",IF(N($K95)&lt;=0,"※入库数量要大于 0",IF(AND($C95&lt;&gt;"",$C95&lt;=结账锁),"※日期早于已结账截止日，不能再录",IF(AND($L95=0,$X95="正常"),"※没填单价，价格状态请选「待补价」",IF(AND($S95&gt;0,$R95&gt;0),"△本批有 "&amp;$S95&amp;" 行没单价，整批运费先挂账没摊",IF(AND($B95&lt;&gt;"",COUNTIF($B$4:$B$2503,$B95)&gt;1),"※入库单号重复","")))))))</f>
        <v/>
      </c>
    </row>
    <row r="96">
      <c r="A96" s="24">
        <f>IF($G96="","",COUNTA($G$4:$G96))</f>
        <v/>
      </c>
      <c r="B96" s="17" t="n"/>
      <c r="C96" s="30" t="n">
        <v>46048</v>
      </c>
      <c r="D96" s="17" t="inlineStr">
        <is>
          <t>A国内</t>
        </is>
      </c>
      <c r="E96" s="17" t="inlineStr">
        <is>
          <t>MEDU7050813-202601</t>
        </is>
      </c>
      <c r="F96" s="17" t="inlineStr">
        <is>
          <t>五金工具</t>
        </is>
      </c>
      <c r="G96" s="17" t="inlineStr">
        <is>
          <t>JH0089</t>
        </is>
      </c>
      <c r="H96" s="24">
        <f>IF($G96="","",IFERROR(VLOOKUP($G96,物料档案!$A$4:$P$1203,3,0),"※编码不在物料档案里"))</f>
        <v/>
      </c>
      <c r="I96" s="24">
        <f>IF($G96="","",IFERROR(VLOOKUP($G96,物料档案!$A$4:$P$1203,4,0),"※编码不在物料档案里"))</f>
        <v/>
      </c>
      <c r="J96" s="24">
        <f>IF($G96="","",IFERROR(VLOOKUP($G96,物料档案!$A$4:$P$1203,5,0),"※编码不在物料档案里"))</f>
        <v/>
      </c>
      <c r="K96" s="23" t="n">
        <v>2</v>
      </c>
      <c r="L96" s="31" t="n">
        <v>357</v>
      </c>
      <c r="M96" s="24">
        <f>IF($G96="","",IF($D96="A国内","CNY","TZS"))</f>
        <v/>
      </c>
      <c r="N96" s="28">
        <f>IF($G96="","",IF($D96="A国内",汇率,1))</f>
        <v/>
      </c>
      <c r="O96" s="25">
        <f>IF($G96="","",ROUND(N($K96)*N($L96),2))</f>
        <v/>
      </c>
      <c r="P96" s="26">
        <f>IF($G96="","",ROUND($O96*$N96,0))</f>
        <v/>
      </c>
      <c r="Q96" s="26">
        <f>IF($G96="","",SUMIFS($P$4:$P$2503,$E$4:$E$2503,$E96,$Z$4:$Z$2503,"正常"))</f>
        <v/>
      </c>
      <c r="R96" s="26">
        <f>IF($G96="","",SUMIFS(费用台账!$I$4:$I$503,费用台账!$C$4:$C$503,$E96,费用台账!$J$4:$J$503,"是",费用台账!$K$4:$K$503,"正常"))</f>
        <v/>
      </c>
      <c r="S96" s="28">
        <f>IF($G96="","",COUNTIFS($E$4:$E$2503,$E96,$Z$4:$Z$2503,"正常",$Y$4:$Y$2503,"待补价"))</f>
        <v/>
      </c>
      <c r="T96" s="26">
        <f>IF($G96="","",SUMIFS($P$4:$P$2503,$E$4:$E$2503,$E96,$Z$4:$Z$2503,"正常",$A$4:$A$2503,"&lt;="&amp;$A96))</f>
        <v/>
      </c>
      <c r="U96" s="26">
        <f>IF($G96="","",IF(OR($S96&gt;0,$Q96=0,$R96=0,$Z96&lt;&gt;"正常"),0,ROUND($T96/$Q96*$R96,0)-ROUND(($T96-$P96)/$Q96*$R96,0)))</f>
        <v/>
      </c>
      <c r="V96" s="26">
        <f>IF($G96="","",ROUND($P96+$U96,0))</f>
        <v/>
      </c>
      <c r="W96" s="26">
        <f>IF($G96="","",IF(N($K96)=0,0,ROUND($V96/$K96,2)))</f>
        <v/>
      </c>
      <c r="X96" s="17" t="inlineStr">
        <is>
          <t>采购入库</t>
        </is>
      </c>
      <c r="Y96" s="17" t="inlineStr">
        <is>
          <t>正常</t>
        </is>
      </c>
      <c r="Z96" s="17" t="inlineStr">
        <is>
          <t>正常</t>
        </is>
      </c>
      <c r="AA96" s="17" t="n"/>
      <c r="AB96" s="17" t="inlineStr">
        <is>
          <t>原表第 101 行</t>
        </is>
      </c>
      <c r="AC96" s="24">
        <f>IF($G96="","",IF($H96="※编码不在物料档案里","※物料编码不在档案里",IF(N($K96)&lt;=0,"※入库数量要大于 0",IF(AND($C96&lt;&gt;"",$C96&lt;=结账锁),"※日期早于已结账截止日，不能再录",IF(AND($L96=0,$X96="正常"),"※没填单价，价格状态请选「待补价」",IF(AND($S96&gt;0,$R96&gt;0),"△本批有 "&amp;$S96&amp;" 行没单价，整批运费先挂账没摊",IF(AND($B96&lt;&gt;"",COUNTIF($B$4:$B$2503,$B96)&gt;1),"※入库单号重复","")))))))</f>
        <v/>
      </c>
    </row>
    <row r="97">
      <c r="A97" s="24">
        <f>IF($G97="","",COUNTA($G$4:$G97))</f>
        <v/>
      </c>
      <c r="B97" s="17" t="n"/>
      <c r="C97" s="30" t="n">
        <v>46048</v>
      </c>
      <c r="D97" s="17" t="inlineStr">
        <is>
          <t>A国内</t>
        </is>
      </c>
      <c r="E97" s="17" t="inlineStr">
        <is>
          <t>MEDU7050813-202601</t>
        </is>
      </c>
      <c r="F97" s="17" t="inlineStr">
        <is>
          <t>五金工具</t>
        </is>
      </c>
      <c r="G97" s="17" t="inlineStr">
        <is>
          <t>JH0090</t>
        </is>
      </c>
      <c r="H97" s="24">
        <f>IF($G97="","",IFERROR(VLOOKUP($G97,物料档案!$A$4:$P$1203,3,0),"※编码不在物料档案里"))</f>
        <v/>
      </c>
      <c r="I97" s="24">
        <f>IF($G97="","",IFERROR(VLOOKUP($G97,物料档案!$A$4:$P$1203,4,0),"※编码不在物料档案里"))</f>
        <v/>
      </c>
      <c r="J97" s="24">
        <f>IF($G97="","",IFERROR(VLOOKUP($G97,物料档案!$A$4:$P$1203,5,0),"※编码不在物料档案里"))</f>
        <v/>
      </c>
      <c r="K97" s="23" t="n">
        <v>1</v>
      </c>
      <c r="L97" s="31" t="n">
        <v>660</v>
      </c>
      <c r="M97" s="24">
        <f>IF($G97="","",IF($D97="A国内","CNY","TZS"))</f>
        <v/>
      </c>
      <c r="N97" s="28">
        <f>IF($G97="","",IF($D97="A国内",汇率,1))</f>
        <v/>
      </c>
      <c r="O97" s="25">
        <f>IF($G97="","",ROUND(N($K97)*N($L97),2))</f>
        <v/>
      </c>
      <c r="P97" s="26">
        <f>IF($G97="","",ROUND($O97*$N97,0))</f>
        <v/>
      </c>
      <c r="Q97" s="26">
        <f>IF($G97="","",SUMIFS($P$4:$P$2503,$E$4:$E$2503,$E97,$Z$4:$Z$2503,"正常"))</f>
        <v/>
      </c>
      <c r="R97" s="26">
        <f>IF($G97="","",SUMIFS(费用台账!$I$4:$I$503,费用台账!$C$4:$C$503,$E97,费用台账!$J$4:$J$503,"是",费用台账!$K$4:$K$503,"正常"))</f>
        <v/>
      </c>
      <c r="S97" s="28">
        <f>IF($G97="","",COUNTIFS($E$4:$E$2503,$E97,$Z$4:$Z$2503,"正常",$Y$4:$Y$2503,"待补价"))</f>
        <v/>
      </c>
      <c r="T97" s="26">
        <f>IF($G97="","",SUMIFS($P$4:$P$2503,$E$4:$E$2503,$E97,$Z$4:$Z$2503,"正常",$A$4:$A$2503,"&lt;="&amp;$A97))</f>
        <v/>
      </c>
      <c r="U97" s="26">
        <f>IF($G97="","",IF(OR($S97&gt;0,$Q97=0,$R97=0,$Z97&lt;&gt;"正常"),0,ROUND($T97/$Q97*$R97,0)-ROUND(($T97-$P97)/$Q97*$R97,0)))</f>
        <v/>
      </c>
      <c r="V97" s="26">
        <f>IF($G97="","",ROUND($P97+$U97,0))</f>
        <v/>
      </c>
      <c r="W97" s="26">
        <f>IF($G97="","",IF(N($K97)=0,0,ROUND($V97/$K97,2)))</f>
        <v/>
      </c>
      <c r="X97" s="17" t="inlineStr">
        <is>
          <t>采购入库</t>
        </is>
      </c>
      <c r="Y97" s="17" t="inlineStr">
        <is>
          <t>正常</t>
        </is>
      </c>
      <c r="Z97" s="17" t="inlineStr">
        <is>
          <t>正常</t>
        </is>
      </c>
      <c r="AA97" s="17" t="n"/>
      <c r="AB97" s="17" t="inlineStr">
        <is>
          <t>原表第 102 行　单位含包装规格，单价是每「100米」的价</t>
        </is>
      </c>
      <c r="AC97" s="24">
        <f>IF($G97="","",IF($H97="※编码不在物料档案里","※物料编码不在档案里",IF(N($K97)&lt;=0,"※入库数量要大于 0",IF(AND($C97&lt;&gt;"",$C97&lt;=结账锁),"※日期早于已结账截止日，不能再录",IF(AND($L97=0,$X97="正常"),"※没填单价，价格状态请选「待补价」",IF(AND($S97&gt;0,$R97&gt;0),"△本批有 "&amp;$S97&amp;" 行没单价，整批运费先挂账没摊",IF(AND($B97&lt;&gt;"",COUNTIF($B$4:$B$2503,$B97)&gt;1),"※入库单号重复","")))))))</f>
        <v/>
      </c>
    </row>
    <row r="98">
      <c r="A98" s="24">
        <f>IF($G98="","",COUNTA($G$4:$G98))</f>
        <v/>
      </c>
      <c r="B98" s="17" t="n"/>
      <c r="C98" s="30" t="n">
        <v>46048</v>
      </c>
      <c r="D98" s="17" t="inlineStr">
        <is>
          <t>A国内</t>
        </is>
      </c>
      <c r="E98" s="17" t="inlineStr">
        <is>
          <t>MEDU7050813-202601</t>
        </is>
      </c>
      <c r="F98" s="17" t="inlineStr">
        <is>
          <t>五金工具</t>
        </is>
      </c>
      <c r="G98" s="17" t="inlineStr">
        <is>
          <t>JH0091</t>
        </is>
      </c>
      <c r="H98" s="24">
        <f>IF($G98="","",IFERROR(VLOOKUP($G98,物料档案!$A$4:$P$1203,3,0),"※编码不在物料档案里"))</f>
        <v/>
      </c>
      <c r="I98" s="24">
        <f>IF($G98="","",IFERROR(VLOOKUP($G98,物料档案!$A$4:$P$1203,4,0),"※编码不在物料档案里"))</f>
        <v/>
      </c>
      <c r="J98" s="24">
        <f>IF($G98="","",IFERROR(VLOOKUP($G98,物料档案!$A$4:$P$1203,5,0),"※编码不在物料档案里"))</f>
        <v/>
      </c>
      <c r="K98" s="23" t="n">
        <v>10</v>
      </c>
      <c r="L98" s="31" t="n">
        <v>81</v>
      </c>
      <c r="M98" s="24">
        <f>IF($G98="","",IF($D98="A国内","CNY","TZS"))</f>
        <v/>
      </c>
      <c r="N98" s="28">
        <f>IF($G98="","",IF($D98="A国内",汇率,1))</f>
        <v/>
      </c>
      <c r="O98" s="25">
        <f>IF($G98="","",ROUND(N($K98)*N($L98),2))</f>
        <v/>
      </c>
      <c r="P98" s="26">
        <f>IF($G98="","",ROUND($O98*$N98,0))</f>
        <v/>
      </c>
      <c r="Q98" s="26">
        <f>IF($G98="","",SUMIFS($P$4:$P$2503,$E$4:$E$2503,$E98,$Z$4:$Z$2503,"正常"))</f>
        <v/>
      </c>
      <c r="R98" s="26">
        <f>IF($G98="","",SUMIFS(费用台账!$I$4:$I$503,费用台账!$C$4:$C$503,$E98,费用台账!$J$4:$J$503,"是",费用台账!$K$4:$K$503,"正常"))</f>
        <v/>
      </c>
      <c r="S98" s="28">
        <f>IF($G98="","",COUNTIFS($E$4:$E$2503,$E98,$Z$4:$Z$2503,"正常",$Y$4:$Y$2503,"待补价"))</f>
        <v/>
      </c>
      <c r="T98" s="26">
        <f>IF($G98="","",SUMIFS($P$4:$P$2503,$E$4:$E$2503,$E98,$Z$4:$Z$2503,"正常",$A$4:$A$2503,"&lt;="&amp;$A98))</f>
        <v/>
      </c>
      <c r="U98" s="26">
        <f>IF($G98="","",IF(OR($S98&gt;0,$Q98=0,$R98=0,$Z98&lt;&gt;"正常"),0,ROUND($T98/$Q98*$R98,0)-ROUND(($T98-$P98)/$Q98*$R98,0)))</f>
        <v/>
      </c>
      <c r="V98" s="26">
        <f>IF($G98="","",ROUND($P98+$U98,0))</f>
        <v/>
      </c>
      <c r="W98" s="26">
        <f>IF($G98="","",IF(N($K98)=0,0,ROUND($V98/$K98,2)))</f>
        <v/>
      </c>
      <c r="X98" s="17" t="inlineStr">
        <is>
          <t>采购入库</t>
        </is>
      </c>
      <c r="Y98" s="17" t="inlineStr">
        <is>
          <t>正常</t>
        </is>
      </c>
      <c r="Z98" s="17" t="inlineStr">
        <is>
          <t>正常</t>
        </is>
      </c>
      <c r="AA98" s="17" t="n"/>
      <c r="AB98" s="17" t="inlineStr">
        <is>
          <t>原表第 103 行</t>
        </is>
      </c>
      <c r="AC98" s="24">
        <f>IF($G98="","",IF($H98="※编码不在物料档案里","※物料编码不在档案里",IF(N($K98)&lt;=0,"※入库数量要大于 0",IF(AND($C98&lt;&gt;"",$C98&lt;=结账锁),"※日期早于已结账截止日，不能再录",IF(AND($L98=0,$X98="正常"),"※没填单价，价格状态请选「待补价」",IF(AND($S98&gt;0,$R98&gt;0),"△本批有 "&amp;$S98&amp;" 行没单价，整批运费先挂账没摊",IF(AND($B98&lt;&gt;"",COUNTIF($B$4:$B$2503,$B98)&gt;1),"※入库单号重复","")))))))</f>
        <v/>
      </c>
    </row>
    <row r="99">
      <c r="A99" s="24">
        <f>IF($G99="","",COUNTA($G$4:$G99))</f>
        <v/>
      </c>
      <c r="B99" s="17" t="n"/>
      <c r="C99" s="30" t="n">
        <v>46048</v>
      </c>
      <c r="D99" s="17" t="inlineStr">
        <is>
          <t>A国内</t>
        </is>
      </c>
      <c r="E99" s="17" t="inlineStr">
        <is>
          <t>MEDU7050813-202601</t>
        </is>
      </c>
      <c r="F99" s="17" t="inlineStr">
        <is>
          <t>五金工具</t>
        </is>
      </c>
      <c r="G99" s="17" t="inlineStr">
        <is>
          <t>JH0092</t>
        </is>
      </c>
      <c r="H99" s="24">
        <f>IF($G99="","",IFERROR(VLOOKUP($G99,物料档案!$A$4:$P$1203,3,0),"※编码不在物料档案里"))</f>
        <v/>
      </c>
      <c r="I99" s="24">
        <f>IF($G99="","",IFERROR(VLOOKUP($G99,物料档案!$A$4:$P$1203,4,0),"※编码不在物料档案里"))</f>
        <v/>
      </c>
      <c r="J99" s="24">
        <f>IF($G99="","",IFERROR(VLOOKUP($G99,物料档案!$A$4:$P$1203,5,0),"※编码不在物料档案里"))</f>
        <v/>
      </c>
      <c r="K99" s="23" t="n">
        <v>2</v>
      </c>
      <c r="L99" s="31" t="n">
        <v>130</v>
      </c>
      <c r="M99" s="24">
        <f>IF($G99="","",IF($D99="A国内","CNY","TZS"))</f>
        <v/>
      </c>
      <c r="N99" s="28">
        <f>IF($G99="","",IF($D99="A国内",汇率,1))</f>
        <v/>
      </c>
      <c r="O99" s="25">
        <f>IF($G99="","",ROUND(N($K99)*N($L99),2))</f>
        <v/>
      </c>
      <c r="P99" s="26">
        <f>IF($G99="","",ROUND($O99*$N99,0))</f>
        <v/>
      </c>
      <c r="Q99" s="26">
        <f>IF($G99="","",SUMIFS($P$4:$P$2503,$E$4:$E$2503,$E99,$Z$4:$Z$2503,"正常"))</f>
        <v/>
      </c>
      <c r="R99" s="26">
        <f>IF($G99="","",SUMIFS(费用台账!$I$4:$I$503,费用台账!$C$4:$C$503,$E99,费用台账!$J$4:$J$503,"是",费用台账!$K$4:$K$503,"正常"))</f>
        <v/>
      </c>
      <c r="S99" s="28">
        <f>IF($G99="","",COUNTIFS($E$4:$E$2503,$E99,$Z$4:$Z$2503,"正常",$Y$4:$Y$2503,"待补价"))</f>
        <v/>
      </c>
      <c r="T99" s="26">
        <f>IF($G99="","",SUMIFS($P$4:$P$2503,$E$4:$E$2503,$E99,$Z$4:$Z$2503,"正常",$A$4:$A$2503,"&lt;="&amp;$A99))</f>
        <v/>
      </c>
      <c r="U99" s="26">
        <f>IF($G99="","",IF(OR($S99&gt;0,$Q99=0,$R99=0,$Z99&lt;&gt;"正常"),0,ROUND($T99/$Q99*$R99,0)-ROUND(($T99-$P99)/$Q99*$R99,0)))</f>
        <v/>
      </c>
      <c r="V99" s="26">
        <f>IF($G99="","",ROUND($P99+$U99,0))</f>
        <v/>
      </c>
      <c r="W99" s="26">
        <f>IF($G99="","",IF(N($K99)=0,0,ROUND($V99/$K99,2)))</f>
        <v/>
      </c>
      <c r="X99" s="17" t="inlineStr">
        <is>
          <t>采购入库</t>
        </is>
      </c>
      <c r="Y99" s="17" t="inlineStr">
        <is>
          <t>正常</t>
        </is>
      </c>
      <c r="Z99" s="17" t="inlineStr">
        <is>
          <t>正常</t>
        </is>
      </c>
      <c r="AA99" s="17" t="n"/>
      <c r="AB99" s="17" t="inlineStr">
        <is>
          <t>原表第 104 行</t>
        </is>
      </c>
      <c r="AC99" s="24">
        <f>IF($G99="","",IF($H99="※编码不在物料档案里","※物料编码不在档案里",IF(N($K99)&lt;=0,"※入库数量要大于 0",IF(AND($C99&lt;&gt;"",$C99&lt;=结账锁),"※日期早于已结账截止日，不能再录",IF(AND($L99=0,$X99="正常"),"※没填单价，价格状态请选「待补价」",IF(AND($S99&gt;0,$R99&gt;0),"△本批有 "&amp;$S99&amp;" 行没单价，整批运费先挂账没摊",IF(AND($B99&lt;&gt;"",COUNTIF($B$4:$B$2503,$B99)&gt;1),"※入库单号重复","")))))))</f>
        <v/>
      </c>
    </row>
    <row r="100">
      <c r="A100" s="24">
        <f>IF($G100="","",COUNTA($G$4:$G100))</f>
        <v/>
      </c>
      <c r="B100" s="17" t="n"/>
      <c r="C100" s="30" t="n">
        <v>46048</v>
      </c>
      <c r="D100" s="17" t="inlineStr">
        <is>
          <t>A国内</t>
        </is>
      </c>
      <c r="E100" s="17" t="inlineStr">
        <is>
          <t>MEDU7050813-202601</t>
        </is>
      </c>
      <c r="F100" s="17" t="inlineStr">
        <is>
          <t>五金工具</t>
        </is>
      </c>
      <c r="G100" s="17" t="inlineStr">
        <is>
          <t>JH0093</t>
        </is>
      </c>
      <c r="H100" s="24">
        <f>IF($G100="","",IFERROR(VLOOKUP($G100,物料档案!$A$4:$P$1203,3,0),"※编码不在物料档案里"))</f>
        <v/>
      </c>
      <c r="I100" s="24">
        <f>IF($G100="","",IFERROR(VLOOKUP($G100,物料档案!$A$4:$P$1203,4,0),"※编码不在物料档案里"))</f>
        <v/>
      </c>
      <c r="J100" s="24">
        <f>IF($G100="","",IFERROR(VLOOKUP($G100,物料档案!$A$4:$P$1203,5,0),"※编码不在物料档案里"))</f>
        <v/>
      </c>
      <c r="K100" s="23" t="n">
        <v>120</v>
      </c>
      <c r="L100" s="31" t="n">
        <v>38</v>
      </c>
      <c r="M100" s="24">
        <f>IF($G100="","",IF($D100="A国内","CNY","TZS"))</f>
        <v/>
      </c>
      <c r="N100" s="28">
        <f>IF($G100="","",IF($D100="A国内",汇率,1))</f>
        <v/>
      </c>
      <c r="O100" s="25">
        <f>IF($G100="","",ROUND(N($K100)*N($L100),2))</f>
        <v/>
      </c>
      <c r="P100" s="26">
        <f>IF($G100="","",ROUND($O100*$N100,0))</f>
        <v/>
      </c>
      <c r="Q100" s="26">
        <f>IF($G100="","",SUMIFS($P$4:$P$2503,$E$4:$E$2503,$E100,$Z$4:$Z$2503,"正常"))</f>
        <v/>
      </c>
      <c r="R100" s="26">
        <f>IF($G100="","",SUMIFS(费用台账!$I$4:$I$503,费用台账!$C$4:$C$503,$E100,费用台账!$J$4:$J$503,"是",费用台账!$K$4:$K$503,"正常"))</f>
        <v/>
      </c>
      <c r="S100" s="28">
        <f>IF($G100="","",COUNTIFS($E$4:$E$2503,$E100,$Z$4:$Z$2503,"正常",$Y$4:$Y$2503,"待补价"))</f>
        <v/>
      </c>
      <c r="T100" s="26">
        <f>IF($G100="","",SUMIFS($P$4:$P$2503,$E$4:$E$2503,$E100,$Z$4:$Z$2503,"正常",$A$4:$A$2503,"&lt;="&amp;$A100))</f>
        <v/>
      </c>
      <c r="U100" s="26">
        <f>IF($G100="","",IF(OR($S100&gt;0,$Q100=0,$R100=0,$Z100&lt;&gt;"正常"),0,ROUND($T100/$Q100*$R100,0)-ROUND(($T100-$P100)/$Q100*$R100,0)))</f>
        <v/>
      </c>
      <c r="V100" s="26">
        <f>IF($G100="","",ROUND($P100+$U100,0))</f>
        <v/>
      </c>
      <c r="W100" s="26">
        <f>IF($G100="","",IF(N($K100)=0,0,ROUND($V100/$K100,2)))</f>
        <v/>
      </c>
      <c r="X100" s="17" t="inlineStr">
        <is>
          <t>采购入库</t>
        </is>
      </c>
      <c r="Y100" s="17" t="inlineStr">
        <is>
          <t>正常</t>
        </is>
      </c>
      <c r="Z100" s="17" t="inlineStr">
        <is>
          <t>正常</t>
        </is>
      </c>
      <c r="AA100" s="17" t="n"/>
      <c r="AB100" s="17" t="inlineStr">
        <is>
          <t>原表第 105 行</t>
        </is>
      </c>
      <c r="AC100" s="24">
        <f>IF($G100="","",IF($H100="※编码不在物料档案里","※物料编码不在档案里",IF(N($K100)&lt;=0,"※入库数量要大于 0",IF(AND($C100&lt;&gt;"",$C100&lt;=结账锁),"※日期早于已结账截止日，不能再录",IF(AND($L100=0,$X100="正常"),"※没填单价，价格状态请选「待补价」",IF(AND($S100&gt;0,$R100&gt;0),"△本批有 "&amp;$S100&amp;" 行没单价，整批运费先挂账没摊",IF(AND($B100&lt;&gt;"",COUNTIF($B$4:$B$2503,$B100)&gt;1),"※入库单号重复","")))))))</f>
        <v/>
      </c>
    </row>
    <row r="101">
      <c r="A101" s="24">
        <f>IF($G101="","",COUNTA($G$4:$G101))</f>
        <v/>
      </c>
      <c r="B101" s="17" t="n"/>
      <c r="C101" s="30" t="n">
        <v>46048</v>
      </c>
      <c r="D101" s="17" t="inlineStr">
        <is>
          <t>A国内</t>
        </is>
      </c>
      <c r="E101" s="17" t="inlineStr">
        <is>
          <t>MEDU7050813-202601</t>
        </is>
      </c>
      <c r="F101" s="17" t="inlineStr">
        <is>
          <t>五金工具</t>
        </is>
      </c>
      <c r="G101" s="17" t="inlineStr">
        <is>
          <t>JH0094</t>
        </is>
      </c>
      <c r="H101" s="24">
        <f>IF($G101="","",IFERROR(VLOOKUP($G101,物料档案!$A$4:$P$1203,3,0),"※编码不在物料档案里"))</f>
        <v/>
      </c>
      <c r="I101" s="24">
        <f>IF($G101="","",IFERROR(VLOOKUP($G101,物料档案!$A$4:$P$1203,4,0),"※编码不在物料档案里"))</f>
        <v/>
      </c>
      <c r="J101" s="24">
        <f>IF($G101="","",IFERROR(VLOOKUP($G101,物料档案!$A$4:$P$1203,5,0),"※编码不在物料档案里"))</f>
        <v/>
      </c>
      <c r="K101" s="23" t="n">
        <v>720</v>
      </c>
      <c r="L101" s="31" t="n">
        <v>1.9</v>
      </c>
      <c r="M101" s="24">
        <f>IF($G101="","",IF($D101="A国内","CNY","TZS"))</f>
        <v/>
      </c>
      <c r="N101" s="28">
        <f>IF($G101="","",IF($D101="A国内",汇率,1))</f>
        <v/>
      </c>
      <c r="O101" s="25">
        <f>IF($G101="","",ROUND(N($K101)*N($L101),2))</f>
        <v/>
      </c>
      <c r="P101" s="26">
        <f>IF($G101="","",ROUND($O101*$N101,0))</f>
        <v/>
      </c>
      <c r="Q101" s="26">
        <f>IF($G101="","",SUMIFS($P$4:$P$2503,$E$4:$E$2503,$E101,$Z$4:$Z$2503,"正常"))</f>
        <v/>
      </c>
      <c r="R101" s="26">
        <f>IF($G101="","",SUMIFS(费用台账!$I$4:$I$503,费用台账!$C$4:$C$503,$E101,费用台账!$J$4:$J$503,"是",费用台账!$K$4:$K$503,"正常"))</f>
        <v/>
      </c>
      <c r="S101" s="28">
        <f>IF($G101="","",COUNTIFS($E$4:$E$2503,$E101,$Z$4:$Z$2503,"正常",$Y$4:$Y$2503,"待补价"))</f>
        <v/>
      </c>
      <c r="T101" s="26">
        <f>IF($G101="","",SUMIFS($P$4:$P$2503,$E$4:$E$2503,$E101,$Z$4:$Z$2503,"正常",$A$4:$A$2503,"&lt;="&amp;$A101))</f>
        <v/>
      </c>
      <c r="U101" s="26">
        <f>IF($G101="","",IF(OR($S101&gt;0,$Q101=0,$R101=0,$Z101&lt;&gt;"正常"),0,ROUND($T101/$Q101*$R101,0)-ROUND(($T101-$P101)/$Q101*$R101,0)))</f>
        <v/>
      </c>
      <c r="V101" s="26">
        <f>IF($G101="","",ROUND($P101+$U101,0))</f>
        <v/>
      </c>
      <c r="W101" s="26">
        <f>IF($G101="","",IF(N($K101)=0,0,ROUND($V101/$K101,2)))</f>
        <v/>
      </c>
      <c r="X101" s="17" t="inlineStr">
        <is>
          <t>采购入库</t>
        </is>
      </c>
      <c r="Y101" s="17" t="inlineStr">
        <is>
          <t>正常</t>
        </is>
      </c>
      <c r="Z101" s="17" t="inlineStr">
        <is>
          <t>正常</t>
        </is>
      </c>
      <c r="AA101" s="17" t="n"/>
      <c r="AB101" s="17" t="inlineStr">
        <is>
          <t>原表第 106 行</t>
        </is>
      </c>
      <c r="AC101" s="24">
        <f>IF($G101="","",IF($H101="※编码不在物料档案里","※物料编码不在档案里",IF(N($K101)&lt;=0,"※入库数量要大于 0",IF(AND($C101&lt;&gt;"",$C101&lt;=结账锁),"※日期早于已结账截止日，不能再录",IF(AND($L101=0,$X101="正常"),"※没填单价，价格状态请选「待补价」",IF(AND($S101&gt;0,$R101&gt;0),"△本批有 "&amp;$S101&amp;" 行没单价，整批运费先挂账没摊",IF(AND($B101&lt;&gt;"",COUNTIF($B$4:$B$2503,$B101)&gt;1),"※入库单号重复","")))))))</f>
        <v/>
      </c>
    </row>
    <row r="102">
      <c r="A102" s="24">
        <f>IF($G102="","",COUNTA($G$4:$G102))</f>
        <v/>
      </c>
      <c r="B102" s="17" t="n"/>
      <c r="C102" s="30" t="n">
        <v>46048</v>
      </c>
      <c r="D102" s="17" t="inlineStr">
        <is>
          <t>A国内</t>
        </is>
      </c>
      <c r="E102" s="17" t="inlineStr">
        <is>
          <t>MEDU7050813-202601</t>
        </is>
      </c>
      <c r="F102" s="17" t="inlineStr">
        <is>
          <t>五金工具</t>
        </is>
      </c>
      <c r="G102" s="17" t="inlineStr">
        <is>
          <t>JH0095</t>
        </is>
      </c>
      <c r="H102" s="24">
        <f>IF($G102="","",IFERROR(VLOOKUP($G102,物料档案!$A$4:$P$1203,3,0),"※编码不在物料档案里"))</f>
        <v/>
      </c>
      <c r="I102" s="24">
        <f>IF($G102="","",IFERROR(VLOOKUP($G102,物料档案!$A$4:$P$1203,4,0),"※编码不在物料档案里"))</f>
        <v/>
      </c>
      <c r="J102" s="24">
        <f>IF($G102="","",IFERROR(VLOOKUP($G102,物料档案!$A$4:$P$1203,5,0),"※编码不在物料档案里"))</f>
        <v/>
      </c>
      <c r="K102" s="23" t="n">
        <v>120</v>
      </c>
      <c r="L102" s="31" t="n">
        <v>45</v>
      </c>
      <c r="M102" s="24">
        <f>IF($G102="","",IF($D102="A国内","CNY","TZS"))</f>
        <v/>
      </c>
      <c r="N102" s="28">
        <f>IF($G102="","",IF($D102="A国内",汇率,1))</f>
        <v/>
      </c>
      <c r="O102" s="25">
        <f>IF($G102="","",ROUND(N($K102)*N($L102),2))</f>
        <v/>
      </c>
      <c r="P102" s="26">
        <f>IF($G102="","",ROUND($O102*$N102,0))</f>
        <v/>
      </c>
      <c r="Q102" s="26">
        <f>IF($G102="","",SUMIFS($P$4:$P$2503,$E$4:$E$2503,$E102,$Z$4:$Z$2503,"正常"))</f>
        <v/>
      </c>
      <c r="R102" s="26">
        <f>IF($G102="","",SUMIFS(费用台账!$I$4:$I$503,费用台账!$C$4:$C$503,$E102,费用台账!$J$4:$J$503,"是",费用台账!$K$4:$K$503,"正常"))</f>
        <v/>
      </c>
      <c r="S102" s="28">
        <f>IF($G102="","",COUNTIFS($E$4:$E$2503,$E102,$Z$4:$Z$2503,"正常",$Y$4:$Y$2503,"待补价"))</f>
        <v/>
      </c>
      <c r="T102" s="26">
        <f>IF($G102="","",SUMIFS($P$4:$P$2503,$E$4:$E$2503,$E102,$Z$4:$Z$2503,"正常",$A$4:$A$2503,"&lt;="&amp;$A102))</f>
        <v/>
      </c>
      <c r="U102" s="26">
        <f>IF($G102="","",IF(OR($S102&gt;0,$Q102=0,$R102=0,$Z102&lt;&gt;"正常"),0,ROUND($T102/$Q102*$R102,0)-ROUND(($T102-$P102)/$Q102*$R102,0)))</f>
        <v/>
      </c>
      <c r="V102" s="26">
        <f>IF($G102="","",ROUND($P102+$U102,0))</f>
        <v/>
      </c>
      <c r="W102" s="26">
        <f>IF($G102="","",IF(N($K102)=0,0,ROUND($V102/$K102,2)))</f>
        <v/>
      </c>
      <c r="X102" s="17" t="inlineStr">
        <is>
          <t>采购入库</t>
        </is>
      </c>
      <c r="Y102" s="17" t="inlineStr">
        <is>
          <t>正常</t>
        </is>
      </c>
      <c r="Z102" s="17" t="inlineStr">
        <is>
          <t>正常</t>
        </is>
      </c>
      <c r="AA102" s="17" t="n"/>
      <c r="AB102" s="17" t="inlineStr">
        <is>
          <t>原表第 107 行</t>
        </is>
      </c>
      <c r="AC102" s="24">
        <f>IF($G102="","",IF($H102="※编码不在物料档案里","※物料编码不在档案里",IF(N($K102)&lt;=0,"※入库数量要大于 0",IF(AND($C102&lt;&gt;"",$C102&lt;=结账锁),"※日期早于已结账截止日，不能再录",IF(AND($L102=0,$X102="正常"),"※没填单价，价格状态请选「待补价」",IF(AND($S102&gt;0,$R102&gt;0),"△本批有 "&amp;$S102&amp;" 行没单价，整批运费先挂账没摊",IF(AND($B102&lt;&gt;"",COUNTIF($B$4:$B$2503,$B102)&gt;1),"※入库单号重复","")))))))</f>
        <v/>
      </c>
    </row>
    <row r="103">
      <c r="A103" s="24">
        <f>IF($G103="","",COUNTA($G$4:$G103))</f>
        <v/>
      </c>
      <c r="B103" s="17" t="n"/>
      <c r="C103" s="30" t="n">
        <v>46048</v>
      </c>
      <c r="D103" s="17" t="inlineStr">
        <is>
          <t>A国内</t>
        </is>
      </c>
      <c r="E103" s="17" t="inlineStr">
        <is>
          <t>MEDU7050813-202601</t>
        </is>
      </c>
      <c r="F103" s="17" t="inlineStr">
        <is>
          <t>五金工具</t>
        </is>
      </c>
      <c r="G103" s="17" t="inlineStr">
        <is>
          <t>JH0096</t>
        </is>
      </c>
      <c r="H103" s="24">
        <f>IF($G103="","",IFERROR(VLOOKUP($G103,物料档案!$A$4:$P$1203,3,0),"※编码不在物料档案里"))</f>
        <v/>
      </c>
      <c r="I103" s="24">
        <f>IF($G103="","",IFERROR(VLOOKUP($G103,物料档案!$A$4:$P$1203,4,0),"※编码不在物料档案里"))</f>
        <v/>
      </c>
      <c r="J103" s="24">
        <f>IF($G103="","",IFERROR(VLOOKUP($G103,物料档案!$A$4:$P$1203,5,0),"※编码不在物料档案里"))</f>
        <v/>
      </c>
      <c r="K103" s="23" t="n">
        <v>1008</v>
      </c>
      <c r="L103" s="31" t="n">
        <v>1.3</v>
      </c>
      <c r="M103" s="24">
        <f>IF($G103="","",IF($D103="A国内","CNY","TZS"))</f>
        <v/>
      </c>
      <c r="N103" s="28">
        <f>IF($G103="","",IF($D103="A国内",汇率,1))</f>
        <v/>
      </c>
      <c r="O103" s="25">
        <f>IF($G103="","",ROUND(N($K103)*N($L103),2))</f>
        <v/>
      </c>
      <c r="P103" s="26">
        <f>IF($G103="","",ROUND($O103*$N103,0))</f>
        <v/>
      </c>
      <c r="Q103" s="26">
        <f>IF($G103="","",SUMIFS($P$4:$P$2503,$E$4:$E$2503,$E103,$Z$4:$Z$2503,"正常"))</f>
        <v/>
      </c>
      <c r="R103" s="26">
        <f>IF($G103="","",SUMIFS(费用台账!$I$4:$I$503,费用台账!$C$4:$C$503,$E103,费用台账!$J$4:$J$503,"是",费用台账!$K$4:$K$503,"正常"))</f>
        <v/>
      </c>
      <c r="S103" s="28">
        <f>IF($G103="","",COUNTIFS($E$4:$E$2503,$E103,$Z$4:$Z$2503,"正常",$Y$4:$Y$2503,"待补价"))</f>
        <v/>
      </c>
      <c r="T103" s="26">
        <f>IF($G103="","",SUMIFS($P$4:$P$2503,$E$4:$E$2503,$E103,$Z$4:$Z$2503,"正常",$A$4:$A$2503,"&lt;="&amp;$A103))</f>
        <v/>
      </c>
      <c r="U103" s="26">
        <f>IF($G103="","",IF(OR($S103&gt;0,$Q103=0,$R103=0,$Z103&lt;&gt;"正常"),0,ROUND($T103/$Q103*$R103,0)-ROUND(($T103-$P103)/$Q103*$R103,0)))</f>
        <v/>
      </c>
      <c r="V103" s="26">
        <f>IF($G103="","",ROUND($P103+$U103,0))</f>
        <v/>
      </c>
      <c r="W103" s="26">
        <f>IF($G103="","",IF(N($K103)=0,0,ROUND($V103/$K103,2)))</f>
        <v/>
      </c>
      <c r="X103" s="17" t="inlineStr">
        <is>
          <t>采购入库</t>
        </is>
      </c>
      <c r="Y103" s="17" t="inlineStr">
        <is>
          <t>正常</t>
        </is>
      </c>
      <c r="Z103" s="17" t="inlineStr">
        <is>
          <t>正常</t>
        </is>
      </c>
      <c r="AA103" s="17" t="n"/>
      <c r="AB103" s="17" t="inlineStr">
        <is>
          <t>原表第 108 行</t>
        </is>
      </c>
      <c r="AC103" s="24">
        <f>IF($G103="","",IF($H103="※编码不在物料档案里","※物料编码不在档案里",IF(N($K103)&lt;=0,"※入库数量要大于 0",IF(AND($C103&lt;&gt;"",$C103&lt;=结账锁),"※日期早于已结账截止日，不能再录",IF(AND($L103=0,$X103="正常"),"※没填单价，价格状态请选「待补价」",IF(AND($S103&gt;0,$R103&gt;0),"△本批有 "&amp;$S103&amp;" 行没单价，整批运费先挂账没摊",IF(AND($B103&lt;&gt;"",COUNTIF($B$4:$B$2503,$B103)&gt;1),"※入库单号重复","")))))))</f>
        <v/>
      </c>
    </row>
    <row r="104">
      <c r="A104" s="24">
        <f>IF($G104="","",COUNTA($G$4:$G104))</f>
        <v/>
      </c>
      <c r="B104" s="17" t="n"/>
      <c r="C104" s="30" t="n">
        <v>46048</v>
      </c>
      <c r="D104" s="17" t="inlineStr">
        <is>
          <t>A国内</t>
        </is>
      </c>
      <c r="E104" s="17" t="inlineStr">
        <is>
          <t>MEDU7050813-202601</t>
        </is>
      </c>
      <c r="F104" s="17" t="inlineStr">
        <is>
          <t>五金工具</t>
        </is>
      </c>
      <c r="G104" s="17" t="inlineStr">
        <is>
          <t>JH0097</t>
        </is>
      </c>
      <c r="H104" s="24">
        <f>IF($G104="","",IFERROR(VLOOKUP($G104,物料档案!$A$4:$P$1203,3,0),"※编码不在物料档案里"))</f>
        <v/>
      </c>
      <c r="I104" s="24">
        <f>IF($G104="","",IFERROR(VLOOKUP($G104,物料档案!$A$4:$P$1203,4,0),"※编码不在物料档案里"))</f>
        <v/>
      </c>
      <c r="J104" s="24">
        <f>IF($G104="","",IFERROR(VLOOKUP($G104,物料档案!$A$4:$P$1203,5,0),"※编码不在物料档案里"))</f>
        <v/>
      </c>
      <c r="K104" s="23" t="n">
        <v>70</v>
      </c>
      <c r="L104" s="31" t="n">
        <v>23</v>
      </c>
      <c r="M104" s="24">
        <f>IF($G104="","",IF($D104="A国内","CNY","TZS"))</f>
        <v/>
      </c>
      <c r="N104" s="28">
        <f>IF($G104="","",IF($D104="A国内",汇率,1))</f>
        <v/>
      </c>
      <c r="O104" s="25">
        <f>IF($G104="","",ROUND(N($K104)*N($L104),2))</f>
        <v/>
      </c>
      <c r="P104" s="26">
        <f>IF($G104="","",ROUND($O104*$N104,0))</f>
        <v/>
      </c>
      <c r="Q104" s="26">
        <f>IF($G104="","",SUMIFS($P$4:$P$2503,$E$4:$E$2503,$E104,$Z$4:$Z$2503,"正常"))</f>
        <v/>
      </c>
      <c r="R104" s="26">
        <f>IF($G104="","",SUMIFS(费用台账!$I$4:$I$503,费用台账!$C$4:$C$503,$E104,费用台账!$J$4:$J$503,"是",费用台账!$K$4:$K$503,"正常"))</f>
        <v/>
      </c>
      <c r="S104" s="28">
        <f>IF($G104="","",COUNTIFS($E$4:$E$2503,$E104,$Z$4:$Z$2503,"正常",$Y$4:$Y$2503,"待补价"))</f>
        <v/>
      </c>
      <c r="T104" s="26">
        <f>IF($G104="","",SUMIFS($P$4:$P$2503,$E$4:$E$2503,$E104,$Z$4:$Z$2503,"正常",$A$4:$A$2503,"&lt;="&amp;$A104))</f>
        <v/>
      </c>
      <c r="U104" s="26">
        <f>IF($G104="","",IF(OR($S104&gt;0,$Q104=0,$R104=0,$Z104&lt;&gt;"正常"),0,ROUND($T104/$Q104*$R104,0)-ROUND(($T104-$P104)/$Q104*$R104,0)))</f>
        <v/>
      </c>
      <c r="V104" s="26">
        <f>IF($G104="","",ROUND($P104+$U104,0))</f>
        <v/>
      </c>
      <c r="W104" s="26">
        <f>IF($G104="","",IF(N($K104)=0,0,ROUND($V104/$K104,2)))</f>
        <v/>
      </c>
      <c r="X104" s="17" t="inlineStr">
        <is>
          <t>采购入库</t>
        </is>
      </c>
      <c r="Y104" s="17" t="inlineStr">
        <is>
          <t>正常</t>
        </is>
      </c>
      <c r="Z104" s="17" t="inlineStr">
        <is>
          <t>正常</t>
        </is>
      </c>
      <c r="AA104" s="17" t="n"/>
      <c r="AB104" s="17" t="inlineStr">
        <is>
          <t>原表第 109 行</t>
        </is>
      </c>
      <c r="AC104" s="24">
        <f>IF($G104="","",IF($H104="※编码不在物料档案里","※物料编码不在档案里",IF(N($K104)&lt;=0,"※入库数量要大于 0",IF(AND($C104&lt;&gt;"",$C104&lt;=结账锁),"※日期早于已结账截止日，不能再录",IF(AND($L104=0,$X104="正常"),"※没填单价，价格状态请选「待补价」",IF(AND($S104&gt;0,$R104&gt;0),"△本批有 "&amp;$S104&amp;" 行没单价，整批运费先挂账没摊",IF(AND($B104&lt;&gt;"",COUNTIF($B$4:$B$2503,$B104)&gt;1),"※入库单号重复","")))))))</f>
        <v/>
      </c>
    </row>
    <row r="105">
      <c r="A105" s="24">
        <f>IF($G105="","",COUNTA($G$4:$G105))</f>
        <v/>
      </c>
      <c r="B105" s="17" t="n"/>
      <c r="C105" s="30" t="n">
        <v>46048</v>
      </c>
      <c r="D105" s="17" t="inlineStr">
        <is>
          <t>A国内</t>
        </is>
      </c>
      <c r="E105" s="17" t="inlineStr">
        <is>
          <t>MEDU7050813-202601</t>
        </is>
      </c>
      <c r="F105" s="17" t="inlineStr">
        <is>
          <t>五金工具</t>
        </is>
      </c>
      <c r="G105" s="17" t="inlineStr">
        <is>
          <t>JH0098</t>
        </is>
      </c>
      <c r="H105" s="24">
        <f>IF($G105="","",IFERROR(VLOOKUP($G105,物料档案!$A$4:$P$1203,3,0),"※编码不在物料档案里"))</f>
        <v/>
      </c>
      <c r="I105" s="24">
        <f>IF($G105="","",IFERROR(VLOOKUP($G105,物料档案!$A$4:$P$1203,4,0),"※编码不在物料档案里"))</f>
        <v/>
      </c>
      <c r="J105" s="24">
        <f>IF($G105="","",IFERROR(VLOOKUP($G105,物料档案!$A$4:$P$1203,5,0),"※编码不在物料档案里"))</f>
        <v/>
      </c>
      <c r="K105" s="23" t="n">
        <v>20</v>
      </c>
      <c r="L105" s="31" t="n">
        <v>19</v>
      </c>
      <c r="M105" s="24">
        <f>IF($G105="","",IF($D105="A国内","CNY","TZS"))</f>
        <v/>
      </c>
      <c r="N105" s="28">
        <f>IF($G105="","",IF($D105="A国内",汇率,1))</f>
        <v/>
      </c>
      <c r="O105" s="25">
        <f>IF($G105="","",ROUND(N($K105)*N($L105),2))</f>
        <v/>
      </c>
      <c r="P105" s="26">
        <f>IF($G105="","",ROUND($O105*$N105,0))</f>
        <v/>
      </c>
      <c r="Q105" s="26">
        <f>IF($G105="","",SUMIFS($P$4:$P$2503,$E$4:$E$2503,$E105,$Z$4:$Z$2503,"正常"))</f>
        <v/>
      </c>
      <c r="R105" s="26">
        <f>IF($G105="","",SUMIFS(费用台账!$I$4:$I$503,费用台账!$C$4:$C$503,$E105,费用台账!$J$4:$J$503,"是",费用台账!$K$4:$K$503,"正常"))</f>
        <v/>
      </c>
      <c r="S105" s="28">
        <f>IF($G105="","",COUNTIFS($E$4:$E$2503,$E105,$Z$4:$Z$2503,"正常",$Y$4:$Y$2503,"待补价"))</f>
        <v/>
      </c>
      <c r="T105" s="26">
        <f>IF($G105="","",SUMIFS($P$4:$P$2503,$E$4:$E$2503,$E105,$Z$4:$Z$2503,"正常",$A$4:$A$2503,"&lt;="&amp;$A105))</f>
        <v/>
      </c>
      <c r="U105" s="26">
        <f>IF($G105="","",IF(OR($S105&gt;0,$Q105=0,$R105=0,$Z105&lt;&gt;"正常"),0,ROUND($T105/$Q105*$R105,0)-ROUND(($T105-$P105)/$Q105*$R105,0)))</f>
        <v/>
      </c>
      <c r="V105" s="26">
        <f>IF($G105="","",ROUND($P105+$U105,0))</f>
        <v/>
      </c>
      <c r="W105" s="26">
        <f>IF($G105="","",IF(N($K105)=0,0,ROUND($V105/$K105,2)))</f>
        <v/>
      </c>
      <c r="X105" s="17" t="inlineStr">
        <is>
          <t>采购入库</t>
        </is>
      </c>
      <c r="Y105" s="17" t="inlineStr">
        <is>
          <t>正常</t>
        </is>
      </c>
      <c r="Z105" s="17" t="inlineStr">
        <is>
          <t>正常</t>
        </is>
      </c>
      <c r="AA105" s="17" t="n"/>
      <c r="AB105" s="17" t="inlineStr">
        <is>
          <t>原表第 110 行</t>
        </is>
      </c>
      <c r="AC105" s="24">
        <f>IF($G105="","",IF($H105="※编码不在物料档案里","※物料编码不在档案里",IF(N($K105)&lt;=0,"※入库数量要大于 0",IF(AND($C105&lt;&gt;"",$C105&lt;=结账锁),"※日期早于已结账截止日，不能再录",IF(AND($L105=0,$X105="正常"),"※没填单价，价格状态请选「待补价」",IF(AND($S105&gt;0,$R105&gt;0),"△本批有 "&amp;$S105&amp;" 行没单价，整批运费先挂账没摊",IF(AND($B105&lt;&gt;"",COUNTIF($B$4:$B$2503,$B105)&gt;1),"※入库单号重复","")))))))</f>
        <v/>
      </c>
    </row>
    <row r="106">
      <c r="A106" s="24">
        <f>IF($G106="","",COUNTA($G$4:$G106))</f>
        <v/>
      </c>
      <c r="B106" s="17" t="n"/>
      <c r="C106" s="30" t="n">
        <v>46048</v>
      </c>
      <c r="D106" s="17" t="inlineStr">
        <is>
          <t>A国内</t>
        </is>
      </c>
      <c r="E106" s="17" t="inlineStr">
        <is>
          <t>MEDU7050813-202601</t>
        </is>
      </c>
      <c r="F106" s="17" t="inlineStr">
        <is>
          <t>五金工具</t>
        </is>
      </c>
      <c r="G106" s="17" t="inlineStr">
        <is>
          <t>JH0099</t>
        </is>
      </c>
      <c r="H106" s="24">
        <f>IF($G106="","",IFERROR(VLOOKUP($G106,物料档案!$A$4:$P$1203,3,0),"※编码不在物料档案里"))</f>
        <v/>
      </c>
      <c r="I106" s="24">
        <f>IF($G106="","",IFERROR(VLOOKUP($G106,物料档案!$A$4:$P$1203,4,0),"※编码不在物料档案里"))</f>
        <v/>
      </c>
      <c r="J106" s="24">
        <f>IF($G106="","",IFERROR(VLOOKUP($G106,物料档案!$A$4:$P$1203,5,0),"※编码不在物料档案里"))</f>
        <v/>
      </c>
      <c r="K106" s="23" t="n">
        <v>150</v>
      </c>
      <c r="L106" s="31" t="n">
        <v>1.8</v>
      </c>
      <c r="M106" s="24">
        <f>IF($G106="","",IF($D106="A国内","CNY","TZS"))</f>
        <v/>
      </c>
      <c r="N106" s="28">
        <f>IF($G106="","",IF($D106="A国内",汇率,1))</f>
        <v/>
      </c>
      <c r="O106" s="25">
        <f>IF($G106="","",ROUND(N($K106)*N($L106),2))</f>
        <v/>
      </c>
      <c r="P106" s="26">
        <f>IF($G106="","",ROUND($O106*$N106,0))</f>
        <v/>
      </c>
      <c r="Q106" s="26">
        <f>IF($G106="","",SUMIFS($P$4:$P$2503,$E$4:$E$2503,$E106,$Z$4:$Z$2503,"正常"))</f>
        <v/>
      </c>
      <c r="R106" s="26">
        <f>IF($G106="","",SUMIFS(费用台账!$I$4:$I$503,费用台账!$C$4:$C$503,$E106,费用台账!$J$4:$J$503,"是",费用台账!$K$4:$K$503,"正常"))</f>
        <v/>
      </c>
      <c r="S106" s="28">
        <f>IF($G106="","",COUNTIFS($E$4:$E$2503,$E106,$Z$4:$Z$2503,"正常",$Y$4:$Y$2503,"待补价"))</f>
        <v/>
      </c>
      <c r="T106" s="26">
        <f>IF($G106="","",SUMIFS($P$4:$P$2503,$E$4:$E$2503,$E106,$Z$4:$Z$2503,"正常",$A$4:$A$2503,"&lt;="&amp;$A106))</f>
        <v/>
      </c>
      <c r="U106" s="26">
        <f>IF($G106="","",IF(OR($S106&gt;0,$Q106=0,$R106=0,$Z106&lt;&gt;"正常"),0,ROUND($T106/$Q106*$R106,0)-ROUND(($T106-$P106)/$Q106*$R106,0)))</f>
        <v/>
      </c>
      <c r="V106" s="26">
        <f>IF($G106="","",ROUND($P106+$U106,0))</f>
        <v/>
      </c>
      <c r="W106" s="26">
        <f>IF($G106="","",IF(N($K106)=0,0,ROUND($V106/$K106,2)))</f>
        <v/>
      </c>
      <c r="X106" s="17" t="inlineStr">
        <is>
          <t>采购入库</t>
        </is>
      </c>
      <c r="Y106" s="17" t="inlineStr">
        <is>
          <t>正常</t>
        </is>
      </c>
      <c r="Z106" s="17" t="inlineStr">
        <is>
          <t>正常</t>
        </is>
      </c>
      <c r="AA106" s="17" t="n"/>
      <c r="AB106" s="17" t="inlineStr">
        <is>
          <t>原表第 111 行</t>
        </is>
      </c>
      <c r="AC106" s="24">
        <f>IF($G106="","",IF($H106="※编码不在物料档案里","※物料编码不在档案里",IF(N($K106)&lt;=0,"※入库数量要大于 0",IF(AND($C106&lt;&gt;"",$C106&lt;=结账锁),"※日期早于已结账截止日，不能再录",IF(AND($L106=0,$X106="正常"),"※没填单价，价格状态请选「待补价」",IF(AND($S106&gt;0,$R106&gt;0),"△本批有 "&amp;$S106&amp;" 行没单价，整批运费先挂账没摊",IF(AND($B106&lt;&gt;"",COUNTIF($B$4:$B$2503,$B106)&gt;1),"※入库单号重复","")))))))</f>
        <v/>
      </c>
    </row>
    <row r="107">
      <c r="A107" s="24">
        <f>IF($G107="","",COUNTA($G$4:$G107))</f>
        <v/>
      </c>
      <c r="B107" s="17" t="n"/>
      <c r="C107" s="30" t="n">
        <v>46048</v>
      </c>
      <c r="D107" s="17" t="inlineStr">
        <is>
          <t>A国内</t>
        </is>
      </c>
      <c r="E107" s="17" t="inlineStr">
        <is>
          <t>MEDU7050813-202601</t>
        </is>
      </c>
      <c r="F107" s="17" t="inlineStr">
        <is>
          <t>五金工具</t>
        </is>
      </c>
      <c r="G107" s="17" t="inlineStr">
        <is>
          <t>JH0100</t>
        </is>
      </c>
      <c r="H107" s="24">
        <f>IF($G107="","",IFERROR(VLOOKUP($G107,物料档案!$A$4:$P$1203,3,0),"※编码不在物料档案里"))</f>
        <v/>
      </c>
      <c r="I107" s="24">
        <f>IF($G107="","",IFERROR(VLOOKUP($G107,物料档案!$A$4:$P$1203,4,0),"※编码不在物料档案里"))</f>
        <v/>
      </c>
      <c r="J107" s="24">
        <f>IF($G107="","",IFERROR(VLOOKUP($G107,物料档案!$A$4:$P$1203,5,0),"※编码不在物料档案里"))</f>
        <v/>
      </c>
      <c r="K107" s="23" t="n">
        <v>70</v>
      </c>
      <c r="L107" s="31" t="n">
        <v>1.5</v>
      </c>
      <c r="M107" s="24">
        <f>IF($G107="","",IF($D107="A国内","CNY","TZS"))</f>
        <v/>
      </c>
      <c r="N107" s="28">
        <f>IF($G107="","",IF($D107="A国内",汇率,1))</f>
        <v/>
      </c>
      <c r="O107" s="25">
        <f>IF($G107="","",ROUND(N($K107)*N($L107),2))</f>
        <v/>
      </c>
      <c r="P107" s="26">
        <f>IF($G107="","",ROUND($O107*$N107,0))</f>
        <v/>
      </c>
      <c r="Q107" s="26">
        <f>IF($G107="","",SUMIFS($P$4:$P$2503,$E$4:$E$2503,$E107,$Z$4:$Z$2503,"正常"))</f>
        <v/>
      </c>
      <c r="R107" s="26">
        <f>IF($G107="","",SUMIFS(费用台账!$I$4:$I$503,费用台账!$C$4:$C$503,$E107,费用台账!$J$4:$J$503,"是",费用台账!$K$4:$K$503,"正常"))</f>
        <v/>
      </c>
      <c r="S107" s="28">
        <f>IF($G107="","",COUNTIFS($E$4:$E$2503,$E107,$Z$4:$Z$2503,"正常",$Y$4:$Y$2503,"待补价"))</f>
        <v/>
      </c>
      <c r="T107" s="26">
        <f>IF($G107="","",SUMIFS($P$4:$P$2503,$E$4:$E$2503,$E107,$Z$4:$Z$2503,"正常",$A$4:$A$2503,"&lt;="&amp;$A107))</f>
        <v/>
      </c>
      <c r="U107" s="26">
        <f>IF($G107="","",IF(OR($S107&gt;0,$Q107=0,$R107=0,$Z107&lt;&gt;"正常"),0,ROUND($T107/$Q107*$R107,0)-ROUND(($T107-$P107)/$Q107*$R107,0)))</f>
        <v/>
      </c>
      <c r="V107" s="26">
        <f>IF($G107="","",ROUND($P107+$U107,0))</f>
        <v/>
      </c>
      <c r="W107" s="26">
        <f>IF($G107="","",IF(N($K107)=0,0,ROUND($V107/$K107,2)))</f>
        <v/>
      </c>
      <c r="X107" s="17" t="inlineStr">
        <is>
          <t>采购入库</t>
        </is>
      </c>
      <c r="Y107" s="17" t="inlineStr">
        <is>
          <t>正常</t>
        </is>
      </c>
      <c r="Z107" s="17" t="inlineStr">
        <is>
          <t>正常</t>
        </is>
      </c>
      <c r="AA107" s="17" t="n"/>
      <c r="AB107" s="17" t="inlineStr">
        <is>
          <t>原表第 112 行</t>
        </is>
      </c>
      <c r="AC107" s="24">
        <f>IF($G107="","",IF($H107="※编码不在物料档案里","※物料编码不在档案里",IF(N($K107)&lt;=0,"※入库数量要大于 0",IF(AND($C107&lt;&gt;"",$C107&lt;=结账锁),"※日期早于已结账截止日，不能再录",IF(AND($L107=0,$X107="正常"),"※没填单价，价格状态请选「待补价」",IF(AND($S107&gt;0,$R107&gt;0),"△本批有 "&amp;$S107&amp;" 行没单价，整批运费先挂账没摊",IF(AND($B107&lt;&gt;"",COUNTIF($B$4:$B$2503,$B107)&gt;1),"※入库单号重复","")))))))</f>
        <v/>
      </c>
    </row>
    <row r="108">
      <c r="A108" s="24">
        <f>IF($G108="","",COUNTA($G$4:$G108))</f>
        <v/>
      </c>
      <c r="B108" s="17" t="n"/>
      <c r="C108" s="30" t="n">
        <v>46048</v>
      </c>
      <c r="D108" s="17" t="inlineStr">
        <is>
          <t>A国内</t>
        </is>
      </c>
      <c r="E108" s="17" t="inlineStr">
        <is>
          <t>MEDU7050813-202601</t>
        </is>
      </c>
      <c r="F108" s="17" t="inlineStr">
        <is>
          <t>五金工具</t>
        </is>
      </c>
      <c r="G108" s="17" t="inlineStr">
        <is>
          <t>JH0101</t>
        </is>
      </c>
      <c r="H108" s="24">
        <f>IF($G108="","",IFERROR(VLOOKUP($G108,物料档案!$A$4:$P$1203,3,0),"※编码不在物料档案里"))</f>
        <v/>
      </c>
      <c r="I108" s="24">
        <f>IF($G108="","",IFERROR(VLOOKUP($G108,物料档案!$A$4:$P$1203,4,0),"※编码不在物料档案里"))</f>
        <v/>
      </c>
      <c r="J108" s="24">
        <f>IF($G108="","",IFERROR(VLOOKUP($G108,物料档案!$A$4:$P$1203,5,0),"※编码不在物料档案里"))</f>
        <v/>
      </c>
      <c r="K108" s="23" t="n">
        <v>500</v>
      </c>
      <c r="L108" s="31" t="n">
        <v>14.4</v>
      </c>
      <c r="M108" s="24">
        <f>IF($G108="","",IF($D108="A国内","CNY","TZS"))</f>
        <v/>
      </c>
      <c r="N108" s="28">
        <f>IF($G108="","",IF($D108="A国内",汇率,1))</f>
        <v/>
      </c>
      <c r="O108" s="25">
        <f>IF($G108="","",ROUND(N($K108)*N($L108),2))</f>
        <v/>
      </c>
      <c r="P108" s="26">
        <f>IF($G108="","",ROUND($O108*$N108,0))</f>
        <v/>
      </c>
      <c r="Q108" s="26">
        <f>IF($G108="","",SUMIFS($P$4:$P$2503,$E$4:$E$2503,$E108,$Z$4:$Z$2503,"正常"))</f>
        <v/>
      </c>
      <c r="R108" s="26">
        <f>IF($G108="","",SUMIFS(费用台账!$I$4:$I$503,费用台账!$C$4:$C$503,$E108,费用台账!$J$4:$J$503,"是",费用台账!$K$4:$K$503,"正常"))</f>
        <v/>
      </c>
      <c r="S108" s="28">
        <f>IF($G108="","",COUNTIFS($E$4:$E$2503,$E108,$Z$4:$Z$2503,"正常",$Y$4:$Y$2503,"待补价"))</f>
        <v/>
      </c>
      <c r="T108" s="26">
        <f>IF($G108="","",SUMIFS($P$4:$P$2503,$E$4:$E$2503,$E108,$Z$4:$Z$2503,"正常",$A$4:$A$2503,"&lt;="&amp;$A108))</f>
        <v/>
      </c>
      <c r="U108" s="26">
        <f>IF($G108="","",IF(OR($S108&gt;0,$Q108=0,$R108=0,$Z108&lt;&gt;"正常"),0,ROUND($T108/$Q108*$R108,0)-ROUND(($T108-$P108)/$Q108*$R108,0)))</f>
        <v/>
      </c>
      <c r="V108" s="26">
        <f>IF($G108="","",ROUND($P108+$U108,0))</f>
        <v/>
      </c>
      <c r="W108" s="26">
        <f>IF($G108="","",IF(N($K108)=0,0,ROUND($V108/$K108,2)))</f>
        <v/>
      </c>
      <c r="X108" s="17" t="inlineStr">
        <is>
          <t>采购入库</t>
        </is>
      </c>
      <c r="Y108" s="17" t="inlineStr">
        <is>
          <t>正常</t>
        </is>
      </c>
      <c r="Z108" s="17" t="inlineStr">
        <is>
          <t>正常</t>
        </is>
      </c>
      <c r="AA108" s="17" t="n"/>
      <c r="AB108" s="17" t="inlineStr">
        <is>
          <t>原表第 113 行</t>
        </is>
      </c>
      <c r="AC108" s="24">
        <f>IF($G108="","",IF($H108="※编码不在物料档案里","※物料编码不在档案里",IF(N($K108)&lt;=0,"※入库数量要大于 0",IF(AND($C108&lt;&gt;"",$C108&lt;=结账锁),"※日期早于已结账截止日，不能再录",IF(AND($L108=0,$X108="正常"),"※没填单价，价格状态请选「待补价」",IF(AND($S108&gt;0,$R108&gt;0),"△本批有 "&amp;$S108&amp;" 行没单价，整批运费先挂账没摊",IF(AND($B108&lt;&gt;"",COUNTIF($B$4:$B$2503,$B108)&gt;1),"※入库单号重复","")))))))</f>
        <v/>
      </c>
    </row>
    <row r="109">
      <c r="A109" s="24">
        <f>IF($G109="","",COUNTA($G$4:$G109))</f>
        <v/>
      </c>
      <c r="B109" s="17" t="n"/>
      <c r="C109" s="30" t="n">
        <v>46048</v>
      </c>
      <c r="D109" s="17" t="inlineStr">
        <is>
          <t>A国内</t>
        </is>
      </c>
      <c r="E109" s="17" t="inlineStr">
        <is>
          <t>MEDU7050813-202601</t>
        </is>
      </c>
      <c r="F109" s="17" t="inlineStr">
        <is>
          <t>五金工具</t>
        </is>
      </c>
      <c r="G109" s="17" t="inlineStr">
        <is>
          <t>JH0102</t>
        </is>
      </c>
      <c r="H109" s="24">
        <f>IF($G109="","",IFERROR(VLOOKUP($G109,物料档案!$A$4:$P$1203,3,0),"※编码不在物料档案里"))</f>
        <v/>
      </c>
      <c r="I109" s="24">
        <f>IF($G109="","",IFERROR(VLOOKUP($G109,物料档案!$A$4:$P$1203,4,0),"※编码不在物料档案里"))</f>
        <v/>
      </c>
      <c r="J109" s="24">
        <f>IF($G109="","",IFERROR(VLOOKUP($G109,物料档案!$A$4:$P$1203,5,0),"※编码不在物料档案里"))</f>
        <v/>
      </c>
      <c r="K109" s="23" t="n">
        <v>40</v>
      </c>
      <c r="L109" s="31" t="n">
        <v>40</v>
      </c>
      <c r="M109" s="24">
        <f>IF($G109="","",IF($D109="A国内","CNY","TZS"))</f>
        <v/>
      </c>
      <c r="N109" s="28">
        <f>IF($G109="","",IF($D109="A国内",汇率,1))</f>
        <v/>
      </c>
      <c r="O109" s="25">
        <f>IF($G109="","",ROUND(N($K109)*N($L109),2))</f>
        <v/>
      </c>
      <c r="P109" s="26">
        <f>IF($G109="","",ROUND($O109*$N109,0))</f>
        <v/>
      </c>
      <c r="Q109" s="26">
        <f>IF($G109="","",SUMIFS($P$4:$P$2503,$E$4:$E$2503,$E109,$Z$4:$Z$2503,"正常"))</f>
        <v/>
      </c>
      <c r="R109" s="26">
        <f>IF($G109="","",SUMIFS(费用台账!$I$4:$I$503,费用台账!$C$4:$C$503,$E109,费用台账!$J$4:$J$503,"是",费用台账!$K$4:$K$503,"正常"))</f>
        <v/>
      </c>
      <c r="S109" s="28">
        <f>IF($G109="","",COUNTIFS($E$4:$E$2503,$E109,$Z$4:$Z$2503,"正常",$Y$4:$Y$2503,"待补价"))</f>
        <v/>
      </c>
      <c r="T109" s="26">
        <f>IF($G109="","",SUMIFS($P$4:$P$2503,$E$4:$E$2503,$E109,$Z$4:$Z$2503,"正常",$A$4:$A$2503,"&lt;="&amp;$A109))</f>
        <v/>
      </c>
      <c r="U109" s="26">
        <f>IF($G109="","",IF(OR($S109&gt;0,$Q109=0,$R109=0,$Z109&lt;&gt;"正常"),0,ROUND($T109/$Q109*$R109,0)-ROUND(($T109-$P109)/$Q109*$R109,0)))</f>
        <v/>
      </c>
      <c r="V109" s="26">
        <f>IF($G109="","",ROUND($P109+$U109,0))</f>
        <v/>
      </c>
      <c r="W109" s="26">
        <f>IF($G109="","",IF(N($K109)=0,0,ROUND($V109/$K109,2)))</f>
        <v/>
      </c>
      <c r="X109" s="17" t="inlineStr">
        <is>
          <t>采购入库</t>
        </is>
      </c>
      <c r="Y109" s="17" t="inlineStr">
        <is>
          <t>正常</t>
        </is>
      </c>
      <c r="Z109" s="17" t="inlineStr">
        <is>
          <t>正常</t>
        </is>
      </c>
      <c r="AA109" s="17" t="n"/>
      <c r="AB109" s="17" t="inlineStr">
        <is>
          <t>原表第 114 行</t>
        </is>
      </c>
      <c r="AC109" s="24">
        <f>IF($G109="","",IF($H109="※编码不在物料档案里","※物料编码不在档案里",IF(N($K109)&lt;=0,"※入库数量要大于 0",IF(AND($C109&lt;&gt;"",$C109&lt;=结账锁),"※日期早于已结账截止日，不能再录",IF(AND($L109=0,$X109="正常"),"※没填单价，价格状态请选「待补价」",IF(AND($S109&gt;0,$R109&gt;0),"△本批有 "&amp;$S109&amp;" 行没单价，整批运费先挂账没摊",IF(AND($B109&lt;&gt;"",COUNTIF($B$4:$B$2503,$B109)&gt;1),"※入库单号重复","")))))))</f>
        <v/>
      </c>
    </row>
    <row r="110">
      <c r="A110" s="24">
        <f>IF($G110="","",COUNTA($G$4:$G110))</f>
        <v/>
      </c>
      <c r="B110" s="17" t="n"/>
      <c r="C110" s="30" t="n">
        <v>46048</v>
      </c>
      <c r="D110" s="17" t="inlineStr">
        <is>
          <t>A国内</t>
        </is>
      </c>
      <c r="E110" s="17" t="inlineStr">
        <is>
          <t>MEDU7050813-202601</t>
        </is>
      </c>
      <c r="F110" s="17" t="inlineStr">
        <is>
          <t>五金工具</t>
        </is>
      </c>
      <c r="G110" s="17" t="inlineStr">
        <is>
          <t>JH0103</t>
        </is>
      </c>
      <c r="H110" s="24">
        <f>IF($G110="","",IFERROR(VLOOKUP($G110,物料档案!$A$4:$P$1203,3,0),"※编码不在物料档案里"))</f>
        <v/>
      </c>
      <c r="I110" s="24">
        <f>IF($G110="","",IFERROR(VLOOKUP($G110,物料档案!$A$4:$P$1203,4,0),"※编码不在物料档案里"))</f>
        <v/>
      </c>
      <c r="J110" s="24">
        <f>IF($G110="","",IFERROR(VLOOKUP($G110,物料档案!$A$4:$P$1203,5,0),"※编码不在物料档案里"))</f>
        <v/>
      </c>
      <c r="K110" s="23" t="n">
        <v>10</v>
      </c>
      <c r="L110" s="31" t="n">
        <v>20</v>
      </c>
      <c r="M110" s="24">
        <f>IF($G110="","",IF($D110="A国内","CNY","TZS"))</f>
        <v/>
      </c>
      <c r="N110" s="28">
        <f>IF($G110="","",IF($D110="A国内",汇率,1))</f>
        <v/>
      </c>
      <c r="O110" s="25">
        <f>IF($G110="","",ROUND(N($K110)*N($L110),2))</f>
        <v/>
      </c>
      <c r="P110" s="26">
        <f>IF($G110="","",ROUND($O110*$N110,0))</f>
        <v/>
      </c>
      <c r="Q110" s="26">
        <f>IF($G110="","",SUMIFS($P$4:$P$2503,$E$4:$E$2503,$E110,$Z$4:$Z$2503,"正常"))</f>
        <v/>
      </c>
      <c r="R110" s="26">
        <f>IF($G110="","",SUMIFS(费用台账!$I$4:$I$503,费用台账!$C$4:$C$503,$E110,费用台账!$J$4:$J$503,"是",费用台账!$K$4:$K$503,"正常"))</f>
        <v/>
      </c>
      <c r="S110" s="28">
        <f>IF($G110="","",COUNTIFS($E$4:$E$2503,$E110,$Z$4:$Z$2503,"正常",$Y$4:$Y$2503,"待补价"))</f>
        <v/>
      </c>
      <c r="T110" s="26">
        <f>IF($G110="","",SUMIFS($P$4:$P$2503,$E$4:$E$2503,$E110,$Z$4:$Z$2503,"正常",$A$4:$A$2503,"&lt;="&amp;$A110))</f>
        <v/>
      </c>
      <c r="U110" s="26">
        <f>IF($G110="","",IF(OR($S110&gt;0,$Q110=0,$R110=0,$Z110&lt;&gt;"正常"),0,ROUND($T110/$Q110*$R110,0)-ROUND(($T110-$P110)/$Q110*$R110,0)))</f>
        <v/>
      </c>
      <c r="V110" s="26">
        <f>IF($G110="","",ROUND($P110+$U110,0))</f>
        <v/>
      </c>
      <c r="W110" s="26">
        <f>IF($G110="","",IF(N($K110)=0,0,ROUND($V110/$K110,2)))</f>
        <v/>
      </c>
      <c r="X110" s="17" t="inlineStr">
        <is>
          <t>采购入库</t>
        </is>
      </c>
      <c r="Y110" s="17" t="inlineStr">
        <is>
          <t>正常</t>
        </is>
      </c>
      <c r="Z110" s="17" t="inlineStr">
        <is>
          <t>正常</t>
        </is>
      </c>
      <c r="AA110" s="17" t="n"/>
      <c r="AB110" s="17" t="inlineStr">
        <is>
          <t>原表第 115 行</t>
        </is>
      </c>
      <c r="AC110" s="24">
        <f>IF($G110="","",IF($H110="※编码不在物料档案里","※物料编码不在档案里",IF(N($K110)&lt;=0,"※入库数量要大于 0",IF(AND($C110&lt;&gt;"",$C110&lt;=结账锁),"※日期早于已结账截止日，不能再录",IF(AND($L110=0,$X110="正常"),"※没填单价，价格状态请选「待补价」",IF(AND($S110&gt;0,$R110&gt;0),"△本批有 "&amp;$S110&amp;" 行没单价，整批运费先挂账没摊",IF(AND($B110&lt;&gt;"",COUNTIF($B$4:$B$2503,$B110)&gt;1),"※入库单号重复","")))))))</f>
        <v/>
      </c>
    </row>
    <row r="111">
      <c r="A111" s="24">
        <f>IF($G111="","",COUNTA($G$4:$G111))</f>
        <v/>
      </c>
      <c r="B111" s="17" t="n"/>
      <c r="C111" s="30" t="n">
        <v>46048</v>
      </c>
      <c r="D111" s="17" t="inlineStr">
        <is>
          <t>A国内</t>
        </is>
      </c>
      <c r="E111" s="17" t="inlineStr">
        <is>
          <t>MEDU7050813-202601</t>
        </is>
      </c>
      <c r="F111" s="17" t="inlineStr">
        <is>
          <t>五金工具</t>
        </is>
      </c>
      <c r="G111" s="17" t="inlineStr">
        <is>
          <t>JH0104</t>
        </is>
      </c>
      <c r="H111" s="24">
        <f>IF($G111="","",IFERROR(VLOOKUP($G111,物料档案!$A$4:$P$1203,3,0),"※编码不在物料档案里"))</f>
        <v/>
      </c>
      <c r="I111" s="24">
        <f>IF($G111="","",IFERROR(VLOOKUP($G111,物料档案!$A$4:$P$1203,4,0),"※编码不在物料档案里"))</f>
        <v/>
      </c>
      <c r="J111" s="24">
        <f>IF($G111="","",IFERROR(VLOOKUP($G111,物料档案!$A$4:$P$1203,5,0),"※编码不在物料档案里"))</f>
        <v/>
      </c>
      <c r="K111" s="23" t="n">
        <v>20</v>
      </c>
      <c r="L111" s="31" t="n">
        <v>14</v>
      </c>
      <c r="M111" s="24">
        <f>IF($G111="","",IF($D111="A国内","CNY","TZS"))</f>
        <v/>
      </c>
      <c r="N111" s="28">
        <f>IF($G111="","",IF($D111="A国内",汇率,1))</f>
        <v/>
      </c>
      <c r="O111" s="25">
        <f>IF($G111="","",ROUND(N($K111)*N($L111),2))</f>
        <v/>
      </c>
      <c r="P111" s="26">
        <f>IF($G111="","",ROUND($O111*$N111,0))</f>
        <v/>
      </c>
      <c r="Q111" s="26">
        <f>IF($G111="","",SUMIFS($P$4:$P$2503,$E$4:$E$2503,$E111,$Z$4:$Z$2503,"正常"))</f>
        <v/>
      </c>
      <c r="R111" s="26">
        <f>IF($G111="","",SUMIFS(费用台账!$I$4:$I$503,费用台账!$C$4:$C$503,$E111,费用台账!$J$4:$J$503,"是",费用台账!$K$4:$K$503,"正常"))</f>
        <v/>
      </c>
      <c r="S111" s="28">
        <f>IF($G111="","",COUNTIFS($E$4:$E$2503,$E111,$Z$4:$Z$2503,"正常",$Y$4:$Y$2503,"待补价"))</f>
        <v/>
      </c>
      <c r="T111" s="26">
        <f>IF($G111="","",SUMIFS($P$4:$P$2503,$E$4:$E$2503,$E111,$Z$4:$Z$2503,"正常",$A$4:$A$2503,"&lt;="&amp;$A111))</f>
        <v/>
      </c>
      <c r="U111" s="26">
        <f>IF($G111="","",IF(OR($S111&gt;0,$Q111=0,$R111=0,$Z111&lt;&gt;"正常"),0,ROUND($T111/$Q111*$R111,0)-ROUND(($T111-$P111)/$Q111*$R111,0)))</f>
        <v/>
      </c>
      <c r="V111" s="26">
        <f>IF($G111="","",ROUND($P111+$U111,0))</f>
        <v/>
      </c>
      <c r="W111" s="26">
        <f>IF($G111="","",IF(N($K111)=0,0,ROUND($V111/$K111,2)))</f>
        <v/>
      </c>
      <c r="X111" s="17" t="inlineStr">
        <is>
          <t>采购入库</t>
        </is>
      </c>
      <c r="Y111" s="17" t="inlineStr">
        <is>
          <t>正常</t>
        </is>
      </c>
      <c r="Z111" s="17" t="inlineStr">
        <is>
          <t>正常</t>
        </is>
      </c>
      <c r="AA111" s="17" t="n"/>
      <c r="AB111" s="17" t="inlineStr">
        <is>
          <t>原表第 116 行</t>
        </is>
      </c>
      <c r="AC111" s="24">
        <f>IF($G111="","",IF($H111="※编码不在物料档案里","※物料编码不在档案里",IF(N($K111)&lt;=0,"※入库数量要大于 0",IF(AND($C111&lt;&gt;"",$C111&lt;=结账锁),"※日期早于已结账截止日，不能再录",IF(AND($L111=0,$X111="正常"),"※没填单价，价格状态请选「待补价」",IF(AND($S111&gt;0,$R111&gt;0),"△本批有 "&amp;$S111&amp;" 行没单价，整批运费先挂账没摊",IF(AND($B111&lt;&gt;"",COUNTIF($B$4:$B$2503,$B111)&gt;1),"※入库单号重复","")))))))</f>
        <v/>
      </c>
    </row>
    <row r="112">
      <c r="A112" s="24">
        <f>IF($G112="","",COUNTA($G$4:$G112))</f>
        <v/>
      </c>
      <c r="B112" s="17" t="n"/>
      <c r="C112" s="30" t="n">
        <v>46048</v>
      </c>
      <c r="D112" s="17" t="inlineStr">
        <is>
          <t>A国内</t>
        </is>
      </c>
      <c r="E112" s="17" t="inlineStr">
        <is>
          <t>MEDU7050813-202601</t>
        </is>
      </c>
      <c r="F112" s="17" t="inlineStr">
        <is>
          <t>五金工具</t>
        </is>
      </c>
      <c r="G112" s="17" t="inlineStr">
        <is>
          <t>JH0105</t>
        </is>
      </c>
      <c r="H112" s="24">
        <f>IF($G112="","",IFERROR(VLOOKUP($G112,物料档案!$A$4:$P$1203,3,0),"※编码不在物料档案里"))</f>
        <v/>
      </c>
      <c r="I112" s="24">
        <f>IF($G112="","",IFERROR(VLOOKUP($G112,物料档案!$A$4:$P$1203,4,0),"※编码不在物料档案里"))</f>
        <v/>
      </c>
      <c r="J112" s="24">
        <f>IF($G112="","",IFERROR(VLOOKUP($G112,物料档案!$A$4:$P$1203,5,0),"※编码不在物料档案里"))</f>
        <v/>
      </c>
      <c r="K112" s="23" t="n">
        <v>20</v>
      </c>
      <c r="L112" s="31" t="n">
        <v>18</v>
      </c>
      <c r="M112" s="24">
        <f>IF($G112="","",IF($D112="A国内","CNY","TZS"))</f>
        <v/>
      </c>
      <c r="N112" s="28">
        <f>IF($G112="","",IF($D112="A国内",汇率,1))</f>
        <v/>
      </c>
      <c r="O112" s="25">
        <f>IF($G112="","",ROUND(N($K112)*N($L112),2))</f>
        <v/>
      </c>
      <c r="P112" s="26">
        <f>IF($G112="","",ROUND($O112*$N112,0))</f>
        <v/>
      </c>
      <c r="Q112" s="26">
        <f>IF($G112="","",SUMIFS($P$4:$P$2503,$E$4:$E$2503,$E112,$Z$4:$Z$2503,"正常"))</f>
        <v/>
      </c>
      <c r="R112" s="26">
        <f>IF($G112="","",SUMIFS(费用台账!$I$4:$I$503,费用台账!$C$4:$C$503,$E112,费用台账!$J$4:$J$503,"是",费用台账!$K$4:$K$503,"正常"))</f>
        <v/>
      </c>
      <c r="S112" s="28">
        <f>IF($G112="","",COUNTIFS($E$4:$E$2503,$E112,$Z$4:$Z$2503,"正常",$Y$4:$Y$2503,"待补价"))</f>
        <v/>
      </c>
      <c r="T112" s="26">
        <f>IF($G112="","",SUMIFS($P$4:$P$2503,$E$4:$E$2503,$E112,$Z$4:$Z$2503,"正常",$A$4:$A$2503,"&lt;="&amp;$A112))</f>
        <v/>
      </c>
      <c r="U112" s="26">
        <f>IF($G112="","",IF(OR($S112&gt;0,$Q112=0,$R112=0,$Z112&lt;&gt;"正常"),0,ROUND($T112/$Q112*$R112,0)-ROUND(($T112-$P112)/$Q112*$R112,0)))</f>
        <v/>
      </c>
      <c r="V112" s="26">
        <f>IF($G112="","",ROUND($P112+$U112,0))</f>
        <v/>
      </c>
      <c r="W112" s="26">
        <f>IF($G112="","",IF(N($K112)=0,0,ROUND($V112/$K112,2)))</f>
        <v/>
      </c>
      <c r="X112" s="17" t="inlineStr">
        <is>
          <t>采购入库</t>
        </is>
      </c>
      <c r="Y112" s="17" t="inlineStr">
        <is>
          <t>正常</t>
        </is>
      </c>
      <c r="Z112" s="17" t="inlineStr">
        <is>
          <t>正常</t>
        </is>
      </c>
      <c r="AA112" s="17" t="n"/>
      <c r="AB112" s="17" t="inlineStr">
        <is>
          <t>原表第 117 行</t>
        </is>
      </c>
      <c r="AC112" s="24">
        <f>IF($G112="","",IF($H112="※编码不在物料档案里","※物料编码不在档案里",IF(N($K112)&lt;=0,"※入库数量要大于 0",IF(AND($C112&lt;&gt;"",$C112&lt;=结账锁),"※日期早于已结账截止日，不能再录",IF(AND($L112=0,$X112="正常"),"※没填单价，价格状态请选「待补价」",IF(AND($S112&gt;0,$R112&gt;0),"△本批有 "&amp;$S112&amp;" 行没单价，整批运费先挂账没摊",IF(AND($B112&lt;&gt;"",COUNTIF($B$4:$B$2503,$B112)&gt;1),"※入库单号重复","")))))))</f>
        <v/>
      </c>
    </row>
    <row r="113">
      <c r="A113" s="24">
        <f>IF($G113="","",COUNTA($G$4:$G113))</f>
        <v/>
      </c>
      <c r="B113" s="17" t="n"/>
      <c r="C113" s="30" t="n">
        <v>46048</v>
      </c>
      <c r="D113" s="17" t="inlineStr">
        <is>
          <t>A国内</t>
        </is>
      </c>
      <c r="E113" s="17" t="inlineStr">
        <is>
          <t>MEDU7050813-202601</t>
        </is>
      </c>
      <c r="F113" s="17" t="inlineStr">
        <is>
          <t>五金工具</t>
        </is>
      </c>
      <c r="G113" s="17" t="inlineStr">
        <is>
          <t>JH0106</t>
        </is>
      </c>
      <c r="H113" s="24">
        <f>IF($G113="","",IFERROR(VLOOKUP($G113,物料档案!$A$4:$P$1203,3,0),"※编码不在物料档案里"))</f>
        <v/>
      </c>
      <c r="I113" s="24">
        <f>IF($G113="","",IFERROR(VLOOKUP($G113,物料档案!$A$4:$P$1203,4,0),"※编码不在物料档案里"))</f>
        <v/>
      </c>
      <c r="J113" s="24">
        <f>IF($G113="","",IFERROR(VLOOKUP($G113,物料档案!$A$4:$P$1203,5,0),"※编码不在物料档案里"))</f>
        <v/>
      </c>
      <c r="K113" s="23" t="n">
        <v>1</v>
      </c>
      <c r="L113" s="31" t="n">
        <v>418</v>
      </c>
      <c r="M113" s="24">
        <f>IF($G113="","",IF($D113="A国内","CNY","TZS"))</f>
        <v/>
      </c>
      <c r="N113" s="28">
        <f>IF($G113="","",IF($D113="A国内",汇率,1))</f>
        <v/>
      </c>
      <c r="O113" s="25">
        <f>IF($G113="","",ROUND(N($K113)*N($L113),2))</f>
        <v/>
      </c>
      <c r="P113" s="26">
        <f>IF($G113="","",ROUND($O113*$N113,0))</f>
        <v/>
      </c>
      <c r="Q113" s="26">
        <f>IF($G113="","",SUMIFS($P$4:$P$2503,$E$4:$E$2503,$E113,$Z$4:$Z$2503,"正常"))</f>
        <v/>
      </c>
      <c r="R113" s="26">
        <f>IF($G113="","",SUMIFS(费用台账!$I$4:$I$503,费用台账!$C$4:$C$503,$E113,费用台账!$J$4:$J$503,"是",费用台账!$K$4:$K$503,"正常"))</f>
        <v/>
      </c>
      <c r="S113" s="28">
        <f>IF($G113="","",COUNTIFS($E$4:$E$2503,$E113,$Z$4:$Z$2503,"正常",$Y$4:$Y$2503,"待补价"))</f>
        <v/>
      </c>
      <c r="T113" s="26">
        <f>IF($G113="","",SUMIFS($P$4:$P$2503,$E$4:$E$2503,$E113,$Z$4:$Z$2503,"正常",$A$4:$A$2503,"&lt;="&amp;$A113))</f>
        <v/>
      </c>
      <c r="U113" s="26">
        <f>IF($G113="","",IF(OR($S113&gt;0,$Q113=0,$R113=0,$Z113&lt;&gt;"正常"),0,ROUND($T113/$Q113*$R113,0)-ROUND(($T113-$P113)/$Q113*$R113,0)))</f>
        <v/>
      </c>
      <c r="V113" s="26">
        <f>IF($G113="","",ROUND($P113+$U113,0))</f>
        <v/>
      </c>
      <c r="W113" s="26">
        <f>IF($G113="","",IF(N($K113)=0,0,ROUND($V113/$K113,2)))</f>
        <v/>
      </c>
      <c r="X113" s="17" t="inlineStr">
        <is>
          <t>采购入库</t>
        </is>
      </c>
      <c r="Y113" s="17" t="inlineStr">
        <is>
          <t>正常</t>
        </is>
      </c>
      <c r="Z113" s="17" t="inlineStr">
        <is>
          <t>正常</t>
        </is>
      </c>
      <c r="AA113" s="17" t="n"/>
      <c r="AB113" s="17" t="inlineStr">
        <is>
          <t>原表第 118 行</t>
        </is>
      </c>
      <c r="AC113" s="24">
        <f>IF($G113="","",IF($H113="※编码不在物料档案里","※物料编码不在档案里",IF(N($K113)&lt;=0,"※入库数量要大于 0",IF(AND($C113&lt;&gt;"",$C113&lt;=结账锁),"※日期早于已结账截止日，不能再录",IF(AND($L113=0,$X113="正常"),"※没填单价，价格状态请选「待补价」",IF(AND($S113&gt;0,$R113&gt;0),"△本批有 "&amp;$S113&amp;" 行没单价，整批运费先挂账没摊",IF(AND($B113&lt;&gt;"",COUNTIF($B$4:$B$2503,$B113)&gt;1),"※入库单号重复","")))))))</f>
        <v/>
      </c>
    </row>
    <row r="114">
      <c r="A114" s="24">
        <f>IF($G114="","",COUNTA($G$4:$G114))</f>
        <v/>
      </c>
      <c r="B114" s="17" t="n"/>
      <c r="C114" s="30" t="n">
        <v>46048</v>
      </c>
      <c r="D114" s="17" t="inlineStr">
        <is>
          <t>A国内</t>
        </is>
      </c>
      <c r="E114" s="17" t="inlineStr">
        <is>
          <t>MEDU7050813-202601</t>
        </is>
      </c>
      <c r="F114" s="17" t="inlineStr">
        <is>
          <t>五金工具</t>
        </is>
      </c>
      <c r="G114" s="17" t="inlineStr">
        <is>
          <t>JH0107</t>
        </is>
      </c>
      <c r="H114" s="24">
        <f>IF($G114="","",IFERROR(VLOOKUP($G114,物料档案!$A$4:$P$1203,3,0),"※编码不在物料档案里"))</f>
        <v/>
      </c>
      <c r="I114" s="24">
        <f>IF($G114="","",IFERROR(VLOOKUP($G114,物料档案!$A$4:$P$1203,4,0),"※编码不在物料档案里"))</f>
        <v/>
      </c>
      <c r="J114" s="24">
        <f>IF($G114="","",IFERROR(VLOOKUP($G114,物料档案!$A$4:$P$1203,5,0),"※编码不在物料档案里"))</f>
        <v/>
      </c>
      <c r="K114" s="23" t="n">
        <v>10</v>
      </c>
      <c r="L114" s="31" t="n">
        <v>46</v>
      </c>
      <c r="M114" s="24">
        <f>IF($G114="","",IF($D114="A国内","CNY","TZS"))</f>
        <v/>
      </c>
      <c r="N114" s="28">
        <f>IF($G114="","",IF($D114="A国内",汇率,1))</f>
        <v/>
      </c>
      <c r="O114" s="25">
        <f>IF($G114="","",ROUND(N($K114)*N($L114),2))</f>
        <v/>
      </c>
      <c r="P114" s="26">
        <f>IF($G114="","",ROUND($O114*$N114,0))</f>
        <v/>
      </c>
      <c r="Q114" s="26">
        <f>IF($G114="","",SUMIFS($P$4:$P$2503,$E$4:$E$2503,$E114,$Z$4:$Z$2503,"正常"))</f>
        <v/>
      </c>
      <c r="R114" s="26">
        <f>IF($G114="","",SUMIFS(费用台账!$I$4:$I$503,费用台账!$C$4:$C$503,$E114,费用台账!$J$4:$J$503,"是",费用台账!$K$4:$K$503,"正常"))</f>
        <v/>
      </c>
      <c r="S114" s="28">
        <f>IF($G114="","",COUNTIFS($E$4:$E$2503,$E114,$Z$4:$Z$2503,"正常",$Y$4:$Y$2503,"待补价"))</f>
        <v/>
      </c>
      <c r="T114" s="26">
        <f>IF($G114="","",SUMIFS($P$4:$P$2503,$E$4:$E$2503,$E114,$Z$4:$Z$2503,"正常",$A$4:$A$2503,"&lt;="&amp;$A114))</f>
        <v/>
      </c>
      <c r="U114" s="26">
        <f>IF($G114="","",IF(OR($S114&gt;0,$Q114=0,$R114=0,$Z114&lt;&gt;"正常"),0,ROUND($T114/$Q114*$R114,0)-ROUND(($T114-$P114)/$Q114*$R114,0)))</f>
        <v/>
      </c>
      <c r="V114" s="26">
        <f>IF($G114="","",ROUND($P114+$U114,0))</f>
        <v/>
      </c>
      <c r="W114" s="26">
        <f>IF($G114="","",IF(N($K114)=0,0,ROUND($V114/$K114,2)))</f>
        <v/>
      </c>
      <c r="X114" s="17" t="inlineStr">
        <is>
          <t>采购入库</t>
        </is>
      </c>
      <c r="Y114" s="17" t="inlineStr">
        <is>
          <t>正常</t>
        </is>
      </c>
      <c r="Z114" s="17" t="inlineStr">
        <is>
          <t>正常</t>
        </is>
      </c>
      <c r="AA114" s="17" t="n"/>
      <c r="AB114" s="17" t="inlineStr">
        <is>
          <t>原表第 119 行</t>
        </is>
      </c>
      <c r="AC114" s="24">
        <f>IF($G114="","",IF($H114="※编码不在物料档案里","※物料编码不在档案里",IF(N($K114)&lt;=0,"※入库数量要大于 0",IF(AND($C114&lt;&gt;"",$C114&lt;=结账锁),"※日期早于已结账截止日，不能再录",IF(AND($L114=0,$X114="正常"),"※没填单价，价格状态请选「待补价」",IF(AND($S114&gt;0,$R114&gt;0),"△本批有 "&amp;$S114&amp;" 行没单价，整批运费先挂账没摊",IF(AND($B114&lt;&gt;"",COUNTIF($B$4:$B$2503,$B114)&gt;1),"※入库单号重复","")))))))</f>
        <v/>
      </c>
    </row>
    <row r="115">
      <c r="A115" s="24">
        <f>IF($G115="","",COUNTA($G$4:$G115))</f>
        <v/>
      </c>
      <c r="B115" s="17" t="n"/>
      <c r="C115" s="30" t="n">
        <v>46048</v>
      </c>
      <c r="D115" s="17" t="inlineStr">
        <is>
          <t>A国内</t>
        </is>
      </c>
      <c r="E115" s="17" t="inlineStr">
        <is>
          <t>MEDU7050813-202601</t>
        </is>
      </c>
      <c r="F115" s="17" t="inlineStr">
        <is>
          <t>五金工具</t>
        </is>
      </c>
      <c r="G115" s="17" t="inlineStr">
        <is>
          <t>JH0108</t>
        </is>
      </c>
      <c r="H115" s="24">
        <f>IF($G115="","",IFERROR(VLOOKUP($G115,物料档案!$A$4:$P$1203,3,0),"※编码不在物料档案里"))</f>
        <v/>
      </c>
      <c r="I115" s="24">
        <f>IF($G115="","",IFERROR(VLOOKUP($G115,物料档案!$A$4:$P$1203,4,0),"※编码不在物料档案里"))</f>
        <v/>
      </c>
      <c r="J115" s="24">
        <f>IF($G115="","",IFERROR(VLOOKUP($G115,物料档案!$A$4:$P$1203,5,0),"※编码不在物料档案里"))</f>
        <v/>
      </c>
      <c r="K115" s="23" t="n">
        <v>10</v>
      </c>
      <c r="L115" s="31" t="n">
        <v>46</v>
      </c>
      <c r="M115" s="24">
        <f>IF($G115="","",IF($D115="A国内","CNY","TZS"))</f>
        <v/>
      </c>
      <c r="N115" s="28">
        <f>IF($G115="","",IF($D115="A国内",汇率,1))</f>
        <v/>
      </c>
      <c r="O115" s="25">
        <f>IF($G115="","",ROUND(N($K115)*N($L115),2))</f>
        <v/>
      </c>
      <c r="P115" s="26">
        <f>IF($G115="","",ROUND($O115*$N115,0))</f>
        <v/>
      </c>
      <c r="Q115" s="26">
        <f>IF($G115="","",SUMIFS($P$4:$P$2503,$E$4:$E$2503,$E115,$Z$4:$Z$2503,"正常"))</f>
        <v/>
      </c>
      <c r="R115" s="26">
        <f>IF($G115="","",SUMIFS(费用台账!$I$4:$I$503,费用台账!$C$4:$C$503,$E115,费用台账!$J$4:$J$503,"是",费用台账!$K$4:$K$503,"正常"))</f>
        <v/>
      </c>
      <c r="S115" s="28">
        <f>IF($G115="","",COUNTIFS($E$4:$E$2503,$E115,$Z$4:$Z$2503,"正常",$Y$4:$Y$2503,"待补价"))</f>
        <v/>
      </c>
      <c r="T115" s="26">
        <f>IF($G115="","",SUMIFS($P$4:$P$2503,$E$4:$E$2503,$E115,$Z$4:$Z$2503,"正常",$A$4:$A$2503,"&lt;="&amp;$A115))</f>
        <v/>
      </c>
      <c r="U115" s="26">
        <f>IF($G115="","",IF(OR($S115&gt;0,$Q115=0,$R115=0,$Z115&lt;&gt;"正常"),0,ROUND($T115/$Q115*$R115,0)-ROUND(($T115-$P115)/$Q115*$R115,0)))</f>
        <v/>
      </c>
      <c r="V115" s="26">
        <f>IF($G115="","",ROUND($P115+$U115,0))</f>
        <v/>
      </c>
      <c r="W115" s="26">
        <f>IF($G115="","",IF(N($K115)=0,0,ROUND($V115/$K115,2)))</f>
        <v/>
      </c>
      <c r="X115" s="17" t="inlineStr">
        <is>
          <t>采购入库</t>
        </is>
      </c>
      <c r="Y115" s="17" t="inlineStr">
        <is>
          <t>正常</t>
        </is>
      </c>
      <c r="Z115" s="17" t="inlineStr">
        <is>
          <t>正常</t>
        </is>
      </c>
      <c r="AA115" s="17" t="n"/>
      <c r="AB115" s="17" t="inlineStr">
        <is>
          <t>原表第 120 行</t>
        </is>
      </c>
      <c r="AC115" s="24">
        <f>IF($G115="","",IF($H115="※编码不在物料档案里","※物料编码不在档案里",IF(N($K115)&lt;=0,"※入库数量要大于 0",IF(AND($C115&lt;&gt;"",$C115&lt;=结账锁),"※日期早于已结账截止日，不能再录",IF(AND($L115=0,$X115="正常"),"※没填单价，价格状态请选「待补价」",IF(AND($S115&gt;0,$R115&gt;0),"△本批有 "&amp;$S115&amp;" 行没单价，整批运费先挂账没摊",IF(AND($B115&lt;&gt;"",COUNTIF($B$4:$B$2503,$B115)&gt;1),"※入库单号重复","")))))))</f>
        <v/>
      </c>
    </row>
    <row r="116">
      <c r="A116" s="24">
        <f>IF($G116="","",COUNTA($G$4:$G116))</f>
        <v/>
      </c>
      <c r="B116" s="17" t="n"/>
      <c r="C116" s="30" t="n">
        <v>46048</v>
      </c>
      <c r="D116" s="17" t="inlineStr">
        <is>
          <t>A国内</t>
        </is>
      </c>
      <c r="E116" s="17" t="inlineStr">
        <is>
          <t>MEDU7050813-202601</t>
        </is>
      </c>
      <c r="F116" s="17" t="inlineStr">
        <is>
          <t>五金工具</t>
        </is>
      </c>
      <c r="G116" s="17" t="inlineStr">
        <is>
          <t>JH0109</t>
        </is>
      </c>
      <c r="H116" s="24">
        <f>IF($G116="","",IFERROR(VLOOKUP($G116,物料档案!$A$4:$P$1203,3,0),"※编码不在物料档案里"))</f>
        <v/>
      </c>
      <c r="I116" s="24">
        <f>IF($G116="","",IFERROR(VLOOKUP($G116,物料档案!$A$4:$P$1203,4,0),"※编码不在物料档案里"))</f>
        <v/>
      </c>
      <c r="J116" s="24">
        <f>IF($G116="","",IFERROR(VLOOKUP($G116,物料档案!$A$4:$P$1203,5,0),"※编码不在物料档案里"))</f>
        <v/>
      </c>
      <c r="K116" s="23" t="n">
        <v>5</v>
      </c>
      <c r="L116" s="31" t="n">
        <v>46</v>
      </c>
      <c r="M116" s="24">
        <f>IF($G116="","",IF($D116="A国内","CNY","TZS"))</f>
        <v/>
      </c>
      <c r="N116" s="28">
        <f>IF($G116="","",IF($D116="A国内",汇率,1))</f>
        <v/>
      </c>
      <c r="O116" s="25">
        <f>IF($G116="","",ROUND(N($K116)*N($L116),2))</f>
        <v/>
      </c>
      <c r="P116" s="26">
        <f>IF($G116="","",ROUND($O116*$N116,0))</f>
        <v/>
      </c>
      <c r="Q116" s="26">
        <f>IF($G116="","",SUMIFS($P$4:$P$2503,$E$4:$E$2503,$E116,$Z$4:$Z$2503,"正常"))</f>
        <v/>
      </c>
      <c r="R116" s="26">
        <f>IF($G116="","",SUMIFS(费用台账!$I$4:$I$503,费用台账!$C$4:$C$503,$E116,费用台账!$J$4:$J$503,"是",费用台账!$K$4:$K$503,"正常"))</f>
        <v/>
      </c>
      <c r="S116" s="28">
        <f>IF($G116="","",COUNTIFS($E$4:$E$2503,$E116,$Z$4:$Z$2503,"正常",$Y$4:$Y$2503,"待补价"))</f>
        <v/>
      </c>
      <c r="T116" s="26">
        <f>IF($G116="","",SUMIFS($P$4:$P$2503,$E$4:$E$2503,$E116,$Z$4:$Z$2503,"正常",$A$4:$A$2503,"&lt;="&amp;$A116))</f>
        <v/>
      </c>
      <c r="U116" s="26">
        <f>IF($G116="","",IF(OR($S116&gt;0,$Q116=0,$R116=0,$Z116&lt;&gt;"正常"),0,ROUND($T116/$Q116*$R116,0)-ROUND(($T116-$P116)/$Q116*$R116,0)))</f>
        <v/>
      </c>
      <c r="V116" s="26">
        <f>IF($G116="","",ROUND($P116+$U116,0))</f>
        <v/>
      </c>
      <c r="W116" s="26">
        <f>IF($G116="","",IF(N($K116)=0,0,ROUND($V116/$K116,2)))</f>
        <v/>
      </c>
      <c r="X116" s="17" t="inlineStr">
        <is>
          <t>采购入库</t>
        </is>
      </c>
      <c r="Y116" s="17" t="inlineStr">
        <is>
          <t>正常</t>
        </is>
      </c>
      <c r="Z116" s="17" t="inlineStr">
        <is>
          <t>正常</t>
        </is>
      </c>
      <c r="AA116" s="17" t="n"/>
      <c r="AB116" s="17" t="inlineStr">
        <is>
          <t>原表第 121 行</t>
        </is>
      </c>
      <c r="AC116" s="24">
        <f>IF($G116="","",IF($H116="※编码不在物料档案里","※物料编码不在档案里",IF(N($K116)&lt;=0,"※入库数量要大于 0",IF(AND($C116&lt;&gt;"",$C116&lt;=结账锁),"※日期早于已结账截止日，不能再录",IF(AND($L116=0,$X116="正常"),"※没填单价，价格状态请选「待补价」",IF(AND($S116&gt;0,$R116&gt;0),"△本批有 "&amp;$S116&amp;" 行没单价，整批运费先挂账没摊",IF(AND($B116&lt;&gt;"",COUNTIF($B$4:$B$2503,$B116)&gt;1),"※入库单号重复","")))))))</f>
        <v/>
      </c>
    </row>
    <row r="117">
      <c r="A117" s="24">
        <f>IF($G117="","",COUNTA($G$4:$G117))</f>
        <v/>
      </c>
      <c r="B117" s="17" t="n"/>
      <c r="C117" s="30" t="n">
        <v>46048</v>
      </c>
      <c r="D117" s="17" t="inlineStr">
        <is>
          <t>A国内</t>
        </is>
      </c>
      <c r="E117" s="17" t="inlineStr">
        <is>
          <t>MEDU7050813-202601</t>
        </is>
      </c>
      <c r="F117" s="17" t="inlineStr">
        <is>
          <t>五金工具</t>
        </is>
      </c>
      <c r="G117" s="17" t="inlineStr">
        <is>
          <t>JH0110</t>
        </is>
      </c>
      <c r="H117" s="24">
        <f>IF($G117="","",IFERROR(VLOOKUP($G117,物料档案!$A$4:$P$1203,3,0),"※编码不在物料档案里"))</f>
        <v/>
      </c>
      <c r="I117" s="24">
        <f>IF($G117="","",IFERROR(VLOOKUP($G117,物料档案!$A$4:$P$1203,4,0),"※编码不在物料档案里"))</f>
        <v/>
      </c>
      <c r="J117" s="24">
        <f>IF($G117="","",IFERROR(VLOOKUP($G117,物料档案!$A$4:$P$1203,5,0),"※编码不在物料档案里"))</f>
        <v/>
      </c>
      <c r="K117" s="23" t="n">
        <v>5</v>
      </c>
      <c r="L117" s="31" t="n">
        <v>50</v>
      </c>
      <c r="M117" s="24">
        <f>IF($G117="","",IF($D117="A国内","CNY","TZS"))</f>
        <v/>
      </c>
      <c r="N117" s="28">
        <f>IF($G117="","",IF($D117="A国内",汇率,1))</f>
        <v/>
      </c>
      <c r="O117" s="25">
        <f>IF($G117="","",ROUND(N($K117)*N($L117),2))</f>
        <v/>
      </c>
      <c r="P117" s="26">
        <f>IF($G117="","",ROUND($O117*$N117,0))</f>
        <v/>
      </c>
      <c r="Q117" s="26">
        <f>IF($G117="","",SUMIFS($P$4:$P$2503,$E$4:$E$2503,$E117,$Z$4:$Z$2503,"正常"))</f>
        <v/>
      </c>
      <c r="R117" s="26">
        <f>IF($G117="","",SUMIFS(费用台账!$I$4:$I$503,费用台账!$C$4:$C$503,$E117,费用台账!$J$4:$J$503,"是",费用台账!$K$4:$K$503,"正常"))</f>
        <v/>
      </c>
      <c r="S117" s="28">
        <f>IF($G117="","",COUNTIFS($E$4:$E$2503,$E117,$Z$4:$Z$2503,"正常",$Y$4:$Y$2503,"待补价"))</f>
        <v/>
      </c>
      <c r="T117" s="26">
        <f>IF($G117="","",SUMIFS($P$4:$P$2503,$E$4:$E$2503,$E117,$Z$4:$Z$2503,"正常",$A$4:$A$2503,"&lt;="&amp;$A117))</f>
        <v/>
      </c>
      <c r="U117" s="26">
        <f>IF($G117="","",IF(OR($S117&gt;0,$Q117=0,$R117=0,$Z117&lt;&gt;"正常"),0,ROUND($T117/$Q117*$R117,0)-ROUND(($T117-$P117)/$Q117*$R117,0)))</f>
        <v/>
      </c>
      <c r="V117" s="26">
        <f>IF($G117="","",ROUND($P117+$U117,0))</f>
        <v/>
      </c>
      <c r="W117" s="26">
        <f>IF($G117="","",IF(N($K117)=0,0,ROUND($V117/$K117,2)))</f>
        <v/>
      </c>
      <c r="X117" s="17" t="inlineStr">
        <is>
          <t>采购入库</t>
        </is>
      </c>
      <c r="Y117" s="17" t="inlineStr">
        <is>
          <t>正常</t>
        </is>
      </c>
      <c r="Z117" s="17" t="inlineStr">
        <is>
          <t>正常</t>
        </is>
      </c>
      <c r="AA117" s="17" t="n"/>
      <c r="AB117" s="17" t="inlineStr">
        <is>
          <t>原表第 122 行</t>
        </is>
      </c>
      <c r="AC117" s="24">
        <f>IF($G117="","",IF($H117="※编码不在物料档案里","※物料编码不在档案里",IF(N($K117)&lt;=0,"※入库数量要大于 0",IF(AND($C117&lt;&gt;"",$C117&lt;=结账锁),"※日期早于已结账截止日，不能再录",IF(AND($L117=0,$X117="正常"),"※没填单价，价格状态请选「待补价」",IF(AND($S117&gt;0,$R117&gt;0),"△本批有 "&amp;$S117&amp;" 行没单价，整批运费先挂账没摊",IF(AND($B117&lt;&gt;"",COUNTIF($B$4:$B$2503,$B117)&gt;1),"※入库单号重复","")))))))</f>
        <v/>
      </c>
    </row>
    <row r="118">
      <c r="A118" s="24">
        <f>IF($G118="","",COUNTA($G$4:$G118))</f>
        <v/>
      </c>
      <c r="B118" s="17" t="n"/>
      <c r="C118" s="30" t="n">
        <v>46048</v>
      </c>
      <c r="D118" s="17" t="inlineStr">
        <is>
          <t>A国内</t>
        </is>
      </c>
      <c r="E118" s="17" t="inlineStr">
        <is>
          <t>MEDU7050813-202601</t>
        </is>
      </c>
      <c r="F118" s="17" t="inlineStr">
        <is>
          <t>五金工具</t>
        </is>
      </c>
      <c r="G118" s="17" t="inlineStr">
        <is>
          <t>JH0111</t>
        </is>
      </c>
      <c r="H118" s="24">
        <f>IF($G118="","",IFERROR(VLOOKUP($G118,物料档案!$A$4:$P$1203,3,0),"※编码不在物料档案里"))</f>
        <v/>
      </c>
      <c r="I118" s="24">
        <f>IF($G118="","",IFERROR(VLOOKUP($G118,物料档案!$A$4:$P$1203,4,0),"※编码不在物料档案里"))</f>
        <v/>
      </c>
      <c r="J118" s="24">
        <f>IF($G118="","",IFERROR(VLOOKUP($G118,物料档案!$A$4:$P$1203,5,0),"※编码不在物料档案里"))</f>
        <v/>
      </c>
      <c r="K118" s="23" t="n">
        <v>5</v>
      </c>
      <c r="L118" s="31" t="n">
        <v>85</v>
      </c>
      <c r="M118" s="24">
        <f>IF($G118="","",IF($D118="A国内","CNY","TZS"))</f>
        <v/>
      </c>
      <c r="N118" s="28">
        <f>IF($G118="","",IF($D118="A国内",汇率,1))</f>
        <v/>
      </c>
      <c r="O118" s="25">
        <f>IF($G118="","",ROUND(N($K118)*N($L118),2))</f>
        <v/>
      </c>
      <c r="P118" s="26">
        <f>IF($G118="","",ROUND($O118*$N118,0))</f>
        <v/>
      </c>
      <c r="Q118" s="26">
        <f>IF($G118="","",SUMIFS($P$4:$P$2503,$E$4:$E$2503,$E118,$Z$4:$Z$2503,"正常"))</f>
        <v/>
      </c>
      <c r="R118" s="26">
        <f>IF($G118="","",SUMIFS(费用台账!$I$4:$I$503,费用台账!$C$4:$C$503,$E118,费用台账!$J$4:$J$503,"是",费用台账!$K$4:$K$503,"正常"))</f>
        <v/>
      </c>
      <c r="S118" s="28">
        <f>IF($G118="","",COUNTIFS($E$4:$E$2503,$E118,$Z$4:$Z$2503,"正常",$Y$4:$Y$2503,"待补价"))</f>
        <v/>
      </c>
      <c r="T118" s="26">
        <f>IF($G118="","",SUMIFS($P$4:$P$2503,$E$4:$E$2503,$E118,$Z$4:$Z$2503,"正常",$A$4:$A$2503,"&lt;="&amp;$A118))</f>
        <v/>
      </c>
      <c r="U118" s="26">
        <f>IF($G118="","",IF(OR($S118&gt;0,$Q118=0,$R118=0,$Z118&lt;&gt;"正常"),0,ROUND($T118/$Q118*$R118,0)-ROUND(($T118-$P118)/$Q118*$R118,0)))</f>
        <v/>
      </c>
      <c r="V118" s="26">
        <f>IF($G118="","",ROUND($P118+$U118,0))</f>
        <v/>
      </c>
      <c r="W118" s="26">
        <f>IF($G118="","",IF(N($K118)=0,0,ROUND($V118/$K118,2)))</f>
        <v/>
      </c>
      <c r="X118" s="17" t="inlineStr">
        <is>
          <t>采购入库</t>
        </is>
      </c>
      <c r="Y118" s="17" t="inlineStr">
        <is>
          <t>正常</t>
        </is>
      </c>
      <c r="Z118" s="17" t="inlineStr">
        <is>
          <t>正常</t>
        </is>
      </c>
      <c r="AA118" s="17" t="n"/>
      <c r="AB118" s="17" t="inlineStr">
        <is>
          <t>原表第 123 行</t>
        </is>
      </c>
      <c r="AC118" s="24">
        <f>IF($G118="","",IF($H118="※编码不在物料档案里","※物料编码不在档案里",IF(N($K118)&lt;=0,"※入库数量要大于 0",IF(AND($C118&lt;&gt;"",$C118&lt;=结账锁),"※日期早于已结账截止日，不能再录",IF(AND($L118=0,$X118="正常"),"※没填单价，价格状态请选「待补价」",IF(AND($S118&gt;0,$R118&gt;0),"△本批有 "&amp;$S118&amp;" 行没单价，整批运费先挂账没摊",IF(AND($B118&lt;&gt;"",COUNTIF($B$4:$B$2503,$B118)&gt;1),"※入库单号重复","")))))))</f>
        <v/>
      </c>
    </row>
    <row r="119">
      <c r="A119" s="24">
        <f>IF($G119="","",COUNTA($G$4:$G119))</f>
        <v/>
      </c>
      <c r="B119" s="17" t="n"/>
      <c r="C119" s="30" t="n">
        <v>46048</v>
      </c>
      <c r="D119" s="17" t="inlineStr">
        <is>
          <t>A国内</t>
        </is>
      </c>
      <c r="E119" s="17" t="inlineStr">
        <is>
          <t>MEDU7050813-202601</t>
        </is>
      </c>
      <c r="F119" s="17" t="inlineStr">
        <is>
          <t>五金工具</t>
        </is>
      </c>
      <c r="G119" s="17" t="inlineStr">
        <is>
          <t>JH0112</t>
        </is>
      </c>
      <c r="H119" s="24">
        <f>IF($G119="","",IFERROR(VLOOKUP($G119,物料档案!$A$4:$P$1203,3,0),"※编码不在物料档案里"))</f>
        <v/>
      </c>
      <c r="I119" s="24">
        <f>IF($G119="","",IFERROR(VLOOKUP($G119,物料档案!$A$4:$P$1203,4,0),"※编码不在物料档案里"))</f>
        <v/>
      </c>
      <c r="J119" s="24">
        <f>IF($G119="","",IFERROR(VLOOKUP($G119,物料档案!$A$4:$P$1203,5,0),"※编码不在物料档案里"))</f>
        <v/>
      </c>
      <c r="K119" s="23" t="n">
        <v>5</v>
      </c>
      <c r="L119" s="31" t="n">
        <v>78</v>
      </c>
      <c r="M119" s="24">
        <f>IF($G119="","",IF($D119="A国内","CNY","TZS"))</f>
        <v/>
      </c>
      <c r="N119" s="28">
        <f>IF($G119="","",IF($D119="A国内",汇率,1))</f>
        <v/>
      </c>
      <c r="O119" s="25">
        <f>IF($G119="","",ROUND(N($K119)*N($L119),2))</f>
        <v/>
      </c>
      <c r="P119" s="26">
        <f>IF($G119="","",ROUND($O119*$N119,0))</f>
        <v/>
      </c>
      <c r="Q119" s="26">
        <f>IF($G119="","",SUMIFS($P$4:$P$2503,$E$4:$E$2503,$E119,$Z$4:$Z$2503,"正常"))</f>
        <v/>
      </c>
      <c r="R119" s="26">
        <f>IF($G119="","",SUMIFS(费用台账!$I$4:$I$503,费用台账!$C$4:$C$503,$E119,费用台账!$J$4:$J$503,"是",费用台账!$K$4:$K$503,"正常"))</f>
        <v/>
      </c>
      <c r="S119" s="28">
        <f>IF($G119="","",COUNTIFS($E$4:$E$2503,$E119,$Z$4:$Z$2503,"正常",$Y$4:$Y$2503,"待补价"))</f>
        <v/>
      </c>
      <c r="T119" s="26">
        <f>IF($G119="","",SUMIFS($P$4:$P$2503,$E$4:$E$2503,$E119,$Z$4:$Z$2503,"正常",$A$4:$A$2503,"&lt;="&amp;$A119))</f>
        <v/>
      </c>
      <c r="U119" s="26">
        <f>IF($G119="","",IF(OR($S119&gt;0,$Q119=0,$R119=0,$Z119&lt;&gt;"正常"),0,ROUND($T119/$Q119*$R119,0)-ROUND(($T119-$P119)/$Q119*$R119,0)))</f>
        <v/>
      </c>
      <c r="V119" s="26">
        <f>IF($G119="","",ROUND($P119+$U119,0))</f>
        <v/>
      </c>
      <c r="W119" s="26">
        <f>IF($G119="","",IF(N($K119)=0,0,ROUND($V119/$K119,2)))</f>
        <v/>
      </c>
      <c r="X119" s="17" t="inlineStr">
        <is>
          <t>采购入库</t>
        </is>
      </c>
      <c r="Y119" s="17" t="inlineStr">
        <is>
          <t>正常</t>
        </is>
      </c>
      <c r="Z119" s="17" t="inlineStr">
        <is>
          <t>正常</t>
        </is>
      </c>
      <c r="AA119" s="17" t="n"/>
      <c r="AB119" s="17" t="inlineStr">
        <is>
          <t>原表第 124 行</t>
        </is>
      </c>
      <c r="AC119" s="24">
        <f>IF($G119="","",IF($H119="※编码不在物料档案里","※物料编码不在档案里",IF(N($K119)&lt;=0,"※入库数量要大于 0",IF(AND($C119&lt;&gt;"",$C119&lt;=结账锁),"※日期早于已结账截止日，不能再录",IF(AND($L119=0,$X119="正常"),"※没填单价，价格状态请选「待补价」",IF(AND($S119&gt;0,$R119&gt;0),"△本批有 "&amp;$S119&amp;" 行没单价，整批运费先挂账没摊",IF(AND($B119&lt;&gt;"",COUNTIF($B$4:$B$2503,$B119)&gt;1),"※入库单号重复","")))))))</f>
        <v/>
      </c>
    </row>
    <row r="120">
      <c r="A120" s="24">
        <f>IF($G120="","",COUNTA($G$4:$G120))</f>
        <v/>
      </c>
      <c r="B120" s="17" t="n"/>
      <c r="C120" s="30" t="n">
        <v>46048</v>
      </c>
      <c r="D120" s="17" t="inlineStr">
        <is>
          <t>A国内</t>
        </is>
      </c>
      <c r="E120" s="17" t="inlineStr">
        <is>
          <t>MEDU7050813-202601</t>
        </is>
      </c>
      <c r="F120" s="17" t="inlineStr">
        <is>
          <t>五金工具</t>
        </is>
      </c>
      <c r="G120" s="17" t="inlineStr">
        <is>
          <t>JH0113</t>
        </is>
      </c>
      <c r="H120" s="24">
        <f>IF($G120="","",IFERROR(VLOOKUP($G120,物料档案!$A$4:$P$1203,3,0),"※编码不在物料档案里"))</f>
        <v/>
      </c>
      <c r="I120" s="24">
        <f>IF($G120="","",IFERROR(VLOOKUP($G120,物料档案!$A$4:$P$1203,4,0),"※编码不在物料档案里"))</f>
        <v/>
      </c>
      <c r="J120" s="24">
        <f>IF($G120="","",IFERROR(VLOOKUP($G120,物料档案!$A$4:$P$1203,5,0),"※编码不在物料档案里"))</f>
        <v/>
      </c>
      <c r="K120" s="23" t="n">
        <v>30</v>
      </c>
      <c r="L120" s="31" t="n">
        <v>6</v>
      </c>
      <c r="M120" s="24">
        <f>IF($G120="","",IF($D120="A国内","CNY","TZS"))</f>
        <v/>
      </c>
      <c r="N120" s="28">
        <f>IF($G120="","",IF($D120="A国内",汇率,1))</f>
        <v/>
      </c>
      <c r="O120" s="25">
        <f>IF($G120="","",ROUND(N($K120)*N($L120),2))</f>
        <v/>
      </c>
      <c r="P120" s="26">
        <f>IF($G120="","",ROUND($O120*$N120,0))</f>
        <v/>
      </c>
      <c r="Q120" s="26">
        <f>IF($G120="","",SUMIFS($P$4:$P$2503,$E$4:$E$2503,$E120,$Z$4:$Z$2503,"正常"))</f>
        <v/>
      </c>
      <c r="R120" s="26">
        <f>IF($G120="","",SUMIFS(费用台账!$I$4:$I$503,费用台账!$C$4:$C$503,$E120,费用台账!$J$4:$J$503,"是",费用台账!$K$4:$K$503,"正常"))</f>
        <v/>
      </c>
      <c r="S120" s="28">
        <f>IF($G120="","",COUNTIFS($E$4:$E$2503,$E120,$Z$4:$Z$2503,"正常",$Y$4:$Y$2503,"待补价"))</f>
        <v/>
      </c>
      <c r="T120" s="26">
        <f>IF($G120="","",SUMIFS($P$4:$P$2503,$E$4:$E$2503,$E120,$Z$4:$Z$2503,"正常",$A$4:$A$2503,"&lt;="&amp;$A120))</f>
        <v/>
      </c>
      <c r="U120" s="26">
        <f>IF($G120="","",IF(OR($S120&gt;0,$Q120=0,$R120=0,$Z120&lt;&gt;"正常"),0,ROUND($T120/$Q120*$R120,0)-ROUND(($T120-$P120)/$Q120*$R120,0)))</f>
        <v/>
      </c>
      <c r="V120" s="26">
        <f>IF($G120="","",ROUND($P120+$U120,0))</f>
        <v/>
      </c>
      <c r="W120" s="26">
        <f>IF($G120="","",IF(N($K120)=0,0,ROUND($V120/$K120,2)))</f>
        <v/>
      </c>
      <c r="X120" s="17" t="inlineStr">
        <is>
          <t>采购入库</t>
        </is>
      </c>
      <c r="Y120" s="17" t="inlineStr">
        <is>
          <t>正常</t>
        </is>
      </c>
      <c r="Z120" s="17" t="inlineStr">
        <is>
          <t>正常</t>
        </is>
      </c>
      <c r="AA120" s="17" t="n"/>
      <c r="AB120" s="17" t="inlineStr">
        <is>
          <t>原表第 125 行</t>
        </is>
      </c>
      <c r="AC120" s="24">
        <f>IF($G120="","",IF($H120="※编码不在物料档案里","※物料编码不在档案里",IF(N($K120)&lt;=0,"※入库数量要大于 0",IF(AND($C120&lt;&gt;"",$C120&lt;=结账锁),"※日期早于已结账截止日，不能再录",IF(AND($L120=0,$X120="正常"),"※没填单价，价格状态请选「待补价」",IF(AND($S120&gt;0,$R120&gt;0),"△本批有 "&amp;$S120&amp;" 行没单价，整批运费先挂账没摊",IF(AND($B120&lt;&gt;"",COUNTIF($B$4:$B$2503,$B120)&gt;1),"※入库单号重复","")))))))</f>
        <v/>
      </c>
    </row>
    <row r="121">
      <c r="A121" s="24">
        <f>IF($G121="","",COUNTA($G$4:$G121))</f>
        <v/>
      </c>
      <c r="B121" s="17" t="n"/>
      <c r="C121" s="30" t="n">
        <v>46048</v>
      </c>
      <c r="D121" s="17" t="inlineStr">
        <is>
          <t>A国内</t>
        </is>
      </c>
      <c r="E121" s="17" t="inlineStr">
        <is>
          <t>MEDU7050813-202601</t>
        </is>
      </c>
      <c r="F121" s="17" t="inlineStr">
        <is>
          <t>五金工具</t>
        </is>
      </c>
      <c r="G121" s="17" t="inlineStr">
        <is>
          <t>JH0114</t>
        </is>
      </c>
      <c r="H121" s="24">
        <f>IF($G121="","",IFERROR(VLOOKUP($G121,物料档案!$A$4:$P$1203,3,0),"※编码不在物料档案里"))</f>
        <v/>
      </c>
      <c r="I121" s="24">
        <f>IF($G121="","",IFERROR(VLOOKUP($G121,物料档案!$A$4:$P$1203,4,0),"※编码不在物料档案里"))</f>
        <v/>
      </c>
      <c r="J121" s="24">
        <f>IF($G121="","",IFERROR(VLOOKUP($G121,物料档案!$A$4:$P$1203,5,0),"※编码不在物料档案里"))</f>
        <v/>
      </c>
      <c r="K121" s="23" t="n">
        <v>6</v>
      </c>
      <c r="L121" s="31" t="n">
        <v>94</v>
      </c>
      <c r="M121" s="24">
        <f>IF($G121="","",IF($D121="A国内","CNY","TZS"))</f>
        <v/>
      </c>
      <c r="N121" s="28">
        <f>IF($G121="","",IF($D121="A国内",汇率,1))</f>
        <v/>
      </c>
      <c r="O121" s="25">
        <f>IF($G121="","",ROUND(N($K121)*N($L121),2))</f>
        <v/>
      </c>
      <c r="P121" s="26">
        <f>IF($G121="","",ROUND($O121*$N121,0))</f>
        <v/>
      </c>
      <c r="Q121" s="26">
        <f>IF($G121="","",SUMIFS($P$4:$P$2503,$E$4:$E$2503,$E121,$Z$4:$Z$2503,"正常"))</f>
        <v/>
      </c>
      <c r="R121" s="26">
        <f>IF($G121="","",SUMIFS(费用台账!$I$4:$I$503,费用台账!$C$4:$C$503,$E121,费用台账!$J$4:$J$503,"是",费用台账!$K$4:$K$503,"正常"))</f>
        <v/>
      </c>
      <c r="S121" s="28">
        <f>IF($G121="","",COUNTIFS($E$4:$E$2503,$E121,$Z$4:$Z$2503,"正常",$Y$4:$Y$2503,"待补价"))</f>
        <v/>
      </c>
      <c r="T121" s="26">
        <f>IF($G121="","",SUMIFS($P$4:$P$2503,$E$4:$E$2503,$E121,$Z$4:$Z$2503,"正常",$A$4:$A$2503,"&lt;="&amp;$A121))</f>
        <v/>
      </c>
      <c r="U121" s="26">
        <f>IF($G121="","",IF(OR($S121&gt;0,$Q121=0,$R121=0,$Z121&lt;&gt;"正常"),0,ROUND($T121/$Q121*$R121,0)-ROUND(($T121-$P121)/$Q121*$R121,0)))</f>
        <v/>
      </c>
      <c r="V121" s="26">
        <f>IF($G121="","",ROUND($P121+$U121,0))</f>
        <v/>
      </c>
      <c r="W121" s="26">
        <f>IF($G121="","",IF(N($K121)=0,0,ROUND($V121/$K121,2)))</f>
        <v/>
      </c>
      <c r="X121" s="17" t="inlineStr">
        <is>
          <t>采购入库</t>
        </is>
      </c>
      <c r="Y121" s="17" t="inlineStr">
        <is>
          <t>正常</t>
        </is>
      </c>
      <c r="Z121" s="17" t="inlineStr">
        <is>
          <t>正常</t>
        </is>
      </c>
      <c r="AA121" s="17" t="n"/>
      <c r="AB121" s="17" t="inlineStr">
        <is>
          <t>原表第 126 行</t>
        </is>
      </c>
      <c r="AC121" s="24">
        <f>IF($G121="","",IF($H121="※编码不在物料档案里","※物料编码不在档案里",IF(N($K121)&lt;=0,"※入库数量要大于 0",IF(AND($C121&lt;&gt;"",$C121&lt;=结账锁),"※日期早于已结账截止日，不能再录",IF(AND($L121=0,$X121="正常"),"※没填单价，价格状态请选「待补价」",IF(AND($S121&gt;0,$R121&gt;0),"△本批有 "&amp;$S121&amp;" 行没单价，整批运费先挂账没摊",IF(AND($B121&lt;&gt;"",COUNTIF($B$4:$B$2503,$B121)&gt;1),"※入库单号重复","")))))))</f>
        <v/>
      </c>
    </row>
    <row r="122">
      <c r="A122" s="24">
        <f>IF($G122="","",COUNTA($G$4:$G122))</f>
        <v/>
      </c>
      <c r="B122" s="17" t="n"/>
      <c r="C122" s="30" t="n">
        <v>46048</v>
      </c>
      <c r="D122" s="17" t="inlineStr">
        <is>
          <t>A国内</t>
        </is>
      </c>
      <c r="E122" s="17" t="inlineStr">
        <is>
          <t>MEDU7050813-202601</t>
        </is>
      </c>
      <c r="F122" s="17" t="inlineStr">
        <is>
          <t>五金工具</t>
        </is>
      </c>
      <c r="G122" s="17" t="inlineStr">
        <is>
          <t>JH0115</t>
        </is>
      </c>
      <c r="H122" s="24">
        <f>IF($G122="","",IFERROR(VLOOKUP($G122,物料档案!$A$4:$P$1203,3,0),"※编码不在物料档案里"))</f>
        <v/>
      </c>
      <c r="I122" s="24">
        <f>IF($G122="","",IFERROR(VLOOKUP($G122,物料档案!$A$4:$P$1203,4,0),"※编码不在物料档案里"))</f>
        <v/>
      </c>
      <c r="J122" s="24">
        <f>IF($G122="","",IFERROR(VLOOKUP($G122,物料档案!$A$4:$P$1203,5,0),"※编码不在物料档案里"))</f>
        <v/>
      </c>
      <c r="K122" s="23" t="n">
        <v>300</v>
      </c>
      <c r="L122" s="31" t="n">
        <v>9.5</v>
      </c>
      <c r="M122" s="24">
        <f>IF($G122="","",IF($D122="A国内","CNY","TZS"))</f>
        <v/>
      </c>
      <c r="N122" s="28">
        <f>IF($G122="","",IF($D122="A国内",汇率,1))</f>
        <v/>
      </c>
      <c r="O122" s="25">
        <f>IF($G122="","",ROUND(N($K122)*N($L122),2))</f>
        <v/>
      </c>
      <c r="P122" s="26">
        <f>IF($G122="","",ROUND($O122*$N122,0))</f>
        <v/>
      </c>
      <c r="Q122" s="26">
        <f>IF($G122="","",SUMIFS($P$4:$P$2503,$E$4:$E$2503,$E122,$Z$4:$Z$2503,"正常"))</f>
        <v/>
      </c>
      <c r="R122" s="26">
        <f>IF($G122="","",SUMIFS(费用台账!$I$4:$I$503,费用台账!$C$4:$C$503,$E122,费用台账!$J$4:$J$503,"是",费用台账!$K$4:$K$503,"正常"))</f>
        <v/>
      </c>
      <c r="S122" s="28">
        <f>IF($G122="","",COUNTIFS($E$4:$E$2503,$E122,$Z$4:$Z$2503,"正常",$Y$4:$Y$2503,"待补价"))</f>
        <v/>
      </c>
      <c r="T122" s="26">
        <f>IF($G122="","",SUMIFS($P$4:$P$2503,$E$4:$E$2503,$E122,$Z$4:$Z$2503,"正常",$A$4:$A$2503,"&lt;="&amp;$A122))</f>
        <v/>
      </c>
      <c r="U122" s="26">
        <f>IF($G122="","",IF(OR($S122&gt;0,$Q122=0,$R122=0,$Z122&lt;&gt;"正常"),0,ROUND($T122/$Q122*$R122,0)-ROUND(($T122-$P122)/$Q122*$R122,0)))</f>
        <v/>
      </c>
      <c r="V122" s="26">
        <f>IF($G122="","",ROUND($P122+$U122,0))</f>
        <v/>
      </c>
      <c r="W122" s="26">
        <f>IF($G122="","",IF(N($K122)=0,0,ROUND($V122/$K122,2)))</f>
        <v/>
      </c>
      <c r="X122" s="17" t="inlineStr">
        <is>
          <t>采购入库</t>
        </is>
      </c>
      <c r="Y122" s="17" t="inlineStr">
        <is>
          <t>正常</t>
        </is>
      </c>
      <c r="Z122" s="17" t="inlineStr">
        <is>
          <t>正常</t>
        </is>
      </c>
      <c r="AA122" s="17" t="n"/>
      <c r="AB122" s="17" t="inlineStr">
        <is>
          <t>原表第 127 行</t>
        </is>
      </c>
      <c r="AC122" s="24">
        <f>IF($G122="","",IF($H122="※编码不在物料档案里","※物料编码不在档案里",IF(N($K122)&lt;=0,"※入库数量要大于 0",IF(AND($C122&lt;&gt;"",$C122&lt;=结账锁),"※日期早于已结账截止日，不能再录",IF(AND($L122=0,$X122="正常"),"※没填单价，价格状态请选「待补价」",IF(AND($S122&gt;0,$R122&gt;0),"△本批有 "&amp;$S122&amp;" 行没单价，整批运费先挂账没摊",IF(AND($B122&lt;&gt;"",COUNTIF($B$4:$B$2503,$B122)&gt;1),"※入库单号重复","")))))))</f>
        <v/>
      </c>
    </row>
    <row r="123">
      <c r="A123" s="24">
        <f>IF($G123="","",COUNTA($G$4:$G123))</f>
        <v/>
      </c>
      <c r="B123" s="17" t="n"/>
      <c r="C123" s="30" t="n">
        <v>46048</v>
      </c>
      <c r="D123" s="17" t="inlineStr">
        <is>
          <t>A国内</t>
        </is>
      </c>
      <c r="E123" s="17" t="inlineStr">
        <is>
          <t>MEDU7050813-202601</t>
        </is>
      </c>
      <c r="F123" s="17" t="inlineStr">
        <is>
          <t>五金工具</t>
        </is>
      </c>
      <c r="G123" s="17" t="inlineStr">
        <is>
          <t>JH0116</t>
        </is>
      </c>
      <c r="H123" s="24">
        <f>IF($G123="","",IFERROR(VLOOKUP($G123,物料档案!$A$4:$P$1203,3,0),"※编码不在物料档案里"))</f>
        <v/>
      </c>
      <c r="I123" s="24">
        <f>IF($G123="","",IFERROR(VLOOKUP($G123,物料档案!$A$4:$P$1203,4,0),"※编码不在物料档案里"))</f>
        <v/>
      </c>
      <c r="J123" s="24">
        <f>IF($G123="","",IFERROR(VLOOKUP($G123,物料档案!$A$4:$P$1203,5,0),"※编码不在物料档案里"))</f>
        <v/>
      </c>
      <c r="K123" s="23" t="n">
        <v>300</v>
      </c>
      <c r="L123" s="31" t="n">
        <v>7</v>
      </c>
      <c r="M123" s="24">
        <f>IF($G123="","",IF($D123="A国内","CNY","TZS"))</f>
        <v/>
      </c>
      <c r="N123" s="28">
        <f>IF($G123="","",IF($D123="A国内",汇率,1))</f>
        <v/>
      </c>
      <c r="O123" s="25">
        <f>IF($G123="","",ROUND(N($K123)*N($L123),2))</f>
        <v/>
      </c>
      <c r="P123" s="26">
        <f>IF($G123="","",ROUND($O123*$N123,0))</f>
        <v/>
      </c>
      <c r="Q123" s="26">
        <f>IF($G123="","",SUMIFS($P$4:$P$2503,$E$4:$E$2503,$E123,$Z$4:$Z$2503,"正常"))</f>
        <v/>
      </c>
      <c r="R123" s="26">
        <f>IF($G123="","",SUMIFS(费用台账!$I$4:$I$503,费用台账!$C$4:$C$503,$E123,费用台账!$J$4:$J$503,"是",费用台账!$K$4:$K$503,"正常"))</f>
        <v/>
      </c>
      <c r="S123" s="28">
        <f>IF($G123="","",COUNTIFS($E$4:$E$2503,$E123,$Z$4:$Z$2503,"正常",$Y$4:$Y$2503,"待补价"))</f>
        <v/>
      </c>
      <c r="T123" s="26">
        <f>IF($G123="","",SUMIFS($P$4:$P$2503,$E$4:$E$2503,$E123,$Z$4:$Z$2503,"正常",$A$4:$A$2503,"&lt;="&amp;$A123))</f>
        <v/>
      </c>
      <c r="U123" s="26">
        <f>IF($G123="","",IF(OR($S123&gt;0,$Q123=0,$R123=0,$Z123&lt;&gt;"正常"),0,ROUND($T123/$Q123*$R123,0)-ROUND(($T123-$P123)/$Q123*$R123,0)))</f>
        <v/>
      </c>
      <c r="V123" s="26">
        <f>IF($G123="","",ROUND($P123+$U123,0))</f>
        <v/>
      </c>
      <c r="W123" s="26">
        <f>IF($G123="","",IF(N($K123)=0,0,ROUND($V123/$K123,2)))</f>
        <v/>
      </c>
      <c r="X123" s="17" t="inlineStr">
        <is>
          <t>采购入库</t>
        </is>
      </c>
      <c r="Y123" s="17" t="inlineStr">
        <is>
          <t>正常</t>
        </is>
      </c>
      <c r="Z123" s="17" t="inlineStr">
        <is>
          <t>正常</t>
        </is>
      </c>
      <c r="AA123" s="17" t="n"/>
      <c r="AB123" s="17" t="inlineStr">
        <is>
          <t>原表第 128 行</t>
        </is>
      </c>
      <c r="AC123" s="24">
        <f>IF($G123="","",IF($H123="※编码不在物料档案里","※物料编码不在档案里",IF(N($K123)&lt;=0,"※入库数量要大于 0",IF(AND($C123&lt;&gt;"",$C123&lt;=结账锁),"※日期早于已结账截止日，不能再录",IF(AND($L123=0,$X123="正常"),"※没填单价，价格状态请选「待补价」",IF(AND($S123&gt;0,$R123&gt;0),"△本批有 "&amp;$S123&amp;" 行没单价，整批运费先挂账没摊",IF(AND($B123&lt;&gt;"",COUNTIF($B$4:$B$2503,$B123)&gt;1),"※入库单号重复","")))))))</f>
        <v/>
      </c>
    </row>
    <row r="124">
      <c r="A124" s="24">
        <f>IF($G124="","",COUNTA($G$4:$G124))</f>
        <v/>
      </c>
      <c r="B124" s="17" t="n"/>
      <c r="C124" s="30" t="n">
        <v>46048</v>
      </c>
      <c r="D124" s="17" t="inlineStr">
        <is>
          <t>A国内</t>
        </is>
      </c>
      <c r="E124" s="17" t="inlineStr">
        <is>
          <t>MEDU7050813-202601</t>
        </is>
      </c>
      <c r="F124" s="17" t="inlineStr">
        <is>
          <t>五金工具</t>
        </is>
      </c>
      <c r="G124" s="17" t="inlineStr">
        <is>
          <t>JH0117</t>
        </is>
      </c>
      <c r="H124" s="24">
        <f>IF($G124="","",IFERROR(VLOOKUP($G124,物料档案!$A$4:$P$1203,3,0),"※编码不在物料档案里"))</f>
        <v/>
      </c>
      <c r="I124" s="24">
        <f>IF($G124="","",IFERROR(VLOOKUP($G124,物料档案!$A$4:$P$1203,4,0),"※编码不在物料档案里"))</f>
        <v/>
      </c>
      <c r="J124" s="24">
        <f>IF($G124="","",IFERROR(VLOOKUP($G124,物料档案!$A$4:$P$1203,5,0),"※编码不在物料档案里"))</f>
        <v/>
      </c>
      <c r="K124" s="23" t="n">
        <v>10</v>
      </c>
      <c r="L124" s="31" t="n">
        <v>61</v>
      </c>
      <c r="M124" s="24">
        <f>IF($G124="","",IF($D124="A国内","CNY","TZS"))</f>
        <v/>
      </c>
      <c r="N124" s="28">
        <f>IF($G124="","",IF($D124="A国内",汇率,1))</f>
        <v/>
      </c>
      <c r="O124" s="25">
        <f>IF($G124="","",ROUND(N($K124)*N($L124),2))</f>
        <v/>
      </c>
      <c r="P124" s="26">
        <f>IF($G124="","",ROUND($O124*$N124,0))</f>
        <v/>
      </c>
      <c r="Q124" s="26">
        <f>IF($G124="","",SUMIFS($P$4:$P$2503,$E$4:$E$2503,$E124,$Z$4:$Z$2503,"正常"))</f>
        <v/>
      </c>
      <c r="R124" s="26">
        <f>IF($G124="","",SUMIFS(费用台账!$I$4:$I$503,费用台账!$C$4:$C$503,$E124,费用台账!$J$4:$J$503,"是",费用台账!$K$4:$K$503,"正常"))</f>
        <v/>
      </c>
      <c r="S124" s="28">
        <f>IF($G124="","",COUNTIFS($E$4:$E$2503,$E124,$Z$4:$Z$2503,"正常",$Y$4:$Y$2503,"待补价"))</f>
        <v/>
      </c>
      <c r="T124" s="26">
        <f>IF($G124="","",SUMIFS($P$4:$P$2503,$E$4:$E$2503,$E124,$Z$4:$Z$2503,"正常",$A$4:$A$2503,"&lt;="&amp;$A124))</f>
        <v/>
      </c>
      <c r="U124" s="26">
        <f>IF($G124="","",IF(OR($S124&gt;0,$Q124=0,$R124=0,$Z124&lt;&gt;"正常"),0,ROUND($T124/$Q124*$R124,0)-ROUND(($T124-$P124)/$Q124*$R124,0)))</f>
        <v/>
      </c>
      <c r="V124" s="26">
        <f>IF($G124="","",ROUND($P124+$U124,0))</f>
        <v/>
      </c>
      <c r="W124" s="26">
        <f>IF($G124="","",IF(N($K124)=0,0,ROUND($V124/$K124,2)))</f>
        <v/>
      </c>
      <c r="X124" s="17" t="inlineStr">
        <is>
          <t>采购入库</t>
        </is>
      </c>
      <c r="Y124" s="17" t="inlineStr">
        <is>
          <t>正常</t>
        </is>
      </c>
      <c r="Z124" s="17" t="inlineStr">
        <is>
          <t>正常</t>
        </is>
      </c>
      <c r="AA124" s="17" t="n"/>
      <c r="AB124" s="17" t="inlineStr">
        <is>
          <t>原表第 129 行</t>
        </is>
      </c>
      <c r="AC124" s="24">
        <f>IF($G124="","",IF($H124="※编码不在物料档案里","※物料编码不在档案里",IF(N($K124)&lt;=0,"※入库数量要大于 0",IF(AND($C124&lt;&gt;"",$C124&lt;=结账锁),"※日期早于已结账截止日，不能再录",IF(AND($L124=0,$X124="正常"),"※没填单价，价格状态请选「待补价」",IF(AND($S124&gt;0,$R124&gt;0),"△本批有 "&amp;$S124&amp;" 行没单价，整批运费先挂账没摊",IF(AND($B124&lt;&gt;"",COUNTIF($B$4:$B$2503,$B124)&gt;1),"※入库单号重复","")))))))</f>
        <v/>
      </c>
    </row>
    <row r="125">
      <c r="A125" s="24">
        <f>IF($G125="","",COUNTA($G$4:$G125))</f>
        <v/>
      </c>
      <c r="B125" s="17" t="n"/>
      <c r="C125" s="30" t="n">
        <v>46048</v>
      </c>
      <c r="D125" s="17" t="inlineStr">
        <is>
          <t>A国内</t>
        </is>
      </c>
      <c r="E125" s="17" t="inlineStr">
        <is>
          <t>MEDU7050813-202601</t>
        </is>
      </c>
      <c r="F125" s="17" t="inlineStr">
        <is>
          <t>五金工具</t>
        </is>
      </c>
      <c r="G125" s="17" t="inlineStr">
        <is>
          <t>JH0118</t>
        </is>
      </c>
      <c r="H125" s="24">
        <f>IF($G125="","",IFERROR(VLOOKUP($G125,物料档案!$A$4:$P$1203,3,0),"※编码不在物料档案里"))</f>
        <v/>
      </c>
      <c r="I125" s="24">
        <f>IF($G125="","",IFERROR(VLOOKUP($G125,物料档案!$A$4:$P$1203,4,0),"※编码不在物料档案里"))</f>
        <v/>
      </c>
      <c r="J125" s="24">
        <f>IF($G125="","",IFERROR(VLOOKUP($G125,物料档案!$A$4:$P$1203,5,0),"※编码不在物料档案里"))</f>
        <v/>
      </c>
      <c r="K125" s="23" t="n">
        <v>70</v>
      </c>
      <c r="L125" s="31" t="n">
        <v>8</v>
      </c>
      <c r="M125" s="24">
        <f>IF($G125="","",IF($D125="A国内","CNY","TZS"))</f>
        <v/>
      </c>
      <c r="N125" s="28">
        <f>IF($G125="","",IF($D125="A国内",汇率,1))</f>
        <v/>
      </c>
      <c r="O125" s="25">
        <f>IF($G125="","",ROUND(N($K125)*N($L125),2))</f>
        <v/>
      </c>
      <c r="P125" s="26">
        <f>IF($G125="","",ROUND($O125*$N125,0))</f>
        <v/>
      </c>
      <c r="Q125" s="26">
        <f>IF($G125="","",SUMIFS($P$4:$P$2503,$E$4:$E$2503,$E125,$Z$4:$Z$2503,"正常"))</f>
        <v/>
      </c>
      <c r="R125" s="26">
        <f>IF($G125="","",SUMIFS(费用台账!$I$4:$I$503,费用台账!$C$4:$C$503,$E125,费用台账!$J$4:$J$503,"是",费用台账!$K$4:$K$503,"正常"))</f>
        <v/>
      </c>
      <c r="S125" s="28">
        <f>IF($G125="","",COUNTIFS($E$4:$E$2503,$E125,$Z$4:$Z$2503,"正常",$Y$4:$Y$2503,"待补价"))</f>
        <v/>
      </c>
      <c r="T125" s="26">
        <f>IF($G125="","",SUMIFS($P$4:$P$2503,$E$4:$E$2503,$E125,$Z$4:$Z$2503,"正常",$A$4:$A$2503,"&lt;="&amp;$A125))</f>
        <v/>
      </c>
      <c r="U125" s="26">
        <f>IF($G125="","",IF(OR($S125&gt;0,$Q125=0,$R125=0,$Z125&lt;&gt;"正常"),0,ROUND($T125/$Q125*$R125,0)-ROUND(($T125-$P125)/$Q125*$R125,0)))</f>
        <v/>
      </c>
      <c r="V125" s="26">
        <f>IF($G125="","",ROUND($P125+$U125,0))</f>
        <v/>
      </c>
      <c r="W125" s="26">
        <f>IF($G125="","",IF(N($K125)=0,0,ROUND($V125/$K125,2)))</f>
        <v/>
      </c>
      <c r="X125" s="17" t="inlineStr">
        <is>
          <t>采购入库</t>
        </is>
      </c>
      <c r="Y125" s="17" t="inlineStr">
        <is>
          <t>正常</t>
        </is>
      </c>
      <c r="Z125" s="17" t="inlineStr">
        <is>
          <t>正常</t>
        </is>
      </c>
      <c r="AA125" s="17" t="n"/>
      <c r="AB125" s="17" t="inlineStr">
        <is>
          <t>原表第 130 行</t>
        </is>
      </c>
      <c r="AC125" s="24">
        <f>IF($G125="","",IF($H125="※编码不在物料档案里","※物料编码不在档案里",IF(N($K125)&lt;=0,"※入库数量要大于 0",IF(AND($C125&lt;&gt;"",$C125&lt;=结账锁),"※日期早于已结账截止日，不能再录",IF(AND($L125=0,$X125="正常"),"※没填单价，价格状态请选「待补价」",IF(AND($S125&gt;0,$R125&gt;0),"△本批有 "&amp;$S125&amp;" 行没单价，整批运费先挂账没摊",IF(AND($B125&lt;&gt;"",COUNTIF($B$4:$B$2503,$B125)&gt;1),"※入库单号重复","")))))))</f>
        <v/>
      </c>
    </row>
    <row r="126">
      <c r="A126" s="24">
        <f>IF($G126="","",COUNTA($G$4:$G126))</f>
        <v/>
      </c>
      <c r="B126" s="17" t="n"/>
      <c r="C126" s="30" t="n">
        <v>46048</v>
      </c>
      <c r="D126" s="17" t="inlineStr">
        <is>
          <t>A国内</t>
        </is>
      </c>
      <c r="E126" s="17" t="inlineStr">
        <is>
          <t>MEDU7050813-202601</t>
        </is>
      </c>
      <c r="F126" s="17" t="inlineStr">
        <is>
          <t>五金工具</t>
        </is>
      </c>
      <c r="G126" s="17" t="inlineStr">
        <is>
          <t>JH0119</t>
        </is>
      </c>
      <c r="H126" s="24">
        <f>IF($G126="","",IFERROR(VLOOKUP($G126,物料档案!$A$4:$P$1203,3,0),"※编码不在物料档案里"))</f>
        <v/>
      </c>
      <c r="I126" s="24">
        <f>IF($G126="","",IFERROR(VLOOKUP($G126,物料档案!$A$4:$P$1203,4,0),"※编码不在物料档案里"))</f>
        <v/>
      </c>
      <c r="J126" s="24">
        <f>IF($G126="","",IFERROR(VLOOKUP($G126,物料档案!$A$4:$P$1203,5,0),"※编码不在物料档案里"))</f>
        <v/>
      </c>
      <c r="K126" s="23" t="n">
        <v>1</v>
      </c>
      <c r="L126" s="31" t="n">
        <v>4100</v>
      </c>
      <c r="M126" s="24">
        <f>IF($G126="","",IF($D126="A国内","CNY","TZS"))</f>
        <v/>
      </c>
      <c r="N126" s="28">
        <f>IF($G126="","",IF($D126="A国内",汇率,1))</f>
        <v/>
      </c>
      <c r="O126" s="25">
        <f>IF($G126="","",ROUND(N($K126)*N($L126),2))</f>
        <v/>
      </c>
      <c r="P126" s="26">
        <f>IF($G126="","",ROUND($O126*$N126,0))</f>
        <v/>
      </c>
      <c r="Q126" s="26">
        <f>IF($G126="","",SUMIFS($P$4:$P$2503,$E$4:$E$2503,$E126,$Z$4:$Z$2503,"正常"))</f>
        <v/>
      </c>
      <c r="R126" s="26">
        <f>IF($G126="","",SUMIFS(费用台账!$I$4:$I$503,费用台账!$C$4:$C$503,$E126,费用台账!$J$4:$J$503,"是",费用台账!$K$4:$K$503,"正常"))</f>
        <v/>
      </c>
      <c r="S126" s="28">
        <f>IF($G126="","",COUNTIFS($E$4:$E$2503,$E126,$Z$4:$Z$2503,"正常",$Y$4:$Y$2503,"待补价"))</f>
        <v/>
      </c>
      <c r="T126" s="26">
        <f>IF($G126="","",SUMIFS($P$4:$P$2503,$E$4:$E$2503,$E126,$Z$4:$Z$2503,"正常",$A$4:$A$2503,"&lt;="&amp;$A126))</f>
        <v/>
      </c>
      <c r="U126" s="26">
        <f>IF($G126="","",IF(OR($S126&gt;0,$Q126=0,$R126=0,$Z126&lt;&gt;"正常"),0,ROUND($T126/$Q126*$R126,0)-ROUND(($T126-$P126)/$Q126*$R126,0)))</f>
        <v/>
      </c>
      <c r="V126" s="26">
        <f>IF($G126="","",ROUND($P126+$U126,0))</f>
        <v/>
      </c>
      <c r="W126" s="26">
        <f>IF($G126="","",IF(N($K126)=0,0,ROUND($V126/$K126,2)))</f>
        <v/>
      </c>
      <c r="X126" s="17" t="inlineStr">
        <is>
          <t>采购入库</t>
        </is>
      </c>
      <c r="Y126" s="17" t="inlineStr">
        <is>
          <t>正常</t>
        </is>
      </c>
      <c r="Z126" s="17" t="inlineStr">
        <is>
          <t>正常</t>
        </is>
      </c>
      <c r="AA126" s="17" t="n"/>
      <c r="AB126" s="17" t="inlineStr">
        <is>
          <t>原表第 131 行</t>
        </is>
      </c>
      <c r="AC126" s="24">
        <f>IF($G126="","",IF($H126="※编码不在物料档案里","※物料编码不在档案里",IF(N($K126)&lt;=0,"※入库数量要大于 0",IF(AND($C126&lt;&gt;"",$C126&lt;=结账锁),"※日期早于已结账截止日，不能再录",IF(AND($L126=0,$X126="正常"),"※没填单价，价格状态请选「待补价」",IF(AND($S126&gt;0,$R126&gt;0),"△本批有 "&amp;$S126&amp;" 行没单价，整批运费先挂账没摊",IF(AND($B126&lt;&gt;"",COUNTIF($B$4:$B$2503,$B126)&gt;1),"※入库单号重复","")))))))</f>
        <v/>
      </c>
    </row>
    <row r="127">
      <c r="A127" s="24">
        <f>IF($G127="","",COUNTA($G$4:$G127))</f>
        <v/>
      </c>
      <c r="B127" s="17" t="n"/>
      <c r="C127" s="30" t="n">
        <v>46048</v>
      </c>
      <c r="D127" s="17" t="inlineStr">
        <is>
          <t>A国内</t>
        </is>
      </c>
      <c r="E127" s="17" t="inlineStr">
        <is>
          <t>MEDU7050813-202601</t>
        </is>
      </c>
      <c r="F127" s="17" t="inlineStr">
        <is>
          <t>五金工具</t>
        </is>
      </c>
      <c r="G127" s="17" t="inlineStr">
        <is>
          <t>JH0120</t>
        </is>
      </c>
      <c r="H127" s="24">
        <f>IF($G127="","",IFERROR(VLOOKUP($G127,物料档案!$A$4:$P$1203,3,0),"※编码不在物料档案里"))</f>
        <v/>
      </c>
      <c r="I127" s="24">
        <f>IF($G127="","",IFERROR(VLOOKUP($G127,物料档案!$A$4:$P$1203,4,0),"※编码不在物料档案里"))</f>
        <v/>
      </c>
      <c r="J127" s="24">
        <f>IF($G127="","",IFERROR(VLOOKUP($G127,物料档案!$A$4:$P$1203,5,0),"※编码不在物料档案里"))</f>
        <v/>
      </c>
      <c r="K127" s="23" t="n">
        <v>300</v>
      </c>
      <c r="L127" s="31" t="n">
        <v>6</v>
      </c>
      <c r="M127" s="24">
        <f>IF($G127="","",IF($D127="A国内","CNY","TZS"))</f>
        <v/>
      </c>
      <c r="N127" s="28">
        <f>IF($G127="","",IF($D127="A国内",汇率,1))</f>
        <v/>
      </c>
      <c r="O127" s="25">
        <f>IF($G127="","",ROUND(N($K127)*N($L127),2))</f>
        <v/>
      </c>
      <c r="P127" s="26">
        <f>IF($G127="","",ROUND($O127*$N127,0))</f>
        <v/>
      </c>
      <c r="Q127" s="26">
        <f>IF($G127="","",SUMIFS($P$4:$P$2503,$E$4:$E$2503,$E127,$Z$4:$Z$2503,"正常"))</f>
        <v/>
      </c>
      <c r="R127" s="26">
        <f>IF($G127="","",SUMIFS(费用台账!$I$4:$I$503,费用台账!$C$4:$C$503,$E127,费用台账!$J$4:$J$503,"是",费用台账!$K$4:$K$503,"正常"))</f>
        <v/>
      </c>
      <c r="S127" s="28">
        <f>IF($G127="","",COUNTIFS($E$4:$E$2503,$E127,$Z$4:$Z$2503,"正常",$Y$4:$Y$2503,"待补价"))</f>
        <v/>
      </c>
      <c r="T127" s="26">
        <f>IF($G127="","",SUMIFS($P$4:$P$2503,$E$4:$E$2503,$E127,$Z$4:$Z$2503,"正常",$A$4:$A$2503,"&lt;="&amp;$A127))</f>
        <v/>
      </c>
      <c r="U127" s="26">
        <f>IF($G127="","",IF(OR($S127&gt;0,$Q127=0,$R127=0,$Z127&lt;&gt;"正常"),0,ROUND($T127/$Q127*$R127,0)-ROUND(($T127-$P127)/$Q127*$R127,0)))</f>
        <v/>
      </c>
      <c r="V127" s="26">
        <f>IF($G127="","",ROUND($P127+$U127,0))</f>
        <v/>
      </c>
      <c r="W127" s="26">
        <f>IF($G127="","",IF(N($K127)=0,0,ROUND($V127/$K127,2)))</f>
        <v/>
      </c>
      <c r="X127" s="17" t="inlineStr">
        <is>
          <t>采购入库</t>
        </is>
      </c>
      <c r="Y127" s="17" t="inlineStr">
        <is>
          <t>正常</t>
        </is>
      </c>
      <c r="Z127" s="17" t="inlineStr">
        <is>
          <t>正常</t>
        </is>
      </c>
      <c r="AA127" s="17" t="n"/>
      <c r="AB127" s="17" t="inlineStr">
        <is>
          <t>原表第 132 行</t>
        </is>
      </c>
      <c r="AC127" s="24">
        <f>IF($G127="","",IF($H127="※编码不在物料档案里","※物料编码不在档案里",IF(N($K127)&lt;=0,"※入库数量要大于 0",IF(AND($C127&lt;&gt;"",$C127&lt;=结账锁),"※日期早于已结账截止日，不能再录",IF(AND($L127=0,$X127="正常"),"※没填单价，价格状态请选「待补价」",IF(AND($S127&gt;0,$R127&gt;0),"△本批有 "&amp;$S127&amp;" 行没单价，整批运费先挂账没摊",IF(AND($B127&lt;&gt;"",COUNTIF($B$4:$B$2503,$B127)&gt;1),"※入库单号重复","")))))))</f>
        <v/>
      </c>
    </row>
    <row r="128">
      <c r="A128" s="24">
        <f>IF($G128="","",COUNTA($G$4:$G128))</f>
        <v/>
      </c>
      <c r="B128" s="17" t="n"/>
      <c r="C128" s="30" t="n">
        <v>46048</v>
      </c>
      <c r="D128" s="17" t="inlineStr">
        <is>
          <t>A国内</t>
        </is>
      </c>
      <c r="E128" s="17" t="inlineStr">
        <is>
          <t>MEDU7050813-202601</t>
        </is>
      </c>
      <c r="F128" s="17" t="inlineStr">
        <is>
          <t>五金工具</t>
        </is>
      </c>
      <c r="G128" s="17" t="inlineStr">
        <is>
          <t>JH0121</t>
        </is>
      </c>
      <c r="H128" s="24">
        <f>IF($G128="","",IFERROR(VLOOKUP($G128,物料档案!$A$4:$P$1203,3,0),"※编码不在物料档案里"))</f>
        <v/>
      </c>
      <c r="I128" s="24">
        <f>IF($G128="","",IFERROR(VLOOKUP($G128,物料档案!$A$4:$P$1203,4,0),"※编码不在物料档案里"))</f>
        <v/>
      </c>
      <c r="J128" s="24">
        <f>IF($G128="","",IFERROR(VLOOKUP($G128,物料档案!$A$4:$P$1203,5,0),"※编码不在物料档案里"))</f>
        <v/>
      </c>
      <c r="K128" s="23" t="n">
        <v>3</v>
      </c>
      <c r="L128" s="31" t="n">
        <v>250</v>
      </c>
      <c r="M128" s="24">
        <f>IF($G128="","",IF($D128="A国内","CNY","TZS"))</f>
        <v/>
      </c>
      <c r="N128" s="28">
        <f>IF($G128="","",IF($D128="A国内",汇率,1))</f>
        <v/>
      </c>
      <c r="O128" s="25">
        <f>IF($G128="","",ROUND(N($K128)*N($L128),2))</f>
        <v/>
      </c>
      <c r="P128" s="26">
        <f>IF($G128="","",ROUND($O128*$N128,0))</f>
        <v/>
      </c>
      <c r="Q128" s="26">
        <f>IF($G128="","",SUMIFS($P$4:$P$2503,$E$4:$E$2503,$E128,$Z$4:$Z$2503,"正常"))</f>
        <v/>
      </c>
      <c r="R128" s="26">
        <f>IF($G128="","",SUMIFS(费用台账!$I$4:$I$503,费用台账!$C$4:$C$503,$E128,费用台账!$J$4:$J$503,"是",费用台账!$K$4:$K$503,"正常"))</f>
        <v/>
      </c>
      <c r="S128" s="28">
        <f>IF($G128="","",COUNTIFS($E$4:$E$2503,$E128,$Z$4:$Z$2503,"正常",$Y$4:$Y$2503,"待补价"))</f>
        <v/>
      </c>
      <c r="T128" s="26">
        <f>IF($G128="","",SUMIFS($P$4:$P$2503,$E$4:$E$2503,$E128,$Z$4:$Z$2503,"正常",$A$4:$A$2503,"&lt;="&amp;$A128))</f>
        <v/>
      </c>
      <c r="U128" s="26">
        <f>IF($G128="","",IF(OR($S128&gt;0,$Q128=0,$R128=0,$Z128&lt;&gt;"正常"),0,ROUND($T128/$Q128*$R128,0)-ROUND(($T128-$P128)/$Q128*$R128,0)))</f>
        <v/>
      </c>
      <c r="V128" s="26">
        <f>IF($G128="","",ROUND($P128+$U128,0))</f>
        <v/>
      </c>
      <c r="W128" s="26">
        <f>IF($G128="","",IF(N($K128)=0,0,ROUND($V128/$K128,2)))</f>
        <v/>
      </c>
      <c r="X128" s="17" t="inlineStr">
        <is>
          <t>采购入库</t>
        </is>
      </c>
      <c r="Y128" s="17" t="inlineStr">
        <is>
          <t>正常</t>
        </is>
      </c>
      <c r="Z128" s="17" t="inlineStr">
        <is>
          <t>正常</t>
        </is>
      </c>
      <c r="AA128" s="17" t="n"/>
      <c r="AB128" s="17" t="inlineStr">
        <is>
          <t>原表第 133 行</t>
        </is>
      </c>
      <c r="AC128" s="24">
        <f>IF($G128="","",IF($H128="※编码不在物料档案里","※物料编码不在档案里",IF(N($K128)&lt;=0,"※入库数量要大于 0",IF(AND($C128&lt;&gt;"",$C128&lt;=结账锁),"※日期早于已结账截止日，不能再录",IF(AND($L128=0,$X128="正常"),"※没填单价，价格状态请选「待补价」",IF(AND($S128&gt;0,$R128&gt;0),"△本批有 "&amp;$S128&amp;" 行没单价，整批运费先挂账没摊",IF(AND($B128&lt;&gt;"",COUNTIF($B$4:$B$2503,$B128)&gt;1),"※入库单号重复","")))))))</f>
        <v/>
      </c>
    </row>
    <row r="129">
      <c r="A129" s="24">
        <f>IF($G129="","",COUNTA($G$4:$G129))</f>
        <v/>
      </c>
      <c r="B129" s="17" t="n"/>
      <c r="C129" s="30" t="n">
        <v>46048</v>
      </c>
      <c r="D129" s="17" t="inlineStr">
        <is>
          <t>A国内</t>
        </is>
      </c>
      <c r="E129" s="17" t="inlineStr">
        <is>
          <t>MEDU7050813-202601</t>
        </is>
      </c>
      <c r="F129" s="17" t="inlineStr">
        <is>
          <t>五金工具</t>
        </is>
      </c>
      <c r="G129" s="17" t="inlineStr">
        <is>
          <t>JH0122</t>
        </is>
      </c>
      <c r="H129" s="24">
        <f>IF($G129="","",IFERROR(VLOOKUP($G129,物料档案!$A$4:$P$1203,3,0),"※编码不在物料档案里"))</f>
        <v/>
      </c>
      <c r="I129" s="24">
        <f>IF($G129="","",IFERROR(VLOOKUP($G129,物料档案!$A$4:$P$1203,4,0),"※编码不在物料档案里"))</f>
        <v/>
      </c>
      <c r="J129" s="24">
        <f>IF($G129="","",IFERROR(VLOOKUP($G129,物料档案!$A$4:$P$1203,5,0),"※编码不在物料档案里"))</f>
        <v/>
      </c>
      <c r="K129" s="23" t="n">
        <v>70</v>
      </c>
      <c r="L129" s="31" t="n">
        <v>3.7</v>
      </c>
      <c r="M129" s="24">
        <f>IF($G129="","",IF($D129="A国内","CNY","TZS"))</f>
        <v/>
      </c>
      <c r="N129" s="28">
        <f>IF($G129="","",IF($D129="A国内",汇率,1))</f>
        <v/>
      </c>
      <c r="O129" s="25">
        <f>IF($G129="","",ROUND(N($K129)*N($L129),2))</f>
        <v/>
      </c>
      <c r="P129" s="26">
        <f>IF($G129="","",ROUND($O129*$N129,0))</f>
        <v/>
      </c>
      <c r="Q129" s="26">
        <f>IF($G129="","",SUMIFS($P$4:$P$2503,$E$4:$E$2503,$E129,$Z$4:$Z$2503,"正常"))</f>
        <v/>
      </c>
      <c r="R129" s="26">
        <f>IF($G129="","",SUMIFS(费用台账!$I$4:$I$503,费用台账!$C$4:$C$503,$E129,费用台账!$J$4:$J$503,"是",费用台账!$K$4:$K$503,"正常"))</f>
        <v/>
      </c>
      <c r="S129" s="28">
        <f>IF($G129="","",COUNTIFS($E$4:$E$2503,$E129,$Z$4:$Z$2503,"正常",$Y$4:$Y$2503,"待补价"))</f>
        <v/>
      </c>
      <c r="T129" s="26">
        <f>IF($G129="","",SUMIFS($P$4:$P$2503,$E$4:$E$2503,$E129,$Z$4:$Z$2503,"正常",$A$4:$A$2503,"&lt;="&amp;$A129))</f>
        <v/>
      </c>
      <c r="U129" s="26">
        <f>IF($G129="","",IF(OR($S129&gt;0,$Q129=0,$R129=0,$Z129&lt;&gt;"正常"),0,ROUND($T129/$Q129*$R129,0)-ROUND(($T129-$P129)/$Q129*$R129,0)))</f>
        <v/>
      </c>
      <c r="V129" s="26">
        <f>IF($G129="","",ROUND($P129+$U129,0))</f>
        <v/>
      </c>
      <c r="W129" s="26">
        <f>IF($G129="","",IF(N($K129)=0,0,ROUND($V129/$K129,2)))</f>
        <v/>
      </c>
      <c r="X129" s="17" t="inlineStr">
        <is>
          <t>采购入库</t>
        </is>
      </c>
      <c r="Y129" s="17" t="inlineStr">
        <is>
          <t>正常</t>
        </is>
      </c>
      <c r="Z129" s="17" t="inlineStr">
        <is>
          <t>正常</t>
        </is>
      </c>
      <c r="AA129" s="17" t="n"/>
      <c r="AB129" s="17" t="inlineStr">
        <is>
          <t>原表第 134 行</t>
        </is>
      </c>
      <c r="AC129" s="24">
        <f>IF($G129="","",IF($H129="※编码不在物料档案里","※物料编码不在档案里",IF(N($K129)&lt;=0,"※入库数量要大于 0",IF(AND($C129&lt;&gt;"",$C129&lt;=结账锁),"※日期早于已结账截止日，不能再录",IF(AND($L129=0,$X129="正常"),"※没填单价，价格状态请选「待补价」",IF(AND($S129&gt;0,$R129&gt;0),"△本批有 "&amp;$S129&amp;" 行没单价，整批运费先挂账没摊",IF(AND($B129&lt;&gt;"",COUNTIF($B$4:$B$2503,$B129)&gt;1),"※入库单号重复","")))))))</f>
        <v/>
      </c>
    </row>
    <row r="130">
      <c r="A130" s="24">
        <f>IF($G130="","",COUNTA($G$4:$G130))</f>
        <v/>
      </c>
      <c r="B130" s="17" t="n"/>
      <c r="C130" s="30" t="n">
        <v>46048</v>
      </c>
      <c r="D130" s="17" t="inlineStr">
        <is>
          <t>A国内</t>
        </is>
      </c>
      <c r="E130" s="17" t="inlineStr">
        <is>
          <t>MEDU7050813-202601</t>
        </is>
      </c>
      <c r="F130" s="17" t="inlineStr">
        <is>
          <t>五金工具</t>
        </is>
      </c>
      <c r="G130" s="17" t="inlineStr">
        <is>
          <t>JH0123</t>
        </is>
      </c>
      <c r="H130" s="24">
        <f>IF($G130="","",IFERROR(VLOOKUP($G130,物料档案!$A$4:$P$1203,3,0),"※编码不在物料档案里"))</f>
        <v/>
      </c>
      <c r="I130" s="24">
        <f>IF($G130="","",IFERROR(VLOOKUP($G130,物料档案!$A$4:$P$1203,4,0),"※编码不在物料档案里"))</f>
        <v/>
      </c>
      <c r="J130" s="24">
        <f>IF($G130="","",IFERROR(VLOOKUP($G130,物料档案!$A$4:$P$1203,5,0),"※编码不在物料档案里"))</f>
        <v/>
      </c>
      <c r="K130" s="23" t="n">
        <v>3</v>
      </c>
      <c r="L130" s="31" t="n">
        <v>1285</v>
      </c>
      <c r="M130" s="24">
        <f>IF($G130="","",IF($D130="A国内","CNY","TZS"))</f>
        <v/>
      </c>
      <c r="N130" s="28">
        <f>IF($G130="","",IF($D130="A国内",汇率,1))</f>
        <v/>
      </c>
      <c r="O130" s="25">
        <f>IF($G130="","",ROUND(N($K130)*N($L130),2))</f>
        <v/>
      </c>
      <c r="P130" s="26">
        <f>IF($G130="","",ROUND($O130*$N130,0))</f>
        <v/>
      </c>
      <c r="Q130" s="26">
        <f>IF($G130="","",SUMIFS($P$4:$P$2503,$E$4:$E$2503,$E130,$Z$4:$Z$2503,"正常"))</f>
        <v/>
      </c>
      <c r="R130" s="26">
        <f>IF($G130="","",SUMIFS(费用台账!$I$4:$I$503,费用台账!$C$4:$C$503,$E130,费用台账!$J$4:$J$503,"是",费用台账!$K$4:$K$503,"正常"))</f>
        <v/>
      </c>
      <c r="S130" s="28">
        <f>IF($G130="","",COUNTIFS($E$4:$E$2503,$E130,$Z$4:$Z$2503,"正常",$Y$4:$Y$2503,"待补价"))</f>
        <v/>
      </c>
      <c r="T130" s="26">
        <f>IF($G130="","",SUMIFS($P$4:$P$2503,$E$4:$E$2503,$E130,$Z$4:$Z$2503,"正常",$A$4:$A$2503,"&lt;="&amp;$A130))</f>
        <v/>
      </c>
      <c r="U130" s="26">
        <f>IF($G130="","",IF(OR($S130&gt;0,$Q130=0,$R130=0,$Z130&lt;&gt;"正常"),0,ROUND($T130/$Q130*$R130,0)-ROUND(($T130-$P130)/$Q130*$R130,0)))</f>
        <v/>
      </c>
      <c r="V130" s="26">
        <f>IF($G130="","",ROUND($P130+$U130,0))</f>
        <v/>
      </c>
      <c r="W130" s="26">
        <f>IF($G130="","",IF(N($K130)=0,0,ROUND($V130/$K130,2)))</f>
        <v/>
      </c>
      <c r="X130" s="17" t="inlineStr">
        <is>
          <t>采购入库</t>
        </is>
      </c>
      <c r="Y130" s="17" t="inlineStr">
        <is>
          <t>正常</t>
        </is>
      </c>
      <c r="Z130" s="17" t="inlineStr">
        <is>
          <t>正常</t>
        </is>
      </c>
      <c r="AA130" s="17" t="n"/>
      <c r="AB130" s="17" t="inlineStr">
        <is>
          <t>原表第 135 行</t>
        </is>
      </c>
      <c r="AC130" s="24">
        <f>IF($G130="","",IF($H130="※编码不在物料档案里","※物料编码不在档案里",IF(N($K130)&lt;=0,"※入库数量要大于 0",IF(AND($C130&lt;&gt;"",$C130&lt;=结账锁),"※日期早于已结账截止日，不能再录",IF(AND($L130=0,$X130="正常"),"※没填单价，价格状态请选「待补价」",IF(AND($S130&gt;0,$R130&gt;0),"△本批有 "&amp;$S130&amp;" 行没单价，整批运费先挂账没摊",IF(AND($B130&lt;&gt;"",COUNTIF($B$4:$B$2503,$B130)&gt;1),"※入库单号重复","")))))))</f>
        <v/>
      </c>
    </row>
    <row r="131">
      <c r="A131" s="24">
        <f>IF($G131="","",COUNTA($G$4:$G131))</f>
        <v/>
      </c>
      <c r="B131" s="17" t="n"/>
      <c r="C131" s="30" t="n">
        <v>46048</v>
      </c>
      <c r="D131" s="17" t="inlineStr">
        <is>
          <t>A国内</t>
        </is>
      </c>
      <c r="E131" s="17" t="inlineStr">
        <is>
          <t>MEDU7050813-202601</t>
        </is>
      </c>
      <c r="F131" s="17" t="inlineStr">
        <is>
          <t>五金工具</t>
        </is>
      </c>
      <c r="G131" s="17" t="inlineStr">
        <is>
          <t>JH0124</t>
        </is>
      </c>
      <c r="H131" s="24">
        <f>IF($G131="","",IFERROR(VLOOKUP($G131,物料档案!$A$4:$P$1203,3,0),"※编码不在物料档案里"))</f>
        <v/>
      </c>
      <c r="I131" s="24">
        <f>IF($G131="","",IFERROR(VLOOKUP($G131,物料档案!$A$4:$P$1203,4,0),"※编码不在物料档案里"))</f>
        <v/>
      </c>
      <c r="J131" s="24">
        <f>IF($G131="","",IFERROR(VLOOKUP($G131,物料档案!$A$4:$P$1203,5,0),"※编码不在物料档案里"))</f>
        <v/>
      </c>
      <c r="K131" s="23" t="n">
        <v>10</v>
      </c>
      <c r="L131" s="31" t="n">
        <v>14</v>
      </c>
      <c r="M131" s="24">
        <f>IF($G131="","",IF($D131="A国内","CNY","TZS"))</f>
        <v/>
      </c>
      <c r="N131" s="28">
        <f>IF($G131="","",IF($D131="A国内",汇率,1))</f>
        <v/>
      </c>
      <c r="O131" s="25">
        <f>IF($G131="","",ROUND(N($K131)*N($L131),2))</f>
        <v/>
      </c>
      <c r="P131" s="26">
        <f>IF($G131="","",ROUND($O131*$N131,0))</f>
        <v/>
      </c>
      <c r="Q131" s="26">
        <f>IF($G131="","",SUMIFS($P$4:$P$2503,$E$4:$E$2503,$E131,$Z$4:$Z$2503,"正常"))</f>
        <v/>
      </c>
      <c r="R131" s="26">
        <f>IF($G131="","",SUMIFS(费用台账!$I$4:$I$503,费用台账!$C$4:$C$503,$E131,费用台账!$J$4:$J$503,"是",费用台账!$K$4:$K$503,"正常"))</f>
        <v/>
      </c>
      <c r="S131" s="28">
        <f>IF($G131="","",COUNTIFS($E$4:$E$2503,$E131,$Z$4:$Z$2503,"正常",$Y$4:$Y$2503,"待补价"))</f>
        <v/>
      </c>
      <c r="T131" s="26">
        <f>IF($G131="","",SUMIFS($P$4:$P$2503,$E$4:$E$2503,$E131,$Z$4:$Z$2503,"正常",$A$4:$A$2503,"&lt;="&amp;$A131))</f>
        <v/>
      </c>
      <c r="U131" s="26">
        <f>IF($G131="","",IF(OR($S131&gt;0,$Q131=0,$R131=0,$Z131&lt;&gt;"正常"),0,ROUND($T131/$Q131*$R131,0)-ROUND(($T131-$P131)/$Q131*$R131,0)))</f>
        <v/>
      </c>
      <c r="V131" s="26">
        <f>IF($G131="","",ROUND($P131+$U131,0))</f>
        <v/>
      </c>
      <c r="W131" s="26">
        <f>IF($G131="","",IF(N($K131)=0,0,ROUND($V131/$K131,2)))</f>
        <v/>
      </c>
      <c r="X131" s="17" t="inlineStr">
        <is>
          <t>采购入库</t>
        </is>
      </c>
      <c r="Y131" s="17" t="inlineStr">
        <is>
          <t>正常</t>
        </is>
      </c>
      <c r="Z131" s="17" t="inlineStr">
        <is>
          <t>正常</t>
        </is>
      </c>
      <c r="AA131" s="17" t="n"/>
      <c r="AB131" s="17" t="inlineStr">
        <is>
          <t>原表第 136 行</t>
        </is>
      </c>
      <c r="AC131" s="24">
        <f>IF($G131="","",IF($H131="※编码不在物料档案里","※物料编码不在档案里",IF(N($K131)&lt;=0,"※入库数量要大于 0",IF(AND($C131&lt;&gt;"",$C131&lt;=结账锁),"※日期早于已结账截止日，不能再录",IF(AND($L131=0,$X131="正常"),"※没填单价，价格状态请选「待补价」",IF(AND($S131&gt;0,$R131&gt;0),"△本批有 "&amp;$S131&amp;" 行没单价，整批运费先挂账没摊",IF(AND($B131&lt;&gt;"",COUNTIF($B$4:$B$2503,$B131)&gt;1),"※入库单号重复","")))))))</f>
        <v/>
      </c>
    </row>
    <row r="132">
      <c r="A132" s="24">
        <f>IF($G132="","",COUNTA($G$4:$G132))</f>
        <v/>
      </c>
      <c r="B132" s="17" t="n"/>
      <c r="C132" s="30" t="n">
        <v>46048</v>
      </c>
      <c r="D132" s="17" t="inlineStr">
        <is>
          <t>A国内</t>
        </is>
      </c>
      <c r="E132" s="17" t="inlineStr">
        <is>
          <t>MEDU7050813-202601</t>
        </is>
      </c>
      <c r="F132" s="17" t="inlineStr">
        <is>
          <t>五金工具</t>
        </is>
      </c>
      <c r="G132" s="17" t="inlineStr">
        <is>
          <t>JH0125</t>
        </is>
      </c>
      <c r="H132" s="24">
        <f>IF($G132="","",IFERROR(VLOOKUP($G132,物料档案!$A$4:$P$1203,3,0),"※编码不在物料档案里"))</f>
        <v/>
      </c>
      <c r="I132" s="24">
        <f>IF($G132="","",IFERROR(VLOOKUP($G132,物料档案!$A$4:$P$1203,4,0),"※编码不在物料档案里"))</f>
        <v/>
      </c>
      <c r="J132" s="24">
        <f>IF($G132="","",IFERROR(VLOOKUP($G132,物料档案!$A$4:$P$1203,5,0),"※编码不在物料档案里"))</f>
        <v/>
      </c>
      <c r="K132" s="23" t="n">
        <v>60</v>
      </c>
      <c r="L132" s="31" t="n">
        <v>8</v>
      </c>
      <c r="M132" s="24">
        <f>IF($G132="","",IF($D132="A国内","CNY","TZS"))</f>
        <v/>
      </c>
      <c r="N132" s="28">
        <f>IF($G132="","",IF($D132="A国内",汇率,1))</f>
        <v/>
      </c>
      <c r="O132" s="25">
        <f>IF($G132="","",ROUND(N($K132)*N($L132),2))</f>
        <v/>
      </c>
      <c r="P132" s="26">
        <f>IF($G132="","",ROUND($O132*$N132,0))</f>
        <v/>
      </c>
      <c r="Q132" s="26">
        <f>IF($G132="","",SUMIFS($P$4:$P$2503,$E$4:$E$2503,$E132,$Z$4:$Z$2503,"正常"))</f>
        <v/>
      </c>
      <c r="R132" s="26">
        <f>IF($G132="","",SUMIFS(费用台账!$I$4:$I$503,费用台账!$C$4:$C$503,$E132,费用台账!$J$4:$J$503,"是",费用台账!$K$4:$K$503,"正常"))</f>
        <v/>
      </c>
      <c r="S132" s="28">
        <f>IF($G132="","",COUNTIFS($E$4:$E$2503,$E132,$Z$4:$Z$2503,"正常",$Y$4:$Y$2503,"待补价"))</f>
        <v/>
      </c>
      <c r="T132" s="26">
        <f>IF($G132="","",SUMIFS($P$4:$P$2503,$E$4:$E$2503,$E132,$Z$4:$Z$2503,"正常",$A$4:$A$2503,"&lt;="&amp;$A132))</f>
        <v/>
      </c>
      <c r="U132" s="26">
        <f>IF($G132="","",IF(OR($S132&gt;0,$Q132=0,$R132=0,$Z132&lt;&gt;"正常"),0,ROUND($T132/$Q132*$R132,0)-ROUND(($T132-$P132)/$Q132*$R132,0)))</f>
        <v/>
      </c>
      <c r="V132" s="26">
        <f>IF($G132="","",ROUND($P132+$U132,0))</f>
        <v/>
      </c>
      <c r="W132" s="26">
        <f>IF($G132="","",IF(N($K132)=0,0,ROUND($V132/$K132,2)))</f>
        <v/>
      </c>
      <c r="X132" s="17" t="inlineStr">
        <is>
          <t>采购入库</t>
        </is>
      </c>
      <c r="Y132" s="17" t="inlineStr">
        <is>
          <t>正常</t>
        </is>
      </c>
      <c r="Z132" s="17" t="inlineStr">
        <is>
          <t>正常</t>
        </is>
      </c>
      <c r="AA132" s="17" t="n"/>
      <c r="AB132" s="17" t="inlineStr">
        <is>
          <t>原表第 137 行</t>
        </is>
      </c>
      <c r="AC132" s="24">
        <f>IF($G132="","",IF($H132="※编码不在物料档案里","※物料编码不在档案里",IF(N($K132)&lt;=0,"※入库数量要大于 0",IF(AND($C132&lt;&gt;"",$C132&lt;=结账锁),"※日期早于已结账截止日，不能再录",IF(AND($L132=0,$X132="正常"),"※没填单价，价格状态请选「待补价」",IF(AND($S132&gt;0,$R132&gt;0),"△本批有 "&amp;$S132&amp;" 行没单价，整批运费先挂账没摊",IF(AND($B132&lt;&gt;"",COUNTIF($B$4:$B$2503,$B132)&gt;1),"※入库单号重复","")))))))</f>
        <v/>
      </c>
    </row>
    <row r="133">
      <c r="A133" s="24">
        <f>IF($G133="","",COUNTA($G$4:$G133))</f>
        <v/>
      </c>
      <c r="B133" s="17" t="n"/>
      <c r="C133" s="30" t="n">
        <v>46048</v>
      </c>
      <c r="D133" s="17" t="inlineStr">
        <is>
          <t>A国内</t>
        </is>
      </c>
      <c r="E133" s="17" t="inlineStr">
        <is>
          <t>MEDU7050813-202601</t>
        </is>
      </c>
      <c r="F133" s="17" t="inlineStr">
        <is>
          <t>五金工具</t>
        </is>
      </c>
      <c r="G133" s="17" t="inlineStr">
        <is>
          <t>JH0126</t>
        </is>
      </c>
      <c r="H133" s="24">
        <f>IF($G133="","",IFERROR(VLOOKUP($G133,物料档案!$A$4:$P$1203,3,0),"※编码不在物料档案里"))</f>
        <v/>
      </c>
      <c r="I133" s="24">
        <f>IF($G133="","",IFERROR(VLOOKUP($G133,物料档案!$A$4:$P$1203,4,0),"※编码不在物料档案里"))</f>
        <v/>
      </c>
      <c r="J133" s="24">
        <f>IF($G133="","",IFERROR(VLOOKUP($G133,物料档案!$A$4:$P$1203,5,0),"※编码不在物料档案里"))</f>
        <v/>
      </c>
      <c r="K133" s="23" t="n">
        <v>20</v>
      </c>
      <c r="L133" s="31" t="n">
        <v>59</v>
      </c>
      <c r="M133" s="24">
        <f>IF($G133="","",IF($D133="A国内","CNY","TZS"))</f>
        <v/>
      </c>
      <c r="N133" s="28">
        <f>IF($G133="","",IF($D133="A国内",汇率,1))</f>
        <v/>
      </c>
      <c r="O133" s="25">
        <f>IF($G133="","",ROUND(N($K133)*N($L133),2))</f>
        <v/>
      </c>
      <c r="P133" s="26">
        <f>IF($G133="","",ROUND($O133*$N133,0))</f>
        <v/>
      </c>
      <c r="Q133" s="26">
        <f>IF($G133="","",SUMIFS($P$4:$P$2503,$E$4:$E$2503,$E133,$Z$4:$Z$2503,"正常"))</f>
        <v/>
      </c>
      <c r="R133" s="26">
        <f>IF($G133="","",SUMIFS(费用台账!$I$4:$I$503,费用台账!$C$4:$C$503,$E133,费用台账!$J$4:$J$503,"是",费用台账!$K$4:$K$503,"正常"))</f>
        <v/>
      </c>
      <c r="S133" s="28">
        <f>IF($G133="","",COUNTIFS($E$4:$E$2503,$E133,$Z$4:$Z$2503,"正常",$Y$4:$Y$2503,"待补价"))</f>
        <v/>
      </c>
      <c r="T133" s="26">
        <f>IF($G133="","",SUMIFS($P$4:$P$2503,$E$4:$E$2503,$E133,$Z$4:$Z$2503,"正常",$A$4:$A$2503,"&lt;="&amp;$A133))</f>
        <v/>
      </c>
      <c r="U133" s="26">
        <f>IF($G133="","",IF(OR($S133&gt;0,$Q133=0,$R133=0,$Z133&lt;&gt;"正常"),0,ROUND($T133/$Q133*$R133,0)-ROUND(($T133-$P133)/$Q133*$R133,0)))</f>
        <v/>
      </c>
      <c r="V133" s="26">
        <f>IF($G133="","",ROUND($P133+$U133,0))</f>
        <v/>
      </c>
      <c r="W133" s="26">
        <f>IF($G133="","",IF(N($K133)=0,0,ROUND($V133/$K133,2)))</f>
        <v/>
      </c>
      <c r="X133" s="17" t="inlineStr">
        <is>
          <t>采购入库</t>
        </is>
      </c>
      <c r="Y133" s="17" t="inlineStr">
        <is>
          <t>正常</t>
        </is>
      </c>
      <c r="Z133" s="17" t="inlineStr">
        <is>
          <t>正常</t>
        </is>
      </c>
      <c r="AA133" s="17" t="n"/>
      <c r="AB133" s="17" t="inlineStr">
        <is>
          <t>原表第 138 行</t>
        </is>
      </c>
      <c r="AC133" s="24">
        <f>IF($G133="","",IF($H133="※编码不在物料档案里","※物料编码不在档案里",IF(N($K133)&lt;=0,"※入库数量要大于 0",IF(AND($C133&lt;&gt;"",$C133&lt;=结账锁),"※日期早于已结账截止日，不能再录",IF(AND($L133=0,$X133="正常"),"※没填单价，价格状态请选「待补价」",IF(AND($S133&gt;0,$R133&gt;0),"△本批有 "&amp;$S133&amp;" 行没单价，整批运费先挂账没摊",IF(AND($B133&lt;&gt;"",COUNTIF($B$4:$B$2503,$B133)&gt;1),"※入库单号重复","")))))))</f>
        <v/>
      </c>
    </row>
    <row r="134">
      <c r="A134" s="24">
        <f>IF($G134="","",COUNTA($G$4:$G134))</f>
        <v/>
      </c>
      <c r="B134" s="17" t="n"/>
      <c r="C134" s="30" t="n">
        <v>46048</v>
      </c>
      <c r="D134" s="17" t="inlineStr">
        <is>
          <t>A国内</t>
        </is>
      </c>
      <c r="E134" s="17" t="inlineStr">
        <is>
          <t>MEDU7050813-202601</t>
        </is>
      </c>
      <c r="F134" s="17" t="inlineStr">
        <is>
          <t>五金工具</t>
        </is>
      </c>
      <c r="G134" s="17" t="inlineStr">
        <is>
          <t>JH0127</t>
        </is>
      </c>
      <c r="H134" s="24">
        <f>IF($G134="","",IFERROR(VLOOKUP($G134,物料档案!$A$4:$P$1203,3,0),"※编码不在物料档案里"))</f>
        <v/>
      </c>
      <c r="I134" s="24">
        <f>IF($G134="","",IFERROR(VLOOKUP($G134,物料档案!$A$4:$P$1203,4,0),"※编码不在物料档案里"))</f>
        <v/>
      </c>
      <c r="J134" s="24">
        <f>IF($G134="","",IFERROR(VLOOKUP($G134,物料档案!$A$4:$P$1203,5,0),"※编码不在物料档案里"))</f>
        <v/>
      </c>
      <c r="K134" s="23" t="n">
        <v>20</v>
      </c>
      <c r="L134" s="31" t="n">
        <v>75</v>
      </c>
      <c r="M134" s="24">
        <f>IF($G134="","",IF($D134="A国内","CNY","TZS"))</f>
        <v/>
      </c>
      <c r="N134" s="28">
        <f>IF($G134="","",IF($D134="A国内",汇率,1))</f>
        <v/>
      </c>
      <c r="O134" s="25">
        <f>IF($G134="","",ROUND(N($K134)*N($L134),2))</f>
        <v/>
      </c>
      <c r="P134" s="26">
        <f>IF($G134="","",ROUND($O134*$N134,0))</f>
        <v/>
      </c>
      <c r="Q134" s="26">
        <f>IF($G134="","",SUMIFS($P$4:$P$2503,$E$4:$E$2503,$E134,$Z$4:$Z$2503,"正常"))</f>
        <v/>
      </c>
      <c r="R134" s="26">
        <f>IF($G134="","",SUMIFS(费用台账!$I$4:$I$503,费用台账!$C$4:$C$503,$E134,费用台账!$J$4:$J$503,"是",费用台账!$K$4:$K$503,"正常"))</f>
        <v/>
      </c>
      <c r="S134" s="28">
        <f>IF($G134="","",COUNTIFS($E$4:$E$2503,$E134,$Z$4:$Z$2503,"正常",$Y$4:$Y$2503,"待补价"))</f>
        <v/>
      </c>
      <c r="T134" s="26">
        <f>IF($G134="","",SUMIFS($P$4:$P$2503,$E$4:$E$2503,$E134,$Z$4:$Z$2503,"正常",$A$4:$A$2503,"&lt;="&amp;$A134))</f>
        <v/>
      </c>
      <c r="U134" s="26">
        <f>IF($G134="","",IF(OR($S134&gt;0,$Q134=0,$R134=0,$Z134&lt;&gt;"正常"),0,ROUND($T134/$Q134*$R134,0)-ROUND(($T134-$P134)/$Q134*$R134,0)))</f>
        <v/>
      </c>
      <c r="V134" s="26">
        <f>IF($G134="","",ROUND($P134+$U134,0))</f>
        <v/>
      </c>
      <c r="W134" s="26">
        <f>IF($G134="","",IF(N($K134)=0,0,ROUND($V134/$K134,2)))</f>
        <v/>
      </c>
      <c r="X134" s="17" t="inlineStr">
        <is>
          <t>采购入库</t>
        </is>
      </c>
      <c r="Y134" s="17" t="inlineStr">
        <is>
          <t>正常</t>
        </is>
      </c>
      <c r="Z134" s="17" t="inlineStr">
        <is>
          <t>正常</t>
        </is>
      </c>
      <c r="AA134" s="17" t="n"/>
      <c r="AB134" s="17" t="inlineStr">
        <is>
          <t>原表第 139 行</t>
        </is>
      </c>
      <c r="AC134" s="24">
        <f>IF($G134="","",IF($H134="※编码不在物料档案里","※物料编码不在档案里",IF(N($K134)&lt;=0,"※入库数量要大于 0",IF(AND($C134&lt;&gt;"",$C134&lt;=结账锁),"※日期早于已结账截止日，不能再录",IF(AND($L134=0,$X134="正常"),"※没填单价，价格状态请选「待补价」",IF(AND($S134&gt;0,$R134&gt;0),"△本批有 "&amp;$S134&amp;" 行没单价，整批运费先挂账没摊",IF(AND($B134&lt;&gt;"",COUNTIF($B$4:$B$2503,$B134)&gt;1),"※入库单号重复","")))))))</f>
        <v/>
      </c>
    </row>
    <row r="135">
      <c r="A135" s="24">
        <f>IF($G135="","",COUNTA($G$4:$G135))</f>
        <v/>
      </c>
      <c r="B135" s="17" t="n"/>
      <c r="C135" s="30" t="n">
        <v>46048</v>
      </c>
      <c r="D135" s="17" t="inlineStr">
        <is>
          <t>A国内</t>
        </is>
      </c>
      <c r="E135" s="17" t="inlineStr">
        <is>
          <t>MEDU7050813-202601</t>
        </is>
      </c>
      <c r="F135" s="17" t="inlineStr">
        <is>
          <t>五金工具</t>
        </is>
      </c>
      <c r="G135" s="17" t="inlineStr">
        <is>
          <t>JH0128</t>
        </is>
      </c>
      <c r="H135" s="24">
        <f>IF($G135="","",IFERROR(VLOOKUP($G135,物料档案!$A$4:$P$1203,3,0),"※编码不在物料档案里"))</f>
        <v/>
      </c>
      <c r="I135" s="24">
        <f>IF($G135="","",IFERROR(VLOOKUP($G135,物料档案!$A$4:$P$1203,4,0),"※编码不在物料档案里"))</f>
        <v/>
      </c>
      <c r="J135" s="24">
        <f>IF($G135="","",IFERROR(VLOOKUP($G135,物料档案!$A$4:$P$1203,5,0),"※编码不在物料档案里"))</f>
        <v/>
      </c>
      <c r="K135" s="23" t="n">
        <v>120</v>
      </c>
      <c r="L135" s="31" t="n">
        <v>65</v>
      </c>
      <c r="M135" s="24">
        <f>IF($G135="","",IF($D135="A国内","CNY","TZS"))</f>
        <v/>
      </c>
      <c r="N135" s="28">
        <f>IF($G135="","",IF($D135="A国内",汇率,1))</f>
        <v/>
      </c>
      <c r="O135" s="25">
        <f>IF($G135="","",ROUND(N($K135)*N($L135),2))</f>
        <v/>
      </c>
      <c r="P135" s="26">
        <f>IF($G135="","",ROUND($O135*$N135,0))</f>
        <v/>
      </c>
      <c r="Q135" s="26">
        <f>IF($G135="","",SUMIFS($P$4:$P$2503,$E$4:$E$2503,$E135,$Z$4:$Z$2503,"正常"))</f>
        <v/>
      </c>
      <c r="R135" s="26">
        <f>IF($G135="","",SUMIFS(费用台账!$I$4:$I$503,费用台账!$C$4:$C$503,$E135,费用台账!$J$4:$J$503,"是",费用台账!$K$4:$K$503,"正常"))</f>
        <v/>
      </c>
      <c r="S135" s="28">
        <f>IF($G135="","",COUNTIFS($E$4:$E$2503,$E135,$Z$4:$Z$2503,"正常",$Y$4:$Y$2503,"待补价"))</f>
        <v/>
      </c>
      <c r="T135" s="26">
        <f>IF($G135="","",SUMIFS($P$4:$P$2503,$E$4:$E$2503,$E135,$Z$4:$Z$2503,"正常",$A$4:$A$2503,"&lt;="&amp;$A135))</f>
        <v/>
      </c>
      <c r="U135" s="26">
        <f>IF($G135="","",IF(OR($S135&gt;0,$Q135=0,$R135=0,$Z135&lt;&gt;"正常"),0,ROUND($T135/$Q135*$R135,0)-ROUND(($T135-$P135)/$Q135*$R135,0)))</f>
        <v/>
      </c>
      <c r="V135" s="26">
        <f>IF($G135="","",ROUND($P135+$U135,0))</f>
        <v/>
      </c>
      <c r="W135" s="26">
        <f>IF($G135="","",IF(N($K135)=0,0,ROUND($V135/$K135,2)))</f>
        <v/>
      </c>
      <c r="X135" s="17" t="inlineStr">
        <is>
          <t>采购入库</t>
        </is>
      </c>
      <c r="Y135" s="17" t="inlineStr">
        <is>
          <t>正常</t>
        </is>
      </c>
      <c r="Z135" s="17" t="inlineStr">
        <is>
          <t>正常</t>
        </is>
      </c>
      <c r="AA135" s="17" t="n"/>
      <c r="AB135" s="17" t="inlineStr">
        <is>
          <t>原表第 140 行</t>
        </is>
      </c>
      <c r="AC135" s="24">
        <f>IF($G135="","",IF($H135="※编码不在物料档案里","※物料编码不在档案里",IF(N($K135)&lt;=0,"※入库数量要大于 0",IF(AND($C135&lt;&gt;"",$C135&lt;=结账锁),"※日期早于已结账截止日，不能再录",IF(AND($L135=0,$X135="正常"),"※没填单价，价格状态请选「待补价」",IF(AND($S135&gt;0,$R135&gt;0),"△本批有 "&amp;$S135&amp;" 行没单价，整批运费先挂账没摊",IF(AND($B135&lt;&gt;"",COUNTIF($B$4:$B$2503,$B135)&gt;1),"※入库单号重复","")))))))</f>
        <v/>
      </c>
    </row>
    <row r="136">
      <c r="A136" s="24">
        <f>IF($G136="","",COUNTA($G$4:$G136))</f>
        <v/>
      </c>
      <c r="B136" s="17" t="n"/>
      <c r="C136" s="30" t="n">
        <v>46048</v>
      </c>
      <c r="D136" s="17" t="inlineStr">
        <is>
          <t>A国内</t>
        </is>
      </c>
      <c r="E136" s="17" t="inlineStr">
        <is>
          <t>MEDU7050813-202601</t>
        </is>
      </c>
      <c r="F136" s="17" t="inlineStr">
        <is>
          <t>五金工具</t>
        </is>
      </c>
      <c r="G136" s="17" t="inlineStr">
        <is>
          <t>JH0129</t>
        </is>
      </c>
      <c r="H136" s="24">
        <f>IF($G136="","",IFERROR(VLOOKUP($G136,物料档案!$A$4:$P$1203,3,0),"※编码不在物料档案里"))</f>
        <v/>
      </c>
      <c r="I136" s="24">
        <f>IF($G136="","",IFERROR(VLOOKUP($G136,物料档案!$A$4:$P$1203,4,0),"※编码不在物料档案里"))</f>
        <v/>
      </c>
      <c r="J136" s="24">
        <f>IF($G136="","",IFERROR(VLOOKUP($G136,物料档案!$A$4:$P$1203,5,0),"※编码不在物料档案里"))</f>
        <v/>
      </c>
      <c r="K136" s="23" t="n">
        <v>1</v>
      </c>
      <c r="L136" s="31" t="n">
        <v>850</v>
      </c>
      <c r="M136" s="24">
        <f>IF($G136="","",IF($D136="A国内","CNY","TZS"))</f>
        <v/>
      </c>
      <c r="N136" s="28">
        <f>IF($G136="","",IF($D136="A国内",汇率,1))</f>
        <v/>
      </c>
      <c r="O136" s="25">
        <f>IF($G136="","",ROUND(N($K136)*N($L136),2))</f>
        <v/>
      </c>
      <c r="P136" s="26">
        <f>IF($G136="","",ROUND($O136*$N136,0))</f>
        <v/>
      </c>
      <c r="Q136" s="26">
        <f>IF($G136="","",SUMIFS($P$4:$P$2503,$E$4:$E$2503,$E136,$Z$4:$Z$2503,"正常"))</f>
        <v/>
      </c>
      <c r="R136" s="26">
        <f>IF($G136="","",SUMIFS(费用台账!$I$4:$I$503,费用台账!$C$4:$C$503,$E136,费用台账!$J$4:$J$503,"是",费用台账!$K$4:$K$503,"正常"))</f>
        <v/>
      </c>
      <c r="S136" s="28">
        <f>IF($G136="","",COUNTIFS($E$4:$E$2503,$E136,$Z$4:$Z$2503,"正常",$Y$4:$Y$2503,"待补价"))</f>
        <v/>
      </c>
      <c r="T136" s="26">
        <f>IF($G136="","",SUMIFS($P$4:$P$2503,$E$4:$E$2503,$E136,$Z$4:$Z$2503,"正常",$A$4:$A$2503,"&lt;="&amp;$A136))</f>
        <v/>
      </c>
      <c r="U136" s="26">
        <f>IF($G136="","",IF(OR($S136&gt;0,$Q136=0,$R136=0,$Z136&lt;&gt;"正常"),0,ROUND($T136/$Q136*$R136,0)-ROUND(($T136-$P136)/$Q136*$R136,0)))</f>
        <v/>
      </c>
      <c r="V136" s="26">
        <f>IF($G136="","",ROUND($P136+$U136,0))</f>
        <v/>
      </c>
      <c r="W136" s="26">
        <f>IF($G136="","",IF(N($K136)=0,0,ROUND($V136/$K136,2)))</f>
        <v/>
      </c>
      <c r="X136" s="17" t="inlineStr">
        <is>
          <t>采购入库</t>
        </is>
      </c>
      <c r="Y136" s="17" t="inlineStr">
        <is>
          <t>正常</t>
        </is>
      </c>
      <c r="Z136" s="17" t="inlineStr">
        <is>
          <t>正常</t>
        </is>
      </c>
      <c r="AA136" s="17" t="n"/>
      <c r="AB136" s="17" t="inlineStr">
        <is>
          <t>原表第 141 行</t>
        </is>
      </c>
      <c r="AC136" s="24">
        <f>IF($G136="","",IF($H136="※编码不在物料档案里","※物料编码不在档案里",IF(N($K136)&lt;=0,"※入库数量要大于 0",IF(AND($C136&lt;&gt;"",$C136&lt;=结账锁),"※日期早于已结账截止日，不能再录",IF(AND($L136=0,$X136="正常"),"※没填单价，价格状态请选「待补价」",IF(AND($S136&gt;0,$R136&gt;0),"△本批有 "&amp;$S136&amp;" 行没单价，整批运费先挂账没摊",IF(AND($B136&lt;&gt;"",COUNTIF($B$4:$B$2503,$B136)&gt;1),"※入库单号重复","")))))))</f>
        <v/>
      </c>
    </row>
    <row r="137">
      <c r="A137" s="24">
        <f>IF($G137="","",COUNTA($G$4:$G137))</f>
        <v/>
      </c>
      <c r="B137" s="17" t="n"/>
      <c r="C137" s="30" t="n">
        <v>46048</v>
      </c>
      <c r="D137" s="17" t="inlineStr">
        <is>
          <t>A国内</t>
        </is>
      </c>
      <c r="E137" s="17" t="inlineStr">
        <is>
          <t>MEDU7050813-202601</t>
        </is>
      </c>
      <c r="F137" s="17" t="inlineStr">
        <is>
          <t>五金工具</t>
        </is>
      </c>
      <c r="G137" s="17" t="inlineStr">
        <is>
          <t>JH0130</t>
        </is>
      </c>
      <c r="H137" s="24">
        <f>IF($G137="","",IFERROR(VLOOKUP($G137,物料档案!$A$4:$P$1203,3,0),"※编码不在物料档案里"))</f>
        <v/>
      </c>
      <c r="I137" s="24">
        <f>IF($G137="","",IFERROR(VLOOKUP($G137,物料档案!$A$4:$P$1203,4,0),"※编码不在物料档案里"))</f>
        <v/>
      </c>
      <c r="J137" s="24">
        <f>IF($G137="","",IFERROR(VLOOKUP($G137,物料档案!$A$4:$P$1203,5,0),"※编码不在物料档案里"))</f>
        <v/>
      </c>
      <c r="K137" s="23" t="n">
        <v>10</v>
      </c>
      <c r="L137" s="31" t="n">
        <v>90</v>
      </c>
      <c r="M137" s="24">
        <f>IF($G137="","",IF($D137="A国内","CNY","TZS"))</f>
        <v/>
      </c>
      <c r="N137" s="28">
        <f>IF($G137="","",IF($D137="A国内",汇率,1))</f>
        <v/>
      </c>
      <c r="O137" s="25">
        <f>IF($G137="","",ROUND(N($K137)*N($L137),2))</f>
        <v/>
      </c>
      <c r="P137" s="26">
        <f>IF($G137="","",ROUND($O137*$N137,0))</f>
        <v/>
      </c>
      <c r="Q137" s="26">
        <f>IF($G137="","",SUMIFS($P$4:$P$2503,$E$4:$E$2503,$E137,$Z$4:$Z$2503,"正常"))</f>
        <v/>
      </c>
      <c r="R137" s="26">
        <f>IF($G137="","",SUMIFS(费用台账!$I$4:$I$503,费用台账!$C$4:$C$503,$E137,费用台账!$J$4:$J$503,"是",费用台账!$K$4:$K$503,"正常"))</f>
        <v/>
      </c>
      <c r="S137" s="28">
        <f>IF($G137="","",COUNTIFS($E$4:$E$2503,$E137,$Z$4:$Z$2503,"正常",$Y$4:$Y$2503,"待补价"))</f>
        <v/>
      </c>
      <c r="T137" s="26">
        <f>IF($G137="","",SUMIFS($P$4:$P$2503,$E$4:$E$2503,$E137,$Z$4:$Z$2503,"正常",$A$4:$A$2503,"&lt;="&amp;$A137))</f>
        <v/>
      </c>
      <c r="U137" s="26">
        <f>IF($G137="","",IF(OR($S137&gt;0,$Q137=0,$R137=0,$Z137&lt;&gt;"正常"),0,ROUND($T137/$Q137*$R137,0)-ROUND(($T137-$P137)/$Q137*$R137,0)))</f>
        <v/>
      </c>
      <c r="V137" s="26">
        <f>IF($G137="","",ROUND($P137+$U137,0))</f>
        <v/>
      </c>
      <c r="W137" s="26">
        <f>IF($G137="","",IF(N($K137)=0,0,ROUND($V137/$K137,2)))</f>
        <v/>
      </c>
      <c r="X137" s="17" t="inlineStr">
        <is>
          <t>采购入库</t>
        </is>
      </c>
      <c r="Y137" s="17" t="inlineStr">
        <is>
          <t>正常</t>
        </is>
      </c>
      <c r="Z137" s="17" t="inlineStr">
        <is>
          <t>正常</t>
        </is>
      </c>
      <c r="AA137" s="17" t="n"/>
      <c r="AB137" s="17" t="inlineStr">
        <is>
          <t>原表第 142 行</t>
        </is>
      </c>
      <c r="AC137" s="24">
        <f>IF($G137="","",IF($H137="※编码不在物料档案里","※物料编码不在档案里",IF(N($K137)&lt;=0,"※入库数量要大于 0",IF(AND($C137&lt;&gt;"",$C137&lt;=结账锁),"※日期早于已结账截止日，不能再录",IF(AND($L137=0,$X137="正常"),"※没填单价，价格状态请选「待补价」",IF(AND($S137&gt;0,$R137&gt;0),"△本批有 "&amp;$S137&amp;" 行没单价，整批运费先挂账没摊",IF(AND($B137&lt;&gt;"",COUNTIF($B$4:$B$2503,$B137)&gt;1),"※入库单号重复","")))))))</f>
        <v/>
      </c>
    </row>
    <row r="138">
      <c r="A138" s="24">
        <f>IF($G138="","",COUNTA($G$4:$G138))</f>
        <v/>
      </c>
      <c r="B138" s="17" t="n"/>
      <c r="C138" s="30" t="n">
        <v>46048</v>
      </c>
      <c r="D138" s="17" t="inlineStr">
        <is>
          <t>A国内</t>
        </is>
      </c>
      <c r="E138" s="17" t="inlineStr">
        <is>
          <t>MEDU7050813-202601</t>
        </is>
      </c>
      <c r="F138" s="17" t="inlineStr">
        <is>
          <t>五金工具</t>
        </is>
      </c>
      <c r="G138" s="17" t="inlineStr">
        <is>
          <t>JH0131</t>
        </is>
      </c>
      <c r="H138" s="24">
        <f>IF($G138="","",IFERROR(VLOOKUP($G138,物料档案!$A$4:$P$1203,3,0),"※编码不在物料档案里"))</f>
        <v/>
      </c>
      <c r="I138" s="24">
        <f>IF($G138="","",IFERROR(VLOOKUP($G138,物料档案!$A$4:$P$1203,4,0),"※编码不在物料档案里"))</f>
        <v/>
      </c>
      <c r="J138" s="24">
        <f>IF($G138="","",IFERROR(VLOOKUP($G138,物料档案!$A$4:$P$1203,5,0),"※编码不在物料档案里"))</f>
        <v/>
      </c>
      <c r="K138" s="23" t="n">
        <v>10</v>
      </c>
      <c r="L138" s="31" t="n">
        <v>17</v>
      </c>
      <c r="M138" s="24">
        <f>IF($G138="","",IF($D138="A国内","CNY","TZS"))</f>
        <v/>
      </c>
      <c r="N138" s="28">
        <f>IF($G138="","",IF($D138="A国内",汇率,1))</f>
        <v/>
      </c>
      <c r="O138" s="25">
        <f>IF($G138="","",ROUND(N($K138)*N($L138),2))</f>
        <v/>
      </c>
      <c r="P138" s="26">
        <f>IF($G138="","",ROUND($O138*$N138,0))</f>
        <v/>
      </c>
      <c r="Q138" s="26">
        <f>IF($G138="","",SUMIFS($P$4:$P$2503,$E$4:$E$2503,$E138,$Z$4:$Z$2503,"正常"))</f>
        <v/>
      </c>
      <c r="R138" s="26">
        <f>IF($G138="","",SUMIFS(费用台账!$I$4:$I$503,费用台账!$C$4:$C$503,$E138,费用台账!$J$4:$J$503,"是",费用台账!$K$4:$K$503,"正常"))</f>
        <v/>
      </c>
      <c r="S138" s="28">
        <f>IF($G138="","",COUNTIFS($E$4:$E$2503,$E138,$Z$4:$Z$2503,"正常",$Y$4:$Y$2503,"待补价"))</f>
        <v/>
      </c>
      <c r="T138" s="26">
        <f>IF($G138="","",SUMIFS($P$4:$P$2503,$E$4:$E$2503,$E138,$Z$4:$Z$2503,"正常",$A$4:$A$2503,"&lt;="&amp;$A138))</f>
        <v/>
      </c>
      <c r="U138" s="26">
        <f>IF($G138="","",IF(OR($S138&gt;0,$Q138=0,$R138=0,$Z138&lt;&gt;"正常"),0,ROUND($T138/$Q138*$R138,0)-ROUND(($T138-$P138)/$Q138*$R138,0)))</f>
        <v/>
      </c>
      <c r="V138" s="26">
        <f>IF($G138="","",ROUND($P138+$U138,0))</f>
        <v/>
      </c>
      <c r="W138" s="26">
        <f>IF($G138="","",IF(N($K138)=0,0,ROUND($V138/$K138,2)))</f>
        <v/>
      </c>
      <c r="X138" s="17" t="inlineStr">
        <is>
          <t>采购入库</t>
        </is>
      </c>
      <c r="Y138" s="17" t="inlineStr">
        <is>
          <t>正常</t>
        </is>
      </c>
      <c r="Z138" s="17" t="inlineStr">
        <is>
          <t>正常</t>
        </is>
      </c>
      <c r="AA138" s="17" t="n"/>
      <c r="AB138" s="17" t="inlineStr">
        <is>
          <t>原表第 143 行</t>
        </is>
      </c>
      <c r="AC138" s="24">
        <f>IF($G138="","",IF($H138="※编码不在物料档案里","※物料编码不在档案里",IF(N($K138)&lt;=0,"※入库数量要大于 0",IF(AND($C138&lt;&gt;"",$C138&lt;=结账锁),"※日期早于已结账截止日，不能再录",IF(AND($L138=0,$X138="正常"),"※没填单价，价格状态请选「待补价」",IF(AND($S138&gt;0,$R138&gt;0),"△本批有 "&amp;$S138&amp;" 行没单价，整批运费先挂账没摊",IF(AND($B138&lt;&gt;"",COUNTIF($B$4:$B$2503,$B138)&gt;1),"※入库单号重复","")))))))</f>
        <v/>
      </c>
    </row>
    <row r="139">
      <c r="A139" s="24">
        <f>IF($G139="","",COUNTA($G$4:$G139))</f>
        <v/>
      </c>
      <c r="B139" s="17" t="n"/>
      <c r="C139" s="30" t="n">
        <v>46048</v>
      </c>
      <c r="D139" s="17" t="inlineStr">
        <is>
          <t>A国内</t>
        </is>
      </c>
      <c r="E139" s="17" t="inlineStr">
        <is>
          <t>MEDU7050813-202601</t>
        </is>
      </c>
      <c r="F139" s="17" t="inlineStr">
        <is>
          <t>深圳市延雪科技</t>
        </is>
      </c>
      <c r="G139" s="17" t="inlineStr">
        <is>
          <t>JH0132</t>
        </is>
      </c>
      <c r="H139" s="24">
        <f>IF($G139="","",IFERROR(VLOOKUP($G139,物料档案!$A$4:$P$1203,3,0),"※编码不在物料档案里"))</f>
        <v/>
      </c>
      <c r="I139" s="24">
        <f>IF($G139="","",IFERROR(VLOOKUP($G139,物料档案!$A$4:$P$1203,4,0),"※编码不在物料档案里"))</f>
        <v/>
      </c>
      <c r="J139" s="24">
        <f>IF($G139="","",IFERROR(VLOOKUP($G139,物料档案!$A$4:$P$1203,5,0),"※编码不在物料档案里"))</f>
        <v/>
      </c>
      <c r="K139" s="23" t="n">
        <v>60</v>
      </c>
      <c r="L139" s="31" t="n">
        <v>55.21</v>
      </c>
      <c r="M139" s="24">
        <f>IF($G139="","",IF($D139="A国内","CNY","TZS"))</f>
        <v/>
      </c>
      <c r="N139" s="28">
        <f>IF($G139="","",IF($D139="A国内",汇率,1))</f>
        <v/>
      </c>
      <c r="O139" s="25">
        <f>IF($G139="","",ROUND(N($K139)*N($L139),2))</f>
        <v/>
      </c>
      <c r="P139" s="26">
        <f>IF($G139="","",ROUND($O139*$N139,0))</f>
        <v/>
      </c>
      <c r="Q139" s="26">
        <f>IF($G139="","",SUMIFS($P$4:$P$2503,$E$4:$E$2503,$E139,$Z$4:$Z$2503,"正常"))</f>
        <v/>
      </c>
      <c r="R139" s="26">
        <f>IF($G139="","",SUMIFS(费用台账!$I$4:$I$503,费用台账!$C$4:$C$503,$E139,费用台账!$J$4:$J$503,"是",费用台账!$K$4:$K$503,"正常"))</f>
        <v/>
      </c>
      <c r="S139" s="28">
        <f>IF($G139="","",COUNTIFS($E$4:$E$2503,$E139,$Z$4:$Z$2503,"正常",$Y$4:$Y$2503,"待补价"))</f>
        <v/>
      </c>
      <c r="T139" s="26">
        <f>IF($G139="","",SUMIFS($P$4:$P$2503,$E$4:$E$2503,$E139,$Z$4:$Z$2503,"正常",$A$4:$A$2503,"&lt;="&amp;$A139))</f>
        <v/>
      </c>
      <c r="U139" s="26">
        <f>IF($G139="","",IF(OR($S139&gt;0,$Q139=0,$R139=0,$Z139&lt;&gt;"正常"),0,ROUND($T139/$Q139*$R139,0)-ROUND(($T139-$P139)/$Q139*$R139,0)))</f>
        <v/>
      </c>
      <c r="V139" s="26">
        <f>IF($G139="","",ROUND($P139+$U139,0))</f>
        <v/>
      </c>
      <c r="W139" s="26">
        <f>IF($G139="","",IF(N($K139)=0,0,ROUND($V139/$K139,2)))</f>
        <v/>
      </c>
      <c r="X139" s="17" t="inlineStr">
        <is>
          <t>采购入库</t>
        </is>
      </c>
      <c r="Y139" s="17" t="inlineStr">
        <is>
          <t>正常</t>
        </is>
      </c>
      <c r="Z139" s="17" t="inlineStr">
        <is>
          <t>正常</t>
        </is>
      </c>
      <c r="AA139" s="17" t="n"/>
      <c r="AB139" s="17" t="inlineStr">
        <is>
          <t>原表第 144 行</t>
        </is>
      </c>
      <c r="AC139" s="24">
        <f>IF($G139="","",IF($H139="※编码不在物料档案里","※物料编码不在档案里",IF(N($K139)&lt;=0,"※入库数量要大于 0",IF(AND($C139&lt;&gt;"",$C139&lt;=结账锁),"※日期早于已结账截止日，不能再录",IF(AND($L139=0,$X139="正常"),"※没填单价，价格状态请选「待补价」",IF(AND($S139&gt;0,$R139&gt;0),"△本批有 "&amp;$S139&amp;" 行没单价，整批运费先挂账没摊",IF(AND($B139&lt;&gt;"",COUNTIF($B$4:$B$2503,$B139)&gt;1),"※入库单号重复","")))))))</f>
        <v/>
      </c>
    </row>
    <row r="140">
      <c r="A140" s="24">
        <f>IF($G140="","",COUNTA($G$4:$G140))</f>
        <v/>
      </c>
      <c r="B140" s="17" t="n"/>
      <c r="C140" s="30" t="n">
        <v>46048</v>
      </c>
      <c r="D140" s="17" t="inlineStr">
        <is>
          <t>A国内</t>
        </is>
      </c>
      <c r="E140" s="17" t="inlineStr">
        <is>
          <t>MEDU7050813-202601</t>
        </is>
      </c>
      <c r="F140" s="17" t="inlineStr">
        <is>
          <t>水暖五金</t>
        </is>
      </c>
      <c r="G140" s="17" t="inlineStr">
        <is>
          <t>JH0133</t>
        </is>
      </c>
      <c r="H140" s="24">
        <f>IF($G140="","",IFERROR(VLOOKUP($G140,物料档案!$A$4:$P$1203,3,0),"※编码不在物料档案里"))</f>
        <v/>
      </c>
      <c r="I140" s="24">
        <f>IF($G140="","",IFERROR(VLOOKUP($G140,物料档案!$A$4:$P$1203,4,0),"※编码不在物料档案里"))</f>
        <v/>
      </c>
      <c r="J140" s="24">
        <f>IF($G140="","",IFERROR(VLOOKUP($G140,物料档案!$A$4:$P$1203,5,0),"※编码不在物料档案里"))</f>
        <v/>
      </c>
      <c r="K140" s="23" t="n">
        <v>5</v>
      </c>
      <c r="L140" s="31" t="n">
        <v>441</v>
      </c>
      <c r="M140" s="24">
        <f>IF($G140="","",IF($D140="A国内","CNY","TZS"))</f>
        <v/>
      </c>
      <c r="N140" s="28">
        <f>IF($G140="","",IF($D140="A国内",汇率,1))</f>
        <v/>
      </c>
      <c r="O140" s="25">
        <f>IF($G140="","",ROUND(N($K140)*N($L140),2))</f>
        <v/>
      </c>
      <c r="P140" s="26">
        <f>IF($G140="","",ROUND($O140*$N140,0))</f>
        <v/>
      </c>
      <c r="Q140" s="26">
        <f>IF($G140="","",SUMIFS($P$4:$P$2503,$E$4:$E$2503,$E140,$Z$4:$Z$2503,"正常"))</f>
        <v/>
      </c>
      <c r="R140" s="26">
        <f>IF($G140="","",SUMIFS(费用台账!$I$4:$I$503,费用台账!$C$4:$C$503,$E140,费用台账!$J$4:$J$503,"是",费用台账!$K$4:$K$503,"正常"))</f>
        <v/>
      </c>
      <c r="S140" s="28">
        <f>IF($G140="","",COUNTIFS($E$4:$E$2503,$E140,$Z$4:$Z$2503,"正常",$Y$4:$Y$2503,"待补价"))</f>
        <v/>
      </c>
      <c r="T140" s="26">
        <f>IF($G140="","",SUMIFS($P$4:$P$2503,$E$4:$E$2503,$E140,$Z$4:$Z$2503,"正常",$A$4:$A$2503,"&lt;="&amp;$A140))</f>
        <v/>
      </c>
      <c r="U140" s="26">
        <f>IF($G140="","",IF(OR($S140&gt;0,$Q140=0,$R140=0,$Z140&lt;&gt;"正常"),0,ROUND($T140/$Q140*$R140,0)-ROUND(($T140-$P140)/$Q140*$R140,0)))</f>
        <v/>
      </c>
      <c r="V140" s="26">
        <f>IF($G140="","",ROUND($P140+$U140,0))</f>
        <v/>
      </c>
      <c r="W140" s="26">
        <f>IF($G140="","",IF(N($K140)=0,0,ROUND($V140/$K140,2)))</f>
        <v/>
      </c>
      <c r="X140" s="17" t="inlineStr">
        <is>
          <t>采购入库</t>
        </is>
      </c>
      <c r="Y140" s="17" t="inlineStr">
        <is>
          <t>正常</t>
        </is>
      </c>
      <c r="Z140" s="17" t="inlineStr">
        <is>
          <t>正常</t>
        </is>
      </c>
      <c r="AA140" s="17" t="n"/>
      <c r="AB140" s="17" t="inlineStr">
        <is>
          <t>原表第 145 行</t>
        </is>
      </c>
      <c r="AC140" s="24">
        <f>IF($G140="","",IF($H140="※编码不在物料档案里","※物料编码不在档案里",IF(N($K140)&lt;=0,"※入库数量要大于 0",IF(AND($C140&lt;&gt;"",$C140&lt;=结账锁),"※日期早于已结账截止日，不能再录",IF(AND($L140=0,$X140="正常"),"※没填单价，价格状态请选「待补价」",IF(AND($S140&gt;0,$R140&gt;0),"△本批有 "&amp;$S140&amp;" 行没单价，整批运费先挂账没摊",IF(AND($B140&lt;&gt;"",COUNTIF($B$4:$B$2503,$B140)&gt;1),"※入库单号重复","")))))))</f>
        <v/>
      </c>
    </row>
    <row r="141">
      <c r="A141" s="24">
        <f>IF($G141="","",COUNTA($G$4:$G141))</f>
        <v/>
      </c>
      <c r="B141" s="17" t="n"/>
      <c r="C141" s="30" t="n">
        <v>46048</v>
      </c>
      <c r="D141" s="17" t="inlineStr">
        <is>
          <t>A国内</t>
        </is>
      </c>
      <c r="E141" s="17" t="inlineStr">
        <is>
          <t>MEDU7050813-202601</t>
        </is>
      </c>
      <c r="F141" s="17" t="inlineStr">
        <is>
          <t>水暖五金</t>
        </is>
      </c>
      <c r="G141" s="17" t="inlineStr">
        <is>
          <t>JH0134</t>
        </is>
      </c>
      <c r="H141" s="24">
        <f>IF($G141="","",IFERROR(VLOOKUP($G141,物料档案!$A$4:$P$1203,3,0),"※编码不在物料档案里"))</f>
        <v/>
      </c>
      <c r="I141" s="24">
        <f>IF($G141="","",IFERROR(VLOOKUP($G141,物料档案!$A$4:$P$1203,4,0),"※编码不在物料档案里"))</f>
        <v/>
      </c>
      <c r="J141" s="24">
        <f>IF($G141="","",IFERROR(VLOOKUP($G141,物料档案!$A$4:$P$1203,5,0),"※编码不在物料档案里"))</f>
        <v/>
      </c>
      <c r="K141" s="23" t="n">
        <v>3</v>
      </c>
      <c r="L141" s="31" t="n">
        <v>1548.4</v>
      </c>
      <c r="M141" s="24">
        <f>IF($G141="","",IF($D141="A国内","CNY","TZS"))</f>
        <v/>
      </c>
      <c r="N141" s="28">
        <f>IF($G141="","",IF($D141="A国内",汇率,1))</f>
        <v/>
      </c>
      <c r="O141" s="25">
        <f>IF($G141="","",ROUND(N($K141)*N($L141),2))</f>
        <v/>
      </c>
      <c r="P141" s="26">
        <f>IF($G141="","",ROUND($O141*$N141,0))</f>
        <v/>
      </c>
      <c r="Q141" s="26">
        <f>IF($G141="","",SUMIFS($P$4:$P$2503,$E$4:$E$2503,$E141,$Z$4:$Z$2503,"正常"))</f>
        <v/>
      </c>
      <c r="R141" s="26">
        <f>IF($G141="","",SUMIFS(费用台账!$I$4:$I$503,费用台账!$C$4:$C$503,$E141,费用台账!$J$4:$J$503,"是",费用台账!$K$4:$K$503,"正常"))</f>
        <v/>
      </c>
      <c r="S141" s="28">
        <f>IF($G141="","",COUNTIFS($E$4:$E$2503,$E141,$Z$4:$Z$2503,"正常",$Y$4:$Y$2503,"待补价"))</f>
        <v/>
      </c>
      <c r="T141" s="26">
        <f>IF($G141="","",SUMIFS($P$4:$P$2503,$E$4:$E$2503,$E141,$Z$4:$Z$2503,"正常",$A$4:$A$2503,"&lt;="&amp;$A141))</f>
        <v/>
      </c>
      <c r="U141" s="26">
        <f>IF($G141="","",IF(OR($S141&gt;0,$Q141=0,$R141=0,$Z141&lt;&gt;"正常"),0,ROUND($T141/$Q141*$R141,0)-ROUND(($T141-$P141)/$Q141*$R141,0)))</f>
        <v/>
      </c>
      <c r="V141" s="26">
        <f>IF($G141="","",ROUND($P141+$U141,0))</f>
        <v/>
      </c>
      <c r="W141" s="26">
        <f>IF($G141="","",IF(N($K141)=0,0,ROUND($V141/$K141,2)))</f>
        <v/>
      </c>
      <c r="X141" s="17" t="inlineStr">
        <is>
          <t>采购入库</t>
        </is>
      </c>
      <c r="Y141" s="17" t="inlineStr">
        <is>
          <t>正常</t>
        </is>
      </c>
      <c r="Z141" s="17" t="inlineStr">
        <is>
          <t>正常</t>
        </is>
      </c>
      <c r="AA141" s="17" t="n"/>
      <c r="AB141" s="17" t="inlineStr">
        <is>
          <t>原表第 146 行</t>
        </is>
      </c>
      <c r="AC141" s="24">
        <f>IF($G141="","",IF($H141="※编码不在物料档案里","※物料编码不在档案里",IF(N($K141)&lt;=0,"※入库数量要大于 0",IF(AND($C141&lt;&gt;"",$C141&lt;=结账锁),"※日期早于已结账截止日，不能再录",IF(AND($L141=0,$X141="正常"),"※没填单价，价格状态请选「待补价」",IF(AND($S141&gt;0,$R141&gt;0),"△本批有 "&amp;$S141&amp;" 行没单价，整批运费先挂账没摊",IF(AND($B141&lt;&gt;"",COUNTIF($B$4:$B$2503,$B141)&gt;1),"※入库单号重复","")))))))</f>
        <v/>
      </c>
    </row>
    <row r="142">
      <c r="A142" s="24">
        <f>IF($G142="","",COUNTA($G$4:$G142))</f>
        <v/>
      </c>
      <c r="B142" s="17" t="n"/>
      <c r="C142" s="30" t="n">
        <v>46048</v>
      </c>
      <c r="D142" s="17" t="inlineStr">
        <is>
          <t>A国内</t>
        </is>
      </c>
      <c r="E142" s="17" t="inlineStr">
        <is>
          <t>MEDU7050813-202601</t>
        </is>
      </c>
      <c r="F142" s="17" t="inlineStr">
        <is>
          <t>水暖五金</t>
        </is>
      </c>
      <c r="G142" s="17" t="inlineStr">
        <is>
          <t>JH0135</t>
        </is>
      </c>
      <c r="H142" s="24">
        <f>IF($G142="","",IFERROR(VLOOKUP($G142,物料档案!$A$4:$P$1203,3,0),"※编码不在物料档案里"))</f>
        <v/>
      </c>
      <c r="I142" s="24">
        <f>IF($G142="","",IFERROR(VLOOKUP($G142,物料档案!$A$4:$P$1203,4,0),"※编码不在物料档案里"))</f>
        <v/>
      </c>
      <c r="J142" s="24">
        <f>IF($G142="","",IFERROR(VLOOKUP($G142,物料档案!$A$4:$P$1203,5,0),"※编码不在物料档案里"))</f>
        <v/>
      </c>
      <c r="K142" s="23" t="n">
        <v>3</v>
      </c>
      <c r="L142" s="31" t="n">
        <v>1264.2</v>
      </c>
      <c r="M142" s="24">
        <f>IF($G142="","",IF($D142="A国内","CNY","TZS"))</f>
        <v/>
      </c>
      <c r="N142" s="28">
        <f>IF($G142="","",IF($D142="A国内",汇率,1))</f>
        <v/>
      </c>
      <c r="O142" s="25">
        <f>IF($G142="","",ROUND(N($K142)*N($L142),2))</f>
        <v/>
      </c>
      <c r="P142" s="26">
        <f>IF($G142="","",ROUND($O142*$N142,0))</f>
        <v/>
      </c>
      <c r="Q142" s="26">
        <f>IF($G142="","",SUMIFS($P$4:$P$2503,$E$4:$E$2503,$E142,$Z$4:$Z$2503,"正常"))</f>
        <v/>
      </c>
      <c r="R142" s="26">
        <f>IF($G142="","",SUMIFS(费用台账!$I$4:$I$503,费用台账!$C$4:$C$503,$E142,费用台账!$J$4:$J$503,"是",费用台账!$K$4:$K$503,"正常"))</f>
        <v/>
      </c>
      <c r="S142" s="28">
        <f>IF($G142="","",COUNTIFS($E$4:$E$2503,$E142,$Z$4:$Z$2503,"正常",$Y$4:$Y$2503,"待补价"))</f>
        <v/>
      </c>
      <c r="T142" s="26">
        <f>IF($G142="","",SUMIFS($P$4:$P$2503,$E$4:$E$2503,$E142,$Z$4:$Z$2503,"正常",$A$4:$A$2503,"&lt;="&amp;$A142))</f>
        <v/>
      </c>
      <c r="U142" s="26">
        <f>IF($G142="","",IF(OR($S142&gt;0,$Q142=0,$R142=0,$Z142&lt;&gt;"正常"),0,ROUND($T142/$Q142*$R142,0)-ROUND(($T142-$P142)/$Q142*$R142,0)))</f>
        <v/>
      </c>
      <c r="V142" s="26">
        <f>IF($G142="","",ROUND($P142+$U142,0))</f>
        <v/>
      </c>
      <c r="W142" s="26">
        <f>IF($G142="","",IF(N($K142)=0,0,ROUND($V142/$K142,2)))</f>
        <v/>
      </c>
      <c r="X142" s="17" t="inlineStr">
        <is>
          <t>采购入库</t>
        </is>
      </c>
      <c r="Y142" s="17" t="inlineStr">
        <is>
          <t>正常</t>
        </is>
      </c>
      <c r="Z142" s="17" t="inlineStr">
        <is>
          <t>正常</t>
        </is>
      </c>
      <c r="AA142" s="17" t="n"/>
      <c r="AB142" s="17" t="inlineStr">
        <is>
          <t>原表第 147 行</t>
        </is>
      </c>
      <c r="AC142" s="24">
        <f>IF($G142="","",IF($H142="※编码不在物料档案里","※物料编码不在档案里",IF(N($K142)&lt;=0,"※入库数量要大于 0",IF(AND($C142&lt;&gt;"",$C142&lt;=结账锁),"※日期早于已结账截止日，不能再录",IF(AND($L142=0,$X142="正常"),"※没填单价，价格状态请选「待补价」",IF(AND($S142&gt;0,$R142&gt;0),"△本批有 "&amp;$S142&amp;" 行没单价，整批运费先挂账没摊",IF(AND($B142&lt;&gt;"",COUNTIF($B$4:$B$2503,$B142)&gt;1),"※入库单号重复","")))))))</f>
        <v/>
      </c>
    </row>
    <row r="143">
      <c r="A143" s="24">
        <f>IF($G143="","",COUNTA($G$4:$G143))</f>
        <v/>
      </c>
      <c r="B143" s="17" t="n"/>
      <c r="C143" s="30" t="n">
        <v>46048</v>
      </c>
      <c r="D143" s="17" t="inlineStr">
        <is>
          <t>A国内</t>
        </is>
      </c>
      <c r="E143" s="17" t="inlineStr">
        <is>
          <t>MEDU7050813-202601</t>
        </is>
      </c>
      <c r="F143" s="17" t="inlineStr">
        <is>
          <t>水暖五金</t>
        </is>
      </c>
      <c r="G143" s="17" t="inlineStr">
        <is>
          <t>JH0136</t>
        </is>
      </c>
      <c r="H143" s="24">
        <f>IF($G143="","",IFERROR(VLOOKUP($G143,物料档案!$A$4:$P$1203,3,0),"※编码不在物料档案里"))</f>
        <v/>
      </c>
      <c r="I143" s="24">
        <f>IF($G143="","",IFERROR(VLOOKUP($G143,物料档案!$A$4:$P$1203,4,0),"※编码不在物料档案里"))</f>
        <v/>
      </c>
      <c r="J143" s="24">
        <f>IF($G143="","",IFERROR(VLOOKUP($G143,物料档案!$A$4:$P$1203,5,0),"※编码不在物料档案里"))</f>
        <v/>
      </c>
      <c r="K143" s="23" t="n">
        <v>2</v>
      </c>
      <c r="L143" s="31" t="n">
        <v>686</v>
      </c>
      <c r="M143" s="24">
        <f>IF($G143="","",IF($D143="A国内","CNY","TZS"))</f>
        <v/>
      </c>
      <c r="N143" s="28">
        <f>IF($G143="","",IF($D143="A国内",汇率,1))</f>
        <v/>
      </c>
      <c r="O143" s="25">
        <f>IF($G143="","",ROUND(N($K143)*N($L143),2))</f>
        <v/>
      </c>
      <c r="P143" s="26">
        <f>IF($G143="","",ROUND($O143*$N143,0))</f>
        <v/>
      </c>
      <c r="Q143" s="26">
        <f>IF($G143="","",SUMIFS($P$4:$P$2503,$E$4:$E$2503,$E143,$Z$4:$Z$2503,"正常"))</f>
        <v/>
      </c>
      <c r="R143" s="26">
        <f>IF($G143="","",SUMIFS(费用台账!$I$4:$I$503,费用台账!$C$4:$C$503,$E143,费用台账!$J$4:$J$503,"是",费用台账!$K$4:$K$503,"正常"))</f>
        <v/>
      </c>
      <c r="S143" s="28">
        <f>IF($G143="","",COUNTIFS($E$4:$E$2503,$E143,$Z$4:$Z$2503,"正常",$Y$4:$Y$2503,"待补价"))</f>
        <v/>
      </c>
      <c r="T143" s="26">
        <f>IF($G143="","",SUMIFS($P$4:$P$2503,$E$4:$E$2503,$E143,$Z$4:$Z$2503,"正常",$A$4:$A$2503,"&lt;="&amp;$A143))</f>
        <v/>
      </c>
      <c r="U143" s="26">
        <f>IF($G143="","",IF(OR($S143&gt;0,$Q143=0,$R143=0,$Z143&lt;&gt;"正常"),0,ROUND($T143/$Q143*$R143,0)-ROUND(($T143-$P143)/$Q143*$R143,0)))</f>
        <v/>
      </c>
      <c r="V143" s="26">
        <f>IF($G143="","",ROUND($P143+$U143,0))</f>
        <v/>
      </c>
      <c r="W143" s="26">
        <f>IF($G143="","",IF(N($K143)=0,0,ROUND($V143/$K143,2)))</f>
        <v/>
      </c>
      <c r="X143" s="17" t="inlineStr">
        <is>
          <t>采购入库</t>
        </is>
      </c>
      <c r="Y143" s="17" t="inlineStr">
        <is>
          <t>正常</t>
        </is>
      </c>
      <c r="Z143" s="17" t="inlineStr">
        <is>
          <t>正常</t>
        </is>
      </c>
      <c r="AA143" s="17" t="n"/>
      <c r="AB143" s="17" t="inlineStr">
        <is>
          <t>原表第 148 行</t>
        </is>
      </c>
      <c r="AC143" s="24">
        <f>IF($G143="","",IF($H143="※编码不在物料档案里","※物料编码不在档案里",IF(N($K143)&lt;=0,"※入库数量要大于 0",IF(AND($C143&lt;&gt;"",$C143&lt;=结账锁),"※日期早于已结账截止日，不能再录",IF(AND($L143=0,$X143="正常"),"※没填单价，价格状态请选「待补价」",IF(AND($S143&gt;0,$R143&gt;0),"△本批有 "&amp;$S143&amp;" 行没单价，整批运费先挂账没摊",IF(AND($B143&lt;&gt;"",COUNTIF($B$4:$B$2503,$B143)&gt;1),"※入库单号重复","")))))))</f>
        <v/>
      </c>
    </row>
    <row r="144">
      <c r="A144" s="24">
        <f>IF($G144="","",COUNTA($G$4:$G144))</f>
        <v/>
      </c>
      <c r="B144" s="17" t="n"/>
      <c r="C144" s="30" t="n">
        <v>46048</v>
      </c>
      <c r="D144" s="17" t="inlineStr">
        <is>
          <t>A国内</t>
        </is>
      </c>
      <c r="E144" s="17" t="inlineStr">
        <is>
          <t>MEDU7050813-202601</t>
        </is>
      </c>
      <c r="F144" s="17" t="inlineStr">
        <is>
          <t>水暖五金</t>
        </is>
      </c>
      <c r="G144" s="17" t="inlineStr">
        <is>
          <t>JH0137</t>
        </is>
      </c>
      <c r="H144" s="24">
        <f>IF($G144="","",IFERROR(VLOOKUP($G144,物料档案!$A$4:$P$1203,3,0),"※编码不在物料档案里"))</f>
        <v/>
      </c>
      <c r="I144" s="24">
        <f>IF($G144="","",IFERROR(VLOOKUP($G144,物料档案!$A$4:$P$1203,4,0),"※编码不在物料档案里"))</f>
        <v/>
      </c>
      <c r="J144" s="24">
        <f>IF($G144="","",IFERROR(VLOOKUP($G144,物料档案!$A$4:$P$1203,5,0),"※编码不在物料档案里"))</f>
        <v/>
      </c>
      <c r="K144" s="23" t="n">
        <v>2</v>
      </c>
      <c r="L144" s="31" t="n">
        <v>470.4</v>
      </c>
      <c r="M144" s="24">
        <f>IF($G144="","",IF($D144="A国内","CNY","TZS"))</f>
        <v/>
      </c>
      <c r="N144" s="28">
        <f>IF($G144="","",IF($D144="A国内",汇率,1))</f>
        <v/>
      </c>
      <c r="O144" s="25">
        <f>IF($G144="","",ROUND(N($K144)*N($L144),2))</f>
        <v/>
      </c>
      <c r="P144" s="26">
        <f>IF($G144="","",ROUND($O144*$N144,0))</f>
        <v/>
      </c>
      <c r="Q144" s="26">
        <f>IF($G144="","",SUMIFS($P$4:$P$2503,$E$4:$E$2503,$E144,$Z$4:$Z$2503,"正常"))</f>
        <v/>
      </c>
      <c r="R144" s="26">
        <f>IF($G144="","",SUMIFS(费用台账!$I$4:$I$503,费用台账!$C$4:$C$503,$E144,费用台账!$J$4:$J$503,"是",费用台账!$K$4:$K$503,"正常"))</f>
        <v/>
      </c>
      <c r="S144" s="28">
        <f>IF($G144="","",COUNTIFS($E$4:$E$2503,$E144,$Z$4:$Z$2503,"正常",$Y$4:$Y$2503,"待补价"))</f>
        <v/>
      </c>
      <c r="T144" s="26">
        <f>IF($G144="","",SUMIFS($P$4:$P$2503,$E$4:$E$2503,$E144,$Z$4:$Z$2503,"正常",$A$4:$A$2503,"&lt;="&amp;$A144))</f>
        <v/>
      </c>
      <c r="U144" s="26">
        <f>IF($G144="","",IF(OR($S144&gt;0,$Q144=0,$R144=0,$Z144&lt;&gt;"正常"),0,ROUND($T144/$Q144*$R144,0)-ROUND(($T144-$P144)/$Q144*$R144,0)))</f>
        <v/>
      </c>
      <c r="V144" s="26">
        <f>IF($G144="","",ROUND($P144+$U144,0))</f>
        <v/>
      </c>
      <c r="W144" s="26">
        <f>IF($G144="","",IF(N($K144)=0,0,ROUND($V144/$K144,2)))</f>
        <v/>
      </c>
      <c r="X144" s="17" t="inlineStr">
        <is>
          <t>采购入库</t>
        </is>
      </c>
      <c r="Y144" s="17" t="inlineStr">
        <is>
          <t>正常</t>
        </is>
      </c>
      <c r="Z144" s="17" t="inlineStr">
        <is>
          <t>正常</t>
        </is>
      </c>
      <c r="AA144" s="17" t="n"/>
      <c r="AB144" s="17" t="inlineStr">
        <is>
          <t>原表第 149 行</t>
        </is>
      </c>
      <c r="AC144" s="24">
        <f>IF($G144="","",IF($H144="※编码不在物料档案里","※物料编码不在档案里",IF(N($K144)&lt;=0,"※入库数量要大于 0",IF(AND($C144&lt;&gt;"",$C144&lt;=结账锁),"※日期早于已结账截止日，不能再录",IF(AND($L144=0,$X144="正常"),"※没填单价，价格状态请选「待补价」",IF(AND($S144&gt;0,$R144&gt;0),"△本批有 "&amp;$S144&amp;" 行没单价，整批运费先挂账没摊",IF(AND($B144&lt;&gt;"",COUNTIF($B$4:$B$2503,$B144)&gt;1),"※入库单号重复","")))))))</f>
        <v/>
      </c>
    </row>
    <row r="145">
      <c r="A145" s="24">
        <f>IF($G145="","",COUNTA($G$4:$G145))</f>
        <v/>
      </c>
      <c r="B145" s="17" t="n"/>
      <c r="C145" s="30" t="n">
        <v>46048</v>
      </c>
      <c r="D145" s="17" t="inlineStr">
        <is>
          <t>A国内</t>
        </is>
      </c>
      <c r="E145" s="17" t="inlineStr">
        <is>
          <t>MEDU7050813-202601</t>
        </is>
      </c>
      <c r="F145" s="17" t="inlineStr">
        <is>
          <t>厨具</t>
        </is>
      </c>
      <c r="G145" s="17" t="inlineStr">
        <is>
          <t>JH0138</t>
        </is>
      </c>
      <c r="H145" s="24">
        <f>IF($G145="","",IFERROR(VLOOKUP($G145,物料档案!$A$4:$P$1203,3,0),"※编码不在物料档案里"))</f>
        <v/>
      </c>
      <c r="I145" s="24">
        <f>IF($G145="","",IFERROR(VLOOKUP($G145,物料档案!$A$4:$P$1203,4,0),"※编码不在物料档案里"))</f>
        <v/>
      </c>
      <c r="J145" s="24">
        <f>IF($G145="","",IFERROR(VLOOKUP($G145,物料档案!$A$4:$P$1203,5,0),"※编码不在物料档案里"))</f>
        <v/>
      </c>
      <c r="K145" s="23" t="n">
        <v>1</v>
      </c>
      <c r="L145" s="31" t="n">
        <v>60</v>
      </c>
      <c r="M145" s="24">
        <f>IF($G145="","",IF($D145="A国内","CNY","TZS"))</f>
        <v/>
      </c>
      <c r="N145" s="28">
        <f>IF($G145="","",IF($D145="A国内",汇率,1))</f>
        <v/>
      </c>
      <c r="O145" s="25">
        <f>IF($G145="","",ROUND(N($K145)*N($L145),2))</f>
        <v/>
      </c>
      <c r="P145" s="26">
        <f>IF($G145="","",ROUND($O145*$N145,0))</f>
        <v/>
      </c>
      <c r="Q145" s="26">
        <f>IF($G145="","",SUMIFS($P$4:$P$2503,$E$4:$E$2503,$E145,$Z$4:$Z$2503,"正常"))</f>
        <v/>
      </c>
      <c r="R145" s="26">
        <f>IF($G145="","",SUMIFS(费用台账!$I$4:$I$503,费用台账!$C$4:$C$503,$E145,费用台账!$J$4:$J$503,"是",费用台账!$K$4:$K$503,"正常"))</f>
        <v/>
      </c>
      <c r="S145" s="28">
        <f>IF($G145="","",COUNTIFS($E$4:$E$2503,$E145,$Z$4:$Z$2503,"正常",$Y$4:$Y$2503,"待补价"))</f>
        <v/>
      </c>
      <c r="T145" s="26">
        <f>IF($G145="","",SUMIFS($P$4:$P$2503,$E$4:$E$2503,$E145,$Z$4:$Z$2503,"正常",$A$4:$A$2503,"&lt;="&amp;$A145))</f>
        <v/>
      </c>
      <c r="U145" s="26">
        <f>IF($G145="","",IF(OR($S145&gt;0,$Q145=0,$R145=0,$Z145&lt;&gt;"正常"),0,ROUND($T145/$Q145*$R145,0)-ROUND(($T145-$P145)/$Q145*$R145,0)))</f>
        <v/>
      </c>
      <c r="V145" s="26">
        <f>IF($G145="","",ROUND($P145+$U145,0))</f>
        <v/>
      </c>
      <c r="W145" s="26">
        <f>IF($G145="","",IF(N($K145)=0,0,ROUND($V145/$K145,2)))</f>
        <v/>
      </c>
      <c r="X145" s="17" t="inlineStr">
        <is>
          <t>采购入库</t>
        </is>
      </c>
      <c r="Y145" s="17" t="inlineStr">
        <is>
          <t>正常</t>
        </is>
      </c>
      <c r="Z145" s="17" t="inlineStr">
        <is>
          <t>正常</t>
        </is>
      </c>
      <c r="AA145" s="17" t="n"/>
      <c r="AB145" s="17" t="inlineStr">
        <is>
          <t>原表第 150 行</t>
        </is>
      </c>
      <c r="AC145" s="24">
        <f>IF($G145="","",IF($H145="※编码不在物料档案里","※物料编码不在档案里",IF(N($K145)&lt;=0,"※入库数量要大于 0",IF(AND($C145&lt;&gt;"",$C145&lt;=结账锁),"※日期早于已结账截止日，不能再录",IF(AND($L145=0,$X145="正常"),"※没填单价，价格状态请选「待补价」",IF(AND($S145&gt;0,$R145&gt;0),"△本批有 "&amp;$S145&amp;" 行没单价，整批运费先挂账没摊",IF(AND($B145&lt;&gt;"",COUNTIF($B$4:$B$2503,$B145)&gt;1),"※入库单号重复","")))))))</f>
        <v/>
      </c>
    </row>
    <row r="146">
      <c r="A146" s="24">
        <f>IF($G146="","",COUNTA($G$4:$G146))</f>
        <v/>
      </c>
      <c r="B146" s="17" t="n"/>
      <c r="C146" s="30" t="n">
        <v>46048</v>
      </c>
      <c r="D146" s="17" t="inlineStr">
        <is>
          <t>A国内</t>
        </is>
      </c>
      <c r="E146" s="17" t="inlineStr">
        <is>
          <t>MEDU7050813-202601</t>
        </is>
      </c>
      <c r="F146" s="17" t="inlineStr">
        <is>
          <t>厨具</t>
        </is>
      </c>
      <c r="G146" s="17" t="inlineStr">
        <is>
          <t>JH0139</t>
        </is>
      </c>
      <c r="H146" s="24">
        <f>IF($G146="","",IFERROR(VLOOKUP($G146,物料档案!$A$4:$P$1203,3,0),"※编码不在物料档案里"))</f>
        <v/>
      </c>
      <c r="I146" s="24">
        <f>IF($G146="","",IFERROR(VLOOKUP($G146,物料档案!$A$4:$P$1203,4,0),"※编码不在物料档案里"))</f>
        <v/>
      </c>
      <c r="J146" s="24">
        <f>IF($G146="","",IFERROR(VLOOKUP($G146,物料档案!$A$4:$P$1203,5,0),"※编码不在物料档案里"))</f>
        <v/>
      </c>
      <c r="K146" s="23" t="n">
        <v>1</v>
      </c>
      <c r="L146" s="31" t="n">
        <v>55</v>
      </c>
      <c r="M146" s="24">
        <f>IF($G146="","",IF($D146="A国内","CNY","TZS"))</f>
        <v/>
      </c>
      <c r="N146" s="28">
        <f>IF($G146="","",IF($D146="A国内",汇率,1))</f>
        <v/>
      </c>
      <c r="O146" s="25">
        <f>IF($G146="","",ROUND(N($K146)*N($L146),2))</f>
        <v/>
      </c>
      <c r="P146" s="26">
        <f>IF($G146="","",ROUND($O146*$N146,0))</f>
        <v/>
      </c>
      <c r="Q146" s="26">
        <f>IF($G146="","",SUMIFS($P$4:$P$2503,$E$4:$E$2503,$E146,$Z$4:$Z$2503,"正常"))</f>
        <v/>
      </c>
      <c r="R146" s="26">
        <f>IF($G146="","",SUMIFS(费用台账!$I$4:$I$503,费用台账!$C$4:$C$503,$E146,费用台账!$J$4:$J$503,"是",费用台账!$K$4:$K$503,"正常"))</f>
        <v/>
      </c>
      <c r="S146" s="28">
        <f>IF($G146="","",COUNTIFS($E$4:$E$2503,$E146,$Z$4:$Z$2503,"正常",$Y$4:$Y$2503,"待补价"))</f>
        <v/>
      </c>
      <c r="T146" s="26">
        <f>IF($G146="","",SUMIFS($P$4:$P$2503,$E$4:$E$2503,$E146,$Z$4:$Z$2503,"正常",$A$4:$A$2503,"&lt;="&amp;$A146))</f>
        <v/>
      </c>
      <c r="U146" s="26">
        <f>IF($G146="","",IF(OR($S146&gt;0,$Q146=0,$R146=0,$Z146&lt;&gt;"正常"),0,ROUND($T146/$Q146*$R146,0)-ROUND(($T146-$P146)/$Q146*$R146,0)))</f>
        <v/>
      </c>
      <c r="V146" s="26">
        <f>IF($G146="","",ROUND($P146+$U146,0))</f>
        <v/>
      </c>
      <c r="W146" s="26">
        <f>IF($G146="","",IF(N($K146)=0,0,ROUND($V146/$K146,2)))</f>
        <v/>
      </c>
      <c r="X146" s="17" t="inlineStr">
        <is>
          <t>采购入库</t>
        </is>
      </c>
      <c r="Y146" s="17" t="inlineStr">
        <is>
          <t>正常</t>
        </is>
      </c>
      <c r="Z146" s="17" t="inlineStr">
        <is>
          <t>正常</t>
        </is>
      </c>
      <c r="AA146" s="17" t="n"/>
      <c r="AB146" s="17" t="inlineStr">
        <is>
          <t>原表第 151 行</t>
        </is>
      </c>
      <c r="AC146" s="24">
        <f>IF($G146="","",IF($H146="※编码不在物料档案里","※物料编码不在档案里",IF(N($K146)&lt;=0,"※入库数量要大于 0",IF(AND($C146&lt;&gt;"",$C146&lt;=结账锁),"※日期早于已结账截止日，不能再录",IF(AND($L146=0,$X146="正常"),"※没填单价，价格状态请选「待补价」",IF(AND($S146&gt;0,$R146&gt;0),"△本批有 "&amp;$S146&amp;" 行没单价，整批运费先挂账没摊",IF(AND($B146&lt;&gt;"",COUNTIF($B$4:$B$2503,$B146)&gt;1),"※入库单号重复","")))))))</f>
        <v/>
      </c>
    </row>
    <row r="147">
      <c r="A147" s="24">
        <f>IF($G147="","",COUNTA($G$4:$G147))</f>
        <v/>
      </c>
      <c r="B147" s="17" t="n"/>
      <c r="C147" s="30" t="n">
        <v>46048</v>
      </c>
      <c r="D147" s="17" t="inlineStr">
        <is>
          <t>A国内</t>
        </is>
      </c>
      <c r="E147" s="17" t="inlineStr">
        <is>
          <t>MEDU7050813-202601</t>
        </is>
      </c>
      <c r="F147" s="17" t="inlineStr">
        <is>
          <t>厨具</t>
        </is>
      </c>
      <c r="G147" s="17" t="inlineStr">
        <is>
          <t>JH0140</t>
        </is>
      </c>
      <c r="H147" s="24">
        <f>IF($G147="","",IFERROR(VLOOKUP($G147,物料档案!$A$4:$P$1203,3,0),"※编码不在物料档案里"))</f>
        <v/>
      </c>
      <c r="I147" s="24">
        <f>IF($G147="","",IFERROR(VLOOKUP($G147,物料档案!$A$4:$P$1203,4,0),"※编码不在物料档案里"))</f>
        <v/>
      </c>
      <c r="J147" s="24">
        <f>IF($G147="","",IFERROR(VLOOKUP($G147,物料档案!$A$4:$P$1203,5,0),"※编码不在物料档案里"))</f>
        <v/>
      </c>
      <c r="K147" s="23" t="n">
        <v>5</v>
      </c>
      <c r="L147" s="31" t="n">
        <v>22</v>
      </c>
      <c r="M147" s="24">
        <f>IF($G147="","",IF($D147="A国内","CNY","TZS"))</f>
        <v/>
      </c>
      <c r="N147" s="28">
        <f>IF($G147="","",IF($D147="A国内",汇率,1))</f>
        <v/>
      </c>
      <c r="O147" s="25">
        <f>IF($G147="","",ROUND(N($K147)*N($L147),2))</f>
        <v/>
      </c>
      <c r="P147" s="26">
        <f>IF($G147="","",ROUND($O147*$N147,0))</f>
        <v/>
      </c>
      <c r="Q147" s="26">
        <f>IF($G147="","",SUMIFS($P$4:$P$2503,$E$4:$E$2503,$E147,$Z$4:$Z$2503,"正常"))</f>
        <v/>
      </c>
      <c r="R147" s="26">
        <f>IF($G147="","",SUMIFS(费用台账!$I$4:$I$503,费用台账!$C$4:$C$503,$E147,费用台账!$J$4:$J$503,"是",费用台账!$K$4:$K$503,"正常"))</f>
        <v/>
      </c>
      <c r="S147" s="28">
        <f>IF($G147="","",COUNTIFS($E$4:$E$2503,$E147,$Z$4:$Z$2503,"正常",$Y$4:$Y$2503,"待补价"))</f>
        <v/>
      </c>
      <c r="T147" s="26">
        <f>IF($G147="","",SUMIFS($P$4:$P$2503,$E$4:$E$2503,$E147,$Z$4:$Z$2503,"正常",$A$4:$A$2503,"&lt;="&amp;$A147))</f>
        <v/>
      </c>
      <c r="U147" s="26">
        <f>IF($G147="","",IF(OR($S147&gt;0,$Q147=0,$R147=0,$Z147&lt;&gt;"正常"),0,ROUND($T147/$Q147*$R147,0)-ROUND(($T147-$P147)/$Q147*$R147,0)))</f>
        <v/>
      </c>
      <c r="V147" s="26">
        <f>IF($G147="","",ROUND($P147+$U147,0))</f>
        <v/>
      </c>
      <c r="W147" s="26">
        <f>IF($G147="","",IF(N($K147)=0,0,ROUND($V147/$K147,2)))</f>
        <v/>
      </c>
      <c r="X147" s="17" t="inlineStr">
        <is>
          <t>采购入库</t>
        </is>
      </c>
      <c r="Y147" s="17" t="inlineStr">
        <is>
          <t>正常</t>
        </is>
      </c>
      <c r="Z147" s="17" t="inlineStr">
        <is>
          <t>正常</t>
        </is>
      </c>
      <c r="AA147" s="17" t="n"/>
      <c r="AB147" s="17" t="inlineStr">
        <is>
          <t>原表第 152 行</t>
        </is>
      </c>
      <c r="AC147" s="24">
        <f>IF($G147="","",IF($H147="※编码不在物料档案里","※物料编码不在档案里",IF(N($K147)&lt;=0,"※入库数量要大于 0",IF(AND($C147&lt;&gt;"",$C147&lt;=结账锁),"※日期早于已结账截止日，不能再录",IF(AND($L147=0,$X147="正常"),"※没填单价，价格状态请选「待补价」",IF(AND($S147&gt;0,$R147&gt;0),"△本批有 "&amp;$S147&amp;" 行没单价，整批运费先挂账没摊",IF(AND($B147&lt;&gt;"",COUNTIF($B$4:$B$2503,$B147)&gt;1),"※入库单号重复","")))))))</f>
        <v/>
      </c>
    </row>
    <row r="148">
      <c r="A148" s="24">
        <f>IF($G148="","",COUNTA($G$4:$G148))</f>
        <v/>
      </c>
      <c r="B148" s="17" t="n"/>
      <c r="C148" s="30" t="n">
        <v>46052</v>
      </c>
      <c r="D148" s="17" t="inlineStr">
        <is>
          <t>A国内</t>
        </is>
      </c>
      <c r="E148" s="17" t="inlineStr">
        <is>
          <t>LCZU6663979-202601</t>
        </is>
      </c>
      <c r="F148" s="17" t="n"/>
      <c r="G148" s="17" t="inlineStr">
        <is>
          <t>JH0141</t>
        </is>
      </c>
      <c r="H148" s="24">
        <f>IF($G148="","",IFERROR(VLOOKUP($G148,物料档案!$A$4:$P$1203,3,0),"※编码不在物料档案里"))</f>
        <v/>
      </c>
      <c r="I148" s="24">
        <f>IF($G148="","",IFERROR(VLOOKUP($G148,物料档案!$A$4:$P$1203,4,0),"※编码不在物料档案里"))</f>
        <v/>
      </c>
      <c r="J148" s="24">
        <f>IF($G148="","",IFERROR(VLOOKUP($G148,物料档案!$A$4:$P$1203,5,0),"※编码不在物料档案里"))</f>
        <v/>
      </c>
      <c r="K148" s="23" t="n">
        <v>3</v>
      </c>
      <c r="L148" s="31" t="n"/>
      <c r="M148" s="24">
        <f>IF($G148="","",IF($D148="A国内","CNY","TZS"))</f>
        <v/>
      </c>
      <c r="N148" s="28">
        <f>IF($G148="","",IF($D148="A国内",汇率,1))</f>
        <v/>
      </c>
      <c r="O148" s="25">
        <f>IF($G148="","",ROUND(N($K148)*N($L148),2))</f>
        <v/>
      </c>
      <c r="P148" s="26">
        <f>IF($G148="","",ROUND($O148*$N148,0))</f>
        <v/>
      </c>
      <c r="Q148" s="26">
        <f>IF($G148="","",SUMIFS($P$4:$P$2503,$E$4:$E$2503,$E148,$Z$4:$Z$2503,"正常"))</f>
        <v/>
      </c>
      <c r="R148" s="26">
        <f>IF($G148="","",SUMIFS(费用台账!$I$4:$I$503,费用台账!$C$4:$C$503,$E148,费用台账!$J$4:$J$503,"是",费用台账!$K$4:$K$503,"正常"))</f>
        <v/>
      </c>
      <c r="S148" s="28">
        <f>IF($G148="","",COUNTIFS($E$4:$E$2503,$E148,$Z$4:$Z$2503,"正常",$Y$4:$Y$2503,"待补价"))</f>
        <v/>
      </c>
      <c r="T148" s="26">
        <f>IF($G148="","",SUMIFS($P$4:$P$2503,$E$4:$E$2503,$E148,$Z$4:$Z$2503,"正常",$A$4:$A$2503,"&lt;="&amp;$A148))</f>
        <v/>
      </c>
      <c r="U148" s="26">
        <f>IF($G148="","",IF(OR($S148&gt;0,$Q148=0,$R148=0,$Z148&lt;&gt;"正常"),0,ROUND($T148/$Q148*$R148,0)-ROUND(($T148-$P148)/$Q148*$R148,0)))</f>
        <v/>
      </c>
      <c r="V148" s="26">
        <f>IF($G148="","",ROUND($P148+$U148,0))</f>
        <v/>
      </c>
      <c r="W148" s="26">
        <f>IF($G148="","",IF(N($K148)=0,0,ROUND($V148/$K148,2)))</f>
        <v/>
      </c>
      <c r="X148" s="17" t="inlineStr">
        <is>
          <t>采购入库</t>
        </is>
      </c>
      <c r="Y148" s="17" t="inlineStr">
        <is>
          <t>待补价</t>
        </is>
      </c>
      <c r="Z148" s="17" t="inlineStr">
        <is>
          <t>正常</t>
        </is>
      </c>
      <c r="AA148" s="17" t="n"/>
      <c r="AB148" s="17" t="inlineStr">
        <is>
          <t>原表第 153 行</t>
        </is>
      </c>
      <c r="AC148" s="24">
        <f>IF($G148="","",IF($H148="※编码不在物料档案里","※物料编码不在档案里",IF(N($K148)&lt;=0,"※入库数量要大于 0",IF(AND($C148&lt;&gt;"",$C148&lt;=结账锁),"※日期早于已结账截止日，不能再录",IF(AND($L148=0,$X148="正常"),"※没填单价，价格状态请选「待补价」",IF(AND($S148&gt;0,$R148&gt;0),"△本批有 "&amp;$S148&amp;" 行没单价，整批运费先挂账没摊",IF(AND($B148&lt;&gt;"",COUNTIF($B$4:$B$2503,$B148)&gt;1),"※入库单号重复","")))))))</f>
        <v/>
      </c>
    </row>
    <row r="149">
      <c r="A149" s="24">
        <f>IF($G149="","",COUNTA($G$4:$G149))</f>
        <v/>
      </c>
      <c r="B149" s="17" t="n"/>
      <c r="C149" s="30" t="n">
        <v>46052</v>
      </c>
      <c r="D149" s="17" t="inlineStr">
        <is>
          <t>A国内</t>
        </is>
      </c>
      <c r="E149" s="17" t="inlineStr">
        <is>
          <t>LCZU6663979-202601</t>
        </is>
      </c>
      <c r="F149" s="17" t="n"/>
      <c r="G149" s="17" t="inlineStr">
        <is>
          <t>JH0142</t>
        </is>
      </c>
      <c r="H149" s="24">
        <f>IF($G149="","",IFERROR(VLOOKUP($G149,物料档案!$A$4:$P$1203,3,0),"※编码不在物料档案里"))</f>
        <v/>
      </c>
      <c r="I149" s="24">
        <f>IF($G149="","",IFERROR(VLOOKUP($G149,物料档案!$A$4:$P$1203,4,0),"※编码不在物料档案里"))</f>
        <v/>
      </c>
      <c r="J149" s="24">
        <f>IF($G149="","",IFERROR(VLOOKUP($G149,物料档案!$A$4:$P$1203,5,0),"※编码不在物料档案里"))</f>
        <v/>
      </c>
      <c r="K149" s="23" t="n">
        <v>5</v>
      </c>
      <c r="L149" s="31" t="n"/>
      <c r="M149" s="24">
        <f>IF($G149="","",IF($D149="A国内","CNY","TZS"))</f>
        <v/>
      </c>
      <c r="N149" s="28">
        <f>IF($G149="","",IF($D149="A国内",汇率,1))</f>
        <v/>
      </c>
      <c r="O149" s="25">
        <f>IF($G149="","",ROUND(N($K149)*N($L149),2))</f>
        <v/>
      </c>
      <c r="P149" s="26">
        <f>IF($G149="","",ROUND($O149*$N149,0))</f>
        <v/>
      </c>
      <c r="Q149" s="26">
        <f>IF($G149="","",SUMIFS($P$4:$P$2503,$E$4:$E$2503,$E149,$Z$4:$Z$2503,"正常"))</f>
        <v/>
      </c>
      <c r="R149" s="26">
        <f>IF($G149="","",SUMIFS(费用台账!$I$4:$I$503,费用台账!$C$4:$C$503,$E149,费用台账!$J$4:$J$503,"是",费用台账!$K$4:$K$503,"正常"))</f>
        <v/>
      </c>
      <c r="S149" s="28">
        <f>IF($G149="","",COUNTIFS($E$4:$E$2503,$E149,$Z$4:$Z$2503,"正常",$Y$4:$Y$2503,"待补价"))</f>
        <v/>
      </c>
      <c r="T149" s="26">
        <f>IF($G149="","",SUMIFS($P$4:$P$2503,$E$4:$E$2503,$E149,$Z$4:$Z$2503,"正常",$A$4:$A$2503,"&lt;="&amp;$A149))</f>
        <v/>
      </c>
      <c r="U149" s="26">
        <f>IF($G149="","",IF(OR($S149&gt;0,$Q149=0,$R149=0,$Z149&lt;&gt;"正常"),0,ROUND($T149/$Q149*$R149,0)-ROUND(($T149-$P149)/$Q149*$R149,0)))</f>
        <v/>
      </c>
      <c r="V149" s="26">
        <f>IF($G149="","",ROUND($P149+$U149,0))</f>
        <v/>
      </c>
      <c r="W149" s="26">
        <f>IF($G149="","",IF(N($K149)=0,0,ROUND($V149/$K149,2)))</f>
        <v/>
      </c>
      <c r="X149" s="17" t="inlineStr">
        <is>
          <t>采购入库</t>
        </is>
      </c>
      <c r="Y149" s="17" t="inlineStr">
        <is>
          <t>待补价</t>
        </is>
      </c>
      <c r="Z149" s="17" t="inlineStr">
        <is>
          <t>正常</t>
        </is>
      </c>
      <c r="AA149" s="17" t="n"/>
      <c r="AB149" s="17" t="inlineStr">
        <is>
          <t>原表第 154 行</t>
        </is>
      </c>
      <c r="AC149" s="24">
        <f>IF($G149="","",IF($H149="※编码不在物料档案里","※物料编码不在档案里",IF(N($K149)&lt;=0,"※入库数量要大于 0",IF(AND($C149&lt;&gt;"",$C149&lt;=结账锁),"※日期早于已结账截止日，不能再录",IF(AND($L149=0,$X149="正常"),"※没填单价，价格状态请选「待补价」",IF(AND($S149&gt;0,$R149&gt;0),"△本批有 "&amp;$S149&amp;" 行没单价，整批运费先挂账没摊",IF(AND($B149&lt;&gt;"",COUNTIF($B$4:$B$2503,$B149)&gt;1),"※入库单号重复","")))))))</f>
        <v/>
      </c>
    </row>
    <row r="150">
      <c r="A150" s="24">
        <f>IF($G150="","",COUNTA($G$4:$G150))</f>
        <v/>
      </c>
      <c r="B150" s="17" t="n"/>
      <c r="C150" s="30" t="n">
        <v>46052</v>
      </c>
      <c r="D150" s="17" t="inlineStr">
        <is>
          <t>A国内</t>
        </is>
      </c>
      <c r="E150" s="17" t="inlineStr">
        <is>
          <t>LCZU6663979-202601</t>
        </is>
      </c>
      <c r="F150" s="17" t="n"/>
      <c r="G150" s="17" t="inlineStr">
        <is>
          <t>JH0143</t>
        </is>
      </c>
      <c r="H150" s="24">
        <f>IF($G150="","",IFERROR(VLOOKUP($G150,物料档案!$A$4:$P$1203,3,0),"※编码不在物料档案里"))</f>
        <v/>
      </c>
      <c r="I150" s="24">
        <f>IF($G150="","",IFERROR(VLOOKUP($G150,物料档案!$A$4:$P$1203,4,0),"※编码不在物料档案里"))</f>
        <v/>
      </c>
      <c r="J150" s="24">
        <f>IF($G150="","",IFERROR(VLOOKUP($G150,物料档案!$A$4:$P$1203,5,0),"※编码不在物料档案里"))</f>
        <v/>
      </c>
      <c r="K150" s="23" t="n">
        <v>5</v>
      </c>
      <c r="L150" s="31" t="n"/>
      <c r="M150" s="24">
        <f>IF($G150="","",IF($D150="A国内","CNY","TZS"))</f>
        <v/>
      </c>
      <c r="N150" s="28">
        <f>IF($G150="","",IF($D150="A国内",汇率,1))</f>
        <v/>
      </c>
      <c r="O150" s="25">
        <f>IF($G150="","",ROUND(N($K150)*N($L150),2))</f>
        <v/>
      </c>
      <c r="P150" s="26">
        <f>IF($G150="","",ROUND($O150*$N150,0))</f>
        <v/>
      </c>
      <c r="Q150" s="26">
        <f>IF($G150="","",SUMIFS($P$4:$P$2503,$E$4:$E$2503,$E150,$Z$4:$Z$2503,"正常"))</f>
        <v/>
      </c>
      <c r="R150" s="26">
        <f>IF($G150="","",SUMIFS(费用台账!$I$4:$I$503,费用台账!$C$4:$C$503,$E150,费用台账!$J$4:$J$503,"是",费用台账!$K$4:$K$503,"正常"))</f>
        <v/>
      </c>
      <c r="S150" s="28">
        <f>IF($G150="","",COUNTIFS($E$4:$E$2503,$E150,$Z$4:$Z$2503,"正常",$Y$4:$Y$2503,"待补价"))</f>
        <v/>
      </c>
      <c r="T150" s="26">
        <f>IF($G150="","",SUMIFS($P$4:$P$2503,$E$4:$E$2503,$E150,$Z$4:$Z$2503,"正常",$A$4:$A$2503,"&lt;="&amp;$A150))</f>
        <v/>
      </c>
      <c r="U150" s="26">
        <f>IF($G150="","",IF(OR($S150&gt;0,$Q150=0,$R150=0,$Z150&lt;&gt;"正常"),0,ROUND($T150/$Q150*$R150,0)-ROUND(($T150-$P150)/$Q150*$R150,0)))</f>
        <v/>
      </c>
      <c r="V150" s="26">
        <f>IF($G150="","",ROUND($P150+$U150,0))</f>
        <v/>
      </c>
      <c r="W150" s="26">
        <f>IF($G150="","",IF(N($K150)=0,0,ROUND($V150/$K150,2)))</f>
        <v/>
      </c>
      <c r="X150" s="17" t="inlineStr">
        <is>
          <t>采购入库</t>
        </is>
      </c>
      <c r="Y150" s="17" t="inlineStr">
        <is>
          <t>待补价</t>
        </is>
      </c>
      <c r="Z150" s="17" t="inlineStr">
        <is>
          <t>正常</t>
        </is>
      </c>
      <c r="AA150" s="17" t="n"/>
      <c r="AB150" s="17" t="inlineStr">
        <is>
          <t>原表第 155 行</t>
        </is>
      </c>
      <c r="AC150" s="24">
        <f>IF($G150="","",IF($H150="※编码不在物料档案里","※物料编码不在档案里",IF(N($K150)&lt;=0,"※入库数量要大于 0",IF(AND($C150&lt;&gt;"",$C150&lt;=结账锁),"※日期早于已结账截止日，不能再录",IF(AND($L150=0,$X150="正常"),"※没填单价，价格状态请选「待补价」",IF(AND($S150&gt;0,$R150&gt;0),"△本批有 "&amp;$S150&amp;" 行没单价，整批运费先挂账没摊",IF(AND($B150&lt;&gt;"",COUNTIF($B$4:$B$2503,$B150)&gt;1),"※入库单号重复","")))))))</f>
        <v/>
      </c>
    </row>
    <row r="151">
      <c r="A151" s="24">
        <f>IF($G151="","",COUNTA($G$4:$G151))</f>
        <v/>
      </c>
      <c r="B151" s="17" t="n"/>
      <c r="C151" s="30" t="n">
        <v>46052</v>
      </c>
      <c r="D151" s="17" t="inlineStr">
        <is>
          <t>A国内</t>
        </is>
      </c>
      <c r="E151" s="17" t="inlineStr">
        <is>
          <t>LCZU6663979-202601</t>
        </is>
      </c>
      <c r="F151" s="17" t="n"/>
      <c r="G151" s="17" t="inlineStr">
        <is>
          <t>JH0144</t>
        </is>
      </c>
      <c r="H151" s="24">
        <f>IF($G151="","",IFERROR(VLOOKUP($G151,物料档案!$A$4:$P$1203,3,0),"※编码不在物料档案里"))</f>
        <v/>
      </c>
      <c r="I151" s="24">
        <f>IF($G151="","",IFERROR(VLOOKUP($G151,物料档案!$A$4:$P$1203,4,0),"※编码不在物料档案里"))</f>
        <v/>
      </c>
      <c r="J151" s="24">
        <f>IF($G151="","",IFERROR(VLOOKUP($G151,物料档案!$A$4:$P$1203,5,0),"※编码不在物料档案里"))</f>
        <v/>
      </c>
      <c r="K151" s="23" t="n">
        <v>20</v>
      </c>
      <c r="L151" s="31" t="n"/>
      <c r="M151" s="24">
        <f>IF($G151="","",IF($D151="A国内","CNY","TZS"))</f>
        <v/>
      </c>
      <c r="N151" s="28">
        <f>IF($G151="","",IF($D151="A国内",汇率,1))</f>
        <v/>
      </c>
      <c r="O151" s="25">
        <f>IF($G151="","",ROUND(N($K151)*N($L151),2))</f>
        <v/>
      </c>
      <c r="P151" s="26">
        <f>IF($G151="","",ROUND($O151*$N151,0))</f>
        <v/>
      </c>
      <c r="Q151" s="26">
        <f>IF($G151="","",SUMIFS($P$4:$P$2503,$E$4:$E$2503,$E151,$Z$4:$Z$2503,"正常"))</f>
        <v/>
      </c>
      <c r="R151" s="26">
        <f>IF($G151="","",SUMIFS(费用台账!$I$4:$I$503,费用台账!$C$4:$C$503,$E151,费用台账!$J$4:$J$503,"是",费用台账!$K$4:$K$503,"正常"))</f>
        <v/>
      </c>
      <c r="S151" s="28">
        <f>IF($G151="","",COUNTIFS($E$4:$E$2503,$E151,$Z$4:$Z$2503,"正常",$Y$4:$Y$2503,"待补价"))</f>
        <v/>
      </c>
      <c r="T151" s="26">
        <f>IF($G151="","",SUMIFS($P$4:$P$2503,$E$4:$E$2503,$E151,$Z$4:$Z$2503,"正常",$A$4:$A$2503,"&lt;="&amp;$A151))</f>
        <v/>
      </c>
      <c r="U151" s="26">
        <f>IF($G151="","",IF(OR($S151&gt;0,$Q151=0,$R151=0,$Z151&lt;&gt;"正常"),0,ROUND($T151/$Q151*$R151,0)-ROUND(($T151-$P151)/$Q151*$R151,0)))</f>
        <v/>
      </c>
      <c r="V151" s="26">
        <f>IF($G151="","",ROUND($P151+$U151,0))</f>
        <v/>
      </c>
      <c r="W151" s="26">
        <f>IF($G151="","",IF(N($K151)=0,0,ROUND($V151/$K151,2)))</f>
        <v/>
      </c>
      <c r="X151" s="17" t="inlineStr">
        <is>
          <t>采购入库</t>
        </is>
      </c>
      <c r="Y151" s="17" t="inlineStr">
        <is>
          <t>待补价</t>
        </is>
      </c>
      <c r="Z151" s="17" t="inlineStr">
        <is>
          <t>正常</t>
        </is>
      </c>
      <c r="AA151" s="17" t="n"/>
      <c r="AB151" s="17" t="inlineStr">
        <is>
          <t>原表第 156 行</t>
        </is>
      </c>
      <c r="AC151" s="24">
        <f>IF($G151="","",IF($H151="※编码不在物料档案里","※物料编码不在档案里",IF(N($K151)&lt;=0,"※入库数量要大于 0",IF(AND($C151&lt;&gt;"",$C151&lt;=结账锁),"※日期早于已结账截止日，不能再录",IF(AND($L151=0,$X151="正常"),"※没填单价，价格状态请选「待补价」",IF(AND($S151&gt;0,$R151&gt;0),"△本批有 "&amp;$S151&amp;" 行没单价，整批运费先挂账没摊",IF(AND($B151&lt;&gt;"",COUNTIF($B$4:$B$2503,$B151)&gt;1),"※入库单号重复","")))))))</f>
        <v/>
      </c>
    </row>
    <row r="152">
      <c r="A152" s="24">
        <f>IF($G152="","",COUNTA($G$4:$G152))</f>
        <v/>
      </c>
      <c r="B152" s="17" t="n"/>
      <c r="C152" s="30" t="n">
        <v>46052</v>
      </c>
      <c r="D152" s="17" t="inlineStr">
        <is>
          <t>A国内</t>
        </is>
      </c>
      <c r="E152" s="17" t="inlineStr">
        <is>
          <t>LCZU6663979-202601</t>
        </is>
      </c>
      <c r="F152" s="17" t="n"/>
      <c r="G152" s="17" t="inlineStr">
        <is>
          <t>JH0145</t>
        </is>
      </c>
      <c r="H152" s="24">
        <f>IF($G152="","",IFERROR(VLOOKUP($G152,物料档案!$A$4:$P$1203,3,0),"※编码不在物料档案里"))</f>
        <v/>
      </c>
      <c r="I152" s="24">
        <f>IF($G152="","",IFERROR(VLOOKUP($G152,物料档案!$A$4:$P$1203,4,0),"※编码不在物料档案里"))</f>
        <v/>
      </c>
      <c r="J152" s="24">
        <f>IF($G152="","",IFERROR(VLOOKUP($G152,物料档案!$A$4:$P$1203,5,0),"※编码不在物料档案里"))</f>
        <v/>
      </c>
      <c r="K152" s="23" t="n">
        <v>200</v>
      </c>
      <c r="L152" s="31" t="n"/>
      <c r="M152" s="24">
        <f>IF($G152="","",IF($D152="A国内","CNY","TZS"))</f>
        <v/>
      </c>
      <c r="N152" s="28">
        <f>IF($G152="","",IF($D152="A国内",汇率,1))</f>
        <v/>
      </c>
      <c r="O152" s="25">
        <f>IF($G152="","",ROUND(N($K152)*N($L152),2))</f>
        <v/>
      </c>
      <c r="P152" s="26">
        <f>IF($G152="","",ROUND($O152*$N152,0))</f>
        <v/>
      </c>
      <c r="Q152" s="26">
        <f>IF($G152="","",SUMIFS($P$4:$P$2503,$E$4:$E$2503,$E152,$Z$4:$Z$2503,"正常"))</f>
        <v/>
      </c>
      <c r="R152" s="26">
        <f>IF($G152="","",SUMIFS(费用台账!$I$4:$I$503,费用台账!$C$4:$C$503,$E152,费用台账!$J$4:$J$503,"是",费用台账!$K$4:$K$503,"正常"))</f>
        <v/>
      </c>
      <c r="S152" s="28">
        <f>IF($G152="","",COUNTIFS($E$4:$E$2503,$E152,$Z$4:$Z$2503,"正常",$Y$4:$Y$2503,"待补价"))</f>
        <v/>
      </c>
      <c r="T152" s="26">
        <f>IF($G152="","",SUMIFS($P$4:$P$2503,$E$4:$E$2503,$E152,$Z$4:$Z$2503,"正常",$A$4:$A$2503,"&lt;="&amp;$A152))</f>
        <v/>
      </c>
      <c r="U152" s="26">
        <f>IF($G152="","",IF(OR($S152&gt;0,$Q152=0,$R152=0,$Z152&lt;&gt;"正常"),0,ROUND($T152/$Q152*$R152,0)-ROUND(($T152-$P152)/$Q152*$R152,0)))</f>
        <v/>
      </c>
      <c r="V152" s="26">
        <f>IF($G152="","",ROUND($P152+$U152,0))</f>
        <v/>
      </c>
      <c r="W152" s="26">
        <f>IF($G152="","",IF(N($K152)=0,0,ROUND($V152/$K152,2)))</f>
        <v/>
      </c>
      <c r="X152" s="17" t="inlineStr">
        <is>
          <t>采购入库</t>
        </is>
      </c>
      <c r="Y152" s="17" t="inlineStr">
        <is>
          <t>待补价</t>
        </is>
      </c>
      <c r="Z152" s="17" t="inlineStr">
        <is>
          <t>正常</t>
        </is>
      </c>
      <c r="AA152" s="17" t="n"/>
      <c r="AB152" s="17" t="inlineStr">
        <is>
          <t>原表第 157 行</t>
        </is>
      </c>
      <c r="AC152" s="24">
        <f>IF($G152="","",IF($H152="※编码不在物料档案里","※物料编码不在档案里",IF(N($K152)&lt;=0,"※入库数量要大于 0",IF(AND($C152&lt;&gt;"",$C152&lt;=结账锁),"※日期早于已结账截止日，不能再录",IF(AND($L152=0,$X152="正常"),"※没填单价，价格状态请选「待补价」",IF(AND($S152&gt;0,$R152&gt;0),"△本批有 "&amp;$S152&amp;" 行没单价，整批运费先挂账没摊",IF(AND($B152&lt;&gt;"",COUNTIF($B$4:$B$2503,$B152)&gt;1),"※入库单号重复","")))))))</f>
        <v/>
      </c>
    </row>
    <row r="153">
      <c r="A153" s="24">
        <f>IF($G153="","",COUNTA($G$4:$G153))</f>
        <v/>
      </c>
      <c r="B153" s="17" t="n"/>
      <c r="C153" s="30" t="n">
        <v>46052</v>
      </c>
      <c r="D153" s="17" t="inlineStr">
        <is>
          <t>A国内</t>
        </is>
      </c>
      <c r="E153" s="17" t="inlineStr">
        <is>
          <t>LCZU6663979-202601</t>
        </is>
      </c>
      <c r="F153" s="17" t="n"/>
      <c r="G153" s="17" t="inlineStr">
        <is>
          <t>JH0146</t>
        </is>
      </c>
      <c r="H153" s="24">
        <f>IF($G153="","",IFERROR(VLOOKUP($G153,物料档案!$A$4:$P$1203,3,0),"※编码不在物料档案里"))</f>
        <v/>
      </c>
      <c r="I153" s="24">
        <f>IF($G153="","",IFERROR(VLOOKUP($G153,物料档案!$A$4:$P$1203,4,0),"※编码不在物料档案里"))</f>
        <v/>
      </c>
      <c r="J153" s="24">
        <f>IF($G153="","",IFERROR(VLOOKUP($G153,物料档案!$A$4:$P$1203,5,0),"※编码不在物料档案里"))</f>
        <v/>
      </c>
      <c r="K153" s="23" t="n">
        <v>200</v>
      </c>
      <c r="L153" s="31" t="n"/>
      <c r="M153" s="24">
        <f>IF($G153="","",IF($D153="A国内","CNY","TZS"))</f>
        <v/>
      </c>
      <c r="N153" s="28">
        <f>IF($G153="","",IF($D153="A国内",汇率,1))</f>
        <v/>
      </c>
      <c r="O153" s="25">
        <f>IF($G153="","",ROUND(N($K153)*N($L153),2))</f>
        <v/>
      </c>
      <c r="P153" s="26">
        <f>IF($G153="","",ROUND($O153*$N153,0))</f>
        <v/>
      </c>
      <c r="Q153" s="26">
        <f>IF($G153="","",SUMIFS($P$4:$P$2503,$E$4:$E$2503,$E153,$Z$4:$Z$2503,"正常"))</f>
        <v/>
      </c>
      <c r="R153" s="26">
        <f>IF($G153="","",SUMIFS(费用台账!$I$4:$I$503,费用台账!$C$4:$C$503,$E153,费用台账!$J$4:$J$503,"是",费用台账!$K$4:$K$503,"正常"))</f>
        <v/>
      </c>
      <c r="S153" s="28">
        <f>IF($G153="","",COUNTIFS($E$4:$E$2503,$E153,$Z$4:$Z$2503,"正常",$Y$4:$Y$2503,"待补价"))</f>
        <v/>
      </c>
      <c r="T153" s="26">
        <f>IF($G153="","",SUMIFS($P$4:$P$2503,$E$4:$E$2503,$E153,$Z$4:$Z$2503,"正常",$A$4:$A$2503,"&lt;="&amp;$A153))</f>
        <v/>
      </c>
      <c r="U153" s="26">
        <f>IF($G153="","",IF(OR($S153&gt;0,$Q153=0,$R153=0,$Z153&lt;&gt;"正常"),0,ROUND($T153/$Q153*$R153,0)-ROUND(($T153-$P153)/$Q153*$R153,0)))</f>
        <v/>
      </c>
      <c r="V153" s="26">
        <f>IF($G153="","",ROUND($P153+$U153,0))</f>
        <v/>
      </c>
      <c r="W153" s="26">
        <f>IF($G153="","",IF(N($K153)=0,0,ROUND($V153/$K153,2)))</f>
        <v/>
      </c>
      <c r="X153" s="17" t="inlineStr">
        <is>
          <t>采购入库</t>
        </is>
      </c>
      <c r="Y153" s="17" t="inlineStr">
        <is>
          <t>待补价</t>
        </is>
      </c>
      <c r="Z153" s="17" t="inlineStr">
        <is>
          <t>正常</t>
        </is>
      </c>
      <c r="AA153" s="17" t="n"/>
      <c r="AB153" s="17" t="inlineStr">
        <is>
          <t>原表第 158 行</t>
        </is>
      </c>
      <c r="AC153" s="24">
        <f>IF($G153="","",IF($H153="※编码不在物料档案里","※物料编码不在档案里",IF(N($K153)&lt;=0,"※入库数量要大于 0",IF(AND($C153&lt;&gt;"",$C153&lt;=结账锁),"※日期早于已结账截止日，不能再录",IF(AND($L153=0,$X153="正常"),"※没填单价，价格状态请选「待补价」",IF(AND($S153&gt;0,$R153&gt;0),"△本批有 "&amp;$S153&amp;" 行没单价，整批运费先挂账没摊",IF(AND($B153&lt;&gt;"",COUNTIF($B$4:$B$2503,$B153)&gt;1),"※入库单号重复","")))))))</f>
        <v/>
      </c>
    </row>
    <row r="154">
      <c r="A154" s="24">
        <f>IF($G154="","",COUNTA($G$4:$G154))</f>
        <v/>
      </c>
      <c r="B154" s="17" t="n"/>
      <c r="C154" s="30" t="n">
        <v>46052</v>
      </c>
      <c r="D154" s="17" t="inlineStr">
        <is>
          <t>A国内</t>
        </is>
      </c>
      <c r="E154" s="17" t="inlineStr">
        <is>
          <t>LCZU6663979-202601</t>
        </is>
      </c>
      <c r="F154" s="17" t="n"/>
      <c r="G154" s="17" t="inlineStr">
        <is>
          <t>JH0147</t>
        </is>
      </c>
      <c r="H154" s="24">
        <f>IF($G154="","",IFERROR(VLOOKUP($G154,物料档案!$A$4:$P$1203,3,0),"※编码不在物料档案里"))</f>
        <v/>
      </c>
      <c r="I154" s="24">
        <f>IF($G154="","",IFERROR(VLOOKUP($G154,物料档案!$A$4:$P$1203,4,0),"※编码不在物料档案里"))</f>
        <v/>
      </c>
      <c r="J154" s="24">
        <f>IF($G154="","",IFERROR(VLOOKUP($G154,物料档案!$A$4:$P$1203,5,0),"※编码不在物料档案里"))</f>
        <v/>
      </c>
      <c r="K154" s="23" t="n">
        <v>200</v>
      </c>
      <c r="L154" s="31" t="n"/>
      <c r="M154" s="24">
        <f>IF($G154="","",IF($D154="A国内","CNY","TZS"))</f>
        <v/>
      </c>
      <c r="N154" s="28">
        <f>IF($G154="","",IF($D154="A国内",汇率,1))</f>
        <v/>
      </c>
      <c r="O154" s="25">
        <f>IF($G154="","",ROUND(N($K154)*N($L154),2))</f>
        <v/>
      </c>
      <c r="P154" s="26">
        <f>IF($G154="","",ROUND($O154*$N154,0))</f>
        <v/>
      </c>
      <c r="Q154" s="26">
        <f>IF($G154="","",SUMIFS($P$4:$P$2503,$E$4:$E$2503,$E154,$Z$4:$Z$2503,"正常"))</f>
        <v/>
      </c>
      <c r="R154" s="26">
        <f>IF($G154="","",SUMIFS(费用台账!$I$4:$I$503,费用台账!$C$4:$C$503,$E154,费用台账!$J$4:$J$503,"是",费用台账!$K$4:$K$503,"正常"))</f>
        <v/>
      </c>
      <c r="S154" s="28">
        <f>IF($G154="","",COUNTIFS($E$4:$E$2503,$E154,$Z$4:$Z$2503,"正常",$Y$4:$Y$2503,"待补价"))</f>
        <v/>
      </c>
      <c r="T154" s="26">
        <f>IF($G154="","",SUMIFS($P$4:$P$2503,$E$4:$E$2503,$E154,$Z$4:$Z$2503,"正常",$A$4:$A$2503,"&lt;="&amp;$A154))</f>
        <v/>
      </c>
      <c r="U154" s="26">
        <f>IF($G154="","",IF(OR($S154&gt;0,$Q154=0,$R154=0,$Z154&lt;&gt;"正常"),0,ROUND($T154/$Q154*$R154,0)-ROUND(($T154-$P154)/$Q154*$R154,0)))</f>
        <v/>
      </c>
      <c r="V154" s="26">
        <f>IF($G154="","",ROUND($P154+$U154,0))</f>
        <v/>
      </c>
      <c r="W154" s="26">
        <f>IF($G154="","",IF(N($K154)=0,0,ROUND($V154/$K154,2)))</f>
        <v/>
      </c>
      <c r="X154" s="17" t="inlineStr">
        <is>
          <t>采购入库</t>
        </is>
      </c>
      <c r="Y154" s="17" t="inlineStr">
        <is>
          <t>待补价</t>
        </is>
      </c>
      <c r="Z154" s="17" t="inlineStr">
        <is>
          <t>正常</t>
        </is>
      </c>
      <c r="AA154" s="17" t="n"/>
      <c r="AB154" s="17" t="inlineStr">
        <is>
          <t>原表第 159 行</t>
        </is>
      </c>
      <c r="AC154" s="24">
        <f>IF($G154="","",IF($H154="※编码不在物料档案里","※物料编码不在档案里",IF(N($K154)&lt;=0,"※入库数量要大于 0",IF(AND($C154&lt;&gt;"",$C154&lt;=结账锁),"※日期早于已结账截止日，不能再录",IF(AND($L154=0,$X154="正常"),"※没填单价，价格状态请选「待补价」",IF(AND($S154&gt;0,$R154&gt;0),"△本批有 "&amp;$S154&amp;" 行没单价，整批运费先挂账没摊",IF(AND($B154&lt;&gt;"",COUNTIF($B$4:$B$2503,$B154)&gt;1),"※入库单号重复","")))))))</f>
        <v/>
      </c>
    </row>
    <row r="155">
      <c r="A155" s="24">
        <f>IF($G155="","",COUNTA($G$4:$G155))</f>
        <v/>
      </c>
      <c r="B155" s="17" t="n"/>
      <c r="C155" s="30" t="n">
        <v>46052</v>
      </c>
      <c r="D155" s="17" t="inlineStr">
        <is>
          <t>A国内</t>
        </is>
      </c>
      <c r="E155" s="17" t="inlineStr">
        <is>
          <t>LCZU6663979-202601</t>
        </is>
      </c>
      <c r="F155" s="17" t="n"/>
      <c r="G155" s="17" t="inlineStr">
        <is>
          <t>JH0148</t>
        </is>
      </c>
      <c r="H155" s="24">
        <f>IF($G155="","",IFERROR(VLOOKUP($G155,物料档案!$A$4:$P$1203,3,0),"※编码不在物料档案里"))</f>
        <v/>
      </c>
      <c r="I155" s="24">
        <f>IF($G155="","",IFERROR(VLOOKUP($G155,物料档案!$A$4:$P$1203,4,0),"※编码不在物料档案里"))</f>
        <v/>
      </c>
      <c r="J155" s="24">
        <f>IF($G155="","",IFERROR(VLOOKUP($G155,物料档案!$A$4:$P$1203,5,0),"※编码不在物料档案里"))</f>
        <v/>
      </c>
      <c r="K155" s="23" t="n">
        <v>10</v>
      </c>
      <c r="L155" s="31" t="n"/>
      <c r="M155" s="24">
        <f>IF($G155="","",IF($D155="A国内","CNY","TZS"))</f>
        <v/>
      </c>
      <c r="N155" s="28">
        <f>IF($G155="","",IF($D155="A国内",汇率,1))</f>
        <v/>
      </c>
      <c r="O155" s="25">
        <f>IF($G155="","",ROUND(N($K155)*N($L155),2))</f>
        <v/>
      </c>
      <c r="P155" s="26">
        <f>IF($G155="","",ROUND($O155*$N155,0))</f>
        <v/>
      </c>
      <c r="Q155" s="26">
        <f>IF($G155="","",SUMIFS($P$4:$P$2503,$E$4:$E$2503,$E155,$Z$4:$Z$2503,"正常"))</f>
        <v/>
      </c>
      <c r="R155" s="26">
        <f>IF($G155="","",SUMIFS(费用台账!$I$4:$I$503,费用台账!$C$4:$C$503,$E155,费用台账!$J$4:$J$503,"是",费用台账!$K$4:$K$503,"正常"))</f>
        <v/>
      </c>
      <c r="S155" s="28">
        <f>IF($G155="","",COUNTIFS($E$4:$E$2503,$E155,$Z$4:$Z$2503,"正常",$Y$4:$Y$2503,"待补价"))</f>
        <v/>
      </c>
      <c r="T155" s="26">
        <f>IF($G155="","",SUMIFS($P$4:$P$2503,$E$4:$E$2503,$E155,$Z$4:$Z$2503,"正常",$A$4:$A$2503,"&lt;="&amp;$A155))</f>
        <v/>
      </c>
      <c r="U155" s="26">
        <f>IF($G155="","",IF(OR($S155&gt;0,$Q155=0,$R155=0,$Z155&lt;&gt;"正常"),0,ROUND($T155/$Q155*$R155,0)-ROUND(($T155-$P155)/$Q155*$R155,0)))</f>
        <v/>
      </c>
      <c r="V155" s="26">
        <f>IF($G155="","",ROUND($P155+$U155,0))</f>
        <v/>
      </c>
      <c r="W155" s="26">
        <f>IF($G155="","",IF(N($K155)=0,0,ROUND($V155/$K155,2)))</f>
        <v/>
      </c>
      <c r="X155" s="17" t="inlineStr">
        <is>
          <t>采购入库</t>
        </is>
      </c>
      <c r="Y155" s="17" t="inlineStr">
        <is>
          <t>待补价</t>
        </is>
      </c>
      <c r="Z155" s="17" t="inlineStr">
        <is>
          <t>正常</t>
        </is>
      </c>
      <c r="AA155" s="17" t="n"/>
      <c r="AB155" s="17" t="inlineStr">
        <is>
          <t>原表第 160 行</t>
        </is>
      </c>
      <c r="AC155" s="24">
        <f>IF($G155="","",IF($H155="※编码不在物料档案里","※物料编码不在档案里",IF(N($K155)&lt;=0,"※入库数量要大于 0",IF(AND($C155&lt;&gt;"",$C155&lt;=结账锁),"※日期早于已结账截止日，不能再录",IF(AND($L155=0,$X155="正常"),"※没填单价，价格状态请选「待补价」",IF(AND($S155&gt;0,$R155&gt;0),"△本批有 "&amp;$S155&amp;" 行没单价，整批运费先挂账没摊",IF(AND($B155&lt;&gt;"",COUNTIF($B$4:$B$2503,$B155)&gt;1),"※入库单号重复","")))))))</f>
        <v/>
      </c>
    </row>
    <row r="156">
      <c r="A156" s="24">
        <f>IF($G156="","",COUNTA($G$4:$G156))</f>
        <v/>
      </c>
      <c r="B156" s="17" t="n"/>
      <c r="C156" s="30" t="n">
        <v>46052</v>
      </c>
      <c r="D156" s="17" t="inlineStr">
        <is>
          <t>A国内</t>
        </is>
      </c>
      <c r="E156" s="17" t="inlineStr">
        <is>
          <t>LCZU6663979-202601</t>
        </is>
      </c>
      <c r="F156" s="17" t="n"/>
      <c r="G156" s="17" t="inlineStr">
        <is>
          <t>JH0149</t>
        </is>
      </c>
      <c r="H156" s="24">
        <f>IF($G156="","",IFERROR(VLOOKUP($G156,物料档案!$A$4:$P$1203,3,0),"※编码不在物料档案里"))</f>
        <v/>
      </c>
      <c r="I156" s="24">
        <f>IF($G156="","",IFERROR(VLOOKUP($G156,物料档案!$A$4:$P$1203,4,0),"※编码不在物料档案里"))</f>
        <v/>
      </c>
      <c r="J156" s="24">
        <f>IF($G156="","",IFERROR(VLOOKUP($G156,物料档案!$A$4:$P$1203,5,0),"※编码不在物料档案里"))</f>
        <v/>
      </c>
      <c r="K156" s="23" t="n">
        <v>7</v>
      </c>
      <c r="L156" s="31" t="n"/>
      <c r="M156" s="24">
        <f>IF($G156="","",IF($D156="A国内","CNY","TZS"))</f>
        <v/>
      </c>
      <c r="N156" s="28">
        <f>IF($G156="","",IF($D156="A国内",汇率,1))</f>
        <v/>
      </c>
      <c r="O156" s="25">
        <f>IF($G156="","",ROUND(N($K156)*N($L156),2))</f>
        <v/>
      </c>
      <c r="P156" s="26">
        <f>IF($G156="","",ROUND($O156*$N156,0))</f>
        <v/>
      </c>
      <c r="Q156" s="26">
        <f>IF($G156="","",SUMIFS($P$4:$P$2503,$E$4:$E$2503,$E156,$Z$4:$Z$2503,"正常"))</f>
        <v/>
      </c>
      <c r="R156" s="26">
        <f>IF($G156="","",SUMIFS(费用台账!$I$4:$I$503,费用台账!$C$4:$C$503,$E156,费用台账!$J$4:$J$503,"是",费用台账!$K$4:$K$503,"正常"))</f>
        <v/>
      </c>
      <c r="S156" s="28">
        <f>IF($G156="","",COUNTIFS($E$4:$E$2503,$E156,$Z$4:$Z$2503,"正常",$Y$4:$Y$2503,"待补价"))</f>
        <v/>
      </c>
      <c r="T156" s="26">
        <f>IF($G156="","",SUMIFS($P$4:$P$2503,$E$4:$E$2503,$E156,$Z$4:$Z$2503,"正常",$A$4:$A$2503,"&lt;="&amp;$A156))</f>
        <v/>
      </c>
      <c r="U156" s="26">
        <f>IF($G156="","",IF(OR($S156&gt;0,$Q156=0,$R156=0,$Z156&lt;&gt;"正常"),0,ROUND($T156/$Q156*$R156,0)-ROUND(($T156-$P156)/$Q156*$R156,0)))</f>
        <v/>
      </c>
      <c r="V156" s="26">
        <f>IF($G156="","",ROUND($P156+$U156,0))</f>
        <v/>
      </c>
      <c r="W156" s="26">
        <f>IF($G156="","",IF(N($K156)=0,0,ROUND($V156/$K156,2)))</f>
        <v/>
      </c>
      <c r="X156" s="17" t="inlineStr">
        <is>
          <t>采购入库</t>
        </is>
      </c>
      <c r="Y156" s="17" t="inlineStr">
        <is>
          <t>待补价</t>
        </is>
      </c>
      <c r="Z156" s="17" t="inlineStr">
        <is>
          <t>正常</t>
        </is>
      </c>
      <c r="AA156" s="17" t="n"/>
      <c r="AB156" s="17" t="inlineStr">
        <is>
          <t>原表第 161 行</t>
        </is>
      </c>
      <c r="AC156" s="24">
        <f>IF($G156="","",IF($H156="※编码不在物料档案里","※物料编码不在档案里",IF(N($K156)&lt;=0,"※入库数量要大于 0",IF(AND($C156&lt;&gt;"",$C156&lt;=结账锁),"※日期早于已结账截止日，不能再录",IF(AND($L156=0,$X156="正常"),"※没填单价，价格状态请选「待补价」",IF(AND($S156&gt;0,$R156&gt;0),"△本批有 "&amp;$S156&amp;" 行没单价，整批运费先挂账没摊",IF(AND($B156&lt;&gt;"",COUNTIF($B$4:$B$2503,$B156)&gt;1),"※入库单号重复","")))))))</f>
        <v/>
      </c>
    </row>
    <row r="157">
      <c r="A157" s="24">
        <f>IF($G157="","",COUNTA($G$4:$G157))</f>
        <v/>
      </c>
      <c r="B157" s="17" t="n"/>
      <c r="C157" s="30" t="n">
        <v>46052</v>
      </c>
      <c r="D157" s="17" t="inlineStr">
        <is>
          <t>A国内</t>
        </is>
      </c>
      <c r="E157" s="17" t="inlineStr">
        <is>
          <t>LCZU6663979-202601</t>
        </is>
      </c>
      <c r="F157" s="17" t="n"/>
      <c r="G157" s="17" t="inlineStr">
        <is>
          <t>JH0069</t>
        </is>
      </c>
      <c r="H157" s="24">
        <f>IF($G157="","",IFERROR(VLOOKUP($G157,物料档案!$A$4:$P$1203,3,0),"※编码不在物料档案里"))</f>
        <v/>
      </c>
      <c r="I157" s="24">
        <f>IF($G157="","",IFERROR(VLOOKUP($G157,物料档案!$A$4:$P$1203,4,0),"※编码不在物料档案里"))</f>
        <v/>
      </c>
      <c r="J157" s="24">
        <f>IF($G157="","",IFERROR(VLOOKUP($G157,物料档案!$A$4:$P$1203,5,0),"※编码不在物料档案里"))</f>
        <v/>
      </c>
      <c r="K157" s="23" t="n">
        <v>10</v>
      </c>
      <c r="L157" s="31" t="n"/>
      <c r="M157" s="24">
        <f>IF($G157="","",IF($D157="A国内","CNY","TZS"))</f>
        <v/>
      </c>
      <c r="N157" s="28">
        <f>IF($G157="","",IF($D157="A国内",汇率,1))</f>
        <v/>
      </c>
      <c r="O157" s="25">
        <f>IF($G157="","",ROUND(N($K157)*N($L157),2))</f>
        <v/>
      </c>
      <c r="P157" s="26">
        <f>IF($G157="","",ROUND($O157*$N157,0))</f>
        <v/>
      </c>
      <c r="Q157" s="26">
        <f>IF($G157="","",SUMIFS($P$4:$P$2503,$E$4:$E$2503,$E157,$Z$4:$Z$2503,"正常"))</f>
        <v/>
      </c>
      <c r="R157" s="26">
        <f>IF($G157="","",SUMIFS(费用台账!$I$4:$I$503,费用台账!$C$4:$C$503,$E157,费用台账!$J$4:$J$503,"是",费用台账!$K$4:$K$503,"正常"))</f>
        <v/>
      </c>
      <c r="S157" s="28">
        <f>IF($G157="","",COUNTIFS($E$4:$E$2503,$E157,$Z$4:$Z$2503,"正常",$Y$4:$Y$2503,"待补价"))</f>
        <v/>
      </c>
      <c r="T157" s="26">
        <f>IF($G157="","",SUMIFS($P$4:$P$2503,$E$4:$E$2503,$E157,$Z$4:$Z$2503,"正常",$A$4:$A$2503,"&lt;="&amp;$A157))</f>
        <v/>
      </c>
      <c r="U157" s="26">
        <f>IF($G157="","",IF(OR($S157&gt;0,$Q157=0,$R157=0,$Z157&lt;&gt;"正常"),0,ROUND($T157/$Q157*$R157,0)-ROUND(($T157-$P157)/$Q157*$R157,0)))</f>
        <v/>
      </c>
      <c r="V157" s="26">
        <f>IF($G157="","",ROUND($P157+$U157,0))</f>
        <v/>
      </c>
      <c r="W157" s="26">
        <f>IF($G157="","",IF(N($K157)=0,0,ROUND($V157/$K157,2)))</f>
        <v/>
      </c>
      <c r="X157" s="17" t="inlineStr">
        <is>
          <t>采购入库</t>
        </is>
      </c>
      <c r="Y157" s="17" t="inlineStr">
        <is>
          <t>待补价</t>
        </is>
      </c>
      <c r="Z157" s="17" t="inlineStr">
        <is>
          <t>正常</t>
        </is>
      </c>
      <c r="AA157" s="17" t="n"/>
      <c r="AB157" s="17" t="inlineStr">
        <is>
          <t>原表第 162 行</t>
        </is>
      </c>
      <c r="AC157" s="24">
        <f>IF($G157="","",IF($H157="※编码不在物料档案里","※物料编码不在档案里",IF(N($K157)&lt;=0,"※入库数量要大于 0",IF(AND($C157&lt;&gt;"",$C157&lt;=结账锁),"※日期早于已结账截止日，不能再录",IF(AND($L157=0,$X157="正常"),"※没填单价，价格状态请选「待补价」",IF(AND($S157&gt;0,$R157&gt;0),"△本批有 "&amp;$S157&amp;" 行没单价，整批运费先挂账没摊",IF(AND($B157&lt;&gt;"",COUNTIF($B$4:$B$2503,$B157)&gt;1),"※入库单号重复","")))))))</f>
        <v/>
      </c>
    </row>
    <row r="158">
      <c r="A158" s="24">
        <f>IF($G158="","",COUNTA($G$4:$G158))</f>
        <v/>
      </c>
      <c r="B158" s="17" t="n"/>
      <c r="C158" s="30" t="n">
        <v>46052</v>
      </c>
      <c r="D158" s="17" t="inlineStr">
        <is>
          <t>A国内</t>
        </is>
      </c>
      <c r="E158" s="17" t="inlineStr">
        <is>
          <t>LCZU6663979-202601</t>
        </is>
      </c>
      <c r="F158" s="17" t="n"/>
      <c r="G158" s="17" t="inlineStr">
        <is>
          <t>JH0150</t>
        </is>
      </c>
      <c r="H158" s="24">
        <f>IF($G158="","",IFERROR(VLOOKUP($G158,物料档案!$A$4:$P$1203,3,0),"※编码不在物料档案里"))</f>
        <v/>
      </c>
      <c r="I158" s="24">
        <f>IF($G158="","",IFERROR(VLOOKUP($G158,物料档案!$A$4:$P$1203,4,0),"※编码不在物料档案里"))</f>
        <v/>
      </c>
      <c r="J158" s="24">
        <f>IF($G158="","",IFERROR(VLOOKUP($G158,物料档案!$A$4:$P$1203,5,0),"※编码不在物料档案里"))</f>
        <v/>
      </c>
      <c r="K158" s="23" t="n">
        <v>20</v>
      </c>
      <c r="L158" s="31" t="n"/>
      <c r="M158" s="24">
        <f>IF($G158="","",IF($D158="A国内","CNY","TZS"))</f>
        <v/>
      </c>
      <c r="N158" s="28">
        <f>IF($G158="","",IF($D158="A国内",汇率,1))</f>
        <v/>
      </c>
      <c r="O158" s="25">
        <f>IF($G158="","",ROUND(N($K158)*N($L158),2))</f>
        <v/>
      </c>
      <c r="P158" s="26">
        <f>IF($G158="","",ROUND($O158*$N158,0))</f>
        <v/>
      </c>
      <c r="Q158" s="26">
        <f>IF($G158="","",SUMIFS($P$4:$P$2503,$E$4:$E$2503,$E158,$Z$4:$Z$2503,"正常"))</f>
        <v/>
      </c>
      <c r="R158" s="26">
        <f>IF($G158="","",SUMIFS(费用台账!$I$4:$I$503,费用台账!$C$4:$C$503,$E158,费用台账!$J$4:$J$503,"是",费用台账!$K$4:$K$503,"正常"))</f>
        <v/>
      </c>
      <c r="S158" s="28">
        <f>IF($G158="","",COUNTIFS($E$4:$E$2503,$E158,$Z$4:$Z$2503,"正常",$Y$4:$Y$2503,"待补价"))</f>
        <v/>
      </c>
      <c r="T158" s="26">
        <f>IF($G158="","",SUMIFS($P$4:$P$2503,$E$4:$E$2503,$E158,$Z$4:$Z$2503,"正常",$A$4:$A$2503,"&lt;="&amp;$A158))</f>
        <v/>
      </c>
      <c r="U158" s="26">
        <f>IF($G158="","",IF(OR($S158&gt;0,$Q158=0,$R158=0,$Z158&lt;&gt;"正常"),0,ROUND($T158/$Q158*$R158,0)-ROUND(($T158-$P158)/$Q158*$R158,0)))</f>
        <v/>
      </c>
      <c r="V158" s="26">
        <f>IF($G158="","",ROUND($P158+$U158,0))</f>
        <v/>
      </c>
      <c r="W158" s="26">
        <f>IF($G158="","",IF(N($K158)=0,0,ROUND($V158/$K158,2)))</f>
        <v/>
      </c>
      <c r="X158" s="17" t="inlineStr">
        <is>
          <t>采购入库</t>
        </is>
      </c>
      <c r="Y158" s="17" t="inlineStr">
        <is>
          <t>待补价</t>
        </is>
      </c>
      <c r="Z158" s="17" t="inlineStr">
        <is>
          <t>正常</t>
        </is>
      </c>
      <c r="AA158" s="17" t="n"/>
      <c r="AB158" s="17" t="inlineStr">
        <is>
          <t>原表第 163 行</t>
        </is>
      </c>
      <c r="AC158" s="24">
        <f>IF($G158="","",IF($H158="※编码不在物料档案里","※物料编码不在档案里",IF(N($K158)&lt;=0,"※入库数量要大于 0",IF(AND($C158&lt;&gt;"",$C158&lt;=结账锁),"※日期早于已结账截止日，不能再录",IF(AND($L158=0,$X158="正常"),"※没填单价，价格状态请选「待补价」",IF(AND($S158&gt;0,$R158&gt;0),"△本批有 "&amp;$S158&amp;" 行没单价，整批运费先挂账没摊",IF(AND($B158&lt;&gt;"",COUNTIF($B$4:$B$2503,$B158)&gt;1),"※入库单号重复","")))))))</f>
        <v/>
      </c>
    </row>
    <row r="159">
      <c r="A159" s="24">
        <f>IF($G159="","",COUNTA($G$4:$G159))</f>
        <v/>
      </c>
      <c r="B159" s="17" t="n"/>
      <c r="C159" s="30" t="n">
        <v>46052</v>
      </c>
      <c r="D159" s="17" t="inlineStr">
        <is>
          <t>A国内</t>
        </is>
      </c>
      <c r="E159" s="17" t="inlineStr">
        <is>
          <t>LCZU6663979-202601</t>
        </is>
      </c>
      <c r="F159" s="17" t="n"/>
      <c r="G159" s="17" t="inlineStr">
        <is>
          <t>JH0150</t>
        </is>
      </c>
      <c r="H159" s="24">
        <f>IF($G159="","",IFERROR(VLOOKUP($G159,物料档案!$A$4:$P$1203,3,0),"※编码不在物料档案里"))</f>
        <v/>
      </c>
      <c r="I159" s="24">
        <f>IF($G159="","",IFERROR(VLOOKUP($G159,物料档案!$A$4:$P$1203,4,0),"※编码不在物料档案里"))</f>
        <v/>
      </c>
      <c r="J159" s="24">
        <f>IF($G159="","",IFERROR(VLOOKUP($G159,物料档案!$A$4:$P$1203,5,0),"※编码不在物料档案里"))</f>
        <v/>
      </c>
      <c r="K159" s="23" t="n">
        <v>10</v>
      </c>
      <c r="L159" s="31" t="n"/>
      <c r="M159" s="24">
        <f>IF($G159="","",IF($D159="A国内","CNY","TZS"))</f>
        <v/>
      </c>
      <c r="N159" s="28">
        <f>IF($G159="","",IF($D159="A国内",汇率,1))</f>
        <v/>
      </c>
      <c r="O159" s="25">
        <f>IF($G159="","",ROUND(N($K159)*N($L159),2))</f>
        <v/>
      </c>
      <c r="P159" s="26">
        <f>IF($G159="","",ROUND($O159*$N159,0))</f>
        <v/>
      </c>
      <c r="Q159" s="26">
        <f>IF($G159="","",SUMIFS($P$4:$P$2503,$E$4:$E$2503,$E159,$Z$4:$Z$2503,"正常"))</f>
        <v/>
      </c>
      <c r="R159" s="26">
        <f>IF($G159="","",SUMIFS(费用台账!$I$4:$I$503,费用台账!$C$4:$C$503,$E159,费用台账!$J$4:$J$503,"是",费用台账!$K$4:$K$503,"正常"))</f>
        <v/>
      </c>
      <c r="S159" s="28">
        <f>IF($G159="","",COUNTIFS($E$4:$E$2503,$E159,$Z$4:$Z$2503,"正常",$Y$4:$Y$2503,"待补价"))</f>
        <v/>
      </c>
      <c r="T159" s="26">
        <f>IF($G159="","",SUMIFS($P$4:$P$2503,$E$4:$E$2503,$E159,$Z$4:$Z$2503,"正常",$A$4:$A$2503,"&lt;="&amp;$A159))</f>
        <v/>
      </c>
      <c r="U159" s="26">
        <f>IF($G159="","",IF(OR($S159&gt;0,$Q159=0,$R159=0,$Z159&lt;&gt;"正常"),0,ROUND($T159/$Q159*$R159,0)-ROUND(($T159-$P159)/$Q159*$R159,0)))</f>
        <v/>
      </c>
      <c r="V159" s="26">
        <f>IF($G159="","",ROUND($P159+$U159,0))</f>
        <v/>
      </c>
      <c r="W159" s="26">
        <f>IF($G159="","",IF(N($K159)=0,0,ROUND($V159/$K159,2)))</f>
        <v/>
      </c>
      <c r="X159" s="17" t="inlineStr">
        <is>
          <t>采购入库</t>
        </is>
      </c>
      <c r="Y159" s="17" t="inlineStr">
        <is>
          <t>待补价</t>
        </is>
      </c>
      <c r="Z159" s="17" t="inlineStr">
        <is>
          <t>正常</t>
        </is>
      </c>
      <c r="AA159" s="17" t="n"/>
      <c r="AB159" s="17" t="inlineStr">
        <is>
          <t>原表第 164 行</t>
        </is>
      </c>
      <c r="AC159" s="24">
        <f>IF($G159="","",IF($H159="※编码不在物料档案里","※物料编码不在档案里",IF(N($K159)&lt;=0,"※入库数量要大于 0",IF(AND($C159&lt;&gt;"",$C159&lt;=结账锁),"※日期早于已结账截止日，不能再录",IF(AND($L159=0,$X159="正常"),"※没填单价，价格状态请选「待补价」",IF(AND($S159&gt;0,$R159&gt;0),"△本批有 "&amp;$S159&amp;" 行没单价，整批运费先挂账没摊",IF(AND($B159&lt;&gt;"",COUNTIF($B$4:$B$2503,$B159)&gt;1),"※入库单号重复","")))))))</f>
        <v/>
      </c>
    </row>
    <row r="160">
      <c r="A160" s="24">
        <f>IF($G160="","",COUNTA($G$4:$G160))</f>
        <v/>
      </c>
      <c r="B160" s="17" t="n"/>
      <c r="C160" s="30" t="n">
        <v>46052</v>
      </c>
      <c r="D160" s="17" t="inlineStr">
        <is>
          <t>A国内</t>
        </is>
      </c>
      <c r="E160" s="17" t="inlineStr">
        <is>
          <t>LCZU6663979-202601</t>
        </is>
      </c>
      <c r="F160" s="17" t="n"/>
      <c r="G160" s="17" t="inlineStr">
        <is>
          <t>JH0150</t>
        </is>
      </c>
      <c r="H160" s="24">
        <f>IF($G160="","",IFERROR(VLOOKUP($G160,物料档案!$A$4:$P$1203,3,0),"※编码不在物料档案里"))</f>
        <v/>
      </c>
      <c r="I160" s="24">
        <f>IF($G160="","",IFERROR(VLOOKUP($G160,物料档案!$A$4:$P$1203,4,0),"※编码不在物料档案里"))</f>
        <v/>
      </c>
      <c r="J160" s="24">
        <f>IF($G160="","",IFERROR(VLOOKUP($G160,物料档案!$A$4:$P$1203,5,0),"※编码不在物料档案里"))</f>
        <v/>
      </c>
      <c r="K160" s="23" t="n">
        <v>5</v>
      </c>
      <c r="L160" s="31" t="n"/>
      <c r="M160" s="24">
        <f>IF($G160="","",IF($D160="A国内","CNY","TZS"))</f>
        <v/>
      </c>
      <c r="N160" s="28">
        <f>IF($G160="","",IF($D160="A国内",汇率,1))</f>
        <v/>
      </c>
      <c r="O160" s="25">
        <f>IF($G160="","",ROUND(N($K160)*N($L160),2))</f>
        <v/>
      </c>
      <c r="P160" s="26">
        <f>IF($G160="","",ROUND($O160*$N160,0))</f>
        <v/>
      </c>
      <c r="Q160" s="26">
        <f>IF($G160="","",SUMIFS($P$4:$P$2503,$E$4:$E$2503,$E160,$Z$4:$Z$2503,"正常"))</f>
        <v/>
      </c>
      <c r="R160" s="26">
        <f>IF($G160="","",SUMIFS(费用台账!$I$4:$I$503,费用台账!$C$4:$C$503,$E160,费用台账!$J$4:$J$503,"是",费用台账!$K$4:$K$503,"正常"))</f>
        <v/>
      </c>
      <c r="S160" s="28">
        <f>IF($G160="","",COUNTIFS($E$4:$E$2503,$E160,$Z$4:$Z$2503,"正常",$Y$4:$Y$2503,"待补价"))</f>
        <v/>
      </c>
      <c r="T160" s="26">
        <f>IF($G160="","",SUMIFS($P$4:$P$2503,$E$4:$E$2503,$E160,$Z$4:$Z$2503,"正常",$A$4:$A$2503,"&lt;="&amp;$A160))</f>
        <v/>
      </c>
      <c r="U160" s="26">
        <f>IF($G160="","",IF(OR($S160&gt;0,$Q160=0,$R160=0,$Z160&lt;&gt;"正常"),0,ROUND($T160/$Q160*$R160,0)-ROUND(($T160-$P160)/$Q160*$R160,0)))</f>
        <v/>
      </c>
      <c r="V160" s="26">
        <f>IF($G160="","",ROUND($P160+$U160,0))</f>
        <v/>
      </c>
      <c r="W160" s="26">
        <f>IF($G160="","",IF(N($K160)=0,0,ROUND($V160/$K160,2)))</f>
        <v/>
      </c>
      <c r="X160" s="17" t="inlineStr">
        <is>
          <t>采购入库</t>
        </is>
      </c>
      <c r="Y160" s="17" t="inlineStr">
        <is>
          <t>待补价</t>
        </is>
      </c>
      <c r="Z160" s="17" t="inlineStr">
        <is>
          <t>正常</t>
        </is>
      </c>
      <c r="AA160" s="17" t="n"/>
      <c r="AB160" s="17" t="inlineStr">
        <is>
          <t>原表第 165 行</t>
        </is>
      </c>
      <c r="AC160" s="24">
        <f>IF($G160="","",IF($H160="※编码不在物料档案里","※物料编码不在档案里",IF(N($K160)&lt;=0,"※入库数量要大于 0",IF(AND($C160&lt;&gt;"",$C160&lt;=结账锁),"※日期早于已结账截止日，不能再录",IF(AND($L160=0,$X160="正常"),"※没填单价，价格状态请选「待补价」",IF(AND($S160&gt;0,$R160&gt;0),"△本批有 "&amp;$S160&amp;" 行没单价，整批运费先挂账没摊",IF(AND($B160&lt;&gt;"",COUNTIF($B$4:$B$2503,$B160)&gt;1),"※入库单号重复","")))))))</f>
        <v/>
      </c>
    </row>
    <row r="161">
      <c r="A161" s="24">
        <f>IF($G161="","",COUNTA($G$4:$G161))</f>
        <v/>
      </c>
      <c r="B161" s="17" t="n"/>
      <c r="C161" s="30" t="n">
        <v>46052</v>
      </c>
      <c r="D161" s="17" t="inlineStr">
        <is>
          <t>A国内</t>
        </is>
      </c>
      <c r="E161" s="17" t="inlineStr">
        <is>
          <t>LCZU6663979-202601</t>
        </is>
      </c>
      <c r="F161" s="17" t="n"/>
      <c r="G161" s="17" t="inlineStr">
        <is>
          <t>JH0065</t>
        </is>
      </c>
      <c r="H161" s="24">
        <f>IF($G161="","",IFERROR(VLOOKUP($G161,物料档案!$A$4:$P$1203,3,0),"※编码不在物料档案里"))</f>
        <v/>
      </c>
      <c r="I161" s="24">
        <f>IF($G161="","",IFERROR(VLOOKUP($G161,物料档案!$A$4:$P$1203,4,0),"※编码不在物料档案里"))</f>
        <v/>
      </c>
      <c r="J161" s="24">
        <f>IF($G161="","",IFERROR(VLOOKUP($G161,物料档案!$A$4:$P$1203,5,0),"※编码不在物料档案里"))</f>
        <v/>
      </c>
      <c r="K161" s="23" t="n">
        <v>100</v>
      </c>
      <c r="L161" s="31" t="n"/>
      <c r="M161" s="24">
        <f>IF($G161="","",IF($D161="A国内","CNY","TZS"))</f>
        <v/>
      </c>
      <c r="N161" s="28">
        <f>IF($G161="","",IF($D161="A国内",汇率,1))</f>
        <v/>
      </c>
      <c r="O161" s="25">
        <f>IF($G161="","",ROUND(N($K161)*N($L161),2))</f>
        <v/>
      </c>
      <c r="P161" s="26">
        <f>IF($G161="","",ROUND($O161*$N161,0))</f>
        <v/>
      </c>
      <c r="Q161" s="26">
        <f>IF($G161="","",SUMIFS($P$4:$P$2503,$E$4:$E$2503,$E161,$Z$4:$Z$2503,"正常"))</f>
        <v/>
      </c>
      <c r="R161" s="26">
        <f>IF($G161="","",SUMIFS(费用台账!$I$4:$I$503,费用台账!$C$4:$C$503,$E161,费用台账!$J$4:$J$503,"是",费用台账!$K$4:$K$503,"正常"))</f>
        <v/>
      </c>
      <c r="S161" s="28">
        <f>IF($G161="","",COUNTIFS($E$4:$E$2503,$E161,$Z$4:$Z$2503,"正常",$Y$4:$Y$2503,"待补价"))</f>
        <v/>
      </c>
      <c r="T161" s="26">
        <f>IF($G161="","",SUMIFS($P$4:$P$2503,$E$4:$E$2503,$E161,$Z$4:$Z$2503,"正常",$A$4:$A$2503,"&lt;="&amp;$A161))</f>
        <v/>
      </c>
      <c r="U161" s="26">
        <f>IF($G161="","",IF(OR($S161&gt;0,$Q161=0,$R161=0,$Z161&lt;&gt;"正常"),0,ROUND($T161/$Q161*$R161,0)-ROUND(($T161-$P161)/$Q161*$R161,0)))</f>
        <v/>
      </c>
      <c r="V161" s="26">
        <f>IF($G161="","",ROUND($P161+$U161,0))</f>
        <v/>
      </c>
      <c r="W161" s="26">
        <f>IF($G161="","",IF(N($K161)=0,0,ROUND($V161/$K161,2)))</f>
        <v/>
      </c>
      <c r="X161" s="17" t="inlineStr">
        <is>
          <t>采购入库</t>
        </is>
      </c>
      <c r="Y161" s="17" t="inlineStr">
        <is>
          <t>待补价</t>
        </is>
      </c>
      <c r="Z161" s="17" t="inlineStr">
        <is>
          <t>正常</t>
        </is>
      </c>
      <c r="AA161" s="17" t="n"/>
      <c r="AB161" s="17" t="inlineStr">
        <is>
          <t>原表第 166 行</t>
        </is>
      </c>
      <c r="AC161" s="24">
        <f>IF($G161="","",IF($H161="※编码不在物料档案里","※物料编码不在档案里",IF(N($K161)&lt;=0,"※入库数量要大于 0",IF(AND($C161&lt;&gt;"",$C161&lt;=结账锁),"※日期早于已结账截止日，不能再录",IF(AND($L161=0,$X161="正常"),"※没填单价，价格状态请选「待补价」",IF(AND($S161&gt;0,$R161&gt;0),"△本批有 "&amp;$S161&amp;" 行没单价，整批运费先挂账没摊",IF(AND($B161&lt;&gt;"",COUNTIF($B$4:$B$2503,$B161)&gt;1),"※入库单号重复","")))))))</f>
        <v/>
      </c>
    </row>
    <row r="162">
      <c r="A162" s="24">
        <f>IF($G162="","",COUNTA($G$4:$G162))</f>
        <v/>
      </c>
      <c r="B162" s="17" t="n"/>
      <c r="C162" s="30" t="n">
        <v>46052</v>
      </c>
      <c r="D162" s="17" t="inlineStr">
        <is>
          <t>A国内</t>
        </is>
      </c>
      <c r="E162" s="17" t="inlineStr">
        <is>
          <t>LCZU6663979-202601</t>
        </is>
      </c>
      <c r="F162" s="17" t="n"/>
      <c r="G162" s="17" t="inlineStr">
        <is>
          <t>JH0151</t>
        </is>
      </c>
      <c r="H162" s="24">
        <f>IF($G162="","",IFERROR(VLOOKUP($G162,物料档案!$A$4:$P$1203,3,0),"※编码不在物料档案里"))</f>
        <v/>
      </c>
      <c r="I162" s="24">
        <f>IF($G162="","",IFERROR(VLOOKUP($G162,物料档案!$A$4:$P$1203,4,0),"※编码不在物料档案里"))</f>
        <v/>
      </c>
      <c r="J162" s="24">
        <f>IF($G162="","",IFERROR(VLOOKUP($G162,物料档案!$A$4:$P$1203,5,0),"※编码不在物料档案里"))</f>
        <v/>
      </c>
      <c r="K162" s="23" t="n">
        <v>100</v>
      </c>
      <c r="L162" s="31" t="n"/>
      <c r="M162" s="24">
        <f>IF($G162="","",IF($D162="A国内","CNY","TZS"))</f>
        <v/>
      </c>
      <c r="N162" s="28">
        <f>IF($G162="","",IF($D162="A国内",汇率,1))</f>
        <v/>
      </c>
      <c r="O162" s="25">
        <f>IF($G162="","",ROUND(N($K162)*N($L162),2))</f>
        <v/>
      </c>
      <c r="P162" s="26">
        <f>IF($G162="","",ROUND($O162*$N162,0))</f>
        <v/>
      </c>
      <c r="Q162" s="26">
        <f>IF($G162="","",SUMIFS($P$4:$P$2503,$E$4:$E$2503,$E162,$Z$4:$Z$2503,"正常"))</f>
        <v/>
      </c>
      <c r="R162" s="26">
        <f>IF($G162="","",SUMIFS(费用台账!$I$4:$I$503,费用台账!$C$4:$C$503,$E162,费用台账!$J$4:$J$503,"是",费用台账!$K$4:$K$503,"正常"))</f>
        <v/>
      </c>
      <c r="S162" s="28">
        <f>IF($G162="","",COUNTIFS($E$4:$E$2503,$E162,$Z$4:$Z$2503,"正常",$Y$4:$Y$2503,"待补价"))</f>
        <v/>
      </c>
      <c r="T162" s="26">
        <f>IF($G162="","",SUMIFS($P$4:$P$2503,$E$4:$E$2503,$E162,$Z$4:$Z$2503,"正常",$A$4:$A$2503,"&lt;="&amp;$A162))</f>
        <v/>
      </c>
      <c r="U162" s="26">
        <f>IF($G162="","",IF(OR($S162&gt;0,$Q162=0,$R162=0,$Z162&lt;&gt;"正常"),0,ROUND($T162/$Q162*$R162,0)-ROUND(($T162-$P162)/$Q162*$R162,0)))</f>
        <v/>
      </c>
      <c r="V162" s="26">
        <f>IF($G162="","",ROUND($P162+$U162,0))</f>
        <v/>
      </c>
      <c r="W162" s="26">
        <f>IF($G162="","",IF(N($K162)=0,0,ROUND($V162/$K162,2)))</f>
        <v/>
      </c>
      <c r="X162" s="17" t="inlineStr">
        <is>
          <t>采购入库</t>
        </is>
      </c>
      <c r="Y162" s="17" t="inlineStr">
        <is>
          <t>待补价</t>
        </is>
      </c>
      <c r="Z162" s="17" t="inlineStr">
        <is>
          <t>正常</t>
        </is>
      </c>
      <c r="AA162" s="17" t="n"/>
      <c r="AB162" s="17" t="inlineStr">
        <is>
          <t>原表第 167 行</t>
        </is>
      </c>
      <c r="AC162" s="24">
        <f>IF($G162="","",IF($H162="※编码不在物料档案里","※物料编码不在档案里",IF(N($K162)&lt;=0,"※入库数量要大于 0",IF(AND($C162&lt;&gt;"",$C162&lt;=结账锁),"※日期早于已结账截止日，不能再录",IF(AND($L162=0,$X162="正常"),"※没填单价，价格状态请选「待补价」",IF(AND($S162&gt;0,$R162&gt;0),"△本批有 "&amp;$S162&amp;" 行没单价，整批运费先挂账没摊",IF(AND($B162&lt;&gt;"",COUNTIF($B$4:$B$2503,$B162)&gt;1),"※入库单号重复","")))))))</f>
        <v/>
      </c>
    </row>
    <row r="163">
      <c r="A163" s="24">
        <f>IF($G163="","",COUNTA($G$4:$G163))</f>
        <v/>
      </c>
      <c r="B163" s="17" t="n"/>
      <c r="C163" s="30" t="n">
        <v>46052</v>
      </c>
      <c r="D163" s="17" t="inlineStr">
        <is>
          <t>A国内</t>
        </is>
      </c>
      <c r="E163" s="17" t="inlineStr">
        <is>
          <t>LCZU6663979-202601</t>
        </is>
      </c>
      <c r="F163" s="17" t="n"/>
      <c r="G163" s="17" t="inlineStr">
        <is>
          <t>JH0152</t>
        </is>
      </c>
      <c r="H163" s="24">
        <f>IF($G163="","",IFERROR(VLOOKUP($G163,物料档案!$A$4:$P$1203,3,0),"※编码不在物料档案里"))</f>
        <v/>
      </c>
      <c r="I163" s="24">
        <f>IF($G163="","",IFERROR(VLOOKUP($G163,物料档案!$A$4:$P$1203,4,0),"※编码不在物料档案里"))</f>
        <v/>
      </c>
      <c r="J163" s="24">
        <f>IF($G163="","",IFERROR(VLOOKUP($G163,物料档案!$A$4:$P$1203,5,0),"※编码不在物料档案里"))</f>
        <v/>
      </c>
      <c r="K163" s="23" t="n">
        <v>500</v>
      </c>
      <c r="L163" s="31" t="n"/>
      <c r="M163" s="24">
        <f>IF($G163="","",IF($D163="A国内","CNY","TZS"))</f>
        <v/>
      </c>
      <c r="N163" s="28">
        <f>IF($G163="","",IF($D163="A国内",汇率,1))</f>
        <v/>
      </c>
      <c r="O163" s="25">
        <f>IF($G163="","",ROUND(N($K163)*N($L163),2))</f>
        <v/>
      </c>
      <c r="P163" s="26">
        <f>IF($G163="","",ROUND($O163*$N163,0))</f>
        <v/>
      </c>
      <c r="Q163" s="26">
        <f>IF($G163="","",SUMIFS($P$4:$P$2503,$E$4:$E$2503,$E163,$Z$4:$Z$2503,"正常"))</f>
        <v/>
      </c>
      <c r="R163" s="26">
        <f>IF($G163="","",SUMIFS(费用台账!$I$4:$I$503,费用台账!$C$4:$C$503,$E163,费用台账!$J$4:$J$503,"是",费用台账!$K$4:$K$503,"正常"))</f>
        <v/>
      </c>
      <c r="S163" s="28">
        <f>IF($G163="","",COUNTIFS($E$4:$E$2503,$E163,$Z$4:$Z$2503,"正常",$Y$4:$Y$2503,"待补价"))</f>
        <v/>
      </c>
      <c r="T163" s="26">
        <f>IF($G163="","",SUMIFS($P$4:$P$2503,$E$4:$E$2503,$E163,$Z$4:$Z$2503,"正常",$A$4:$A$2503,"&lt;="&amp;$A163))</f>
        <v/>
      </c>
      <c r="U163" s="26">
        <f>IF($G163="","",IF(OR($S163&gt;0,$Q163=0,$R163=0,$Z163&lt;&gt;"正常"),0,ROUND($T163/$Q163*$R163,0)-ROUND(($T163-$P163)/$Q163*$R163,0)))</f>
        <v/>
      </c>
      <c r="V163" s="26">
        <f>IF($G163="","",ROUND($P163+$U163,0))</f>
        <v/>
      </c>
      <c r="W163" s="26">
        <f>IF($G163="","",IF(N($K163)=0,0,ROUND($V163/$K163,2)))</f>
        <v/>
      </c>
      <c r="X163" s="17" t="inlineStr">
        <is>
          <t>采购入库</t>
        </is>
      </c>
      <c r="Y163" s="17" t="inlineStr">
        <is>
          <t>待补价</t>
        </is>
      </c>
      <c r="Z163" s="17" t="inlineStr">
        <is>
          <t>正常</t>
        </is>
      </c>
      <c r="AA163" s="17" t="n"/>
      <c r="AB163" s="17" t="inlineStr">
        <is>
          <t>原表第 168 行</t>
        </is>
      </c>
      <c r="AC163" s="24">
        <f>IF($G163="","",IF($H163="※编码不在物料档案里","※物料编码不在档案里",IF(N($K163)&lt;=0,"※入库数量要大于 0",IF(AND($C163&lt;&gt;"",$C163&lt;=结账锁),"※日期早于已结账截止日，不能再录",IF(AND($L163=0,$X163="正常"),"※没填单价，价格状态请选「待补价」",IF(AND($S163&gt;0,$R163&gt;0),"△本批有 "&amp;$S163&amp;" 行没单价，整批运费先挂账没摊",IF(AND($B163&lt;&gt;"",COUNTIF($B$4:$B$2503,$B163)&gt;1),"※入库单号重复","")))))))</f>
        <v/>
      </c>
    </row>
    <row r="164">
      <c r="A164" s="24">
        <f>IF($G164="","",COUNTA($G$4:$G164))</f>
        <v/>
      </c>
      <c r="B164" s="17" t="n"/>
      <c r="C164" s="30" t="n">
        <v>46052</v>
      </c>
      <c r="D164" s="17" t="inlineStr">
        <is>
          <t>A国内</t>
        </is>
      </c>
      <c r="E164" s="17" t="inlineStr">
        <is>
          <t>LCZU6663979-202601</t>
        </is>
      </c>
      <c r="F164" s="17" t="n"/>
      <c r="G164" s="17" t="inlineStr">
        <is>
          <t>JH0128</t>
        </is>
      </c>
      <c r="H164" s="24">
        <f>IF($G164="","",IFERROR(VLOOKUP($G164,物料档案!$A$4:$P$1203,3,0),"※编码不在物料档案里"))</f>
        <v/>
      </c>
      <c r="I164" s="24">
        <f>IF($G164="","",IFERROR(VLOOKUP($G164,物料档案!$A$4:$P$1203,4,0),"※编码不在物料档案里"))</f>
        <v/>
      </c>
      <c r="J164" s="24">
        <f>IF($G164="","",IFERROR(VLOOKUP($G164,物料档案!$A$4:$P$1203,5,0),"※编码不在物料档案里"))</f>
        <v/>
      </c>
      <c r="K164" s="23" t="n">
        <v>100</v>
      </c>
      <c r="L164" s="31" t="n"/>
      <c r="M164" s="24">
        <f>IF($G164="","",IF($D164="A国内","CNY","TZS"))</f>
        <v/>
      </c>
      <c r="N164" s="28">
        <f>IF($G164="","",IF($D164="A国内",汇率,1))</f>
        <v/>
      </c>
      <c r="O164" s="25">
        <f>IF($G164="","",ROUND(N($K164)*N($L164),2))</f>
        <v/>
      </c>
      <c r="P164" s="26">
        <f>IF($G164="","",ROUND($O164*$N164,0))</f>
        <v/>
      </c>
      <c r="Q164" s="26">
        <f>IF($G164="","",SUMIFS($P$4:$P$2503,$E$4:$E$2503,$E164,$Z$4:$Z$2503,"正常"))</f>
        <v/>
      </c>
      <c r="R164" s="26">
        <f>IF($G164="","",SUMIFS(费用台账!$I$4:$I$503,费用台账!$C$4:$C$503,$E164,费用台账!$J$4:$J$503,"是",费用台账!$K$4:$K$503,"正常"))</f>
        <v/>
      </c>
      <c r="S164" s="28">
        <f>IF($G164="","",COUNTIFS($E$4:$E$2503,$E164,$Z$4:$Z$2503,"正常",$Y$4:$Y$2503,"待补价"))</f>
        <v/>
      </c>
      <c r="T164" s="26">
        <f>IF($G164="","",SUMIFS($P$4:$P$2503,$E$4:$E$2503,$E164,$Z$4:$Z$2503,"正常",$A$4:$A$2503,"&lt;="&amp;$A164))</f>
        <v/>
      </c>
      <c r="U164" s="26">
        <f>IF($G164="","",IF(OR($S164&gt;0,$Q164=0,$R164=0,$Z164&lt;&gt;"正常"),0,ROUND($T164/$Q164*$R164,0)-ROUND(($T164-$P164)/$Q164*$R164,0)))</f>
        <v/>
      </c>
      <c r="V164" s="26">
        <f>IF($G164="","",ROUND($P164+$U164,0))</f>
        <v/>
      </c>
      <c r="W164" s="26">
        <f>IF($G164="","",IF(N($K164)=0,0,ROUND($V164/$K164,2)))</f>
        <v/>
      </c>
      <c r="X164" s="17" t="inlineStr">
        <is>
          <t>采购入库</t>
        </is>
      </c>
      <c r="Y164" s="17" t="inlineStr">
        <is>
          <t>待补价</t>
        </is>
      </c>
      <c r="Z164" s="17" t="inlineStr">
        <is>
          <t>正常</t>
        </is>
      </c>
      <c r="AA164" s="17" t="n"/>
      <c r="AB164" s="17" t="inlineStr">
        <is>
          <t>原表第 169 行</t>
        </is>
      </c>
      <c r="AC164" s="24">
        <f>IF($G164="","",IF($H164="※编码不在物料档案里","※物料编码不在档案里",IF(N($K164)&lt;=0,"※入库数量要大于 0",IF(AND($C164&lt;&gt;"",$C164&lt;=结账锁),"※日期早于已结账截止日，不能再录",IF(AND($L164=0,$X164="正常"),"※没填单价，价格状态请选「待补价」",IF(AND($S164&gt;0,$R164&gt;0),"△本批有 "&amp;$S164&amp;" 行没单价，整批运费先挂账没摊",IF(AND($B164&lt;&gt;"",COUNTIF($B$4:$B$2503,$B164)&gt;1),"※入库单号重复","")))))))</f>
        <v/>
      </c>
    </row>
    <row r="165">
      <c r="A165" s="24">
        <f>IF($G165="","",COUNTA($G$4:$G165))</f>
        <v/>
      </c>
      <c r="B165" s="17" t="n"/>
      <c r="C165" s="30" t="n">
        <v>46052</v>
      </c>
      <c r="D165" s="17" t="inlineStr">
        <is>
          <t>A国内</t>
        </is>
      </c>
      <c r="E165" s="17" t="inlineStr">
        <is>
          <t>LCZU6663979-202601</t>
        </is>
      </c>
      <c r="F165" s="17" t="n"/>
      <c r="G165" s="17" t="inlineStr">
        <is>
          <t>JH0057</t>
        </is>
      </c>
      <c r="H165" s="24">
        <f>IF($G165="","",IFERROR(VLOOKUP($G165,物料档案!$A$4:$P$1203,3,0),"※编码不在物料档案里"))</f>
        <v/>
      </c>
      <c r="I165" s="24">
        <f>IF($G165="","",IFERROR(VLOOKUP($G165,物料档案!$A$4:$P$1203,4,0),"※编码不在物料档案里"))</f>
        <v/>
      </c>
      <c r="J165" s="24">
        <f>IF($G165="","",IFERROR(VLOOKUP($G165,物料档案!$A$4:$P$1203,5,0),"※编码不在物料档案里"))</f>
        <v/>
      </c>
      <c r="K165" s="23" t="n">
        <v>100</v>
      </c>
      <c r="L165" s="31" t="n"/>
      <c r="M165" s="24">
        <f>IF($G165="","",IF($D165="A国内","CNY","TZS"))</f>
        <v/>
      </c>
      <c r="N165" s="28">
        <f>IF($G165="","",IF($D165="A国内",汇率,1))</f>
        <v/>
      </c>
      <c r="O165" s="25">
        <f>IF($G165="","",ROUND(N($K165)*N($L165),2))</f>
        <v/>
      </c>
      <c r="P165" s="26">
        <f>IF($G165="","",ROUND($O165*$N165,0))</f>
        <v/>
      </c>
      <c r="Q165" s="26">
        <f>IF($G165="","",SUMIFS($P$4:$P$2503,$E$4:$E$2503,$E165,$Z$4:$Z$2503,"正常"))</f>
        <v/>
      </c>
      <c r="R165" s="26">
        <f>IF($G165="","",SUMIFS(费用台账!$I$4:$I$503,费用台账!$C$4:$C$503,$E165,费用台账!$J$4:$J$503,"是",费用台账!$K$4:$K$503,"正常"))</f>
        <v/>
      </c>
      <c r="S165" s="28">
        <f>IF($G165="","",COUNTIFS($E$4:$E$2503,$E165,$Z$4:$Z$2503,"正常",$Y$4:$Y$2503,"待补价"))</f>
        <v/>
      </c>
      <c r="T165" s="26">
        <f>IF($G165="","",SUMIFS($P$4:$P$2503,$E$4:$E$2503,$E165,$Z$4:$Z$2503,"正常",$A$4:$A$2503,"&lt;="&amp;$A165))</f>
        <v/>
      </c>
      <c r="U165" s="26">
        <f>IF($G165="","",IF(OR($S165&gt;0,$Q165=0,$R165=0,$Z165&lt;&gt;"正常"),0,ROUND($T165/$Q165*$R165,0)-ROUND(($T165-$P165)/$Q165*$R165,0)))</f>
        <v/>
      </c>
      <c r="V165" s="26">
        <f>IF($G165="","",ROUND($P165+$U165,0))</f>
        <v/>
      </c>
      <c r="W165" s="26">
        <f>IF($G165="","",IF(N($K165)=0,0,ROUND($V165/$K165,2)))</f>
        <v/>
      </c>
      <c r="X165" s="17" t="inlineStr">
        <is>
          <t>采购入库</t>
        </is>
      </c>
      <c r="Y165" s="17" t="inlineStr">
        <is>
          <t>待补价</t>
        </is>
      </c>
      <c r="Z165" s="17" t="inlineStr">
        <is>
          <t>正常</t>
        </is>
      </c>
      <c r="AA165" s="17" t="n"/>
      <c r="AB165" s="17" t="inlineStr">
        <is>
          <t>原表第 170 行</t>
        </is>
      </c>
      <c r="AC165" s="24">
        <f>IF($G165="","",IF($H165="※编码不在物料档案里","※物料编码不在档案里",IF(N($K165)&lt;=0,"※入库数量要大于 0",IF(AND($C165&lt;&gt;"",$C165&lt;=结账锁),"※日期早于已结账截止日，不能再录",IF(AND($L165=0,$X165="正常"),"※没填单价，价格状态请选「待补价」",IF(AND($S165&gt;0,$R165&gt;0),"△本批有 "&amp;$S165&amp;" 行没单价，整批运费先挂账没摊",IF(AND($B165&lt;&gt;"",COUNTIF($B$4:$B$2503,$B165)&gt;1),"※入库单号重复","")))))))</f>
        <v/>
      </c>
    </row>
    <row r="166">
      <c r="A166" s="24">
        <f>IF($G166="","",COUNTA($G$4:$G166))</f>
        <v/>
      </c>
      <c r="B166" s="17" t="n"/>
      <c r="C166" s="30" t="n">
        <v>46052</v>
      </c>
      <c r="D166" s="17" t="inlineStr">
        <is>
          <t>A国内</t>
        </is>
      </c>
      <c r="E166" s="17" t="inlineStr">
        <is>
          <t>LCZU6663979-202601</t>
        </is>
      </c>
      <c r="F166" s="17" t="n"/>
      <c r="G166" s="17" t="inlineStr">
        <is>
          <t>JH0095</t>
        </is>
      </c>
      <c r="H166" s="24">
        <f>IF($G166="","",IFERROR(VLOOKUP($G166,物料档案!$A$4:$P$1203,3,0),"※编码不在物料档案里"))</f>
        <v/>
      </c>
      <c r="I166" s="24">
        <f>IF($G166="","",IFERROR(VLOOKUP($G166,物料档案!$A$4:$P$1203,4,0),"※编码不在物料档案里"))</f>
        <v/>
      </c>
      <c r="J166" s="24">
        <f>IF($G166="","",IFERROR(VLOOKUP($G166,物料档案!$A$4:$P$1203,5,0),"※编码不在物料档案里"))</f>
        <v/>
      </c>
      <c r="K166" s="23" t="n">
        <v>100</v>
      </c>
      <c r="L166" s="31" t="n"/>
      <c r="M166" s="24">
        <f>IF($G166="","",IF($D166="A国内","CNY","TZS"))</f>
        <v/>
      </c>
      <c r="N166" s="28">
        <f>IF($G166="","",IF($D166="A国内",汇率,1))</f>
        <v/>
      </c>
      <c r="O166" s="25">
        <f>IF($G166="","",ROUND(N($K166)*N($L166),2))</f>
        <v/>
      </c>
      <c r="P166" s="26">
        <f>IF($G166="","",ROUND($O166*$N166,0))</f>
        <v/>
      </c>
      <c r="Q166" s="26">
        <f>IF($G166="","",SUMIFS($P$4:$P$2503,$E$4:$E$2503,$E166,$Z$4:$Z$2503,"正常"))</f>
        <v/>
      </c>
      <c r="R166" s="26">
        <f>IF($G166="","",SUMIFS(费用台账!$I$4:$I$503,费用台账!$C$4:$C$503,$E166,费用台账!$J$4:$J$503,"是",费用台账!$K$4:$K$503,"正常"))</f>
        <v/>
      </c>
      <c r="S166" s="28">
        <f>IF($G166="","",COUNTIFS($E$4:$E$2503,$E166,$Z$4:$Z$2503,"正常",$Y$4:$Y$2503,"待补价"))</f>
        <v/>
      </c>
      <c r="T166" s="26">
        <f>IF($G166="","",SUMIFS($P$4:$P$2503,$E$4:$E$2503,$E166,$Z$4:$Z$2503,"正常",$A$4:$A$2503,"&lt;="&amp;$A166))</f>
        <v/>
      </c>
      <c r="U166" s="26">
        <f>IF($G166="","",IF(OR($S166&gt;0,$Q166=0,$R166=0,$Z166&lt;&gt;"正常"),0,ROUND($T166/$Q166*$R166,0)-ROUND(($T166-$P166)/$Q166*$R166,0)))</f>
        <v/>
      </c>
      <c r="V166" s="26">
        <f>IF($G166="","",ROUND($P166+$U166,0))</f>
        <v/>
      </c>
      <c r="W166" s="26">
        <f>IF($G166="","",IF(N($K166)=0,0,ROUND($V166/$K166,2)))</f>
        <v/>
      </c>
      <c r="X166" s="17" t="inlineStr">
        <is>
          <t>采购入库</t>
        </is>
      </c>
      <c r="Y166" s="17" t="inlineStr">
        <is>
          <t>待补价</t>
        </is>
      </c>
      <c r="Z166" s="17" t="inlineStr">
        <is>
          <t>正常</t>
        </is>
      </c>
      <c r="AA166" s="17" t="n"/>
      <c r="AB166" s="17" t="inlineStr">
        <is>
          <t>原表第 171 行</t>
        </is>
      </c>
      <c r="AC166" s="24">
        <f>IF($G166="","",IF($H166="※编码不在物料档案里","※物料编码不在档案里",IF(N($K166)&lt;=0,"※入库数量要大于 0",IF(AND($C166&lt;&gt;"",$C166&lt;=结账锁),"※日期早于已结账截止日，不能再录",IF(AND($L166=0,$X166="正常"),"※没填单价，价格状态请选「待补价」",IF(AND($S166&gt;0,$R166&gt;0),"△本批有 "&amp;$S166&amp;" 行没单价，整批运费先挂账没摊",IF(AND($B166&lt;&gt;"",COUNTIF($B$4:$B$2503,$B166)&gt;1),"※入库单号重复","")))))))</f>
        <v/>
      </c>
    </row>
    <row r="167">
      <c r="A167" s="24">
        <f>IF($G167="","",COUNTA($G$4:$G167))</f>
        <v/>
      </c>
      <c r="B167" s="17" t="n"/>
      <c r="C167" s="30" t="n">
        <v>46052</v>
      </c>
      <c r="D167" s="17" t="inlineStr">
        <is>
          <t>A国内</t>
        </is>
      </c>
      <c r="E167" s="17" t="inlineStr">
        <is>
          <t>LCZU6663979-202601</t>
        </is>
      </c>
      <c r="F167" s="17" t="n"/>
      <c r="G167" s="17" t="inlineStr">
        <is>
          <t>JH0153</t>
        </is>
      </c>
      <c r="H167" s="24">
        <f>IF($G167="","",IFERROR(VLOOKUP($G167,物料档案!$A$4:$P$1203,3,0),"※编码不在物料档案里"))</f>
        <v/>
      </c>
      <c r="I167" s="24">
        <f>IF($G167="","",IFERROR(VLOOKUP($G167,物料档案!$A$4:$P$1203,4,0),"※编码不在物料档案里"))</f>
        <v/>
      </c>
      <c r="J167" s="24">
        <f>IF($G167="","",IFERROR(VLOOKUP($G167,物料档案!$A$4:$P$1203,5,0),"※编码不在物料档案里"))</f>
        <v/>
      </c>
      <c r="K167" s="23" t="n">
        <v>6</v>
      </c>
      <c r="L167" s="31" t="n"/>
      <c r="M167" s="24">
        <f>IF($G167="","",IF($D167="A国内","CNY","TZS"))</f>
        <v/>
      </c>
      <c r="N167" s="28">
        <f>IF($G167="","",IF($D167="A国内",汇率,1))</f>
        <v/>
      </c>
      <c r="O167" s="25">
        <f>IF($G167="","",ROUND(N($K167)*N($L167),2))</f>
        <v/>
      </c>
      <c r="P167" s="26">
        <f>IF($G167="","",ROUND($O167*$N167,0))</f>
        <v/>
      </c>
      <c r="Q167" s="26">
        <f>IF($G167="","",SUMIFS($P$4:$P$2503,$E$4:$E$2503,$E167,$Z$4:$Z$2503,"正常"))</f>
        <v/>
      </c>
      <c r="R167" s="26">
        <f>IF($G167="","",SUMIFS(费用台账!$I$4:$I$503,费用台账!$C$4:$C$503,$E167,费用台账!$J$4:$J$503,"是",费用台账!$K$4:$K$503,"正常"))</f>
        <v/>
      </c>
      <c r="S167" s="28">
        <f>IF($G167="","",COUNTIFS($E$4:$E$2503,$E167,$Z$4:$Z$2503,"正常",$Y$4:$Y$2503,"待补价"))</f>
        <v/>
      </c>
      <c r="T167" s="26">
        <f>IF($G167="","",SUMIFS($P$4:$P$2503,$E$4:$E$2503,$E167,$Z$4:$Z$2503,"正常",$A$4:$A$2503,"&lt;="&amp;$A167))</f>
        <v/>
      </c>
      <c r="U167" s="26">
        <f>IF($G167="","",IF(OR($S167&gt;0,$Q167=0,$R167=0,$Z167&lt;&gt;"正常"),0,ROUND($T167/$Q167*$R167,0)-ROUND(($T167-$P167)/$Q167*$R167,0)))</f>
        <v/>
      </c>
      <c r="V167" s="26">
        <f>IF($G167="","",ROUND($P167+$U167,0))</f>
        <v/>
      </c>
      <c r="W167" s="26">
        <f>IF($G167="","",IF(N($K167)=0,0,ROUND($V167/$K167,2)))</f>
        <v/>
      </c>
      <c r="X167" s="17" t="inlineStr">
        <is>
          <t>采购入库</t>
        </is>
      </c>
      <c r="Y167" s="17" t="inlineStr">
        <is>
          <t>待补价</t>
        </is>
      </c>
      <c r="Z167" s="17" t="inlineStr">
        <is>
          <t>正常</t>
        </is>
      </c>
      <c r="AA167" s="17" t="n"/>
      <c r="AB167" s="17" t="inlineStr">
        <is>
          <t>原表第 172 行</t>
        </is>
      </c>
      <c r="AC167" s="24">
        <f>IF($G167="","",IF($H167="※编码不在物料档案里","※物料编码不在档案里",IF(N($K167)&lt;=0,"※入库数量要大于 0",IF(AND($C167&lt;&gt;"",$C167&lt;=结账锁),"※日期早于已结账截止日，不能再录",IF(AND($L167=0,$X167="正常"),"※没填单价，价格状态请选「待补价」",IF(AND($S167&gt;0,$R167&gt;0),"△本批有 "&amp;$S167&amp;" 行没单价，整批运费先挂账没摊",IF(AND($B167&lt;&gt;"",COUNTIF($B$4:$B$2503,$B167)&gt;1),"※入库单号重复","")))))))</f>
        <v/>
      </c>
    </row>
    <row r="168">
      <c r="A168" s="24">
        <f>IF($G168="","",COUNTA($G$4:$G168))</f>
        <v/>
      </c>
      <c r="B168" s="17" t="n"/>
      <c r="C168" s="30" t="n">
        <v>46052</v>
      </c>
      <c r="D168" s="17" t="inlineStr">
        <is>
          <t>A国内</t>
        </is>
      </c>
      <c r="E168" s="17" t="inlineStr">
        <is>
          <t>LCZU6663979-202601</t>
        </is>
      </c>
      <c r="F168" s="17" t="n"/>
      <c r="G168" s="17" t="inlineStr">
        <is>
          <t>JH0154</t>
        </is>
      </c>
      <c r="H168" s="24">
        <f>IF($G168="","",IFERROR(VLOOKUP($G168,物料档案!$A$4:$P$1203,3,0),"※编码不在物料档案里"))</f>
        <v/>
      </c>
      <c r="I168" s="24">
        <f>IF($G168="","",IFERROR(VLOOKUP($G168,物料档案!$A$4:$P$1203,4,0),"※编码不在物料档案里"))</f>
        <v/>
      </c>
      <c r="J168" s="24">
        <f>IF($G168="","",IFERROR(VLOOKUP($G168,物料档案!$A$4:$P$1203,5,0),"※编码不在物料档案里"))</f>
        <v/>
      </c>
      <c r="K168" s="23" t="n">
        <v>4</v>
      </c>
      <c r="L168" s="31" t="n"/>
      <c r="M168" s="24">
        <f>IF($G168="","",IF($D168="A国内","CNY","TZS"))</f>
        <v/>
      </c>
      <c r="N168" s="28">
        <f>IF($G168="","",IF($D168="A国内",汇率,1))</f>
        <v/>
      </c>
      <c r="O168" s="25">
        <f>IF($G168="","",ROUND(N($K168)*N($L168),2))</f>
        <v/>
      </c>
      <c r="P168" s="26">
        <f>IF($G168="","",ROUND($O168*$N168,0))</f>
        <v/>
      </c>
      <c r="Q168" s="26">
        <f>IF($G168="","",SUMIFS($P$4:$P$2503,$E$4:$E$2503,$E168,$Z$4:$Z$2503,"正常"))</f>
        <v/>
      </c>
      <c r="R168" s="26">
        <f>IF($G168="","",SUMIFS(费用台账!$I$4:$I$503,费用台账!$C$4:$C$503,$E168,费用台账!$J$4:$J$503,"是",费用台账!$K$4:$K$503,"正常"))</f>
        <v/>
      </c>
      <c r="S168" s="28">
        <f>IF($G168="","",COUNTIFS($E$4:$E$2503,$E168,$Z$4:$Z$2503,"正常",$Y$4:$Y$2503,"待补价"))</f>
        <v/>
      </c>
      <c r="T168" s="26">
        <f>IF($G168="","",SUMIFS($P$4:$P$2503,$E$4:$E$2503,$E168,$Z$4:$Z$2503,"正常",$A$4:$A$2503,"&lt;="&amp;$A168))</f>
        <v/>
      </c>
      <c r="U168" s="26">
        <f>IF($G168="","",IF(OR($S168&gt;0,$Q168=0,$R168=0,$Z168&lt;&gt;"正常"),0,ROUND($T168/$Q168*$R168,0)-ROUND(($T168-$P168)/$Q168*$R168,0)))</f>
        <v/>
      </c>
      <c r="V168" s="26">
        <f>IF($G168="","",ROUND($P168+$U168,0))</f>
        <v/>
      </c>
      <c r="W168" s="26">
        <f>IF($G168="","",IF(N($K168)=0,0,ROUND($V168/$K168,2)))</f>
        <v/>
      </c>
      <c r="X168" s="17" t="inlineStr">
        <is>
          <t>采购入库</t>
        </is>
      </c>
      <c r="Y168" s="17" t="inlineStr">
        <is>
          <t>待补价</t>
        </is>
      </c>
      <c r="Z168" s="17" t="inlineStr">
        <is>
          <t>正常</t>
        </is>
      </c>
      <c r="AA168" s="17" t="n"/>
      <c r="AB168" s="17" t="inlineStr">
        <is>
          <t>原表第 173 行</t>
        </is>
      </c>
      <c r="AC168" s="24">
        <f>IF($G168="","",IF($H168="※编码不在物料档案里","※物料编码不在档案里",IF(N($K168)&lt;=0,"※入库数量要大于 0",IF(AND($C168&lt;&gt;"",$C168&lt;=结账锁),"※日期早于已结账截止日，不能再录",IF(AND($L168=0,$X168="正常"),"※没填单价，价格状态请选「待补价」",IF(AND($S168&gt;0,$R168&gt;0),"△本批有 "&amp;$S168&amp;" 行没单价，整批运费先挂账没摊",IF(AND($B168&lt;&gt;"",COUNTIF($B$4:$B$2503,$B168)&gt;1),"※入库单号重复","")))))))</f>
        <v/>
      </c>
    </row>
    <row r="169">
      <c r="A169" s="24">
        <f>IF($G169="","",COUNTA($G$4:$G169))</f>
        <v/>
      </c>
      <c r="B169" s="17" t="n"/>
      <c r="C169" s="30" t="n">
        <v>46052</v>
      </c>
      <c r="D169" s="17" t="inlineStr">
        <is>
          <t>A国内</t>
        </is>
      </c>
      <c r="E169" s="17" t="inlineStr">
        <is>
          <t>LCZU6663979-202601</t>
        </is>
      </c>
      <c r="F169" s="17" t="n"/>
      <c r="G169" s="17" t="inlineStr">
        <is>
          <t>JH0155</t>
        </is>
      </c>
      <c r="H169" s="24">
        <f>IF($G169="","",IFERROR(VLOOKUP($G169,物料档案!$A$4:$P$1203,3,0),"※编码不在物料档案里"))</f>
        <v/>
      </c>
      <c r="I169" s="24">
        <f>IF($G169="","",IFERROR(VLOOKUP($G169,物料档案!$A$4:$P$1203,4,0),"※编码不在物料档案里"))</f>
        <v/>
      </c>
      <c r="J169" s="24">
        <f>IF($G169="","",IFERROR(VLOOKUP($G169,物料档案!$A$4:$P$1203,5,0),"※编码不在物料档案里"))</f>
        <v/>
      </c>
      <c r="K169" s="23" t="n">
        <v>4</v>
      </c>
      <c r="L169" s="31" t="n"/>
      <c r="M169" s="24">
        <f>IF($G169="","",IF($D169="A国内","CNY","TZS"))</f>
        <v/>
      </c>
      <c r="N169" s="28">
        <f>IF($G169="","",IF($D169="A国内",汇率,1))</f>
        <v/>
      </c>
      <c r="O169" s="25">
        <f>IF($G169="","",ROUND(N($K169)*N($L169),2))</f>
        <v/>
      </c>
      <c r="P169" s="26">
        <f>IF($G169="","",ROUND($O169*$N169,0))</f>
        <v/>
      </c>
      <c r="Q169" s="26">
        <f>IF($G169="","",SUMIFS($P$4:$P$2503,$E$4:$E$2503,$E169,$Z$4:$Z$2503,"正常"))</f>
        <v/>
      </c>
      <c r="R169" s="26">
        <f>IF($G169="","",SUMIFS(费用台账!$I$4:$I$503,费用台账!$C$4:$C$503,$E169,费用台账!$J$4:$J$503,"是",费用台账!$K$4:$K$503,"正常"))</f>
        <v/>
      </c>
      <c r="S169" s="28">
        <f>IF($G169="","",COUNTIFS($E$4:$E$2503,$E169,$Z$4:$Z$2503,"正常",$Y$4:$Y$2503,"待补价"))</f>
        <v/>
      </c>
      <c r="T169" s="26">
        <f>IF($G169="","",SUMIFS($P$4:$P$2503,$E$4:$E$2503,$E169,$Z$4:$Z$2503,"正常",$A$4:$A$2503,"&lt;="&amp;$A169))</f>
        <v/>
      </c>
      <c r="U169" s="26">
        <f>IF($G169="","",IF(OR($S169&gt;0,$Q169=0,$R169=0,$Z169&lt;&gt;"正常"),0,ROUND($T169/$Q169*$R169,0)-ROUND(($T169-$P169)/$Q169*$R169,0)))</f>
        <v/>
      </c>
      <c r="V169" s="26">
        <f>IF($G169="","",ROUND($P169+$U169,0))</f>
        <v/>
      </c>
      <c r="W169" s="26">
        <f>IF($G169="","",IF(N($K169)=0,0,ROUND($V169/$K169,2)))</f>
        <v/>
      </c>
      <c r="X169" s="17" t="inlineStr">
        <is>
          <t>采购入库</t>
        </is>
      </c>
      <c r="Y169" s="17" t="inlineStr">
        <is>
          <t>待补价</t>
        </is>
      </c>
      <c r="Z169" s="17" t="inlineStr">
        <is>
          <t>正常</t>
        </is>
      </c>
      <c r="AA169" s="17" t="n"/>
      <c r="AB169" s="17" t="inlineStr">
        <is>
          <t>原表第 174 行</t>
        </is>
      </c>
      <c r="AC169" s="24">
        <f>IF($G169="","",IF($H169="※编码不在物料档案里","※物料编码不在档案里",IF(N($K169)&lt;=0,"※入库数量要大于 0",IF(AND($C169&lt;&gt;"",$C169&lt;=结账锁),"※日期早于已结账截止日，不能再录",IF(AND($L169=0,$X169="正常"),"※没填单价，价格状态请选「待补价」",IF(AND($S169&gt;0,$R169&gt;0),"△本批有 "&amp;$S169&amp;" 行没单价，整批运费先挂账没摊",IF(AND($B169&lt;&gt;"",COUNTIF($B$4:$B$2503,$B169)&gt;1),"※入库单号重复","")))))))</f>
        <v/>
      </c>
    </row>
    <row r="170">
      <c r="A170" s="24">
        <f>IF($G170="","",COUNTA($G$4:$G170))</f>
        <v/>
      </c>
      <c r="B170" s="17" t="n"/>
      <c r="C170" s="30" t="n">
        <v>46052</v>
      </c>
      <c r="D170" s="17" t="inlineStr">
        <is>
          <t>A国内</t>
        </is>
      </c>
      <c r="E170" s="17" t="inlineStr">
        <is>
          <t>LCZU6663979-202601</t>
        </is>
      </c>
      <c r="F170" s="17" t="n"/>
      <c r="G170" s="17" t="inlineStr">
        <is>
          <t>JH0156</t>
        </is>
      </c>
      <c r="H170" s="24">
        <f>IF($G170="","",IFERROR(VLOOKUP($G170,物料档案!$A$4:$P$1203,3,0),"※编码不在物料档案里"))</f>
        <v/>
      </c>
      <c r="I170" s="24">
        <f>IF($G170="","",IFERROR(VLOOKUP($G170,物料档案!$A$4:$P$1203,4,0),"※编码不在物料档案里"))</f>
        <v/>
      </c>
      <c r="J170" s="24">
        <f>IF($G170="","",IFERROR(VLOOKUP($G170,物料档案!$A$4:$P$1203,5,0),"※编码不在物料档案里"))</f>
        <v/>
      </c>
      <c r="K170" s="23" t="n">
        <v>4</v>
      </c>
      <c r="L170" s="31" t="n"/>
      <c r="M170" s="24">
        <f>IF($G170="","",IF($D170="A国内","CNY","TZS"))</f>
        <v/>
      </c>
      <c r="N170" s="28">
        <f>IF($G170="","",IF($D170="A国内",汇率,1))</f>
        <v/>
      </c>
      <c r="O170" s="25">
        <f>IF($G170="","",ROUND(N($K170)*N($L170),2))</f>
        <v/>
      </c>
      <c r="P170" s="26">
        <f>IF($G170="","",ROUND($O170*$N170,0))</f>
        <v/>
      </c>
      <c r="Q170" s="26">
        <f>IF($G170="","",SUMIFS($P$4:$P$2503,$E$4:$E$2503,$E170,$Z$4:$Z$2503,"正常"))</f>
        <v/>
      </c>
      <c r="R170" s="26">
        <f>IF($G170="","",SUMIFS(费用台账!$I$4:$I$503,费用台账!$C$4:$C$503,$E170,费用台账!$J$4:$J$503,"是",费用台账!$K$4:$K$503,"正常"))</f>
        <v/>
      </c>
      <c r="S170" s="28">
        <f>IF($G170="","",COUNTIFS($E$4:$E$2503,$E170,$Z$4:$Z$2503,"正常",$Y$4:$Y$2503,"待补价"))</f>
        <v/>
      </c>
      <c r="T170" s="26">
        <f>IF($G170="","",SUMIFS($P$4:$P$2503,$E$4:$E$2503,$E170,$Z$4:$Z$2503,"正常",$A$4:$A$2503,"&lt;="&amp;$A170))</f>
        <v/>
      </c>
      <c r="U170" s="26">
        <f>IF($G170="","",IF(OR($S170&gt;0,$Q170=0,$R170=0,$Z170&lt;&gt;"正常"),0,ROUND($T170/$Q170*$R170,0)-ROUND(($T170-$P170)/$Q170*$R170,0)))</f>
        <v/>
      </c>
      <c r="V170" s="26">
        <f>IF($G170="","",ROUND($P170+$U170,0))</f>
        <v/>
      </c>
      <c r="W170" s="26">
        <f>IF($G170="","",IF(N($K170)=0,0,ROUND($V170/$K170,2)))</f>
        <v/>
      </c>
      <c r="X170" s="17" t="inlineStr">
        <is>
          <t>采购入库</t>
        </is>
      </c>
      <c r="Y170" s="17" t="inlineStr">
        <is>
          <t>待补价</t>
        </is>
      </c>
      <c r="Z170" s="17" t="inlineStr">
        <is>
          <t>正常</t>
        </is>
      </c>
      <c r="AA170" s="17" t="n"/>
      <c r="AB170" s="17" t="inlineStr">
        <is>
          <t>原表第 175 行</t>
        </is>
      </c>
      <c r="AC170" s="24">
        <f>IF($G170="","",IF($H170="※编码不在物料档案里","※物料编码不在档案里",IF(N($K170)&lt;=0,"※入库数量要大于 0",IF(AND($C170&lt;&gt;"",$C170&lt;=结账锁),"※日期早于已结账截止日，不能再录",IF(AND($L170=0,$X170="正常"),"※没填单价，价格状态请选「待补价」",IF(AND($S170&gt;0,$R170&gt;0),"△本批有 "&amp;$S170&amp;" 行没单价，整批运费先挂账没摊",IF(AND($B170&lt;&gt;"",COUNTIF($B$4:$B$2503,$B170)&gt;1),"※入库单号重复","")))))))</f>
        <v/>
      </c>
    </row>
    <row r="171">
      <c r="A171" s="24">
        <f>IF($G171="","",COUNTA($G$4:$G171))</f>
        <v/>
      </c>
      <c r="B171" s="17" t="n"/>
      <c r="C171" s="30" t="n">
        <v>46052</v>
      </c>
      <c r="D171" s="17" t="inlineStr">
        <is>
          <t>A国内</t>
        </is>
      </c>
      <c r="E171" s="17" t="inlineStr">
        <is>
          <t>LCZU6663979-202601</t>
        </is>
      </c>
      <c r="F171" s="17" t="n"/>
      <c r="G171" s="17" t="inlineStr">
        <is>
          <t>JH0157</t>
        </is>
      </c>
      <c r="H171" s="24">
        <f>IF($G171="","",IFERROR(VLOOKUP($G171,物料档案!$A$4:$P$1203,3,0),"※编码不在物料档案里"))</f>
        <v/>
      </c>
      <c r="I171" s="24">
        <f>IF($G171="","",IFERROR(VLOOKUP($G171,物料档案!$A$4:$P$1203,4,0),"※编码不在物料档案里"))</f>
        <v/>
      </c>
      <c r="J171" s="24">
        <f>IF($G171="","",IFERROR(VLOOKUP($G171,物料档案!$A$4:$P$1203,5,0),"※编码不在物料档案里"))</f>
        <v/>
      </c>
      <c r="K171" s="23" t="n">
        <v>4</v>
      </c>
      <c r="L171" s="31" t="n"/>
      <c r="M171" s="24">
        <f>IF($G171="","",IF($D171="A国内","CNY","TZS"))</f>
        <v/>
      </c>
      <c r="N171" s="28">
        <f>IF($G171="","",IF($D171="A国内",汇率,1))</f>
        <v/>
      </c>
      <c r="O171" s="25">
        <f>IF($G171="","",ROUND(N($K171)*N($L171),2))</f>
        <v/>
      </c>
      <c r="P171" s="26">
        <f>IF($G171="","",ROUND($O171*$N171,0))</f>
        <v/>
      </c>
      <c r="Q171" s="26">
        <f>IF($G171="","",SUMIFS($P$4:$P$2503,$E$4:$E$2503,$E171,$Z$4:$Z$2503,"正常"))</f>
        <v/>
      </c>
      <c r="R171" s="26">
        <f>IF($G171="","",SUMIFS(费用台账!$I$4:$I$503,费用台账!$C$4:$C$503,$E171,费用台账!$J$4:$J$503,"是",费用台账!$K$4:$K$503,"正常"))</f>
        <v/>
      </c>
      <c r="S171" s="28">
        <f>IF($G171="","",COUNTIFS($E$4:$E$2503,$E171,$Z$4:$Z$2503,"正常",$Y$4:$Y$2503,"待补价"))</f>
        <v/>
      </c>
      <c r="T171" s="26">
        <f>IF($G171="","",SUMIFS($P$4:$P$2503,$E$4:$E$2503,$E171,$Z$4:$Z$2503,"正常",$A$4:$A$2503,"&lt;="&amp;$A171))</f>
        <v/>
      </c>
      <c r="U171" s="26">
        <f>IF($G171="","",IF(OR($S171&gt;0,$Q171=0,$R171=0,$Z171&lt;&gt;"正常"),0,ROUND($T171/$Q171*$R171,0)-ROUND(($T171-$P171)/$Q171*$R171,0)))</f>
        <v/>
      </c>
      <c r="V171" s="26">
        <f>IF($G171="","",ROUND($P171+$U171,0))</f>
        <v/>
      </c>
      <c r="W171" s="26">
        <f>IF($G171="","",IF(N($K171)=0,0,ROUND($V171/$K171,2)))</f>
        <v/>
      </c>
      <c r="X171" s="17" t="inlineStr">
        <is>
          <t>采购入库</t>
        </is>
      </c>
      <c r="Y171" s="17" t="inlineStr">
        <is>
          <t>待补价</t>
        </is>
      </c>
      <c r="Z171" s="17" t="inlineStr">
        <is>
          <t>正常</t>
        </is>
      </c>
      <c r="AA171" s="17" t="n"/>
      <c r="AB171" s="17" t="inlineStr">
        <is>
          <t>原表第 176 行</t>
        </is>
      </c>
      <c r="AC171" s="24">
        <f>IF($G171="","",IF($H171="※编码不在物料档案里","※物料编码不在档案里",IF(N($K171)&lt;=0,"※入库数量要大于 0",IF(AND($C171&lt;&gt;"",$C171&lt;=结账锁),"※日期早于已结账截止日，不能再录",IF(AND($L171=0,$X171="正常"),"※没填单价，价格状态请选「待补价」",IF(AND($S171&gt;0,$R171&gt;0),"△本批有 "&amp;$S171&amp;" 行没单价，整批运费先挂账没摊",IF(AND($B171&lt;&gt;"",COUNTIF($B$4:$B$2503,$B171)&gt;1),"※入库单号重复","")))))))</f>
        <v/>
      </c>
    </row>
    <row r="172">
      <c r="A172" s="24">
        <f>IF($G172="","",COUNTA($G$4:$G172))</f>
        <v/>
      </c>
      <c r="B172" s="17" t="n"/>
      <c r="C172" s="30" t="n">
        <v>46052</v>
      </c>
      <c r="D172" s="17" t="inlineStr">
        <is>
          <t>A国内</t>
        </is>
      </c>
      <c r="E172" s="17" t="inlineStr">
        <is>
          <t>LCZU6663979-202601</t>
        </is>
      </c>
      <c r="F172" s="17" t="n"/>
      <c r="G172" s="17" t="inlineStr">
        <is>
          <t>JH0158</t>
        </is>
      </c>
      <c r="H172" s="24">
        <f>IF($G172="","",IFERROR(VLOOKUP($G172,物料档案!$A$4:$P$1203,3,0),"※编码不在物料档案里"))</f>
        <v/>
      </c>
      <c r="I172" s="24">
        <f>IF($G172="","",IFERROR(VLOOKUP($G172,物料档案!$A$4:$P$1203,4,0),"※编码不在物料档案里"))</f>
        <v/>
      </c>
      <c r="J172" s="24">
        <f>IF($G172="","",IFERROR(VLOOKUP($G172,物料档案!$A$4:$P$1203,5,0),"※编码不在物料档案里"))</f>
        <v/>
      </c>
      <c r="K172" s="23" t="n">
        <v>10</v>
      </c>
      <c r="L172" s="31" t="n"/>
      <c r="M172" s="24">
        <f>IF($G172="","",IF($D172="A国内","CNY","TZS"))</f>
        <v/>
      </c>
      <c r="N172" s="28">
        <f>IF($G172="","",IF($D172="A国内",汇率,1))</f>
        <v/>
      </c>
      <c r="O172" s="25">
        <f>IF($G172="","",ROUND(N($K172)*N($L172),2))</f>
        <v/>
      </c>
      <c r="P172" s="26">
        <f>IF($G172="","",ROUND($O172*$N172,0))</f>
        <v/>
      </c>
      <c r="Q172" s="26">
        <f>IF($G172="","",SUMIFS($P$4:$P$2503,$E$4:$E$2503,$E172,$Z$4:$Z$2503,"正常"))</f>
        <v/>
      </c>
      <c r="R172" s="26">
        <f>IF($G172="","",SUMIFS(费用台账!$I$4:$I$503,费用台账!$C$4:$C$503,$E172,费用台账!$J$4:$J$503,"是",费用台账!$K$4:$K$503,"正常"))</f>
        <v/>
      </c>
      <c r="S172" s="28">
        <f>IF($G172="","",COUNTIFS($E$4:$E$2503,$E172,$Z$4:$Z$2503,"正常",$Y$4:$Y$2503,"待补价"))</f>
        <v/>
      </c>
      <c r="T172" s="26">
        <f>IF($G172="","",SUMIFS($P$4:$P$2503,$E$4:$E$2503,$E172,$Z$4:$Z$2503,"正常",$A$4:$A$2503,"&lt;="&amp;$A172))</f>
        <v/>
      </c>
      <c r="U172" s="26">
        <f>IF($G172="","",IF(OR($S172&gt;0,$Q172=0,$R172=0,$Z172&lt;&gt;"正常"),0,ROUND($T172/$Q172*$R172,0)-ROUND(($T172-$P172)/$Q172*$R172,0)))</f>
        <v/>
      </c>
      <c r="V172" s="26">
        <f>IF($G172="","",ROUND($P172+$U172,0))</f>
        <v/>
      </c>
      <c r="W172" s="26">
        <f>IF($G172="","",IF(N($K172)=0,0,ROUND($V172/$K172,2)))</f>
        <v/>
      </c>
      <c r="X172" s="17" t="inlineStr">
        <is>
          <t>采购入库</t>
        </is>
      </c>
      <c r="Y172" s="17" t="inlineStr">
        <is>
          <t>待补价</t>
        </is>
      </c>
      <c r="Z172" s="17" t="inlineStr">
        <is>
          <t>正常</t>
        </is>
      </c>
      <c r="AA172" s="17" t="n"/>
      <c r="AB172" s="17" t="inlineStr">
        <is>
          <t>原表第 177 行</t>
        </is>
      </c>
      <c r="AC172" s="24">
        <f>IF($G172="","",IF($H172="※编码不在物料档案里","※物料编码不在档案里",IF(N($K172)&lt;=0,"※入库数量要大于 0",IF(AND($C172&lt;&gt;"",$C172&lt;=结账锁),"※日期早于已结账截止日，不能再录",IF(AND($L172=0,$X172="正常"),"※没填单价，价格状态请选「待补价」",IF(AND($S172&gt;0,$R172&gt;0),"△本批有 "&amp;$S172&amp;" 行没单价，整批运费先挂账没摊",IF(AND($B172&lt;&gt;"",COUNTIF($B$4:$B$2503,$B172)&gt;1),"※入库单号重复","")))))))</f>
        <v/>
      </c>
    </row>
    <row r="173">
      <c r="A173" s="24">
        <f>IF($G173="","",COUNTA($G$4:$G173))</f>
        <v/>
      </c>
      <c r="B173" s="17" t="n"/>
      <c r="C173" s="30" t="n">
        <v>46052</v>
      </c>
      <c r="D173" s="17" t="inlineStr">
        <is>
          <t>A国内</t>
        </is>
      </c>
      <c r="E173" s="17" t="inlineStr">
        <is>
          <t>LCZU6663979-202601</t>
        </is>
      </c>
      <c r="F173" s="17" t="n"/>
      <c r="G173" s="17" t="inlineStr">
        <is>
          <t>JH0159</t>
        </is>
      </c>
      <c r="H173" s="24">
        <f>IF($G173="","",IFERROR(VLOOKUP($G173,物料档案!$A$4:$P$1203,3,0),"※编码不在物料档案里"))</f>
        <v/>
      </c>
      <c r="I173" s="24">
        <f>IF($G173="","",IFERROR(VLOOKUP($G173,物料档案!$A$4:$P$1203,4,0),"※编码不在物料档案里"))</f>
        <v/>
      </c>
      <c r="J173" s="24">
        <f>IF($G173="","",IFERROR(VLOOKUP($G173,物料档案!$A$4:$P$1203,5,0),"※编码不在物料档案里"))</f>
        <v/>
      </c>
      <c r="K173" s="23" t="n">
        <v>2</v>
      </c>
      <c r="L173" s="31" t="n"/>
      <c r="M173" s="24">
        <f>IF($G173="","",IF($D173="A国内","CNY","TZS"))</f>
        <v/>
      </c>
      <c r="N173" s="28">
        <f>IF($G173="","",IF($D173="A国内",汇率,1))</f>
        <v/>
      </c>
      <c r="O173" s="25">
        <f>IF($G173="","",ROUND(N($K173)*N($L173),2))</f>
        <v/>
      </c>
      <c r="P173" s="26">
        <f>IF($G173="","",ROUND($O173*$N173,0))</f>
        <v/>
      </c>
      <c r="Q173" s="26">
        <f>IF($G173="","",SUMIFS($P$4:$P$2503,$E$4:$E$2503,$E173,$Z$4:$Z$2503,"正常"))</f>
        <v/>
      </c>
      <c r="R173" s="26">
        <f>IF($G173="","",SUMIFS(费用台账!$I$4:$I$503,费用台账!$C$4:$C$503,$E173,费用台账!$J$4:$J$503,"是",费用台账!$K$4:$K$503,"正常"))</f>
        <v/>
      </c>
      <c r="S173" s="28">
        <f>IF($G173="","",COUNTIFS($E$4:$E$2503,$E173,$Z$4:$Z$2503,"正常",$Y$4:$Y$2503,"待补价"))</f>
        <v/>
      </c>
      <c r="T173" s="26">
        <f>IF($G173="","",SUMIFS($P$4:$P$2503,$E$4:$E$2503,$E173,$Z$4:$Z$2503,"正常",$A$4:$A$2503,"&lt;="&amp;$A173))</f>
        <v/>
      </c>
      <c r="U173" s="26">
        <f>IF($G173="","",IF(OR($S173&gt;0,$Q173=0,$R173=0,$Z173&lt;&gt;"正常"),0,ROUND($T173/$Q173*$R173,0)-ROUND(($T173-$P173)/$Q173*$R173,0)))</f>
        <v/>
      </c>
      <c r="V173" s="26">
        <f>IF($G173="","",ROUND($P173+$U173,0))</f>
        <v/>
      </c>
      <c r="W173" s="26">
        <f>IF($G173="","",IF(N($K173)=0,0,ROUND($V173/$K173,2)))</f>
        <v/>
      </c>
      <c r="X173" s="17" t="inlineStr">
        <is>
          <t>采购入库</t>
        </is>
      </c>
      <c r="Y173" s="17" t="inlineStr">
        <is>
          <t>待补价</t>
        </is>
      </c>
      <c r="Z173" s="17" t="inlineStr">
        <is>
          <t>正常</t>
        </is>
      </c>
      <c r="AA173" s="17" t="n"/>
      <c r="AB173" s="17" t="inlineStr">
        <is>
          <t>原表第 178 行</t>
        </is>
      </c>
      <c r="AC173" s="24">
        <f>IF($G173="","",IF($H173="※编码不在物料档案里","※物料编码不在档案里",IF(N($K173)&lt;=0,"※入库数量要大于 0",IF(AND($C173&lt;&gt;"",$C173&lt;=结账锁),"※日期早于已结账截止日，不能再录",IF(AND($L173=0,$X173="正常"),"※没填单价，价格状态请选「待补价」",IF(AND($S173&gt;0,$R173&gt;0),"△本批有 "&amp;$S173&amp;" 行没单价，整批运费先挂账没摊",IF(AND($B173&lt;&gt;"",COUNTIF($B$4:$B$2503,$B173)&gt;1),"※入库单号重复","")))))))</f>
        <v/>
      </c>
    </row>
    <row r="174">
      <c r="A174" s="24">
        <f>IF($G174="","",COUNTA($G$4:$G174))</f>
        <v/>
      </c>
      <c r="B174" s="17" t="n"/>
      <c r="C174" s="30" t="n">
        <v>46052</v>
      </c>
      <c r="D174" s="17" t="inlineStr">
        <is>
          <t>A国内</t>
        </is>
      </c>
      <c r="E174" s="17" t="inlineStr">
        <is>
          <t>LCZU6663979-202601</t>
        </is>
      </c>
      <c r="F174" s="17" t="n"/>
      <c r="G174" s="17" t="inlineStr">
        <is>
          <t>JH0160</t>
        </is>
      </c>
      <c r="H174" s="24">
        <f>IF($G174="","",IFERROR(VLOOKUP($G174,物料档案!$A$4:$P$1203,3,0),"※编码不在物料档案里"))</f>
        <v/>
      </c>
      <c r="I174" s="24">
        <f>IF($G174="","",IFERROR(VLOOKUP($G174,物料档案!$A$4:$P$1203,4,0),"※编码不在物料档案里"))</f>
        <v/>
      </c>
      <c r="J174" s="24">
        <f>IF($G174="","",IFERROR(VLOOKUP($G174,物料档案!$A$4:$P$1203,5,0),"※编码不在物料档案里"))</f>
        <v/>
      </c>
      <c r="K174" s="23" t="n">
        <v>2</v>
      </c>
      <c r="L174" s="31" t="n"/>
      <c r="M174" s="24">
        <f>IF($G174="","",IF($D174="A国内","CNY","TZS"))</f>
        <v/>
      </c>
      <c r="N174" s="28">
        <f>IF($G174="","",IF($D174="A国内",汇率,1))</f>
        <v/>
      </c>
      <c r="O174" s="25">
        <f>IF($G174="","",ROUND(N($K174)*N($L174),2))</f>
        <v/>
      </c>
      <c r="P174" s="26">
        <f>IF($G174="","",ROUND($O174*$N174,0))</f>
        <v/>
      </c>
      <c r="Q174" s="26">
        <f>IF($G174="","",SUMIFS($P$4:$P$2503,$E$4:$E$2503,$E174,$Z$4:$Z$2503,"正常"))</f>
        <v/>
      </c>
      <c r="R174" s="26">
        <f>IF($G174="","",SUMIFS(费用台账!$I$4:$I$503,费用台账!$C$4:$C$503,$E174,费用台账!$J$4:$J$503,"是",费用台账!$K$4:$K$503,"正常"))</f>
        <v/>
      </c>
      <c r="S174" s="28">
        <f>IF($G174="","",COUNTIFS($E$4:$E$2503,$E174,$Z$4:$Z$2503,"正常",$Y$4:$Y$2503,"待补价"))</f>
        <v/>
      </c>
      <c r="T174" s="26">
        <f>IF($G174="","",SUMIFS($P$4:$P$2503,$E$4:$E$2503,$E174,$Z$4:$Z$2503,"正常",$A$4:$A$2503,"&lt;="&amp;$A174))</f>
        <v/>
      </c>
      <c r="U174" s="26">
        <f>IF($G174="","",IF(OR($S174&gt;0,$Q174=0,$R174=0,$Z174&lt;&gt;"正常"),0,ROUND($T174/$Q174*$R174,0)-ROUND(($T174-$P174)/$Q174*$R174,0)))</f>
        <v/>
      </c>
      <c r="V174" s="26">
        <f>IF($G174="","",ROUND($P174+$U174,0))</f>
        <v/>
      </c>
      <c r="W174" s="26">
        <f>IF($G174="","",IF(N($K174)=0,0,ROUND($V174/$K174,2)))</f>
        <v/>
      </c>
      <c r="X174" s="17" t="inlineStr">
        <is>
          <t>采购入库</t>
        </is>
      </c>
      <c r="Y174" s="17" t="inlineStr">
        <is>
          <t>待补价</t>
        </is>
      </c>
      <c r="Z174" s="17" t="inlineStr">
        <is>
          <t>正常</t>
        </is>
      </c>
      <c r="AA174" s="17" t="n"/>
      <c r="AB174" s="17" t="inlineStr">
        <is>
          <t>原表第 179 行</t>
        </is>
      </c>
      <c r="AC174" s="24">
        <f>IF($G174="","",IF($H174="※编码不在物料档案里","※物料编码不在档案里",IF(N($K174)&lt;=0,"※入库数量要大于 0",IF(AND($C174&lt;&gt;"",$C174&lt;=结账锁),"※日期早于已结账截止日，不能再录",IF(AND($L174=0,$X174="正常"),"※没填单价，价格状态请选「待补价」",IF(AND($S174&gt;0,$R174&gt;0),"△本批有 "&amp;$S174&amp;" 行没单价，整批运费先挂账没摊",IF(AND($B174&lt;&gt;"",COUNTIF($B$4:$B$2503,$B174)&gt;1),"※入库单号重复","")))))))</f>
        <v/>
      </c>
    </row>
    <row r="175">
      <c r="A175" s="24">
        <f>IF($G175="","",COUNTA($G$4:$G175))</f>
        <v/>
      </c>
      <c r="B175" s="17" t="n"/>
      <c r="C175" s="30" t="n">
        <v>46052</v>
      </c>
      <c r="D175" s="17" t="inlineStr">
        <is>
          <t>A国内</t>
        </is>
      </c>
      <c r="E175" s="17" t="inlineStr">
        <is>
          <t>LCZU6663979-202601</t>
        </is>
      </c>
      <c r="F175" s="17" t="n"/>
      <c r="G175" s="17" t="inlineStr">
        <is>
          <t>JH0161</t>
        </is>
      </c>
      <c r="H175" s="24">
        <f>IF($G175="","",IFERROR(VLOOKUP($G175,物料档案!$A$4:$P$1203,3,0),"※编码不在物料档案里"))</f>
        <v/>
      </c>
      <c r="I175" s="24">
        <f>IF($G175="","",IFERROR(VLOOKUP($G175,物料档案!$A$4:$P$1203,4,0),"※编码不在物料档案里"))</f>
        <v/>
      </c>
      <c r="J175" s="24">
        <f>IF($G175="","",IFERROR(VLOOKUP($G175,物料档案!$A$4:$P$1203,5,0),"※编码不在物料档案里"))</f>
        <v/>
      </c>
      <c r="K175" s="23" t="n">
        <v>2</v>
      </c>
      <c r="L175" s="31" t="n"/>
      <c r="M175" s="24">
        <f>IF($G175="","",IF($D175="A国内","CNY","TZS"))</f>
        <v/>
      </c>
      <c r="N175" s="28">
        <f>IF($G175="","",IF($D175="A国内",汇率,1))</f>
        <v/>
      </c>
      <c r="O175" s="25">
        <f>IF($G175="","",ROUND(N($K175)*N($L175),2))</f>
        <v/>
      </c>
      <c r="P175" s="26">
        <f>IF($G175="","",ROUND($O175*$N175,0))</f>
        <v/>
      </c>
      <c r="Q175" s="26">
        <f>IF($G175="","",SUMIFS($P$4:$P$2503,$E$4:$E$2503,$E175,$Z$4:$Z$2503,"正常"))</f>
        <v/>
      </c>
      <c r="R175" s="26">
        <f>IF($G175="","",SUMIFS(费用台账!$I$4:$I$503,费用台账!$C$4:$C$503,$E175,费用台账!$J$4:$J$503,"是",费用台账!$K$4:$K$503,"正常"))</f>
        <v/>
      </c>
      <c r="S175" s="28">
        <f>IF($G175="","",COUNTIFS($E$4:$E$2503,$E175,$Z$4:$Z$2503,"正常",$Y$4:$Y$2503,"待补价"))</f>
        <v/>
      </c>
      <c r="T175" s="26">
        <f>IF($G175="","",SUMIFS($P$4:$P$2503,$E$4:$E$2503,$E175,$Z$4:$Z$2503,"正常",$A$4:$A$2503,"&lt;="&amp;$A175))</f>
        <v/>
      </c>
      <c r="U175" s="26">
        <f>IF($G175="","",IF(OR($S175&gt;0,$Q175=0,$R175=0,$Z175&lt;&gt;"正常"),0,ROUND($T175/$Q175*$R175,0)-ROUND(($T175-$P175)/$Q175*$R175,0)))</f>
        <v/>
      </c>
      <c r="V175" s="26">
        <f>IF($G175="","",ROUND($P175+$U175,0))</f>
        <v/>
      </c>
      <c r="W175" s="26">
        <f>IF($G175="","",IF(N($K175)=0,0,ROUND($V175/$K175,2)))</f>
        <v/>
      </c>
      <c r="X175" s="17" t="inlineStr">
        <is>
          <t>采购入库</t>
        </is>
      </c>
      <c r="Y175" s="17" t="inlineStr">
        <is>
          <t>待补价</t>
        </is>
      </c>
      <c r="Z175" s="17" t="inlineStr">
        <is>
          <t>正常</t>
        </is>
      </c>
      <c r="AA175" s="17" t="n"/>
      <c r="AB175" s="17" t="inlineStr">
        <is>
          <t>原表第 180 行</t>
        </is>
      </c>
      <c r="AC175" s="24">
        <f>IF($G175="","",IF($H175="※编码不在物料档案里","※物料编码不在档案里",IF(N($K175)&lt;=0,"※入库数量要大于 0",IF(AND($C175&lt;&gt;"",$C175&lt;=结账锁),"※日期早于已结账截止日，不能再录",IF(AND($L175=0,$X175="正常"),"※没填单价，价格状态请选「待补价」",IF(AND($S175&gt;0,$R175&gt;0),"△本批有 "&amp;$S175&amp;" 行没单价，整批运费先挂账没摊",IF(AND($B175&lt;&gt;"",COUNTIF($B$4:$B$2503,$B175)&gt;1),"※入库单号重复","")))))))</f>
        <v/>
      </c>
    </row>
    <row r="176">
      <c r="A176" s="24">
        <f>IF($G176="","",COUNTA($G$4:$G176))</f>
        <v/>
      </c>
      <c r="B176" s="17" t="n"/>
      <c r="C176" s="30" t="n">
        <v>46052</v>
      </c>
      <c r="D176" s="17" t="inlineStr">
        <is>
          <t>A国内</t>
        </is>
      </c>
      <c r="E176" s="17" t="inlineStr">
        <is>
          <t>LCZU6663979-202601</t>
        </is>
      </c>
      <c r="F176" s="17" t="n"/>
      <c r="G176" s="17" t="inlineStr">
        <is>
          <t>JH0162</t>
        </is>
      </c>
      <c r="H176" s="24">
        <f>IF($G176="","",IFERROR(VLOOKUP($G176,物料档案!$A$4:$P$1203,3,0),"※编码不在物料档案里"))</f>
        <v/>
      </c>
      <c r="I176" s="24">
        <f>IF($G176="","",IFERROR(VLOOKUP($G176,物料档案!$A$4:$P$1203,4,0),"※编码不在物料档案里"))</f>
        <v/>
      </c>
      <c r="J176" s="24">
        <f>IF($G176="","",IFERROR(VLOOKUP($G176,物料档案!$A$4:$P$1203,5,0),"※编码不在物料档案里"))</f>
        <v/>
      </c>
      <c r="K176" s="23" t="n">
        <v>4</v>
      </c>
      <c r="L176" s="31" t="n"/>
      <c r="M176" s="24">
        <f>IF($G176="","",IF($D176="A国内","CNY","TZS"))</f>
        <v/>
      </c>
      <c r="N176" s="28">
        <f>IF($G176="","",IF($D176="A国内",汇率,1))</f>
        <v/>
      </c>
      <c r="O176" s="25">
        <f>IF($G176="","",ROUND(N($K176)*N($L176),2))</f>
        <v/>
      </c>
      <c r="P176" s="26">
        <f>IF($G176="","",ROUND($O176*$N176,0))</f>
        <v/>
      </c>
      <c r="Q176" s="26">
        <f>IF($G176="","",SUMIFS($P$4:$P$2503,$E$4:$E$2503,$E176,$Z$4:$Z$2503,"正常"))</f>
        <v/>
      </c>
      <c r="R176" s="26">
        <f>IF($G176="","",SUMIFS(费用台账!$I$4:$I$503,费用台账!$C$4:$C$503,$E176,费用台账!$J$4:$J$503,"是",费用台账!$K$4:$K$503,"正常"))</f>
        <v/>
      </c>
      <c r="S176" s="28">
        <f>IF($G176="","",COUNTIFS($E$4:$E$2503,$E176,$Z$4:$Z$2503,"正常",$Y$4:$Y$2503,"待补价"))</f>
        <v/>
      </c>
      <c r="T176" s="26">
        <f>IF($G176="","",SUMIFS($P$4:$P$2503,$E$4:$E$2503,$E176,$Z$4:$Z$2503,"正常",$A$4:$A$2503,"&lt;="&amp;$A176))</f>
        <v/>
      </c>
      <c r="U176" s="26">
        <f>IF($G176="","",IF(OR($S176&gt;0,$Q176=0,$R176=0,$Z176&lt;&gt;"正常"),0,ROUND($T176/$Q176*$R176,0)-ROUND(($T176-$P176)/$Q176*$R176,0)))</f>
        <v/>
      </c>
      <c r="V176" s="26">
        <f>IF($G176="","",ROUND($P176+$U176,0))</f>
        <v/>
      </c>
      <c r="W176" s="26">
        <f>IF($G176="","",IF(N($K176)=0,0,ROUND($V176/$K176,2)))</f>
        <v/>
      </c>
      <c r="X176" s="17" t="inlineStr">
        <is>
          <t>采购入库</t>
        </is>
      </c>
      <c r="Y176" s="17" t="inlineStr">
        <is>
          <t>待补价</t>
        </is>
      </c>
      <c r="Z176" s="17" t="inlineStr">
        <is>
          <t>正常</t>
        </is>
      </c>
      <c r="AA176" s="17" t="n"/>
      <c r="AB176" s="17" t="inlineStr">
        <is>
          <t>原表第 181 行</t>
        </is>
      </c>
      <c r="AC176" s="24">
        <f>IF($G176="","",IF($H176="※编码不在物料档案里","※物料编码不在档案里",IF(N($K176)&lt;=0,"※入库数量要大于 0",IF(AND($C176&lt;&gt;"",$C176&lt;=结账锁),"※日期早于已结账截止日，不能再录",IF(AND($L176=0,$X176="正常"),"※没填单价，价格状态请选「待补价」",IF(AND($S176&gt;0,$R176&gt;0),"△本批有 "&amp;$S176&amp;" 行没单价，整批运费先挂账没摊",IF(AND($B176&lt;&gt;"",COUNTIF($B$4:$B$2503,$B176)&gt;1),"※入库单号重复","")))))))</f>
        <v/>
      </c>
    </row>
    <row r="177">
      <c r="A177" s="24">
        <f>IF($G177="","",COUNTA($G$4:$G177))</f>
        <v/>
      </c>
      <c r="B177" s="17" t="n"/>
      <c r="C177" s="30" t="n">
        <v>46052</v>
      </c>
      <c r="D177" s="17" t="inlineStr">
        <is>
          <t>A国内</t>
        </is>
      </c>
      <c r="E177" s="17" t="inlineStr">
        <is>
          <t>LCZU6663979-202601</t>
        </is>
      </c>
      <c r="F177" s="17" t="n"/>
      <c r="G177" s="17" t="inlineStr">
        <is>
          <t>JH0163</t>
        </is>
      </c>
      <c r="H177" s="24">
        <f>IF($G177="","",IFERROR(VLOOKUP($G177,物料档案!$A$4:$P$1203,3,0),"※编码不在物料档案里"))</f>
        <v/>
      </c>
      <c r="I177" s="24">
        <f>IF($G177="","",IFERROR(VLOOKUP($G177,物料档案!$A$4:$P$1203,4,0),"※编码不在物料档案里"))</f>
        <v/>
      </c>
      <c r="J177" s="24">
        <f>IF($G177="","",IFERROR(VLOOKUP($G177,物料档案!$A$4:$P$1203,5,0),"※编码不在物料档案里"))</f>
        <v/>
      </c>
      <c r="K177" s="23" t="n">
        <v>2</v>
      </c>
      <c r="L177" s="31" t="n"/>
      <c r="M177" s="24">
        <f>IF($G177="","",IF($D177="A国内","CNY","TZS"))</f>
        <v/>
      </c>
      <c r="N177" s="28">
        <f>IF($G177="","",IF($D177="A国内",汇率,1))</f>
        <v/>
      </c>
      <c r="O177" s="25">
        <f>IF($G177="","",ROUND(N($K177)*N($L177),2))</f>
        <v/>
      </c>
      <c r="P177" s="26">
        <f>IF($G177="","",ROUND($O177*$N177,0))</f>
        <v/>
      </c>
      <c r="Q177" s="26">
        <f>IF($G177="","",SUMIFS($P$4:$P$2503,$E$4:$E$2503,$E177,$Z$4:$Z$2503,"正常"))</f>
        <v/>
      </c>
      <c r="R177" s="26">
        <f>IF($G177="","",SUMIFS(费用台账!$I$4:$I$503,费用台账!$C$4:$C$503,$E177,费用台账!$J$4:$J$503,"是",费用台账!$K$4:$K$503,"正常"))</f>
        <v/>
      </c>
      <c r="S177" s="28">
        <f>IF($G177="","",COUNTIFS($E$4:$E$2503,$E177,$Z$4:$Z$2503,"正常",$Y$4:$Y$2503,"待补价"))</f>
        <v/>
      </c>
      <c r="T177" s="26">
        <f>IF($G177="","",SUMIFS($P$4:$P$2503,$E$4:$E$2503,$E177,$Z$4:$Z$2503,"正常",$A$4:$A$2503,"&lt;="&amp;$A177))</f>
        <v/>
      </c>
      <c r="U177" s="26">
        <f>IF($G177="","",IF(OR($S177&gt;0,$Q177=0,$R177=0,$Z177&lt;&gt;"正常"),0,ROUND($T177/$Q177*$R177,0)-ROUND(($T177-$P177)/$Q177*$R177,0)))</f>
        <v/>
      </c>
      <c r="V177" s="26">
        <f>IF($G177="","",ROUND($P177+$U177,0))</f>
        <v/>
      </c>
      <c r="W177" s="26">
        <f>IF($G177="","",IF(N($K177)=0,0,ROUND($V177/$K177,2)))</f>
        <v/>
      </c>
      <c r="X177" s="17" t="inlineStr">
        <is>
          <t>采购入库</t>
        </is>
      </c>
      <c r="Y177" s="17" t="inlineStr">
        <is>
          <t>待补价</t>
        </is>
      </c>
      <c r="Z177" s="17" t="inlineStr">
        <is>
          <t>正常</t>
        </is>
      </c>
      <c r="AA177" s="17" t="n"/>
      <c r="AB177" s="17" t="inlineStr">
        <is>
          <t>原表第 182 行</t>
        </is>
      </c>
      <c r="AC177" s="24">
        <f>IF($G177="","",IF($H177="※编码不在物料档案里","※物料编码不在档案里",IF(N($K177)&lt;=0,"※入库数量要大于 0",IF(AND($C177&lt;&gt;"",$C177&lt;=结账锁),"※日期早于已结账截止日，不能再录",IF(AND($L177=0,$X177="正常"),"※没填单价，价格状态请选「待补价」",IF(AND($S177&gt;0,$R177&gt;0),"△本批有 "&amp;$S177&amp;" 行没单价，整批运费先挂账没摊",IF(AND($B177&lt;&gt;"",COUNTIF($B$4:$B$2503,$B177)&gt;1),"※入库单号重复","")))))))</f>
        <v/>
      </c>
    </row>
    <row r="178">
      <c r="A178" s="24">
        <f>IF($G178="","",COUNTA($G$4:$G178))</f>
        <v/>
      </c>
      <c r="B178" s="17" t="n"/>
      <c r="C178" s="30" t="n">
        <v>46052</v>
      </c>
      <c r="D178" s="17" t="inlineStr">
        <is>
          <t>A国内</t>
        </is>
      </c>
      <c r="E178" s="17" t="inlineStr">
        <is>
          <t>LCZU6663979-202601</t>
        </is>
      </c>
      <c r="F178" s="17" t="n"/>
      <c r="G178" s="17" t="inlineStr">
        <is>
          <t>JH0164</t>
        </is>
      </c>
      <c r="H178" s="24">
        <f>IF($G178="","",IFERROR(VLOOKUP($G178,物料档案!$A$4:$P$1203,3,0),"※编码不在物料档案里"))</f>
        <v/>
      </c>
      <c r="I178" s="24">
        <f>IF($G178="","",IFERROR(VLOOKUP($G178,物料档案!$A$4:$P$1203,4,0),"※编码不在物料档案里"))</f>
        <v/>
      </c>
      <c r="J178" s="24">
        <f>IF($G178="","",IFERROR(VLOOKUP($G178,物料档案!$A$4:$P$1203,5,0),"※编码不在物料档案里"))</f>
        <v/>
      </c>
      <c r="K178" s="23" t="n">
        <v>2</v>
      </c>
      <c r="L178" s="31" t="n"/>
      <c r="M178" s="24">
        <f>IF($G178="","",IF($D178="A国内","CNY","TZS"))</f>
        <v/>
      </c>
      <c r="N178" s="28">
        <f>IF($G178="","",IF($D178="A国内",汇率,1))</f>
        <v/>
      </c>
      <c r="O178" s="25">
        <f>IF($G178="","",ROUND(N($K178)*N($L178),2))</f>
        <v/>
      </c>
      <c r="P178" s="26">
        <f>IF($G178="","",ROUND($O178*$N178,0))</f>
        <v/>
      </c>
      <c r="Q178" s="26">
        <f>IF($G178="","",SUMIFS($P$4:$P$2503,$E$4:$E$2503,$E178,$Z$4:$Z$2503,"正常"))</f>
        <v/>
      </c>
      <c r="R178" s="26">
        <f>IF($G178="","",SUMIFS(费用台账!$I$4:$I$503,费用台账!$C$4:$C$503,$E178,费用台账!$J$4:$J$503,"是",费用台账!$K$4:$K$503,"正常"))</f>
        <v/>
      </c>
      <c r="S178" s="28">
        <f>IF($G178="","",COUNTIFS($E$4:$E$2503,$E178,$Z$4:$Z$2503,"正常",$Y$4:$Y$2503,"待补价"))</f>
        <v/>
      </c>
      <c r="T178" s="26">
        <f>IF($G178="","",SUMIFS($P$4:$P$2503,$E$4:$E$2503,$E178,$Z$4:$Z$2503,"正常",$A$4:$A$2503,"&lt;="&amp;$A178))</f>
        <v/>
      </c>
      <c r="U178" s="26">
        <f>IF($G178="","",IF(OR($S178&gt;0,$Q178=0,$R178=0,$Z178&lt;&gt;"正常"),0,ROUND($T178/$Q178*$R178,0)-ROUND(($T178-$P178)/$Q178*$R178,0)))</f>
        <v/>
      </c>
      <c r="V178" s="26">
        <f>IF($G178="","",ROUND($P178+$U178,0))</f>
        <v/>
      </c>
      <c r="W178" s="26">
        <f>IF($G178="","",IF(N($K178)=0,0,ROUND($V178/$K178,2)))</f>
        <v/>
      </c>
      <c r="X178" s="17" t="inlineStr">
        <is>
          <t>采购入库</t>
        </is>
      </c>
      <c r="Y178" s="17" t="inlineStr">
        <is>
          <t>待补价</t>
        </is>
      </c>
      <c r="Z178" s="17" t="inlineStr">
        <is>
          <t>正常</t>
        </is>
      </c>
      <c r="AA178" s="17" t="n"/>
      <c r="AB178" s="17" t="inlineStr">
        <is>
          <t>原表第 183 行</t>
        </is>
      </c>
      <c r="AC178" s="24">
        <f>IF($G178="","",IF($H178="※编码不在物料档案里","※物料编码不在档案里",IF(N($K178)&lt;=0,"※入库数量要大于 0",IF(AND($C178&lt;&gt;"",$C178&lt;=结账锁),"※日期早于已结账截止日，不能再录",IF(AND($L178=0,$X178="正常"),"※没填单价，价格状态请选「待补价」",IF(AND($S178&gt;0,$R178&gt;0),"△本批有 "&amp;$S178&amp;" 行没单价，整批运费先挂账没摊",IF(AND($B178&lt;&gt;"",COUNTIF($B$4:$B$2503,$B178)&gt;1),"※入库单号重复","")))))))</f>
        <v/>
      </c>
    </row>
    <row r="179">
      <c r="A179" s="24">
        <f>IF($G179="","",COUNTA($G$4:$G179))</f>
        <v/>
      </c>
      <c r="B179" s="17" t="n"/>
      <c r="C179" s="30" t="n">
        <v>46052</v>
      </c>
      <c r="D179" s="17" t="inlineStr">
        <is>
          <t>A国内</t>
        </is>
      </c>
      <c r="E179" s="17" t="inlineStr">
        <is>
          <t>LCZU6663979-202601</t>
        </is>
      </c>
      <c r="F179" s="17" t="n"/>
      <c r="G179" s="17" t="inlineStr">
        <is>
          <t>JH0165</t>
        </is>
      </c>
      <c r="H179" s="24">
        <f>IF($G179="","",IFERROR(VLOOKUP($G179,物料档案!$A$4:$P$1203,3,0),"※编码不在物料档案里"))</f>
        <v/>
      </c>
      <c r="I179" s="24">
        <f>IF($G179="","",IFERROR(VLOOKUP($G179,物料档案!$A$4:$P$1203,4,0),"※编码不在物料档案里"))</f>
        <v/>
      </c>
      <c r="J179" s="24">
        <f>IF($G179="","",IFERROR(VLOOKUP($G179,物料档案!$A$4:$P$1203,5,0),"※编码不在物料档案里"))</f>
        <v/>
      </c>
      <c r="K179" s="23" t="n">
        <v>1</v>
      </c>
      <c r="L179" s="31" t="n"/>
      <c r="M179" s="24">
        <f>IF($G179="","",IF($D179="A国内","CNY","TZS"))</f>
        <v/>
      </c>
      <c r="N179" s="28">
        <f>IF($G179="","",IF($D179="A国内",汇率,1))</f>
        <v/>
      </c>
      <c r="O179" s="25">
        <f>IF($G179="","",ROUND(N($K179)*N($L179),2))</f>
        <v/>
      </c>
      <c r="P179" s="26">
        <f>IF($G179="","",ROUND($O179*$N179,0))</f>
        <v/>
      </c>
      <c r="Q179" s="26">
        <f>IF($G179="","",SUMIFS($P$4:$P$2503,$E$4:$E$2503,$E179,$Z$4:$Z$2503,"正常"))</f>
        <v/>
      </c>
      <c r="R179" s="26">
        <f>IF($G179="","",SUMIFS(费用台账!$I$4:$I$503,费用台账!$C$4:$C$503,$E179,费用台账!$J$4:$J$503,"是",费用台账!$K$4:$K$503,"正常"))</f>
        <v/>
      </c>
      <c r="S179" s="28">
        <f>IF($G179="","",COUNTIFS($E$4:$E$2503,$E179,$Z$4:$Z$2503,"正常",$Y$4:$Y$2503,"待补价"))</f>
        <v/>
      </c>
      <c r="T179" s="26">
        <f>IF($G179="","",SUMIFS($P$4:$P$2503,$E$4:$E$2503,$E179,$Z$4:$Z$2503,"正常",$A$4:$A$2503,"&lt;="&amp;$A179))</f>
        <v/>
      </c>
      <c r="U179" s="26">
        <f>IF($G179="","",IF(OR($S179&gt;0,$Q179=0,$R179=0,$Z179&lt;&gt;"正常"),0,ROUND($T179/$Q179*$R179,0)-ROUND(($T179-$P179)/$Q179*$R179,0)))</f>
        <v/>
      </c>
      <c r="V179" s="26">
        <f>IF($G179="","",ROUND($P179+$U179,0))</f>
        <v/>
      </c>
      <c r="W179" s="26">
        <f>IF($G179="","",IF(N($K179)=0,0,ROUND($V179/$K179,2)))</f>
        <v/>
      </c>
      <c r="X179" s="17" t="inlineStr">
        <is>
          <t>采购入库</t>
        </is>
      </c>
      <c r="Y179" s="17" t="inlineStr">
        <is>
          <t>待补价</t>
        </is>
      </c>
      <c r="Z179" s="17" t="inlineStr">
        <is>
          <t>正常</t>
        </is>
      </c>
      <c r="AA179" s="17" t="n"/>
      <c r="AB179" s="17" t="inlineStr">
        <is>
          <t>原表第 184 行</t>
        </is>
      </c>
      <c r="AC179" s="24">
        <f>IF($G179="","",IF($H179="※编码不在物料档案里","※物料编码不在档案里",IF(N($K179)&lt;=0,"※入库数量要大于 0",IF(AND($C179&lt;&gt;"",$C179&lt;=结账锁),"※日期早于已结账截止日，不能再录",IF(AND($L179=0,$X179="正常"),"※没填单价，价格状态请选「待补价」",IF(AND($S179&gt;0,$R179&gt;0),"△本批有 "&amp;$S179&amp;" 行没单价，整批运费先挂账没摊",IF(AND($B179&lt;&gt;"",COUNTIF($B$4:$B$2503,$B179)&gt;1),"※入库单号重复","")))))))</f>
        <v/>
      </c>
    </row>
    <row r="180">
      <c r="A180" s="24">
        <f>IF($G180="","",COUNTA($G$4:$G180))</f>
        <v/>
      </c>
      <c r="B180" s="17" t="n"/>
      <c r="C180" s="30" t="n">
        <v>46091</v>
      </c>
      <c r="D180" s="17" t="inlineStr">
        <is>
          <t>A国内</t>
        </is>
      </c>
      <c r="E180" s="17" t="inlineStr">
        <is>
          <t>AXIU1629864-202603</t>
        </is>
      </c>
      <c r="F180" s="17" t="inlineStr">
        <is>
          <t>烟台市金豪矿山机械有限公司</t>
        </is>
      </c>
      <c r="G180" s="17" t="inlineStr">
        <is>
          <t>JH0166</t>
        </is>
      </c>
      <c r="H180" s="24">
        <f>IF($G180="","",IFERROR(VLOOKUP($G180,物料档案!$A$4:$P$1203,3,0),"※编码不在物料档案里"))</f>
        <v/>
      </c>
      <c r="I180" s="24">
        <f>IF($G180="","",IFERROR(VLOOKUP($G180,物料档案!$A$4:$P$1203,4,0),"※编码不在物料档案里"))</f>
        <v/>
      </c>
      <c r="J180" s="24">
        <f>IF($G180="","",IFERROR(VLOOKUP($G180,物料档案!$A$4:$P$1203,5,0),"※编码不在物料档案里"))</f>
        <v/>
      </c>
      <c r="K180" s="23" t="n">
        <v>1</v>
      </c>
      <c r="L180" s="31" t="n"/>
      <c r="M180" s="24">
        <f>IF($G180="","",IF($D180="A国内","CNY","TZS"))</f>
        <v/>
      </c>
      <c r="N180" s="28">
        <f>IF($G180="","",IF($D180="A国内",汇率,1))</f>
        <v/>
      </c>
      <c r="O180" s="25">
        <f>IF($G180="","",ROUND(N($K180)*N($L180),2))</f>
        <v/>
      </c>
      <c r="P180" s="26">
        <f>IF($G180="","",ROUND($O180*$N180,0))</f>
        <v/>
      </c>
      <c r="Q180" s="26">
        <f>IF($G180="","",SUMIFS($P$4:$P$2503,$E$4:$E$2503,$E180,$Z$4:$Z$2503,"正常"))</f>
        <v/>
      </c>
      <c r="R180" s="26">
        <f>IF($G180="","",SUMIFS(费用台账!$I$4:$I$503,费用台账!$C$4:$C$503,$E180,费用台账!$J$4:$J$503,"是",费用台账!$K$4:$K$503,"正常"))</f>
        <v/>
      </c>
      <c r="S180" s="28">
        <f>IF($G180="","",COUNTIFS($E$4:$E$2503,$E180,$Z$4:$Z$2503,"正常",$Y$4:$Y$2503,"待补价"))</f>
        <v/>
      </c>
      <c r="T180" s="26">
        <f>IF($G180="","",SUMIFS($P$4:$P$2503,$E$4:$E$2503,$E180,$Z$4:$Z$2503,"正常",$A$4:$A$2503,"&lt;="&amp;$A180))</f>
        <v/>
      </c>
      <c r="U180" s="26">
        <f>IF($G180="","",IF(OR($S180&gt;0,$Q180=0,$R180=0,$Z180&lt;&gt;"正常"),0,ROUND($T180/$Q180*$R180,0)-ROUND(($T180-$P180)/$Q180*$R180,0)))</f>
        <v/>
      </c>
      <c r="V180" s="26">
        <f>IF($G180="","",ROUND($P180+$U180,0))</f>
        <v/>
      </c>
      <c r="W180" s="26">
        <f>IF($G180="","",IF(N($K180)=0,0,ROUND($V180/$K180,2)))</f>
        <v/>
      </c>
      <c r="X180" s="17" t="inlineStr">
        <is>
          <t>采购入库</t>
        </is>
      </c>
      <c r="Y180" s="17" t="inlineStr">
        <is>
          <t>待补价</t>
        </is>
      </c>
      <c r="Z180" s="17" t="inlineStr">
        <is>
          <t>正常</t>
        </is>
      </c>
      <c r="AA180" s="17" t="n"/>
      <c r="AB180" s="17" t="inlineStr">
        <is>
          <t>原表第 185 行</t>
        </is>
      </c>
      <c r="AC180" s="24">
        <f>IF($G180="","",IF($H180="※编码不在物料档案里","※物料编码不在档案里",IF(N($K180)&lt;=0,"※入库数量要大于 0",IF(AND($C180&lt;&gt;"",$C180&lt;=结账锁),"※日期早于已结账截止日，不能再录",IF(AND($L180=0,$X180="正常"),"※没填单价，价格状态请选「待补价」",IF(AND($S180&gt;0,$R180&gt;0),"△本批有 "&amp;$S180&amp;" 行没单价，整批运费先挂账没摊",IF(AND($B180&lt;&gt;"",COUNTIF($B$4:$B$2503,$B180)&gt;1),"※入库单号重复","")))))))</f>
        <v/>
      </c>
    </row>
    <row r="181">
      <c r="A181" s="24">
        <f>IF($G181="","",COUNTA($G$4:$G181))</f>
        <v/>
      </c>
      <c r="B181" s="17" t="n"/>
      <c r="C181" s="30" t="n">
        <v>46091</v>
      </c>
      <c r="D181" s="17" t="inlineStr">
        <is>
          <t>A国内</t>
        </is>
      </c>
      <c r="E181" s="17" t="inlineStr">
        <is>
          <t>AXIU1629864-202603</t>
        </is>
      </c>
      <c r="F181" s="17" t="inlineStr">
        <is>
          <t>烟台市金豪矿山机械有限公司</t>
        </is>
      </c>
      <c r="G181" s="17" t="inlineStr">
        <is>
          <t>JH0167</t>
        </is>
      </c>
      <c r="H181" s="24">
        <f>IF($G181="","",IFERROR(VLOOKUP($G181,物料档案!$A$4:$P$1203,3,0),"※编码不在物料档案里"))</f>
        <v/>
      </c>
      <c r="I181" s="24">
        <f>IF($G181="","",IFERROR(VLOOKUP($G181,物料档案!$A$4:$P$1203,4,0),"※编码不在物料档案里"))</f>
        <v/>
      </c>
      <c r="J181" s="24">
        <f>IF($G181="","",IFERROR(VLOOKUP($G181,物料档案!$A$4:$P$1203,5,0),"※编码不在物料档案里"))</f>
        <v/>
      </c>
      <c r="K181" s="23" t="n">
        <v>500</v>
      </c>
      <c r="L181" s="31" t="n">
        <v>11.7</v>
      </c>
      <c r="M181" s="24">
        <f>IF($G181="","",IF($D181="A国内","CNY","TZS"))</f>
        <v/>
      </c>
      <c r="N181" s="28">
        <f>IF($G181="","",IF($D181="A国内",汇率,1))</f>
        <v/>
      </c>
      <c r="O181" s="25">
        <f>IF($G181="","",ROUND(N($K181)*N($L181),2))</f>
        <v/>
      </c>
      <c r="P181" s="26">
        <f>IF($G181="","",ROUND($O181*$N181,0))</f>
        <v/>
      </c>
      <c r="Q181" s="26">
        <f>IF($G181="","",SUMIFS($P$4:$P$2503,$E$4:$E$2503,$E181,$Z$4:$Z$2503,"正常"))</f>
        <v/>
      </c>
      <c r="R181" s="26">
        <f>IF($G181="","",SUMIFS(费用台账!$I$4:$I$503,费用台账!$C$4:$C$503,$E181,费用台账!$J$4:$J$503,"是",费用台账!$K$4:$K$503,"正常"))</f>
        <v/>
      </c>
      <c r="S181" s="28">
        <f>IF($G181="","",COUNTIFS($E$4:$E$2503,$E181,$Z$4:$Z$2503,"正常",$Y$4:$Y$2503,"待补价"))</f>
        <v/>
      </c>
      <c r="T181" s="26">
        <f>IF($G181="","",SUMIFS($P$4:$P$2503,$E$4:$E$2503,$E181,$Z$4:$Z$2503,"正常",$A$4:$A$2503,"&lt;="&amp;$A181))</f>
        <v/>
      </c>
      <c r="U181" s="26">
        <f>IF($G181="","",IF(OR($S181&gt;0,$Q181=0,$R181=0,$Z181&lt;&gt;"正常"),0,ROUND($T181/$Q181*$R181,0)-ROUND(($T181-$P181)/$Q181*$R181,0)))</f>
        <v/>
      </c>
      <c r="V181" s="26">
        <f>IF($G181="","",ROUND($P181+$U181,0))</f>
        <v/>
      </c>
      <c r="W181" s="26">
        <f>IF($G181="","",IF(N($K181)=0,0,ROUND($V181/$K181,2)))</f>
        <v/>
      </c>
      <c r="X181" s="17" t="inlineStr">
        <is>
          <t>采购入库</t>
        </is>
      </c>
      <c r="Y181" s="17" t="inlineStr">
        <is>
          <t>正常</t>
        </is>
      </c>
      <c r="Z181" s="17" t="inlineStr">
        <is>
          <t>正常</t>
        </is>
      </c>
      <c r="AA181" s="17" t="n"/>
      <c r="AB181" s="17" t="inlineStr">
        <is>
          <t>原表第 186 行</t>
        </is>
      </c>
      <c r="AC181" s="24">
        <f>IF($G181="","",IF($H181="※编码不在物料档案里","※物料编码不在档案里",IF(N($K181)&lt;=0,"※入库数量要大于 0",IF(AND($C181&lt;&gt;"",$C181&lt;=结账锁),"※日期早于已结账截止日，不能再录",IF(AND($L181=0,$X181="正常"),"※没填单价，价格状态请选「待补价」",IF(AND($S181&gt;0,$R181&gt;0),"△本批有 "&amp;$S181&amp;" 行没单价，整批运费先挂账没摊",IF(AND($B181&lt;&gt;"",COUNTIF($B$4:$B$2503,$B181)&gt;1),"※入库单号重复","")))))))</f>
        <v/>
      </c>
    </row>
    <row r="182">
      <c r="A182" s="24">
        <f>IF($G182="","",COUNTA($G$4:$G182))</f>
        <v/>
      </c>
      <c r="B182" s="17" t="n"/>
      <c r="C182" s="30" t="n">
        <v>46091</v>
      </c>
      <c r="D182" s="17" t="inlineStr">
        <is>
          <t>A国内</t>
        </is>
      </c>
      <c r="E182" s="17" t="inlineStr">
        <is>
          <t>AXIU1629864-202603</t>
        </is>
      </c>
      <c r="F182" s="17" t="inlineStr">
        <is>
          <t>烟台市金豪矿山机械有限公司</t>
        </is>
      </c>
      <c r="G182" s="17" t="inlineStr">
        <is>
          <t>JH0168</t>
        </is>
      </c>
      <c r="H182" s="24">
        <f>IF($G182="","",IFERROR(VLOOKUP($G182,物料档案!$A$4:$P$1203,3,0),"※编码不在物料档案里"))</f>
        <v/>
      </c>
      <c r="I182" s="24">
        <f>IF($G182="","",IFERROR(VLOOKUP($G182,物料档案!$A$4:$P$1203,4,0),"※编码不在物料档案里"))</f>
        <v/>
      </c>
      <c r="J182" s="24">
        <f>IF($G182="","",IFERROR(VLOOKUP($G182,物料档案!$A$4:$P$1203,5,0),"※编码不在物料档案里"))</f>
        <v/>
      </c>
      <c r="K182" s="23" t="n">
        <v>500</v>
      </c>
      <c r="L182" s="31" t="n"/>
      <c r="M182" s="24">
        <f>IF($G182="","",IF($D182="A国内","CNY","TZS"))</f>
        <v/>
      </c>
      <c r="N182" s="28">
        <f>IF($G182="","",IF($D182="A国内",汇率,1))</f>
        <v/>
      </c>
      <c r="O182" s="25">
        <f>IF($G182="","",ROUND(N($K182)*N($L182),2))</f>
        <v/>
      </c>
      <c r="P182" s="26">
        <f>IF($G182="","",ROUND($O182*$N182,0))</f>
        <v/>
      </c>
      <c r="Q182" s="26">
        <f>IF($G182="","",SUMIFS($P$4:$P$2503,$E$4:$E$2503,$E182,$Z$4:$Z$2503,"正常"))</f>
        <v/>
      </c>
      <c r="R182" s="26">
        <f>IF($G182="","",SUMIFS(费用台账!$I$4:$I$503,费用台账!$C$4:$C$503,$E182,费用台账!$J$4:$J$503,"是",费用台账!$K$4:$K$503,"正常"))</f>
        <v/>
      </c>
      <c r="S182" s="28">
        <f>IF($G182="","",COUNTIFS($E$4:$E$2503,$E182,$Z$4:$Z$2503,"正常",$Y$4:$Y$2503,"待补价"))</f>
        <v/>
      </c>
      <c r="T182" s="26">
        <f>IF($G182="","",SUMIFS($P$4:$P$2503,$E$4:$E$2503,$E182,$Z$4:$Z$2503,"正常",$A$4:$A$2503,"&lt;="&amp;$A182))</f>
        <v/>
      </c>
      <c r="U182" s="26">
        <f>IF($G182="","",IF(OR($S182&gt;0,$Q182=0,$R182=0,$Z182&lt;&gt;"正常"),0,ROUND($T182/$Q182*$R182,0)-ROUND(($T182-$P182)/$Q182*$R182,0)))</f>
        <v/>
      </c>
      <c r="V182" s="26">
        <f>IF($G182="","",ROUND($P182+$U182,0))</f>
        <v/>
      </c>
      <c r="W182" s="26">
        <f>IF($G182="","",IF(N($K182)=0,0,ROUND($V182/$K182,2)))</f>
        <v/>
      </c>
      <c r="X182" s="17" t="inlineStr">
        <is>
          <t>采购入库</t>
        </is>
      </c>
      <c r="Y182" s="17" t="inlineStr">
        <is>
          <t>待补价</t>
        </is>
      </c>
      <c r="Z182" s="17" t="inlineStr">
        <is>
          <t>正常</t>
        </is>
      </c>
      <c r="AA182" s="17" t="n"/>
      <c r="AB182" s="17" t="inlineStr">
        <is>
          <t>原表第 187 行</t>
        </is>
      </c>
      <c r="AC182" s="24">
        <f>IF($G182="","",IF($H182="※编码不在物料档案里","※物料编码不在档案里",IF(N($K182)&lt;=0,"※入库数量要大于 0",IF(AND($C182&lt;&gt;"",$C182&lt;=结账锁),"※日期早于已结账截止日，不能再录",IF(AND($L182=0,$X182="正常"),"※没填单价，价格状态请选「待补价」",IF(AND($S182&gt;0,$R182&gt;0),"△本批有 "&amp;$S182&amp;" 行没单价，整批运费先挂账没摊",IF(AND($B182&lt;&gt;"",COUNTIF($B$4:$B$2503,$B182)&gt;1),"※入库单号重复","")))))))</f>
        <v/>
      </c>
    </row>
    <row r="183">
      <c r="A183" s="24">
        <f>IF($G183="","",COUNTA($G$4:$G183))</f>
        <v/>
      </c>
      <c r="B183" s="17" t="n"/>
      <c r="C183" s="30" t="n">
        <v>46091</v>
      </c>
      <c r="D183" s="17" t="inlineStr">
        <is>
          <t>A国内</t>
        </is>
      </c>
      <c r="E183" s="17" t="inlineStr">
        <is>
          <t>AXIU1629864-202603</t>
        </is>
      </c>
      <c r="F183" s="17" t="inlineStr">
        <is>
          <t>烟台市金豪矿山机械有限公司</t>
        </is>
      </c>
      <c r="G183" s="17" t="inlineStr">
        <is>
          <t>JH0169</t>
        </is>
      </c>
      <c r="H183" s="24">
        <f>IF($G183="","",IFERROR(VLOOKUP($G183,物料档案!$A$4:$P$1203,3,0),"※编码不在物料档案里"))</f>
        <v/>
      </c>
      <c r="I183" s="24">
        <f>IF($G183="","",IFERROR(VLOOKUP($G183,物料档案!$A$4:$P$1203,4,0),"※编码不在物料档案里"))</f>
        <v/>
      </c>
      <c r="J183" s="24">
        <f>IF($G183="","",IFERROR(VLOOKUP($G183,物料档案!$A$4:$P$1203,5,0),"※编码不在物料档案里"))</f>
        <v/>
      </c>
      <c r="K183" s="23" t="n">
        <v>500</v>
      </c>
      <c r="L183" s="31" t="n">
        <v>22</v>
      </c>
      <c r="M183" s="24">
        <f>IF($G183="","",IF($D183="A国内","CNY","TZS"))</f>
        <v/>
      </c>
      <c r="N183" s="28">
        <f>IF($G183="","",IF($D183="A国内",汇率,1))</f>
        <v/>
      </c>
      <c r="O183" s="25">
        <f>IF($G183="","",ROUND(N($K183)*N($L183),2))</f>
        <v/>
      </c>
      <c r="P183" s="26">
        <f>IF($G183="","",ROUND($O183*$N183,0))</f>
        <v/>
      </c>
      <c r="Q183" s="26">
        <f>IF($G183="","",SUMIFS($P$4:$P$2503,$E$4:$E$2503,$E183,$Z$4:$Z$2503,"正常"))</f>
        <v/>
      </c>
      <c r="R183" s="26">
        <f>IF($G183="","",SUMIFS(费用台账!$I$4:$I$503,费用台账!$C$4:$C$503,$E183,费用台账!$J$4:$J$503,"是",费用台账!$K$4:$K$503,"正常"))</f>
        <v/>
      </c>
      <c r="S183" s="28">
        <f>IF($G183="","",COUNTIFS($E$4:$E$2503,$E183,$Z$4:$Z$2503,"正常",$Y$4:$Y$2503,"待补价"))</f>
        <v/>
      </c>
      <c r="T183" s="26">
        <f>IF($G183="","",SUMIFS($P$4:$P$2503,$E$4:$E$2503,$E183,$Z$4:$Z$2503,"正常",$A$4:$A$2503,"&lt;="&amp;$A183))</f>
        <v/>
      </c>
      <c r="U183" s="26">
        <f>IF($G183="","",IF(OR($S183&gt;0,$Q183=0,$R183=0,$Z183&lt;&gt;"正常"),0,ROUND($T183/$Q183*$R183,0)-ROUND(($T183-$P183)/$Q183*$R183,0)))</f>
        <v/>
      </c>
      <c r="V183" s="26">
        <f>IF($G183="","",ROUND($P183+$U183,0))</f>
        <v/>
      </c>
      <c r="W183" s="26">
        <f>IF($G183="","",IF(N($K183)=0,0,ROUND($V183/$K183,2)))</f>
        <v/>
      </c>
      <c r="X183" s="17" t="inlineStr">
        <is>
          <t>采购入库</t>
        </is>
      </c>
      <c r="Y183" s="17" t="inlineStr">
        <is>
          <t>正常</t>
        </is>
      </c>
      <c r="Z183" s="17" t="inlineStr">
        <is>
          <t>正常</t>
        </is>
      </c>
      <c r="AA183" s="17" t="n"/>
      <c r="AB183" s="17" t="inlineStr">
        <is>
          <t>原表第 188 行</t>
        </is>
      </c>
      <c r="AC183" s="24">
        <f>IF($G183="","",IF($H183="※编码不在物料档案里","※物料编码不在档案里",IF(N($K183)&lt;=0,"※入库数量要大于 0",IF(AND($C183&lt;&gt;"",$C183&lt;=结账锁),"※日期早于已结账截止日，不能再录",IF(AND($L183=0,$X183="正常"),"※没填单价，价格状态请选「待补价」",IF(AND($S183&gt;0,$R183&gt;0),"△本批有 "&amp;$S183&amp;" 行没单价，整批运费先挂账没摊",IF(AND($B183&lt;&gt;"",COUNTIF($B$4:$B$2503,$B183)&gt;1),"※入库单号重复","")))))))</f>
        <v/>
      </c>
    </row>
    <row r="184">
      <c r="A184" s="24">
        <f>IF($G184="","",COUNTA($G$4:$G184))</f>
        <v/>
      </c>
      <c r="B184" s="17" t="n"/>
      <c r="C184" s="30" t="n">
        <v>46091</v>
      </c>
      <c r="D184" s="17" t="inlineStr">
        <is>
          <t>A国内</t>
        </is>
      </c>
      <c r="E184" s="17" t="inlineStr">
        <is>
          <t>AXIU1629864-202603</t>
        </is>
      </c>
      <c r="F184" s="17" t="inlineStr">
        <is>
          <t>烟台市金豪矿山机械有限公司</t>
        </is>
      </c>
      <c r="G184" s="17" t="inlineStr">
        <is>
          <t>JH0170</t>
        </is>
      </c>
      <c r="H184" s="24">
        <f>IF($G184="","",IFERROR(VLOOKUP($G184,物料档案!$A$4:$P$1203,3,0),"※编码不在物料档案里"))</f>
        <v/>
      </c>
      <c r="I184" s="24">
        <f>IF($G184="","",IFERROR(VLOOKUP($G184,物料档案!$A$4:$P$1203,4,0),"※编码不在物料档案里"))</f>
        <v/>
      </c>
      <c r="J184" s="24">
        <f>IF($G184="","",IFERROR(VLOOKUP($G184,物料档案!$A$4:$P$1203,5,0),"※编码不在物料档案里"))</f>
        <v/>
      </c>
      <c r="K184" s="23" t="n">
        <v>300</v>
      </c>
      <c r="L184" s="31" t="n"/>
      <c r="M184" s="24">
        <f>IF($G184="","",IF($D184="A国内","CNY","TZS"))</f>
        <v/>
      </c>
      <c r="N184" s="28">
        <f>IF($G184="","",IF($D184="A国内",汇率,1))</f>
        <v/>
      </c>
      <c r="O184" s="25">
        <f>IF($G184="","",ROUND(N($K184)*N($L184),2))</f>
        <v/>
      </c>
      <c r="P184" s="26">
        <f>IF($G184="","",ROUND($O184*$N184,0))</f>
        <v/>
      </c>
      <c r="Q184" s="26">
        <f>IF($G184="","",SUMIFS($P$4:$P$2503,$E$4:$E$2503,$E184,$Z$4:$Z$2503,"正常"))</f>
        <v/>
      </c>
      <c r="R184" s="26">
        <f>IF($G184="","",SUMIFS(费用台账!$I$4:$I$503,费用台账!$C$4:$C$503,$E184,费用台账!$J$4:$J$503,"是",费用台账!$K$4:$K$503,"正常"))</f>
        <v/>
      </c>
      <c r="S184" s="28">
        <f>IF($G184="","",COUNTIFS($E$4:$E$2503,$E184,$Z$4:$Z$2503,"正常",$Y$4:$Y$2503,"待补价"))</f>
        <v/>
      </c>
      <c r="T184" s="26">
        <f>IF($G184="","",SUMIFS($P$4:$P$2503,$E$4:$E$2503,$E184,$Z$4:$Z$2503,"正常",$A$4:$A$2503,"&lt;="&amp;$A184))</f>
        <v/>
      </c>
      <c r="U184" s="26">
        <f>IF($G184="","",IF(OR($S184&gt;0,$Q184=0,$R184=0,$Z184&lt;&gt;"正常"),0,ROUND($T184/$Q184*$R184,0)-ROUND(($T184-$P184)/$Q184*$R184,0)))</f>
        <v/>
      </c>
      <c r="V184" s="26">
        <f>IF($G184="","",ROUND($P184+$U184,0))</f>
        <v/>
      </c>
      <c r="W184" s="26">
        <f>IF($G184="","",IF(N($K184)=0,0,ROUND($V184/$K184,2)))</f>
        <v/>
      </c>
      <c r="X184" s="17" t="inlineStr">
        <is>
          <t>采购入库</t>
        </is>
      </c>
      <c r="Y184" s="17" t="inlineStr">
        <is>
          <t>待补价</t>
        </is>
      </c>
      <c r="Z184" s="17" t="inlineStr">
        <is>
          <t>正常</t>
        </is>
      </c>
      <c r="AA184" s="17" t="n"/>
      <c r="AB184" s="17" t="inlineStr">
        <is>
          <t>原表第 189 行</t>
        </is>
      </c>
      <c r="AC184" s="24">
        <f>IF($G184="","",IF($H184="※编码不在物料档案里","※物料编码不在档案里",IF(N($K184)&lt;=0,"※入库数量要大于 0",IF(AND($C184&lt;&gt;"",$C184&lt;=结账锁),"※日期早于已结账截止日，不能再录",IF(AND($L184=0,$X184="正常"),"※没填单价，价格状态请选「待补价」",IF(AND($S184&gt;0,$R184&gt;0),"△本批有 "&amp;$S184&amp;" 行没单价，整批运费先挂账没摊",IF(AND($B184&lt;&gt;"",COUNTIF($B$4:$B$2503,$B184)&gt;1),"※入库单号重复","")))))))</f>
        <v/>
      </c>
    </row>
    <row r="185">
      <c r="A185" s="24">
        <f>IF($G185="","",COUNTA($G$4:$G185))</f>
        <v/>
      </c>
      <c r="B185" s="17" t="n"/>
      <c r="C185" s="30" t="n">
        <v>46091</v>
      </c>
      <c r="D185" s="17" t="inlineStr">
        <is>
          <t>A国内</t>
        </is>
      </c>
      <c r="E185" s="17" t="inlineStr">
        <is>
          <t>AXIU1629864-202603</t>
        </is>
      </c>
      <c r="F185" s="17" t="inlineStr">
        <is>
          <t>烟台市金豪矿山机械有限公司</t>
        </is>
      </c>
      <c r="G185" s="17" t="inlineStr">
        <is>
          <t>JH0171</t>
        </is>
      </c>
      <c r="H185" s="24">
        <f>IF($G185="","",IFERROR(VLOOKUP($G185,物料档案!$A$4:$P$1203,3,0),"※编码不在物料档案里"))</f>
        <v/>
      </c>
      <c r="I185" s="24">
        <f>IF($G185="","",IFERROR(VLOOKUP($G185,物料档案!$A$4:$P$1203,4,0),"※编码不在物料档案里"))</f>
        <v/>
      </c>
      <c r="J185" s="24">
        <f>IF($G185="","",IFERROR(VLOOKUP($G185,物料档案!$A$4:$P$1203,5,0),"※编码不在物料档案里"))</f>
        <v/>
      </c>
      <c r="K185" s="23" t="n">
        <v>300</v>
      </c>
      <c r="L185" s="31" t="n"/>
      <c r="M185" s="24">
        <f>IF($G185="","",IF($D185="A国内","CNY","TZS"))</f>
        <v/>
      </c>
      <c r="N185" s="28">
        <f>IF($G185="","",IF($D185="A国内",汇率,1))</f>
        <v/>
      </c>
      <c r="O185" s="25">
        <f>IF($G185="","",ROUND(N($K185)*N($L185),2))</f>
        <v/>
      </c>
      <c r="P185" s="26">
        <f>IF($G185="","",ROUND($O185*$N185,0))</f>
        <v/>
      </c>
      <c r="Q185" s="26">
        <f>IF($G185="","",SUMIFS($P$4:$P$2503,$E$4:$E$2503,$E185,$Z$4:$Z$2503,"正常"))</f>
        <v/>
      </c>
      <c r="R185" s="26">
        <f>IF($G185="","",SUMIFS(费用台账!$I$4:$I$503,费用台账!$C$4:$C$503,$E185,费用台账!$J$4:$J$503,"是",费用台账!$K$4:$K$503,"正常"))</f>
        <v/>
      </c>
      <c r="S185" s="28">
        <f>IF($G185="","",COUNTIFS($E$4:$E$2503,$E185,$Z$4:$Z$2503,"正常",$Y$4:$Y$2503,"待补价"))</f>
        <v/>
      </c>
      <c r="T185" s="26">
        <f>IF($G185="","",SUMIFS($P$4:$P$2503,$E$4:$E$2503,$E185,$Z$4:$Z$2503,"正常",$A$4:$A$2503,"&lt;="&amp;$A185))</f>
        <v/>
      </c>
      <c r="U185" s="26">
        <f>IF($G185="","",IF(OR($S185&gt;0,$Q185=0,$R185=0,$Z185&lt;&gt;"正常"),0,ROUND($T185/$Q185*$R185,0)-ROUND(($T185-$P185)/$Q185*$R185,0)))</f>
        <v/>
      </c>
      <c r="V185" s="26">
        <f>IF($G185="","",ROUND($P185+$U185,0))</f>
        <v/>
      </c>
      <c r="W185" s="26">
        <f>IF($G185="","",IF(N($K185)=0,0,ROUND($V185/$K185,2)))</f>
        <v/>
      </c>
      <c r="X185" s="17" t="inlineStr">
        <is>
          <t>采购入库</t>
        </is>
      </c>
      <c r="Y185" s="17" t="inlineStr">
        <is>
          <t>待补价</t>
        </is>
      </c>
      <c r="Z185" s="17" t="inlineStr">
        <is>
          <t>正常</t>
        </is>
      </c>
      <c r="AA185" s="17" t="n"/>
      <c r="AB185" s="17" t="inlineStr">
        <is>
          <t>原表第 190 行</t>
        </is>
      </c>
      <c r="AC185" s="24">
        <f>IF($G185="","",IF($H185="※编码不在物料档案里","※物料编码不在档案里",IF(N($K185)&lt;=0,"※入库数量要大于 0",IF(AND($C185&lt;&gt;"",$C185&lt;=结账锁),"※日期早于已结账截止日，不能再录",IF(AND($L185=0,$X185="正常"),"※没填单价，价格状态请选「待补价」",IF(AND($S185&gt;0,$R185&gt;0),"△本批有 "&amp;$S185&amp;" 行没单价，整批运费先挂账没摊",IF(AND($B185&lt;&gt;"",COUNTIF($B$4:$B$2503,$B185)&gt;1),"※入库单号重复","")))))))</f>
        <v/>
      </c>
    </row>
    <row r="186">
      <c r="A186" s="24">
        <f>IF($G186="","",COUNTA($G$4:$G186))</f>
        <v/>
      </c>
      <c r="B186" s="17" t="n"/>
      <c r="C186" s="30" t="n">
        <v>46091</v>
      </c>
      <c r="D186" s="17" t="inlineStr">
        <is>
          <t>A国内</t>
        </is>
      </c>
      <c r="E186" s="17" t="inlineStr">
        <is>
          <t>AXIU1629864-202603</t>
        </is>
      </c>
      <c r="F186" s="17" t="inlineStr">
        <is>
          <t>烟台市金豪矿山机械有限公司</t>
        </is>
      </c>
      <c r="G186" s="17" t="inlineStr">
        <is>
          <t>JH0172</t>
        </is>
      </c>
      <c r="H186" s="24">
        <f>IF($G186="","",IFERROR(VLOOKUP($G186,物料档案!$A$4:$P$1203,3,0),"※编码不在物料档案里"))</f>
        <v/>
      </c>
      <c r="I186" s="24">
        <f>IF($G186="","",IFERROR(VLOOKUP($G186,物料档案!$A$4:$P$1203,4,0),"※编码不在物料档案里"))</f>
        <v/>
      </c>
      <c r="J186" s="24">
        <f>IF($G186="","",IFERROR(VLOOKUP($G186,物料档案!$A$4:$P$1203,5,0),"※编码不在物料档案里"))</f>
        <v/>
      </c>
      <c r="K186" s="23" t="n">
        <v>300</v>
      </c>
      <c r="L186" s="31" t="n"/>
      <c r="M186" s="24">
        <f>IF($G186="","",IF($D186="A国内","CNY","TZS"))</f>
        <v/>
      </c>
      <c r="N186" s="28">
        <f>IF($G186="","",IF($D186="A国内",汇率,1))</f>
        <v/>
      </c>
      <c r="O186" s="25">
        <f>IF($G186="","",ROUND(N($K186)*N($L186),2))</f>
        <v/>
      </c>
      <c r="P186" s="26">
        <f>IF($G186="","",ROUND($O186*$N186,0))</f>
        <v/>
      </c>
      <c r="Q186" s="26">
        <f>IF($G186="","",SUMIFS($P$4:$P$2503,$E$4:$E$2503,$E186,$Z$4:$Z$2503,"正常"))</f>
        <v/>
      </c>
      <c r="R186" s="26">
        <f>IF($G186="","",SUMIFS(费用台账!$I$4:$I$503,费用台账!$C$4:$C$503,$E186,费用台账!$J$4:$J$503,"是",费用台账!$K$4:$K$503,"正常"))</f>
        <v/>
      </c>
      <c r="S186" s="28">
        <f>IF($G186="","",COUNTIFS($E$4:$E$2503,$E186,$Z$4:$Z$2503,"正常",$Y$4:$Y$2503,"待补价"))</f>
        <v/>
      </c>
      <c r="T186" s="26">
        <f>IF($G186="","",SUMIFS($P$4:$P$2503,$E$4:$E$2503,$E186,$Z$4:$Z$2503,"正常",$A$4:$A$2503,"&lt;="&amp;$A186))</f>
        <v/>
      </c>
      <c r="U186" s="26">
        <f>IF($G186="","",IF(OR($S186&gt;0,$Q186=0,$R186=0,$Z186&lt;&gt;"正常"),0,ROUND($T186/$Q186*$R186,0)-ROUND(($T186-$P186)/$Q186*$R186,0)))</f>
        <v/>
      </c>
      <c r="V186" s="26">
        <f>IF($G186="","",ROUND($P186+$U186,0))</f>
        <v/>
      </c>
      <c r="W186" s="26">
        <f>IF($G186="","",IF(N($K186)=0,0,ROUND($V186/$K186,2)))</f>
        <v/>
      </c>
      <c r="X186" s="17" t="inlineStr">
        <is>
          <t>采购入库</t>
        </is>
      </c>
      <c r="Y186" s="17" t="inlineStr">
        <is>
          <t>待补价</t>
        </is>
      </c>
      <c r="Z186" s="17" t="inlineStr">
        <is>
          <t>正常</t>
        </is>
      </c>
      <c r="AA186" s="17" t="n"/>
      <c r="AB186" s="17" t="inlineStr">
        <is>
          <t>原表第 191 行</t>
        </is>
      </c>
      <c r="AC186" s="24">
        <f>IF($G186="","",IF($H186="※编码不在物料档案里","※物料编码不在档案里",IF(N($K186)&lt;=0,"※入库数量要大于 0",IF(AND($C186&lt;&gt;"",$C186&lt;=结账锁),"※日期早于已结账截止日，不能再录",IF(AND($L186=0,$X186="正常"),"※没填单价，价格状态请选「待补价」",IF(AND($S186&gt;0,$R186&gt;0),"△本批有 "&amp;$S186&amp;" 行没单价，整批运费先挂账没摊",IF(AND($B186&lt;&gt;"",COUNTIF($B$4:$B$2503,$B186)&gt;1),"※入库单号重复","")))))))</f>
        <v/>
      </c>
    </row>
    <row r="187">
      <c r="A187" s="24">
        <f>IF($G187="","",COUNTA($G$4:$G187))</f>
        <v/>
      </c>
      <c r="B187" s="17" t="n"/>
      <c r="C187" s="30" t="n">
        <v>46091</v>
      </c>
      <c r="D187" s="17" t="inlineStr">
        <is>
          <t>A国内</t>
        </is>
      </c>
      <c r="E187" s="17" t="inlineStr">
        <is>
          <t>AXIU1629864-202603</t>
        </is>
      </c>
      <c r="F187" s="17" t="inlineStr">
        <is>
          <t>烟台市金豪矿山机械有限公司</t>
        </is>
      </c>
      <c r="G187" s="17" t="inlineStr">
        <is>
          <t>JH0173</t>
        </is>
      </c>
      <c r="H187" s="24">
        <f>IF($G187="","",IFERROR(VLOOKUP($G187,物料档案!$A$4:$P$1203,3,0),"※编码不在物料档案里"))</f>
        <v/>
      </c>
      <c r="I187" s="24">
        <f>IF($G187="","",IFERROR(VLOOKUP($G187,物料档案!$A$4:$P$1203,4,0),"※编码不在物料档案里"))</f>
        <v/>
      </c>
      <c r="J187" s="24">
        <f>IF($G187="","",IFERROR(VLOOKUP($G187,物料档案!$A$4:$P$1203,5,0),"※编码不在物料档案里"))</f>
        <v/>
      </c>
      <c r="K187" s="23" t="n">
        <v>300</v>
      </c>
      <c r="L187" s="31" t="n"/>
      <c r="M187" s="24">
        <f>IF($G187="","",IF($D187="A国内","CNY","TZS"))</f>
        <v/>
      </c>
      <c r="N187" s="28">
        <f>IF($G187="","",IF($D187="A国内",汇率,1))</f>
        <v/>
      </c>
      <c r="O187" s="25">
        <f>IF($G187="","",ROUND(N($K187)*N($L187),2))</f>
        <v/>
      </c>
      <c r="P187" s="26">
        <f>IF($G187="","",ROUND($O187*$N187,0))</f>
        <v/>
      </c>
      <c r="Q187" s="26">
        <f>IF($G187="","",SUMIFS($P$4:$P$2503,$E$4:$E$2503,$E187,$Z$4:$Z$2503,"正常"))</f>
        <v/>
      </c>
      <c r="R187" s="26">
        <f>IF($G187="","",SUMIFS(费用台账!$I$4:$I$503,费用台账!$C$4:$C$503,$E187,费用台账!$J$4:$J$503,"是",费用台账!$K$4:$K$503,"正常"))</f>
        <v/>
      </c>
      <c r="S187" s="28">
        <f>IF($G187="","",COUNTIFS($E$4:$E$2503,$E187,$Z$4:$Z$2503,"正常",$Y$4:$Y$2503,"待补价"))</f>
        <v/>
      </c>
      <c r="T187" s="26">
        <f>IF($G187="","",SUMIFS($P$4:$P$2503,$E$4:$E$2503,$E187,$Z$4:$Z$2503,"正常",$A$4:$A$2503,"&lt;="&amp;$A187))</f>
        <v/>
      </c>
      <c r="U187" s="26">
        <f>IF($G187="","",IF(OR($S187&gt;0,$Q187=0,$R187=0,$Z187&lt;&gt;"正常"),0,ROUND($T187/$Q187*$R187,0)-ROUND(($T187-$P187)/$Q187*$R187,0)))</f>
        <v/>
      </c>
      <c r="V187" s="26">
        <f>IF($G187="","",ROUND($P187+$U187,0))</f>
        <v/>
      </c>
      <c r="W187" s="26">
        <f>IF($G187="","",IF(N($K187)=0,0,ROUND($V187/$K187,2)))</f>
        <v/>
      </c>
      <c r="X187" s="17" t="inlineStr">
        <is>
          <t>采购入库</t>
        </is>
      </c>
      <c r="Y187" s="17" t="inlineStr">
        <is>
          <t>待补价</t>
        </is>
      </c>
      <c r="Z187" s="17" t="inlineStr">
        <is>
          <t>正常</t>
        </is>
      </c>
      <c r="AA187" s="17" t="n"/>
      <c r="AB187" s="17" t="inlineStr">
        <is>
          <t>原表第 192 行</t>
        </is>
      </c>
      <c r="AC187" s="24">
        <f>IF($G187="","",IF($H187="※编码不在物料档案里","※物料编码不在档案里",IF(N($K187)&lt;=0,"※入库数量要大于 0",IF(AND($C187&lt;&gt;"",$C187&lt;=结账锁),"※日期早于已结账截止日，不能再录",IF(AND($L187=0,$X187="正常"),"※没填单价，价格状态请选「待补价」",IF(AND($S187&gt;0,$R187&gt;0),"△本批有 "&amp;$S187&amp;" 行没单价，整批运费先挂账没摊",IF(AND($B187&lt;&gt;"",COUNTIF($B$4:$B$2503,$B187)&gt;1),"※入库单号重复","")))))))</f>
        <v/>
      </c>
    </row>
    <row r="188">
      <c r="A188" s="24">
        <f>IF($G188="","",COUNTA($G$4:$G188))</f>
        <v/>
      </c>
      <c r="B188" s="17" t="n"/>
      <c r="C188" s="30" t="n">
        <v>46091</v>
      </c>
      <c r="D188" s="17" t="inlineStr">
        <is>
          <t>A国内</t>
        </is>
      </c>
      <c r="E188" s="17" t="inlineStr">
        <is>
          <t>AXIU1629864-202603</t>
        </is>
      </c>
      <c r="F188" s="17" t="inlineStr">
        <is>
          <t>烟台市金豪矿山机械有限公司</t>
        </is>
      </c>
      <c r="G188" s="17" t="inlineStr">
        <is>
          <t>JH0174</t>
        </is>
      </c>
      <c r="H188" s="24">
        <f>IF($G188="","",IFERROR(VLOOKUP($G188,物料档案!$A$4:$P$1203,3,0),"※编码不在物料档案里"))</f>
        <v/>
      </c>
      <c r="I188" s="24">
        <f>IF($G188="","",IFERROR(VLOOKUP($G188,物料档案!$A$4:$P$1203,4,0),"※编码不在物料档案里"))</f>
        <v/>
      </c>
      <c r="J188" s="24">
        <f>IF($G188="","",IFERROR(VLOOKUP($G188,物料档案!$A$4:$P$1203,5,0),"※编码不在物料档案里"))</f>
        <v/>
      </c>
      <c r="K188" s="23" t="n">
        <v>500</v>
      </c>
      <c r="L188" s="31" t="n">
        <v>36.5</v>
      </c>
      <c r="M188" s="24">
        <f>IF($G188="","",IF($D188="A国内","CNY","TZS"))</f>
        <v/>
      </c>
      <c r="N188" s="28">
        <f>IF($G188="","",IF($D188="A国内",汇率,1))</f>
        <v/>
      </c>
      <c r="O188" s="25">
        <f>IF($G188="","",ROUND(N($K188)*N($L188),2))</f>
        <v/>
      </c>
      <c r="P188" s="26">
        <f>IF($G188="","",ROUND($O188*$N188,0))</f>
        <v/>
      </c>
      <c r="Q188" s="26">
        <f>IF($G188="","",SUMIFS($P$4:$P$2503,$E$4:$E$2503,$E188,$Z$4:$Z$2503,"正常"))</f>
        <v/>
      </c>
      <c r="R188" s="26">
        <f>IF($G188="","",SUMIFS(费用台账!$I$4:$I$503,费用台账!$C$4:$C$503,$E188,费用台账!$J$4:$J$503,"是",费用台账!$K$4:$K$503,"正常"))</f>
        <v/>
      </c>
      <c r="S188" s="28">
        <f>IF($G188="","",COUNTIFS($E$4:$E$2503,$E188,$Z$4:$Z$2503,"正常",$Y$4:$Y$2503,"待补价"))</f>
        <v/>
      </c>
      <c r="T188" s="26">
        <f>IF($G188="","",SUMIFS($P$4:$P$2503,$E$4:$E$2503,$E188,$Z$4:$Z$2503,"正常",$A$4:$A$2503,"&lt;="&amp;$A188))</f>
        <v/>
      </c>
      <c r="U188" s="26">
        <f>IF($G188="","",IF(OR($S188&gt;0,$Q188=0,$R188=0,$Z188&lt;&gt;"正常"),0,ROUND($T188/$Q188*$R188,0)-ROUND(($T188-$P188)/$Q188*$R188,0)))</f>
        <v/>
      </c>
      <c r="V188" s="26">
        <f>IF($G188="","",ROUND($P188+$U188,0))</f>
        <v/>
      </c>
      <c r="W188" s="26">
        <f>IF($G188="","",IF(N($K188)=0,0,ROUND($V188/$K188,2)))</f>
        <v/>
      </c>
      <c r="X188" s="17" t="inlineStr">
        <is>
          <t>采购入库</t>
        </is>
      </c>
      <c r="Y188" s="17" t="inlineStr">
        <is>
          <t>正常</t>
        </is>
      </c>
      <c r="Z188" s="17" t="inlineStr">
        <is>
          <t>正常</t>
        </is>
      </c>
      <c r="AA188" s="17" t="n"/>
      <c r="AB188" s="17" t="inlineStr">
        <is>
          <t>原表第 193 行</t>
        </is>
      </c>
      <c r="AC188" s="24">
        <f>IF($G188="","",IF($H188="※编码不在物料档案里","※物料编码不在档案里",IF(N($K188)&lt;=0,"※入库数量要大于 0",IF(AND($C188&lt;&gt;"",$C188&lt;=结账锁),"※日期早于已结账截止日，不能再录",IF(AND($L188=0,$X188="正常"),"※没填单价，价格状态请选「待补价」",IF(AND($S188&gt;0,$R188&gt;0),"△本批有 "&amp;$S188&amp;" 行没单价，整批运费先挂账没摊",IF(AND($B188&lt;&gt;"",COUNTIF($B$4:$B$2503,$B188)&gt;1),"※入库单号重复","")))))))</f>
        <v/>
      </c>
    </row>
    <row r="189">
      <c r="A189" s="24">
        <f>IF($G189="","",COUNTA($G$4:$G189))</f>
        <v/>
      </c>
      <c r="B189" s="17" t="n"/>
      <c r="C189" s="30" t="n">
        <v>46091</v>
      </c>
      <c r="D189" s="17" t="inlineStr">
        <is>
          <t>A国内</t>
        </is>
      </c>
      <c r="E189" s="17" t="inlineStr">
        <is>
          <t>AXIU1629864-202603</t>
        </is>
      </c>
      <c r="F189" s="17" t="inlineStr">
        <is>
          <t>烟台市金豪矿山机械有限公司</t>
        </is>
      </c>
      <c r="G189" s="17" t="inlineStr">
        <is>
          <t>JH0175</t>
        </is>
      </c>
      <c r="H189" s="24">
        <f>IF($G189="","",IFERROR(VLOOKUP($G189,物料档案!$A$4:$P$1203,3,0),"※编码不在物料档案里"))</f>
        <v/>
      </c>
      <c r="I189" s="24">
        <f>IF($G189="","",IFERROR(VLOOKUP($G189,物料档案!$A$4:$P$1203,4,0),"※编码不在物料档案里"))</f>
        <v/>
      </c>
      <c r="J189" s="24">
        <f>IF($G189="","",IFERROR(VLOOKUP($G189,物料档案!$A$4:$P$1203,5,0),"※编码不在物料档案里"))</f>
        <v/>
      </c>
      <c r="K189" s="23" t="n">
        <v>300</v>
      </c>
      <c r="L189" s="31" t="n">
        <v>57</v>
      </c>
      <c r="M189" s="24">
        <f>IF($G189="","",IF($D189="A国内","CNY","TZS"))</f>
        <v/>
      </c>
      <c r="N189" s="28">
        <f>IF($G189="","",IF($D189="A国内",汇率,1))</f>
        <v/>
      </c>
      <c r="O189" s="25">
        <f>IF($G189="","",ROUND(N($K189)*N($L189),2))</f>
        <v/>
      </c>
      <c r="P189" s="26">
        <f>IF($G189="","",ROUND($O189*$N189,0))</f>
        <v/>
      </c>
      <c r="Q189" s="26">
        <f>IF($G189="","",SUMIFS($P$4:$P$2503,$E$4:$E$2503,$E189,$Z$4:$Z$2503,"正常"))</f>
        <v/>
      </c>
      <c r="R189" s="26">
        <f>IF($G189="","",SUMIFS(费用台账!$I$4:$I$503,费用台账!$C$4:$C$503,$E189,费用台账!$J$4:$J$503,"是",费用台账!$K$4:$K$503,"正常"))</f>
        <v/>
      </c>
      <c r="S189" s="28">
        <f>IF($G189="","",COUNTIFS($E$4:$E$2503,$E189,$Z$4:$Z$2503,"正常",$Y$4:$Y$2503,"待补价"))</f>
        <v/>
      </c>
      <c r="T189" s="26">
        <f>IF($G189="","",SUMIFS($P$4:$P$2503,$E$4:$E$2503,$E189,$Z$4:$Z$2503,"正常",$A$4:$A$2503,"&lt;="&amp;$A189))</f>
        <v/>
      </c>
      <c r="U189" s="26">
        <f>IF($G189="","",IF(OR($S189&gt;0,$Q189=0,$R189=0,$Z189&lt;&gt;"正常"),0,ROUND($T189/$Q189*$R189,0)-ROUND(($T189-$P189)/$Q189*$R189,0)))</f>
        <v/>
      </c>
      <c r="V189" s="26">
        <f>IF($G189="","",ROUND($P189+$U189,0))</f>
        <v/>
      </c>
      <c r="W189" s="26">
        <f>IF($G189="","",IF(N($K189)=0,0,ROUND($V189/$K189,2)))</f>
        <v/>
      </c>
      <c r="X189" s="17" t="inlineStr">
        <is>
          <t>采购入库</t>
        </is>
      </c>
      <c r="Y189" s="17" t="inlineStr">
        <is>
          <t>正常</t>
        </is>
      </c>
      <c r="Z189" s="17" t="inlineStr">
        <is>
          <t>正常</t>
        </is>
      </c>
      <c r="AA189" s="17" t="n"/>
      <c r="AB189" s="17" t="inlineStr">
        <is>
          <t>原表第 194 行</t>
        </is>
      </c>
      <c r="AC189" s="24">
        <f>IF($G189="","",IF($H189="※编码不在物料档案里","※物料编码不在档案里",IF(N($K189)&lt;=0,"※入库数量要大于 0",IF(AND($C189&lt;&gt;"",$C189&lt;=结账锁),"※日期早于已结账截止日，不能再录",IF(AND($L189=0,$X189="正常"),"※没填单价，价格状态请选「待补价」",IF(AND($S189&gt;0,$R189&gt;0),"△本批有 "&amp;$S189&amp;" 行没单价，整批运费先挂账没摊",IF(AND($B189&lt;&gt;"",COUNTIF($B$4:$B$2503,$B189)&gt;1),"※入库单号重复","")))))))</f>
        <v/>
      </c>
    </row>
    <row r="190">
      <c r="A190" s="24">
        <f>IF($G190="","",COUNTA($G$4:$G190))</f>
        <v/>
      </c>
      <c r="B190" s="17" t="n"/>
      <c r="C190" s="30" t="n">
        <v>46091</v>
      </c>
      <c r="D190" s="17" t="inlineStr">
        <is>
          <t>A国内</t>
        </is>
      </c>
      <c r="E190" s="17" t="inlineStr">
        <is>
          <t>AXIU1629864-202603</t>
        </is>
      </c>
      <c r="F190" s="17" t="inlineStr">
        <is>
          <t>烟台市金豪矿山机械有限公司</t>
        </is>
      </c>
      <c r="G190" s="17" t="inlineStr">
        <is>
          <t>JH0176</t>
        </is>
      </c>
      <c r="H190" s="24">
        <f>IF($G190="","",IFERROR(VLOOKUP($G190,物料档案!$A$4:$P$1203,3,0),"※编码不在物料档案里"))</f>
        <v/>
      </c>
      <c r="I190" s="24">
        <f>IF($G190="","",IFERROR(VLOOKUP($G190,物料档案!$A$4:$P$1203,4,0),"※编码不在物料档案里"))</f>
        <v/>
      </c>
      <c r="J190" s="24">
        <f>IF($G190="","",IFERROR(VLOOKUP($G190,物料档案!$A$4:$P$1203,5,0),"※编码不在物料档案里"))</f>
        <v/>
      </c>
      <c r="K190" s="23" t="n">
        <v>200</v>
      </c>
      <c r="L190" s="31" t="n"/>
      <c r="M190" s="24">
        <f>IF($G190="","",IF($D190="A国内","CNY","TZS"))</f>
        <v/>
      </c>
      <c r="N190" s="28">
        <f>IF($G190="","",IF($D190="A国内",汇率,1))</f>
        <v/>
      </c>
      <c r="O190" s="25">
        <f>IF($G190="","",ROUND(N($K190)*N($L190),2))</f>
        <v/>
      </c>
      <c r="P190" s="26">
        <f>IF($G190="","",ROUND($O190*$N190,0))</f>
        <v/>
      </c>
      <c r="Q190" s="26">
        <f>IF($G190="","",SUMIFS($P$4:$P$2503,$E$4:$E$2503,$E190,$Z$4:$Z$2503,"正常"))</f>
        <v/>
      </c>
      <c r="R190" s="26">
        <f>IF($G190="","",SUMIFS(费用台账!$I$4:$I$503,费用台账!$C$4:$C$503,$E190,费用台账!$J$4:$J$503,"是",费用台账!$K$4:$K$503,"正常"))</f>
        <v/>
      </c>
      <c r="S190" s="28">
        <f>IF($G190="","",COUNTIFS($E$4:$E$2503,$E190,$Z$4:$Z$2503,"正常",$Y$4:$Y$2503,"待补价"))</f>
        <v/>
      </c>
      <c r="T190" s="26">
        <f>IF($G190="","",SUMIFS($P$4:$P$2503,$E$4:$E$2503,$E190,$Z$4:$Z$2503,"正常",$A$4:$A$2503,"&lt;="&amp;$A190))</f>
        <v/>
      </c>
      <c r="U190" s="26">
        <f>IF($G190="","",IF(OR($S190&gt;0,$Q190=0,$R190=0,$Z190&lt;&gt;"正常"),0,ROUND($T190/$Q190*$R190,0)-ROUND(($T190-$P190)/$Q190*$R190,0)))</f>
        <v/>
      </c>
      <c r="V190" s="26">
        <f>IF($G190="","",ROUND($P190+$U190,0))</f>
        <v/>
      </c>
      <c r="W190" s="26">
        <f>IF($G190="","",IF(N($K190)=0,0,ROUND($V190/$K190,2)))</f>
        <v/>
      </c>
      <c r="X190" s="17" t="inlineStr">
        <is>
          <t>采购入库</t>
        </is>
      </c>
      <c r="Y190" s="17" t="inlineStr">
        <is>
          <t>待补价</t>
        </is>
      </c>
      <c r="Z190" s="17" t="inlineStr">
        <is>
          <t>正常</t>
        </is>
      </c>
      <c r="AA190" s="17" t="n"/>
      <c r="AB190" s="17" t="inlineStr">
        <is>
          <t>原表第 195 行</t>
        </is>
      </c>
      <c r="AC190" s="24">
        <f>IF($G190="","",IF($H190="※编码不在物料档案里","※物料编码不在档案里",IF(N($K190)&lt;=0,"※入库数量要大于 0",IF(AND($C190&lt;&gt;"",$C190&lt;=结账锁),"※日期早于已结账截止日，不能再录",IF(AND($L190=0,$X190="正常"),"※没填单价，价格状态请选「待补价」",IF(AND($S190&gt;0,$R190&gt;0),"△本批有 "&amp;$S190&amp;" 行没单价，整批运费先挂账没摊",IF(AND($B190&lt;&gt;"",COUNTIF($B$4:$B$2503,$B190)&gt;1),"※入库单号重复","")))))))</f>
        <v/>
      </c>
    </row>
    <row r="191">
      <c r="A191" s="24">
        <f>IF($G191="","",COUNTA($G$4:$G191))</f>
        <v/>
      </c>
      <c r="B191" s="17" t="n"/>
      <c r="C191" s="30" t="n">
        <v>46091</v>
      </c>
      <c r="D191" s="17" t="inlineStr">
        <is>
          <t>A国内</t>
        </is>
      </c>
      <c r="E191" s="17" t="inlineStr">
        <is>
          <t>AXIU1629864-202603</t>
        </is>
      </c>
      <c r="F191" s="17" t="n"/>
      <c r="G191" s="17" t="inlineStr">
        <is>
          <t>JH0177</t>
        </is>
      </c>
      <c r="H191" s="24">
        <f>IF($G191="","",IFERROR(VLOOKUP($G191,物料档案!$A$4:$P$1203,3,0),"※编码不在物料档案里"))</f>
        <v/>
      </c>
      <c r="I191" s="24">
        <f>IF($G191="","",IFERROR(VLOOKUP($G191,物料档案!$A$4:$P$1203,4,0),"※编码不在物料档案里"))</f>
        <v/>
      </c>
      <c r="J191" s="24">
        <f>IF($G191="","",IFERROR(VLOOKUP($G191,物料档案!$A$4:$P$1203,5,0),"※编码不在物料档案里"))</f>
        <v/>
      </c>
      <c r="K191" s="23" t="n">
        <v>2</v>
      </c>
      <c r="L191" s="31" t="n"/>
      <c r="M191" s="24">
        <f>IF($G191="","",IF($D191="A国内","CNY","TZS"))</f>
        <v/>
      </c>
      <c r="N191" s="28">
        <f>IF($G191="","",IF($D191="A国内",汇率,1))</f>
        <v/>
      </c>
      <c r="O191" s="25">
        <f>IF($G191="","",ROUND(N($K191)*N($L191),2))</f>
        <v/>
      </c>
      <c r="P191" s="26">
        <f>IF($G191="","",ROUND($O191*$N191,0))</f>
        <v/>
      </c>
      <c r="Q191" s="26">
        <f>IF($G191="","",SUMIFS($P$4:$P$2503,$E$4:$E$2503,$E191,$Z$4:$Z$2503,"正常"))</f>
        <v/>
      </c>
      <c r="R191" s="26">
        <f>IF($G191="","",SUMIFS(费用台账!$I$4:$I$503,费用台账!$C$4:$C$503,$E191,费用台账!$J$4:$J$503,"是",费用台账!$K$4:$K$503,"正常"))</f>
        <v/>
      </c>
      <c r="S191" s="28">
        <f>IF($G191="","",COUNTIFS($E$4:$E$2503,$E191,$Z$4:$Z$2503,"正常",$Y$4:$Y$2503,"待补价"))</f>
        <v/>
      </c>
      <c r="T191" s="26">
        <f>IF($G191="","",SUMIFS($P$4:$P$2503,$E$4:$E$2503,$E191,$Z$4:$Z$2503,"正常",$A$4:$A$2503,"&lt;="&amp;$A191))</f>
        <v/>
      </c>
      <c r="U191" s="26">
        <f>IF($G191="","",IF(OR($S191&gt;0,$Q191=0,$R191=0,$Z191&lt;&gt;"正常"),0,ROUND($T191/$Q191*$R191,0)-ROUND(($T191-$P191)/$Q191*$R191,0)))</f>
        <v/>
      </c>
      <c r="V191" s="26">
        <f>IF($G191="","",ROUND($P191+$U191,0))</f>
        <v/>
      </c>
      <c r="W191" s="26">
        <f>IF($G191="","",IF(N($K191)=0,0,ROUND($V191/$K191,2)))</f>
        <v/>
      </c>
      <c r="X191" s="17" t="inlineStr">
        <is>
          <t>采购入库</t>
        </is>
      </c>
      <c r="Y191" s="17" t="inlineStr">
        <is>
          <t>待补价</t>
        </is>
      </c>
      <c r="Z191" s="17" t="inlineStr">
        <is>
          <t>正常</t>
        </is>
      </c>
      <c r="AA191" s="17" t="n"/>
      <c r="AB191" s="17" t="inlineStr">
        <is>
          <t>原表第 196 行</t>
        </is>
      </c>
      <c r="AC191" s="24">
        <f>IF($G191="","",IF($H191="※编码不在物料档案里","※物料编码不在档案里",IF(N($K191)&lt;=0,"※入库数量要大于 0",IF(AND($C191&lt;&gt;"",$C191&lt;=结账锁),"※日期早于已结账截止日，不能再录",IF(AND($L191=0,$X191="正常"),"※没填单价，价格状态请选「待补价」",IF(AND($S191&gt;0,$R191&gt;0),"△本批有 "&amp;$S191&amp;" 行没单价，整批运费先挂账没摊",IF(AND($B191&lt;&gt;"",COUNTIF($B$4:$B$2503,$B191)&gt;1),"※入库单号重复","")))))))</f>
        <v/>
      </c>
    </row>
    <row r="192">
      <c r="A192" s="24">
        <f>IF($G192="","",COUNTA($G$4:$G192))</f>
        <v/>
      </c>
      <c r="B192" s="17" t="n"/>
      <c r="C192" s="30" t="n">
        <v>46091</v>
      </c>
      <c r="D192" s="17" t="inlineStr">
        <is>
          <t>A国内</t>
        </is>
      </c>
      <c r="E192" s="17" t="inlineStr">
        <is>
          <t>AXIU1629864-202603</t>
        </is>
      </c>
      <c r="F192" s="17" t="inlineStr">
        <is>
          <t>烟台市金豪矿山机械有限公司</t>
        </is>
      </c>
      <c r="G192" s="17" t="inlineStr">
        <is>
          <t>JH0178</t>
        </is>
      </c>
      <c r="H192" s="24">
        <f>IF($G192="","",IFERROR(VLOOKUP($G192,物料档案!$A$4:$P$1203,3,0),"※编码不在物料档案里"))</f>
        <v/>
      </c>
      <c r="I192" s="24">
        <f>IF($G192="","",IFERROR(VLOOKUP($G192,物料档案!$A$4:$P$1203,4,0),"※编码不在物料档案里"))</f>
        <v/>
      </c>
      <c r="J192" s="24">
        <f>IF($G192="","",IFERROR(VLOOKUP($G192,物料档案!$A$4:$P$1203,5,0),"※编码不在物料档案里"))</f>
        <v/>
      </c>
      <c r="K192" s="23" t="n">
        <v>5</v>
      </c>
      <c r="L192" s="31" t="n"/>
      <c r="M192" s="24">
        <f>IF($G192="","",IF($D192="A国内","CNY","TZS"))</f>
        <v/>
      </c>
      <c r="N192" s="28">
        <f>IF($G192="","",IF($D192="A国内",汇率,1))</f>
        <v/>
      </c>
      <c r="O192" s="25">
        <f>IF($G192="","",ROUND(N($K192)*N($L192),2))</f>
        <v/>
      </c>
      <c r="P192" s="26">
        <f>IF($G192="","",ROUND($O192*$N192,0))</f>
        <v/>
      </c>
      <c r="Q192" s="26">
        <f>IF($G192="","",SUMIFS($P$4:$P$2503,$E$4:$E$2503,$E192,$Z$4:$Z$2503,"正常"))</f>
        <v/>
      </c>
      <c r="R192" s="26">
        <f>IF($G192="","",SUMIFS(费用台账!$I$4:$I$503,费用台账!$C$4:$C$503,$E192,费用台账!$J$4:$J$503,"是",费用台账!$K$4:$K$503,"正常"))</f>
        <v/>
      </c>
      <c r="S192" s="28">
        <f>IF($G192="","",COUNTIFS($E$4:$E$2503,$E192,$Z$4:$Z$2503,"正常",$Y$4:$Y$2503,"待补价"))</f>
        <v/>
      </c>
      <c r="T192" s="26">
        <f>IF($G192="","",SUMIFS($P$4:$P$2503,$E$4:$E$2503,$E192,$Z$4:$Z$2503,"正常",$A$4:$A$2503,"&lt;="&amp;$A192))</f>
        <v/>
      </c>
      <c r="U192" s="26">
        <f>IF($G192="","",IF(OR($S192&gt;0,$Q192=0,$R192=0,$Z192&lt;&gt;"正常"),0,ROUND($T192/$Q192*$R192,0)-ROUND(($T192-$P192)/$Q192*$R192,0)))</f>
        <v/>
      </c>
      <c r="V192" s="26">
        <f>IF($G192="","",ROUND($P192+$U192,0))</f>
        <v/>
      </c>
      <c r="W192" s="26">
        <f>IF($G192="","",IF(N($K192)=0,0,ROUND($V192/$K192,2)))</f>
        <v/>
      </c>
      <c r="X192" s="17" t="inlineStr">
        <is>
          <t>采购入库</t>
        </is>
      </c>
      <c r="Y192" s="17" t="inlineStr">
        <is>
          <t>待补价</t>
        </is>
      </c>
      <c r="Z192" s="17" t="inlineStr">
        <is>
          <t>正常</t>
        </is>
      </c>
      <c r="AA192" s="17" t="n"/>
      <c r="AB192" s="17" t="inlineStr">
        <is>
          <t>原表第 197 行</t>
        </is>
      </c>
      <c r="AC192" s="24">
        <f>IF($G192="","",IF($H192="※编码不在物料档案里","※物料编码不在档案里",IF(N($K192)&lt;=0,"※入库数量要大于 0",IF(AND($C192&lt;&gt;"",$C192&lt;=结账锁),"※日期早于已结账截止日，不能再录",IF(AND($L192=0,$X192="正常"),"※没填单价，价格状态请选「待补价」",IF(AND($S192&gt;0,$R192&gt;0),"△本批有 "&amp;$S192&amp;" 行没单价，整批运费先挂账没摊",IF(AND($B192&lt;&gt;"",COUNTIF($B$4:$B$2503,$B192)&gt;1),"※入库单号重复","")))))))</f>
        <v/>
      </c>
    </row>
    <row r="193">
      <c r="A193" s="24">
        <f>IF($G193="","",COUNTA($G$4:$G193))</f>
        <v/>
      </c>
      <c r="B193" s="17" t="n"/>
      <c r="C193" s="30" t="n">
        <v>46091</v>
      </c>
      <c r="D193" s="17" t="inlineStr">
        <is>
          <t>A国内</t>
        </is>
      </c>
      <c r="E193" s="17" t="inlineStr">
        <is>
          <t>AXIU1629864-202603</t>
        </is>
      </c>
      <c r="F193" s="17" t="inlineStr">
        <is>
          <t>烟台市金豪矿山机械有限公司</t>
        </is>
      </c>
      <c r="G193" s="17" t="inlineStr">
        <is>
          <t>JH0179</t>
        </is>
      </c>
      <c r="H193" s="24">
        <f>IF($G193="","",IFERROR(VLOOKUP($G193,物料档案!$A$4:$P$1203,3,0),"※编码不在物料档案里"))</f>
        <v/>
      </c>
      <c r="I193" s="24">
        <f>IF($G193="","",IFERROR(VLOOKUP($G193,物料档案!$A$4:$P$1203,4,0),"※编码不在物料档案里"))</f>
        <v/>
      </c>
      <c r="J193" s="24">
        <f>IF($G193="","",IFERROR(VLOOKUP($G193,物料档案!$A$4:$P$1203,5,0),"※编码不在物料档案里"))</f>
        <v/>
      </c>
      <c r="K193" s="23" t="n">
        <v>1</v>
      </c>
      <c r="L193" s="31" t="n"/>
      <c r="M193" s="24">
        <f>IF($G193="","",IF($D193="A国内","CNY","TZS"))</f>
        <v/>
      </c>
      <c r="N193" s="28">
        <f>IF($G193="","",IF($D193="A国内",汇率,1))</f>
        <v/>
      </c>
      <c r="O193" s="25">
        <f>IF($G193="","",ROUND(N($K193)*N($L193),2))</f>
        <v/>
      </c>
      <c r="P193" s="26">
        <f>IF($G193="","",ROUND($O193*$N193,0))</f>
        <v/>
      </c>
      <c r="Q193" s="26">
        <f>IF($G193="","",SUMIFS($P$4:$P$2503,$E$4:$E$2503,$E193,$Z$4:$Z$2503,"正常"))</f>
        <v/>
      </c>
      <c r="R193" s="26">
        <f>IF($G193="","",SUMIFS(费用台账!$I$4:$I$503,费用台账!$C$4:$C$503,$E193,费用台账!$J$4:$J$503,"是",费用台账!$K$4:$K$503,"正常"))</f>
        <v/>
      </c>
      <c r="S193" s="28">
        <f>IF($G193="","",COUNTIFS($E$4:$E$2503,$E193,$Z$4:$Z$2503,"正常",$Y$4:$Y$2503,"待补价"))</f>
        <v/>
      </c>
      <c r="T193" s="26">
        <f>IF($G193="","",SUMIFS($P$4:$P$2503,$E$4:$E$2503,$E193,$Z$4:$Z$2503,"正常",$A$4:$A$2503,"&lt;="&amp;$A193))</f>
        <v/>
      </c>
      <c r="U193" s="26">
        <f>IF($G193="","",IF(OR($S193&gt;0,$Q193=0,$R193=0,$Z193&lt;&gt;"正常"),0,ROUND($T193/$Q193*$R193,0)-ROUND(($T193-$P193)/$Q193*$R193,0)))</f>
        <v/>
      </c>
      <c r="V193" s="26">
        <f>IF($G193="","",ROUND($P193+$U193,0))</f>
        <v/>
      </c>
      <c r="W193" s="26">
        <f>IF($G193="","",IF(N($K193)=0,0,ROUND($V193/$K193,2)))</f>
        <v/>
      </c>
      <c r="X193" s="17" t="inlineStr">
        <is>
          <t>采购入库</t>
        </is>
      </c>
      <c r="Y193" s="17" t="inlineStr">
        <is>
          <t>待补价</t>
        </is>
      </c>
      <c r="Z193" s="17" t="inlineStr">
        <is>
          <t>正常</t>
        </is>
      </c>
      <c r="AA193" s="17" t="n"/>
      <c r="AB193" s="17" t="inlineStr">
        <is>
          <t>原表第 198 行</t>
        </is>
      </c>
      <c r="AC193" s="24">
        <f>IF($G193="","",IF($H193="※编码不在物料档案里","※物料编码不在档案里",IF(N($K193)&lt;=0,"※入库数量要大于 0",IF(AND($C193&lt;&gt;"",$C193&lt;=结账锁),"※日期早于已结账截止日，不能再录",IF(AND($L193=0,$X193="正常"),"※没填单价，价格状态请选「待补价」",IF(AND($S193&gt;0,$R193&gt;0),"△本批有 "&amp;$S193&amp;" 行没单价，整批运费先挂账没摊",IF(AND($B193&lt;&gt;"",COUNTIF($B$4:$B$2503,$B193)&gt;1),"※入库单号重复","")))))))</f>
        <v/>
      </c>
    </row>
    <row r="194">
      <c r="A194" s="24">
        <f>IF($G194="","",COUNTA($G$4:$G194))</f>
        <v/>
      </c>
      <c r="B194" s="17" t="n"/>
      <c r="C194" s="30" t="n">
        <v>46091</v>
      </c>
      <c r="D194" s="17" t="inlineStr">
        <is>
          <t>A国内</t>
        </is>
      </c>
      <c r="E194" s="17" t="inlineStr">
        <is>
          <t>AXIU1629864-202603</t>
        </is>
      </c>
      <c r="F194" s="17" t="inlineStr">
        <is>
          <t>矿上材料和金豪选场设备拼柜</t>
        </is>
      </c>
      <c r="G194" s="17" t="inlineStr">
        <is>
          <t>JH0180</t>
        </is>
      </c>
      <c r="H194" s="24">
        <f>IF($G194="","",IFERROR(VLOOKUP($G194,物料档案!$A$4:$P$1203,3,0),"※编码不在物料档案里"))</f>
        <v/>
      </c>
      <c r="I194" s="24">
        <f>IF($G194="","",IFERROR(VLOOKUP($G194,物料档案!$A$4:$P$1203,4,0),"※编码不在物料档案里"))</f>
        <v/>
      </c>
      <c r="J194" s="24">
        <f>IF($G194="","",IFERROR(VLOOKUP($G194,物料档案!$A$4:$P$1203,5,0),"※编码不在物料档案里"))</f>
        <v/>
      </c>
      <c r="K194" s="23" t="n">
        <v>1</v>
      </c>
      <c r="L194" s="31" t="n"/>
      <c r="M194" s="24">
        <f>IF($G194="","",IF($D194="A国内","CNY","TZS"))</f>
        <v/>
      </c>
      <c r="N194" s="28">
        <f>IF($G194="","",IF($D194="A国内",汇率,1))</f>
        <v/>
      </c>
      <c r="O194" s="25">
        <f>IF($G194="","",ROUND(N($K194)*N($L194),2))</f>
        <v/>
      </c>
      <c r="P194" s="26">
        <f>IF($G194="","",ROUND($O194*$N194,0))</f>
        <v/>
      </c>
      <c r="Q194" s="26">
        <f>IF($G194="","",SUMIFS($P$4:$P$2503,$E$4:$E$2503,$E194,$Z$4:$Z$2503,"正常"))</f>
        <v/>
      </c>
      <c r="R194" s="26">
        <f>IF($G194="","",SUMIFS(费用台账!$I$4:$I$503,费用台账!$C$4:$C$503,$E194,费用台账!$J$4:$J$503,"是",费用台账!$K$4:$K$503,"正常"))</f>
        <v/>
      </c>
      <c r="S194" s="28">
        <f>IF($G194="","",COUNTIFS($E$4:$E$2503,$E194,$Z$4:$Z$2503,"正常",$Y$4:$Y$2503,"待补价"))</f>
        <v/>
      </c>
      <c r="T194" s="26">
        <f>IF($G194="","",SUMIFS($P$4:$P$2503,$E$4:$E$2503,$E194,$Z$4:$Z$2503,"正常",$A$4:$A$2503,"&lt;="&amp;$A194))</f>
        <v/>
      </c>
      <c r="U194" s="26">
        <f>IF($G194="","",IF(OR($S194&gt;0,$Q194=0,$R194=0,$Z194&lt;&gt;"正常"),0,ROUND($T194/$Q194*$R194,0)-ROUND(($T194-$P194)/$Q194*$R194,0)))</f>
        <v/>
      </c>
      <c r="V194" s="26">
        <f>IF($G194="","",ROUND($P194+$U194,0))</f>
        <v/>
      </c>
      <c r="W194" s="26">
        <f>IF($G194="","",IF(N($K194)=0,0,ROUND($V194/$K194,2)))</f>
        <v/>
      </c>
      <c r="X194" s="17" t="inlineStr">
        <is>
          <t>采购入库</t>
        </is>
      </c>
      <c r="Y194" s="17" t="inlineStr">
        <is>
          <t>待补价</t>
        </is>
      </c>
      <c r="Z194" s="17" t="inlineStr">
        <is>
          <t>正常</t>
        </is>
      </c>
      <c r="AA194" s="17" t="n"/>
      <c r="AB194" s="17" t="inlineStr">
        <is>
          <t>原表第 199 行</t>
        </is>
      </c>
      <c r="AC194" s="24">
        <f>IF($G194="","",IF($H194="※编码不在物料档案里","※物料编码不在档案里",IF(N($K194)&lt;=0,"※入库数量要大于 0",IF(AND($C194&lt;&gt;"",$C194&lt;=结账锁),"※日期早于已结账截止日，不能再录",IF(AND($L194=0,$X194="正常"),"※没填单价，价格状态请选「待补价」",IF(AND($S194&gt;0,$R194&gt;0),"△本批有 "&amp;$S194&amp;" 行没单价，整批运费先挂账没摊",IF(AND($B194&lt;&gt;"",COUNTIF($B$4:$B$2503,$B194)&gt;1),"※入库单号重复","")))))))</f>
        <v/>
      </c>
    </row>
    <row r="195">
      <c r="A195" s="24">
        <f>IF($G195="","",COUNTA($G$4:$G195))</f>
        <v/>
      </c>
      <c r="B195" s="17" t="n"/>
      <c r="C195" s="30" t="n">
        <v>46091</v>
      </c>
      <c r="D195" s="17" t="inlineStr">
        <is>
          <t>A国内</t>
        </is>
      </c>
      <c r="E195" s="17" t="inlineStr">
        <is>
          <t>AXIU1629864-202603</t>
        </is>
      </c>
      <c r="F195" s="17" t="inlineStr">
        <is>
          <t>烟台市金豪矿山机械有限公司</t>
        </is>
      </c>
      <c r="G195" s="17" t="inlineStr">
        <is>
          <t>JH0181</t>
        </is>
      </c>
      <c r="H195" s="24">
        <f>IF($G195="","",IFERROR(VLOOKUP($G195,物料档案!$A$4:$P$1203,3,0),"※编码不在物料档案里"))</f>
        <v/>
      </c>
      <c r="I195" s="24">
        <f>IF($G195="","",IFERROR(VLOOKUP($G195,物料档案!$A$4:$P$1203,4,0),"※编码不在物料档案里"))</f>
        <v/>
      </c>
      <c r="J195" s="24">
        <f>IF($G195="","",IFERROR(VLOOKUP($G195,物料档案!$A$4:$P$1203,5,0),"※编码不在物料档案里"))</f>
        <v/>
      </c>
      <c r="K195" s="23" t="n">
        <v>1</v>
      </c>
      <c r="L195" s="31" t="n"/>
      <c r="M195" s="24">
        <f>IF($G195="","",IF($D195="A国内","CNY","TZS"))</f>
        <v/>
      </c>
      <c r="N195" s="28">
        <f>IF($G195="","",IF($D195="A国内",汇率,1))</f>
        <v/>
      </c>
      <c r="O195" s="25">
        <f>IF($G195="","",ROUND(N($K195)*N($L195),2))</f>
        <v/>
      </c>
      <c r="P195" s="26">
        <f>IF($G195="","",ROUND($O195*$N195,0))</f>
        <v/>
      </c>
      <c r="Q195" s="26">
        <f>IF($G195="","",SUMIFS($P$4:$P$2503,$E$4:$E$2503,$E195,$Z$4:$Z$2503,"正常"))</f>
        <v/>
      </c>
      <c r="R195" s="26">
        <f>IF($G195="","",SUMIFS(费用台账!$I$4:$I$503,费用台账!$C$4:$C$503,$E195,费用台账!$J$4:$J$503,"是",费用台账!$K$4:$K$503,"正常"))</f>
        <v/>
      </c>
      <c r="S195" s="28">
        <f>IF($G195="","",COUNTIFS($E$4:$E$2503,$E195,$Z$4:$Z$2503,"正常",$Y$4:$Y$2503,"待补价"))</f>
        <v/>
      </c>
      <c r="T195" s="26">
        <f>IF($G195="","",SUMIFS($P$4:$P$2503,$E$4:$E$2503,$E195,$Z$4:$Z$2503,"正常",$A$4:$A$2503,"&lt;="&amp;$A195))</f>
        <v/>
      </c>
      <c r="U195" s="26">
        <f>IF($G195="","",IF(OR($S195&gt;0,$Q195=0,$R195=0,$Z195&lt;&gt;"正常"),0,ROUND($T195/$Q195*$R195,0)-ROUND(($T195-$P195)/$Q195*$R195,0)))</f>
        <v/>
      </c>
      <c r="V195" s="26">
        <f>IF($G195="","",ROUND($P195+$U195,0))</f>
        <v/>
      </c>
      <c r="W195" s="26">
        <f>IF($G195="","",IF(N($K195)=0,0,ROUND($V195/$K195,2)))</f>
        <v/>
      </c>
      <c r="X195" s="17" t="inlineStr">
        <is>
          <t>采购入库</t>
        </is>
      </c>
      <c r="Y195" s="17" t="inlineStr">
        <is>
          <t>待补价</t>
        </is>
      </c>
      <c r="Z195" s="17" t="inlineStr">
        <is>
          <t>正常</t>
        </is>
      </c>
      <c r="AA195" s="17" t="n"/>
      <c r="AB195" s="17" t="inlineStr">
        <is>
          <t>原表第 200 行</t>
        </is>
      </c>
      <c r="AC195" s="24">
        <f>IF($G195="","",IF($H195="※编码不在物料档案里","※物料编码不在档案里",IF(N($K195)&lt;=0,"※入库数量要大于 0",IF(AND($C195&lt;&gt;"",$C195&lt;=结账锁),"※日期早于已结账截止日，不能再录",IF(AND($L195=0,$X195="正常"),"※没填单价，价格状态请选「待补价」",IF(AND($S195&gt;0,$R195&gt;0),"△本批有 "&amp;$S195&amp;" 行没单价，整批运费先挂账没摊",IF(AND($B195&lt;&gt;"",COUNTIF($B$4:$B$2503,$B195)&gt;1),"※入库单号重复","")))))))</f>
        <v/>
      </c>
    </row>
    <row r="196">
      <c r="A196" s="24">
        <f>IF($G196="","",COUNTA($G$4:$G196))</f>
        <v/>
      </c>
      <c r="B196" s="17" t="n"/>
      <c r="C196" s="30" t="n">
        <v>46091</v>
      </c>
      <c r="D196" s="17" t="inlineStr">
        <is>
          <t>A国内</t>
        </is>
      </c>
      <c r="E196" s="17" t="inlineStr">
        <is>
          <t>AXIU1629864-202603</t>
        </is>
      </c>
      <c r="F196" s="17" t="inlineStr">
        <is>
          <t>烟台市金豪矿山机械有限公司</t>
        </is>
      </c>
      <c r="G196" s="17" t="inlineStr">
        <is>
          <t>JH0182</t>
        </is>
      </c>
      <c r="H196" s="24">
        <f>IF($G196="","",IFERROR(VLOOKUP($G196,物料档案!$A$4:$P$1203,3,0),"※编码不在物料档案里"))</f>
        <v/>
      </c>
      <c r="I196" s="24">
        <f>IF($G196="","",IFERROR(VLOOKUP($G196,物料档案!$A$4:$P$1203,4,0),"※编码不在物料档案里"))</f>
        <v/>
      </c>
      <c r="J196" s="24">
        <f>IF($G196="","",IFERROR(VLOOKUP($G196,物料档案!$A$4:$P$1203,5,0),"※编码不在物料档案里"))</f>
        <v/>
      </c>
      <c r="K196" s="23" t="n">
        <v>2</v>
      </c>
      <c r="L196" s="31" t="n"/>
      <c r="M196" s="24">
        <f>IF($G196="","",IF($D196="A国内","CNY","TZS"))</f>
        <v/>
      </c>
      <c r="N196" s="28">
        <f>IF($G196="","",IF($D196="A国内",汇率,1))</f>
        <v/>
      </c>
      <c r="O196" s="25">
        <f>IF($G196="","",ROUND(N($K196)*N($L196),2))</f>
        <v/>
      </c>
      <c r="P196" s="26">
        <f>IF($G196="","",ROUND($O196*$N196,0))</f>
        <v/>
      </c>
      <c r="Q196" s="26">
        <f>IF($G196="","",SUMIFS($P$4:$P$2503,$E$4:$E$2503,$E196,$Z$4:$Z$2503,"正常"))</f>
        <v/>
      </c>
      <c r="R196" s="26">
        <f>IF($G196="","",SUMIFS(费用台账!$I$4:$I$503,费用台账!$C$4:$C$503,$E196,费用台账!$J$4:$J$503,"是",费用台账!$K$4:$K$503,"正常"))</f>
        <v/>
      </c>
      <c r="S196" s="28">
        <f>IF($G196="","",COUNTIFS($E$4:$E$2503,$E196,$Z$4:$Z$2503,"正常",$Y$4:$Y$2503,"待补价"))</f>
        <v/>
      </c>
      <c r="T196" s="26">
        <f>IF($G196="","",SUMIFS($P$4:$P$2503,$E$4:$E$2503,$E196,$Z$4:$Z$2503,"正常",$A$4:$A$2503,"&lt;="&amp;$A196))</f>
        <v/>
      </c>
      <c r="U196" s="26">
        <f>IF($G196="","",IF(OR($S196&gt;0,$Q196=0,$R196=0,$Z196&lt;&gt;"正常"),0,ROUND($T196/$Q196*$R196,0)-ROUND(($T196-$P196)/$Q196*$R196,0)))</f>
        <v/>
      </c>
      <c r="V196" s="26">
        <f>IF($G196="","",ROUND($P196+$U196,0))</f>
        <v/>
      </c>
      <c r="W196" s="26">
        <f>IF($G196="","",IF(N($K196)=0,0,ROUND($V196/$K196,2)))</f>
        <v/>
      </c>
      <c r="X196" s="17" t="inlineStr">
        <is>
          <t>采购入库</t>
        </is>
      </c>
      <c r="Y196" s="17" t="inlineStr">
        <is>
          <t>待补价</t>
        </is>
      </c>
      <c r="Z196" s="17" t="inlineStr">
        <is>
          <t>正常</t>
        </is>
      </c>
      <c r="AA196" s="17" t="n"/>
      <c r="AB196" s="17" t="inlineStr">
        <is>
          <t>原表第 201 行</t>
        </is>
      </c>
      <c r="AC196" s="24">
        <f>IF($G196="","",IF($H196="※编码不在物料档案里","※物料编码不在档案里",IF(N($K196)&lt;=0,"※入库数量要大于 0",IF(AND($C196&lt;&gt;"",$C196&lt;=结账锁),"※日期早于已结账截止日，不能再录",IF(AND($L196=0,$X196="正常"),"※没填单价，价格状态请选「待补价」",IF(AND($S196&gt;0,$R196&gt;0),"△本批有 "&amp;$S196&amp;" 行没单价，整批运费先挂账没摊",IF(AND($B196&lt;&gt;"",COUNTIF($B$4:$B$2503,$B196)&gt;1),"※入库单号重复","")))))))</f>
        <v/>
      </c>
    </row>
    <row r="197">
      <c r="A197" s="24">
        <f>IF($G197="","",COUNTA($G$4:$G197))</f>
        <v/>
      </c>
      <c r="B197" s="17" t="n"/>
      <c r="C197" s="30" t="n">
        <v>46091</v>
      </c>
      <c r="D197" s="17" t="inlineStr">
        <is>
          <t>A国内</t>
        </is>
      </c>
      <c r="E197" s="17" t="inlineStr">
        <is>
          <t>AXIU1629864-202603</t>
        </is>
      </c>
      <c r="F197" s="17" t="inlineStr">
        <is>
          <t>烟台市金豪矿山机械有限公司</t>
        </is>
      </c>
      <c r="G197" s="17" t="inlineStr">
        <is>
          <t>JH0183</t>
        </is>
      </c>
      <c r="H197" s="24">
        <f>IF($G197="","",IFERROR(VLOOKUP($G197,物料档案!$A$4:$P$1203,3,0),"※编码不在物料档案里"))</f>
        <v/>
      </c>
      <c r="I197" s="24">
        <f>IF($G197="","",IFERROR(VLOOKUP($G197,物料档案!$A$4:$P$1203,4,0),"※编码不在物料档案里"))</f>
        <v/>
      </c>
      <c r="J197" s="24">
        <f>IF($G197="","",IFERROR(VLOOKUP($G197,物料档案!$A$4:$P$1203,5,0),"※编码不在物料档案里"))</f>
        <v/>
      </c>
      <c r="K197" s="23" t="n">
        <v>1</v>
      </c>
      <c r="L197" s="31" t="n"/>
      <c r="M197" s="24">
        <f>IF($G197="","",IF($D197="A国内","CNY","TZS"))</f>
        <v/>
      </c>
      <c r="N197" s="28">
        <f>IF($G197="","",IF($D197="A国内",汇率,1))</f>
        <v/>
      </c>
      <c r="O197" s="25">
        <f>IF($G197="","",ROUND(N($K197)*N($L197),2))</f>
        <v/>
      </c>
      <c r="P197" s="26">
        <f>IF($G197="","",ROUND($O197*$N197,0))</f>
        <v/>
      </c>
      <c r="Q197" s="26">
        <f>IF($G197="","",SUMIFS($P$4:$P$2503,$E$4:$E$2503,$E197,$Z$4:$Z$2503,"正常"))</f>
        <v/>
      </c>
      <c r="R197" s="26">
        <f>IF($G197="","",SUMIFS(费用台账!$I$4:$I$503,费用台账!$C$4:$C$503,$E197,费用台账!$J$4:$J$503,"是",费用台账!$K$4:$K$503,"正常"))</f>
        <v/>
      </c>
      <c r="S197" s="28">
        <f>IF($G197="","",COUNTIFS($E$4:$E$2503,$E197,$Z$4:$Z$2503,"正常",$Y$4:$Y$2503,"待补价"))</f>
        <v/>
      </c>
      <c r="T197" s="26">
        <f>IF($G197="","",SUMIFS($P$4:$P$2503,$E$4:$E$2503,$E197,$Z$4:$Z$2503,"正常",$A$4:$A$2503,"&lt;="&amp;$A197))</f>
        <v/>
      </c>
      <c r="U197" s="26">
        <f>IF($G197="","",IF(OR($S197&gt;0,$Q197=0,$R197=0,$Z197&lt;&gt;"正常"),0,ROUND($T197/$Q197*$R197,0)-ROUND(($T197-$P197)/$Q197*$R197,0)))</f>
        <v/>
      </c>
      <c r="V197" s="26">
        <f>IF($G197="","",ROUND($P197+$U197,0))</f>
        <v/>
      </c>
      <c r="W197" s="26">
        <f>IF($G197="","",IF(N($K197)=0,0,ROUND($V197/$K197,2)))</f>
        <v/>
      </c>
      <c r="X197" s="17" t="inlineStr">
        <is>
          <t>采购入库</t>
        </is>
      </c>
      <c r="Y197" s="17" t="inlineStr">
        <is>
          <t>待补价</t>
        </is>
      </c>
      <c r="Z197" s="17" t="inlineStr">
        <is>
          <t>正常</t>
        </is>
      </c>
      <c r="AA197" s="17" t="n"/>
      <c r="AB197" s="17" t="inlineStr">
        <is>
          <t>原表第 202 行</t>
        </is>
      </c>
      <c r="AC197" s="24">
        <f>IF($G197="","",IF($H197="※编码不在物料档案里","※物料编码不在档案里",IF(N($K197)&lt;=0,"※入库数量要大于 0",IF(AND($C197&lt;&gt;"",$C197&lt;=结账锁),"※日期早于已结账截止日，不能再录",IF(AND($L197=0,$X197="正常"),"※没填单价，价格状态请选「待补价」",IF(AND($S197&gt;0,$R197&gt;0),"△本批有 "&amp;$S197&amp;" 行没单价，整批运费先挂账没摊",IF(AND($B197&lt;&gt;"",COUNTIF($B$4:$B$2503,$B197)&gt;1),"※入库单号重复","")))))))</f>
        <v/>
      </c>
    </row>
    <row r="198">
      <c r="A198" s="24">
        <f>IF($G198="","",COUNTA($G$4:$G198))</f>
        <v/>
      </c>
      <c r="B198" s="17" t="n"/>
      <c r="C198" s="30" t="n">
        <v>46091</v>
      </c>
      <c r="D198" s="17" t="inlineStr">
        <is>
          <t>A国内</t>
        </is>
      </c>
      <c r="E198" s="17" t="inlineStr">
        <is>
          <t>AXIU1629864-202603</t>
        </is>
      </c>
      <c r="F198" s="17" t="inlineStr">
        <is>
          <t>烟台市金豪矿山机械有限公司</t>
        </is>
      </c>
      <c r="G198" s="17" t="inlineStr">
        <is>
          <t>JH0184</t>
        </is>
      </c>
      <c r="H198" s="24">
        <f>IF($G198="","",IFERROR(VLOOKUP($G198,物料档案!$A$4:$P$1203,3,0),"※编码不在物料档案里"))</f>
        <v/>
      </c>
      <c r="I198" s="24">
        <f>IF($G198="","",IFERROR(VLOOKUP($G198,物料档案!$A$4:$P$1203,4,0),"※编码不在物料档案里"))</f>
        <v/>
      </c>
      <c r="J198" s="24">
        <f>IF($G198="","",IFERROR(VLOOKUP($G198,物料档案!$A$4:$P$1203,5,0),"※编码不在物料档案里"))</f>
        <v/>
      </c>
      <c r="K198" s="23" t="n">
        <v>1</v>
      </c>
      <c r="L198" s="31" t="n"/>
      <c r="M198" s="24">
        <f>IF($G198="","",IF($D198="A国内","CNY","TZS"))</f>
        <v/>
      </c>
      <c r="N198" s="28">
        <f>IF($G198="","",IF($D198="A国内",汇率,1))</f>
        <v/>
      </c>
      <c r="O198" s="25">
        <f>IF($G198="","",ROUND(N($K198)*N($L198),2))</f>
        <v/>
      </c>
      <c r="P198" s="26">
        <f>IF($G198="","",ROUND($O198*$N198,0))</f>
        <v/>
      </c>
      <c r="Q198" s="26">
        <f>IF($G198="","",SUMIFS($P$4:$P$2503,$E$4:$E$2503,$E198,$Z$4:$Z$2503,"正常"))</f>
        <v/>
      </c>
      <c r="R198" s="26">
        <f>IF($G198="","",SUMIFS(费用台账!$I$4:$I$503,费用台账!$C$4:$C$503,$E198,费用台账!$J$4:$J$503,"是",费用台账!$K$4:$K$503,"正常"))</f>
        <v/>
      </c>
      <c r="S198" s="28">
        <f>IF($G198="","",COUNTIFS($E$4:$E$2503,$E198,$Z$4:$Z$2503,"正常",$Y$4:$Y$2503,"待补价"))</f>
        <v/>
      </c>
      <c r="T198" s="26">
        <f>IF($G198="","",SUMIFS($P$4:$P$2503,$E$4:$E$2503,$E198,$Z$4:$Z$2503,"正常",$A$4:$A$2503,"&lt;="&amp;$A198))</f>
        <v/>
      </c>
      <c r="U198" s="26">
        <f>IF($G198="","",IF(OR($S198&gt;0,$Q198=0,$R198=0,$Z198&lt;&gt;"正常"),0,ROUND($T198/$Q198*$R198,0)-ROUND(($T198-$P198)/$Q198*$R198,0)))</f>
        <v/>
      </c>
      <c r="V198" s="26">
        <f>IF($G198="","",ROUND($P198+$U198,0))</f>
        <v/>
      </c>
      <c r="W198" s="26">
        <f>IF($G198="","",IF(N($K198)=0,0,ROUND($V198/$K198,2)))</f>
        <v/>
      </c>
      <c r="X198" s="17" t="inlineStr">
        <is>
          <t>采购入库</t>
        </is>
      </c>
      <c r="Y198" s="17" t="inlineStr">
        <is>
          <t>待补价</t>
        </is>
      </c>
      <c r="Z198" s="17" t="inlineStr">
        <is>
          <t>正常</t>
        </is>
      </c>
      <c r="AA198" s="17" t="n"/>
      <c r="AB198" s="17" t="inlineStr">
        <is>
          <t>原表第 203 行</t>
        </is>
      </c>
      <c r="AC198" s="24">
        <f>IF($G198="","",IF($H198="※编码不在物料档案里","※物料编码不在档案里",IF(N($K198)&lt;=0,"※入库数量要大于 0",IF(AND($C198&lt;&gt;"",$C198&lt;=结账锁),"※日期早于已结账截止日，不能再录",IF(AND($L198=0,$X198="正常"),"※没填单价，价格状态请选「待补价」",IF(AND($S198&gt;0,$R198&gt;0),"△本批有 "&amp;$S198&amp;" 行没单价，整批运费先挂账没摊",IF(AND($B198&lt;&gt;"",COUNTIF($B$4:$B$2503,$B198)&gt;1),"※入库单号重复","")))))))</f>
        <v/>
      </c>
    </row>
    <row r="199">
      <c r="A199" s="24">
        <f>IF($G199="","",COUNTA($G$4:$G199))</f>
        <v/>
      </c>
      <c r="B199" s="17" t="n"/>
      <c r="C199" s="30" t="n">
        <v>46091</v>
      </c>
      <c r="D199" s="17" t="inlineStr">
        <is>
          <t>A国内</t>
        </is>
      </c>
      <c r="E199" s="17" t="inlineStr">
        <is>
          <t>AXIU1629864-202603</t>
        </is>
      </c>
      <c r="F199" s="17" t="inlineStr">
        <is>
          <t>烟台市金豪矿山机械有限公司</t>
        </is>
      </c>
      <c r="G199" s="17" t="inlineStr">
        <is>
          <t>JH0185</t>
        </is>
      </c>
      <c r="H199" s="24">
        <f>IF($G199="","",IFERROR(VLOOKUP($G199,物料档案!$A$4:$P$1203,3,0),"※编码不在物料档案里"))</f>
        <v/>
      </c>
      <c r="I199" s="24">
        <f>IF($G199="","",IFERROR(VLOOKUP($G199,物料档案!$A$4:$P$1203,4,0),"※编码不在物料档案里"))</f>
        <v/>
      </c>
      <c r="J199" s="24">
        <f>IF($G199="","",IFERROR(VLOOKUP($G199,物料档案!$A$4:$P$1203,5,0),"※编码不在物料档案里"))</f>
        <v/>
      </c>
      <c r="K199" s="23" t="n">
        <v>19</v>
      </c>
      <c r="L199" s="31" t="n">
        <v>4600</v>
      </c>
      <c r="M199" s="24">
        <f>IF($G199="","",IF($D199="A国内","CNY","TZS"))</f>
        <v/>
      </c>
      <c r="N199" s="28">
        <f>IF($G199="","",IF($D199="A国内",汇率,1))</f>
        <v/>
      </c>
      <c r="O199" s="25">
        <f>IF($G199="","",ROUND(N($K199)*N($L199),2))</f>
        <v/>
      </c>
      <c r="P199" s="26">
        <f>IF($G199="","",ROUND($O199*$N199,0))</f>
        <v/>
      </c>
      <c r="Q199" s="26">
        <f>IF($G199="","",SUMIFS($P$4:$P$2503,$E$4:$E$2503,$E199,$Z$4:$Z$2503,"正常"))</f>
        <v/>
      </c>
      <c r="R199" s="26">
        <f>IF($G199="","",SUMIFS(费用台账!$I$4:$I$503,费用台账!$C$4:$C$503,$E199,费用台账!$J$4:$J$503,"是",费用台账!$K$4:$K$503,"正常"))</f>
        <v/>
      </c>
      <c r="S199" s="28">
        <f>IF($G199="","",COUNTIFS($E$4:$E$2503,$E199,$Z$4:$Z$2503,"正常",$Y$4:$Y$2503,"待补价"))</f>
        <v/>
      </c>
      <c r="T199" s="26">
        <f>IF($G199="","",SUMIFS($P$4:$P$2503,$E$4:$E$2503,$E199,$Z$4:$Z$2503,"正常",$A$4:$A$2503,"&lt;="&amp;$A199))</f>
        <v/>
      </c>
      <c r="U199" s="26">
        <f>IF($G199="","",IF(OR($S199&gt;0,$Q199=0,$R199=0,$Z199&lt;&gt;"正常"),0,ROUND($T199/$Q199*$R199,0)-ROUND(($T199-$P199)/$Q199*$R199,0)))</f>
        <v/>
      </c>
      <c r="V199" s="26">
        <f>IF($G199="","",ROUND($P199+$U199,0))</f>
        <v/>
      </c>
      <c r="W199" s="26">
        <f>IF($G199="","",IF(N($K199)=0,0,ROUND($V199/$K199,2)))</f>
        <v/>
      </c>
      <c r="X199" s="17" t="inlineStr">
        <is>
          <t>采购入库</t>
        </is>
      </c>
      <c r="Y199" s="17" t="inlineStr">
        <is>
          <t>正常</t>
        </is>
      </c>
      <c r="Z199" s="17" t="inlineStr">
        <is>
          <t>正常</t>
        </is>
      </c>
      <c r="AA199" s="17" t="n"/>
      <c r="AB199" s="17" t="inlineStr">
        <is>
          <t>原表第 204 行</t>
        </is>
      </c>
      <c r="AC199" s="24">
        <f>IF($G199="","",IF($H199="※编码不在物料档案里","※物料编码不在档案里",IF(N($K199)&lt;=0,"※入库数量要大于 0",IF(AND($C199&lt;&gt;"",$C199&lt;=结账锁),"※日期早于已结账截止日，不能再录",IF(AND($L199=0,$X199="正常"),"※没填单价，价格状态请选「待补价」",IF(AND($S199&gt;0,$R199&gt;0),"△本批有 "&amp;$S199&amp;" 行没单价，整批运费先挂账没摊",IF(AND($B199&lt;&gt;"",COUNTIF($B$4:$B$2503,$B199)&gt;1),"※入库单号重复","")))))))</f>
        <v/>
      </c>
    </row>
    <row r="200">
      <c r="A200" s="24">
        <f>IF($G200="","",COUNTA($G$4:$G200))</f>
        <v/>
      </c>
      <c r="B200" s="17" t="n"/>
      <c r="C200" s="30" t="n">
        <v>46091</v>
      </c>
      <c r="D200" s="17" t="inlineStr">
        <is>
          <t>A国内</t>
        </is>
      </c>
      <c r="E200" s="17" t="inlineStr">
        <is>
          <t>FCIU8857920-202603</t>
        </is>
      </c>
      <c r="F200" s="17" t="inlineStr">
        <is>
          <t>烟台市金豪矿山机械有限公司</t>
        </is>
      </c>
      <c r="G200" s="17" t="inlineStr">
        <is>
          <t>JH0166</t>
        </is>
      </c>
      <c r="H200" s="24">
        <f>IF($G200="","",IFERROR(VLOOKUP($G200,物料档案!$A$4:$P$1203,3,0),"※编码不在物料档案里"))</f>
        <v/>
      </c>
      <c r="I200" s="24">
        <f>IF($G200="","",IFERROR(VLOOKUP($G200,物料档案!$A$4:$P$1203,4,0),"※编码不在物料档案里"))</f>
        <v/>
      </c>
      <c r="J200" s="24">
        <f>IF($G200="","",IFERROR(VLOOKUP($G200,物料档案!$A$4:$P$1203,5,0),"※编码不在物料档案里"))</f>
        <v/>
      </c>
      <c r="K200" s="23" t="n">
        <v>1</v>
      </c>
      <c r="L200" s="31" t="n"/>
      <c r="M200" s="24">
        <f>IF($G200="","",IF($D200="A国内","CNY","TZS"))</f>
        <v/>
      </c>
      <c r="N200" s="28">
        <f>IF($G200="","",IF($D200="A国内",汇率,1))</f>
        <v/>
      </c>
      <c r="O200" s="25">
        <f>IF($G200="","",ROUND(N($K200)*N($L200),2))</f>
        <v/>
      </c>
      <c r="P200" s="26">
        <f>IF($G200="","",ROUND($O200*$N200,0))</f>
        <v/>
      </c>
      <c r="Q200" s="26">
        <f>IF($G200="","",SUMIFS($P$4:$P$2503,$E$4:$E$2503,$E200,$Z$4:$Z$2503,"正常"))</f>
        <v/>
      </c>
      <c r="R200" s="26">
        <f>IF($G200="","",SUMIFS(费用台账!$I$4:$I$503,费用台账!$C$4:$C$503,$E200,费用台账!$J$4:$J$503,"是",费用台账!$K$4:$K$503,"正常"))</f>
        <v/>
      </c>
      <c r="S200" s="28">
        <f>IF($G200="","",COUNTIFS($E$4:$E$2503,$E200,$Z$4:$Z$2503,"正常",$Y$4:$Y$2503,"待补价"))</f>
        <v/>
      </c>
      <c r="T200" s="26">
        <f>IF($G200="","",SUMIFS($P$4:$P$2503,$E$4:$E$2503,$E200,$Z$4:$Z$2503,"正常",$A$4:$A$2503,"&lt;="&amp;$A200))</f>
        <v/>
      </c>
      <c r="U200" s="26">
        <f>IF($G200="","",IF(OR($S200&gt;0,$Q200=0,$R200=0,$Z200&lt;&gt;"正常"),0,ROUND($T200/$Q200*$R200,0)-ROUND(($T200-$P200)/$Q200*$R200,0)))</f>
        <v/>
      </c>
      <c r="V200" s="26">
        <f>IF($G200="","",ROUND($P200+$U200,0))</f>
        <v/>
      </c>
      <c r="W200" s="26">
        <f>IF($G200="","",IF(N($K200)=0,0,ROUND($V200/$K200,2)))</f>
        <v/>
      </c>
      <c r="X200" s="17" t="inlineStr">
        <is>
          <t>采购入库</t>
        </is>
      </c>
      <c r="Y200" s="17" t="inlineStr">
        <is>
          <t>待补价</t>
        </is>
      </c>
      <c r="Z200" s="17" t="inlineStr">
        <is>
          <t>正常</t>
        </is>
      </c>
      <c r="AA200" s="17" t="n"/>
      <c r="AB200" s="17" t="inlineStr">
        <is>
          <t>原表第 205 行</t>
        </is>
      </c>
      <c r="AC200" s="24">
        <f>IF($G200="","",IF($H200="※编码不在物料档案里","※物料编码不在档案里",IF(N($K200)&lt;=0,"※入库数量要大于 0",IF(AND($C200&lt;&gt;"",$C200&lt;=结账锁),"※日期早于已结账截止日，不能再录",IF(AND($L200=0,$X200="正常"),"※没填单价，价格状态请选「待补价」",IF(AND($S200&gt;0,$R200&gt;0),"△本批有 "&amp;$S200&amp;" 行没单价，整批运费先挂账没摊",IF(AND($B200&lt;&gt;"",COUNTIF($B$4:$B$2503,$B200)&gt;1),"※入库单号重复","")))))))</f>
        <v/>
      </c>
    </row>
    <row r="201">
      <c r="A201" s="24">
        <f>IF($G201="","",COUNTA($G$4:$G201))</f>
        <v/>
      </c>
      <c r="B201" s="17" t="n"/>
      <c r="C201" s="30" t="n">
        <v>46091</v>
      </c>
      <c r="D201" s="17" t="inlineStr">
        <is>
          <t>A国内</t>
        </is>
      </c>
      <c r="E201" s="17" t="inlineStr">
        <is>
          <t>FCIU8857920-202603</t>
        </is>
      </c>
      <c r="F201" s="17" t="inlineStr">
        <is>
          <t>烟台市金豪矿山机械有限公司</t>
        </is>
      </c>
      <c r="G201" s="17" t="inlineStr">
        <is>
          <t>JH0186</t>
        </is>
      </c>
      <c r="H201" s="24">
        <f>IF($G201="","",IFERROR(VLOOKUP($G201,物料档案!$A$4:$P$1203,3,0),"※编码不在物料档案里"))</f>
        <v/>
      </c>
      <c r="I201" s="24">
        <f>IF($G201="","",IFERROR(VLOOKUP($G201,物料档案!$A$4:$P$1203,4,0),"※编码不在物料档案里"))</f>
        <v/>
      </c>
      <c r="J201" s="24">
        <f>IF($G201="","",IFERROR(VLOOKUP($G201,物料档案!$A$4:$P$1203,5,0),"※编码不在物料档案里"))</f>
        <v/>
      </c>
      <c r="K201" s="23" t="n">
        <v>1.5</v>
      </c>
      <c r="L201" s="31" t="n">
        <v>4600</v>
      </c>
      <c r="M201" s="24">
        <f>IF($G201="","",IF($D201="A国内","CNY","TZS"))</f>
        <v/>
      </c>
      <c r="N201" s="28">
        <f>IF($G201="","",IF($D201="A国内",汇率,1))</f>
        <v/>
      </c>
      <c r="O201" s="25">
        <f>IF($G201="","",ROUND(N($K201)*N($L201),2))</f>
        <v/>
      </c>
      <c r="P201" s="26">
        <f>IF($G201="","",ROUND($O201*$N201,0))</f>
        <v/>
      </c>
      <c r="Q201" s="26">
        <f>IF($G201="","",SUMIFS($P$4:$P$2503,$E$4:$E$2503,$E201,$Z$4:$Z$2503,"正常"))</f>
        <v/>
      </c>
      <c r="R201" s="26">
        <f>IF($G201="","",SUMIFS(费用台账!$I$4:$I$503,费用台账!$C$4:$C$503,$E201,费用台账!$J$4:$J$503,"是",费用台账!$K$4:$K$503,"正常"))</f>
        <v/>
      </c>
      <c r="S201" s="28">
        <f>IF($G201="","",COUNTIFS($E$4:$E$2503,$E201,$Z$4:$Z$2503,"正常",$Y$4:$Y$2503,"待补价"))</f>
        <v/>
      </c>
      <c r="T201" s="26">
        <f>IF($G201="","",SUMIFS($P$4:$P$2503,$E$4:$E$2503,$E201,$Z$4:$Z$2503,"正常",$A$4:$A$2503,"&lt;="&amp;$A201))</f>
        <v/>
      </c>
      <c r="U201" s="26">
        <f>IF($G201="","",IF(OR($S201&gt;0,$Q201=0,$R201=0,$Z201&lt;&gt;"正常"),0,ROUND($T201/$Q201*$R201,0)-ROUND(($T201-$P201)/$Q201*$R201,0)))</f>
        <v/>
      </c>
      <c r="V201" s="26">
        <f>IF($G201="","",ROUND($P201+$U201,0))</f>
        <v/>
      </c>
      <c r="W201" s="26">
        <f>IF($G201="","",IF(N($K201)=0,0,ROUND($V201/$K201,2)))</f>
        <v/>
      </c>
      <c r="X201" s="17" t="inlineStr">
        <is>
          <t>采购入库</t>
        </is>
      </c>
      <c r="Y201" s="17" t="inlineStr">
        <is>
          <t>正常</t>
        </is>
      </c>
      <c r="Z201" s="17" t="inlineStr">
        <is>
          <t>正常</t>
        </is>
      </c>
      <c r="AA201" s="17" t="n"/>
      <c r="AB201" s="17" t="inlineStr">
        <is>
          <t>原表第 206 行</t>
        </is>
      </c>
      <c r="AC201" s="24">
        <f>IF($G201="","",IF($H201="※编码不在物料档案里","※物料编码不在档案里",IF(N($K201)&lt;=0,"※入库数量要大于 0",IF(AND($C201&lt;&gt;"",$C201&lt;=结账锁),"※日期早于已结账截止日，不能再录",IF(AND($L201=0,$X201="正常"),"※没填单价，价格状态请选「待补价」",IF(AND($S201&gt;0,$R201&gt;0),"△本批有 "&amp;$S201&amp;" 行没单价，整批运费先挂账没摊",IF(AND($B201&lt;&gt;"",COUNTIF($B$4:$B$2503,$B201)&gt;1),"※入库单号重复","")))))))</f>
        <v/>
      </c>
    </row>
    <row r="202">
      <c r="A202" s="24">
        <f>IF($G202="","",COUNTA($G$4:$G202))</f>
        <v/>
      </c>
      <c r="B202" s="17" t="n"/>
      <c r="C202" s="30" t="n">
        <v>46091</v>
      </c>
      <c r="D202" s="17" t="inlineStr">
        <is>
          <t>A国内</t>
        </is>
      </c>
      <c r="E202" s="17" t="inlineStr">
        <is>
          <t>FCIU8857920-202603</t>
        </is>
      </c>
      <c r="F202" s="17" t="inlineStr">
        <is>
          <t>烟台市金豪矿山机械有限公司</t>
        </is>
      </c>
      <c r="G202" s="17" t="inlineStr">
        <is>
          <t>JH0187</t>
        </is>
      </c>
      <c r="H202" s="24">
        <f>IF($G202="","",IFERROR(VLOOKUP($G202,物料档案!$A$4:$P$1203,3,0),"※编码不在物料档案里"))</f>
        <v/>
      </c>
      <c r="I202" s="24">
        <f>IF($G202="","",IFERROR(VLOOKUP($G202,物料档案!$A$4:$P$1203,4,0),"※编码不在物料档案里"))</f>
        <v/>
      </c>
      <c r="J202" s="24">
        <f>IF($G202="","",IFERROR(VLOOKUP($G202,物料档案!$A$4:$P$1203,5,0),"※编码不在物料档案里"))</f>
        <v/>
      </c>
      <c r="K202" s="23" t="n">
        <v>4</v>
      </c>
      <c r="L202" s="31" t="n">
        <v>4600</v>
      </c>
      <c r="M202" s="24">
        <f>IF($G202="","",IF($D202="A国内","CNY","TZS"))</f>
        <v/>
      </c>
      <c r="N202" s="28">
        <f>IF($G202="","",IF($D202="A国内",汇率,1))</f>
        <v/>
      </c>
      <c r="O202" s="25">
        <f>IF($G202="","",ROUND(N($K202)*N($L202),2))</f>
        <v/>
      </c>
      <c r="P202" s="26">
        <f>IF($G202="","",ROUND($O202*$N202,0))</f>
        <v/>
      </c>
      <c r="Q202" s="26">
        <f>IF($G202="","",SUMIFS($P$4:$P$2503,$E$4:$E$2503,$E202,$Z$4:$Z$2503,"正常"))</f>
        <v/>
      </c>
      <c r="R202" s="26">
        <f>IF($G202="","",SUMIFS(费用台账!$I$4:$I$503,费用台账!$C$4:$C$503,$E202,费用台账!$J$4:$J$503,"是",费用台账!$K$4:$K$503,"正常"))</f>
        <v/>
      </c>
      <c r="S202" s="28">
        <f>IF($G202="","",COUNTIFS($E$4:$E$2503,$E202,$Z$4:$Z$2503,"正常",$Y$4:$Y$2503,"待补价"))</f>
        <v/>
      </c>
      <c r="T202" s="26">
        <f>IF($G202="","",SUMIFS($P$4:$P$2503,$E$4:$E$2503,$E202,$Z$4:$Z$2503,"正常",$A$4:$A$2503,"&lt;="&amp;$A202))</f>
        <v/>
      </c>
      <c r="U202" s="26">
        <f>IF($G202="","",IF(OR($S202&gt;0,$Q202=0,$R202=0,$Z202&lt;&gt;"正常"),0,ROUND($T202/$Q202*$R202,0)-ROUND(($T202-$P202)/$Q202*$R202,0)))</f>
        <v/>
      </c>
      <c r="V202" s="26">
        <f>IF($G202="","",ROUND($P202+$U202,0))</f>
        <v/>
      </c>
      <c r="W202" s="26">
        <f>IF($G202="","",IF(N($K202)=0,0,ROUND($V202/$K202,2)))</f>
        <v/>
      </c>
      <c r="X202" s="17" t="inlineStr">
        <is>
          <t>采购入库</t>
        </is>
      </c>
      <c r="Y202" s="17" t="inlineStr">
        <is>
          <t>正常</t>
        </is>
      </c>
      <c r="Z202" s="17" t="inlineStr">
        <is>
          <t>正常</t>
        </is>
      </c>
      <c r="AA202" s="17" t="n"/>
      <c r="AB202" s="17" t="inlineStr">
        <is>
          <t>原表第 207 行</t>
        </is>
      </c>
      <c r="AC202" s="24">
        <f>IF($G202="","",IF($H202="※编码不在物料档案里","※物料编码不在档案里",IF(N($K202)&lt;=0,"※入库数量要大于 0",IF(AND($C202&lt;&gt;"",$C202&lt;=结账锁),"※日期早于已结账截止日，不能再录",IF(AND($L202=0,$X202="正常"),"※没填单价，价格状态请选「待补价」",IF(AND($S202&gt;0,$R202&gt;0),"△本批有 "&amp;$S202&amp;" 行没单价，整批运费先挂账没摊",IF(AND($B202&lt;&gt;"",COUNTIF($B$4:$B$2503,$B202)&gt;1),"※入库单号重复","")))))))</f>
        <v/>
      </c>
    </row>
    <row r="203">
      <c r="A203" s="24">
        <f>IF($G203="","",COUNTA($G$4:$G203))</f>
        <v/>
      </c>
      <c r="B203" s="17" t="n"/>
      <c r="C203" s="30" t="n">
        <v>46091</v>
      </c>
      <c r="D203" s="17" t="inlineStr">
        <is>
          <t>A国内</t>
        </is>
      </c>
      <c r="E203" s="17" t="inlineStr">
        <is>
          <t>FCIU8857920-202603</t>
        </is>
      </c>
      <c r="F203" s="17" t="inlineStr">
        <is>
          <t>烟台市金豪矿山机械有限公司</t>
        </is>
      </c>
      <c r="G203" s="17" t="inlineStr">
        <is>
          <t>JH0188</t>
        </is>
      </c>
      <c r="H203" s="24">
        <f>IF($G203="","",IFERROR(VLOOKUP($G203,物料档案!$A$4:$P$1203,3,0),"※编码不在物料档案里"))</f>
        <v/>
      </c>
      <c r="I203" s="24">
        <f>IF($G203="","",IFERROR(VLOOKUP($G203,物料档案!$A$4:$P$1203,4,0),"※编码不在物料档案里"))</f>
        <v/>
      </c>
      <c r="J203" s="24">
        <f>IF($G203="","",IFERROR(VLOOKUP($G203,物料档案!$A$4:$P$1203,5,0),"※编码不在物料档案里"))</f>
        <v/>
      </c>
      <c r="K203" s="23" t="n">
        <v>10</v>
      </c>
      <c r="L203" s="31" t="n"/>
      <c r="M203" s="24">
        <f>IF($G203="","",IF($D203="A国内","CNY","TZS"))</f>
        <v/>
      </c>
      <c r="N203" s="28">
        <f>IF($G203="","",IF($D203="A国内",汇率,1))</f>
        <v/>
      </c>
      <c r="O203" s="25">
        <f>IF($G203="","",ROUND(N($K203)*N($L203),2))</f>
        <v/>
      </c>
      <c r="P203" s="26">
        <f>IF($G203="","",ROUND($O203*$N203,0))</f>
        <v/>
      </c>
      <c r="Q203" s="26">
        <f>IF($G203="","",SUMIFS($P$4:$P$2503,$E$4:$E$2503,$E203,$Z$4:$Z$2503,"正常"))</f>
        <v/>
      </c>
      <c r="R203" s="26">
        <f>IF($G203="","",SUMIFS(费用台账!$I$4:$I$503,费用台账!$C$4:$C$503,$E203,费用台账!$J$4:$J$503,"是",费用台账!$K$4:$K$503,"正常"))</f>
        <v/>
      </c>
      <c r="S203" s="28">
        <f>IF($G203="","",COUNTIFS($E$4:$E$2503,$E203,$Z$4:$Z$2503,"正常",$Y$4:$Y$2503,"待补价"))</f>
        <v/>
      </c>
      <c r="T203" s="26">
        <f>IF($G203="","",SUMIFS($P$4:$P$2503,$E$4:$E$2503,$E203,$Z$4:$Z$2503,"正常",$A$4:$A$2503,"&lt;="&amp;$A203))</f>
        <v/>
      </c>
      <c r="U203" s="26">
        <f>IF($G203="","",IF(OR($S203&gt;0,$Q203=0,$R203=0,$Z203&lt;&gt;"正常"),0,ROUND($T203/$Q203*$R203,0)-ROUND(($T203-$P203)/$Q203*$R203,0)))</f>
        <v/>
      </c>
      <c r="V203" s="26">
        <f>IF($G203="","",ROUND($P203+$U203,0))</f>
        <v/>
      </c>
      <c r="W203" s="26">
        <f>IF($G203="","",IF(N($K203)=0,0,ROUND($V203/$K203,2)))</f>
        <v/>
      </c>
      <c r="X203" s="17" t="inlineStr">
        <is>
          <t>采购入库</t>
        </is>
      </c>
      <c r="Y203" s="17" t="inlineStr">
        <is>
          <t>待补价</t>
        </is>
      </c>
      <c r="Z203" s="17" t="inlineStr">
        <is>
          <t>正常</t>
        </is>
      </c>
      <c r="AA203" s="17" t="n"/>
      <c r="AB203" s="17" t="inlineStr">
        <is>
          <t>原表第 208 行</t>
        </is>
      </c>
      <c r="AC203" s="24">
        <f>IF($G203="","",IF($H203="※编码不在物料档案里","※物料编码不在档案里",IF(N($K203)&lt;=0,"※入库数量要大于 0",IF(AND($C203&lt;&gt;"",$C203&lt;=结账锁),"※日期早于已结账截止日，不能再录",IF(AND($L203=0,$X203="正常"),"※没填单价，价格状态请选「待补价」",IF(AND($S203&gt;0,$R203&gt;0),"△本批有 "&amp;$S203&amp;" 行没单价，整批运费先挂账没摊",IF(AND($B203&lt;&gt;"",COUNTIF($B$4:$B$2503,$B203)&gt;1),"※入库单号重复","")))))))</f>
        <v/>
      </c>
    </row>
    <row r="204">
      <c r="A204" s="24">
        <f>IF($G204="","",COUNTA($G$4:$G204))</f>
        <v/>
      </c>
      <c r="B204" s="17" t="n"/>
      <c r="C204" s="30" t="n">
        <v>46091</v>
      </c>
      <c r="D204" s="17" t="inlineStr">
        <is>
          <t>A国内</t>
        </is>
      </c>
      <c r="E204" s="17" t="inlineStr">
        <is>
          <t>FCIU8857920-202603</t>
        </is>
      </c>
      <c r="F204" s="17" t="inlineStr">
        <is>
          <t>烟台市金豪矿山机械有限公司</t>
        </is>
      </c>
      <c r="G204" s="17" t="inlineStr">
        <is>
          <t>JH0189</t>
        </is>
      </c>
      <c r="H204" s="24">
        <f>IF($G204="","",IFERROR(VLOOKUP($G204,物料档案!$A$4:$P$1203,3,0),"※编码不在物料档案里"))</f>
        <v/>
      </c>
      <c r="I204" s="24">
        <f>IF($G204="","",IFERROR(VLOOKUP($G204,物料档案!$A$4:$P$1203,4,0),"※编码不在物料档案里"))</f>
        <v/>
      </c>
      <c r="J204" s="24">
        <f>IF($G204="","",IFERROR(VLOOKUP($G204,物料档案!$A$4:$P$1203,5,0),"※编码不在物料档案里"))</f>
        <v/>
      </c>
      <c r="K204" s="23" t="n">
        <v>5</v>
      </c>
      <c r="L204" s="31" t="n"/>
      <c r="M204" s="24">
        <f>IF($G204="","",IF($D204="A国内","CNY","TZS"))</f>
        <v/>
      </c>
      <c r="N204" s="28">
        <f>IF($G204="","",IF($D204="A国内",汇率,1))</f>
        <v/>
      </c>
      <c r="O204" s="25">
        <f>IF($G204="","",ROUND(N($K204)*N($L204),2))</f>
        <v/>
      </c>
      <c r="P204" s="26">
        <f>IF($G204="","",ROUND($O204*$N204,0))</f>
        <v/>
      </c>
      <c r="Q204" s="26">
        <f>IF($G204="","",SUMIFS($P$4:$P$2503,$E$4:$E$2503,$E204,$Z$4:$Z$2503,"正常"))</f>
        <v/>
      </c>
      <c r="R204" s="26">
        <f>IF($G204="","",SUMIFS(费用台账!$I$4:$I$503,费用台账!$C$4:$C$503,$E204,费用台账!$J$4:$J$503,"是",费用台账!$K$4:$K$503,"正常"))</f>
        <v/>
      </c>
      <c r="S204" s="28">
        <f>IF($G204="","",COUNTIFS($E$4:$E$2503,$E204,$Z$4:$Z$2503,"正常",$Y$4:$Y$2503,"待补价"))</f>
        <v/>
      </c>
      <c r="T204" s="26">
        <f>IF($G204="","",SUMIFS($P$4:$P$2503,$E$4:$E$2503,$E204,$Z$4:$Z$2503,"正常",$A$4:$A$2503,"&lt;="&amp;$A204))</f>
        <v/>
      </c>
      <c r="U204" s="26">
        <f>IF($G204="","",IF(OR($S204&gt;0,$Q204=0,$R204=0,$Z204&lt;&gt;"正常"),0,ROUND($T204/$Q204*$R204,0)-ROUND(($T204-$P204)/$Q204*$R204,0)))</f>
        <v/>
      </c>
      <c r="V204" s="26">
        <f>IF($G204="","",ROUND($P204+$U204,0))</f>
        <v/>
      </c>
      <c r="W204" s="26">
        <f>IF($G204="","",IF(N($K204)=0,0,ROUND($V204/$K204,2)))</f>
        <v/>
      </c>
      <c r="X204" s="17" t="inlineStr">
        <is>
          <t>采购入库</t>
        </is>
      </c>
      <c r="Y204" s="17" t="inlineStr">
        <is>
          <t>待补价</t>
        </is>
      </c>
      <c r="Z204" s="17" t="inlineStr">
        <is>
          <t>正常</t>
        </is>
      </c>
      <c r="AA204" s="17" t="n"/>
      <c r="AB204" s="17" t="inlineStr">
        <is>
          <t>原表第 209 行</t>
        </is>
      </c>
      <c r="AC204" s="24">
        <f>IF($G204="","",IF($H204="※编码不在物料档案里","※物料编码不在档案里",IF(N($K204)&lt;=0,"※入库数量要大于 0",IF(AND($C204&lt;&gt;"",$C204&lt;=结账锁),"※日期早于已结账截止日，不能再录",IF(AND($L204=0,$X204="正常"),"※没填单价，价格状态请选「待补价」",IF(AND($S204&gt;0,$R204&gt;0),"△本批有 "&amp;$S204&amp;" 行没单价，整批运费先挂账没摊",IF(AND($B204&lt;&gt;"",COUNTIF($B$4:$B$2503,$B204)&gt;1),"※入库单号重复","")))))))</f>
        <v/>
      </c>
    </row>
    <row r="205">
      <c r="A205" s="24">
        <f>IF($G205="","",COUNTA($G$4:$G205))</f>
        <v/>
      </c>
      <c r="B205" s="17" t="n"/>
      <c r="C205" s="30" t="n">
        <v>46091</v>
      </c>
      <c r="D205" s="17" t="inlineStr">
        <is>
          <t>A国内</t>
        </is>
      </c>
      <c r="E205" s="17" t="inlineStr">
        <is>
          <t>FCIU8857920-202603</t>
        </is>
      </c>
      <c r="F205" s="17" t="inlineStr">
        <is>
          <t>烟台市金豪矿山机械有限公司</t>
        </is>
      </c>
      <c r="G205" s="17" t="inlineStr">
        <is>
          <t>JH0190</t>
        </is>
      </c>
      <c r="H205" s="24">
        <f>IF($G205="","",IFERROR(VLOOKUP($G205,物料档案!$A$4:$P$1203,3,0),"※编码不在物料档案里"))</f>
        <v/>
      </c>
      <c r="I205" s="24">
        <f>IF($G205="","",IFERROR(VLOOKUP($G205,物料档案!$A$4:$P$1203,4,0),"※编码不在物料档案里"))</f>
        <v/>
      </c>
      <c r="J205" s="24">
        <f>IF($G205="","",IFERROR(VLOOKUP($G205,物料档案!$A$4:$P$1203,5,0),"※编码不在物料档案里"))</f>
        <v/>
      </c>
      <c r="K205" s="23" t="n">
        <v>30</v>
      </c>
      <c r="L205" s="31" t="n"/>
      <c r="M205" s="24">
        <f>IF($G205="","",IF($D205="A国内","CNY","TZS"))</f>
        <v/>
      </c>
      <c r="N205" s="28">
        <f>IF($G205="","",IF($D205="A国内",汇率,1))</f>
        <v/>
      </c>
      <c r="O205" s="25">
        <f>IF($G205="","",ROUND(N($K205)*N($L205),2))</f>
        <v/>
      </c>
      <c r="P205" s="26">
        <f>IF($G205="","",ROUND($O205*$N205,0))</f>
        <v/>
      </c>
      <c r="Q205" s="26">
        <f>IF($G205="","",SUMIFS($P$4:$P$2503,$E$4:$E$2503,$E205,$Z$4:$Z$2503,"正常"))</f>
        <v/>
      </c>
      <c r="R205" s="26">
        <f>IF($G205="","",SUMIFS(费用台账!$I$4:$I$503,费用台账!$C$4:$C$503,$E205,费用台账!$J$4:$J$503,"是",费用台账!$K$4:$K$503,"正常"))</f>
        <v/>
      </c>
      <c r="S205" s="28">
        <f>IF($G205="","",COUNTIFS($E$4:$E$2503,$E205,$Z$4:$Z$2503,"正常",$Y$4:$Y$2503,"待补价"))</f>
        <v/>
      </c>
      <c r="T205" s="26">
        <f>IF($G205="","",SUMIFS($P$4:$P$2503,$E$4:$E$2503,$E205,$Z$4:$Z$2503,"正常",$A$4:$A$2503,"&lt;="&amp;$A205))</f>
        <v/>
      </c>
      <c r="U205" s="26">
        <f>IF($G205="","",IF(OR($S205&gt;0,$Q205=0,$R205=0,$Z205&lt;&gt;"正常"),0,ROUND($T205/$Q205*$R205,0)-ROUND(($T205-$P205)/$Q205*$R205,0)))</f>
        <v/>
      </c>
      <c r="V205" s="26">
        <f>IF($G205="","",ROUND($P205+$U205,0))</f>
        <v/>
      </c>
      <c r="W205" s="26">
        <f>IF($G205="","",IF(N($K205)=0,0,ROUND($V205/$K205,2)))</f>
        <v/>
      </c>
      <c r="X205" s="17" t="inlineStr">
        <is>
          <t>采购入库</t>
        </is>
      </c>
      <c r="Y205" s="17" t="inlineStr">
        <is>
          <t>待补价</t>
        </is>
      </c>
      <c r="Z205" s="17" t="inlineStr">
        <is>
          <t>正常</t>
        </is>
      </c>
      <c r="AA205" s="17" t="n"/>
      <c r="AB205" s="17" t="inlineStr">
        <is>
          <t>原表第 210 行</t>
        </is>
      </c>
      <c r="AC205" s="24">
        <f>IF($G205="","",IF($H205="※编码不在物料档案里","※物料编码不在档案里",IF(N($K205)&lt;=0,"※入库数量要大于 0",IF(AND($C205&lt;&gt;"",$C205&lt;=结账锁),"※日期早于已结账截止日，不能再录",IF(AND($L205=0,$X205="正常"),"※没填单价，价格状态请选「待补价」",IF(AND($S205&gt;0,$R205&gt;0),"△本批有 "&amp;$S205&amp;" 行没单价，整批运费先挂账没摊",IF(AND($B205&lt;&gt;"",COUNTIF($B$4:$B$2503,$B205)&gt;1),"※入库单号重复","")))))))</f>
        <v/>
      </c>
    </row>
    <row r="206">
      <c r="A206" s="24">
        <f>IF($G206="","",COUNTA($G$4:$G206))</f>
        <v/>
      </c>
      <c r="B206" s="17" t="n"/>
      <c r="C206" s="30" t="n">
        <v>46091</v>
      </c>
      <c r="D206" s="17" t="inlineStr">
        <is>
          <t>A国内</t>
        </is>
      </c>
      <c r="E206" s="17" t="inlineStr">
        <is>
          <t>FCIU8857920-202603</t>
        </is>
      </c>
      <c r="F206" s="17" t="inlineStr">
        <is>
          <t>烟台市金豪矿山机械有限公司</t>
        </is>
      </c>
      <c r="G206" s="17" t="inlineStr">
        <is>
          <t>JH0191</t>
        </is>
      </c>
      <c r="H206" s="24">
        <f>IF($G206="","",IFERROR(VLOOKUP($G206,物料档案!$A$4:$P$1203,3,0),"※编码不在物料档案里"))</f>
        <v/>
      </c>
      <c r="I206" s="24">
        <f>IF($G206="","",IFERROR(VLOOKUP($G206,物料档案!$A$4:$P$1203,4,0),"※编码不在物料档案里"))</f>
        <v/>
      </c>
      <c r="J206" s="24">
        <f>IF($G206="","",IFERROR(VLOOKUP($G206,物料档案!$A$4:$P$1203,5,0),"※编码不在物料档案里"))</f>
        <v/>
      </c>
      <c r="K206" s="23" t="n">
        <v>60</v>
      </c>
      <c r="L206" s="31" t="n"/>
      <c r="M206" s="24">
        <f>IF($G206="","",IF($D206="A国内","CNY","TZS"))</f>
        <v/>
      </c>
      <c r="N206" s="28">
        <f>IF($G206="","",IF($D206="A国内",汇率,1))</f>
        <v/>
      </c>
      <c r="O206" s="25">
        <f>IF($G206="","",ROUND(N($K206)*N($L206),2))</f>
        <v/>
      </c>
      <c r="P206" s="26">
        <f>IF($G206="","",ROUND($O206*$N206,0))</f>
        <v/>
      </c>
      <c r="Q206" s="26">
        <f>IF($G206="","",SUMIFS($P$4:$P$2503,$E$4:$E$2503,$E206,$Z$4:$Z$2503,"正常"))</f>
        <v/>
      </c>
      <c r="R206" s="26">
        <f>IF($G206="","",SUMIFS(费用台账!$I$4:$I$503,费用台账!$C$4:$C$503,$E206,费用台账!$J$4:$J$503,"是",费用台账!$K$4:$K$503,"正常"))</f>
        <v/>
      </c>
      <c r="S206" s="28">
        <f>IF($G206="","",COUNTIFS($E$4:$E$2503,$E206,$Z$4:$Z$2503,"正常",$Y$4:$Y$2503,"待补价"))</f>
        <v/>
      </c>
      <c r="T206" s="26">
        <f>IF($G206="","",SUMIFS($P$4:$P$2503,$E$4:$E$2503,$E206,$Z$4:$Z$2503,"正常",$A$4:$A$2503,"&lt;="&amp;$A206))</f>
        <v/>
      </c>
      <c r="U206" s="26">
        <f>IF($G206="","",IF(OR($S206&gt;0,$Q206=0,$R206=0,$Z206&lt;&gt;"正常"),0,ROUND($T206/$Q206*$R206,0)-ROUND(($T206-$P206)/$Q206*$R206,0)))</f>
        <v/>
      </c>
      <c r="V206" s="26">
        <f>IF($G206="","",ROUND($P206+$U206,0))</f>
        <v/>
      </c>
      <c r="W206" s="26">
        <f>IF($G206="","",IF(N($K206)=0,0,ROUND($V206/$K206,2)))</f>
        <v/>
      </c>
      <c r="X206" s="17" t="inlineStr">
        <is>
          <t>采购入库</t>
        </is>
      </c>
      <c r="Y206" s="17" t="inlineStr">
        <is>
          <t>待补价</t>
        </is>
      </c>
      <c r="Z206" s="17" t="inlineStr">
        <is>
          <t>正常</t>
        </is>
      </c>
      <c r="AA206" s="17" t="n"/>
      <c r="AB206" s="17" t="inlineStr">
        <is>
          <t>原表第 211 行</t>
        </is>
      </c>
      <c r="AC206" s="24">
        <f>IF($G206="","",IF($H206="※编码不在物料档案里","※物料编码不在档案里",IF(N($K206)&lt;=0,"※入库数量要大于 0",IF(AND($C206&lt;&gt;"",$C206&lt;=结账锁),"※日期早于已结账截止日，不能再录",IF(AND($L206=0,$X206="正常"),"※没填单价，价格状态请选「待补价」",IF(AND($S206&gt;0,$R206&gt;0),"△本批有 "&amp;$S206&amp;" 行没单价，整批运费先挂账没摊",IF(AND($B206&lt;&gt;"",COUNTIF($B$4:$B$2503,$B206)&gt;1),"※入库单号重复","")))))))</f>
        <v/>
      </c>
    </row>
    <row r="207">
      <c r="A207" s="24">
        <f>IF($G207="","",COUNTA($G$4:$G207))</f>
        <v/>
      </c>
      <c r="B207" s="17" t="n"/>
      <c r="C207" s="30" t="n">
        <v>46091</v>
      </c>
      <c r="D207" s="17" t="inlineStr">
        <is>
          <t>A国内</t>
        </is>
      </c>
      <c r="E207" s="17" t="inlineStr">
        <is>
          <t>FCIU8857920-202603</t>
        </is>
      </c>
      <c r="F207" s="17" t="inlineStr">
        <is>
          <t>烟台市金豪矿山机械有限公司</t>
        </is>
      </c>
      <c r="G207" s="17" t="inlineStr">
        <is>
          <t>JH0192</t>
        </is>
      </c>
      <c r="H207" s="24">
        <f>IF($G207="","",IFERROR(VLOOKUP($G207,物料档案!$A$4:$P$1203,3,0),"※编码不在物料档案里"))</f>
        <v/>
      </c>
      <c r="I207" s="24">
        <f>IF($G207="","",IFERROR(VLOOKUP($G207,物料档案!$A$4:$P$1203,4,0),"※编码不在物料档案里"))</f>
        <v/>
      </c>
      <c r="J207" s="24">
        <f>IF($G207="","",IFERROR(VLOOKUP($G207,物料档案!$A$4:$P$1203,5,0),"※编码不在物料档案里"))</f>
        <v/>
      </c>
      <c r="K207" s="23" t="n">
        <v>30</v>
      </c>
      <c r="L207" s="31" t="n"/>
      <c r="M207" s="24">
        <f>IF($G207="","",IF($D207="A国内","CNY","TZS"))</f>
        <v/>
      </c>
      <c r="N207" s="28">
        <f>IF($G207="","",IF($D207="A国内",汇率,1))</f>
        <v/>
      </c>
      <c r="O207" s="25">
        <f>IF($G207="","",ROUND(N($K207)*N($L207),2))</f>
        <v/>
      </c>
      <c r="P207" s="26">
        <f>IF($G207="","",ROUND($O207*$N207,0))</f>
        <v/>
      </c>
      <c r="Q207" s="26">
        <f>IF($G207="","",SUMIFS($P$4:$P$2503,$E$4:$E$2503,$E207,$Z$4:$Z$2503,"正常"))</f>
        <v/>
      </c>
      <c r="R207" s="26">
        <f>IF($G207="","",SUMIFS(费用台账!$I$4:$I$503,费用台账!$C$4:$C$503,$E207,费用台账!$J$4:$J$503,"是",费用台账!$K$4:$K$503,"正常"))</f>
        <v/>
      </c>
      <c r="S207" s="28">
        <f>IF($G207="","",COUNTIFS($E$4:$E$2503,$E207,$Z$4:$Z$2503,"正常",$Y$4:$Y$2503,"待补价"))</f>
        <v/>
      </c>
      <c r="T207" s="26">
        <f>IF($G207="","",SUMIFS($P$4:$P$2503,$E$4:$E$2503,$E207,$Z$4:$Z$2503,"正常",$A$4:$A$2503,"&lt;="&amp;$A207))</f>
        <v/>
      </c>
      <c r="U207" s="26">
        <f>IF($G207="","",IF(OR($S207&gt;0,$Q207=0,$R207=0,$Z207&lt;&gt;"正常"),0,ROUND($T207/$Q207*$R207,0)-ROUND(($T207-$P207)/$Q207*$R207,0)))</f>
        <v/>
      </c>
      <c r="V207" s="26">
        <f>IF($G207="","",ROUND($P207+$U207,0))</f>
        <v/>
      </c>
      <c r="W207" s="26">
        <f>IF($G207="","",IF(N($K207)=0,0,ROUND($V207/$K207,2)))</f>
        <v/>
      </c>
      <c r="X207" s="17" t="inlineStr">
        <is>
          <t>采购入库</t>
        </is>
      </c>
      <c r="Y207" s="17" t="inlineStr">
        <is>
          <t>待补价</t>
        </is>
      </c>
      <c r="Z207" s="17" t="inlineStr">
        <is>
          <t>正常</t>
        </is>
      </c>
      <c r="AA207" s="17" t="n"/>
      <c r="AB207" s="17" t="inlineStr">
        <is>
          <t>原表第 212 行</t>
        </is>
      </c>
      <c r="AC207" s="24">
        <f>IF($G207="","",IF($H207="※编码不在物料档案里","※物料编码不在档案里",IF(N($K207)&lt;=0,"※入库数量要大于 0",IF(AND($C207&lt;&gt;"",$C207&lt;=结账锁),"※日期早于已结账截止日，不能再录",IF(AND($L207=0,$X207="正常"),"※没填单价，价格状态请选「待补价」",IF(AND($S207&gt;0,$R207&gt;0),"△本批有 "&amp;$S207&amp;" 行没单价，整批运费先挂账没摊",IF(AND($B207&lt;&gt;"",COUNTIF($B$4:$B$2503,$B207)&gt;1),"※入库单号重复","")))))))</f>
        <v/>
      </c>
    </row>
    <row r="208">
      <c r="A208" s="24">
        <f>IF($G208="","",COUNTA($G$4:$G208))</f>
        <v/>
      </c>
      <c r="B208" s="17" t="n"/>
      <c r="C208" s="30" t="n">
        <v>46091</v>
      </c>
      <c r="D208" s="17" t="inlineStr">
        <is>
          <t>A国内</t>
        </is>
      </c>
      <c r="E208" s="17" t="inlineStr">
        <is>
          <t>FCIU8857920-202603</t>
        </is>
      </c>
      <c r="F208" s="17" t="inlineStr">
        <is>
          <t>烟台市金豪矿山机械有限公司</t>
        </is>
      </c>
      <c r="G208" s="17" t="inlineStr">
        <is>
          <t>JH0193</t>
        </is>
      </c>
      <c r="H208" s="24">
        <f>IF($G208="","",IFERROR(VLOOKUP($G208,物料档案!$A$4:$P$1203,3,0),"※编码不在物料档案里"))</f>
        <v/>
      </c>
      <c r="I208" s="24">
        <f>IF($G208="","",IFERROR(VLOOKUP($G208,物料档案!$A$4:$P$1203,4,0),"※编码不在物料档案里"))</f>
        <v/>
      </c>
      <c r="J208" s="24">
        <f>IF($G208="","",IFERROR(VLOOKUP($G208,物料档案!$A$4:$P$1203,5,0),"※编码不在物料档案里"))</f>
        <v/>
      </c>
      <c r="K208" s="23" t="n">
        <v>1600</v>
      </c>
      <c r="L208" s="31" t="n"/>
      <c r="M208" s="24">
        <f>IF($G208="","",IF($D208="A国内","CNY","TZS"))</f>
        <v/>
      </c>
      <c r="N208" s="28">
        <f>IF($G208="","",IF($D208="A国内",汇率,1))</f>
        <v/>
      </c>
      <c r="O208" s="25">
        <f>IF($G208="","",ROUND(N($K208)*N($L208),2))</f>
        <v/>
      </c>
      <c r="P208" s="26">
        <f>IF($G208="","",ROUND($O208*$N208,0))</f>
        <v/>
      </c>
      <c r="Q208" s="26">
        <f>IF($G208="","",SUMIFS($P$4:$P$2503,$E$4:$E$2503,$E208,$Z$4:$Z$2503,"正常"))</f>
        <v/>
      </c>
      <c r="R208" s="26">
        <f>IF($G208="","",SUMIFS(费用台账!$I$4:$I$503,费用台账!$C$4:$C$503,$E208,费用台账!$J$4:$J$503,"是",费用台账!$K$4:$K$503,"正常"))</f>
        <v/>
      </c>
      <c r="S208" s="28">
        <f>IF($G208="","",COUNTIFS($E$4:$E$2503,$E208,$Z$4:$Z$2503,"正常",$Y$4:$Y$2503,"待补价"))</f>
        <v/>
      </c>
      <c r="T208" s="26">
        <f>IF($G208="","",SUMIFS($P$4:$P$2503,$E$4:$E$2503,$E208,$Z$4:$Z$2503,"正常",$A$4:$A$2503,"&lt;="&amp;$A208))</f>
        <v/>
      </c>
      <c r="U208" s="26">
        <f>IF($G208="","",IF(OR($S208&gt;0,$Q208=0,$R208=0,$Z208&lt;&gt;"正常"),0,ROUND($T208/$Q208*$R208,0)-ROUND(($T208-$P208)/$Q208*$R208,0)))</f>
        <v/>
      </c>
      <c r="V208" s="26">
        <f>IF($G208="","",ROUND($P208+$U208,0))</f>
        <v/>
      </c>
      <c r="W208" s="26">
        <f>IF($G208="","",IF(N($K208)=0,0,ROUND($V208/$K208,2)))</f>
        <v/>
      </c>
      <c r="X208" s="17" t="inlineStr">
        <is>
          <t>采购入库</t>
        </is>
      </c>
      <c r="Y208" s="17" t="inlineStr">
        <is>
          <t>待补价</t>
        </is>
      </c>
      <c r="Z208" s="17" t="inlineStr">
        <is>
          <t>正常</t>
        </is>
      </c>
      <c r="AA208" s="17" t="n"/>
      <c r="AB208" s="17" t="inlineStr">
        <is>
          <t>原表第 213 行</t>
        </is>
      </c>
      <c r="AC208" s="24">
        <f>IF($G208="","",IF($H208="※编码不在物料档案里","※物料编码不在档案里",IF(N($K208)&lt;=0,"※入库数量要大于 0",IF(AND($C208&lt;&gt;"",$C208&lt;=结账锁),"※日期早于已结账截止日，不能再录",IF(AND($L208=0,$X208="正常"),"※没填单价，价格状态请选「待补价」",IF(AND($S208&gt;0,$R208&gt;0),"△本批有 "&amp;$S208&amp;" 行没单价，整批运费先挂账没摊",IF(AND($B208&lt;&gt;"",COUNTIF($B$4:$B$2503,$B208)&gt;1),"※入库单号重复","")))))))</f>
        <v/>
      </c>
    </row>
    <row r="209">
      <c r="A209" s="24">
        <f>IF($G209="","",COUNTA($G$4:$G209))</f>
        <v/>
      </c>
      <c r="B209" s="17" t="n"/>
      <c r="C209" s="30" t="n">
        <v>46091</v>
      </c>
      <c r="D209" s="17" t="inlineStr">
        <is>
          <t>A国内</t>
        </is>
      </c>
      <c r="E209" s="17" t="inlineStr">
        <is>
          <t>FCIU8857920-202603</t>
        </is>
      </c>
      <c r="F209" s="17" t="inlineStr">
        <is>
          <t>烟台市金豪矿山机械有限公司</t>
        </is>
      </c>
      <c r="G209" s="17" t="inlineStr">
        <is>
          <t>JH0194</t>
        </is>
      </c>
      <c r="H209" s="24">
        <f>IF($G209="","",IFERROR(VLOOKUP($G209,物料档案!$A$4:$P$1203,3,0),"※编码不在物料档案里"))</f>
        <v/>
      </c>
      <c r="I209" s="24">
        <f>IF($G209="","",IFERROR(VLOOKUP($G209,物料档案!$A$4:$P$1203,4,0),"※编码不在物料档案里"))</f>
        <v/>
      </c>
      <c r="J209" s="24">
        <f>IF($G209="","",IFERROR(VLOOKUP($G209,物料档案!$A$4:$P$1203,5,0),"※编码不在物料档案里"))</f>
        <v/>
      </c>
      <c r="K209" s="23" t="n">
        <v>300</v>
      </c>
      <c r="L209" s="31" t="n"/>
      <c r="M209" s="24">
        <f>IF($G209="","",IF($D209="A国内","CNY","TZS"))</f>
        <v/>
      </c>
      <c r="N209" s="28">
        <f>IF($G209="","",IF($D209="A国内",汇率,1))</f>
        <v/>
      </c>
      <c r="O209" s="25">
        <f>IF($G209="","",ROUND(N($K209)*N($L209),2))</f>
        <v/>
      </c>
      <c r="P209" s="26">
        <f>IF($G209="","",ROUND($O209*$N209,0))</f>
        <v/>
      </c>
      <c r="Q209" s="26">
        <f>IF($G209="","",SUMIFS($P$4:$P$2503,$E$4:$E$2503,$E209,$Z$4:$Z$2503,"正常"))</f>
        <v/>
      </c>
      <c r="R209" s="26">
        <f>IF($G209="","",SUMIFS(费用台账!$I$4:$I$503,费用台账!$C$4:$C$503,$E209,费用台账!$J$4:$J$503,"是",费用台账!$K$4:$K$503,"正常"))</f>
        <v/>
      </c>
      <c r="S209" s="28">
        <f>IF($G209="","",COUNTIFS($E$4:$E$2503,$E209,$Z$4:$Z$2503,"正常",$Y$4:$Y$2503,"待补价"))</f>
        <v/>
      </c>
      <c r="T209" s="26">
        <f>IF($G209="","",SUMIFS($P$4:$P$2503,$E$4:$E$2503,$E209,$Z$4:$Z$2503,"正常",$A$4:$A$2503,"&lt;="&amp;$A209))</f>
        <v/>
      </c>
      <c r="U209" s="26">
        <f>IF($G209="","",IF(OR($S209&gt;0,$Q209=0,$R209=0,$Z209&lt;&gt;"正常"),0,ROUND($T209/$Q209*$R209,0)-ROUND(($T209-$P209)/$Q209*$R209,0)))</f>
        <v/>
      </c>
      <c r="V209" s="26">
        <f>IF($G209="","",ROUND($P209+$U209,0))</f>
        <v/>
      </c>
      <c r="W209" s="26">
        <f>IF($G209="","",IF(N($K209)=0,0,ROUND($V209/$K209,2)))</f>
        <v/>
      </c>
      <c r="X209" s="17" t="inlineStr">
        <is>
          <t>采购入库</t>
        </is>
      </c>
      <c r="Y209" s="17" t="inlineStr">
        <is>
          <t>待补价</t>
        </is>
      </c>
      <c r="Z209" s="17" t="inlineStr">
        <is>
          <t>正常</t>
        </is>
      </c>
      <c r="AA209" s="17" t="n"/>
      <c r="AB209" s="17" t="inlineStr">
        <is>
          <t>原表第 214 行</t>
        </is>
      </c>
      <c r="AC209" s="24">
        <f>IF($G209="","",IF($H209="※编码不在物料档案里","※物料编码不在档案里",IF(N($K209)&lt;=0,"※入库数量要大于 0",IF(AND($C209&lt;&gt;"",$C209&lt;=结账锁),"※日期早于已结账截止日，不能再录",IF(AND($L209=0,$X209="正常"),"※没填单价，价格状态请选「待补价」",IF(AND($S209&gt;0,$R209&gt;0),"△本批有 "&amp;$S209&amp;" 行没单价，整批运费先挂账没摊",IF(AND($B209&lt;&gt;"",COUNTIF($B$4:$B$2503,$B209)&gt;1),"※入库单号重复","")))))))</f>
        <v/>
      </c>
    </row>
    <row r="210">
      <c r="A210" s="24">
        <f>IF($G210="","",COUNTA($G$4:$G210))</f>
        <v/>
      </c>
      <c r="B210" s="17" t="n"/>
      <c r="C210" s="30" t="n">
        <v>46091</v>
      </c>
      <c r="D210" s="17" t="inlineStr">
        <is>
          <t>A国内</t>
        </is>
      </c>
      <c r="E210" s="17" t="inlineStr">
        <is>
          <t>FCIU8857920-202603</t>
        </is>
      </c>
      <c r="F210" s="17" t="inlineStr">
        <is>
          <t>烟台市金豪矿山机械有限公司</t>
        </is>
      </c>
      <c r="G210" s="17" t="inlineStr">
        <is>
          <t>JH0195</t>
        </is>
      </c>
      <c r="H210" s="24">
        <f>IF($G210="","",IFERROR(VLOOKUP($G210,物料档案!$A$4:$P$1203,3,0),"※编码不在物料档案里"))</f>
        <v/>
      </c>
      <c r="I210" s="24">
        <f>IF($G210="","",IFERROR(VLOOKUP($G210,物料档案!$A$4:$P$1203,4,0),"※编码不在物料档案里"))</f>
        <v/>
      </c>
      <c r="J210" s="24">
        <f>IF($G210="","",IFERROR(VLOOKUP($G210,物料档案!$A$4:$P$1203,5,0),"※编码不在物料档案里"))</f>
        <v/>
      </c>
      <c r="K210" s="23" t="n">
        <v>3</v>
      </c>
      <c r="L210" s="31" t="n"/>
      <c r="M210" s="24">
        <f>IF($G210="","",IF($D210="A国内","CNY","TZS"))</f>
        <v/>
      </c>
      <c r="N210" s="28">
        <f>IF($G210="","",IF($D210="A国内",汇率,1))</f>
        <v/>
      </c>
      <c r="O210" s="25">
        <f>IF($G210="","",ROUND(N($K210)*N($L210),2))</f>
        <v/>
      </c>
      <c r="P210" s="26">
        <f>IF($G210="","",ROUND($O210*$N210,0))</f>
        <v/>
      </c>
      <c r="Q210" s="26">
        <f>IF($G210="","",SUMIFS($P$4:$P$2503,$E$4:$E$2503,$E210,$Z$4:$Z$2503,"正常"))</f>
        <v/>
      </c>
      <c r="R210" s="26">
        <f>IF($G210="","",SUMIFS(费用台账!$I$4:$I$503,费用台账!$C$4:$C$503,$E210,费用台账!$J$4:$J$503,"是",费用台账!$K$4:$K$503,"正常"))</f>
        <v/>
      </c>
      <c r="S210" s="28">
        <f>IF($G210="","",COUNTIFS($E$4:$E$2503,$E210,$Z$4:$Z$2503,"正常",$Y$4:$Y$2503,"待补价"))</f>
        <v/>
      </c>
      <c r="T210" s="26">
        <f>IF($G210="","",SUMIFS($P$4:$P$2503,$E$4:$E$2503,$E210,$Z$4:$Z$2503,"正常",$A$4:$A$2503,"&lt;="&amp;$A210))</f>
        <v/>
      </c>
      <c r="U210" s="26">
        <f>IF($G210="","",IF(OR($S210&gt;0,$Q210=0,$R210=0,$Z210&lt;&gt;"正常"),0,ROUND($T210/$Q210*$R210,0)-ROUND(($T210-$P210)/$Q210*$R210,0)))</f>
        <v/>
      </c>
      <c r="V210" s="26">
        <f>IF($G210="","",ROUND($P210+$U210,0))</f>
        <v/>
      </c>
      <c r="W210" s="26">
        <f>IF($G210="","",IF(N($K210)=0,0,ROUND($V210/$K210,2)))</f>
        <v/>
      </c>
      <c r="X210" s="17" t="inlineStr">
        <is>
          <t>采购入库</t>
        </is>
      </c>
      <c r="Y210" s="17" t="inlineStr">
        <is>
          <t>待补价</t>
        </is>
      </c>
      <c r="Z210" s="17" t="inlineStr">
        <is>
          <t>正常</t>
        </is>
      </c>
      <c r="AA210" s="17" t="n"/>
      <c r="AB210" s="17" t="inlineStr">
        <is>
          <t>原表第 215 行</t>
        </is>
      </c>
      <c r="AC210" s="24">
        <f>IF($G210="","",IF($H210="※编码不在物料档案里","※物料编码不在档案里",IF(N($K210)&lt;=0,"※入库数量要大于 0",IF(AND($C210&lt;&gt;"",$C210&lt;=结账锁),"※日期早于已结账截止日，不能再录",IF(AND($L210=0,$X210="正常"),"※没填单价，价格状态请选「待补价」",IF(AND($S210&gt;0,$R210&gt;0),"△本批有 "&amp;$S210&amp;" 行没单价，整批运费先挂账没摊",IF(AND($B210&lt;&gt;"",COUNTIF($B$4:$B$2503,$B210)&gt;1),"※入库单号重复","")))))))</f>
        <v/>
      </c>
    </row>
    <row r="211">
      <c r="A211" s="24">
        <f>IF($G211="","",COUNTA($G$4:$G211))</f>
        <v/>
      </c>
      <c r="B211" s="17" t="n"/>
      <c r="C211" s="30" t="n">
        <v>46091</v>
      </c>
      <c r="D211" s="17" t="inlineStr">
        <is>
          <t>A国内</t>
        </is>
      </c>
      <c r="E211" s="17" t="inlineStr">
        <is>
          <t>FCIU8857920-202603</t>
        </is>
      </c>
      <c r="F211" s="17" t="inlineStr">
        <is>
          <t>矿上材料和金豪选场设备拼柜</t>
        </is>
      </c>
      <c r="G211" s="17" t="inlineStr">
        <is>
          <t>JH0196</t>
        </is>
      </c>
      <c r="H211" s="24">
        <f>IF($G211="","",IFERROR(VLOOKUP($G211,物料档案!$A$4:$P$1203,3,0),"※编码不在物料档案里"))</f>
        <v/>
      </c>
      <c r="I211" s="24">
        <f>IF($G211="","",IFERROR(VLOOKUP($G211,物料档案!$A$4:$P$1203,4,0),"※编码不在物料档案里"))</f>
        <v/>
      </c>
      <c r="J211" s="24">
        <f>IF($G211="","",IFERROR(VLOOKUP($G211,物料档案!$A$4:$P$1203,5,0),"※编码不在物料档案里"))</f>
        <v/>
      </c>
      <c r="K211" s="23" t="n">
        <v>120</v>
      </c>
      <c r="L211" s="31" t="n"/>
      <c r="M211" s="24">
        <f>IF($G211="","",IF($D211="A国内","CNY","TZS"))</f>
        <v/>
      </c>
      <c r="N211" s="28">
        <f>IF($G211="","",IF($D211="A国内",汇率,1))</f>
        <v/>
      </c>
      <c r="O211" s="25">
        <f>IF($G211="","",ROUND(N($K211)*N($L211),2))</f>
        <v/>
      </c>
      <c r="P211" s="26">
        <f>IF($G211="","",ROUND($O211*$N211,0))</f>
        <v/>
      </c>
      <c r="Q211" s="26">
        <f>IF($G211="","",SUMIFS($P$4:$P$2503,$E$4:$E$2503,$E211,$Z$4:$Z$2503,"正常"))</f>
        <v/>
      </c>
      <c r="R211" s="26">
        <f>IF($G211="","",SUMIFS(费用台账!$I$4:$I$503,费用台账!$C$4:$C$503,$E211,费用台账!$J$4:$J$503,"是",费用台账!$K$4:$K$503,"正常"))</f>
        <v/>
      </c>
      <c r="S211" s="28">
        <f>IF($G211="","",COUNTIFS($E$4:$E$2503,$E211,$Z$4:$Z$2503,"正常",$Y$4:$Y$2503,"待补价"))</f>
        <v/>
      </c>
      <c r="T211" s="26">
        <f>IF($G211="","",SUMIFS($P$4:$P$2503,$E$4:$E$2503,$E211,$Z$4:$Z$2503,"正常",$A$4:$A$2503,"&lt;="&amp;$A211))</f>
        <v/>
      </c>
      <c r="U211" s="26">
        <f>IF($G211="","",IF(OR($S211&gt;0,$Q211=0,$R211=0,$Z211&lt;&gt;"正常"),0,ROUND($T211/$Q211*$R211,0)-ROUND(($T211-$P211)/$Q211*$R211,0)))</f>
        <v/>
      </c>
      <c r="V211" s="26">
        <f>IF($G211="","",ROUND($P211+$U211,0))</f>
        <v/>
      </c>
      <c r="W211" s="26">
        <f>IF($G211="","",IF(N($K211)=0,0,ROUND($V211/$K211,2)))</f>
        <v/>
      </c>
      <c r="X211" s="17" t="inlineStr">
        <is>
          <t>采购入库</t>
        </is>
      </c>
      <c r="Y211" s="17" t="inlineStr">
        <is>
          <t>待补价</t>
        </is>
      </c>
      <c r="Z211" s="17" t="inlineStr">
        <is>
          <t>正常</t>
        </is>
      </c>
      <c r="AA211" s="17" t="n"/>
      <c r="AB211" s="17" t="inlineStr">
        <is>
          <t>原表第 216 行</t>
        </is>
      </c>
      <c r="AC211" s="24">
        <f>IF($G211="","",IF($H211="※编码不在物料档案里","※物料编码不在档案里",IF(N($K211)&lt;=0,"※入库数量要大于 0",IF(AND($C211&lt;&gt;"",$C211&lt;=结账锁),"※日期早于已结账截止日，不能再录",IF(AND($L211=0,$X211="正常"),"※没填单价，价格状态请选「待补价」",IF(AND($S211&gt;0,$R211&gt;0),"△本批有 "&amp;$S211&amp;" 行没单价，整批运费先挂账没摊",IF(AND($B211&lt;&gt;"",COUNTIF($B$4:$B$2503,$B211)&gt;1),"※入库单号重复","")))))))</f>
        <v/>
      </c>
    </row>
    <row r="212">
      <c r="A212" s="24">
        <f>IF($G212="","",COUNTA($G$4:$G212))</f>
        <v/>
      </c>
      <c r="B212" s="17" t="n"/>
      <c r="C212" s="30" t="n">
        <v>46091</v>
      </c>
      <c r="D212" s="17" t="inlineStr">
        <is>
          <t>A国内</t>
        </is>
      </c>
      <c r="E212" s="17" t="inlineStr">
        <is>
          <t>FCIU8857920-202603</t>
        </is>
      </c>
      <c r="F212" s="17" t="inlineStr">
        <is>
          <t>烟台市金豪矿山机械有限公司</t>
        </is>
      </c>
      <c r="G212" s="17" t="inlineStr">
        <is>
          <t>JH0197</t>
        </is>
      </c>
      <c r="H212" s="24">
        <f>IF($G212="","",IFERROR(VLOOKUP($G212,物料档案!$A$4:$P$1203,3,0),"※编码不在物料档案里"))</f>
        <v/>
      </c>
      <c r="I212" s="24">
        <f>IF($G212="","",IFERROR(VLOOKUP($G212,物料档案!$A$4:$P$1203,4,0),"※编码不在物料档案里"))</f>
        <v/>
      </c>
      <c r="J212" s="24">
        <f>IF($G212="","",IFERROR(VLOOKUP($G212,物料档案!$A$4:$P$1203,5,0),"※编码不在物料档案里"))</f>
        <v/>
      </c>
      <c r="K212" s="23" t="n">
        <v>10</v>
      </c>
      <c r="L212" s="31" t="n"/>
      <c r="M212" s="24">
        <f>IF($G212="","",IF($D212="A国内","CNY","TZS"))</f>
        <v/>
      </c>
      <c r="N212" s="28">
        <f>IF($G212="","",IF($D212="A国内",汇率,1))</f>
        <v/>
      </c>
      <c r="O212" s="25">
        <f>IF($G212="","",ROUND(N($K212)*N($L212),2))</f>
        <v/>
      </c>
      <c r="P212" s="26">
        <f>IF($G212="","",ROUND($O212*$N212,0))</f>
        <v/>
      </c>
      <c r="Q212" s="26">
        <f>IF($G212="","",SUMIFS($P$4:$P$2503,$E$4:$E$2503,$E212,$Z$4:$Z$2503,"正常"))</f>
        <v/>
      </c>
      <c r="R212" s="26">
        <f>IF($G212="","",SUMIFS(费用台账!$I$4:$I$503,费用台账!$C$4:$C$503,$E212,费用台账!$J$4:$J$503,"是",费用台账!$K$4:$K$503,"正常"))</f>
        <v/>
      </c>
      <c r="S212" s="28">
        <f>IF($G212="","",COUNTIFS($E$4:$E$2503,$E212,$Z$4:$Z$2503,"正常",$Y$4:$Y$2503,"待补价"))</f>
        <v/>
      </c>
      <c r="T212" s="26">
        <f>IF($G212="","",SUMIFS($P$4:$P$2503,$E$4:$E$2503,$E212,$Z$4:$Z$2503,"正常",$A$4:$A$2503,"&lt;="&amp;$A212))</f>
        <v/>
      </c>
      <c r="U212" s="26">
        <f>IF($G212="","",IF(OR($S212&gt;0,$Q212=0,$R212=0,$Z212&lt;&gt;"正常"),0,ROUND($T212/$Q212*$R212,0)-ROUND(($T212-$P212)/$Q212*$R212,0)))</f>
        <v/>
      </c>
      <c r="V212" s="26">
        <f>IF($G212="","",ROUND($P212+$U212,0))</f>
        <v/>
      </c>
      <c r="W212" s="26">
        <f>IF($G212="","",IF(N($K212)=0,0,ROUND($V212/$K212,2)))</f>
        <v/>
      </c>
      <c r="X212" s="17" t="inlineStr">
        <is>
          <t>采购入库</t>
        </is>
      </c>
      <c r="Y212" s="17" t="inlineStr">
        <is>
          <t>待补价</t>
        </is>
      </c>
      <c r="Z212" s="17" t="inlineStr">
        <is>
          <t>正常</t>
        </is>
      </c>
      <c r="AA212" s="17" t="n"/>
      <c r="AB212" s="17" t="inlineStr">
        <is>
          <t>原表第 217 行</t>
        </is>
      </c>
      <c r="AC212" s="24">
        <f>IF($G212="","",IF($H212="※编码不在物料档案里","※物料编码不在档案里",IF(N($K212)&lt;=0,"※入库数量要大于 0",IF(AND($C212&lt;&gt;"",$C212&lt;=结账锁),"※日期早于已结账截止日，不能再录",IF(AND($L212=0,$X212="正常"),"※没填单价，价格状态请选「待补价」",IF(AND($S212&gt;0,$R212&gt;0),"△本批有 "&amp;$S212&amp;" 行没单价，整批运费先挂账没摊",IF(AND($B212&lt;&gt;"",COUNTIF($B$4:$B$2503,$B212)&gt;1),"※入库单号重复","")))))))</f>
        <v/>
      </c>
    </row>
    <row r="213">
      <c r="A213" s="24">
        <f>IF($G213="","",COUNTA($G$4:$G213))</f>
        <v/>
      </c>
      <c r="B213" s="17" t="n"/>
      <c r="C213" s="30" t="n">
        <v>46091</v>
      </c>
      <c r="D213" s="17" t="inlineStr">
        <is>
          <t>A国内</t>
        </is>
      </c>
      <c r="E213" s="17" t="inlineStr">
        <is>
          <t>FCIU8857920-202603</t>
        </is>
      </c>
      <c r="F213" s="17" t="inlineStr">
        <is>
          <t>矿上材料和金豪选场设备拼柜</t>
        </is>
      </c>
      <c r="G213" s="17" t="inlineStr">
        <is>
          <t>JH0198</t>
        </is>
      </c>
      <c r="H213" s="24">
        <f>IF($G213="","",IFERROR(VLOOKUP($G213,物料档案!$A$4:$P$1203,3,0),"※编码不在物料档案里"))</f>
        <v/>
      </c>
      <c r="I213" s="24">
        <f>IF($G213="","",IFERROR(VLOOKUP($G213,物料档案!$A$4:$P$1203,4,0),"※编码不在物料档案里"))</f>
        <v/>
      </c>
      <c r="J213" s="24">
        <f>IF($G213="","",IFERROR(VLOOKUP($G213,物料档案!$A$4:$P$1203,5,0),"※编码不在物料档案里"))</f>
        <v/>
      </c>
      <c r="K213" s="23" t="n">
        <v>8</v>
      </c>
      <c r="L213" s="31" t="n"/>
      <c r="M213" s="24">
        <f>IF($G213="","",IF($D213="A国内","CNY","TZS"))</f>
        <v/>
      </c>
      <c r="N213" s="28">
        <f>IF($G213="","",IF($D213="A国内",汇率,1))</f>
        <v/>
      </c>
      <c r="O213" s="25">
        <f>IF($G213="","",ROUND(N($K213)*N($L213),2))</f>
        <v/>
      </c>
      <c r="P213" s="26">
        <f>IF($G213="","",ROUND($O213*$N213,0))</f>
        <v/>
      </c>
      <c r="Q213" s="26">
        <f>IF($G213="","",SUMIFS($P$4:$P$2503,$E$4:$E$2503,$E213,$Z$4:$Z$2503,"正常"))</f>
        <v/>
      </c>
      <c r="R213" s="26">
        <f>IF($G213="","",SUMIFS(费用台账!$I$4:$I$503,费用台账!$C$4:$C$503,$E213,费用台账!$J$4:$J$503,"是",费用台账!$K$4:$K$503,"正常"))</f>
        <v/>
      </c>
      <c r="S213" s="28">
        <f>IF($G213="","",COUNTIFS($E$4:$E$2503,$E213,$Z$4:$Z$2503,"正常",$Y$4:$Y$2503,"待补价"))</f>
        <v/>
      </c>
      <c r="T213" s="26">
        <f>IF($G213="","",SUMIFS($P$4:$P$2503,$E$4:$E$2503,$E213,$Z$4:$Z$2503,"正常",$A$4:$A$2503,"&lt;="&amp;$A213))</f>
        <v/>
      </c>
      <c r="U213" s="26">
        <f>IF($G213="","",IF(OR($S213&gt;0,$Q213=0,$R213=0,$Z213&lt;&gt;"正常"),0,ROUND($T213/$Q213*$R213,0)-ROUND(($T213-$P213)/$Q213*$R213,0)))</f>
        <v/>
      </c>
      <c r="V213" s="26">
        <f>IF($G213="","",ROUND($P213+$U213,0))</f>
        <v/>
      </c>
      <c r="W213" s="26">
        <f>IF($G213="","",IF(N($K213)=0,0,ROUND($V213/$K213,2)))</f>
        <v/>
      </c>
      <c r="X213" s="17" t="inlineStr">
        <is>
          <t>采购入库</t>
        </is>
      </c>
      <c r="Y213" s="17" t="inlineStr">
        <is>
          <t>待补价</t>
        </is>
      </c>
      <c r="Z213" s="17" t="inlineStr">
        <is>
          <t>正常</t>
        </is>
      </c>
      <c r="AA213" s="17" t="n"/>
      <c r="AB213" s="17" t="inlineStr">
        <is>
          <t>原表第 218 行</t>
        </is>
      </c>
      <c r="AC213" s="24">
        <f>IF($G213="","",IF($H213="※编码不在物料档案里","※物料编码不在档案里",IF(N($K213)&lt;=0,"※入库数量要大于 0",IF(AND($C213&lt;&gt;"",$C213&lt;=结账锁),"※日期早于已结账截止日，不能再录",IF(AND($L213=0,$X213="正常"),"※没填单价，价格状态请选「待补价」",IF(AND($S213&gt;0,$R213&gt;0),"△本批有 "&amp;$S213&amp;" 行没单价，整批运费先挂账没摊",IF(AND($B213&lt;&gt;"",COUNTIF($B$4:$B$2503,$B213)&gt;1),"※入库单号重复","")))))))</f>
        <v/>
      </c>
    </row>
    <row r="214">
      <c r="A214" s="24">
        <f>IF($G214="","",COUNTA($G$4:$G214))</f>
        <v/>
      </c>
      <c r="B214" s="17" t="n"/>
      <c r="C214" s="30" t="n">
        <v>46091</v>
      </c>
      <c r="D214" s="17" t="inlineStr">
        <is>
          <t>A国内</t>
        </is>
      </c>
      <c r="E214" s="17" t="inlineStr">
        <is>
          <t>FCIU8857920-202603</t>
        </is>
      </c>
      <c r="F214" s="17" t="inlineStr">
        <is>
          <t>矿上材料和金豪选场设备拼柜</t>
        </is>
      </c>
      <c r="G214" s="17" t="inlineStr">
        <is>
          <t>JH0199</t>
        </is>
      </c>
      <c r="H214" s="24">
        <f>IF($G214="","",IFERROR(VLOOKUP($G214,物料档案!$A$4:$P$1203,3,0),"※编码不在物料档案里"))</f>
        <v/>
      </c>
      <c r="I214" s="24">
        <f>IF($G214="","",IFERROR(VLOOKUP($G214,物料档案!$A$4:$P$1203,4,0),"※编码不在物料档案里"))</f>
        <v/>
      </c>
      <c r="J214" s="24">
        <f>IF($G214="","",IFERROR(VLOOKUP($G214,物料档案!$A$4:$P$1203,5,0),"※编码不在物料档案里"))</f>
        <v/>
      </c>
      <c r="K214" s="23" t="n">
        <v>1</v>
      </c>
      <c r="L214" s="31" t="n"/>
      <c r="M214" s="24">
        <f>IF($G214="","",IF($D214="A国内","CNY","TZS"))</f>
        <v/>
      </c>
      <c r="N214" s="28">
        <f>IF($G214="","",IF($D214="A国内",汇率,1))</f>
        <v/>
      </c>
      <c r="O214" s="25">
        <f>IF($G214="","",ROUND(N($K214)*N($L214),2))</f>
        <v/>
      </c>
      <c r="P214" s="26">
        <f>IF($G214="","",ROUND($O214*$N214,0))</f>
        <v/>
      </c>
      <c r="Q214" s="26">
        <f>IF($G214="","",SUMIFS($P$4:$P$2503,$E$4:$E$2503,$E214,$Z$4:$Z$2503,"正常"))</f>
        <v/>
      </c>
      <c r="R214" s="26">
        <f>IF($G214="","",SUMIFS(费用台账!$I$4:$I$503,费用台账!$C$4:$C$503,$E214,费用台账!$J$4:$J$503,"是",费用台账!$K$4:$K$503,"正常"))</f>
        <v/>
      </c>
      <c r="S214" s="28">
        <f>IF($G214="","",COUNTIFS($E$4:$E$2503,$E214,$Z$4:$Z$2503,"正常",$Y$4:$Y$2503,"待补价"))</f>
        <v/>
      </c>
      <c r="T214" s="26">
        <f>IF($G214="","",SUMIFS($P$4:$P$2503,$E$4:$E$2503,$E214,$Z$4:$Z$2503,"正常",$A$4:$A$2503,"&lt;="&amp;$A214))</f>
        <v/>
      </c>
      <c r="U214" s="26">
        <f>IF($G214="","",IF(OR($S214&gt;0,$Q214=0,$R214=0,$Z214&lt;&gt;"正常"),0,ROUND($T214/$Q214*$R214,0)-ROUND(($T214-$P214)/$Q214*$R214,0)))</f>
        <v/>
      </c>
      <c r="V214" s="26">
        <f>IF($G214="","",ROUND($P214+$U214,0))</f>
        <v/>
      </c>
      <c r="W214" s="26">
        <f>IF($G214="","",IF(N($K214)=0,0,ROUND($V214/$K214,2)))</f>
        <v/>
      </c>
      <c r="X214" s="17" t="inlineStr">
        <is>
          <t>采购入库</t>
        </is>
      </c>
      <c r="Y214" s="17" t="inlineStr">
        <is>
          <t>待补价</t>
        </is>
      </c>
      <c r="Z214" s="17" t="inlineStr">
        <is>
          <t>正常</t>
        </is>
      </c>
      <c r="AA214" s="17" t="n"/>
      <c r="AB214" s="17" t="inlineStr">
        <is>
          <t>原表第 219 行</t>
        </is>
      </c>
      <c r="AC214" s="24">
        <f>IF($G214="","",IF($H214="※编码不在物料档案里","※物料编码不在档案里",IF(N($K214)&lt;=0,"※入库数量要大于 0",IF(AND($C214&lt;&gt;"",$C214&lt;=结账锁),"※日期早于已结账截止日，不能再录",IF(AND($L214=0,$X214="正常"),"※没填单价，价格状态请选「待补价」",IF(AND($S214&gt;0,$R214&gt;0),"△本批有 "&amp;$S214&amp;" 行没单价，整批运费先挂账没摊",IF(AND($B214&lt;&gt;"",COUNTIF($B$4:$B$2503,$B214)&gt;1),"※入库单号重复","")))))))</f>
        <v/>
      </c>
    </row>
    <row r="215">
      <c r="A215" s="24">
        <f>IF($G215="","",COUNTA($G$4:$G215))</f>
        <v/>
      </c>
      <c r="B215" s="17" t="n"/>
      <c r="C215" s="30" t="n">
        <v>46091</v>
      </c>
      <c r="D215" s="17" t="inlineStr">
        <is>
          <t>A国内</t>
        </is>
      </c>
      <c r="E215" s="17" t="inlineStr">
        <is>
          <t>FCIU8857920-202603</t>
        </is>
      </c>
      <c r="F215" s="17" t="inlineStr">
        <is>
          <t>矿上材料和金豪选场设备拼柜</t>
        </is>
      </c>
      <c r="G215" s="17" t="inlineStr">
        <is>
          <t>JH0200</t>
        </is>
      </c>
      <c r="H215" s="24">
        <f>IF($G215="","",IFERROR(VLOOKUP($G215,物料档案!$A$4:$P$1203,3,0),"※编码不在物料档案里"))</f>
        <v/>
      </c>
      <c r="I215" s="24">
        <f>IF($G215="","",IFERROR(VLOOKUP($G215,物料档案!$A$4:$P$1203,4,0),"※编码不在物料档案里"))</f>
        <v/>
      </c>
      <c r="J215" s="24">
        <f>IF($G215="","",IFERROR(VLOOKUP($G215,物料档案!$A$4:$P$1203,5,0),"※编码不在物料档案里"))</f>
        <v/>
      </c>
      <c r="K215" s="23" t="n">
        <v>100</v>
      </c>
      <c r="L215" s="31" t="n"/>
      <c r="M215" s="24">
        <f>IF($G215="","",IF($D215="A国内","CNY","TZS"))</f>
        <v/>
      </c>
      <c r="N215" s="28">
        <f>IF($G215="","",IF($D215="A国内",汇率,1))</f>
        <v/>
      </c>
      <c r="O215" s="25">
        <f>IF($G215="","",ROUND(N($K215)*N($L215),2))</f>
        <v/>
      </c>
      <c r="P215" s="26">
        <f>IF($G215="","",ROUND($O215*$N215,0))</f>
        <v/>
      </c>
      <c r="Q215" s="26">
        <f>IF($G215="","",SUMIFS($P$4:$P$2503,$E$4:$E$2503,$E215,$Z$4:$Z$2503,"正常"))</f>
        <v/>
      </c>
      <c r="R215" s="26">
        <f>IF($G215="","",SUMIFS(费用台账!$I$4:$I$503,费用台账!$C$4:$C$503,$E215,费用台账!$J$4:$J$503,"是",费用台账!$K$4:$K$503,"正常"))</f>
        <v/>
      </c>
      <c r="S215" s="28">
        <f>IF($G215="","",COUNTIFS($E$4:$E$2503,$E215,$Z$4:$Z$2503,"正常",$Y$4:$Y$2503,"待补价"))</f>
        <v/>
      </c>
      <c r="T215" s="26">
        <f>IF($G215="","",SUMIFS($P$4:$P$2503,$E$4:$E$2503,$E215,$Z$4:$Z$2503,"正常",$A$4:$A$2503,"&lt;="&amp;$A215))</f>
        <v/>
      </c>
      <c r="U215" s="26">
        <f>IF($G215="","",IF(OR($S215&gt;0,$Q215=0,$R215=0,$Z215&lt;&gt;"正常"),0,ROUND($T215/$Q215*$R215,0)-ROUND(($T215-$P215)/$Q215*$R215,0)))</f>
        <v/>
      </c>
      <c r="V215" s="26">
        <f>IF($G215="","",ROUND($P215+$U215,0))</f>
        <v/>
      </c>
      <c r="W215" s="26">
        <f>IF($G215="","",IF(N($K215)=0,0,ROUND($V215/$K215,2)))</f>
        <v/>
      </c>
      <c r="X215" s="17" t="inlineStr">
        <is>
          <t>采购入库</t>
        </is>
      </c>
      <c r="Y215" s="17" t="inlineStr">
        <is>
          <t>待补价</t>
        </is>
      </c>
      <c r="Z215" s="17" t="inlineStr">
        <is>
          <t>正常</t>
        </is>
      </c>
      <c r="AA215" s="17" t="n"/>
      <c r="AB215" s="17" t="inlineStr">
        <is>
          <t>原表第 220 行</t>
        </is>
      </c>
      <c r="AC215" s="24">
        <f>IF($G215="","",IF($H215="※编码不在物料档案里","※物料编码不在档案里",IF(N($K215)&lt;=0,"※入库数量要大于 0",IF(AND($C215&lt;&gt;"",$C215&lt;=结账锁),"※日期早于已结账截止日，不能再录",IF(AND($L215=0,$X215="正常"),"※没填单价，价格状态请选「待补价」",IF(AND($S215&gt;0,$R215&gt;0),"△本批有 "&amp;$S215&amp;" 行没单价，整批运费先挂账没摊",IF(AND($B215&lt;&gt;"",COUNTIF($B$4:$B$2503,$B215)&gt;1),"※入库单号重复","")))))))</f>
        <v/>
      </c>
    </row>
    <row r="216">
      <c r="A216" s="24">
        <f>IF($G216="","",COUNTA($G$4:$G216))</f>
        <v/>
      </c>
      <c r="B216" s="17" t="n"/>
      <c r="C216" s="30" t="n">
        <v>46091</v>
      </c>
      <c r="D216" s="17" t="inlineStr">
        <is>
          <t>A国内</t>
        </is>
      </c>
      <c r="E216" s="17" t="inlineStr">
        <is>
          <t>FCIU8857920-202603</t>
        </is>
      </c>
      <c r="F216" s="17" t="inlineStr">
        <is>
          <t>矿上材料和金豪选场设备拼柜</t>
        </is>
      </c>
      <c r="G216" s="17" t="inlineStr">
        <is>
          <t>JH0201</t>
        </is>
      </c>
      <c r="H216" s="24">
        <f>IF($G216="","",IFERROR(VLOOKUP($G216,物料档案!$A$4:$P$1203,3,0),"※编码不在物料档案里"))</f>
        <v/>
      </c>
      <c r="I216" s="24">
        <f>IF($G216="","",IFERROR(VLOOKUP($G216,物料档案!$A$4:$P$1203,4,0),"※编码不在物料档案里"))</f>
        <v/>
      </c>
      <c r="J216" s="24">
        <f>IF($G216="","",IFERROR(VLOOKUP($G216,物料档案!$A$4:$P$1203,5,0),"※编码不在物料档案里"))</f>
        <v/>
      </c>
      <c r="K216" s="23" t="n">
        <v>500</v>
      </c>
      <c r="L216" s="31" t="n"/>
      <c r="M216" s="24">
        <f>IF($G216="","",IF($D216="A国内","CNY","TZS"))</f>
        <v/>
      </c>
      <c r="N216" s="28">
        <f>IF($G216="","",IF($D216="A国内",汇率,1))</f>
        <v/>
      </c>
      <c r="O216" s="25">
        <f>IF($G216="","",ROUND(N($K216)*N($L216),2))</f>
        <v/>
      </c>
      <c r="P216" s="26">
        <f>IF($G216="","",ROUND($O216*$N216,0))</f>
        <v/>
      </c>
      <c r="Q216" s="26">
        <f>IF($G216="","",SUMIFS($P$4:$P$2503,$E$4:$E$2503,$E216,$Z$4:$Z$2503,"正常"))</f>
        <v/>
      </c>
      <c r="R216" s="26">
        <f>IF($G216="","",SUMIFS(费用台账!$I$4:$I$503,费用台账!$C$4:$C$503,$E216,费用台账!$J$4:$J$503,"是",费用台账!$K$4:$K$503,"正常"))</f>
        <v/>
      </c>
      <c r="S216" s="28">
        <f>IF($G216="","",COUNTIFS($E$4:$E$2503,$E216,$Z$4:$Z$2503,"正常",$Y$4:$Y$2503,"待补价"))</f>
        <v/>
      </c>
      <c r="T216" s="26">
        <f>IF($G216="","",SUMIFS($P$4:$P$2503,$E$4:$E$2503,$E216,$Z$4:$Z$2503,"正常",$A$4:$A$2503,"&lt;="&amp;$A216))</f>
        <v/>
      </c>
      <c r="U216" s="26">
        <f>IF($G216="","",IF(OR($S216&gt;0,$Q216=0,$R216=0,$Z216&lt;&gt;"正常"),0,ROUND($T216/$Q216*$R216,0)-ROUND(($T216-$P216)/$Q216*$R216,0)))</f>
        <v/>
      </c>
      <c r="V216" s="26">
        <f>IF($G216="","",ROUND($P216+$U216,0))</f>
        <v/>
      </c>
      <c r="W216" s="26">
        <f>IF($G216="","",IF(N($K216)=0,0,ROUND($V216/$K216,2)))</f>
        <v/>
      </c>
      <c r="X216" s="17" t="inlineStr">
        <is>
          <t>采购入库</t>
        </is>
      </c>
      <c r="Y216" s="17" t="inlineStr">
        <is>
          <t>待补价</t>
        </is>
      </c>
      <c r="Z216" s="17" t="inlineStr">
        <is>
          <t>正常</t>
        </is>
      </c>
      <c r="AA216" s="17" t="n"/>
      <c r="AB216" s="17" t="inlineStr">
        <is>
          <t>原表第 221 行</t>
        </is>
      </c>
      <c r="AC216" s="24">
        <f>IF($G216="","",IF($H216="※编码不在物料档案里","※物料编码不在档案里",IF(N($K216)&lt;=0,"※入库数量要大于 0",IF(AND($C216&lt;&gt;"",$C216&lt;=结账锁),"※日期早于已结账截止日，不能再录",IF(AND($L216=0,$X216="正常"),"※没填单价，价格状态请选「待补价」",IF(AND($S216&gt;0,$R216&gt;0),"△本批有 "&amp;$S216&amp;" 行没单价，整批运费先挂账没摊",IF(AND($B216&lt;&gt;"",COUNTIF($B$4:$B$2503,$B216)&gt;1),"※入库单号重复","")))))))</f>
        <v/>
      </c>
    </row>
    <row r="217">
      <c r="A217" s="24">
        <f>IF($G217="","",COUNTA($G$4:$G217))</f>
        <v/>
      </c>
      <c r="B217" s="17" t="n"/>
      <c r="C217" s="30" t="n">
        <v>46091</v>
      </c>
      <c r="D217" s="17" t="inlineStr">
        <is>
          <t>A国内</t>
        </is>
      </c>
      <c r="E217" s="17" t="inlineStr">
        <is>
          <t>FCIU8857920-202603</t>
        </is>
      </c>
      <c r="F217" s="17" t="inlineStr">
        <is>
          <t>矿上材料和金豪选场设备拼柜</t>
        </is>
      </c>
      <c r="G217" s="17" t="inlineStr">
        <is>
          <t>JH0202</t>
        </is>
      </c>
      <c r="H217" s="24">
        <f>IF($G217="","",IFERROR(VLOOKUP($G217,物料档案!$A$4:$P$1203,3,0),"※编码不在物料档案里"))</f>
        <v/>
      </c>
      <c r="I217" s="24">
        <f>IF($G217="","",IFERROR(VLOOKUP($G217,物料档案!$A$4:$P$1203,4,0),"※编码不在物料档案里"))</f>
        <v/>
      </c>
      <c r="J217" s="24">
        <f>IF($G217="","",IFERROR(VLOOKUP($G217,物料档案!$A$4:$P$1203,5,0),"※编码不在物料档案里"))</f>
        <v/>
      </c>
      <c r="K217" s="23" t="n">
        <v>10</v>
      </c>
      <c r="L217" s="31" t="n"/>
      <c r="M217" s="24">
        <f>IF($G217="","",IF($D217="A国内","CNY","TZS"))</f>
        <v/>
      </c>
      <c r="N217" s="28">
        <f>IF($G217="","",IF($D217="A国内",汇率,1))</f>
        <v/>
      </c>
      <c r="O217" s="25">
        <f>IF($G217="","",ROUND(N($K217)*N($L217),2))</f>
        <v/>
      </c>
      <c r="P217" s="26">
        <f>IF($G217="","",ROUND($O217*$N217,0))</f>
        <v/>
      </c>
      <c r="Q217" s="26">
        <f>IF($G217="","",SUMIFS($P$4:$P$2503,$E$4:$E$2503,$E217,$Z$4:$Z$2503,"正常"))</f>
        <v/>
      </c>
      <c r="R217" s="26">
        <f>IF($G217="","",SUMIFS(费用台账!$I$4:$I$503,费用台账!$C$4:$C$503,$E217,费用台账!$J$4:$J$503,"是",费用台账!$K$4:$K$503,"正常"))</f>
        <v/>
      </c>
      <c r="S217" s="28">
        <f>IF($G217="","",COUNTIFS($E$4:$E$2503,$E217,$Z$4:$Z$2503,"正常",$Y$4:$Y$2503,"待补价"))</f>
        <v/>
      </c>
      <c r="T217" s="26">
        <f>IF($G217="","",SUMIFS($P$4:$P$2503,$E$4:$E$2503,$E217,$Z$4:$Z$2503,"正常",$A$4:$A$2503,"&lt;="&amp;$A217))</f>
        <v/>
      </c>
      <c r="U217" s="26">
        <f>IF($G217="","",IF(OR($S217&gt;0,$Q217=0,$R217=0,$Z217&lt;&gt;"正常"),0,ROUND($T217/$Q217*$R217,0)-ROUND(($T217-$P217)/$Q217*$R217,0)))</f>
        <v/>
      </c>
      <c r="V217" s="26">
        <f>IF($G217="","",ROUND($P217+$U217,0))</f>
        <v/>
      </c>
      <c r="W217" s="26">
        <f>IF($G217="","",IF(N($K217)=0,0,ROUND($V217/$K217,2)))</f>
        <v/>
      </c>
      <c r="X217" s="17" t="inlineStr">
        <is>
          <t>采购入库</t>
        </is>
      </c>
      <c r="Y217" s="17" t="inlineStr">
        <is>
          <t>待补价</t>
        </is>
      </c>
      <c r="Z217" s="17" t="inlineStr">
        <is>
          <t>正常</t>
        </is>
      </c>
      <c r="AA217" s="17" t="n"/>
      <c r="AB217" s="17" t="inlineStr">
        <is>
          <t>原表第 222 行</t>
        </is>
      </c>
      <c r="AC217" s="24">
        <f>IF($G217="","",IF($H217="※编码不在物料档案里","※物料编码不在档案里",IF(N($K217)&lt;=0,"※入库数量要大于 0",IF(AND($C217&lt;&gt;"",$C217&lt;=结账锁),"※日期早于已结账截止日，不能再录",IF(AND($L217=0,$X217="正常"),"※没填单价，价格状态请选「待补价」",IF(AND($S217&gt;0,$R217&gt;0),"△本批有 "&amp;$S217&amp;" 行没单价，整批运费先挂账没摊",IF(AND($B217&lt;&gt;"",COUNTIF($B$4:$B$2503,$B217)&gt;1),"※入库单号重复","")))))))</f>
        <v/>
      </c>
    </row>
    <row r="218">
      <c r="A218" s="24">
        <f>IF($G218="","",COUNTA($G$4:$G218))</f>
        <v/>
      </c>
      <c r="B218" s="17" t="n"/>
      <c r="C218" s="30" t="n">
        <v>46091</v>
      </c>
      <c r="D218" s="17" t="inlineStr">
        <is>
          <t>A国内</t>
        </is>
      </c>
      <c r="E218" s="17" t="inlineStr">
        <is>
          <t>FCIU8857920-202603</t>
        </is>
      </c>
      <c r="F218" s="17" t="inlineStr">
        <is>
          <t>矿上材料和金豪选场设备拼柜</t>
        </is>
      </c>
      <c r="G218" s="17" t="inlineStr">
        <is>
          <t>JH0203</t>
        </is>
      </c>
      <c r="H218" s="24">
        <f>IF($G218="","",IFERROR(VLOOKUP($G218,物料档案!$A$4:$P$1203,3,0),"※编码不在物料档案里"))</f>
        <v/>
      </c>
      <c r="I218" s="24">
        <f>IF($G218="","",IFERROR(VLOOKUP($G218,物料档案!$A$4:$P$1203,4,0),"※编码不在物料档案里"))</f>
        <v/>
      </c>
      <c r="J218" s="24">
        <f>IF($G218="","",IFERROR(VLOOKUP($G218,物料档案!$A$4:$P$1203,5,0),"※编码不在物料档案里"))</f>
        <v/>
      </c>
      <c r="K218" s="23" t="n">
        <v>2</v>
      </c>
      <c r="L218" s="31" t="n"/>
      <c r="M218" s="24">
        <f>IF($G218="","",IF($D218="A国内","CNY","TZS"))</f>
        <v/>
      </c>
      <c r="N218" s="28">
        <f>IF($G218="","",IF($D218="A国内",汇率,1))</f>
        <v/>
      </c>
      <c r="O218" s="25">
        <f>IF($G218="","",ROUND(N($K218)*N($L218),2))</f>
        <v/>
      </c>
      <c r="P218" s="26">
        <f>IF($G218="","",ROUND($O218*$N218,0))</f>
        <v/>
      </c>
      <c r="Q218" s="26">
        <f>IF($G218="","",SUMIFS($P$4:$P$2503,$E$4:$E$2503,$E218,$Z$4:$Z$2503,"正常"))</f>
        <v/>
      </c>
      <c r="R218" s="26">
        <f>IF($G218="","",SUMIFS(费用台账!$I$4:$I$503,费用台账!$C$4:$C$503,$E218,费用台账!$J$4:$J$503,"是",费用台账!$K$4:$K$503,"正常"))</f>
        <v/>
      </c>
      <c r="S218" s="28">
        <f>IF($G218="","",COUNTIFS($E$4:$E$2503,$E218,$Z$4:$Z$2503,"正常",$Y$4:$Y$2503,"待补价"))</f>
        <v/>
      </c>
      <c r="T218" s="26">
        <f>IF($G218="","",SUMIFS($P$4:$P$2503,$E$4:$E$2503,$E218,$Z$4:$Z$2503,"正常",$A$4:$A$2503,"&lt;="&amp;$A218))</f>
        <v/>
      </c>
      <c r="U218" s="26">
        <f>IF($G218="","",IF(OR($S218&gt;0,$Q218=0,$R218=0,$Z218&lt;&gt;"正常"),0,ROUND($T218/$Q218*$R218,0)-ROUND(($T218-$P218)/$Q218*$R218,0)))</f>
        <v/>
      </c>
      <c r="V218" s="26">
        <f>IF($G218="","",ROUND($P218+$U218,0))</f>
        <v/>
      </c>
      <c r="W218" s="26">
        <f>IF($G218="","",IF(N($K218)=0,0,ROUND($V218/$K218,2)))</f>
        <v/>
      </c>
      <c r="X218" s="17" t="inlineStr">
        <is>
          <t>采购入库</t>
        </is>
      </c>
      <c r="Y218" s="17" t="inlineStr">
        <is>
          <t>待补价</t>
        </is>
      </c>
      <c r="Z218" s="17" t="inlineStr">
        <is>
          <t>正常</t>
        </is>
      </c>
      <c r="AA218" s="17" t="n"/>
      <c r="AB218" s="17" t="inlineStr">
        <is>
          <t>原表第 223 行</t>
        </is>
      </c>
      <c r="AC218" s="24">
        <f>IF($G218="","",IF($H218="※编码不在物料档案里","※物料编码不在档案里",IF(N($K218)&lt;=0,"※入库数量要大于 0",IF(AND($C218&lt;&gt;"",$C218&lt;=结账锁),"※日期早于已结账截止日，不能再录",IF(AND($L218=0,$X218="正常"),"※没填单价，价格状态请选「待补价」",IF(AND($S218&gt;0,$R218&gt;0),"△本批有 "&amp;$S218&amp;" 行没单价，整批运费先挂账没摊",IF(AND($B218&lt;&gt;"",COUNTIF($B$4:$B$2503,$B218)&gt;1),"※入库单号重复","")))))))</f>
        <v/>
      </c>
    </row>
    <row r="219">
      <c r="A219" s="24">
        <f>IF($G219="","",COUNTA($G$4:$G219))</f>
        <v/>
      </c>
      <c r="B219" s="17" t="n"/>
      <c r="C219" s="30" t="n">
        <v>46091</v>
      </c>
      <c r="D219" s="17" t="inlineStr">
        <is>
          <t>A国内</t>
        </is>
      </c>
      <c r="E219" s="17" t="inlineStr">
        <is>
          <t>FCIU8857920-202603</t>
        </is>
      </c>
      <c r="F219" s="17" t="inlineStr">
        <is>
          <t>矿上材料和金豪选场设备拼柜</t>
        </is>
      </c>
      <c r="G219" s="17" t="inlineStr">
        <is>
          <t>JH0204</t>
        </is>
      </c>
      <c r="H219" s="24">
        <f>IF($G219="","",IFERROR(VLOOKUP($G219,物料档案!$A$4:$P$1203,3,0),"※编码不在物料档案里"))</f>
        <v/>
      </c>
      <c r="I219" s="24">
        <f>IF($G219="","",IFERROR(VLOOKUP($G219,物料档案!$A$4:$P$1203,4,0),"※编码不在物料档案里"))</f>
        <v/>
      </c>
      <c r="J219" s="24">
        <f>IF($G219="","",IFERROR(VLOOKUP($G219,物料档案!$A$4:$P$1203,5,0),"※编码不在物料档案里"))</f>
        <v/>
      </c>
      <c r="K219" s="23" t="n">
        <v>3</v>
      </c>
      <c r="L219" s="31" t="n"/>
      <c r="M219" s="24">
        <f>IF($G219="","",IF($D219="A国内","CNY","TZS"))</f>
        <v/>
      </c>
      <c r="N219" s="28">
        <f>IF($G219="","",IF($D219="A国内",汇率,1))</f>
        <v/>
      </c>
      <c r="O219" s="25">
        <f>IF($G219="","",ROUND(N($K219)*N($L219),2))</f>
        <v/>
      </c>
      <c r="P219" s="26">
        <f>IF($G219="","",ROUND($O219*$N219,0))</f>
        <v/>
      </c>
      <c r="Q219" s="26">
        <f>IF($G219="","",SUMIFS($P$4:$P$2503,$E$4:$E$2503,$E219,$Z$4:$Z$2503,"正常"))</f>
        <v/>
      </c>
      <c r="R219" s="26">
        <f>IF($G219="","",SUMIFS(费用台账!$I$4:$I$503,费用台账!$C$4:$C$503,$E219,费用台账!$J$4:$J$503,"是",费用台账!$K$4:$K$503,"正常"))</f>
        <v/>
      </c>
      <c r="S219" s="28">
        <f>IF($G219="","",COUNTIFS($E$4:$E$2503,$E219,$Z$4:$Z$2503,"正常",$Y$4:$Y$2503,"待补价"))</f>
        <v/>
      </c>
      <c r="T219" s="26">
        <f>IF($G219="","",SUMIFS($P$4:$P$2503,$E$4:$E$2503,$E219,$Z$4:$Z$2503,"正常",$A$4:$A$2503,"&lt;="&amp;$A219))</f>
        <v/>
      </c>
      <c r="U219" s="26">
        <f>IF($G219="","",IF(OR($S219&gt;0,$Q219=0,$R219=0,$Z219&lt;&gt;"正常"),0,ROUND($T219/$Q219*$R219,0)-ROUND(($T219-$P219)/$Q219*$R219,0)))</f>
        <v/>
      </c>
      <c r="V219" s="26">
        <f>IF($G219="","",ROUND($P219+$U219,0))</f>
        <v/>
      </c>
      <c r="W219" s="26">
        <f>IF($G219="","",IF(N($K219)=0,0,ROUND($V219/$K219,2)))</f>
        <v/>
      </c>
      <c r="X219" s="17" t="inlineStr">
        <is>
          <t>采购入库</t>
        </is>
      </c>
      <c r="Y219" s="17" t="inlineStr">
        <is>
          <t>待补价</t>
        </is>
      </c>
      <c r="Z219" s="17" t="inlineStr">
        <is>
          <t>正常</t>
        </is>
      </c>
      <c r="AA219" s="17" t="n"/>
      <c r="AB219" s="17" t="inlineStr">
        <is>
          <t>原表第 224 行</t>
        </is>
      </c>
      <c r="AC219" s="24">
        <f>IF($G219="","",IF($H219="※编码不在物料档案里","※物料编码不在档案里",IF(N($K219)&lt;=0,"※入库数量要大于 0",IF(AND($C219&lt;&gt;"",$C219&lt;=结账锁),"※日期早于已结账截止日，不能再录",IF(AND($L219=0,$X219="正常"),"※没填单价，价格状态请选「待补价」",IF(AND($S219&gt;0,$R219&gt;0),"△本批有 "&amp;$S219&amp;" 行没单价，整批运费先挂账没摊",IF(AND($B219&lt;&gt;"",COUNTIF($B$4:$B$2503,$B219)&gt;1),"※入库单号重复","")))))))</f>
        <v/>
      </c>
    </row>
    <row r="220">
      <c r="A220" s="24">
        <f>IF($G220="","",COUNTA($G$4:$G220))</f>
        <v/>
      </c>
      <c r="B220" s="17" t="n"/>
      <c r="C220" s="30" t="n">
        <v>46091</v>
      </c>
      <c r="D220" s="17" t="inlineStr">
        <is>
          <t>A国内</t>
        </is>
      </c>
      <c r="E220" s="17" t="inlineStr">
        <is>
          <t>FCIU8857920-202603</t>
        </is>
      </c>
      <c r="F220" s="17" t="inlineStr">
        <is>
          <t>矿上材料和金豪选场设备拼柜</t>
        </is>
      </c>
      <c r="G220" s="17" t="inlineStr">
        <is>
          <t>JH0205</t>
        </is>
      </c>
      <c r="H220" s="24">
        <f>IF($G220="","",IFERROR(VLOOKUP($G220,物料档案!$A$4:$P$1203,3,0),"※编码不在物料档案里"))</f>
        <v/>
      </c>
      <c r="I220" s="24">
        <f>IF($G220="","",IFERROR(VLOOKUP($G220,物料档案!$A$4:$P$1203,4,0),"※编码不在物料档案里"))</f>
        <v/>
      </c>
      <c r="J220" s="24">
        <f>IF($G220="","",IFERROR(VLOOKUP($G220,物料档案!$A$4:$P$1203,5,0),"※编码不在物料档案里"))</f>
        <v/>
      </c>
      <c r="K220" s="23" t="n">
        <v>3</v>
      </c>
      <c r="L220" s="31" t="n"/>
      <c r="M220" s="24">
        <f>IF($G220="","",IF($D220="A国内","CNY","TZS"))</f>
        <v/>
      </c>
      <c r="N220" s="28">
        <f>IF($G220="","",IF($D220="A国内",汇率,1))</f>
        <v/>
      </c>
      <c r="O220" s="25">
        <f>IF($G220="","",ROUND(N($K220)*N($L220),2))</f>
        <v/>
      </c>
      <c r="P220" s="26">
        <f>IF($G220="","",ROUND($O220*$N220,0))</f>
        <v/>
      </c>
      <c r="Q220" s="26">
        <f>IF($G220="","",SUMIFS($P$4:$P$2503,$E$4:$E$2503,$E220,$Z$4:$Z$2503,"正常"))</f>
        <v/>
      </c>
      <c r="R220" s="26">
        <f>IF($G220="","",SUMIFS(费用台账!$I$4:$I$503,费用台账!$C$4:$C$503,$E220,费用台账!$J$4:$J$503,"是",费用台账!$K$4:$K$503,"正常"))</f>
        <v/>
      </c>
      <c r="S220" s="28">
        <f>IF($G220="","",COUNTIFS($E$4:$E$2503,$E220,$Z$4:$Z$2503,"正常",$Y$4:$Y$2503,"待补价"))</f>
        <v/>
      </c>
      <c r="T220" s="26">
        <f>IF($G220="","",SUMIFS($P$4:$P$2503,$E$4:$E$2503,$E220,$Z$4:$Z$2503,"正常",$A$4:$A$2503,"&lt;="&amp;$A220))</f>
        <v/>
      </c>
      <c r="U220" s="26">
        <f>IF($G220="","",IF(OR($S220&gt;0,$Q220=0,$R220=0,$Z220&lt;&gt;"正常"),0,ROUND($T220/$Q220*$R220,0)-ROUND(($T220-$P220)/$Q220*$R220,0)))</f>
        <v/>
      </c>
      <c r="V220" s="26">
        <f>IF($G220="","",ROUND($P220+$U220,0))</f>
        <v/>
      </c>
      <c r="W220" s="26">
        <f>IF($G220="","",IF(N($K220)=0,0,ROUND($V220/$K220,2)))</f>
        <v/>
      </c>
      <c r="X220" s="17" t="inlineStr">
        <is>
          <t>采购入库</t>
        </is>
      </c>
      <c r="Y220" s="17" t="inlineStr">
        <is>
          <t>待补价</t>
        </is>
      </c>
      <c r="Z220" s="17" t="inlineStr">
        <is>
          <t>正常</t>
        </is>
      </c>
      <c r="AA220" s="17" t="n"/>
      <c r="AB220" s="17" t="inlineStr">
        <is>
          <t>原表第 225 行</t>
        </is>
      </c>
      <c r="AC220" s="24">
        <f>IF($G220="","",IF($H220="※编码不在物料档案里","※物料编码不在档案里",IF(N($K220)&lt;=0,"※入库数量要大于 0",IF(AND($C220&lt;&gt;"",$C220&lt;=结账锁),"※日期早于已结账截止日，不能再录",IF(AND($L220=0,$X220="正常"),"※没填单价，价格状态请选「待补价」",IF(AND($S220&gt;0,$R220&gt;0),"△本批有 "&amp;$S220&amp;" 行没单价，整批运费先挂账没摊",IF(AND($B220&lt;&gt;"",COUNTIF($B$4:$B$2503,$B220)&gt;1),"※入库单号重复","")))))))</f>
        <v/>
      </c>
    </row>
    <row r="221">
      <c r="A221" s="24">
        <f>IF($G221="","",COUNTA($G$4:$G221))</f>
        <v/>
      </c>
      <c r="B221" s="17" t="n"/>
      <c r="C221" s="30" t="n">
        <v>46091</v>
      </c>
      <c r="D221" s="17" t="inlineStr">
        <is>
          <t>A国内</t>
        </is>
      </c>
      <c r="E221" s="17" t="inlineStr">
        <is>
          <t>FCIU8857920-202603</t>
        </is>
      </c>
      <c r="F221" s="17" t="inlineStr">
        <is>
          <t>矿上材料和金豪选场设备拼柜</t>
        </is>
      </c>
      <c r="G221" s="17" t="inlineStr">
        <is>
          <t>JH0206</t>
        </is>
      </c>
      <c r="H221" s="24">
        <f>IF($G221="","",IFERROR(VLOOKUP($G221,物料档案!$A$4:$P$1203,3,0),"※编码不在物料档案里"))</f>
        <v/>
      </c>
      <c r="I221" s="24">
        <f>IF($G221="","",IFERROR(VLOOKUP($G221,物料档案!$A$4:$P$1203,4,0),"※编码不在物料档案里"))</f>
        <v/>
      </c>
      <c r="J221" s="24">
        <f>IF($G221="","",IFERROR(VLOOKUP($G221,物料档案!$A$4:$P$1203,5,0),"※编码不在物料档案里"))</f>
        <v/>
      </c>
      <c r="K221" s="23" t="n">
        <v>3</v>
      </c>
      <c r="L221" s="31" t="n"/>
      <c r="M221" s="24">
        <f>IF($G221="","",IF($D221="A国内","CNY","TZS"))</f>
        <v/>
      </c>
      <c r="N221" s="28">
        <f>IF($G221="","",IF($D221="A国内",汇率,1))</f>
        <v/>
      </c>
      <c r="O221" s="25">
        <f>IF($G221="","",ROUND(N($K221)*N($L221),2))</f>
        <v/>
      </c>
      <c r="P221" s="26">
        <f>IF($G221="","",ROUND($O221*$N221,0))</f>
        <v/>
      </c>
      <c r="Q221" s="26">
        <f>IF($G221="","",SUMIFS($P$4:$P$2503,$E$4:$E$2503,$E221,$Z$4:$Z$2503,"正常"))</f>
        <v/>
      </c>
      <c r="R221" s="26">
        <f>IF($G221="","",SUMIFS(费用台账!$I$4:$I$503,费用台账!$C$4:$C$503,$E221,费用台账!$J$4:$J$503,"是",费用台账!$K$4:$K$503,"正常"))</f>
        <v/>
      </c>
      <c r="S221" s="28">
        <f>IF($G221="","",COUNTIFS($E$4:$E$2503,$E221,$Z$4:$Z$2503,"正常",$Y$4:$Y$2503,"待补价"))</f>
        <v/>
      </c>
      <c r="T221" s="26">
        <f>IF($G221="","",SUMIFS($P$4:$P$2503,$E$4:$E$2503,$E221,$Z$4:$Z$2503,"正常",$A$4:$A$2503,"&lt;="&amp;$A221))</f>
        <v/>
      </c>
      <c r="U221" s="26">
        <f>IF($G221="","",IF(OR($S221&gt;0,$Q221=0,$R221=0,$Z221&lt;&gt;"正常"),0,ROUND($T221/$Q221*$R221,0)-ROUND(($T221-$P221)/$Q221*$R221,0)))</f>
        <v/>
      </c>
      <c r="V221" s="26">
        <f>IF($G221="","",ROUND($P221+$U221,0))</f>
        <v/>
      </c>
      <c r="W221" s="26">
        <f>IF($G221="","",IF(N($K221)=0,0,ROUND($V221/$K221,2)))</f>
        <v/>
      </c>
      <c r="X221" s="17" t="inlineStr">
        <is>
          <t>采购入库</t>
        </is>
      </c>
      <c r="Y221" s="17" t="inlineStr">
        <is>
          <t>待补价</t>
        </is>
      </c>
      <c r="Z221" s="17" t="inlineStr">
        <is>
          <t>正常</t>
        </is>
      </c>
      <c r="AA221" s="17" t="n"/>
      <c r="AB221" s="17" t="inlineStr">
        <is>
          <t>原表第 226 行</t>
        </is>
      </c>
      <c r="AC221" s="24">
        <f>IF($G221="","",IF($H221="※编码不在物料档案里","※物料编码不在档案里",IF(N($K221)&lt;=0,"※入库数量要大于 0",IF(AND($C221&lt;&gt;"",$C221&lt;=结账锁),"※日期早于已结账截止日，不能再录",IF(AND($L221=0,$X221="正常"),"※没填单价，价格状态请选「待补价」",IF(AND($S221&gt;0,$R221&gt;0),"△本批有 "&amp;$S221&amp;" 行没单价，整批运费先挂账没摊",IF(AND($B221&lt;&gt;"",COUNTIF($B$4:$B$2503,$B221)&gt;1),"※入库单号重复","")))))))</f>
        <v/>
      </c>
    </row>
    <row r="222">
      <c r="A222" s="24">
        <f>IF($G222="","",COUNTA($G$4:$G222))</f>
        <v/>
      </c>
      <c r="B222" s="17" t="n"/>
      <c r="C222" s="30" t="n">
        <v>46091</v>
      </c>
      <c r="D222" s="17" t="inlineStr">
        <is>
          <t>A国内</t>
        </is>
      </c>
      <c r="E222" s="17" t="inlineStr">
        <is>
          <t>FCIU8857920-202603</t>
        </is>
      </c>
      <c r="F222" s="17" t="inlineStr">
        <is>
          <t>矿上材料和金豪选场设备拼柜</t>
        </is>
      </c>
      <c r="G222" s="17" t="inlineStr">
        <is>
          <t>JH0207</t>
        </is>
      </c>
      <c r="H222" s="24">
        <f>IF($G222="","",IFERROR(VLOOKUP($G222,物料档案!$A$4:$P$1203,3,0),"※编码不在物料档案里"))</f>
        <v/>
      </c>
      <c r="I222" s="24">
        <f>IF($G222="","",IFERROR(VLOOKUP($G222,物料档案!$A$4:$P$1203,4,0),"※编码不在物料档案里"))</f>
        <v/>
      </c>
      <c r="J222" s="24">
        <f>IF($G222="","",IFERROR(VLOOKUP($G222,物料档案!$A$4:$P$1203,5,0),"※编码不在物料档案里"))</f>
        <v/>
      </c>
      <c r="K222" s="23" t="n">
        <v>3</v>
      </c>
      <c r="L222" s="31" t="n"/>
      <c r="M222" s="24">
        <f>IF($G222="","",IF($D222="A国内","CNY","TZS"))</f>
        <v/>
      </c>
      <c r="N222" s="28">
        <f>IF($G222="","",IF($D222="A国内",汇率,1))</f>
        <v/>
      </c>
      <c r="O222" s="25">
        <f>IF($G222="","",ROUND(N($K222)*N($L222),2))</f>
        <v/>
      </c>
      <c r="P222" s="26">
        <f>IF($G222="","",ROUND($O222*$N222,0))</f>
        <v/>
      </c>
      <c r="Q222" s="26">
        <f>IF($G222="","",SUMIFS($P$4:$P$2503,$E$4:$E$2503,$E222,$Z$4:$Z$2503,"正常"))</f>
        <v/>
      </c>
      <c r="R222" s="26">
        <f>IF($G222="","",SUMIFS(费用台账!$I$4:$I$503,费用台账!$C$4:$C$503,$E222,费用台账!$J$4:$J$503,"是",费用台账!$K$4:$K$503,"正常"))</f>
        <v/>
      </c>
      <c r="S222" s="28">
        <f>IF($G222="","",COUNTIFS($E$4:$E$2503,$E222,$Z$4:$Z$2503,"正常",$Y$4:$Y$2503,"待补价"))</f>
        <v/>
      </c>
      <c r="T222" s="26">
        <f>IF($G222="","",SUMIFS($P$4:$P$2503,$E$4:$E$2503,$E222,$Z$4:$Z$2503,"正常",$A$4:$A$2503,"&lt;="&amp;$A222))</f>
        <v/>
      </c>
      <c r="U222" s="26">
        <f>IF($G222="","",IF(OR($S222&gt;0,$Q222=0,$R222=0,$Z222&lt;&gt;"正常"),0,ROUND($T222/$Q222*$R222,0)-ROUND(($T222-$P222)/$Q222*$R222,0)))</f>
        <v/>
      </c>
      <c r="V222" s="26">
        <f>IF($G222="","",ROUND($P222+$U222,0))</f>
        <v/>
      </c>
      <c r="W222" s="26">
        <f>IF($G222="","",IF(N($K222)=0,0,ROUND($V222/$K222,2)))</f>
        <v/>
      </c>
      <c r="X222" s="17" t="inlineStr">
        <is>
          <t>采购入库</t>
        </is>
      </c>
      <c r="Y222" s="17" t="inlineStr">
        <is>
          <t>待补价</t>
        </is>
      </c>
      <c r="Z222" s="17" t="inlineStr">
        <is>
          <t>正常</t>
        </is>
      </c>
      <c r="AA222" s="17" t="n"/>
      <c r="AB222" s="17" t="inlineStr">
        <is>
          <t>原表第 227 行</t>
        </is>
      </c>
      <c r="AC222" s="24">
        <f>IF($G222="","",IF($H222="※编码不在物料档案里","※物料编码不在档案里",IF(N($K222)&lt;=0,"※入库数量要大于 0",IF(AND($C222&lt;&gt;"",$C222&lt;=结账锁),"※日期早于已结账截止日，不能再录",IF(AND($L222=0,$X222="正常"),"※没填单价，价格状态请选「待补价」",IF(AND($S222&gt;0,$R222&gt;0),"△本批有 "&amp;$S222&amp;" 行没单价，整批运费先挂账没摊",IF(AND($B222&lt;&gt;"",COUNTIF($B$4:$B$2503,$B222)&gt;1),"※入库单号重复","")))))))</f>
        <v/>
      </c>
    </row>
    <row r="223">
      <c r="A223" s="24">
        <f>IF($G223="","",COUNTA($G$4:$G223))</f>
        <v/>
      </c>
      <c r="B223" s="17" t="n"/>
      <c r="C223" s="30" t="n">
        <v>46091</v>
      </c>
      <c r="D223" s="17" t="inlineStr">
        <is>
          <t>A国内</t>
        </is>
      </c>
      <c r="E223" s="17" t="inlineStr">
        <is>
          <t>FCIU8857920-202603</t>
        </is>
      </c>
      <c r="F223" s="17" t="inlineStr">
        <is>
          <t>矿上材料和金豪选场设备拼柜</t>
        </is>
      </c>
      <c r="G223" s="17" t="inlineStr">
        <is>
          <t>JH0208</t>
        </is>
      </c>
      <c r="H223" s="24">
        <f>IF($G223="","",IFERROR(VLOOKUP($G223,物料档案!$A$4:$P$1203,3,0),"※编码不在物料档案里"))</f>
        <v/>
      </c>
      <c r="I223" s="24">
        <f>IF($G223="","",IFERROR(VLOOKUP($G223,物料档案!$A$4:$P$1203,4,0),"※编码不在物料档案里"))</f>
        <v/>
      </c>
      <c r="J223" s="24">
        <f>IF($G223="","",IFERROR(VLOOKUP($G223,物料档案!$A$4:$P$1203,5,0),"※编码不在物料档案里"))</f>
        <v/>
      </c>
      <c r="K223" s="23" t="n">
        <v>2</v>
      </c>
      <c r="L223" s="31" t="n"/>
      <c r="M223" s="24">
        <f>IF($G223="","",IF($D223="A国内","CNY","TZS"))</f>
        <v/>
      </c>
      <c r="N223" s="28">
        <f>IF($G223="","",IF($D223="A国内",汇率,1))</f>
        <v/>
      </c>
      <c r="O223" s="25">
        <f>IF($G223="","",ROUND(N($K223)*N($L223),2))</f>
        <v/>
      </c>
      <c r="P223" s="26">
        <f>IF($G223="","",ROUND($O223*$N223,0))</f>
        <v/>
      </c>
      <c r="Q223" s="26">
        <f>IF($G223="","",SUMIFS($P$4:$P$2503,$E$4:$E$2503,$E223,$Z$4:$Z$2503,"正常"))</f>
        <v/>
      </c>
      <c r="R223" s="26">
        <f>IF($G223="","",SUMIFS(费用台账!$I$4:$I$503,费用台账!$C$4:$C$503,$E223,费用台账!$J$4:$J$503,"是",费用台账!$K$4:$K$503,"正常"))</f>
        <v/>
      </c>
      <c r="S223" s="28">
        <f>IF($G223="","",COUNTIFS($E$4:$E$2503,$E223,$Z$4:$Z$2503,"正常",$Y$4:$Y$2503,"待补价"))</f>
        <v/>
      </c>
      <c r="T223" s="26">
        <f>IF($G223="","",SUMIFS($P$4:$P$2503,$E$4:$E$2503,$E223,$Z$4:$Z$2503,"正常",$A$4:$A$2503,"&lt;="&amp;$A223))</f>
        <v/>
      </c>
      <c r="U223" s="26">
        <f>IF($G223="","",IF(OR($S223&gt;0,$Q223=0,$R223=0,$Z223&lt;&gt;"正常"),0,ROUND($T223/$Q223*$R223,0)-ROUND(($T223-$P223)/$Q223*$R223,0)))</f>
        <v/>
      </c>
      <c r="V223" s="26">
        <f>IF($G223="","",ROUND($P223+$U223,0))</f>
        <v/>
      </c>
      <c r="W223" s="26">
        <f>IF($G223="","",IF(N($K223)=0,0,ROUND($V223/$K223,2)))</f>
        <v/>
      </c>
      <c r="X223" s="17" t="inlineStr">
        <is>
          <t>采购入库</t>
        </is>
      </c>
      <c r="Y223" s="17" t="inlineStr">
        <is>
          <t>待补价</t>
        </is>
      </c>
      <c r="Z223" s="17" t="inlineStr">
        <is>
          <t>正常</t>
        </is>
      </c>
      <c r="AA223" s="17" t="n"/>
      <c r="AB223" s="17" t="inlineStr">
        <is>
          <t>原表第 228 行</t>
        </is>
      </c>
      <c r="AC223" s="24">
        <f>IF($G223="","",IF($H223="※编码不在物料档案里","※物料编码不在档案里",IF(N($K223)&lt;=0,"※入库数量要大于 0",IF(AND($C223&lt;&gt;"",$C223&lt;=结账锁),"※日期早于已结账截止日，不能再录",IF(AND($L223=0,$X223="正常"),"※没填单价，价格状态请选「待补价」",IF(AND($S223&gt;0,$R223&gt;0),"△本批有 "&amp;$S223&amp;" 行没单价，整批运费先挂账没摊",IF(AND($B223&lt;&gt;"",COUNTIF($B$4:$B$2503,$B223)&gt;1),"※入库单号重复","")))))))</f>
        <v/>
      </c>
    </row>
    <row r="224">
      <c r="A224" s="24">
        <f>IF($G224="","",COUNTA($G$4:$G224))</f>
        <v/>
      </c>
      <c r="B224" s="17" t="n"/>
      <c r="C224" s="30" t="n">
        <v>46091</v>
      </c>
      <c r="D224" s="17" t="inlineStr">
        <is>
          <t>A国内</t>
        </is>
      </c>
      <c r="E224" s="17" t="inlineStr">
        <is>
          <t>FCIU8857920-202603</t>
        </is>
      </c>
      <c r="F224" s="17" t="inlineStr">
        <is>
          <t>烟台市金豪矿山机械有限公司</t>
        </is>
      </c>
      <c r="G224" s="17" t="inlineStr">
        <is>
          <t>JH0209</t>
        </is>
      </c>
      <c r="H224" s="24">
        <f>IF($G224="","",IFERROR(VLOOKUP($G224,物料档案!$A$4:$P$1203,3,0),"※编码不在物料档案里"))</f>
        <v/>
      </c>
      <c r="I224" s="24">
        <f>IF($G224="","",IFERROR(VLOOKUP($G224,物料档案!$A$4:$P$1203,4,0),"※编码不在物料档案里"))</f>
        <v/>
      </c>
      <c r="J224" s="24">
        <f>IF($G224="","",IFERROR(VLOOKUP($G224,物料档案!$A$4:$P$1203,5,0),"※编码不在物料档案里"))</f>
        <v/>
      </c>
      <c r="K224" s="23" t="n">
        <v>2</v>
      </c>
      <c r="L224" s="31" t="n"/>
      <c r="M224" s="24">
        <f>IF($G224="","",IF($D224="A国内","CNY","TZS"))</f>
        <v/>
      </c>
      <c r="N224" s="28">
        <f>IF($G224="","",IF($D224="A国内",汇率,1))</f>
        <v/>
      </c>
      <c r="O224" s="25">
        <f>IF($G224="","",ROUND(N($K224)*N($L224),2))</f>
        <v/>
      </c>
      <c r="P224" s="26">
        <f>IF($G224="","",ROUND($O224*$N224,0))</f>
        <v/>
      </c>
      <c r="Q224" s="26">
        <f>IF($G224="","",SUMIFS($P$4:$P$2503,$E$4:$E$2503,$E224,$Z$4:$Z$2503,"正常"))</f>
        <v/>
      </c>
      <c r="R224" s="26">
        <f>IF($G224="","",SUMIFS(费用台账!$I$4:$I$503,费用台账!$C$4:$C$503,$E224,费用台账!$J$4:$J$503,"是",费用台账!$K$4:$K$503,"正常"))</f>
        <v/>
      </c>
      <c r="S224" s="28">
        <f>IF($G224="","",COUNTIFS($E$4:$E$2503,$E224,$Z$4:$Z$2503,"正常",$Y$4:$Y$2503,"待补价"))</f>
        <v/>
      </c>
      <c r="T224" s="26">
        <f>IF($G224="","",SUMIFS($P$4:$P$2503,$E$4:$E$2503,$E224,$Z$4:$Z$2503,"正常",$A$4:$A$2503,"&lt;="&amp;$A224))</f>
        <v/>
      </c>
      <c r="U224" s="26">
        <f>IF($G224="","",IF(OR($S224&gt;0,$Q224=0,$R224=0,$Z224&lt;&gt;"正常"),0,ROUND($T224/$Q224*$R224,0)-ROUND(($T224-$P224)/$Q224*$R224,0)))</f>
        <v/>
      </c>
      <c r="V224" s="26">
        <f>IF($G224="","",ROUND($P224+$U224,0))</f>
        <v/>
      </c>
      <c r="W224" s="26">
        <f>IF($G224="","",IF(N($K224)=0,0,ROUND($V224/$K224,2)))</f>
        <v/>
      </c>
      <c r="X224" s="17" t="inlineStr">
        <is>
          <t>采购入库</t>
        </is>
      </c>
      <c r="Y224" s="17" t="inlineStr">
        <is>
          <t>待补价</t>
        </is>
      </c>
      <c r="Z224" s="17" t="inlineStr">
        <is>
          <t>正常</t>
        </is>
      </c>
      <c r="AA224" s="17" t="n"/>
      <c r="AB224" s="17" t="inlineStr">
        <is>
          <t>原表第 229 行</t>
        </is>
      </c>
      <c r="AC224" s="24">
        <f>IF($G224="","",IF($H224="※编码不在物料档案里","※物料编码不在档案里",IF(N($K224)&lt;=0,"※入库数量要大于 0",IF(AND($C224&lt;&gt;"",$C224&lt;=结账锁),"※日期早于已结账截止日，不能再录",IF(AND($L224=0,$X224="正常"),"※没填单价，价格状态请选「待补价」",IF(AND($S224&gt;0,$R224&gt;0),"△本批有 "&amp;$S224&amp;" 行没单价，整批运费先挂账没摊",IF(AND($B224&lt;&gt;"",COUNTIF($B$4:$B$2503,$B224)&gt;1),"※入库单号重复","")))))))</f>
        <v/>
      </c>
    </row>
    <row r="225">
      <c r="A225" s="24">
        <f>IF($G225="","",COUNTA($G$4:$G225))</f>
        <v/>
      </c>
      <c r="B225" s="17" t="n"/>
      <c r="C225" s="30" t="n">
        <v>46091</v>
      </c>
      <c r="D225" s="17" t="inlineStr">
        <is>
          <t>A国内</t>
        </is>
      </c>
      <c r="E225" s="17" t="inlineStr">
        <is>
          <t>FCIU8857920-202603</t>
        </is>
      </c>
      <c r="F225" s="17" t="inlineStr">
        <is>
          <t>烟台市金豪矿山机械有限公司</t>
        </is>
      </c>
      <c r="G225" s="17" t="inlineStr">
        <is>
          <t>JH0210</t>
        </is>
      </c>
      <c r="H225" s="24">
        <f>IF($G225="","",IFERROR(VLOOKUP($G225,物料档案!$A$4:$P$1203,3,0),"※编码不在物料档案里"))</f>
        <v/>
      </c>
      <c r="I225" s="24">
        <f>IF($G225="","",IFERROR(VLOOKUP($G225,物料档案!$A$4:$P$1203,4,0),"※编码不在物料档案里"))</f>
        <v/>
      </c>
      <c r="J225" s="24">
        <f>IF($G225="","",IFERROR(VLOOKUP($G225,物料档案!$A$4:$P$1203,5,0),"※编码不在物料档案里"))</f>
        <v/>
      </c>
      <c r="K225" s="23" t="n">
        <v>400</v>
      </c>
      <c r="L225" s="31" t="n"/>
      <c r="M225" s="24">
        <f>IF($G225="","",IF($D225="A国内","CNY","TZS"))</f>
        <v/>
      </c>
      <c r="N225" s="28">
        <f>IF($G225="","",IF($D225="A国内",汇率,1))</f>
        <v/>
      </c>
      <c r="O225" s="25">
        <f>IF($G225="","",ROUND(N($K225)*N($L225),2))</f>
        <v/>
      </c>
      <c r="P225" s="26">
        <f>IF($G225="","",ROUND($O225*$N225,0))</f>
        <v/>
      </c>
      <c r="Q225" s="26">
        <f>IF($G225="","",SUMIFS($P$4:$P$2503,$E$4:$E$2503,$E225,$Z$4:$Z$2503,"正常"))</f>
        <v/>
      </c>
      <c r="R225" s="26">
        <f>IF($G225="","",SUMIFS(费用台账!$I$4:$I$503,费用台账!$C$4:$C$503,$E225,费用台账!$J$4:$J$503,"是",费用台账!$K$4:$K$503,"正常"))</f>
        <v/>
      </c>
      <c r="S225" s="28">
        <f>IF($G225="","",COUNTIFS($E$4:$E$2503,$E225,$Z$4:$Z$2503,"正常",$Y$4:$Y$2503,"待补价"))</f>
        <v/>
      </c>
      <c r="T225" s="26">
        <f>IF($G225="","",SUMIFS($P$4:$P$2503,$E$4:$E$2503,$E225,$Z$4:$Z$2503,"正常",$A$4:$A$2503,"&lt;="&amp;$A225))</f>
        <v/>
      </c>
      <c r="U225" s="26">
        <f>IF($G225="","",IF(OR($S225&gt;0,$Q225=0,$R225=0,$Z225&lt;&gt;"正常"),0,ROUND($T225/$Q225*$R225,0)-ROUND(($T225-$P225)/$Q225*$R225,0)))</f>
        <v/>
      </c>
      <c r="V225" s="26">
        <f>IF($G225="","",ROUND($P225+$U225,0))</f>
        <v/>
      </c>
      <c r="W225" s="26">
        <f>IF($G225="","",IF(N($K225)=0,0,ROUND($V225/$K225,2)))</f>
        <v/>
      </c>
      <c r="X225" s="17" t="inlineStr">
        <is>
          <t>采购入库</t>
        </is>
      </c>
      <c r="Y225" s="17" t="inlineStr">
        <is>
          <t>待补价</t>
        </is>
      </c>
      <c r="Z225" s="17" t="inlineStr">
        <is>
          <t>正常</t>
        </is>
      </c>
      <c r="AA225" s="17" t="n"/>
      <c r="AB225" s="17" t="inlineStr">
        <is>
          <t>原表第 230 行</t>
        </is>
      </c>
      <c r="AC225" s="24">
        <f>IF($G225="","",IF($H225="※编码不在物料档案里","※物料编码不在档案里",IF(N($K225)&lt;=0,"※入库数量要大于 0",IF(AND($C225&lt;&gt;"",$C225&lt;=结账锁),"※日期早于已结账截止日，不能再录",IF(AND($L225=0,$X225="正常"),"※没填单价，价格状态请选「待补价」",IF(AND($S225&gt;0,$R225&gt;0),"△本批有 "&amp;$S225&amp;" 行没单价，整批运费先挂账没摊",IF(AND($B225&lt;&gt;"",COUNTIF($B$4:$B$2503,$B225)&gt;1),"※入库单号重复","")))))))</f>
        <v/>
      </c>
    </row>
    <row r="226">
      <c r="A226" s="24">
        <f>IF($G226="","",COUNTA($G$4:$G226))</f>
        <v/>
      </c>
      <c r="B226" s="17" t="n"/>
      <c r="C226" s="30" t="n">
        <v>46091</v>
      </c>
      <c r="D226" s="17" t="inlineStr">
        <is>
          <t>A国内</t>
        </is>
      </c>
      <c r="E226" s="17" t="inlineStr">
        <is>
          <t>FCIU8857920-202603</t>
        </is>
      </c>
      <c r="F226" s="17" t="inlineStr">
        <is>
          <t>烟台市金豪矿山机械有限公司</t>
        </is>
      </c>
      <c r="G226" s="17" t="inlineStr">
        <is>
          <t>JH0185</t>
        </is>
      </c>
      <c r="H226" s="24">
        <f>IF($G226="","",IFERROR(VLOOKUP($G226,物料档案!$A$4:$P$1203,3,0),"※编码不在物料档案里"))</f>
        <v/>
      </c>
      <c r="I226" s="24">
        <f>IF($G226="","",IFERROR(VLOOKUP($G226,物料档案!$A$4:$P$1203,4,0),"※编码不在物料档案里"))</f>
        <v/>
      </c>
      <c r="J226" s="24">
        <f>IF($G226="","",IFERROR(VLOOKUP($G226,物料档案!$A$4:$P$1203,5,0),"※编码不在物料档案里"))</f>
        <v/>
      </c>
      <c r="K226" s="23" t="n">
        <v>9</v>
      </c>
      <c r="L226" s="31" t="n">
        <v>4600</v>
      </c>
      <c r="M226" s="24">
        <f>IF($G226="","",IF($D226="A国内","CNY","TZS"))</f>
        <v/>
      </c>
      <c r="N226" s="28">
        <f>IF($G226="","",IF($D226="A国内",汇率,1))</f>
        <v/>
      </c>
      <c r="O226" s="25">
        <f>IF($G226="","",ROUND(N($K226)*N($L226),2))</f>
        <v/>
      </c>
      <c r="P226" s="26">
        <f>IF($G226="","",ROUND($O226*$N226,0))</f>
        <v/>
      </c>
      <c r="Q226" s="26">
        <f>IF($G226="","",SUMIFS($P$4:$P$2503,$E$4:$E$2503,$E226,$Z$4:$Z$2503,"正常"))</f>
        <v/>
      </c>
      <c r="R226" s="26">
        <f>IF($G226="","",SUMIFS(费用台账!$I$4:$I$503,费用台账!$C$4:$C$503,$E226,费用台账!$J$4:$J$503,"是",费用台账!$K$4:$K$503,"正常"))</f>
        <v/>
      </c>
      <c r="S226" s="28">
        <f>IF($G226="","",COUNTIFS($E$4:$E$2503,$E226,$Z$4:$Z$2503,"正常",$Y$4:$Y$2503,"待补价"))</f>
        <v/>
      </c>
      <c r="T226" s="26">
        <f>IF($G226="","",SUMIFS($P$4:$P$2503,$E$4:$E$2503,$E226,$Z$4:$Z$2503,"正常",$A$4:$A$2503,"&lt;="&amp;$A226))</f>
        <v/>
      </c>
      <c r="U226" s="26">
        <f>IF($G226="","",IF(OR($S226&gt;0,$Q226=0,$R226=0,$Z226&lt;&gt;"正常"),0,ROUND($T226/$Q226*$R226,0)-ROUND(($T226-$P226)/$Q226*$R226,0)))</f>
        <v/>
      </c>
      <c r="V226" s="26">
        <f>IF($G226="","",ROUND($P226+$U226,0))</f>
        <v/>
      </c>
      <c r="W226" s="26">
        <f>IF($G226="","",IF(N($K226)=0,0,ROUND($V226/$K226,2)))</f>
        <v/>
      </c>
      <c r="X226" s="17" t="inlineStr">
        <is>
          <t>采购入库</t>
        </is>
      </c>
      <c r="Y226" s="17" t="inlineStr">
        <is>
          <t>正常</t>
        </is>
      </c>
      <c r="Z226" s="17" t="inlineStr">
        <is>
          <t>正常</t>
        </is>
      </c>
      <c r="AA226" s="17" t="n"/>
      <c r="AB226" s="17" t="inlineStr">
        <is>
          <t>原表第 231 行</t>
        </is>
      </c>
      <c r="AC226" s="24">
        <f>IF($G226="","",IF($H226="※编码不在物料档案里","※物料编码不在档案里",IF(N($K226)&lt;=0,"※入库数量要大于 0",IF(AND($C226&lt;&gt;"",$C226&lt;=结账锁),"※日期早于已结账截止日，不能再录",IF(AND($L226=0,$X226="正常"),"※没填单价，价格状态请选「待补价」",IF(AND($S226&gt;0,$R226&gt;0),"△本批有 "&amp;$S226&amp;" 行没单价，整批运费先挂账没摊",IF(AND($B226&lt;&gt;"",COUNTIF($B$4:$B$2503,$B226)&gt;1),"※入库单号重复","")))))))</f>
        <v/>
      </c>
    </row>
    <row r="227">
      <c r="A227" s="24">
        <f>IF($G227="","",COUNTA($G$4:$G227))</f>
        <v/>
      </c>
      <c r="B227" s="17" t="n"/>
      <c r="C227" s="30" t="n">
        <v>46091</v>
      </c>
      <c r="D227" s="17" t="inlineStr">
        <is>
          <t>A国内</t>
        </is>
      </c>
      <c r="E227" s="17" t="inlineStr">
        <is>
          <t>FCIU8857920-202603</t>
        </is>
      </c>
      <c r="F227" s="17" t="inlineStr">
        <is>
          <t>矿上材料和金豪选场设备拼柜</t>
        </is>
      </c>
      <c r="G227" s="17" t="inlineStr">
        <is>
          <t>JH0211</t>
        </is>
      </c>
      <c r="H227" s="24">
        <f>IF($G227="","",IFERROR(VLOOKUP($G227,物料档案!$A$4:$P$1203,3,0),"※编码不在物料档案里"))</f>
        <v/>
      </c>
      <c r="I227" s="24">
        <f>IF($G227="","",IFERROR(VLOOKUP($G227,物料档案!$A$4:$P$1203,4,0),"※编码不在物料档案里"))</f>
        <v/>
      </c>
      <c r="J227" s="24">
        <f>IF($G227="","",IFERROR(VLOOKUP($G227,物料档案!$A$4:$P$1203,5,0),"※编码不在物料档案里"))</f>
        <v/>
      </c>
      <c r="K227" s="23" t="n">
        <v>10</v>
      </c>
      <c r="L227" s="31" t="n"/>
      <c r="M227" s="24">
        <f>IF($G227="","",IF($D227="A国内","CNY","TZS"))</f>
        <v/>
      </c>
      <c r="N227" s="28">
        <f>IF($G227="","",IF($D227="A国内",汇率,1))</f>
        <v/>
      </c>
      <c r="O227" s="25">
        <f>IF($G227="","",ROUND(N($K227)*N($L227),2))</f>
        <v/>
      </c>
      <c r="P227" s="26">
        <f>IF($G227="","",ROUND($O227*$N227,0))</f>
        <v/>
      </c>
      <c r="Q227" s="26">
        <f>IF($G227="","",SUMIFS($P$4:$P$2503,$E$4:$E$2503,$E227,$Z$4:$Z$2503,"正常"))</f>
        <v/>
      </c>
      <c r="R227" s="26">
        <f>IF($G227="","",SUMIFS(费用台账!$I$4:$I$503,费用台账!$C$4:$C$503,$E227,费用台账!$J$4:$J$503,"是",费用台账!$K$4:$K$503,"正常"))</f>
        <v/>
      </c>
      <c r="S227" s="28">
        <f>IF($G227="","",COUNTIFS($E$4:$E$2503,$E227,$Z$4:$Z$2503,"正常",$Y$4:$Y$2503,"待补价"))</f>
        <v/>
      </c>
      <c r="T227" s="26">
        <f>IF($G227="","",SUMIFS($P$4:$P$2503,$E$4:$E$2503,$E227,$Z$4:$Z$2503,"正常",$A$4:$A$2503,"&lt;="&amp;$A227))</f>
        <v/>
      </c>
      <c r="U227" s="26">
        <f>IF($G227="","",IF(OR($S227&gt;0,$Q227=0,$R227=0,$Z227&lt;&gt;"正常"),0,ROUND($T227/$Q227*$R227,0)-ROUND(($T227-$P227)/$Q227*$R227,0)))</f>
        <v/>
      </c>
      <c r="V227" s="26">
        <f>IF($G227="","",ROUND($P227+$U227,0))</f>
        <v/>
      </c>
      <c r="W227" s="26">
        <f>IF($G227="","",IF(N($K227)=0,0,ROUND($V227/$K227,2)))</f>
        <v/>
      </c>
      <c r="X227" s="17" t="inlineStr">
        <is>
          <t>采购入库</t>
        </is>
      </c>
      <c r="Y227" s="17" t="inlineStr">
        <is>
          <t>待补价</t>
        </is>
      </c>
      <c r="Z227" s="17" t="inlineStr">
        <is>
          <t>正常</t>
        </is>
      </c>
      <c r="AA227" s="17" t="n"/>
      <c r="AB227" s="17" t="inlineStr">
        <is>
          <t>原表第 232 行</t>
        </is>
      </c>
      <c r="AC227" s="24">
        <f>IF($G227="","",IF($H227="※编码不在物料档案里","※物料编码不在档案里",IF(N($K227)&lt;=0,"※入库数量要大于 0",IF(AND($C227&lt;&gt;"",$C227&lt;=结账锁),"※日期早于已结账截止日，不能再录",IF(AND($L227=0,$X227="正常"),"※没填单价，价格状态请选「待补价」",IF(AND($S227&gt;0,$R227&gt;0),"△本批有 "&amp;$S227&amp;" 行没单价，整批运费先挂账没摊",IF(AND($B227&lt;&gt;"",COUNTIF($B$4:$B$2503,$B227)&gt;1),"※入库单号重复","")))))))</f>
        <v/>
      </c>
    </row>
    <row r="228">
      <c r="A228" s="24">
        <f>IF($G228="","",COUNTA($G$4:$G228))</f>
        <v/>
      </c>
      <c r="B228" s="17" t="n"/>
      <c r="C228" s="30" t="n">
        <v>46091</v>
      </c>
      <c r="D228" s="17" t="inlineStr">
        <is>
          <t>A国内</t>
        </is>
      </c>
      <c r="E228" s="17" t="inlineStr">
        <is>
          <t>FCIU8857920-202603</t>
        </is>
      </c>
      <c r="F228" s="17" t="inlineStr">
        <is>
          <t>矿上材料和金豪选场设备拼柜</t>
        </is>
      </c>
      <c r="G228" s="17" t="inlineStr">
        <is>
          <t>JH0212</t>
        </is>
      </c>
      <c r="H228" s="24">
        <f>IF($G228="","",IFERROR(VLOOKUP($G228,物料档案!$A$4:$P$1203,3,0),"※编码不在物料档案里"))</f>
        <v/>
      </c>
      <c r="I228" s="24">
        <f>IF($G228="","",IFERROR(VLOOKUP($G228,物料档案!$A$4:$P$1203,4,0),"※编码不在物料档案里"))</f>
        <v/>
      </c>
      <c r="J228" s="24">
        <f>IF($G228="","",IFERROR(VLOOKUP($G228,物料档案!$A$4:$P$1203,5,0),"※编码不在物料档案里"))</f>
        <v/>
      </c>
      <c r="K228" s="23" t="n">
        <v>10</v>
      </c>
      <c r="L228" s="31" t="n"/>
      <c r="M228" s="24">
        <f>IF($G228="","",IF($D228="A国内","CNY","TZS"))</f>
        <v/>
      </c>
      <c r="N228" s="28">
        <f>IF($G228="","",IF($D228="A国内",汇率,1))</f>
        <v/>
      </c>
      <c r="O228" s="25">
        <f>IF($G228="","",ROUND(N($K228)*N($L228),2))</f>
        <v/>
      </c>
      <c r="P228" s="26">
        <f>IF($G228="","",ROUND($O228*$N228,0))</f>
        <v/>
      </c>
      <c r="Q228" s="26">
        <f>IF($G228="","",SUMIFS($P$4:$P$2503,$E$4:$E$2503,$E228,$Z$4:$Z$2503,"正常"))</f>
        <v/>
      </c>
      <c r="R228" s="26">
        <f>IF($G228="","",SUMIFS(费用台账!$I$4:$I$503,费用台账!$C$4:$C$503,$E228,费用台账!$J$4:$J$503,"是",费用台账!$K$4:$K$503,"正常"))</f>
        <v/>
      </c>
      <c r="S228" s="28">
        <f>IF($G228="","",COUNTIFS($E$4:$E$2503,$E228,$Z$4:$Z$2503,"正常",$Y$4:$Y$2503,"待补价"))</f>
        <v/>
      </c>
      <c r="T228" s="26">
        <f>IF($G228="","",SUMIFS($P$4:$P$2503,$E$4:$E$2503,$E228,$Z$4:$Z$2503,"正常",$A$4:$A$2503,"&lt;="&amp;$A228))</f>
        <v/>
      </c>
      <c r="U228" s="26">
        <f>IF($G228="","",IF(OR($S228&gt;0,$Q228=0,$R228=0,$Z228&lt;&gt;"正常"),0,ROUND($T228/$Q228*$R228,0)-ROUND(($T228-$P228)/$Q228*$R228,0)))</f>
        <v/>
      </c>
      <c r="V228" s="26">
        <f>IF($G228="","",ROUND($P228+$U228,0))</f>
        <v/>
      </c>
      <c r="W228" s="26">
        <f>IF($G228="","",IF(N($K228)=0,0,ROUND($V228/$K228,2)))</f>
        <v/>
      </c>
      <c r="X228" s="17" t="inlineStr">
        <is>
          <t>采购入库</t>
        </is>
      </c>
      <c r="Y228" s="17" t="inlineStr">
        <is>
          <t>待补价</t>
        </is>
      </c>
      <c r="Z228" s="17" t="inlineStr">
        <is>
          <t>正常</t>
        </is>
      </c>
      <c r="AA228" s="17" t="n"/>
      <c r="AB228" s="17" t="inlineStr">
        <is>
          <t>原表第 233 行</t>
        </is>
      </c>
      <c r="AC228" s="24">
        <f>IF($G228="","",IF($H228="※编码不在物料档案里","※物料编码不在档案里",IF(N($K228)&lt;=0,"※入库数量要大于 0",IF(AND($C228&lt;&gt;"",$C228&lt;=结账锁),"※日期早于已结账截止日，不能再录",IF(AND($L228=0,$X228="正常"),"※没填单价，价格状态请选「待补价」",IF(AND($S228&gt;0,$R228&gt;0),"△本批有 "&amp;$S228&amp;" 行没单价，整批运费先挂账没摊",IF(AND($B228&lt;&gt;"",COUNTIF($B$4:$B$2503,$B228)&gt;1),"※入库单号重复","")))))))</f>
        <v/>
      </c>
    </row>
    <row r="229">
      <c r="A229" s="24">
        <f>IF($G229="","",COUNTA($G$4:$G229))</f>
        <v/>
      </c>
      <c r="B229" s="17" t="n"/>
      <c r="C229" s="30" t="n">
        <v>46091</v>
      </c>
      <c r="D229" s="17" t="inlineStr">
        <is>
          <t>A国内</t>
        </is>
      </c>
      <c r="E229" s="17" t="inlineStr">
        <is>
          <t>FCIU8857920-202603</t>
        </is>
      </c>
      <c r="F229" s="17" t="inlineStr">
        <is>
          <t>矿上材料和金豪选场设备拼柜</t>
        </is>
      </c>
      <c r="G229" s="17" t="inlineStr">
        <is>
          <t>JH0213</t>
        </is>
      </c>
      <c r="H229" s="24">
        <f>IF($G229="","",IFERROR(VLOOKUP($G229,物料档案!$A$4:$P$1203,3,0),"※编码不在物料档案里"))</f>
        <v/>
      </c>
      <c r="I229" s="24">
        <f>IF($G229="","",IFERROR(VLOOKUP($G229,物料档案!$A$4:$P$1203,4,0),"※编码不在物料档案里"))</f>
        <v/>
      </c>
      <c r="J229" s="24">
        <f>IF($G229="","",IFERROR(VLOOKUP($G229,物料档案!$A$4:$P$1203,5,0),"※编码不在物料档案里"))</f>
        <v/>
      </c>
      <c r="K229" s="23" t="n">
        <v>20</v>
      </c>
      <c r="L229" s="31" t="n"/>
      <c r="M229" s="24">
        <f>IF($G229="","",IF($D229="A国内","CNY","TZS"))</f>
        <v/>
      </c>
      <c r="N229" s="28">
        <f>IF($G229="","",IF($D229="A国内",汇率,1))</f>
        <v/>
      </c>
      <c r="O229" s="25">
        <f>IF($G229="","",ROUND(N($K229)*N($L229),2))</f>
        <v/>
      </c>
      <c r="P229" s="26">
        <f>IF($G229="","",ROUND($O229*$N229,0))</f>
        <v/>
      </c>
      <c r="Q229" s="26">
        <f>IF($G229="","",SUMIFS($P$4:$P$2503,$E$4:$E$2503,$E229,$Z$4:$Z$2503,"正常"))</f>
        <v/>
      </c>
      <c r="R229" s="26">
        <f>IF($G229="","",SUMIFS(费用台账!$I$4:$I$503,费用台账!$C$4:$C$503,$E229,费用台账!$J$4:$J$503,"是",费用台账!$K$4:$K$503,"正常"))</f>
        <v/>
      </c>
      <c r="S229" s="28">
        <f>IF($G229="","",COUNTIFS($E$4:$E$2503,$E229,$Z$4:$Z$2503,"正常",$Y$4:$Y$2503,"待补价"))</f>
        <v/>
      </c>
      <c r="T229" s="26">
        <f>IF($G229="","",SUMIFS($P$4:$P$2503,$E$4:$E$2503,$E229,$Z$4:$Z$2503,"正常",$A$4:$A$2503,"&lt;="&amp;$A229))</f>
        <v/>
      </c>
      <c r="U229" s="26">
        <f>IF($G229="","",IF(OR($S229&gt;0,$Q229=0,$R229=0,$Z229&lt;&gt;"正常"),0,ROUND($T229/$Q229*$R229,0)-ROUND(($T229-$P229)/$Q229*$R229,0)))</f>
        <v/>
      </c>
      <c r="V229" s="26">
        <f>IF($G229="","",ROUND($P229+$U229,0))</f>
        <v/>
      </c>
      <c r="W229" s="26">
        <f>IF($G229="","",IF(N($K229)=0,0,ROUND($V229/$K229,2)))</f>
        <v/>
      </c>
      <c r="X229" s="17" t="inlineStr">
        <is>
          <t>采购入库</t>
        </is>
      </c>
      <c r="Y229" s="17" t="inlineStr">
        <is>
          <t>待补价</t>
        </is>
      </c>
      <c r="Z229" s="17" t="inlineStr">
        <is>
          <t>正常</t>
        </is>
      </c>
      <c r="AA229" s="17" t="n"/>
      <c r="AB229" s="17" t="inlineStr">
        <is>
          <t>原表第 234 行</t>
        </is>
      </c>
      <c r="AC229" s="24">
        <f>IF($G229="","",IF($H229="※编码不在物料档案里","※物料编码不在档案里",IF(N($K229)&lt;=0,"※入库数量要大于 0",IF(AND($C229&lt;&gt;"",$C229&lt;=结账锁),"※日期早于已结账截止日，不能再录",IF(AND($L229=0,$X229="正常"),"※没填单价，价格状态请选「待补价」",IF(AND($S229&gt;0,$R229&gt;0),"△本批有 "&amp;$S229&amp;" 行没单价，整批运费先挂账没摊",IF(AND($B229&lt;&gt;"",COUNTIF($B$4:$B$2503,$B229)&gt;1),"※入库单号重复","")))))))</f>
        <v/>
      </c>
    </row>
    <row r="230">
      <c r="A230" s="24">
        <f>IF($G230="","",COUNTA($G$4:$G230))</f>
        <v/>
      </c>
      <c r="B230" s="17" t="n"/>
      <c r="C230" s="30" t="n">
        <v>46091</v>
      </c>
      <c r="D230" s="17" t="inlineStr">
        <is>
          <t>A国内</t>
        </is>
      </c>
      <c r="E230" s="17" t="inlineStr">
        <is>
          <t>FCIU8857920-202603</t>
        </is>
      </c>
      <c r="F230" s="17" t="inlineStr">
        <is>
          <t>矿上材料和金豪选场设备拼柜</t>
        </is>
      </c>
      <c r="G230" s="17" t="inlineStr">
        <is>
          <t>JH0214</t>
        </is>
      </c>
      <c r="H230" s="24">
        <f>IF($G230="","",IFERROR(VLOOKUP($G230,物料档案!$A$4:$P$1203,3,0),"※编码不在物料档案里"))</f>
        <v/>
      </c>
      <c r="I230" s="24">
        <f>IF($G230="","",IFERROR(VLOOKUP($G230,物料档案!$A$4:$P$1203,4,0),"※编码不在物料档案里"))</f>
        <v/>
      </c>
      <c r="J230" s="24">
        <f>IF($G230="","",IFERROR(VLOOKUP($G230,物料档案!$A$4:$P$1203,5,0),"※编码不在物料档案里"))</f>
        <v/>
      </c>
      <c r="K230" s="23" t="n">
        <v>15</v>
      </c>
      <c r="L230" s="31" t="n"/>
      <c r="M230" s="24">
        <f>IF($G230="","",IF($D230="A国内","CNY","TZS"))</f>
        <v/>
      </c>
      <c r="N230" s="28">
        <f>IF($G230="","",IF($D230="A国内",汇率,1))</f>
        <v/>
      </c>
      <c r="O230" s="25">
        <f>IF($G230="","",ROUND(N($K230)*N($L230),2))</f>
        <v/>
      </c>
      <c r="P230" s="26">
        <f>IF($G230="","",ROUND($O230*$N230,0))</f>
        <v/>
      </c>
      <c r="Q230" s="26">
        <f>IF($G230="","",SUMIFS($P$4:$P$2503,$E$4:$E$2503,$E230,$Z$4:$Z$2503,"正常"))</f>
        <v/>
      </c>
      <c r="R230" s="26">
        <f>IF($G230="","",SUMIFS(费用台账!$I$4:$I$503,费用台账!$C$4:$C$503,$E230,费用台账!$J$4:$J$503,"是",费用台账!$K$4:$K$503,"正常"))</f>
        <v/>
      </c>
      <c r="S230" s="28">
        <f>IF($G230="","",COUNTIFS($E$4:$E$2503,$E230,$Z$4:$Z$2503,"正常",$Y$4:$Y$2503,"待补价"))</f>
        <v/>
      </c>
      <c r="T230" s="26">
        <f>IF($G230="","",SUMIFS($P$4:$P$2503,$E$4:$E$2503,$E230,$Z$4:$Z$2503,"正常",$A$4:$A$2503,"&lt;="&amp;$A230))</f>
        <v/>
      </c>
      <c r="U230" s="26">
        <f>IF($G230="","",IF(OR($S230&gt;0,$Q230=0,$R230=0,$Z230&lt;&gt;"正常"),0,ROUND($T230/$Q230*$R230,0)-ROUND(($T230-$P230)/$Q230*$R230,0)))</f>
        <v/>
      </c>
      <c r="V230" s="26">
        <f>IF($G230="","",ROUND($P230+$U230,0))</f>
        <v/>
      </c>
      <c r="W230" s="26">
        <f>IF($G230="","",IF(N($K230)=0,0,ROUND($V230/$K230,2)))</f>
        <v/>
      </c>
      <c r="X230" s="17" t="inlineStr">
        <is>
          <t>采购入库</t>
        </is>
      </c>
      <c r="Y230" s="17" t="inlineStr">
        <is>
          <t>待补价</t>
        </is>
      </c>
      <c r="Z230" s="17" t="inlineStr">
        <is>
          <t>正常</t>
        </is>
      </c>
      <c r="AA230" s="17" t="n"/>
      <c r="AB230" s="17" t="inlineStr">
        <is>
          <t>原表第 235 行</t>
        </is>
      </c>
      <c r="AC230" s="24">
        <f>IF($G230="","",IF($H230="※编码不在物料档案里","※物料编码不在档案里",IF(N($K230)&lt;=0,"※入库数量要大于 0",IF(AND($C230&lt;&gt;"",$C230&lt;=结账锁),"※日期早于已结账截止日，不能再录",IF(AND($L230=0,$X230="正常"),"※没填单价，价格状态请选「待补价」",IF(AND($S230&gt;0,$R230&gt;0),"△本批有 "&amp;$S230&amp;" 行没单价，整批运费先挂账没摊",IF(AND($B230&lt;&gt;"",COUNTIF($B$4:$B$2503,$B230)&gt;1),"※入库单号重复","")))))))</f>
        <v/>
      </c>
    </row>
    <row r="231">
      <c r="A231" s="24">
        <f>IF($G231="","",COUNTA($G$4:$G231))</f>
        <v/>
      </c>
      <c r="B231" s="17" t="n"/>
      <c r="C231" s="30" t="n">
        <v>46091</v>
      </c>
      <c r="D231" s="17" t="inlineStr">
        <is>
          <t>A国内</t>
        </is>
      </c>
      <c r="E231" s="17" t="inlineStr">
        <is>
          <t>FCIU8857920-202603</t>
        </is>
      </c>
      <c r="F231" s="17" t="inlineStr">
        <is>
          <t>矿上材料和金豪选场设备拼柜</t>
        </is>
      </c>
      <c r="G231" s="17" t="inlineStr">
        <is>
          <t>JH0215</t>
        </is>
      </c>
      <c r="H231" s="24">
        <f>IF($G231="","",IFERROR(VLOOKUP($G231,物料档案!$A$4:$P$1203,3,0),"※编码不在物料档案里"))</f>
        <v/>
      </c>
      <c r="I231" s="24">
        <f>IF($G231="","",IFERROR(VLOOKUP($G231,物料档案!$A$4:$P$1203,4,0),"※编码不在物料档案里"))</f>
        <v/>
      </c>
      <c r="J231" s="24">
        <f>IF($G231="","",IFERROR(VLOOKUP($G231,物料档案!$A$4:$P$1203,5,0),"※编码不在物料档案里"))</f>
        <v/>
      </c>
      <c r="K231" s="23" t="n">
        <v>10</v>
      </c>
      <c r="L231" s="31" t="n"/>
      <c r="M231" s="24">
        <f>IF($G231="","",IF($D231="A国内","CNY","TZS"))</f>
        <v/>
      </c>
      <c r="N231" s="28">
        <f>IF($G231="","",IF($D231="A国内",汇率,1))</f>
        <v/>
      </c>
      <c r="O231" s="25">
        <f>IF($G231="","",ROUND(N($K231)*N($L231),2))</f>
        <v/>
      </c>
      <c r="P231" s="26">
        <f>IF($G231="","",ROUND($O231*$N231,0))</f>
        <v/>
      </c>
      <c r="Q231" s="26">
        <f>IF($G231="","",SUMIFS($P$4:$P$2503,$E$4:$E$2503,$E231,$Z$4:$Z$2503,"正常"))</f>
        <v/>
      </c>
      <c r="R231" s="26">
        <f>IF($G231="","",SUMIFS(费用台账!$I$4:$I$503,费用台账!$C$4:$C$503,$E231,费用台账!$J$4:$J$503,"是",费用台账!$K$4:$K$503,"正常"))</f>
        <v/>
      </c>
      <c r="S231" s="28">
        <f>IF($G231="","",COUNTIFS($E$4:$E$2503,$E231,$Z$4:$Z$2503,"正常",$Y$4:$Y$2503,"待补价"))</f>
        <v/>
      </c>
      <c r="T231" s="26">
        <f>IF($G231="","",SUMIFS($P$4:$P$2503,$E$4:$E$2503,$E231,$Z$4:$Z$2503,"正常",$A$4:$A$2503,"&lt;="&amp;$A231))</f>
        <v/>
      </c>
      <c r="U231" s="26">
        <f>IF($G231="","",IF(OR($S231&gt;0,$Q231=0,$R231=0,$Z231&lt;&gt;"正常"),0,ROUND($T231/$Q231*$R231,0)-ROUND(($T231-$P231)/$Q231*$R231,0)))</f>
        <v/>
      </c>
      <c r="V231" s="26">
        <f>IF($G231="","",ROUND($P231+$U231,0))</f>
        <v/>
      </c>
      <c r="W231" s="26">
        <f>IF($G231="","",IF(N($K231)=0,0,ROUND($V231/$K231,2)))</f>
        <v/>
      </c>
      <c r="X231" s="17" t="inlineStr">
        <is>
          <t>采购入库</t>
        </is>
      </c>
      <c r="Y231" s="17" t="inlineStr">
        <is>
          <t>待补价</t>
        </is>
      </c>
      <c r="Z231" s="17" t="inlineStr">
        <is>
          <t>正常</t>
        </is>
      </c>
      <c r="AA231" s="17" t="n"/>
      <c r="AB231" s="17" t="inlineStr">
        <is>
          <t>原表第 236 行</t>
        </is>
      </c>
      <c r="AC231" s="24">
        <f>IF($G231="","",IF($H231="※编码不在物料档案里","※物料编码不在档案里",IF(N($K231)&lt;=0,"※入库数量要大于 0",IF(AND($C231&lt;&gt;"",$C231&lt;=结账锁),"※日期早于已结账截止日，不能再录",IF(AND($L231=0,$X231="正常"),"※没填单价，价格状态请选「待补价」",IF(AND($S231&gt;0,$R231&gt;0),"△本批有 "&amp;$S231&amp;" 行没单价，整批运费先挂账没摊",IF(AND($B231&lt;&gt;"",COUNTIF($B$4:$B$2503,$B231)&gt;1),"※入库单号重复","")))))))</f>
        <v/>
      </c>
    </row>
    <row r="232">
      <c r="A232" s="24">
        <f>IF($G232="","",COUNTA($G$4:$G232))</f>
        <v/>
      </c>
      <c r="B232" s="17" t="n"/>
      <c r="C232" s="30" t="n">
        <v>46091</v>
      </c>
      <c r="D232" s="17" t="inlineStr">
        <is>
          <t>A国内</t>
        </is>
      </c>
      <c r="E232" s="17" t="inlineStr">
        <is>
          <t>FCIU8857920-202603</t>
        </is>
      </c>
      <c r="F232" s="17" t="inlineStr">
        <is>
          <t>矿上材料和金豪选场设备拼柜</t>
        </is>
      </c>
      <c r="G232" s="17" t="inlineStr">
        <is>
          <t>JH0216</t>
        </is>
      </c>
      <c r="H232" s="24">
        <f>IF($G232="","",IFERROR(VLOOKUP($G232,物料档案!$A$4:$P$1203,3,0),"※编码不在物料档案里"))</f>
        <v/>
      </c>
      <c r="I232" s="24">
        <f>IF($G232="","",IFERROR(VLOOKUP($G232,物料档案!$A$4:$P$1203,4,0),"※编码不在物料档案里"))</f>
        <v/>
      </c>
      <c r="J232" s="24">
        <f>IF($G232="","",IFERROR(VLOOKUP($G232,物料档案!$A$4:$P$1203,5,0),"※编码不在物料档案里"))</f>
        <v/>
      </c>
      <c r="K232" s="23" t="n">
        <v>26</v>
      </c>
      <c r="L232" s="31" t="n"/>
      <c r="M232" s="24">
        <f>IF($G232="","",IF($D232="A国内","CNY","TZS"))</f>
        <v/>
      </c>
      <c r="N232" s="28">
        <f>IF($G232="","",IF($D232="A国内",汇率,1))</f>
        <v/>
      </c>
      <c r="O232" s="25">
        <f>IF($G232="","",ROUND(N($K232)*N($L232),2))</f>
        <v/>
      </c>
      <c r="P232" s="26">
        <f>IF($G232="","",ROUND($O232*$N232,0))</f>
        <v/>
      </c>
      <c r="Q232" s="26">
        <f>IF($G232="","",SUMIFS($P$4:$P$2503,$E$4:$E$2503,$E232,$Z$4:$Z$2503,"正常"))</f>
        <v/>
      </c>
      <c r="R232" s="26">
        <f>IF($G232="","",SUMIFS(费用台账!$I$4:$I$503,费用台账!$C$4:$C$503,$E232,费用台账!$J$4:$J$503,"是",费用台账!$K$4:$K$503,"正常"))</f>
        <v/>
      </c>
      <c r="S232" s="28">
        <f>IF($G232="","",COUNTIFS($E$4:$E$2503,$E232,$Z$4:$Z$2503,"正常",$Y$4:$Y$2503,"待补价"))</f>
        <v/>
      </c>
      <c r="T232" s="26">
        <f>IF($G232="","",SUMIFS($P$4:$P$2503,$E$4:$E$2503,$E232,$Z$4:$Z$2503,"正常",$A$4:$A$2503,"&lt;="&amp;$A232))</f>
        <v/>
      </c>
      <c r="U232" s="26">
        <f>IF($G232="","",IF(OR($S232&gt;0,$Q232=0,$R232=0,$Z232&lt;&gt;"正常"),0,ROUND($T232/$Q232*$R232,0)-ROUND(($T232-$P232)/$Q232*$R232,0)))</f>
        <v/>
      </c>
      <c r="V232" s="26">
        <f>IF($G232="","",ROUND($P232+$U232,0))</f>
        <v/>
      </c>
      <c r="W232" s="26">
        <f>IF($G232="","",IF(N($K232)=0,0,ROUND($V232/$K232,2)))</f>
        <v/>
      </c>
      <c r="X232" s="17" t="inlineStr">
        <is>
          <t>采购入库</t>
        </is>
      </c>
      <c r="Y232" s="17" t="inlineStr">
        <is>
          <t>待补价</t>
        </is>
      </c>
      <c r="Z232" s="17" t="inlineStr">
        <is>
          <t>正常</t>
        </is>
      </c>
      <c r="AA232" s="17" t="n"/>
      <c r="AB232" s="17" t="inlineStr">
        <is>
          <t>原表第 237 行</t>
        </is>
      </c>
      <c r="AC232" s="24">
        <f>IF($G232="","",IF($H232="※编码不在物料档案里","※物料编码不在档案里",IF(N($K232)&lt;=0,"※入库数量要大于 0",IF(AND($C232&lt;&gt;"",$C232&lt;=结账锁),"※日期早于已结账截止日，不能再录",IF(AND($L232=0,$X232="正常"),"※没填单价，价格状态请选「待补价」",IF(AND($S232&gt;0,$R232&gt;0),"△本批有 "&amp;$S232&amp;" 行没单价，整批运费先挂账没摊",IF(AND($B232&lt;&gt;"",COUNTIF($B$4:$B$2503,$B232)&gt;1),"※入库单号重复","")))))))</f>
        <v/>
      </c>
    </row>
    <row r="233">
      <c r="A233" s="24">
        <f>IF($G233="","",COUNTA($G$4:$G233))</f>
        <v/>
      </c>
      <c r="B233" s="17" t="n"/>
      <c r="C233" s="30" t="n">
        <v>46091</v>
      </c>
      <c r="D233" s="17" t="inlineStr">
        <is>
          <t>A国内</t>
        </is>
      </c>
      <c r="E233" s="17" t="inlineStr">
        <is>
          <t>FCIU8857920-202603</t>
        </is>
      </c>
      <c r="F233" s="17" t="inlineStr">
        <is>
          <t>矿上材料和金豪选场设备拼柜</t>
        </is>
      </c>
      <c r="G233" s="17" t="inlineStr">
        <is>
          <t>JH0217</t>
        </is>
      </c>
      <c r="H233" s="24">
        <f>IF($G233="","",IFERROR(VLOOKUP($G233,物料档案!$A$4:$P$1203,3,0),"※编码不在物料档案里"))</f>
        <v/>
      </c>
      <c r="I233" s="24">
        <f>IF($G233="","",IFERROR(VLOOKUP($G233,物料档案!$A$4:$P$1203,4,0),"※编码不在物料档案里"))</f>
        <v/>
      </c>
      <c r="J233" s="24">
        <f>IF($G233="","",IFERROR(VLOOKUP($G233,物料档案!$A$4:$P$1203,5,0),"※编码不在物料档案里"))</f>
        <v/>
      </c>
      <c r="K233" s="23" t="n">
        <v>60</v>
      </c>
      <c r="L233" s="31" t="n"/>
      <c r="M233" s="24">
        <f>IF($G233="","",IF($D233="A国内","CNY","TZS"))</f>
        <v/>
      </c>
      <c r="N233" s="28">
        <f>IF($G233="","",IF($D233="A国内",汇率,1))</f>
        <v/>
      </c>
      <c r="O233" s="25">
        <f>IF($G233="","",ROUND(N($K233)*N($L233),2))</f>
        <v/>
      </c>
      <c r="P233" s="26">
        <f>IF($G233="","",ROUND($O233*$N233,0))</f>
        <v/>
      </c>
      <c r="Q233" s="26">
        <f>IF($G233="","",SUMIFS($P$4:$P$2503,$E$4:$E$2503,$E233,$Z$4:$Z$2503,"正常"))</f>
        <v/>
      </c>
      <c r="R233" s="26">
        <f>IF($G233="","",SUMIFS(费用台账!$I$4:$I$503,费用台账!$C$4:$C$503,$E233,费用台账!$J$4:$J$503,"是",费用台账!$K$4:$K$503,"正常"))</f>
        <v/>
      </c>
      <c r="S233" s="28">
        <f>IF($G233="","",COUNTIFS($E$4:$E$2503,$E233,$Z$4:$Z$2503,"正常",$Y$4:$Y$2503,"待补价"))</f>
        <v/>
      </c>
      <c r="T233" s="26">
        <f>IF($G233="","",SUMIFS($P$4:$P$2503,$E$4:$E$2503,$E233,$Z$4:$Z$2503,"正常",$A$4:$A$2503,"&lt;="&amp;$A233))</f>
        <v/>
      </c>
      <c r="U233" s="26">
        <f>IF($G233="","",IF(OR($S233&gt;0,$Q233=0,$R233=0,$Z233&lt;&gt;"正常"),0,ROUND($T233/$Q233*$R233,0)-ROUND(($T233-$P233)/$Q233*$R233,0)))</f>
        <v/>
      </c>
      <c r="V233" s="26">
        <f>IF($G233="","",ROUND($P233+$U233,0))</f>
        <v/>
      </c>
      <c r="W233" s="26">
        <f>IF($G233="","",IF(N($K233)=0,0,ROUND($V233/$K233,2)))</f>
        <v/>
      </c>
      <c r="X233" s="17" t="inlineStr">
        <is>
          <t>采购入库</t>
        </is>
      </c>
      <c r="Y233" s="17" t="inlineStr">
        <is>
          <t>待补价</t>
        </is>
      </c>
      <c r="Z233" s="17" t="inlineStr">
        <is>
          <t>正常</t>
        </is>
      </c>
      <c r="AA233" s="17" t="n"/>
      <c r="AB233" s="17" t="inlineStr">
        <is>
          <t>原表第 238 行</t>
        </is>
      </c>
      <c r="AC233" s="24">
        <f>IF($G233="","",IF($H233="※编码不在物料档案里","※物料编码不在档案里",IF(N($K233)&lt;=0,"※入库数量要大于 0",IF(AND($C233&lt;&gt;"",$C233&lt;=结账锁),"※日期早于已结账截止日，不能再录",IF(AND($L233=0,$X233="正常"),"※没填单价，价格状态请选「待补价」",IF(AND($S233&gt;0,$R233&gt;0),"△本批有 "&amp;$S233&amp;" 行没单价，整批运费先挂账没摊",IF(AND($B233&lt;&gt;"",COUNTIF($B$4:$B$2503,$B233)&gt;1),"※入库单号重复","")))))))</f>
        <v/>
      </c>
    </row>
    <row r="234">
      <c r="A234" s="24">
        <f>IF($G234="","",COUNTA($G$4:$G234))</f>
        <v/>
      </c>
      <c r="B234" s="17" t="n"/>
      <c r="C234" s="30" t="n">
        <v>46091</v>
      </c>
      <c r="D234" s="17" t="inlineStr">
        <is>
          <t>A国内</t>
        </is>
      </c>
      <c r="E234" s="17" t="inlineStr">
        <is>
          <t>FCIU8857920-202603</t>
        </is>
      </c>
      <c r="F234" s="17" t="inlineStr">
        <is>
          <t>矿上材料和金豪选场设备拼柜</t>
        </is>
      </c>
      <c r="G234" s="17" t="inlineStr">
        <is>
          <t>JH0218</t>
        </is>
      </c>
      <c r="H234" s="24">
        <f>IF($G234="","",IFERROR(VLOOKUP($G234,物料档案!$A$4:$P$1203,3,0),"※编码不在物料档案里"))</f>
        <v/>
      </c>
      <c r="I234" s="24">
        <f>IF($G234="","",IFERROR(VLOOKUP($G234,物料档案!$A$4:$P$1203,4,0),"※编码不在物料档案里"))</f>
        <v/>
      </c>
      <c r="J234" s="24">
        <f>IF($G234="","",IFERROR(VLOOKUP($G234,物料档案!$A$4:$P$1203,5,0),"※编码不在物料档案里"))</f>
        <v/>
      </c>
      <c r="K234" s="23" t="n">
        <v>8</v>
      </c>
      <c r="L234" s="31" t="n"/>
      <c r="M234" s="24">
        <f>IF($G234="","",IF($D234="A国内","CNY","TZS"))</f>
        <v/>
      </c>
      <c r="N234" s="28">
        <f>IF($G234="","",IF($D234="A国内",汇率,1))</f>
        <v/>
      </c>
      <c r="O234" s="25">
        <f>IF($G234="","",ROUND(N($K234)*N($L234),2))</f>
        <v/>
      </c>
      <c r="P234" s="26">
        <f>IF($G234="","",ROUND($O234*$N234,0))</f>
        <v/>
      </c>
      <c r="Q234" s="26">
        <f>IF($G234="","",SUMIFS($P$4:$P$2503,$E$4:$E$2503,$E234,$Z$4:$Z$2503,"正常"))</f>
        <v/>
      </c>
      <c r="R234" s="26">
        <f>IF($G234="","",SUMIFS(费用台账!$I$4:$I$503,费用台账!$C$4:$C$503,$E234,费用台账!$J$4:$J$503,"是",费用台账!$K$4:$K$503,"正常"))</f>
        <v/>
      </c>
      <c r="S234" s="28">
        <f>IF($G234="","",COUNTIFS($E$4:$E$2503,$E234,$Z$4:$Z$2503,"正常",$Y$4:$Y$2503,"待补价"))</f>
        <v/>
      </c>
      <c r="T234" s="26">
        <f>IF($G234="","",SUMIFS($P$4:$P$2503,$E$4:$E$2503,$E234,$Z$4:$Z$2503,"正常",$A$4:$A$2503,"&lt;="&amp;$A234))</f>
        <v/>
      </c>
      <c r="U234" s="26">
        <f>IF($G234="","",IF(OR($S234&gt;0,$Q234=0,$R234=0,$Z234&lt;&gt;"正常"),0,ROUND($T234/$Q234*$R234,0)-ROUND(($T234-$P234)/$Q234*$R234,0)))</f>
        <v/>
      </c>
      <c r="V234" s="26">
        <f>IF($G234="","",ROUND($P234+$U234,0))</f>
        <v/>
      </c>
      <c r="W234" s="26">
        <f>IF($G234="","",IF(N($K234)=0,0,ROUND($V234/$K234,2)))</f>
        <v/>
      </c>
      <c r="X234" s="17" t="inlineStr">
        <is>
          <t>采购入库</t>
        </is>
      </c>
      <c r="Y234" s="17" t="inlineStr">
        <is>
          <t>待补价</t>
        </is>
      </c>
      <c r="Z234" s="17" t="inlineStr">
        <is>
          <t>正常</t>
        </is>
      </c>
      <c r="AA234" s="17" t="n"/>
      <c r="AB234" s="17" t="inlineStr">
        <is>
          <t>原表第 239 行</t>
        </is>
      </c>
      <c r="AC234" s="24">
        <f>IF($G234="","",IF($H234="※编码不在物料档案里","※物料编码不在档案里",IF(N($K234)&lt;=0,"※入库数量要大于 0",IF(AND($C234&lt;&gt;"",$C234&lt;=结账锁),"※日期早于已结账截止日，不能再录",IF(AND($L234=0,$X234="正常"),"※没填单价，价格状态请选「待补价」",IF(AND($S234&gt;0,$R234&gt;0),"△本批有 "&amp;$S234&amp;" 行没单价，整批运费先挂账没摊",IF(AND($B234&lt;&gt;"",COUNTIF($B$4:$B$2503,$B234)&gt;1),"※入库单号重复","")))))))</f>
        <v/>
      </c>
    </row>
    <row r="235">
      <c r="A235" s="24">
        <f>IF($G235="","",COUNTA($G$4:$G235))</f>
        <v/>
      </c>
      <c r="B235" s="17" t="n"/>
      <c r="C235" s="30" t="n">
        <v>46091</v>
      </c>
      <c r="D235" s="17" t="inlineStr">
        <is>
          <t>A国内</t>
        </is>
      </c>
      <c r="E235" s="17" t="inlineStr">
        <is>
          <t>FCIU8857920-202603</t>
        </is>
      </c>
      <c r="F235" s="17" t="inlineStr">
        <is>
          <t>矿上材料和金豪选场设备拼柜</t>
        </is>
      </c>
      <c r="G235" s="17" t="inlineStr">
        <is>
          <t>JH0219</t>
        </is>
      </c>
      <c r="H235" s="24">
        <f>IF($G235="","",IFERROR(VLOOKUP($G235,物料档案!$A$4:$P$1203,3,0),"※编码不在物料档案里"))</f>
        <v/>
      </c>
      <c r="I235" s="24">
        <f>IF($G235="","",IFERROR(VLOOKUP($G235,物料档案!$A$4:$P$1203,4,0),"※编码不在物料档案里"))</f>
        <v/>
      </c>
      <c r="J235" s="24">
        <f>IF($G235="","",IFERROR(VLOOKUP($G235,物料档案!$A$4:$P$1203,5,0),"※编码不在物料档案里"))</f>
        <v/>
      </c>
      <c r="K235" s="23" t="n">
        <v>1</v>
      </c>
      <c r="L235" s="31" t="n"/>
      <c r="M235" s="24">
        <f>IF($G235="","",IF($D235="A国内","CNY","TZS"))</f>
        <v/>
      </c>
      <c r="N235" s="28">
        <f>IF($G235="","",IF($D235="A国内",汇率,1))</f>
        <v/>
      </c>
      <c r="O235" s="25">
        <f>IF($G235="","",ROUND(N($K235)*N($L235),2))</f>
        <v/>
      </c>
      <c r="P235" s="26">
        <f>IF($G235="","",ROUND($O235*$N235,0))</f>
        <v/>
      </c>
      <c r="Q235" s="26">
        <f>IF($G235="","",SUMIFS($P$4:$P$2503,$E$4:$E$2503,$E235,$Z$4:$Z$2503,"正常"))</f>
        <v/>
      </c>
      <c r="R235" s="26">
        <f>IF($G235="","",SUMIFS(费用台账!$I$4:$I$503,费用台账!$C$4:$C$503,$E235,费用台账!$J$4:$J$503,"是",费用台账!$K$4:$K$503,"正常"))</f>
        <v/>
      </c>
      <c r="S235" s="28">
        <f>IF($G235="","",COUNTIFS($E$4:$E$2503,$E235,$Z$4:$Z$2503,"正常",$Y$4:$Y$2503,"待补价"))</f>
        <v/>
      </c>
      <c r="T235" s="26">
        <f>IF($G235="","",SUMIFS($P$4:$P$2503,$E$4:$E$2503,$E235,$Z$4:$Z$2503,"正常",$A$4:$A$2503,"&lt;="&amp;$A235))</f>
        <v/>
      </c>
      <c r="U235" s="26">
        <f>IF($G235="","",IF(OR($S235&gt;0,$Q235=0,$R235=0,$Z235&lt;&gt;"正常"),0,ROUND($T235/$Q235*$R235,0)-ROUND(($T235-$P235)/$Q235*$R235,0)))</f>
        <v/>
      </c>
      <c r="V235" s="26">
        <f>IF($G235="","",ROUND($P235+$U235,0))</f>
        <v/>
      </c>
      <c r="W235" s="26">
        <f>IF($G235="","",IF(N($K235)=0,0,ROUND($V235/$K235,2)))</f>
        <v/>
      </c>
      <c r="X235" s="17" t="inlineStr">
        <is>
          <t>采购入库</t>
        </is>
      </c>
      <c r="Y235" s="17" t="inlineStr">
        <is>
          <t>待补价</t>
        </is>
      </c>
      <c r="Z235" s="17" t="inlineStr">
        <is>
          <t>正常</t>
        </is>
      </c>
      <c r="AA235" s="17" t="n"/>
      <c r="AB235" s="17" t="inlineStr">
        <is>
          <t>原表第 240 行</t>
        </is>
      </c>
      <c r="AC235" s="24">
        <f>IF($G235="","",IF($H235="※编码不在物料档案里","※物料编码不在档案里",IF(N($K235)&lt;=0,"※入库数量要大于 0",IF(AND($C235&lt;&gt;"",$C235&lt;=结账锁),"※日期早于已结账截止日，不能再录",IF(AND($L235=0,$X235="正常"),"※没填单价，价格状态请选「待补价」",IF(AND($S235&gt;0,$R235&gt;0),"△本批有 "&amp;$S235&amp;" 行没单价，整批运费先挂账没摊",IF(AND($B235&lt;&gt;"",COUNTIF($B$4:$B$2503,$B235)&gt;1),"※入库单号重复","")))))))</f>
        <v/>
      </c>
    </row>
    <row r="236">
      <c r="A236" s="24">
        <f>IF($G236="","",COUNTA($G$4:$G236))</f>
        <v/>
      </c>
      <c r="B236" s="17" t="n"/>
      <c r="C236" s="30" t="n">
        <v>46091</v>
      </c>
      <c r="D236" s="17" t="inlineStr">
        <is>
          <t>A国内</t>
        </is>
      </c>
      <c r="E236" s="17" t="inlineStr">
        <is>
          <t>FCIU8857920-202603</t>
        </is>
      </c>
      <c r="F236" s="17" t="inlineStr">
        <is>
          <t>矿上材料和金豪选场设备拼柜</t>
        </is>
      </c>
      <c r="G236" s="17" t="inlineStr">
        <is>
          <t>JH0220</t>
        </is>
      </c>
      <c r="H236" s="24">
        <f>IF($G236="","",IFERROR(VLOOKUP($G236,物料档案!$A$4:$P$1203,3,0),"※编码不在物料档案里"))</f>
        <v/>
      </c>
      <c r="I236" s="24">
        <f>IF($G236="","",IFERROR(VLOOKUP($G236,物料档案!$A$4:$P$1203,4,0),"※编码不在物料档案里"))</f>
        <v/>
      </c>
      <c r="J236" s="24">
        <f>IF($G236="","",IFERROR(VLOOKUP($G236,物料档案!$A$4:$P$1203,5,0),"※编码不在物料档案里"))</f>
        <v/>
      </c>
      <c r="K236" s="23" t="n">
        <v>1</v>
      </c>
      <c r="L236" s="31" t="n"/>
      <c r="M236" s="24">
        <f>IF($G236="","",IF($D236="A国内","CNY","TZS"))</f>
        <v/>
      </c>
      <c r="N236" s="28">
        <f>IF($G236="","",IF($D236="A国内",汇率,1))</f>
        <v/>
      </c>
      <c r="O236" s="25">
        <f>IF($G236="","",ROUND(N($K236)*N($L236),2))</f>
        <v/>
      </c>
      <c r="P236" s="26">
        <f>IF($G236="","",ROUND($O236*$N236,0))</f>
        <v/>
      </c>
      <c r="Q236" s="26">
        <f>IF($G236="","",SUMIFS($P$4:$P$2503,$E$4:$E$2503,$E236,$Z$4:$Z$2503,"正常"))</f>
        <v/>
      </c>
      <c r="R236" s="26">
        <f>IF($G236="","",SUMIFS(费用台账!$I$4:$I$503,费用台账!$C$4:$C$503,$E236,费用台账!$J$4:$J$503,"是",费用台账!$K$4:$K$503,"正常"))</f>
        <v/>
      </c>
      <c r="S236" s="28">
        <f>IF($G236="","",COUNTIFS($E$4:$E$2503,$E236,$Z$4:$Z$2503,"正常",$Y$4:$Y$2503,"待补价"))</f>
        <v/>
      </c>
      <c r="T236" s="26">
        <f>IF($G236="","",SUMIFS($P$4:$P$2503,$E$4:$E$2503,$E236,$Z$4:$Z$2503,"正常",$A$4:$A$2503,"&lt;="&amp;$A236))</f>
        <v/>
      </c>
      <c r="U236" s="26">
        <f>IF($G236="","",IF(OR($S236&gt;0,$Q236=0,$R236=0,$Z236&lt;&gt;"正常"),0,ROUND($T236/$Q236*$R236,0)-ROUND(($T236-$P236)/$Q236*$R236,0)))</f>
        <v/>
      </c>
      <c r="V236" s="26">
        <f>IF($G236="","",ROUND($P236+$U236,0))</f>
        <v/>
      </c>
      <c r="W236" s="26">
        <f>IF($G236="","",IF(N($K236)=0,0,ROUND($V236/$K236,2)))</f>
        <v/>
      </c>
      <c r="X236" s="17" t="inlineStr">
        <is>
          <t>采购入库</t>
        </is>
      </c>
      <c r="Y236" s="17" t="inlineStr">
        <is>
          <t>待补价</t>
        </is>
      </c>
      <c r="Z236" s="17" t="inlineStr">
        <is>
          <t>正常</t>
        </is>
      </c>
      <c r="AA236" s="17" t="n"/>
      <c r="AB236" s="17" t="inlineStr">
        <is>
          <t>原表第 241 行</t>
        </is>
      </c>
      <c r="AC236" s="24">
        <f>IF($G236="","",IF($H236="※编码不在物料档案里","※物料编码不在档案里",IF(N($K236)&lt;=0,"※入库数量要大于 0",IF(AND($C236&lt;&gt;"",$C236&lt;=结账锁),"※日期早于已结账截止日，不能再录",IF(AND($L236=0,$X236="正常"),"※没填单价，价格状态请选「待补价」",IF(AND($S236&gt;0,$R236&gt;0),"△本批有 "&amp;$S236&amp;" 行没单价，整批运费先挂账没摊",IF(AND($B236&lt;&gt;"",COUNTIF($B$4:$B$2503,$B236)&gt;1),"※入库单号重复","")))))))</f>
        <v/>
      </c>
    </row>
    <row r="237">
      <c r="A237" s="24">
        <f>IF($G237="","",COUNTA($G$4:$G237))</f>
        <v/>
      </c>
      <c r="B237" s="17" t="n"/>
      <c r="C237" s="30" t="n">
        <v>46091</v>
      </c>
      <c r="D237" s="17" t="inlineStr">
        <is>
          <t>A国内</t>
        </is>
      </c>
      <c r="E237" s="17" t="inlineStr">
        <is>
          <t>FCIU8857920-202603</t>
        </is>
      </c>
      <c r="F237" s="17" t="inlineStr">
        <is>
          <t>烟台市金豪矿山机械有限公司</t>
        </is>
      </c>
      <c r="G237" s="17" t="inlineStr">
        <is>
          <t>JH0221</t>
        </is>
      </c>
      <c r="H237" s="24">
        <f>IF($G237="","",IFERROR(VLOOKUP($G237,物料档案!$A$4:$P$1203,3,0),"※编码不在物料档案里"))</f>
        <v/>
      </c>
      <c r="I237" s="24">
        <f>IF($G237="","",IFERROR(VLOOKUP($G237,物料档案!$A$4:$P$1203,4,0),"※编码不在物料档案里"))</f>
        <v/>
      </c>
      <c r="J237" s="24">
        <f>IF($G237="","",IFERROR(VLOOKUP($G237,物料档案!$A$4:$P$1203,5,0),"※编码不在物料档案里"))</f>
        <v/>
      </c>
      <c r="K237" s="23" t="n">
        <v>1</v>
      </c>
      <c r="L237" s="31" t="n"/>
      <c r="M237" s="24">
        <f>IF($G237="","",IF($D237="A国内","CNY","TZS"))</f>
        <v/>
      </c>
      <c r="N237" s="28">
        <f>IF($G237="","",IF($D237="A国内",汇率,1))</f>
        <v/>
      </c>
      <c r="O237" s="25">
        <f>IF($G237="","",ROUND(N($K237)*N($L237),2))</f>
        <v/>
      </c>
      <c r="P237" s="26">
        <f>IF($G237="","",ROUND($O237*$N237,0))</f>
        <v/>
      </c>
      <c r="Q237" s="26">
        <f>IF($G237="","",SUMIFS($P$4:$P$2503,$E$4:$E$2503,$E237,$Z$4:$Z$2503,"正常"))</f>
        <v/>
      </c>
      <c r="R237" s="26">
        <f>IF($G237="","",SUMIFS(费用台账!$I$4:$I$503,费用台账!$C$4:$C$503,$E237,费用台账!$J$4:$J$503,"是",费用台账!$K$4:$K$503,"正常"))</f>
        <v/>
      </c>
      <c r="S237" s="28">
        <f>IF($G237="","",COUNTIFS($E$4:$E$2503,$E237,$Z$4:$Z$2503,"正常",$Y$4:$Y$2503,"待补价"))</f>
        <v/>
      </c>
      <c r="T237" s="26">
        <f>IF($G237="","",SUMIFS($P$4:$P$2503,$E$4:$E$2503,$E237,$Z$4:$Z$2503,"正常",$A$4:$A$2503,"&lt;="&amp;$A237))</f>
        <v/>
      </c>
      <c r="U237" s="26">
        <f>IF($G237="","",IF(OR($S237&gt;0,$Q237=0,$R237=0,$Z237&lt;&gt;"正常"),0,ROUND($T237/$Q237*$R237,0)-ROUND(($T237-$P237)/$Q237*$R237,0)))</f>
        <v/>
      </c>
      <c r="V237" s="26">
        <f>IF($G237="","",ROUND($P237+$U237,0))</f>
        <v/>
      </c>
      <c r="W237" s="26">
        <f>IF($G237="","",IF(N($K237)=0,0,ROUND($V237/$K237,2)))</f>
        <v/>
      </c>
      <c r="X237" s="17" t="inlineStr">
        <is>
          <t>采购入库</t>
        </is>
      </c>
      <c r="Y237" s="17" t="inlineStr">
        <is>
          <t>待补价</t>
        </is>
      </c>
      <c r="Z237" s="17" t="inlineStr">
        <is>
          <t>正常</t>
        </is>
      </c>
      <c r="AA237" s="17" t="n"/>
      <c r="AB237" s="17" t="inlineStr">
        <is>
          <t>原表第 242 行</t>
        </is>
      </c>
      <c r="AC237" s="24">
        <f>IF($G237="","",IF($H237="※编码不在物料档案里","※物料编码不在档案里",IF(N($K237)&lt;=0,"※入库数量要大于 0",IF(AND($C237&lt;&gt;"",$C237&lt;=结账锁),"※日期早于已结账截止日，不能再录",IF(AND($L237=0,$X237="正常"),"※没填单价，价格状态请选「待补价」",IF(AND($S237&gt;0,$R237&gt;0),"△本批有 "&amp;$S237&amp;" 行没单价，整批运费先挂账没摊",IF(AND($B237&lt;&gt;"",COUNTIF($B$4:$B$2503,$B237)&gt;1),"※入库单号重复","")))))))</f>
        <v/>
      </c>
    </row>
    <row r="238">
      <c r="A238" s="24">
        <f>IF($G238="","",COUNTA($G$4:$G238))</f>
        <v/>
      </c>
      <c r="B238" s="17" t="n"/>
      <c r="C238" s="30" t="n">
        <v>46091</v>
      </c>
      <c r="D238" s="17" t="inlineStr">
        <is>
          <t>A国内</t>
        </is>
      </c>
      <c r="E238" s="17" t="inlineStr">
        <is>
          <t>FCIU8857920-202603</t>
        </is>
      </c>
      <c r="F238" s="17" t="inlineStr">
        <is>
          <t>烟台市金豪矿山机械有限公司</t>
        </is>
      </c>
      <c r="G238" s="17" t="inlineStr">
        <is>
          <t>JH0222</t>
        </is>
      </c>
      <c r="H238" s="24">
        <f>IF($G238="","",IFERROR(VLOOKUP($G238,物料档案!$A$4:$P$1203,3,0),"※编码不在物料档案里"))</f>
        <v/>
      </c>
      <c r="I238" s="24">
        <f>IF($G238="","",IFERROR(VLOOKUP($G238,物料档案!$A$4:$P$1203,4,0),"※编码不在物料档案里"))</f>
        <v/>
      </c>
      <c r="J238" s="24">
        <f>IF($G238="","",IFERROR(VLOOKUP($G238,物料档案!$A$4:$P$1203,5,0),"※编码不在物料档案里"))</f>
        <v/>
      </c>
      <c r="K238" s="23" t="n">
        <v>1</v>
      </c>
      <c r="L238" s="31" t="n"/>
      <c r="M238" s="24">
        <f>IF($G238="","",IF($D238="A国内","CNY","TZS"))</f>
        <v/>
      </c>
      <c r="N238" s="28">
        <f>IF($G238="","",IF($D238="A国内",汇率,1))</f>
        <v/>
      </c>
      <c r="O238" s="25">
        <f>IF($G238="","",ROUND(N($K238)*N($L238),2))</f>
        <v/>
      </c>
      <c r="P238" s="26">
        <f>IF($G238="","",ROUND($O238*$N238,0))</f>
        <v/>
      </c>
      <c r="Q238" s="26">
        <f>IF($G238="","",SUMIFS($P$4:$P$2503,$E$4:$E$2503,$E238,$Z$4:$Z$2503,"正常"))</f>
        <v/>
      </c>
      <c r="R238" s="26">
        <f>IF($G238="","",SUMIFS(费用台账!$I$4:$I$503,费用台账!$C$4:$C$503,$E238,费用台账!$J$4:$J$503,"是",费用台账!$K$4:$K$503,"正常"))</f>
        <v/>
      </c>
      <c r="S238" s="28">
        <f>IF($G238="","",COUNTIFS($E$4:$E$2503,$E238,$Z$4:$Z$2503,"正常",$Y$4:$Y$2503,"待补价"))</f>
        <v/>
      </c>
      <c r="T238" s="26">
        <f>IF($G238="","",SUMIFS($P$4:$P$2503,$E$4:$E$2503,$E238,$Z$4:$Z$2503,"正常",$A$4:$A$2503,"&lt;="&amp;$A238))</f>
        <v/>
      </c>
      <c r="U238" s="26">
        <f>IF($G238="","",IF(OR($S238&gt;0,$Q238=0,$R238=0,$Z238&lt;&gt;"正常"),0,ROUND($T238/$Q238*$R238,0)-ROUND(($T238-$P238)/$Q238*$R238,0)))</f>
        <v/>
      </c>
      <c r="V238" s="26">
        <f>IF($G238="","",ROUND($P238+$U238,0))</f>
        <v/>
      </c>
      <c r="W238" s="26">
        <f>IF($G238="","",IF(N($K238)=0,0,ROUND($V238/$K238,2)))</f>
        <v/>
      </c>
      <c r="X238" s="17" t="inlineStr">
        <is>
          <t>采购入库</t>
        </is>
      </c>
      <c r="Y238" s="17" t="inlineStr">
        <is>
          <t>待补价</t>
        </is>
      </c>
      <c r="Z238" s="17" t="inlineStr">
        <is>
          <t>正常</t>
        </is>
      </c>
      <c r="AA238" s="17" t="n"/>
      <c r="AB238" s="17" t="inlineStr">
        <is>
          <t>原表第 243 行</t>
        </is>
      </c>
      <c r="AC238" s="24">
        <f>IF($G238="","",IF($H238="※编码不在物料档案里","※物料编码不在档案里",IF(N($K238)&lt;=0,"※入库数量要大于 0",IF(AND($C238&lt;&gt;"",$C238&lt;=结账锁),"※日期早于已结账截止日，不能再录",IF(AND($L238=0,$X238="正常"),"※没填单价，价格状态请选「待补价」",IF(AND($S238&gt;0,$R238&gt;0),"△本批有 "&amp;$S238&amp;" 行没单价，整批运费先挂账没摊",IF(AND($B238&lt;&gt;"",COUNTIF($B$4:$B$2503,$B238)&gt;1),"※入库单号重复","")))))))</f>
        <v/>
      </c>
    </row>
    <row r="239">
      <c r="A239" s="24">
        <f>IF($G239="","",COUNTA($G$4:$G239))</f>
        <v/>
      </c>
      <c r="B239" s="17" t="n"/>
      <c r="C239" s="30" t="n">
        <v>46091</v>
      </c>
      <c r="D239" s="17" t="inlineStr">
        <is>
          <t>A国内</t>
        </is>
      </c>
      <c r="E239" s="17" t="inlineStr">
        <is>
          <t>FCIU8857920-202603</t>
        </is>
      </c>
      <c r="F239" s="17" t="inlineStr">
        <is>
          <t>烟台市金豪矿山机械有限公司</t>
        </is>
      </c>
      <c r="G239" s="17" t="inlineStr">
        <is>
          <t>JH0223</t>
        </is>
      </c>
      <c r="H239" s="24">
        <f>IF($G239="","",IFERROR(VLOOKUP($G239,物料档案!$A$4:$P$1203,3,0),"※编码不在物料档案里"))</f>
        <v/>
      </c>
      <c r="I239" s="24">
        <f>IF($G239="","",IFERROR(VLOOKUP($G239,物料档案!$A$4:$P$1203,4,0),"※编码不在物料档案里"))</f>
        <v/>
      </c>
      <c r="J239" s="24">
        <f>IF($G239="","",IFERROR(VLOOKUP($G239,物料档案!$A$4:$P$1203,5,0),"※编码不在物料档案里"))</f>
        <v/>
      </c>
      <c r="K239" s="23" t="n">
        <v>1</v>
      </c>
      <c r="L239" s="31" t="n"/>
      <c r="M239" s="24">
        <f>IF($G239="","",IF($D239="A国内","CNY","TZS"))</f>
        <v/>
      </c>
      <c r="N239" s="28">
        <f>IF($G239="","",IF($D239="A国内",汇率,1))</f>
        <v/>
      </c>
      <c r="O239" s="25">
        <f>IF($G239="","",ROUND(N($K239)*N($L239),2))</f>
        <v/>
      </c>
      <c r="P239" s="26">
        <f>IF($G239="","",ROUND($O239*$N239,0))</f>
        <v/>
      </c>
      <c r="Q239" s="26">
        <f>IF($G239="","",SUMIFS($P$4:$P$2503,$E$4:$E$2503,$E239,$Z$4:$Z$2503,"正常"))</f>
        <v/>
      </c>
      <c r="R239" s="26">
        <f>IF($G239="","",SUMIFS(费用台账!$I$4:$I$503,费用台账!$C$4:$C$503,$E239,费用台账!$J$4:$J$503,"是",费用台账!$K$4:$K$503,"正常"))</f>
        <v/>
      </c>
      <c r="S239" s="28">
        <f>IF($G239="","",COUNTIFS($E$4:$E$2503,$E239,$Z$4:$Z$2503,"正常",$Y$4:$Y$2503,"待补价"))</f>
        <v/>
      </c>
      <c r="T239" s="26">
        <f>IF($G239="","",SUMIFS($P$4:$P$2503,$E$4:$E$2503,$E239,$Z$4:$Z$2503,"正常",$A$4:$A$2503,"&lt;="&amp;$A239))</f>
        <v/>
      </c>
      <c r="U239" s="26">
        <f>IF($G239="","",IF(OR($S239&gt;0,$Q239=0,$R239=0,$Z239&lt;&gt;"正常"),0,ROUND($T239/$Q239*$R239,0)-ROUND(($T239-$P239)/$Q239*$R239,0)))</f>
        <v/>
      </c>
      <c r="V239" s="26">
        <f>IF($G239="","",ROUND($P239+$U239,0))</f>
        <v/>
      </c>
      <c r="W239" s="26">
        <f>IF($G239="","",IF(N($K239)=0,0,ROUND($V239/$K239,2)))</f>
        <v/>
      </c>
      <c r="X239" s="17" t="inlineStr">
        <is>
          <t>采购入库</t>
        </is>
      </c>
      <c r="Y239" s="17" t="inlineStr">
        <is>
          <t>待补价</t>
        </is>
      </c>
      <c r="Z239" s="17" t="inlineStr">
        <is>
          <t>正常</t>
        </is>
      </c>
      <c r="AA239" s="17" t="n"/>
      <c r="AB239" s="17" t="inlineStr">
        <is>
          <t>原表第 244 行</t>
        </is>
      </c>
      <c r="AC239" s="24">
        <f>IF($G239="","",IF($H239="※编码不在物料档案里","※物料编码不在档案里",IF(N($K239)&lt;=0,"※入库数量要大于 0",IF(AND($C239&lt;&gt;"",$C239&lt;=结账锁),"※日期早于已结账截止日，不能再录",IF(AND($L239=0,$X239="正常"),"※没填单价，价格状态请选「待补价」",IF(AND($S239&gt;0,$R239&gt;0),"△本批有 "&amp;$S239&amp;" 行没单价，整批运费先挂账没摊",IF(AND($B239&lt;&gt;"",COUNTIF($B$4:$B$2503,$B239)&gt;1),"※入库单号重复","")))))))</f>
        <v/>
      </c>
    </row>
    <row r="240">
      <c r="A240" s="24">
        <f>IF($G240="","",COUNTA($G$4:$G240))</f>
        <v/>
      </c>
      <c r="B240" s="17" t="n"/>
      <c r="C240" s="30" t="n">
        <v>46091</v>
      </c>
      <c r="D240" s="17" t="inlineStr">
        <is>
          <t>A国内</t>
        </is>
      </c>
      <c r="E240" s="17" t="inlineStr">
        <is>
          <t>FCIU8857920-202603</t>
        </is>
      </c>
      <c r="F240" s="17" t="inlineStr">
        <is>
          <t>烟台市金豪矿山机械有限公司</t>
        </is>
      </c>
      <c r="G240" s="17" t="inlineStr">
        <is>
          <t>JH0224</t>
        </is>
      </c>
      <c r="H240" s="24">
        <f>IF($G240="","",IFERROR(VLOOKUP($G240,物料档案!$A$4:$P$1203,3,0),"※编码不在物料档案里"))</f>
        <v/>
      </c>
      <c r="I240" s="24">
        <f>IF($G240="","",IFERROR(VLOOKUP($G240,物料档案!$A$4:$P$1203,4,0),"※编码不在物料档案里"))</f>
        <v/>
      </c>
      <c r="J240" s="24">
        <f>IF($G240="","",IFERROR(VLOOKUP($G240,物料档案!$A$4:$P$1203,5,0),"※编码不在物料档案里"))</f>
        <v/>
      </c>
      <c r="K240" s="23" t="n">
        <v>1</v>
      </c>
      <c r="L240" s="31" t="n"/>
      <c r="M240" s="24">
        <f>IF($G240="","",IF($D240="A国内","CNY","TZS"))</f>
        <v/>
      </c>
      <c r="N240" s="28">
        <f>IF($G240="","",IF($D240="A国内",汇率,1))</f>
        <v/>
      </c>
      <c r="O240" s="25">
        <f>IF($G240="","",ROUND(N($K240)*N($L240),2))</f>
        <v/>
      </c>
      <c r="P240" s="26">
        <f>IF($G240="","",ROUND($O240*$N240,0))</f>
        <v/>
      </c>
      <c r="Q240" s="26">
        <f>IF($G240="","",SUMIFS($P$4:$P$2503,$E$4:$E$2503,$E240,$Z$4:$Z$2503,"正常"))</f>
        <v/>
      </c>
      <c r="R240" s="26">
        <f>IF($G240="","",SUMIFS(费用台账!$I$4:$I$503,费用台账!$C$4:$C$503,$E240,费用台账!$J$4:$J$503,"是",费用台账!$K$4:$K$503,"正常"))</f>
        <v/>
      </c>
      <c r="S240" s="28">
        <f>IF($G240="","",COUNTIFS($E$4:$E$2503,$E240,$Z$4:$Z$2503,"正常",$Y$4:$Y$2503,"待补价"))</f>
        <v/>
      </c>
      <c r="T240" s="26">
        <f>IF($G240="","",SUMIFS($P$4:$P$2503,$E$4:$E$2503,$E240,$Z$4:$Z$2503,"正常",$A$4:$A$2503,"&lt;="&amp;$A240))</f>
        <v/>
      </c>
      <c r="U240" s="26">
        <f>IF($G240="","",IF(OR($S240&gt;0,$Q240=0,$R240=0,$Z240&lt;&gt;"正常"),0,ROUND($T240/$Q240*$R240,0)-ROUND(($T240-$P240)/$Q240*$R240,0)))</f>
        <v/>
      </c>
      <c r="V240" s="26">
        <f>IF($G240="","",ROUND($P240+$U240,0))</f>
        <v/>
      </c>
      <c r="W240" s="26">
        <f>IF($G240="","",IF(N($K240)=0,0,ROUND($V240/$K240,2)))</f>
        <v/>
      </c>
      <c r="X240" s="17" t="inlineStr">
        <is>
          <t>采购入库</t>
        </is>
      </c>
      <c r="Y240" s="17" t="inlineStr">
        <is>
          <t>待补价</t>
        </is>
      </c>
      <c r="Z240" s="17" t="inlineStr">
        <is>
          <t>正常</t>
        </is>
      </c>
      <c r="AA240" s="17" t="n"/>
      <c r="AB240" s="17" t="inlineStr">
        <is>
          <t>原表第 245 行</t>
        </is>
      </c>
      <c r="AC240" s="24">
        <f>IF($G240="","",IF($H240="※编码不在物料档案里","※物料编码不在档案里",IF(N($K240)&lt;=0,"※入库数量要大于 0",IF(AND($C240&lt;&gt;"",$C240&lt;=结账锁),"※日期早于已结账截止日，不能再录",IF(AND($L240=0,$X240="正常"),"※没填单价，价格状态请选「待补价」",IF(AND($S240&gt;0,$R240&gt;0),"△本批有 "&amp;$S240&amp;" 行没单价，整批运费先挂账没摊",IF(AND($B240&lt;&gt;"",COUNTIF($B$4:$B$2503,$B240)&gt;1),"※入库单号重复","")))))))</f>
        <v/>
      </c>
    </row>
    <row r="241">
      <c r="A241" s="24">
        <f>IF($G241="","",COUNTA($G$4:$G241))</f>
        <v/>
      </c>
      <c r="B241" s="17" t="n"/>
      <c r="C241" s="30" t="n">
        <v>46091</v>
      </c>
      <c r="D241" s="17" t="inlineStr">
        <is>
          <t>A国内</t>
        </is>
      </c>
      <c r="E241" s="17" t="inlineStr">
        <is>
          <t>FCIU8857920-202603</t>
        </is>
      </c>
      <c r="F241" s="17" t="inlineStr">
        <is>
          <t>烟台市金豪矿山机械有限公司</t>
        </is>
      </c>
      <c r="G241" s="17" t="inlineStr">
        <is>
          <t>JH0225</t>
        </is>
      </c>
      <c r="H241" s="24">
        <f>IF($G241="","",IFERROR(VLOOKUP($G241,物料档案!$A$4:$P$1203,3,0),"※编码不在物料档案里"))</f>
        <v/>
      </c>
      <c r="I241" s="24">
        <f>IF($G241="","",IFERROR(VLOOKUP($G241,物料档案!$A$4:$P$1203,4,0),"※编码不在物料档案里"))</f>
        <v/>
      </c>
      <c r="J241" s="24">
        <f>IF($G241="","",IFERROR(VLOOKUP($G241,物料档案!$A$4:$P$1203,5,0),"※编码不在物料档案里"))</f>
        <v/>
      </c>
      <c r="K241" s="23" t="n">
        <v>1</v>
      </c>
      <c r="L241" s="31" t="n"/>
      <c r="M241" s="24">
        <f>IF($G241="","",IF($D241="A国内","CNY","TZS"))</f>
        <v/>
      </c>
      <c r="N241" s="28">
        <f>IF($G241="","",IF($D241="A国内",汇率,1))</f>
        <v/>
      </c>
      <c r="O241" s="25">
        <f>IF($G241="","",ROUND(N($K241)*N($L241),2))</f>
        <v/>
      </c>
      <c r="P241" s="26">
        <f>IF($G241="","",ROUND($O241*$N241,0))</f>
        <v/>
      </c>
      <c r="Q241" s="26">
        <f>IF($G241="","",SUMIFS($P$4:$P$2503,$E$4:$E$2503,$E241,$Z$4:$Z$2503,"正常"))</f>
        <v/>
      </c>
      <c r="R241" s="26">
        <f>IF($G241="","",SUMIFS(费用台账!$I$4:$I$503,费用台账!$C$4:$C$503,$E241,费用台账!$J$4:$J$503,"是",费用台账!$K$4:$K$503,"正常"))</f>
        <v/>
      </c>
      <c r="S241" s="28">
        <f>IF($G241="","",COUNTIFS($E$4:$E$2503,$E241,$Z$4:$Z$2503,"正常",$Y$4:$Y$2503,"待补价"))</f>
        <v/>
      </c>
      <c r="T241" s="26">
        <f>IF($G241="","",SUMIFS($P$4:$P$2503,$E$4:$E$2503,$E241,$Z$4:$Z$2503,"正常",$A$4:$A$2503,"&lt;="&amp;$A241))</f>
        <v/>
      </c>
      <c r="U241" s="26">
        <f>IF($G241="","",IF(OR($S241&gt;0,$Q241=0,$R241=0,$Z241&lt;&gt;"正常"),0,ROUND($T241/$Q241*$R241,0)-ROUND(($T241-$P241)/$Q241*$R241,0)))</f>
        <v/>
      </c>
      <c r="V241" s="26">
        <f>IF($G241="","",ROUND($P241+$U241,0))</f>
        <v/>
      </c>
      <c r="W241" s="26">
        <f>IF($G241="","",IF(N($K241)=0,0,ROUND($V241/$K241,2)))</f>
        <v/>
      </c>
      <c r="X241" s="17" t="inlineStr">
        <is>
          <t>采购入库</t>
        </is>
      </c>
      <c r="Y241" s="17" t="inlineStr">
        <is>
          <t>待补价</t>
        </is>
      </c>
      <c r="Z241" s="17" t="inlineStr">
        <is>
          <t>正常</t>
        </is>
      </c>
      <c r="AA241" s="17" t="n"/>
      <c r="AB241" s="17" t="inlineStr">
        <is>
          <t>原表第 246 行</t>
        </is>
      </c>
      <c r="AC241" s="24">
        <f>IF($G241="","",IF($H241="※编码不在物料档案里","※物料编码不在档案里",IF(N($K241)&lt;=0,"※入库数量要大于 0",IF(AND($C241&lt;&gt;"",$C241&lt;=结账锁),"※日期早于已结账截止日，不能再录",IF(AND($L241=0,$X241="正常"),"※没填单价，价格状态请选「待补价」",IF(AND($S241&gt;0,$R241&gt;0),"△本批有 "&amp;$S241&amp;" 行没单价，整批运费先挂账没摊",IF(AND($B241&lt;&gt;"",COUNTIF($B$4:$B$2503,$B241)&gt;1),"※入库单号重复","")))))))</f>
        <v/>
      </c>
    </row>
    <row r="242">
      <c r="A242" s="24">
        <f>IF($G242="","",COUNTA($G$4:$G242))</f>
        <v/>
      </c>
      <c r="B242" s="17" t="n"/>
      <c r="C242" s="30" t="n">
        <v>46091</v>
      </c>
      <c r="D242" s="17" t="inlineStr">
        <is>
          <t>A国内</t>
        </is>
      </c>
      <c r="E242" s="17" t="inlineStr">
        <is>
          <t>FCIU8857920-202603</t>
        </is>
      </c>
      <c r="F242" s="17" t="inlineStr">
        <is>
          <t>烟台市金豪矿山机械有限公司</t>
        </is>
      </c>
      <c r="G242" s="17" t="inlineStr">
        <is>
          <t>JH0226</t>
        </is>
      </c>
      <c r="H242" s="24">
        <f>IF($G242="","",IFERROR(VLOOKUP($G242,物料档案!$A$4:$P$1203,3,0),"※编码不在物料档案里"))</f>
        <v/>
      </c>
      <c r="I242" s="24">
        <f>IF($G242="","",IFERROR(VLOOKUP($G242,物料档案!$A$4:$P$1203,4,0),"※编码不在物料档案里"))</f>
        <v/>
      </c>
      <c r="J242" s="24">
        <f>IF($G242="","",IFERROR(VLOOKUP($G242,物料档案!$A$4:$P$1203,5,0),"※编码不在物料档案里"))</f>
        <v/>
      </c>
      <c r="K242" s="23" t="n">
        <v>2</v>
      </c>
      <c r="L242" s="31" t="n"/>
      <c r="M242" s="24">
        <f>IF($G242="","",IF($D242="A国内","CNY","TZS"))</f>
        <v/>
      </c>
      <c r="N242" s="28">
        <f>IF($G242="","",IF($D242="A国内",汇率,1))</f>
        <v/>
      </c>
      <c r="O242" s="25">
        <f>IF($G242="","",ROUND(N($K242)*N($L242),2))</f>
        <v/>
      </c>
      <c r="P242" s="26">
        <f>IF($G242="","",ROUND($O242*$N242,0))</f>
        <v/>
      </c>
      <c r="Q242" s="26">
        <f>IF($G242="","",SUMIFS($P$4:$P$2503,$E$4:$E$2503,$E242,$Z$4:$Z$2503,"正常"))</f>
        <v/>
      </c>
      <c r="R242" s="26">
        <f>IF($G242="","",SUMIFS(费用台账!$I$4:$I$503,费用台账!$C$4:$C$503,$E242,费用台账!$J$4:$J$503,"是",费用台账!$K$4:$K$503,"正常"))</f>
        <v/>
      </c>
      <c r="S242" s="28">
        <f>IF($G242="","",COUNTIFS($E$4:$E$2503,$E242,$Z$4:$Z$2503,"正常",$Y$4:$Y$2503,"待补价"))</f>
        <v/>
      </c>
      <c r="T242" s="26">
        <f>IF($G242="","",SUMIFS($P$4:$P$2503,$E$4:$E$2503,$E242,$Z$4:$Z$2503,"正常",$A$4:$A$2503,"&lt;="&amp;$A242))</f>
        <v/>
      </c>
      <c r="U242" s="26">
        <f>IF($G242="","",IF(OR($S242&gt;0,$Q242=0,$R242=0,$Z242&lt;&gt;"正常"),0,ROUND($T242/$Q242*$R242,0)-ROUND(($T242-$P242)/$Q242*$R242,0)))</f>
        <v/>
      </c>
      <c r="V242" s="26">
        <f>IF($G242="","",ROUND($P242+$U242,0))</f>
        <v/>
      </c>
      <c r="W242" s="26">
        <f>IF($G242="","",IF(N($K242)=0,0,ROUND($V242/$K242,2)))</f>
        <v/>
      </c>
      <c r="X242" s="17" t="inlineStr">
        <is>
          <t>采购入库</t>
        </is>
      </c>
      <c r="Y242" s="17" t="inlineStr">
        <is>
          <t>待补价</t>
        </is>
      </c>
      <c r="Z242" s="17" t="inlineStr">
        <is>
          <t>正常</t>
        </is>
      </c>
      <c r="AA242" s="17" t="n"/>
      <c r="AB242" s="17" t="inlineStr">
        <is>
          <t>原表第 247 行</t>
        </is>
      </c>
      <c r="AC242" s="24">
        <f>IF($G242="","",IF($H242="※编码不在物料档案里","※物料编码不在档案里",IF(N($K242)&lt;=0,"※入库数量要大于 0",IF(AND($C242&lt;&gt;"",$C242&lt;=结账锁),"※日期早于已结账截止日，不能再录",IF(AND($L242=0,$X242="正常"),"※没填单价，价格状态请选「待补价」",IF(AND($S242&gt;0,$R242&gt;0),"△本批有 "&amp;$S242&amp;" 行没单价，整批运费先挂账没摊",IF(AND($B242&lt;&gt;"",COUNTIF($B$4:$B$2503,$B242)&gt;1),"※入库单号重复","")))))))</f>
        <v/>
      </c>
    </row>
    <row r="243">
      <c r="A243" s="24">
        <f>IF($G243="","",COUNTA($G$4:$G243))</f>
        <v/>
      </c>
      <c r="B243" s="17" t="n"/>
      <c r="C243" s="30" t="n">
        <v>46091</v>
      </c>
      <c r="D243" s="17" t="inlineStr">
        <is>
          <t>A国内</t>
        </is>
      </c>
      <c r="E243" s="17" t="inlineStr">
        <is>
          <t>FCIU8857920-202603</t>
        </is>
      </c>
      <c r="F243" s="17" t="inlineStr">
        <is>
          <t>烟台市金豪矿山机械有限公司</t>
        </is>
      </c>
      <c r="G243" s="17" t="inlineStr">
        <is>
          <t>JH0227</t>
        </is>
      </c>
      <c r="H243" s="24">
        <f>IF($G243="","",IFERROR(VLOOKUP($G243,物料档案!$A$4:$P$1203,3,0),"※编码不在物料档案里"))</f>
        <v/>
      </c>
      <c r="I243" s="24">
        <f>IF($G243="","",IFERROR(VLOOKUP($G243,物料档案!$A$4:$P$1203,4,0),"※编码不在物料档案里"))</f>
        <v/>
      </c>
      <c r="J243" s="24">
        <f>IF($G243="","",IFERROR(VLOOKUP($G243,物料档案!$A$4:$P$1203,5,0),"※编码不在物料档案里"))</f>
        <v/>
      </c>
      <c r="K243" s="23" t="n">
        <v>1</v>
      </c>
      <c r="L243" s="31" t="n"/>
      <c r="M243" s="24">
        <f>IF($G243="","",IF($D243="A国内","CNY","TZS"))</f>
        <v/>
      </c>
      <c r="N243" s="28">
        <f>IF($G243="","",IF($D243="A国内",汇率,1))</f>
        <v/>
      </c>
      <c r="O243" s="25">
        <f>IF($G243="","",ROUND(N($K243)*N($L243),2))</f>
        <v/>
      </c>
      <c r="P243" s="26">
        <f>IF($G243="","",ROUND($O243*$N243,0))</f>
        <v/>
      </c>
      <c r="Q243" s="26">
        <f>IF($G243="","",SUMIFS($P$4:$P$2503,$E$4:$E$2503,$E243,$Z$4:$Z$2503,"正常"))</f>
        <v/>
      </c>
      <c r="R243" s="26">
        <f>IF($G243="","",SUMIFS(费用台账!$I$4:$I$503,费用台账!$C$4:$C$503,$E243,费用台账!$J$4:$J$503,"是",费用台账!$K$4:$K$503,"正常"))</f>
        <v/>
      </c>
      <c r="S243" s="28">
        <f>IF($G243="","",COUNTIFS($E$4:$E$2503,$E243,$Z$4:$Z$2503,"正常",$Y$4:$Y$2503,"待补价"))</f>
        <v/>
      </c>
      <c r="T243" s="26">
        <f>IF($G243="","",SUMIFS($P$4:$P$2503,$E$4:$E$2503,$E243,$Z$4:$Z$2503,"正常",$A$4:$A$2503,"&lt;="&amp;$A243))</f>
        <v/>
      </c>
      <c r="U243" s="26">
        <f>IF($G243="","",IF(OR($S243&gt;0,$Q243=0,$R243=0,$Z243&lt;&gt;"正常"),0,ROUND($T243/$Q243*$R243,0)-ROUND(($T243-$P243)/$Q243*$R243,0)))</f>
        <v/>
      </c>
      <c r="V243" s="26">
        <f>IF($G243="","",ROUND($P243+$U243,0))</f>
        <v/>
      </c>
      <c r="W243" s="26">
        <f>IF($G243="","",IF(N($K243)=0,0,ROUND($V243/$K243,2)))</f>
        <v/>
      </c>
      <c r="X243" s="17" t="inlineStr">
        <is>
          <t>采购入库</t>
        </is>
      </c>
      <c r="Y243" s="17" t="inlineStr">
        <is>
          <t>待补价</t>
        </is>
      </c>
      <c r="Z243" s="17" t="inlineStr">
        <is>
          <t>正常</t>
        </is>
      </c>
      <c r="AA243" s="17" t="n"/>
      <c r="AB243" s="17" t="inlineStr">
        <is>
          <t>原表第 248 行</t>
        </is>
      </c>
      <c r="AC243" s="24">
        <f>IF($G243="","",IF($H243="※编码不在物料档案里","※物料编码不在档案里",IF(N($K243)&lt;=0,"※入库数量要大于 0",IF(AND($C243&lt;&gt;"",$C243&lt;=结账锁),"※日期早于已结账截止日，不能再录",IF(AND($L243=0,$X243="正常"),"※没填单价，价格状态请选「待补价」",IF(AND($S243&gt;0,$R243&gt;0),"△本批有 "&amp;$S243&amp;" 行没单价，整批运费先挂账没摊",IF(AND($B243&lt;&gt;"",COUNTIF($B$4:$B$2503,$B243)&gt;1),"※入库单号重复","")))))))</f>
        <v/>
      </c>
    </row>
    <row r="244">
      <c r="A244" s="24">
        <f>IF($G244="","",COUNTA($G$4:$G244))</f>
        <v/>
      </c>
      <c r="B244" s="17" t="n"/>
      <c r="C244" s="30" t="n">
        <v>46091</v>
      </c>
      <c r="D244" s="17" t="inlineStr">
        <is>
          <t>A国内</t>
        </is>
      </c>
      <c r="E244" s="17" t="inlineStr">
        <is>
          <t>FCIU8857920-202603</t>
        </is>
      </c>
      <c r="F244" s="17" t="inlineStr">
        <is>
          <t>烟台市金豪矿山机械有限公司</t>
        </is>
      </c>
      <c r="G244" s="17" t="inlineStr">
        <is>
          <t>JH0228</t>
        </is>
      </c>
      <c r="H244" s="24">
        <f>IF($G244="","",IFERROR(VLOOKUP($G244,物料档案!$A$4:$P$1203,3,0),"※编码不在物料档案里"))</f>
        <v/>
      </c>
      <c r="I244" s="24">
        <f>IF($G244="","",IFERROR(VLOOKUP($G244,物料档案!$A$4:$P$1203,4,0),"※编码不在物料档案里"))</f>
        <v/>
      </c>
      <c r="J244" s="24">
        <f>IF($G244="","",IFERROR(VLOOKUP($G244,物料档案!$A$4:$P$1203,5,0),"※编码不在物料档案里"))</f>
        <v/>
      </c>
      <c r="K244" s="23" t="n">
        <v>1</v>
      </c>
      <c r="L244" s="31" t="n"/>
      <c r="M244" s="24">
        <f>IF($G244="","",IF($D244="A国内","CNY","TZS"))</f>
        <v/>
      </c>
      <c r="N244" s="28">
        <f>IF($G244="","",IF($D244="A国内",汇率,1))</f>
        <v/>
      </c>
      <c r="O244" s="25">
        <f>IF($G244="","",ROUND(N($K244)*N($L244),2))</f>
        <v/>
      </c>
      <c r="P244" s="26">
        <f>IF($G244="","",ROUND($O244*$N244,0))</f>
        <v/>
      </c>
      <c r="Q244" s="26">
        <f>IF($G244="","",SUMIFS($P$4:$P$2503,$E$4:$E$2503,$E244,$Z$4:$Z$2503,"正常"))</f>
        <v/>
      </c>
      <c r="R244" s="26">
        <f>IF($G244="","",SUMIFS(费用台账!$I$4:$I$503,费用台账!$C$4:$C$503,$E244,费用台账!$J$4:$J$503,"是",费用台账!$K$4:$K$503,"正常"))</f>
        <v/>
      </c>
      <c r="S244" s="28">
        <f>IF($G244="","",COUNTIFS($E$4:$E$2503,$E244,$Z$4:$Z$2503,"正常",$Y$4:$Y$2503,"待补价"))</f>
        <v/>
      </c>
      <c r="T244" s="26">
        <f>IF($G244="","",SUMIFS($P$4:$P$2503,$E$4:$E$2503,$E244,$Z$4:$Z$2503,"正常",$A$4:$A$2503,"&lt;="&amp;$A244))</f>
        <v/>
      </c>
      <c r="U244" s="26">
        <f>IF($G244="","",IF(OR($S244&gt;0,$Q244=0,$R244=0,$Z244&lt;&gt;"正常"),0,ROUND($T244/$Q244*$R244,0)-ROUND(($T244-$P244)/$Q244*$R244,0)))</f>
        <v/>
      </c>
      <c r="V244" s="26">
        <f>IF($G244="","",ROUND($P244+$U244,0))</f>
        <v/>
      </c>
      <c r="W244" s="26">
        <f>IF($G244="","",IF(N($K244)=0,0,ROUND($V244/$K244,2)))</f>
        <v/>
      </c>
      <c r="X244" s="17" t="inlineStr">
        <is>
          <t>采购入库</t>
        </is>
      </c>
      <c r="Y244" s="17" t="inlineStr">
        <is>
          <t>待补价</t>
        </is>
      </c>
      <c r="Z244" s="17" t="inlineStr">
        <is>
          <t>正常</t>
        </is>
      </c>
      <c r="AA244" s="17" t="n"/>
      <c r="AB244" s="17" t="inlineStr">
        <is>
          <t>原表第 249 行</t>
        </is>
      </c>
      <c r="AC244" s="24">
        <f>IF($G244="","",IF($H244="※编码不在物料档案里","※物料编码不在档案里",IF(N($K244)&lt;=0,"※入库数量要大于 0",IF(AND($C244&lt;&gt;"",$C244&lt;=结账锁),"※日期早于已结账截止日，不能再录",IF(AND($L244=0,$X244="正常"),"※没填单价，价格状态请选「待补价」",IF(AND($S244&gt;0,$R244&gt;0),"△本批有 "&amp;$S244&amp;" 行没单价，整批运费先挂账没摊",IF(AND($B244&lt;&gt;"",COUNTIF($B$4:$B$2503,$B244)&gt;1),"※入库单号重复","")))))))</f>
        <v/>
      </c>
    </row>
    <row r="245">
      <c r="A245" s="24">
        <f>IF($G245="","",COUNTA($G$4:$G245))</f>
        <v/>
      </c>
      <c r="B245" s="17" t="n"/>
      <c r="C245" s="30" t="n">
        <v>46091</v>
      </c>
      <c r="D245" s="17" t="inlineStr">
        <is>
          <t>A国内</t>
        </is>
      </c>
      <c r="E245" s="17" t="inlineStr">
        <is>
          <t>FCIU8857920-202603</t>
        </is>
      </c>
      <c r="F245" s="17" t="inlineStr">
        <is>
          <t>烟台市金豪矿山机械有限公司</t>
        </is>
      </c>
      <c r="G245" s="17" t="inlineStr">
        <is>
          <t>JH0229</t>
        </is>
      </c>
      <c r="H245" s="24">
        <f>IF($G245="","",IFERROR(VLOOKUP($G245,物料档案!$A$4:$P$1203,3,0),"※编码不在物料档案里"))</f>
        <v/>
      </c>
      <c r="I245" s="24">
        <f>IF($G245="","",IFERROR(VLOOKUP($G245,物料档案!$A$4:$P$1203,4,0),"※编码不在物料档案里"))</f>
        <v/>
      </c>
      <c r="J245" s="24">
        <f>IF($G245="","",IFERROR(VLOOKUP($G245,物料档案!$A$4:$P$1203,5,0),"※编码不在物料档案里"))</f>
        <v/>
      </c>
      <c r="K245" s="23" t="n">
        <v>285</v>
      </c>
      <c r="L245" s="31" t="n"/>
      <c r="M245" s="24">
        <f>IF($G245="","",IF($D245="A国内","CNY","TZS"))</f>
        <v/>
      </c>
      <c r="N245" s="28">
        <f>IF($G245="","",IF($D245="A国内",汇率,1))</f>
        <v/>
      </c>
      <c r="O245" s="25">
        <f>IF($G245="","",ROUND(N($K245)*N($L245),2))</f>
        <v/>
      </c>
      <c r="P245" s="26">
        <f>IF($G245="","",ROUND($O245*$N245,0))</f>
        <v/>
      </c>
      <c r="Q245" s="26">
        <f>IF($G245="","",SUMIFS($P$4:$P$2503,$E$4:$E$2503,$E245,$Z$4:$Z$2503,"正常"))</f>
        <v/>
      </c>
      <c r="R245" s="26">
        <f>IF($G245="","",SUMIFS(费用台账!$I$4:$I$503,费用台账!$C$4:$C$503,$E245,费用台账!$J$4:$J$503,"是",费用台账!$K$4:$K$503,"正常"))</f>
        <v/>
      </c>
      <c r="S245" s="28">
        <f>IF($G245="","",COUNTIFS($E$4:$E$2503,$E245,$Z$4:$Z$2503,"正常",$Y$4:$Y$2503,"待补价"))</f>
        <v/>
      </c>
      <c r="T245" s="26">
        <f>IF($G245="","",SUMIFS($P$4:$P$2503,$E$4:$E$2503,$E245,$Z$4:$Z$2503,"正常",$A$4:$A$2503,"&lt;="&amp;$A245))</f>
        <v/>
      </c>
      <c r="U245" s="26">
        <f>IF($G245="","",IF(OR($S245&gt;0,$Q245=0,$R245=0,$Z245&lt;&gt;"正常"),0,ROUND($T245/$Q245*$R245,0)-ROUND(($T245-$P245)/$Q245*$R245,0)))</f>
        <v/>
      </c>
      <c r="V245" s="26">
        <f>IF($G245="","",ROUND($P245+$U245,0))</f>
        <v/>
      </c>
      <c r="W245" s="26">
        <f>IF($G245="","",IF(N($K245)=0,0,ROUND($V245/$K245,2)))</f>
        <v/>
      </c>
      <c r="X245" s="17" t="inlineStr">
        <is>
          <t>采购入库</t>
        </is>
      </c>
      <c r="Y245" s="17" t="inlineStr">
        <is>
          <t>待补价</t>
        </is>
      </c>
      <c r="Z245" s="17" t="inlineStr">
        <is>
          <t>正常</t>
        </is>
      </c>
      <c r="AA245" s="17" t="n"/>
      <c r="AB245" s="17" t="inlineStr">
        <is>
          <t>原表第 250 行</t>
        </is>
      </c>
      <c r="AC245" s="24">
        <f>IF($G245="","",IF($H245="※编码不在物料档案里","※物料编码不在档案里",IF(N($K245)&lt;=0,"※入库数量要大于 0",IF(AND($C245&lt;&gt;"",$C245&lt;=结账锁),"※日期早于已结账截止日，不能再录",IF(AND($L245=0,$X245="正常"),"※没填单价，价格状态请选「待补价」",IF(AND($S245&gt;0,$R245&gt;0),"△本批有 "&amp;$S245&amp;" 行没单价，整批运费先挂账没摊",IF(AND($B245&lt;&gt;"",COUNTIF($B$4:$B$2503,$B245)&gt;1),"※入库单号重复","")))))))</f>
        <v/>
      </c>
    </row>
    <row r="246">
      <c r="A246" s="24">
        <f>IF($G246="","",COUNTA($G$4:$G246))</f>
        <v/>
      </c>
      <c r="B246" s="17" t="n"/>
      <c r="C246" s="30" t="n">
        <v>46091</v>
      </c>
      <c r="D246" s="17" t="inlineStr">
        <is>
          <t>A国内</t>
        </is>
      </c>
      <c r="E246" s="17" t="inlineStr">
        <is>
          <t>FCIU8857920-202603</t>
        </is>
      </c>
      <c r="F246" s="17" t="inlineStr">
        <is>
          <t>烟台市金豪矿山机械有限公司</t>
        </is>
      </c>
      <c r="G246" s="17" t="inlineStr">
        <is>
          <t>JH0230</t>
        </is>
      </c>
      <c r="H246" s="24">
        <f>IF($G246="","",IFERROR(VLOOKUP($G246,物料档案!$A$4:$P$1203,3,0),"※编码不在物料档案里"))</f>
        <v/>
      </c>
      <c r="I246" s="24">
        <f>IF($G246="","",IFERROR(VLOOKUP($G246,物料档案!$A$4:$P$1203,4,0),"※编码不在物料档案里"))</f>
        <v/>
      </c>
      <c r="J246" s="24">
        <f>IF($G246="","",IFERROR(VLOOKUP($G246,物料档案!$A$4:$P$1203,5,0),"※编码不在物料档案里"))</f>
        <v/>
      </c>
      <c r="K246" s="23" t="n">
        <v>65</v>
      </c>
      <c r="L246" s="31" t="n"/>
      <c r="M246" s="24">
        <f>IF($G246="","",IF($D246="A国内","CNY","TZS"))</f>
        <v/>
      </c>
      <c r="N246" s="28">
        <f>IF($G246="","",IF($D246="A国内",汇率,1))</f>
        <v/>
      </c>
      <c r="O246" s="25">
        <f>IF($G246="","",ROUND(N($K246)*N($L246),2))</f>
        <v/>
      </c>
      <c r="P246" s="26">
        <f>IF($G246="","",ROUND($O246*$N246,0))</f>
        <v/>
      </c>
      <c r="Q246" s="26">
        <f>IF($G246="","",SUMIFS($P$4:$P$2503,$E$4:$E$2503,$E246,$Z$4:$Z$2503,"正常"))</f>
        <v/>
      </c>
      <c r="R246" s="26">
        <f>IF($G246="","",SUMIFS(费用台账!$I$4:$I$503,费用台账!$C$4:$C$503,$E246,费用台账!$J$4:$J$503,"是",费用台账!$K$4:$K$503,"正常"))</f>
        <v/>
      </c>
      <c r="S246" s="28">
        <f>IF($G246="","",COUNTIFS($E$4:$E$2503,$E246,$Z$4:$Z$2503,"正常",$Y$4:$Y$2503,"待补价"))</f>
        <v/>
      </c>
      <c r="T246" s="26">
        <f>IF($G246="","",SUMIFS($P$4:$P$2503,$E$4:$E$2503,$E246,$Z$4:$Z$2503,"正常",$A$4:$A$2503,"&lt;="&amp;$A246))</f>
        <v/>
      </c>
      <c r="U246" s="26">
        <f>IF($G246="","",IF(OR($S246&gt;0,$Q246=0,$R246=0,$Z246&lt;&gt;"正常"),0,ROUND($T246/$Q246*$R246,0)-ROUND(($T246-$P246)/$Q246*$R246,0)))</f>
        <v/>
      </c>
      <c r="V246" s="26">
        <f>IF($G246="","",ROUND($P246+$U246,0))</f>
        <v/>
      </c>
      <c r="W246" s="26">
        <f>IF($G246="","",IF(N($K246)=0,0,ROUND($V246/$K246,2)))</f>
        <v/>
      </c>
      <c r="X246" s="17" t="inlineStr">
        <is>
          <t>采购入库</t>
        </is>
      </c>
      <c r="Y246" s="17" t="inlineStr">
        <is>
          <t>待补价</t>
        </is>
      </c>
      <c r="Z246" s="17" t="inlineStr">
        <is>
          <t>正常</t>
        </is>
      </c>
      <c r="AA246" s="17" t="n"/>
      <c r="AB246" s="17" t="inlineStr">
        <is>
          <t>原表第 251 行</t>
        </is>
      </c>
      <c r="AC246" s="24">
        <f>IF($G246="","",IF($H246="※编码不在物料档案里","※物料编码不在档案里",IF(N($K246)&lt;=0,"※入库数量要大于 0",IF(AND($C246&lt;&gt;"",$C246&lt;=结账锁),"※日期早于已结账截止日，不能再录",IF(AND($L246=0,$X246="正常"),"※没填单价，价格状态请选「待补价」",IF(AND($S246&gt;0,$R246&gt;0),"△本批有 "&amp;$S246&amp;" 行没单价，整批运费先挂账没摊",IF(AND($B246&lt;&gt;"",COUNTIF($B$4:$B$2503,$B246)&gt;1),"※入库单号重复","")))))))</f>
        <v/>
      </c>
    </row>
    <row r="247">
      <c r="A247" s="24">
        <f>IF($G247="","",COUNTA($G$4:$G247))</f>
        <v/>
      </c>
      <c r="B247" s="17" t="n"/>
      <c r="C247" s="30" t="n">
        <v>46091</v>
      </c>
      <c r="D247" s="17" t="inlineStr">
        <is>
          <t>A国内</t>
        </is>
      </c>
      <c r="E247" s="17" t="inlineStr">
        <is>
          <t>FCIU8857920-202603</t>
        </is>
      </c>
      <c r="F247" s="17" t="inlineStr">
        <is>
          <t>烟台市金豪矿山机械有限公司</t>
        </is>
      </c>
      <c r="G247" s="17" t="inlineStr">
        <is>
          <t>JH0231</t>
        </is>
      </c>
      <c r="H247" s="24">
        <f>IF($G247="","",IFERROR(VLOOKUP($G247,物料档案!$A$4:$P$1203,3,0),"※编码不在物料档案里"))</f>
        <v/>
      </c>
      <c r="I247" s="24">
        <f>IF($G247="","",IFERROR(VLOOKUP($G247,物料档案!$A$4:$P$1203,4,0),"※编码不在物料档案里"))</f>
        <v/>
      </c>
      <c r="J247" s="24">
        <f>IF($G247="","",IFERROR(VLOOKUP($G247,物料档案!$A$4:$P$1203,5,0),"※编码不在物料档案里"))</f>
        <v/>
      </c>
      <c r="K247" s="23" t="n">
        <v>40</v>
      </c>
      <c r="L247" s="31" t="n"/>
      <c r="M247" s="24">
        <f>IF($G247="","",IF($D247="A国内","CNY","TZS"))</f>
        <v/>
      </c>
      <c r="N247" s="28">
        <f>IF($G247="","",IF($D247="A国内",汇率,1))</f>
        <v/>
      </c>
      <c r="O247" s="25">
        <f>IF($G247="","",ROUND(N($K247)*N($L247),2))</f>
        <v/>
      </c>
      <c r="P247" s="26">
        <f>IF($G247="","",ROUND($O247*$N247,0))</f>
        <v/>
      </c>
      <c r="Q247" s="26">
        <f>IF($G247="","",SUMIFS($P$4:$P$2503,$E$4:$E$2503,$E247,$Z$4:$Z$2503,"正常"))</f>
        <v/>
      </c>
      <c r="R247" s="26">
        <f>IF($G247="","",SUMIFS(费用台账!$I$4:$I$503,费用台账!$C$4:$C$503,$E247,费用台账!$J$4:$J$503,"是",费用台账!$K$4:$K$503,"正常"))</f>
        <v/>
      </c>
      <c r="S247" s="28">
        <f>IF($G247="","",COUNTIFS($E$4:$E$2503,$E247,$Z$4:$Z$2503,"正常",$Y$4:$Y$2503,"待补价"))</f>
        <v/>
      </c>
      <c r="T247" s="26">
        <f>IF($G247="","",SUMIFS($P$4:$P$2503,$E$4:$E$2503,$E247,$Z$4:$Z$2503,"正常",$A$4:$A$2503,"&lt;="&amp;$A247))</f>
        <v/>
      </c>
      <c r="U247" s="26">
        <f>IF($G247="","",IF(OR($S247&gt;0,$Q247=0,$R247=0,$Z247&lt;&gt;"正常"),0,ROUND($T247/$Q247*$R247,0)-ROUND(($T247-$P247)/$Q247*$R247,0)))</f>
        <v/>
      </c>
      <c r="V247" s="26">
        <f>IF($G247="","",ROUND($P247+$U247,0))</f>
        <v/>
      </c>
      <c r="W247" s="26">
        <f>IF($G247="","",IF(N($K247)=0,0,ROUND($V247/$K247,2)))</f>
        <v/>
      </c>
      <c r="X247" s="17" t="inlineStr">
        <is>
          <t>采购入库</t>
        </is>
      </c>
      <c r="Y247" s="17" t="inlineStr">
        <is>
          <t>待补价</t>
        </is>
      </c>
      <c r="Z247" s="17" t="inlineStr">
        <is>
          <t>正常</t>
        </is>
      </c>
      <c r="AA247" s="17" t="n"/>
      <c r="AB247" s="17" t="inlineStr">
        <is>
          <t>原表第 252 行</t>
        </is>
      </c>
      <c r="AC247" s="24">
        <f>IF($G247="","",IF($H247="※编码不在物料档案里","※物料编码不在档案里",IF(N($K247)&lt;=0,"※入库数量要大于 0",IF(AND($C247&lt;&gt;"",$C247&lt;=结账锁),"※日期早于已结账截止日，不能再录",IF(AND($L247=0,$X247="正常"),"※没填单价，价格状态请选「待补价」",IF(AND($S247&gt;0,$R247&gt;0),"△本批有 "&amp;$S247&amp;" 行没单价，整批运费先挂账没摊",IF(AND($B247&lt;&gt;"",COUNTIF($B$4:$B$2503,$B247)&gt;1),"※入库单号重复","")))))))</f>
        <v/>
      </c>
    </row>
    <row r="248">
      <c r="A248" s="24">
        <f>IF($G248="","",COUNTA($G$4:$G248))</f>
        <v/>
      </c>
      <c r="B248" s="17" t="n"/>
      <c r="C248" s="30" t="n">
        <v>46091</v>
      </c>
      <c r="D248" s="17" t="inlineStr">
        <is>
          <t>A国内</t>
        </is>
      </c>
      <c r="E248" s="17" t="inlineStr">
        <is>
          <t>FCIU8857920-202603</t>
        </is>
      </c>
      <c r="F248" s="17" t="inlineStr">
        <is>
          <t>烟台市金豪矿山机械有限公司</t>
        </is>
      </c>
      <c r="G248" s="17" t="inlineStr">
        <is>
          <t>JH0232</t>
        </is>
      </c>
      <c r="H248" s="24">
        <f>IF($G248="","",IFERROR(VLOOKUP($G248,物料档案!$A$4:$P$1203,3,0),"※编码不在物料档案里"))</f>
        <v/>
      </c>
      <c r="I248" s="24">
        <f>IF($G248="","",IFERROR(VLOOKUP($G248,物料档案!$A$4:$P$1203,4,0),"※编码不在物料档案里"))</f>
        <v/>
      </c>
      <c r="J248" s="24">
        <f>IF($G248="","",IFERROR(VLOOKUP($G248,物料档案!$A$4:$P$1203,5,0),"※编码不在物料档案里"))</f>
        <v/>
      </c>
      <c r="K248" s="23" t="n">
        <v>10</v>
      </c>
      <c r="L248" s="31" t="n"/>
      <c r="M248" s="24">
        <f>IF($G248="","",IF($D248="A国内","CNY","TZS"))</f>
        <v/>
      </c>
      <c r="N248" s="28">
        <f>IF($G248="","",IF($D248="A国内",汇率,1))</f>
        <v/>
      </c>
      <c r="O248" s="25">
        <f>IF($G248="","",ROUND(N($K248)*N($L248),2))</f>
        <v/>
      </c>
      <c r="P248" s="26">
        <f>IF($G248="","",ROUND($O248*$N248,0))</f>
        <v/>
      </c>
      <c r="Q248" s="26">
        <f>IF($G248="","",SUMIFS($P$4:$P$2503,$E$4:$E$2503,$E248,$Z$4:$Z$2503,"正常"))</f>
        <v/>
      </c>
      <c r="R248" s="26">
        <f>IF($G248="","",SUMIFS(费用台账!$I$4:$I$503,费用台账!$C$4:$C$503,$E248,费用台账!$J$4:$J$503,"是",费用台账!$K$4:$K$503,"正常"))</f>
        <v/>
      </c>
      <c r="S248" s="28">
        <f>IF($G248="","",COUNTIFS($E$4:$E$2503,$E248,$Z$4:$Z$2503,"正常",$Y$4:$Y$2503,"待补价"))</f>
        <v/>
      </c>
      <c r="T248" s="26">
        <f>IF($G248="","",SUMIFS($P$4:$P$2503,$E$4:$E$2503,$E248,$Z$4:$Z$2503,"正常",$A$4:$A$2503,"&lt;="&amp;$A248))</f>
        <v/>
      </c>
      <c r="U248" s="26">
        <f>IF($G248="","",IF(OR($S248&gt;0,$Q248=0,$R248=0,$Z248&lt;&gt;"正常"),0,ROUND($T248/$Q248*$R248,0)-ROUND(($T248-$P248)/$Q248*$R248,0)))</f>
        <v/>
      </c>
      <c r="V248" s="26">
        <f>IF($G248="","",ROUND($P248+$U248,0))</f>
        <v/>
      </c>
      <c r="W248" s="26">
        <f>IF($G248="","",IF(N($K248)=0,0,ROUND($V248/$K248,2)))</f>
        <v/>
      </c>
      <c r="X248" s="17" t="inlineStr">
        <is>
          <t>采购入库</t>
        </is>
      </c>
      <c r="Y248" s="17" t="inlineStr">
        <is>
          <t>待补价</t>
        </is>
      </c>
      <c r="Z248" s="17" t="inlineStr">
        <is>
          <t>正常</t>
        </is>
      </c>
      <c r="AA248" s="17" t="n"/>
      <c r="AB248" s="17" t="inlineStr">
        <is>
          <t>原表第 253 行</t>
        </is>
      </c>
      <c r="AC248" s="24">
        <f>IF($G248="","",IF($H248="※编码不在物料档案里","※物料编码不在档案里",IF(N($K248)&lt;=0,"※入库数量要大于 0",IF(AND($C248&lt;&gt;"",$C248&lt;=结账锁),"※日期早于已结账截止日，不能再录",IF(AND($L248=0,$X248="正常"),"※没填单价，价格状态请选「待补价」",IF(AND($S248&gt;0,$R248&gt;0),"△本批有 "&amp;$S248&amp;" 行没单价，整批运费先挂账没摊",IF(AND($B248&lt;&gt;"",COUNTIF($B$4:$B$2503,$B248)&gt;1),"※入库单号重复","")))))))</f>
        <v/>
      </c>
    </row>
    <row r="249">
      <c r="A249" s="24">
        <f>IF($G249="","",COUNTA($G$4:$G249))</f>
        <v/>
      </c>
      <c r="B249" s="17" t="n"/>
      <c r="C249" s="30" t="n">
        <v>46091</v>
      </c>
      <c r="D249" s="17" t="inlineStr">
        <is>
          <t>A国内</t>
        </is>
      </c>
      <c r="E249" s="17" t="inlineStr">
        <is>
          <t>FCIU8857920-202603</t>
        </is>
      </c>
      <c r="F249" s="17" t="inlineStr">
        <is>
          <t>烟台市金豪矿山机械有限公司</t>
        </is>
      </c>
      <c r="G249" s="17" t="inlineStr">
        <is>
          <t>JH0233</t>
        </is>
      </c>
      <c r="H249" s="24">
        <f>IF($G249="","",IFERROR(VLOOKUP($G249,物料档案!$A$4:$P$1203,3,0),"※编码不在物料档案里"))</f>
        <v/>
      </c>
      <c r="I249" s="24">
        <f>IF($G249="","",IFERROR(VLOOKUP($G249,物料档案!$A$4:$P$1203,4,0),"※编码不在物料档案里"))</f>
        <v/>
      </c>
      <c r="J249" s="24">
        <f>IF($G249="","",IFERROR(VLOOKUP($G249,物料档案!$A$4:$P$1203,5,0),"※编码不在物料档案里"))</f>
        <v/>
      </c>
      <c r="K249" s="23" t="n">
        <v>20</v>
      </c>
      <c r="L249" s="31" t="n"/>
      <c r="M249" s="24">
        <f>IF($G249="","",IF($D249="A国内","CNY","TZS"))</f>
        <v/>
      </c>
      <c r="N249" s="28">
        <f>IF($G249="","",IF($D249="A国内",汇率,1))</f>
        <v/>
      </c>
      <c r="O249" s="25">
        <f>IF($G249="","",ROUND(N($K249)*N($L249),2))</f>
        <v/>
      </c>
      <c r="P249" s="26">
        <f>IF($G249="","",ROUND($O249*$N249,0))</f>
        <v/>
      </c>
      <c r="Q249" s="26">
        <f>IF($G249="","",SUMIFS($P$4:$P$2503,$E$4:$E$2503,$E249,$Z$4:$Z$2503,"正常"))</f>
        <v/>
      </c>
      <c r="R249" s="26">
        <f>IF($G249="","",SUMIFS(费用台账!$I$4:$I$503,费用台账!$C$4:$C$503,$E249,费用台账!$J$4:$J$503,"是",费用台账!$K$4:$K$503,"正常"))</f>
        <v/>
      </c>
      <c r="S249" s="28">
        <f>IF($G249="","",COUNTIFS($E$4:$E$2503,$E249,$Z$4:$Z$2503,"正常",$Y$4:$Y$2503,"待补价"))</f>
        <v/>
      </c>
      <c r="T249" s="26">
        <f>IF($G249="","",SUMIFS($P$4:$P$2503,$E$4:$E$2503,$E249,$Z$4:$Z$2503,"正常",$A$4:$A$2503,"&lt;="&amp;$A249))</f>
        <v/>
      </c>
      <c r="U249" s="26">
        <f>IF($G249="","",IF(OR($S249&gt;0,$Q249=0,$R249=0,$Z249&lt;&gt;"正常"),0,ROUND($T249/$Q249*$R249,0)-ROUND(($T249-$P249)/$Q249*$R249,0)))</f>
        <v/>
      </c>
      <c r="V249" s="26">
        <f>IF($G249="","",ROUND($P249+$U249,0))</f>
        <v/>
      </c>
      <c r="W249" s="26">
        <f>IF($G249="","",IF(N($K249)=0,0,ROUND($V249/$K249,2)))</f>
        <v/>
      </c>
      <c r="X249" s="17" t="inlineStr">
        <is>
          <t>采购入库</t>
        </is>
      </c>
      <c r="Y249" s="17" t="inlineStr">
        <is>
          <t>待补价</t>
        </is>
      </c>
      <c r="Z249" s="17" t="inlineStr">
        <is>
          <t>正常</t>
        </is>
      </c>
      <c r="AA249" s="17" t="n"/>
      <c r="AB249" s="17" t="inlineStr">
        <is>
          <t>原表第 254 行</t>
        </is>
      </c>
      <c r="AC249" s="24">
        <f>IF($G249="","",IF($H249="※编码不在物料档案里","※物料编码不在档案里",IF(N($K249)&lt;=0,"※入库数量要大于 0",IF(AND($C249&lt;&gt;"",$C249&lt;=结账锁),"※日期早于已结账截止日，不能再录",IF(AND($L249=0,$X249="正常"),"※没填单价，价格状态请选「待补价」",IF(AND($S249&gt;0,$R249&gt;0),"△本批有 "&amp;$S249&amp;" 行没单价，整批运费先挂账没摊",IF(AND($B249&lt;&gt;"",COUNTIF($B$4:$B$2503,$B249)&gt;1),"※入库单号重复","")))))))</f>
        <v/>
      </c>
    </row>
    <row r="250">
      <c r="A250" s="24">
        <f>IF($G250="","",COUNTA($G$4:$G250))</f>
        <v/>
      </c>
      <c r="B250" s="17" t="n"/>
      <c r="C250" s="30" t="n">
        <v>46091</v>
      </c>
      <c r="D250" s="17" t="inlineStr">
        <is>
          <t>A国内</t>
        </is>
      </c>
      <c r="E250" s="17" t="inlineStr">
        <is>
          <t>FCIU8857920-202603</t>
        </is>
      </c>
      <c r="F250" s="17" t="inlineStr">
        <is>
          <t>烟台市金豪矿山机械有限公司</t>
        </is>
      </c>
      <c r="G250" s="17" t="inlineStr">
        <is>
          <t>JH0234</t>
        </is>
      </c>
      <c r="H250" s="24">
        <f>IF($G250="","",IFERROR(VLOOKUP($G250,物料档案!$A$4:$P$1203,3,0),"※编码不在物料档案里"))</f>
        <v/>
      </c>
      <c r="I250" s="24">
        <f>IF($G250="","",IFERROR(VLOOKUP($G250,物料档案!$A$4:$P$1203,4,0),"※编码不在物料档案里"))</f>
        <v/>
      </c>
      <c r="J250" s="24">
        <f>IF($G250="","",IFERROR(VLOOKUP($G250,物料档案!$A$4:$P$1203,5,0),"※编码不在物料档案里"))</f>
        <v/>
      </c>
      <c r="K250" s="23" t="n">
        <v>2</v>
      </c>
      <c r="L250" s="31" t="n"/>
      <c r="M250" s="24">
        <f>IF($G250="","",IF($D250="A国内","CNY","TZS"))</f>
        <v/>
      </c>
      <c r="N250" s="28">
        <f>IF($G250="","",IF($D250="A国内",汇率,1))</f>
        <v/>
      </c>
      <c r="O250" s="25">
        <f>IF($G250="","",ROUND(N($K250)*N($L250),2))</f>
        <v/>
      </c>
      <c r="P250" s="26">
        <f>IF($G250="","",ROUND($O250*$N250,0))</f>
        <v/>
      </c>
      <c r="Q250" s="26">
        <f>IF($G250="","",SUMIFS($P$4:$P$2503,$E$4:$E$2503,$E250,$Z$4:$Z$2503,"正常"))</f>
        <v/>
      </c>
      <c r="R250" s="26">
        <f>IF($G250="","",SUMIFS(费用台账!$I$4:$I$503,费用台账!$C$4:$C$503,$E250,费用台账!$J$4:$J$503,"是",费用台账!$K$4:$K$503,"正常"))</f>
        <v/>
      </c>
      <c r="S250" s="28">
        <f>IF($G250="","",COUNTIFS($E$4:$E$2503,$E250,$Z$4:$Z$2503,"正常",$Y$4:$Y$2503,"待补价"))</f>
        <v/>
      </c>
      <c r="T250" s="26">
        <f>IF($G250="","",SUMIFS($P$4:$P$2503,$E$4:$E$2503,$E250,$Z$4:$Z$2503,"正常",$A$4:$A$2503,"&lt;="&amp;$A250))</f>
        <v/>
      </c>
      <c r="U250" s="26">
        <f>IF($G250="","",IF(OR($S250&gt;0,$Q250=0,$R250=0,$Z250&lt;&gt;"正常"),0,ROUND($T250/$Q250*$R250,0)-ROUND(($T250-$P250)/$Q250*$R250,0)))</f>
        <v/>
      </c>
      <c r="V250" s="26">
        <f>IF($G250="","",ROUND($P250+$U250,0))</f>
        <v/>
      </c>
      <c r="W250" s="26">
        <f>IF($G250="","",IF(N($K250)=0,0,ROUND($V250/$K250,2)))</f>
        <v/>
      </c>
      <c r="X250" s="17" t="inlineStr">
        <is>
          <t>采购入库</t>
        </is>
      </c>
      <c r="Y250" s="17" t="inlineStr">
        <is>
          <t>待补价</t>
        </is>
      </c>
      <c r="Z250" s="17" t="inlineStr">
        <is>
          <t>正常</t>
        </is>
      </c>
      <c r="AA250" s="17" t="n"/>
      <c r="AB250" s="17" t="inlineStr">
        <is>
          <t>原表第 255 行</t>
        </is>
      </c>
      <c r="AC250" s="24">
        <f>IF($G250="","",IF($H250="※编码不在物料档案里","※物料编码不在档案里",IF(N($K250)&lt;=0,"※入库数量要大于 0",IF(AND($C250&lt;&gt;"",$C250&lt;=结账锁),"※日期早于已结账截止日，不能再录",IF(AND($L250=0,$X250="正常"),"※没填单价，价格状态请选「待补价」",IF(AND($S250&gt;0,$R250&gt;0),"△本批有 "&amp;$S250&amp;" 行没单价，整批运费先挂账没摊",IF(AND($B250&lt;&gt;"",COUNTIF($B$4:$B$2503,$B250)&gt;1),"※入库单号重复","")))))))</f>
        <v/>
      </c>
    </row>
    <row r="251">
      <c r="A251" s="24">
        <f>IF($G251="","",COUNTA($G$4:$G251))</f>
        <v/>
      </c>
      <c r="B251" s="17" t="n"/>
      <c r="C251" s="30" t="n">
        <v>46091</v>
      </c>
      <c r="D251" s="17" t="inlineStr">
        <is>
          <t>A国内</t>
        </is>
      </c>
      <c r="E251" s="17" t="inlineStr">
        <is>
          <t>FCIU8857920-202603</t>
        </is>
      </c>
      <c r="F251" s="17" t="inlineStr">
        <is>
          <t>烟台市金豪矿山机械有限公司</t>
        </is>
      </c>
      <c r="G251" s="17" t="inlineStr">
        <is>
          <t>JH0235</t>
        </is>
      </c>
      <c r="H251" s="24">
        <f>IF($G251="","",IFERROR(VLOOKUP($G251,物料档案!$A$4:$P$1203,3,0),"※编码不在物料档案里"))</f>
        <v/>
      </c>
      <c r="I251" s="24">
        <f>IF($G251="","",IFERROR(VLOOKUP($G251,物料档案!$A$4:$P$1203,4,0),"※编码不在物料档案里"))</f>
        <v/>
      </c>
      <c r="J251" s="24">
        <f>IF($G251="","",IFERROR(VLOOKUP($G251,物料档案!$A$4:$P$1203,5,0),"※编码不在物料档案里"))</f>
        <v/>
      </c>
      <c r="K251" s="23" t="n">
        <v>2</v>
      </c>
      <c r="L251" s="31" t="n"/>
      <c r="M251" s="24">
        <f>IF($G251="","",IF($D251="A国内","CNY","TZS"))</f>
        <v/>
      </c>
      <c r="N251" s="28">
        <f>IF($G251="","",IF($D251="A国内",汇率,1))</f>
        <v/>
      </c>
      <c r="O251" s="25">
        <f>IF($G251="","",ROUND(N($K251)*N($L251),2))</f>
        <v/>
      </c>
      <c r="P251" s="26">
        <f>IF($G251="","",ROUND($O251*$N251,0))</f>
        <v/>
      </c>
      <c r="Q251" s="26">
        <f>IF($G251="","",SUMIFS($P$4:$P$2503,$E$4:$E$2503,$E251,$Z$4:$Z$2503,"正常"))</f>
        <v/>
      </c>
      <c r="R251" s="26">
        <f>IF($G251="","",SUMIFS(费用台账!$I$4:$I$503,费用台账!$C$4:$C$503,$E251,费用台账!$J$4:$J$503,"是",费用台账!$K$4:$K$503,"正常"))</f>
        <v/>
      </c>
      <c r="S251" s="28">
        <f>IF($G251="","",COUNTIFS($E$4:$E$2503,$E251,$Z$4:$Z$2503,"正常",$Y$4:$Y$2503,"待补价"))</f>
        <v/>
      </c>
      <c r="T251" s="26">
        <f>IF($G251="","",SUMIFS($P$4:$P$2503,$E$4:$E$2503,$E251,$Z$4:$Z$2503,"正常",$A$4:$A$2503,"&lt;="&amp;$A251))</f>
        <v/>
      </c>
      <c r="U251" s="26">
        <f>IF($G251="","",IF(OR($S251&gt;0,$Q251=0,$R251=0,$Z251&lt;&gt;"正常"),0,ROUND($T251/$Q251*$R251,0)-ROUND(($T251-$P251)/$Q251*$R251,0)))</f>
        <v/>
      </c>
      <c r="V251" s="26">
        <f>IF($G251="","",ROUND($P251+$U251,0))</f>
        <v/>
      </c>
      <c r="W251" s="26">
        <f>IF($G251="","",IF(N($K251)=0,0,ROUND($V251/$K251,2)))</f>
        <v/>
      </c>
      <c r="X251" s="17" t="inlineStr">
        <is>
          <t>采购入库</t>
        </is>
      </c>
      <c r="Y251" s="17" t="inlineStr">
        <is>
          <t>待补价</t>
        </is>
      </c>
      <c r="Z251" s="17" t="inlineStr">
        <is>
          <t>正常</t>
        </is>
      </c>
      <c r="AA251" s="17" t="n"/>
      <c r="AB251" s="17" t="inlineStr">
        <is>
          <t>原表第 256 行</t>
        </is>
      </c>
      <c r="AC251" s="24">
        <f>IF($G251="","",IF($H251="※编码不在物料档案里","※物料编码不在档案里",IF(N($K251)&lt;=0,"※入库数量要大于 0",IF(AND($C251&lt;&gt;"",$C251&lt;=结账锁),"※日期早于已结账截止日，不能再录",IF(AND($L251=0,$X251="正常"),"※没填单价，价格状态请选「待补价」",IF(AND($S251&gt;0,$R251&gt;0),"△本批有 "&amp;$S251&amp;" 行没单价，整批运费先挂账没摊",IF(AND($B251&lt;&gt;"",COUNTIF($B$4:$B$2503,$B251)&gt;1),"※入库单号重复","")))))))</f>
        <v/>
      </c>
    </row>
    <row r="252">
      <c r="A252" s="24">
        <f>IF($G252="","",COUNTA($G$4:$G252))</f>
        <v/>
      </c>
      <c r="B252" s="17" t="n"/>
      <c r="C252" s="30" t="n">
        <v>46091</v>
      </c>
      <c r="D252" s="17" t="inlineStr">
        <is>
          <t>A国内</t>
        </is>
      </c>
      <c r="E252" s="17" t="inlineStr">
        <is>
          <t>FCIU8857920-202603</t>
        </is>
      </c>
      <c r="F252" s="17" t="inlineStr">
        <is>
          <t>烟台市金豪矿山机械有限公司</t>
        </is>
      </c>
      <c r="G252" s="17" t="inlineStr">
        <is>
          <t>JH0236</t>
        </is>
      </c>
      <c r="H252" s="24">
        <f>IF($G252="","",IFERROR(VLOOKUP($G252,物料档案!$A$4:$P$1203,3,0),"※编码不在物料档案里"))</f>
        <v/>
      </c>
      <c r="I252" s="24">
        <f>IF($G252="","",IFERROR(VLOOKUP($G252,物料档案!$A$4:$P$1203,4,0),"※编码不在物料档案里"))</f>
        <v/>
      </c>
      <c r="J252" s="24">
        <f>IF($G252="","",IFERROR(VLOOKUP($G252,物料档案!$A$4:$P$1203,5,0),"※编码不在物料档案里"))</f>
        <v/>
      </c>
      <c r="K252" s="23" t="n">
        <v>1</v>
      </c>
      <c r="L252" s="31" t="n"/>
      <c r="M252" s="24">
        <f>IF($G252="","",IF($D252="A国内","CNY","TZS"))</f>
        <v/>
      </c>
      <c r="N252" s="28">
        <f>IF($G252="","",IF($D252="A国内",汇率,1))</f>
        <v/>
      </c>
      <c r="O252" s="25">
        <f>IF($G252="","",ROUND(N($K252)*N($L252),2))</f>
        <v/>
      </c>
      <c r="P252" s="26">
        <f>IF($G252="","",ROUND($O252*$N252,0))</f>
        <v/>
      </c>
      <c r="Q252" s="26">
        <f>IF($G252="","",SUMIFS($P$4:$P$2503,$E$4:$E$2503,$E252,$Z$4:$Z$2503,"正常"))</f>
        <v/>
      </c>
      <c r="R252" s="26">
        <f>IF($G252="","",SUMIFS(费用台账!$I$4:$I$503,费用台账!$C$4:$C$503,$E252,费用台账!$J$4:$J$503,"是",费用台账!$K$4:$K$503,"正常"))</f>
        <v/>
      </c>
      <c r="S252" s="28">
        <f>IF($G252="","",COUNTIFS($E$4:$E$2503,$E252,$Z$4:$Z$2503,"正常",$Y$4:$Y$2503,"待补价"))</f>
        <v/>
      </c>
      <c r="T252" s="26">
        <f>IF($G252="","",SUMIFS($P$4:$P$2503,$E$4:$E$2503,$E252,$Z$4:$Z$2503,"正常",$A$4:$A$2503,"&lt;="&amp;$A252))</f>
        <v/>
      </c>
      <c r="U252" s="26">
        <f>IF($G252="","",IF(OR($S252&gt;0,$Q252=0,$R252=0,$Z252&lt;&gt;"正常"),0,ROUND($T252/$Q252*$R252,0)-ROUND(($T252-$P252)/$Q252*$R252,0)))</f>
        <v/>
      </c>
      <c r="V252" s="26">
        <f>IF($G252="","",ROUND($P252+$U252,0))</f>
        <v/>
      </c>
      <c r="W252" s="26">
        <f>IF($G252="","",IF(N($K252)=0,0,ROUND($V252/$K252,2)))</f>
        <v/>
      </c>
      <c r="X252" s="17" t="inlineStr">
        <is>
          <t>采购入库</t>
        </is>
      </c>
      <c r="Y252" s="17" t="inlineStr">
        <is>
          <t>待补价</t>
        </is>
      </c>
      <c r="Z252" s="17" t="inlineStr">
        <is>
          <t>正常</t>
        </is>
      </c>
      <c r="AA252" s="17" t="n"/>
      <c r="AB252" s="17" t="inlineStr">
        <is>
          <t>原表第 257 行</t>
        </is>
      </c>
      <c r="AC252" s="24">
        <f>IF($G252="","",IF($H252="※编码不在物料档案里","※物料编码不在档案里",IF(N($K252)&lt;=0,"※入库数量要大于 0",IF(AND($C252&lt;&gt;"",$C252&lt;=结账锁),"※日期早于已结账截止日，不能再录",IF(AND($L252=0,$X252="正常"),"※没填单价，价格状态请选「待补价」",IF(AND($S252&gt;0,$R252&gt;0),"△本批有 "&amp;$S252&amp;" 行没单价，整批运费先挂账没摊",IF(AND($B252&lt;&gt;"",COUNTIF($B$4:$B$2503,$B252)&gt;1),"※入库单号重复","")))))))</f>
        <v/>
      </c>
    </row>
    <row r="253">
      <c r="A253" s="24">
        <f>IF($G253="","",COUNTA($G$4:$G253))</f>
        <v/>
      </c>
      <c r="B253" s="17" t="n"/>
      <c r="C253" s="30" t="n">
        <v>46091</v>
      </c>
      <c r="D253" s="17" t="inlineStr">
        <is>
          <t>A国内</t>
        </is>
      </c>
      <c r="E253" s="17" t="inlineStr">
        <is>
          <t>FCIU8857920-202603</t>
        </is>
      </c>
      <c r="F253" s="17" t="inlineStr">
        <is>
          <t>烟台市金豪矿山机械有限公司</t>
        </is>
      </c>
      <c r="G253" s="17" t="inlineStr">
        <is>
          <t>JH0237</t>
        </is>
      </c>
      <c r="H253" s="24">
        <f>IF($G253="","",IFERROR(VLOOKUP($G253,物料档案!$A$4:$P$1203,3,0),"※编码不在物料档案里"))</f>
        <v/>
      </c>
      <c r="I253" s="24">
        <f>IF($G253="","",IFERROR(VLOOKUP($G253,物料档案!$A$4:$P$1203,4,0),"※编码不在物料档案里"))</f>
        <v/>
      </c>
      <c r="J253" s="24">
        <f>IF($G253="","",IFERROR(VLOOKUP($G253,物料档案!$A$4:$P$1203,5,0),"※编码不在物料档案里"))</f>
        <v/>
      </c>
      <c r="K253" s="23" t="n">
        <v>1</v>
      </c>
      <c r="L253" s="31" t="n"/>
      <c r="M253" s="24">
        <f>IF($G253="","",IF($D253="A国内","CNY","TZS"))</f>
        <v/>
      </c>
      <c r="N253" s="28">
        <f>IF($G253="","",IF($D253="A国内",汇率,1))</f>
        <v/>
      </c>
      <c r="O253" s="25">
        <f>IF($G253="","",ROUND(N($K253)*N($L253),2))</f>
        <v/>
      </c>
      <c r="P253" s="26">
        <f>IF($G253="","",ROUND($O253*$N253,0))</f>
        <v/>
      </c>
      <c r="Q253" s="26">
        <f>IF($G253="","",SUMIFS($P$4:$P$2503,$E$4:$E$2503,$E253,$Z$4:$Z$2503,"正常"))</f>
        <v/>
      </c>
      <c r="R253" s="26">
        <f>IF($G253="","",SUMIFS(费用台账!$I$4:$I$503,费用台账!$C$4:$C$503,$E253,费用台账!$J$4:$J$503,"是",费用台账!$K$4:$K$503,"正常"))</f>
        <v/>
      </c>
      <c r="S253" s="28">
        <f>IF($G253="","",COUNTIFS($E$4:$E$2503,$E253,$Z$4:$Z$2503,"正常",$Y$4:$Y$2503,"待补价"))</f>
        <v/>
      </c>
      <c r="T253" s="26">
        <f>IF($G253="","",SUMIFS($P$4:$P$2503,$E$4:$E$2503,$E253,$Z$4:$Z$2503,"正常",$A$4:$A$2503,"&lt;="&amp;$A253))</f>
        <v/>
      </c>
      <c r="U253" s="26">
        <f>IF($G253="","",IF(OR($S253&gt;0,$Q253=0,$R253=0,$Z253&lt;&gt;"正常"),0,ROUND($T253/$Q253*$R253,0)-ROUND(($T253-$P253)/$Q253*$R253,0)))</f>
        <v/>
      </c>
      <c r="V253" s="26">
        <f>IF($G253="","",ROUND($P253+$U253,0))</f>
        <v/>
      </c>
      <c r="W253" s="26">
        <f>IF($G253="","",IF(N($K253)=0,0,ROUND($V253/$K253,2)))</f>
        <v/>
      </c>
      <c r="X253" s="17" t="inlineStr">
        <is>
          <t>采购入库</t>
        </is>
      </c>
      <c r="Y253" s="17" t="inlineStr">
        <is>
          <t>待补价</t>
        </is>
      </c>
      <c r="Z253" s="17" t="inlineStr">
        <is>
          <t>正常</t>
        </is>
      </c>
      <c r="AA253" s="17" t="n"/>
      <c r="AB253" s="17" t="inlineStr">
        <is>
          <t>原表第 258 行</t>
        </is>
      </c>
      <c r="AC253" s="24">
        <f>IF($G253="","",IF($H253="※编码不在物料档案里","※物料编码不在档案里",IF(N($K253)&lt;=0,"※入库数量要大于 0",IF(AND($C253&lt;&gt;"",$C253&lt;=结账锁),"※日期早于已结账截止日，不能再录",IF(AND($L253=0,$X253="正常"),"※没填单价，价格状态请选「待补价」",IF(AND($S253&gt;0,$R253&gt;0),"△本批有 "&amp;$S253&amp;" 行没单价，整批运费先挂账没摊",IF(AND($B253&lt;&gt;"",COUNTIF($B$4:$B$2503,$B253)&gt;1),"※入库单号重复","")))))))</f>
        <v/>
      </c>
    </row>
    <row r="254">
      <c r="A254" s="24">
        <f>IF($G254="","",COUNTA($G$4:$G254))</f>
        <v/>
      </c>
      <c r="B254" s="17" t="n"/>
      <c r="C254" s="30" t="n">
        <v>46091</v>
      </c>
      <c r="D254" s="17" t="inlineStr">
        <is>
          <t>A国内</t>
        </is>
      </c>
      <c r="E254" s="17" t="inlineStr">
        <is>
          <t>FCIU8857920-202603</t>
        </is>
      </c>
      <c r="F254" s="17" t="inlineStr">
        <is>
          <t>烟台市金豪矿山机械有限公司</t>
        </is>
      </c>
      <c r="G254" s="17" t="inlineStr">
        <is>
          <t>JH0238</t>
        </is>
      </c>
      <c r="H254" s="24">
        <f>IF($G254="","",IFERROR(VLOOKUP($G254,物料档案!$A$4:$P$1203,3,0),"※编码不在物料档案里"))</f>
        <v/>
      </c>
      <c r="I254" s="24">
        <f>IF($G254="","",IFERROR(VLOOKUP($G254,物料档案!$A$4:$P$1203,4,0),"※编码不在物料档案里"))</f>
        <v/>
      </c>
      <c r="J254" s="24">
        <f>IF($G254="","",IFERROR(VLOOKUP($G254,物料档案!$A$4:$P$1203,5,0),"※编码不在物料档案里"))</f>
        <v/>
      </c>
      <c r="K254" s="23" t="n">
        <v>1</v>
      </c>
      <c r="L254" s="31" t="n"/>
      <c r="M254" s="24">
        <f>IF($G254="","",IF($D254="A国内","CNY","TZS"))</f>
        <v/>
      </c>
      <c r="N254" s="28">
        <f>IF($G254="","",IF($D254="A国内",汇率,1))</f>
        <v/>
      </c>
      <c r="O254" s="25">
        <f>IF($G254="","",ROUND(N($K254)*N($L254),2))</f>
        <v/>
      </c>
      <c r="P254" s="26">
        <f>IF($G254="","",ROUND($O254*$N254,0))</f>
        <v/>
      </c>
      <c r="Q254" s="26">
        <f>IF($G254="","",SUMIFS($P$4:$P$2503,$E$4:$E$2503,$E254,$Z$4:$Z$2503,"正常"))</f>
        <v/>
      </c>
      <c r="R254" s="26">
        <f>IF($G254="","",SUMIFS(费用台账!$I$4:$I$503,费用台账!$C$4:$C$503,$E254,费用台账!$J$4:$J$503,"是",费用台账!$K$4:$K$503,"正常"))</f>
        <v/>
      </c>
      <c r="S254" s="28">
        <f>IF($G254="","",COUNTIFS($E$4:$E$2503,$E254,$Z$4:$Z$2503,"正常",$Y$4:$Y$2503,"待补价"))</f>
        <v/>
      </c>
      <c r="T254" s="26">
        <f>IF($G254="","",SUMIFS($P$4:$P$2503,$E$4:$E$2503,$E254,$Z$4:$Z$2503,"正常",$A$4:$A$2503,"&lt;="&amp;$A254))</f>
        <v/>
      </c>
      <c r="U254" s="26">
        <f>IF($G254="","",IF(OR($S254&gt;0,$Q254=0,$R254=0,$Z254&lt;&gt;"正常"),0,ROUND($T254/$Q254*$R254,0)-ROUND(($T254-$P254)/$Q254*$R254,0)))</f>
        <v/>
      </c>
      <c r="V254" s="26">
        <f>IF($G254="","",ROUND($P254+$U254,0))</f>
        <v/>
      </c>
      <c r="W254" s="26">
        <f>IF($G254="","",IF(N($K254)=0,0,ROUND($V254/$K254,2)))</f>
        <v/>
      </c>
      <c r="X254" s="17" t="inlineStr">
        <is>
          <t>采购入库</t>
        </is>
      </c>
      <c r="Y254" s="17" t="inlineStr">
        <is>
          <t>待补价</t>
        </is>
      </c>
      <c r="Z254" s="17" t="inlineStr">
        <is>
          <t>正常</t>
        </is>
      </c>
      <c r="AA254" s="17" t="n"/>
      <c r="AB254" s="17" t="inlineStr">
        <is>
          <t>原表第 259 行</t>
        </is>
      </c>
      <c r="AC254" s="24">
        <f>IF($G254="","",IF($H254="※编码不在物料档案里","※物料编码不在档案里",IF(N($K254)&lt;=0,"※入库数量要大于 0",IF(AND($C254&lt;&gt;"",$C254&lt;=结账锁),"※日期早于已结账截止日，不能再录",IF(AND($L254=0,$X254="正常"),"※没填单价，价格状态请选「待补价」",IF(AND($S254&gt;0,$R254&gt;0),"△本批有 "&amp;$S254&amp;" 行没单价，整批运费先挂账没摊",IF(AND($B254&lt;&gt;"",COUNTIF($B$4:$B$2503,$B254)&gt;1),"※入库单号重复","")))))))</f>
        <v/>
      </c>
    </row>
    <row r="255">
      <c r="A255" s="24">
        <f>IF($G255="","",COUNTA($G$4:$G255))</f>
        <v/>
      </c>
      <c r="B255" s="17" t="n"/>
      <c r="C255" s="30" t="n">
        <v>46091</v>
      </c>
      <c r="D255" s="17" t="inlineStr">
        <is>
          <t>A国内</t>
        </is>
      </c>
      <c r="E255" s="17" t="inlineStr">
        <is>
          <t>FCIU8857920-202603</t>
        </is>
      </c>
      <c r="F255" s="17" t="inlineStr">
        <is>
          <t>烟台市金豪矿山机械有限公司</t>
        </is>
      </c>
      <c r="G255" s="17" t="inlineStr">
        <is>
          <t>JH0239</t>
        </is>
      </c>
      <c r="H255" s="24">
        <f>IF($G255="","",IFERROR(VLOOKUP($G255,物料档案!$A$4:$P$1203,3,0),"※编码不在物料档案里"))</f>
        <v/>
      </c>
      <c r="I255" s="24">
        <f>IF($G255="","",IFERROR(VLOOKUP($G255,物料档案!$A$4:$P$1203,4,0),"※编码不在物料档案里"))</f>
        <v/>
      </c>
      <c r="J255" s="24">
        <f>IF($G255="","",IFERROR(VLOOKUP($G255,物料档案!$A$4:$P$1203,5,0),"※编码不在物料档案里"))</f>
        <v/>
      </c>
      <c r="K255" s="23" t="n">
        <v>1</v>
      </c>
      <c r="L255" s="31" t="n"/>
      <c r="M255" s="24">
        <f>IF($G255="","",IF($D255="A国内","CNY","TZS"))</f>
        <v/>
      </c>
      <c r="N255" s="28">
        <f>IF($G255="","",IF($D255="A国内",汇率,1))</f>
        <v/>
      </c>
      <c r="O255" s="25">
        <f>IF($G255="","",ROUND(N($K255)*N($L255),2))</f>
        <v/>
      </c>
      <c r="P255" s="26">
        <f>IF($G255="","",ROUND($O255*$N255,0))</f>
        <v/>
      </c>
      <c r="Q255" s="26">
        <f>IF($G255="","",SUMIFS($P$4:$P$2503,$E$4:$E$2503,$E255,$Z$4:$Z$2503,"正常"))</f>
        <v/>
      </c>
      <c r="R255" s="26">
        <f>IF($G255="","",SUMIFS(费用台账!$I$4:$I$503,费用台账!$C$4:$C$503,$E255,费用台账!$J$4:$J$503,"是",费用台账!$K$4:$K$503,"正常"))</f>
        <v/>
      </c>
      <c r="S255" s="28">
        <f>IF($G255="","",COUNTIFS($E$4:$E$2503,$E255,$Z$4:$Z$2503,"正常",$Y$4:$Y$2503,"待补价"))</f>
        <v/>
      </c>
      <c r="T255" s="26">
        <f>IF($G255="","",SUMIFS($P$4:$P$2503,$E$4:$E$2503,$E255,$Z$4:$Z$2503,"正常",$A$4:$A$2503,"&lt;="&amp;$A255))</f>
        <v/>
      </c>
      <c r="U255" s="26">
        <f>IF($G255="","",IF(OR($S255&gt;0,$Q255=0,$R255=0,$Z255&lt;&gt;"正常"),0,ROUND($T255/$Q255*$R255,0)-ROUND(($T255-$P255)/$Q255*$R255,0)))</f>
        <v/>
      </c>
      <c r="V255" s="26">
        <f>IF($G255="","",ROUND($P255+$U255,0))</f>
        <v/>
      </c>
      <c r="W255" s="26">
        <f>IF($G255="","",IF(N($K255)=0,0,ROUND($V255/$K255,2)))</f>
        <v/>
      </c>
      <c r="X255" s="17" t="inlineStr">
        <is>
          <t>采购入库</t>
        </is>
      </c>
      <c r="Y255" s="17" t="inlineStr">
        <is>
          <t>待补价</t>
        </is>
      </c>
      <c r="Z255" s="17" t="inlineStr">
        <is>
          <t>正常</t>
        </is>
      </c>
      <c r="AA255" s="17" t="n"/>
      <c r="AB255" s="17" t="inlineStr">
        <is>
          <t>原表第 260 行</t>
        </is>
      </c>
      <c r="AC255" s="24">
        <f>IF($G255="","",IF($H255="※编码不在物料档案里","※物料编码不在档案里",IF(N($K255)&lt;=0,"※入库数量要大于 0",IF(AND($C255&lt;&gt;"",$C255&lt;=结账锁),"※日期早于已结账截止日，不能再录",IF(AND($L255=0,$X255="正常"),"※没填单价，价格状态请选「待补价」",IF(AND($S255&gt;0,$R255&gt;0),"△本批有 "&amp;$S255&amp;" 行没单价，整批运费先挂账没摊",IF(AND($B255&lt;&gt;"",COUNTIF($B$4:$B$2503,$B255)&gt;1),"※入库单号重复","")))))))</f>
        <v/>
      </c>
    </row>
    <row r="256">
      <c r="A256" s="24">
        <f>IF($G256="","",COUNTA($G$4:$G256))</f>
        <v/>
      </c>
      <c r="B256" s="17" t="n"/>
      <c r="C256" s="30" t="n">
        <v>46091</v>
      </c>
      <c r="D256" s="17" t="inlineStr">
        <is>
          <t>A国内</t>
        </is>
      </c>
      <c r="E256" s="17" t="inlineStr">
        <is>
          <t>FCIU8857920-202603</t>
        </is>
      </c>
      <c r="F256" s="17" t="inlineStr">
        <is>
          <t>烟台市金豪矿山机械有限公司</t>
        </is>
      </c>
      <c r="G256" s="17" t="inlineStr">
        <is>
          <t>JH0240</t>
        </is>
      </c>
      <c r="H256" s="24">
        <f>IF($G256="","",IFERROR(VLOOKUP($G256,物料档案!$A$4:$P$1203,3,0),"※编码不在物料档案里"))</f>
        <v/>
      </c>
      <c r="I256" s="24">
        <f>IF($G256="","",IFERROR(VLOOKUP($G256,物料档案!$A$4:$P$1203,4,0),"※编码不在物料档案里"))</f>
        <v/>
      </c>
      <c r="J256" s="24">
        <f>IF($G256="","",IFERROR(VLOOKUP($G256,物料档案!$A$4:$P$1203,5,0),"※编码不在物料档案里"))</f>
        <v/>
      </c>
      <c r="K256" s="23" t="n">
        <v>1</v>
      </c>
      <c r="L256" s="31" t="n"/>
      <c r="M256" s="24">
        <f>IF($G256="","",IF($D256="A国内","CNY","TZS"))</f>
        <v/>
      </c>
      <c r="N256" s="28">
        <f>IF($G256="","",IF($D256="A国内",汇率,1))</f>
        <v/>
      </c>
      <c r="O256" s="25">
        <f>IF($G256="","",ROUND(N($K256)*N($L256),2))</f>
        <v/>
      </c>
      <c r="P256" s="26">
        <f>IF($G256="","",ROUND($O256*$N256,0))</f>
        <v/>
      </c>
      <c r="Q256" s="26">
        <f>IF($G256="","",SUMIFS($P$4:$P$2503,$E$4:$E$2503,$E256,$Z$4:$Z$2503,"正常"))</f>
        <v/>
      </c>
      <c r="R256" s="26">
        <f>IF($G256="","",SUMIFS(费用台账!$I$4:$I$503,费用台账!$C$4:$C$503,$E256,费用台账!$J$4:$J$503,"是",费用台账!$K$4:$K$503,"正常"))</f>
        <v/>
      </c>
      <c r="S256" s="28">
        <f>IF($G256="","",COUNTIFS($E$4:$E$2503,$E256,$Z$4:$Z$2503,"正常",$Y$4:$Y$2503,"待补价"))</f>
        <v/>
      </c>
      <c r="T256" s="26">
        <f>IF($G256="","",SUMIFS($P$4:$P$2503,$E$4:$E$2503,$E256,$Z$4:$Z$2503,"正常",$A$4:$A$2503,"&lt;="&amp;$A256))</f>
        <v/>
      </c>
      <c r="U256" s="26">
        <f>IF($G256="","",IF(OR($S256&gt;0,$Q256=0,$R256=0,$Z256&lt;&gt;"正常"),0,ROUND($T256/$Q256*$R256,0)-ROUND(($T256-$P256)/$Q256*$R256,0)))</f>
        <v/>
      </c>
      <c r="V256" s="26">
        <f>IF($G256="","",ROUND($P256+$U256,0))</f>
        <v/>
      </c>
      <c r="W256" s="26">
        <f>IF($G256="","",IF(N($K256)=0,0,ROUND($V256/$K256,2)))</f>
        <v/>
      </c>
      <c r="X256" s="17" t="inlineStr">
        <is>
          <t>采购入库</t>
        </is>
      </c>
      <c r="Y256" s="17" t="inlineStr">
        <is>
          <t>待补价</t>
        </is>
      </c>
      <c r="Z256" s="17" t="inlineStr">
        <is>
          <t>正常</t>
        </is>
      </c>
      <c r="AA256" s="17" t="n"/>
      <c r="AB256" s="17" t="inlineStr">
        <is>
          <t>原表第 261 行</t>
        </is>
      </c>
      <c r="AC256" s="24">
        <f>IF($G256="","",IF($H256="※编码不在物料档案里","※物料编码不在档案里",IF(N($K256)&lt;=0,"※入库数量要大于 0",IF(AND($C256&lt;&gt;"",$C256&lt;=结账锁),"※日期早于已结账截止日，不能再录",IF(AND($L256=0,$X256="正常"),"※没填单价，价格状态请选「待补价」",IF(AND($S256&gt;0,$R256&gt;0),"△本批有 "&amp;$S256&amp;" 行没单价，整批运费先挂账没摊",IF(AND($B256&lt;&gt;"",COUNTIF($B$4:$B$2503,$B256)&gt;1),"※入库单号重复","")))))))</f>
        <v/>
      </c>
    </row>
    <row r="257">
      <c r="A257" s="24">
        <f>IF($G257="","",COUNTA($G$4:$G257))</f>
        <v/>
      </c>
      <c r="B257" s="17" t="n"/>
      <c r="C257" s="30" t="n">
        <v>46091</v>
      </c>
      <c r="D257" s="17" t="inlineStr">
        <is>
          <t>A国内</t>
        </is>
      </c>
      <c r="E257" s="17" t="inlineStr">
        <is>
          <t>FCIU8857920-202603</t>
        </is>
      </c>
      <c r="F257" s="17" t="inlineStr">
        <is>
          <t>烟台市金豪矿山机械有限公司</t>
        </is>
      </c>
      <c r="G257" s="17" t="inlineStr">
        <is>
          <t>JH0241</t>
        </is>
      </c>
      <c r="H257" s="24">
        <f>IF($G257="","",IFERROR(VLOOKUP($G257,物料档案!$A$4:$P$1203,3,0),"※编码不在物料档案里"))</f>
        <v/>
      </c>
      <c r="I257" s="24">
        <f>IF($G257="","",IFERROR(VLOOKUP($G257,物料档案!$A$4:$P$1203,4,0),"※编码不在物料档案里"))</f>
        <v/>
      </c>
      <c r="J257" s="24">
        <f>IF($G257="","",IFERROR(VLOOKUP($G257,物料档案!$A$4:$P$1203,5,0),"※编码不在物料档案里"))</f>
        <v/>
      </c>
      <c r="K257" s="23" t="n">
        <v>1</v>
      </c>
      <c r="L257" s="31" t="n"/>
      <c r="M257" s="24">
        <f>IF($G257="","",IF($D257="A国内","CNY","TZS"))</f>
        <v/>
      </c>
      <c r="N257" s="28">
        <f>IF($G257="","",IF($D257="A国内",汇率,1))</f>
        <v/>
      </c>
      <c r="O257" s="25">
        <f>IF($G257="","",ROUND(N($K257)*N($L257),2))</f>
        <v/>
      </c>
      <c r="P257" s="26">
        <f>IF($G257="","",ROUND($O257*$N257,0))</f>
        <v/>
      </c>
      <c r="Q257" s="26">
        <f>IF($G257="","",SUMIFS($P$4:$P$2503,$E$4:$E$2503,$E257,$Z$4:$Z$2503,"正常"))</f>
        <v/>
      </c>
      <c r="R257" s="26">
        <f>IF($G257="","",SUMIFS(费用台账!$I$4:$I$503,费用台账!$C$4:$C$503,$E257,费用台账!$J$4:$J$503,"是",费用台账!$K$4:$K$503,"正常"))</f>
        <v/>
      </c>
      <c r="S257" s="28">
        <f>IF($G257="","",COUNTIFS($E$4:$E$2503,$E257,$Z$4:$Z$2503,"正常",$Y$4:$Y$2503,"待补价"))</f>
        <v/>
      </c>
      <c r="T257" s="26">
        <f>IF($G257="","",SUMIFS($P$4:$P$2503,$E$4:$E$2503,$E257,$Z$4:$Z$2503,"正常",$A$4:$A$2503,"&lt;="&amp;$A257))</f>
        <v/>
      </c>
      <c r="U257" s="26">
        <f>IF($G257="","",IF(OR($S257&gt;0,$Q257=0,$R257=0,$Z257&lt;&gt;"正常"),0,ROUND($T257/$Q257*$R257,0)-ROUND(($T257-$P257)/$Q257*$R257,0)))</f>
        <v/>
      </c>
      <c r="V257" s="26">
        <f>IF($G257="","",ROUND($P257+$U257,0))</f>
        <v/>
      </c>
      <c r="W257" s="26">
        <f>IF($G257="","",IF(N($K257)=0,0,ROUND($V257/$K257,2)))</f>
        <v/>
      </c>
      <c r="X257" s="17" t="inlineStr">
        <is>
          <t>采购入库</t>
        </is>
      </c>
      <c r="Y257" s="17" t="inlineStr">
        <is>
          <t>待补价</t>
        </is>
      </c>
      <c r="Z257" s="17" t="inlineStr">
        <is>
          <t>正常</t>
        </is>
      </c>
      <c r="AA257" s="17" t="n"/>
      <c r="AB257" s="17" t="inlineStr">
        <is>
          <t>原表第 262 行</t>
        </is>
      </c>
      <c r="AC257" s="24">
        <f>IF($G257="","",IF($H257="※编码不在物料档案里","※物料编码不在档案里",IF(N($K257)&lt;=0,"※入库数量要大于 0",IF(AND($C257&lt;&gt;"",$C257&lt;=结账锁),"※日期早于已结账截止日，不能再录",IF(AND($L257=0,$X257="正常"),"※没填单价，价格状态请选「待补价」",IF(AND($S257&gt;0,$R257&gt;0),"△本批有 "&amp;$S257&amp;" 行没单价，整批运费先挂账没摊",IF(AND($B257&lt;&gt;"",COUNTIF($B$4:$B$2503,$B257)&gt;1),"※入库单号重复","")))))))</f>
        <v/>
      </c>
    </row>
    <row r="258">
      <c r="A258" s="24">
        <f>IF($G258="","",COUNTA($G$4:$G258))</f>
        <v/>
      </c>
      <c r="B258" s="17" t="n"/>
      <c r="C258" s="30" t="n">
        <v>46091</v>
      </c>
      <c r="D258" s="17" t="inlineStr">
        <is>
          <t>A国内</t>
        </is>
      </c>
      <c r="E258" s="17" t="inlineStr">
        <is>
          <t>FCIU8857920-202603</t>
        </is>
      </c>
      <c r="F258" s="17" t="inlineStr">
        <is>
          <t>烟台市金豪矿山机械有限公司</t>
        </is>
      </c>
      <c r="G258" s="17" t="inlineStr">
        <is>
          <t>JH0242</t>
        </is>
      </c>
      <c r="H258" s="24">
        <f>IF($G258="","",IFERROR(VLOOKUP($G258,物料档案!$A$4:$P$1203,3,0),"※编码不在物料档案里"))</f>
        <v/>
      </c>
      <c r="I258" s="24">
        <f>IF($G258="","",IFERROR(VLOOKUP($G258,物料档案!$A$4:$P$1203,4,0),"※编码不在物料档案里"))</f>
        <v/>
      </c>
      <c r="J258" s="24">
        <f>IF($G258="","",IFERROR(VLOOKUP($G258,物料档案!$A$4:$P$1203,5,0),"※编码不在物料档案里"))</f>
        <v/>
      </c>
      <c r="K258" s="23" t="n">
        <v>1</v>
      </c>
      <c r="L258" s="31" t="n"/>
      <c r="M258" s="24">
        <f>IF($G258="","",IF($D258="A国内","CNY","TZS"))</f>
        <v/>
      </c>
      <c r="N258" s="28">
        <f>IF($G258="","",IF($D258="A国内",汇率,1))</f>
        <v/>
      </c>
      <c r="O258" s="25">
        <f>IF($G258="","",ROUND(N($K258)*N($L258),2))</f>
        <v/>
      </c>
      <c r="P258" s="26">
        <f>IF($G258="","",ROUND($O258*$N258,0))</f>
        <v/>
      </c>
      <c r="Q258" s="26">
        <f>IF($G258="","",SUMIFS($P$4:$P$2503,$E$4:$E$2503,$E258,$Z$4:$Z$2503,"正常"))</f>
        <v/>
      </c>
      <c r="R258" s="26">
        <f>IF($G258="","",SUMIFS(费用台账!$I$4:$I$503,费用台账!$C$4:$C$503,$E258,费用台账!$J$4:$J$503,"是",费用台账!$K$4:$K$503,"正常"))</f>
        <v/>
      </c>
      <c r="S258" s="28">
        <f>IF($G258="","",COUNTIFS($E$4:$E$2503,$E258,$Z$4:$Z$2503,"正常",$Y$4:$Y$2503,"待补价"))</f>
        <v/>
      </c>
      <c r="T258" s="26">
        <f>IF($G258="","",SUMIFS($P$4:$P$2503,$E$4:$E$2503,$E258,$Z$4:$Z$2503,"正常",$A$4:$A$2503,"&lt;="&amp;$A258))</f>
        <v/>
      </c>
      <c r="U258" s="26">
        <f>IF($G258="","",IF(OR($S258&gt;0,$Q258=0,$R258=0,$Z258&lt;&gt;"正常"),0,ROUND($T258/$Q258*$R258,0)-ROUND(($T258-$P258)/$Q258*$R258,0)))</f>
        <v/>
      </c>
      <c r="V258" s="26">
        <f>IF($G258="","",ROUND($P258+$U258,0))</f>
        <v/>
      </c>
      <c r="W258" s="26">
        <f>IF($G258="","",IF(N($K258)=0,0,ROUND($V258/$K258,2)))</f>
        <v/>
      </c>
      <c r="X258" s="17" t="inlineStr">
        <is>
          <t>采购入库</t>
        </is>
      </c>
      <c r="Y258" s="17" t="inlineStr">
        <is>
          <t>待补价</t>
        </is>
      </c>
      <c r="Z258" s="17" t="inlineStr">
        <is>
          <t>正常</t>
        </is>
      </c>
      <c r="AA258" s="17" t="n"/>
      <c r="AB258" s="17" t="inlineStr">
        <is>
          <t>原表第 263 行</t>
        </is>
      </c>
      <c r="AC258" s="24">
        <f>IF($G258="","",IF($H258="※编码不在物料档案里","※物料编码不在档案里",IF(N($K258)&lt;=0,"※入库数量要大于 0",IF(AND($C258&lt;&gt;"",$C258&lt;=结账锁),"※日期早于已结账截止日，不能再录",IF(AND($L258=0,$X258="正常"),"※没填单价，价格状态请选「待补价」",IF(AND($S258&gt;0,$R258&gt;0),"△本批有 "&amp;$S258&amp;" 行没单价，整批运费先挂账没摊",IF(AND($B258&lt;&gt;"",COUNTIF($B$4:$B$2503,$B258)&gt;1),"※入库单号重复","")))))))</f>
        <v/>
      </c>
    </row>
    <row r="259">
      <c r="A259" s="24">
        <f>IF($G259="","",COUNTA($G$4:$G259))</f>
        <v/>
      </c>
      <c r="B259" s="17" t="n"/>
      <c r="C259" s="30" t="n">
        <v>46091</v>
      </c>
      <c r="D259" s="17" t="inlineStr">
        <is>
          <t>A国内</t>
        </is>
      </c>
      <c r="E259" s="17" t="inlineStr">
        <is>
          <t>FCIU8857920-202603</t>
        </is>
      </c>
      <c r="F259" s="17" t="inlineStr">
        <is>
          <t>烟台市金豪矿山机械有限公司</t>
        </is>
      </c>
      <c r="G259" s="17" t="inlineStr">
        <is>
          <t>JH0243</t>
        </is>
      </c>
      <c r="H259" s="24">
        <f>IF($G259="","",IFERROR(VLOOKUP($G259,物料档案!$A$4:$P$1203,3,0),"※编码不在物料档案里"))</f>
        <v/>
      </c>
      <c r="I259" s="24">
        <f>IF($G259="","",IFERROR(VLOOKUP($G259,物料档案!$A$4:$P$1203,4,0),"※编码不在物料档案里"))</f>
        <v/>
      </c>
      <c r="J259" s="24">
        <f>IF($G259="","",IFERROR(VLOOKUP($G259,物料档案!$A$4:$P$1203,5,0),"※编码不在物料档案里"))</f>
        <v/>
      </c>
      <c r="K259" s="23" t="n">
        <v>4</v>
      </c>
      <c r="L259" s="31" t="n"/>
      <c r="M259" s="24">
        <f>IF($G259="","",IF($D259="A国内","CNY","TZS"))</f>
        <v/>
      </c>
      <c r="N259" s="28">
        <f>IF($G259="","",IF($D259="A国内",汇率,1))</f>
        <v/>
      </c>
      <c r="O259" s="25">
        <f>IF($G259="","",ROUND(N($K259)*N($L259),2))</f>
        <v/>
      </c>
      <c r="P259" s="26">
        <f>IF($G259="","",ROUND($O259*$N259,0))</f>
        <v/>
      </c>
      <c r="Q259" s="26">
        <f>IF($G259="","",SUMIFS($P$4:$P$2503,$E$4:$E$2503,$E259,$Z$4:$Z$2503,"正常"))</f>
        <v/>
      </c>
      <c r="R259" s="26">
        <f>IF($G259="","",SUMIFS(费用台账!$I$4:$I$503,费用台账!$C$4:$C$503,$E259,费用台账!$J$4:$J$503,"是",费用台账!$K$4:$K$503,"正常"))</f>
        <v/>
      </c>
      <c r="S259" s="28">
        <f>IF($G259="","",COUNTIFS($E$4:$E$2503,$E259,$Z$4:$Z$2503,"正常",$Y$4:$Y$2503,"待补价"))</f>
        <v/>
      </c>
      <c r="T259" s="26">
        <f>IF($G259="","",SUMIFS($P$4:$P$2503,$E$4:$E$2503,$E259,$Z$4:$Z$2503,"正常",$A$4:$A$2503,"&lt;="&amp;$A259))</f>
        <v/>
      </c>
      <c r="U259" s="26">
        <f>IF($G259="","",IF(OR($S259&gt;0,$Q259=0,$R259=0,$Z259&lt;&gt;"正常"),0,ROUND($T259/$Q259*$R259,0)-ROUND(($T259-$P259)/$Q259*$R259,0)))</f>
        <v/>
      </c>
      <c r="V259" s="26">
        <f>IF($G259="","",ROUND($P259+$U259,0))</f>
        <v/>
      </c>
      <c r="W259" s="26">
        <f>IF($G259="","",IF(N($K259)=0,0,ROUND($V259/$K259,2)))</f>
        <v/>
      </c>
      <c r="X259" s="17" t="inlineStr">
        <is>
          <t>采购入库</t>
        </is>
      </c>
      <c r="Y259" s="17" t="inlineStr">
        <is>
          <t>待补价</t>
        </is>
      </c>
      <c r="Z259" s="17" t="inlineStr">
        <is>
          <t>正常</t>
        </is>
      </c>
      <c r="AA259" s="17" t="n"/>
      <c r="AB259" s="17" t="inlineStr">
        <is>
          <t>原表第 264 行</t>
        </is>
      </c>
      <c r="AC259" s="24">
        <f>IF($G259="","",IF($H259="※编码不在物料档案里","※物料编码不在档案里",IF(N($K259)&lt;=0,"※入库数量要大于 0",IF(AND($C259&lt;&gt;"",$C259&lt;=结账锁),"※日期早于已结账截止日，不能再录",IF(AND($L259=0,$X259="正常"),"※没填单价，价格状态请选「待补价」",IF(AND($S259&gt;0,$R259&gt;0),"△本批有 "&amp;$S259&amp;" 行没单价，整批运费先挂账没摊",IF(AND($B259&lt;&gt;"",COUNTIF($B$4:$B$2503,$B259)&gt;1),"※入库单号重复","")))))))</f>
        <v/>
      </c>
    </row>
    <row r="260">
      <c r="A260" s="24">
        <f>IF($G260="","",COUNTA($G$4:$G260))</f>
        <v/>
      </c>
      <c r="B260" s="17" t="n"/>
      <c r="C260" s="30" t="n">
        <v>46091</v>
      </c>
      <c r="D260" s="17" t="inlineStr">
        <is>
          <t>A国内</t>
        </is>
      </c>
      <c r="E260" s="17" t="inlineStr">
        <is>
          <t>FCIU8857920-202603</t>
        </is>
      </c>
      <c r="F260" s="17" t="inlineStr">
        <is>
          <t>烟台市金豪矿山机械有限公司</t>
        </is>
      </c>
      <c r="G260" s="17" t="inlineStr">
        <is>
          <t>JH0244</t>
        </is>
      </c>
      <c r="H260" s="24">
        <f>IF($G260="","",IFERROR(VLOOKUP($G260,物料档案!$A$4:$P$1203,3,0),"※编码不在物料档案里"))</f>
        <v/>
      </c>
      <c r="I260" s="24">
        <f>IF($G260="","",IFERROR(VLOOKUP($G260,物料档案!$A$4:$P$1203,4,0),"※编码不在物料档案里"))</f>
        <v/>
      </c>
      <c r="J260" s="24">
        <f>IF($G260="","",IFERROR(VLOOKUP($G260,物料档案!$A$4:$P$1203,5,0),"※编码不在物料档案里"))</f>
        <v/>
      </c>
      <c r="K260" s="23" t="n">
        <v>9</v>
      </c>
      <c r="L260" s="31" t="n"/>
      <c r="M260" s="24">
        <f>IF($G260="","",IF($D260="A国内","CNY","TZS"))</f>
        <v/>
      </c>
      <c r="N260" s="28">
        <f>IF($G260="","",IF($D260="A国内",汇率,1))</f>
        <v/>
      </c>
      <c r="O260" s="25">
        <f>IF($G260="","",ROUND(N($K260)*N($L260),2))</f>
        <v/>
      </c>
      <c r="P260" s="26">
        <f>IF($G260="","",ROUND($O260*$N260,0))</f>
        <v/>
      </c>
      <c r="Q260" s="26">
        <f>IF($G260="","",SUMIFS($P$4:$P$2503,$E$4:$E$2503,$E260,$Z$4:$Z$2503,"正常"))</f>
        <v/>
      </c>
      <c r="R260" s="26">
        <f>IF($G260="","",SUMIFS(费用台账!$I$4:$I$503,费用台账!$C$4:$C$503,$E260,费用台账!$J$4:$J$503,"是",费用台账!$K$4:$K$503,"正常"))</f>
        <v/>
      </c>
      <c r="S260" s="28">
        <f>IF($G260="","",COUNTIFS($E$4:$E$2503,$E260,$Z$4:$Z$2503,"正常",$Y$4:$Y$2503,"待补价"))</f>
        <v/>
      </c>
      <c r="T260" s="26">
        <f>IF($G260="","",SUMIFS($P$4:$P$2503,$E$4:$E$2503,$E260,$Z$4:$Z$2503,"正常",$A$4:$A$2503,"&lt;="&amp;$A260))</f>
        <v/>
      </c>
      <c r="U260" s="26">
        <f>IF($G260="","",IF(OR($S260&gt;0,$Q260=0,$R260=0,$Z260&lt;&gt;"正常"),0,ROUND($T260/$Q260*$R260,0)-ROUND(($T260-$P260)/$Q260*$R260,0)))</f>
        <v/>
      </c>
      <c r="V260" s="26">
        <f>IF($G260="","",ROUND($P260+$U260,0))</f>
        <v/>
      </c>
      <c r="W260" s="26">
        <f>IF($G260="","",IF(N($K260)=0,0,ROUND($V260/$K260,2)))</f>
        <v/>
      </c>
      <c r="X260" s="17" t="inlineStr">
        <is>
          <t>采购入库</t>
        </is>
      </c>
      <c r="Y260" s="17" t="inlineStr">
        <is>
          <t>待补价</t>
        </is>
      </c>
      <c r="Z260" s="17" t="inlineStr">
        <is>
          <t>正常</t>
        </is>
      </c>
      <c r="AA260" s="17" t="n"/>
      <c r="AB260" s="17" t="inlineStr">
        <is>
          <t>原表第 265 行</t>
        </is>
      </c>
      <c r="AC260" s="24">
        <f>IF($G260="","",IF($H260="※编码不在物料档案里","※物料编码不在档案里",IF(N($K260)&lt;=0,"※入库数量要大于 0",IF(AND($C260&lt;&gt;"",$C260&lt;=结账锁),"※日期早于已结账截止日，不能再录",IF(AND($L260=0,$X260="正常"),"※没填单价，价格状态请选「待补价」",IF(AND($S260&gt;0,$R260&gt;0),"△本批有 "&amp;$S260&amp;" 行没单价，整批运费先挂账没摊",IF(AND($B260&lt;&gt;"",COUNTIF($B$4:$B$2503,$B260)&gt;1),"※入库单号重复","")))))))</f>
        <v/>
      </c>
    </row>
    <row r="261">
      <c r="A261" s="24">
        <f>IF($G261="","",COUNTA($G$4:$G261))</f>
        <v/>
      </c>
      <c r="B261" s="17" t="n"/>
      <c r="C261" s="30" t="n">
        <v>46091</v>
      </c>
      <c r="D261" s="17" t="inlineStr">
        <is>
          <t>A国内</t>
        </is>
      </c>
      <c r="E261" s="17" t="inlineStr">
        <is>
          <t>FCIU8857920-202603</t>
        </is>
      </c>
      <c r="F261" s="17" t="inlineStr">
        <is>
          <t>烟台市金豪矿山机械有限公司</t>
        </is>
      </c>
      <c r="G261" s="17" t="inlineStr">
        <is>
          <t>JH0245</t>
        </is>
      </c>
      <c r="H261" s="24">
        <f>IF($G261="","",IFERROR(VLOOKUP($G261,物料档案!$A$4:$P$1203,3,0),"※编码不在物料档案里"))</f>
        <v/>
      </c>
      <c r="I261" s="24">
        <f>IF($G261="","",IFERROR(VLOOKUP($G261,物料档案!$A$4:$P$1203,4,0),"※编码不在物料档案里"))</f>
        <v/>
      </c>
      <c r="J261" s="24">
        <f>IF($G261="","",IFERROR(VLOOKUP($G261,物料档案!$A$4:$P$1203,5,0),"※编码不在物料档案里"))</f>
        <v/>
      </c>
      <c r="K261" s="23" t="n">
        <v>2</v>
      </c>
      <c r="L261" s="31" t="n"/>
      <c r="M261" s="24">
        <f>IF($G261="","",IF($D261="A国内","CNY","TZS"))</f>
        <v/>
      </c>
      <c r="N261" s="28">
        <f>IF($G261="","",IF($D261="A国内",汇率,1))</f>
        <v/>
      </c>
      <c r="O261" s="25">
        <f>IF($G261="","",ROUND(N($K261)*N($L261),2))</f>
        <v/>
      </c>
      <c r="P261" s="26">
        <f>IF($G261="","",ROUND($O261*$N261,0))</f>
        <v/>
      </c>
      <c r="Q261" s="26">
        <f>IF($G261="","",SUMIFS($P$4:$P$2503,$E$4:$E$2503,$E261,$Z$4:$Z$2503,"正常"))</f>
        <v/>
      </c>
      <c r="R261" s="26">
        <f>IF($G261="","",SUMIFS(费用台账!$I$4:$I$503,费用台账!$C$4:$C$503,$E261,费用台账!$J$4:$J$503,"是",费用台账!$K$4:$K$503,"正常"))</f>
        <v/>
      </c>
      <c r="S261" s="28">
        <f>IF($G261="","",COUNTIFS($E$4:$E$2503,$E261,$Z$4:$Z$2503,"正常",$Y$4:$Y$2503,"待补价"))</f>
        <v/>
      </c>
      <c r="T261" s="26">
        <f>IF($G261="","",SUMIFS($P$4:$P$2503,$E$4:$E$2503,$E261,$Z$4:$Z$2503,"正常",$A$4:$A$2503,"&lt;="&amp;$A261))</f>
        <v/>
      </c>
      <c r="U261" s="26">
        <f>IF($G261="","",IF(OR($S261&gt;0,$Q261=0,$R261=0,$Z261&lt;&gt;"正常"),0,ROUND($T261/$Q261*$R261,0)-ROUND(($T261-$P261)/$Q261*$R261,0)))</f>
        <v/>
      </c>
      <c r="V261" s="26">
        <f>IF($G261="","",ROUND($P261+$U261,0))</f>
        <v/>
      </c>
      <c r="W261" s="26">
        <f>IF($G261="","",IF(N($K261)=0,0,ROUND($V261/$K261,2)))</f>
        <v/>
      </c>
      <c r="X261" s="17" t="inlineStr">
        <is>
          <t>采购入库</t>
        </is>
      </c>
      <c r="Y261" s="17" t="inlineStr">
        <is>
          <t>待补价</t>
        </is>
      </c>
      <c r="Z261" s="17" t="inlineStr">
        <is>
          <t>正常</t>
        </is>
      </c>
      <c r="AA261" s="17" t="n"/>
      <c r="AB261" s="17" t="inlineStr">
        <is>
          <t>原表第 266 行</t>
        </is>
      </c>
      <c r="AC261" s="24">
        <f>IF($G261="","",IF($H261="※编码不在物料档案里","※物料编码不在档案里",IF(N($K261)&lt;=0,"※入库数量要大于 0",IF(AND($C261&lt;&gt;"",$C261&lt;=结账锁),"※日期早于已结账截止日，不能再录",IF(AND($L261=0,$X261="正常"),"※没填单价，价格状态请选「待补价」",IF(AND($S261&gt;0,$R261&gt;0),"△本批有 "&amp;$S261&amp;" 行没单价，整批运费先挂账没摊",IF(AND($B261&lt;&gt;"",COUNTIF($B$4:$B$2503,$B261)&gt;1),"※入库单号重复","")))))))</f>
        <v/>
      </c>
    </row>
    <row r="262">
      <c r="A262" s="24">
        <f>IF($G262="","",COUNTA($G$4:$G262))</f>
        <v/>
      </c>
      <c r="B262" s="17" t="n"/>
      <c r="C262" s="30" t="n">
        <v>46091</v>
      </c>
      <c r="D262" s="17" t="inlineStr">
        <is>
          <t>A国内</t>
        </is>
      </c>
      <c r="E262" s="17" t="inlineStr">
        <is>
          <t>FCIU8857920-202603</t>
        </is>
      </c>
      <c r="F262" s="17" t="inlineStr">
        <is>
          <t>烟台市金豪矿山机械有限公司</t>
        </is>
      </c>
      <c r="G262" s="17" t="inlineStr">
        <is>
          <t>JH0246</t>
        </is>
      </c>
      <c r="H262" s="24">
        <f>IF($G262="","",IFERROR(VLOOKUP($G262,物料档案!$A$4:$P$1203,3,0),"※编码不在物料档案里"))</f>
        <v/>
      </c>
      <c r="I262" s="24">
        <f>IF($G262="","",IFERROR(VLOOKUP($G262,物料档案!$A$4:$P$1203,4,0),"※编码不在物料档案里"))</f>
        <v/>
      </c>
      <c r="J262" s="24">
        <f>IF($G262="","",IFERROR(VLOOKUP($G262,物料档案!$A$4:$P$1203,5,0),"※编码不在物料档案里"))</f>
        <v/>
      </c>
      <c r="K262" s="23" t="n">
        <v>24</v>
      </c>
      <c r="L262" s="31" t="n"/>
      <c r="M262" s="24">
        <f>IF($G262="","",IF($D262="A国内","CNY","TZS"))</f>
        <v/>
      </c>
      <c r="N262" s="28">
        <f>IF($G262="","",IF($D262="A国内",汇率,1))</f>
        <v/>
      </c>
      <c r="O262" s="25">
        <f>IF($G262="","",ROUND(N($K262)*N($L262),2))</f>
        <v/>
      </c>
      <c r="P262" s="26">
        <f>IF($G262="","",ROUND($O262*$N262,0))</f>
        <v/>
      </c>
      <c r="Q262" s="26">
        <f>IF($G262="","",SUMIFS($P$4:$P$2503,$E$4:$E$2503,$E262,$Z$4:$Z$2503,"正常"))</f>
        <v/>
      </c>
      <c r="R262" s="26">
        <f>IF($G262="","",SUMIFS(费用台账!$I$4:$I$503,费用台账!$C$4:$C$503,$E262,费用台账!$J$4:$J$503,"是",费用台账!$K$4:$K$503,"正常"))</f>
        <v/>
      </c>
      <c r="S262" s="28">
        <f>IF($G262="","",COUNTIFS($E$4:$E$2503,$E262,$Z$4:$Z$2503,"正常",$Y$4:$Y$2503,"待补价"))</f>
        <v/>
      </c>
      <c r="T262" s="26">
        <f>IF($G262="","",SUMIFS($P$4:$P$2503,$E$4:$E$2503,$E262,$Z$4:$Z$2503,"正常",$A$4:$A$2503,"&lt;="&amp;$A262))</f>
        <v/>
      </c>
      <c r="U262" s="26">
        <f>IF($G262="","",IF(OR($S262&gt;0,$Q262=0,$R262=0,$Z262&lt;&gt;"正常"),0,ROUND($T262/$Q262*$R262,0)-ROUND(($T262-$P262)/$Q262*$R262,0)))</f>
        <v/>
      </c>
      <c r="V262" s="26">
        <f>IF($G262="","",ROUND($P262+$U262,0))</f>
        <v/>
      </c>
      <c r="W262" s="26">
        <f>IF($G262="","",IF(N($K262)=0,0,ROUND($V262/$K262,2)))</f>
        <v/>
      </c>
      <c r="X262" s="17" t="inlineStr">
        <is>
          <t>采购入库</t>
        </is>
      </c>
      <c r="Y262" s="17" t="inlineStr">
        <is>
          <t>待补价</t>
        </is>
      </c>
      <c r="Z262" s="17" t="inlineStr">
        <is>
          <t>正常</t>
        </is>
      </c>
      <c r="AA262" s="17" t="n"/>
      <c r="AB262" s="17" t="inlineStr">
        <is>
          <t>原表第 267 行</t>
        </is>
      </c>
      <c r="AC262" s="24">
        <f>IF($G262="","",IF($H262="※编码不在物料档案里","※物料编码不在档案里",IF(N($K262)&lt;=0,"※入库数量要大于 0",IF(AND($C262&lt;&gt;"",$C262&lt;=结账锁),"※日期早于已结账截止日，不能再录",IF(AND($L262=0,$X262="正常"),"※没填单价，价格状态请选「待补价」",IF(AND($S262&gt;0,$R262&gt;0),"△本批有 "&amp;$S262&amp;" 行没单价，整批运费先挂账没摊",IF(AND($B262&lt;&gt;"",COUNTIF($B$4:$B$2503,$B262)&gt;1),"※入库单号重复","")))))))</f>
        <v/>
      </c>
    </row>
    <row r="263">
      <c r="A263" s="24">
        <f>IF($G263="","",COUNTA($G$4:$G263))</f>
        <v/>
      </c>
      <c r="B263" s="17" t="n"/>
      <c r="C263" s="30" t="n">
        <v>46091</v>
      </c>
      <c r="D263" s="17" t="inlineStr">
        <is>
          <t>A国内</t>
        </is>
      </c>
      <c r="E263" s="17" t="inlineStr">
        <is>
          <t>FCIU8857920-202603</t>
        </is>
      </c>
      <c r="F263" s="17" t="inlineStr">
        <is>
          <t>烟台市金豪矿山机械有限公司</t>
        </is>
      </c>
      <c r="G263" s="17" t="inlineStr">
        <is>
          <t>JH0247</t>
        </is>
      </c>
      <c r="H263" s="24">
        <f>IF($G263="","",IFERROR(VLOOKUP($G263,物料档案!$A$4:$P$1203,3,0),"※编码不在物料档案里"))</f>
        <v/>
      </c>
      <c r="I263" s="24">
        <f>IF($G263="","",IFERROR(VLOOKUP($G263,物料档案!$A$4:$P$1203,4,0),"※编码不在物料档案里"))</f>
        <v/>
      </c>
      <c r="J263" s="24">
        <f>IF($G263="","",IFERROR(VLOOKUP($G263,物料档案!$A$4:$P$1203,5,0),"※编码不在物料档案里"))</f>
        <v/>
      </c>
      <c r="K263" s="23" t="n">
        <v>24</v>
      </c>
      <c r="L263" s="31" t="n"/>
      <c r="M263" s="24">
        <f>IF($G263="","",IF($D263="A国内","CNY","TZS"))</f>
        <v/>
      </c>
      <c r="N263" s="28">
        <f>IF($G263="","",IF($D263="A国内",汇率,1))</f>
        <v/>
      </c>
      <c r="O263" s="25">
        <f>IF($G263="","",ROUND(N($K263)*N($L263),2))</f>
        <v/>
      </c>
      <c r="P263" s="26">
        <f>IF($G263="","",ROUND($O263*$N263,0))</f>
        <v/>
      </c>
      <c r="Q263" s="26">
        <f>IF($G263="","",SUMIFS($P$4:$P$2503,$E$4:$E$2503,$E263,$Z$4:$Z$2503,"正常"))</f>
        <v/>
      </c>
      <c r="R263" s="26">
        <f>IF($G263="","",SUMIFS(费用台账!$I$4:$I$503,费用台账!$C$4:$C$503,$E263,费用台账!$J$4:$J$503,"是",费用台账!$K$4:$K$503,"正常"))</f>
        <v/>
      </c>
      <c r="S263" s="28">
        <f>IF($G263="","",COUNTIFS($E$4:$E$2503,$E263,$Z$4:$Z$2503,"正常",$Y$4:$Y$2503,"待补价"))</f>
        <v/>
      </c>
      <c r="T263" s="26">
        <f>IF($G263="","",SUMIFS($P$4:$P$2503,$E$4:$E$2503,$E263,$Z$4:$Z$2503,"正常",$A$4:$A$2503,"&lt;="&amp;$A263))</f>
        <v/>
      </c>
      <c r="U263" s="26">
        <f>IF($G263="","",IF(OR($S263&gt;0,$Q263=0,$R263=0,$Z263&lt;&gt;"正常"),0,ROUND($T263/$Q263*$R263,0)-ROUND(($T263-$P263)/$Q263*$R263,0)))</f>
        <v/>
      </c>
      <c r="V263" s="26">
        <f>IF($G263="","",ROUND($P263+$U263,0))</f>
        <v/>
      </c>
      <c r="W263" s="26">
        <f>IF($G263="","",IF(N($K263)=0,0,ROUND($V263/$K263,2)))</f>
        <v/>
      </c>
      <c r="X263" s="17" t="inlineStr">
        <is>
          <t>采购入库</t>
        </is>
      </c>
      <c r="Y263" s="17" t="inlineStr">
        <is>
          <t>待补价</t>
        </is>
      </c>
      <c r="Z263" s="17" t="inlineStr">
        <is>
          <t>正常</t>
        </is>
      </c>
      <c r="AA263" s="17" t="n"/>
      <c r="AB263" s="17" t="inlineStr">
        <is>
          <t>原表第 268 行</t>
        </is>
      </c>
      <c r="AC263" s="24">
        <f>IF($G263="","",IF($H263="※编码不在物料档案里","※物料编码不在档案里",IF(N($K263)&lt;=0,"※入库数量要大于 0",IF(AND($C263&lt;&gt;"",$C263&lt;=结账锁),"※日期早于已结账截止日，不能再录",IF(AND($L263=0,$X263="正常"),"※没填单价，价格状态请选「待补价」",IF(AND($S263&gt;0,$R263&gt;0),"△本批有 "&amp;$S263&amp;" 行没单价，整批运费先挂账没摊",IF(AND($B263&lt;&gt;"",COUNTIF($B$4:$B$2503,$B263)&gt;1),"※入库单号重复","")))))))</f>
        <v/>
      </c>
    </row>
    <row r="264">
      <c r="A264" s="24">
        <f>IF($G264="","",COUNTA($G$4:$G264))</f>
        <v/>
      </c>
      <c r="B264" s="17" t="n"/>
      <c r="C264" s="30" t="n">
        <v>46091</v>
      </c>
      <c r="D264" s="17" t="inlineStr">
        <is>
          <t>A国内</t>
        </is>
      </c>
      <c r="E264" s="17" t="inlineStr">
        <is>
          <t>FCIU8857920-202603</t>
        </is>
      </c>
      <c r="F264" s="17" t="inlineStr">
        <is>
          <t>烟台市金豪矿山机械有限公司</t>
        </is>
      </c>
      <c r="G264" s="17" t="inlineStr">
        <is>
          <t>JH0248</t>
        </is>
      </c>
      <c r="H264" s="24">
        <f>IF($G264="","",IFERROR(VLOOKUP($G264,物料档案!$A$4:$P$1203,3,0),"※编码不在物料档案里"))</f>
        <v/>
      </c>
      <c r="I264" s="24">
        <f>IF($G264="","",IFERROR(VLOOKUP($G264,物料档案!$A$4:$P$1203,4,0),"※编码不在物料档案里"))</f>
        <v/>
      </c>
      <c r="J264" s="24">
        <f>IF($G264="","",IFERROR(VLOOKUP($G264,物料档案!$A$4:$P$1203,5,0),"※编码不在物料档案里"))</f>
        <v/>
      </c>
      <c r="K264" s="23" t="n">
        <v>3</v>
      </c>
      <c r="L264" s="31" t="n"/>
      <c r="M264" s="24">
        <f>IF($G264="","",IF($D264="A国内","CNY","TZS"))</f>
        <v/>
      </c>
      <c r="N264" s="28">
        <f>IF($G264="","",IF($D264="A国内",汇率,1))</f>
        <v/>
      </c>
      <c r="O264" s="25">
        <f>IF($G264="","",ROUND(N($K264)*N($L264),2))</f>
        <v/>
      </c>
      <c r="P264" s="26">
        <f>IF($G264="","",ROUND($O264*$N264,0))</f>
        <v/>
      </c>
      <c r="Q264" s="26">
        <f>IF($G264="","",SUMIFS($P$4:$P$2503,$E$4:$E$2503,$E264,$Z$4:$Z$2503,"正常"))</f>
        <v/>
      </c>
      <c r="R264" s="26">
        <f>IF($G264="","",SUMIFS(费用台账!$I$4:$I$503,费用台账!$C$4:$C$503,$E264,费用台账!$J$4:$J$503,"是",费用台账!$K$4:$K$503,"正常"))</f>
        <v/>
      </c>
      <c r="S264" s="28">
        <f>IF($G264="","",COUNTIFS($E$4:$E$2503,$E264,$Z$4:$Z$2503,"正常",$Y$4:$Y$2503,"待补价"))</f>
        <v/>
      </c>
      <c r="T264" s="26">
        <f>IF($G264="","",SUMIFS($P$4:$P$2503,$E$4:$E$2503,$E264,$Z$4:$Z$2503,"正常",$A$4:$A$2503,"&lt;="&amp;$A264))</f>
        <v/>
      </c>
      <c r="U264" s="26">
        <f>IF($G264="","",IF(OR($S264&gt;0,$Q264=0,$R264=0,$Z264&lt;&gt;"正常"),0,ROUND($T264/$Q264*$R264,0)-ROUND(($T264-$P264)/$Q264*$R264,0)))</f>
        <v/>
      </c>
      <c r="V264" s="26">
        <f>IF($G264="","",ROUND($P264+$U264,0))</f>
        <v/>
      </c>
      <c r="W264" s="26">
        <f>IF($G264="","",IF(N($K264)=0,0,ROUND($V264/$K264,2)))</f>
        <v/>
      </c>
      <c r="X264" s="17" t="inlineStr">
        <is>
          <t>采购入库</t>
        </is>
      </c>
      <c r="Y264" s="17" t="inlineStr">
        <is>
          <t>待补价</t>
        </is>
      </c>
      <c r="Z264" s="17" t="inlineStr">
        <is>
          <t>正常</t>
        </is>
      </c>
      <c r="AA264" s="17" t="n"/>
      <c r="AB264" s="17" t="inlineStr">
        <is>
          <t>原表第 269 行</t>
        </is>
      </c>
      <c r="AC264" s="24">
        <f>IF($G264="","",IF($H264="※编码不在物料档案里","※物料编码不在档案里",IF(N($K264)&lt;=0,"※入库数量要大于 0",IF(AND($C264&lt;&gt;"",$C264&lt;=结账锁),"※日期早于已结账截止日，不能再录",IF(AND($L264=0,$X264="正常"),"※没填单价，价格状态请选「待补价」",IF(AND($S264&gt;0,$R264&gt;0),"△本批有 "&amp;$S264&amp;" 行没单价，整批运费先挂账没摊",IF(AND($B264&lt;&gt;"",COUNTIF($B$4:$B$2503,$B264)&gt;1),"※入库单号重复","")))))))</f>
        <v/>
      </c>
    </row>
    <row r="265">
      <c r="A265" s="24">
        <f>IF($G265="","",COUNTA($G$4:$G265))</f>
        <v/>
      </c>
      <c r="B265" s="17" t="n"/>
      <c r="C265" s="30" t="n">
        <v>46091</v>
      </c>
      <c r="D265" s="17" t="inlineStr">
        <is>
          <t>A国内</t>
        </is>
      </c>
      <c r="E265" s="17" t="inlineStr">
        <is>
          <t>FCIU8857920-202603</t>
        </is>
      </c>
      <c r="F265" s="17" t="inlineStr">
        <is>
          <t>烟台市金豪矿山机械有限公司</t>
        </is>
      </c>
      <c r="G265" s="17" t="inlineStr">
        <is>
          <t>JH0249</t>
        </is>
      </c>
      <c r="H265" s="24">
        <f>IF($G265="","",IFERROR(VLOOKUP($G265,物料档案!$A$4:$P$1203,3,0),"※编码不在物料档案里"))</f>
        <v/>
      </c>
      <c r="I265" s="24">
        <f>IF($G265="","",IFERROR(VLOOKUP($G265,物料档案!$A$4:$P$1203,4,0),"※编码不在物料档案里"))</f>
        <v/>
      </c>
      <c r="J265" s="24">
        <f>IF($G265="","",IFERROR(VLOOKUP($G265,物料档案!$A$4:$P$1203,5,0),"※编码不在物料档案里"))</f>
        <v/>
      </c>
      <c r="K265" s="23" t="n">
        <v>8</v>
      </c>
      <c r="L265" s="31" t="n"/>
      <c r="M265" s="24">
        <f>IF($G265="","",IF($D265="A国内","CNY","TZS"))</f>
        <v/>
      </c>
      <c r="N265" s="28">
        <f>IF($G265="","",IF($D265="A国内",汇率,1))</f>
        <v/>
      </c>
      <c r="O265" s="25">
        <f>IF($G265="","",ROUND(N($K265)*N($L265),2))</f>
        <v/>
      </c>
      <c r="P265" s="26">
        <f>IF($G265="","",ROUND($O265*$N265,0))</f>
        <v/>
      </c>
      <c r="Q265" s="26">
        <f>IF($G265="","",SUMIFS($P$4:$P$2503,$E$4:$E$2503,$E265,$Z$4:$Z$2503,"正常"))</f>
        <v/>
      </c>
      <c r="R265" s="26">
        <f>IF($G265="","",SUMIFS(费用台账!$I$4:$I$503,费用台账!$C$4:$C$503,$E265,费用台账!$J$4:$J$503,"是",费用台账!$K$4:$K$503,"正常"))</f>
        <v/>
      </c>
      <c r="S265" s="28">
        <f>IF($G265="","",COUNTIFS($E$4:$E$2503,$E265,$Z$4:$Z$2503,"正常",$Y$4:$Y$2503,"待补价"))</f>
        <v/>
      </c>
      <c r="T265" s="26">
        <f>IF($G265="","",SUMIFS($P$4:$P$2503,$E$4:$E$2503,$E265,$Z$4:$Z$2503,"正常",$A$4:$A$2503,"&lt;="&amp;$A265))</f>
        <v/>
      </c>
      <c r="U265" s="26">
        <f>IF($G265="","",IF(OR($S265&gt;0,$Q265=0,$R265=0,$Z265&lt;&gt;"正常"),0,ROUND($T265/$Q265*$R265,0)-ROUND(($T265-$P265)/$Q265*$R265,0)))</f>
        <v/>
      </c>
      <c r="V265" s="26">
        <f>IF($G265="","",ROUND($P265+$U265,0))</f>
        <v/>
      </c>
      <c r="W265" s="26">
        <f>IF($G265="","",IF(N($K265)=0,0,ROUND($V265/$K265,2)))</f>
        <v/>
      </c>
      <c r="X265" s="17" t="inlineStr">
        <is>
          <t>采购入库</t>
        </is>
      </c>
      <c r="Y265" s="17" t="inlineStr">
        <is>
          <t>待补价</t>
        </is>
      </c>
      <c r="Z265" s="17" t="inlineStr">
        <is>
          <t>正常</t>
        </is>
      </c>
      <c r="AA265" s="17" t="n"/>
      <c r="AB265" s="17" t="inlineStr">
        <is>
          <t>原表第 270 行</t>
        </is>
      </c>
      <c r="AC265" s="24">
        <f>IF($G265="","",IF($H265="※编码不在物料档案里","※物料编码不在档案里",IF(N($K265)&lt;=0,"※入库数量要大于 0",IF(AND($C265&lt;&gt;"",$C265&lt;=结账锁),"※日期早于已结账截止日，不能再录",IF(AND($L265=0,$X265="正常"),"※没填单价，价格状态请选「待补价」",IF(AND($S265&gt;0,$R265&gt;0),"△本批有 "&amp;$S265&amp;" 行没单价，整批运费先挂账没摊",IF(AND($B265&lt;&gt;"",COUNTIF($B$4:$B$2503,$B265)&gt;1),"※入库单号重复","")))))))</f>
        <v/>
      </c>
    </row>
    <row r="266">
      <c r="A266" s="24">
        <f>IF($G266="","",COUNTA($G$4:$G266))</f>
        <v/>
      </c>
      <c r="B266" s="17" t="n"/>
      <c r="C266" s="30" t="n">
        <v>46091</v>
      </c>
      <c r="D266" s="17" t="inlineStr">
        <is>
          <t>A国内</t>
        </is>
      </c>
      <c r="E266" s="17" t="inlineStr">
        <is>
          <t>FCIU8857920-202603</t>
        </is>
      </c>
      <c r="F266" s="17" t="inlineStr">
        <is>
          <t>烟台市金豪矿山机械有限公司</t>
        </is>
      </c>
      <c r="G266" s="17" t="inlineStr">
        <is>
          <t>JH0250</t>
        </is>
      </c>
      <c r="H266" s="24">
        <f>IF($G266="","",IFERROR(VLOOKUP($G266,物料档案!$A$4:$P$1203,3,0),"※编码不在物料档案里"))</f>
        <v/>
      </c>
      <c r="I266" s="24">
        <f>IF($G266="","",IFERROR(VLOOKUP($G266,物料档案!$A$4:$P$1203,4,0),"※编码不在物料档案里"))</f>
        <v/>
      </c>
      <c r="J266" s="24">
        <f>IF($G266="","",IFERROR(VLOOKUP($G266,物料档案!$A$4:$P$1203,5,0),"※编码不在物料档案里"))</f>
        <v/>
      </c>
      <c r="K266" s="23" t="n">
        <v>16</v>
      </c>
      <c r="L266" s="31" t="n"/>
      <c r="M266" s="24">
        <f>IF($G266="","",IF($D266="A国内","CNY","TZS"))</f>
        <v/>
      </c>
      <c r="N266" s="28">
        <f>IF($G266="","",IF($D266="A国内",汇率,1))</f>
        <v/>
      </c>
      <c r="O266" s="25">
        <f>IF($G266="","",ROUND(N($K266)*N($L266),2))</f>
        <v/>
      </c>
      <c r="P266" s="26">
        <f>IF($G266="","",ROUND($O266*$N266,0))</f>
        <v/>
      </c>
      <c r="Q266" s="26">
        <f>IF($G266="","",SUMIFS($P$4:$P$2503,$E$4:$E$2503,$E266,$Z$4:$Z$2503,"正常"))</f>
        <v/>
      </c>
      <c r="R266" s="26">
        <f>IF($G266="","",SUMIFS(费用台账!$I$4:$I$503,费用台账!$C$4:$C$503,$E266,费用台账!$J$4:$J$503,"是",费用台账!$K$4:$K$503,"正常"))</f>
        <v/>
      </c>
      <c r="S266" s="28">
        <f>IF($G266="","",COUNTIFS($E$4:$E$2503,$E266,$Z$4:$Z$2503,"正常",$Y$4:$Y$2503,"待补价"))</f>
        <v/>
      </c>
      <c r="T266" s="26">
        <f>IF($G266="","",SUMIFS($P$4:$P$2503,$E$4:$E$2503,$E266,$Z$4:$Z$2503,"正常",$A$4:$A$2503,"&lt;="&amp;$A266))</f>
        <v/>
      </c>
      <c r="U266" s="26">
        <f>IF($G266="","",IF(OR($S266&gt;0,$Q266=0,$R266=0,$Z266&lt;&gt;"正常"),0,ROUND($T266/$Q266*$R266,0)-ROUND(($T266-$P266)/$Q266*$R266,0)))</f>
        <v/>
      </c>
      <c r="V266" s="26">
        <f>IF($G266="","",ROUND($P266+$U266,0))</f>
        <v/>
      </c>
      <c r="W266" s="26">
        <f>IF($G266="","",IF(N($K266)=0,0,ROUND($V266/$K266,2)))</f>
        <v/>
      </c>
      <c r="X266" s="17" t="inlineStr">
        <is>
          <t>采购入库</t>
        </is>
      </c>
      <c r="Y266" s="17" t="inlineStr">
        <is>
          <t>待补价</t>
        </is>
      </c>
      <c r="Z266" s="17" t="inlineStr">
        <is>
          <t>正常</t>
        </is>
      </c>
      <c r="AA266" s="17" t="n"/>
      <c r="AB266" s="17" t="inlineStr">
        <is>
          <t>原表第 271 行</t>
        </is>
      </c>
      <c r="AC266" s="24">
        <f>IF($G266="","",IF($H266="※编码不在物料档案里","※物料编码不在档案里",IF(N($K266)&lt;=0,"※入库数量要大于 0",IF(AND($C266&lt;&gt;"",$C266&lt;=结账锁),"※日期早于已结账截止日，不能再录",IF(AND($L266=0,$X266="正常"),"※没填单价，价格状态请选「待补价」",IF(AND($S266&gt;0,$R266&gt;0),"△本批有 "&amp;$S266&amp;" 行没单价，整批运费先挂账没摊",IF(AND($B266&lt;&gt;"",COUNTIF($B$4:$B$2503,$B266)&gt;1),"※入库单号重复","")))))))</f>
        <v/>
      </c>
    </row>
    <row r="267">
      <c r="A267" s="24">
        <f>IF($G267="","",COUNTA($G$4:$G267))</f>
        <v/>
      </c>
      <c r="B267" s="17" t="n"/>
      <c r="C267" s="30" t="n">
        <v>46091</v>
      </c>
      <c r="D267" s="17" t="inlineStr">
        <is>
          <t>A国内</t>
        </is>
      </c>
      <c r="E267" s="17" t="inlineStr">
        <is>
          <t>FCIU8857920-202603</t>
        </is>
      </c>
      <c r="F267" s="17" t="inlineStr">
        <is>
          <t>烟台市金豪矿山机械有限公司</t>
        </is>
      </c>
      <c r="G267" s="17" t="inlineStr">
        <is>
          <t>JH0251</t>
        </is>
      </c>
      <c r="H267" s="24">
        <f>IF($G267="","",IFERROR(VLOOKUP($G267,物料档案!$A$4:$P$1203,3,0),"※编码不在物料档案里"))</f>
        <v/>
      </c>
      <c r="I267" s="24">
        <f>IF($G267="","",IFERROR(VLOOKUP($G267,物料档案!$A$4:$P$1203,4,0),"※编码不在物料档案里"))</f>
        <v/>
      </c>
      <c r="J267" s="24">
        <f>IF($G267="","",IFERROR(VLOOKUP($G267,物料档案!$A$4:$P$1203,5,0),"※编码不在物料档案里"))</f>
        <v/>
      </c>
      <c r="K267" s="23" t="n">
        <v>8</v>
      </c>
      <c r="L267" s="31" t="n"/>
      <c r="M267" s="24">
        <f>IF($G267="","",IF($D267="A国内","CNY","TZS"))</f>
        <v/>
      </c>
      <c r="N267" s="28">
        <f>IF($G267="","",IF($D267="A国内",汇率,1))</f>
        <v/>
      </c>
      <c r="O267" s="25">
        <f>IF($G267="","",ROUND(N($K267)*N($L267),2))</f>
        <v/>
      </c>
      <c r="P267" s="26">
        <f>IF($G267="","",ROUND($O267*$N267,0))</f>
        <v/>
      </c>
      <c r="Q267" s="26">
        <f>IF($G267="","",SUMIFS($P$4:$P$2503,$E$4:$E$2503,$E267,$Z$4:$Z$2503,"正常"))</f>
        <v/>
      </c>
      <c r="R267" s="26">
        <f>IF($G267="","",SUMIFS(费用台账!$I$4:$I$503,费用台账!$C$4:$C$503,$E267,费用台账!$J$4:$J$503,"是",费用台账!$K$4:$K$503,"正常"))</f>
        <v/>
      </c>
      <c r="S267" s="28">
        <f>IF($G267="","",COUNTIFS($E$4:$E$2503,$E267,$Z$4:$Z$2503,"正常",$Y$4:$Y$2503,"待补价"))</f>
        <v/>
      </c>
      <c r="T267" s="26">
        <f>IF($G267="","",SUMIFS($P$4:$P$2503,$E$4:$E$2503,$E267,$Z$4:$Z$2503,"正常",$A$4:$A$2503,"&lt;="&amp;$A267))</f>
        <v/>
      </c>
      <c r="U267" s="26">
        <f>IF($G267="","",IF(OR($S267&gt;0,$Q267=0,$R267=0,$Z267&lt;&gt;"正常"),0,ROUND($T267/$Q267*$R267,0)-ROUND(($T267-$P267)/$Q267*$R267,0)))</f>
        <v/>
      </c>
      <c r="V267" s="26">
        <f>IF($G267="","",ROUND($P267+$U267,0))</f>
        <v/>
      </c>
      <c r="W267" s="26">
        <f>IF($G267="","",IF(N($K267)=0,0,ROUND($V267/$K267,2)))</f>
        <v/>
      </c>
      <c r="X267" s="17" t="inlineStr">
        <is>
          <t>采购入库</t>
        </is>
      </c>
      <c r="Y267" s="17" t="inlineStr">
        <is>
          <t>待补价</t>
        </is>
      </c>
      <c r="Z267" s="17" t="inlineStr">
        <is>
          <t>正常</t>
        </is>
      </c>
      <c r="AA267" s="17" t="n"/>
      <c r="AB267" s="17" t="inlineStr">
        <is>
          <t>原表第 272 行</t>
        </is>
      </c>
      <c r="AC267" s="24">
        <f>IF($G267="","",IF($H267="※编码不在物料档案里","※物料编码不在档案里",IF(N($K267)&lt;=0,"※入库数量要大于 0",IF(AND($C267&lt;&gt;"",$C267&lt;=结账锁),"※日期早于已结账截止日，不能再录",IF(AND($L267=0,$X267="正常"),"※没填单价，价格状态请选「待补价」",IF(AND($S267&gt;0,$R267&gt;0),"△本批有 "&amp;$S267&amp;" 行没单价，整批运费先挂账没摊",IF(AND($B267&lt;&gt;"",COUNTIF($B$4:$B$2503,$B267)&gt;1),"※入库单号重复","")))))))</f>
        <v/>
      </c>
    </row>
    <row r="268">
      <c r="A268" s="24">
        <f>IF($G268="","",COUNTA($G$4:$G268))</f>
        <v/>
      </c>
      <c r="B268" s="17" t="n"/>
      <c r="C268" s="30" t="n">
        <v>46091</v>
      </c>
      <c r="D268" s="17" t="inlineStr">
        <is>
          <t>A国内</t>
        </is>
      </c>
      <c r="E268" s="17" t="inlineStr">
        <is>
          <t>FCIU8857920-202603</t>
        </is>
      </c>
      <c r="F268" s="17" t="inlineStr">
        <is>
          <t>烟台市金豪矿山机械有限公司</t>
        </is>
      </c>
      <c r="G268" s="17" t="inlineStr">
        <is>
          <t>JH0252</t>
        </is>
      </c>
      <c r="H268" s="24">
        <f>IF($G268="","",IFERROR(VLOOKUP($G268,物料档案!$A$4:$P$1203,3,0),"※编码不在物料档案里"))</f>
        <v/>
      </c>
      <c r="I268" s="24">
        <f>IF($G268="","",IFERROR(VLOOKUP($G268,物料档案!$A$4:$P$1203,4,0),"※编码不在物料档案里"))</f>
        <v/>
      </c>
      <c r="J268" s="24">
        <f>IF($G268="","",IFERROR(VLOOKUP($G268,物料档案!$A$4:$P$1203,5,0),"※编码不在物料档案里"))</f>
        <v/>
      </c>
      <c r="K268" s="23" t="n">
        <v>4</v>
      </c>
      <c r="L268" s="31" t="n"/>
      <c r="M268" s="24">
        <f>IF($G268="","",IF($D268="A国内","CNY","TZS"))</f>
        <v/>
      </c>
      <c r="N268" s="28">
        <f>IF($G268="","",IF($D268="A国内",汇率,1))</f>
        <v/>
      </c>
      <c r="O268" s="25">
        <f>IF($G268="","",ROUND(N($K268)*N($L268),2))</f>
        <v/>
      </c>
      <c r="P268" s="26">
        <f>IF($G268="","",ROUND($O268*$N268,0))</f>
        <v/>
      </c>
      <c r="Q268" s="26">
        <f>IF($G268="","",SUMIFS($P$4:$P$2503,$E$4:$E$2503,$E268,$Z$4:$Z$2503,"正常"))</f>
        <v/>
      </c>
      <c r="R268" s="26">
        <f>IF($G268="","",SUMIFS(费用台账!$I$4:$I$503,费用台账!$C$4:$C$503,$E268,费用台账!$J$4:$J$503,"是",费用台账!$K$4:$K$503,"正常"))</f>
        <v/>
      </c>
      <c r="S268" s="28">
        <f>IF($G268="","",COUNTIFS($E$4:$E$2503,$E268,$Z$4:$Z$2503,"正常",$Y$4:$Y$2503,"待补价"))</f>
        <v/>
      </c>
      <c r="T268" s="26">
        <f>IF($G268="","",SUMIFS($P$4:$P$2503,$E$4:$E$2503,$E268,$Z$4:$Z$2503,"正常",$A$4:$A$2503,"&lt;="&amp;$A268))</f>
        <v/>
      </c>
      <c r="U268" s="26">
        <f>IF($G268="","",IF(OR($S268&gt;0,$Q268=0,$R268=0,$Z268&lt;&gt;"正常"),0,ROUND($T268/$Q268*$R268,0)-ROUND(($T268-$P268)/$Q268*$R268,0)))</f>
        <v/>
      </c>
      <c r="V268" s="26">
        <f>IF($G268="","",ROUND($P268+$U268,0))</f>
        <v/>
      </c>
      <c r="W268" s="26">
        <f>IF($G268="","",IF(N($K268)=0,0,ROUND($V268/$K268,2)))</f>
        <v/>
      </c>
      <c r="X268" s="17" t="inlineStr">
        <is>
          <t>采购入库</t>
        </is>
      </c>
      <c r="Y268" s="17" t="inlineStr">
        <is>
          <t>待补价</t>
        </is>
      </c>
      <c r="Z268" s="17" t="inlineStr">
        <is>
          <t>正常</t>
        </is>
      </c>
      <c r="AA268" s="17" t="n"/>
      <c r="AB268" s="17" t="inlineStr">
        <is>
          <t>原表第 273 行</t>
        </is>
      </c>
      <c r="AC268" s="24">
        <f>IF($G268="","",IF($H268="※编码不在物料档案里","※物料编码不在档案里",IF(N($K268)&lt;=0,"※入库数量要大于 0",IF(AND($C268&lt;&gt;"",$C268&lt;=结账锁),"※日期早于已结账截止日，不能再录",IF(AND($L268=0,$X268="正常"),"※没填单价，价格状态请选「待补价」",IF(AND($S268&gt;0,$R268&gt;0),"△本批有 "&amp;$S268&amp;" 行没单价，整批运费先挂账没摊",IF(AND($B268&lt;&gt;"",COUNTIF($B$4:$B$2503,$B268)&gt;1),"※入库单号重复","")))))))</f>
        <v/>
      </c>
    </row>
    <row r="269">
      <c r="A269" s="24">
        <f>IF($G269="","",COUNTA($G$4:$G269))</f>
        <v/>
      </c>
      <c r="B269" s="17" t="n"/>
      <c r="C269" s="30" t="n">
        <v>46091</v>
      </c>
      <c r="D269" s="17" t="inlineStr">
        <is>
          <t>A国内</t>
        </is>
      </c>
      <c r="E269" s="17" t="inlineStr">
        <is>
          <t>FCIU8857920-202603</t>
        </is>
      </c>
      <c r="F269" s="17" t="inlineStr">
        <is>
          <t>烟台市金豪矿山机械有限公司</t>
        </is>
      </c>
      <c r="G269" s="17" t="inlineStr">
        <is>
          <t>JH0253</t>
        </is>
      </c>
      <c r="H269" s="24">
        <f>IF($G269="","",IFERROR(VLOOKUP($G269,物料档案!$A$4:$P$1203,3,0),"※编码不在物料档案里"))</f>
        <v/>
      </c>
      <c r="I269" s="24">
        <f>IF($G269="","",IFERROR(VLOOKUP($G269,物料档案!$A$4:$P$1203,4,0),"※编码不在物料档案里"))</f>
        <v/>
      </c>
      <c r="J269" s="24">
        <f>IF($G269="","",IFERROR(VLOOKUP($G269,物料档案!$A$4:$P$1203,5,0),"※编码不在物料档案里"))</f>
        <v/>
      </c>
      <c r="K269" s="23" t="n">
        <v>4</v>
      </c>
      <c r="L269" s="31" t="n"/>
      <c r="M269" s="24">
        <f>IF($G269="","",IF($D269="A国内","CNY","TZS"))</f>
        <v/>
      </c>
      <c r="N269" s="28">
        <f>IF($G269="","",IF($D269="A国内",汇率,1))</f>
        <v/>
      </c>
      <c r="O269" s="25">
        <f>IF($G269="","",ROUND(N($K269)*N($L269),2))</f>
        <v/>
      </c>
      <c r="P269" s="26">
        <f>IF($G269="","",ROUND($O269*$N269,0))</f>
        <v/>
      </c>
      <c r="Q269" s="26">
        <f>IF($G269="","",SUMIFS($P$4:$P$2503,$E$4:$E$2503,$E269,$Z$4:$Z$2503,"正常"))</f>
        <v/>
      </c>
      <c r="R269" s="26">
        <f>IF($G269="","",SUMIFS(费用台账!$I$4:$I$503,费用台账!$C$4:$C$503,$E269,费用台账!$J$4:$J$503,"是",费用台账!$K$4:$K$503,"正常"))</f>
        <v/>
      </c>
      <c r="S269" s="28">
        <f>IF($G269="","",COUNTIFS($E$4:$E$2503,$E269,$Z$4:$Z$2503,"正常",$Y$4:$Y$2503,"待补价"))</f>
        <v/>
      </c>
      <c r="T269" s="26">
        <f>IF($G269="","",SUMIFS($P$4:$P$2503,$E$4:$E$2503,$E269,$Z$4:$Z$2503,"正常",$A$4:$A$2503,"&lt;="&amp;$A269))</f>
        <v/>
      </c>
      <c r="U269" s="26">
        <f>IF($G269="","",IF(OR($S269&gt;0,$Q269=0,$R269=0,$Z269&lt;&gt;"正常"),0,ROUND($T269/$Q269*$R269,0)-ROUND(($T269-$P269)/$Q269*$R269,0)))</f>
        <v/>
      </c>
      <c r="V269" s="26">
        <f>IF($G269="","",ROUND($P269+$U269,0))</f>
        <v/>
      </c>
      <c r="W269" s="26">
        <f>IF($G269="","",IF(N($K269)=0,0,ROUND($V269/$K269,2)))</f>
        <v/>
      </c>
      <c r="X269" s="17" t="inlineStr">
        <is>
          <t>采购入库</t>
        </is>
      </c>
      <c r="Y269" s="17" t="inlineStr">
        <is>
          <t>待补价</t>
        </is>
      </c>
      <c r="Z269" s="17" t="inlineStr">
        <is>
          <t>正常</t>
        </is>
      </c>
      <c r="AA269" s="17" t="n"/>
      <c r="AB269" s="17" t="inlineStr">
        <is>
          <t>原表第 274 行</t>
        </is>
      </c>
      <c r="AC269" s="24">
        <f>IF($G269="","",IF($H269="※编码不在物料档案里","※物料编码不在档案里",IF(N($K269)&lt;=0,"※入库数量要大于 0",IF(AND($C269&lt;&gt;"",$C269&lt;=结账锁),"※日期早于已结账截止日，不能再录",IF(AND($L269=0,$X269="正常"),"※没填单价，价格状态请选「待补价」",IF(AND($S269&gt;0,$R269&gt;0),"△本批有 "&amp;$S269&amp;" 行没单价，整批运费先挂账没摊",IF(AND($B269&lt;&gt;"",COUNTIF($B$4:$B$2503,$B269)&gt;1),"※入库单号重复","")))))))</f>
        <v/>
      </c>
    </row>
    <row r="270">
      <c r="A270" s="24">
        <f>IF($G270="","",COUNTA($G$4:$G270))</f>
        <v/>
      </c>
      <c r="B270" s="17" t="n"/>
      <c r="C270" s="30" t="n">
        <v>46098</v>
      </c>
      <c r="D270" s="17" t="inlineStr">
        <is>
          <t>A国内</t>
        </is>
      </c>
      <c r="E270" s="17" t="inlineStr">
        <is>
          <t>MSMU9007511-202603</t>
        </is>
      </c>
      <c r="F270" s="17" t="inlineStr">
        <is>
          <t>烟台市金豪矿山机械有限公司</t>
        </is>
      </c>
      <c r="G270" s="17" t="inlineStr">
        <is>
          <t>JH0254</t>
        </is>
      </c>
      <c r="H270" s="24">
        <f>IF($G270="","",IFERROR(VLOOKUP($G270,物料档案!$A$4:$P$1203,3,0),"※编码不在物料档案里"))</f>
        <v/>
      </c>
      <c r="I270" s="24">
        <f>IF($G270="","",IFERROR(VLOOKUP($G270,物料档案!$A$4:$P$1203,4,0),"※编码不在物料档案里"))</f>
        <v/>
      </c>
      <c r="J270" s="24">
        <f>IF($G270="","",IFERROR(VLOOKUP($G270,物料档案!$A$4:$P$1203,5,0),"※编码不在物料档案里"))</f>
        <v/>
      </c>
      <c r="K270" s="23" t="n">
        <v>1</v>
      </c>
      <c r="L270" s="31" t="n">
        <v>27000</v>
      </c>
      <c r="M270" s="24">
        <f>IF($G270="","",IF($D270="A国内","CNY","TZS"))</f>
        <v/>
      </c>
      <c r="N270" s="28">
        <f>IF($G270="","",IF($D270="A国内",汇率,1))</f>
        <v/>
      </c>
      <c r="O270" s="25">
        <f>IF($G270="","",ROUND(N($K270)*N($L270),2))</f>
        <v/>
      </c>
      <c r="P270" s="26">
        <f>IF($G270="","",ROUND($O270*$N270,0))</f>
        <v/>
      </c>
      <c r="Q270" s="26">
        <f>IF($G270="","",SUMIFS($P$4:$P$2503,$E$4:$E$2503,$E270,$Z$4:$Z$2503,"正常"))</f>
        <v/>
      </c>
      <c r="R270" s="26">
        <f>IF($G270="","",SUMIFS(费用台账!$I$4:$I$503,费用台账!$C$4:$C$503,$E270,费用台账!$J$4:$J$503,"是",费用台账!$K$4:$K$503,"正常"))</f>
        <v/>
      </c>
      <c r="S270" s="28">
        <f>IF($G270="","",COUNTIFS($E$4:$E$2503,$E270,$Z$4:$Z$2503,"正常",$Y$4:$Y$2503,"待补价"))</f>
        <v/>
      </c>
      <c r="T270" s="26">
        <f>IF($G270="","",SUMIFS($P$4:$P$2503,$E$4:$E$2503,$E270,$Z$4:$Z$2503,"正常",$A$4:$A$2503,"&lt;="&amp;$A270))</f>
        <v/>
      </c>
      <c r="U270" s="26">
        <f>IF($G270="","",IF(OR($S270&gt;0,$Q270=0,$R270=0,$Z270&lt;&gt;"正常"),0,ROUND($T270/$Q270*$R270,0)-ROUND(($T270-$P270)/$Q270*$R270,0)))</f>
        <v/>
      </c>
      <c r="V270" s="26">
        <f>IF($G270="","",ROUND($P270+$U270,0))</f>
        <v/>
      </c>
      <c r="W270" s="26">
        <f>IF($G270="","",IF(N($K270)=0,0,ROUND($V270/$K270,2)))</f>
        <v/>
      </c>
      <c r="X270" s="17" t="inlineStr">
        <is>
          <t>采购入库</t>
        </is>
      </c>
      <c r="Y270" s="17" t="inlineStr">
        <is>
          <t>正常</t>
        </is>
      </c>
      <c r="Z270" s="17" t="inlineStr">
        <is>
          <t>正常</t>
        </is>
      </c>
      <c r="AA270" s="17" t="n"/>
      <c r="AB270" s="17" t="inlineStr">
        <is>
          <t>原表第 275 行</t>
        </is>
      </c>
      <c r="AC270" s="24">
        <f>IF($G270="","",IF($H270="※编码不在物料档案里","※物料编码不在档案里",IF(N($K270)&lt;=0,"※入库数量要大于 0",IF(AND($C270&lt;&gt;"",$C270&lt;=结账锁),"※日期早于已结账截止日，不能再录",IF(AND($L270=0,$X270="正常"),"※没填单价，价格状态请选「待补价」",IF(AND($S270&gt;0,$R270&gt;0),"△本批有 "&amp;$S270&amp;" 行没单价，整批运费先挂账没摊",IF(AND($B270&lt;&gt;"",COUNTIF($B$4:$B$2503,$B270)&gt;1),"※入库单号重复","")))))))</f>
        <v/>
      </c>
    </row>
    <row r="271">
      <c r="A271" s="24">
        <f>IF($G271="","",COUNTA($G$4:$G271))</f>
        <v/>
      </c>
      <c r="B271" s="17" t="n"/>
      <c r="C271" s="30" t="n">
        <v>46098</v>
      </c>
      <c r="D271" s="17" t="inlineStr">
        <is>
          <t>A国内</t>
        </is>
      </c>
      <c r="E271" s="17" t="inlineStr">
        <is>
          <t>MSMU9007511-202603</t>
        </is>
      </c>
      <c r="F271" s="17" t="inlineStr">
        <is>
          <t>烟台市金豪矿山机械有限公司</t>
        </is>
      </c>
      <c r="G271" s="17" t="inlineStr">
        <is>
          <t>JH0255</t>
        </is>
      </c>
      <c r="H271" s="24">
        <f>IF($G271="","",IFERROR(VLOOKUP($G271,物料档案!$A$4:$P$1203,3,0),"※编码不在物料档案里"))</f>
        <v/>
      </c>
      <c r="I271" s="24">
        <f>IF($G271="","",IFERROR(VLOOKUP($G271,物料档案!$A$4:$P$1203,4,0),"※编码不在物料档案里"))</f>
        <v/>
      </c>
      <c r="J271" s="24">
        <f>IF($G271="","",IFERROR(VLOOKUP($G271,物料档案!$A$4:$P$1203,5,0),"※编码不在物料档案里"))</f>
        <v/>
      </c>
      <c r="K271" s="23" t="n">
        <v>1</v>
      </c>
      <c r="L271" s="31" t="n">
        <v>27000</v>
      </c>
      <c r="M271" s="24">
        <f>IF($G271="","",IF($D271="A国内","CNY","TZS"))</f>
        <v/>
      </c>
      <c r="N271" s="28">
        <f>IF($G271="","",IF($D271="A国内",汇率,1))</f>
        <v/>
      </c>
      <c r="O271" s="25">
        <f>IF($G271="","",ROUND(N($K271)*N($L271),2))</f>
        <v/>
      </c>
      <c r="P271" s="26">
        <f>IF($G271="","",ROUND($O271*$N271,0))</f>
        <v/>
      </c>
      <c r="Q271" s="26">
        <f>IF($G271="","",SUMIFS($P$4:$P$2503,$E$4:$E$2503,$E271,$Z$4:$Z$2503,"正常"))</f>
        <v/>
      </c>
      <c r="R271" s="26">
        <f>IF($G271="","",SUMIFS(费用台账!$I$4:$I$503,费用台账!$C$4:$C$503,$E271,费用台账!$J$4:$J$503,"是",费用台账!$K$4:$K$503,"正常"))</f>
        <v/>
      </c>
      <c r="S271" s="28">
        <f>IF($G271="","",COUNTIFS($E$4:$E$2503,$E271,$Z$4:$Z$2503,"正常",$Y$4:$Y$2503,"待补价"))</f>
        <v/>
      </c>
      <c r="T271" s="26">
        <f>IF($G271="","",SUMIFS($P$4:$P$2503,$E$4:$E$2503,$E271,$Z$4:$Z$2503,"正常",$A$4:$A$2503,"&lt;="&amp;$A271))</f>
        <v/>
      </c>
      <c r="U271" s="26">
        <f>IF($G271="","",IF(OR($S271&gt;0,$Q271=0,$R271=0,$Z271&lt;&gt;"正常"),0,ROUND($T271/$Q271*$R271,0)-ROUND(($T271-$P271)/$Q271*$R271,0)))</f>
        <v/>
      </c>
      <c r="V271" s="26">
        <f>IF($G271="","",ROUND($P271+$U271,0))</f>
        <v/>
      </c>
      <c r="W271" s="26">
        <f>IF($G271="","",IF(N($K271)=0,0,ROUND($V271/$K271,2)))</f>
        <v/>
      </c>
      <c r="X271" s="17" t="inlineStr">
        <is>
          <t>采购入库</t>
        </is>
      </c>
      <c r="Y271" s="17" t="inlineStr">
        <is>
          <t>正常</t>
        </is>
      </c>
      <c r="Z271" s="17" t="inlineStr">
        <is>
          <t>正常</t>
        </is>
      </c>
      <c r="AA271" s="17" t="n"/>
      <c r="AB271" s="17" t="inlineStr">
        <is>
          <t>原表第 276 行</t>
        </is>
      </c>
      <c r="AC271" s="24">
        <f>IF($G271="","",IF($H271="※编码不在物料档案里","※物料编码不在档案里",IF(N($K271)&lt;=0,"※入库数量要大于 0",IF(AND($C271&lt;&gt;"",$C271&lt;=结账锁),"※日期早于已结账截止日，不能再录",IF(AND($L271=0,$X271="正常"),"※没填单价，价格状态请选「待补价」",IF(AND($S271&gt;0,$R271&gt;0),"△本批有 "&amp;$S271&amp;" 行没单价，整批运费先挂账没摊",IF(AND($B271&lt;&gt;"",COUNTIF($B$4:$B$2503,$B271)&gt;1),"※入库单号重复","")))))))</f>
        <v/>
      </c>
    </row>
    <row r="272">
      <c r="A272" s="24">
        <f>IF($G272="","",COUNTA($G$4:$G272))</f>
        <v/>
      </c>
      <c r="B272" s="17" t="n"/>
      <c r="C272" s="30" t="n">
        <v>46098</v>
      </c>
      <c r="D272" s="17" t="inlineStr">
        <is>
          <t>A国内</t>
        </is>
      </c>
      <c r="E272" s="17" t="inlineStr">
        <is>
          <t>MSMU9007511-202603</t>
        </is>
      </c>
      <c r="F272" s="17" t="inlineStr">
        <is>
          <t>烟台市金豪矿山机械有限公司</t>
        </is>
      </c>
      <c r="G272" s="17" t="inlineStr">
        <is>
          <t>JH0256</t>
        </is>
      </c>
      <c r="H272" s="24">
        <f>IF($G272="","",IFERROR(VLOOKUP($G272,物料档案!$A$4:$P$1203,3,0),"※编码不在物料档案里"))</f>
        <v/>
      </c>
      <c r="I272" s="24">
        <f>IF($G272="","",IFERROR(VLOOKUP($G272,物料档案!$A$4:$P$1203,4,0),"※编码不在物料档案里"))</f>
        <v/>
      </c>
      <c r="J272" s="24">
        <f>IF($G272="","",IFERROR(VLOOKUP($G272,物料档案!$A$4:$P$1203,5,0),"※编码不在物料档案里"))</f>
        <v/>
      </c>
      <c r="K272" s="23" t="n">
        <v>1</v>
      </c>
      <c r="L272" s="31" t="n"/>
      <c r="M272" s="24">
        <f>IF($G272="","",IF($D272="A国内","CNY","TZS"))</f>
        <v/>
      </c>
      <c r="N272" s="28">
        <f>IF($G272="","",IF($D272="A国内",汇率,1))</f>
        <v/>
      </c>
      <c r="O272" s="25">
        <f>IF($G272="","",ROUND(N($K272)*N($L272),2))</f>
        <v/>
      </c>
      <c r="P272" s="26">
        <f>IF($G272="","",ROUND($O272*$N272,0))</f>
        <v/>
      </c>
      <c r="Q272" s="26">
        <f>IF($G272="","",SUMIFS($P$4:$P$2503,$E$4:$E$2503,$E272,$Z$4:$Z$2503,"正常"))</f>
        <v/>
      </c>
      <c r="R272" s="26">
        <f>IF($G272="","",SUMIFS(费用台账!$I$4:$I$503,费用台账!$C$4:$C$503,$E272,费用台账!$J$4:$J$503,"是",费用台账!$K$4:$K$503,"正常"))</f>
        <v/>
      </c>
      <c r="S272" s="28">
        <f>IF($G272="","",COUNTIFS($E$4:$E$2503,$E272,$Z$4:$Z$2503,"正常",$Y$4:$Y$2503,"待补价"))</f>
        <v/>
      </c>
      <c r="T272" s="26">
        <f>IF($G272="","",SUMIFS($P$4:$P$2503,$E$4:$E$2503,$E272,$Z$4:$Z$2503,"正常",$A$4:$A$2503,"&lt;="&amp;$A272))</f>
        <v/>
      </c>
      <c r="U272" s="26">
        <f>IF($G272="","",IF(OR($S272&gt;0,$Q272=0,$R272=0,$Z272&lt;&gt;"正常"),0,ROUND($T272/$Q272*$R272,0)-ROUND(($T272-$P272)/$Q272*$R272,0)))</f>
        <v/>
      </c>
      <c r="V272" s="26">
        <f>IF($G272="","",ROUND($P272+$U272,0))</f>
        <v/>
      </c>
      <c r="W272" s="26">
        <f>IF($G272="","",IF(N($K272)=0,0,ROUND($V272/$K272,2)))</f>
        <v/>
      </c>
      <c r="X272" s="17" t="inlineStr">
        <is>
          <t>采购入库</t>
        </is>
      </c>
      <c r="Y272" s="17" t="inlineStr">
        <is>
          <t>待补价</t>
        </is>
      </c>
      <c r="Z272" s="17" t="inlineStr">
        <is>
          <t>正常</t>
        </is>
      </c>
      <c r="AA272" s="17" t="n"/>
      <c r="AB272" s="17" t="inlineStr">
        <is>
          <t>原表第 277 行</t>
        </is>
      </c>
      <c r="AC272" s="24">
        <f>IF($G272="","",IF($H272="※编码不在物料档案里","※物料编码不在档案里",IF(N($K272)&lt;=0,"※入库数量要大于 0",IF(AND($C272&lt;&gt;"",$C272&lt;=结账锁),"※日期早于已结账截止日，不能再录",IF(AND($L272=0,$X272="正常"),"※没填单价，价格状态请选「待补价」",IF(AND($S272&gt;0,$R272&gt;0),"△本批有 "&amp;$S272&amp;" 行没单价，整批运费先挂账没摊",IF(AND($B272&lt;&gt;"",COUNTIF($B$4:$B$2503,$B272)&gt;1),"※入库单号重复","")))))))</f>
        <v/>
      </c>
    </row>
    <row r="273">
      <c r="A273" s="24">
        <f>IF($G273="","",COUNTA($G$4:$G273))</f>
        <v/>
      </c>
      <c r="B273" s="17" t="n"/>
      <c r="C273" s="30" t="n">
        <v>46098</v>
      </c>
      <c r="D273" s="17" t="inlineStr">
        <is>
          <t>A国内</t>
        </is>
      </c>
      <c r="E273" s="17" t="inlineStr">
        <is>
          <t>MSMU9007511-202603</t>
        </is>
      </c>
      <c r="F273" s="17" t="inlineStr">
        <is>
          <t>烟台市金豪矿山机械有限公司</t>
        </is>
      </c>
      <c r="G273" s="17" t="inlineStr">
        <is>
          <t>JH0257</t>
        </is>
      </c>
      <c r="H273" s="24">
        <f>IF($G273="","",IFERROR(VLOOKUP($G273,物料档案!$A$4:$P$1203,3,0),"※编码不在物料档案里"))</f>
        <v/>
      </c>
      <c r="I273" s="24">
        <f>IF($G273="","",IFERROR(VLOOKUP($G273,物料档案!$A$4:$P$1203,4,0),"※编码不在物料档案里"))</f>
        <v/>
      </c>
      <c r="J273" s="24">
        <f>IF($G273="","",IFERROR(VLOOKUP($G273,物料档案!$A$4:$P$1203,5,0),"※编码不在物料档案里"))</f>
        <v/>
      </c>
      <c r="K273" s="23" t="n">
        <v>1</v>
      </c>
      <c r="L273" s="31" t="n"/>
      <c r="M273" s="24">
        <f>IF($G273="","",IF($D273="A国内","CNY","TZS"))</f>
        <v/>
      </c>
      <c r="N273" s="28">
        <f>IF($G273="","",IF($D273="A国内",汇率,1))</f>
        <v/>
      </c>
      <c r="O273" s="25">
        <f>IF($G273="","",ROUND(N($K273)*N($L273),2))</f>
        <v/>
      </c>
      <c r="P273" s="26">
        <f>IF($G273="","",ROUND($O273*$N273,0))</f>
        <v/>
      </c>
      <c r="Q273" s="26">
        <f>IF($G273="","",SUMIFS($P$4:$P$2503,$E$4:$E$2503,$E273,$Z$4:$Z$2503,"正常"))</f>
        <v/>
      </c>
      <c r="R273" s="26">
        <f>IF($G273="","",SUMIFS(费用台账!$I$4:$I$503,费用台账!$C$4:$C$503,$E273,费用台账!$J$4:$J$503,"是",费用台账!$K$4:$K$503,"正常"))</f>
        <v/>
      </c>
      <c r="S273" s="28">
        <f>IF($G273="","",COUNTIFS($E$4:$E$2503,$E273,$Z$4:$Z$2503,"正常",$Y$4:$Y$2503,"待补价"))</f>
        <v/>
      </c>
      <c r="T273" s="26">
        <f>IF($G273="","",SUMIFS($P$4:$P$2503,$E$4:$E$2503,$E273,$Z$4:$Z$2503,"正常",$A$4:$A$2503,"&lt;="&amp;$A273))</f>
        <v/>
      </c>
      <c r="U273" s="26">
        <f>IF($G273="","",IF(OR($S273&gt;0,$Q273=0,$R273=0,$Z273&lt;&gt;"正常"),0,ROUND($T273/$Q273*$R273,0)-ROUND(($T273-$P273)/$Q273*$R273,0)))</f>
        <v/>
      </c>
      <c r="V273" s="26">
        <f>IF($G273="","",ROUND($P273+$U273,0))</f>
        <v/>
      </c>
      <c r="W273" s="26">
        <f>IF($G273="","",IF(N($K273)=0,0,ROUND($V273/$K273,2)))</f>
        <v/>
      </c>
      <c r="X273" s="17" t="inlineStr">
        <is>
          <t>采购入库</t>
        </is>
      </c>
      <c r="Y273" s="17" t="inlineStr">
        <is>
          <t>待补价</t>
        </is>
      </c>
      <c r="Z273" s="17" t="inlineStr">
        <is>
          <t>正常</t>
        </is>
      </c>
      <c r="AA273" s="17" t="n"/>
      <c r="AB273" s="17" t="inlineStr">
        <is>
          <t>原表第 278 行</t>
        </is>
      </c>
      <c r="AC273" s="24">
        <f>IF($G273="","",IF($H273="※编码不在物料档案里","※物料编码不在档案里",IF(N($K273)&lt;=0,"※入库数量要大于 0",IF(AND($C273&lt;&gt;"",$C273&lt;=结账锁),"※日期早于已结账截止日，不能再录",IF(AND($L273=0,$X273="正常"),"※没填单价，价格状态请选「待补价」",IF(AND($S273&gt;0,$R273&gt;0),"△本批有 "&amp;$S273&amp;" 行没单价，整批运费先挂账没摊",IF(AND($B273&lt;&gt;"",COUNTIF($B$4:$B$2503,$B273)&gt;1),"※入库单号重复","")))))))</f>
        <v/>
      </c>
    </row>
    <row r="274">
      <c r="A274" s="24">
        <f>IF($G274="","",COUNTA($G$4:$G274))</f>
        <v/>
      </c>
      <c r="B274" s="17" t="n"/>
      <c r="C274" s="30" t="n">
        <v>46098</v>
      </c>
      <c r="D274" s="17" t="inlineStr">
        <is>
          <t>A国内</t>
        </is>
      </c>
      <c r="E274" s="17" t="inlineStr">
        <is>
          <t>MSMU9007511-202603</t>
        </is>
      </c>
      <c r="F274" s="17" t="inlineStr">
        <is>
          <t>烟台市金豪矿山机械有限公司</t>
        </is>
      </c>
      <c r="G274" s="17" t="inlineStr">
        <is>
          <t>JH0258</t>
        </is>
      </c>
      <c r="H274" s="24">
        <f>IF($G274="","",IFERROR(VLOOKUP($G274,物料档案!$A$4:$P$1203,3,0),"※编码不在物料档案里"))</f>
        <v/>
      </c>
      <c r="I274" s="24">
        <f>IF($G274="","",IFERROR(VLOOKUP($G274,物料档案!$A$4:$P$1203,4,0),"※编码不在物料档案里"))</f>
        <v/>
      </c>
      <c r="J274" s="24">
        <f>IF($G274="","",IFERROR(VLOOKUP($G274,物料档案!$A$4:$P$1203,5,0),"※编码不在物料档案里"))</f>
        <v/>
      </c>
      <c r="K274" s="23" t="n">
        <v>2</v>
      </c>
      <c r="L274" s="31" t="n"/>
      <c r="M274" s="24">
        <f>IF($G274="","",IF($D274="A国内","CNY","TZS"))</f>
        <v/>
      </c>
      <c r="N274" s="28">
        <f>IF($G274="","",IF($D274="A国内",汇率,1))</f>
        <v/>
      </c>
      <c r="O274" s="25">
        <f>IF($G274="","",ROUND(N($K274)*N($L274),2))</f>
        <v/>
      </c>
      <c r="P274" s="26">
        <f>IF($G274="","",ROUND($O274*$N274,0))</f>
        <v/>
      </c>
      <c r="Q274" s="26">
        <f>IF($G274="","",SUMIFS($P$4:$P$2503,$E$4:$E$2503,$E274,$Z$4:$Z$2503,"正常"))</f>
        <v/>
      </c>
      <c r="R274" s="26">
        <f>IF($G274="","",SUMIFS(费用台账!$I$4:$I$503,费用台账!$C$4:$C$503,$E274,费用台账!$J$4:$J$503,"是",费用台账!$K$4:$K$503,"正常"))</f>
        <v/>
      </c>
      <c r="S274" s="28">
        <f>IF($G274="","",COUNTIFS($E$4:$E$2503,$E274,$Z$4:$Z$2503,"正常",$Y$4:$Y$2503,"待补价"))</f>
        <v/>
      </c>
      <c r="T274" s="26">
        <f>IF($G274="","",SUMIFS($P$4:$P$2503,$E$4:$E$2503,$E274,$Z$4:$Z$2503,"正常",$A$4:$A$2503,"&lt;="&amp;$A274))</f>
        <v/>
      </c>
      <c r="U274" s="26">
        <f>IF($G274="","",IF(OR($S274&gt;0,$Q274=0,$R274=0,$Z274&lt;&gt;"正常"),0,ROUND($T274/$Q274*$R274,0)-ROUND(($T274-$P274)/$Q274*$R274,0)))</f>
        <v/>
      </c>
      <c r="V274" s="26">
        <f>IF($G274="","",ROUND($P274+$U274,0))</f>
        <v/>
      </c>
      <c r="W274" s="26">
        <f>IF($G274="","",IF(N($K274)=0,0,ROUND($V274/$K274,2)))</f>
        <v/>
      </c>
      <c r="X274" s="17" t="inlineStr">
        <is>
          <t>采购入库</t>
        </is>
      </c>
      <c r="Y274" s="17" t="inlineStr">
        <is>
          <t>待补价</t>
        </is>
      </c>
      <c r="Z274" s="17" t="inlineStr">
        <is>
          <t>正常</t>
        </is>
      </c>
      <c r="AA274" s="17" t="n"/>
      <c r="AB274" s="17" t="inlineStr">
        <is>
          <t>原表第 279 行</t>
        </is>
      </c>
      <c r="AC274" s="24">
        <f>IF($G274="","",IF($H274="※编码不在物料档案里","※物料编码不在档案里",IF(N($K274)&lt;=0,"※入库数量要大于 0",IF(AND($C274&lt;&gt;"",$C274&lt;=结账锁),"※日期早于已结账截止日，不能再录",IF(AND($L274=0,$X274="正常"),"※没填单价，价格状态请选「待补价」",IF(AND($S274&gt;0,$R274&gt;0),"△本批有 "&amp;$S274&amp;" 行没单价，整批运费先挂账没摊",IF(AND($B274&lt;&gt;"",COUNTIF($B$4:$B$2503,$B274)&gt;1),"※入库单号重复","")))))))</f>
        <v/>
      </c>
    </row>
    <row r="275">
      <c r="A275" s="24">
        <f>IF($G275="","",COUNTA($G$4:$G275))</f>
        <v/>
      </c>
      <c r="B275" s="17" t="n"/>
      <c r="C275" s="30" t="n">
        <v>46098</v>
      </c>
      <c r="D275" s="17" t="inlineStr">
        <is>
          <t>A国内</t>
        </is>
      </c>
      <c r="E275" s="17" t="inlineStr">
        <is>
          <t>MSMU9007511-202603</t>
        </is>
      </c>
      <c r="F275" s="17" t="inlineStr">
        <is>
          <t>烟台市金豪矿山机械有限公司</t>
        </is>
      </c>
      <c r="G275" s="17" t="inlineStr">
        <is>
          <t>JH0259</t>
        </is>
      </c>
      <c r="H275" s="24">
        <f>IF($G275="","",IFERROR(VLOOKUP($G275,物料档案!$A$4:$P$1203,3,0),"※编码不在物料档案里"))</f>
        <v/>
      </c>
      <c r="I275" s="24">
        <f>IF($G275="","",IFERROR(VLOOKUP($G275,物料档案!$A$4:$P$1203,4,0),"※编码不在物料档案里"))</f>
        <v/>
      </c>
      <c r="J275" s="24">
        <f>IF($G275="","",IFERROR(VLOOKUP($G275,物料档案!$A$4:$P$1203,5,0),"※编码不在物料档案里"))</f>
        <v/>
      </c>
      <c r="K275" s="23" t="n">
        <v>8</v>
      </c>
      <c r="L275" s="31" t="n"/>
      <c r="M275" s="24">
        <f>IF($G275="","",IF($D275="A国内","CNY","TZS"))</f>
        <v/>
      </c>
      <c r="N275" s="28">
        <f>IF($G275="","",IF($D275="A国内",汇率,1))</f>
        <v/>
      </c>
      <c r="O275" s="25">
        <f>IF($G275="","",ROUND(N($K275)*N($L275),2))</f>
        <v/>
      </c>
      <c r="P275" s="26">
        <f>IF($G275="","",ROUND($O275*$N275,0))</f>
        <v/>
      </c>
      <c r="Q275" s="26">
        <f>IF($G275="","",SUMIFS($P$4:$P$2503,$E$4:$E$2503,$E275,$Z$4:$Z$2503,"正常"))</f>
        <v/>
      </c>
      <c r="R275" s="26">
        <f>IF($G275="","",SUMIFS(费用台账!$I$4:$I$503,费用台账!$C$4:$C$503,$E275,费用台账!$J$4:$J$503,"是",费用台账!$K$4:$K$503,"正常"))</f>
        <v/>
      </c>
      <c r="S275" s="28">
        <f>IF($G275="","",COUNTIFS($E$4:$E$2503,$E275,$Z$4:$Z$2503,"正常",$Y$4:$Y$2503,"待补价"))</f>
        <v/>
      </c>
      <c r="T275" s="26">
        <f>IF($G275="","",SUMIFS($P$4:$P$2503,$E$4:$E$2503,$E275,$Z$4:$Z$2503,"正常",$A$4:$A$2503,"&lt;="&amp;$A275))</f>
        <v/>
      </c>
      <c r="U275" s="26">
        <f>IF($G275="","",IF(OR($S275&gt;0,$Q275=0,$R275=0,$Z275&lt;&gt;"正常"),0,ROUND($T275/$Q275*$R275,0)-ROUND(($T275-$P275)/$Q275*$R275,0)))</f>
        <v/>
      </c>
      <c r="V275" s="26">
        <f>IF($G275="","",ROUND($P275+$U275,0))</f>
        <v/>
      </c>
      <c r="W275" s="26">
        <f>IF($G275="","",IF(N($K275)=0,0,ROUND($V275/$K275,2)))</f>
        <v/>
      </c>
      <c r="X275" s="17" t="inlineStr">
        <is>
          <t>采购入库</t>
        </is>
      </c>
      <c r="Y275" s="17" t="inlineStr">
        <is>
          <t>待补价</t>
        </is>
      </c>
      <c r="Z275" s="17" t="inlineStr">
        <is>
          <t>正常</t>
        </is>
      </c>
      <c r="AA275" s="17" t="n"/>
      <c r="AB275" s="17" t="inlineStr">
        <is>
          <t>原表第 280 行</t>
        </is>
      </c>
      <c r="AC275" s="24">
        <f>IF($G275="","",IF($H275="※编码不在物料档案里","※物料编码不在档案里",IF(N($K275)&lt;=0,"※入库数量要大于 0",IF(AND($C275&lt;&gt;"",$C275&lt;=结账锁),"※日期早于已结账截止日，不能再录",IF(AND($L275=0,$X275="正常"),"※没填单价，价格状态请选「待补价」",IF(AND($S275&gt;0,$R275&gt;0),"△本批有 "&amp;$S275&amp;" 行没单价，整批运费先挂账没摊",IF(AND($B275&lt;&gt;"",COUNTIF($B$4:$B$2503,$B275)&gt;1),"※入库单号重复","")))))))</f>
        <v/>
      </c>
    </row>
    <row r="276">
      <c r="A276" s="24">
        <f>IF($G276="","",COUNTA($G$4:$G276))</f>
        <v/>
      </c>
      <c r="B276" s="17" t="n"/>
      <c r="C276" s="30" t="n">
        <v>46098</v>
      </c>
      <c r="D276" s="17" t="inlineStr">
        <is>
          <t>A国内</t>
        </is>
      </c>
      <c r="E276" s="17" t="inlineStr">
        <is>
          <t>MSMU9007511-202603</t>
        </is>
      </c>
      <c r="F276" s="17" t="inlineStr">
        <is>
          <t>烟台市金豪矿山机械有限公司</t>
        </is>
      </c>
      <c r="G276" s="17" t="inlineStr">
        <is>
          <t>JH0260</t>
        </is>
      </c>
      <c r="H276" s="24">
        <f>IF($G276="","",IFERROR(VLOOKUP($G276,物料档案!$A$4:$P$1203,3,0),"※编码不在物料档案里"))</f>
        <v/>
      </c>
      <c r="I276" s="24">
        <f>IF($G276="","",IFERROR(VLOOKUP($G276,物料档案!$A$4:$P$1203,4,0),"※编码不在物料档案里"))</f>
        <v/>
      </c>
      <c r="J276" s="24">
        <f>IF($G276="","",IFERROR(VLOOKUP($G276,物料档案!$A$4:$P$1203,5,0),"※编码不在物料档案里"))</f>
        <v/>
      </c>
      <c r="K276" s="23" t="n">
        <v>2</v>
      </c>
      <c r="L276" s="31" t="n"/>
      <c r="M276" s="24">
        <f>IF($G276="","",IF($D276="A国内","CNY","TZS"))</f>
        <v/>
      </c>
      <c r="N276" s="28">
        <f>IF($G276="","",IF($D276="A国内",汇率,1))</f>
        <v/>
      </c>
      <c r="O276" s="25">
        <f>IF($G276="","",ROUND(N($K276)*N($L276),2))</f>
        <v/>
      </c>
      <c r="P276" s="26">
        <f>IF($G276="","",ROUND($O276*$N276,0))</f>
        <v/>
      </c>
      <c r="Q276" s="26">
        <f>IF($G276="","",SUMIFS($P$4:$P$2503,$E$4:$E$2503,$E276,$Z$4:$Z$2503,"正常"))</f>
        <v/>
      </c>
      <c r="R276" s="26">
        <f>IF($G276="","",SUMIFS(费用台账!$I$4:$I$503,费用台账!$C$4:$C$503,$E276,费用台账!$J$4:$J$503,"是",费用台账!$K$4:$K$503,"正常"))</f>
        <v/>
      </c>
      <c r="S276" s="28">
        <f>IF($G276="","",COUNTIFS($E$4:$E$2503,$E276,$Z$4:$Z$2503,"正常",$Y$4:$Y$2503,"待补价"))</f>
        <v/>
      </c>
      <c r="T276" s="26">
        <f>IF($G276="","",SUMIFS($P$4:$P$2503,$E$4:$E$2503,$E276,$Z$4:$Z$2503,"正常",$A$4:$A$2503,"&lt;="&amp;$A276))</f>
        <v/>
      </c>
      <c r="U276" s="26">
        <f>IF($G276="","",IF(OR($S276&gt;0,$Q276=0,$R276=0,$Z276&lt;&gt;"正常"),0,ROUND($T276/$Q276*$R276,0)-ROUND(($T276-$P276)/$Q276*$R276,0)))</f>
        <v/>
      </c>
      <c r="V276" s="26">
        <f>IF($G276="","",ROUND($P276+$U276,0))</f>
        <v/>
      </c>
      <c r="W276" s="26">
        <f>IF($G276="","",IF(N($K276)=0,0,ROUND($V276/$K276,2)))</f>
        <v/>
      </c>
      <c r="X276" s="17" t="inlineStr">
        <is>
          <t>采购入库</t>
        </is>
      </c>
      <c r="Y276" s="17" t="inlineStr">
        <is>
          <t>待补价</t>
        </is>
      </c>
      <c r="Z276" s="17" t="inlineStr">
        <is>
          <t>正常</t>
        </is>
      </c>
      <c r="AA276" s="17" t="n"/>
      <c r="AB276" s="17" t="inlineStr">
        <is>
          <t>原表第 281 行</t>
        </is>
      </c>
      <c r="AC276" s="24">
        <f>IF($G276="","",IF($H276="※编码不在物料档案里","※物料编码不在档案里",IF(N($K276)&lt;=0,"※入库数量要大于 0",IF(AND($C276&lt;&gt;"",$C276&lt;=结账锁),"※日期早于已结账截止日，不能再录",IF(AND($L276=0,$X276="正常"),"※没填单价，价格状态请选「待补价」",IF(AND($S276&gt;0,$R276&gt;0),"△本批有 "&amp;$S276&amp;" 行没单价，整批运费先挂账没摊",IF(AND($B276&lt;&gt;"",COUNTIF($B$4:$B$2503,$B276)&gt;1),"※入库单号重复","")))))))</f>
        <v/>
      </c>
    </row>
    <row r="277">
      <c r="A277" s="24">
        <f>IF($G277="","",COUNTA($G$4:$G277))</f>
        <v/>
      </c>
      <c r="B277" s="17" t="n"/>
      <c r="C277" s="30" t="n">
        <v>46098</v>
      </c>
      <c r="D277" s="17" t="inlineStr">
        <is>
          <t>A国内</t>
        </is>
      </c>
      <c r="E277" s="17" t="inlineStr">
        <is>
          <t>MSMU9007511-202603</t>
        </is>
      </c>
      <c r="F277" s="17" t="inlineStr">
        <is>
          <t>烟台市金豪矿山机械有限公司</t>
        </is>
      </c>
      <c r="G277" s="17" t="inlineStr">
        <is>
          <t>JH0261</t>
        </is>
      </c>
      <c r="H277" s="24">
        <f>IF($G277="","",IFERROR(VLOOKUP($G277,物料档案!$A$4:$P$1203,3,0),"※编码不在物料档案里"))</f>
        <v/>
      </c>
      <c r="I277" s="24">
        <f>IF($G277="","",IFERROR(VLOOKUP($G277,物料档案!$A$4:$P$1203,4,0),"※编码不在物料档案里"))</f>
        <v/>
      </c>
      <c r="J277" s="24">
        <f>IF($G277="","",IFERROR(VLOOKUP($G277,物料档案!$A$4:$P$1203,5,0),"※编码不在物料档案里"))</f>
        <v/>
      </c>
      <c r="K277" s="23" t="n">
        <v>2</v>
      </c>
      <c r="L277" s="31" t="n"/>
      <c r="M277" s="24">
        <f>IF($G277="","",IF($D277="A国内","CNY","TZS"))</f>
        <v/>
      </c>
      <c r="N277" s="28">
        <f>IF($G277="","",IF($D277="A国内",汇率,1))</f>
        <v/>
      </c>
      <c r="O277" s="25">
        <f>IF($G277="","",ROUND(N($K277)*N($L277),2))</f>
        <v/>
      </c>
      <c r="P277" s="26">
        <f>IF($G277="","",ROUND($O277*$N277,0))</f>
        <v/>
      </c>
      <c r="Q277" s="26">
        <f>IF($G277="","",SUMIFS($P$4:$P$2503,$E$4:$E$2503,$E277,$Z$4:$Z$2503,"正常"))</f>
        <v/>
      </c>
      <c r="R277" s="26">
        <f>IF($G277="","",SUMIFS(费用台账!$I$4:$I$503,费用台账!$C$4:$C$503,$E277,费用台账!$J$4:$J$503,"是",费用台账!$K$4:$K$503,"正常"))</f>
        <v/>
      </c>
      <c r="S277" s="28">
        <f>IF($G277="","",COUNTIFS($E$4:$E$2503,$E277,$Z$4:$Z$2503,"正常",$Y$4:$Y$2503,"待补价"))</f>
        <v/>
      </c>
      <c r="T277" s="26">
        <f>IF($G277="","",SUMIFS($P$4:$P$2503,$E$4:$E$2503,$E277,$Z$4:$Z$2503,"正常",$A$4:$A$2503,"&lt;="&amp;$A277))</f>
        <v/>
      </c>
      <c r="U277" s="26">
        <f>IF($G277="","",IF(OR($S277&gt;0,$Q277=0,$R277=0,$Z277&lt;&gt;"正常"),0,ROUND($T277/$Q277*$R277,0)-ROUND(($T277-$P277)/$Q277*$R277,0)))</f>
        <v/>
      </c>
      <c r="V277" s="26">
        <f>IF($G277="","",ROUND($P277+$U277,0))</f>
        <v/>
      </c>
      <c r="W277" s="26">
        <f>IF($G277="","",IF(N($K277)=0,0,ROUND($V277/$K277,2)))</f>
        <v/>
      </c>
      <c r="X277" s="17" t="inlineStr">
        <is>
          <t>采购入库</t>
        </is>
      </c>
      <c r="Y277" s="17" t="inlineStr">
        <is>
          <t>待补价</t>
        </is>
      </c>
      <c r="Z277" s="17" t="inlineStr">
        <is>
          <t>正常</t>
        </is>
      </c>
      <c r="AA277" s="17" t="n"/>
      <c r="AB277" s="17" t="inlineStr">
        <is>
          <t>原表第 282 行</t>
        </is>
      </c>
      <c r="AC277" s="24">
        <f>IF($G277="","",IF($H277="※编码不在物料档案里","※物料编码不在档案里",IF(N($K277)&lt;=0,"※入库数量要大于 0",IF(AND($C277&lt;&gt;"",$C277&lt;=结账锁),"※日期早于已结账截止日，不能再录",IF(AND($L277=0,$X277="正常"),"※没填单价，价格状态请选「待补价」",IF(AND($S277&gt;0,$R277&gt;0),"△本批有 "&amp;$S277&amp;" 行没单价，整批运费先挂账没摊",IF(AND($B277&lt;&gt;"",COUNTIF($B$4:$B$2503,$B277)&gt;1),"※入库单号重复","")))))))</f>
        <v/>
      </c>
    </row>
    <row r="278">
      <c r="A278" s="24">
        <f>IF($G278="","",COUNTA($G$4:$G278))</f>
        <v/>
      </c>
      <c r="B278" s="17" t="n"/>
      <c r="C278" s="30" t="n">
        <v>46098</v>
      </c>
      <c r="D278" s="17" t="inlineStr">
        <is>
          <t>A国内</t>
        </is>
      </c>
      <c r="E278" s="17" t="inlineStr">
        <is>
          <t>MSMU9007511-202603</t>
        </is>
      </c>
      <c r="F278" s="17" t="inlineStr">
        <is>
          <t>烟台市金豪矿山机械有限公司</t>
        </is>
      </c>
      <c r="G278" s="17" t="inlineStr">
        <is>
          <t>JH0262</t>
        </is>
      </c>
      <c r="H278" s="24">
        <f>IF($G278="","",IFERROR(VLOOKUP($G278,物料档案!$A$4:$P$1203,3,0),"※编码不在物料档案里"))</f>
        <v/>
      </c>
      <c r="I278" s="24">
        <f>IF($G278="","",IFERROR(VLOOKUP($G278,物料档案!$A$4:$P$1203,4,0),"※编码不在物料档案里"))</f>
        <v/>
      </c>
      <c r="J278" s="24">
        <f>IF($G278="","",IFERROR(VLOOKUP($G278,物料档案!$A$4:$P$1203,5,0),"※编码不在物料档案里"))</f>
        <v/>
      </c>
      <c r="K278" s="23" t="n">
        <v>1</v>
      </c>
      <c r="L278" s="31" t="n"/>
      <c r="M278" s="24">
        <f>IF($G278="","",IF($D278="A国内","CNY","TZS"))</f>
        <v/>
      </c>
      <c r="N278" s="28">
        <f>IF($G278="","",IF($D278="A国内",汇率,1))</f>
        <v/>
      </c>
      <c r="O278" s="25">
        <f>IF($G278="","",ROUND(N($K278)*N($L278),2))</f>
        <v/>
      </c>
      <c r="P278" s="26">
        <f>IF($G278="","",ROUND($O278*$N278,0))</f>
        <v/>
      </c>
      <c r="Q278" s="26">
        <f>IF($G278="","",SUMIFS($P$4:$P$2503,$E$4:$E$2503,$E278,$Z$4:$Z$2503,"正常"))</f>
        <v/>
      </c>
      <c r="R278" s="26">
        <f>IF($G278="","",SUMIFS(费用台账!$I$4:$I$503,费用台账!$C$4:$C$503,$E278,费用台账!$J$4:$J$503,"是",费用台账!$K$4:$K$503,"正常"))</f>
        <v/>
      </c>
      <c r="S278" s="28">
        <f>IF($G278="","",COUNTIFS($E$4:$E$2503,$E278,$Z$4:$Z$2503,"正常",$Y$4:$Y$2503,"待补价"))</f>
        <v/>
      </c>
      <c r="T278" s="26">
        <f>IF($G278="","",SUMIFS($P$4:$P$2503,$E$4:$E$2503,$E278,$Z$4:$Z$2503,"正常",$A$4:$A$2503,"&lt;="&amp;$A278))</f>
        <v/>
      </c>
      <c r="U278" s="26">
        <f>IF($G278="","",IF(OR($S278&gt;0,$Q278=0,$R278=0,$Z278&lt;&gt;"正常"),0,ROUND($T278/$Q278*$R278,0)-ROUND(($T278-$P278)/$Q278*$R278,0)))</f>
        <v/>
      </c>
      <c r="V278" s="26">
        <f>IF($G278="","",ROUND($P278+$U278,0))</f>
        <v/>
      </c>
      <c r="W278" s="26">
        <f>IF($G278="","",IF(N($K278)=0,0,ROUND($V278/$K278,2)))</f>
        <v/>
      </c>
      <c r="X278" s="17" t="inlineStr">
        <is>
          <t>采购入库</t>
        </is>
      </c>
      <c r="Y278" s="17" t="inlineStr">
        <is>
          <t>待补价</t>
        </is>
      </c>
      <c r="Z278" s="17" t="inlineStr">
        <is>
          <t>正常</t>
        </is>
      </c>
      <c r="AA278" s="17" t="n"/>
      <c r="AB278" s="17" t="inlineStr">
        <is>
          <t>原表第 283 行</t>
        </is>
      </c>
      <c r="AC278" s="24">
        <f>IF($G278="","",IF($H278="※编码不在物料档案里","※物料编码不在档案里",IF(N($K278)&lt;=0,"※入库数量要大于 0",IF(AND($C278&lt;&gt;"",$C278&lt;=结账锁),"※日期早于已结账截止日，不能再录",IF(AND($L278=0,$X278="正常"),"※没填单价，价格状态请选「待补价」",IF(AND($S278&gt;0,$R278&gt;0),"△本批有 "&amp;$S278&amp;" 行没单价，整批运费先挂账没摊",IF(AND($B278&lt;&gt;"",COUNTIF($B$4:$B$2503,$B278)&gt;1),"※入库单号重复","")))))))</f>
        <v/>
      </c>
    </row>
    <row r="279">
      <c r="A279" s="24">
        <f>IF($G279="","",COUNTA($G$4:$G279))</f>
        <v/>
      </c>
      <c r="B279" s="17" t="n"/>
      <c r="C279" s="30" t="n">
        <v>46098</v>
      </c>
      <c r="D279" s="17" t="inlineStr">
        <is>
          <t>A国内</t>
        </is>
      </c>
      <c r="E279" s="17" t="inlineStr">
        <is>
          <t>MSMU9007511-202603</t>
        </is>
      </c>
      <c r="F279" s="17" t="inlineStr">
        <is>
          <t>烟台市金豪矿山机械有限公司</t>
        </is>
      </c>
      <c r="G279" s="17" t="inlineStr">
        <is>
          <t>JH0263</t>
        </is>
      </c>
      <c r="H279" s="24">
        <f>IF($G279="","",IFERROR(VLOOKUP($G279,物料档案!$A$4:$P$1203,3,0),"※编码不在物料档案里"))</f>
        <v/>
      </c>
      <c r="I279" s="24">
        <f>IF($G279="","",IFERROR(VLOOKUP($G279,物料档案!$A$4:$P$1203,4,0),"※编码不在物料档案里"))</f>
        <v/>
      </c>
      <c r="J279" s="24">
        <f>IF($G279="","",IFERROR(VLOOKUP($G279,物料档案!$A$4:$P$1203,5,0),"※编码不在物料档案里"))</f>
        <v/>
      </c>
      <c r="K279" s="23" t="n">
        <v>2</v>
      </c>
      <c r="L279" s="31" t="n"/>
      <c r="M279" s="24">
        <f>IF($G279="","",IF($D279="A国内","CNY","TZS"))</f>
        <v/>
      </c>
      <c r="N279" s="28">
        <f>IF($G279="","",IF($D279="A国内",汇率,1))</f>
        <v/>
      </c>
      <c r="O279" s="25">
        <f>IF($G279="","",ROUND(N($K279)*N($L279),2))</f>
        <v/>
      </c>
      <c r="P279" s="26">
        <f>IF($G279="","",ROUND($O279*$N279,0))</f>
        <v/>
      </c>
      <c r="Q279" s="26">
        <f>IF($G279="","",SUMIFS($P$4:$P$2503,$E$4:$E$2503,$E279,$Z$4:$Z$2503,"正常"))</f>
        <v/>
      </c>
      <c r="R279" s="26">
        <f>IF($G279="","",SUMIFS(费用台账!$I$4:$I$503,费用台账!$C$4:$C$503,$E279,费用台账!$J$4:$J$503,"是",费用台账!$K$4:$K$503,"正常"))</f>
        <v/>
      </c>
      <c r="S279" s="28">
        <f>IF($G279="","",COUNTIFS($E$4:$E$2503,$E279,$Z$4:$Z$2503,"正常",$Y$4:$Y$2503,"待补价"))</f>
        <v/>
      </c>
      <c r="T279" s="26">
        <f>IF($G279="","",SUMIFS($P$4:$P$2503,$E$4:$E$2503,$E279,$Z$4:$Z$2503,"正常",$A$4:$A$2503,"&lt;="&amp;$A279))</f>
        <v/>
      </c>
      <c r="U279" s="26">
        <f>IF($G279="","",IF(OR($S279&gt;0,$Q279=0,$R279=0,$Z279&lt;&gt;"正常"),0,ROUND($T279/$Q279*$R279,0)-ROUND(($T279-$P279)/$Q279*$R279,0)))</f>
        <v/>
      </c>
      <c r="V279" s="26">
        <f>IF($G279="","",ROUND($P279+$U279,0))</f>
        <v/>
      </c>
      <c r="W279" s="26">
        <f>IF($G279="","",IF(N($K279)=0,0,ROUND($V279/$K279,2)))</f>
        <v/>
      </c>
      <c r="X279" s="17" t="inlineStr">
        <is>
          <t>采购入库</t>
        </is>
      </c>
      <c r="Y279" s="17" t="inlineStr">
        <is>
          <t>待补价</t>
        </is>
      </c>
      <c r="Z279" s="17" t="inlineStr">
        <is>
          <t>正常</t>
        </is>
      </c>
      <c r="AA279" s="17" t="n"/>
      <c r="AB279" s="17" t="inlineStr">
        <is>
          <t>原表第 284 行</t>
        </is>
      </c>
      <c r="AC279" s="24">
        <f>IF($G279="","",IF($H279="※编码不在物料档案里","※物料编码不在档案里",IF(N($K279)&lt;=0,"※入库数量要大于 0",IF(AND($C279&lt;&gt;"",$C279&lt;=结账锁),"※日期早于已结账截止日，不能再录",IF(AND($L279=0,$X279="正常"),"※没填单价，价格状态请选「待补价」",IF(AND($S279&gt;0,$R279&gt;0),"△本批有 "&amp;$S279&amp;" 行没单价，整批运费先挂账没摊",IF(AND($B279&lt;&gt;"",COUNTIF($B$4:$B$2503,$B279)&gt;1),"※入库单号重复","")))))))</f>
        <v/>
      </c>
    </row>
    <row r="280">
      <c r="A280" s="24">
        <f>IF($G280="","",COUNTA($G$4:$G280))</f>
        <v/>
      </c>
      <c r="B280" s="17" t="n"/>
      <c r="C280" s="30" t="n">
        <v>46098</v>
      </c>
      <c r="D280" s="17" t="inlineStr">
        <is>
          <t>A国内</t>
        </is>
      </c>
      <c r="E280" s="17" t="inlineStr">
        <is>
          <t>MSMU9007511-202603</t>
        </is>
      </c>
      <c r="F280" s="17" t="inlineStr">
        <is>
          <t>烟台市金豪矿山机械有限公司</t>
        </is>
      </c>
      <c r="G280" s="17" t="inlineStr">
        <is>
          <t>JH0264</t>
        </is>
      </c>
      <c r="H280" s="24">
        <f>IF($G280="","",IFERROR(VLOOKUP($G280,物料档案!$A$4:$P$1203,3,0),"※编码不在物料档案里"))</f>
        <v/>
      </c>
      <c r="I280" s="24">
        <f>IF($G280="","",IFERROR(VLOOKUP($G280,物料档案!$A$4:$P$1203,4,0),"※编码不在物料档案里"))</f>
        <v/>
      </c>
      <c r="J280" s="24">
        <f>IF($G280="","",IFERROR(VLOOKUP($G280,物料档案!$A$4:$P$1203,5,0),"※编码不在物料档案里"))</f>
        <v/>
      </c>
      <c r="K280" s="23" t="n">
        <v>1</v>
      </c>
      <c r="L280" s="31" t="n"/>
      <c r="M280" s="24">
        <f>IF($G280="","",IF($D280="A国内","CNY","TZS"))</f>
        <v/>
      </c>
      <c r="N280" s="28">
        <f>IF($G280="","",IF($D280="A国内",汇率,1))</f>
        <v/>
      </c>
      <c r="O280" s="25">
        <f>IF($G280="","",ROUND(N($K280)*N($L280),2))</f>
        <v/>
      </c>
      <c r="P280" s="26">
        <f>IF($G280="","",ROUND($O280*$N280,0))</f>
        <v/>
      </c>
      <c r="Q280" s="26">
        <f>IF($G280="","",SUMIFS($P$4:$P$2503,$E$4:$E$2503,$E280,$Z$4:$Z$2503,"正常"))</f>
        <v/>
      </c>
      <c r="R280" s="26">
        <f>IF($G280="","",SUMIFS(费用台账!$I$4:$I$503,费用台账!$C$4:$C$503,$E280,费用台账!$J$4:$J$503,"是",费用台账!$K$4:$K$503,"正常"))</f>
        <v/>
      </c>
      <c r="S280" s="28">
        <f>IF($G280="","",COUNTIFS($E$4:$E$2503,$E280,$Z$4:$Z$2503,"正常",$Y$4:$Y$2503,"待补价"))</f>
        <v/>
      </c>
      <c r="T280" s="26">
        <f>IF($G280="","",SUMIFS($P$4:$P$2503,$E$4:$E$2503,$E280,$Z$4:$Z$2503,"正常",$A$4:$A$2503,"&lt;="&amp;$A280))</f>
        <v/>
      </c>
      <c r="U280" s="26">
        <f>IF($G280="","",IF(OR($S280&gt;0,$Q280=0,$R280=0,$Z280&lt;&gt;"正常"),0,ROUND($T280/$Q280*$R280,0)-ROUND(($T280-$P280)/$Q280*$R280,0)))</f>
        <v/>
      </c>
      <c r="V280" s="26">
        <f>IF($G280="","",ROUND($P280+$U280,0))</f>
        <v/>
      </c>
      <c r="W280" s="26">
        <f>IF($G280="","",IF(N($K280)=0,0,ROUND($V280/$K280,2)))</f>
        <v/>
      </c>
      <c r="X280" s="17" t="inlineStr">
        <is>
          <t>采购入库</t>
        </is>
      </c>
      <c r="Y280" s="17" t="inlineStr">
        <is>
          <t>待补价</t>
        </is>
      </c>
      <c r="Z280" s="17" t="inlineStr">
        <is>
          <t>正常</t>
        </is>
      </c>
      <c r="AA280" s="17" t="n"/>
      <c r="AB280" s="17" t="inlineStr">
        <is>
          <t>原表第 285 行</t>
        </is>
      </c>
      <c r="AC280" s="24">
        <f>IF($G280="","",IF($H280="※编码不在物料档案里","※物料编码不在档案里",IF(N($K280)&lt;=0,"※入库数量要大于 0",IF(AND($C280&lt;&gt;"",$C280&lt;=结账锁),"※日期早于已结账截止日，不能再录",IF(AND($L280=0,$X280="正常"),"※没填单价，价格状态请选「待补价」",IF(AND($S280&gt;0,$R280&gt;0),"△本批有 "&amp;$S280&amp;" 行没单价，整批运费先挂账没摊",IF(AND($B280&lt;&gt;"",COUNTIF($B$4:$B$2503,$B280)&gt;1),"※入库单号重复","")))))))</f>
        <v/>
      </c>
    </row>
    <row r="281">
      <c r="A281" s="24">
        <f>IF($G281="","",COUNTA($G$4:$G281))</f>
        <v/>
      </c>
      <c r="B281" s="17" t="n"/>
      <c r="C281" s="30" t="n">
        <v>46098</v>
      </c>
      <c r="D281" s="17" t="inlineStr">
        <is>
          <t>A国内</t>
        </is>
      </c>
      <c r="E281" s="17" t="inlineStr">
        <is>
          <t>MSMU9007511-202603</t>
        </is>
      </c>
      <c r="F281" s="17" t="inlineStr">
        <is>
          <t>烟台市金豪矿山机械有限公司</t>
        </is>
      </c>
      <c r="G281" s="17" t="inlineStr">
        <is>
          <t>JH0265</t>
        </is>
      </c>
      <c r="H281" s="24">
        <f>IF($G281="","",IFERROR(VLOOKUP($G281,物料档案!$A$4:$P$1203,3,0),"※编码不在物料档案里"))</f>
        <v/>
      </c>
      <c r="I281" s="24">
        <f>IF($G281="","",IFERROR(VLOOKUP($G281,物料档案!$A$4:$P$1203,4,0),"※编码不在物料档案里"))</f>
        <v/>
      </c>
      <c r="J281" s="24">
        <f>IF($G281="","",IFERROR(VLOOKUP($G281,物料档案!$A$4:$P$1203,5,0),"※编码不在物料档案里"))</f>
        <v/>
      </c>
      <c r="K281" s="23" t="n">
        <v>1</v>
      </c>
      <c r="L281" s="31" t="n"/>
      <c r="M281" s="24">
        <f>IF($G281="","",IF($D281="A国内","CNY","TZS"))</f>
        <v/>
      </c>
      <c r="N281" s="28">
        <f>IF($G281="","",IF($D281="A国内",汇率,1))</f>
        <v/>
      </c>
      <c r="O281" s="25">
        <f>IF($G281="","",ROUND(N($K281)*N($L281),2))</f>
        <v/>
      </c>
      <c r="P281" s="26">
        <f>IF($G281="","",ROUND($O281*$N281,0))</f>
        <v/>
      </c>
      <c r="Q281" s="26">
        <f>IF($G281="","",SUMIFS($P$4:$P$2503,$E$4:$E$2503,$E281,$Z$4:$Z$2503,"正常"))</f>
        <v/>
      </c>
      <c r="R281" s="26">
        <f>IF($G281="","",SUMIFS(费用台账!$I$4:$I$503,费用台账!$C$4:$C$503,$E281,费用台账!$J$4:$J$503,"是",费用台账!$K$4:$K$503,"正常"))</f>
        <v/>
      </c>
      <c r="S281" s="28">
        <f>IF($G281="","",COUNTIFS($E$4:$E$2503,$E281,$Z$4:$Z$2503,"正常",$Y$4:$Y$2503,"待补价"))</f>
        <v/>
      </c>
      <c r="T281" s="26">
        <f>IF($G281="","",SUMIFS($P$4:$P$2503,$E$4:$E$2503,$E281,$Z$4:$Z$2503,"正常",$A$4:$A$2503,"&lt;="&amp;$A281))</f>
        <v/>
      </c>
      <c r="U281" s="26">
        <f>IF($G281="","",IF(OR($S281&gt;0,$Q281=0,$R281=0,$Z281&lt;&gt;"正常"),0,ROUND($T281/$Q281*$R281,0)-ROUND(($T281-$P281)/$Q281*$R281,0)))</f>
        <v/>
      </c>
      <c r="V281" s="26">
        <f>IF($G281="","",ROUND($P281+$U281,0))</f>
        <v/>
      </c>
      <c r="W281" s="26">
        <f>IF($G281="","",IF(N($K281)=0,0,ROUND($V281/$K281,2)))</f>
        <v/>
      </c>
      <c r="X281" s="17" t="inlineStr">
        <is>
          <t>采购入库</t>
        </is>
      </c>
      <c r="Y281" s="17" t="inlineStr">
        <is>
          <t>待补价</t>
        </is>
      </c>
      <c r="Z281" s="17" t="inlineStr">
        <is>
          <t>正常</t>
        </is>
      </c>
      <c r="AA281" s="17" t="n"/>
      <c r="AB281" s="17" t="inlineStr">
        <is>
          <t>原表第 286 行</t>
        </is>
      </c>
      <c r="AC281" s="24">
        <f>IF($G281="","",IF($H281="※编码不在物料档案里","※物料编码不在档案里",IF(N($K281)&lt;=0,"※入库数量要大于 0",IF(AND($C281&lt;&gt;"",$C281&lt;=结账锁),"※日期早于已结账截止日，不能再录",IF(AND($L281=0,$X281="正常"),"※没填单价，价格状态请选「待补价」",IF(AND($S281&gt;0,$R281&gt;0),"△本批有 "&amp;$S281&amp;" 行没单价，整批运费先挂账没摊",IF(AND($B281&lt;&gt;"",COUNTIF($B$4:$B$2503,$B281)&gt;1),"※入库单号重复","")))))))</f>
        <v/>
      </c>
    </row>
    <row r="282">
      <c r="A282" s="24">
        <f>IF($G282="","",COUNTA($G$4:$G282))</f>
        <v/>
      </c>
      <c r="B282" s="17" t="n"/>
      <c r="C282" s="30" t="n">
        <v>46098</v>
      </c>
      <c r="D282" s="17" t="inlineStr">
        <is>
          <t>A国内</t>
        </is>
      </c>
      <c r="E282" s="17" t="inlineStr">
        <is>
          <t>MSMU9007511-202603</t>
        </is>
      </c>
      <c r="F282" s="17" t="inlineStr">
        <is>
          <t>烟台市金豪矿山机械有限公司</t>
        </is>
      </c>
      <c r="G282" s="17" t="inlineStr">
        <is>
          <t>JH0266</t>
        </is>
      </c>
      <c r="H282" s="24">
        <f>IF($G282="","",IFERROR(VLOOKUP($G282,物料档案!$A$4:$P$1203,3,0),"※编码不在物料档案里"))</f>
        <v/>
      </c>
      <c r="I282" s="24">
        <f>IF($G282="","",IFERROR(VLOOKUP($G282,物料档案!$A$4:$P$1203,4,0),"※编码不在物料档案里"))</f>
        <v/>
      </c>
      <c r="J282" s="24">
        <f>IF($G282="","",IFERROR(VLOOKUP($G282,物料档案!$A$4:$P$1203,5,0),"※编码不在物料档案里"))</f>
        <v/>
      </c>
      <c r="K282" s="23" t="n">
        <v>1</v>
      </c>
      <c r="L282" s="31" t="n"/>
      <c r="M282" s="24">
        <f>IF($G282="","",IF($D282="A国内","CNY","TZS"))</f>
        <v/>
      </c>
      <c r="N282" s="28">
        <f>IF($G282="","",IF($D282="A国内",汇率,1))</f>
        <v/>
      </c>
      <c r="O282" s="25">
        <f>IF($G282="","",ROUND(N($K282)*N($L282),2))</f>
        <v/>
      </c>
      <c r="P282" s="26">
        <f>IF($G282="","",ROUND($O282*$N282,0))</f>
        <v/>
      </c>
      <c r="Q282" s="26">
        <f>IF($G282="","",SUMIFS($P$4:$P$2503,$E$4:$E$2503,$E282,$Z$4:$Z$2503,"正常"))</f>
        <v/>
      </c>
      <c r="R282" s="26">
        <f>IF($G282="","",SUMIFS(费用台账!$I$4:$I$503,费用台账!$C$4:$C$503,$E282,费用台账!$J$4:$J$503,"是",费用台账!$K$4:$K$503,"正常"))</f>
        <v/>
      </c>
      <c r="S282" s="28">
        <f>IF($G282="","",COUNTIFS($E$4:$E$2503,$E282,$Z$4:$Z$2503,"正常",$Y$4:$Y$2503,"待补价"))</f>
        <v/>
      </c>
      <c r="T282" s="26">
        <f>IF($G282="","",SUMIFS($P$4:$P$2503,$E$4:$E$2503,$E282,$Z$4:$Z$2503,"正常",$A$4:$A$2503,"&lt;="&amp;$A282))</f>
        <v/>
      </c>
      <c r="U282" s="26">
        <f>IF($G282="","",IF(OR($S282&gt;0,$Q282=0,$R282=0,$Z282&lt;&gt;"正常"),0,ROUND($T282/$Q282*$R282,0)-ROUND(($T282-$P282)/$Q282*$R282,0)))</f>
        <v/>
      </c>
      <c r="V282" s="26">
        <f>IF($G282="","",ROUND($P282+$U282,0))</f>
        <v/>
      </c>
      <c r="W282" s="26">
        <f>IF($G282="","",IF(N($K282)=0,0,ROUND($V282/$K282,2)))</f>
        <v/>
      </c>
      <c r="X282" s="17" t="inlineStr">
        <is>
          <t>采购入库</t>
        </is>
      </c>
      <c r="Y282" s="17" t="inlineStr">
        <is>
          <t>待补价</t>
        </is>
      </c>
      <c r="Z282" s="17" t="inlineStr">
        <is>
          <t>正常</t>
        </is>
      </c>
      <c r="AA282" s="17" t="n"/>
      <c r="AB282" s="17" t="inlineStr">
        <is>
          <t>原表第 287 行　单位含包装规格，单价是每「2米/支」的价</t>
        </is>
      </c>
      <c r="AC282" s="24">
        <f>IF($G282="","",IF($H282="※编码不在物料档案里","※物料编码不在档案里",IF(N($K282)&lt;=0,"※入库数量要大于 0",IF(AND($C282&lt;&gt;"",$C282&lt;=结账锁),"※日期早于已结账截止日，不能再录",IF(AND($L282=0,$X282="正常"),"※没填单价，价格状态请选「待补价」",IF(AND($S282&gt;0,$R282&gt;0),"△本批有 "&amp;$S282&amp;" 行没单价，整批运费先挂账没摊",IF(AND($B282&lt;&gt;"",COUNTIF($B$4:$B$2503,$B282)&gt;1),"※入库单号重复","")))))))</f>
        <v/>
      </c>
    </row>
    <row r="283">
      <c r="A283" s="24">
        <f>IF($G283="","",COUNTA($G$4:$G283))</f>
        <v/>
      </c>
      <c r="B283" s="17" t="n"/>
      <c r="C283" s="30" t="n">
        <v>46098</v>
      </c>
      <c r="D283" s="17" t="inlineStr">
        <is>
          <t>A国内</t>
        </is>
      </c>
      <c r="E283" s="17" t="inlineStr">
        <is>
          <t>MSMU9007511-202603</t>
        </is>
      </c>
      <c r="F283" s="17" t="inlineStr">
        <is>
          <t>烟台市金豪矿山机械有限公司</t>
        </is>
      </c>
      <c r="G283" s="17" t="inlineStr">
        <is>
          <t>JH0267</t>
        </is>
      </c>
      <c r="H283" s="24">
        <f>IF($G283="","",IFERROR(VLOOKUP($G283,物料档案!$A$4:$P$1203,3,0),"※编码不在物料档案里"))</f>
        <v/>
      </c>
      <c r="I283" s="24">
        <f>IF($G283="","",IFERROR(VLOOKUP($G283,物料档案!$A$4:$P$1203,4,0),"※编码不在物料档案里"))</f>
        <v/>
      </c>
      <c r="J283" s="24">
        <f>IF($G283="","",IFERROR(VLOOKUP($G283,物料档案!$A$4:$P$1203,5,0),"※编码不在物料档案里"))</f>
        <v/>
      </c>
      <c r="K283" s="23" t="n">
        <v>6</v>
      </c>
      <c r="L283" s="31" t="n"/>
      <c r="M283" s="24">
        <f>IF($G283="","",IF($D283="A国内","CNY","TZS"))</f>
        <v/>
      </c>
      <c r="N283" s="28">
        <f>IF($G283="","",IF($D283="A国内",汇率,1))</f>
        <v/>
      </c>
      <c r="O283" s="25">
        <f>IF($G283="","",ROUND(N($K283)*N($L283),2))</f>
        <v/>
      </c>
      <c r="P283" s="26">
        <f>IF($G283="","",ROUND($O283*$N283,0))</f>
        <v/>
      </c>
      <c r="Q283" s="26">
        <f>IF($G283="","",SUMIFS($P$4:$P$2503,$E$4:$E$2503,$E283,$Z$4:$Z$2503,"正常"))</f>
        <v/>
      </c>
      <c r="R283" s="26">
        <f>IF($G283="","",SUMIFS(费用台账!$I$4:$I$503,费用台账!$C$4:$C$503,$E283,费用台账!$J$4:$J$503,"是",费用台账!$K$4:$K$503,"正常"))</f>
        <v/>
      </c>
      <c r="S283" s="28">
        <f>IF($G283="","",COUNTIFS($E$4:$E$2503,$E283,$Z$4:$Z$2503,"正常",$Y$4:$Y$2503,"待补价"))</f>
        <v/>
      </c>
      <c r="T283" s="26">
        <f>IF($G283="","",SUMIFS($P$4:$P$2503,$E$4:$E$2503,$E283,$Z$4:$Z$2503,"正常",$A$4:$A$2503,"&lt;="&amp;$A283))</f>
        <v/>
      </c>
      <c r="U283" s="26">
        <f>IF($G283="","",IF(OR($S283&gt;0,$Q283=0,$R283=0,$Z283&lt;&gt;"正常"),0,ROUND($T283/$Q283*$R283,0)-ROUND(($T283-$P283)/$Q283*$R283,0)))</f>
        <v/>
      </c>
      <c r="V283" s="26">
        <f>IF($G283="","",ROUND($P283+$U283,0))</f>
        <v/>
      </c>
      <c r="W283" s="26">
        <f>IF($G283="","",IF(N($K283)=0,0,ROUND($V283/$K283,2)))</f>
        <v/>
      </c>
      <c r="X283" s="17" t="inlineStr">
        <is>
          <t>采购入库</t>
        </is>
      </c>
      <c r="Y283" s="17" t="inlineStr">
        <is>
          <t>待补价</t>
        </is>
      </c>
      <c r="Z283" s="17" t="inlineStr">
        <is>
          <t>正常</t>
        </is>
      </c>
      <c r="AA283" s="17" t="n"/>
      <c r="AB283" s="17" t="inlineStr">
        <is>
          <t>原表第 288 行</t>
        </is>
      </c>
      <c r="AC283" s="24">
        <f>IF($G283="","",IF($H283="※编码不在物料档案里","※物料编码不在档案里",IF(N($K283)&lt;=0,"※入库数量要大于 0",IF(AND($C283&lt;&gt;"",$C283&lt;=结账锁),"※日期早于已结账截止日，不能再录",IF(AND($L283=0,$X283="正常"),"※没填单价，价格状态请选「待补价」",IF(AND($S283&gt;0,$R283&gt;0),"△本批有 "&amp;$S283&amp;" 行没单价，整批运费先挂账没摊",IF(AND($B283&lt;&gt;"",COUNTIF($B$4:$B$2503,$B283)&gt;1),"※入库单号重复","")))))))</f>
        <v/>
      </c>
    </row>
    <row r="284">
      <c r="A284" s="24">
        <f>IF($G284="","",COUNTA($G$4:$G284))</f>
        <v/>
      </c>
      <c r="B284" s="17" t="n"/>
      <c r="C284" s="30" t="n">
        <v>46098</v>
      </c>
      <c r="D284" s="17" t="inlineStr">
        <is>
          <t>A国内</t>
        </is>
      </c>
      <c r="E284" s="17" t="inlineStr">
        <is>
          <t>MSMU9007511-202603</t>
        </is>
      </c>
      <c r="F284" s="17" t="inlineStr">
        <is>
          <t>烟台市金豪矿山机械有限公司</t>
        </is>
      </c>
      <c r="G284" s="17" t="inlineStr">
        <is>
          <t>JH0268</t>
        </is>
      </c>
      <c r="H284" s="24">
        <f>IF($G284="","",IFERROR(VLOOKUP($G284,物料档案!$A$4:$P$1203,3,0),"※编码不在物料档案里"))</f>
        <v/>
      </c>
      <c r="I284" s="24">
        <f>IF($G284="","",IFERROR(VLOOKUP($G284,物料档案!$A$4:$P$1203,4,0),"※编码不在物料档案里"))</f>
        <v/>
      </c>
      <c r="J284" s="24">
        <f>IF($G284="","",IFERROR(VLOOKUP($G284,物料档案!$A$4:$P$1203,5,0),"※编码不在物料档案里"))</f>
        <v/>
      </c>
      <c r="K284" s="23" t="n">
        <v>1</v>
      </c>
      <c r="L284" s="31" t="n">
        <v>27000</v>
      </c>
      <c r="M284" s="24">
        <f>IF($G284="","",IF($D284="A国内","CNY","TZS"))</f>
        <v/>
      </c>
      <c r="N284" s="28">
        <f>IF($G284="","",IF($D284="A国内",汇率,1))</f>
        <v/>
      </c>
      <c r="O284" s="25">
        <f>IF($G284="","",ROUND(N($K284)*N($L284),2))</f>
        <v/>
      </c>
      <c r="P284" s="26">
        <f>IF($G284="","",ROUND($O284*$N284,0))</f>
        <v/>
      </c>
      <c r="Q284" s="26">
        <f>IF($G284="","",SUMIFS($P$4:$P$2503,$E$4:$E$2503,$E284,$Z$4:$Z$2503,"正常"))</f>
        <v/>
      </c>
      <c r="R284" s="26">
        <f>IF($G284="","",SUMIFS(费用台账!$I$4:$I$503,费用台账!$C$4:$C$503,$E284,费用台账!$J$4:$J$503,"是",费用台账!$K$4:$K$503,"正常"))</f>
        <v/>
      </c>
      <c r="S284" s="28">
        <f>IF($G284="","",COUNTIFS($E$4:$E$2503,$E284,$Z$4:$Z$2503,"正常",$Y$4:$Y$2503,"待补价"))</f>
        <v/>
      </c>
      <c r="T284" s="26">
        <f>IF($G284="","",SUMIFS($P$4:$P$2503,$E$4:$E$2503,$E284,$Z$4:$Z$2503,"正常",$A$4:$A$2503,"&lt;="&amp;$A284))</f>
        <v/>
      </c>
      <c r="U284" s="26">
        <f>IF($G284="","",IF(OR($S284&gt;0,$Q284=0,$R284=0,$Z284&lt;&gt;"正常"),0,ROUND($T284/$Q284*$R284,0)-ROUND(($T284-$P284)/$Q284*$R284,0)))</f>
        <v/>
      </c>
      <c r="V284" s="26">
        <f>IF($G284="","",ROUND($P284+$U284,0))</f>
        <v/>
      </c>
      <c r="W284" s="26">
        <f>IF($G284="","",IF(N($K284)=0,0,ROUND($V284/$K284,2)))</f>
        <v/>
      </c>
      <c r="X284" s="17" t="inlineStr">
        <is>
          <t>采购入库</t>
        </is>
      </c>
      <c r="Y284" s="17" t="inlineStr">
        <is>
          <t>正常</t>
        </is>
      </c>
      <c r="Z284" s="17" t="inlineStr">
        <is>
          <t>正常</t>
        </is>
      </c>
      <c r="AA284" s="17" t="n"/>
      <c r="AB284" s="17" t="inlineStr">
        <is>
          <t>原表第 289 行</t>
        </is>
      </c>
      <c r="AC284" s="24">
        <f>IF($G284="","",IF($H284="※编码不在物料档案里","※物料编码不在档案里",IF(N($K284)&lt;=0,"※入库数量要大于 0",IF(AND($C284&lt;&gt;"",$C284&lt;=结账锁),"※日期早于已结账截止日，不能再录",IF(AND($L284=0,$X284="正常"),"※没填单价，价格状态请选「待补价」",IF(AND($S284&gt;0,$R284&gt;0),"△本批有 "&amp;$S284&amp;" 行没单价，整批运费先挂账没摊",IF(AND($B284&lt;&gt;"",COUNTIF($B$4:$B$2503,$B284)&gt;1),"※入库单号重复","")))))))</f>
        <v/>
      </c>
    </row>
    <row r="285">
      <c r="A285" s="24">
        <f>IF($G285="","",COUNTA($G$4:$G285))</f>
        <v/>
      </c>
      <c r="B285" s="17" t="n"/>
      <c r="C285" s="30" t="n">
        <v>46098</v>
      </c>
      <c r="D285" s="17" t="inlineStr">
        <is>
          <t>A国内</t>
        </is>
      </c>
      <c r="E285" s="17" t="inlineStr">
        <is>
          <t>MSMU9007511-202603</t>
        </is>
      </c>
      <c r="F285" s="17" t="inlineStr">
        <is>
          <t>烟台市金豪矿山机械有限公司</t>
        </is>
      </c>
      <c r="G285" s="17" t="inlineStr">
        <is>
          <t>JH0257</t>
        </is>
      </c>
      <c r="H285" s="24">
        <f>IF($G285="","",IFERROR(VLOOKUP($G285,物料档案!$A$4:$P$1203,3,0),"※编码不在物料档案里"))</f>
        <v/>
      </c>
      <c r="I285" s="24">
        <f>IF($G285="","",IFERROR(VLOOKUP($G285,物料档案!$A$4:$P$1203,4,0),"※编码不在物料档案里"))</f>
        <v/>
      </c>
      <c r="J285" s="24">
        <f>IF($G285="","",IFERROR(VLOOKUP($G285,物料档案!$A$4:$P$1203,5,0),"※编码不在物料档案里"))</f>
        <v/>
      </c>
      <c r="K285" s="23" t="n">
        <v>1</v>
      </c>
      <c r="L285" s="31" t="n"/>
      <c r="M285" s="24">
        <f>IF($G285="","",IF($D285="A国内","CNY","TZS"))</f>
        <v/>
      </c>
      <c r="N285" s="28">
        <f>IF($G285="","",IF($D285="A国内",汇率,1))</f>
        <v/>
      </c>
      <c r="O285" s="25">
        <f>IF($G285="","",ROUND(N($K285)*N($L285),2))</f>
        <v/>
      </c>
      <c r="P285" s="26">
        <f>IF($G285="","",ROUND($O285*$N285,0))</f>
        <v/>
      </c>
      <c r="Q285" s="26">
        <f>IF($G285="","",SUMIFS($P$4:$P$2503,$E$4:$E$2503,$E285,$Z$4:$Z$2503,"正常"))</f>
        <v/>
      </c>
      <c r="R285" s="26">
        <f>IF($G285="","",SUMIFS(费用台账!$I$4:$I$503,费用台账!$C$4:$C$503,$E285,费用台账!$J$4:$J$503,"是",费用台账!$K$4:$K$503,"正常"))</f>
        <v/>
      </c>
      <c r="S285" s="28">
        <f>IF($G285="","",COUNTIFS($E$4:$E$2503,$E285,$Z$4:$Z$2503,"正常",$Y$4:$Y$2503,"待补价"))</f>
        <v/>
      </c>
      <c r="T285" s="26">
        <f>IF($G285="","",SUMIFS($P$4:$P$2503,$E$4:$E$2503,$E285,$Z$4:$Z$2503,"正常",$A$4:$A$2503,"&lt;="&amp;$A285))</f>
        <v/>
      </c>
      <c r="U285" s="26">
        <f>IF($G285="","",IF(OR($S285&gt;0,$Q285=0,$R285=0,$Z285&lt;&gt;"正常"),0,ROUND($T285/$Q285*$R285,0)-ROUND(($T285-$P285)/$Q285*$R285,0)))</f>
        <v/>
      </c>
      <c r="V285" s="26">
        <f>IF($G285="","",ROUND($P285+$U285,0))</f>
        <v/>
      </c>
      <c r="W285" s="26">
        <f>IF($G285="","",IF(N($K285)=0,0,ROUND($V285/$K285,2)))</f>
        <v/>
      </c>
      <c r="X285" s="17" t="inlineStr">
        <is>
          <t>采购入库</t>
        </is>
      </c>
      <c r="Y285" s="17" t="inlineStr">
        <is>
          <t>待补价</t>
        </is>
      </c>
      <c r="Z285" s="17" t="inlineStr">
        <is>
          <t>正常</t>
        </is>
      </c>
      <c r="AA285" s="17" t="n"/>
      <c r="AB285" s="17" t="inlineStr">
        <is>
          <t>原表第 290 行</t>
        </is>
      </c>
      <c r="AC285" s="24">
        <f>IF($G285="","",IF($H285="※编码不在物料档案里","※物料编码不在档案里",IF(N($K285)&lt;=0,"※入库数量要大于 0",IF(AND($C285&lt;&gt;"",$C285&lt;=结账锁),"※日期早于已结账截止日，不能再录",IF(AND($L285=0,$X285="正常"),"※没填单价，价格状态请选「待补价」",IF(AND($S285&gt;0,$R285&gt;0),"△本批有 "&amp;$S285&amp;" 行没单价，整批运费先挂账没摊",IF(AND($B285&lt;&gt;"",COUNTIF($B$4:$B$2503,$B285)&gt;1),"※入库单号重复","")))))))</f>
        <v/>
      </c>
    </row>
    <row r="286">
      <c r="A286" s="24">
        <f>IF($G286="","",COUNTA($G$4:$G286))</f>
        <v/>
      </c>
      <c r="B286" s="17" t="n"/>
      <c r="C286" s="30" t="n">
        <v>46098</v>
      </c>
      <c r="D286" s="17" t="inlineStr">
        <is>
          <t>A国内</t>
        </is>
      </c>
      <c r="E286" s="17" t="inlineStr">
        <is>
          <t>MSMU9007511-202603</t>
        </is>
      </c>
      <c r="F286" s="17" t="inlineStr">
        <is>
          <t>烟台市金豪矿山机械有限公司</t>
        </is>
      </c>
      <c r="G286" s="17" t="inlineStr">
        <is>
          <t>JH0258</t>
        </is>
      </c>
      <c r="H286" s="24">
        <f>IF($G286="","",IFERROR(VLOOKUP($G286,物料档案!$A$4:$P$1203,3,0),"※编码不在物料档案里"))</f>
        <v/>
      </c>
      <c r="I286" s="24">
        <f>IF($G286="","",IFERROR(VLOOKUP($G286,物料档案!$A$4:$P$1203,4,0),"※编码不在物料档案里"))</f>
        <v/>
      </c>
      <c r="J286" s="24">
        <f>IF($G286="","",IFERROR(VLOOKUP($G286,物料档案!$A$4:$P$1203,5,0),"※编码不在物料档案里"))</f>
        <v/>
      </c>
      <c r="K286" s="23" t="n">
        <v>1</v>
      </c>
      <c r="L286" s="31" t="n"/>
      <c r="M286" s="24">
        <f>IF($G286="","",IF($D286="A国内","CNY","TZS"))</f>
        <v/>
      </c>
      <c r="N286" s="28">
        <f>IF($G286="","",IF($D286="A国内",汇率,1))</f>
        <v/>
      </c>
      <c r="O286" s="25">
        <f>IF($G286="","",ROUND(N($K286)*N($L286),2))</f>
        <v/>
      </c>
      <c r="P286" s="26">
        <f>IF($G286="","",ROUND($O286*$N286,0))</f>
        <v/>
      </c>
      <c r="Q286" s="26">
        <f>IF($G286="","",SUMIFS($P$4:$P$2503,$E$4:$E$2503,$E286,$Z$4:$Z$2503,"正常"))</f>
        <v/>
      </c>
      <c r="R286" s="26">
        <f>IF($G286="","",SUMIFS(费用台账!$I$4:$I$503,费用台账!$C$4:$C$503,$E286,费用台账!$J$4:$J$503,"是",费用台账!$K$4:$K$503,"正常"))</f>
        <v/>
      </c>
      <c r="S286" s="28">
        <f>IF($G286="","",COUNTIFS($E$4:$E$2503,$E286,$Z$4:$Z$2503,"正常",$Y$4:$Y$2503,"待补价"))</f>
        <v/>
      </c>
      <c r="T286" s="26">
        <f>IF($G286="","",SUMIFS($P$4:$P$2503,$E$4:$E$2503,$E286,$Z$4:$Z$2503,"正常",$A$4:$A$2503,"&lt;="&amp;$A286))</f>
        <v/>
      </c>
      <c r="U286" s="26">
        <f>IF($G286="","",IF(OR($S286&gt;0,$Q286=0,$R286=0,$Z286&lt;&gt;"正常"),0,ROUND($T286/$Q286*$R286,0)-ROUND(($T286-$P286)/$Q286*$R286,0)))</f>
        <v/>
      </c>
      <c r="V286" s="26">
        <f>IF($G286="","",ROUND($P286+$U286,0))</f>
        <v/>
      </c>
      <c r="W286" s="26">
        <f>IF($G286="","",IF(N($K286)=0,0,ROUND($V286/$K286,2)))</f>
        <v/>
      </c>
      <c r="X286" s="17" t="inlineStr">
        <is>
          <t>采购入库</t>
        </is>
      </c>
      <c r="Y286" s="17" t="inlineStr">
        <is>
          <t>待补价</t>
        </is>
      </c>
      <c r="Z286" s="17" t="inlineStr">
        <is>
          <t>正常</t>
        </is>
      </c>
      <c r="AA286" s="17" t="n"/>
      <c r="AB286" s="17" t="inlineStr">
        <is>
          <t>原表第 291 行</t>
        </is>
      </c>
      <c r="AC286" s="24">
        <f>IF($G286="","",IF($H286="※编码不在物料档案里","※物料编码不在档案里",IF(N($K286)&lt;=0,"※入库数量要大于 0",IF(AND($C286&lt;&gt;"",$C286&lt;=结账锁),"※日期早于已结账截止日，不能再录",IF(AND($L286=0,$X286="正常"),"※没填单价，价格状态请选「待补价」",IF(AND($S286&gt;0,$R286&gt;0),"△本批有 "&amp;$S286&amp;" 行没单价，整批运费先挂账没摊",IF(AND($B286&lt;&gt;"",COUNTIF($B$4:$B$2503,$B286)&gt;1),"※入库单号重复","")))))))</f>
        <v/>
      </c>
    </row>
    <row r="287">
      <c r="A287" s="24">
        <f>IF($G287="","",COUNTA($G$4:$G287))</f>
        <v/>
      </c>
      <c r="B287" s="17" t="n"/>
      <c r="C287" s="30" t="n">
        <v>46098</v>
      </c>
      <c r="D287" s="17" t="inlineStr">
        <is>
          <t>A国内</t>
        </is>
      </c>
      <c r="E287" s="17" t="inlineStr">
        <is>
          <t>MSMU9007511-202603</t>
        </is>
      </c>
      <c r="F287" s="17" t="inlineStr">
        <is>
          <t>烟台市金豪矿山机械有限公司</t>
        </is>
      </c>
      <c r="G287" s="17" t="inlineStr">
        <is>
          <t>JH0259</t>
        </is>
      </c>
      <c r="H287" s="24">
        <f>IF($G287="","",IFERROR(VLOOKUP($G287,物料档案!$A$4:$P$1203,3,0),"※编码不在物料档案里"))</f>
        <v/>
      </c>
      <c r="I287" s="24">
        <f>IF($G287="","",IFERROR(VLOOKUP($G287,物料档案!$A$4:$P$1203,4,0),"※编码不在物料档案里"))</f>
        <v/>
      </c>
      <c r="J287" s="24">
        <f>IF($G287="","",IFERROR(VLOOKUP($G287,物料档案!$A$4:$P$1203,5,0),"※编码不在物料档案里"))</f>
        <v/>
      </c>
      <c r="K287" s="23" t="n">
        <v>4</v>
      </c>
      <c r="L287" s="31" t="n"/>
      <c r="M287" s="24">
        <f>IF($G287="","",IF($D287="A国内","CNY","TZS"))</f>
        <v/>
      </c>
      <c r="N287" s="28">
        <f>IF($G287="","",IF($D287="A国内",汇率,1))</f>
        <v/>
      </c>
      <c r="O287" s="25">
        <f>IF($G287="","",ROUND(N($K287)*N($L287),2))</f>
        <v/>
      </c>
      <c r="P287" s="26">
        <f>IF($G287="","",ROUND($O287*$N287,0))</f>
        <v/>
      </c>
      <c r="Q287" s="26">
        <f>IF($G287="","",SUMIFS($P$4:$P$2503,$E$4:$E$2503,$E287,$Z$4:$Z$2503,"正常"))</f>
        <v/>
      </c>
      <c r="R287" s="26">
        <f>IF($G287="","",SUMIFS(费用台账!$I$4:$I$503,费用台账!$C$4:$C$503,$E287,费用台账!$J$4:$J$503,"是",费用台账!$K$4:$K$503,"正常"))</f>
        <v/>
      </c>
      <c r="S287" s="28">
        <f>IF($G287="","",COUNTIFS($E$4:$E$2503,$E287,$Z$4:$Z$2503,"正常",$Y$4:$Y$2503,"待补价"))</f>
        <v/>
      </c>
      <c r="T287" s="26">
        <f>IF($G287="","",SUMIFS($P$4:$P$2503,$E$4:$E$2503,$E287,$Z$4:$Z$2503,"正常",$A$4:$A$2503,"&lt;="&amp;$A287))</f>
        <v/>
      </c>
      <c r="U287" s="26">
        <f>IF($G287="","",IF(OR($S287&gt;0,$Q287=0,$R287=0,$Z287&lt;&gt;"正常"),0,ROUND($T287/$Q287*$R287,0)-ROUND(($T287-$P287)/$Q287*$R287,0)))</f>
        <v/>
      </c>
      <c r="V287" s="26">
        <f>IF($G287="","",ROUND($P287+$U287,0))</f>
        <v/>
      </c>
      <c r="W287" s="26">
        <f>IF($G287="","",IF(N($K287)=0,0,ROUND($V287/$K287,2)))</f>
        <v/>
      </c>
      <c r="X287" s="17" t="inlineStr">
        <is>
          <t>采购入库</t>
        </is>
      </c>
      <c r="Y287" s="17" t="inlineStr">
        <is>
          <t>待补价</t>
        </is>
      </c>
      <c r="Z287" s="17" t="inlineStr">
        <is>
          <t>正常</t>
        </is>
      </c>
      <c r="AA287" s="17" t="n"/>
      <c r="AB287" s="17" t="inlineStr">
        <is>
          <t>原表第 292 行</t>
        </is>
      </c>
      <c r="AC287" s="24">
        <f>IF($G287="","",IF($H287="※编码不在物料档案里","※物料编码不在档案里",IF(N($K287)&lt;=0,"※入库数量要大于 0",IF(AND($C287&lt;&gt;"",$C287&lt;=结账锁),"※日期早于已结账截止日，不能再录",IF(AND($L287=0,$X287="正常"),"※没填单价，价格状态请选「待补价」",IF(AND($S287&gt;0,$R287&gt;0),"△本批有 "&amp;$S287&amp;" 行没单价，整批运费先挂账没摊",IF(AND($B287&lt;&gt;"",COUNTIF($B$4:$B$2503,$B287)&gt;1),"※入库单号重复","")))))))</f>
        <v/>
      </c>
    </row>
    <row r="288">
      <c r="A288" s="24">
        <f>IF($G288="","",COUNTA($G$4:$G288))</f>
        <v/>
      </c>
      <c r="B288" s="17" t="n"/>
      <c r="C288" s="30" t="n">
        <v>46098</v>
      </c>
      <c r="D288" s="17" t="inlineStr">
        <is>
          <t>A国内</t>
        </is>
      </c>
      <c r="E288" s="17" t="inlineStr">
        <is>
          <t>MSMU9007511-202603</t>
        </is>
      </c>
      <c r="F288" s="17" t="inlineStr">
        <is>
          <t>烟台市金豪矿山机械有限公司</t>
        </is>
      </c>
      <c r="G288" s="17" t="inlineStr">
        <is>
          <t>JH0261</t>
        </is>
      </c>
      <c r="H288" s="24">
        <f>IF($G288="","",IFERROR(VLOOKUP($G288,物料档案!$A$4:$P$1203,3,0),"※编码不在物料档案里"))</f>
        <v/>
      </c>
      <c r="I288" s="24">
        <f>IF($G288="","",IFERROR(VLOOKUP($G288,物料档案!$A$4:$P$1203,4,0),"※编码不在物料档案里"))</f>
        <v/>
      </c>
      <c r="J288" s="24">
        <f>IF($G288="","",IFERROR(VLOOKUP($G288,物料档案!$A$4:$P$1203,5,0),"※编码不在物料档案里"))</f>
        <v/>
      </c>
      <c r="K288" s="23" t="n">
        <v>1</v>
      </c>
      <c r="L288" s="31" t="n"/>
      <c r="M288" s="24">
        <f>IF($G288="","",IF($D288="A国内","CNY","TZS"))</f>
        <v/>
      </c>
      <c r="N288" s="28">
        <f>IF($G288="","",IF($D288="A国内",汇率,1))</f>
        <v/>
      </c>
      <c r="O288" s="25">
        <f>IF($G288="","",ROUND(N($K288)*N($L288),2))</f>
        <v/>
      </c>
      <c r="P288" s="26">
        <f>IF($G288="","",ROUND($O288*$N288,0))</f>
        <v/>
      </c>
      <c r="Q288" s="26">
        <f>IF($G288="","",SUMIFS($P$4:$P$2503,$E$4:$E$2503,$E288,$Z$4:$Z$2503,"正常"))</f>
        <v/>
      </c>
      <c r="R288" s="26">
        <f>IF($G288="","",SUMIFS(费用台账!$I$4:$I$503,费用台账!$C$4:$C$503,$E288,费用台账!$J$4:$J$503,"是",费用台账!$K$4:$K$503,"正常"))</f>
        <v/>
      </c>
      <c r="S288" s="28">
        <f>IF($G288="","",COUNTIFS($E$4:$E$2503,$E288,$Z$4:$Z$2503,"正常",$Y$4:$Y$2503,"待补价"))</f>
        <v/>
      </c>
      <c r="T288" s="26">
        <f>IF($G288="","",SUMIFS($P$4:$P$2503,$E$4:$E$2503,$E288,$Z$4:$Z$2503,"正常",$A$4:$A$2503,"&lt;="&amp;$A288))</f>
        <v/>
      </c>
      <c r="U288" s="26">
        <f>IF($G288="","",IF(OR($S288&gt;0,$Q288=0,$R288=0,$Z288&lt;&gt;"正常"),0,ROUND($T288/$Q288*$R288,0)-ROUND(($T288-$P288)/$Q288*$R288,0)))</f>
        <v/>
      </c>
      <c r="V288" s="26">
        <f>IF($G288="","",ROUND($P288+$U288,0))</f>
        <v/>
      </c>
      <c r="W288" s="26">
        <f>IF($G288="","",IF(N($K288)=0,0,ROUND($V288/$K288,2)))</f>
        <v/>
      </c>
      <c r="X288" s="17" t="inlineStr">
        <is>
          <t>采购入库</t>
        </is>
      </c>
      <c r="Y288" s="17" t="inlineStr">
        <is>
          <t>待补价</t>
        </is>
      </c>
      <c r="Z288" s="17" t="inlineStr">
        <is>
          <t>正常</t>
        </is>
      </c>
      <c r="AA288" s="17" t="n"/>
      <c r="AB288" s="17" t="inlineStr">
        <is>
          <t>原表第 293 行</t>
        </is>
      </c>
      <c r="AC288" s="24">
        <f>IF($G288="","",IF($H288="※编码不在物料档案里","※物料编码不在档案里",IF(N($K288)&lt;=0,"※入库数量要大于 0",IF(AND($C288&lt;&gt;"",$C288&lt;=结账锁),"※日期早于已结账截止日，不能再录",IF(AND($L288=0,$X288="正常"),"※没填单价，价格状态请选「待补价」",IF(AND($S288&gt;0,$R288&gt;0),"△本批有 "&amp;$S288&amp;" 行没单价，整批运费先挂账没摊",IF(AND($B288&lt;&gt;"",COUNTIF($B$4:$B$2503,$B288)&gt;1),"※入库单号重复","")))))))</f>
        <v/>
      </c>
    </row>
    <row r="289">
      <c r="A289" s="24">
        <f>IF($G289="","",COUNTA($G$4:$G289))</f>
        <v/>
      </c>
      <c r="B289" s="17" t="n"/>
      <c r="C289" s="30" t="n">
        <v>46098</v>
      </c>
      <c r="D289" s="17" t="inlineStr">
        <is>
          <t>A国内</t>
        </is>
      </c>
      <c r="E289" s="17" t="inlineStr">
        <is>
          <t>MSMU9007511-202603</t>
        </is>
      </c>
      <c r="F289" s="17" t="inlineStr">
        <is>
          <t>烟台市金豪矿山机械有限公司</t>
        </is>
      </c>
      <c r="G289" s="17" t="inlineStr">
        <is>
          <t>JH0265</t>
        </is>
      </c>
      <c r="H289" s="24">
        <f>IF($G289="","",IFERROR(VLOOKUP($G289,物料档案!$A$4:$P$1203,3,0),"※编码不在物料档案里"))</f>
        <v/>
      </c>
      <c r="I289" s="24">
        <f>IF($G289="","",IFERROR(VLOOKUP($G289,物料档案!$A$4:$P$1203,4,0),"※编码不在物料档案里"))</f>
        <v/>
      </c>
      <c r="J289" s="24">
        <f>IF($G289="","",IFERROR(VLOOKUP($G289,物料档案!$A$4:$P$1203,5,0),"※编码不在物料档案里"))</f>
        <v/>
      </c>
      <c r="K289" s="23" t="n">
        <v>1</v>
      </c>
      <c r="L289" s="31" t="n"/>
      <c r="M289" s="24">
        <f>IF($G289="","",IF($D289="A国内","CNY","TZS"))</f>
        <v/>
      </c>
      <c r="N289" s="28">
        <f>IF($G289="","",IF($D289="A国内",汇率,1))</f>
        <v/>
      </c>
      <c r="O289" s="25">
        <f>IF($G289="","",ROUND(N($K289)*N($L289),2))</f>
        <v/>
      </c>
      <c r="P289" s="26">
        <f>IF($G289="","",ROUND($O289*$N289,0))</f>
        <v/>
      </c>
      <c r="Q289" s="26">
        <f>IF($G289="","",SUMIFS($P$4:$P$2503,$E$4:$E$2503,$E289,$Z$4:$Z$2503,"正常"))</f>
        <v/>
      </c>
      <c r="R289" s="26">
        <f>IF($G289="","",SUMIFS(费用台账!$I$4:$I$503,费用台账!$C$4:$C$503,$E289,费用台账!$J$4:$J$503,"是",费用台账!$K$4:$K$503,"正常"))</f>
        <v/>
      </c>
      <c r="S289" s="28">
        <f>IF($G289="","",COUNTIFS($E$4:$E$2503,$E289,$Z$4:$Z$2503,"正常",$Y$4:$Y$2503,"待补价"))</f>
        <v/>
      </c>
      <c r="T289" s="26">
        <f>IF($G289="","",SUMIFS($P$4:$P$2503,$E$4:$E$2503,$E289,$Z$4:$Z$2503,"正常",$A$4:$A$2503,"&lt;="&amp;$A289))</f>
        <v/>
      </c>
      <c r="U289" s="26">
        <f>IF($G289="","",IF(OR($S289&gt;0,$Q289=0,$R289=0,$Z289&lt;&gt;"正常"),0,ROUND($T289/$Q289*$R289,0)-ROUND(($T289-$P289)/$Q289*$R289,0)))</f>
        <v/>
      </c>
      <c r="V289" s="26">
        <f>IF($G289="","",ROUND($P289+$U289,0))</f>
        <v/>
      </c>
      <c r="W289" s="26">
        <f>IF($G289="","",IF(N($K289)=0,0,ROUND($V289/$K289,2)))</f>
        <v/>
      </c>
      <c r="X289" s="17" t="inlineStr">
        <is>
          <t>采购入库</t>
        </is>
      </c>
      <c r="Y289" s="17" t="inlineStr">
        <is>
          <t>待补价</t>
        </is>
      </c>
      <c r="Z289" s="17" t="inlineStr">
        <is>
          <t>正常</t>
        </is>
      </c>
      <c r="AA289" s="17" t="n"/>
      <c r="AB289" s="17" t="inlineStr">
        <is>
          <t>原表第 294 行</t>
        </is>
      </c>
      <c r="AC289" s="24">
        <f>IF($G289="","",IF($H289="※编码不在物料档案里","※物料编码不在档案里",IF(N($K289)&lt;=0,"※入库数量要大于 0",IF(AND($C289&lt;&gt;"",$C289&lt;=结账锁),"※日期早于已结账截止日，不能再录",IF(AND($L289=0,$X289="正常"),"※没填单价，价格状态请选「待补价」",IF(AND($S289&gt;0,$R289&gt;0),"△本批有 "&amp;$S289&amp;" 行没单价，整批运费先挂账没摊",IF(AND($B289&lt;&gt;"",COUNTIF($B$4:$B$2503,$B289)&gt;1),"※入库单号重复","")))))))</f>
        <v/>
      </c>
    </row>
    <row r="290">
      <c r="A290" s="24">
        <f>IF($G290="","",COUNTA($G$4:$G290))</f>
        <v/>
      </c>
      <c r="B290" s="17" t="n"/>
      <c r="C290" s="30" t="n">
        <v>46098</v>
      </c>
      <c r="D290" s="17" t="inlineStr">
        <is>
          <t>A国内</t>
        </is>
      </c>
      <c r="E290" s="17" t="inlineStr">
        <is>
          <t>MSMU9007511-202603</t>
        </is>
      </c>
      <c r="F290" s="17" t="inlineStr">
        <is>
          <t>烟台市金豪矿山机械有限公司</t>
        </is>
      </c>
      <c r="G290" s="17" t="inlineStr">
        <is>
          <t>JH0269</t>
        </is>
      </c>
      <c r="H290" s="24">
        <f>IF($G290="","",IFERROR(VLOOKUP($G290,物料档案!$A$4:$P$1203,3,0),"※编码不在物料档案里"))</f>
        <v/>
      </c>
      <c r="I290" s="24">
        <f>IF($G290="","",IFERROR(VLOOKUP($G290,物料档案!$A$4:$P$1203,4,0),"※编码不在物料档案里"))</f>
        <v/>
      </c>
      <c r="J290" s="24">
        <f>IF($G290="","",IFERROR(VLOOKUP($G290,物料档案!$A$4:$P$1203,5,0),"※编码不在物料档案里"))</f>
        <v/>
      </c>
      <c r="K290" s="23" t="n">
        <v>1</v>
      </c>
      <c r="L290" s="31" t="n"/>
      <c r="M290" s="24">
        <f>IF($G290="","",IF($D290="A国内","CNY","TZS"))</f>
        <v/>
      </c>
      <c r="N290" s="28">
        <f>IF($G290="","",IF($D290="A国内",汇率,1))</f>
        <v/>
      </c>
      <c r="O290" s="25">
        <f>IF($G290="","",ROUND(N($K290)*N($L290),2))</f>
        <v/>
      </c>
      <c r="P290" s="26">
        <f>IF($G290="","",ROUND($O290*$N290,0))</f>
        <v/>
      </c>
      <c r="Q290" s="26">
        <f>IF($G290="","",SUMIFS($P$4:$P$2503,$E$4:$E$2503,$E290,$Z$4:$Z$2503,"正常"))</f>
        <v/>
      </c>
      <c r="R290" s="26">
        <f>IF($G290="","",SUMIFS(费用台账!$I$4:$I$503,费用台账!$C$4:$C$503,$E290,费用台账!$J$4:$J$503,"是",费用台账!$K$4:$K$503,"正常"))</f>
        <v/>
      </c>
      <c r="S290" s="28">
        <f>IF($G290="","",COUNTIFS($E$4:$E$2503,$E290,$Z$4:$Z$2503,"正常",$Y$4:$Y$2503,"待补价"))</f>
        <v/>
      </c>
      <c r="T290" s="26">
        <f>IF($G290="","",SUMIFS($P$4:$P$2503,$E$4:$E$2503,$E290,$Z$4:$Z$2503,"正常",$A$4:$A$2503,"&lt;="&amp;$A290))</f>
        <v/>
      </c>
      <c r="U290" s="26">
        <f>IF($G290="","",IF(OR($S290&gt;0,$Q290=0,$R290=0,$Z290&lt;&gt;"正常"),0,ROUND($T290/$Q290*$R290,0)-ROUND(($T290-$P290)/$Q290*$R290,0)))</f>
        <v/>
      </c>
      <c r="V290" s="26">
        <f>IF($G290="","",ROUND($P290+$U290,0))</f>
        <v/>
      </c>
      <c r="W290" s="26">
        <f>IF($G290="","",IF(N($K290)=0,0,ROUND($V290/$K290,2)))</f>
        <v/>
      </c>
      <c r="X290" s="17" t="inlineStr">
        <is>
          <t>采购入库</t>
        </is>
      </c>
      <c r="Y290" s="17" t="inlineStr">
        <is>
          <t>待补价</t>
        </is>
      </c>
      <c r="Z290" s="17" t="inlineStr">
        <is>
          <t>正常</t>
        </is>
      </c>
      <c r="AA290" s="17" t="n"/>
      <c r="AB290" s="17" t="inlineStr">
        <is>
          <t>原表第 295 行</t>
        </is>
      </c>
      <c r="AC290" s="24">
        <f>IF($G290="","",IF($H290="※编码不在物料档案里","※物料编码不在档案里",IF(N($K290)&lt;=0,"※入库数量要大于 0",IF(AND($C290&lt;&gt;"",$C290&lt;=结账锁),"※日期早于已结账截止日，不能再录",IF(AND($L290=0,$X290="正常"),"※没填单价，价格状态请选「待补价」",IF(AND($S290&gt;0,$R290&gt;0),"△本批有 "&amp;$S290&amp;" 行没单价，整批运费先挂账没摊",IF(AND($B290&lt;&gt;"",COUNTIF($B$4:$B$2503,$B290)&gt;1),"※入库单号重复","")))))))</f>
        <v/>
      </c>
    </row>
    <row r="291">
      <c r="A291" s="24">
        <f>IF($G291="","",COUNTA($G$4:$G291))</f>
        <v/>
      </c>
      <c r="B291" s="17" t="n"/>
      <c r="C291" s="30" t="n">
        <v>46098</v>
      </c>
      <c r="D291" s="17" t="inlineStr">
        <is>
          <t>A国内</t>
        </is>
      </c>
      <c r="E291" s="17" t="inlineStr">
        <is>
          <t>MSMU9007511-202603</t>
        </is>
      </c>
      <c r="F291" s="17" t="inlineStr">
        <is>
          <t>烟台市金豪矿山机械有限公司</t>
        </is>
      </c>
      <c r="G291" s="17" t="inlineStr">
        <is>
          <t>JH0270</t>
        </is>
      </c>
      <c r="H291" s="24">
        <f>IF($G291="","",IFERROR(VLOOKUP($G291,物料档案!$A$4:$P$1203,3,0),"※编码不在物料档案里"))</f>
        <v/>
      </c>
      <c r="I291" s="24">
        <f>IF($G291="","",IFERROR(VLOOKUP($G291,物料档案!$A$4:$P$1203,4,0),"※编码不在物料档案里"))</f>
        <v/>
      </c>
      <c r="J291" s="24">
        <f>IF($G291="","",IFERROR(VLOOKUP($G291,物料档案!$A$4:$P$1203,5,0),"※编码不在物料档案里"))</f>
        <v/>
      </c>
      <c r="K291" s="23" t="n">
        <v>20</v>
      </c>
      <c r="L291" s="31" t="n"/>
      <c r="M291" s="24">
        <f>IF($G291="","",IF($D291="A国内","CNY","TZS"))</f>
        <v/>
      </c>
      <c r="N291" s="28">
        <f>IF($G291="","",IF($D291="A国内",汇率,1))</f>
        <v/>
      </c>
      <c r="O291" s="25">
        <f>IF($G291="","",ROUND(N($K291)*N($L291),2))</f>
        <v/>
      </c>
      <c r="P291" s="26">
        <f>IF($G291="","",ROUND($O291*$N291,0))</f>
        <v/>
      </c>
      <c r="Q291" s="26">
        <f>IF($G291="","",SUMIFS($P$4:$P$2503,$E$4:$E$2503,$E291,$Z$4:$Z$2503,"正常"))</f>
        <v/>
      </c>
      <c r="R291" s="26">
        <f>IF($G291="","",SUMIFS(费用台账!$I$4:$I$503,费用台账!$C$4:$C$503,$E291,费用台账!$J$4:$J$503,"是",费用台账!$K$4:$K$503,"正常"))</f>
        <v/>
      </c>
      <c r="S291" s="28">
        <f>IF($G291="","",COUNTIFS($E$4:$E$2503,$E291,$Z$4:$Z$2503,"正常",$Y$4:$Y$2503,"待补价"))</f>
        <v/>
      </c>
      <c r="T291" s="26">
        <f>IF($G291="","",SUMIFS($P$4:$P$2503,$E$4:$E$2503,$E291,$Z$4:$Z$2503,"正常",$A$4:$A$2503,"&lt;="&amp;$A291))</f>
        <v/>
      </c>
      <c r="U291" s="26">
        <f>IF($G291="","",IF(OR($S291&gt;0,$Q291=0,$R291=0,$Z291&lt;&gt;"正常"),0,ROUND($T291/$Q291*$R291,0)-ROUND(($T291-$P291)/$Q291*$R291,0)))</f>
        <v/>
      </c>
      <c r="V291" s="26">
        <f>IF($G291="","",ROUND($P291+$U291,0))</f>
        <v/>
      </c>
      <c r="W291" s="26">
        <f>IF($G291="","",IF(N($K291)=0,0,ROUND($V291/$K291,2)))</f>
        <v/>
      </c>
      <c r="X291" s="17" t="inlineStr">
        <is>
          <t>采购入库</t>
        </is>
      </c>
      <c r="Y291" s="17" t="inlineStr">
        <is>
          <t>待补价</t>
        </is>
      </c>
      <c r="Z291" s="17" t="inlineStr">
        <is>
          <t>正常</t>
        </is>
      </c>
      <c r="AA291" s="17" t="n"/>
      <c r="AB291" s="17" t="inlineStr">
        <is>
          <t>原表第 296 行</t>
        </is>
      </c>
      <c r="AC291" s="24">
        <f>IF($G291="","",IF($H291="※编码不在物料档案里","※物料编码不在档案里",IF(N($K291)&lt;=0,"※入库数量要大于 0",IF(AND($C291&lt;&gt;"",$C291&lt;=结账锁),"※日期早于已结账截止日，不能再录",IF(AND($L291=0,$X291="正常"),"※没填单价，价格状态请选「待补价」",IF(AND($S291&gt;0,$R291&gt;0),"△本批有 "&amp;$S291&amp;" 行没单价，整批运费先挂账没摊",IF(AND($B291&lt;&gt;"",COUNTIF($B$4:$B$2503,$B291)&gt;1),"※入库单号重复","")))))))</f>
        <v/>
      </c>
    </row>
    <row r="292">
      <c r="A292" s="24">
        <f>IF($G292="","",COUNTA($G$4:$G292))</f>
        <v/>
      </c>
      <c r="B292" s="17" t="n"/>
      <c r="C292" s="30" t="n">
        <v>46098</v>
      </c>
      <c r="D292" s="17" t="inlineStr">
        <is>
          <t>A国内</t>
        </is>
      </c>
      <c r="E292" s="17" t="inlineStr">
        <is>
          <t>MSMU9007511-202603</t>
        </is>
      </c>
      <c r="F292" s="17" t="inlineStr">
        <is>
          <t>烟台市金豪矿山机械有限公司</t>
        </is>
      </c>
      <c r="G292" s="17" t="inlineStr">
        <is>
          <t>JH0271</t>
        </is>
      </c>
      <c r="H292" s="24">
        <f>IF($G292="","",IFERROR(VLOOKUP($G292,物料档案!$A$4:$P$1203,3,0),"※编码不在物料档案里"))</f>
        <v/>
      </c>
      <c r="I292" s="24">
        <f>IF($G292="","",IFERROR(VLOOKUP($G292,物料档案!$A$4:$P$1203,4,0),"※编码不在物料档案里"))</f>
        <v/>
      </c>
      <c r="J292" s="24">
        <f>IF($G292="","",IFERROR(VLOOKUP($G292,物料档案!$A$4:$P$1203,5,0),"※编码不在物料档案里"))</f>
        <v/>
      </c>
      <c r="K292" s="23" t="n">
        <v>10</v>
      </c>
      <c r="L292" s="31" t="n"/>
      <c r="M292" s="24">
        <f>IF($G292="","",IF($D292="A国内","CNY","TZS"))</f>
        <v/>
      </c>
      <c r="N292" s="28">
        <f>IF($G292="","",IF($D292="A国内",汇率,1))</f>
        <v/>
      </c>
      <c r="O292" s="25">
        <f>IF($G292="","",ROUND(N($K292)*N($L292),2))</f>
        <v/>
      </c>
      <c r="P292" s="26">
        <f>IF($G292="","",ROUND($O292*$N292,0))</f>
        <v/>
      </c>
      <c r="Q292" s="26">
        <f>IF($G292="","",SUMIFS($P$4:$P$2503,$E$4:$E$2503,$E292,$Z$4:$Z$2503,"正常"))</f>
        <v/>
      </c>
      <c r="R292" s="26">
        <f>IF($G292="","",SUMIFS(费用台账!$I$4:$I$503,费用台账!$C$4:$C$503,$E292,费用台账!$J$4:$J$503,"是",费用台账!$K$4:$K$503,"正常"))</f>
        <v/>
      </c>
      <c r="S292" s="28">
        <f>IF($G292="","",COUNTIFS($E$4:$E$2503,$E292,$Z$4:$Z$2503,"正常",$Y$4:$Y$2503,"待补价"))</f>
        <v/>
      </c>
      <c r="T292" s="26">
        <f>IF($G292="","",SUMIFS($P$4:$P$2503,$E$4:$E$2503,$E292,$Z$4:$Z$2503,"正常",$A$4:$A$2503,"&lt;="&amp;$A292))</f>
        <v/>
      </c>
      <c r="U292" s="26">
        <f>IF($G292="","",IF(OR($S292&gt;0,$Q292=0,$R292=0,$Z292&lt;&gt;"正常"),0,ROUND($T292/$Q292*$R292,0)-ROUND(($T292-$P292)/$Q292*$R292,0)))</f>
        <v/>
      </c>
      <c r="V292" s="26">
        <f>IF($G292="","",ROUND($P292+$U292,0))</f>
        <v/>
      </c>
      <c r="W292" s="26">
        <f>IF($G292="","",IF(N($K292)=0,0,ROUND($V292/$K292,2)))</f>
        <v/>
      </c>
      <c r="X292" s="17" t="inlineStr">
        <is>
          <t>采购入库</t>
        </is>
      </c>
      <c r="Y292" s="17" t="inlineStr">
        <is>
          <t>待补价</t>
        </is>
      </c>
      <c r="Z292" s="17" t="inlineStr">
        <is>
          <t>正常</t>
        </is>
      </c>
      <c r="AA292" s="17" t="n"/>
      <c r="AB292" s="17" t="inlineStr">
        <is>
          <t>原表第 297 行</t>
        </is>
      </c>
      <c r="AC292" s="24">
        <f>IF($G292="","",IF($H292="※编码不在物料档案里","※物料编码不在档案里",IF(N($K292)&lt;=0,"※入库数量要大于 0",IF(AND($C292&lt;&gt;"",$C292&lt;=结账锁),"※日期早于已结账截止日，不能再录",IF(AND($L292=0,$X292="正常"),"※没填单价，价格状态请选「待补价」",IF(AND($S292&gt;0,$R292&gt;0),"△本批有 "&amp;$S292&amp;" 行没单价，整批运费先挂账没摊",IF(AND($B292&lt;&gt;"",COUNTIF($B$4:$B$2503,$B292)&gt;1),"※入库单号重复","")))))))</f>
        <v/>
      </c>
    </row>
    <row r="293">
      <c r="A293" s="24">
        <f>IF($G293="","",COUNTA($G$4:$G293))</f>
        <v/>
      </c>
      <c r="B293" s="17" t="n"/>
      <c r="C293" s="30" t="n">
        <v>46098</v>
      </c>
      <c r="D293" s="17" t="inlineStr">
        <is>
          <t>A国内</t>
        </is>
      </c>
      <c r="E293" s="17" t="inlineStr">
        <is>
          <t>MSMU9007511-202603</t>
        </is>
      </c>
      <c r="F293" s="17" t="inlineStr">
        <is>
          <t>烟台市金豪矿山机械有限公司</t>
        </is>
      </c>
      <c r="G293" s="17" t="inlineStr">
        <is>
          <t>JH0272</t>
        </is>
      </c>
      <c r="H293" s="24">
        <f>IF($G293="","",IFERROR(VLOOKUP($G293,物料档案!$A$4:$P$1203,3,0),"※编码不在物料档案里"))</f>
        <v/>
      </c>
      <c r="I293" s="24">
        <f>IF($G293="","",IFERROR(VLOOKUP($G293,物料档案!$A$4:$P$1203,4,0),"※编码不在物料档案里"))</f>
        <v/>
      </c>
      <c r="J293" s="24">
        <f>IF($G293="","",IFERROR(VLOOKUP($G293,物料档案!$A$4:$P$1203,5,0),"※编码不在物料档案里"))</f>
        <v/>
      </c>
      <c r="K293" s="23" t="n">
        <v>4</v>
      </c>
      <c r="L293" s="31" t="n"/>
      <c r="M293" s="24">
        <f>IF($G293="","",IF($D293="A国内","CNY","TZS"))</f>
        <v/>
      </c>
      <c r="N293" s="28">
        <f>IF($G293="","",IF($D293="A国内",汇率,1))</f>
        <v/>
      </c>
      <c r="O293" s="25">
        <f>IF($G293="","",ROUND(N($K293)*N($L293),2))</f>
        <v/>
      </c>
      <c r="P293" s="26">
        <f>IF($G293="","",ROUND($O293*$N293,0))</f>
        <v/>
      </c>
      <c r="Q293" s="26">
        <f>IF($G293="","",SUMIFS($P$4:$P$2503,$E$4:$E$2503,$E293,$Z$4:$Z$2503,"正常"))</f>
        <v/>
      </c>
      <c r="R293" s="26">
        <f>IF($G293="","",SUMIFS(费用台账!$I$4:$I$503,费用台账!$C$4:$C$503,$E293,费用台账!$J$4:$J$503,"是",费用台账!$K$4:$K$503,"正常"))</f>
        <v/>
      </c>
      <c r="S293" s="28">
        <f>IF($G293="","",COUNTIFS($E$4:$E$2503,$E293,$Z$4:$Z$2503,"正常",$Y$4:$Y$2503,"待补价"))</f>
        <v/>
      </c>
      <c r="T293" s="26">
        <f>IF($G293="","",SUMIFS($P$4:$P$2503,$E$4:$E$2503,$E293,$Z$4:$Z$2503,"正常",$A$4:$A$2503,"&lt;="&amp;$A293))</f>
        <v/>
      </c>
      <c r="U293" s="26">
        <f>IF($G293="","",IF(OR($S293&gt;0,$Q293=0,$R293=0,$Z293&lt;&gt;"正常"),0,ROUND($T293/$Q293*$R293,0)-ROUND(($T293-$P293)/$Q293*$R293,0)))</f>
        <v/>
      </c>
      <c r="V293" s="26">
        <f>IF($G293="","",ROUND($P293+$U293,0))</f>
        <v/>
      </c>
      <c r="W293" s="26">
        <f>IF($G293="","",IF(N($K293)=0,0,ROUND($V293/$K293,2)))</f>
        <v/>
      </c>
      <c r="X293" s="17" t="inlineStr">
        <is>
          <t>采购入库</t>
        </is>
      </c>
      <c r="Y293" s="17" t="inlineStr">
        <is>
          <t>待补价</t>
        </is>
      </c>
      <c r="Z293" s="17" t="inlineStr">
        <is>
          <t>正常</t>
        </is>
      </c>
      <c r="AA293" s="17" t="n"/>
      <c r="AB293" s="17" t="inlineStr">
        <is>
          <t>原表第 298 行</t>
        </is>
      </c>
      <c r="AC293" s="24">
        <f>IF($G293="","",IF($H293="※编码不在物料档案里","※物料编码不在档案里",IF(N($K293)&lt;=0,"※入库数量要大于 0",IF(AND($C293&lt;&gt;"",$C293&lt;=结账锁),"※日期早于已结账截止日，不能再录",IF(AND($L293=0,$X293="正常"),"※没填单价，价格状态请选「待补价」",IF(AND($S293&gt;0,$R293&gt;0),"△本批有 "&amp;$S293&amp;" 行没单价，整批运费先挂账没摊",IF(AND($B293&lt;&gt;"",COUNTIF($B$4:$B$2503,$B293)&gt;1),"※入库单号重复","")))))))</f>
        <v/>
      </c>
    </row>
    <row r="294">
      <c r="A294" s="24">
        <f>IF($G294="","",COUNTA($G$4:$G294))</f>
        <v/>
      </c>
      <c r="B294" s="17" t="n"/>
      <c r="C294" s="30" t="n">
        <v>46098</v>
      </c>
      <c r="D294" s="17" t="inlineStr">
        <is>
          <t>A国内</t>
        </is>
      </c>
      <c r="E294" s="17" t="inlineStr">
        <is>
          <t>MSMU9007511-202603</t>
        </is>
      </c>
      <c r="F294" s="17" t="inlineStr">
        <is>
          <t>烟台市金豪矿山机械有限公司</t>
        </is>
      </c>
      <c r="G294" s="17" t="inlineStr">
        <is>
          <t>JH0273</t>
        </is>
      </c>
      <c r="H294" s="24">
        <f>IF($G294="","",IFERROR(VLOOKUP($G294,物料档案!$A$4:$P$1203,3,0),"※编码不在物料档案里"))</f>
        <v/>
      </c>
      <c r="I294" s="24">
        <f>IF($G294="","",IFERROR(VLOOKUP($G294,物料档案!$A$4:$P$1203,4,0),"※编码不在物料档案里"))</f>
        <v/>
      </c>
      <c r="J294" s="24">
        <f>IF($G294="","",IFERROR(VLOOKUP($G294,物料档案!$A$4:$P$1203,5,0),"※编码不在物料档案里"))</f>
        <v/>
      </c>
      <c r="K294" s="23" t="n">
        <v>20</v>
      </c>
      <c r="L294" s="31" t="n"/>
      <c r="M294" s="24">
        <f>IF($G294="","",IF($D294="A国内","CNY","TZS"))</f>
        <v/>
      </c>
      <c r="N294" s="28">
        <f>IF($G294="","",IF($D294="A国内",汇率,1))</f>
        <v/>
      </c>
      <c r="O294" s="25">
        <f>IF($G294="","",ROUND(N($K294)*N($L294),2))</f>
        <v/>
      </c>
      <c r="P294" s="26">
        <f>IF($G294="","",ROUND($O294*$N294,0))</f>
        <v/>
      </c>
      <c r="Q294" s="26">
        <f>IF($G294="","",SUMIFS($P$4:$P$2503,$E$4:$E$2503,$E294,$Z$4:$Z$2503,"正常"))</f>
        <v/>
      </c>
      <c r="R294" s="26">
        <f>IF($G294="","",SUMIFS(费用台账!$I$4:$I$503,费用台账!$C$4:$C$503,$E294,费用台账!$J$4:$J$503,"是",费用台账!$K$4:$K$503,"正常"))</f>
        <v/>
      </c>
      <c r="S294" s="28">
        <f>IF($G294="","",COUNTIFS($E$4:$E$2503,$E294,$Z$4:$Z$2503,"正常",$Y$4:$Y$2503,"待补价"))</f>
        <v/>
      </c>
      <c r="T294" s="26">
        <f>IF($G294="","",SUMIFS($P$4:$P$2503,$E$4:$E$2503,$E294,$Z$4:$Z$2503,"正常",$A$4:$A$2503,"&lt;="&amp;$A294))</f>
        <v/>
      </c>
      <c r="U294" s="26">
        <f>IF($G294="","",IF(OR($S294&gt;0,$Q294=0,$R294=0,$Z294&lt;&gt;"正常"),0,ROUND($T294/$Q294*$R294,0)-ROUND(($T294-$P294)/$Q294*$R294,0)))</f>
        <v/>
      </c>
      <c r="V294" s="26">
        <f>IF($G294="","",ROUND($P294+$U294,0))</f>
        <v/>
      </c>
      <c r="W294" s="26">
        <f>IF($G294="","",IF(N($K294)=0,0,ROUND($V294/$K294,2)))</f>
        <v/>
      </c>
      <c r="X294" s="17" t="inlineStr">
        <is>
          <t>采购入库</t>
        </is>
      </c>
      <c r="Y294" s="17" t="inlineStr">
        <is>
          <t>待补价</t>
        </is>
      </c>
      <c r="Z294" s="17" t="inlineStr">
        <is>
          <t>正常</t>
        </is>
      </c>
      <c r="AA294" s="17" t="n"/>
      <c r="AB294" s="17" t="inlineStr">
        <is>
          <t>原表第 299 行</t>
        </is>
      </c>
      <c r="AC294" s="24">
        <f>IF($G294="","",IF($H294="※编码不在物料档案里","※物料编码不在档案里",IF(N($K294)&lt;=0,"※入库数量要大于 0",IF(AND($C294&lt;&gt;"",$C294&lt;=结账锁),"※日期早于已结账截止日，不能再录",IF(AND($L294=0,$X294="正常"),"※没填单价，价格状态请选「待补价」",IF(AND($S294&gt;0,$R294&gt;0),"△本批有 "&amp;$S294&amp;" 行没单价，整批运费先挂账没摊",IF(AND($B294&lt;&gt;"",COUNTIF($B$4:$B$2503,$B294)&gt;1),"※入库单号重复","")))))))</f>
        <v/>
      </c>
    </row>
    <row r="295">
      <c r="A295" s="24">
        <f>IF($G295="","",COUNTA($G$4:$G295))</f>
        <v/>
      </c>
      <c r="B295" s="17" t="n"/>
      <c r="C295" s="30" t="n">
        <v>46098</v>
      </c>
      <c r="D295" s="17" t="inlineStr">
        <is>
          <t>A国内</t>
        </is>
      </c>
      <c r="E295" s="17" t="inlineStr">
        <is>
          <t>MSMU9007511-202603</t>
        </is>
      </c>
      <c r="F295" s="17" t="inlineStr">
        <is>
          <t>烟台市金豪矿山机械有限公司</t>
        </is>
      </c>
      <c r="G295" s="17" t="inlineStr">
        <is>
          <t>JH0274</t>
        </is>
      </c>
      <c r="H295" s="24">
        <f>IF($G295="","",IFERROR(VLOOKUP($G295,物料档案!$A$4:$P$1203,3,0),"※编码不在物料档案里"))</f>
        <v/>
      </c>
      <c r="I295" s="24">
        <f>IF($G295="","",IFERROR(VLOOKUP($G295,物料档案!$A$4:$P$1203,4,0),"※编码不在物料档案里"))</f>
        <v/>
      </c>
      <c r="J295" s="24">
        <f>IF($G295="","",IFERROR(VLOOKUP($G295,物料档案!$A$4:$P$1203,5,0),"※编码不在物料档案里"))</f>
        <v/>
      </c>
      <c r="K295" s="23" t="n">
        <v>10</v>
      </c>
      <c r="L295" s="31" t="n"/>
      <c r="M295" s="24">
        <f>IF($G295="","",IF($D295="A国内","CNY","TZS"))</f>
        <v/>
      </c>
      <c r="N295" s="28">
        <f>IF($G295="","",IF($D295="A国内",汇率,1))</f>
        <v/>
      </c>
      <c r="O295" s="25">
        <f>IF($G295="","",ROUND(N($K295)*N($L295),2))</f>
        <v/>
      </c>
      <c r="P295" s="26">
        <f>IF($G295="","",ROUND($O295*$N295,0))</f>
        <v/>
      </c>
      <c r="Q295" s="26">
        <f>IF($G295="","",SUMIFS($P$4:$P$2503,$E$4:$E$2503,$E295,$Z$4:$Z$2503,"正常"))</f>
        <v/>
      </c>
      <c r="R295" s="26">
        <f>IF($G295="","",SUMIFS(费用台账!$I$4:$I$503,费用台账!$C$4:$C$503,$E295,费用台账!$J$4:$J$503,"是",费用台账!$K$4:$K$503,"正常"))</f>
        <v/>
      </c>
      <c r="S295" s="28">
        <f>IF($G295="","",COUNTIFS($E$4:$E$2503,$E295,$Z$4:$Z$2503,"正常",$Y$4:$Y$2503,"待补价"))</f>
        <v/>
      </c>
      <c r="T295" s="26">
        <f>IF($G295="","",SUMIFS($P$4:$P$2503,$E$4:$E$2503,$E295,$Z$4:$Z$2503,"正常",$A$4:$A$2503,"&lt;="&amp;$A295))</f>
        <v/>
      </c>
      <c r="U295" s="26">
        <f>IF($G295="","",IF(OR($S295&gt;0,$Q295=0,$R295=0,$Z295&lt;&gt;"正常"),0,ROUND($T295/$Q295*$R295,0)-ROUND(($T295-$P295)/$Q295*$R295,0)))</f>
        <v/>
      </c>
      <c r="V295" s="26">
        <f>IF($G295="","",ROUND($P295+$U295,0))</f>
        <v/>
      </c>
      <c r="W295" s="26">
        <f>IF($G295="","",IF(N($K295)=0,0,ROUND($V295/$K295,2)))</f>
        <v/>
      </c>
      <c r="X295" s="17" t="inlineStr">
        <is>
          <t>采购入库</t>
        </is>
      </c>
      <c r="Y295" s="17" t="inlineStr">
        <is>
          <t>待补价</t>
        </is>
      </c>
      <c r="Z295" s="17" t="inlineStr">
        <is>
          <t>正常</t>
        </is>
      </c>
      <c r="AA295" s="17" t="n"/>
      <c r="AB295" s="17" t="inlineStr">
        <is>
          <t>原表第 300 行</t>
        </is>
      </c>
      <c r="AC295" s="24">
        <f>IF($G295="","",IF($H295="※编码不在物料档案里","※物料编码不在档案里",IF(N($K295)&lt;=0,"※入库数量要大于 0",IF(AND($C295&lt;&gt;"",$C295&lt;=结账锁),"※日期早于已结账截止日，不能再录",IF(AND($L295=0,$X295="正常"),"※没填单价，价格状态请选「待补价」",IF(AND($S295&gt;0,$R295&gt;0),"△本批有 "&amp;$S295&amp;" 行没单价，整批运费先挂账没摊",IF(AND($B295&lt;&gt;"",COUNTIF($B$4:$B$2503,$B295)&gt;1),"※入库单号重复","")))))))</f>
        <v/>
      </c>
    </row>
    <row r="296">
      <c r="A296" s="24">
        <f>IF($G296="","",COUNTA($G$4:$G296))</f>
        <v/>
      </c>
      <c r="B296" s="17" t="n"/>
      <c r="C296" s="30" t="n">
        <v>46098</v>
      </c>
      <c r="D296" s="17" t="inlineStr">
        <is>
          <t>A国内</t>
        </is>
      </c>
      <c r="E296" s="17" t="inlineStr">
        <is>
          <t>MSMU9007511-202603</t>
        </is>
      </c>
      <c r="F296" s="17" t="inlineStr">
        <is>
          <t>烟台市金豪矿山机械有限公司</t>
        </is>
      </c>
      <c r="G296" s="17" t="inlineStr">
        <is>
          <t>JH0275</t>
        </is>
      </c>
      <c r="H296" s="24">
        <f>IF($G296="","",IFERROR(VLOOKUP($G296,物料档案!$A$4:$P$1203,3,0),"※编码不在物料档案里"))</f>
        <v/>
      </c>
      <c r="I296" s="24">
        <f>IF($G296="","",IFERROR(VLOOKUP($G296,物料档案!$A$4:$P$1203,4,0),"※编码不在物料档案里"))</f>
        <v/>
      </c>
      <c r="J296" s="24">
        <f>IF($G296="","",IFERROR(VLOOKUP($G296,物料档案!$A$4:$P$1203,5,0),"※编码不在物料档案里"))</f>
        <v/>
      </c>
      <c r="K296" s="23" t="n">
        <v>10</v>
      </c>
      <c r="L296" s="31" t="n"/>
      <c r="M296" s="24">
        <f>IF($G296="","",IF($D296="A国内","CNY","TZS"))</f>
        <v/>
      </c>
      <c r="N296" s="28">
        <f>IF($G296="","",IF($D296="A国内",汇率,1))</f>
        <v/>
      </c>
      <c r="O296" s="25">
        <f>IF($G296="","",ROUND(N($K296)*N($L296),2))</f>
        <v/>
      </c>
      <c r="P296" s="26">
        <f>IF($G296="","",ROUND($O296*$N296,0))</f>
        <v/>
      </c>
      <c r="Q296" s="26">
        <f>IF($G296="","",SUMIFS($P$4:$P$2503,$E$4:$E$2503,$E296,$Z$4:$Z$2503,"正常"))</f>
        <v/>
      </c>
      <c r="R296" s="26">
        <f>IF($G296="","",SUMIFS(费用台账!$I$4:$I$503,费用台账!$C$4:$C$503,$E296,费用台账!$J$4:$J$503,"是",费用台账!$K$4:$K$503,"正常"))</f>
        <v/>
      </c>
      <c r="S296" s="28">
        <f>IF($G296="","",COUNTIFS($E$4:$E$2503,$E296,$Z$4:$Z$2503,"正常",$Y$4:$Y$2503,"待补价"))</f>
        <v/>
      </c>
      <c r="T296" s="26">
        <f>IF($G296="","",SUMIFS($P$4:$P$2503,$E$4:$E$2503,$E296,$Z$4:$Z$2503,"正常",$A$4:$A$2503,"&lt;="&amp;$A296))</f>
        <v/>
      </c>
      <c r="U296" s="26">
        <f>IF($G296="","",IF(OR($S296&gt;0,$Q296=0,$R296=0,$Z296&lt;&gt;"正常"),0,ROUND($T296/$Q296*$R296,0)-ROUND(($T296-$P296)/$Q296*$R296,0)))</f>
        <v/>
      </c>
      <c r="V296" s="26">
        <f>IF($G296="","",ROUND($P296+$U296,0))</f>
        <v/>
      </c>
      <c r="W296" s="26">
        <f>IF($G296="","",IF(N($K296)=0,0,ROUND($V296/$K296,2)))</f>
        <v/>
      </c>
      <c r="X296" s="17" t="inlineStr">
        <is>
          <t>采购入库</t>
        </is>
      </c>
      <c r="Y296" s="17" t="inlineStr">
        <is>
          <t>待补价</t>
        </is>
      </c>
      <c r="Z296" s="17" t="inlineStr">
        <is>
          <t>正常</t>
        </is>
      </c>
      <c r="AA296" s="17" t="n"/>
      <c r="AB296" s="17" t="inlineStr">
        <is>
          <t>原表第 301 行</t>
        </is>
      </c>
      <c r="AC296" s="24">
        <f>IF($G296="","",IF($H296="※编码不在物料档案里","※物料编码不在档案里",IF(N($K296)&lt;=0,"※入库数量要大于 0",IF(AND($C296&lt;&gt;"",$C296&lt;=结账锁),"※日期早于已结账截止日，不能再录",IF(AND($L296=0,$X296="正常"),"※没填单价，价格状态请选「待补价」",IF(AND($S296&gt;0,$R296&gt;0),"△本批有 "&amp;$S296&amp;" 行没单价，整批运费先挂账没摊",IF(AND($B296&lt;&gt;"",COUNTIF($B$4:$B$2503,$B296)&gt;1),"※入库单号重复","")))))))</f>
        <v/>
      </c>
    </row>
    <row r="297">
      <c r="A297" s="24">
        <f>IF($G297="","",COUNTA($G$4:$G297))</f>
        <v/>
      </c>
      <c r="B297" s="17" t="n"/>
      <c r="C297" s="30" t="n">
        <v>46098</v>
      </c>
      <c r="D297" s="17" t="inlineStr">
        <is>
          <t>A国内</t>
        </is>
      </c>
      <c r="E297" s="17" t="inlineStr">
        <is>
          <t>MSMU9007511-202603</t>
        </is>
      </c>
      <c r="F297" s="17" t="inlineStr">
        <is>
          <t>烟台市金豪矿山机械有限公司</t>
        </is>
      </c>
      <c r="G297" s="17" t="inlineStr">
        <is>
          <t>JH0276</t>
        </is>
      </c>
      <c r="H297" s="24">
        <f>IF($G297="","",IFERROR(VLOOKUP($G297,物料档案!$A$4:$P$1203,3,0),"※编码不在物料档案里"))</f>
        <v/>
      </c>
      <c r="I297" s="24">
        <f>IF($G297="","",IFERROR(VLOOKUP($G297,物料档案!$A$4:$P$1203,4,0),"※编码不在物料档案里"))</f>
        <v/>
      </c>
      <c r="J297" s="24">
        <f>IF($G297="","",IFERROR(VLOOKUP($G297,物料档案!$A$4:$P$1203,5,0),"※编码不在物料档案里"))</f>
        <v/>
      </c>
      <c r="K297" s="23" t="n">
        <v>6</v>
      </c>
      <c r="L297" s="31" t="n"/>
      <c r="M297" s="24">
        <f>IF($G297="","",IF($D297="A国内","CNY","TZS"))</f>
        <v/>
      </c>
      <c r="N297" s="28">
        <f>IF($G297="","",IF($D297="A国内",汇率,1))</f>
        <v/>
      </c>
      <c r="O297" s="25">
        <f>IF($G297="","",ROUND(N($K297)*N($L297),2))</f>
        <v/>
      </c>
      <c r="P297" s="26">
        <f>IF($G297="","",ROUND($O297*$N297,0))</f>
        <v/>
      </c>
      <c r="Q297" s="26">
        <f>IF($G297="","",SUMIFS($P$4:$P$2503,$E$4:$E$2503,$E297,$Z$4:$Z$2503,"正常"))</f>
        <v/>
      </c>
      <c r="R297" s="26">
        <f>IF($G297="","",SUMIFS(费用台账!$I$4:$I$503,费用台账!$C$4:$C$503,$E297,费用台账!$J$4:$J$503,"是",费用台账!$K$4:$K$503,"正常"))</f>
        <v/>
      </c>
      <c r="S297" s="28">
        <f>IF($G297="","",COUNTIFS($E$4:$E$2503,$E297,$Z$4:$Z$2503,"正常",$Y$4:$Y$2503,"待补价"))</f>
        <v/>
      </c>
      <c r="T297" s="26">
        <f>IF($G297="","",SUMIFS($P$4:$P$2503,$E$4:$E$2503,$E297,$Z$4:$Z$2503,"正常",$A$4:$A$2503,"&lt;="&amp;$A297))</f>
        <v/>
      </c>
      <c r="U297" s="26">
        <f>IF($G297="","",IF(OR($S297&gt;0,$Q297=0,$R297=0,$Z297&lt;&gt;"正常"),0,ROUND($T297/$Q297*$R297,0)-ROUND(($T297-$P297)/$Q297*$R297,0)))</f>
        <v/>
      </c>
      <c r="V297" s="26">
        <f>IF($G297="","",ROUND($P297+$U297,0))</f>
        <v/>
      </c>
      <c r="W297" s="26">
        <f>IF($G297="","",IF(N($K297)=0,0,ROUND($V297/$K297,2)))</f>
        <v/>
      </c>
      <c r="X297" s="17" t="inlineStr">
        <is>
          <t>采购入库</t>
        </is>
      </c>
      <c r="Y297" s="17" t="inlineStr">
        <is>
          <t>待补价</t>
        </is>
      </c>
      <c r="Z297" s="17" t="inlineStr">
        <is>
          <t>正常</t>
        </is>
      </c>
      <c r="AA297" s="17" t="n"/>
      <c r="AB297" s="17" t="inlineStr">
        <is>
          <t>原表第 302 行</t>
        </is>
      </c>
      <c r="AC297" s="24">
        <f>IF($G297="","",IF($H297="※编码不在物料档案里","※物料编码不在档案里",IF(N($K297)&lt;=0,"※入库数量要大于 0",IF(AND($C297&lt;&gt;"",$C297&lt;=结账锁),"※日期早于已结账截止日，不能再录",IF(AND($L297=0,$X297="正常"),"※没填单价，价格状态请选「待补价」",IF(AND($S297&gt;0,$R297&gt;0),"△本批有 "&amp;$S297&amp;" 行没单价，整批运费先挂账没摊",IF(AND($B297&lt;&gt;"",COUNTIF($B$4:$B$2503,$B297)&gt;1),"※入库单号重复","")))))))</f>
        <v/>
      </c>
    </row>
    <row r="298">
      <c r="A298" s="24">
        <f>IF($G298="","",COUNTA($G$4:$G298))</f>
        <v/>
      </c>
      <c r="B298" s="17" t="n"/>
      <c r="C298" s="30" t="n">
        <v>46098</v>
      </c>
      <c r="D298" s="17" t="inlineStr">
        <is>
          <t>A国内</t>
        </is>
      </c>
      <c r="E298" s="17" t="inlineStr">
        <is>
          <t>MSMU9007511-202603</t>
        </is>
      </c>
      <c r="F298" s="17" t="inlineStr">
        <is>
          <t>烟台市金豪矿山机械有限公司</t>
        </is>
      </c>
      <c r="G298" s="17" t="inlineStr">
        <is>
          <t>JH0277</t>
        </is>
      </c>
      <c r="H298" s="24">
        <f>IF($G298="","",IFERROR(VLOOKUP($G298,物料档案!$A$4:$P$1203,3,0),"※编码不在物料档案里"))</f>
        <v/>
      </c>
      <c r="I298" s="24">
        <f>IF($G298="","",IFERROR(VLOOKUP($G298,物料档案!$A$4:$P$1203,4,0),"※编码不在物料档案里"))</f>
        <v/>
      </c>
      <c r="J298" s="24">
        <f>IF($G298="","",IFERROR(VLOOKUP($G298,物料档案!$A$4:$P$1203,5,0),"※编码不在物料档案里"))</f>
        <v/>
      </c>
      <c r="K298" s="23" t="n">
        <v>3</v>
      </c>
      <c r="L298" s="31" t="n"/>
      <c r="M298" s="24">
        <f>IF($G298="","",IF($D298="A国内","CNY","TZS"))</f>
        <v/>
      </c>
      <c r="N298" s="28">
        <f>IF($G298="","",IF($D298="A国内",汇率,1))</f>
        <v/>
      </c>
      <c r="O298" s="25">
        <f>IF($G298="","",ROUND(N($K298)*N($L298),2))</f>
        <v/>
      </c>
      <c r="P298" s="26">
        <f>IF($G298="","",ROUND($O298*$N298,0))</f>
        <v/>
      </c>
      <c r="Q298" s="26">
        <f>IF($G298="","",SUMIFS($P$4:$P$2503,$E$4:$E$2503,$E298,$Z$4:$Z$2503,"正常"))</f>
        <v/>
      </c>
      <c r="R298" s="26">
        <f>IF($G298="","",SUMIFS(费用台账!$I$4:$I$503,费用台账!$C$4:$C$503,$E298,费用台账!$J$4:$J$503,"是",费用台账!$K$4:$K$503,"正常"))</f>
        <v/>
      </c>
      <c r="S298" s="28">
        <f>IF($G298="","",COUNTIFS($E$4:$E$2503,$E298,$Z$4:$Z$2503,"正常",$Y$4:$Y$2503,"待补价"))</f>
        <v/>
      </c>
      <c r="T298" s="26">
        <f>IF($G298="","",SUMIFS($P$4:$P$2503,$E$4:$E$2503,$E298,$Z$4:$Z$2503,"正常",$A$4:$A$2503,"&lt;="&amp;$A298))</f>
        <v/>
      </c>
      <c r="U298" s="26">
        <f>IF($G298="","",IF(OR($S298&gt;0,$Q298=0,$R298=0,$Z298&lt;&gt;"正常"),0,ROUND($T298/$Q298*$R298,0)-ROUND(($T298-$P298)/$Q298*$R298,0)))</f>
        <v/>
      </c>
      <c r="V298" s="26">
        <f>IF($G298="","",ROUND($P298+$U298,0))</f>
        <v/>
      </c>
      <c r="W298" s="26">
        <f>IF($G298="","",IF(N($K298)=0,0,ROUND($V298/$K298,2)))</f>
        <v/>
      </c>
      <c r="X298" s="17" t="inlineStr">
        <is>
          <t>采购入库</t>
        </is>
      </c>
      <c r="Y298" s="17" t="inlineStr">
        <is>
          <t>待补价</t>
        </is>
      </c>
      <c r="Z298" s="17" t="inlineStr">
        <is>
          <t>正常</t>
        </is>
      </c>
      <c r="AA298" s="17" t="n"/>
      <c r="AB298" s="17" t="inlineStr">
        <is>
          <t>原表第 303 行</t>
        </is>
      </c>
      <c r="AC298" s="24">
        <f>IF($G298="","",IF($H298="※编码不在物料档案里","※物料编码不在档案里",IF(N($K298)&lt;=0,"※入库数量要大于 0",IF(AND($C298&lt;&gt;"",$C298&lt;=结账锁),"※日期早于已结账截止日，不能再录",IF(AND($L298=0,$X298="正常"),"※没填单价，价格状态请选「待补价」",IF(AND($S298&gt;0,$R298&gt;0),"△本批有 "&amp;$S298&amp;" 行没单价，整批运费先挂账没摊",IF(AND($B298&lt;&gt;"",COUNTIF($B$4:$B$2503,$B298)&gt;1),"※入库单号重复","")))))))</f>
        <v/>
      </c>
    </row>
    <row r="299">
      <c r="A299" s="24">
        <f>IF($G299="","",COUNTA($G$4:$G299))</f>
        <v/>
      </c>
      <c r="B299" s="17" t="n"/>
      <c r="C299" s="30" t="n">
        <v>46098</v>
      </c>
      <c r="D299" s="17" t="inlineStr">
        <is>
          <t>A国内</t>
        </is>
      </c>
      <c r="E299" s="17" t="inlineStr">
        <is>
          <t>MSMU9007511-202603</t>
        </is>
      </c>
      <c r="F299" s="17" t="inlineStr">
        <is>
          <t>烟台市金豪矿山机械有限公司</t>
        </is>
      </c>
      <c r="G299" s="17" t="inlineStr">
        <is>
          <t>JH0278</t>
        </is>
      </c>
      <c r="H299" s="24">
        <f>IF($G299="","",IFERROR(VLOOKUP($G299,物料档案!$A$4:$P$1203,3,0),"※编码不在物料档案里"))</f>
        <v/>
      </c>
      <c r="I299" s="24">
        <f>IF($G299="","",IFERROR(VLOOKUP($G299,物料档案!$A$4:$P$1203,4,0),"※编码不在物料档案里"))</f>
        <v/>
      </c>
      <c r="J299" s="24">
        <f>IF($G299="","",IFERROR(VLOOKUP($G299,物料档案!$A$4:$P$1203,5,0),"※编码不在物料档案里"))</f>
        <v/>
      </c>
      <c r="K299" s="23" t="n">
        <v>2</v>
      </c>
      <c r="L299" s="31" t="n">
        <v>27000</v>
      </c>
      <c r="M299" s="24">
        <f>IF($G299="","",IF($D299="A国内","CNY","TZS"))</f>
        <v/>
      </c>
      <c r="N299" s="28">
        <f>IF($G299="","",IF($D299="A国内",汇率,1))</f>
        <v/>
      </c>
      <c r="O299" s="25">
        <f>IF($G299="","",ROUND(N($K299)*N($L299),2))</f>
        <v/>
      </c>
      <c r="P299" s="26">
        <f>IF($G299="","",ROUND($O299*$N299,0))</f>
        <v/>
      </c>
      <c r="Q299" s="26">
        <f>IF($G299="","",SUMIFS($P$4:$P$2503,$E$4:$E$2503,$E299,$Z$4:$Z$2503,"正常"))</f>
        <v/>
      </c>
      <c r="R299" s="26">
        <f>IF($G299="","",SUMIFS(费用台账!$I$4:$I$503,费用台账!$C$4:$C$503,$E299,费用台账!$J$4:$J$503,"是",费用台账!$K$4:$K$503,"正常"))</f>
        <v/>
      </c>
      <c r="S299" s="28">
        <f>IF($G299="","",COUNTIFS($E$4:$E$2503,$E299,$Z$4:$Z$2503,"正常",$Y$4:$Y$2503,"待补价"))</f>
        <v/>
      </c>
      <c r="T299" s="26">
        <f>IF($G299="","",SUMIFS($P$4:$P$2503,$E$4:$E$2503,$E299,$Z$4:$Z$2503,"正常",$A$4:$A$2503,"&lt;="&amp;$A299))</f>
        <v/>
      </c>
      <c r="U299" s="26">
        <f>IF($G299="","",IF(OR($S299&gt;0,$Q299=0,$R299=0,$Z299&lt;&gt;"正常"),0,ROUND($T299/$Q299*$R299,0)-ROUND(($T299-$P299)/$Q299*$R299,0)))</f>
        <v/>
      </c>
      <c r="V299" s="26">
        <f>IF($G299="","",ROUND($P299+$U299,0))</f>
        <v/>
      </c>
      <c r="W299" s="26">
        <f>IF($G299="","",IF(N($K299)=0,0,ROUND($V299/$K299,2)))</f>
        <v/>
      </c>
      <c r="X299" s="17" t="inlineStr">
        <is>
          <t>采购入库</t>
        </is>
      </c>
      <c r="Y299" s="17" t="inlineStr">
        <is>
          <t>正常</t>
        </is>
      </c>
      <c r="Z299" s="17" t="inlineStr">
        <is>
          <t>正常</t>
        </is>
      </c>
      <c r="AA299" s="17" t="n"/>
      <c r="AB299" s="17" t="inlineStr">
        <is>
          <t>原表第 304 行</t>
        </is>
      </c>
      <c r="AC299" s="24">
        <f>IF($G299="","",IF($H299="※编码不在物料档案里","※物料编码不在档案里",IF(N($K299)&lt;=0,"※入库数量要大于 0",IF(AND($C299&lt;&gt;"",$C299&lt;=结账锁),"※日期早于已结账截止日，不能再录",IF(AND($L299=0,$X299="正常"),"※没填单价，价格状态请选「待补价」",IF(AND($S299&gt;0,$R299&gt;0),"△本批有 "&amp;$S299&amp;" 行没单价，整批运费先挂账没摊",IF(AND($B299&lt;&gt;"",COUNTIF($B$4:$B$2503,$B299)&gt;1),"※入库单号重复","")))))))</f>
        <v/>
      </c>
    </row>
    <row r="300">
      <c r="A300" s="24">
        <f>IF($G300="","",COUNTA($G$4:$G300))</f>
        <v/>
      </c>
      <c r="B300" s="17" t="n"/>
      <c r="C300" s="30" t="n">
        <v>46098</v>
      </c>
      <c r="D300" s="17" t="inlineStr">
        <is>
          <t>A国内</t>
        </is>
      </c>
      <c r="E300" s="17" t="inlineStr">
        <is>
          <t>MSMU9007511-202603</t>
        </is>
      </c>
      <c r="F300" s="17" t="inlineStr">
        <is>
          <t>烟台市金豪矿山机械有限公司</t>
        </is>
      </c>
      <c r="G300" s="17" t="inlineStr">
        <is>
          <t>JH0256</t>
        </is>
      </c>
      <c r="H300" s="24">
        <f>IF($G300="","",IFERROR(VLOOKUP($G300,物料档案!$A$4:$P$1203,3,0),"※编码不在物料档案里"))</f>
        <v/>
      </c>
      <c r="I300" s="24">
        <f>IF($G300="","",IFERROR(VLOOKUP($G300,物料档案!$A$4:$P$1203,4,0),"※编码不在物料档案里"))</f>
        <v/>
      </c>
      <c r="J300" s="24">
        <f>IF($G300="","",IFERROR(VLOOKUP($G300,物料档案!$A$4:$P$1203,5,0),"※编码不在物料档案里"))</f>
        <v/>
      </c>
      <c r="K300" s="23" t="n">
        <v>2</v>
      </c>
      <c r="L300" s="31" t="n"/>
      <c r="M300" s="24">
        <f>IF($G300="","",IF($D300="A国内","CNY","TZS"))</f>
        <v/>
      </c>
      <c r="N300" s="28">
        <f>IF($G300="","",IF($D300="A国内",汇率,1))</f>
        <v/>
      </c>
      <c r="O300" s="25">
        <f>IF($G300="","",ROUND(N($K300)*N($L300),2))</f>
        <v/>
      </c>
      <c r="P300" s="26">
        <f>IF($G300="","",ROUND($O300*$N300,0))</f>
        <v/>
      </c>
      <c r="Q300" s="26">
        <f>IF($G300="","",SUMIFS($P$4:$P$2503,$E$4:$E$2503,$E300,$Z$4:$Z$2503,"正常"))</f>
        <v/>
      </c>
      <c r="R300" s="26">
        <f>IF($G300="","",SUMIFS(费用台账!$I$4:$I$503,费用台账!$C$4:$C$503,$E300,费用台账!$J$4:$J$503,"是",费用台账!$K$4:$K$503,"正常"))</f>
        <v/>
      </c>
      <c r="S300" s="28">
        <f>IF($G300="","",COUNTIFS($E$4:$E$2503,$E300,$Z$4:$Z$2503,"正常",$Y$4:$Y$2503,"待补价"))</f>
        <v/>
      </c>
      <c r="T300" s="26">
        <f>IF($G300="","",SUMIFS($P$4:$P$2503,$E$4:$E$2503,$E300,$Z$4:$Z$2503,"正常",$A$4:$A$2503,"&lt;="&amp;$A300))</f>
        <v/>
      </c>
      <c r="U300" s="26">
        <f>IF($G300="","",IF(OR($S300&gt;0,$Q300=0,$R300=0,$Z300&lt;&gt;"正常"),0,ROUND($T300/$Q300*$R300,0)-ROUND(($T300-$P300)/$Q300*$R300,0)))</f>
        <v/>
      </c>
      <c r="V300" s="26">
        <f>IF($G300="","",ROUND($P300+$U300,0))</f>
        <v/>
      </c>
      <c r="W300" s="26">
        <f>IF($G300="","",IF(N($K300)=0,0,ROUND($V300/$K300,2)))</f>
        <v/>
      </c>
      <c r="X300" s="17" t="inlineStr">
        <is>
          <t>采购入库</t>
        </is>
      </c>
      <c r="Y300" s="17" t="inlineStr">
        <is>
          <t>待补价</t>
        </is>
      </c>
      <c r="Z300" s="17" t="inlineStr">
        <is>
          <t>正常</t>
        </is>
      </c>
      <c r="AA300" s="17" t="n"/>
      <c r="AB300" s="17" t="inlineStr">
        <is>
          <t>原表第 305 行</t>
        </is>
      </c>
      <c r="AC300" s="24">
        <f>IF($G300="","",IF($H300="※编码不在物料档案里","※物料编码不在档案里",IF(N($K300)&lt;=0,"※入库数量要大于 0",IF(AND($C300&lt;&gt;"",$C300&lt;=结账锁),"※日期早于已结账截止日，不能再录",IF(AND($L300=0,$X300="正常"),"※没填单价，价格状态请选「待补价」",IF(AND($S300&gt;0,$R300&gt;0),"△本批有 "&amp;$S300&amp;" 行没单价，整批运费先挂账没摊",IF(AND($B300&lt;&gt;"",COUNTIF($B$4:$B$2503,$B300)&gt;1),"※入库单号重复","")))))))</f>
        <v/>
      </c>
    </row>
    <row r="301">
      <c r="A301" s="24">
        <f>IF($G301="","",COUNTA($G$4:$G301))</f>
        <v/>
      </c>
      <c r="B301" s="17" t="n"/>
      <c r="C301" s="30" t="n">
        <v>46098</v>
      </c>
      <c r="D301" s="17" t="inlineStr">
        <is>
          <t>A国内</t>
        </is>
      </c>
      <c r="E301" s="17" t="inlineStr">
        <is>
          <t>MSMU9007511-202603</t>
        </is>
      </c>
      <c r="F301" s="17" t="inlineStr">
        <is>
          <t>烟台市金豪矿山机械有限公司</t>
        </is>
      </c>
      <c r="G301" s="17" t="inlineStr">
        <is>
          <t>JH0258</t>
        </is>
      </c>
      <c r="H301" s="24">
        <f>IF($G301="","",IFERROR(VLOOKUP($G301,物料档案!$A$4:$P$1203,3,0),"※编码不在物料档案里"))</f>
        <v/>
      </c>
      <c r="I301" s="24">
        <f>IF($G301="","",IFERROR(VLOOKUP($G301,物料档案!$A$4:$P$1203,4,0),"※编码不在物料档案里"))</f>
        <v/>
      </c>
      <c r="J301" s="24">
        <f>IF($G301="","",IFERROR(VLOOKUP($G301,物料档案!$A$4:$P$1203,5,0),"※编码不在物料档案里"))</f>
        <v/>
      </c>
      <c r="K301" s="23" t="n">
        <v>2</v>
      </c>
      <c r="L301" s="31" t="n"/>
      <c r="M301" s="24">
        <f>IF($G301="","",IF($D301="A国内","CNY","TZS"))</f>
        <v/>
      </c>
      <c r="N301" s="28">
        <f>IF($G301="","",IF($D301="A国内",汇率,1))</f>
        <v/>
      </c>
      <c r="O301" s="25">
        <f>IF($G301="","",ROUND(N($K301)*N($L301),2))</f>
        <v/>
      </c>
      <c r="P301" s="26">
        <f>IF($G301="","",ROUND($O301*$N301,0))</f>
        <v/>
      </c>
      <c r="Q301" s="26">
        <f>IF($G301="","",SUMIFS($P$4:$P$2503,$E$4:$E$2503,$E301,$Z$4:$Z$2503,"正常"))</f>
        <v/>
      </c>
      <c r="R301" s="26">
        <f>IF($G301="","",SUMIFS(费用台账!$I$4:$I$503,费用台账!$C$4:$C$503,$E301,费用台账!$J$4:$J$503,"是",费用台账!$K$4:$K$503,"正常"))</f>
        <v/>
      </c>
      <c r="S301" s="28">
        <f>IF($G301="","",COUNTIFS($E$4:$E$2503,$E301,$Z$4:$Z$2503,"正常",$Y$4:$Y$2503,"待补价"))</f>
        <v/>
      </c>
      <c r="T301" s="26">
        <f>IF($G301="","",SUMIFS($P$4:$P$2503,$E$4:$E$2503,$E301,$Z$4:$Z$2503,"正常",$A$4:$A$2503,"&lt;="&amp;$A301))</f>
        <v/>
      </c>
      <c r="U301" s="26">
        <f>IF($G301="","",IF(OR($S301&gt;0,$Q301=0,$R301=0,$Z301&lt;&gt;"正常"),0,ROUND($T301/$Q301*$R301,0)-ROUND(($T301-$P301)/$Q301*$R301,0)))</f>
        <v/>
      </c>
      <c r="V301" s="26">
        <f>IF($G301="","",ROUND($P301+$U301,0))</f>
        <v/>
      </c>
      <c r="W301" s="26">
        <f>IF($G301="","",IF(N($K301)=0,0,ROUND($V301/$K301,2)))</f>
        <v/>
      </c>
      <c r="X301" s="17" t="inlineStr">
        <is>
          <t>采购入库</t>
        </is>
      </c>
      <c r="Y301" s="17" t="inlineStr">
        <is>
          <t>待补价</t>
        </is>
      </c>
      <c r="Z301" s="17" t="inlineStr">
        <is>
          <t>正常</t>
        </is>
      </c>
      <c r="AA301" s="17" t="n"/>
      <c r="AB301" s="17" t="inlineStr">
        <is>
          <t>原表第 306 行</t>
        </is>
      </c>
      <c r="AC301" s="24">
        <f>IF($G301="","",IF($H301="※编码不在物料档案里","※物料编码不在档案里",IF(N($K301)&lt;=0,"※入库数量要大于 0",IF(AND($C301&lt;&gt;"",$C301&lt;=结账锁),"※日期早于已结账截止日，不能再录",IF(AND($L301=0,$X301="正常"),"※没填单价，价格状态请选「待补价」",IF(AND($S301&gt;0,$R301&gt;0),"△本批有 "&amp;$S301&amp;" 行没单价，整批运费先挂账没摊",IF(AND($B301&lt;&gt;"",COUNTIF($B$4:$B$2503,$B301)&gt;1),"※入库单号重复","")))))))</f>
        <v/>
      </c>
    </row>
    <row r="302">
      <c r="A302" s="24">
        <f>IF($G302="","",COUNTA($G$4:$G302))</f>
        <v/>
      </c>
      <c r="B302" s="17" t="n"/>
      <c r="C302" s="30" t="n">
        <v>46098</v>
      </c>
      <c r="D302" s="17" t="inlineStr">
        <is>
          <t>A国内</t>
        </is>
      </c>
      <c r="E302" s="17" t="inlineStr">
        <is>
          <t>MSMU9007511-202603</t>
        </is>
      </c>
      <c r="F302" s="17" t="inlineStr">
        <is>
          <t>烟台市金豪矿山机械有限公司</t>
        </is>
      </c>
      <c r="G302" s="17" t="inlineStr">
        <is>
          <t>JH0259</t>
        </is>
      </c>
      <c r="H302" s="24">
        <f>IF($G302="","",IFERROR(VLOOKUP($G302,物料档案!$A$4:$P$1203,3,0),"※编码不在物料档案里"))</f>
        <v/>
      </c>
      <c r="I302" s="24">
        <f>IF($G302="","",IFERROR(VLOOKUP($G302,物料档案!$A$4:$P$1203,4,0),"※编码不在物料档案里"))</f>
        <v/>
      </c>
      <c r="J302" s="24">
        <f>IF($G302="","",IFERROR(VLOOKUP($G302,物料档案!$A$4:$P$1203,5,0),"※编码不在物料档案里"))</f>
        <v/>
      </c>
      <c r="K302" s="23" t="n">
        <v>8</v>
      </c>
      <c r="L302" s="31" t="n"/>
      <c r="M302" s="24">
        <f>IF($G302="","",IF($D302="A国内","CNY","TZS"))</f>
        <v/>
      </c>
      <c r="N302" s="28">
        <f>IF($G302="","",IF($D302="A国内",汇率,1))</f>
        <v/>
      </c>
      <c r="O302" s="25">
        <f>IF($G302="","",ROUND(N($K302)*N($L302),2))</f>
        <v/>
      </c>
      <c r="P302" s="26">
        <f>IF($G302="","",ROUND($O302*$N302,0))</f>
        <v/>
      </c>
      <c r="Q302" s="26">
        <f>IF($G302="","",SUMIFS($P$4:$P$2503,$E$4:$E$2503,$E302,$Z$4:$Z$2503,"正常"))</f>
        <v/>
      </c>
      <c r="R302" s="26">
        <f>IF($G302="","",SUMIFS(费用台账!$I$4:$I$503,费用台账!$C$4:$C$503,$E302,费用台账!$J$4:$J$503,"是",费用台账!$K$4:$K$503,"正常"))</f>
        <v/>
      </c>
      <c r="S302" s="28">
        <f>IF($G302="","",COUNTIFS($E$4:$E$2503,$E302,$Z$4:$Z$2503,"正常",$Y$4:$Y$2503,"待补价"))</f>
        <v/>
      </c>
      <c r="T302" s="26">
        <f>IF($G302="","",SUMIFS($P$4:$P$2503,$E$4:$E$2503,$E302,$Z$4:$Z$2503,"正常",$A$4:$A$2503,"&lt;="&amp;$A302))</f>
        <v/>
      </c>
      <c r="U302" s="26">
        <f>IF($G302="","",IF(OR($S302&gt;0,$Q302=0,$R302=0,$Z302&lt;&gt;"正常"),0,ROUND($T302/$Q302*$R302,0)-ROUND(($T302-$P302)/$Q302*$R302,0)))</f>
        <v/>
      </c>
      <c r="V302" s="26">
        <f>IF($G302="","",ROUND($P302+$U302,0))</f>
        <v/>
      </c>
      <c r="W302" s="26">
        <f>IF($G302="","",IF(N($K302)=0,0,ROUND($V302/$K302,2)))</f>
        <v/>
      </c>
      <c r="X302" s="17" t="inlineStr">
        <is>
          <t>采购入库</t>
        </is>
      </c>
      <c r="Y302" s="17" t="inlineStr">
        <is>
          <t>待补价</t>
        </is>
      </c>
      <c r="Z302" s="17" t="inlineStr">
        <is>
          <t>正常</t>
        </is>
      </c>
      <c r="AA302" s="17" t="n"/>
      <c r="AB302" s="17" t="inlineStr">
        <is>
          <t>原表第 307 行</t>
        </is>
      </c>
      <c r="AC302" s="24">
        <f>IF($G302="","",IF($H302="※编码不在物料档案里","※物料编码不在档案里",IF(N($K302)&lt;=0,"※入库数量要大于 0",IF(AND($C302&lt;&gt;"",$C302&lt;=结账锁),"※日期早于已结账截止日，不能再录",IF(AND($L302=0,$X302="正常"),"※没填单价，价格状态请选「待补价」",IF(AND($S302&gt;0,$R302&gt;0),"△本批有 "&amp;$S302&amp;" 行没单价，整批运费先挂账没摊",IF(AND($B302&lt;&gt;"",COUNTIF($B$4:$B$2503,$B302)&gt;1),"※入库单号重复","")))))))</f>
        <v/>
      </c>
    </row>
    <row r="303">
      <c r="A303" s="24">
        <f>IF($G303="","",COUNTA($G$4:$G303))</f>
        <v/>
      </c>
      <c r="B303" s="17" t="n"/>
      <c r="C303" s="30" t="n">
        <v>46098</v>
      </c>
      <c r="D303" s="17" t="inlineStr">
        <is>
          <t>A国内</t>
        </is>
      </c>
      <c r="E303" s="17" t="inlineStr">
        <is>
          <t>MSMU9007511-202603</t>
        </is>
      </c>
      <c r="F303" s="17" t="inlineStr">
        <is>
          <t>烟台市金豪矿山机械有限公司</t>
        </is>
      </c>
      <c r="G303" s="17" t="inlineStr">
        <is>
          <t>JH0260</t>
        </is>
      </c>
      <c r="H303" s="24">
        <f>IF($G303="","",IFERROR(VLOOKUP($G303,物料档案!$A$4:$P$1203,3,0),"※编码不在物料档案里"))</f>
        <v/>
      </c>
      <c r="I303" s="24">
        <f>IF($G303="","",IFERROR(VLOOKUP($G303,物料档案!$A$4:$P$1203,4,0),"※编码不在物料档案里"))</f>
        <v/>
      </c>
      <c r="J303" s="24">
        <f>IF($G303="","",IFERROR(VLOOKUP($G303,物料档案!$A$4:$P$1203,5,0),"※编码不在物料档案里"))</f>
        <v/>
      </c>
      <c r="K303" s="23" t="n">
        <v>2</v>
      </c>
      <c r="L303" s="31" t="n"/>
      <c r="M303" s="24">
        <f>IF($G303="","",IF($D303="A国内","CNY","TZS"))</f>
        <v/>
      </c>
      <c r="N303" s="28">
        <f>IF($G303="","",IF($D303="A国内",汇率,1))</f>
        <v/>
      </c>
      <c r="O303" s="25">
        <f>IF($G303="","",ROUND(N($K303)*N($L303),2))</f>
        <v/>
      </c>
      <c r="P303" s="26">
        <f>IF($G303="","",ROUND($O303*$N303,0))</f>
        <v/>
      </c>
      <c r="Q303" s="26">
        <f>IF($G303="","",SUMIFS($P$4:$P$2503,$E$4:$E$2503,$E303,$Z$4:$Z$2503,"正常"))</f>
        <v/>
      </c>
      <c r="R303" s="26">
        <f>IF($G303="","",SUMIFS(费用台账!$I$4:$I$503,费用台账!$C$4:$C$503,$E303,费用台账!$J$4:$J$503,"是",费用台账!$K$4:$K$503,"正常"))</f>
        <v/>
      </c>
      <c r="S303" s="28">
        <f>IF($G303="","",COUNTIFS($E$4:$E$2503,$E303,$Z$4:$Z$2503,"正常",$Y$4:$Y$2503,"待补价"))</f>
        <v/>
      </c>
      <c r="T303" s="26">
        <f>IF($G303="","",SUMIFS($P$4:$P$2503,$E$4:$E$2503,$E303,$Z$4:$Z$2503,"正常",$A$4:$A$2503,"&lt;="&amp;$A303))</f>
        <v/>
      </c>
      <c r="U303" s="26">
        <f>IF($G303="","",IF(OR($S303&gt;0,$Q303=0,$R303=0,$Z303&lt;&gt;"正常"),0,ROUND($T303/$Q303*$R303,0)-ROUND(($T303-$P303)/$Q303*$R303,0)))</f>
        <v/>
      </c>
      <c r="V303" s="26">
        <f>IF($G303="","",ROUND($P303+$U303,0))</f>
        <v/>
      </c>
      <c r="W303" s="26">
        <f>IF($G303="","",IF(N($K303)=0,0,ROUND($V303/$K303,2)))</f>
        <v/>
      </c>
      <c r="X303" s="17" t="inlineStr">
        <is>
          <t>采购入库</t>
        </is>
      </c>
      <c r="Y303" s="17" t="inlineStr">
        <is>
          <t>待补价</t>
        </is>
      </c>
      <c r="Z303" s="17" t="inlineStr">
        <is>
          <t>正常</t>
        </is>
      </c>
      <c r="AA303" s="17" t="n"/>
      <c r="AB303" s="17" t="inlineStr">
        <is>
          <t>原表第 308 行</t>
        </is>
      </c>
      <c r="AC303" s="24">
        <f>IF($G303="","",IF($H303="※编码不在物料档案里","※物料编码不在档案里",IF(N($K303)&lt;=0,"※入库数量要大于 0",IF(AND($C303&lt;&gt;"",$C303&lt;=结账锁),"※日期早于已结账截止日，不能再录",IF(AND($L303=0,$X303="正常"),"※没填单价，价格状态请选「待补价」",IF(AND($S303&gt;0,$R303&gt;0),"△本批有 "&amp;$S303&amp;" 行没单价，整批运费先挂账没摊",IF(AND($B303&lt;&gt;"",COUNTIF($B$4:$B$2503,$B303)&gt;1),"※入库单号重复","")))))))</f>
        <v/>
      </c>
    </row>
    <row r="304">
      <c r="A304" s="24">
        <f>IF($G304="","",COUNTA($G$4:$G304))</f>
        <v/>
      </c>
      <c r="B304" s="17" t="n"/>
      <c r="C304" s="30" t="n">
        <v>46098</v>
      </c>
      <c r="D304" s="17" t="inlineStr">
        <is>
          <t>A国内</t>
        </is>
      </c>
      <c r="E304" s="17" t="inlineStr">
        <is>
          <t>MSMU9007511-202603</t>
        </is>
      </c>
      <c r="F304" s="17" t="inlineStr">
        <is>
          <t>烟台市金豪矿山机械有限公司</t>
        </is>
      </c>
      <c r="G304" s="17" t="inlineStr">
        <is>
          <t>JH0261</t>
        </is>
      </c>
      <c r="H304" s="24">
        <f>IF($G304="","",IFERROR(VLOOKUP($G304,物料档案!$A$4:$P$1203,3,0),"※编码不在物料档案里"))</f>
        <v/>
      </c>
      <c r="I304" s="24">
        <f>IF($G304="","",IFERROR(VLOOKUP($G304,物料档案!$A$4:$P$1203,4,0),"※编码不在物料档案里"))</f>
        <v/>
      </c>
      <c r="J304" s="24">
        <f>IF($G304="","",IFERROR(VLOOKUP($G304,物料档案!$A$4:$P$1203,5,0),"※编码不在物料档案里"))</f>
        <v/>
      </c>
      <c r="K304" s="23" t="n">
        <v>2</v>
      </c>
      <c r="L304" s="31" t="n"/>
      <c r="M304" s="24">
        <f>IF($G304="","",IF($D304="A国内","CNY","TZS"))</f>
        <v/>
      </c>
      <c r="N304" s="28">
        <f>IF($G304="","",IF($D304="A国内",汇率,1))</f>
        <v/>
      </c>
      <c r="O304" s="25">
        <f>IF($G304="","",ROUND(N($K304)*N($L304),2))</f>
        <v/>
      </c>
      <c r="P304" s="26">
        <f>IF($G304="","",ROUND($O304*$N304,0))</f>
        <v/>
      </c>
      <c r="Q304" s="26">
        <f>IF($G304="","",SUMIFS($P$4:$P$2503,$E$4:$E$2503,$E304,$Z$4:$Z$2503,"正常"))</f>
        <v/>
      </c>
      <c r="R304" s="26">
        <f>IF($G304="","",SUMIFS(费用台账!$I$4:$I$503,费用台账!$C$4:$C$503,$E304,费用台账!$J$4:$J$503,"是",费用台账!$K$4:$K$503,"正常"))</f>
        <v/>
      </c>
      <c r="S304" s="28">
        <f>IF($G304="","",COUNTIFS($E$4:$E$2503,$E304,$Z$4:$Z$2503,"正常",$Y$4:$Y$2503,"待补价"))</f>
        <v/>
      </c>
      <c r="T304" s="26">
        <f>IF($G304="","",SUMIFS($P$4:$P$2503,$E$4:$E$2503,$E304,$Z$4:$Z$2503,"正常",$A$4:$A$2503,"&lt;="&amp;$A304))</f>
        <v/>
      </c>
      <c r="U304" s="26">
        <f>IF($G304="","",IF(OR($S304&gt;0,$Q304=0,$R304=0,$Z304&lt;&gt;"正常"),0,ROUND($T304/$Q304*$R304,0)-ROUND(($T304-$P304)/$Q304*$R304,0)))</f>
        <v/>
      </c>
      <c r="V304" s="26">
        <f>IF($G304="","",ROUND($P304+$U304,0))</f>
        <v/>
      </c>
      <c r="W304" s="26">
        <f>IF($G304="","",IF(N($K304)=0,0,ROUND($V304/$K304,2)))</f>
        <v/>
      </c>
      <c r="X304" s="17" t="inlineStr">
        <is>
          <t>采购入库</t>
        </is>
      </c>
      <c r="Y304" s="17" t="inlineStr">
        <is>
          <t>待补价</t>
        </is>
      </c>
      <c r="Z304" s="17" t="inlineStr">
        <is>
          <t>正常</t>
        </is>
      </c>
      <c r="AA304" s="17" t="n"/>
      <c r="AB304" s="17" t="inlineStr">
        <is>
          <t>原表第 309 行</t>
        </is>
      </c>
      <c r="AC304" s="24">
        <f>IF($G304="","",IF($H304="※编码不在物料档案里","※物料编码不在档案里",IF(N($K304)&lt;=0,"※入库数量要大于 0",IF(AND($C304&lt;&gt;"",$C304&lt;=结账锁),"※日期早于已结账截止日，不能再录",IF(AND($L304=0,$X304="正常"),"※没填单价，价格状态请选「待补价」",IF(AND($S304&gt;0,$R304&gt;0),"△本批有 "&amp;$S304&amp;" 行没单价，整批运费先挂账没摊",IF(AND($B304&lt;&gt;"",COUNTIF($B$4:$B$2503,$B304)&gt;1),"※入库单号重复","")))))))</f>
        <v/>
      </c>
    </row>
    <row r="305">
      <c r="A305" s="24">
        <f>IF($G305="","",COUNTA($G$4:$G305))</f>
        <v/>
      </c>
      <c r="B305" s="17" t="n"/>
      <c r="C305" s="30" t="n">
        <v>46098</v>
      </c>
      <c r="D305" s="17" t="inlineStr">
        <is>
          <t>A国内</t>
        </is>
      </c>
      <c r="E305" s="17" t="inlineStr">
        <is>
          <t>MSMU9007511-202603</t>
        </is>
      </c>
      <c r="F305" s="17" t="inlineStr">
        <is>
          <t>烟台市金豪矿山机械有限公司</t>
        </is>
      </c>
      <c r="G305" s="17" t="inlineStr">
        <is>
          <t>JH0262</t>
        </is>
      </c>
      <c r="H305" s="24">
        <f>IF($G305="","",IFERROR(VLOOKUP($G305,物料档案!$A$4:$P$1203,3,0),"※编码不在物料档案里"))</f>
        <v/>
      </c>
      <c r="I305" s="24">
        <f>IF($G305="","",IFERROR(VLOOKUP($G305,物料档案!$A$4:$P$1203,4,0),"※编码不在物料档案里"))</f>
        <v/>
      </c>
      <c r="J305" s="24">
        <f>IF($G305="","",IFERROR(VLOOKUP($G305,物料档案!$A$4:$P$1203,5,0),"※编码不在物料档案里"))</f>
        <v/>
      </c>
      <c r="K305" s="23" t="n">
        <v>1</v>
      </c>
      <c r="L305" s="31" t="n"/>
      <c r="M305" s="24">
        <f>IF($G305="","",IF($D305="A国内","CNY","TZS"))</f>
        <v/>
      </c>
      <c r="N305" s="28">
        <f>IF($G305="","",IF($D305="A国内",汇率,1))</f>
        <v/>
      </c>
      <c r="O305" s="25">
        <f>IF($G305="","",ROUND(N($K305)*N($L305),2))</f>
        <v/>
      </c>
      <c r="P305" s="26">
        <f>IF($G305="","",ROUND($O305*$N305,0))</f>
        <v/>
      </c>
      <c r="Q305" s="26">
        <f>IF($G305="","",SUMIFS($P$4:$P$2503,$E$4:$E$2503,$E305,$Z$4:$Z$2503,"正常"))</f>
        <v/>
      </c>
      <c r="R305" s="26">
        <f>IF($G305="","",SUMIFS(费用台账!$I$4:$I$503,费用台账!$C$4:$C$503,$E305,费用台账!$J$4:$J$503,"是",费用台账!$K$4:$K$503,"正常"))</f>
        <v/>
      </c>
      <c r="S305" s="28">
        <f>IF($G305="","",COUNTIFS($E$4:$E$2503,$E305,$Z$4:$Z$2503,"正常",$Y$4:$Y$2503,"待补价"))</f>
        <v/>
      </c>
      <c r="T305" s="26">
        <f>IF($G305="","",SUMIFS($P$4:$P$2503,$E$4:$E$2503,$E305,$Z$4:$Z$2503,"正常",$A$4:$A$2503,"&lt;="&amp;$A305))</f>
        <v/>
      </c>
      <c r="U305" s="26">
        <f>IF($G305="","",IF(OR($S305&gt;0,$Q305=0,$R305=0,$Z305&lt;&gt;"正常"),0,ROUND($T305/$Q305*$R305,0)-ROUND(($T305-$P305)/$Q305*$R305,0)))</f>
        <v/>
      </c>
      <c r="V305" s="26">
        <f>IF($G305="","",ROUND($P305+$U305,0))</f>
        <v/>
      </c>
      <c r="W305" s="26">
        <f>IF($G305="","",IF(N($K305)=0,0,ROUND($V305/$K305,2)))</f>
        <v/>
      </c>
      <c r="X305" s="17" t="inlineStr">
        <is>
          <t>采购入库</t>
        </is>
      </c>
      <c r="Y305" s="17" t="inlineStr">
        <is>
          <t>待补价</t>
        </is>
      </c>
      <c r="Z305" s="17" t="inlineStr">
        <is>
          <t>正常</t>
        </is>
      </c>
      <c r="AA305" s="17" t="n"/>
      <c r="AB305" s="17" t="inlineStr">
        <is>
          <t>原表第 310 行</t>
        </is>
      </c>
      <c r="AC305" s="24">
        <f>IF($G305="","",IF($H305="※编码不在物料档案里","※物料编码不在档案里",IF(N($K305)&lt;=0,"※入库数量要大于 0",IF(AND($C305&lt;&gt;"",$C305&lt;=结账锁),"※日期早于已结账截止日，不能再录",IF(AND($L305=0,$X305="正常"),"※没填单价，价格状态请选「待补价」",IF(AND($S305&gt;0,$R305&gt;0),"△本批有 "&amp;$S305&amp;" 行没单价，整批运费先挂账没摊",IF(AND($B305&lt;&gt;"",COUNTIF($B$4:$B$2503,$B305)&gt;1),"※入库单号重复","")))))))</f>
        <v/>
      </c>
    </row>
    <row r="306">
      <c r="A306" s="24">
        <f>IF($G306="","",COUNTA($G$4:$G306))</f>
        <v/>
      </c>
      <c r="B306" s="17" t="n"/>
      <c r="C306" s="30" t="n">
        <v>46098</v>
      </c>
      <c r="D306" s="17" t="inlineStr">
        <is>
          <t>A国内</t>
        </is>
      </c>
      <c r="E306" s="17" t="inlineStr">
        <is>
          <t>MSMU9007511-202603</t>
        </is>
      </c>
      <c r="F306" s="17" t="inlineStr">
        <is>
          <t>烟台市金豪矿山机械有限公司</t>
        </is>
      </c>
      <c r="G306" s="17" t="inlineStr">
        <is>
          <t>JH0279</t>
        </is>
      </c>
      <c r="H306" s="24">
        <f>IF($G306="","",IFERROR(VLOOKUP($G306,物料档案!$A$4:$P$1203,3,0),"※编码不在物料档案里"))</f>
        <v/>
      </c>
      <c r="I306" s="24">
        <f>IF($G306="","",IFERROR(VLOOKUP($G306,物料档案!$A$4:$P$1203,4,0),"※编码不在物料档案里"))</f>
        <v/>
      </c>
      <c r="J306" s="24">
        <f>IF($G306="","",IFERROR(VLOOKUP($G306,物料档案!$A$4:$P$1203,5,0),"※编码不在物料档案里"))</f>
        <v/>
      </c>
      <c r="K306" s="23" t="n">
        <v>54</v>
      </c>
      <c r="L306" s="31" t="n"/>
      <c r="M306" s="24">
        <f>IF($G306="","",IF($D306="A国内","CNY","TZS"))</f>
        <v/>
      </c>
      <c r="N306" s="28">
        <f>IF($G306="","",IF($D306="A国内",汇率,1))</f>
        <v/>
      </c>
      <c r="O306" s="25">
        <f>IF($G306="","",ROUND(N($K306)*N($L306),2))</f>
        <v/>
      </c>
      <c r="P306" s="26">
        <f>IF($G306="","",ROUND($O306*$N306,0))</f>
        <v/>
      </c>
      <c r="Q306" s="26">
        <f>IF($G306="","",SUMIFS($P$4:$P$2503,$E$4:$E$2503,$E306,$Z$4:$Z$2503,"正常"))</f>
        <v/>
      </c>
      <c r="R306" s="26">
        <f>IF($G306="","",SUMIFS(费用台账!$I$4:$I$503,费用台账!$C$4:$C$503,$E306,费用台账!$J$4:$J$503,"是",费用台账!$K$4:$K$503,"正常"))</f>
        <v/>
      </c>
      <c r="S306" s="28">
        <f>IF($G306="","",COUNTIFS($E$4:$E$2503,$E306,$Z$4:$Z$2503,"正常",$Y$4:$Y$2503,"待补价"))</f>
        <v/>
      </c>
      <c r="T306" s="26">
        <f>IF($G306="","",SUMIFS($P$4:$P$2503,$E$4:$E$2503,$E306,$Z$4:$Z$2503,"正常",$A$4:$A$2503,"&lt;="&amp;$A306))</f>
        <v/>
      </c>
      <c r="U306" s="26">
        <f>IF($G306="","",IF(OR($S306&gt;0,$Q306=0,$R306=0,$Z306&lt;&gt;"正常"),0,ROUND($T306/$Q306*$R306,0)-ROUND(($T306-$P306)/$Q306*$R306,0)))</f>
        <v/>
      </c>
      <c r="V306" s="26">
        <f>IF($G306="","",ROUND($P306+$U306,0))</f>
        <v/>
      </c>
      <c r="W306" s="26">
        <f>IF($G306="","",IF(N($K306)=0,0,ROUND($V306/$K306,2)))</f>
        <v/>
      </c>
      <c r="X306" s="17" t="inlineStr">
        <is>
          <t>采购入库</t>
        </is>
      </c>
      <c r="Y306" s="17" t="inlineStr">
        <is>
          <t>待补价</t>
        </is>
      </c>
      <c r="Z306" s="17" t="inlineStr">
        <is>
          <t>正常</t>
        </is>
      </c>
      <c r="AA306" s="17" t="n"/>
      <c r="AB306" s="17" t="inlineStr">
        <is>
          <t>原表第 311 行</t>
        </is>
      </c>
      <c r="AC306" s="24">
        <f>IF($G306="","",IF($H306="※编码不在物料档案里","※物料编码不在档案里",IF(N($K306)&lt;=0,"※入库数量要大于 0",IF(AND($C306&lt;&gt;"",$C306&lt;=结账锁),"※日期早于已结账截止日，不能再录",IF(AND($L306=0,$X306="正常"),"※没填单价，价格状态请选「待补价」",IF(AND($S306&gt;0,$R306&gt;0),"△本批有 "&amp;$S306&amp;" 行没单价，整批运费先挂账没摊",IF(AND($B306&lt;&gt;"",COUNTIF($B$4:$B$2503,$B306)&gt;1),"※入库单号重复","")))))))</f>
        <v/>
      </c>
    </row>
    <row r="307">
      <c r="A307" s="24">
        <f>IF($G307="","",COUNTA($G$4:$G307))</f>
        <v/>
      </c>
      <c r="B307" s="17" t="n"/>
      <c r="C307" s="30" t="n">
        <v>46098</v>
      </c>
      <c r="D307" s="17" t="inlineStr">
        <is>
          <t>A国内</t>
        </is>
      </c>
      <c r="E307" s="17" t="inlineStr">
        <is>
          <t>MSMU9007511-202603</t>
        </is>
      </c>
      <c r="F307" s="17" t="inlineStr">
        <is>
          <t>烟台市金豪矿山机械有限公司</t>
        </is>
      </c>
      <c r="G307" s="17" t="inlineStr">
        <is>
          <t>JH0280</t>
        </is>
      </c>
      <c r="H307" s="24">
        <f>IF($G307="","",IFERROR(VLOOKUP($G307,物料档案!$A$4:$P$1203,3,0),"※编码不在物料档案里"))</f>
        <v/>
      </c>
      <c r="I307" s="24">
        <f>IF($G307="","",IFERROR(VLOOKUP($G307,物料档案!$A$4:$P$1203,4,0),"※编码不在物料档案里"))</f>
        <v/>
      </c>
      <c r="J307" s="24">
        <f>IF($G307="","",IFERROR(VLOOKUP($G307,物料档案!$A$4:$P$1203,5,0),"※编码不在物料档案里"))</f>
        <v/>
      </c>
      <c r="K307" s="23" t="n">
        <v>8</v>
      </c>
      <c r="L307" s="31" t="n"/>
      <c r="M307" s="24">
        <f>IF($G307="","",IF($D307="A国内","CNY","TZS"))</f>
        <v/>
      </c>
      <c r="N307" s="28">
        <f>IF($G307="","",IF($D307="A国内",汇率,1))</f>
        <v/>
      </c>
      <c r="O307" s="25">
        <f>IF($G307="","",ROUND(N($K307)*N($L307),2))</f>
        <v/>
      </c>
      <c r="P307" s="26">
        <f>IF($G307="","",ROUND($O307*$N307,0))</f>
        <v/>
      </c>
      <c r="Q307" s="26">
        <f>IF($G307="","",SUMIFS($P$4:$P$2503,$E$4:$E$2503,$E307,$Z$4:$Z$2503,"正常"))</f>
        <v/>
      </c>
      <c r="R307" s="26">
        <f>IF($G307="","",SUMIFS(费用台账!$I$4:$I$503,费用台账!$C$4:$C$503,$E307,费用台账!$J$4:$J$503,"是",费用台账!$K$4:$K$503,"正常"))</f>
        <v/>
      </c>
      <c r="S307" s="28">
        <f>IF($G307="","",COUNTIFS($E$4:$E$2503,$E307,$Z$4:$Z$2503,"正常",$Y$4:$Y$2503,"待补价"))</f>
        <v/>
      </c>
      <c r="T307" s="26">
        <f>IF($G307="","",SUMIFS($P$4:$P$2503,$E$4:$E$2503,$E307,$Z$4:$Z$2503,"正常",$A$4:$A$2503,"&lt;="&amp;$A307))</f>
        <v/>
      </c>
      <c r="U307" s="26">
        <f>IF($G307="","",IF(OR($S307&gt;0,$Q307=0,$R307=0,$Z307&lt;&gt;"正常"),0,ROUND($T307/$Q307*$R307,0)-ROUND(($T307-$P307)/$Q307*$R307,0)))</f>
        <v/>
      </c>
      <c r="V307" s="26">
        <f>IF($G307="","",ROUND($P307+$U307,0))</f>
        <v/>
      </c>
      <c r="W307" s="26">
        <f>IF($G307="","",IF(N($K307)=0,0,ROUND($V307/$K307,2)))</f>
        <v/>
      </c>
      <c r="X307" s="17" t="inlineStr">
        <is>
          <t>采购入库</t>
        </is>
      </c>
      <c r="Y307" s="17" t="inlineStr">
        <is>
          <t>待补价</t>
        </is>
      </c>
      <c r="Z307" s="17" t="inlineStr">
        <is>
          <t>正常</t>
        </is>
      </c>
      <c r="AA307" s="17" t="n"/>
      <c r="AB307" s="17" t="inlineStr">
        <is>
          <t>原表第 312 行</t>
        </is>
      </c>
      <c r="AC307" s="24">
        <f>IF($G307="","",IF($H307="※编码不在物料档案里","※物料编码不在档案里",IF(N($K307)&lt;=0,"※入库数量要大于 0",IF(AND($C307&lt;&gt;"",$C307&lt;=结账锁),"※日期早于已结账截止日，不能再录",IF(AND($L307=0,$X307="正常"),"※没填单价，价格状态请选「待补价」",IF(AND($S307&gt;0,$R307&gt;0),"△本批有 "&amp;$S307&amp;" 行没单价，整批运费先挂账没摊",IF(AND($B307&lt;&gt;"",COUNTIF($B$4:$B$2503,$B307)&gt;1),"※入库单号重复","")))))))</f>
        <v/>
      </c>
    </row>
    <row r="308">
      <c r="A308" s="24">
        <f>IF($G308="","",COUNTA($G$4:$G308))</f>
        <v/>
      </c>
      <c r="B308" s="17" t="n"/>
      <c r="C308" s="30" t="n">
        <v>46098</v>
      </c>
      <c r="D308" s="17" t="inlineStr">
        <is>
          <t>A国内</t>
        </is>
      </c>
      <c r="E308" s="17" t="inlineStr">
        <is>
          <t>MSMU9007511-202603</t>
        </is>
      </c>
      <c r="F308" s="17" t="inlineStr">
        <is>
          <t>烟台市金豪矿山机械有限公司</t>
        </is>
      </c>
      <c r="G308" s="17" t="inlineStr">
        <is>
          <t>JH0269</t>
        </is>
      </c>
      <c r="H308" s="24">
        <f>IF($G308="","",IFERROR(VLOOKUP($G308,物料档案!$A$4:$P$1203,3,0),"※编码不在物料档案里"))</f>
        <v/>
      </c>
      <c r="I308" s="24">
        <f>IF($G308="","",IFERROR(VLOOKUP($G308,物料档案!$A$4:$P$1203,4,0),"※编码不在物料档案里"))</f>
        <v/>
      </c>
      <c r="J308" s="24">
        <f>IF($G308="","",IFERROR(VLOOKUP($G308,物料档案!$A$4:$P$1203,5,0),"※编码不在物料档案里"))</f>
        <v/>
      </c>
      <c r="K308" s="23" t="n">
        <v>1</v>
      </c>
      <c r="L308" s="31" t="n"/>
      <c r="M308" s="24">
        <f>IF($G308="","",IF($D308="A国内","CNY","TZS"))</f>
        <v/>
      </c>
      <c r="N308" s="28">
        <f>IF($G308="","",IF($D308="A国内",汇率,1))</f>
        <v/>
      </c>
      <c r="O308" s="25">
        <f>IF($G308="","",ROUND(N($K308)*N($L308),2))</f>
        <v/>
      </c>
      <c r="P308" s="26">
        <f>IF($G308="","",ROUND($O308*$N308,0))</f>
        <v/>
      </c>
      <c r="Q308" s="26">
        <f>IF($G308="","",SUMIFS($P$4:$P$2503,$E$4:$E$2503,$E308,$Z$4:$Z$2503,"正常"))</f>
        <v/>
      </c>
      <c r="R308" s="26">
        <f>IF($G308="","",SUMIFS(费用台账!$I$4:$I$503,费用台账!$C$4:$C$503,$E308,费用台账!$J$4:$J$503,"是",费用台账!$K$4:$K$503,"正常"))</f>
        <v/>
      </c>
      <c r="S308" s="28">
        <f>IF($G308="","",COUNTIFS($E$4:$E$2503,$E308,$Z$4:$Z$2503,"正常",$Y$4:$Y$2503,"待补价"))</f>
        <v/>
      </c>
      <c r="T308" s="26">
        <f>IF($G308="","",SUMIFS($P$4:$P$2503,$E$4:$E$2503,$E308,$Z$4:$Z$2503,"正常",$A$4:$A$2503,"&lt;="&amp;$A308))</f>
        <v/>
      </c>
      <c r="U308" s="26">
        <f>IF($G308="","",IF(OR($S308&gt;0,$Q308=0,$R308=0,$Z308&lt;&gt;"正常"),0,ROUND($T308/$Q308*$R308,0)-ROUND(($T308-$P308)/$Q308*$R308,0)))</f>
        <v/>
      </c>
      <c r="V308" s="26">
        <f>IF($G308="","",ROUND($P308+$U308,0))</f>
        <v/>
      </c>
      <c r="W308" s="26">
        <f>IF($G308="","",IF(N($K308)=0,0,ROUND($V308/$K308,2)))</f>
        <v/>
      </c>
      <c r="X308" s="17" t="inlineStr">
        <is>
          <t>采购入库</t>
        </is>
      </c>
      <c r="Y308" s="17" t="inlineStr">
        <is>
          <t>待补价</t>
        </is>
      </c>
      <c r="Z308" s="17" t="inlineStr">
        <is>
          <t>正常</t>
        </is>
      </c>
      <c r="AA308" s="17" t="n"/>
      <c r="AB308" s="17" t="inlineStr">
        <is>
          <t>原表第 313 行</t>
        </is>
      </c>
      <c r="AC308" s="24">
        <f>IF($G308="","",IF($H308="※编码不在物料档案里","※物料编码不在档案里",IF(N($K308)&lt;=0,"※入库数量要大于 0",IF(AND($C308&lt;&gt;"",$C308&lt;=结账锁),"※日期早于已结账截止日，不能再录",IF(AND($L308=0,$X308="正常"),"※没填单价，价格状态请选「待补价」",IF(AND($S308&gt;0,$R308&gt;0),"△本批有 "&amp;$S308&amp;" 行没单价，整批运费先挂账没摊",IF(AND($B308&lt;&gt;"",COUNTIF($B$4:$B$2503,$B308)&gt;1),"※入库单号重复","")))))))</f>
        <v/>
      </c>
    </row>
    <row r="309">
      <c r="A309" s="24">
        <f>IF($G309="","",COUNTA($G$4:$G309))</f>
        <v/>
      </c>
      <c r="B309" s="17" t="n"/>
      <c r="C309" s="30" t="n">
        <v>46098</v>
      </c>
      <c r="D309" s="17" t="inlineStr">
        <is>
          <t>A国内</t>
        </is>
      </c>
      <c r="E309" s="17" t="inlineStr">
        <is>
          <t>MSMU9007511-202603</t>
        </is>
      </c>
      <c r="F309" s="17" t="inlineStr">
        <is>
          <t>烟台市金豪矿山机械有限公司</t>
        </is>
      </c>
      <c r="G309" s="17" t="inlineStr">
        <is>
          <t>JH0281</t>
        </is>
      </c>
      <c r="H309" s="24">
        <f>IF($G309="","",IFERROR(VLOOKUP($G309,物料档案!$A$4:$P$1203,3,0),"※编码不在物料档案里"))</f>
        <v/>
      </c>
      <c r="I309" s="24">
        <f>IF($G309="","",IFERROR(VLOOKUP($G309,物料档案!$A$4:$P$1203,4,0),"※编码不在物料档案里"))</f>
        <v/>
      </c>
      <c r="J309" s="24">
        <f>IF($G309="","",IFERROR(VLOOKUP($G309,物料档案!$A$4:$P$1203,5,0),"※编码不在物料档案里"))</f>
        <v/>
      </c>
      <c r="K309" s="23" t="n">
        <v>1</v>
      </c>
      <c r="L309" s="31" t="n"/>
      <c r="M309" s="24">
        <f>IF($G309="","",IF($D309="A国内","CNY","TZS"))</f>
        <v/>
      </c>
      <c r="N309" s="28">
        <f>IF($G309="","",IF($D309="A国内",汇率,1))</f>
        <v/>
      </c>
      <c r="O309" s="25">
        <f>IF($G309="","",ROUND(N($K309)*N($L309),2))</f>
        <v/>
      </c>
      <c r="P309" s="26">
        <f>IF($G309="","",ROUND($O309*$N309,0))</f>
        <v/>
      </c>
      <c r="Q309" s="26">
        <f>IF($G309="","",SUMIFS($P$4:$P$2503,$E$4:$E$2503,$E309,$Z$4:$Z$2503,"正常"))</f>
        <v/>
      </c>
      <c r="R309" s="26">
        <f>IF($G309="","",SUMIFS(费用台账!$I$4:$I$503,费用台账!$C$4:$C$503,$E309,费用台账!$J$4:$J$503,"是",费用台账!$K$4:$K$503,"正常"))</f>
        <v/>
      </c>
      <c r="S309" s="28">
        <f>IF($G309="","",COUNTIFS($E$4:$E$2503,$E309,$Z$4:$Z$2503,"正常",$Y$4:$Y$2503,"待补价"))</f>
        <v/>
      </c>
      <c r="T309" s="26">
        <f>IF($G309="","",SUMIFS($P$4:$P$2503,$E$4:$E$2503,$E309,$Z$4:$Z$2503,"正常",$A$4:$A$2503,"&lt;="&amp;$A309))</f>
        <v/>
      </c>
      <c r="U309" s="26">
        <f>IF($G309="","",IF(OR($S309&gt;0,$Q309=0,$R309=0,$Z309&lt;&gt;"正常"),0,ROUND($T309/$Q309*$R309,0)-ROUND(($T309-$P309)/$Q309*$R309,0)))</f>
        <v/>
      </c>
      <c r="V309" s="26">
        <f>IF($G309="","",ROUND($P309+$U309,0))</f>
        <v/>
      </c>
      <c r="W309" s="26">
        <f>IF($G309="","",IF(N($K309)=0,0,ROUND($V309/$K309,2)))</f>
        <v/>
      </c>
      <c r="X309" s="17" t="inlineStr">
        <is>
          <t>采购入库</t>
        </is>
      </c>
      <c r="Y309" s="17" t="inlineStr">
        <is>
          <t>待补价</t>
        </is>
      </c>
      <c r="Z309" s="17" t="inlineStr">
        <is>
          <t>正常</t>
        </is>
      </c>
      <c r="AA309" s="17" t="n"/>
      <c r="AB309" s="17" t="inlineStr">
        <is>
          <t>原表第 314 行</t>
        </is>
      </c>
      <c r="AC309" s="24">
        <f>IF($G309="","",IF($H309="※编码不在物料档案里","※物料编码不在档案里",IF(N($K309)&lt;=0,"※入库数量要大于 0",IF(AND($C309&lt;&gt;"",$C309&lt;=结账锁),"※日期早于已结账截止日，不能再录",IF(AND($L309=0,$X309="正常"),"※没填单价，价格状态请选「待补价」",IF(AND($S309&gt;0,$R309&gt;0),"△本批有 "&amp;$S309&amp;" 行没单价，整批运费先挂账没摊",IF(AND($B309&lt;&gt;"",COUNTIF($B$4:$B$2503,$B309)&gt;1),"※入库单号重复","")))))))</f>
        <v/>
      </c>
    </row>
    <row r="310">
      <c r="A310" s="24">
        <f>IF($G310="","",COUNTA($G$4:$G310))</f>
        <v/>
      </c>
      <c r="B310" s="17" t="n"/>
      <c r="C310" s="30" t="n">
        <v>46098</v>
      </c>
      <c r="D310" s="17" t="inlineStr">
        <is>
          <t>A国内</t>
        </is>
      </c>
      <c r="E310" s="17" t="inlineStr">
        <is>
          <t>MSMU9007511-202603</t>
        </is>
      </c>
      <c r="F310" s="17" t="inlineStr">
        <is>
          <t>烟台市金豪矿山机械有限公司</t>
        </is>
      </c>
      <c r="G310" s="17" t="inlineStr">
        <is>
          <t>JH0282</t>
        </is>
      </c>
      <c r="H310" s="24">
        <f>IF($G310="","",IFERROR(VLOOKUP($G310,物料档案!$A$4:$P$1203,3,0),"※编码不在物料档案里"))</f>
        <v/>
      </c>
      <c r="I310" s="24">
        <f>IF($G310="","",IFERROR(VLOOKUP($G310,物料档案!$A$4:$P$1203,4,0),"※编码不在物料档案里"))</f>
        <v/>
      </c>
      <c r="J310" s="24">
        <f>IF($G310="","",IFERROR(VLOOKUP($G310,物料档案!$A$4:$P$1203,5,0),"※编码不在物料档案里"))</f>
        <v/>
      </c>
      <c r="K310" s="23" t="n">
        <v>4</v>
      </c>
      <c r="L310" s="31" t="n">
        <v>1100</v>
      </c>
      <c r="M310" s="24">
        <f>IF($G310="","",IF($D310="A国内","CNY","TZS"))</f>
        <v/>
      </c>
      <c r="N310" s="28">
        <f>IF($G310="","",IF($D310="A国内",汇率,1))</f>
        <v/>
      </c>
      <c r="O310" s="25">
        <f>IF($G310="","",ROUND(N($K310)*N($L310),2))</f>
        <v/>
      </c>
      <c r="P310" s="26">
        <f>IF($G310="","",ROUND($O310*$N310,0))</f>
        <v/>
      </c>
      <c r="Q310" s="26">
        <f>IF($G310="","",SUMIFS($P$4:$P$2503,$E$4:$E$2503,$E310,$Z$4:$Z$2503,"正常"))</f>
        <v/>
      </c>
      <c r="R310" s="26">
        <f>IF($G310="","",SUMIFS(费用台账!$I$4:$I$503,费用台账!$C$4:$C$503,$E310,费用台账!$J$4:$J$503,"是",费用台账!$K$4:$K$503,"正常"))</f>
        <v/>
      </c>
      <c r="S310" s="28">
        <f>IF($G310="","",COUNTIFS($E$4:$E$2503,$E310,$Z$4:$Z$2503,"正常",$Y$4:$Y$2503,"待补价"))</f>
        <v/>
      </c>
      <c r="T310" s="26">
        <f>IF($G310="","",SUMIFS($P$4:$P$2503,$E$4:$E$2503,$E310,$Z$4:$Z$2503,"正常",$A$4:$A$2503,"&lt;="&amp;$A310))</f>
        <v/>
      </c>
      <c r="U310" s="26">
        <f>IF($G310="","",IF(OR($S310&gt;0,$Q310=0,$R310=0,$Z310&lt;&gt;"正常"),0,ROUND($T310/$Q310*$R310,0)-ROUND(($T310-$P310)/$Q310*$R310,0)))</f>
        <v/>
      </c>
      <c r="V310" s="26">
        <f>IF($G310="","",ROUND($P310+$U310,0))</f>
        <v/>
      </c>
      <c r="W310" s="26">
        <f>IF($G310="","",IF(N($K310)=0,0,ROUND($V310/$K310,2)))</f>
        <v/>
      </c>
      <c r="X310" s="17" t="inlineStr">
        <is>
          <t>采购入库</t>
        </is>
      </c>
      <c r="Y310" s="17" t="inlineStr">
        <is>
          <t>正常</t>
        </is>
      </c>
      <c r="Z310" s="17" t="inlineStr">
        <is>
          <t>正常</t>
        </is>
      </c>
      <c r="AA310" s="17" t="n"/>
      <c r="AB310" s="17" t="inlineStr">
        <is>
          <t>原表第 315 行</t>
        </is>
      </c>
      <c r="AC310" s="24">
        <f>IF($G310="","",IF($H310="※编码不在物料档案里","※物料编码不在档案里",IF(N($K310)&lt;=0,"※入库数量要大于 0",IF(AND($C310&lt;&gt;"",$C310&lt;=结账锁),"※日期早于已结账截止日，不能再录",IF(AND($L310=0,$X310="正常"),"※没填单价，价格状态请选「待补价」",IF(AND($S310&gt;0,$R310&gt;0),"△本批有 "&amp;$S310&amp;" 行没单价，整批运费先挂账没摊",IF(AND($B310&lt;&gt;"",COUNTIF($B$4:$B$2503,$B310)&gt;1),"※入库单号重复","")))))))</f>
        <v/>
      </c>
    </row>
    <row r="311">
      <c r="A311" s="24">
        <f>IF($G311="","",COUNTA($G$4:$G311))</f>
        <v/>
      </c>
      <c r="B311" s="17" t="n"/>
      <c r="C311" s="30" t="n">
        <v>46098</v>
      </c>
      <c r="D311" s="17" t="inlineStr">
        <is>
          <t>A国内</t>
        </is>
      </c>
      <c r="E311" s="17" t="inlineStr">
        <is>
          <t>MSMU9007511-202603</t>
        </is>
      </c>
      <c r="F311" s="17" t="inlineStr">
        <is>
          <t>烟台市金豪矿山机械有限公司</t>
        </is>
      </c>
      <c r="G311" s="17" t="inlineStr">
        <is>
          <t>JH0283</t>
        </is>
      </c>
      <c r="H311" s="24">
        <f>IF($G311="","",IFERROR(VLOOKUP($G311,物料档案!$A$4:$P$1203,3,0),"※编码不在物料档案里"))</f>
        <v/>
      </c>
      <c r="I311" s="24">
        <f>IF($G311="","",IFERROR(VLOOKUP($G311,物料档案!$A$4:$P$1203,4,0),"※编码不在物料档案里"))</f>
        <v/>
      </c>
      <c r="J311" s="24">
        <f>IF($G311="","",IFERROR(VLOOKUP($G311,物料档案!$A$4:$P$1203,5,0),"※编码不在物料档案里"))</f>
        <v/>
      </c>
      <c r="K311" s="23" t="n">
        <v>1</v>
      </c>
      <c r="L311" s="31" t="n">
        <v>7800</v>
      </c>
      <c r="M311" s="24">
        <f>IF($G311="","",IF($D311="A国内","CNY","TZS"))</f>
        <v/>
      </c>
      <c r="N311" s="28">
        <f>IF($G311="","",IF($D311="A国内",汇率,1))</f>
        <v/>
      </c>
      <c r="O311" s="25">
        <f>IF($G311="","",ROUND(N($K311)*N($L311),2))</f>
        <v/>
      </c>
      <c r="P311" s="26">
        <f>IF($G311="","",ROUND($O311*$N311,0))</f>
        <v/>
      </c>
      <c r="Q311" s="26">
        <f>IF($G311="","",SUMIFS($P$4:$P$2503,$E$4:$E$2503,$E311,$Z$4:$Z$2503,"正常"))</f>
        <v/>
      </c>
      <c r="R311" s="26">
        <f>IF($G311="","",SUMIFS(费用台账!$I$4:$I$503,费用台账!$C$4:$C$503,$E311,费用台账!$J$4:$J$503,"是",费用台账!$K$4:$K$503,"正常"))</f>
        <v/>
      </c>
      <c r="S311" s="28">
        <f>IF($G311="","",COUNTIFS($E$4:$E$2503,$E311,$Z$4:$Z$2503,"正常",$Y$4:$Y$2503,"待补价"))</f>
        <v/>
      </c>
      <c r="T311" s="26">
        <f>IF($G311="","",SUMIFS($P$4:$P$2503,$E$4:$E$2503,$E311,$Z$4:$Z$2503,"正常",$A$4:$A$2503,"&lt;="&amp;$A311))</f>
        <v/>
      </c>
      <c r="U311" s="26">
        <f>IF($G311="","",IF(OR($S311&gt;0,$Q311=0,$R311=0,$Z311&lt;&gt;"正常"),0,ROUND($T311/$Q311*$R311,0)-ROUND(($T311-$P311)/$Q311*$R311,0)))</f>
        <v/>
      </c>
      <c r="V311" s="26">
        <f>IF($G311="","",ROUND($P311+$U311,0))</f>
        <v/>
      </c>
      <c r="W311" s="26">
        <f>IF($G311="","",IF(N($K311)=0,0,ROUND($V311/$K311,2)))</f>
        <v/>
      </c>
      <c r="X311" s="17" t="inlineStr">
        <is>
          <t>采购入库</t>
        </is>
      </c>
      <c r="Y311" s="17" t="inlineStr">
        <is>
          <t>正常</t>
        </is>
      </c>
      <c r="Z311" s="17" t="inlineStr">
        <is>
          <t>正常</t>
        </is>
      </c>
      <c r="AA311" s="17" t="n"/>
      <c r="AB311" s="17" t="inlineStr">
        <is>
          <t>原表第 316 行</t>
        </is>
      </c>
      <c r="AC311" s="24">
        <f>IF($G311="","",IF($H311="※编码不在物料档案里","※物料编码不在档案里",IF(N($K311)&lt;=0,"※入库数量要大于 0",IF(AND($C311&lt;&gt;"",$C311&lt;=结账锁),"※日期早于已结账截止日，不能再录",IF(AND($L311=0,$X311="正常"),"※没填单价，价格状态请选「待补价」",IF(AND($S311&gt;0,$R311&gt;0),"△本批有 "&amp;$S311&amp;" 行没单价，整批运费先挂账没摊",IF(AND($B311&lt;&gt;"",COUNTIF($B$4:$B$2503,$B311)&gt;1),"※入库单号重复","")))))))</f>
        <v/>
      </c>
    </row>
    <row r="312">
      <c r="A312" s="24">
        <f>IF($G312="","",COUNTA($G$4:$G312))</f>
        <v/>
      </c>
      <c r="B312" s="17" t="n"/>
      <c r="C312" s="30" t="n">
        <v>46098</v>
      </c>
      <c r="D312" s="17" t="inlineStr">
        <is>
          <t>A国内</t>
        </is>
      </c>
      <c r="E312" s="17" t="inlineStr">
        <is>
          <t>MSMU9007511-202603</t>
        </is>
      </c>
      <c r="F312" s="17" t="inlineStr">
        <is>
          <t>烟台市金豪矿山机械有限公司</t>
        </is>
      </c>
      <c r="G312" s="17" t="inlineStr">
        <is>
          <t>JH0284</t>
        </is>
      </c>
      <c r="H312" s="24">
        <f>IF($G312="","",IFERROR(VLOOKUP($G312,物料档案!$A$4:$P$1203,3,0),"※编码不在物料档案里"))</f>
        <v/>
      </c>
      <c r="I312" s="24">
        <f>IF($G312="","",IFERROR(VLOOKUP($G312,物料档案!$A$4:$P$1203,4,0),"※编码不在物料档案里"))</f>
        <v/>
      </c>
      <c r="J312" s="24">
        <f>IF($G312="","",IFERROR(VLOOKUP($G312,物料档案!$A$4:$P$1203,5,0),"※编码不在物料档案里"))</f>
        <v/>
      </c>
      <c r="K312" s="23" t="n">
        <v>2</v>
      </c>
      <c r="L312" s="31" t="n">
        <v>2760</v>
      </c>
      <c r="M312" s="24">
        <f>IF($G312="","",IF($D312="A国内","CNY","TZS"))</f>
        <v/>
      </c>
      <c r="N312" s="28">
        <f>IF($G312="","",IF($D312="A国内",汇率,1))</f>
        <v/>
      </c>
      <c r="O312" s="25">
        <f>IF($G312="","",ROUND(N($K312)*N($L312),2))</f>
        <v/>
      </c>
      <c r="P312" s="26">
        <f>IF($G312="","",ROUND($O312*$N312,0))</f>
        <v/>
      </c>
      <c r="Q312" s="26">
        <f>IF($G312="","",SUMIFS($P$4:$P$2503,$E$4:$E$2503,$E312,$Z$4:$Z$2503,"正常"))</f>
        <v/>
      </c>
      <c r="R312" s="26">
        <f>IF($G312="","",SUMIFS(费用台账!$I$4:$I$503,费用台账!$C$4:$C$503,$E312,费用台账!$J$4:$J$503,"是",费用台账!$K$4:$K$503,"正常"))</f>
        <v/>
      </c>
      <c r="S312" s="28">
        <f>IF($G312="","",COUNTIFS($E$4:$E$2503,$E312,$Z$4:$Z$2503,"正常",$Y$4:$Y$2503,"待补价"))</f>
        <v/>
      </c>
      <c r="T312" s="26">
        <f>IF($G312="","",SUMIFS($P$4:$P$2503,$E$4:$E$2503,$E312,$Z$4:$Z$2503,"正常",$A$4:$A$2503,"&lt;="&amp;$A312))</f>
        <v/>
      </c>
      <c r="U312" s="26">
        <f>IF($G312="","",IF(OR($S312&gt;0,$Q312=0,$R312=0,$Z312&lt;&gt;"正常"),0,ROUND($T312/$Q312*$R312,0)-ROUND(($T312-$P312)/$Q312*$R312,0)))</f>
        <v/>
      </c>
      <c r="V312" s="26">
        <f>IF($G312="","",ROUND($P312+$U312,0))</f>
        <v/>
      </c>
      <c r="W312" s="26">
        <f>IF($G312="","",IF(N($K312)=0,0,ROUND($V312/$K312,2)))</f>
        <v/>
      </c>
      <c r="X312" s="17" t="inlineStr">
        <is>
          <t>采购入库</t>
        </is>
      </c>
      <c r="Y312" s="17" t="inlineStr">
        <is>
          <t>正常</t>
        </is>
      </c>
      <c r="Z312" s="17" t="inlineStr">
        <is>
          <t>正常</t>
        </is>
      </c>
      <c r="AA312" s="17" t="n"/>
      <c r="AB312" s="17" t="inlineStr">
        <is>
          <t>原表第 317 行</t>
        </is>
      </c>
      <c r="AC312" s="24">
        <f>IF($G312="","",IF($H312="※编码不在物料档案里","※物料编码不在档案里",IF(N($K312)&lt;=0,"※入库数量要大于 0",IF(AND($C312&lt;&gt;"",$C312&lt;=结账锁),"※日期早于已结账截止日，不能再录",IF(AND($L312=0,$X312="正常"),"※没填单价，价格状态请选「待补价」",IF(AND($S312&gt;0,$R312&gt;0),"△本批有 "&amp;$S312&amp;" 行没单价，整批运费先挂账没摊",IF(AND($B312&lt;&gt;"",COUNTIF($B$4:$B$2503,$B312)&gt;1),"※入库单号重复","")))))))</f>
        <v/>
      </c>
    </row>
    <row r="313">
      <c r="A313" s="24">
        <f>IF($G313="","",COUNTA($G$4:$G313))</f>
        <v/>
      </c>
      <c r="B313" s="17" t="n"/>
      <c r="C313" s="30" t="n">
        <v>46098</v>
      </c>
      <c r="D313" s="17" t="inlineStr">
        <is>
          <t>A国内</t>
        </is>
      </c>
      <c r="E313" s="17" t="inlineStr">
        <is>
          <t>MSMU9007511-202603</t>
        </is>
      </c>
      <c r="F313" s="17" t="inlineStr">
        <is>
          <t>烟台市金豪矿山机械有限公司</t>
        </is>
      </c>
      <c r="G313" s="17" t="inlineStr">
        <is>
          <t>JH0285</t>
        </is>
      </c>
      <c r="H313" s="24">
        <f>IF($G313="","",IFERROR(VLOOKUP($G313,物料档案!$A$4:$P$1203,3,0),"※编码不在物料档案里"))</f>
        <v/>
      </c>
      <c r="I313" s="24">
        <f>IF($G313="","",IFERROR(VLOOKUP($G313,物料档案!$A$4:$P$1203,4,0),"※编码不在物料档案里"))</f>
        <v/>
      </c>
      <c r="J313" s="24">
        <f>IF($G313="","",IFERROR(VLOOKUP($G313,物料档案!$A$4:$P$1203,5,0),"※编码不在物料档案里"))</f>
        <v/>
      </c>
      <c r="K313" s="23" t="n">
        <v>1</v>
      </c>
      <c r="L313" s="31" t="n">
        <v>2760</v>
      </c>
      <c r="M313" s="24">
        <f>IF($G313="","",IF($D313="A国内","CNY","TZS"))</f>
        <v/>
      </c>
      <c r="N313" s="28">
        <f>IF($G313="","",IF($D313="A国内",汇率,1))</f>
        <v/>
      </c>
      <c r="O313" s="25">
        <f>IF($G313="","",ROUND(N($K313)*N($L313),2))</f>
        <v/>
      </c>
      <c r="P313" s="26">
        <f>IF($G313="","",ROUND($O313*$N313,0))</f>
        <v/>
      </c>
      <c r="Q313" s="26">
        <f>IF($G313="","",SUMIFS($P$4:$P$2503,$E$4:$E$2503,$E313,$Z$4:$Z$2503,"正常"))</f>
        <v/>
      </c>
      <c r="R313" s="26">
        <f>IF($G313="","",SUMIFS(费用台账!$I$4:$I$503,费用台账!$C$4:$C$503,$E313,费用台账!$J$4:$J$503,"是",费用台账!$K$4:$K$503,"正常"))</f>
        <v/>
      </c>
      <c r="S313" s="28">
        <f>IF($G313="","",COUNTIFS($E$4:$E$2503,$E313,$Z$4:$Z$2503,"正常",$Y$4:$Y$2503,"待补价"))</f>
        <v/>
      </c>
      <c r="T313" s="26">
        <f>IF($G313="","",SUMIFS($P$4:$P$2503,$E$4:$E$2503,$E313,$Z$4:$Z$2503,"正常",$A$4:$A$2503,"&lt;="&amp;$A313))</f>
        <v/>
      </c>
      <c r="U313" s="26">
        <f>IF($G313="","",IF(OR($S313&gt;0,$Q313=0,$R313=0,$Z313&lt;&gt;"正常"),0,ROUND($T313/$Q313*$R313,0)-ROUND(($T313-$P313)/$Q313*$R313,0)))</f>
        <v/>
      </c>
      <c r="V313" s="26">
        <f>IF($G313="","",ROUND($P313+$U313,0))</f>
        <v/>
      </c>
      <c r="W313" s="26">
        <f>IF($G313="","",IF(N($K313)=0,0,ROUND($V313/$K313,2)))</f>
        <v/>
      </c>
      <c r="X313" s="17" t="inlineStr">
        <is>
          <t>采购入库</t>
        </is>
      </c>
      <c r="Y313" s="17" t="inlineStr">
        <is>
          <t>正常</t>
        </is>
      </c>
      <c r="Z313" s="17" t="inlineStr">
        <is>
          <t>正常</t>
        </is>
      </c>
      <c r="AA313" s="17" t="n"/>
      <c r="AB313" s="17" t="inlineStr">
        <is>
          <t>原表第 318 行</t>
        </is>
      </c>
      <c r="AC313" s="24">
        <f>IF($G313="","",IF($H313="※编码不在物料档案里","※物料编码不在档案里",IF(N($K313)&lt;=0,"※入库数量要大于 0",IF(AND($C313&lt;&gt;"",$C313&lt;=结账锁),"※日期早于已结账截止日，不能再录",IF(AND($L313=0,$X313="正常"),"※没填单价，价格状态请选「待补价」",IF(AND($S313&gt;0,$R313&gt;0),"△本批有 "&amp;$S313&amp;" 行没单价，整批运费先挂账没摊",IF(AND($B313&lt;&gt;"",COUNTIF($B$4:$B$2503,$B313)&gt;1),"※入库单号重复","")))))))</f>
        <v/>
      </c>
    </row>
    <row r="314">
      <c r="A314" s="24">
        <f>IF($G314="","",COUNTA($G$4:$G314))</f>
        <v/>
      </c>
      <c r="B314" s="17" t="n"/>
      <c r="C314" s="30" t="n">
        <v>46098</v>
      </c>
      <c r="D314" s="17" t="inlineStr">
        <is>
          <t>A国内</t>
        </is>
      </c>
      <c r="E314" s="17" t="inlineStr">
        <is>
          <t>MSMU9007511-202603</t>
        </is>
      </c>
      <c r="F314" s="17" t="inlineStr">
        <is>
          <t>烟台市金豪矿山机械有限公司</t>
        </is>
      </c>
      <c r="G314" s="17" t="inlineStr">
        <is>
          <t>JH0286</t>
        </is>
      </c>
      <c r="H314" s="24">
        <f>IF($G314="","",IFERROR(VLOOKUP($G314,物料档案!$A$4:$P$1203,3,0),"※编码不在物料档案里"))</f>
        <v/>
      </c>
      <c r="I314" s="24">
        <f>IF($G314="","",IFERROR(VLOOKUP($G314,物料档案!$A$4:$P$1203,4,0),"※编码不在物料档案里"))</f>
        <v/>
      </c>
      <c r="J314" s="24">
        <f>IF($G314="","",IFERROR(VLOOKUP($G314,物料档案!$A$4:$P$1203,5,0),"※编码不在物料档案里"))</f>
        <v/>
      </c>
      <c r="K314" s="23" t="n">
        <v>1</v>
      </c>
      <c r="L314" s="31" t="n"/>
      <c r="M314" s="24">
        <f>IF($G314="","",IF($D314="A国内","CNY","TZS"))</f>
        <v/>
      </c>
      <c r="N314" s="28">
        <f>IF($G314="","",IF($D314="A国内",汇率,1))</f>
        <v/>
      </c>
      <c r="O314" s="25">
        <f>IF($G314="","",ROUND(N($K314)*N($L314),2))</f>
        <v/>
      </c>
      <c r="P314" s="26">
        <f>IF($G314="","",ROUND($O314*$N314,0))</f>
        <v/>
      </c>
      <c r="Q314" s="26">
        <f>IF($G314="","",SUMIFS($P$4:$P$2503,$E$4:$E$2503,$E314,$Z$4:$Z$2503,"正常"))</f>
        <v/>
      </c>
      <c r="R314" s="26">
        <f>IF($G314="","",SUMIFS(费用台账!$I$4:$I$503,费用台账!$C$4:$C$503,$E314,费用台账!$J$4:$J$503,"是",费用台账!$K$4:$K$503,"正常"))</f>
        <v/>
      </c>
      <c r="S314" s="28">
        <f>IF($G314="","",COUNTIFS($E$4:$E$2503,$E314,$Z$4:$Z$2503,"正常",$Y$4:$Y$2503,"待补价"))</f>
        <v/>
      </c>
      <c r="T314" s="26">
        <f>IF($G314="","",SUMIFS($P$4:$P$2503,$E$4:$E$2503,$E314,$Z$4:$Z$2503,"正常",$A$4:$A$2503,"&lt;="&amp;$A314))</f>
        <v/>
      </c>
      <c r="U314" s="26">
        <f>IF($G314="","",IF(OR($S314&gt;0,$Q314=0,$R314=0,$Z314&lt;&gt;"正常"),0,ROUND($T314/$Q314*$R314,0)-ROUND(($T314-$P314)/$Q314*$R314,0)))</f>
        <v/>
      </c>
      <c r="V314" s="26">
        <f>IF($G314="","",ROUND($P314+$U314,0))</f>
        <v/>
      </c>
      <c r="W314" s="26">
        <f>IF($G314="","",IF(N($K314)=0,0,ROUND($V314/$K314,2)))</f>
        <v/>
      </c>
      <c r="X314" s="17" t="inlineStr">
        <is>
          <t>采购入库</t>
        </is>
      </c>
      <c r="Y314" s="17" t="inlineStr">
        <is>
          <t>待补价</t>
        </is>
      </c>
      <c r="Z314" s="17" t="inlineStr">
        <is>
          <t>正常</t>
        </is>
      </c>
      <c r="AA314" s="17" t="n"/>
      <c r="AB314" s="17" t="inlineStr">
        <is>
          <t>原表第 319 行</t>
        </is>
      </c>
      <c r="AC314" s="24">
        <f>IF($G314="","",IF($H314="※编码不在物料档案里","※物料编码不在档案里",IF(N($K314)&lt;=0,"※入库数量要大于 0",IF(AND($C314&lt;&gt;"",$C314&lt;=结账锁),"※日期早于已结账截止日，不能再录",IF(AND($L314=0,$X314="正常"),"※没填单价，价格状态请选「待补价」",IF(AND($S314&gt;0,$R314&gt;0),"△本批有 "&amp;$S314&amp;" 行没单价，整批运费先挂账没摊",IF(AND($B314&lt;&gt;"",COUNTIF($B$4:$B$2503,$B314)&gt;1),"※入库单号重复","")))))))</f>
        <v/>
      </c>
    </row>
    <row r="315">
      <c r="A315" s="24">
        <f>IF($G315="","",COUNTA($G$4:$G315))</f>
        <v/>
      </c>
      <c r="B315" s="17" t="n"/>
      <c r="C315" s="30" t="n">
        <v>46098</v>
      </c>
      <c r="D315" s="17" t="inlineStr">
        <is>
          <t>A国内</t>
        </is>
      </c>
      <c r="E315" s="17" t="inlineStr">
        <is>
          <t>MSMU9007511-202603</t>
        </is>
      </c>
      <c r="F315" s="17" t="inlineStr">
        <is>
          <t>烟台市金豪矿山机械有限公司</t>
        </is>
      </c>
      <c r="G315" s="17" t="inlineStr">
        <is>
          <t>JH0287</t>
        </is>
      </c>
      <c r="H315" s="24">
        <f>IF($G315="","",IFERROR(VLOOKUP($G315,物料档案!$A$4:$P$1203,3,0),"※编码不在物料档案里"))</f>
        <v/>
      </c>
      <c r="I315" s="24">
        <f>IF($G315="","",IFERROR(VLOOKUP($G315,物料档案!$A$4:$P$1203,4,0),"※编码不在物料档案里"))</f>
        <v/>
      </c>
      <c r="J315" s="24">
        <f>IF($G315="","",IFERROR(VLOOKUP($G315,物料档案!$A$4:$P$1203,5,0),"※编码不在物料档案里"))</f>
        <v/>
      </c>
      <c r="K315" s="23" t="n">
        <v>2</v>
      </c>
      <c r="L315" s="31" t="n"/>
      <c r="M315" s="24">
        <f>IF($G315="","",IF($D315="A国内","CNY","TZS"))</f>
        <v/>
      </c>
      <c r="N315" s="28">
        <f>IF($G315="","",IF($D315="A国内",汇率,1))</f>
        <v/>
      </c>
      <c r="O315" s="25">
        <f>IF($G315="","",ROUND(N($K315)*N($L315),2))</f>
        <v/>
      </c>
      <c r="P315" s="26">
        <f>IF($G315="","",ROUND($O315*$N315,0))</f>
        <v/>
      </c>
      <c r="Q315" s="26">
        <f>IF($G315="","",SUMIFS($P$4:$P$2503,$E$4:$E$2503,$E315,$Z$4:$Z$2503,"正常"))</f>
        <v/>
      </c>
      <c r="R315" s="26">
        <f>IF($G315="","",SUMIFS(费用台账!$I$4:$I$503,费用台账!$C$4:$C$503,$E315,费用台账!$J$4:$J$503,"是",费用台账!$K$4:$K$503,"正常"))</f>
        <v/>
      </c>
      <c r="S315" s="28">
        <f>IF($G315="","",COUNTIFS($E$4:$E$2503,$E315,$Z$4:$Z$2503,"正常",$Y$4:$Y$2503,"待补价"))</f>
        <v/>
      </c>
      <c r="T315" s="26">
        <f>IF($G315="","",SUMIFS($P$4:$P$2503,$E$4:$E$2503,$E315,$Z$4:$Z$2503,"正常",$A$4:$A$2503,"&lt;="&amp;$A315))</f>
        <v/>
      </c>
      <c r="U315" s="26">
        <f>IF($G315="","",IF(OR($S315&gt;0,$Q315=0,$R315=0,$Z315&lt;&gt;"正常"),0,ROUND($T315/$Q315*$R315,0)-ROUND(($T315-$P315)/$Q315*$R315,0)))</f>
        <v/>
      </c>
      <c r="V315" s="26">
        <f>IF($G315="","",ROUND($P315+$U315,0))</f>
        <v/>
      </c>
      <c r="W315" s="26">
        <f>IF($G315="","",IF(N($K315)=0,0,ROUND($V315/$K315,2)))</f>
        <v/>
      </c>
      <c r="X315" s="17" t="inlineStr">
        <is>
          <t>采购入库</t>
        </is>
      </c>
      <c r="Y315" s="17" t="inlineStr">
        <is>
          <t>待补价</t>
        </is>
      </c>
      <c r="Z315" s="17" t="inlineStr">
        <is>
          <t>正常</t>
        </is>
      </c>
      <c r="AA315" s="17" t="n"/>
      <c r="AB315" s="17" t="inlineStr">
        <is>
          <t>原表第 320 行</t>
        </is>
      </c>
      <c r="AC315" s="24">
        <f>IF($G315="","",IF($H315="※编码不在物料档案里","※物料编码不在档案里",IF(N($K315)&lt;=0,"※入库数量要大于 0",IF(AND($C315&lt;&gt;"",$C315&lt;=结账锁),"※日期早于已结账截止日，不能再录",IF(AND($L315=0,$X315="正常"),"※没填单价，价格状态请选「待补价」",IF(AND($S315&gt;0,$R315&gt;0),"△本批有 "&amp;$S315&amp;" 行没单价，整批运费先挂账没摊",IF(AND($B315&lt;&gt;"",COUNTIF($B$4:$B$2503,$B315)&gt;1),"※入库单号重复","")))))))</f>
        <v/>
      </c>
    </row>
    <row r="316">
      <c r="A316" s="24">
        <f>IF($G316="","",COUNTA($G$4:$G316))</f>
        <v/>
      </c>
      <c r="B316" s="17" t="n"/>
      <c r="C316" s="30" t="n">
        <v>46098</v>
      </c>
      <c r="D316" s="17" t="inlineStr">
        <is>
          <t>A国内</t>
        </is>
      </c>
      <c r="E316" s="17" t="inlineStr">
        <is>
          <t>MSMU9007511-202603</t>
        </is>
      </c>
      <c r="F316" s="17" t="inlineStr">
        <is>
          <t>烟台市金豪矿山机械有限公司</t>
        </is>
      </c>
      <c r="G316" s="17" t="inlineStr">
        <is>
          <t>JH0288</t>
        </is>
      </c>
      <c r="H316" s="24">
        <f>IF($G316="","",IFERROR(VLOOKUP($G316,物料档案!$A$4:$P$1203,3,0),"※编码不在物料档案里"))</f>
        <v/>
      </c>
      <c r="I316" s="24">
        <f>IF($G316="","",IFERROR(VLOOKUP($G316,物料档案!$A$4:$P$1203,4,0),"※编码不在物料档案里"))</f>
        <v/>
      </c>
      <c r="J316" s="24">
        <f>IF($G316="","",IFERROR(VLOOKUP($G316,物料档案!$A$4:$P$1203,5,0),"※编码不在物料档案里"))</f>
        <v/>
      </c>
      <c r="K316" s="23" t="n">
        <v>1</v>
      </c>
      <c r="L316" s="31" t="n"/>
      <c r="M316" s="24">
        <f>IF($G316="","",IF($D316="A国内","CNY","TZS"))</f>
        <v/>
      </c>
      <c r="N316" s="28">
        <f>IF($G316="","",IF($D316="A国内",汇率,1))</f>
        <v/>
      </c>
      <c r="O316" s="25">
        <f>IF($G316="","",ROUND(N($K316)*N($L316),2))</f>
        <v/>
      </c>
      <c r="P316" s="26">
        <f>IF($G316="","",ROUND($O316*$N316,0))</f>
        <v/>
      </c>
      <c r="Q316" s="26">
        <f>IF($G316="","",SUMIFS($P$4:$P$2503,$E$4:$E$2503,$E316,$Z$4:$Z$2503,"正常"))</f>
        <v/>
      </c>
      <c r="R316" s="26">
        <f>IF($G316="","",SUMIFS(费用台账!$I$4:$I$503,费用台账!$C$4:$C$503,$E316,费用台账!$J$4:$J$503,"是",费用台账!$K$4:$K$503,"正常"))</f>
        <v/>
      </c>
      <c r="S316" s="28">
        <f>IF($G316="","",COUNTIFS($E$4:$E$2503,$E316,$Z$4:$Z$2503,"正常",$Y$4:$Y$2503,"待补价"))</f>
        <v/>
      </c>
      <c r="T316" s="26">
        <f>IF($G316="","",SUMIFS($P$4:$P$2503,$E$4:$E$2503,$E316,$Z$4:$Z$2503,"正常",$A$4:$A$2503,"&lt;="&amp;$A316))</f>
        <v/>
      </c>
      <c r="U316" s="26">
        <f>IF($G316="","",IF(OR($S316&gt;0,$Q316=0,$R316=0,$Z316&lt;&gt;"正常"),0,ROUND($T316/$Q316*$R316,0)-ROUND(($T316-$P316)/$Q316*$R316,0)))</f>
        <v/>
      </c>
      <c r="V316" s="26">
        <f>IF($G316="","",ROUND($P316+$U316,0))</f>
        <v/>
      </c>
      <c r="W316" s="26">
        <f>IF($G316="","",IF(N($K316)=0,0,ROUND($V316/$K316,2)))</f>
        <v/>
      </c>
      <c r="X316" s="17" t="inlineStr">
        <is>
          <t>采购入库</t>
        </is>
      </c>
      <c r="Y316" s="17" t="inlineStr">
        <is>
          <t>待补价</t>
        </is>
      </c>
      <c r="Z316" s="17" t="inlineStr">
        <is>
          <t>正常</t>
        </is>
      </c>
      <c r="AA316" s="17" t="n"/>
      <c r="AB316" s="17" t="inlineStr">
        <is>
          <t>原表第 321 行</t>
        </is>
      </c>
      <c r="AC316" s="24">
        <f>IF($G316="","",IF($H316="※编码不在物料档案里","※物料编码不在档案里",IF(N($K316)&lt;=0,"※入库数量要大于 0",IF(AND($C316&lt;&gt;"",$C316&lt;=结账锁),"※日期早于已结账截止日，不能再录",IF(AND($L316=0,$X316="正常"),"※没填单价，价格状态请选「待补价」",IF(AND($S316&gt;0,$R316&gt;0),"△本批有 "&amp;$S316&amp;" 行没单价，整批运费先挂账没摊",IF(AND($B316&lt;&gt;"",COUNTIF($B$4:$B$2503,$B316)&gt;1),"※入库单号重复","")))))))</f>
        <v/>
      </c>
    </row>
    <row r="317">
      <c r="A317" s="24">
        <f>IF($G317="","",COUNTA($G$4:$G317))</f>
        <v/>
      </c>
      <c r="B317" s="17" t="n"/>
      <c r="C317" s="30" t="n">
        <v>46098</v>
      </c>
      <c r="D317" s="17" t="inlineStr">
        <is>
          <t>A国内</t>
        </is>
      </c>
      <c r="E317" s="17" t="inlineStr">
        <is>
          <t>MSMU9007511-202603</t>
        </is>
      </c>
      <c r="F317" s="17" t="inlineStr">
        <is>
          <t>烟台市金豪矿山机械有限公司</t>
        </is>
      </c>
      <c r="G317" s="17" t="inlineStr">
        <is>
          <t>JH0267</t>
        </is>
      </c>
      <c r="H317" s="24">
        <f>IF($G317="","",IFERROR(VLOOKUP($G317,物料档案!$A$4:$P$1203,3,0),"※编码不在物料档案里"))</f>
        <v/>
      </c>
      <c r="I317" s="24">
        <f>IF($G317="","",IFERROR(VLOOKUP($G317,物料档案!$A$4:$P$1203,4,0),"※编码不在物料档案里"))</f>
        <v/>
      </c>
      <c r="J317" s="24">
        <f>IF($G317="","",IFERROR(VLOOKUP($G317,物料档案!$A$4:$P$1203,5,0),"※编码不在物料档案里"))</f>
        <v/>
      </c>
      <c r="K317" s="23" t="n">
        <v>2</v>
      </c>
      <c r="L317" s="31" t="n"/>
      <c r="M317" s="24">
        <f>IF($G317="","",IF($D317="A国内","CNY","TZS"))</f>
        <v/>
      </c>
      <c r="N317" s="28">
        <f>IF($G317="","",IF($D317="A国内",汇率,1))</f>
        <v/>
      </c>
      <c r="O317" s="25">
        <f>IF($G317="","",ROUND(N($K317)*N($L317),2))</f>
        <v/>
      </c>
      <c r="P317" s="26">
        <f>IF($G317="","",ROUND($O317*$N317,0))</f>
        <v/>
      </c>
      <c r="Q317" s="26">
        <f>IF($G317="","",SUMIFS($P$4:$P$2503,$E$4:$E$2503,$E317,$Z$4:$Z$2503,"正常"))</f>
        <v/>
      </c>
      <c r="R317" s="26">
        <f>IF($G317="","",SUMIFS(费用台账!$I$4:$I$503,费用台账!$C$4:$C$503,$E317,费用台账!$J$4:$J$503,"是",费用台账!$K$4:$K$503,"正常"))</f>
        <v/>
      </c>
      <c r="S317" s="28">
        <f>IF($G317="","",COUNTIFS($E$4:$E$2503,$E317,$Z$4:$Z$2503,"正常",$Y$4:$Y$2503,"待补价"))</f>
        <v/>
      </c>
      <c r="T317" s="26">
        <f>IF($G317="","",SUMIFS($P$4:$P$2503,$E$4:$E$2503,$E317,$Z$4:$Z$2503,"正常",$A$4:$A$2503,"&lt;="&amp;$A317))</f>
        <v/>
      </c>
      <c r="U317" s="26">
        <f>IF($G317="","",IF(OR($S317&gt;0,$Q317=0,$R317=0,$Z317&lt;&gt;"正常"),0,ROUND($T317/$Q317*$R317,0)-ROUND(($T317-$P317)/$Q317*$R317,0)))</f>
        <v/>
      </c>
      <c r="V317" s="26">
        <f>IF($G317="","",ROUND($P317+$U317,0))</f>
        <v/>
      </c>
      <c r="W317" s="26">
        <f>IF($G317="","",IF(N($K317)=0,0,ROUND($V317/$K317,2)))</f>
        <v/>
      </c>
      <c r="X317" s="17" t="inlineStr">
        <is>
          <t>采购入库</t>
        </is>
      </c>
      <c r="Y317" s="17" t="inlineStr">
        <is>
          <t>待补价</t>
        </is>
      </c>
      <c r="Z317" s="17" t="inlineStr">
        <is>
          <t>正常</t>
        </is>
      </c>
      <c r="AA317" s="17" t="n"/>
      <c r="AB317" s="17" t="inlineStr">
        <is>
          <t>原表第 322 行</t>
        </is>
      </c>
      <c r="AC317" s="24">
        <f>IF($G317="","",IF($H317="※编码不在物料档案里","※物料编码不在档案里",IF(N($K317)&lt;=0,"※入库数量要大于 0",IF(AND($C317&lt;&gt;"",$C317&lt;=结账锁),"※日期早于已结账截止日，不能再录",IF(AND($L317=0,$X317="正常"),"※没填单价，价格状态请选「待补价」",IF(AND($S317&gt;0,$R317&gt;0),"△本批有 "&amp;$S317&amp;" 行没单价，整批运费先挂账没摊",IF(AND($B317&lt;&gt;"",COUNTIF($B$4:$B$2503,$B317)&gt;1),"※入库单号重复","")))))))</f>
        <v/>
      </c>
    </row>
    <row r="318">
      <c r="A318" s="24">
        <f>IF($G318="","",COUNTA($G$4:$G318))</f>
        <v/>
      </c>
      <c r="B318" s="17" t="n"/>
      <c r="C318" s="30" t="n">
        <v>46098</v>
      </c>
      <c r="D318" s="17" t="inlineStr">
        <is>
          <t>A国内</t>
        </is>
      </c>
      <c r="E318" s="17" t="inlineStr">
        <is>
          <t>MSMU9007511-202603</t>
        </is>
      </c>
      <c r="F318" s="17" t="inlineStr">
        <is>
          <t>烟台市金豪矿山机械有限公司</t>
        </is>
      </c>
      <c r="G318" s="17" t="inlineStr">
        <is>
          <t>JH0289</t>
        </is>
      </c>
      <c r="H318" s="24">
        <f>IF($G318="","",IFERROR(VLOOKUP($G318,物料档案!$A$4:$P$1203,3,0),"※编码不在物料档案里"))</f>
        <v/>
      </c>
      <c r="I318" s="24">
        <f>IF($G318="","",IFERROR(VLOOKUP($G318,物料档案!$A$4:$P$1203,4,0),"※编码不在物料档案里"))</f>
        <v/>
      </c>
      <c r="J318" s="24">
        <f>IF($G318="","",IFERROR(VLOOKUP($G318,物料档案!$A$4:$P$1203,5,0),"※编码不在物料档案里"))</f>
        <v/>
      </c>
      <c r="K318" s="23" t="n">
        <v>2</v>
      </c>
      <c r="L318" s="31" t="n"/>
      <c r="M318" s="24">
        <f>IF($G318="","",IF($D318="A国内","CNY","TZS"))</f>
        <v/>
      </c>
      <c r="N318" s="28">
        <f>IF($G318="","",IF($D318="A国内",汇率,1))</f>
        <v/>
      </c>
      <c r="O318" s="25">
        <f>IF($G318="","",ROUND(N($K318)*N($L318),2))</f>
        <v/>
      </c>
      <c r="P318" s="26">
        <f>IF($G318="","",ROUND($O318*$N318,0))</f>
        <v/>
      </c>
      <c r="Q318" s="26">
        <f>IF($G318="","",SUMIFS($P$4:$P$2503,$E$4:$E$2503,$E318,$Z$4:$Z$2503,"正常"))</f>
        <v/>
      </c>
      <c r="R318" s="26">
        <f>IF($G318="","",SUMIFS(费用台账!$I$4:$I$503,费用台账!$C$4:$C$503,$E318,费用台账!$J$4:$J$503,"是",费用台账!$K$4:$K$503,"正常"))</f>
        <v/>
      </c>
      <c r="S318" s="28">
        <f>IF($G318="","",COUNTIFS($E$4:$E$2503,$E318,$Z$4:$Z$2503,"正常",$Y$4:$Y$2503,"待补价"))</f>
        <v/>
      </c>
      <c r="T318" s="26">
        <f>IF($G318="","",SUMIFS($P$4:$P$2503,$E$4:$E$2503,$E318,$Z$4:$Z$2503,"正常",$A$4:$A$2503,"&lt;="&amp;$A318))</f>
        <v/>
      </c>
      <c r="U318" s="26">
        <f>IF($G318="","",IF(OR($S318&gt;0,$Q318=0,$R318=0,$Z318&lt;&gt;"正常"),0,ROUND($T318/$Q318*$R318,0)-ROUND(($T318-$P318)/$Q318*$R318,0)))</f>
        <v/>
      </c>
      <c r="V318" s="26">
        <f>IF($G318="","",ROUND($P318+$U318,0))</f>
        <v/>
      </c>
      <c r="W318" s="26">
        <f>IF($G318="","",IF(N($K318)=0,0,ROUND($V318/$K318,2)))</f>
        <v/>
      </c>
      <c r="X318" s="17" t="inlineStr">
        <is>
          <t>采购入库</t>
        </is>
      </c>
      <c r="Y318" s="17" t="inlineStr">
        <is>
          <t>待补价</t>
        </is>
      </c>
      <c r="Z318" s="17" t="inlineStr">
        <is>
          <t>正常</t>
        </is>
      </c>
      <c r="AA318" s="17" t="n"/>
      <c r="AB318" s="17" t="inlineStr">
        <is>
          <t>原表第 323 行</t>
        </is>
      </c>
      <c r="AC318" s="24">
        <f>IF($G318="","",IF($H318="※编码不在物料档案里","※物料编码不在档案里",IF(N($K318)&lt;=0,"※入库数量要大于 0",IF(AND($C318&lt;&gt;"",$C318&lt;=结账锁),"※日期早于已结账截止日，不能再录",IF(AND($L318=0,$X318="正常"),"※没填单价，价格状态请选「待补价」",IF(AND($S318&gt;0,$R318&gt;0),"△本批有 "&amp;$S318&amp;" 行没单价，整批运费先挂账没摊",IF(AND($B318&lt;&gt;"",COUNTIF($B$4:$B$2503,$B318)&gt;1),"※入库单号重复","")))))))</f>
        <v/>
      </c>
    </row>
    <row r="319">
      <c r="A319" s="24">
        <f>IF($G319="","",COUNTA($G$4:$G319))</f>
        <v/>
      </c>
      <c r="B319" s="17" t="n"/>
      <c r="C319" s="30" t="n">
        <v>46098</v>
      </c>
      <c r="D319" s="17" t="inlineStr">
        <is>
          <t>A国内</t>
        </is>
      </c>
      <c r="E319" s="17" t="inlineStr">
        <is>
          <t>MSMU9007511-202603</t>
        </is>
      </c>
      <c r="F319" s="17" t="inlineStr">
        <is>
          <t>烟台市金豪矿山机械有限公司</t>
        </is>
      </c>
      <c r="G319" s="17" t="inlineStr">
        <is>
          <t>JH0290</t>
        </is>
      </c>
      <c r="H319" s="24">
        <f>IF($G319="","",IFERROR(VLOOKUP($G319,物料档案!$A$4:$P$1203,3,0),"※编码不在物料档案里"))</f>
        <v/>
      </c>
      <c r="I319" s="24">
        <f>IF($G319="","",IFERROR(VLOOKUP($G319,物料档案!$A$4:$P$1203,4,0),"※编码不在物料档案里"))</f>
        <v/>
      </c>
      <c r="J319" s="24">
        <f>IF($G319="","",IFERROR(VLOOKUP($G319,物料档案!$A$4:$P$1203,5,0),"※编码不在物料档案里"))</f>
        <v/>
      </c>
      <c r="K319" s="23" t="n">
        <v>2</v>
      </c>
      <c r="L319" s="31" t="n"/>
      <c r="M319" s="24">
        <f>IF($G319="","",IF($D319="A国内","CNY","TZS"))</f>
        <v/>
      </c>
      <c r="N319" s="28">
        <f>IF($G319="","",IF($D319="A国内",汇率,1))</f>
        <v/>
      </c>
      <c r="O319" s="25">
        <f>IF($G319="","",ROUND(N($K319)*N($L319),2))</f>
        <v/>
      </c>
      <c r="P319" s="26">
        <f>IF($G319="","",ROUND($O319*$N319,0))</f>
        <v/>
      </c>
      <c r="Q319" s="26">
        <f>IF($G319="","",SUMIFS($P$4:$P$2503,$E$4:$E$2503,$E319,$Z$4:$Z$2503,"正常"))</f>
        <v/>
      </c>
      <c r="R319" s="26">
        <f>IF($G319="","",SUMIFS(费用台账!$I$4:$I$503,费用台账!$C$4:$C$503,$E319,费用台账!$J$4:$J$503,"是",费用台账!$K$4:$K$503,"正常"))</f>
        <v/>
      </c>
      <c r="S319" s="28">
        <f>IF($G319="","",COUNTIFS($E$4:$E$2503,$E319,$Z$4:$Z$2503,"正常",$Y$4:$Y$2503,"待补价"))</f>
        <v/>
      </c>
      <c r="T319" s="26">
        <f>IF($G319="","",SUMIFS($P$4:$P$2503,$E$4:$E$2503,$E319,$Z$4:$Z$2503,"正常",$A$4:$A$2503,"&lt;="&amp;$A319))</f>
        <v/>
      </c>
      <c r="U319" s="26">
        <f>IF($G319="","",IF(OR($S319&gt;0,$Q319=0,$R319=0,$Z319&lt;&gt;"正常"),0,ROUND($T319/$Q319*$R319,0)-ROUND(($T319-$P319)/$Q319*$R319,0)))</f>
        <v/>
      </c>
      <c r="V319" s="26">
        <f>IF($G319="","",ROUND($P319+$U319,0))</f>
        <v/>
      </c>
      <c r="W319" s="26">
        <f>IF($G319="","",IF(N($K319)=0,0,ROUND($V319/$K319,2)))</f>
        <v/>
      </c>
      <c r="X319" s="17" t="inlineStr">
        <is>
          <t>采购入库</t>
        </is>
      </c>
      <c r="Y319" s="17" t="inlineStr">
        <is>
          <t>待补价</t>
        </is>
      </c>
      <c r="Z319" s="17" t="inlineStr">
        <is>
          <t>正常</t>
        </is>
      </c>
      <c r="AA319" s="17" t="n"/>
      <c r="AB319" s="17" t="inlineStr">
        <is>
          <t>原表第 324 行</t>
        </is>
      </c>
      <c r="AC319" s="24">
        <f>IF($G319="","",IF($H319="※编码不在物料档案里","※物料编码不在档案里",IF(N($K319)&lt;=0,"※入库数量要大于 0",IF(AND($C319&lt;&gt;"",$C319&lt;=结账锁),"※日期早于已结账截止日，不能再录",IF(AND($L319=0,$X319="正常"),"※没填单价，价格状态请选「待补价」",IF(AND($S319&gt;0,$R319&gt;0),"△本批有 "&amp;$S319&amp;" 行没单价，整批运费先挂账没摊",IF(AND($B319&lt;&gt;"",COUNTIF($B$4:$B$2503,$B319)&gt;1),"※入库单号重复","")))))))</f>
        <v/>
      </c>
    </row>
    <row r="320">
      <c r="A320" s="24">
        <f>IF($G320="","",COUNTA($G$4:$G320))</f>
        <v/>
      </c>
      <c r="B320" s="17" t="n"/>
      <c r="C320" s="30" t="n">
        <v>46098</v>
      </c>
      <c r="D320" s="17" t="inlineStr">
        <is>
          <t>A国内</t>
        </is>
      </c>
      <c r="E320" s="17" t="inlineStr">
        <is>
          <t>MSMU9007511-202603</t>
        </is>
      </c>
      <c r="F320" s="17" t="inlineStr">
        <is>
          <t>烟台市金豪矿山机械有限公司</t>
        </is>
      </c>
      <c r="G320" s="17" t="inlineStr">
        <is>
          <t>JH0291</t>
        </is>
      </c>
      <c r="H320" s="24">
        <f>IF($G320="","",IFERROR(VLOOKUP($G320,物料档案!$A$4:$P$1203,3,0),"※编码不在物料档案里"))</f>
        <v/>
      </c>
      <c r="I320" s="24">
        <f>IF($G320="","",IFERROR(VLOOKUP($G320,物料档案!$A$4:$P$1203,4,0),"※编码不在物料档案里"))</f>
        <v/>
      </c>
      <c r="J320" s="24">
        <f>IF($G320="","",IFERROR(VLOOKUP($G320,物料档案!$A$4:$P$1203,5,0),"※编码不在物料档案里"))</f>
        <v/>
      </c>
      <c r="K320" s="23" t="n">
        <v>192</v>
      </c>
      <c r="L320" s="31" t="n"/>
      <c r="M320" s="24">
        <f>IF($G320="","",IF($D320="A国内","CNY","TZS"))</f>
        <v/>
      </c>
      <c r="N320" s="28">
        <f>IF($G320="","",IF($D320="A国内",汇率,1))</f>
        <v/>
      </c>
      <c r="O320" s="25">
        <f>IF($G320="","",ROUND(N($K320)*N($L320),2))</f>
        <v/>
      </c>
      <c r="P320" s="26">
        <f>IF($G320="","",ROUND($O320*$N320,0))</f>
        <v/>
      </c>
      <c r="Q320" s="26">
        <f>IF($G320="","",SUMIFS($P$4:$P$2503,$E$4:$E$2503,$E320,$Z$4:$Z$2503,"正常"))</f>
        <v/>
      </c>
      <c r="R320" s="26">
        <f>IF($G320="","",SUMIFS(费用台账!$I$4:$I$503,费用台账!$C$4:$C$503,$E320,费用台账!$J$4:$J$503,"是",费用台账!$K$4:$K$503,"正常"))</f>
        <v/>
      </c>
      <c r="S320" s="28">
        <f>IF($G320="","",COUNTIFS($E$4:$E$2503,$E320,$Z$4:$Z$2503,"正常",$Y$4:$Y$2503,"待补价"))</f>
        <v/>
      </c>
      <c r="T320" s="26">
        <f>IF($G320="","",SUMIFS($P$4:$P$2503,$E$4:$E$2503,$E320,$Z$4:$Z$2503,"正常",$A$4:$A$2503,"&lt;="&amp;$A320))</f>
        <v/>
      </c>
      <c r="U320" s="26">
        <f>IF($G320="","",IF(OR($S320&gt;0,$Q320=0,$R320=0,$Z320&lt;&gt;"正常"),0,ROUND($T320/$Q320*$R320,0)-ROUND(($T320-$P320)/$Q320*$R320,0)))</f>
        <v/>
      </c>
      <c r="V320" s="26">
        <f>IF($G320="","",ROUND($P320+$U320,0))</f>
        <v/>
      </c>
      <c r="W320" s="26">
        <f>IF($G320="","",IF(N($K320)=0,0,ROUND($V320/$K320,2)))</f>
        <v/>
      </c>
      <c r="X320" s="17" t="inlineStr">
        <is>
          <t>采购入库</t>
        </is>
      </c>
      <c r="Y320" s="17" t="inlineStr">
        <is>
          <t>待补价</t>
        </is>
      </c>
      <c r="Z320" s="17" t="inlineStr">
        <is>
          <t>正常</t>
        </is>
      </c>
      <c r="AA320" s="17" t="n"/>
      <c r="AB320" s="17" t="inlineStr">
        <is>
          <t>原表第 325 行</t>
        </is>
      </c>
      <c r="AC320" s="24">
        <f>IF($G320="","",IF($H320="※编码不在物料档案里","※物料编码不在档案里",IF(N($K320)&lt;=0,"※入库数量要大于 0",IF(AND($C320&lt;&gt;"",$C320&lt;=结账锁),"※日期早于已结账截止日，不能再录",IF(AND($L320=0,$X320="正常"),"※没填单价，价格状态请选「待补价」",IF(AND($S320&gt;0,$R320&gt;0),"△本批有 "&amp;$S320&amp;" 行没单价，整批运费先挂账没摊",IF(AND($B320&lt;&gt;"",COUNTIF($B$4:$B$2503,$B320)&gt;1),"※入库单号重复","")))))))</f>
        <v/>
      </c>
    </row>
    <row r="321">
      <c r="A321" s="24">
        <f>IF($G321="","",COUNTA($G$4:$G321))</f>
        <v/>
      </c>
      <c r="B321" s="17" t="n"/>
      <c r="C321" s="30" t="n">
        <v>46098</v>
      </c>
      <c r="D321" s="17" t="inlineStr">
        <is>
          <t>A国内</t>
        </is>
      </c>
      <c r="E321" s="17" t="inlineStr">
        <is>
          <t>MSMU9007511-202603</t>
        </is>
      </c>
      <c r="F321" s="17" t="inlineStr">
        <is>
          <t>烟台市金豪矿山机械有限公司</t>
        </is>
      </c>
      <c r="G321" s="17" t="inlineStr">
        <is>
          <t>JH0292</t>
        </is>
      </c>
      <c r="H321" s="24">
        <f>IF($G321="","",IFERROR(VLOOKUP($G321,物料档案!$A$4:$P$1203,3,0),"※编码不在物料档案里"))</f>
        <v/>
      </c>
      <c r="I321" s="24">
        <f>IF($G321="","",IFERROR(VLOOKUP($G321,物料档案!$A$4:$P$1203,4,0),"※编码不在物料档案里"))</f>
        <v/>
      </c>
      <c r="J321" s="24">
        <f>IF($G321="","",IFERROR(VLOOKUP($G321,物料档案!$A$4:$P$1203,5,0),"※编码不在物料档案里"))</f>
        <v/>
      </c>
      <c r="K321" s="23" t="n">
        <v>3</v>
      </c>
      <c r="L321" s="31" t="n">
        <v>4600</v>
      </c>
      <c r="M321" s="24">
        <f>IF($G321="","",IF($D321="A国内","CNY","TZS"))</f>
        <v/>
      </c>
      <c r="N321" s="28">
        <f>IF($G321="","",IF($D321="A国内",汇率,1))</f>
        <v/>
      </c>
      <c r="O321" s="25">
        <f>IF($G321="","",ROUND(N($K321)*N($L321),2))</f>
        <v/>
      </c>
      <c r="P321" s="26">
        <f>IF($G321="","",ROUND($O321*$N321,0))</f>
        <v/>
      </c>
      <c r="Q321" s="26">
        <f>IF($G321="","",SUMIFS($P$4:$P$2503,$E$4:$E$2503,$E321,$Z$4:$Z$2503,"正常"))</f>
        <v/>
      </c>
      <c r="R321" s="26">
        <f>IF($G321="","",SUMIFS(费用台账!$I$4:$I$503,费用台账!$C$4:$C$503,$E321,费用台账!$J$4:$J$503,"是",费用台账!$K$4:$K$503,"正常"))</f>
        <v/>
      </c>
      <c r="S321" s="28">
        <f>IF($G321="","",COUNTIFS($E$4:$E$2503,$E321,$Z$4:$Z$2503,"正常",$Y$4:$Y$2503,"待补价"))</f>
        <v/>
      </c>
      <c r="T321" s="26">
        <f>IF($G321="","",SUMIFS($P$4:$P$2503,$E$4:$E$2503,$E321,$Z$4:$Z$2503,"正常",$A$4:$A$2503,"&lt;="&amp;$A321))</f>
        <v/>
      </c>
      <c r="U321" s="26">
        <f>IF($G321="","",IF(OR($S321&gt;0,$Q321=0,$R321=0,$Z321&lt;&gt;"正常"),0,ROUND($T321/$Q321*$R321,0)-ROUND(($T321-$P321)/$Q321*$R321,0)))</f>
        <v/>
      </c>
      <c r="V321" s="26">
        <f>IF($G321="","",ROUND($P321+$U321,0))</f>
        <v/>
      </c>
      <c r="W321" s="26">
        <f>IF($G321="","",IF(N($K321)=0,0,ROUND($V321/$K321,2)))</f>
        <v/>
      </c>
      <c r="X321" s="17" t="inlineStr">
        <is>
          <t>采购入库</t>
        </is>
      </c>
      <c r="Y321" s="17" t="inlineStr">
        <is>
          <t>正常</t>
        </is>
      </c>
      <c r="Z321" s="17" t="inlineStr">
        <is>
          <t>正常</t>
        </is>
      </c>
      <c r="AA321" s="17" t="n"/>
      <c r="AB321" s="17" t="inlineStr">
        <is>
          <t>原表第 326 行</t>
        </is>
      </c>
      <c r="AC321" s="24">
        <f>IF($G321="","",IF($H321="※编码不在物料档案里","※物料编码不在档案里",IF(N($K321)&lt;=0,"※入库数量要大于 0",IF(AND($C321&lt;&gt;"",$C321&lt;=结账锁),"※日期早于已结账截止日，不能再录",IF(AND($L321=0,$X321="正常"),"※没填单价，价格状态请选「待补价」",IF(AND($S321&gt;0,$R321&gt;0),"△本批有 "&amp;$S321&amp;" 行没单价，整批运费先挂账没摊",IF(AND($B321&lt;&gt;"",COUNTIF($B$4:$B$2503,$B321)&gt;1),"※入库单号重复","")))))))</f>
        <v/>
      </c>
    </row>
    <row r="322">
      <c r="A322" s="24">
        <f>IF($G322="","",COUNTA($G$4:$G322))</f>
        <v/>
      </c>
      <c r="B322" s="17" t="n"/>
      <c r="C322" s="30" t="n">
        <v>46098</v>
      </c>
      <c r="D322" s="17" t="inlineStr">
        <is>
          <t>A国内</t>
        </is>
      </c>
      <c r="E322" s="17" t="inlineStr">
        <is>
          <t>MSMU9007511-202603</t>
        </is>
      </c>
      <c r="F322" s="17" t="inlineStr">
        <is>
          <t>烟台市金豪矿山机械有限公司</t>
        </is>
      </c>
      <c r="G322" s="17" t="inlineStr">
        <is>
          <t>JH0293</t>
        </is>
      </c>
      <c r="H322" s="24">
        <f>IF($G322="","",IFERROR(VLOOKUP($G322,物料档案!$A$4:$P$1203,3,0),"※编码不在物料档案里"))</f>
        <v/>
      </c>
      <c r="I322" s="24">
        <f>IF($G322="","",IFERROR(VLOOKUP($G322,物料档案!$A$4:$P$1203,4,0),"※编码不在物料档案里"))</f>
        <v/>
      </c>
      <c r="J322" s="24">
        <f>IF($G322="","",IFERROR(VLOOKUP($G322,物料档案!$A$4:$P$1203,5,0),"※编码不在物料档案里"))</f>
        <v/>
      </c>
      <c r="K322" s="23" t="n">
        <v>3</v>
      </c>
      <c r="L322" s="31" t="n">
        <v>4600</v>
      </c>
      <c r="M322" s="24">
        <f>IF($G322="","",IF($D322="A国内","CNY","TZS"))</f>
        <v/>
      </c>
      <c r="N322" s="28">
        <f>IF($G322="","",IF($D322="A国内",汇率,1))</f>
        <v/>
      </c>
      <c r="O322" s="25">
        <f>IF($G322="","",ROUND(N($K322)*N($L322),2))</f>
        <v/>
      </c>
      <c r="P322" s="26">
        <f>IF($G322="","",ROUND($O322*$N322,0))</f>
        <v/>
      </c>
      <c r="Q322" s="26">
        <f>IF($G322="","",SUMIFS($P$4:$P$2503,$E$4:$E$2503,$E322,$Z$4:$Z$2503,"正常"))</f>
        <v/>
      </c>
      <c r="R322" s="26">
        <f>IF($G322="","",SUMIFS(费用台账!$I$4:$I$503,费用台账!$C$4:$C$503,$E322,费用台账!$J$4:$J$503,"是",费用台账!$K$4:$K$503,"正常"))</f>
        <v/>
      </c>
      <c r="S322" s="28">
        <f>IF($G322="","",COUNTIFS($E$4:$E$2503,$E322,$Z$4:$Z$2503,"正常",$Y$4:$Y$2503,"待补价"))</f>
        <v/>
      </c>
      <c r="T322" s="26">
        <f>IF($G322="","",SUMIFS($P$4:$P$2503,$E$4:$E$2503,$E322,$Z$4:$Z$2503,"正常",$A$4:$A$2503,"&lt;="&amp;$A322))</f>
        <v/>
      </c>
      <c r="U322" s="26">
        <f>IF($G322="","",IF(OR($S322&gt;0,$Q322=0,$R322=0,$Z322&lt;&gt;"正常"),0,ROUND($T322/$Q322*$R322,0)-ROUND(($T322-$P322)/$Q322*$R322,0)))</f>
        <v/>
      </c>
      <c r="V322" s="26">
        <f>IF($G322="","",ROUND($P322+$U322,0))</f>
        <v/>
      </c>
      <c r="W322" s="26">
        <f>IF($G322="","",IF(N($K322)=0,0,ROUND($V322/$K322,2)))</f>
        <v/>
      </c>
      <c r="X322" s="17" t="inlineStr">
        <is>
          <t>采购入库</t>
        </is>
      </c>
      <c r="Y322" s="17" t="inlineStr">
        <is>
          <t>正常</t>
        </is>
      </c>
      <c r="Z322" s="17" t="inlineStr">
        <is>
          <t>正常</t>
        </is>
      </c>
      <c r="AA322" s="17" t="n"/>
      <c r="AB322" s="17" t="inlineStr">
        <is>
          <t>原表第 327 行</t>
        </is>
      </c>
      <c r="AC322" s="24">
        <f>IF($G322="","",IF($H322="※编码不在物料档案里","※物料编码不在档案里",IF(N($K322)&lt;=0,"※入库数量要大于 0",IF(AND($C322&lt;&gt;"",$C322&lt;=结账锁),"※日期早于已结账截止日，不能再录",IF(AND($L322=0,$X322="正常"),"※没填单价，价格状态请选「待补价」",IF(AND($S322&gt;0,$R322&gt;0),"△本批有 "&amp;$S322&amp;" 行没单价，整批运费先挂账没摊",IF(AND($B322&lt;&gt;"",COUNTIF($B$4:$B$2503,$B322)&gt;1),"※入库单号重复","")))))))</f>
        <v/>
      </c>
    </row>
    <row r="323">
      <c r="A323" s="24">
        <f>IF($G323="","",COUNTA($G$4:$G323))</f>
        <v/>
      </c>
      <c r="B323" s="17" t="n"/>
      <c r="C323" s="30" t="n">
        <v>46101</v>
      </c>
      <c r="D323" s="17" t="inlineStr">
        <is>
          <t>A国内</t>
        </is>
      </c>
      <c r="E323" s="17" t="inlineStr">
        <is>
          <t>MSMU9008082-202603</t>
        </is>
      </c>
      <c r="F323" s="17" t="inlineStr">
        <is>
          <t>烟台市金豪矿山机械有限公司</t>
        </is>
      </c>
      <c r="G323" s="17" t="inlineStr">
        <is>
          <t>JH0294</t>
        </is>
      </c>
      <c r="H323" s="24">
        <f>IF($G323="","",IFERROR(VLOOKUP($G323,物料档案!$A$4:$P$1203,3,0),"※编码不在物料档案里"))</f>
        <v/>
      </c>
      <c r="I323" s="24">
        <f>IF($G323="","",IFERROR(VLOOKUP($G323,物料档案!$A$4:$P$1203,4,0),"※编码不在物料档案里"))</f>
        <v/>
      </c>
      <c r="J323" s="24">
        <f>IF($G323="","",IFERROR(VLOOKUP($G323,物料档案!$A$4:$P$1203,5,0),"※编码不在物料档案里"))</f>
        <v/>
      </c>
      <c r="K323" s="23" t="n">
        <v>1</v>
      </c>
      <c r="L323" s="31" t="n">
        <v>27000</v>
      </c>
      <c r="M323" s="24">
        <f>IF($G323="","",IF($D323="A国内","CNY","TZS"))</f>
        <v/>
      </c>
      <c r="N323" s="28">
        <f>IF($G323="","",IF($D323="A国内",汇率,1))</f>
        <v/>
      </c>
      <c r="O323" s="25">
        <f>IF($G323="","",ROUND(N($K323)*N($L323),2))</f>
        <v/>
      </c>
      <c r="P323" s="26">
        <f>IF($G323="","",ROUND($O323*$N323,0))</f>
        <v/>
      </c>
      <c r="Q323" s="26">
        <f>IF($G323="","",SUMIFS($P$4:$P$2503,$E$4:$E$2503,$E323,$Z$4:$Z$2503,"正常"))</f>
        <v/>
      </c>
      <c r="R323" s="26">
        <f>IF($G323="","",SUMIFS(费用台账!$I$4:$I$503,费用台账!$C$4:$C$503,$E323,费用台账!$J$4:$J$503,"是",费用台账!$K$4:$K$503,"正常"))</f>
        <v/>
      </c>
      <c r="S323" s="28">
        <f>IF($G323="","",COUNTIFS($E$4:$E$2503,$E323,$Z$4:$Z$2503,"正常",$Y$4:$Y$2503,"待补价"))</f>
        <v/>
      </c>
      <c r="T323" s="26">
        <f>IF($G323="","",SUMIFS($P$4:$P$2503,$E$4:$E$2503,$E323,$Z$4:$Z$2503,"正常",$A$4:$A$2503,"&lt;="&amp;$A323))</f>
        <v/>
      </c>
      <c r="U323" s="26">
        <f>IF($G323="","",IF(OR($S323&gt;0,$Q323=0,$R323=0,$Z323&lt;&gt;"正常"),0,ROUND($T323/$Q323*$R323,0)-ROUND(($T323-$P323)/$Q323*$R323,0)))</f>
        <v/>
      </c>
      <c r="V323" s="26">
        <f>IF($G323="","",ROUND($P323+$U323,0))</f>
        <v/>
      </c>
      <c r="W323" s="26">
        <f>IF($G323="","",IF(N($K323)=0,0,ROUND($V323/$K323,2)))</f>
        <v/>
      </c>
      <c r="X323" s="17" t="inlineStr">
        <is>
          <t>采购入库</t>
        </is>
      </c>
      <c r="Y323" s="17" t="inlineStr">
        <is>
          <t>正常</t>
        </is>
      </c>
      <c r="Z323" s="17" t="inlineStr">
        <is>
          <t>正常</t>
        </is>
      </c>
      <c r="AA323" s="17" t="n"/>
      <c r="AB323" s="17" t="inlineStr">
        <is>
          <t>原表第 328 行</t>
        </is>
      </c>
      <c r="AC323" s="24">
        <f>IF($G323="","",IF($H323="※编码不在物料档案里","※物料编码不在档案里",IF(N($K323)&lt;=0,"※入库数量要大于 0",IF(AND($C323&lt;&gt;"",$C323&lt;=结账锁),"※日期早于已结账截止日，不能再录",IF(AND($L323=0,$X323="正常"),"※没填单价，价格状态请选「待补价」",IF(AND($S323&gt;0,$R323&gt;0),"△本批有 "&amp;$S323&amp;" 行没单价，整批运费先挂账没摊",IF(AND($B323&lt;&gt;"",COUNTIF($B$4:$B$2503,$B323)&gt;1),"※入库单号重复","")))))))</f>
        <v/>
      </c>
    </row>
    <row r="324">
      <c r="A324" s="24">
        <f>IF($G324="","",COUNTA($G$4:$G324))</f>
        <v/>
      </c>
      <c r="B324" s="17" t="n"/>
      <c r="C324" s="30" t="n">
        <v>46101</v>
      </c>
      <c r="D324" s="17" t="inlineStr">
        <is>
          <t>A国内</t>
        </is>
      </c>
      <c r="E324" s="17" t="inlineStr">
        <is>
          <t>MSMU9008082-202603</t>
        </is>
      </c>
      <c r="F324" s="17" t="inlineStr">
        <is>
          <t>烟台市金豪矿山机械有限公司</t>
        </is>
      </c>
      <c r="G324" s="17" t="inlineStr">
        <is>
          <t>JH0295</t>
        </is>
      </c>
      <c r="H324" s="24">
        <f>IF($G324="","",IFERROR(VLOOKUP($G324,物料档案!$A$4:$P$1203,3,0),"※编码不在物料档案里"))</f>
        <v/>
      </c>
      <c r="I324" s="24">
        <f>IF($G324="","",IFERROR(VLOOKUP($G324,物料档案!$A$4:$P$1203,4,0),"※编码不在物料档案里"))</f>
        <v/>
      </c>
      <c r="J324" s="24">
        <f>IF($G324="","",IFERROR(VLOOKUP($G324,物料档案!$A$4:$P$1203,5,0),"※编码不在物料档案里"))</f>
        <v/>
      </c>
      <c r="K324" s="23" t="n">
        <v>1</v>
      </c>
      <c r="L324" s="31" t="n">
        <v>27000</v>
      </c>
      <c r="M324" s="24">
        <f>IF($G324="","",IF($D324="A国内","CNY","TZS"))</f>
        <v/>
      </c>
      <c r="N324" s="28">
        <f>IF($G324="","",IF($D324="A国内",汇率,1))</f>
        <v/>
      </c>
      <c r="O324" s="25">
        <f>IF($G324="","",ROUND(N($K324)*N($L324),2))</f>
        <v/>
      </c>
      <c r="P324" s="26">
        <f>IF($G324="","",ROUND($O324*$N324,0))</f>
        <v/>
      </c>
      <c r="Q324" s="26">
        <f>IF($G324="","",SUMIFS($P$4:$P$2503,$E$4:$E$2503,$E324,$Z$4:$Z$2503,"正常"))</f>
        <v/>
      </c>
      <c r="R324" s="26">
        <f>IF($G324="","",SUMIFS(费用台账!$I$4:$I$503,费用台账!$C$4:$C$503,$E324,费用台账!$J$4:$J$503,"是",费用台账!$K$4:$K$503,"正常"))</f>
        <v/>
      </c>
      <c r="S324" s="28">
        <f>IF($G324="","",COUNTIFS($E$4:$E$2503,$E324,$Z$4:$Z$2503,"正常",$Y$4:$Y$2503,"待补价"))</f>
        <v/>
      </c>
      <c r="T324" s="26">
        <f>IF($G324="","",SUMIFS($P$4:$P$2503,$E$4:$E$2503,$E324,$Z$4:$Z$2503,"正常",$A$4:$A$2503,"&lt;="&amp;$A324))</f>
        <v/>
      </c>
      <c r="U324" s="26">
        <f>IF($G324="","",IF(OR($S324&gt;0,$Q324=0,$R324=0,$Z324&lt;&gt;"正常"),0,ROUND($T324/$Q324*$R324,0)-ROUND(($T324-$P324)/$Q324*$R324,0)))</f>
        <v/>
      </c>
      <c r="V324" s="26">
        <f>IF($G324="","",ROUND($P324+$U324,0))</f>
        <v/>
      </c>
      <c r="W324" s="26">
        <f>IF($G324="","",IF(N($K324)=0,0,ROUND($V324/$K324,2)))</f>
        <v/>
      </c>
      <c r="X324" s="17" t="inlineStr">
        <is>
          <t>采购入库</t>
        </is>
      </c>
      <c r="Y324" s="17" t="inlineStr">
        <is>
          <t>正常</t>
        </is>
      </c>
      <c r="Z324" s="17" t="inlineStr">
        <is>
          <t>正常</t>
        </is>
      </c>
      <c r="AA324" s="17" t="n"/>
      <c r="AB324" s="17" t="inlineStr">
        <is>
          <t>原表第 329 行</t>
        </is>
      </c>
      <c r="AC324" s="24">
        <f>IF($G324="","",IF($H324="※编码不在物料档案里","※物料编码不在档案里",IF(N($K324)&lt;=0,"※入库数量要大于 0",IF(AND($C324&lt;&gt;"",$C324&lt;=结账锁),"※日期早于已结账截止日，不能再录",IF(AND($L324=0,$X324="正常"),"※没填单价，价格状态请选「待补价」",IF(AND($S324&gt;0,$R324&gt;0),"△本批有 "&amp;$S324&amp;" 行没单价，整批运费先挂账没摊",IF(AND($B324&lt;&gt;"",COUNTIF($B$4:$B$2503,$B324)&gt;1),"※入库单号重复","")))))))</f>
        <v/>
      </c>
    </row>
    <row r="325">
      <c r="A325" s="24">
        <f>IF($G325="","",COUNTA($G$4:$G325))</f>
        <v/>
      </c>
      <c r="B325" s="17" t="n"/>
      <c r="C325" s="30" t="n">
        <v>46101</v>
      </c>
      <c r="D325" s="17" t="inlineStr">
        <is>
          <t>A国内</t>
        </is>
      </c>
      <c r="E325" s="17" t="inlineStr">
        <is>
          <t>MSMU9008082-202603</t>
        </is>
      </c>
      <c r="F325" s="17" t="inlineStr">
        <is>
          <t>烟台市金豪矿山机械有限公司</t>
        </is>
      </c>
      <c r="G325" s="17" t="inlineStr">
        <is>
          <t>JH0296</t>
        </is>
      </c>
      <c r="H325" s="24">
        <f>IF($G325="","",IFERROR(VLOOKUP($G325,物料档案!$A$4:$P$1203,3,0),"※编码不在物料档案里"))</f>
        <v/>
      </c>
      <c r="I325" s="24">
        <f>IF($G325="","",IFERROR(VLOOKUP($G325,物料档案!$A$4:$P$1203,4,0),"※编码不在物料档案里"))</f>
        <v/>
      </c>
      <c r="J325" s="24">
        <f>IF($G325="","",IFERROR(VLOOKUP($G325,物料档案!$A$4:$P$1203,5,0),"※编码不在物料档案里"))</f>
        <v/>
      </c>
      <c r="K325" s="23" t="n">
        <v>1</v>
      </c>
      <c r="L325" s="31" t="n"/>
      <c r="M325" s="24">
        <f>IF($G325="","",IF($D325="A国内","CNY","TZS"))</f>
        <v/>
      </c>
      <c r="N325" s="28">
        <f>IF($G325="","",IF($D325="A国内",汇率,1))</f>
        <v/>
      </c>
      <c r="O325" s="25">
        <f>IF($G325="","",ROUND(N($K325)*N($L325),2))</f>
        <v/>
      </c>
      <c r="P325" s="26">
        <f>IF($G325="","",ROUND($O325*$N325,0))</f>
        <v/>
      </c>
      <c r="Q325" s="26">
        <f>IF($G325="","",SUMIFS($P$4:$P$2503,$E$4:$E$2503,$E325,$Z$4:$Z$2503,"正常"))</f>
        <v/>
      </c>
      <c r="R325" s="26">
        <f>IF($G325="","",SUMIFS(费用台账!$I$4:$I$503,费用台账!$C$4:$C$503,$E325,费用台账!$J$4:$J$503,"是",费用台账!$K$4:$K$503,"正常"))</f>
        <v/>
      </c>
      <c r="S325" s="28">
        <f>IF($G325="","",COUNTIFS($E$4:$E$2503,$E325,$Z$4:$Z$2503,"正常",$Y$4:$Y$2503,"待补价"))</f>
        <v/>
      </c>
      <c r="T325" s="26">
        <f>IF($G325="","",SUMIFS($P$4:$P$2503,$E$4:$E$2503,$E325,$Z$4:$Z$2503,"正常",$A$4:$A$2503,"&lt;="&amp;$A325))</f>
        <v/>
      </c>
      <c r="U325" s="26">
        <f>IF($G325="","",IF(OR($S325&gt;0,$Q325=0,$R325=0,$Z325&lt;&gt;"正常"),0,ROUND($T325/$Q325*$R325,0)-ROUND(($T325-$P325)/$Q325*$R325,0)))</f>
        <v/>
      </c>
      <c r="V325" s="26">
        <f>IF($G325="","",ROUND($P325+$U325,0))</f>
        <v/>
      </c>
      <c r="W325" s="26">
        <f>IF($G325="","",IF(N($K325)=0,0,ROUND($V325/$K325,2)))</f>
        <v/>
      </c>
      <c r="X325" s="17" t="inlineStr">
        <is>
          <t>采购入库</t>
        </is>
      </c>
      <c r="Y325" s="17" t="inlineStr">
        <is>
          <t>待补价</t>
        </is>
      </c>
      <c r="Z325" s="17" t="inlineStr">
        <is>
          <t>正常</t>
        </is>
      </c>
      <c r="AA325" s="17" t="n"/>
      <c r="AB325" s="17" t="inlineStr">
        <is>
          <t>原表第 330 行</t>
        </is>
      </c>
      <c r="AC325" s="24">
        <f>IF($G325="","",IF($H325="※编码不在物料档案里","※物料编码不在档案里",IF(N($K325)&lt;=0,"※入库数量要大于 0",IF(AND($C325&lt;&gt;"",$C325&lt;=结账锁),"※日期早于已结账截止日，不能再录",IF(AND($L325=0,$X325="正常"),"※没填单价，价格状态请选「待补价」",IF(AND($S325&gt;0,$R325&gt;0),"△本批有 "&amp;$S325&amp;" 行没单价，整批运费先挂账没摊",IF(AND($B325&lt;&gt;"",COUNTIF($B$4:$B$2503,$B325)&gt;1),"※入库单号重复","")))))))</f>
        <v/>
      </c>
    </row>
    <row r="326">
      <c r="A326" s="24">
        <f>IF($G326="","",COUNTA($G$4:$G326))</f>
        <v/>
      </c>
      <c r="B326" s="17" t="n"/>
      <c r="C326" s="30" t="n">
        <v>46101</v>
      </c>
      <c r="D326" s="17" t="inlineStr">
        <is>
          <t>A国内</t>
        </is>
      </c>
      <c r="E326" s="17" t="inlineStr">
        <is>
          <t>MSMU9008082-202603</t>
        </is>
      </c>
      <c r="F326" s="17" t="inlineStr">
        <is>
          <t>烟台市金豪矿山机械有限公司</t>
        </is>
      </c>
      <c r="G326" s="17" t="inlineStr">
        <is>
          <t>JH0297</t>
        </is>
      </c>
      <c r="H326" s="24">
        <f>IF($G326="","",IFERROR(VLOOKUP($G326,物料档案!$A$4:$P$1203,3,0),"※编码不在物料档案里"))</f>
        <v/>
      </c>
      <c r="I326" s="24">
        <f>IF($G326="","",IFERROR(VLOOKUP($G326,物料档案!$A$4:$P$1203,4,0),"※编码不在物料档案里"))</f>
        <v/>
      </c>
      <c r="J326" s="24">
        <f>IF($G326="","",IFERROR(VLOOKUP($G326,物料档案!$A$4:$P$1203,5,0),"※编码不在物料档案里"))</f>
        <v/>
      </c>
      <c r="K326" s="23" t="n">
        <v>1</v>
      </c>
      <c r="L326" s="31" t="n"/>
      <c r="M326" s="24">
        <f>IF($G326="","",IF($D326="A国内","CNY","TZS"))</f>
        <v/>
      </c>
      <c r="N326" s="28">
        <f>IF($G326="","",IF($D326="A国内",汇率,1))</f>
        <v/>
      </c>
      <c r="O326" s="25">
        <f>IF($G326="","",ROUND(N($K326)*N($L326),2))</f>
        <v/>
      </c>
      <c r="P326" s="26">
        <f>IF($G326="","",ROUND($O326*$N326,0))</f>
        <v/>
      </c>
      <c r="Q326" s="26">
        <f>IF($G326="","",SUMIFS($P$4:$P$2503,$E$4:$E$2503,$E326,$Z$4:$Z$2503,"正常"))</f>
        <v/>
      </c>
      <c r="R326" s="26">
        <f>IF($G326="","",SUMIFS(费用台账!$I$4:$I$503,费用台账!$C$4:$C$503,$E326,费用台账!$J$4:$J$503,"是",费用台账!$K$4:$K$503,"正常"))</f>
        <v/>
      </c>
      <c r="S326" s="28">
        <f>IF($G326="","",COUNTIFS($E$4:$E$2503,$E326,$Z$4:$Z$2503,"正常",$Y$4:$Y$2503,"待补价"))</f>
        <v/>
      </c>
      <c r="T326" s="26">
        <f>IF($G326="","",SUMIFS($P$4:$P$2503,$E$4:$E$2503,$E326,$Z$4:$Z$2503,"正常",$A$4:$A$2503,"&lt;="&amp;$A326))</f>
        <v/>
      </c>
      <c r="U326" s="26">
        <f>IF($G326="","",IF(OR($S326&gt;0,$Q326=0,$R326=0,$Z326&lt;&gt;"正常"),0,ROUND($T326/$Q326*$R326,0)-ROUND(($T326-$P326)/$Q326*$R326,0)))</f>
        <v/>
      </c>
      <c r="V326" s="26">
        <f>IF($G326="","",ROUND($P326+$U326,0))</f>
        <v/>
      </c>
      <c r="W326" s="26">
        <f>IF($G326="","",IF(N($K326)=0,0,ROUND($V326/$K326,2)))</f>
        <v/>
      </c>
      <c r="X326" s="17" t="inlineStr">
        <is>
          <t>采购入库</t>
        </is>
      </c>
      <c r="Y326" s="17" t="inlineStr">
        <is>
          <t>待补价</t>
        </is>
      </c>
      <c r="Z326" s="17" t="inlineStr">
        <is>
          <t>正常</t>
        </is>
      </c>
      <c r="AA326" s="17" t="n"/>
      <c r="AB326" s="17" t="inlineStr">
        <is>
          <t>原表第 331 行</t>
        </is>
      </c>
      <c r="AC326" s="24">
        <f>IF($G326="","",IF($H326="※编码不在物料档案里","※物料编码不在档案里",IF(N($K326)&lt;=0,"※入库数量要大于 0",IF(AND($C326&lt;&gt;"",$C326&lt;=结账锁),"※日期早于已结账截止日，不能再录",IF(AND($L326=0,$X326="正常"),"※没填单价，价格状态请选「待补价」",IF(AND($S326&gt;0,$R326&gt;0),"△本批有 "&amp;$S326&amp;" 行没单价，整批运费先挂账没摊",IF(AND($B326&lt;&gt;"",COUNTIF($B$4:$B$2503,$B326)&gt;1),"※入库单号重复","")))))))</f>
        <v/>
      </c>
    </row>
    <row r="327">
      <c r="A327" s="24">
        <f>IF($G327="","",COUNTA($G$4:$G327))</f>
        <v/>
      </c>
      <c r="B327" s="17" t="n"/>
      <c r="C327" s="30" t="n">
        <v>46101</v>
      </c>
      <c r="D327" s="17" t="inlineStr">
        <is>
          <t>A国内</t>
        </is>
      </c>
      <c r="E327" s="17" t="inlineStr">
        <is>
          <t>MSMU9008082-202603</t>
        </is>
      </c>
      <c r="F327" s="17" t="inlineStr">
        <is>
          <t>烟台市金豪矿山机械有限公司</t>
        </is>
      </c>
      <c r="G327" s="17" t="inlineStr">
        <is>
          <t>JH0258</t>
        </is>
      </c>
      <c r="H327" s="24">
        <f>IF($G327="","",IFERROR(VLOOKUP($G327,物料档案!$A$4:$P$1203,3,0),"※编码不在物料档案里"))</f>
        <v/>
      </c>
      <c r="I327" s="24">
        <f>IF($G327="","",IFERROR(VLOOKUP($G327,物料档案!$A$4:$P$1203,4,0),"※编码不在物料档案里"))</f>
        <v/>
      </c>
      <c r="J327" s="24">
        <f>IF($G327="","",IFERROR(VLOOKUP($G327,物料档案!$A$4:$P$1203,5,0),"※编码不在物料档案里"))</f>
        <v/>
      </c>
      <c r="K327" s="23" t="n">
        <v>2</v>
      </c>
      <c r="L327" s="31" t="n"/>
      <c r="M327" s="24">
        <f>IF($G327="","",IF($D327="A国内","CNY","TZS"))</f>
        <v/>
      </c>
      <c r="N327" s="28">
        <f>IF($G327="","",IF($D327="A国内",汇率,1))</f>
        <v/>
      </c>
      <c r="O327" s="25">
        <f>IF($G327="","",ROUND(N($K327)*N($L327),2))</f>
        <v/>
      </c>
      <c r="P327" s="26">
        <f>IF($G327="","",ROUND($O327*$N327,0))</f>
        <v/>
      </c>
      <c r="Q327" s="26">
        <f>IF($G327="","",SUMIFS($P$4:$P$2503,$E$4:$E$2503,$E327,$Z$4:$Z$2503,"正常"))</f>
        <v/>
      </c>
      <c r="R327" s="26">
        <f>IF($G327="","",SUMIFS(费用台账!$I$4:$I$503,费用台账!$C$4:$C$503,$E327,费用台账!$J$4:$J$503,"是",费用台账!$K$4:$K$503,"正常"))</f>
        <v/>
      </c>
      <c r="S327" s="28">
        <f>IF($G327="","",COUNTIFS($E$4:$E$2503,$E327,$Z$4:$Z$2503,"正常",$Y$4:$Y$2503,"待补价"))</f>
        <v/>
      </c>
      <c r="T327" s="26">
        <f>IF($G327="","",SUMIFS($P$4:$P$2503,$E$4:$E$2503,$E327,$Z$4:$Z$2503,"正常",$A$4:$A$2503,"&lt;="&amp;$A327))</f>
        <v/>
      </c>
      <c r="U327" s="26">
        <f>IF($G327="","",IF(OR($S327&gt;0,$Q327=0,$R327=0,$Z327&lt;&gt;"正常"),0,ROUND($T327/$Q327*$R327,0)-ROUND(($T327-$P327)/$Q327*$R327,0)))</f>
        <v/>
      </c>
      <c r="V327" s="26">
        <f>IF($G327="","",ROUND($P327+$U327,0))</f>
        <v/>
      </c>
      <c r="W327" s="26">
        <f>IF($G327="","",IF(N($K327)=0,0,ROUND($V327/$K327,2)))</f>
        <v/>
      </c>
      <c r="X327" s="17" t="inlineStr">
        <is>
          <t>采购入库</t>
        </is>
      </c>
      <c r="Y327" s="17" t="inlineStr">
        <is>
          <t>待补价</t>
        </is>
      </c>
      <c r="Z327" s="17" t="inlineStr">
        <is>
          <t>正常</t>
        </is>
      </c>
      <c r="AA327" s="17" t="n"/>
      <c r="AB327" s="17" t="inlineStr">
        <is>
          <t>原表第 332 行</t>
        </is>
      </c>
      <c r="AC327" s="24">
        <f>IF($G327="","",IF($H327="※编码不在物料档案里","※物料编码不在档案里",IF(N($K327)&lt;=0,"※入库数量要大于 0",IF(AND($C327&lt;&gt;"",$C327&lt;=结账锁),"※日期早于已结账截止日，不能再录",IF(AND($L327=0,$X327="正常"),"※没填单价，价格状态请选「待补价」",IF(AND($S327&gt;0,$R327&gt;0),"△本批有 "&amp;$S327&amp;" 行没单价，整批运费先挂账没摊",IF(AND($B327&lt;&gt;"",COUNTIF($B$4:$B$2503,$B327)&gt;1),"※入库单号重复","")))))))</f>
        <v/>
      </c>
    </row>
    <row r="328">
      <c r="A328" s="24">
        <f>IF($G328="","",COUNTA($G$4:$G328))</f>
        <v/>
      </c>
      <c r="B328" s="17" t="n"/>
      <c r="C328" s="30" t="n">
        <v>46101</v>
      </c>
      <c r="D328" s="17" t="inlineStr">
        <is>
          <t>A国内</t>
        </is>
      </c>
      <c r="E328" s="17" t="inlineStr">
        <is>
          <t>MSMU9008082-202603</t>
        </is>
      </c>
      <c r="F328" s="17" t="inlineStr">
        <is>
          <t>烟台市金豪矿山机械有限公司</t>
        </is>
      </c>
      <c r="G328" s="17" t="inlineStr">
        <is>
          <t>JH0259</t>
        </is>
      </c>
      <c r="H328" s="24">
        <f>IF($G328="","",IFERROR(VLOOKUP($G328,物料档案!$A$4:$P$1203,3,0),"※编码不在物料档案里"))</f>
        <v/>
      </c>
      <c r="I328" s="24">
        <f>IF($G328="","",IFERROR(VLOOKUP($G328,物料档案!$A$4:$P$1203,4,0),"※编码不在物料档案里"))</f>
        <v/>
      </c>
      <c r="J328" s="24">
        <f>IF($G328="","",IFERROR(VLOOKUP($G328,物料档案!$A$4:$P$1203,5,0),"※编码不在物料档案里"))</f>
        <v/>
      </c>
      <c r="K328" s="23" t="n">
        <v>8</v>
      </c>
      <c r="L328" s="31" t="n"/>
      <c r="M328" s="24">
        <f>IF($G328="","",IF($D328="A国内","CNY","TZS"))</f>
        <v/>
      </c>
      <c r="N328" s="28">
        <f>IF($G328="","",IF($D328="A国内",汇率,1))</f>
        <v/>
      </c>
      <c r="O328" s="25">
        <f>IF($G328="","",ROUND(N($K328)*N($L328),2))</f>
        <v/>
      </c>
      <c r="P328" s="26">
        <f>IF($G328="","",ROUND($O328*$N328,0))</f>
        <v/>
      </c>
      <c r="Q328" s="26">
        <f>IF($G328="","",SUMIFS($P$4:$P$2503,$E$4:$E$2503,$E328,$Z$4:$Z$2503,"正常"))</f>
        <v/>
      </c>
      <c r="R328" s="26">
        <f>IF($G328="","",SUMIFS(费用台账!$I$4:$I$503,费用台账!$C$4:$C$503,$E328,费用台账!$J$4:$J$503,"是",费用台账!$K$4:$K$503,"正常"))</f>
        <v/>
      </c>
      <c r="S328" s="28">
        <f>IF($G328="","",COUNTIFS($E$4:$E$2503,$E328,$Z$4:$Z$2503,"正常",$Y$4:$Y$2503,"待补价"))</f>
        <v/>
      </c>
      <c r="T328" s="26">
        <f>IF($G328="","",SUMIFS($P$4:$P$2503,$E$4:$E$2503,$E328,$Z$4:$Z$2503,"正常",$A$4:$A$2503,"&lt;="&amp;$A328))</f>
        <v/>
      </c>
      <c r="U328" s="26">
        <f>IF($G328="","",IF(OR($S328&gt;0,$Q328=0,$R328=0,$Z328&lt;&gt;"正常"),0,ROUND($T328/$Q328*$R328,0)-ROUND(($T328-$P328)/$Q328*$R328,0)))</f>
        <v/>
      </c>
      <c r="V328" s="26">
        <f>IF($G328="","",ROUND($P328+$U328,0))</f>
        <v/>
      </c>
      <c r="W328" s="26">
        <f>IF($G328="","",IF(N($K328)=0,0,ROUND($V328/$K328,2)))</f>
        <v/>
      </c>
      <c r="X328" s="17" t="inlineStr">
        <is>
          <t>采购入库</t>
        </is>
      </c>
      <c r="Y328" s="17" t="inlineStr">
        <is>
          <t>待补价</t>
        </is>
      </c>
      <c r="Z328" s="17" t="inlineStr">
        <is>
          <t>正常</t>
        </is>
      </c>
      <c r="AA328" s="17" t="n"/>
      <c r="AB328" s="17" t="inlineStr">
        <is>
          <t>原表第 333 行</t>
        </is>
      </c>
      <c r="AC328" s="24">
        <f>IF($G328="","",IF($H328="※编码不在物料档案里","※物料编码不在档案里",IF(N($K328)&lt;=0,"※入库数量要大于 0",IF(AND($C328&lt;&gt;"",$C328&lt;=结账锁),"※日期早于已结账截止日，不能再录",IF(AND($L328=0,$X328="正常"),"※没填单价，价格状态请选「待补价」",IF(AND($S328&gt;0,$R328&gt;0),"△本批有 "&amp;$S328&amp;" 行没单价，整批运费先挂账没摊",IF(AND($B328&lt;&gt;"",COUNTIF($B$4:$B$2503,$B328)&gt;1),"※入库单号重复","")))))))</f>
        <v/>
      </c>
    </row>
    <row r="329">
      <c r="A329" s="24">
        <f>IF($G329="","",COUNTA($G$4:$G329))</f>
        <v/>
      </c>
      <c r="B329" s="17" t="n"/>
      <c r="C329" s="30" t="n">
        <v>46101</v>
      </c>
      <c r="D329" s="17" t="inlineStr">
        <is>
          <t>A国内</t>
        </is>
      </c>
      <c r="E329" s="17" t="inlineStr">
        <is>
          <t>MSMU9008082-202603</t>
        </is>
      </c>
      <c r="F329" s="17" t="inlineStr">
        <is>
          <t>烟台市金豪矿山机械有限公司</t>
        </is>
      </c>
      <c r="G329" s="17" t="inlineStr">
        <is>
          <t>JH0261</t>
        </is>
      </c>
      <c r="H329" s="24">
        <f>IF($G329="","",IFERROR(VLOOKUP($G329,物料档案!$A$4:$P$1203,3,0),"※编码不在物料档案里"))</f>
        <v/>
      </c>
      <c r="I329" s="24">
        <f>IF($G329="","",IFERROR(VLOOKUP($G329,物料档案!$A$4:$P$1203,4,0),"※编码不在物料档案里"))</f>
        <v/>
      </c>
      <c r="J329" s="24">
        <f>IF($G329="","",IFERROR(VLOOKUP($G329,物料档案!$A$4:$P$1203,5,0),"※编码不在物料档案里"))</f>
        <v/>
      </c>
      <c r="K329" s="23" t="n">
        <v>2</v>
      </c>
      <c r="L329" s="31" t="n"/>
      <c r="M329" s="24">
        <f>IF($G329="","",IF($D329="A国内","CNY","TZS"))</f>
        <v/>
      </c>
      <c r="N329" s="28">
        <f>IF($G329="","",IF($D329="A国内",汇率,1))</f>
        <v/>
      </c>
      <c r="O329" s="25">
        <f>IF($G329="","",ROUND(N($K329)*N($L329),2))</f>
        <v/>
      </c>
      <c r="P329" s="26">
        <f>IF($G329="","",ROUND($O329*$N329,0))</f>
        <v/>
      </c>
      <c r="Q329" s="26">
        <f>IF($G329="","",SUMIFS($P$4:$P$2503,$E$4:$E$2503,$E329,$Z$4:$Z$2503,"正常"))</f>
        <v/>
      </c>
      <c r="R329" s="26">
        <f>IF($G329="","",SUMIFS(费用台账!$I$4:$I$503,费用台账!$C$4:$C$503,$E329,费用台账!$J$4:$J$503,"是",费用台账!$K$4:$K$503,"正常"))</f>
        <v/>
      </c>
      <c r="S329" s="28">
        <f>IF($G329="","",COUNTIFS($E$4:$E$2503,$E329,$Z$4:$Z$2503,"正常",$Y$4:$Y$2503,"待补价"))</f>
        <v/>
      </c>
      <c r="T329" s="26">
        <f>IF($G329="","",SUMIFS($P$4:$P$2503,$E$4:$E$2503,$E329,$Z$4:$Z$2503,"正常",$A$4:$A$2503,"&lt;="&amp;$A329))</f>
        <v/>
      </c>
      <c r="U329" s="26">
        <f>IF($G329="","",IF(OR($S329&gt;0,$Q329=0,$R329=0,$Z329&lt;&gt;"正常"),0,ROUND($T329/$Q329*$R329,0)-ROUND(($T329-$P329)/$Q329*$R329,0)))</f>
        <v/>
      </c>
      <c r="V329" s="26">
        <f>IF($G329="","",ROUND($P329+$U329,0))</f>
        <v/>
      </c>
      <c r="W329" s="26">
        <f>IF($G329="","",IF(N($K329)=0,0,ROUND($V329/$K329,2)))</f>
        <v/>
      </c>
      <c r="X329" s="17" t="inlineStr">
        <is>
          <t>采购入库</t>
        </is>
      </c>
      <c r="Y329" s="17" t="inlineStr">
        <is>
          <t>待补价</t>
        </is>
      </c>
      <c r="Z329" s="17" t="inlineStr">
        <is>
          <t>正常</t>
        </is>
      </c>
      <c r="AA329" s="17" t="n"/>
      <c r="AB329" s="17" t="inlineStr">
        <is>
          <t>原表第 334 行</t>
        </is>
      </c>
      <c r="AC329" s="24">
        <f>IF($G329="","",IF($H329="※编码不在物料档案里","※物料编码不在档案里",IF(N($K329)&lt;=0,"※入库数量要大于 0",IF(AND($C329&lt;&gt;"",$C329&lt;=结账锁),"※日期早于已结账截止日，不能再录",IF(AND($L329=0,$X329="正常"),"※没填单价，价格状态请选「待补价」",IF(AND($S329&gt;0,$R329&gt;0),"△本批有 "&amp;$S329&amp;" 行没单价，整批运费先挂账没摊",IF(AND($B329&lt;&gt;"",COUNTIF($B$4:$B$2503,$B329)&gt;1),"※入库单号重复","")))))))</f>
        <v/>
      </c>
    </row>
    <row r="330">
      <c r="A330" s="24">
        <f>IF($G330="","",COUNTA($G$4:$G330))</f>
        <v/>
      </c>
      <c r="B330" s="17" t="n"/>
      <c r="C330" s="30" t="n">
        <v>46101</v>
      </c>
      <c r="D330" s="17" t="inlineStr">
        <is>
          <t>A国内</t>
        </is>
      </c>
      <c r="E330" s="17" t="inlineStr">
        <is>
          <t>MSMU9008082-202603</t>
        </is>
      </c>
      <c r="F330" s="17" t="inlineStr">
        <is>
          <t>烟台市金豪矿山机械有限公司</t>
        </is>
      </c>
      <c r="G330" s="17" t="inlineStr">
        <is>
          <t>JH0262</t>
        </is>
      </c>
      <c r="H330" s="24">
        <f>IF($G330="","",IFERROR(VLOOKUP($G330,物料档案!$A$4:$P$1203,3,0),"※编码不在物料档案里"))</f>
        <v/>
      </c>
      <c r="I330" s="24">
        <f>IF($G330="","",IFERROR(VLOOKUP($G330,物料档案!$A$4:$P$1203,4,0),"※编码不在物料档案里"))</f>
        <v/>
      </c>
      <c r="J330" s="24">
        <f>IF($G330="","",IFERROR(VLOOKUP($G330,物料档案!$A$4:$P$1203,5,0),"※编码不在物料档案里"))</f>
        <v/>
      </c>
      <c r="K330" s="23" t="n">
        <v>1</v>
      </c>
      <c r="L330" s="31" t="n"/>
      <c r="M330" s="24">
        <f>IF($G330="","",IF($D330="A国内","CNY","TZS"))</f>
        <v/>
      </c>
      <c r="N330" s="28">
        <f>IF($G330="","",IF($D330="A国内",汇率,1))</f>
        <v/>
      </c>
      <c r="O330" s="25">
        <f>IF($G330="","",ROUND(N($K330)*N($L330),2))</f>
        <v/>
      </c>
      <c r="P330" s="26">
        <f>IF($G330="","",ROUND($O330*$N330,0))</f>
        <v/>
      </c>
      <c r="Q330" s="26">
        <f>IF($G330="","",SUMIFS($P$4:$P$2503,$E$4:$E$2503,$E330,$Z$4:$Z$2503,"正常"))</f>
        <v/>
      </c>
      <c r="R330" s="26">
        <f>IF($G330="","",SUMIFS(费用台账!$I$4:$I$503,费用台账!$C$4:$C$503,$E330,费用台账!$J$4:$J$503,"是",费用台账!$K$4:$K$503,"正常"))</f>
        <v/>
      </c>
      <c r="S330" s="28">
        <f>IF($G330="","",COUNTIFS($E$4:$E$2503,$E330,$Z$4:$Z$2503,"正常",$Y$4:$Y$2503,"待补价"))</f>
        <v/>
      </c>
      <c r="T330" s="26">
        <f>IF($G330="","",SUMIFS($P$4:$P$2503,$E$4:$E$2503,$E330,$Z$4:$Z$2503,"正常",$A$4:$A$2503,"&lt;="&amp;$A330))</f>
        <v/>
      </c>
      <c r="U330" s="26">
        <f>IF($G330="","",IF(OR($S330&gt;0,$Q330=0,$R330=0,$Z330&lt;&gt;"正常"),0,ROUND($T330/$Q330*$R330,0)-ROUND(($T330-$P330)/$Q330*$R330,0)))</f>
        <v/>
      </c>
      <c r="V330" s="26">
        <f>IF($G330="","",ROUND($P330+$U330,0))</f>
        <v/>
      </c>
      <c r="W330" s="26">
        <f>IF($G330="","",IF(N($K330)=0,0,ROUND($V330/$K330,2)))</f>
        <v/>
      </c>
      <c r="X330" s="17" t="inlineStr">
        <is>
          <t>采购入库</t>
        </is>
      </c>
      <c r="Y330" s="17" t="inlineStr">
        <is>
          <t>待补价</t>
        </is>
      </c>
      <c r="Z330" s="17" t="inlineStr">
        <is>
          <t>正常</t>
        </is>
      </c>
      <c r="AA330" s="17" t="n"/>
      <c r="AB330" s="17" t="inlineStr">
        <is>
          <t>原表第 335 行</t>
        </is>
      </c>
      <c r="AC330" s="24">
        <f>IF($G330="","",IF($H330="※编码不在物料档案里","※物料编码不在档案里",IF(N($K330)&lt;=0,"※入库数量要大于 0",IF(AND($C330&lt;&gt;"",$C330&lt;=结账锁),"※日期早于已结账截止日，不能再录",IF(AND($L330=0,$X330="正常"),"※没填单价，价格状态请选「待补价」",IF(AND($S330&gt;0,$R330&gt;0),"△本批有 "&amp;$S330&amp;" 行没单价，整批运费先挂账没摊",IF(AND($B330&lt;&gt;"",COUNTIF($B$4:$B$2503,$B330)&gt;1),"※入库单号重复","")))))))</f>
        <v/>
      </c>
    </row>
    <row r="331">
      <c r="A331" s="24">
        <f>IF($G331="","",COUNTA($G$4:$G331))</f>
        <v/>
      </c>
      <c r="B331" s="17" t="n"/>
      <c r="C331" s="30" t="n">
        <v>46101</v>
      </c>
      <c r="D331" s="17" t="inlineStr">
        <is>
          <t>A国内</t>
        </is>
      </c>
      <c r="E331" s="17" t="inlineStr">
        <is>
          <t>MSMU9008082-202603</t>
        </is>
      </c>
      <c r="F331" s="17" t="inlineStr">
        <is>
          <t>烟台市金豪矿山机械有限公司</t>
        </is>
      </c>
      <c r="G331" s="17" t="inlineStr">
        <is>
          <t>JH0263</t>
        </is>
      </c>
      <c r="H331" s="24">
        <f>IF($G331="","",IFERROR(VLOOKUP($G331,物料档案!$A$4:$P$1203,3,0),"※编码不在物料档案里"))</f>
        <v/>
      </c>
      <c r="I331" s="24">
        <f>IF($G331="","",IFERROR(VLOOKUP($G331,物料档案!$A$4:$P$1203,4,0),"※编码不在物料档案里"))</f>
        <v/>
      </c>
      <c r="J331" s="24">
        <f>IF($G331="","",IFERROR(VLOOKUP($G331,物料档案!$A$4:$P$1203,5,0),"※编码不在物料档案里"))</f>
        <v/>
      </c>
      <c r="K331" s="23" t="n">
        <v>2</v>
      </c>
      <c r="L331" s="31" t="n"/>
      <c r="M331" s="24">
        <f>IF($G331="","",IF($D331="A国内","CNY","TZS"))</f>
        <v/>
      </c>
      <c r="N331" s="28">
        <f>IF($G331="","",IF($D331="A国内",汇率,1))</f>
        <v/>
      </c>
      <c r="O331" s="25">
        <f>IF($G331="","",ROUND(N($K331)*N($L331),2))</f>
        <v/>
      </c>
      <c r="P331" s="26">
        <f>IF($G331="","",ROUND($O331*$N331,0))</f>
        <v/>
      </c>
      <c r="Q331" s="26">
        <f>IF($G331="","",SUMIFS($P$4:$P$2503,$E$4:$E$2503,$E331,$Z$4:$Z$2503,"正常"))</f>
        <v/>
      </c>
      <c r="R331" s="26">
        <f>IF($G331="","",SUMIFS(费用台账!$I$4:$I$503,费用台账!$C$4:$C$503,$E331,费用台账!$J$4:$J$503,"是",费用台账!$K$4:$K$503,"正常"))</f>
        <v/>
      </c>
      <c r="S331" s="28">
        <f>IF($G331="","",COUNTIFS($E$4:$E$2503,$E331,$Z$4:$Z$2503,"正常",$Y$4:$Y$2503,"待补价"))</f>
        <v/>
      </c>
      <c r="T331" s="26">
        <f>IF($G331="","",SUMIFS($P$4:$P$2503,$E$4:$E$2503,$E331,$Z$4:$Z$2503,"正常",$A$4:$A$2503,"&lt;="&amp;$A331))</f>
        <v/>
      </c>
      <c r="U331" s="26">
        <f>IF($G331="","",IF(OR($S331&gt;0,$Q331=0,$R331=0,$Z331&lt;&gt;"正常"),0,ROUND($T331/$Q331*$R331,0)-ROUND(($T331-$P331)/$Q331*$R331,0)))</f>
        <v/>
      </c>
      <c r="V331" s="26">
        <f>IF($G331="","",ROUND($P331+$U331,0))</f>
        <v/>
      </c>
      <c r="W331" s="26">
        <f>IF($G331="","",IF(N($K331)=0,0,ROUND($V331/$K331,2)))</f>
        <v/>
      </c>
      <c r="X331" s="17" t="inlineStr">
        <is>
          <t>采购入库</t>
        </is>
      </c>
      <c r="Y331" s="17" t="inlineStr">
        <is>
          <t>待补价</t>
        </is>
      </c>
      <c r="Z331" s="17" t="inlineStr">
        <is>
          <t>正常</t>
        </is>
      </c>
      <c r="AA331" s="17" t="n"/>
      <c r="AB331" s="17" t="inlineStr">
        <is>
          <t>原表第 336 行</t>
        </is>
      </c>
      <c r="AC331" s="24">
        <f>IF($G331="","",IF($H331="※编码不在物料档案里","※物料编码不在档案里",IF(N($K331)&lt;=0,"※入库数量要大于 0",IF(AND($C331&lt;&gt;"",$C331&lt;=结账锁),"※日期早于已结账截止日，不能再录",IF(AND($L331=0,$X331="正常"),"※没填单价，价格状态请选「待补价」",IF(AND($S331&gt;0,$R331&gt;0),"△本批有 "&amp;$S331&amp;" 行没单价，整批运费先挂账没摊",IF(AND($B331&lt;&gt;"",COUNTIF($B$4:$B$2503,$B331)&gt;1),"※入库单号重复","")))))))</f>
        <v/>
      </c>
    </row>
    <row r="332">
      <c r="A332" s="24">
        <f>IF($G332="","",COUNTA($G$4:$G332))</f>
        <v/>
      </c>
      <c r="B332" s="17" t="n"/>
      <c r="C332" s="30" t="n">
        <v>46101</v>
      </c>
      <c r="D332" s="17" t="inlineStr">
        <is>
          <t>A国内</t>
        </is>
      </c>
      <c r="E332" s="17" t="inlineStr">
        <is>
          <t>MSMU9008082-202603</t>
        </is>
      </c>
      <c r="F332" s="17" t="inlineStr">
        <is>
          <t>烟台市金豪矿山机械有限公司</t>
        </is>
      </c>
      <c r="G332" s="17" t="inlineStr">
        <is>
          <t>JH0264</t>
        </is>
      </c>
      <c r="H332" s="24">
        <f>IF($G332="","",IFERROR(VLOOKUP($G332,物料档案!$A$4:$P$1203,3,0),"※编码不在物料档案里"))</f>
        <v/>
      </c>
      <c r="I332" s="24">
        <f>IF($G332="","",IFERROR(VLOOKUP($G332,物料档案!$A$4:$P$1203,4,0),"※编码不在物料档案里"))</f>
        <v/>
      </c>
      <c r="J332" s="24">
        <f>IF($G332="","",IFERROR(VLOOKUP($G332,物料档案!$A$4:$P$1203,5,0),"※编码不在物料档案里"))</f>
        <v/>
      </c>
      <c r="K332" s="23" t="n">
        <v>1</v>
      </c>
      <c r="L332" s="31" t="n"/>
      <c r="M332" s="24">
        <f>IF($G332="","",IF($D332="A国内","CNY","TZS"))</f>
        <v/>
      </c>
      <c r="N332" s="28">
        <f>IF($G332="","",IF($D332="A国内",汇率,1))</f>
        <v/>
      </c>
      <c r="O332" s="25">
        <f>IF($G332="","",ROUND(N($K332)*N($L332),2))</f>
        <v/>
      </c>
      <c r="P332" s="26">
        <f>IF($G332="","",ROUND($O332*$N332,0))</f>
        <v/>
      </c>
      <c r="Q332" s="26">
        <f>IF($G332="","",SUMIFS($P$4:$P$2503,$E$4:$E$2503,$E332,$Z$4:$Z$2503,"正常"))</f>
        <v/>
      </c>
      <c r="R332" s="26">
        <f>IF($G332="","",SUMIFS(费用台账!$I$4:$I$503,费用台账!$C$4:$C$503,$E332,费用台账!$J$4:$J$503,"是",费用台账!$K$4:$K$503,"正常"))</f>
        <v/>
      </c>
      <c r="S332" s="28">
        <f>IF($G332="","",COUNTIFS($E$4:$E$2503,$E332,$Z$4:$Z$2503,"正常",$Y$4:$Y$2503,"待补价"))</f>
        <v/>
      </c>
      <c r="T332" s="26">
        <f>IF($G332="","",SUMIFS($P$4:$P$2503,$E$4:$E$2503,$E332,$Z$4:$Z$2503,"正常",$A$4:$A$2503,"&lt;="&amp;$A332))</f>
        <v/>
      </c>
      <c r="U332" s="26">
        <f>IF($G332="","",IF(OR($S332&gt;0,$Q332=0,$R332=0,$Z332&lt;&gt;"正常"),0,ROUND($T332/$Q332*$R332,0)-ROUND(($T332-$P332)/$Q332*$R332,0)))</f>
        <v/>
      </c>
      <c r="V332" s="26">
        <f>IF($G332="","",ROUND($P332+$U332,0))</f>
        <v/>
      </c>
      <c r="W332" s="26">
        <f>IF($G332="","",IF(N($K332)=0,0,ROUND($V332/$K332,2)))</f>
        <v/>
      </c>
      <c r="X332" s="17" t="inlineStr">
        <is>
          <t>采购入库</t>
        </is>
      </c>
      <c r="Y332" s="17" t="inlineStr">
        <is>
          <t>待补价</t>
        </is>
      </c>
      <c r="Z332" s="17" t="inlineStr">
        <is>
          <t>正常</t>
        </is>
      </c>
      <c r="AA332" s="17" t="n"/>
      <c r="AB332" s="17" t="inlineStr">
        <is>
          <t>原表第 337 行</t>
        </is>
      </c>
      <c r="AC332" s="24">
        <f>IF($G332="","",IF($H332="※编码不在物料档案里","※物料编码不在档案里",IF(N($K332)&lt;=0,"※入库数量要大于 0",IF(AND($C332&lt;&gt;"",$C332&lt;=结账锁),"※日期早于已结账截止日，不能再录",IF(AND($L332=0,$X332="正常"),"※没填单价，价格状态请选「待补价」",IF(AND($S332&gt;0,$R332&gt;0),"△本批有 "&amp;$S332&amp;" 行没单价，整批运费先挂账没摊",IF(AND($B332&lt;&gt;"",COUNTIF($B$4:$B$2503,$B332)&gt;1),"※入库单号重复","")))))))</f>
        <v/>
      </c>
    </row>
    <row r="333">
      <c r="A333" s="24">
        <f>IF($G333="","",COUNTA($G$4:$G333))</f>
        <v/>
      </c>
      <c r="B333" s="17" t="n"/>
      <c r="C333" s="30" t="n">
        <v>46101</v>
      </c>
      <c r="D333" s="17" t="inlineStr">
        <is>
          <t>A国内</t>
        </is>
      </c>
      <c r="E333" s="17" t="inlineStr">
        <is>
          <t>MSMU9008082-202603</t>
        </is>
      </c>
      <c r="F333" s="17" t="inlineStr">
        <is>
          <t>烟台市金豪矿山机械有限公司</t>
        </is>
      </c>
      <c r="G333" s="17" t="inlineStr">
        <is>
          <t>JH0265</t>
        </is>
      </c>
      <c r="H333" s="24">
        <f>IF($G333="","",IFERROR(VLOOKUP($G333,物料档案!$A$4:$P$1203,3,0),"※编码不在物料档案里"))</f>
        <v/>
      </c>
      <c r="I333" s="24">
        <f>IF($G333="","",IFERROR(VLOOKUP($G333,物料档案!$A$4:$P$1203,4,0),"※编码不在物料档案里"))</f>
        <v/>
      </c>
      <c r="J333" s="24">
        <f>IF($G333="","",IFERROR(VLOOKUP($G333,物料档案!$A$4:$P$1203,5,0),"※编码不在物料档案里"))</f>
        <v/>
      </c>
      <c r="K333" s="23" t="n">
        <v>1</v>
      </c>
      <c r="L333" s="31" t="n"/>
      <c r="M333" s="24">
        <f>IF($G333="","",IF($D333="A国内","CNY","TZS"))</f>
        <v/>
      </c>
      <c r="N333" s="28">
        <f>IF($G333="","",IF($D333="A国内",汇率,1))</f>
        <v/>
      </c>
      <c r="O333" s="25">
        <f>IF($G333="","",ROUND(N($K333)*N($L333),2))</f>
        <v/>
      </c>
      <c r="P333" s="26">
        <f>IF($G333="","",ROUND($O333*$N333,0))</f>
        <v/>
      </c>
      <c r="Q333" s="26">
        <f>IF($G333="","",SUMIFS($P$4:$P$2503,$E$4:$E$2503,$E333,$Z$4:$Z$2503,"正常"))</f>
        <v/>
      </c>
      <c r="R333" s="26">
        <f>IF($G333="","",SUMIFS(费用台账!$I$4:$I$503,费用台账!$C$4:$C$503,$E333,费用台账!$J$4:$J$503,"是",费用台账!$K$4:$K$503,"正常"))</f>
        <v/>
      </c>
      <c r="S333" s="28">
        <f>IF($G333="","",COUNTIFS($E$4:$E$2503,$E333,$Z$4:$Z$2503,"正常",$Y$4:$Y$2503,"待补价"))</f>
        <v/>
      </c>
      <c r="T333" s="26">
        <f>IF($G333="","",SUMIFS($P$4:$P$2503,$E$4:$E$2503,$E333,$Z$4:$Z$2503,"正常",$A$4:$A$2503,"&lt;="&amp;$A333))</f>
        <v/>
      </c>
      <c r="U333" s="26">
        <f>IF($G333="","",IF(OR($S333&gt;0,$Q333=0,$R333=0,$Z333&lt;&gt;"正常"),0,ROUND($T333/$Q333*$R333,0)-ROUND(($T333-$P333)/$Q333*$R333,0)))</f>
        <v/>
      </c>
      <c r="V333" s="26">
        <f>IF($G333="","",ROUND($P333+$U333,0))</f>
        <v/>
      </c>
      <c r="W333" s="26">
        <f>IF($G333="","",IF(N($K333)=0,0,ROUND($V333/$K333,2)))</f>
        <v/>
      </c>
      <c r="X333" s="17" t="inlineStr">
        <is>
          <t>采购入库</t>
        </is>
      </c>
      <c r="Y333" s="17" t="inlineStr">
        <is>
          <t>待补价</t>
        </is>
      </c>
      <c r="Z333" s="17" t="inlineStr">
        <is>
          <t>正常</t>
        </is>
      </c>
      <c r="AA333" s="17" t="n"/>
      <c r="AB333" s="17" t="inlineStr">
        <is>
          <t>原表第 338 行</t>
        </is>
      </c>
      <c r="AC333" s="24">
        <f>IF($G333="","",IF($H333="※编码不在物料档案里","※物料编码不在档案里",IF(N($K333)&lt;=0,"※入库数量要大于 0",IF(AND($C333&lt;&gt;"",$C333&lt;=结账锁),"※日期早于已结账截止日，不能再录",IF(AND($L333=0,$X333="正常"),"※没填单价，价格状态请选「待补价」",IF(AND($S333&gt;0,$R333&gt;0),"△本批有 "&amp;$S333&amp;" 行没单价，整批运费先挂账没摊",IF(AND($B333&lt;&gt;"",COUNTIF($B$4:$B$2503,$B333)&gt;1),"※入库单号重复","")))))))</f>
        <v/>
      </c>
    </row>
    <row r="334">
      <c r="A334" s="24">
        <f>IF($G334="","",COUNTA($G$4:$G334))</f>
        <v/>
      </c>
      <c r="B334" s="17" t="n"/>
      <c r="C334" s="30" t="n">
        <v>46101</v>
      </c>
      <c r="D334" s="17" t="inlineStr">
        <is>
          <t>A国内</t>
        </is>
      </c>
      <c r="E334" s="17" t="inlineStr">
        <is>
          <t>MSMU9008082-202603</t>
        </is>
      </c>
      <c r="F334" s="17" t="inlineStr">
        <is>
          <t>烟台市金豪矿山机械有限公司</t>
        </is>
      </c>
      <c r="G334" s="17" t="inlineStr">
        <is>
          <t>JH0298</t>
        </is>
      </c>
      <c r="H334" s="24">
        <f>IF($G334="","",IFERROR(VLOOKUP($G334,物料档案!$A$4:$P$1203,3,0),"※编码不在物料档案里"))</f>
        <v/>
      </c>
      <c r="I334" s="24">
        <f>IF($G334="","",IFERROR(VLOOKUP($G334,物料档案!$A$4:$P$1203,4,0),"※编码不在物料档案里"))</f>
        <v/>
      </c>
      <c r="J334" s="24">
        <f>IF($G334="","",IFERROR(VLOOKUP($G334,物料档案!$A$4:$P$1203,5,0),"※编码不在物料档案里"))</f>
        <v/>
      </c>
      <c r="K334" s="23" t="n">
        <v>1</v>
      </c>
      <c r="L334" s="31" t="n"/>
      <c r="M334" s="24">
        <f>IF($G334="","",IF($D334="A国内","CNY","TZS"))</f>
        <v/>
      </c>
      <c r="N334" s="28">
        <f>IF($G334="","",IF($D334="A国内",汇率,1))</f>
        <v/>
      </c>
      <c r="O334" s="25">
        <f>IF($G334="","",ROUND(N($K334)*N($L334),2))</f>
        <v/>
      </c>
      <c r="P334" s="26">
        <f>IF($G334="","",ROUND($O334*$N334,0))</f>
        <v/>
      </c>
      <c r="Q334" s="26">
        <f>IF($G334="","",SUMIFS($P$4:$P$2503,$E$4:$E$2503,$E334,$Z$4:$Z$2503,"正常"))</f>
        <v/>
      </c>
      <c r="R334" s="26">
        <f>IF($G334="","",SUMIFS(费用台账!$I$4:$I$503,费用台账!$C$4:$C$503,$E334,费用台账!$J$4:$J$503,"是",费用台账!$K$4:$K$503,"正常"))</f>
        <v/>
      </c>
      <c r="S334" s="28">
        <f>IF($G334="","",COUNTIFS($E$4:$E$2503,$E334,$Z$4:$Z$2503,"正常",$Y$4:$Y$2503,"待补价"))</f>
        <v/>
      </c>
      <c r="T334" s="26">
        <f>IF($G334="","",SUMIFS($P$4:$P$2503,$E$4:$E$2503,$E334,$Z$4:$Z$2503,"正常",$A$4:$A$2503,"&lt;="&amp;$A334))</f>
        <v/>
      </c>
      <c r="U334" s="26">
        <f>IF($G334="","",IF(OR($S334&gt;0,$Q334=0,$R334=0,$Z334&lt;&gt;"正常"),0,ROUND($T334/$Q334*$R334,0)-ROUND(($T334-$P334)/$Q334*$R334,0)))</f>
        <v/>
      </c>
      <c r="V334" s="26">
        <f>IF($G334="","",ROUND($P334+$U334,0))</f>
        <v/>
      </c>
      <c r="W334" s="26">
        <f>IF($G334="","",IF(N($K334)=0,0,ROUND($V334/$K334,2)))</f>
        <v/>
      </c>
      <c r="X334" s="17" t="inlineStr">
        <is>
          <t>采购入库</t>
        </is>
      </c>
      <c r="Y334" s="17" t="inlineStr">
        <is>
          <t>待补价</t>
        </is>
      </c>
      <c r="Z334" s="17" t="inlineStr">
        <is>
          <t>正常</t>
        </is>
      </c>
      <c r="AA334" s="17" t="n"/>
      <c r="AB334" s="17" t="inlineStr">
        <is>
          <t>原表第 339 行</t>
        </is>
      </c>
      <c r="AC334" s="24">
        <f>IF($G334="","",IF($H334="※编码不在物料档案里","※物料编码不在档案里",IF(N($K334)&lt;=0,"※入库数量要大于 0",IF(AND($C334&lt;&gt;"",$C334&lt;=结账锁),"※日期早于已结账截止日，不能再录",IF(AND($L334=0,$X334="正常"),"※没填单价，价格状态请选「待补价」",IF(AND($S334&gt;0,$R334&gt;0),"△本批有 "&amp;$S334&amp;" 行没单价，整批运费先挂账没摊",IF(AND($B334&lt;&gt;"",COUNTIF($B$4:$B$2503,$B334)&gt;1),"※入库单号重复","")))))))</f>
        <v/>
      </c>
    </row>
    <row r="335">
      <c r="A335" s="24">
        <f>IF($G335="","",COUNTA($G$4:$G335))</f>
        <v/>
      </c>
      <c r="B335" s="17" t="n"/>
      <c r="C335" s="30" t="n">
        <v>46101</v>
      </c>
      <c r="D335" s="17" t="inlineStr">
        <is>
          <t>A国内</t>
        </is>
      </c>
      <c r="E335" s="17" t="inlineStr">
        <is>
          <t>MSMU9008082-202603</t>
        </is>
      </c>
      <c r="F335" s="17" t="inlineStr">
        <is>
          <t>烟台市金豪矿山机械有限公司</t>
        </is>
      </c>
      <c r="G335" s="17" t="inlineStr">
        <is>
          <t>JH0299</t>
        </is>
      </c>
      <c r="H335" s="24">
        <f>IF($G335="","",IFERROR(VLOOKUP($G335,物料档案!$A$4:$P$1203,3,0),"※编码不在物料档案里"))</f>
        <v/>
      </c>
      <c r="I335" s="24">
        <f>IF($G335="","",IFERROR(VLOOKUP($G335,物料档案!$A$4:$P$1203,4,0),"※编码不在物料档案里"))</f>
        <v/>
      </c>
      <c r="J335" s="24">
        <f>IF($G335="","",IFERROR(VLOOKUP($G335,物料档案!$A$4:$P$1203,5,0),"※编码不在物料档案里"))</f>
        <v/>
      </c>
      <c r="K335" s="23" t="n">
        <v>1</v>
      </c>
      <c r="L335" s="31" t="n"/>
      <c r="M335" s="24">
        <f>IF($G335="","",IF($D335="A国内","CNY","TZS"))</f>
        <v/>
      </c>
      <c r="N335" s="28">
        <f>IF($G335="","",IF($D335="A国内",汇率,1))</f>
        <v/>
      </c>
      <c r="O335" s="25">
        <f>IF($G335="","",ROUND(N($K335)*N($L335),2))</f>
        <v/>
      </c>
      <c r="P335" s="26">
        <f>IF($G335="","",ROUND($O335*$N335,0))</f>
        <v/>
      </c>
      <c r="Q335" s="26">
        <f>IF($G335="","",SUMIFS($P$4:$P$2503,$E$4:$E$2503,$E335,$Z$4:$Z$2503,"正常"))</f>
        <v/>
      </c>
      <c r="R335" s="26">
        <f>IF($G335="","",SUMIFS(费用台账!$I$4:$I$503,费用台账!$C$4:$C$503,$E335,费用台账!$J$4:$J$503,"是",费用台账!$K$4:$K$503,"正常"))</f>
        <v/>
      </c>
      <c r="S335" s="28">
        <f>IF($G335="","",COUNTIFS($E$4:$E$2503,$E335,$Z$4:$Z$2503,"正常",$Y$4:$Y$2503,"待补价"))</f>
        <v/>
      </c>
      <c r="T335" s="26">
        <f>IF($G335="","",SUMIFS($P$4:$P$2503,$E$4:$E$2503,$E335,$Z$4:$Z$2503,"正常",$A$4:$A$2503,"&lt;="&amp;$A335))</f>
        <v/>
      </c>
      <c r="U335" s="26">
        <f>IF($G335="","",IF(OR($S335&gt;0,$Q335=0,$R335=0,$Z335&lt;&gt;"正常"),0,ROUND($T335/$Q335*$R335,0)-ROUND(($T335-$P335)/$Q335*$R335,0)))</f>
        <v/>
      </c>
      <c r="V335" s="26">
        <f>IF($G335="","",ROUND($P335+$U335,0))</f>
        <v/>
      </c>
      <c r="W335" s="26">
        <f>IF($G335="","",IF(N($K335)=0,0,ROUND($V335/$K335,2)))</f>
        <v/>
      </c>
      <c r="X335" s="17" t="inlineStr">
        <is>
          <t>采购入库</t>
        </is>
      </c>
      <c r="Y335" s="17" t="inlineStr">
        <is>
          <t>待补价</t>
        </is>
      </c>
      <c r="Z335" s="17" t="inlineStr">
        <is>
          <t>正常</t>
        </is>
      </c>
      <c r="AA335" s="17" t="n"/>
      <c r="AB335" s="17" t="inlineStr">
        <is>
          <t>原表第 340 行</t>
        </is>
      </c>
      <c r="AC335" s="24">
        <f>IF($G335="","",IF($H335="※编码不在物料档案里","※物料编码不在档案里",IF(N($K335)&lt;=0,"※入库数量要大于 0",IF(AND($C335&lt;&gt;"",$C335&lt;=结账锁),"※日期早于已结账截止日，不能再录",IF(AND($L335=0,$X335="正常"),"※没填单价，价格状态请选「待补价」",IF(AND($S335&gt;0,$R335&gt;0),"△本批有 "&amp;$S335&amp;" 行没单价，整批运费先挂账没摊",IF(AND($B335&lt;&gt;"",COUNTIF($B$4:$B$2503,$B335)&gt;1),"※入库单号重复","")))))))</f>
        <v/>
      </c>
    </row>
    <row r="336">
      <c r="A336" s="24">
        <f>IF($G336="","",COUNTA($G$4:$G336))</f>
        <v/>
      </c>
      <c r="B336" s="17" t="n"/>
      <c r="C336" s="30" t="n">
        <v>46101</v>
      </c>
      <c r="D336" s="17" t="inlineStr">
        <is>
          <t>A国内</t>
        </is>
      </c>
      <c r="E336" s="17" t="inlineStr">
        <is>
          <t>MSMU9008082-202603</t>
        </is>
      </c>
      <c r="F336" s="17" t="inlineStr">
        <is>
          <t>烟台市金豪矿山机械有限公司</t>
        </is>
      </c>
      <c r="G336" s="17" t="inlineStr">
        <is>
          <t>JH0300</t>
        </is>
      </c>
      <c r="H336" s="24">
        <f>IF($G336="","",IFERROR(VLOOKUP($G336,物料档案!$A$4:$P$1203,3,0),"※编码不在物料档案里"))</f>
        <v/>
      </c>
      <c r="I336" s="24">
        <f>IF($G336="","",IFERROR(VLOOKUP($G336,物料档案!$A$4:$P$1203,4,0),"※编码不在物料档案里"))</f>
        <v/>
      </c>
      <c r="J336" s="24">
        <f>IF($G336="","",IFERROR(VLOOKUP($G336,物料档案!$A$4:$P$1203,5,0),"※编码不在物料档案里"))</f>
        <v/>
      </c>
      <c r="K336" s="23" t="n">
        <v>120</v>
      </c>
      <c r="L336" s="31" t="n"/>
      <c r="M336" s="24">
        <f>IF($G336="","",IF($D336="A国内","CNY","TZS"))</f>
        <v/>
      </c>
      <c r="N336" s="28">
        <f>IF($G336="","",IF($D336="A国内",汇率,1))</f>
        <v/>
      </c>
      <c r="O336" s="25">
        <f>IF($G336="","",ROUND(N($K336)*N($L336),2))</f>
        <v/>
      </c>
      <c r="P336" s="26">
        <f>IF($G336="","",ROUND($O336*$N336,0))</f>
        <v/>
      </c>
      <c r="Q336" s="26">
        <f>IF($G336="","",SUMIFS($P$4:$P$2503,$E$4:$E$2503,$E336,$Z$4:$Z$2503,"正常"))</f>
        <v/>
      </c>
      <c r="R336" s="26">
        <f>IF($G336="","",SUMIFS(费用台账!$I$4:$I$503,费用台账!$C$4:$C$503,$E336,费用台账!$J$4:$J$503,"是",费用台账!$K$4:$K$503,"正常"))</f>
        <v/>
      </c>
      <c r="S336" s="28">
        <f>IF($G336="","",COUNTIFS($E$4:$E$2503,$E336,$Z$4:$Z$2503,"正常",$Y$4:$Y$2503,"待补价"))</f>
        <v/>
      </c>
      <c r="T336" s="26">
        <f>IF($G336="","",SUMIFS($P$4:$P$2503,$E$4:$E$2503,$E336,$Z$4:$Z$2503,"正常",$A$4:$A$2503,"&lt;="&amp;$A336))</f>
        <v/>
      </c>
      <c r="U336" s="26">
        <f>IF($G336="","",IF(OR($S336&gt;0,$Q336=0,$R336=0,$Z336&lt;&gt;"正常"),0,ROUND($T336/$Q336*$R336,0)-ROUND(($T336-$P336)/$Q336*$R336,0)))</f>
        <v/>
      </c>
      <c r="V336" s="26">
        <f>IF($G336="","",ROUND($P336+$U336,0))</f>
        <v/>
      </c>
      <c r="W336" s="26">
        <f>IF($G336="","",IF(N($K336)=0,0,ROUND($V336/$K336,2)))</f>
        <v/>
      </c>
      <c r="X336" s="17" t="inlineStr">
        <is>
          <t>采购入库</t>
        </is>
      </c>
      <c r="Y336" s="17" t="inlineStr">
        <is>
          <t>待补价</t>
        </is>
      </c>
      <c r="Z336" s="17" t="inlineStr">
        <is>
          <t>正常</t>
        </is>
      </c>
      <c r="AA336" s="17" t="n"/>
      <c r="AB336" s="17" t="inlineStr">
        <is>
          <t>原表第 341 行</t>
        </is>
      </c>
      <c r="AC336" s="24">
        <f>IF($G336="","",IF($H336="※编码不在物料档案里","※物料编码不在档案里",IF(N($K336)&lt;=0,"※入库数量要大于 0",IF(AND($C336&lt;&gt;"",$C336&lt;=结账锁),"※日期早于已结账截止日，不能再录",IF(AND($L336=0,$X336="正常"),"※没填单价，价格状态请选「待补价」",IF(AND($S336&gt;0,$R336&gt;0),"△本批有 "&amp;$S336&amp;" 行没单价，整批运费先挂账没摊",IF(AND($B336&lt;&gt;"",COUNTIF($B$4:$B$2503,$B336)&gt;1),"※入库单号重复","")))))))</f>
        <v/>
      </c>
    </row>
    <row r="337">
      <c r="A337" s="24">
        <f>IF($G337="","",COUNTA($G$4:$G337))</f>
        <v/>
      </c>
      <c r="B337" s="17" t="n"/>
      <c r="C337" s="30" t="n">
        <v>46101</v>
      </c>
      <c r="D337" s="17" t="inlineStr">
        <is>
          <t>A国内</t>
        </is>
      </c>
      <c r="E337" s="17" t="inlineStr">
        <is>
          <t>MSMU9008082-202603</t>
        </is>
      </c>
      <c r="F337" s="17" t="inlineStr">
        <is>
          <t>烟台市金豪矿山机械有限公司</t>
        </is>
      </c>
      <c r="G337" s="17" t="inlineStr">
        <is>
          <t>JH0301</t>
        </is>
      </c>
      <c r="H337" s="24">
        <f>IF($G337="","",IFERROR(VLOOKUP($G337,物料档案!$A$4:$P$1203,3,0),"※编码不在物料档案里"))</f>
        <v/>
      </c>
      <c r="I337" s="24">
        <f>IF($G337="","",IFERROR(VLOOKUP($G337,物料档案!$A$4:$P$1203,4,0),"※编码不在物料档案里"))</f>
        <v/>
      </c>
      <c r="J337" s="24">
        <f>IF($G337="","",IFERROR(VLOOKUP($G337,物料档案!$A$4:$P$1203,5,0),"※编码不在物料档案里"))</f>
        <v/>
      </c>
      <c r="K337" s="23" t="n">
        <v>70</v>
      </c>
      <c r="L337" s="31" t="n"/>
      <c r="M337" s="24">
        <f>IF($G337="","",IF($D337="A国内","CNY","TZS"))</f>
        <v/>
      </c>
      <c r="N337" s="28">
        <f>IF($G337="","",IF($D337="A国内",汇率,1))</f>
        <v/>
      </c>
      <c r="O337" s="25">
        <f>IF($G337="","",ROUND(N($K337)*N($L337),2))</f>
        <v/>
      </c>
      <c r="P337" s="26">
        <f>IF($G337="","",ROUND($O337*$N337,0))</f>
        <v/>
      </c>
      <c r="Q337" s="26">
        <f>IF($G337="","",SUMIFS($P$4:$P$2503,$E$4:$E$2503,$E337,$Z$4:$Z$2503,"正常"))</f>
        <v/>
      </c>
      <c r="R337" s="26">
        <f>IF($G337="","",SUMIFS(费用台账!$I$4:$I$503,费用台账!$C$4:$C$503,$E337,费用台账!$J$4:$J$503,"是",费用台账!$K$4:$K$503,"正常"))</f>
        <v/>
      </c>
      <c r="S337" s="28">
        <f>IF($G337="","",COUNTIFS($E$4:$E$2503,$E337,$Z$4:$Z$2503,"正常",$Y$4:$Y$2503,"待补价"))</f>
        <v/>
      </c>
      <c r="T337" s="26">
        <f>IF($G337="","",SUMIFS($P$4:$P$2503,$E$4:$E$2503,$E337,$Z$4:$Z$2503,"正常",$A$4:$A$2503,"&lt;="&amp;$A337))</f>
        <v/>
      </c>
      <c r="U337" s="26">
        <f>IF($G337="","",IF(OR($S337&gt;0,$Q337=0,$R337=0,$Z337&lt;&gt;"正常"),0,ROUND($T337/$Q337*$R337,0)-ROUND(($T337-$P337)/$Q337*$R337,0)))</f>
        <v/>
      </c>
      <c r="V337" s="26">
        <f>IF($G337="","",ROUND($P337+$U337,0))</f>
        <v/>
      </c>
      <c r="W337" s="26">
        <f>IF($G337="","",IF(N($K337)=0,0,ROUND($V337/$K337,2)))</f>
        <v/>
      </c>
      <c r="X337" s="17" t="inlineStr">
        <is>
          <t>采购入库</t>
        </is>
      </c>
      <c r="Y337" s="17" t="inlineStr">
        <is>
          <t>待补价</t>
        </is>
      </c>
      <c r="Z337" s="17" t="inlineStr">
        <is>
          <t>正常</t>
        </is>
      </c>
      <c r="AA337" s="17" t="n"/>
      <c r="AB337" s="17" t="inlineStr">
        <is>
          <t>原表第 342 行</t>
        </is>
      </c>
      <c r="AC337" s="24">
        <f>IF($G337="","",IF($H337="※编码不在物料档案里","※物料编码不在档案里",IF(N($K337)&lt;=0,"※入库数量要大于 0",IF(AND($C337&lt;&gt;"",$C337&lt;=结账锁),"※日期早于已结账截止日，不能再录",IF(AND($L337=0,$X337="正常"),"※没填单价，价格状态请选「待补价」",IF(AND($S337&gt;0,$R337&gt;0),"△本批有 "&amp;$S337&amp;" 行没单价，整批运费先挂账没摊",IF(AND($B337&lt;&gt;"",COUNTIF($B$4:$B$2503,$B337)&gt;1),"※入库单号重复","")))))))</f>
        <v/>
      </c>
    </row>
    <row r="338">
      <c r="A338" s="24">
        <f>IF($G338="","",COUNTA($G$4:$G338))</f>
        <v/>
      </c>
      <c r="B338" s="17" t="n"/>
      <c r="C338" s="30" t="n">
        <v>46101</v>
      </c>
      <c r="D338" s="17" t="inlineStr">
        <is>
          <t>A国内</t>
        </is>
      </c>
      <c r="E338" s="17" t="inlineStr">
        <is>
          <t>MSMU9008082-202603</t>
        </is>
      </c>
      <c r="F338" s="17" t="inlineStr">
        <is>
          <t>烟台市金豪矿山机械有限公司</t>
        </is>
      </c>
      <c r="G338" s="17" t="inlineStr">
        <is>
          <t>JH0302</t>
        </is>
      </c>
      <c r="H338" s="24">
        <f>IF($G338="","",IFERROR(VLOOKUP($G338,物料档案!$A$4:$P$1203,3,0),"※编码不在物料档案里"))</f>
        <v/>
      </c>
      <c r="I338" s="24">
        <f>IF($G338="","",IFERROR(VLOOKUP($G338,物料档案!$A$4:$P$1203,4,0),"※编码不在物料档案里"))</f>
        <v/>
      </c>
      <c r="J338" s="24">
        <f>IF($G338="","",IFERROR(VLOOKUP($G338,物料档案!$A$4:$P$1203,5,0),"※编码不在物料档案里"))</f>
        <v/>
      </c>
      <c r="K338" s="23" t="n">
        <v>15</v>
      </c>
      <c r="L338" s="31" t="n"/>
      <c r="M338" s="24">
        <f>IF($G338="","",IF($D338="A国内","CNY","TZS"))</f>
        <v/>
      </c>
      <c r="N338" s="28">
        <f>IF($G338="","",IF($D338="A国内",汇率,1))</f>
        <v/>
      </c>
      <c r="O338" s="25">
        <f>IF($G338="","",ROUND(N($K338)*N($L338),2))</f>
        <v/>
      </c>
      <c r="P338" s="26">
        <f>IF($G338="","",ROUND($O338*$N338,0))</f>
        <v/>
      </c>
      <c r="Q338" s="26">
        <f>IF($G338="","",SUMIFS($P$4:$P$2503,$E$4:$E$2503,$E338,$Z$4:$Z$2503,"正常"))</f>
        <v/>
      </c>
      <c r="R338" s="26">
        <f>IF($G338="","",SUMIFS(费用台账!$I$4:$I$503,费用台账!$C$4:$C$503,$E338,费用台账!$J$4:$J$503,"是",费用台账!$K$4:$K$503,"正常"))</f>
        <v/>
      </c>
      <c r="S338" s="28">
        <f>IF($G338="","",COUNTIFS($E$4:$E$2503,$E338,$Z$4:$Z$2503,"正常",$Y$4:$Y$2503,"待补价"))</f>
        <v/>
      </c>
      <c r="T338" s="26">
        <f>IF($G338="","",SUMIFS($P$4:$P$2503,$E$4:$E$2503,$E338,$Z$4:$Z$2503,"正常",$A$4:$A$2503,"&lt;="&amp;$A338))</f>
        <v/>
      </c>
      <c r="U338" s="26">
        <f>IF($G338="","",IF(OR($S338&gt;0,$Q338=0,$R338=0,$Z338&lt;&gt;"正常"),0,ROUND($T338/$Q338*$R338,0)-ROUND(($T338-$P338)/$Q338*$R338,0)))</f>
        <v/>
      </c>
      <c r="V338" s="26">
        <f>IF($G338="","",ROUND($P338+$U338,0))</f>
        <v/>
      </c>
      <c r="W338" s="26">
        <f>IF($G338="","",IF(N($K338)=0,0,ROUND($V338/$K338,2)))</f>
        <v/>
      </c>
      <c r="X338" s="17" t="inlineStr">
        <is>
          <t>采购入库</t>
        </is>
      </c>
      <c r="Y338" s="17" t="inlineStr">
        <is>
          <t>待补价</t>
        </is>
      </c>
      <c r="Z338" s="17" t="inlineStr">
        <is>
          <t>正常</t>
        </is>
      </c>
      <c r="AA338" s="17" t="n"/>
      <c r="AB338" s="17" t="inlineStr">
        <is>
          <t>原表第 343 行</t>
        </is>
      </c>
      <c r="AC338" s="24">
        <f>IF($G338="","",IF($H338="※编码不在物料档案里","※物料编码不在档案里",IF(N($K338)&lt;=0,"※入库数量要大于 0",IF(AND($C338&lt;&gt;"",$C338&lt;=结账锁),"※日期早于已结账截止日，不能再录",IF(AND($L338=0,$X338="正常"),"※没填单价，价格状态请选「待补价」",IF(AND($S338&gt;0,$R338&gt;0),"△本批有 "&amp;$S338&amp;" 行没单价，整批运费先挂账没摊",IF(AND($B338&lt;&gt;"",COUNTIF($B$4:$B$2503,$B338)&gt;1),"※入库单号重复","")))))))</f>
        <v/>
      </c>
    </row>
    <row r="339">
      <c r="A339" s="24">
        <f>IF($G339="","",COUNTA($G$4:$G339))</f>
        <v/>
      </c>
      <c r="B339" s="17" t="n"/>
      <c r="C339" s="30" t="n">
        <v>46101</v>
      </c>
      <c r="D339" s="17" t="inlineStr">
        <is>
          <t>A国内</t>
        </is>
      </c>
      <c r="E339" s="17" t="inlineStr">
        <is>
          <t>MSMU9008082-202603</t>
        </is>
      </c>
      <c r="F339" s="17" t="inlineStr">
        <is>
          <t>烟台市金豪矿山机械有限公司</t>
        </is>
      </c>
      <c r="G339" s="17" t="inlineStr">
        <is>
          <t>JH0303</t>
        </is>
      </c>
      <c r="H339" s="24">
        <f>IF($G339="","",IFERROR(VLOOKUP($G339,物料档案!$A$4:$P$1203,3,0),"※编码不在物料档案里"))</f>
        <v/>
      </c>
      <c r="I339" s="24">
        <f>IF($G339="","",IFERROR(VLOOKUP($G339,物料档案!$A$4:$P$1203,4,0),"※编码不在物料档案里"))</f>
        <v/>
      </c>
      <c r="J339" s="24">
        <f>IF($G339="","",IFERROR(VLOOKUP($G339,物料档案!$A$4:$P$1203,5,0),"※编码不在物料档案里"))</f>
        <v/>
      </c>
      <c r="K339" s="23" t="n">
        <v>50</v>
      </c>
      <c r="L339" s="31" t="n"/>
      <c r="M339" s="24">
        <f>IF($G339="","",IF($D339="A国内","CNY","TZS"))</f>
        <v/>
      </c>
      <c r="N339" s="28">
        <f>IF($G339="","",IF($D339="A国内",汇率,1))</f>
        <v/>
      </c>
      <c r="O339" s="25">
        <f>IF($G339="","",ROUND(N($K339)*N($L339),2))</f>
        <v/>
      </c>
      <c r="P339" s="26">
        <f>IF($G339="","",ROUND($O339*$N339,0))</f>
        <v/>
      </c>
      <c r="Q339" s="26">
        <f>IF($G339="","",SUMIFS($P$4:$P$2503,$E$4:$E$2503,$E339,$Z$4:$Z$2503,"正常"))</f>
        <v/>
      </c>
      <c r="R339" s="26">
        <f>IF($G339="","",SUMIFS(费用台账!$I$4:$I$503,费用台账!$C$4:$C$503,$E339,费用台账!$J$4:$J$503,"是",费用台账!$K$4:$K$503,"正常"))</f>
        <v/>
      </c>
      <c r="S339" s="28">
        <f>IF($G339="","",COUNTIFS($E$4:$E$2503,$E339,$Z$4:$Z$2503,"正常",$Y$4:$Y$2503,"待补价"))</f>
        <v/>
      </c>
      <c r="T339" s="26">
        <f>IF($G339="","",SUMIFS($P$4:$P$2503,$E$4:$E$2503,$E339,$Z$4:$Z$2503,"正常",$A$4:$A$2503,"&lt;="&amp;$A339))</f>
        <v/>
      </c>
      <c r="U339" s="26">
        <f>IF($G339="","",IF(OR($S339&gt;0,$Q339=0,$R339=0,$Z339&lt;&gt;"正常"),0,ROUND($T339/$Q339*$R339,0)-ROUND(($T339-$P339)/$Q339*$R339,0)))</f>
        <v/>
      </c>
      <c r="V339" s="26">
        <f>IF($G339="","",ROUND($P339+$U339,0))</f>
        <v/>
      </c>
      <c r="W339" s="26">
        <f>IF($G339="","",IF(N($K339)=0,0,ROUND($V339/$K339,2)))</f>
        <v/>
      </c>
      <c r="X339" s="17" t="inlineStr">
        <is>
          <t>采购入库</t>
        </is>
      </c>
      <c r="Y339" s="17" t="inlineStr">
        <is>
          <t>待补价</t>
        </is>
      </c>
      <c r="Z339" s="17" t="inlineStr">
        <is>
          <t>正常</t>
        </is>
      </c>
      <c r="AA339" s="17" t="n"/>
      <c r="AB339" s="17" t="inlineStr">
        <is>
          <t>原表第 344 行</t>
        </is>
      </c>
      <c r="AC339" s="24">
        <f>IF($G339="","",IF($H339="※编码不在物料档案里","※物料编码不在档案里",IF(N($K339)&lt;=0,"※入库数量要大于 0",IF(AND($C339&lt;&gt;"",$C339&lt;=结账锁),"※日期早于已结账截止日，不能再录",IF(AND($L339=0,$X339="正常"),"※没填单价，价格状态请选「待补价」",IF(AND($S339&gt;0,$R339&gt;0),"△本批有 "&amp;$S339&amp;" 行没单价，整批运费先挂账没摊",IF(AND($B339&lt;&gt;"",COUNTIF($B$4:$B$2503,$B339)&gt;1),"※入库单号重复","")))))))</f>
        <v/>
      </c>
    </row>
    <row r="340">
      <c r="A340" s="24">
        <f>IF($G340="","",COUNTA($G$4:$G340))</f>
        <v/>
      </c>
      <c r="B340" s="17" t="n"/>
      <c r="C340" s="30" t="n">
        <v>46101</v>
      </c>
      <c r="D340" s="17" t="inlineStr">
        <is>
          <t>A国内</t>
        </is>
      </c>
      <c r="E340" s="17" t="inlineStr">
        <is>
          <t>MSMU9008082-202603</t>
        </is>
      </c>
      <c r="F340" s="17" t="inlineStr">
        <is>
          <t>烟台市金豪矿山机械有限公司</t>
        </is>
      </c>
      <c r="G340" s="17" t="inlineStr">
        <is>
          <t>JH0304</t>
        </is>
      </c>
      <c r="H340" s="24">
        <f>IF($G340="","",IFERROR(VLOOKUP($G340,物料档案!$A$4:$P$1203,3,0),"※编码不在物料档案里"))</f>
        <v/>
      </c>
      <c r="I340" s="24">
        <f>IF($G340="","",IFERROR(VLOOKUP($G340,物料档案!$A$4:$P$1203,4,0),"※编码不在物料档案里"))</f>
        <v/>
      </c>
      <c r="J340" s="24">
        <f>IF($G340="","",IFERROR(VLOOKUP($G340,物料档案!$A$4:$P$1203,5,0),"※编码不在物料档案里"))</f>
        <v/>
      </c>
      <c r="K340" s="23" t="n">
        <v>2</v>
      </c>
      <c r="L340" s="31" t="n">
        <v>27000</v>
      </c>
      <c r="M340" s="24">
        <f>IF($G340="","",IF($D340="A国内","CNY","TZS"))</f>
        <v/>
      </c>
      <c r="N340" s="28">
        <f>IF($G340="","",IF($D340="A国内",汇率,1))</f>
        <v/>
      </c>
      <c r="O340" s="25">
        <f>IF($G340="","",ROUND(N($K340)*N($L340),2))</f>
        <v/>
      </c>
      <c r="P340" s="26">
        <f>IF($G340="","",ROUND($O340*$N340,0))</f>
        <v/>
      </c>
      <c r="Q340" s="26">
        <f>IF($G340="","",SUMIFS($P$4:$P$2503,$E$4:$E$2503,$E340,$Z$4:$Z$2503,"正常"))</f>
        <v/>
      </c>
      <c r="R340" s="26">
        <f>IF($G340="","",SUMIFS(费用台账!$I$4:$I$503,费用台账!$C$4:$C$503,$E340,费用台账!$J$4:$J$503,"是",费用台账!$K$4:$K$503,"正常"))</f>
        <v/>
      </c>
      <c r="S340" s="28">
        <f>IF($G340="","",COUNTIFS($E$4:$E$2503,$E340,$Z$4:$Z$2503,"正常",$Y$4:$Y$2503,"待补价"))</f>
        <v/>
      </c>
      <c r="T340" s="26">
        <f>IF($G340="","",SUMIFS($P$4:$P$2503,$E$4:$E$2503,$E340,$Z$4:$Z$2503,"正常",$A$4:$A$2503,"&lt;="&amp;$A340))</f>
        <v/>
      </c>
      <c r="U340" s="26">
        <f>IF($G340="","",IF(OR($S340&gt;0,$Q340=0,$R340=0,$Z340&lt;&gt;"正常"),0,ROUND($T340/$Q340*$R340,0)-ROUND(($T340-$P340)/$Q340*$R340,0)))</f>
        <v/>
      </c>
      <c r="V340" s="26">
        <f>IF($G340="","",ROUND($P340+$U340,0))</f>
        <v/>
      </c>
      <c r="W340" s="26">
        <f>IF($G340="","",IF(N($K340)=0,0,ROUND($V340/$K340,2)))</f>
        <v/>
      </c>
      <c r="X340" s="17" t="inlineStr">
        <is>
          <t>采购入库</t>
        </is>
      </c>
      <c r="Y340" s="17" t="inlineStr">
        <is>
          <t>正常</t>
        </is>
      </c>
      <c r="Z340" s="17" t="inlineStr">
        <is>
          <t>正常</t>
        </is>
      </c>
      <c r="AA340" s="17" t="n"/>
      <c r="AB340" s="17" t="inlineStr">
        <is>
          <t>原表第 345 行</t>
        </is>
      </c>
      <c r="AC340" s="24">
        <f>IF($G340="","",IF($H340="※编码不在物料档案里","※物料编码不在档案里",IF(N($K340)&lt;=0,"※入库数量要大于 0",IF(AND($C340&lt;&gt;"",$C340&lt;=结账锁),"※日期早于已结账截止日，不能再录",IF(AND($L340=0,$X340="正常"),"※没填单价，价格状态请选「待补价」",IF(AND($S340&gt;0,$R340&gt;0),"△本批有 "&amp;$S340&amp;" 行没单价，整批运费先挂账没摊",IF(AND($B340&lt;&gt;"",COUNTIF($B$4:$B$2503,$B340)&gt;1),"※入库单号重复","")))))))</f>
        <v/>
      </c>
    </row>
    <row r="341">
      <c r="A341" s="24">
        <f>IF($G341="","",COUNTA($G$4:$G341))</f>
        <v/>
      </c>
      <c r="B341" s="17" t="n"/>
      <c r="C341" s="30" t="n">
        <v>46101</v>
      </c>
      <c r="D341" s="17" t="inlineStr">
        <is>
          <t>A国内</t>
        </is>
      </c>
      <c r="E341" s="17" t="inlineStr">
        <is>
          <t>MSMU9008082-202603</t>
        </is>
      </c>
      <c r="F341" s="17" t="inlineStr">
        <is>
          <t>烟台市金豪矿山机械有限公司</t>
        </is>
      </c>
      <c r="G341" s="17" t="inlineStr">
        <is>
          <t>JH0296</t>
        </is>
      </c>
      <c r="H341" s="24">
        <f>IF($G341="","",IFERROR(VLOOKUP($G341,物料档案!$A$4:$P$1203,3,0),"※编码不在物料档案里"))</f>
        <v/>
      </c>
      <c r="I341" s="24">
        <f>IF($G341="","",IFERROR(VLOOKUP($G341,物料档案!$A$4:$P$1203,4,0),"※编码不在物料档案里"))</f>
        <v/>
      </c>
      <c r="J341" s="24">
        <f>IF($G341="","",IFERROR(VLOOKUP($G341,物料档案!$A$4:$P$1203,5,0),"※编码不在物料档案里"))</f>
        <v/>
      </c>
      <c r="K341" s="23" t="n">
        <v>2</v>
      </c>
      <c r="L341" s="31" t="n"/>
      <c r="M341" s="24">
        <f>IF($G341="","",IF($D341="A国内","CNY","TZS"))</f>
        <v/>
      </c>
      <c r="N341" s="28">
        <f>IF($G341="","",IF($D341="A国内",汇率,1))</f>
        <v/>
      </c>
      <c r="O341" s="25">
        <f>IF($G341="","",ROUND(N($K341)*N($L341),2))</f>
        <v/>
      </c>
      <c r="P341" s="26">
        <f>IF($G341="","",ROUND($O341*$N341,0))</f>
        <v/>
      </c>
      <c r="Q341" s="26">
        <f>IF($G341="","",SUMIFS($P$4:$P$2503,$E$4:$E$2503,$E341,$Z$4:$Z$2503,"正常"))</f>
        <v/>
      </c>
      <c r="R341" s="26">
        <f>IF($G341="","",SUMIFS(费用台账!$I$4:$I$503,费用台账!$C$4:$C$503,$E341,费用台账!$J$4:$J$503,"是",费用台账!$K$4:$K$503,"正常"))</f>
        <v/>
      </c>
      <c r="S341" s="28">
        <f>IF($G341="","",COUNTIFS($E$4:$E$2503,$E341,$Z$4:$Z$2503,"正常",$Y$4:$Y$2503,"待补价"))</f>
        <v/>
      </c>
      <c r="T341" s="26">
        <f>IF($G341="","",SUMIFS($P$4:$P$2503,$E$4:$E$2503,$E341,$Z$4:$Z$2503,"正常",$A$4:$A$2503,"&lt;="&amp;$A341))</f>
        <v/>
      </c>
      <c r="U341" s="26">
        <f>IF($G341="","",IF(OR($S341&gt;0,$Q341=0,$R341=0,$Z341&lt;&gt;"正常"),0,ROUND($T341/$Q341*$R341,0)-ROUND(($T341-$P341)/$Q341*$R341,0)))</f>
        <v/>
      </c>
      <c r="V341" s="26">
        <f>IF($G341="","",ROUND($P341+$U341,0))</f>
        <v/>
      </c>
      <c r="W341" s="26">
        <f>IF($G341="","",IF(N($K341)=0,0,ROUND($V341/$K341,2)))</f>
        <v/>
      </c>
      <c r="X341" s="17" t="inlineStr">
        <is>
          <t>采购入库</t>
        </is>
      </c>
      <c r="Y341" s="17" t="inlineStr">
        <is>
          <t>待补价</t>
        </is>
      </c>
      <c r="Z341" s="17" t="inlineStr">
        <is>
          <t>正常</t>
        </is>
      </c>
      <c r="AA341" s="17" t="n"/>
      <c r="AB341" s="17" t="inlineStr">
        <is>
          <t>原表第 346 行</t>
        </is>
      </c>
      <c r="AC341" s="24">
        <f>IF($G341="","",IF($H341="※编码不在物料档案里","※物料编码不在档案里",IF(N($K341)&lt;=0,"※入库数量要大于 0",IF(AND($C341&lt;&gt;"",$C341&lt;=结账锁),"※日期早于已结账截止日，不能再录",IF(AND($L341=0,$X341="正常"),"※没填单价，价格状态请选「待补价」",IF(AND($S341&gt;0,$R341&gt;0),"△本批有 "&amp;$S341&amp;" 行没单价，整批运费先挂账没摊",IF(AND($B341&lt;&gt;"",COUNTIF($B$4:$B$2503,$B341)&gt;1),"※入库单号重复","")))))))</f>
        <v/>
      </c>
    </row>
    <row r="342">
      <c r="A342" s="24">
        <f>IF($G342="","",COUNTA($G$4:$G342))</f>
        <v/>
      </c>
      <c r="B342" s="17" t="n"/>
      <c r="C342" s="30" t="n">
        <v>46101</v>
      </c>
      <c r="D342" s="17" t="inlineStr">
        <is>
          <t>A国内</t>
        </is>
      </c>
      <c r="E342" s="17" t="inlineStr">
        <is>
          <t>MSMU9008082-202603</t>
        </is>
      </c>
      <c r="F342" s="17" t="inlineStr">
        <is>
          <t>烟台市金豪矿山机械有限公司</t>
        </is>
      </c>
      <c r="G342" s="17" t="inlineStr">
        <is>
          <t>JH0258</t>
        </is>
      </c>
      <c r="H342" s="24">
        <f>IF($G342="","",IFERROR(VLOOKUP($G342,物料档案!$A$4:$P$1203,3,0),"※编码不在物料档案里"))</f>
        <v/>
      </c>
      <c r="I342" s="24">
        <f>IF($G342="","",IFERROR(VLOOKUP($G342,物料档案!$A$4:$P$1203,4,0),"※编码不在物料档案里"))</f>
        <v/>
      </c>
      <c r="J342" s="24">
        <f>IF($G342="","",IFERROR(VLOOKUP($G342,物料档案!$A$4:$P$1203,5,0),"※编码不在物料档案里"))</f>
        <v/>
      </c>
      <c r="K342" s="23" t="n">
        <v>2</v>
      </c>
      <c r="L342" s="31" t="n"/>
      <c r="M342" s="24">
        <f>IF($G342="","",IF($D342="A国内","CNY","TZS"))</f>
        <v/>
      </c>
      <c r="N342" s="28">
        <f>IF($G342="","",IF($D342="A国内",汇率,1))</f>
        <v/>
      </c>
      <c r="O342" s="25">
        <f>IF($G342="","",ROUND(N($K342)*N($L342),2))</f>
        <v/>
      </c>
      <c r="P342" s="26">
        <f>IF($G342="","",ROUND($O342*$N342,0))</f>
        <v/>
      </c>
      <c r="Q342" s="26">
        <f>IF($G342="","",SUMIFS($P$4:$P$2503,$E$4:$E$2503,$E342,$Z$4:$Z$2503,"正常"))</f>
        <v/>
      </c>
      <c r="R342" s="26">
        <f>IF($G342="","",SUMIFS(费用台账!$I$4:$I$503,费用台账!$C$4:$C$503,$E342,费用台账!$J$4:$J$503,"是",费用台账!$K$4:$K$503,"正常"))</f>
        <v/>
      </c>
      <c r="S342" s="28">
        <f>IF($G342="","",COUNTIFS($E$4:$E$2503,$E342,$Z$4:$Z$2503,"正常",$Y$4:$Y$2503,"待补价"))</f>
        <v/>
      </c>
      <c r="T342" s="26">
        <f>IF($G342="","",SUMIFS($P$4:$P$2503,$E$4:$E$2503,$E342,$Z$4:$Z$2503,"正常",$A$4:$A$2503,"&lt;="&amp;$A342))</f>
        <v/>
      </c>
      <c r="U342" s="26">
        <f>IF($G342="","",IF(OR($S342&gt;0,$Q342=0,$R342=0,$Z342&lt;&gt;"正常"),0,ROUND($T342/$Q342*$R342,0)-ROUND(($T342-$P342)/$Q342*$R342,0)))</f>
        <v/>
      </c>
      <c r="V342" s="26">
        <f>IF($G342="","",ROUND($P342+$U342,0))</f>
        <v/>
      </c>
      <c r="W342" s="26">
        <f>IF($G342="","",IF(N($K342)=0,0,ROUND($V342/$K342,2)))</f>
        <v/>
      </c>
      <c r="X342" s="17" t="inlineStr">
        <is>
          <t>采购入库</t>
        </is>
      </c>
      <c r="Y342" s="17" t="inlineStr">
        <is>
          <t>待补价</t>
        </is>
      </c>
      <c r="Z342" s="17" t="inlineStr">
        <is>
          <t>正常</t>
        </is>
      </c>
      <c r="AA342" s="17" t="n"/>
      <c r="AB342" s="17" t="inlineStr">
        <is>
          <t>原表第 347 行</t>
        </is>
      </c>
      <c r="AC342" s="24">
        <f>IF($G342="","",IF($H342="※编码不在物料档案里","※物料编码不在档案里",IF(N($K342)&lt;=0,"※入库数量要大于 0",IF(AND($C342&lt;&gt;"",$C342&lt;=结账锁),"※日期早于已结账截止日，不能再录",IF(AND($L342=0,$X342="正常"),"※没填单价，价格状态请选「待补价」",IF(AND($S342&gt;0,$R342&gt;0),"△本批有 "&amp;$S342&amp;" 行没单价，整批运费先挂账没摊",IF(AND($B342&lt;&gt;"",COUNTIF($B$4:$B$2503,$B342)&gt;1),"※入库单号重复","")))))))</f>
        <v/>
      </c>
    </row>
    <row r="343">
      <c r="A343" s="24">
        <f>IF($G343="","",COUNTA($G$4:$G343))</f>
        <v/>
      </c>
      <c r="B343" s="17" t="n"/>
      <c r="C343" s="30" t="n">
        <v>46101</v>
      </c>
      <c r="D343" s="17" t="inlineStr">
        <is>
          <t>A国内</t>
        </is>
      </c>
      <c r="E343" s="17" t="inlineStr">
        <is>
          <t>MSMU9008082-202603</t>
        </is>
      </c>
      <c r="F343" s="17" t="inlineStr">
        <is>
          <t>烟台市金豪矿山机械有限公司</t>
        </is>
      </c>
      <c r="G343" s="17" t="inlineStr">
        <is>
          <t>JH0259</t>
        </is>
      </c>
      <c r="H343" s="24">
        <f>IF($G343="","",IFERROR(VLOOKUP($G343,物料档案!$A$4:$P$1203,3,0),"※编码不在物料档案里"))</f>
        <v/>
      </c>
      <c r="I343" s="24">
        <f>IF($G343="","",IFERROR(VLOOKUP($G343,物料档案!$A$4:$P$1203,4,0),"※编码不在物料档案里"))</f>
        <v/>
      </c>
      <c r="J343" s="24">
        <f>IF($G343="","",IFERROR(VLOOKUP($G343,物料档案!$A$4:$P$1203,5,0),"※编码不在物料档案里"))</f>
        <v/>
      </c>
      <c r="K343" s="23" t="n">
        <v>8</v>
      </c>
      <c r="L343" s="31" t="n"/>
      <c r="M343" s="24">
        <f>IF($G343="","",IF($D343="A国内","CNY","TZS"))</f>
        <v/>
      </c>
      <c r="N343" s="28">
        <f>IF($G343="","",IF($D343="A国内",汇率,1))</f>
        <v/>
      </c>
      <c r="O343" s="25">
        <f>IF($G343="","",ROUND(N($K343)*N($L343),2))</f>
        <v/>
      </c>
      <c r="P343" s="26">
        <f>IF($G343="","",ROUND($O343*$N343,0))</f>
        <v/>
      </c>
      <c r="Q343" s="26">
        <f>IF($G343="","",SUMIFS($P$4:$P$2503,$E$4:$E$2503,$E343,$Z$4:$Z$2503,"正常"))</f>
        <v/>
      </c>
      <c r="R343" s="26">
        <f>IF($G343="","",SUMIFS(费用台账!$I$4:$I$503,费用台账!$C$4:$C$503,$E343,费用台账!$J$4:$J$503,"是",费用台账!$K$4:$K$503,"正常"))</f>
        <v/>
      </c>
      <c r="S343" s="28">
        <f>IF($G343="","",COUNTIFS($E$4:$E$2503,$E343,$Z$4:$Z$2503,"正常",$Y$4:$Y$2503,"待补价"))</f>
        <v/>
      </c>
      <c r="T343" s="26">
        <f>IF($G343="","",SUMIFS($P$4:$P$2503,$E$4:$E$2503,$E343,$Z$4:$Z$2503,"正常",$A$4:$A$2503,"&lt;="&amp;$A343))</f>
        <v/>
      </c>
      <c r="U343" s="26">
        <f>IF($G343="","",IF(OR($S343&gt;0,$Q343=0,$R343=0,$Z343&lt;&gt;"正常"),0,ROUND($T343/$Q343*$R343,0)-ROUND(($T343-$P343)/$Q343*$R343,0)))</f>
        <v/>
      </c>
      <c r="V343" s="26">
        <f>IF($G343="","",ROUND($P343+$U343,0))</f>
        <v/>
      </c>
      <c r="W343" s="26">
        <f>IF($G343="","",IF(N($K343)=0,0,ROUND($V343/$K343,2)))</f>
        <v/>
      </c>
      <c r="X343" s="17" t="inlineStr">
        <is>
          <t>采购入库</t>
        </is>
      </c>
      <c r="Y343" s="17" t="inlineStr">
        <is>
          <t>待补价</t>
        </is>
      </c>
      <c r="Z343" s="17" t="inlineStr">
        <is>
          <t>正常</t>
        </is>
      </c>
      <c r="AA343" s="17" t="n"/>
      <c r="AB343" s="17" t="inlineStr">
        <is>
          <t>原表第 348 行</t>
        </is>
      </c>
      <c r="AC343" s="24">
        <f>IF($G343="","",IF($H343="※编码不在物料档案里","※物料编码不在档案里",IF(N($K343)&lt;=0,"※入库数量要大于 0",IF(AND($C343&lt;&gt;"",$C343&lt;=结账锁),"※日期早于已结账截止日，不能再录",IF(AND($L343=0,$X343="正常"),"※没填单价，价格状态请选「待补价」",IF(AND($S343&gt;0,$R343&gt;0),"△本批有 "&amp;$S343&amp;" 行没单价，整批运费先挂账没摊",IF(AND($B343&lt;&gt;"",COUNTIF($B$4:$B$2503,$B343)&gt;1),"※入库单号重复","")))))))</f>
        <v/>
      </c>
    </row>
    <row r="344">
      <c r="A344" s="24">
        <f>IF($G344="","",COUNTA($G$4:$G344))</f>
        <v/>
      </c>
      <c r="B344" s="17" t="n"/>
      <c r="C344" s="30" t="n">
        <v>46101</v>
      </c>
      <c r="D344" s="17" t="inlineStr">
        <is>
          <t>A国内</t>
        </is>
      </c>
      <c r="E344" s="17" t="inlineStr">
        <is>
          <t>MSMU9008082-202603</t>
        </is>
      </c>
      <c r="F344" s="17" t="inlineStr">
        <is>
          <t>烟台市金豪矿山机械有限公司</t>
        </is>
      </c>
      <c r="G344" s="17" t="inlineStr">
        <is>
          <t>JH0260</t>
        </is>
      </c>
      <c r="H344" s="24">
        <f>IF($G344="","",IFERROR(VLOOKUP($G344,物料档案!$A$4:$P$1203,3,0),"※编码不在物料档案里"))</f>
        <v/>
      </c>
      <c r="I344" s="24">
        <f>IF($G344="","",IFERROR(VLOOKUP($G344,物料档案!$A$4:$P$1203,4,0),"※编码不在物料档案里"))</f>
        <v/>
      </c>
      <c r="J344" s="24">
        <f>IF($G344="","",IFERROR(VLOOKUP($G344,物料档案!$A$4:$P$1203,5,0),"※编码不在物料档案里"))</f>
        <v/>
      </c>
      <c r="K344" s="23" t="n">
        <v>5</v>
      </c>
      <c r="L344" s="31" t="n"/>
      <c r="M344" s="24">
        <f>IF($G344="","",IF($D344="A国内","CNY","TZS"))</f>
        <v/>
      </c>
      <c r="N344" s="28">
        <f>IF($G344="","",IF($D344="A国内",汇率,1))</f>
        <v/>
      </c>
      <c r="O344" s="25">
        <f>IF($G344="","",ROUND(N($K344)*N($L344),2))</f>
        <v/>
      </c>
      <c r="P344" s="26">
        <f>IF($G344="","",ROUND($O344*$N344,0))</f>
        <v/>
      </c>
      <c r="Q344" s="26">
        <f>IF($G344="","",SUMIFS($P$4:$P$2503,$E$4:$E$2503,$E344,$Z$4:$Z$2503,"正常"))</f>
        <v/>
      </c>
      <c r="R344" s="26">
        <f>IF($G344="","",SUMIFS(费用台账!$I$4:$I$503,费用台账!$C$4:$C$503,$E344,费用台账!$J$4:$J$503,"是",费用台账!$K$4:$K$503,"正常"))</f>
        <v/>
      </c>
      <c r="S344" s="28">
        <f>IF($G344="","",COUNTIFS($E$4:$E$2503,$E344,$Z$4:$Z$2503,"正常",$Y$4:$Y$2503,"待补价"))</f>
        <v/>
      </c>
      <c r="T344" s="26">
        <f>IF($G344="","",SUMIFS($P$4:$P$2503,$E$4:$E$2503,$E344,$Z$4:$Z$2503,"正常",$A$4:$A$2503,"&lt;="&amp;$A344))</f>
        <v/>
      </c>
      <c r="U344" s="26">
        <f>IF($G344="","",IF(OR($S344&gt;0,$Q344=0,$R344=0,$Z344&lt;&gt;"正常"),0,ROUND($T344/$Q344*$R344,0)-ROUND(($T344-$P344)/$Q344*$R344,0)))</f>
        <v/>
      </c>
      <c r="V344" s="26">
        <f>IF($G344="","",ROUND($P344+$U344,0))</f>
        <v/>
      </c>
      <c r="W344" s="26">
        <f>IF($G344="","",IF(N($K344)=0,0,ROUND($V344/$K344,2)))</f>
        <v/>
      </c>
      <c r="X344" s="17" t="inlineStr">
        <is>
          <t>采购入库</t>
        </is>
      </c>
      <c r="Y344" s="17" t="inlineStr">
        <is>
          <t>待补价</t>
        </is>
      </c>
      <c r="Z344" s="17" t="inlineStr">
        <is>
          <t>正常</t>
        </is>
      </c>
      <c r="AA344" s="17" t="n"/>
      <c r="AB344" s="17" t="inlineStr">
        <is>
          <t>原表第 349 行</t>
        </is>
      </c>
      <c r="AC344" s="24">
        <f>IF($G344="","",IF($H344="※编码不在物料档案里","※物料编码不在档案里",IF(N($K344)&lt;=0,"※入库数量要大于 0",IF(AND($C344&lt;&gt;"",$C344&lt;=结账锁),"※日期早于已结账截止日，不能再录",IF(AND($L344=0,$X344="正常"),"※没填单价，价格状态请选「待补价」",IF(AND($S344&gt;0,$R344&gt;0),"△本批有 "&amp;$S344&amp;" 行没单价，整批运费先挂账没摊",IF(AND($B344&lt;&gt;"",COUNTIF($B$4:$B$2503,$B344)&gt;1),"※入库单号重复","")))))))</f>
        <v/>
      </c>
    </row>
    <row r="345">
      <c r="A345" s="24">
        <f>IF($G345="","",COUNTA($G$4:$G345))</f>
        <v/>
      </c>
      <c r="B345" s="17" t="n"/>
      <c r="C345" s="30" t="n">
        <v>46101</v>
      </c>
      <c r="D345" s="17" t="inlineStr">
        <is>
          <t>A国内</t>
        </is>
      </c>
      <c r="E345" s="17" t="inlineStr">
        <is>
          <t>MSMU9008082-202603</t>
        </is>
      </c>
      <c r="F345" s="17" t="inlineStr">
        <is>
          <t>烟台市金豪矿山机械有限公司</t>
        </is>
      </c>
      <c r="G345" s="17" t="inlineStr">
        <is>
          <t>JH0261</t>
        </is>
      </c>
      <c r="H345" s="24">
        <f>IF($G345="","",IFERROR(VLOOKUP($G345,物料档案!$A$4:$P$1203,3,0),"※编码不在物料档案里"))</f>
        <v/>
      </c>
      <c r="I345" s="24">
        <f>IF($G345="","",IFERROR(VLOOKUP($G345,物料档案!$A$4:$P$1203,4,0),"※编码不在物料档案里"))</f>
        <v/>
      </c>
      <c r="J345" s="24">
        <f>IF($G345="","",IFERROR(VLOOKUP($G345,物料档案!$A$4:$P$1203,5,0),"※编码不在物料档案里"))</f>
        <v/>
      </c>
      <c r="K345" s="23" t="n">
        <v>2</v>
      </c>
      <c r="L345" s="31" t="n"/>
      <c r="M345" s="24">
        <f>IF($G345="","",IF($D345="A国内","CNY","TZS"))</f>
        <v/>
      </c>
      <c r="N345" s="28">
        <f>IF($G345="","",IF($D345="A国内",汇率,1))</f>
        <v/>
      </c>
      <c r="O345" s="25">
        <f>IF($G345="","",ROUND(N($K345)*N($L345),2))</f>
        <v/>
      </c>
      <c r="P345" s="26">
        <f>IF($G345="","",ROUND($O345*$N345,0))</f>
        <v/>
      </c>
      <c r="Q345" s="26">
        <f>IF($G345="","",SUMIFS($P$4:$P$2503,$E$4:$E$2503,$E345,$Z$4:$Z$2503,"正常"))</f>
        <v/>
      </c>
      <c r="R345" s="26">
        <f>IF($G345="","",SUMIFS(费用台账!$I$4:$I$503,费用台账!$C$4:$C$503,$E345,费用台账!$J$4:$J$503,"是",费用台账!$K$4:$K$503,"正常"))</f>
        <v/>
      </c>
      <c r="S345" s="28">
        <f>IF($G345="","",COUNTIFS($E$4:$E$2503,$E345,$Z$4:$Z$2503,"正常",$Y$4:$Y$2503,"待补价"))</f>
        <v/>
      </c>
      <c r="T345" s="26">
        <f>IF($G345="","",SUMIFS($P$4:$P$2503,$E$4:$E$2503,$E345,$Z$4:$Z$2503,"正常",$A$4:$A$2503,"&lt;="&amp;$A345))</f>
        <v/>
      </c>
      <c r="U345" s="26">
        <f>IF($G345="","",IF(OR($S345&gt;0,$Q345=0,$R345=0,$Z345&lt;&gt;"正常"),0,ROUND($T345/$Q345*$R345,0)-ROUND(($T345-$P345)/$Q345*$R345,0)))</f>
        <v/>
      </c>
      <c r="V345" s="26">
        <f>IF($G345="","",ROUND($P345+$U345,0))</f>
        <v/>
      </c>
      <c r="W345" s="26">
        <f>IF($G345="","",IF(N($K345)=0,0,ROUND($V345/$K345,2)))</f>
        <v/>
      </c>
      <c r="X345" s="17" t="inlineStr">
        <is>
          <t>采购入库</t>
        </is>
      </c>
      <c r="Y345" s="17" t="inlineStr">
        <is>
          <t>待补价</t>
        </is>
      </c>
      <c r="Z345" s="17" t="inlineStr">
        <is>
          <t>正常</t>
        </is>
      </c>
      <c r="AA345" s="17" t="n"/>
      <c r="AB345" s="17" t="inlineStr">
        <is>
          <t>原表第 350 行</t>
        </is>
      </c>
      <c r="AC345" s="24">
        <f>IF($G345="","",IF($H345="※编码不在物料档案里","※物料编码不在档案里",IF(N($K345)&lt;=0,"※入库数量要大于 0",IF(AND($C345&lt;&gt;"",$C345&lt;=结账锁),"※日期早于已结账截止日，不能再录",IF(AND($L345=0,$X345="正常"),"※没填单价，价格状态请选「待补价」",IF(AND($S345&gt;0,$R345&gt;0),"△本批有 "&amp;$S345&amp;" 行没单价，整批运费先挂账没摊",IF(AND($B345&lt;&gt;"",COUNTIF($B$4:$B$2503,$B345)&gt;1),"※入库单号重复","")))))))</f>
        <v/>
      </c>
    </row>
    <row r="346">
      <c r="A346" s="24">
        <f>IF($G346="","",COUNTA($G$4:$G346))</f>
        <v/>
      </c>
      <c r="B346" s="17" t="n"/>
      <c r="C346" s="30" t="n">
        <v>46101</v>
      </c>
      <c r="D346" s="17" t="inlineStr">
        <is>
          <t>A国内</t>
        </is>
      </c>
      <c r="E346" s="17" t="inlineStr">
        <is>
          <t>MSMU9008082-202603</t>
        </is>
      </c>
      <c r="F346" s="17" t="inlineStr">
        <is>
          <t>烟台市金豪矿山机械有限公司</t>
        </is>
      </c>
      <c r="G346" s="17" t="inlineStr">
        <is>
          <t>JH0298</t>
        </is>
      </c>
      <c r="H346" s="24">
        <f>IF($G346="","",IFERROR(VLOOKUP($G346,物料档案!$A$4:$P$1203,3,0),"※编码不在物料档案里"))</f>
        <v/>
      </c>
      <c r="I346" s="24">
        <f>IF($G346="","",IFERROR(VLOOKUP($G346,物料档案!$A$4:$P$1203,4,0),"※编码不在物料档案里"))</f>
        <v/>
      </c>
      <c r="J346" s="24">
        <f>IF($G346="","",IFERROR(VLOOKUP($G346,物料档案!$A$4:$P$1203,5,0),"※编码不在物料档案里"))</f>
        <v/>
      </c>
      <c r="K346" s="23" t="n">
        <v>1</v>
      </c>
      <c r="L346" s="31" t="n"/>
      <c r="M346" s="24">
        <f>IF($G346="","",IF($D346="A国内","CNY","TZS"))</f>
        <v/>
      </c>
      <c r="N346" s="28">
        <f>IF($G346="","",IF($D346="A国内",汇率,1))</f>
        <v/>
      </c>
      <c r="O346" s="25">
        <f>IF($G346="","",ROUND(N($K346)*N($L346),2))</f>
        <v/>
      </c>
      <c r="P346" s="26">
        <f>IF($G346="","",ROUND($O346*$N346,0))</f>
        <v/>
      </c>
      <c r="Q346" s="26">
        <f>IF($G346="","",SUMIFS($P$4:$P$2503,$E$4:$E$2503,$E346,$Z$4:$Z$2503,"正常"))</f>
        <v/>
      </c>
      <c r="R346" s="26">
        <f>IF($G346="","",SUMIFS(费用台账!$I$4:$I$503,费用台账!$C$4:$C$503,$E346,费用台账!$J$4:$J$503,"是",费用台账!$K$4:$K$503,"正常"))</f>
        <v/>
      </c>
      <c r="S346" s="28">
        <f>IF($G346="","",COUNTIFS($E$4:$E$2503,$E346,$Z$4:$Z$2503,"正常",$Y$4:$Y$2503,"待补价"))</f>
        <v/>
      </c>
      <c r="T346" s="26">
        <f>IF($G346="","",SUMIFS($P$4:$P$2503,$E$4:$E$2503,$E346,$Z$4:$Z$2503,"正常",$A$4:$A$2503,"&lt;="&amp;$A346))</f>
        <v/>
      </c>
      <c r="U346" s="26">
        <f>IF($G346="","",IF(OR($S346&gt;0,$Q346=0,$R346=0,$Z346&lt;&gt;"正常"),0,ROUND($T346/$Q346*$R346,0)-ROUND(($T346-$P346)/$Q346*$R346,0)))</f>
        <v/>
      </c>
      <c r="V346" s="26">
        <f>IF($G346="","",ROUND($P346+$U346,0))</f>
        <v/>
      </c>
      <c r="W346" s="26">
        <f>IF($G346="","",IF(N($K346)=0,0,ROUND($V346/$K346,2)))</f>
        <v/>
      </c>
      <c r="X346" s="17" t="inlineStr">
        <is>
          <t>采购入库</t>
        </is>
      </c>
      <c r="Y346" s="17" t="inlineStr">
        <is>
          <t>待补价</t>
        </is>
      </c>
      <c r="Z346" s="17" t="inlineStr">
        <is>
          <t>正常</t>
        </is>
      </c>
      <c r="AA346" s="17" t="n"/>
      <c r="AB346" s="17" t="inlineStr">
        <is>
          <t>原表第 351 行</t>
        </is>
      </c>
      <c r="AC346" s="24">
        <f>IF($G346="","",IF($H346="※编码不在物料档案里","※物料编码不在档案里",IF(N($K346)&lt;=0,"※入库数量要大于 0",IF(AND($C346&lt;&gt;"",$C346&lt;=结账锁),"※日期早于已结账截止日，不能再录",IF(AND($L346=0,$X346="正常"),"※没填单价，价格状态请选「待补价」",IF(AND($S346&gt;0,$R346&gt;0),"△本批有 "&amp;$S346&amp;" 行没单价，整批运费先挂账没摊",IF(AND($B346&lt;&gt;"",COUNTIF($B$4:$B$2503,$B346)&gt;1),"※入库单号重复","")))))))</f>
        <v/>
      </c>
    </row>
    <row r="347">
      <c r="A347" s="24">
        <f>IF($G347="","",COUNTA($G$4:$G347))</f>
        <v/>
      </c>
      <c r="B347" s="17" t="n"/>
      <c r="C347" s="30" t="n">
        <v>46101</v>
      </c>
      <c r="D347" s="17" t="inlineStr">
        <is>
          <t>A国内</t>
        </is>
      </c>
      <c r="E347" s="17" t="inlineStr">
        <is>
          <t>MSMU9008082-202603</t>
        </is>
      </c>
      <c r="F347" s="17" t="inlineStr">
        <is>
          <t>烟台市金豪矿山机械有限公司</t>
        </is>
      </c>
      <c r="G347" s="17" t="inlineStr">
        <is>
          <t>JH0305</t>
        </is>
      </c>
      <c r="H347" s="24">
        <f>IF($G347="","",IFERROR(VLOOKUP($G347,物料档案!$A$4:$P$1203,3,0),"※编码不在物料档案里"))</f>
        <v/>
      </c>
      <c r="I347" s="24">
        <f>IF($G347="","",IFERROR(VLOOKUP($G347,物料档案!$A$4:$P$1203,4,0),"※编码不在物料档案里"))</f>
        <v/>
      </c>
      <c r="J347" s="24">
        <f>IF($G347="","",IFERROR(VLOOKUP($G347,物料档案!$A$4:$P$1203,5,0),"※编码不在物料档案里"))</f>
        <v/>
      </c>
      <c r="K347" s="23" t="n">
        <v>1</v>
      </c>
      <c r="L347" s="31" t="n"/>
      <c r="M347" s="24">
        <f>IF($G347="","",IF($D347="A国内","CNY","TZS"))</f>
        <v/>
      </c>
      <c r="N347" s="28">
        <f>IF($G347="","",IF($D347="A国内",汇率,1))</f>
        <v/>
      </c>
      <c r="O347" s="25">
        <f>IF($G347="","",ROUND(N($K347)*N($L347),2))</f>
        <v/>
      </c>
      <c r="P347" s="26">
        <f>IF($G347="","",ROUND($O347*$N347,0))</f>
        <v/>
      </c>
      <c r="Q347" s="26">
        <f>IF($G347="","",SUMIFS($P$4:$P$2503,$E$4:$E$2503,$E347,$Z$4:$Z$2503,"正常"))</f>
        <v/>
      </c>
      <c r="R347" s="26">
        <f>IF($G347="","",SUMIFS(费用台账!$I$4:$I$503,费用台账!$C$4:$C$503,$E347,费用台账!$J$4:$J$503,"是",费用台账!$K$4:$K$503,"正常"))</f>
        <v/>
      </c>
      <c r="S347" s="28">
        <f>IF($G347="","",COUNTIFS($E$4:$E$2503,$E347,$Z$4:$Z$2503,"正常",$Y$4:$Y$2503,"待补价"))</f>
        <v/>
      </c>
      <c r="T347" s="26">
        <f>IF($G347="","",SUMIFS($P$4:$P$2503,$E$4:$E$2503,$E347,$Z$4:$Z$2503,"正常",$A$4:$A$2503,"&lt;="&amp;$A347))</f>
        <v/>
      </c>
      <c r="U347" s="26">
        <f>IF($G347="","",IF(OR($S347&gt;0,$Q347=0,$R347=0,$Z347&lt;&gt;"正常"),0,ROUND($T347/$Q347*$R347,0)-ROUND(($T347-$P347)/$Q347*$R347,0)))</f>
        <v/>
      </c>
      <c r="V347" s="26">
        <f>IF($G347="","",ROUND($P347+$U347,0))</f>
        <v/>
      </c>
      <c r="W347" s="26">
        <f>IF($G347="","",IF(N($K347)=0,0,ROUND($V347/$K347,2)))</f>
        <v/>
      </c>
      <c r="X347" s="17" t="inlineStr">
        <is>
          <t>采购入库</t>
        </is>
      </c>
      <c r="Y347" s="17" t="inlineStr">
        <is>
          <t>待补价</t>
        </is>
      </c>
      <c r="Z347" s="17" t="inlineStr">
        <is>
          <t>正常</t>
        </is>
      </c>
      <c r="AA347" s="17" t="n"/>
      <c r="AB347" s="17" t="inlineStr">
        <is>
          <t>原表第 352 行</t>
        </is>
      </c>
      <c r="AC347" s="24">
        <f>IF($G347="","",IF($H347="※编码不在物料档案里","※物料编码不在档案里",IF(N($K347)&lt;=0,"※入库数量要大于 0",IF(AND($C347&lt;&gt;"",$C347&lt;=结账锁),"※日期早于已结账截止日，不能再录",IF(AND($L347=0,$X347="正常"),"※没填单价，价格状态请选「待补价」",IF(AND($S347&gt;0,$R347&gt;0),"△本批有 "&amp;$S347&amp;" 行没单价，整批运费先挂账没摊",IF(AND($B347&lt;&gt;"",COUNTIF($B$4:$B$2503,$B347)&gt;1),"※入库单号重复","")))))))</f>
        <v/>
      </c>
    </row>
    <row r="348">
      <c r="A348" s="24">
        <f>IF($G348="","",COUNTA($G$4:$G348))</f>
        <v/>
      </c>
      <c r="B348" s="17" t="n"/>
      <c r="C348" s="30" t="n">
        <v>46101</v>
      </c>
      <c r="D348" s="17" t="inlineStr">
        <is>
          <t>A国内</t>
        </is>
      </c>
      <c r="E348" s="17" t="inlineStr">
        <is>
          <t>MSMU9008082-202603</t>
        </is>
      </c>
      <c r="F348" s="17" t="inlineStr">
        <is>
          <t>烟台市金豪矿山机械有限公司</t>
        </is>
      </c>
      <c r="G348" s="17" t="inlineStr">
        <is>
          <t>JH0306</t>
        </is>
      </c>
      <c r="H348" s="24">
        <f>IF($G348="","",IFERROR(VLOOKUP($G348,物料档案!$A$4:$P$1203,3,0),"※编码不在物料档案里"))</f>
        <v/>
      </c>
      <c r="I348" s="24">
        <f>IF($G348="","",IFERROR(VLOOKUP($G348,物料档案!$A$4:$P$1203,4,0),"※编码不在物料档案里"))</f>
        <v/>
      </c>
      <c r="J348" s="24">
        <f>IF($G348="","",IFERROR(VLOOKUP($G348,物料档案!$A$4:$P$1203,5,0),"※编码不在物料档案里"))</f>
        <v/>
      </c>
      <c r="K348" s="23" t="n">
        <v>1</v>
      </c>
      <c r="L348" s="31" t="n"/>
      <c r="M348" s="24">
        <f>IF($G348="","",IF($D348="A国内","CNY","TZS"))</f>
        <v/>
      </c>
      <c r="N348" s="28">
        <f>IF($G348="","",IF($D348="A国内",汇率,1))</f>
        <v/>
      </c>
      <c r="O348" s="25">
        <f>IF($G348="","",ROUND(N($K348)*N($L348),2))</f>
        <v/>
      </c>
      <c r="P348" s="26">
        <f>IF($G348="","",ROUND($O348*$N348,0))</f>
        <v/>
      </c>
      <c r="Q348" s="26">
        <f>IF($G348="","",SUMIFS($P$4:$P$2503,$E$4:$E$2503,$E348,$Z$4:$Z$2503,"正常"))</f>
        <v/>
      </c>
      <c r="R348" s="26">
        <f>IF($G348="","",SUMIFS(费用台账!$I$4:$I$503,费用台账!$C$4:$C$503,$E348,费用台账!$J$4:$J$503,"是",费用台账!$K$4:$K$503,"正常"))</f>
        <v/>
      </c>
      <c r="S348" s="28">
        <f>IF($G348="","",COUNTIFS($E$4:$E$2503,$E348,$Z$4:$Z$2503,"正常",$Y$4:$Y$2503,"待补价"))</f>
        <v/>
      </c>
      <c r="T348" s="26">
        <f>IF($G348="","",SUMIFS($P$4:$P$2503,$E$4:$E$2503,$E348,$Z$4:$Z$2503,"正常",$A$4:$A$2503,"&lt;="&amp;$A348))</f>
        <v/>
      </c>
      <c r="U348" s="26">
        <f>IF($G348="","",IF(OR($S348&gt;0,$Q348=0,$R348=0,$Z348&lt;&gt;"正常"),0,ROUND($T348/$Q348*$R348,0)-ROUND(($T348-$P348)/$Q348*$R348,0)))</f>
        <v/>
      </c>
      <c r="V348" s="26">
        <f>IF($G348="","",ROUND($P348+$U348,0))</f>
        <v/>
      </c>
      <c r="W348" s="26">
        <f>IF($G348="","",IF(N($K348)=0,0,ROUND($V348/$K348,2)))</f>
        <v/>
      </c>
      <c r="X348" s="17" t="inlineStr">
        <is>
          <t>采购入库</t>
        </is>
      </c>
      <c r="Y348" s="17" t="inlineStr">
        <is>
          <t>待补价</t>
        </is>
      </c>
      <c r="Z348" s="17" t="inlineStr">
        <is>
          <t>正常</t>
        </is>
      </c>
      <c r="AA348" s="17" t="n"/>
      <c r="AB348" s="17" t="inlineStr">
        <is>
          <t>原表第 353 行</t>
        </is>
      </c>
      <c r="AC348" s="24">
        <f>IF($G348="","",IF($H348="※编码不在物料档案里","※物料编码不在档案里",IF(N($K348)&lt;=0,"※入库数量要大于 0",IF(AND($C348&lt;&gt;"",$C348&lt;=结账锁),"※日期早于已结账截止日，不能再录",IF(AND($L348=0,$X348="正常"),"※没填单价，价格状态请选「待补价」",IF(AND($S348&gt;0,$R348&gt;0),"△本批有 "&amp;$S348&amp;" 行没单价，整批运费先挂账没摊",IF(AND($B348&lt;&gt;"",COUNTIF($B$4:$B$2503,$B348)&gt;1),"※入库单号重复","")))))))</f>
        <v/>
      </c>
    </row>
    <row r="349">
      <c r="A349" s="24">
        <f>IF($G349="","",COUNTA($G$4:$G349))</f>
        <v/>
      </c>
      <c r="B349" s="17" t="n"/>
      <c r="C349" s="30" t="n">
        <v>46101</v>
      </c>
      <c r="D349" s="17" t="inlineStr">
        <is>
          <t>A国内</t>
        </is>
      </c>
      <c r="E349" s="17" t="inlineStr">
        <is>
          <t>MSMU9008082-202603</t>
        </is>
      </c>
      <c r="F349" s="17" t="inlineStr">
        <is>
          <t>烟台市金豪矿山机械有限公司</t>
        </is>
      </c>
      <c r="G349" s="17" t="inlineStr">
        <is>
          <t>JH0307</t>
        </is>
      </c>
      <c r="H349" s="24">
        <f>IF($G349="","",IFERROR(VLOOKUP($G349,物料档案!$A$4:$P$1203,3,0),"※编码不在物料档案里"))</f>
        <v/>
      </c>
      <c r="I349" s="24">
        <f>IF($G349="","",IFERROR(VLOOKUP($G349,物料档案!$A$4:$P$1203,4,0),"※编码不在物料档案里"))</f>
        <v/>
      </c>
      <c r="J349" s="24">
        <f>IF($G349="","",IFERROR(VLOOKUP($G349,物料档案!$A$4:$P$1203,5,0),"※编码不在物料档案里"))</f>
        <v/>
      </c>
      <c r="K349" s="23" t="n">
        <v>6</v>
      </c>
      <c r="L349" s="31" t="n"/>
      <c r="M349" s="24">
        <f>IF($G349="","",IF($D349="A国内","CNY","TZS"))</f>
        <v/>
      </c>
      <c r="N349" s="28">
        <f>IF($G349="","",IF($D349="A国内",汇率,1))</f>
        <v/>
      </c>
      <c r="O349" s="25">
        <f>IF($G349="","",ROUND(N($K349)*N($L349),2))</f>
        <v/>
      </c>
      <c r="P349" s="26">
        <f>IF($G349="","",ROUND($O349*$N349,0))</f>
        <v/>
      </c>
      <c r="Q349" s="26">
        <f>IF($G349="","",SUMIFS($P$4:$P$2503,$E$4:$E$2503,$E349,$Z$4:$Z$2503,"正常"))</f>
        <v/>
      </c>
      <c r="R349" s="26">
        <f>IF($G349="","",SUMIFS(费用台账!$I$4:$I$503,费用台账!$C$4:$C$503,$E349,费用台账!$J$4:$J$503,"是",费用台账!$K$4:$K$503,"正常"))</f>
        <v/>
      </c>
      <c r="S349" s="28">
        <f>IF($G349="","",COUNTIFS($E$4:$E$2503,$E349,$Z$4:$Z$2503,"正常",$Y$4:$Y$2503,"待补价"))</f>
        <v/>
      </c>
      <c r="T349" s="26">
        <f>IF($G349="","",SUMIFS($P$4:$P$2503,$E$4:$E$2503,$E349,$Z$4:$Z$2503,"正常",$A$4:$A$2503,"&lt;="&amp;$A349))</f>
        <v/>
      </c>
      <c r="U349" s="26">
        <f>IF($G349="","",IF(OR($S349&gt;0,$Q349=0,$R349=0,$Z349&lt;&gt;"正常"),0,ROUND($T349/$Q349*$R349,0)-ROUND(($T349-$P349)/$Q349*$R349,0)))</f>
        <v/>
      </c>
      <c r="V349" s="26">
        <f>IF($G349="","",ROUND($P349+$U349,0))</f>
        <v/>
      </c>
      <c r="W349" s="26">
        <f>IF($G349="","",IF(N($K349)=0,0,ROUND($V349/$K349,2)))</f>
        <v/>
      </c>
      <c r="X349" s="17" t="inlineStr">
        <is>
          <t>采购入库</t>
        </is>
      </c>
      <c r="Y349" s="17" t="inlineStr">
        <is>
          <t>待补价</t>
        </is>
      </c>
      <c r="Z349" s="17" t="inlineStr">
        <is>
          <t>正常</t>
        </is>
      </c>
      <c r="AA349" s="17" t="n"/>
      <c r="AB349" s="17" t="inlineStr">
        <is>
          <t>原表第 354 行</t>
        </is>
      </c>
      <c r="AC349" s="24">
        <f>IF($G349="","",IF($H349="※编码不在物料档案里","※物料编码不在档案里",IF(N($K349)&lt;=0,"※入库数量要大于 0",IF(AND($C349&lt;&gt;"",$C349&lt;=结账锁),"※日期早于已结账截止日，不能再录",IF(AND($L349=0,$X349="正常"),"※没填单价，价格状态请选「待补价」",IF(AND($S349&gt;0,$R349&gt;0),"△本批有 "&amp;$S349&amp;" 行没单价，整批运费先挂账没摊",IF(AND($B349&lt;&gt;"",COUNTIF($B$4:$B$2503,$B349)&gt;1),"※入库单号重复","")))))))</f>
        <v/>
      </c>
    </row>
    <row r="350">
      <c r="A350" s="24">
        <f>IF($G350="","",COUNTA($G$4:$G350))</f>
        <v/>
      </c>
      <c r="B350" s="17" t="n"/>
      <c r="C350" s="30" t="n">
        <v>46101</v>
      </c>
      <c r="D350" s="17" t="inlineStr">
        <is>
          <t>A国内</t>
        </is>
      </c>
      <c r="E350" s="17" t="inlineStr">
        <is>
          <t>MSMU9008082-202603</t>
        </is>
      </c>
      <c r="F350" s="17" t="inlineStr">
        <is>
          <t>烟台市金豪矿山机械有限公司</t>
        </is>
      </c>
      <c r="G350" s="17" t="inlineStr">
        <is>
          <t>JH0308</t>
        </is>
      </c>
      <c r="H350" s="24">
        <f>IF($G350="","",IFERROR(VLOOKUP($G350,物料档案!$A$4:$P$1203,3,0),"※编码不在物料档案里"))</f>
        <v/>
      </c>
      <c r="I350" s="24">
        <f>IF($G350="","",IFERROR(VLOOKUP($G350,物料档案!$A$4:$P$1203,4,0),"※编码不在物料档案里"))</f>
        <v/>
      </c>
      <c r="J350" s="24">
        <f>IF($G350="","",IFERROR(VLOOKUP($G350,物料档案!$A$4:$P$1203,5,0),"※编码不在物料档案里"))</f>
        <v/>
      </c>
      <c r="K350" s="23" t="n">
        <v>12</v>
      </c>
      <c r="L350" s="31" t="n"/>
      <c r="M350" s="24">
        <f>IF($G350="","",IF($D350="A国内","CNY","TZS"))</f>
        <v/>
      </c>
      <c r="N350" s="28">
        <f>IF($G350="","",IF($D350="A国内",汇率,1))</f>
        <v/>
      </c>
      <c r="O350" s="25">
        <f>IF($G350="","",ROUND(N($K350)*N($L350),2))</f>
        <v/>
      </c>
      <c r="P350" s="26">
        <f>IF($G350="","",ROUND($O350*$N350,0))</f>
        <v/>
      </c>
      <c r="Q350" s="26">
        <f>IF($G350="","",SUMIFS($P$4:$P$2503,$E$4:$E$2503,$E350,$Z$4:$Z$2503,"正常"))</f>
        <v/>
      </c>
      <c r="R350" s="26">
        <f>IF($G350="","",SUMIFS(费用台账!$I$4:$I$503,费用台账!$C$4:$C$503,$E350,费用台账!$J$4:$J$503,"是",费用台账!$K$4:$K$503,"正常"))</f>
        <v/>
      </c>
      <c r="S350" s="28">
        <f>IF($G350="","",COUNTIFS($E$4:$E$2503,$E350,$Z$4:$Z$2503,"正常",$Y$4:$Y$2503,"待补价"))</f>
        <v/>
      </c>
      <c r="T350" s="26">
        <f>IF($G350="","",SUMIFS($P$4:$P$2503,$E$4:$E$2503,$E350,$Z$4:$Z$2503,"正常",$A$4:$A$2503,"&lt;="&amp;$A350))</f>
        <v/>
      </c>
      <c r="U350" s="26">
        <f>IF($G350="","",IF(OR($S350&gt;0,$Q350=0,$R350=0,$Z350&lt;&gt;"正常"),0,ROUND($T350/$Q350*$R350,0)-ROUND(($T350-$P350)/$Q350*$R350,0)))</f>
        <v/>
      </c>
      <c r="V350" s="26">
        <f>IF($G350="","",ROUND($P350+$U350,0))</f>
        <v/>
      </c>
      <c r="W350" s="26">
        <f>IF($G350="","",IF(N($K350)=0,0,ROUND($V350/$K350,2)))</f>
        <v/>
      </c>
      <c r="X350" s="17" t="inlineStr">
        <is>
          <t>采购入库</t>
        </is>
      </c>
      <c r="Y350" s="17" t="inlineStr">
        <is>
          <t>待补价</t>
        </is>
      </c>
      <c r="Z350" s="17" t="inlineStr">
        <is>
          <t>正常</t>
        </is>
      </c>
      <c r="AA350" s="17" t="n"/>
      <c r="AB350" s="17" t="inlineStr">
        <is>
          <t>原表第 355 行</t>
        </is>
      </c>
      <c r="AC350" s="24">
        <f>IF($G350="","",IF($H350="※编码不在物料档案里","※物料编码不在档案里",IF(N($K350)&lt;=0,"※入库数量要大于 0",IF(AND($C350&lt;&gt;"",$C350&lt;=结账锁),"※日期早于已结账截止日，不能再录",IF(AND($L350=0,$X350="正常"),"※没填单价，价格状态请选「待补价」",IF(AND($S350&gt;0,$R350&gt;0),"△本批有 "&amp;$S350&amp;" 行没单价，整批运费先挂账没摊",IF(AND($B350&lt;&gt;"",COUNTIF($B$4:$B$2503,$B350)&gt;1),"※入库单号重复","")))))))</f>
        <v/>
      </c>
    </row>
    <row r="351">
      <c r="A351" s="24">
        <f>IF($G351="","",COUNTA($G$4:$G351))</f>
        <v/>
      </c>
      <c r="B351" s="17" t="n"/>
      <c r="C351" s="30" t="n">
        <v>46101</v>
      </c>
      <c r="D351" s="17" t="inlineStr">
        <is>
          <t>A国内</t>
        </is>
      </c>
      <c r="E351" s="17" t="inlineStr">
        <is>
          <t>MSMU9008082-202603</t>
        </is>
      </c>
      <c r="F351" s="17" t="inlineStr">
        <is>
          <t>烟台市金豪矿山机械有限公司</t>
        </is>
      </c>
      <c r="G351" s="17" t="inlineStr">
        <is>
          <t>JH0309</t>
        </is>
      </c>
      <c r="H351" s="24">
        <f>IF($G351="","",IFERROR(VLOOKUP($G351,物料档案!$A$4:$P$1203,3,0),"※编码不在物料档案里"))</f>
        <v/>
      </c>
      <c r="I351" s="24">
        <f>IF($G351="","",IFERROR(VLOOKUP($G351,物料档案!$A$4:$P$1203,4,0),"※编码不在物料档案里"))</f>
        <v/>
      </c>
      <c r="J351" s="24">
        <f>IF($G351="","",IFERROR(VLOOKUP($G351,物料档案!$A$4:$P$1203,5,0),"※编码不在物料档案里"))</f>
        <v/>
      </c>
      <c r="K351" s="23" t="n">
        <v>6</v>
      </c>
      <c r="L351" s="31" t="n"/>
      <c r="M351" s="24">
        <f>IF($G351="","",IF($D351="A国内","CNY","TZS"))</f>
        <v/>
      </c>
      <c r="N351" s="28">
        <f>IF($G351="","",IF($D351="A国内",汇率,1))</f>
        <v/>
      </c>
      <c r="O351" s="25">
        <f>IF($G351="","",ROUND(N($K351)*N($L351),2))</f>
        <v/>
      </c>
      <c r="P351" s="26">
        <f>IF($G351="","",ROUND($O351*$N351,0))</f>
        <v/>
      </c>
      <c r="Q351" s="26">
        <f>IF($G351="","",SUMIFS($P$4:$P$2503,$E$4:$E$2503,$E351,$Z$4:$Z$2503,"正常"))</f>
        <v/>
      </c>
      <c r="R351" s="26">
        <f>IF($G351="","",SUMIFS(费用台账!$I$4:$I$503,费用台账!$C$4:$C$503,$E351,费用台账!$J$4:$J$503,"是",费用台账!$K$4:$K$503,"正常"))</f>
        <v/>
      </c>
      <c r="S351" s="28">
        <f>IF($G351="","",COUNTIFS($E$4:$E$2503,$E351,$Z$4:$Z$2503,"正常",$Y$4:$Y$2503,"待补价"))</f>
        <v/>
      </c>
      <c r="T351" s="26">
        <f>IF($G351="","",SUMIFS($P$4:$P$2503,$E$4:$E$2503,$E351,$Z$4:$Z$2503,"正常",$A$4:$A$2503,"&lt;="&amp;$A351))</f>
        <v/>
      </c>
      <c r="U351" s="26">
        <f>IF($G351="","",IF(OR($S351&gt;0,$Q351=0,$R351=0,$Z351&lt;&gt;"正常"),0,ROUND($T351/$Q351*$R351,0)-ROUND(($T351-$P351)/$Q351*$R351,0)))</f>
        <v/>
      </c>
      <c r="V351" s="26">
        <f>IF($G351="","",ROUND($P351+$U351,0))</f>
        <v/>
      </c>
      <c r="W351" s="26">
        <f>IF($G351="","",IF(N($K351)=0,0,ROUND($V351/$K351,2)))</f>
        <v/>
      </c>
      <c r="X351" s="17" t="inlineStr">
        <is>
          <t>采购入库</t>
        </is>
      </c>
      <c r="Y351" s="17" t="inlineStr">
        <is>
          <t>待补价</t>
        </is>
      </c>
      <c r="Z351" s="17" t="inlineStr">
        <is>
          <t>正常</t>
        </is>
      </c>
      <c r="AA351" s="17" t="n"/>
      <c r="AB351" s="17" t="inlineStr">
        <is>
          <t>原表第 356 行</t>
        </is>
      </c>
      <c r="AC351" s="24">
        <f>IF($G351="","",IF($H351="※编码不在物料档案里","※物料编码不在档案里",IF(N($K351)&lt;=0,"※入库数量要大于 0",IF(AND($C351&lt;&gt;"",$C351&lt;=结账锁),"※日期早于已结账截止日，不能再录",IF(AND($L351=0,$X351="正常"),"※没填单价，价格状态请选「待补价」",IF(AND($S351&gt;0,$R351&gt;0),"△本批有 "&amp;$S351&amp;" 行没单价，整批运费先挂账没摊",IF(AND($B351&lt;&gt;"",COUNTIF($B$4:$B$2503,$B351)&gt;1),"※入库单号重复","")))))))</f>
        <v/>
      </c>
    </row>
    <row r="352">
      <c r="A352" s="24">
        <f>IF($G352="","",COUNTA($G$4:$G352))</f>
        <v/>
      </c>
      <c r="B352" s="17" t="n"/>
      <c r="C352" s="30" t="n">
        <v>46101</v>
      </c>
      <c r="D352" s="17" t="inlineStr">
        <is>
          <t>A国内</t>
        </is>
      </c>
      <c r="E352" s="17" t="inlineStr">
        <is>
          <t>MSMU9008082-202603</t>
        </is>
      </c>
      <c r="F352" s="17" t="inlineStr">
        <is>
          <t>烟台市金豪矿山机械有限公司</t>
        </is>
      </c>
      <c r="G352" s="17" t="inlineStr">
        <is>
          <t>JH0310</t>
        </is>
      </c>
      <c r="H352" s="24">
        <f>IF($G352="","",IFERROR(VLOOKUP($G352,物料档案!$A$4:$P$1203,3,0),"※编码不在物料档案里"))</f>
        <v/>
      </c>
      <c r="I352" s="24">
        <f>IF($G352="","",IFERROR(VLOOKUP($G352,物料档案!$A$4:$P$1203,4,0),"※编码不在物料档案里"))</f>
        <v/>
      </c>
      <c r="J352" s="24">
        <f>IF($G352="","",IFERROR(VLOOKUP($G352,物料档案!$A$4:$P$1203,5,0),"※编码不在物料档案里"))</f>
        <v/>
      </c>
      <c r="K352" s="23" t="n">
        <v>6</v>
      </c>
      <c r="L352" s="31" t="n"/>
      <c r="M352" s="24">
        <f>IF($G352="","",IF($D352="A国内","CNY","TZS"))</f>
        <v/>
      </c>
      <c r="N352" s="28">
        <f>IF($G352="","",IF($D352="A国内",汇率,1))</f>
        <v/>
      </c>
      <c r="O352" s="25">
        <f>IF($G352="","",ROUND(N($K352)*N($L352),2))</f>
        <v/>
      </c>
      <c r="P352" s="26">
        <f>IF($G352="","",ROUND($O352*$N352,0))</f>
        <v/>
      </c>
      <c r="Q352" s="26">
        <f>IF($G352="","",SUMIFS($P$4:$P$2503,$E$4:$E$2503,$E352,$Z$4:$Z$2503,"正常"))</f>
        <v/>
      </c>
      <c r="R352" s="26">
        <f>IF($G352="","",SUMIFS(费用台账!$I$4:$I$503,费用台账!$C$4:$C$503,$E352,费用台账!$J$4:$J$503,"是",费用台账!$K$4:$K$503,"正常"))</f>
        <v/>
      </c>
      <c r="S352" s="28">
        <f>IF($G352="","",COUNTIFS($E$4:$E$2503,$E352,$Z$4:$Z$2503,"正常",$Y$4:$Y$2503,"待补价"))</f>
        <v/>
      </c>
      <c r="T352" s="26">
        <f>IF($G352="","",SUMIFS($P$4:$P$2503,$E$4:$E$2503,$E352,$Z$4:$Z$2503,"正常",$A$4:$A$2503,"&lt;="&amp;$A352))</f>
        <v/>
      </c>
      <c r="U352" s="26">
        <f>IF($G352="","",IF(OR($S352&gt;0,$Q352=0,$R352=0,$Z352&lt;&gt;"正常"),0,ROUND($T352/$Q352*$R352,0)-ROUND(($T352-$P352)/$Q352*$R352,0)))</f>
        <v/>
      </c>
      <c r="V352" s="26">
        <f>IF($G352="","",ROUND($P352+$U352,0))</f>
        <v/>
      </c>
      <c r="W352" s="26">
        <f>IF($G352="","",IF(N($K352)=0,0,ROUND($V352/$K352,2)))</f>
        <v/>
      </c>
      <c r="X352" s="17" t="inlineStr">
        <is>
          <t>采购入库</t>
        </is>
      </c>
      <c r="Y352" s="17" t="inlineStr">
        <is>
          <t>待补价</t>
        </is>
      </c>
      <c r="Z352" s="17" t="inlineStr">
        <is>
          <t>正常</t>
        </is>
      </c>
      <c r="AA352" s="17" t="n"/>
      <c r="AB352" s="17" t="inlineStr">
        <is>
          <t>原表第 357 行</t>
        </is>
      </c>
      <c r="AC352" s="24">
        <f>IF($G352="","",IF($H352="※编码不在物料档案里","※物料编码不在档案里",IF(N($K352)&lt;=0,"※入库数量要大于 0",IF(AND($C352&lt;&gt;"",$C352&lt;=结账锁),"※日期早于已结账截止日，不能再录",IF(AND($L352=0,$X352="正常"),"※没填单价，价格状态请选「待补价」",IF(AND($S352&gt;0,$R352&gt;0),"△本批有 "&amp;$S352&amp;" 行没单价，整批运费先挂账没摊",IF(AND($B352&lt;&gt;"",COUNTIF($B$4:$B$2503,$B352)&gt;1),"※入库单号重复","")))))))</f>
        <v/>
      </c>
    </row>
    <row r="353">
      <c r="A353" s="24">
        <f>IF($G353="","",COUNTA($G$4:$G353))</f>
        <v/>
      </c>
      <c r="B353" s="17" t="n"/>
      <c r="C353" s="30" t="n">
        <v>46101</v>
      </c>
      <c r="D353" s="17" t="inlineStr">
        <is>
          <t>A国内</t>
        </is>
      </c>
      <c r="E353" s="17" t="inlineStr">
        <is>
          <t>MSMU9008082-202603</t>
        </is>
      </c>
      <c r="F353" s="17" t="inlineStr">
        <is>
          <t>烟台市金豪矿山机械有限公司</t>
        </is>
      </c>
      <c r="G353" s="17" t="inlineStr">
        <is>
          <t>JH0308</t>
        </is>
      </c>
      <c r="H353" s="24">
        <f>IF($G353="","",IFERROR(VLOOKUP($G353,物料档案!$A$4:$P$1203,3,0),"※编码不在物料档案里"))</f>
        <v/>
      </c>
      <c r="I353" s="24">
        <f>IF($G353="","",IFERROR(VLOOKUP($G353,物料档案!$A$4:$P$1203,4,0),"※编码不在物料档案里"))</f>
        <v/>
      </c>
      <c r="J353" s="24">
        <f>IF($G353="","",IFERROR(VLOOKUP($G353,物料档案!$A$4:$P$1203,5,0),"※编码不在物料档案里"))</f>
        <v/>
      </c>
      <c r="K353" s="23" t="n">
        <v>12</v>
      </c>
      <c r="L353" s="31" t="n"/>
      <c r="M353" s="24">
        <f>IF($G353="","",IF($D353="A国内","CNY","TZS"))</f>
        <v/>
      </c>
      <c r="N353" s="28">
        <f>IF($G353="","",IF($D353="A国内",汇率,1))</f>
        <v/>
      </c>
      <c r="O353" s="25">
        <f>IF($G353="","",ROUND(N($K353)*N($L353),2))</f>
        <v/>
      </c>
      <c r="P353" s="26">
        <f>IF($G353="","",ROUND($O353*$N353,0))</f>
        <v/>
      </c>
      <c r="Q353" s="26">
        <f>IF($G353="","",SUMIFS($P$4:$P$2503,$E$4:$E$2503,$E353,$Z$4:$Z$2503,"正常"))</f>
        <v/>
      </c>
      <c r="R353" s="26">
        <f>IF($G353="","",SUMIFS(费用台账!$I$4:$I$503,费用台账!$C$4:$C$503,$E353,费用台账!$J$4:$J$503,"是",费用台账!$K$4:$K$503,"正常"))</f>
        <v/>
      </c>
      <c r="S353" s="28">
        <f>IF($G353="","",COUNTIFS($E$4:$E$2503,$E353,$Z$4:$Z$2503,"正常",$Y$4:$Y$2503,"待补价"))</f>
        <v/>
      </c>
      <c r="T353" s="26">
        <f>IF($G353="","",SUMIFS($P$4:$P$2503,$E$4:$E$2503,$E353,$Z$4:$Z$2503,"正常",$A$4:$A$2503,"&lt;="&amp;$A353))</f>
        <v/>
      </c>
      <c r="U353" s="26">
        <f>IF($G353="","",IF(OR($S353&gt;0,$Q353=0,$R353=0,$Z353&lt;&gt;"正常"),0,ROUND($T353/$Q353*$R353,0)-ROUND(($T353-$P353)/$Q353*$R353,0)))</f>
        <v/>
      </c>
      <c r="V353" s="26">
        <f>IF($G353="","",ROUND($P353+$U353,0))</f>
        <v/>
      </c>
      <c r="W353" s="26">
        <f>IF($G353="","",IF(N($K353)=0,0,ROUND($V353/$K353,2)))</f>
        <v/>
      </c>
      <c r="X353" s="17" t="inlineStr">
        <is>
          <t>采购入库</t>
        </is>
      </c>
      <c r="Y353" s="17" t="inlineStr">
        <is>
          <t>待补价</t>
        </is>
      </c>
      <c r="Z353" s="17" t="inlineStr">
        <is>
          <t>正常</t>
        </is>
      </c>
      <c r="AA353" s="17" t="n"/>
      <c r="AB353" s="17" t="inlineStr">
        <is>
          <t>原表第 358 行</t>
        </is>
      </c>
      <c r="AC353" s="24">
        <f>IF($G353="","",IF($H353="※编码不在物料档案里","※物料编码不在档案里",IF(N($K353)&lt;=0,"※入库数量要大于 0",IF(AND($C353&lt;&gt;"",$C353&lt;=结账锁),"※日期早于已结账截止日，不能再录",IF(AND($L353=0,$X353="正常"),"※没填单价，价格状态请选「待补价」",IF(AND($S353&gt;0,$R353&gt;0),"△本批有 "&amp;$S353&amp;" 行没单价，整批运费先挂账没摊",IF(AND($B353&lt;&gt;"",COUNTIF($B$4:$B$2503,$B353)&gt;1),"※入库单号重复","")))))))</f>
        <v/>
      </c>
    </row>
    <row r="354">
      <c r="A354" s="24">
        <f>IF($G354="","",COUNTA($G$4:$G354))</f>
        <v/>
      </c>
      <c r="B354" s="17" t="n"/>
      <c r="C354" s="30" t="n">
        <v>46101</v>
      </c>
      <c r="D354" s="17" t="inlineStr">
        <is>
          <t>A国内</t>
        </is>
      </c>
      <c r="E354" s="17" t="inlineStr">
        <is>
          <t>MSMU9008082-202603</t>
        </is>
      </c>
      <c r="F354" s="17" t="inlineStr">
        <is>
          <t>烟台市金豪矿山机械有限公司</t>
        </is>
      </c>
      <c r="G354" s="17" t="inlineStr">
        <is>
          <t>JH0309</t>
        </is>
      </c>
      <c r="H354" s="24">
        <f>IF($G354="","",IFERROR(VLOOKUP($G354,物料档案!$A$4:$P$1203,3,0),"※编码不在物料档案里"))</f>
        <v/>
      </c>
      <c r="I354" s="24">
        <f>IF($G354="","",IFERROR(VLOOKUP($G354,物料档案!$A$4:$P$1203,4,0),"※编码不在物料档案里"))</f>
        <v/>
      </c>
      <c r="J354" s="24">
        <f>IF($G354="","",IFERROR(VLOOKUP($G354,物料档案!$A$4:$P$1203,5,0),"※编码不在物料档案里"))</f>
        <v/>
      </c>
      <c r="K354" s="23" t="n">
        <v>6</v>
      </c>
      <c r="L354" s="31" t="n"/>
      <c r="M354" s="24">
        <f>IF($G354="","",IF($D354="A国内","CNY","TZS"))</f>
        <v/>
      </c>
      <c r="N354" s="28">
        <f>IF($G354="","",IF($D354="A国内",汇率,1))</f>
        <v/>
      </c>
      <c r="O354" s="25">
        <f>IF($G354="","",ROUND(N($K354)*N($L354),2))</f>
        <v/>
      </c>
      <c r="P354" s="26">
        <f>IF($G354="","",ROUND($O354*$N354,0))</f>
        <v/>
      </c>
      <c r="Q354" s="26">
        <f>IF($G354="","",SUMIFS($P$4:$P$2503,$E$4:$E$2503,$E354,$Z$4:$Z$2503,"正常"))</f>
        <v/>
      </c>
      <c r="R354" s="26">
        <f>IF($G354="","",SUMIFS(费用台账!$I$4:$I$503,费用台账!$C$4:$C$503,$E354,费用台账!$J$4:$J$503,"是",费用台账!$K$4:$K$503,"正常"))</f>
        <v/>
      </c>
      <c r="S354" s="28">
        <f>IF($G354="","",COUNTIFS($E$4:$E$2503,$E354,$Z$4:$Z$2503,"正常",$Y$4:$Y$2503,"待补价"))</f>
        <v/>
      </c>
      <c r="T354" s="26">
        <f>IF($G354="","",SUMIFS($P$4:$P$2503,$E$4:$E$2503,$E354,$Z$4:$Z$2503,"正常",$A$4:$A$2503,"&lt;="&amp;$A354))</f>
        <v/>
      </c>
      <c r="U354" s="26">
        <f>IF($G354="","",IF(OR($S354&gt;0,$Q354=0,$R354=0,$Z354&lt;&gt;"正常"),0,ROUND($T354/$Q354*$R354,0)-ROUND(($T354-$P354)/$Q354*$R354,0)))</f>
        <v/>
      </c>
      <c r="V354" s="26">
        <f>IF($G354="","",ROUND($P354+$U354,0))</f>
        <v/>
      </c>
      <c r="W354" s="26">
        <f>IF($G354="","",IF(N($K354)=0,0,ROUND($V354/$K354,2)))</f>
        <v/>
      </c>
      <c r="X354" s="17" t="inlineStr">
        <is>
          <t>采购入库</t>
        </is>
      </c>
      <c r="Y354" s="17" t="inlineStr">
        <is>
          <t>待补价</t>
        </is>
      </c>
      <c r="Z354" s="17" t="inlineStr">
        <is>
          <t>正常</t>
        </is>
      </c>
      <c r="AA354" s="17" t="n"/>
      <c r="AB354" s="17" t="inlineStr">
        <is>
          <t>原表第 359 行</t>
        </is>
      </c>
      <c r="AC354" s="24">
        <f>IF($G354="","",IF($H354="※编码不在物料档案里","※物料编码不在档案里",IF(N($K354)&lt;=0,"※入库数量要大于 0",IF(AND($C354&lt;&gt;"",$C354&lt;=结账锁),"※日期早于已结账截止日，不能再录",IF(AND($L354=0,$X354="正常"),"※没填单价，价格状态请选「待补价」",IF(AND($S354&gt;0,$R354&gt;0),"△本批有 "&amp;$S354&amp;" 行没单价，整批运费先挂账没摊",IF(AND($B354&lt;&gt;"",COUNTIF($B$4:$B$2503,$B354)&gt;1),"※入库单号重复","")))))))</f>
        <v/>
      </c>
    </row>
    <row r="355">
      <c r="A355" s="24">
        <f>IF($G355="","",COUNTA($G$4:$G355))</f>
        <v/>
      </c>
      <c r="B355" s="17" t="n"/>
      <c r="C355" s="30" t="n">
        <v>46101</v>
      </c>
      <c r="D355" s="17" t="inlineStr">
        <is>
          <t>A国内</t>
        </is>
      </c>
      <c r="E355" s="17" t="inlineStr">
        <is>
          <t>MSMU9008082-202603</t>
        </is>
      </c>
      <c r="F355" s="17" t="inlineStr">
        <is>
          <t>烟台市金豪矿山机械有限公司</t>
        </is>
      </c>
      <c r="G355" s="17" t="inlineStr">
        <is>
          <t>JH0311</t>
        </is>
      </c>
      <c r="H355" s="24">
        <f>IF($G355="","",IFERROR(VLOOKUP($G355,物料档案!$A$4:$P$1203,3,0),"※编码不在物料档案里"))</f>
        <v/>
      </c>
      <c r="I355" s="24">
        <f>IF($G355="","",IFERROR(VLOOKUP($G355,物料档案!$A$4:$P$1203,4,0),"※编码不在物料档案里"))</f>
        <v/>
      </c>
      <c r="J355" s="24">
        <f>IF($G355="","",IFERROR(VLOOKUP($G355,物料档案!$A$4:$P$1203,5,0),"※编码不在物料档案里"))</f>
        <v/>
      </c>
      <c r="K355" s="23" t="n">
        <v>1</v>
      </c>
      <c r="L355" s="31" t="n"/>
      <c r="M355" s="24">
        <f>IF($G355="","",IF($D355="A国内","CNY","TZS"))</f>
        <v/>
      </c>
      <c r="N355" s="28">
        <f>IF($G355="","",IF($D355="A国内",汇率,1))</f>
        <v/>
      </c>
      <c r="O355" s="25">
        <f>IF($G355="","",ROUND(N($K355)*N($L355),2))</f>
        <v/>
      </c>
      <c r="P355" s="26">
        <f>IF($G355="","",ROUND($O355*$N355,0))</f>
        <v/>
      </c>
      <c r="Q355" s="26">
        <f>IF($G355="","",SUMIFS($P$4:$P$2503,$E$4:$E$2503,$E355,$Z$4:$Z$2503,"正常"))</f>
        <v/>
      </c>
      <c r="R355" s="26">
        <f>IF($G355="","",SUMIFS(费用台账!$I$4:$I$503,费用台账!$C$4:$C$503,$E355,费用台账!$J$4:$J$503,"是",费用台账!$K$4:$K$503,"正常"))</f>
        <v/>
      </c>
      <c r="S355" s="28">
        <f>IF($G355="","",COUNTIFS($E$4:$E$2503,$E355,$Z$4:$Z$2503,"正常",$Y$4:$Y$2503,"待补价"))</f>
        <v/>
      </c>
      <c r="T355" s="26">
        <f>IF($G355="","",SUMIFS($P$4:$P$2503,$E$4:$E$2503,$E355,$Z$4:$Z$2503,"正常",$A$4:$A$2503,"&lt;="&amp;$A355))</f>
        <v/>
      </c>
      <c r="U355" s="26">
        <f>IF($G355="","",IF(OR($S355&gt;0,$Q355=0,$R355=0,$Z355&lt;&gt;"正常"),0,ROUND($T355/$Q355*$R355,0)-ROUND(($T355-$P355)/$Q355*$R355,0)))</f>
        <v/>
      </c>
      <c r="V355" s="26">
        <f>IF($G355="","",ROUND($P355+$U355,0))</f>
        <v/>
      </c>
      <c r="W355" s="26">
        <f>IF($G355="","",IF(N($K355)=0,0,ROUND($V355/$K355,2)))</f>
        <v/>
      </c>
      <c r="X355" s="17" t="inlineStr">
        <is>
          <t>采购入库</t>
        </is>
      </c>
      <c r="Y355" s="17" t="inlineStr">
        <is>
          <t>待补价</t>
        </is>
      </c>
      <c r="Z355" s="17" t="inlineStr">
        <is>
          <t>正常</t>
        </is>
      </c>
      <c r="AA355" s="17" t="n"/>
      <c r="AB355" s="17" t="inlineStr">
        <is>
          <t>原表第 360 行</t>
        </is>
      </c>
      <c r="AC355" s="24">
        <f>IF($G355="","",IF($H355="※编码不在物料档案里","※物料编码不在档案里",IF(N($K355)&lt;=0,"※入库数量要大于 0",IF(AND($C355&lt;&gt;"",$C355&lt;=结账锁),"※日期早于已结账截止日，不能再录",IF(AND($L355=0,$X355="正常"),"※没填单价，价格状态请选「待补价」",IF(AND($S355&gt;0,$R355&gt;0),"△本批有 "&amp;$S355&amp;" 行没单价，整批运费先挂账没摊",IF(AND($B355&lt;&gt;"",COUNTIF($B$4:$B$2503,$B355)&gt;1),"※入库单号重复","")))))))</f>
        <v/>
      </c>
    </row>
    <row r="356">
      <c r="A356" s="24">
        <f>IF($G356="","",COUNTA($G$4:$G356))</f>
        <v/>
      </c>
      <c r="B356" s="17" t="n"/>
      <c r="C356" s="30" t="n">
        <v>46101</v>
      </c>
      <c r="D356" s="17" t="inlineStr">
        <is>
          <t>A国内</t>
        </is>
      </c>
      <c r="E356" s="17" t="inlineStr">
        <is>
          <t>MSMU9008082-202603</t>
        </is>
      </c>
      <c r="F356" s="17" t="inlineStr">
        <is>
          <t>烟台市金豪矿山机械有限公司</t>
        </is>
      </c>
      <c r="G356" s="17" t="inlineStr">
        <is>
          <t>JH0312</t>
        </is>
      </c>
      <c r="H356" s="24">
        <f>IF($G356="","",IFERROR(VLOOKUP($G356,物料档案!$A$4:$P$1203,3,0),"※编码不在物料档案里"))</f>
        <v/>
      </c>
      <c r="I356" s="24">
        <f>IF($G356="","",IFERROR(VLOOKUP($G356,物料档案!$A$4:$P$1203,4,0),"※编码不在物料档案里"))</f>
        <v/>
      </c>
      <c r="J356" s="24">
        <f>IF($G356="","",IFERROR(VLOOKUP($G356,物料档案!$A$4:$P$1203,5,0),"※编码不在物料档案里"))</f>
        <v/>
      </c>
      <c r="K356" s="23" t="n">
        <v>2</v>
      </c>
      <c r="L356" s="31" t="n"/>
      <c r="M356" s="24">
        <f>IF($G356="","",IF($D356="A国内","CNY","TZS"))</f>
        <v/>
      </c>
      <c r="N356" s="28">
        <f>IF($G356="","",IF($D356="A国内",汇率,1))</f>
        <v/>
      </c>
      <c r="O356" s="25">
        <f>IF($G356="","",ROUND(N($K356)*N($L356),2))</f>
        <v/>
      </c>
      <c r="P356" s="26">
        <f>IF($G356="","",ROUND($O356*$N356,0))</f>
        <v/>
      </c>
      <c r="Q356" s="26">
        <f>IF($G356="","",SUMIFS($P$4:$P$2503,$E$4:$E$2503,$E356,$Z$4:$Z$2503,"正常"))</f>
        <v/>
      </c>
      <c r="R356" s="26">
        <f>IF($G356="","",SUMIFS(费用台账!$I$4:$I$503,费用台账!$C$4:$C$503,$E356,费用台账!$J$4:$J$503,"是",费用台账!$K$4:$K$503,"正常"))</f>
        <v/>
      </c>
      <c r="S356" s="28">
        <f>IF($G356="","",COUNTIFS($E$4:$E$2503,$E356,$Z$4:$Z$2503,"正常",$Y$4:$Y$2503,"待补价"))</f>
        <v/>
      </c>
      <c r="T356" s="26">
        <f>IF($G356="","",SUMIFS($P$4:$P$2503,$E$4:$E$2503,$E356,$Z$4:$Z$2503,"正常",$A$4:$A$2503,"&lt;="&amp;$A356))</f>
        <v/>
      </c>
      <c r="U356" s="26">
        <f>IF($G356="","",IF(OR($S356&gt;0,$Q356=0,$R356=0,$Z356&lt;&gt;"正常"),0,ROUND($T356/$Q356*$R356,0)-ROUND(($T356-$P356)/$Q356*$R356,0)))</f>
        <v/>
      </c>
      <c r="V356" s="26">
        <f>IF($G356="","",ROUND($P356+$U356,0))</f>
        <v/>
      </c>
      <c r="W356" s="26">
        <f>IF($G356="","",IF(N($K356)=0,0,ROUND($V356/$K356,2)))</f>
        <v/>
      </c>
      <c r="X356" s="17" t="inlineStr">
        <is>
          <t>采购入库</t>
        </is>
      </c>
      <c r="Y356" s="17" t="inlineStr">
        <is>
          <t>待补价</t>
        </is>
      </c>
      <c r="Z356" s="17" t="inlineStr">
        <is>
          <t>正常</t>
        </is>
      </c>
      <c r="AA356" s="17" t="n"/>
      <c r="AB356" s="17" t="inlineStr">
        <is>
          <t>原表第 361 行</t>
        </is>
      </c>
      <c r="AC356" s="24">
        <f>IF($G356="","",IF($H356="※编码不在物料档案里","※物料编码不在档案里",IF(N($K356)&lt;=0,"※入库数量要大于 0",IF(AND($C356&lt;&gt;"",$C356&lt;=结账锁),"※日期早于已结账截止日，不能再录",IF(AND($L356=0,$X356="正常"),"※没填单价，价格状态请选「待补价」",IF(AND($S356&gt;0,$R356&gt;0),"△本批有 "&amp;$S356&amp;" 行没单价，整批运费先挂账没摊",IF(AND($B356&lt;&gt;"",COUNTIF($B$4:$B$2503,$B356)&gt;1),"※入库单号重复","")))))))</f>
        <v/>
      </c>
    </row>
    <row r="357">
      <c r="A357" s="24">
        <f>IF($G357="","",COUNTA($G$4:$G357))</f>
        <v/>
      </c>
      <c r="B357" s="17" t="n"/>
      <c r="C357" s="30" t="n">
        <v>46101</v>
      </c>
      <c r="D357" s="17" t="inlineStr">
        <is>
          <t>A国内</t>
        </is>
      </c>
      <c r="E357" s="17" t="inlineStr">
        <is>
          <t>MSMU9008082-202603</t>
        </is>
      </c>
      <c r="F357" s="17" t="inlineStr">
        <is>
          <t>烟台市金豪矿山机械有限公司</t>
        </is>
      </c>
      <c r="G357" s="17" t="inlineStr">
        <is>
          <t>JH0313</t>
        </is>
      </c>
      <c r="H357" s="24">
        <f>IF($G357="","",IFERROR(VLOOKUP($G357,物料档案!$A$4:$P$1203,3,0),"※编码不在物料档案里"))</f>
        <v/>
      </c>
      <c r="I357" s="24">
        <f>IF($G357="","",IFERROR(VLOOKUP($G357,物料档案!$A$4:$P$1203,4,0),"※编码不在物料档案里"))</f>
        <v/>
      </c>
      <c r="J357" s="24">
        <f>IF($G357="","",IFERROR(VLOOKUP($G357,物料档案!$A$4:$P$1203,5,0),"※编码不在物料档案里"))</f>
        <v/>
      </c>
      <c r="K357" s="23" t="n">
        <v>15</v>
      </c>
      <c r="L357" s="31" t="n"/>
      <c r="M357" s="24">
        <f>IF($G357="","",IF($D357="A国内","CNY","TZS"))</f>
        <v/>
      </c>
      <c r="N357" s="28">
        <f>IF($G357="","",IF($D357="A国内",汇率,1))</f>
        <v/>
      </c>
      <c r="O357" s="25">
        <f>IF($G357="","",ROUND(N($K357)*N($L357),2))</f>
        <v/>
      </c>
      <c r="P357" s="26">
        <f>IF($G357="","",ROUND($O357*$N357,0))</f>
        <v/>
      </c>
      <c r="Q357" s="26">
        <f>IF($G357="","",SUMIFS($P$4:$P$2503,$E$4:$E$2503,$E357,$Z$4:$Z$2503,"正常"))</f>
        <v/>
      </c>
      <c r="R357" s="26">
        <f>IF($G357="","",SUMIFS(费用台账!$I$4:$I$503,费用台账!$C$4:$C$503,$E357,费用台账!$J$4:$J$503,"是",费用台账!$K$4:$K$503,"正常"))</f>
        <v/>
      </c>
      <c r="S357" s="28">
        <f>IF($G357="","",COUNTIFS($E$4:$E$2503,$E357,$Z$4:$Z$2503,"正常",$Y$4:$Y$2503,"待补价"))</f>
        <v/>
      </c>
      <c r="T357" s="26">
        <f>IF($G357="","",SUMIFS($P$4:$P$2503,$E$4:$E$2503,$E357,$Z$4:$Z$2503,"正常",$A$4:$A$2503,"&lt;="&amp;$A357))</f>
        <v/>
      </c>
      <c r="U357" s="26">
        <f>IF($G357="","",IF(OR($S357&gt;0,$Q357=0,$R357=0,$Z357&lt;&gt;"正常"),0,ROUND($T357/$Q357*$R357,0)-ROUND(($T357-$P357)/$Q357*$R357,0)))</f>
        <v/>
      </c>
      <c r="V357" s="26">
        <f>IF($G357="","",ROUND($P357+$U357,0))</f>
        <v/>
      </c>
      <c r="W357" s="26">
        <f>IF($G357="","",IF(N($K357)=0,0,ROUND($V357/$K357,2)))</f>
        <v/>
      </c>
      <c r="X357" s="17" t="inlineStr">
        <is>
          <t>采购入库</t>
        </is>
      </c>
      <c r="Y357" s="17" t="inlineStr">
        <is>
          <t>待补价</t>
        </is>
      </c>
      <c r="Z357" s="17" t="inlineStr">
        <is>
          <t>正常</t>
        </is>
      </c>
      <c r="AA357" s="17" t="n"/>
      <c r="AB357" s="17" t="inlineStr">
        <is>
          <t>原表第 362 行</t>
        </is>
      </c>
      <c r="AC357" s="24">
        <f>IF($G357="","",IF($H357="※编码不在物料档案里","※物料编码不在档案里",IF(N($K357)&lt;=0,"※入库数量要大于 0",IF(AND($C357&lt;&gt;"",$C357&lt;=结账锁),"※日期早于已结账截止日，不能再录",IF(AND($L357=0,$X357="正常"),"※没填单价，价格状态请选「待补价」",IF(AND($S357&gt;0,$R357&gt;0),"△本批有 "&amp;$S357&amp;" 行没单价，整批运费先挂账没摊",IF(AND($B357&lt;&gt;"",COUNTIF($B$4:$B$2503,$B357)&gt;1),"※入库单号重复","")))))))</f>
        <v/>
      </c>
    </row>
    <row r="358">
      <c r="A358" s="24">
        <f>IF($G358="","",COUNTA($G$4:$G358))</f>
        <v/>
      </c>
      <c r="B358" s="17" t="n"/>
      <c r="C358" s="30" t="n">
        <v>46101</v>
      </c>
      <c r="D358" s="17" t="inlineStr">
        <is>
          <t>A国内</t>
        </is>
      </c>
      <c r="E358" s="17" t="inlineStr">
        <is>
          <t>MSMU9008082-202603</t>
        </is>
      </c>
      <c r="F358" s="17" t="inlineStr">
        <is>
          <t>烟台市金豪矿山机械有限公司</t>
        </is>
      </c>
      <c r="G358" s="17" t="inlineStr">
        <is>
          <t>JH0185</t>
        </is>
      </c>
      <c r="H358" s="24">
        <f>IF($G358="","",IFERROR(VLOOKUP($G358,物料档案!$A$4:$P$1203,3,0),"※编码不在物料档案里"))</f>
        <v/>
      </c>
      <c r="I358" s="24">
        <f>IF($G358="","",IFERROR(VLOOKUP($G358,物料档案!$A$4:$P$1203,4,0),"※编码不在物料档案里"))</f>
        <v/>
      </c>
      <c r="J358" s="24">
        <f>IF($G358="","",IFERROR(VLOOKUP($G358,物料档案!$A$4:$P$1203,5,0),"※编码不在物料档案里"))</f>
        <v/>
      </c>
      <c r="K358" s="23" t="n">
        <v>7</v>
      </c>
      <c r="L358" s="31" t="n">
        <v>4600</v>
      </c>
      <c r="M358" s="24">
        <f>IF($G358="","",IF($D358="A国内","CNY","TZS"))</f>
        <v/>
      </c>
      <c r="N358" s="28">
        <f>IF($G358="","",IF($D358="A国内",汇率,1))</f>
        <v/>
      </c>
      <c r="O358" s="25">
        <f>IF($G358="","",ROUND(N($K358)*N($L358),2))</f>
        <v/>
      </c>
      <c r="P358" s="26">
        <f>IF($G358="","",ROUND($O358*$N358,0))</f>
        <v/>
      </c>
      <c r="Q358" s="26">
        <f>IF($G358="","",SUMIFS($P$4:$P$2503,$E$4:$E$2503,$E358,$Z$4:$Z$2503,"正常"))</f>
        <v/>
      </c>
      <c r="R358" s="26">
        <f>IF($G358="","",SUMIFS(费用台账!$I$4:$I$503,费用台账!$C$4:$C$503,$E358,费用台账!$J$4:$J$503,"是",费用台账!$K$4:$K$503,"正常"))</f>
        <v/>
      </c>
      <c r="S358" s="28">
        <f>IF($G358="","",COUNTIFS($E$4:$E$2503,$E358,$Z$4:$Z$2503,"正常",$Y$4:$Y$2503,"待补价"))</f>
        <v/>
      </c>
      <c r="T358" s="26">
        <f>IF($G358="","",SUMIFS($P$4:$P$2503,$E$4:$E$2503,$E358,$Z$4:$Z$2503,"正常",$A$4:$A$2503,"&lt;="&amp;$A358))</f>
        <v/>
      </c>
      <c r="U358" s="26">
        <f>IF($G358="","",IF(OR($S358&gt;0,$Q358=0,$R358=0,$Z358&lt;&gt;"正常"),0,ROUND($T358/$Q358*$R358,0)-ROUND(($T358-$P358)/$Q358*$R358,0)))</f>
        <v/>
      </c>
      <c r="V358" s="26">
        <f>IF($G358="","",ROUND($P358+$U358,0))</f>
        <v/>
      </c>
      <c r="W358" s="26">
        <f>IF($G358="","",IF(N($K358)=0,0,ROUND($V358/$K358,2)))</f>
        <v/>
      </c>
      <c r="X358" s="17" t="inlineStr">
        <is>
          <t>采购入库</t>
        </is>
      </c>
      <c r="Y358" s="17" t="inlineStr">
        <is>
          <t>正常</t>
        </is>
      </c>
      <c r="Z358" s="17" t="inlineStr">
        <is>
          <t>正常</t>
        </is>
      </c>
      <c r="AA358" s="17" t="n"/>
      <c r="AB358" s="17" t="inlineStr">
        <is>
          <t>原表第 363 行</t>
        </is>
      </c>
      <c r="AC358" s="24">
        <f>IF($G358="","",IF($H358="※编码不在物料档案里","※物料编码不在档案里",IF(N($K358)&lt;=0,"※入库数量要大于 0",IF(AND($C358&lt;&gt;"",$C358&lt;=结账锁),"※日期早于已结账截止日，不能再录",IF(AND($L358=0,$X358="正常"),"※没填单价，价格状态请选「待补价」",IF(AND($S358&gt;0,$R358&gt;0),"△本批有 "&amp;$S358&amp;" 行没单价，整批运费先挂账没摊",IF(AND($B358&lt;&gt;"",COUNTIF($B$4:$B$2503,$B358)&gt;1),"※入库单号重复","")))))))</f>
        <v/>
      </c>
    </row>
    <row r="359">
      <c r="A359" s="24">
        <f>IF($G359="","",COUNTA($G$4:$G359))</f>
        <v/>
      </c>
      <c r="B359" s="17" t="n"/>
      <c r="C359" s="30" t="n">
        <v>46102</v>
      </c>
      <c r="D359" s="17" t="inlineStr">
        <is>
          <t>A国内</t>
        </is>
      </c>
      <c r="E359" s="17" t="inlineStr">
        <is>
          <t>CBHU9041804-202603</t>
        </is>
      </c>
      <c r="F359" s="17" t="inlineStr">
        <is>
          <t>烟台市金豪矿山机械有限公司</t>
        </is>
      </c>
      <c r="G359" s="17" t="inlineStr">
        <is>
          <t>JH0166</t>
        </is>
      </c>
      <c r="H359" s="24">
        <f>IF($G359="","",IFERROR(VLOOKUP($G359,物料档案!$A$4:$P$1203,3,0),"※编码不在物料档案里"))</f>
        <v/>
      </c>
      <c r="I359" s="24">
        <f>IF($G359="","",IFERROR(VLOOKUP($G359,物料档案!$A$4:$P$1203,4,0),"※编码不在物料档案里"))</f>
        <v/>
      </c>
      <c r="J359" s="24">
        <f>IF($G359="","",IFERROR(VLOOKUP($G359,物料档案!$A$4:$P$1203,5,0),"※编码不在物料档案里"))</f>
        <v/>
      </c>
      <c r="K359" s="23" t="n">
        <v>1</v>
      </c>
      <c r="L359" s="31" t="n"/>
      <c r="M359" s="24">
        <f>IF($G359="","",IF($D359="A国内","CNY","TZS"))</f>
        <v/>
      </c>
      <c r="N359" s="28">
        <f>IF($G359="","",IF($D359="A国内",汇率,1))</f>
        <v/>
      </c>
      <c r="O359" s="25">
        <f>IF($G359="","",ROUND(N($K359)*N($L359),2))</f>
        <v/>
      </c>
      <c r="P359" s="26">
        <f>IF($G359="","",ROUND($O359*$N359,0))</f>
        <v/>
      </c>
      <c r="Q359" s="26">
        <f>IF($G359="","",SUMIFS($P$4:$P$2503,$E$4:$E$2503,$E359,$Z$4:$Z$2503,"正常"))</f>
        <v/>
      </c>
      <c r="R359" s="26">
        <f>IF($G359="","",SUMIFS(费用台账!$I$4:$I$503,费用台账!$C$4:$C$503,$E359,费用台账!$J$4:$J$503,"是",费用台账!$K$4:$K$503,"正常"))</f>
        <v/>
      </c>
      <c r="S359" s="28">
        <f>IF($G359="","",COUNTIFS($E$4:$E$2503,$E359,$Z$4:$Z$2503,"正常",$Y$4:$Y$2503,"待补价"))</f>
        <v/>
      </c>
      <c r="T359" s="26">
        <f>IF($G359="","",SUMIFS($P$4:$P$2503,$E$4:$E$2503,$E359,$Z$4:$Z$2503,"正常",$A$4:$A$2503,"&lt;="&amp;$A359))</f>
        <v/>
      </c>
      <c r="U359" s="26">
        <f>IF($G359="","",IF(OR($S359&gt;0,$Q359=0,$R359=0,$Z359&lt;&gt;"正常"),0,ROUND($T359/$Q359*$R359,0)-ROUND(($T359-$P359)/$Q359*$R359,0)))</f>
        <v/>
      </c>
      <c r="V359" s="26">
        <f>IF($G359="","",ROUND($P359+$U359,0))</f>
        <v/>
      </c>
      <c r="W359" s="26">
        <f>IF($G359="","",IF(N($K359)=0,0,ROUND($V359/$K359,2)))</f>
        <v/>
      </c>
      <c r="X359" s="17" t="inlineStr">
        <is>
          <t>采购入库</t>
        </is>
      </c>
      <c r="Y359" s="17" t="inlineStr">
        <is>
          <t>待补价</t>
        </is>
      </c>
      <c r="Z359" s="17" t="inlineStr">
        <is>
          <t>正常</t>
        </is>
      </c>
      <c r="AA359" s="17" t="n"/>
      <c r="AB359" s="17" t="inlineStr">
        <is>
          <t>原表第 364 行</t>
        </is>
      </c>
      <c r="AC359" s="24">
        <f>IF($G359="","",IF($H359="※编码不在物料档案里","※物料编码不在档案里",IF(N($K359)&lt;=0,"※入库数量要大于 0",IF(AND($C359&lt;&gt;"",$C359&lt;=结账锁),"※日期早于已结账截止日，不能再录",IF(AND($L359=0,$X359="正常"),"※没填单价，价格状态请选「待补价」",IF(AND($S359&gt;0,$R359&gt;0),"△本批有 "&amp;$S359&amp;" 行没单价，整批运费先挂账没摊",IF(AND($B359&lt;&gt;"",COUNTIF($B$4:$B$2503,$B359)&gt;1),"※入库单号重复","")))))))</f>
        <v/>
      </c>
    </row>
    <row r="360">
      <c r="A360" s="24">
        <f>IF($G360="","",COUNTA($G$4:$G360))</f>
        <v/>
      </c>
      <c r="B360" s="17" t="n"/>
      <c r="C360" s="30" t="n">
        <v>46102</v>
      </c>
      <c r="D360" s="17" t="inlineStr">
        <is>
          <t>A国内</t>
        </is>
      </c>
      <c r="E360" s="17" t="inlineStr">
        <is>
          <t>CBHU9041804-202603</t>
        </is>
      </c>
      <c r="F360" s="17" t="inlineStr">
        <is>
          <t>烟台市金豪矿山机械有限公司</t>
        </is>
      </c>
      <c r="G360" s="17" t="inlineStr">
        <is>
          <t>JH0314</t>
        </is>
      </c>
      <c r="H360" s="24">
        <f>IF($G360="","",IFERROR(VLOOKUP($G360,物料档案!$A$4:$P$1203,3,0),"※编码不在物料档案里"))</f>
        <v/>
      </c>
      <c r="I360" s="24">
        <f>IF($G360="","",IFERROR(VLOOKUP($G360,物料档案!$A$4:$P$1203,4,0),"※编码不在物料档案里"))</f>
        <v/>
      </c>
      <c r="J360" s="24">
        <f>IF($G360="","",IFERROR(VLOOKUP($G360,物料档案!$A$4:$P$1203,5,0),"※编码不在物料档案里"))</f>
        <v/>
      </c>
      <c r="K360" s="23" t="n">
        <v>30</v>
      </c>
      <c r="L360" s="31" t="n"/>
      <c r="M360" s="24">
        <f>IF($G360="","",IF($D360="A国内","CNY","TZS"))</f>
        <v/>
      </c>
      <c r="N360" s="28">
        <f>IF($G360="","",IF($D360="A国内",汇率,1))</f>
        <v/>
      </c>
      <c r="O360" s="25">
        <f>IF($G360="","",ROUND(N($K360)*N($L360),2))</f>
        <v/>
      </c>
      <c r="P360" s="26">
        <f>IF($G360="","",ROUND($O360*$N360,0))</f>
        <v/>
      </c>
      <c r="Q360" s="26">
        <f>IF($G360="","",SUMIFS($P$4:$P$2503,$E$4:$E$2503,$E360,$Z$4:$Z$2503,"正常"))</f>
        <v/>
      </c>
      <c r="R360" s="26">
        <f>IF($G360="","",SUMIFS(费用台账!$I$4:$I$503,费用台账!$C$4:$C$503,$E360,费用台账!$J$4:$J$503,"是",费用台账!$K$4:$K$503,"正常"))</f>
        <v/>
      </c>
      <c r="S360" s="28">
        <f>IF($G360="","",COUNTIFS($E$4:$E$2503,$E360,$Z$4:$Z$2503,"正常",$Y$4:$Y$2503,"待补价"))</f>
        <v/>
      </c>
      <c r="T360" s="26">
        <f>IF($G360="","",SUMIFS($P$4:$P$2503,$E$4:$E$2503,$E360,$Z$4:$Z$2503,"正常",$A$4:$A$2503,"&lt;="&amp;$A360))</f>
        <v/>
      </c>
      <c r="U360" s="26">
        <f>IF($G360="","",IF(OR($S360&gt;0,$Q360=0,$R360=0,$Z360&lt;&gt;"正常"),0,ROUND($T360/$Q360*$R360,0)-ROUND(($T360-$P360)/$Q360*$R360,0)))</f>
        <v/>
      </c>
      <c r="V360" s="26">
        <f>IF($G360="","",ROUND($P360+$U360,0))</f>
        <v/>
      </c>
      <c r="W360" s="26">
        <f>IF($G360="","",IF(N($K360)=0,0,ROUND($V360/$K360,2)))</f>
        <v/>
      </c>
      <c r="X360" s="17" t="inlineStr">
        <is>
          <t>采购入库</t>
        </is>
      </c>
      <c r="Y360" s="17" t="inlineStr">
        <is>
          <t>待补价</t>
        </is>
      </c>
      <c r="Z360" s="17" t="inlineStr">
        <is>
          <t>正常</t>
        </is>
      </c>
      <c r="AA360" s="17" t="n"/>
      <c r="AB360" s="17" t="inlineStr">
        <is>
          <t>原表第 365 行</t>
        </is>
      </c>
      <c r="AC360" s="24">
        <f>IF($G360="","",IF($H360="※编码不在物料档案里","※物料编码不在档案里",IF(N($K360)&lt;=0,"※入库数量要大于 0",IF(AND($C360&lt;&gt;"",$C360&lt;=结账锁),"※日期早于已结账截止日，不能再录",IF(AND($L360=0,$X360="正常"),"※没填单价，价格状态请选「待补价」",IF(AND($S360&gt;0,$R360&gt;0),"△本批有 "&amp;$S360&amp;" 行没单价，整批运费先挂账没摊",IF(AND($B360&lt;&gt;"",COUNTIF($B$4:$B$2503,$B360)&gt;1),"※入库单号重复","")))))))</f>
        <v/>
      </c>
    </row>
    <row r="361">
      <c r="A361" s="24">
        <f>IF($G361="","",COUNTA($G$4:$G361))</f>
        <v/>
      </c>
      <c r="B361" s="17" t="n"/>
      <c r="C361" s="30" t="n">
        <v>46102</v>
      </c>
      <c r="D361" s="17" t="inlineStr">
        <is>
          <t>A国内</t>
        </is>
      </c>
      <c r="E361" s="17" t="inlineStr">
        <is>
          <t>CBHU9041804-202603</t>
        </is>
      </c>
      <c r="F361" s="17" t="inlineStr">
        <is>
          <t>烟台市金豪矿山机械有限公司</t>
        </is>
      </c>
      <c r="G361" s="17" t="inlineStr">
        <is>
          <t>JH0315</t>
        </is>
      </c>
      <c r="H361" s="24">
        <f>IF($G361="","",IFERROR(VLOOKUP($G361,物料档案!$A$4:$P$1203,3,0),"※编码不在物料档案里"))</f>
        <v/>
      </c>
      <c r="I361" s="24">
        <f>IF($G361="","",IFERROR(VLOOKUP($G361,物料档案!$A$4:$P$1203,4,0),"※编码不在物料档案里"))</f>
        <v/>
      </c>
      <c r="J361" s="24">
        <f>IF($G361="","",IFERROR(VLOOKUP($G361,物料档案!$A$4:$P$1203,5,0),"※编码不在物料档案里"))</f>
        <v/>
      </c>
      <c r="K361" s="23" t="n">
        <v>102</v>
      </c>
      <c r="L361" s="31" t="n"/>
      <c r="M361" s="24">
        <f>IF($G361="","",IF($D361="A国内","CNY","TZS"))</f>
        <v/>
      </c>
      <c r="N361" s="28">
        <f>IF($G361="","",IF($D361="A国内",汇率,1))</f>
        <v/>
      </c>
      <c r="O361" s="25">
        <f>IF($G361="","",ROUND(N($K361)*N($L361),2))</f>
        <v/>
      </c>
      <c r="P361" s="26">
        <f>IF($G361="","",ROUND($O361*$N361,0))</f>
        <v/>
      </c>
      <c r="Q361" s="26">
        <f>IF($G361="","",SUMIFS($P$4:$P$2503,$E$4:$E$2503,$E361,$Z$4:$Z$2503,"正常"))</f>
        <v/>
      </c>
      <c r="R361" s="26">
        <f>IF($G361="","",SUMIFS(费用台账!$I$4:$I$503,费用台账!$C$4:$C$503,$E361,费用台账!$J$4:$J$503,"是",费用台账!$K$4:$K$503,"正常"))</f>
        <v/>
      </c>
      <c r="S361" s="28">
        <f>IF($G361="","",COUNTIFS($E$4:$E$2503,$E361,$Z$4:$Z$2503,"正常",$Y$4:$Y$2503,"待补价"))</f>
        <v/>
      </c>
      <c r="T361" s="26">
        <f>IF($G361="","",SUMIFS($P$4:$P$2503,$E$4:$E$2503,$E361,$Z$4:$Z$2503,"正常",$A$4:$A$2503,"&lt;="&amp;$A361))</f>
        <v/>
      </c>
      <c r="U361" s="26">
        <f>IF($G361="","",IF(OR($S361&gt;0,$Q361=0,$R361=0,$Z361&lt;&gt;"正常"),0,ROUND($T361/$Q361*$R361,0)-ROUND(($T361-$P361)/$Q361*$R361,0)))</f>
        <v/>
      </c>
      <c r="V361" s="26">
        <f>IF($G361="","",ROUND($P361+$U361,0))</f>
        <v/>
      </c>
      <c r="W361" s="26">
        <f>IF($G361="","",IF(N($K361)=0,0,ROUND($V361/$K361,2)))</f>
        <v/>
      </c>
      <c r="X361" s="17" t="inlineStr">
        <is>
          <t>采购入库</t>
        </is>
      </c>
      <c r="Y361" s="17" t="inlineStr">
        <is>
          <t>待补价</t>
        </is>
      </c>
      <c r="Z361" s="17" t="inlineStr">
        <is>
          <t>正常</t>
        </is>
      </c>
      <c r="AA361" s="17" t="n"/>
      <c r="AB361" s="17" t="inlineStr">
        <is>
          <t>原表第 366 行</t>
        </is>
      </c>
      <c r="AC361" s="24">
        <f>IF($G361="","",IF($H361="※编码不在物料档案里","※物料编码不在档案里",IF(N($K361)&lt;=0,"※入库数量要大于 0",IF(AND($C361&lt;&gt;"",$C361&lt;=结账锁),"※日期早于已结账截止日，不能再录",IF(AND($L361=0,$X361="正常"),"※没填单价，价格状态请选「待补价」",IF(AND($S361&gt;0,$R361&gt;0),"△本批有 "&amp;$S361&amp;" 行没单价，整批运费先挂账没摊",IF(AND($B361&lt;&gt;"",COUNTIF($B$4:$B$2503,$B361)&gt;1),"※入库单号重复","")))))))</f>
        <v/>
      </c>
    </row>
    <row r="362">
      <c r="A362" s="24">
        <f>IF($G362="","",COUNTA($G$4:$G362))</f>
        <v/>
      </c>
      <c r="B362" s="17" t="n"/>
      <c r="C362" s="30" t="n">
        <v>46102</v>
      </c>
      <c r="D362" s="17" t="inlineStr">
        <is>
          <t>A国内</t>
        </is>
      </c>
      <c r="E362" s="17" t="inlineStr">
        <is>
          <t>CBHU9041804-202603</t>
        </is>
      </c>
      <c r="F362" s="17" t="inlineStr">
        <is>
          <t>烟台市金豪矿山机械有限公司</t>
        </is>
      </c>
      <c r="G362" s="17" t="inlineStr">
        <is>
          <t>JH0316</t>
        </is>
      </c>
      <c r="H362" s="24">
        <f>IF($G362="","",IFERROR(VLOOKUP($G362,物料档案!$A$4:$P$1203,3,0),"※编码不在物料档案里"))</f>
        <v/>
      </c>
      <c r="I362" s="24">
        <f>IF($G362="","",IFERROR(VLOOKUP($G362,物料档案!$A$4:$P$1203,4,0),"※编码不在物料档案里"))</f>
        <v/>
      </c>
      <c r="J362" s="24">
        <f>IF($G362="","",IFERROR(VLOOKUP($G362,物料档案!$A$4:$P$1203,5,0),"※编码不在物料档案里"))</f>
        <v/>
      </c>
      <c r="K362" s="23" t="n">
        <v>120</v>
      </c>
      <c r="L362" s="31" t="n"/>
      <c r="M362" s="24">
        <f>IF($G362="","",IF($D362="A国内","CNY","TZS"))</f>
        <v/>
      </c>
      <c r="N362" s="28">
        <f>IF($G362="","",IF($D362="A国内",汇率,1))</f>
        <v/>
      </c>
      <c r="O362" s="25">
        <f>IF($G362="","",ROUND(N($K362)*N($L362),2))</f>
        <v/>
      </c>
      <c r="P362" s="26">
        <f>IF($G362="","",ROUND($O362*$N362,0))</f>
        <v/>
      </c>
      <c r="Q362" s="26">
        <f>IF($G362="","",SUMIFS($P$4:$P$2503,$E$4:$E$2503,$E362,$Z$4:$Z$2503,"正常"))</f>
        <v/>
      </c>
      <c r="R362" s="26">
        <f>IF($G362="","",SUMIFS(费用台账!$I$4:$I$503,费用台账!$C$4:$C$503,$E362,费用台账!$J$4:$J$503,"是",费用台账!$K$4:$K$503,"正常"))</f>
        <v/>
      </c>
      <c r="S362" s="28">
        <f>IF($G362="","",COUNTIFS($E$4:$E$2503,$E362,$Z$4:$Z$2503,"正常",$Y$4:$Y$2503,"待补价"))</f>
        <v/>
      </c>
      <c r="T362" s="26">
        <f>IF($G362="","",SUMIFS($P$4:$P$2503,$E$4:$E$2503,$E362,$Z$4:$Z$2503,"正常",$A$4:$A$2503,"&lt;="&amp;$A362))</f>
        <v/>
      </c>
      <c r="U362" s="26">
        <f>IF($G362="","",IF(OR($S362&gt;0,$Q362=0,$R362=0,$Z362&lt;&gt;"正常"),0,ROUND($T362/$Q362*$R362,0)-ROUND(($T362-$P362)/$Q362*$R362,0)))</f>
        <v/>
      </c>
      <c r="V362" s="26">
        <f>IF($G362="","",ROUND($P362+$U362,0))</f>
        <v/>
      </c>
      <c r="W362" s="26">
        <f>IF($G362="","",IF(N($K362)=0,0,ROUND($V362/$K362,2)))</f>
        <v/>
      </c>
      <c r="X362" s="17" t="inlineStr">
        <is>
          <t>采购入库</t>
        </is>
      </c>
      <c r="Y362" s="17" t="inlineStr">
        <is>
          <t>待补价</t>
        </is>
      </c>
      <c r="Z362" s="17" t="inlineStr">
        <is>
          <t>正常</t>
        </is>
      </c>
      <c r="AA362" s="17" t="n"/>
      <c r="AB362" s="17" t="inlineStr">
        <is>
          <t>原表第 367 行</t>
        </is>
      </c>
      <c r="AC362" s="24">
        <f>IF($G362="","",IF($H362="※编码不在物料档案里","※物料编码不在档案里",IF(N($K362)&lt;=0,"※入库数量要大于 0",IF(AND($C362&lt;&gt;"",$C362&lt;=结账锁),"※日期早于已结账截止日，不能再录",IF(AND($L362=0,$X362="正常"),"※没填单价，价格状态请选「待补价」",IF(AND($S362&gt;0,$R362&gt;0),"△本批有 "&amp;$S362&amp;" 行没单价，整批运费先挂账没摊",IF(AND($B362&lt;&gt;"",COUNTIF($B$4:$B$2503,$B362)&gt;1),"※入库单号重复","")))))))</f>
        <v/>
      </c>
    </row>
    <row r="363">
      <c r="A363" s="24">
        <f>IF($G363="","",COUNTA($G$4:$G363))</f>
        <v/>
      </c>
      <c r="B363" s="17" t="n"/>
      <c r="C363" s="30" t="n">
        <v>46102</v>
      </c>
      <c r="D363" s="17" t="inlineStr">
        <is>
          <t>A国内</t>
        </is>
      </c>
      <c r="E363" s="17" t="inlineStr">
        <is>
          <t>CBHU9041804-202603</t>
        </is>
      </c>
      <c r="F363" s="17" t="inlineStr">
        <is>
          <t>烟台市金豪矿山机械有限公司</t>
        </is>
      </c>
      <c r="G363" s="17" t="inlineStr">
        <is>
          <t>JH0317</t>
        </is>
      </c>
      <c r="H363" s="24">
        <f>IF($G363="","",IFERROR(VLOOKUP($G363,物料档案!$A$4:$P$1203,3,0),"※编码不在物料档案里"))</f>
        <v/>
      </c>
      <c r="I363" s="24">
        <f>IF($G363="","",IFERROR(VLOOKUP($G363,物料档案!$A$4:$P$1203,4,0),"※编码不在物料档案里"))</f>
        <v/>
      </c>
      <c r="J363" s="24">
        <f>IF($G363="","",IFERROR(VLOOKUP($G363,物料档案!$A$4:$P$1203,5,0),"※编码不在物料档案里"))</f>
        <v/>
      </c>
      <c r="K363" s="23" t="n">
        <v>1</v>
      </c>
      <c r="L363" s="31" t="n">
        <v>220000</v>
      </c>
      <c r="M363" s="24">
        <f>IF($G363="","",IF($D363="A国内","CNY","TZS"))</f>
        <v/>
      </c>
      <c r="N363" s="28">
        <f>IF($G363="","",IF($D363="A国内",汇率,1))</f>
        <v/>
      </c>
      <c r="O363" s="25">
        <f>IF($G363="","",ROUND(N($K363)*N($L363),2))</f>
        <v/>
      </c>
      <c r="P363" s="26">
        <f>IF($G363="","",ROUND($O363*$N363,0))</f>
        <v/>
      </c>
      <c r="Q363" s="26">
        <f>IF($G363="","",SUMIFS($P$4:$P$2503,$E$4:$E$2503,$E363,$Z$4:$Z$2503,"正常"))</f>
        <v/>
      </c>
      <c r="R363" s="26">
        <f>IF($G363="","",SUMIFS(费用台账!$I$4:$I$503,费用台账!$C$4:$C$503,$E363,费用台账!$J$4:$J$503,"是",费用台账!$K$4:$K$503,"正常"))</f>
        <v/>
      </c>
      <c r="S363" s="28">
        <f>IF($G363="","",COUNTIFS($E$4:$E$2503,$E363,$Z$4:$Z$2503,"正常",$Y$4:$Y$2503,"待补价"))</f>
        <v/>
      </c>
      <c r="T363" s="26">
        <f>IF($G363="","",SUMIFS($P$4:$P$2503,$E$4:$E$2503,$E363,$Z$4:$Z$2503,"正常",$A$4:$A$2503,"&lt;="&amp;$A363))</f>
        <v/>
      </c>
      <c r="U363" s="26">
        <f>IF($G363="","",IF(OR($S363&gt;0,$Q363=0,$R363=0,$Z363&lt;&gt;"正常"),0,ROUND($T363/$Q363*$R363,0)-ROUND(($T363-$P363)/$Q363*$R363,0)))</f>
        <v/>
      </c>
      <c r="V363" s="26">
        <f>IF($G363="","",ROUND($P363+$U363,0))</f>
        <v/>
      </c>
      <c r="W363" s="26">
        <f>IF($G363="","",IF(N($K363)=0,0,ROUND($V363/$K363,2)))</f>
        <v/>
      </c>
      <c r="X363" s="17" t="inlineStr">
        <is>
          <t>采购入库</t>
        </is>
      </c>
      <c r="Y363" s="17" t="inlineStr">
        <is>
          <t>正常</t>
        </is>
      </c>
      <c r="Z363" s="17" t="inlineStr">
        <is>
          <t>正常</t>
        </is>
      </c>
      <c r="AA363" s="17" t="n"/>
      <c r="AB363" s="17" t="inlineStr">
        <is>
          <t>原表第 368 行</t>
        </is>
      </c>
      <c r="AC363" s="24">
        <f>IF($G363="","",IF($H363="※编码不在物料档案里","※物料编码不在档案里",IF(N($K363)&lt;=0,"※入库数量要大于 0",IF(AND($C363&lt;&gt;"",$C363&lt;=结账锁),"※日期早于已结账截止日，不能再录",IF(AND($L363=0,$X363="正常"),"※没填单价，价格状态请选「待补价」",IF(AND($S363&gt;0,$R363&gt;0),"△本批有 "&amp;$S363&amp;" 行没单价，整批运费先挂账没摊",IF(AND($B363&lt;&gt;"",COUNTIF($B$4:$B$2503,$B363)&gt;1),"※入库单号重复","")))))))</f>
        <v/>
      </c>
    </row>
    <row r="364">
      <c r="A364" s="24">
        <f>IF($G364="","",COUNTA($G$4:$G364))</f>
        <v/>
      </c>
      <c r="B364" s="17" t="n"/>
      <c r="C364" s="30" t="n">
        <v>46102</v>
      </c>
      <c r="D364" s="17" t="inlineStr">
        <is>
          <t>A国内</t>
        </is>
      </c>
      <c r="E364" s="17" t="inlineStr">
        <is>
          <t>CBHU9041804-202603</t>
        </is>
      </c>
      <c r="F364" s="17" t="inlineStr">
        <is>
          <t>烟台市金豪矿山机械有限公司</t>
        </is>
      </c>
      <c r="G364" s="17" t="inlineStr">
        <is>
          <t>JH0318</t>
        </is>
      </c>
      <c r="H364" s="24">
        <f>IF($G364="","",IFERROR(VLOOKUP($G364,物料档案!$A$4:$P$1203,3,0),"※编码不在物料档案里"))</f>
        <v/>
      </c>
      <c r="I364" s="24">
        <f>IF($G364="","",IFERROR(VLOOKUP($G364,物料档案!$A$4:$P$1203,4,0),"※编码不在物料档案里"))</f>
        <v/>
      </c>
      <c r="J364" s="24">
        <f>IF($G364="","",IFERROR(VLOOKUP($G364,物料档案!$A$4:$P$1203,5,0),"※编码不在物料档案里"))</f>
        <v/>
      </c>
      <c r="K364" s="23" t="n">
        <v>1</v>
      </c>
      <c r="L364" s="31" t="n"/>
      <c r="M364" s="24">
        <f>IF($G364="","",IF($D364="A国内","CNY","TZS"))</f>
        <v/>
      </c>
      <c r="N364" s="28">
        <f>IF($G364="","",IF($D364="A国内",汇率,1))</f>
        <v/>
      </c>
      <c r="O364" s="25">
        <f>IF($G364="","",ROUND(N($K364)*N($L364),2))</f>
        <v/>
      </c>
      <c r="P364" s="26">
        <f>IF($G364="","",ROUND($O364*$N364,0))</f>
        <v/>
      </c>
      <c r="Q364" s="26">
        <f>IF($G364="","",SUMIFS($P$4:$P$2503,$E$4:$E$2503,$E364,$Z$4:$Z$2503,"正常"))</f>
        <v/>
      </c>
      <c r="R364" s="26">
        <f>IF($G364="","",SUMIFS(费用台账!$I$4:$I$503,费用台账!$C$4:$C$503,$E364,费用台账!$J$4:$J$503,"是",费用台账!$K$4:$K$503,"正常"))</f>
        <v/>
      </c>
      <c r="S364" s="28">
        <f>IF($G364="","",COUNTIFS($E$4:$E$2503,$E364,$Z$4:$Z$2503,"正常",$Y$4:$Y$2503,"待补价"))</f>
        <v/>
      </c>
      <c r="T364" s="26">
        <f>IF($G364="","",SUMIFS($P$4:$P$2503,$E$4:$E$2503,$E364,$Z$4:$Z$2503,"正常",$A$4:$A$2503,"&lt;="&amp;$A364))</f>
        <v/>
      </c>
      <c r="U364" s="26">
        <f>IF($G364="","",IF(OR($S364&gt;0,$Q364=0,$R364=0,$Z364&lt;&gt;"正常"),0,ROUND($T364/$Q364*$R364,0)-ROUND(($T364-$P364)/$Q364*$R364,0)))</f>
        <v/>
      </c>
      <c r="V364" s="26">
        <f>IF($G364="","",ROUND($P364+$U364,0))</f>
        <v/>
      </c>
      <c r="W364" s="26">
        <f>IF($G364="","",IF(N($K364)=0,0,ROUND($V364/$K364,2)))</f>
        <v/>
      </c>
      <c r="X364" s="17" t="inlineStr">
        <is>
          <t>采购入库</t>
        </is>
      </c>
      <c r="Y364" s="17" t="inlineStr">
        <is>
          <t>待补价</t>
        </is>
      </c>
      <c r="Z364" s="17" t="inlineStr">
        <is>
          <t>正常</t>
        </is>
      </c>
      <c r="AA364" s="17" t="n"/>
      <c r="AB364" s="17" t="inlineStr">
        <is>
          <t>原表第 369 行</t>
        </is>
      </c>
      <c r="AC364" s="24">
        <f>IF($G364="","",IF($H364="※编码不在物料档案里","※物料编码不在档案里",IF(N($K364)&lt;=0,"※入库数量要大于 0",IF(AND($C364&lt;&gt;"",$C364&lt;=结账锁),"※日期早于已结账截止日，不能再录",IF(AND($L364=0,$X364="正常"),"※没填单价，价格状态请选「待补价」",IF(AND($S364&gt;0,$R364&gt;0),"△本批有 "&amp;$S364&amp;" 行没单价，整批运费先挂账没摊",IF(AND($B364&lt;&gt;"",COUNTIF($B$4:$B$2503,$B364)&gt;1),"※入库单号重复","")))))))</f>
        <v/>
      </c>
    </row>
    <row r="365">
      <c r="A365" s="24">
        <f>IF($G365="","",COUNTA($G$4:$G365))</f>
        <v/>
      </c>
      <c r="B365" s="17" t="n"/>
      <c r="C365" s="30" t="n">
        <v>46102</v>
      </c>
      <c r="D365" s="17" t="inlineStr">
        <is>
          <t>A国内</t>
        </is>
      </c>
      <c r="E365" s="17" t="inlineStr">
        <is>
          <t>CBHU9041804-202603</t>
        </is>
      </c>
      <c r="F365" s="17" t="inlineStr">
        <is>
          <t>烟台市金豪矿山机械有限公司</t>
        </is>
      </c>
      <c r="G365" s="17" t="inlineStr">
        <is>
          <t>JH0319</t>
        </is>
      </c>
      <c r="H365" s="24">
        <f>IF($G365="","",IFERROR(VLOOKUP($G365,物料档案!$A$4:$P$1203,3,0),"※编码不在物料档案里"))</f>
        <v/>
      </c>
      <c r="I365" s="24">
        <f>IF($G365="","",IFERROR(VLOOKUP($G365,物料档案!$A$4:$P$1203,4,0),"※编码不在物料档案里"))</f>
        <v/>
      </c>
      <c r="J365" s="24">
        <f>IF($G365="","",IFERROR(VLOOKUP($G365,物料档案!$A$4:$P$1203,5,0),"※编码不在物料档案里"))</f>
        <v/>
      </c>
      <c r="K365" s="23" t="n">
        <v>1</v>
      </c>
      <c r="L365" s="31" t="n"/>
      <c r="M365" s="24">
        <f>IF($G365="","",IF($D365="A国内","CNY","TZS"))</f>
        <v/>
      </c>
      <c r="N365" s="28">
        <f>IF($G365="","",IF($D365="A国内",汇率,1))</f>
        <v/>
      </c>
      <c r="O365" s="25">
        <f>IF($G365="","",ROUND(N($K365)*N($L365),2))</f>
        <v/>
      </c>
      <c r="P365" s="26">
        <f>IF($G365="","",ROUND($O365*$N365,0))</f>
        <v/>
      </c>
      <c r="Q365" s="26">
        <f>IF($G365="","",SUMIFS($P$4:$P$2503,$E$4:$E$2503,$E365,$Z$4:$Z$2503,"正常"))</f>
        <v/>
      </c>
      <c r="R365" s="26">
        <f>IF($G365="","",SUMIFS(费用台账!$I$4:$I$503,费用台账!$C$4:$C$503,$E365,费用台账!$J$4:$J$503,"是",费用台账!$K$4:$K$503,"正常"))</f>
        <v/>
      </c>
      <c r="S365" s="28">
        <f>IF($G365="","",COUNTIFS($E$4:$E$2503,$E365,$Z$4:$Z$2503,"正常",$Y$4:$Y$2503,"待补价"))</f>
        <v/>
      </c>
      <c r="T365" s="26">
        <f>IF($G365="","",SUMIFS($P$4:$P$2503,$E$4:$E$2503,$E365,$Z$4:$Z$2503,"正常",$A$4:$A$2503,"&lt;="&amp;$A365))</f>
        <v/>
      </c>
      <c r="U365" s="26">
        <f>IF($G365="","",IF(OR($S365&gt;0,$Q365=0,$R365=0,$Z365&lt;&gt;"正常"),0,ROUND($T365/$Q365*$R365,0)-ROUND(($T365-$P365)/$Q365*$R365,0)))</f>
        <v/>
      </c>
      <c r="V365" s="26">
        <f>IF($G365="","",ROUND($P365+$U365,0))</f>
        <v/>
      </c>
      <c r="W365" s="26">
        <f>IF($G365="","",IF(N($K365)=0,0,ROUND($V365/$K365,2)))</f>
        <v/>
      </c>
      <c r="X365" s="17" t="inlineStr">
        <is>
          <t>采购入库</t>
        </is>
      </c>
      <c r="Y365" s="17" t="inlineStr">
        <is>
          <t>待补价</t>
        </is>
      </c>
      <c r="Z365" s="17" t="inlineStr">
        <is>
          <t>正常</t>
        </is>
      </c>
      <c r="AA365" s="17" t="n"/>
      <c r="AB365" s="17" t="inlineStr">
        <is>
          <t>原表第 370 行</t>
        </is>
      </c>
      <c r="AC365" s="24">
        <f>IF($G365="","",IF($H365="※编码不在物料档案里","※物料编码不在档案里",IF(N($K365)&lt;=0,"※入库数量要大于 0",IF(AND($C365&lt;&gt;"",$C365&lt;=结账锁),"※日期早于已结账截止日，不能再录",IF(AND($L365=0,$X365="正常"),"※没填单价，价格状态请选「待补价」",IF(AND($S365&gt;0,$R365&gt;0),"△本批有 "&amp;$S365&amp;" 行没单价，整批运费先挂账没摊",IF(AND($B365&lt;&gt;"",COUNTIF($B$4:$B$2503,$B365)&gt;1),"※入库单号重复","")))))))</f>
        <v/>
      </c>
    </row>
    <row r="366">
      <c r="A366" s="24">
        <f>IF($G366="","",COUNTA($G$4:$G366))</f>
        <v/>
      </c>
      <c r="B366" s="17" t="n"/>
      <c r="C366" s="30" t="n">
        <v>46102</v>
      </c>
      <c r="D366" s="17" t="inlineStr">
        <is>
          <t>A国内</t>
        </is>
      </c>
      <c r="E366" s="17" t="inlineStr">
        <is>
          <t>CBHU9041804-202603</t>
        </is>
      </c>
      <c r="F366" s="17" t="inlineStr">
        <is>
          <t>烟台市金豪矿山机械有限公司</t>
        </is>
      </c>
      <c r="G366" s="17" t="inlineStr">
        <is>
          <t>JH0320</t>
        </is>
      </c>
      <c r="H366" s="24">
        <f>IF($G366="","",IFERROR(VLOOKUP($G366,物料档案!$A$4:$P$1203,3,0),"※编码不在物料档案里"))</f>
        <v/>
      </c>
      <c r="I366" s="24">
        <f>IF($G366="","",IFERROR(VLOOKUP($G366,物料档案!$A$4:$P$1203,4,0),"※编码不在物料档案里"))</f>
        <v/>
      </c>
      <c r="J366" s="24">
        <f>IF($G366="","",IFERROR(VLOOKUP($G366,物料档案!$A$4:$P$1203,5,0),"※编码不在物料档案里"))</f>
        <v/>
      </c>
      <c r="K366" s="23" t="n">
        <v>1</v>
      </c>
      <c r="L366" s="31" t="n"/>
      <c r="M366" s="24">
        <f>IF($G366="","",IF($D366="A国内","CNY","TZS"))</f>
        <v/>
      </c>
      <c r="N366" s="28">
        <f>IF($G366="","",IF($D366="A国内",汇率,1))</f>
        <v/>
      </c>
      <c r="O366" s="25">
        <f>IF($G366="","",ROUND(N($K366)*N($L366),2))</f>
        <v/>
      </c>
      <c r="P366" s="26">
        <f>IF($G366="","",ROUND($O366*$N366,0))</f>
        <v/>
      </c>
      <c r="Q366" s="26">
        <f>IF($G366="","",SUMIFS($P$4:$P$2503,$E$4:$E$2503,$E366,$Z$4:$Z$2503,"正常"))</f>
        <v/>
      </c>
      <c r="R366" s="26">
        <f>IF($G366="","",SUMIFS(费用台账!$I$4:$I$503,费用台账!$C$4:$C$503,$E366,费用台账!$J$4:$J$503,"是",费用台账!$K$4:$K$503,"正常"))</f>
        <v/>
      </c>
      <c r="S366" s="28">
        <f>IF($G366="","",COUNTIFS($E$4:$E$2503,$E366,$Z$4:$Z$2503,"正常",$Y$4:$Y$2503,"待补价"))</f>
        <v/>
      </c>
      <c r="T366" s="26">
        <f>IF($G366="","",SUMIFS($P$4:$P$2503,$E$4:$E$2503,$E366,$Z$4:$Z$2503,"正常",$A$4:$A$2503,"&lt;="&amp;$A366))</f>
        <v/>
      </c>
      <c r="U366" s="26">
        <f>IF($G366="","",IF(OR($S366&gt;0,$Q366=0,$R366=0,$Z366&lt;&gt;"正常"),0,ROUND($T366/$Q366*$R366,0)-ROUND(($T366-$P366)/$Q366*$R366,0)))</f>
        <v/>
      </c>
      <c r="V366" s="26">
        <f>IF($G366="","",ROUND($P366+$U366,0))</f>
        <v/>
      </c>
      <c r="W366" s="26">
        <f>IF($G366="","",IF(N($K366)=0,0,ROUND($V366/$K366,2)))</f>
        <v/>
      </c>
      <c r="X366" s="17" t="inlineStr">
        <is>
          <t>采购入库</t>
        </is>
      </c>
      <c r="Y366" s="17" t="inlineStr">
        <is>
          <t>待补价</t>
        </is>
      </c>
      <c r="Z366" s="17" t="inlineStr">
        <is>
          <t>正常</t>
        </is>
      </c>
      <c r="AA366" s="17" t="n"/>
      <c r="AB366" s="17" t="inlineStr">
        <is>
          <t>原表第 371 行</t>
        </is>
      </c>
      <c r="AC366" s="24">
        <f>IF($G366="","",IF($H366="※编码不在物料档案里","※物料编码不在档案里",IF(N($K366)&lt;=0,"※入库数量要大于 0",IF(AND($C366&lt;&gt;"",$C366&lt;=结账锁),"※日期早于已结账截止日，不能再录",IF(AND($L366=0,$X366="正常"),"※没填单价，价格状态请选「待补价」",IF(AND($S366&gt;0,$R366&gt;0),"△本批有 "&amp;$S366&amp;" 行没单价，整批运费先挂账没摊",IF(AND($B366&lt;&gt;"",COUNTIF($B$4:$B$2503,$B366)&gt;1),"※入库单号重复","")))))))</f>
        <v/>
      </c>
    </row>
    <row r="367">
      <c r="A367" s="24">
        <f>IF($G367="","",COUNTA($G$4:$G367))</f>
        <v/>
      </c>
      <c r="B367" s="17" t="n"/>
      <c r="C367" s="30" t="n">
        <v>46102</v>
      </c>
      <c r="D367" s="17" t="inlineStr">
        <is>
          <t>A国内</t>
        </is>
      </c>
      <c r="E367" s="17" t="inlineStr">
        <is>
          <t>CBHU9041804-202603</t>
        </is>
      </c>
      <c r="F367" s="17" t="inlineStr">
        <is>
          <t>烟台市金豪矿山机械有限公司</t>
        </is>
      </c>
      <c r="G367" s="17" t="inlineStr">
        <is>
          <t>JH0321</t>
        </is>
      </c>
      <c r="H367" s="24">
        <f>IF($G367="","",IFERROR(VLOOKUP($G367,物料档案!$A$4:$P$1203,3,0),"※编码不在物料档案里"))</f>
        <v/>
      </c>
      <c r="I367" s="24">
        <f>IF($G367="","",IFERROR(VLOOKUP($G367,物料档案!$A$4:$P$1203,4,0),"※编码不在物料档案里"))</f>
        <v/>
      </c>
      <c r="J367" s="24">
        <f>IF($G367="","",IFERROR(VLOOKUP($G367,物料档案!$A$4:$P$1203,5,0),"※编码不在物料档案里"))</f>
        <v/>
      </c>
      <c r="K367" s="23" t="n">
        <v>1</v>
      </c>
      <c r="L367" s="31" t="n"/>
      <c r="M367" s="24">
        <f>IF($G367="","",IF($D367="A国内","CNY","TZS"))</f>
        <v/>
      </c>
      <c r="N367" s="28">
        <f>IF($G367="","",IF($D367="A国内",汇率,1))</f>
        <v/>
      </c>
      <c r="O367" s="25">
        <f>IF($G367="","",ROUND(N($K367)*N($L367),2))</f>
        <v/>
      </c>
      <c r="P367" s="26">
        <f>IF($G367="","",ROUND($O367*$N367,0))</f>
        <v/>
      </c>
      <c r="Q367" s="26">
        <f>IF($G367="","",SUMIFS($P$4:$P$2503,$E$4:$E$2503,$E367,$Z$4:$Z$2503,"正常"))</f>
        <v/>
      </c>
      <c r="R367" s="26">
        <f>IF($G367="","",SUMIFS(费用台账!$I$4:$I$503,费用台账!$C$4:$C$503,$E367,费用台账!$J$4:$J$503,"是",费用台账!$K$4:$K$503,"正常"))</f>
        <v/>
      </c>
      <c r="S367" s="28">
        <f>IF($G367="","",COUNTIFS($E$4:$E$2503,$E367,$Z$4:$Z$2503,"正常",$Y$4:$Y$2503,"待补价"))</f>
        <v/>
      </c>
      <c r="T367" s="26">
        <f>IF($G367="","",SUMIFS($P$4:$P$2503,$E$4:$E$2503,$E367,$Z$4:$Z$2503,"正常",$A$4:$A$2503,"&lt;="&amp;$A367))</f>
        <v/>
      </c>
      <c r="U367" s="26">
        <f>IF($G367="","",IF(OR($S367&gt;0,$Q367=0,$R367=0,$Z367&lt;&gt;"正常"),0,ROUND($T367/$Q367*$R367,0)-ROUND(($T367-$P367)/$Q367*$R367,0)))</f>
        <v/>
      </c>
      <c r="V367" s="26">
        <f>IF($G367="","",ROUND($P367+$U367,0))</f>
        <v/>
      </c>
      <c r="W367" s="26">
        <f>IF($G367="","",IF(N($K367)=0,0,ROUND($V367/$K367,2)))</f>
        <v/>
      </c>
      <c r="X367" s="17" t="inlineStr">
        <is>
          <t>采购入库</t>
        </is>
      </c>
      <c r="Y367" s="17" t="inlineStr">
        <is>
          <t>待补价</t>
        </is>
      </c>
      <c r="Z367" s="17" t="inlineStr">
        <is>
          <t>正常</t>
        </is>
      </c>
      <c r="AA367" s="17" t="n"/>
      <c r="AB367" s="17" t="inlineStr">
        <is>
          <t>原表第 372 行</t>
        </is>
      </c>
      <c r="AC367" s="24">
        <f>IF($G367="","",IF($H367="※编码不在物料档案里","※物料编码不在档案里",IF(N($K367)&lt;=0,"※入库数量要大于 0",IF(AND($C367&lt;&gt;"",$C367&lt;=结账锁),"※日期早于已结账截止日，不能再录",IF(AND($L367=0,$X367="正常"),"※没填单价，价格状态请选「待补价」",IF(AND($S367&gt;0,$R367&gt;0),"△本批有 "&amp;$S367&amp;" 行没单价，整批运费先挂账没摊",IF(AND($B367&lt;&gt;"",COUNTIF($B$4:$B$2503,$B367)&gt;1),"※入库单号重复","")))))))</f>
        <v/>
      </c>
    </row>
    <row r="368">
      <c r="A368" s="24">
        <f>IF($G368="","",COUNTA($G$4:$G368))</f>
        <v/>
      </c>
      <c r="B368" s="17" t="n"/>
      <c r="C368" s="30" t="n">
        <v>46102</v>
      </c>
      <c r="D368" s="17" t="inlineStr">
        <is>
          <t>A国内</t>
        </is>
      </c>
      <c r="E368" s="17" t="inlineStr">
        <is>
          <t>CBHU9041804-202603</t>
        </is>
      </c>
      <c r="F368" s="17" t="inlineStr">
        <is>
          <t>烟台市金豪矿山机械有限公司</t>
        </is>
      </c>
      <c r="G368" s="17" t="inlineStr">
        <is>
          <t>JH0322</t>
        </is>
      </c>
      <c r="H368" s="24">
        <f>IF($G368="","",IFERROR(VLOOKUP($G368,物料档案!$A$4:$P$1203,3,0),"※编码不在物料档案里"))</f>
        <v/>
      </c>
      <c r="I368" s="24">
        <f>IF($G368="","",IFERROR(VLOOKUP($G368,物料档案!$A$4:$P$1203,4,0),"※编码不在物料档案里"))</f>
        <v/>
      </c>
      <c r="J368" s="24">
        <f>IF($G368="","",IFERROR(VLOOKUP($G368,物料档案!$A$4:$P$1203,5,0),"※编码不在物料档案里"))</f>
        <v/>
      </c>
      <c r="K368" s="23" t="n">
        <v>2</v>
      </c>
      <c r="L368" s="31" t="n"/>
      <c r="M368" s="24">
        <f>IF($G368="","",IF($D368="A国内","CNY","TZS"))</f>
        <v/>
      </c>
      <c r="N368" s="28">
        <f>IF($G368="","",IF($D368="A国内",汇率,1))</f>
        <v/>
      </c>
      <c r="O368" s="25">
        <f>IF($G368="","",ROUND(N($K368)*N($L368),2))</f>
        <v/>
      </c>
      <c r="P368" s="26">
        <f>IF($G368="","",ROUND($O368*$N368,0))</f>
        <v/>
      </c>
      <c r="Q368" s="26">
        <f>IF($G368="","",SUMIFS($P$4:$P$2503,$E$4:$E$2503,$E368,$Z$4:$Z$2503,"正常"))</f>
        <v/>
      </c>
      <c r="R368" s="26">
        <f>IF($G368="","",SUMIFS(费用台账!$I$4:$I$503,费用台账!$C$4:$C$503,$E368,费用台账!$J$4:$J$503,"是",费用台账!$K$4:$K$503,"正常"))</f>
        <v/>
      </c>
      <c r="S368" s="28">
        <f>IF($G368="","",COUNTIFS($E$4:$E$2503,$E368,$Z$4:$Z$2503,"正常",$Y$4:$Y$2503,"待补价"))</f>
        <v/>
      </c>
      <c r="T368" s="26">
        <f>IF($G368="","",SUMIFS($P$4:$P$2503,$E$4:$E$2503,$E368,$Z$4:$Z$2503,"正常",$A$4:$A$2503,"&lt;="&amp;$A368))</f>
        <v/>
      </c>
      <c r="U368" s="26">
        <f>IF($G368="","",IF(OR($S368&gt;0,$Q368=0,$R368=0,$Z368&lt;&gt;"正常"),0,ROUND($T368/$Q368*$R368,0)-ROUND(($T368-$P368)/$Q368*$R368,0)))</f>
        <v/>
      </c>
      <c r="V368" s="26">
        <f>IF($G368="","",ROUND($P368+$U368,0))</f>
        <v/>
      </c>
      <c r="W368" s="26">
        <f>IF($G368="","",IF(N($K368)=0,0,ROUND($V368/$K368,2)))</f>
        <v/>
      </c>
      <c r="X368" s="17" t="inlineStr">
        <is>
          <t>采购入库</t>
        </is>
      </c>
      <c r="Y368" s="17" t="inlineStr">
        <is>
          <t>待补价</t>
        </is>
      </c>
      <c r="Z368" s="17" t="inlineStr">
        <is>
          <t>正常</t>
        </is>
      </c>
      <c r="AA368" s="17" t="n"/>
      <c r="AB368" s="17" t="inlineStr">
        <is>
          <t>原表第 373 行</t>
        </is>
      </c>
      <c r="AC368" s="24">
        <f>IF($G368="","",IF($H368="※编码不在物料档案里","※物料编码不在档案里",IF(N($K368)&lt;=0,"※入库数量要大于 0",IF(AND($C368&lt;&gt;"",$C368&lt;=结账锁),"※日期早于已结账截止日，不能再录",IF(AND($L368=0,$X368="正常"),"※没填单价，价格状态请选「待补价」",IF(AND($S368&gt;0,$R368&gt;0),"△本批有 "&amp;$S368&amp;" 行没单价，整批运费先挂账没摊",IF(AND($B368&lt;&gt;"",COUNTIF($B$4:$B$2503,$B368)&gt;1),"※入库单号重复","")))))))</f>
        <v/>
      </c>
    </row>
    <row r="369">
      <c r="A369" s="24">
        <f>IF($G369="","",COUNTA($G$4:$G369))</f>
        <v/>
      </c>
      <c r="B369" s="17" t="n"/>
      <c r="C369" s="30" t="n">
        <v>46102</v>
      </c>
      <c r="D369" s="17" t="inlineStr">
        <is>
          <t>A国内</t>
        </is>
      </c>
      <c r="E369" s="17" t="inlineStr">
        <is>
          <t>CBHU9041804-202603</t>
        </is>
      </c>
      <c r="F369" s="17" t="inlineStr">
        <is>
          <t>烟台市金豪矿山机械有限公司</t>
        </is>
      </c>
      <c r="G369" s="17" t="inlineStr">
        <is>
          <t>JH0323</t>
        </is>
      </c>
      <c r="H369" s="24">
        <f>IF($G369="","",IFERROR(VLOOKUP($G369,物料档案!$A$4:$P$1203,3,0),"※编码不在物料档案里"))</f>
        <v/>
      </c>
      <c r="I369" s="24">
        <f>IF($G369="","",IFERROR(VLOOKUP($G369,物料档案!$A$4:$P$1203,4,0),"※编码不在物料档案里"))</f>
        <v/>
      </c>
      <c r="J369" s="24">
        <f>IF($G369="","",IFERROR(VLOOKUP($G369,物料档案!$A$4:$P$1203,5,0),"※编码不在物料档案里"))</f>
        <v/>
      </c>
      <c r="K369" s="23" t="n">
        <v>2</v>
      </c>
      <c r="L369" s="31" t="n"/>
      <c r="M369" s="24">
        <f>IF($G369="","",IF($D369="A国内","CNY","TZS"))</f>
        <v/>
      </c>
      <c r="N369" s="28">
        <f>IF($G369="","",IF($D369="A国内",汇率,1))</f>
        <v/>
      </c>
      <c r="O369" s="25">
        <f>IF($G369="","",ROUND(N($K369)*N($L369),2))</f>
        <v/>
      </c>
      <c r="P369" s="26">
        <f>IF($G369="","",ROUND($O369*$N369,0))</f>
        <v/>
      </c>
      <c r="Q369" s="26">
        <f>IF($G369="","",SUMIFS($P$4:$P$2503,$E$4:$E$2503,$E369,$Z$4:$Z$2503,"正常"))</f>
        <v/>
      </c>
      <c r="R369" s="26">
        <f>IF($G369="","",SUMIFS(费用台账!$I$4:$I$503,费用台账!$C$4:$C$503,$E369,费用台账!$J$4:$J$503,"是",费用台账!$K$4:$K$503,"正常"))</f>
        <v/>
      </c>
      <c r="S369" s="28">
        <f>IF($G369="","",COUNTIFS($E$4:$E$2503,$E369,$Z$4:$Z$2503,"正常",$Y$4:$Y$2503,"待补价"))</f>
        <v/>
      </c>
      <c r="T369" s="26">
        <f>IF($G369="","",SUMIFS($P$4:$P$2503,$E$4:$E$2503,$E369,$Z$4:$Z$2503,"正常",$A$4:$A$2503,"&lt;="&amp;$A369))</f>
        <v/>
      </c>
      <c r="U369" s="26">
        <f>IF($G369="","",IF(OR($S369&gt;0,$Q369=0,$R369=0,$Z369&lt;&gt;"正常"),0,ROUND($T369/$Q369*$R369,0)-ROUND(($T369-$P369)/$Q369*$R369,0)))</f>
        <v/>
      </c>
      <c r="V369" s="26">
        <f>IF($G369="","",ROUND($P369+$U369,0))</f>
        <v/>
      </c>
      <c r="W369" s="26">
        <f>IF($G369="","",IF(N($K369)=0,0,ROUND($V369/$K369,2)))</f>
        <v/>
      </c>
      <c r="X369" s="17" t="inlineStr">
        <is>
          <t>采购入库</t>
        </is>
      </c>
      <c r="Y369" s="17" t="inlineStr">
        <is>
          <t>待补价</t>
        </is>
      </c>
      <c r="Z369" s="17" t="inlineStr">
        <is>
          <t>正常</t>
        </is>
      </c>
      <c r="AA369" s="17" t="n"/>
      <c r="AB369" s="17" t="inlineStr">
        <is>
          <t>原表第 374 行</t>
        </is>
      </c>
      <c r="AC369" s="24">
        <f>IF($G369="","",IF($H369="※编码不在物料档案里","※物料编码不在档案里",IF(N($K369)&lt;=0,"※入库数量要大于 0",IF(AND($C369&lt;&gt;"",$C369&lt;=结账锁),"※日期早于已结账截止日，不能再录",IF(AND($L369=0,$X369="正常"),"※没填单价，价格状态请选「待补价」",IF(AND($S369&gt;0,$R369&gt;0),"△本批有 "&amp;$S369&amp;" 行没单价，整批运费先挂账没摊",IF(AND($B369&lt;&gt;"",COUNTIF($B$4:$B$2503,$B369)&gt;1),"※入库单号重复","")))))))</f>
        <v/>
      </c>
    </row>
    <row r="370">
      <c r="A370" s="24">
        <f>IF($G370="","",COUNTA($G$4:$G370))</f>
        <v/>
      </c>
      <c r="B370" s="17" t="n"/>
      <c r="C370" s="30" t="n">
        <v>46102</v>
      </c>
      <c r="D370" s="17" t="inlineStr">
        <is>
          <t>A国内</t>
        </is>
      </c>
      <c r="E370" s="17" t="inlineStr">
        <is>
          <t>CBHU9041804-202603</t>
        </is>
      </c>
      <c r="F370" s="17" t="inlineStr">
        <is>
          <t>烟台市金豪矿山机械有限公司</t>
        </is>
      </c>
      <c r="G370" s="17" t="inlineStr">
        <is>
          <t>JH0324</t>
        </is>
      </c>
      <c r="H370" s="24">
        <f>IF($G370="","",IFERROR(VLOOKUP($G370,物料档案!$A$4:$P$1203,3,0),"※编码不在物料档案里"))</f>
        <v/>
      </c>
      <c r="I370" s="24">
        <f>IF($G370="","",IFERROR(VLOOKUP($G370,物料档案!$A$4:$P$1203,4,0),"※编码不在物料档案里"))</f>
        <v/>
      </c>
      <c r="J370" s="24">
        <f>IF($G370="","",IFERROR(VLOOKUP($G370,物料档案!$A$4:$P$1203,5,0),"※编码不在物料档案里"))</f>
        <v/>
      </c>
      <c r="K370" s="23" t="n">
        <v>1</v>
      </c>
      <c r="L370" s="31" t="n"/>
      <c r="M370" s="24">
        <f>IF($G370="","",IF($D370="A国内","CNY","TZS"))</f>
        <v/>
      </c>
      <c r="N370" s="28">
        <f>IF($G370="","",IF($D370="A国内",汇率,1))</f>
        <v/>
      </c>
      <c r="O370" s="25">
        <f>IF($G370="","",ROUND(N($K370)*N($L370),2))</f>
        <v/>
      </c>
      <c r="P370" s="26">
        <f>IF($G370="","",ROUND($O370*$N370,0))</f>
        <v/>
      </c>
      <c r="Q370" s="26">
        <f>IF($G370="","",SUMIFS($P$4:$P$2503,$E$4:$E$2503,$E370,$Z$4:$Z$2503,"正常"))</f>
        <v/>
      </c>
      <c r="R370" s="26">
        <f>IF($G370="","",SUMIFS(费用台账!$I$4:$I$503,费用台账!$C$4:$C$503,$E370,费用台账!$J$4:$J$503,"是",费用台账!$K$4:$K$503,"正常"))</f>
        <v/>
      </c>
      <c r="S370" s="28">
        <f>IF($G370="","",COUNTIFS($E$4:$E$2503,$E370,$Z$4:$Z$2503,"正常",$Y$4:$Y$2503,"待补价"))</f>
        <v/>
      </c>
      <c r="T370" s="26">
        <f>IF($G370="","",SUMIFS($P$4:$P$2503,$E$4:$E$2503,$E370,$Z$4:$Z$2503,"正常",$A$4:$A$2503,"&lt;="&amp;$A370))</f>
        <v/>
      </c>
      <c r="U370" s="26">
        <f>IF($G370="","",IF(OR($S370&gt;0,$Q370=0,$R370=0,$Z370&lt;&gt;"正常"),0,ROUND($T370/$Q370*$R370,0)-ROUND(($T370-$P370)/$Q370*$R370,0)))</f>
        <v/>
      </c>
      <c r="V370" s="26">
        <f>IF($G370="","",ROUND($P370+$U370,0))</f>
        <v/>
      </c>
      <c r="W370" s="26">
        <f>IF($G370="","",IF(N($K370)=0,0,ROUND($V370/$K370,2)))</f>
        <v/>
      </c>
      <c r="X370" s="17" t="inlineStr">
        <is>
          <t>采购入库</t>
        </is>
      </c>
      <c r="Y370" s="17" t="inlineStr">
        <is>
          <t>待补价</t>
        </is>
      </c>
      <c r="Z370" s="17" t="inlineStr">
        <is>
          <t>正常</t>
        </is>
      </c>
      <c r="AA370" s="17" t="n"/>
      <c r="AB370" s="17" t="inlineStr">
        <is>
          <t>原表第 375 行</t>
        </is>
      </c>
      <c r="AC370" s="24">
        <f>IF($G370="","",IF($H370="※编码不在物料档案里","※物料编码不在档案里",IF(N($K370)&lt;=0,"※入库数量要大于 0",IF(AND($C370&lt;&gt;"",$C370&lt;=结账锁),"※日期早于已结账截止日，不能再录",IF(AND($L370=0,$X370="正常"),"※没填单价，价格状态请选「待补价」",IF(AND($S370&gt;0,$R370&gt;0),"△本批有 "&amp;$S370&amp;" 行没单价，整批运费先挂账没摊",IF(AND($B370&lt;&gt;"",COUNTIF($B$4:$B$2503,$B370)&gt;1),"※入库单号重复","")))))))</f>
        <v/>
      </c>
    </row>
    <row r="371">
      <c r="A371" s="24">
        <f>IF($G371="","",COUNTA($G$4:$G371))</f>
        <v/>
      </c>
      <c r="B371" s="17" t="n"/>
      <c r="C371" s="30" t="n">
        <v>46102</v>
      </c>
      <c r="D371" s="17" t="inlineStr">
        <is>
          <t>A国内</t>
        </is>
      </c>
      <c r="E371" s="17" t="inlineStr">
        <is>
          <t>CBHU9041804-202603</t>
        </is>
      </c>
      <c r="F371" s="17" t="inlineStr">
        <is>
          <t>烟台市金豪矿山机械有限公司</t>
        </is>
      </c>
      <c r="G371" s="17" t="inlineStr">
        <is>
          <t>JH0325</t>
        </is>
      </c>
      <c r="H371" s="24">
        <f>IF($G371="","",IFERROR(VLOOKUP($G371,物料档案!$A$4:$P$1203,3,0),"※编码不在物料档案里"))</f>
        <v/>
      </c>
      <c r="I371" s="24">
        <f>IF($G371="","",IFERROR(VLOOKUP($G371,物料档案!$A$4:$P$1203,4,0),"※编码不在物料档案里"))</f>
        <v/>
      </c>
      <c r="J371" s="24">
        <f>IF($G371="","",IFERROR(VLOOKUP($G371,物料档案!$A$4:$P$1203,5,0),"※编码不在物料档案里"))</f>
        <v/>
      </c>
      <c r="K371" s="23" t="n">
        <v>4</v>
      </c>
      <c r="L371" s="31" t="n"/>
      <c r="M371" s="24">
        <f>IF($G371="","",IF($D371="A国内","CNY","TZS"))</f>
        <v/>
      </c>
      <c r="N371" s="28">
        <f>IF($G371="","",IF($D371="A国内",汇率,1))</f>
        <v/>
      </c>
      <c r="O371" s="25">
        <f>IF($G371="","",ROUND(N($K371)*N($L371),2))</f>
        <v/>
      </c>
      <c r="P371" s="26">
        <f>IF($G371="","",ROUND($O371*$N371,0))</f>
        <v/>
      </c>
      <c r="Q371" s="26">
        <f>IF($G371="","",SUMIFS($P$4:$P$2503,$E$4:$E$2503,$E371,$Z$4:$Z$2503,"正常"))</f>
        <v/>
      </c>
      <c r="R371" s="26">
        <f>IF($G371="","",SUMIFS(费用台账!$I$4:$I$503,费用台账!$C$4:$C$503,$E371,费用台账!$J$4:$J$503,"是",费用台账!$K$4:$K$503,"正常"))</f>
        <v/>
      </c>
      <c r="S371" s="28">
        <f>IF($G371="","",COUNTIFS($E$4:$E$2503,$E371,$Z$4:$Z$2503,"正常",$Y$4:$Y$2503,"待补价"))</f>
        <v/>
      </c>
      <c r="T371" s="26">
        <f>IF($G371="","",SUMIFS($P$4:$P$2503,$E$4:$E$2503,$E371,$Z$4:$Z$2503,"正常",$A$4:$A$2503,"&lt;="&amp;$A371))</f>
        <v/>
      </c>
      <c r="U371" s="26">
        <f>IF($G371="","",IF(OR($S371&gt;0,$Q371=0,$R371=0,$Z371&lt;&gt;"正常"),0,ROUND($T371/$Q371*$R371,0)-ROUND(($T371-$P371)/$Q371*$R371,0)))</f>
        <v/>
      </c>
      <c r="V371" s="26">
        <f>IF($G371="","",ROUND($P371+$U371,0))</f>
        <v/>
      </c>
      <c r="W371" s="26">
        <f>IF($G371="","",IF(N($K371)=0,0,ROUND($V371/$K371,2)))</f>
        <v/>
      </c>
      <c r="X371" s="17" t="inlineStr">
        <is>
          <t>采购入库</t>
        </is>
      </c>
      <c r="Y371" s="17" t="inlineStr">
        <is>
          <t>待补价</t>
        </is>
      </c>
      <c r="Z371" s="17" t="inlineStr">
        <is>
          <t>正常</t>
        </is>
      </c>
      <c r="AA371" s="17" t="n"/>
      <c r="AB371" s="17" t="inlineStr">
        <is>
          <t>原表第 376 行</t>
        </is>
      </c>
      <c r="AC371" s="24">
        <f>IF($G371="","",IF($H371="※编码不在物料档案里","※物料编码不在档案里",IF(N($K371)&lt;=0,"※入库数量要大于 0",IF(AND($C371&lt;&gt;"",$C371&lt;=结账锁),"※日期早于已结账截止日，不能再录",IF(AND($L371=0,$X371="正常"),"※没填单价，价格状态请选「待补价」",IF(AND($S371&gt;0,$R371&gt;0),"△本批有 "&amp;$S371&amp;" 行没单价，整批运费先挂账没摊",IF(AND($B371&lt;&gt;"",COUNTIF($B$4:$B$2503,$B371)&gt;1),"※入库单号重复","")))))))</f>
        <v/>
      </c>
    </row>
    <row r="372">
      <c r="A372" s="24">
        <f>IF($G372="","",COUNTA($G$4:$G372))</f>
        <v/>
      </c>
      <c r="B372" s="17" t="n"/>
      <c r="C372" s="30" t="n">
        <v>46102</v>
      </c>
      <c r="D372" s="17" t="inlineStr">
        <is>
          <t>A国内</t>
        </is>
      </c>
      <c r="E372" s="17" t="inlineStr">
        <is>
          <t>CBHU9041804-202603</t>
        </is>
      </c>
      <c r="F372" s="17" t="inlineStr">
        <is>
          <t>烟台市金豪矿山机械有限公司</t>
        </is>
      </c>
      <c r="G372" s="17" t="inlineStr">
        <is>
          <t>JH0326</t>
        </is>
      </c>
      <c r="H372" s="24">
        <f>IF($G372="","",IFERROR(VLOOKUP($G372,物料档案!$A$4:$P$1203,3,0),"※编码不在物料档案里"))</f>
        <v/>
      </c>
      <c r="I372" s="24">
        <f>IF($G372="","",IFERROR(VLOOKUP($G372,物料档案!$A$4:$P$1203,4,0),"※编码不在物料档案里"))</f>
        <v/>
      </c>
      <c r="J372" s="24">
        <f>IF($G372="","",IFERROR(VLOOKUP($G372,物料档案!$A$4:$P$1203,5,0),"※编码不在物料档案里"))</f>
        <v/>
      </c>
      <c r="K372" s="23" t="n">
        <v>1</v>
      </c>
      <c r="L372" s="31" t="n"/>
      <c r="M372" s="24">
        <f>IF($G372="","",IF($D372="A国内","CNY","TZS"))</f>
        <v/>
      </c>
      <c r="N372" s="28">
        <f>IF($G372="","",IF($D372="A国内",汇率,1))</f>
        <v/>
      </c>
      <c r="O372" s="25">
        <f>IF($G372="","",ROUND(N($K372)*N($L372),2))</f>
        <v/>
      </c>
      <c r="P372" s="26">
        <f>IF($G372="","",ROUND($O372*$N372,0))</f>
        <v/>
      </c>
      <c r="Q372" s="26">
        <f>IF($G372="","",SUMIFS($P$4:$P$2503,$E$4:$E$2503,$E372,$Z$4:$Z$2503,"正常"))</f>
        <v/>
      </c>
      <c r="R372" s="26">
        <f>IF($G372="","",SUMIFS(费用台账!$I$4:$I$503,费用台账!$C$4:$C$503,$E372,费用台账!$J$4:$J$503,"是",费用台账!$K$4:$K$503,"正常"))</f>
        <v/>
      </c>
      <c r="S372" s="28">
        <f>IF($G372="","",COUNTIFS($E$4:$E$2503,$E372,$Z$4:$Z$2503,"正常",$Y$4:$Y$2503,"待补价"))</f>
        <v/>
      </c>
      <c r="T372" s="26">
        <f>IF($G372="","",SUMIFS($P$4:$P$2503,$E$4:$E$2503,$E372,$Z$4:$Z$2503,"正常",$A$4:$A$2503,"&lt;="&amp;$A372))</f>
        <v/>
      </c>
      <c r="U372" s="26">
        <f>IF($G372="","",IF(OR($S372&gt;0,$Q372=0,$R372=0,$Z372&lt;&gt;"正常"),0,ROUND($T372/$Q372*$R372,0)-ROUND(($T372-$P372)/$Q372*$R372,0)))</f>
        <v/>
      </c>
      <c r="V372" s="26">
        <f>IF($G372="","",ROUND($P372+$U372,0))</f>
        <v/>
      </c>
      <c r="W372" s="26">
        <f>IF($G372="","",IF(N($K372)=0,0,ROUND($V372/$K372,2)))</f>
        <v/>
      </c>
      <c r="X372" s="17" t="inlineStr">
        <is>
          <t>采购入库</t>
        </is>
      </c>
      <c r="Y372" s="17" t="inlineStr">
        <is>
          <t>待补价</t>
        </is>
      </c>
      <c r="Z372" s="17" t="inlineStr">
        <is>
          <t>正常</t>
        </is>
      </c>
      <c r="AA372" s="17" t="n"/>
      <c r="AB372" s="17" t="inlineStr">
        <is>
          <t>原表第 377 行</t>
        </is>
      </c>
      <c r="AC372" s="24">
        <f>IF($G372="","",IF($H372="※编码不在物料档案里","※物料编码不在档案里",IF(N($K372)&lt;=0,"※入库数量要大于 0",IF(AND($C372&lt;&gt;"",$C372&lt;=结账锁),"※日期早于已结账截止日，不能再录",IF(AND($L372=0,$X372="正常"),"※没填单价，价格状态请选「待补价」",IF(AND($S372&gt;0,$R372&gt;0),"△本批有 "&amp;$S372&amp;" 行没单价，整批运费先挂账没摊",IF(AND($B372&lt;&gt;"",COUNTIF($B$4:$B$2503,$B372)&gt;1),"※入库单号重复","")))))))</f>
        <v/>
      </c>
    </row>
    <row r="373">
      <c r="A373" s="24">
        <f>IF($G373="","",COUNTA($G$4:$G373))</f>
        <v/>
      </c>
      <c r="B373" s="17" t="n"/>
      <c r="C373" s="30" t="n">
        <v>46102</v>
      </c>
      <c r="D373" s="17" t="inlineStr">
        <is>
          <t>A国内</t>
        </is>
      </c>
      <c r="E373" s="17" t="inlineStr">
        <is>
          <t>CBHU9041804-202603</t>
        </is>
      </c>
      <c r="F373" s="17" t="inlineStr">
        <is>
          <t>烟台市金豪矿山机械有限公司</t>
        </is>
      </c>
      <c r="G373" s="17" t="inlineStr">
        <is>
          <t>JH0327</t>
        </is>
      </c>
      <c r="H373" s="24">
        <f>IF($G373="","",IFERROR(VLOOKUP($G373,物料档案!$A$4:$P$1203,3,0),"※编码不在物料档案里"))</f>
        <v/>
      </c>
      <c r="I373" s="24">
        <f>IF($G373="","",IFERROR(VLOOKUP($G373,物料档案!$A$4:$P$1203,4,0),"※编码不在物料档案里"))</f>
        <v/>
      </c>
      <c r="J373" s="24">
        <f>IF($G373="","",IFERROR(VLOOKUP($G373,物料档案!$A$4:$P$1203,5,0),"※编码不在物料档案里"))</f>
        <v/>
      </c>
      <c r="K373" s="23" t="n">
        <v>3</v>
      </c>
      <c r="L373" s="31" t="n"/>
      <c r="M373" s="24">
        <f>IF($G373="","",IF($D373="A国内","CNY","TZS"))</f>
        <v/>
      </c>
      <c r="N373" s="28">
        <f>IF($G373="","",IF($D373="A国内",汇率,1))</f>
        <v/>
      </c>
      <c r="O373" s="25">
        <f>IF($G373="","",ROUND(N($K373)*N($L373),2))</f>
        <v/>
      </c>
      <c r="P373" s="26">
        <f>IF($G373="","",ROUND($O373*$N373,0))</f>
        <v/>
      </c>
      <c r="Q373" s="26">
        <f>IF($G373="","",SUMIFS($P$4:$P$2503,$E$4:$E$2503,$E373,$Z$4:$Z$2503,"正常"))</f>
        <v/>
      </c>
      <c r="R373" s="26">
        <f>IF($G373="","",SUMIFS(费用台账!$I$4:$I$503,费用台账!$C$4:$C$503,$E373,费用台账!$J$4:$J$503,"是",费用台账!$K$4:$K$503,"正常"))</f>
        <v/>
      </c>
      <c r="S373" s="28">
        <f>IF($G373="","",COUNTIFS($E$4:$E$2503,$E373,$Z$4:$Z$2503,"正常",$Y$4:$Y$2503,"待补价"))</f>
        <v/>
      </c>
      <c r="T373" s="26">
        <f>IF($G373="","",SUMIFS($P$4:$P$2503,$E$4:$E$2503,$E373,$Z$4:$Z$2503,"正常",$A$4:$A$2503,"&lt;="&amp;$A373))</f>
        <v/>
      </c>
      <c r="U373" s="26">
        <f>IF($G373="","",IF(OR($S373&gt;0,$Q373=0,$R373=0,$Z373&lt;&gt;"正常"),0,ROUND($T373/$Q373*$R373,0)-ROUND(($T373-$P373)/$Q373*$R373,0)))</f>
        <v/>
      </c>
      <c r="V373" s="26">
        <f>IF($G373="","",ROUND($P373+$U373,0))</f>
        <v/>
      </c>
      <c r="W373" s="26">
        <f>IF($G373="","",IF(N($K373)=0,0,ROUND($V373/$K373,2)))</f>
        <v/>
      </c>
      <c r="X373" s="17" t="inlineStr">
        <is>
          <t>采购入库</t>
        </is>
      </c>
      <c r="Y373" s="17" t="inlineStr">
        <is>
          <t>待补价</t>
        </is>
      </c>
      <c r="Z373" s="17" t="inlineStr">
        <is>
          <t>正常</t>
        </is>
      </c>
      <c r="AA373" s="17" t="n"/>
      <c r="AB373" s="17" t="inlineStr">
        <is>
          <t>原表第 378 行</t>
        </is>
      </c>
      <c r="AC373" s="24">
        <f>IF($G373="","",IF($H373="※编码不在物料档案里","※物料编码不在档案里",IF(N($K373)&lt;=0,"※入库数量要大于 0",IF(AND($C373&lt;&gt;"",$C373&lt;=结账锁),"※日期早于已结账截止日，不能再录",IF(AND($L373=0,$X373="正常"),"※没填单价，价格状态请选「待补价」",IF(AND($S373&gt;0,$R373&gt;0),"△本批有 "&amp;$S373&amp;" 行没单价，整批运费先挂账没摊",IF(AND($B373&lt;&gt;"",COUNTIF($B$4:$B$2503,$B373)&gt;1),"※入库单号重复","")))))))</f>
        <v/>
      </c>
    </row>
    <row r="374">
      <c r="A374" s="24">
        <f>IF($G374="","",COUNTA($G$4:$G374))</f>
        <v/>
      </c>
      <c r="B374" s="17" t="n"/>
      <c r="C374" s="30" t="n">
        <v>46102</v>
      </c>
      <c r="D374" s="17" t="inlineStr">
        <is>
          <t>A国内</t>
        </is>
      </c>
      <c r="E374" s="17" t="inlineStr">
        <is>
          <t>CBHU9041804-202603</t>
        </is>
      </c>
      <c r="F374" s="17" t="inlineStr">
        <is>
          <t>烟台市金豪矿山机械有限公司</t>
        </is>
      </c>
      <c r="G374" s="17" t="inlineStr">
        <is>
          <t>JH0328</t>
        </is>
      </c>
      <c r="H374" s="24">
        <f>IF($G374="","",IFERROR(VLOOKUP($G374,物料档案!$A$4:$P$1203,3,0),"※编码不在物料档案里"))</f>
        <v/>
      </c>
      <c r="I374" s="24">
        <f>IF($G374="","",IFERROR(VLOOKUP($G374,物料档案!$A$4:$P$1203,4,0),"※编码不在物料档案里"))</f>
        <v/>
      </c>
      <c r="J374" s="24">
        <f>IF($G374="","",IFERROR(VLOOKUP($G374,物料档案!$A$4:$P$1203,5,0),"※编码不在物料档案里"))</f>
        <v/>
      </c>
      <c r="K374" s="23" t="n">
        <v>3</v>
      </c>
      <c r="L374" s="31" t="n"/>
      <c r="M374" s="24">
        <f>IF($G374="","",IF($D374="A国内","CNY","TZS"))</f>
        <v/>
      </c>
      <c r="N374" s="28">
        <f>IF($G374="","",IF($D374="A国内",汇率,1))</f>
        <v/>
      </c>
      <c r="O374" s="25">
        <f>IF($G374="","",ROUND(N($K374)*N($L374),2))</f>
        <v/>
      </c>
      <c r="P374" s="26">
        <f>IF($G374="","",ROUND($O374*$N374,0))</f>
        <v/>
      </c>
      <c r="Q374" s="26">
        <f>IF($G374="","",SUMIFS($P$4:$P$2503,$E$4:$E$2503,$E374,$Z$4:$Z$2503,"正常"))</f>
        <v/>
      </c>
      <c r="R374" s="26">
        <f>IF($G374="","",SUMIFS(费用台账!$I$4:$I$503,费用台账!$C$4:$C$503,$E374,费用台账!$J$4:$J$503,"是",费用台账!$K$4:$K$503,"正常"))</f>
        <v/>
      </c>
      <c r="S374" s="28">
        <f>IF($G374="","",COUNTIFS($E$4:$E$2503,$E374,$Z$4:$Z$2503,"正常",$Y$4:$Y$2503,"待补价"))</f>
        <v/>
      </c>
      <c r="T374" s="26">
        <f>IF($G374="","",SUMIFS($P$4:$P$2503,$E$4:$E$2503,$E374,$Z$4:$Z$2503,"正常",$A$4:$A$2503,"&lt;="&amp;$A374))</f>
        <v/>
      </c>
      <c r="U374" s="26">
        <f>IF($G374="","",IF(OR($S374&gt;0,$Q374=0,$R374=0,$Z374&lt;&gt;"正常"),0,ROUND($T374/$Q374*$R374,0)-ROUND(($T374-$P374)/$Q374*$R374,0)))</f>
        <v/>
      </c>
      <c r="V374" s="26">
        <f>IF($G374="","",ROUND($P374+$U374,0))</f>
        <v/>
      </c>
      <c r="W374" s="26">
        <f>IF($G374="","",IF(N($K374)=0,0,ROUND($V374/$K374,2)))</f>
        <v/>
      </c>
      <c r="X374" s="17" t="inlineStr">
        <is>
          <t>采购入库</t>
        </is>
      </c>
      <c r="Y374" s="17" t="inlineStr">
        <is>
          <t>待补价</t>
        </is>
      </c>
      <c r="Z374" s="17" t="inlineStr">
        <is>
          <t>正常</t>
        </is>
      </c>
      <c r="AA374" s="17" t="n"/>
      <c r="AB374" s="17" t="inlineStr">
        <is>
          <t>原表第 379 行</t>
        </is>
      </c>
      <c r="AC374" s="24">
        <f>IF($G374="","",IF($H374="※编码不在物料档案里","※物料编码不在档案里",IF(N($K374)&lt;=0,"※入库数量要大于 0",IF(AND($C374&lt;&gt;"",$C374&lt;=结账锁),"※日期早于已结账截止日，不能再录",IF(AND($L374=0,$X374="正常"),"※没填单价，价格状态请选「待补价」",IF(AND($S374&gt;0,$R374&gt;0),"△本批有 "&amp;$S374&amp;" 行没单价，整批运费先挂账没摊",IF(AND($B374&lt;&gt;"",COUNTIF($B$4:$B$2503,$B374)&gt;1),"※入库单号重复","")))))))</f>
        <v/>
      </c>
    </row>
    <row r="375">
      <c r="A375" s="24">
        <f>IF($G375="","",COUNTA($G$4:$G375))</f>
        <v/>
      </c>
      <c r="B375" s="17" t="n"/>
      <c r="C375" s="30" t="n">
        <v>46102</v>
      </c>
      <c r="D375" s="17" t="inlineStr">
        <is>
          <t>A国内</t>
        </is>
      </c>
      <c r="E375" s="17" t="inlineStr">
        <is>
          <t>CBHU9041804-202603</t>
        </is>
      </c>
      <c r="F375" s="17" t="inlineStr">
        <is>
          <t>烟台市金豪矿山机械有限公司</t>
        </is>
      </c>
      <c r="G375" s="17" t="inlineStr">
        <is>
          <t>JH0329</t>
        </is>
      </c>
      <c r="H375" s="24">
        <f>IF($G375="","",IFERROR(VLOOKUP($G375,物料档案!$A$4:$P$1203,3,0),"※编码不在物料档案里"))</f>
        <v/>
      </c>
      <c r="I375" s="24">
        <f>IF($G375="","",IFERROR(VLOOKUP($G375,物料档案!$A$4:$P$1203,4,0),"※编码不在物料档案里"))</f>
        <v/>
      </c>
      <c r="J375" s="24">
        <f>IF($G375="","",IFERROR(VLOOKUP($G375,物料档案!$A$4:$P$1203,5,0),"※编码不在物料档案里"))</f>
        <v/>
      </c>
      <c r="K375" s="23" t="n">
        <v>1</v>
      </c>
      <c r="L375" s="31" t="n"/>
      <c r="M375" s="24">
        <f>IF($G375="","",IF($D375="A国内","CNY","TZS"))</f>
        <v/>
      </c>
      <c r="N375" s="28">
        <f>IF($G375="","",IF($D375="A国内",汇率,1))</f>
        <v/>
      </c>
      <c r="O375" s="25">
        <f>IF($G375="","",ROUND(N($K375)*N($L375),2))</f>
        <v/>
      </c>
      <c r="P375" s="26">
        <f>IF($G375="","",ROUND($O375*$N375,0))</f>
        <v/>
      </c>
      <c r="Q375" s="26">
        <f>IF($G375="","",SUMIFS($P$4:$P$2503,$E$4:$E$2503,$E375,$Z$4:$Z$2503,"正常"))</f>
        <v/>
      </c>
      <c r="R375" s="26">
        <f>IF($G375="","",SUMIFS(费用台账!$I$4:$I$503,费用台账!$C$4:$C$503,$E375,费用台账!$J$4:$J$503,"是",费用台账!$K$4:$K$503,"正常"))</f>
        <v/>
      </c>
      <c r="S375" s="28">
        <f>IF($G375="","",COUNTIFS($E$4:$E$2503,$E375,$Z$4:$Z$2503,"正常",$Y$4:$Y$2503,"待补价"))</f>
        <v/>
      </c>
      <c r="T375" s="26">
        <f>IF($G375="","",SUMIFS($P$4:$P$2503,$E$4:$E$2503,$E375,$Z$4:$Z$2503,"正常",$A$4:$A$2503,"&lt;="&amp;$A375))</f>
        <v/>
      </c>
      <c r="U375" s="26">
        <f>IF($G375="","",IF(OR($S375&gt;0,$Q375=0,$R375=0,$Z375&lt;&gt;"正常"),0,ROUND($T375/$Q375*$R375,0)-ROUND(($T375-$P375)/$Q375*$R375,0)))</f>
        <v/>
      </c>
      <c r="V375" s="26">
        <f>IF($G375="","",ROUND($P375+$U375,0))</f>
        <v/>
      </c>
      <c r="W375" s="26">
        <f>IF($G375="","",IF(N($K375)=0,0,ROUND($V375/$K375,2)))</f>
        <v/>
      </c>
      <c r="X375" s="17" t="inlineStr">
        <is>
          <t>采购入库</t>
        </is>
      </c>
      <c r="Y375" s="17" t="inlineStr">
        <is>
          <t>待补价</t>
        </is>
      </c>
      <c r="Z375" s="17" t="inlineStr">
        <is>
          <t>正常</t>
        </is>
      </c>
      <c r="AA375" s="17" t="n"/>
      <c r="AB375" s="17" t="inlineStr">
        <is>
          <t>原表第 380 行</t>
        </is>
      </c>
      <c r="AC375" s="24">
        <f>IF($G375="","",IF($H375="※编码不在物料档案里","※物料编码不在档案里",IF(N($K375)&lt;=0,"※入库数量要大于 0",IF(AND($C375&lt;&gt;"",$C375&lt;=结账锁),"※日期早于已结账截止日，不能再录",IF(AND($L375=0,$X375="正常"),"※没填单价，价格状态请选「待补价」",IF(AND($S375&gt;0,$R375&gt;0),"△本批有 "&amp;$S375&amp;" 行没单价，整批运费先挂账没摊",IF(AND($B375&lt;&gt;"",COUNTIF($B$4:$B$2503,$B375)&gt;1),"※入库单号重复","")))))))</f>
        <v/>
      </c>
    </row>
    <row r="376">
      <c r="A376" s="24">
        <f>IF($G376="","",COUNTA($G$4:$G376))</f>
        <v/>
      </c>
      <c r="B376" s="17" t="n"/>
      <c r="C376" s="30" t="n">
        <v>46102</v>
      </c>
      <c r="D376" s="17" t="inlineStr">
        <is>
          <t>A国内</t>
        </is>
      </c>
      <c r="E376" s="17" t="inlineStr">
        <is>
          <t>CBHU9041804-202603</t>
        </is>
      </c>
      <c r="F376" s="17" t="inlineStr">
        <is>
          <t>烟台市金豪矿山机械有限公司</t>
        </is>
      </c>
      <c r="G376" s="17" t="inlineStr">
        <is>
          <t>JH0330</t>
        </is>
      </c>
      <c r="H376" s="24">
        <f>IF($G376="","",IFERROR(VLOOKUP($G376,物料档案!$A$4:$P$1203,3,0),"※编码不在物料档案里"))</f>
        <v/>
      </c>
      <c r="I376" s="24">
        <f>IF($G376="","",IFERROR(VLOOKUP($G376,物料档案!$A$4:$P$1203,4,0),"※编码不在物料档案里"))</f>
        <v/>
      </c>
      <c r="J376" s="24">
        <f>IF($G376="","",IFERROR(VLOOKUP($G376,物料档案!$A$4:$P$1203,5,0),"※编码不在物料档案里"))</f>
        <v/>
      </c>
      <c r="K376" s="23" t="n">
        <v>8</v>
      </c>
      <c r="L376" s="31" t="n"/>
      <c r="M376" s="24">
        <f>IF($G376="","",IF($D376="A国内","CNY","TZS"))</f>
        <v/>
      </c>
      <c r="N376" s="28">
        <f>IF($G376="","",IF($D376="A国内",汇率,1))</f>
        <v/>
      </c>
      <c r="O376" s="25">
        <f>IF($G376="","",ROUND(N($K376)*N($L376),2))</f>
        <v/>
      </c>
      <c r="P376" s="26">
        <f>IF($G376="","",ROUND($O376*$N376,0))</f>
        <v/>
      </c>
      <c r="Q376" s="26">
        <f>IF($G376="","",SUMIFS($P$4:$P$2503,$E$4:$E$2503,$E376,$Z$4:$Z$2503,"正常"))</f>
        <v/>
      </c>
      <c r="R376" s="26">
        <f>IF($G376="","",SUMIFS(费用台账!$I$4:$I$503,费用台账!$C$4:$C$503,$E376,费用台账!$J$4:$J$503,"是",费用台账!$K$4:$K$503,"正常"))</f>
        <v/>
      </c>
      <c r="S376" s="28">
        <f>IF($G376="","",COUNTIFS($E$4:$E$2503,$E376,$Z$4:$Z$2503,"正常",$Y$4:$Y$2503,"待补价"))</f>
        <v/>
      </c>
      <c r="T376" s="26">
        <f>IF($G376="","",SUMIFS($P$4:$P$2503,$E$4:$E$2503,$E376,$Z$4:$Z$2503,"正常",$A$4:$A$2503,"&lt;="&amp;$A376))</f>
        <v/>
      </c>
      <c r="U376" s="26">
        <f>IF($G376="","",IF(OR($S376&gt;0,$Q376=0,$R376=0,$Z376&lt;&gt;"正常"),0,ROUND($T376/$Q376*$R376,0)-ROUND(($T376-$P376)/$Q376*$R376,0)))</f>
        <v/>
      </c>
      <c r="V376" s="26">
        <f>IF($G376="","",ROUND($P376+$U376,0))</f>
        <v/>
      </c>
      <c r="W376" s="26">
        <f>IF($G376="","",IF(N($K376)=0,0,ROUND($V376/$K376,2)))</f>
        <v/>
      </c>
      <c r="X376" s="17" t="inlineStr">
        <is>
          <t>采购入库</t>
        </is>
      </c>
      <c r="Y376" s="17" t="inlineStr">
        <is>
          <t>待补价</t>
        </is>
      </c>
      <c r="Z376" s="17" t="inlineStr">
        <is>
          <t>正常</t>
        </is>
      </c>
      <c r="AA376" s="17" t="n"/>
      <c r="AB376" s="17" t="inlineStr">
        <is>
          <t>原表第 381 行</t>
        </is>
      </c>
      <c r="AC376" s="24">
        <f>IF($G376="","",IF($H376="※编码不在物料档案里","※物料编码不在档案里",IF(N($K376)&lt;=0,"※入库数量要大于 0",IF(AND($C376&lt;&gt;"",$C376&lt;=结账锁),"※日期早于已结账截止日，不能再录",IF(AND($L376=0,$X376="正常"),"※没填单价，价格状态请选「待补价」",IF(AND($S376&gt;0,$R376&gt;0),"△本批有 "&amp;$S376&amp;" 行没单价，整批运费先挂账没摊",IF(AND($B376&lt;&gt;"",COUNTIF($B$4:$B$2503,$B376)&gt;1),"※入库单号重复","")))))))</f>
        <v/>
      </c>
    </row>
    <row r="377">
      <c r="A377" s="24">
        <f>IF($G377="","",COUNTA($G$4:$G377))</f>
        <v/>
      </c>
      <c r="B377" s="17" t="n"/>
      <c r="C377" s="30" t="n">
        <v>46102</v>
      </c>
      <c r="D377" s="17" t="inlineStr">
        <is>
          <t>A国内</t>
        </is>
      </c>
      <c r="E377" s="17" t="inlineStr">
        <is>
          <t>CBHU9041804-202603</t>
        </is>
      </c>
      <c r="F377" s="17" t="inlineStr">
        <is>
          <t>烟台市金豪矿山机械有限公司</t>
        </is>
      </c>
      <c r="G377" s="17" t="inlineStr">
        <is>
          <t>JH0331</t>
        </is>
      </c>
      <c r="H377" s="24">
        <f>IF($G377="","",IFERROR(VLOOKUP($G377,物料档案!$A$4:$P$1203,3,0),"※编码不在物料档案里"))</f>
        <v/>
      </c>
      <c r="I377" s="24">
        <f>IF($G377="","",IFERROR(VLOOKUP($G377,物料档案!$A$4:$P$1203,4,0),"※编码不在物料档案里"))</f>
        <v/>
      </c>
      <c r="J377" s="24">
        <f>IF($G377="","",IFERROR(VLOOKUP($G377,物料档案!$A$4:$P$1203,5,0),"※编码不在物料档案里"))</f>
        <v/>
      </c>
      <c r="K377" s="23" t="n">
        <v>4</v>
      </c>
      <c r="L377" s="31" t="n"/>
      <c r="M377" s="24">
        <f>IF($G377="","",IF($D377="A国内","CNY","TZS"))</f>
        <v/>
      </c>
      <c r="N377" s="28">
        <f>IF($G377="","",IF($D377="A国内",汇率,1))</f>
        <v/>
      </c>
      <c r="O377" s="25">
        <f>IF($G377="","",ROUND(N($K377)*N($L377),2))</f>
        <v/>
      </c>
      <c r="P377" s="26">
        <f>IF($G377="","",ROUND($O377*$N377,0))</f>
        <v/>
      </c>
      <c r="Q377" s="26">
        <f>IF($G377="","",SUMIFS($P$4:$P$2503,$E$4:$E$2503,$E377,$Z$4:$Z$2503,"正常"))</f>
        <v/>
      </c>
      <c r="R377" s="26">
        <f>IF($G377="","",SUMIFS(费用台账!$I$4:$I$503,费用台账!$C$4:$C$503,$E377,费用台账!$J$4:$J$503,"是",费用台账!$K$4:$K$503,"正常"))</f>
        <v/>
      </c>
      <c r="S377" s="28">
        <f>IF($G377="","",COUNTIFS($E$4:$E$2503,$E377,$Z$4:$Z$2503,"正常",$Y$4:$Y$2503,"待补价"))</f>
        <v/>
      </c>
      <c r="T377" s="26">
        <f>IF($G377="","",SUMIFS($P$4:$P$2503,$E$4:$E$2503,$E377,$Z$4:$Z$2503,"正常",$A$4:$A$2503,"&lt;="&amp;$A377))</f>
        <v/>
      </c>
      <c r="U377" s="26">
        <f>IF($G377="","",IF(OR($S377&gt;0,$Q377=0,$R377=0,$Z377&lt;&gt;"正常"),0,ROUND($T377/$Q377*$R377,0)-ROUND(($T377-$P377)/$Q377*$R377,0)))</f>
        <v/>
      </c>
      <c r="V377" s="26">
        <f>IF($G377="","",ROUND($P377+$U377,0))</f>
        <v/>
      </c>
      <c r="W377" s="26">
        <f>IF($G377="","",IF(N($K377)=0,0,ROUND($V377/$K377,2)))</f>
        <v/>
      </c>
      <c r="X377" s="17" t="inlineStr">
        <is>
          <t>采购入库</t>
        </is>
      </c>
      <c r="Y377" s="17" t="inlineStr">
        <is>
          <t>待补价</t>
        </is>
      </c>
      <c r="Z377" s="17" t="inlineStr">
        <is>
          <t>正常</t>
        </is>
      </c>
      <c r="AA377" s="17" t="n"/>
      <c r="AB377" s="17" t="inlineStr">
        <is>
          <t>原表第 382 行</t>
        </is>
      </c>
      <c r="AC377" s="24">
        <f>IF($G377="","",IF($H377="※编码不在物料档案里","※物料编码不在档案里",IF(N($K377)&lt;=0,"※入库数量要大于 0",IF(AND($C377&lt;&gt;"",$C377&lt;=结账锁),"※日期早于已结账截止日，不能再录",IF(AND($L377=0,$X377="正常"),"※没填单价，价格状态请选「待补价」",IF(AND($S377&gt;0,$R377&gt;0),"△本批有 "&amp;$S377&amp;" 行没单价，整批运费先挂账没摊",IF(AND($B377&lt;&gt;"",COUNTIF($B$4:$B$2503,$B377)&gt;1),"※入库单号重复","")))))))</f>
        <v/>
      </c>
    </row>
    <row r="378">
      <c r="A378" s="24">
        <f>IF($G378="","",COUNTA($G$4:$G378))</f>
        <v/>
      </c>
      <c r="B378" s="17" t="n"/>
      <c r="C378" s="30" t="n">
        <v>46102</v>
      </c>
      <c r="D378" s="17" t="inlineStr">
        <is>
          <t>A国内</t>
        </is>
      </c>
      <c r="E378" s="17" t="inlineStr">
        <is>
          <t>CBHU9041804-202603</t>
        </is>
      </c>
      <c r="F378" s="17" t="inlineStr">
        <is>
          <t>烟台市金豪矿山机械有限公司</t>
        </is>
      </c>
      <c r="G378" s="17" t="inlineStr">
        <is>
          <t>JH0332</t>
        </is>
      </c>
      <c r="H378" s="24">
        <f>IF($G378="","",IFERROR(VLOOKUP($G378,物料档案!$A$4:$P$1203,3,0),"※编码不在物料档案里"))</f>
        <v/>
      </c>
      <c r="I378" s="24">
        <f>IF($G378="","",IFERROR(VLOOKUP($G378,物料档案!$A$4:$P$1203,4,0),"※编码不在物料档案里"))</f>
        <v/>
      </c>
      <c r="J378" s="24">
        <f>IF($G378="","",IFERROR(VLOOKUP($G378,物料档案!$A$4:$P$1203,5,0),"※编码不在物料档案里"))</f>
        <v/>
      </c>
      <c r="K378" s="23" t="n">
        <v>50</v>
      </c>
      <c r="L378" s="31" t="n"/>
      <c r="M378" s="24">
        <f>IF($G378="","",IF($D378="A国内","CNY","TZS"))</f>
        <v/>
      </c>
      <c r="N378" s="28">
        <f>IF($G378="","",IF($D378="A国内",汇率,1))</f>
        <v/>
      </c>
      <c r="O378" s="25">
        <f>IF($G378="","",ROUND(N($K378)*N($L378),2))</f>
        <v/>
      </c>
      <c r="P378" s="26">
        <f>IF($G378="","",ROUND($O378*$N378,0))</f>
        <v/>
      </c>
      <c r="Q378" s="26">
        <f>IF($G378="","",SUMIFS($P$4:$P$2503,$E$4:$E$2503,$E378,$Z$4:$Z$2503,"正常"))</f>
        <v/>
      </c>
      <c r="R378" s="26">
        <f>IF($G378="","",SUMIFS(费用台账!$I$4:$I$503,费用台账!$C$4:$C$503,$E378,费用台账!$J$4:$J$503,"是",费用台账!$K$4:$K$503,"正常"))</f>
        <v/>
      </c>
      <c r="S378" s="28">
        <f>IF($G378="","",COUNTIFS($E$4:$E$2503,$E378,$Z$4:$Z$2503,"正常",$Y$4:$Y$2503,"待补价"))</f>
        <v/>
      </c>
      <c r="T378" s="26">
        <f>IF($G378="","",SUMIFS($P$4:$P$2503,$E$4:$E$2503,$E378,$Z$4:$Z$2503,"正常",$A$4:$A$2503,"&lt;="&amp;$A378))</f>
        <v/>
      </c>
      <c r="U378" s="26">
        <f>IF($G378="","",IF(OR($S378&gt;0,$Q378=0,$R378=0,$Z378&lt;&gt;"正常"),0,ROUND($T378/$Q378*$R378,0)-ROUND(($T378-$P378)/$Q378*$R378,0)))</f>
        <v/>
      </c>
      <c r="V378" s="26">
        <f>IF($G378="","",ROUND($P378+$U378,0))</f>
        <v/>
      </c>
      <c r="W378" s="26">
        <f>IF($G378="","",IF(N($K378)=0,0,ROUND($V378/$K378,2)))</f>
        <v/>
      </c>
      <c r="X378" s="17" t="inlineStr">
        <is>
          <t>采购入库</t>
        </is>
      </c>
      <c r="Y378" s="17" t="inlineStr">
        <is>
          <t>待补价</t>
        </is>
      </c>
      <c r="Z378" s="17" t="inlineStr">
        <is>
          <t>正常</t>
        </is>
      </c>
      <c r="AA378" s="17" t="n"/>
      <c r="AB378" s="17" t="inlineStr">
        <is>
          <t>原表第 383 行</t>
        </is>
      </c>
      <c r="AC378" s="24">
        <f>IF($G378="","",IF($H378="※编码不在物料档案里","※物料编码不在档案里",IF(N($K378)&lt;=0,"※入库数量要大于 0",IF(AND($C378&lt;&gt;"",$C378&lt;=结账锁),"※日期早于已结账截止日，不能再录",IF(AND($L378=0,$X378="正常"),"※没填单价，价格状态请选「待补价」",IF(AND($S378&gt;0,$R378&gt;0),"△本批有 "&amp;$S378&amp;" 行没单价，整批运费先挂账没摊",IF(AND($B378&lt;&gt;"",COUNTIF($B$4:$B$2503,$B378)&gt;1),"※入库单号重复","")))))))</f>
        <v/>
      </c>
    </row>
    <row r="379">
      <c r="A379" s="24">
        <f>IF($G379="","",COUNTA($G$4:$G379))</f>
        <v/>
      </c>
      <c r="B379" s="17" t="n"/>
      <c r="C379" s="30" t="n">
        <v>46102</v>
      </c>
      <c r="D379" s="17" t="inlineStr">
        <is>
          <t>A国内</t>
        </is>
      </c>
      <c r="E379" s="17" t="inlineStr">
        <is>
          <t>CBHU9041804-202603</t>
        </is>
      </c>
      <c r="F379" s="17" t="inlineStr">
        <is>
          <t>烟台市金豪矿山机械有限公司</t>
        </is>
      </c>
      <c r="G379" s="17" t="inlineStr">
        <is>
          <t>JH0333</t>
        </is>
      </c>
      <c r="H379" s="24">
        <f>IF($G379="","",IFERROR(VLOOKUP($G379,物料档案!$A$4:$P$1203,3,0),"※编码不在物料档案里"))</f>
        <v/>
      </c>
      <c r="I379" s="24">
        <f>IF($G379="","",IFERROR(VLOOKUP($G379,物料档案!$A$4:$P$1203,4,0),"※编码不在物料档案里"))</f>
        <v/>
      </c>
      <c r="J379" s="24">
        <f>IF($G379="","",IFERROR(VLOOKUP($G379,物料档案!$A$4:$P$1203,5,0),"※编码不在物料档案里"))</f>
        <v/>
      </c>
      <c r="K379" s="23" t="n">
        <v>100</v>
      </c>
      <c r="L379" s="31" t="n"/>
      <c r="M379" s="24">
        <f>IF($G379="","",IF($D379="A国内","CNY","TZS"))</f>
        <v/>
      </c>
      <c r="N379" s="28">
        <f>IF($G379="","",IF($D379="A国内",汇率,1))</f>
        <v/>
      </c>
      <c r="O379" s="25">
        <f>IF($G379="","",ROUND(N($K379)*N($L379),2))</f>
        <v/>
      </c>
      <c r="P379" s="26">
        <f>IF($G379="","",ROUND($O379*$N379,0))</f>
        <v/>
      </c>
      <c r="Q379" s="26">
        <f>IF($G379="","",SUMIFS($P$4:$P$2503,$E$4:$E$2503,$E379,$Z$4:$Z$2503,"正常"))</f>
        <v/>
      </c>
      <c r="R379" s="26">
        <f>IF($G379="","",SUMIFS(费用台账!$I$4:$I$503,费用台账!$C$4:$C$503,$E379,费用台账!$J$4:$J$503,"是",费用台账!$K$4:$K$503,"正常"))</f>
        <v/>
      </c>
      <c r="S379" s="28">
        <f>IF($G379="","",COUNTIFS($E$4:$E$2503,$E379,$Z$4:$Z$2503,"正常",$Y$4:$Y$2503,"待补价"))</f>
        <v/>
      </c>
      <c r="T379" s="26">
        <f>IF($G379="","",SUMIFS($P$4:$P$2503,$E$4:$E$2503,$E379,$Z$4:$Z$2503,"正常",$A$4:$A$2503,"&lt;="&amp;$A379))</f>
        <v/>
      </c>
      <c r="U379" s="26">
        <f>IF($G379="","",IF(OR($S379&gt;0,$Q379=0,$R379=0,$Z379&lt;&gt;"正常"),0,ROUND($T379/$Q379*$R379,0)-ROUND(($T379-$P379)/$Q379*$R379,0)))</f>
        <v/>
      </c>
      <c r="V379" s="26">
        <f>IF($G379="","",ROUND($P379+$U379,0))</f>
        <v/>
      </c>
      <c r="W379" s="26">
        <f>IF($G379="","",IF(N($K379)=0,0,ROUND($V379/$K379,2)))</f>
        <v/>
      </c>
      <c r="X379" s="17" t="inlineStr">
        <is>
          <t>采购入库</t>
        </is>
      </c>
      <c r="Y379" s="17" t="inlineStr">
        <is>
          <t>待补价</t>
        </is>
      </c>
      <c r="Z379" s="17" t="inlineStr">
        <is>
          <t>正常</t>
        </is>
      </c>
      <c r="AA379" s="17" t="n"/>
      <c r="AB379" s="17" t="inlineStr">
        <is>
          <t>原表第 384 行</t>
        </is>
      </c>
      <c r="AC379" s="24">
        <f>IF($G379="","",IF($H379="※编码不在物料档案里","※物料编码不在档案里",IF(N($K379)&lt;=0,"※入库数量要大于 0",IF(AND($C379&lt;&gt;"",$C379&lt;=结账锁),"※日期早于已结账截止日，不能再录",IF(AND($L379=0,$X379="正常"),"※没填单价，价格状态请选「待补价」",IF(AND($S379&gt;0,$R379&gt;0),"△本批有 "&amp;$S379&amp;" 行没单价，整批运费先挂账没摊",IF(AND($B379&lt;&gt;"",COUNTIF($B$4:$B$2503,$B379)&gt;1),"※入库单号重复","")))))))</f>
        <v/>
      </c>
    </row>
    <row r="380">
      <c r="A380" s="24">
        <f>IF($G380="","",COUNTA($G$4:$G380))</f>
        <v/>
      </c>
      <c r="B380" s="17" t="n"/>
      <c r="C380" s="30" t="n">
        <v>46102</v>
      </c>
      <c r="D380" s="17" t="inlineStr">
        <is>
          <t>A国内</t>
        </is>
      </c>
      <c r="E380" s="17" t="inlineStr">
        <is>
          <t>CBHU9041804-202603</t>
        </is>
      </c>
      <c r="F380" s="17" t="inlineStr">
        <is>
          <t>烟台市金豪矿山机械有限公司</t>
        </is>
      </c>
      <c r="G380" s="17" t="inlineStr">
        <is>
          <t>JH0334</t>
        </is>
      </c>
      <c r="H380" s="24">
        <f>IF($G380="","",IFERROR(VLOOKUP($G380,物料档案!$A$4:$P$1203,3,0),"※编码不在物料档案里"))</f>
        <v/>
      </c>
      <c r="I380" s="24">
        <f>IF($G380="","",IFERROR(VLOOKUP($G380,物料档案!$A$4:$P$1203,4,0),"※编码不在物料档案里"))</f>
        <v/>
      </c>
      <c r="J380" s="24">
        <f>IF($G380="","",IFERROR(VLOOKUP($G380,物料档案!$A$4:$P$1203,5,0),"※编码不在物料档案里"))</f>
        <v/>
      </c>
      <c r="K380" s="23" t="n">
        <v>10</v>
      </c>
      <c r="L380" s="31" t="n">
        <v>1.6</v>
      </c>
      <c r="M380" s="24">
        <f>IF($G380="","",IF($D380="A国内","CNY","TZS"))</f>
        <v/>
      </c>
      <c r="N380" s="28">
        <f>IF($G380="","",IF($D380="A国内",汇率,1))</f>
        <v/>
      </c>
      <c r="O380" s="25">
        <f>IF($G380="","",ROUND(N($K380)*N($L380),2))</f>
        <v/>
      </c>
      <c r="P380" s="26">
        <f>IF($G380="","",ROUND($O380*$N380,0))</f>
        <v/>
      </c>
      <c r="Q380" s="26">
        <f>IF($G380="","",SUMIFS($P$4:$P$2503,$E$4:$E$2503,$E380,$Z$4:$Z$2503,"正常"))</f>
        <v/>
      </c>
      <c r="R380" s="26">
        <f>IF($G380="","",SUMIFS(费用台账!$I$4:$I$503,费用台账!$C$4:$C$503,$E380,费用台账!$J$4:$J$503,"是",费用台账!$K$4:$K$503,"正常"))</f>
        <v/>
      </c>
      <c r="S380" s="28">
        <f>IF($G380="","",COUNTIFS($E$4:$E$2503,$E380,$Z$4:$Z$2503,"正常",$Y$4:$Y$2503,"待补价"))</f>
        <v/>
      </c>
      <c r="T380" s="26">
        <f>IF($G380="","",SUMIFS($P$4:$P$2503,$E$4:$E$2503,$E380,$Z$4:$Z$2503,"正常",$A$4:$A$2503,"&lt;="&amp;$A380))</f>
        <v/>
      </c>
      <c r="U380" s="26">
        <f>IF($G380="","",IF(OR($S380&gt;0,$Q380=0,$R380=0,$Z380&lt;&gt;"正常"),0,ROUND($T380/$Q380*$R380,0)-ROUND(($T380-$P380)/$Q380*$R380,0)))</f>
        <v/>
      </c>
      <c r="V380" s="26">
        <f>IF($G380="","",ROUND($P380+$U380,0))</f>
        <v/>
      </c>
      <c r="W380" s="26">
        <f>IF($G380="","",IF(N($K380)=0,0,ROUND($V380/$K380,2)))</f>
        <v/>
      </c>
      <c r="X380" s="17" t="inlineStr">
        <is>
          <t>采购入库</t>
        </is>
      </c>
      <c r="Y380" s="17" t="inlineStr">
        <is>
          <t>正常</t>
        </is>
      </c>
      <c r="Z380" s="17" t="inlineStr">
        <is>
          <t>正常</t>
        </is>
      </c>
      <c r="AA380" s="17" t="n"/>
      <c r="AB380" s="17" t="inlineStr">
        <is>
          <t>原表第 385 行</t>
        </is>
      </c>
      <c r="AC380" s="24">
        <f>IF($G380="","",IF($H380="※编码不在物料档案里","※物料编码不在档案里",IF(N($K380)&lt;=0,"※入库数量要大于 0",IF(AND($C380&lt;&gt;"",$C380&lt;=结账锁),"※日期早于已结账截止日，不能再录",IF(AND($L380=0,$X380="正常"),"※没填单价，价格状态请选「待补价」",IF(AND($S380&gt;0,$R380&gt;0),"△本批有 "&amp;$S380&amp;" 行没单价，整批运费先挂账没摊",IF(AND($B380&lt;&gt;"",COUNTIF($B$4:$B$2503,$B380)&gt;1),"※入库单号重复","")))))))</f>
        <v/>
      </c>
    </row>
    <row r="381">
      <c r="A381" s="24">
        <f>IF($G381="","",COUNTA($G$4:$G381))</f>
        <v/>
      </c>
      <c r="B381" s="17" t="n"/>
      <c r="C381" s="30" t="n">
        <v>46102</v>
      </c>
      <c r="D381" s="17" t="inlineStr">
        <is>
          <t>A国内</t>
        </is>
      </c>
      <c r="E381" s="17" t="inlineStr">
        <is>
          <t>CBHU9041804-202603</t>
        </is>
      </c>
      <c r="F381" s="17" t="inlineStr">
        <is>
          <t>烟台市金豪矿山机械有限公司</t>
        </is>
      </c>
      <c r="G381" s="17" t="inlineStr">
        <is>
          <t>JH0335</t>
        </is>
      </c>
      <c r="H381" s="24">
        <f>IF($G381="","",IFERROR(VLOOKUP($G381,物料档案!$A$4:$P$1203,3,0),"※编码不在物料档案里"))</f>
        <v/>
      </c>
      <c r="I381" s="24">
        <f>IF($G381="","",IFERROR(VLOOKUP($G381,物料档案!$A$4:$P$1203,4,0),"※编码不在物料档案里"))</f>
        <v/>
      </c>
      <c r="J381" s="24">
        <f>IF($G381="","",IFERROR(VLOOKUP($G381,物料档案!$A$4:$P$1203,5,0),"※编码不在物料档案里"))</f>
        <v/>
      </c>
      <c r="K381" s="23" t="n">
        <v>10</v>
      </c>
      <c r="L381" s="31" t="n">
        <v>2</v>
      </c>
      <c r="M381" s="24">
        <f>IF($G381="","",IF($D381="A国内","CNY","TZS"))</f>
        <v/>
      </c>
      <c r="N381" s="28">
        <f>IF($G381="","",IF($D381="A国内",汇率,1))</f>
        <v/>
      </c>
      <c r="O381" s="25">
        <f>IF($G381="","",ROUND(N($K381)*N($L381),2))</f>
        <v/>
      </c>
      <c r="P381" s="26">
        <f>IF($G381="","",ROUND($O381*$N381,0))</f>
        <v/>
      </c>
      <c r="Q381" s="26">
        <f>IF($G381="","",SUMIFS($P$4:$P$2503,$E$4:$E$2503,$E381,$Z$4:$Z$2503,"正常"))</f>
        <v/>
      </c>
      <c r="R381" s="26">
        <f>IF($G381="","",SUMIFS(费用台账!$I$4:$I$503,费用台账!$C$4:$C$503,$E381,费用台账!$J$4:$J$503,"是",费用台账!$K$4:$K$503,"正常"))</f>
        <v/>
      </c>
      <c r="S381" s="28">
        <f>IF($G381="","",COUNTIFS($E$4:$E$2503,$E381,$Z$4:$Z$2503,"正常",$Y$4:$Y$2503,"待补价"))</f>
        <v/>
      </c>
      <c r="T381" s="26">
        <f>IF($G381="","",SUMIFS($P$4:$P$2503,$E$4:$E$2503,$E381,$Z$4:$Z$2503,"正常",$A$4:$A$2503,"&lt;="&amp;$A381))</f>
        <v/>
      </c>
      <c r="U381" s="26">
        <f>IF($G381="","",IF(OR($S381&gt;0,$Q381=0,$R381=0,$Z381&lt;&gt;"正常"),0,ROUND($T381/$Q381*$R381,0)-ROUND(($T381-$P381)/$Q381*$R381,0)))</f>
        <v/>
      </c>
      <c r="V381" s="26">
        <f>IF($G381="","",ROUND($P381+$U381,0))</f>
        <v/>
      </c>
      <c r="W381" s="26">
        <f>IF($G381="","",IF(N($K381)=0,0,ROUND($V381/$K381,2)))</f>
        <v/>
      </c>
      <c r="X381" s="17" t="inlineStr">
        <is>
          <t>采购入库</t>
        </is>
      </c>
      <c r="Y381" s="17" t="inlineStr">
        <is>
          <t>正常</t>
        </is>
      </c>
      <c r="Z381" s="17" t="inlineStr">
        <is>
          <t>正常</t>
        </is>
      </c>
      <c r="AA381" s="17" t="n"/>
      <c r="AB381" s="17" t="inlineStr">
        <is>
          <t>原表第 386 行</t>
        </is>
      </c>
      <c r="AC381" s="24">
        <f>IF($G381="","",IF($H381="※编码不在物料档案里","※物料编码不在档案里",IF(N($K381)&lt;=0,"※入库数量要大于 0",IF(AND($C381&lt;&gt;"",$C381&lt;=结账锁),"※日期早于已结账截止日，不能再录",IF(AND($L381=0,$X381="正常"),"※没填单价，价格状态请选「待补价」",IF(AND($S381&gt;0,$R381&gt;0),"△本批有 "&amp;$S381&amp;" 行没单价，整批运费先挂账没摊",IF(AND($B381&lt;&gt;"",COUNTIF($B$4:$B$2503,$B381)&gt;1),"※入库单号重复","")))))))</f>
        <v/>
      </c>
    </row>
    <row r="382">
      <c r="A382" s="24">
        <f>IF($G382="","",COUNTA($G$4:$G382))</f>
        <v/>
      </c>
      <c r="B382" s="17" t="n"/>
      <c r="C382" s="30" t="n">
        <v>46102</v>
      </c>
      <c r="D382" s="17" t="inlineStr">
        <is>
          <t>A国内</t>
        </is>
      </c>
      <c r="E382" s="17" t="inlineStr">
        <is>
          <t>CBHU9041804-202603</t>
        </is>
      </c>
      <c r="F382" s="17" t="inlineStr">
        <is>
          <t>烟台市金豪矿山机械有限公司</t>
        </is>
      </c>
      <c r="G382" s="17" t="inlineStr">
        <is>
          <t>JH0336</t>
        </is>
      </c>
      <c r="H382" s="24">
        <f>IF($G382="","",IFERROR(VLOOKUP($G382,物料档案!$A$4:$P$1203,3,0),"※编码不在物料档案里"))</f>
        <v/>
      </c>
      <c r="I382" s="24">
        <f>IF($G382="","",IFERROR(VLOOKUP($G382,物料档案!$A$4:$P$1203,4,0),"※编码不在物料档案里"))</f>
        <v/>
      </c>
      <c r="J382" s="24">
        <f>IF($G382="","",IFERROR(VLOOKUP($G382,物料档案!$A$4:$P$1203,5,0),"※编码不在物料档案里"))</f>
        <v/>
      </c>
      <c r="K382" s="23" t="n">
        <v>10</v>
      </c>
      <c r="L382" s="31" t="n">
        <v>2.6</v>
      </c>
      <c r="M382" s="24">
        <f>IF($G382="","",IF($D382="A国内","CNY","TZS"))</f>
        <v/>
      </c>
      <c r="N382" s="28">
        <f>IF($G382="","",IF($D382="A国内",汇率,1))</f>
        <v/>
      </c>
      <c r="O382" s="25">
        <f>IF($G382="","",ROUND(N($K382)*N($L382),2))</f>
        <v/>
      </c>
      <c r="P382" s="26">
        <f>IF($G382="","",ROUND($O382*$N382,0))</f>
        <v/>
      </c>
      <c r="Q382" s="26">
        <f>IF($G382="","",SUMIFS($P$4:$P$2503,$E$4:$E$2503,$E382,$Z$4:$Z$2503,"正常"))</f>
        <v/>
      </c>
      <c r="R382" s="26">
        <f>IF($G382="","",SUMIFS(费用台账!$I$4:$I$503,费用台账!$C$4:$C$503,$E382,费用台账!$J$4:$J$503,"是",费用台账!$K$4:$K$503,"正常"))</f>
        <v/>
      </c>
      <c r="S382" s="28">
        <f>IF($G382="","",COUNTIFS($E$4:$E$2503,$E382,$Z$4:$Z$2503,"正常",$Y$4:$Y$2503,"待补价"))</f>
        <v/>
      </c>
      <c r="T382" s="26">
        <f>IF($G382="","",SUMIFS($P$4:$P$2503,$E$4:$E$2503,$E382,$Z$4:$Z$2503,"正常",$A$4:$A$2503,"&lt;="&amp;$A382))</f>
        <v/>
      </c>
      <c r="U382" s="26">
        <f>IF($G382="","",IF(OR($S382&gt;0,$Q382=0,$R382=0,$Z382&lt;&gt;"正常"),0,ROUND($T382/$Q382*$R382,0)-ROUND(($T382-$P382)/$Q382*$R382,0)))</f>
        <v/>
      </c>
      <c r="V382" s="26">
        <f>IF($G382="","",ROUND($P382+$U382,0))</f>
        <v/>
      </c>
      <c r="W382" s="26">
        <f>IF($G382="","",IF(N($K382)=0,0,ROUND($V382/$K382,2)))</f>
        <v/>
      </c>
      <c r="X382" s="17" t="inlineStr">
        <is>
          <t>采购入库</t>
        </is>
      </c>
      <c r="Y382" s="17" t="inlineStr">
        <is>
          <t>正常</t>
        </is>
      </c>
      <c r="Z382" s="17" t="inlineStr">
        <is>
          <t>正常</t>
        </is>
      </c>
      <c r="AA382" s="17" t="n"/>
      <c r="AB382" s="17" t="inlineStr">
        <is>
          <t>原表第 387 行</t>
        </is>
      </c>
      <c r="AC382" s="24">
        <f>IF($G382="","",IF($H382="※编码不在物料档案里","※物料编码不在档案里",IF(N($K382)&lt;=0,"※入库数量要大于 0",IF(AND($C382&lt;&gt;"",$C382&lt;=结账锁),"※日期早于已结账截止日，不能再录",IF(AND($L382=0,$X382="正常"),"※没填单价，价格状态请选「待补价」",IF(AND($S382&gt;0,$R382&gt;0),"△本批有 "&amp;$S382&amp;" 行没单价，整批运费先挂账没摊",IF(AND($B382&lt;&gt;"",COUNTIF($B$4:$B$2503,$B382)&gt;1),"※入库单号重复","")))))))</f>
        <v/>
      </c>
    </row>
    <row r="383">
      <c r="A383" s="24">
        <f>IF($G383="","",COUNTA($G$4:$G383))</f>
        <v/>
      </c>
      <c r="B383" s="17" t="n"/>
      <c r="C383" s="30" t="n">
        <v>46102</v>
      </c>
      <c r="D383" s="17" t="inlineStr">
        <is>
          <t>A国内</t>
        </is>
      </c>
      <c r="E383" s="17" t="inlineStr">
        <is>
          <t>CBHU9041804-202603</t>
        </is>
      </c>
      <c r="F383" s="17" t="inlineStr">
        <is>
          <t>烟台市金豪矿山机械有限公司</t>
        </is>
      </c>
      <c r="G383" s="17" t="inlineStr">
        <is>
          <t>JH0337</t>
        </is>
      </c>
      <c r="H383" s="24">
        <f>IF($G383="","",IFERROR(VLOOKUP($G383,物料档案!$A$4:$P$1203,3,0),"※编码不在物料档案里"))</f>
        <v/>
      </c>
      <c r="I383" s="24">
        <f>IF($G383="","",IFERROR(VLOOKUP($G383,物料档案!$A$4:$P$1203,4,0),"※编码不在物料档案里"))</f>
        <v/>
      </c>
      <c r="J383" s="24">
        <f>IF($G383="","",IFERROR(VLOOKUP($G383,物料档案!$A$4:$P$1203,5,0),"※编码不在物料档案里"))</f>
        <v/>
      </c>
      <c r="K383" s="23" t="n">
        <v>10</v>
      </c>
      <c r="L383" s="31" t="n">
        <v>3.3</v>
      </c>
      <c r="M383" s="24">
        <f>IF($G383="","",IF($D383="A国内","CNY","TZS"))</f>
        <v/>
      </c>
      <c r="N383" s="28">
        <f>IF($G383="","",IF($D383="A国内",汇率,1))</f>
        <v/>
      </c>
      <c r="O383" s="25">
        <f>IF($G383="","",ROUND(N($K383)*N($L383),2))</f>
        <v/>
      </c>
      <c r="P383" s="26">
        <f>IF($G383="","",ROUND($O383*$N383,0))</f>
        <v/>
      </c>
      <c r="Q383" s="26">
        <f>IF($G383="","",SUMIFS($P$4:$P$2503,$E$4:$E$2503,$E383,$Z$4:$Z$2503,"正常"))</f>
        <v/>
      </c>
      <c r="R383" s="26">
        <f>IF($G383="","",SUMIFS(费用台账!$I$4:$I$503,费用台账!$C$4:$C$503,$E383,费用台账!$J$4:$J$503,"是",费用台账!$K$4:$K$503,"正常"))</f>
        <v/>
      </c>
      <c r="S383" s="28">
        <f>IF($G383="","",COUNTIFS($E$4:$E$2503,$E383,$Z$4:$Z$2503,"正常",$Y$4:$Y$2503,"待补价"))</f>
        <v/>
      </c>
      <c r="T383" s="26">
        <f>IF($G383="","",SUMIFS($P$4:$P$2503,$E$4:$E$2503,$E383,$Z$4:$Z$2503,"正常",$A$4:$A$2503,"&lt;="&amp;$A383))</f>
        <v/>
      </c>
      <c r="U383" s="26">
        <f>IF($G383="","",IF(OR($S383&gt;0,$Q383=0,$R383=0,$Z383&lt;&gt;"正常"),0,ROUND($T383/$Q383*$R383,0)-ROUND(($T383-$P383)/$Q383*$R383,0)))</f>
        <v/>
      </c>
      <c r="V383" s="26">
        <f>IF($G383="","",ROUND($P383+$U383,0))</f>
        <v/>
      </c>
      <c r="W383" s="26">
        <f>IF($G383="","",IF(N($K383)=0,0,ROUND($V383/$K383,2)))</f>
        <v/>
      </c>
      <c r="X383" s="17" t="inlineStr">
        <is>
          <t>采购入库</t>
        </is>
      </c>
      <c r="Y383" s="17" t="inlineStr">
        <is>
          <t>正常</t>
        </is>
      </c>
      <c r="Z383" s="17" t="inlineStr">
        <is>
          <t>正常</t>
        </is>
      </c>
      <c r="AA383" s="17" t="n"/>
      <c r="AB383" s="17" t="inlineStr">
        <is>
          <t>原表第 388 行</t>
        </is>
      </c>
      <c r="AC383" s="24">
        <f>IF($G383="","",IF($H383="※编码不在物料档案里","※物料编码不在档案里",IF(N($K383)&lt;=0,"※入库数量要大于 0",IF(AND($C383&lt;&gt;"",$C383&lt;=结账锁),"※日期早于已结账截止日，不能再录",IF(AND($L383=0,$X383="正常"),"※没填单价，价格状态请选「待补价」",IF(AND($S383&gt;0,$R383&gt;0),"△本批有 "&amp;$S383&amp;" 行没单价，整批运费先挂账没摊",IF(AND($B383&lt;&gt;"",COUNTIF($B$4:$B$2503,$B383)&gt;1),"※入库单号重复","")))))))</f>
        <v/>
      </c>
    </row>
    <row r="384">
      <c r="A384" s="24">
        <f>IF($G384="","",COUNTA($G$4:$G384))</f>
        <v/>
      </c>
      <c r="B384" s="17" t="n"/>
      <c r="C384" s="30" t="n">
        <v>46102</v>
      </c>
      <c r="D384" s="17" t="inlineStr">
        <is>
          <t>A国内</t>
        </is>
      </c>
      <c r="E384" s="17" t="inlineStr">
        <is>
          <t>CBHU9041804-202603</t>
        </is>
      </c>
      <c r="F384" s="17" t="inlineStr">
        <is>
          <t>烟台市金豪矿山机械有限公司</t>
        </is>
      </c>
      <c r="G384" s="17" t="inlineStr">
        <is>
          <t>JH0338</t>
        </is>
      </c>
      <c r="H384" s="24">
        <f>IF($G384="","",IFERROR(VLOOKUP($G384,物料档案!$A$4:$P$1203,3,0),"※编码不在物料档案里"))</f>
        <v/>
      </c>
      <c r="I384" s="24">
        <f>IF($G384="","",IFERROR(VLOOKUP($G384,物料档案!$A$4:$P$1203,4,0),"※编码不在物料档案里"))</f>
        <v/>
      </c>
      <c r="J384" s="24">
        <f>IF($G384="","",IFERROR(VLOOKUP($G384,物料档案!$A$4:$P$1203,5,0),"※编码不在物料档案里"))</f>
        <v/>
      </c>
      <c r="K384" s="23" t="n">
        <v>10</v>
      </c>
      <c r="L384" s="31" t="n">
        <v>3.7</v>
      </c>
      <c r="M384" s="24">
        <f>IF($G384="","",IF($D384="A国内","CNY","TZS"))</f>
        <v/>
      </c>
      <c r="N384" s="28">
        <f>IF($G384="","",IF($D384="A国内",汇率,1))</f>
        <v/>
      </c>
      <c r="O384" s="25">
        <f>IF($G384="","",ROUND(N($K384)*N($L384),2))</f>
        <v/>
      </c>
      <c r="P384" s="26">
        <f>IF($G384="","",ROUND($O384*$N384,0))</f>
        <v/>
      </c>
      <c r="Q384" s="26">
        <f>IF($G384="","",SUMIFS($P$4:$P$2503,$E$4:$E$2503,$E384,$Z$4:$Z$2503,"正常"))</f>
        <v/>
      </c>
      <c r="R384" s="26">
        <f>IF($G384="","",SUMIFS(费用台账!$I$4:$I$503,费用台账!$C$4:$C$503,$E384,费用台账!$J$4:$J$503,"是",费用台账!$K$4:$K$503,"正常"))</f>
        <v/>
      </c>
      <c r="S384" s="28">
        <f>IF($G384="","",COUNTIFS($E$4:$E$2503,$E384,$Z$4:$Z$2503,"正常",$Y$4:$Y$2503,"待补价"))</f>
        <v/>
      </c>
      <c r="T384" s="26">
        <f>IF($G384="","",SUMIFS($P$4:$P$2503,$E$4:$E$2503,$E384,$Z$4:$Z$2503,"正常",$A$4:$A$2503,"&lt;="&amp;$A384))</f>
        <v/>
      </c>
      <c r="U384" s="26">
        <f>IF($G384="","",IF(OR($S384&gt;0,$Q384=0,$R384=0,$Z384&lt;&gt;"正常"),0,ROUND($T384/$Q384*$R384,0)-ROUND(($T384-$P384)/$Q384*$R384,0)))</f>
        <v/>
      </c>
      <c r="V384" s="26">
        <f>IF($G384="","",ROUND($P384+$U384,0))</f>
        <v/>
      </c>
      <c r="W384" s="26">
        <f>IF($G384="","",IF(N($K384)=0,0,ROUND($V384/$K384,2)))</f>
        <v/>
      </c>
      <c r="X384" s="17" t="inlineStr">
        <is>
          <t>采购入库</t>
        </is>
      </c>
      <c r="Y384" s="17" t="inlineStr">
        <is>
          <t>正常</t>
        </is>
      </c>
      <c r="Z384" s="17" t="inlineStr">
        <is>
          <t>正常</t>
        </is>
      </c>
      <c r="AA384" s="17" t="n"/>
      <c r="AB384" s="17" t="inlineStr">
        <is>
          <t>原表第 389 行</t>
        </is>
      </c>
      <c r="AC384" s="24">
        <f>IF($G384="","",IF($H384="※编码不在物料档案里","※物料编码不在档案里",IF(N($K384)&lt;=0,"※入库数量要大于 0",IF(AND($C384&lt;&gt;"",$C384&lt;=结账锁),"※日期早于已结账截止日，不能再录",IF(AND($L384=0,$X384="正常"),"※没填单价，价格状态请选「待补价」",IF(AND($S384&gt;0,$R384&gt;0),"△本批有 "&amp;$S384&amp;" 行没单价，整批运费先挂账没摊",IF(AND($B384&lt;&gt;"",COUNTIF($B$4:$B$2503,$B384)&gt;1),"※入库单号重复","")))))))</f>
        <v/>
      </c>
    </row>
    <row r="385">
      <c r="A385" s="24">
        <f>IF($G385="","",COUNTA($G$4:$G385))</f>
        <v/>
      </c>
      <c r="B385" s="17" t="n"/>
      <c r="C385" s="30" t="n">
        <v>46102</v>
      </c>
      <c r="D385" s="17" t="inlineStr">
        <is>
          <t>A国内</t>
        </is>
      </c>
      <c r="E385" s="17" t="inlineStr">
        <is>
          <t>CBHU9041804-202603</t>
        </is>
      </c>
      <c r="F385" s="17" t="inlineStr">
        <is>
          <t>烟台市金豪矿山机械有限公司</t>
        </is>
      </c>
      <c r="G385" s="17" t="inlineStr">
        <is>
          <t>JH0339</t>
        </is>
      </c>
      <c r="H385" s="24">
        <f>IF($G385="","",IFERROR(VLOOKUP($G385,物料档案!$A$4:$P$1203,3,0),"※编码不在物料档案里"))</f>
        <v/>
      </c>
      <c r="I385" s="24">
        <f>IF($G385="","",IFERROR(VLOOKUP($G385,物料档案!$A$4:$P$1203,4,0),"※编码不在物料档案里"))</f>
        <v/>
      </c>
      <c r="J385" s="24">
        <f>IF($G385="","",IFERROR(VLOOKUP($G385,物料档案!$A$4:$P$1203,5,0),"※编码不在物料档案里"))</f>
        <v/>
      </c>
      <c r="K385" s="23" t="n">
        <v>10</v>
      </c>
      <c r="L385" s="31" t="n">
        <v>0.5</v>
      </c>
      <c r="M385" s="24">
        <f>IF($G385="","",IF($D385="A国内","CNY","TZS"))</f>
        <v/>
      </c>
      <c r="N385" s="28">
        <f>IF($G385="","",IF($D385="A国内",汇率,1))</f>
        <v/>
      </c>
      <c r="O385" s="25">
        <f>IF($G385="","",ROUND(N($K385)*N($L385),2))</f>
        <v/>
      </c>
      <c r="P385" s="26">
        <f>IF($G385="","",ROUND($O385*$N385,0))</f>
        <v/>
      </c>
      <c r="Q385" s="26">
        <f>IF($G385="","",SUMIFS($P$4:$P$2503,$E$4:$E$2503,$E385,$Z$4:$Z$2503,"正常"))</f>
        <v/>
      </c>
      <c r="R385" s="26">
        <f>IF($G385="","",SUMIFS(费用台账!$I$4:$I$503,费用台账!$C$4:$C$503,$E385,费用台账!$J$4:$J$503,"是",费用台账!$K$4:$K$503,"正常"))</f>
        <v/>
      </c>
      <c r="S385" s="28">
        <f>IF($G385="","",COUNTIFS($E$4:$E$2503,$E385,$Z$4:$Z$2503,"正常",$Y$4:$Y$2503,"待补价"))</f>
        <v/>
      </c>
      <c r="T385" s="26">
        <f>IF($G385="","",SUMIFS($P$4:$P$2503,$E$4:$E$2503,$E385,$Z$4:$Z$2503,"正常",$A$4:$A$2503,"&lt;="&amp;$A385))</f>
        <v/>
      </c>
      <c r="U385" s="26">
        <f>IF($G385="","",IF(OR($S385&gt;0,$Q385=0,$R385=0,$Z385&lt;&gt;"正常"),0,ROUND($T385/$Q385*$R385,0)-ROUND(($T385-$P385)/$Q385*$R385,0)))</f>
        <v/>
      </c>
      <c r="V385" s="26">
        <f>IF($G385="","",ROUND($P385+$U385,0))</f>
        <v/>
      </c>
      <c r="W385" s="26">
        <f>IF($G385="","",IF(N($K385)=0,0,ROUND($V385/$K385,2)))</f>
        <v/>
      </c>
      <c r="X385" s="17" t="inlineStr">
        <is>
          <t>采购入库</t>
        </is>
      </c>
      <c r="Y385" s="17" t="inlineStr">
        <is>
          <t>正常</t>
        </is>
      </c>
      <c r="Z385" s="17" t="inlineStr">
        <is>
          <t>正常</t>
        </is>
      </c>
      <c r="AA385" s="17" t="n"/>
      <c r="AB385" s="17" t="inlineStr">
        <is>
          <t>原表第 390 行</t>
        </is>
      </c>
      <c r="AC385" s="24">
        <f>IF($G385="","",IF($H385="※编码不在物料档案里","※物料编码不在档案里",IF(N($K385)&lt;=0,"※入库数量要大于 0",IF(AND($C385&lt;&gt;"",$C385&lt;=结账锁),"※日期早于已结账截止日，不能再录",IF(AND($L385=0,$X385="正常"),"※没填单价，价格状态请选「待补价」",IF(AND($S385&gt;0,$R385&gt;0),"△本批有 "&amp;$S385&amp;" 行没单价，整批运费先挂账没摊",IF(AND($B385&lt;&gt;"",COUNTIF($B$4:$B$2503,$B385)&gt;1),"※入库单号重复","")))))))</f>
        <v/>
      </c>
    </row>
    <row r="386">
      <c r="A386" s="24">
        <f>IF($G386="","",COUNTA($G$4:$G386))</f>
        <v/>
      </c>
      <c r="B386" s="17" t="n"/>
      <c r="C386" s="30" t="n">
        <v>46102</v>
      </c>
      <c r="D386" s="17" t="inlineStr">
        <is>
          <t>A国内</t>
        </is>
      </c>
      <c r="E386" s="17" t="inlineStr">
        <is>
          <t>CBHU9041804-202603</t>
        </is>
      </c>
      <c r="F386" s="17" t="inlineStr">
        <is>
          <t>烟台市金豪矿山机械有限公司</t>
        </is>
      </c>
      <c r="G386" s="17" t="inlineStr">
        <is>
          <t>JH0340</t>
        </is>
      </c>
      <c r="H386" s="24">
        <f>IF($G386="","",IFERROR(VLOOKUP($G386,物料档案!$A$4:$P$1203,3,0),"※编码不在物料档案里"))</f>
        <v/>
      </c>
      <c r="I386" s="24">
        <f>IF($G386="","",IFERROR(VLOOKUP($G386,物料档案!$A$4:$P$1203,4,0),"※编码不在物料档案里"))</f>
        <v/>
      </c>
      <c r="J386" s="24">
        <f>IF($G386="","",IFERROR(VLOOKUP($G386,物料档案!$A$4:$P$1203,5,0),"※编码不在物料档案里"))</f>
        <v/>
      </c>
      <c r="K386" s="23" t="n">
        <v>10</v>
      </c>
      <c r="L386" s="31" t="n">
        <v>0.6</v>
      </c>
      <c r="M386" s="24">
        <f>IF($G386="","",IF($D386="A国内","CNY","TZS"))</f>
        <v/>
      </c>
      <c r="N386" s="28">
        <f>IF($G386="","",IF($D386="A国内",汇率,1))</f>
        <v/>
      </c>
      <c r="O386" s="25">
        <f>IF($G386="","",ROUND(N($K386)*N($L386),2))</f>
        <v/>
      </c>
      <c r="P386" s="26">
        <f>IF($G386="","",ROUND($O386*$N386,0))</f>
        <v/>
      </c>
      <c r="Q386" s="26">
        <f>IF($G386="","",SUMIFS($P$4:$P$2503,$E$4:$E$2503,$E386,$Z$4:$Z$2503,"正常"))</f>
        <v/>
      </c>
      <c r="R386" s="26">
        <f>IF($G386="","",SUMIFS(费用台账!$I$4:$I$503,费用台账!$C$4:$C$503,$E386,费用台账!$J$4:$J$503,"是",费用台账!$K$4:$K$503,"正常"))</f>
        <v/>
      </c>
      <c r="S386" s="28">
        <f>IF($G386="","",COUNTIFS($E$4:$E$2503,$E386,$Z$4:$Z$2503,"正常",$Y$4:$Y$2503,"待补价"))</f>
        <v/>
      </c>
      <c r="T386" s="26">
        <f>IF($G386="","",SUMIFS($P$4:$P$2503,$E$4:$E$2503,$E386,$Z$4:$Z$2503,"正常",$A$4:$A$2503,"&lt;="&amp;$A386))</f>
        <v/>
      </c>
      <c r="U386" s="26">
        <f>IF($G386="","",IF(OR($S386&gt;0,$Q386=0,$R386=0,$Z386&lt;&gt;"正常"),0,ROUND($T386/$Q386*$R386,0)-ROUND(($T386-$P386)/$Q386*$R386,0)))</f>
        <v/>
      </c>
      <c r="V386" s="26">
        <f>IF($G386="","",ROUND($P386+$U386,0))</f>
        <v/>
      </c>
      <c r="W386" s="26">
        <f>IF($G386="","",IF(N($K386)=0,0,ROUND($V386/$K386,2)))</f>
        <v/>
      </c>
      <c r="X386" s="17" t="inlineStr">
        <is>
          <t>采购入库</t>
        </is>
      </c>
      <c r="Y386" s="17" t="inlineStr">
        <is>
          <t>正常</t>
        </is>
      </c>
      <c r="Z386" s="17" t="inlineStr">
        <is>
          <t>正常</t>
        </is>
      </c>
      <c r="AA386" s="17" t="n"/>
      <c r="AB386" s="17" t="inlineStr">
        <is>
          <t>原表第 391 行</t>
        </is>
      </c>
      <c r="AC386" s="24">
        <f>IF($G386="","",IF($H386="※编码不在物料档案里","※物料编码不在档案里",IF(N($K386)&lt;=0,"※入库数量要大于 0",IF(AND($C386&lt;&gt;"",$C386&lt;=结账锁),"※日期早于已结账截止日，不能再录",IF(AND($L386=0,$X386="正常"),"※没填单价，价格状态请选「待补价」",IF(AND($S386&gt;0,$R386&gt;0),"△本批有 "&amp;$S386&amp;" 行没单价，整批运费先挂账没摊",IF(AND($B386&lt;&gt;"",COUNTIF($B$4:$B$2503,$B386)&gt;1),"※入库单号重复","")))))))</f>
        <v/>
      </c>
    </row>
    <row r="387">
      <c r="A387" s="24">
        <f>IF($G387="","",COUNTA($G$4:$G387))</f>
        <v/>
      </c>
      <c r="B387" s="17" t="n"/>
      <c r="C387" s="30" t="n">
        <v>46102</v>
      </c>
      <c r="D387" s="17" t="inlineStr">
        <is>
          <t>A国内</t>
        </is>
      </c>
      <c r="E387" s="17" t="inlineStr">
        <is>
          <t>CBHU9041804-202603</t>
        </is>
      </c>
      <c r="F387" s="17" t="inlineStr">
        <is>
          <t>烟台市金豪矿山机械有限公司</t>
        </is>
      </c>
      <c r="G387" s="17" t="inlineStr">
        <is>
          <t>JH0341</t>
        </is>
      </c>
      <c r="H387" s="24">
        <f>IF($G387="","",IFERROR(VLOOKUP($G387,物料档案!$A$4:$P$1203,3,0),"※编码不在物料档案里"))</f>
        <v/>
      </c>
      <c r="I387" s="24">
        <f>IF($G387="","",IFERROR(VLOOKUP($G387,物料档案!$A$4:$P$1203,4,0),"※编码不在物料档案里"))</f>
        <v/>
      </c>
      <c r="J387" s="24">
        <f>IF($G387="","",IFERROR(VLOOKUP($G387,物料档案!$A$4:$P$1203,5,0),"※编码不在物料档案里"))</f>
        <v/>
      </c>
      <c r="K387" s="23" t="n">
        <v>10</v>
      </c>
      <c r="L387" s="31" t="n">
        <v>1.2</v>
      </c>
      <c r="M387" s="24">
        <f>IF($G387="","",IF($D387="A国内","CNY","TZS"))</f>
        <v/>
      </c>
      <c r="N387" s="28">
        <f>IF($G387="","",IF($D387="A国内",汇率,1))</f>
        <v/>
      </c>
      <c r="O387" s="25">
        <f>IF($G387="","",ROUND(N($K387)*N($L387),2))</f>
        <v/>
      </c>
      <c r="P387" s="26">
        <f>IF($G387="","",ROUND($O387*$N387,0))</f>
        <v/>
      </c>
      <c r="Q387" s="26">
        <f>IF($G387="","",SUMIFS($P$4:$P$2503,$E$4:$E$2503,$E387,$Z$4:$Z$2503,"正常"))</f>
        <v/>
      </c>
      <c r="R387" s="26">
        <f>IF($G387="","",SUMIFS(费用台账!$I$4:$I$503,费用台账!$C$4:$C$503,$E387,费用台账!$J$4:$J$503,"是",费用台账!$K$4:$K$503,"正常"))</f>
        <v/>
      </c>
      <c r="S387" s="28">
        <f>IF($G387="","",COUNTIFS($E$4:$E$2503,$E387,$Z$4:$Z$2503,"正常",$Y$4:$Y$2503,"待补价"))</f>
        <v/>
      </c>
      <c r="T387" s="26">
        <f>IF($G387="","",SUMIFS($P$4:$P$2503,$E$4:$E$2503,$E387,$Z$4:$Z$2503,"正常",$A$4:$A$2503,"&lt;="&amp;$A387))</f>
        <v/>
      </c>
      <c r="U387" s="26">
        <f>IF($G387="","",IF(OR($S387&gt;0,$Q387=0,$R387=0,$Z387&lt;&gt;"正常"),0,ROUND($T387/$Q387*$R387,0)-ROUND(($T387-$P387)/$Q387*$R387,0)))</f>
        <v/>
      </c>
      <c r="V387" s="26">
        <f>IF($G387="","",ROUND($P387+$U387,0))</f>
        <v/>
      </c>
      <c r="W387" s="26">
        <f>IF($G387="","",IF(N($K387)=0,0,ROUND($V387/$K387,2)))</f>
        <v/>
      </c>
      <c r="X387" s="17" t="inlineStr">
        <is>
          <t>采购入库</t>
        </is>
      </c>
      <c r="Y387" s="17" t="inlineStr">
        <is>
          <t>正常</t>
        </is>
      </c>
      <c r="Z387" s="17" t="inlineStr">
        <is>
          <t>正常</t>
        </is>
      </c>
      <c r="AA387" s="17" t="n"/>
      <c r="AB387" s="17" t="inlineStr">
        <is>
          <t>原表第 392 行</t>
        </is>
      </c>
      <c r="AC387" s="24">
        <f>IF($G387="","",IF($H387="※编码不在物料档案里","※物料编码不在档案里",IF(N($K387)&lt;=0,"※入库数量要大于 0",IF(AND($C387&lt;&gt;"",$C387&lt;=结账锁),"※日期早于已结账截止日，不能再录",IF(AND($L387=0,$X387="正常"),"※没填单价，价格状态请选「待补价」",IF(AND($S387&gt;0,$R387&gt;0),"△本批有 "&amp;$S387&amp;" 行没单价，整批运费先挂账没摊",IF(AND($B387&lt;&gt;"",COUNTIF($B$4:$B$2503,$B387)&gt;1),"※入库单号重复","")))))))</f>
        <v/>
      </c>
    </row>
    <row r="388">
      <c r="A388" s="24">
        <f>IF($G388="","",COUNTA($G$4:$G388))</f>
        <v/>
      </c>
      <c r="B388" s="17" t="n"/>
      <c r="C388" s="30" t="n">
        <v>46102</v>
      </c>
      <c r="D388" s="17" t="inlineStr">
        <is>
          <t>A国内</t>
        </is>
      </c>
      <c r="E388" s="17" t="inlineStr">
        <is>
          <t>CBHU9041804-202603</t>
        </is>
      </c>
      <c r="F388" s="17" t="inlineStr">
        <is>
          <t>烟台市金豪矿山机械有限公司</t>
        </is>
      </c>
      <c r="G388" s="17" t="inlineStr">
        <is>
          <t>JH0342</t>
        </is>
      </c>
      <c r="H388" s="24">
        <f>IF($G388="","",IFERROR(VLOOKUP($G388,物料档案!$A$4:$P$1203,3,0),"※编码不在物料档案里"))</f>
        <v/>
      </c>
      <c r="I388" s="24">
        <f>IF($G388="","",IFERROR(VLOOKUP($G388,物料档案!$A$4:$P$1203,4,0),"※编码不在物料档案里"))</f>
        <v/>
      </c>
      <c r="J388" s="24">
        <f>IF($G388="","",IFERROR(VLOOKUP($G388,物料档案!$A$4:$P$1203,5,0),"※编码不在物料档案里"))</f>
        <v/>
      </c>
      <c r="K388" s="23" t="n">
        <v>10</v>
      </c>
      <c r="L388" s="31" t="n">
        <v>1.4</v>
      </c>
      <c r="M388" s="24">
        <f>IF($G388="","",IF($D388="A国内","CNY","TZS"))</f>
        <v/>
      </c>
      <c r="N388" s="28">
        <f>IF($G388="","",IF($D388="A国内",汇率,1))</f>
        <v/>
      </c>
      <c r="O388" s="25">
        <f>IF($G388="","",ROUND(N($K388)*N($L388),2))</f>
        <v/>
      </c>
      <c r="P388" s="26">
        <f>IF($G388="","",ROUND($O388*$N388,0))</f>
        <v/>
      </c>
      <c r="Q388" s="26">
        <f>IF($G388="","",SUMIFS($P$4:$P$2503,$E$4:$E$2503,$E388,$Z$4:$Z$2503,"正常"))</f>
        <v/>
      </c>
      <c r="R388" s="26">
        <f>IF($G388="","",SUMIFS(费用台账!$I$4:$I$503,费用台账!$C$4:$C$503,$E388,费用台账!$J$4:$J$503,"是",费用台账!$K$4:$K$503,"正常"))</f>
        <v/>
      </c>
      <c r="S388" s="28">
        <f>IF($G388="","",COUNTIFS($E$4:$E$2503,$E388,$Z$4:$Z$2503,"正常",$Y$4:$Y$2503,"待补价"))</f>
        <v/>
      </c>
      <c r="T388" s="26">
        <f>IF($G388="","",SUMIFS($P$4:$P$2503,$E$4:$E$2503,$E388,$Z$4:$Z$2503,"正常",$A$4:$A$2503,"&lt;="&amp;$A388))</f>
        <v/>
      </c>
      <c r="U388" s="26">
        <f>IF($G388="","",IF(OR($S388&gt;0,$Q388=0,$R388=0,$Z388&lt;&gt;"正常"),0,ROUND($T388/$Q388*$R388,0)-ROUND(($T388-$P388)/$Q388*$R388,0)))</f>
        <v/>
      </c>
      <c r="V388" s="26">
        <f>IF($G388="","",ROUND($P388+$U388,0))</f>
        <v/>
      </c>
      <c r="W388" s="26">
        <f>IF($G388="","",IF(N($K388)=0,0,ROUND($V388/$K388,2)))</f>
        <v/>
      </c>
      <c r="X388" s="17" t="inlineStr">
        <is>
          <t>采购入库</t>
        </is>
      </c>
      <c r="Y388" s="17" t="inlineStr">
        <is>
          <t>正常</t>
        </is>
      </c>
      <c r="Z388" s="17" t="inlineStr">
        <is>
          <t>正常</t>
        </is>
      </c>
      <c r="AA388" s="17" t="n"/>
      <c r="AB388" s="17" t="inlineStr">
        <is>
          <t>原表第 393 行</t>
        </is>
      </c>
      <c r="AC388" s="24">
        <f>IF($G388="","",IF($H388="※编码不在物料档案里","※物料编码不在档案里",IF(N($K388)&lt;=0,"※入库数量要大于 0",IF(AND($C388&lt;&gt;"",$C388&lt;=结账锁),"※日期早于已结账截止日，不能再录",IF(AND($L388=0,$X388="正常"),"※没填单价，价格状态请选「待补价」",IF(AND($S388&gt;0,$R388&gt;0),"△本批有 "&amp;$S388&amp;" 行没单价，整批运费先挂账没摊",IF(AND($B388&lt;&gt;"",COUNTIF($B$4:$B$2503,$B388)&gt;1),"※入库单号重复","")))))))</f>
        <v/>
      </c>
    </row>
    <row r="389">
      <c r="A389" s="24">
        <f>IF($G389="","",COUNTA($G$4:$G389))</f>
        <v/>
      </c>
      <c r="B389" s="17" t="n"/>
      <c r="C389" s="30" t="n">
        <v>46102</v>
      </c>
      <c r="D389" s="17" t="inlineStr">
        <is>
          <t>A国内</t>
        </is>
      </c>
      <c r="E389" s="17" t="inlineStr">
        <is>
          <t>CBHU9041804-202603</t>
        </is>
      </c>
      <c r="F389" s="17" t="inlineStr">
        <is>
          <t>烟台市金豪矿山机械有限公司</t>
        </is>
      </c>
      <c r="G389" s="17" t="inlineStr">
        <is>
          <t>JH0343</t>
        </is>
      </c>
      <c r="H389" s="24">
        <f>IF($G389="","",IFERROR(VLOOKUP($G389,物料档案!$A$4:$P$1203,3,0),"※编码不在物料档案里"))</f>
        <v/>
      </c>
      <c r="I389" s="24">
        <f>IF($G389="","",IFERROR(VLOOKUP($G389,物料档案!$A$4:$P$1203,4,0),"※编码不在物料档案里"))</f>
        <v/>
      </c>
      <c r="J389" s="24">
        <f>IF($G389="","",IFERROR(VLOOKUP($G389,物料档案!$A$4:$P$1203,5,0),"※编码不在物料档案里"))</f>
        <v/>
      </c>
      <c r="K389" s="23" t="n">
        <v>10</v>
      </c>
      <c r="L389" s="31" t="n">
        <v>1.7</v>
      </c>
      <c r="M389" s="24">
        <f>IF($G389="","",IF($D389="A国内","CNY","TZS"))</f>
        <v/>
      </c>
      <c r="N389" s="28">
        <f>IF($G389="","",IF($D389="A国内",汇率,1))</f>
        <v/>
      </c>
      <c r="O389" s="25">
        <f>IF($G389="","",ROUND(N($K389)*N($L389),2))</f>
        <v/>
      </c>
      <c r="P389" s="26">
        <f>IF($G389="","",ROUND($O389*$N389,0))</f>
        <v/>
      </c>
      <c r="Q389" s="26">
        <f>IF($G389="","",SUMIFS($P$4:$P$2503,$E$4:$E$2503,$E389,$Z$4:$Z$2503,"正常"))</f>
        <v/>
      </c>
      <c r="R389" s="26">
        <f>IF($G389="","",SUMIFS(费用台账!$I$4:$I$503,费用台账!$C$4:$C$503,$E389,费用台账!$J$4:$J$503,"是",费用台账!$K$4:$K$503,"正常"))</f>
        <v/>
      </c>
      <c r="S389" s="28">
        <f>IF($G389="","",COUNTIFS($E$4:$E$2503,$E389,$Z$4:$Z$2503,"正常",$Y$4:$Y$2503,"待补价"))</f>
        <v/>
      </c>
      <c r="T389" s="26">
        <f>IF($G389="","",SUMIFS($P$4:$P$2503,$E$4:$E$2503,$E389,$Z$4:$Z$2503,"正常",$A$4:$A$2503,"&lt;="&amp;$A389))</f>
        <v/>
      </c>
      <c r="U389" s="26">
        <f>IF($G389="","",IF(OR($S389&gt;0,$Q389=0,$R389=0,$Z389&lt;&gt;"正常"),0,ROUND($T389/$Q389*$R389,0)-ROUND(($T389-$P389)/$Q389*$R389,0)))</f>
        <v/>
      </c>
      <c r="V389" s="26">
        <f>IF($G389="","",ROUND($P389+$U389,0))</f>
        <v/>
      </c>
      <c r="W389" s="26">
        <f>IF($G389="","",IF(N($K389)=0,0,ROUND($V389/$K389,2)))</f>
        <v/>
      </c>
      <c r="X389" s="17" t="inlineStr">
        <is>
          <t>采购入库</t>
        </is>
      </c>
      <c r="Y389" s="17" t="inlineStr">
        <is>
          <t>正常</t>
        </is>
      </c>
      <c r="Z389" s="17" t="inlineStr">
        <is>
          <t>正常</t>
        </is>
      </c>
      <c r="AA389" s="17" t="n"/>
      <c r="AB389" s="17" t="inlineStr">
        <is>
          <t>原表第 394 行</t>
        </is>
      </c>
      <c r="AC389" s="24">
        <f>IF($G389="","",IF($H389="※编码不在物料档案里","※物料编码不在档案里",IF(N($K389)&lt;=0,"※入库数量要大于 0",IF(AND($C389&lt;&gt;"",$C389&lt;=结账锁),"※日期早于已结账截止日，不能再录",IF(AND($L389=0,$X389="正常"),"※没填单价，价格状态请选「待补价」",IF(AND($S389&gt;0,$R389&gt;0),"△本批有 "&amp;$S389&amp;" 行没单价，整批运费先挂账没摊",IF(AND($B389&lt;&gt;"",COUNTIF($B$4:$B$2503,$B389)&gt;1),"※入库单号重复","")))))))</f>
        <v/>
      </c>
    </row>
    <row r="390">
      <c r="A390" s="24">
        <f>IF($G390="","",COUNTA($G$4:$G390))</f>
        <v/>
      </c>
      <c r="B390" s="17" t="n"/>
      <c r="C390" s="30" t="n">
        <v>46102</v>
      </c>
      <c r="D390" s="17" t="inlineStr">
        <is>
          <t>A国内</t>
        </is>
      </c>
      <c r="E390" s="17" t="inlineStr">
        <is>
          <t>CBHU9041804-202603</t>
        </is>
      </c>
      <c r="F390" s="17" t="inlineStr">
        <is>
          <t>烟台市金豪矿山机械有限公司</t>
        </is>
      </c>
      <c r="G390" s="17" t="inlineStr">
        <is>
          <t>JH0344</t>
        </is>
      </c>
      <c r="H390" s="24">
        <f>IF($G390="","",IFERROR(VLOOKUP($G390,物料档案!$A$4:$P$1203,3,0),"※编码不在物料档案里"))</f>
        <v/>
      </c>
      <c r="I390" s="24">
        <f>IF($G390="","",IFERROR(VLOOKUP($G390,物料档案!$A$4:$P$1203,4,0),"※编码不在物料档案里"))</f>
        <v/>
      </c>
      <c r="J390" s="24">
        <f>IF($G390="","",IFERROR(VLOOKUP($G390,物料档案!$A$4:$P$1203,5,0),"※编码不在物料档案里"))</f>
        <v/>
      </c>
      <c r="K390" s="23" t="n">
        <v>4</v>
      </c>
      <c r="L390" s="31" t="n"/>
      <c r="M390" s="24">
        <f>IF($G390="","",IF($D390="A国内","CNY","TZS"))</f>
        <v/>
      </c>
      <c r="N390" s="28">
        <f>IF($G390="","",IF($D390="A国内",汇率,1))</f>
        <v/>
      </c>
      <c r="O390" s="25">
        <f>IF($G390="","",ROUND(N($K390)*N($L390),2))</f>
        <v/>
      </c>
      <c r="P390" s="26">
        <f>IF($G390="","",ROUND($O390*$N390,0))</f>
        <v/>
      </c>
      <c r="Q390" s="26">
        <f>IF($G390="","",SUMIFS($P$4:$P$2503,$E$4:$E$2503,$E390,$Z$4:$Z$2503,"正常"))</f>
        <v/>
      </c>
      <c r="R390" s="26">
        <f>IF($G390="","",SUMIFS(费用台账!$I$4:$I$503,费用台账!$C$4:$C$503,$E390,费用台账!$J$4:$J$503,"是",费用台账!$K$4:$K$503,"正常"))</f>
        <v/>
      </c>
      <c r="S390" s="28">
        <f>IF($G390="","",COUNTIFS($E$4:$E$2503,$E390,$Z$4:$Z$2503,"正常",$Y$4:$Y$2503,"待补价"))</f>
        <v/>
      </c>
      <c r="T390" s="26">
        <f>IF($G390="","",SUMIFS($P$4:$P$2503,$E$4:$E$2503,$E390,$Z$4:$Z$2503,"正常",$A$4:$A$2503,"&lt;="&amp;$A390))</f>
        <v/>
      </c>
      <c r="U390" s="26">
        <f>IF($G390="","",IF(OR($S390&gt;0,$Q390=0,$R390=0,$Z390&lt;&gt;"正常"),0,ROUND($T390/$Q390*$R390,0)-ROUND(($T390-$P390)/$Q390*$R390,0)))</f>
        <v/>
      </c>
      <c r="V390" s="26">
        <f>IF($G390="","",ROUND($P390+$U390,0))</f>
        <v/>
      </c>
      <c r="W390" s="26">
        <f>IF($G390="","",IF(N($K390)=0,0,ROUND($V390/$K390,2)))</f>
        <v/>
      </c>
      <c r="X390" s="17" t="inlineStr">
        <is>
          <t>采购入库</t>
        </is>
      </c>
      <c r="Y390" s="17" t="inlineStr">
        <is>
          <t>待补价</t>
        </is>
      </c>
      <c r="Z390" s="17" t="inlineStr">
        <is>
          <t>正常</t>
        </is>
      </c>
      <c r="AA390" s="17" t="n"/>
      <c r="AB390" s="17" t="inlineStr">
        <is>
          <t>原表第 395 行</t>
        </is>
      </c>
      <c r="AC390" s="24">
        <f>IF($G390="","",IF($H390="※编码不在物料档案里","※物料编码不在档案里",IF(N($K390)&lt;=0,"※入库数量要大于 0",IF(AND($C390&lt;&gt;"",$C390&lt;=结账锁),"※日期早于已结账截止日，不能再录",IF(AND($L390=0,$X390="正常"),"※没填单价，价格状态请选「待补价」",IF(AND($S390&gt;0,$R390&gt;0),"△本批有 "&amp;$S390&amp;" 行没单价，整批运费先挂账没摊",IF(AND($B390&lt;&gt;"",COUNTIF($B$4:$B$2503,$B390)&gt;1),"※入库单号重复","")))))))</f>
        <v/>
      </c>
    </row>
    <row r="391">
      <c r="A391" s="24">
        <f>IF($G391="","",COUNTA($G$4:$G391))</f>
        <v/>
      </c>
      <c r="B391" s="17" t="n"/>
      <c r="C391" s="30" t="n">
        <v>46102</v>
      </c>
      <c r="D391" s="17" t="inlineStr">
        <is>
          <t>A国内</t>
        </is>
      </c>
      <c r="E391" s="17" t="inlineStr">
        <is>
          <t>CBHU9041804-202603</t>
        </is>
      </c>
      <c r="F391" s="17" t="inlineStr">
        <is>
          <t>烟台市金豪矿山机械有限公司</t>
        </is>
      </c>
      <c r="G391" s="17" t="inlineStr">
        <is>
          <t>JH0345</t>
        </is>
      </c>
      <c r="H391" s="24">
        <f>IF($G391="","",IFERROR(VLOOKUP($G391,物料档案!$A$4:$P$1203,3,0),"※编码不在物料档案里"))</f>
        <v/>
      </c>
      <c r="I391" s="24">
        <f>IF($G391="","",IFERROR(VLOOKUP($G391,物料档案!$A$4:$P$1203,4,0),"※编码不在物料档案里"))</f>
        <v/>
      </c>
      <c r="J391" s="24">
        <f>IF($G391="","",IFERROR(VLOOKUP($G391,物料档案!$A$4:$P$1203,5,0),"※编码不在物料档案里"))</f>
        <v/>
      </c>
      <c r="K391" s="23" t="n">
        <v>10</v>
      </c>
      <c r="L391" s="31" t="n">
        <v>585</v>
      </c>
      <c r="M391" s="24">
        <f>IF($G391="","",IF($D391="A国内","CNY","TZS"))</f>
        <v/>
      </c>
      <c r="N391" s="28">
        <f>IF($G391="","",IF($D391="A国内",汇率,1))</f>
        <v/>
      </c>
      <c r="O391" s="25">
        <f>IF($G391="","",ROUND(N($K391)*N($L391),2))</f>
        <v/>
      </c>
      <c r="P391" s="26">
        <f>IF($G391="","",ROUND($O391*$N391,0))</f>
        <v/>
      </c>
      <c r="Q391" s="26">
        <f>IF($G391="","",SUMIFS($P$4:$P$2503,$E$4:$E$2503,$E391,$Z$4:$Z$2503,"正常"))</f>
        <v/>
      </c>
      <c r="R391" s="26">
        <f>IF($G391="","",SUMIFS(费用台账!$I$4:$I$503,费用台账!$C$4:$C$503,$E391,费用台账!$J$4:$J$503,"是",费用台账!$K$4:$K$503,"正常"))</f>
        <v/>
      </c>
      <c r="S391" s="28">
        <f>IF($G391="","",COUNTIFS($E$4:$E$2503,$E391,$Z$4:$Z$2503,"正常",$Y$4:$Y$2503,"待补价"))</f>
        <v/>
      </c>
      <c r="T391" s="26">
        <f>IF($G391="","",SUMIFS($P$4:$P$2503,$E$4:$E$2503,$E391,$Z$4:$Z$2503,"正常",$A$4:$A$2503,"&lt;="&amp;$A391))</f>
        <v/>
      </c>
      <c r="U391" s="26">
        <f>IF($G391="","",IF(OR($S391&gt;0,$Q391=0,$R391=0,$Z391&lt;&gt;"正常"),0,ROUND($T391/$Q391*$R391,0)-ROUND(($T391-$P391)/$Q391*$R391,0)))</f>
        <v/>
      </c>
      <c r="V391" s="26">
        <f>IF($G391="","",ROUND($P391+$U391,0))</f>
        <v/>
      </c>
      <c r="W391" s="26">
        <f>IF($G391="","",IF(N($K391)=0,0,ROUND($V391/$K391,2)))</f>
        <v/>
      </c>
      <c r="X391" s="17" t="inlineStr">
        <is>
          <t>采购入库</t>
        </is>
      </c>
      <c r="Y391" s="17" t="inlineStr">
        <is>
          <t>正常</t>
        </is>
      </c>
      <c r="Z391" s="17" t="inlineStr">
        <is>
          <t>正常</t>
        </is>
      </c>
      <c r="AA391" s="17" t="n"/>
      <c r="AB391" s="17" t="inlineStr">
        <is>
          <t>原表第 396 行</t>
        </is>
      </c>
      <c r="AC391" s="24">
        <f>IF($G391="","",IF($H391="※编码不在物料档案里","※物料编码不在档案里",IF(N($K391)&lt;=0,"※入库数量要大于 0",IF(AND($C391&lt;&gt;"",$C391&lt;=结账锁),"※日期早于已结账截止日，不能再录",IF(AND($L391=0,$X391="正常"),"※没填单价，价格状态请选「待补价」",IF(AND($S391&gt;0,$R391&gt;0),"△本批有 "&amp;$S391&amp;" 行没单价，整批运费先挂账没摊",IF(AND($B391&lt;&gt;"",COUNTIF($B$4:$B$2503,$B391)&gt;1),"※入库单号重复","")))))))</f>
        <v/>
      </c>
    </row>
    <row r="392">
      <c r="A392" s="24">
        <f>IF($G392="","",COUNTA($G$4:$G392))</f>
        <v/>
      </c>
      <c r="B392" s="17" t="n"/>
      <c r="C392" s="30" t="n">
        <v>46102</v>
      </c>
      <c r="D392" s="17" t="inlineStr">
        <is>
          <t>A国内</t>
        </is>
      </c>
      <c r="E392" s="17" t="inlineStr">
        <is>
          <t>CBHU9041804-202603</t>
        </is>
      </c>
      <c r="F392" s="17" t="inlineStr">
        <is>
          <t>烟台市金豪矿山机械有限公司</t>
        </is>
      </c>
      <c r="G392" s="17" t="inlineStr">
        <is>
          <t>JH0346</t>
        </is>
      </c>
      <c r="H392" s="24">
        <f>IF($G392="","",IFERROR(VLOOKUP($G392,物料档案!$A$4:$P$1203,3,0),"※编码不在物料档案里"))</f>
        <v/>
      </c>
      <c r="I392" s="24">
        <f>IF($G392="","",IFERROR(VLOOKUP($G392,物料档案!$A$4:$P$1203,4,0),"※编码不在物料档案里"))</f>
        <v/>
      </c>
      <c r="J392" s="24">
        <f>IF($G392="","",IFERROR(VLOOKUP($G392,物料档案!$A$4:$P$1203,5,0),"※编码不在物料档案里"))</f>
        <v/>
      </c>
      <c r="K392" s="23" t="n">
        <v>10</v>
      </c>
      <c r="L392" s="31" t="n"/>
      <c r="M392" s="24">
        <f>IF($G392="","",IF($D392="A国内","CNY","TZS"))</f>
        <v/>
      </c>
      <c r="N392" s="28">
        <f>IF($G392="","",IF($D392="A国内",汇率,1))</f>
        <v/>
      </c>
      <c r="O392" s="25">
        <f>IF($G392="","",ROUND(N($K392)*N($L392),2))</f>
        <v/>
      </c>
      <c r="P392" s="26">
        <f>IF($G392="","",ROUND($O392*$N392,0))</f>
        <v/>
      </c>
      <c r="Q392" s="26">
        <f>IF($G392="","",SUMIFS($P$4:$P$2503,$E$4:$E$2503,$E392,$Z$4:$Z$2503,"正常"))</f>
        <v/>
      </c>
      <c r="R392" s="26">
        <f>IF($G392="","",SUMIFS(费用台账!$I$4:$I$503,费用台账!$C$4:$C$503,$E392,费用台账!$J$4:$J$503,"是",费用台账!$K$4:$K$503,"正常"))</f>
        <v/>
      </c>
      <c r="S392" s="28">
        <f>IF($G392="","",COUNTIFS($E$4:$E$2503,$E392,$Z$4:$Z$2503,"正常",$Y$4:$Y$2503,"待补价"))</f>
        <v/>
      </c>
      <c r="T392" s="26">
        <f>IF($G392="","",SUMIFS($P$4:$P$2503,$E$4:$E$2503,$E392,$Z$4:$Z$2503,"正常",$A$4:$A$2503,"&lt;="&amp;$A392))</f>
        <v/>
      </c>
      <c r="U392" s="26">
        <f>IF($G392="","",IF(OR($S392&gt;0,$Q392=0,$R392=0,$Z392&lt;&gt;"正常"),0,ROUND($T392/$Q392*$R392,0)-ROUND(($T392-$P392)/$Q392*$R392,0)))</f>
        <v/>
      </c>
      <c r="V392" s="26">
        <f>IF($G392="","",ROUND($P392+$U392,0))</f>
        <v/>
      </c>
      <c r="W392" s="26">
        <f>IF($G392="","",IF(N($K392)=0,0,ROUND($V392/$K392,2)))</f>
        <v/>
      </c>
      <c r="X392" s="17" t="inlineStr">
        <is>
          <t>采购入库</t>
        </is>
      </c>
      <c r="Y392" s="17" t="inlineStr">
        <is>
          <t>待补价</t>
        </is>
      </c>
      <c r="Z392" s="17" t="inlineStr">
        <is>
          <t>正常</t>
        </is>
      </c>
      <c r="AA392" s="17" t="n"/>
      <c r="AB392" s="17" t="inlineStr">
        <is>
          <t>原表第 397 行</t>
        </is>
      </c>
      <c r="AC392" s="24">
        <f>IF($G392="","",IF($H392="※编码不在物料档案里","※物料编码不在档案里",IF(N($K392)&lt;=0,"※入库数量要大于 0",IF(AND($C392&lt;&gt;"",$C392&lt;=结账锁),"※日期早于已结账截止日，不能再录",IF(AND($L392=0,$X392="正常"),"※没填单价，价格状态请选「待补价」",IF(AND($S392&gt;0,$R392&gt;0),"△本批有 "&amp;$S392&amp;" 行没单价，整批运费先挂账没摊",IF(AND($B392&lt;&gt;"",COUNTIF($B$4:$B$2503,$B392)&gt;1),"※入库单号重复","")))))))</f>
        <v/>
      </c>
    </row>
    <row r="393">
      <c r="A393" s="24">
        <f>IF($G393="","",COUNTA($G$4:$G393))</f>
        <v/>
      </c>
      <c r="B393" s="17" t="n"/>
      <c r="C393" s="30" t="n">
        <v>46102</v>
      </c>
      <c r="D393" s="17" t="inlineStr">
        <is>
          <t>A国内</t>
        </is>
      </c>
      <c r="E393" s="17" t="inlineStr">
        <is>
          <t>CBHU9041804-202603</t>
        </is>
      </c>
      <c r="F393" s="17" t="inlineStr">
        <is>
          <t>烟台市金豪矿山机械有限公司</t>
        </is>
      </c>
      <c r="G393" s="17" t="inlineStr">
        <is>
          <t>JH0347</t>
        </is>
      </c>
      <c r="H393" s="24">
        <f>IF($G393="","",IFERROR(VLOOKUP($G393,物料档案!$A$4:$P$1203,3,0),"※编码不在物料档案里"))</f>
        <v/>
      </c>
      <c r="I393" s="24">
        <f>IF($G393="","",IFERROR(VLOOKUP($G393,物料档案!$A$4:$P$1203,4,0),"※编码不在物料档案里"))</f>
        <v/>
      </c>
      <c r="J393" s="24">
        <f>IF($G393="","",IFERROR(VLOOKUP($G393,物料档案!$A$4:$P$1203,5,0),"※编码不在物料档案里"))</f>
        <v/>
      </c>
      <c r="K393" s="23" t="n">
        <v>4</v>
      </c>
      <c r="L393" s="31" t="n">
        <v>270</v>
      </c>
      <c r="M393" s="24">
        <f>IF($G393="","",IF($D393="A国内","CNY","TZS"))</f>
        <v/>
      </c>
      <c r="N393" s="28">
        <f>IF($G393="","",IF($D393="A国内",汇率,1))</f>
        <v/>
      </c>
      <c r="O393" s="25">
        <f>IF($G393="","",ROUND(N($K393)*N($L393),2))</f>
        <v/>
      </c>
      <c r="P393" s="26">
        <f>IF($G393="","",ROUND($O393*$N393,0))</f>
        <v/>
      </c>
      <c r="Q393" s="26">
        <f>IF($G393="","",SUMIFS($P$4:$P$2503,$E$4:$E$2503,$E393,$Z$4:$Z$2503,"正常"))</f>
        <v/>
      </c>
      <c r="R393" s="26">
        <f>IF($G393="","",SUMIFS(费用台账!$I$4:$I$503,费用台账!$C$4:$C$503,$E393,费用台账!$J$4:$J$503,"是",费用台账!$K$4:$K$503,"正常"))</f>
        <v/>
      </c>
      <c r="S393" s="28">
        <f>IF($G393="","",COUNTIFS($E$4:$E$2503,$E393,$Z$4:$Z$2503,"正常",$Y$4:$Y$2503,"待补价"))</f>
        <v/>
      </c>
      <c r="T393" s="26">
        <f>IF($G393="","",SUMIFS($P$4:$P$2503,$E$4:$E$2503,$E393,$Z$4:$Z$2503,"正常",$A$4:$A$2503,"&lt;="&amp;$A393))</f>
        <v/>
      </c>
      <c r="U393" s="26">
        <f>IF($G393="","",IF(OR($S393&gt;0,$Q393=0,$R393=0,$Z393&lt;&gt;"正常"),0,ROUND($T393/$Q393*$R393,0)-ROUND(($T393-$P393)/$Q393*$R393,0)))</f>
        <v/>
      </c>
      <c r="V393" s="26">
        <f>IF($G393="","",ROUND($P393+$U393,0))</f>
        <v/>
      </c>
      <c r="W393" s="26">
        <f>IF($G393="","",IF(N($K393)=0,0,ROUND($V393/$K393,2)))</f>
        <v/>
      </c>
      <c r="X393" s="17" t="inlineStr">
        <is>
          <t>采购入库</t>
        </is>
      </c>
      <c r="Y393" s="17" t="inlineStr">
        <is>
          <t>正常</t>
        </is>
      </c>
      <c r="Z393" s="17" t="inlineStr">
        <is>
          <t>正常</t>
        </is>
      </c>
      <c r="AA393" s="17" t="n"/>
      <c r="AB393" s="17" t="inlineStr">
        <is>
          <t>原表第 398 行</t>
        </is>
      </c>
      <c r="AC393" s="24">
        <f>IF($G393="","",IF($H393="※编码不在物料档案里","※物料编码不在档案里",IF(N($K393)&lt;=0,"※入库数量要大于 0",IF(AND($C393&lt;&gt;"",$C393&lt;=结账锁),"※日期早于已结账截止日，不能再录",IF(AND($L393=0,$X393="正常"),"※没填单价，价格状态请选「待补价」",IF(AND($S393&gt;0,$R393&gt;0),"△本批有 "&amp;$S393&amp;" 行没单价，整批运费先挂账没摊",IF(AND($B393&lt;&gt;"",COUNTIF($B$4:$B$2503,$B393)&gt;1),"※入库单号重复","")))))))</f>
        <v/>
      </c>
    </row>
    <row r="394">
      <c r="A394" s="24">
        <f>IF($G394="","",COUNTA($G$4:$G394))</f>
        <v/>
      </c>
      <c r="B394" s="17" t="n"/>
      <c r="C394" s="30" t="n">
        <v>46102</v>
      </c>
      <c r="D394" s="17" t="inlineStr">
        <is>
          <t>A国内</t>
        </is>
      </c>
      <c r="E394" s="17" t="inlineStr">
        <is>
          <t>CBHU9041804-202603</t>
        </is>
      </c>
      <c r="F394" s="17" t="inlineStr">
        <is>
          <t>烟台市金豪矿山机械有限公司</t>
        </is>
      </c>
      <c r="G394" s="17" t="inlineStr">
        <is>
          <t>JH0348</t>
        </is>
      </c>
      <c r="H394" s="24">
        <f>IF($G394="","",IFERROR(VLOOKUP($G394,物料档案!$A$4:$P$1203,3,0),"※编码不在物料档案里"))</f>
        <v/>
      </c>
      <c r="I394" s="24">
        <f>IF($G394="","",IFERROR(VLOOKUP($G394,物料档案!$A$4:$P$1203,4,0),"※编码不在物料档案里"))</f>
        <v/>
      </c>
      <c r="J394" s="24">
        <f>IF($G394="","",IFERROR(VLOOKUP($G394,物料档案!$A$4:$P$1203,5,0),"※编码不在物料档案里"))</f>
        <v/>
      </c>
      <c r="K394" s="23" t="n">
        <v>2</v>
      </c>
      <c r="L394" s="31" t="n">
        <v>690</v>
      </c>
      <c r="M394" s="24">
        <f>IF($G394="","",IF($D394="A国内","CNY","TZS"))</f>
        <v/>
      </c>
      <c r="N394" s="28">
        <f>IF($G394="","",IF($D394="A国内",汇率,1))</f>
        <v/>
      </c>
      <c r="O394" s="25">
        <f>IF($G394="","",ROUND(N($K394)*N($L394),2))</f>
        <v/>
      </c>
      <c r="P394" s="26">
        <f>IF($G394="","",ROUND($O394*$N394,0))</f>
        <v/>
      </c>
      <c r="Q394" s="26">
        <f>IF($G394="","",SUMIFS($P$4:$P$2503,$E$4:$E$2503,$E394,$Z$4:$Z$2503,"正常"))</f>
        <v/>
      </c>
      <c r="R394" s="26">
        <f>IF($G394="","",SUMIFS(费用台账!$I$4:$I$503,费用台账!$C$4:$C$503,$E394,费用台账!$J$4:$J$503,"是",费用台账!$K$4:$K$503,"正常"))</f>
        <v/>
      </c>
      <c r="S394" s="28">
        <f>IF($G394="","",COUNTIFS($E$4:$E$2503,$E394,$Z$4:$Z$2503,"正常",$Y$4:$Y$2503,"待补价"))</f>
        <v/>
      </c>
      <c r="T394" s="26">
        <f>IF($G394="","",SUMIFS($P$4:$P$2503,$E$4:$E$2503,$E394,$Z$4:$Z$2503,"正常",$A$4:$A$2503,"&lt;="&amp;$A394))</f>
        <v/>
      </c>
      <c r="U394" s="26">
        <f>IF($G394="","",IF(OR($S394&gt;0,$Q394=0,$R394=0,$Z394&lt;&gt;"正常"),0,ROUND($T394/$Q394*$R394,0)-ROUND(($T394-$P394)/$Q394*$R394,0)))</f>
        <v/>
      </c>
      <c r="V394" s="26">
        <f>IF($G394="","",ROUND($P394+$U394,0))</f>
        <v/>
      </c>
      <c r="W394" s="26">
        <f>IF($G394="","",IF(N($K394)=0,0,ROUND($V394/$K394,2)))</f>
        <v/>
      </c>
      <c r="X394" s="17" t="inlineStr">
        <is>
          <t>采购入库</t>
        </is>
      </c>
      <c r="Y394" s="17" t="inlineStr">
        <is>
          <t>正常</t>
        </is>
      </c>
      <c r="Z394" s="17" t="inlineStr">
        <is>
          <t>正常</t>
        </is>
      </c>
      <c r="AA394" s="17" t="n"/>
      <c r="AB394" s="17" t="inlineStr">
        <is>
          <t>原表第 399 行</t>
        </is>
      </c>
      <c r="AC394" s="24">
        <f>IF($G394="","",IF($H394="※编码不在物料档案里","※物料编码不在档案里",IF(N($K394)&lt;=0,"※入库数量要大于 0",IF(AND($C394&lt;&gt;"",$C394&lt;=结账锁),"※日期早于已结账截止日，不能再录",IF(AND($L394=0,$X394="正常"),"※没填单价，价格状态请选「待补价」",IF(AND($S394&gt;0,$R394&gt;0),"△本批有 "&amp;$S394&amp;" 行没单价，整批运费先挂账没摊",IF(AND($B394&lt;&gt;"",COUNTIF($B$4:$B$2503,$B394)&gt;1),"※入库单号重复","")))))))</f>
        <v/>
      </c>
    </row>
    <row r="395">
      <c r="A395" s="24">
        <f>IF($G395="","",COUNTA($G$4:$G395))</f>
        <v/>
      </c>
      <c r="B395" s="17" t="n"/>
      <c r="C395" s="30" t="n">
        <v>46102</v>
      </c>
      <c r="D395" s="17" t="inlineStr">
        <is>
          <t>A国内</t>
        </is>
      </c>
      <c r="E395" s="17" t="inlineStr">
        <is>
          <t>CBHU9041804-202603</t>
        </is>
      </c>
      <c r="F395" s="17" t="inlineStr">
        <is>
          <t>烟台市金豪矿山机械有限公司</t>
        </is>
      </c>
      <c r="G395" s="17" t="inlineStr">
        <is>
          <t>JH0349</t>
        </is>
      </c>
      <c r="H395" s="24">
        <f>IF($G395="","",IFERROR(VLOOKUP($G395,物料档案!$A$4:$P$1203,3,0),"※编码不在物料档案里"))</f>
        <v/>
      </c>
      <c r="I395" s="24">
        <f>IF($G395="","",IFERROR(VLOOKUP($G395,物料档案!$A$4:$P$1203,4,0),"※编码不在物料档案里"))</f>
        <v/>
      </c>
      <c r="J395" s="24">
        <f>IF($G395="","",IFERROR(VLOOKUP($G395,物料档案!$A$4:$P$1203,5,0),"※编码不在物料档案里"))</f>
        <v/>
      </c>
      <c r="K395" s="23" t="n">
        <v>2</v>
      </c>
      <c r="L395" s="31" t="n">
        <v>430</v>
      </c>
      <c r="M395" s="24">
        <f>IF($G395="","",IF($D395="A国内","CNY","TZS"))</f>
        <v/>
      </c>
      <c r="N395" s="28">
        <f>IF($G395="","",IF($D395="A国内",汇率,1))</f>
        <v/>
      </c>
      <c r="O395" s="25">
        <f>IF($G395="","",ROUND(N($K395)*N($L395),2))</f>
        <v/>
      </c>
      <c r="P395" s="26">
        <f>IF($G395="","",ROUND($O395*$N395,0))</f>
        <v/>
      </c>
      <c r="Q395" s="26">
        <f>IF($G395="","",SUMIFS($P$4:$P$2503,$E$4:$E$2503,$E395,$Z$4:$Z$2503,"正常"))</f>
        <v/>
      </c>
      <c r="R395" s="26">
        <f>IF($G395="","",SUMIFS(费用台账!$I$4:$I$503,费用台账!$C$4:$C$503,$E395,费用台账!$J$4:$J$503,"是",费用台账!$K$4:$K$503,"正常"))</f>
        <v/>
      </c>
      <c r="S395" s="28">
        <f>IF($G395="","",COUNTIFS($E$4:$E$2503,$E395,$Z$4:$Z$2503,"正常",$Y$4:$Y$2503,"待补价"))</f>
        <v/>
      </c>
      <c r="T395" s="26">
        <f>IF($G395="","",SUMIFS($P$4:$P$2503,$E$4:$E$2503,$E395,$Z$4:$Z$2503,"正常",$A$4:$A$2503,"&lt;="&amp;$A395))</f>
        <v/>
      </c>
      <c r="U395" s="26">
        <f>IF($G395="","",IF(OR($S395&gt;0,$Q395=0,$R395=0,$Z395&lt;&gt;"正常"),0,ROUND($T395/$Q395*$R395,0)-ROUND(($T395-$P395)/$Q395*$R395,0)))</f>
        <v/>
      </c>
      <c r="V395" s="26">
        <f>IF($G395="","",ROUND($P395+$U395,0))</f>
        <v/>
      </c>
      <c r="W395" s="26">
        <f>IF($G395="","",IF(N($K395)=0,0,ROUND($V395/$K395,2)))</f>
        <v/>
      </c>
      <c r="X395" s="17" t="inlineStr">
        <is>
          <t>采购入库</t>
        </is>
      </c>
      <c r="Y395" s="17" t="inlineStr">
        <is>
          <t>正常</t>
        </is>
      </c>
      <c r="Z395" s="17" t="inlineStr">
        <is>
          <t>正常</t>
        </is>
      </c>
      <c r="AA395" s="17" t="n"/>
      <c r="AB395" s="17" t="inlineStr">
        <is>
          <t>原表第 400 行</t>
        </is>
      </c>
      <c r="AC395" s="24">
        <f>IF($G395="","",IF($H395="※编码不在物料档案里","※物料编码不在档案里",IF(N($K395)&lt;=0,"※入库数量要大于 0",IF(AND($C395&lt;&gt;"",$C395&lt;=结账锁),"※日期早于已结账截止日，不能再录",IF(AND($L395=0,$X395="正常"),"※没填单价，价格状态请选「待补价」",IF(AND($S395&gt;0,$R395&gt;0),"△本批有 "&amp;$S395&amp;" 行没单价，整批运费先挂账没摊",IF(AND($B395&lt;&gt;"",COUNTIF($B$4:$B$2503,$B395)&gt;1),"※入库单号重复","")))))))</f>
        <v/>
      </c>
    </row>
    <row r="396">
      <c r="A396" s="24">
        <f>IF($G396="","",COUNTA($G$4:$G396))</f>
        <v/>
      </c>
      <c r="B396" s="17" t="n"/>
      <c r="C396" s="30" t="n">
        <v>46102</v>
      </c>
      <c r="D396" s="17" t="inlineStr">
        <is>
          <t>A国内</t>
        </is>
      </c>
      <c r="E396" s="17" t="inlineStr">
        <is>
          <t>CBHU9041804-202603</t>
        </is>
      </c>
      <c r="F396" s="17" t="inlineStr">
        <is>
          <t>烟台市金豪矿山机械有限公司</t>
        </is>
      </c>
      <c r="G396" s="17" t="inlineStr">
        <is>
          <t>JH0350</t>
        </is>
      </c>
      <c r="H396" s="24">
        <f>IF($G396="","",IFERROR(VLOOKUP($G396,物料档案!$A$4:$P$1203,3,0),"※编码不在物料档案里"))</f>
        <v/>
      </c>
      <c r="I396" s="24">
        <f>IF($G396="","",IFERROR(VLOOKUP($G396,物料档案!$A$4:$P$1203,4,0),"※编码不在物料档案里"))</f>
        <v/>
      </c>
      <c r="J396" s="24">
        <f>IF($G396="","",IFERROR(VLOOKUP($G396,物料档案!$A$4:$P$1203,5,0),"※编码不在物料档案里"))</f>
        <v/>
      </c>
      <c r="K396" s="23" t="n">
        <v>10</v>
      </c>
      <c r="L396" s="31" t="n">
        <v>340</v>
      </c>
      <c r="M396" s="24">
        <f>IF($G396="","",IF($D396="A国内","CNY","TZS"))</f>
        <v/>
      </c>
      <c r="N396" s="28">
        <f>IF($G396="","",IF($D396="A国内",汇率,1))</f>
        <v/>
      </c>
      <c r="O396" s="25">
        <f>IF($G396="","",ROUND(N($K396)*N($L396),2))</f>
        <v/>
      </c>
      <c r="P396" s="26">
        <f>IF($G396="","",ROUND($O396*$N396,0))</f>
        <v/>
      </c>
      <c r="Q396" s="26">
        <f>IF($G396="","",SUMIFS($P$4:$P$2503,$E$4:$E$2503,$E396,$Z$4:$Z$2503,"正常"))</f>
        <v/>
      </c>
      <c r="R396" s="26">
        <f>IF($G396="","",SUMIFS(费用台账!$I$4:$I$503,费用台账!$C$4:$C$503,$E396,费用台账!$J$4:$J$503,"是",费用台账!$K$4:$K$503,"正常"))</f>
        <v/>
      </c>
      <c r="S396" s="28">
        <f>IF($G396="","",COUNTIFS($E$4:$E$2503,$E396,$Z$4:$Z$2503,"正常",$Y$4:$Y$2503,"待补价"))</f>
        <v/>
      </c>
      <c r="T396" s="26">
        <f>IF($G396="","",SUMIFS($P$4:$P$2503,$E$4:$E$2503,$E396,$Z$4:$Z$2503,"正常",$A$4:$A$2503,"&lt;="&amp;$A396))</f>
        <v/>
      </c>
      <c r="U396" s="26">
        <f>IF($G396="","",IF(OR($S396&gt;0,$Q396=0,$R396=0,$Z396&lt;&gt;"正常"),0,ROUND($T396/$Q396*$R396,0)-ROUND(($T396-$P396)/$Q396*$R396,0)))</f>
        <v/>
      </c>
      <c r="V396" s="26">
        <f>IF($G396="","",ROUND($P396+$U396,0))</f>
        <v/>
      </c>
      <c r="W396" s="26">
        <f>IF($G396="","",IF(N($K396)=0,0,ROUND($V396/$K396,2)))</f>
        <v/>
      </c>
      <c r="X396" s="17" t="inlineStr">
        <is>
          <t>采购入库</t>
        </is>
      </c>
      <c r="Y396" s="17" t="inlineStr">
        <is>
          <t>正常</t>
        </is>
      </c>
      <c r="Z396" s="17" t="inlineStr">
        <is>
          <t>正常</t>
        </is>
      </c>
      <c r="AA396" s="17" t="n"/>
      <c r="AB396" s="17" t="inlineStr">
        <is>
          <t>原表第 401 行</t>
        </is>
      </c>
      <c r="AC396" s="24">
        <f>IF($G396="","",IF($H396="※编码不在物料档案里","※物料编码不在档案里",IF(N($K396)&lt;=0,"※入库数量要大于 0",IF(AND($C396&lt;&gt;"",$C396&lt;=结账锁),"※日期早于已结账截止日，不能再录",IF(AND($L396=0,$X396="正常"),"※没填单价，价格状态请选「待补价」",IF(AND($S396&gt;0,$R396&gt;0),"△本批有 "&amp;$S396&amp;" 行没单价，整批运费先挂账没摊",IF(AND($B396&lt;&gt;"",COUNTIF($B$4:$B$2503,$B396)&gt;1),"※入库单号重复","")))))))</f>
        <v/>
      </c>
    </row>
    <row r="397">
      <c r="A397" s="24">
        <f>IF($G397="","",COUNTA($G$4:$G397))</f>
        <v/>
      </c>
      <c r="B397" s="17" t="n"/>
      <c r="C397" s="30" t="n">
        <v>46102</v>
      </c>
      <c r="D397" s="17" t="inlineStr">
        <is>
          <t>A国内</t>
        </is>
      </c>
      <c r="E397" s="17" t="inlineStr">
        <is>
          <t>CBHU9041804-202603</t>
        </is>
      </c>
      <c r="F397" s="17" t="inlineStr">
        <is>
          <t>烟台市金豪矿山机械有限公司</t>
        </is>
      </c>
      <c r="G397" s="17" t="inlineStr">
        <is>
          <t>JH0351</t>
        </is>
      </c>
      <c r="H397" s="24">
        <f>IF($G397="","",IFERROR(VLOOKUP($G397,物料档案!$A$4:$P$1203,3,0),"※编码不在物料档案里"))</f>
        <v/>
      </c>
      <c r="I397" s="24">
        <f>IF($G397="","",IFERROR(VLOOKUP($G397,物料档案!$A$4:$P$1203,4,0),"※编码不在物料档案里"))</f>
        <v/>
      </c>
      <c r="J397" s="24">
        <f>IF($G397="","",IFERROR(VLOOKUP($G397,物料档案!$A$4:$P$1203,5,0),"※编码不在物料档案里"))</f>
        <v/>
      </c>
      <c r="K397" s="23" t="n">
        <v>10</v>
      </c>
      <c r="L397" s="31" t="n">
        <v>26</v>
      </c>
      <c r="M397" s="24">
        <f>IF($G397="","",IF($D397="A国内","CNY","TZS"))</f>
        <v/>
      </c>
      <c r="N397" s="28">
        <f>IF($G397="","",IF($D397="A国内",汇率,1))</f>
        <v/>
      </c>
      <c r="O397" s="25">
        <f>IF($G397="","",ROUND(N($K397)*N($L397),2))</f>
        <v/>
      </c>
      <c r="P397" s="26">
        <f>IF($G397="","",ROUND($O397*$N397,0))</f>
        <v/>
      </c>
      <c r="Q397" s="26">
        <f>IF($G397="","",SUMIFS($P$4:$P$2503,$E$4:$E$2503,$E397,$Z$4:$Z$2503,"正常"))</f>
        <v/>
      </c>
      <c r="R397" s="26">
        <f>IF($G397="","",SUMIFS(费用台账!$I$4:$I$503,费用台账!$C$4:$C$503,$E397,费用台账!$J$4:$J$503,"是",费用台账!$K$4:$K$503,"正常"))</f>
        <v/>
      </c>
      <c r="S397" s="28">
        <f>IF($G397="","",COUNTIFS($E$4:$E$2503,$E397,$Z$4:$Z$2503,"正常",$Y$4:$Y$2503,"待补价"))</f>
        <v/>
      </c>
      <c r="T397" s="26">
        <f>IF($G397="","",SUMIFS($P$4:$P$2503,$E$4:$E$2503,$E397,$Z$4:$Z$2503,"正常",$A$4:$A$2503,"&lt;="&amp;$A397))</f>
        <v/>
      </c>
      <c r="U397" s="26">
        <f>IF($G397="","",IF(OR($S397&gt;0,$Q397=0,$R397=0,$Z397&lt;&gt;"正常"),0,ROUND($T397/$Q397*$R397,0)-ROUND(($T397-$P397)/$Q397*$R397,0)))</f>
        <v/>
      </c>
      <c r="V397" s="26">
        <f>IF($G397="","",ROUND($P397+$U397,0))</f>
        <v/>
      </c>
      <c r="W397" s="26">
        <f>IF($G397="","",IF(N($K397)=0,0,ROUND($V397/$K397,2)))</f>
        <v/>
      </c>
      <c r="X397" s="17" t="inlineStr">
        <is>
          <t>采购入库</t>
        </is>
      </c>
      <c r="Y397" s="17" t="inlineStr">
        <is>
          <t>正常</t>
        </is>
      </c>
      <c r="Z397" s="17" t="inlineStr">
        <is>
          <t>正常</t>
        </is>
      </c>
      <c r="AA397" s="17" t="n"/>
      <c r="AB397" s="17" t="inlineStr">
        <is>
          <t>原表第 402 行</t>
        </is>
      </c>
      <c r="AC397" s="24">
        <f>IF($G397="","",IF($H397="※编码不在物料档案里","※物料编码不在档案里",IF(N($K397)&lt;=0,"※入库数量要大于 0",IF(AND($C397&lt;&gt;"",$C397&lt;=结账锁),"※日期早于已结账截止日，不能再录",IF(AND($L397=0,$X397="正常"),"※没填单价，价格状态请选「待补价」",IF(AND($S397&gt;0,$R397&gt;0),"△本批有 "&amp;$S397&amp;" 行没单价，整批运费先挂账没摊",IF(AND($B397&lt;&gt;"",COUNTIF($B$4:$B$2503,$B397)&gt;1),"※入库单号重复","")))))))</f>
        <v/>
      </c>
    </row>
    <row r="398">
      <c r="A398" s="24">
        <f>IF($G398="","",COUNTA($G$4:$G398))</f>
        <v/>
      </c>
      <c r="B398" s="17" t="n"/>
      <c r="C398" s="30" t="n">
        <v>46102</v>
      </c>
      <c r="D398" s="17" t="inlineStr">
        <is>
          <t>A国内</t>
        </is>
      </c>
      <c r="E398" s="17" t="inlineStr">
        <is>
          <t>CBHU9041804-202603</t>
        </is>
      </c>
      <c r="F398" s="17" t="inlineStr">
        <is>
          <t>烟台市金豪矿山机械有限公司</t>
        </is>
      </c>
      <c r="G398" s="17" t="inlineStr">
        <is>
          <t>JH0352</t>
        </is>
      </c>
      <c r="H398" s="24">
        <f>IF($G398="","",IFERROR(VLOOKUP($G398,物料档案!$A$4:$P$1203,3,0),"※编码不在物料档案里"))</f>
        <v/>
      </c>
      <c r="I398" s="24">
        <f>IF($G398="","",IFERROR(VLOOKUP($G398,物料档案!$A$4:$P$1203,4,0),"※编码不在物料档案里"))</f>
        <v/>
      </c>
      <c r="J398" s="24">
        <f>IF($G398="","",IFERROR(VLOOKUP($G398,物料档案!$A$4:$P$1203,5,0),"※编码不在物料档案里"))</f>
        <v/>
      </c>
      <c r="K398" s="23" t="n">
        <v>70</v>
      </c>
      <c r="L398" s="31" t="n">
        <v>33</v>
      </c>
      <c r="M398" s="24">
        <f>IF($G398="","",IF($D398="A国内","CNY","TZS"))</f>
        <v/>
      </c>
      <c r="N398" s="28">
        <f>IF($G398="","",IF($D398="A国内",汇率,1))</f>
        <v/>
      </c>
      <c r="O398" s="25">
        <f>IF($G398="","",ROUND(N($K398)*N($L398),2))</f>
        <v/>
      </c>
      <c r="P398" s="26">
        <f>IF($G398="","",ROUND($O398*$N398,0))</f>
        <v/>
      </c>
      <c r="Q398" s="26">
        <f>IF($G398="","",SUMIFS($P$4:$P$2503,$E$4:$E$2503,$E398,$Z$4:$Z$2503,"正常"))</f>
        <v/>
      </c>
      <c r="R398" s="26">
        <f>IF($G398="","",SUMIFS(费用台账!$I$4:$I$503,费用台账!$C$4:$C$503,$E398,费用台账!$J$4:$J$503,"是",费用台账!$K$4:$K$503,"正常"))</f>
        <v/>
      </c>
      <c r="S398" s="28">
        <f>IF($G398="","",COUNTIFS($E$4:$E$2503,$E398,$Z$4:$Z$2503,"正常",$Y$4:$Y$2503,"待补价"))</f>
        <v/>
      </c>
      <c r="T398" s="26">
        <f>IF($G398="","",SUMIFS($P$4:$P$2503,$E$4:$E$2503,$E398,$Z$4:$Z$2503,"正常",$A$4:$A$2503,"&lt;="&amp;$A398))</f>
        <v/>
      </c>
      <c r="U398" s="26">
        <f>IF($G398="","",IF(OR($S398&gt;0,$Q398=0,$R398=0,$Z398&lt;&gt;"正常"),0,ROUND($T398/$Q398*$R398,0)-ROUND(($T398-$P398)/$Q398*$R398,0)))</f>
        <v/>
      </c>
      <c r="V398" s="26">
        <f>IF($G398="","",ROUND($P398+$U398,0))</f>
        <v/>
      </c>
      <c r="W398" s="26">
        <f>IF($G398="","",IF(N($K398)=0,0,ROUND($V398/$K398,2)))</f>
        <v/>
      </c>
      <c r="X398" s="17" t="inlineStr">
        <is>
          <t>采购入库</t>
        </is>
      </c>
      <c r="Y398" s="17" t="inlineStr">
        <is>
          <t>正常</t>
        </is>
      </c>
      <c r="Z398" s="17" t="inlineStr">
        <is>
          <t>正常</t>
        </is>
      </c>
      <c r="AA398" s="17" t="n"/>
      <c r="AB398" s="17" t="inlineStr">
        <is>
          <t>原表第 403 行</t>
        </is>
      </c>
      <c r="AC398" s="24">
        <f>IF($G398="","",IF($H398="※编码不在物料档案里","※物料编码不在档案里",IF(N($K398)&lt;=0,"※入库数量要大于 0",IF(AND($C398&lt;&gt;"",$C398&lt;=结账锁),"※日期早于已结账截止日，不能再录",IF(AND($L398=0,$X398="正常"),"※没填单价，价格状态请选「待补价」",IF(AND($S398&gt;0,$R398&gt;0),"△本批有 "&amp;$S398&amp;" 行没单价，整批运费先挂账没摊",IF(AND($B398&lt;&gt;"",COUNTIF($B$4:$B$2503,$B398)&gt;1),"※入库单号重复","")))))))</f>
        <v/>
      </c>
    </row>
    <row r="399">
      <c r="A399" s="24">
        <f>IF($G399="","",COUNTA($G$4:$G399))</f>
        <v/>
      </c>
      <c r="B399" s="17" t="n"/>
      <c r="C399" s="30" t="n">
        <v>46102</v>
      </c>
      <c r="D399" s="17" t="inlineStr">
        <is>
          <t>A国内</t>
        </is>
      </c>
      <c r="E399" s="17" t="inlineStr">
        <is>
          <t>CBHU9041804-202603</t>
        </is>
      </c>
      <c r="F399" s="17" t="inlineStr">
        <is>
          <t>烟台市金豪矿山机械有限公司</t>
        </is>
      </c>
      <c r="G399" s="17" t="inlineStr">
        <is>
          <t>JH0353</t>
        </is>
      </c>
      <c r="H399" s="24">
        <f>IF($G399="","",IFERROR(VLOOKUP($G399,物料档案!$A$4:$P$1203,3,0),"※编码不在物料档案里"))</f>
        <v/>
      </c>
      <c r="I399" s="24">
        <f>IF($G399="","",IFERROR(VLOOKUP($G399,物料档案!$A$4:$P$1203,4,0),"※编码不在物料档案里"))</f>
        <v/>
      </c>
      <c r="J399" s="24">
        <f>IF($G399="","",IFERROR(VLOOKUP($G399,物料档案!$A$4:$P$1203,5,0),"※编码不在物料档案里"))</f>
        <v/>
      </c>
      <c r="K399" s="23" t="n">
        <v>40</v>
      </c>
      <c r="L399" s="31" t="n">
        <v>30</v>
      </c>
      <c r="M399" s="24">
        <f>IF($G399="","",IF($D399="A国内","CNY","TZS"))</f>
        <v/>
      </c>
      <c r="N399" s="28">
        <f>IF($G399="","",IF($D399="A国内",汇率,1))</f>
        <v/>
      </c>
      <c r="O399" s="25">
        <f>IF($G399="","",ROUND(N($K399)*N($L399),2))</f>
        <v/>
      </c>
      <c r="P399" s="26">
        <f>IF($G399="","",ROUND($O399*$N399,0))</f>
        <v/>
      </c>
      <c r="Q399" s="26">
        <f>IF($G399="","",SUMIFS($P$4:$P$2503,$E$4:$E$2503,$E399,$Z$4:$Z$2503,"正常"))</f>
        <v/>
      </c>
      <c r="R399" s="26">
        <f>IF($G399="","",SUMIFS(费用台账!$I$4:$I$503,费用台账!$C$4:$C$503,$E399,费用台账!$J$4:$J$503,"是",费用台账!$K$4:$K$503,"正常"))</f>
        <v/>
      </c>
      <c r="S399" s="28">
        <f>IF($G399="","",COUNTIFS($E$4:$E$2503,$E399,$Z$4:$Z$2503,"正常",$Y$4:$Y$2503,"待补价"))</f>
        <v/>
      </c>
      <c r="T399" s="26">
        <f>IF($G399="","",SUMIFS($P$4:$P$2503,$E$4:$E$2503,$E399,$Z$4:$Z$2503,"正常",$A$4:$A$2503,"&lt;="&amp;$A399))</f>
        <v/>
      </c>
      <c r="U399" s="26">
        <f>IF($G399="","",IF(OR($S399&gt;0,$Q399=0,$R399=0,$Z399&lt;&gt;"正常"),0,ROUND($T399/$Q399*$R399,0)-ROUND(($T399-$P399)/$Q399*$R399,0)))</f>
        <v/>
      </c>
      <c r="V399" s="26">
        <f>IF($G399="","",ROUND($P399+$U399,0))</f>
        <v/>
      </c>
      <c r="W399" s="26">
        <f>IF($G399="","",IF(N($K399)=0,0,ROUND($V399/$K399,2)))</f>
        <v/>
      </c>
      <c r="X399" s="17" t="inlineStr">
        <is>
          <t>采购入库</t>
        </is>
      </c>
      <c r="Y399" s="17" t="inlineStr">
        <is>
          <t>正常</t>
        </is>
      </c>
      <c r="Z399" s="17" t="inlineStr">
        <is>
          <t>正常</t>
        </is>
      </c>
      <c r="AA399" s="17" t="n"/>
      <c r="AB399" s="17" t="inlineStr">
        <is>
          <t>原表第 404 行</t>
        </is>
      </c>
      <c r="AC399" s="24">
        <f>IF($G399="","",IF($H399="※编码不在物料档案里","※物料编码不在档案里",IF(N($K399)&lt;=0,"※入库数量要大于 0",IF(AND($C399&lt;&gt;"",$C399&lt;=结账锁),"※日期早于已结账截止日，不能再录",IF(AND($L399=0,$X399="正常"),"※没填单价，价格状态请选「待补价」",IF(AND($S399&gt;0,$R399&gt;0),"△本批有 "&amp;$S399&amp;" 行没单价，整批运费先挂账没摊",IF(AND($B399&lt;&gt;"",COUNTIF($B$4:$B$2503,$B399)&gt;1),"※入库单号重复","")))))))</f>
        <v/>
      </c>
    </row>
    <row r="400">
      <c r="A400" s="24">
        <f>IF($G400="","",COUNTA($G$4:$G400))</f>
        <v/>
      </c>
      <c r="B400" s="17" t="n"/>
      <c r="C400" s="30" t="n">
        <v>46102</v>
      </c>
      <c r="D400" s="17" t="inlineStr">
        <is>
          <t>A国内</t>
        </is>
      </c>
      <c r="E400" s="17" t="inlineStr">
        <is>
          <t>CBHU9041804-202603</t>
        </is>
      </c>
      <c r="F400" s="17" t="inlineStr">
        <is>
          <t>烟台市金豪矿山机械有限公司</t>
        </is>
      </c>
      <c r="G400" s="17" t="inlineStr">
        <is>
          <t>JH0354</t>
        </is>
      </c>
      <c r="H400" s="24">
        <f>IF($G400="","",IFERROR(VLOOKUP($G400,物料档案!$A$4:$P$1203,3,0),"※编码不在物料档案里"))</f>
        <v/>
      </c>
      <c r="I400" s="24">
        <f>IF($G400="","",IFERROR(VLOOKUP($G400,物料档案!$A$4:$P$1203,4,0),"※编码不在物料档案里"))</f>
        <v/>
      </c>
      <c r="J400" s="24">
        <f>IF($G400="","",IFERROR(VLOOKUP($G400,物料档案!$A$4:$P$1203,5,0),"※编码不在物料档案里"))</f>
        <v/>
      </c>
      <c r="K400" s="23" t="n">
        <v>5</v>
      </c>
      <c r="L400" s="31" t="n">
        <v>19</v>
      </c>
      <c r="M400" s="24">
        <f>IF($G400="","",IF($D400="A国内","CNY","TZS"))</f>
        <v/>
      </c>
      <c r="N400" s="28">
        <f>IF($G400="","",IF($D400="A国内",汇率,1))</f>
        <v/>
      </c>
      <c r="O400" s="25">
        <f>IF($G400="","",ROUND(N($K400)*N($L400),2))</f>
        <v/>
      </c>
      <c r="P400" s="26">
        <f>IF($G400="","",ROUND($O400*$N400,0))</f>
        <v/>
      </c>
      <c r="Q400" s="26">
        <f>IF($G400="","",SUMIFS($P$4:$P$2503,$E$4:$E$2503,$E400,$Z$4:$Z$2503,"正常"))</f>
        <v/>
      </c>
      <c r="R400" s="26">
        <f>IF($G400="","",SUMIFS(费用台账!$I$4:$I$503,费用台账!$C$4:$C$503,$E400,费用台账!$J$4:$J$503,"是",费用台账!$K$4:$K$503,"正常"))</f>
        <v/>
      </c>
      <c r="S400" s="28">
        <f>IF($G400="","",COUNTIFS($E$4:$E$2503,$E400,$Z$4:$Z$2503,"正常",$Y$4:$Y$2503,"待补价"))</f>
        <v/>
      </c>
      <c r="T400" s="26">
        <f>IF($G400="","",SUMIFS($P$4:$P$2503,$E$4:$E$2503,$E400,$Z$4:$Z$2503,"正常",$A$4:$A$2503,"&lt;="&amp;$A400))</f>
        <v/>
      </c>
      <c r="U400" s="26">
        <f>IF($G400="","",IF(OR($S400&gt;0,$Q400=0,$R400=0,$Z400&lt;&gt;"正常"),0,ROUND($T400/$Q400*$R400,0)-ROUND(($T400-$P400)/$Q400*$R400,0)))</f>
        <v/>
      </c>
      <c r="V400" s="26">
        <f>IF($G400="","",ROUND($P400+$U400,0))</f>
        <v/>
      </c>
      <c r="W400" s="26">
        <f>IF($G400="","",IF(N($K400)=0,0,ROUND($V400/$K400,2)))</f>
        <v/>
      </c>
      <c r="X400" s="17" t="inlineStr">
        <is>
          <t>采购入库</t>
        </is>
      </c>
      <c r="Y400" s="17" t="inlineStr">
        <is>
          <t>正常</t>
        </is>
      </c>
      <c r="Z400" s="17" t="inlineStr">
        <is>
          <t>正常</t>
        </is>
      </c>
      <c r="AA400" s="17" t="n"/>
      <c r="AB400" s="17" t="inlineStr">
        <is>
          <t>原表第 405 行</t>
        </is>
      </c>
      <c r="AC400" s="24">
        <f>IF($G400="","",IF($H400="※编码不在物料档案里","※物料编码不在档案里",IF(N($K400)&lt;=0,"※入库数量要大于 0",IF(AND($C400&lt;&gt;"",$C400&lt;=结账锁),"※日期早于已结账截止日，不能再录",IF(AND($L400=0,$X400="正常"),"※没填单价，价格状态请选「待补价」",IF(AND($S400&gt;0,$R400&gt;0),"△本批有 "&amp;$S400&amp;" 行没单价，整批运费先挂账没摊",IF(AND($B400&lt;&gt;"",COUNTIF($B$4:$B$2503,$B400)&gt;1),"※入库单号重复","")))))))</f>
        <v/>
      </c>
    </row>
    <row r="401">
      <c r="A401" s="24">
        <f>IF($G401="","",COUNTA($G$4:$G401))</f>
        <v/>
      </c>
      <c r="B401" s="17" t="n"/>
      <c r="C401" s="30" t="n">
        <v>46102</v>
      </c>
      <c r="D401" s="17" t="inlineStr">
        <is>
          <t>A国内</t>
        </is>
      </c>
      <c r="E401" s="17" t="inlineStr">
        <is>
          <t>CBHU9041804-202603</t>
        </is>
      </c>
      <c r="F401" s="17" t="inlineStr">
        <is>
          <t>烟台市金豪矿山机械有限公司</t>
        </is>
      </c>
      <c r="G401" s="17" t="inlineStr">
        <is>
          <t>JH0355</t>
        </is>
      </c>
      <c r="H401" s="24">
        <f>IF($G401="","",IFERROR(VLOOKUP($G401,物料档案!$A$4:$P$1203,3,0),"※编码不在物料档案里"))</f>
        <v/>
      </c>
      <c r="I401" s="24">
        <f>IF($G401="","",IFERROR(VLOOKUP($G401,物料档案!$A$4:$P$1203,4,0),"※编码不在物料档案里"))</f>
        <v/>
      </c>
      <c r="J401" s="24">
        <f>IF($G401="","",IFERROR(VLOOKUP($G401,物料档案!$A$4:$P$1203,5,0),"※编码不在物料档案里"))</f>
        <v/>
      </c>
      <c r="K401" s="23" t="n">
        <v>5</v>
      </c>
      <c r="L401" s="31" t="n">
        <v>18</v>
      </c>
      <c r="M401" s="24">
        <f>IF($G401="","",IF($D401="A国内","CNY","TZS"))</f>
        <v/>
      </c>
      <c r="N401" s="28">
        <f>IF($G401="","",IF($D401="A国内",汇率,1))</f>
        <v/>
      </c>
      <c r="O401" s="25">
        <f>IF($G401="","",ROUND(N($K401)*N($L401),2))</f>
        <v/>
      </c>
      <c r="P401" s="26">
        <f>IF($G401="","",ROUND($O401*$N401,0))</f>
        <v/>
      </c>
      <c r="Q401" s="26">
        <f>IF($G401="","",SUMIFS($P$4:$P$2503,$E$4:$E$2503,$E401,$Z$4:$Z$2503,"正常"))</f>
        <v/>
      </c>
      <c r="R401" s="26">
        <f>IF($G401="","",SUMIFS(费用台账!$I$4:$I$503,费用台账!$C$4:$C$503,$E401,费用台账!$J$4:$J$503,"是",费用台账!$K$4:$K$503,"正常"))</f>
        <v/>
      </c>
      <c r="S401" s="28">
        <f>IF($G401="","",COUNTIFS($E$4:$E$2503,$E401,$Z$4:$Z$2503,"正常",$Y$4:$Y$2503,"待补价"))</f>
        <v/>
      </c>
      <c r="T401" s="26">
        <f>IF($G401="","",SUMIFS($P$4:$P$2503,$E$4:$E$2503,$E401,$Z$4:$Z$2503,"正常",$A$4:$A$2503,"&lt;="&amp;$A401))</f>
        <v/>
      </c>
      <c r="U401" s="26">
        <f>IF($G401="","",IF(OR($S401&gt;0,$Q401=0,$R401=0,$Z401&lt;&gt;"正常"),0,ROUND($T401/$Q401*$R401,0)-ROUND(($T401-$P401)/$Q401*$R401,0)))</f>
        <v/>
      </c>
      <c r="V401" s="26">
        <f>IF($G401="","",ROUND($P401+$U401,0))</f>
        <v/>
      </c>
      <c r="W401" s="26">
        <f>IF($G401="","",IF(N($K401)=0,0,ROUND($V401/$K401,2)))</f>
        <v/>
      </c>
      <c r="X401" s="17" t="inlineStr">
        <is>
          <t>采购入库</t>
        </is>
      </c>
      <c r="Y401" s="17" t="inlineStr">
        <is>
          <t>正常</t>
        </is>
      </c>
      <c r="Z401" s="17" t="inlineStr">
        <is>
          <t>正常</t>
        </is>
      </c>
      <c r="AA401" s="17" t="n"/>
      <c r="AB401" s="17" t="inlineStr">
        <is>
          <t>原表第 406 行</t>
        </is>
      </c>
      <c r="AC401" s="24">
        <f>IF($G401="","",IF($H401="※编码不在物料档案里","※物料编码不在档案里",IF(N($K401)&lt;=0,"※入库数量要大于 0",IF(AND($C401&lt;&gt;"",$C401&lt;=结账锁),"※日期早于已结账截止日，不能再录",IF(AND($L401=0,$X401="正常"),"※没填单价，价格状态请选「待补价」",IF(AND($S401&gt;0,$R401&gt;0),"△本批有 "&amp;$S401&amp;" 行没单价，整批运费先挂账没摊",IF(AND($B401&lt;&gt;"",COUNTIF($B$4:$B$2503,$B401)&gt;1),"※入库单号重复","")))))))</f>
        <v/>
      </c>
    </row>
    <row r="402">
      <c r="A402" s="24">
        <f>IF($G402="","",COUNTA($G$4:$G402))</f>
        <v/>
      </c>
      <c r="B402" s="17" t="n"/>
      <c r="C402" s="30" t="n">
        <v>46102</v>
      </c>
      <c r="D402" s="17" t="inlineStr">
        <is>
          <t>A国内</t>
        </is>
      </c>
      <c r="E402" s="17" t="inlineStr">
        <is>
          <t>CBHU9041804-202603</t>
        </is>
      </c>
      <c r="F402" s="17" t="inlineStr">
        <is>
          <t>烟台市金豪矿山机械有限公司</t>
        </is>
      </c>
      <c r="G402" s="17" t="inlineStr">
        <is>
          <t>JH0356</t>
        </is>
      </c>
      <c r="H402" s="24">
        <f>IF($G402="","",IFERROR(VLOOKUP($G402,物料档案!$A$4:$P$1203,3,0),"※编码不在物料档案里"))</f>
        <v/>
      </c>
      <c r="I402" s="24">
        <f>IF($G402="","",IFERROR(VLOOKUP($G402,物料档案!$A$4:$P$1203,4,0),"※编码不在物料档案里"))</f>
        <v/>
      </c>
      <c r="J402" s="24">
        <f>IF($G402="","",IFERROR(VLOOKUP($G402,物料档案!$A$4:$P$1203,5,0),"※编码不在物料档案里"))</f>
        <v/>
      </c>
      <c r="K402" s="23" t="n">
        <v>20</v>
      </c>
      <c r="L402" s="31" t="n">
        <v>46</v>
      </c>
      <c r="M402" s="24">
        <f>IF($G402="","",IF($D402="A国内","CNY","TZS"))</f>
        <v/>
      </c>
      <c r="N402" s="28">
        <f>IF($G402="","",IF($D402="A国内",汇率,1))</f>
        <v/>
      </c>
      <c r="O402" s="25">
        <f>IF($G402="","",ROUND(N($K402)*N($L402),2))</f>
        <v/>
      </c>
      <c r="P402" s="26">
        <f>IF($G402="","",ROUND($O402*$N402,0))</f>
        <v/>
      </c>
      <c r="Q402" s="26">
        <f>IF($G402="","",SUMIFS($P$4:$P$2503,$E$4:$E$2503,$E402,$Z$4:$Z$2503,"正常"))</f>
        <v/>
      </c>
      <c r="R402" s="26">
        <f>IF($G402="","",SUMIFS(费用台账!$I$4:$I$503,费用台账!$C$4:$C$503,$E402,费用台账!$J$4:$J$503,"是",费用台账!$K$4:$K$503,"正常"))</f>
        <v/>
      </c>
      <c r="S402" s="28">
        <f>IF($G402="","",COUNTIFS($E$4:$E$2503,$E402,$Z$4:$Z$2503,"正常",$Y$4:$Y$2503,"待补价"))</f>
        <v/>
      </c>
      <c r="T402" s="26">
        <f>IF($G402="","",SUMIFS($P$4:$P$2503,$E$4:$E$2503,$E402,$Z$4:$Z$2503,"正常",$A$4:$A$2503,"&lt;="&amp;$A402))</f>
        <v/>
      </c>
      <c r="U402" s="26">
        <f>IF($G402="","",IF(OR($S402&gt;0,$Q402=0,$R402=0,$Z402&lt;&gt;"正常"),0,ROUND($T402/$Q402*$R402,0)-ROUND(($T402-$P402)/$Q402*$R402,0)))</f>
        <v/>
      </c>
      <c r="V402" s="26">
        <f>IF($G402="","",ROUND($P402+$U402,0))</f>
        <v/>
      </c>
      <c r="W402" s="26">
        <f>IF($G402="","",IF(N($K402)=0,0,ROUND($V402/$K402,2)))</f>
        <v/>
      </c>
      <c r="X402" s="17" t="inlineStr">
        <is>
          <t>采购入库</t>
        </is>
      </c>
      <c r="Y402" s="17" t="inlineStr">
        <is>
          <t>正常</t>
        </is>
      </c>
      <c r="Z402" s="17" t="inlineStr">
        <is>
          <t>正常</t>
        </is>
      </c>
      <c r="AA402" s="17" t="n"/>
      <c r="AB402" s="17" t="inlineStr">
        <is>
          <t>原表第 407 行</t>
        </is>
      </c>
      <c r="AC402" s="24">
        <f>IF($G402="","",IF($H402="※编码不在物料档案里","※物料编码不在档案里",IF(N($K402)&lt;=0,"※入库数量要大于 0",IF(AND($C402&lt;&gt;"",$C402&lt;=结账锁),"※日期早于已结账截止日，不能再录",IF(AND($L402=0,$X402="正常"),"※没填单价，价格状态请选「待补价」",IF(AND($S402&gt;0,$R402&gt;0),"△本批有 "&amp;$S402&amp;" 行没单价，整批运费先挂账没摊",IF(AND($B402&lt;&gt;"",COUNTIF($B$4:$B$2503,$B402)&gt;1),"※入库单号重复","")))))))</f>
        <v/>
      </c>
    </row>
    <row r="403">
      <c r="A403" s="24">
        <f>IF($G403="","",COUNTA($G$4:$G403))</f>
        <v/>
      </c>
      <c r="B403" s="17" t="n"/>
      <c r="C403" s="30" t="n">
        <v>46102</v>
      </c>
      <c r="D403" s="17" t="inlineStr">
        <is>
          <t>A国内</t>
        </is>
      </c>
      <c r="E403" s="17" t="inlineStr">
        <is>
          <t>CBHU9041804-202603</t>
        </is>
      </c>
      <c r="F403" s="17" t="inlineStr">
        <is>
          <t>烟台市金豪矿山机械有限公司</t>
        </is>
      </c>
      <c r="G403" s="17" t="inlineStr">
        <is>
          <t>JH0357</t>
        </is>
      </c>
      <c r="H403" s="24">
        <f>IF($G403="","",IFERROR(VLOOKUP($G403,物料档案!$A$4:$P$1203,3,0),"※编码不在物料档案里"))</f>
        <v/>
      </c>
      <c r="I403" s="24">
        <f>IF($G403="","",IFERROR(VLOOKUP($G403,物料档案!$A$4:$P$1203,4,0),"※编码不在物料档案里"))</f>
        <v/>
      </c>
      <c r="J403" s="24">
        <f>IF($G403="","",IFERROR(VLOOKUP($G403,物料档案!$A$4:$P$1203,5,0),"※编码不在物料档案里"))</f>
        <v/>
      </c>
      <c r="K403" s="23" t="n">
        <v>4</v>
      </c>
      <c r="L403" s="31" t="n">
        <v>18</v>
      </c>
      <c r="M403" s="24">
        <f>IF($G403="","",IF($D403="A国内","CNY","TZS"))</f>
        <v/>
      </c>
      <c r="N403" s="28">
        <f>IF($G403="","",IF($D403="A国内",汇率,1))</f>
        <v/>
      </c>
      <c r="O403" s="25">
        <f>IF($G403="","",ROUND(N($K403)*N($L403),2))</f>
        <v/>
      </c>
      <c r="P403" s="26">
        <f>IF($G403="","",ROUND($O403*$N403,0))</f>
        <v/>
      </c>
      <c r="Q403" s="26">
        <f>IF($G403="","",SUMIFS($P$4:$P$2503,$E$4:$E$2503,$E403,$Z$4:$Z$2503,"正常"))</f>
        <v/>
      </c>
      <c r="R403" s="26">
        <f>IF($G403="","",SUMIFS(费用台账!$I$4:$I$503,费用台账!$C$4:$C$503,$E403,费用台账!$J$4:$J$503,"是",费用台账!$K$4:$K$503,"正常"))</f>
        <v/>
      </c>
      <c r="S403" s="28">
        <f>IF($G403="","",COUNTIFS($E$4:$E$2503,$E403,$Z$4:$Z$2503,"正常",$Y$4:$Y$2503,"待补价"))</f>
        <v/>
      </c>
      <c r="T403" s="26">
        <f>IF($G403="","",SUMIFS($P$4:$P$2503,$E$4:$E$2503,$E403,$Z$4:$Z$2503,"正常",$A$4:$A$2503,"&lt;="&amp;$A403))</f>
        <v/>
      </c>
      <c r="U403" s="26">
        <f>IF($G403="","",IF(OR($S403&gt;0,$Q403=0,$R403=0,$Z403&lt;&gt;"正常"),0,ROUND($T403/$Q403*$R403,0)-ROUND(($T403-$P403)/$Q403*$R403,0)))</f>
        <v/>
      </c>
      <c r="V403" s="26">
        <f>IF($G403="","",ROUND($P403+$U403,0))</f>
        <v/>
      </c>
      <c r="W403" s="26">
        <f>IF($G403="","",IF(N($K403)=0,0,ROUND($V403/$K403,2)))</f>
        <v/>
      </c>
      <c r="X403" s="17" t="inlineStr">
        <is>
          <t>采购入库</t>
        </is>
      </c>
      <c r="Y403" s="17" t="inlineStr">
        <is>
          <t>正常</t>
        </is>
      </c>
      <c r="Z403" s="17" t="inlineStr">
        <is>
          <t>正常</t>
        </is>
      </c>
      <c r="AA403" s="17" t="n"/>
      <c r="AB403" s="17" t="inlineStr">
        <is>
          <t>原表第 408 行</t>
        </is>
      </c>
      <c r="AC403" s="24">
        <f>IF($G403="","",IF($H403="※编码不在物料档案里","※物料编码不在档案里",IF(N($K403)&lt;=0,"※入库数量要大于 0",IF(AND($C403&lt;&gt;"",$C403&lt;=结账锁),"※日期早于已结账截止日，不能再录",IF(AND($L403=0,$X403="正常"),"※没填单价，价格状态请选「待补价」",IF(AND($S403&gt;0,$R403&gt;0),"△本批有 "&amp;$S403&amp;" 行没单价，整批运费先挂账没摊",IF(AND($B403&lt;&gt;"",COUNTIF($B$4:$B$2503,$B403)&gt;1),"※入库单号重复","")))))))</f>
        <v/>
      </c>
    </row>
    <row r="404">
      <c r="A404" s="24">
        <f>IF($G404="","",COUNTA($G$4:$G404))</f>
        <v/>
      </c>
      <c r="B404" s="17" t="n"/>
      <c r="C404" s="30" t="n">
        <v>46102</v>
      </c>
      <c r="D404" s="17" t="inlineStr">
        <is>
          <t>A国内</t>
        </is>
      </c>
      <c r="E404" s="17" t="inlineStr">
        <is>
          <t>CBHU9041804-202603</t>
        </is>
      </c>
      <c r="F404" s="17" t="inlineStr">
        <is>
          <t>烟台市金豪矿山机械有限公司</t>
        </is>
      </c>
      <c r="G404" s="17" t="inlineStr">
        <is>
          <t>JH0358</t>
        </is>
      </c>
      <c r="H404" s="24">
        <f>IF($G404="","",IFERROR(VLOOKUP($G404,物料档案!$A$4:$P$1203,3,0),"※编码不在物料档案里"))</f>
        <v/>
      </c>
      <c r="I404" s="24">
        <f>IF($G404="","",IFERROR(VLOOKUP($G404,物料档案!$A$4:$P$1203,4,0),"※编码不在物料档案里"))</f>
        <v/>
      </c>
      <c r="J404" s="24">
        <f>IF($G404="","",IFERROR(VLOOKUP($G404,物料档案!$A$4:$P$1203,5,0),"※编码不在物料档案里"))</f>
        <v/>
      </c>
      <c r="K404" s="23" t="n">
        <v>6</v>
      </c>
      <c r="L404" s="31" t="n">
        <v>25</v>
      </c>
      <c r="M404" s="24">
        <f>IF($G404="","",IF($D404="A国内","CNY","TZS"))</f>
        <v/>
      </c>
      <c r="N404" s="28">
        <f>IF($G404="","",IF($D404="A国内",汇率,1))</f>
        <v/>
      </c>
      <c r="O404" s="25">
        <f>IF($G404="","",ROUND(N($K404)*N($L404),2))</f>
        <v/>
      </c>
      <c r="P404" s="26">
        <f>IF($G404="","",ROUND($O404*$N404,0))</f>
        <v/>
      </c>
      <c r="Q404" s="26">
        <f>IF($G404="","",SUMIFS($P$4:$P$2503,$E$4:$E$2503,$E404,$Z$4:$Z$2503,"正常"))</f>
        <v/>
      </c>
      <c r="R404" s="26">
        <f>IF($G404="","",SUMIFS(费用台账!$I$4:$I$503,费用台账!$C$4:$C$503,$E404,费用台账!$J$4:$J$503,"是",费用台账!$K$4:$K$503,"正常"))</f>
        <v/>
      </c>
      <c r="S404" s="28">
        <f>IF($G404="","",COUNTIFS($E$4:$E$2503,$E404,$Z$4:$Z$2503,"正常",$Y$4:$Y$2503,"待补价"))</f>
        <v/>
      </c>
      <c r="T404" s="26">
        <f>IF($G404="","",SUMIFS($P$4:$P$2503,$E$4:$E$2503,$E404,$Z$4:$Z$2503,"正常",$A$4:$A$2503,"&lt;="&amp;$A404))</f>
        <v/>
      </c>
      <c r="U404" s="26">
        <f>IF($G404="","",IF(OR($S404&gt;0,$Q404=0,$R404=0,$Z404&lt;&gt;"正常"),0,ROUND($T404/$Q404*$R404,0)-ROUND(($T404-$P404)/$Q404*$R404,0)))</f>
        <v/>
      </c>
      <c r="V404" s="26">
        <f>IF($G404="","",ROUND($P404+$U404,0))</f>
        <v/>
      </c>
      <c r="W404" s="26">
        <f>IF($G404="","",IF(N($K404)=0,0,ROUND($V404/$K404,2)))</f>
        <v/>
      </c>
      <c r="X404" s="17" t="inlineStr">
        <is>
          <t>采购入库</t>
        </is>
      </c>
      <c r="Y404" s="17" t="inlineStr">
        <is>
          <t>正常</t>
        </is>
      </c>
      <c r="Z404" s="17" t="inlineStr">
        <is>
          <t>正常</t>
        </is>
      </c>
      <c r="AA404" s="17" t="n"/>
      <c r="AB404" s="17" t="inlineStr">
        <is>
          <t>原表第 409 行</t>
        </is>
      </c>
      <c r="AC404" s="24">
        <f>IF($G404="","",IF($H404="※编码不在物料档案里","※物料编码不在档案里",IF(N($K404)&lt;=0,"※入库数量要大于 0",IF(AND($C404&lt;&gt;"",$C404&lt;=结账锁),"※日期早于已结账截止日，不能再录",IF(AND($L404=0,$X404="正常"),"※没填单价，价格状态请选「待补价」",IF(AND($S404&gt;0,$R404&gt;0),"△本批有 "&amp;$S404&amp;" 行没单价，整批运费先挂账没摊",IF(AND($B404&lt;&gt;"",COUNTIF($B$4:$B$2503,$B404)&gt;1),"※入库单号重复","")))))))</f>
        <v/>
      </c>
    </row>
    <row r="405">
      <c r="A405" s="24">
        <f>IF($G405="","",COUNTA($G$4:$G405))</f>
        <v/>
      </c>
      <c r="B405" s="17" t="n"/>
      <c r="C405" s="30" t="n">
        <v>46102</v>
      </c>
      <c r="D405" s="17" t="inlineStr">
        <is>
          <t>A国内</t>
        </is>
      </c>
      <c r="E405" s="17" t="inlineStr">
        <is>
          <t>CBHU9041804-202603</t>
        </is>
      </c>
      <c r="F405" s="17" t="inlineStr">
        <is>
          <t>烟台市金豪矿山机械有限公司</t>
        </is>
      </c>
      <c r="G405" s="17" t="inlineStr">
        <is>
          <t>JH0359</t>
        </is>
      </c>
      <c r="H405" s="24">
        <f>IF($G405="","",IFERROR(VLOOKUP($G405,物料档案!$A$4:$P$1203,3,0),"※编码不在物料档案里"))</f>
        <v/>
      </c>
      <c r="I405" s="24">
        <f>IF($G405="","",IFERROR(VLOOKUP($G405,物料档案!$A$4:$P$1203,4,0),"※编码不在物料档案里"))</f>
        <v/>
      </c>
      <c r="J405" s="24">
        <f>IF($G405="","",IFERROR(VLOOKUP($G405,物料档案!$A$4:$P$1203,5,0),"※编码不在物料档案里"))</f>
        <v/>
      </c>
      <c r="K405" s="23" t="n">
        <v>4</v>
      </c>
      <c r="L405" s="31" t="n">
        <v>14</v>
      </c>
      <c r="M405" s="24">
        <f>IF($G405="","",IF($D405="A国内","CNY","TZS"))</f>
        <v/>
      </c>
      <c r="N405" s="28">
        <f>IF($G405="","",IF($D405="A国内",汇率,1))</f>
        <v/>
      </c>
      <c r="O405" s="25">
        <f>IF($G405="","",ROUND(N($K405)*N($L405),2))</f>
        <v/>
      </c>
      <c r="P405" s="26">
        <f>IF($G405="","",ROUND($O405*$N405,0))</f>
        <v/>
      </c>
      <c r="Q405" s="26">
        <f>IF($G405="","",SUMIFS($P$4:$P$2503,$E$4:$E$2503,$E405,$Z$4:$Z$2503,"正常"))</f>
        <v/>
      </c>
      <c r="R405" s="26">
        <f>IF($G405="","",SUMIFS(费用台账!$I$4:$I$503,费用台账!$C$4:$C$503,$E405,费用台账!$J$4:$J$503,"是",费用台账!$K$4:$K$503,"正常"))</f>
        <v/>
      </c>
      <c r="S405" s="28">
        <f>IF($G405="","",COUNTIFS($E$4:$E$2503,$E405,$Z$4:$Z$2503,"正常",$Y$4:$Y$2503,"待补价"))</f>
        <v/>
      </c>
      <c r="T405" s="26">
        <f>IF($G405="","",SUMIFS($P$4:$P$2503,$E$4:$E$2503,$E405,$Z$4:$Z$2503,"正常",$A$4:$A$2503,"&lt;="&amp;$A405))</f>
        <v/>
      </c>
      <c r="U405" s="26">
        <f>IF($G405="","",IF(OR($S405&gt;0,$Q405=0,$R405=0,$Z405&lt;&gt;"正常"),0,ROUND($T405/$Q405*$R405,0)-ROUND(($T405-$P405)/$Q405*$R405,0)))</f>
        <v/>
      </c>
      <c r="V405" s="26">
        <f>IF($G405="","",ROUND($P405+$U405,0))</f>
        <v/>
      </c>
      <c r="W405" s="26">
        <f>IF($G405="","",IF(N($K405)=0,0,ROUND($V405/$K405,2)))</f>
        <v/>
      </c>
      <c r="X405" s="17" t="inlineStr">
        <is>
          <t>采购入库</t>
        </is>
      </c>
      <c r="Y405" s="17" t="inlineStr">
        <is>
          <t>正常</t>
        </is>
      </c>
      <c r="Z405" s="17" t="inlineStr">
        <is>
          <t>正常</t>
        </is>
      </c>
      <c r="AA405" s="17" t="n"/>
      <c r="AB405" s="17" t="inlineStr">
        <is>
          <t>原表第 410 行</t>
        </is>
      </c>
      <c r="AC405" s="24">
        <f>IF($G405="","",IF($H405="※编码不在物料档案里","※物料编码不在档案里",IF(N($K405)&lt;=0,"※入库数量要大于 0",IF(AND($C405&lt;&gt;"",$C405&lt;=结账锁),"※日期早于已结账截止日，不能再录",IF(AND($L405=0,$X405="正常"),"※没填单价，价格状态请选「待补价」",IF(AND($S405&gt;0,$R405&gt;0),"△本批有 "&amp;$S405&amp;" 行没单价，整批运费先挂账没摊",IF(AND($B405&lt;&gt;"",COUNTIF($B$4:$B$2503,$B405)&gt;1),"※入库单号重复","")))))))</f>
        <v/>
      </c>
    </row>
    <row r="406">
      <c r="A406" s="24">
        <f>IF($G406="","",COUNTA($G$4:$G406))</f>
        <v/>
      </c>
      <c r="B406" s="17" t="n"/>
      <c r="C406" s="30" t="n">
        <v>46102</v>
      </c>
      <c r="D406" s="17" t="inlineStr">
        <is>
          <t>A国内</t>
        </is>
      </c>
      <c r="E406" s="17" t="inlineStr">
        <is>
          <t>CBHU9041804-202603</t>
        </is>
      </c>
      <c r="F406" s="17" t="inlineStr">
        <is>
          <t>烟台市金豪矿山机械有限公司</t>
        </is>
      </c>
      <c r="G406" s="17" t="inlineStr">
        <is>
          <t>JH0360</t>
        </is>
      </c>
      <c r="H406" s="24">
        <f>IF($G406="","",IFERROR(VLOOKUP($G406,物料档案!$A$4:$P$1203,3,0),"※编码不在物料档案里"))</f>
        <v/>
      </c>
      <c r="I406" s="24">
        <f>IF($G406="","",IFERROR(VLOOKUP($G406,物料档案!$A$4:$P$1203,4,0),"※编码不在物料档案里"))</f>
        <v/>
      </c>
      <c r="J406" s="24">
        <f>IF($G406="","",IFERROR(VLOOKUP($G406,物料档案!$A$4:$P$1203,5,0),"※编码不在物料档案里"))</f>
        <v/>
      </c>
      <c r="K406" s="23" t="n">
        <v>16</v>
      </c>
      <c r="L406" s="31" t="n">
        <v>17</v>
      </c>
      <c r="M406" s="24">
        <f>IF($G406="","",IF($D406="A国内","CNY","TZS"))</f>
        <v/>
      </c>
      <c r="N406" s="28">
        <f>IF($G406="","",IF($D406="A国内",汇率,1))</f>
        <v/>
      </c>
      <c r="O406" s="25">
        <f>IF($G406="","",ROUND(N($K406)*N($L406),2))</f>
        <v/>
      </c>
      <c r="P406" s="26">
        <f>IF($G406="","",ROUND($O406*$N406,0))</f>
        <v/>
      </c>
      <c r="Q406" s="26">
        <f>IF($G406="","",SUMIFS($P$4:$P$2503,$E$4:$E$2503,$E406,$Z$4:$Z$2503,"正常"))</f>
        <v/>
      </c>
      <c r="R406" s="26">
        <f>IF($G406="","",SUMIFS(费用台账!$I$4:$I$503,费用台账!$C$4:$C$503,$E406,费用台账!$J$4:$J$503,"是",费用台账!$K$4:$K$503,"正常"))</f>
        <v/>
      </c>
      <c r="S406" s="28">
        <f>IF($G406="","",COUNTIFS($E$4:$E$2503,$E406,$Z$4:$Z$2503,"正常",$Y$4:$Y$2503,"待补价"))</f>
        <v/>
      </c>
      <c r="T406" s="26">
        <f>IF($G406="","",SUMIFS($P$4:$P$2503,$E$4:$E$2503,$E406,$Z$4:$Z$2503,"正常",$A$4:$A$2503,"&lt;="&amp;$A406))</f>
        <v/>
      </c>
      <c r="U406" s="26">
        <f>IF($G406="","",IF(OR($S406&gt;0,$Q406=0,$R406=0,$Z406&lt;&gt;"正常"),0,ROUND($T406/$Q406*$R406,0)-ROUND(($T406-$P406)/$Q406*$R406,0)))</f>
        <v/>
      </c>
      <c r="V406" s="26">
        <f>IF($G406="","",ROUND($P406+$U406,0))</f>
        <v/>
      </c>
      <c r="W406" s="26">
        <f>IF($G406="","",IF(N($K406)=0,0,ROUND($V406/$K406,2)))</f>
        <v/>
      </c>
      <c r="X406" s="17" t="inlineStr">
        <is>
          <t>采购入库</t>
        </is>
      </c>
      <c r="Y406" s="17" t="inlineStr">
        <is>
          <t>正常</t>
        </is>
      </c>
      <c r="Z406" s="17" t="inlineStr">
        <is>
          <t>正常</t>
        </is>
      </c>
      <c r="AA406" s="17" t="n"/>
      <c r="AB406" s="17" t="inlineStr">
        <is>
          <t>原表第 411 行</t>
        </is>
      </c>
      <c r="AC406" s="24">
        <f>IF($G406="","",IF($H406="※编码不在物料档案里","※物料编码不在档案里",IF(N($K406)&lt;=0,"※入库数量要大于 0",IF(AND($C406&lt;&gt;"",$C406&lt;=结账锁),"※日期早于已结账截止日，不能再录",IF(AND($L406=0,$X406="正常"),"※没填单价，价格状态请选「待补价」",IF(AND($S406&gt;0,$R406&gt;0),"△本批有 "&amp;$S406&amp;" 行没单价，整批运费先挂账没摊",IF(AND($B406&lt;&gt;"",COUNTIF($B$4:$B$2503,$B406)&gt;1),"※入库单号重复","")))))))</f>
        <v/>
      </c>
    </row>
    <row r="407">
      <c r="A407" s="24">
        <f>IF($G407="","",COUNTA($G$4:$G407))</f>
        <v/>
      </c>
      <c r="B407" s="17" t="n"/>
      <c r="C407" s="30" t="n">
        <v>46102</v>
      </c>
      <c r="D407" s="17" t="inlineStr">
        <is>
          <t>A国内</t>
        </is>
      </c>
      <c r="E407" s="17" t="inlineStr">
        <is>
          <t>CBHU9041804-202603</t>
        </is>
      </c>
      <c r="F407" s="17" t="inlineStr">
        <is>
          <t>烟台市金豪矿山机械有限公司</t>
        </is>
      </c>
      <c r="G407" s="17" t="inlineStr">
        <is>
          <t>JH0361</t>
        </is>
      </c>
      <c r="H407" s="24">
        <f>IF($G407="","",IFERROR(VLOOKUP($G407,物料档案!$A$4:$P$1203,3,0),"※编码不在物料档案里"))</f>
        <v/>
      </c>
      <c r="I407" s="24">
        <f>IF($G407="","",IFERROR(VLOOKUP($G407,物料档案!$A$4:$P$1203,4,0),"※编码不在物料档案里"))</f>
        <v/>
      </c>
      <c r="J407" s="24">
        <f>IF($G407="","",IFERROR(VLOOKUP($G407,物料档案!$A$4:$P$1203,5,0),"※编码不在物料档案里"))</f>
        <v/>
      </c>
      <c r="K407" s="23" t="n">
        <v>10</v>
      </c>
      <c r="L407" s="31" t="n">
        <v>43</v>
      </c>
      <c r="M407" s="24">
        <f>IF($G407="","",IF($D407="A国内","CNY","TZS"))</f>
        <v/>
      </c>
      <c r="N407" s="28">
        <f>IF($G407="","",IF($D407="A国内",汇率,1))</f>
        <v/>
      </c>
      <c r="O407" s="25">
        <f>IF($G407="","",ROUND(N($K407)*N($L407),2))</f>
        <v/>
      </c>
      <c r="P407" s="26">
        <f>IF($G407="","",ROUND($O407*$N407,0))</f>
        <v/>
      </c>
      <c r="Q407" s="26">
        <f>IF($G407="","",SUMIFS($P$4:$P$2503,$E$4:$E$2503,$E407,$Z$4:$Z$2503,"正常"))</f>
        <v/>
      </c>
      <c r="R407" s="26">
        <f>IF($G407="","",SUMIFS(费用台账!$I$4:$I$503,费用台账!$C$4:$C$503,$E407,费用台账!$J$4:$J$503,"是",费用台账!$K$4:$K$503,"正常"))</f>
        <v/>
      </c>
      <c r="S407" s="28">
        <f>IF($G407="","",COUNTIFS($E$4:$E$2503,$E407,$Z$4:$Z$2503,"正常",$Y$4:$Y$2503,"待补价"))</f>
        <v/>
      </c>
      <c r="T407" s="26">
        <f>IF($G407="","",SUMIFS($P$4:$P$2503,$E$4:$E$2503,$E407,$Z$4:$Z$2503,"正常",$A$4:$A$2503,"&lt;="&amp;$A407))</f>
        <v/>
      </c>
      <c r="U407" s="26">
        <f>IF($G407="","",IF(OR($S407&gt;0,$Q407=0,$R407=0,$Z407&lt;&gt;"正常"),0,ROUND($T407/$Q407*$R407,0)-ROUND(($T407-$P407)/$Q407*$R407,0)))</f>
        <v/>
      </c>
      <c r="V407" s="26">
        <f>IF($G407="","",ROUND($P407+$U407,0))</f>
        <v/>
      </c>
      <c r="W407" s="26">
        <f>IF($G407="","",IF(N($K407)=0,0,ROUND($V407/$K407,2)))</f>
        <v/>
      </c>
      <c r="X407" s="17" t="inlineStr">
        <is>
          <t>采购入库</t>
        </is>
      </c>
      <c r="Y407" s="17" t="inlineStr">
        <is>
          <t>正常</t>
        </is>
      </c>
      <c r="Z407" s="17" t="inlineStr">
        <is>
          <t>正常</t>
        </is>
      </c>
      <c r="AA407" s="17" t="n"/>
      <c r="AB407" s="17" t="inlineStr">
        <is>
          <t>原表第 412 行</t>
        </is>
      </c>
      <c r="AC407" s="24">
        <f>IF($G407="","",IF($H407="※编码不在物料档案里","※物料编码不在档案里",IF(N($K407)&lt;=0,"※入库数量要大于 0",IF(AND($C407&lt;&gt;"",$C407&lt;=结账锁),"※日期早于已结账截止日，不能再录",IF(AND($L407=0,$X407="正常"),"※没填单价，价格状态请选「待补价」",IF(AND($S407&gt;0,$R407&gt;0),"△本批有 "&amp;$S407&amp;" 行没单价，整批运费先挂账没摊",IF(AND($B407&lt;&gt;"",COUNTIF($B$4:$B$2503,$B407)&gt;1),"※入库单号重复","")))))))</f>
        <v/>
      </c>
    </row>
    <row r="408">
      <c r="A408" s="24">
        <f>IF($G408="","",COUNTA($G$4:$G408))</f>
        <v/>
      </c>
      <c r="B408" s="17" t="n"/>
      <c r="C408" s="30" t="n">
        <v>46102</v>
      </c>
      <c r="D408" s="17" t="inlineStr">
        <is>
          <t>A国内</t>
        </is>
      </c>
      <c r="E408" s="17" t="inlineStr">
        <is>
          <t>CBHU9041804-202603</t>
        </is>
      </c>
      <c r="F408" s="17" t="inlineStr">
        <is>
          <t>烟台市金豪矿山机械有限公司</t>
        </is>
      </c>
      <c r="G408" s="17" t="inlineStr">
        <is>
          <t>JH0362</t>
        </is>
      </c>
      <c r="H408" s="24">
        <f>IF($G408="","",IFERROR(VLOOKUP($G408,物料档案!$A$4:$P$1203,3,0),"※编码不在物料档案里"))</f>
        <v/>
      </c>
      <c r="I408" s="24">
        <f>IF($G408="","",IFERROR(VLOOKUP($G408,物料档案!$A$4:$P$1203,4,0),"※编码不在物料档案里"))</f>
        <v/>
      </c>
      <c r="J408" s="24">
        <f>IF($G408="","",IFERROR(VLOOKUP($G408,物料档案!$A$4:$P$1203,5,0),"※编码不在物料档案里"))</f>
        <v/>
      </c>
      <c r="K408" s="23" t="n">
        <v>4</v>
      </c>
      <c r="L408" s="31" t="n">
        <v>16</v>
      </c>
      <c r="M408" s="24">
        <f>IF($G408="","",IF($D408="A国内","CNY","TZS"))</f>
        <v/>
      </c>
      <c r="N408" s="28">
        <f>IF($G408="","",IF($D408="A国内",汇率,1))</f>
        <v/>
      </c>
      <c r="O408" s="25">
        <f>IF($G408="","",ROUND(N($K408)*N($L408),2))</f>
        <v/>
      </c>
      <c r="P408" s="26">
        <f>IF($G408="","",ROUND($O408*$N408,0))</f>
        <v/>
      </c>
      <c r="Q408" s="26">
        <f>IF($G408="","",SUMIFS($P$4:$P$2503,$E$4:$E$2503,$E408,$Z$4:$Z$2503,"正常"))</f>
        <v/>
      </c>
      <c r="R408" s="26">
        <f>IF($G408="","",SUMIFS(费用台账!$I$4:$I$503,费用台账!$C$4:$C$503,$E408,费用台账!$J$4:$J$503,"是",费用台账!$K$4:$K$503,"正常"))</f>
        <v/>
      </c>
      <c r="S408" s="28">
        <f>IF($G408="","",COUNTIFS($E$4:$E$2503,$E408,$Z$4:$Z$2503,"正常",$Y$4:$Y$2503,"待补价"))</f>
        <v/>
      </c>
      <c r="T408" s="26">
        <f>IF($G408="","",SUMIFS($P$4:$P$2503,$E$4:$E$2503,$E408,$Z$4:$Z$2503,"正常",$A$4:$A$2503,"&lt;="&amp;$A408))</f>
        <v/>
      </c>
      <c r="U408" s="26">
        <f>IF($G408="","",IF(OR($S408&gt;0,$Q408=0,$R408=0,$Z408&lt;&gt;"正常"),0,ROUND($T408/$Q408*$R408,0)-ROUND(($T408-$P408)/$Q408*$R408,0)))</f>
        <v/>
      </c>
      <c r="V408" s="26">
        <f>IF($G408="","",ROUND($P408+$U408,0))</f>
        <v/>
      </c>
      <c r="W408" s="26">
        <f>IF($G408="","",IF(N($K408)=0,0,ROUND($V408/$K408,2)))</f>
        <v/>
      </c>
      <c r="X408" s="17" t="inlineStr">
        <is>
          <t>采购入库</t>
        </is>
      </c>
      <c r="Y408" s="17" t="inlineStr">
        <is>
          <t>正常</t>
        </is>
      </c>
      <c r="Z408" s="17" t="inlineStr">
        <is>
          <t>正常</t>
        </is>
      </c>
      <c r="AA408" s="17" t="n"/>
      <c r="AB408" s="17" t="inlineStr">
        <is>
          <t>原表第 413 行</t>
        </is>
      </c>
      <c r="AC408" s="24">
        <f>IF($G408="","",IF($H408="※编码不在物料档案里","※物料编码不在档案里",IF(N($K408)&lt;=0,"※入库数量要大于 0",IF(AND($C408&lt;&gt;"",$C408&lt;=结账锁),"※日期早于已结账截止日，不能再录",IF(AND($L408=0,$X408="正常"),"※没填单价，价格状态请选「待补价」",IF(AND($S408&gt;0,$R408&gt;0),"△本批有 "&amp;$S408&amp;" 行没单价，整批运费先挂账没摊",IF(AND($B408&lt;&gt;"",COUNTIF($B$4:$B$2503,$B408)&gt;1),"※入库单号重复","")))))))</f>
        <v/>
      </c>
    </row>
    <row r="409">
      <c r="A409" s="24">
        <f>IF($G409="","",COUNTA($G$4:$G409))</f>
        <v/>
      </c>
      <c r="B409" s="17" t="n"/>
      <c r="C409" s="30" t="n">
        <v>46102</v>
      </c>
      <c r="D409" s="17" t="inlineStr">
        <is>
          <t>A国内</t>
        </is>
      </c>
      <c r="E409" s="17" t="inlineStr">
        <is>
          <t>CBHU9041804-202603</t>
        </is>
      </c>
      <c r="F409" s="17" t="inlineStr">
        <is>
          <t>烟台市金豪矿山机械有限公司</t>
        </is>
      </c>
      <c r="G409" s="17" t="inlineStr">
        <is>
          <t>JH0363</t>
        </is>
      </c>
      <c r="H409" s="24">
        <f>IF($G409="","",IFERROR(VLOOKUP($G409,物料档案!$A$4:$P$1203,3,0),"※编码不在物料档案里"))</f>
        <v/>
      </c>
      <c r="I409" s="24">
        <f>IF($G409="","",IFERROR(VLOOKUP($G409,物料档案!$A$4:$P$1203,4,0),"※编码不在物料档案里"))</f>
        <v/>
      </c>
      <c r="J409" s="24">
        <f>IF($G409="","",IFERROR(VLOOKUP($G409,物料档案!$A$4:$P$1203,5,0),"※编码不在物料档案里"))</f>
        <v/>
      </c>
      <c r="K409" s="23" t="n">
        <v>4</v>
      </c>
      <c r="L409" s="31" t="n">
        <v>75</v>
      </c>
      <c r="M409" s="24">
        <f>IF($G409="","",IF($D409="A国内","CNY","TZS"))</f>
        <v/>
      </c>
      <c r="N409" s="28">
        <f>IF($G409="","",IF($D409="A国内",汇率,1))</f>
        <v/>
      </c>
      <c r="O409" s="25">
        <f>IF($G409="","",ROUND(N($K409)*N($L409),2))</f>
        <v/>
      </c>
      <c r="P409" s="26">
        <f>IF($G409="","",ROUND($O409*$N409,0))</f>
        <v/>
      </c>
      <c r="Q409" s="26">
        <f>IF($G409="","",SUMIFS($P$4:$P$2503,$E$4:$E$2503,$E409,$Z$4:$Z$2503,"正常"))</f>
        <v/>
      </c>
      <c r="R409" s="26">
        <f>IF($G409="","",SUMIFS(费用台账!$I$4:$I$503,费用台账!$C$4:$C$503,$E409,费用台账!$J$4:$J$503,"是",费用台账!$K$4:$K$503,"正常"))</f>
        <v/>
      </c>
      <c r="S409" s="28">
        <f>IF($G409="","",COUNTIFS($E$4:$E$2503,$E409,$Z$4:$Z$2503,"正常",$Y$4:$Y$2503,"待补价"))</f>
        <v/>
      </c>
      <c r="T409" s="26">
        <f>IF($G409="","",SUMIFS($P$4:$P$2503,$E$4:$E$2503,$E409,$Z$4:$Z$2503,"正常",$A$4:$A$2503,"&lt;="&amp;$A409))</f>
        <v/>
      </c>
      <c r="U409" s="26">
        <f>IF($G409="","",IF(OR($S409&gt;0,$Q409=0,$R409=0,$Z409&lt;&gt;"正常"),0,ROUND($T409/$Q409*$R409,0)-ROUND(($T409-$P409)/$Q409*$R409,0)))</f>
        <v/>
      </c>
      <c r="V409" s="26">
        <f>IF($G409="","",ROUND($P409+$U409,0))</f>
        <v/>
      </c>
      <c r="W409" s="26">
        <f>IF($G409="","",IF(N($K409)=0,0,ROUND($V409/$K409,2)))</f>
        <v/>
      </c>
      <c r="X409" s="17" t="inlineStr">
        <is>
          <t>采购入库</t>
        </is>
      </c>
      <c r="Y409" s="17" t="inlineStr">
        <is>
          <t>正常</t>
        </is>
      </c>
      <c r="Z409" s="17" t="inlineStr">
        <is>
          <t>正常</t>
        </is>
      </c>
      <c r="AA409" s="17" t="n"/>
      <c r="AB409" s="17" t="inlineStr">
        <is>
          <t>原表第 414 行</t>
        </is>
      </c>
      <c r="AC409" s="24">
        <f>IF($G409="","",IF($H409="※编码不在物料档案里","※物料编码不在档案里",IF(N($K409)&lt;=0,"※入库数量要大于 0",IF(AND($C409&lt;&gt;"",$C409&lt;=结账锁),"※日期早于已结账截止日，不能再录",IF(AND($L409=0,$X409="正常"),"※没填单价，价格状态请选「待补价」",IF(AND($S409&gt;0,$R409&gt;0),"△本批有 "&amp;$S409&amp;" 行没单价，整批运费先挂账没摊",IF(AND($B409&lt;&gt;"",COUNTIF($B$4:$B$2503,$B409)&gt;1),"※入库单号重复","")))))))</f>
        <v/>
      </c>
    </row>
    <row r="410">
      <c r="A410" s="24">
        <f>IF($G410="","",COUNTA($G$4:$G410))</f>
        <v/>
      </c>
      <c r="B410" s="17" t="n"/>
      <c r="C410" s="30" t="n">
        <v>46102</v>
      </c>
      <c r="D410" s="17" t="inlineStr">
        <is>
          <t>A国内</t>
        </is>
      </c>
      <c r="E410" s="17" t="inlineStr">
        <is>
          <t>CBHU9041804-202603</t>
        </is>
      </c>
      <c r="F410" s="17" t="inlineStr">
        <is>
          <t>烟台市金豪矿山机械有限公司</t>
        </is>
      </c>
      <c r="G410" s="17" t="inlineStr">
        <is>
          <t>JH0364</t>
        </is>
      </c>
      <c r="H410" s="24">
        <f>IF($G410="","",IFERROR(VLOOKUP($G410,物料档案!$A$4:$P$1203,3,0),"※编码不在物料档案里"))</f>
        <v/>
      </c>
      <c r="I410" s="24">
        <f>IF($G410="","",IFERROR(VLOOKUP($G410,物料档案!$A$4:$P$1203,4,0),"※编码不在物料档案里"))</f>
        <v/>
      </c>
      <c r="J410" s="24">
        <f>IF($G410="","",IFERROR(VLOOKUP($G410,物料档案!$A$4:$P$1203,5,0),"※编码不在物料档案里"))</f>
        <v/>
      </c>
      <c r="K410" s="23" t="n">
        <v>50</v>
      </c>
      <c r="L410" s="31" t="n">
        <v>4</v>
      </c>
      <c r="M410" s="24">
        <f>IF($G410="","",IF($D410="A国内","CNY","TZS"))</f>
        <v/>
      </c>
      <c r="N410" s="28">
        <f>IF($G410="","",IF($D410="A国内",汇率,1))</f>
        <v/>
      </c>
      <c r="O410" s="25">
        <f>IF($G410="","",ROUND(N($K410)*N($L410),2))</f>
        <v/>
      </c>
      <c r="P410" s="26">
        <f>IF($G410="","",ROUND($O410*$N410,0))</f>
        <v/>
      </c>
      <c r="Q410" s="26">
        <f>IF($G410="","",SUMIFS($P$4:$P$2503,$E$4:$E$2503,$E410,$Z$4:$Z$2503,"正常"))</f>
        <v/>
      </c>
      <c r="R410" s="26">
        <f>IF($G410="","",SUMIFS(费用台账!$I$4:$I$503,费用台账!$C$4:$C$503,$E410,费用台账!$J$4:$J$503,"是",费用台账!$K$4:$K$503,"正常"))</f>
        <v/>
      </c>
      <c r="S410" s="28">
        <f>IF($G410="","",COUNTIFS($E$4:$E$2503,$E410,$Z$4:$Z$2503,"正常",$Y$4:$Y$2503,"待补价"))</f>
        <v/>
      </c>
      <c r="T410" s="26">
        <f>IF($G410="","",SUMIFS($P$4:$P$2503,$E$4:$E$2503,$E410,$Z$4:$Z$2503,"正常",$A$4:$A$2503,"&lt;="&amp;$A410))</f>
        <v/>
      </c>
      <c r="U410" s="26">
        <f>IF($G410="","",IF(OR($S410&gt;0,$Q410=0,$R410=0,$Z410&lt;&gt;"正常"),0,ROUND($T410/$Q410*$R410,0)-ROUND(($T410-$P410)/$Q410*$R410,0)))</f>
        <v/>
      </c>
      <c r="V410" s="26">
        <f>IF($G410="","",ROUND($P410+$U410,0))</f>
        <v/>
      </c>
      <c r="W410" s="26">
        <f>IF($G410="","",IF(N($K410)=0,0,ROUND($V410/$K410,2)))</f>
        <v/>
      </c>
      <c r="X410" s="17" t="inlineStr">
        <is>
          <t>采购入库</t>
        </is>
      </c>
      <c r="Y410" s="17" t="inlineStr">
        <is>
          <t>正常</t>
        </is>
      </c>
      <c r="Z410" s="17" t="inlineStr">
        <is>
          <t>正常</t>
        </is>
      </c>
      <c r="AA410" s="17" t="n"/>
      <c r="AB410" s="17" t="inlineStr">
        <is>
          <t>原表第 415 行</t>
        </is>
      </c>
      <c r="AC410" s="24">
        <f>IF($G410="","",IF($H410="※编码不在物料档案里","※物料编码不在档案里",IF(N($K410)&lt;=0,"※入库数量要大于 0",IF(AND($C410&lt;&gt;"",$C410&lt;=结账锁),"※日期早于已结账截止日，不能再录",IF(AND($L410=0,$X410="正常"),"※没填单价，价格状态请选「待补价」",IF(AND($S410&gt;0,$R410&gt;0),"△本批有 "&amp;$S410&amp;" 行没单价，整批运费先挂账没摊",IF(AND($B410&lt;&gt;"",COUNTIF($B$4:$B$2503,$B410)&gt;1),"※入库单号重复","")))))))</f>
        <v/>
      </c>
    </row>
    <row r="411">
      <c r="A411" s="24">
        <f>IF($G411="","",COUNTA($G$4:$G411))</f>
        <v/>
      </c>
      <c r="B411" s="17" t="n"/>
      <c r="C411" s="30" t="n">
        <v>46102</v>
      </c>
      <c r="D411" s="17" t="inlineStr">
        <is>
          <t>A国内</t>
        </is>
      </c>
      <c r="E411" s="17" t="inlineStr">
        <is>
          <t>CBHU9041804-202603</t>
        </is>
      </c>
      <c r="F411" s="17" t="inlineStr">
        <is>
          <t>烟台市金豪矿山机械有限公司</t>
        </is>
      </c>
      <c r="G411" s="17" t="inlineStr">
        <is>
          <t>JH0365</t>
        </is>
      </c>
      <c r="H411" s="24">
        <f>IF($G411="","",IFERROR(VLOOKUP($G411,物料档案!$A$4:$P$1203,3,0),"※编码不在物料档案里"))</f>
        <v/>
      </c>
      <c r="I411" s="24">
        <f>IF($G411="","",IFERROR(VLOOKUP($G411,物料档案!$A$4:$P$1203,4,0),"※编码不在物料档案里"))</f>
        <v/>
      </c>
      <c r="J411" s="24">
        <f>IF($G411="","",IFERROR(VLOOKUP($G411,物料档案!$A$4:$P$1203,5,0),"※编码不在物料档案里"))</f>
        <v/>
      </c>
      <c r="K411" s="23" t="n">
        <v>30</v>
      </c>
      <c r="L411" s="31" t="n">
        <v>12</v>
      </c>
      <c r="M411" s="24">
        <f>IF($G411="","",IF($D411="A国内","CNY","TZS"))</f>
        <v/>
      </c>
      <c r="N411" s="28">
        <f>IF($G411="","",IF($D411="A国内",汇率,1))</f>
        <v/>
      </c>
      <c r="O411" s="25">
        <f>IF($G411="","",ROUND(N($K411)*N($L411),2))</f>
        <v/>
      </c>
      <c r="P411" s="26">
        <f>IF($G411="","",ROUND($O411*$N411,0))</f>
        <v/>
      </c>
      <c r="Q411" s="26">
        <f>IF($G411="","",SUMIFS($P$4:$P$2503,$E$4:$E$2503,$E411,$Z$4:$Z$2503,"正常"))</f>
        <v/>
      </c>
      <c r="R411" s="26">
        <f>IF($G411="","",SUMIFS(费用台账!$I$4:$I$503,费用台账!$C$4:$C$503,$E411,费用台账!$J$4:$J$503,"是",费用台账!$K$4:$K$503,"正常"))</f>
        <v/>
      </c>
      <c r="S411" s="28">
        <f>IF($G411="","",COUNTIFS($E$4:$E$2503,$E411,$Z$4:$Z$2503,"正常",$Y$4:$Y$2503,"待补价"))</f>
        <v/>
      </c>
      <c r="T411" s="26">
        <f>IF($G411="","",SUMIFS($P$4:$P$2503,$E$4:$E$2503,$E411,$Z$4:$Z$2503,"正常",$A$4:$A$2503,"&lt;="&amp;$A411))</f>
        <v/>
      </c>
      <c r="U411" s="26">
        <f>IF($G411="","",IF(OR($S411&gt;0,$Q411=0,$R411=0,$Z411&lt;&gt;"正常"),0,ROUND($T411/$Q411*$R411,0)-ROUND(($T411-$P411)/$Q411*$R411,0)))</f>
        <v/>
      </c>
      <c r="V411" s="26">
        <f>IF($G411="","",ROUND($P411+$U411,0))</f>
        <v/>
      </c>
      <c r="W411" s="26">
        <f>IF($G411="","",IF(N($K411)=0,0,ROUND($V411/$K411,2)))</f>
        <v/>
      </c>
      <c r="X411" s="17" t="inlineStr">
        <is>
          <t>采购入库</t>
        </is>
      </c>
      <c r="Y411" s="17" t="inlineStr">
        <is>
          <t>正常</t>
        </is>
      </c>
      <c r="Z411" s="17" t="inlineStr">
        <is>
          <t>正常</t>
        </is>
      </c>
      <c r="AA411" s="17" t="n"/>
      <c r="AB411" s="17" t="inlineStr">
        <is>
          <t>原表第 416 行</t>
        </is>
      </c>
      <c r="AC411" s="24">
        <f>IF($G411="","",IF($H411="※编码不在物料档案里","※物料编码不在档案里",IF(N($K411)&lt;=0,"※入库数量要大于 0",IF(AND($C411&lt;&gt;"",$C411&lt;=结账锁),"※日期早于已结账截止日，不能再录",IF(AND($L411=0,$X411="正常"),"※没填单价，价格状态请选「待补价」",IF(AND($S411&gt;0,$R411&gt;0),"△本批有 "&amp;$S411&amp;" 行没单价，整批运费先挂账没摊",IF(AND($B411&lt;&gt;"",COUNTIF($B$4:$B$2503,$B411)&gt;1),"※入库单号重复","")))))))</f>
        <v/>
      </c>
    </row>
    <row r="412">
      <c r="A412" s="24">
        <f>IF($G412="","",COUNTA($G$4:$G412))</f>
        <v/>
      </c>
      <c r="B412" s="17" t="n"/>
      <c r="C412" s="30" t="n">
        <v>46102</v>
      </c>
      <c r="D412" s="17" t="inlineStr">
        <is>
          <t>A国内</t>
        </is>
      </c>
      <c r="E412" s="17" t="inlineStr">
        <is>
          <t>CBHU9041804-202603</t>
        </is>
      </c>
      <c r="F412" s="17" t="inlineStr">
        <is>
          <t>烟台市金豪矿山机械有限公司</t>
        </is>
      </c>
      <c r="G412" s="17" t="inlineStr">
        <is>
          <t>JH0366</t>
        </is>
      </c>
      <c r="H412" s="24">
        <f>IF($G412="","",IFERROR(VLOOKUP($G412,物料档案!$A$4:$P$1203,3,0),"※编码不在物料档案里"))</f>
        <v/>
      </c>
      <c r="I412" s="24">
        <f>IF($G412="","",IFERROR(VLOOKUP($G412,物料档案!$A$4:$P$1203,4,0),"※编码不在物料档案里"))</f>
        <v/>
      </c>
      <c r="J412" s="24">
        <f>IF($G412="","",IFERROR(VLOOKUP($G412,物料档案!$A$4:$P$1203,5,0),"※编码不在物料档案里"))</f>
        <v/>
      </c>
      <c r="K412" s="23" t="n">
        <v>50</v>
      </c>
      <c r="L412" s="31" t="n">
        <v>7.2</v>
      </c>
      <c r="M412" s="24">
        <f>IF($G412="","",IF($D412="A国内","CNY","TZS"))</f>
        <v/>
      </c>
      <c r="N412" s="28">
        <f>IF($G412="","",IF($D412="A国内",汇率,1))</f>
        <v/>
      </c>
      <c r="O412" s="25">
        <f>IF($G412="","",ROUND(N($K412)*N($L412),2))</f>
        <v/>
      </c>
      <c r="P412" s="26">
        <f>IF($G412="","",ROUND($O412*$N412,0))</f>
        <v/>
      </c>
      <c r="Q412" s="26">
        <f>IF($G412="","",SUMIFS($P$4:$P$2503,$E$4:$E$2503,$E412,$Z$4:$Z$2503,"正常"))</f>
        <v/>
      </c>
      <c r="R412" s="26">
        <f>IF($G412="","",SUMIFS(费用台账!$I$4:$I$503,费用台账!$C$4:$C$503,$E412,费用台账!$J$4:$J$503,"是",费用台账!$K$4:$K$503,"正常"))</f>
        <v/>
      </c>
      <c r="S412" s="28">
        <f>IF($G412="","",COUNTIFS($E$4:$E$2503,$E412,$Z$4:$Z$2503,"正常",$Y$4:$Y$2503,"待补价"))</f>
        <v/>
      </c>
      <c r="T412" s="26">
        <f>IF($G412="","",SUMIFS($P$4:$P$2503,$E$4:$E$2503,$E412,$Z$4:$Z$2503,"正常",$A$4:$A$2503,"&lt;="&amp;$A412))</f>
        <v/>
      </c>
      <c r="U412" s="26">
        <f>IF($G412="","",IF(OR($S412&gt;0,$Q412=0,$R412=0,$Z412&lt;&gt;"正常"),0,ROUND($T412/$Q412*$R412,0)-ROUND(($T412-$P412)/$Q412*$R412,0)))</f>
        <v/>
      </c>
      <c r="V412" s="26">
        <f>IF($G412="","",ROUND($P412+$U412,0))</f>
        <v/>
      </c>
      <c r="W412" s="26">
        <f>IF($G412="","",IF(N($K412)=0,0,ROUND($V412/$K412,2)))</f>
        <v/>
      </c>
      <c r="X412" s="17" t="inlineStr">
        <is>
          <t>采购入库</t>
        </is>
      </c>
      <c r="Y412" s="17" t="inlineStr">
        <is>
          <t>正常</t>
        </is>
      </c>
      <c r="Z412" s="17" t="inlineStr">
        <is>
          <t>正常</t>
        </is>
      </c>
      <c r="AA412" s="17" t="n"/>
      <c r="AB412" s="17" t="inlineStr">
        <is>
          <t>原表第 417 行</t>
        </is>
      </c>
      <c r="AC412" s="24">
        <f>IF($G412="","",IF($H412="※编码不在物料档案里","※物料编码不在档案里",IF(N($K412)&lt;=0,"※入库数量要大于 0",IF(AND($C412&lt;&gt;"",$C412&lt;=结账锁),"※日期早于已结账截止日，不能再录",IF(AND($L412=0,$X412="正常"),"※没填单价，价格状态请选「待补价」",IF(AND($S412&gt;0,$R412&gt;0),"△本批有 "&amp;$S412&amp;" 行没单价，整批运费先挂账没摊",IF(AND($B412&lt;&gt;"",COUNTIF($B$4:$B$2503,$B412)&gt;1),"※入库单号重复","")))))))</f>
        <v/>
      </c>
    </row>
    <row r="413">
      <c r="A413" s="24">
        <f>IF($G413="","",COUNTA($G$4:$G413))</f>
        <v/>
      </c>
      <c r="B413" s="17" t="n"/>
      <c r="C413" s="30" t="n">
        <v>46102</v>
      </c>
      <c r="D413" s="17" t="inlineStr">
        <is>
          <t>A国内</t>
        </is>
      </c>
      <c r="E413" s="17" t="inlineStr">
        <is>
          <t>CBHU9041804-202603</t>
        </is>
      </c>
      <c r="F413" s="17" t="inlineStr">
        <is>
          <t>烟台市金豪矿山机械有限公司</t>
        </is>
      </c>
      <c r="G413" s="17" t="inlineStr">
        <is>
          <t>JH0367</t>
        </is>
      </c>
      <c r="H413" s="24">
        <f>IF($G413="","",IFERROR(VLOOKUP($G413,物料档案!$A$4:$P$1203,3,0),"※编码不在物料档案里"))</f>
        <v/>
      </c>
      <c r="I413" s="24">
        <f>IF($G413="","",IFERROR(VLOOKUP($G413,物料档案!$A$4:$P$1203,4,0),"※编码不在物料档案里"))</f>
        <v/>
      </c>
      <c r="J413" s="24">
        <f>IF($G413="","",IFERROR(VLOOKUP($G413,物料档案!$A$4:$P$1203,5,0),"※编码不在物料档案里"))</f>
        <v/>
      </c>
      <c r="K413" s="23" t="n">
        <v>100</v>
      </c>
      <c r="L413" s="31" t="n">
        <v>3.6</v>
      </c>
      <c r="M413" s="24">
        <f>IF($G413="","",IF($D413="A国内","CNY","TZS"))</f>
        <v/>
      </c>
      <c r="N413" s="28">
        <f>IF($G413="","",IF($D413="A国内",汇率,1))</f>
        <v/>
      </c>
      <c r="O413" s="25">
        <f>IF($G413="","",ROUND(N($K413)*N($L413),2))</f>
        <v/>
      </c>
      <c r="P413" s="26">
        <f>IF($G413="","",ROUND($O413*$N413,0))</f>
        <v/>
      </c>
      <c r="Q413" s="26">
        <f>IF($G413="","",SUMIFS($P$4:$P$2503,$E$4:$E$2503,$E413,$Z$4:$Z$2503,"正常"))</f>
        <v/>
      </c>
      <c r="R413" s="26">
        <f>IF($G413="","",SUMIFS(费用台账!$I$4:$I$503,费用台账!$C$4:$C$503,$E413,费用台账!$J$4:$J$503,"是",费用台账!$K$4:$K$503,"正常"))</f>
        <v/>
      </c>
      <c r="S413" s="28">
        <f>IF($G413="","",COUNTIFS($E$4:$E$2503,$E413,$Z$4:$Z$2503,"正常",$Y$4:$Y$2503,"待补价"))</f>
        <v/>
      </c>
      <c r="T413" s="26">
        <f>IF($G413="","",SUMIFS($P$4:$P$2503,$E$4:$E$2503,$E413,$Z$4:$Z$2503,"正常",$A$4:$A$2503,"&lt;="&amp;$A413))</f>
        <v/>
      </c>
      <c r="U413" s="26">
        <f>IF($G413="","",IF(OR($S413&gt;0,$Q413=0,$R413=0,$Z413&lt;&gt;"正常"),0,ROUND($T413/$Q413*$R413,0)-ROUND(($T413-$P413)/$Q413*$R413,0)))</f>
        <v/>
      </c>
      <c r="V413" s="26">
        <f>IF($G413="","",ROUND($P413+$U413,0))</f>
        <v/>
      </c>
      <c r="W413" s="26">
        <f>IF($G413="","",IF(N($K413)=0,0,ROUND($V413/$K413,2)))</f>
        <v/>
      </c>
      <c r="X413" s="17" t="inlineStr">
        <is>
          <t>采购入库</t>
        </is>
      </c>
      <c r="Y413" s="17" t="inlineStr">
        <is>
          <t>正常</t>
        </is>
      </c>
      <c r="Z413" s="17" t="inlineStr">
        <is>
          <t>正常</t>
        </is>
      </c>
      <c r="AA413" s="17" t="n"/>
      <c r="AB413" s="17" t="inlineStr">
        <is>
          <t>原表第 418 行</t>
        </is>
      </c>
      <c r="AC413" s="24">
        <f>IF($G413="","",IF($H413="※编码不在物料档案里","※物料编码不在档案里",IF(N($K413)&lt;=0,"※入库数量要大于 0",IF(AND($C413&lt;&gt;"",$C413&lt;=结账锁),"※日期早于已结账截止日，不能再录",IF(AND($L413=0,$X413="正常"),"※没填单价，价格状态请选「待补价」",IF(AND($S413&gt;0,$R413&gt;0),"△本批有 "&amp;$S413&amp;" 行没单价，整批运费先挂账没摊",IF(AND($B413&lt;&gt;"",COUNTIF($B$4:$B$2503,$B413)&gt;1),"※入库单号重复","")))))))</f>
        <v/>
      </c>
    </row>
    <row r="414">
      <c r="A414" s="24">
        <f>IF($G414="","",COUNTA($G$4:$G414))</f>
        <v/>
      </c>
      <c r="B414" s="17" t="n"/>
      <c r="C414" s="30" t="n">
        <v>46102</v>
      </c>
      <c r="D414" s="17" t="inlineStr">
        <is>
          <t>A国内</t>
        </is>
      </c>
      <c r="E414" s="17" t="inlineStr">
        <is>
          <t>CBHU9041804-202603</t>
        </is>
      </c>
      <c r="F414" s="17" t="inlineStr">
        <is>
          <t>烟台市金豪矿山机械有限公司</t>
        </is>
      </c>
      <c r="G414" s="17" t="inlineStr">
        <is>
          <t>JH0368</t>
        </is>
      </c>
      <c r="H414" s="24">
        <f>IF($G414="","",IFERROR(VLOOKUP($G414,物料档案!$A$4:$P$1203,3,0),"※编码不在物料档案里"))</f>
        <v/>
      </c>
      <c r="I414" s="24">
        <f>IF($G414="","",IFERROR(VLOOKUP($G414,物料档案!$A$4:$P$1203,4,0),"※编码不在物料档案里"))</f>
        <v/>
      </c>
      <c r="J414" s="24">
        <f>IF($G414="","",IFERROR(VLOOKUP($G414,物料档案!$A$4:$P$1203,5,0),"※编码不在物料档案里"))</f>
        <v/>
      </c>
      <c r="K414" s="23" t="n">
        <v>100</v>
      </c>
      <c r="L414" s="31" t="n">
        <v>2</v>
      </c>
      <c r="M414" s="24">
        <f>IF($G414="","",IF($D414="A国内","CNY","TZS"))</f>
        <v/>
      </c>
      <c r="N414" s="28">
        <f>IF($G414="","",IF($D414="A国内",汇率,1))</f>
        <v/>
      </c>
      <c r="O414" s="25">
        <f>IF($G414="","",ROUND(N($K414)*N($L414),2))</f>
        <v/>
      </c>
      <c r="P414" s="26">
        <f>IF($G414="","",ROUND($O414*$N414,0))</f>
        <v/>
      </c>
      <c r="Q414" s="26">
        <f>IF($G414="","",SUMIFS($P$4:$P$2503,$E$4:$E$2503,$E414,$Z$4:$Z$2503,"正常"))</f>
        <v/>
      </c>
      <c r="R414" s="26">
        <f>IF($G414="","",SUMIFS(费用台账!$I$4:$I$503,费用台账!$C$4:$C$503,$E414,费用台账!$J$4:$J$503,"是",费用台账!$K$4:$K$503,"正常"))</f>
        <v/>
      </c>
      <c r="S414" s="28">
        <f>IF($G414="","",COUNTIFS($E$4:$E$2503,$E414,$Z$4:$Z$2503,"正常",$Y$4:$Y$2503,"待补价"))</f>
        <v/>
      </c>
      <c r="T414" s="26">
        <f>IF($G414="","",SUMIFS($P$4:$P$2503,$E$4:$E$2503,$E414,$Z$4:$Z$2503,"正常",$A$4:$A$2503,"&lt;="&amp;$A414))</f>
        <v/>
      </c>
      <c r="U414" s="26">
        <f>IF($G414="","",IF(OR($S414&gt;0,$Q414=0,$R414=0,$Z414&lt;&gt;"正常"),0,ROUND($T414/$Q414*$R414,0)-ROUND(($T414-$P414)/$Q414*$R414,0)))</f>
        <v/>
      </c>
      <c r="V414" s="26">
        <f>IF($G414="","",ROUND($P414+$U414,0))</f>
        <v/>
      </c>
      <c r="W414" s="26">
        <f>IF($G414="","",IF(N($K414)=0,0,ROUND($V414/$K414,2)))</f>
        <v/>
      </c>
      <c r="X414" s="17" t="inlineStr">
        <is>
          <t>采购入库</t>
        </is>
      </c>
      <c r="Y414" s="17" t="inlineStr">
        <is>
          <t>正常</t>
        </is>
      </c>
      <c r="Z414" s="17" t="inlineStr">
        <is>
          <t>正常</t>
        </is>
      </c>
      <c r="AA414" s="17" t="n"/>
      <c r="AB414" s="17" t="inlineStr">
        <is>
          <t>原表第 419 行</t>
        </is>
      </c>
      <c r="AC414" s="24">
        <f>IF($G414="","",IF($H414="※编码不在物料档案里","※物料编码不在档案里",IF(N($K414)&lt;=0,"※入库数量要大于 0",IF(AND($C414&lt;&gt;"",$C414&lt;=结账锁),"※日期早于已结账截止日，不能再录",IF(AND($L414=0,$X414="正常"),"※没填单价，价格状态请选「待补价」",IF(AND($S414&gt;0,$R414&gt;0),"△本批有 "&amp;$S414&amp;" 行没单价，整批运费先挂账没摊",IF(AND($B414&lt;&gt;"",COUNTIF($B$4:$B$2503,$B414)&gt;1),"※入库单号重复","")))))))</f>
        <v/>
      </c>
    </row>
    <row r="415">
      <c r="A415" s="24">
        <f>IF($G415="","",COUNTA($G$4:$G415))</f>
        <v/>
      </c>
      <c r="B415" s="17" t="n"/>
      <c r="C415" s="30" t="n">
        <v>46102</v>
      </c>
      <c r="D415" s="17" t="inlineStr">
        <is>
          <t>A国内</t>
        </is>
      </c>
      <c r="E415" s="17" t="inlineStr">
        <is>
          <t>CBHU9041804-202603</t>
        </is>
      </c>
      <c r="F415" s="17" t="inlineStr">
        <is>
          <t>烟台市金豪矿山机械有限公司</t>
        </is>
      </c>
      <c r="G415" s="17" t="inlineStr">
        <is>
          <t>JH0369</t>
        </is>
      </c>
      <c r="H415" s="24">
        <f>IF($G415="","",IFERROR(VLOOKUP($G415,物料档案!$A$4:$P$1203,3,0),"※编码不在物料档案里"))</f>
        <v/>
      </c>
      <c r="I415" s="24">
        <f>IF($G415="","",IFERROR(VLOOKUP($G415,物料档案!$A$4:$P$1203,4,0),"※编码不在物料档案里"))</f>
        <v/>
      </c>
      <c r="J415" s="24">
        <f>IF($G415="","",IFERROR(VLOOKUP($G415,物料档案!$A$4:$P$1203,5,0),"※编码不在物料档案里"))</f>
        <v/>
      </c>
      <c r="K415" s="23" t="n">
        <v>50</v>
      </c>
      <c r="L415" s="31" t="n">
        <v>5.2</v>
      </c>
      <c r="M415" s="24">
        <f>IF($G415="","",IF($D415="A国内","CNY","TZS"))</f>
        <v/>
      </c>
      <c r="N415" s="28">
        <f>IF($G415="","",IF($D415="A国内",汇率,1))</f>
        <v/>
      </c>
      <c r="O415" s="25">
        <f>IF($G415="","",ROUND(N($K415)*N($L415),2))</f>
        <v/>
      </c>
      <c r="P415" s="26">
        <f>IF($G415="","",ROUND($O415*$N415,0))</f>
        <v/>
      </c>
      <c r="Q415" s="26">
        <f>IF($G415="","",SUMIFS($P$4:$P$2503,$E$4:$E$2503,$E415,$Z$4:$Z$2503,"正常"))</f>
        <v/>
      </c>
      <c r="R415" s="26">
        <f>IF($G415="","",SUMIFS(费用台账!$I$4:$I$503,费用台账!$C$4:$C$503,$E415,费用台账!$J$4:$J$503,"是",费用台账!$K$4:$K$503,"正常"))</f>
        <v/>
      </c>
      <c r="S415" s="28">
        <f>IF($G415="","",COUNTIFS($E$4:$E$2503,$E415,$Z$4:$Z$2503,"正常",$Y$4:$Y$2503,"待补价"))</f>
        <v/>
      </c>
      <c r="T415" s="26">
        <f>IF($G415="","",SUMIFS($P$4:$P$2503,$E$4:$E$2503,$E415,$Z$4:$Z$2503,"正常",$A$4:$A$2503,"&lt;="&amp;$A415))</f>
        <v/>
      </c>
      <c r="U415" s="26">
        <f>IF($G415="","",IF(OR($S415&gt;0,$Q415=0,$R415=0,$Z415&lt;&gt;"正常"),0,ROUND($T415/$Q415*$R415,0)-ROUND(($T415-$P415)/$Q415*$R415,0)))</f>
        <v/>
      </c>
      <c r="V415" s="26">
        <f>IF($G415="","",ROUND($P415+$U415,0))</f>
        <v/>
      </c>
      <c r="W415" s="26">
        <f>IF($G415="","",IF(N($K415)=0,0,ROUND($V415/$K415,2)))</f>
        <v/>
      </c>
      <c r="X415" s="17" t="inlineStr">
        <is>
          <t>采购入库</t>
        </is>
      </c>
      <c r="Y415" s="17" t="inlineStr">
        <is>
          <t>正常</t>
        </is>
      </c>
      <c r="Z415" s="17" t="inlineStr">
        <is>
          <t>正常</t>
        </is>
      </c>
      <c r="AA415" s="17" t="n"/>
      <c r="AB415" s="17" t="inlineStr">
        <is>
          <t>原表第 420 行</t>
        </is>
      </c>
      <c r="AC415" s="24">
        <f>IF($G415="","",IF($H415="※编码不在物料档案里","※物料编码不在档案里",IF(N($K415)&lt;=0,"※入库数量要大于 0",IF(AND($C415&lt;&gt;"",$C415&lt;=结账锁),"※日期早于已结账截止日，不能再录",IF(AND($L415=0,$X415="正常"),"※没填单价，价格状态请选「待补价」",IF(AND($S415&gt;0,$R415&gt;0),"△本批有 "&amp;$S415&amp;" 行没单价，整批运费先挂账没摊",IF(AND($B415&lt;&gt;"",COUNTIF($B$4:$B$2503,$B415)&gt;1),"※入库单号重复","")))))))</f>
        <v/>
      </c>
    </row>
    <row r="416">
      <c r="A416" s="24">
        <f>IF($G416="","",COUNTA($G$4:$G416))</f>
        <v/>
      </c>
      <c r="B416" s="17" t="n"/>
      <c r="C416" s="30" t="n">
        <v>46102</v>
      </c>
      <c r="D416" s="17" t="inlineStr">
        <is>
          <t>A国内</t>
        </is>
      </c>
      <c r="E416" s="17" t="inlineStr">
        <is>
          <t>CBHU9041804-202603</t>
        </is>
      </c>
      <c r="F416" s="17" t="inlineStr">
        <is>
          <t>烟台市金豪矿山机械有限公司</t>
        </is>
      </c>
      <c r="G416" s="17" t="inlineStr">
        <is>
          <t>JH0370</t>
        </is>
      </c>
      <c r="H416" s="24">
        <f>IF($G416="","",IFERROR(VLOOKUP($G416,物料档案!$A$4:$P$1203,3,0),"※编码不在物料档案里"))</f>
        <v/>
      </c>
      <c r="I416" s="24">
        <f>IF($G416="","",IFERROR(VLOOKUP($G416,物料档案!$A$4:$P$1203,4,0),"※编码不在物料档案里"))</f>
        <v/>
      </c>
      <c r="J416" s="24">
        <f>IF($G416="","",IFERROR(VLOOKUP($G416,物料档案!$A$4:$P$1203,5,0),"※编码不在物料档案里"))</f>
        <v/>
      </c>
      <c r="K416" s="23" t="n">
        <v>3</v>
      </c>
      <c r="L416" s="31" t="n">
        <v>1325</v>
      </c>
      <c r="M416" s="24">
        <f>IF($G416="","",IF($D416="A国内","CNY","TZS"))</f>
        <v/>
      </c>
      <c r="N416" s="28">
        <f>IF($G416="","",IF($D416="A国内",汇率,1))</f>
        <v/>
      </c>
      <c r="O416" s="25">
        <f>IF($G416="","",ROUND(N($K416)*N($L416),2))</f>
        <v/>
      </c>
      <c r="P416" s="26">
        <f>IF($G416="","",ROUND($O416*$N416,0))</f>
        <v/>
      </c>
      <c r="Q416" s="26">
        <f>IF($G416="","",SUMIFS($P$4:$P$2503,$E$4:$E$2503,$E416,$Z$4:$Z$2503,"正常"))</f>
        <v/>
      </c>
      <c r="R416" s="26">
        <f>IF($G416="","",SUMIFS(费用台账!$I$4:$I$503,费用台账!$C$4:$C$503,$E416,费用台账!$J$4:$J$503,"是",费用台账!$K$4:$K$503,"正常"))</f>
        <v/>
      </c>
      <c r="S416" s="28">
        <f>IF($G416="","",COUNTIFS($E$4:$E$2503,$E416,$Z$4:$Z$2503,"正常",$Y$4:$Y$2503,"待补价"))</f>
        <v/>
      </c>
      <c r="T416" s="26">
        <f>IF($G416="","",SUMIFS($P$4:$P$2503,$E$4:$E$2503,$E416,$Z$4:$Z$2503,"正常",$A$4:$A$2503,"&lt;="&amp;$A416))</f>
        <v/>
      </c>
      <c r="U416" s="26">
        <f>IF($G416="","",IF(OR($S416&gt;0,$Q416=0,$R416=0,$Z416&lt;&gt;"正常"),0,ROUND($T416/$Q416*$R416,0)-ROUND(($T416-$P416)/$Q416*$R416,0)))</f>
        <v/>
      </c>
      <c r="V416" s="26">
        <f>IF($G416="","",ROUND($P416+$U416,0))</f>
        <v/>
      </c>
      <c r="W416" s="26">
        <f>IF($G416="","",IF(N($K416)=0,0,ROUND($V416/$K416,2)))</f>
        <v/>
      </c>
      <c r="X416" s="17" t="inlineStr">
        <is>
          <t>采购入库</t>
        </is>
      </c>
      <c r="Y416" s="17" t="inlineStr">
        <is>
          <t>正常</t>
        </is>
      </c>
      <c r="Z416" s="17" t="inlineStr">
        <is>
          <t>正常</t>
        </is>
      </c>
      <c r="AA416" s="17" t="n"/>
      <c r="AB416" s="17" t="inlineStr">
        <is>
          <t>原表第 421 行</t>
        </is>
      </c>
      <c r="AC416" s="24">
        <f>IF($G416="","",IF($H416="※编码不在物料档案里","※物料编码不在档案里",IF(N($K416)&lt;=0,"※入库数量要大于 0",IF(AND($C416&lt;&gt;"",$C416&lt;=结账锁),"※日期早于已结账截止日，不能再录",IF(AND($L416=0,$X416="正常"),"※没填单价，价格状态请选「待补价」",IF(AND($S416&gt;0,$R416&gt;0),"△本批有 "&amp;$S416&amp;" 行没单价，整批运费先挂账没摊",IF(AND($B416&lt;&gt;"",COUNTIF($B$4:$B$2503,$B416)&gt;1),"※入库单号重复","")))))))</f>
        <v/>
      </c>
    </row>
    <row r="417">
      <c r="A417" s="24">
        <f>IF($G417="","",COUNTA($G$4:$G417))</f>
        <v/>
      </c>
      <c r="B417" s="17" t="n"/>
      <c r="C417" s="30" t="n">
        <v>46102</v>
      </c>
      <c r="D417" s="17" t="inlineStr">
        <is>
          <t>A国内</t>
        </is>
      </c>
      <c r="E417" s="17" t="inlineStr">
        <is>
          <t>CBHU9041804-202603</t>
        </is>
      </c>
      <c r="F417" s="17" t="inlineStr">
        <is>
          <t>烟台市金豪矿山机械有限公司</t>
        </is>
      </c>
      <c r="G417" s="17" t="inlineStr">
        <is>
          <t>JH0371</t>
        </is>
      </c>
      <c r="H417" s="24">
        <f>IF($G417="","",IFERROR(VLOOKUP($G417,物料档案!$A$4:$P$1203,3,0),"※编码不在物料档案里"))</f>
        <v/>
      </c>
      <c r="I417" s="24">
        <f>IF($G417="","",IFERROR(VLOOKUP($G417,物料档案!$A$4:$P$1203,4,0),"※编码不在物料档案里"))</f>
        <v/>
      </c>
      <c r="J417" s="24">
        <f>IF($G417="","",IFERROR(VLOOKUP($G417,物料档案!$A$4:$P$1203,5,0),"※编码不在物料档案里"))</f>
        <v/>
      </c>
      <c r="K417" s="23" t="n">
        <v>1200</v>
      </c>
      <c r="L417" s="31" t="n"/>
      <c r="M417" s="24">
        <f>IF($G417="","",IF($D417="A国内","CNY","TZS"))</f>
        <v/>
      </c>
      <c r="N417" s="28">
        <f>IF($G417="","",IF($D417="A国内",汇率,1))</f>
        <v/>
      </c>
      <c r="O417" s="25">
        <f>IF($G417="","",ROUND(N($K417)*N($L417),2))</f>
        <v/>
      </c>
      <c r="P417" s="26">
        <f>IF($G417="","",ROUND($O417*$N417,0))</f>
        <v/>
      </c>
      <c r="Q417" s="26">
        <f>IF($G417="","",SUMIFS($P$4:$P$2503,$E$4:$E$2503,$E417,$Z$4:$Z$2503,"正常"))</f>
        <v/>
      </c>
      <c r="R417" s="26">
        <f>IF($G417="","",SUMIFS(费用台账!$I$4:$I$503,费用台账!$C$4:$C$503,$E417,费用台账!$J$4:$J$503,"是",费用台账!$K$4:$K$503,"正常"))</f>
        <v/>
      </c>
      <c r="S417" s="28">
        <f>IF($G417="","",COUNTIFS($E$4:$E$2503,$E417,$Z$4:$Z$2503,"正常",$Y$4:$Y$2503,"待补价"))</f>
        <v/>
      </c>
      <c r="T417" s="26">
        <f>IF($G417="","",SUMIFS($P$4:$P$2503,$E$4:$E$2503,$E417,$Z$4:$Z$2503,"正常",$A$4:$A$2503,"&lt;="&amp;$A417))</f>
        <v/>
      </c>
      <c r="U417" s="26">
        <f>IF($G417="","",IF(OR($S417&gt;0,$Q417=0,$R417=0,$Z417&lt;&gt;"正常"),0,ROUND($T417/$Q417*$R417,0)-ROUND(($T417-$P417)/$Q417*$R417,0)))</f>
        <v/>
      </c>
      <c r="V417" s="26">
        <f>IF($G417="","",ROUND($P417+$U417,0))</f>
        <v/>
      </c>
      <c r="W417" s="26">
        <f>IF($G417="","",IF(N($K417)=0,0,ROUND($V417/$K417,2)))</f>
        <v/>
      </c>
      <c r="X417" s="17" t="inlineStr">
        <is>
          <t>采购入库</t>
        </is>
      </c>
      <c r="Y417" s="17" t="inlineStr">
        <is>
          <t>待补价</t>
        </is>
      </c>
      <c r="Z417" s="17" t="inlineStr">
        <is>
          <t>正常</t>
        </is>
      </c>
      <c r="AA417" s="17" t="n"/>
      <c r="AB417" s="17" t="inlineStr">
        <is>
          <t>原表第 422 行</t>
        </is>
      </c>
      <c r="AC417" s="24">
        <f>IF($G417="","",IF($H417="※编码不在物料档案里","※物料编码不在档案里",IF(N($K417)&lt;=0,"※入库数量要大于 0",IF(AND($C417&lt;&gt;"",$C417&lt;=结账锁),"※日期早于已结账截止日，不能再录",IF(AND($L417=0,$X417="正常"),"※没填单价，价格状态请选「待补价」",IF(AND($S417&gt;0,$R417&gt;0),"△本批有 "&amp;$S417&amp;" 行没单价，整批运费先挂账没摊",IF(AND($B417&lt;&gt;"",COUNTIF($B$4:$B$2503,$B417)&gt;1),"※入库单号重复","")))))))</f>
        <v/>
      </c>
    </row>
    <row r="418">
      <c r="A418" s="24">
        <f>IF($G418="","",COUNTA($G$4:$G418))</f>
        <v/>
      </c>
      <c r="B418" s="17" t="n"/>
      <c r="C418" s="30" t="n">
        <v>46102</v>
      </c>
      <c r="D418" s="17" t="inlineStr">
        <is>
          <t>A国内</t>
        </is>
      </c>
      <c r="E418" s="17" t="inlineStr">
        <is>
          <t>CBHU9041804-202603</t>
        </is>
      </c>
      <c r="F418" s="17" t="inlineStr">
        <is>
          <t>烟台市金豪矿山机械有限公司</t>
        </is>
      </c>
      <c r="G418" s="17" t="inlineStr">
        <is>
          <t>JH0372</t>
        </is>
      </c>
      <c r="H418" s="24">
        <f>IF($G418="","",IFERROR(VLOOKUP($G418,物料档案!$A$4:$P$1203,3,0),"※编码不在物料档案里"))</f>
        <v/>
      </c>
      <c r="I418" s="24">
        <f>IF($G418="","",IFERROR(VLOOKUP($G418,物料档案!$A$4:$P$1203,4,0),"※编码不在物料档案里"))</f>
        <v/>
      </c>
      <c r="J418" s="24">
        <f>IF($G418="","",IFERROR(VLOOKUP($G418,物料档案!$A$4:$P$1203,5,0),"※编码不在物料档案里"))</f>
        <v/>
      </c>
      <c r="K418" s="23" t="n">
        <v>180</v>
      </c>
      <c r="L418" s="31" t="n"/>
      <c r="M418" s="24">
        <f>IF($G418="","",IF($D418="A国内","CNY","TZS"))</f>
        <v/>
      </c>
      <c r="N418" s="28">
        <f>IF($G418="","",IF($D418="A国内",汇率,1))</f>
        <v/>
      </c>
      <c r="O418" s="25">
        <f>IF($G418="","",ROUND(N($K418)*N($L418),2))</f>
        <v/>
      </c>
      <c r="P418" s="26">
        <f>IF($G418="","",ROUND($O418*$N418,0))</f>
        <v/>
      </c>
      <c r="Q418" s="26">
        <f>IF($G418="","",SUMIFS($P$4:$P$2503,$E$4:$E$2503,$E418,$Z$4:$Z$2503,"正常"))</f>
        <v/>
      </c>
      <c r="R418" s="26">
        <f>IF($G418="","",SUMIFS(费用台账!$I$4:$I$503,费用台账!$C$4:$C$503,$E418,费用台账!$J$4:$J$503,"是",费用台账!$K$4:$K$503,"正常"))</f>
        <v/>
      </c>
      <c r="S418" s="28">
        <f>IF($G418="","",COUNTIFS($E$4:$E$2503,$E418,$Z$4:$Z$2503,"正常",$Y$4:$Y$2503,"待补价"))</f>
        <v/>
      </c>
      <c r="T418" s="26">
        <f>IF($G418="","",SUMIFS($P$4:$P$2503,$E$4:$E$2503,$E418,$Z$4:$Z$2503,"正常",$A$4:$A$2503,"&lt;="&amp;$A418))</f>
        <v/>
      </c>
      <c r="U418" s="26">
        <f>IF($G418="","",IF(OR($S418&gt;0,$Q418=0,$R418=0,$Z418&lt;&gt;"正常"),0,ROUND($T418/$Q418*$R418,0)-ROUND(($T418-$P418)/$Q418*$R418,0)))</f>
        <v/>
      </c>
      <c r="V418" s="26">
        <f>IF($G418="","",ROUND($P418+$U418,0))</f>
        <v/>
      </c>
      <c r="W418" s="26">
        <f>IF($G418="","",IF(N($K418)=0,0,ROUND($V418/$K418,2)))</f>
        <v/>
      </c>
      <c r="X418" s="17" t="inlineStr">
        <is>
          <t>采购入库</t>
        </is>
      </c>
      <c r="Y418" s="17" t="inlineStr">
        <is>
          <t>待补价</t>
        </is>
      </c>
      <c r="Z418" s="17" t="inlineStr">
        <is>
          <t>正常</t>
        </is>
      </c>
      <c r="AA418" s="17" t="n"/>
      <c r="AB418" s="17" t="inlineStr">
        <is>
          <t>原表第 423 行</t>
        </is>
      </c>
      <c r="AC418" s="24">
        <f>IF($G418="","",IF($H418="※编码不在物料档案里","※物料编码不在档案里",IF(N($K418)&lt;=0,"※入库数量要大于 0",IF(AND($C418&lt;&gt;"",$C418&lt;=结账锁),"※日期早于已结账截止日，不能再录",IF(AND($L418=0,$X418="正常"),"※没填单价，价格状态请选「待补价」",IF(AND($S418&gt;0,$R418&gt;0),"△本批有 "&amp;$S418&amp;" 行没单价，整批运费先挂账没摊",IF(AND($B418&lt;&gt;"",COUNTIF($B$4:$B$2503,$B418)&gt;1),"※入库单号重复","")))))))</f>
        <v/>
      </c>
    </row>
    <row r="419">
      <c r="A419" s="24">
        <f>IF($G419="","",COUNTA($G$4:$G419))</f>
        <v/>
      </c>
      <c r="B419" s="17" t="n"/>
      <c r="C419" s="30" t="n">
        <v>46102</v>
      </c>
      <c r="D419" s="17" t="inlineStr">
        <is>
          <t>A国内</t>
        </is>
      </c>
      <c r="E419" s="17" t="inlineStr">
        <is>
          <t>CBHU9041804-202603</t>
        </is>
      </c>
      <c r="F419" s="17" t="inlineStr">
        <is>
          <t>烟台市金豪矿山机械有限公司</t>
        </is>
      </c>
      <c r="G419" s="17" t="inlineStr">
        <is>
          <t>JH0373</t>
        </is>
      </c>
      <c r="H419" s="24">
        <f>IF($G419="","",IFERROR(VLOOKUP($G419,物料档案!$A$4:$P$1203,3,0),"※编码不在物料档案里"))</f>
        <v/>
      </c>
      <c r="I419" s="24">
        <f>IF($G419="","",IFERROR(VLOOKUP($G419,物料档案!$A$4:$P$1203,4,0),"※编码不在物料档案里"))</f>
        <v/>
      </c>
      <c r="J419" s="24">
        <f>IF($G419="","",IFERROR(VLOOKUP($G419,物料档案!$A$4:$P$1203,5,0),"※编码不在物料档案里"))</f>
        <v/>
      </c>
      <c r="K419" s="23" t="n">
        <v>130</v>
      </c>
      <c r="L419" s="31" t="n"/>
      <c r="M419" s="24">
        <f>IF($G419="","",IF($D419="A国内","CNY","TZS"))</f>
        <v/>
      </c>
      <c r="N419" s="28">
        <f>IF($G419="","",IF($D419="A国内",汇率,1))</f>
        <v/>
      </c>
      <c r="O419" s="25">
        <f>IF($G419="","",ROUND(N($K419)*N($L419),2))</f>
        <v/>
      </c>
      <c r="P419" s="26">
        <f>IF($G419="","",ROUND($O419*$N419,0))</f>
        <v/>
      </c>
      <c r="Q419" s="26">
        <f>IF($G419="","",SUMIFS($P$4:$P$2503,$E$4:$E$2503,$E419,$Z$4:$Z$2503,"正常"))</f>
        <v/>
      </c>
      <c r="R419" s="26">
        <f>IF($G419="","",SUMIFS(费用台账!$I$4:$I$503,费用台账!$C$4:$C$503,$E419,费用台账!$J$4:$J$503,"是",费用台账!$K$4:$K$503,"正常"))</f>
        <v/>
      </c>
      <c r="S419" s="28">
        <f>IF($G419="","",COUNTIFS($E$4:$E$2503,$E419,$Z$4:$Z$2503,"正常",$Y$4:$Y$2503,"待补价"))</f>
        <v/>
      </c>
      <c r="T419" s="26">
        <f>IF($G419="","",SUMIFS($P$4:$P$2503,$E$4:$E$2503,$E419,$Z$4:$Z$2503,"正常",$A$4:$A$2503,"&lt;="&amp;$A419))</f>
        <v/>
      </c>
      <c r="U419" s="26">
        <f>IF($G419="","",IF(OR($S419&gt;0,$Q419=0,$R419=0,$Z419&lt;&gt;"正常"),0,ROUND($T419/$Q419*$R419,0)-ROUND(($T419-$P419)/$Q419*$R419,0)))</f>
        <v/>
      </c>
      <c r="V419" s="26">
        <f>IF($G419="","",ROUND($P419+$U419,0))</f>
        <v/>
      </c>
      <c r="W419" s="26">
        <f>IF($G419="","",IF(N($K419)=0,0,ROUND($V419/$K419,2)))</f>
        <v/>
      </c>
      <c r="X419" s="17" t="inlineStr">
        <is>
          <t>采购入库</t>
        </is>
      </c>
      <c r="Y419" s="17" t="inlineStr">
        <is>
          <t>待补价</t>
        </is>
      </c>
      <c r="Z419" s="17" t="inlineStr">
        <is>
          <t>正常</t>
        </is>
      </c>
      <c r="AA419" s="17" t="n"/>
      <c r="AB419" s="17" t="inlineStr">
        <is>
          <t>原表第 424 行</t>
        </is>
      </c>
      <c r="AC419" s="24">
        <f>IF($G419="","",IF($H419="※编码不在物料档案里","※物料编码不在档案里",IF(N($K419)&lt;=0,"※入库数量要大于 0",IF(AND($C419&lt;&gt;"",$C419&lt;=结账锁),"※日期早于已结账截止日，不能再录",IF(AND($L419=0,$X419="正常"),"※没填单价，价格状态请选「待补价」",IF(AND($S419&gt;0,$R419&gt;0),"△本批有 "&amp;$S419&amp;" 行没单价，整批运费先挂账没摊",IF(AND($B419&lt;&gt;"",COUNTIF($B$4:$B$2503,$B419)&gt;1),"※入库单号重复","")))))))</f>
        <v/>
      </c>
    </row>
    <row r="420">
      <c r="A420" s="24">
        <f>IF($G420="","",COUNTA($G$4:$G420))</f>
        <v/>
      </c>
      <c r="B420" s="17" t="n"/>
      <c r="C420" s="30" t="n">
        <v>46102</v>
      </c>
      <c r="D420" s="17" t="inlineStr">
        <is>
          <t>A国内</t>
        </is>
      </c>
      <c r="E420" s="17" t="inlineStr">
        <is>
          <t>CBHU9041804-202603</t>
        </is>
      </c>
      <c r="F420" s="17" t="inlineStr">
        <is>
          <t>烟台市金豪矿山机械有限公司</t>
        </is>
      </c>
      <c r="G420" s="17" t="inlineStr">
        <is>
          <t>JH0374</t>
        </is>
      </c>
      <c r="H420" s="24">
        <f>IF($G420="","",IFERROR(VLOOKUP($G420,物料档案!$A$4:$P$1203,3,0),"※编码不在物料档案里"))</f>
        <v/>
      </c>
      <c r="I420" s="24">
        <f>IF($G420="","",IFERROR(VLOOKUP($G420,物料档案!$A$4:$P$1203,4,0),"※编码不在物料档案里"))</f>
        <v/>
      </c>
      <c r="J420" s="24">
        <f>IF($G420="","",IFERROR(VLOOKUP($G420,物料档案!$A$4:$P$1203,5,0),"※编码不在物料档案里"))</f>
        <v/>
      </c>
      <c r="K420" s="23" t="n">
        <v>60</v>
      </c>
      <c r="L420" s="31" t="n"/>
      <c r="M420" s="24">
        <f>IF($G420="","",IF($D420="A国内","CNY","TZS"))</f>
        <v/>
      </c>
      <c r="N420" s="28">
        <f>IF($G420="","",IF($D420="A国内",汇率,1))</f>
        <v/>
      </c>
      <c r="O420" s="25">
        <f>IF($G420="","",ROUND(N($K420)*N($L420),2))</f>
        <v/>
      </c>
      <c r="P420" s="26">
        <f>IF($G420="","",ROUND($O420*$N420,0))</f>
        <v/>
      </c>
      <c r="Q420" s="26">
        <f>IF($G420="","",SUMIFS($P$4:$P$2503,$E$4:$E$2503,$E420,$Z$4:$Z$2503,"正常"))</f>
        <v/>
      </c>
      <c r="R420" s="26">
        <f>IF($G420="","",SUMIFS(费用台账!$I$4:$I$503,费用台账!$C$4:$C$503,$E420,费用台账!$J$4:$J$503,"是",费用台账!$K$4:$K$503,"正常"))</f>
        <v/>
      </c>
      <c r="S420" s="28">
        <f>IF($G420="","",COUNTIFS($E$4:$E$2503,$E420,$Z$4:$Z$2503,"正常",$Y$4:$Y$2503,"待补价"))</f>
        <v/>
      </c>
      <c r="T420" s="26">
        <f>IF($G420="","",SUMIFS($P$4:$P$2503,$E$4:$E$2503,$E420,$Z$4:$Z$2503,"正常",$A$4:$A$2503,"&lt;="&amp;$A420))</f>
        <v/>
      </c>
      <c r="U420" s="26">
        <f>IF($G420="","",IF(OR($S420&gt;0,$Q420=0,$R420=0,$Z420&lt;&gt;"正常"),0,ROUND($T420/$Q420*$R420,0)-ROUND(($T420-$P420)/$Q420*$R420,0)))</f>
        <v/>
      </c>
      <c r="V420" s="26">
        <f>IF($G420="","",ROUND($P420+$U420,0))</f>
        <v/>
      </c>
      <c r="W420" s="26">
        <f>IF($G420="","",IF(N($K420)=0,0,ROUND($V420/$K420,2)))</f>
        <v/>
      </c>
      <c r="X420" s="17" t="inlineStr">
        <is>
          <t>采购入库</t>
        </is>
      </c>
      <c r="Y420" s="17" t="inlineStr">
        <is>
          <t>待补价</t>
        </is>
      </c>
      <c r="Z420" s="17" t="inlineStr">
        <is>
          <t>正常</t>
        </is>
      </c>
      <c r="AA420" s="17" t="n"/>
      <c r="AB420" s="17" t="inlineStr">
        <is>
          <t>原表第 425 行</t>
        </is>
      </c>
      <c r="AC420" s="24">
        <f>IF($G420="","",IF($H420="※编码不在物料档案里","※物料编码不在档案里",IF(N($K420)&lt;=0,"※入库数量要大于 0",IF(AND($C420&lt;&gt;"",$C420&lt;=结账锁),"※日期早于已结账截止日，不能再录",IF(AND($L420=0,$X420="正常"),"※没填单价，价格状态请选「待补价」",IF(AND($S420&gt;0,$R420&gt;0),"△本批有 "&amp;$S420&amp;" 行没单价，整批运费先挂账没摊",IF(AND($B420&lt;&gt;"",COUNTIF($B$4:$B$2503,$B420)&gt;1),"※入库单号重复","")))))))</f>
        <v/>
      </c>
    </row>
    <row r="421">
      <c r="A421" s="24">
        <f>IF($G421="","",COUNTA($G$4:$G421))</f>
        <v/>
      </c>
      <c r="B421" s="17" t="n"/>
      <c r="C421" s="30" t="n">
        <v>46102</v>
      </c>
      <c r="D421" s="17" t="inlineStr">
        <is>
          <t>A国内</t>
        </is>
      </c>
      <c r="E421" s="17" t="inlineStr">
        <is>
          <t>CBHU9041804-202603</t>
        </is>
      </c>
      <c r="F421" s="17" t="inlineStr">
        <is>
          <t>烟台市金豪矿山机械有限公司</t>
        </is>
      </c>
      <c r="G421" s="17" t="inlineStr">
        <is>
          <t>JH0375</t>
        </is>
      </c>
      <c r="H421" s="24">
        <f>IF($G421="","",IFERROR(VLOOKUP($G421,物料档案!$A$4:$P$1203,3,0),"※编码不在物料档案里"))</f>
        <v/>
      </c>
      <c r="I421" s="24">
        <f>IF($G421="","",IFERROR(VLOOKUP($G421,物料档案!$A$4:$P$1203,4,0),"※编码不在物料档案里"))</f>
        <v/>
      </c>
      <c r="J421" s="24">
        <f>IF($G421="","",IFERROR(VLOOKUP($G421,物料档案!$A$4:$P$1203,5,0),"※编码不在物料档案里"))</f>
        <v/>
      </c>
      <c r="K421" s="23" t="n">
        <v>87</v>
      </c>
      <c r="L421" s="31" t="n"/>
      <c r="M421" s="24">
        <f>IF($G421="","",IF($D421="A国内","CNY","TZS"))</f>
        <v/>
      </c>
      <c r="N421" s="28">
        <f>IF($G421="","",IF($D421="A国内",汇率,1))</f>
        <v/>
      </c>
      <c r="O421" s="25">
        <f>IF($G421="","",ROUND(N($K421)*N($L421),2))</f>
        <v/>
      </c>
      <c r="P421" s="26">
        <f>IF($G421="","",ROUND($O421*$N421,0))</f>
        <v/>
      </c>
      <c r="Q421" s="26">
        <f>IF($G421="","",SUMIFS($P$4:$P$2503,$E$4:$E$2503,$E421,$Z$4:$Z$2503,"正常"))</f>
        <v/>
      </c>
      <c r="R421" s="26">
        <f>IF($G421="","",SUMIFS(费用台账!$I$4:$I$503,费用台账!$C$4:$C$503,$E421,费用台账!$J$4:$J$503,"是",费用台账!$K$4:$K$503,"正常"))</f>
        <v/>
      </c>
      <c r="S421" s="28">
        <f>IF($G421="","",COUNTIFS($E$4:$E$2503,$E421,$Z$4:$Z$2503,"正常",$Y$4:$Y$2503,"待补价"))</f>
        <v/>
      </c>
      <c r="T421" s="26">
        <f>IF($G421="","",SUMIFS($P$4:$P$2503,$E$4:$E$2503,$E421,$Z$4:$Z$2503,"正常",$A$4:$A$2503,"&lt;="&amp;$A421))</f>
        <v/>
      </c>
      <c r="U421" s="26">
        <f>IF($G421="","",IF(OR($S421&gt;0,$Q421=0,$R421=0,$Z421&lt;&gt;"正常"),0,ROUND($T421/$Q421*$R421,0)-ROUND(($T421-$P421)/$Q421*$R421,0)))</f>
        <v/>
      </c>
      <c r="V421" s="26">
        <f>IF($G421="","",ROUND($P421+$U421,0))</f>
        <v/>
      </c>
      <c r="W421" s="26">
        <f>IF($G421="","",IF(N($K421)=0,0,ROUND($V421/$K421,2)))</f>
        <v/>
      </c>
      <c r="X421" s="17" t="inlineStr">
        <is>
          <t>采购入库</t>
        </is>
      </c>
      <c r="Y421" s="17" t="inlineStr">
        <is>
          <t>待补价</t>
        </is>
      </c>
      <c r="Z421" s="17" t="inlineStr">
        <is>
          <t>正常</t>
        </is>
      </c>
      <c r="AA421" s="17" t="n"/>
      <c r="AB421" s="17" t="inlineStr">
        <is>
          <t>原表第 426 行</t>
        </is>
      </c>
      <c r="AC421" s="24">
        <f>IF($G421="","",IF($H421="※编码不在物料档案里","※物料编码不在档案里",IF(N($K421)&lt;=0,"※入库数量要大于 0",IF(AND($C421&lt;&gt;"",$C421&lt;=结账锁),"※日期早于已结账截止日，不能再录",IF(AND($L421=0,$X421="正常"),"※没填单价，价格状态请选「待补价」",IF(AND($S421&gt;0,$R421&gt;0),"△本批有 "&amp;$S421&amp;" 行没单价，整批运费先挂账没摊",IF(AND($B421&lt;&gt;"",COUNTIF($B$4:$B$2503,$B421)&gt;1),"※入库单号重复","")))))))</f>
        <v/>
      </c>
    </row>
    <row r="422">
      <c r="A422" s="24">
        <f>IF($G422="","",COUNTA($G$4:$G422))</f>
        <v/>
      </c>
      <c r="B422" s="17" t="n"/>
      <c r="C422" s="30" t="n">
        <v>46102</v>
      </c>
      <c r="D422" s="17" t="inlineStr">
        <is>
          <t>A国内</t>
        </is>
      </c>
      <c r="E422" s="17" t="inlineStr">
        <is>
          <t>CBHU9041804-202603</t>
        </is>
      </c>
      <c r="F422" s="17" t="inlineStr">
        <is>
          <t>烟台市金豪矿山机械有限公司</t>
        </is>
      </c>
      <c r="G422" s="17" t="inlineStr">
        <is>
          <t>JH0376</t>
        </is>
      </c>
      <c r="H422" s="24">
        <f>IF($G422="","",IFERROR(VLOOKUP($G422,物料档案!$A$4:$P$1203,3,0),"※编码不在物料档案里"))</f>
        <v/>
      </c>
      <c r="I422" s="24">
        <f>IF($G422="","",IFERROR(VLOOKUP($G422,物料档案!$A$4:$P$1203,4,0),"※编码不在物料档案里"))</f>
        <v/>
      </c>
      <c r="J422" s="24">
        <f>IF($G422="","",IFERROR(VLOOKUP($G422,物料档案!$A$4:$P$1203,5,0),"※编码不在物料档案里"))</f>
        <v/>
      </c>
      <c r="K422" s="23" t="n">
        <v>6</v>
      </c>
      <c r="L422" s="31" t="n"/>
      <c r="M422" s="24">
        <f>IF($G422="","",IF($D422="A国内","CNY","TZS"))</f>
        <v/>
      </c>
      <c r="N422" s="28">
        <f>IF($G422="","",IF($D422="A国内",汇率,1))</f>
        <v/>
      </c>
      <c r="O422" s="25">
        <f>IF($G422="","",ROUND(N($K422)*N($L422),2))</f>
        <v/>
      </c>
      <c r="P422" s="26">
        <f>IF($G422="","",ROUND($O422*$N422,0))</f>
        <v/>
      </c>
      <c r="Q422" s="26">
        <f>IF($G422="","",SUMIFS($P$4:$P$2503,$E$4:$E$2503,$E422,$Z$4:$Z$2503,"正常"))</f>
        <v/>
      </c>
      <c r="R422" s="26">
        <f>IF($G422="","",SUMIFS(费用台账!$I$4:$I$503,费用台账!$C$4:$C$503,$E422,费用台账!$J$4:$J$503,"是",费用台账!$K$4:$K$503,"正常"))</f>
        <v/>
      </c>
      <c r="S422" s="28">
        <f>IF($G422="","",COUNTIFS($E$4:$E$2503,$E422,$Z$4:$Z$2503,"正常",$Y$4:$Y$2503,"待补价"))</f>
        <v/>
      </c>
      <c r="T422" s="26">
        <f>IF($G422="","",SUMIFS($P$4:$P$2503,$E$4:$E$2503,$E422,$Z$4:$Z$2503,"正常",$A$4:$A$2503,"&lt;="&amp;$A422))</f>
        <v/>
      </c>
      <c r="U422" s="26">
        <f>IF($G422="","",IF(OR($S422&gt;0,$Q422=0,$R422=0,$Z422&lt;&gt;"正常"),0,ROUND($T422/$Q422*$R422,0)-ROUND(($T422-$P422)/$Q422*$R422,0)))</f>
        <v/>
      </c>
      <c r="V422" s="26">
        <f>IF($G422="","",ROUND($P422+$U422,0))</f>
        <v/>
      </c>
      <c r="W422" s="26">
        <f>IF($G422="","",IF(N($K422)=0,0,ROUND($V422/$K422,2)))</f>
        <v/>
      </c>
      <c r="X422" s="17" t="inlineStr">
        <is>
          <t>采购入库</t>
        </is>
      </c>
      <c r="Y422" s="17" t="inlineStr">
        <is>
          <t>待补价</t>
        </is>
      </c>
      <c r="Z422" s="17" t="inlineStr">
        <is>
          <t>正常</t>
        </is>
      </c>
      <c r="AA422" s="17" t="n"/>
      <c r="AB422" s="17" t="inlineStr">
        <is>
          <t>原表第 427 行</t>
        </is>
      </c>
      <c r="AC422" s="24">
        <f>IF($G422="","",IF($H422="※编码不在物料档案里","※物料编码不在档案里",IF(N($K422)&lt;=0,"※入库数量要大于 0",IF(AND($C422&lt;&gt;"",$C422&lt;=结账锁),"※日期早于已结账截止日，不能再录",IF(AND($L422=0,$X422="正常"),"※没填单价，价格状态请选「待补价」",IF(AND($S422&gt;0,$R422&gt;0),"△本批有 "&amp;$S422&amp;" 行没单价，整批运费先挂账没摊",IF(AND($B422&lt;&gt;"",COUNTIF($B$4:$B$2503,$B422)&gt;1),"※入库单号重复","")))))))</f>
        <v/>
      </c>
    </row>
    <row r="423">
      <c r="A423" s="24">
        <f>IF($G423="","",COUNTA($G$4:$G423))</f>
        <v/>
      </c>
      <c r="B423" s="17" t="n"/>
      <c r="C423" s="30" t="n">
        <v>46102</v>
      </c>
      <c r="D423" s="17" t="inlineStr">
        <is>
          <t>A国内</t>
        </is>
      </c>
      <c r="E423" s="17" t="inlineStr">
        <is>
          <t>CBHU9041804-202603</t>
        </is>
      </c>
      <c r="F423" s="17" t="inlineStr">
        <is>
          <t>烟台市金豪矿山机械有限公司</t>
        </is>
      </c>
      <c r="G423" s="17" t="inlineStr">
        <is>
          <t>JH0377</t>
        </is>
      </c>
      <c r="H423" s="24">
        <f>IF($G423="","",IFERROR(VLOOKUP($G423,物料档案!$A$4:$P$1203,3,0),"※编码不在物料档案里"))</f>
        <v/>
      </c>
      <c r="I423" s="24">
        <f>IF($G423="","",IFERROR(VLOOKUP($G423,物料档案!$A$4:$P$1203,4,0),"※编码不在物料档案里"))</f>
        <v/>
      </c>
      <c r="J423" s="24">
        <f>IF($G423="","",IFERROR(VLOOKUP($G423,物料档案!$A$4:$P$1203,5,0),"※编码不在物料档案里"))</f>
        <v/>
      </c>
      <c r="K423" s="23" t="n">
        <v>3</v>
      </c>
      <c r="L423" s="31" t="n">
        <v>19500</v>
      </c>
      <c r="M423" s="24">
        <f>IF($G423="","",IF($D423="A国内","CNY","TZS"))</f>
        <v/>
      </c>
      <c r="N423" s="28">
        <f>IF($G423="","",IF($D423="A国内",汇率,1))</f>
        <v/>
      </c>
      <c r="O423" s="25">
        <f>IF($G423="","",ROUND(N($K423)*N($L423),2))</f>
        <v/>
      </c>
      <c r="P423" s="26">
        <f>IF($G423="","",ROUND($O423*$N423,0))</f>
        <v/>
      </c>
      <c r="Q423" s="26">
        <f>IF($G423="","",SUMIFS($P$4:$P$2503,$E$4:$E$2503,$E423,$Z$4:$Z$2503,"正常"))</f>
        <v/>
      </c>
      <c r="R423" s="26">
        <f>IF($G423="","",SUMIFS(费用台账!$I$4:$I$503,费用台账!$C$4:$C$503,$E423,费用台账!$J$4:$J$503,"是",费用台账!$K$4:$K$503,"正常"))</f>
        <v/>
      </c>
      <c r="S423" s="28">
        <f>IF($G423="","",COUNTIFS($E$4:$E$2503,$E423,$Z$4:$Z$2503,"正常",$Y$4:$Y$2503,"待补价"))</f>
        <v/>
      </c>
      <c r="T423" s="26">
        <f>IF($G423="","",SUMIFS($P$4:$P$2503,$E$4:$E$2503,$E423,$Z$4:$Z$2503,"正常",$A$4:$A$2503,"&lt;="&amp;$A423))</f>
        <v/>
      </c>
      <c r="U423" s="26">
        <f>IF($G423="","",IF(OR($S423&gt;0,$Q423=0,$R423=0,$Z423&lt;&gt;"正常"),0,ROUND($T423/$Q423*$R423,0)-ROUND(($T423-$P423)/$Q423*$R423,0)))</f>
        <v/>
      </c>
      <c r="V423" s="26">
        <f>IF($G423="","",ROUND($P423+$U423,0))</f>
        <v/>
      </c>
      <c r="W423" s="26">
        <f>IF($G423="","",IF(N($K423)=0,0,ROUND($V423/$K423,2)))</f>
        <v/>
      </c>
      <c r="X423" s="17" t="inlineStr">
        <is>
          <t>采购入库</t>
        </is>
      </c>
      <c r="Y423" s="17" t="inlineStr">
        <is>
          <t>正常</t>
        </is>
      </c>
      <c r="Z423" s="17" t="inlineStr">
        <is>
          <t>正常</t>
        </is>
      </c>
      <c r="AA423" s="17" t="n"/>
      <c r="AB423" s="17" t="inlineStr">
        <is>
          <t>原表第 428 行</t>
        </is>
      </c>
      <c r="AC423" s="24">
        <f>IF($G423="","",IF($H423="※编码不在物料档案里","※物料编码不在档案里",IF(N($K423)&lt;=0,"※入库数量要大于 0",IF(AND($C423&lt;&gt;"",$C423&lt;=结账锁),"※日期早于已结账截止日，不能再录",IF(AND($L423=0,$X423="正常"),"※没填单价，价格状态请选「待补价」",IF(AND($S423&gt;0,$R423&gt;0),"△本批有 "&amp;$S423&amp;" 行没单价，整批运费先挂账没摊",IF(AND($B423&lt;&gt;"",COUNTIF($B$4:$B$2503,$B423)&gt;1),"※入库单号重复","")))))))</f>
        <v/>
      </c>
    </row>
    <row r="424">
      <c r="A424" s="24">
        <f>IF($G424="","",COUNTA($G$4:$G424))</f>
        <v/>
      </c>
      <c r="B424" s="17" t="n"/>
      <c r="C424" s="30" t="n">
        <v>46102</v>
      </c>
      <c r="D424" s="17" t="inlineStr">
        <is>
          <t>A国内</t>
        </is>
      </c>
      <c r="E424" s="17" t="inlineStr">
        <is>
          <t>CBHU9041804-202603</t>
        </is>
      </c>
      <c r="F424" s="17" t="inlineStr">
        <is>
          <t>烟台市金豪矿山机械有限公司</t>
        </is>
      </c>
      <c r="G424" s="17" t="inlineStr">
        <is>
          <t>JH0378</t>
        </is>
      </c>
      <c r="H424" s="24">
        <f>IF($G424="","",IFERROR(VLOOKUP($G424,物料档案!$A$4:$P$1203,3,0),"※编码不在物料档案里"))</f>
        <v/>
      </c>
      <c r="I424" s="24">
        <f>IF($G424="","",IFERROR(VLOOKUP($G424,物料档案!$A$4:$P$1203,4,0),"※编码不在物料档案里"))</f>
        <v/>
      </c>
      <c r="J424" s="24">
        <f>IF($G424="","",IFERROR(VLOOKUP($G424,物料档案!$A$4:$P$1203,5,0),"※编码不在物料档案里"))</f>
        <v/>
      </c>
      <c r="K424" s="23" t="n">
        <v>25</v>
      </c>
      <c r="L424" s="31" t="n"/>
      <c r="M424" s="24">
        <f>IF($G424="","",IF($D424="A国内","CNY","TZS"))</f>
        <v/>
      </c>
      <c r="N424" s="28">
        <f>IF($G424="","",IF($D424="A国内",汇率,1))</f>
        <v/>
      </c>
      <c r="O424" s="25">
        <f>IF($G424="","",ROUND(N($K424)*N($L424),2))</f>
        <v/>
      </c>
      <c r="P424" s="26">
        <f>IF($G424="","",ROUND($O424*$N424,0))</f>
        <v/>
      </c>
      <c r="Q424" s="26">
        <f>IF($G424="","",SUMIFS($P$4:$P$2503,$E$4:$E$2503,$E424,$Z$4:$Z$2503,"正常"))</f>
        <v/>
      </c>
      <c r="R424" s="26">
        <f>IF($G424="","",SUMIFS(费用台账!$I$4:$I$503,费用台账!$C$4:$C$503,$E424,费用台账!$J$4:$J$503,"是",费用台账!$K$4:$K$503,"正常"))</f>
        <v/>
      </c>
      <c r="S424" s="28">
        <f>IF($G424="","",COUNTIFS($E$4:$E$2503,$E424,$Z$4:$Z$2503,"正常",$Y$4:$Y$2503,"待补价"))</f>
        <v/>
      </c>
      <c r="T424" s="26">
        <f>IF($G424="","",SUMIFS($P$4:$P$2503,$E$4:$E$2503,$E424,$Z$4:$Z$2503,"正常",$A$4:$A$2503,"&lt;="&amp;$A424))</f>
        <v/>
      </c>
      <c r="U424" s="26">
        <f>IF($G424="","",IF(OR($S424&gt;0,$Q424=0,$R424=0,$Z424&lt;&gt;"正常"),0,ROUND($T424/$Q424*$R424,0)-ROUND(($T424-$P424)/$Q424*$R424,0)))</f>
        <v/>
      </c>
      <c r="V424" s="26">
        <f>IF($G424="","",ROUND($P424+$U424,0))</f>
        <v/>
      </c>
      <c r="W424" s="26">
        <f>IF($G424="","",IF(N($K424)=0,0,ROUND($V424/$K424,2)))</f>
        <v/>
      </c>
      <c r="X424" s="17" t="inlineStr">
        <is>
          <t>采购入库</t>
        </is>
      </c>
      <c r="Y424" s="17" t="inlineStr">
        <is>
          <t>待补价</t>
        </is>
      </c>
      <c r="Z424" s="17" t="inlineStr">
        <is>
          <t>正常</t>
        </is>
      </c>
      <c r="AA424" s="17" t="n"/>
      <c r="AB424" s="17" t="inlineStr">
        <is>
          <t>原表第 429 行</t>
        </is>
      </c>
      <c r="AC424" s="24">
        <f>IF($G424="","",IF($H424="※编码不在物料档案里","※物料编码不在档案里",IF(N($K424)&lt;=0,"※入库数量要大于 0",IF(AND($C424&lt;&gt;"",$C424&lt;=结账锁),"※日期早于已结账截止日，不能再录",IF(AND($L424=0,$X424="正常"),"※没填单价，价格状态请选「待补价」",IF(AND($S424&gt;0,$R424&gt;0),"△本批有 "&amp;$S424&amp;" 行没单价，整批运费先挂账没摊",IF(AND($B424&lt;&gt;"",COUNTIF($B$4:$B$2503,$B424)&gt;1),"※入库单号重复","")))))))</f>
        <v/>
      </c>
    </row>
    <row r="425">
      <c r="A425" s="24">
        <f>IF($G425="","",COUNTA($G$4:$G425))</f>
        <v/>
      </c>
      <c r="B425" s="17" t="n"/>
      <c r="C425" s="30" t="n">
        <v>46102</v>
      </c>
      <c r="D425" s="17" t="inlineStr">
        <is>
          <t>A国内</t>
        </is>
      </c>
      <c r="E425" s="17" t="inlineStr">
        <is>
          <t>CBHU9041804-202603</t>
        </is>
      </c>
      <c r="F425" s="17" t="inlineStr">
        <is>
          <t>烟台市金豪矿山机械有限公司</t>
        </is>
      </c>
      <c r="G425" s="17" t="inlineStr">
        <is>
          <t>JH0379</t>
        </is>
      </c>
      <c r="H425" s="24">
        <f>IF($G425="","",IFERROR(VLOOKUP($G425,物料档案!$A$4:$P$1203,3,0),"※编码不在物料档案里"))</f>
        <v/>
      </c>
      <c r="I425" s="24">
        <f>IF($G425="","",IFERROR(VLOOKUP($G425,物料档案!$A$4:$P$1203,4,0),"※编码不在物料档案里"))</f>
        <v/>
      </c>
      <c r="J425" s="24">
        <f>IF($G425="","",IFERROR(VLOOKUP($G425,物料档案!$A$4:$P$1203,5,0),"※编码不在物料档案里"))</f>
        <v/>
      </c>
      <c r="K425" s="23" t="n">
        <v>25</v>
      </c>
      <c r="L425" s="31" t="n"/>
      <c r="M425" s="24">
        <f>IF($G425="","",IF($D425="A国内","CNY","TZS"))</f>
        <v/>
      </c>
      <c r="N425" s="28">
        <f>IF($G425="","",IF($D425="A国内",汇率,1))</f>
        <v/>
      </c>
      <c r="O425" s="25">
        <f>IF($G425="","",ROUND(N($K425)*N($L425),2))</f>
        <v/>
      </c>
      <c r="P425" s="26">
        <f>IF($G425="","",ROUND($O425*$N425,0))</f>
        <v/>
      </c>
      <c r="Q425" s="26">
        <f>IF($G425="","",SUMIFS($P$4:$P$2503,$E$4:$E$2503,$E425,$Z$4:$Z$2503,"正常"))</f>
        <v/>
      </c>
      <c r="R425" s="26">
        <f>IF($G425="","",SUMIFS(费用台账!$I$4:$I$503,费用台账!$C$4:$C$503,$E425,费用台账!$J$4:$J$503,"是",费用台账!$K$4:$K$503,"正常"))</f>
        <v/>
      </c>
      <c r="S425" s="28">
        <f>IF($G425="","",COUNTIFS($E$4:$E$2503,$E425,$Z$4:$Z$2503,"正常",$Y$4:$Y$2503,"待补价"))</f>
        <v/>
      </c>
      <c r="T425" s="26">
        <f>IF($G425="","",SUMIFS($P$4:$P$2503,$E$4:$E$2503,$E425,$Z$4:$Z$2503,"正常",$A$4:$A$2503,"&lt;="&amp;$A425))</f>
        <v/>
      </c>
      <c r="U425" s="26">
        <f>IF($G425="","",IF(OR($S425&gt;0,$Q425=0,$R425=0,$Z425&lt;&gt;"正常"),0,ROUND($T425/$Q425*$R425,0)-ROUND(($T425-$P425)/$Q425*$R425,0)))</f>
        <v/>
      </c>
      <c r="V425" s="26">
        <f>IF($G425="","",ROUND($P425+$U425,0))</f>
        <v/>
      </c>
      <c r="W425" s="26">
        <f>IF($G425="","",IF(N($K425)=0,0,ROUND($V425/$K425,2)))</f>
        <v/>
      </c>
      <c r="X425" s="17" t="inlineStr">
        <is>
          <t>采购入库</t>
        </is>
      </c>
      <c r="Y425" s="17" t="inlineStr">
        <is>
          <t>待补价</t>
        </is>
      </c>
      <c r="Z425" s="17" t="inlineStr">
        <is>
          <t>正常</t>
        </is>
      </c>
      <c r="AA425" s="17" t="n"/>
      <c r="AB425" s="17" t="inlineStr">
        <is>
          <t>原表第 430 行</t>
        </is>
      </c>
      <c r="AC425" s="24">
        <f>IF($G425="","",IF($H425="※编码不在物料档案里","※物料编码不在档案里",IF(N($K425)&lt;=0,"※入库数量要大于 0",IF(AND($C425&lt;&gt;"",$C425&lt;=结账锁),"※日期早于已结账截止日，不能再录",IF(AND($L425=0,$X425="正常"),"※没填单价，价格状态请选「待补价」",IF(AND($S425&gt;0,$R425&gt;0),"△本批有 "&amp;$S425&amp;" 行没单价，整批运费先挂账没摊",IF(AND($B425&lt;&gt;"",COUNTIF($B$4:$B$2503,$B425)&gt;1),"※入库单号重复","")))))))</f>
        <v/>
      </c>
    </row>
    <row r="426">
      <c r="A426" s="24">
        <f>IF($G426="","",COUNTA($G$4:$G426))</f>
        <v/>
      </c>
      <c r="B426" s="17" t="n"/>
      <c r="C426" s="30" t="n">
        <v>46102</v>
      </c>
      <c r="D426" s="17" t="inlineStr">
        <is>
          <t>A国内</t>
        </is>
      </c>
      <c r="E426" s="17" t="inlineStr">
        <is>
          <t>CBHU9041804-202603</t>
        </is>
      </c>
      <c r="F426" s="17" t="inlineStr">
        <is>
          <t>烟台市金豪矿山机械有限公司</t>
        </is>
      </c>
      <c r="G426" s="17" t="inlineStr">
        <is>
          <t>JH0380</t>
        </is>
      </c>
      <c r="H426" s="24">
        <f>IF($G426="","",IFERROR(VLOOKUP($G426,物料档案!$A$4:$P$1203,3,0),"※编码不在物料档案里"))</f>
        <v/>
      </c>
      <c r="I426" s="24">
        <f>IF($G426="","",IFERROR(VLOOKUP($G426,物料档案!$A$4:$P$1203,4,0),"※编码不在物料档案里"))</f>
        <v/>
      </c>
      <c r="J426" s="24">
        <f>IF($G426="","",IFERROR(VLOOKUP($G426,物料档案!$A$4:$P$1203,5,0),"※编码不在物料档案里"))</f>
        <v/>
      </c>
      <c r="K426" s="23" t="n">
        <v>6</v>
      </c>
      <c r="L426" s="31" t="n"/>
      <c r="M426" s="24">
        <f>IF($G426="","",IF($D426="A国内","CNY","TZS"))</f>
        <v/>
      </c>
      <c r="N426" s="28">
        <f>IF($G426="","",IF($D426="A国内",汇率,1))</f>
        <v/>
      </c>
      <c r="O426" s="25">
        <f>IF($G426="","",ROUND(N($K426)*N($L426),2))</f>
        <v/>
      </c>
      <c r="P426" s="26">
        <f>IF($G426="","",ROUND($O426*$N426,0))</f>
        <v/>
      </c>
      <c r="Q426" s="26">
        <f>IF($G426="","",SUMIFS($P$4:$P$2503,$E$4:$E$2503,$E426,$Z$4:$Z$2503,"正常"))</f>
        <v/>
      </c>
      <c r="R426" s="26">
        <f>IF($G426="","",SUMIFS(费用台账!$I$4:$I$503,费用台账!$C$4:$C$503,$E426,费用台账!$J$4:$J$503,"是",费用台账!$K$4:$K$503,"正常"))</f>
        <v/>
      </c>
      <c r="S426" s="28">
        <f>IF($G426="","",COUNTIFS($E$4:$E$2503,$E426,$Z$4:$Z$2503,"正常",$Y$4:$Y$2503,"待补价"))</f>
        <v/>
      </c>
      <c r="T426" s="26">
        <f>IF($G426="","",SUMIFS($P$4:$P$2503,$E$4:$E$2503,$E426,$Z$4:$Z$2503,"正常",$A$4:$A$2503,"&lt;="&amp;$A426))</f>
        <v/>
      </c>
      <c r="U426" s="26">
        <f>IF($G426="","",IF(OR($S426&gt;0,$Q426=0,$R426=0,$Z426&lt;&gt;"正常"),0,ROUND($T426/$Q426*$R426,0)-ROUND(($T426-$P426)/$Q426*$R426,0)))</f>
        <v/>
      </c>
      <c r="V426" s="26">
        <f>IF($G426="","",ROUND($P426+$U426,0))</f>
        <v/>
      </c>
      <c r="W426" s="26">
        <f>IF($G426="","",IF(N($K426)=0,0,ROUND($V426/$K426,2)))</f>
        <v/>
      </c>
      <c r="X426" s="17" t="inlineStr">
        <is>
          <t>采购入库</t>
        </is>
      </c>
      <c r="Y426" s="17" t="inlineStr">
        <is>
          <t>待补价</t>
        </is>
      </c>
      <c r="Z426" s="17" t="inlineStr">
        <is>
          <t>正常</t>
        </is>
      </c>
      <c r="AA426" s="17" t="n"/>
      <c r="AB426" s="17" t="inlineStr">
        <is>
          <t>原表第 431 行</t>
        </is>
      </c>
      <c r="AC426" s="24">
        <f>IF($G426="","",IF($H426="※编码不在物料档案里","※物料编码不在档案里",IF(N($K426)&lt;=0,"※入库数量要大于 0",IF(AND($C426&lt;&gt;"",$C426&lt;=结账锁),"※日期早于已结账截止日，不能再录",IF(AND($L426=0,$X426="正常"),"※没填单价，价格状态请选「待补价」",IF(AND($S426&gt;0,$R426&gt;0),"△本批有 "&amp;$S426&amp;" 行没单价，整批运费先挂账没摊",IF(AND($B426&lt;&gt;"",COUNTIF($B$4:$B$2503,$B426)&gt;1),"※入库单号重复","")))))))</f>
        <v/>
      </c>
    </row>
    <row r="427">
      <c r="A427" s="24">
        <f>IF($G427="","",COUNTA($G$4:$G427))</f>
        <v/>
      </c>
      <c r="B427" s="17" t="n"/>
      <c r="C427" s="30" t="n">
        <v>46102</v>
      </c>
      <c r="D427" s="17" t="inlineStr">
        <is>
          <t>A国内</t>
        </is>
      </c>
      <c r="E427" s="17" t="inlineStr">
        <is>
          <t>CBHU9041804-202603</t>
        </is>
      </c>
      <c r="F427" s="17" t="inlineStr">
        <is>
          <t>烟台市金豪矿山机械有限公司</t>
        </is>
      </c>
      <c r="G427" s="17" t="inlineStr">
        <is>
          <t>JH0381</t>
        </is>
      </c>
      <c r="H427" s="24">
        <f>IF($G427="","",IFERROR(VLOOKUP($G427,物料档案!$A$4:$P$1203,3,0),"※编码不在物料档案里"))</f>
        <v/>
      </c>
      <c r="I427" s="24">
        <f>IF($G427="","",IFERROR(VLOOKUP($G427,物料档案!$A$4:$P$1203,4,0),"※编码不在物料档案里"))</f>
        <v/>
      </c>
      <c r="J427" s="24">
        <f>IF($G427="","",IFERROR(VLOOKUP($G427,物料档案!$A$4:$P$1203,5,0),"※编码不在物料档案里"))</f>
        <v/>
      </c>
      <c r="K427" s="23" t="n">
        <v>9</v>
      </c>
      <c r="L427" s="31" t="n"/>
      <c r="M427" s="24">
        <f>IF($G427="","",IF($D427="A国内","CNY","TZS"))</f>
        <v/>
      </c>
      <c r="N427" s="28">
        <f>IF($G427="","",IF($D427="A国内",汇率,1))</f>
        <v/>
      </c>
      <c r="O427" s="25">
        <f>IF($G427="","",ROUND(N($K427)*N($L427),2))</f>
        <v/>
      </c>
      <c r="P427" s="26">
        <f>IF($G427="","",ROUND($O427*$N427,0))</f>
        <v/>
      </c>
      <c r="Q427" s="26">
        <f>IF($G427="","",SUMIFS($P$4:$P$2503,$E$4:$E$2503,$E427,$Z$4:$Z$2503,"正常"))</f>
        <v/>
      </c>
      <c r="R427" s="26">
        <f>IF($G427="","",SUMIFS(费用台账!$I$4:$I$503,费用台账!$C$4:$C$503,$E427,费用台账!$J$4:$J$503,"是",费用台账!$K$4:$K$503,"正常"))</f>
        <v/>
      </c>
      <c r="S427" s="28">
        <f>IF($G427="","",COUNTIFS($E$4:$E$2503,$E427,$Z$4:$Z$2503,"正常",$Y$4:$Y$2503,"待补价"))</f>
        <v/>
      </c>
      <c r="T427" s="26">
        <f>IF($G427="","",SUMIFS($P$4:$P$2503,$E$4:$E$2503,$E427,$Z$4:$Z$2503,"正常",$A$4:$A$2503,"&lt;="&amp;$A427))</f>
        <v/>
      </c>
      <c r="U427" s="26">
        <f>IF($G427="","",IF(OR($S427&gt;0,$Q427=0,$R427=0,$Z427&lt;&gt;"正常"),0,ROUND($T427/$Q427*$R427,0)-ROUND(($T427-$P427)/$Q427*$R427,0)))</f>
        <v/>
      </c>
      <c r="V427" s="26">
        <f>IF($G427="","",ROUND($P427+$U427,0))</f>
        <v/>
      </c>
      <c r="W427" s="26">
        <f>IF($G427="","",IF(N($K427)=0,0,ROUND($V427/$K427,2)))</f>
        <v/>
      </c>
      <c r="X427" s="17" t="inlineStr">
        <is>
          <t>采购入库</t>
        </is>
      </c>
      <c r="Y427" s="17" t="inlineStr">
        <is>
          <t>待补价</t>
        </is>
      </c>
      <c r="Z427" s="17" t="inlineStr">
        <is>
          <t>正常</t>
        </is>
      </c>
      <c r="AA427" s="17" t="n"/>
      <c r="AB427" s="17" t="inlineStr">
        <is>
          <t>原表第 432 行</t>
        </is>
      </c>
      <c r="AC427" s="24">
        <f>IF($G427="","",IF($H427="※编码不在物料档案里","※物料编码不在档案里",IF(N($K427)&lt;=0,"※入库数量要大于 0",IF(AND($C427&lt;&gt;"",$C427&lt;=结账锁),"※日期早于已结账截止日，不能再录",IF(AND($L427=0,$X427="正常"),"※没填单价，价格状态请选「待补价」",IF(AND($S427&gt;0,$R427&gt;0),"△本批有 "&amp;$S427&amp;" 行没单价，整批运费先挂账没摊",IF(AND($B427&lt;&gt;"",COUNTIF($B$4:$B$2503,$B427)&gt;1),"※入库单号重复","")))))))</f>
        <v/>
      </c>
    </row>
    <row r="428">
      <c r="A428" s="24">
        <f>IF($G428="","",COUNTA($G$4:$G428))</f>
        <v/>
      </c>
      <c r="B428" s="17" t="n"/>
      <c r="C428" s="30" t="n">
        <v>46102</v>
      </c>
      <c r="D428" s="17" t="inlineStr">
        <is>
          <t>A国内</t>
        </is>
      </c>
      <c r="E428" s="17" t="inlineStr">
        <is>
          <t>CBHU9041804-202603</t>
        </is>
      </c>
      <c r="F428" s="17" t="inlineStr">
        <is>
          <t>烟台市金豪矿山机械有限公司</t>
        </is>
      </c>
      <c r="G428" s="17" t="inlineStr">
        <is>
          <t>JH0382</t>
        </is>
      </c>
      <c r="H428" s="24">
        <f>IF($G428="","",IFERROR(VLOOKUP($G428,物料档案!$A$4:$P$1203,3,0),"※编码不在物料档案里"))</f>
        <v/>
      </c>
      <c r="I428" s="24">
        <f>IF($G428="","",IFERROR(VLOOKUP($G428,物料档案!$A$4:$P$1203,4,0),"※编码不在物料档案里"))</f>
        <v/>
      </c>
      <c r="J428" s="24">
        <f>IF($G428="","",IFERROR(VLOOKUP($G428,物料档案!$A$4:$P$1203,5,0),"※编码不在物料档案里"))</f>
        <v/>
      </c>
      <c r="K428" s="23" t="n">
        <v>1</v>
      </c>
      <c r="L428" s="31" t="n"/>
      <c r="M428" s="24">
        <f>IF($G428="","",IF($D428="A国内","CNY","TZS"))</f>
        <v/>
      </c>
      <c r="N428" s="28">
        <f>IF($G428="","",IF($D428="A国内",汇率,1))</f>
        <v/>
      </c>
      <c r="O428" s="25">
        <f>IF($G428="","",ROUND(N($K428)*N($L428),2))</f>
        <v/>
      </c>
      <c r="P428" s="26">
        <f>IF($G428="","",ROUND($O428*$N428,0))</f>
        <v/>
      </c>
      <c r="Q428" s="26">
        <f>IF($G428="","",SUMIFS($P$4:$P$2503,$E$4:$E$2503,$E428,$Z$4:$Z$2503,"正常"))</f>
        <v/>
      </c>
      <c r="R428" s="26">
        <f>IF($G428="","",SUMIFS(费用台账!$I$4:$I$503,费用台账!$C$4:$C$503,$E428,费用台账!$J$4:$J$503,"是",费用台账!$K$4:$K$503,"正常"))</f>
        <v/>
      </c>
      <c r="S428" s="28">
        <f>IF($G428="","",COUNTIFS($E$4:$E$2503,$E428,$Z$4:$Z$2503,"正常",$Y$4:$Y$2503,"待补价"))</f>
        <v/>
      </c>
      <c r="T428" s="26">
        <f>IF($G428="","",SUMIFS($P$4:$P$2503,$E$4:$E$2503,$E428,$Z$4:$Z$2503,"正常",$A$4:$A$2503,"&lt;="&amp;$A428))</f>
        <v/>
      </c>
      <c r="U428" s="26">
        <f>IF($G428="","",IF(OR($S428&gt;0,$Q428=0,$R428=0,$Z428&lt;&gt;"正常"),0,ROUND($T428/$Q428*$R428,0)-ROUND(($T428-$P428)/$Q428*$R428,0)))</f>
        <v/>
      </c>
      <c r="V428" s="26">
        <f>IF($G428="","",ROUND($P428+$U428,0))</f>
        <v/>
      </c>
      <c r="W428" s="26">
        <f>IF($G428="","",IF(N($K428)=0,0,ROUND($V428/$K428,2)))</f>
        <v/>
      </c>
      <c r="X428" s="17" t="inlineStr">
        <is>
          <t>采购入库</t>
        </is>
      </c>
      <c r="Y428" s="17" t="inlineStr">
        <is>
          <t>待补价</t>
        </is>
      </c>
      <c r="Z428" s="17" t="inlineStr">
        <is>
          <t>正常</t>
        </is>
      </c>
      <c r="AA428" s="17" t="n"/>
      <c r="AB428" s="17" t="inlineStr">
        <is>
          <t>原表第 433 行</t>
        </is>
      </c>
      <c r="AC428" s="24">
        <f>IF($G428="","",IF($H428="※编码不在物料档案里","※物料编码不在档案里",IF(N($K428)&lt;=0,"※入库数量要大于 0",IF(AND($C428&lt;&gt;"",$C428&lt;=结账锁),"※日期早于已结账截止日，不能再录",IF(AND($L428=0,$X428="正常"),"※没填单价，价格状态请选「待补价」",IF(AND($S428&gt;0,$R428&gt;0),"△本批有 "&amp;$S428&amp;" 行没单价，整批运费先挂账没摊",IF(AND($B428&lt;&gt;"",COUNTIF($B$4:$B$2503,$B428)&gt;1),"※入库单号重复","")))))))</f>
        <v/>
      </c>
    </row>
    <row r="429">
      <c r="A429" s="24">
        <f>IF($G429="","",COUNTA($G$4:$G429))</f>
        <v/>
      </c>
      <c r="B429" s="17" t="n"/>
      <c r="C429" s="30" t="n">
        <v>46102</v>
      </c>
      <c r="D429" s="17" t="inlineStr">
        <is>
          <t>A国内</t>
        </is>
      </c>
      <c r="E429" s="17" t="inlineStr">
        <is>
          <t>CBHU9041804-202603</t>
        </is>
      </c>
      <c r="F429" s="17" t="inlineStr">
        <is>
          <t>烟台市金豪矿山机械有限公司</t>
        </is>
      </c>
      <c r="G429" s="17" t="inlineStr">
        <is>
          <t>JH0383</t>
        </is>
      </c>
      <c r="H429" s="24">
        <f>IF($G429="","",IFERROR(VLOOKUP($G429,物料档案!$A$4:$P$1203,3,0),"※编码不在物料档案里"))</f>
        <v/>
      </c>
      <c r="I429" s="24">
        <f>IF($G429="","",IFERROR(VLOOKUP($G429,物料档案!$A$4:$P$1203,4,0),"※编码不在物料档案里"))</f>
        <v/>
      </c>
      <c r="J429" s="24">
        <f>IF($G429="","",IFERROR(VLOOKUP($G429,物料档案!$A$4:$P$1203,5,0),"※编码不在物料档案里"))</f>
        <v/>
      </c>
      <c r="K429" s="23" t="n">
        <v>1</v>
      </c>
      <c r="L429" s="31" t="n"/>
      <c r="M429" s="24">
        <f>IF($G429="","",IF($D429="A国内","CNY","TZS"))</f>
        <v/>
      </c>
      <c r="N429" s="28">
        <f>IF($G429="","",IF($D429="A国内",汇率,1))</f>
        <v/>
      </c>
      <c r="O429" s="25">
        <f>IF($G429="","",ROUND(N($K429)*N($L429),2))</f>
        <v/>
      </c>
      <c r="P429" s="26">
        <f>IF($G429="","",ROUND($O429*$N429,0))</f>
        <v/>
      </c>
      <c r="Q429" s="26">
        <f>IF($G429="","",SUMIFS($P$4:$P$2503,$E$4:$E$2503,$E429,$Z$4:$Z$2503,"正常"))</f>
        <v/>
      </c>
      <c r="R429" s="26">
        <f>IF($G429="","",SUMIFS(费用台账!$I$4:$I$503,费用台账!$C$4:$C$503,$E429,费用台账!$J$4:$J$503,"是",费用台账!$K$4:$K$503,"正常"))</f>
        <v/>
      </c>
      <c r="S429" s="28">
        <f>IF($G429="","",COUNTIFS($E$4:$E$2503,$E429,$Z$4:$Z$2503,"正常",$Y$4:$Y$2503,"待补价"))</f>
        <v/>
      </c>
      <c r="T429" s="26">
        <f>IF($G429="","",SUMIFS($P$4:$P$2503,$E$4:$E$2503,$E429,$Z$4:$Z$2503,"正常",$A$4:$A$2503,"&lt;="&amp;$A429))</f>
        <v/>
      </c>
      <c r="U429" s="26">
        <f>IF($G429="","",IF(OR($S429&gt;0,$Q429=0,$R429=0,$Z429&lt;&gt;"正常"),0,ROUND($T429/$Q429*$R429,0)-ROUND(($T429-$P429)/$Q429*$R429,0)))</f>
        <v/>
      </c>
      <c r="V429" s="26">
        <f>IF($G429="","",ROUND($P429+$U429,0))</f>
        <v/>
      </c>
      <c r="W429" s="26">
        <f>IF($G429="","",IF(N($K429)=0,0,ROUND($V429/$K429,2)))</f>
        <v/>
      </c>
      <c r="X429" s="17" t="inlineStr">
        <is>
          <t>采购入库</t>
        </is>
      </c>
      <c r="Y429" s="17" t="inlineStr">
        <is>
          <t>待补价</t>
        </is>
      </c>
      <c r="Z429" s="17" t="inlineStr">
        <is>
          <t>正常</t>
        </is>
      </c>
      <c r="AA429" s="17" t="n"/>
      <c r="AB429" s="17" t="inlineStr">
        <is>
          <t>原表第 434 行</t>
        </is>
      </c>
      <c r="AC429" s="24">
        <f>IF($G429="","",IF($H429="※编码不在物料档案里","※物料编码不在档案里",IF(N($K429)&lt;=0,"※入库数量要大于 0",IF(AND($C429&lt;&gt;"",$C429&lt;=结账锁),"※日期早于已结账截止日，不能再录",IF(AND($L429=0,$X429="正常"),"※没填单价，价格状态请选「待补价」",IF(AND($S429&gt;0,$R429&gt;0),"△本批有 "&amp;$S429&amp;" 行没单价，整批运费先挂账没摊",IF(AND($B429&lt;&gt;"",COUNTIF($B$4:$B$2503,$B429)&gt;1),"※入库单号重复","")))))))</f>
        <v/>
      </c>
    </row>
    <row r="430">
      <c r="A430" s="24">
        <f>IF($G430="","",COUNTA($G$4:$G430))</f>
        <v/>
      </c>
      <c r="B430" s="17" t="n"/>
      <c r="C430" s="30" t="n">
        <v>46102</v>
      </c>
      <c r="D430" s="17" t="inlineStr">
        <is>
          <t>A国内</t>
        </is>
      </c>
      <c r="E430" s="17" t="inlineStr">
        <is>
          <t>CBHU9041804-202603</t>
        </is>
      </c>
      <c r="F430" s="17" t="inlineStr">
        <is>
          <t>烟台市金豪矿山机械有限公司</t>
        </is>
      </c>
      <c r="G430" s="17" t="inlineStr">
        <is>
          <t>JH0384</t>
        </is>
      </c>
      <c r="H430" s="24">
        <f>IF($G430="","",IFERROR(VLOOKUP($G430,物料档案!$A$4:$P$1203,3,0),"※编码不在物料档案里"))</f>
        <v/>
      </c>
      <c r="I430" s="24">
        <f>IF($G430="","",IFERROR(VLOOKUP($G430,物料档案!$A$4:$P$1203,4,0),"※编码不在物料档案里"))</f>
        <v/>
      </c>
      <c r="J430" s="24">
        <f>IF($G430="","",IFERROR(VLOOKUP($G430,物料档案!$A$4:$P$1203,5,0),"※编码不在物料档案里"))</f>
        <v/>
      </c>
      <c r="K430" s="23" t="n">
        <v>1</v>
      </c>
      <c r="L430" s="31" t="n"/>
      <c r="M430" s="24">
        <f>IF($G430="","",IF($D430="A国内","CNY","TZS"))</f>
        <v/>
      </c>
      <c r="N430" s="28">
        <f>IF($G430="","",IF($D430="A国内",汇率,1))</f>
        <v/>
      </c>
      <c r="O430" s="25">
        <f>IF($G430="","",ROUND(N($K430)*N($L430),2))</f>
        <v/>
      </c>
      <c r="P430" s="26">
        <f>IF($G430="","",ROUND($O430*$N430,0))</f>
        <v/>
      </c>
      <c r="Q430" s="26">
        <f>IF($G430="","",SUMIFS($P$4:$P$2503,$E$4:$E$2503,$E430,$Z$4:$Z$2503,"正常"))</f>
        <v/>
      </c>
      <c r="R430" s="26">
        <f>IF($G430="","",SUMIFS(费用台账!$I$4:$I$503,费用台账!$C$4:$C$503,$E430,费用台账!$J$4:$J$503,"是",费用台账!$K$4:$K$503,"正常"))</f>
        <v/>
      </c>
      <c r="S430" s="28">
        <f>IF($G430="","",COUNTIFS($E$4:$E$2503,$E430,$Z$4:$Z$2503,"正常",$Y$4:$Y$2503,"待补价"))</f>
        <v/>
      </c>
      <c r="T430" s="26">
        <f>IF($G430="","",SUMIFS($P$4:$P$2503,$E$4:$E$2503,$E430,$Z$4:$Z$2503,"正常",$A$4:$A$2503,"&lt;="&amp;$A430))</f>
        <v/>
      </c>
      <c r="U430" s="26">
        <f>IF($G430="","",IF(OR($S430&gt;0,$Q430=0,$R430=0,$Z430&lt;&gt;"正常"),0,ROUND($T430/$Q430*$R430,0)-ROUND(($T430-$P430)/$Q430*$R430,0)))</f>
        <v/>
      </c>
      <c r="V430" s="26">
        <f>IF($G430="","",ROUND($P430+$U430,0))</f>
        <v/>
      </c>
      <c r="W430" s="26">
        <f>IF($G430="","",IF(N($K430)=0,0,ROUND($V430/$K430,2)))</f>
        <v/>
      </c>
      <c r="X430" s="17" t="inlineStr">
        <is>
          <t>采购入库</t>
        </is>
      </c>
      <c r="Y430" s="17" t="inlineStr">
        <is>
          <t>待补价</t>
        </is>
      </c>
      <c r="Z430" s="17" t="inlineStr">
        <is>
          <t>正常</t>
        </is>
      </c>
      <c r="AA430" s="17" t="n"/>
      <c r="AB430" s="17" t="inlineStr">
        <is>
          <t>原表第 435 行</t>
        </is>
      </c>
      <c r="AC430" s="24">
        <f>IF($G430="","",IF($H430="※编码不在物料档案里","※物料编码不在档案里",IF(N($K430)&lt;=0,"※入库数量要大于 0",IF(AND($C430&lt;&gt;"",$C430&lt;=结账锁),"※日期早于已结账截止日，不能再录",IF(AND($L430=0,$X430="正常"),"※没填单价，价格状态请选「待补价」",IF(AND($S430&gt;0,$R430&gt;0),"△本批有 "&amp;$S430&amp;" 行没单价，整批运费先挂账没摊",IF(AND($B430&lt;&gt;"",COUNTIF($B$4:$B$2503,$B430)&gt;1),"※入库单号重复","")))))))</f>
        <v/>
      </c>
    </row>
    <row r="431">
      <c r="A431" s="24">
        <f>IF($G431="","",COUNTA($G$4:$G431))</f>
        <v/>
      </c>
      <c r="B431" s="17" t="n"/>
      <c r="C431" s="30" t="n">
        <v>46102</v>
      </c>
      <c r="D431" s="17" t="inlineStr">
        <is>
          <t>A国内</t>
        </is>
      </c>
      <c r="E431" s="17" t="inlineStr">
        <is>
          <t>CBHU9041804-202603</t>
        </is>
      </c>
      <c r="F431" s="17" t="inlineStr">
        <is>
          <t>烟台市金豪矿山机械有限公司</t>
        </is>
      </c>
      <c r="G431" s="17" t="inlineStr">
        <is>
          <t>JH0385</t>
        </is>
      </c>
      <c r="H431" s="24">
        <f>IF($G431="","",IFERROR(VLOOKUP($G431,物料档案!$A$4:$P$1203,3,0),"※编码不在物料档案里"))</f>
        <v/>
      </c>
      <c r="I431" s="24">
        <f>IF($G431="","",IFERROR(VLOOKUP($G431,物料档案!$A$4:$P$1203,4,0),"※编码不在物料档案里"))</f>
        <v/>
      </c>
      <c r="J431" s="24">
        <f>IF($G431="","",IFERROR(VLOOKUP($G431,物料档案!$A$4:$P$1203,5,0),"※编码不在物料档案里"))</f>
        <v/>
      </c>
      <c r="K431" s="23" t="n">
        <v>3</v>
      </c>
      <c r="L431" s="31" t="n">
        <v>900</v>
      </c>
      <c r="M431" s="24">
        <f>IF($G431="","",IF($D431="A国内","CNY","TZS"))</f>
        <v/>
      </c>
      <c r="N431" s="28">
        <f>IF($G431="","",IF($D431="A国内",汇率,1))</f>
        <v/>
      </c>
      <c r="O431" s="25">
        <f>IF($G431="","",ROUND(N($K431)*N($L431),2))</f>
        <v/>
      </c>
      <c r="P431" s="26">
        <f>IF($G431="","",ROUND($O431*$N431,0))</f>
        <v/>
      </c>
      <c r="Q431" s="26">
        <f>IF($G431="","",SUMIFS($P$4:$P$2503,$E$4:$E$2503,$E431,$Z$4:$Z$2503,"正常"))</f>
        <v/>
      </c>
      <c r="R431" s="26">
        <f>IF($G431="","",SUMIFS(费用台账!$I$4:$I$503,费用台账!$C$4:$C$503,$E431,费用台账!$J$4:$J$503,"是",费用台账!$K$4:$K$503,"正常"))</f>
        <v/>
      </c>
      <c r="S431" s="28">
        <f>IF($G431="","",COUNTIFS($E$4:$E$2503,$E431,$Z$4:$Z$2503,"正常",$Y$4:$Y$2503,"待补价"))</f>
        <v/>
      </c>
      <c r="T431" s="26">
        <f>IF($G431="","",SUMIFS($P$4:$P$2503,$E$4:$E$2503,$E431,$Z$4:$Z$2503,"正常",$A$4:$A$2503,"&lt;="&amp;$A431))</f>
        <v/>
      </c>
      <c r="U431" s="26">
        <f>IF($G431="","",IF(OR($S431&gt;0,$Q431=0,$R431=0,$Z431&lt;&gt;"正常"),0,ROUND($T431/$Q431*$R431,0)-ROUND(($T431-$P431)/$Q431*$R431,0)))</f>
        <v/>
      </c>
      <c r="V431" s="26">
        <f>IF($G431="","",ROUND($P431+$U431,0))</f>
        <v/>
      </c>
      <c r="W431" s="26">
        <f>IF($G431="","",IF(N($K431)=0,0,ROUND($V431/$K431,2)))</f>
        <v/>
      </c>
      <c r="X431" s="17" t="inlineStr">
        <is>
          <t>采购入库</t>
        </is>
      </c>
      <c r="Y431" s="17" t="inlineStr">
        <is>
          <t>正常</t>
        </is>
      </c>
      <c r="Z431" s="17" t="inlineStr">
        <is>
          <t>正常</t>
        </is>
      </c>
      <c r="AA431" s="17" t="n"/>
      <c r="AB431" s="17" t="inlineStr">
        <is>
          <t>原表第 436 行</t>
        </is>
      </c>
      <c r="AC431" s="24">
        <f>IF($G431="","",IF($H431="※编码不在物料档案里","※物料编码不在档案里",IF(N($K431)&lt;=0,"※入库数量要大于 0",IF(AND($C431&lt;&gt;"",$C431&lt;=结账锁),"※日期早于已结账截止日，不能再录",IF(AND($L431=0,$X431="正常"),"※没填单价，价格状态请选「待补价」",IF(AND($S431&gt;0,$R431&gt;0),"△本批有 "&amp;$S431&amp;" 行没单价，整批运费先挂账没摊",IF(AND($B431&lt;&gt;"",COUNTIF($B$4:$B$2503,$B431)&gt;1),"※入库单号重复","")))))))</f>
        <v/>
      </c>
    </row>
    <row r="432">
      <c r="A432" s="24">
        <f>IF($G432="","",COUNTA($G$4:$G432))</f>
        <v/>
      </c>
      <c r="B432" s="17" t="n"/>
      <c r="C432" s="30" t="n">
        <v>46102</v>
      </c>
      <c r="D432" s="17" t="inlineStr">
        <is>
          <t>A国内</t>
        </is>
      </c>
      <c r="E432" s="17" t="inlineStr">
        <is>
          <t>CBHU9041804-202603</t>
        </is>
      </c>
      <c r="F432" s="17" t="inlineStr">
        <is>
          <t>烟台市金豪矿山机械有限公司</t>
        </is>
      </c>
      <c r="G432" s="17" t="inlineStr">
        <is>
          <t>JH0386</t>
        </is>
      </c>
      <c r="H432" s="24">
        <f>IF($G432="","",IFERROR(VLOOKUP($G432,物料档案!$A$4:$P$1203,3,0),"※编码不在物料档案里"))</f>
        <v/>
      </c>
      <c r="I432" s="24">
        <f>IF($G432="","",IFERROR(VLOOKUP($G432,物料档案!$A$4:$P$1203,4,0),"※编码不在物料档案里"))</f>
        <v/>
      </c>
      <c r="J432" s="24">
        <f>IF($G432="","",IFERROR(VLOOKUP($G432,物料档案!$A$4:$P$1203,5,0),"※编码不在物料档案里"))</f>
        <v/>
      </c>
      <c r="K432" s="23" t="n">
        <v>3</v>
      </c>
      <c r="L432" s="31" t="n">
        <v>950</v>
      </c>
      <c r="M432" s="24">
        <f>IF($G432="","",IF($D432="A国内","CNY","TZS"))</f>
        <v/>
      </c>
      <c r="N432" s="28">
        <f>IF($G432="","",IF($D432="A国内",汇率,1))</f>
        <v/>
      </c>
      <c r="O432" s="25">
        <f>IF($G432="","",ROUND(N($K432)*N($L432),2))</f>
        <v/>
      </c>
      <c r="P432" s="26">
        <f>IF($G432="","",ROUND($O432*$N432,0))</f>
        <v/>
      </c>
      <c r="Q432" s="26">
        <f>IF($G432="","",SUMIFS($P$4:$P$2503,$E$4:$E$2503,$E432,$Z$4:$Z$2503,"正常"))</f>
        <v/>
      </c>
      <c r="R432" s="26">
        <f>IF($G432="","",SUMIFS(费用台账!$I$4:$I$503,费用台账!$C$4:$C$503,$E432,费用台账!$J$4:$J$503,"是",费用台账!$K$4:$K$503,"正常"))</f>
        <v/>
      </c>
      <c r="S432" s="28">
        <f>IF($G432="","",COUNTIFS($E$4:$E$2503,$E432,$Z$4:$Z$2503,"正常",$Y$4:$Y$2503,"待补价"))</f>
        <v/>
      </c>
      <c r="T432" s="26">
        <f>IF($G432="","",SUMIFS($P$4:$P$2503,$E$4:$E$2503,$E432,$Z$4:$Z$2503,"正常",$A$4:$A$2503,"&lt;="&amp;$A432))</f>
        <v/>
      </c>
      <c r="U432" s="26">
        <f>IF($G432="","",IF(OR($S432&gt;0,$Q432=0,$R432=0,$Z432&lt;&gt;"正常"),0,ROUND($T432/$Q432*$R432,0)-ROUND(($T432-$P432)/$Q432*$R432,0)))</f>
        <v/>
      </c>
      <c r="V432" s="26">
        <f>IF($G432="","",ROUND($P432+$U432,0))</f>
        <v/>
      </c>
      <c r="W432" s="26">
        <f>IF($G432="","",IF(N($K432)=0,0,ROUND($V432/$K432,2)))</f>
        <v/>
      </c>
      <c r="X432" s="17" t="inlineStr">
        <is>
          <t>采购入库</t>
        </is>
      </c>
      <c r="Y432" s="17" t="inlineStr">
        <is>
          <t>正常</t>
        </is>
      </c>
      <c r="Z432" s="17" t="inlineStr">
        <is>
          <t>正常</t>
        </is>
      </c>
      <c r="AA432" s="17" t="n"/>
      <c r="AB432" s="17" t="inlineStr">
        <is>
          <t>原表第 437 行</t>
        </is>
      </c>
      <c r="AC432" s="24">
        <f>IF($G432="","",IF($H432="※编码不在物料档案里","※物料编码不在档案里",IF(N($K432)&lt;=0,"※入库数量要大于 0",IF(AND($C432&lt;&gt;"",$C432&lt;=结账锁),"※日期早于已结账截止日，不能再录",IF(AND($L432=0,$X432="正常"),"※没填单价，价格状态请选「待补价」",IF(AND($S432&gt;0,$R432&gt;0),"△本批有 "&amp;$S432&amp;" 行没单价，整批运费先挂账没摊",IF(AND($B432&lt;&gt;"",COUNTIF($B$4:$B$2503,$B432)&gt;1),"※入库单号重复","")))))))</f>
        <v/>
      </c>
    </row>
    <row r="433">
      <c r="A433" s="24">
        <f>IF($G433="","",COUNTA($G$4:$G433))</f>
        <v/>
      </c>
      <c r="B433" s="17" t="n"/>
      <c r="C433" s="30" t="n">
        <v>46102</v>
      </c>
      <c r="D433" s="17" t="inlineStr">
        <is>
          <t>A国内</t>
        </is>
      </c>
      <c r="E433" s="17" t="inlineStr">
        <is>
          <t>CBHU9041804-202603</t>
        </is>
      </c>
      <c r="F433" s="17" t="inlineStr">
        <is>
          <t>烟台市金豪矿山机械有限公司</t>
        </is>
      </c>
      <c r="G433" s="17" t="inlineStr">
        <is>
          <t>JH0387</t>
        </is>
      </c>
      <c r="H433" s="24">
        <f>IF($G433="","",IFERROR(VLOOKUP($G433,物料档案!$A$4:$P$1203,3,0),"※编码不在物料档案里"))</f>
        <v/>
      </c>
      <c r="I433" s="24">
        <f>IF($G433="","",IFERROR(VLOOKUP($G433,物料档案!$A$4:$P$1203,4,0),"※编码不在物料档案里"))</f>
        <v/>
      </c>
      <c r="J433" s="24">
        <f>IF($G433="","",IFERROR(VLOOKUP($G433,物料档案!$A$4:$P$1203,5,0),"※编码不在物料档案里"))</f>
        <v/>
      </c>
      <c r="K433" s="23" t="n">
        <v>1</v>
      </c>
      <c r="L433" s="31" t="n">
        <v>17000</v>
      </c>
      <c r="M433" s="24">
        <f>IF($G433="","",IF($D433="A国内","CNY","TZS"))</f>
        <v/>
      </c>
      <c r="N433" s="28">
        <f>IF($G433="","",IF($D433="A国内",汇率,1))</f>
        <v/>
      </c>
      <c r="O433" s="25">
        <f>IF($G433="","",ROUND(N($K433)*N($L433),2))</f>
        <v/>
      </c>
      <c r="P433" s="26">
        <f>IF($G433="","",ROUND($O433*$N433,0))</f>
        <v/>
      </c>
      <c r="Q433" s="26">
        <f>IF($G433="","",SUMIFS($P$4:$P$2503,$E$4:$E$2503,$E433,$Z$4:$Z$2503,"正常"))</f>
        <v/>
      </c>
      <c r="R433" s="26">
        <f>IF($G433="","",SUMIFS(费用台账!$I$4:$I$503,费用台账!$C$4:$C$503,$E433,费用台账!$J$4:$J$503,"是",费用台账!$K$4:$K$503,"正常"))</f>
        <v/>
      </c>
      <c r="S433" s="28">
        <f>IF($G433="","",COUNTIFS($E$4:$E$2503,$E433,$Z$4:$Z$2503,"正常",$Y$4:$Y$2503,"待补价"))</f>
        <v/>
      </c>
      <c r="T433" s="26">
        <f>IF($G433="","",SUMIFS($P$4:$P$2503,$E$4:$E$2503,$E433,$Z$4:$Z$2503,"正常",$A$4:$A$2503,"&lt;="&amp;$A433))</f>
        <v/>
      </c>
      <c r="U433" s="26">
        <f>IF($G433="","",IF(OR($S433&gt;0,$Q433=0,$R433=0,$Z433&lt;&gt;"正常"),0,ROUND($T433/$Q433*$R433,0)-ROUND(($T433-$P433)/$Q433*$R433,0)))</f>
        <v/>
      </c>
      <c r="V433" s="26">
        <f>IF($G433="","",ROUND($P433+$U433,0))</f>
        <v/>
      </c>
      <c r="W433" s="26">
        <f>IF($G433="","",IF(N($K433)=0,0,ROUND($V433/$K433,2)))</f>
        <v/>
      </c>
      <c r="X433" s="17" t="inlineStr">
        <is>
          <t>采购入库</t>
        </is>
      </c>
      <c r="Y433" s="17" t="inlineStr">
        <is>
          <t>正常</t>
        </is>
      </c>
      <c r="Z433" s="17" t="inlineStr">
        <is>
          <t>正常</t>
        </is>
      </c>
      <c r="AA433" s="17" t="n"/>
      <c r="AB433" s="17" t="inlineStr">
        <is>
          <t>原表第 438 行</t>
        </is>
      </c>
      <c r="AC433" s="24">
        <f>IF($G433="","",IF($H433="※编码不在物料档案里","※物料编码不在档案里",IF(N($K433)&lt;=0,"※入库数量要大于 0",IF(AND($C433&lt;&gt;"",$C433&lt;=结账锁),"※日期早于已结账截止日，不能再录",IF(AND($L433=0,$X433="正常"),"※没填单价，价格状态请选「待补价」",IF(AND($S433&gt;0,$R433&gt;0),"△本批有 "&amp;$S433&amp;" 行没单价，整批运费先挂账没摊",IF(AND($B433&lt;&gt;"",COUNTIF($B$4:$B$2503,$B433)&gt;1),"※入库单号重复","")))))))</f>
        <v/>
      </c>
    </row>
    <row r="434">
      <c r="A434" s="24">
        <f>IF($G434="","",COUNTA($G$4:$G434))</f>
        <v/>
      </c>
      <c r="B434" s="17" t="n"/>
      <c r="C434" s="30" t="n">
        <v>46103</v>
      </c>
      <c r="D434" s="17" t="inlineStr">
        <is>
          <t>A国内</t>
        </is>
      </c>
      <c r="E434" s="17" t="inlineStr">
        <is>
          <t>GATU8693770-202603</t>
        </is>
      </c>
      <c r="F434" s="17" t="inlineStr">
        <is>
          <t>烟台市金豪矿山机械有限公司</t>
        </is>
      </c>
      <c r="G434" s="17" t="inlineStr">
        <is>
          <t>JH0166</t>
        </is>
      </c>
      <c r="H434" s="24">
        <f>IF($G434="","",IFERROR(VLOOKUP($G434,物料档案!$A$4:$P$1203,3,0),"※编码不在物料档案里"))</f>
        <v/>
      </c>
      <c r="I434" s="24">
        <f>IF($G434="","",IFERROR(VLOOKUP($G434,物料档案!$A$4:$P$1203,4,0),"※编码不在物料档案里"))</f>
        <v/>
      </c>
      <c r="J434" s="24">
        <f>IF($G434="","",IFERROR(VLOOKUP($G434,物料档案!$A$4:$P$1203,5,0),"※编码不在物料档案里"))</f>
        <v/>
      </c>
      <c r="K434" s="23" t="n">
        <v>1</v>
      </c>
      <c r="L434" s="31" t="n"/>
      <c r="M434" s="24">
        <f>IF($G434="","",IF($D434="A国内","CNY","TZS"))</f>
        <v/>
      </c>
      <c r="N434" s="28">
        <f>IF($G434="","",IF($D434="A国内",汇率,1))</f>
        <v/>
      </c>
      <c r="O434" s="25">
        <f>IF($G434="","",ROUND(N($K434)*N($L434),2))</f>
        <v/>
      </c>
      <c r="P434" s="26">
        <f>IF($G434="","",ROUND($O434*$N434,0))</f>
        <v/>
      </c>
      <c r="Q434" s="26">
        <f>IF($G434="","",SUMIFS($P$4:$P$2503,$E$4:$E$2503,$E434,$Z$4:$Z$2503,"正常"))</f>
        <v/>
      </c>
      <c r="R434" s="26">
        <f>IF($G434="","",SUMIFS(费用台账!$I$4:$I$503,费用台账!$C$4:$C$503,$E434,费用台账!$J$4:$J$503,"是",费用台账!$K$4:$K$503,"正常"))</f>
        <v/>
      </c>
      <c r="S434" s="28">
        <f>IF($G434="","",COUNTIFS($E$4:$E$2503,$E434,$Z$4:$Z$2503,"正常",$Y$4:$Y$2503,"待补价"))</f>
        <v/>
      </c>
      <c r="T434" s="26">
        <f>IF($G434="","",SUMIFS($P$4:$P$2503,$E$4:$E$2503,$E434,$Z$4:$Z$2503,"正常",$A$4:$A$2503,"&lt;="&amp;$A434))</f>
        <v/>
      </c>
      <c r="U434" s="26">
        <f>IF($G434="","",IF(OR($S434&gt;0,$Q434=0,$R434=0,$Z434&lt;&gt;"正常"),0,ROUND($T434/$Q434*$R434,0)-ROUND(($T434-$P434)/$Q434*$R434,0)))</f>
        <v/>
      </c>
      <c r="V434" s="26">
        <f>IF($G434="","",ROUND($P434+$U434,0))</f>
        <v/>
      </c>
      <c r="W434" s="26">
        <f>IF($G434="","",IF(N($K434)=0,0,ROUND($V434/$K434,2)))</f>
        <v/>
      </c>
      <c r="X434" s="17" t="inlineStr">
        <is>
          <t>采购入库</t>
        </is>
      </c>
      <c r="Y434" s="17" t="inlineStr">
        <is>
          <t>待补价</t>
        </is>
      </c>
      <c r="Z434" s="17" t="inlineStr">
        <is>
          <t>正常</t>
        </is>
      </c>
      <c r="AA434" s="17" t="n"/>
      <c r="AB434" s="17" t="inlineStr">
        <is>
          <t>原表第 440 行</t>
        </is>
      </c>
      <c r="AC434" s="24">
        <f>IF($G434="","",IF($H434="※编码不在物料档案里","※物料编码不在档案里",IF(N($K434)&lt;=0,"※入库数量要大于 0",IF(AND($C434&lt;&gt;"",$C434&lt;=结账锁),"※日期早于已结账截止日，不能再录",IF(AND($L434=0,$X434="正常"),"※没填单价，价格状态请选「待补价」",IF(AND($S434&gt;0,$R434&gt;0),"△本批有 "&amp;$S434&amp;" 行没单价，整批运费先挂账没摊",IF(AND($B434&lt;&gt;"",COUNTIF($B$4:$B$2503,$B434)&gt;1),"※入库单号重复","")))))))</f>
        <v/>
      </c>
    </row>
    <row r="435">
      <c r="A435" s="24">
        <f>IF($G435="","",COUNTA($G$4:$G435))</f>
        <v/>
      </c>
      <c r="B435" s="17" t="n"/>
      <c r="C435" s="30" t="n">
        <v>46103</v>
      </c>
      <c r="D435" s="17" t="inlineStr">
        <is>
          <t>A国内</t>
        </is>
      </c>
      <c r="E435" s="17" t="inlineStr">
        <is>
          <t>GATU8693770-202603</t>
        </is>
      </c>
      <c r="F435" s="17" t="inlineStr">
        <is>
          <t>烟台市金豪矿山机械有限公司</t>
        </is>
      </c>
      <c r="G435" s="17" t="inlineStr">
        <is>
          <t>JH0014</t>
        </is>
      </c>
      <c r="H435" s="24">
        <f>IF($G435="","",IFERROR(VLOOKUP($G435,物料档案!$A$4:$P$1203,3,0),"※编码不在物料档案里"))</f>
        <v/>
      </c>
      <c r="I435" s="24">
        <f>IF($G435="","",IFERROR(VLOOKUP($G435,物料档案!$A$4:$P$1203,4,0),"※编码不在物料档案里"))</f>
        <v/>
      </c>
      <c r="J435" s="24">
        <f>IF($G435="","",IFERROR(VLOOKUP($G435,物料档案!$A$4:$P$1203,5,0),"※编码不在物料档案里"))</f>
        <v/>
      </c>
      <c r="K435" s="23" t="n">
        <v>8</v>
      </c>
      <c r="L435" s="31" t="n"/>
      <c r="M435" s="24">
        <f>IF($G435="","",IF($D435="A国内","CNY","TZS"))</f>
        <v/>
      </c>
      <c r="N435" s="28">
        <f>IF($G435="","",IF($D435="A国内",汇率,1))</f>
        <v/>
      </c>
      <c r="O435" s="25">
        <f>IF($G435="","",ROUND(N($K435)*N($L435),2))</f>
        <v/>
      </c>
      <c r="P435" s="26">
        <f>IF($G435="","",ROUND($O435*$N435,0))</f>
        <v/>
      </c>
      <c r="Q435" s="26">
        <f>IF($G435="","",SUMIFS($P$4:$P$2503,$E$4:$E$2503,$E435,$Z$4:$Z$2503,"正常"))</f>
        <v/>
      </c>
      <c r="R435" s="26">
        <f>IF($G435="","",SUMIFS(费用台账!$I$4:$I$503,费用台账!$C$4:$C$503,$E435,费用台账!$J$4:$J$503,"是",费用台账!$K$4:$K$503,"正常"))</f>
        <v/>
      </c>
      <c r="S435" s="28">
        <f>IF($G435="","",COUNTIFS($E$4:$E$2503,$E435,$Z$4:$Z$2503,"正常",$Y$4:$Y$2503,"待补价"))</f>
        <v/>
      </c>
      <c r="T435" s="26">
        <f>IF($G435="","",SUMIFS($P$4:$P$2503,$E$4:$E$2503,$E435,$Z$4:$Z$2503,"正常",$A$4:$A$2503,"&lt;="&amp;$A435))</f>
        <v/>
      </c>
      <c r="U435" s="26">
        <f>IF($G435="","",IF(OR($S435&gt;0,$Q435=0,$R435=0,$Z435&lt;&gt;"正常"),0,ROUND($T435/$Q435*$R435,0)-ROUND(($T435-$P435)/$Q435*$R435,0)))</f>
        <v/>
      </c>
      <c r="V435" s="26">
        <f>IF($G435="","",ROUND($P435+$U435,0))</f>
        <v/>
      </c>
      <c r="W435" s="26">
        <f>IF($G435="","",IF(N($K435)=0,0,ROUND($V435/$K435,2)))</f>
        <v/>
      </c>
      <c r="X435" s="17" t="inlineStr">
        <is>
          <t>采购入库</t>
        </is>
      </c>
      <c r="Y435" s="17" t="inlineStr">
        <is>
          <t>待补价</t>
        </is>
      </c>
      <c r="Z435" s="17" t="inlineStr">
        <is>
          <t>正常</t>
        </is>
      </c>
      <c r="AA435" s="17" t="n"/>
      <c r="AB435" s="17" t="inlineStr">
        <is>
          <t>原表第 441 行</t>
        </is>
      </c>
      <c r="AC435" s="24">
        <f>IF($G435="","",IF($H435="※编码不在物料档案里","※物料编码不在档案里",IF(N($K435)&lt;=0,"※入库数量要大于 0",IF(AND($C435&lt;&gt;"",$C435&lt;=结账锁),"※日期早于已结账截止日，不能再录",IF(AND($L435=0,$X435="正常"),"※没填单价，价格状态请选「待补价」",IF(AND($S435&gt;0,$R435&gt;0),"△本批有 "&amp;$S435&amp;" 行没单价，整批运费先挂账没摊",IF(AND($B435&lt;&gt;"",COUNTIF($B$4:$B$2503,$B435)&gt;1),"※入库单号重复","")))))))</f>
        <v/>
      </c>
    </row>
    <row r="436">
      <c r="A436" s="24">
        <f>IF($G436="","",COUNTA($G$4:$G436))</f>
        <v/>
      </c>
      <c r="B436" s="17" t="n"/>
      <c r="C436" s="30" t="n">
        <v>46103</v>
      </c>
      <c r="D436" s="17" t="inlineStr">
        <is>
          <t>A国内</t>
        </is>
      </c>
      <c r="E436" s="17" t="inlineStr">
        <is>
          <t>GATU8693770-202603</t>
        </is>
      </c>
      <c r="F436" s="17" t="inlineStr">
        <is>
          <t>烟台市金豪矿山机械有限公司</t>
        </is>
      </c>
      <c r="G436" s="17" t="inlineStr">
        <is>
          <t>JH0388</t>
        </is>
      </c>
      <c r="H436" s="24">
        <f>IF($G436="","",IFERROR(VLOOKUP($G436,物料档案!$A$4:$P$1203,3,0),"※编码不在物料档案里"))</f>
        <v/>
      </c>
      <c r="I436" s="24">
        <f>IF($G436="","",IFERROR(VLOOKUP($G436,物料档案!$A$4:$P$1203,4,0),"※编码不在物料档案里"))</f>
        <v/>
      </c>
      <c r="J436" s="24">
        <f>IF($G436="","",IFERROR(VLOOKUP($G436,物料档案!$A$4:$P$1203,5,0),"※编码不在物料档案里"))</f>
        <v/>
      </c>
      <c r="K436" s="23" t="n">
        <v>246</v>
      </c>
      <c r="L436" s="31" t="n"/>
      <c r="M436" s="24">
        <f>IF($G436="","",IF($D436="A国内","CNY","TZS"))</f>
        <v/>
      </c>
      <c r="N436" s="28">
        <f>IF($G436="","",IF($D436="A国内",汇率,1))</f>
        <v/>
      </c>
      <c r="O436" s="25">
        <f>IF($G436="","",ROUND(N($K436)*N($L436),2))</f>
        <v/>
      </c>
      <c r="P436" s="26">
        <f>IF($G436="","",ROUND($O436*$N436,0))</f>
        <v/>
      </c>
      <c r="Q436" s="26">
        <f>IF($G436="","",SUMIFS($P$4:$P$2503,$E$4:$E$2503,$E436,$Z$4:$Z$2503,"正常"))</f>
        <v/>
      </c>
      <c r="R436" s="26">
        <f>IF($G436="","",SUMIFS(费用台账!$I$4:$I$503,费用台账!$C$4:$C$503,$E436,费用台账!$J$4:$J$503,"是",费用台账!$K$4:$K$503,"正常"))</f>
        <v/>
      </c>
      <c r="S436" s="28">
        <f>IF($G436="","",COUNTIFS($E$4:$E$2503,$E436,$Z$4:$Z$2503,"正常",$Y$4:$Y$2503,"待补价"))</f>
        <v/>
      </c>
      <c r="T436" s="26">
        <f>IF($G436="","",SUMIFS($P$4:$P$2503,$E$4:$E$2503,$E436,$Z$4:$Z$2503,"正常",$A$4:$A$2503,"&lt;="&amp;$A436))</f>
        <v/>
      </c>
      <c r="U436" s="26">
        <f>IF($G436="","",IF(OR($S436&gt;0,$Q436=0,$R436=0,$Z436&lt;&gt;"正常"),0,ROUND($T436/$Q436*$R436,0)-ROUND(($T436-$P436)/$Q436*$R436,0)))</f>
        <v/>
      </c>
      <c r="V436" s="26">
        <f>IF($G436="","",ROUND($P436+$U436,0))</f>
        <v/>
      </c>
      <c r="W436" s="26">
        <f>IF($G436="","",IF(N($K436)=0,0,ROUND($V436/$K436,2)))</f>
        <v/>
      </c>
      <c r="X436" s="17" t="inlineStr">
        <is>
          <t>采购入库</t>
        </is>
      </c>
      <c r="Y436" s="17" t="inlineStr">
        <is>
          <t>待补价</t>
        </is>
      </c>
      <c r="Z436" s="17" t="inlineStr">
        <is>
          <t>正常</t>
        </is>
      </c>
      <c r="AA436" s="17" t="n"/>
      <c r="AB436" s="17" t="inlineStr">
        <is>
          <t>原表第 442 行</t>
        </is>
      </c>
      <c r="AC436" s="24">
        <f>IF($G436="","",IF($H436="※编码不在物料档案里","※物料编码不在档案里",IF(N($K436)&lt;=0,"※入库数量要大于 0",IF(AND($C436&lt;&gt;"",$C436&lt;=结账锁),"※日期早于已结账截止日，不能再录",IF(AND($L436=0,$X436="正常"),"※没填单价，价格状态请选「待补价」",IF(AND($S436&gt;0,$R436&gt;0),"△本批有 "&amp;$S436&amp;" 行没单价，整批运费先挂账没摊",IF(AND($B436&lt;&gt;"",COUNTIF($B$4:$B$2503,$B436)&gt;1),"※入库单号重复","")))))))</f>
        <v/>
      </c>
    </row>
    <row r="437">
      <c r="A437" s="24">
        <f>IF($G437="","",COUNTA($G$4:$G437))</f>
        <v/>
      </c>
      <c r="B437" s="17" t="n"/>
      <c r="C437" s="30" t="n">
        <v>46103</v>
      </c>
      <c r="D437" s="17" t="inlineStr">
        <is>
          <t>A国内</t>
        </is>
      </c>
      <c r="E437" s="17" t="inlineStr">
        <is>
          <t>GATU8693770-202603</t>
        </is>
      </c>
      <c r="F437" s="17" t="inlineStr">
        <is>
          <t>烟台市金豪矿山机械有限公司</t>
        </is>
      </c>
      <c r="G437" s="17" t="inlineStr">
        <is>
          <t>JH0389</t>
        </is>
      </c>
      <c r="H437" s="24">
        <f>IF($G437="","",IFERROR(VLOOKUP($G437,物料档案!$A$4:$P$1203,3,0),"※编码不在物料档案里"))</f>
        <v/>
      </c>
      <c r="I437" s="24">
        <f>IF($G437="","",IFERROR(VLOOKUP($G437,物料档案!$A$4:$P$1203,4,0),"※编码不在物料档案里"))</f>
        <v/>
      </c>
      <c r="J437" s="24">
        <f>IF($G437="","",IFERROR(VLOOKUP($G437,物料档案!$A$4:$P$1203,5,0),"※编码不在物料档案里"))</f>
        <v/>
      </c>
      <c r="K437" s="23" t="n">
        <v>300</v>
      </c>
      <c r="L437" s="31" t="n"/>
      <c r="M437" s="24">
        <f>IF($G437="","",IF($D437="A国内","CNY","TZS"))</f>
        <v/>
      </c>
      <c r="N437" s="28">
        <f>IF($G437="","",IF($D437="A国内",汇率,1))</f>
        <v/>
      </c>
      <c r="O437" s="25">
        <f>IF($G437="","",ROUND(N($K437)*N($L437),2))</f>
        <v/>
      </c>
      <c r="P437" s="26">
        <f>IF($G437="","",ROUND($O437*$N437,0))</f>
        <v/>
      </c>
      <c r="Q437" s="26">
        <f>IF($G437="","",SUMIFS($P$4:$P$2503,$E$4:$E$2503,$E437,$Z$4:$Z$2503,"正常"))</f>
        <v/>
      </c>
      <c r="R437" s="26">
        <f>IF($G437="","",SUMIFS(费用台账!$I$4:$I$503,费用台账!$C$4:$C$503,$E437,费用台账!$J$4:$J$503,"是",费用台账!$K$4:$K$503,"正常"))</f>
        <v/>
      </c>
      <c r="S437" s="28">
        <f>IF($G437="","",COUNTIFS($E$4:$E$2503,$E437,$Z$4:$Z$2503,"正常",$Y$4:$Y$2503,"待补价"))</f>
        <v/>
      </c>
      <c r="T437" s="26">
        <f>IF($G437="","",SUMIFS($P$4:$P$2503,$E$4:$E$2503,$E437,$Z$4:$Z$2503,"正常",$A$4:$A$2503,"&lt;="&amp;$A437))</f>
        <v/>
      </c>
      <c r="U437" s="26">
        <f>IF($G437="","",IF(OR($S437&gt;0,$Q437=0,$R437=0,$Z437&lt;&gt;"正常"),0,ROUND($T437/$Q437*$R437,0)-ROUND(($T437-$P437)/$Q437*$R437,0)))</f>
        <v/>
      </c>
      <c r="V437" s="26">
        <f>IF($G437="","",ROUND($P437+$U437,0))</f>
        <v/>
      </c>
      <c r="W437" s="26">
        <f>IF($G437="","",IF(N($K437)=0,0,ROUND($V437/$K437,2)))</f>
        <v/>
      </c>
      <c r="X437" s="17" t="inlineStr">
        <is>
          <t>采购入库</t>
        </is>
      </c>
      <c r="Y437" s="17" t="inlineStr">
        <is>
          <t>待补价</t>
        </is>
      </c>
      <c r="Z437" s="17" t="inlineStr">
        <is>
          <t>正常</t>
        </is>
      </c>
      <c r="AA437" s="17" t="n"/>
      <c r="AB437" s="17" t="inlineStr">
        <is>
          <t>原表第 443 行</t>
        </is>
      </c>
      <c r="AC437" s="24">
        <f>IF($G437="","",IF($H437="※编码不在物料档案里","※物料编码不在档案里",IF(N($K437)&lt;=0,"※入库数量要大于 0",IF(AND($C437&lt;&gt;"",$C437&lt;=结账锁),"※日期早于已结账截止日，不能再录",IF(AND($L437=0,$X437="正常"),"※没填单价，价格状态请选「待补价」",IF(AND($S437&gt;0,$R437&gt;0),"△本批有 "&amp;$S437&amp;" 行没单价，整批运费先挂账没摊",IF(AND($B437&lt;&gt;"",COUNTIF($B$4:$B$2503,$B437)&gt;1),"※入库单号重复","")))))))</f>
        <v/>
      </c>
    </row>
    <row r="438">
      <c r="A438" s="24">
        <f>IF($G438="","",COUNTA($G$4:$G438))</f>
        <v/>
      </c>
      <c r="B438" s="17" t="n"/>
      <c r="C438" s="30" t="n">
        <v>46103</v>
      </c>
      <c r="D438" s="17" t="inlineStr">
        <is>
          <t>A国内</t>
        </is>
      </c>
      <c r="E438" s="17" t="inlineStr">
        <is>
          <t>GATU8693770-202603</t>
        </is>
      </c>
      <c r="F438" s="17" t="inlineStr">
        <is>
          <t>烟台市金豪矿山机械有限公司</t>
        </is>
      </c>
      <c r="G438" s="17" t="inlineStr">
        <is>
          <t>JH0390</t>
        </is>
      </c>
      <c r="H438" s="24">
        <f>IF($G438="","",IFERROR(VLOOKUP($G438,物料档案!$A$4:$P$1203,3,0),"※编码不在物料档案里"))</f>
        <v/>
      </c>
      <c r="I438" s="24">
        <f>IF($G438="","",IFERROR(VLOOKUP($G438,物料档案!$A$4:$P$1203,4,0),"※编码不在物料档案里"))</f>
        <v/>
      </c>
      <c r="J438" s="24">
        <f>IF($G438="","",IFERROR(VLOOKUP($G438,物料档案!$A$4:$P$1203,5,0),"※编码不在物料档案里"))</f>
        <v/>
      </c>
      <c r="K438" s="23" t="n">
        <v>264</v>
      </c>
      <c r="L438" s="31" t="n"/>
      <c r="M438" s="24">
        <f>IF($G438="","",IF($D438="A国内","CNY","TZS"))</f>
        <v/>
      </c>
      <c r="N438" s="28">
        <f>IF($G438="","",IF($D438="A国内",汇率,1))</f>
        <v/>
      </c>
      <c r="O438" s="25">
        <f>IF($G438="","",ROUND(N($K438)*N($L438),2))</f>
        <v/>
      </c>
      <c r="P438" s="26">
        <f>IF($G438="","",ROUND($O438*$N438,0))</f>
        <v/>
      </c>
      <c r="Q438" s="26">
        <f>IF($G438="","",SUMIFS($P$4:$P$2503,$E$4:$E$2503,$E438,$Z$4:$Z$2503,"正常"))</f>
        <v/>
      </c>
      <c r="R438" s="26">
        <f>IF($G438="","",SUMIFS(费用台账!$I$4:$I$503,费用台账!$C$4:$C$503,$E438,费用台账!$J$4:$J$503,"是",费用台账!$K$4:$K$503,"正常"))</f>
        <v/>
      </c>
      <c r="S438" s="28">
        <f>IF($G438="","",COUNTIFS($E$4:$E$2503,$E438,$Z$4:$Z$2503,"正常",$Y$4:$Y$2503,"待补价"))</f>
        <v/>
      </c>
      <c r="T438" s="26">
        <f>IF($G438="","",SUMIFS($P$4:$P$2503,$E$4:$E$2503,$E438,$Z$4:$Z$2503,"正常",$A$4:$A$2503,"&lt;="&amp;$A438))</f>
        <v/>
      </c>
      <c r="U438" s="26">
        <f>IF($G438="","",IF(OR($S438&gt;0,$Q438=0,$R438=0,$Z438&lt;&gt;"正常"),0,ROUND($T438/$Q438*$R438,0)-ROUND(($T438-$P438)/$Q438*$R438,0)))</f>
        <v/>
      </c>
      <c r="V438" s="26">
        <f>IF($G438="","",ROUND($P438+$U438,0))</f>
        <v/>
      </c>
      <c r="W438" s="26">
        <f>IF($G438="","",IF(N($K438)=0,0,ROUND($V438/$K438,2)))</f>
        <v/>
      </c>
      <c r="X438" s="17" t="inlineStr">
        <is>
          <t>采购入库</t>
        </is>
      </c>
      <c r="Y438" s="17" t="inlineStr">
        <is>
          <t>待补价</t>
        </is>
      </c>
      <c r="Z438" s="17" t="inlineStr">
        <is>
          <t>正常</t>
        </is>
      </c>
      <c r="AA438" s="17" t="n"/>
      <c r="AB438" s="17" t="inlineStr">
        <is>
          <t>原表第 444 行</t>
        </is>
      </c>
      <c r="AC438" s="24">
        <f>IF($G438="","",IF($H438="※编码不在物料档案里","※物料编码不在档案里",IF(N($K438)&lt;=0,"※入库数量要大于 0",IF(AND($C438&lt;&gt;"",$C438&lt;=结账锁),"※日期早于已结账截止日，不能再录",IF(AND($L438=0,$X438="正常"),"※没填单价，价格状态请选「待补价」",IF(AND($S438&gt;0,$R438&gt;0),"△本批有 "&amp;$S438&amp;" 行没单价，整批运费先挂账没摊",IF(AND($B438&lt;&gt;"",COUNTIF($B$4:$B$2503,$B438)&gt;1),"※入库单号重复","")))))))</f>
        <v/>
      </c>
    </row>
    <row r="439">
      <c r="A439" s="24">
        <f>IF($G439="","",COUNTA($G$4:$G439))</f>
        <v/>
      </c>
      <c r="B439" s="17" t="n"/>
      <c r="C439" s="30" t="n">
        <v>46103</v>
      </c>
      <c r="D439" s="17" t="inlineStr">
        <is>
          <t>A国内</t>
        </is>
      </c>
      <c r="E439" s="17" t="inlineStr">
        <is>
          <t>GATU8693770-202603</t>
        </is>
      </c>
      <c r="F439" s="17" t="inlineStr">
        <is>
          <t>烟台市金豪矿山机械有限公司</t>
        </is>
      </c>
      <c r="G439" s="17" t="inlineStr">
        <is>
          <t>JH0391</t>
        </is>
      </c>
      <c r="H439" s="24">
        <f>IF($G439="","",IFERROR(VLOOKUP($G439,物料档案!$A$4:$P$1203,3,0),"※编码不在物料档案里"))</f>
        <v/>
      </c>
      <c r="I439" s="24">
        <f>IF($G439="","",IFERROR(VLOOKUP($G439,物料档案!$A$4:$P$1203,4,0),"※编码不在物料档案里"))</f>
        <v/>
      </c>
      <c r="J439" s="24">
        <f>IF($G439="","",IFERROR(VLOOKUP($G439,物料档案!$A$4:$P$1203,5,0),"※编码不在物料档案里"))</f>
        <v/>
      </c>
      <c r="K439" s="23" t="n">
        <v>1</v>
      </c>
      <c r="L439" s="31" t="n">
        <v>64000</v>
      </c>
      <c r="M439" s="24">
        <f>IF($G439="","",IF($D439="A国内","CNY","TZS"))</f>
        <v/>
      </c>
      <c r="N439" s="28">
        <f>IF($G439="","",IF($D439="A国内",汇率,1))</f>
        <v/>
      </c>
      <c r="O439" s="25">
        <f>IF($G439="","",ROUND(N($K439)*N($L439),2))</f>
        <v/>
      </c>
      <c r="P439" s="26">
        <f>IF($G439="","",ROUND($O439*$N439,0))</f>
        <v/>
      </c>
      <c r="Q439" s="26">
        <f>IF($G439="","",SUMIFS($P$4:$P$2503,$E$4:$E$2503,$E439,$Z$4:$Z$2503,"正常"))</f>
        <v/>
      </c>
      <c r="R439" s="26">
        <f>IF($G439="","",SUMIFS(费用台账!$I$4:$I$503,费用台账!$C$4:$C$503,$E439,费用台账!$J$4:$J$503,"是",费用台账!$K$4:$K$503,"正常"))</f>
        <v/>
      </c>
      <c r="S439" s="28">
        <f>IF($G439="","",COUNTIFS($E$4:$E$2503,$E439,$Z$4:$Z$2503,"正常",$Y$4:$Y$2503,"待补价"))</f>
        <v/>
      </c>
      <c r="T439" s="26">
        <f>IF($G439="","",SUMIFS($P$4:$P$2503,$E$4:$E$2503,$E439,$Z$4:$Z$2503,"正常",$A$4:$A$2503,"&lt;="&amp;$A439))</f>
        <v/>
      </c>
      <c r="U439" s="26">
        <f>IF($G439="","",IF(OR($S439&gt;0,$Q439=0,$R439=0,$Z439&lt;&gt;"正常"),0,ROUND($T439/$Q439*$R439,0)-ROUND(($T439-$P439)/$Q439*$R439,0)))</f>
        <v/>
      </c>
      <c r="V439" s="26">
        <f>IF($G439="","",ROUND($P439+$U439,0))</f>
        <v/>
      </c>
      <c r="W439" s="26">
        <f>IF($G439="","",IF(N($K439)=0,0,ROUND($V439/$K439,2)))</f>
        <v/>
      </c>
      <c r="X439" s="17" t="inlineStr">
        <is>
          <t>采购入库</t>
        </is>
      </c>
      <c r="Y439" s="17" t="inlineStr">
        <is>
          <t>正常</t>
        </is>
      </c>
      <c r="Z439" s="17" t="inlineStr">
        <is>
          <t>正常</t>
        </is>
      </c>
      <c r="AA439" s="17" t="n"/>
      <c r="AB439" s="17" t="inlineStr">
        <is>
          <t>原表第 445 行</t>
        </is>
      </c>
      <c r="AC439" s="24">
        <f>IF($G439="","",IF($H439="※编码不在物料档案里","※物料编码不在档案里",IF(N($K439)&lt;=0,"※入库数量要大于 0",IF(AND($C439&lt;&gt;"",$C439&lt;=结账锁),"※日期早于已结账截止日，不能再录",IF(AND($L439=0,$X439="正常"),"※没填单价，价格状态请选「待补价」",IF(AND($S439&gt;0,$R439&gt;0),"△本批有 "&amp;$S439&amp;" 行没单价，整批运费先挂账没摊",IF(AND($B439&lt;&gt;"",COUNTIF($B$4:$B$2503,$B439)&gt;1),"※入库单号重复","")))))))</f>
        <v/>
      </c>
    </row>
    <row r="440">
      <c r="A440" s="24">
        <f>IF($G440="","",COUNTA($G$4:$G440))</f>
        <v/>
      </c>
      <c r="B440" s="17" t="n"/>
      <c r="C440" s="30" t="n">
        <v>46103</v>
      </c>
      <c r="D440" s="17" t="inlineStr">
        <is>
          <t>A国内</t>
        </is>
      </c>
      <c r="E440" s="17" t="inlineStr">
        <is>
          <t>GATU8693770-202603</t>
        </is>
      </c>
      <c r="F440" s="17" t="inlineStr">
        <is>
          <t>烟台市金豪矿山机械有限公司</t>
        </is>
      </c>
      <c r="G440" s="17" t="inlineStr">
        <is>
          <t>JH0392</t>
        </is>
      </c>
      <c r="H440" s="24">
        <f>IF($G440="","",IFERROR(VLOOKUP($G440,物料档案!$A$4:$P$1203,3,0),"※编码不在物料档案里"))</f>
        <v/>
      </c>
      <c r="I440" s="24">
        <f>IF($G440="","",IFERROR(VLOOKUP($G440,物料档案!$A$4:$P$1203,4,0),"※编码不在物料档案里"))</f>
        <v/>
      </c>
      <c r="J440" s="24">
        <f>IF($G440="","",IFERROR(VLOOKUP($G440,物料档案!$A$4:$P$1203,5,0),"※编码不在物料档案里"))</f>
        <v/>
      </c>
      <c r="K440" s="23" t="n">
        <v>1</v>
      </c>
      <c r="L440" s="31" t="n"/>
      <c r="M440" s="24">
        <f>IF($G440="","",IF($D440="A国内","CNY","TZS"))</f>
        <v/>
      </c>
      <c r="N440" s="28">
        <f>IF($G440="","",IF($D440="A国内",汇率,1))</f>
        <v/>
      </c>
      <c r="O440" s="25">
        <f>IF($G440="","",ROUND(N($K440)*N($L440),2))</f>
        <v/>
      </c>
      <c r="P440" s="26">
        <f>IF($G440="","",ROUND($O440*$N440,0))</f>
        <v/>
      </c>
      <c r="Q440" s="26">
        <f>IF($G440="","",SUMIFS($P$4:$P$2503,$E$4:$E$2503,$E440,$Z$4:$Z$2503,"正常"))</f>
        <v/>
      </c>
      <c r="R440" s="26">
        <f>IF($G440="","",SUMIFS(费用台账!$I$4:$I$503,费用台账!$C$4:$C$503,$E440,费用台账!$J$4:$J$503,"是",费用台账!$K$4:$K$503,"正常"))</f>
        <v/>
      </c>
      <c r="S440" s="28">
        <f>IF($G440="","",COUNTIFS($E$4:$E$2503,$E440,$Z$4:$Z$2503,"正常",$Y$4:$Y$2503,"待补价"))</f>
        <v/>
      </c>
      <c r="T440" s="26">
        <f>IF($G440="","",SUMIFS($P$4:$P$2503,$E$4:$E$2503,$E440,$Z$4:$Z$2503,"正常",$A$4:$A$2503,"&lt;="&amp;$A440))</f>
        <v/>
      </c>
      <c r="U440" s="26">
        <f>IF($G440="","",IF(OR($S440&gt;0,$Q440=0,$R440=0,$Z440&lt;&gt;"正常"),0,ROUND($T440/$Q440*$R440,0)-ROUND(($T440-$P440)/$Q440*$R440,0)))</f>
        <v/>
      </c>
      <c r="V440" s="26">
        <f>IF($G440="","",ROUND($P440+$U440,0))</f>
        <v/>
      </c>
      <c r="W440" s="26">
        <f>IF($G440="","",IF(N($K440)=0,0,ROUND($V440/$K440,2)))</f>
        <v/>
      </c>
      <c r="X440" s="17" t="inlineStr">
        <is>
          <t>采购入库</t>
        </is>
      </c>
      <c r="Y440" s="17" t="inlineStr">
        <is>
          <t>待补价</t>
        </is>
      </c>
      <c r="Z440" s="17" t="inlineStr">
        <is>
          <t>正常</t>
        </is>
      </c>
      <c r="AA440" s="17" t="n"/>
      <c r="AB440" s="17" t="inlineStr">
        <is>
          <t>原表第 446 行</t>
        </is>
      </c>
      <c r="AC440" s="24">
        <f>IF($G440="","",IF($H440="※编码不在物料档案里","※物料编码不在档案里",IF(N($K440)&lt;=0,"※入库数量要大于 0",IF(AND($C440&lt;&gt;"",$C440&lt;=结账锁),"※日期早于已结账截止日，不能再录",IF(AND($L440=0,$X440="正常"),"※没填单价，价格状态请选「待补价」",IF(AND($S440&gt;0,$R440&gt;0),"△本批有 "&amp;$S440&amp;" 行没单价，整批运费先挂账没摊",IF(AND($B440&lt;&gt;"",COUNTIF($B$4:$B$2503,$B440)&gt;1),"※入库单号重复","")))))))</f>
        <v/>
      </c>
    </row>
    <row r="441">
      <c r="A441" s="24">
        <f>IF($G441="","",COUNTA($G$4:$G441))</f>
        <v/>
      </c>
      <c r="B441" s="17" t="n"/>
      <c r="C441" s="30" t="n">
        <v>46103</v>
      </c>
      <c r="D441" s="17" t="inlineStr">
        <is>
          <t>A国内</t>
        </is>
      </c>
      <c r="E441" s="17" t="inlineStr">
        <is>
          <t>GATU8693770-202603</t>
        </is>
      </c>
      <c r="F441" s="17" t="inlineStr">
        <is>
          <t>烟台市金豪矿山机械有限公司</t>
        </is>
      </c>
      <c r="G441" s="17" t="inlineStr">
        <is>
          <t>JH0393</t>
        </is>
      </c>
      <c r="H441" s="24">
        <f>IF($G441="","",IFERROR(VLOOKUP($G441,物料档案!$A$4:$P$1203,3,0),"※编码不在物料档案里"))</f>
        <v/>
      </c>
      <c r="I441" s="24">
        <f>IF($G441="","",IFERROR(VLOOKUP($G441,物料档案!$A$4:$P$1203,4,0),"※编码不在物料档案里"))</f>
        <v/>
      </c>
      <c r="J441" s="24">
        <f>IF($G441="","",IFERROR(VLOOKUP($G441,物料档案!$A$4:$P$1203,5,0),"※编码不在物料档案里"))</f>
        <v/>
      </c>
      <c r="K441" s="23" t="n">
        <v>2</v>
      </c>
      <c r="L441" s="31" t="n"/>
      <c r="M441" s="24">
        <f>IF($G441="","",IF($D441="A国内","CNY","TZS"))</f>
        <v/>
      </c>
      <c r="N441" s="28">
        <f>IF($G441="","",IF($D441="A国内",汇率,1))</f>
        <v/>
      </c>
      <c r="O441" s="25">
        <f>IF($G441="","",ROUND(N($K441)*N($L441),2))</f>
        <v/>
      </c>
      <c r="P441" s="26">
        <f>IF($G441="","",ROUND($O441*$N441,0))</f>
        <v/>
      </c>
      <c r="Q441" s="26">
        <f>IF($G441="","",SUMIFS($P$4:$P$2503,$E$4:$E$2503,$E441,$Z$4:$Z$2503,"正常"))</f>
        <v/>
      </c>
      <c r="R441" s="26">
        <f>IF($G441="","",SUMIFS(费用台账!$I$4:$I$503,费用台账!$C$4:$C$503,$E441,费用台账!$J$4:$J$503,"是",费用台账!$K$4:$K$503,"正常"))</f>
        <v/>
      </c>
      <c r="S441" s="28">
        <f>IF($G441="","",COUNTIFS($E$4:$E$2503,$E441,$Z$4:$Z$2503,"正常",$Y$4:$Y$2503,"待补价"))</f>
        <v/>
      </c>
      <c r="T441" s="26">
        <f>IF($G441="","",SUMIFS($P$4:$P$2503,$E$4:$E$2503,$E441,$Z$4:$Z$2503,"正常",$A$4:$A$2503,"&lt;="&amp;$A441))</f>
        <v/>
      </c>
      <c r="U441" s="26">
        <f>IF($G441="","",IF(OR($S441&gt;0,$Q441=0,$R441=0,$Z441&lt;&gt;"正常"),0,ROUND($T441/$Q441*$R441,0)-ROUND(($T441-$P441)/$Q441*$R441,0)))</f>
        <v/>
      </c>
      <c r="V441" s="26">
        <f>IF($G441="","",ROUND($P441+$U441,0))</f>
        <v/>
      </c>
      <c r="W441" s="26">
        <f>IF($G441="","",IF(N($K441)=0,0,ROUND($V441/$K441,2)))</f>
        <v/>
      </c>
      <c r="X441" s="17" t="inlineStr">
        <is>
          <t>采购入库</t>
        </is>
      </c>
      <c r="Y441" s="17" t="inlineStr">
        <is>
          <t>待补价</t>
        </is>
      </c>
      <c r="Z441" s="17" t="inlineStr">
        <is>
          <t>正常</t>
        </is>
      </c>
      <c r="AA441" s="17" t="n"/>
      <c r="AB441" s="17" t="inlineStr">
        <is>
          <t>原表第 447 行</t>
        </is>
      </c>
      <c r="AC441" s="24">
        <f>IF($G441="","",IF($H441="※编码不在物料档案里","※物料编码不在档案里",IF(N($K441)&lt;=0,"※入库数量要大于 0",IF(AND($C441&lt;&gt;"",$C441&lt;=结账锁),"※日期早于已结账截止日，不能再录",IF(AND($L441=0,$X441="正常"),"※没填单价，价格状态请选「待补价」",IF(AND($S441&gt;0,$R441&gt;0),"△本批有 "&amp;$S441&amp;" 行没单价，整批运费先挂账没摊",IF(AND($B441&lt;&gt;"",COUNTIF($B$4:$B$2503,$B441)&gt;1),"※入库单号重复","")))))))</f>
        <v/>
      </c>
    </row>
    <row r="442">
      <c r="A442" s="24">
        <f>IF($G442="","",COUNTA($G$4:$G442))</f>
        <v/>
      </c>
      <c r="B442" s="17" t="n"/>
      <c r="C442" s="30" t="n">
        <v>46103</v>
      </c>
      <c r="D442" s="17" t="inlineStr">
        <is>
          <t>A国内</t>
        </is>
      </c>
      <c r="E442" s="17" t="inlineStr">
        <is>
          <t>GATU8693770-202603</t>
        </is>
      </c>
      <c r="F442" s="17" t="inlineStr">
        <is>
          <t>烟台市金豪矿山机械有限公司</t>
        </is>
      </c>
      <c r="G442" s="17" t="inlineStr">
        <is>
          <t>JH0394</t>
        </is>
      </c>
      <c r="H442" s="24">
        <f>IF($G442="","",IFERROR(VLOOKUP($G442,物料档案!$A$4:$P$1203,3,0),"※编码不在物料档案里"))</f>
        <v/>
      </c>
      <c r="I442" s="24">
        <f>IF($G442="","",IFERROR(VLOOKUP($G442,物料档案!$A$4:$P$1203,4,0),"※编码不在物料档案里"))</f>
        <v/>
      </c>
      <c r="J442" s="24">
        <f>IF($G442="","",IFERROR(VLOOKUP($G442,物料档案!$A$4:$P$1203,5,0),"※编码不在物料档案里"))</f>
        <v/>
      </c>
      <c r="K442" s="23" t="n">
        <v>8</v>
      </c>
      <c r="L442" s="31" t="n"/>
      <c r="M442" s="24">
        <f>IF($G442="","",IF($D442="A国内","CNY","TZS"))</f>
        <v/>
      </c>
      <c r="N442" s="28">
        <f>IF($G442="","",IF($D442="A国内",汇率,1))</f>
        <v/>
      </c>
      <c r="O442" s="25">
        <f>IF($G442="","",ROUND(N($K442)*N($L442),2))</f>
        <v/>
      </c>
      <c r="P442" s="26">
        <f>IF($G442="","",ROUND($O442*$N442,0))</f>
        <v/>
      </c>
      <c r="Q442" s="26">
        <f>IF($G442="","",SUMIFS($P$4:$P$2503,$E$4:$E$2503,$E442,$Z$4:$Z$2503,"正常"))</f>
        <v/>
      </c>
      <c r="R442" s="26">
        <f>IF($G442="","",SUMIFS(费用台账!$I$4:$I$503,费用台账!$C$4:$C$503,$E442,费用台账!$J$4:$J$503,"是",费用台账!$K$4:$K$503,"正常"))</f>
        <v/>
      </c>
      <c r="S442" s="28">
        <f>IF($G442="","",COUNTIFS($E$4:$E$2503,$E442,$Z$4:$Z$2503,"正常",$Y$4:$Y$2503,"待补价"))</f>
        <v/>
      </c>
      <c r="T442" s="26">
        <f>IF($G442="","",SUMIFS($P$4:$P$2503,$E$4:$E$2503,$E442,$Z$4:$Z$2503,"正常",$A$4:$A$2503,"&lt;="&amp;$A442))</f>
        <v/>
      </c>
      <c r="U442" s="26">
        <f>IF($G442="","",IF(OR($S442&gt;0,$Q442=0,$R442=0,$Z442&lt;&gt;"正常"),0,ROUND($T442/$Q442*$R442,0)-ROUND(($T442-$P442)/$Q442*$R442,0)))</f>
        <v/>
      </c>
      <c r="V442" s="26">
        <f>IF($G442="","",ROUND($P442+$U442,0))</f>
        <v/>
      </c>
      <c r="W442" s="26">
        <f>IF($G442="","",IF(N($K442)=0,0,ROUND($V442/$K442,2)))</f>
        <v/>
      </c>
      <c r="X442" s="17" t="inlineStr">
        <is>
          <t>采购入库</t>
        </is>
      </c>
      <c r="Y442" s="17" t="inlineStr">
        <is>
          <t>待补价</t>
        </is>
      </c>
      <c r="Z442" s="17" t="inlineStr">
        <is>
          <t>正常</t>
        </is>
      </c>
      <c r="AA442" s="17" t="n"/>
      <c r="AB442" s="17" t="inlineStr">
        <is>
          <t>原表第 448 行</t>
        </is>
      </c>
      <c r="AC442" s="24">
        <f>IF($G442="","",IF($H442="※编码不在物料档案里","※物料编码不在档案里",IF(N($K442)&lt;=0,"※入库数量要大于 0",IF(AND($C442&lt;&gt;"",$C442&lt;=结账锁),"※日期早于已结账截止日，不能再录",IF(AND($L442=0,$X442="正常"),"※没填单价，价格状态请选「待补价」",IF(AND($S442&gt;0,$R442&gt;0),"△本批有 "&amp;$S442&amp;" 行没单价，整批运费先挂账没摊",IF(AND($B442&lt;&gt;"",COUNTIF($B$4:$B$2503,$B442)&gt;1),"※入库单号重复","")))))))</f>
        <v/>
      </c>
    </row>
    <row r="443">
      <c r="A443" s="24">
        <f>IF($G443="","",COUNTA($G$4:$G443))</f>
        <v/>
      </c>
      <c r="B443" s="17" t="n"/>
      <c r="C443" s="30" t="n">
        <v>46103</v>
      </c>
      <c r="D443" s="17" t="inlineStr">
        <is>
          <t>A国内</t>
        </is>
      </c>
      <c r="E443" s="17" t="inlineStr">
        <is>
          <t>GATU8693770-202603</t>
        </is>
      </c>
      <c r="F443" s="17" t="inlineStr">
        <is>
          <t>烟台市金豪矿山机械有限公司</t>
        </is>
      </c>
      <c r="G443" s="17" t="inlineStr">
        <is>
          <t>JH0395</t>
        </is>
      </c>
      <c r="H443" s="24">
        <f>IF($G443="","",IFERROR(VLOOKUP($G443,物料档案!$A$4:$P$1203,3,0),"※编码不在物料档案里"))</f>
        <v/>
      </c>
      <c r="I443" s="24">
        <f>IF($G443="","",IFERROR(VLOOKUP($G443,物料档案!$A$4:$P$1203,4,0),"※编码不在物料档案里"))</f>
        <v/>
      </c>
      <c r="J443" s="24">
        <f>IF($G443="","",IFERROR(VLOOKUP($G443,物料档案!$A$4:$P$1203,5,0),"※编码不在物料档案里"))</f>
        <v/>
      </c>
      <c r="K443" s="23" t="n">
        <v>6</v>
      </c>
      <c r="L443" s="31" t="n"/>
      <c r="M443" s="24">
        <f>IF($G443="","",IF($D443="A国内","CNY","TZS"))</f>
        <v/>
      </c>
      <c r="N443" s="28">
        <f>IF($G443="","",IF($D443="A国内",汇率,1))</f>
        <v/>
      </c>
      <c r="O443" s="25">
        <f>IF($G443="","",ROUND(N($K443)*N($L443),2))</f>
        <v/>
      </c>
      <c r="P443" s="26">
        <f>IF($G443="","",ROUND($O443*$N443,0))</f>
        <v/>
      </c>
      <c r="Q443" s="26">
        <f>IF($G443="","",SUMIFS($P$4:$P$2503,$E$4:$E$2503,$E443,$Z$4:$Z$2503,"正常"))</f>
        <v/>
      </c>
      <c r="R443" s="26">
        <f>IF($G443="","",SUMIFS(费用台账!$I$4:$I$503,费用台账!$C$4:$C$503,$E443,费用台账!$J$4:$J$503,"是",费用台账!$K$4:$K$503,"正常"))</f>
        <v/>
      </c>
      <c r="S443" s="28">
        <f>IF($G443="","",COUNTIFS($E$4:$E$2503,$E443,$Z$4:$Z$2503,"正常",$Y$4:$Y$2503,"待补价"))</f>
        <v/>
      </c>
      <c r="T443" s="26">
        <f>IF($G443="","",SUMIFS($P$4:$P$2503,$E$4:$E$2503,$E443,$Z$4:$Z$2503,"正常",$A$4:$A$2503,"&lt;="&amp;$A443))</f>
        <v/>
      </c>
      <c r="U443" s="26">
        <f>IF($G443="","",IF(OR($S443&gt;0,$Q443=0,$R443=0,$Z443&lt;&gt;"正常"),0,ROUND($T443/$Q443*$R443,0)-ROUND(($T443-$P443)/$Q443*$R443,0)))</f>
        <v/>
      </c>
      <c r="V443" s="26">
        <f>IF($G443="","",ROUND($P443+$U443,0))</f>
        <v/>
      </c>
      <c r="W443" s="26">
        <f>IF($G443="","",IF(N($K443)=0,0,ROUND($V443/$K443,2)))</f>
        <v/>
      </c>
      <c r="X443" s="17" t="inlineStr">
        <is>
          <t>采购入库</t>
        </is>
      </c>
      <c r="Y443" s="17" t="inlineStr">
        <is>
          <t>待补价</t>
        </is>
      </c>
      <c r="Z443" s="17" t="inlineStr">
        <is>
          <t>正常</t>
        </is>
      </c>
      <c r="AA443" s="17" t="n"/>
      <c r="AB443" s="17" t="inlineStr">
        <is>
          <t>原表第 449 行</t>
        </is>
      </c>
      <c r="AC443" s="24">
        <f>IF($G443="","",IF($H443="※编码不在物料档案里","※物料编码不在档案里",IF(N($K443)&lt;=0,"※入库数量要大于 0",IF(AND($C443&lt;&gt;"",$C443&lt;=结账锁),"※日期早于已结账截止日，不能再录",IF(AND($L443=0,$X443="正常"),"※没填单价，价格状态请选「待补价」",IF(AND($S443&gt;0,$R443&gt;0),"△本批有 "&amp;$S443&amp;" 行没单价，整批运费先挂账没摊",IF(AND($B443&lt;&gt;"",COUNTIF($B$4:$B$2503,$B443)&gt;1),"※入库单号重复","")))))))</f>
        <v/>
      </c>
    </row>
    <row r="444">
      <c r="A444" s="24">
        <f>IF($G444="","",COUNTA($G$4:$G444))</f>
        <v/>
      </c>
      <c r="B444" s="17" t="n"/>
      <c r="C444" s="30" t="n">
        <v>46103</v>
      </c>
      <c r="D444" s="17" t="inlineStr">
        <is>
          <t>A国内</t>
        </is>
      </c>
      <c r="E444" s="17" t="inlineStr">
        <is>
          <t>GATU8693770-202603</t>
        </is>
      </c>
      <c r="F444" s="17" t="inlineStr">
        <is>
          <t>烟台市金豪矿山机械有限公司</t>
        </is>
      </c>
      <c r="G444" s="17" t="inlineStr">
        <is>
          <t>JH0396</t>
        </is>
      </c>
      <c r="H444" s="24">
        <f>IF($G444="","",IFERROR(VLOOKUP($G444,物料档案!$A$4:$P$1203,3,0),"※编码不在物料档案里"))</f>
        <v/>
      </c>
      <c r="I444" s="24">
        <f>IF($G444="","",IFERROR(VLOOKUP($G444,物料档案!$A$4:$P$1203,4,0),"※编码不在物料档案里"))</f>
        <v/>
      </c>
      <c r="J444" s="24">
        <f>IF($G444="","",IFERROR(VLOOKUP($G444,物料档案!$A$4:$P$1203,5,0),"※编码不在物料档案里"))</f>
        <v/>
      </c>
      <c r="K444" s="23" t="n">
        <v>4</v>
      </c>
      <c r="L444" s="31" t="n"/>
      <c r="M444" s="24">
        <f>IF($G444="","",IF($D444="A国内","CNY","TZS"))</f>
        <v/>
      </c>
      <c r="N444" s="28">
        <f>IF($G444="","",IF($D444="A国内",汇率,1))</f>
        <v/>
      </c>
      <c r="O444" s="25">
        <f>IF($G444="","",ROUND(N($K444)*N($L444),2))</f>
        <v/>
      </c>
      <c r="P444" s="26">
        <f>IF($G444="","",ROUND($O444*$N444,0))</f>
        <v/>
      </c>
      <c r="Q444" s="26">
        <f>IF($G444="","",SUMIFS($P$4:$P$2503,$E$4:$E$2503,$E444,$Z$4:$Z$2503,"正常"))</f>
        <v/>
      </c>
      <c r="R444" s="26">
        <f>IF($G444="","",SUMIFS(费用台账!$I$4:$I$503,费用台账!$C$4:$C$503,$E444,费用台账!$J$4:$J$503,"是",费用台账!$K$4:$K$503,"正常"))</f>
        <v/>
      </c>
      <c r="S444" s="28">
        <f>IF($G444="","",COUNTIFS($E$4:$E$2503,$E444,$Z$4:$Z$2503,"正常",$Y$4:$Y$2503,"待补价"))</f>
        <v/>
      </c>
      <c r="T444" s="26">
        <f>IF($G444="","",SUMIFS($P$4:$P$2503,$E$4:$E$2503,$E444,$Z$4:$Z$2503,"正常",$A$4:$A$2503,"&lt;="&amp;$A444))</f>
        <v/>
      </c>
      <c r="U444" s="26">
        <f>IF($G444="","",IF(OR($S444&gt;0,$Q444=0,$R444=0,$Z444&lt;&gt;"正常"),0,ROUND($T444/$Q444*$R444,0)-ROUND(($T444-$P444)/$Q444*$R444,0)))</f>
        <v/>
      </c>
      <c r="V444" s="26">
        <f>IF($G444="","",ROUND($P444+$U444,0))</f>
        <v/>
      </c>
      <c r="W444" s="26">
        <f>IF($G444="","",IF(N($K444)=0,0,ROUND($V444/$K444,2)))</f>
        <v/>
      </c>
      <c r="X444" s="17" t="inlineStr">
        <is>
          <t>采购入库</t>
        </is>
      </c>
      <c r="Y444" s="17" t="inlineStr">
        <is>
          <t>待补价</t>
        </is>
      </c>
      <c r="Z444" s="17" t="inlineStr">
        <is>
          <t>正常</t>
        </is>
      </c>
      <c r="AA444" s="17" t="n"/>
      <c r="AB444" s="17" t="inlineStr">
        <is>
          <t>原表第 450 行</t>
        </is>
      </c>
      <c r="AC444" s="24">
        <f>IF($G444="","",IF($H444="※编码不在物料档案里","※物料编码不在档案里",IF(N($K444)&lt;=0,"※入库数量要大于 0",IF(AND($C444&lt;&gt;"",$C444&lt;=结账锁),"※日期早于已结账截止日，不能再录",IF(AND($L444=0,$X444="正常"),"※没填单价，价格状态请选「待补价」",IF(AND($S444&gt;0,$R444&gt;0),"△本批有 "&amp;$S444&amp;" 行没单价，整批运费先挂账没摊",IF(AND($B444&lt;&gt;"",COUNTIF($B$4:$B$2503,$B444)&gt;1),"※入库单号重复","")))))))</f>
        <v/>
      </c>
    </row>
    <row r="445">
      <c r="A445" s="24">
        <f>IF($G445="","",COUNTA($G$4:$G445))</f>
        <v/>
      </c>
      <c r="B445" s="17" t="n"/>
      <c r="C445" s="30" t="n">
        <v>46103</v>
      </c>
      <c r="D445" s="17" t="inlineStr">
        <is>
          <t>A国内</t>
        </is>
      </c>
      <c r="E445" s="17" t="inlineStr">
        <is>
          <t>GATU8693770-202603</t>
        </is>
      </c>
      <c r="F445" s="17" t="inlineStr">
        <is>
          <t>烟台市金豪矿山机械有限公司</t>
        </is>
      </c>
      <c r="G445" s="17" t="inlineStr">
        <is>
          <t>JH0397</t>
        </is>
      </c>
      <c r="H445" s="24">
        <f>IF($G445="","",IFERROR(VLOOKUP($G445,物料档案!$A$4:$P$1203,3,0),"※编码不在物料档案里"))</f>
        <v/>
      </c>
      <c r="I445" s="24">
        <f>IF($G445="","",IFERROR(VLOOKUP($G445,物料档案!$A$4:$P$1203,4,0),"※编码不在物料档案里"))</f>
        <v/>
      </c>
      <c r="J445" s="24">
        <f>IF($G445="","",IFERROR(VLOOKUP($G445,物料档案!$A$4:$P$1203,5,0),"※编码不在物料档案里"))</f>
        <v/>
      </c>
      <c r="K445" s="23" t="n">
        <v>1</v>
      </c>
      <c r="L445" s="31" t="n"/>
      <c r="M445" s="24">
        <f>IF($G445="","",IF($D445="A国内","CNY","TZS"))</f>
        <v/>
      </c>
      <c r="N445" s="28">
        <f>IF($G445="","",IF($D445="A国内",汇率,1))</f>
        <v/>
      </c>
      <c r="O445" s="25">
        <f>IF($G445="","",ROUND(N($K445)*N($L445),2))</f>
        <v/>
      </c>
      <c r="P445" s="26">
        <f>IF($G445="","",ROUND($O445*$N445,0))</f>
        <v/>
      </c>
      <c r="Q445" s="26">
        <f>IF($G445="","",SUMIFS($P$4:$P$2503,$E$4:$E$2503,$E445,$Z$4:$Z$2503,"正常"))</f>
        <v/>
      </c>
      <c r="R445" s="26">
        <f>IF($G445="","",SUMIFS(费用台账!$I$4:$I$503,费用台账!$C$4:$C$503,$E445,费用台账!$J$4:$J$503,"是",费用台账!$K$4:$K$503,"正常"))</f>
        <v/>
      </c>
      <c r="S445" s="28">
        <f>IF($G445="","",COUNTIFS($E$4:$E$2503,$E445,$Z$4:$Z$2503,"正常",$Y$4:$Y$2503,"待补价"))</f>
        <v/>
      </c>
      <c r="T445" s="26">
        <f>IF($G445="","",SUMIFS($P$4:$P$2503,$E$4:$E$2503,$E445,$Z$4:$Z$2503,"正常",$A$4:$A$2503,"&lt;="&amp;$A445))</f>
        <v/>
      </c>
      <c r="U445" s="26">
        <f>IF($G445="","",IF(OR($S445&gt;0,$Q445=0,$R445=0,$Z445&lt;&gt;"正常"),0,ROUND($T445/$Q445*$R445,0)-ROUND(($T445-$P445)/$Q445*$R445,0)))</f>
        <v/>
      </c>
      <c r="V445" s="26">
        <f>IF($G445="","",ROUND($P445+$U445,0))</f>
        <v/>
      </c>
      <c r="W445" s="26">
        <f>IF($G445="","",IF(N($K445)=0,0,ROUND($V445/$K445,2)))</f>
        <v/>
      </c>
      <c r="X445" s="17" t="inlineStr">
        <is>
          <t>采购入库</t>
        </is>
      </c>
      <c r="Y445" s="17" t="inlineStr">
        <is>
          <t>待补价</t>
        </is>
      </c>
      <c r="Z445" s="17" t="inlineStr">
        <is>
          <t>正常</t>
        </is>
      </c>
      <c r="AA445" s="17" t="n"/>
      <c r="AB445" s="17" t="inlineStr">
        <is>
          <t>原表第 451 行</t>
        </is>
      </c>
      <c r="AC445" s="24">
        <f>IF($G445="","",IF($H445="※编码不在物料档案里","※物料编码不在档案里",IF(N($K445)&lt;=0,"※入库数量要大于 0",IF(AND($C445&lt;&gt;"",$C445&lt;=结账锁),"※日期早于已结账截止日，不能再录",IF(AND($L445=0,$X445="正常"),"※没填单价，价格状态请选「待补价」",IF(AND($S445&gt;0,$R445&gt;0),"△本批有 "&amp;$S445&amp;" 行没单价，整批运费先挂账没摊",IF(AND($B445&lt;&gt;"",COUNTIF($B$4:$B$2503,$B445)&gt;1),"※入库单号重复","")))))))</f>
        <v/>
      </c>
    </row>
    <row r="446">
      <c r="A446" s="24">
        <f>IF($G446="","",COUNTA($G$4:$G446))</f>
        <v/>
      </c>
      <c r="B446" s="17" t="n"/>
      <c r="C446" s="30" t="n">
        <v>46103</v>
      </c>
      <c r="D446" s="17" t="inlineStr">
        <is>
          <t>A国内</t>
        </is>
      </c>
      <c r="E446" s="17" t="inlineStr">
        <is>
          <t>GATU8693770-202603</t>
        </is>
      </c>
      <c r="F446" s="17" t="inlineStr">
        <is>
          <t>烟台市金豪矿山机械有限公司</t>
        </is>
      </c>
      <c r="G446" s="17" t="inlineStr">
        <is>
          <t>JH0398</t>
        </is>
      </c>
      <c r="H446" s="24">
        <f>IF($G446="","",IFERROR(VLOOKUP($G446,物料档案!$A$4:$P$1203,3,0),"※编码不在物料档案里"))</f>
        <v/>
      </c>
      <c r="I446" s="24">
        <f>IF($G446="","",IFERROR(VLOOKUP($G446,物料档案!$A$4:$P$1203,4,0),"※编码不在物料档案里"))</f>
        <v/>
      </c>
      <c r="J446" s="24">
        <f>IF($G446="","",IFERROR(VLOOKUP($G446,物料档案!$A$4:$P$1203,5,0),"※编码不在物料档案里"))</f>
        <v/>
      </c>
      <c r="K446" s="23" t="n">
        <v>1</v>
      </c>
      <c r="L446" s="31" t="n">
        <v>64000</v>
      </c>
      <c r="M446" s="24">
        <f>IF($G446="","",IF($D446="A国内","CNY","TZS"))</f>
        <v/>
      </c>
      <c r="N446" s="28">
        <f>IF($G446="","",IF($D446="A国内",汇率,1))</f>
        <v/>
      </c>
      <c r="O446" s="25">
        <f>IF($G446="","",ROUND(N($K446)*N($L446),2))</f>
        <v/>
      </c>
      <c r="P446" s="26">
        <f>IF($G446="","",ROUND($O446*$N446,0))</f>
        <v/>
      </c>
      <c r="Q446" s="26">
        <f>IF($G446="","",SUMIFS($P$4:$P$2503,$E$4:$E$2503,$E446,$Z$4:$Z$2503,"正常"))</f>
        <v/>
      </c>
      <c r="R446" s="26">
        <f>IF($G446="","",SUMIFS(费用台账!$I$4:$I$503,费用台账!$C$4:$C$503,$E446,费用台账!$J$4:$J$503,"是",费用台账!$K$4:$K$503,"正常"))</f>
        <v/>
      </c>
      <c r="S446" s="28">
        <f>IF($G446="","",COUNTIFS($E$4:$E$2503,$E446,$Z$4:$Z$2503,"正常",$Y$4:$Y$2503,"待补价"))</f>
        <v/>
      </c>
      <c r="T446" s="26">
        <f>IF($G446="","",SUMIFS($P$4:$P$2503,$E$4:$E$2503,$E446,$Z$4:$Z$2503,"正常",$A$4:$A$2503,"&lt;="&amp;$A446))</f>
        <v/>
      </c>
      <c r="U446" s="26">
        <f>IF($G446="","",IF(OR($S446&gt;0,$Q446=0,$R446=0,$Z446&lt;&gt;"正常"),0,ROUND($T446/$Q446*$R446,0)-ROUND(($T446-$P446)/$Q446*$R446,0)))</f>
        <v/>
      </c>
      <c r="V446" s="26">
        <f>IF($G446="","",ROUND($P446+$U446,0))</f>
        <v/>
      </c>
      <c r="W446" s="26">
        <f>IF($G446="","",IF(N($K446)=0,0,ROUND($V446/$K446,2)))</f>
        <v/>
      </c>
      <c r="X446" s="17" t="inlineStr">
        <is>
          <t>采购入库</t>
        </is>
      </c>
      <c r="Y446" s="17" t="inlineStr">
        <is>
          <t>正常</t>
        </is>
      </c>
      <c r="Z446" s="17" t="inlineStr">
        <is>
          <t>正常</t>
        </is>
      </c>
      <c r="AA446" s="17" t="n"/>
      <c r="AB446" s="17" t="inlineStr">
        <is>
          <t>原表第 452 行</t>
        </is>
      </c>
      <c r="AC446" s="24">
        <f>IF($G446="","",IF($H446="※编码不在物料档案里","※物料编码不在档案里",IF(N($K446)&lt;=0,"※入库数量要大于 0",IF(AND($C446&lt;&gt;"",$C446&lt;=结账锁),"※日期早于已结账截止日，不能再录",IF(AND($L446=0,$X446="正常"),"※没填单价，价格状态请选「待补价」",IF(AND($S446&gt;0,$R446&gt;0),"△本批有 "&amp;$S446&amp;" 行没单价，整批运费先挂账没摊",IF(AND($B446&lt;&gt;"",COUNTIF($B$4:$B$2503,$B446)&gt;1),"※入库单号重复","")))))))</f>
        <v/>
      </c>
    </row>
    <row r="447">
      <c r="A447" s="24">
        <f>IF($G447="","",COUNTA($G$4:$G447))</f>
        <v/>
      </c>
      <c r="B447" s="17" t="n"/>
      <c r="C447" s="30" t="n">
        <v>46103</v>
      </c>
      <c r="D447" s="17" t="inlineStr">
        <is>
          <t>A国内</t>
        </is>
      </c>
      <c r="E447" s="17" t="inlineStr">
        <is>
          <t>GATU8693770-202603</t>
        </is>
      </c>
      <c r="F447" s="17" t="inlineStr">
        <is>
          <t>烟台市金豪矿山机械有限公司</t>
        </is>
      </c>
      <c r="G447" s="17" t="inlineStr">
        <is>
          <t>JH0392</t>
        </is>
      </c>
      <c r="H447" s="24">
        <f>IF($G447="","",IFERROR(VLOOKUP($G447,物料档案!$A$4:$P$1203,3,0),"※编码不在物料档案里"))</f>
        <v/>
      </c>
      <c r="I447" s="24">
        <f>IF($G447="","",IFERROR(VLOOKUP($G447,物料档案!$A$4:$P$1203,4,0),"※编码不在物料档案里"))</f>
        <v/>
      </c>
      <c r="J447" s="24">
        <f>IF($G447="","",IFERROR(VLOOKUP($G447,物料档案!$A$4:$P$1203,5,0),"※编码不在物料档案里"))</f>
        <v/>
      </c>
      <c r="K447" s="23" t="n">
        <v>1</v>
      </c>
      <c r="L447" s="31" t="n"/>
      <c r="M447" s="24">
        <f>IF($G447="","",IF($D447="A国内","CNY","TZS"))</f>
        <v/>
      </c>
      <c r="N447" s="28">
        <f>IF($G447="","",IF($D447="A国内",汇率,1))</f>
        <v/>
      </c>
      <c r="O447" s="25">
        <f>IF($G447="","",ROUND(N($K447)*N($L447),2))</f>
        <v/>
      </c>
      <c r="P447" s="26">
        <f>IF($G447="","",ROUND($O447*$N447,0))</f>
        <v/>
      </c>
      <c r="Q447" s="26">
        <f>IF($G447="","",SUMIFS($P$4:$P$2503,$E$4:$E$2503,$E447,$Z$4:$Z$2503,"正常"))</f>
        <v/>
      </c>
      <c r="R447" s="26">
        <f>IF($G447="","",SUMIFS(费用台账!$I$4:$I$503,费用台账!$C$4:$C$503,$E447,费用台账!$J$4:$J$503,"是",费用台账!$K$4:$K$503,"正常"))</f>
        <v/>
      </c>
      <c r="S447" s="28">
        <f>IF($G447="","",COUNTIFS($E$4:$E$2503,$E447,$Z$4:$Z$2503,"正常",$Y$4:$Y$2503,"待补价"))</f>
        <v/>
      </c>
      <c r="T447" s="26">
        <f>IF($G447="","",SUMIFS($P$4:$P$2503,$E$4:$E$2503,$E447,$Z$4:$Z$2503,"正常",$A$4:$A$2503,"&lt;="&amp;$A447))</f>
        <v/>
      </c>
      <c r="U447" s="26">
        <f>IF($G447="","",IF(OR($S447&gt;0,$Q447=0,$R447=0,$Z447&lt;&gt;"正常"),0,ROUND($T447/$Q447*$R447,0)-ROUND(($T447-$P447)/$Q447*$R447,0)))</f>
        <v/>
      </c>
      <c r="V447" s="26">
        <f>IF($G447="","",ROUND($P447+$U447,0))</f>
        <v/>
      </c>
      <c r="W447" s="26">
        <f>IF($G447="","",IF(N($K447)=0,0,ROUND($V447/$K447,2)))</f>
        <v/>
      </c>
      <c r="X447" s="17" t="inlineStr">
        <is>
          <t>采购入库</t>
        </is>
      </c>
      <c r="Y447" s="17" t="inlineStr">
        <is>
          <t>待补价</t>
        </is>
      </c>
      <c r="Z447" s="17" t="inlineStr">
        <is>
          <t>正常</t>
        </is>
      </c>
      <c r="AA447" s="17" t="n"/>
      <c r="AB447" s="17" t="inlineStr">
        <is>
          <t>原表第 453 行</t>
        </is>
      </c>
      <c r="AC447" s="24">
        <f>IF($G447="","",IF($H447="※编码不在物料档案里","※物料编码不在档案里",IF(N($K447)&lt;=0,"※入库数量要大于 0",IF(AND($C447&lt;&gt;"",$C447&lt;=结账锁),"※日期早于已结账截止日，不能再录",IF(AND($L447=0,$X447="正常"),"※没填单价，价格状态请选「待补价」",IF(AND($S447&gt;0,$R447&gt;0),"△本批有 "&amp;$S447&amp;" 行没单价，整批运费先挂账没摊",IF(AND($B447&lt;&gt;"",COUNTIF($B$4:$B$2503,$B447)&gt;1),"※入库单号重复","")))))))</f>
        <v/>
      </c>
    </row>
    <row r="448">
      <c r="A448" s="24">
        <f>IF($G448="","",COUNTA($G$4:$G448))</f>
        <v/>
      </c>
      <c r="B448" s="17" t="n"/>
      <c r="C448" s="30" t="n">
        <v>46103</v>
      </c>
      <c r="D448" s="17" t="inlineStr">
        <is>
          <t>A国内</t>
        </is>
      </c>
      <c r="E448" s="17" t="inlineStr">
        <is>
          <t>GATU8693770-202603</t>
        </is>
      </c>
      <c r="F448" s="17" t="inlineStr">
        <is>
          <t>烟台市金豪矿山机械有限公司</t>
        </is>
      </c>
      <c r="G448" s="17" t="inlineStr">
        <is>
          <t>JH0393</t>
        </is>
      </c>
      <c r="H448" s="24">
        <f>IF($G448="","",IFERROR(VLOOKUP($G448,物料档案!$A$4:$P$1203,3,0),"※编码不在物料档案里"))</f>
        <v/>
      </c>
      <c r="I448" s="24">
        <f>IF($G448="","",IFERROR(VLOOKUP($G448,物料档案!$A$4:$P$1203,4,0),"※编码不在物料档案里"))</f>
        <v/>
      </c>
      <c r="J448" s="24">
        <f>IF($G448="","",IFERROR(VLOOKUP($G448,物料档案!$A$4:$P$1203,5,0),"※编码不在物料档案里"))</f>
        <v/>
      </c>
      <c r="K448" s="23" t="n">
        <v>2</v>
      </c>
      <c r="L448" s="31" t="n"/>
      <c r="M448" s="24">
        <f>IF($G448="","",IF($D448="A国内","CNY","TZS"))</f>
        <v/>
      </c>
      <c r="N448" s="28">
        <f>IF($G448="","",IF($D448="A国内",汇率,1))</f>
        <v/>
      </c>
      <c r="O448" s="25">
        <f>IF($G448="","",ROUND(N($K448)*N($L448),2))</f>
        <v/>
      </c>
      <c r="P448" s="26">
        <f>IF($G448="","",ROUND($O448*$N448,0))</f>
        <v/>
      </c>
      <c r="Q448" s="26">
        <f>IF($G448="","",SUMIFS($P$4:$P$2503,$E$4:$E$2503,$E448,$Z$4:$Z$2503,"正常"))</f>
        <v/>
      </c>
      <c r="R448" s="26">
        <f>IF($G448="","",SUMIFS(费用台账!$I$4:$I$503,费用台账!$C$4:$C$503,$E448,费用台账!$J$4:$J$503,"是",费用台账!$K$4:$K$503,"正常"))</f>
        <v/>
      </c>
      <c r="S448" s="28">
        <f>IF($G448="","",COUNTIFS($E$4:$E$2503,$E448,$Z$4:$Z$2503,"正常",$Y$4:$Y$2503,"待补价"))</f>
        <v/>
      </c>
      <c r="T448" s="26">
        <f>IF($G448="","",SUMIFS($P$4:$P$2503,$E$4:$E$2503,$E448,$Z$4:$Z$2503,"正常",$A$4:$A$2503,"&lt;="&amp;$A448))</f>
        <v/>
      </c>
      <c r="U448" s="26">
        <f>IF($G448="","",IF(OR($S448&gt;0,$Q448=0,$R448=0,$Z448&lt;&gt;"正常"),0,ROUND($T448/$Q448*$R448,0)-ROUND(($T448-$P448)/$Q448*$R448,0)))</f>
        <v/>
      </c>
      <c r="V448" s="26">
        <f>IF($G448="","",ROUND($P448+$U448,0))</f>
        <v/>
      </c>
      <c r="W448" s="26">
        <f>IF($G448="","",IF(N($K448)=0,0,ROUND($V448/$K448,2)))</f>
        <v/>
      </c>
      <c r="X448" s="17" t="inlineStr">
        <is>
          <t>采购入库</t>
        </is>
      </c>
      <c r="Y448" s="17" t="inlineStr">
        <is>
          <t>待补价</t>
        </is>
      </c>
      <c r="Z448" s="17" t="inlineStr">
        <is>
          <t>正常</t>
        </is>
      </c>
      <c r="AA448" s="17" t="n"/>
      <c r="AB448" s="17" t="inlineStr">
        <is>
          <t>原表第 454 行</t>
        </is>
      </c>
      <c r="AC448" s="24">
        <f>IF($G448="","",IF($H448="※编码不在物料档案里","※物料编码不在档案里",IF(N($K448)&lt;=0,"※入库数量要大于 0",IF(AND($C448&lt;&gt;"",$C448&lt;=结账锁),"※日期早于已结账截止日，不能再录",IF(AND($L448=0,$X448="正常"),"※没填单价，价格状态请选「待补价」",IF(AND($S448&gt;0,$R448&gt;0),"△本批有 "&amp;$S448&amp;" 行没单价，整批运费先挂账没摊",IF(AND($B448&lt;&gt;"",COUNTIF($B$4:$B$2503,$B448)&gt;1),"※入库单号重复","")))))))</f>
        <v/>
      </c>
    </row>
    <row r="449">
      <c r="A449" s="24">
        <f>IF($G449="","",COUNTA($G$4:$G449))</f>
        <v/>
      </c>
      <c r="B449" s="17" t="n"/>
      <c r="C449" s="30" t="n">
        <v>46103</v>
      </c>
      <c r="D449" s="17" t="inlineStr">
        <is>
          <t>A国内</t>
        </is>
      </c>
      <c r="E449" s="17" t="inlineStr">
        <is>
          <t>GATU8693770-202603</t>
        </is>
      </c>
      <c r="F449" s="17" t="inlineStr">
        <is>
          <t>烟台市金豪矿山机械有限公司</t>
        </is>
      </c>
      <c r="G449" s="17" t="inlineStr">
        <is>
          <t>JH0399</t>
        </is>
      </c>
      <c r="H449" s="24">
        <f>IF($G449="","",IFERROR(VLOOKUP($G449,物料档案!$A$4:$P$1203,3,0),"※编码不在物料档案里"))</f>
        <v/>
      </c>
      <c r="I449" s="24">
        <f>IF($G449="","",IFERROR(VLOOKUP($G449,物料档案!$A$4:$P$1203,4,0),"※编码不在物料档案里"))</f>
        <v/>
      </c>
      <c r="J449" s="24">
        <f>IF($G449="","",IFERROR(VLOOKUP($G449,物料档案!$A$4:$P$1203,5,0),"※编码不在物料档案里"))</f>
        <v/>
      </c>
      <c r="K449" s="23" t="n">
        <v>5</v>
      </c>
      <c r="L449" s="31" t="n"/>
      <c r="M449" s="24">
        <f>IF($G449="","",IF($D449="A国内","CNY","TZS"))</f>
        <v/>
      </c>
      <c r="N449" s="28">
        <f>IF($G449="","",IF($D449="A国内",汇率,1))</f>
        <v/>
      </c>
      <c r="O449" s="25">
        <f>IF($G449="","",ROUND(N($K449)*N($L449),2))</f>
        <v/>
      </c>
      <c r="P449" s="26">
        <f>IF($G449="","",ROUND($O449*$N449,0))</f>
        <v/>
      </c>
      <c r="Q449" s="26">
        <f>IF($G449="","",SUMIFS($P$4:$P$2503,$E$4:$E$2503,$E449,$Z$4:$Z$2503,"正常"))</f>
        <v/>
      </c>
      <c r="R449" s="26">
        <f>IF($G449="","",SUMIFS(费用台账!$I$4:$I$503,费用台账!$C$4:$C$503,$E449,费用台账!$J$4:$J$503,"是",费用台账!$K$4:$K$503,"正常"))</f>
        <v/>
      </c>
      <c r="S449" s="28">
        <f>IF($G449="","",COUNTIFS($E$4:$E$2503,$E449,$Z$4:$Z$2503,"正常",$Y$4:$Y$2503,"待补价"))</f>
        <v/>
      </c>
      <c r="T449" s="26">
        <f>IF($G449="","",SUMIFS($P$4:$P$2503,$E$4:$E$2503,$E449,$Z$4:$Z$2503,"正常",$A$4:$A$2503,"&lt;="&amp;$A449))</f>
        <v/>
      </c>
      <c r="U449" s="26">
        <f>IF($G449="","",IF(OR($S449&gt;0,$Q449=0,$R449=0,$Z449&lt;&gt;"正常"),0,ROUND($T449/$Q449*$R449,0)-ROUND(($T449-$P449)/$Q449*$R449,0)))</f>
        <v/>
      </c>
      <c r="V449" s="26">
        <f>IF($G449="","",ROUND($P449+$U449,0))</f>
        <v/>
      </c>
      <c r="W449" s="26">
        <f>IF($G449="","",IF(N($K449)=0,0,ROUND($V449/$K449,2)))</f>
        <v/>
      </c>
      <c r="X449" s="17" t="inlineStr">
        <is>
          <t>采购入库</t>
        </is>
      </c>
      <c r="Y449" s="17" t="inlineStr">
        <is>
          <t>待补价</t>
        </is>
      </c>
      <c r="Z449" s="17" t="inlineStr">
        <is>
          <t>正常</t>
        </is>
      </c>
      <c r="AA449" s="17" t="n"/>
      <c r="AB449" s="17" t="inlineStr">
        <is>
          <t>原表第 455 行</t>
        </is>
      </c>
      <c r="AC449" s="24">
        <f>IF($G449="","",IF($H449="※编码不在物料档案里","※物料编码不在档案里",IF(N($K449)&lt;=0,"※入库数量要大于 0",IF(AND($C449&lt;&gt;"",$C449&lt;=结账锁),"※日期早于已结账截止日，不能再录",IF(AND($L449=0,$X449="正常"),"※没填单价，价格状态请选「待补价」",IF(AND($S449&gt;0,$R449&gt;0),"△本批有 "&amp;$S449&amp;" 行没单价，整批运费先挂账没摊",IF(AND($B449&lt;&gt;"",COUNTIF($B$4:$B$2503,$B449)&gt;1),"※入库单号重复","")))))))</f>
        <v/>
      </c>
    </row>
    <row r="450">
      <c r="A450" s="24">
        <f>IF($G450="","",COUNTA($G$4:$G450))</f>
        <v/>
      </c>
      <c r="B450" s="17" t="n"/>
      <c r="C450" s="30" t="n">
        <v>46103</v>
      </c>
      <c r="D450" s="17" t="inlineStr">
        <is>
          <t>A国内</t>
        </is>
      </c>
      <c r="E450" s="17" t="inlineStr">
        <is>
          <t>GATU8693770-202603</t>
        </is>
      </c>
      <c r="F450" s="17" t="inlineStr">
        <is>
          <t>烟台市金豪矿山机械有限公司</t>
        </is>
      </c>
      <c r="G450" s="17" t="inlineStr">
        <is>
          <t>JH0395</t>
        </is>
      </c>
      <c r="H450" s="24">
        <f>IF($G450="","",IFERROR(VLOOKUP($G450,物料档案!$A$4:$P$1203,3,0),"※编码不在物料档案里"))</f>
        <v/>
      </c>
      <c r="I450" s="24">
        <f>IF($G450="","",IFERROR(VLOOKUP($G450,物料档案!$A$4:$P$1203,4,0),"※编码不在物料档案里"))</f>
        <v/>
      </c>
      <c r="J450" s="24">
        <f>IF($G450="","",IFERROR(VLOOKUP($G450,物料档案!$A$4:$P$1203,5,0),"※编码不在物料档案里"))</f>
        <v/>
      </c>
      <c r="K450" s="23" t="n">
        <v>6</v>
      </c>
      <c r="L450" s="31" t="n"/>
      <c r="M450" s="24">
        <f>IF($G450="","",IF($D450="A国内","CNY","TZS"))</f>
        <v/>
      </c>
      <c r="N450" s="28">
        <f>IF($G450="","",IF($D450="A国内",汇率,1))</f>
        <v/>
      </c>
      <c r="O450" s="25">
        <f>IF($G450="","",ROUND(N($K450)*N($L450),2))</f>
        <v/>
      </c>
      <c r="P450" s="26">
        <f>IF($G450="","",ROUND($O450*$N450,0))</f>
        <v/>
      </c>
      <c r="Q450" s="26">
        <f>IF($G450="","",SUMIFS($P$4:$P$2503,$E$4:$E$2503,$E450,$Z$4:$Z$2503,"正常"))</f>
        <v/>
      </c>
      <c r="R450" s="26">
        <f>IF($G450="","",SUMIFS(费用台账!$I$4:$I$503,费用台账!$C$4:$C$503,$E450,费用台账!$J$4:$J$503,"是",费用台账!$K$4:$K$503,"正常"))</f>
        <v/>
      </c>
      <c r="S450" s="28">
        <f>IF($G450="","",COUNTIFS($E$4:$E$2503,$E450,$Z$4:$Z$2503,"正常",$Y$4:$Y$2503,"待补价"))</f>
        <v/>
      </c>
      <c r="T450" s="26">
        <f>IF($G450="","",SUMIFS($P$4:$P$2503,$E$4:$E$2503,$E450,$Z$4:$Z$2503,"正常",$A$4:$A$2503,"&lt;="&amp;$A450))</f>
        <v/>
      </c>
      <c r="U450" s="26">
        <f>IF($G450="","",IF(OR($S450&gt;0,$Q450=0,$R450=0,$Z450&lt;&gt;"正常"),0,ROUND($T450/$Q450*$R450,0)-ROUND(($T450-$P450)/$Q450*$R450,0)))</f>
        <v/>
      </c>
      <c r="V450" s="26">
        <f>IF($G450="","",ROUND($P450+$U450,0))</f>
        <v/>
      </c>
      <c r="W450" s="26">
        <f>IF($G450="","",IF(N($K450)=0,0,ROUND($V450/$K450,2)))</f>
        <v/>
      </c>
      <c r="X450" s="17" t="inlineStr">
        <is>
          <t>采购入库</t>
        </is>
      </c>
      <c r="Y450" s="17" t="inlineStr">
        <is>
          <t>待补价</t>
        </is>
      </c>
      <c r="Z450" s="17" t="inlineStr">
        <is>
          <t>正常</t>
        </is>
      </c>
      <c r="AA450" s="17" t="n"/>
      <c r="AB450" s="17" t="inlineStr">
        <is>
          <t>原表第 456 行</t>
        </is>
      </c>
      <c r="AC450" s="24">
        <f>IF($G450="","",IF($H450="※编码不在物料档案里","※物料编码不在档案里",IF(N($K450)&lt;=0,"※入库数量要大于 0",IF(AND($C450&lt;&gt;"",$C450&lt;=结账锁),"※日期早于已结账截止日，不能再录",IF(AND($L450=0,$X450="正常"),"※没填单价，价格状态请选「待补价」",IF(AND($S450&gt;0,$R450&gt;0),"△本批有 "&amp;$S450&amp;" 行没单价，整批运费先挂账没摊",IF(AND($B450&lt;&gt;"",COUNTIF($B$4:$B$2503,$B450)&gt;1),"※入库单号重复","")))))))</f>
        <v/>
      </c>
    </row>
    <row r="451">
      <c r="A451" s="24">
        <f>IF($G451="","",COUNTA($G$4:$G451))</f>
        <v/>
      </c>
      <c r="B451" s="17" t="n"/>
      <c r="C451" s="30" t="n">
        <v>46103</v>
      </c>
      <c r="D451" s="17" t="inlineStr">
        <is>
          <t>A国内</t>
        </is>
      </c>
      <c r="E451" s="17" t="inlineStr">
        <is>
          <t>GATU8693770-202603</t>
        </is>
      </c>
      <c r="F451" s="17" t="inlineStr">
        <is>
          <t>烟台市金豪矿山机械有限公司</t>
        </is>
      </c>
      <c r="G451" s="17" t="inlineStr">
        <is>
          <t>JH0396</t>
        </is>
      </c>
      <c r="H451" s="24">
        <f>IF($G451="","",IFERROR(VLOOKUP($G451,物料档案!$A$4:$P$1203,3,0),"※编码不在物料档案里"))</f>
        <v/>
      </c>
      <c r="I451" s="24">
        <f>IF($G451="","",IFERROR(VLOOKUP($G451,物料档案!$A$4:$P$1203,4,0),"※编码不在物料档案里"))</f>
        <v/>
      </c>
      <c r="J451" s="24">
        <f>IF($G451="","",IFERROR(VLOOKUP($G451,物料档案!$A$4:$P$1203,5,0),"※编码不在物料档案里"))</f>
        <v/>
      </c>
      <c r="K451" s="23" t="n">
        <v>4</v>
      </c>
      <c r="L451" s="31" t="n"/>
      <c r="M451" s="24">
        <f>IF($G451="","",IF($D451="A国内","CNY","TZS"))</f>
        <v/>
      </c>
      <c r="N451" s="28">
        <f>IF($G451="","",IF($D451="A国内",汇率,1))</f>
        <v/>
      </c>
      <c r="O451" s="25">
        <f>IF($G451="","",ROUND(N($K451)*N($L451),2))</f>
        <v/>
      </c>
      <c r="P451" s="26">
        <f>IF($G451="","",ROUND($O451*$N451,0))</f>
        <v/>
      </c>
      <c r="Q451" s="26">
        <f>IF($G451="","",SUMIFS($P$4:$P$2503,$E$4:$E$2503,$E451,$Z$4:$Z$2503,"正常"))</f>
        <v/>
      </c>
      <c r="R451" s="26">
        <f>IF($G451="","",SUMIFS(费用台账!$I$4:$I$503,费用台账!$C$4:$C$503,$E451,费用台账!$J$4:$J$503,"是",费用台账!$K$4:$K$503,"正常"))</f>
        <v/>
      </c>
      <c r="S451" s="28">
        <f>IF($G451="","",COUNTIFS($E$4:$E$2503,$E451,$Z$4:$Z$2503,"正常",$Y$4:$Y$2503,"待补价"))</f>
        <v/>
      </c>
      <c r="T451" s="26">
        <f>IF($G451="","",SUMIFS($P$4:$P$2503,$E$4:$E$2503,$E451,$Z$4:$Z$2503,"正常",$A$4:$A$2503,"&lt;="&amp;$A451))</f>
        <v/>
      </c>
      <c r="U451" s="26">
        <f>IF($G451="","",IF(OR($S451&gt;0,$Q451=0,$R451=0,$Z451&lt;&gt;"正常"),0,ROUND($T451/$Q451*$R451,0)-ROUND(($T451-$P451)/$Q451*$R451,0)))</f>
        <v/>
      </c>
      <c r="V451" s="26">
        <f>IF($G451="","",ROUND($P451+$U451,0))</f>
        <v/>
      </c>
      <c r="W451" s="26">
        <f>IF($G451="","",IF(N($K451)=0,0,ROUND($V451/$K451,2)))</f>
        <v/>
      </c>
      <c r="X451" s="17" t="inlineStr">
        <is>
          <t>采购入库</t>
        </is>
      </c>
      <c r="Y451" s="17" t="inlineStr">
        <is>
          <t>待补价</t>
        </is>
      </c>
      <c r="Z451" s="17" t="inlineStr">
        <is>
          <t>正常</t>
        </is>
      </c>
      <c r="AA451" s="17" t="n"/>
      <c r="AB451" s="17" t="inlineStr">
        <is>
          <t>原表第 457 行</t>
        </is>
      </c>
      <c r="AC451" s="24">
        <f>IF($G451="","",IF($H451="※编码不在物料档案里","※物料编码不在档案里",IF(N($K451)&lt;=0,"※入库数量要大于 0",IF(AND($C451&lt;&gt;"",$C451&lt;=结账锁),"※日期早于已结账截止日，不能再录",IF(AND($L451=0,$X451="正常"),"※没填单价，价格状态请选「待补价」",IF(AND($S451&gt;0,$R451&gt;0),"△本批有 "&amp;$S451&amp;" 行没单价，整批运费先挂账没摊",IF(AND($B451&lt;&gt;"",COUNTIF($B$4:$B$2503,$B451)&gt;1),"※入库单号重复","")))))))</f>
        <v/>
      </c>
    </row>
    <row r="452">
      <c r="A452" s="24">
        <f>IF($G452="","",COUNTA($G$4:$G452))</f>
        <v/>
      </c>
      <c r="B452" s="17" t="n"/>
      <c r="C452" s="30" t="n">
        <v>46103</v>
      </c>
      <c r="D452" s="17" t="inlineStr">
        <is>
          <t>A国内</t>
        </is>
      </c>
      <c r="E452" s="17" t="inlineStr">
        <is>
          <t>GATU8693770-202603</t>
        </is>
      </c>
      <c r="F452" s="17" t="inlineStr">
        <is>
          <t>烟台市金豪矿山机械有限公司</t>
        </is>
      </c>
      <c r="G452" s="17" t="inlineStr">
        <is>
          <t>JH0397</t>
        </is>
      </c>
      <c r="H452" s="24">
        <f>IF($G452="","",IFERROR(VLOOKUP($G452,物料档案!$A$4:$P$1203,3,0),"※编码不在物料档案里"))</f>
        <v/>
      </c>
      <c r="I452" s="24">
        <f>IF($G452="","",IFERROR(VLOOKUP($G452,物料档案!$A$4:$P$1203,4,0),"※编码不在物料档案里"))</f>
        <v/>
      </c>
      <c r="J452" s="24">
        <f>IF($G452="","",IFERROR(VLOOKUP($G452,物料档案!$A$4:$P$1203,5,0),"※编码不在物料档案里"))</f>
        <v/>
      </c>
      <c r="K452" s="23" t="n">
        <v>1</v>
      </c>
      <c r="L452" s="31" t="n"/>
      <c r="M452" s="24">
        <f>IF($G452="","",IF($D452="A国内","CNY","TZS"))</f>
        <v/>
      </c>
      <c r="N452" s="28">
        <f>IF($G452="","",IF($D452="A国内",汇率,1))</f>
        <v/>
      </c>
      <c r="O452" s="25">
        <f>IF($G452="","",ROUND(N($K452)*N($L452),2))</f>
        <v/>
      </c>
      <c r="P452" s="26">
        <f>IF($G452="","",ROUND($O452*$N452,0))</f>
        <v/>
      </c>
      <c r="Q452" s="26">
        <f>IF($G452="","",SUMIFS($P$4:$P$2503,$E$4:$E$2503,$E452,$Z$4:$Z$2503,"正常"))</f>
        <v/>
      </c>
      <c r="R452" s="26">
        <f>IF($G452="","",SUMIFS(费用台账!$I$4:$I$503,费用台账!$C$4:$C$503,$E452,费用台账!$J$4:$J$503,"是",费用台账!$K$4:$K$503,"正常"))</f>
        <v/>
      </c>
      <c r="S452" s="28">
        <f>IF($G452="","",COUNTIFS($E$4:$E$2503,$E452,$Z$4:$Z$2503,"正常",$Y$4:$Y$2503,"待补价"))</f>
        <v/>
      </c>
      <c r="T452" s="26">
        <f>IF($G452="","",SUMIFS($P$4:$P$2503,$E$4:$E$2503,$E452,$Z$4:$Z$2503,"正常",$A$4:$A$2503,"&lt;="&amp;$A452))</f>
        <v/>
      </c>
      <c r="U452" s="26">
        <f>IF($G452="","",IF(OR($S452&gt;0,$Q452=0,$R452=0,$Z452&lt;&gt;"正常"),0,ROUND($T452/$Q452*$R452,0)-ROUND(($T452-$P452)/$Q452*$R452,0)))</f>
        <v/>
      </c>
      <c r="V452" s="26">
        <f>IF($G452="","",ROUND($P452+$U452,0))</f>
        <v/>
      </c>
      <c r="W452" s="26">
        <f>IF($G452="","",IF(N($K452)=0,0,ROUND($V452/$K452,2)))</f>
        <v/>
      </c>
      <c r="X452" s="17" t="inlineStr">
        <is>
          <t>采购入库</t>
        </is>
      </c>
      <c r="Y452" s="17" t="inlineStr">
        <is>
          <t>待补价</t>
        </is>
      </c>
      <c r="Z452" s="17" t="inlineStr">
        <is>
          <t>正常</t>
        </is>
      </c>
      <c r="AA452" s="17" t="n"/>
      <c r="AB452" s="17" t="inlineStr">
        <is>
          <t>原表第 458 行</t>
        </is>
      </c>
      <c r="AC452" s="24">
        <f>IF($G452="","",IF($H452="※编码不在物料档案里","※物料编码不在档案里",IF(N($K452)&lt;=0,"※入库数量要大于 0",IF(AND($C452&lt;&gt;"",$C452&lt;=结账锁),"※日期早于已结账截止日，不能再录",IF(AND($L452=0,$X452="正常"),"※没填单价，价格状态请选「待补价」",IF(AND($S452&gt;0,$R452&gt;0),"△本批有 "&amp;$S452&amp;" 行没单价，整批运费先挂账没摊",IF(AND($B452&lt;&gt;"",COUNTIF($B$4:$B$2503,$B452)&gt;1),"※入库单号重复","")))))))</f>
        <v/>
      </c>
    </row>
    <row r="453">
      <c r="A453" s="24">
        <f>IF($G453="","",COUNTA($G$4:$G453))</f>
        <v/>
      </c>
      <c r="B453" s="17" t="n"/>
      <c r="C453" s="30" t="n">
        <v>46103</v>
      </c>
      <c r="D453" s="17" t="inlineStr">
        <is>
          <t>A国内</t>
        </is>
      </c>
      <c r="E453" s="17" t="inlineStr">
        <is>
          <t>GATU8693770-202603</t>
        </is>
      </c>
      <c r="F453" s="17" t="inlineStr">
        <is>
          <t>烟台市金豪矿山机械有限公司</t>
        </is>
      </c>
      <c r="G453" s="17" t="inlineStr">
        <is>
          <t>JH0400</t>
        </is>
      </c>
      <c r="H453" s="24">
        <f>IF($G453="","",IFERROR(VLOOKUP($G453,物料档案!$A$4:$P$1203,3,0),"※编码不在物料档案里"))</f>
        <v/>
      </c>
      <c r="I453" s="24">
        <f>IF($G453="","",IFERROR(VLOOKUP($G453,物料档案!$A$4:$P$1203,4,0),"※编码不在物料档案里"))</f>
        <v/>
      </c>
      <c r="J453" s="24">
        <f>IF($G453="","",IFERROR(VLOOKUP($G453,物料档案!$A$4:$P$1203,5,0),"※编码不在物料档案里"))</f>
        <v/>
      </c>
      <c r="K453" s="23" t="n">
        <v>10</v>
      </c>
      <c r="L453" s="31" t="n"/>
      <c r="M453" s="24">
        <f>IF($G453="","",IF($D453="A国内","CNY","TZS"))</f>
        <v/>
      </c>
      <c r="N453" s="28">
        <f>IF($G453="","",IF($D453="A国内",汇率,1))</f>
        <v/>
      </c>
      <c r="O453" s="25">
        <f>IF($G453="","",ROUND(N($K453)*N($L453),2))</f>
        <v/>
      </c>
      <c r="P453" s="26">
        <f>IF($G453="","",ROUND($O453*$N453,0))</f>
        <v/>
      </c>
      <c r="Q453" s="26">
        <f>IF($G453="","",SUMIFS($P$4:$P$2503,$E$4:$E$2503,$E453,$Z$4:$Z$2503,"正常"))</f>
        <v/>
      </c>
      <c r="R453" s="26">
        <f>IF($G453="","",SUMIFS(费用台账!$I$4:$I$503,费用台账!$C$4:$C$503,$E453,费用台账!$J$4:$J$503,"是",费用台账!$K$4:$K$503,"正常"))</f>
        <v/>
      </c>
      <c r="S453" s="28">
        <f>IF($G453="","",COUNTIFS($E$4:$E$2503,$E453,$Z$4:$Z$2503,"正常",$Y$4:$Y$2503,"待补价"))</f>
        <v/>
      </c>
      <c r="T453" s="26">
        <f>IF($G453="","",SUMIFS($P$4:$P$2503,$E$4:$E$2503,$E453,$Z$4:$Z$2503,"正常",$A$4:$A$2503,"&lt;="&amp;$A453))</f>
        <v/>
      </c>
      <c r="U453" s="26">
        <f>IF($G453="","",IF(OR($S453&gt;0,$Q453=0,$R453=0,$Z453&lt;&gt;"正常"),0,ROUND($T453/$Q453*$R453,0)-ROUND(($T453-$P453)/$Q453*$R453,0)))</f>
        <v/>
      </c>
      <c r="V453" s="26">
        <f>IF($G453="","",ROUND($P453+$U453,0))</f>
        <v/>
      </c>
      <c r="W453" s="26">
        <f>IF($G453="","",IF(N($K453)=0,0,ROUND($V453/$K453,2)))</f>
        <v/>
      </c>
      <c r="X453" s="17" t="inlineStr">
        <is>
          <t>采购入库</t>
        </is>
      </c>
      <c r="Y453" s="17" t="inlineStr">
        <is>
          <t>待补价</t>
        </is>
      </c>
      <c r="Z453" s="17" t="inlineStr">
        <is>
          <t>正常</t>
        </is>
      </c>
      <c r="AA453" s="17" t="n"/>
      <c r="AB453" s="17" t="inlineStr">
        <is>
          <t>原表第 459 行</t>
        </is>
      </c>
      <c r="AC453" s="24">
        <f>IF($G453="","",IF($H453="※编码不在物料档案里","※物料编码不在档案里",IF(N($K453)&lt;=0,"※入库数量要大于 0",IF(AND($C453&lt;&gt;"",$C453&lt;=结账锁),"※日期早于已结账截止日，不能再录",IF(AND($L453=0,$X453="正常"),"※没填单价，价格状态请选「待补价」",IF(AND($S453&gt;0,$R453&gt;0),"△本批有 "&amp;$S453&amp;" 行没单价，整批运费先挂账没摊",IF(AND($B453&lt;&gt;"",COUNTIF($B$4:$B$2503,$B453)&gt;1),"※入库单号重复","")))))))</f>
        <v/>
      </c>
    </row>
    <row r="454">
      <c r="A454" s="24">
        <f>IF($G454="","",COUNTA($G$4:$G454))</f>
        <v/>
      </c>
      <c r="B454" s="17" t="n"/>
      <c r="C454" s="30" t="n">
        <v>46103</v>
      </c>
      <c r="D454" s="17" t="inlineStr">
        <is>
          <t>A国内</t>
        </is>
      </c>
      <c r="E454" s="17" t="inlineStr">
        <is>
          <t>GATU8693770-202603</t>
        </is>
      </c>
      <c r="F454" s="17" t="inlineStr">
        <is>
          <t>烟台市金豪矿山机械有限公司</t>
        </is>
      </c>
      <c r="G454" s="17" t="inlineStr">
        <is>
          <t>JH0401</t>
        </is>
      </c>
      <c r="H454" s="24">
        <f>IF($G454="","",IFERROR(VLOOKUP($G454,物料档案!$A$4:$P$1203,3,0),"※编码不在物料档案里"))</f>
        <v/>
      </c>
      <c r="I454" s="24">
        <f>IF($G454="","",IFERROR(VLOOKUP($G454,物料档案!$A$4:$P$1203,4,0),"※编码不在物料档案里"))</f>
        <v/>
      </c>
      <c r="J454" s="24">
        <f>IF($G454="","",IFERROR(VLOOKUP($G454,物料档案!$A$4:$P$1203,5,0),"※编码不在物料档案里"))</f>
        <v/>
      </c>
      <c r="K454" s="23" t="n">
        <v>5</v>
      </c>
      <c r="L454" s="31" t="n"/>
      <c r="M454" s="24">
        <f>IF($G454="","",IF($D454="A国内","CNY","TZS"))</f>
        <v/>
      </c>
      <c r="N454" s="28">
        <f>IF($G454="","",IF($D454="A国内",汇率,1))</f>
        <v/>
      </c>
      <c r="O454" s="25">
        <f>IF($G454="","",ROUND(N($K454)*N($L454),2))</f>
        <v/>
      </c>
      <c r="P454" s="26">
        <f>IF($G454="","",ROUND($O454*$N454,0))</f>
        <v/>
      </c>
      <c r="Q454" s="26">
        <f>IF($G454="","",SUMIFS($P$4:$P$2503,$E$4:$E$2503,$E454,$Z$4:$Z$2503,"正常"))</f>
        <v/>
      </c>
      <c r="R454" s="26">
        <f>IF($G454="","",SUMIFS(费用台账!$I$4:$I$503,费用台账!$C$4:$C$503,$E454,费用台账!$J$4:$J$503,"是",费用台账!$K$4:$K$503,"正常"))</f>
        <v/>
      </c>
      <c r="S454" s="28">
        <f>IF($G454="","",COUNTIFS($E$4:$E$2503,$E454,$Z$4:$Z$2503,"正常",$Y$4:$Y$2503,"待补价"))</f>
        <v/>
      </c>
      <c r="T454" s="26">
        <f>IF($G454="","",SUMIFS($P$4:$P$2503,$E$4:$E$2503,$E454,$Z$4:$Z$2503,"正常",$A$4:$A$2503,"&lt;="&amp;$A454))</f>
        <v/>
      </c>
      <c r="U454" s="26">
        <f>IF($G454="","",IF(OR($S454&gt;0,$Q454=0,$R454=0,$Z454&lt;&gt;"正常"),0,ROUND($T454/$Q454*$R454,0)-ROUND(($T454-$P454)/$Q454*$R454,0)))</f>
        <v/>
      </c>
      <c r="V454" s="26">
        <f>IF($G454="","",ROUND($P454+$U454,0))</f>
        <v/>
      </c>
      <c r="W454" s="26">
        <f>IF($G454="","",IF(N($K454)=0,0,ROUND($V454/$K454,2)))</f>
        <v/>
      </c>
      <c r="X454" s="17" t="inlineStr">
        <is>
          <t>采购入库</t>
        </is>
      </c>
      <c r="Y454" s="17" t="inlineStr">
        <is>
          <t>待补价</t>
        </is>
      </c>
      <c r="Z454" s="17" t="inlineStr">
        <is>
          <t>正常</t>
        </is>
      </c>
      <c r="AA454" s="17" t="n"/>
      <c r="AB454" s="17" t="inlineStr">
        <is>
          <t>原表第 460 行</t>
        </is>
      </c>
      <c r="AC454" s="24">
        <f>IF($G454="","",IF($H454="※编码不在物料档案里","※物料编码不在档案里",IF(N($K454)&lt;=0,"※入库数量要大于 0",IF(AND($C454&lt;&gt;"",$C454&lt;=结账锁),"※日期早于已结账截止日，不能再录",IF(AND($L454=0,$X454="正常"),"※没填单价，价格状态请选「待补价」",IF(AND($S454&gt;0,$R454&gt;0),"△本批有 "&amp;$S454&amp;" 行没单价，整批运费先挂账没摊",IF(AND($B454&lt;&gt;"",COUNTIF($B$4:$B$2503,$B454)&gt;1),"※入库单号重复","")))))))</f>
        <v/>
      </c>
    </row>
    <row r="455">
      <c r="A455" s="24">
        <f>IF($G455="","",COUNTA($G$4:$G455))</f>
        <v/>
      </c>
      <c r="B455" s="17" t="n"/>
      <c r="C455" s="30" t="n">
        <v>46103</v>
      </c>
      <c r="D455" s="17" t="inlineStr">
        <is>
          <t>A国内</t>
        </is>
      </c>
      <c r="E455" s="17" t="inlineStr">
        <is>
          <t>GATU8693770-202603</t>
        </is>
      </c>
      <c r="F455" s="17" t="inlineStr">
        <is>
          <t>烟台市金豪矿山机械有限公司</t>
        </is>
      </c>
      <c r="G455" s="17" t="inlineStr">
        <is>
          <t>JH0402</t>
        </is>
      </c>
      <c r="H455" s="24">
        <f>IF($G455="","",IFERROR(VLOOKUP($G455,物料档案!$A$4:$P$1203,3,0),"※编码不在物料档案里"))</f>
        <v/>
      </c>
      <c r="I455" s="24">
        <f>IF($G455="","",IFERROR(VLOOKUP($G455,物料档案!$A$4:$P$1203,4,0),"※编码不在物料档案里"))</f>
        <v/>
      </c>
      <c r="J455" s="24">
        <f>IF($G455="","",IFERROR(VLOOKUP($G455,物料档案!$A$4:$P$1203,5,0),"※编码不在物料档案里"))</f>
        <v/>
      </c>
      <c r="K455" s="23" t="n">
        <v>7</v>
      </c>
      <c r="L455" s="31" t="n"/>
      <c r="M455" s="24">
        <f>IF($G455="","",IF($D455="A国内","CNY","TZS"))</f>
        <v/>
      </c>
      <c r="N455" s="28">
        <f>IF($G455="","",IF($D455="A国内",汇率,1))</f>
        <v/>
      </c>
      <c r="O455" s="25">
        <f>IF($G455="","",ROUND(N($K455)*N($L455),2))</f>
        <v/>
      </c>
      <c r="P455" s="26">
        <f>IF($G455="","",ROUND($O455*$N455,0))</f>
        <v/>
      </c>
      <c r="Q455" s="26">
        <f>IF($G455="","",SUMIFS($P$4:$P$2503,$E$4:$E$2503,$E455,$Z$4:$Z$2503,"正常"))</f>
        <v/>
      </c>
      <c r="R455" s="26">
        <f>IF($G455="","",SUMIFS(费用台账!$I$4:$I$503,费用台账!$C$4:$C$503,$E455,费用台账!$J$4:$J$503,"是",费用台账!$K$4:$K$503,"正常"))</f>
        <v/>
      </c>
      <c r="S455" s="28">
        <f>IF($G455="","",COUNTIFS($E$4:$E$2503,$E455,$Z$4:$Z$2503,"正常",$Y$4:$Y$2503,"待补价"))</f>
        <v/>
      </c>
      <c r="T455" s="26">
        <f>IF($G455="","",SUMIFS($P$4:$P$2503,$E$4:$E$2503,$E455,$Z$4:$Z$2503,"正常",$A$4:$A$2503,"&lt;="&amp;$A455))</f>
        <v/>
      </c>
      <c r="U455" s="26">
        <f>IF($G455="","",IF(OR($S455&gt;0,$Q455=0,$R455=0,$Z455&lt;&gt;"正常"),0,ROUND($T455/$Q455*$R455,0)-ROUND(($T455-$P455)/$Q455*$R455,0)))</f>
        <v/>
      </c>
      <c r="V455" s="26">
        <f>IF($G455="","",ROUND($P455+$U455,0))</f>
        <v/>
      </c>
      <c r="W455" s="26">
        <f>IF($G455="","",IF(N($K455)=0,0,ROUND($V455/$K455,2)))</f>
        <v/>
      </c>
      <c r="X455" s="17" t="inlineStr">
        <is>
          <t>采购入库</t>
        </is>
      </c>
      <c r="Y455" s="17" t="inlineStr">
        <is>
          <t>待补价</t>
        </is>
      </c>
      <c r="Z455" s="17" t="inlineStr">
        <is>
          <t>正常</t>
        </is>
      </c>
      <c r="AA455" s="17" t="n"/>
      <c r="AB455" s="17" t="inlineStr">
        <is>
          <t>原表第 461 行</t>
        </is>
      </c>
      <c r="AC455" s="24">
        <f>IF($G455="","",IF($H455="※编码不在物料档案里","※物料编码不在档案里",IF(N($K455)&lt;=0,"※入库数量要大于 0",IF(AND($C455&lt;&gt;"",$C455&lt;=结账锁),"※日期早于已结账截止日，不能再录",IF(AND($L455=0,$X455="正常"),"※没填单价，价格状态请选「待补价」",IF(AND($S455&gt;0,$R455&gt;0),"△本批有 "&amp;$S455&amp;" 行没单价，整批运费先挂账没摊",IF(AND($B455&lt;&gt;"",COUNTIF($B$4:$B$2503,$B455)&gt;1),"※入库单号重复","")))))))</f>
        <v/>
      </c>
    </row>
    <row r="456">
      <c r="A456" s="24">
        <f>IF($G456="","",COUNTA($G$4:$G456))</f>
        <v/>
      </c>
      <c r="B456" s="17" t="n"/>
      <c r="C456" s="30" t="n">
        <v>46103</v>
      </c>
      <c r="D456" s="17" t="inlineStr">
        <is>
          <t>A国内</t>
        </is>
      </c>
      <c r="E456" s="17" t="inlineStr">
        <is>
          <t>GATU8693770-202603</t>
        </is>
      </c>
      <c r="F456" s="17" t="inlineStr">
        <is>
          <t>烟台市金豪矿山机械有限公司</t>
        </is>
      </c>
      <c r="G456" s="17" t="inlineStr">
        <is>
          <t>JH0403</t>
        </is>
      </c>
      <c r="H456" s="24">
        <f>IF($G456="","",IFERROR(VLOOKUP($G456,物料档案!$A$4:$P$1203,3,0),"※编码不在物料档案里"))</f>
        <v/>
      </c>
      <c r="I456" s="24">
        <f>IF($G456="","",IFERROR(VLOOKUP($G456,物料档案!$A$4:$P$1203,4,0),"※编码不在物料档案里"))</f>
        <v/>
      </c>
      <c r="J456" s="24">
        <f>IF($G456="","",IFERROR(VLOOKUP($G456,物料档案!$A$4:$P$1203,5,0),"※编码不在物料档案里"))</f>
        <v/>
      </c>
      <c r="K456" s="23" t="n">
        <v>1</v>
      </c>
      <c r="L456" s="31" t="n"/>
      <c r="M456" s="24">
        <f>IF($G456="","",IF($D456="A国内","CNY","TZS"))</f>
        <v/>
      </c>
      <c r="N456" s="28">
        <f>IF($G456="","",IF($D456="A国内",汇率,1))</f>
        <v/>
      </c>
      <c r="O456" s="25">
        <f>IF($G456="","",ROUND(N($K456)*N($L456),2))</f>
        <v/>
      </c>
      <c r="P456" s="26">
        <f>IF($G456="","",ROUND($O456*$N456,0))</f>
        <v/>
      </c>
      <c r="Q456" s="26">
        <f>IF($G456="","",SUMIFS($P$4:$P$2503,$E$4:$E$2503,$E456,$Z$4:$Z$2503,"正常"))</f>
        <v/>
      </c>
      <c r="R456" s="26">
        <f>IF($G456="","",SUMIFS(费用台账!$I$4:$I$503,费用台账!$C$4:$C$503,$E456,费用台账!$J$4:$J$503,"是",费用台账!$K$4:$K$503,"正常"))</f>
        <v/>
      </c>
      <c r="S456" s="28">
        <f>IF($G456="","",COUNTIFS($E$4:$E$2503,$E456,$Z$4:$Z$2503,"正常",$Y$4:$Y$2503,"待补价"))</f>
        <v/>
      </c>
      <c r="T456" s="26">
        <f>IF($G456="","",SUMIFS($P$4:$P$2503,$E$4:$E$2503,$E456,$Z$4:$Z$2503,"正常",$A$4:$A$2503,"&lt;="&amp;$A456))</f>
        <v/>
      </c>
      <c r="U456" s="26">
        <f>IF($G456="","",IF(OR($S456&gt;0,$Q456=0,$R456=0,$Z456&lt;&gt;"正常"),0,ROUND($T456/$Q456*$R456,0)-ROUND(($T456-$P456)/$Q456*$R456,0)))</f>
        <v/>
      </c>
      <c r="V456" s="26">
        <f>IF($G456="","",ROUND($P456+$U456,0))</f>
        <v/>
      </c>
      <c r="W456" s="26">
        <f>IF($G456="","",IF(N($K456)=0,0,ROUND($V456/$K456,2)))</f>
        <v/>
      </c>
      <c r="X456" s="17" t="inlineStr">
        <is>
          <t>采购入库</t>
        </is>
      </c>
      <c r="Y456" s="17" t="inlineStr">
        <is>
          <t>待补价</t>
        </is>
      </c>
      <c r="Z456" s="17" t="inlineStr">
        <is>
          <t>正常</t>
        </is>
      </c>
      <c r="AA456" s="17" t="n"/>
      <c r="AB456" s="17" t="inlineStr">
        <is>
          <t>原表第 462 行</t>
        </is>
      </c>
      <c r="AC456" s="24">
        <f>IF($G456="","",IF($H456="※编码不在物料档案里","※物料编码不在档案里",IF(N($K456)&lt;=0,"※入库数量要大于 0",IF(AND($C456&lt;&gt;"",$C456&lt;=结账锁),"※日期早于已结账截止日，不能再录",IF(AND($L456=0,$X456="正常"),"※没填单价，价格状态请选「待补价」",IF(AND($S456&gt;0,$R456&gt;0),"△本批有 "&amp;$S456&amp;" 行没单价，整批运费先挂账没摊",IF(AND($B456&lt;&gt;"",COUNTIF($B$4:$B$2503,$B456)&gt;1),"※入库单号重复","")))))))</f>
        <v/>
      </c>
    </row>
    <row r="457">
      <c r="A457" s="24">
        <f>IF($G457="","",COUNTA($G$4:$G457))</f>
        <v/>
      </c>
      <c r="B457" s="17" t="n"/>
      <c r="C457" s="30" t="n">
        <v>46103</v>
      </c>
      <c r="D457" s="17" t="inlineStr">
        <is>
          <t>A国内</t>
        </is>
      </c>
      <c r="E457" s="17" t="inlineStr">
        <is>
          <t>GATU8693770-202603</t>
        </is>
      </c>
      <c r="F457" s="17" t="inlineStr">
        <is>
          <t>烟台市金豪矿山机械有限公司</t>
        </is>
      </c>
      <c r="G457" s="17" t="inlineStr">
        <is>
          <t>JH0404</t>
        </is>
      </c>
      <c r="H457" s="24">
        <f>IF($G457="","",IFERROR(VLOOKUP($G457,物料档案!$A$4:$P$1203,3,0),"※编码不在物料档案里"))</f>
        <v/>
      </c>
      <c r="I457" s="24">
        <f>IF($G457="","",IFERROR(VLOOKUP($G457,物料档案!$A$4:$P$1203,4,0),"※编码不在物料档案里"))</f>
        <v/>
      </c>
      <c r="J457" s="24">
        <f>IF($G457="","",IFERROR(VLOOKUP($G457,物料档案!$A$4:$P$1203,5,0),"※编码不在物料档案里"))</f>
        <v/>
      </c>
      <c r="K457" s="23" t="n">
        <v>3</v>
      </c>
      <c r="L457" s="31" t="n"/>
      <c r="M457" s="24">
        <f>IF($G457="","",IF($D457="A国内","CNY","TZS"))</f>
        <v/>
      </c>
      <c r="N457" s="28">
        <f>IF($G457="","",IF($D457="A国内",汇率,1))</f>
        <v/>
      </c>
      <c r="O457" s="25">
        <f>IF($G457="","",ROUND(N($K457)*N($L457),2))</f>
        <v/>
      </c>
      <c r="P457" s="26">
        <f>IF($G457="","",ROUND($O457*$N457,0))</f>
        <v/>
      </c>
      <c r="Q457" s="26">
        <f>IF($G457="","",SUMIFS($P$4:$P$2503,$E$4:$E$2503,$E457,$Z$4:$Z$2503,"正常"))</f>
        <v/>
      </c>
      <c r="R457" s="26">
        <f>IF($G457="","",SUMIFS(费用台账!$I$4:$I$503,费用台账!$C$4:$C$503,$E457,费用台账!$J$4:$J$503,"是",费用台账!$K$4:$K$503,"正常"))</f>
        <v/>
      </c>
      <c r="S457" s="28">
        <f>IF($G457="","",COUNTIFS($E$4:$E$2503,$E457,$Z$4:$Z$2503,"正常",$Y$4:$Y$2503,"待补价"))</f>
        <v/>
      </c>
      <c r="T457" s="26">
        <f>IF($G457="","",SUMIFS($P$4:$P$2503,$E$4:$E$2503,$E457,$Z$4:$Z$2503,"正常",$A$4:$A$2503,"&lt;="&amp;$A457))</f>
        <v/>
      </c>
      <c r="U457" s="26">
        <f>IF($G457="","",IF(OR($S457&gt;0,$Q457=0,$R457=0,$Z457&lt;&gt;"正常"),0,ROUND($T457/$Q457*$R457,0)-ROUND(($T457-$P457)/$Q457*$R457,0)))</f>
        <v/>
      </c>
      <c r="V457" s="26">
        <f>IF($G457="","",ROUND($P457+$U457,0))</f>
        <v/>
      </c>
      <c r="W457" s="26">
        <f>IF($G457="","",IF(N($K457)=0,0,ROUND($V457/$K457,2)))</f>
        <v/>
      </c>
      <c r="X457" s="17" t="inlineStr">
        <is>
          <t>采购入库</t>
        </is>
      </c>
      <c r="Y457" s="17" t="inlineStr">
        <is>
          <t>待补价</t>
        </is>
      </c>
      <c r="Z457" s="17" t="inlineStr">
        <is>
          <t>正常</t>
        </is>
      </c>
      <c r="AA457" s="17" t="n"/>
      <c r="AB457" s="17" t="inlineStr">
        <is>
          <t>原表第 463 行</t>
        </is>
      </c>
      <c r="AC457" s="24">
        <f>IF($G457="","",IF($H457="※编码不在物料档案里","※物料编码不在档案里",IF(N($K457)&lt;=0,"※入库数量要大于 0",IF(AND($C457&lt;&gt;"",$C457&lt;=结账锁),"※日期早于已结账截止日，不能再录",IF(AND($L457=0,$X457="正常"),"※没填单价，价格状态请选「待补价」",IF(AND($S457&gt;0,$R457&gt;0),"△本批有 "&amp;$S457&amp;" 行没单价，整批运费先挂账没摊",IF(AND($B457&lt;&gt;"",COUNTIF($B$4:$B$2503,$B457)&gt;1),"※入库单号重复","")))))))</f>
        <v/>
      </c>
    </row>
    <row r="458">
      <c r="A458" s="24">
        <f>IF($G458="","",COUNTA($G$4:$G458))</f>
        <v/>
      </c>
      <c r="B458" s="17" t="n"/>
      <c r="C458" s="30" t="n">
        <v>46103</v>
      </c>
      <c r="D458" s="17" t="inlineStr">
        <is>
          <t>A国内</t>
        </is>
      </c>
      <c r="E458" s="17" t="inlineStr">
        <is>
          <t>GATU8663903-202603</t>
        </is>
      </c>
      <c r="F458" s="17" t="inlineStr">
        <is>
          <t>烟台市金豪矿山机械有限公司</t>
        </is>
      </c>
      <c r="G458" s="17" t="inlineStr">
        <is>
          <t>JH0166</t>
        </is>
      </c>
      <c r="H458" s="24">
        <f>IF($G458="","",IFERROR(VLOOKUP($G458,物料档案!$A$4:$P$1203,3,0),"※编码不在物料档案里"))</f>
        <v/>
      </c>
      <c r="I458" s="24">
        <f>IF($G458="","",IFERROR(VLOOKUP($G458,物料档案!$A$4:$P$1203,4,0),"※编码不在物料档案里"))</f>
        <v/>
      </c>
      <c r="J458" s="24">
        <f>IF($G458="","",IFERROR(VLOOKUP($G458,物料档案!$A$4:$P$1203,5,0),"※编码不在物料档案里"))</f>
        <v/>
      </c>
      <c r="K458" s="23" t="n">
        <v>1</v>
      </c>
      <c r="L458" s="31" t="n"/>
      <c r="M458" s="24">
        <f>IF($G458="","",IF($D458="A国内","CNY","TZS"))</f>
        <v/>
      </c>
      <c r="N458" s="28">
        <f>IF($G458="","",IF($D458="A国内",汇率,1))</f>
        <v/>
      </c>
      <c r="O458" s="25">
        <f>IF($G458="","",ROUND(N($K458)*N($L458),2))</f>
        <v/>
      </c>
      <c r="P458" s="26">
        <f>IF($G458="","",ROUND($O458*$N458,0))</f>
        <v/>
      </c>
      <c r="Q458" s="26">
        <f>IF($G458="","",SUMIFS($P$4:$P$2503,$E$4:$E$2503,$E458,$Z$4:$Z$2503,"正常"))</f>
        <v/>
      </c>
      <c r="R458" s="26">
        <f>IF($G458="","",SUMIFS(费用台账!$I$4:$I$503,费用台账!$C$4:$C$503,$E458,费用台账!$J$4:$J$503,"是",费用台账!$K$4:$K$503,"正常"))</f>
        <v/>
      </c>
      <c r="S458" s="28">
        <f>IF($G458="","",COUNTIFS($E$4:$E$2503,$E458,$Z$4:$Z$2503,"正常",$Y$4:$Y$2503,"待补价"))</f>
        <v/>
      </c>
      <c r="T458" s="26">
        <f>IF($G458="","",SUMIFS($P$4:$P$2503,$E$4:$E$2503,$E458,$Z$4:$Z$2503,"正常",$A$4:$A$2503,"&lt;="&amp;$A458))</f>
        <v/>
      </c>
      <c r="U458" s="26">
        <f>IF($G458="","",IF(OR($S458&gt;0,$Q458=0,$R458=0,$Z458&lt;&gt;"正常"),0,ROUND($T458/$Q458*$R458,0)-ROUND(($T458-$P458)/$Q458*$R458,0)))</f>
        <v/>
      </c>
      <c r="V458" s="26">
        <f>IF($G458="","",ROUND($P458+$U458,0))</f>
        <v/>
      </c>
      <c r="W458" s="26">
        <f>IF($G458="","",IF(N($K458)=0,0,ROUND($V458/$K458,2)))</f>
        <v/>
      </c>
      <c r="X458" s="17" t="inlineStr">
        <is>
          <t>采购入库</t>
        </is>
      </c>
      <c r="Y458" s="17" t="inlineStr">
        <is>
          <t>待补价</t>
        </is>
      </c>
      <c r="Z458" s="17" t="inlineStr">
        <is>
          <t>正常</t>
        </is>
      </c>
      <c r="AA458" s="17" t="n"/>
      <c r="AB458" s="17" t="inlineStr">
        <is>
          <t>原表第 464 行</t>
        </is>
      </c>
      <c r="AC458" s="24">
        <f>IF($G458="","",IF($H458="※编码不在物料档案里","※物料编码不在档案里",IF(N($K458)&lt;=0,"※入库数量要大于 0",IF(AND($C458&lt;&gt;"",$C458&lt;=结账锁),"※日期早于已结账截止日，不能再录",IF(AND($L458=0,$X458="正常"),"※没填单价，价格状态请选「待补价」",IF(AND($S458&gt;0,$R458&gt;0),"△本批有 "&amp;$S458&amp;" 行没单价，整批运费先挂账没摊",IF(AND($B458&lt;&gt;"",COUNTIF($B$4:$B$2503,$B458)&gt;1),"※入库单号重复","")))))))</f>
        <v/>
      </c>
    </row>
    <row r="459">
      <c r="A459" s="24">
        <f>IF($G459="","",COUNTA($G$4:$G459))</f>
        <v/>
      </c>
      <c r="B459" s="17" t="n"/>
      <c r="C459" s="30" t="n">
        <v>46103</v>
      </c>
      <c r="D459" s="17" t="inlineStr">
        <is>
          <t>A国内</t>
        </is>
      </c>
      <c r="E459" s="17" t="inlineStr">
        <is>
          <t>GATU8663903-202603</t>
        </is>
      </c>
      <c r="F459" s="17" t="inlineStr">
        <is>
          <t>烟台市金豪矿山机械有限公司</t>
        </is>
      </c>
      <c r="G459" s="17" t="inlineStr">
        <is>
          <t>JH0405</t>
        </is>
      </c>
      <c r="H459" s="24">
        <f>IF($G459="","",IFERROR(VLOOKUP($G459,物料档案!$A$4:$P$1203,3,0),"※编码不在物料档案里"))</f>
        <v/>
      </c>
      <c r="I459" s="24">
        <f>IF($G459="","",IFERROR(VLOOKUP($G459,物料档案!$A$4:$P$1203,4,0),"※编码不在物料档案里"))</f>
        <v/>
      </c>
      <c r="J459" s="24">
        <f>IF($G459="","",IFERROR(VLOOKUP($G459,物料档案!$A$4:$P$1203,5,0),"※编码不在物料档案里"))</f>
        <v/>
      </c>
      <c r="K459" s="23" t="n">
        <v>1</v>
      </c>
      <c r="L459" s="31" t="n"/>
      <c r="M459" s="24">
        <f>IF($G459="","",IF($D459="A国内","CNY","TZS"))</f>
        <v/>
      </c>
      <c r="N459" s="28">
        <f>IF($G459="","",IF($D459="A国内",汇率,1))</f>
        <v/>
      </c>
      <c r="O459" s="25">
        <f>IF($G459="","",ROUND(N($K459)*N($L459),2))</f>
        <v/>
      </c>
      <c r="P459" s="26">
        <f>IF($G459="","",ROUND($O459*$N459,0))</f>
        <v/>
      </c>
      <c r="Q459" s="26">
        <f>IF($G459="","",SUMIFS($P$4:$P$2503,$E$4:$E$2503,$E459,$Z$4:$Z$2503,"正常"))</f>
        <v/>
      </c>
      <c r="R459" s="26">
        <f>IF($G459="","",SUMIFS(费用台账!$I$4:$I$503,费用台账!$C$4:$C$503,$E459,费用台账!$J$4:$J$503,"是",费用台账!$K$4:$K$503,"正常"))</f>
        <v/>
      </c>
      <c r="S459" s="28">
        <f>IF($G459="","",COUNTIFS($E$4:$E$2503,$E459,$Z$4:$Z$2503,"正常",$Y$4:$Y$2503,"待补价"))</f>
        <v/>
      </c>
      <c r="T459" s="26">
        <f>IF($G459="","",SUMIFS($P$4:$P$2503,$E$4:$E$2503,$E459,$Z$4:$Z$2503,"正常",$A$4:$A$2503,"&lt;="&amp;$A459))</f>
        <v/>
      </c>
      <c r="U459" s="26">
        <f>IF($G459="","",IF(OR($S459&gt;0,$Q459=0,$R459=0,$Z459&lt;&gt;"正常"),0,ROUND($T459/$Q459*$R459,0)-ROUND(($T459-$P459)/$Q459*$R459,0)))</f>
        <v/>
      </c>
      <c r="V459" s="26">
        <f>IF($G459="","",ROUND($P459+$U459,0))</f>
        <v/>
      </c>
      <c r="W459" s="26">
        <f>IF($G459="","",IF(N($K459)=0,0,ROUND($V459/$K459,2)))</f>
        <v/>
      </c>
      <c r="X459" s="17" t="inlineStr">
        <is>
          <t>采购入库</t>
        </is>
      </c>
      <c r="Y459" s="17" t="inlineStr">
        <is>
          <t>待补价</t>
        </is>
      </c>
      <c r="Z459" s="17" t="inlineStr">
        <is>
          <t>正常</t>
        </is>
      </c>
      <c r="AA459" s="17" t="n"/>
      <c r="AB459" s="17" t="inlineStr">
        <is>
          <t>原表第 465 行</t>
        </is>
      </c>
      <c r="AC459" s="24">
        <f>IF($G459="","",IF($H459="※编码不在物料档案里","※物料编码不在档案里",IF(N($K459)&lt;=0,"※入库数量要大于 0",IF(AND($C459&lt;&gt;"",$C459&lt;=结账锁),"※日期早于已结账截止日，不能再录",IF(AND($L459=0,$X459="正常"),"※没填单价，价格状态请选「待补价」",IF(AND($S459&gt;0,$R459&gt;0),"△本批有 "&amp;$S459&amp;" 行没单价，整批运费先挂账没摊",IF(AND($B459&lt;&gt;"",COUNTIF($B$4:$B$2503,$B459)&gt;1),"※入库单号重复","")))))))</f>
        <v/>
      </c>
    </row>
    <row r="460">
      <c r="A460" s="24">
        <f>IF($G460="","",COUNTA($G$4:$G460))</f>
        <v/>
      </c>
      <c r="B460" s="17" t="n"/>
      <c r="C460" s="30" t="n">
        <v>46103</v>
      </c>
      <c r="D460" s="17" t="inlineStr">
        <is>
          <t>A国内</t>
        </is>
      </c>
      <c r="E460" s="17" t="inlineStr">
        <is>
          <t>GATU8663903-202603</t>
        </is>
      </c>
      <c r="F460" s="17" t="inlineStr">
        <is>
          <t>烟台市金豪矿山机械有限公司</t>
        </is>
      </c>
      <c r="G460" s="17" t="inlineStr">
        <is>
          <t>JH0406</t>
        </is>
      </c>
      <c r="H460" s="24">
        <f>IF($G460="","",IFERROR(VLOOKUP($G460,物料档案!$A$4:$P$1203,3,0),"※编码不在物料档案里"))</f>
        <v/>
      </c>
      <c r="I460" s="24">
        <f>IF($G460="","",IFERROR(VLOOKUP($G460,物料档案!$A$4:$P$1203,4,0),"※编码不在物料档案里"))</f>
        <v/>
      </c>
      <c r="J460" s="24">
        <f>IF($G460="","",IFERROR(VLOOKUP($G460,物料档案!$A$4:$P$1203,5,0),"※编码不在物料档案里"))</f>
        <v/>
      </c>
      <c r="K460" s="23" t="n">
        <v>6</v>
      </c>
      <c r="L460" s="31" t="n"/>
      <c r="M460" s="24">
        <f>IF($G460="","",IF($D460="A国内","CNY","TZS"))</f>
        <v/>
      </c>
      <c r="N460" s="28">
        <f>IF($G460="","",IF($D460="A国内",汇率,1))</f>
        <v/>
      </c>
      <c r="O460" s="25">
        <f>IF($G460="","",ROUND(N($K460)*N($L460),2))</f>
        <v/>
      </c>
      <c r="P460" s="26">
        <f>IF($G460="","",ROUND($O460*$N460,0))</f>
        <v/>
      </c>
      <c r="Q460" s="26">
        <f>IF($G460="","",SUMIFS($P$4:$P$2503,$E$4:$E$2503,$E460,$Z$4:$Z$2503,"正常"))</f>
        <v/>
      </c>
      <c r="R460" s="26">
        <f>IF($G460="","",SUMIFS(费用台账!$I$4:$I$503,费用台账!$C$4:$C$503,$E460,费用台账!$J$4:$J$503,"是",费用台账!$K$4:$K$503,"正常"))</f>
        <v/>
      </c>
      <c r="S460" s="28">
        <f>IF($G460="","",COUNTIFS($E$4:$E$2503,$E460,$Z$4:$Z$2503,"正常",$Y$4:$Y$2503,"待补价"))</f>
        <v/>
      </c>
      <c r="T460" s="26">
        <f>IF($G460="","",SUMIFS($P$4:$P$2503,$E$4:$E$2503,$E460,$Z$4:$Z$2503,"正常",$A$4:$A$2503,"&lt;="&amp;$A460))</f>
        <v/>
      </c>
      <c r="U460" s="26">
        <f>IF($G460="","",IF(OR($S460&gt;0,$Q460=0,$R460=0,$Z460&lt;&gt;"正常"),0,ROUND($T460/$Q460*$R460,0)-ROUND(($T460-$P460)/$Q460*$R460,0)))</f>
        <v/>
      </c>
      <c r="V460" s="26">
        <f>IF($G460="","",ROUND($P460+$U460,0))</f>
        <v/>
      </c>
      <c r="W460" s="26">
        <f>IF($G460="","",IF(N($K460)=0,0,ROUND($V460/$K460,2)))</f>
        <v/>
      </c>
      <c r="X460" s="17" t="inlineStr">
        <is>
          <t>采购入库</t>
        </is>
      </c>
      <c r="Y460" s="17" t="inlineStr">
        <is>
          <t>待补价</t>
        </is>
      </c>
      <c r="Z460" s="17" t="inlineStr">
        <is>
          <t>正常</t>
        </is>
      </c>
      <c r="AA460" s="17" t="n"/>
      <c r="AB460" s="17" t="inlineStr">
        <is>
          <t>原表第 466 行</t>
        </is>
      </c>
      <c r="AC460" s="24">
        <f>IF($G460="","",IF($H460="※编码不在物料档案里","※物料编码不在档案里",IF(N($K460)&lt;=0,"※入库数量要大于 0",IF(AND($C460&lt;&gt;"",$C460&lt;=结账锁),"※日期早于已结账截止日，不能再录",IF(AND($L460=0,$X460="正常"),"※没填单价，价格状态请选「待补价」",IF(AND($S460&gt;0,$R460&gt;0),"△本批有 "&amp;$S460&amp;" 行没单价，整批运费先挂账没摊",IF(AND($B460&lt;&gt;"",COUNTIF($B$4:$B$2503,$B460)&gt;1),"※入库单号重复","")))))))</f>
        <v/>
      </c>
    </row>
    <row r="461">
      <c r="A461" s="24">
        <f>IF($G461="","",COUNTA($G$4:$G461))</f>
        <v/>
      </c>
      <c r="B461" s="17" t="n"/>
      <c r="C461" s="30" t="n">
        <v>46103</v>
      </c>
      <c r="D461" s="17" t="inlineStr">
        <is>
          <t>A国内</t>
        </is>
      </c>
      <c r="E461" s="17" t="inlineStr">
        <is>
          <t>GATU8663903-202603</t>
        </is>
      </c>
      <c r="F461" s="17" t="inlineStr">
        <is>
          <t>烟台市金豪矿山机械有限公司</t>
        </is>
      </c>
      <c r="G461" s="17" t="inlineStr">
        <is>
          <t>JH0407</t>
        </is>
      </c>
      <c r="H461" s="24">
        <f>IF($G461="","",IFERROR(VLOOKUP($G461,物料档案!$A$4:$P$1203,3,0),"※编码不在物料档案里"))</f>
        <v/>
      </c>
      <c r="I461" s="24">
        <f>IF($G461="","",IFERROR(VLOOKUP($G461,物料档案!$A$4:$P$1203,4,0),"※编码不在物料档案里"))</f>
        <v/>
      </c>
      <c r="J461" s="24">
        <f>IF($G461="","",IFERROR(VLOOKUP($G461,物料档案!$A$4:$P$1203,5,0),"※编码不在物料档案里"))</f>
        <v/>
      </c>
      <c r="K461" s="23" t="n">
        <v>204</v>
      </c>
      <c r="L461" s="31" t="n"/>
      <c r="M461" s="24">
        <f>IF($G461="","",IF($D461="A国内","CNY","TZS"))</f>
        <v/>
      </c>
      <c r="N461" s="28">
        <f>IF($G461="","",IF($D461="A国内",汇率,1))</f>
        <v/>
      </c>
      <c r="O461" s="25">
        <f>IF($G461="","",ROUND(N($K461)*N($L461),2))</f>
        <v/>
      </c>
      <c r="P461" s="26">
        <f>IF($G461="","",ROUND($O461*$N461,0))</f>
        <v/>
      </c>
      <c r="Q461" s="26">
        <f>IF($G461="","",SUMIFS($P$4:$P$2503,$E$4:$E$2503,$E461,$Z$4:$Z$2503,"正常"))</f>
        <v/>
      </c>
      <c r="R461" s="26">
        <f>IF($G461="","",SUMIFS(费用台账!$I$4:$I$503,费用台账!$C$4:$C$503,$E461,费用台账!$J$4:$J$503,"是",费用台账!$K$4:$K$503,"正常"))</f>
        <v/>
      </c>
      <c r="S461" s="28">
        <f>IF($G461="","",COUNTIFS($E$4:$E$2503,$E461,$Z$4:$Z$2503,"正常",$Y$4:$Y$2503,"待补价"))</f>
        <v/>
      </c>
      <c r="T461" s="26">
        <f>IF($G461="","",SUMIFS($P$4:$P$2503,$E$4:$E$2503,$E461,$Z$4:$Z$2503,"正常",$A$4:$A$2503,"&lt;="&amp;$A461))</f>
        <v/>
      </c>
      <c r="U461" s="26">
        <f>IF($G461="","",IF(OR($S461&gt;0,$Q461=0,$R461=0,$Z461&lt;&gt;"正常"),0,ROUND($T461/$Q461*$R461,0)-ROUND(($T461-$P461)/$Q461*$R461,0)))</f>
        <v/>
      </c>
      <c r="V461" s="26">
        <f>IF($G461="","",ROUND($P461+$U461,0))</f>
        <v/>
      </c>
      <c r="W461" s="26">
        <f>IF($G461="","",IF(N($K461)=0,0,ROUND($V461/$K461,2)))</f>
        <v/>
      </c>
      <c r="X461" s="17" t="inlineStr">
        <is>
          <t>采购入库</t>
        </is>
      </c>
      <c r="Y461" s="17" t="inlineStr">
        <is>
          <t>待补价</t>
        </is>
      </c>
      <c r="Z461" s="17" t="inlineStr">
        <is>
          <t>正常</t>
        </is>
      </c>
      <c r="AA461" s="17" t="n"/>
      <c r="AB461" s="17" t="inlineStr">
        <is>
          <t>原表第 467 行</t>
        </is>
      </c>
      <c r="AC461" s="24">
        <f>IF($G461="","",IF($H461="※编码不在物料档案里","※物料编码不在档案里",IF(N($K461)&lt;=0,"※入库数量要大于 0",IF(AND($C461&lt;&gt;"",$C461&lt;=结账锁),"※日期早于已结账截止日，不能再录",IF(AND($L461=0,$X461="正常"),"※没填单价，价格状态请选「待补价」",IF(AND($S461&gt;0,$R461&gt;0),"△本批有 "&amp;$S461&amp;" 行没单价，整批运费先挂账没摊",IF(AND($B461&lt;&gt;"",COUNTIF($B$4:$B$2503,$B461)&gt;1),"※入库单号重复","")))))))</f>
        <v/>
      </c>
    </row>
    <row r="462">
      <c r="A462" s="24">
        <f>IF($G462="","",COUNTA($G$4:$G462))</f>
        <v/>
      </c>
      <c r="B462" s="17" t="n"/>
      <c r="C462" s="30" t="n">
        <v>46103</v>
      </c>
      <c r="D462" s="17" t="inlineStr">
        <is>
          <t>A国内</t>
        </is>
      </c>
      <c r="E462" s="17" t="inlineStr">
        <is>
          <t>GATU8663903-202603</t>
        </is>
      </c>
      <c r="F462" s="17" t="inlineStr">
        <is>
          <t>烟台市金豪矿山机械有限公司</t>
        </is>
      </c>
      <c r="G462" s="17" t="inlineStr">
        <is>
          <t>JH0408</t>
        </is>
      </c>
      <c r="H462" s="24">
        <f>IF($G462="","",IFERROR(VLOOKUP($G462,物料档案!$A$4:$P$1203,3,0),"※编码不在物料档案里"))</f>
        <v/>
      </c>
      <c r="I462" s="24">
        <f>IF($G462="","",IFERROR(VLOOKUP($G462,物料档案!$A$4:$P$1203,4,0),"※编码不在物料档案里"))</f>
        <v/>
      </c>
      <c r="J462" s="24">
        <f>IF($G462="","",IFERROR(VLOOKUP($G462,物料档案!$A$4:$P$1203,5,0),"※编码不在物料档案里"))</f>
        <v/>
      </c>
      <c r="K462" s="23" t="n">
        <v>204</v>
      </c>
      <c r="L462" s="31" t="n"/>
      <c r="M462" s="24">
        <f>IF($G462="","",IF($D462="A国内","CNY","TZS"))</f>
        <v/>
      </c>
      <c r="N462" s="28">
        <f>IF($G462="","",IF($D462="A国内",汇率,1))</f>
        <v/>
      </c>
      <c r="O462" s="25">
        <f>IF($G462="","",ROUND(N($K462)*N($L462),2))</f>
        <v/>
      </c>
      <c r="P462" s="26">
        <f>IF($G462="","",ROUND($O462*$N462,0))</f>
        <v/>
      </c>
      <c r="Q462" s="26">
        <f>IF($G462="","",SUMIFS($P$4:$P$2503,$E$4:$E$2503,$E462,$Z$4:$Z$2503,"正常"))</f>
        <v/>
      </c>
      <c r="R462" s="26">
        <f>IF($G462="","",SUMIFS(费用台账!$I$4:$I$503,费用台账!$C$4:$C$503,$E462,费用台账!$J$4:$J$503,"是",费用台账!$K$4:$K$503,"正常"))</f>
        <v/>
      </c>
      <c r="S462" s="28">
        <f>IF($G462="","",COUNTIFS($E$4:$E$2503,$E462,$Z$4:$Z$2503,"正常",$Y$4:$Y$2503,"待补价"))</f>
        <v/>
      </c>
      <c r="T462" s="26">
        <f>IF($G462="","",SUMIFS($P$4:$P$2503,$E$4:$E$2503,$E462,$Z$4:$Z$2503,"正常",$A$4:$A$2503,"&lt;="&amp;$A462))</f>
        <v/>
      </c>
      <c r="U462" s="26">
        <f>IF($G462="","",IF(OR($S462&gt;0,$Q462=0,$R462=0,$Z462&lt;&gt;"正常"),0,ROUND($T462/$Q462*$R462,0)-ROUND(($T462-$P462)/$Q462*$R462,0)))</f>
        <v/>
      </c>
      <c r="V462" s="26">
        <f>IF($G462="","",ROUND($P462+$U462,0))</f>
        <v/>
      </c>
      <c r="W462" s="26">
        <f>IF($G462="","",IF(N($K462)=0,0,ROUND($V462/$K462,2)))</f>
        <v/>
      </c>
      <c r="X462" s="17" t="inlineStr">
        <is>
          <t>采购入库</t>
        </is>
      </c>
      <c r="Y462" s="17" t="inlineStr">
        <is>
          <t>待补价</t>
        </is>
      </c>
      <c r="Z462" s="17" t="inlineStr">
        <is>
          <t>正常</t>
        </is>
      </c>
      <c r="AA462" s="17" t="n"/>
      <c r="AB462" s="17" t="inlineStr">
        <is>
          <t>原表第 468 行</t>
        </is>
      </c>
      <c r="AC462" s="24">
        <f>IF($G462="","",IF($H462="※编码不在物料档案里","※物料编码不在档案里",IF(N($K462)&lt;=0,"※入库数量要大于 0",IF(AND($C462&lt;&gt;"",$C462&lt;=结账锁),"※日期早于已结账截止日，不能再录",IF(AND($L462=0,$X462="正常"),"※没填单价，价格状态请选「待补价」",IF(AND($S462&gt;0,$R462&gt;0),"△本批有 "&amp;$S462&amp;" 行没单价，整批运费先挂账没摊",IF(AND($B462&lt;&gt;"",COUNTIF($B$4:$B$2503,$B462)&gt;1),"※入库单号重复","")))))))</f>
        <v/>
      </c>
    </row>
    <row r="463">
      <c r="A463" s="24">
        <f>IF($G463="","",COUNTA($G$4:$G463))</f>
        <v/>
      </c>
      <c r="B463" s="17" t="n"/>
      <c r="C463" s="30" t="n">
        <v>46103</v>
      </c>
      <c r="D463" s="17" t="inlineStr">
        <is>
          <t>A国内</t>
        </is>
      </c>
      <c r="E463" s="17" t="inlineStr">
        <is>
          <t>GATU8663903-202603</t>
        </is>
      </c>
      <c r="F463" s="17" t="inlineStr">
        <is>
          <t>烟台市金豪矿山机械有限公司</t>
        </is>
      </c>
      <c r="G463" s="17" t="inlineStr">
        <is>
          <t>JH0409</t>
        </is>
      </c>
      <c r="H463" s="24">
        <f>IF($G463="","",IFERROR(VLOOKUP($G463,物料档案!$A$4:$P$1203,3,0),"※编码不在物料档案里"))</f>
        <v/>
      </c>
      <c r="I463" s="24">
        <f>IF($G463="","",IFERROR(VLOOKUP($G463,物料档案!$A$4:$P$1203,4,0),"※编码不在物料档案里"))</f>
        <v/>
      </c>
      <c r="J463" s="24">
        <f>IF($G463="","",IFERROR(VLOOKUP($G463,物料档案!$A$4:$P$1203,5,0),"※编码不在物料档案里"))</f>
        <v/>
      </c>
      <c r="K463" s="23" t="n">
        <v>18</v>
      </c>
      <c r="L463" s="31" t="n"/>
      <c r="M463" s="24">
        <f>IF($G463="","",IF($D463="A国内","CNY","TZS"))</f>
        <v/>
      </c>
      <c r="N463" s="28">
        <f>IF($G463="","",IF($D463="A国内",汇率,1))</f>
        <v/>
      </c>
      <c r="O463" s="25">
        <f>IF($G463="","",ROUND(N($K463)*N($L463),2))</f>
        <v/>
      </c>
      <c r="P463" s="26">
        <f>IF($G463="","",ROUND($O463*$N463,0))</f>
        <v/>
      </c>
      <c r="Q463" s="26">
        <f>IF($G463="","",SUMIFS($P$4:$P$2503,$E$4:$E$2503,$E463,$Z$4:$Z$2503,"正常"))</f>
        <v/>
      </c>
      <c r="R463" s="26">
        <f>IF($G463="","",SUMIFS(费用台账!$I$4:$I$503,费用台账!$C$4:$C$503,$E463,费用台账!$J$4:$J$503,"是",费用台账!$K$4:$K$503,"正常"))</f>
        <v/>
      </c>
      <c r="S463" s="28">
        <f>IF($G463="","",COUNTIFS($E$4:$E$2503,$E463,$Z$4:$Z$2503,"正常",$Y$4:$Y$2503,"待补价"))</f>
        <v/>
      </c>
      <c r="T463" s="26">
        <f>IF($G463="","",SUMIFS($P$4:$P$2503,$E$4:$E$2503,$E463,$Z$4:$Z$2503,"正常",$A$4:$A$2503,"&lt;="&amp;$A463))</f>
        <v/>
      </c>
      <c r="U463" s="26">
        <f>IF($G463="","",IF(OR($S463&gt;0,$Q463=0,$R463=0,$Z463&lt;&gt;"正常"),0,ROUND($T463/$Q463*$R463,0)-ROUND(($T463-$P463)/$Q463*$R463,0)))</f>
        <v/>
      </c>
      <c r="V463" s="26">
        <f>IF($G463="","",ROUND($P463+$U463,0))</f>
        <v/>
      </c>
      <c r="W463" s="26">
        <f>IF($G463="","",IF(N($K463)=0,0,ROUND($V463/$K463,2)))</f>
        <v/>
      </c>
      <c r="X463" s="17" t="inlineStr">
        <is>
          <t>采购入库</t>
        </is>
      </c>
      <c r="Y463" s="17" t="inlineStr">
        <is>
          <t>待补价</t>
        </is>
      </c>
      <c r="Z463" s="17" t="inlineStr">
        <is>
          <t>正常</t>
        </is>
      </c>
      <c r="AA463" s="17" t="n"/>
      <c r="AB463" s="17" t="inlineStr">
        <is>
          <t>原表第 469 行</t>
        </is>
      </c>
      <c r="AC463" s="24">
        <f>IF($G463="","",IF($H463="※编码不在物料档案里","※物料编码不在档案里",IF(N($K463)&lt;=0,"※入库数量要大于 0",IF(AND($C463&lt;&gt;"",$C463&lt;=结账锁),"※日期早于已结账截止日，不能再录",IF(AND($L463=0,$X463="正常"),"※没填单价，价格状态请选「待补价」",IF(AND($S463&gt;0,$R463&gt;0),"△本批有 "&amp;$S463&amp;" 行没单价，整批运费先挂账没摊",IF(AND($B463&lt;&gt;"",COUNTIF($B$4:$B$2503,$B463)&gt;1),"※入库单号重复","")))))))</f>
        <v/>
      </c>
    </row>
    <row r="464">
      <c r="A464" s="24">
        <f>IF($G464="","",COUNTA($G$4:$G464))</f>
        <v/>
      </c>
      <c r="B464" s="17" t="n"/>
      <c r="C464" s="30" t="n">
        <v>46103</v>
      </c>
      <c r="D464" s="17" t="inlineStr">
        <is>
          <t>A国内</t>
        </is>
      </c>
      <c r="E464" s="17" t="inlineStr">
        <is>
          <t>GATU8663903-202603</t>
        </is>
      </c>
      <c r="F464" s="17" t="inlineStr">
        <is>
          <t>烟台市金豪矿山机械有限公司</t>
        </is>
      </c>
      <c r="G464" s="17" t="inlineStr">
        <is>
          <t>JH0410</t>
        </is>
      </c>
      <c r="H464" s="24">
        <f>IF($G464="","",IFERROR(VLOOKUP($G464,物料档案!$A$4:$P$1203,3,0),"※编码不在物料档案里"))</f>
        <v/>
      </c>
      <c r="I464" s="24">
        <f>IF($G464="","",IFERROR(VLOOKUP($G464,物料档案!$A$4:$P$1203,4,0),"※编码不在物料档案里"))</f>
        <v/>
      </c>
      <c r="J464" s="24">
        <f>IF($G464="","",IFERROR(VLOOKUP($G464,物料档案!$A$4:$P$1203,5,0),"※编码不在物料档案里"))</f>
        <v/>
      </c>
      <c r="K464" s="23" t="n">
        <v>60</v>
      </c>
      <c r="L464" s="31" t="n"/>
      <c r="M464" s="24">
        <f>IF($G464="","",IF($D464="A国内","CNY","TZS"))</f>
        <v/>
      </c>
      <c r="N464" s="28">
        <f>IF($G464="","",IF($D464="A国内",汇率,1))</f>
        <v/>
      </c>
      <c r="O464" s="25">
        <f>IF($G464="","",ROUND(N($K464)*N($L464),2))</f>
        <v/>
      </c>
      <c r="P464" s="26">
        <f>IF($G464="","",ROUND($O464*$N464,0))</f>
        <v/>
      </c>
      <c r="Q464" s="26">
        <f>IF($G464="","",SUMIFS($P$4:$P$2503,$E$4:$E$2503,$E464,$Z$4:$Z$2503,"正常"))</f>
        <v/>
      </c>
      <c r="R464" s="26">
        <f>IF($G464="","",SUMIFS(费用台账!$I$4:$I$503,费用台账!$C$4:$C$503,$E464,费用台账!$J$4:$J$503,"是",费用台账!$K$4:$K$503,"正常"))</f>
        <v/>
      </c>
      <c r="S464" s="28">
        <f>IF($G464="","",COUNTIFS($E$4:$E$2503,$E464,$Z$4:$Z$2503,"正常",$Y$4:$Y$2503,"待补价"))</f>
        <v/>
      </c>
      <c r="T464" s="26">
        <f>IF($G464="","",SUMIFS($P$4:$P$2503,$E$4:$E$2503,$E464,$Z$4:$Z$2503,"正常",$A$4:$A$2503,"&lt;="&amp;$A464))</f>
        <v/>
      </c>
      <c r="U464" s="26">
        <f>IF($G464="","",IF(OR($S464&gt;0,$Q464=0,$R464=0,$Z464&lt;&gt;"正常"),0,ROUND($T464/$Q464*$R464,0)-ROUND(($T464-$P464)/$Q464*$R464,0)))</f>
        <v/>
      </c>
      <c r="V464" s="26">
        <f>IF($G464="","",ROUND($P464+$U464,0))</f>
        <v/>
      </c>
      <c r="W464" s="26">
        <f>IF($G464="","",IF(N($K464)=0,0,ROUND($V464/$K464,2)))</f>
        <v/>
      </c>
      <c r="X464" s="17" t="inlineStr">
        <is>
          <t>采购入库</t>
        </is>
      </c>
      <c r="Y464" s="17" t="inlineStr">
        <is>
          <t>待补价</t>
        </is>
      </c>
      <c r="Z464" s="17" t="inlineStr">
        <is>
          <t>正常</t>
        </is>
      </c>
      <c r="AA464" s="17" t="n"/>
      <c r="AB464" s="17" t="inlineStr">
        <is>
          <t>原表第 470 行</t>
        </is>
      </c>
      <c r="AC464" s="24">
        <f>IF($G464="","",IF($H464="※编码不在物料档案里","※物料编码不在档案里",IF(N($K464)&lt;=0,"※入库数量要大于 0",IF(AND($C464&lt;&gt;"",$C464&lt;=结账锁),"※日期早于已结账截止日，不能再录",IF(AND($L464=0,$X464="正常"),"※没填单价，价格状态请选「待补价」",IF(AND($S464&gt;0,$R464&gt;0),"△本批有 "&amp;$S464&amp;" 行没单价，整批运费先挂账没摊",IF(AND($B464&lt;&gt;"",COUNTIF($B$4:$B$2503,$B464)&gt;1),"※入库单号重复","")))))))</f>
        <v/>
      </c>
    </row>
    <row r="465">
      <c r="A465" s="24">
        <f>IF($G465="","",COUNTA($G$4:$G465))</f>
        <v/>
      </c>
      <c r="B465" s="17" t="n"/>
      <c r="C465" s="30" t="n">
        <v>46103</v>
      </c>
      <c r="D465" s="17" t="inlineStr">
        <is>
          <t>A国内</t>
        </is>
      </c>
      <c r="E465" s="17" t="inlineStr">
        <is>
          <t>GATU8663903-202603</t>
        </is>
      </c>
      <c r="F465" s="17" t="inlineStr">
        <is>
          <t>烟台市金豪矿山机械有限公司</t>
        </is>
      </c>
      <c r="G465" s="17" t="inlineStr">
        <is>
          <t>JH0411</t>
        </is>
      </c>
      <c r="H465" s="24">
        <f>IF($G465="","",IFERROR(VLOOKUP($G465,物料档案!$A$4:$P$1203,3,0),"※编码不在物料档案里"))</f>
        <v/>
      </c>
      <c r="I465" s="24">
        <f>IF($G465="","",IFERROR(VLOOKUP($G465,物料档案!$A$4:$P$1203,4,0),"※编码不在物料档案里"))</f>
        <v/>
      </c>
      <c r="J465" s="24">
        <f>IF($G465="","",IFERROR(VLOOKUP($G465,物料档案!$A$4:$P$1203,5,0),"※编码不在物料档案里"))</f>
        <v/>
      </c>
      <c r="K465" s="23" t="n">
        <v>210</v>
      </c>
      <c r="L465" s="31" t="n"/>
      <c r="M465" s="24">
        <f>IF($G465="","",IF($D465="A国内","CNY","TZS"))</f>
        <v/>
      </c>
      <c r="N465" s="28">
        <f>IF($G465="","",IF($D465="A国内",汇率,1))</f>
        <v/>
      </c>
      <c r="O465" s="25">
        <f>IF($G465="","",ROUND(N($K465)*N($L465),2))</f>
        <v/>
      </c>
      <c r="P465" s="26">
        <f>IF($G465="","",ROUND($O465*$N465,0))</f>
        <v/>
      </c>
      <c r="Q465" s="26">
        <f>IF($G465="","",SUMIFS($P$4:$P$2503,$E$4:$E$2503,$E465,$Z$4:$Z$2503,"正常"))</f>
        <v/>
      </c>
      <c r="R465" s="26">
        <f>IF($G465="","",SUMIFS(费用台账!$I$4:$I$503,费用台账!$C$4:$C$503,$E465,费用台账!$J$4:$J$503,"是",费用台账!$K$4:$K$503,"正常"))</f>
        <v/>
      </c>
      <c r="S465" s="28">
        <f>IF($G465="","",COUNTIFS($E$4:$E$2503,$E465,$Z$4:$Z$2503,"正常",$Y$4:$Y$2503,"待补价"))</f>
        <v/>
      </c>
      <c r="T465" s="26">
        <f>IF($G465="","",SUMIFS($P$4:$P$2503,$E$4:$E$2503,$E465,$Z$4:$Z$2503,"正常",$A$4:$A$2503,"&lt;="&amp;$A465))</f>
        <v/>
      </c>
      <c r="U465" s="26">
        <f>IF($G465="","",IF(OR($S465&gt;0,$Q465=0,$R465=0,$Z465&lt;&gt;"正常"),0,ROUND($T465/$Q465*$R465,0)-ROUND(($T465-$P465)/$Q465*$R465,0)))</f>
        <v/>
      </c>
      <c r="V465" s="26">
        <f>IF($G465="","",ROUND($P465+$U465,0))</f>
        <v/>
      </c>
      <c r="W465" s="26">
        <f>IF($G465="","",IF(N($K465)=0,0,ROUND($V465/$K465,2)))</f>
        <v/>
      </c>
      <c r="X465" s="17" t="inlineStr">
        <is>
          <t>采购入库</t>
        </is>
      </c>
      <c r="Y465" s="17" t="inlineStr">
        <is>
          <t>待补价</t>
        </is>
      </c>
      <c r="Z465" s="17" t="inlineStr">
        <is>
          <t>正常</t>
        </is>
      </c>
      <c r="AA465" s="17" t="n"/>
      <c r="AB465" s="17" t="inlineStr">
        <is>
          <t>原表第 471 行</t>
        </is>
      </c>
      <c r="AC465" s="24">
        <f>IF($G465="","",IF($H465="※编码不在物料档案里","※物料编码不在档案里",IF(N($K465)&lt;=0,"※入库数量要大于 0",IF(AND($C465&lt;&gt;"",$C465&lt;=结账锁),"※日期早于已结账截止日，不能再录",IF(AND($L465=0,$X465="正常"),"※没填单价，价格状态请选「待补价」",IF(AND($S465&gt;0,$R465&gt;0),"△本批有 "&amp;$S465&amp;" 行没单价，整批运费先挂账没摊",IF(AND($B465&lt;&gt;"",COUNTIF($B$4:$B$2503,$B465)&gt;1),"※入库单号重复","")))))))</f>
        <v/>
      </c>
    </row>
    <row r="466">
      <c r="A466" s="24">
        <f>IF($G466="","",COUNTA($G$4:$G466))</f>
        <v/>
      </c>
      <c r="B466" s="17" t="n"/>
      <c r="C466" s="30" t="n">
        <v>46103</v>
      </c>
      <c r="D466" s="17" t="inlineStr">
        <is>
          <t>A国内</t>
        </is>
      </c>
      <c r="E466" s="17" t="inlineStr">
        <is>
          <t>GATU8663903-202603</t>
        </is>
      </c>
      <c r="F466" s="17" t="inlineStr">
        <is>
          <t>烟台市金豪矿山机械有限公司</t>
        </is>
      </c>
      <c r="G466" s="17" t="inlineStr">
        <is>
          <t>JH0412</t>
        </is>
      </c>
      <c r="H466" s="24">
        <f>IF($G466="","",IFERROR(VLOOKUP($G466,物料档案!$A$4:$P$1203,3,0),"※编码不在物料档案里"))</f>
        <v/>
      </c>
      <c r="I466" s="24">
        <f>IF($G466="","",IFERROR(VLOOKUP($G466,物料档案!$A$4:$P$1203,4,0),"※编码不在物料档案里"))</f>
        <v/>
      </c>
      <c r="J466" s="24">
        <f>IF($G466="","",IFERROR(VLOOKUP($G466,物料档案!$A$4:$P$1203,5,0),"※编码不在物料档案里"))</f>
        <v/>
      </c>
      <c r="K466" s="23" t="n">
        <v>3</v>
      </c>
      <c r="L466" s="31" t="n"/>
      <c r="M466" s="24">
        <f>IF($G466="","",IF($D466="A国内","CNY","TZS"))</f>
        <v/>
      </c>
      <c r="N466" s="28">
        <f>IF($G466="","",IF($D466="A国内",汇率,1))</f>
        <v/>
      </c>
      <c r="O466" s="25">
        <f>IF($G466="","",ROUND(N($K466)*N($L466),2))</f>
        <v/>
      </c>
      <c r="P466" s="26">
        <f>IF($G466="","",ROUND($O466*$N466,0))</f>
        <v/>
      </c>
      <c r="Q466" s="26">
        <f>IF($G466="","",SUMIFS($P$4:$P$2503,$E$4:$E$2503,$E466,$Z$4:$Z$2503,"正常"))</f>
        <v/>
      </c>
      <c r="R466" s="26">
        <f>IF($G466="","",SUMIFS(费用台账!$I$4:$I$503,费用台账!$C$4:$C$503,$E466,费用台账!$J$4:$J$503,"是",费用台账!$K$4:$K$503,"正常"))</f>
        <v/>
      </c>
      <c r="S466" s="28">
        <f>IF($G466="","",COUNTIFS($E$4:$E$2503,$E466,$Z$4:$Z$2503,"正常",$Y$4:$Y$2503,"待补价"))</f>
        <v/>
      </c>
      <c r="T466" s="26">
        <f>IF($G466="","",SUMIFS($P$4:$P$2503,$E$4:$E$2503,$E466,$Z$4:$Z$2503,"正常",$A$4:$A$2503,"&lt;="&amp;$A466))</f>
        <v/>
      </c>
      <c r="U466" s="26">
        <f>IF($G466="","",IF(OR($S466&gt;0,$Q466=0,$R466=0,$Z466&lt;&gt;"正常"),0,ROUND($T466/$Q466*$R466,0)-ROUND(($T466-$P466)/$Q466*$R466,0)))</f>
        <v/>
      </c>
      <c r="V466" s="26">
        <f>IF($G466="","",ROUND($P466+$U466,0))</f>
        <v/>
      </c>
      <c r="W466" s="26">
        <f>IF($G466="","",IF(N($K466)=0,0,ROUND($V466/$K466,2)))</f>
        <v/>
      </c>
      <c r="X466" s="17" t="inlineStr">
        <is>
          <t>采购入库</t>
        </is>
      </c>
      <c r="Y466" s="17" t="inlineStr">
        <is>
          <t>待补价</t>
        </is>
      </c>
      <c r="Z466" s="17" t="inlineStr">
        <is>
          <t>正常</t>
        </is>
      </c>
      <c r="AA466" s="17" t="n"/>
      <c r="AB466" s="17" t="inlineStr">
        <is>
          <t>原表第 472 行</t>
        </is>
      </c>
      <c r="AC466" s="24">
        <f>IF($G466="","",IF($H466="※编码不在物料档案里","※物料编码不在档案里",IF(N($K466)&lt;=0,"※入库数量要大于 0",IF(AND($C466&lt;&gt;"",$C466&lt;=结账锁),"※日期早于已结账截止日，不能再录",IF(AND($L466=0,$X466="正常"),"※没填单价，价格状态请选「待补价」",IF(AND($S466&gt;0,$R466&gt;0),"△本批有 "&amp;$S466&amp;" 行没单价，整批运费先挂账没摊",IF(AND($B466&lt;&gt;"",COUNTIF($B$4:$B$2503,$B466)&gt;1),"※入库单号重复","")))))))</f>
        <v/>
      </c>
    </row>
    <row r="467">
      <c r="A467" s="24">
        <f>IF($G467="","",COUNTA($G$4:$G467))</f>
        <v/>
      </c>
      <c r="B467" s="17" t="n"/>
      <c r="C467" s="30" t="n">
        <v>46103</v>
      </c>
      <c r="D467" s="17" t="inlineStr">
        <is>
          <t>A国内</t>
        </is>
      </c>
      <c r="E467" s="17" t="inlineStr">
        <is>
          <t>GATU8663903-202603</t>
        </is>
      </c>
      <c r="F467" s="17" t="inlineStr">
        <is>
          <t>烟台市金豪矿山机械有限公司</t>
        </is>
      </c>
      <c r="G467" s="17" t="inlineStr">
        <is>
          <t>JH0413</t>
        </is>
      </c>
      <c r="H467" s="24">
        <f>IF($G467="","",IFERROR(VLOOKUP($G467,物料档案!$A$4:$P$1203,3,0),"※编码不在物料档案里"))</f>
        <v/>
      </c>
      <c r="I467" s="24">
        <f>IF($G467="","",IFERROR(VLOOKUP($G467,物料档案!$A$4:$P$1203,4,0),"※编码不在物料档案里"))</f>
        <v/>
      </c>
      <c r="J467" s="24">
        <f>IF($G467="","",IFERROR(VLOOKUP($G467,物料档案!$A$4:$P$1203,5,0),"※编码不在物料档案里"))</f>
        <v/>
      </c>
      <c r="K467" s="23" t="n">
        <v>3</v>
      </c>
      <c r="L467" s="31" t="n"/>
      <c r="M467" s="24">
        <f>IF($G467="","",IF($D467="A国内","CNY","TZS"))</f>
        <v/>
      </c>
      <c r="N467" s="28">
        <f>IF($G467="","",IF($D467="A国内",汇率,1))</f>
        <v/>
      </c>
      <c r="O467" s="25">
        <f>IF($G467="","",ROUND(N($K467)*N($L467),2))</f>
        <v/>
      </c>
      <c r="P467" s="26">
        <f>IF($G467="","",ROUND($O467*$N467,0))</f>
        <v/>
      </c>
      <c r="Q467" s="26">
        <f>IF($G467="","",SUMIFS($P$4:$P$2503,$E$4:$E$2503,$E467,$Z$4:$Z$2503,"正常"))</f>
        <v/>
      </c>
      <c r="R467" s="26">
        <f>IF($G467="","",SUMIFS(费用台账!$I$4:$I$503,费用台账!$C$4:$C$503,$E467,费用台账!$J$4:$J$503,"是",费用台账!$K$4:$K$503,"正常"))</f>
        <v/>
      </c>
      <c r="S467" s="28">
        <f>IF($G467="","",COUNTIFS($E$4:$E$2503,$E467,$Z$4:$Z$2503,"正常",$Y$4:$Y$2503,"待补价"))</f>
        <v/>
      </c>
      <c r="T467" s="26">
        <f>IF($G467="","",SUMIFS($P$4:$P$2503,$E$4:$E$2503,$E467,$Z$4:$Z$2503,"正常",$A$4:$A$2503,"&lt;="&amp;$A467))</f>
        <v/>
      </c>
      <c r="U467" s="26">
        <f>IF($G467="","",IF(OR($S467&gt;0,$Q467=0,$R467=0,$Z467&lt;&gt;"正常"),0,ROUND($T467/$Q467*$R467,0)-ROUND(($T467-$P467)/$Q467*$R467,0)))</f>
        <v/>
      </c>
      <c r="V467" s="26">
        <f>IF($G467="","",ROUND($P467+$U467,0))</f>
        <v/>
      </c>
      <c r="W467" s="26">
        <f>IF($G467="","",IF(N($K467)=0,0,ROUND($V467/$K467,2)))</f>
        <v/>
      </c>
      <c r="X467" s="17" t="inlineStr">
        <is>
          <t>采购入库</t>
        </is>
      </c>
      <c r="Y467" s="17" t="inlineStr">
        <is>
          <t>待补价</t>
        </is>
      </c>
      <c r="Z467" s="17" t="inlineStr">
        <is>
          <t>正常</t>
        </is>
      </c>
      <c r="AA467" s="17" t="n"/>
      <c r="AB467" s="17" t="inlineStr">
        <is>
          <t>原表第 473 行</t>
        </is>
      </c>
      <c r="AC467" s="24">
        <f>IF($G467="","",IF($H467="※编码不在物料档案里","※物料编码不在档案里",IF(N($K467)&lt;=0,"※入库数量要大于 0",IF(AND($C467&lt;&gt;"",$C467&lt;=结账锁),"※日期早于已结账截止日，不能再录",IF(AND($L467=0,$X467="正常"),"※没填单价，价格状态请选「待补价」",IF(AND($S467&gt;0,$R467&gt;0),"△本批有 "&amp;$S467&amp;" 行没单价，整批运费先挂账没摊",IF(AND($B467&lt;&gt;"",COUNTIF($B$4:$B$2503,$B467)&gt;1),"※入库单号重复","")))))))</f>
        <v/>
      </c>
    </row>
    <row r="468">
      <c r="A468" s="24">
        <f>IF($G468="","",COUNTA($G$4:$G468))</f>
        <v/>
      </c>
      <c r="B468" s="17" t="n"/>
      <c r="C468" s="30" t="n">
        <v>46103</v>
      </c>
      <c r="D468" s="17" t="inlineStr">
        <is>
          <t>A国内</t>
        </is>
      </c>
      <c r="E468" s="17" t="inlineStr">
        <is>
          <t>GATU8663903-202603</t>
        </is>
      </c>
      <c r="F468" s="17" t="inlineStr">
        <is>
          <t>烟台市金豪矿山机械有限公司</t>
        </is>
      </c>
      <c r="G468" s="17" t="inlineStr">
        <is>
          <t>JH0414</t>
        </is>
      </c>
      <c r="H468" s="24">
        <f>IF($G468="","",IFERROR(VLOOKUP($G468,物料档案!$A$4:$P$1203,3,0),"※编码不在物料档案里"))</f>
        <v/>
      </c>
      <c r="I468" s="24">
        <f>IF($G468="","",IFERROR(VLOOKUP($G468,物料档案!$A$4:$P$1203,4,0),"※编码不在物料档案里"))</f>
        <v/>
      </c>
      <c r="J468" s="24">
        <f>IF($G468="","",IFERROR(VLOOKUP($G468,物料档案!$A$4:$P$1203,5,0),"※编码不在物料档案里"))</f>
        <v/>
      </c>
      <c r="K468" s="23" t="n">
        <v>1</v>
      </c>
      <c r="L468" s="31" t="n"/>
      <c r="M468" s="24">
        <f>IF($G468="","",IF($D468="A国内","CNY","TZS"))</f>
        <v/>
      </c>
      <c r="N468" s="28">
        <f>IF($G468="","",IF($D468="A国内",汇率,1))</f>
        <v/>
      </c>
      <c r="O468" s="25">
        <f>IF($G468="","",ROUND(N($K468)*N($L468),2))</f>
        <v/>
      </c>
      <c r="P468" s="26">
        <f>IF($G468="","",ROUND($O468*$N468,0))</f>
        <v/>
      </c>
      <c r="Q468" s="26">
        <f>IF($G468="","",SUMIFS($P$4:$P$2503,$E$4:$E$2503,$E468,$Z$4:$Z$2503,"正常"))</f>
        <v/>
      </c>
      <c r="R468" s="26">
        <f>IF($G468="","",SUMIFS(费用台账!$I$4:$I$503,费用台账!$C$4:$C$503,$E468,费用台账!$J$4:$J$503,"是",费用台账!$K$4:$K$503,"正常"))</f>
        <v/>
      </c>
      <c r="S468" s="28">
        <f>IF($G468="","",COUNTIFS($E$4:$E$2503,$E468,$Z$4:$Z$2503,"正常",$Y$4:$Y$2503,"待补价"))</f>
        <v/>
      </c>
      <c r="T468" s="26">
        <f>IF($G468="","",SUMIFS($P$4:$P$2503,$E$4:$E$2503,$E468,$Z$4:$Z$2503,"正常",$A$4:$A$2503,"&lt;="&amp;$A468))</f>
        <v/>
      </c>
      <c r="U468" s="26">
        <f>IF($G468="","",IF(OR($S468&gt;0,$Q468=0,$R468=0,$Z468&lt;&gt;"正常"),0,ROUND($T468/$Q468*$R468,0)-ROUND(($T468-$P468)/$Q468*$R468,0)))</f>
        <v/>
      </c>
      <c r="V468" s="26">
        <f>IF($G468="","",ROUND($P468+$U468,0))</f>
        <v/>
      </c>
      <c r="W468" s="26">
        <f>IF($G468="","",IF(N($K468)=0,0,ROUND($V468/$K468,2)))</f>
        <v/>
      </c>
      <c r="X468" s="17" t="inlineStr">
        <is>
          <t>采购入库</t>
        </is>
      </c>
      <c r="Y468" s="17" t="inlineStr">
        <is>
          <t>待补价</t>
        </is>
      </c>
      <c r="Z468" s="17" t="inlineStr">
        <is>
          <t>正常</t>
        </is>
      </c>
      <c r="AA468" s="17" t="n"/>
      <c r="AB468" s="17" t="inlineStr">
        <is>
          <t>原表第 474 行</t>
        </is>
      </c>
      <c r="AC468" s="24">
        <f>IF($G468="","",IF($H468="※编码不在物料档案里","※物料编码不在档案里",IF(N($K468)&lt;=0,"※入库数量要大于 0",IF(AND($C468&lt;&gt;"",$C468&lt;=结账锁),"※日期早于已结账截止日，不能再录",IF(AND($L468=0,$X468="正常"),"※没填单价，价格状态请选「待补价」",IF(AND($S468&gt;0,$R468&gt;0),"△本批有 "&amp;$S468&amp;" 行没单价，整批运费先挂账没摊",IF(AND($B468&lt;&gt;"",COUNTIF($B$4:$B$2503,$B468)&gt;1),"※入库单号重复","")))))))</f>
        <v/>
      </c>
    </row>
    <row r="469">
      <c r="A469" s="24">
        <f>IF($G469="","",COUNTA($G$4:$G469))</f>
        <v/>
      </c>
      <c r="B469" s="17" t="n"/>
      <c r="C469" s="30" t="n">
        <v>46103</v>
      </c>
      <c r="D469" s="17" t="inlineStr">
        <is>
          <t>A国内</t>
        </is>
      </c>
      <c r="E469" s="17" t="inlineStr">
        <is>
          <t>GATU8663903-202603</t>
        </is>
      </c>
      <c r="F469" s="17" t="inlineStr">
        <is>
          <t>烟台市金豪矿山机械有限公司</t>
        </is>
      </c>
      <c r="G469" s="17" t="inlineStr">
        <is>
          <t>JH0415</t>
        </is>
      </c>
      <c r="H469" s="24">
        <f>IF($G469="","",IFERROR(VLOOKUP($G469,物料档案!$A$4:$P$1203,3,0),"※编码不在物料档案里"))</f>
        <v/>
      </c>
      <c r="I469" s="24">
        <f>IF($G469="","",IFERROR(VLOOKUP($G469,物料档案!$A$4:$P$1203,4,0),"※编码不在物料档案里"))</f>
        <v/>
      </c>
      <c r="J469" s="24">
        <f>IF($G469="","",IFERROR(VLOOKUP($G469,物料档案!$A$4:$P$1203,5,0),"※编码不在物料档案里"))</f>
        <v/>
      </c>
      <c r="K469" s="23" t="n">
        <v>1</v>
      </c>
      <c r="L469" s="31" t="n"/>
      <c r="M469" s="24">
        <f>IF($G469="","",IF($D469="A国内","CNY","TZS"))</f>
        <v/>
      </c>
      <c r="N469" s="28">
        <f>IF($G469="","",IF($D469="A国内",汇率,1))</f>
        <v/>
      </c>
      <c r="O469" s="25">
        <f>IF($G469="","",ROUND(N($K469)*N($L469),2))</f>
        <v/>
      </c>
      <c r="P469" s="26">
        <f>IF($G469="","",ROUND($O469*$N469,0))</f>
        <v/>
      </c>
      <c r="Q469" s="26">
        <f>IF($G469="","",SUMIFS($P$4:$P$2503,$E$4:$E$2503,$E469,$Z$4:$Z$2503,"正常"))</f>
        <v/>
      </c>
      <c r="R469" s="26">
        <f>IF($G469="","",SUMIFS(费用台账!$I$4:$I$503,费用台账!$C$4:$C$503,$E469,费用台账!$J$4:$J$503,"是",费用台账!$K$4:$K$503,"正常"))</f>
        <v/>
      </c>
      <c r="S469" s="28">
        <f>IF($G469="","",COUNTIFS($E$4:$E$2503,$E469,$Z$4:$Z$2503,"正常",$Y$4:$Y$2503,"待补价"))</f>
        <v/>
      </c>
      <c r="T469" s="26">
        <f>IF($G469="","",SUMIFS($P$4:$P$2503,$E$4:$E$2503,$E469,$Z$4:$Z$2503,"正常",$A$4:$A$2503,"&lt;="&amp;$A469))</f>
        <v/>
      </c>
      <c r="U469" s="26">
        <f>IF($G469="","",IF(OR($S469&gt;0,$Q469=0,$R469=0,$Z469&lt;&gt;"正常"),0,ROUND($T469/$Q469*$R469,0)-ROUND(($T469-$P469)/$Q469*$R469,0)))</f>
        <v/>
      </c>
      <c r="V469" s="26">
        <f>IF($G469="","",ROUND($P469+$U469,0))</f>
        <v/>
      </c>
      <c r="W469" s="26">
        <f>IF($G469="","",IF(N($K469)=0,0,ROUND($V469/$K469,2)))</f>
        <v/>
      </c>
      <c r="X469" s="17" t="inlineStr">
        <is>
          <t>采购入库</t>
        </is>
      </c>
      <c r="Y469" s="17" t="inlineStr">
        <is>
          <t>待补价</t>
        </is>
      </c>
      <c r="Z469" s="17" t="inlineStr">
        <is>
          <t>正常</t>
        </is>
      </c>
      <c r="AA469" s="17" t="n"/>
      <c r="AB469" s="17" t="inlineStr">
        <is>
          <t>原表第 475 行</t>
        </is>
      </c>
      <c r="AC469" s="24">
        <f>IF($G469="","",IF($H469="※编码不在物料档案里","※物料编码不在档案里",IF(N($K469)&lt;=0,"※入库数量要大于 0",IF(AND($C469&lt;&gt;"",$C469&lt;=结账锁),"※日期早于已结账截止日，不能再录",IF(AND($L469=0,$X469="正常"),"※没填单价，价格状态请选「待补价」",IF(AND($S469&gt;0,$R469&gt;0),"△本批有 "&amp;$S469&amp;" 行没单价，整批运费先挂账没摊",IF(AND($B469&lt;&gt;"",COUNTIF($B$4:$B$2503,$B469)&gt;1),"※入库单号重复","")))))))</f>
        <v/>
      </c>
    </row>
    <row r="470">
      <c r="A470" s="24">
        <f>IF($G470="","",COUNTA($G$4:$G470))</f>
        <v/>
      </c>
      <c r="B470" s="17" t="n"/>
      <c r="C470" s="30" t="n">
        <v>46103</v>
      </c>
      <c r="D470" s="17" t="inlineStr">
        <is>
          <t>A国内</t>
        </is>
      </c>
      <c r="E470" s="17" t="inlineStr">
        <is>
          <t>GATU8663903-202603</t>
        </is>
      </c>
      <c r="F470" s="17" t="inlineStr">
        <is>
          <t>烟台市金豪矿山机械有限公司</t>
        </is>
      </c>
      <c r="G470" s="17" t="inlineStr">
        <is>
          <t>JH0416</t>
        </is>
      </c>
      <c r="H470" s="24">
        <f>IF($G470="","",IFERROR(VLOOKUP($G470,物料档案!$A$4:$P$1203,3,0),"※编码不在物料档案里"))</f>
        <v/>
      </c>
      <c r="I470" s="24">
        <f>IF($G470="","",IFERROR(VLOOKUP($G470,物料档案!$A$4:$P$1203,4,0),"※编码不在物料档案里"))</f>
        <v/>
      </c>
      <c r="J470" s="24">
        <f>IF($G470="","",IFERROR(VLOOKUP($G470,物料档案!$A$4:$P$1203,5,0),"※编码不在物料档案里"))</f>
        <v/>
      </c>
      <c r="K470" s="23" t="n">
        <v>4</v>
      </c>
      <c r="L470" s="31" t="n"/>
      <c r="M470" s="24">
        <f>IF($G470="","",IF($D470="A国内","CNY","TZS"))</f>
        <v/>
      </c>
      <c r="N470" s="28">
        <f>IF($G470="","",IF($D470="A国内",汇率,1))</f>
        <v/>
      </c>
      <c r="O470" s="25">
        <f>IF($G470="","",ROUND(N($K470)*N($L470),2))</f>
        <v/>
      </c>
      <c r="P470" s="26">
        <f>IF($G470="","",ROUND($O470*$N470,0))</f>
        <v/>
      </c>
      <c r="Q470" s="26">
        <f>IF($G470="","",SUMIFS($P$4:$P$2503,$E$4:$E$2503,$E470,$Z$4:$Z$2503,"正常"))</f>
        <v/>
      </c>
      <c r="R470" s="26">
        <f>IF($G470="","",SUMIFS(费用台账!$I$4:$I$503,费用台账!$C$4:$C$503,$E470,费用台账!$J$4:$J$503,"是",费用台账!$K$4:$K$503,"正常"))</f>
        <v/>
      </c>
      <c r="S470" s="28">
        <f>IF($G470="","",COUNTIFS($E$4:$E$2503,$E470,$Z$4:$Z$2503,"正常",$Y$4:$Y$2503,"待补价"))</f>
        <v/>
      </c>
      <c r="T470" s="26">
        <f>IF($G470="","",SUMIFS($P$4:$P$2503,$E$4:$E$2503,$E470,$Z$4:$Z$2503,"正常",$A$4:$A$2503,"&lt;="&amp;$A470))</f>
        <v/>
      </c>
      <c r="U470" s="26">
        <f>IF($G470="","",IF(OR($S470&gt;0,$Q470=0,$R470=0,$Z470&lt;&gt;"正常"),0,ROUND($T470/$Q470*$R470,0)-ROUND(($T470-$P470)/$Q470*$R470,0)))</f>
        <v/>
      </c>
      <c r="V470" s="26">
        <f>IF($G470="","",ROUND($P470+$U470,0))</f>
        <v/>
      </c>
      <c r="W470" s="26">
        <f>IF($G470="","",IF(N($K470)=0,0,ROUND($V470/$K470,2)))</f>
        <v/>
      </c>
      <c r="X470" s="17" t="inlineStr">
        <is>
          <t>采购入库</t>
        </is>
      </c>
      <c r="Y470" s="17" t="inlineStr">
        <is>
          <t>待补价</t>
        </is>
      </c>
      <c r="Z470" s="17" t="inlineStr">
        <is>
          <t>正常</t>
        </is>
      </c>
      <c r="AA470" s="17" t="n"/>
      <c r="AB470" s="17" t="inlineStr">
        <is>
          <t>原表第 476 行</t>
        </is>
      </c>
      <c r="AC470" s="24">
        <f>IF($G470="","",IF($H470="※编码不在物料档案里","※物料编码不在档案里",IF(N($K470)&lt;=0,"※入库数量要大于 0",IF(AND($C470&lt;&gt;"",$C470&lt;=结账锁),"※日期早于已结账截止日，不能再录",IF(AND($L470=0,$X470="正常"),"※没填单价，价格状态请选「待补价」",IF(AND($S470&gt;0,$R470&gt;0),"△本批有 "&amp;$S470&amp;" 行没单价，整批运费先挂账没摊",IF(AND($B470&lt;&gt;"",COUNTIF($B$4:$B$2503,$B470)&gt;1),"※入库单号重复","")))))))</f>
        <v/>
      </c>
    </row>
    <row r="471">
      <c r="A471" s="24">
        <f>IF($G471="","",COUNTA($G$4:$G471))</f>
        <v/>
      </c>
      <c r="B471" s="17" t="n"/>
      <c r="C471" s="30" t="n">
        <v>46103</v>
      </c>
      <c r="D471" s="17" t="inlineStr">
        <is>
          <t>A国内</t>
        </is>
      </c>
      <c r="E471" s="17" t="inlineStr">
        <is>
          <t>GATU8663903-202603</t>
        </is>
      </c>
      <c r="F471" s="17" t="inlineStr">
        <is>
          <t>烟台市金豪矿山机械有限公司</t>
        </is>
      </c>
      <c r="G471" s="17" t="inlineStr">
        <is>
          <t>JH0417</t>
        </is>
      </c>
      <c r="H471" s="24">
        <f>IF($G471="","",IFERROR(VLOOKUP($G471,物料档案!$A$4:$P$1203,3,0),"※编码不在物料档案里"))</f>
        <v/>
      </c>
      <c r="I471" s="24">
        <f>IF($G471="","",IFERROR(VLOOKUP($G471,物料档案!$A$4:$P$1203,4,0),"※编码不在物料档案里"))</f>
        <v/>
      </c>
      <c r="J471" s="24">
        <f>IF($G471="","",IFERROR(VLOOKUP($G471,物料档案!$A$4:$P$1203,5,0),"※编码不在物料档案里"))</f>
        <v/>
      </c>
      <c r="K471" s="23" t="n">
        <v>3</v>
      </c>
      <c r="L471" s="31" t="n"/>
      <c r="M471" s="24">
        <f>IF($G471="","",IF($D471="A国内","CNY","TZS"))</f>
        <v/>
      </c>
      <c r="N471" s="28">
        <f>IF($G471="","",IF($D471="A国内",汇率,1))</f>
        <v/>
      </c>
      <c r="O471" s="25">
        <f>IF($G471="","",ROUND(N($K471)*N($L471),2))</f>
        <v/>
      </c>
      <c r="P471" s="26">
        <f>IF($G471="","",ROUND($O471*$N471,0))</f>
        <v/>
      </c>
      <c r="Q471" s="26">
        <f>IF($G471="","",SUMIFS($P$4:$P$2503,$E$4:$E$2503,$E471,$Z$4:$Z$2503,"正常"))</f>
        <v/>
      </c>
      <c r="R471" s="26">
        <f>IF($G471="","",SUMIFS(费用台账!$I$4:$I$503,费用台账!$C$4:$C$503,$E471,费用台账!$J$4:$J$503,"是",费用台账!$K$4:$K$503,"正常"))</f>
        <v/>
      </c>
      <c r="S471" s="28">
        <f>IF($G471="","",COUNTIFS($E$4:$E$2503,$E471,$Z$4:$Z$2503,"正常",$Y$4:$Y$2503,"待补价"))</f>
        <v/>
      </c>
      <c r="T471" s="26">
        <f>IF($G471="","",SUMIFS($P$4:$P$2503,$E$4:$E$2503,$E471,$Z$4:$Z$2503,"正常",$A$4:$A$2503,"&lt;="&amp;$A471))</f>
        <v/>
      </c>
      <c r="U471" s="26">
        <f>IF($G471="","",IF(OR($S471&gt;0,$Q471=0,$R471=0,$Z471&lt;&gt;"正常"),0,ROUND($T471/$Q471*$R471,0)-ROUND(($T471-$P471)/$Q471*$R471,0)))</f>
        <v/>
      </c>
      <c r="V471" s="26">
        <f>IF($G471="","",ROUND($P471+$U471,0))</f>
        <v/>
      </c>
      <c r="W471" s="26">
        <f>IF($G471="","",IF(N($K471)=0,0,ROUND($V471/$K471,2)))</f>
        <v/>
      </c>
      <c r="X471" s="17" t="inlineStr">
        <is>
          <t>采购入库</t>
        </is>
      </c>
      <c r="Y471" s="17" t="inlineStr">
        <is>
          <t>待补价</t>
        </is>
      </c>
      <c r="Z471" s="17" t="inlineStr">
        <is>
          <t>正常</t>
        </is>
      </c>
      <c r="AA471" s="17" t="n"/>
      <c r="AB471" s="17" t="inlineStr">
        <is>
          <t>原表第 477 行</t>
        </is>
      </c>
      <c r="AC471" s="24">
        <f>IF($G471="","",IF($H471="※编码不在物料档案里","※物料编码不在档案里",IF(N($K471)&lt;=0,"※入库数量要大于 0",IF(AND($C471&lt;&gt;"",$C471&lt;=结账锁),"※日期早于已结账截止日，不能再录",IF(AND($L471=0,$X471="正常"),"※没填单价，价格状态请选「待补价」",IF(AND($S471&gt;0,$R471&gt;0),"△本批有 "&amp;$S471&amp;" 行没单价，整批运费先挂账没摊",IF(AND($B471&lt;&gt;"",COUNTIF($B$4:$B$2503,$B471)&gt;1),"※入库单号重复","")))))))</f>
        <v/>
      </c>
    </row>
    <row r="472">
      <c r="A472" s="24">
        <f>IF($G472="","",COUNTA($G$4:$G472))</f>
        <v/>
      </c>
      <c r="B472" s="17" t="n"/>
      <c r="C472" s="30" t="n">
        <v>46103</v>
      </c>
      <c r="D472" s="17" t="inlineStr">
        <is>
          <t>A国内</t>
        </is>
      </c>
      <c r="E472" s="17" t="inlineStr">
        <is>
          <t>GATU8663903-202603</t>
        </is>
      </c>
      <c r="F472" s="17" t="inlineStr">
        <is>
          <t>烟台市金豪矿山机械有限公司</t>
        </is>
      </c>
      <c r="G472" s="17" t="inlineStr">
        <is>
          <t>JH0418</t>
        </is>
      </c>
      <c r="H472" s="24">
        <f>IF($G472="","",IFERROR(VLOOKUP($G472,物料档案!$A$4:$P$1203,3,0),"※编码不在物料档案里"))</f>
        <v/>
      </c>
      <c r="I472" s="24">
        <f>IF($G472="","",IFERROR(VLOOKUP($G472,物料档案!$A$4:$P$1203,4,0),"※编码不在物料档案里"))</f>
        <v/>
      </c>
      <c r="J472" s="24">
        <f>IF($G472="","",IFERROR(VLOOKUP($G472,物料档案!$A$4:$P$1203,5,0),"※编码不在物料档案里"))</f>
        <v/>
      </c>
      <c r="K472" s="23" t="n">
        <v>13</v>
      </c>
      <c r="L472" s="31" t="n"/>
      <c r="M472" s="24">
        <f>IF($G472="","",IF($D472="A国内","CNY","TZS"))</f>
        <v/>
      </c>
      <c r="N472" s="28">
        <f>IF($G472="","",IF($D472="A国内",汇率,1))</f>
        <v/>
      </c>
      <c r="O472" s="25">
        <f>IF($G472="","",ROUND(N($K472)*N($L472),2))</f>
        <v/>
      </c>
      <c r="P472" s="26">
        <f>IF($G472="","",ROUND($O472*$N472,0))</f>
        <v/>
      </c>
      <c r="Q472" s="26">
        <f>IF($G472="","",SUMIFS($P$4:$P$2503,$E$4:$E$2503,$E472,$Z$4:$Z$2503,"正常"))</f>
        <v/>
      </c>
      <c r="R472" s="26">
        <f>IF($G472="","",SUMIFS(费用台账!$I$4:$I$503,费用台账!$C$4:$C$503,$E472,费用台账!$J$4:$J$503,"是",费用台账!$K$4:$K$503,"正常"))</f>
        <v/>
      </c>
      <c r="S472" s="28">
        <f>IF($G472="","",COUNTIFS($E$4:$E$2503,$E472,$Z$4:$Z$2503,"正常",$Y$4:$Y$2503,"待补价"))</f>
        <v/>
      </c>
      <c r="T472" s="26">
        <f>IF($G472="","",SUMIFS($P$4:$P$2503,$E$4:$E$2503,$E472,$Z$4:$Z$2503,"正常",$A$4:$A$2503,"&lt;="&amp;$A472))</f>
        <v/>
      </c>
      <c r="U472" s="26">
        <f>IF($G472="","",IF(OR($S472&gt;0,$Q472=0,$R472=0,$Z472&lt;&gt;"正常"),0,ROUND($T472/$Q472*$R472,0)-ROUND(($T472-$P472)/$Q472*$R472,0)))</f>
        <v/>
      </c>
      <c r="V472" s="26">
        <f>IF($G472="","",ROUND($P472+$U472,0))</f>
        <v/>
      </c>
      <c r="W472" s="26">
        <f>IF($G472="","",IF(N($K472)=0,0,ROUND($V472/$K472,2)))</f>
        <v/>
      </c>
      <c r="X472" s="17" t="inlineStr">
        <is>
          <t>采购入库</t>
        </is>
      </c>
      <c r="Y472" s="17" t="inlineStr">
        <is>
          <t>待补价</t>
        </is>
      </c>
      <c r="Z472" s="17" t="inlineStr">
        <is>
          <t>正常</t>
        </is>
      </c>
      <c r="AA472" s="17" t="n"/>
      <c r="AB472" s="17" t="inlineStr">
        <is>
          <t>原表第 478 行</t>
        </is>
      </c>
      <c r="AC472" s="24">
        <f>IF($G472="","",IF($H472="※编码不在物料档案里","※物料编码不在档案里",IF(N($K472)&lt;=0,"※入库数量要大于 0",IF(AND($C472&lt;&gt;"",$C472&lt;=结账锁),"※日期早于已结账截止日，不能再录",IF(AND($L472=0,$X472="正常"),"※没填单价，价格状态请选「待补价」",IF(AND($S472&gt;0,$R472&gt;0),"△本批有 "&amp;$S472&amp;" 行没单价，整批运费先挂账没摊",IF(AND($B472&lt;&gt;"",COUNTIF($B$4:$B$2503,$B472)&gt;1),"※入库单号重复","")))))))</f>
        <v/>
      </c>
    </row>
    <row r="473">
      <c r="A473" s="24">
        <f>IF($G473="","",COUNTA($G$4:$G473))</f>
        <v/>
      </c>
      <c r="B473" s="17" t="n"/>
      <c r="C473" s="30" t="n">
        <v>46103</v>
      </c>
      <c r="D473" s="17" t="inlineStr">
        <is>
          <t>A国内</t>
        </is>
      </c>
      <c r="E473" s="17" t="inlineStr">
        <is>
          <t>GATU8663903-202603</t>
        </is>
      </c>
      <c r="F473" s="17" t="inlineStr">
        <is>
          <t>烟台市金豪矿山机械有限公司</t>
        </is>
      </c>
      <c r="G473" s="17" t="inlineStr">
        <is>
          <t>JH0419</t>
        </is>
      </c>
      <c r="H473" s="24">
        <f>IF($G473="","",IFERROR(VLOOKUP($G473,物料档案!$A$4:$P$1203,3,0),"※编码不在物料档案里"))</f>
        <v/>
      </c>
      <c r="I473" s="24">
        <f>IF($G473="","",IFERROR(VLOOKUP($G473,物料档案!$A$4:$P$1203,4,0),"※编码不在物料档案里"))</f>
        <v/>
      </c>
      <c r="J473" s="24">
        <f>IF($G473="","",IFERROR(VLOOKUP($G473,物料档案!$A$4:$P$1203,5,0),"※编码不在物料档案里"))</f>
        <v/>
      </c>
      <c r="K473" s="23" t="n">
        <v>13</v>
      </c>
      <c r="L473" s="31" t="n"/>
      <c r="M473" s="24">
        <f>IF($G473="","",IF($D473="A国内","CNY","TZS"))</f>
        <v/>
      </c>
      <c r="N473" s="28">
        <f>IF($G473="","",IF($D473="A国内",汇率,1))</f>
        <v/>
      </c>
      <c r="O473" s="25">
        <f>IF($G473="","",ROUND(N($K473)*N($L473),2))</f>
        <v/>
      </c>
      <c r="P473" s="26">
        <f>IF($G473="","",ROUND($O473*$N473,0))</f>
        <v/>
      </c>
      <c r="Q473" s="26">
        <f>IF($G473="","",SUMIFS($P$4:$P$2503,$E$4:$E$2503,$E473,$Z$4:$Z$2503,"正常"))</f>
        <v/>
      </c>
      <c r="R473" s="26">
        <f>IF($G473="","",SUMIFS(费用台账!$I$4:$I$503,费用台账!$C$4:$C$503,$E473,费用台账!$J$4:$J$503,"是",费用台账!$K$4:$K$503,"正常"))</f>
        <v/>
      </c>
      <c r="S473" s="28">
        <f>IF($G473="","",COUNTIFS($E$4:$E$2503,$E473,$Z$4:$Z$2503,"正常",$Y$4:$Y$2503,"待补价"))</f>
        <v/>
      </c>
      <c r="T473" s="26">
        <f>IF($G473="","",SUMIFS($P$4:$P$2503,$E$4:$E$2503,$E473,$Z$4:$Z$2503,"正常",$A$4:$A$2503,"&lt;="&amp;$A473))</f>
        <v/>
      </c>
      <c r="U473" s="26">
        <f>IF($G473="","",IF(OR($S473&gt;0,$Q473=0,$R473=0,$Z473&lt;&gt;"正常"),0,ROUND($T473/$Q473*$R473,0)-ROUND(($T473-$P473)/$Q473*$R473,0)))</f>
        <v/>
      </c>
      <c r="V473" s="26">
        <f>IF($G473="","",ROUND($P473+$U473,0))</f>
        <v/>
      </c>
      <c r="W473" s="26">
        <f>IF($G473="","",IF(N($K473)=0,0,ROUND($V473/$K473,2)))</f>
        <v/>
      </c>
      <c r="X473" s="17" t="inlineStr">
        <is>
          <t>采购入库</t>
        </is>
      </c>
      <c r="Y473" s="17" t="inlineStr">
        <is>
          <t>待补价</t>
        </is>
      </c>
      <c r="Z473" s="17" t="inlineStr">
        <is>
          <t>正常</t>
        </is>
      </c>
      <c r="AA473" s="17" t="n"/>
      <c r="AB473" s="17" t="inlineStr">
        <is>
          <t>原表第 479 行</t>
        </is>
      </c>
      <c r="AC473" s="24">
        <f>IF($G473="","",IF($H473="※编码不在物料档案里","※物料编码不在档案里",IF(N($K473)&lt;=0,"※入库数量要大于 0",IF(AND($C473&lt;&gt;"",$C473&lt;=结账锁),"※日期早于已结账截止日，不能再录",IF(AND($L473=0,$X473="正常"),"※没填单价，价格状态请选「待补价」",IF(AND($S473&gt;0,$R473&gt;0),"△本批有 "&amp;$S473&amp;" 行没单价，整批运费先挂账没摊",IF(AND($B473&lt;&gt;"",COUNTIF($B$4:$B$2503,$B473)&gt;1),"※入库单号重复","")))))))</f>
        <v/>
      </c>
    </row>
    <row r="474">
      <c r="A474" s="24">
        <f>IF($G474="","",COUNTA($G$4:$G474))</f>
        <v/>
      </c>
      <c r="B474" s="17" t="n"/>
      <c r="C474" s="30" t="n">
        <v>46103</v>
      </c>
      <c r="D474" s="17" t="inlineStr">
        <is>
          <t>A国内</t>
        </is>
      </c>
      <c r="E474" s="17" t="inlineStr">
        <is>
          <t>GATU8663903-202603</t>
        </is>
      </c>
      <c r="F474" s="17" t="inlineStr">
        <is>
          <t>烟台市金豪矿山机械有限公司</t>
        </is>
      </c>
      <c r="G474" s="17" t="inlineStr">
        <is>
          <t>JH0420</t>
        </is>
      </c>
      <c r="H474" s="24">
        <f>IF($G474="","",IFERROR(VLOOKUP($G474,物料档案!$A$4:$P$1203,3,0),"※编码不在物料档案里"))</f>
        <v/>
      </c>
      <c r="I474" s="24">
        <f>IF($G474="","",IFERROR(VLOOKUP($G474,物料档案!$A$4:$P$1203,4,0),"※编码不在物料档案里"))</f>
        <v/>
      </c>
      <c r="J474" s="24">
        <f>IF($G474="","",IFERROR(VLOOKUP($G474,物料档案!$A$4:$P$1203,5,0),"※编码不在物料档案里"))</f>
        <v/>
      </c>
      <c r="K474" s="23" t="n">
        <v>44</v>
      </c>
      <c r="L474" s="31" t="n"/>
      <c r="M474" s="24">
        <f>IF($G474="","",IF($D474="A国内","CNY","TZS"))</f>
        <v/>
      </c>
      <c r="N474" s="28">
        <f>IF($G474="","",IF($D474="A国内",汇率,1))</f>
        <v/>
      </c>
      <c r="O474" s="25">
        <f>IF($G474="","",ROUND(N($K474)*N($L474),2))</f>
        <v/>
      </c>
      <c r="P474" s="26">
        <f>IF($G474="","",ROUND($O474*$N474,0))</f>
        <v/>
      </c>
      <c r="Q474" s="26">
        <f>IF($G474="","",SUMIFS($P$4:$P$2503,$E$4:$E$2503,$E474,$Z$4:$Z$2503,"正常"))</f>
        <v/>
      </c>
      <c r="R474" s="26">
        <f>IF($G474="","",SUMIFS(费用台账!$I$4:$I$503,费用台账!$C$4:$C$503,$E474,费用台账!$J$4:$J$503,"是",费用台账!$K$4:$K$503,"正常"))</f>
        <v/>
      </c>
      <c r="S474" s="28">
        <f>IF($G474="","",COUNTIFS($E$4:$E$2503,$E474,$Z$4:$Z$2503,"正常",$Y$4:$Y$2503,"待补价"))</f>
        <v/>
      </c>
      <c r="T474" s="26">
        <f>IF($G474="","",SUMIFS($P$4:$P$2503,$E$4:$E$2503,$E474,$Z$4:$Z$2503,"正常",$A$4:$A$2503,"&lt;="&amp;$A474))</f>
        <v/>
      </c>
      <c r="U474" s="26">
        <f>IF($G474="","",IF(OR($S474&gt;0,$Q474=0,$R474=0,$Z474&lt;&gt;"正常"),0,ROUND($T474/$Q474*$R474,0)-ROUND(($T474-$P474)/$Q474*$R474,0)))</f>
        <v/>
      </c>
      <c r="V474" s="26">
        <f>IF($G474="","",ROUND($P474+$U474,0))</f>
        <v/>
      </c>
      <c r="W474" s="26">
        <f>IF($G474="","",IF(N($K474)=0,0,ROUND($V474/$K474,2)))</f>
        <v/>
      </c>
      <c r="X474" s="17" t="inlineStr">
        <is>
          <t>采购入库</t>
        </is>
      </c>
      <c r="Y474" s="17" t="inlineStr">
        <is>
          <t>待补价</t>
        </is>
      </c>
      <c r="Z474" s="17" t="inlineStr">
        <is>
          <t>正常</t>
        </is>
      </c>
      <c r="AA474" s="17" t="n"/>
      <c r="AB474" s="17" t="inlineStr">
        <is>
          <t>原表第 480 行</t>
        </is>
      </c>
      <c r="AC474" s="24">
        <f>IF($G474="","",IF($H474="※编码不在物料档案里","※物料编码不在档案里",IF(N($K474)&lt;=0,"※入库数量要大于 0",IF(AND($C474&lt;&gt;"",$C474&lt;=结账锁),"※日期早于已结账截止日，不能再录",IF(AND($L474=0,$X474="正常"),"※没填单价，价格状态请选「待补价」",IF(AND($S474&gt;0,$R474&gt;0),"△本批有 "&amp;$S474&amp;" 行没单价，整批运费先挂账没摊",IF(AND($B474&lt;&gt;"",COUNTIF($B$4:$B$2503,$B474)&gt;1),"※入库单号重复","")))))))</f>
        <v/>
      </c>
    </row>
    <row r="475">
      <c r="A475" s="24">
        <f>IF($G475="","",COUNTA($G$4:$G475))</f>
        <v/>
      </c>
      <c r="B475" s="17" t="n"/>
      <c r="C475" s="30" t="n">
        <v>46103</v>
      </c>
      <c r="D475" s="17" t="inlineStr">
        <is>
          <t>A国内</t>
        </is>
      </c>
      <c r="E475" s="17" t="inlineStr">
        <is>
          <t>GATU8663903-202603</t>
        </is>
      </c>
      <c r="F475" s="17" t="inlineStr">
        <is>
          <t>烟台市金豪矿山机械有限公司</t>
        </is>
      </c>
      <c r="G475" s="17" t="inlineStr">
        <is>
          <t>JH0421</t>
        </is>
      </c>
      <c r="H475" s="24">
        <f>IF($G475="","",IFERROR(VLOOKUP($G475,物料档案!$A$4:$P$1203,3,0),"※编码不在物料档案里"))</f>
        <v/>
      </c>
      <c r="I475" s="24">
        <f>IF($G475="","",IFERROR(VLOOKUP($G475,物料档案!$A$4:$P$1203,4,0),"※编码不在物料档案里"))</f>
        <v/>
      </c>
      <c r="J475" s="24">
        <f>IF($G475="","",IFERROR(VLOOKUP($G475,物料档案!$A$4:$P$1203,5,0),"※编码不在物料档案里"))</f>
        <v/>
      </c>
      <c r="K475" s="23" t="n">
        <v>1</v>
      </c>
      <c r="L475" s="31" t="n">
        <v>85000</v>
      </c>
      <c r="M475" s="24">
        <f>IF($G475="","",IF($D475="A国内","CNY","TZS"))</f>
        <v/>
      </c>
      <c r="N475" s="28">
        <f>IF($G475="","",IF($D475="A国内",汇率,1))</f>
        <v/>
      </c>
      <c r="O475" s="25">
        <f>IF($G475="","",ROUND(N($K475)*N($L475),2))</f>
        <v/>
      </c>
      <c r="P475" s="26">
        <f>IF($G475="","",ROUND($O475*$N475,0))</f>
        <v/>
      </c>
      <c r="Q475" s="26">
        <f>IF($G475="","",SUMIFS($P$4:$P$2503,$E$4:$E$2503,$E475,$Z$4:$Z$2503,"正常"))</f>
        <v/>
      </c>
      <c r="R475" s="26">
        <f>IF($G475="","",SUMIFS(费用台账!$I$4:$I$503,费用台账!$C$4:$C$503,$E475,费用台账!$J$4:$J$503,"是",费用台账!$K$4:$K$503,"正常"))</f>
        <v/>
      </c>
      <c r="S475" s="28">
        <f>IF($G475="","",COUNTIFS($E$4:$E$2503,$E475,$Z$4:$Z$2503,"正常",$Y$4:$Y$2503,"待补价"))</f>
        <v/>
      </c>
      <c r="T475" s="26">
        <f>IF($G475="","",SUMIFS($P$4:$P$2503,$E$4:$E$2503,$E475,$Z$4:$Z$2503,"正常",$A$4:$A$2503,"&lt;="&amp;$A475))</f>
        <v/>
      </c>
      <c r="U475" s="26">
        <f>IF($G475="","",IF(OR($S475&gt;0,$Q475=0,$R475=0,$Z475&lt;&gt;"正常"),0,ROUND($T475/$Q475*$R475,0)-ROUND(($T475-$P475)/$Q475*$R475,0)))</f>
        <v/>
      </c>
      <c r="V475" s="26">
        <f>IF($G475="","",ROUND($P475+$U475,0))</f>
        <v/>
      </c>
      <c r="W475" s="26">
        <f>IF($G475="","",IF(N($K475)=0,0,ROUND($V475/$K475,2)))</f>
        <v/>
      </c>
      <c r="X475" s="17" t="inlineStr">
        <is>
          <t>采购入库</t>
        </is>
      </c>
      <c r="Y475" s="17" t="inlineStr">
        <is>
          <t>正常</t>
        </is>
      </c>
      <c r="Z475" s="17" t="inlineStr">
        <is>
          <t>正常</t>
        </is>
      </c>
      <c r="AA475" s="17" t="n"/>
      <c r="AB475" s="17" t="inlineStr">
        <is>
          <t>原表第 481 行</t>
        </is>
      </c>
      <c r="AC475" s="24">
        <f>IF($G475="","",IF($H475="※编码不在物料档案里","※物料编码不在档案里",IF(N($K475)&lt;=0,"※入库数量要大于 0",IF(AND($C475&lt;&gt;"",$C475&lt;=结账锁),"※日期早于已结账截止日，不能再录",IF(AND($L475=0,$X475="正常"),"※没填单价，价格状态请选「待补价」",IF(AND($S475&gt;0,$R475&gt;0),"△本批有 "&amp;$S475&amp;" 行没单价，整批运费先挂账没摊",IF(AND($B475&lt;&gt;"",COUNTIF($B$4:$B$2503,$B475)&gt;1),"※入库单号重复","")))))))</f>
        <v/>
      </c>
    </row>
    <row r="476">
      <c r="A476" s="24">
        <f>IF($G476="","",COUNTA($G$4:$G476))</f>
        <v/>
      </c>
      <c r="B476" s="17" t="n"/>
      <c r="C476" s="30" t="n">
        <v>46103</v>
      </c>
      <c r="D476" s="17" t="inlineStr">
        <is>
          <t>A国内</t>
        </is>
      </c>
      <c r="E476" s="17" t="inlineStr">
        <is>
          <t>GATU8663903-202603</t>
        </is>
      </c>
      <c r="F476" s="17" t="inlineStr">
        <is>
          <t>烟台市金豪矿山机械有限公司</t>
        </is>
      </c>
      <c r="G476" s="17" t="inlineStr">
        <is>
          <t>JH0422</t>
        </is>
      </c>
      <c r="H476" s="24">
        <f>IF($G476="","",IFERROR(VLOOKUP($G476,物料档案!$A$4:$P$1203,3,0),"※编码不在物料档案里"))</f>
        <v/>
      </c>
      <c r="I476" s="24">
        <f>IF($G476="","",IFERROR(VLOOKUP($G476,物料档案!$A$4:$P$1203,4,0),"※编码不在物料档案里"))</f>
        <v/>
      </c>
      <c r="J476" s="24">
        <f>IF($G476="","",IFERROR(VLOOKUP($G476,物料档案!$A$4:$P$1203,5,0),"※编码不在物料档案里"))</f>
        <v/>
      </c>
      <c r="K476" s="23" t="n">
        <v>2</v>
      </c>
      <c r="L476" s="31" t="n"/>
      <c r="M476" s="24">
        <f>IF($G476="","",IF($D476="A国内","CNY","TZS"))</f>
        <v/>
      </c>
      <c r="N476" s="28">
        <f>IF($G476="","",IF($D476="A国内",汇率,1))</f>
        <v/>
      </c>
      <c r="O476" s="25">
        <f>IF($G476="","",ROUND(N($K476)*N($L476),2))</f>
        <v/>
      </c>
      <c r="P476" s="26">
        <f>IF($G476="","",ROUND($O476*$N476,0))</f>
        <v/>
      </c>
      <c r="Q476" s="26">
        <f>IF($G476="","",SUMIFS($P$4:$P$2503,$E$4:$E$2503,$E476,$Z$4:$Z$2503,"正常"))</f>
        <v/>
      </c>
      <c r="R476" s="26">
        <f>IF($G476="","",SUMIFS(费用台账!$I$4:$I$503,费用台账!$C$4:$C$503,$E476,费用台账!$J$4:$J$503,"是",费用台账!$K$4:$K$503,"正常"))</f>
        <v/>
      </c>
      <c r="S476" s="28">
        <f>IF($G476="","",COUNTIFS($E$4:$E$2503,$E476,$Z$4:$Z$2503,"正常",$Y$4:$Y$2503,"待补价"))</f>
        <v/>
      </c>
      <c r="T476" s="26">
        <f>IF($G476="","",SUMIFS($P$4:$P$2503,$E$4:$E$2503,$E476,$Z$4:$Z$2503,"正常",$A$4:$A$2503,"&lt;="&amp;$A476))</f>
        <v/>
      </c>
      <c r="U476" s="26">
        <f>IF($G476="","",IF(OR($S476&gt;0,$Q476=0,$R476=0,$Z476&lt;&gt;"正常"),0,ROUND($T476/$Q476*$R476,0)-ROUND(($T476-$P476)/$Q476*$R476,0)))</f>
        <v/>
      </c>
      <c r="V476" s="26">
        <f>IF($G476="","",ROUND($P476+$U476,0))</f>
        <v/>
      </c>
      <c r="W476" s="26">
        <f>IF($G476="","",IF(N($K476)=0,0,ROUND($V476/$K476,2)))</f>
        <v/>
      </c>
      <c r="X476" s="17" t="inlineStr">
        <is>
          <t>采购入库</t>
        </is>
      </c>
      <c r="Y476" s="17" t="inlineStr">
        <is>
          <t>待补价</t>
        </is>
      </c>
      <c r="Z476" s="17" t="inlineStr">
        <is>
          <t>正常</t>
        </is>
      </c>
      <c r="AA476" s="17" t="n"/>
      <c r="AB476" s="17" t="inlineStr">
        <is>
          <t>原表第 482 行</t>
        </is>
      </c>
      <c r="AC476" s="24">
        <f>IF($G476="","",IF($H476="※编码不在物料档案里","※物料编码不在档案里",IF(N($K476)&lt;=0,"※入库数量要大于 0",IF(AND($C476&lt;&gt;"",$C476&lt;=结账锁),"※日期早于已结账截止日，不能再录",IF(AND($L476=0,$X476="正常"),"※没填单价，价格状态请选「待补价」",IF(AND($S476&gt;0,$R476&gt;0),"△本批有 "&amp;$S476&amp;" 行没单价，整批运费先挂账没摊",IF(AND($B476&lt;&gt;"",COUNTIF($B$4:$B$2503,$B476)&gt;1),"※入库单号重复","")))))))</f>
        <v/>
      </c>
    </row>
    <row r="477">
      <c r="A477" s="24">
        <f>IF($G477="","",COUNTA($G$4:$G477))</f>
        <v/>
      </c>
      <c r="B477" s="17" t="n"/>
      <c r="C477" s="30" t="n">
        <v>46103</v>
      </c>
      <c r="D477" s="17" t="inlineStr">
        <is>
          <t>A国内</t>
        </is>
      </c>
      <c r="E477" s="17" t="inlineStr">
        <is>
          <t>GATU8663903-202603</t>
        </is>
      </c>
      <c r="F477" s="17" t="inlineStr">
        <is>
          <t>烟台市金豪矿山机械有限公司</t>
        </is>
      </c>
      <c r="G477" s="17" t="inlineStr">
        <is>
          <t>JH0423</t>
        </is>
      </c>
      <c r="H477" s="24">
        <f>IF($G477="","",IFERROR(VLOOKUP($G477,物料档案!$A$4:$P$1203,3,0),"※编码不在物料档案里"))</f>
        <v/>
      </c>
      <c r="I477" s="24">
        <f>IF($G477="","",IFERROR(VLOOKUP($G477,物料档案!$A$4:$P$1203,4,0),"※编码不在物料档案里"))</f>
        <v/>
      </c>
      <c r="J477" s="24">
        <f>IF($G477="","",IFERROR(VLOOKUP($G477,物料档案!$A$4:$P$1203,5,0),"※编码不在物料档案里"))</f>
        <v/>
      </c>
      <c r="K477" s="23" t="n">
        <v>2</v>
      </c>
      <c r="L477" s="31" t="n"/>
      <c r="M477" s="24">
        <f>IF($G477="","",IF($D477="A国内","CNY","TZS"))</f>
        <v/>
      </c>
      <c r="N477" s="28">
        <f>IF($G477="","",IF($D477="A国内",汇率,1))</f>
        <v/>
      </c>
      <c r="O477" s="25">
        <f>IF($G477="","",ROUND(N($K477)*N($L477),2))</f>
        <v/>
      </c>
      <c r="P477" s="26">
        <f>IF($G477="","",ROUND($O477*$N477,0))</f>
        <v/>
      </c>
      <c r="Q477" s="26">
        <f>IF($G477="","",SUMIFS($P$4:$P$2503,$E$4:$E$2503,$E477,$Z$4:$Z$2503,"正常"))</f>
        <v/>
      </c>
      <c r="R477" s="26">
        <f>IF($G477="","",SUMIFS(费用台账!$I$4:$I$503,费用台账!$C$4:$C$503,$E477,费用台账!$J$4:$J$503,"是",费用台账!$K$4:$K$503,"正常"))</f>
        <v/>
      </c>
      <c r="S477" s="28">
        <f>IF($G477="","",COUNTIFS($E$4:$E$2503,$E477,$Z$4:$Z$2503,"正常",$Y$4:$Y$2503,"待补价"))</f>
        <v/>
      </c>
      <c r="T477" s="26">
        <f>IF($G477="","",SUMIFS($P$4:$P$2503,$E$4:$E$2503,$E477,$Z$4:$Z$2503,"正常",$A$4:$A$2503,"&lt;="&amp;$A477))</f>
        <v/>
      </c>
      <c r="U477" s="26">
        <f>IF($G477="","",IF(OR($S477&gt;0,$Q477=0,$R477=0,$Z477&lt;&gt;"正常"),0,ROUND($T477/$Q477*$R477,0)-ROUND(($T477-$P477)/$Q477*$R477,0)))</f>
        <v/>
      </c>
      <c r="V477" s="26">
        <f>IF($G477="","",ROUND($P477+$U477,0))</f>
        <v/>
      </c>
      <c r="W477" s="26">
        <f>IF($G477="","",IF(N($K477)=0,0,ROUND($V477/$K477,2)))</f>
        <v/>
      </c>
      <c r="X477" s="17" t="inlineStr">
        <is>
          <t>采购入库</t>
        </is>
      </c>
      <c r="Y477" s="17" t="inlineStr">
        <is>
          <t>待补价</t>
        </is>
      </c>
      <c r="Z477" s="17" t="inlineStr">
        <is>
          <t>正常</t>
        </is>
      </c>
      <c r="AA477" s="17" t="n"/>
      <c r="AB477" s="17" t="inlineStr">
        <is>
          <t>原表第 483 行</t>
        </is>
      </c>
      <c r="AC477" s="24">
        <f>IF($G477="","",IF($H477="※编码不在物料档案里","※物料编码不在档案里",IF(N($K477)&lt;=0,"※入库数量要大于 0",IF(AND($C477&lt;&gt;"",$C477&lt;=结账锁),"※日期早于已结账截止日，不能再录",IF(AND($L477=0,$X477="正常"),"※没填单价，价格状态请选「待补价」",IF(AND($S477&gt;0,$R477&gt;0),"△本批有 "&amp;$S477&amp;" 行没单价，整批运费先挂账没摊",IF(AND($B477&lt;&gt;"",COUNTIF($B$4:$B$2503,$B477)&gt;1),"※入库单号重复","")))))))</f>
        <v/>
      </c>
    </row>
    <row r="478">
      <c r="A478" s="24">
        <f>IF($G478="","",COUNTA($G$4:$G478))</f>
        <v/>
      </c>
      <c r="B478" s="17" t="n"/>
      <c r="C478" s="30" t="n">
        <v>46103</v>
      </c>
      <c r="D478" s="17" t="inlineStr">
        <is>
          <t>A国内</t>
        </is>
      </c>
      <c r="E478" s="17" t="inlineStr">
        <is>
          <t>GATU8663903-202603</t>
        </is>
      </c>
      <c r="F478" s="17" t="inlineStr">
        <is>
          <t>烟台市金豪矿山机械有限公司</t>
        </is>
      </c>
      <c r="G478" s="17" t="inlineStr">
        <is>
          <t>JH0424</t>
        </is>
      </c>
      <c r="H478" s="24">
        <f>IF($G478="","",IFERROR(VLOOKUP($G478,物料档案!$A$4:$P$1203,3,0),"※编码不在物料档案里"))</f>
        <v/>
      </c>
      <c r="I478" s="24">
        <f>IF($G478="","",IFERROR(VLOOKUP($G478,物料档案!$A$4:$P$1203,4,0),"※编码不在物料档案里"))</f>
        <v/>
      </c>
      <c r="J478" s="24">
        <f>IF($G478="","",IFERROR(VLOOKUP($G478,物料档案!$A$4:$P$1203,5,0),"※编码不在物料档案里"))</f>
        <v/>
      </c>
      <c r="K478" s="23" t="n">
        <v>8</v>
      </c>
      <c r="L478" s="31" t="n"/>
      <c r="M478" s="24">
        <f>IF($G478="","",IF($D478="A国内","CNY","TZS"))</f>
        <v/>
      </c>
      <c r="N478" s="28">
        <f>IF($G478="","",IF($D478="A国内",汇率,1))</f>
        <v/>
      </c>
      <c r="O478" s="25">
        <f>IF($G478="","",ROUND(N($K478)*N($L478),2))</f>
        <v/>
      </c>
      <c r="P478" s="26">
        <f>IF($G478="","",ROUND($O478*$N478,0))</f>
        <v/>
      </c>
      <c r="Q478" s="26">
        <f>IF($G478="","",SUMIFS($P$4:$P$2503,$E$4:$E$2503,$E478,$Z$4:$Z$2503,"正常"))</f>
        <v/>
      </c>
      <c r="R478" s="26">
        <f>IF($G478="","",SUMIFS(费用台账!$I$4:$I$503,费用台账!$C$4:$C$503,$E478,费用台账!$J$4:$J$503,"是",费用台账!$K$4:$K$503,"正常"))</f>
        <v/>
      </c>
      <c r="S478" s="28">
        <f>IF($G478="","",COUNTIFS($E$4:$E$2503,$E478,$Z$4:$Z$2503,"正常",$Y$4:$Y$2503,"待补价"))</f>
        <v/>
      </c>
      <c r="T478" s="26">
        <f>IF($G478="","",SUMIFS($P$4:$P$2503,$E$4:$E$2503,$E478,$Z$4:$Z$2503,"正常",$A$4:$A$2503,"&lt;="&amp;$A478))</f>
        <v/>
      </c>
      <c r="U478" s="26">
        <f>IF($G478="","",IF(OR($S478&gt;0,$Q478=0,$R478=0,$Z478&lt;&gt;"正常"),0,ROUND($T478/$Q478*$R478,0)-ROUND(($T478-$P478)/$Q478*$R478,0)))</f>
        <v/>
      </c>
      <c r="V478" s="26">
        <f>IF($G478="","",ROUND($P478+$U478,0))</f>
        <v/>
      </c>
      <c r="W478" s="26">
        <f>IF($G478="","",IF(N($K478)=0,0,ROUND($V478/$K478,2)))</f>
        <v/>
      </c>
      <c r="X478" s="17" t="inlineStr">
        <is>
          <t>采购入库</t>
        </is>
      </c>
      <c r="Y478" s="17" t="inlineStr">
        <is>
          <t>待补价</t>
        </is>
      </c>
      <c r="Z478" s="17" t="inlineStr">
        <is>
          <t>正常</t>
        </is>
      </c>
      <c r="AA478" s="17" t="n"/>
      <c r="AB478" s="17" t="inlineStr">
        <is>
          <t>原表第 484 行</t>
        </is>
      </c>
      <c r="AC478" s="24">
        <f>IF($G478="","",IF($H478="※编码不在物料档案里","※物料编码不在档案里",IF(N($K478)&lt;=0,"※入库数量要大于 0",IF(AND($C478&lt;&gt;"",$C478&lt;=结账锁),"※日期早于已结账截止日，不能再录",IF(AND($L478=0,$X478="正常"),"※没填单价，价格状态请选「待补价」",IF(AND($S478&gt;0,$R478&gt;0),"△本批有 "&amp;$S478&amp;" 行没单价，整批运费先挂账没摊",IF(AND($B478&lt;&gt;"",COUNTIF($B$4:$B$2503,$B478)&gt;1),"※入库单号重复","")))))))</f>
        <v/>
      </c>
    </row>
    <row r="479">
      <c r="A479" s="24">
        <f>IF($G479="","",COUNTA($G$4:$G479))</f>
        <v/>
      </c>
      <c r="B479" s="17" t="n"/>
      <c r="C479" s="30" t="n">
        <v>46103</v>
      </c>
      <c r="D479" s="17" t="inlineStr">
        <is>
          <t>A国内</t>
        </is>
      </c>
      <c r="E479" s="17" t="inlineStr">
        <is>
          <t>GATU8663903-202603</t>
        </is>
      </c>
      <c r="F479" s="17" t="inlineStr">
        <is>
          <t>烟台市金豪矿山机械有限公司</t>
        </is>
      </c>
      <c r="G479" s="17" t="inlineStr">
        <is>
          <t>JH0425</t>
        </is>
      </c>
      <c r="H479" s="24">
        <f>IF($G479="","",IFERROR(VLOOKUP($G479,物料档案!$A$4:$P$1203,3,0),"※编码不在物料档案里"))</f>
        <v/>
      </c>
      <c r="I479" s="24">
        <f>IF($G479="","",IFERROR(VLOOKUP($G479,物料档案!$A$4:$P$1203,4,0),"※编码不在物料档案里"))</f>
        <v/>
      </c>
      <c r="J479" s="24">
        <f>IF($G479="","",IFERROR(VLOOKUP($G479,物料档案!$A$4:$P$1203,5,0),"※编码不在物料档案里"))</f>
        <v/>
      </c>
      <c r="K479" s="23" t="n">
        <v>1</v>
      </c>
      <c r="L479" s="31" t="n"/>
      <c r="M479" s="24">
        <f>IF($G479="","",IF($D479="A国内","CNY","TZS"))</f>
        <v/>
      </c>
      <c r="N479" s="28">
        <f>IF($G479="","",IF($D479="A国内",汇率,1))</f>
        <v/>
      </c>
      <c r="O479" s="25">
        <f>IF($G479="","",ROUND(N($K479)*N($L479),2))</f>
        <v/>
      </c>
      <c r="P479" s="26">
        <f>IF($G479="","",ROUND($O479*$N479,0))</f>
        <v/>
      </c>
      <c r="Q479" s="26">
        <f>IF($G479="","",SUMIFS($P$4:$P$2503,$E$4:$E$2503,$E479,$Z$4:$Z$2503,"正常"))</f>
        <v/>
      </c>
      <c r="R479" s="26">
        <f>IF($G479="","",SUMIFS(费用台账!$I$4:$I$503,费用台账!$C$4:$C$503,$E479,费用台账!$J$4:$J$503,"是",费用台账!$K$4:$K$503,"正常"))</f>
        <v/>
      </c>
      <c r="S479" s="28">
        <f>IF($G479="","",COUNTIFS($E$4:$E$2503,$E479,$Z$4:$Z$2503,"正常",$Y$4:$Y$2503,"待补价"))</f>
        <v/>
      </c>
      <c r="T479" s="26">
        <f>IF($G479="","",SUMIFS($P$4:$P$2503,$E$4:$E$2503,$E479,$Z$4:$Z$2503,"正常",$A$4:$A$2503,"&lt;="&amp;$A479))</f>
        <v/>
      </c>
      <c r="U479" s="26">
        <f>IF($G479="","",IF(OR($S479&gt;0,$Q479=0,$R479=0,$Z479&lt;&gt;"正常"),0,ROUND($T479/$Q479*$R479,0)-ROUND(($T479-$P479)/$Q479*$R479,0)))</f>
        <v/>
      </c>
      <c r="V479" s="26">
        <f>IF($G479="","",ROUND($P479+$U479,0))</f>
        <v/>
      </c>
      <c r="W479" s="26">
        <f>IF($G479="","",IF(N($K479)=0,0,ROUND($V479/$K479,2)))</f>
        <v/>
      </c>
      <c r="X479" s="17" t="inlineStr">
        <is>
          <t>采购入库</t>
        </is>
      </c>
      <c r="Y479" s="17" t="inlineStr">
        <is>
          <t>待补价</t>
        </is>
      </c>
      <c r="Z479" s="17" t="inlineStr">
        <is>
          <t>正常</t>
        </is>
      </c>
      <c r="AA479" s="17" t="n"/>
      <c r="AB479" s="17" t="inlineStr">
        <is>
          <t>原表第 485 行</t>
        </is>
      </c>
      <c r="AC479" s="24">
        <f>IF($G479="","",IF($H479="※编码不在物料档案里","※物料编码不在档案里",IF(N($K479)&lt;=0,"※入库数量要大于 0",IF(AND($C479&lt;&gt;"",$C479&lt;=结账锁),"※日期早于已结账截止日，不能再录",IF(AND($L479=0,$X479="正常"),"※没填单价，价格状态请选「待补价」",IF(AND($S479&gt;0,$R479&gt;0),"△本批有 "&amp;$S479&amp;" 行没单价，整批运费先挂账没摊",IF(AND($B479&lt;&gt;"",COUNTIF($B$4:$B$2503,$B479)&gt;1),"※入库单号重复","")))))))</f>
        <v/>
      </c>
    </row>
    <row r="480">
      <c r="A480" s="24">
        <f>IF($G480="","",COUNTA($G$4:$G480))</f>
        <v/>
      </c>
      <c r="B480" s="17" t="n"/>
      <c r="C480" s="30" t="n">
        <v>46103</v>
      </c>
      <c r="D480" s="17" t="inlineStr">
        <is>
          <t>A国内</t>
        </is>
      </c>
      <c r="E480" s="17" t="inlineStr">
        <is>
          <t>GATU8663903-202603</t>
        </is>
      </c>
      <c r="F480" s="17" t="inlineStr">
        <is>
          <t>烟台市金豪矿山机械有限公司</t>
        </is>
      </c>
      <c r="G480" s="17" t="inlineStr">
        <is>
          <t>JH0426</t>
        </is>
      </c>
      <c r="H480" s="24">
        <f>IF($G480="","",IFERROR(VLOOKUP($G480,物料档案!$A$4:$P$1203,3,0),"※编码不在物料档案里"))</f>
        <v/>
      </c>
      <c r="I480" s="24">
        <f>IF($G480="","",IFERROR(VLOOKUP($G480,物料档案!$A$4:$P$1203,4,0),"※编码不在物料档案里"))</f>
        <v/>
      </c>
      <c r="J480" s="24">
        <f>IF($G480="","",IFERROR(VLOOKUP($G480,物料档案!$A$4:$P$1203,5,0),"※编码不在物料档案里"))</f>
        <v/>
      </c>
      <c r="K480" s="23" t="n">
        <v>1</v>
      </c>
      <c r="L480" s="31" t="n"/>
      <c r="M480" s="24">
        <f>IF($G480="","",IF($D480="A国内","CNY","TZS"))</f>
        <v/>
      </c>
      <c r="N480" s="28">
        <f>IF($G480="","",IF($D480="A国内",汇率,1))</f>
        <v/>
      </c>
      <c r="O480" s="25">
        <f>IF($G480="","",ROUND(N($K480)*N($L480),2))</f>
        <v/>
      </c>
      <c r="P480" s="26">
        <f>IF($G480="","",ROUND($O480*$N480,0))</f>
        <v/>
      </c>
      <c r="Q480" s="26">
        <f>IF($G480="","",SUMIFS($P$4:$P$2503,$E$4:$E$2503,$E480,$Z$4:$Z$2503,"正常"))</f>
        <v/>
      </c>
      <c r="R480" s="26">
        <f>IF($G480="","",SUMIFS(费用台账!$I$4:$I$503,费用台账!$C$4:$C$503,$E480,费用台账!$J$4:$J$503,"是",费用台账!$K$4:$K$503,"正常"))</f>
        <v/>
      </c>
      <c r="S480" s="28">
        <f>IF($G480="","",COUNTIFS($E$4:$E$2503,$E480,$Z$4:$Z$2503,"正常",$Y$4:$Y$2503,"待补价"))</f>
        <v/>
      </c>
      <c r="T480" s="26">
        <f>IF($G480="","",SUMIFS($P$4:$P$2503,$E$4:$E$2503,$E480,$Z$4:$Z$2503,"正常",$A$4:$A$2503,"&lt;="&amp;$A480))</f>
        <v/>
      </c>
      <c r="U480" s="26">
        <f>IF($G480="","",IF(OR($S480&gt;0,$Q480=0,$R480=0,$Z480&lt;&gt;"正常"),0,ROUND($T480/$Q480*$R480,0)-ROUND(($T480-$P480)/$Q480*$R480,0)))</f>
        <v/>
      </c>
      <c r="V480" s="26">
        <f>IF($G480="","",ROUND($P480+$U480,0))</f>
        <v/>
      </c>
      <c r="W480" s="26">
        <f>IF($G480="","",IF(N($K480)=0,0,ROUND($V480/$K480,2)))</f>
        <v/>
      </c>
      <c r="X480" s="17" t="inlineStr">
        <is>
          <t>采购入库</t>
        </is>
      </c>
      <c r="Y480" s="17" t="inlineStr">
        <is>
          <t>待补价</t>
        </is>
      </c>
      <c r="Z480" s="17" t="inlineStr">
        <is>
          <t>正常</t>
        </is>
      </c>
      <c r="AA480" s="17" t="n"/>
      <c r="AB480" s="17" t="inlineStr">
        <is>
          <t>原表第 486 行</t>
        </is>
      </c>
      <c r="AC480" s="24">
        <f>IF($G480="","",IF($H480="※编码不在物料档案里","※物料编码不在档案里",IF(N($K480)&lt;=0,"※入库数量要大于 0",IF(AND($C480&lt;&gt;"",$C480&lt;=结账锁),"※日期早于已结账截止日，不能再录",IF(AND($L480=0,$X480="正常"),"※没填单价，价格状态请选「待补价」",IF(AND($S480&gt;0,$R480&gt;0),"△本批有 "&amp;$S480&amp;" 行没单价，整批运费先挂账没摊",IF(AND($B480&lt;&gt;"",COUNTIF($B$4:$B$2503,$B480)&gt;1),"※入库单号重复","")))))))</f>
        <v/>
      </c>
    </row>
    <row r="481">
      <c r="A481" s="24">
        <f>IF($G481="","",COUNTA($G$4:$G481))</f>
        <v/>
      </c>
      <c r="B481" s="17" t="n"/>
      <c r="C481" s="30" t="n">
        <v>46103</v>
      </c>
      <c r="D481" s="17" t="inlineStr">
        <is>
          <t>A国内</t>
        </is>
      </c>
      <c r="E481" s="17" t="inlineStr">
        <is>
          <t>GATU8663903-202603</t>
        </is>
      </c>
      <c r="F481" s="17" t="inlineStr">
        <is>
          <t>烟台市金豪矿山机械有限公司</t>
        </is>
      </c>
      <c r="G481" s="17" t="inlineStr">
        <is>
          <t>JH0427</t>
        </is>
      </c>
      <c r="H481" s="24">
        <f>IF($G481="","",IFERROR(VLOOKUP($G481,物料档案!$A$4:$P$1203,3,0),"※编码不在物料档案里"))</f>
        <v/>
      </c>
      <c r="I481" s="24">
        <f>IF($G481="","",IFERROR(VLOOKUP($G481,物料档案!$A$4:$P$1203,4,0),"※编码不在物料档案里"))</f>
        <v/>
      </c>
      <c r="J481" s="24">
        <f>IF($G481="","",IFERROR(VLOOKUP($G481,物料档案!$A$4:$P$1203,5,0),"※编码不在物料档案里"))</f>
        <v/>
      </c>
      <c r="K481" s="23" t="n">
        <v>1</v>
      </c>
      <c r="L481" s="31" t="n"/>
      <c r="M481" s="24">
        <f>IF($G481="","",IF($D481="A国内","CNY","TZS"))</f>
        <v/>
      </c>
      <c r="N481" s="28">
        <f>IF($G481="","",IF($D481="A国内",汇率,1))</f>
        <v/>
      </c>
      <c r="O481" s="25">
        <f>IF($G481="","",ROUND(N($K481)*N($L481),2))</f>
        <v/>
      </c>
      <c r="P481" s="26">
        <f>IF($G481="","",ROUND($O481*$N481,0))</f>
        <v/>
      </c>
      <c r="Q481" s="26">
        <f>IF($G481="","",SUMIFS($P$4:$P$2503,$E$4:$E$2503,$E481,$Z$4:$Z$2503,"正常"))</f>
        <v/>
      </c>
      <c r="R481" s="26">
        <f>IF($G481="","",SUMIFS(费用台账!$I$4:$I$503,费用台账!$C$4:$C$503,$E481,费用台账!$J$4:$J$503,"是",费用台账!$K$4:$K$503,"正常"))</f>
        <v/>
      </c>
      <c r="S481" s="28">
        <f>IF($G481="","",COUNTIFS($E$4:$E$2503,$E481,$Z$4:$Z$2503,"正常",$Y$4:$Y$2503,"待补价"))</f>
        <v/>
      </c>
      <c r="T481" s="26">
        <f>IF($G481="","",SUMIFS($P$4:$P$2503,$E$4:$E$2503,$E481,$Z$4:$Z$2503,"正常",$A$4:$A$2503,"&lt;="&amp;$A481))</f>
        <v/>
      </c>
      <c r="U481" s="26">
        <f>IF($G481="","",IF(OR($S481&gt;0,$Q481=0,$R481=0,$Z481&lt;&gt;"正常"),0,ROUND($T481/$Q481*$R481,0)-ROUND(($T481-$P481)/$Q481*$R481,0)))</f>
        <v/>
      </c>
      <c r="V481" s="26">
        <f>IF($G481="","",ROUND($P481+$U481,0))</f>
        <v/>
      </c>
      <c r="W481" s="26">
        <f>IF($G481="","",IF(N($K481)=0,0,ROUND($V481/$K481,2)))</f>
        <v/>
      </c>
      <c r="X481" s="17" t="inlineStr">
        <is>
          <t>采购入库</t>
        </is>
      </c>
      <c r="Y481" s="17" t="inlineStr">
        <is>
          <t>待补价</t>
        </is>
      </c>
      <c r="Z481" s="17" t="inlineStr">
        <is>
          <t>正常</t>
        </is>
      </c>
      <c r="AA481" s="17" t="n"/>
      <c r="AB481" s="17" t="inlineStr">
        <is>
          <t>原表第 487 行</t>
        </is>
      </c>
      <c r="AC481" s="24">
        <f>IF($G481="","",IF($H481="※编码不在物料档案里","※物料编码不在档案里",IF(N($K481)&lt;=0,"※入库数量要大于 0",IF(AND($C481&lt;&gt;"",$C481&lt;=结账锁),"※日期早于已结账截止日，不能再录",IF(AND($L481=0,$X481="正常"),"※没填单价，价格状态请选「待补价」",IF(AND($S481&gt;0,$R481&gt;0),"△本批有 "&amp;$S481&amp;" 行没单价，整批运费先挂账没摊",IF(AND($B481&lt;&gt;"",COUNTIF($B$4:$B$2503,$B481)&gt;1),"※入库单号重复","")))))))</f>
        <v/>
      </c>
    </row>
    <row r="482">
      <c r="A482" s="24">
        <f>IF($G482="","",COUNTA($G$4:$G482))</f>
        <v/>
      </c>
      <c r="B482" s="17" t="n"/>
      <c r="C482" s="30" t="n">
        <v>46103</v>
      </c>
      <c r="D482" s="17" t="inlineStr">
        <is>
          <t>A国内</t>
        </is>
      </c>
      <c r="E482" s="17" t="inlineStr">
        <is>
          <t>GATU8663903-202603</t>
        </is>
      </c>
      <c r="F482" s="17" t="inlineStr">
        <is>
          <t>烟台市金豪矿山机械有限公司</t>
        </is>
      </c>
      <c r="G482" s="17" t="inlineStr">
        <is>
          <t>JH0428</t>
        </is>
      </c>
      <c r="H482" s="24">
        <f>IF($G482="","",IFERROR(VLOOKUP($G482,物料档案!$A$4:$P$1203,3,0),"※编码不在物料档案里"))</f>
        <v/>
      </c>
      <c r="I482" s="24">
        <f>IF($G482="","",IFERROR(VLOOKUP($G482,物料档案!$A$4:$P$1203,4,0),"※编码不在物料档案里"))</f>
        <v/>
      </c>
      <c r="J482" s="24">
        <f>IF($G482="","",IFERROR(VLOOKUP($G482,物料档案!$A$4:$P$1203,5,0),"※编码不在物料档案里"))</f>
        <v/>
      </c>
      <c r="K482" s="23" t="n">
        <v>2</v>
      </c>
      <c r="L482" s="31" t="n"/>
      <c r="M482" s="24">
        <f>IF($G482="","",IF($D482="A国内","CNY","TZS"))</f>
        <v/>
      </c>
      <c r="N482" s="28">
        <f>IF($G482="","",IF($D482="A国内",汇率,1))</f>
        <v/>
      </c>
      <c r="O482" s="25">
        <f>IF($G482="","",ROUND(N($K482)*N($L482),2))</f>
        <v/>
      </c>
      <c r="P482" s="26">
        <f>IF($G482="","",ROUND($O482*$N482,0))</f>
        <v/>
      </c>
      <c r="Q482" s="26">
        <f>IF($G482="","",SUMIFS($P$4:$P$2503,$E$4:$E$2503,$E482,$Z$4:$Z$2503,"正常"))</f>
        <v/>
      </c>
      <c r="R482" s="26">
        <f>IF($G482="","",SUMIFS(费用台账!$I$4:$I$503,费用台账!$C$4:$C$503,$E482,费用台账!$J$4:$J$503,"是",费用台账!$K$4:$K$503,"正常"))</f>
        <v/>
      </c>
      <c r="S482" s="28">
        <f>IF($G482="","",COUNTIFS($E$4:$E$2503,$E482,$Z$4:$Z$2503,"正常",$Y$4:$Y$2503,"待补价"))</f>
        <v/>
      </c>
      <c r="T482" s="26">
        <f>IF($G482="","",SUMIFS($P$4:$P$2503,$E$4:$E$2503,$E482,$Z$4:$Z$2503,"正常",$A$4:$A$2503,"&lt;="&amp;$A482))</f>
        <v/>
      </c>
      <c r="U482" s="26">
        <f>IF($G482="","",IF(OR($S482&gt;0,$Q482=0,$R482=0,$Z482&lt;&gt;"正常"),0,ROUND($T482/$Q482*$R482,0)-ROUND(($T482-$P482)/$Q482*$R482,0)))</f>
        <v/>
      </c>
      <c r="V482" s="26">
        <f>IF($G482="","",ROUND($P482+$U482,0))</f>
        <v/>
      </c>
      <c r="W482" s="26">
        <f>IF($G482="","",IF(N($K482)=0,0,ROUND($V482/$K482,2)))</f>
        <v/>
      </c>
      <c r="X482" s="17" t="inlineStr">
        <is>
          <t>采购入库</t>
        </is>
      </c>
      <c r="Y482" s="17" t="inlineStr">
        <is>
          <t>待补价</t>
        </is>
      </c>
      <c r="Z482" s="17" t="inlineStr">
        <is>
          <t>正常</t>
        </is>
      </c>
      <c r="AA482" s="17" t="n"/>
      <c r="AB482" s="17" t="inlineStr">
        <is>
          <t>原表第 488 行</t>
        </is>
      </c>
      <c r="AC482" s="24">
        <f>IF($G482="","",IF($H482="※编码不在物料档案里","※物料编码不在档案里",IF(N($K482)&lt;=0,"※入库数量要大于 0",IF(AND($C482&lt;&gt;"",$C482&lt;=结账锁),"※日期早于已结账截止日，不能再录",IF(AND($L482=0,$X482="正常"),"※没填单价，价格状态请选「待补价」",IF(AND($S482&gt;0,$R482&gt;0),"△本批有 "&amp;$S482&amp;" 行没单价，整批运费先挂账没摊",IF(AND($B482&lt;&gt;"",COUNTIF($B$4:$B$2503,$B482)&gt;1),"※入库单号重复","")))))))</f>
        <v/>
      </c>
    </row>
    <row r="483">
      <c r="A483" s="24">
        <f>IF($G483="","",COUNTA($G$4:$G483))</f>
        <v/>
      </c>
      <c r="B483" s="17" t="n"/>
      <c r="C483" s="30" t="n">
        <v>46103</v>
      </c>
      <c r="D483" s="17" t="inlineStr">
        <is>
          <t>A国内</t>
        </is>
      </c>
      <c r="E483" s="17" t="inlineStr">
        <is>
          <t>GATU8663903-202603</t>
        </is>
      </c>
      <c r="F483" s="17" t="inlineStr">
        <is>
          <t>烟台市金豪矿山机械有限公司</t>
        </is>
      </c>
      <c r="G483" s="17" t="inlineStr">
        <is>
          <t>JH0429</t>
        </is>
      </c>
      <c r="H483" s="24">
        <f>IF($G483="","",IFERROR(VLOOKUP($G483,物料档案!$A$4:$P$1203,3,0),"※编码不在物料档案里"))</f>
        <v/>
      </c>
      <c r="I483" s="24">
        <f>IF($G483="","",IFERROR(VLOOKUP($G483,物料档案!$A$4:$P$1203,4,0),"※编码不在物料档案里"))</f>
        <v/>
      </c>
      <c r="J483" s="24">
        <f>IF($G483="","",IFERROR(VLOOKUP($G483,物料档案!$A$4:$P$1203,5,0),"※编码不在物料档案里"))</f>
        <v/>
      </c>
      <c r="K483" s="23" t="n">
        <v>1</v>
      </c>
      <c r="L483" s="31" t="n"/>
      <c r="M483" s="24">
        <f>IF($G483="","",IF($D483="A国内","CNY","TZS"))</f>
        <v/>
      </c>
      <c r="N483" s="28">
        <f>IF($G483="","",IF($D483="A国内",汇率,1))</f>
        <v/>
      </c>
      <c r="O483" s="25">
        <f>IF($G483="","",ROUND(N($K483)*N($L483),2))</f>
        <v/>
      </c>
      <c r="P483" s="26">
        <f>IF($G483="","",ROUND($O483*$N483,0))</f>
        <v/>
      </c>
      <c r="Q483" s="26">
        <f>IF($G483="","",SUMIFS($P$4:$P$2503,$E$4:$E$2503,$E483,$Z$4:$Z$2503,"正常"))</f>
        <v/>
      </c>
      <c r="R483" s="26">
        <f>IF($G483="","",SUMIFS(费用台账!$I$4:$I$503,费用台账!$C$4:$C$503,$E483,费用台账!$J$4:$J$503,"是",费用台账!$K$4:$K$503,"正常"))</f>
        <v/>
      </c>
      <c r="S483" s="28">
        <f>IF($G483="","",COUNTIFS($E$4:$E$2503,$E483,$Z$4:$Z$2503,"正常",$Y$4:$Y$2503,"待补价"))</f>
        <v/>
      </c>
      <c r="T483" s="26">
        <f>IF($G483="","",SUMIFS($P$4:$P$2503,$E$4:$E$2503,$E483,$Z$4:$Z$2503,"正常",$A$4:$A$2503,"&lt;="&amp;$A483))</f>
        <v/>
      </c>
      <c r="U483" s="26">
        <f>IF($G483="","",IF(OR($S483&gt;0,$Q483=0,$R483=0,$Z483&lt;&gt;"正常"),0,ROUND($T483/$Q483*$R483,0)-ROUND(($T483-$P483)/$Q483*$R483,0)))</f>
        <v/>
      </c>
      <c r="V483" s="26">
        <f>IF($G483="","",ROUND($P483+$U483,0))</f>
        <v/>
      </c>
      <c r="W483" s="26">
        <f>IF($G483="","",IF(N($K483)=0,0,ROUND($V483/$K483,2)))</f>
        <v/>
      </c>
      <c r="X483" s="17" t="inlineStr">
        <is>
          <t>采购入库</t>
        </is>
      </c>
      <c r="Y483" s="17" t="inlineStr">
        <is>
          <t>待补价</t>
        </is>
      </c>
      <c r="Z483" s="17" t="inlineStr">
        <is>
          <t>正常</t>
        </is>
      </c>
      <c r="AA483" s="17" t="n"/>
      <c r="AB483" s="17" t="inlineStr">
        <is>
          <t>原表第 489 行</t>
        </is>
      </c>
      <c r="AC483" s="24">
        <f>IF($G483="","",IF($H483="※编码不在物料档案里","※物料编码不在档案里",IF(N($K483)&lt;=0,"※入库数量要大于 0",IF(AND($C483&lt;&gt;"",$C483&lt;=结账锁),"※日期早于已结账截止日，不能再录",IF(AND($L483=0,$X483="正常"),"※没填单价，价格状态请选「待补价」",IF(AND($S483&gt;0,$R483&gt;0),"△本批有 "&amp;$S483&amp;" 行没单价，整批运费先挂账没摊",IF(AND($B483&lt;&gt;"",COUNTIF($B$4:$B$2503,$B483)&gt;1),"※入库单号重复","")))))))</f>
        <v/>
      </c>
    </row>
    <row r="484">
      <c r="A484" s="24">
        <f>IF($G484="","",COUNTA($G$4:$G484))</f>
        <v/>
      </c>
      <c r="B484" s="17" t="n"/>
      <c r="C484" s="30" t="n">
        <v>46103</v>
      </c>
      <c r="D484" s="17" t="inlineStr">
        <is>
          <t>A国内</t>
        </is>
      </c>
      <c r="E484" s="17" t="inlineStr">
        <is>
          <t>GATU8663903-202603</t>
        </is>
      </c>
      <c r="F484" s="17" t="inlineStr">
        <is>
          <t>烟台市金豪矿山机械有限公司</t>
        </is>
      </c>
      <c r="G484" s="17" t="inlineStr">
        <is>
          <t>JH0430</t>
        </is>
      </c>
      <c r="H484" s="24">
        <f>IF($G484="","",IFERROR(VLOOKUP($G484,物料档案!$A$4:$P$1203,3,0),"※编码不在物料档案里"))</f>
        <v/>
      </c>
      <c r="I484" s="24">
        <f>IF($G484="","",IFERROR(VLOOKUP($G484,物料档案!$A$4:$P$1203,4,0),"※编码不在物料档案里"))</f>
        <v/>
      </c>
      <c r="J484" s="24">
        <f>IF($G484="","",IFERROR(VLOOKUP($G484,物料档案!$A$4:$P$1203,5,0),"※编码不在物料档案里"))</f>
        <v/>
      </c>
      <c r="K484" s="23" t="n">
        <v>1</v>
      </c>
      <c r="L484" s="31" t="n"/>
      <c r="M484" s="24">
        <f>IF($G484="","",IF($D484="A国内","CNY","TZS"))</f>
        <v/>
      </c>
      <c r="N484" s="28">
        <f>IF($G484="","",IF($D484="A国内",汇率,1))</f>
        <v/>
      </c>
      <c r="O484" s="25">
        <f>IF($G484="","",ROUND(N($K484)*N($L484),2))</f>
        <v/>
      </c>
      <c r="P484" s="26">
        <f>IF($G484="","",ROUND($O484*$N484,0))</f>
        <v/>
      </c>
      <c r="Q484" s="26">
        <f>IF($G484="","",SUMIFS($P$4:$P$2503,$E$4:$E$2503,$E484,$Z$4:$Z$2503,"正常"))</f>
        <v/>
      </c>
      <c r="R484" s="26">
        <f>IF($G484="","",SUMIFS(费用台账!$I$4:$I$503,费用台账!$C$4:$C$503,$E484,费用台账!$J$4:$J$503,"是",费用台账!$K$4:$K$503,"正常"))</f>
        <v/>
      </c>
      <c r="S484" s="28">
        <f>IF($G484="","",COUNTIFS($E$4:$E$2503,$E484,$Z$4:$Z$2503,"正常",$Y$4:$Y$2503,"待补价"))</f>
        <v/>
      </c>
      <c r="T484" s="26">
        <f>IF($G484="","",SUMIFS($P$4:$P$2503,$E$4:$E$2503,$E484,$Z$4:$Z$2503,"正常",$A$4:$A$2503,"&lt;="&amp;$A484))</f>
        <v/>
      </c>
      <c r="U484" s="26">
        <f>IF($G484="","",IF(OR($S484&gt;0,$Q484=0,$R484=0,$Z484&lt;&gt;"正常"),0,ROUND($T484/$Q484*$R484,0)-ROUND(($T484-$P484)/$Q484*$R484,0)))</f>
        <v/>
      </c>
      <c r="V484" s="26">
        <f>IF($G484="","",ROUND($P484+$U484,0))</f>
        <v/>
      </c>
      <c r="W484" s="26">
        <f>IF($G484="","",IF(N($K484)=0,0,ROUND($V484/$K484,2)))</f>
        <v/>
      </c>
      <c r="X484" s="17" t="inlineStr">
        <is>
          <t>采购入库</t>
        </is>
      </c>
      <c r="Y484" s="17" t="inlineStr">
        <is>
          <t>待补价</t>
        </is>
      </c>
      <c r="Z484" s="17" t="inlineStr">
        <is>
          <t>正常</t>
        </is>
      </c>
      <c r="AA484" s="17" t="n"/>
      <c r="AB484" s="17" t="inlineStr">
        <is>
          <t>原表第 490 行</t>
        </is>
      </c>
      <c r="AC484" s="24">
        <f>IF($G484="","",IF($H484="※编码不在物料档案里","※物料编码不在档案里",IF(N($K484)&lt;=0,"※入库数量要大于 0",IF(AND($C484&lt;&gt;"",$C484&lt;=结账锁),"※日期早于已结账截止日，不能再录",IF(AND($L484=0,$X484="正常"),"※没填单价，价格状态请选「待补价」",IF(AND($S484&gt;0,$R484&gt;0),"△本批有 "&amp;$S484&amp;" 行没单价，整批运费先挂账没摊",IF(AND($B484&lt;&gt;"",COUNTIF($B$4:$B$2503,$B484)&gt;1),"※入库单号重复","")))))))</f>
        <v/>
      </c>
    </row>
    <row r="485">
      <c r="A485" s="24">
        <f>IF($G485="","",COUNTA($G$4:$G485))</f>
        <v/>
      </c>
      <c r="B485" s="17" t="n"/>
      <c r="C485" s="30" t="n">
        <v>46103</v>
      </c>
      <c r="D485" s="17" t="inlineStr">
        <is>
          <t>A国内</t>
        </is>
      </c>
      <c r="E485" s="17" t="inlineStr">
        <is>
          <t>GATU8663903-202603</t>
        </is>
      </c>
      <c r="F485" s="17" t="inlineStr">
        <is>
          <t>烟台市金豪矿山机械有限公司</t>
        </is>
      </c>
      <c r="G485" s="17" t="inlineStr">
        <is>
          <t>JH0431</t>
        </is>
      </c>
      <c r="H485" s="24">
        <f>IF($G485="","",IFERROR(VLOOKUP($G485,物料档案!$A$4:$P$1203,3,0),"※编码不在物料档案里"))</f>
        <v/>
      </c>
      <c r="I485" s="24">
        <f>IF($G485="","",IFERROR(VLOOKUP($G485,物料档案!$A$4:$P$1203,4,0),"※编码不在物料档案里"))</f>
        <v/>
      </c>
      <c r="J485" s="24">
        <f>IF($G485="","",IFERROR(VLOOKUP($G485,物料档案!$A$4:$P$1203,5,0),"※编码不在物料档案里"))</f>
        <v/>
      </c>
      <c r="K485" s="23" t="n">
        <v>1</v>
      </c>
      <c r="L485" s="31" t="n">
        <v>400</v>
      </c>
      <c r="M485" s="24">
        <f>IF($G485="","",IF($D485="A国内","CNY","TZS"))</f>
        <v/>
      </c>
      <c r="N485" s="28">
        <f>IF($G485="","",IF($D485="A国内",汇率,1))</f>
        <v/>
      </c>
      <c r="O485" s="25">
        <f>IF($G485="","",ROUND(N($K485)*N($L485),2))</f>
        <v/>
      </c>
      <c r="P485" s="26">
        <f>IF($G485="","",ROUND($O485*$N485,0))</f>
        <v/>
      </c>
      <c r="Q485" s="26">
        <f>IF($G485="","",SUMIFS($P$4:$P$2503,$E$4:$E$2503,$E485,$Z$4:$Z$2503,"正常"))</f>
        <v/>
      </c>
      <c r="R485" s="26">
        <f>IF($G485="","",SUMIFS(费用台账!$I$4:$I$503,费用台账!$C$4:$C$503,$E485,费用台账!$J$4:$J$503,"是",费用台账!$K$4:$K$503,"正常"))</f>
        <v/>
      </c>
      <c r="S485" s="28">
        <f>IF($G485="","",COUNTIFS($E$4:$E$2503,$E485,$Z$4:$Z$2503,"正常",$Y$4:$Y$2503,"待补价"))</f>
        <v/>
      </c>
      <c r="T485" s="26">
        <f>IF($G485="","",SUMIFS($P$4:$P$2503,$E$4:$E$2503,$E485,$Z$4:$Z$2503,"正常",$A$4:$A$2503,"&lt;="&amp;$A485))</f>
        <v/>
      </c>
      <c r="U485" s="26">
        <f>IF($G485="","",IF(OR($S485&gt;0,$Q485=0,$R485=0,$Z485&lt;&gt;"正常"),0,ROUND($T485/$Q485*$R485,0)-ROUND(($T485-$P485)/$Q485*$R485,0)))</f>
        <v/>
      </c>
      <c r="V485" s="26">
        <f>IF($G485="","",ROUND($P485+$U485,0))</f>
        <v/>
      </c>
      <c r="W485" s="26">
        <f>IF($G485="","",IF(N($K485)=0,0,ROUND($V485/$K485,2)))</f>
        <v/>
      </c>
      <c r="X485" s="17" t="inlineStr">
        <is>
          <t>采购入库</t>
        </is>
      </c>
      <c r="Y485" s="17" t="inlineStr">
        <is>
          <t>正常</t>
        </is>
      </c>
      <c r="Z485" s="17" t="inlineStr">
        <is>
          <t>正常</t>
        </is>
      </c>
      <c r="AA485" s="17" t="n"/>
      <c r="AB485" s="17" t="inlineStr">
        <is>
          <t>原表第 491 行</t>
        </is>
      </c>
      <c r="AC485" s="24">
        <f>IF($G485="","",IF($H485="※编码不在物料档案里","※物料编码不在档案里",IF(N($K485)&lt;=0,"※入库数量要大于 0",IF(AND($C485&lt;&gt;"",$C485&lt;=结账锁),"※日期早于已结账截止日，不能再录",IF(AND($L485=0,$X485="正常"),"※没填单价，价格状态请选「待补价」",IF(AND($S485&gt;0,$R485&gt;0),"△本批有 "&amp;$S485&amp;" 行没单价，整批运费先挂账没摊",IF(AND($B485&lt;&gt;"",COUNTIF($B$4:$B$2503,$B485)&gt;1),"※入库单号重复","")))))))</f>
        <v/>
      </c>
    </row>
    <row r="486">
      <c r="A486" s="24">
        <f>IF($G486="","",COUNTA($G$4:$G486))</f>
        <v/>
      </c>
      <c r="B486" s="17" t="n"/>
      <c r="C486" s="30" t="n">
        <v>46103</v>
      </c>
      <c r="D486" s="17" t="inlineStr">
        <is>
          <t>A国内</t>
        </is>
      </c>
      <c r="E486" s="17" t="inlineStr">
        <is>
          <t>GATU8663903-202603</t>
        </is>
      </c>
      <c r="F486" s="17" t="inlineStr">
        <is>
          <t>烟台市金豪矿山机械有限公司</t>
        </is>
      </c>
      <c r="G486" s="17" t="inlineStr">
        <is>
          <t>JH0432</t>
        </is>
      </c>
      <c r="H486" s="24">
        <f>IF($G486="","",IFERROR(VLOOKUP($G486,物料档案!$A$4:$P$1203,3,0),"※编码不在物料档案里"))</f>
        <v/>
      </c>
      <c r="I486" s="24">
        <f>IF($G486="","",IFERROR(VLOOKUP($G486,物料档案!$A$4:$P$1203,4,0),"※编码不在物料档案里"))</f>
        <v/>
      </c>
      <c r="J486" s="24">
        <f>IF($G486="","",IFERROR(VLOOKUP($G486,物料档案!$A$4:$P$1203,5,0),"※编码不在物料档案里"))</f>
        <v/>
      </c>
      <c r="K486" s="23" t="n">
        <v>1</v>
      </c>
      <c r="L486" s="31" t="n">
        <v>200</v>
      </c>
      <c r="M486" s="24">
        <f>IF($G486="","",IF($D486="A国内","CNY","TZS"))</f>
        <v/>
      </c>
      <c r="N486" s="28">
        <f>IF($G486="","",IF($D486="A国内",汇率,1))</f>
        <v/>
      </c>
      <c r="O486" s="25">
        <f>IF($G486="","",ROUND(N($K486)*N($L486),2))</f>
        <v/>
      </c>
      <c r="P486" s="26">
        <f>IF($G486="","",ROUND($O486*$N486,0))</f>
        <v/>
      </c>
      <c r="Q486" s="26">
        <f>IF($G486="","",SUMIFS($P$4:$P$2503,$E$4:$E$2503,$E486,$Z$4:$Z$2503,"正常"))</f>
        <v/>
      </c>
      <c r="R486" s="26">
        <f>IF($G486="","",SUMIFS(费用台账!$I$4:$I$503,费用台账!$C$4:$C$503,$E486,费用台账!$J$4:$J$503,"是",费用台账!$K$4:$K$503,"正常"))</f>
        <v/>
      </c>
      <c r="S486" s="28">
        <f>IF($G486="","",COUNTIFS($E$4:$E$2503,$E486,$Z$4:$Z$2503,"正常",$Y$4:$Y$2503,"待补价"))</f>
        <v/>
      </c>
      <c r="T486" s="26">
        <f>IF($G486="","",SUMIFS($P$4:$P$2503,$E$4:$E$2503,$E486,$Z$4:$Z$2503,"正常",$A$4:$A$2503,"&lt;="&amp;$A486))</f>
        <v/>
      </c>
      <c r="U486" s="26">
        <f>IF($G486="","",IF(OR($S486&gt;0,$Q486=0,$R486=0,$Z486&lt;&gt;"正常"),0,ROUND($T486/$Q486*$R486,0)-ROUND(($T486-$P486)/$Q486*$R486,0)))</f>
        <v/>
      </c>
      <c r="V486" s="26">
        <f>IF($G486="","",ROUND($P486+$U486,0))</f>
        <v/>
      </c>
      <c r="W486" s="26">
        <f>IF($G486="","",IF(N($K486)=0,0,ROUND($V486/$K486,2)))</f>
        <v/>
      </c>
      <c r="X486" s="17" t="inlineStr">
        <is>
          <t>采购入库</t>
        </is>
      </c>
      <c r="Y486" s="17" t="inlineStr">
        <is>
          <t>正常</t>
        </is>
      </c>
      <c r="Z486" s="17" t="inlineStr">
        <is>
          <t>正常</t>
        </is>
      </c>
      <c r="AA486" s="17" t="n"/>
      <c r="AB486" s="17" t="inlineStr">
        <is>
          <t>原表第 492 行</t>
        </is>
      </c>
      <c r="AC486" s="24">
        <f>IF($G486="","",IF($H486="※编码不在物料档案里","※物料编码不在档案里",IF(N($K486)&lt;=0,"※入库数量要大于 0",IF(AND($C486&lt;&gt;"",$C486&lt;=结账锁),"※日期早于已结账截止日，不能再录",IF(AND($L486=0,$X486="正常"),"※没填单价，价格状态请选「待补价」",IF(AND($S486&gt;0,$R486&gt;0),"△本批有 "&amp;$S486&amp;" 行没单价，整批运费先挂账没摊",IF(AND($B486&lt;&gt;"",COUNTIF($B$4:$B$2503,$B486)&gt;1),"※入库单号重复","")))))))</f>
        <v/>
      </c>
    </row>
    <row r="487">
      <c r="A487" s="24">
        <f>IF($G487="","",COUNTA($G$4:$G487))</f>
        <v/>
      </c>
      <c r="B487" s="17" t="n"/>
      <c r="C487" s="30" t="n">
        <v>46103</v>
      </c>
      <c r="D487" s="17" t="inlineStr">
        <is>
          <t>A国内</t>
        </is>
      </c>
      <c r="E487" s="17" t="inlineStr">
        <is>
          <t>GATU8663903-202603</t>
        </is>
      </c>
      <c r="F487" s="17" t="inlineStr">
        <is>
          <t>烟台市金豪矿山机械有限公司</t>
        </is>
      </c>
      <c r="G487" s="17" t="inlineStr">
        <is>
          <t>JH0433</t>
        </is>
      </c>
      <c r="H487" s="24">
        <f>IF($G487="","",IFERROR(VLOOKUP($G487,物料档案!$A$4:$P$1203,3,0),"※编码不在物料档案里"))</f>
        <v/>
      </c>
      <c r="I487" s="24">
        <f>IF($G487="","",IFERROR(VLOOKUP($G487,物料档案!$A$4:$P$1203,4,0),"※编码不在物料档案里"))</f>
        <v/>
      </c>
      <c r="J487" s="24">
        <f>IF($G487="","",IFERROR(VLOOKUP($G487,物料档案!$A$4:$P$1203,5,0),"※编码不在物料档案里"))</f>
        <v/>
      </c>
      <c r="K487" s="23" t="n">
        <v>20</v>
      </c>
      <c r="L487" s="31" t="n"/>
      <c r="M487" s="24">
        <f>IF($G487="","",IF($D487="A国内","CNY","TZS"))</f>
        <v/>
      </c>
      <c r="N487" s="28">
        <f>IF($G487="","",IF($D487="A国内",汇率,1))</f>
        <v/>
      </c>
      <c r="O487" s="25">
        <f>IF($G487="","",ROUND(N($K487)*N($L487),2))</f>
        <v/>
      </c>
      <c r="P487" s="26">
        <f>IF($G487="","",ROUND($O487*$N487,0))</f>
        <v/>
      </c>
      <c r="Q487" s="26">
        <f>IF($G487="","",SUMIFS($P$4:$P$2503,$E$4:$E$2503,$E487,$Z$4:$Z$2503,"正常"))</f>
        <v/>
      </c>
      <c r="R487" s="26">
        <f>IF($G487="","",SUMIFS(费用台账!$I$4:$I$503,费用台账!$C$4:$C$503,$E487,费用台账!$J$4:$J$503,"是",费用台账!$K$4:$K$503,"正常"))</f>
        <v/>
      </c>
      <c r="S487" s="28">
        <f>IF($G487="","",COUNTIFS($E$4:$E$2503,$E487,$Z$4:$Z$2503,"正常",$Y$4:$Y$2503,"待补价"))</f>
        <v/>
      </c>
      <c r="T487" s="26">
        <f>IF($G487="","",SUMIFS($P$4:$P$2503,$E$4:$E$2503,$E487,$Z$4:$Z$2503,"正常",$A$4:$A$2503,"&lt;="&amp;$A487))</f>
        <v/>
      </c>
      <c r="U487" s="26">
        <f>IF($G487="","",IF(OR($S487&gt;0,$Q487=0,$R487=0,$Z487&lt;&gt;"正常"),0,ROUND($T487/$Q487*$R487,0)-ROUND(($T487-$P487)/$Q487*$R487,0)))</f>
        <v/>
      </c>
      <c r="V487" s="26">
        <f>IF($G487="","",ROUND($P487+$U487,0))</f>
        <v/>
      </c>
      <c r="W487" s="26">
        <f>IF($G487="","",IF(N($K487)=0,0,ROUND($V487/$K487,2)))</f>
        <v/>
      </c>
      <c r="X487" s="17" t="inlineStr">
        <is>
          <t>采购入库</t>
        </is>
      </c>
      <c r="Y487" s="17" t="inlineStr">
        <is>
          <t>待补价</t>
        </is>
      </c>
      <c r="Z487" s="17" t="inlineStr">
        <is>
          <t>正常</t>
        </is>
      </c>
      <c r="AA487" s="17" t="n"/>
      <c r="AB487" s="17" t="inlineStr">
        <is>
          <t>原表第 493 行</t>
        </is>
      </c>
      <c r="AC487" s="24">
        <f>IF($G487="","",IF($H487="※编码不在物料档案里","※物料编码不在档案里",IF(N($K487)&lt;=0,"※入库数量要大于 0",IF(AND($C487&lt;&gt;"",$C487&lt;=结账锁),"※日期早于已结账截止日，不能再录",IF(AND($L487=0,$X487="正常"),"※没填单价，价格状态请选「待补价」",IF(AND($S487&gt;0,$R487&gt;0),"△本批有 "&amp;$S487&amp;" 行没单价，整批运费先挂账没摊",IF(AND($B487&lt;&gt;"",COUNTIF($B$4:$B$2503,$B487)&gt;1),"※入库单号重复","")))))))</f>
        <v/>
      </c>
    </row>
    <row r="488">
      <c r="A488" s="24">
        <f>IF($G488="","",COUNTA($G$4:$G488))</f>
        <v/>
      </c>
      <c r="B488" s="17" t="n"/>
      <c r="C488" s="30" t="n">
        <v>46103</v>
      </c>
      <c r="D488" s="17" t="inlineStr">
        <is>
          <t>A国内</t>
        </is>
      </c>
      <c r="E488" s="17" t="inlineStr">
        <is>
          <t>GATU8663903-202603</t>
        </is>
      </c>
      <c r="F488" s="17" t="inlineStr">
        <is>
          <t>烟台市金豪矿山机械有限公司</t>
        </is>
      </c>
      <c r="G488" s="17" t="inlineStr">
        <is>
          <t>JH0434</t>
        </is>
      </c>
      <c r="H488" s="24">
        <f>IF($G488="","",IFERROR(VLOOKUP($G488,物料档案!$A$4:$P$1203,3,0),"※编码不在物料档案里"))</f>
        <v/>
      </c>
      <c r="I488" s="24">
        <f>IF($G488="","",IFERROR(VLOOKUP($G488,物料档案!$A$4:$P$1203,4,0),"※编码不在物料档案里"))</f>
        <v/>
      </c>
      <c r="J488" s="24">
        <f>IF($G488="","",IFERROR(VLOOKUP($G488,物料档案!$A$4:$P$1203,5,0),"※编码不在物料档案里"))</f>
        <v/>
      </c>
      <c r="K488" s="23" t="n">
        <v>1</v>
      </c>
      <c r="L488" s="31" t="n"/>
      <c r="M488" s="24">
        <f>IF($G488="","",IF($D488="A国内","CNY","TZS"))</f>
        <v/>
      </c>
      <c r="N488" s="28">
        <f>IF($G488="","",IF($D488="A国内",汇率,1))</f>
        <v/>
      </c>
      <c r="O488" s="25">
        <f>IF($G488="","",ROUND(N($K488)*N($L488),2))</f>
        <v/>
      </c>
      <c r="P488" s="26">
        <f>IF($G488="","",ROUND($O488*$N488,0))</f>
        <v/>
      </c>
      <c r="Q488" s="26">
        <f>IF($G488="","",SUMIFS($P$4:$P$2503,$E$4:$E$2503,$E488,$Z$4:$Z$2503,"正常"))</f>
        <v/>
      </c>
      <c r="R488" s="26">
        <f>IF($G488="","",SUMIFS(费用台账!$I$4:$I$503,费用台账!$C$4:$C$503,$E488,费用台账!$J$4:$J$503,"是",费用台账!$K$4:$K$503,"正常"))</f>
        <v/>
      </c>
      <c r="S488" s="28">
        <f>IF($G488="","",COUNTIFS($E$4:$E$2503,$E488,$Z$4:$Z$2503,"正常",$Y$4:$Y$2503,"待补价"))</f>
        <v/>
      </c>
      <c r="T488" s="26">
        <f>IF($G488="","",SUMIFS($P$4:$P$2503,$E$4:$E$2503,$E488,$Z$4:$Z$2503,"正常",$A$4:$A$2503,"&lt;="&amp;$A488))</f>
        <v/>
      </c>
      <c r="U488" s="26">
        <f>IF($G488="","",IF(OR($S488&gt;0,$Q488=0,$R488=0,$Z488&lt;&gt;"正常"),0,ROUND($T488/$Q488*$R488,0)-ROUND(($T488-$P488)/$Q488*$R488,0)))</f>
        <v/>
      </c>
      <c r="V488" s="26">
        <f>IF($G488="","",ROUND($P488+$U488,0))</f>
        <v/>
      </c>
      <c r="W488" s="26">
        <f>IF($G488="","",IF(N($K488)=0,0,ROUND($V488/$K488,2)))</f>
        <v/>
      </c>
      <c r="X488" s="17" t="inlineStr">
        <is>
          <t>采购入库</t>
        </is>
      </c>
      <c r="Y488" s="17" t="inlineStr">
        <is>
          <t>待补价</t>
        </is>
      </c>
      <c r="Z488" s="17" t="inlineStr">
        <is>
          <t>正常</t>
        </is>
      </c>
      <c r="AA488" s="17" t="n"/>
      <c r="AB488" s="17" t="inlineStr">
        <is>
          <t>原表第 494 行</t>
        </is>
      </c>
      <c r="AC488" s="24">
        <f>IF($G488="","",IF($H488="※编码不在物料档案里","※物料编码不在档案里",IF(N($K488)&lt;=0,"※入库数量要大于 0",IF(AND($C488&lt;&gt;"",$C488&lt;=结账锁),"※日期早于已结账截止日，不能再录",IF(AND($L488=0,$X488="正常"),"※没填单价，价格状态请选「待补价」",IF(AND($S488&gt;0,$R488&gt;0),"△本批有 "&amp;$S488&amp;" 行没单价，整批运费先挂账没摊",IF(AND($B488&lt;&gt;"",COUNTIF($B$4:$B$2503,$B488)&gt;1),"※入库单号重复","")))))))</f>
        <v/>
      </c>
    </row>
    <row r="489">
      <c r="A489" s="24">
        <f>IF($G489="","",COUNTA($G$4:$G489))</f>
        <v/>
      </c>
      <c r="B489" s="17" t="n"/>
      <c r="C489" s="30" t="n">
        <v>46103</v>
      </c>
      <c r="D489" s="17" t="inlineStr">
        <is>
          <t>A国内</t>
        </is>
      </c>
      <c r="E489" s="17" t="inlineStr">
        <is>
          <t>GATU8663903-202603</t>
        </is>
      </c>
      <c r="F489" s="17" t="inlineStr">
        <is>
          <t>烟台市金豪矿山机械有限公司</t>
        </is>
      </c>
      <c r="G489" s="17" t="inlineStr">
        <is>
          <t>JH0435</t>
        </is>
      </c>
      <c r="H489" s="24">
        <f>IF($G489="","",IFERROR(VLOOKUP($G489,物料档案!$A$4:$P$1203,3,0),"※编码不在物料档案里"))</f>
        <v/>
      </c>
      <c r="I489" s="24">
        <f>IF($G489="","",IFERROR(VLOOKUP($G489,物料档案!$A$4:$P$1203,4,0),"※编码不在物料档案里"))</f>
        <v/>
      </c>
      <c r="J489" s="24">
        <f>IF($G489="","",IFERROR(VLOOKUP($G489,物料档案!$A$4:$P$1203,5,0),"※编码不在物料档案里"))</f>
        <v/>
      </c>
      <c r="K489" s="23" t="n">
        <v>2</v>
      </c>
      <c r="L489" s="31" t="n">
        <v>13000</v>
      </c>
      <c r="M489" s="24">
        <f>IF($G489="","",IF($D489="A国内","CNY","TZS"))</f>
        <v/>
      </c>
      <c r="N489" s="28">
        <f>IF($G489="","",IF($D489="A国内",汇率,1))</f>
        <v/>
      </c>
      <c r="O489" s="25">
        <f>IF($G489="","",ROUND(N($K489)*N($L489),2))</f>
        <v/>
      </c>
      <c r="P489" s="26">
        <f>IF($G489="","",ROUND($O489*$N489,0))</f>
        <v/>
      </c>
      <c r="Q489" s="26">
        <f>IF($G489="","",SUMIFS($P$4:$P$2503,$E$4:$E$2503,$E489,$Z$4:$Z$2503,"正常"))</f>
        <v/>
      </c>
      <c r="R489" s="26">
        <f>IF($G489="","",SUMIFS(费用台账!$I$4:$I$503,费用台账!$C$4:$C$503,$E489,费用台账!$J$4:$J$503,"是",费用台账!$K$4:$K$503,"正常"))</f>
        <v/>
      </c>
      <c r="S489" s="28">
        <f>IF($G489="","",COUNTIFS($E$4:$E$2503,$E489,$Z$4:$Z$2503,"正常",$Y$4:$Y$2503,"待补价"))</f>
        <v/>
      </c>
      <c r="T489" s="26">
        <f>IF($G489="","",SUMIFS($P$4:$P$2503,$E$4:$E$2503,$E489,$Z$4:$Z$2503,"正常",$A$4:$A$2503,"&lt;="&amp;$A489))</f>
        <v/>
      </c>
      <c r="U489" s="26">
        <f>IF($G489="","",IF(OR($S489&gt;0,$Q489=0,$R489=0,$Z489&lt;&gt;"正常"),0,ROUND($T489/$Q489*$R489,0)-ROUND(($T489-$P489)/$Q489*$R489,0)))</f>
        <v/>
      </c>
      <c r="V489" s="26">
        <f>IF($G489="","",ROUND($P489+$U489,0))</f>
        <v/>
      </c>
      <c r="W489" s="26">
        <f>IF($G489="","",IF(N($K489)=0,0,ROUND($V489/$K489,2)))</f>
        <v/>
      </c>
      <c r="X489" s="17" t="inlineStr">
        <is>
          <t>采购入库</t>
        </is>
      </c>
      <c r="Y489" s="17" t="inlineStr">
        <is>
          <t>正常</t>
        </is>
      </c>
      <c r="Z489" s="17" t="inlineStr">
        <is>
          <t>正常</t>
        </is>
      </c>
      <c r="AA489" s="17" t="n"/>
      <c r="AB489" s="17" t="inlineStr">
        <is>
          <t>原表第 495 行</t>
        </is>
      </c>
      <c r="AC489" s="24">
        <f>IF($G489="","",IF($H489="※编码不在物料档案里","※物料编码不在档案里",IF(N($K489)&lt;=0,"※入库数量要大于 0",IF(AND($C489&lt;&gt;"",$C489&lt;=结账锁),"※日期早于已结账截止日，不能再录",IF(AND($L489=0,$X489="正常"),"※没填单价，价格状态请选「待补价」",IF(AND($S489&gt;0,$R489&gt;0),"△本批有 "&amp;$S489&amp;" 行没单价，整批运费先挂账没摊",IF(AND($B489&lt;&gt;"",COUNTIF($B$4:$B$2503,$B489)&gt;1),"※入库单号重复","")))))))</f>
        <v/>
      </c>
    </row>
    <row r="490">
      <c r="A490" s="24">
        <f>IF($G490="","",COUNTA($G$4:$G490))</f>
        <v/>
      </c>
      <c r="B490" s="17" t="n"/>
      <c r="C490" s="30" t="n">
        <v>46103</v>
      </c>
      <c r="D490" s="17" t="inlineStr">
        <is>
          <t>A国内</t>
        </is>
      </c>
      <c r="E490" s="17" t="inlineStr">
        <is>
          <t>GATU8663903-202603</t>
        </is>
      </c>
      <c r="F490" s="17" t="inlineStr">
        <is>
          <t>烟台市金豪矿山机械有限公司</t>
        </is>
      </c>
      <c r="G490" s="17" t="inlineStr">
        <is>
          <t>JH0436</t>
        </is>
      </c>
      <c r="H490" s="24">
        <f>IF($G490="","",IFERROR(VLOOKUP($G490,物料档案!$A$4:$P$1203,3,0),"※编码不在物料档案里"))</f>
        <v/>
      </c>
      <c r="I490" s="24">
        <f>IF($G490="","",IFERROR(VLOOKUP($G490,物料档案!$A$4:$P$1203,4,0),"※编码不在物料档案里"))</f>
        <v/>
      </c>
      <c r="J490" s="24">
        <f>IF($G490="","",IFERROR(VLOOKUP($G490,物料档案!$A$4:$P$1203,5,0),"※编码不在物料档案里"))</f>
        <v/>
      </c>
      <c r="K490" s="23" t="n">
        <v>1</v>
      </c>
      <c r="L490" s="31" t="n"/>
      <c r="M490" s="24">
        <f>IF($G490="","",IF($D490="A国内","CNY","TZS"))</f>
        <v/>
      </c>
      <c r="N490" s="28">
        <f>IF($G490="","",IF($D490="A国内",汇率,1))</f>
        <v/>
      </c>
      <c r="O490" s="25">
        <f>IF($G490="","",ROUND(N($K490)*N($L490),2))</f>
        <v/>
      </c>
      <c r="P490" s="26">
        <f>IF($G490="","",ROUND($O490*$N490,0))</f>
        <v/>
      </c>
      <c r="Q490" s="26">
        <f>IF($G490="","",SUMIFS($P$4:$P$2503,$E$4:$E$2503,$E490,$Z$4:$Z$2503,"正常"))</f>
        <v/>
      </c>
      <c r="R490" s="26">
        <f>IF($G490="","",SUMIFS(费用台账!$I$4:$I$503,费用台账!$C$4:$C$503,$E490,费用台账!$J$4:$J$503,"是",费用台账!$K$4:$K$503,"正常"))</f>
        <v/>
      </c>
      <c r="S490" s="28">
        <f>IF($G490="","",COUNTIFS($E$4:$E$2503,$E490,$Z$4:$Z$2503,"正常",$Y$4:$Y$2503,"待补价"))</f>
        <v/>
      </c>
      <c r="T490" s="26">
        <f>IF($G490="","",SUMIFS($P$4:$P$2503,$E$4:$E$2503,$E490,$Z$4:$Z$2503,"正常",$A$4:$A$2503,"&lt;="&amp;$A490))</f>
        <v/>
      </c>
      <c r="U490" s="26">
        <f>IF($G490="","",IF(OR($S490&gt;0,$Q490=0,$R490=0,$Z490&lt;&gt;"正常"),0,ROUND($T490/$Q490*$R490,0)-ROUND(($T490-$P490)/$Q490*$R490,0)))</f>
        <v/>
      </c>
      <c r="V490" s="26">
        <f>IF($G490="","",ROUND($P490+$U490,0))</f>
        <v/>
      </c>
      <c r="W490" s="26">
        <f>IF($G490="","",IF(N($K490)=0,0,ROUND($V490/$K490,2)))</f>
        <v/>
      </c>
      <c r="X490" s="17" t="inlineStr">
        <is>
          <t>采购入库</t>
        </is>
      </c>
      <c r="Y490" s="17" t="inlineStr">
        <is>
          <t>待补价</t>
        </is>
      </c>
      <c r="Z490" s="17" t="inlineStr">
        <is>
          <t>正常</t>
        </is>
      </c>
      <c r="AA490" s="17" t="n"/>
      <c r="AB490" s="17" t="inlineStr">
        <is>
          <t>原表第 496 行</t>
        </is>
      </c>
      <c r="AC490" s="24">
        <f>IF($G490="","",IF($H490="※编码不在物料档案里","※物料编码不在档案里",IF(N($K490)&lt;=0,"※入库数量要大于 0",IF(AND($C490&lt;&gt;"",$C490&lt;=结账锁),"※日期早于已结账截止日，不能再录",IF(AND($L490=0,$X490="正常"),"※没填单价，价格状态请选「待补价」",IF(AND($S490&gt;0,$R490&gt;0),"△本批有 "&amp;$S490&amp;" 行没单价，整批运费先挂账没摊",IF(AND($B490&lt;&gt;"",COUNTIF($B$4:$B$2503,$B490)&gt;1),"※入库单号重复","")))))))</f>
        <v/>
      </c>
    </row>
    <row r="491">
      <c r="A491" s="24">
        <f>IF($G491="","",COUNTA($G$4:$G491))</f>
        <v/>
      </c>
      <c r="B491" s="17" t="n"/>
      <c r="C491" s="30" t="n">
        <v>46103</v>
      </c>
      <c r="D491" s="17" t="inlineStr">
        <is>
          <t>A国内</t>
        </is>
      </c>
      <c r="E491" s="17" t="inlineStr">
        <is>
          <t>GATU8663903-202603</t>
        </is>
      </c>
      <c r="F491" s="17" t="inlineStr">
        <is>
          <t>烟台市金豪矿山机械有限公司</t>
        </is>
      </c>
      <c r="G491" s="17" t="inlineStr">
        <is>
          <t>JH0437</t>
        </is>
      </c>
      <c r="H491" s="24">
        <f>IF($G491="","",IFERROR(VLOOKUP($G491,物料档案!$A$4:$P$1203,3,0),"※编码不在物料档案里"))</f>
        <v/>
      </c>
      <c r="I491" s="24">
        <f>IF($G491="","",IFERROR(VLOOKUP($G491,物料档案!$A$4:$P$1203,4,0),"※编码不在物料档案里"))</f>
        <v/>
      </c>
      <c r="J491" s="24">
        <f>IF($G491="","",IFERROR(VLOOKUP($G491,物料档案!$A$4:$P$1203,5,0),"※编码不在物料档案里"))</f>
        <v/>
      </c>
      <c r="K491" s="23" t="n">
        <v>1</v>
      </c>
      <c r="L491" s="31" t="n"/>
      <c r="M491" s="24">
        <f>IF($G491="","",IF($D491="A国内","CNY","TZS"))</f>
        <v/>
      </c>
      <c r="N491" s="28">
        <f>IF($G491="","",IF($D491="A国内",汇率,1))</f>
        <v/>
      </c>
      <c r="O491" s="25">
        <f>IF($G491="","",ROUND(N($K491)*N($L491),2))</f>
        <v/>
      </c>
      <c r="P491" s="26">
        <f>IF($G491="","",ROUND($O491*$N491,0))</f>
        <v/>
      </c>
      <c r="Q491" s="26">
        <f>IF($G491="","",SUMIFS($P$4:$P$2503,$E$4:$E$2503,$E491,$Z$4:$Z$2503,"正常"))</f>
        <v/>
      </c>
      <c r="R491" s="26">
        <f>IF($G491="","",SUMIFS(费用台账!$I$4:$I$503,费用台账!$C$4:$C$503,$E491,费用台账!$J$4:$J$503,"是",费用台账!$K$4:$K$503,"正常"))</f>
        <v/>
      </c>
      <c r="S491" s="28">
        <f>IF($G491="","",COUNTIFS($E$4:$E$2503,$E491,$Z$4:$Z$2503,"正常",$Y$4:$Y$2503,"待补价"))</f>
        <v/>
      </c>
      <c r="T491" s="26">
        <f>IF($G491="","",SUMIFS($P$4:$P$2503,$E$4:$E$2503,$E491,$Z$4:$Z$2503,"正常",$A$4:$A$2503,"&lt;="&amp;$A491))</f>
        <v/>
      </c>
      <c r="U491" s="26">
        <f>IF($G491="","",IF(OR($S491&gt;0,$Q491=0,$R491=0,$Z491&lt;&gt;"正常"),0,ROUND($T491/$Q491*$R491,0)-ROUND(($T491-$P491)/$Q491*$R491,0)))</f>
        <v/>
      </c>
      <c r="V491" s="26">
        <f>IF($G491="","",ROUND($P491+$U491,0))</f>
        <v/>
      </c>
      <c r="W491" s="26">
        <f>IF($G491="","",IF(N($K491)=0,0,ROUND($V491/$K491,2)))</f>
        <v/>
      </c>
      <c r="X491" s="17" t="inlineStr">
        <is>
          <t>采购入库</t>
        </is>
      </c>
      <c r="Y491" s="17" t="inlineStr">
        <is>
          <t>待补价</t>
        </is>
      </c>
      <c r="Z491" s="17" t="inlineStr">
        <is>
          <t>正常</t>
        </is>
      </c>
      <c r="AA491" s="17" t="n"/>
      <c r="AB491" s="17" t="inlineStr">
        <is>
          <t>原表第 497 行</t>
        </is>
      </c>
      <c r="AC491" s="24">
        <f>IF($G491="","",IF($H491="※编码不在物料档案里","※物料编码不在档案里",IF(N($K491)&lt;=0,"※入库数量要大于 0",IF(AND($C491&lt;&gt;"",$C491&lt;=结账锁),"※日期早于已结账截止日，不能再录",IF(AND($L491=0,$X491="正常"),"※没填单价，价格状态请选「待补价」",IF(AND($S491&gt;0,$R491&gt;0),"△本批有 "&amp;$S491&amp;" 行没单价，整批运费先挂账没摊",IF(AND($B491&lt;&gt;"",COUNTIF($B$4:$B$2503,$B491)&gt;1),"※入库单号重复","")))))))</f>
        <v/>
      </c>
    </row>
    <row r="492">
      <c r="A492" s="24">
        <f>IF($G492="","",COUNTA($G$4:$G492))</f>
        <v/>
      </c>
      <c r="B492" s="17" t="n"/>
      <c r="C492" s="30" t="n">
        <v>46103</v>
      </c>
      <c r="D492" s="17" t="inlineStr">
        <is>
          <t>A国内</t>
        </is>
      </c>
      <c r="E492" s="17" t="inlineStr">
        <is>
          <t>GATU8663903-202603</t>
        </is>
      </c>
      <c r="F492" s="17" t="inlineStr">
        <is>
          <t>烟台市金豪矿山机械有限公司</t>
        </is>
      </c>
      <c r="G492" s="17" t="inlineStr">
        <is>
          <t>JH0438</t>
        </is>
      </c>
      <c r="H492" s="24">
        <f>IF($G492="","",IFERROR(VLOOKUP($G492,物料档案!$A$4:$P$1203,3,0),"※编码不在物料档案里"))</f>
        <v/>
      </c>
      <c r="I492" s="24">
        <f>IF($G492="","",IFERROR(VLOOKUP($G492,物料档案!$A$4:$P$1203,4,0),"※编码不在物料档案里"))</f>
        <v/>
      </c>
      <c r="J492" s="24">
        <f>IF($G492="","",IFERROR(VLOOKUP($G492,物料档案!$A$4:$P$1203,5,0),"※编码不在物料档案里"))</f>
        <v/>
      </c>
      <c r="K492" s="23" t="n">
        <v>1</v>
      </c>
      <c r="L492" s="31" t="n">
        <v>1300</v>
      </c>
      <c r="M492" s="24">
        <f>IF($G492="","",IF($D492="A国内","CNY","TZS"))</f>
        <v/>
      </c>
      <c r="N492" s="28">
        <f>IF($G492="","",IF($D492="A国内",汇率,1))</f>
        <v/>
      </c>
      <c r="O492" s="25">
        <f>IF($G492="","",ROUND(N($K492)*N($L492),2))</f>
        <v/>
      </c>
      <c r="P492" s="26">
        <f>IF($G492="","",ROUND($O492*$N492,0))</f>
        <v/>
      </c>
      <c r="Q492" s="26">
        <f>IF($G492="","",SUMIFS($P$4:$P$2503,$E$4:$E$2503,$E492,$Z$4:$Z$2503,"正常"))</f>
        <v/>
      </c>
      <c r="R492" s="26">
        <f>IF($G492="","",SUMIFS(费用台账!$I$4:$I$503,费用台账!$C$4:$C$503,$E492,费用台账!$J$4:$J$503,"是",费用台账!$K$4:$K$503,"正常"))</f>
        <v/>
      </c>
      <c r="S492" s="28">
        <f>IF($G492="","",COUNTIFS($E$4:$E$2503,$E492,$Z$4:$Z$2503,"正常",$Y$4:$Y$2503,"待补价"))</f>
        <v/>
      </c>
      <c r="T492" s="26">
        <f>IF($G492="","",SUMIFS($P$4:$P$2503,$E$4:$E$2503,$E492,$Z$4:$Z$2503,"正常",$A$4:$A$2503,"&lt;="&amp;$A492))</f>
        <v/>
      </c>
      <c r="U492" s="26">
        <f>IF($G492="","",IF(OR($S492&gt;0,$Q492=0,$R492=0,$Z492&lt;&gt;"正常"),0,ROUND($T492/$Q492*$R492,0)-ROUND(($T492-$P492)/$Q492*$R492,0)))</f>
        <v/>
      </c>
      <c r="V492" s="26">
        <f>IF($G492="","",ROUND($P492+$U492,0))</f>
        <v/>
      </c>
      <c r="W492" s="26">
        <f>IF($G492="","",IF(N($K492)=0,0,ROUND($V492/$K492,2)))</f>
        <v/>
      </c>
      <c r="X492" s="17" t="inlineStr">
        <is>
          <t>采购入库</t>
        </is>
      </c>
      <c r="Y492" s="17" t="inlineStr">
        <is>
          <t>正常</t>
        </is>
      </c>
      <c r="Z492" s="17" t="inlineStr">
        <is>
          <t>正常</t>
        </is>
      </c>
      <c r="AA492" s="17" t="n"/>
      <c r="AB492" s="17" t="inlineStr">
        <is>
          <t>原表第 498 行</t>
        </is>
      </c>
      <c r="AC492" s="24">
        <f>IF($G492="","",IF($H492="※编码不在物料档案里","※物料编码不在档案里",IF(N($K492)&lt;=0,"※入库数量要大于 0",IF(AND($C492&lt;&gt;"",$C492&lt;=结账锁),"※日期早于已结账截止日，不能再录",IF(AND($L492=0,$X492="正常"),"※没填单价，价格状态请选「待补价」",IF(AND($S492&gt;0,$R492&gt;0),"△本批有 "&amp;$S492&amp;" 行没单价，整批运费先挂账没摊",IF(AND($B492&lt;&gt;"",COUNTIF($B$4:$B$2503,$B492)&gt;1),"※入库单号重复","")))))))</f>
        <v/>
      </c>
    </row>
    <row r="493">
      <c r="A493" s="24">
        <f>IF($G493="","",COUNTA($G$4:$G493))</f>
        <v/>
      </c>
      <c r="B493" s="17" t="n"/>
      <c r="C493" s="30" t="n">
        <v>46103</v>
      </c>
      <c r="D493" s="17" t="inlineStr">
        <is>
          <t>A国内</t>
        </is>
      </c>
      <c r="E493" s="17" t="inlineStr">
        <is>
          <t>GATU8663903-202603</t>
        </is>
      </c>
      <c r="F493" s="17" t="inlineStr">
        <is>
          <t>烟台市金豪矿山机械有限公司</t>
        </is>
      </c>
      <c r="G493" s="17" t="inlineStr">
        <is>
          <t>JH0439</t>
        </is>
      </c>
      <c r="H493" s="24">
        <f>IF($G493="","",IFERROR(VLOOKUP($G493,物料档案!$A$4:$P$1203,3,0),"※编码不在物料档案里"))</f>
        <v/>
      </c>
      <c r="I493" s="24">
        <f>IF($G493="","",IFERROR(VLOOKUP($G493,物料档案!$A$4:$P$1203,4,0),"※编码不在物料档案里"))</f>
        <v/>
      </c>
      <c r="J493" s="24">
        <f>IF($G493="","",IFERROR(VLOOKUP($G493,物料档案!$A$4:$P$1203,5,0),"※编码不在物料档案里"))</f>
        <v/>
      </c>
      <c r="K493" s="23" t="n">
        <v>6</v>
      </c>
      <c r="L493" s="31" t="n"/>
      <c r="M493" s="24">
        <f>IF($G493="","",IF($D493="A国内","CNY","TZS"))</f>
        <v/>
      </c>
      <c r="N493" s="28">
        <f>IF($G493="","",IF($D493="A国内",汇率,1))</f>
        <v/>
      </c>
      <c r="O493" s="25">
        <f>IF($G493="","",ROUND(N($K493)*N($L493),2))</f>
        <v/>
      </c>
      <c r="P493" s="26">
        <f>IF($G493="","",ROUND($O493*$N493,0))</f>
        <v/>
      </c>
      <c r="Q493" s="26">
        <f>IF($G493="","",SUMIFS($P$4:$P$2503,$E$4:$E$2503,$E493,$Z$4:$Z$2503,"正常"))</f>
        <v/>
      </c>
      <c r="R493" s="26">
        <f>IF($G493="","",SUMIFS(费用台账!$I$4:$I$503,费用台账!$C$4:$C$503,$E493,费用台账!$J$4:$J$503,"是",费用台账!$K$4:$K$503,"正常"))</f>
        <v/>
      </c>
      <c r="S493" s="28">
        <f>IF($G493="","",COUNTIFS($E$4:$E$2503,$E493,$Z$4:$Z$2503,"正常",$Y$4:$Y$2503,"待补价"))</f>
        <v/>
      </c>
      <c r="T493" s="26">
        <f>IF($G493="","",SUMIFS($P$4:$P$2503,$E$4:$E$2503,$E493,$Z$4:$Z$2503,"正常",$A$4:$A$2503,"&lt;="&amp;$A493))</f>
        <v/>
      </c>
      <c r="U493" s="26">
        <f>IF($G493="","",IF(OR($S493&gt;0,$Q493=0,$R493=0,$Z493&lt;&gt;"正常"),0,ROUND($T493/$Q493*$R493,0)-ROUND(($T493-$P493)/$Q493*$R493,0)))</f>
        <v/>
      </c>
      <c r="V493" s="26">
        <f>IF($G493="","",ROUND($P493+$U493,0))</f>
        <v/>
      </c>
      <c r="W493" s="26">
        <f>IF($G493="","",IF(N($K493)=0,0,ROUND($V493/$K493,2)))</f>
        <v/>
      </c>
      <c r="X493" s="17" t="inlineStr">
        <is>
          <t>采购入库</t>
        </is>
      </c>
      <c r="Y493" s="17" t="inlineStr">
        <is>
          <t>待补价</t>
        </is>
      </c>
      <c r="Z493" s="17" t="inlineStr">
        <is>
          <t>正常</t>
        </is>
      </c>
      <c r="AA493" s="17" t="n"/>
      <c r="AB493" s="17" t="inlineStr">
        <is>
          <t>原表第 499 行</t>
        </is>
      </c>
      <c r="AC493" s="24">
        <f>IF($G493="","",IF($H493="※编码不在物料档案里","※物料编码不在档案里",IF(N($K493)&lt;=0,"※入库数量要大于 0",IF(AND($C493&lt;&gt;"",$C493&lt;=结账锁),"※日期早于已结账截止日，不能再录",IF(AND($L493=0,$X493="正常"),"※没填单价，价格状态请选「待补价」",IF(AND($S493&gt;0,$R493&gt;0),"△本批有 "&amp;$S493&amp;" 行没单价，整批运费先挂账没摊",IF(AND($B493&lt;&gt;"",COUNTIF($B$4:$B$2503,$B493)&gt;1),"※入库单号重复","")))))))</f>
        <v/>
      </c>
    </row>
    <row r="494">
      <c r="A494" s="24">
        <f>IF($G494="","",COUNTA($G$4:$G494))</f>
        <v/>
      </c>
      <c r="B494" s="17" t="n"/>
      <c r="C494" s="30" t="n">
        <v>46103</v>
      </c>
      <c r="D494" s="17" t="inlineStr">
        <is>
          <t>A国内</t>
        </is>
      </c>
      <c r="E494" s="17" t="inlineStr">
        <is>
          <t>GATU8663903-202603</t>
        </is>
      </c>
      <c r="F494" s="17" t="inlineStr">
        <is>
          <t>烟台市金豪矿山机械有限公司</t>
        </is>
      </c>
      <c r="G494" s="17" t="inlineStr">
        <is>
          <t>JH0440</t>
        </is>
      </c>
      <c r="H494" s="24">
        <f>IF($G494="","",IFERROR(VLOOKUP($G494,物料档案!$A$4:$P$1203,3,0),"※编码不在物料档案里"))</f>
        <v/>
      </c>
      <c r="I494" s="24">
        <f>IF($G494="","",IFERROR(VLOOKUP($G494,物料档案!$A$4:$P$1203,4,0),"※编码不在物料档案里"))</f>
        <v/>
      </c>
      <c r="J494" s="24">
        <f>IF($G494="","",IFERROR(VLOOKUP($G494,物料档案!$A$4:$P$1203,5,0),"※编码不在物料档案里"))</f>
        <v/>
      </c>
      <c r="K494" s="23" t="n">
        <v>8</v>
      </c>
      <c r="L494" s="31" t="n"/>
      <c r="M494" s="24">
        <f>IF($G494="","",IF($D494="A国内","CNY","TZS"))</f>
        <v/>
      </c>
      <c r="N494" s="28">
        <f>IF($G494="","",IF($D494="A国内",汇率,1))</f>
        <v/>
      </c>
      <c r="O494" s="25">
        <f>IF($G494="","",ROUND(N($K494)*N($L494),2))</f>
        <v/>
      </c>
      <c r="P494" s="26">
        <f>IF($G494="","",ROUND($O494*$N494,0))</f>
        <v/>
      </c>
      <c r="Q494" s="26">
        <f>IF($G494="","",SUMIFS($P$4:$P$2503,$E$4:$E$2503,$E494,$Z$4:$Z$2503,"正常"))</f>
        <v/>
      </c>
      <c r="R494" s="26">
        <f>IF($G494="","",SUMIFS(费用台账!$I$4:$I$503,费用台账!$C$4:$C$503,$E494,费用台账!$J$4:$J$503,"是",费用台账!$K$4:$K$503,"正常"))</f>
        <v/>
      </c>
      <c r="S494" s="28">
        <f>IF($G494="","",COUNTIFS($E$4:$E$2503,$E494,$Z$4:$Z$2503,"正常",$Y$4:$Y$2503,"待补价"))</f>
        <v/>
      </c>
      <c r="T494" s="26">
        <f>IF($G494="","",SUMIFS($P$4:$P$2503,$E$4:$E$2503,$E494,$Z$4:$Z$2503,"正常",$A$4:$A$2503,"&lt;="&amp;$A494))</f>
        <v/>
      </c>
      <c r="U494" s="26">
        <f>IF($G494="","",IF(OR($S494&gt;0,$Q494=0,$R494=0,$Z494&lt;&gt;"正常"),0,ROUND($T494/$Q494*$R494,0)-ROUND(($T494-$P494)/$Q494*$R494,0)))</f>
        <v/>
      </c>
      <c r="V494" s="26">
        <f>IF($G494="","",ROUND($P494+$U494,0))</f>
        <v/>
      </c>
      <c r="W494" s="26">
        <f>IF($G494="","",IF(N($K494)=0,0,ROUND($V494/$K494,2)))</f>
        <v/>
      </c>
      <c r="X494" s="17" t="inlineStr">
        <is>
          <t>采购入库</t>
        </is>
      </c>
      <c r="Y494" s="17" t="inlineStr">
        <is>
          <t>待补价</t>
        </is>
      </c>
      <c r="Z494" s="17" t="inlineStr">
        <is>
          <t>正常</t>
        </is>
      </c>
      <c r="AA494" s="17" t="n"/>
      <c r="AB494" s="17" t="inlineStr">
        <is>
          <t>原表第 500 行</t>
        </is>
      </c>
      <c r="AC494" s="24">
        <f>IF($G494="","",IF($H494="※编码不在物料档案里","※物料编码不在档案里",IF(N($K494)&lt;=0,"※入库数量要大于 0",IF(AND($C494&lt;&gt;"",$C494&lt;=结账锁),"※日期早于已结账截止日，不能再录",IF(AND($L494=0,$X494="正常"),"※没填单价，价格状态请选「待补价」",IF(AND($S494&gt;0,$R494&gt;0),"△本批有 "&amp;$S494&amp;" 行没单价，整批运费先挂账没摊",IF(AND($B494&lt;&gt;"",COUNTIF($B$4:$B$2503,$B494)&gt;1),"※入库单号重复","")))))))</f>
        <v/>
      </c>
    </row>
    <row r="495">
      <c r="A495" s="24">
        <f>IF($G495="","",COUNTA($G$4:$G495))</f>
        <v/>
      </c>
      <c r="B495" s="17" t="n"/>
      <c r="C495" s="30" t="n">
        <v>46103</v>
      </c>
      <c r="D495" s="17" t="inlineStr">
        <is>
          <t>A国内</t>
        </is>
      </c>
      <c r="E495" s="17" t="inlineStr">
        <is>
          <t>GATU8663903-202603</t>
        </is>
      </c>
      <c r="F495" s="17" t="inlineStr">
        <is>
          <t>烟台市金豪矿山机械有限公司</t>
        </is>
      </c>
      <c r="G495" s="17" t="inlineStr">
        <is>
          <t>JH0441</t>
        </is>
      </c>
      <c r="H495" s="24">
        <f>IF($G495="","",IFERROR(VLOOKUP($G495,物料档案!$A$4:$P$1203,3,0),"※编码不在物料档案里"))</f>
        <v/>
      </c>
      <c r="I495" s="24">
        <f>IF($G495="","",IFERROR(VLOOKUP($G495,物料档案!$A$4:$P$1203,4,0),"※编码不在物料档案里"))</f>
        <v/>
      </c>
      <c r="J495" s="24">
        <f>IF($G495="","",IFERROR(VLOOKUP($G495,物料档案!$A$4:$P$1203,5,0),"※编码不在物料档案里"))</f>
        <v/>
      </c>
      <c r="K495" s="23" t="n">
        <v>23</v>
      </c>
      <c r="L495" s="31" t="n"/>
      <c r="M495" s="24">
        <f>IF($G495="","",IF($D495="A国内","CNY","TZS"))</f>
        <v/>
      </c>
      <c r="N495" s="28">
        <f>IF($G495="","",IF($D495="A国内",汇率,1))</f>
        <v/>
      </c>
      <c r="O495" s="25">
        <f>IF($G495="","",ROUND(N($K495)*N($L495),2))</f>
        <v/>
      </c>
      <c r="P495" s="26">
        <f>IF($G495="","",ROUND($O495*$N495,0))</f>
        <v/>
      </c>
      <c r="Q495" s="26">
        <f>IF($G495="","",SUMIFS($P$4:$P$2503,$E$4:$E$2503,$E495,$Z$4:$Z$2503,"正常"))</f>
        <v/>
      </c>
      <c r="R495" s="26">
        <f>IF($G495="","",SUMIFS(费用台账!$I$4:$I$503,费用台账!$C$4:$C$503,$E495,费用台账!$J$4:$J$503,"是",费用台账!$K$4:$K$503,"正常"))</f>
        <v/>
      </c>
      <c r="S495" s="28">
        <f>IF($G495="","",COUNTIFS($E$4:$E$2503,$E495,$Z$4:$Z$2503,"正常",$Y$4:$Y$2503,"待补价"))</f>
        <v/>
      </c>
      <c r="T495" s="26">
        <f>IF($G495="","",SUMIFS($P$4:$P$2503,$E$4:$E$2503,$E495,$Z$4:$Z$2503,"正常",$A$4:$A$2503,"&lt;="&amp;$A495))</f>
        <v/>
      </c>
      <c r="U495" s="26">
        <f>IF($G495="","",IF(OR($S495&gt;0,$Q495=0,$R495=0,$Z495&lt;&gt;"正常"),0,ROUND($T495/$Q495*$R495,0)-ROUND(($T495-$P495)/$Q495*$R495,0)))</f>
        <v/>
      </c>
      <c r="V495" s="26">
        <f>IF($G495="","",ROUND($P495+$U495,0))</f>
        <v/>
      </c>
      <c r="W495" s="26">
        <f>IF($G495="","",IF(N($K495)=0,0,ROUND($V495/$K495,2)))</f>
        <v/>
      </c>
      <c r="X495" s="17" t="inlineStr">
        <is>
          <t>采购入库</t>
        </is>
      </c>
      <c r="Y495" s="17" t="inlineStr">
        <is>
          <t>待补价</t>
        </is>
      </c>
      <c r="Z495" s="17" t="inlineStr">
        <is>
          <t>正常</t>
        </is>
      </c>
      <c r="AA495" s="17" t="n"/>
      <c r="AB495" s="17" t="inlineStr">
        <is>
          <t>原表第 501 行</t>
        </is>
      </c>
      <c r="AC495" s="24">
        <f>IF($G495="","",IF($H495="※编码不在物料档案里","※物料编码不在档案里",IF(N($K495)&lt;=0,"※入库数量要大于 0",IF(AND($C495&lt;&gt;"",$C495&lt;=结账锁),"※日期早于已结账截止日，不能再录",IF(AND($L495=0,$X495="正常"),"※没填单价，价格状态请选「待补价」",IF(AND($S495&gt;0,$R495&gt;0),"△本批有 "&amp;$S495&amp;" 行没单价，整批运费先挂账没摊",IF(AND($B495&lt;&gt;"",COUNTIF($B$4:$B$2503,$B495)&gt;1),"※入库单号重复","")))))))</f>
        <v/>
      </c>
    </row>
    <row r="496">
      <c r="A496" s="24">
        <f>IF($G496="","",COUNTA($G$4:$G496))</f>
        <v/>
      </c>
      <c r="B496" s="17" t="n"/>
      <c r="C496" s="30" t="n">
        <v>46103</v>
      </c>
      <c r="D496" s="17" t="inlineStr">
        <is>
          <t>A国内</t>
        </is>
      </c>
      <c r="E496" s="17" t="inlineStr">
        <is>
          <t>GATU8663903-202603</t>
        </is>
      </c>
      <c r="F496" s="17" t="inlineStr">
        <is>
          <t>烟台市金豪矿山机械有限公司</t>
        </is>
      </c>
      <c r="G496" s="17" t="inlineStr">
        <is>
          <t>JH0442</t>
        </is>
      </c>
      <c r="H496" s="24">
        <f>IF($G496="","",IFERROR(VLOOKUP($G496,物料档案!$A$4:$P$1203,3,0),"※编码不在物料档案里"))</f>
        <v/>
      </c>
      <c r="I496" s="24">
        <f>IF($G496="","",IFERROR(VLOOKUP($G496,物料档案!$A$4:$P$1203,4,0),"※编码不在物料档案里"))</f>
        <v/>
      </c>
      <c r="J496" s="24">
        <f>IF($G496="","",IFERROR(VLOOKUP($G496,物料档案!$A$4:$P$1203,5,0),"※编码不在物料档案里"))</f>
        <v/>
      </c>
      <c r="K496" s="23" t="n">
        <v>8</v>
      </c>
      <c r="L496" s="31" t="n">
        <v>150</v>
      </c>
      <c r="M496" s="24">
        <f>IF($G496="","",IF($D496="A国内","CNY","TZS"))</f>
        <v/>
      </c>
      <c r="N496" s="28">
        <f>IF($G496="","",IF($D496="A国内",汇率,1))</f>
        <v/>
      </c>
      <c r="O496" s="25">
        <f>IF($G496="","",ROUND(N($K496)*N($L496),2))</f>
        <v/>
      </c>
      <c r="P496" s="26">
        <f>IF($G496="","",ROUND($O496*$N496,0))</f>
        <v/>
      </c>
      <c r="Q496" s="26">
        <f>IF($G496="","",SUMIFS($P$4:$P$2503,$E$4:$E$2503,$E496,$Z$4:$Z$2503,"正常"))</f>
        <v/>
      </c>
      <c r="R496" s="26">
        <f>IF($G496="","",SUMIFS(费用台账!$I$4:$I$503,费用台账!$C$4:$C$503,$E496,费用台账!$J$4:$J$503,"是",费用台账!$K$4:$K$503,"正常"))</f>
        <v/>
      </c>
      <c r="S496" s="28">
        <f>IF($G496="","",COUNTIFS($E$4:$E$2503,$E496,$Z$4:$Z$2503,"正常",$Y$4:$Y$2503,"待补价"))</f>
        <v/>
      </c>
      <c r="T496" s="26">
        <f>IF($G496="","",SUMIFS($P$4:$P$2503,$E$4:$E$2503,$E496,$Z$4:$Z$2503,"正常",$A$4:$A$2503,"&lt;="&amp;$A496))</f>
        <v/>
      </c>
      <c r="U496" s="26">
        <f>IF($G496="","",IF(OR($S496&gt;0,$Q496=0,$R496=0,$Z496&lt;&gt;"正常"),0,ROUND($T496/$Q496*$R496,0)-ROUND(($T496-$P496)/$Q496*$R496,0)))</f>
        <v/>
      </c>
      <c r="V496" s="26">
        <f>IF($G496="","",ROUND($P496+$U496,0))</f>
        <v/>
      </c>
      <c r="W496" s="26">
        <f>IF($G496="","",IF(N($K496)=0,0,ROUND($V496/$K496,2)))</f>
        <v/>
      </c>
      <c r="X496" s="17" t="inlineStr">
        <is>
          <t>采购入库</t>
        </is>
      </c>
      <c r="Y496" s="17" t="inlineStr">
        <is>
          <t>正常</t>
        </is>
      </c>
      <c r="Z496" s="17" t="inlineStr">
        <is>
          <t>正常</t>
        </is>
      </c>
      <c r="AA496" s="17" t="n"/>
      <c r="AB496" s="17" t="inlineStr">
        <is>
          <t>原表第 502 行</t>
        </is>
      </c>
      <c r="AC496" s="24">
        <f>IF($G496="","",IF($H496="※编码不在物料档案里","※物料编码不在档案里",IF(N($K496)&lt;=0,"※入库数量要大于 0",IF(AND($C496&lt;&gt;"",$C496&lt;=结账锁),"※日期早于已结账截止日，不能再录",IF(AND($L496=0,$X496="正常"),"※没填单价，价格状态请选「待补价」",IF(AND($S496&gt;0,$R496&gt;0),"△本批有 "&amp;$S496&amp;" 行没单价，整批运费先挂账没摊",IF(AND($B496&lt;&gt;"",COUNTIF($B$4:$B$2503,$B496)&gt;1),"※入库单号重复","")))))))</f>
        <v/>
      </c>
    </row>
    <row r="497">
      <c r="A497" s="24">
        <f>IF($G497="","",COUNTA($G$4:$G497))</f>
        <v/>
      </c>
      <c r="B497" s="17" t="n"/>
      <c r="C497" s="30" t="n">
        <v>46103</v>
      </c>
      <c r="D497" s="17" t="inlineStr">
        <is>
          <t>A国内</t>
        </is>
      </c>
      <c r="E497" s="17" t="inlineStr">
        <is>
          <t>GATU8663903-202603</t>
        </is>
      </c>
      <c r="F497" s="17" t="inlineStr">
        <is>
          <t>烟台市金豪矿山机械有限公司</t>
        </is>
      </c>
      <c r="G497" s="17" t="inlineStr">
        <is>
          <t>JH0443</t>
        </is>
      </c>
      <c r="H497" s="24">
        <f>IF($G497="","",IFERROR(VLOOKUP($G497,物料档案!$A$4:$P$1203,3,0),"※编码不在物料档案里"))</f>
        <v/>
      </c>
      <c r="I497" s="24">
        <f>IF($G497="","",IFERROR(VLOOKUP($G497,物料档案!$A$4:$P$1203,4,0),"※编码不在物料档案里"))</f>
        <v/>
      </c>
      <c r="J497" s="24">
        <f>IF($G497="","",IFERROR(VLOOKUP($G497,物料档案!$A$4:$P$1203,5,0),"※编码不在物料档案里"))</f>
        <v/>
      </c>
      <c r="K497" s="23" t="n">
        <v>1</v>
      </c>
      <c r="L497" s="31" t="n">
        <v>160</v>
      </c>
      <c r="M497" s="24">
        <f>IF($G497="","",IF($D497="A国内","CNY","TZS"))</f>
        <v/>
      </c>
      <c r="N497" s="28">
        <f>IF($G497="","",IF($D497="A国内",汇率,1))</f>
        <v/>
      </c>
      <c r="O497" s="25">
        <f>IF($G497="","",ROUND(N($K497)*N($L497),2))</f>
        <v/>
      </c>
      <c r="P497" s="26">
        <f>IF($G497="","",ROUND($O497*$N497,0))</f>
        <v/>
      </c>
      <c r="Q497" s="26">
        <f>IF($G497="","",SUMIFS($P$4:$P$2503,$E$4:$E$2503,$E497,$Z$4:$Z$2503,"正常"))</f>
        <v/>
      </c>
      <c r="R497" s="26">
        <f>IF($G497="","",SUMIFS(费用台账!$I$4:$I$503,费用台账!$C$4:$C$503,$E497,费用台账!$J$4:$J$503,"是",费用台账!$K$4:$K$503,"正常"))</f>
        <v/>
      </c>
      <c r="S497" s="28">
        <f>IF($G497="","",COUNTIFS($E$4:$E$2503,$E497,$Z$4:$Z$2503,"正常",$Y$4:$Y$2503,"待补价"))</f>
        <v/>
      </c>
      <c r="T497" s="26">
        <f>IF($G497="","",SUMIFS($P$4:$P$2503,$E$4:$E$2503,$E497,$Z$4:$Z$2503,"正常",$A$4:$A$2503,"&lt;="&amp;$A497))</f>
        <v/>
      </c>
      <c r="U497" s="26">
        <f>IF($G497="","",IF(OR($S497&gt;0,$Q497=0,$R497=0,$Z497&lt;&gt;"正常"),0,ROUND($T497/$Q497*$R497,0)-ROUND(($T497-$P497)/$Q497*$R497,0)))</f>
        <v/>
      </c>
      <c r="V497" s="26">
        <f>IF($G497="","",ROUND($P497+$U497,0))</f>
        <v/>
      </c>
      <c r="W497" s="26">
        <f>IF($G497="","",IF(N($K497)=0,0,ROUND($V497/$K497,2)))</f>
        <v/>
      </c>
      <c r="X497" s="17" t="inlineStr">
        <is>
          <t>采购入库</t>
        </is>
      </c>
      <c r="Y497" s="17" t="inlineStr">
        <is>
          <t>正常</t>
        </is>
      </c>
      <c r="Z497" s="17" t="inlineStr">
        <is>
          <t>正常</t>
        </is>
      </c>
      <c r="AA497" s="17" t="n"/>
      <c r="AB497" s="17" t="inlineStr">
        <is>
          <t>原表第 503 行</t>
        </is>
      </c>
      <c r="AC497" s="24">
        <f>IF($G497="","",IF($H497="※编码不在物料档案里","※物料编码不在档案里",IF(N($K497)&lt;=0,"※入库数量要大于 0",IF(AND($C497&lt;&gt;"",$C497&lt;=结账锁),"※日期早于已结账截止日，不能再录",IF(AND($L497=0,$X497="正常"),"※没填单价，价格状态请选「待补价」",IF(AND($S497&gt;0,$R497&gt;0),"△本批有 "&amp;$S497&amp;" 行没单价，整批运费先挂账没摊",IF(AND($B497&lt;&gt;"",COUNTIF($B$4:$B$2503,$B497)&gt;1),"※入库单号重复","")))))))</f>
        <v/>
      </c>
    </row>
    <row r="498">
      <c r="A498" s="24">
        <f>IF($G498="","",COUNTA($G$4:$G498))</f>
        <v/>
      </c>
      <c r="B498" s="17" t="n"/>
      <c r="C498" s="30" t="n">
        <v>46103</v>
      </c>
      <c r="D498" s="17" t="inlineStr">
        <is>
          <t>A国内</t>
        </is>
      </c>
      <c r="E498" s="17" t="inlineStr">
        <is>
          <t>GATU8663903-202603</t>
        </is>
      </c>
      <c r="F498" s="17" t="inlineStr">
        <is>
          <t>烟台市金豪矿山机械有限公司</t>
        </is>
      </c>
      <c r="G498" s="17" t="inlineStr">
        <is>
          <t>JH0444</t>
        </is>
      </c>
      <c r="H498" s="24">
        <f>IF($G498="","",IFERROR(VLOOKUP($G498,物料档案!$A$4:$P$1203,3,0),"※编码不在物料档案里"))</f>
        <v/>
      </c>
      <c r="I498" s="24">
        <f>IF($G498="","",IFERROR(VLOOKUP($G498,物料档案!$A$4:$P$1203,4,0),"※编码不在物料档案里"))</f>
        <v/>
      </c>
      <c r="J498" s="24">
        <f>IF($G498="","",IFERROR(VLOOKUP($G498,物料档案!$A$4:$P$1203,5,0),"※编码不在物料档案里"))</f>
        <v/>
      </c>
      <c r="K498" s="23" t="n">
        <v>5</v>
      </c>
      <c r="L498" s="31" t="n">
        <v>5</v>
      </c>
      <c r="M498" s="24">
        <f>IF($G498="","",IF($D498="A国内","CNY","TZS"))</f>
        <v/>
      </c>
      <c r="N498" s="28">
        <f>IF($G498="","",IF($D498="A国内",汇率,1))</f>
        <v/>
      </c>
      <c r="O498" s="25">
        <f>IF($G498="","",ROUND(N($K498)*N($L498),2))</f>
        <v/>
      </c>
      <c r="P498" s="26">
        <f>IF($G498="","",ROUND($O498*$N498,0))</f>
        <v/>
      </c>
      <c r="Q498" s="26">
        <f>IF($G498="","",SUMIFS($P$4:$P$2503,$E$4:$E$2503,$E498,$Z$4:$Z$2503,"正常"))</f>
        <v/>
      </c>
      <c r="R498" s="26">
        <f>IF($G498="","",SUMIFS(费用台账!$I$4:$I$503,费用台账!$C$4:$C$503,$E498,费用台账!$J$4:$J$503,"是",费用台账!$K$4:$K$503,"正常"))</f>
        <v/>
      </c>
      <c r="S498" s="28">
        <f>IF($G498="","",COUNTIFS($E$4:$E$2503,$E498,$Z$4:$Z$2503,"正常",$Y$4:$Y$2503,"待补价"))</f>
        <v/>
      </c>
      <c r="T498" s="26">
        <f>IF($G498="","",SUMIFS($P$4:$P$2503,$E$4:$E$2503,$E498,$Z$4:$Z$2503,"正常",$A$4:$A$2503,"&lt;="&amp;$A498))</f>
        <v/>
      </c>
      <c r="U498" s="26">
        <f>IF($G498="","",IF(OR($S498&gt;0,$Q498=0,$R498=0,$Z498&lt;&gt;"正常"),0,ROUND($T498/$Q498*$R498,0)-ROUND(($T498-$P498)/$Q498*$R498,0)))</f>
        <v/>
      </c>
      <c r="V498" s="26">
        <f>IF($G498="","",ROUND($P498+$U498,0))</f>
        <v/>
      </c>
      <c r="W498" s="26">
        <f>IF($G498="","",IF(N($K498)=0,0,ROUND($V498/$K498,2)))</f>
        <v/>
      </c>
      <c r="X498" s="17" t="inlineStr">
        <is>
          <t>采购入库</t>
        </is>
      </c>
      <c r="Y498" s="17" t="inlineStr">
        <is>
          <t>正常</t>
        </is>
      </c>
      <c r="Z498" s="17" t="inlineStr">
        <is>
          <t>正常</t>
        </is>
      </c>
      <c r="AA498" s="17" t="n"/>
      <c r="AB498" s="17" t="inlineStr">
        <is>
          <t>原表第 504 行</t>
        </is>
      </c>
      <c r="AC498" s="24">
        <f>IF($G498="","",IF($H498="※编码不在物料档案里","※物料编码不在档案里",IF(N($K498)&lt;=0,"※入库数量要大于 0",IF(AND($C498&lt;&gt;"",$C498&lt;=结账锁),"※日期早于已结账截止日，不能再录",IF(AND($L498=0,$X498="正常"),"※没填单价，价格状态请选「待补价」",IF(AND($S498&gt;0,$R498&gt;0),"△本批有 "&amp;$S498&amp;" 行没单价，整批运费先挂账没摊",IF(AND($B498&lt;&gt;"",COUNTIF($B$4:$B$2503,$B498)&gt;1),"※入库单号重复","")))))))</f>
        <v/>
      </c>
    </row>
    <row r="499">
      <c r="A499" s="24">
        <f>IF($G499="","",COUNTA($G$4:$G499))</f>
        <v/>
      </c>
      <c r="B499" s="17" t="n"/>
      <c r="C499" s="30" t="n">
        <v>46103</v>
      </c>
      <c r="D499" s="17" t="inlineStr">
        <is>
          <t>A国内</t>
        </is>
      </c>
      <c r="E499" s="17" t="inlineStr">
        <is>
          <t>GATU8663903-202603</t>
        </is>
      </c>
      <c r="F499" s="17" t="inlineStr">
        <is>
          <t>烟台市金豪矿山机械有限公司</t>
        </is>
      </c>
      <c r="G499" s="17" t="inlineStr">
        <is>
          <t>JH0445</t>
        </is>
      </c>
      <c r="H499" s="24">
        <f>IF($G499="","",IFERROR(VLOOKUP($G499,物料档案!$A$4:$P$1203,3,0),"※编码不在物料档案里"))</f>
        <v/>
      </c>
      <c r="I499" s="24">
        <f>IF($G499="","",IFERROR(VLOOKUP($G499,物料档案!$A$4:$P$1203,4,0),"※编码不在物料档案里"))</f>
        <v/>
      </c>
      <c r="J499" s="24">
        <f>IF($G499="","",IFERROR(VLOOKUP($G499,物料档案!$A$4:$P$1203,5,0),"※编码不在物料档案里"))</f>
        <v/>
      </c>
      <c r="K499" s="23" t="n">
        <v>1</v>
      </c>
      <c r="L499" s="31" t="n">
        <v>400</v>
      </c>
      <c r="M499" s="24">
        <f>IF($G499="","",IF($D499="A国内","CNY","TZS"))</f>
        <v/>
      </c>
      <c r="N499" s="28">
        <f>IF($G499="","",IF($D499="A国内",汇率,1))</f>
        <v/>
      </c>
      <c r="O499" s="25">
        <f>IF($G499="","",ROUND(N($K499)*N($L499),2))</f>
        <v/>
      </c>
      <c r="P499" s="26">
        <f>IF($G499="","",ROUND($O499*$N499,0))</f>
        <v/>
      </c>
      <c r="Q499" s="26">
        <f>IF($G499="","",SUMIFS($P$4:$P$2503,$E$4:$E$2503,$E499,$Z$4:$Z$2503,"正常"))</f>
        <v/>
      </c>
      <c r="R499" s="26">
        <f>IF($G499="","",SUMIFS(费用台账!$I$4:$I$503,费用台账!$C$4:$C$503,$E499,费用台账!$J$4:$J$503,"是",费用台账!$K$4:$K$503,"正常"))</f>
        <v/>
      </c>
      <c r="S499" s="28">
        <f>IF($G499="","",COUNTIFS($E$4:$E$2503,$E499,$Z$4:$Z$2503,"正常",$Y$4:$Y$2503,"待补价"))</f>
        <v/>
      </c>
      <c r="T499" s="26">
        <f>IF($G499="","",SUMIFS($P$4:$P$2503,$E$4:$E$2503,$E499,$Z$4:$Z$2503,"正常",$A$4:$A$2503,"&lt;="&amp;$A499))</f>
        <v/>
      </c>
      <c r="U499" s="26">
        <f>IF($G499="","",IF(OR($S499&gt;0,$Q499=0,$R499=0,$Z499&lt;&gt;"正常"),0,ROUND($T499/$Q499*$R499,0)-ROUND(($T499-$P499)/$Q499*$R499,0)))</f>
        <v/>
      </c>
      <c r="V499" s="26">
        <f>IF($G499="","",ROUND($P499+$U499,0))</f>
        <v/>
      </c>
      <c r="W499" s="26">
        <f>IF($G499="","",IF(N($K499)=0,0,ROUND($V499/$K499,2)))</f>
        <v/>
      </c>
      <c r="X499" s="17" t="inlineStr">
        <is>
          <t>采购入库</t>
        </is>
      </c>
      <c r="Y499" s="17" t="inlineStr">
        <is>
          <t>正常</t>
        </is>
      </c>
      <c r="Z499" s="17" t="inlineStr">
        <is>
          <t>正常</t>
        </is>
      </c>
      <c r="AA499" s="17" t="n"/>
      <c r="AB499" s="17" t="inlineStr">
        <is>
          <t>原表第 505 行</t>
        </is>
      </c>
      <c r="AC499" s="24">
        <f>IF($G499="","",IF($H499="※编码不在物料档案里","※物料编码不在档案里",IF(N($K499)&lt;=0,"※入库数量要大于 0",IF(AND($C499&lt;&gt;"",$C499&lt;=结账锁),"※日期早于已结账截止日，不能再录",IF(AND($L499=0,$X499="正常"),"※没填单价，价格状态请选「待补价」",IF(AND($S499&gt;0,$R499&gt;0),"△本批有 "&amp;$S499&amp;" 行没单价，整批运费先挂账没摊",IF(AND($B499&lt;&gt;"",COUNTIF($B$4:$B$2503,$B499)&gt;1),"※入库单号重复","")))))))</f>
        <v/>
      </c>
    </row>
    <row r="500">
      <c r="A500" s="24">
        <f>IF($G500="","",COUNTA($G$4:$G500))</f>
        <v/>
      </c>
      <c r="B500" s="17" t="n"/>
      <c r="C500" s="30" t="n">
        <v>46108</v>
      </c>
      <c r="D500" s="17" t="inlineStr">
        <is>
          <t>A国内</t>
        </is>
      </c>
      <c r="E500" s="17" t="inlineStr">
        <is>
          <t>CBHU8968633-202603</t>
        </is>
      </c>
      <c r="F500" s="17" t="inlineStr">
        <is>
          <t>烟台市金豪矿山机械有限公司</t>
        </is>
      </c>
      <c r="G500" s="17" t="inlineStr">
        <is>
          <t>JH0166</t>
        </is>
      </c>
      <c r="H500" s="24">
        <f>IF($G500="","",IFERROR(VLOOKUP($G500,物料档案!$A$4:$P$1203,3,0),"※编码不在物料档案里"))</f>
        <v/>
      </c>
      <c r="I500" s="24">
        <f>IF($G500="","",IFERROR(VLOOKUP($G500,物料档案!$A$4:$P$1203,4,0),"※编码不在物料档案里"))</f>
        <v/>
      </c>
      <c r="J500" s="24">
        <f>IF($G500="","",IFERROR(VLOOKUP($G500,物料档案!$A$4:$P$1203,5,0),"※编码不在物料档案里"))</f>
        <v/>
      </c>
      <c r="K500" s="23" t="n">
        <v>1</v>
      </c>
      <c r="L500" s="31" t="n"/>
      <c r="M500" s="24">
        <f>IF($G500="","",IF($D500="A国内","CNY","TZS"))</f>
        <v/>
      </c>
      <c r="N500" s="28">
        <f>IF($G500="","",IF($D500="A国内",汇率,1))</f>
        <v/>
      </c>
      <c r="O500" s="25">
        <f>IF($G500="","",ROUND(N($K500)*N($L500),2))</f>
        <v/>
      </c>
      <c r="P500" s="26">
        <f>IF($G500="","",ROUND($O500*$N500,0))</f>
        <v/>
      </c>
      <c r="Q500" s="26">
        <f>IF($G500="","",SUMIFS($P$4:$P$2503,$E$4:$E$2503,$E500,$Z$4:$Z$2503,"正常"))</f>
        <v/>
      </c>
      <c r="R500" s="26">
        <f>IF($G500="","",SUMIFS(费用台账!$I$4:$I$503,费用台账!$C$4:$C$503,$E500,费用台账!$J$4:$J$503,"是",费用台账!$K$4:$K$503,"正常"))</f>
        <v/>
      </c>
      <c r="S500" s="28">
        <f>IF($G500="","",COUNTIFS($E$4:$E$2503,$E500,$Z$4:$Z$2503,"正常",$Y$4:$Y$2503,"待补价"))</f>
        <v/>
      </c>
      <c r="T500" s="26">
        <f>IF($G500="","",SUMIFS($P$4:$P$2503,$E$4:$E$2503,$E500,$Z$4:$Z$2503,"正常",$A$4:$A$2503,"&lt;="&amp;$A500))</f>
        <v/>
      </c>
      <c r="U500" s="26">
        <f>IF($G500="","",IF(OR($S500&gt;0,$Q500=0,$R500=0,$Z500&lt;&gt;"正常"),0,ROUND($T500/$Q500*$R500,0)-ROUND(($T500-$P500)/$Q500*$R500,0)))</f>
        <v/>
      </c>
      <c r="V500" s="26">
        <f>IF($G500="","",ROUND($P500+$U500,0))</f>
        <v/>
      </c>
      <c r="W500" s="26">
        <f>IF($G500="","",IF(N($K500)=0,0,ROUND($V500/$K500,2)))</f>
        <v/>
      </c>
      <c r="X500" s="17" t="inlineStr">
        <is>
          <t>采购入库</t>
        </is>
      </c>
      <c r="Y500" s="17" t="inlineStr">
        <is>
          <t>待补价</t>
        </is>
      </c>
      <c r="Z500" s="17" t="inlineStr">
        <is>
          <t>正常</t>
        </is>
      </c>
      <c r="AA500" s="17" t="n"/>
      <c r="AB500" s="17" t="inlineStr">
        <is>
          <t>原表第 506 行</t>
        </is>
      </c>
      <c r="AC500" s="24">
        <f>IF($G500="","",IF($H500="※编码不在物料档案里","※物料编码不在档案里",IF(N($K500)&lt;=0,"※入库数量要大于 0",IF(AND($C500&lt;&gt;"",$C500&lt;=结账锁),"※日期早于已结账截止日，不能再录",IF(AND($L500=0,$X500="正常"),"※没填单价，价格状态请选「待补价」",IF(AND($S500&gt;0,$R500&gt;0),"△本批有 "&amp;$S500&amp;" 行没单价，整批运费先挂账没摊",IF(AND($B500&lt;&gt;"",COUNTIF($B$4:$B$2503,$B500)&gt;1),"※入库单号重复","")))))))</f>
        <v/>
      </c>
    </row>
    <row r="501">
      <c r="A501" s="24">
        <f>IF($G501="","",COUNTA($G$4:$G501))</f>
        <v/>
      </c>
      <c r="B501" s="17" t="n"/>
      <c r="C501" s="30" t="n">
        <v>46108</v>
      </c>
      <c r="D501" s="17" t="inlineStr">
        <is>
          <t>A国内</t>
        </is>
      </c>
      <c r="E501" s="17" t="inlineStr">
        <is>
          <t>CBHU8968633-202603</t>
        </is>
      </c>
      <c r="F501" s="17" t="inlineStr">
        <is>
          <t>烟台市金豪矿山机械有限公司</t>
        </is>
      </c>
      <c r="G501" s="17" t="inlineStr">
        <is>
          <t>JH0446</t>
        </is>
      </c>
      <c r="H501" s="24">
        <f>IF($G501="","",IFERROR(VLOOKUP($G501,物料档案!$A$4:$P$1203,3,0),"※编码不在物料档案里"))</f>
        <v/>
      </c>
      <c r="I501" s="24">
        <f>IF($G501="","",IFERROR(VLOOKUP($G501,物料档案!$A$4:$P$1203,4,0),"※编码不在物料档案里"))</f>
        <v/>
      </c>
      <c r="J501" s="24">
        <f>IF($G501="","",IFERROR(VLOOKUP($G501,物料档案!$A$4:$P$1203,5,0),"※编码不在物料档案里"))</f>
        <v/>
      </c>
      <c r="K501" s="23" t="n">
        <v>1</v>
      </c>
      <c r="L501" s="31" t="n"/>
      <c r="M501" s="24">
        <f>IF($G501="","",IF($D501="A国内","CNY","TZS"))</f>
        <v/>
      </c>
      <c r="N501" s="28">
        <f>IF($G501="","",IF($D501="A国内",汇率,1))</f>
        <v/>
      </c>
      <c r="O501" s="25">
        <f>IF($G501="","",ROUND(N($K501)*N($L501),2))</f>
        <v/>
      </c>
      <c r="P501" s="26">
        <f>IF($G501="","",ROUND($O501*$N501,0))</f>
        <v/>
      </c>
      <c r="Q501" s="26">
        <f>IF($G501="","",SUMIFS($P$4:$P$2503,$E$4:$E$2503,$E501,$Z$4:$Z$2503,"正常"))</f>
        <v/>
      </c>
      <c r="R501" s="26">
        <f>IF($G501="","",SUMIFS(费用台账!$I$4:$I$503,费用台账!$C$4:$C$503,$E501,费用台账!$J$4:$J$503,"是",费用台账!$K$4:$K$503,"正常"))</f>
        <v/>
      </c>
      <c r="S501" s="28">
        <f>IF($G501="","",COUNTIFS($E$4:$E$2503,$E501,$Z$4:$Z$2503,"正常",$Y$4:$Y$2503,"待补价"))</f>
        <v/>
      </c>
      <c r="T501" s="26">
        <f>IF($G501="","",SUMIFS($P$4:$P$2503,$E$4:$E$2503,$E501,$Z$4:$Z$2503,"正常",$A$4:$A$2503,"&lt;="&amp;$A501))</f>
        <v/>
      </c>
      <c r="U501" s="26">
        <f>IF($G501="","",IF(OR($S501&gt;0,$Q501=0,$R501=0,$Z501&lt;&gt;"正常"),0,ROUND($T501/$Q501*$R501,0)-ROUND(($T501-$P501)/$Q501*$R501,0)))</f>
        <v/>
      </c>
      <c r="V501" s="26">
        <f>IF($G501="","",ROUND($P501+$U501,0))</f>
        <v/>
      </c>
      <c r="W501" s="26">
        <f>IF($G501="","",IF(N($K501)=0,0,ROUND($V501/$K501,2)))</f>
        <v/>
      </c>
      <c r="X501" s="17" t="inlineStr">
        <is>
          <t>采购入库</t>
        </is>
      </c>
      <c r="Y501" s="17" t="inlineStr">
        <is>
          <t>待补价</t>
        </is>
      </c>
      <c r="Z501" s="17" t="inlineStr">
        <is>
          <t>正常</t>
        </is>
      </c>
      <c r="AA501" s="17" t="n"/>
      <c r="AB501" s="17" t="inlineStr">
        <is>
          <t>原表第 507 行</t>
        </is>
      </c>
      <c r="AC501" s="24">
        <f>IF($G501="","",IF($H501="※编码不在物料档案里","※物料编码不在档案里",IF(N($K501)&lt;=0,"※入库数量要大于 0",IF(AND($C501&lt;&gt;"",$C501&lt;=结账锁),"※日期早于已结账截止日，不能再录",IF(AND($L501=0,$X501="正常"),"※没填单价，价格状态请选「待补价」",IF(AND($S501&gt;0,$R501&gt;0),"△本批有 "&amp;$S501&amp;" 行没单价，整批运费先挂账没摊",IF(AND($B501&lt;&gt;"",COUNTIF($B$4:$B$2503,$B501)&gt;1),"※入库单号重复","")))))))</f>
        <v/>
      </c>
    </row>
    <row r="502">
      <c r="A502" s="24">
        <f>IF($G502="","",COUNTA($G$4:$G502))</f>
        <v/>
      </c>
      <c r="B502" s="17" t="n"/>
      <c r="C502" s="30" t="n">
        <v>46108</v>
      </c>
      <c r="D502" s="17" t="inlineStr">
        <is>
          <t>A国内</t>
        </is>
      </c>
      <c r="E502" s="17" t="inlineStr">
        <is>
          <t>CBHU8968633-202603</t>
        </is>
      </c>
      <c r="F502" s="17" t="inlineStr">
        <is>
          <t>烟台市金豪矿山机械有限公司</t>
        </is>
      </c>
      <c r="G502" s="17" t="inlineStr">
        <is>
          <t>JH0447</t>
        </is>
      </c>
      <c r="H502" s="24">
        <f>IF($G502="","",IFERROR(VLOOKUP($G502,物料档案!$A$4:$P$1203,3,0),"※编码不在物料档案里"))</f>
        <v/>
      </c>
      <c r="I502" s="24">
        <f>IF($G502="","",IFERROR(VLOOKUP($G502,物料档案!$A$4:$P$1203,4,0),"※编码不在物料档案里"))</f>
        <v/>
      </c>
      <c r="J502" s="24">
        <f>IF($G502="","",IFERROR(VLOOKUP($G502,物料档案!$A$4:$P$1203,5,0),"※编码不在物料档案里"))</f>
        <v/>
      </c>
      <c r="K502" s="23" t="n">
        <v>1</v>
      </c>
      <c r="L502" s="31" t="n"/>
      <c r="M502" s="24">
        <f>IF($G502="","",IF($D502="A国内","CNY","TZS"))</f>
        <v/>
      </c>
      <c r="N502" s="28">
        <f>IF($G502="","",IF($D502="A国内",汇率,1))</f>
        <v/>
      </c>
      <c r="O502" s="25">
        <f>IF($G502="","",ROUND(N($K502)*N($L502),2))</f>
        <v/>
      </c>
      <c r="P502" s="26">
        <f>IF($G502="","",ROUND($O502*$N502,0))</f>
        <v/>
      </c>
      <c r="Q502" s="26">
        <f>IF($G502="","",SUMIFS($P$4:$P$2503,$E$4:$E$2503,$E502,$Z$4:$Z$2503,"正常"))</f>
        <v/>
      </c>
      <c r="R502" s="26">
        <f>IF($G502="","",SUMIFS(费用台账!$I$4:$I$503,费用台账!$C$4:$C$503,$E502,费用台账!$J$4:$J$503,"是",费用台账!$K$4:$K$503,"正常"))</f>
        <v/>
      </c>
      <c r="S502" s="28">
        <f>IF($G502="","",COUNTIFS($E$4:$E$2503,$E502,$Z$4:$Z$2503,"正常",$Y$4:$Y$2503,"待补价"))</f>
        <v/>
      </c>
      <c r="T502" s="26">
        <f>IF($G502="","",SUMIFS($P$4:$P$2503,$E$4:$E$2503,$E502,$Z$4:$Z$2503,"正常",$A$4:$A$2503,"&lt;="&amp;$A502))</f>
        <v/>
      </c>
      <c r="U502" s="26">
        <f>IF($G502="","",IF(OR($S502&gt;0,$Q502=0,$R502=0,$Z502&lt;&gt;"正常"),0,ROUND($T502/$Q502*$R502,0)-ROUND(($T502-$P502)/$Q502*$R502,0)))</f>
        <v/>
      </c>
      <c r="V502" s="26">
        <f>IF($G502="","",ROUND($P502+$U502,0))</f>
        <v/>
      </c>
      <c r="W502" s="26">
        <f>IF($G502="","",IF(N($K502)=0,0,ROUND($V502/$K502,2)))</f>
        <v/>
      </c>
      <c r="X502" s="17" t="inlineStr">
        <is>
          <t>采购入库</t>
        </is>
      </c>
      <c r="Y502" s="17" t="inlineStr">
        <is>
          <t>待补价</t>
        </is>
      </c>
      <c r="Z502" s="17" t="inlineStr">
        <is>
          <t>正常</t>
        </is>
      </c>
      <c r="AA502" s="17" t="n"/>
      <c r="AB502" s="17" t="inlineStr">
        <is>
          <t>原表第 508 行</t>
        </is>
      </c>
      <c r="AC502" s="24">
        <f>IF($G502="","",IF($H502="※编码不在物料档案里","※物料编码不在档案里",IF(N($K502)&lt;=0,"※入库数量要大于 0",IF(AND($C502&lt;&gt;"",$C502&lt;=结账锁),"※日期早于已结账截止日，不能再录",IF(AND($L502=0,$X502="正常"),"※没填单价，价格状态请选「待补价」",IF(AND($S502&gt;0,$R502&gt;0),"△本批有 "&amp;$S502&amp;" 行没单价，整批运费先挂账没摊",IF(AND($B502&lt;&gt;"",COUNTIF($B$4:$B$2503,$B502)&gt;1),"※入库单号重复","")))))))</f>
        <v/>
      </c>
    </row>
    <row r="503">
      <c r="A503" s="24">
        <f>IF($G503="","",COUNTA($G$4:$G503))</f>
        <v/>
      </c>
      <c r="B503" s="17" t="n"/>
      <c r="C503" s="30" t="n">
        <v>46108</v>
      </c>
      <c r="D503" s="17" t="inlineStr">
        <is>
          <t>A国内</t>
        </is>
      </c>
      <c r="E503" s="17" t="inlineStr">
        <is>
          <t>CBHU8968633-202603</t>
        </is>
      </c>
      <c r="F503" s="17" t="inlineStr">
        <is>
          <t>烟台市金豪矿山机械有限公司</t>
        </is>
      </c>
      <c r="G503" s="17" t="inlineStr">
        <is>
          <t>JH0448</t>
        </is>
      </c>
      <c r="H503" s="24">
        <f>IF($G503="","",IFERROR(VLOOKUP($G503,物料档案!$A$4:$P$1203,3,0),"※编码不在物料档案里"))</f>
        <v/>
      </c>
      <c r="I503" s="24">
        <f>IF($G503="","",IFERROR(VLOOKUP($G503,物料档案!$A$4:$P$1203,4,0),"※编码不在物料档案里"))</f>
        <v/>
      </c>
      <c r="J503" s="24">
        <f>IF($G503="","",IFERROR(VLOOKUP($G503,物料档案!$A$4:$P$1203,5,0),"※编码不在物料档案里"))</f>
        <v/>
      </c>
      <c r="K503" s="23" t="n">
        <v>8</v>
      </c>
      <c r="L503" s="31" t="n"/>
      <c r="M503" s="24">
        <f>IF($G503="","",IF($D503="A国内","CNY","TZS"))</f>
        <v/>
      </c>
      <c r="N503" s="28">
        <f>IF($G503="","",IF($D503="A国内",汇率,1))</f>
        <v/>
      </c>
      <c r="O503" s="25">
        <f>IF($G503="","",ROUND(N($K503)*N($L503),2))</f>
        <v/>
      </c>
      <c r="P503" s="26">
        <f>IF($G503="","",ROUND($O503*$N503,0))</f>
        <v/>
      </c>
      <c r="Q503" s="26">
        <f>IF($G503="","",SUMIFS($P$4:$P$2503,$E$4:$E$2503,$E503,$Z$4:$Z$2503,"正常"))</f>
        <v/>
      </c>
      <c r="R503" s="26">
        <f>IF($G503="","",SUMIFS(费用台账!$I$4:$I$503,费用台账!$C$4:$C$503,$E503,费用台账!$J$4:$J$503,"是",费用台账!$K$4:$K$503,"正常"))</f>
        <v/>
      </c>
      <c r="S503" s="28">
        <f>IF($G503="","",COUNTIFS($E$4:$E$2503,$E503,$Z$4:$Z$2503,"正常",$Y$4:$Y$2503,"待补价"))</f>
        <v/>
      </c>
      <c r="T503" s="26">
        <f>IF($G503="","",SUMIFS($P$4:$P$2503,$E$4:$E$2503,$E503,$Z$4:$Z$2503,"正常",$A$4:$A$2503,"&lt;="&amp;$A503))</f>
        <v/>
      </c>
      <c r="U503" s="26">
        <f>IF($G503="","",IF(OR($S503&gt;0,$Q503=0,$R503=0,$Z503&lt;&gt;"正常"),0,ROUND($T503/$Q503*$R503,0)-ROUND(($T503-$P503)/$Q503*$R503,0)))</f>
        <v/>
      </c>
      <c r="V503" s="26">
        <f>IF($G503="","",ROUND($P503+$U503,0))</f>
        <v/>
      </c>
      <c r="W503" s="26">
        <f>IF($G503="","",IF(N($K503)=0,0,ROUND($V503/$K503,2)))</f>
        <v/>
      </c>
      <c r="X503" s="17" t="inlineStr">
        <is>
          <t>采购入库</t>
        </is>
      </c>
      <c r="Y503" s="17" t="inlineStr">
        <is>
          <t>待补价</t>
        </is>
      </c>
      <c r="Z503" s="17" t="inlineStr">
        <is>
          <t>正常</t>
        </is>
      </c>
      <c r="AA503" s="17" t="n"/>
      <c r="AB503" s="17" t="inlineStr">
        <is>
          <t>原表第 509 行</t>
        </is>
      </c>
      <c r="AC503" s="24">
        <f>IF($G503="","",IF($H503="※编码不在物料档案里","※物料编码不在档案里",IF(N($K503)&lt;=0,"※入库数量要大于 0",IF(AND($C503&lt;&gt;"",$C503&lt;=结账锁),"※日期早于已结账截止日，不能再录",IF(AND($L503=0,$X503="正常"),"※没填单价，价格状态请选「待补价」",IF(AND($S503&gt;0,$R503&gt;0),"△本批有 "&amp;$S503&amp;" 行没单价，整批运费先挂账没摊",IF(AND($B503&lt;&gt;"",COUNTIF($B$4:$B$2503,$B503)&gt;1),"※入库单号重复","")))))))</f>
        <v/>
      </c>
    </row>
    <row r="504">
      <c r="A504" s="24">
        <f>IF($G504="","",COUNTA($G$4:$G504))</f>
        <v/>
      </c>
      <c r="B504" s="17" t="n"/>
      <c r="C504" s="30" t="n">
        <v>46108</v>
      </c>
      <c r="D504" s="17" t="inlineStr">
        <is>
          <t>A国内</t>
        </is>
      </c>
      <c r="E504" s="17" t="inlineStr">
        <is>
          <t>CBHU8968633-202603</t>
        </is>
      </c>
      <c r="F504" s="17" t="inlineStr">
        <is>
          <t>烟台市金豪矿山机械有限公司</t>
        </is>
      </c>
      <c r="G504" s="17" t="inlineStr">
        <is>
          <t>JH0449</t>
        </is>
      </c>
      <c r="H504" s="24">
        <f>IF($G504="","",IFERROR(VLOOKUP($G504,物料档案!$A$4:$P$1203,3,0),"※编码不在物料档案里"))</f>
        <v/>
      </c>
      <c r="I504" s="24">
        <f>IF($G504="","",IFERROR(VLOOKUP($G504,物料档案!$A$4:$P$1203,4,0),"※编码不在物料档案里"))</f>
        <v/>
      </c>
      <c r="J504" s="24">
        <f>IF($G504="","",IFERROR(VLOOKUP($G504,物料档案!$A$4:$P$1203,5,0),"※编码不在物料档案里"))</f>
        <v/>
      </c>
      <c r="K504" s="23" t="n">
        <v>3</v>
      </c>
      <c r="L504" s="31" t="n"/>
      <c r="M504" s="24">
        <f>IF($G504="","",IF($D504="A国内","CNY","TZS"))</f>
        <v/>
      </c>
      <c r="N504" s="28">
        <f>IF($G504="","",IF($D504="A国内",汇率,1))</f>
        <v/>
      </c>
      <c r="O504" s="25">
        <f>IF($G504="","",ROUND(N($K504)*N($L504),2))</f>
        <v/>
      </c>
      <c r="P504" s="26">
        <f>IF($G504="","",ROUND($O504*$N504,0))</f>
        <v/>
      </c>
      <c r="Q504" s="26">
        <f>IF($G504="","",SUMIFS($P$4:$P$2503,$E$4:$E$2503,$E504,$Z$4:$Z$2503,"正常"))</f>
        <v/>
      </c>
      <c r="R504" s="26">
        <f>IF($G504="","",SUMIFS(费用台账!$I$4:$I$503,费用台账!$C$4:$C$503,$E504,费用台账!$J$4:$J$503,"是",费用台账!$K$4:$K$503,"正常"))</f>
        <v/>
      </c>
      <c r="S504" s="28">
        <f>IF($G504="","",COUNTIFS($E$4:$E$2503,$E504,$Z$4:$Z$2503,"正常",$Y$4:$Y$2503,"待补价"))</f>
        <v/>
      </c>
      <c r="T504" s="26">
        <f>IF($G504="","",SUMIFS($P$4:$P$2503,$E$4:$E$2503,$E504,$Z$4:$Z$2503,"正常",$A$4:$A$2503,"&lt;="&amp;$A504))</f>
        <v/>
      </c>
      <c r="U504" s="26">
        <f>IF($G504="","",IF(OR($S504&gt;0,$Q504=0,$R504=0,$Z504&lt;&gt;"正常"),0,ROUND($T504/$Q504*$R504,0)-ROUND(($T504-$P504)/$Q504*$R504,0)))</f>
        <v/>
      </c>
      <c r="V504" s="26">
        <f>IF($G504="","",ROUND($P504+$U504,0))</f>
        <v/>
      </c>
      <c r="W504" s="26">
        <f>IF($G504="","",IF(N($K504)=0,0,ROUND($V504/$K504,2)))</f>
        <v/>
      </c>
      <c r="X504" s="17" t="inlineStr">
        <is>
          <t>采购入库</t>
        </is>
      </c>
      <c r="Y504" s="17" t="inlineStr">
        <is>
          <t>待补价</t>
        </is>
      </c>
      <c r="Z504" s="17" t="inlineStr">
        <is>
          <t>正常</t>
        </is>
      </c>
      <c r="AA504" s="17" t="n"/>
      <c r="AB504" s="17" t="inlineStr">
        <is>
          <t>原表第 510 行</t>
        </is>
      </c>
      <c r="AC504" s="24">
        <f>IF($G504="","",IF($H504="※编码不在物料档案里","※物料编码不在档案里",IF(N($K504)&lt;=0,"※入库数量要大于 0",IF(AND($C504&lt;&gt;"",$C504&lt;=结账锁),"※日期早于已结账截止日，不能再录",IF(AND($L504=0,$X504="正常"),"※没填单价，价格状态请选「待补价」",IF(AND($S504&gt;0,$R504&gt;0),"△本批有 "&amp;$S504&amp;" 行没单价，整批运费先挂账没摊",IF(AND($B504&lt;&gt;"",COUNTIF($B$4:$B$2503,$B504)&gt;1),"※入库单号重复","")))))))</f>
        <v/>
      </c>
    </row>
    <row r="505">
      <c r="A505" s="24">
        <f>IF($G505="","",COUNTA($G$4:$G505))</f>
        <v/>
      </c>
      <c r="B505" s="17" t="n"/>
      <c r="C505" s="30" t="n">
        <v>46108</v>
      </c>
      <c r="D505" s="17" t="inlineStr">
        <is>
          <t>A国内</t>
        </is>
      </c>
      <c r="E505" s="17" t="inlineStr">
        <is>
          <t>CBHU8968633-202603</t>
        </is>
      </c>
      <c r="F505" s="17" t="inlineStr">
        <is>
          <t>烟台市金豪矿山机械有限公司</t>
        </is>
      </c>
      <c r="G505" s="17" t="inlineStr">
        <is>
          <t>JH0450</t>
        </is>
      </c>
      <c r="H505" s="24">
        <f>IF($G505="","",IFERROR(VLOOKUP($G505,物料档案!$A$4:$P$1203,3,0),"※编码不在物料档案里"))</f>
        <v/>
      </c>
      <c r="I505" s="24">
        <f>IF($G505="","",IFERROR(VLOOKUP($G505,物料档案!$A$4:$P$1203,4,0),"※编码不在物料档案里"))</f>
        <v/>
      </c>
      <c r="J505" s="24">
        <f>IF($G505="","",IFERROR(VLOOKUP($G505,物料档案!$A$4:$P$1203,5,0),"※编码不在物料档案里"))</f>
        <v/>
      </c>
      <c r="K505" s="23" t="n">
        <v>1</v>
      </c>
      <c r="L505" s="31" t="n"/>
      <c r="M505" s="24">
        <f>IF($G505="","",IF($D505="A国内","CNY","TZS"))</f>
        <v/>
      </c>
      <c r="N505" s="28">
        <f>IF($G505="","",IF($D505="A国内",汇率,1))</f>
        <v/>
      </c>
      <c r="O505" s="25">
        <f>IF($G505="","",ROUND(N($K505)*N($L505),2))</f>
        <v/>
      </c>
      <c r="P505" s="26">
        <f>IF($G505="","",ROUND($O505*$N505,0))</f>
        <v/>
      </c>
      <c r="Q505" s="26">
        <f>IF($G505="","",SUMIFS($P$4:$P$2503,$E$4:$E$2503,$E505,$Z$4:$Z$2503,"正常"))</f>
        <v/>
      </c>
      <c r="R505" s="26">
        <f>IF($G505="","",SUMIFS(费用台账!$I$4:$I$503,费用台账!$C$4:$C$503,$E505,费用台账!$J$4:$J$503,"是",费用台账!$K$4:$K$503,"正常"))</f>
        <v/>
      </c>
      <c r="S505" s="28">
        <f>IF($G505="","",COUNTIFS($E$4:$E$2503,$E505,$Z$4:$Z$2503,"正常",$Y$4:$Y$2503,"待补价"))</f>
        <v/>
      </c>
      <c r="T505" s="26">
        <f>IF($G505="","",SUMIFS($P$4:$P$2503,$E$4:$E$2503,$E505,$Z$4:$Z$2503,"正常",$A$4:$A$2503,"&lt;="&amp;$A505))</f>
        <v/>
      </c>
      <c r="U505" s="26">
        <f>IF($G505="","",IF(OR($S505&gt;0,$Q505=0,$R505=0,$Z505&lt;&gt;"正常"),0,ROUND($T505/$Q505*$R505,0)-ROUND(($T505-$P505)/$Q505*$R505,0)))</f>
        <v/>
      </c>
      <c r="V505" s="26">
        <f>IF($G505="","",ROUND($P505+$U505,0))</f>
        <v/>
      </c>
      <c r="W505" s="26">
        <f>IF($G505="","",IF(N($K505)=0,0,ROUND($V505/$K505,2)))</f>
        <v/>
      </c>
      <c r="X505" s="17" t="inlineStr">
        <is>
          <t>采购入库</t>
        </is>
      </c>
      <c r="Y505" s="17" t="inlineStr">
        <is>
          <t>待补价</t>
        </is>
      </c>
      <c r="Z505" s="17" t="inlineStr">
        <is>
          <t>正常</t>
        </is>
      </c>
      <c r="AA505" s="17" t="n"/>
      <c r="AB505" s="17" t="inlineStr">
        <is>
          <t>原表第 511 行</t>
        </is>
      </c>
      <c r="AC505" s="24">
        <f>IF($G505="","",IF($H505="※编码不在物料档案里","※物料编码不在档案里",IF(N($K505)&lt;=0,"※入库数量要大于 0",IF(AND($C505&lt;&gt;"",$C505&lt;=结账锁),"※日期早于已结账截止日，不能再录",IF(AND($L505=0,$X505="正常"),"※没填单价，价格状态请选「待补价」",IF(AND($S505&gt;0,$R505&gt;0),"△本批有 "&amp;$S505&amp;" 行没单价，整批运费先挂账没摊",IF(AND($B505&lt;&gt;"",COUNTIF($B$4:$B$2503,$B505)&gt;1),"※入库单号重复","")))))))</f>
        <v/>
      </c>
    </row>
    <row r="506">
      <c r="A506" s="24">
        <f>IF($G506="","",COUNTA($G$4:$G506))</f>
        <v/>
      </c>
      <c r="B506" s="17" t="n"/>
      <c r="C506" s="30" t="n">
        <v>46108</v>
      </c>
      <c r="D506" s="17" t="inlineStr">
        <is>
          <t>A国内</t>
        </is>
      </c>
      <c r="E506" s="17" t="inlineStr">
        <is>
          <t>CBHU8968633-202603</t>
        </is>
      </c>
      <c r="F506" s="17" t="inlineStr">
        <is>
          <t>烟台市金豪矿山机械有限公司</t>
        </is>
      </c>
      <c r="G506" s="17" t="inlineStr">
        <is>
          <t>JH0451</t>
        </is>
      </c>
      <c r="H506" s="24">
        <f>IF($G506="","",IFERROR(VLOOKUP($G506,物料档案!$A$4:$P$1203,3,0),"※编码不在物料档案里"))</f>
        <v/>
      </c>
      <c r="I506" s="24">
        <f>IF($G506="","",IFERROR(VLOOKUP($G506,物料档案!$A$4:$P$1203,4,0),"※编码不在物料档案里"))</f>
        <v/>
      </c>
      <c r="J506" s="24">
        <f>IF($G506="","",IFERROR(VLOOKUP($G506,物料档案!$A$4:$P$1203,5,0),"※编码不在物料档案里"))</f>
        <v/>
      </c>
      <c r="K506" s="23" t="n">
        <v>8</v>
      </c>
      <c r="L506" s="31" t="n"/>
      <c r="M506" s="24">
        <f>IF($G506="","",IF($D506="A国内","CNY","TZS"))</f>
        <v/>
      </c>
      <c r="N506" s="28">
        <f>IF($G506="","",IF($D506="A国内",汇率,1))</f>
        <v/>
      </c>
      <c r="O506" s="25">
        <f>IF($G506="","",ROUND(N($K506)*N($L506),2))</f>
        <v/>
      </c>
      <c r="P506" s="26">
        <f>IF($G506="","",ROUND($O506*$N506,0))</f>
        <v/>
      </c>
      <c r="Q506" s="26">
        <f>IF($G506="","",SUMIFS($P$4:$P$2503,$E$4:$E$2503,$E506,$Z$4:$Z$2503,"正常"))</f>
        <v/>
      </c>
      <c r="R506" s="26">
        <f>IF($G506="","",SUMIFS(费用台账!$I$4:$I$503,费用台账!$C$4:$C$503,$E506,费用台账!$J$4:$J$503,"是",费用台账!$K$4:$K$503,"正常"))</f>
        <v/>
      </c>
      <c r="S506" s="28">
        <f>IF($G506="","",COUNTIFS($E$4:$E$2503,$E506,$Z$4:$Z$2503,"正常",$Y$4:$Y$2503,"待补价"))</f>
        <v/>
      </c>
      <c r="T506" s="26">
        <f>IF($G506="","",SUMIFS($P$4:$P$2503,$E$4:$E$2503,$E506,$Z$4:$Z$2503,"正常",$A$4:$A$2503,"&lt;="&amp;$A506))</f>
        <v/>
      </c>
      <c r="U506" s="26">
        <f>IF($G506="","",IF(OR($S506&gt;0,$Q506=0,$R506=0,$Z506&lt;&gt;"正常"),0,ROUND($T506/$Q506*$R506,0)-ROUND(($T506-$P506)/$Q506*$R506,0)))</f>
        <v/>
      </c>
      <c r="V506" s="26">
        <f>IF($G506="","",ROUND($P506+$U506,0))</f>
        <v/>
      </c>
      <c r="W506" s="26">
        <f>IF($G506="","",IF(N($K506)=0,0,ROUND($V506/$K506,2)))</f>
        <v/>
      </c>
      <c r="X506" s="17" t="inlineStr">
        <is>
          <t>采购入库</t>
        </is>
      </c>
      <c r="Y506" s="17" t="inlineStr">
        <is>
          <t>待补价</t>
        </is>
      </c>
      <c r="Z506" s="17" t="inlineStr">
        <is>
          <t>正常</t>
        </is>
      </c>
      <c r="AA506" s="17" t="n"/>
      <c r="AB506" s="17" t="inlineStr">
        <is>
          <t>原表第 512 行</t>
        </is>
      </c>
      <c r="AC506" s="24">
        <f>IF($G506="","",IF($H506="※编码不在物料档案里","※物料编码不在档案里",IF(N($K506)&lt;=0,"※入库数量要大于 0",IF(AND($C506&lt;&gt;"",$C506&lt;=结账锁),"※日期早于已结账截止日，不能再录",IF(AND($L506=0,$X506="正常"),"※没填单价，价格状态请选「待补价」",IF(AND($S506&gt;0,$R506&gt;0),"△本批有 "&amp;$S506&amp;" 行没单价，整批运费先挂账没摊",IF(AND($B506&lt;&gt;"",COUNTIF($B$4:$B$2503,$B506)&gt;1),"※入库单号重复","")))))))</f>
        <v/>
      </c>
    </row>
    <row r="507">
      <c r="A507" s="24">
        <f>IF($G507="","",COUNTA($G$4:$G507))</f>
        <v/>
      </c>
      <c r="B507" s="17" t="n"/>
      <c r="C507" s="30" t="n">
        <v>46108</v>
      </c>
      <c r="D507" s="17" t="inlineStr">
        <is>
          <t>A国内</t>
        </is>
      </c>
      <c r="E507" s="17" t="inlineStr">
        <is>
          <t>CBHU8968633-202603</t>
        </is>
      </c>
      <c r="F507" s="17" t="inlineStr">
        <is>
          <t>烟台市金豪矿山机械有限公司</t>
        </is>
      </c>
      <c r="G507" s="17" t="inlineStr">
        <is>
          <t>JH0452</t>
        </is>
      </c>
      <c r="H507" s="24">
        <f>IF($G507="","",IFERROR(VLOOKUP($G507,物料档案!$A$4:$P$1203,3,0),"※编码不在物料档案里"))</f>
        <v/>
      </c>
      <c r="I507" s="24">
        <f>IF($G507="","",IFERROR(VLOOKUP($G507,物料档案!$A$4:$P$1203,4,0),"※编码不在物料档案里"))</f>
        <v/>
      </c>
      <c r="J507" s="24">
        <f>IF($G507="","",IFERROR(VLOOKUP($G507,物料档案!$A$4:$P$1203,5,0),"※编码不在物料档案里"))</f>
        <v/>
      </c>
      <c r="K507" s="23" t="n">
        <v>4</v>
      </c>
      <c r="L507" s="31" t="n"/>
      <c r="M507" s="24">
        <f>IF($G507="","",IF($D507="A国内","CNY","TZS"))</f>
        <v/>
      </c>
      <c r="N507" s="28">
        <f>IF($G507="","",IF($D507="A国内",汇率,1))</f>
        <v/>
      </c>
      <c r="O507" s="25">
        <f>IF($G507="","",ROUND(N($K507)*N($L507),2))</f>
        <v/>
      </c>
      <c r="P507" s="26">
        <f>IF($G507="","",ROUND($O507*$N507,0))</f>
        <v/>
      </c>
      <c r="Q507" s="26">
        <f>IF($G507="","",SUMIFS($P$4:$P$2503,$E$4:$E$2503,$E507,$Z$4:$Z$2503,"正常"))</f>
        <v/>
      </c>
      <c r="R507" s="26">
        <f>IF($G507="","",SUMIFS(费用台账!$I$4:$I$503,费用台账!$C$4:$C$503,$E507,费用台账!$J$4:$J$503,"是",费用台账!$K$4:$K$503,"正常"))</f>
        <v/>
      </c>
      <c r="S507" s="28">
        <f>IF($G507="","",COUNTIFS($E$4:$E$2503,$E507,$Z$4:$Z$2503,"正常",$Y$4:$Y$2503,"待补价"))</f>
        <v/>
      </c>
      <c r="T507" s="26">
        <f>IF($G507="","",SUMIFS($P$4:$P$2503,$E$4:$E$2503,$E507,$Z$4:$Z$2503,"正常",$A$4:$A$2503,"&lt;="&amp;$A507))</f>
        <v/>
      </c>
      <c r="U507" s="26">
        <f>IF($G507="","",IF(OR($S507&gt;0,$Q507=0,$R507=0,$Z507&lt;&gt;"正常"),0,ROUND($T507/$Q507*$R507,0)-ROUND(($T507-$P507)/$Q507*$R507,0)))</f>
        <v/>
      </c>
      <c r="V507" s="26">
        <f>IF($G507="","",ROUND($P507+$U507,0))</f>
        <v/>
      </c>
      <c r="W507" s="26">
        <f>IF($G507="","",IF(N($K507)=0,0,ROUND($V507/$K507,2)))</f>
        <v/>
      </c>
      <c r="X507" s="17" t="inlineStr">
        <is>
          <t>采购入库</t>
        </is>
      </c>
      <c r="Y507" s="17" t="inlineStr">
        <is>
          <t>待补价</t>
        </is>
      </c>
      <c r="Z507" s="17" t="inlineStr">
        <is>
          <t>正常</t>
        </is>
      </c>
      <c r="AA507" s="17" t="n"/>
      <c r="AB507" s="17" t="inlineStr">
        <is>
          <t>原表第 513 行</t>
        </is>
      </c>
      <c r="AC507" s="24">
        <f>IF($G507="","",IF($H507="※编码不在物料档案里","※物料编码不在档案里",IF(N($K507)&lt;=0,"※入库数量要大于 0",IF(AND($C507&lt;&gt;"",$C507&lt;=结账锁),"※日期早于已结账截止日，不能再录",IF(AND($L507=0,$X507="正常"),"※没填单价，价格状态请选「待补价」",IF(AND($S507&gt;0,$R507&gt;0),"△本批有 "&amp;$S507&amp;" 行没单价，整批运费先挂账没摊",IF(AND($B507&lt;&gt;"",COUNTIF($B$4:$B$2503,$B507)&gt;1),"※入库单号重复","")))))))</f>
        <v/>
      </c>
    </row>
    <row r="508">
      <c r="A508" s="24">
        <f>IF($G508="","",COUNTA($G$4:$G508))</f>
        <v/>
      </c>
      <c r="B508" s="17" t="n"/>
      <c r="C508" s="30" t="n">
        <v>46108</v>
      </c>
      <c r="D508" s="17" t="inlineStr">
        <is>
          <t>A国内</t>
        </is>
      </c>
      <c r="E508" s="17" t="inlineStr">
        <is>
          <t>CBHU8968633-202603</t>
        </is>
      </c>
      <c r="F508" s="17" t="inlineStr">
        <is>
          <t>烟台市金豪矿山机械有限公司</t>
        </is>
      </c>
      <c r="G508" s="17" t="inlineStr">
        <is>
          <t>JH0453</t>
        </is>
      </c>
      <c r="H508" s="24">
        <f>IF($G508="","",IFERROR(VLOOKUP($G508,物料档案!$A$4:$P$1203,3,0),"※编码不在物料档案里"))</f>
        <v/>
      </c>
      <c r="I508" s="24">
        <f>IF($G508="","",IFERROR(VLOOKUP($G508,物料档案!$A$4:$P$1203,4,0),"※编码不在物料档案里"))</f>
        <v/>
      </c>
      <c r="J508" s="24">
        <f>IF($G508="","",IFERROR(VLOOKUP($G508,物料档案!$A$4:$P$1203,5,0),"※编码不在物料档案里"))</f>
        <v/>
      </c>
      <c r="K508" s="23" t="n">
        <v>8</v>
      </c>
      <c r="L508" s="31" t="n"/>
      <c r="M508" s="24">
        <f>IF($G508="","",IF($D508="A国内","CNY","TZS"))</f>
        <v/>
      </c>
      <c r="N508" s="28">
        <f>IF($G508="","",IF($D508="A国内",汇率,1))</f>
        <v/>
      </c>
      <c r="O508" s="25">
        <f>IF($G508="","",ROUND(N($K508)*N($L508),2))</f>
        <v/>
      </c>
      <c r="P508" s="26">
        <f>IF($G508="","",ROUND($O508*$N508,0))</f>
        <v/>
      </c>
      <c r="Q508" s="26">
        <f>IF($G508="","",SUMIFS($P$4:$P$2503,$E$4:$E$2503,$E508,$Z$4:$Z$2503,"正常"))</f>
        <v/>
      </c>
      <c r="R508" s="26">
        <f>IF($G508="","",SUMIFS(费用台账!$I$4:$I$503,费用台账!$C$4:$C$503,$E508,费用台账!$J$4:$J$503,"是",费用台账!$K$4:$K$503,"正常"))</f>
        <v/>
      </c>
      <c r="S508" s="28">
        <f>IF($G508="","",COUNTIFS($E$4:$E$2503,$E508,$Z$4:$Z$2503,"正常",$Y$4:$Y$2503,"待补价"))</f>
        <v/>
      </c>
      <c r="T508" s="26">
        <f>IF($G508="","",SUMIFS($P$4:$P$2503,$E$4:$E$2503,$E508,$Z$4:$Z$2503,"正常",$A$4:$A$2503,"&lt;="&amp;$A508))</f>
        <v/>
      </c>
      <c r="U508" s="26">
        <f>IF($G508="","",IF(OR($S508&gt;0,$Q508=0,$R508=0,$Z508&lt;&gt;"正常"),0,ROUND($T508/$Q508*$R508,0)-ROUND(($T508-$P508)/$Q508*$R508,0)))</f>
        <v/>
      </c>
      <c r="V508" s="26">
        <f>IF($G508="","",ROUND($P508+$U508,0))</f>
        <v/>
      </c>
      <c r="W508" s="26">
        <f>IF($G508="","",IF(N($K508)=0,0,ROUND($V508/$K508,2)))</f>
        <v/>
      </c>
      <c r="X508" s="17" t="inlineStr">
        <is>
          <t>采购入库</t>
        </is>
      </c>
      <c r="Y508" s="17" t="inlineStr">
        <is>
          <t>待补价</t>
        </is>
      </c>
      <c r="Z508" s="17" t="inlineStr">
        <is>
          <t>正常</t>
        </is>
      </c>
      <c r="AA508" s="17" t="n"/>
      <c r="AB508" s="17" t="inlineStr">
        <is>
          <t>原表第 514 行</t>
        </is>
      </c>
      <c r="AC508" s="24">
        <f>IF($G508="","",IF($H508="※编码不在物料档案里","※物料编码不在档案里",IF(N($K508)&lt;=0,"※入库数量要大于 0",IF(AND($C508&lt;&gt;"",$C508&lt;=结账锁),"※日期早于已结账截止日，不能再录",IF(AND($L508=0,$X508="正常"),"※没填单价，价格状态请选「待补价」",IF(AND($S508&gt;0,$R508&gt;0),"△本批有 "&amp;$S508&amp;" 行没单价，整批运费先挂账没摊",IF(AND($B508&lt;&gt;"",COUNTIF($B$4:$B$2503,$B508)&gt;1),"※入库单号重复","")))))))</f>
        <v/>
      </c>
    </row>
    <row r="509">
      <c r="A509" s="24">
        <f>IF($G509="","",COUNTA($G$4:$G509))</f>
        <v/>
      </c>
      <c r="B509" s="17" t="n"/>
      <c r="C509" s="30" t="n">
        <v>46108</v>
      </c>
      <c r="D509" s="17" t="inlineStr">
        <is>
          <t>A国内</t>
        </is>
      </c>
      <c r="E509" s="17" t="inlineStr">
        <is>
          <t>CBHU8968633-202603</t>
        </is>
      </c>
      <c r="F509" s="17" t="inlineStr">
        <is>
          <t>烟台市金豪矿山机械有限公司</t>
        </is>
      </c>
      <c r="G509" s="17" t="inlineStr">
        <is>
          <t>JH0454</t>
        </is>
      </c>
      <c r="H509" s="24">
        <f>IF($G509="","",IFERROR(VLOOKUP($G509,物料档案!$A$4:$P$1203,3,0),"※编码不在物料档案里"))</f>
        <v/>
      </c>
      <c r="I509" s="24">
        <f>IF($G509="","",IFERROR(VLOOKUP($G509,物料档案!$A$4:$P$1203,4,0),"※编码不在物料档案里"))</f>
        <v/>
      </c>
      <c r="J509" s="24">
        <f>IF($G509="","",IFERROR(VLOOKUP($G509,物料档案!$A$4:$P$1203,5,0),"※编码不在物料档案里"))</f>
        <v/>
      </c>
      <c r="K509" s="23" t="n">
        <v>3</v>
      </c>
      <c r="L509" s="31" t="n"/>
      <c r="M509" s="24">
        <f>IF($G509="","",IF($D509="A国内","CNY","TZS"))</f>
        <v/>
      </c>
      <c r="N509" s="28">
        <f>IF($G509="","",IF($D509="A国内",汇率,1))</f>
        <v/>
      </c>
      <c r="O509" s="25">
        <f>IF($G509="","",ROUND(N($K509)*N($L509),2))</f>
        <v/>
      </c>
      <c r="P509" s="26">
        <f>IF($G509="","",ROUND($O509*$N509,0))</f>
        <v/>
      </c>
      <c r="Q509" s="26">
        <f>IF($G509="","",SUMIFS($P$4:$P$2503,$E$4:$E$2503,$E509,$Z$4:$Z$2503,"正常"))</f>
        <v/>
      </c>
      <c r="R509" s="26">
        <f>IF($G509="","",SUMIFS(费用台账!$I$4:$I$503,费用台账!$C$4:$C$503,$E509,费用台账!$J$4:$J$503,"是",费用台账!$K$4:$K$503,"正常"))</f>
        <v/>
      </c>
      <c r="S509" s="28">
        <f>IF($G509="","",COUNTIFS($E$4:$E$2503,$E509,$Z$4:$Z$2503,"正常",$Y$4:$Y$2503,"待补价"))</f>
        <v/>
      </c>
      <c r="T509" s="26">
        <f>IF($G509="","",SUMIFS($P$4:$P$2503,$E$4:$E$2503,$E509,$Z$4:$Z$2503,"正常",$A$4:$A$2503,"&lt;="&amp;$A509))</f>
        <v/>
      </c>
      <c r="U509" s="26">
        <f>IF($G509="","",IF(OR($S509&gt;0,$Q509=0,$R509=0,$Z509&lt;&gt;"正常"),0,ROUND($T509/$Q509*$R509,0)-ROUND(($T509-$P509)/$Q509*$R509,0)))</f>
        <v/>
      </c>
      <c r="V509" s="26">
        <f>IF($G509="","",ROUND($P509+$U509,0))</f>
        <v/>
      </c>
      <c r="W509" s="26">
        <f>IF($G509="","",IF(N($K509)=0,0,ROUND($V509/$K509,2)))</f>
        <v/>
      </c>
      <c r="X509" s="17" t="inlineStr">
        <is>
          <t>采购入库</t>
        </is>
      </c>
      <c r="Y509" s="17" t="inlineStr">
        <is>
          <t>待补价</t>
        </is>
      </c>
      <c r="Z509" s="17" t="inlineStr">
        <is>
          <t>正常</t>
        </is>
      </c>
      <c r="AA509" s="17" t="n"/>
      <c r="AB509" s="17" t="inlineStr">
        <is>
          <t>原表第 515 行</t>
        </is>
      </c>
      <c r="AC509" s="24">
        <f>IF($G509="","",IF($H509="※编码不在物料档案里","※物料编码不在档案里",IF(N($K509)&lt;=0,"※入库数量要大于 0",IF(AND($C509&lt;&gt;"",$C509&lt;=结账锁),"※日期早于已结账截止日，不能再录",IF(AND($L509=0,$X509="正常"),"※没填单价，价格状态请选「待补价」",IF(AND($S509&gt;0,$R509&gt;0),"△本批有 "&amp;$S509&amp;" 行没单价，整批运费先挂账没摊",IF(AND($B509&lt;&gt;"",COUNTIF($B$4:$B$2503,$B509)&gt;1),"※入库单号重复","")))))))</f>
        <v/>
      </c>
    </row>
    <row r="510">
      <c r="A510" s="24">
        <f>IF($G510="","",COUNTA($G$4:$G510))</f>
        <v/>
      </c>
      <c r="B510" s="17" t="n"/>
      <c r="C510" s="30" t="n">
        <v>46108</v>
      </c>
      <c r="D510" s="17" t="inlineStr">
        <is>
          <t>A国内</t>
        </is>
      </c>
      <c r="E510" s="17" t="inlineStr">
        <is>
          <t>CBHU8968633-202603</t>
        </is>
      </c>
      <c r="F510" s="17" t="inlineStr">
        <is>
          <t>烟台市金豪矿山机械有限公司</t>
        </is>
      </c>
      <c r="G510" s="17" t="inlineStr">
        <is>
          <t>JH0455</t>
        </is>
      </c>
      <c r="H510" s="24">
        <f>IF($G510="","",IFERROR(VLOOKUP($G510,物料档案!$A$4:$P$1203,3,0),"※编码不在物料档案里"))</f>
        <v/>
      </c>
      <c r="I510" s="24">
        <f>IF($G510="","",IFERROR(VLOOKUP($G510,物料档案!$A$4:$P$1203,4,0),"※编码不在物料档案里"))</f>
        <v/>
      </c>
      <c r="J510" s="24">
        <f>IF($G510="","",IFERROR(VLOOKUP($G510,物料档案!$A$4:$P$1203,5,0),"※编码不在物料档案里"))</f>
        <v/>
      </c>
      <c r="K510" s="23" t="n">
        <v>2</v>
      </c>
      <c r="L510" s="31" t="n"/>
      <c r="M510" s="24">
        <f>IF($G510="","",IF($D510="A国内","CNY","TZS"))</f>
        <v/>
      </c>
      <c r="N510" s="28">
        <f>IF($G510="","",IF($D510="A国内",汇率,1))</f>
        <v/>
      </c>
      <c r="O510" s="25">
        <f>IF($G510="","",ROUND(N($K510)*N($L510),2))</f>
        <v/>
      </c>
      <c r="P510" s="26">
        <f>IF($G510="","",ROUND($O510*$N510,0))</f>
        <v/>
      </c>
      <c r="Q510" s="26">
        <f>IF($G510="","",SUMIFS($P$4:$P$2503,$E$4:$E$2503,$E510,$Z$4:$Z$2503,"正常"))</f>
        <v/>
      </c>
      <c r="R510" s="26">
        <f>IF($G510="","",SUMIFS(费用台账!$I$4:$I$503,费用台账!$C$4:$C$503,$E510,费用台账!$J$4:$J$503,"是",费用台账!$K$4:$K$503,"正常"))</f>
        <v/>
      </c>
      <c r="S510" s="28">
        <f>IF($G510="","",COUNTIFS($E$4:$E$2503,$E510,$Z$4:$Z$2503,"正常",$Y$4:$Y$2503,"待补价"))</f>
        <v/>
      </c>
      <c r="T510" s="26">
        <f>IF($G510="","",SUMIFS($P$4:$P$2503,$E$4:$E$2503,$E510,$Z$4:$Z$2503,"正常",$A$4:$A$2503,"&lt;="&amp;$A510))</f>
        <v/>
      </c>
      <c r="U510" s="26">
        <f>IF($G510="","",IF(OR($S510&gt;0,$Q510=0,$R510=0,$Z510&lt;&gt;"正常"),0,ROUND($T510/$Q510*$R510,0)-ROUND(($T510-$P510)/$Q510*$R510,0)))</f>
        <v/>
      </c>
      <c r="V510" s="26">
        <f>IF($G510="","",ROUND($P510+$U510,0))</f>
        <v/>
      </c>
      <c r="W510" s="26">
        <f>IF($G510="","",IF(N($K510)=0,0,ROUND($V510/$K510,2)))</f>
        <v/>
      </c>
      <c r="X510" s="17" t="inlineStr">
        <is>
          <t>采购入库</t>
        </is>
      </c>
      <c r="Y510" s="17" t="inlineStr">
        <is>
          <t>待补价</t>
        </is>
      </c>
      <c r="Z510" s="17" t="inlineStr">
        <is>
          <t>正常</t>
        </is>
      </c>
      <c r="AA510" s="17" t="n"/>
      <c r="AB510" s="17" t="inlineStr">
        <is>
          <t>原表第 516 行</t>
        </is>
      </c>
      <c r="AC510" s="24">
        <f>IF($G510="","",IF($H510="※编码不在物料档案里","※物料编码不在档案里",IF(N($K510)&lt;=0,"※入库数量要大于 0",IF(AND($C510&lt;&gt;"",$C510&lt;=结账锁),"※日期早于已结账截止日，不能再录",IF(AND($L510=0,$X510="正常"),"※没填单价，价格状态请选「待补价」",IF(AND($S510&gt;0,$R510&gt;0),"△本批有 "&amp;$S510&amp;" 行没单价，整批运费先挂账没摊",IF(AND($B510&lt;&gt;"",COUNTIF($B$4:$B$2503,$B510)&gt;1),"※入库单号重复","")))))))</f>
        <v/>
      </c>
    </row>
    <row r="511">
      <c r="A511" s="24">
        <f>IF($G511="","",COUNTA($G$4:$G511))</f>
        <v/>
      </c>
      <c r="B511" s="17" t="n"/>
      <c r="C511" s="30" t="n">
        <v>46108</v>
      </c>
      <c r="D511" s="17" t="inlineStr">
        <is>
          <t>A国内</t>
        </is>
      </c>
      <c r="E511" s="17" t="inlineStr">
        <is>
          <t>CBHU8968633-202603</t>
        </is>
      </c>
      <c r="F511" s="17" t="inlineStr">
        <is>
          <t>烟台市金豪矿山机械有限公司</t>
        </is>
      </c>
      <c r="G511" s="17" t="inlineStr">
        <is>
          <t>JH0456</t>
        </is>
      </c>
      <c r="H511" s="24">
        <f>IF($G511="","",IFERROR(VLOOKUP($G511,物料档案!$A$4:$P$1203,3,0),"※编码不在物料档案里"))</f>
        <v/>
      </c>
      <c r="I511" s="24">
        <f>IF($G511="","",IFERROR(VLOOKUP($G511,物料档案!$A$4:$P$1203,4,0),"※编码不在物料档案里"))</f>
        <v/>
      </c>
      <c r="J511" s="24">
        <f>IF($G511="","",IFERROR(VLOOKUP($G511,物料档案!$A$4:$P$1203,5,0),"※编码不在物料档案里"))</f>
        <v/>
      </c>
      <c r="K511" s="23" t="n">
        <v>2</v>
      </c>
      <c r="L511" s="31" t="n"/>
      <c r="M511" s="24">
        <f>IF($G511="","",IF($D511="A国内","CNY","TZS"))</f>
        <v/>
      </c>
      <c r="N511" s="28">
        <f>IF($G511="","",IF($D511="A国内",汇率,1))</f>
        <v/>
      </c>
      <c r="O511" s="25">
        <f>IF($G511="","",ROUND(N($K511)*N($L511),2))</f>
        <v/>
      </c>
      <c r="P511" s="26">
        <f>IF($G511="","",ROUND($O511*$N511,0))</f>
        <v/>
      </c>
      <c r="Q511" s="26">
        <f>IF($G511="","",SUMIFS($P$4:$P$2503,$E$4:$E$2503,$E511,$Z$4:$Z$2503,"正常"))</f>
        <v/>
      </c>
      <c r="R511" s="26">
        <f>IF($G511="","",SUMIFS(费用台账!$I$4:$I$503,费用台账!$C$4:$C$503,$E511,费用台账!$J$4:$J$503,"是",费用台账!$K$4:$K$503,"正常"))</f>
        <v/>
      </c>
      <c r="S511" s="28">
        <f>IF($G511="","",COUNTIFS($E$4:$E$2503,$E511,$Z$4:$Z$2503,"正常",$Y$4:$Y$2503,"待补价"))</f>
        <v/>
      </c>
      <c r="T511" s="26">
        <f>IF($G511="","",SUMIFS($P$4:$P$2503,$E$4:$E$2503,$E511,$Z$4:$Z$2503,"正常",$A$4:$A$2503,"&lt;="&amp;$A511))</f>
        <v/>
      </c>
      <c r="U511" s="26">
        <f>IF($G511="","",IF(OR($S511&gt;0,$Q511=0,$R511=0,$Z511&lt;&gt;"正常"),0,ROUND($T511/$Q511*$R511,0)-ROUND(($T511-$P511)/$Q511*$R511,0)))</f>
        <v/>
      </c>
      <c r="V511" s="26">
        <f>IF($G511="","",ROUND($P511+$U511,0))</f>
        <v/>
      </c>
      <c r="W511" s="26">
        <f>IF($G511="","",IF(N($K511)=0,0,ROUND($V511/$K511,2)))</f>
        <v/>
      </c>
      <c r="X511" s="17" t="inlineStr">
        <is>
          <t>采购入库</t>
        </is>
      </c>
      <c r="Y511" s="17" t="inlineStr">
        <is>
          <t>待补价</t>
        </is>
      </c>
      <c r="Z511" s="17" t="inlineStr">
        <is>
          <t>正常</t>
        </is>
      </c>
      <c r="AA511" s="17" t="n"/>
      <c r="AB511" s="17" t="inlineStr">
        <is>
          <t>原表第 517 行</t>
        </is>
      </c>
      <c r="AC511" s="24">
        <f>IF($G511="","",IF($H511="※编码不在物料档案里","※物料编码不在档案里",IF(N($K511)&lt;=0,"※入库数量要大于 0",IF(AND($C511&lt;&gt;"",$C511&lt;=结账锁),"※日期早于已结账截止日，不能再录",IF(AND($L511=0,$X511="正常"),"※没填单价，价格状态请选「待补价」",IF(AND($S511&gt;0,$R511&gt;0),"△本批有 "&amp;$S511&amp;" 行没单价，整批运费先挂账没摊",IF(AND($B511&lt;&gt;"",COUNTIF($B$4:$B$2503,$B511)&gt;1),"※入库单号重复","")))))))</f>
        <v/>
      </c>
    </row>
    <row r="512">
      <c r="A512" s="24">
        <f>IF($G512="","",COUNTA($G$4:$G512))</f>
        <v/>
      </c>
      <c r="B512" s="17" t="n"/>
      <c r="C512" s="30" t="n">
        <v>46108</v>
      </c>
      <c r="D512" s="17" t="inlineStr">
        <is>
          <t>A国内</t>
        </is>
      </c>
      <c r="E512" s="17" t="inlineStr">
        <is>
          <t>CBHU8968633-202603</t>
        </is>
      </c>
      <c r="F512" s="17" t="inlineStr">
        <is>
          <t>烟台市金豪矿山机械有限公司</t>
        </is>
      </c>
      <c r="G512" s="17" t="inlineStr">
        <is>
          <t>JH0457</t>
        </is>
      </c>
      <c r="H512" s="24">
        <f>IF($G512="","",IFERROR(VLOOKUP($G512,物料档案!$A$4:$P$1203,3,0),"※编码不在物料档案里"))</f>
        <v/>
      </c>
      <c r="I512" s="24">
        <f>IF($G512="","",IFERROR(VLOOKUP($G512,物料档案!$A$4:$P$1203,4,0),"※编码不在物料档案里"))</f>
        <v/>
      </c>
      <c r="J512" s="24">
        <f>IF($G512="","",IFERROR(VLOOKUP($G512,物料档案!$A$4:$P$1203,5,0),"※编码不在物料档案里"))</f>
        <v/>
      </c>
      <c r="K512" s="23" t="n">
        <v>2</v>
      </c>
      <c r="L512" s="31" t="n"/>
      <c r="M512" s="24">
        <f>IF($G512="","",IF($D512="A国内","CNY","TZS"))</f>
        <v/>
      </c>
      <c r="N512" s="28">
        <f>IF($G512="","",IF($D512="A国内",汇率,1))</f>
        <v/>
      </c>
      <c r="O512" s="25">
        <f>IF($G512="","",ROUND(N($K512)*N($L512),2))</f>
        <v/>
      </c>
      <c r="P512" s="26">
        <f>IF($G512="","",ROUND($O512*$N512,0))</f>
        <v/>
      </c>
      <c r="Q512" s="26">
        <f>IF($G512="","",SUMIFS($P$4:$P$2503,$E$4:$E$2503,$E512,$Z$4:$Z$2503,"正常"))</f>
        <v/>
      </c>
      <c r="R512" s="26">
        <f>IF($G512="","",SUMIFS(费用台账!$I$4:$I$503,费用台账!$C$4:$C$503,$E512,费用台账!$J$4:$J$503,"是",费用台账!$K$4:$K$503,"正常"))</f>
        <v/>
      </c>
      <c r="S512" s="28">
        <f>IF($G512="","",COUNTIFS($E$4:$E$2503,$E512,$Z$4:$Z$2503,"正常",$Y$4:$Y$2503,"待补价"))</f>
        <v/>
      </c>
      <c r="T512" s="26">
        <f>IF($G512="","",SUMIFS($P$4:$P$2503,$E$4:$E$2503,$E512,$Z$4:$Z$2503,"正常",$A$4:$A$2503,"&lt;="&amp;$A512))</f>
        <v/>
      </c>
      <c r="U512" s="26">
        <f>IF($G512="","",IF(OR($S512&gt;0,$Q512=0,$R512=0,$Z512&lt;&gt;"正常"),0,ROUND($T512/$Q512*$R512,0)-ROUND(($T512-$P512)/$Q512*$R512,0)))</f>
        <v/>
      </c>
      <c r="V512" s="26">
        <f>IF($G512="","",ROUND($P512+$U512,0))</f>
        <v/>
      </c>
      <c r="W512" s="26">
        <f>IF($G512="","",IF(N($K512)=0,0,ROUND($V512/$K512,2)))</f>
        <v/>
      </c>
      <c r="X512" s="17" t="inlineStr">
        <is>
          <t>采购入库</t>
        </is>
      </c>
      <c r="Y512" s="17" t="inlineStr">
        <is>
          <t>待补价</t>
        </is>
      </c>
      <c r="Z512" s="17" t="inlineStr">
        <is>
          <t>正常</t>
        </is>
      </c>
      <c r="AA512" s="17" t="n"/>
      <c r="AB512" s="17" t="inlineStr">
        <is>
          <t>原表第 518 行</t>
        </is>
      </c>
      <c r="AC512" s="24">
        <f>IF($G512="","",IF($H512="※编码不在物料档案里","※物料编码不在档案里",IF(N($K512)&lt;=0,"※入库数量要大于 0",IF(AND($C512&lt;&gt;"",$C512&lt;=结账锁),"※日期早于已结账截止日，不能再录",IF(AND($L512=0,$X512="正常"),"※没填单价，价格状态请选「待补价」",IF(AND($S512&gt;0,$R512&gt;0),"△本批有 "&amp;$S512&amp;" 行没单价，整批运费先挂账没摊",IF(AND($B512&lt;&gt;"",COUNTIF($B$4:$B$2503,$B512)&gt;1),"※入库单号重复","")))))))</f>
        <v/>
      </c>
    </row>
    <row r="513">
      <c r="A513" s="24">
        <f>IF($G513="","",COUNTA($G$4:$G513))</f>
        <v/>
      </c>
      <c r="B513" s="17" t="n"/>
      <c r="C513" s="30" t="n">
        <v>46108</v>
      </c>
      <c r="D513" s="17" t="inlineStr">
        <is>
          <t>A国内</t>
        </is>
      </c>
      <c r="E513" s="17" t="inlineStr">
        <is>
          <t>CBHU8968633-202603</t>
        </is>
      </c>
      <c r="F513" s="17" t="inlineStr">
        <is>
          <t>烟台市金豪矿山机械有限公司</t>
        </is>
      </c>
      <c r="G513" s="17" t="inlineStr">
        <is>
          <t>JH0458</t>
        </is>
      </c>
      <c r="H513" s="24">
        <f>IF($G513="","",IFERROR(VLOOKUP($G513,物料档案!$A$4:$P$1203,3,0),"※编码不在物料档案里"))</f>
        <v/>
      </c>
      <c r="I513" s="24">
        <f>IF($G513="","",IFERROR(VLOOKUP($G513,物料档案!$A$4:$P$1203,4,0),"※编码不在物料档案里"))</f>
        <v/>
      </c>
      <c r="J513" s="24">
        <f>IF($G513="","",IFERROR(VLOOKUP($G513,物料档案!$A$4:$P$1203,5,0),"※编码不在物料档案里"))</f>
        <v/>
      </c>
      <c r="K513" s="23" t="n">
        <v>2</v>
      </c>
      <c r="L513" s="31" t="n"/>
      <c r="M513" s="24">
        <f>IF($G513="","",IF($D513="A国内","CNY","TZS"))</f>
        <v/>
      </c>
      <c r="N513" s="28">
        <f>IF($G513="","",IF($D513="A国内",汇率,1))</f>
        <v/>
      </c>
      <c r="O513" s="25">
        <f>IF($G513="","",ROUND(N($K513)*N($L513),2))</f>
        <v/>
      </c>
      <c r="P513" s="26">
        <f>IF($G513="","",ROUND($O513*$N513,0))</f>
        <v/>
      </c>
      <c r="Q513" s="26">
        <f>IF($G513="","",SUMIFS($P$4:$P$2503,$E$4:$E$2503,$E513,$Z$4:$Z$2503,"正常"))</f>
        <v/>
      </c>
      <c r="R513" s="26">
        <f>IF($G513="","",SUMIFS(费用台账!$I$4:$I$503,费用台账!$C$4:$C$503,$E513,费用台账!$J$4:$J$503,"是",费用台账!$K$4:$K$503,"正常"))</f>
        <v/>
      </c>
      <c r="S513" s="28">
        <f>IF($G513="","",COUNTIFS($E$4:$E$2503,$E513,$Z$4:$Z$2503,"正常",$Y$4:$Y$2503,"待补价"))</f>
        <v/>
      </c>
      <c r="T513" s="26">
        <f>IF($G513="","",SUMIFS($P$4:$P$2503,$E$4:$E$2503,$E513,$Z$4:$Z$2503,"正常",$A$4:$A$2503,"&lt;="&amp;$A513))</f>
        <v/>
      </c>
      <c r="U513" s="26">
        <f>IF($G513="","",IF(OR($S513&gt;0,$Q513=0,$R513=0,$Z513&lt;&gt;"正常"),0,ROUND($T513/$Q513*$R513,0)-ROUND(($T513-$P513)/$Q513*$R513,0)))</f>
        <v/>
      </c>
      <c r="V513" s="26">
        <f>IF($G513="","",ROUND($P513+$U513,0))</f>
        <v/>
      </c>
      <c r="W513" s="26">
        <f>IF($G513="","",IF(N($K513)=0,0,ROUND($V513/$K513,2)))</f>
        <v/>
      </c>
      <c r="X513" s="17" t="inlineStr">
        <is>
          <t>采购入库</t>
        </is>
      </c>
      <c r="Y513" s="17" t="inlineStr">
        <is>
          <t>待补价</t>
        </is>
      </c>
      <c r="Z513" s="17" t="inlineStr">
        <is>
          <t>正常</t>
        </is>
      </c>
      <c r="AA513" s="17" t="n"/>
      <c r="AB513" s="17" t="inlineStr">
        <is>
          <t>原表第 519 行</t>
        </is>
      </c>
      <c r="AC513" s="24">
        <f>IF($G513="","",IF($H513="※编码不在物料档案里","※物料编码不在档案里",IF(N($K513)&lt;=0,"※入库数量要大于 0",IF(AND($C513&lt;&gt;"",$C513&lt;=结账锁),"※日期早于已结账截止日，不能再录",IF(AND($L513=0,$X513="正常"),"※没填单价，价格状态请选「待补价」",IF(AND($S513&gt;0,$R513&gt;0),"△本批有 "&amp;$S513&amp;" 行没单价，整批运费先挂账没摊",IF(AND($B513&lt;&gt;"",COUNTIF($B$4:$B$2503,$B513)&gt;1),"※入库单号重复","")))))))</f>
        <v/>
      </c>
    </row>
    <row r="514">
      <c r="A514" s="24">
        <f>IF($G514="","",COUNTA($G$4:$G514))</f>
        <v/>
      </c>
      <c r="B514" s="17" t="n"/>
      <c r="C514" s="30" t="n">
        <v>46108</v>
      </c>
      <c r="D514" s="17" t="inlineStr">
        <is>
          <t>A国内</t>
        </is>
      </c>
      <c r="E514" s="17" t="inlineStr">
        <is>
          <t>CBHU8968633-202603</t>
        </is>
      </c>
      <c r="F514" s="17" t="inlineStr">
        <is>
          <t>烟台市金豪矿山机械有限公司</t>
        </is>
      </c>
      <c r="G514" s="17" t="inlineStr">
        <is>
          <t>JH0459</t>
        </is>
      </c>
      <c r="H514" s="24">
        <f>IF($G514="","",IFERROR(VLOOKUP($G514,物料档案!$A$4:$P$1203,3,0),"※编码不在物料档案里"))</f>
        <v/>
      </c>
      <c r="I514" s="24">
        <f>IF($G514="","",IFERROR(VLOOKUP($G514,物料档案!$A$4:$P$1203,4,0),"※编码不在物料档案里"))</f>
        <v/>
      </c>
      <c r="J514" s="24">
        <f>IF($G514="","",IFERROR(VLOOKUP($G514,物料档案!$A$4:$P$1203,5,0),"※编码不在物料档案里"))</f>
        <v/>
      </c>
      <c r="K514" s="23" t="n">
        <v>1</v>
      </c>
      <c r="L514" s="31" t="n"/>
      <c r="M514" s="24">
        <f>IF($G514="","",IF($D514="A国内","CNY","TZS"))</f>
        <v/>
      </c>
      <c r="N514" s="28">
        <f>IF($G514="","",IF($D514="A国内",汇率,1))</f>
        <v/>
      </c>
      <c r="O514" s="25">
        <f>IF($G514="","",ROUND(N($K514)*N($L514),2))</f>
        <v/>
      </c>
      <c r="P514" s="26">
        <f>IF($G514="","",ROUND($O514*$N514,0))</f>
        <v/>
      </c>
      <c r="Q514" s="26">
        <f>IF($G514="","",SUMIFS($P$4:$P$2503,$E$4:$E$2503,$E514,$Z$4:$Z$2503,"正常"))</f>
        <v/>
      </c>
      <c r="R514" s="26">
        <f>IF($G514="","",SUMIFS(费用台账!$I$4:$I$503,费用台账!$C$4:$C$503,$E514,费用台账!$J$4:$J$503,"是",费用台账!$K$4:$K$503,"正常"))</f>
        <v/>
      </c>
      <c r="S514" s="28">
        <f>IF($G514="","",COUNTIFS($E$4:$E$2503,$E514,$Z$4:$Z$2503,"正常",$Y$4:$Y$2503,"待补价"))</f>
        <v/>
      </c>
      <c r="T514" s="26">
        <f>IF($G514="","",SUMIFS($P$4:$P$2503,$E$4:$E$2503,$E514,$Z$4:$Z$2503,"正常",$A$4:$A$2503,"&lt;="&amp;$A514))</f>
        <v/>
      </c>
      <c r="U514" s="26">
        <f>IF($G514="","",IF(OR($S514&gt;0,$Q514=0,$R514=0,$Z514&lt;&gt;"正常"),0,ROUND($T514/$Q514*$R514,0)-ROUND(($T514-$P514)/$Q514*$R514,0)))</f>
        <v/>
      </c>
      <c r="V514" s="26">
        <f>IF($G514="","",ROUND($P514+$U514,0))</f>
        <v/>
      </c>
      <c r="W514" s="26">
        <f>IF($G514="","",IF(N($K514)=0,0,ROUND($V514/$K514,2)))</f>
        <v/>
      </c>
      <c r="X514" s="17" t="inlineStr">
        <is>
          <t>采购入库</t>
        </is>
      </c>
      <c r="Y514" s="17" t="inlineStr">
        <is>
          <t>待补价</t>
        </is>
      </c>
      <c r="Z514" s="17" t="inlineStr">
        <is>
          <t>正常</t>
        </is>
      </c>
      <c r="AA514" s="17" t="n"/>
      <c r="AB514" s="17" t="inlineStr">
        <is>
          <t>原表第 520 行</t>
        </is>
      </c>
      <c r="AC514" s="24">
        <f>IF($G514="","",IF($H514="※编码不在物料档案里","※物料编码不在档案里",IF(N($K514)&lt;=0,"※入库数量要大于 0",IF(AND($C514&lt;&gt;"",$C514&lt;=结账锁),"※日期早于已结账截止日，不能再录",IF(AND($L514=0,$X514="正常"),"※没填单价，价格状态请选「待补价」",IF(AND($S514&gt;0,$R514&gt;0),"△本批有 "&amp;$S514&amp;" 行没单价，整批运费先挂账没摊",IF(AND($B514&lt;&gt;"",COUNTIF($B$4:$B$2503,$B514)&gt;1),"※入库单号重复","")))))))</f>
        <v/>
      </c>
    </row>
    <row r="515">
      <c r="A515" s="24">
        <f>IF($G515="","",COUNTA($G$4:$G515))</f>
        <v/>
      </c>
      <c r="B515" s="17" t="n"/>
      <c r="C515" s="30" t="n">
        <v>46108</v>
      </c>
      <c r="D515" s="17" t="inlineStr">
        <is>
          <t>A国内</t>
        </is>
      </c>
      <c r="E515" s="17" t="inlineStr">
        <is>
          <t>CBHU8968633-202603</t>
        </is>
      </c>
      <c r="F515" s="17" t="inlineStr">
        <is>
          <t>烟台市金豪矿山机械有限公司</t>
        </is>
      </c>
      <c r="G515" s="17" t="inlineStr">
        <is>
          <t>JH0460</t>
        </is>
      </c>
      <c r="H515" s="24">
        <f>IF($G515="","",IFERROR(VLOOKUP($G515,物料档案!$A$4:$P$1203,3,0),"※编码不在物料档案里"))</f>
        <v/>
      </c>
      <c r="I515" s="24">
        <f>IF($G515="","",IFERROR(VLOOKUP($G515,物料档案!$A$4:$P$1203,4,0),"※编码不在物料档案里"))</f>
        <v/>
      </c>
      <c r="J515" s="24">
        <f>IF($G515="","",IFERROR(VLOOKUP($G515,物料档案!$A$4:$P$1203,5,0),"※编码不在物料档案里"))</f>
        <v/>
      </c>
      <c r="K515" s="23" t="n">
        <v>1</v>
      </c>
      <c r="L515" s="31" t="n"/>
      <c r="M515" s="24">
        <f>IF($G515="","",IF($D515="A国内","CNY","TZS"))</f>
        <v/>
      </c>
      <c r="N515" s="28">
        <f>IF($G515="","",IF($D515="A国内",汇率,1))</f>
        <v/>
      </c>
      <c r="O515" s="25">
        <f>IF($G515="","",ROUND(N($K515)*N($L515),2))</f>
        <v/>
      </c>
      <c r="P515" s="26">
        <f>IF($G515="","",ROUND($O515*$N515,0))</f>
        <v/>
      </c>
      <c r="Q515" s="26">
        <f>IF($G515="","",SUMIFS($P$4:$P$2503,$E$4:$E$2503,$E515,$Z$4:$Z$2503,"正常"))</f>
        <v/>
      </c>
      <c r="R515" s="26">
        <f>IF($G515="","",SUMIFS(费用台账!$I$4:$I$503,费用台账!$C$4:$C$503,$E515,费用台账!$J$4:$J$503,"是",费用台账!$K$4:$K$503,"正常"))</f>
        <v/>
      </c>
      <c r="S515" s="28">
        <f>IF($G515="","",COUNTIFS($E$4:$E$2503,$E515,$Z$4:$Z$2503,"正常",$Y$4:$Y$2503,"待补价"))</f>
        <v/>
      </c>
      <c r="T515" s="26">
        <f>IF($G515="","",SUMIFS($P$4:$P$2503,$E$4:$E$2503,$E515,$Z$4:$Z$2503,"正常",$A$4:$A$2503,"&lt;="&amp;$A515))</f>
        <v/>
      </c>
      <c r="U515" s="26">
        <f>IF($G515="","",IF(OR($S515&gt;0,$Q515=0,$R515=0,$Z515&lt;&gt;"正常"),0,ROUND($T515/$Q515*$R515,0)-ROUND(($T515-$P515)/$Q515*$R515,0)))</f>
        <v/>
      </c>
      <c r="V515" s="26">
        <f>IF($G515="","",ROUND($P515+$U515,0))</f>
        <v/>
      </c>
      <c r="W515" s="26">
        <f>IF($G515="","",IF(N($K515)=0,0,ROUND($V515/$K515,2)))</f>
        <v/>
      </c>
      <c r="X515" s="17" t="inlineStr">
        <is>
          <t>采购入库</t>
        </is>
      </c>
      <c r="Y515" s="17" t="inlineStr">
        <is>
          <t>待补价</t>
        </is>
      </c>
      <c r="Z515" s="17" t="inlineStr">
        <is>
          <t>正常</t>
        </is>
      </c>
      <c r="AA515" s="17" t="n"/>
      <c r="AB515" s="17" t="inlineStr">
        <is>
          <t>原表第 521 行</t>
        </is>
      </c>
      <c r="AC515" s="24">
        <f>IF($G515="","",IF($H515="※编码不在物料档案里","※物料编码不在档案里",IF(N($K515)&lt;=0,"※入库数量要大于 0",IF(AND($C515&lt;&gt;"",$C515&lt;=结账锁),"※日期早于已结账截止日，不能再录",IF(AND($L515=0,$X515="正常"),"※没填单价，价格状态请选「待补价」",IF(AND($S515&gt;0,$R515&gt;0),"△本批有 "&amp;$S515&amp;" 行没单价，整批运费先挂账没摊",IF(AND($B515&lt;&gt;"",COUNTIF($B$4:$B$2503,$B515)&gt;1),"※入库单号重复","")))))))</f>
        <v/>
      </c>
    </row>
    <row r="516">
      <c r="A516" s="24">
        <f>IF($G516="","",COUNTA($G$4:$G516))</f>
        <v/>
      </c>
      <c r="B516" s="17" t="n"/>
      <c r="C516" s="30" t="n">
        <v>46108</v>
      </c>
      <c r="D516" s="17" t="inlineStr">
        <is>
          <t>A国内</t>
        </is>
      </c>
      <c r="E516" s="17" t="inlineStr">
        <is>
          <t>CBHU8968633-202603</t>
        </is>
      </c>
      <c r="F516" s="17" t="inlineStr">
        <is>
          <t>烟台市金豪矿山机械有限公司</t>
        </is>
      </c>
      <c r="G516" s="17" t="inlineStr">
        <is>
          <t>JH0461</t>
        </is>
      </c>
      <c r="H516" s="24">
        <f>IF($G516="","",IFERROR(VLOOKUP($G516,物料档案!$A$4:$P$1203,3,0),"※编码不在物料档案里"))</f>
        <v/>
      </c>
      <c r="I516" s="24">
        <f>IF($G516="","",IFERROR(VLOOKUP($G516,物料档案!$A$4:$P$1203,4,0),"※编码不在物料档案里"))</f>
        <v/>
      </c>
      <c r="J516" s="24">
        <f>IF($G516="","",IFERROR(VLOOKUP($G516,物料档案!$A$4:$P$1203,5,0),"※编码不在物料档案里"))</f>
        <v/>
      </c>
      <c r="K516" s="23" t="n">
        <v>4</v>
      </c>
      <c r="L516" s="31" t="n"/>
      <c r="M516" s="24">
        <f>IF($G516="","",IF($D516="A国内","CNY","TZS"))</f>
        <v/>
      </c>
      <c r="N516" s="28">
        <f>IF($G516="","",IF($D516="A国内",汇率,1))</f>
        <v/>
      </c>
      <c r="O516" s="25">
        <f>IF($G516="","",ROUND(N($K516)*N($L516),2))</f>
        <v/>
      </c>
      <c r="P516" s="26">
        <f>IF($G516="","",ROUND($O516*$N516,0))</f>
        <v/>
      </c>
      <c r="Q516" s="26">
        <f>IF($G516="","",SUMIFS($P$4:$P$2503,$E$4:$E$2503,$E516,$Z$4:$Z$2503,"正常"))</f>
        <v/>
      </c>
      <c r="R516" s="26">
        <f>IF($G516="","",SUMIFS(费用台账!$I$4:$I$503,费用台账!$C$4:$C$503,$E516,费用台账!$J$4:$J$503,"是",费用台账!$K$4:$K$503,"正常"))</f>
        <v/>
      </c>
      <c r="S516" s="28">
        <f>IF($G516="","",COUNTIFS($E$4:$E$2503,$E516,$Z$4:$Z$2503,"正常",$Y$4:$Y$2503,"待补价"))</f>
        <v/>
      </c>
      <c r="T516" s="26">
        <f>IF($G516="","",SUMIFS($P$4:$P$2503,$E$4:$E$2503,$E516,$Z$4:$Z$2503,"正常",$A$4:$A$2503,"&lt;="&amp;$A516))</f>
        <v/>
      </c>
      <c r="U516" s="26">
        <f>IF($G516="","",IF(OR($S516&gt;0,$Q516=0,$R516=0,$Z516&lt;&gt;"正常"),0,ROUND($T516/$Q516*$R516,0)-ROUND(($T516-$P516)/$Q516*$R516,0)))</f>
        <v/>
      </c>
      <c r="V516" s="26">
        <f>IF($G516="","",ROUND($P516+$U516,0))</f>
        <v/>
      </c>
      <c r="W516" s="26">
        <f>IF($G516="","",IF(N($K516)=0,0,ROUND($V516/$K516,2)))</f>
        <v/>
      </c>
      <c r="X516" s="17" t="inlineStr">
        <is>
          <t>采购入库</t>
        </is>
      </c>
      <c r="Y516" s="17" t="inlineStr">
        <is>
          <t>待补价</t>
        </is>
      </c>
      <c r="Z516" s="17" t="inlineStr">
        <is>
          <t>正常</t>
        </is>
      </c>
      <c r="AA516" s="17" t="n"/>
      <c r="AB516" s="17" t="inlineStr">
        <is>
          <t>原表第 522 行</t>
        </is>
      </c>
      <c r="AC516" s="24">
        <f>IF($G516="","",IF($H516="※编码不在物料档案里","※物料编码不在档案里",IF(N($K516)&lt;=0,"※入库数量要大于 0",IF(AND($C516&lt;&gt;"",$C516&lt;=结账锁),"※日期早于已结账截止日，不能再录",IF(AND($L516=0,$X516="正常"),"※没填单价，价格状态请选「待补价」",IF(AND($S516&gt;0,$R516&gt;0),"△本批有 "&amp;$S516&amp;" 行没单价，整批运费先挂账没摊",IF(AND($B516&lt;&gt;"",COUNTIF($B$4:$B$2503,$B516)&gt;1),"※入库单号重复","")))))))</f>
        <v/>
      </c>
    </row>
    <row r="517">
      <c r="A517" s="24">
        <f>IF($G517="","",COUNTA($G$4:$G517))</f>
        <v/>
      </c>
      <c r="B517" s="17" t="n"/>
      <c r="C517" s="30" t="n">
        <v>46108</v>
      </c>
      <c r="D517" s="17" t="inlineStr">
        <is>
          <t>A国内</t>
        </is>
      </c>
      <c r="E517" s="17" t="inlineStr">
        <is>
          <t>CBHU8968633-202603</t>
        </is>
      </c>
      <c r="F517" s="17" t="inlineStr">
        <is>
          <t>烟台市金豪矿山机械有限公司</t>
        </is>
      </c>
      <c r="G517" s="17" t="inlineStr">
        <is>
          <t>JH0462</t>
        </is>
      </c>
      <c r="H517" s="24">
        <f>IF($G517="","",IFERROR(VLOOKUP($G517,物料档案!$A$4:$P$1203,3,0),"※编码不在物料档案里"))</f>
        <v/>
      </c>
      <c r="I517" s="24">
        <f>IF($G517="","",IFERROR(VLOOKUP($G517,物料档案!$A$4:$P$1203,4,0),"※编码不在物料档案里"))</f>
        <v/>
      </c>
      <c r="J517" s="24">
        <f>IF($G517="","",IFERROR(VLOOKUP($G517,物料档案!$A$4:$P$1203,5,0),"※编码不在物料档案里"))</f>
        <v/>
      </c>
      <c r="K517" s="23" t="n">
        <v>2</v>
      </c>
      <c r="L517" s="31" t="n"/>
      <c r="M517" s="24">
        <f>IF($G517="","",IF($D517="A国内","CNY","TZS"))</f>
        <v/>
      </c>
      <c r="N517" s="28">
        <f>IF($G517="","",IF($D517="A国内",汇率,1))</f>
        <v/>
      </c>
      <c r="O517" s="25">
        <f>IF($G517="","",ROUND(N($K517)*N($L517),2))</f>
        <v/>
      </c>
      <c r="P517" s="26">
        <f>IF($G517="","",ROUND($O517*$N517,0))</f>
        <v/>
      </c>
      <c r="Q517" s="26">
        <f>IF($G517="","",SUMIFS($P$4:$P$2503,$E$4:$E$2503,$E517,$Z$4:$Z$2503,"正常"))</f>
        <v/>
      </c>
      <c r="R517" s="26">
        <f>IF($G517="","",SUMIFS(费用台账!$I$4:$I$503,费用台账!$C$4:$C$503,$E517,费用台账!$J$4:$J$503,"是",费用台账!$K$4:$K$503,"正常"))</f>
        <v/>
      </c>
      <c r="S517" s="28">
        <f>IF($G517="","",COUNTIFS($E$4:$E$2503,$E517,$Z$4:$Z$2503,"正常",$Y$4:$Y$2503,"待补价"))</f>
        <v/>
      </c>
      <c r="T517" s="26">
        <f>IF($G517="","",SUMIFS($P$4:$P$2503,$E$4:$E$2503,$E517,$Z$4:$Z$2503,"正常",$A$4:$A$2503,"&lt;="&amp;$A517))</f>
        <v/>
      </c>
      <c r="U517" s="26">
        <f>IF($G517="","",IF(OR($S517&gt;0,$Q517=0,$R517=0,$Z517&lt;&gt;"正常"),0,ROUND($T517/$Q517*$R517,0)-ROUND(($T517-$P517)/$Q517*$R517,0)))</f>
        <v/>
      </c>
      <c r="V517" s="26">
        <f>IF($G517="","",ROUND($P517+$U517,0))</f>
        <v/>
      </c>
      <c r="W517" s="26">
        <f>IF($G517="","",IF(N($K517)=0,0,ROUND($V517/$K517,2)))</f>
        <v/>
      </c>
      <c r="X517" s="17" t="inlineStr">
        <is>
          <t>采购入库</t>
        </is>
      </c>
      <c r="Y517" s="17" t="inlineStr">
        <is>
          <t>待补价</t>
        </is>
      </c>
      <c r="Z517" s="17" t="inlineStr">
        <is>
          <t>正常</t>
        </is>
      </c>
      <c r="AA517" s="17" t="n"/>
      <c r="AB517" s="17" t="inlineStr">
        <is>
          <t>原表第 523 行</t>
        </is>
      </c>
      <c r="AC517" s="24">
        <f>IF($G517="","",IF($H517="※编码不在物料档案里","※物料编码不在档案里",IF(N($K517)&lt;=0,"※入库数量要大于 0",IF(AND($C517&lt;&gt;"",$C517&lt;=结账锁),"※日期早于已结账截止日，不能再录",IF(AND($L517=0,$X517="正常"),"※没填单价，价格状态请选「待补价」",IF(AND($S517&gt;0,$R517&gt;0),"△本批有 "&amp;$S517&amp;" 行没单价，整批运费先挂账没摊",IF(AND($B517&lt;&gt;"",COUNTIF($B$4:$B$2503,$B517)&gt;1),"※入库单号重复","")))))))</f>
        <v/>
      </c>
    </row>
    <row r="518">
      <c r="A518" s="24">
        <f>IF($G518="","",COUNTA($G$4:$G518))</f>
        <v/>
      </c>
      <c r="B518" s="17" t="n"/>
      <c r="C518" s="30" t="n">
        <v>46108</v>
      </c>
      <c r="D518" s="17" t="inlineStr">
        <is>
          <t>A国内</t>
        </is>
      </c>
      <c r="E518" s="17" t="inlineStr">
        <is>
          <t>CBHU8968633-202603</t>
        </is>
      </c>
      <c r="F518" s="17" t="inlineStr">
        <is>
          <t>烟台市金豪矿山机械有限公司</t>
        </is>
      </c>
      <c r="G518" s="17" t="inlineStr">
        <is>
          <t>JH0463</t>
        </is>
      </c>
      <c r="H518" s="24">
        <f>IF($G518="","",IFERROR(VLOOKUP($G518,物料档案!$A$4:$P$1203,3,0),"※编码不在物料档案里"))</f>
        <v/>
      </c>
      <c r="I518" s="24">
        <f>IF($G518="","",IFERROR(VLOOKUP($G518,物料档案!$A$4:$P$1203,4,0),"※编码不在物料档案里"))</f>
        <v/>
      </c>
      <c r="J518" s="24">
        <f>IF($G518="","",IFERROR(VLOOKUP($G518,物料档案!$A$4:$P$1203,5,0),"※编码不在物料档案里"))</f>
        <v/>
      </c>
      <c r="K518" s="23" t="n">
        <v>2</v>
      </c>
      <c r="L518" s="31" t="n"/>
      <c r="M518" s="24">
        <f>IF($G518="","",IF($D518="A国内","CNY","TZS"))</f>
        <v/>
      </c>
      <c r="N518" s="28">
        <f>IF($G518="","",IF($D518="A国内",汇率,1))</f>
        <v/>
      </c>
      <c r="O518" s="25">
        <f>IF($G518="","",ROUND(N($K518)*N($L518),2))</f>
        <v/>
      </c>
      <c r="P518" s="26">
        <f>IF($G518="","",ROUND($O518*$N518,0))</f>
        <v/>
      </c>
      <c r="Q518" s="26">
        <f>IF($G518="","",SUMIFS($P$4:$P$2503,$E$4:$E$2503,$E518,$Z$4:$Z$2503,"正常"))</f>
        <v/>
      </c>
      <c r="R518" s="26">
        <f>IF($G518="","",SUMIFS(费用台账!$I$4:$I$503,费用台账!$C$4:$C$503,$E518,费用台账!$J$4:$J$503,"是",费用台账!$K$4:$K$503,"正常"))</f>
        <v/>
      </c>
      <c r="S518" s="28">
        <f>IF($G518="","",COUNTIFS($E$4:$E$2503,$E518,$Z$4:$Z$2503,"正常",$Y$4:$Y$2503,"待补价"))</f>
        <v/>
      </c>
      <c r="T518" s="26">
        <f>IF($G518="","",SUMIFS($P$4:$P$2503,$E$4:$E$2503,$E518,$Z$4:$Z$2503,"正常",$A$4:$A$2503,"&lt;="&amp;$A518))</f>
        <v/>
      </c>
      <c r="U518" s="26">
        <f>IF($G518="","",IF(OR($S518&gt;0,$Q518=0,$R518=0,$Z518&lt;&gt;"正常"),0,ROUND($T518/$Q518*$R518,0)-ROUND(($T518-$P518)/$Q518*$R518,0)))</f>
        <v/>
      </c>
      <c r="V518" s="26">
        <f>IF($G518="","",ROUND($P518+$U518,0))</f>
        <v/>
      </c>
      <c r="W518" s="26">
        <f>IF($G518="","",IF(N($K518)=0,0,ROUND($V518/$K518,2)))</f>
        <v/>
      </c>
      <c r="X518" s="17" t="inlineStr">
        <is>
          <t>采购入库</t>
        </is>
      </c>
      <c r="Y518" s="17" t="inlineStr">
        <is>
          <t>待补价</t>
        </is>
      </c>
      <c r="Z518" s="17" t="inlineStr">
        <is>
          <t>正常</t>
        </is>
      </c>
      <c r="AA518" s="17" t="n"/>
      <c r="AB518" s="17" t="inlineStr">
        <is>
          <t>原表第 524 行</t>
        </is>
      </c>
      <c r="AC518" s="24">
        <f>IF($G518="","",IF($H518="※编码不在物料档案里","※物料编码不在档案里",IF(N($K518)&lt;=0,"※入库数量要大于 0",IF(AND($C518&lt;&gt;"",$C518&lt;=结账锁),"※日期早于已结账截止日，不能再录",IF(AND($L518=0,$X518="正常"),"※没填单价，价格状态请选「待补价」",IF(AND($S518&gt;0,$R518&gt;0),"△本批有 "&amp;$S518&amp;" 行没单价，整批运费先挂账没摊",IF(AND($B518&lt;&gt;"",COUNTIF($B$4:$B$2503,$B518)&gt;1),"※入库单号重复","")))))))</f>
        <v/>
      </c>
    </row>
    <row r="519">
      <c r="A519" s="24">
        <f>IF($G519="","",COUNTA($G$4:$G519))</f>
        <v/>
      </c>
      <c r="B519" s="17" t="n"/>
      <c r="C519" s="30" t="n">
        <v>46108</v>
      </c>
      <c r="D519" s="17" t="inlineStr">
        <is>
          <t>A国内</t>
        </is>
      </c>
      <c r="E519" s="17" t="inlineStr">
        <is>
          <t>CBHU8968633-202603</t>
        </is>
      </c>
      <c r="F519" s="17" t="inlineStr">
        <is>
          <t>烟台市金豪矿山机械有限公司</t>
        </is>
      </c>
      <c r="G519" s="17" t="inlineStr">
        <is>
          <t>JH0464</t>
        </is>
      </c>
      <c r="H519" s="24">
        <f>IF($G519="","",IFERROR(VLOOKUP($G519,物料档案!$A$4:$P$1203,3,0),"※编码不在物料档案里"))</f>
        <v/>
      </c>
      <c r="I519" s="24">
        <f>IF($G519="","",IFERROR(VLOOKUP($G519,物料档案!$A$4:$P$1203,4,0),"※编码不在物料档案里"))</f>
        <v/>
      </c>
      <c r="J519" s="24">
        <f>IF($G519="","",IFERROR(VLOOKUP($G519,物料档案!$A$4:$P$1203,5,0),"※编码不在物料档案里"))</f>
        <v/>
      </c>
      <c r="K519" s="23" t="n">
        <v>1</v>
      </c>
      <c r="L519" s="31" t="n"/>
      <c r="M519" s="24">
        <f>IF($G519="","",IF($D519="A国内","CNY","TZS"))</f>
        <v/>
      </c>
      <c r="N519" s="28">
        <f>IF($G519="","",IF($D519="A国内",汇率,1))</f>
        <v/>
      </c>
      <c r="O519" s="25">
        <f>IF($G519="","",ROUND(N($K519)*N($L519),2))</f>
        <v/>
      </c>
      <c r="P519" s="26">
        <f>IF($G519="","",ROUND($O519*$N519,0))</f>
        <v/>
      </c>
      <c r="Q519" s="26">
        <f>IF($G519="","",SUMIFS($P$4:$P$2503,$E$4:$E$2503,$E519,$Z$4:$Z$2503,"正常"))</f>
        <v/>
      </c>
      <c r="R519" s="26">
        <f>IF($G519="","",SUMIFS(费用台账!$I$4:$I$503,费用台账!$C$4:$C$503,$E519,费用台账!$J$4:$J$503,"是",费用台账!$K$4:$K$503,"正常"))</f>
        <v/>
      </c>
      <c r="S519" s="28">
        <f>IF($G519="","",COUNTIFS($E$4:$E$2503,$E519,$Z$4:$Z$2503,"正常",$Y$4:$Y$2503,"待补价"))</f>
        <v/>
      </c>
      <c r="T519" s="26">
        <f>IF($G519="","",SUMIFS($P$4:$P$2503,$E$4:$E$2503,$E519,$Z$4:$Z$2503,"正常",$A$4:$A$2503,"&lt;="&amp;$A519))</f>
        <v/>
      </c>
      <c r="U519" s="26">
        <f>IF($G519="","",IF(OR($S519&gt;0,$Q519=0,$R519=0,$Z519&lt;&gt;"正常"),0,ROUND($T519/$Q519*$R519,0)-ROUND(($T519-$P519)/$Q519*$R519,0)))</f>
        <v/>
      </c>
      <c r="V519" s="26">
        <f>IF($G519="","",ROUND($P519+$U519,0))</f>
        <v/>
      </c>
      <c r="W519" s="26">
        <f>IF($G519="","",IF(N($K519)=0,0,ROUND($V519/$K519,2)))</f>
        <v/>
      </c>
      <c r="X519" s="17" t="inlineStr">
        <is>
          <t>采购入库</t>
        </is>
      </c>
      <c r="Y519" s="17" t="inlineStr">
        <is>
          <t>待补价</t>
        </is>
      </c>
      <c r="Z519" s="17" t="inlineStr">
        <is>
          <t>正常</t>
        </is>
      </c>
      <c r="AA519" s="17" t="n"/>
      <c r="AB519" s="17" t="inlineStr">
        <is>
          <t>原表第 525 行</t>
        </is>
      </c>
      <c r="AC519" s="24">
        <f>IF($G519="","",IF($H519="※编码不在物料档案里","※物料编码不在档案里",IF(N($K519)&lt;=0,"※入库数量要大于 0",IF(AND($C519&lt;&gt;"",$C519&lt;=结账锁),"※日期早于已结账截止日，不能再录",IF(AND($L519=0,$X519="正常"),"※没填单价，价格状态请选「待补价」",IF(AND($S519&gt;0,$R519&gt;0),"△本批有 "&amp;$S519&amp;" 行没单价，整批运费先挂账没摊",IF(AND($B519&lt;&gt;"",COUNTIF($B$4:$B$2503,$B519)&gt;1),"※入库单号重复","")))))))</f>
        <v/>
      </c>
    </row>
    <row r="520">
      <c r="A520" s="24">
        <f>IF($G520="","",COUNTA($G$4:$G520))</f>
        <v/>
      </c>
      <c r="B520" s="17" t="n"/>
      <c r="C520" s="30" t="n">
        <v>46108</v>
      </c>
      <c r="D520" s="17" t="inlineStr">
        <is>
          <t>A国内</t>
        </is>
      </c>
      <c r="E520" s="17" t="inlineStr">
        <is>
          <t>CBHU8968633-202603</t>
        </is>
      </c>
      <c r="F520" s="17" t="inlineStr">
        <is>
          <t>烟台市金豪矿山机械有限公司</t>
        </is>
      </c>
      <c r="G520" s="17" t="inlineStr">
        <is>
          <t>JH0465</t>
        </is>
      </c>
      <c r="H520" s="24">
        <f>IF($G520="","",IFERROR(VLOOKUP($G520,物料档案!$A$4:$P$1203,3,0),"※编码不在物料档案里"))</f>
        <v/>
      </c>
      <c r="I520" s="24">
        <f>IF($G520="","",IFERROR(VLOOKUP($G520,物料档案!$A$4:$P$1203,4,0),"※编码不在物料档案里"))</f>
        <v/>
      </c>
      <c r="J520" s="24">
        <f>IF($G520="","",IFERROR(VLOOKUP($G520,物料档案!$A$4:$P$1203,5,0),"※编码不在物料档案里"))</f>
        <v/>
      </c>
      <c r="K520" s="23" t="n">
        <v>1</v>
      </c>
      <c r="L520" s="31" t="n"/>
      <c r="M520" s="24">
        <f>IF($G520="","",IF($D520="A国内","CNY","TZS"))</f>
        <v/>
      </c>
      <c r="N520" s="28">
        <f>IF($G520="","",IF($D520="A国内",汇率,1))</f>
        <v/>
      </c>
      <c r="O520" s="25">
        <f>IF($G520="","",ROUND(N($K520)*N($L520),2))</f>
        <v/>
      </c>
      <c r="P520" s="26">
        <f>IF($G520="","",ROUND($O520*$N520,0))</f>
        <v/>
      </c>
      <c r="Q520" s="26">
        <f>IF($G520="","",SUMIFS($P$4:$P$2503,$E$4:$E$2503,$E520,$Z$4:$Z$2503,"正常"))</f>
        <v/>
      </c>
      <c r="R520" s="26">
        <f>IF($G520="","",SUMIFS(费用台账!$I$4:$I$503,费用台账!$C$4:$C$503,$E520,费用台账!$J$4:$J$503,"是",费用台账!$K$4:$K$503,"正常"))</f>
        <v/>
      </c>
      <c r="S520" s="28">
        <f>IF($G520="","",COUNTIFS($E$4:$E$2503,$E520,$Z$4:$Z$2503,"正常",$Y$4:$Y$2503,"待补价"))</f>
        <v/>
      </c>
      <c r="T520" s="26">
        <f>IF($G520="","",SUMIFS($P$4:$P$2503,$E$4:$E$2503,$E520,$Z$4:$Z$2503,"正常",$A$4:$A$2503,"&lt;="&amp;$A520))</f>
        <v/>
      </c>
      <c r="U520" s="26">
        <f>IF($G520="","",IF(OR($S520&gt;0,$Q520=0,$R520=0,$Z520&lt;&gt;"正常"),0,ROUND($T520/$Q520*$R520,0)-ROUND(($T520-$P520)/$Q520*$R520,0)))</f>
        <v/>
      </c>
      <c r="V520" s="26">
        <f>IF($G520="","",ROUND($P520+$U520,0))</f>
        <v/>
      </c>
      <c r="W520" s="26">
        <f>IF($G520="","",IF(N($K520)=0,0,ROUND($V520/$K520,2)))</f>
        <v/>
      </c>
      <c r="X520" s="17" t="inlineStr">
        <is>
          <t>采购入库</t>
        </is>
      </c>
      <c r="Y520" s="17" t="inlineStr">
        <is>
          <t>待补价</t>
        </is>
      </c>
      <c r="Z520" s="17" t="inlineStr">
        <is>
          <t>正常</t>
        </is>
      </c>
      <c r="AA520" s="17" t="n"/>
      <c r="AB520" s="17" t="inlineStr">
        <is>
          <t>原表第 526 行</t>
        </is>
      </c>
      <c r="AC520" s="24">
        <f>IF($G520="","",IF($H520="※编码不在物料档案里","※物料编码不在档案里",IF(N($K520)&lt;=0,"※入库数量要大于 0",IF(AND($C520&lt;&gt;"",$C520&lt;=结账锁),"※日期早于已结账截止日，不能再录",IF(AND($L520=0,$X520="正常"),"※没填单价，价格状态请选「待补价」",IF(AND($S520&gt;0,$R520&gt;0),"△本批有 "&amp;$S520&amp;" 行没单价，整批运费先挂账没摊",IF(AND($B520&lt;&gt;"",COUNTIF($B$4:$B$2503,$B520)&gt;1),"※入库单号重复","")))))))</f>
        <v/>
      </c>
    </row>
    <row r="521">
      <c r="A521" s="24">
        <f>IF($G521="","",COUNTA($G$4:$G521))</f>
        <v/>
      </c>
      <c r="B521" s="17" t="n"/>
      <c r="C521" s="30" t="n">
        <v>46108</v>
      </c>
      <c r="D521" s="17" t="inlineStr">
        <is>
          <t>A国内</t>
        </is>
      </c>
      <c r="E521" s="17" t="inlineStr">
        <is>
          <t>CBHU8968633-202603</t>
        </is>
      </c>
      <c r="F521" s="17" t="inlineStr">
        <is>
          <t>烟台市金豪矿山机械有限公司</t>
        </is>
      </c>
      <c r="G521" s="17" t="inlineStr">
        <is>
          <t>JH0466</t>
        </is>
      </c>
      <c r="H521" s="24">
        <f>IF($G521="","",IFERROR(VLOOKUP($G521,物料档案!$A$4:$P$1203,3,0),"※编码不在物料档案里"))</f>
        <v/>
      </c>
      <c r="I521" s="24">
        <f>IF($G521="","",IFERROR(VLOOKUP($G521,物料档案!$A$4:$P$1203,4,0),"※编码不在物料档案里"))</f>
        <v/>
      </c>
      <c r="J521" s="24">
        <f>IF($G521="","",IFERROR(VLOOKUP($G521,物料档案!$A$4:$P$1203,5,0),"※编码不在物料档案里"))</f>
        <v/>
      </c>
      <c r="K521" s="23" t="n">
        <v>1</v>
      </c>
      <c r="L521" s="31" t="n"/>
      <c r="M521" s="24">
        <f>IF($G521="","",IF($D521="A国内","CNY","TZS"))</f>
        <v/>
      </c>
      <c r="N521" s="28">
        <f>IF($G521="","",IF($D521="A国内",汇率,1))</f>
        <v/>
      </c>
      <c r="O521" s="25">
        <f>IF($G521="","",ROUND(N($K521)*N($L521),2))</f>
        <v/>
      </c>
      <c r="P521" s="26">
        <f>IF($G521="","",ROUND($O521*$N521,0))</f>
        <v/>
      </c>
      <c r="Q521" s="26">
        <f>IF($G521="","",SUMIFS($P$4:$P$2503,$E$4:$E$2503,$E521,$Z$4:$Z$2503,"正常"))</f>
        <v/>
      </c>
      <c r="R521" s="26">
        <f>IF($G521="","",SUMIFS(费用台账!$I$4:$I$503,费用台账!$C$4:$C$503,$E521,费用台账!$J$4:$J$503,"是",费用台账!$K$4:$K$503,"正常"))</f>
        <v/>
      </c>
      <c r="S521" s="28">
        <f>IF($G521="","",COUNTIFS($E$4:$E$2503,$E521,$Z$4:$Z$2503,"正常",$Y$4:$Y$2503,"待补价"))</f>
        <v/>
      </c>
      <c r="T521" s="26">
        <f>IF($G521="","",SUMIFS($P$4:$P$2503,$E$4:$E$2503,$E521,$Z$4:$Z$2503,"正常",$A$4:$A$2503,"&lt;="&amp;$A521))</f>
        <v/>
      </c>
      <c r="U521" s="26">
        <f>IF($G521="","",IF(OR($S521&gt;0,$Q521=0,$R521=0,$Z521&lt;&gt;"正常"),0,ROUND($T521/$Q521*$R521,0)-ROUND(($T521-$P521)/$Q521*$R521,0)))</f>
        <v/>
      </c>
      <c r="V521" s="26">
        <f>IF($G521="","",ROUND($P521+$U521,0))</f>
        <v/>
      </c>
      <c r="W521" s="26">
        <f>IF($G521="","",IF(N($K521)=0,0,ROUND($V521/$K521,2)))</f>
        <v/>
      </c>
      <c r="X521" s="17" t="inlineStr">
        <is>
          <t>采购入库</t>
        </is>
      </c>
      <c r="Y521" s="17" t="inlineStr">
        <is>
          <t>待补价</t>
        </is>
      </c>
      <c r="Z521" s="17" t="inlineStr">
        <is>
          <t>正常</t>
        </is>
      </c>
      <c r="AA521" s="17" t="n"/>
      <c r="AB521" s="17" t="inlineStr">
        <is>
          <t>原表第 527 行</t>
        </is>
      </c>
      <c r="AC521" s="24">
        <f>IF($G521="","",IF($H521="※编码不在物料档案里","※物料编码不在档案里",IF(N($K521)&lt;=0,"※入库数量要大于 0",IF(AND($C521&lt;&gt;"",$C521&lt;=结账锁),"※日期早于已结账截止日，不能再录",IF(AND($L521=0,$X521="正常"),"※没填单价，价格状态请选「待补价」",IF(AND($S521&gt;0,$R521&gt;0),"△本批有 "&amp;$S521&amp;" 行没单价，整批运费先挂账没摊",IF(AND($B521&lt;&gt;"",COUNTIF($B$4:$B$2503,$B521)&gt;1),"※入库单号重复","")))))))</f>
        <v/>
      </c>
    </row>
    <row r="522">
      <c r="A522" s="24">
        <f>IF($G522="","",COUNTA($G$4:$G522))</f>
        <v/>
      </c>
      <c r="B522" s="17" t="n"/>
      <c r="C522" s="30" t="n">
        <v>46108</v>
      </c>
      <c r="D522" s="17" t="inlineStr">
        <is>
          <t>A国内</t>
        </is>
      </c>
      <c r="E522" s="17" t="inlineStr">
        <is>
          <t>CBHU8968633-202603</t>
        </is>
      </c>
      <c r="F522" s="17" t="inlineStr">
        <is>
          <t>烟台市金豪矿山机械有限公司</t>
        </is>
      </c>
      <c r="G522" s="17" t="inlineStr">
        <is>
          <t>JH0467</t>
        </is>
      </c>
      <c r="H522" s="24">
        <f>IF($G522="","",IFERROR(VLOOKUP($G522,物料档案!$A$4:$P$1203,3,0),"※编码不在物料档案里"))</f>
        <v/>
      </c>
      <c r="I522" s="24">
        <f>IF($G522="","",IFERROR(VLOOKUP($G522,物料档案!$A$4:$P$1203,4,0),"※编码不在物料档案里"))</f>
        <v/>
      </c>
      <c r="J522" s="24">
        <f>IF($G522="","",IFERROR(VLOOKUP($G522,物料档案!$A$4:$P$1203,5,0),"※编码不在物料档案里"))</f>
        <v/>
      </c>
      <c r="K522" s="23" t="n">
        <v>1</v>
      </c>
      <c r="L522" s="31" t="n"/>
      <c r="M522" s="24">
        <f>IF($G522="","",IF($D522="A国内","CNY","TZS"))</f>
        <v/>
      </c>
      <c r="N522" s="28">
        <f>IF($G522="","",IF($D522="A国内",汇率,1))</f>
        <v/>
      </c>
      <c r="O522" s="25">
        <f>IF($G522="","",ROUND(N($K522)*N($L522),2))</f>
        <v/>
      </c>
      <c r="P522" s="26">
        <f>IF($G522="","",ROUND($O522*$N522,0))</f>
        <v/>
      </c>
      <c r="Q522" s="26">
        <f>IF($G522="","",SUMIFS($P$4:$P$2503,$E$4:$E$2503,$E522,$Z$4:$Z$2503,"正常"))</f>
        <v/>
      </c>
      <c r="R522" s="26">
        <f>IF($G522="","",SUMIFS(费用台账!$I$4:$I$503,费用台账!$C$4:$C$503,$E522,费用台账!$J$4:$J$503,"是",费用台账!$K$4:$K$503,"正常"))</f>
        <v/>
      </c>
      <c r="S522" s="28">
        <f>IF($G522="","",COUNTIFS($E$4:$E$2503,$E522,$Z$4:$Z$2503,"正常",$Y$4:$Y$2503,"待补价"))</f>
        <v/>
      </c>
      <c r="T522" s="26">
        <f>IF($G522="","",SUMIFS($P$4:$P$2503,$E$4:$E$2503,$E522,$Z$4:$Z$2503,"正常",$A$4:$A$2503,"&lt;="&amp;$A522))</f>
        <v/>
      </c>
      <c r="U522" s="26">
        <f>IF($G522="","",IF(OR($S522&gt;0,$Q522=0,$R522=0,$Z522&lt;&gt;"正常"),0,ROUND($T522/$Q522*$R522,0)-ROUND(($T522-$P522)/$Q522*$R522,0)))</f>
        <v/>
      </c>
      <c r="V522" s="26">
        <f>IF($G522="","",ROUND($P522+$U522,0))</f>
        <v/>
      </c>
      <c r="W522" s="26">
        <f>IF($G522="","",IF(N($K522)=0,0,ROUND($V522/$K522,2)))</f>
        <v/>
      </c>
      <c r="X522" s="17" t="inlineStr">
        <is>
          <t>采购入库</t>
        </is>
      </c>
      <c r="Y522" s="17" t="inlineStr">
        <is>
          <t>待补价</t>
        </is>
      </c>
      <c r="Z522" s="17" t="inlineStr">
        <is>
          <t>正常</t>
        </is>
      </c>
      <c r="AA522" s="17" t="n"/>
      <c r="AB522" s="17" t="inlineStr">
        <is>
          <t>原表第 528 行</t>
        </is>
      </c>
      <c r="AC522" s="24">
        <f>IF($G522="","",IF($H522="※编码不在物料档案里","※物料编码不在档案里",IF(N($K522)&lt;=0,"※入库数量要大于 0",IF(AND($C522&lt;&gt;"",$C522&lt;=结账锁),"※日期早于已结账截止日，不能再录",IF(AND($L522=0,$X522="正常"),"※没填单价，价格状态请选「待补价」",IF(AND($S522&gt;0,$R522&gt;0),"△本批有 "&amp;$S522&amp;" 行没单价，整批运费先挂账没摊",IF(AND($B522&lt;&gt;"",COUNTIF($B$4:$B$2503,$B522)&gt;1),"※入库单号重复","")))))))</f>
        <v/>
      </c>
    </row>
    <row r="523">
      <c r="A523" s="24">
        <f>IF($G523="","",COUNTA($G$4:$G523))</f>
        <v/>
      </c>
      <c r="B523" s="17" t="n"/>
      <c r="C523" s="30" t="n">
        <v>46108</v>
      </c>
      <c r="D523" s="17" t="inlineStr">
        <is>
          <t>A国内</t>
        </is>
      </c>
      <c r="E523" s="17" t="inlineStr">
        <is>
          <t>CBHU8968633-202603</t>
        </is>
      </c>
      <c r="F523" s="17" t="inlineStr">
        <is>
          <t>烟台市金豪矿山机械有限公司</t>
        </is>
      </c>
      <c r="G523" s="17" t="inlineStr">
        <is>
          <t>JH0468</t>
        </is>
      </c>
      <c r="H523" s="24">
        <f>IF($G523="","",IFERROR(VLOOKUP($G523,物料档案!$A$4:$P$1203,3,0),"※编码不在物料档案里"))</f>
        <v/>
      </c>
      <c r="I523" s="24">
        <f>IF($G523="","",IFERROR(VLOOKUP($G523,物料档案!$A$4:$P$1203,4,0),"※编码不在物料档案里"))</f>
        <v/>
      </c>
      <c r="J523" s="24">
        <f>IF($G523="","",IFERROR(VLOOKUP($G523,物料档案!$A$4:$P$1203,5,0),"※编码不在物料档案里"))</f>
        <v/>
      </c>
      <c r="K523" s="23" t="n">
        <v>1</v>
      </c>
      <c r="L523" s="31" t="n"/>
      <c r="M523" s="24">
        <f>IF($G523="","",IF($D523="A国内","CNY","TZS"))</f>
        <v/>
      </c>
      <c r="N523" s="28">
        <f>IF($G523="","",IF($D523="A国内",汇率,1))</f>
        <v/>
      </c>
      <c r="O523" s="25">
        <f>IF($G523="","",ROUND(N($K523)*N($L523),2))</f>
        <v/>
      </c>
      <c r="P523" s="26">
        <f>IF($G523="","",ROUND($O523*$N523,0))</f>
        <v/>
      </c>
      <c r="Q523" s="26">
        <f>IF($G523="","",SUMIFS($P$4:$P$2503,$E$4:$E$2503,$E523,$Z$4:$Z$2503,"正常"))</f>
        <v/>
      </c>
      <c r="R523" s="26">
        <f>IF($G523="","",SUMIFS(费用台账!$I$4:$I$503,费用台账!$C$4:$C$503,$E523,费用台账!$J$4:$J$503,"是",费用台账!$K$4:$K$503,"正常"))</f>
        <v/>
      </c>
      <c r="S523" s="28">
        <f>IF($G523="","",COUNTIFS($E$4:$E$2503,$E523,$Z$4:$Z$2503,"正常",$Y$4:$Y$2503,"待补价"))</f>
        <v/>
      </c>
      <c r="T523" s="26">
        <f>IF($G523="","",SUMIFS($P$4:$P$2503,$E$4:$E$2503,$E523,$Z$4:$Z$2503,"正常",$A$4:$A$2503,"&lt;="&amp;$A523))</f>
        <v/>
      </c>
      <c r="U523" s="26">
        <f>IF($G523="","",IF(OR($S523&gt;0,$Q523=0,$R523=0,$Z523&lt;&gt;"正常"),0,ROUND($T523/$Q523*$R523,0)-ROUND(($T523-$P523)/$Q523*$R523,0)))</f>
        <v/>
      </c>
      <c r="V523" s="26">
        <f>IF($G523="","",ROUND($P523+$U523,0))</f>
        <v/>
      </c>
      <c r="W523" s="26">
        <f>IF($G523="","",IF(N($K523)=0,0,ROUND($V523/$K523,2)))</f>
        <v/>
      </c>
      <c r="X523" s="17" t="inlineStr">
        <is>
          <t>采购入库</t>
        </is>
      </c>
      <c r="Y523" s="17" t="inlineStr">
        <is>
          <t>待补价</t>
        </is>
      </c>
      <c r="Z523" s="17" t="inlineStr">
        <is>
          <t>正常</t>
        </is>
      </c>
      <c r="AA523" s="17" t="n"/>
      <c r="AB523" s="17" t="inlineStr">
        <is>
          <t>原表第 529 行</t>
        </is>
      </c>
      <c r="AC523" s="24">
        <f>IF($G523="","",IF($H523="※编码不在物料档案里","※物料编码不在档案里",IF(N($K523)&lt;=0,"※入库数量要大于 0",IF(AND($C523&lt;&gt;"",$C523&lt;=结账锁),"※日期早于已结账截止日，不能再录",IF(AND($L523=0,$X523="正常"),"※没填单价，价格状态请选「待补价」",IF(AND($S523&gt;0,$R523&gt;0),"△本批有 "&amp;$S523&amp;" 行没单价，整批运费先挂账没摊",IF(AND($B523&lt;&gt;"",COUNTIF($B$4:$B$2503,$B523)&gt;1),"※入库单号重复","")))))))</f>
        <v/>
      </c>
    </row>
    <row r="524">
      <c r="A524" s="24">
        <f>IF($G524="","",COUNTA($G$4:$G524))</f>
        <v/>
      </c>
      <c r="B524" s="17" t="n"/>
      <c r="C524" s="30" t="n">
        <v>46108</v>
      </c>
      <c r="D524" s="17" t="inlineStr">
        <is>
          <t>A国内</t>
        </is>
      </c>
      <c r="E524" s="17" t="inlineStr">
        <is>
          <t>CBHU8968633-202603</t>
        </is>
      </c>
      <c r="F524" s="17" t="inlineStr">
        <is>
          <t>烟台市金豪矿山机械有限公司</t>
        </is>
      </c>
      <c r="G524" s="17" t="inlineStr">
        <is>
          <t>JH0469</t>
        </is>
      </c>
      <c r="H524" s="24">
        <f>IF($G524="","",IFERROR(VLOOKUP($G524,物料档案!$A$4:$P$1203,3,0),"※编码不在物料档案里"))</f>
        <v/>
      </c>
      <c r="I524" s="24">
        <f>IF($G524="","",IFERROR(VLOOKUP($G524,物料档案!$A$4:$P$1203,4,0),"※编码不在物料档案里"))</f>
        <v/>
      </c>
      <c r="J524" s="24">
        <f>IF($G524="","",IFERROR(VLOOKUP($G524,物料档案!$A$4:$P$1203,5,0),"※编码不在物料档案里"))</f>
        <v/>
      </c>
      <c r="K524" s="23" t="n">
        <v>1</v>
      </c>
      <c r="L524" s="31" t="n"/>
      <c r="M524" s="24">
        <f>IF($G524="","",IF($D524="A国内","CNY","TZS"))</f>
        <v/>
      </c>
      <c r="N524" s="28">
        <f>IF($G524="","",IF($D524="A国内",汇率,1))</f>
        <v/>
      </c>
      <c r="O524" s="25">
        <f>IF($G524="","",ROUND(N($K524)*N($L524),2))</f>
        <v/>
      </c>
      <c r="P524" s="26">
        <f>IF($G524="","",ROUND($O524*$N524,0))</f>
        <v/>
      </c>
      <c r="Q524" s="26">
        <f>IF($G524="","",SUMIFS($P$4:$P$2503,$E$4:$E$2503,$E524,$Z$4:$Z$2503,"正常"))</f>
        <v/>
      </c>
      <c r="R524" s="26">
        <f>IF($G524="","",SUMIFS(费用台账!$I$4:$I$503,费用台账!$C$4:$C$503,$E524,费用台账!$J$4:$J$503,"是",费用台账!$K$4:$K$503,"正常"))</f>
        <v/>
      </c>
      <c r="S524" s="28">
        <f>IF($G524="","",COUNTIFS($E$4:$E$2503,$E524,$Z$4:$Z$2503,"正常",$Y$4:$Y$2503,"待补价"))</f>
        <v/>
      </c>
      <c r="T524" s="26">
        <f>IF($G524="","",SUMIFS($P$4:$P$2503,$E$4:$E$2503,$E524,$Z$4:$Z$2503,"正常",$A$4:$A$2503,"&lt;="&amp;$A524))</f>
        <v/>
      </c>
      <c r="U524" s="26">
        <f>IF($G524="","",IF(OR($S524&gt;0,$Q524=0,$R524=0,$Z524&lt;&gt;"正常"),0,ROUND($T524/$Q524*$R524,0)-ROUND(($T524-$P524)/$Q524*$R524,0)))</f>
        <v/>
      </c>
      <c r="V524" s="26">
        <f>IF($G524="","",ROUND($P524+$U524,0))</f>
        <v/>
      </c>
      <c r="W524" s="26">
        <f>IF($G524="","",IF(N($K524)=0,0,ROUND($V524/$K524,2)))</f>
        <v/>
      </c>
      <c r="X524" s="17" t="inlineStr">
        <is>
          <t>采购入库</t>
        </is>
      </c>
      <c r="Y524" s="17" t="inlineStr">
        <is>
          <t>待补价</t>
        </is>
      </c>
      <c r="Z524" s="17" t="inlineStr">
        <is>
          <t>正常</t>
        </is>
      </c>
      <c r="AA524" s="17" t="n"/>
      <c r="AB524" s="17" t="inlineStr">
        <is>
          <t>原表第 530 行</t>
        </is>
      </c>
      <c r="AC524" s="24">
        <f>IF($G524="","",IF($H524="※编码不在物料档案里","※物料编码不在档案里",IF(N($K524)&lt;=0,"※入库数量要大于 0",IF(AND($C524&lt;&gt;"",$C524&lt;=结账锁),"※日期早于已结账截止日，不能再录",IF(AND($L524=0,$X524="正常"),"※没填单价，价格状态请选「待补价」",IF(AND($S524&gt;0,$R524&gt;0),"△本批有 "&amp;$S524&amp;" 行没单价，整批运费先挂账没摊",IF(AND($B524&lt;&gt;"",COUNTIF($B$4:$B$2503,$B524)&gt;1),"※入库单号重复","")))))))</f>
        <v/>
      </c>
    </row>
    <row r="525">
      <c r="A525" s="24">
        <f>IF($G525="","",COUNTA($G$4:$G525))</f>
        <v/>
      </c>
      <c r="B525" s="17" t="n"/>
      <c r="C525" s="30" t="n">
        <v>46108</v>
      </c>
      <c r="D525" s="17" t="inlineStr">
        <is>
          <t>A国内</t>
        </is>
      </c>
      <c r="E525" s="17" t="inlineStr">
        <is>
          <t>CBHU8968633-202603</t>
        </is>
      </c>
      <c r="F525" s="17" t="inlineStr">
        <is>
          <t>烟台市金豪矿山机械有限公司</t>
        </is>
      </c>
      <c r="G525" s="17" t="inlineStr">
        <is>
          <t>JH0470</t>
        </is>
      </c>
      <c r="H525" s="24">
        <f>IF($G525="","",IFERROR(VLOOKUP($G525,物料档案!$A$4:$P$1203,3,0),"※编码不在物料档案里"))</f>
        <v/>
      </c>
      <c r="I525" s="24">
        <f>IF($G525="","",IFERROR(VLOOKUP($G525,物料档案!$A$4:$P$1203,4,0),"※编码不在物料档案里"))</f>
        <v/>
      </c>
      <c r="J525" s="24">
        <f>IF($G525="","",IFERROR(VLOOKUP($G525,物料档案!$A$4:$P$1203,5,0),"※编码不在物料档案里"))</f>
        <v/>
      </c>
      <c r="K525" s="23" t="n">
        <v>1</v>
      </c>
      <c r="L525" s="31" t="n"/>
      <c r="M525" s="24">
        <f>IF($G525="","",IF($D525="A国内","CNY","TZS"))</f>
        <v/>
      </c>
      <c r="N525" s="28">
        <f>IF($G525="","",IF($D525="A国内",汇率,1))</f>
        <v/>
      </c>
      <c r="O525" s="25">
        <f>IF($G525="","",ROUND(N($K525)*N($L525),2))</f>
        <v/>
      </c>
      <c r="P525" s="26">
        <f>IF($G525="","",ROUND($O525*$N525,0))</f>
        <v/>
      </c>
      <c r="Q525" s="26">
        <f>IF($G525="","",SUMIFS($P$4:$P$2503,$E$4:$E$2503,$E525,$Z$4:$Z$2503,"正常"))</f>
        <v/>
      </c>
      <c r="R525" s="26">
        <f>IF($G525="","",SUMIFS(费用台账!$I$4:$I$503,费用台账!$C$4:$C$503,$E525,费用台账!$J$4:$J$503,"是",费用台账!$K$4:$K$503,"正常"))</f>
        <v/>
      </c>
      <c r="S525" s="28">
        <f>IF($G525="","",COUNTIFS($E$4:$E$2503,$E525,$Z$4:$Z$2503,"正常",$Y$4:$Y$2503,"待补价"))</f>
        <v/>
      </c>
      <c r="T525" s="26">
        <f>IF($G525="","",SUMIFS($P$4:$P$2503,$E$4:$E$2503,$E525,$Z$4:$Z$2503,"正常",$A$4:$A$2503,"&lt;="&amp;$A525))</f>
        <v/>
      </c>
      <c r="U525" s="26">
        <f>IF($G525="","",IF(OR($S525&gt;0,$Q525=0,$R525=0,$Z525&lt;&gt;"正常"),0,ROUND($T525/$Q525*$R525,0)-ROUND(($T525-$P525)/$Q525*$R525,0)))</f>
        <v/>
      </c>
      <c r="V525" s="26">
        <f>IF($G525="","",ROUND($P525+$U525,0))</f>
        <v/>
      </c>
      <c r="W525" s="26">
        <f>IF($G525="","",IF(N($K525)=0,0,ROUND($V525/$K525,2)))</f>
        <v/>
      </c>
      <c r="X525" s="17" t="inlineStr">
        <is>
          <t>采购入库</t>
        </is>
      </c>
      <c r="Y525" s="17" t="inlineStr">
        <is>
          <t>待补价</t>
        </is>
      </c>
      <c r="Z525" s="17" t="inlineStr">
        <is>
          <t>正常</t>
        </is>
      </c>
      <c r="AA525" s="17" t="n"/>
      <c r="AB525" s="17" t="inlineStr">
        <is>
          <t>原表第 531 行</t>
        </is>
      </c>
      <c r="AC525" s="24">
        <f>IF($G525="","",IF($H525="※编码不在物料档案里","※物料编码不在档案里",IF(N($K525)&lt;=0,"※入库数量要大于 0",IF(AND($C525&lt;&gt;"",$C525&lt;=结账锁),"※日期早于已结账截止日，不能再录",IF(AND($L525=0,$X525="正常"),"※没填单价，价格状态请选「待补价」",IF(AND($S525&gt;0,$R525&gt;0),"△本批有 "&amp;$S525&amp;" 行没单价，整批运费先挂账没摊",IF(AND($B525&lt;&gt;"",COUNTIF($B$4:$B$2503,$B525)&gt;1),"※入库单号重复","")))))))</f>
        <v/>
      </c>
    </row>
    <row r="526">
      <c r="A526" s="24">
        <f>IF($G526="","",COUNTA($G$4:$G526))</f>
        <v/>
      </c>
      <c r="B526" s="17" t="n"/>
      <c r="C526" s="30" t="n">
        <v>46108</v>
      </c>
      <c r="D526" s="17" t="inlineStr">
        <is>
          <t>A国内</t>
        </is>
      </c>
      <c r="E526" s="17" t="inlineStr">
        <is>
          <t>CBHU8968633-202603</t>
        </is>
      </c>
      <c r="F526" s="17" t="inlineStr">
        <is>
          <t>烟台市金豪矿山机械有限公司</t>
        </is>
      </c>
      <c r="G526" s="17" t="inlineStr">
        <is>
          <t>JH0466</t>
        </is>
      </c>
      <c r="H526" s="24">
        <f>IF($G526="","",IFERROR(VLOOKUP($G526,物料档案!$A$4:$P$1203,3,0),"※编码不在物料档案里"))</f>
        <v/>
      </c>
      <c r="I526" s="24">
        <f>IF($G526="","",IFERROR(VLOOKUP($G526,物料档案!$A$4:$P$1203,4,0),"※编码不在物料档案里"))</f>
        <v/>
      </c>
      <c r="J526" s="24">
        <f>IF($G526="","",IFERROR(VLOOKUP($G526,物料档案!$A$4:$P$1203,5,0),"※编码不在物料档案里"))</f>
        <v/>
      </c>
      <c r="K526" s="23" t="n">
        <v>1</v>
      </c>
      <c r="L526" s="31" t="n"/>
      <c r="M526" s="24">
        <f>IF($G526="","",IF($D526="A国内","CNY","TZS"))</f>
        <v/>
      </c>
      <c r="N526" s="28">
        <f>IF($G526="","",IF($D526="A国内",汇率,1))</f>
        <v/>
      </c>
      <c r="O526" s="25">
        <f>IF($G526="","",ROUND(N($K526)*N($L526),2))</f>
        <v/>
      </c>
      <c r="P526" s="26">
        <f>IF($G526="","",ROUND($O526*$N526,0))</f>
        <v/>
      </c>
      <c r="Q526" s="26">
        <f>IF($G526="","",SUMIFS($P$4:$P$2503,$E$4:$E$2503,$E526,$Z$4:$Z$2503,"正常"))</f>
        <v/>
      </c>
      <c r="R526" s="26">
        <f>IF($G526="","",SUMIFS(费用台账!$I$4:$I$503,费用台账!$C$4:$C$503,$E526,费用台账!$J$4:$J$503,"是",费用台账!$K$4:$K$503,"正常"))</f>
        <v/>
      </c>
      <c r="S526" s="28">
        <f>IF($G526="","",COUNTIFS($E$4:$E$2503,$E526,$Z$4:$Z$2503,"正常",$Y$4:$Y$2503,"待补价"))</f>
        <v/>
      </c>
      <c r="T526" s="26">
        <f>IF($G526="","",SUMIFS($P$4:$P$2503,$E$4:$E$2503,$E526,$Z$4:$Z$2503,"正常",$A$4:$A$2503,"&lt;="&amp;$A526))</f>
        <v/>
      </c>
      <c r="U526" s="26">
        <f>IF($G526="","",IF(OR($S526&gt;0,$Q526=0,$R526=0,$Z526&lt;&gt;"正常"),0,ROUND($T526/$Q526*$R526,0)-ROUND(($T526-$P526)/$Q526*$R526,0)))</f>
        <v/>
      </c>
      <c r="V526" s="26">
        <f>IF($G526="","",ROUND($P526+$U526,0))</f>
        <v/>
      </c>
      <c r="W526" s="26">
        <f>IF($G526="","",IF(N($K526)=0,0,ROUND($V526/$K526,2)))</f>
        <v/>
      </c>
      <c r="X526" s="17" t="inlineStr">
        <is>
          <t>采购入库</t>
        </is>
      </c>
      <c r="Y526" s="17" t="inlineStr">
        <is>
          <t>待补价</t>
        </is>
      </c>
      <c r="Z526" s="17" t="inlineStr">
        <is>
          <t>正常</t>
        </is>
      </c>
      <c r="AA526" s="17" t="n"/>
      <c r="AB526" s="17" t="inlineStr">
        <is>
          <t>原表第 532 行</t>
        </is>
      </c>
      <c r="AC526" s="24">
        <f>IF($G526="","",IF($H526="※编码不在物料档案里","※物料编码不在档案里",IF(N($K526)&lt;=0,"※入库数量要大于 0",IF(AND($C526&lt;&gt;"",$C526&lt;=结账锁),"※日期早于已结账截止日，不能再录",IF(AND($L526=0,$X526="正常"),"※没填单价，价格状态请选「待补价」",IF(AND($S526&gt;0,$R526&gt;0),"△本批有 "&amp;$S526&amp;" 行没单价，整批运费先挂账没摊",IF(AND($B526&lt;&gt;"",COUNTIF($B$4:$B$2503,$B526)&gt;1),"※入库单号重复","")))))))</f>
        <v/>
      </c>
    </row>
    <row r="527">
      <c r="A527" s="24">
        <f>IF($G527="","",COUNTA($G$4:$G527))</f>
        <v/>
      </c>
      <c r="B527" s="17" t="n"/>
      <c r="C527" s="30" t="n">
        <v>46108</v>
      </c>
      <c r="D527" s="17" t="inlineStr">
        <is>
          <t>A国内</t>
        </is>
      </c>
      <c r="E527" s="17" t="inlineStr">
        <is>
          <t>CBHU8968633-202603</t>
        </is>
      </c>
      <c r="F527" s="17" t="inlineStr">
        <is>
          <t>烟台市金豪矿山机械有限公司</t>
        </is>
      </c>
      <c r="G527" s="17" t="inlineStr">
        <is>
          <t>JH0467</t>
        </is>
      </c>
      <c r="H527" s="24">
        <f>IF($G527="","",IFERROR(VLOOKUP($G527,物料档案!$A$4:$P$1203,3,0),"※编码不在物料档案里"))</f>
        <v/>
      </c>
      <c r="I527" s="24">
        <f>IF($G527="","",IFERROR(VLOOKUP($G527,物料档案!$A$4:$P$1203,4,0),"※编码不在物料档案里"))</f>
        <v/>
      </c>
      <c r="J527" s="24">
        <f>IF($G527="","",IFERROR(VLOOKUP($G527,物料档案!$A$4:$P$1203,5,0),"※编码不在物料档案里"))</f>
        <v/>
      </c>
      <c r="K527" s="23" t="n">
        <v>1</v>
      </c>
      <c r="L527" s="31" t="n"/>
      <c r="M527" s="24">
        <f>IF($G527="","",IF($D527="A国内","CNY","TZS"))</f>
        <v/>
      </c>
      <c r="N527" s="28">
        <f>IF($G527="","",IF($D527="A国内",汇率,1))</f>
        <v/>
      </c>
      <c r="O527" s="25">
        <f>IF($G527="","",ROUND(N($K527)*N($L527),2))</f>
        <v/>
      </c>
      <c r="P527" s="26">
        <f>IF($G527="","",ROUND($O527*$N527,0))</f>
        <v/>
      </c>
      <c r="Q527" s="26">
        <f>IF($G527="","",SUMIFS($P$4:$P$2503,$E$4:$E$2503,$E527,$Z$4:$Z$2503,"正常"))</f>
        <v/>
      </c>
      <c r="R527" s="26">
        <f>IF($G527="","",SUMIFS(费用台账!$I$4:$I$503,费用台账!$C$4:$C$503,$E527,费用台账!$J$4:$J$503,"是",费用台账!$K$4:$K$503,"正常"))</f>
        <v/>
      </c>
      <c r="S527" s="28">
        <f>IF($G527="","",COUNTIFS($E$4:$E$2503,$E527,$Z$4:$Z$2503,"正常",$Y$4:$Y$2503,"待补价"))</f>
        <v/>
      </c>
      <c r="T527" s="26">
        <f>IF($G527="","",SUMIFS($P$4:$P$2503,$E$4:$E$2503,$E527,$Z$4:$Z$2503,"正常",$A$4:$A$2503,"&lt;="&amp;$A527))</f>
        <v/>
      </c>
      <c r="U527" s="26">
        <f>IF($G527="","",IF(OR($S527&gt;0,$Q527=0,$R527=0,$Z527&lt;&gt;"正常"),0,ROUND($T527/$Q527*$R527,0)-ROUND(($T527-$P527)/$Q527*$R527,0)))</f>
        <v/>
      </c>
      <c r="V527" s="26">
        <f>IF($G527="","",ROUND($P527+$U527,0))</f>
        <v/>
      </c>
      <c r="W527" s="26">
        <f>IF($G527="","",IF(N($K527)=0,0,ROUND($V527/$K527,2)))</f>
        <v/>
      </c>
      <c r="X527" s="17" t="inlineStr">
        <is>
          <t>采购入库</t>
        </is>
      </c>
      <c r="Y527" s="17" t="inlineStr">
        <is>
          <t>待补价</t>
        </is>
      </c>
      <c r="Z527" s="17" t="inlineStr">
        <is>
          <t>正常</t>
        </is>
      </c>
      <c r="AA527" s="17" t="n"/>
      <c r="AB527" s="17" t="inlineStr">
        <is>
          <t>原表第 533 行</t>
        </is>
      </c>
      <c r="AC527" s="24">
        <f>IF($G527="","",IF($H527="※编码不在物料档案里","※物料编码不在档案里",IF(N($K527)&lt;=0,"※入库数量要大于 0",IF(AND($C527&lt;&gt;"",$C527&lt;=结账锁),"※日期早于已结账截止日，不能再录",IF(AND($L527=0,$X527="正常"),"※没填单价，价格状态请选「待补价」",IF(AND($S527&gt;0,$R527&gt;0),"△本批有 "&amp;$S527&amp;" 行没单价，整批运费先挂账没摊",IF(AND($B527&lt;&gt;"",COUNTIF($B$4:$B$2503,$B527)&gt;1),"※入库单号重复","")))))))</f>
        <v/>
      </c>
    </row>
    <row r="528">
      <c r="A528" s="24">
        <f>IF($G528="","",COUNTA($G$4:$G528))</f>
        <v/>
      </c>
      <c r="B528" s="17" t="n"/>
      <c r="C528" s="30" t="n">
        <v>46108</v>
      </c>
      <c r="D528" s="17" t="inlineStr">
        <is>
          <t>A国内</t>
        </is>
      </c>
      <c r="E528" s="17" t="inlineStr">
        <is>
          <t>CBHU8968633-202603</t>
        </is>
      </c>
      <c r="F528" s="17" t="inlineStr">
        <is>
          <t>烟台市金豪矿山机械有限公司</t>
        </is>
      </c>
      <c r="G528" s="17" t="inlineStr">
        <is>
          <t>JH0468</t>
        </is>
      </c>
      <c r="H528" s="24">
        <f>IF($G528="","",IFERROR(VLOOKUP($G528,物料档案!$A$4:$P$1203,3,0),"※编码不在物料档案里"))</f>
        <v/>
      </c>
      <c r="I528" s="24">
        <f>IF($G528="","",IFERROR(VLOOKUP($G528,物料档案!$A$4:$P$1203,4,0),"※编码不在物料档案里"))</f>
        <v/>
      </c>
      <c r="J528" s="24">
        <f>IF($G528="","",IFERROR(VLOOKUP($G528,物料档案!$A$4:$P$1203,5,0),"※编码不在物料档案里"))</f>
        <v/>
      </c>
      <c r="K528" s="23" t="n">
        <v>1</v>
      </c>
      <c r="L528" s="31" t="n"/>
      <c r="M528" s="24">
        <f>IF($G528="","",IF($D528="A国内","CNY","TZS"))</f>
        <v/>
      </c>
      <c r="N528" s="28">
        <f>IF($G528="","",IF($D528="A国内",汇率,1))</f>
        <v/>
      </c>
      <c r="O528" s="25">
        <f>IF($G528="","",ROUND(N($K528)*N($L528),2))</f>
        <v/>
      </c>
      <c r="P528" s="26">
        <f>IF($G528="","",ROUND($O528*$N528,0))</f>
        <v/>
      </c>
      <c r="Q528" s="26">
        <f>IF($G528="","",SUMIFS($P$4:$P$2503,$E$4:$E$2503,$E528,$Z$4:$Z$2503,"正常"))</f>
        <v/>
      </c>
      <c r="R528" s="26">
        <f>IF($G528="","",SUMIFS(费用台账!$I$4:$I$503,费用台账!$C$4:$C$503,$E528,费用台账!$J$4:$J$503,"是",费用台账!$K$4:$K$503,"正常"))</f>
        <v/>
      </c>
      <c r="S528" s="28">
        <f>IF($G528="","",COUNTIFS($E$4:$E$2503,$E528,$Z$4:$Z$2503,"正常",$Y$4:$Y$2503,"待补价"))</f>
        <v/>
      </c>
      <c r="T528" s="26">
        <f>IF($G528="","",SUMIFS($P$4:$P$2503,$E$4:$E$2503,$E528,$Z$4:$Z$2503,"正常",$A$4:$A$2503,"&lt;="&amp;$A528))</f>
        <v/>
      </c>
      <c r="U528" s="26">
        <f>IF($G528="","",IF(OR($S528&gt;0,$Q528=0,$R528=0,$Z528&lt;&gt;"正常"),0,ROUND($T528/$Q528*$R528,0)-ROUND(($T528-$P528)/$Q528*$R528,0)))</f>
        <v/>
      </c>
      <c r="V528" s="26">
        <f>IF($G528="","",ROUND($P528+$U528,0))</f>
        <v/>
      </c>
      <c r="W528" s="26">
        <f>IF($G528="","",IF(N($K528)=0,0,ROUND($V528/$K528,2)))</f>
        <v/>
      </c>
      <c r="X528" s="17" t="inlineStr">
        <is>
          <t>采购入库</t>
        </is>
      </c>
      <c r="Y528" s="17" t="inlineStr">
        <is>
          <t>待补价</t>
        </is>
      </c>
      <c r="Z528" s="17" t="inlineStr">
        <is>
          <t>正常</t>
        </is>
      </c>
      <c r="AA528" s="17" t="n"/>
      <c r="AB528" s="17" t="inlineStr">
        <is>
          <t>原表第 534 行</t>
        </is>
      </c>
      <c r="AC528" s="24">
        <f>IF($G528="","",IF($H528="※编码不在物料档案里","※物料编码不在档案里",IF(N($K528)&lt;=0,"※入库数量要大于 0",IF(AND($C528&lt;&gt;"",$C528&lt;=结账锁),"※日期早于已结账截止日，不能再录",IF(AND($L528=0,$X528="正常"),"※没填单价，价格状态请选「待补价」",IF(AND($S528&gt;0,$R528&gt;0),"△本批有 "&amp;$S528&amp;" 行没单价，整批运费先挂账没摊",IF(AND($B528&lt;&gt;"",COUNTIF($B$4:$B$2503,$B528)&gt;1),"※入库单号重复","")))))))</f>
        <v/>
      </c>
    </row>
    <row r="529">
      <c r="A529" s="24">
        <f>IF($G529="","",COUNTA($G$4:$G529))</f>
        <v/>
      </c>
      <c r="B529" s="17" t="n"/>
      <c r="C529" s="30" t="n">
        <v>46108</v>
      </c>
      <c r="D529" s="17" t="inlineStr">
        <is>
          <t>A国内</t>
        </is>
      </c>
      <c r="E529" s="17" t="inlineStr">
        <is>
          <t>CBHU8968633-202603</t>
        </is>
      </c>
      <c r="F529" s="17" t="inlineStr">
        <is>
          <t>烟台市金豪矿山机械有限公司</t>
        </is>
      </c>
      <c r="G529" s="17" t="inlineStr">
        <is>
          <t>JH0471</t>
        </is>
      </c>
      <c r="H529" s="24">
        <f>IF($G529="","",IFERROR(VLOOKUP($G529,物料档案!$A$4:$P$1203,3,0),"※编码不在物料档案里"))</f>
        <v/>
      </c>
      <c r="I529" s="24">
        <f>IF($G529="","",IFERROR(VLOOKUP($G529,物料档案!$A$4:$P$1203,4,0),"※编码不在物料档案里"))</f>
        <v/>
      </c>
      <c r="J529" s="24">
        <f>IF($G529="","",IFERROR(VLOOKUP($G529,物料档案!$A$4:$P$1203,5,0),"※编码不在物料档案里"))</f>
        <v/>
      </c>
      <c r="K529" s="23" t="n">
        <v>1</v>
      </c>
      <c r="L529" s="31" t="n"/>
      <c r="M529" s="24">
        <f>IF($G529="","",IF($D529="A国内","CNY","TZS"))</f>
        <v/>
      </c>
      <c r="N529" s="28">
        <f>IF($G529="","",IF($D529="A国内",汇率,1))</f>
        <v/>
      </c>
      <c r="O529" s="25">
        <f>IF($G529="","",ROUND(N($K529)*N($L529),2))</f>
        <v/>
      </c>
      <c r="P529" s="26">
        <f>IF($G529="","",ROUND($O529*$N529,0))</f>
        <v/>
      </c>
      <c r="Q529" s="26">
        <f>IF($G529="","",SUMIFS($P$4:$P$2503,$E$4:$E$2503,$E529,$Z$4:$Z$2503,"正常"))</f>
        <v/>
      </c>
      <c r="R529" s="26">
        <f>IF($G529="","",SUMIFS(费用台账!$I$4:$I$503,费用台账!$C$4:$C$503,$E529,费用台账!$J$4:$J$503,"是",费用台账!$K$4:$K$503,"正常"))</f>
        <v/>
      </c>
      <c r="S529" s="28">
        <f>IF($G529="","",COUNTIFS($E$4:$E$2503,$E529,$Z$4:$Z$2503,"正常",$Y$4:$Y$2503,"待补价"))</f>
        <v/>
      </c>
      <c r="T529" s="26">
        <f>IF($G529="","",SUMIFS($P$4:$P$2503,$E$4:$E$2503,$E529,$Z$4:$Z$2503,"正常",$A$4:$A$2503,"&lt;="&amp;$A529))</f>
        <v/>
      </c>
      <c r="U529" s="26">
        <f>IF($G529="","",IF(OR($S529&gt;0,$Q529=0,$R529=0,$Z529&lt;&gt;"正常"),0,ROUND($T529/$Q529*$R529,0)-ROUND(($T529-$P529)/$Q529*$R529,0)))</f>
        <v/>
      </c>
      <c r="V529" s="26">
        <f>IF($G529="","",ROUND($P529+$U529,0))</f>
        <v/>
      </c>
      <c r="W529" s="26">
        <f>IF($G529="","",IF(N($K529)=0,0,ROUND($V529/$K529,2)))</f>
        <v/>
      </c>
      <c r="X529" s="17" t="inlineStr">
        <is>
          <t>采购入库</t>
        </is>
      </c>
      <c r="Y529" s="17" t="inlineStr">
        <is>
          <t>待补价</t>
        </is>
      </c>
      <c r="Z529" s="17" t="inlineStr">
        <is>
          <t>正常</t>
        </is>
      </c>
      <c r="AA529" s="17" t="n"/>
      <c r="AB529" s="17" t="inlineStr">
        <is>
          <t>原表第 535 行</t>
        </is>
      </c>
      <c r="AC529" s="24">
        <f>IF($G529="","",IF($H529="※编码不在物料档案里","※物料编码不在档案里",IF(N($K529)&lt;=0,"※入库数量要大于 0",IF(AND($C529&lt;&gt;"",$C529&lt;=结账锁),"※日期早于已结账截止日，不能再录",IF(AND($L529=0,$X529="正常"),"※没填单价，价格状态请选「待补价」",IF(AND($S529&gt;0,$R529&gt;0),"△本批有 "&amp;$S529&amp;" 行没单价，整批运费先挂账没摊",IF(AND($B529&lt;&gt;"",COUNTIF($B$4:$B$2503,$B529)&gt;1),"※入库单号重复","")))))))</f>
        <v/>
      </c>
    </row>
    <row r="530">
      <c r="A530" s="24">
        <f>IF($G530="","",COUNTA($G$4:$G530))</f>
        <v/>
      </c>
      <c r="B530" s="17" t="n"/>
      <c r="C530" s="30" t="n">
        <v>46108</v>
      </c>
      <c r="D530" s="17" t="inlineStr">
        <is>
          <t>A国内</t>
        </is>
      </c>
      <c r="E530" s="17" t="inlineStr">
        <is>
          <t>CBHU8968633-202603</t>
        </is>
      </c>
      <c r="F530" s="17" t="inlineStr">
        <is>
          <t>烟台市金豪矿山机械有限公司</t>
        </is>
      </c>
      <c r="G530" s="17" t="inlineStr">
        <is>
          <t>JH0472</t>
        </is>
      </c>
      <c r="H530" s="24">
        <f>IF($G530="","",IFERROR(VLOOKUP($G530,物料档案!$A$4:$P$1203,3,0),"※编码不在物料档案里"))</f>
        <v/>
      </c>
      <c r="I530" s="24">
        <f>IF($G530="","",IFERROR(VLOOKUP($G530,物料档案!$A$4:$P$1203,4,0),"※编码不在物料档案里"))</f>
        <v/>
      </c>
      <c r="J530" s="24">
        <f>IF($G530="","",IFERROR(VLOOKUP($G530,物料档案!$A$4:$P$1203,5,0),"※编码不在物料档案里"))</f>
        <v/>
      </c>
      <c r="K530" s="23" t="n">
        <v>1</v>
      </c>
      <c r="L530" s="31" t="n"/>
      <c r="M530" s="24">
        <f>IF($G530="","",IF($D530="A国内","CNY","TZS"))</f>
        <v/>
      </c>
      <c r="N530" s="28">
        <f>IF($G530="","",IF($D530="A国内",汇率,1))</f>
        <v/>
      </c>
      <c r="O530" s="25">
        <f>IF($G530="","",ROUND(N($K530)*N($L530),2))</f>
        <v/>
      </c>
      <c r="P530" s="26">
        <f>IF($G530="","",ROUND($O530*$N530,0))</f>
        <v/>
      </c>
      <c r="Q530" s="26">
        <f>IF($G530="","",SUMIFS($P$4:$P$2503,$E$4:$E$2503,$E530,$Z$4:$Z$2503,"正常"))</f>
        <v/>
      </c>
      <c r="R530" s="26">
        <f>IF($G530="","",SUMIFS(费用台账!$I$4:$I$503,费用台账!$C$4:$C$503,$E530,费用台账!$J$4:$J$503,"是",费用台账!$K$4:$K$503,"正常"))</f>
        <v/>
      </c>
      <c r="S530" s="28">
        <f>IF($G530="","",COUNTIFS($E$4:$E$2503,$E530,$Z$4:$Z$2503,"正常",$Y$4:$Y$2503,"待补价"))</f>
        <v/>
      </c>
      <c r="T530" s="26">
        <f>IF($G530="","",SUMIFS($P$4:$P$2503,$E$4:$E$2503,$E530,$Z$4:$Z$2503,"正常",$A$4:$A$2503,"&lt;="&amp;$A530))</f>
        <v/>
      </c>
      <c r="U530" s="26">
        <f>IF($G530="","",IF(OR($S530&gt;0,$Q530=0,$R530=0,$Z530&lt;&gt;"正常"),0,ROUND($T530/$Q530*$R530,0)-ROUND(($T530-$P530)/$Q530*$R530,0)))</f>
        <v/>
      </c>
      <c r="V530" s="26">
        <f>IF($G530="","",ROUND($P530+$U530,0))</f>
        <v/>
      </c>
      <c r="W530" s="26">
        <f>IF($G530="","",IF(N($K530)=0,0,ROUND($V530/$K530,2)))</f>
        <v/>
      </c>
      <c r="X530" s="17" t="inlineStr">
        <is>
          <t>采购入库</t>
        </is>
      </c>
      <c r="Y530" s="17" t="inlineStr">
        <is>
          <t>待补价</t>
        </is>
      </c>
      <c r="Z530" s="17" t="inlineStr">
        <is>
          <t>正常</t>
        </is>
      </c>
      <c r="AA530" s="17" t="n"/>
      <c r="AB530" s="17" t="inlineStr">
        <is>
          <t>原表第 536 行</t>
        </is>
      </c>
      <c r="AC530" s="24">
        <f>IF($G530="","",IF($H530="※编码不在物料档案里","※物料编码不在档案里",IF(N($K530)&lt;=0,"※入库数量要大于 0",IF(AND($C530&lt;&gt;"",$C530&lt;=结账锁),"※日期早于已结账截止日，不能再录",IF(AND($L530=0,$X530="正常"),"※没填单价，价格状态请选「待补价」",IF(AND($S530&gt;0,$R530&gt;0),"△本批有 "&amp;$S530&amp;" 行没单价，整批运费先挂账没摊",IF(AND($B530&lt;&gt;"",COUNTIF($B$4:$B$2503,$B530)&gt;1),"※入库单号重复","")))))))</f>
        <v/>
      </c>
    </row>
    <row r="531">
      <c r="A531" s="24">
        <f>IF($G531="","",COUNTA($G$4:$G531))</f>
        <v/>
      </c>
      <c r="B531" s="17" t="n"/>
      <c r="C531" s="30" t="n">
        <v>46108</v>
      </c>
      <c r="D531" s="17" t="inlineStr">
        <is>
          <t>A国内</t>
        </is>
      </c>
      <c r="E531" s="17" t="inlineStr">
        <is>
          <t>CBHU8968633-202603</t>
        </is>
      </c>
      <c r="F531" s="17" t="inlineStr">
        <is>
          <t>烟台市金豪矿山机械有限公司</t>
        </is>
      </c>
      <c r="G531" s="17" t="inlineStr">
        <is>
          <t>JH0466</t>
        </is>
      </c>
      <c r="H531" s="24">
        <f>IF($G531="","",IFERROR(VLOOKUP($G531,物料档案!$A$4:$P$1203,3,0),"※编码不在物料档案里"))</f>
        <v/>
      </c>
      <c r="I531" s="24">
        <f>IF($G531="","",IFERROR(VLOOKUP($G531,物料档案!$A$4:$P$1203,4,0),"※编码不在物料档案里"))</f>
        <v/>
      </c>
      <c r="J531" s="24">
        <f>IF($G531="","",IFERROR(VLOOKUP($G531,物料档案!$A$4:$P$1203,5,0),"※编码不在物料档案里"))</f>
        <v/>
      </c>
      <c r="K531" s="23" t="n">
        <v>1</v>
      </c>
      <c r="L531" s="31" t="n"/>
      <c r="M531" s="24">
        <f>IF($G531="","",IF($D531="A国内","CNY","TZS"))</f>
        <v/>
      </c>
      <c r="N531" s="28">
        <f>IF($G531="","",IF($D531="A国内",汇率,1))</f>
        <v/>
      </c>
      <c r="O531" s="25">
        <f>IF($G531="","",ROUND(N($K531)*N($L531),2))</f>
        <v/>
      </c>
      <c r="P531" s="26">
        <f>IF($G531="","",ROUND($O531*$N531,0))</f>
        <v/>
      </c>
      <c r="Q531" s="26">
        <f>IF($G531="","",SUMIFS($P$4:$P$2503,$E$4:$E$2503,$E531,$Z$4:$Z$2503,"正常"))</f>
        <v/>
      </c>
      <c r="R531" s="26">
        <f>IF($G531="","",SUMIFS(费用台账!$I$4:$I$503,费用台账!$C$4:$C$503,$E531,费用台账!$J$4:$J$503,"是",费用台账!$K$4:$K$503,"正常"))</f>
        <v/>
      </c>
      <c r="S531" s="28">
        <f>IF($G531="","",COUNTIFS($E$4:$E$2503,$E531,$Z$4:$Z$2503,"正常",$Y$4:$Y$2503,"待补价"))</f>
        <v/>
      </c>
      <c r="T531" s="26">
        <f>IF($G531="","",SUMIFS($P$4:$P$2503,$E$4:$E$2503,$E531,$Z$4:$Z$2503,"正常",$A$4:$A$2503,"&lt;="&amp;$A531))</f>
        <v/>
      </c>
      <c r="U531" s="26">
        <f>IF($G531="","",IF(OR($S531&gt;0,$Q531=0,$R531=0,$Z531&lt;&gt;"正常"),0,ROUND($T531/$Q531*$R531,0)-ROUND(($T531-$P531)/$Q531*$R531,0)))</f>
        <v/>
      </c>
      <c r="V531" s="26">
        <f>IF($G531="","",ROUND($P531+$U531,0))</f>
        <v/>
      </c>
      <c r="W531" s="26">
        <f>IF($G531="","",IF(N($K531)=0,0,ROUND($V531/$K531,2)))</f>
        <v/>
      </c>
      <c r="X531" s="17" t="inlineStr">
        <is>
          <t>采购入库</t>
        </is>
      </c>
      <c r="Y531" s="17" t="inlineStr">
        <is>
          <t>待补价</t>
        </is>
      </c>
      <c r="Z531" s="17" t="inlineStr">
        <is>
          <t>正常</t>
        </is>
      </c>
      <c r="AA531" s="17" t="n"/>
      <c r="AB531" s="17" t="inlineStr">
        <is>
          <t>原表第 537 行</t>
        </is>
      </c>
      <c r="AC531" s="24">
        <f>IF($G531="","",IF($H531="※编码不在物料档案里","※物料编码不在档案里",IF(N($K531)&lt;=0,"※入库数量要大于 0",IF(AND($C531&lt;&gt;"",$C531&lt;=结账锁),"※日期早于已结账截止日，不能再录",IF(AND($L531=0,$X531="正常"),"※没填单价，价格状态请选「待补价」",IF(AND($S531&gt;0,$R531&gt;0),"△本批有 "&amp;$S531&amp;" 行没单价，整批运费先挂账没摊",IF(AND($B531&lt;&gt;"",COUNTIF($B$4:$B$2503,$B531)&gt;1),"※入库单号重复","")))))))</f>
        <v/>
      </c>
    </row>
    <row r="532">
      <c r="A532" s="24">
        <f>IF($G532="","",COUNTA($G$4:$G532))</f>
        <v/>
      </c>
      <c r="B532" s="17" t="n"/>
      <c r="C532" s="30" t="n">
        <v>46108</v>
      </c>
      <c r="D532" s="17" t="inlineStr">
        <is>
          <t>A国内</t>
        </is>
      </c>
      <c r="E532" s="17" t="inlineStr">
        <is>
          <t>CBHU8968633-202603</t>
        </is>
      </c>
      <c r="F532" s="17" t="inlineStr">
        <is>
          <t>烟台市金豪矿山机械有限公司</t>
        </is>
      </c>
      <c r="G532" s="17" t="inlineStr">
        <is>
          <t>JH0467</t>
        </is>
      </c>
      <c r="H532" s="24">
        <f>IF($G532="","",IFERROR(VLOOKUP($G532,物料档案!$A$4:$P$1203,3,0),"※编码不在物料档案里"))</f>
        <v/>
      </c>
      <c r="I532" s="24">
        <f>IF($G532="","",IFERROR(VLOOKUP($G532,物料档案!$A$4:$P$1203,4,0),"※编码不在物料档案里"))</f>
        <v/>
      </c>
      <c r="J532" s="24">
        <f>IF($G532="","",IFERROR(VLOOKUP($G532,物料档案!$A$4:$P$1203,5,0),"※编码不在物料档案里"))</f>
        <v/>
      </c>
      <c r="K532" s="23" t="n">
        <v>1</v>
      </c>
      <c r="L532" s="31" t="n"/>
      <c r="M532" s="24">
        <f>IF($G532="","",IF($D532="A国内","CNY","TZS"))</f>
        <v/>
      </c>
      <c r="N532" s="28">
        <f>IF($G532="","",IF($D532="A国内",汇率,1))</f>
        <v/>
      </c>
      <c r="O532" s="25">
        <f>IF($G532="","",ROUND(N($K532)*N($L532),2))</f>
        <v/>
      </c>
      <c r="P532" s="26">
        <f>IF($G532="","",ROUND($O532*$N532,0))</f>
        <v/>
      </c>
      <c r="Q532" s="26">
        <f>IF($G532="","",SUMIFS($P$4:$P$2503,$E$4:$E$2503,$E532,$Z$4:$Z$2503,"正常"))</f>
        <v/>
      </c>
      <c r="R532" s="26">
        <f>IF($G532="","",SUMIFS(费用台账!$I$4:$I$503,费用台账!$C$4:$C$503,$E532,费用台账!$J$4:$J$503,"是",费用台账!$K$4:$K$503,"正常"))</f>
        <v/>
      </c>
      <c r="S532" s="28">
        <f>IF($G532="","",COUNTIFS($E$4:$E$2503,$E532,$Z$4:$Z$2503,"正常",$Y$4:$Y$2503,"待补价"))</f>
        <v/>
      </c>
      <c r="T532" s="26">
        <f>IF($G532="","",SUMIFS($P$4:$P$2503,$E$4:$E$2503,$E532,$Z$4:$Z$2503,"正常",$A$4:$A$2503,"&lt;="&amp;$A532))</f>
        <v/>
      </c>
      <c r="U532" s="26">
        <f>IF($G532="","",IF(OR($S532&gt;0,$Q532=0,$R532=0,$Z532&lt;&gt;"正常"),0,ROUND($T532/$Q532*$R532,0)-ROUND(($T532-$P532)/$Q532*$R532,0)))</f>
        <v/>
      </c>
      <c r="V532" s="26">
        <f>IF($G532="","",ROUND($P532+$U532,0))</f>
        <v/>
      </c>
      <c r="W532" s="26">
        <f>IF($G532="","",IF(N($K532)=0,0,ROUND($V532/$K532,2)))</f>
        <v/>
      </c>
      <c r="X532" s="17" t="inlineStr">
        <is>
          <t>采购入库</t>
        </is>
      </c>
      <c r="Y532" s="17" t="inlineStr">
        <is>
          <t>待补价</t>
        </is>
      </c>
      <c r="Z532" s="17" t="inlineStr">
        <is>
          <t>正常</t>
        </is>
      </c>
      <c r="AA532" s="17" t="n"/>
      <c r="AB532" s="17" t="inlineStr">
        <is>
          <t>原表第 538 行</t>
        </is>
      </c>
      <c r="AC532" s="24">
        <f>IF($G532="","",IF($H532="※编码不在物料档案里","※物料编码不在档案里",IF(N($K532)&lt;=0,"※入库数量要大于 0",IF(AND($C532&lt;&gt;"",$C532&lt;=结账锁),"※日期早于已结账截止日，不能再录",IF(AND($L532=0,$X532="正常"),"※没填单价，价格状态请选「待补价」",IF(AND($S532&gt;0,$R532&gt;0),"△本批有 "&amp;$S532&amp;" 行没单价，整批运费先挂账没摊",IF(AND($B532&lt;&gt;"",COUNTIF($B$4:$B$2503,$B532)&gt;1),"※入库单号重复","")))))))</f>
        <v/>
      </c>
    </row>
    <row r="533">
      <c r="A533" s="24">
        <f>IF($G533="","",COUNTA($G$4:$G533))</f>
        <v/>
      </c>
      <c r="B533" s="17" t="n"/>
      <c r="C533" s="30" t="n">
        <v>46108</v>
      </c>
      <c r="D533" s="17" t="inlineStr">
        <is>
          <t>A国内</t>
        </is>
      </c>
      <c r="E533" s="17" t="inlineStr">
        <is>
          <t>CBHU8968633-202603</t>
        </is>
      </c>
      <c r="F533" s="17" t="inlineStr">
        <is>
          <t>烟台市金豪矿山机械有限公司</t>
        </is>
      </c>
      <c r="G533" s="17" t="inlineStr">
        <is>
          <t>JH0468</t>
        </is>
      </c>
      <c r="H533" s="24">
        <f>IF($G533="","",IFERROR(VLOOKUP($G533,物料档案!$A$4:$P$1203,3,0),"※编码不在物料档案里"))</f>
        <v/>
      </c>
      <c r="I533" s="24">
        <f>IF($G533="","",IFERROR(VLOOKUP($G533,物料档案!$A$4:$P$1203,4,0),"※编码不在物料档案里"))</f>
        <v/>
      </c>
      <c r="J533" s="24">
        <f>IF($G533="","",IFERROR(VLOOKUP($G533,物料档案!$A$4:$P$1203,5,0),"※编码不在物料档案里"))</f>
        <v/>
      </c>
      <c r="K533" s="23" t="n">
        <v>1</v>
      </c>
      <c r="L533" s="31" t="n"/>
      <c r="M533" s="24">
        <f>IF($G533="","",IF($D533="A国内","CNY","TZS"))</f>
        <v/>
      </c>
      <c r="N533" s="28">
        <f>IF($G533="","",IF($D533="A国内",汇率,1))</f>
        <v/>
      </c>
      <c r="O533" s="25">
        <f>IF($G533="","",ROUND(N($K533)*N($L533),2))</f>
        <v/>
      </c>
      <c r="P533" s="26">
        <f>IF($G533="","",ROUND($O533*$N533,0))</f>
        <v/>
      </c>
      <c r="Q533" s="26">
        <f>IF($G533="","",SUMIFS($P$4:$P$2503,$E$4:$E$2503,$E533,$Z$4:$Z$2503,"正常"))</f>
        <v/>
      </c>
      <c r="R533" s="26">
        <f>IF($G533="","",SUMIFS(费用台账!$I$4:$I$503,费用台账!$C$4:$C$503,$E533,费用台账!$J$4:$J$503,"是",费用台账!$K$4:$K$503,"正常"))</f>
        <v/>
      </c>
      <c r="S533" s="28">
        <f>IF($G533="","",COUNTIFS($E$4:$E$2503,$E533,$Z$4:$Z$2503,"正常",$Y$4:$Y$2503,"待补价"))</f>
        <v/>
      </c>
      <c r="T533" s="26">
        <f>IF($G533="","",SUMIFS($P$4:$P$2503,$E$4:$E$2503,$E533,$Z$4:$Z$2503,"正常",$A$4:$A$2503,"&lt;="&amp;$A533))</f>
        <v/>
      </c>
      <c r="U533" s="26">
        <f>IF($G533="","",IF(OR($S533&gt;0,$Q533=0,$R533=0,$Z533&lt;&gt;"正常"),0,ROUND($T533/$Q533*$R533,0)-ROUND(($T533-$P533)/$Q533*$R533,0)))</f>
        <v/>
      </c>
      <c r="V533" s="26">
        <f>IF($G533="","",ROUND($P533+$U533,0))</f>
        <v/>
      </c>
      <c r="W533" s="26">
        <f>IF($G533="","",IF(N($K533)=0,0,ROUND($V533/$K533,2)))</f>
        <v/>
      </c>
      <c r="X533" s="17" t="inlineStr">
        <is>
          <t>采购入库</t>
        </is>
      </c>
      <c r="Y533" s="17" t="inlineStr">
        <is>
          <t>待补价</t>
        </is>
      </c>
      <c r="Z533" s="17" t="inlineStr">
        <is>
          <t>正常</t>
        </is>
      </c>
      <c r="AA533" s="17" t="n"/>
      <c r="AB533" s="17" t="inlineStr">
        <is>
          <t>原表第 539 行</t>
        </is>
      </c>
      <c r="AC533" s="24">
        <f>IF($G533="","",IF($H533="※编码不在物料档案里","※物料编码不在档案里",IF(N($K533)&lt;=0,"※入库数量要大于 0",IF(AND($C533&lt;&gt;"",$C533&lt;=结账锁),"※日期早于已结账截止日，不能再录",IF(AND($L533=0,$X533="正常"),"※没填单价，价格状态请选「待补价」",IF(AND($S533&gt;0,$R533&gt;0),"△本批有 "&amp;$S533&amp;" 行没单价，整批运费先挂账没摊",IF(AND($B533&lt;&gt;"",COUNTIF($B$4:$B$2503,$B533)&gt;1),"※入库单号重复","")))))))</f>
        <v/>
      </c>
    </row>
    <row r="534">
      <c r="A534" s="24">
        <f>IF($G534="","",COUNTA($G$4:$G534))</f>
        <v/>
      </c>
      <c r="B534" s="17" t="n"/>
      <c r="C534" s="30" t="n">
        <v>46108</v>
      </c>
      <c r="D534" s="17" t="inlineStr">
        <is>
          <t>A国内</t>
        </is>
      </c>
      <c r="E534" s="17" t="inlineStr">
        <is>
          <t>CBHU8968633-202603</t>
        </is>
      </c>
      <c r="F534" s="17" t="inlineStr">
        <is>
          <t>烟台市金豪矿山机械有限公司</t>
        </is>
      </c>
      <c r="G534" s="17" t="inlineStr">
        <is>
          <t>JH0469</t>
        </is>
      </c>
      <c r="H534" s="24">
        <f>IF($G534="","",IFERROR(VLOOKUP($G534,物料档案!$A$4:$P$1203,3,0),"※编码不在物料档案里"))</f>
        <v/>
      </c>
      <c r="I534" s="24">
        <f>IF($G534="","",IFERROR(VLOOKUP($G534,物料档案!$A$4:$P$1203,4,0),"※编码不在物料档案里"))</f>
        <v/>
      </c>
      <c r="J534" s="24">
        <f>IF($G534="","",IFERROR(VLOOKUP($G534,物料档案!$A$4:$P$1203,5,0),"※编码不在物料档案里"))</f>
        <v/>
      </c>
      <c r="K534" s="23" t="n">
        <v>1</v>
      </c>
      <c r="L534" s="31" t="n"/>
      <c r="M534" s="24">
        <f>IF($G534="","",IF($D534="A国内","CNY","TZS"))</f>
        <v/>
      </c>
      <c r="N534" s="28">
        <f>IF($G534="","",IF($D534="A国内",汇率,1))</f>
        <v/>
      </c>
      <c r="O534" s="25">
        <f>IF($G534="","",ROUND(N($K534)*N($L534),2))</f>
        <v/>
      </c>
      <c r="P534" s="26">
        <f>IF($G534="","",ROUND($O534*$N534,0))</f>
        <v/>
      </c>
      <c r="Q534" s="26">
        <f>IF($G534="","",SUMIFS($P$4:$P$2503,$E$4:$E$2503,$E534,$Z$4:$Z$2503,"正常"))</f>
        <v/>
      </c>
      <c r="R534" s="26">
        <f>IF($G534="","",SUMIFS(费用台账!$I$4:$I$503,费用台账!$C$4:$C$503,$E534,费用台账!$J$4:$J$503,"是",费用台账!$K$4:$K$503,"正常"))</f>
        <v/>
      </c>
      <c r="S534" s="28">
        <f>IF($G534="","",COUNTIFS($E$4:$E$2503,$E534,$Z$4:$Z$2503,"正常",$Y$4:$Y$2503,"待补价"))</f>
        <v/>
      </c>
      <c r="T534" s="26">
        <f>IF($G534="","",SUMIFS($P$4:$P$2503,$E$4:$E$2503,$E534,$Z$4:$Z$2503,"正常",$A$4:$A$2503,"&lt;="&amp;$A534))</f>
        <v/>
      </c>
      <c r="U534" s="26">
        <f>IF($G534="","",IF(OR($S534&gt;0,$Q534=0,$R534=0,$Z534&lt;&gt;"正常"),0,ROUND($T534/$Q534*$R534,0)-ROUND(($T534-$P534)/$Q534*$R534,0)))</f>
        <v/>
      </c>
      <c r="V534" s="26">
        <f>IF($G534="","",ROUND($P534+$U534,0))</f>
        <v/>
      </c>
      <c r="W534" s="26">
        <f>IF($G534="","",IF(N($K534)=0,0,ROUND($V534/$K534,2)))</f>
        <v/>
      </c>
      <c r="X534" s="17" t="inlineStr">
        <is>
          <t>采购入库</t>
        </is>
      </c>
      <c r="Y534" s="17" t="inlineStr">
        <is>
          <t>待补价</t>
        </is>
      </c>
      <c r="Z534" s="17" t="inlineStr">
        <is>
          <t>正常</t>
        </is>
      </c>
      <c r="AA534" s="17" t="n"/>
      <c r="AB534" s="17" t="inlineStr">
        <is>
          <t>原表第 540 行</t>
        </is>
      </c>
      <c r="AC534" s="24">
        <f>IF($G534="","",IF($H534="※编码不在物料档案里","※物料编码不在档案里",IF(N($K534)&lt;=0,"※入库数量要大于 0",IF(AND($C534&lt;&gt;"",$C534&lt;=结账锁),"※日期早于已结账截止日，不能再录",IF(AND($L534=0,$X534="正常"),"※没填单价，价格状态请选「待补价」",IF(AND($S534&gt;0,$R534&gt;0),"△本批有 "&amp;$S534&amp;" 行没单价，整批运费先挂账没摊",IF(AND($B534&lt;&gt;"",COUNTIF($B$4:$B$2503,$B534)&gt;1),"※入库单号重复","")))))))</f>
        <v/>
      </c>
    </row>
    <row r="535">
      <c r="A535" s="24">
        <f>IF($G535="","",COUNTA($G$4:$G535))</f>
        <v/>
      </c>
      <c r="B535" s="17" t="n"/>
      <c r="C535" s="30" t="n">
        <v>46108</v>
      </c>
      <c r="D535" s="17" t="inlineStr">
        <is>
          <t>A国内</t>
        </is>
      </c>
      <c r="E535" s="17" t="inlineStr">
        <is>
          <t>CBHU8968633-202603</t>
        </is>
      </c>
      <c r="F535" s="17" t="inlineStr">
        <is>
          <t>烟台市金豪矿山机械有限公司</t>
        </is>
      </c>
      <c r="G535" s="17" t="inlineStr">
        <is>
          <t>JH0473</t>
        </is>
      </c>
      <c r="H535" s="24">
        <f>IF($G535="","",IFERROR(VLOOKUP($G535,物料档案!$A$4:$P$1203,3,0),"※编码不在物料档案里"))</f>
        <v/>
      </c>
      <c r="I535" s="24">
        <f>IF($G535="","",IFERROR(VLOOKUP($G535,物料档案!$A$4:$P$1203,4,0),"※编码不在物料档案里"))</f>
        <v/>
      </c>
      <c r="J535" s="24">
        <f>IF($G535="","",IFERROR(VLOOKUP($G535,物料档案!$A$4:$P$1203,5,0),"※编码不在物料档案里"))</f>
        <v/>
      </c>
      <c r="K535" s="23" t="n">
        <v>1</v>
      </c>
      <c r="L535" s="31" t="n"/>
      <c r="M535" s="24">
        <f>IF($G535="","",IF($D535="A国内","CNY","TZS"))</f>
        <v/>
      </c>
      <c r="N535" s="28">
        <f>IF($G535="","",IF($D535="A国内",汇率,1))</f>
        <v/>
      </c>
      <c r="O535" s="25">
        <f>IF($G535="","",ROUND(N($K535)*N($L535),2))</f>
        <v/>
      </c>
      <c r="P535" s="26">
        <f>IF($G535="","",ROUND($O535*$N535,0))</f>
        <v/>
      </c>
      <c r="Q535" s="26">
        <f>IF($G535="","",SUMIFS($P$4:$P$2503,$E$4:$E$2503,$E535,$Z$4:$Z$2503,"正常"))</f>
        <v/>
      </c>
      <c r="R535" s="26">
        <f>IF($G535="","",SUMIFS(费用台账!$I$4:$I$503,费用台账!$C$4:$C$503,$E535,费用台账!$J$4:$J$503,"是",费用台账!$K$4:$K$503,"正常"))</f>
        <v/>
      </c>
      <c r="S535" s="28">
        <f>IF($G535="","",COUNTIFS($E$4:$E$2503,$E535,$Z$4:$Z$2503,"正常",$Y$4:$Y$2503,"待补价"))</f>
        <v/>
      </c>
      <c r="T535" s="26">
        <f>IF($G535="","",SUMIFS($P$4:$P$2503,$E$4:$E$2503,$E535,$Z$4:$Z$2503,"正常",$A$4:$A$2503,"&lt;="&amp;$A535))</f>
        <v/>
      </c>
      <c r="U535" s="26">
        <f>IF($G535="","",IF(OR($S535&gt;0,$Q535=0,$R535=0,$Z535&lt;&gt;"正常"),0,ROUND($T535/$Q535*$R535,0)-ROUND(($T535-$P535)/$Q535*$R535,0)))</f>
        <v/>
      </c>
      <c r="V535" s="26">
        <f>IF($G535="","",ROUND($P535+$U535,0))</f>
        <v/>
      </c>
      <c r="W535" s="26">
        <f>IF($G535="","",IF(N($K535)=0,0,ROUND($V535/$K535,2)))</f>
        <v/>
      </c>
      <c r="X535" s="17" t="inlineStr">
        <is>
          <t>采购入库</t>
        </is>
      </c>
      <c r="Y535" s="17" t="inlineStr">
        <is>
          <t>待补价</t>
        </is>
      </c>
      <c r="Z535" s="17" t="inlineStr">
        <is>
          <t>正常</t>
        </is>
      </c>
      <c r="AA535" s="17" t="n"/>
      <c r="AB535" s="17" t="inlineStr">
        <is>
          <t>原表第 541 行</t>
        </is>
      </c>
      <c r="AC535" s="24">
        <f>IF($G535="","",IF($H535="※编码不在物料档案里","※物料编码不在档案里",IF(N($K535)&lt;=0,"※入库数量要大于 0",IF(AND($C535&lt;&gt;"",$C535&lt;=结账锁),"※日期早于已结账截止日，不能再录",IF(AND($L535=0,$X535="正常"),"※没填单价，价格状态请选「待补价」",IF(AND($S535&gt;0,$R535&gt;0),"△本批有 "&amp;$S535&amp;" 行没单价，整批运费先挂账没摊",IF(AND($B535&lt;&gt;"",COUNTIF($B$4:$B$2503,$B535)&gt;1),"※入库单号重复","")))))))</f>
        <v/>
      </c>
    </row>
    <row r="536">
      <c r="A536" s="24">
        <f>IF($G536="","",COUNTA($G$4:$G536))</f>
        <v/>
      </c>
      <c r="B536" s="17" t="n"/>
      <c r="C536" s="30" t="n">
        <v>46108</v>
      </c>
      <c r="D536" s="17" t="inlineStr">
        <is>
          <t>A国内</t>
        </is>
      </c>
      <c r="E536" s="17" t="inlineStr">
        <is>
          <t>CBHU8968633-202603</t>
        </is>
      </c>
      <c r="F536" s="17" t="inlineStr">
        <is>
          <t>烟台市金豪矿山机械有限公司</t>
        </is>
      </c>
      <c r="G536" s="17" t="inlineStr">
        <is>
          <t>JH0474</t>
        </is>
      </c>
      <c r="H536" s="24">
        <f>IF($G536="","",IFERROR(VLOOKUP($G536,物料档案!$A$4:$P$1203,3,0),"※编码不在物料档案里"))</f>
        <v/>
      </c>
      <c r="I536" s="24">
        <f>IF($G536="","",IFERROR(VLOOKUP($G536,物料档案!$A$4:$P$1203,4,0),"※编码不在物料档案里"))</f>
        <v/>
      </c>
      <c r="J536" s="24">
        <f>IF($G536="","",IFERROR(VLOOKUP($G536,物料档案!$A$4:$P$1203,5,0),"※编码不在物料档案里"))</f>
        <v/>
      </c>
      <c r="K536" s="23" t="n">
        <v>1</v>
      </c>
      <c r="L536" s="31" t="n"/>
      <c r="M536" s="24">
        <f>IF($G536="","",IF($D536="A国内","CNY","TZS"))</f>
        <v/>
      </c>
      <c r="N536" s="28">
        <f>IF($G536="","",IF($D536="A国内",汇率,1))</f>
        <v/>
      </c>
      <c r="O536" s="25">
        <f>IF($G536="","",ROUND(N($K536)*N($L536),2))</f>
        <v/>
      </c>
      <c r="P536" s="26">
        <f>IF($G536="","",ROUND($O536*$N536,0))</f>
        <v/>
      </c>
      <c r="Q536" s="26">
        <f>IF($G536="","",SUMIFS($P$4:$P$2503,$E$4:$E$2503,$E536,$Z$4:$Z$2503,"正常"))</f>
        <v/>
      </c>
      <c r="R536" s="26">
        <f>IF($G536="","",SUMIFS(费用台账!$I$4:$I$503,费用台账!$C$4:$C$503,$E536,费用台账!$J$4:$J$503,"是",费用台账!$K$4:$K$503,"正常"))</f>
        <v/>
      </c>
      <c r="S536" s="28">
        <f>IF($G536="","",COUNTIFS($E$4:$E$2503,$E536,$Z$4:$Z$2503,"正常",$Y$4:$Y$2503,"待补价"))</f>
        <v/>
      </c>
      <c r="T536" s="26">
        <f>IF($G536="","",SUMIFS($P$4:$P$2503,$E$4:$E$2503,$E536,$Z$4:$Z$2503,"正常",$A$4:$A$2503,"&lt;="&amp;$A536))</f>
        <v/>
      </c>
      <c r="U536" s="26">
        <f>IF($G536="","",IF(OR($S536&gt;0,$Q536=0,$R536=0,$Z536&lt;&gt;"正常"),0,ROUND($T536/$Q536*$R536,0)-ROUND(($T536-$P536)/$Q536*$R536,0)))</f>
        <v/>
      </c>
      <c r="V536" s="26">
        <f>IF($G536="","",ROUND($P536+$U536,0))</f>
        <v/>
      </c>
      <c r="W536" s="26">
        <f>IF($G536="","",IF(N($K536)=0,0,ROUND($V536/$K536,2)))</f>
        <v/>
      </c>
      <c r="X536" s="17" t="inlineStr">
        <is>
          <t>采购入库</t>
        </is>
      </c>
      <c r="Y536" s="17" t="inlineStr">
        <is>
          <t>待补价</t>
        </is>
      </c>
      <c r="Z536" s="17" t="inlineStr">
        <is>
          <t>正常</t>
        </is>
      </c>
      <c r="AA536" s="17" t="n"/>
      <c r="AB536" s="17" t="inlineStr">
        <is>
          <t>原表第 542 行</t>
        </is>
      </c>
      <c r="AC536" s="24">
        <f>IF($G536="","",IF($H536="※编码不在物料档案里","※物料编码不在档案里",IF(N($K536)&lt;=0,"※入库数量要大于 0",IF(AND($C536&lt;&gt;"",$C536&lt;=结账锁),"※日期早于已结账截止日，不能再录",IF(AND($L536=0,$X536="正常"),"※没填单价，价格状态请选「待补价」",IF(AND($S536&gt;0,$R536&gt;0),"△本批有 "&amp;$S536&amp;" 行没单价，整批运费先挂账没摊",IF(AND($B536&lt;&gt;"",COUNTIF($B$4:$B$2503,$B536)&gt;1),"※入库单号重复","")))))))</f>
        <v/>
      </c>
    </row>
    <row r="537">
      <c r="A537" s="24">
        <f>IF($G537="","",COUNTA($G$4:$G537))</f>
        <v/>
      </c>
      <c r="B537" s="17" t="n"/>
      <c r="C537" s="30" t="n">
        <v>46108</v>
      </c>
      <c r="D537" s="17" t="inlineStr">
        <is>
          <t>A国内</t>
        </is>
      </c>
      <c r="E537" s="17" t="inlineStr">
        <is>
          <t>CBHU8968633-202603</t>
        </is>
      </c>
      <c r="F537" s="17" t="inlineStr">
        <is>
          <t>烟台市金豪矿山机械有限公司</t>
        </is>
      </c>
      <c r="G537" s="17" t="inlineStr">
        <is>
          <t>JH0475</t>
        </is>
      </c>
      <c r="H537" s="24">
        <f>IF($G537="","",IFERROR(VLOOKUP($G537,物料档案!$A$4:$P$1203,3,0),"※编码不在物料档案里"))</f>
        <v/>
      </c>
      <c r="I537" s="24">
        <f>IF($G537="","",IFERROR(VLOOKUP($G537,物料档案!$A$4:$P$1203,4,0),"※编码不在物料档案里"))</f>
        <v/>
      </c>
      <c r="J537" s="24">
        <f>IF($G537="","",IFERROR(VLOOKUP($G537,物料档案!$A$4:$P$1203,5,0),"※编码不在物料档案里"))</f>
        <v/>
      </c>
      <c r="K537" s="23" t="n">
        <v>1</v>
      </c>
      <c r="L537" s="31" t="n"/>
      <c r="M537" s="24">
        <f>IF($G537="","",IF($D537="A国内","CNY","TZS"))</f>
        <v/>
      </c>
      <c r="N537" s="28">
        <f>IF($G537="","",IF($D537="A国内",汇率,1))</f>
        <v/>
      </c>
      <c r="O537" s="25">
        <f>IF($G537="","",ROUND(N($K537)*N($L537),2))</f>
        <v/>
      </c>
      <c r="P537" s="26">
        <f>IF($G537="","",ROUND($O537*$N537,0))</f>
        <v/>
      </c>
      <c r="Q537" s="26">
        <f>IF($G537="","",SUMIFS($P$4:$P$2503,$E$4:$E$2503,$E537,$Z$4:$Z$2503,"正常"))</f>
        <v/>
      </c>
      <c r="R537" s="26">
        <f>IF($G537="","",SUMIFS(费用台账!$I$4:$I$503,费用台账!$C$4:$C$503,$E537,费用台账!$J$4:$J$503,"是",费用台账!$K$4:$K$503,"正常"))</f>
        <v/>
      </c>
      <c r="S537" s="28">
        <f>IF($G537="","",COUNTIFS($E$4:$E$2503,$E537,$Z$4:$Z$2503,"正常",$Y$4:$Y$2503,"待补价"))</f>
        <v/>
      </c>
      <c r="T537" s="26">
        <f>IF($G537="","",SUMIFS($P$4:$P$2503,$E$4:$E$2503,$E537,$Z$4:$Z$2503,"正常",$A$4:$A$2503,"&lt;="&amp;$A537))</f>
        <v/>
      </c>
      <c r="U537" s="26">
        <f>IF($G537="","",IF(OR($S537&gt;0,$Q537=0,$R537=0,$Z537&lt;&gt;"正常"),0,ROUND($T537/$Q537*$R537,0)-ROUND(($T537-$P537)/$Q537*$R537,0)))</f>
        <v/>
      </c>
      <c r="V537" s="26">
        <f>IF($G537="","",ROUND($P537+$U537,0))</f>
        <v/>
      </c>
      <c r="W537" s="26">
        <f>IF($G537="","",IF(N($K537)=0,0,ROUND($V537/$K537,2)))</f>
        <v/>
      </c>
      <c r="X537" s="17" t="inlineStr">
        <is>
          <t>采购入库</t>
        </is>
      </c>
      <c r="Y537" s="17" t="inlineStr">
        <is>
          <t>待补价</t>
        </is>
      </c>
      <c r="Z537" s="17" t="inlineStr">
        <is>
          <t>正常</t>
        </is>
      </c>
      <c r="AA537" s="17" t="n"/>
      <c r="AB537" s="17" t="inlineStr">
        <is>
          <t>原表第 543 行</t>
        </is>
      </c>
      <c r="AC537" s="24">
        <f>IF($G537="","",IF($H537="※编码不在物料档案里","※物料编码不在档案里",IF(N($K537)&lt;=0,"※入库数量要大于 0",IF(AND($C537&lt;&gt;"",$C537&lt;=结账锁),"※日期早于已结账截止日，不能再录",IF(AND($L537=0,$X537="正常"),"※没填单价，价格状态请选「待补价」",IF(AND($S537&gt;0,$R537&gt;0),"△本批有 "&amp;$S537&amp;" 行没单价，整批运费先挂账没摊",IF(AND($B537&lt;&gt;"",COUNTIF($B$4:$B$2503,$B537)&gt;1),"※入库单号重复","")))))))</f>
        <v/>
      </c>
    </row>
    <row r="538">
      <c r="A538" s="24">
        <f>IF($G538="","",COUNTA($G$4:$G538))</f>
        <v/>
      </c>
      <c r="B538" s="17" t="n"/>
      <c r="C538" s="30" t="n">
        <v>46108</v>
      </c>
      <c r="D538" s="17" t="inlineStr">
        <is>
          <t>A国内</t>
        </is>
      </c>
      <c r="E538" s="17" t="inlineStr">
        <is>
          <t>CBHU8968633-202603</t>
        </is>
      </c>
      <c r="F538" s="17" t="inlineStr">
        <is>
          <t>烟台市金豪矿山机械有限公司</t>
        </is>
      </c>
      <c r="G538" s="17" t="inlineStr">
        <is>
          <t>JH0468</t>
        </is>
      </c>
      <c r="H538" s="24">
        <f>IF($G538="","",IFERROR(VLOOKUP($G538,物料档案!$A$4:$P$1203,3,0),"※编码不在物料档案里"))</f>
        <v/>
      </c>
      <c r="I538" s="24">
        <f>IF($G538="","",IFERROR(VLOOKUP($G538,物料档案!$A$4:$P$1203,4,0),"※编码不在物料档案里"))</f>
        <v/>
      </c>
      <c r="J538" s="24">
        <f>IF($G538="","",IFERROR(VLOOKUP($G538,物料档案!$A$4:$P$1203,5,0),"※编码不在物料档案里"))</f>
        <v/>
      </c>
      <c r="K538" s="23" t="n">
        <v>1</v>
      </c>
      <c r="L538" s="31" t="n"/>
      <c r="M538" s="24">
        <f>IF($G538="","",IF($D538="A国内","CNY","TZS"))</f>
        <v/>
      </c>
      <c r="N538" s="28">
        <f>IF($G538="","",IF($D538="A国内",汇率,1))</f>
        <v/>
      </c>
      <c r="O538" s="25">
        <f>IF($G538="","",ROUND(N($K538)*N($L538),2))</f>
        <v/>
      </c>
      <c r="P538" s="26">
        <f>IF($G538="","",ROUND($O538*$N538,0))</f>
        <v/>
      </c>
      <c r="Q538" s="26">
        <f>IF($G538="","",SUMIFS($P$4:$P$2503,$E$4:$E$2503,$E538,$Z$4:$Z$2503,"正常"))</f>
        <v/>
      </c>
      <c r="R538" s="26">
        <f>IF($G538="","",SUMIFS(费用台账!$I$4:$I$503,费用台账!$C$4:$C$503,$E538,费用台账!$J$4:$J$503,"是",费用台账!$K$4:$K$503,"正常"))</f>
        <v/>
      </c>
      <c r="S538" s="28">
        <f>IF($G538="","",COUNTIFS($E$4:$E$2503,$E538,$Z$4:$Z$2503,"正常",$Y$4:$Y$2503,"待补价"))</f>
        <v/>
      </c>
      <c r="T538" s="26">
        <f>IF($G538="","",SUMIFS($P$4:$P$2503,$E$4:$E$2503,$E538,$Z$4:$Z$2503,"正常",$A$4:$A$2503,"&lt;="&amp;$A538))</f>
        <v/>
      </c>
      <c r="U538" s="26">
        <f>IF($G538="","",IF(OR($S538&gt;0,$Q538=0,$R538=0,$Z538&lt;&gt;"正常"),0,ROUND($T538/$Q538*$R538,0)-ROUND(($T538-$P538)/$Q538*$R538,0)))</f>
        <v/>
      </c>
      <c r="V538" s="26">
        <f>IF($G538="","",ROUND($P538+$U538,0))</f>
        <v/>
      </c>
      <c r="W538" s="26">
        <f>IF($G538="","",IF(N($K538)=0,0,ROUND($V538/$K538,2)))</f>
        <v/>
      </c>
      <c r="X538" s="17" t="inlineStr">
        <is>
          <t>采购入库</t>
        </is>
      </c>
      <c r="Y538" s="17" t="inlineStr">
        <is>
          <t>待补价</t>
        </is>
      </c>
      <c r="Z538" s="17" t="inlineStr">
        <is>
          <t>正常</t>
        </is>
      </c>
      <c r="AA538" s="17" t="n"/>
      <c r="AB538" s="17" t="inlineStr">
        <is>
          <t>原表第 544 行</t>
        </is>
      </c>
      <c r="AC538" s="24">
        <f>IF($G538="","",IF($H538="※编码不在物料档案里","※物料编码不在档案里",IF(N($K538)&lt;=0,"※入库数量要大于 0",IF(AND($C538&lt;&gt;"",$C538&lt;=结账锁),"※日期早于已结账截止日，不能再录",IF(AND($L538=0,$X538="正常"),"※没填单价，价格状态请选「待补价」",IF(AND($S538&gt;0,$R538&gt;0),"△本批有 "&amp;$S538&amp;" 行没单价，整批运费先挂账没摊",IF(AND($B538&lt;&gt;"",COUNTIF($B$4:$B$2503,$B538)&gt;1),"※入库单号重复","")))))))</f>
        <v/>
      </c>
    </row>
    <row r="539">
      <c r="A539" s="24">
        <f>IF($G539="","",COUNTA($G$4:$G539))</f>
        <v/>
      </c>
      <c r="B539" s="17" t="n"/>
      <c r="C539" s="30" t="n">
        <v>46108</v>
      </c>
      <c r="D539" s="17" t="inlineStr">
        <is>
          <t>A国内</t>
        </is>
      </c>
      <c r="E539" s="17" t="inlineStr">
        <is>
          <t>CBHU8968633-202603</t>
        </is>
      </c>
      <c r="F539" s="17" t="inlineStr">
        <is>
          <t>烟台市金豪矿山机械有限公司</t>
        </is>
      </c>
      <c r="G539" s="17" t="inlineStr">
        <is>
          <t>JH0476</t>
        </is>
      </c>
      <c r="H539" s="24">
        <f>IF($G539="","",IFERROR(VLOOKUP($G539,物料档案!$A$4:$P$1203,3,0),"※编码不在物料档案里"))</f>
        <v/>
      </c>
      <c r="I539" s="24">
        <f>IF($G539="","",IFERROR(VLOOKUP($G539,物料档案!$A$4:$P$1203,4,0),"※编码不在物料档案里"))</f>
        <v/>
      </c>
      <c r="J539" s="24">
        <f>IF($G539="","",IFERROR(VLOOKUP($G539,物料档案!$A$4:$P$1203,5,0),"※编码不在物料档案里"))</f>
        <v/>
      </c>
      <c r="K539" s="23" t="n">
        <v>1</v>
      </c>
      <c r="L539" s="31" t="n"/>
      <c r="M539" s="24">
        <f>IF($G539="","",IF($D539="A国内","CNY","TZS"))</f>
        <v/>
      </c>
      <c r="N539" s="28">
        <f>IF($G539="","",IF($D539="A国内",汇率,1))</f>
        <v/>
      </c>
      <c r="O539" s="25">
        <f>IF($G539="","",ROUND(N($K539)*N($L539),2))</f>
        <v/>
      </c>
      <c r="P539" s="26">
        <f>IF($G539="","",ROUND($O539*$N539,0))</f>
        <v/>
      </c>
      <c r="Q539" s="26">
        <f>IF($G539="","",SUMIFS($P$4:$P$2503,$E$4:$E$2503,$E539,$Z$4:$Z$2503,"正常"))</f>
        <v/>
      </c>
      <c r="R539" s="26">
        <f>IF($G539="","",SUMIFS(费用台账!$I$4:$I$503,费用台账!$C$4:$C$503,$E539,费用台账!$J$4:$J$503,"是",费用台账!$K$4:$K$503,"正常"))</f>
        <v/>
      </c>
      <c r="S539" s="28">
        <f>IF($G539="","",COUNTIFS($E$4:$E$2503,$E539,$Z$4:$Z$2503,"正常",$Y$4:$Y$2503,"待补价"))</f>
        <v/>
      </c>
      <c r="T539" s="26">
        <f>IF($G539="","",SUMIFS($P$4:$P$2503,$E$4:$E$2503,$E539,$Z$4:$Z$2503,"正常",$A$4:$A$2503,"&lt;="&amp;$A539))</f>
        <v/>
      </c>
      <c r="U539" s="26">
        <f>IF($G539="","",IF(OR($S539&gt;0,$Q539=0,$R539=0,$Z539&lt;&gt;"正常"),0,ROUND($T539/$Q539*$R539,0)-ROUND(($T539-$P539)/$Q539*$R539,0)))</f>
        <v/>
      </c>
      <c r="V539" s="26">
        <f>IF($G539="","",ROUND($P539+$U539,0))</f>
        <v/>
      </c>
      <c r="W539" s="26">
        <f>IF($G539="","",IF(N($K539)=0,0,ROUND($V539/$K539,2)))</f>
        <v/>
      </c>
      <c r="X539" s="17" t="inlineStr">
        <is>
          <t>采购入库</t>
        </is>
      </c>
      <c r="Y539" s="17" t="inlineStr">
        <is>
          <t>待补价</t>
        </is>
      </c>
      <c r="Z539" s="17" t="inlineStr">
        <is>
          <t>正常</t>
        </is>
      </c>
      <c r="AA539" s="17" t="n"/>
      <c r="AB539" s="17" t="inlineStr">
        <is>
          <t>原表第 545 行</t>
        </is>
      </c>
      <c r="AC539" s="24">
        <f>IF($G539="","",IF($H539="※编码不在物料档案里","※物料编码不在档案里",IF(N($K539)&lt;=0,"※入库数量要大于 0",IF(AND($C539&lt;&gt;"",$C539&lt;=结账锁),"※日期早于已结账截止日，不能再录",IF(AND($L539=0,$X539="正常"),"※没填单价，价格状态请选「待补价」",IF(AND($S539&gt;0,$R539&gt;0),"△本批有 "&amp;$S539&amp;" 行没单价，整批运费先挂账没摊",IF(AND($B539&lt;&gt;"",COUNTIF($B$4:$B$2503,$B539)&gt;1),"※入库单号重复","")))))))</f>
        <v/>
      </c>
    </row>
    <row r="540">
      <c r="A540" s="24">
        <f>IF($G540="","",COUNTA($G$4:$G540))</f>
        <v/>
      </c>
      <c r="B540" s="17" t="n"/>
      <c r="C540" s="30" t="n">
        <v>46108</v>
      </c>
      <c r="D540" s="17" t="inlineStr">
        <is>
          <t>A国内</t>
        </is>
      </c>
      <c r="E540" s="17" t="inlineStr">
        <is>
          <t>CBHU8968633-202603</t>
        </is>
      </c>
      <c r="F540" s="17" t="inlineStr">
        <is>
          <t>烟台市金豪矿山机械有限公司</t>
        </is>
      </c>
      <c r="G540" s="17" t="inlineStr">
        <is>
          <t>JH0477</t>
        </is>
      </c>
      <c r="H540" s="24">
        <f>IF($G540="","",IFERROR(VLOOKUP($G540,物料档案!$A$4:$P$1203,3,0),"※编码不在物料档案里"))</f>
        <v/>
      </c>
      <c r="I540" s="24">
        <f>IF($G540="","",IFERROR(VLOOKUP($G540,物料档案!$A$4:$P$1203,4,0),"※编码不在物料档案里"))</f>
        <v/>
      </c>
      <c r="J540" s="24">
        <f>IF($G540="","",IFERROR(VLOOKUP($G540,物料档案!$A$4:$P$1203,5,0),"※编码不在物料档案里"))</f>
        <v/>
      </c>
      <c r="K540" s="23" t="n">
        <v>24</v>
      </c>
      <c r="L540" s="31" t="n"/>
      <c r="M540" s="24">
        <f>IF($G540="","",IF($D540="A国内","CNY","TZS"))</f>
        <v/>
      </c>
      <c r="N540" s="28">
        <f>IF($G540="","",IF($D540="A国内",汇率,1))</f>
        <v/>
      </c>
      <c r="O540" s="25">
        <f>IF($G540="","",ROUND(N($K540)*N($L540),2))</f>
        <v/>
      </c>
      <c r="P540" s="26">
        <f>IF($G540="","",ROUND($O540*$N540,0))</f>
        <v/>
      </c>
      <c r="Q540" s="26">
        <f>IF($G540="","",SUMIFS($P$4:$P$2503,$E$4:$E$2503,$E540,$Z$4:$Z$2503,"正常"))</f>
        <v/>
      </c>
      <c r="R540" s="26">
        <f>IF($G540="","",SUMIFS(费用台账!$I$4:$I$503,费用台账!$C$4:$C$503,$E540,费用台账!$J$4:$J$503,"是",费用台账!$K$4:$K$503,"正常"))</f>
        <v/>
      </c>
      <c r="S540" s="28">
        <f>IF($G540="","",COUNTIFS($E$4:$E$2503,$E540,$Z$4:$Z$2503,"正常",$Y$4:$Y$2503,"待补价"))</f>
        <v/>
      </c>
      <c r="T540" s="26">
        <f>IF($G540="","",SUMIFS($P$4:$P$2503,$E$4:$E$2503,$E540,$Z$4:$Z$2503,"正常",$A$4:$A$2503,"&lt;="&amp;$A540))</f>
        <v/>
      </c>
      <c r="U540" s="26">
        <f>IF($G540="","",IF(OR($S540&gt;0,$Q540=0,$R540=0,$Z540&lt;&gt;"正常"),0,ROUND($T540/$Q540*$R540,0)-ROUND(($T540-$P540)/$Q540*$R540,0)))</f>
        <v/>
      </c>
      <c r="V540" s="26">
        <f>IF($G540="","",ROUND($P540+$U540,0))</f>
        <v/>
      </c>
      <c r="W540" s="26">
        <f>IF($G540="","",IF(N($K540)=0,0,ROUND($V540/$K540,2)))</f>
        <v/>
      </c>
      <c r="X540" s="17" t="inlineStr">
        <is>
          <t>采购入库</t>
        </is>
      </c>
      <c r="Y540" s="17" t="inlineStr">
        <is>
          <t>待补价</t>
        </is>
      </c>
      <c r="Z540" s="17" t="inlineStr">
        <is>
          <t>正常</t>
        </is>
      </c>
      <c r="AA540" s="17" t="n"/>
      <c r="AB540" s="17" t="inlineStr">
        <is>
          <t>原表第 546 行</t>
        </is>
      </c>
      <c r="AC540" s="24">
        <f>IF($G540="","",IF($H540="※编码不在物料档案里","※物料编码不在档案里",IF(N($K540)&lt;=0,"※入库数量要大于 0",IF(AND($C540&lt;&gt;"",$C540&lt;=结账锁),"※日期早于已结账截止日，不能再录",IF(AND($L540=0,$X540="正常"),"※没填单价，价格状态请选「待补价」",IF(AND($S540&gt;0,$R540&gt;0),"△本批有 "&amp;$S540&amp;" 行没单价，整批运费先挂账没摊",IF(AND($B540&lt;&gt;"",COUNTIF($B$4:$B$2503,$B540)&gt;1),"※入库单号重复","")))))))</f>
        <v/>
      </c>
    </row>
    <row r="541">
      <c r="A541" s="24">
        <f>IF($G541="","",COUNTA($G$4:$G541))</f>
        <v/>
      </c>
      <c r="B541" s="17" t="n"/>
      <c r="C541" s="30" t="n">
        <v>46108</v>
      </c>
      <c r="D541" s="17" t="inlineStr">
        <is>
          <t>A国内</t>
        </is>
      </c>
      <c r="E541" s="17" t="inlineStr">
        <is>
          <t>CBHU8968633-202603</t>
        </is>
      </c>
      <c r="F541" s="17" t="inlineStr">
        <is>
          <t>烟台市金豪矿山机械有限公司</t>
        </is>
      </c>
      <c r="G541" s="17" t="inlineStr">
        <is>
          <t>JH0478</t>
        </is>
      </c>
      <c r="H541" s="24">
        <f>IF($G541="","",IFERROR(VLOOKUP($G541,物料档案!$A$4:$P$1203,3,0),"※编码不在物料档案里"))</f>
        <v/>
      </c>
      <c r="I541" s="24">
        <f>IF($G541="","",IFERROR(VLOOKUP($G541,物料档案!$A$4:$P$1203,4,0),"※编码不在物料档案里"))</f>
        <v/>
      </c>
      <c r="J541" s="24">
        <f>IF($G541="","",IFERROR(VLOOKUP($G541,物料档案!$A$4:$P$1203,5,0),"※编码不在物料档案里"))</f>
        <v/>
      </c>
      <c r="K541" s="23" t="n">
        <v>50</v>
      </c>
      <c r="L541" s="31" t="n"/>
      <c r="M541" s="24">
        <f>IF($G541="","",IF($D541="A国内","CNY","TZS"))</f>
        <v/>
      </c>
      <c r="N541" s="28">
        <f>IF($G541="","",IF($D541="A国内",汇率,1))</f>
        <v/>
      </c>
      <c r="O541" s="25">
        <f>IF($G541="","",ROUND(N($K541)*N($L541),2))</f>
        <v/>
      </c>
      <c r="P541" s="26">
        <f>IF($G541="","",ROUND($O541*$N541,0))</f>
        <v/>
      </c>
      <c r="Q541" s="26">
        <f>IF($G541="","",SUMIFS($P$4:$P$2503,$E$4:$E$2503,$E541,$Z$4:$Z$2503,"正常"))</f>
        <v/>
      </c>
      <c r="R541" s="26">
        <f>IF($G541="","",SUMIFS(费用台账!$I$4:$I$503,费用台账!$C$4:$C$503,$E541,费用台账!$J$4:$J$503,"是",费用台账!$K$4:$K$503,"正常"))</f>
        <v/>
      </c>
      <c r="S541" s="28">
        <f>IF($G541="","",COUNTIFS($E$4:$E$2503,$E541,$Z$4:$Z$2503,"正常",$Y$4:$Y$2503,"待补价"))</f>
        <v/>
      </c>
      <c r="T541" s="26">
        <f>IF($G541="","",SUMIFS($P$4:$P$2503,$E$4:$E$2503,$E541,$Z$4:$Z$2503,"正常",$A$4:$A$2503,"&lt;="&amp;$A541))</f>
        <v/>
      </c>
      <c r="U541" s="26">
        <f>IF($G541="","",IF(OR($S541&gt;0,$Q541=0,$R541=0,$Z541&lt;&gt;"正常"),0,ROUND($T541/$Q541*$R541,0)-ROUND(($T541-$P541)/$Q541*$R541,0)))</f>
        <v/>
      </c>
      <c r="V541" s="26">
        <f>IF($G541="","",ROUND($P541+$U541,0))</f>
        <v/>
      </c>
      <c r="W541" s="26">
        <f>IF($G541="","",IF(N($K541)=0,0,ROUND($V541/$K541,2)))</f>
        <v/>
      </c>
      <c r="X541" s="17" t="inlineStr">
        <is>
          <t>采购入库</t>
        </is>
      </c>
      <c r="Y541" s="17" t="inlineStr">
        <is>
          <t>待补价</t>
        </is>
      </c>
      <c r="Z541" s="17" t="inlineStr">
        <is>
          <t>正常</t>
        </is>
      </c>
      <c r="AA541" s="17" t="n"/>
      <c r="AB541" s="17" t="inlineStr">
        <is>
          <t>原表第 547 行</t>
        </is>
      </c>
      <c r="AC541" s="24">
        <f>IF($G541="","",IF($H541="※编码不在物料档案里","※物料编码不在档案里",IF(N($K541)&lt;=0,"※入库数量要大于 0",IF(AND($C541&lt;&gt;"",$C541&lt;=结账锁),"※日期早于已结账截止日，不能再录",IF(AND($L541=0,$X541="正常"),"※没填单价，价格状态请选「待补价」",IF(AND($S541&gt;0,$R541&gt;0),"△本批有 "&amp;$S541&amp;" 行没单价，整批运费先挂账没摊",IF(AND($B541&lt;&gt;"",COUNTIF($B$4:$B$2503,$B541)&gt;1),"※入库单号重复","")))))))</f>
        <v/>
      </c>
    </row>
    <row r="542">
      <c r="A542" s="24">
        <f>IF($G542="","",COUNTA($G$4:$G542))</f>
        <v/>
      </c>
      <c r="B542" s="17" t="n"/>
      <c r="C542" s="30" t="n">
        <v>46108</v>
      </c>
      <c r="D542" s="17" t="inlineStr">
        <is>
          <t>A国内</t>
        </is>
      </c>
      <c r="E542" s="17" t="inlineStr">
        <is>
          <t>CBHU8968633-202603</t>
        </is>
      </c>
      <c r="F542" s="17" t="inlineStr">
        <is>
          <t>烟台市金豪矿山机械有限公司</t>
        </is>
      </c>
      <c r="G542" s="17" t="inlineStr">
        <is>
          <t>JH0479</t>
        </is>
      </c>
      <c r="H542" s="24">
        <f>IF($G542="","",IFERROR(VLOOKUP($G542,物料档案!$A$4:$P$1203,3,0),"※编码不在物料档案里"))</f>
        <v/>
      </c>
      <c r="I542" s="24">
        <f>IF($G542="","",IFERROR(VLOOKUP($G542,物料档案!$A$4:$P$1203,4,0),"※编码不在物料档案里"))</f>
        <v/>
      </c>
      <c r="J542" s="24">
        <f>IF($G542="","",IFERROR(VLOOKUP($G542,物料档案!$A$4:$P$1203,5,0),"※编码不在物料档案里"))</f>
        <v/>
      </c>
      <c r="K542" s="23" t="n">
        <v>50</v>
      </c>
      <c r="L542" s="31" t="n"/>
      <c r="M542" s="24">
        <f>IF($G542="","",IF($D542="A国内","CNY","TZS"))</f>
        <v/>
      </c>
      <c r="N542" s="28">
        <f>IF($G542="","",IF($D542="A国内",汇率,1))</f>
        <v/>
      </c>
      <c r="O542" s="25">
        <f>IF($G542="","",ROUND(N($K542)*N($L542),2))</f>
        <v/>
      </c>
      <c r="P542" s="26">
        <f>IF($G542="","",ROUND($O542*$N542,0))</f>
        <v/>
      </c>
      <c r="Q542" s="26">
        <f>IF($G542="","",SUMIFS($P$4:$P$2503,$E$4:$E$2503,$E542,$Z$4:$Z$2503,"正常"))</f>
        <v/>
      </c>
      <c r="R542" s="26">
        <f>IF($G542="","",SUMIFS(费用台账!$I$4:$I$503,费用台账!$C$4:$C$503,$E542,费用台账!$J$4:$J$503,"是",费用台账!$K$4:$K$503,"正常"))</f>
        <v/>
      </c>
      <c r="S542" s="28">
        <f>IF($G542="","",COUNTIFS($E$4:$E$2503,$E542,$Z$4:$Z$2503,"正常",$Y$4:$Y$2503,"待补价"))</f>
        <v/>
      </c>
      <c r="T542" s="26">
        <f>IF($G542="","",SUMIFS($P$4:$P$2503,$E$4:$E$2503,$E542,$Z$4:$Z$2503,"正常",$A$4:$A$2503,"&lt;="&amp;$A542))</f>
        <v/>
      </c>
      <c r="U542" s="26">
        <f>IF($G542="","",IF(OR($S542&gt;0,$Q542=0,$R542=0,$Z542&lt;&gt;"正常"),0,ROUND($T542/$Q542*$R542,0)-ROUND(($T542-$P542)/$Q542*$R542,0)))</f>
        <v/>
      </c>
      <c r="V542" s="26">
        <f>IF($G542="","",ROUND($P542+$U542,0))</f>
        <v/>
      </c>
      <c r="W542" s="26">
        <f>IF($G542="","",IF(N($K542)=0,0,ROUND($V542/$K542,2)))</f>
        <v/>
      </c>
      <c r="X542" s="17" t="inlineStr">
        <is>
          <t>采购入库</t>
        </is>
      </c>
      <c r="Y542" s="17" t="inlineStr">
        <is>
          <t>待补价</t>
        </is>
      </c>
      <c r="Z542" s="17" t="inlineStr">
        <is>
          <t>正常</t>
        </is>
      </c>
      <c r="AA542" s="17" t="n"/>
      <c r="AB542" s="17" t="inlineStr">
        <is>
          <t>原表第 548 行</t>
        </is>
      </c>
      <c r="AC542" s="24">
        <f>IF($G542="","",IF($H542="※编码不在物料档案里","※物料编码不在档案里",IF(N($K542)&lt;=0,"※入库数量要大于 0",IF(AND($C542&lt;&gt;"",$C542&lt;=结账锁),"※日期早于已结账截止日，不能再录",IF(AND($L542=0,$X542="正常"),"※没填单价，价格状态请选「待补价」",IF(AND($S542&gt;0,$R542&gt;0),"△本批有 "&amp;$S542&amp;" 行没单价，整批运费先挂账没摊",IF(AND($B542&lt;&gt;"",COUNTIF($B$4:$B$2503,$B542)&gt;1),"※入库单号重复","")))))))</f>
        <v/>
      </c>
    </row>
    <row r="543">
      <c r="A543" s="24">
        <f>IF($G543="","",COUNTA($G$4:$G543))</f>
        <v/>
      </c>
      <c r="B543" s="17" t="n"/>
      <c r="C543" s="30" t="n">
        <v>46108</v>
      </c>
      <c r="D543" s="17" t="inlineStr">
        <is>
          <t>A国内</t>
        </is>
      </c>
      <c r="E543" s="17" t="inlineStr">
        <is>
          <t>CBHU8968633-202603</t>
        </is>
      </c>
      <c r="F543" s="17" t="inlineStr">
        <is>
          <t>烟台市金豪矿山机械有限公司</t>
        </is>
      </c>
      <c r="G543" s="17" t="inlineStr">
        <is>
          <t>JH0480</t>
        </is>
      </c>
      <c r="H543" s="24">
        <f>IF($G543="","",IFERROR(VLOOKUP($G543,物料档案!$A$4:$P$1203,3,0),"※编码不在物料档案里"))</f>
        <v/>
      </c>
      <c r="I543" s="24">
        <f>IF($G543="","",IFERROR(VLOOKUP($G543,物料档案!$A$4:$P$1203,4,0),"※编码不在物料档案里"))</f>
        <v/>
      </c>
      <c r="J543" s="24">
        <f>IF($G543="","",IFERROR(VLOOKUP($G543,物料档案!$A$4:$P$1203,5,0),"※编码不在物料档案里"))</f>
        <v/>
      </c>
      <c r="K543" s="23" t="n">
        <v>450</v>
      </c>
      <c r="L543" s="31" t="n"/>
      <c r="M543" s="24">
        <f>IF($G543="","",IF($D543="A国内","CNY","TZS"))</f>
        <v/>
      </c>
      <c r="N543" s="28">
        <f>IF($G543="","",IF($D543="A国内",汇率,1))</f>
        <v/>
      </c>
      <c r="O543" s="25">
        <f>IF($G543="","",ROUND(N($K543)*N($L543),2))</f>
        <v/>
      </c>
      <c r="P543" s="26">
        <f>IF($G543="","",ROUND($O543*$N543,0))</f>
        <v/>
      </c>
      <c r="Q543" s="26">
        <f>IF($G543="","",SUMIFS($P$4:$P$2503,$E$4:$E$2503,$E543,$Z$4:$Z$2503,"正常"))</f>
        <v/>
      </c>
      <c r="R543" s="26">
        <f>IF($G543="","",SUMIFS(费用台账!$I$4:$I$503,费用台账!$C$4:$C$503,$E543,费用台账!$J$4:$J$503,"是",费用台账!$K$4:$K$503,"正常"))</f>
        <v/>
      </c>
      <c r="S543" s="28">
        <f>IF($G543="","",COUNTIFS($E$4:$E$2503,$E543,$Z$4:$Z$2503,"正常",$Y$4:$Y$2503,"待补价"))</f>
        <v/>
      </c>
      <c r="T543" s="26">
        <f>IF($G543="","",SUMIFS($P$4:$P$2503,$E$4:$E$2503,$E543,$Z$4:$Z$2503,"正常",$A$4:$A$2503,"&lt;="&amp;$A543))</f>
        <v/>
      </c>
      <c r="U543" s="26">
        <f>IF($G543="","",IF(OR($S543&gt;0,$Q543=0,$R543=0,$Z543&lt;&gt;"正常"),0,ROUND($T543/$Q543*$R543,0)-ROUND(($T543-$P543)/$Q543*$R543,0)))</f>
        <v/>
      </c>
      <c r="V543" s="26">
        <f>IF($G543="","",ROUND($P543+$U543,0))</f>
        <v/>
      </c>
      <c r="W543" s="26">
        <f>IF($G543="","",IF(N($K543)=0,0,ROUND($V543/$K543,2)))</f>
        <v/>
      </c>
      <c r="X543" s="17" t="inlineStr">
        <is>
          <t>采购入库</t>
        </is>
      </c>
      <c r="Y543" s="17" t="inlineStr">
        <is>
          <t>待补价</t>
        </is>
      </c>
      <c r="Z543" s="17" t="inlineStr">
        <is>
          <t>正常</t>
        </is>
      </c>
      <c r="AA543" s="17" t="n"/>
      <c r="AB543" s="17" t="inlineStr">
        <is>
          <t>原表第 549 行</t>
        </is>
      </c>
      <c r="AC543" s="24">
        <f>IF($G543="","",IF($H543="※编码不在物料档案里","※物料编码不在档案里",IF(N($K543)&lt;=0,"※入库数量要大于 0",IF(AND($C543&lt;&gt;"",$C543&lt;=结账锁),"※日期早于已结账截止日，不能再录",IF(AND($L543=0,$X543="正常"),"※没填单价，价格状态请选「待补价」",IF(AND($S543&gt;0,$R543&gt;0),"△本批有 "&amp;$S543&amp;" 行没单价，整批运费先挂账没摊",IF(AND($B543&lt;&gt;"",COUNTIF($B$4:$B$2503,$B543)&gt;1),"※入库单号重复","")))))))</f>
        <v/>
      </c>
    </row>
    <row r="544">
      <c r="A544" s="24">
        <f>IF($G544="","",COUNTA($G$4:$G544))</f>
        <v/>
      </c>
      <c r="B544" s="17" t="n"/>
      <c r="C544" s="30" t="n">
        <v>46108</v>
      </c>
      <c r="D544" s="17" t="inlineStr">
        <is>
          <t>A国内</t>
        </is>
      </c>
      <c r="E544" s="17" t="inlineStr">
        <is>
          <t>CBHU8968633-202603</t>
        </is>
      </c>
      <c r="F544" s="17" t="inlineStr">
        <is>
          <t>烟台市金豪矿山机械有限公司</t>
        </is>
      </c>
      <c r="G544" s="17" t="inlineStr">
        <is>
          <t>JH0481</t>
        </is>
      </c>
      <c r="H544" s="24">
        <f>IF($G544="","",IFERROR(VLOOKUP($G544,物料档案!$A$4:$P$1203,3,0),"※编码不在物料档案里"))</f>
        <v/>
      </c>
      <c r="I544" s="24">
        <f>IF($G544="","",IFERROR(VLOOKUP($G544,物料档案!$A$4:$P$1203,4,0),"※编码不在物料档案里"))</f>
        <v/>
      </c>
      <c r="J544" s="24">
        <f>IF($G544="","",IFERROR(VLOOKUP($G544,物料档案!$A$4:$P$1203,5,0),"※编码不在物料档案里"))</f>
        <v/>
      </c>
      <c r="K544" s="23" t="n">
        <v>112</v>
      </c>
      <c r="L544" s="31" t="n"/>
      <c r="M544" s="24">
        <f>IF($G544="","",IF($D544="A国内","CNY","TZS"))</f>
        <v/>
      </c>
      <c r="N544" s="28">
        <f>IF($G544="","",IF($D544="A国内",汇率,1))</f>
        <v/>
      </c>
      <c r="O544" s="25">
        <f>IF($G544="","",ROUND(N($K544)*N($L544),2))</f>
        <v/>
      </c>
      <c r="P544" s="26">
        <f>IF($G544="","",ROUND($O544*$N544,0))</f>
        <v/>
      </c>
      <c r="Q544" s="26">
        <f>IF($G544="","",SUMIFS($P$4:$P$2503,$E$4:$E$2503,$E544,$Z$4:$Z$2503,"正常"))</f>
        <v/>
      </c>
      <c r="R544" s="26">
        <f>IF($G544="","",SUMIFS(费用台账!$I$4:$I$503,费用台账!$C$4:$C$503,$E544,费用台账!$J$4:$J$503,"是",费用台账!$K$4:$K$503,"正常"))</f>
        <v/>
      </c>
      <c r="S544" s="28">
        <f>IF($G544="","",COUNTIFS($E$4:$E$2503,$E544,$Z$4:$Z$2503,"正常",$Y$4:$Y$2503,"待补价"))</f>
        <v/>
      </c>
      <c r="T544" s="26">
        <f>IF($G544="","",SUMIFS($P$4:$P$2503,$E$4:$E$2503,$E544,$Z$4:$Z$2503,"正常",$A$4:$A$2503,"&lt;="&amp;$A544))</f>
        <v/>
      </c>
      <c r="U544" s="26">
        <f>IF($G544="","",IF(OR($S544&gt;0,$Q544=0,$R544=0,$Z544&lt;&gt;"正常"),0,ROUND($T544/$Q544*$R544,0)-ROUND(($T544-$P544)/$Q544*$R544,0)))</f>
        <v/>
      </c>
      <c r="V544" s="26">
        <f>IF($G544="","",ROUND($P544+$U544,0))</f>
        <v/>
      </c>
      <c r="W544" s="26">
        <f>IF($G544="","",IF(N($K544)=0,0,ROUND($V544/$K544,2)))</f>
        <v/>
      </c>
      <c r="X544" s="17" t="inlineStr">
        <is>
          <t>采购入库</t>
        </is>
      </c>
      <c r="Y544" s="17" t="inlineStr">
        <is>
          <t>待补价</t>
        </is>
      </c>
      <c r="Z544" s="17" t="inlineStr">
        <is>
          <t>正常</t>
        </is>
      </c>
      <c r="AA544" s="17" t="n"/>
      <c r="AB544" s="17" t="inlineStr">
        <is>
          <t>原表第 550 行</t>
        </is>
      </c>
      <c r="AC544" s="24">
        <f>IF($G544="","",IF($H544="※编码不在物料档案里","※物料编码不在档案里",IF(N($K544)&lt;=0,"※入库数量要大于 0",IF(AND($C544&lt;&gt;"",$C544&lt;=结账锁),"※日期早于已结账截止日，不能再录",IF(AND($L544=0,$X544="正常"),"※没填单价，价格状态请选「待补价」",IF(AND($S544&gt;0,$R544&gt;0),"△本批有 "&amp;$S544&amp;" 行没单价，整批运费先挂账没摊",IF(AND($B544&lt;&gt;"",COUNTIF($B$4:$B$2503,$B544)&gt;1),"※入库单号重复","")))))))</f>
        <v/>
      </c>
    </row>
    <row r="545">
      <c r="A545" s="24">
        <f>IF($G545="","",COUNTA($G$4:$G545))</f>
        <v/>
      </c>
      <c r="B545" s="17" t="n"/>
      <c r="C545" s="30" t="n">
        <v>46108</v>
      </c>
      <c r="D545" s="17" t="inlineStr">
        <is>
          <t>A国内</t>
        </is>
      </c>
      <c r="E545" s="17" t="inlineStr">
        <is>
          <t>CBHU8968633-202603</t>
        </is>
      </c>
      <c r="F545" s="17" t="inlineStr">
        <is>
          <t>烟台市金豪矿山机械有限公司</t>
        </is>
      </c>
      <c r="G545" s="17" t="inlineStr">
        <is>
          <t>JH0482</t>
        </is>
      </c>
      <c r="H545" s="24">
        <f>IF($G545="","",IFERROR(VLOOKUP($G545,物料档案!$A$4:$P$1203,3,0),"※编码不在物料档案里"))</f>
        <v/>
      </c>
      <c r="I545" s="24">
        <f>IF($G545="","",IFERROR(VLOOKUP($G545,物料档案!$A$4:$P$1203,4,0),"※编码不在物料档案里"))</f>
        <v/>
      </c>
      <c r="J545" s="24">
        <f>IF($G545="","",IFERROR(VLOOKUP($G545,物料档案!$A$4:$P$1203,5,0),"※编码不在物料档案里"))</f>
        <v/>
      </c>
      <c r="K545" s="23" t="n">
        <v>16</v>
      </c>
      <c r="L545" s="31" t="n"/>
      <c r="M545" s="24">
        <f>IF($G545="","",IF($D545="A国内","CNY","TZS"))</f>
        <v/>
      </c>
      <c r="N545" s="28">
        <f>IF($G545="","",IF($D545="A国内",汇率,1))</f>
        <v/>
      </c>
      <c r="O545" s="25">
        <f>IF($G545="","",ROUND(N($K545)*N($L545),2))</f>
        <v/>
      </c>
      <c r="P545" s="26">
        <f>IF($G545="","",ROUND($O545*$N545,0))</f>
        <v/>
      </c>
      <c r="Q545" s="26">
        <f>IF($G545="","",SUMIFS($P$4:$P$2503,$E$4:$E$2503,$E545,$Z$4:$Z$2503,"正常"))</f>
        <v/>
      </c>
      <c r="R545" s="26">
        <f>IF($G545="","",SUMIFS(费用台账!$I$4:$I$503,费用台账!$C$4:$C$503,$E545,费用台账!$J$4:$J$503,"是",费用台账!$K$4:$K$503,"正常"))</f>
        <v/>
      </c>
      <c r="S545" s="28">
        <f>IF($G545="","",COUNTIFS($E$4:$E$2503,$E545,$Z$4:$Z$2503,"正常",$Y$4:$Y$2503,"待补价"))</f>
        <v/>
      </c>
      <c r="T545" s="26">
        <f>IF($G545="","",SUMIFS($P$4:$P$2503,$E$4:$E$2503,$E545,$Z$4:$Z$2503,"正常",$A$4:$A$2503,"&lt;="&amp;$A545))</f>
        <v/>
      </c>
      <c r="U545" s="26">
        <f>IF($G545="","",IF(OR($S545&gt;0,$Q545=0,$R545=0,$Z545&lt;&gt;"正常"),0,ROUND($T545/$Q545*$R545,0)-ROUND(($T545-$P545)/$Q545*$R545,0)))</f>
        <v/>
      </c>
      <c r="V545" s="26">
        <f>IF($G545="","",ROUND($P545+$U545,0))</f>
        <v/>
      </c>
      <c r="W545" s="26">
        <f>IF($G545="","",IF(N($K545)=0,0,ROUND($V545/$K545,2)))</f>
        <v/>
      </c>
      <c r="X545" s="17" t="inlineStr">
        <is>
          <t>采购入库</t>
        </is>
      </c>
      <c r="Y545" s="17" t="inlineStr">
        <is>
          <t>待补价</t>
        </is>
      </c>
      <c r="Z545" s="17" t="inlineStr">
        <is>
          <t>正常</t>
        </is>
      </c>
      <c r="AA545" s="17" t="n"/>
      <c r="AB545" s="17" t="inlineStr">
        <is>
          <t>原表第 551 行</t>
        </is>
      </c>
      <c r="AC545" s="24">
        <f>IF($G545="","",IF($H545="※编码不在物料档案里","※物料编码不在档案里",IF(N($K545)&lt;=0,"※入库数量要大于 0",IF(AND($C545&lt;&gt;"",$C545&lt;=结账锁),"※日期早于已结账截止日，不能再录",IF(AND($L545=0,$X545="正常"),"※没填单价，价格状态请选「待补价」",IF(AND($S545&gt;0,$R545&gt;0),"△本批有 "&amp;$S545&amp;" 行没单价，整批运费先挂账没摊",IF(AND($B545&lt;&gt;"",COUNTIF($B$4:$B$2503,$B545)&gt;1),"※入库单号重复","")))))))</f>
        <v/>
      </c>
    </row>
    <row r="546">
      <c r="A546" s="24">
        <f>IF($G546="","",COUNTA($G$4:$G546))</f>
        <v/>
      </c>
      <c r="B546" s="17" t="n"/>
      <c r="C546" s="30" t="n">
        <v>46108</v>
      </c>
      <c r="D546" s="17" t="inlineStr">
        <is>
          <t>A国内</t>
        </is>
      </c>
      <c r="E546" s="17" t="inlineStr">
        <is>
          <t>CBHU8968633-202603</t>
        </is>
      </c>
      <c r="F546" s="17" t="inlineStr">
        <is>
          <t>烟台市金豪矿山机械有限公司</t>
        </is>
      </c>
      <c r="G546" s="17" t="inlineStr">
        <is>
          <t>JH0483</t>
        </is>
      </c>
      <c r="H546" s="24">
        <f>IF($G546="","",IFERROR(VLOOKUP($G546,物料档案!$A$4:$P$1203,3,0),"※编码不在物料档案里"))</f>
        <v/>
      </c>
      <c r="I546" s="24">
        <f>IF($G546="","",IFERROR(VLOOKUP($G546,物料档案!$A$4:$P$1203,4,0),"※编码不在物料档案里"))</f>
        <v/>
      </c>
      <c r="J546" s="24">
        <f>IF($G546="","",IFERROR(VLOOKUP($G546,物料档案!$A$4:$P$1203,5,0),"※编码不在物料档案里"))</f>
        <v/>
      </c>
      <c r="K546" s="23" t="n">
        <v>16</v>
      </c>
      <c r="L546" s="31" t="n"/>
      <c r="M546" s="24">
        <f>IF($G546="","",IF($D546="A国内","CNY","TZS"))</f>
        <v/>
      </c>
      <c r="N546" s="28">
        <f>IF($G546="","",IF($D546="A国内",汇率,1))</f>
        <v/>
      </c>
      <c r="O546" s="25">
        <f>IF($G546="","",ROUND(N($K546)*N($L546),2))</f>
        <v/>
      </c>
      <c r="P546" s="26">
        <f>IF($G546="","",ROUND($O546*$N546,0))</f>
        <v/>
      </c>
      <c r="Q546" s="26">
        <f>IF($G546="","",SUMIFS($P$4:$P$2503,$E$4:$E$2503,$E546,$Z$4:$Z$2503,"正常"))</f>
        <v/>
      </c>
      <c r="R546" s="26">
        <f>IF($G546="","",SUMIFS(费用台账!$I$4:$I$503,费用台账!$C$4:$C$503,$E546,费用台账!$J$4:$J$503,"是",费用台账!$K$4:$K$503,"正常"))</f>
        <v/>
      </c>
      <c r="S546" s="28">
        <f>IF($G546="","",COUNTIFS($E$4:$E$2503,$E546,$Z$4:$Z$2503,"正常",$Y$4:$Y$2503,"待补价"))</f>
        <v/>
      </c>
      <c r="T546" s="26">
        <f>IF($G546="","",SUMIFS($P$4:$P$2503,$E$4:$E$2503,$E546,$Z$4:$Z$2503,"正常",$A$4:$A$2503,"&lt;="&amp;$A546))</f>
        <v/>
      </c>
      <c r="U546" s="26">
        <f>IF($G546="","",IF(OR($S546&gt;0,$Q546=0,$R546=0,$Z546&lt;&gt;"正常"),0,ROUND($T546/$Q546*$R546,0)-ROUND(($T546-$P546)/$Q546*$R546,0)))</f>
        <v/>
      </c>
      <c r="V546" s="26">
        <f>IF($G546="","",ROUND($P546+$U546,0))</f>
        <v/>
      </c>
      <c r="W546" s="26">
        <f>IF($G546="","",IF(N($K546)=0,0,ROUND($V546/$K546,2)))</f>
        <v/>
      </c>
      <c r="X546" s="17" t="inlineStr">
        <is>
          <t>采购入库</t>
        </is>
      </c>
      <c r="Y546" s="17" t="inlineStr">
        <is>
          <t>待补价</t>
        </is>
      </c>
      <c r="Z546" s="17" t="inlineStr">
        <is>
          <t>正常</t>
        </is>
      </c>
      <c r="AA546" s="17" t="n"/>
      <c r="AB546" s="17" t="inlineStr">
        <is>
          <t>原表第 552 行</t>
        </is>
      </c>
      <c r="AC546" s="24">
        <f>IF($G546="","",IF($H546="※编码不在物料档案里","※物料编码不在档案里",IF(N($K546)&lt;=0,"※入库数量要大于 0",IF(AND($C546&lt;&gt;"",$C546&lt;=结账锁),"※日期早于已结账截止日，不能再录",IF(AND($L546=0,$X546="正常"),"※没填单价，价格状态请选「待补价」",IF(AND($S546&gt;0,$R546&gt;0),"△本批有 "&amp;$S546&amp;" 行没单价，整批运费先挂账没摊",IF(AND($B546&lt;&gt;"",COUNTIF($B$4:$B$2503,$B546)&gt;1),"※入库单号重复","")))))))</f>
        <v/>
      </c>
    </row>
    <row r="547">
      <c r="A547" s="24">
        <f>IF($G547="","",COUNTA($G$4:$G547))</f>
        <v/>
      </c>
      <c r="B547" s="17" t="n"/>
      <c r="C547" s="30" t="n">
        <v>46108</v>
      </c>
      <c r="D547" s="17" t="inlineStr">
        <is>
          <t>A国内</t>
        </is>
      </c>
      <c r="E547" s="17" t="inlineStr">
        <is>
          <t>CBHU8968633-202603</t>
        </is>
      </c>
      <c r="F547" s="17" t="inlineStr">
        <is>
          <t>烟台市金豪矿山机械有限公司</t>
        </is>
      </c>
      <c r="G547" s="17" t="inlineStr">
        <is>
          <t>JH0484</t>
        </is>
      </c>
      <c r="H547" s="24">
        <f>IF($G547="","",IFERROR(VLOOKUP($G547,物料档案!$A$4:$P$1203,3,0),"※编码不在物料档案里"))</f>
        <v/>
      </c>
      <c r="I547" s="24">
        <f>IF($G547="","",IFERROR(VLOOKUP($G547,物料档案!$A$4:$P$1203,4,0),"※编码不在物料档案里"))</f>
        <v/>
      </c>
      <c r="J547" s="24">
        <f>IF($G547="","",IFERROR(VLOOKUP($G547,物料档案!$A$4:$P$1203,5,0),"※编码不在物料档案里"))</f>
        <v/>
      </c>
      <c r="K547" s="23" t="n">
        <v>16</v>
      </c>
      <c r="L547" s="31" t="n"/>
      <c r="M547" s="24">
        <f>IF($G547="","",IF($D547="A国内","CNY","TZS"))</f>
        <v/>
      </c>
      <c r="N547" s="28">
        <f>IF($G547="","",IF($D547="A国内",汇率,1))</f>
        <v/>
      </c>
      <c r="O547" s="25">
        <f>IF($G547="","",ROUND(N($K547)*N($L547),2))</f>
        <v/>
      </c>
      <c r="P547" s="26">
        <f>IF($G547="","",ROUND($O547*$N547,0))</f>
        <v/>
      </c>
      <c r="Q547" s="26">
        <f>IF($G547="","",SUMIFS($P$4:$P$2503,$E$4:$E$2503,$E547,$Z$4:$Z$2503,"正常"))</f>
        <v/>
      </c>
      <c r="R547" s="26">
        <f>IF($G547="","",SUMIFS(费用台账!$I$4:$I$503,费用台账!$C$4:$C$503,$E547,费用台账!$J$4:$J$503,"是",费用台账!$K$4:$K$503,"正常"))</f>
        <v/>
      </c>
      <c r="S547" s="28">
        <f>IF($G547="","",COUNTIFS($E$4:$E$2503,$E547,$Z$4:$Z$2503,"正常",$Y$4:$Y$2503,"待补价"))</f>
        <v/>
      </c>
      <c r="T547" s="26">
        <f>IF($G547="","",SUMIFS($P$4:$P$2503,$E$4:$E$2503,$E547,$Z$4:$Z$2503,"正常",$A$4:$A$2503,"&lt;="&amp;$A547))</f>
        <v/>
      </c>
      <c r="U547" s="26">
        <f>IF($G547="","",IF(OR($S547&gt;0,$Q547=0,$R547=0,$Z547&lt;&gt;"正常"),0,ROUND($T547/$Q547*$R547,0)-ROUND(($T547-$P547)/$Q547*$R547,0)))</f>
        <v/>
      </c>
      <c r="V547" s="26">
        <f>IF($G547="","",ROUND($P547+$U547,0))</f>
        <v/>
      </c>
      <c r="W547" s="26">
        <f>IF($G547="","",IF(N($K547)=0,0,ROUND($V547/$K547,2)))</f>
        <v/>
      </c>
      <c r="X547" s="17" t="inlineStr">
        <is>
          <t>采购入库</t>
        </is>
      </c>
      <c r="Y547" s="17" t="inlineStr">
        <is>
          <t>待补价</t>
        </is>
      </c>
      <c r="Z547" s="17" t="inlineStr">
        <is>
          <t>正常</t>
        </is>
      </c>
      <c r="AA547" s="17" t="n"/>
      <c r="AB547" s="17" t="inlineStr">
        <is>
          <t>原表第 553 行</t>
        </is>
      </c>
      <c r="AC547" s="24">
        <f>IF($G547="","",IF($H547="※编码不在物料档案里","※物料编码不在档案里",IF(N($K547)&lt;=0,"※入库数量要大于 0",IF(AND($C547&lt;&gt;"",$C547&lt;=结账锁),"※日期早于已结账截止日，不能再录",IF(AND($L547=0,$X547="正常"),"※没填单价，价格状态请选「待补价」",IF(AND($S547&gt;0,$R547&gt;0),"△本批有 "&amp;$S547&amp;" 行没单价，整批运费先挂账没摊",IF(AND($B547&lt;&gt;"",COUNTIF($B$4:$B$2503,$B547)&gt;1),"※入库单号重复","")))))))</f>
        <v/>
      </c>
    </row>
    <row r="548">
      <c r="A548" s="24">
        <f>IF($G548="","",COUNTA($G$4:$G548))</f>
        <v/>
      </c>
      <c r="B548" s="17" t="n"/>
      <c r="C548" s="30" t="n">
        <v>46108</v>
      </c>
      <c r="D548" s="17" t="inlineStr">
        <is>
          <t>A国内</t>
        </is>
      </c>
      <c r="E548" s="17" t="inlineStr">
        <is>
          <t>CBHU8968633-202603</t>
        </is>
      </c>
      <c r="F548" s="17" t="inlineStr">
        <is>
          <t>烟台市金豪矿山机械有限公司</t>
        </is>
      </c>
      <c r="G548" s="17" t="inlineStr">
        <is>
          <t>JH0485</t>
        </is>
      </c>
      <c r="H548" s="24">
        <f>IF($G548="","",IFERROR(VLOOKUP($G548,物料档案!$A$4:$P$1203,3,0),"※编码不在物料档案里"))</f>
        <v/>
      </c>
      <c r="I548" s="24">
        <f>IF($G548="","",IFERROR(VLOOKUP($G548,物料档案!$A$4:$P$1203,4,0),"※编码不在物料档案里"))</f>
        <v/>
      </c>
      <c r="J548" s="24">
        <f>IF($G548="","",IFERROR(VLOOKUP($G548,物料档案!$A$4:$P$1203,5,0),"※编码不在物料档案里"))</f>
        <v/>
      </c>
      <c r="K548" s="23" t="n">
        <v>16</v>
      </c>
      <c r="L548" s="31" t="n"/>
      <c r="M548" s="24">
        <f>IF($G548="","",IF($D548="A国内","CNY","TZS"))</f>
        <v/>
      </c>
      <c r="N548" s="28">
        <f>IF($G548="","",IF($D548="A国内",汇率,1))</f>
        <v/>
      </c>
      <c r="O548" s="25">
        <f>IF($G548="","",ROUND(N($K548)*N($L548),2))</f>
        <v/>
      </c>
      <c r="P548" s="26">
        <f>IF($G548="","",ROUND($O548*$N548,0))</f>
        <v/>
      </c>
      <c r="Q548" s="26">
        <f>IF($G548="","",SUMIFS($P$4:$P$2503,$E$4:$E$2503,$E548,$Z$4:$Z$2503,"正常"))</f>
        <v/>
      </c>
      <c r="R548" s="26">
        <f>IF($G548="","",SUMIFS(费用台账!$I$4:$I$503,费用台账!$C$4:$C$503,$E548,费用台账!$J$4:$J$503,"是",费用台账!$K$4:$K$503,"正常"))</f>
        <v/>
      </c>
      <c r="S548" s="28">
        <f>IF($G548="","",COUNTIFS($E$4:$E$2503,$E548,$Z$4:$Z$2503,"正常",$Y$4:$Y$2503,"待补价"))</f>
        <v/>
      </c>
      <c r="T548" s="26">
        <f>IF($G548="","",SUMIFS($P$4:$P$2503,$E$4:$E$2503,$E548,$Z$4:$Z$2503,"正常",$A$4:$A$2503,"&lt;="&amp;$A548))</f>
        <v/>
      </c>
      <c r="U548" s="26">
        <f>IF($G548="","",IF(OR($S548&gt;0,$Q548=0,$R548=0,$Z548&lt;&gt;"正常"),0,ROUND($T548/$Q548*$R548,0)-ROUND(($T548-$P548)/$Q548*$R548,0)))</f>
        <v/>
      </c>
      <c r="V548" s="26">
        <f>IF($G548="","",ROUND($P548+$U548,0))</f>
        <v/>
      </c>
      <c r="W548" s="26">
        <f>IF($G548="","",IF(N($K548)=0,0,ROUND($V548/$K548,2)))</f>
        <v/>
      </c>
      <c r="X548" s="17" t="inlineStr">
        <is>
          <t>采购入库</t>
        </is>
      </c>
      <c r="Y548" s="17" t="inlineStr">
        <is>
          <t>待补价</t>
        </is>
      </c>
      <c r="Z548" s="17" t="inlineStr">
        <is>
          <t>正常</t>
        </is>
      </c>
      <c r="AA548" s="17" t="n"/>
      <c r="AB548" s="17" t="inlineStr">
        <is>
          <t>原表第 554 行</t>
        </is>
      </c>
      <c r="AC548" s="24">
        <f>IF($G548="","",IF($H548="※编码不在物料档案里","※物料编码不在档案里",IF(N($K548)&lt;=0,"※入库数量要大于 0",IF(AND($C548&lt;&gt;"",$C548&lt;=结账锁),"※日期早于已结账截止日，不能再录",IF(AND($L548=0,$X548="正常"),"※没填单价，价格状态请选「待补价」",IF(AND($S548&gt;0,$R548&gt;0),"△本批有 "&amp;$S548&amp;" 行没单价，整批运费先挂账没摊",IF(AND($B548&lt;&gt;"",COUNTIF($B$4:$B$2503,$B548)&gt;1),"※入库单号重复","")))))))</f>
        <v/>
      </c>
    </row>
    <row r="549">
      <c r="A549" s="24">
        <f>IF($G549="","",COUNTA($G$4:$G549))</f>
        <v/>
      </c>
      <c r="B549" s="17" t="n"/>
      <c r="C549" s="30" t="n">
        <v>46108</v>
      </c>
      <c r="D549" s="17" t="inlineStr">
        <is>
          <t>A国内</t>
        </is>
      </c>
      <c r="E549" s="17" t="inlineStr">
        <is>
          <t>CBHU8968633-202603</t>
        </is>
      </c>
      <c r="F549" s="17" t="inlineStr">
        <is>
          <t>烟台市金豪矿山机械有限公司</t>
        </is>
      </c>
      <c r="G549" s="17" t="inlineStr">
        <is>
          <t>JH0486</t>
        </is>
      </c>
      <c r="H549" s="24">
        <f>IF($G549="","",IFERROR(VLOOKUP($G549,物料档案!$A$4:$P$1203,3,0),"※编码不在物料档案里"))</f>
        <v/>
      </c>
      <c r="I549" s="24">
        <f>IF($G549="","",IFERROR(VLOOKUP($G549,物料档案!$A$4:$P$1203,4,0),"※编码不在物料档案里"))</f>
        <v/>
      </c>
      <c r="J549" s="24">
        <f>IF($G549="","",IFERROR(VLOOKUP($G549,物料档案!$A$4:$P$1203,5,0),"※编码不在物料档案里"))</f>
        <v/>
      </c>
      <c r="K549" s="23" t="n">
        <v>248</v>
      </c>
      <c r="L549" s="31" t="n"/>
      <c r="M549" s="24">
        <f>IF($G549="","",IF($D549="A国内","CNY","TZS"))</f>
        <v/>
      </c>
      <c r="N549" s="28">
        <f>IF($G549="","",IF($D549="A国内",汇率,1))</f>
        <v/>
      </c>
      <c r="O549" s="25">
        <f>IF($G549="","",ROUND(N($K549)*N($L549),2))</f>
        <v/>
      </c>
      <c r="P549" s="26">
        <f>IF($G549="","",ROUND($O549*$N549,0))</f>
        <v/>
      </c>
      <c r="Q549" s="26">
        <f>IF($G549="","",SUMIFS($P$4:$P$2503,$E$4:$E$2503,$E549,$Z$4:$Z$2503,"正常"))</f>
        <v/>
      </c>
      <c r="R549" s="26">
        <f>IF($G549="","",SUMIFS(费用台账!$I$4:$I$503,费用台账!$C$4:$C$503,$E549,费用台账!$J$4:$J$503,"是",费用台账!$K$4:$K$503,"正常"))</f>
        <v/>
      </c>
      <c r="S549" s="28">
        <f>IF($G549="","",COUNTIFS($E$4:$E$2503,$E549,$Z$4:$Z$2503,"正常",$Y$4:$Y$2503,"待补价"))</f>
        <v/>
      </c>
      <c r="T549" s="26">
        <f>IF($G549="","",SUMIFS($P$4:$P$2503,$E$4:$E$2503,$E549,$Z$4:$Z$2503,"正常",$A$4:$A$2503,"&lt;="&amp;$A549))</f>
        <v/>
      </c>
      <c r="U549" s="26">
        <f>IF($G549="","",IF(OR($S549&gt;0,$Q549=0,$R549=0,$Z549&lt;&gt;"正常"),0,ROUND($T549/$Q549*$R549,0)-ROUND(($T549-$P549)/$Q549*$R549,0)))</f>
        <v/>
      </c>
      <c r="V549" s="26">
        <f>IF($G549="","",ROUND($P549+$U549,0))</f>
        <v/>
      </c>
      <c r="W549" s="26">
        <f>IF($G549="","",IF(N($K549)=0,0,ROUND($V549/$K549,2)))</f>
        <v/>
      </c>
      <c r="X549" s="17" t="inlineStr">
        <is>
          <t>采购入库</t>
        </is>
      </c>
      <c r="Y549" s="17" t="inlineStr">
        <is>
          <t>待补价</t>
        </is>
      </c>
      <c r="Z549" s="17" t="inlineStr">
        <is>
          <t>正常</t>
        </is>
      </c>
      <c r="AA549" s="17" t="n"/>
      <c r="AB549" s="17" t="inlineStr">
        <is>
          <t>原表第 555 行</t>
        </is>
      </c>
      <c r="AC549" s="24">
        <f>IF($G549="","",IF($H549="※编码不在物料档案里","※物料编码不在档案里",IF(N($K549)&lt;=0,"※入库数量要大于 0",IF(AND($C549&lt;&gt;"",$C549&lt;=结账锁),"※日期早于已结账截止日，不能再录",IF(AND($L549=0,$X549="正常"),"※没填单价，价格状态请选「待补价」",IF(AND($S549&gt;0,$R549&gt;0),"△本批有 "&amp;$S549&amp;" 行没单价，整批运费先挂账没摊",IF(AND($B549&lt;&gt;"",COUNTIF($B$4:$B$2503,$B549)&gt;1),"※入库单号重复","")))))))</f>
        <v/>
      </c>
    </row>
    <row r="550">
      <c r="A550" s="24">
        <f>IF($G550="","",COUNTA($G$4:$G550))</f>
        <v/>
      </c>
      <c r="B550" s="17" t="n"/>
      <c r="C550" s="30" t="n">
        <v>46108</v>
      </c>
      <c r="D550" s="17" t="inlineStr">
        <is>
          <t>A国内</t>
        </is>
      </c>
      <c r="E550" s="17" t="inlineStr">
        <is>
          <t>CBHU8968633-202603</t>
        </is>
      </c>
      <c r="F550" s="17" t="inlineStr">
        <is>
          <t>烟台市金豪矿山机械有限公司</t>
        </is>
      </c>
      <c r="G550" s="17" t="inlineStr">
        <is>
          <t>JH0487</t>
        </is>
      </c>
      <c r="H550" s="24">
        <f>IF($G550="","",IFERROR(VLOOKUP($G550,物料档案!$A$4:$P$1203,3,0),"※编码不在物料档案里"))</f>
        <v/>
      </c>
      <c r="I550" s="24">
        <f>IF($G550="","",IFERROR(VLOOKUP($G550,物料档案!$A$4:$P$1203,4,0),"※编码不在物料档案里"))</f>
        <v/>
      </c>
      <c r="J550" s="24">
        <f>IF($G550="","",IFERROR(VLOOKUP($G550,物料档案!$A$4:$P$1203,5,0),"※编码不在物料档案里"))</f>
        <v/>
      </c>
      <c r="K550" s="23" t="n">
        <v>33</v>
      </c>
      <c r="L550" s="31" t="n"/>
      <c r="M550" s="24">
        <f>IF($G550="","",IF($D550="A国内","CNY","TZS"))</f>
        <v/>
      </c>
      <c r="N550" s="28">
        <f>IF($G550="","",IF($D550="A国内",汇率,1))</f>
        <v/>
      </c>
      <c r="O550" s="25">
        <f>IF($G550="","",ROUND(N($K550)*N($L550),2))</f>
        <v/>
      </c>
      <c r="P550" s="26">
        <f>IF($G550="","",ROUND($O550*$N550,0))</f>
        <v/>
      </c>
      <c r="Q550" s="26">
        <f>IF($G550="","",SUMIFS($P$4:$P$2503,$E$4:$E$2503,$E550,$Z$4:$Z$2503,"正常"))</f>
        <v/>
      </c>
      <c r="R550" s="26">
        <f>IF($G550="","",SUMIFS(费用台账!$I$4:$I$503,费用台账!$C$4:$C$503,$E550,费用台账!$J$4:$J$503,"是",费用台账!$K$4:$K$503,"正常"))</f>
        <v/>
      </c>
      <c r="S550" s="28">
        <f>IF($G550="","",COUNTIFS($E$4:$E$2503,$E550,$Z$4:$Z$2503,"正常",$Y$4:$Y$2503,"待补价"))</f>
        <v/>
      </c>
      <c r="T550" s="26">
        <f>IF($G550="","",SUMIFS($P$4:$P$2503,$E$4:$E$2503,$E550,$Z$4:$Z$2503,"正常",$A$4:$A$2503,"&lt;="&amp;$A550))</f>
        <v/>
      </c>
      <c r="U550" s="26">
        <f>IF($G550="","",IF(OR($S550&gt;0,$Q550=0,$R550=0,$Z550&lt;&gt;"正常"),0,ROUND($T550/$Q550*$R550,0)-ROUND(($T550-$P550)/$Q550*$R550,0)))</f>
        <v/>
      </c>
      <c r="V550" s="26">
        <f>IF($G550="","",ROUND($P550+$U550,0))</f>
        <v/>
      </c>
      <c r="W550" s="26">
        <f>IF($G550="","",IF(N($K550)=0,0,ROUND($V550/$K550,2)))</f>
        <v/>
      </c>
      <c r="X550" s="17" t="inlineStr">
        <is>
          <t>采购入库</t>
        </is>
      </c>
      <c r="Y550" s="17" t="inlineStr">
        <is>
          <t>待补价</t>
        </is>
      </c>
      <c r="Z550" s="17" t="inlineStr">
        <is>
          <t>正常</t>
        </is>
      </c>
      <c r="AA550" s="17" t="n"/>
      <c r="AB550" s="17" t="inlineStr">
        <is>
          <t>原表第 556 行</t>
        </is>
      </c>
      <c r="AC550" s="24">
        <f>IF($G550="","",IF($H550="※编码不在物料档案里","※物料编码不在档案里",IF(N($K550)&lt;=0,"※入库数量要大于 0",IF(AND($C550&lt;&gt;"",$C550&lt;=结账锁),"※日期早于已结账截止日，不能再录",IF(AND($L550=0,$X550="正常"),"※没填单价，价格状态请选「待补价」",IF(AND($S550&gt;0,$R550&gt;0),"△本批有 "&amp;$S550&amp;" 行没单价，整批运费先挂账没摊",IF(AND($B550&lt;&gt;"",COUNTIF($B$4:$B$2503,$B550)&gt;1),"※入库单号重复","")))))))</f>
        <v/>
      </c>
    </row>
    <row r="551">
      <c r="A551" s="24">
        <f>IF($G551="","",COUNTA($G$4:$G551))</f>
        <v/>
      </c>
      <c r="B551" s="17" t="n"/>
      <c r="C551" s="30" t="n">
        <v>46108</v>
      </c>
      <c r="D551" s="17" t="inlineStr">
        <is>
          <t>A国内</t>
        </is>
      </c>
      <c r="E551" s="17" t="inlineStr">
        <is>
          <t>CBHU8968633-202603</t>
        </is>
      </c>
      <c r="F551" s="17" t="inlineStr">
        <is>
          <t>烟台市金豪矿山机械有限公司</t>
        </is>
      </c>
      <c r="G551" s="17" t="inlineStr">
        <is>
          <t>JH0488</t>
        </is>
      </c>
      <c r="H551" s="24">
        <f>IF($G551="","",IFERROR(VLOOKUP($G551,物料档案!$A$4:$P$1203,3,0),"※编码不在物料档案里"))</f>
        <v/>
      </c>
      <c r="I551" s="24">
        <f>IF($G551="","",IFERROR(VLOOKUP($G551,物料档案!$A$4:$P$1203,4,0),"※编码不在物料档案里"))</f>
        <v/>
      </c>
      <c r="J551" s="24">
        <f>IF($G551="","",IFERROR(VLOOKUP($G551,物料档案!$A$4:$P$1203,5,0),"※编码不在物料档案里"))</f>
        <v/>
      </c>
      <c r="K551" s="23" t="n">
        <v>17</v>
      </c>
      <c r="L551" s="31" t="n"/>
      <c r="M551" s="24">
        <f>IF($G551="","",IF($D551="A国内","CNY","TZS"))</f>
        <v/>
      </c>
      <c r="N551" s="28">
        <f>IF($G551="","",IF($D551="A国内",汇率,1))</f>
        <v/>
      </c>
      <c r="O551" s="25">
        <f>IF($G551="","",ROUND(N($K551)*N($L551),2))</f>
        <v/>
      </c>
      <c r="P551" s="26">
        <f>IF($G551="","",ROUND($O551*$N551,0))</f>
        <v/>
      </c>
      <c r="Q551" s="26">
        <f>IF($G551="","",SUMIFS($P$4:$P$2503,$E$4:$E$2503,$E551,$Z$4:$Z$2503,"正常"))</f>
        <v/>
      </c>
      <c r="R551" s="26">
        <f>IF($G551="","",SUMIFS(费用台账!$I$4:$I$503,费用台账!$C$4:$C$503,$E551,费用台账!$J$4:$J$503,"是",费用台账!$K$4:$K$503,"正常"))</f>
        <v/>
      </c>
      <c r="S551" s="28">
        <f>IF($G551="","",COUNTIFS($E$4:$E$2503,$E551,$Z$4:$Z$2503,"正常",$Y$4:$Y$2503,"待补价"))</f>
        <v/>
      </c>
      <c r="T551" s="26">
        <f>IF($G551="","",SUMIFS($P$4:$P$2503,$E$4:$E$2503,$E551,$Z$4:$Z$2503,"正常",$A$4:$A$2503,"&lt;="&amp;$A551))</f>
        <v/>
      </c>
      <c r="U551" s="26">
        <f>IF($G551="","",IF(OR($S551&gt;0,$Q551=0,$R551=0,$Z551&lt;&gt;"正常"),0,ROUND($T551/$Q551*$R551,0)-ROUND(($T551-$P551)/$Q551*$R551,0)))</f>
        <v/>
      </c>
      <c r="V551" s="26">
        <f>IF($G551="","",ROUND($P551+$U551,0))</f>
        <v/>
      </c>
      <c r="W551" s="26">
        <f>IF($G551="","",IF(N($K551)=0,0,ROUND($V551/$K551,2)))</f>
        <v/>
      </c>
      <c r="X551" s="17" t="inlineStr">
        <is>
          <t>采购入库</t>
        </is>
      </c>
      <c r="Y551" s="17" t="inlineStr">
        <is>
          <t>待补价</t>
        </is>
      </c>
      <c r="Z551" s="17" t="inlineStr">
        <is>
          <t>正常</t>
        </is>
      </c>
      <c r="AA551" s="17" t="n"/>
      <c r="AB551" s="17" t="inlineStr">
        <is>
          <t>原表第 557 行</t>
        </is>
      </c>
      <c r="AC551" s="24">
        <f>IF($G551="","",IF($H551="※编码不在物料档案里","※物料编码不在档案里",IF(N($K551)&lt;=0,"※入库数量要大于 0",IF(AND($C551&lt;&gt;"",$C551&lt;=结账锁),"※日期早于已结账截止日，不能再录",IF(AND($L551=0,$X551="正常"),"※没填单价，价格状态请选「待补价」",IF(AND($S551&gt;0,$R551&gt;0),"△本批有 "&amp;$S551&amp;" 行没单价，整批运费先挂账没摊",IF(AND($B551&lt;&gt;"",COUNTIF($B$4:$B$2503,$B551)&gt;1),"※入库单号重复","")))))))</f>
        <v/>
      </c>
    </row>
    <row r="552">
      <c r="A552" s="24">
        <f>IF($G552="","",COUNTA($G$4:$G552))</f>
        <v/>
      </c>
      <c r="B552" s="17" t="n"/>
      <c r="C552" s="30" t="n">
        <v>46108</v>
      </c>
      <c r="D552" s="17" t="inlineStr">
        <is>
          <t>A国内</t>
        </is>
      </c>
      <c r="E552" s="17" t="inlineStr">
        <is>
          <t>CBHU8968633-202603</t>
        </is>
      </c>
      <c r="F552" s="17" t="inlineStr">
        <is>
          <t>烟台市金豪矿山机械有限公司</t>
        </is>
      </c>
      <c r="G552" s="17" t="inlineStr">
        <is>
          <t>JH0489</t>
        </is>
      </c>
      <c r="H552" s="24">
        <f>IF($G552="","",IFERROR(VLOOKUP($G552,物料档案!$A$4:$P$1203,3,0),"※编码不在物料档案里"))</f>
        <v/>
      </c>
      <c r="I552" s="24">
        <f>IF($G552="","",IFERROR(VLOOKUP($G552,物料档案!$A$4:$P$1203,4,0),"※编码不在物料档案里"))</f>
        <v/>
      </c>
      <c r="J552" s="24">
        <f>IF($G552="","",IFERROR(VLOOKUP($G552,物料档案!$A$4:$P$1203,5,0),"※编码不在物料档案里"))</f>
        <v/>
      </c>
      <c r="K552" s="23" t="n">
        <v>17</v>
      </c>
      <c r="L552" s="31" t="n"/>
      <c r="M552" s="24">
        <f>IF($G552="","",IF($D552="A国内","CNY","TZS"))</f>
        <v/>
      </c>
      <c r="N552" s="28">
        <f>IF($G552="","",IF($D552="A国内",汇率,1))</f>
        <v/>
      </c>
      <c r="O552" s="25">
        <f>IF($G552="","",ROUND(N($K552)*N($L552),2))</f>
        <v/>
      </c>
      <c r="P552" s="26">
        <f>IF($G552="","",ROUND($O552*$N552,0))</f>
        <v/>
      </c>
      <c r="Q552" s="26">
        <f>IF($G552="","",SUMIFS($P$4:$P$2503,$E$4:$E$2503,$E552,$Z$4:$Z$2503,"正常"))</f>
        <v/>
      </c>
      <c r="R552" s="26">
        <f>IF($G552="","",SUMIFS(费用台账!$I$4:$I$503,费用台账!$C$4:$C$503,$E552,费用台账!$J$4:$J$503,"是",费用台账!$K$4:$K$503,"正常"))</f>
        <v/>
      </c>
      <c r="S552" s="28">
        <f>IF($G552="","",COUNTIFS($E$4:$E$2503,$E552,$Z$4:$Z$2503,"正常",$Y$4:$Y$2503,"待补价"))</f>
        <v/>
      </c>
      <c r="T552" s="26">
        <f>IF($G552="","",SUMIFS($P$4:$P$2503,$E$4:$E$2503,$E552,$Z$4:$Z$2503,"正常",$A$4:$A$2503,"&lt;="&amp;$A552))</f>
        <v/>
      </c>
      <c r="U552" s="26">
        <f>IF($G552="","",IF(OR($S552&gt;0,$Q552=0,$R552=0,$Z552&lt;&gt;"正常"),0,ROUND($T552/$Q552*$R552,0)-ROUND(($T552-$P552)/$Q552*$R552,0)))</f>
        <v/>
      </c>
      <c r="V552" s="26">
        <f>IF($G552="","",ROUND($P552+$U552,0))</f>
        <v/>
      </c>
      <c r="W552" s="26">
        <f>IF($G552="","",IF(N($K552)=0,0,ROUND($V552/$K552,2)))</f>
        <v/>
      </c>
      <c r="X552" s="17" t="inlineStr">
        <is>
          <t>采购入库</t>
        </is>
      </c>
      <c r="Y552" s="17" t="inlineStr">
        <is>
          <t>待补价</t>
        </is>
      </c>
      <c r="Z552" s="17" t="inlineStr">
        <is>
          <t>正常</t>
        </is>
      </c>
      <c r="AA552" s="17" t="n"/>
      <c r="AB552" s="17" t="inlineStr">
        <is>
          <t>原表第 558 行</t>
        </is>
      </c>
      <c r="AC552" s="24">
        <f>IF($G552="","",IF($H552="※编码不在物料档案里","※物料编码不在档案里",IF(N($K552)&lt;=0,"※入库数量要大于 0",IF(AND($C552&lt;&gt;"",$C552&lt;=结账锁),"※日期早于已结账截止日，不能再录",IF(AND($L552=0,$X552="正常"),"※没填单价，价格状态请选「待补价」",IF(AND($S552&gt;0,$R552&gt;0),"△本批有 "&amp;$S552&amp;" 行没单价，整批运费先挂账没摊",IF(AND($B552&lt;&gt;"",COUNTIF($B$4:$B$2503,$B552)&gt;1),"※入库单号重复","")))))))</f>
        <v/>
      </c>
    </row>
    <row r="553">
      <c r="A553" s="24">
        <f>IF($G553="","",COUNTA($G$4:$G553))</f>
        <v/>
      </c>
      <c r="B553" s="17" t="n"/>
      <c r="C553" s="30" t="n">
        <v>46108</v>
      </c>
      <c r="D553" s="17" t="inlineStr">
        <is>
          <t>A国内</t>
        </is>
      </c>
      <c r="E553" s="17" t="inlineStr">
        <is>
          <t>CBHU8968633-202603</t>
        </is>
      </c>
      <c r="F553" s="17" t="inlineStr">
        <is>
          <t>烟台市金豪矿山机械有限公司</t>
        </is>
      </c>
      <c r="G553" s="17" t="inlineStr">
        <is>
          <t>JH0490</t>
        </is>
      </c>
      <c r="H553" s="24">
        <f>IF($G553="","",IFERROR(VLOOKUP($G553,物料档案!$A$4:$P$1203,3,0),"※编码不在物料档案里"))</f>
        <v/>
      </c>
      <c r="I553" s="24">
        <f>IF($G553="","",IFERROR(VLOOKUP($G553,物料档案!$A$4:$P$1203,4,0),"※编码不在物料档案里"))</f>
        <v/>
      </c>
      <c r="J553" s="24">
        <f>IF($G553="","",IFERROR(VLOOKUP($G553,物料档案!$A$4:$P$1203,5,0),"※编码不在物料档案里"))</f>
        <v/>
      </c>
      <c r="K553" s="23" t="n">
        <v>280</v>
      </c>
      <c r="L553" s="31" t="n"/>
      <c r="M553" s="24">
        <f>IF($G553="","",IF($D553="A国内","CNY","TZS"))</f>
        <v/>
      </c>
      <c r="N553" s="28">
        <f>IF($G553="","",IF($D553="A国内",汇率,1))</f>
        <v/>
      </c>
      <c r="O553" s="25">
        <f>IF($G553="","",ROUND(N($K553)*N($L553),2))</f>
        <v/>
      </c>
      <c r="P553" s="26">
        <f>IF($G553="","",ROUND($O553*$N553,0))</f>
        <v/>
      </c>
      <c r="Q553" s="26">
        <f>IF($G553="","",SUMIFS($P$4:$P$2503,$E$4:$E$2503,$E553,$Z$4:$Z$2503,"正常"))</f>
        <v/>
      </c>
      <c r="R553" s="26">
        <f>IF($G553="","",SUMIFS(费用台账!$I$4:$I$503,费用台账!$C$4:$C$503,$E553,费用台账!$J$4:$J$503,"是",费用台账!$K$4:$K$503,"正常"))</f>
        <v/>
      </c>
      <c r="S553" s="28">
        <f>IF($G553="","",COUNTIFS($E$4:$E$2503,$E553,$Z$4:$Z$2503,"正常",$Y$4:$Y$2503,"待补价"))</f>
        <v/>
      </c>
      <c r="T553" s="26">
        <f>IF($G553="","",SUMIFS($P$4:$P$2503,$E$4:$E$2503,$E553,$Z$4:$Z$2503,"正常",$A$4:$A$2503,"&lt;="&amp;$A553))</f>
        <v/>
      </c>
      <c r="U553" s="26">
        <f>IF($G553="","",IF(OR($S553&gt;0,$Q553=0,$R553=0,$Z553&lt;&gt;"正常"),0,ROUND($T553/$Q553*$R553,0)-ROUND(($T553-$P553)/$Q553*$R553,0)))</f>
        <v/>
      </c>
      <c r="V553" s="26">
        <f>IF($G553="","",ROUND($P553+$U553,0))</f>
        <v/>
      </c>
      <c r="W553" s="26">
        <f>IF($G553="","",IF(N($K553)=0,0,ROUND($V553/$K553,2)))</f>
        <v/>
      </c>
      <c r="X553" s="17" t="inlineStr">
        <is>
          <t>采购入库</t>
        </is>
      </c>
      <c r="Y553" s="17" t="inlineStr">
        <is>
          <t>待补价</t>
        </is>
      </c>
      <c r="Z553" s="17" t="inlineStr">
        <is>
          <t>正常</t>
        </is>
      </c>
      <c r="AA553" s="17" t="n"/>
      <c r="AB553" s="17" t="inlineStr">
        <is>
          <t>原表第 559 行</t>
        </is>
      </c>
      <c r="AC553" s="24">
        <f>IF($G553="","",IF($H553="※编码不在物料档案里","※物料编码不在档案里",IF(N($K553)&lt;=0,"※入库数量要大于 0",IF(AND($C553&lt;&gt;"",$C553&lt;=结账锁),"※日期早于已结账截止日，不能再录",IF(AND($L553=0,$X553="正常"),"※没填单价，价格状态请选「待补价」",IF(AND($S553&gt;0,$R553&gt;0),"△本批有 "&amp;$S553&amp;" 行没单价，整批运费先挂账没摊",IF(AND($B553&lt;&gt;"",COUNTIF($B$4:$B$2503,$B553)&gt;1),"※入库单号重复","")))))))</f>
        <v/>
      </c>
    </row>
    <row r="554">
      <c r="A554" s="24">
        <f>IF($G554="","",COUNTA($G$4:$G554))</f>
        <v/>
      </c>
      <c r="B554" s="17" t="n"/>
      <c r="C554" s="30" t="n">
        <v>46108</v>
      </c>
      <c r="D554" s="17" t="inlineStr">
        <is>
          <t>A国内</t>
        </is>
      </c>
      <c r="E554" s="17" t="inlineStr">
        <is>
          <t>CBHU8968633-202603</t>
        </is>
      </c>
      <c r="F554" s="17" t="inlineStr">
        <is>
          <t>烟台市金豪矿山机械有限公司</t>
        </is>
      </c>
      <c r="G554" s="17" t="inlineStr">
        <is>
          <t>JH0491</t>
        </is>
      </c>
      <c r="H554" s="24">
        <f>IF($G554="","",IFERROR(VLOOKUP($G554,物料档案!$A$4:$P$1203,3,0),"※编码不在物料档案里"))</f>
        <v/>
      </c>
      <c r="I554" s="24">
        <f>IF($G554="","",IFERROR(VLOOKUP($G554,物料档案!$A$4:$P$1203,4,0),"※编码不在物料档案里"))</f>
        <v/>
      </c>
      <c r="J554" s="24">
        <f>IF($G554="","",IFERROR(VLOOKUP($G554,物料档案!$A$4:$P$1203,5,0),"※编码不在物料档案里"))</f>
        <v/>
      </c>
      <c r="K554" s="23" t="n">
        <v>50</v>
      </c>
      <c r="L554" s="31" t="n"/>
      <c r="M554" s="24">
        <f>IF($G554="","",IF($D554="A国内","CNY","TZS"))</f>
        <v/>
      </c>
      <c r="N554" s="28">
        <f>IF($G554="","",IF($D554="A国内",汇率,1))</f>
        <v/>
      </c>
      <c r="O554" s="25">
        <f>IF($G554="","",ROUND(N($K554)*N($L554),2))</f>
        <v/>
      </c>
      <c r="P554" s="26">
        <f>IF($G554="","",ROUND($O554*$N554,0))</f>
        <v/>
      </c>
      <c r="Q554" s="26">
        <f>IF($G554="","",SUMIFS($P$4:$P$2503,$E$4:$E$2503,$E554,$Z$4:$Z$2503,"正常"))</f>
        <v/>
      </c>
      <c r="R554" s="26">
        <f>IF($G554="","",SUMIFS(费用台账!$I$4:$I$503,费用台账!$C$4:$C$503,$E554,费用台账!$J$4:$J$503,"是",费用台账!$K$4:$K$503,"正常"))</f>
        <v/>
      </c>
      <c r="S554" s="28">
        <f>IF($G554="","",COUNTIFS($E$4:$E$2503,$E554,$Z$4:$Z$2503,"正常",$Y$4:$Y$2503,"待补价"))</f>
        <v/>
      </c>
      <c r="T554" s="26">
        <f>IF($G554="","",SUMIFS($P$4:$P$2503,$E$4:$E$2503,$E554,$Z$4:$Z$2503,"正常",$A$4:$A$2503,"&lt;="&amp;$A554))</f>
        <v/>
      </c>
      <c r="U554" s="26">
        <f>IF($G554="","",IF(OR($S554&gt;0,$Q554=0,$R554=0,$Z554&lt;&gt;"正常"),0,ROUND($T554/$Q554*$R554,0)-ROUND(($T554-$P554)/$Q554*$R554,0)))</f>
        <v/>
      </c>
      <c r="V554" s="26">
        <f>IF($G554="","",ROUND($P554+$U554,0))</f>
        <v/>
      </c>
      <c r="W554" s="26">
        <f>IF($G554="","",IF(N($K554)=0,0,ROUND($V554/$K554,2)))</f>
        <v/>
      </c>
      <c r="X554" s="17" t="inlineStr">
        <is>
          <t>采购入库</t>
        </is>
      </c>
      <c r="Y554" s="17" t="inlineStr">
        <is>
          <t>待补价</t>
        </is>
      </c>
      <c r="Z554" s="17" t="inlineStr">
        <is>
          <t>正常</t>
        </is>
      </c>
      <c r="AA554" s="17" t="n"/>
      <c r="AB554" s="17" t="inlineStr">
        <is>
          <t>原表第 560 行</t>
        </is>
      </c>
      <c r="AC554" s="24">
        <f>IF($G554="","",IF($H554="※编码不在物料档案里","※物料编码不在档案里",IF(N($K554)&lt;=0,"※入库数量要大于 0",IF(AND($C554&lt;&gt;"",$C554&lt;=结账锁),"※日期早于已结账截止日，不能再录",IF(AND($L554=0,$X554="正常"),"※没填单价，价格状态请选「待补价」",IF(AND($S554&gt;0,$R554&gt;0),"△本批有 "&amp;$S554&amp;" 行没单价，整批运费先挂账没摊",IF(AND($B554&lt;&gt;"",COUNTIF($B$4:$B$2503,$B554)&gt;1),"※入库单号重复","")))))))</f>
        <v/>
      </c>
    </row>
    <row r="555">
      <c r="A555" s="24">
        <f>IF($G555="","",COUNTA($G$4:$G555))</f>
        <v/>
      </c>
      <c r="B555" s="17" t="n"/>
      <c r="C555" s="30" t="n">
        <v>46108</v>
      </c>
      <c r="D555" s="17" t="inlineStr">
        <is>
          <t>A国内</t>
        </is>
      </c>
      <c r="E555" s="17" t="inlineStr">
        <is>
          <t>CBHU8968633-202603</t>
        </is>
      </c>
      <c r="F555" s="17" t="inlineStr">
        <is>
          <t>烟台市金豪矿山机械有限公司</t>
        </is>
      </c>
      <c r="G555" s="17" t="inlineStr">
        <is>
          <t>JH0492</t>
        </is>
      </c>
      <c r="H555" s="24">
        <f>IF($G555="","",IFERROR(VLOOKUP($G555,物料档案!$A$4:$P$1203,3,0),"※编码不在物料档案里"))</f>
        <v/>
      </c>
      <c r="I555" s="24">
        <f>IF($G555="","",IFERROR(VLOOKUP($G555,物料档案!$A$4:$P$1203,4,0),"※编码不在物料档案里"))</f>
        <v/>
      </c>
      <c r="J555" s="24">
        <f>IF($G555="","",IFERROR(VLOOKUP($G555,物料档案!$A$4:$P$1203,5,0),"※编码不在物料档案里"))</f>
        <v/>
      </c>
      <c r="K555" s="23" t="n">
        <v>32</v>
      </c>
      <c r="L555" s="31" t="n"/>
      <c r="M555" s="24">
        <f>IF($G555="","",IF($D555="A国内","CNY","TZS"))</f>
        <v/>
      </c>
      <c r="N555" s="28">
        <f>IF($G555="","",IF($D555="A国内",汇率,1))</f>
        <v/>
      </c>
      <c r="O555" s="25">
        <f>IF($G555="","",ROUND(N($K555)*N($L555),2))</f>
        <v/>
      </c>
      <c r="P555" s="26">
        <f>IF($G555="","",ROUND($O555*$N555,0))</f>
        <v/>
      </c>
      <c r="Q555" s="26">
        <f>IF($G555="","",SUMIFS($P$4:$P$2503,$E$4:$E$2503,$E555,$Z$4:$Z$2503,"正常"))</f>
        <v/>
      </c>
      <c r="R555" s="26">
        <f>IF($G555="","",SUMIFS(费用台账!$I$4:$I$503,费用台账!$C$4:$C$503,$E555,费用台账!$J$4:$J$503,"是",费用台账!$K$4:$K$503,"正常"))</f>
        <v/>
      </c>
      <c r="S555" s="28">
        <f>IF($G555="","",COUNTIFS($E$4:$E$2503,$E555,$Z$4:$Z$2503,"正常",$Y$4:$Y$2503,"待补价"))</f>
        <v/>
      </c>
      <c r="T555" s="26">
        <f>IF($G555="","",SUMIFS($P$4:$P$2503,$E$4:$E$2503,$E555,$Z$4:$Z$2503,"正常",$A$4:$A$2503,"&lt;="&amp;$A555))</f>
        <v/>
      </c>
      <c r="U555" s="26">
        <f>IF($G555="","",IF(OR($S555&gt;0,$Q555=0,$R555=0,$Z555&lt;&gt;"正常"),0,ROUND($T555/$Q555*$R555,0)-ROUND(($T555-$P555)/$Q555*$R555,0)))</f>
        <v/>
      </c>
      <c r="V555" s="26">
        <f>IF($G555="","",ROUND($P555+$U555,0))</f>
        <v/>
      </c>
      <c r="W555" s="26">
        <f>IF($G555="","",IF(N($K555)=0,0,ROUND($V555/$K555,2)))</f>
        <v/>
      </c>
      <c r="X555" s="17" t="inlineStr">
        <is>
          <t>采购入库</t>
        </is>
      </c>
      <c r="Y555" s="17" t="inlineStr">
        <is>
          <t>待补价</t>
        </is>
      </c>
      <c r="Z555" s="17" t="inlineStr">
        <is>
          <t>正常</t>
        </is>
      </c>
      <c r="AA555" s="17" t="n"/>
      <c r="AB555" s="17" t="inlineStr">
        <is>
          <t>原表第 561 行</t>
        </is>
      </c>
      <c r="AC555" s="24">
        <f>IF($G555="","",IF($H555="※编码不在物料档案里","※物料编码不在档案里",IF(N($K555)&lt;=0,"※入库数量要大于 0",IF(AND($C555&lt;&gt;"",$C555&lt;=结账锁),"※日期早于已结账截止日，不能再录",IF(AND($L555=0,$X555="正常"),"※没填单价，价格状态请选「待补价」",IF(AND($S555&gt;0,$R555&gt;0),"△本批有 "&amp;$S555&amp;" 行没单价，整批运费先挂账没摊",IF(AND($B555&lt;&gt;"",COUNTIF($B$4:$B$2503,$B555)&gt;1),"※入库单号重复","")))))))</f>
        <v/>
      </c>
    </row>
    <row r="556">
      <c r="A556" s="24">
        <f>IF($G556="","",COUNTA($G$4:$G556))</f>
        <v/>
      </c>
      <c r="B556" s="17" t="n"/>
      <c r="C556" s="30" t="n">
        <v>46108</v>
      </c>
      <c r="D556" s="17" t="inlineStr">
        <is>
          <t>A国内</t>
        </is>
      </c>
      <c r="E556" s="17" t="inlineStr">
        <is>
          <t>CBHU8968633-202603</t>
        </is>
      </c>
      <c r="F556" s="17" t="inlineStr">
        <is>
          <t>烟台市金豪矿山机械有限公司</t>
        </is>
      </c>
      <c r="G556" s="17" t="inlineStr">
        <is>
          <t>JH0493</t>
        </is>
      </c>
      <c r="H556" s="24">
        <f>IF($G556="","",IFERROR(VLOOKUP($G556,物料档案!$A$4:$P$1203,3,0),"※编码不在物料档案里"))</f>
        <v/>
      </c>
      <c r="I556" s="24">
        <f>IF($G556="","",IFERROR(VLOOKUP($G556,物料档案!$A$4:$P$1203,4,0),"※编码不在物料档案里"))</f>
        <v/>
      </c>
      <c r="J556" s="24">
        <f>IF($G556="","",IFERROR(VLOOKUP($G556,物料档案!$A$4:$P$1203,5,0),"※编码不在物料档案里"))</f>
        <v/>
      </c>
      <c r="K556" s="23" t="n">
        <v>32</v>
      </c>
      <c r="L556" s="31" t="n"/>
      <c r="M556" s="24">
        <f>IF($G556="","",IF($D556="A国内","CNY","TZS"))</f>
        <v/>
      </c>
      <c r="N556" s="28">
        <f>IF($G556="","",IF($D556="A国内",汇率,1))</f>
        <v/>
      </c>
      <c r="O556" s="25">
        <f>IF($G556="","",ROUND(N($K556)*N($L556),2))</f>
        <v/>
      </c>
      <c r="P556" s="26">
        <f>IF($G556="","",ROUND($O556*$N556,0))</f>
        <v/>
      </c>
      <c r="Q556" s="26">
        <f>IF($G556="","",SUMIFS($P$4:$P$2503,$E$4:$E$2503,$E556,$Z$4:$Z$2503,"正常"))</f>
        <v/>
      </c>
      <c r="R556" s="26">
        <f>IF($G556="","",SUMIFS(费用台账!$I$4:$I$503,费用台账!$C$4:$C$503,$E556,费用台账!$J$4:$J$503,"是",费用台账!$K$4:$K$503,"正常"))</f>
        <v/>
      </c>
      <c r="S556" s="28">
        <f>IF($G556="","",COUNTIFS($E$4:$E$2503,$E556,$Z$4:$Z$2503,"正常",$Y$4:$Y$2503,"待补价"))</f>
        <v/>
      </c>
      <c r="T556" s="26">
        <f>IF($G556="","",SUMIFS($P$4:$P$2503,$E$4:$E$2503,$E556,$Z$4:$Z$2503,"正常",$A$4:$A$2503,"&lt;="&amp;$A556))</f>
        <v/>
      </c>
      <c r="U556" s="26">
        <f>IF($G556="","",IF(OR($S556&gt;0,$Q556=0,$R556=0,$Z556&lt;&gt;"正常"),0,ROUND($T556/$Q556*$R556,0)-ROUND(($T556-$P556)/$Q556*$R556,0)))</f>
        <v/>
      </c>
      <c r="V556" s="26">
        <f>IF($G556="","",ROUND($P556+$U556,0))</f>
        <v/>
      </c>
      <c r="W556" s="26">
        <f>IF($G556="","",IF(N($K556)=0,0,ROUND($V556/$K556,2)))</f>
        <v/>
      </c>
      <c r="X556" s="17" t="inlineStr">
        <is>
          <t>采购入库</t>
        </is>
      </c>
      <c r="Y556" s="17" t="inlineStr">
        <is>
          <t>待补价</t>
        </is>
      </c>
      <c r="Z556" s="17" t="inlineStr">
        <is>
          <t>正常</t>
        </is>
      </c>
      <c r="AA556" s="17" t="n"/>
      <c r="AB556" s="17" t="inlineStr">
        <is>
          <t>原表第 562 行</t>
        </is>
      </c>
      <c r="AC556" s="24">
        <f>IF($G556="","",IF($H556="※编码不在物料档案里","※物料编码不在档案里",IF(N($K556)&lt;=0,"※入库数量要大于 0",IF(AND($C556&lt;&gt;"",$C556&lt;=结账锁),"※日期早于已结账截止日，不能再录",IF(AND($L556=0,$X556="正常"),"※没填单价，价格状态请选「待补价」",IF(AND($S556&gt;0,$R556&gt;0),"△本批有 "&amp;$S556&amp;" 行没单价，整批运费先挂账没摊",IF(AND($B556&lt;&gt;"",COUNTIF($B$4:$B$2503,$B556)&gt;1),"※入库单号重复","")))))))</f>
        <v/>
      </c>
    </row>
    <row r="557">
      <c r="A557" s="24">
        <f>IF($G557="","",COUNTA($G$4:$G557))</f>
        <v/>
      </c>
      <c r="B557" s="17" t="n"/>
      <c r="C557" s="30" t="n">
        <v>46108</v>
      </c>
      <c r="D557" s="17" t="inlineStr">
        <is>
          <t>A国内</t>
        </is>
      </c>
      <c r="E557" s="17" t="inlineStr">
        <is>
          <t>CBHU8968633-202603</t>
        </is>
      </c>
      <c r="F557" s="17" t="inlineStr">
        <is>
          <t>烟台市金豪矿山机械有限公司</t>
        </is>
      </c>
      <c r="G557" s="17" t="inlineStr">
        <is>
          <t>JH0494</t>
        </is>
      </c>
      <c r="H557" s="24">
        <f>IF($G557="","",IFERROR(VLOOKUP($G557,物料档案!$A$4:$P$1203,3,0),"※编码不在物料档案里"))</f>
        <v/>
      </c>
      <c r="I557" s="24">
        <f>IF($G557="","",IFERROR(VLOOKUP($G557,物料档案!$A$4:$P$1203,4,0),"※编码不在物料档案里"))</f>
        <v/>
      </c>
      <c r="J557" s="24">
        <f>IF($G557="","",IFERROR(VLOOKUP($G557,物料档案!$A$4:$P$1203,5,0),"※编码不在物料档案里"))</f>
        <v/>
      </c>
      <c r="K557" s="23" t="n">
        <v>6</v>
      </c>
      <c r="L557" s="31" t="n"/>
      <c r="M557" s="24">
        <f>IF($G557="","",IF($D557="A国内","CNY","TZS"))</f>
        <v/>
      </c>
      <c r="N557" s="28">
        <f>IF($G557="","",IF($D557="A国内",汇率,1))</f>
        <v/>
      </c>
      <c r="O557" s="25">
        <f>IF($G557="","",ROUND(N($K557)*N($L557),2))</f>
        <v/>
      </c>
      <c r="P557" s="26">
        <f>IF($G557="","",ROUND($O557*$N557,0))</f>
        <v/>
      </c>
      <c r="Q557" s="26">
        <f>IF($G557="","",SUMIFS($P$4:$P$2503,$E$4:$E$2503,$E557,$Z$4:$Z$2503,"正常"))</f>
        <v/>
      </c>
      <c r="R557" s="26">
        <f>IF($G557="","",SUMIFS(费用台账!$I$4:$I$503,费用台账!$C$4:$C$503,$E557,费用台账!$J$4:$J$503,"是",费用台账!$K$4:$K$503,"正常"))</f>
        <v/>
      </c>
      <c r="S557" s="28">
        <f>IF($G557="","",COUNTIFS($E$4:$E$2503,$E557,$Z$4:$Z$2503,"正常",$Y$4:$Y$2503,"待补价"))</f>
        <v/>
      </c>
      <c r="T557" s="26">
        <f>IF($G557="","",SUMIFS($P$4:$P$2503,$E$4:$E$2503,$E557,$Z$4:$Z$2503,"正常",$A$4:$A$2503,"&lt;="&amp;$A557))</f>
        <v/>
      </c>
      <c r="U557" s="26">
        <f>IF($G557="","",IF(OR($S557&gt;0,$Q557=0,$R557=0,$Z557&lt;&gt;"正常"),0,ROUND($T557/$Q557*$R557,0)-ROUND(($T557-$P557)/$Q557*$R557,0)))</f>
        <v/>
      </c>
      <c r="V557" s="26">
        <f>IF($G557="","",ROUND($P557+$U557,0))</f>
        <v/>
      </c>
      <c r="W557" s="26">
        <f>IF($G557="","",IF(N($K557)=0,0,ROUND($V557/$K557,2)))</f>
        <v/>
      </c>
      <c r="X557" s="17" t="inlineStr">
        <is>
          <t>采购入库</t>
        </is>
      </c>
      <c r="Y557" s="17" t="inlineStr">
        <is>
          <t>待补价</t>
        </is>
      </c>
      <c r="Z557" s="17" t="inlineStr">
        <is>
          <t>正常</t>
        </is>
      </c>
      <c r="AA557" s="17" t="n"/>
      <c r="AB557" s="17" t="inlineStr">
        <is>
          <t>原表第 563 行</t>
        </is>
      </c>
      <c r="AC557" s="24">
        <f>IF($G557="","",IF($H557="※编码不在物料档案里","※物料编码不在档案里",IF(N($K557)&lt;=0,"※入库数量要大于 0",IF(AND($C557&lt;&gt;"",$C557&lt;=结账锁),"※日期早于已结账截止日，不能再录",IF(AND($L557=0,$X557="正常"),"※没填单价，价格状态请选「待补价」",IF(AND($S557&gt;0,$R557&gt;0),"△本批有 "&amp;$S557&amp;" 行没单价，整批运费先挂账没摊",IF(AND($B557&lt;&gt;"",COUNTIF($B$4:$B$2503,$B557)&gt;1),"※入库单号重复","")))))))</f>
        <v/>
      </c>
    </row>
    <row r="558">
      <c r="A558" s="24">
        <f>IF($G558="","",COUNTA($G$4:$G558))</f>
        <v/>
      </c>
      <c r="B558" s="17" t="n"/>
      <c r="C558" s="30" t="n">
        <v>46108</v>
      </c>
      <c r="D558" s="17" t="inlineStr">
        <is>
          <t>A国内</t>
        </is>
      </c>
      <c r="E558" s="17" t="inlineStr">
        <is>
          <t>CBHU8968633-202603</t>
        </is>
      </c>
      <c r="F558" s="17" t="inlineStr">
        <is>
          <t>烟台市金豪矿山机械有限公司</t>
        </is>
      </c>
      <c r="G558" s="17" t="inlineStr">
        <is>
          <t>JH0495</t>
        </is>
      </c>
      <c r="H558" s="24">
        <f>IF($G558="","",IFERROR(VLOOKUP($G558,物料档案!$A$4:$P$1203,3,0),"※编码不在物料档案里"))</f>
        <v/>
      </c>
      <c r="I558" s="24">
        <f>IF($G558="","",IFERROR(VLOOKUP($G558,物料档案!$A$4:$P$1203,4,0),"※编码不在物料档案里"))</f>
        <v/>
      </c>
      <c r="J558" s="24">
        <f>IF($G558="","",IFERROR(VLOOKUP($G558,物料档案!$A$4:$P$1203,5,0),"※编码不在物料档案里"))</f>
        <v/>
      </c>
      <c r="K558" s="23" t="n">
        <v>800</v>
      </c>
      <c r="L558" s="31" t="n"/>
      <c r="M558" s="24">
        <f>IF($G558="","",IF($D558="A国内","CNY","TZS"))</f>
        <v/>
      </c>
      <c r="N558" s="28">
        <f>IF($G558="","",IF($D558="A国内",汇率,1))</f>
        <v/>
      </c>
      <c r="O558" s="25">
        <f>IF($G558="","",ROUND(N($K558)*N($L558),2))</f>
        <v/>
      </c>
      <c r="P558" s="26">
        <f>IF($G558="","",ROUND($O558*$N558,0))</f>
        <v/>
      </c>
      <c r="Q558" s="26">
        <f>IF($G558="","",SUMIFS($P$4:$P$2503,$E$4:$E$2503,$E558,$Z$4:$Z$2503,"正常"))</f>
        <v/>
      </c>
      <c r="R558" s="26">
        <f>IF($G558="","",SUMIFS(费用台账!$I$4:$I$503,费用台账!$C$4:$C$503,$E558,费用台账!$J$4:$J$503,"是",费用台账!$K$4:$K$503,"正常"))</f>
        <v/>
      </c>
      <c r="S558" s="28">
        <f>IF($G558="","",COUNTIFS($E$4:$E$2503,$E558,$Z$4:$Z$2503,"正常",$Y$4:$Y$2503,"待补价"))</f>
        <v/>
      </c>
      <c r="T558" s="26">
        <f>IF($G558="","",SUMIFS($P$4:$P$2503,$E$4:$E$2503,$E558,$Z$4:$Z$2503,"正常",$A$4:$A$2503,"&lt;="&amp;$A558))</f>
        <v/>
      </c>
      <c r="U558" s="26">
        <f>IF($G558="","",IF(OR($S558&gt;0,$Q558=0,$R558=0,$Z558&lt;&gt;"正常"),0,ROUND($T558/$Q558*$R558,0)-ROUND(($T558-$P558)/$Q558*$R558,0)))</f>
        <v/>
      </c>
      <c r="V558" s="26">
        <f>IF($G558="","",ROUND($P558+$U558,0))</f>
        <v/>
      </c>
      <c r="W558" s="26">
        <f>IF($G558="","",IF(N($K558)=0,0,ROUND($V558/$K558,2)))</f>
        <v/>
      </c>
      <c r="X558" s="17" t="inlineStr">
        <is>
          <t>采购入库</t>
        </is>
      </c>
      <c r="Y558" s="17" t="inlineStr">
        <is>
          <t>待补价</t>
        </is>
      </c>
      <c r="Z558" s="17" t="inlineStr">
        <is>
          <t>正常</t>
        </is>
      </c>
      <c r="AA558" s="17" t="n"/>
      <c r="AB558" s="17" t="inlineStr">
        <is>
          <t>原表第 564 行</t>
        </is>
      </c>
      <c r="AC558" s="24">
        <f>IF($G558="","",IF($H558="※编码不在物料档案里","※物料编码不在档案里",IF(N($K558)&lt;=0,"※入库数量要大于 0",IF(AND($C558&lt;&gt;"",$C558&lt;=结账锁),"※日期早于已结账截止日，不能再录",IF(AND($L558=0,$X558="正常"),"※没填单价，价格状态请选「待补价」",IF(AND($S558&gt;0,$R558&gt;0),"△本批有 "&amp;$S558&amp;" 行没单价，整批运费先挂账没摊",IF(AND($B558&lt;&gt;"",COUNTIF($B$4:$B$2503,$B558)&gt;1),"※入库单号重复","")))))))</f>
        <v/>
      </c>
    </row>
    <row r="559">
      <c r="A559" s="24">
        <f>IF($G559="","",COUNTA($G$4:$G559))</f>
        <v/>
      </c>
      <c r="B559" s="17" t="n"/>
      <c r="C559" s="30" t="n">
        <v>46108</v>
      </c>
      <c r="D559" s="17" t="inlineStr">
        <is>
          <t>A国内</t>
        </is>
      </c>
      <c r="E559" s="17" t="inlineStr">
        <is>
          <t>CBHU8968633-202603</t>
        </is>
      </c>
      <c r="F559" s="17" t="inlineStr">
        <is>
          <t>烟台市金豪矿山机械有限公司</t>
        </is>
      </c>
      <c r="G559" s="17" t="inlineStr">
        <is>
          <t>JH0496</t>
        </is>
      </c>
      <c r="H559" s="24">
        <f>IF($G559="","",IFERROR(VLOOKUP($G559,物料档案!$A$4:$P$1203,3,0),"※编码不在物料档案里"))</f>
        <v/>
      </c>
      <c r="I559" s="24">
        <f>IF($G559="","",IFERROR(VLOOKUP($G559,物料档案!$A$4:$P$1203,4,0),"※编码不在物料档案里"))</f>
        <v/>
      </c>
      <c r="J559" s="24">
        <f>IF($G559="","",IFERROR(VLOOKUP($G559,物料档案!$A$4:$P$1203,5,0),"※编码不在物料档案里"))</f>
        <v/>
      </c>
      <c r="K559" s="23" t="n">
        <v>3</v>
      </c>
      <c r="L559" s="31" t="n"/>
      <c r="M559" s="24">
        <f>IF($G559="","",IF($D559="A国内","CNY","TZS"))</f>
        <v/>
      </c>
      <c r="N559" s="28">
        <f>IF($G559="","",IF($D559="A国内",汇率,1))</f>
        <v/>
      </c>
      <c r="O559" s="25">
        <f>IF($G559="","",ROUND(N($K559)*N($L559),2))</f>
        <v/>
      </c>
      <c r="P559" s="26">
        <f>IF($G559="","",ROUND($O559*$N559,0))</f>
        <v/>
      </c>
      <c r="Q559" s="26">
        <f>IF($G559="","",SUMIFS($P$4:$P$2503,$E$4:$E$2503,$E559,$Z$4:$Z$2503,"正常"))</f>
        <v/>
      </c>
      <c r="R559" s="26">
        <f>IF($G559="","",SUMIFS(费用台账!$I$4:$I$503,费用台账!$C$4:$C$503,$E559,费用台账!$J$4:$J$503,"是",费用台账!$K$4:$K$503,"正常"))</f>
        <v/>
      </c>
      <c r="S559" s="28">
        <f>IF($G559="","",COUNTIFS($E$4:$E$2503,$E559,$Z$4:$Z$2503,"正常",$Y$4:$Y$2503,"待补价"))</f>
        <v/>
      </c>
      <c r="T559" s="26">
        <f>IF($G559="","",SUMIFS($P$4:$P$2503,$E$4:$E$2503,$E559,$Z$4:$Z$2503,"正常",$A$4:$A$2503,"&lt;="&amp;$A559))</f>
        <v/>
      </c>
      <c r="U559" s="26">
        <f>IF($G559="","",IF(OR($S559&gt;0,$Q559=0,$R559=0,$Z559&lt;&gt;"正常"),0,ROUND($T559/$Q559*$R559,0)-ROUND(($T559-$P559)/$Q559*$R559,0)))</f>
        <v/>
      </c>
      <c r="V559" s="26">
        <f>IF($G559="","",ROUND($P559+$U559,0))</f>
        <v/>
      </c>
      <c r="W559" s="26">
        <f>IF($G559="","",IF(N($K559)=0,0,ROUND($V559/$K559,2)))</f>
        <v/>
      </c>
      <c r="X559" s="17" t="inlineStr">
        <is>
          <t>采购入库</t>
        </is>
      </c>
      <c r="Y559" s="17" t="inlineStr">
        <is>
          <t>待补价</t>
        </is>
      </c>
      <c r="Z559" s="17" t="inlineStr">
        <is>
          <t>正常</t>
        </is>
      </c>
      <c r="AA559" s="17" t="n"/>
      <c r="AB559" s="17" t="inlineStr">
        <is>
          <t>原表第 565 行</t>
        </is>
      </c>
      <c r="AC559" s="24">
        <f>IF($G559="","",IF($H559="※编码不在物料档案里","※物料编码不在档案里",IF(N($K559)&lt;=0,"※入库数量要大于 0",IF(AND($C559&lt;&gt;"",$C559&lt;=结账锁),"※日期早于已结账截止日，不能再录",IF(AND($L559=0,$X559="正常"),"※没填单价，价格状态请选「待补价」",IF(AND($S559&gt;0,$R559&gt;0),"△本批有 "&amp;$S559&amp;" 行没单价，整批运费先挂账没摊",IF(AND($B559&lt;&gt;"",COUNTIF($B$4:$B$2503,$B559)&gt;1),"※入库单号重复","")))))))</f>
        <v/>
      </c>
    </row>
    <row r="560">
      <c r="A560" s="24">
        <f>IF($G560="","",COUNTA($G$4:$G560))</f>
        <v/>
      </c>
      <c r="B560" s="17" t="n"/>
      <c r="C560" s="30" t="n">
        <v>46108</v>
      </c>
      <c r="D560" s="17" t="inlineStr">
        <is>
          <t>A国内</t>
        </is>
      </c>
      <c r="E560" s="17" t="inlineStr">
        <is>
          <t>CBHU8932081-202603</t>
        </is>
      </c>
      <c r="F560" s="17" t="inlineStr">
        <is>
          <t>烟台市金豪矿山机械有限公司</t>
        </is>
      </c>
      <c r="G560" s="17" t="inlineStr">
        <is>
          <t>JH0166</t>
        </is>
      </c>
      <c r="H560" s="24">
        <f>IF($G560="","",IFERROR(VLOOKUP($G560,物料档案!$A$4:$P$1203,3,0),"※编码不在物料档案里"))</f>
        <v/>
      </c>
      <c r="I560" s="24">
        <f>IF($G560="","",IFERROR(VLOOKUP($G560,物料档案!$A$4:$P$1203,4,0),"※编码不在物料档案里"))</f>
        <v/>
      </c>
      <c r="J560" s="24">
        <f>IF($G560="","",IFERROR(VLOOKUP($G560,物料档案!$A$4:$P$1203,5,0),"※编码不在物料档案里"))</f>
        <v/>
      </c>
      <c r="K560" s="23" t="n">
        <v>1</v>
      </c>
      <c r="L560" s="31" t="n"/>
      <c r="M560" s="24">
        <f>IF($G560="","",IF($D560="A国内","CNY","TZS"))</f>
        <v/>
      </c>
      <c r="N560" s="28">
        <f>IF($G560="","",IF($D560="A国内",汇率,1))</f>
        <v/>
      </c>
      <c r="O560" s="25">
        <f>IF($G560="","",ROUND(N($K560)*N($L560),2))</f>
        <v/>
      </c>
      <c r="P560" s="26">
        <f>IF($G560="","",ROUND($O560*$N560,0))</f>
        <v/>
      </c>
      <c r="Q560" s="26">
        <f>IF($G560="","",SUMIFS($P$4:$P$2503,$E$4:$E$2503,$E560,$Z$4:$Z$2503,"正常"))</f>
        <v/>
      </c>
      <c r="R560" s="26">
        <f>IF($G560="","",SUMIFS(费用台账!$I$4:$I$503,费用台账!$C$4:$C$503,$E560,费用台账!$J$4:$J$503,"是",费用台账!$K$4:$K$503,"正常"))</f>
        <v/>
      </c>
      <c r="S560" s="28">
        <f>IF($G560="","",COUNTIFS($E$4:$E$2503,$E560,$Z$4:$Z$2503,"正常",$Y$4:$Y$2503,"待补价"))</f>
        <v/>
      </c>
      <c r="T560" s="26">
        <f>IF($G560="","",SUMIFS($P$4:$P$2503,$E$4:$E$2503,$E560,$Z$4:$Z$2503,"正常",$A$4:$A$2503,"&lt;="&amp;$A560))</f>
        <v/>
      </c>
      <c r="U560" s="26">
        <f>IF($G560="","",IF(OR($S560&gt;0,$Q560=0,$R560=0,$Z560&lt;&gt;"正常"),0,ROUND($T560/$Q560*$R560,0)-ROUND(($T560-$P560)/$Q560*$R560,0)))</f>
        <v/>
      </c>
      <c r="V560" s="26">
        <f>IF($G560="","",ROUND($P560+$U560,0))</f>
        <v/>
      </c>
      <c r="W560" s="26">
        <f>IF($G560="","",IF(N($K560)=0,0,ROUND($V560/$K560,2)))</f>
        <v/>
      </c>
      <c r="X560" s="17" t="inlineStr">
        <is>
          <t>采购入库</t>
        </is>
      </c>
      <c r="Y560" s="17" t="inlineStr">
        <is>
          <t>待补价</t>
        </is>
      </c>
      <c r="Z560" s="17" t="inlineStr">
        <is>
          <t>正常</t>
        </is>
      </c>
      <c r="AA560" s="17" t="n"/>
      <c r="AB560" s="17" t="inlineStr">
        <is>
          <t>原表第 566 行</t>
        </is>
      </c>
      <c r="AC560" s="24">
        <f>IF($G560="","",IF($H560="※编码不在物料档案里","※物料编码不在档案里",IF(N($K560)&lt;=0,"※入库数量要大于 0",IF(AND($C560&lt;&gt;"",$C560&lt;=结账锁),"※日期早于已结账截止日，不能再录",IF(AND($L560=0,$X560="正常"),"※没填单价，价格状态请选「待补价」",IF(AND($S560&gt;0,$R560&gt;0),"△本批有 "&amp;$S560&amp;" 行没单价，整批运费先挂账没摊",IF(AND($B560&lt;&gt;"",COUNTIF($B$4:$B$2503,$B560)&gt;1),"※入库单号重复","")))))))</f>
        <v/>
      </c>
    </row>
    <row r="561">
      <c r="A561" s="24">
        <f>IF($G561="","",COUNTA($G$4:$G561))</f>
        <v/>
      </c>
      <c r="B561" s="17" t="n"/>
      <c r="C561" s="30" t="n">
        <v>46108</v>
      </c>
      <c r="D561" s="17" t="inlineStr">
        <is>
          <t>A国内</t>
        </is>
      </c>
      <c r="E561" s="17" t="inlineStr">
        <is>
          <t>CBHU8932081-202603</t>
        </is>
      </c>
      <c r="F561" s="17" t="inlineStr">
        <is>
          <t>烟台市金豪矿山机械有限公司</t>
        </is>
      </c>
      <c r="G561" s="17" t="inlineStr">
        <is>
          <t>JH0405</t>
        </is>
      </c>
      <c r="H561" s="24">
        <f>IF($G561="","",IFERROR(VLOOKUP($G561,物料档案!$A$4:$P$1203,3,0),"※编码不在物料档案里"))</f>
        <v/>
      </c>
      <c r="I561" s="24">
        <f>IF($G561="","",IFERROR(VLOOKUP($G561,物料档案!$A$4:$P$1203,4,0),"※编码不在物料档案里"))</f>
        <v/>
      </c>
      <c r="J561" s="24">
        <f>IF($G561="","",IFERROR(VLOOKUP($G561,物料档案!$A$4:$P$1203,5,0),"※编码不在物料档案里"))</f>
        <v/>
      </c>
      <c r="K561" s="23" t="n">
        <v>1</v>
      </c>
      <c r="L561" s="31" t="n"/>
      <c r="M561" s="24">
        <f>IF($G561="","",IF($D561="A国内","CNY","TZS"))</f>
        <v/>
      </c>
      <c r="N561" s="28">
        <f>IF($G561="","",IF($D561="A国内",汇率,1))</f>
        <v/>
      </c>
      <c r="O561" s="25">
        <f>IF($G561="","",ROUND(N($K561)*N($L561),2))</f>
        <v/>
      </c>
      <c r="P561" s="26">
        <f>IF($G561="","",ROUND($O561*$N561,0))</f>
        <v/>
      </c>
      <c r="Q561" s="26">
        <f>IF($G561="","",SUMIFS($P$4:$P$2503,$E$4:$E$2503,$E561,$Z$4:$Z$2503,"正常"))</f>
        <v/>
      </c>
      <c r="R561" s="26">
        <f>IF($G561="","",SUMIFS(费用台账!$I$4:$I$503,费用台账!$C$4:$C$503,$E561,费用台账!$J$4:$J$503,"是",费用台账!$K$4:$K$503,"正常"))</f>
        <v/>
      </c>
      <c r="S561" s="28">
        <f>IF($G561="","",COUNTIFS($E$4:$E$2503,$E561,$Z$4:$Z$2503,"正常",$Y$4:$Y$2503,"待补价"))</f>
        <v/>
      </c>
      <c r="T561" s="26">
        <f>IF($G561="","",SUMIFS($P$4:$P$2503,$E$4:$E$2503,$E561,$Z$4:$Z$2503,"正常",$A$4:$A$2503,"&lt;="&amp;$A561))</f>
        <v/>
      </c>
      <c r="U561" s="26">
        <f>IF($G561="","",IF(OR($S561&gt;0,$Q561=0,$R561=0,$Z561&lt;&gt;"正常"),0,ROUND($T561/$Q561*$R561,0)-ROUND(($T561-$P561)/$Q561*$R561,0)))</f>
        <v/>
      </c>
      <c r="V561" s="26">
        <f>IF($G561="","",ROUND($P561+$U561,0))</f>
        <v/>
      </c>
      <c r="W561" s="26">
        <f>IF($G561="","",IF(N($K561)=0,0,ROUND($V561/$K561,2)))</f>
        <v/>
      </c>
      <c r="X561" s="17" t="inlineStr">
        <is>
          <t>采购入库</t>
        </is>
      </c>
      <c r="Y561" s="17" t="inlineStr">
        <is>
          <t>待补价</t>
        </is>
      </c>
      <c r="Z561" s="17" t="inlineStr">
        <is>
          <t>正常</t>
        </is>
      </c>
      <c r="AA561" s="17" t="n"/>
      <c r="AB561" s="17" t="inlineStr">
        <is>
          <t>原表第 567 行</t>
        </is>
      </c>
      <c r="AC561" s="24">
        <f>IF($G561="","",IF($H561="※编码不在物料档案里","※物料编码不在档案里",IF(N($K561)&lt;=0,"※入库数量要大于 0",IF(AND($C561&lt;&gt;"",$C561&lt;=结账锁),"※日期早于已结账截止日，不能再录",IF(AND($L561=0,$X561="正常"),"※没填单价，价格状态请选「待补价」",IF(AND($S561&gt;0,$R561&gt;0),"△本批有 "&amp;$S561&amp;" 行没单价，整批运费先挂账没摊",IF(AND($B561&lt;&gt;"",COUNTIF($B$4:$B$2503,$B561)&gt;1),"※入库单号重复","")))))))</f>
        <v/>
      </c>
    </row>
    <row r="562">
      <c r="A562" s="24">
        <f>IF($G562="","",COUNTA($G$4:$G562))</f>
        <v/>
      </c>
      <c r="B562" s="17" t="n"/>
      <c r="C562" s="30" t="n">
        <v>46108</v>
      </c>
      <c r="D562" s="17" t="inlineStr">
        <is>
          <t>A国内</t>
        </is>
      </c>
      <c r="E562" s="17" t="inlineStr">
        <is>
          <t>CBHU8932081-202603</t>
        </is>
      </c>
      <c r="F562" s="17" t="inlineStr">
        <is>
          <t>烟台市金豪矿山机械有限公司</t>
        </is>
      </c>
      <c r="G562" s="17" t="inlineStr">
        <is>
          <t>JH0497</t>
        </is>
      </c>
      <c r="H562" s="24">
        <f>IF($G562="","",IFERROR(VLOOKUP($G562,物料档案!$A$4:$P$1203,3,0),"※编码不在物料档案里"))</f>
        <v/>
      </c>
      <c r="I562" s="24">
        <f>IF($G562="","",IFERROR(VLOOKUP($G562,物料档案!$A$4:$P$1203,4,0),"※编码不在物料档案里"))</f>
        <v/>
      </c>
      <c r="J562" s="24">
        <f>IF($G562="","",IFERROR(VLOOKUP($G562,物料档案!$A$4:$P$1203,5,0),"※编码不在物料档案里"))</f>
        <v/>
      </c>
      <c r="K562" s="23" t="n">
        <v>42</v>
      </c>
      <c r="L562" s="31" t="n"/>
      <c r="M562" s="24">
        <f>IF($G562="","",IF($D562="A国内","CNY","TZS"))</f>
        <v/>
      </c>
      <c r="N562" s="28">
        <f>IF($G562="","",IF($D562="A国内",汇率,1))</f>
        <v/>
      </c>
      <c r="O562" s="25">
        <f>IF($G562="","",ROUND(N($K562)*N($L562),2))</f>
        <v/>
      </c>
      <c r="P562" s="26">
        <f>IF($G562="","",ROUND($O562*$N562,0))</f>
        <v/>
      </c>
      <c r="Q562" s="26">
        <f>IF($G562="","",SUMIFS($P$4:$P$2503,$E$4:$E$2503,$E562,$Z$4:$Z$2503,"正常"))</f>
        <v/>
      </c>
      <c r="R562" s="26">
        <f>IF($G562="","",SUMIFS(费用台账!$I$4:$I$503,费用台账!$C$4:$C$503,$E562,费用台账!$J$4:$J$503,"是",费用台账!$K$4:$K$503,"正常"))</f>
        <v/>
      </c>
      <c r="S562" s="28">
        <f>IF($G562="","",COUNTIFS($E$4:$E$2503,$E562,$Z$4:$Z$2503,"正常",$Y$4:$Y$2503,"待补价"))</f>
        <v/>
      </c>
      <c r="T562" s="26">
        <f>IF($G562="","",SUMIFS($P$4:$P$2503,$E$4:$E$2503,$E562,$Z$4:$Z$2503,"正常",$A$4:$A$2503,"&lt;="&amp;$A562))</f>
        <v/>
      </c>
      <c r="U562" s="26">
        <f>IF($G562="","",IF(OR($S562&gt;0,$Q562=0,$R562=0,$Z562&lt;&gt;"正常"),0,ROUND($T562/$Q562*$R562,0)-ROUND(($T562-$P562)/$Q562*$R562,0)))</f>
        <v/>
      </c>
      <c r="V562" s="26">
        <f>IF($G562="","",ROUND($P562+$U562,0))</f>
        <v/>
      </c>
      <c r="W562" s="26">
        <f>IF($G562="","",IF(N($K562)=0,0,ROUND($V562/$K562,2)))</f>
        <v/>
      </c>
      <c r="X562" s="17" t="inlineStr">
        <is>
          <t>采购入库</t>
        </is>
      </c>
      <c r="Y562" s="17" t="inlineStr">
        <is>
          <t>待补价</t>
        </is>
      </c>
      <c r="Z562" s="17" t="inlineStr">
        <is>
          <t>正常</t>
        </is>
      </c>
      <c r="AA562" s="17" t="n"/>
      <c r="AB562" s="17" t="inlineStr">
        <is>
          <t>原表第 568 行</t>
        </is>
      </c>
      <c r="AC562" s="24">
        <f>IF($G562="","",IF($H562="※编码不在物料档案里","※物料编码不在档案里",IF(N($K562)&lt;=0,"※入库数量要大于 0",IF(AND($C562&lt;&gt;"",$C562&lt;=结账锁),"※日期早于已结账截止日，不能再录",IF(AND($L562=0,$X562="正常"),"※没填单价，价格状态请选「待补价」",IF(AND($S562&gt;0,$R562&gt;0),"△本批有 "&amp;$S562&amp;" 行没单价，整批运费先挂账没摊",IF(AND($B562&lt;&gt;"",COUNTIF($B$4:$B$2503,$B562)&gt;1),"※入库单号重复","")))))))</f>
        <v/>
      </c>
    </row>
    <row r="563">
      <c r="A563" s="24">
        <f>IF($G563="","",COUNTA($G$4:$G563))</f>
        <v/>
      </c>
      <c r="B563" s="17" t="n"/>
      <c r="C563" s="30" t="n">
        <v>46108</v>
      </c>
      <c r="D563" s="17" t="inlineStr">
        <is>
          <t>A国内</t>
        </is>
      </c>
      <c r="E563" s="17" t="inlineStr">
        <is>
          <t>CBHU8932081-202603</t>
        </is>
      </c>
      <c r="F563" s="17" t="inlineStr">
        <is>
          <t>烟台市金豪矿山机械有限公司</t>
        </is>
      </c>
      <c r="G563" s="17" t="inlineStr">
        <is>
          <t>JH0498</t>
        </is>
      </c>
      <c r="H563" s="24">
        <f>IF($G563="","",IFERROR(VLOOKUP($G563,物料档案!$A$4:$P$1203,3,0),"※编码不在物料档案里"))</f>
        <v/>
      </c>
      <c r="I563" s="24">
        <f>IF($G563="","",IFERROR(VLOOKUP($G563,物料档案!$A$4:$P$1203,4,0),"※编码不在物料档案里"))</f>
        <v/>
      </c>
      <c r="J563" s="24">
        <f>IF($G563="","",IFERROR(VLOOKUP($G563,物料档案!$A$4:$P$1203,5,0),"※编码不在物料档案里"))</f>
        <v/>
      </c>
      <c r="K563" s="23" t="n">
        <v>258</v>
      </c>
      <c r="L563" s="31" t="n"/>
      <c r="M563" s="24">
        <f>IF($G563="","",IF($D563="A国内","CNY","TZS"))</f>
        <v/>
      </c>
      <c r="N563" s="28">
        <f>IF($G563="","",IF($D563="A国内",汇率,1))</f>
        <v/>
      </c>
      <c r="O563" s="25">
        <f>IF($G563="","",ROUND(N($K563)*N($L563),2))</f>
        <v/>
      </c>
      <c r="P563" s="26">
        <f>IF($G563="","",ROUND($O563*$N563,0))</f>
        <v/>
      </c>
      <c r="Q563" s="26">
        <f>IF($G563="","",SUMIFS($P$4:$P$2503,$E$4:$E$2503,$E563,$Z$4:$Z$2503,"正常"))</f>
        <v/>
      </c>
      <c r="R563" s="26">
        <f>IF($G563="","",SUMIFS(费用台账!$I$4:$I$503,费用台账!$C$4:$C$503,$E563,费用台账!$J$4:$J$503,"是",费用台账!$K$4:$K$503,"正常"))</f>
        <v/>
      </c>
      <c r="S563" s="28">
        <f>IF($G563="","",COUNTIFS($E$4:$E$2503,$E563,$Z$4:$Z$2503,"正常",$Y$4:$Y$2503,"待补价"))</f>
        <v/>
      </c>
      <c r="T563" s="26">
        <f>IF($G563="","",SUMIFS($P$4:$P$2503,$E$4:$E$2503,$E563,$Z$4:$Z$2503,"正常",$A$4:$A$2503,"&lt;="&amp;$A563))</f>
        <v/>
      </c>
      <c r="U563" s="26">
        <f>IF($G563="","",IF(OR($S563&gt;0,$Q563=0,$R563=0,$Z563&lt;&gt;"正常"),0,ROUND($T563/$Q563*$R563,0)-ROUND(($T563-$P563)/$Q563*$R563,0)))</f>
        <v/>
      </c>
      <c r="V563" s="26">
        <f>IF($G563="","",ROUND($P563+$U563,0))</f>
        <v/>
      </c>
      <c r="W563" s="26">
        <f>IF($G563="","",IF(N($K563)=0,0,ROUND($V563/$K563,2)))</f>
        <v/>
      </c>
      <c r="X563" s="17" t="inlineStr">
        <is>
          <t>采购入库</t>
        </is>
      </c>
      <c r="Y563" s="17" t="inlineStr">
        <is>
          <t>待补价</t>
        </is>
      </c>
      <c r="Z563" s="17" t="inlineStr">
        <is>
          <t>正常</t>
        </is>
      </c>
      <c r="AA563" s="17" t="n"/>
      <c r="AB563" s="17" t="inlineStr">
        <is>
          <t>原表第 569 行</t>
        </is>
      </c>
      <c r="AC563" s="24">
        <f>IF($G563="","",IF($H563="※编码不在物料档案里","※物料编码不在档案里",IF(N($K563)&lt;=0,"※入库数量要大于 0",IF(AND($C563&lt;&gt;"",$C563&lt;=结账锁),"※日期早于已结账截止日，不能再录",IF(AND($L563=0,$X563="正常"),"※没填单价，价格状态请选「待补价」",IF(AND($S563&gt;0,$R563&gt;0),"△本批有 "&amp;$S563&amp;" 行没单价，整批运费先挂账没摊",IF(AND($B563&lt;&gt;"",COUNTIF($B$4:$B$2503,$B563)&gt;1),"※入库单号重复","")))))))</f>
        <v/>
      </c>
    </row>
    <row r="564">
      <c r="A564" s="24">
        <f>IF($G564="","",COUNTA($G$4:$G564))</f>
        <v/>
      </c>
      <c r="B564" s="17" t="n"/>
      <c r="C564" s="30" t="n">
        <v>46108</v>
      </c>
      <c r="D564" s="17" t="inlineStr">
        <is>
          <t>A国内</t>
        </is>
      </c>
      <c r="E564" s="17" t="inlineStr">
        <is>
          <t>CBHU8932081-202603</t>
        </is>
      </c>
      <c r="F564" s="17" t="inlineStr">
        <is>
          <t>烟台市金豪矿山机械有限公司</t>
        </is>
      </c>
      <c r="G564" s="17" t="inlineStr">
        <is>
          <t>JH0499</t>
        </is>
      </c>
      <c r="H564" s="24">
        <f>IF($G564="","",IFERROR(VLOOKUP($G564,物料档案!$A$4:$P$1203,3,0),"※编码不在物料档案里"))</f>
        <v/>
      </c>
      <c r="I564" s="24">
        <f>IF($G564="","",IFERROR(VLOOKUP($G564,物料档案!$A$4:$P$1203,4,0),"※编码不在物料档案里"))</f>
        <v/>
      </c>
      <c r="J564" s="24">
        <f>IF($G564="","",IFERROR(VLOOKUP($G564,物料档案!$A$4:$P$1203,5,0),"※编码不在物料档案里"))</f>
        <v/>
      </c>
      <c r="K564" s="23" t="n">
        <v>84</v>
      </c>
      <c r="L564" s="31" t="n"/>
      <c r="M564" s="24">
        <f>IF($G564="","",IF($D564="A国内","CNY","TZS"))</f>
        <v/>
      </c>
      <c r="N564" s="28">
        <f>IF($G564="","",IF($D564="A国内",汇率,1))</f>
        <v/>
      </c>
      <c r="O564" s="25">
        <f>IF($G564="","",ROUND(N($K564)*N($L564),2))</f>
        <v/>
      </c>
      <c r="P564" s="26">
        <f>IF($G564="","",ROUND($O564*$N564,0))</f>
        <v/>
      </c>
      <c r="Q564" s="26">
        <f>IF($G564="","",SUMIFS($P$4:$P$2503,$E$4:$E$2503,$E564,$Z$4:$Z$2503,"正常"))</f>
        <v/>
      </c>
      <c r="R564" s="26">
        <f>IF($G564="","",SUMIFS(费用台账!$I$4:$I$503,费用台账!$C$4:$C$503,$E564,费用台账!$J$4:$J$503,"是",费用台账!$K$4:$K$503,"正常"))</f>
        <v/>
      </c>
      <c r="S564" s="28">
        <f>IF($G564="","",COUNTIFS($E$4:$E$2503,$E564,$Z$4:$Z$2503,"正常",$Y$4:$Y$2503,"待补价"))</f>
        <v/>
      </c>
      <c r="T564" s="26">
        <f>IF($G564="","",SUMIFS($P$4:$P$2503,$E$4:$E$2503,$E564,$Z$4:$Z$2503,"正常",$A$4:$A$2503,"&lt;="&amp;$A564))</f>
        <v/>
      </c>
      <c r="U564" s="26">
        <f>IF($G564="","",IF(OR($S564&gt;0,$Q564=0,$R564=0,$Z564&lt;&gt;"正常"),0,ROUND($T564/$Q564*$R564,0)-ROUND(($T564-$P564)/$Q564*$R564,0)))</f>
        <v/>
      </c>
      <c r="V564" s="26">
        <f>IF($G564="","",ROUND($P564+$U564,0))</f>
        <v/>
      </c>
      <c r="W564" s="26">
        <f>IF($G564="","",IF(N($K564)=0,0,ROUND($V564/$K564,2)))</f>
        <v/>
      </c>
      <c r="X564" s="17" t="inlineStr">
        <is>
          <t>采购入库</t>
        </is>
      </c>
      <c r="Y564" s="17" t="inlineStr">
        <is>
          <t>待补价</t>
        </is>
      </c>
      <c r="Z564" s="17" t="inlineStr">
        <is>
          <t>正常</t>
        </is>
      </c>
      <c r="AA564" s="17" t="n"/>
      <c r="AB564" s="17" t="inlineStr">
        <is>
          <t>原表第 570 行</t>
        </is>
      </c>
      <c r="AC564" s="24">
        <f>IF($G564="","",IF($H564="※编码不在物料档案里","※物料编码不在档案里",IF(N($K564)&lt;=0,"※入库数量要大于 0",IF(AND($C564&lt;&gt;"",$C564&lt;=结账锁),"※日期早于已结账截止日，不能再录",IF(AND($L564=0,$X564="正常"),"※没填单价，价格状态请选「待补价」",IF(AND($S564&gt;0,$R564&gt;0),"△本批有 "&amp;$S564&amp;" 行没单价，整批运费先挂账没摊",IF(AND($B564&lt;&gt;"",COUNTIF($B$4:$B$2503,$B564)&gt;1),"※入库单号重复","")))))))</f>
        <v/>
      </c>
    </row>
    <row r="565">
      <c r="A565" s="24">
        <f>IF($G565="","",COUNTA($G$4:$G565))</f>
        <v/>
      </c>
      <c r="B565" s="17" t="n"/>
      <c r="C565" s="30" t="n">
        <v>46108</v>
      </c>
      <c r="D565" s="17" t="inlineStr">
        <is>
          <t>A国内</t>
        </is>
      </c>
      <c r="E565" s="17" t="inlineStr">
        <is>
          <t>CBHU8932081-202603</t>
        </is>
      </c>
      <c r="F565" s="17" t="inlineStr">
        <is>
          <t>烟台市金豪矿山机械有限公司</t>
        </is>
      </c>
      <c r="G565" s="17" t="inlineStr">
        <is>
          <t>JH0500</t>
        </is>
      </c>
      <c r="H565" s="24">
        <f>IF($G565="","",IFERROR(VLOOKUP($G565,物料档案!$A$4:$P$1203,3,0),"※编码不在物料档案里"))</f>
        <v/>
      </c>
      <c r="I565" s="24">
        <f>IF($G565="","",IFERROR(VLOOKUP($G565,物料档案!$A$4:$P$1203,4,0),"※编码不在物料档案里"))</f>
        <v/>
      </c>
      <c r="J565" s="24">
        <f>IF($G565="","",IFERROR(VLOOKUP($G565,物料档案!$A$4:$P$1203,5,0),"※编码不在物料档案里"))</f>
        <v/>
      </c>
      <c r="K565" s="23" t="n">
        <v>30</v>
      </c>
      <c r="L565" s="31" t="n"/>
      <c r="M565" s="24">
        <f>IF($G565="","",IF($D565="A国内","CNY","TZS"))</f>
        <v/>
      </c>
      <c r="N565" s="28">
        <f>IF($G565="","",IF($D565="A国内",汇率,1))</f>
        <v/>
      </c>
      <c r="O565" s="25">
        <f>IF($G565="","",ROUND(N($K565)*N($L565),2))</f>
        <v/>
      </c>
      <c r="P565" s="26">
        <f>IF($G565="","",ROUND($O565*$N565,0))</f>
        <v/>
      </c>
      <c r="Q565" s="26">
        <f>IF($G565="","",SUMIFS($P$4:$P$2503,$E$4:$E$2503,$E565,$Z$4:$Z$2503,"正常"))</f>
        <v/>
      </c>
      <c r="R565" s="26">
        <f>IF($G565="","",SUMIFS(费用台账!$I$4:$I$503,费用台账!$C$4:$C$503,$E565,费用台账!$J$4:$J$503,"是",费用台账!$K$4:$K$503,"正常"))</f>
        <v/>
      </c>
      <c r="S565" s="28">
        <f>IF($G565="","",COUNTIFS($E$4:$E$2503,$E565,$Z$4:$Z$2503,"正常",$Y$4:$Y$2503,"待补价"))</f>
        <v/>
      </c>
      <c r="T565" s="26">
        <f>IF($G565="","",SUMIFS($P$4:$P$2503,$E$4:$E$2503,$E565,$Z$4:$Z$2503,"正常",$A$4:$A$2503,"&lt;="&amp;$A565))</f>
        <v/>
      </c>
      <c r="U565" s="26">
        <f>IF($G565="","",IF(OR($S565&gt;0,$Q565=0,$R565=0,$Z565&lt;&gt;"正常"),0,ROUND($T565/$Q565*$R565,0)-ROUND(($T565-$P565)/$Q565*$R565,0)))</f>
        <v/>
      </c>
      <c r="V565" s="26">
        <f>IF($G565="","",ROUND($P565+$U565,0))</f>
        <v/>
      </c>
      <c r="W565" s="26">
        <f>IF($G565="","",IF(N($K565)=0,0,ROUND($V565/$K565,2)))</f>
        <v/>
      </c>
      <c r="X565" s="17" t="inlineStr">
        <is>
          <t>采购入库</t>
        </is>
      </c>
      <c r="Y565" s="17" t="inlineStr">
        <is>
          <t>待补价</t>
        </is>
      </c>
      <c r="Z565" s="17" t="inlineStr">
        <is>
          <t>正常</t>
        </is>
      </c>
      <c r="AA565" s="17" t="n"/>
      <c r="AB565" s="17" t="inlineStr">
        <is>
          <t>原表第 571 行</t>
        </is>
      </c>
      <c r="AC565" s="24">
        <f>IF($G565="","",IF($H565="※编码不在物料档案里","※物料编码不在档案里",IF(N($K565)&lt;=0,"※入库数量要大于 0",IF(AND($C565&lt;&gt;"",$C565&lt;=结账锁),"※日期早于已结账截止日，不能再录",IF(AND($L565=0,$X565="正常"),"※没填单价，价格状态请选「待补价」",IF(AND($S565&gt;0,$R565&gt;0),"△本批有 "&amp;$S565&amp;" 行没单价，整批运费先挂账没摊",IF(AND($B565&lt;&gt;"",COUNTIF($B$4:$B$2503,$B565)&gt;1),"※入库单号重复","")))))))</f>
        <v/>
      </c>
    </row>
    <row r="566">
      <c r="A566" s="24">
        <f>IF($G566="","",COUNTA($G$4:$G566))</f>
        <v/>
      </c>
      <c r="B566" s="17" t="n"/>
      <c r="C566" s="30" t="n">
        <v>46108</v>
      </c>
      <c r="D566" s="17" t="inlineStr">
        <is>
          <t>A国内</t>
        </is>
      </c>
      <c r="E566" s="17" t="inlineStr">
        <is>
          <t>CBHU8932081-202603</t>
        </is>
      </c>
      <c r="F566" s="17" t="inlineStr">
        <is>
          <t>烟台市金豪矿山机械有限公司</t>
        </is>
      </c>
      <c r="G566" s="17" t="inlineStr">
        <is>
          <t>JH0501</t>
        </is>
      </c>
      <c r="H566" s="24">
        <f>IF($G566="","",IFERROR(VLOOKUP($G566,物料档案!$A$4:$P$1203,3,0),"※编码不在物料档案里"))</f>
        <v/>
      </c>
      <c r="I566" s="24">
        <f>IF($G566="","",IFERROR(VLOOKUP($G566,物料档案!$A$4:$P$1203,4,0),"※编码不在物料档案里"))</f>
        <v/>
      </c>
      <c r="J566" s="24">
        <f>IF($G566="","",IFERROR(VLOOKUP($G566,物料档案!$A$4:$P$1203,5,0),"※编码不在物料档案里"))</f>
        <v/>
      </c>
      <c r="K566" s="23" t="n">
        <v>432</v>
      </c>
      <c r="L566" s="31" t="n"/>
      <c r="M566" s="24">
        <f>IF($G566="","",IF($D566="A国内","CNY","TZS"))</f>
        <v/>
      </c>
      <c r="N566" s="28">
        <f>IF($G566="","",IF($D566="A国内",汇率,1))</f>
        <v/>
      </c>
      <c r="O566" s="25">
        <f>IF($G566="","",ROUND(N($K566)*N($L566),2))</f>
        <v/>
      </c>
      <c r="P566" s="26">
        <f>IF($G566="","",ROUND($O566*$N566,0))</f>
        <v/>
      </c>
      <c r="Q566" s="26">
        <f>IF($G566="","",SUMIFS($P$4:$P$2503,$E$4:$E$2503,$E566,$Z$4:$Z$2503,"正常"))</f>
        <v/>
      </c>
      <c r="R566" s="26">
        <f>IF($G566="","",SUMIFS(费用台账!$I$4:$I$503,费用台账!$C$4:$C$503,$E566,费用台账!$J$4:$J$503,"是",费用台账!$K$4:$K$503,"正常"))</f>
        <v/>
      </c>
      <c r="S566" s="28">
        <f>IF($G566="","",COUNTIFS($E$4:$E$2503,$E566,$Z$4:$Z$2503,"正常",$Y$4:$Y$2503,"待补价"))</f>
        <v/>
      </c>
      <c r="T566" s="26">
        <f>IF($G566="","",SUMIFS($P$4:$P$2503,$E$4:$E$2503,$E566,$Z$4:$Z$2503,"正常",$A$4:$A$2503,"&lt;="&amp;$A566))</f>
        <v/>
      </c>
      <c r="U566" s="26">
        <f>IF($G566="","",IF(OR($S566&gt;0,$Q566=0,$R566=0,$Z566&lt;&gt;"正常"),0,ROUND($T566/$Q566*$R566,0)-ROUND(($T566-$P566)/$Q566*$R566,0)))</f>
        <v/>
      </c>
      <c r="V566" s="26">
        <f>IF($G566="","",ROUND($P566+$U566,0))</f>
        <v/>
      </c>
      <c r="W566" s="26">
        <f>IF($G566="","",IF(N($K566)=0,0,ROUND($V566/$K566,2)))</f>
        <v/>
      </c>
      <c r="X566" s="17" t="inlineStr">
        <is>
          <t>采购入库</t>
        </is>
      </c>
      <c r="Y566" s="17" t="inlineStr">
        <is>
          <t>待补价</t>
        </is>
      </c>
      <c r="Z566" s="17" t="inlineStr">
        <is>
          <t>正常</t>
        </is>
      </c>
      <c r="AA566" s="17" t="n"/>
      <c r="AB566" s="17" t="inlineStr">
        <is>
          <t>原表第 572 行</t>
        </is>
      </c>
      <c r="AC566" s="24">
        <f>IF($G566="","",IF($H566="※编码不在物料档案里","※物料编码不在档案里",IF(N($K566)&lt;=0,"※入库数量要大于 0",IF(AND($C566&lt;&gt;"",$C566&lt;=结账锁),"※日期早于已结账截止日，不能再录",IF(AND($L566=0,$X566="正常"),"※没填单价，价格状态请选「待补价」",IF(AND($S566&gt;0,$R566&gt;0),"△本批有 "&amp;$S566&amp;" 行没单价，整批运费先挂账没摊",IF(AND($B566&lt;&gt;"",COUNTIF($B$4:$B$2503,$B566)&gt;1),"※入库单号重复","")))))))</f>
        <v/>
      </c>
    </row>
    <row r="567">
      <c r="A567" s="24">
        <f>IF($G567="","",COUNTA($G$4:$G567))</f>
        <v/>
      </c>
      <c r="B567" s="17" t="n"/>
      <c r="C567" s="30" t="n">
        <v>46108</v>
      </c>
      <c r="D567" s="17" t="inlineStr">
        <is>
          <t>A国内</t>
        </is>
      </c>
      <c r="E567" s="17" t="inlineStr">
        <is>
          <t>CBHU8932081-202603</t>
        </is>
      </c>
      <c r="F567" s="17" t="inlineStr">
        <is>
          <t>烟台市金豪矿山机械有限公司</t>
        </is>
      </c>
      <c r="G567" s="17" t="inlineStr">
        <is>
          <t>JH0502</t>
        </is>
      </c>
      <c r="H567" s="24">
        <f>IF($G567="","",IFERROR(VLOOKUP($G567,物料档案!$A$4:$P$1203,3,0),"※编码不在物料档案里"))</f>
        <v/>
      </c>
      <c r="I567" s="24">
        <f>IF($G567="","",IFERROR(VLOOKUP($G567,物料档案!$A$4:$P$1203,4,0),"※编码不在物料档案里"))</f>
        <v/>
      </c>
      <c r="J567" s="24">
        <f>IF($G567="","",IFERROR(VLOOKUP($G567,物料档案!$A$4:$P$1203,5,0),"※编码不在物料档案里"))</f>
        <v/>
      </c>
      <c r="K567" s="23" t="n">
        <v>120</v>
      </c>
      <c r="L567" s="31" t="n"/>
      <c r="M567" s="24">
        <f>IF($G567="","",IF($D567="A国内","CNY","TZS"))</f>
        <v/>
      </c>
      <c r="N567" s="28">
        <f>IF($G567="","",IF($D567="A国内",汇率,1))</f>
        <v/>
      </c>
      <c r="O567" s="25">
        <f>IF($G567="","",ROUND(N($K567)*N($L567),2))</f>
        <v/>
      </c>
      <c r="P567" s="26">
        <f>IF($G567="","",ROUND($O567*$N567,0))</f>
        <v/>
      </c>
      <c r="Q567" s="26">
        <f>IF($G567="","",SUMIFS($P$4:$P$2503,$E$4:$E$2503,$E567,$Z$4:$Z$2503,"正常"))</f>
        <v/>
      </c>
      <c r="R567" s="26">
        <f>IF($G567="","",SUMIFS(费用台账!$I$4:$I$503,费用台账!$C$4:$C$503,$E567,费用台账!$J$4:$J$503,"是",费用台账!$K$4:$K$503,"正常"))</f>
        <v/>
      </c>
      <c r="S567" s="28">
        <f>IF($G567="","",COUNTIFS($E$4:$E$2503,$E567,$Z$4:$Z$2503,"正常",$Y$4:$Y$2503,"待补价"))</f>
        <v/>
      </c>
      <c r="T567" s="26">
        <f>IF($G567="","",SUMIFS($P$4:$P$2503,$E$4:$E$2503,$E567,$Z$4:$Z$2503,"正常",$A$4:$A$2503,"&lt;="&amp;$A567))</f>
        <v/>
      </c>
      <c r="U567" s="26">
        <f>IF($G567="","",IF(OR($S567&gt;0,$Q567=0,$R567=0,$Z567&lt;&gt;"正常"),0,ROUND($T567/$Q567*$R567,0)-ROUND(($T567-$P567)/$Q567*$R567,0)))</f>
        <v/>
      </c>
      <c r="V567" s="26">
        <f>IF($G567="","",ROUND($P567+$U567,0))</f>
        <v/>
      </c>
      <c r="W567" s="26">
        <f>IF($G567="","",IF(N($K567)=0,0,ROUND($V567/$K567,2)))</f>
        <v/>
      </c>
      <c r="X567" s="17" t="inlineStr">
        <is>
          <t>采购入库</t>
        </is>
      </c>
      <c r="Y567" s="17" t="inlineStr">
        <is>
          <t>待补价</t>
        </is>
      </c>
      <c r="Z567" s="17" t="inlineStr">
        <is>
          <t>正常</t>
        </is>
      </c>
      <c r="AA567" s="17" t="n"/>
      <c r="AB567" s="17" t="inlineStr">
        <is>
          <t>原表第 573 行</t>
        </is>
      </c>
      <c r="AC567" s="24">
        <f>IF($G567="","",IF($H567="※编码不在物料档案里","※物料编码不在档案里",IF(N($K567)&lt;=0,"※入库数量要大于 0",IF(AND($C567&lt;&gt;"",$C567&lt;=结账锁),"※日期早于已结账截止日，不能再录",IF(AND($L567=0,$X567="正常"),"※没填单价，价格状态请选「待补价」",IF(AND($S567&gt;0,$R567&gt;0),"△本批有 "&amp;$S567&amp;" 行没单价，整批运费先挂账没摊",IF(AND($B567&lt;&gt;"",COUNTIF($B$4:$B$2503,$B567)&gt;1),"※入库单号重复","")))))))</f>
        <v/>
      </c>
    </row>
    <row r="568">
      <c r="A568" s="24">
        <f>IF($G568="","",COUNTA($G$4:$G568))</f>
        <v/>
      </c>
      <c r="B568" s="17" t="n"/>
      <c r="C568" s="30" t="n">
        <v>46108</v>
      </c>
      <c r="D568" s="17" t="inlineStr">
        <is>
          <t>A国内</t>
        </is>
      </c>
      <c r="E568" s="17" t="inlineStr">
        <is>
          <t>CBHU8932081-202603</t>
        </is>
      </c>
      <c r="F568" s="17" t="inlineStr">
        <is>
          <t>烟台市金豪矿山机械有限公司</t>
        </is>
      </c>
      <c r="G568" s="17" t="inlineStr">
        <is>
          <t>JH0503</t>
        </is>
      </c>
      <c r="H568" s="24">
        <f>IF($G568="","",IFERROR(VLOOKUP($G568,物料档案!$A$4:$P$1203,3,0),"※编码不在物料档案里"))</f>
        <v/>
      </c>
      <c r="I568" s="24">
        <f>IF($G568="","",IFERROR(VLOOKUP($G568,物料档案!$A$4:$P$1203,4,0),"※编码不在物料档案里"))</f>
        <v/>
      </c>
      <c r="J568" s="24">
        <f>IF($G568="","",IFERROR(VLOOKUP($G568,物料档案!$A$4:$P$1203,5,0),"※编码不在物料档案里"))</f>
        <v/>
      </c>
      <c r="K568" s="23" t="n">
        <v>120</v>
      </c>
      <c r="L568" s="31" t="n"/>
      <c r="M568" s="24">
        <f>IF($G568="","",IF($D568="A国内","CNY","TZS"))</f>
        <v/>
      </c>
      <c r="N568" s="28">
        <f>IF($G568="","",IF($D568="A国内",汇率,1))</f>
        <v/>
      </c>
      <c r="O568" s="25">
        <f>IF($G568="","",ROUND(N($K568)*N($L568),2))</f>
        <v/>
      </c>
      <c r="P568" s="26">
        <f>IF($G568="","",ROUND($O568*$N568,0))</f>
        <v/>
      </c>
      <c r="Q568" s="26">
        <f>IF($G568="","",SUMIFS($P$4:$P$2503,$E$4:$E$2503,$E568,$Z$4:$Z$2503,"正常"))</f>
        <v/>
      </c>
      <c r="R568" s="26">
        <f>IF($G568="","",SUMIFS(费用台账!$I$4:$I$503,费用台账!$C$4:$C$503,$E568,费用台账!$J$4:$J$503,"是",费用台账!$K$4:$K$503,"正常"))</f>
        <v/>
      </c>
      <c r="S568" s="28">
        <f>IF($G568="","",COUNTIFS($E$4:$E$2503,$E568,$Z$4:$Z$2503,"正常",$Y$4:$Y$2503,"待补价"))</f>
        <v/>
      </c>
      <c r="T568" s="26">
        <f>IF($G568="","",SUMIFS($P$4:$P$2503,$E$4:$E$2503,$E568,$Z$4:$Z$2503,"正常",$A$4:$A$2503,"&lt;="&amp;$A568))</f>
        <v/>
      </c>
      <c r="U568" s="26">
        <f>IF($G568="","",IF(OR($S568&gt;0,$Q568=0,$R568=0,$Z568&lt;&gt;"正常"),0,ROUND($T568/$Q568*$R568,0)-ROUND(($T568-$P568)/$Q568*$R568,0)))</f>
        <v/>
      </c>
      <c r="V568" s="26">
        <f>IF($G568="","",ROUND($P568+$U568,0))</f>
        <v/>
      </c>
      <c r="W568" s="26">
        <f>IF($G568="","",IF(N($K568)=0,0,ROUND($V568/$K568,2)))</f>
        <v/>
      </c>
      <c r="X568" s="17" t="inlineStr">
        <is>
          <t>采购入库</t>
        </is>
      </c>
      <c r="Y568" s="17" t="inlineStr">
        <is>
          <t>待补价</t>
        </is>
      </c>
      <c r="Z568" s="17" t="inlineStr">
        <is>
          <t>正常</t>
        </is>
      </c>
      <c r="AA568" s="17" t="n"/>
      <c r="AB568" s="17" t="inlineStr">
        <is>
          <t>原表第 574 行</t>
        </is>
      </c>
      <c r="AC568" s="24">
        <f>IF($G568="","",IF($H568="※编码不在物料档案里","※物料编码不在档案里",IF(N($K568)&lt;=0,"※入库数量要大于 0",IF(AND($C568&lt;&gt;"",$C568&lt;=结账锁),"※日期早于已结账截止日，不能再录",IF(AND($L568=0,$X568="正常"),"※没填单价，价格状态请选「待补价」",IF(AND($S568&gt;0,$R568&gt;0),"△本批有 "&amp;$S568&amp;" 行没单价，整批运费先挂账没摊",IF(AND($B568&lt;&gt;"",COUNTIF($B$4:$B$2503,$B568)&gt;1),"※入库单号重复","")))))))</f>
        <v/>
      </c>
    </row>
    <row r="569">
      <c r="A569" s="24">
        <f>IF($G569="","",COUNTA($G$4:$G569))</f>
        <v/>
      </c>
      <c r="B569" s="17" t="n"/>
      <c r="C569" s="30" t="n">
        <v>46108</v>
      </c>
      <c r="D569" s="17" t="inlineStr">
        <is>
          <t>A国内</t>
        </is>
      </c>
      <c r="E569" s="17" t="inlineStr">
        <is>
          <t>CBHU8932081-202603</t>
        </is>
      </c>
      <c r="F569" s="17" t="inlineStr">
        <is>
          <t>烟台市金豪矿山机械有限公司</t>
        </is>
      </c>
      <c r="G569" s="17" t="inlineStr">
        <is>
          <t>JH0504</t>
        </is>
      </c>
      <c r="H569" s="24">
        <f>IF($G569="","",IFERROR(VLOOKUP($G569,物料档案!$A$4:$P$1203,3,0),"※编码不在物料档案里"))</f>
        <v/>
      </c>
      <c r="I569" s="24">
        <f>IF($G569="","",IFERROR(VLOOKUP($G569,物料档案!$A$4:$P$1203,4,0),"※编码不在物料档案里"))</f>
        <v/>
      </c>
      <c r="J569" s="24">
        <f>IF($G569="","",IFERROR(VLOOKUP($G569,物料档案!$A$4:$P$1203,5,0),"※编码不在物料档案里"))</f>
        <v/>
      </c>
      <c r="K569" s="23" t="n">
        <v>36</v>
      </c>
      <c r="L569" s="31" t="n"/>
      <c r="M569" s="24">
        <f>IF($G569="","",IF($D569="A国内","CNY","TZS"))</f>
        <v/>
      </c>
      <c r="N569" s="28">
        <f>IF($G569="","",IF($D569="A国内",汇率,1))</f>
        <v/>
      </c>
      <c r="O569" s="25">
        <f>IF($G569="","",ROUND(N($K569)*N($L569),2))</f>
        <v/>
      </c>
      <c r="P569" s="26">
        <f>IF($G569="","",ROUND($O569*$N569,0))</f>
        <v/>
      </c>
      <c r="Q569" s="26">
        <f>IF($G569="","",SUMIFS($P$4:$P$2503,$E$4:$E$2503,$E569,$Z$4:$Z$2503,"正常"))</f>
        <v/>
      </c>
      <c r="R569" s="26">
        <f>IF($G569="","",SUMIFS(费用台账!$I$4:$I$503,费用台账!$C$4:$C$503,$E569,费用台账!$J$4:$J$503,"是",费用台账!$K$4:$K$503,"正常"))</f>
        <v/>
      </c>
      <c r="S569" s="28">
        <f>IF($G569="","",COUNTIFS($E$4:$E$2503,$E569,$Z$4:$Z$2503,"正常",$Y$4:$Y$2503,"待补价"))</f>
        <v/>
      </c>
      <c r="T569" s="26">
        <f>IF($G569="","",SUMIFS($P$4:$P$2503,$E$4:$E$2503,$E569,$Z$4:$Z$2503,"正常",$A$4:$A$2503,"&lt;="&amp;$A569))</f>
        <v/>
      </c>
      <c r="U569" s="26">
        <f>IF($G569="","",IF(OR($S569&gt;0,$Q569=0,$R569=0,$Z569&lt;&gt;"正常"),0,ROUND($T569/$Q569*$R569,0)-ROUND(($T569-$P569)/$Q569*$R569,0)))</f>
        <v/>
      </c>
      <c r="V569" s="26">
        <f>IF($G569="","",ROUND($P569+$U569,0))</f>
        <v/>
      </c>
      <c r="W569" s="26">
        <f>IF($G569="","",IF(N($K569)=0,0,ROUND($V569/$K569,2)))</f>
        <v/>
      </c>
      <c r="X569" s="17" t="inlineStr">
        <is>
          <t>采购入库</t>
        </is>
      </c>
      <c r="Y569" s="17" t="inlineStr">
        <is>
          <t>待补价</t>
        </is>
      </c>
      <c r="Z569" s="17" t="inlineStr">
        <is>
          <t>正常</t>
        </is>
      </c>
      <c r="AA569" s="17" t="n"/>
      <c r="AB569" s="17" t="inlineStr">
        <is>
          <t>原表第 575 行</t>
        </is>
      </c>
      <c r="AC569" s="24">
        <f>IF($G569="","",IF($H569="※编码不在物料档案里","※物料编码不在档案里",IF(N($K569)&lt;=0,"※入库数量要大于 0",IF(AND($C569&lt;&gt;"",$C569&lt;=结账锁),"※日期早于已结账截止日，不能再录",IF(AND($L569=0,$X569="正常"),"※没填单价，价格状态请选「待补价」",IF(AND($S569&gt;0,$R569&gt;0),"△本批有 "&amp;$S569&amp;" 行没单价，整批运费先挂账没摊",IF(AND($B569&lt;&gt;"",COUNTIF($B$4:$B$2503,$B569)&gt;1),"※入库单号重复","")))))))</f>
        <v/>
      </c>
    </row>
    <row r="570">
      <c r="A570" s="24">
        <f>IF($G570="","",COUNTA($G$4:$G570))</f>
        <v/>
      </c>
      <c r="B570" s="17" t="n"/>
      <c r="C570" s="30" t="n">
        <v>46108</v>
      </c>
      <c r="D570" s="17" t="inlineStr">
        <is>
          <t>A国内</t>
        </is>
      </c>
      <c r="E570" s="17" t="inlineStr">
        <is>
          <t>CBHU8932081-202603</t>
        </is>
      </c>
      <c r="F570" s="17" t="inlineStr">
        <is>
          <t>烟台市金豪矿山机械有限公司</t>
        </is>
      </c>
      <c r="G570" s="17" t="inlineStr">
        <is>
          <t>JH0505</t>
        </is>
      </c>
      <c r="H570" s="24">
        <f>IF($G570="","",IFERROR(VLOOKUP($G570,物料档案!$A$4:$P$1203,3,0),"※编码不在物料档案里"))</f>
        <v/>
      </c>
      <c r="I570" s="24">
        <f>IF($G570="","",IFERROR(VLOOKUP($G570,物料档案!$A$4:$P$1203,4,0),"※编码不在物料档案里"))</f>
        <v/>
      </c>
      <c r="J570" s="24">
        <f>IF($G570="","",IFERROR(VLOOKUP($G570,物料档案!$A$4:$P$1203,5,0),"※编码不在物料档案里"))</f>
        <v/>
      </c>
      <c r="K570" s="23" t="n">
        <v>762</v>
      </c>
      <c r="L570" s="31" t="n"/>
      <c r="M570" s="24">
        <f>IF($G570="","",IF($D570="A国内","CNY","TZS"))</f>
        <v/>
      </c>
      <c r="N570" s="28">
        <f>IF($G570="","",IF($D570="A国内",汇率,1))</f>
        <v/>
      </c>
      <c r="O570" s="25">
        <f>IF($G570="","",ROUND(N($K570)*N($L570),2))</f>
        <v/>
      </c>
      <c r="P570" s="26">
        <f>IF($G570="","",ROUND($O570*$N570,0))</f>
        <v/>
      </c>
      <c r="Q570" s="26">
        <f>IF($G570="","",SUMIFS($P$4:$P$2503,$E$4:$E$2503,$E570,$Z$4:$Z$2503,"正常"))</f>
        <v/>
      </c>
      <c r="R570" s="26">
        <f>IF($G570="","",SUMIFS(费用台账!$I$4:$I$503,费用台账!$C$4:$C$503,$E570,费用台账!$J$4:$J$503,"是",费用台账!$K$4:$K$503,"正常"))</f>
        <v/>
      </c>
      <c r="S570" s="28">
        <f>IF($G570="","",COUNTIFS($E$4:$E$2503,$E570,$Z$4:$Z$2503,"正常",$Y$4:$Y$2503,"待补价"))</f>
        <v/>
      </c>
      <c r="T570" s="26">
        <f>IF($G570="","",SUMIFS($P$4:$P$2503,$E$4:$E$2503,$E570,$Z$4:$Z$2503,"正常",$A$4:$A$2503,"&lt;="&amp;$A570))</f>
        <v/>
      </c>
      <c r="U570" s="26">
        <f>IF($G570="","",IF(OR($S570&gt;0,$Q570=0,$R570=0,$Z570&lt;&gt;"正常"),0,ROUND($T570/$Q570*$R570,0)-ROUND(($T570-$P570)/$Q570*$R570,0)))</f>
        <v/>
      </c>
      <c r="V570" s="26">
        <f>IF($G570="","",ROUND($P570+$U570,0))</f>
        <v/>
      </c>
      <c r="W570" s="26">
        <f>IF($G570="","",IF(N($K570)=0,0,ROUND($V570/$K570,2)))</f>
        <v/>
      </c>
      <c r="X570" s="17" t="inlineStr">
        <is>
          <t>采购入库</t>
        </is>
      </c>
      <c r="Y570" s="17" t="inlineStr">
        <is>
          <t>待补价</t>
        </is>
      </c>
      <c r="Z570" s="17" t="inlineStr">
        <is>
          <t>正常</t>
        </is>
      </c>
      <c r="AA570" s="17" t="n"/>
      <c r="AB570" s="17" t="inlineStr">
        <is>
          <t>原表第 576 行</t>
        </is>
      </c>
      <c r="AC570" s="24">
        <f>IF($G570="","",IF($H570="※编码不在物料档案里","※物料编码不在档案里",IF(N($K570)&lt;=0,"※入库数量要大于 0",IF(AND($C570&lt;&gt;"",$C570&lt;=结账锁),"※日期早于已结账截止日，不能再录",IF(AND($L570=0,$X570="正常"),"※没填单价，价格状态请选「待补价」",IF(AND($S570&gt;0,$R570&gt;0),"△本批有 "&amp;$S570&amp;" 行没单价，整批运费先挂账没摊",IF(AND($B570&lt;&gt;"",COUNTIF($B$4:$B$2503,$B570)&gt;1),"※入库单号重复","")))))))</f>
        <v/>
      </c>
    </row>
    <row r="571">
      <c r="A571" s="24">
        <f>IF($G571="","",COUNTA($G$4:$G571))</f>
        <v/>
      </c>
      <c r="B571" s="17" t="n"/>
      <c r="C571" s="30" t="n">
        <v>46108</v>
      </c>
      <c r="D571" s="17" t="inlineStr">
        <is>
          <t>A国内</t>
        </is>
      </c>
      <c r="E571" s="17" t="inlineStr">
        <is>
          <t>CBHU8932081-202603</t>
        </is>
      </c>
      <c r="F571" s="17" t="inlineStr">
        <is>
          <t>烟台市金豪矿山机械有限公司</t>
        </is>
      </c>
      <c r="G571" s="17" t="inlineStr">
        <is>
          <t>JH0506</t>
        </is>
      </c>
      <c r="H571" s="24">
        <f>IF($G571="","",IFERROR(VLOOKUP($G571,物料档案!$A$4:$P$1203,3,0),"※编码不在物料档案里"))</f>
        <v/>
      </c>
      <c r="I571" s="24">
        <f>IF($G571="","",IFERROR(VLOOKUP($G571,物料档案!$A$4:$P$1203,4,0),"※编码不在物料档案里"))</f>
        <v/>
      </c>
      <c r="J571" s="24">
        <f>IF($G571="","",IFERROR(VLOOKUP($G571,物料档案!$A$4:$P$1203,5,0),"※编码不在物料档案里"))</f>
        <v/>
      </c>
      <c r="K571" s="23" t="n">
        <v>1</v>
      </c>
      <c r="L571" s="31" t="n"/>
      <c r="M571" s="24">
        <f>IF($G571="","",IF($D571="A国内","CNY","TZS"))</f>
        <v/>
      </c>
      <c r="N571" s="28">
        <f>IF($G571="","",IF($D571="A国内",汇率,1))</f>
        <v/>
      </c>
      <c r="O571" s="25">
        <f>IF($G571="","",ROUND(N($K571)*N($L571),2))</f>
        <v/>
      </c>
      <c r="P571" s="26">
        <f>IF($G571="","",ROUND($O571*$N571,0))</f>
        <v/>
      </c>
      <c r="Q571" s="26">
        <f>IF($G571="","",SUMIFS($P$4:$P$2503,$E$4:$E$2503,$E571,$Z$4:$Z$2503,"正常"))</f>
        <v/>
      </c>
      <c r="R571" s="26">
        <f>IF($G571="","",SUMIFS(费用台账!$I$4:$I$503,费用台账!$C$4:$C$503,$E571,费用台账!$J$4:$J$503,"是",费用台账!$K$4:$K$503,"正常"))</f>
        <v/>
      </c>
      <c r="S571" s="28">
        <f>IF($G571="","",COUNTIFS($E$4:$E$2503,$E571,$Z$4:$Z$2503,"正常",$Y$4:$Y$2503,"待补价"))</f>
        <v/>
      </c>
      <c r="T571" s="26">
        <f>IF($G571="","",SUMIFS($P$4:$P$2503,$E$4:$E$2503,$E571,$Z$4:$Z$2503,"正常",$A$4:$A$2503,"&lt;="&amp;$A571))</f>
        <v/>
      </c>
      <c r="U571" s="26">
        <f>IF($G571="","",IF(OR($S571&gt;0,$Q571=0,$R571=0,$Z571&lt;&gt;"正常"),0,ROUND($T571/$Q571*$R571,0)-ROUND(($T571-$P571)/$Q571*$R571,0)))</f>
        <v/>
      </c>
      <c r="V571" s="26">
        <f>IF($G571="","",ROUND($P571+$U571,0))</f>
        <v/>
      </c>
      <c r="W571" s="26">
        <f>IF($G571="","",IF(N($K571)=0,0,ROUND($V571/$K571,2)))</f>
        <v/>
      </c>
      <c r="X571" s="17" t="inlineStr">
        <is>
          <t>采购入库</t>
        </is>
      </c>
      <c r="Y571" s="17" t="inlineStr">
        <is>
          <t>待补价</t>
        </is>
      </c>
      <c r="Z571" s="17" t="inlineStr">
        <is>
          <t>正常</t>
        </is>
      </c>
      <c r="AA571" s="17" t="n"/>
      <c r="AB571" s="17" t="inlineStr">
        <is>
          <t>原表第 577 行</t>
        </is>
      </c>
      <c r="AC571" s="24">
        <f>IF($G571="","",IF($H571="※编码不在物料档案里","※物料编码不在档案里",IF(N($K571)&lt;=0,"※入库数量要大于 0",IF(AND($C571&lt;&gt;"",$C571&lt;=结账锁),"※日期早于已结账截止日，不能再录",IF(AND($L571=0,$X571="正常"),"※没填单价，价格状态请选「待补价」",IF(AND($S571&gt;0,$R571&gt;0),"△本批有 "&amp;$S571&amp;" 行没单价，整批运费先挂账没摊",IF(AND($B571&lt;&gt;"",COUNTIF($B$4:$B$2503,$B571)&gt;1),"※入库单号重复","")))))))</f>
        <v/>
      </c>
    </row>
    <row r="572">
      <c r="A572" s="24">
        <f>IF($G572="","",COUNTA($G$4:$G572))</f>
        <v/>
      </c>
      <c r="B572" s="17" t="n"/>
      <c r="C572" s="30" t="n">
        <v>46108</v>
      </c>
      <c r="D572" s="17" t="inlineStr">
        <is>
          <t>A国内</t>
        </is>
      </c>
      <c r="E572" s="17" t="inlineStr">
        <is>
          <t>CBHU8932081-202603</t>
        </is>
      </c>
      <c r="F572" s="17" t="inlineStr">
        <is>
          <t>烟台市金豪矿山机械有限公司</t>
        </is>
      </c>
      <c r="G572" s="17" t="inlineStr">
        <is>
          <t>JH0507</t>
        </is>
      </c>
      <c r="H572" s="24">
        <f>IF($G572="","",IFERROR(VLOOKUP($G572,物料档案!$A$4:$P$1203,3,0),"※编码不在物料档案里"))</f>
        <v/>
      </c>
      <c r="I572" s="24">
        <f>IF($G572="","",IFERROR(VLOOKUP($G572,物料档案!$A$4:$P$1203,4,0),"※编码不在物料档案里"))</f>
        <v/>
      </c>
      <c r="J572" s="24">
        <f>IF($G572="","",IFERROR(VLOOKUP($G572,物料档案!$A$4:$P$1203,5,0),"※编码不在物料档案里"))</f>
        <v/>
      </c>
      <c r="K572" s="23" t="n">
        <v>1</v>
      </c>
      <c r="L572" s="31" t="n"/>
      <c r="M572" s="24">
        <f>IF($G572="","",IF($D572="A国内","CNY","TZS"))</f>
        <v/>
      </c>
      <c r="N572" s="28">
        <f>IF($G572="","",IF($D572="A国内",汇率,1))</f>
        <v/>
      </c>
      <c r="O572" s="25">
        <f>IF($G572="","",ROUND(N($K572)*N($L572),2))</f>
        <v/>
      </c>
      <c r="P572" s="26">
        <f>IF($G572="","",ROUND($O572*$N572,0))</f>
        <v/>
      </c>
      <c r="Q572" s="26">
        <f>IF($G572="","",SUMIFS($P$4:$P$2503,$E$4:$E$2503,$E572,$Z$4:$Z$2503,"正常"))</f>
        <v/>
      </c>
      <c r="R572" s="26">
        <f>IF($G572="","",SUMIFS(费用台账!$I$4:$I$503,费用台账!$C$4:$C$503,$E572,费用台账!$J$4:$J$503,"是",费用台账!$K$4:$K$503,"正常"))</f>
        <v/>
      </c>
      <c r="S572" s="28">
        <f>IF($G572="","",COUNTIFS($E$4:$E$2503,$E572,$Z$4:$Z$2503,"正常",$Y$4:$Y$2503,"待补价"))</f>
        <v/>
      </c>
      <c r="T572" s="26">
        <f>IF($G572="","",SUMIFS($P$4:$P$2503,$E$4:$E$2503,$E572,$Z$4:$Z$2503,"正常",$A$4:$A$2503,"&lt;="&amp;$A572))</f>
        <v/>
      </c>
      <c r="U572" s="26">
        <f>IF($G572="","",IF(OR($S572&gt;0,$Q572=0,$R572=0,$Z572&lt;&gt;"正常"),0,ROUND($T572/$Q572*$R572,0)-ROUND(($T572-$P572)/$Q572*$R572,0)))</f>
        <v/>
      </c>
      <c r="V572" s="26">
        <f>IF($G572="","",ROUND($P572+$U572,0))</f>
        <v/>
      </c>
      <c r="W572" s="26">
        <f>IF($G572="","",IF(N($K572)=0,0,ROUND($V572/$K572,2)))</f>
        <v/>
      </c>
      <c r="X572" s="17" t="inlineStr">
        <is>
          <t>采购入库</t>
        </is>
      </c>
      <c r="Y572" s="17" t="inlineStr">
        <is>
          <t>待补价</t>
        </is>
      </c>
      <c r="Z572" s="17" t="inlineStr">
        <is>
          <t>正常</t>
        </is>
      </c>
      <c r="AA572" s="17" t="n"/>
      <c r="AB572" s="17" t="inlineStr">
        <is>
          <t>原表第 578 行</t>
        </is>
      </c>
      <c r="AC572" s="24">
        <f>IF($G572="","",IF($H572="※编码不在物料档案里","※物料编码不在档案里",IF(N($K572)&lt;=0,"※入库数量要大于 0",IF(AND($C572&lt;&gt;"",$C572&lt;=结账锁),"※日期早于已结账截止日，不能再录",IF(AND($L572=0,$X572="正常"),"※没填单价，价格状态请选「待补价」",IF(AND($S572&gt;0,$R572&gt;0),"△本批有 "&amp;$S572&amp;" 行没单价，整批运费先挂账没摊",IF(AND($B572&lt;&gt;"",COUNTIF($B$4:$B$2503,$B572)&gt;1),"※入库单号重复","")))))))</f>
        <v/>
      </c>
    </row>
    <row r="573">
      <c r="A573" s="24">
        <f>IF($G573="","",COUNTA($G$4:$G573))</f>
        <v/>
      </c>
      <c r="B573" s="17" t="n"/>
      <c r="C573" s="30" t="n">
        <v>46108</v>
      </c>
      <c r="D573" s="17" t="inlineStr">
        <is>
          <t>A国内</t>
        </is>
      </c>
      <c r="E573" s="17" t="inlineStr">
        <is>
          <t>CBHU8932081-202603</t>
        </is>
      </c>
      <c r="F573" s="17" t="inlineStr">
        <is>
          <t>烟台市金豪矿山机械有限公司</t>
        </is>
      </c>
      <c r="G573" s="17" t="inlineStr">
        <is>
          <t>JH0508</t>
        </is>
      </c>
      <c r="H573" s="24">
        <f>IF($G573="","",IFERROR(VLOOKUP($G573,物料档案!$A$4:$P$1203,3,0),"※编码不在物料档案里"))</f>
        <v/>
      </c>
      <c r="I573" s="24">
        <f>IF($G573="","",IFERROR(VLOOKUP($G573,物料档案!$A$4:$P$1203,4,0),"※编码不在物料档案里"))</f>
        <v/>
      </c>
      <c r="J573" s="24">
        <f>IF($G573="","",IFERROR(VLOOKUP($G573,物料档案!$A$4:$P$1203,5,0),"※编码不在物料档案里"))</f>
        <v/>
      </c>
      <c r="K573" s="23" t="n">
        <v>1</v>
      </c>
      <c r="L573" s="31" t="n"/>
      <c r="M573" s="24">
        <f>IF($G573="","",IF($D573="A国内","CNY","TZS"))</f>
        <v/>
      </c>
      <c r="N573" s="28">
        <f>IF($G573="","",IF($D573="A国内",汇率,1))</f>
        <v/>
      </c>
      <c r="O573" s="25">
        <f>IF($G573="","",ROUND(N($K573)*N($L573),2))</f>
        <v/>
      </c>
      <c r="P573" s="26">
        <f>IF($G573="","",ROUND($O573*$N573,0))</f>
        <v/>
      </c>
      <c r="Q573" s="26">
        <f>IF($G573="","",SUMIFS($P$4:$P$2503,$E$4:$E$2503,$E573,$Z$4:$Z$2503,"正常"))</f>
        <v/>
      </c>
      <c r="R573" s="26">
        <f>IF($G573="","",SUMIFS(费用台账!$I$4:$I$503,费用台账!$C$4:$C$503,$E573,费用台账!$J$4:$J$503,"是",费用台账!$K$4:$K$503,"正常"))</f>
        <v/>
      </c>
      <c r="S573" s="28">
        <f>IF($G573="","",COUNTIFS($E$4:$E$2503,$E573,$Z$4:$Z$2503,"正常",$Y$4:$Y$2503,"待补价"))</f>
        <v/>
      </c>
      <c r="T573" s="26">
        <f>IF($G573="","",SUMIFS($P$4:$P$2503,$E$4:$E$2503,$E573,$Z$4:$Z$2503,"正常",$A$4:$A$2503,"&lt;="&amp;$A573))</f>
        <v/>
      </c>
      <c r="U573" s="26">
        <f>IF($G573="","",IF(OR($S573&gt;0,$Q573=0,$R573=0,$Z573&lt;&gt;"正常"),0,ROUND($T573/$Q573*$R573,0)-ROUND(($T573-$P573)/$Q573*$R573,0)))</f>
        <v/>
      </c>
      <c r="V573" s="26">
        <f>IF($G573="","",ROUND($P573+$U573,0))</f>
        <v/>
      </c>
      <c r="W573" s="26">
        <f>IF($G573="","",IF(N($K573)=0,0,ROUND($V573/$K573,2)))</f>
        <v/>
      </c>
      <c r="X573" s="17" t="inlineStr">
        <is>
          <t>采购入库</t>
        </is>
      </c>
      <c r="Y573" s="17" t="inlineStr">
        <is>
          <t>待补价</t>
        </is>
      </c>
      <c r="Z573" s="17" t="inlineStr">
        <is>
          <t>正常</t>
        </is>
      </c>
      <c r="AA573" s="17" t="n"/>
      <c r="AB573" s="17" t="inlineStr">
        <is>
          <t>原表第 579 行</t>
        </is>
      </c>
      <c r="AC573" s="24">
        <f>IF($G573="","",IF($H573="※编码不在物料档案里","※物料编码不在档案里",IF(N($K573)&lt;=0,"※入库数量要大于 0",IF(AND($C573&lt;&gt;"",$C573&lt;=结账锁),"※日期早于已结账截止日，不能再录",IF(AND($L573=0,$X573="正常"),"※没填单价，价格状态请选「待补价」",IF(AND($S573&gt;0,$R573&gt;0),"△本批有 "&amp;$S573&amp;" 行没单价，整批运费先挂账没摊",IF(AND($B573&lt;&gt;"",COUNTIF($B$4:$B$2503,$B573)&gt;1),"※入库单号重复","")))))))</f>
        <v/>
      </c>
    </row>
    <row r="574">
      <c r="A574" s="24">
        <f>IF($G574="","",COUNTA($G$4:$G574))</f>
        <v/>
      </c>
      <c r="B574" s="17" t="n"/>
      <c r="C574" s="30" t="n">
        <v>46108</v>
      </c>
      <c r="D574" s="17" t="inlineStr">
        <is>
          <t>A国内</t>
        </is>
      </c>
      <c r="E574" s="17" t="inlineStr">
        <is>
          <t>CBHU8932081-202603</t>
        </is>
      </c>
      <c r="F574" s="17" t="inlineStr">
        <is>
          <t>烟台市金豪矿山机械有限公司</t>
        </is>
      </c>
      <c r="G574" s="17" t="inlineStr">
        <is>
          <t>JH0509</t>
        </is>
      </c>
      <c r="H574" s="24">
        <f>IF($G574="","",IFERROR(VLOOKUP($G574,物料档案!$A$4:$P$1203,3,0),"※编码不在物料档案里"))</f>
        <v/>
      </c>
      <c r="I574" s="24">
        <f>IF($G574="","",IFERROR(VLOOKUP($G574,物料档案!$A$4:$P$1203,4,0),"※编码不在物料档案里"))</f>
        <v/>
      </c>
      <c r="J574" s="24">
        <f>IF($G574="","",IFERROR(VLOOKUP($G574,物料档案!$A$4:$P$1203,5,0),"※编码不在物料档案里"))</f>
        <v/>
      </c>
      <c r="K574" s="23" t="n">
        <v>1</v>
      </c>
      <c r="L574" s="31" t="n"/>
      <c r="M574" s="24">
        <f>IF($G574="","",IF($D574="A国内","CNY","TZS"))</f>
        <v/>
      </c>
      <c r="N574" s="28">
        <f>IF($G574="","",IF($D574="A国内",汇率,1))</f>
        <v/>
      </c>
      <c r="O574" s="25">
        <f>IF($G574="","",ROUND(N($K574)*N($L574),2))</f>
        <v/>
      </c>
      <c r="P574" s="26">
        <f>IF($G574="","",ROUND($O574*$N574,0))</f>
        <v/>
      </c>
      <c r="Q574" s="26">
        <f>IF($G574="","",SUMIFS($P$4:$P$2503,$E$4:$E$2503,$E574,$Z$4:$Z$2503,"正常"))</f>
        <v/>
      </c>
      <c r="R574" s="26">
        <f>IF($G574="","",SUMIFS(费用台账!$I$4:$I$503,费用台账!$C$4:$C$503,$E574,费用台账!$J$4:$J$503,"是",费用台账!$K$4:$K$503,"正常"))</f>
        <v/>
      </c>
      <c r="S574" s="28">
        <f>IF($G574="","",COUNTIFS($E$4:$E$2503,$E574,$Z$4:$Z$2503,"正常",$Y$4:$Y$2503,"待补价"))</f>
        <v/>
      </c>
      <c r="T574" s="26">
        <f>IF($G574="","",SUMIFS($P$4:$P$2503,$E$4:$E$2503,$E574,$Z$4:$Z$2503,"正常",$A$4:$A$2503,"&lt;="&amp;$A574))</f>
        <v/>
      </c>
      <c r="U574" s="26">
        <f>IF($G574="","",IF(OR($S574&gt;0,$Q574=0,$R574=0,$Z574&lt;&gt;"正常"),0,ROUND($T574/$Q574*$R574,0)-ROUND(($T574-$P574)/$Q574*$R574,0)))</f>
        <v/>
      </c>
      <c r="V574" s="26">
        <f>IF($G574="","",ROUND($P574+$U574,0))</f>
        <v/>
      </c>
      <c r="W574" s="26">
        <f>IF($G574="","",IF(N($K574)=0,0,ROUND($V574/$K574,2)))</f>
        <v/>
      </c>
      <c r="X574" s="17" t="inlineStr">
        <is>
          <t>采购入库</t>
        </is>
      </c>
      <c r="Y574" s="17" t="inlineStr">
        <is>
          <t>待补价</t>
        </is>
      </c>
      <c r="Z574" s="17" t="inlineStr">
        <is>
          <t>正常</t>
        </is>
      </c>
      <c r="AA574" s="17" t="n"/>
      <c r="AB574" s="17" t="inlineStr">
        <is>
          <t>原表第 580 行</t>
        </is>
      </c>
      <c r="AC574" s="24">
        <f>IF($G574="","",IF($H574="※编码不在物料档案里","※物料编码不在档案里",IF(N($K574)&lt;=0,"※入库数量要大于 0",IF(AND($C574&lt;&gt;"",$C574&lt;=结账锁),"※日期早于已结账截止日，不能再录",IF(AND($L574=0,$X574="正常"),"※没填单价，价格状态请选「待补价」",IF(AND($S574&gt;0,$R574&gt;0),"△本批有 "&amp;$S574&amp;" 行没单价，整批运费先挂账没摊",IF(AND($B574&lt;&gt;"",COUNTIF($B$4:$B$2503,$B574)&gt;1),"※入库单号重复","")))))))</f>
        <v/>
      </c>
    </row>
    <row r="575">
      <c r="A575" s="24">
        <f>IF($G575="","",COUNTA($G$4:$G575))</f>
        <v/>
      </c>
      <c r="B575" s="17" t="n"/>
      <c r="C575" s="30" t="n">
        <v>46108</v>
      </c>
      <c r="D575" s="17" t="inlineStr">
        <is>
          <t>A国内</t>
        </is>
      </c>
      <c r="E575" s="17" t="inlineStr">
        <is>
          <t>CBHU8932081-202603</t>
        </is>
      </c>
      <c r="F575" s="17" t="inlineStr">
        <is>
          <t>烟台市金豪矿山机械有限公司</t>
        </is>
      </c>
      <c r="G575" s="17" t="inlineStr">
        <is>
          <t>JH0510</t>
        </is>
      </c>
      <c r="H575" s="24">
        <f>IF($G575="","",IFERROR(VLOOKUP($G575,物料档案!$A$4:$P$1203,3,0),"※编码不在物料档案里"))</f>
        <v/>
      </c>
      <c r="I575" s="24">
        <f>IF($G575="","",IFERROR(VLOOKUP($G575,物料档案!$A$4:$P$1203,4,0),"※编码不在物料档案里"))</f>
        <v/>
      </c>
      <c r="J575" s="24">
        <f>IF($G575="","",IFERROR(VLOOKUP($G575,物料档案!$A$4:$P$1203,5,0),"※编码不在物料档案里"))</f>
        <v/>
      </c>
      <c r="K575" s="23" t="n">
        <v>1</v>
      </c>
      <c r="L575" s="31" t="n"/>
      <c r="M575" s="24">
        <f>IF($G575="","",IF($D575="A国内","CNY","TZS"))</f>
        <v/>
      </c>
      <c r="N575" s="28">
        <f>IF($G575="","",IF($D575="A国内",汇率,1))</f>
        <v/>
      </c>
      <c r="O575" s="25">
        <f>IF($G575="","",ROUND(N($K575)*N($L575),2))</f>
        <v/>
      </c>
      <c r="P575" s="26">
        <f>IF($G575="","",ROUND($O575*$N575,0))</f>
        <v/>
      </c>
      <c r="Q575" s="26">
        <f>IF($G575="","",SUMIFS($P$4:$P$2503,$E$4:$E$2503,$E575,$Z$4:$Z$2503,"正常"))</f>
        <v/>
      </c>
      <c r="R575" s="26">
        <f>IF($G575="","",SUMIFS(费用台账!$I$4:$I$503,费用台账!$C$4:$C$503,$E575,费用台账!$J$4:$J$503,"是",费用台账!$K$4:$K$503,"正常"))</f>
        <v/>
      </c>
      <c r="S575" s="28">
        <f>IF($G575="","",COUNTIFS($E$4:$E$2503,$E575,$Z$4:$Z$2503,"正常",$Y$4:$Y$2503,"待补价"))</f>
        <v/>
      </c>
      <c r="T575" s="26">
        <f>IF($G575="","",SUMIFS($P$4:$P$2503,$E$4:$E$2503,$E575,$Z$4:$Z$2503,"正常",$A$4:$A$2503,"&lt;="&amp;$A575))</f>
        <v/>
      </c>
      <c r="U575" s="26">
        <f>IF($G575="","",IF(OR($S575&gt;0,$Q575=0,$R575=0,$Z575&lt;&gt;"正常"),0,ROUND($T575/$Q575*$R575,0)-ROUND(($T575-$P575)/$Q575*$R575,0)))</f>
        <v/>
      </c>
      <c r="V575" s="26">
        <f>IF($G575="","",ROUND($P575+$U575,0))</f>
        <v/>
      </c>
      <c r="W575" s="26">
        <f>IF($G575="","",IF(N($K575)=0,0,ROUND($V575/$K575,2)))</f>
        <v/>
      </c>
      <c r="X575" s="17" t="inlineStr">
        <is>
          <t>采购入库</t>
        </is>
      </c>
      <c r="Y575" s="17" t="inlineStr">
        <is>
          <t>待补价</t>
        </is>
      </c>
      <c r="Z575" s="17" t="inlineStr">
        <is>
          <t>正常</t>
        </is>
      </c>
      <c r="AA575" s="17" t="n"/>
      <c r="AB575" s="17" t="inlineStr">
        <is>
          <t>原表第 581 行</t>
        </is>
      </c>
      <c r="AC575" s="24">
        <f>IF($G575="","",IF($H575="※编码不在物料档案里","※物料编码不在档案里",IF(N($K575)&lt;=0,"※入库数量要大于 0",IF(AND($C575&lt;&gt;"",$C575&lt;=结账锁),"※日期早于已结账截止日，不能再录",IF(AND($L575=0,$X575="正常"),"※没填单价，价格状态请选「待补价」",IF(AND($S575&gt;0,$R575&gt;0),"△本批有 "&amp;$S575&amp;" 行没单价，整批运费先挂账没摊",IF(AND($B575&lt;&gt;"",COUNTIF($B$4:$B$2503,$B575)&gt;1),"※入库单号重复","")))))))</f>
        <v/>
      </c>
    </row>
    <row r="576">
      <c r="A576" s="24">
        <f>IF($G576="","",COUNTA($G$4:$G576))</f>
        <v/>
      </c>
      <c r="B576" s="17" t="n"/>
      <c r="C576" s="30" t="n">
        <v>46108</v>
      </c>
      <c r="D576" s="17" t="inlineStr">
        <is>
          <t>A国内</t>
        </is>
      </c>
      <c r="E576" s="17" t="inlineStr">
        <is>
          <t>CBHU8932081-202603</t>
        </is>
      </c>
      <c r="F576" s="17" t="inlineStr">
        <is>
          <t>烟台市金豪矿山机械有限公司</t>
        </is>
      </c>
      <c r="G576" s="17" t="inlineStr">
        <is>
          <t>JH0511</t>
        </is>
      </c>
      <c r="H576" s="24">
        <f>IF($G576="","",IFERROR(VLOOKUP($G576,物料档案!$A$4:$P$1203,3,0),"※编码不在物料档案里"))</f>
        <v/>
      </c>
      <c r="I576" s="24">
        <f>IF($G576="","",IFERROR(VLOOKUP($G576,物料档案!$A$4:$P$1203,4,0),"※编码不在物料档案里"))</f>
        <v/>
      </c>
      <c r="J576" s="24">
        <f>IF($G576="","",IFERROR(VLOOKUP($G576,物料档案!$A$4:$P$1203,5,0),"※编码不在物料档案里"))</f>
        <v/>
      </c>
      <c r="K576" s="23" t="n">
        <v>2</v>
      </c>
      <c r="L576" s="31" t="n"/>
      <c r="M576" s="24">
        <f>IF($G576="","",IF($D576="A国内","CNY","TZS"))</f>
        <v/>
      </c>
      <c r="N576" s="28">
        <f>IF($G576="","",IF($D576="A国内",汇率,1))</f>
        <v/>
      </c>
      <c r="O576" s="25">
        <f>IF($G576="","",ROUND(N($K576)*N($L576),2))</f>
        <v/>
      </c>
      <c r="P576" s="26">
        <f>IF($G576="","",ROUND($O576*$N576,0))</f>
        <v/>
      </c>
      <c r="Q576" s="26">
        <f>IF($G576="","",SUMIFS($P$4:$P$2503,$E$4:$E$2503,$E576,$Z$4:$Z$2503,"正常"))</f>
        <v/>
      </c>
      <c r="R576" s="26">
        <f>IF($G576="","",SUMIFS(费用台账!$I$4:$I$503,费用台账!$C$4:$C$503,$E576,费用台账!$J$4:$J$503,"是",费用台账!$K$4:$K$503,"正常"))</f>
        <v/>
      </c>
      <c r="S576" s="28">
        <f>IF($G576="","",COUNTIFS($E$4:$E$2503,$E576,$Z$4:$Z$2503,"正常",$Y$4:$Y$2503,"待补价"))</f>
        <v/>
      </c>
      <c r="T576" s="26">
        <f>IF($G576="","",SUMIFS($P$4:$P$2503,$E$4:$E$2503,$E576,$Z$4:$Z$2503,"正常",$A$4:$A$2503,"&lt;="&amp;$A576))</f>
        <v/>
      </c>
      <c r="U576" s="26">
        <f>IF($G576="","",IF(OR($S576&gt;0,$Q576=0,$R576=0,$Z576&lt;&gt;"正常"),0,ROUND($T576/$Q576*$R576,0)-ROUND(($T576-$P576)/$Q576*$R576,0)))</f>
        <v/>
      </c>
      <c r="V576" s="26">
        <f>IF($G576="","",ROUND($P576+$U576,0))</f>
        <v/>
      </c>
      <c r="W576" s="26">
        <f>IF($G576="","",IF(N($K576)=0,0,ROUND($V576/$K576,2)))</f>
        <v/>
      </c>
      <c r="X576" s="17" t="inlineStr">
        <is>
          <t>采购入库</t>
        </is>
      </c>
      <c r="Y576" s="17" t="inlineStr">
        <is>
          <t>待补价</t>
        </is>
      </c>
      <c r="Z576" s="17" t="inlineStr">
        <is>
          <t>正常</t>
        </is>
      </c>
      <c r="AA576" s="17" t="n"/>
      <c r="AB576" s="17" t="inlineStr">
        <is>
          <t>原表第 582 行</t>
        </is>
      </c>
      <c r="AC576" s="24">
        <f>IF($G576="","",IF($H576="※编码不在物料档案里","※物料编码不在档案里",IF(N($K576)&lt;=0,"※入库数量要大于 0",IF(AND($C576&lt;&gt;"",$C576&lt;=结账锁),"※日期早于已结账截止日，不能再录",IF(AND($L576=0,$X576="正常"),"※没填单价，价格状态请选「待补价」",IF(AND($S576&gt;0,$R576&gt;0),"△本批有 "&amp;$S576&amp;" 行没单价，整批运费先挂账没摊",IF(AND($B576&lt;&gt;"",COUNTIF($B$4:$B$2503,$B576)&gt;1),"※入库单号重复","")))))))</f>
        <v/>
      </c>
    </row>
    <row r="577">
      <c r="A577" s="24">
        <f>IF($G577="","",COUNTA($G$4:$G577))</f>
        <v/>
      </c>
      <c r="B577" s="17" t="n"/>
      <c r="C577" s="30" t="n">
        <v>46108</v>
      </c>
      <c r="D577" s="17" t="inlineStr">
        <is>
          <t>A国内</t>
        </is>
      </c>
      <c r="E577" s="17" t="inlineStr">
        <is>
          <t>CBHU8932081-202603</t>
        </is>
      </c>
      <c r="F577" s="17" t="inlineStr">
        <is>
          <t>烟台市金豪矿山机械有限公司</t>
        </is>
      </c>
      <c r="G577" s="17" t="inlineStr">
        <is>
          <t>JH0512</t>
        </is>
      </c>
      <c r="H577" s="24">
        <f>IF($G577="","",IFERROR(VLOOKUP($G577,物料档案!$A$4:$P$1203,3,0),"※编码不在物料档案里"))</f>
        <v/>
      </c>
      <c r="I577" s="24">
        <f>IF($G577="","",IFERROR(VLOOKUP($G577,物料档案!$A$4:$P$1203,4,0),"※编码不在物料档案里"))</f>
        <v/>
      </c>
      <c r="J577" s="24">
        <f>IF($G577="","",IFERROR(VLOOKUP($G577,物料档案!$A$4:$P$1203,5,0),"※编码不在物料档案里"))</f>
        <v/>
      </c>
      <c r="K577" s="23" t="n">
        <v>1</v>
      </c>
      <c r="L577" s="31" t="n"/>
      <c r="M577" s="24">
        <f>IF($G577="","",IF($D577="A国内","CNY","TZS"))</f>
        <v/>
      </c>
      <c r="N577" s="28">
        <f>IF($G577="","",IF($D577="A国内",汇率,1))</f>
        <v/>
      </c>
      <c r="O577" s="25">
        <f>IF($G577="","",ROUND(N($K577)*N($L577),2))</f>
        <v/>
      </c>
      <c r="P577" s="26">
        <f>IF($G577="","",ROUND($O577*$N577,0))</f>
        <v/>
      </c>
      <c r="Q577" s="26">
        <f>IF($G577="","",SUMIFS($P$4:$P$2503,$E$4:$E$2503,$E577,$Z$4:$Z$2503,"正常"))</f>
        <v/>
      </c>
      <c r="R577" s="26">
        <f>IF($G577="","",SUMIFS(费用台账!$I$4:$I$503,费用台账!$C$4:$C$503,$E577,费用台账!$J$4:$J$503,"是",费用台账!$K$4:$K$503,"正常"))</f>
        <v/>
      </c>
      <c r="S577" s="28">
        <f>IF($G577="","",COUNTIFS($E$4:$E$2503,$E577,$Z$4:$Z$2503,"正常",$Y$4:$Y$2503,"待补价"))</f>
        <v/>
      </c>
      <c r="T577" s="26">
        <f>IF($G577="","",SUMIFS($P$4:$P$2503,$E$4:$E$2503,$E577,$Z$4:$Z$2503,"正常",$A$4:$A$2503,"&lt;="&amp;$A577))</f>
        <v/>
      </c>
      <c r="U577" s="26">
        <f>IF($G577="","",IF(OR($S577&gt;0,$Q577=0,$R577=0,$Z577&lt;&gt;"正常"),0,ROUND($T577/$Q577*$R577,0)-ROUND(($T577-$P577)/$Q577*$R577,0)))</f>
        <v/>
      </c>
      <c r="V577" s="26">
        <f>IF($G577="","",ROUND($P577+$U577,0))</f>
        <v/>
      </c>
      <c r="W577" s="26">
        <f>IF($G577="","",IF(N($K577)=0,0,ROUND($V577/$K577,2)))</f>
        <v/>
      </c>
      <c r="X577" s="17" t="inlineStr">
        <is>
          <t>采购入库</t>
        </is>
      </c>
      <c r="Y577" s="17" t="inlineStr">
        <is>
          <t>待补价</t>
        </is>
      </c>
      <c r="Z577" s="17" t="inlineStr">
        <is>
          <t>正常</t>
        </is>
      </c>
      <c r="AA577" s="17" t="n"/>
      <c r="AB577" s="17" t="inlineStr">
        <is>
          <t>原表第 583 行</t>
        </is>
      </c>
      <c r="AC577" s="24">
        <f>IF($G577="","",IF($H577="※编码不在物料档案里","※物料编码不在档案里",IF(N($K577)&lt;=0,"※入库数量要大于 0",IF(AND($C577&lt;&gt;"",$C577&lt;=结账锁),"※日期早于已结账截止日，不能再录",IF(AND($L577=0,$X577="正常"),"※没填单价，价格状态请选「待补价」",IF(AND($S577&gt;0,$R577&gt;0),"△本批有 "&amp;$S577&amp;" 行没单价，整批运费先挂账没摊",IF(AND($B577&lt;&gt;"",COUNTIF($B$4:$B$2503,$B577)&gt;1),"※入库单号重复","")))))))</f>
        <v/>
      </c>
    </row>
    <row r="578">
      <c r="A578" s="24">
        <f>IF($G578="","",COUNTA($G$4:$G578))</f>
        <v/>
      </c>
      <c r="B578" s="17" t="n"/>
      <c r="C578" s="30" t="n">
        <v>46108</v>
      </c>
      <c r="D578" s="17" t="inlineStr">
        <is>
          <t>A国内</t>
        </is>
      </c>
      <c r="E578" s="17" t="inlineStr">
        <is>
          <t>CBHU8932081-202603</t>
        </is>
      </c>
      <c r="F578" s="17" t="inlineStr">
        <is>
          <t>烟台市金豪矿山机械有限公司</t>
        </is>
      </c>
      <c r="G578" s="17" t="inlineStr">
        <is>
          <t>JH0513</t>
        </is>
      </c>
      <c r="H578" s="24">
        <f>IF($G578="","",IFERROR(VLOOKUP($G578,物料档案!$A$4:$P$1203,3,0),"※编码不在物料档案里"))</f>
        <v/>
      </c>
      <c r="I578" s="24">
        <f>IF($G578="","",IFERROR(VLOOKUP($G578,物料档案!$A$4:$P$1203,4,0),"※编码不在物料档案里"))</f>
        <v/>
      </c>
      <c r="J578" s="24">
        <f>IF($G578="","",IFERROR(VLOOKUP($G578,物料档案!$A$4:$P$1203,5,0),"※编码不在物料档案里"))</f>
        <v/>
      </c>
      <c r="K578" s="23" t="n">
        <v>1</v>
      </c>
      <c r="L578" s="31" t="n"/>
      <c r="M578" s="24">
        <f>IF($G578="","",IF($D578="A国内","CNY","TZS"))</f>
        <v/>
      </c>
      <c r="N578" s="28">
        <f>IF($G578="","",IF($D578="A国内",汇率,1))</f>
        <v/>
      </c>
      <c r="O578" s="25">
        <f>IF($G578="","",ROUND(N($K578)*N($L578),2))</f>
        <v/>
      </c>
      <c r="P578" s="26">
        <f>IF($G578="","",ROUND($O578*$N578,0))</f>
        <v/>
      </c>
      <c r="Q578" s="26">
        <f>IF($G578="","",SUMIFS($P$4:$P$2503,$E$4:$E$2503,$E578,$Z$4:$Z$2503,"正常"))</f>
        <v/>
      </c>
      <c r="R578" s="26">
        <f>IF($G578="","",SUMIFS(费用台账!$I$4:$I$503,费用台账!$C$4:$C$503,$E578,费用台账!$J$4:$J$503,"是",费用台账!$K$4:$K$503,"正常"))</f>
        <v/>
      </c>
      <c r="S578" s="28">
        <f>IF($G578="","",COUNTIFS($E$4:$E$2503,$E578,$Z$4:$Z$2503,"正常",$Y$4:$Y$2503,"待补价"))</f>
        <v/>
      </c>
      <c r="T578" s="26">
        <f>IF($G578="","",SUMIFS($P$4:$P$2503,$E$4:$E$2503,$E578,$Z$4:$Z$2503,"正常",$A$4:$A$2503,"&lt;="&amp;$A578))</f>
        <v/>
      </c>
      <c r="U578" s="26">
        <f>IF($G578="","",IF(OR($S578&gt;0,$Q578=0,$R578=0,$Z578&lt;&gt;"正常"),0,ROUND($T578/$Q578*$R578,0)-ROUND(($T578-$P578)/$Q578*$R578,0)))</f>
        <v/>
      </c>
      <c r="V578" s="26">
        <f>IF($G578="","",ROUND($P578+$U578,0))</f>
        <v/>
      </c>
      <c r="W578" s="26">
        <f>IF($G578="","",IF(N($K578)=0,0,ROUND($V578/$K578,2)))</f>
        <v/>
      </c>
      <c r="X578" s="17" t="inlineStr">
        <is>
          <t>采购入库</t>
        </is>
      </c>
      <c r="Y578" s="17" t="inlineStr">
        <is>
          <t>待补价</t>
        </is>
      </c>
      <c r="Z578" s="17" t="inlineStr">
        <is>
          <t>正常</t>
        </is>
      </c>
      <c r="AA578" s="17" t="n"/>
      <c r="AB578" s="17" t="inlineStr">
        <is>
          <t>原表第 584 行</t>
        </is>
      </c>
      <c r="AC578" s="24">
        <f>IF($G578="","",IF($H578="※编码不在物料档案里","※物料编码不在档案里",IF(N($K578)&lt;=0,"※入库数量要大于 0",IF(AND($C578&lt;&gt;"",$C578&lt;=结账锁),"※日期早于已结账截止日，不能再录",IF(AND($L578=0,$X578="正常"),"※没填单价，价格状态请选「待补价」",IF(AND($S578&gt;0,$R578&gt;0),"△本批有 "&amp;$S578&amp;" 行没单价，整批运费先挂账没摊",IF(AND($B578&lt;&gt;"",COUNTIF($B$4:$B$2503,$B578)&gt;1),"※入库单号重复","")))))))</f>
        <v/>
      </c>
    </row>
    <row r="579">
      <c r="A579" s="24">
        <f>IF($G579="","",COUNTA($G$4:$G579))</f>
        <v/>
      </c>
      <c r="B579" s="17" t="n"/>
      <c r="C579" s="30" t="n">
        <v>46108</v>
      </c>
      <c r="D579" s="17" t="inlineStr">
        <is>
          <t>A国内</t>
        </is>
      </c>
      <c r="E579" s="17" t="inlineStr">
        <is>
          <t>CBHU8932081-202603</t>
        </is>
      </c>
      <c r="F579" s="17" t="inlineStr">
        <is>
          <t>烟台市金豪矿山机械有限公司</t>
        </is>
      </c>
      <c r="G579" s="17" t="inlineStr">
        <is>
          <t>JH0514</t>
        </is>
      </c>
      <c r="H579" s="24">
        <f>IF($G579="","",IFERROR(VLOOKUP($G579,物料档案!$A$4:$P$1203,3,0),"※编码不在物料档案里"))</f>
        <v/>
      </c>
      <c r="I579" s="24">
        <f>IF($G579="","",IFERROR(VLOOKUP($G579,物料档案!$A$4:$P$1203,4,0),"※编码不在物料档案里"))</f>
        <v/>
      </c>
      <c r="J579" s="24">
        <f>IF($G579="","",IFERROR(VLOOKUP($G579,物料档案!$A$4:$P$1203,5,0),"※编码不在物料档案里"))</f>
        <v/>
      </c>
      <c r="K579" s="23" t="n">
        <v>5</v>
      </c>
      <c r="L579" s="31" t="n"/>
      <c r="M579" s="24">
        <f>IF($G579="","",IF($D579="A国内","CNY","TZS"))</f>
        <v/>
      </c>
      <c r="N579" s="28">
        <f>IF($G579="","",IF($D579="A国内",汇率,1))</f>
        <v/>
      </c>
      <c r="O579" s="25">
        <f>IF($G579="","",ROUND(N($K579)*N($L579),2))</f>
        <v/>
      </c>
      <c r="P579" s="26">
        <f>IF($G579="","",ROUND($O579*$N579,0))</f>
        <v/>
      </c>
      <c r="Q579" s="26">
        <f>IF($G579="","",SUMIFS($P$4:$P$2503,$E$4:$E$2503,$E579,$Z$4:$Z$2503,"正常"))</f>
        <v/>
      </c>
      <c r="R579" s="26">
        <f>IF($G579="","",SUMIFS(费用台账!$I$4:$I$503,费用台账!$C$4:$C$503,$E579,费用台账!$J$4:$J$503,"是",费用台账!$K$4:$K$503,"正常"))</f>
        <v/>
      </c>
      <c r="S579" s="28">
        <f>IF($G579="","",COUNTIFS($E$4:$E$2503,$E579,$Z$4:$Z$2503,"正常",$Y$4:$Y$2503,"待补价"))</f>
        <v/>
      </c>
      <c r="T579" s="26">
        <f>IF($G579="","",SUMIFS($P$4:$P$2503,$E$4:$E$2503,$E579,$Z$4:$Z$2503,"正常",$A$4:$A$2503,"&lt;="&amp;$A579))</f>
        <v/>
      </c>
      <c r="U579" s="26">
        <f>IF($G579="","",IF(OR($S579&gt;0,$Q579=0,$R579=0,$Z579&lt;&gt;"正常"),0,ROUND($T579/$Q579*$R579,0)-ROUND(($T579-$P579)/$Q579*$R579,0)))</f>
        <v/>
      </c>
      <c r="V579" s="26">
        <f>IF($G579="","",ROUND($P579+$U579,0))</f>
        <v/>
      </c>
      <c r="W579" s="26">
        <f>IF($G579="","",IF(N($K579)=0,0,ROUND($V579/$K579,2)))</f>
        <v/>
      </c>
      <c r="X579" s="17" t="inlineStr">
        <is>
          <t>采购入库</t>
        </is>
      </c>
      <c r="Y579" s="17" t="inlineStr">
        <is>
          <t>待补价</t>
        </is>
      </c>
      <c r="Z579" s="17" t="inlineStr">
        <is>
          <t>正常</t>
        </is>
      </c>
      <c r="AA579" s="17" t="n"/>
      <c r="AB579" s="17" t="inlineStr">
        <is>
          <t>原表第 585 行</t>
        </is>
      </c>
      <c r="AC579" s="24">
        <f>IF($G579="","",IF($H579="※编码不在物料档案里","※物料编码不在档案里",IF(N($K579)&lt;=0,"※入库数量要大于 0",IF(AND($C579&lt;&gt;"",$C579&lt;=结账锁),"※日期早于已结账截止日，不能再录",IF(AND($L579=0,$X579="正常"),"※没填单价，价格状态请选「待补价」",IF(AND($S579&gt;0,$R579&gt;0),"△本批有 "&amp;$S579&amp;" 行没单价，整批运费先挂账没摊",IF(AND($B579&lt;&gt;"",COUNTIF($B$4:$B$2503,$B579)&gt;1),"※入库单号重复","")))))))</f>
        <v/>
      </c>
    </row>
    <row r="580">
      <c r="A580" s="24">
        <f>IF($G580="","",COUNTA($G$4:$G580))</f>
        <v/>
      </c>
      <c r="B580" s="17" t="n"/>
      <c r="C580" s="30" t="n">
        <v>46108</v>
      </c>
      <c r="D580" s="17" t="inlineStr">
        <is>
          <t>A国内</t>
        </is>
      </c>
      <c r="E580" s="17" t="inlineStr">
        <is>
          <t>CBHU8932081-202603</t>
        </is>
      </c>
      <c r="F580" s="17" t="inlineStr">
        <is>
          <t>烟台市金豪矿山机械有限公司</t>
        </is>
      </c>
      <c r="G580" s="17" t="inlineStr">
        <is>
          <t>JH0515</t>
        </is>
      </c>
      <c r="H580" s="24">
        <f>IF($G580="","",IFERROR(VLOOKUP($G580,物料档案!$A$4:$P$1203,3,0),"※编码不在物料档案里"))</f>
        <v/>
      </c>
      <c r="I580" s="24">
        <f>IF($G580="","",IFERROR(VLOOKUP($G580,物料档案!$A$4:$P$1203,4,0),"※编码不在物料档案里"))</f>
        <v/>
      </c>
      <c r="J580" s="24">
        <f>IF($G580="","",IFERROR(VLOOKUP($G580,物料档案!$A$4:$P$1203,5,0),"※编码不在物料档案里"))</f>
        <v/>
      </c>
      <c r="K580" s="23" t="n">
        <v>50</v>
      </c>
      <c r="L580" s="31" t="n"/>
      <c r="M580" s="24">
        <f>IF($G580="","",IF($D580="A国内","CNY","TZS"))</f>
        <v/>
      </c>
      <c r="N580" s="28">
        <f>IF($G580="","",IF($D580="A国内",汇率,1))</f>
        <v/>
      </c>
      <c r="O580" s="25">
        <f>IF($G580="","",ROUND(N($K580)*N($L580),2))</f>
        <v/>
      </c>
      <c r="P580" s="26">
        <f>IF($G580="","",ROUND($O580*$N580,0))</f>
        <v/>
      </c>
      <c r="Q580" s="26">
        <f>IF($G580="","",SUMIFS($P$4:$P$2503,$E$4:$E$2503,$E580,$Z$4:$Z$2503,"正常"))</f>
        <v/>
      </c>
      <c r="R580" s="26">
        <f>IF($G580="","",SUMIFS(费用台账!$I$4:$I$503,费用台账!$C$4:$C$503,$E580,费用台账!$J$4:$J$503,"是",费用台账!$K$4:$K$503,"正常"))</f>
        <v/>
      </c>
      <c r="S580" s="28">
        <f>IF($G580="","",COUNTIFS($E$4:$E$2503,$E580,$Z$4:$Z$2503,"正常",$Y$4:$Y$2503,"待补价"))</f>
        <v/>
      </c>
      <c r="T580" s="26">
        <f>IF($G580="","",SUMIFS($P$4:$P$2503,$E$4:$E$2503,$E580,$Z$4:$Z$2503,"正常",$A$4:$A$2503,"&lt;="&amp;$A580))</f>
        <v/>
      </c>
      <c r="U580" s="26">
        <f>IF($G580="","",IF(OR($S580&gt;0,$Q580=0,$R580=0,$Z580&lt;&gt;"正常"),0,ROUND($T580/$Q580*$R580,0)-ROUND(($T580-$P580)/$Q580*$R580,0)))</f>
        <v/>
      </c>
      <c r="V580" s="26">
        <f>IF($G580="","",ROUND($P580+$U580,0))</f>
        <v/>
      </c>
      <c r="W580" s="26">
        <f>IF($G580="","",IF(N($K580)=0,0,ROUND($V580/$K580,2)))</f>
        <v/>
      </c>
      <c r="X580" s="17" t="inlineStr">
        <is>
          <t>采购入库</t>
        </is>
      </c>
      <c r="Y580" s="17" t="inlineStr">
        <is>
          <t>待补价</t>
        </is>
      </c>
      <c r="Z580" s="17" t="inlineStr">
        <is>
          <t>正常</t>
        </is>
      </c>
      <c r="AA580" s="17" t="n"/>
      <c r="AB580" s="17" t="inlineStr">
        <is>
          <t>原表第 586 行</t>
        </is>
      </c>
      <c r="AC580" s="24">
        <f>IF($G580="","",IF($H580="※编码不在物料档案里","※物料编码不在档案里",IF(N($K580)&lt;=0,"※入库数量要大于 0",IF(AND($C580&lt;&gt;"",$C580&lt;=结账锁),"※日期早于已结账截止日，不能再录",IF(AND($L580=0,$X580="正常"),"※没填单价，价格状态请选「待补价」",IF(AND($S580&gt;0,$R580&gt;0),"△本批有 "&amp;$S580&amp;" 行没单价，整批运费先挂账没摊",IF(AND($B580&lt;&gt;"",COUNTIF($B$4:$B$2503,$B580)&gt;1),"※入库单号重复","")))))))</f>
        <v/>
      </c>
    </row>
    <row r="581">
      <c r="A581" s="24">
        <f>IF($G581="","",COUNTA($G$4:$G581))</f>
        <v/>
      </c>
      <c r="B581" s="17" t="n"/>
      <c r="C581" s="30" t="n">
        <v>46108</v>
      </c>
      <c r="D581" s="17" t="inlineStr">
        <is>
          <t>A国内</t>
        </is>
      </c>
      <c r="E581" s="17" t="inlineStr">
        <is>
          <t>CBHU8932081-202603</t>
        </is>
      </c>
      <c r="F581" s="17" t="inlineStr">
        <is>
          <t>烟台市金豪矿山机械有限公司</t>
        </is>
      </c>
      <c r="G581" s="17" t="inlineStr">
        <is>
          <t>JH0516</t>
        </is>
      </c>
      <c r="H581" s="24">
        <f>IF($G581="","",IFERROR(VLOOKUP($G581,物料档案!$A$4:$P$1203,3,0),"※编码不在物料档案里"))</f>
        <v/>
      </c>
      <c r="I581" s="24">
        <f>IF($G581="","",IFERROR(VLOOKUP($G581,物料档案!$A$4:$P$1203,4,0),"※编码不在物料档案里"))</f>
        <v/>
      </c>
      <c r="J581" s="24">
        <f>IF($G581="","",IFERROR(VLOOKUP($G581,物料档案!$A$4:$P$1203,5,0),"※编码不在物料档案里"))</f>
        <v/>
      </c>
      <c r="K581" s="23" t="n">
        <v>20</v>
      </c>
      <c r="L581" s="31" t="n"/>
      <c r="M581" s="24">
        <f>IF($G581="","",IF($D581="A国内","CNY","TZS"))</f>
        <v/>
      </c>
      <c r="N581" s="28">
        <f>IF($G581="","",IF($D581="A国内",汇率,1))</f>
        <v/>
      </c>
      <c r="O581" s="25">
        <f>IF($G581="","",ROUND(N($K581)*N($L581),2))</f>
        <v/>
      </c>
      <c r="P581" s="26">
        <f>IF($G581="","",ROUND($O581*$N581,0))</f>
        <v/>
      </c>
      <c r="Q581" s="26">
        <f>IF($G581="","",SUMIFS($P$4:$P$2503,$E$4:$E$2503,$E581,$Z$4:$Z$2503,"正常"))</f>
        <v/>
      </c>
      <c r="R581" s="26">
        <f>IF($G581="","",SUMIFS(费用台账!$I$4:$I$503,费用台账!$C$4:$C$503,$E581,费用台账!$J$4:$J$503,"是",费用台账!$K$4:$K$503,"正常"))</f>
        <v/>
      </c>
      <c r="S581" s="28">
        <f>IF($G581="","",COUNTIFS($E$4:$E$2503,$E581,$Z$4:$Z$2503,"正常",$Y$4:$Y$2503,"待补价"))</f>
        <v/>
      </c>
      <c r="T581" s="26">
        <f>IF($G581="","",SUMIFS($P$4:$P$2503,$E$4:$E$2503,$E581,$Z$4:$Z$2503,"正常",$A$4:$A$2503,"&lt;="&amp;$A581))</f>
        <v/>
      </c>
      <c r="U581" s="26">
        <f>IF($G581="","",IF(OR($S581&gt;0,$Q581=0,$R581=0,$Z581&lt;&gt;"正常"),0,ROUND($T581/$Q581*$R581,0)-ROUND(($T581-$P581)/$Q581*$R581,0)))</f>
        <v/>
      </c>
      <c r="V581" s="26">
        <f>IF($G581="","",ROUND($P581+$U581,0))</f>
        <v/>
      </c>
      <c r="W581" s="26">
        <f>IF($G581="","",IF(N($K581)=0,0,ROUND($V581/$K581,2)))</f>
        <v/>
      </c>
      <c r="X581" s="17" t="inlineStr">
        <is>
          <t>采购入库</t>
        </is>
      </c>
      <c r="Y581" s="17" t="inlineStr">
        <is>
          <t>待补价</t>
        </is>
      </c>
      <c r="Z581" s="17" t="inlineStr">
        <is>
          <t>正常</t>
        </is>
      </c>
      <c r="AA581" s="17" t="n"/>
      <c r="AB581" s="17" t="inlineStr">
        <is>
          <t>原表第 587 行</t>
        </is>
      </c>
      <c r="AC581" s="24">
        <f>IF($G581="","",IF($H581="※编码不在物料档案里","※物料编码不在档案里",IF(N($K581)&lt;=0,"※入库数量要大于 0",IF(AND($C581&lt;&gt;"",$C581&lt;=结账锁),"※日期早于已结账截止日，不能再录",IF(AND($L581=0,$X581="正常"),"※没填单价，价格状态请选「待补价」",IF(AND($S581&gt;0,$R581&gt;0),"△本批有 "&amp;$S581&amp;" 行没单价，整批运费先挂账没摊",IF(AND($B581&lt;&gt;"",COUNTIF($B$4:$B$2503,$B581)&gt;1),"※入库单号重复","")))))))</f>
        <v/>
      </c>
    </row>
    <row r="582">
      <c r="A582" s="24">
        <f>IF($G582="","",COUNTA($G$4:$G582))</f>
        <v/>
      </c>
      <c r="B582" s="17" t="n"/>
      <c r="C582" s="30" t="n">
        <v>46108</v>
      </c>
      <c r="D582" s="17" t="inlineStr">
        <is>
          <t>A国内</t>
        </is>
      </c>
      <c r="E582" s="17" t="inlineStr">
        <is>
          <t>CBHU8932081-202603</t>
        </is>
      </c>
      <c r="F582" s="17" t="inlineStr">
        <is>
          <t>烟台市金豪矿山机械有限公司</t>
        </is>
      </c>
      <c r="G582" s="17" t="inlineStr">
        <is>
          <t>JH0517</t>
        </is>
      </c>
      <c r="H582" s="24">
        <f>IF($G582="","",IFERROR(VLOOKUP($G582,物料档案!$A$4:$P$1203,3,0),"※编码不在物料档案里"))</f>
        <v/>
      </c>
      <c r="I582" s="24">
        <f>IF($G582="","",IFERROR(VLOOKUP($G582,物料档案!$A$4:$P$1203,4,0),"※编码不在物料档案里"))</f>
        <v/>
      </c>
      <c r="J582" s="24">
        <f>IF($G582="","",IFERROR(VLOOKUP($G582,物料档案!$A$4:$P$1203,5,0),"※编码不在物料档案里"))</f>
        <v/>
      </c>
      <c r="K582" s="23" t="n">
        <v>20</v>
      </c>
      <c r="L582" s="31" t="n"/>
      <c r="M582" s="24">
        <f>IF($G582="","",IF($D582="A国内","CNY","TZS"))</f>
        <v/>
      </c>
      <c r="N582" s="28">
        <f>IF($G582="","",IF($D582="A国内",汇率,1))</f>
        <v/>
      </c>
      <c r="O582" s="25">
        <f>IF($G582="","",ROUND(N($K582)*N($L582),2))</f>
        <v/>
      </c>
      <c r="P582" s="26">
        <f>IF($G582="","",ROUND($O582*$N582,0))</f>
        <v/>
      </c>
      <c r="Q582" s="26">
        <f>IF($G582="","",SUMIFS($P$4:$P$2503,$E$4:$E$2503,$E582,$Z$4:$Z$2503,"正常"))</f>
        <v/>
      </c>
      <c r="R582" s="26">
        <f>IF($G582="","",SUMIFS(费用台账!$I$4:$I$503,费用台账!$C$4:$C$503,$E582,费用台账!$J$4:$J$503,"是",费用台账!$K$4:$K$503,"正常"))</f>
        <v/>
      </c>
      <c r="S582" s="28">
        <f>IF($G582="","",COUNTIFS($E$4:$E$2503,$E582,$Z$4:$Z$2503,"正常",$Y$4:$Y$2503,"待补价"))</f>
        <v/>
      </c>
      <c r="T582" s="26">
        <f>IF($G582="","",SUMIFS($P$4:$P$2503,$E$4:$E$2503,$E582,$Z$4:$Z$2503,"正常",$A$4:$A$2503,"&lt;="&amp;$A582))</f>
        <v/>
      </c>
      <c r="U582" s="26">
        <f>IF($G582="","",IF(OR($S582&gt;0,$Q582=0,$R582=0,$Z582&lt;&gt;"正常"),0,ROUND($T582/$Q582*$R582,0)-ROUND(($T582-$P582)/$Q582*$R582,0)))</f>
        <v/>
      </c>
      <c r="V582" s="26">
        <f>IF($G582="","",ROUND($P582+$U582,0))</f>
        <v/>
      </c>
      <c r="W582" s="26">
        <f>IF($G582="","",IF(N($K582)=0,0,ROUND($V582/$K582,2)))</f>
        <v/>
      </c>
      <c r="X582" s="17" t="inlineStr">
        <is>
          <t>采购入库</t>
        </is>
      </c>
      <c r="Y582" s="17" t="inlineStr">
        <is>
          <t>待补价</t>
        </is>
      </c>
      <c r="Z582" s="17" t="inlineStr">
        <is>
          <t>正常</t>
        </is>
      </c>
      <c r="AA582" s="17" t="n"/>
      <c r="AB582" s="17" t="inlineStr">
        <is>
          <t>原表第 588 行</t>
        </is>
      </c>
      <c r="AC582" s="24">
        <f>IF($G582="","",IF($H582="※编码不在物料档案里","※物料编码不在档案里",IF(N($K582)&lt;=0,"※入库数量要大于 0",IF(AND($C582&lt;&gt;"",$C582&lt;=结账锁),"※日期早于已结账截止日，不能再录",IF(AND($L582=0,$X582="正常"),"※没填单价，价格状态请选「待补价」",IF(AND($S582&gt;0,$R582&gt;0),"△本批有 "&amp;$S582&amp;" 行没单价，整批运费先挂账没摊",IF(AND($B582&lt;&gt;"",COUNTIF($B$4:$B$2503,$B582)&gt;1),"※入库单号重复","")))))))</f>
        <v/>
      </c>
    </row>
    <row r="583">
      <c r="A583" s="24">
        <f>IF($G583="","",COUNTA($G$4:$G583))</f>
        <v/>
      </c>
      <c r="B583" s="17" t="n"/>
      <c r="C583" s="30" t="n">
        <v>46108</v>
      </c>
      <c r="D583" s="17" t="inlineStr">
        <is>
          <t>A国内</t>
        </is>
      </c>
      <c r="E583" s="17" t="inlineStr">
        <is>
          <t>CBHU8932081-202603</t>
        </is>
      </c>
      <c r="F583" s="17" t="inlineStr">
        <is>
          <t>烟台市金豪矿山机械有限公司</t>
        </is>
      </c>
      <c r="G583" s="17" t="inlineStr">
        <is>
          <t>JH0518</t>
        </is>
      </c>
      <c r="H583" s="24">
        <f>IF($G583="","",IFERROR(VLOOKUP($G583,物料档案!$A$4:$P$1203,3,0),"※编码不在物料档案里"))</f>
        <v/>
      </c>
      <c r="I583" s="24">
        <f>IF($G583="","",IFERROR(VLOOKUP($G583,物料档案!$A$4:$P$1203,4,0),"※编码不在物料档案里"))</f>
        <v/>
      </c>
      <c r="J583" s="24">
        <f>IF($G583="","",IFERROR(VLOOKUP($G583,物料档案!$A$4:$P$1203,5,0),"※编码不在物料档案里"))</f>
        <v/>
      </c>
      <c r="K583" s="23" t="n">
        <v>1</v>
      </c>
      <c r="L583" s="31" t="n"/>
      <c r="M583" s="24">
        <f>IF($G583="","",IF($D583="A国内","CNY","TZS"))</f>
        <v/>
      </c>
      <c r="N583" s="28">
        <f>IF($G583="","",IF($D583="A国内",汇率,1))</f>
        <v/>
      </c>
      <c r="O583" s="25">
        <f>IF($G583="","",ROUND(N($K583)*N($L583),2))</f>
        <v/>
      </c>
      <c r="P583" s="26">
        <f>IF($G583="","",ROUND($O583*$N583,0))</f>
        <v/>
      </c>
      <c r="Q583" s="26">
        <f>IF($G583="","",SUMIFS($P$4:$P$2503,$E$4:$E$2503,$E583,$Z$4:$Z$2503,"正常"))</f>
        <v/>
      </c>
      <c r="R583" s="26">
        <f>IF($G583="","",SUMIFS(费用台账!$I$4:$I$503,费用台账!$C$4:$C$503,$E583,费用台账!$J$4:$J$503,"是",费用台账!$K$4:$K$503,"正常"))</f>
        <v/>
      </c>
      <c r="S583" s="28">
        <f>IF($G583="","",COUNTIFS($E$4:$E$2503,$E583,$Z$4:$Z$2503,"正常",$Y$4:$Y$2503,"待补价"))</f>
        <v/>
      </c>
      <c r="T583" s="26">
        <f>IF($G583="","",SUMIFS($P$4:$P$2503,$E$4:$E$2503,$E583,$Z$4:$Z$2503,"正常",$A$4:$A$2503,"&lt;="&amp;$A583))</f>
        <v/>
      </c>
      <c r="U583" s="26">
        <f>IF($G583="","",IF(OR($S583&gt;0,$Q583=0,$R583=0,$Z583&lt;&gt;"正常"),0,ROUND($T583/$Q583*$R583,0)-ROUND(($T583-$P583)/$Q583*$R583,0)))</f>
        <v/>
      </c>
      <c r="V583" s="26">
        <f>IF($G583="","",ROUND($P583+$U583,0))</f>
        <v/>
      </c>
      <c r="W583" s="26">
        <f>IF($G583="","",IF(N($K583)=0,0,ROUND($V583/$K583,2)))</f>
        <v/>
      </c>
      <c r="X583" s="17" t="inlineStr">
        <is>
          <t>采购入库</t>
        </is>
      </c>
      <c r="Y583" s="17" t="inlineStr">
        <is>
          <t>待补价</t>
        </is>
      </c>
      <c r="Z583" s="17" t="inlineStr">
        <is>
          <t>正常</t>
        </is>
      </c>
      <c r="AA583" s="17" t="n"/>
      <c r="AB583" s="17" t="inlineStr">
        <is>
          <t>原表第 589 行</t>
        </is>
      </c>
      <c r="AC583" s="24">
        <f>IF($G583="","",IF($H583="※编码不在物料档案里","※物料编码不在档案里",IF(N($K583)&lt;=0,"※入库数量要大于 0",IF(AND($C583&lt;&gt;"",$C583&lt;=结账锁),"※日期早于已结账截止日，不能再录",IF(AND($L583=0,$X583="正常"),"※没填单价，价格状态请选「待补价」",IF(AND($S583&gt;0,$R583&gt;0),"△本批有 "&amp;$S583&amp;" 行没单价，整批运费先挂账没摊",IF(AND($B583&lt;&gt;"",COUNTIF($B$4:$B$2503,$B583)&gt;1),"※入库单号重复","")))))))</f>
        <v/>
      </c>
    </row>
    <row r="584">
      <c r="A584" s="24">
        <f>IF($G584="","",COUNTA($G$4:$G584))</f>
        <v/>
      </c>
      <c r="B584" s="17" t="n"/>
      <c r="C584" s="30" t="n">
        <v>46108</v>
      </c>
      <c r="D584" s="17" t="inlineStr">
        <is>
          <t>A国内</t>
        </is>
      </c>
      <c r="E584" s="17" t="inlineStr">
        <is>
          <t>CBHU8932081-202603</t>
        </is>
      </c>
      <c r="F584" s="17" t="inlineStr">
        <is>
          <t>烟台市金豪矿山机械有限公司</t>
        </is>
      </c>
      <c r="G584" s="17" t="inlineStr">
        <is>
          <t>JH0519</t>
        </is>
      </c>
      <c r="H584" s="24">
        <f>IF($G584="","",IFERROR(VLOOKUP($G584,物料档案!$A$4:$P$1203,3,0),"※编码不在物料档案里"))</f>
        <v/>
      </c>
      <c r="I584" s="24">
        <f>IF($G584="","",IFERROR(VLOOKUP($G584,物料档案!$A$4:$P$1203,4,0),"※编码不在物料档案里"))</f>
        <v/>
      </c>
      <c r="J584" s="24">
        <f>IF($G584="","",IFERROR(VLOOKUP($G584,物料档案!$A$4:$P$1203,5,0),"※编码不在物料档案里"))</f>
        <v/>
      </c>
      <c r="K584" s="23" t="n">
        <v>1</v>
      </c>
      <c r="L584" s="31" t="n"/>
      <c r="M584" s="24">
        <f>IF($G584="","",IF($D584="A国内","CNY","TZS"))</f>
        <v/>
      </c>
      <c r="N584" s="28">
        <f>IF($G584="","",IF($D584="A国内",汇率,1))</f>
        <v/>
      </c>
      <c r="O584" s="25">
        <f>IF($G584="","",ROUND(N($K584)*N($L584),2))</f>
        <v/>
      </c>
      <c r="P584" s="26">
        <f>IF($G584="","",ROUND($O584*$N584,0))</f>
        <v/>
      </c>
      <c r="Q584" s="26">
        <f>IF($G584="","",SUMIFS($P$4:$P$2503,$E$4:$E$2503,$E584,$Z$4:$Z$2503,"正常"))</f>
        <v/>
      </c>
      <c r="R584" s="26">
        <f>IF($G584="","",SUMIFS(费用台账!$I$4:$I$503,费用台账!$C$4:$C$503,$E584,费用台账!$J$4:$J$503,"是",费用台账!$K$4:$K$503,"正常"))</f>
        <v/>
      </c>
      <c r="S584" s="28">
        <f>IF($G584="","",COUNTIFS($E$4:$E$2503,$E584,$Z$4:$Z$2503,"正常",$Y$4:$Y$2503,"待补价"))</f>
        <v/>
      </c>
      <c r="T584" s="26">
        <f>IF($G584="","",SUMIFS($P$4:$P$2503,$E$4:$E$2503,$E584,$Z$4:$Z$2503,"正常",$A$4:$A$2503,"&lt;="&amp;$A584))</f>
        <v/>
      </c>
      <c r="U584" s="26">
        <f>IF($G584="","",IF(OR($S584&gt;0,$Q584=0,$R584=0,$Z584&lt;&gt;"正常"),0,ROUND($T584/$Q584*$R584,0)-ROUND(($T584-$P584)/$Q584*$R584,0)))</f>
        <v/>
      </c>
      <c r="V584" s="26">
        <f>IF($G584="","",ROUND($P584+$U584,0))</f>
        <v/>
      </c>
      <c r="W584" s="26">
        <f>IF($G584="","",IF(N($K584)=0,0,ROUND($V584/$K584,2)))</f>
        <v/>
      </c>
      <c r="X584" s="17" t="inlineStr">
        <is>
          <t>采购入库</t>
        </is>
      </c>
      <c r="Y584" s="17" t="inlineStr">
        <is>
          <t>待补价</t>
        </is>
      </c>
      <c r="Z584" s="17" t="inlineStr">
        <is>
          <t>正常</t>
        </is>
      </c>
      <c r="AA584" s="17" t="n"/>
      <c r="AB584" s="17" t="inlineStr">
        <is>
          <t>原表第 590 行</t>
        </is>
      </c>
      <c r="AC584" s="24">
        <f>IF($G584="","",IF($H584="※编码不在物料档案里","※物料编码不在档案里",IF(N($K584)&lt;=0,"※入库数量要大于 0",IF(AND($C584&lt;&gt;"",$C584&lt;=结账锁),"※日期早于已结账截止日，不能再录",IF(AND($L584=0,$X584="正常"),"※没填单价，价格状态请选「待补价」",IF(AND($S584&gt;0,$R584&gt;0),"△本批有 "&amp;$S584&amp;" 行没单价，整批运费先挂账没摊",IF(AND($B584&lt;&gt;"",COUNTIF($B$4:$B$2503,$B584)&gt;1),"※入库单号重复","")))))))</f>
        <v/>
      </c>
    </row>
    <row r="585">
      <c r="A585" s="24">
        <f>IF($G585="","",COUNTA($G$4:$G585))</f>
        <v/>
      </c>
      <c r="B585" s="17" t="n"/>
      <c r="C585" s="30" t="n">
        <v>46108</v>
      </c>
      <c r="D585" s="17" t="inlineStr">
        <is>
          <t>A国内</t>
        </is>
      </c>
      <c r="E585" s="17" t="inlineStr">
        <is>
          <t>CBHU8932081-202603</t>
        </is>
      </c>
      <c r="F585" s="17" t="inlineStr">
        <is>
          <t>烟台市金豪矿山机械有限公司</t>
        </is>
      </c>
      <c r="G585" s="17" t="inlineStr">
        <is>
          <t>JH0520</t>
        </is>
      </c>
      <c r="H585" s="24">
        <f>IF($G585="","",IFERROR(VLOOKUP($G585,物料档案!$A$4:$P$1203,3,0),"※编码不在物料档案里"))</f>
        <v/>
      </c>
      <c r="I585" s="24">
        <f>IF($G585="","",IFERROR(VLOOKUP($G585,物料档案!$A$4:$P$1203,4,0),"※编码不在物料档案里"))</f>
        <v/>
      </c>
      <c r="J585" s="24">
        <f>IF($G585="","",IFERROR(VLOOKUP($G585,物料档案!$A$4:$P$1203,5,0),"※编码不在物料档案里"))</f>
        <v/>
      </c>
      <c r="K585" s="23" t="n">
        <v>1</v>
      </c>
      <c r="L585" s="31" t="n"/>
      <c r="M585" s="24">
        <f>IF($G585="","",IF($D585="A国内","CNY","TZS"))</f>
        <v/>
      </c>
      <c r="N585" s="28">
        <f>IF($G585="","",IF($D585="A国内",汇率,1))</f>
        <v/>
      </c>
      <c r="O585" s="25">
        <f>IF($G585="","",ROUND(N($K585)*N($L585),2))</f>
        <v/>
      </c>
      <c r="P585" s="26">
        <f>IF($G585="","",ROUND($O585*$N585,0))</f>
        <v/>
      </c>
      <c r="Q585" s="26">
        <f>IF($G585="","",SUMIFS($P$4:$P$2503,$E$4:$E$2503,$E585,$Z$4:$Z$2503,"正常"))</f>
        <v/>
      </c>
      <c r="R585" s="26">
        <f>IF($G585="","",SUMIFS(费用台账!$I$4:$I$503,费用台账!$C$4:$C$503,$E585,费用台账!$J$4:$J$503,"是",费用台账!$K$4:$K$503,"正常"))</f>
        <v/>
      </c>
      <c r="S585" s="28">
        <f>IF($G585="","",COUNTIFS($E$4:$E$2503,$E585,$Z$4:$Z$2503,"正常",$Y$4:$Y$2503,"待补价"))</f>
        <v/>
      </c>
      <c r="T585" s="26">
        <f>IF($G585="","",SUMIFS($P$4:$P$2503,$E$4:$E$2503,$E585,$Z$4:$Z$2503,"正常",$A$4:$A$2503,"&lt;="&amp;$A585))</f>
        <v/>
      </c>
      <c r="U585" s="26">
        <f>IF($G585="","",IF(OR($S585&gt;0,$Q585=0,$R585=0,$Z585&lt;&gt;"正常"),0,ROUND($T585/$Q585*$R585,0)-ROUND(($T585-$P585)/$Q585*$R585,0)))</f>
        <v/>
      </c>
      <c r="V585" s="26">
        <f>IF($G585="","",ROUND($P585+$U585,0))</f>
        <v/>
      </c>
      <c r="W585" s="26">
        <f>IF($G585="","",IF(N($K585)=0,0,ROUND($V585/$K585,2)))</f>
        <v/>
      </c>
      <c r="X585" s="17" t="inlineStr">
        <is>
          <t>采购入库</t>
        </is>
      </c>
      <c r="Y585" s="17" t="inlineStr">
        <is>
          <t>待补价</t>
        </is>
      </c>
      <c r="Z585" s="17" t="inlineStr">
        <is>
          <t>正常</t>
        </is>
      </c>
      <c r="AA585" s="17" t="n"/>
      <c r="AB585" s="17" t="inlineStr">
        <is>
          <t>原表第 591 行</t>
        </is>
      </c>
      <c r="AC585" s="24">
        <f>IF($G585="","",IF($H585="※编码不在物料档案里","※物料编码不在档案里",IF(N($K585)&lt;=0,"※入库数量要大于 0",IF(AND($C585&lt;&gt;"",$C585&lt;=结账锁),"※日期早于已结账截止日，不能再录",IF(AND($L585=0,$X585="正常"),"※没填单价，价格状态请选「待补价」",IF(AND($S585&gt;0,$R585&gt;0),"△本批有 "&amp;$S585&amp;" 行没单价，整批运费先挂账没摊",IF(AND($B585&lt;&gt;"",COUNTIF($B$4:$B$2503,$B585)&gt;1),"※入库单号重复","")))))))</f>
        <v/>
      </c>
    </row>
    <row r="586">
      <c r="A586" s="24">
        <f>IF($G586="","",COUNTA($G$4:$G586))</f>
        <v/>
      </c>
      <c r="B586" s="17" t="n"/>
      <c r="C586" s="30" t="n">
        <v>46108</v>
      </c>
      <c r="D586" s="17" t="inlineStr">
        <is>
          <t>A国内</t>
        </is>
      </c>
      <c r="E586" s="17" t="inlineStr">
        <is>
          <t>CBHU8932081-202603</t>
        </is>
      </c>
      <c r="F586" s="17" t="inlineStr">
        <is>
          <t>烟台市金豪矿山机械有限公司</t>
        </is>
      </c>
      <c r="G586" s="17" t="inlineStr">
        <is>
          <t>JH0521</t>
        </is>
      </c>
      <c r="H586" s="24">
        <f>IF($G586="","",IFERROR(VLOOKUP($G586,物料档案!$A$4:$P$1203,3,0),"※编码不在物料档案里"))</f>
        <v/>
      </c>
      <c r="I586" s="24">
        <f>IF($G586="","",IFERROR(VLOOKUP($G586,物料档案!$A$4:$P$1203,4,0),"※编码不在物料档案里"))</f>
        <v/>
      </c>
      <c r="J586" s="24">
        <f>IF($G586="","",IFERROR(VLOOKUP($G586,物料档案!$A$4:$P$1203,5,0),"※编码不在物料档案里"))</f>
        <v/>
      </c>
      <c r="K586" s="23" t="n">
        <v>16</v>
      </c>
      <c r="L586" s="31" t="n"/>
      <c r="M586" s="24">
        <f>IF($G586="","",IF($D586="A国内","CNY","TZS"))</f>
        <v/>
      </c>
      <c r="N586" s="28">
        <f>IF($G586="","",IF($D586="A国内",汇率,1))</f>
        <v/>
      </c>
      <c r="O586" s="25">
        <f>IF($G586="","",ROUND(N($K586)*N($L586),2))</f>
        <v/>
      </c>
      <c r="P586" s="26">
        <f>IF($G586="","",ROUND($O586*$N586,0))</f>
        <v/>
      </c>
      <c r="Q586" s="26">
        <f>IF($G586="","",SUMIFS($P$4:$P$2503,$E$4:$E$2503,$E586,$Z$4:$Z$2503,"正常"))</f>
        <v/>
      </c>
      <c r="R586" s="26">
        <f>IF($G586="","",SUMIFS(费用台账!$I$4:$I$503,费用台账!$C$4:$C$503,$E586,费用台账!$J$4:$J$503,"是",费用台账!$K$4:$K$503,"正常"))</f>
        <v/>
      </c>
      <c r="S586" s="28">
        <f>IF($G586="","",COUNTIFS($E$4:$E$2503,$E586,$Z$4:$Z$2503,"正常",$Y$4:$Y$2503,"待补价"))</f>
        <v/>
      </c>
      <c r="T586" s="26">
        <f>IF($G586="","",SUMIFS($P$4:$P$2503,$E$4:$E$2503,$E586,$Z$4:$Z$2503,"正常",$A$4:$A$2503,"&lt;="&amp;$A586))</f>
        <v/>
      </c>
      <c r="U586" s="26">
        <f>IF($G586="","",IF(OR($S586&gt;0,$Q586=0,$R586=0,$Z586&lt;&gt;"正常"),0,ROUND($T586/$Q586*$R586,0)-ROUND(($T586-$P586)/$Q586*$R586,0)))</f>
        <v/>
      </c>
      <c r="V586" s="26">
        <f>IF($G586="","",ROUND($P586+$U586,0))</f>
        <v/>
      </c>
      <c r="W586" s="26">
        <f>IF($G586="","",IF(N($K586)=0,0,ROUND($V586/$K586,2)))</f>
        <v/>
      </c>
      <c r="X586" s="17" t="inlineStr">
        <is>
          <t>采购入库</t>
        </is>
      </c>
      <c r="Y586" s="17" t="inlineStr">
        <is>
          <t>待补价</t>
        </is>
      </c>
      <c r="Z586" s="17" t="inlineStr">
        <is>
          <t>正常</t>
        </is>
      </c>
      <c r="AA586" s="17" t="n"/>
      <c r="AB586" s="17" t="inlineStr">
        <is>
          <t>原表第 592 行</t>
        </is>
      </c>
      <c r="AC586" s="24">
        <f>IF($G586="","",IF($H586="※编码不在物料档案里","※物料编码不在档案里",IF(N($K586)&lt;=0,"※入库数量要大于 0",IF(AND($C586&lt;&gt;"",$C586&lt;=结账锁),"※日期早于已结账截止日，不能再录",IF(AND($L586=0,$X586="正常"),"※没填单价，价格状态请选「待补价」",IF(AND($S586&gt;0,$R586&gt;0),"△本批有 "&amp;$S586&amp;" 行没单价，整批运费先挂账没摊",IF(AND($B586&lt;&gt;"",COUNTIF($B$4:$B$2503,$B586)&gt;1),"※入库单号重复","")))))))</f>
        <v/>
      </c>
    </row>
    <row r="587">
      <c r="A587" s="24">
        <f>IF($G587="","",COUNTA($G$4:$G587))</f>
        <v/>
      </c>
      <c r="B587" s="17" t="n"/>
      <c r="C587" s="30" t="n">
        <v>46108</v>
      </c>
      <c r="D587" s="17" t="inlineStr">
        <is>
          <t>A国内</t>
        </is>
      </c>
      <c r="E587" s="17" t="inlineStr">
        <is>
          <t>CBHU8932081-202603</t>
        </is>
      </c>
      <c r="F587" s="17" t="inlineStr">
        <is>
          <t>烟台市金豪矿山机械有限公司</t>
        </is>
      </c>
      <c r="G587" s="17" t="inlineStr">
        <is>
          <t>JH0522</t>
        </is>
      </c>
      <c r="H587" s="24">
        <f>IF($G587="","",IFERROR(VLOOKUP($G587,物料档案!$A$4:$P$1203,3,0),"※编码不在物料档案里"))</f>
        <v/>
      </c>
      <c r="I587" s="24">
        <f>IF($G587="","",IFERROR(VLOOKUP($G587,物料档案!$A$4:$P$1203,4,0),"※编码不在物料档案里"))</f>
        <v/>
      </c>
      <c r="J587" s="24">
        <f>IF($G587="","",IFERROR(VLOOKUP($G587,物料档案!$A$4:$P$1203,5,0),"※编码不在物料档案里"))</f>
        <v/>
      </c>
      <c r="K587" s="23" t="n">
        <v>16</v>
      </c>
      <c r="L587" s="31" t="n"/>
      <c r="M587" s="24">
        <f>IF($G587="","",IF($D587="A国内","CNY","TZS"))</f>
        <v/>
      </c>
      <c r="N587" s="28">
        <f>IF($G587="","",IF($D587="A国内",汇率,1))</f>
        <v/>
      </c>
      <c r="O587" s="25">
        <f>IF($G587="","",ROUND(N($K587)*N($L587),2))</f>
        <v/>
      </c>
      <c r="P587" s="26">
        <f>IF($G587="","",ROUND($O587*$N587,0))</f>
        <v/>
      </c>
      <c r="Q587" s="26">
        <f>IF($G587="","",SUMIFS($P$4:$P$2503,$E$4:$E$2503,$E587,$Z$4:$Z$2503,"正常"))</f>
        <v/>
      </c>
      <c r="R587" s="26">
        <f>IF($G587="","",SUMIFS(费用台账!$I$4:$I$503,费用台账!$C$4:$C$503,$E587,费用台账!$J$4:$J$503,"是",费用台账!$K$4:$K$503,"正常"))</f>
        <v/>
      </c>
      <c r="S587" s="28">
        <f>IF($G587="","",COUNTIFS($E$4:$E$2503,$E587,$Z$4:$Z$2503,"正常",$Y$4:$Y$2503,"待补价"))</f>
        <v/>
      </c>
      <c r="T587" s="26">
        <f>IF($G587="","",SUMIFS($P$4:$P$2503,$E$4:$E$2503,$E587,$Z$4:$Z$2503,"正常",$A$4:$A$2503,"&lt;="&amp;$A587))</f>
        <v/>
      </c>
      <c r="U587" s="26">
        <f>IF($G587="","",IF(OR($S587&gt;0,$Q587=0,$R587=0,$Z587&lt;&gt;"正常"),0,ROUND($T587/$Q587*$R587,0)-ROUND(($T587-$P587)/$Q587*$R587,0)))</f>
        <v/>
      </c>
      <c r="V587" s="26">
        <f>IF($G587="","",ROUND($P587+$U587,0))</f>
        <v/>
      </c>
      <c r="W587" s="26">
        <f>IF($G587="","",IF(N($K587)=0,0,ROUND($V587/$K587,2)))</f>
        <v/>
      </c>
      <c r="X587" s="17" t="inlineStr">
        <is>
          <t>采购入库</t>
        </is>
      </c>
      <c r="Y587" s="17" t="inlineStr">
        <is>
          <t>待补价</t>
        </is>
      </c>
      <c r="Z587" s="17" t="inlineStr">
        <is>
          <t>正常</t>
        </is>
      </c>
      <c r="AA587" s="17" t="n"/>
      <c r="AB587" s="17" t="inlineStr">
        <is>
          <t>原表第 593 行</t>
        </is>
      </c>
      <c r="AC587" s="24">
        <f>IF($G587="","",IF($H587="※编码不在物料档案里","※物料编码不在档案里",IF(N($K587)&lt;=0,"※入库数量要大于 0",IF(AND($C587&lt;&gt;"",$C587&lt;=结账锁),"※日期早于已结账截止日，不能再录",IF(AND($L587=0,$X587="正常"),"※没填单价，价格状态请选「待补价」",IF(AND($S587&gt;0,$R587&gt;0),"△本批有 "&amp;$S587&amp;" 行没单价，整批运费先挂账没摊",IF(AND($B587&lt;&gt;"",COUNTIF($B$4:$B$2503,$B587)&gt;1),"※入库单号重复","")))))))</f>
        <v/>
      </c>
    </row>
    <row r="588">
      <c r="A588" s="24">
        <f>IF($G588="","",COUNTA($G$4:$G588))</f>
        <v/>
      </c>
      <c r="B588" s="17" t="n"/>
      <c r="C588" s="30" t="n">
        <v>46108</v>
      </c>
      <c r="D588" s="17" t="inlineStr">
        <is>
          <t>A国内</t>
        </is>
      </c>
      <c r="E588" s="17" t="inlineStr">
        <is>
          <t>CBHU8932081-202603</t>
        </is>
      </c>
      <c r="F588" s="17" t="inlineStr">
        <is>
          <t>烟台市金豪矿山机械有限公司</t>
        </is>
      </c>
      <c r="G588" s="17" t="inlineStr">
        <is>
          <t>JH0523</t>
        </is>
      </c>
      <c r="H588" s="24">
        <f>IF($G588="","",IFERROR(VLOOKUP($G588,物料档案!$A$4:$P$1203,3,0),"※编码不在物料档案里"))</f>
        <v/>
      </c>
      <c r="I588" s="24">
        <f>IF($G588="","",IFERROR(VLOOKUP($G588,物料档案!$A$4:$P$1203,4,0),"※编码不在物料档案里"))</f>
        <v/>
      </c>
      <c r="J588" s="24">
        <f>IF($G588="","",IFERROR(VLOOKUP($G588,物料档案!$A$4:$P$1203,5,0),"※编码不在物料档案里"))</f>
        <v/>
      </c>
      <c r="K588" s="23" t="n">
        <v>1</v>
      </c>
      <c r="L588" s="31" t="n"/>
      <c r="M588" s="24">
        <f>IF($G588="","",IF($D588="A国内","CNY","TZS"))</f>
        <v/>
      </c>
      <c r="N588" s="28">
        <f>IF($G588="","",IF($D588="A国内",汇率,1))</f>
        <v/>
      </c>
      <c r="O588" s="25">
        <f>IF($G588="","",ROUND(N($K588)*N($L588),2))</f>
        <v/>
      </c>
      <c r="P588" s="26">
        <f>IF($G588="","",ROUND($O588*$N588,0))</f>
        <v/>
      </c>
      <c r="Q588" s="26">
        <f>IF($G588="","",SUMIFS($P$4:$P$2503,$E$4:$E$2503,$E588,$Z$4:$Z$2503,"正常"))</f>
        <v/>
      </c>
      <c r="R588" s="26">
        <f>IF($G588="","",SUMIFS(费用台账!$I$4:$I$503,费用台账!$C$4:$C$503,$E588,费用台账!$J$4:$J$503,"是",费用台账!$K$4:$K$503,"正常"))</f>
        <v/>
      </c>
      <c r="S588" s="28">
        <f>IF($G588="","",COUNTIFS($E$4:$E$2503,$E588,$Z$4:$Z$2503,"正常",$Y$4:$Y$2503,"待补价"))</f>
        <v/>
      </c>
      <c r="T588" s="26">
        <f>IF($G588="","",SUMIFS($P$4:$P$2503,$E$4:$E$2503,$E588,$Z$4:$Z$2503,"正常",$A$4:$A$2503,"&lt;="&amp;$A588))</f>
        <v/>
      </c>
      <c r="U588" s="26">
        <f>IF($G588="","",IF(OR($S588&gt;0,$Q588=0,$R588=0,$Z588&lt;&gt;"正常"),0,ROUND($T588/$Q588*$R588,0)-ROUND(($T588-$P588)/$Q588*$R588,0)))</f>
        <v/>
      </c>
      <c r="V588" s="26">
        <f>IF($G588="","",ROUND($P588+$U588,0))</f>
        <v/>
      </c>
      <c r="W588" s="26">
        <f>IF($G588="","",IF(N($K588)=0,0,ROUND($V588/$K588,2)))</f>
        <v/>
      </c>
      <c r="X588" s="17" t="inlineStr">
        <is>
          <t>采购入库</t>
        </is>
      </c>
      <c r="Y588" s="17" t="inlineStr">
        <is>
          <t>待补价</t>
        </is>
      </c>
      <c r="Z588" s="17" t="inlineStr">
        <is>
          <t>正常</t>
        </is>
      </c>
      <c r="AA588" s="17" t="n"/>
      <c r="AB588" s="17" t="inlineStr">
        <is>
          <t>原表第 594 行</t>
        </is>
      </c>
      <c r="AC588" s="24">
        <f>IF($G588="","",IF($H588="※编码不在物料档案里","※物料编码不在档案里",IF(N($K588)&lt;=0,"※入库数量要大于 0",IF(AND($C588&lt;&gt;"",$C588&lt;=结账锁),"※日期早于已结账截止日，不能再录",IF(AND($L588=0,$X588="正常"),"※没填单价，价格状态请选「待补价」",IF(AND($S588&gt;0,$R588&gt;0),"△本批有 "&amp;$S588&amp;" 行没单价，整批运费先挂账没摊",IF(AND($B588&lt;&gt;"",COUNTIF($B$4:$B$2503,$B588)&gt;1),"※入库单号重复","")))))))</f>
        <v/>
      </c>
    </row>
    <row r="589">
      <c r="A589" s="24">
        <f>IF($G589="","",COUNTA($G$4:$G589))</f>
        <v/>
      </c>
      <c r="B589" s="17" t="n"/>
      <c r="C589" s="30" t="n">
        <v>46109</v>
      </c>
      <c r="D589" s="17" t="inlineStr">
        <is>
          <t>A国内</t>
        </is>
      </c>
      <c r="E589" s="17" t="inlineStr">
        <is>
          <t>FCIU8393711-202603</t>
        </is>
      </c>
      <c r="F589" s="17" t="inlineStr">
        <is>
          <t>烟台市金豪矿山机械有限公司</t>
        </is>
      </c>
      <c r="G589" s="17" t="inlineStr">
        <is>
          <t>JH0166</t>
        </is>
      </c>
      <c r="H589" s="24">
        <f>IF($G589="","",IFERROR(VLOOKUP($G589,物料档案!$A$4:$P$1203,3,0),"※编码不在物料档案里"))</f>
        <v/>
      </c>
      <c r="I589" s="24">
        <f>IF($G589="","",IFERROR(VLOOKUP($G589,物料档案!$A$4:$P$1203,4,0),"※编码不在物料档案里"))</f>
        <v/>
      </c>
      <c r="J589" s="24">
        <f>IF($G589="","",IFERROR(VLOOKUP($G589,物料档案!$A$4:$P$1203,5,0),"※编码不在物料档案里"))</f>
        <v/>
      </c>
      <c r="K589" s="23" t="n">
        <v>1</v>
      </c>
      <c r="L589" s="31" t="n"/>
      <c r="M589" s="24">
        <f>IF($G589="","",IF($D589="A国内","CNY","TZS"))</f>
        <v/>
      </c>
      <c r="N589" s="28">
        <f>IF($G589="","",IF($D589="A国内",汇率,1))</f>
        <v/>
      </c>
      <c r="O589" s="25">
        <f>IF($G589="","",ROUND(N($K589)*N($L589),2))</f>
        <v/>
      </c>
      <c r="P589" s="26">
        <f>IF($G589="","",ROUND($O589*$N589,0))</f>
        <v/>
      </c>
      <c r="Q589" s="26">
        <f>IF($G589="","",SUMIFS($P$4:$P$2503,$E$4:$E$2503,$E589,$Z$4:$Z$2503,"正常"))</f>
        <v/>
      </c>
      <c r="R589" s="26">
        <f>IF($G589="","",SUMIFS(费用台账!$I$4:$I$503,费用台账!$C$4:$C$503,$E589,费用台账!$J$4:$J$503,"是",费用台账!$K$4:$K$503,"正常"))</f>
        <v/>
      </c>
      <c r="S589" s="28">
        <f>IF($G589="","",COUNTIFS($E$4:$E$2503,$E589,$Z$4:$Z$2503,"正常",$Y$4:$Y$2503,"待补价"))</f>
        <v/>
      </c>
      <c r="T589" s="26">
        <f>IF($G589="","",SUMIFS($P$4:$P$2503,$E$4:$E$2503,$E589,$Z$4:$Z$2503,"正常",$A$4:$A$2503,"&lt;="&amp;$A589))</f>
        <v/>
      </c>
      <c r="U589" s="26">
        <f>IF($G589="","",IF(OR($S589&gt;0,$Q589=0,$R589=0,$Z589&lt;&gt;"正常"),0,ROUND($T589/$Q589*$R589,0)-ROUND(($T589-$P589)/$Q589*$R589,0)))</f>
        <v/>
      </c>
      <c r="V589" s="26">
        <f>IF($G589="","",ROUND($P589+$U589,0))</f>
        <v/>
      </c>
      <c r="W589" s="26">
        <f>IF($G589="","",IF(N($K589)=0,0,ROUND($V589/$K589,2)))</f>
        <v/>
      </c>
      <c r="X589" s="17" t="inlineStr">
        <is>
          <t>采购入库</t>
        </is>
      </c>
      <c r="Y589" s="17" t="inlineStr">
        <is>
          <t>待补价</t>
        </is>
      </c>
      <c r="Z589" s="17" t="inlineStr">
        <is>
          <t>正常</t>
        </is>
      </c>
      <c r="AA589" s="17" t="n"/>
      <c r="AB589" s="17" t="inlineStr">
        <is>
          <t>原表第 595 行</t>
        </is>
      </c>
      <c r="AC589" s="24">
        <f>IF($G589="","",IF($H589="※编码不在物料档案里","※物料编码不在档案里",IF(N($K589)&lt;=0,"※入库数量要大于 0",IF(AND($C589&lt;&gt;"",$C589&lt;=结账锁),"※日期早于已结账截止日，不能再录",IF(AND($L589=0,$X589="正常"),"※没填单价，价格状态请选「待补价」",IF(AND($S589&gt;0,$R589&gt;0),"△本批有 "&amp;$S589&amp;" 行没单价，整批运费先挂账没摊",IF(AND($B589&lt;&gt;"",COUNTIF($B$4:$B$2503,$B589)&gt;1),"※入库单号重复","")))))))</f>
        <v/>
      </c>
    </row>
    <row r="590">
      <c r="A590" s="24">
        <f>IF($G590="","",COUNTA($G$4:$G590))</f>
        <v/>
      </c>
      <c r="B590" s="17" t="n"/>
      <c r="C590" s="30" t="n">
        <v>46109</v>
      </c>
      <c r="D590" s="17" t="inlineStr">
        <is>
          <t>A国内</t>
        </is>
      </c>
      <c r="E590" s="17" t="inlineStr">
        <is>
          <t>FCIU8393711-202603</t>
        </is>
      </c>
      <c r="F590" s="17" t="inlineStr">
        <is>
          <t>烟台市金豪矿山机械有限公司</t>
        </is>
      </c>
      <c r="G590" s="17" t="inlineStr">
        <is>
          <t>JH0524</t>
        </is>
      </c>
      <c r="H590" s="24">
        <f>IF($G590="","",IFERROR(VLOOKUP($G590,物料档案!$A$4:$P$1203,3,0),"※编码不在物料档案里"))</f>
        <v/>
      </c>
      <c r="I590" s="24">
        <f>IF($G590="","",IFERROR(VLOOKUP($G590,物料档案!$A$4:$P$1203,4,0),"※编码不在物料档案里"))</f>
        <v/>
      </c>
      <c r="J590" s="24">
        <f>IF($G590="","",IFERROR(VLOOKUP($G590,物料档案!$A$4:$P$1203,5,0),"※编码不在物料档案里"))</f>
        <v/>
      </c>
      <c r="K590" s="23" t="n">
        <v>1</v>
      </c>
      <c r="L590" s="31" t="n"/>
      <c r="M590" s="24">
        <f>IF($G590="","",IF($D590="A国内","CNY","TZS"))</f>
        <v/>
      </c>
      <c r="N590" s="28">
        <f>IF($G590="","",IF($D590="A国内",汇率,1))</f>
        <v/>
      </c>
      <c r="O590" s="25">
        <f>IF($G590="","",ROUND(N($K590)*N($L590),2))</f>
        <v/>
      </c>
      <c r="P590" s="26">
        <f>IF($G590="","",ROUND($O590*$N590,0))</f>
        <v/>
      </c>
      <c r="Q590" s="26">
        <f>IF($G590="","",SUMIFS($P$4:$P$2503,$E$4:$E$2503,$E590,$Z$4:$Z$2503,"正常"))</f>
        <v/>
      </c>
      <c r="R590" s="26">
        <f>IF($G590="","",SUMIFS(费用台账!$I$4:$I$503,费用台账!$C$4:$C$503,$E590,费用台账!$J$4:$J$503,"是",费用台账!$K$4:$K$503,"正常"))</f>
        <v/>
      </c>
      <c r="S590" s="28">
        <f>IF($G590="","",COUNTIFS($E$4:$E$2503,$E590,$Z$4:$Z$2503,"正常",$Y$4:$Y$2503,"待补价"))</f>
        <v/>
      </c>
      <c r="T590" s="26">
        <f>IF($G590="","",SUMIFS($P$4:$P$2503,$E$4:$E$2503,$E590,$Z$4:$Z$2503,"正常",$A$4:$A$2503,"&lt;="&amp;$A590))</f>
        <v/>
      </c>
      <c r="U590" s="26">
        <f>IF($G590="","",IF(OR($S590&gt;0,$Q590=0,$R590=0,$Z590&lt;&gt;"正常"),0,ROUND($T590/$Q590*$R590,0)-ROUND(($T590-$P590)/$Q590*$R590,0)))</f>
        <v/>
      </c>
      <c r="V590" s="26">
        <f>IF($G590="","",ROUND($P590+$U590,0))</f>
        <v/>
      </c>
      <c r="W590" s="26">
        <f>IF($G590="","",IF(N($K590)=0,0,ROUND($V590/$K590,2)))</f>
        <v/>
      </c>
      <c r="X590" s="17" t="inlineStr">
        <is>
          <t>采购入库</t>
        </is>
      </c>
      <c r="Y590" s="17" t="inlineStr">
        <is>
          <t>待补价</t>
        </is>
      </c>
      <c r="Z590" s="17" t="inlineStr">
        <is>
          <t>正常</t>
        </is>
      </c>
      <c r="AA590" s="17" t="n"/>
      <c r="AB590" s="17" t="inlineStr">
        <is>
          <t>原表第 596 行</t>
        </is>
      </c>
      <c r="AC590" s="24">
        <f>IF($G590="","",IF($H590="※编码不在物料档案里","※物料编码不在档案里",IF(N($K590)&lt;=0,"※入库数量要大于 0",IF(AND($C590&lt;&gt;"",$C590&lt;=结账锁),"※日期早于已结账截止日，不能再录",IF(AND($L590=0,$X590="正常"),"※没填单价，价格状态请选「待补价」",IF(AND($S590&gt;0,$R590&gt;0),"△本批有 "&amp;$S590&amp;" 行没单价，整批运费先挂账没摊",IF(AND($B590&lt;&gt;"",COUNTIF($B$4:$B$2503,$B590)&gt;1),"※入库单号重复","")))))))</f>
        <v/>
      </c>
    </row>
    <row r="591">
      <c r="A591" s="24">
        <f>IF($G591="","",COUNTA($G$4:$G591))</f>
        <v/>
      </c>
      <c r="B591" s="17" t="n"/>
      <c r="C591" s="30" t="n">
        <v>46109</v>
      </c>
      <c r="D591" s="17" t="inlineStr">
        <is>
          <t>A国内</t>
        </is>
      </c>
      <c r="E591" s="17" t="inlineStr">
        <is>
          <t>FCIU8393711-202603</t>
        </is>
      </c>
      <c r="F591" s="17" t="inlineStr">
        <is>
          <t>烟台市金豪矿山机械有限公司</t>
        </is>
      </c>
      <c r="G591" s="17" t="inlineStr">
        <is>
          <t>JH0525</t>
        </is>
      </c>
      <c r="H591" s="24">
        <f>IF($G591="","",IFERROR(VLOOKUP($G591,物料档案!$A$4:$P$1203,3,0),"※编码不在物料档案里"))</f>
        <v/>
      </c>
      <c r="I591" s="24">
        <f>IF($G591="","",IFERROR(VLOOKUP($G591,物料档案!$A$4:$P$1203,4,0),"※编码不在物料档案里"))</f>
        <v/>
      </c>
      <c r="J591" s="24">
        <f>IF($G591="","",IFERROR(VLOOKUP($G591,物料档案!$A$4:$P$1203,5,0),"※编码不在物料档案里"))</f>
        <v/>
      </c>
      <c r="K591" s="23" t="n">
        <v>1</v>
      </c>
      <c r="L591" s="31" t="n"/>
      <c r="M591" s="24">
        <f>IF($G591="","",IF($D591="A国内","CNY","TZS"))</f>
        <v/>
      </c>
      <c r="N591" s="28">
        <f>IF($G591="","",IF($D591="A国内",汇率,1))</f>
        <v/>
      </c>
      <c r="O591" s="25">
        <f>IF($G591="","",ROUND(N($K591)*N($L591),2))</f>
        <v/>
      </c>
      <c r="P591" s="26">
        <f>IF($G591="","",ROUND($O591*$N591,0))</f>
        <v/>
      </c>
      <c r="Q591" s="26">
        <f>IF($G591="","",SUMIFS($P$4:$P$2503,$E$4:$E$2503,$E591,$Z$4:$Z$2503,"正常"))</f>
        <v/>
      </c>
      <c r="R591" s="26">
        <f>IF($G591="","",SUMIFS(费用台账!$I$4:$I$503,费用台账!$C$4:$C$503,$E591,费用台账!$J$4:$J$503,"是",费用台账!$K$4:$K$503,"正常"))</f>
        <v/>
      </c>
      <c r="S591" s="28">
        <f>IF($G591="","",COUNTIFS($E$4:$E$2503,$E591,$Z$4:$Z$2503,"正常",$Y$4:$Y$2503,"待补价"))</f>
        <v/>
      </c>
      <c r="T591" s="26">
        <f>IF($G591="","",SUMIFS($P$4:$P$2503,$E$4:$E$2503,$E591,$Z$4:$Z$2503,"正常",$A$4:$A$2503,"&lt;="&amp;$A591))</f>
        <v/>
      </c>
      <c r="U591" s="26">
        <f>IF($G591="","",IF(OR($S591&gt;0,$Q591=0,$R591=0,$Z591&lt;&gt;"正常"),0,ROUND($T591/$Q591*$R591,0)-ROUND(($T591-$P591)/$Q591*$R591,0)))</f>
        <v/>
      </c>
      <c r="V591" s="26">
        <f>IF($G591="","",ROUND($P591+$U591,0))</f>
        <v/>
      </c>
      <c r="W591" s="26">
        <f>IF($G591="","",IF(N($K591)=0,0,ROUND($V591/$K591,2)))</f>
        <v/>
      </c>
      <c r="X591" s="17" t="inlineStr">
        <is>
          <t>采购入库</t>
        </is>
      </c>
      <c r="Y591" s="17" t="inlineStr">
        <is>
          <t>待补价</t>
        </is>
      </c>
      <c r="Z591" s="17" t="inlineStr">
        <is>
          <t>正常</t>
        </is>
      </c>
      <c r="AA591" s="17" t="n"/>
      <c r="AB591" s="17" t="inlineStr">
        <is>
          <t>原表第 597 行</t>
        </is>
      </c>
      <c r="AC591" s="24">
        <f>IF($G591="","",IF($H591="※编码不在物料档案里","※物料编码不在档案里",IF(N($K591)&lt;=0,"※入库数量要大于 0",IF(AND($C591&lt;&gt;"",$C591&lt;=结账锁),"※日期早于已结账截止日，不能再录",IF(AND($L591=0,$X591="正常"),"※没填单价，价格状态请选「待补价」",IF(AND($S591&gt;0,$R591&gt;0),"△本批有 "&amp;$S591&amp;" 行没单价，整批运费先挂账没摊",IF(AND($B591&lt;&gt;"",COUNTIF($B$4:$B$2503,$B591)&gt;1),"※入库单号重复","")))))))</f>
        <v/>
      </c>
    </row>
    <row r="592">
      <c r="A592" s="24">
        <f>IF($G592="","",COUNTA($G$4:$G592))</f>
        <v/>
      </c>
      <c r="B592" s="17" t="n"/>
      <c r="C592" s="30" t="n">
        <v>46109</v>
      </c>
      <c r="D592" s="17" t="inlineStr">
        <is>
          <t>A国内</t>
        </is>
      </c>
      <c r="E592" s="17" t="inlineStr">
        <is>
          <t>FCIU8393711-202603</t>
        </is>
      </c>
      <c r="F592" s="17" t="inlineStr">
        <is>
          <t>烟台市金豪矿山机械有限公司</t>
        </is>
      </c>
      <c r="G592" s="17" t="inlineStr">
        <is>
          <t>JH0526</t>
        </is>
      </c>
      <c r="H592" s="24">
        <f>IF($G592="","",IFERROR(VLOOKUP($G592,物料档案!$A$4:$P$1203,3,0),"※编码不在物料档案里"))</f>
        <v/>
      </c>
      <c r="I592" s="24">
        <f>IF($G592="","",IFERROR(VLOOKUP($G592,物料档案!$A$4:$P$1203,4,0),"※编码不在物料档案里"))</f>
        <v/>
      </c>
      <c r="J592" s="24">
        <f>IF($G592="","",IFERROR(VLOOKUP($G592,物料档案!$A$4:$P$1203,5,0),"※编码不在物料档案里"))</f>
        <v/>
      </c>
      <c r="K592" s="23" t="n">
        <v>1</v>
      </c>
      <c r="L592" s="31" t="n"/>
      <c r="M592" s="24">
        <f>IF($G592="","",IF($D592="A国内","CNY","TZS"))</f>
        <v/>
      </c>
      <c r="N592" s="28">
        <f>IF($G592="","",IF($D592="A国内",汇率,1))</f>
        <v/>
      </c>
      <c r="O592" s="25">
        <f>IF($G592="","",ROUND(N($K592)*N($L592),2))</f>
        <v/>
      </c>
      <c r="P592" s="26">
        <f>IF($G592="","",ROUND($O592*$N592,0))</f>
        <v/>
      </c>
      <c r="Q592" s="26">
        <f>IF($G592="","",SUMIFS($P$4:$P$2503,$E$4:$E$2503,$E592,$Z$4:$Z$2503,"正常"))</f>
        <v/>
      </c>
      <c r="R592" s="26">
        <f>IF($G592="","",SUMIFS(费用台账!$I$4:$I$503,费用台账!$C$4:$C$503,$E592,费用台账!$J$4:$J$503,"是",费用台账!$K$4:$K$503,"正常"))</f>
        <v/>
      </c>
      <c r="S592" s="28">
        <f>IF($G592="","",COUNTIFS($E$4:$E$2503,$E592,$Z$4:$Z$2503,"正常",$Y$4:$Y$2503,"待补价"))</f>
        <v/>
      </c>
      <c r="T592" s="26">
        <f>IF($G592="","",SUMIFS($P$4:$P$2503,$E$4:$E$2503,$E592,$Z$4:$Z$2503,"正常",$A$4:$A$2503,"&lt;="&amp;$A592))</f>
        <v/>
      </c>
      <c r="U592" s="26">
        <f>IF($G592="","",IF(OR($S592&gt;0,$Q592=0,$R592=0,$Z592&lt;&gt;"正常"),0,ROUND($T592/$Q592*$R592,0)-ROUND(($T592-$P592)/$Q592*$R592,0)))</f>
        <v/>
      </c>
      <c r="V592" s="26">
        <f>IF($G592="","",ROUND($P592+$U592,0))</f>
        <v/>
      </c>
      <c r="W592" s="26">
        <f>IF($G592="","",IF(N($K592)=0,0,ROUND($V592/$K592,2)))</f>
        <v/>
      </c>
      <c r="X592" s="17" t="inlineStr">
        <is>
          <t>采购入库</t>
        </is>
      </c>
      <c r="Y592" s="17" t="inlineStr">
        <is>
          <t>待补价</t>
        </is>
      </c>
      <c r="Z592" s="17" t="inlineStr">
        <is>
          <t>正常</t>
        </is>
      </c>
      <c r="AA592" s="17" t="n"/>
      <c r="AB592" s="17" t="inlineStr">
        <is>
          <t>原表第 598 行　单位含包装规格，单价是每「1」的价</t>
        </is>
      </c>
      <c r="AC592" s="24">
        <f>IF($G592="","",IF($H592="※编码不在物料档案里","※物料编码不在档案里",IF(N($K592)&lt;=0,"※入库数量要大于 0",IF(AND($C592&lt;&gt;"",$C592&lt;=结账锁),"※日期早于已结账截止日，不能再录",IF(AND($L592=0,$X592="正常"),"※没填单价，价格状态请选「待补价」",IF(AND($S592&gt;0,$R592&gt;0),"△本批有 "&amp;$S592&amp;" 行没单价，整批运费先挂账没摊",IF(AND($B592&lt;&gt;"",COUNTIF($B$4:$B$2503,$B592)&gt;1),"※入库单号重复","")))))))</f>
        <v/>
      </c>
    </row>
    <row r="593">
      <c r="A593" s="24">
        <f>IF($G593="","",COUNTA($G$4:$G593))</f>
        <v/>
      </c>
      <c r="B593" s="17" t="n"/>
      <c r="C593" s="30" t="n">
        <v>46109</v>
      </c>
      <c r="D593" s="17" t="inlineStr">
        <is>
          <t>A国内</t>
        </is>
      </c>
      <c r="E593" s="17" t="inlineStr">
        <is>
          <t>FCIU8393711-202603</t>
        </is>
      </c>
      <c r="F593" s="17" t="inlineStr">
        <is>
          <t>烟台市金豪矿山机械有限公司</t>
        </is>
      </c>
      <c r="G593" s="17" t="inlineStr">
        <is>
          <t>JH0527</t>
        </is>
      </c>
      <c r="H593" s="24">
        <f>IF($G593="","",IFERROR(VLOOKUP($G593,物料档案!$A$4:$P$1203,3,0),"※编码不在物料档案里"))</f>
        <v/>
      </c>
      <c r="I593" s="24">
        <f>IF($G593="","",IFERROR(VLOOKUP($G593,物料档案!$A$4:$P$1203,4,0),"※编码不在物料档案里"))</f>
        <v/>
      </c>
      <c r="J593" s="24">
        <f>IF($G593="","",IFERROR(VLOOKUP($G593,物料档案!$A$4:$P$1203,5,0),"※编码不在物料档案里"))</f>
        <v/>
      </c>
      <c r="K593" s="23" t="n">
        <v>30</v>
      </c>
      <c r="L593" s="31" t="n"/>
      <c r="M593" s="24">
        <f>IF($G593="","",IF($D593="A国内","CNY","TZS"))</f>
        <v/>
      </c>
      <c r="N593" s="28">
        <f>IF($G593="","",IF($D593="A国内",汇率,1))</f>
        <v/>
      </c>
      <c r="O593" s="25">
        <f>IF($G593="","",ROUND(N($K593)*N($L593),2))</f>
        <v/>
      </c>
      <c r="P593" s="26">
        <f>IF($G593="","",ROUND($O593*$N593,0))</f>
        <v/>
      </c>
      <c r="Q593" s="26">
        <f>IF($G593="","",SUMIFS($P$4:$P$2503,$E$4:$E$2503,$E593,$Z$4:$Z$2503,"正常"))</f>
        <v/>
      </c>
      <c r="R593" s="26">
        <f>IF($G593="","",SUMIFS(费用台账!$I$4:$I$503,费用台账!$C$4:$C$503,$E593,费用台账!$J$4:$J$503,"是",费用台账!$K$4:$K$503,"正常"))</f>
        <v/>
      </c>
      <c r="S593" s="28">
        <f>IF($G593="","",COUNTIFS($E$4:$E$2503,$E593,$Z$4:$Z$2503,"正常",$Y$4:$Y$2503,"待补价"))</f>
        <v/>
      </c>
      <c r="T593" s="26">
        <f>IF($G593="","",SUMIFS($P$4:$P$2503,$E$4:$E$2503,$E593,$Z$4:$Z$2503,"正常",$A$4:$A$2503,"&lt;="&amp;$A593))</f>
        <v/>
      </c>
      <c r="U593" s="26">
        <f>IF($G593="","",IF(OR($S593&gt;0,$Q593=0,$R593=0,$Z593&lt;&gt;"正常"),0,ROUND($T593/$Q593*$R593,0)-ROUND(($T593-$P593)/$Q593*$R593,0)))</f>
        <v/>
      </c>
      <c r="V593" s="26">
        <f>IF($G593="","",ROUND($P593+$U593,0))</f>
        <v/>
      </c>
      <c r="W593" s="26">
        <f>IF($G593="","",IF(N($K593)=0,0,ROUND($V593/$K593,2)))</f>
        <v/>
      </c>
      <c r="X593" s="17" t="inlineStr">
        <is>
          <t>采购入库</t>
        </is>
      </c>
      <c r="Y593" s="17" t="inlineStr">
        <is>
          <t>待补价</t>
        </is>
      </c>
      <c r="Z593" s="17" t="inlineStr">
        <is>
          <t>正常</t>
        </is>
      </c>
      <c r="AA593" s="17" t="n"/>
      <c r="AB593" s="17" t="inlineStr">
        <is>
          <t>原表第 599 行</t>
        </is>
      </c>
      <c r="AC593" s="24">
        <f>IF($G593="","",IF($H593="※编码不在物料档案里","※物料编码不在档案里",IF(N($K593)&lt;=0,"※入库数量要大于 0",IF(AND($C593&lt;&gt;"",$C593&lt;=结账锁),"※日期早于已结账截止日，不能再录",IF(AND($L593=0,$X593="正常"),"※没填单价，价格状态请选「待补价」",IF(AND($S593&gt;0,$R593&gt;0),"△本批有 "&amp;$S593&amp;" 行没单价，整批运费先挂账没摊",IF(AND($B593&lt;&gt;"",COUNTIF($B$4:$B$2503,$B593)&gt;1),"※入库单号重复","")))))))</f>
        <v/>
      </c>
    </row>
    <row r="594">
      <c r="A594" s="24">
        <f>IF($G594="","",COUNTA($G$4:$G594))</f>
        <v/>
      </c>
      <c r="B594" s="17" t="n"/>
      <c r="C594" s="30" t="n">
        <v>46109</v>
      </c>
      <c r="D594" s="17" t="inlineStr">
        <is>
          <t>A国内</t>
        </is>
      </c>
      <c r="E594" s="17" t="inlineStr">
        <is>
          <t>FCIU8393711-202603</t>
        </is>
      </c>
      <c r="F594" s="17" t="inlineStr">
        <is>
          <t>烟台市金豪矿山机械有限公司</t>
        </is>
      </c>
      <c r="G594" s="17" t="inlineStr">
        <is>
          <t>JH0528</t>
        </is>
      </c>
      <c r="H594" s="24">
        <f>IF($G594="","",IFERROR(VLOOKUP($G594,物料档案!$A$4:$P$1203,3,0),"※编码不在物料档案里"))</f>
        <v/>
      </c>
      <c r="I594" s="24">
        <f>IF($G594="","",IFERROR(VLOOKUP($G594,物料档案!$A$4:$P$1203,4,0),"※编码不在物料档案里"))</f>
        <v/>
      </c>
      <c r="J594" s="24">
        <f>IF($G594="","",IFERROR(VLOOKUP($G594,物料档案!$A$4:$P$1203,5,0),"※编码不在物料档案里"))</f>
        <v/>
      </c>
      <c r="K594" s="23" t="n">
        <v>5</v>
      </c>
      <c r="L594" s="31" t="n"/>
      <c r="M594" s="24">
        <f>IF($G594="","",IF($D594="A国内","CNY","TZS"))</f>
        <v/>
      </c>
      <c r="N594" s="28">
        <f>IF($G594="","",IF($D594="A国内",汇率,1))</f>
        <v/>
      </c>
      <c r="O594" s="25">
        <f>IF($G594="","",ROUND(N($K594)*N($L594),2))</f>
        <v/>
      </c>
      <c r="P594" s="26">
        <f>IF($G594="","",ROUND($O594*$N594,0))</f>
        <v/>
      </c>
      <c r="Q594" s="26">
        <f>IF($G594="","",SUMIFS($P$4:$P$2503,$E$4:$E$2503,$E594,$Z$4:$Z$2503,"正常"))</f>
        <v/>
      </c>
      <c r="R594" s="26">
        <f>IF($G594="","",SUMIFS(费用台账!$I$4:$I$503,费用台账!$C$4:$C$503,$E594,费用台账!$J$4:$J$503,"是",费用台账!$K$4:$K$503,"正常"))</f>
        <v/>
      </c>
      <c r="S594" s="28">
        <f>IF($G594="","",COUNTIFS($E$4:$E$2503,$E594,$Z$4:$Z$2503,"正常",$Y$4:$Y$2503,"待补价"))</f>
        <v/>
      </c>
      <c r="T594" s="26">
        <f>IF($G594="","",SUMIFS($P$4:$P$2503,$E$4:$E$2503,$E594,$Z$4:$Z$2503,"正常",$A$4:$A$2503,"&lt;="&amp;$A594))</f>
        <v/>
      </c>
      <c r="U594" s="26">
        <f>IF($G594="","",IF(OR($S594&gt;0,$Q594=0,$R594=0,$Z594&lt;&gt;"正常"),0,ROUND($T594/$Q594*$R594,0)-ROUND(($T594-$P594)/$Q594*$R594,0)))</f>
        <v/>
      </c>
      <c r="V594" s="26">
        <f>IF($G594="","",ROUND($P594+$U594,0))</f>
        <v/>
      </c>
      <c r="W594" s="26">
        <f>IF($G594="","",IF(N($K594)=0,0,ROUND($V594/$K594,2)))</f>
        <v/>
      </c>
      <c r="X594" s="17" t="inlineStr">
        <is>
          <t>采购入库</t>
        </is>
      </c>
      <c r="Y594" s="17" t="inlineStr">
        <is>
          <t>待补价</t>
        </is>
      </c>
      <c r="Z594" s="17" t="inlineStr">
        <is>
          <t>正常</t>
        </is>
      </c>
      <c r="AA594" s="17" t="n"/>
      <c r="AB594" s="17" t="inlineStr">
        <is>
          <t>原表第 600 行</t>
        </is>
      </c>
      <c r="AC594" s="24">
        <f>IF($G594="","",IF($H594="※编码不在物料档案里","※物料编码不在档案里",IF(N($K594)&lt;=0,"※入库数量要大于 0",IF(AND($C594&lt;&gt;"",$C594&lt;=结账锁),"※日期早于已结账截止日，不能再录",IF(AND($L594=0,$X594="正常"),"※没填单价，价格状态请选「待补价」",IF(AND($S594&gt;0,$R594&gt;0),"△本批有 "&amp;$S594&amp;" 行没单价，整批运费先挂账没摊",IF(AND($B594&lt;&gt;"",COUNTIF($B$4:$B$2503,$B594)&gt;1),"※入库单号重复","")))))))</f>
        <v/>
      </c>
    </row>
    <row r="595">
      <c r="A595" s="24">
        <f>IF($G595="","",COUNTA($G$4:$G595))</f>
        <v/>
      </c>
      <c r="B595" s="17" t="n"/>
      <c r="C595" s="30" t="n">
        <v>46109</v>
      </c>
      <c r="D595" s="17" t="inlineStr">
        <is>
          <t>A国内</t>
        </is>
      </c>
      <c r="E595" s="17" t="inlineStr">
        <is>
          <t>FCIU8393711-202603</t>
        </is>
      </c>
      <c r="F595" s="17" t="inlineStr">
        <is>
          <t>烟台市金豪矿山机械有限公司</t>
        </is>
      </c>
      <c r="G595" s="17" t="inlineStr">
        <is>
          <t>JH0529</t>
        </is>
      </c>
      <c r="H595" s="24">
        <f>IF($G595="","",IFERROR(VLOOKUP($G595,物料档案!$A$4:$P$1203,3,0),"※编码不在物料档案里"))</f>
        <v/>
      </c>
      <c r="I595" s="24">
        <f>IF($G595="","",IFERROR(VLOOKUP($G595,物料档案!$A$4:$P$1203,4,0),"※编码不在物料档案里"))</f>
        <v/>
      </c>
      <c r="J595" s="24">
        <f>IF($G595="","",IFERROR(VLOOKUP($G595,物料档案!$A$4:$P$1203,5,0),"※编码不在物料档案里"))</f>
        <v/>
      </c>
      <c r="K595" s="23" t="n">
        <v>1</v>
      </c>
      <c r="L595" s="31" t="n"/>
      <c r="M595" s="24">
        <f>IF($G595="","",IF($D595="A国内","CNY","TZS"))</f>
        <v/>
      </c>
      <c r="N595" s="28">
        <f>IF($G595="","",IF($D595="A国内",汇率,1))</f>
        <v/>
      </c>
      <c r="O595" s="25">
        <f>IF($G595="","",ROUND(N($K595)*N($L595),2))</f>
        <v/>
      </c>
      <c r="P595" s="26">
        <f>IF($G595="","",ROUND($O595*$N595,0))</f>
        <v/>
      </c>
      <c r="Q595" s="26">
        <f>IF($G595="","",SUMIFS($P$4:$P$2503,$E$4:$E$2503,$E595,$Z$4:$Z$2503,"正常"))</f>
        <v/>
      </c>
      <c r="R595" s="26">
        <f>IF($G595="","",SUMIFS(费用台账!$I$4:$I$503,费用台账!$C$4:$C$503,$E595,费用台账!$J$4:$J$503,"是",费用台账!$K$4:$K$503,"正常"))</f>
        <v/>
      </c>
      <c r="S595" s="28">
        <f>IF($G595="","",COUNTIFS($E$4:$E$2503,$E595,$Z$4:$Z$2503,"正常",$Y$4:$Y$2503,"待补价"))</f>
        <v/>
      </c>
      <c r="T595" s="26">
        <f>IF($G595="","",SUMIFS($P$4:$P$2503,$E$4:$E$2503,$E595,$Z$4:$Z$2503,"正常",$A$4:$A$2503,"&lt;="&amp;$A595))</f>
        <v/>
      </c>
      <c r="U595" s="26">
        <f>IF($G595="","",IF(OR($S595&gt;0,$Q595=0,$R595=0,$Z595&lt;&gt;"正常"),0,ROUND($T595/$Q595*$R595,0)-ROUND(($T595-$P595)/$Q595*$R595,0)))</f>
        <v/>
      </c>
      <c r="V595" s="26">
        <f>IF($G595="","",ROUND($P595+$U595,0))</f>
        <v/>
      </c>
      <c r="W595" s="26">
        <f>IF($G595="","",IF(N($K595)=0,0,ROUND($V595/$K595,2)))</f>
        <v/>
      </c>
      <c r="X595" s="17" t="inlineStr">
        <is>
          <t>采购入库</t>
        </is>
      </c>
      <c r="Y595" s="17" t="inlineStr">
        <is>
          <t>待补价</t>
        </is>
      </c>
      <c r="Z595" s="17" t="inlineStr">
        <is>
          <t>正常</t>
        </is>
      </c>
      <c r="AA595" s="17" t="n"/>
      <c r="AB595" s="17" t="inlineStr">
        <is>
          <t>原表第 601 行</t>
        </is>
      </c>
      <c r="AC595" s="24">
        <f>IF($G595="","",IF($H595="※编码不在物料档案里","※物料编码不在档案里",IF(N($K595)&lt;=0,"※入库数量要大于 0",IF(AND($C595&lt;&gt;"",$C595&lt;=结账锁),"※日期早于已结账截止日，不能再录",IF(AND($L595=0,$X595="正常"),"※没填单价，价格状态请选「待补价」",IF(AND($S595&gt;0,$R595&gt;0),"△本批有 "&amp;$S595&amp;" 行没单价，整批运费先挂账没摊",IF(AND($B595&lt;&gt;"",COUNTIF($B$4:$B$2503,$B595)&gt;1),"※入库单号重复","")))))))</f>
        <v/>
      </c>
    </row>
    <row r="596">
      <c r="A596" s="24">
        <f>IF($G596="","",COUNTA($G$4:$G596))</f>
        <v/>
      </c>
      <c r="B596" s="17" t="n"/>
      <c r="C596" s="30" t="n">
        <v>46109</v>
      </c>
      <c r="D596" s="17" t="inlineStr">
        <is>
          <t>A国内</t>
        </is>
      </c>
      <c r="E596" s="17" t="inlineStr">
        <is>
          <t>FCIU8393711-202603</t>
        </is>
      </c>
      <c r="F596" s="17" t="inlineStr">
        <is>
          <t>烟台市金豪矿山机械有限公司</t>
        </is>
      </c>
      <c r="G596" s="17" t="inlineStr">
        <is>
          <t>JH0530</t>
        </is>
      </c>
      <c r="H596" s="24">
        <f>IF($G596="","",IFERROR(VLOOKUP($G596,物料档案!$A$4:$P$1203,3,0),"※编码不在物料档案里"))</f>
        <v/>
      </c>
      <c r="I596" s="24">
        <f>IF($G596="","",IFERROR(VLOOKUP($G596,物料档案!$A$4:$P$1203,4,0),"※编码不在物料档案里"))</f>
        <v/>
      </c>
      <c r="J596" s="24">
        <f>IF($G596="","",IFERROR(VLOOKUP($G596,物料档案!$A$4:$P$1203,5,0),"※编码不在物料档案里"))</f>
        <v/>
      </c>
      <c r="K596" s="23" t="n">
        <v>1</v>
      </c>
      <c r="L596" s="31" t="n"/>
      <c r="M596" s="24">
        <f>IF($G596="","",IF($D596="A国内","CNY","TZS"))</f>
        <v/>
      </c>
      <c r="N596" s="28">
        <f>IF($G596="","",IF($D596="A国内",汇率,1))</f>
        <v/>
      </c>
      <c r="O596" s="25">
        <f>IF($G596="","",ROUND(N($K596)*N($L596),2))</f>
        <v/>
      </c>
      <c r="P596" s="26">
        <f>IF($G596="","",ROUND($O596*$N596,0))</f>
        <v/>
      </c>
      <c r="Q596" s="26">
        <f>IF($G596="","",SUMIFS($P$4:$P$2503,$E$4:$E$2503,$E596,$Z$4:$Z$2503,"正常"))</f>
        <v/>
      </c>
      <c r="R596" s="26">
        <f>IF($G596="","",SUMIFS(费用台账!$I$4:$I$503,费用台账!$C$4:$C$503,$E596,费用台账!$J$4:$J$503,"是",费用台账!$K$4:$K$503,"正常"))</f>
        <v/>
      </c>
      <c r="S596" s="28">
        <f>IF($G596="","",COUNTIFS($E$4:$E$2503,$E596,$Z$4:$Z$2503,"正常",$Y$4:$Y$2503,"待补价"))</f>
        <v/>
      </c>
      <c r="T596" s="26">
        <f>IF($G596="","",SUMIFS($P$4:$P$2503,$E$4:$E$2503,$E596,$Z$4:$Z$2503,"正常",$A$4:$A$2503,"&lt;="&amp;$A596))</f>
        <v/>
      </c>
      <c r="U596" s="26">
        <f>IF($G596="","",IF(OR($S596&gt;0,$Q596=0,$R596=0,$Z596&lt;&gt;"正常"),0,ROUND($T596/$Q596*$R596,0)-ROUND(($T596-$P596)/$Q596*$R596,0)))</f>
        <v/>
      </c>
      <c r="V596" s="26">
        <f>IF($G596="","",ROUND($P596+$U596,0))</f>
        <v/>
      </c>
      <c r="W596" s="26">
        <f>IF($G596="","",IF(N($K596)=0,0,ROUND($V596/$K596,2)))</f>
        <v/>
      </c>
      <c r="X596" s="17" t="inlineStr">
        <is>
          <t>采购入库</t>
        </is>
      </c>
      <c r="Y596" s="17" t="inlineStr">
        <is>
          <t>待补价</t>
        </is>
      </c>
      <c r="Z596" s="17" t="inlineStr">
        <is>
          <t>正常</t>
        </is>
      </c>
      <c r="AA596" s="17" t="n"/>
      <c r="AB596" s="17" t="inlineStr">
        <is>
          <t>原表第 602 行</t>
        </is>
      </c>
      <c r="AC596" s="24">
        <f>IF($G596="","",IF($H596="※编码不在物料档案里","※物料编码不在档案里",IF(N($K596)&lt;=0,"※入库数量要大于 0",IF(AND($C596&lt;&gt;"",$C596&lt;=结账锁),"※日期早于已结账截止日，不能再录",IF(AND($L596=0,$X596="正常"),"※没填单价，价格状态请选「待补价」",IF(AND($S596&gt;0,$R596&gt;0),"△本批有 "&amp;$S596&amp;" 行没单价，整批运费先挂账没摊",IF(AND($B596&lt;&gt;"",COUNTIF($B$4:$B$2503,$B596)&gt;1),"※入库单号重复","")))))))</f>
        <v/>
      </c>
    </row>
    <row r="597">
      <c r="A597" s="24">
        <f>IF($G597="","",COUNTA($G$4:$G597))</f>
        <v/>
      </c>
      <c r="B597" s="17" t="n"/>
      <c r="C597" s="30" t="n">
        <v>46109</v>
      </c>
      <c r="D597" s="17" t="inlineStr">
        <is>
          <t>A国内</t>
        </is>
      </c>
      <c r="E597" s="17" t="inlineStr">
        <is>
          <t>FCIU8393711-202603</t>
        </is>
      </c>
      <c r="F597" s="17" t="inlineStr">
        <is>
          <t>烟台市金豪矿山机械有限公司</t>
        </is>
      </c>
      <c r="G597" s="17" t="inlineStr">
        <is>
          <t>JH0531</t>
        </is>
      </c>
      <c r="H597" s="24">
        <f>IF($G597="","",IFERROR(VLOOKUP($G597,物料档案!$A$4:$P$1203,3,0),"※编码不在物料档案里"))</f>
        <v/>
      </c>
      <c r="I597" s="24">
        <f>IF($G597="","",IFERROR(VLOOKUP($G597,物料档案!$A$4:$P$1203,4,0),"※编码不在物料档案里"))</f>
        <v/>
      </c>
      <c r="J597" s="24">
        <f>IF($G597="","",IFERROR(VLOOKUP($G597,物料档案!$A$4:$P$1203,5,0),"※编码不在物料档案里"))</f>
        <v/>
      </c>
      <c r="K597" s="23" t="n">
        <v>1</v>
      </c>
      <c r="L597" s="31" t="n"/>
      <c r="M597" s="24">
        <f>IF($G597="","",IF($D597="A国内","CNY","TZS"))</f>
        <v/>
      </c>
      <c r="N597" s="28">
        <f>IF($G597="","",IF($D597="A国内",汇率,1))</f>
        <v/>
      </c>
      <c r="O597" s="25">
        <f>IF($G597="","",ROUND(N($K597)*N($L597),2))</f>
        <v/>
      </c>
      <c r="P597" s="26">
        <f>IF($G597="","",ROUND($O597*$N597,0))</f>
        <v/>
      </c>
      <c r="Q597" s="26">
        <f>IF($G597="","",SUMIFS($P$4:$P$2503,$E$4:$E$2503,$E597,$Z$4:$Z$2503,"正常"))</f>
        <v/>
      </c>
      <c r="R597" s="26">
        <f>IF($G597="","",SUMIFS(费用台账!$I$4:$I$503,费用台账!$C$4:$C$503,$E597,费用台账!$J$4:$J$503,"是",费用台账!$K$4:$K$503,"正常"))</f>
        <v/>
      </c>
      <c r="S597" s="28">
        <f>IF($G597="","",COUNTIFS($E$4:$E$2503,$E597,$Z$4:$Z$2503,"正常",$Y$4:$Y$2503,"待补价"))</f>
        <v/>
      </c>
      <c r="T597" s="26">
        <f>IF($G597="","",SUMIFS($P$4:$P$2503,$E$4:$E$2503,$E597,$Z$4:$Z$2503,"正常",$A$4:$A$2503,"&lt;="&amp;$A597))</f>
        <v/>
      </c>
      <c r="U597" s="26">
        <f>IF($G597="","",IF(OR($S597&gt;0,$Q597=0,$R597=0,$Z597&lt;&gt;"正常"),0,ROUND($T597/$Q597*$R597,0)-ROUND(($T597-$P597)/$Q597*$R597,0)))</f>
        <v/>
      </c>
      <c r="V597" s="26">
        <f>IF($G597="","",ROUND($P597+$U597,0))</f>
        <v/>
      </c>
      <c r="W597" s="26">
        <f>IF($G597="","",IF(N($K597)=0,0,ROUND($V597/$K597,2)))</f>
        <v/>
      </c>
      <c r="X597" s="17" t="inlineStr">
        <is>
          <t>采购入库</t>
        </is>
      </c>
      <c r="Y597" s="17" t="inlineStr">
        <is>
          <t>待补价</t>
        </is>
      </c>
      <c r="Z597" s="17" t="inlineStr">
        <is>
          <t>正常</t>
        </is>
      </c>
      <c r="AA597" s="17" t="n"/>
      <c r="AB597" s="17" t="inlineStr">
        <is>
          <t>原表第 603 行</t>
        </is>
      </c>
      <c r="AC597" s="24">
        <f>IF($G597="","",IF($H597="※编码不在物料档案里","※物料编码不在档案里",IF(N($K597)&lt;=0,"※入库数量要大于 0",IF(AND($C597&lt;&gt;"",$C597&lt;=结账锁),"※日期早于已结账截止日，不能再录",IF(AND($L597=0,$X597="正常"),"※没填单价，价格状态请选「待补价」",IF(AND($S597&gt;0,$R597&gt;0),"△本批有 "&amp;$S597&amp;" 行没单价，整批运费先挂账没摊",IF(AND($B597&lt;&gt;"",COUNTIF($B$4:$B$2503,$B597)&gt;1),"※入库单号重复","")))))))</f>
        <v/>
      </c>
    </row>
    <row r="598">
      <c r="A598" s="24">
        <f>IF($G598="","",COUNTA($G$4:$G598))</f>
        <v/>
      </c>
      <c r="B598" s="17" t="n"/>
      <c r="C598" s="30" t="n">
        <v>46109</v>
      </c>
      <c r="D598" s="17" t="inlineStr">
        <is>
          <t>A国内</t>
        </is>
      </c>
      <c r="E598" s="17" t="inlineStr">
        <is>
          <t>FCIU8393711-202603</t>
        </is>
      </c>
      <c r="F598" s="17" t="inlineStr">
        <is>
          <t>烟台市金豪矿山机械有限公司</t>
        </is>
      </c>
      <c r="G598" s="17" t="inlineStr">
        <is>
          <t>JH0532</t>
        </is>
      </c>
      <c r="H598" s="24">
        <f>IF($G598="","",IFERROR(VLOOKUP($G598,物料档案!$A$4:$P$1203,3,0),"※编码不在物料档案里"))</f>
        <v/>
      </c>
      <c r="I598" s="24">
        <f>IF($G598="","",IFERROR(VLOOKUP($G598,物料档案!$A$4:$P$1203,4,0),"※编码不在物料档案里"))</f>
        <v/>
      </c>
      <c r="J598" s="24">
        <f>IF($G598="","",IFERROR(VLOOKUP($G598,物料档案!$A$4:$P$1203,5,0),"※编码不在物料档案里"))</f>
        <v/>
      </c>
      <c r="K598" s="23" t="n">
        <v>8</v>
      </c>
      <c r="L598" s="31" t="n"/>
      <c r="M598" s="24">
        <f>IF($G598="","",IF($D598="A国内","CNY","TZS"))</f>
        <v/>
      </c>
      <c r="N598" s="28">
        <f>IF($G598="","",IF($D598="A国内",汇率,1))</f>
        <v/>
      </c>
      <c r="O598" s="25">
        <f>IF($G598="","",ROUND(N($K598)*N($L598),2))</f>
        <v/>
      </c>
      <c r="P598" s="26">
        <f>IF($G598="","",ROUND($O598*$N598,0))</f>
        <v/>
      </c>
      <c r="Q598" s="26">
        <f>IF($G598="","",SUMIFS($P$4:$P$2503,$E$4:$E$2503,$E598,$Z$4:$Z$2503,"正常"))</f>
        <v/>
      </c>
      <c r="R598" s="26">
        <f>IF($G598="","",SUMIFS(费用台账!$I$4:$I$503,费用台账!$C$4:$C$503,$E598,费用台账!$J$4:$J$503,"是",费用台账!$K$4:$K$503,"正常"))</f>
        <v/>
      </c>
      <c r="S598" s="28">
        <f>IF($G598="","",COUNTIFS($E$4:$E$2503,$E598,$Z$4:$Z$2503,"正常",$Y$4:$Y$2503,"待补价"))</f>
        <v/>
      </c>
      <c r="T598" s="26">
        <f>IF($G598="","",SUMIFS($P$4:$P$2503,$E$4:$E$2503,$E598,$Z$4:$Z$2503,"正常",$A$4:$A$2503,"&lt;="&amp;$A598))</f>
        <v/>
      </c>
      <c r="U598" s="26">
        <f>IF($G598="","",IF(OR($S598&gt;0,$Q598=0,$R598=0,$Z598&lt;&gt;"正常"),0,ROUND($T598/$Q598*$R598,0)-ROUND(($T598-$P598)/$Q598*$R598,0)))</f>
        <v/>
      </c>
      <c r="V598" s="26">
        <f>IF($G598="","",ROUND($P598+$U598,0))</f>
        <v/>
      </c>
      <c r="W598" s="26">
        <f>IF($G598="","",IF(N($K598)=0,0,ROUND($V598/$K598,2)))</f>
        <v/>
      </c>
      <c r="X598" s="17" t="inlineStr">
        <is>
          <t>采购入库</t>
        </is>
      </c>
      <c r="Y598" s="17" t="inlineStr">
        <is>
          <t>待补价</t>
        </is>
      </c>
      <c r="Z598" s="17" t="inlineStr">
        <is>
          <t>正常</t>
        </is>
      </c>
      <c r="AA598" s="17" t="n"/>
      <c r="AB598" s="17" t="inlineStr">
        <is>
          <t>原表第 604 行</t>
        </is>
      </c>
      <c r="AC598" s="24">
        <f>IF($G598="","",IF($H598="※编码不在物料档案里","※物料编码不在档案里",IF(N($K598)&lt;=0,"※入库数量要大于 0",IF(AND($C598&lt;&gt;"",$C598&lt;=结账锁),"※日期早于已结账截止日，不能再录",IF(AND($L598=0,$X598="正常"),"※没填单价，价格状态请选「待补价」",IF(AND($S598&gt;0,$R598&gt;0),"△本批有 "&amp;$S598&amp;" 行没单价，整批运费先挂账没摊",IF(AND($B598&lt;&gt;"",COUNTIF($B$4:$B$2503,$B598)&gt;1),"※入库单号重复","")))))))</f>
        <v/>
      </c>
    </row>
    <row r="599">
      <c r="A599" s="24">
        <f>IF($G599="","",COUNTA($G$4:$G599))</f>
        <v/>
      </c>
      <c r="B599" s="17" t="n"/>
      <c r="C599" s="30" t="n">
        <v>46109</v>
      </c>
      <c r="D599" s="17" t="inlineStr">
        <is>
          <t>A国内</t>
        </is>
      </c>
      <c r="E599" s="17" t="inlineStr">
        <is>
          <t>FCIU8393711-202603</t>
        </is>
      </c>
      <c r="F599" s="17" t="inlineStr">
        <is>
          <t>烟台市金豪矿山机械有限公司</t>
        </is>
      </c>
      <c r="G599" s="17" t="inlineStr">
        <is>
          <t>JH0533</t>
        </is>
      </c>
      <c r="H599" s="24">
        <f>IF($G599="","",IFERROR(VLOOKUP($G599,物料档案!$A$4:$P$1203,3,0),"※编码不在物料档案里"))</f>
        <v/>
      </c>
      <c r="I599" s="24">
        <f>IF($G599="","",IFERROR(VLOOKUP($G599,物料档案!$A$4:$P$1203,4,0),"※编码不在物料档案里"))</f>
        <v/>
      </c>
      <c r="J599" s="24">
        <f>IF($G599="","",IFERROR(VLOOKUP($G599,物料档案!$A$4:$P$1203,5,0),"※编码不在物料档案里"))</f>
        <v/>
      </c>
      <c r="K599" s="23" t="n">
        <v>2000</v>
      </c>
      <c r="L599" s="31" t="n"/>
      <c r="M599" s="24">
        <f>IF($G599="","",IF($D599="A国内","CNY","TZS"))</f>
        <v/>
      </c>
      <c r="N599" s="28">
        <f>IF($G599="","",IF($D599="A国内",汇率,1))</f>
        <v/>
      </c>
      <c r="O599" s="25">
        <f>IF($G599="","",ROUND(N($K599)*N($L599),2))</f>
        <v/>
      </c>
      <c r="P599" s="26">
        <f>IF($G599="","",ROUND($O599*$N599,0))</f>
        <v/>
      </c>
      <c r="Q599" s="26">
        <f>IF($G599="","",SUMIFS($P$4:$P$2503,$E$4:$E$2503,$E599,$Z$4:$Z$2503,"正常"))</f>
        <v/>
      </c>
      <c r="R599" s="26">
        <f>IF($G599="","",SUMIFS(费用台账!$I$4:$I$503,费用台账!$C$4:$C$503,$E599,费用台账!$J$4:$J$503,"是",费用台账!$K$4:$K$503,"正常"))</f>
        <v/>
      </c>
      <c r="S599" s="28">
        <f>IF($G599="","",COUNTIFS($E$4:$E$2503,$E599,$Z$4:$Z$2503,"正常",$Y$4:$Y$2503,"待补价"))</f>
        <v/>
      </c>
      <c r="T599" s="26">
        <f>IF($G599="","",SUMIFS($P$4:$P$2503,$E$4:$E$2503,$E599,$Z$4:$Z$2503,"正常",$A$4:$A$2503,"&lt;="&amp;$A599))</f>
        <v/>
      </c>
      <c r="U599" s="26">
        <f>IF($G599="","",IF(OR($S599&gt;0,$Q599=0,$R599=0,$Z599&lt;&gt;"正常"),0,ROUND($T599/$Q599*$R599,0)-ROUND(($T599-$P599)/$Q599*$R599,0)))</f>
        <v/>
      </c>
      <c r="V599" s="26">
        <f>IF($G599="","",ROUND($P599+$U599,0))</f>
        <v/>
      </c>
      <c r="W599" s="26">
        <f>IF($G599="","",IF(N($K599)=0,0,ROUND($V599/$K599,2)))</f>
        <v/>
      </c>
      <c r="X599" s="17" t="inlineStr">
        <is>
          <t>采购入库</t>
        </is>
      </c>
      <c r="Y599" s="17" t="inlineStr">
        <is>
          <t>待补价</t>
        </is>
      </c>
      <c r="Z599" s="17" t="inlineStr">
        <is>
          <t>正常</t>
        </is>
      </c>
      <c r="AA599" s="17" t="n"/>
      <c r="AB599" s="17" t="inlineStr">
        <is>
          <t>原表第 605 行</t>
        </is>
      </c>
      <c r="AC599" s="24">
        <f>IF($G599="","",IF($H599="※编码不在物料档案里","※物料编码不在档案里",IF(N($K599)&lt;=0,"※入库数量要大于 0",IF(AND($C599&lt;&gt;"",$C599&lt;=结账锁),"※日期早于已结账截止日，不能再录",IF(AND($L599=0,$X599="正常"),"※没填单价，价格状态请选「待补价」",IF(AND($S599&gt;0,$R599&gt;0),"△本批有 "&amp;$S599&amp;" 行没单价，整批运费先挂账没摊",IF(AND($B599&lt;&gt;"",COUNTIF($B$4:$B$2503,$B599)&gt;1),"※入库单号重复","")))))))</f>
        <v/>
      </c>
    </row>
    <row r="600">
      <c r="A600" s="24">
        <f>IF($G600="","",COUNTA($G$4:$G600))</f>
        <v/>
      </c>
      <c r="B600" s="17" t="n"/>
      <c r="C600" s="30" t="n">
        <v>46109</v>
      </c>
      <c r="D600" s="17" t="inlineStr">
        <is>
          <t>A国内</t>
        </is>
      </c>
      <c r="E600" s="17" t="inlineStr">
        <is>
          <t>FCIU8393711-202603</t>
        </is>
      </c>
      <c r="F600" s="17" t="inlineStr">
        <is>
          <t>烟台市金豪矿山机械有限公司</t>
        </is>
      </c>
      <c r="G600" s="17" t="inlineStr">
        <is>
          <t>JH0534</t>
        </is>
      </c>
      <c r="H600" s="24">
        <f>IF($G600="","",IFERROR(VLOOKUP($G600,物料档案!$A$4:$P$1203,3,0),"※编码不在物料档案里"))</f>
        <v/>
      </c>
      <c r="I600" s="24">
        <f>IF($G600="","",IFERROR(VLOOKUP($G600,物料档案!$A$4:$P$1203,4,0),"※编码不在物料档案里"))</f>
        <v/>
      </c>
      <c r="J600" s="24">
        <f>IF($G600="","",IFERROR(VLOOKUP($G600,物料档案!$A$4:$P$1203,5,0),"※编码不在物料档案里"))</f>
        <v/>
      </c>
      <c r="K600" s="23" t="n">
        <v>200</v>
      </c>
      <c r="L600" s="31" t="n"/>
      <c r="M600" s="24">
        <f>IF($G600="","",IF($D600="A国内","CNY","TZS"))</f>
        <v/>
      </c>
      <c r="N600" s="28">
        <f>IF($G600="","",IF($D600="A国内",汇率,1))</f>
        <v/>
      </c>
      <c r="O600" s="25">
        <f>IF($G600="","",ROUND(N($K600)*N($L600),2))</f>
        <v/>
      </c>
      <c r="P600" s="26">
        <f>IF($G600="","",ROUND($O600*$N600,0))</f>
        <v/>
      </c>
      <c r="Q600" s="26">
        <f>IF($G600="","",SUMIFS($P$4:$P$2503,$E$4:$E$2503,$E600,$Z$4:$Z$2503,"正常"))</f>
        <v/>
      </c>
      <c r="R600" s="26">
        <f>IF($G600="","",SUMIFS(费用台账!$I$4:$I$503,费用台账!$C$4:$C$503,$E600,费用台账!$J$4:$J$503,"是",费用台账!$K$4:$K$503,"正常"))</f>
        <v/>
      </c>
      <c r="S600" s="28">
        <f>IF($G600="","",COUNTIFS($E$4:$E$2503,$E600,$Z$4:$Z$2503,"正常",$Y$4:$Y$2503,"待补价"))</f>
        <v/>
      </c>
      <c r="T600" s="26">
        <f>IF($G600="","",SUMIFS($P$4:$P$2503,$E$4:$E$2503,$E600,$Z$4:$Z$2503,"正常",$A$4:$A$2503,"&lt;="&amp;$A600))</f>
        <v/>
      </c>
      <c r="U600" s="26">
        <f>IF($G600="","",IF(OR($S600&gt;0,$Q600=0,$R600=0,$Z600&lt;&gt;"正常"),0,ROUND($T600/$Q600*$R600,0)-ROUND(($T600-$P600)/$Q600*$R600,0)))</f>
        <v/>
      </c>
      <c r="V600" s="26">
        <f>IF($G600="","",ROUND($P600+$U600,0))</f>
        <v/>
      </c>
      <c r="W600" s="26">
        <f>IF($G600="","",IF(N($K600)=0,0,ROUND($V600/$K600,2)))</f>
        <v/>
      </c>
      <c r="X600" s="17" t="inlineStr">
        <is>
          <t>采购入库</t>
        </is>
      </c>
      <c r="Y600" s="17" t="inlineStr">
        <is>
          <t>待补价</t>
        </is>
      </c>
      <c r="Z600" s="17" t="inlineStr">
        <is>
          <t>正常</t>
        </is>
      </c>
      <c r="AA600" s="17" t="n"/>
      <c r="AB600" s="17" t="inlineStr">
        <is>
          <t>原表第 606 行</t>
        </is>
      </c>
      <c r="AC600" s="24">
        <f>IF($G600="","",IF($H600="※编码不在物料档案里","※物料编码不在档案里",IF(N($K600)&lt;=0,"※入库数量要大于 0",IF(AND($C600&lt;&gt;"",$C600&lt;=结账锁),"※日期早于已结账截止日，不能再录",IF(AND($L600=0,$X600="正常"),"※没填单价，价格状态请选「待补价」",IF(AND($S600&gt;0,$R600&gt;0),"△本批有 "&amp;$S600&amp;" 行没单价，整批运费先挂账没摊",IF(AND($B600&lt;&gt;"",COUNTIF($B$4:$B$2503,$B600)&gt;1),"※入库单号重复","")))))))</f>
        <v/>
      </c>
    </row>
    <row r="601">
      <c r="A601" s="24">
        <f>IF($G601="","",COUNTA($G$4:$G601))</f>
        <v/>
      </c>
      <c r="B601" s="17" t="n"/>
      <c r="C601" s="30" t="n">
        <v>46109</v>
      </c>
      <c r="D601" s="17" t="inlineStr">
        <is>
          <t>A国内</t>
        </is>
      </c>
      <c r="E601" s="17" t="inlineStr">
        <is>
          <t>FCIU8393711-202603</t>
        </is>
      </c>
      <c r="F601" s="17" t="inlineStr">
        <is>
          <t>烟台市金豪矿山机械有限公司</t>
        </is>
      </c>
      <c r="G601" s="17" t="inlineStr">
        <is>
          <t>JH0535</t>
        </is>
      </c>
      <c r="H601" s="24">
        <f>IF($G601="","",IFERROR(VLOOKUP($G601,物料档案!$A$4:$P$1203,3,0),"※编码不在物料档案里"))</f>
        <v/>
      </c>
      <c r="I601" s="24">
        <f>IF($G601="","",IFERROR(VLOOKUP($G601,物料档案!$A$4:$P$1203,4,0),"※编码不在物料档案里"))</f>
        <v/>
      </c>
      <c r="J601" s="24">
        <f>IF($G601="","",IFERROR(VLOOKUP($G601,物料档案!$A$4:$P$1203,5,0),"※编码不在物料档案里"))</f>
        <v/>
      </c>
      <c r="K601" s="23" t="n">
        <v>100</v>
      </c>
      <c r="L601" s="31" t="n"/>
      <c r="M601" s="24">
        <f>IF($G601="","",IF($D601="A国内","CNY","TZS"))</f>
        <v/>
      </c>
      <c r="N601" s="28">
        <f>IF($G601="","",IF($D601="A国内",汇率,1))</f>
        <v/>
      </c>
      <c r="O601" s="25">
        <f>IF($G601="","",ROUND(N($K601)*N($L601),2))</f>
        <v/>
      </c>
      <c r="P601" s="26">
        <f>IF($G601="","",ROUND($O601*$N601,0))</f>
        <v/>
      </c>
      <c r="Q601" s="26">
        <f>IF($G601="","",SUMIFS($P$4:$P$2503,$E$4:$E$2503,$E601,$Z$4:$Z$2503,"正常"))</f>
        <v/>
      </c>
      <c r="R601" s="26">
        <f>IF($G601="","",SUMIFS(费用台账!$I$4:$I$503,费用台账!$C$4:$C$503,$E601,费用台账!$J$4:$J$503,"是",费用台账!$K$4:$K$503,"正常"))</f>
        <v/>
      </c>
      <c r="S601" s="28">
        <f>IF($G601="","",COUNTIFS($E$4:$E$2503,$E601,$Z$4:$Z$2503,"正常",$Y$4:$Y$2503,"待补价"))</f>
        <v/>
      </c>
      <c r="T601" s="26">
        <f>IF($G601="","",SUMIFS($P$4:$P$2503,$E$4:$E$2503,$E601,$Z$4:$Z$2503,"正常",$A$4:$A$2503,"&lt;="&amp;$A601))</f>
        <v/>
      </c>
      <c r="U601" s="26">
        <f>IF($G601="","",IF(OR($S601&gt;0,$Q601=0,$R601=0,$Z601&lt;&gt;"正常"),0,ROUND($T601/$Q601*$R601,0)-ROUND(($T601-$P601)/$Q601*$R601,0)))</f>
        <v/>
      </c>
      <c r="V601" s="26">
        <f>IF($G601="","",ROUND($P601+$U601,0))</f>
        <v/>
      </c>
      <c r="W601" s="26">
        <f>IF($G601="","",IF(N($K601)=0,0,ROUND($V601/$K601,2)))</f>
        <v/>
      </c>
      <c r="X601" s="17" t="inlineStr">
        <is>
          <t>采购入库</t>
        </is>
      </c>
      <c r="Y601" s="17" t="inlineStr">
        <is>
          <t>待补价</t>
        </is>
      </c>
      <c r="Z601" s="17" t="inlineStr">
        <is>
          <t>正常</t>
        </is>
      </c>
      <c r="AA601" s="17" t="n"/>
      <c r="AB601" s="17" t="inlineStr">
        <is>
          <t>原表第 607 行</t>
        </is>
      </c>
      <c r="AC601" s="24">
        <f>IF($G601="","",IF($H601="※编码不在物料档案里","※物料编码不在档案里",IF(N($K601)&lt;=0,"※入库数量要大于 0",IF(AND($C601&lt;&gt;"",$C601&lt;=结账锁),"※日期早于已结账截止日，不能再录",IF(AND($L601=0,$X601="正常"),"※没填单价，价格状态请选「待补价」",IF(AND($S601&gt;0,$R601&gt;0),"△本批有 "&amp;$S601&amp;" 行没单价，整批运费先挂账没摊",IF(AND($B601&lt;&gt;"",COUNTIF($B$4:$B$2503,$B601)&gt;1),"※入库单号重复","")))))))</f>
        <v/>
      </c>
    </row>
    <row r="602">
      <c r="A602" s="24">
        <f>IF($G602="","",COUNTA($G$4:$G602))</f>
        <v/>
      </c>
      <c r="B602" s="17" t="n"/>
      <c r="C602" s="30" t="n">
        <v>46109</v>
      </c>
      <c r="D602" s="17" t="inlineStr">
        <is>
          <t>A国内</t>
        </is>
      </c>
      <c r="E602" s="17" t="inlineStr">
        <is>
          <t>FCIU8393711-202603</t>
        </is>
      </c>
      <c r="F602" s="17" t="inlineStr">
        <is>
          <t>烟台市金豪矿山机械有限公司</t>
        </is>
      </c>
      <c r="G602" s="17" t="inlineStr">
        <is>
          <t>JH0536</t>
        </is>
      </c>
      <c r="H602" s="24">
        <f>IF($G602="","",IFERROR(VLOOKUP($G602,物料档案!$A$4:$P$1203,3,0),"※编码不在物料档案里"))</f>
        <v/>
      </c>
      <c r="I602" s="24">
        <f>IF($G602="","",IFERROR(VLOOKUP($G602,物料档案!$A$4:$P$1203,4,0),"※编码不在物料档案里"))</f>
        <v/>
      </c>
      <c r="J602" s="24">
        <f>IF($G602="","",IFERROR(VLOOKUP($G602,物料档案!$A$4:$P$1203,5,0),"※编码不在物料档案里"))</f>
        <v/>
      </c>
      <c r="K602" s="23" t="n">
        <v>10</v>
      </c>
      <c r="L602" s="31" t="n"/>
      <c r="M602" s="24">
        <f>IF($G602="","",IF($D602="A国内","CNY","TZS"))</f>
        <v/>
      </c>
      <c r="N602" s="28">
        <f>IF($G602="","",IF($D602="A国内",汇率,1))</f>
        <v/>
      </c>
      <c r="O602" s="25">
        <f>IF($G602="","",ROUND(N($K602)*N($L602),2))</f>
        <v/>
      </c>
      <c r="P602" s="26">
        <f>IF($G602="","",ROUND($O602*$N602,0))</f>
        <v/>
      </c>
      <c r="Q602" s="26">
        <f>IF($G602="","",SUMIFS($P$4:$P$2503,$E$4:$E$2503,$E602,$Z$4:$Z$2503,"正常"))</f>
        <v/>
      </c>
      <c r="R602" s="26">
        <f>IF($G602="","",SUMIFS(费用台账!$I$4:$I$503,费用台账!$C$4:$C$503,$E602,费用台账!$J$4:$J$503,"是",费用台账!$K$4:$K$503,"正常"))</f>
        <v/>
      </c>
      <c r="S602" s="28">
        <f>IF($G602="","",COUNTIFS($E$4:$E$2503,$E602,$Z$4:$Z$2503,"正常",$Y$4:$Y$2503,"待补价"))</f>
        <v/>
      </c>
      <c r="T602" s="26">
        <f>IF($G602="","",SUMIFS($P$4:$P$2503,$E$4:$E$2503,$E602,$Z$4:$Z$2503,"正常",$A$4:$A$2503,"&lt;="&amp;$A602))</f>
        <v/>
      </c>
      <c r="U602" s="26">
        <f>IF($G602="","",IF(OR($S602&gt;0,$Q602=0,$R602=0,$Z602&lt;&gt;"正常"),0,ROUND($T602/$Q602*$R602,0)-ROUND(($T602-$P602)/$Q602*$R602,0)))</f>
        <v/>
      </c>
      <c r="V602" s="26">
        <f>IF($G602="","",ROUND($P602+$U602,0))</f>
        <v/>
      </c>
      <c r="W602" s="26">
        <f>IF($G602="","",IF(N($K602)=0,0,ROUND($V602/$K602,2)))</f>
        <v/>
      </c>
      <c r="X602" s="17" t="inlineStr">
        <is>
          <t>采购入库</t>
        </is>
      </c>
      <c r="Y602" s="17" t="inlineStr">
        <is>
          <t>待补价</t>
        </is>
      </c>
      <c r="Z602" s="17" t="inlineStr">
        <is>
          <t>正常</t>
        </is>
      </c>
      <c r="AA602" s="17" t="n"/>
      <c r="AB602" s="17" t="inlineStr">
        <is>
          <t>原表第 608 行</t>
        </is>
      </c>
      <c r="AC602" s="24">
        <f>IF($G602="","",IF($H602="※编码不在物料档案里","※物料编码不在档案里",IF(N($K602)&lt;=0,"※入库数量要大于 0",IF(AND($C602&lt;&gt;"",$C602&lt;=结账锁),"※日期早于已结账截止日，不能再录",IF(AND($L602=0,$X602="正常"),"※没填单价，价格状态请选「待补价」",IF(AND($S602&gt;0,$R602&gt;0),"△本批有 "&amp;$S602&amp;" 行没单价，整批运费先挂账没摊",IF(AND($B602&lt;&gt;"",COUNTIF($B$4:$B$2503,$B602)&gt;1),"※入库单号重复","")))))))</f>
        <v/>
      </c>
    </row>
    <row r="603">
      <c r="A603" s="24">
        <f>IF($G603="","",COUNTA($G$4:$G603))</f>
        <v/>
      </c>
      <c r="B603" s="17" t="n"/>
      <c r="C603" s="30" t="n">
        <v>46109</v>
      </c>
      <c r="D603" s="17" t="inlineStr">
        <is>
          <t>A国内</t>
        </is>
      </c>
      <c r="E603" s="17" t="inlineStr">
        <is>
          <t>FCIU8393711-202603</t>
        </is>
      </c>
      <c r="F603" s="17" t="inlineStr">
        <is>
          <t>烟台市金豪矿山机械有限公司</t>
        </is>
      </c>
      <c r="G603" s="17" t="inlineStr">
        <is>
          <t>JH0537</t>
        </is>
      </c>
      <c r="H603" s="24">
        <f>IF($G603="","",IFERROR(VLOOKUP($G603,物料档案!$A$4:$P$1203,3,0),"※编码不在物料档案里"))</f>
        <v/>
      </c>
      <c r="I603" s="24">
        <f>IF($G603="","",IFERROR(VLOOKUP($G603,物料档案!$A$4:$P$1203,4,0),"※编码不在物料档案里"))</f>
        <v/>
      </c>
      <c r="J603" s="24">
        <f>IF($G603="","",IFERROR(VLOOKUP($G603,物料档案!$A$4:$P$1203,5,0),"※编码不在物料档案里"))</f>
        <v/>
      </c>
      <c r="K603" s="23" t="n">
        <v>10</v>
      </c>
      <c r="L603" s="31" t="n"/>
      <c r="M603" s="24">
        <f>IF($G603="","",IF($D603="A国内","CNY","TZS"))</f>
        <v/>
      </c>
      <c r="N603" s="28">
        <f>IF($G603="","",IF($D603="A国内",汇率,1))</f>
        <v/>
      </c>
      <c r="O603" s="25">
        <f>IF($G603="","",ROUND(N($K603)*N($L603),2))</f>
        <v/>
      </c>
      <c r="P603" s="26">
        <f>IF($G603="","",ROUND($O603*$N603,0))</f>
        <v/>
      </c>
      <c r="Q603" s="26">
        <f>IF($G603="","",SUMIFS($P$4:$P$2503,$E$4:$E$2503,$E603,$Z$4:$Z$2503,"正常"))</f>
        <v/>
      </c>
      <c r="R603" s="26">
        <f>IF($G603="","",SUMIFS(费用台账!$I$4:$I$503,费用台账!$C$4:$C$503,$E603,费用台账!$J$4:$J$503,"是",费用台账!$K$4:$K$503,"正常"))</f>
        <v/>
      </c>
      <c r="S603" s="28">
        <f>IF($G603="","",COUNTIFS($E$4:$E$2503,$E603,$Z$4:$Z$2503,"正常",$Y$4:$Y$2503,"待补价"))</f>
        <v/>
      </c>
      <c r="T603" s="26">
        <f>IF($G603="","",SUMIFS($P$4:$P$2503,$E$4:$E$2503,$E603,$Z$4:$Z$2503,"正常",$A$4:$A$2503,"&lt;="&amp;$A603))</f>
        <v/>
      </c>
      <c r="U603" s="26">
        <f>IF($G603="","",IF(OR($S603&gt;0,$Q603=0,$R603=0,$Z603&lt;&gt;"正常"),0,ROUND($T603/$Q603*$R603,0)-ROUND(($T603-$P603)/$Q603*$R603,0)))</f>
        <v/>
      </c>
      <c r="V603" s="26">
        <f>IF($G603="","",ROUND($P603+$U603,0))</f>
        <v/>
      </c>
      <c r="W603" s="26">
        <f>IF($G603="","",IF(N($K603)=0,0,ROUND($V603/$K603,2)))</f>
        <v/>
      </c>
      <c r="X603" s="17" t="inlineStr">
        <is>
          <t>采购入库</t>
        </is>
      </c>
      <c r="Y603" s="17" t="inlineStr">
        <is>
          <t>待补价</t>
        </is>
      </c>
      <c r="Z603" s="17" t="inlineStr">
        <is>
          <t>正常</t>
        </is>
      </c>
      <c r="AA603" s="17" t="n"/>
      <c r="AB603" s="17" t="inlineStr">
        <is>
          <t>原表第 609 行</t>
        </is>
      </c>
      <c r="AC603" s="24">
        <f>IF($G603="","",IF($H603="※编码不在物料档案里","※物料编码不在档案里",IF(N($K603)&lt;=0,"※入库数量要大于 0",IF(AND($C603&lt;&gt;"",$C603&lt;=结账锁),"※日期早于已结账截止日，不能再录",IF(AND($L603=0,$X603="正常"),"※没填单价，价格状态请选「待补价」",IF(AND($S603&gt;0,$R603&gt;0),"△本批有 "&amp;$S603&amp;" 行没单价，整批运费先挂账没摊",IF(AND($B603&lt;&gt;"",COUNTIF($B$4:$B$2503,$B603)&gt;1),"※入库单号重复","")))))))</f>
        <v/>
      </c>
    </row>
    <row r="604">
      <c r="A604" s="24">
        <f>IF($G604="","",COUNTA($G$4:$G604))</f>
        <v/>
      </c>
      <c r="B604" s="17" t="n"/>
      <c r="C604" s="30" t="n">
        <v>46109</v>
      </c>
      <c r="D604" s="17" t="inlineStr">
        <is>
          <t>A国内</t>
        </is>
      </c>
      <c r="E604" s="17" t="inlineStr">
        <is>
          <t>FCIU8393711-202603</t>
        </is>
      </c>
      <c r="F604" s="17" t="inlineStr">
        <is>
          <t>烟台市金豪矿山机械有限公司</t>
        </is>
      </c>
      <c r="G604" s="17" t="inlineStr">
        <is>
          <t>JH0538</t>
        </is>
      </c>
      <c r="H604" s="24">
        <f>IF($G604="","",IFERROR(VLOOKUP($G604,物料档案!$A$4:$P$1203,3,0),"※编码不在物料档案里"))</f>
        <v/>
      </c>
      <c r="I604" s="24">
        <f>IF($G604="","",IFERROR(VLOOKUP($G604,物料档案!$A$4:$P$1203,4,0),"※编码不在物料档案里"))</f>
        <v/>
      </c>
      <c r="J604" s="24">
        <f>IF($G604="","",IFERROR(VLOOKUP($G604,物料档案!$A$4:$P$1203,5,0),"※编码不在物料档案里"))</f>
        <v/>
      </c>
      <c r="K604" s="23" t="n">
        <v>10</v>
      </c>
      <c r="L604" s="31" t="n"/>
      <c r="M604" s="24">
        <f>IF($G604="","",IF($D604="A国内","CNY","TZS"))</f>
        <v/>
      </c>
      <c r="N604" s="28">
        <f>IF($G604="","",IF($D604="A国内",汇率,1))</f>
        <v/>
      </c>
      <c r="O604" s="25">
        <f>IF($G604="","",ROUND(N($K604)*N($L604),2))</f>
        <v/>
      </c>
      <c r="P604" s="26">
        <f>IF($G604="","",ROUND($O604*$N604,0))</f>
        <v/>
      </c>
      <c r="Q604" s="26">
        <f>IF($G604="","",SUMIFS($P$4:$P$2503,$E$4:$E$2503,$E604,$Z$4:$Z$2503,"正常"))</f>
        <v/>
      </c>
      <c r="R604" s="26">
        <f>IF($G604="","",SUMIFS(费用台账!$I$4:$I$503,费用台账!$C$4:$C$503,$E604,费用台账!$J$4:$J$503,"是",费用台账!$K$4:$K$503,"正常"))</f>
        <v/>
      </c>
      <c r="S604" s="28">
        <f>IF($G604="","",COUNTIFS($E$4:$E$2503,$E604,$Z$4:$Z$2503,"正常",$Y$4:$Y$2503,"待补价"))</f>
        <v/>
      </c>
      <c r="T604" s="26">
        <f>IF($G604="","",SUMIFS($P$4:$P$2503,$E$4:$E$2503,$E604,$Z$4:$Z$2503,"正常",$A$4:$A$2503,"&lt;="&amp;$A604))</f>
        <v/>
      </c>
      <c r="U604" s="26">
        <f>IF($G604="","",IF(OR($S604&gt;0,$Q604=0,$R604=0,$Z604&lt;&gt;"正常"),0,ROUND($T604/$Q604*$R604,0)-ROUND(($T604-$P604)/$Q604*$R604,0)))</f>
        <v/>
      </c>
      <c r="V604" s="26">
        <f>IF($G604="","",ROUND($P604+$U604,0))</f>
        <v/>
      </c>
      <c r="W604" s="26">
        <f>IF($G604="","",IF(N($K604)=0,0,ROUND($V604/$K604,2)))</f>
        <v/>
      </c>
      <c r="X604" s="17" t="inlineStr">
        <is>
          <t>采购入库</t>
        </is>
      </c>
      <c r="Y604" s="17" t="inlineStr">
        <is>
          <t>待补价</t>
        </is>
      </c>
      <c r="Z604" s="17" t="inlineStr">
        <is>
          <t>正常</t>
        </is>
      </c>
      <c r="AA604" s="17" t="n"/>
      <c r="AB604" s="17" t="inlineStr">
        <is>
          <t>原表第 610 行</t>
        </is>
      </c>
      <c r="AC604" s="24">
        <f>IF($G604="","",IF($H604="※编码不在物料档案里","※物料编码不在档案里",IF(N($K604)&lt;=0,"※入库数量要大于 0",IF(AND($C604&lt;&gt;"",$C604&lt;=结账锁),"※日期早于已结账截止日，不能再录",IF(AND($L604=0,$X604="正常"),"※没填单价，价格状态请选「待补价」",IF(AND($S604&gt;0,$R604&gt;0),"△本批有 "&amp;$S604&amp;" 行没单价，整批运费先挂账没摊",IF(AND($B604&lt;&gt;"",COUNTIF($B$4:$B$2503,$B604)&gt;1),"※入库单号重复","")))))))</f>
        <v/>
      </c>
    </row>
    <row r="605">
      <c r="A605" s="24">
        <f>IF($G605="","",COUNTA($G$4:$G605))</f>
        <v/>
      </c>
      <c r="B605" s="17" t="n"/>
      <c r="C605" s="30" t="n">
        <v>46109</v>
      </c>
      <c r="D605" s="17" t="inlineStr">
        <is>
          <t>A国内</t>
        </is>
      </c>
      <c r="E605" s="17" t="inlineStr">
        <is>
          <t>FCIU8393711-202603</t>
        </is>
      </c>
      <c r="F605" s="17" t="inlineStr">
        <is>
          <t>烟台市金豪矿山机械有限公司</t>
        </is>
      </c>
      <c r="G605" s="17" t="inlineStr">
        <is>
          <t>JH0539</t>
        </is>
      </c>
      <c r="H605" s="24">
        <f>IF($G605="","",IFERROR(VLOOKUP($G605,物料档案!$A$4:$P$1203,3,0),"※编码不在物料档案里"))</f>
        <v/>
      </c>
      <c r="I605" s="24">
        <f>IF($G605="","",IFERROR(VLOOKUP($G605,物料档案!$A$4:$P$1203,4,0),"※编码不在物料档案里"))</f>
        <v/>
      </c>
      <c r="J605" s="24">
        <f>IF($G605="","",IFERROR(VLOOKUP($G605,物料档案!$A$4:$P$1203,5,0),"※编码不在物料档案里"))</f>
        <v/>
      </c>
      <c r="K605" s="23" t="n">
        <v>10</v>
      </c>
      <c r="L605" s="31" t="n"/>
      <c r="M605" s="24">
        <f>IF($G605="","",IF($D605="A国内","CNY","TZS"))</f>
        <v/>
      </c>
      <c r="N605" s="28">
        <f>IF($G605="","",IF($D605="A国内",汇率,1))</f>
        <v/>
      </c>
      <c r="O605" s="25">
        <f>IF($G605="","",ROUND(N($K605)*N($L605),2))</f>
        <v/>
      </c>
      <c r="P605" s="26">
        <f>IF($G605="","",ROUND($O605*$N605,0))</f>
        <v/>
      </c>
      <c r="Q605" s="26">
        <f>IF($G605="","",SUMIFS($P$4:$P$2503,$E$4:$E$2503,$E605,$Z$4:$Z$2503,"正常"))</f>
        <v/>
      </c>
      <c r="R605" s="26">
        <f>IF($G605="","",SUMIFS(费用台账!$I$4:$I$503,费用台账!$C$4:$C$503,$E605,费用台账!$J$4:$J$503,"是",费用台账!$K$4:$K$503,"正常"))</f>
        <v/>
      </c>
      <c r="S605" s="28">
        <f>IF($G605="","",COUNTIFS($E$4:$E$2503,$E605,$Z$4:$Z$2503,"正常",$Y$4:$Y$2503,"待补价"))</f>
        <v/>
      </c>
      <c r="T605" s="26">
        <f>IF($G605="","",SUMIFS($P$4:$P$2503,$E$4:$E$2503,$E605,$Z$4:$Z$2503,"正常",$A$4:$A$2503,"&lt;="&amp;$A605))</f>
        <v/>
      </c>
      <c r="U605" s="26">
        <f>IF($G605="","",IF(OR($S605&gt;0,$Q605=0,$R605=0,$Z605&lt;&gt;"正常"),0,ROUND($T605/$Q605*$R605,0)-ROUND(($T605-$P605)/$Q605*$R605,0)))</f>
        <v/>
      </c>
      <c r="V605" s="26">
        <f>IF($G605="","",ROUND($P605+$U605,0))</f>
        <v/>
      </c>
      <c r="W605" s="26">
        <f>IF($G605="","",IF(N($K605)=0,0,ROUND($V605/$K605,2)))</f>
        <v/>
      </c>
      <c r="X605" s="17" t="inlineStr">
        <is>
          <t>采购入库</t>
        </is>
      </c>
      <c r="Y605" s="17" t="inlineStr">
        <is>
          <t>待补价</t>
        </is>
      </c>
      <c r="Z605" s="17" t="inlineStr">
        <is>
          <t>正常</t>
        </is>
      </c>
      <c r="AA605" s="17" t="n"/>
      <c r="AB605" s="17" t="inlineStr">
        <is>
          <t>原表第 611 行</t>
        </is>
      </c>
      <c r="AC605" s="24">
        <f>IF($G605="","",IF($H605="※编码不在物料档案里","※物料编码不在档案里",IF(N($K605)&lt;=0,"※入库数量要大于 0",IF(AND($C605&lt;&gt;"",$C605&lt;=结账锁),"※日期早于已结账截止日，不能再录",IF(AND($L605=0,$X605="正常"),"※没填单价，价格状态请选「待补价」",IF(AND($S605&gt;0,$R605&gt;0),"△本批有 "&amp;$S605&amp;" 行没单价，整批运费先挂账没摊",IF(AND($B605&lt;&gt;"",COUNTIF($B$4:$B$2503,$B605)&gt;1),"※入库单号重复","")))))))</f>
        <v/>
      </c>
    </row>
    <row r="606">
      <c r="A606" s="24">
        <f>IF($G606="","",COUNTA($G$4:$G606))</f>
        <v/>
      </c>
      <c r="B606" s="17" t="n"/>
      <c r="C606" s="30" t="n">
        <v>46109</v>
      </c>
      <c r="D606" s="17" t="inlineStr">
        <is>
          <t>A国内</t>
        </is>
      </c>
      <c r="E606" s="17" t="inlineStr">
        <is>
          <t>FCIU8393711-202603</t>
        </is>
      </c>
      <c r="F606" s="17" t="inlineStr">
        <is>
          <t>烟台市金豪矿山机械有限公司</t>
        </is>
      </c>
      <c r="G606" s="17" t="inlineStr">
        <is>
          <t>JH0293</t>
        </is>
      </c>
      <c r="H606" s="24">
        <f>IF($G606="","",IFERROR(VLOOKUP($G606,物料档案!$A$4:$P$1203,3,0),"※编码不在物料档案里"))</f>
        <v/>
      </c>
      <c r="I606" s="24">
        <f>IF($G606="","",IFERROR(VLOOKUP($G606,物料档案!$A$4:$P$1203,4,0),"※编码不在物料档案里"))</f>
        <v/>
      </c>
      <c r="J606" s="24">
        <f>IF($G606="","",IFERROR(VLOOKUP($G606,物料档案!$A$4:$P$1203,5,0),"※编码不在物料档案里"))</f>
        <v/>
      </c>
      <c r="K606" s="23" t="n">
        <v>21</v>
      </c>
      <c r="L606" s="31" t="n"/>
      <c r="M606" s="24">
        <f>IF($G606="","",IF($D606="A国内","CNY","TZS"))</f>
        <v/>
      </c>
      <c r="N606" s="28">
        <f>IF($G606="","",IF($D606="A国内",汇率,1))</f>
        <v/>
      </c>
      <c r="O606" s="25">
        <f>IF($G606="","",ROUND(N($K606)*N($L606),2))</f>
        <v/>
      </c>
      <c r="P606" s="26">
        <f>IF($G606="","",ROUND($O606*$N606,0))</f>
        <v/>
      </c>
      <c r="Q606" s="26">
        <f>IF($G606="","",SUMIFS($P$4:$P$2503,$E$4:$E$2503,$E606,$Z$4:$Z$2503,"正常"))</f>
        <v/>
      </c>
      <c r="R606" s="26">
        <f>IF($G606="","",SUMIFS(费用台账!$I$4:$I$503,费用台账!$C$4:$C$503,$E606,费用台账!$J$4:$J$503,"是",费用台账!$K$4:$K$503,"正常"))</f>
        <v/>
      </c>
      <c r="S606" s="28">
        <f>IF($G606="","",COUNTIFS($E$4:$E$2503,$E606,$Z$4:$Z$2503,"正常",$Y$4:$Y$2503,"待补价"))</f>
        <v/>
      </c>
      <c r="T606" s="26">
        <f>IF($G606="","",SUMIFS($P$4:$P$2503,$E$4:$E$2503,$E606,$Z$4:$Z$2503,"正常",$A$4:$A$2503,"&lt;="&amp;$A606))</f>
        <v/>
      </c>
      <c r="U606" s="26">
        <f>IF($G606="","",IF(OR($S606&gt;0,$Q606=0,$R606=0,$Z606&lt;&gt;"正常"),0,ROUND($T606/$Q606*$R606,0)-ROUND(($T606-$P606)/$Q606*$R606,0)))</f>
        <v/>
      </c>
      <c r="V606" s="26">
        <f>IF($G606="","",ROUND($P606+$U606,0))</f>
        <v/>
      </c>
      <c r="W606" s="26">
        <f>IF($G606="","",IF(N($K606)=0,0,ROUND($V606/$K606,2)))</f>
        <v/>
      </c>
      <c r="X606" s="17" t="inlineStr">
        <is>
          <t>采购入库</t>
        </is>
      </c>
      <c r="Y606" s="17" t="inlineStr">
        <is>
          <t>待补价</t>
        </is>
      </c>
      <c r="Z606" s="17" t="inlineStr">
        <is>
          <t>正常</t>
        </is>
      </c>
      <c r="AA606" s="17" t="n"/>
      <c r="AB606" s="17" t="inlineStr">
        <is>
          <t>原表第 612 行</t>
        </is>
      </c>
      <c r="AC606" s="24">
        <f>IF($G606="","",IF($H606="※编码不在物料档案里","※物料编码不在档案里",IF(N($K606)&lt;=0,"※入库数量要大于 0",IF(AND($C606&lt;&gt;"",$C606&lt;=结账锁),"※日期早于已结账截止日，不能再录",IF(AND($L606=0,$X606="正常"),"※没填单价，价格状态请选「待补价」",IF(AND($S606&gt;0,$R606&gt;0),"△本批有 "&amp;$S606&amp;" 行没单价，整批运费先挂账没摊",IF(AND($B606&lt;&gt;"",COUNTIF($B$4:$B$2503,$B606)&gt;1),"※入库单号重复","")))))))</f>
        <v/>
      </c>
    </row>
    <row r="607">
      <c r="A607" s="24">
        <f>IF($G607="","",COUNTA($G$4:$G607))</f>
        <v/>
      </c>
      <c r="B607" s="17" t="n"/>
      <c r="C607" s="30" t="n">
        <v>46109</v>
      </c>
      <c r="D607" s="17" t="inlineStr">
        <is>
          <t>A国内</t>
        </is>
      </c>
      <c r="E607" s="17" t="inlineStr">
        <is>
          <t>FCIU8630602-202603</t>
        </is>
      </c>
      <c r="F607" s="17" t="inlineStr">
        <is>
          <t>烟台市金豪矿山机械有限公司</t>
        </is>
      </c>
      <c r="G607" s="17" t="inlineStr">
        <is>
          <t>JH0166</t>
        </is>
      </c>
      <c r="H607" s="24">
        <f>IF($G607="","",IFERROR(VLOOKUP($G607,物料档案!$A$4:$P$1203,3,0),"※编码不在物料档案里"))</f>
        <v/>
      </c>
      <c r="I607" s="24">
        <f>IF($G607="","",IFERROR(VLOOKUP($G607,物料档案!$A$4:$P$1203,4,0),"※编码不在物料档案里"))</f>
        <v/>
      </c>
      <c r="J607" s="24">
        <f>IF($G607="","",IFERROR(VLOOKUP($G607,物料档案!$A$4:$P$1203,5,0),"※编码不在物料档案里"))</f>
        <v/>
      </c>
      <c r="K607" s="23" t="n">
        <v>1</v>
      </c>
      <c r="L607" s="31" t="n"/>
      <c r="M607" s="24">
        <f>IF($G607="","",IF($D607="A国内","CNY","TZS"))</f>
        <v/>
      </c>
      <c r="N607" s="28">
        <f>IF($G607="","",IF($D607="A国内",汇率,1))</f>
        <v/>
      </c>
      <c r="O607" s="25">
        <f>IF($G607="","",ROUND(N($K607)*N($L607),2))</f>
        <v/>
      </c>
      <c r="P607" s="26">
        <f>IF($G607="","",ROUND($O607*$N607,0))</f>
        <v/>
      </c>
      <c r="Q607" s="26">
        <f>IF($G607="","",SUMIFS($P$4:$P$2503,$E$4:$E$2503,$E607,$Z$4:$Z$2503,"正常"))</f>
        <v/>
      </c>
      <c r="R607" s="26">
        <f>IF($G607="","",SUMIFS(费用台账!$I$4:$I$503,费用台账!$C$4:$C$503,$E607,费用台账!$J$4:$J$503,"是",费用台账!$K$4:$K$503,"正常"))</f>
        <v/>
      </c>
      <c r="S607" s="28">
        <f>IF($G607="","",COUNTIFS($E$4:$E$2503,$E607,$Z$4:$Z$2503,"正常",$Y$4:$Y$2503,"待补价"))</f>
        <v/>
      </c>
      <c r="T607" s="26">
        <f>IF($G607="","",SUMIFS($P$4:$P$2503,$E$4:$E$2503,$E607,$Z$4:$Z$2503,"正常",$A$4:$A$2503,"&lt;="&amp;$A607))</f>
        <v/>
      </c>
      <c r="U607" s="26">
        <f>IF($G607="","",IF(OR($S607&gt;0,$Q607=0,$R607=0,$Z607&lt;&gt;"正常"),0,ROUND($T607/$Q607*$R607,0)-ROUND(($T607-$P607)/$Q607*$R607,0)))</f>
        <v/>
      </c>
      <c r="V607" s="26">
        <f>IF($G607="","",ROUND($P607+$U607,0))</f>
        <v/>
      </c>
      <c r="W607" s="26">
        <f>IF($G607="","",IF(N($K607)=0,0,ROUND($V607/$K607,2)))</f>
        <v/>
      </c>
      <c r="X607" s="17" t="inlineStr">
        <is>
          <t>采购入库</t>
        </is>
      </c>
      <c r="Y607" s="17" t="inlineStr">
        <is>
          <t>待补价</t>
        </is>
      </c>
      <c r="Z607" s="17" t="inlineStr">
        <is>
          <t>正常</t>
        </is>
      </c>
      <c r="AA607" s="17" t="n"/>
      <c r="AB607" s="17" t="inlineStr">
        <is>
          <t>原表第 613 行</t>
        </is>
      </c>
      <c r="AC607" s="24">
        <f>IF($G607="","",IF($H607="※编码不在物料档案里","※物料编码不在档案里",IF(N($K607)&lt;=0,"※入库数量要大于 0",IF(AND($C607&lt;&gt;"",$C607&lt;=结账锁),"※日期早于已结账截止日，不能再录",IF(AND($L607=0,$X607="正常"),"※没填单价，价格状态请选「待补价」",IF(AND($S607&gt;0,$R607&gt;0),"△本批有 "&amp;$S607&amp;" 行没单价，整批运费先挂账没摊",IF(AND($B607&lt;&gt;"",COUNTIF($B$4:$B$2503,$B607)&gt;1),"※入库单号重复","")))))))</f>
        <v/>
      </c>
    </row>
    <row r="608">
      <c r="A608" s="24">
        <f>IF($G608="","",COUNTA($G$4:$G608))</f>
        <v/>
      </c>
      <c r="B608" s="17" t="n"/>
      <c r="C608" s="30" t="n">
        <v>46109</v>
      </c>
      <c r="D608" s="17" t="inlineStr">
        <is>
          <t>A国内</t>
        </is>
      </c>
      <c r="E608" s="17" t="inlineStr">
        <is>
          <t>FCIU8630602-202603</t>
        </is>
      </c>
      <c r="F608" s="17" t="inlineStr">
        <is>
          <t>烟台市金豪矿山机械有限公司</t>
        </is>
      </c>
      <c r="G608" s="17" t="inlineStr">
        <is>
          <t>JH0540</t>
        </is>
      </c>
      <c r="H608" s="24">
        <f>IF($G608="","",IFERROR(VLOOKUP($G608,物料档案!$A$4:$P$1203,3,0),"※编码不在物料档案里"))</f>
        <v/>
      </c>
      <c r="I608" s="24">
        <f>IF($G608="","",IFERROR(VLOOKUP($G608,物料档案!$A$4:$P$1203,4,0),"※编码不在物料档案里"))</f>
        <v/>
      </c>
      <c r="J608" s="24">
        <f>IF($G608="","",IFERROR(VLOOKUP($G608,物料档案!$A$4:$P$1203,5,0),"※编码不在物料档案里"))</f>
        <v/>
      </c>
      <c r="K608" s="23" t="n">
        <v>2</v>
      </c>
      <c r="L608" s="31" t="n"/>
      <c r="M608" s="24">
        <f>IF($G608="","",IF($D608="A国内","CNY","TZS"))</f>
        <v/>
      </c>
      <c r="N608" s="28">
        <f>IF($G608="","",IF($D608="A国内",汇率,1))</f>
        <v/>
      </c>
      <c r="O608" s="25">
        <f>IF($G608="","",ROUND(N($K608)*N($L608),2))</f>
        <v/>
      </c>
      <c r="P608" s="26">
        <f>IF($G608="","",ROUND($O608*$N608,0))</f>
        <v/>
      </c>
      <c r="Q608" s="26">
        <f>IF($G608="","",SUMIFS($P$4:$P$2503,$E$4:$E$2503,$E608,$Z$4:$Z$2503,"正常"))</f>
        <v/>
      </c>
      <c r="R608" s="26">
        <f>IF($G608="","",SUMIFS(费用台账!$I$4:$I$503,费用台账!$C$4:$C$503,$E608,费用台账!$J$4:$J$503,"是",费用台账!$K$4:$K$503,"正常"))</f>
        <v/>
      </c>
      <c r="S608" s="28">
        <f>IF($G608="","",COUNTIFS($E$4:$E$2503,$E608,$Z$4:$Z$2503,"正常",$Y$4:$Y$2503,"待补价"))</f>
        <v/>
      </c>
      <c r="T608" s="26">
        <f>IF($G608="","",SUMIFS($P$4:$P$2503,$E$4:$E$2503,$E608,$Z$4:$Z$2503,"正常",$A$4:$A$2503,"&lt;="&amp;$A608))</f>
        <v/>
      </c>
      <c r="U608" s="26">
        <f>IF($G608="","",IF(OR($S608&gt;0,$Q608=0,$R608=0,$Z608&lt;&gt;"正常"),0,ROUND($T608/$Q608*$R608,0)-ROUND(($T608-$P608)/$Q608*$R608,0)))</f>
        <v/>
      </c>
      <c r="V608" s="26">
        <f>IF($G608="","",ROUND($P608+$U608,0))</f>
        <v/>
      </c>
      <c r="W608" s="26">
        <f>IF($G608="","",IF(N($K608)=0,0,ROUND($V608/$K608,2)))</f>
        <v/>
      </c>
      <c r="X608" s="17" t="inlineStr">
        <is>
          <t>采购入库</t>
        </is>
      </c>
      <c r="Y608" s="17" t="inlineStr">
        <is>
          <t>待补价</t>
        </is>
      </c>
      <c r="Z608" s="17" t="inlineStr">
        <is>
          <t>正常</t>
        </is>
      </c>
      <c r="AA608" s="17" t="n"/>
      <c r="AB608" s="17" t="inlineStr">
        <is>
          <t>原表第 614 行</t>
        </is>
      </c>
      <c r="AC608" s="24">
        <f>IF($G608="","",IF($H608="※编码不在物料档案里","※物料编码不在档案里",IF(N($K608)&lt;=0,"※入库数量要大于 0",IF(AND($C608&lt;&gt;"",$C608&lt;=结账锁),"※日期早于已结账截止日，不能再录",IF(AND($L608=0,$X608="正常"),"※没填单价，价格状态请选「待补价」",IF(AND($S608&gt;0,$R608&gt;0),"△本批有 "&amp;$S608&amp;" 行没单价，整批运费先挂账没摊",IF(AND($B608&lt;&gt;"",COUNTIF($B$4:$B$2503,$B608)&gt;1),"※入库单号重复","")))))))</f>
        <v/>
      </c>
    </row>
    <row r="609">
      <c r="A609" s="24">
        <f>IF($G609="","",COUNTA($G$4:$G609))</f>
        <v/>
      </c>
      <c r="B609" s="17" t="n"/>
      <c r="C609" s="30" t="n">
        <v>46109</v>
      </c>
      <c r="D609" s="17" t="inlineStr">
        <is>
          <t>A国内</t>
        </is>
      </c>
      <c r="E609" s="17" t="inlineStr">
        <is>
          <t>FCIU8630602-202603</t>
        </is>
      </c>
      <c r="F609" s="17" t="inlineStr">
        <is>
          <t>烟台市金豪矿山机械有限公司</t>
        </is>
      </c>
      <c r="G609" s="17" t="inlineStr">
        <is>
          <t>JH0387</t>
        </is>
      </c>
      <c r="H609" s="24">
        <f>IF($G609="","",IFERROR(VLOOKUP($G609,物料档案!$A$4:$P$1203,3,0),"※编码不在物料档案里"))</f>
        <v/>
      </c>
      <c r="I609" s="24">
        <f>IF($G609="","",IFERROR(VLOOKUP($G609,物料档案!$A$4:$P$1203,4,0),"※编码不在物料档案里"))</f>
        <v/>
      </c>
      <c r="J609" s="24">
        <f>IF($G609="","",IFERROR(VLOOKUP($G609,物料档案!$A$4:$P$1203,5,0),"※编码不在物料档案里"))</f>
        <v/>
      </c>
      <c r="K609" s="23" t="n">
        <v>1</v>
      </c>
      <c r="L609" s="31" t="n"/>
      <c r="M609" s="24">
        <f>IF($G609="","",IF($D609="A国内","CNY","TZS"))</f>
        <v/>
      </c>
      <c r="N609" s="28">
        <f>IF($G609="","",IF($D609="A国内",汇率,1))</f>
        <v/>
      </c>
      <c r="O609" s="25">
        <f>IF($G609="","",ROUND(N($K609)*N($L609),2))</f>
        <v/>
      </c>
      <c r="P609" s="26">
        <f>IF($G609="","",ROUND($O609*$N609,0))</f>
        <v/>
      </c>
      <c r="Q609" s="26">
        <f>IF($G609="","",SUMIFS($P$4:$P$2503,$E$4:$E$2503,$E609,$Z$4:$Z$2503,"正常"))</f>
        <v/>
      </c>
      <c r="R609" s="26">
        <f>IF($G609="","",SUMIFS(费用台账!$I$4:$I$503,费用台账!$C$4:$C$503,$E609,费用台账!$J$4:$J$503,"是",费用台账!$K$4:$K$503,"正常"))</f>
        <v/>
      </c>
      <c r="S609" s="28">
        <f>IF($G609="","",COUNTIFS($E$4:$E$2503,$E609,$Z$4:$Z$2503,"正常",$Y$4:$Y$2503,"待补价"))</f>
        <v/>
      </c>
      <c r="T609" s="26">
        <f>IF($G609="","",SUMIFS($P$4:$P$2503,$E$4:$E$2503,$E609,$Z$4:$Z$2503,"正常",$A$4:$A$2503,"&lt;="&amp;$A609))</f>
        <v/>
      </c>
      <c r="U609" s="26">
        <f>IF($G609="","",IF(OR($S609&gt;0,$Q609=0,$R609=0,$Z609&lt;&gt;"正常"),0,ROUND($T609/$Q609*$R609,0)-ROUND(($T609-$P609)/$Q609*$R609,0)))</f>
        <v/>
      </c>
      <c r="V609" s="26">
        <f>IF($G609="","",ROUND($P609+$U609,0))</f>
        <v/>
      </c>
      <c r="W609" s="26">
        <f>IF($G609="","",IF(N($K609)=0,0,ROUND($V609/$K609,2)))</f>
        <v/>
      </c>
      <c r="X609" s="17" t="inlineStr">
        <is>
          <t>采购入库</t>
        </is>
      </c>
      <c r="Y609" s="17" t="inlineStr">
        <is>
          <t>待补价</t>
        </is>
      </c>
      <c r="Z609" s="17" t="inlineStr">
        <is>
          <t>正常</t>
        </is>
      </c>
      <c r="AA609" s="17" t="n"/>
      <c r="AB609" s="17" t="inlineStr">
        <is>
          <t>原表第 615 行</t>
        </is>
      </c>
      <c r="AC609" s="24">
        <f>IF($G609="","",IF($H609="※编码不在物料档案里","※物料编码不在档案里",IF(N($K609)&lt;=0,"※入库数量要大于 0",IF(AND($C609&lt;&gt;"",$C609&lt;=结账锁),"※日期早于已结账截止日，不能再录",IF(AND($L609=0,$X609="正常"),"※没填单价，价格状态请选「待补价」",IF(AND($S609&gt;0,$R609&gt;0),"△本批有 "&amp;$S609&amp;" 行没单价，整批运费先挂账没摊",IF(AND($B609&lt;&gt;"",COUNTIF($B$4:$B$2503,$B609)&gt;1),"※入库单号重复","")))))))</f>
        <v/>
      </c>
    </row>
    <row r="610">
      <c r="A610" s="24">
        <f>IF($G610="","",COUNTA($G$4:$G610))</f>
        <v/>
      </c>
      <c r="B610" s="17" t="n"/>
      <c r="C610" s="30" t="n">
        <v>46109</v>
      </c>
      <c r="D610" s="17" t="inlineStr">
        <is>
          <t>A国内</t>
        </is>
      </c>
      <c r="E610" s="17" t="inlineStr">
        <is>
          <t>FCIU8630602-202603</t>
        </is>
      </c>
      <c r="F610" s="17" t="inlineStr">
        <is>
          <t>烟台市金豪矿山机械有限公司</t>
        </is>
      </c>
      <c r="G610" s="17" t="inlineStr">
        <is>
          <t>JH0541</t>
        </is>
      </c>
      <c r="H610" s="24">
        <f>IF($G610="","",IFERROR(VLOOKUP($G610,物料档案!$A$4:$P$1203,3,0),"※编码不在物料档案里"))</f>
        <v/>
      </c>
      <c r="I610" s="24">
        <f>IF($G610="","",IFERROR(VLOOKUP($G610,物料档案!$A$4:$P$1203,4,0),"※编码不在物料档案里"))</f>
        <v/>
      </c>
      <c r="J610" s="24">
        <f>IF($G610="","",IFERROR(VLOOKUP($G610,物料档案!$A$4:$P$1203,5,0),"※编码不在物料档案里"))</f>
        <v/>
      </c>
      <c r="K610" s="23" t="n">
        <v>4</v>
      </c>
      <c r="L610" s="31" t="n"/>
      <c r="M610" s="24">
        <f>IF($G610="","",IF($D610="A国内","CNY","TZS"))</f>
        <v/>
      </c>
      <c r="N610" s="28">
        <f>IF($G610="","",IF($D610="A国内",汇率,1))</f>
        <v/>
      </c>
      <c r="O610" s="25">
        <f>IF($G610="","",ROUND(N($K610)*N($L610),2))</f>
        <v/>
      </c>
      <c r="P610" s="26">
        <f>IF($G610="","",ROUND($O610*$N610,0))</f>
        <v/>
      </c>
      <c r="Q610" s="26">
        <f>IF($G610="","",SUMIFS($P$4:$P$2503,$E$4:$E$2503,$E610,$Z$4:$Z$2503,"正常"))</f>
        <v/>
      </c>
      <c r="R610" s="26">
        <f>IF($G610="","",SUMIFS(费用台账!$I$4:$I$503,费用台账!$C$4:$C$503,$E610,费用台账!$J$4:$J$503,"是",费用台账!$K$4:$K$503,"正常"))</f>
        <v/>
      </c>
      <c r="S610" s="28">
        <f>IF($G610="","",COUNTIFS($E$4:$E$2503,$E610,$Z$4:$Z$2503,"正常",$Y$4:$Y$2503,"待补价"))</f>
        <v/>
      </c>
      <c r="T610" s="26">
        <f>IF($G610="","",SUMIFS($P$4:$P$2503,$E$4:$E$2503,$E610,$Z$4:$Z$2503,"正常",$A$4:$A$2503,"&lt;="&amp;$A610))</f>
        <v/>
      </c>
      <c r="U610" s="26">
        <f>IF($G610="","",IF(OR($S610&gt;0,$Q610=0,$R610=0,$Z610&lt;&gt;"正常"),0,ROUND($T610/$Q610*$R610,0)-ROUND(($T610-$P610)/$Q610*$R610,0)))</f>
        <v/>
      </c>
      <c r="V610" s="26">
        <f>IF($G610="","",ROUND($P610+$U610,0))</f>
        <v/>
      </c>
      <c r="W610" s="26">
        <f>IF($G610="","",IF(N($K610)=0,0,ROUND($V610/$K610,2)))</f>
        <v/>
      </c>
      <c r="X610" s="17" t="inlineStr">
        <is>
          <t>采购入库</t>
        </is>
      </c>
      <c r="Y610" s="17" t="inlineStr">
        <is>
          <t>待补价</t>
        </is>
      </c>
      <c r="Z610" s="17" t="inlineStr">
        <is>
          <t>正常</t>
        </is>
      </c>
      <c r="AA610" s="17" t="n"/>
      <c r="AB610" s="17" t="inlineStr">
        <is>
          <t>原表第 616 行</t>
        </is>
      </c>
      <c r="AC610" s="24">
        <f>IF($G610="","",IF($H610="※编码不在物料档案里","※物料编码不在档案里",IF(N($K610)&lt;=0,"※入库数量要大于 0",IF(AND($C610&lt;&gt;"",$C610&lt;=结账锁),"※日期早于已结账截止日，不能再录",IF(AND($L610=0,$X610="正常"),"※没填单价，价格状态请选「待补价」",IF(AND($S610&gt;0,$R610&gt;0),"△本批有 "&amp;$S610&amp;" 行没单价，整批运费先挂账没摊",IF(AND($B610&lt;&gt;"",COUNTIF($B$4:$B$2503,$B610)&gt;1),"※入库单号重复","")))))))</f>
        <v/>
      </c>
    </row>
    <row r="611">
      <c r="A611" s="24">
        <f>IF($G611="","",COUNTA($G$4:$G611))</f>
        <v/>
      </c>
      <c r="B611" s="17" t="n"/>
      <c r="C611" s="30" t="n">
        <v>46109</v>
      </c>
      <c r="D611" s="17" t="inlineStr">
        <is>
          <t>A国内</t>
        </is>
      </c>
      <c r="E611" s="17" t="inlineStr">
        <is>
          <t>FCIU8630602-202603</t>
        </is>
      </c>
      <c r="F611" s="17" t="inlineStr">
        <is>
          <t>烟台市金豪矿山机械有限公司</t>
        </is>
      </c>
      <c r="G611" s="17" t="inlineStr">
        <is>
          <t>JH0542</t>
        </is>
      </c>
      <c r="H611" s="24">
        <f>IF($G611="","",IFERROR(VLOOKUP($G611,物料档案!$A$4:$P$1203,3,0),"※编码不在物料档案里"))</f>
        <v/>
      </c>
      <c r="I611" s="24">
        <f>IF($G611="","",IFERROR(VLOOKUP($G611,物料档案!$A$4:$P$1203,4,0),"※编码不在物料档案里"))</f>
        <v/>
      </c>
      <c r="J611" s="24">
        <f>IF($G611="","",IFERROR(VLOOKUP($G611,物料档案!$A$4:$P$1203,5,0),"※编码不在物料档案里"))</f>
        <v/>
      </c>
      <c r="K611" s="23" t="n">
        <v>4</v>
      </c>
      <c r="L611" s="31" t="n"/>
      <c r="M611" s="24">
        <f>IF($G611="","",IF($D611="A国内","CNY","TZS"))</f>
        <v/>
      </c>
      <c r="N611" s="28">
        <f>IF($G611="","",IF($D611="A国内",汇率,1))</f>
        <v/>
      </c>
      <c r="O611" s="25">
        <f>IF($G611="","",ROUND(N($K611)*N($L611),2))</f>
        <v/>
      </c>
      <c r="P611" s="26">
        <f>IF($G611="","",ROUND($O611*$N611,0))</f>
        <v/>
      </c>
      <c r="Q611" s="26">
        <f>IF($G611="","",SUMIFS($P$4:$P$2503,$E$4:$E$2503,$E611,$Z$4:$Z$2503,"正常"))</f>
        <v/>
      </c>
      <c r="R611" s="26">
        <f>IF($G611="","",SUMIFS(费用台账!$I$4:$I$503,费用台账!$C$4:$C$503,$E611,费用台账!$J$4:$J$503,"是",费用台账!$K$4:$K$503,"正常"))</f>
        <v/>
      </c>
      <c r="S611" s="28">
        <f>IF($G611="","",COUNTIFS($E$4:$E$2503,$E611,$Z$4:$Z$2503,"正常",$Y$4:$Y$2503,"待补价"))</f>
        <v/>
      </c>
      <c r="T611" s="26">
        <f>IF($G611="","",SUMIFS($P$4:$P$2503,$E$4:$E$2503,$E611,$Z$4:$Z$2503,"正常",$A$4:$A$2503,"&lt;="&amp;$A611))</f>
        <v/>
      </c>
      <c r="U611" s="26">
        <f>IF($G611="","",IF(OR($S611&gt;0,$Q611=0,$R611=0,$Z611&lt;&gt;"正常"),0,ROUND($T611/$Q611*$R611,0)-ROUND(($T611-$P611)/$Q611*$R611,0)))</f>
        <v/>
      </c>
      <c r="V611" s="26">
        <f>IF($G611="","",ROUND($P611+$U611,0))</f>
        <v/>
      </c>
      <c r="W611" s="26">
        <f>IF($G611="","",IF(N($K611)=0,0,ROUND($V611/$K611,2)))</f>
        <v/>
      </c>
      <c r="X611" s="17" t="inlineStr">
        <is>
          <t>采购入库</t>
        </is>
      </c>
      <c r="Y611" s="17" t="inlineStr">
        <is>
          <t>待补价</t>
        </is>
      </c>
      <c r="Z611" s="17" t="inlineStr">
        <is>
          <t>正常</t>
        </is>
      </c>
      <c r="AA611" s="17" t="n"/>
      <c r="AB611" s="17" t="inlineStr">
        <is>
          <t>原表第 617 行</t>
        </is>
      </c>
      <c r="AC611" s="24">
        <f>IF($G611="","",IF($H611="※编码不在物料档案里","※物料编码不在档案里",IF(N($K611)&lt;=0,"※入库数量要大于 0",IF(AND($C611&lt;&gt;"",$C611&lt;=结账锁),"※日期早于已结账截止日，不能再录",IF(AND($L611=0,$X611="正常"),"※没填单价，价格状态请选「待补价」",IF(AND($S611&gt;0,$R611&gt;0),"△本批有 "&amp;$S611&amp;" 行没单价，整批运费先挂账没摊",IF(AND($B611&lt;&gt;"",COUNTIF($B$4:$B$2503,$B611)&gt;1),"※入库单号重复","")))))))</f>
        <v/>
      </c>
    </row>
    <row r="612">
      <c r="A612" s="24">
        <f>IF($G612="","",COUNTA($G$4:$G612))</f>
        <v/>
      </c>
      <c r="B612" s="17" t="n"/>
      <c r="C612" s="30" t="n">
        <v>46109</v>
      </c>
      <c r="D612" s="17" t="inlineStr">
        <is>
          <t>A国内</t>
        </is>
      </c>
      <c r="E612" s="17" t="inlineStr">
        <is>
          <t>FCIU8630602-202603</t>
        </is>
      </c>
      <c r="F612" s="17" t="inlineStr">
        <is>
          <t>烟台市金豪矿山机械有限公司</t>
        </is>
      </c>
      <c r="G612" s="17" t="inlineStr">
        <is>
          <t>JH0543</t>
        </is>
      </c>
      <c r="H612" s="24">
        <f>IF($G612="","",IFERROR(VLOOKUP($G612,物料档案!$A$4:$P$1203,3,0),"※编码不在物料档案里"))</f>
        <v/>
      </c>
      <c r="I612" s="24">
        <f>IF($G612="","",IFERROR(VLOOKUP($G612,物料档案!$A$4:$P$1203,4,0),"※编码不在物料档案里"))</f>
        <v/>
      </c>
      <c r="J612" s="24">
        <f>IF($G612="","",IFERROR(VLOOKUP($G612,物料档案!$A$4:$P$1203,5,0),"※编码不在物料档案里"))</f>
        <v/>
      </c>
      <c r="K612" s="23" t="n">
        <v>4</v>
      </c>
      <c r="L612" s="31" t="n"/>
      <c r="M612" s="24">
        <f>IF($G612="","",IF($D612="A国内","CNY","TZS"))</f>
        <v/>
      </c>
      <c r="N612" s="28">
        <f>IF($G612="","",IF($D612="A国内",汇率,1))</f>
        <v/>
      </c>
      <c r="O612" s="25">
        <f>IF($G612="","",ROUND(N($K612)*N($L612),2))</f>
        <v/>
      </c>
      <c r="P612" s="26">
        <f>IF($G612="","",ROUND($O612*$N612,0))</f>
        <v/>
      </c>
      <c r="Q612" s="26">
        <f>IF($G612="","",SUMIFS($P$4:$P$2503,$E$4:$E$2503,$E612,$Z$4:$Z$2503,"正常"))</f>
        <v/>
      </c>
      <c r="R612" s="26">
        <f>IF($G612="","",SUMIFS(费用台账!$I$4:$I$503,费用台账!$C$4:$C$503,$E612,费用台账!$J$4:$J$503,"是",费用台账!$K$4:$K$503,"正常"))</f>
        <v/>
      </c>
      <c r="S612" s="28">
        <f>IF($G612="","",COUNTIFS($E$4:$E$2503,$E612,$Z$4:$Z$2503,"正常",$Y$4:$Y$2503,"待补价"))</f>
        <v/>
      </c>
      <c r="T612" s="26">
        <f>IF($G612="","",SUMIFS($P$4:$P$2503,$E$4:$E$2503,$E612,$Z$4:$Z$2503,"正常",$A$4:$A$2503,"&lt;="&amp;$A612))</f>
        <v/>
      </c>
      <c r="U612" s="26">
        <f>IF($G612="","",IF(OR($S612&gt;0,$Q612=0,$R612=0,$Z612&lt;&gt;"正常"),0,ROUND($T612/$Q612*$R612,0)-ROUND(($T612-$P612)/$Q612*$R612,0)))</f>
        <v/>
      </c>
      <c r="V612" s="26">
        <f>IF($G612="","",ROUND($P612+$U612,0))</f>
        <v/>
      </c>
      <c r="W612" s="26">
        <f>IF($G612="","",IF(N($K612)=0,0,ROUND($V612/$K612,2)))</f>
        <v/>
      </c>
      <c r="X612" s="17" t="inlineStr">
        <is>
          <t>采购入库</t>
        </is>
      </c>
      <c r="Y612" s="17" t="inlineStr">
        <is>
          <t>待补价</t>
        </is>
      </c>
      <c r="Z612" s="17" t="inlineStr">
        <is>
          <t>正常</t>
        </is>
      </c>
      <c r="AA612" s="17" t="n"/>
      <c r="AB612" s="17" t="inlineStr">
        <is>
          <t>原表第 618 行</t>
        </is>
      </c>
      <c r="AC612" s="24">
        <f>IF($G612="","",IF($H612="※编码不在物料档案里","※物料编码不在档案里",IF(N($K612)&lt;=0,"※入库数量要大于 0",IF(AND($C612&lt;&gt;"",$C612&lt;=结账锁),"※日期早于已结账截止日，不能再录",IF(AND($L612=0,$X612="正常"),"※没填单价，价格状态请选「待补价」",IF(AND($S612&gt;0,$R612&gt;0),"△本批有 "&amp;$S612&amp;" 行没单价，整批运费先挂账没摊",IF(AND($B612&lt;&gt;"",COUNTIF($B$4:$B$2503,$B612)&gt;1),"※入库单号重复","")))))))</f>
        <v/>
      </c>
    </row>
    <row r="613">
      <c r="A613" s="24">
        <f>IF($G613="","",COUNTA($G$4:$G613))</f>
        <v/>
      </c>
      <c r="B613" s="17" t="n"/>
      <c r="C613" s="30" t="n">
        <v>46109</v>
      </c>
      <c r="D613" s="17" t="inlineStr">
        <is>
          <t>A国内</t>
        </is>
      </c>
      <c r="E613" s="17" t="inlineStr">
        <is>
          <t>FCIU8630602-202603</t>
        </is>
      </c>
      <c r="F613" s="17" t="inlineStr">
        <is>
          <t>烟台市金豪矿山机械有限公司</t>
        </is>
      </c>
      <c r="G613" s="17" t="inlineStr">
        <is>
          <t>JH0544</t>
        </is>
      </c>
      <c r="H613" s="24">
        <f>IF($G613="","",IFERROR(VLOOKUP($G613,物料档案!$A$4:$P$1203,3,0),"※编码不在物料档案里"))</f>
        <v/>
      </c>
      <c r="I613" s="24">
        <f>IF($G613="","",IFERROR(VLOOKUP($G613,物料档案!$A$4:$P$1203,4,0),"※编码不在物料档案里"))</f>
        <v/>
      </c>
      <c r="J613" s="24">
        <f>IF($G613="","",IFERROR(VLOOKUP($G613,物料档案!$A$4:$P$1203,5,0),"※编码不在物料档案里"))</f>
        <v/>
      </c>
      <c r="K613" s="23" t="n">
        <v>2</v>
      </c>
      <c r="L613" s="31" t="n"/>
      <c r="M613" s="24">
        <f>IF($G613="","",IF($D613="A国内","CNY","TZS"))</f>
        <v/>
      </c>
      <c r="N613" s="28">
        <f>IF($G613="","",IF($D613="A国内",汇率,1))</f>
        <v/>
      </c>
      <c r="O613" s="25">
        <f>IF($G613="","",ROUND(N($K613)*N($L613),2))</f>
        <v/>
      </c>
      <c r="P613" s="26">
        <f>IF($G613="","",ROUND($O613*$N613,0))</f>
        <v/>
      </c>
      <c r="Q613" s="26">
        <f>IF($G613="","",SUMIFS($P$4:$P$2503,$E$4:$E$2503,$E613,$Z$4:$Z$2503,"正常"))</f>
        <v/>
      </c>
      <c r="R613" s="26">
        <f>IF($G613="","",SUMIFS(费用台账!$I$4:$I$503,费用台账!$C$4:$C$503,$E613,费用台账!$J$4:$J$503,"是",费用台账!$K$4:$K$503,"正常"))</f>
        <v/>
      </c>
      <c r="S613" s="28">
        <f>IF($G613="","",COUNTIFS($E$4:$E$2503,$E613,$Z$4:$Z$2503,"正常",$Y$4:$Y$2503,"待补价"))</f>
        <v/>
      </c>
      <c r="T613" s="26">
        <f>IF($G613="","",SUMIFS($P$4:$P$2503,$E$4:$E$2503,$E613,$Z$4:$Z$2503,"正常",$A$4:$A$2503,"&lt;="&amp;$A613))</f>
        <v/>
      </c>
      <c r="U613" s="26">
        <f>IF($G613="","",IF(OR($S613&gt;0,$Q613=0,$R613=0,$Z613&lt;&gt;"正常"),0,ROUND($T613/$Q613*$R613,0)-ROUND(($T613-$P613)/$Q613*$R613,0)))</f>
        <v/>
      </c>
      <c r="V613" s="26">
        <f>IF($G613="","",ROUND($P613+$U613,0))</f>
        <v/>
      </c>
      <c r="W613" s="26">
        <f>IF($G613="","",IF(N($K613)=0,0,ROUND($V613/$K613,2)))</f>
        <v/>
      </c>
      <c r="X613" s="17" t="inlineStr">
        <is>
          <t>采购入库</t>
        </is>
      </c>
      <c r="Y613" s="17" t="inlineStr">
        <is>
          <t>待补价</t>
        </is>
      </c>
      <c r="Z613" s="17" t="inlineStr">
        <is>
          <t>正常</t>
        </is>
      </c>
      <c r="AA613" s="17" t="n"/>
      <c r="AB613" s="17" t="inlineStr">
        <is>
          <t>原表第 619 行</t>
        </is>
      </c>
      <c r="AC613" s="24">
        <f>IF($G613="","",IF($H613="※编码不在物料档案里","※物料编码不在档案里",IF(N($K613)&lt;=0,"※入库数量要大于 0",IF(AND($C613&lt;&gt;"",$C613&lt;=结账锁),"※日期早于已结账截止日，不能再录",IF(AND($L613=0,$X613="正常"),"※没填单价，价格状态请选「待补价」",IF(AND($S613&gt;0,$R613&gt;0),"△本批有 "&amp;$S613&amp;" 行没单价，整批运费先挂账没摊",IF(AND($B613&lt;&gt;"",COUNTIF($B$4:$B$2503,$B613)&gt;1),"※入库单号重复","")))))))</f>
        <v/>
      </c>
    </row>
    <row r="614">
      <c r="A614" s="24">
        <f>IF($G614="","",COUNTA($G$4:$G614))</f>
        <v/>
      </c>
      <c r="B614" s="17" t="n"/>
      <c r="C614" s="30" t="n">
        <v>46109</v>
      </c>
      <c r="D614" s="17" t="inlineStr">
        <is>
          <t>A国内</t>
        </is>
      </c>
      <c r="E614" s="17" t="inlineStr">
        <is>
          <t>FCIU8630602-202603</t>
        </is>
      </c>
      <c r="F614" s="17" t="inlineStr">
        <is>
          <t>烟台市金豪矿山机械有限公司</t>
        </is>
      </c>
      <c r="G614" s="17" t="inlineStr">
        <is>
          <t>JH0545</t>
        </is>
      </c>
      <c r="H614" s="24">
        <f>IF($G614="","",IFERROR(VLOOKUP($G614,物料档案!$A$4:$P$1203,3,0),"※编码不在物料档案里"))</f>
        <v/>
      </c>
      <c r="I614" s="24">
        <f>IF($G614="","",IFERROR(VLOOKUP($G614,物料档案!$A$4:$P$1203,4,0),"※编码不在物料档案里"))</f>
        <v/>
      </c>
      <c r="J614" s="24">
        <f>IF($G614="","",IFERROR(VLOOKUP($G614,物料档案!$A$4:$P$1203,5,0),"※编码不在物料档案里"))</f>
        <v/>
      </c>
      <c r="K614" s="23" t="n">
        <v>4</v>
      </c>
      <c r="L614" s="31" t="n"/>
      <c r="M614" s="24">
        <f>IF($G614="","",IF($D614="A国内","CNY","TZS"))</f>
        <v/>
      </c>
      <c r="N614" s="28">
        <f>IF($G614="","",IF($D614="A国内",汇率,1))</f>
        <v/>
      </c>
      <c r="O614" s="25">
        <f>IF($G614="","",ROUND(N($K614)*N($L614),2))</f>
        <v/>
      </c>
      <c r="P614" s="26">
        <f>IF($G614="","",ROUND($O614*$N614,0))</f>
        <v/>
      </c>
      <c r="Q614" s="26">
        <f>IF($G614="","",SUMIFS($P$4:$P$2503,$E$4:$E$2503,$E614,$Z$4:$Z$2503,"正常"))</f>
        <v/>
      </c>
      <c r="R614" s="26">
        <f>IF($G614="","",SUMIFS(费用台账!$I$4:$I$503,费用台账!$C$4:$C$503,$E614,费用台账!$J$4:$J$503,"是",费用台账!$K$4:$K$503,"正常"))</f>
        <v/>
      </c>
      <c r="S614" s="28">
        <f>IF($G614="","",COUNTIFS($E$4:$E$2503,$E614,$Z$4:$Z$2503,"正常",$Y$4:$Y$2503,"待补价"))</f>
        <v/>
      </c>
      <c r="T614" s="26">
        <f>IF($G614="","",SUMIFS($P$4:$P$2503,$E$4:$E$2503,$E614,$Z$4:$Z$2503,"正常",$A$4:$A$2503,"&lt;="&amp;$A614))</f>
        <v/>
      </c>
      <c r="U614" s="26">
        <f>IF($G614="","",IF(OR($S614&gt;0,$Q614=0,$R614=0,$Z614&lt;&gt;"正常"),0,ROUND($T614/$Q614*$R614,0)-ROUND(($T614-$P614)/$Q614*$R614,0)))</f>
        <v/>
      </c>
      <c r="V614" s="26">
        <f>IF($G614="","",ROUND($P614+$U614,0))</f>
        <v/>
      </c>
      <c r="W614" s="26">
        <f>IF($G614="","",IF(N($K614)=0,0,ROUND($V614/$K614,2)))</f>
        <v/>
      </c>
      <c r="X614" s="17" t="inlineStr">
        <is>
          <t>采购入库</t>
        </is>
      </c>
      <c r="Y614" s="17" t="inlineStr">
        <is>
          <t>待补价</t>
        </is>
      </c>
      <c r="Z614" s="17" t="inlineStr">
        <is>
          <t>正常</t>
        </is>
      </c>
      <c r="AA614" s="17" t="n"/>
      <c r="AB614" s="17" t="inlineStr">
        <is>
          <t>原表第 620 行</t>
        </is>
      </c>
      <c r="AC614" s="24">
        <f>IF($G614="","",IF($H614="※编码不在物料档案里","※物料编码不在档案里",IF(N($K614)&lt;=0,"※入库数量要大于 0",IF(AND($C614&lt;&gt;"",$C614&lt;=结账锁),"※日期早于已结账截止日，不能再录",IF(AND($L614=0,$X614="正常"),"※没填单价，价格状态请选「待补价」",IF(AND($S614&gt;0,$R614&gt;0),"△本批有 "&amp;$S614&amp;" 行没单价，整批运费先挂账没摊",IF(AND($B614&lt;&gt;"",COUNTIF($B$4:$B$2503,$B614)&gt;1),"※入库单号重复","")))))))</f>
        <v/>
      </c>
    </row>
    <row r="615">
      <c r="A615" s="24">
        <f>IF($G615="","",COUNTA($G$4:$G615))</f>
        <v/>
      </c>
      <c r="B615" s="17" t="n"/>
      <c r="C615" s="30" t="n">
        <v>46109</v>
      </c>
      <c r="D615" s="17" t="inlineStr">
        <is>
          <t>A国内</t>
        </is>
      </c>
      <c r="E615" s="17" t="inlineStr">
        <is>
          <t>FCIU8630602-202603</t>
        </is>
      </c>
      <c r="F615" s="17" t="inlineStr">
        <is>
          <t>烟台市金豪矿山机械有限公司</t>
        </is>
      </c>
      <c r="G615" s="17" t="inlineStr">
        <is>
          <t>JH0546</t>
        </is>
      </c>
      <c r="H615" s="24">
        <f>IF($G615="","",IFERROR(VLOOKUP($G615,物料档案!$A$4:$P$1203,3,0),"※编码不在物料档案里"))</f>
        <v/>
      </c>
      <c r="I615" s="24">
        <f>IF($G615="","",IFERROR(VLOOKUP($G615,物料档案!$A$4:$P$1203,4,0),"※编码不在物料档案里"))</f>
        <v/>
      </c>
      <c r="J615" s="24">
        <f>IF($G615="","",IFERROR(VLOOKUP($G615,物料档案!$A$4:$P$1203,5,0),"※编码不在物料档案里"))</f>
        <v/>
      </c>
      <c r="K615" s="23" t="n">
        <v>4</v>
      </c>
      <c r="L615" s="31" t="n"/>
      <c r="M615" s="24">
        <f>IF($G615="","",IF($D615="A国内","CNY","TZS"))</f>
        <v/>
      </c>
      <c r="N615" s="28">
        <f>IF($G615="","",IF($D615="A国内",汇率,1))</f>
        <v/>
      </c>
      <c r="O615" s="25">
        <f>IF($G615="","",ROUND(N($K615)*N($L615),2))</f>
        <v/>
      </c>
      <c r="P615" s="26">
        <f>IF($G615="","",ROUND($O615*$N615,0))</f>
        <v/>
      </c>
      <c r="Q615" s="26">
        <f>IF($G615="","",SUMIFS($P$4:$P$2503,$E$4:$E$2503,$E615,$Z$4:$Z$2503,"正常"))</f>
        <v/>
      </c>
      <c r="R615" s="26">
        <f>IF($G615="","",SUMIFS(费用台账!$I$4:$I$503,费用台账!$C$4:$C$503,$E615,费用台账!$J$4:$J$503,"是",费用台账!$K$4:$K$503,"正常"))</f>
        <v/>
      </c>
      <c r="S615" s="28">
        <f>IF($G615="","",COUNTIFS($E$4:$E$2503,$E615,$Z$4:$Z$2503,"正常",$Y$4:$Y$2503,"待补价"))</f>
        <v/>
      </c>
      <c r="T615" s="26">
        <f>IF($G615="","",SUMIFS($P$4:$P$2503,$E$4:$E$2503,$E615,$Z$4:$Z$2503,"正常",$A$4:$A$2503,"&lt;="&amp;$A615))</f>
        <v/>
      </c>
      <c r="U615" s="26">
        <f>IF($G615="","",IF(OR($S615&gt;0,$Q615=0,$R615=0,$Z615&lt;&gt;"正常"),0,ROUND($T615/$Q615*$R615,0)-ROUND(($T615-$P615)/$Q615*$R615,0)))</f>
        <v/>
      </c>
      <c r="V615" s="26">
        <f>IF($G615="","",ROUND($P615+$U615,0))</f>
        <v/>
      </c>
      <c r="W615" s="26">
        <f>IF($G615="","",IF(N($K615)=0,0,ROUND($V615/$K615,2)))</f>
        <v/>
      </c>
      <c r="X615" s="17" t="inlineStr">
        <is>
          <t>采购入库</t>
        </is>
      </c>
      <c r="Y615" s="17" t="inlineStr">
        <is>
          <t>待补价</t>
        </is>
      </c>
      <c r="Z615" s="17" t="inlineStr">
        <is>
          <t>正常</t>
        </is>
      </c>
      <c r="AA615" s="17" t="n"/>
      <c r="AB615" s="17" t="inlineStr">
        <is>
          <t>原表第 621 行</t>
        </is>
      </c>
      <c r="AC615" s="24">
        <f>IF($G615="","",IF($H615="※编码不在物料档案里","※物料编码不在档案里",IF(N($K615)&lt;=0,"※入库数量要大于 0",IF(AND($C615&lt;&gt;"",$C615&lt;=结账锁),"※日期早于已结账截止日，不能再录",IF(AND($L615=0,$X615="正常"),"※没填单价，价格状态请选「待补价」",IF(AND($S615&gt;0,$R615&gt;0),"△本批有 "&amp;$S615&amp;" 行没单价，整批运费先挂账没摊",IF(AND($B615&lt;&gt;"",COUNTIF($B$4:$B$2503,$B615)&gt;1),"※入库单号重复","")))))))</f>
        <v/>
      </c>
    </row>
    <row r="616">
      <c r="A616" s="24">
        <f>IF($G616="","",COUNTA($G$4:$G616))</f>
        <v/>
      </c>
      <c r="B616" s="17" t="n"/>
      <c r="C616" s="30" t="n">
        <v>46109</v>
      </c>
      <c r="D616" s="17" t="inlineStr">
        <is>
          <t>A国内</t>
        </is>
      </c>
      <c r="E616" s="17" t="inlineStr">
        <is>
          <t>FCIU8630602-202603</t>
        </is>
      </c>
      <c r="F616" s="17" t="inlineStr">
        <is>
          <t>烟台市金豪矿山机械有限公司</t>
        </is>
      </c>
      <c r="G616" s="17" t="inlineStr">
        <is>
          <t>JH0547</t>
        </is>
      </c>
      <c r="H616" s="24">
        <f>IF($G616="","",IFERROR(VLOOKUP($G616,物料档案!$A$4:$P$1203,3,0),"※编码不在物料档案里"))</f>
        <v/>
      </c>
      <c r="I616" s="24">
        <f>IF($G616="","",IFERROR(VLOOKUP($G616,物料档案!$A$4:$P$1203,4,0),"※编码不在物料档案里"))</f>
        <v/>
      </c>
      <c r="J616" s="24">
        <f>IF($G616="","",IFERROR(VLOOKUP($G616,物料档案!$A$4:$P$1203,5,0),"※编码不在物料档案里"))</f>
        <v/>
      </c>
      <c r="K616" s="23" t="n">
        <v>2</v>
      </c>
      <c r="L616" s="31" t="n"/>
      <c r="M616" s="24">
        <f>IF($G616="","",IF($D616="A国内","CNY","TZS"))</f>
        <v/>
      </c>
      <c r="N616" s="28">
        <f>IF($G616="","",IF($D616="A国内",汇率,1))</f>
        <v/>
      </c>
      <c r="O616" s="25">
        <f>IF($G616="","",ROUND(N($K616)*N($L616),2))</f>
        <v/>
      </c>
      <c r="P616" s="26">
        <f>IF($G616="","",ROUND($O616*$N616,0))</f>
        <v/>
      </c>
      <c r="Q616" s="26">
        <f>IF($G616="","",SUMIFS($P$4:$P$2503,$E$4:$E$2503,$E616,$Z$4:$Z$2503,"正常"))</f>
        <v/>
      </c>
      <c r="R616" s="26">
        <f>IF($G616="","",SUMIFS(费用台账!$I$4:$I$503,费用台账!$C$4:$C$503,$E616,费用台账!$J$4:$J$503,"是",费用台账!$K$4:$K$503,"正常"))</f>
        <v/>
      </c>
      <c r="S616" s="28">
        <f>IF($G616="","",COUNTIFS($E$4:$E$2503,$E616,$Z$4:$Z$2503,"正常",$Y$4:$Y$2503,"待补价"))</f>
        <v/>
      </c>
      <c r="T616" s="26">
        <f>IF($G616="","",SUMIFS($P$4:$P$2503,$E$4:$E$2503,$E616,$Z$4:$Z$2503,"正常",$A$4:$A$2503,"&lt;="&amp;$A616))</f>
        <v/>
      </c>
      <c r="U616" s="26">
        <f>IF($G616="","",IF(OR($S616&gt;0,$Q616=0,$R616=0,$Z616&lt;&gt;"正常"),0,ROUND($T616/$Q616*$R616,0)-ROUND(($T616-$P616)/$Q616*$R616,0)))</f>
        <v/>
      </c>
      <c r="V616" s="26">
        <f>IF($G616="","",ROUND($P616+$U616,0))</f>
        <v/>
      </c>
      <c r="W616" s="26">
        <f>IF($G616="","",IF(N($K616)=0,0,ROUND($V616/$K616,2)))</f>
        <v/>
      </c>
      <c r="X616" s="17" t="inlineStr">
        <is>
          <t>采购入库</t>
        </is>
      </c>
      <c r="Y616" s="17" t="inlineStr">
        <is>
          <t>待补价</t>
        </is>
      </c>
      <c r="Z616" s="17" t="inlineStr">
        <is>
          <t>正常</t>
        </is>
      </c>
      <c r="AA616" s="17" t="n"/>
      <c r="AB616" s="17" t="inlineStr">
        <is>
          <t>原表第 622 行</t>
        </is>
      </c>
      <c r="AC616" s="24">
        <f>IF($G616="","",IF($H616="※编码不在物料档案里","※物料编码不在档案里",IF(N($K616)&lt;=0,"※入库数量要大于 0",IF(AND($C616&lt;&gt;"",$C616&lt;=结账锁),"※日期早于已结账截止日，不能再录",IF(AND($L616=0,$X616="正常"),"※没填单价，价格状态请选「待补价」",IF(AND($S616&gt;0,$R616&gt;0),"△本批有 "&amp;$S616&amp;" 行没单价，整批运费先挂账没摊",IF(AND($B616&lt;&gt;"",COUNTIF($B$4:$B$2503,$B616)&gt;1),"※入库单号重复","")))))))</f>
        <v/>
      </c>
    </row>
    <row r="617">
      <c r="A617" s="24">
        <f>IF($G617="","",COUNTA($G$4:$G617))</f>
        <v/>
      </c>
      <c r="B617" s="17" t="n"/>
      <c r="C617" s="30" t="n">
        <v>46109</v>
      </c>
      <c r="D617" s="17" t="inlineStr">
        <is>
          <t>A国内</t>
        </is>
      </c>
      <c r="E617" s="17" t="inlineStr">
        <is>
          <t>FCIU8630602-202603</t>
        </is>
      </c>
      <c r="F617" s="17" t="inlineStr">
        <is>
          <t>烟台市金豪矿山机械有限公司</t>
        </is>
      </c>
      <c r="G617" s="17" t="inlineStr">
        <is>
          <t>JH0548</t>
        </is>
      </c>
      <c r="H617" s="24">
        <f>IF($G617="","",IFERROR(VLOOKUP($G617,物料档案!$A$4:$P$1203,3,0),"※编码不在物料档案里"))</f>
        <v/>
      </c>
      <c r="I617" s="24">
        <f>IF($G617="","",IFERROR(VLOOKUP($G617,物料档案!$A$4:$P$1203,4,0),"※编码不在物料档案里"))</f>
        <v/>
      </c>
      <c r="J617" s="24">
        <f>IF($G617="","",IFERROR(VLOOKUP($G617,物料档案!$A$4:$P$1203,5,0),"※编码不在物料档案里"))</f>
        <v/>
      </c>
      <c r="K617" s="23" t="n">
        <v>4</v>
      </c>
      <c r="L617" s="31" t="n"/>
      <c r="M617" s="24">
        <f>IF($G617="","",IF($D617="A国内","CNY","TZS"))</f>
        <v/>
      </c>
      <c r="N617" s="28">
        <f>IF($G617="","",IF($D617="A国内",汇率,1))</f>
        <v/>
      </c>
      <c r="O617" s="25">
        <f>IF($G617="","",ROUND(N($K617)*N($L617),2))</f>
        <v/>
      </c>
      <c r="P617" s="26">
        <f>IF($G617="","",ROUND($O617*$N617,0))</f>
        <v/>
      </c>
      <c r="Q617" s="26">
        <f>IF($G617="","",SUMIFS($P$4:$P$2503,$E$4:$E$2503,$E617,$Z$4:$Z$2503,"正常"))</f>
        <v/>
      </c>
      <c r="R617" s="26">
        <f>IF($G617="","",SUMIFS(费用台账!$I$4:$I$503,费用台账!$C$4:$C$503,$E617,费用台账!$J$4:$J$503,"是",费用台账!$K$4:$K$503,"正常"))</f>
        <v/>
      </c>
      <c r="S617" s="28">
        <f>IF($G617="","",COUNTIFS($E$4:$E$2503,$E617,$Z$4:$Z$2503,"正常",$Y$4:$Y$2503,"待补价"))</f>
        <v/>
      </c>
      <c r="T617" s="26">
        <f>IF($G617="","",SUMIFS($P$4:$P$2503,$E$4:$E$2503,$E617,$Z$4:$Z$2503,"正常",$A$4:$A$2503,"&lt;="&amp;$A617))</f>
        <v/>
      </c>
      <c r="U617" s="26">
        <f>IF($G617="","",IF(OR($S617&gt;0,$Q617=0,$R617=0,$Z617&lt;&gt;"正常"),0,ROUND($T617/$Q617*$R617,0)-ROUND(($T617-$P617)/$Q617*$R617,0)))</f>
        <v/>
      </c>
      <c r="V617" s="26">
        <f>IF($G617="","",ROUND($P617+$U617,0))</f>
        <v/>
      </c>
      <c r="W617" s="26">
        <f>IF($G617="","",IF(N($K617)=0,0,ROUND($V617/$K617,2)))</f>
        <v/>
      </c>
      <c r="X617" s="17" t="inlineStr">
        <is>
          <t>采购入库</t>
        </is>
      </c>
      <c r="Y617" s="17" t="inlineStr">
        <is>
          <t>待补价</t>
        </is>
      </c>
      <c r="Z617" s="17" t="inlineStr">
        <is>
          <t>正常</t>
        </is>
      </c>
      <c r="AA617" s="17" t="n"/>
      <c r="AB617" s="17" t="inlineStr">
        <is>
          <t>原表第 623 行</t>
        </is>
      </c>
      <c r="AC617" s="24">
        <f>IF($G617="","",IF($H617="※编码不在物料档案里","※物料编码不在档案里",IF(N($K617)&lt;=0,"※入库数量要大于 0",IF(AND($C617&lt;&gt;"",$C617&lt;=结账锁),"※日期早于已结账截止日，不能再录",IF(AND($L617=0,$X617="正常"),"※没填单价，价格状态请选「待补价」",IF(AND($S617&gt;0,$R617&gt;0),"△本批有 "&amp;$S617&amp;" 行没单价，整批运费先挂账没摊",IF(AND($B617&lt;&gt;"",COUNTIF($B$4:$B$2503,$B617)&gt;1),"※入库单号重复","")))))))</f>
        <v/>
      </c>
    </row>
    <row r="618">
      <c r="A618" s="24">
        <f>IF($G618="","",COUNTA($G$4:$G618))</f>
        <v/>
      </c>
      <c r="B618" s="17" t="n"/>
      <c r="C618" s="30" t="n">
        <v>46109</v>
      </c>
      <c r="D618" s="17" t="inlineStr">
        <is>
          <t>A国内</t>
        </is>
      </c>
      <c r="E618" s="17" t="inlineStr">
        <is>
          <t>FCIU8630602-202603</t>
        </is>
      </c>
      <c r="F618" s="17" t="inlineStr">
        <is>
          <t>烟台市金豪矿山机械有限公司</t>
        </is>
      </c>
      <c r="G618" s="17" t="inlineStr">
        <is>
          <t>JH0549</t>
        </is>
      </c>
      <c r="H618" s="24">
        <f>IF($G618="","",IFERROR(VLOOKUP($G618,物料档案!$A$4:$P$1203,3,0),"※编码不在物料档案里"))</f>
        <v/>
      </c>
      <c r="I618" s="24">
        <f>IF($G618="","",IFERROR(VLOOKUP($G618,物料档案!$A$4:$P$1203,4,0),"※编码不在物料档案里"))</f>
        <v/>
      </c>
      <c r="J618" s="24">
        <f>IF($G618="","",IFERROR(VLOOKUP($G618,物料档案!$A$4:$P$1203,5,0),"※编码不在物料档案里"))</f>
        <v/>
      </c>
      <c r="K618" s="23" t="n">
        <v>2</v>
      </c>
      <c r="L618" s="31" t="n"/>
      <c r="M618" s="24">
        <f>IF($G618="","",IF($D618="A国内","CNY","TZS"))</f>
        <v/>
      </c>
      <c r="N618" s="28">
        <f>IF($G618="","",IF($D618="A国内",汇率,1))</f>
        <v/>
      </c>
      <c r="O618" s="25">
        <f>IF($G618="","",ROUND(N($K618)*N($L618),2))</f>
        <v/>
      </c>
      <c r="P618" s="26">
        <f>IF($G618="","",ROUND($O618*$N618,0))</f>
        <v/>
      </c>
      <c r="Q618" s="26">
        <f>IF($G618="","",SUMIFS($P$4:$P$2503,$E$4:$E$2503,$E618,$Z$4:$Z$2503,"正常"))</f>
        <v/>
      </c>
      <c r="R618" s="26">
        <f>IF($G618="","",SUMIFS(费用台账!$I$4:$I$503,费用台账!$C$4:$C$503,$E618,费用台账!$J$4:$J$503,"是",费用台账!$K$4:$K$503,"正常"))</f>
        <v/>
      </c>
      <c r="S618" s="28">
        <f>IF($G618="","",COUNTIFS($E$4:$E$2503,$E618,$Z$4:$Z$2503,"正常",$Y$4:$Y$2503,"待补价"))</f>
        <v/>
      </c>
      <c r="T618" s="26">
        <f>IF($G618="","",SUMIFS($P$4:$P$2503,$E$4:$E$2503,$E618,$Z$4:$Z$2503,"正常",$A$4:$A$2503,"&lt;="&amp;$A618))</f>
        <v/>
      </c>
      <c r="U618" s="26">
        <f>IF($G618="","",IF(OR($S618&gt;0,$Q618=0,$R618=0,$Z618&lt;&gt;"正常"),0,ROUND($T618/$Q618*$R618,0)-ROUND(($T618-$P618)/$Q618*$R618,0)))</f>
        <v/>
      </c>
      <c r="V618" s="26">
        <f>IF($G618="","",ROUND($P618+$U618,0))</f>
        <v/>
      </c>
      <c r="W618" s="26">
        <f>IF($G618="","",IF(N($K618)=0,0,ROUND($V618/$K618,2)))</f>
        <v/>
      </c>
      <c r="X618" s="17" t="inlineStr">
        <is>
          <t>采购入库</t>
        </is>
      </c>
      <c r="Y618" s="17" t="inlineStr">
        <is>
          <t>待补价</t>
        </is>
      </c>
      <c r="Z618" s="17" t="inlineStr">
        <is>
          <t>正常</t>
        </is>
      </c>
      <c r="AA618" s="17" t="n"/>
      <c r="AB618" s="17" t="inlineStr">
        <is>
          <t>原表第 624 行</t>
        </is>
      </c>
      <c r="AC618" s="24">
        <f>IF($G618="","",IF($H618="※编码不在物料档案里","※物料编码不在档案里",IF(N($K618)&lt;=0,"※入库数量要大于 0",IF(AND($C618&lt;&gt;"",$C618&lt;=结账锁),"※日期早于已结账截止日，不能再录",IF(AND($L618=0,$X618="正常"),"※没填单价，价格状态请选「待补价」",IF(AND($S618&gt;0,$R618&gt;0),"△本批有 "&amp;$S618&amp;" 行没单价，整批运费先挂账没摊",IF(AND($B618&lt;&gt;"",COUNTIF($B$4:$B$2503,$B618)&gt;1),"※入库单号重复","")))))))</f>
        <v/>
      </c>
    </row>
    <row r="619">
      <c r="A619" s="24">
        <f>IF($G619="","",COUNTA($G$4:$G619))</f>
        <v/>
      </c>
      <c r="B619" s="17" t="n"/>
      <c r="C619" s="30" t="n">
        <v>46109</v>
      </c>
      <c r="D619" s="17" t="inlineStr">
        <is>
          <t>A国内</t>
        </is>
      </c>
      <c r="E619" s="17" t="inlineStr">
        <is>
          <t>FCIU8630602-202603</t>
        </is>
      </c>
      <c r="F619" s="17" t="inlineStr">
        <is>
          <t>烟台市金豪矿山机械有限公司</t>
        </is>
      </c>
      <c r="G619" s="17" t="inlineStr">
        <is>
          <t>JH0550</t>
        </is>
      </c>
      <c r="H619" s="24">
        <f>IF($G619="","",IFERROR(VLOOKUP($G619,物料档案!$A$4:$P$1203,3,0),"※编码不在物料档案里"))</f>
        <v/>
      </c>
      <c r="I619" s="24">
        <f>IF($G619="","",IFERROR(VLOOKUP($G619,物料档案!$A$4:$P$1203,4,0),"※编码不在物料档案里"))</f>
        <v/>
      </c>
      <c r="J619" s="24">
        <f>IF($G619="","",IFERROR(VLOOKUP($G619,物料档案!$A$4:$P$1203,5,0),"※编码不在物料档案里"))</f>
        <v/>
      </c>
      <c r="K619" s="23" t="n">
        <v>2</v>
      </c>
      <c r="L619" s="31" t="n"/>
      <c r="M619" s="24">
        <f>IF($G619="","",IF($D619="A国内","CNY","TZS"))</f>
        <v/>
      </c>
      <c r="N619" s="28">
        <f>IF($G619="","",IF($D619="A国内",汇率,1))</f>
        <v/>
      </c>
      <c r="O619" s="25">
        <f>IF($G619="","",ROUND(N($K619)*N($L619),2))</f>
        <v/>
      </c>
      <c r="P619" s="26">
        <f>IF($G619="","",ROUND($O619*$N619,0))</f>
        <v/>
      </c>
      <c r="Q619" s="26">
        <f>IF($G619="","",SUMIFS($P$4:$P$2503,$E$4:$E$2503,$E619,$Z$4:$Z$2503,"正常"))</f>
        <v/>
      </c>
      <c r="R619" s="26">
        <f>IF($G619="","",SUMIFS(费用台账!$I$4:$I$503,费用台账!$C$4:$C$503,$E619,费用台账!$J$4:$J$503,"是",费用台账!$K$4:$K$503,"正常"))</f>
        <v/>
      </c>
      <c r="S619" s="28">
        <f>IF($G619="","",COUNTIFS($E$4:$E$2503,$E619,$Z$4:$Z$2503,"正常",$Y$4:$Y$2503,"待补价"))</f>
        <v/>
      </c>
      <c r="T619" s="26">
        <f>IF($G619="","",SUMIFS($P$4:$P$2503,$E$4:$E$2503,$E619,$Z$4:$Z$2503,"正常",$A$4:$A$2503,"&lt;="&amp;$A619))</f>
        <v/>
      </c>
      <c r="U619" s="26">
        <f>IF($G619="","",IF(OR($S619&gt;0,$Q619=0,$R619=0,$Z619&lt;&gt;"正常"),0,ROUND($T619/$Q619*$R619,0)-ROUND(($T619-$P619)/$Q619*$R619,0)))</f>
        <v/>
      </c>
      <c r="V619" s="26">
        <f>IF($G619="","",ROUND($P619+$U619,0))</f>
        <v/>
      </c>
      <c r="W619" s="26">
        <f>IF($G619="","",IF(N($K619)=0,0,ROUND($V619/$K619,2)))</f>
        <v/>
      </c>
      <c r="X619" s="17" t="inlineStr">
        <is>
          <t>采购入库</t>
        </is>
      </c>
      <c r="Y619" s="17" t="inlineStr">
        <is>
          <t>待补价</t>
        </is>
      </c>
      <c r="Z619" s="17" t="inlineStr">
        <is>
          <t>正常</t>
        </is>
      </c>
      <c r="AA619" s="17" t="n"/>
      <c r="AB619" s="17" t="inlineStr">
        <is>
          <t>原表第 625 行</t>
        </is>
      </c>
      <c r="AC619" s="24">
        <f>IF($G619="","",IF($H619="※编码不在物料档案里","※物料编码不在档案里",IF(N($K619)&lt;=0,"※入库数量要大于 0",IF(AND($C619&lt;&gt;"",$C619&lt;=结账锁),"※日期早于已结账截止日，不能再录",IF(AND($L619=0,$X619="正常"),"※没填单价，价格状态请选「待补价」",IF(AND($S619&gt;0,$R619&gt;0),"△本批有 "&amp;$S619&amp;" 行没单价，整批运费先挂账没摊",IF(AND($B619&lt;&gt;"",COUNTIF($B$4:$B$2503,$B619)&gt;1),"※入库单号重复","")))))))</f>
        <v/>
      </c>
    </row>
    <row r="620">
      <c r="A620" s="24">
        <f>IF($G620="","",COUNTA($G$4:$G620))</f>
        <v/>
      </c>
      <c r="B620" s="17" t="n"/>
      <c r="C620" s="30" t="n">
        <v>46109</v>
      </c>
      <c r="D620" s="17" t="inlineStr">
        <is>
          <t>A国内</t>
        </is>
      </c>
      <c r="E620" s="17" t="inlineStr">
        <is>
          <t>FCIU8630602-202603</t>
        </is>
      </c>
      <c r="F620" s="17" t="inlineStr">
        <is>
          <t>烟台市金豪矿山机械有限公司</t>
        </is>
      </c>
      <c r="G620" s="17" t="inlineStr">
        <is>
          <t>JH0551</t>
        </is>
      </c>
      <c r="H620" s="24">
        <f>IF($G620="","",IFERROR(VLOOKUP($G620,物料档案!$A$4:$P$1203,3,0),"※编码不在物料档案里"))</f>
        <v/>
      </c>
      <c r="I620" s="24">
        <f>IF($G620="","",IFERROR(VLOOKUP($G620,物料档案!$A$4:$P$1203,4,0),"※编码不在物料档案里"))</f>
        <v/>
      </c>
      <c r="J620" s="24">
        <f>IF($G620="","",IFERROR(VLOOKUP($G620,物料档案!$A$4:$P$1203,5,0),"※编码不在物料档案里"))</f>
        <v/>
      </c>
      <c r="K620" s="23" t="n">
        <v>1</v>
      </c>
      <c r="L620" s="31" t="n"/>
      <c r="M620" s="24">
        <f>IF($G620="","",IF($D620="A国内","CNY","TZS"))</f>
        <v/>
      </c>
      <c r="N620" s="28">
        <f>IF($G620="","",IF($D620="A国内",汇率,1))</f>
        <v/>
      </c>
      <c r="O620" s="25">
        <f>IF($G620="","",ROUND(N($K620)*N($L620),2))</f>
        <v/>
      </c>
      <c r="P620" s="26">
        <f>IF($G620="","",ROUND($O620*$N620,0))</f>
        <v/>
      </c>
      <c r="Q620" s="26">
        <f>IF($G620="","",SUMIFS($P$4:$P$2503,$E$4:$E$2503,$E620,$Z$4:$Z$2503,"正常"))</f>
        <v/>
      </c>
      <c r="R620" s="26">
        <f>IF($G620="","",SUMIFS(费用台账!$I$4:$I$503,费用台账!$C$4:$C$503,$E620,费用台账!$J$4:$J$503,"是",费用台账!$K$4:$K$503,"正常"))</f>
        <v/>
      </c>
      <c r="S620" s="28">
        <f>IF($G620="","",COUNTIFS($E$4:$E$2503,$E620,$Z$4:$Z$2503,"正常",$Y$4:$Y$2503,"待补价"))</f>
        <v/>
      </c>
      <c r="T620" s="26">
        <f>IF($G620="","",SUMIFS($P$4:$P$2503,$E$4:$E$2503,$E620,$Z$4:$Z$2503,"正常",$A$4:$A$2503,"&lt;="&amp;$A620))</f>
        <v/>
      </c>
      <c r="U620" s="26">
        <f>IF($G620="","",IF(OR($S620&gt;0,$Q620=0,$R620=0,$Z620&lt;&gt;"正常"),0,ROUND($T620/$Q620*$R620,0)-ROUND(($T620-$P620)/$Q620*$R620,0)))</f>
        <v/>
      </c>
      <c r="V620" s="26">
        <f>IF($G620="","",ROUND($P620+$U620,0))</f>
        <v/>
      </c>
      <c r="W620" s="26">
        <f>IF($G620="","",IF(N($K620)=0,0,ROUND($V620/$K620,2)))</f>
        <v/>
      </c>
      <c r="X620" s="17" t="inlineStr">
        <is>
          <t>采购入库</t>
        </is>
      </c>
      <c r="Y620" s="17" t="inlineStr">
        <is>
          <t>待补价</t>
        </is>
      </c>
      <c r="Z620" s="17" t="inlineStr">
        <is>
          <t>正常</t>
        </is>
      </c>
      <c r="AA620" s="17" t="n"/>
      <c r="AB620" s="17" t="inlineStr">
        <is>
          <t>原表第 626 行</t>
        </is>
      </c>
      <c r="AC620" s="24">
        <f>IF($G620="","",IF($H620="※编码不在物料档案里","※物料编码不在档案里",IF(N($K620)&lt;=0,"※入库数量要大于 0",IF(AND($C620&lt;&gt;"",$C620&lt;=结账锁),"※日期早于已结账截止日，不能再录",IF(AND($L620=0,$X620="正常"),"※没填单价，价格状态请选「待补价」",IF(AND($S620&gt;0,$R620&gt;0),"△本批有 "&amp;$S620&amp;" 行没单价，整批运费先挂账没摊",IF(AND($B620&lt;&gt;"",COUNTIF($B$4:$B$2503,$B620)&gt;1),"※入库单号重复","")))))))</f>
        <v/>
      </c>
    </row>
    <row r="621">
      <c r="A621" s="24">
        <f>IF($G621="","",COUNTA($G$4:$G621))</f>
        <v/>
      </c>
      <c r="B621" s="17" t="n"/>
      <c r="C621" s="30" t="n">
        <v>46109</v>
      </c>
      <c r="D621" s="17" t="inlineStr">
        <is>
          <t>A国内</t>
        </is>
      </c>
      <c r="E621" s="17" t="inlineStr">
        <is>
          <t>FCIU8630602-202603</t>
        </is>
      </c>
      <c r="F621" s="17" t="inlineStr">
        <is>
          <t>烟台市金豪矿山机械有限公司</t>
        </is>
      </c>
      <c r="G621" s="17" t="inlineStr">
        <is>
          <t>JH0552</t>
        </is>
      </c>
      <c r="H621" s="24">
        <f>IF($G621="","",IFERROR(VLOOKUP($G621,物料档案!$A$4:$P$1203,3,0),"※编码不在物料档案里"))</f>
        <v/>
      </c>
      <c r="I621" s="24">
        <f>IF($G621="","",IFERROR(VLOOKUP($G621,物料档案!$A$4:$P$1203,4,0),"※编码不在物料档案里"))</f>
        <v/>
      </c>
      <c r="J621" s="24">
        <f>IF($G621="","",IFERROR(VLOOKUP($G621,物料档案!$A$4:$P$1203,5,0),"※编码不在物料档案里"))</f>
        <v/>
      </c>
      <c r="K621" s="23" t="n">
        <v>25</v>
      </c>
      <c r="L621" s="31" t="n"/>
      <c r="M621" s="24">
        <f>IF($G621="","",IF($D621="A国内","CNY","TZS"))</f>
        <v/>
      </c>
      <c r="N621" s="28">
        <f>IF($G621="","",IF($D621="A国内",汇率,1))</f>
        <v/>
      </c>
      <c r="O621" s="25">
        <f>IF($G621="","",ROUND(N($K621)*N($L621),2))</f>
        <v/>
      </c>
      <c r="P621" s="26">
        <f>IF($G621="","",ROUND($O621*$N621,0))</f>
        <v/>
      </c>
      <c r="Q621" s="26">
        <f>IF($G621="","",SUMIFS($P$4:$P$2503,$E$4:$E$2503,$E621,$Z$4:$Z$2503,"正常"))</f>
        <v/>
      </c>
      <c r="R621" s="26">
        <f>IF($G621="","",SUMIFS(费用台账!$I$4:$I$503,费用台账!$C$4:$C$503,$E621,费用台账!$J$4:$J$503,"是",费用台账!$K$4:$K$503,"正常"))</f>
        <v/>
      </c>
      <c r="S621" s="28">
        <f>IF($G621="","",COUNTIFS($E$4:$E$2503,$E621,$Z$4:$Z$2503,"正常",$Y$4:$Y$2503,"待补价"))</f>
        <v/>
      </c>
      <c r="T621" s="26">
        <f>IF($G621="","",SUMIFS($P$4:$P$2503,$E$4:$E$2503,$E621,$Z$4:$Z$2503,"正常",$A$4:$A$2503,"&lt;="&amp;$A621))</f>
        <v/>
      </c>
      <c r="U621" s="26">
        <f>IF($G621="","",IF(OR($S621&gt;0,$Q621=0,$R621=0,$Z621&lt;&gt;"正常"),0,ROUND($T621/$Q621*$R621,0)-ROUND(($T621-$P621)/$Q621*$R621,0)))</f>
        <v/>
      </c>
      <c r="V621" s="26">
        <f>IF($G621="","",ROUND($P621+$U621,0))</f>
        <v/>
      </c>
      <c r="W621" s="26">
        <f>IF($G621="","",IF(N($K621)=0,0,ROUND($V621/$K621,2)))</f>
        <v/>
      </c>
      <c r="X621" s="17" t="inlineStr">
        <is>
          <t>采购入库</t>
        </is>
      </c>
      <c r="Y621" s="17" t="inlineStr">
        <is>
          <t>待补价</t>
        </is>
      </c>
      <c r="Z621" s="17" t="inlineStr">
        <is>
          <t>正常</t>
        </is>
      </c>
      <c r="AA621" s="17" t="n"/>
      <c r="AB621" s="17" t="inlineStr">
        <is>
          <t>原表第 627 行</t>
        </is>
      </c>
      <c r="AC621" s="24">
        <f>IF($G621="","",IF($H621="※编码不在物料档案里","※物料编码不在档案里",IF(N($K621)&lt;=0,"※入库数量要大于 0",IF(AND($C621&lt;&gt;"",$C621&lt;=结账锁),"※日期早于已结账截止日，不能再录",IF(AND($L621=0,$X621="正常"),"※没填单价，价格状态请选「待补价」",IF(AND($S621&gt;0,$R621&gt;0),"△本批有 "&amp;$S621&amp;" 行没单价，整批运费先挂账没摊",IF(AND($B621&lt;&gt;"",COUNTIF($B$4:$B$2503,$B621)&gt;1),"※入库单号重复","")))))))</f>
        <v/>
      </c>
    </row>
    <row r="622">
      <c r="A622" s="24">
        <f>IF($G622="","",COUNTA($G$4:$G622))</f>
        <v/>
      </c>
      <c r="B622" s="17" t="n"/>
      <c r="C622" s="30" t="n">
        <v>46109</v>
      </c>
      <c r="D622" s="17" t="inlineStr">
        <is>
          <t>A国内</t>
        </is>
      </c>
      <c r="E622" s="17" t="inlineStr">
        <is>
          <t>FCIU8630602-202603</t>
        </is>
      </c>
      <c r="F622" s="17" t="inlineStr">
        <is>
          <t>烟台市金豪矿山机械有限公司</t>
        </is>
      </c>
      <c r="G622" s="17" t="inlineStr">
        <is>
          <t>JH0553</t>
        </is>
      </c>
      <c r="H622" s="24">
        <f>IF($G622="","",IFERROR(VLOOKUP($G622,物料档案!$A$4:$P$1203,3,0),"※编码不在物料档案里"))</f>
        <v/>
      </c>
      <c r="I622" s="24">
        <f>IF($G622="","",IFERROR(VLOOKUP($G622,物料档案!$A$4:$P$1203,4,0),"※编码不在物料档案里"))</f>
        <v/>
      </c>
      <c r="J622" s="24">
        <f>IF($G622="","",IFERROR(VLOOKUP($G622,物料档案!$A$4:$P$1203,5,0),"※编码不在物料档案里"))</f>
        <v/>
      </c>
      <c r="K622" s="23" t="n">
        <v>16</v>
      </c>
      <c r="L622" s="31" t="n"/>
      <c r="M622" s="24">
        <f>IF($G622="","",IF($D622="A国内","CNY","TZS"))</f>
        <v/>
      </c>
      <c r="N622" s="28">
        <f>IF($G622="","",IF($D622="A国内",汇率,1))</f>
        <v/>
      </c>
      <c r="O622" s="25">
        <f>IF($G622="","",ROUND(N($K622)*N($L622),2))</f>
        <v/>
      </c>
      <c r="P622" s="26">
        <f>IF($G622="","",ROUND($O622*$N622,0))</f>
        <v/>
      </c>
      <c r="Q622" s="26">
        <f>IF($G622="","",SUMIFS($P$4:$P$2503,$E$4:$E$2503,$E622,$Z$4:$Z$2503,"正常"))</f>
        <v/>
      </c>
      <c r="R622" s="26">
        <f>IF($G622="","",SUMIFS(费用台账!$I$4:$I$503,费用台账!$C$4:$C$503,$E622,费用台账!$J$4:$J$503,"是",费用台账!$K$4:$K$503,"正常"))</f>
        <v/>
      </c>
      <c r="S622" s="28">
        <f>IF($G622="","",COUNTIFS($E$4:$E$2503,$E622,$Z$4:$Z$2503,"正常",$Y$4:$Y$2503,"待补价"))</f>
        <v/>
      </c>
      <c r="T622" s="26">
        <f>IF($G622="","",SUMIFS($P$4:$P$2503,$E$4:$E$2503,$E622,$Z$4:$Z$2503,"正常",$A$4:$A$2503,"&lt;="&amp;$A622))</f>
        <v/>
      </c>
      <c r="U622" s="26">
        <f>IF($G622="","",IF(OR($S622&gt;0,$Q622=0,$R622=0,$Z622&lt;&gt;"正常"),0,ROUND($T622/$Q622*$R622,0)-ROUND(($T622-$P622)/$Q622*$R622,0)))</f>
        <v/>
      </c>
      <c r="V622" s="26">
        <f>IF($G622="","",ROUND($P622+$U622,0))</f>
        <v/>
      </c>
      <c r="W622" s="26">
        <f>IF($G622="","",IF(N($K622)=0,0,ROUND($V622/$K622,2)))</f>
        <v/>
      </c>
      <c r="X622" s="17" t="inlineStr">
        <is>
          <t>采购入库</t>
        </is>
      </c>
      <c r="Y622" s="17" t="inlineStr">
        <is>
          <t>待补价</t>
        </is>
      </c>
      <c r="Z622" s="17" t="inlineStr">
        <is>
          <t>正常</t>
        </is>
      </c>
      <c r="AA622" s="17" t="n"/>
      <c r="AB622" s="17" t="inlineStr">
        <is>
          <t>原表第 628 行</t>
        </is>
      </c>
      <c r="AC622" s="24">
        <f>IF($G622="","",IF($H622="※编码不在物料档案里","※物料编码不在档案里",IF(N($K622)&lt;=0,"※入库数量要大于 0",IF(AND($C622&lt;&gt;"",$C622&lt;=结账锁),"※日期早于已结账截止日，不能再录",IF(AND($L622=0,$X622="正常"),"※没填单价，价格状态请选「待补价」",IF(AND($S622&gt;0,$R622&gt;0),"△本批有 "&amp;$S622&amp;" 行没单价，整批运费先挂账没摊",IF(AND($B622&lt;&gt;"",COUNTIF($B$4:$B$2503,$B622)&gt;1),"※入库单号重复","")))))))</f>
        <v/>
      </c>
    </row>
    <row r="623">
      <c r="A623" s="24">
        <f>IF($G623="","",COUNTA($G$4:$G623))</f>
        <v/>
      </c>
      <c r="B623" s="17" t="n"/>
      <c r="C623" s="30" t="n">
        <v>46109</v>
      </c>
      <c r="D623" s="17" t="inlineStr">
        <is>
          <t>A国内</t>
        </is>
      </c>
      <c r="E623" s="17" t="inlineStr">
        <is>
          <t>FCIU8630602-202603</t>
        </is>
      </c>
      <c r="F623" s="17" t="inlineStr">
        <is>
          <t>烟台市金豪矿山机械有限公司</t>
        </is>
      </c>
      <c r="G623" s="17" t="inlineStr">
        <is>
          <t>JH0554</t>
        </is>
      </c>
      <c r="H623" s="24">
        <f>IF($G623="","",IFERROR(VLOOKUP($G623,物料档案!$A$4:$P$1203,3,0),"※编码不在物料档案里"))</f>
        <v/>
      </c>
      <c r="I623" s="24">
        <f>IF($G623="","",IFERROR(VLOOKUP($G623,物料档案!$A$4:$P$1203,4,0),"※编码不在物料档案里"))</f>
        <v/>
      </c>
      <c r="J623" s="24">
        <f>IF($G623="","",IFERROR(VLOOKUP($G623,物料档案!$A$4:$P$1203,5,0),"※编码不在物料档案里"))</f>
        <v/>
      </c>
      <c r="K623" s="23" t="n">
        <v>16</v>
      </c>
      <c r="L623" s="31" t="n"/>
      <c r="M623" s="24">
        <f>IF($G623="","",IF($D623="A国内","CNY","TZS"))</f>
        <v/>
      </c>
      <c r="N623" s="28">
        <f>IF($G623="","",IF($D623="A国内",汇率,1))</f>
        <v/>
      </c>
      <c r="O623" s="25">
        <f>IF($G623="","",ROUND(N($K623)*N($L623),2))</f>
        <v/>
      </c>
      <c r="P623" s="26">
        <f>IF($G623="","",ROUND($O623*$N623,0))</f>
        <v/>
      </c>
      <c r="Q623" s="26">
        <f>IF($G623="","",SUMIFS($P$4:$P$2503,$E$4:$E$2503,$E623,$Z$4:$Z$2503,"正常"))</f>
        <v/>
      </c>
      <c r="R623" s="26">
        <f>IF($G623="","",SUMIFS(费用台账!$I$4:$I$503,费用台账!$C$4:$C$503,$E623,费用台账!$J$4:$J$503,"是",费用台账!$K$4:$K$503,"正常"))</f>
        <v/>
      </c>
      <c r="S623" s="28">
        <f>IF($G623="","",COUNTIFS($E$4:$E$2503,$E623,$Z$4:$Z$2503,"正常",$Y$4:$Y$2503,"待补价"))</f>
        <v/>
      </c>
      <c r="T623" s="26">
        <f>IF($G623="","",SUMIFS($P$4:$P$2503,$E$4:$E$2503,$E623,$Z$4:$Z$2503,"正常",$A$4:$A$2503,"&lt;="&amp;$A623))</f>
        <v/>
      </c>
      <c r="U623" s="26">
        <f>IF($G623="","",IF(OR($S623&gt;0,$Q623=0,$R623=0,$Z623&lt;&gt;"正常"),0,ROUND($T623/$Q623*$R623,0)-ROUND(($T623-$P623)/$Q623*$R623,0)))</f>
        <v/>
      </c>
      <c r="V623" s="26">
        <f>IF($G623="","",ROUND($P623+$U623,0))</f>
        <v/>
      </c>
      <c r="W623" s="26">
        <f>IF($G623="","",IF(N($K623)=0,0,ROUND($V623/$K623,2)))</f>
        <v/>
      </c>
      <c r="X623" s="17" t="inlineStr">
        <is>
          <t>采购入库</t>
        </is>
      </c>
      <c r="Y623" s="17" t="inlineStr">
        <is>
          <t>待补价</t>
        </is>
      </c>
      <c r="Z623" s="17" t="inlineStr">
        <is>
          <t>正常</t>
        </is>
      </c>
      <c r="AA623" s="17" t="n"/>
      <c r="AB623" s="17" t="inlineStr">
        <is>
          <t>原表第 629 行</t>
        </is>
      </c>
      <c r="AC623" s="24">
        <f>IF($G623="","",IF($H623="※编码不在物料档案里","※物料编码不在档案里",IF(N($K623)&lt;=0,"※入库数量要大于 0",IF(AND($C623&lt;&gt;"",$C623&lt;=结账锁),"※日期早于已结账截止日，不能再录",IF(AND($L623=0,$X623="正常"),"※没填单价，价格状态请选「待补价」",IF(AND($S623&gt;0,$R623&gt;0),"△本批有 "&amp;$S623&amp;" 行没单价，整批运费先挂账没摊",IF(AND($B623&lt;&gt;"",COUNTIF($B$4:$B$2503,$B623)&gt;1),"※入库单号重复","")))))))</f>
        <v/>
      </c>
    </row>
    <row r="624">
      <c r="A624" s="24">
        <f>IF($G624="","",COUNTA($G$4:$G624))</f>
        <v/>
      </c>
      <c r="B624" s="17" t="n"/>
      <c r="C624" s="30" t="n">
        <v>46109</v>
      </c>
      <c r="D624" s="17" t="inlineStr">
        <is>
          <t>A国内</t>
        </is>
      </c>
      <c r="E624" s="17" t="inlineStr">
        <is>
          <t>FCIU8630602-202603</t>
        </is>
      </c>
      <c r="F624" s="17" t="inlineStr">
        <is>
          <t>烟台市金豪矿山机械有限公司</t>
        </is>
      </c>
      <c r="G624" s="17" t="inlineStr">
        <is>
          <t>JH0555</t>
        </is>
      </c>
      <c r="H624" s="24">
        <f>IF($G624="","",IFERROR(VLOOKUP($G624,物料档案!$A$4:$P$1203,3,0),"※编码不在物料档案里"))</f>
        <v/>
      </c>
      <c r="I624" s="24">
        <f>IF($G624="","",IFERROR(VLOOKUP($G624,物料档案!$A$4:$P$1203,4,0),"※编码不在物料档案里"))</f>
        <v/>
      </c>
      <c r="J624" s="24">
        <f>IF($G624="","",IFERROR(VLOOKUP($G624,物料档案!$A$4:$P$1203,5,0),"※编码不在物料档案里"))</f>
        <v/>
      </c>
      <c r="K624" s="23" t="n">
        <v>150</v>
      </c>
      <c r="L624" s="31" t="n"/>
      <c r="M624" s="24">
        <f>IF($G624="","",IF($D624="A国内","CNY","TZS"))</f>
        <v/>
      </c>
      <c r="N624" s="28">
        <f>IF($G624="","",IF($D624="A国内",汇率,1))</f>
        <v/>
      </c>
      <c r="O624" s="25">
        <f>IF($G624="","",ROUND(N($K624)*N($L624),2))</f>
        <v/>
      </c>
      <c r="P624" s="26">
        <f>IF($G624="","",ROUND($O624*$N624,0))</f>
        <v/>
      </c>
      <c r="Q624" s="26">
        <f>IF($G624="","",SUMIFS($P$4:$P$2503,$E$4:$E$2503,$E624,$Z$4:$Z$2503,"正常"))</f>
        <v/>
      </c>
      <c r="R624" s="26">
        <f>IF($G624="","",SUMIFS(费用台账!$I$4:$I$503,费用台账!$C$4:$C$503,$E624,费用台账!$J$4:$J$503,"是",费用台账!$K$4:$K$503,"正常"))</f>
        <v/>
      </c>
      <c r="S624" s="28">
        <f>IF($G624="","",COUNTIFS($E$4:$E$2503,$E624,$Z$4:$Z$2503,"正常",$Y$4:$Y$2503,"待补价"))</f>
        <v/>
      </c>
      <c r="T624" s="26">
        <f>IF($G624="","",SUMIFS($P$4:$P$2503,$E$4:$E$2503,$E624,$Z$4:$Z$2503,"正常",$A$4:$A$2503,"&lt;="&amp;$A624))</f>
        <v/>
      </c>
      <c r="U624" s="26">
        <f>IF($G624="","",IF(OR($S624&gt;0,$Q624=0,$R624=0,$Z624&lt;&gt;"正常"),0,ROUND($T624/$Q624*$R624,0)-ROUND(($T624-$P624)/$Q624*$R624,0)))</f>
        <v/>
      </c>
      <c r="V624" s="26">
        <f>IF($G624="","",ROUND($P624+$U624,0))</f>
        <v/>
      </c>
      <c r="W624" s="26">
        <f>IF($G624="","",IF(N($K624)=0,0,ROUND($V624/$K624,2)))</f>
        <v/>
      </c>
      <c r="X624" s="17" t="inlineStr">
        <is>
          <t>采购入库</t>
        </is>
      </c>
      <c r="Y624" s="17" t="inlineStr">
        <is>
          <t>待补价</t>
        </is>
      </c>
      <c r="Z624" s="17" t="inlineStr">
        <is>
          <t>正常</t>
        </is>
      </c>
      <c r="AA624" s="17" t="n"/>
      <c r="AB624" s="17" t="inlineStr">
        <is>
          <t>原表第 630 行</t>
        </is>
      </c>
      <c r="AC624" s="24">
        <f>IF($G624="","",IF($H624="※编码不在物料档案里","※物料编码不在档案里",IF(N($K624)&lt;=0,"※入库数量要大于 0",IF(AND($C624&lt;&gt;"",$C624&lt;=结账锁),"※日期早于已结账截止日，不能再录",IF(AND($L624=0,$X624="正常"),"※没填单价，价格状态请选「待补价」",IF(AND($S624&gt;0,$R624&gt;0),"△本批有 "&amp;$S624&amp;" 行没单价，整批运费先挂账没摊",IF(AND($B624&lt;&gt;"",COUNTIF($B$4:$B$2503,$B624)&gt;1),"※入库单号重复","")))))))</f>
        <v/>
      </c>
    </row>
    <row r="625">
      <c r="A625" s="24">
        <f>IF($G625="","",COUNTA($G$4:$G625))</f>
        <v/>
      </c>
      <c r="B625" s="17" t="n"/>
      <c r="C625" s="30" t="n">
        <v>46109</v>
      </c>
      <c r="D625" s="17" t="inlineStr">
        <is>
          <t>A国内</t>
        </is>
      </c>
      <c r="E625" s="17" t="inlineStr">
        <is>
          <t>FCIU8630602-202603</t>
        </is>
      </c>
      <c r="F625" s="17" t="inlineStr">
        <is>
          <t>烟台市金豪矿山机械有限公司</t>
        </is>
      </c>
      <c r="G625" s="17" t="inlineStr">
        <is>
          <t>JH0556</t>
        </is>
      </c>
      <c r="H625" s="24">
        <f>IF($G625="","",IFERROR(VLOOKUP($G625,物料档案!$A$4:$P$1203,3,0),"※编码不在物料档案里"))</f>
        <v/>
      </c>
      <c r="I625" s="24">
        <f>IF($G625="","",IFERROR(VLOOKUP($G625,物料档案!$A$4:$P$1203,4,0),"※编码不在物料档案里"))</f>
        <v/>
      </c>
      <c r="J625" s="24">
        <f>IF($G625="","",IFERROR(VLOOKUP($G625,物料档案!$A$4:$P$1203,5,0),"※编码不在物料档案里"))</f>
        <v/>
      </c>
      <c r="K625" s="23" t="n">
        <v>470</v>
      </c>
      <c r="L625" s="31" t="n"/>
      <c r="M625" s="24">
        <f>IF($G625="","",IF($D625="A国内","CNY","TZS"))</f>
        <v/>
      </c>
      <c r="N625" s="28">
        <f>IF($G625="","",IF($D625="A国内",汇率,1))</f>
        <v/>
      </c>
      <c r="O625" s="25">
        <f>IF($G625="","",ROUND(N($K625)*N($L625),2))</f>
        <v/>
      </c>
      <c r="P625" s="26">
        <f>IF($G625="","",ROUND($O625*$N625,0))</f>
        <v/>
      </c>
      <c r="Q625" s="26">
        <f>IF($G625="","",SUMIFS($P$4:$P$2503,$E$4:$E$2503,$E625,$Z$4:$Z$2503,"正常"))</f>
        <v/>
      </c>
      <c r="R625" s="26">
        <f>IF($G625="","",SUMIFS(费用台账!$I$4:$I$503,费用台账!$C$4:$C$503,$E625,费用台账!$J$4:$J$503,"是",费用台账!$K$4:$K$503,"正常"))</f>
        <v/>
      </c>
      <c r="S625" s="28">
        <f>IF($G625="","",COUNTIFS($E$4:$E$2503,$E625,$Z$4:$Z$2503,"正常",$Y$4:$Y$2503,"待补价"))</f>
        <v/>
      </c>
      <c r="T625" s="26">
        <f>IF($G625="","",SUMIFS($P$4:$P$2503,$E$4:$E$2503,$E625,$Z$4:$Z$2503,"正常",$A$4:$A$2503,"&lt;="&amp;$A625))</f>
        <v/>
      </c>
      <c r="U625" s="26">
        <f>IF($G625="","",IF(OR($S625&gt;0,$Q625=0,$R625=0,$Z625&lt;&gt;"正常"),0,ROUND($T625/$Q625*$R625,0)-ROUND(($T625-$P625)/$Q625*$R625,0)))</f>
        <v/>
      </c>
      <c r="V625" s="26">
        <f>IF($G625="","",ROUND($P625+$U625,0))</f>
        <v/>
      </c>
      <c r="W625" s="26">
        <f>IF($G625="","",IF(N($K625)=0,0,ROUND($V625/$K625,2)))</f>
        <v/>
      </c>
      <c r="X625" s="17" t="inlineStr">
        <is>
          <t>采购入库</t>
        </is>
      </c>
      <c r="Y625" s="17" t="inlineStr">
        <is>
          <t>待补价</t>
        </is>
      </c>
      <c r="Z625" s="17" t="inlineStr">
        <is>
          <t>正常</t>
        </is>
      </c>
      <c r="AA625" s="17" t="n"/>
      <c r="AB625" s="17" t="inlineStr">
        <is>
          <t>原表第 631 行</t>
        </is>
      </c>
      <c r="AC625" s="24">
        <f>IF($G625="","",IF($H625="※编码不在物料档案里","※物料编码不在档案里",IF(N($K625)&lt;=0,"※入库数量要大于 0",IF(AND($C625&lt;&gt;"",$C625&lt;=结账锁),"※日期早于已结账截止日，不能再录",IF(AND($L625=0,$X625="正常"),"※没填单价，价格状态请选「待补价」",IF(AND($S625&gt;0,$R625&gt;0),"△本批有 "&amp;$S625&amp;" 行没单价，整批运费先挂账没摊",IF(AND($B625&lt;&gt;"",COUNTIF($B$4:$B$2503,$B625)&gt;1),"※入库单号重复","")))))))</f>
        <v/>
      </c>
    </row>
    <row r="626">
      <c r="A626" s="24">
        <f>IF($G626="","",COUNTA($G$4:$G626))</f>
        <v/>
      </c>
      <c r="B626" s="17" t="n"/>
      <c r="C626" s="30" t="n">
        <v>46109</v>
      </c>
      <c r="D626" s="17" t="inlineStr">
        <is>
          <t>A国内</t>
        </is>
      </c>
      <c r="E626" s="17" t="inlineStr">
        <is>
          <t>FCIU8630602-202603</t>
        </is>
      </c>
      <c r="F626" s="17" t="inlineStr">
        <is>
          <t>烟台市金豪矿山机械有限公司</t>
        </is>
      </c>
      <c r="G626" s="17" t="inlineStr">
        <is>
          <t>JH0557</t>
        </is>
      </c>
      <c r="H626" s="24">
        <f>IF($G626="","",IFERROR(VLOOKUP($G626,物料档案!$A$4:$P$1203,3,0),"※编码不在物料档案里"))</f>
        <v/>
      </c>
      <c r="I626" s="24">
        <f>IF($G626="","",IFERROR(VLOOKUP($G626,物料档案!$A$4:$P$1203,4,0),"※编码不在物料档案里"))</f>
        <v/>
      </c>
      <c r="J626" s="24">
        <f>IF($G626="","",IFERROR(VLOOKUP($G626,物料档案!$A$4:$P$1203,5,0),"※编码不在物料档案里"))</f>
        <v/>
      </c>
      <c r="K626" s="23" t="n">
        <v>300</v>
      </c>
      <c r="L626" s="31" t="n"/>
      <c r="M626" s="24">
        <f>IF($G626="","",IF($D626="A国内","CNY","TZS"))</f>
        <v/>
      </c>
      <c r="N626" s="28">
        <f>IF($G626="","",IF($D626="A国内",汇率,1))</f>
        <v/>
      </c>
      <c r="O626" s="25">
        <f>IF($G626="","",ROUND(N($K626)*N($L626),2))</f>
        <v/>
      </c>
      <c r="P626" s="26">
        <f>IF($G626="","",ROUND($O626*$N626,0))</f>
        <v/>
      </c>
      <c r="Q626" s="26">
        <f>IF($G626="","",SUMIFS($P$4:$P$2503,$E$4:$E$2503,$E626,$Z$4:$Z$2503,"正常"))</f>
        <v/>
      </c>
      <c r="R626" s="26">
        <f>IF($G626="","",SUMIFS(费用台账!$I$4:$I$503,费用台账!$C$4:$C$503,$E626,费用台账!$J$4:$J$503,"是",费用台账!$K$4:$K$503,"正常"))</f>
        <v/>
      </c>
      <c r="S626" s="28">
        <f>IF($G626="","",COUNTIFS($E$4:$E$2503,$E626,$Z$4:$Z$2503,"正常",$Y$4:$Y$2503,"待补价"))</f>
        <v/>
      </c>
      <c r="T626" s="26">
        <f>IF($G626="","",SUMIFS($P$4:$P$2503,$E$4:$E$2503,$E626,$Z$4:$Z$2503,"正常",$A$4:$A$2503,"&lt;="&amp;$A626))</f>
        <v/>
      </c>
      <c r="U626" s="26">
        <f>IF($G626="","",IF(OR($S626&gt;0,$Q626=0,$R626=0,$Z626&lt;&gt;"正常"),0,ROUND($T626/$Q626*$R626,0)-ROUND(($T626-$P626)/$Q626*$R626,0)))</f>
        <v/>
      </c>
      <c r="V626" s="26">
        <f>IF($G626="","",ROUND($P626+$U626,0))</f>
        <v/>
      </c>
      <c r="W626" s="26">
        <f>IF($G626="","",IF(N($K626)=0,0,ROUND($V626/$K626,2)))</f>
        <v/>
      </c>
      <c r="X626" s="17" t="inlineStr">
        <is>
          <t>采购入库</t>
        </is>
      </c>
      <c r="Y626" s="17" t="inlineStr">
        <is>
          <t>待补价</t>
        </is>
      </c>
      <c r="Z626" s="17" t="inlineStr">
        <is>
          <t>正常</t>
        </is>
      </c>
      <c r="AA626" s="17" t="n"/>
      <c r="AB626" s="17" t="inlineStr">
        <is>
          <t>原表第 632 行</t>
        </is>
      </c>
      <c r="AC626" s="24">
        <f>IF($G626="","",IF($H626="※编码不在物料档案里","※物料编码不在档案里",IF(N($K626)&lt;=0,"※入库数量要大于 0",IF(AND($C626&lt;&gt;"",$C626&lt;=结账锁),"※日期早于已结账截止日，不能再录",IF(AND($L626=0,$X626="正常"),"※没填单价，价格状态请选「待补价」",IF(AND($S626&gt;0,$R626&gt;0),"△本批有 "&amp;$S626&amp;" 行没单价，整批运费先挂账没摊",IF(AND($B626&lt;&gt;"",COUNTIF($B$4:$B$2503,$B626)&gt;1),"※入库单号重复","")))))))</f>
        <v/>
      </c>
    </row>
    <row r="627">
      <c r="A627" s="24">
        <f>IF($G627="","",COUNTA($G$4:$G627))</f>
        <v/>
      </c>
      <c r="B627" s="17" t="n"/>
      <c r="C627" s="30" t="n">
        <v>46109</v>
      </c>
      <c r="D627" s="17" t="inlineStr">
        <is>
          <t>A国内</t>
        </is>
      </c>
      <c r="E627" s="17" t="inlineStr">
        <is>
          <t>FCIU8630602-202603</t>
        </is>
      </c>
      <c r="F627" s="17" t="inlineStr">
        <is>
          <t>烟台市金豪矿山机械有限公司</t>
        </is>
      </c>
      <c r="G627" s="17" t="inlineStr">
        <is>
          <t>JH0558</t>
        </is>
      </c>
      <c r="H627" s="24">
        <f>IF($G627="","",IFERROR(VLOOKUP($G627,物料档案!$A$4:$P$1203,3,0),"※编码不在物料档案里"))</f>
        <v/>
      </c>
      <c r="I627" s="24">
        <f>IF($G627="","",IFERROR(VLOOKUP($G627,物料档案!$A$4:$P$1203,4,0),"※编码不在物料档案里"))</f>
        <v/>
      </c>
      <c r="J627" s="24">
        <f>IF($G627="","",IFERROR(VLOOKUP($G627,物料档案!$A$4:$P$1203,5,0),"※编码不在物料档案里"))</f>
        <v/>
      </c>
      <c r="K627" s="23" t="n">
        <v>200</v>
      </c>
      <c r="L627" s="31" t="n"/>
      <c r="M627" s="24">
        <f>IF($G627="","",IF($D627="A国内","CNY","TZS"))</f>
        <v/>
      </c>
      <c r="N627" s="28">
        <f>IF($G627="","",IF($D627="A国内",汇率,1))</f>
        <v/>
      </c>
      <c r="O627" s="25">
        <f>IF($G627="","",ROUND(N($K627)*N($L627),2))</f>
        <v/>
      </c>
      <c r="P627" s="26">
        <f>IF($G627="","",ROUND($O627*$N627,0))</f>
        <v/>
      </c>
      <c r="Q627" s="26">
        <f>IF($G627="","",SUMIFS($P$4:$P$2503,$E$4:$E$2503,$E627,$Z$4:$Z$2503,"正常"))</f>
        <v/>
      </c>
      <c r="R627" s="26">
        <f>IF($G627="","",SUMIFS(费用台账!$I$4:$I$503,费用台账!$C$4:$C$503,$E627,费用台账!$J$4:$J$503,"是",费用台账!$K$4:$K$503,"正常"))</f>
        <v/>
      </c>
      <c r="S627" s="28">
        <f>IF($G627="","",COUNTIFS($E$4:$E$2503,$E627,$Z$4:$Z$2503,"正常",$Y$4:$Y$2503,"待补价"))</f>
        <v/>
      </c>
      <c r="T627" s="26">
        <f>IF($G627="","",SUMIFS($P$4:$P$2503,$E$4:$E$2503,$E627,$Z$4:$Z$2503,"正常",$A$4:$A$2503,"&lt;="&amp;$A627))</f>
        <v/>
      </c>
      <c r="U627" s="26">
        <f>IF($G627="","",IF(OR($S627&gt;0,$Q627=0,$R627=0,$Z627&lt;&gt;"正常"),0,ROUND($T627/$Q627*$R627,0)-ROUND(($T627-$P627)/$Q627*$R627,0)))</f>
        <v/>
      </c>
      <c r="V627" s="26">
        <f>IF($G627="","",ROUND($P627+$U627,0))</f>
        <v/>
      </c>
      <c r="W627" s="26">
        <f>IF($G627="","",IF(N($K627)=0,0,ROUND($V627/$K627,2)))</f>
        <v/>
      </c>
      <c r="X627" s="17" t="inlineStr">
        <is>
          <t>采购入库</t>
        </is>
      </c>
      <c r="Y627" s="17" t="inlineStr">
        <is>
          <t>待补价</t>
        </is>
      </c>
      <c r="Z627" s="17" t="inlineStr">
        <is>
          <t>正常</t>
        </is>
      </c>
      <c r="AA627" s="17" t="n"/>
      <c r="AB627" s="17" t="inlineStr">
        <is>
          <t>原表第 633 行</t>
        </is>
      </c>
      <c r="AC627" s="24">
        <f>IF($G627="","",IF($H627="※编码不在物料档案里","※物料编码不在档案里",IF(N($K627)&lt;=0,"※入库数量要大于 0",IF(AND($C627&lt;&gt;"",$C627&lt;=结账锁),"※日期早于已结账截止日，不能再录",IF(AND($L627=0,$X627="正常"),"※没填单价，价格状态请选「待补价」",IF(AND($S627&gt;0,$R627&gt;0),"△本批有 "&amp;$S627&amp;" 行没单价，整批运费先挂账没摊",IF(AND($B627&lt;&gt;"",COUNTIF($B$4:$B$2503,$B627)&gt;1),"※入库单号重复","")))))))</f>
        <v/>
      </c>
    </row>
    <row r="628">
      <c r="A628" s="24">
        <f>IF($G628="","",COUNTA($G$4:$G628))</f>
        <v/>
      </c>
      <c r="B628" s="17" t="n"/>
      <c r="C628" s="30" t="n">
        <v>46109</v>
      </c>
      <c r="D628" s="17" t="inlineStr">
        <is>
          <t>A国内</t>
        </is>
      </c>
      <c r="E628" s="17" t="inlineStr">
        <is>
          <t>FCIU8630602-202603</t>
        </is>
      </c>
      <c r="F628" s="17" t="inlineStr">
        <is>
          <t>烟台市金豪矿山机械有限公司</t>
        </is>
      </c>
      <c r="G628" s="17" t="inlineStr">
        <is>
          <t>JH0559</t>
        </is>
      </c>
      <c r="H628" s="24">
        <f>IF($G628="","",IFERROR(VLOOKUP($G628,物料档案!$A$4:$P$1203,3,0),"※编码不在物料档案里"))</f>
        <v/>
      </c>
      <c r="I628" s="24">
        <f>IF($G628="","",IFERROR(VLOOKUP($G628,物料档案!$A$4:$P$1203,4,0),"※编码不在物料档案里"))</f>
        <v/>
      </c>
      <c r="J628" s="24">
        <f>IF($G628="","",IFERROR(VLOOKUP($G628,物料档案!$A$4:$P$1203,5,0),"※编码不在物料档案里"))</f>
        <v/>
      </c>
      <c r="K628" s="23" t="n">
        <v>240</v>
      </c>
      <c r="L628" s="31" t="n"/>
      <c r="M628" s="24">
        <f>IF($G628="","",IF($D628="A国内","CNY","TZS"))</f>
        <v/>
      </c>
      <c r="N628" s="28">
        <f>IF($G628="","",IF($D628="A国内",汇率,1))</f>
        <v/>
      </c>
      <c r="O628" s="25">
        <f>IF($G628="","",ROUND(N($K628)*N($L628),2))</f>
        <v/>
      </c>
      <c r="P628" s="26">
        <f>IF($G628="","",ROUND($O628*$N628,0))</f>
        <v/>
      </c>
      <c r="Q628" s="26">
        <f>IF($G628="","",SUMIFS($P$4:$P$2503,$E$4:$E$2503,$E628,$Z$4:$Z$2503,"正常"))</f>
        <v/>
      </c>
      <c r="R628" s="26">
        <f>IF($G628="","",SUMIFS(费用台账!$I$4:$I$503,费用台账!$C$4:$C$503,$E628,费用台账!$J$4:$J$503,"是",费用台账!$K$4:$K$503,"正常"))</f>
        <v/>
      </c>
      <c r="S628" s="28">
        <f>IF($G628="","",COUNTIFS($E$4:$E$2503,$E628,$Z$4:$Z$2503,"正常",$Y$4:$Y$2503,"待补价"))</f>
        <v/>
      </c>
      <c r="T628" s="26">
        <f>IF($G628="","",SUMIFS($P$4:$P$2503,$E$4:$E$2503,$E628,$Z$4:$Z$2503,"正常",$A$4:$A$2503,"&lt;="&amp;$A628))</f>
        <v/>
      </c>
      <c r="U628" s="26">
        <f>IF($G628="","",IF(OR($S628&gt;0,$Q628=0,$R628=0,$Z628&lt;&gt;"正常"),0,ROUND($T628/$Q628*$R628,0)-ROUND(($T628-$P628)/$Q628*$R628,0)))</f>
        <v/>
      </c>
      <c r="V628" s="26">
        <f>IF($G628="","",ROUND($P628+$U628,0))</f>
        <v/>
      </c>
      <c r="W628" s="26">
        <f>IF($G628="","",IF(N($K628)=0,0,ROUND($V628/$K628,2)))</f>
        <v/>
      </c>
      <c r="X628" s="17" t="inlineStr">
        <is>
          <t>采购入库</t>
        </is>
      </c>
      <c r="Y628" s="17" t="inlineStr">
        <is>
          <t>待补价</t>
        </is>
      </c>
      <c r="Z628" s="17" t="inlineStr">
        <is>
          <t>正常</t>
        </is>
      </c>
      <c r="AA628" s="17" t="n"/>
      <c r="AB628" s="17" t="inlineStr">
        <is>
          <t>原表第 634 行</t>
        </is>
      </c>
      <c r="AC628" s="24">
        <f>IF($G628="","",IF($H628="※编码不在物料档案里","※物料编码不在档案里",IF(N($K628)&lt;=0,"※入库数量要大于 0",IF(AND($C628&lt;&gt;"",$C628&lt;=结账锁),"※日期早于已结账截止日，不能再录",IF(AND($L628=0,$X628="正常"),"※没填单价，价格状态请选「待补价」",IF(AND($S628&gt;0,$R628&gt;0),"△本批有 "&amp;$S628&amp;" 行没单价，整批运费先挂账没摊",IF(AND($B628&lt;&gt;"",COUNTIF($B$4:$B$2503,$B628)&gt;1),"※入库单号重复","")))))))</f>
        <v/>
      </c>
    </row>
    <row r="629">
      <c r="A629" s="24">
        <f>IF($G629="","",COUNTA($G$4:$G629))</f>
        <v/>
      </c>
      <c r="B629" s="17" t="n"/>
      <c r="C629" s="30" t="n">
        <v>46109</v>
      </c>
      <c r="D629" s="17" t="inlineStr">
        <is>
          <t>A国内</t>
        </is>
      </c>
      <c r="E629" s="17" t="inlineStr">
        <is>
          <t>FCIU8630602-202603</t>
        </is>
      </c>
      <c r="F629" s="17" t="inlineStr">
        <is>
          <t>烟台市金豪矿山机械有限公司</t>
        </is>
      </c>
      <c r="G629" s="17" t="inlineStr">
        <is>
          <t>JH0560</t>
        </is>
      </c>
      <c r="H629" s="24">
        <f>IF($G629="","",IFERROR(VLOOKUP($G629,物料档案!$A$4:$P$1203,3,0),"※编码不在物料档案里"))</f>
        <v/>
      </c>
      <c r="I629" s="24">
        <f>IF($G629="","",IFERROR(VLOOKUP($G629,物料档案!$A$4:$P$1203,4,0),"※编码不在物料档案里"))</f>
        <v/>
      </c>
      <c r="J629" s="24">
        <f>IF($G629="","",IFERROR(VLOOKUP($G629,物料档案!$A$4:$P$1203,5,0),"※编码不在物料档案里"))</f>
        <v/>
      </c>
      <c r="K629" s="23" t="n">
        <v>160</v>
      </c>
      <c r="L629" s="31" t="n"/>
      <c r="M629" s="24">
        <f>IF($G629="","",IF($D629="A国内","CNY","TZS"))</f>
        <v/>
      </c>
      <c r="N629" s="28">
        <f>IF($G629="","",IF($D629="A国内",汇率,1))</f>
        <v/>
      </c>
      <c r="O629" s="25">
        <f>IF($G629="","",ROUND(N($K629)*N($L629),2))</f>
        <v/>
      </c>
      <c r="P629" s="26">
        <f>IF($G629="","",ROUND($O629*$N629,0))</f>
        <v/>
      </c>
      <c r="Q629" s="26">
        <f>IF($G629="","",SUMIFS($P$4:$P$2503,$E$4:$E$2503,$E629,$Z$4:$Z$2503,"正常"))</f>
        <v/>
      </c>
      <c r="R629" s="26">
        <f>IF($G629="","",SUMIFS(费用台账!$I$4:$I$503,费用台账!$C$4:$C$503,$E629,费用台账!$J$4:$J$503,"是",费用台账!$K$4:$K$503,"正常"))</f>
        <v/>
      </c>
      <c r="S629" s="28">
        <f>IF($G629="","",COUNTIFS($E$4:$E$2503,$E629,$Z$4:$Z$2503,"正常",$Y$4:$Y$2503,"待补价"))</f>
        <v/>
      </c>
      <c r="T629" s="26">
        <f>IF($G629="","",SUMIFS($P$4:$P$2503,$E$4:$E$2503,$E629,$Z$4:$Z$2503,"正常",$A$4:$A$2503,"&lt;="&amp;$A629))</f>
        <v/>
      </c>
      <c r="U629" s="26">
        <f>IF($G629="","",IF(OR($S629&gt;0,$Q629=0,$R629=0,$Z629&lt;&gt;"正常"),0,ROUND($T629/$Q629*$R629,0)-ROUND(($T629-$P629)/$Q629*$R629,0)))</f>
        <v/>
      </c>
      <c r="V629" s="26">
        <f>IF($G629="","",ROUND($P629+$U629,0))</f>
        <v/>
      </c>
      <c r="W629" s="26">
        <f>IF($G629="","",IF(N($K629)=0,0,ROUND($V629/$K629,2)))</f>
        <v/>
      </c>
      <c r="X629" s="17" t="inlineStr">
        <is>
          <t>采购入库</t>
        </is>
      </c>
      <c r="Y629" s="17" t="inlineStr">
        <is>
          <t>待补价</t>
        </is>
      </c>
      <c r="Z629" s="17" t="inlineStr">
        <is>
          <t>正常</t>
        </is>
      </c>
      <c r="AA629" s="17" t="n"/>
      <c r="AB629" s="17" t="inlineStr">
        <is>
          <t>原表第 635 行</t>
        </is>
      </c>
      <c r="AC629" s="24">
        <f>IF($G629="","",IF($H629="※编码不在物料档案里","※物料编码不在档案里",IF(N($K629)&lt;=0,"※入库数量要大于 0",IF(AND($C629&lt;&gt;"",$C629&lt;=结账锁),"※日期早于已结账截止日，不能再录",IF(AND($L629=0,$X629="正常"),"※没填单价，价格状态请选「待补价」",IF(AND($S629&gt;0,$R629&gt;0),"△本批有 "&amp;$S629&amp;" 行没单价，整批运费先挂账没摊",IF(AND($B629&lt;&gt;"",COUNTIF($B$4:$B$2503,$B629)&gt;1),"※入库单号重复","")))))))</f>
        <v/>
      </c>
    </row>
    <row r="630">
      <c r="A630" s="24">
        <f>IF($G630="","",COUNTA($G$4:$G630))</f>
        <v/>
      </c>
      <c r="B630" s="17" t="n"/>
      <c r="C630" s="30" t="n">
        <v>46109</v>
      </c>
      <c r="D630" s="17" t="inlineStr">
        <is>
          <t>A国内</t>
        </is>
      </c>
      <c r="E630" s="17" t="inlineStr">
        <is>
          <t>FCIU8630602-202603</t>
        </is>
      </c>
      <c r="F630" s="17" t="inlineStr">
        <is>
          <t>烟台市金豪矿山机械有限公司</t>
        </is>
      </c>
      <c r="G630" s="17" t="inlineStr">
        <is>
          <t>JH0561</t>
        </is>
      </c>
      <c r="H630" s="24">
        <f>IF($G630="","",IFERROR(VLOOKUP($G630,物料档案!$A$4:$P$1203,3,0),"※编码不在物料档案里"))</f>
        <v/>
      </c>
      <c r="I630" s="24">
        <f>IF($G630="","",IFERROR(VLOOKUP($G630,物料档案!$A$4:$P$1203,4,0),"※编码不在物料档案里"))</f>
        <v/>
      </c>
      <c r="J630" s="24">
        <f>IF($G630="","",IFERROR(VLOOKUP($G630,物料档案!$A$4:$P$1203,5,0),"※编码不在物料档案里"))</f>
        <v/>
      </c>
      <c r="K630" s="23" t="n">
        <v>50</v>
      </c>
      <c r="L630" s="31" t="n"/>
      <c r="M630" s="24">
        <f>IF($G630="","",IF($D630="A国内","CNY","TZS"))</f>
        <v/>
      </c>
      <c r="N630" s="28">
        <f>IF($G630="","",IF($D630="A国内",汇率,1))</f>
        <v/>
      </c>
      <c r="O630" s="25">
        <f>IF($G630="","",ROUND(N($K630)*N($L630),2))</f>
        <v/>
      </c>
      <c r="P630" s="26">
        <f>IF($G630="","",ROUND($O630*$N630,0))</f>
        <v/>
      </c>
      <c r="Q630" s="26">
        <f>IF($G630="","",SUMIFS($P$4:$P$2503,$E$4:$E$2503,$E630,$Z$4:$Z$2503,"正常"))</f>
        <v/>
      </c>
      <c r="R630" s="26">
        <f>IF($G630="","",SUMIFS(费用台账!$I$4:$I$503,费用台账!$C$4:$C$503,$E630,费用台账!$J$4:$J$503,"是",费用台账!$K$4:$K$503,"正常"))</f>
        <v/>
      </c>
      <c r="S630" s="28">
        <f>IF($G630="","",COUNTIFS($E$4:$E$2503,$E630,$Z$4:$Z$2503,"正常",$Y$4:$Y$2503,"待补价"))</f>
        <v/>
      </c>
      <c r="T630" s="26">
        <f>IF($G630="","",SUMIFS($P$4:$P$2503,$E$4:$E$2503,$E630,$Z$4:$Z$2503,"正常",$A$4:$A$2503,"&lt;="&amp;$A630))</f>
        <v/>
      </c>
      <c r="U630" s="26">
        <f>IF($G630="","",IF(OR($S630&gt;0,$Q630=0,$R630=0,$Z630&lt;&gt;"正常"),0,ROUND($T630/$Q630*$R630,0)-ROUND(($T630-$P630)/$Q630*$R630,0)))</f>
        <v/>
      </c>
      <c r="V630" s="26">
        <f>IF($G630="","",ROUND($P630+$U630,0))</f>
        <v/>
      </c>
      <c r="W630" s="26">
        <f>IF($G630="","",IF(N($K630)=0,0,ROUND($V630/$K630,2)))</f>
        <v/>
      </c>
      <c r="X630" s="17" t="inlineStr">
        <is>
          <t>采购入库</t>
        </is>
      </c>
      <c r="Y630" s="17" t="inlineStr">
        <is>
          <t>待补价</t>
        </is>
      </c>
      <c r="Z630" s="17" t="inlineStr">
        <is>
          <t>正常</t>
        </is>
      </c>
      <c r="AA630" s="17" t="n"/>
      <c r="AB630" s="17" t="inlineStr">
        <is>
          <t>原表第 636 行</t>
        </is>
      </c>
      <c r="AC630" s="24">
        <f>IF($G630="","",IF($H630="※编码不在物料档案里","※物料编码不在档案里",IF(N($K630)&lt;=0,"※入库数量要大于 0",IF(AND($C630&lt;&gt;"",$C630&lt;=结账锁),"※日期早于已结账截止日，不能再录",IF(AND($L630=0,$X630="正常"),"※没填单价，价格状态请选「待补价」",IF(AND($S630&gt;0,$R630&gt;0),"△本批有 "&amp;$S630&amp;" 行没单价，整批运费先挂账没摊",IF(AND($B630&lt;&gt;"",COUNTIF($B$4:$B$2503,$B630)&gt;1),"※入库单号重复","")))))))</f>
        <v/>
      </c>
    </row>
    <row r="631">
      <c r="A631" s="24">
        <f>IF($G631="","",COUNTA($G$4:$G631))</f>
        <v/>
      </c>
      <c r="B631" s="17" t="n"/>
      <c r="C631" s="30" t="n">
        <v>46109</v>
      </c>
      <c r="D631" s="17" t="inlineStr">
        <is>
          <t>A国内</t>
        </is>
      </c>
      <c r="E631" s="17" t="inlineStr">
        <is>
          <t>FCIU8630602-202603</t>
        </is>
      </c>
      <c r="F631" s="17" t="inlineStr">
        <is>
          <t>烟台市金豪矿山机械有限公司</t>
        </is>
      </c>
      <c r="G631" s="17" t="inlineStr">
        <is>
          <t>JH0562</t>
        </is>
      </c>
      <c r="H631" s="24">
        <f>IF($G631="","",IFERROR(VLOOKUP($G631,物料档案!$A$4:$P$1203,3,0),"※编码不在物料档案里"))</f>
        <v/>
      </c>
      <c r="I631" s="24">
        <f>IF($G631="","",IFERROR(VLOOKUP($G631,物料档案!$A$4:$P$1203,4,0),"※编码不在物料档案里"))</f>
        <v/>
      </c>
      <c r="J631" s="24">
        <f>IF($G631="","",IFERROR(VLOOKUP($G631,物料档案!$A$4:$P$1203,5,0),"※编码不在物料档案里"))</f>
        <v/>
      </c>
      <c r="K631" s="23" t="n">
        <v>160</v>
      </c>
      <c r="L631" s="31" t="n"/>
      <c r="M631" s="24">
        <f>IF($G631="","",IF($D631="A国内","CNY","TZS"))</f>
        <v/>
      </c>
      <c r="N631" s="28">
        <f>IF($G631="","",IF($D631="A国内",汇率,1))</f>
        <v/>
      </c>
      <c r="O631" s="25">
        <f>IF($G631="","",ROUND(N($K631)*N($L631),2))</f>
        <v/>
      </c>
      <c r="P631" s="26">
        <f>IF($G631="","",ROUND($O631*$N631,0))</f>
        <v/>
      </c>
      <c r="Q631" s="26">
        <f>IF($G631="","",SUMIFS($P$4:$P$2503,$E$4:$E$2503,$E631,$Z$4:$Z$2503,"正常"))</f>
        <v/>
      </c>
      <c r="R631" s="26">
        <f>IF($G631="","",SUMIFS(费用台账!$I$4:$I$503,费用台账!$C$4:$C$503,$E631,费用台账!$J$4:$J$503,"是",费用台账!$K$4:$K$503,"正常"))</f>
        <v/>
      </c>
      <c r="S631" s="28">
        <f>IF($G631="","",COUNTIFS($E$4:$E$2503,$E631,$Z$4:$Z$2503,"正常",$Y$4:$Y$2503,"待补价"))</f>
        <v/>
      </c>
      <c r="T631" s="26">
        <f>IF($G631="","",SUMIFS($P$4:$P$2503,$E$4:$E$2503,$E631,$Z$4:$Z$2503,"正常",$A$4:$A$2503,"&lt;="&amp;$A631))</f>
        <v/>
      </c>
      <c r="U631" s="26">
        <f>IF($G631="","",IF(OR($S631&gt;0,$Q631=0,$R631=0,$Z631&lt;&gt;"正常"),0,ROUND($T631/$Q631*$R631,0)-ROUND(($T631-$P631)/$Q631*$R631,0)))</f>
        <v/>
      </c>
      <c r="V631" s="26">
        <f>IF($G631="","",ROUND($P631+$U631,0))</f>
        <v/>
      </c>
      <c r="W631" s="26">
        <f>IF($G631="","",IF(N($K631)=0,0,ROUND($V631/$K631,2)))</f>
        <v/>
      </c>
      <c r="X631" s="17" t="inlineStr">
        <is>
          <t>采购入库</t>
        </is>
      </c>
      <c r="Y631" s="17" t="inlineStr">
        <is>
          <t>待补价</t>
        </is>
      </c>
      <c r="Z631" s="17" t="inlineStr">
        <is>
          <t>正常</t>
        </is>
      </c>
      <c r="AA631" s="17" t="n"/>
      <c r="AB631" s="17" t="inlineStr">
        <is>
          <t>原表第 637 行</t>
        </is>
      </c>
      <c r="AC631" s="24">
        <f>IF($G631="","",IF($H631="※编码不在物料档案里","※物料编码不在档案里",IF(N($K631)&lt;=0,"※入库数量要大于 0",IF(AND($C631&lt;&gt;"",$C631&lt;=结账锁),"※日期早于已结账截止日，不能再录",IF(AND($L631=0,$X631="正常"),"※没填单价，价格状态请选「待补价」",IF(AND($S631&gt;0,$R631&gt;0),"△本批有 "&amp;$S631&amp;" 行没单价，整批运费先挂账没摊",IF(AND($B631&lt;&gt;"",COUNTIF($B$4:$B$2503,$B631)&gt;1),"※入库单号重复","")))))))</f>
        <v/>
      </c>
    </row>
    <row r="632">
      <c r="A632" s="24">
        <f>IF($G632="","",COUNTA($G$4:$G632))</f>
        <v/>
      </c>
      <c r="B632" s="17" t="n"/>
      <c r="C632" s="30" t="n">
        <v>46109</v>
      </c>
      <c r="D632" s="17" t="inlineStr">
        <is>
          <t>A国内</t>
        </is>
      </c>
      <c r="E632" s="17" t="inlineStr">
        <is>
          <t>FCIU8630602-202603</t>
        </is>
      </c>
      <c r="F632" s="17" t="inlineStr">
        <is>
          <t>烟台市金豪矿山机械有限公司</t>
        </is>
      </c>
      <c r="G632" s="17" t="inlineStr">
        <is>
          <t>JH0563</t>
        </is>
      </c>
      <c r="H632" s="24">
        <f>IF($G632="","",IFERROR(VLOOKUP($G632,物料档案!$A$4:$P$1203,3,0),"※编码不在物料档案里"))</f>
        <v/>
      </c>
      <c r="I632" s="24">
        <f>IF($G632="","",IFERROR(VLOOKUP($G632,物料档案!$A$4:$P$1203,4,0),"※编码不在物料档案里"))</f>
        <v/>
      </c>
      <c r="J632" s="24">
        <f>IF($G632="","",IFERROR(VLOOKUP($G632,物料档案!$A$4:$P$1203,5,0),"※编码不在物料档案里"))</f>
        <v/>
      </c>
      <c r="K632" s="23" t="n">
        <v>100</v>
      </c>
      <c r="L632" s="31" t="n"/>
      <c r="M632" s="24">
        <f>IF($G632="","",IF($D632="A国内","CNY","TZS"))</f>
        <v/>
      </c>
      <c r="N632" s="28">
        <f>IF($G632="","",IF($D632="A国内",汇率,1))</f>
        <v/>
      </c>
      <c r="O632" s="25">
        <f>IF($G632="","",ROUND(N($K632)*N($L632),2))</f>
        <v/>
      </c>
      <c r="P632" s="26">
        <f>IF($G632="","",ROUND($O632*$N632,0))</f>
        <v/>
      </c>
      <c r="Q632" s="26">
        <f>IF($G632="","",SUMIFS($P$4:$P$2503,$E$4:$E$2503,$E632,$Z$4:$Z$2503,"正常"))</f>
        <v/>
      </c>
      <c r="R632" s="26">
        <f>IF($G632="","",SUMIFS(费用台账!$I$4:$I$503,费用台账!$C$4:$C$503,$E632,费用台账!$J$4:$J$503,"是",费用台账!$K$4:$K$503,"正常"))</f>
        <v/>
      </c>
      <c r="S632" s="28">
        <f>IF($G632="","",COUNTIFS($E$4:$E$2503,$E632,$Z$4:$Z$2503,"正常",$Y$4:$Y$2503,"待补价"))</f>
        <v/>
      </c>
      <c r="T632" s="26">
        <f>IF($G632="","",SUMIFS($P$4:$P$2503,$E$4:$E$2503,$E632,$Z$4:$Z$2503,"正常",$A$4:$A$2503,"&lt;="&amp;$A632))</f>
        <v/>
      </c>
      <c r="U632" s="26">
        <f>IF($G632="","",IF(OR($S632&gt;0,$Q632=0,$R632=0,$Z632&lt;&gt;"正常"),0,ROUND($T632/$Q632*$R632,0)-ROUND(($T632-$P632)/$Q632*$R632,0)))</f>
        <v/>
      </c>
      <c r="V632" s="26">
        <f>IF($G632="","",ROUND($P632+$U632,0))</f>
        <v/>
      </c>
      <c r="W632" s="26">
        <f>IF($G632="","",IF(N($K632)=0,0,ROUND($V632/$K632,2)))</f>
        <v/>
      </c>
      <c r="X632" s="17" t="inlineStr">
        <is>
          <t>采购入库</t>
        </is>
      </c>
      <c r="Y632" s="17" t="inlineStr">
        <is>
          <t>待补价</t>
        </is>
      </c>
      <c r="Z632" s="17" t="inlineStr">
        <is>
          <t>正常</t>
        </is>
      </c>
      <c r="AA632" s="17" t="n"/>
      <c r="AB632" s="17" t="inlineStr">
        <is>
          <t>原表第 638 行</t>
        </is>
      </c>
      <c r="AC632" s="24">
        <f>IF($G632="","",IF($H632="※编码不在物料档案里","※物料编码不在档案里",IF(N($K632)&lt;=0,"※入库数量要大于 0",IF(AND($C632&lt;&gt;"",$C632&lt;=结账锁),"※日期早于已结账截止日，不能再录",IF(AND($L632=0,$X632="正常"),"※没填单价，价格状态请选「待补价」",IF(AND($S632&gt;0,$R632&gt;0),"△本批有 "&amp;$S632&amp;" 行没单价，整批运费先挂账没摊",IF(AND($B632&lt;&gt;"",COUNTIF($B$4:$B$2503,$B632)&gt;1),"※入库单号重复","")))))))</f>
        <v/>
      </c>
    </row>
    <row r="633">
      <c r="A633" s="24">
        <f>IF($G633="","",COUNTA($G$4:$G633))</f>
        <v/>
      </c>
      <c r="B633" s="17" t="n"/>
      <c r="C633" s="30" t="n">
        <v>46109</v>
      </c>
      <c r="D633" s="17" t="inlineStr">
        <is>
          <t>A国内</t>
        </is>
      </c>
      <c r="E633" s="17" t="inlineStr">
        <is>
          <t>FCIU8630602-202603</t>
        </is>
      </c>
      <c r="F633" s="17" t="inlineStr">
        <is>
          <t>烟台市金豪矿山机械有限公司</t>
        </is>
      </c>
      <c r="G633" s="17" t="inlineStr">
        <is>
          <t>JH0564</t>
        </is>
      </c>
      <c r="H633" s="24">
        <f>IF($G633="","",IFERROR(VLOOKUP($G633,物料档案!$A$4:$P$1203,3,0),"※编码不在物料档案里"))</f>
        <v/>
      </c>
      <c r="I633" s="24">
        <f>IF($G633="","",IFERROR(VLOOKUP($G633,物料档案!$A$4:$P$1203,4,0),"※编码不在物料档案里"))</f>
        <v/>
      </c>
      <c r="J633" s="24">
        <f>IF($G633="","",IFERROR(VLOOKUP($G633,物料档案!$A$4:$P$1203,5,0),"※编码不在物料档案里"))</f>
        <v/>
      </c>
      <c r="K633" s="23" t="n">
        <v>50</v>
      </c>
      <c r="L633" s="31" t="n"/>
      <c r="M633" s="24">
        <f>IF($G633="","",IF($D633="A国内","CNY","TZS"))</f>
        <v/>
      </c>
      <c r="N633" s="28">
        <f>IF($G633="","",IF($D633="A国内",汇率,1))</f>
        <v/>
      </c>
      <c r="O633" s="25">
        <f>IF($G633="","",ROUND(N($K633)*N($L633),2))</f>
        <v/>
      </c>
      <c r="P633" s="26">
        <f>IF($G633="","",ROUND($O633*$N633,0))</f>
        <v/>
      </c>
      <c r="Q633" s="26">
        <f>IF($G633="","",SUMIFS($P$4:$P$2503,$E$4:$E$2503,$E633,$Z$4:$Z$2503,"正常"))</f>
        <v/>
      </c>
      <c r="R633" s="26">
        <f>IF($G633="","",SUMIFS(费用台账!$I$4:$I$503,费用台账!$C$4:$C$503,$E633,费用台账!$J$4:$J$503,"是",费用台账!$K$4:$K$503,"正常"))</f>
        <v/>
      </c>
      <c r="S633" s="28">
        <f>IF($G633="","",COUNTIFS($E$4:$E$2503,$E633,$Z$4:$Z$2503,"正常",$Y$4:$Y$2503,"待补价"))</f>
        <v/>
      </c>
      <c r="T633" s="26">
        <f>IF($G633="","",SUMIFS($P$4:$P$2503,$E$4:$E$2503,$E633,$Z$4:$Z$2503,"正常",$A$4:$A$2503,"&lt;="&amp;$A633))</f>
        <v/>
      </c>
      <c r="U633" s="26">
        <f>IF($G633="","",IF(OR($S633&gt;0,$Q633=0,$R633=0,$Z633&lt;&gt;"正常"),0,ROUND($T633/$Q633*$R633,0)-ROUND(($T633-$P633)/$Q633*$R633,0)))</f>
        <v/>
      </c>
      <c r="V633" s="26">
        <f>IF($G633="","",ROUND($P633+$U633,0))</f>
        <v/>
      </c>
      <c r="W633" s="26">
        <f>IF($G633="","",IF(N($K633)=0,0,ROUND($V633/$K633,2)))</f>
        <v/>
      </c>
      <c r="X633" s="17" t="inlineStr">
        <is>
          <t>采购入库</t>
        </is>
      </c>
      <c r="Y633" s="17" t="inlineStr">
        <is>
          <t>待补价</t>
        </is>
      </c>
      <c r="Z633" s="17" t="inlineStr">
        <is>
          <t>正常</t>
        </is>
      </c>
      <c r="AA633" s="17" t="n"/>
      <c r="AB633" s="17" t="inlineStr">
        <is>
          <t>原表第 639 行</t>
        </is>
      </c>
      <c r="AC633" s="24">
        <f>IF($G633="","",IF($H633="※编码不在物料档案里","※物料编码不在档案里",IF(N($K633)&lt;=0,"※入库数量要大于 0",IF(AND($C633&lt;&gt;"",$C633&lt;=结账锁),"※日期早于已结账截止日，不能再录",IF(AND($L633=0,$X633="正常"),"※没填单价，价格状态请选「待补价」",IF(AND($S633&gt;0,$R633&gt;0),"△本批有 "&amp;$S633&amp;" 行没单价，整批运费先挂账没摊",IF(AND($B633&lt;&gt;"",COUNTIF($B$4:$B$2503,$B633)&gt;1),"※入库单号重复","")))))))</f>
        <v/>
      </c>
    </row>
    <row r="634">
      <c r="A634" s="24">
        <f>IF($G634="","",COUNTA($G$4:$G634))</f>
        <v/>
      </c>
      <c r="B634" s="17" t="n"/>
      <c r="C634" s="30" t="n">
        <v>46109</v>
      </c>
      <c r="D634" s="17" t="inlineStr">
        <is>
          <t>A国内</t>
        </is>
      </c>
      <c r="E634" s="17" t="inlineStr">
        <is>
          <t>FCIU8630602-202603</t>
        </is>
      </c>
      <c r="F634" s="17" t="inlineStr">
        <is>
          <t>烟台市金豪矿山机械有限公司</t>
        </is>
      </c>
      <c r="G634" s="17" t="inlineStr">
        <is>
          <t>JH0565</t>
        </is>
      </c>
      <c r="H634" s="24">
        <f>IF($G634="","",IFERROR(VLOOKUP($G634,物料档案!$A$4:$P$1203,3,0),"※编码不在物料档案里"))</f>
        <v/>
      </c>
      <c r="I634" s="24">
        <f>IF($G634="","",IFERROR(VLOOKUP($G634,物料档案!$A$4:$P$1203,4,0),"※编码不在物料档案里"))</f>
        <v/>
      </c>
      <c r="J634" s="24">
        <f>IF($G634="","",IFERROR(VLOOKUP($G634,物料档案!$A$4:$P$1203,5,0),"※编码不在物料档案里"))</f>
        <v/>
      </c>
      <c r="K634" s="23" t="n">
        <v>95</v>
      </c>
      <c r="L634" s="31" t="n"/>
      <c r="M634" s="24">
        <f>IF($G634="","",IF($D634="A国内","CNY","TZS"))</f>
        <v/>
      </c>
      <c r="N634" s="28">
        <f>IF($G634="","",IF($D634="A国内",汇率,1))</f>
        <v/>
      </c>
      <c r="O634" s="25">
        <f>IF($G634="","",ROUND(N($K634)*N($L634),2))</f>
        <v/>
      </c>
      <c r="P634" s="26">
        <f>IF($G634="","",ROUND($O634*$N634,0))</f>
        <v/>
      </c>
      <c r="Q634" s="26">
        <f>IF($G634="","",SUMIFS($P$4:$P$2503,$E$4:$E$2503,$E634,$Z$4:$Z$2503,"正常"))</f>
        <v/>
      </c>
      <c r="R634" s="26">
        <f>IF($G634="","",SUMIFS(费用台账!$I$4:$I$503,费用台账!$C$4:$C$503,$E634,费用台账!$J$4:$J$503,"是",费用台账!$K$4:$K$503,"正常"))</f>
        <v/>
      </c>
      <c r="S634" s="28">
        <f>IF($G634="","",COUNTIFS($E$4:$E$2503,$E634,$Z$4:$Z$2503,"正常",$Y$4:$Y$2503,"待补价"))</f>
        <v/>
      </c>
      <c r="T634" s="26">
        <f>IF($G634="","",SUMIFS($P$4:$P$2503,$E$4:$E$2503,$E634,$Z$4:$Z$2503,"正常",$A$4:$A$2503,"&lt;="&amp;$A634))</f>
        <v/>
      </c>
      <c r="U634" s="26">
        <f>IF($G634="","",IF(OR($S634&gt;0,$Q634=0,$R634=0,$Z634&lt;&gt;"正常"),0,ROUND($T634/$Q634*$R634,0)-ROUND(($T634-$P634)/$Q634*$R634,0)))</f>
        <v/>
      </c>
      <c r="V634" s="26">
        <f>IF($G634="","",ROUND($P634+$U634,0))</f>
        <v/>
      </c>
      <c r="W634" s="26">
        <f>IF($G634="","",IF(N($K634)=0,0,ROUND($V634/$K634,2)))</f>
        <v/>
      </c>
      <c r="X634" s="17" t="inlineStr">
        <is>
          <t>采购入库</t>
        </is>
      </c>
      <c r="Y634" s="17" t="inlineStr">
        <is>
          <t>待补价</t>
        </is>
      </c>
      <c r="Z634" s="17" t="inlineStr">
        <is>
          <t>正常</t>
        </is>
      </c>
      <c r="AA634" s="17" t="n"/>
      <c r="AB634" s="17" t="inlineStr">
        <is>
          <t>原表第 640 行</t>
        </is>
      </c>
      <c r="AC634" s="24">
        <f>IF($G634="","",IF($H634="※编码不在物料档案里","※物料编码不在档案里",IF(N($K634)&lt;=0,"※入库数量要大于 0",IF(AND($C634&lt;&gt;"",$C634&lt;=结账锁),"※日期早于已结账截止日，不能再录",IF(AND($L634=0,$X634="正常"),"※没填单价，价格状态请选「待补价」",IF(AND($S634&gt;0,$R634&gt;0),"△本批有 "&amp;$S634&amp;" 行没单价，整批运费先挂账没摊",IF(AND($B634&lt;&gt;"",COUNTIF($B$4:$B$2503,$B634)&gt;1),"※入库单号重复","")))))))</f>
        <v/>
      </c>
    </row>
    <row r="635">
      <c r="A635" s="24">
        <f>IF($G635="","",COUNTA($G$4:$G635))</f>
        <v/>
      </c>
      <c r="B635" s="17" t="n"/>
      <c r="C635" s="30" t="n">
        <v>46109</v>
      </c>
      <c r="D635" s="17" t="inlineStr">
        <is>
          <t>A国内</t>
        </is>
      </c>
      <c r="E635" s="17" t="inlineStr">
        <is>
          <t>FCIU8630602-202603</t>
        </is>
      </c>
      <c r="F635" s="17" t="inlineStr">
        <is>
          <t>烟台市金豪矿山机械有限公司</t>
        </is>
      </c>
      <c r="G635" s="17" t="inlineStr">
        <is>
          <t>JH0566</t>
        </is>
      </c>
      <c r="H635" s="24">
        <f>IF($G635="","",IFERROR(VLOOKUP($G635,物料档案!$A$4:$P$1203,3,0),"※编码不在物料档案里"))</f>
        <v/>
      </c>
      <c r="I635" s="24">
        <f>IF($G635="","",IFERROR(VLOOKUP($G635,物料档案!$A$4:$P$1203,4,0),"※编码不在物料档案里"))</f>
        <v/>
      </c>
      <c r="J635" s="24">
        <f>IF($G635="","",IFERROR(VLOOKUP($G635,物料档案!$A$4:$P$1203,5,0),"※编码不在物料档案里"))</f>
        <v/>
      </c>
      <c r="K635" s="23" t="n">
        <v>70</v>
      </c>
      <c r="L635" s="31" t="n"/>
      <c r="M635" s="24">
        <f>IF($G635="","",IF($D635="A国内","CNY","TZS"))</f>
        <v/>
      </c>
      <c r="N635" s="28">
        <f>IF($G635="","",IF($D635="A国内",汇率,1))</f>
        <v/>
      </c>
      <c r="O635" s="25">
        <f>IF($G635="","",ROUND(N($K635)*N($L635),2))</f>
        <v/>
      </c>
      <c r="P635" s="26">
        <f>IF($G635="","",ROUND($O635*$N635,0))</f>
        <v/>
      </c>
      <c r="Q635" s="26">
        <f>IF($G635="","",SUMIFS($P$4:$P$2503,$E$4:$E$2503,$E635,$Z$4:$Z$2503,"正常"))</f>
        <v/>
      </c>
      <c r="R635" s="26">
        <f>IF($G635="","",SUMIFS(费用台账!$I$4:$I$503,费用台账!$C$4:$C$503,$E635,费用台账!$J$4:$J$503,"是",费用台账!$K$4:$K$503,"正常"))</f>
        <v/>
      </c>
      <c r="S635" s="28">
        <f>IF($G635="","",COUNTIFS($E$4:$E$2503,$E635,$Z$4:$Z$2503,"正常",$Y$4:$Y$2503,"待补价"))</f>
        <v/>
      </c>
      <c r="T635" s="26">
        <f>IF($G635="","",SUMIFS($P$4:$P$2503,$E$4:$E$2503,$E635,$Z$4:$Z$2503,"正常",$A$4:$A$2503,"&lt;="&amp;$A635))</f>
        <v/>
      </c>
      <c r="U635" s="26">
        <f>IF($G635="","",IF(OR($S635&gt;0,$Q635=0,$R635=0,$Z635&lt;&gt;"正常"),0,ROUND($T635/$Q635*$R635,0)-ROUND(($T635-$P635)/$Q635*$R635,0)))</f>
        <v/>
      </c>
      <c r="V635" s="26">
        <f>IF($G635="","",ROUND($P635+$U635,0))</f>
        <v/>
      </c>
      <c r="W635" s="26">
        <f>IF($G635="","",IF(N($K635)=0,0,ROUND($V635/$K635,2)))</f>
        <v/>
      </c>
      <c r="X635" s="17" t="inlineStr">
        <is>
          <t>采购入库</t>
        </is>
      </c>
      <c r="Y635" s="17" t="inlineStr">
        <is>
          <t>待补价</t>
        </is>
      </c>
      <c r="Z635" s="17" t="inlineStr">
        <is>
          <t>正常</t>
        </is>
      </c>
      <c r="AA635" s="17" t="n"/>
      <c r="AB635" s="17" t="inlineStr">
        <is>
          <t>原表第 641 行</t>
        </is>
      </c>
      <c r="AC635" s="24">
        <f>IF($G635="","",IF($H635="※编码不在物料档案里","※物料编码不在档案里",IF(N($K635)&lt;=0,"※入库数量要大于 0",IF(AND($C635&lt;&gt;"",$C635&lt;=结账锁),"※日期早于已结账截止日，不能再录",IF(AND($L635=0,$X635="正常"),"※没填单价，价格状态请选「待补价」",IF(AND($S635&gt;0,$R635&gt;0),"△本批有 "&amp;$S635&amp;" 行没单价，整批运费先挂账没摊",IF(AND($B635&lt;&gt;"",COUNTIF($B$4:$B$2503,$B635)&gt;1),"※入库单号重复","")))))))</f>
        <v/>
      </c>
    </row>
    <row r="636">
      <c r="A636" s="24">
        <f>IF($G636="","",COUNTA($G$4:$G636))</f>
        <v/>
      </c>
      <c r="B636" s="17" t="n"/>
      <c r="C636" s="30" t="n">
        <v>46109</v>
      </c>
      <c r="D636" s="17" t="inlineStr">
        <is>
          <t>A国内</t>
        </is>
      </c>
      <c r="E636" s="17" t="inlineStr">
        <is>
          <t>FCIU8630602-202603</t>
        </is>
      </c>
      <c r="F636" s="17" t="inlineStr">
        <is>
          <t>烟台市金豪矿山机械有限公司</t>
        </is>
      </c>
      <c r="G636" s="17" t="inlineStr">
        <is>
          <t>JH0567</t>
        </is>
      </c>
      <c r="H636" s="24">
        <f>IF($G636="","",IFERROR(VLOOKUP($G636,物料档案!$A$4:$P$1203,3,0),"※编码不在物料档案里"))</f>
        <v/>
      </c>
      <c r="I636" s="24">
        <f>IF($G636="","",IFERROR(VLOOKUP($G636,物料档案!$A$4:$P$1203,4,0),"※编码不在物料档案里"))</f>
        <v/>
      </c>
      <c r="J636" s="24">
        <f>IF($G636="","",IFERROR(VLOOKUP($G636,物料档案!$A$4:$P$1203,5,0),"※编码不在物料档案里"))</f>
        <v/>
      </c>
      <c r="K636" s="23" t="n">
        <v>10</v>
      </c>
      <c r="L636" s="31" t="n"/>
      <c r="M636" s="24">
        <f>IF($G636="","",IF($D636="A国内","CNY","TZS"))</f>
        <v/>
      </c>
      <c r="N636" s="28">
        <f>IF($G636="","",IF($D636="A国内",汇率,1))</f>
        <v/>
      </c>
      <c r="O636" s="25">
        <f>IF($G636="","",ROUND(N($K636)*N($L636),2))</f>
        <v/>
      </c>
      <c r="P636" s="26">
        <f>IF($G636="","",ROUND($O636*$N636,0))</f>
        <v/>
      </c>
      <c r="Q636" s="26">
        <f>IF($G636="","",SUMIFS($P$4:$P$2503,$E$4:$E$2503,$E636,$Z$4:$Z$2503,"正常"))</f>
        <v/>
      </c>
      <c r="R636" s="26">
        <f>IF($G636="","",SUMIFS(费用台账!$I$4:$I$503,费用台账!$C$4:$C$503,$E636,费用台账!$J$4:$J$503,"是",费用台账!$K$4:$K$503,"正常"))</f>
        <v/>
      </c>
      <c r="S636" s="28">
        <f>IF($G636="","",COUNTIFS($E$4:$E$2503,$E636,$Z$4:$Z$2503,"正常",$Y$4:$Y$2503,"待补价"))</f>
        <v/>
      </c>
      <c r="T636" s="26">
        <f>IF($G636="","",SUMIFS($P$4:$P$2503,$E$4:$E$2503,$E636,$Z$4:$Z$2503,"正常",$A$4:$A$2503,"&lt;="&amp;$A636))</f>
        <v/>
      </c>
      <c r="U636" s="26">
        <f>IF($G636="","",IF(OR($S636&gt;0,$Q636=0,$R636=0,$Z636&lt;&gt;"正常"),0,ROUND($T636/$Q636*$R636,0)-ROUND(($T636-$P636)/$Q636*$R636,0)))</f>
        <v/>
      </c>
      <c r="V636" s="26">
        <f>IF($G636="","",ROUND($P636+$U636,0))</f>
        <v/>
      </c>
      <c r="W636" s="26">
        <f>IF($G636="","",IF(N($K636)=0,0,ROUND($V636/$K636,2)))</f>
        <v/>
      </c>
      <c r="X636" s="17" t="inlineStr">
        <is>
          <t>采购入库</t>
        </is>
      </c>
      <c r="Y636" s="17" t="inlineStr">
        <is>
          <t>待补价</t>
        </is>
      </c>
      <c r="Z636" s="17" t="inlineStr">
        <is>
          <t>正常</t>
        </is>
      </c>
      <c r="AA636" s="17" t="n"/>
      <c r="AB636" s="17" t="inlineStr">
        <is>
          <t>原表第 642 行</t>
        </is>
      </c>
      <c r="AC636" s="24">
        <f>IF($G636="","",IF($H636="※编码不在物料档案里","※物料编码不在档案里",IF(N($K636)&lt;=0,"※入库数量要大于 0",IF(AND($C636&lt;&gt;"",$C636&lt;=结账锁),"※日期早于已结账截止日，不能再录",IF(AND($L636=0,$X636="正常"),"※没填单价，价格状态请选「待补价」",IF(AND($S636&gt;0,$R636&gt;0),"△本批有 "&amp;$S636&amp;" 行没单价，整批运费先挂账没摊",IF(AND($B636&lt;&gt;"",COUNTIF($B$4:$B$2503,$B636)&gt;1),"※入库单号重复","")))))))</f>
        <v/>
      </c>
    </row>
    <row r="637">
      <c r="A637" s="24">
        <f>IF($G637="","",COUNTA($G$4:$G637))</f>
        <v/>
      </c>
      <c r="B637" s="17" t="n"/>
      <c r="C637" s="30" t="n">
        <v>46109</v>
      </c>
      <c r="D637" s="17" t="inlineStr">
        <is>
          <t>A国内</t>
        </is>
      </c>
      <c r="E637" s="17" t="inlineStr">
        <is>
          <t>FCIU8630602-202603</t>
        </is>
      </c>
      <c r="F637" s="17" t="inlineStr">
        <is>
          <t>烟台市金豪矿山机械有限公司</t>
        </is>
      </c>
      <c r="G637" s="17" t="inlineStr">
        <is>
          <t>JH0568</t>
        </is>
      </c>
      <c r="H637" s="24">
        <f>IF($G637="","",IFERROR(VLOOKUP($G637,物料档案!$A$4:$P$1203,3,0),"※编码不在物料档案里"))</f>
        <v/>
      </c>
      <c r="I637" s="24">
        <f>IF($G637="","",IFERROR(VLOOKUP($G637,物料档案!$A$4:$P$1203,4,0),"※编码不在物料档案里"))</f>
        <v/>
      </c>
      <c r="J637" s="24">
        <f>IF($G637="","",IFERROR(VLOOKUP($G637,物料档案!$A$4:$P$1203,5,0),"※编码不在物料档案里"))</f>
        <v/>
      </c>
      <c r="K637" s="23" t="n">
        <v>69</v>
      </c>
      <c r="L637" s="31" t="n"/>
      <c r="M637" s="24">
        <f>IF($G637="","",IF($D637="A国内","CNY","TZS"))</f>
        <v/>
      </c>
      <c r="N637" s="28">
        <f>IF($G637="","",IF($D637="A国内",汇率,1))</f>
        <v/>
      </c>
      <c r="O637" s="25">
        <f>IF($G637="","",ROUND(N($K637)*N($L637),2))</f>
        <v/>
      </c>
      <c r="P637" s="26">
        <f>IF($G637="","",ROUND($O637*$N637,0))</f>
        <v/>
      </c>
      <c r="Q637" s="26">
        <f>IF($G637="","",SUMIFS($P$4:$P$2503,$E$4:$E$2503,$E637,$Z$4:$Z$2503,"正常"))</f>
        <v/>
      </c>
      <c r="R637" s="26">
        <f>IF($G637="","",SUMIFS(费用台账!$I$4:$I$503,费用台账!$C$4:$C$503,$E637,费用台账!$J$4:$J$503,"是",费用台账!$K$4:$K$503,"正常"))</f>
        <v/>
      </c>
      <c r="S637" s="28">
        <f>IF($G637="","",COUNTIFS($E$4:$E$2503,$E637,$Z$4:$Z$2503,"正常",$Y$4:$Y$2503,"待补价"))</f>
        <v/>
      </c>
      <c r="T637" s="26">
        <f>IF($G637="","",SUMIFS($P$4:$P$2503,$E$4:$E$2503,$E637,$Z$4:$Z$2503,"正常",$A$4:$A$2503,"&lt;="&amp;$A637))</f>
        <v/>
      </c>
      <c r="U637" s="26">
        <f>IF($G637="","",IF(OR($S637&gt;0,$Q637=0,$R637=0,$Z637&lt;&gt;"正常"),0,ROUND($T637/$Q637*$R637,0)-ROUND(($T637-$P637)/$Q637*$R637,0)))</f>
        <v/>
      </c>
      <c r="V637" s="26">
        <f>IF($G637="","",ROUND($P637+$U637,0))</f>
        <v/>
      </c>
      <c r="W637" s="26">
        <f>IF($G637="","",IF(N($K637)=0,0,ROUND($V637/$K637,2)))</f>
        <v/>
      </c>
      <c r="X637" s="17" t="inlineStr">
        <is>
          <t>采购入库</t>
        </is>
      </c>
      <c r="Y637" s="17" t="inlineStr">
        <is>
          <t>待补价</t>
        </is>
      </c>
      <c r="Z637" s="17" t="inlineStr">
        <is>
          <t>正常</t>
        </is>
      </c>
      <c r="AA637" s="17" t="n"/>
      <c r="AB637" s="17" t="inlineStr">
        <is>
          <t>原表第 643 行</t>
        </is>
      </c>
      <c r="AC637" s="24">
        <f>IF($G637="","",IF($H637="※编码不在物料档案里","※物料编码不在档案里",IF(N($K637)&lt;=0,"※入库数量要大于 0",IF(AND($C637&lt;&gt;"",$C637&lt;=结账锁),"※日期早于已结账截止日，不能再录",IF(AND($L637=0,$X637="正常"),"※没填单价，价格状态请选「待补价」",IF(AND($S637&gt;0,$R637&gt;0),"△本批有 "&amp;$S637&amp;" 行没单价，整批运费先挂账没摊",IF(AND($B637&lt;&gt;"",COUNTIF($B$4:$B$2503,$B637)&gt;1),"※入库单号重复","")))))))</f>
        <v/>
      </c>
    </row>
    <row r="638">
      <c r="A638" s="24">
        <f>IF($G638="","",COUNTA($G$4:$G638))</f>
        <v/>
      </c>
      <c r="B638" s="17" t="n"/>
      <c r="C638" s="30" t="n">
        <v>46109</v>
      </c>
      <c r="D638" s="17" t="inlineStr">
        <is>
          <t>A国内</t>
        </is>
      </c>
      <c r="E638" s="17" t="inlineStr">
        <is>
          <t>FCIU8630602-202603</t>
        </is>
      </c>
      <c r="F638" s="17" t="inlineStr">
        <is>
          <t>烟台市金豪矿山机械有限公司</t>
        </is>
      </c>
      <c r="G638" s="17" t="inlineStr">
        <is>
          <t>JH0569</t>
        </is>
      </c>
      <c r="H638" s="24">
        <f>IF($G638="","",IFERROR(VLOOKUP($G638,物料档案!$A$4:$P$1203,3,0),"※编码不在物料档案里"))</f>
        <v/>
      </c>
      <c r="I638" s="24">
        <f>IF($G638="","",IFERROR(VLOOKUP($G638,物料档案!$A$4:$P$1203,4,0),"※编码不在物料档案里"))</f>
        <v/>
      </c>
      <c r="J638" s="24">
        <f>IF($G638="","",IFERROR(VLOOKUP($G638,物料档案!$A$4:$P$1203,5,0),"※编码不在物料档案里"))</f>
        <v/>
      </c>
      <c r="K638" s="23" t="n">
        <v>18</v>
      </c>
      <c r="L638" s="31" t="n"/>
      <c r="M638" s="24">
        <f>IF($G638="","",IF($D638="A国内","CNY","TZS"))</f>
        <v/>
      </c>
      <c r="N638" s="28">
        <f>IF($G638="","",IF($D638="A国内",汇率,1))</f>
        <v/>
      </c>
      <c r="O638" s="25">
        <f>IF($G638="","",ROUND(N($K638)*N($L638),2))</f>
        <v/>
      </c>
      <c r="P638" s="26">
        <f>IF($G638="","",ROUND($O638*$N638,0))</f>
        <v/>
      </c>
      <c r="Q638" s="26">
        <f>IF($G638="","",SUMIFS($P$4:$P$2503,$E$4:$E$2503,$E638,$Z$4:$Z$2503,"正常"))</f>
        <v/>
      </c>
      <c r="R638" s="26">
        <f>IF($G638="","",SUMIFS(费用台账!$I$4:$I$503,费用台账!$C$4:$C$503,$E638,费用台账!$J$4:$J$503,"是",费用台账!$K$4:$K$503,"正常"))</f>
        <v/>
      </c>
      <c r="S638" s="28">
        <f>IF($G638="","",COUNTIFS($E$4:$E$2503,$E638,$Z$4:$Z$2503,"正常",$Y$4:$Y$2503,"待补价"))</f>
        <v/>
      </c>
      <c r="T638" s="26">
        <f>IF($G638="","",SUMIFS($P$4:$P$2503,$E$4:$E$2503,$E638,$Z$4:$Z$2503,"正常",$A$4:$A$2503,"&lt;="&amp;$A638))</f>
        <v/>
      </c>
      <c r="U638" s="26">
        <f>IF($G638="","",IF(OR($S638&gt;0,$Q638=0,$R638=0,$Z638&lt;&gt;"正常"),0,ROUND($T638/$Q638*$R638,0)-ROUND(($T638-$P638)/$Q638*$R638,0)))</f>
        <v/>
      </c>
      <c r="V638" s="26">
        <f>IF($G638="","",ROUND($P638+$U638,0))</f>
        <v/>
      </c>
      <c r="W638" s="26">
        <f>IF($G638="","",IF(N($K638)=0,0,ROUND($V638/$K638,2)))</f>
        <v/>
      </c>
      <c r="X638" s="17" t="inlineStr">
        <is>
          <t>采购入库</t>
        </is>
      </c>
      <c r="Y638" s="17" t="inlineStr">
        <is>
          <t>待补价</t>
        </is>
      </c>
      <c r="Z638" s="17" t="inlineStr">
        <is>
          <t>正常</t>
        </is>
      </c>
      <c r="AA638" s="17" t="n"/>
      <c r="AB638" s="17" t="inlineStr">
        <is>
          <t>原表第 644 行</t>
        </is>
      </c>
      <c r="AC638" s="24">
        <f>IF($G638="","",IF($H638="※编码不在物料档案里","※物料编码不在档案里",IF(N($K638)&lt;=0,"※入库数量要大于 0",IF(AND($C638&lt;&gt;"",$C638&lt;=结账锁),"※日期早于已结账截止日，不能再录",IF(AND($L638=0,$X638="正常"),"※没填单价，价格状态请选「待补价」",IF(AND($S638&gt;0,$R638&gt;0),"△本批有 "&amp;$S638&amp;" 行没单价，整批运费先挂账没摊",IF(AND($B638&lt;&gt;"",COUNTIF($B$4:$B$2503,$B638)&gt;1),"※入库单号重复","")))))))</f>
        <v/>
      </c>
    </row>
    <row r="639">
      <c r="A639" s="24">
        <f>IF($G639="","",COUNTA($G$4:$G639))</f>
        <v/>
      </c>
      <c r="B639" s="17" t="n"/>
      <c r="C639" s="30" t="n">
        <v>46109</v>
      </c>
      <c r="D639" s="17" t="inlineStr">
        <is>
          <t>A国内</t>
        </is>
      </c>
      <c r="E639" s="17" t="inlineStr">
        <is>
          <t>FCIU8630602-202603</t>
        </is>
      </c>
      <c r="F639" s="17" t="inlineStr">
        <is>
          <t>烟台市金豪矿山机械有限公司</t>
        </is>
      </c>
      <c r="G639" s="17" t="inlineStr">
        <is>
          <t>JH0570</t>
        </is>
      </c>
      <c r="H639" s="24">
        <f>IF($G639="","",IFERROR(VLOOKUP($G639,物料档案!$A$4:$P$1203,3,0),"※编码不在物料档案里"))</f>
        <v/>
      </c>
      <c r="I639" s="24">
        <f>IF($G639="","",IFERROR(VLOOKUP($G639,物料档案!$A$4:$P$1203,4,0),"※编码不在物料档案里"))</f>
        <v/>
      </c>
      <c r="J639" s="24">
        <f>IF($G639="","",IFERROR(VLOOKUP($G639,物料档案!$A$4:$P$1203,5,0),"※编码不在物料档案里"))</f>
        <v/>
      </c>
      <c r="K639" s="23" t="n">
        <v>12</v>
      </c>
      <c r="L639" s="31" t="n"/>
      <c r="M639" s="24">
        <f>IF($G639="","",IF($D639="A国内","CNY","TZS"))</f>
        <v/>
      </c>
      <c r="N639" s="28">
        <f>IF($G639="","",IF($D639="A国内",汇率,1))</f>
        <v/>
      </c>
      <c r="O639" s="25">
        <f>IF($G639="","",ROUND(N($K639)*N($L639),2))</f>
        <v/>
      </c>
      <c r="P639" s="26">
        <f>IF($G639="","",ROUND($O639*$N639,0))</f>
        <v/>
      </c>
      <c r="Q639" s="26">
        <f>IF($G639="","",SUMIFS($P$4:$P$2503,$E$4:$E$2503,$E639,$Z$4:$Z$2503,"正常"))</f>
        <v/>
      </c>
      <c r="R639" s="26">
        <f>IF($G639="","",SUMIFS(费用台账!$I$4:$I$503,费用台账!$C$4:$C$503,$E639,费用台账!$J$4:$J$503,"是",费用台账!$K$4:$K$503,"正常"))</f>
        <v/>
      </c>
      <c r="S639" s="28">
        <f>IF($G639="","",COUNTIFS($E$4:$E$2503,$E639,$Z$4:$Z$2503,"正常",$Y$4:$Y$2503,"待补价"))</f>
        <v/>
      </c>
      <c r="T639" s="26">
        <f>IF($G639="","",SUMIFS($P$4:$P$2503,$E$4:$E$2503,$E639,$Z$4:$Z$2503,"正常",$A$4:$A$2503,"&lt;="&amp;$A639))</f>
        <v/>
      </c>
      <c r="U639" s="26">
        <f>IF($G639="","",IF(OR($S639&gt;0,$Q639=0,$R639=0,$Z639&lt;&gt;"正常"),0,ROUND($T639/$Q639*$R639,0)-ROUND(($T639-$P639)/$Q639*$R639,0)))</f>
        <v/>
      </c>
      <c r="V639" s="26">
        <f>IF($G639="","",ROUND($P639+$U639,0))</f>
        <v/>
      </c>
      <c r="W639" s="26">
        <f>IF($G639="","",IF(N($K639)=0,0,ROUND($V639/$K639,2)))</f>
        <v/>
      </c>
      <c r="X639" s="17" t="inlineStr">
        <is>
          <t>采购入库</t>
        </is>
      </c>
      <c r="Y639" s="17" t="inlineStr">
        <is>
          <t>待补价</t>
        </is>
      </c>
      <c r="Z639" s="17" t="inlineStr">
        <is>
          <t>正常</t>
        </is>
      </c>
      <c r="AA639" s="17" t="n"/>
      <c r="AB639" s="17" t="inlineStr">
        <is>
          <t>原表第 645 行</t>
        </is>
      </c>
      <c r="AC639" s="24">
        <f>IF($G639="","",IF($H639="※编码不在物料档案里","※物料编码不在档案里",IF(N($K639)&lt;=0,"※入库数量要大于 0",IF(AND($C639&lt;&gt;"",$C639&lt;=结账锁),"※日期早于已结账截止日，不能再录",IF(AND($L639=0,$X639="正常"),"※没填单价，价格状态请选「待补价」",IF(AND($S639&gt;0,$R639&gt;0),"△本批有 "&amp;$S639&amp;" 行没单价，整批运费先挂账没摊",IF(AND($B639&lt;&gt;"",COUNTIF($B$4:$B$2503,$B639)&gt;1),"※入库单号重复","")))))))</f>
        <v/>
      </c>
    </row>
    <row r="640">
      <c r="A640" s="24">
        <f>IF($G640="","",COUNTA($G$4:$G640))</f>
        <v/>
      </c>
      <c r="B640" s="17" t="n"/>
      <c r="C640" s="30" t="n">
        <v>46109</v>
      </c>
      <c r="D640" s="17" t="inlineStr">
        <is>
          <t>A国内</t>
        </is>
      </c>
      <c r="E640" s="17" t="inlineStr">
        <is>
          <t>FCIU8630602-202603</t>
        </is>
      </c>
      <c r="F640" s="17" t="inlineStr">
        <is>
          <t>烟台市金豪矿山机械有限公司</t>
        </is>
      </c>
      <c r="G640" s="17" t="inlineStr">
        <is>
          <t>JH0571</t>
        </is>
      </c>
      <c r="H640" s="24">
        <f>IF($G640="","",IFERROR(VLOOKUP($G640,物料档案!$A$4:$P$1203,3,0),"※编码不在物料档案里"))</f>
        <v/>
      </c>
      <c r="I640" s="24">
        <f>IF($G640="","",IFERROR(VLOOKUP($G640,物料档案!$A$4:$P$1203,4,0),"※编码不在物料档案里"))</f>
        <v/>
      </c>
      <c r="J640" s="24">
        <f>IF($G640="","",IFERROR(VLOOKUP($G640,物料档案!$A$4:$P$1203,5,0),"※编码不在物料档案里"))</f>
        <v/>
      </c>
      <c r="K640" s="23" t="n">
        <v>14</v>
      </c>
      <c r="L640" s="31" t="n"/>
      <c r="M640" s="24">
        <f>IF($G640="","",IF($D640="A国内","CNY","TZS"))</f>
        <v/>
      </c>
      <c r="N640" s="28">
        <f>IF($G640="","",IF($D640="A国内",汇率,1))</f>
        <v/>
      </c>
      <c r="O640" s="25">
        <f>IF($G640="","",ROUND(N($K640)*N($L640),2))</f>
        <v/>
      </c>
      <c r="P640" s="26">
        <f>IF($G640="","",ROUND($O640*$N640,0))</f>
        <v/>
      </c>
      <c r="Q640" s="26">
        <f>IF($G640="","",SUMIFS($P$4:$P$2503,$E$4:$E$2503,$E640,$Z$4:$Z$2503,"正常"))</f>
        <v/>
      </c>
      <c r="R640" s="26">
        <f>IF($G640="","",SUMIFS(费用台账!$I$4:$I$503,费用台账!$C$4:$C$503,$E640,费用台账!$J$4:$J$503,"是",费用台账!$K$4:$K$503,"正常"))</f>
        <v/>
      </c>
      <c r="S640" s="28">
        <f>IF($G640="","",COUNTIFS($E$4:$E$2503,$E640,$Z$4:$Z$2503,"正常",$Y$4:$Y$2503,"待补价"))</f>
        <v/>
      </c>
      <c r="T640" s="26">
        <f>IF($G640="","",SUMIFS($P$4:$P$2503,$E$4:$E$2503,$E640,$Z$4:$Z$2503,"正常",$A$4:$A$2503,"&lt;="&amp;$A640))</f>
        <v/>
      </c>
      <c r="U640" s="26">
        <f>IF($G640="","",IF(OR($S640&gt;0,$Q640=0,$R640=0,$Z640&lt;&gt;"正常"),0,ROUND($T640/$Q640*$R640,0)-ROUND(($T640-$P640)/$Q640*$R640,0)))</f>
        <v/>
      </c>
      <c r="V640" s="26">
        <f>IF($G640="","",ROUND($P640+$U640,0))</f>
        <v/>
      </c>
      <c r="W640" s="26">
        <f>IF($G640="","",IF(N($K640)=0,0,ROUND($V640/$K640,2)))</f>
        <v/>
      </c>
      <c r="X640" s="17" t="inlineStr">
        <is>
          <t>采购入库</t>
        </is>
      </c>
      <c r="Y640" s="17" t="inlineStr">
        <is>
          <t>待补价</t>
        </is>
      </c>
      <c r="Z640" s="17" t="inlineStr">
        <is>
          <t>正常</t>
        </is>
      </c>
      <c r="AA640" s="17" t="n"/>
      <c r="AB640" s="17" t="inlineStr">
        <is>
          <t>原表第 646 行</t>
        </is>
      </c>
      <c r="AC640" s="24">
        <f>IF($G640="","",IF($H640="※编码不在物料档案里","※物料编码不在档案里",IF(N($K640)&lt;=0,"※入库数量要大于 0",IF(AND($C640&lt;&gt;"",$C640&lt;=结账锁),"※日期早于已结账截止日，不能再录",IF(AND($L640=0,$X640="正常"),"※没填单价，价格状态请选「待补价」",IF(AND($S640&gt;0,$R640&gt;0),"△本批有 "&amp;$S640&amp;" 行没单价，整批运费先挂账没摊",IF(AND($B640&lt;&gt;"",COUNTIF($B$4:$B$2503,$B640)&gt;1),"※入库单号重复","")))))))</f>
        <v/>
      </c>
    </row>
    <row r="641">
      <c r="A641" s="24">
        <f>IF($G641="","",COUNTA($G$4:$G641))</f>
        <v/>
      </c>
      <c r="B641" s="17" t="n"/>
      <c r="C641" s="30" t="n">
        <v>46109</v>
      </c>
      <c r="D641" s="17" t="inlineStr">
        <is>
          <t>A国内</t>
        </is>
      </c>
      <c r="E641" s="17" t="inlineStr">
        <is>
          <t>FCIU8630602-202603</t>
        </is>
      </c>
      <c r="F641" s="17" t="inlineStr">
        <is>
          <t>烟台市金豪矿山机械有限公司</t>
        </is>
      </c>
      <c r="G641" s="17" t="inlineStr">
        <is>
          <t>JH0572</t>
        </is>
      </c>
      <c r="H641" s="24">
        <f>IF($G641="","",IFERROR(VLOOKUP($G641,物料档案!$A$4:$P$1203,3,0),"※编码不在物料档案里"))</f>
        <v/>
      </c>
      <c r="I641" s="24">
        <f>IF($G641="","",IFERROR(VLOOKUP($G641,物料档案!$A$4:$P$1203,4,0),"※编码不在物料档案里"))</f>
        <v/>
      </c>
      <c r="J641" s="24">
        <f>IF($G641="","",IFERROR(VLOOKUP($G641,物料档案!$A$4:$P$1203,5,0),"※编码不在物料档案里"))</f>
        <v/>
      </c>
      <c r="K641" s="23" t="n">
        <v>26</v>
      </c>
      <c r="L641" s="31" t="n"/>
      <c r="M641" s="24">
        <f>IF($G641="","",IF($D641="A国内","CNY","TZS"))</f>
        <v/>
      </c>
      <c r="N641" s="28">
        <f>IF($G641="","",IF($D641="A国内",汇率,1))</f>
        <v/>
      </c>
      <c r="O641" s="25">
        <f>IF($G641="","",ROUND(N($K641)*N($L641),2))</f>
        <v/>
      </c>
      <c r="P641" s="26">
        <f>IF($G641="","",ROUND($O641*$N641,0))</f>
        <v/>
      </c>
      <c r="Q641" s="26">
        <f>IF($G641="","",SUMIFS($P$4:$P$2503,$E$4:$E$2503,$E641,$Z$4:$Z$2503,"正常"))</f>
        <v/>
      </c>
      <c r="R641" s="26">
        <f>IF($G641="","",SUMIFS(费用台账!$I$4:$I$503,费用台账!$C$4:$C$503,$E641,费用台账!$J$4:$J$503,"是",费用台账!$K$4:$K$503,"正常"))</f>
        <v/>
      </c>
      <c r="S641" s="28">
        <f>IF($G641="","",COUNTIFS($E$4:$E$2503,$E641,$Z$4:$Z$2503,"正常",$Y$4:$Y$2503,"待补价"))</f>
        <v/>
      </c>
      <c r="T641" s="26">
        <f>IF($G641="","",SUMIFS($P$4:$P$2503,$E$4:$E$2503,$E641,$Z$4:$Z$2503,"正常",$A$4:$A$2503,"&lt;="&amp;$A641))</f>
        <v/>
      </c>
      <c r="U641" s="26">
        <f>IF($G641="","",IF(OR($S641&gt;0,$Q641=0,$R641=0,$Z641&lt;&gt;"正常"),0,ROUND($T641/$Q641*$R641,0)-ROUND(($T641-$P641)/$Q641*$R641,0)))</f>
        <v/>
      </c>
      <c r="V641" s="26">
        <f>IF($G641="","",ROUND($P641+$U641,0))</f>
        <v/>
      </c>
      <c r="W641" s="26">
        <f>IF($G641="","",IF(N($K641)=0,0,ROUND($V641/$K641,2)))</f>
        <v/>
      </c>
      <c r="X641" s="17" t="inlineStr">
        <is>
          <t>采购入库</t>
        </is>
      </c>
      <c r="Y641" s="17" t="inlineStr">
        <is>
          <t>待补价</t>
        </is>
      </c>
      <c r="Z641" s="17" t="inlineStr">
        <is>
          <t>正常</t>
        </is>
      </c>
      <c r="AA641" s="17" t="n"/>
      <c r="AB641" s="17" t="inlineStr">
        <is>
          <t>原表第 647 行</t>
        </is>
      </c>
      <c r="AC641" s="24">
        <f>IF($G641="","",IF($H641="※编码不在物料档案里","※物料编码不在档案里",IF(N($K641)&lt;=0,"※入库数量要大于 0",IF(AND($C641&lt;&gt;"",$C641&lt;=结账锁),"※日期早于已结账截止日，不能再录",IF(AND($L641=0,$X641="正常"),"※没填单价，价格状态请选「待补价」",IF(AND($S641&gt;0,$R641&gt;0),"△本批有 "&amp;$S641&amp;" 行没单价，整批运费先挂账没摊",IF(AND($B641&lt;&gt;"",COUNTIF($B$4:$B$2503,$B641)&gt;1),"※入库单号重复","")))))))</f>
        <v/>
      </c>
    </row>
    <row r="642">
      <c r="A642" s="24">
        <f>IF($G642="","",COUNTA($G$4:$G642))</f>
        <v/>
      </c>
      <c r="B642" s="17" t="n"/>
      <c r="C642" s="30" t="n">
        <v>46109</v>
      </c>
      <c r="D642" s="17" t="inlineStr">
        <is>
          <t>A国内</t>
        </is>
      </c>
      <c r="E642" s="17" t="inlineStr">
        <is>
          <t>FCIU8630602-202603</t>
        </is>
      </c>
      <c r="F642" s="17" t="inlineStr">
        <is>
          <t>烟台市金豪矿山机械有限公司</t>
        </is>
      </c>
      <c r="G642" s="17" t="inlineStr">
        <is>
          <t>JH0573</t>
        </is>
      </c>
      <c r="H642" s="24">
        <f>IF($G642="","",IFERROR(VLOOKUP($G642,物料档案!$A$4:$P$1203,3,0),"※编码不在物料档案里"))</f>
        <v/>
      </c>
      <c r="I642" s="24">
        <f>IF($G642="","",IFERROR(VLOOKUP($G642,物料档案!$A$4:$P$1203,4,0),"※编码不在物料档案里"))</f>
        <v/>
      </c>
      <c r="J642" s="24">
        <f>IF($G642="","",IFERROR(VLOOKUP($G642,物料档案!$A$4:$P$1203,5,0),"※编码不在物料档案里"))</f>
        <v/>
      </c>
      <c r="K642" s="23" t="n">
        <v>3</v>
      </c>
      <c r="L642" s="31" t="n"/>
      <c r="M642" s="24">
        <f>IF($G642="","",IF($D642="A国内","CNY","TZS"))</f>
        <v/>
      </c>
      <c r="N642" s="28">
        <f>IF($G642="","",IF($D642="A国内",汇率,1))</f>
        <v/>
      </c>
      <c r="O642" s="25">
        <f>IF($G642="","",ROUND(N($K642)*N($L642),2))</f>
        <v/>
      </c>
      <c r="P642" s="26">
        <f>IF($G642="","",ROUND($O642*$N642,0))</f>
        <v/>
      </c>
      <c r="Q642" s="26">
        <f>IF($G642="","",SUMIFS($P$4:$P$2503,$E$4:$E$2503,$E642,$Z$4:$Z$2503,"正常"))</f>
        <v/>
      </c>
      <c r="R642" s="26">
        <f>IF($G642="","",SUMIFS(费用台账!$I$4:$I$503,费用台账!$C$4:$C$503,$E642,费用台账!$J$4:$J$503,"是",费用台账!$K$4:$K$503,"正常"))</f>
        <v/>
      </c>
      <c r="S642" s="28">
        <f>IF($G642="","",COUNTIFS($E$4:$E$2503,$E642,$Z$4:$Z$2503,"正常",$Y$4:$Y$2503,"待补价"))</f>
        <v/>
      </c>
      <c r="T642" s="26">
        <f>IF($G642="","",SUMIFS($P$4:$P$2503,$E$4:$E$2503,$E642,$Z$4:$Z$2503,"正常",$A$4:$A$2503,"&lt;="&amp;$A642))</f>
        <v/>
      </c>
      <c r="U642" s="26">
        <f>IF($G642="","",IF(OR($S642&gt;0,$Q642=0,$R642=0,$Z642&lt;&gt;"正常"),0,ROUND($T642/$Q642*$R642,0)-ROUND(($T642-$P642)/$Q642*$R642,0)))</f>
        <v/>
      </c>
      <c r="V642" s="26">
        <f>IF($G642="","",ROUND($P642+$U642,0))</f>
        <v/>
      </c>
      <c r="W642" s="26">
        <f>IF($G642="","",IF(N($K642)=0,0,ROUND($V642/$K642,2)))</f>
        <v/>
      </c>
      <c r="X642" s="17" t="inlineStr">
        <is>
          <t>采购入库</t>
        </is>
      </c>
      <c r="Y642" s="17" t="inlineStr">
        <is>
          <t>待补价</t>
        </is>
      </c>
      <c r="Z642" s="17" t="inlineStr">
        <is>
          <t>正常</t>
        </is>
      </c>
      <c r="AA642" s="17" t="n"/>
      <c r="AB642" s="17" t="inlineStr">
        <is>
          <t>原表第 648 行</t>
        </is>
      </c>
      <c r="AC642" s="24">
        <f>IF($G642="","",IF($H642="※编码不在物料档案里","※物料编码不在档案里",IF(N($K642)&lt;=0,"※入库数量要大于 0",IF(AND($C642&lt;&gt;"",$C642&lt;=结账锁),"※日期早于已结账截止日，不能再录",IF(AND($L642=0,$X642="正常"),"※没填单价，价格状态请选「待补价」",IF(AND($S642&gt;0,$R642&gt;0),"△本批有 "&amp;$S642&amp;" 行没单价，整批运费先挂账没摊",IF(AND($B642&lt;&gt;"",COUNTIF($B$4:$B$2503,$B642)&gt;1),"※入库单号重复","")))))))</f>
        <v/>
      </c>
    </row>
    <row r="643">
      <c r="A643" s="24">
        <f>IF($G643="","",COUNTA($G$4:$G643))</f>
        <v/>
      </c>
      <c r="B643" s="17" t="n"/>
      <c r="C643" s="30" t="n">
        <v>46109</v>
      </c>
      <c r="D643" s="17" t="inlineStr">
        <is>
          <t>A国内</t>
        </is>
      </c>
      <c r="E643" s="17" t="inlineStr">
        <is>
          <t>FCIU8630602-202603</t>
        </is>
      </c>
      <c r="F643" s="17" t="inlineStr">
        <is>
          <t>烟台市金豪矿山机械有限公司</t>
        </is>
      </c>
      <c r="G643" s="17" t="inlineStr">
        <is>
          <t>JH0574</t>
        </is>
      </c>
      <c r="H643" s="24">
        <f>IF($G643="","",IFERROR(VLOOKUP($G643,物料档案!$A$4:$P$1203,3,0),"※编码不在物料档案里"))</f>
        <v/>
      </c>
      <c r="I643" s="24">
        <f>IF($G643="","",IFERROR(VLOOKUP($G643,物料档案!$A$4:$P$1203,4,0),"※编码不在物料档案里"))</f>
        <v/>
      </c>
      <c r="J643" s="24">
        <f>IF($G643="","",IFERROR(VLOOKUP($G643,物料档案!$A$4:$P$1203,5,0),"※编码不在物料档案里"))</f>
        <v/>
      </c>
      <c r="K643" s="23" t="n">
        <v>3</v>
      </c>
      <c r="L643" s="31" t="n"/>
      <c r="M643" s="24">
        <f>IF($G643="","",IF($D643="A国内","CNY","TZS"))</f>
        <v/>
      </c>
      <c r="N643" s="28">
        <f>IF($G643="","",IF($D643="A国内",汇率,1))</f>
        <v/>
      </c>
      <c r="O643" s="25">
        <f>IF($G643="","",ROUND(N($K643)*N($L643),2))</f>
        <v/>
      </c>
      <c r="P643" s="26">
        <f>IF($G643="","",ROUND($O643*$N643,0))</f>
        <v/>
      </c>
      <c r="Q643" s="26">
        <f>IF($G643="","",SUMIFS($P$4:$P$2503,$E$4:$E$2503,$E643,$Z$4:$Z$2503,"正常"))</f>
        <v/>
      </c>
      <c r="R643" s="26">
        <f>IF($G643="","",SUMIFS(费用台账!$I$4:$I$503,费用台账!$C$4:$C$503,$E643,费用台账!$J$4:$J$503,"是",费用台账!$K$4:$K$503,"正常"))</f>
        <v/>
      </c>
      <c r="S643" s="28">
        <f>IF($G643="","",COUNTIFS($E$4:$E$2503,$E643,$Z$4:$Z$2503,"正常",$Y$4:$Y$2503,"待补价"))</f>
        <v/>
      </c>
      <c r="T643" s="26">
        <f>IF($G643="","",SUMIFS($P$4:$P$2503,$E$4:$E$2503,$E643,$Z$4:$Z$2503,"正常",$A$4:$A$2503,"&lt;="&amp;$A643))</f>
        <v/>
      </c>
      <c r="U643" s="26">
        <f>IF($G643="","",IF(OR($S643&gt;0,$Q643=0,$R643=0,$Z643&lt;&gt;"正常"),0,ROUND($T643/$Q643*$R643,0)-ROUND(($T643-$P643)/$Q643*$R643,0)))</f>
        <v/>
      </c>
      <c r="V643" s="26">
        <f>IF($G643="","",ROUND($P643+$U643,0))</f>
        <v/>
      </c>
      <c r="W643" s="26">
        <f>IF($G643="","",IF(N($K643)=0,0,ROUND($V643/$K643,2)))</f>
        <v/>
      </c>
      <c r="X643" s="17" t="inlineStr">
        <is>
          <t>采购入库</t>
        </is>
      </c>
      <c r="Y643" s="17" t="inlineStr">
        <is>
          <t>待补价</t>
        </is>
      </c>
      <c r="Z643" s="17" t="inlineStr">
        <is>
          <t>正常</t>
        </is>
      </c>
      <c r="AA643" s="17" t="n"/>
      <c r="AB643" s="17" t="inlineStr">
        <is>
          <t>原表第 649 行</t>
        </is>
      </c>
      <c r="AC643" s="24">
        <f>IF($G643="","",IF($H643="※编码不在物料档案里","※物料编码不在档案里",IF(N($K643)&lt;=0,"※入库数量要大于 0",IF(AND($C643&lt;&gt;"",$C643&lt;=结账锁),"※日期早于已结账截止日，不能再录",IF(AND($L643=0,$X643="正常"),"※没填单价，价格状态请选「待补价」",IF(AND($S643&gt;0,$R643&gt;0),"△本批有 "&amp;$S643&amp;" 行没单价，整批运费先挂账没摊",IF(AND($B643&lt;&gt;"",COUNTIF($B$4:$B$2503,$B643)&gt;1),"※入库单号重复","")))))))</f>
        <v/>
      </c>
    </row>
    <row r="644">
      <c r="A644" s="24">
        <f>IF($G644="","",COUNTA($G$4:$G644))</f>
        <v/>
      </c>
      <c r="B644" s="17" t="n"/>
      <c r="C644" s="30" t="n">
        <v>46109</v>
      </c>
      <c r="D644" s="17" t="inlineStr">
        <is>
          <t>A国内</t>
        </is>
      </c>
      <c r="E644" s="17" t="inlineStr">
        <is>
          <t>FCIU8630602-202603</t>
        </is>
      </c>
      <c r="F644" s="17" t="inlineStr">
        <is>
          <t>烟台市金豪矿山机械有限公司</t>
        </is>
      </c>
      <c r="G644" s="17" t="inlineStr">
        <is>
          <t>JH0575</t>
        </is>
      </c>
      <c r="H644" s="24">
        <f>IF($G644="","",IFERROR(VLOOKUP($G644,物料档案!$A$4:$P$1203,3,0),"※编码不在物料档案里"))</f>
        <v/>
      </c>
      <c r="I644" s="24">
        <f>IF($G644="","",IFERROR(VLOOKUP($G644,物料档案!$A$4:$P$1203,4,0),"※编码不在物料档案里"))</f>
        <v/>
      </c>
      <c r="J644" s="24">
        <f>IF($G644="","",IFERROR(VLOOKUP($G644,物料档案!$A$4:$P$1203,5,0),"※编码不在物料档案里"))</f>
        <v/>
      </c>
      <c r="K644" s="23" t="n">
        <v>2</v>
      </c>
      <c r="L644" s="31" t="n"/>
      <c r="M644" s="24">
        <f>IF($G644="","",IF($D644="A国内","CNY","TZS"))</f>
        <v/>
      </c>
      <c r="N644" s="28">
        <f>IF($G644="","",IF($D644="A国内",汇率,1))</f>
        <v/>
      </c>
      <c r="O644" s="25">
        <f>IF($G644="","",ROUND(N($K644)*N($L644),2))</f>
        <v/>
      </c>
      <c r="P644" s="26">
        <f>IF($G644="","",ROUND($O644*$N644,0))</f>
        <v/>
      </c>
      <c r="Q644" s="26">
        <f>IF($G644="","",SUMIFS($P$4:$P$2503,$E$4:$E$2503,$E644,$Z$4:$Z$2503,"正常"))</f>
        <v/>
      </c>
      <c r="R644" s="26">
        <f>IF($G644="","",SUMIFS(费用台账!$I$4:$I$503,费用台账!$C$4:$C$503,$E644,费用台账!$J$4:$J$503,"是",费用台账!$K$4:$K$503,"正常"))</f>
        <v/>
      </c>
      <c r="S644" s="28">
        <f>IF($G644="","",COUNTIFS($E$4:$E$2503,$E644,$Z$4:$Z$2503,"正常",$Y$4:$Y$2503,"待补价"))</f>
        <v/>
      </c>
      <c r="T644" s="26">
        <f>IF($G644="","",SUMIFS($P$4:$P$2503,$E$4:$E$2503,$E644,$Z$4:$Z$2503,"正常",$A$4:$A$2503,"&lt;="&amp;$A644))</f>
        <v/>
      </c>
      <c r="U644" s="26">
        <f>IF($G644="","",IF(OR($S644&gt;0,$Q644=0,$R644=0,$Z644&lt;&gt;"正常"),0,ROUND($T644/$Q644*$R644,0)-ROUND(($T644-$P644)/$Q644*$R644,0)))</f>
        <v/>
      </c>
      <c r="V644" s="26">
        <f>IF($G644="","",ROUND($P644+$U644,0))</f>
        <v/>
      </c>
      <c r="W644" s="26">
        <f>IF($G644="","",IF(N($K644)=0,0,ROUND($V644/$K644,2)))</f>
        <v/>
      </c>
      <c r="X644" s="17" t="inlineStr">
        <is>
          <t>采购入库</t>
        </is>
      </c>
      <c r="Y644" s="17" t="inlineStr">
        <is>
          <t>待补价</t>
        </is>
      </c>
      <c r="Z644" s="17" t="inlineStr">
        <is>
          <t>正常</t>
        </is>
      </c>
      <c r="AA644" s="17" t="n"/>
      <c r="AB644" s="17" t="inlineStr">
        <is>
          <t>原表第 650 行</t>
        </is>
      </c>
      <c r="AC644" s="24">
        <f>IF($G644="","",IF($H644="※编码不在物料档案里","※物料编码不在档案里",IF(N($K644)&lt;=0,"※入库数量要大于 0",IF(AND($C644&lt;&gt;"",$C644&lt;=结账锁),"※日期早于已结账截止日，不能再录",IF(AND($L644=0,$X644="正常"),"※没填单价，价格状态请选「待补价」",IF(AND($S644&gt;0,$R644&gt;0),"△本批有 "&amp;$S644&amp;" 行没单价，整批运费先挂账没摊",IF(AND($B644&lt;&gt;"",COUNTIF($B$4:$B$2503,$B644)&gt;1),"※入库单号重复","")))))))</f>
        <v/>
      </c>
    </row>
    <row r="645">
      <c r="A645" s="24">
        <f>IF($G645="","",COUNTA($G$4:$G645))</f>
        <v/>
      </c>
      <c r="B645" s="17" t="n"/>
      <c r="C645" s="30" t="n">
        <v>46109</v>
      </c>
      <c r="D645" s="17" t="inlineStr">
        <is>
          <t>A国内</t>
        </is>
      </c>
      <c r="E645" s="17" t="inlineStr">
        <is>
          <t>FCIU8630602-202603</t>
        </is>
      </c>
      <c r="F645" s="17" t="inlineStr">
        <is>
          <t>烟台市金豪矿山机械有限公司</t>
        </is>
      </c>
      <c r="G645" s="17" t="inlineStr">
        <is>
          <t>JH0576</t>
        </is>
      </c>
      <c r="H645" s="24">
        <f>IF($G645="","",IFERROR(VLOOKUP($G645,物料档案!$A$4:$P$1203,3,0),"※编码不在物料档案里"))</f>
        <v/>
      </c>
      <c r="I645" s="24">
        <f>IF($G645="","",IFERROR(VLOOKUP($G645,物料档案!$A$4:$P$1203,4,0),"※编码不在物料档案里"))</f>
        <v/>
      </c>
      <c r="J645" s="24">
        <f>IF($G645="","",IFERROR(VLOOKUP($G645,物料档案!$A$4:$P$1203,5,0),"※编码不在物料档案里"))</f>
        <v/>
      </c>
      <c r="K645" s="23" t="n">
        <v>2</v>
      </c>
      <c r="L645" s="31" t="n"/>
      <c r="M645" s="24">
        <f>IF($G645="","",IF($D645="A国内","CNY","TZS"))</f>
        <v/>
      </c>
      <c r="N645" s="28">
        <f>IF($G645="","",IF($D645="A国内",汇率,1))</f>
        <v/>
      </c>
      <c r="O645" s="25">
        <f>IF($G645="","",ROUND(N($K645)*N($L645),2))</f>
        <v/>
      </c>
      <c r="P645" s="26">
        <f>IF($G645="","",ROUND($O645*$N645,0))</f>
        <v/>
      </c>
      <c r="Q645" s="26">
        <f>IF($G645="","",SUMIFS($P$4:$P$2503,$E$4:$E$2503,$E645,$Z$4:$Z$2503,"正常"))</f>
        <v/>
      </c>
      <c r="R645" s="26">
        <f>IF($G645="","",SUMIFS(费用台账!$I$4:$I$503,费用台账!$C$4:$C$503,$E645,费用台账!$J$4:$J$503,"是",费用台账!$K$4:$K$503,"正常"))</f>
        <v/>
      </c>
      <c r="S645" s="28">
        <f>IF($G645="","",COUNTIFS($E$4:$E$2503,$E645,$Z$4:$Z$2503,"正常",$Y$4:$Y$2503,"待补价"))</f>
        <v/>
      </c>
      <c r="T645" s="26">
        <f>IF($G645="","",SUMIFS($P$4:$P$2503,$E$4:$E$2503,$E645,$Z$4:$Z$2503,"正常",$A$4:$A$2503,"&lt;="&amp;$A645))</f>
        <v/>
      </c>
      <c r="U645" s="26">
        <f>IF($G645="","",IF(OR($S645&gt;0,$Q645=0,$R645=0,$Z645&lt;&gt;"正常"),0,ROUND($T645/$Q645*$R645,0)-ROUND(($T645-$P645)/$Q645*$R645,0)))</f>
        <v/>
      </c>
      <c r="V645" s="26">
        <f>IF($G645="","",ROUND($P645+$U645,0))</f>
        <v/>
      </c>
      <c r="W645" s="26">
        <f>IF($G645="","",IF(N($K645)=0,0,ROUND($V645/$K645,2)))</f>
        <v/>
      </c>
      <c r="X645" s="17" t="inlineStr">
        <is>
          <t>采购入库</t>
        </is>
      </c>
      <c r="Y645" s="17" t="inlineStr">
        <is>
          <t>待补价</t>
        </is>
      </c>
      <c r="Z645" s="17" t="inlineStr">
        <is>
          <t>正常</t>
        </is>
      </c>
      <c r="AA645" s="17" t="n"/>
      <c r="AB645" s="17" t="inlineStr">
        <is>
          <t>原表第 651 行</t>
        </is>
      </c>
      <c r="AC645" s="24">
        <f>IF($G645="","",IF($H645="※编码不在物料档案里","※物料编码不在档案里",IF(N($K645)&lt;=0,"※入库数量要大于 0",IF(AND($C645&lt;&gt;"",$C645&lt;=结账锁),"※日期早于已结账截止日，不能再录",IF(AND($L645=0,$X645="正常"),"※没填单价，价格状态请选「待补价」",IF(AND($S645&gt;0,$R645&gt;0),"△本批有 "&amp;$S645&amp;" 行没单价，整批运费先挂账没摊",IF(AND($B645&lt;&gt;"",COUNTIF($B$4:$B$2503,$B645)&gt;1),"※入库单号重复","")))))))</f>
        <v/>
      </c>
    </row>
    <row r="646">
      <c r="A646" s="24">
        <f>IF($G646="","",COUNTA($G$4:$G646))</f>
        <v/>
      </c>
      <c r="B646" s="17" t="n"/>
      <c r="C646" s="30" t="n">
        <v>46109</v>
      </c>
      <c r="D646" s="17" t="inlineStr">
        <is>
          <t>A国内</t>
        </is>
      </c>
      <c r="E646" s="17" t="inlineStr">
        <is>
          <t>FCIU8630602-202603</t>
        </is>
      </c>
      <c r="F646" s="17" t="inlineStr">
        <is>
          <t>烟台市金豪矿山机械有限公司</t>
        </is>
      </c>
      <c r="G646" s="17" t="inlineStr">
        <is>
          <t>JH0577</t>
        </is>
      </c>
      <c r="H646" s="24">
        <f>IF($G646="","",IFERROR(VLOOKUP($G646,物料档案!$A$4:$P$1203,3,0),"※编码不在物料档案里"))</f>
        <v/>
      </c>
      <c r="I646" s="24">
        <f>IF($G646="","",IFERROR(VLOOKUP($G646,物料档案!$A$4:$P$1203,4,0),"※编码不在物料档案里"))</f>
        <v/>
      </c>
      <c r="J646" s="24">
        <f>IF($G646="","",IFERROR(VLOOKUP($G646,物料档案!$A$4:$P$1203,5,0),"※编码不在物料档案里"))</f>
        <v/>
      </c>
      <c r="K646" s="23" t="n">
        <v>3</v>
      </c>
      <c r="L646" s="31" t="n"/>
      <c r="M646" s="24">
        <f>IF($G646="","",IF($D646="A国内","CNY","TZS"))</f>
        <v/>
      </c>
      <c r="N646" s="28">
        <f>IF($G646="","",IF($D646="A国内",汇率,1))</f>
        <v/>
      </c>
      <c r="O646" s="25">
        <f>IF($G646="","",ROUND(N($K646)*N($L646),2))</f>
        <v/>
      </c>
      <c r="P646" s="26">
        <f>IF($G646="","",ROUND($O646*$N646,0))</f>
        <v/>
      </c>
      <c r="Q646" s="26">
        <f>IF($G646="","",SUMIFS($P$4:$P$2503,$E$4:$E$2503,$E646,$Z$4:$Z$2503,"正常"))</f>
        <v/>
      </c>
      <c r="R646" s="26">
        <f>IF($G646="","",SUMIFS(费用台账!$I$4:$I$503,费用台账!$C$4:$C$503,$E646,费用台账!$J$4:$J$503,"是",费用台账!$K$4:$K$503,"正常"))</f>
        <v/>
      </c>
      <c r="S646" s="28">
        <f>IF($G646="","",COUNTIFS($E$4:$E$2503,$E646,$Z$4:$Z$2503,"正常",$Y$4:$Y$2503,"待补价"))</f>
        <v/>
      </c>
      <c r="T646" s="26">
        <f>IF($G646="","",SUMIFS($P$4:$P$2503,$E$4:$E$2503,$E646,$Z$4:$Z$2503,"正常",$A$4:$A$2503,"&lt;="&amp;$A646))</f>
        <v/>
      </c>
      <c r="U646" s="26">
        <f>IF($G646="","",IF(OR($S646&gt;0,$Q646=0,$R646=0,$Z646&lt;&gt;"正常"),0,ROUND($T646/$Q646*$R646,0)-ROUND(($T646-$P646)/$Q646*$R646,0)))</f>
        <v/>
      </c>
      <c r="V646" s="26">
        <f>IF($G646="","",ROUND($P646+$U646,0))</f>
        <v/>
      </c>
      <c r="W646" s="26">
        <f>IF($G646="","",IF(N($K646)=0,0,ROUND($V646/$K646,2)))</f>
        <v/>
      </c>
      <c r="X646" s="17" t="inlineStr">
        <is>
          <t>采购入库</t>
        </is>
      </c>
      <c r="Y646" s="17" t="inlineStr">
        <is>
          <t>待补价</t>
        </is>
      </c>
      <c r="Z646" s="17" t="inlineStr">
        <is>
          <t>正常</t>
        </is>
      </c>
      <c r="AA646" s="17" t="n"/>
      <c r="AB646" s="17" t="inlineStr">
        <is>
          <t>原表第 652 行</t>
        </is>
      </c>
      <c r="AC646" s="24">
        <f>IF($G646="","",IF($H646="※编码不在物料档案里","※物料编码不在档案里",IF(N($K646)&lt;=0,"※入库数量要大于 0",IF(AND($C646&lt;&gt;"",$C646&lt;=结账锁),"※日期早于已结账截止日，不能再录",IF(AND($L646=0,$X646="正常"),"※没填单价，价格状态请选「待补价」",IF(AND($S646&gt;0,$R646&gt;0),"△本批有 "&amp;$S646&amp;" 行没单价，整批运费先挂账没摊",IF(AND($B646&lt;&gt;"",COUNTIF($B$4:$B$2503,$B646)&gt;1),"※入库单号重复","")))))))</f>
        <v/>
      </c>
    </row>
    <row r="647">
      <c r="A647" s="24">
        <f>IF($G647="","",COUNTA($G$4:$G647))</f>
        <v/>
      </c>
      <c r="B647" s="17" t="n"/>
      <c r="C647" s="30" t="n">
        <v>46109</v>
      </c>
      <c r="D647" s="17" t="inlineStr">
        <is>
          <t>A国内</t>
        </is>
      </c>
      <c r="E647" s="17" t="inlineStr">
        <is>
          <t>FCIU8630602-202603</t>
        </is>
      </c>
      <c r="F647" s="17" t="inlineStr">
        <is>
          <t>烟台市金豪矿山机械有限公司</t>
        </is>
      </c>
      <c r="G647" s="17" t="inlineStr">
        <is>
          <t>JH0578</t>
        </is>
      </c>
      <c r="H647" s="24">
        <f>IF($G647="","",IFERROR(VLOOKUP($G647,物料档案!$A$4:$P$1203,3,0),"※编码不在物料档案里"))</f>
        <v/>
      </c>
      <c r="I647" s="24">
        <f>IF($G647="","",IFERROR(VLOOKUP($G647,物料档案!$A$4:$P$1203,4,0),"※编码不在物料档案里"))</f>
        <v/>
      </c>
      <c r="J647" s="24">
        <f>IF($G647="","",IFERROR(VLOOKUP($G647,物料档案!$A$4:$P$1203,5,0),"※编码不在物料档案里"))</f>
        <v/>
      </c>
      <c r="K647" s="23" t="n">
        <v>14</v>
      </c>
      <c r="L647" s="31" t="n"/>
      <c r="M647" s="24">
        <f>IF($G647="","",IF($D647="A国内","CNY","TZS"))</f>
        <v/>
      </c>
      <c r="N647" s="28">
        <f>IF($G647="","",IF($D647="A国内",汇率,1))</f>
        <v/>
      </c>
      <c r="O647" s="25">
        <f>IF($G647="","",ROUND(N($K647)*N($L647),2))</f>
        <v/>
      </c>
      <c r="P647" s="26">
        <f>IF($G647="","",ROUND($O647*$N647,0))</f>
        <v/>
      </c>
      <c r="Q647" s="26">
        <f>IF($G647="","",SUMIFS($P$4:$P$2503,$E$4:$E$2503,$E647,$Z$4:$Z$2503,"正常"))</f>
        <v/>
      </c>
      <c r="R647" s="26">
        <f>IF($G647="","",SUMIFS(费用台账!$I$4:$I$503,费用台账!$C$4:$C$503,$E647,费用台账!$J$4:$J$503,"是",费用台账!$K$4:$K$503,"正常"))</f>
        <v/>
      </c>
      <c r="S647" s="28">
        <f>IF($G647="","",COUNTIFS($E$4:$E$2503,$E647,$Z$4:$Z$2503,"正常",$Y$4:$Y$2503,"待补价"))</f>
        <v/>
      </c>
      <c r="T647" s="26">
        <f>IF($G647="","",SUMIFS($P$4:$P$2503,$E$4:$E$2503,$E647,$Z$4:$Z$2503,"正常",$A$4:$A$2503,"&lt;="&amp;$A647))</f>
        <v/>
      </c>
      <c r="U647" s="26">
        <f>IF($G647="","",IF(OR($S647&gt;0,$Q647=0,$R647=0,$Z647&lt;&gt;"正常"),0,ROUND($T647/$Q647*$R647,0)-ROUND(($T647-$P647)/$Q647*$R647,0)))</f>
        <v/>
      </c>
      <c r="V647" s="26">
        <f>IF($G647="","",ROUND($P647+$U647,0))</f>
        <v/>
      </c>
      <c r="W647" s="26">
        <f>IF($G647="","",IF(N($K647)=0,0,ROUND($V647/$K647,2)))</f>
        <v/>
      </c>
      <c r="X647" s="17" t="inlineStr">
        <is>
          <t>采购入库</t>
        </is>
      </c>
      <c r="Y647" s="17" t="inlineStr">
        <is>
          <t>待补价</t>
        </is>
      </c>
      <c r="Z647" s="17" t="inlineStr">
        <is>
          <t>正常</t>
        </is>
      </c>
      <c r="AA647" s="17" t="n"/>
      <c r="AB647" s="17" t="inlineStr">
        <is>
          <t>原表第 653 行　单位含包装规格，单价是每「14」的价</t>
        </is>
      </c>
      <c r="AC647" s="24">
        <f>IF($G647="","",IF($H647="※编码不在物料档案里","※物料编码不在档案里",IF(N($K647)&lt;=0,"※入库数量要大于 0",IF(AND($C647&lt;&gt;"",$C647&lt;=结账锁),"※日期早于已结账截止日，不能再录",IF(AND($L647=0,$X647="正常"),"※没填单价，价格状态请选「待补价」",IF(AND($S647&gt;0,$R647&gt;0),"△本批有 "&amp;$S647&amp;" 行没单价，整批运费先挂账没摊",IF(AND($B647&lt;&gt;"",COUNTIF($B$4:$B$2503,$B647)&gt;1),"※入库单号重复","")))))))</f>
        <v/>
      </c>
    </row>
    <row r="648">
      <c r="A648" s="24">
        <f>IF($G648="","",COUNTA($G$4:$G648))</f>
        <v/>
      </c>
      <c r="B648" s="17" t="n"/>
      <c r="C648" s="30" t="n">
        <v>46109</v>
      </c>
      <c r="D648" s="17" t="inlineStr">
        <is>
          <t>A国内</t>
        </is>
      </c>
      <c r="E648" s="17" t="inlineStr">
        <is>
          <t>FCIU8630602-202603</t>
        </is>
      </c>
      <c r="F648" s="17" t="inlineStr">
        <is>
          <t>烟台市金豪矿山机械有限公司</t>
        </is>
      </c>
      <c r="G648" s="17" t="inlineStr">
        <is>
          <t>JH0579</t>
        </is>
      </c>
      <c r="H648" s="24">
        <f>IF($G648="","",IFERROR(VLOOKUP($G648,物料档案!$A$4:$P$1203,3,0),"※编码不在物料档案里"))</f>
        <v/>
      </c>
      <c r="I648" s="24">
        <f>IF($G648="","",IFERROR(VLOOKUP($G648,物料档案!$A$4:$P$1203,4,0),"※编码不在物料档案里"))</f>
        <v/>
      </c>
      <c r="J648" s="24">
        <f>IF($G648="","",IFERROR(VLOOKUP($G648,物料档案!$A$4:$P$1203,5,0),"※编码不在物料档案里"))</f>
        <v/>
      </c>
      <c r="K648" s="23" t="n">
        <v>99</v>
      </c>
      <c r="L648" s="31" t="n"/>
      <c r="M648" s="24">
        <f>IF($G648="","",IF($D648="A国内","CNY","TZS"))</f>
        <v/>
      </c>
      <c r="N648" s="28">
        <f>IF($G648="","",IF($D648="A国内",汇率,1))</f>
        <v/>
      </c>
      <c r="O648" s="25">
        <f>IF($G648="","",ROUND(N($K648)*N($L648),2))</f>
        <v/>
      </c>
      <c r="P648" s="26">
        <f>IF($G648="","",ROUND($O648*$N648,0))</f>
        <v/>
      </c>
      <c r="Q648" s="26">
        <f>IF($G648="","",SUMIFS($P$4:$P$2503,$E$4:$E$2503,$E648,$Z$4:$Z$2503,"正常"))</f>
        <v/>
      </c>
      <c r="R648" s="26">
        <f>IF($G648="","",SUMIFS(费用台账!$I$4:$I$503,费用台账!$C$4:$C$503,$E648,费用台账!$J$4:$J$503,"是",费用台账!$K$4:$K$503,"正常"))</f>
        <v/>
      </c>
      <c r="S648" s="28">
        <f>IF($G648="","",COUNTIFS($E$4:$E$2503,$E648,$Z$4:$Z$2503,"正常",$Y$4:$Y$2503,"待补价"))</f>
        <v/>
      </c>
      <c r="T648" s="26">
        <f>IF($G648="","",SUMIFS($P$4:$P$2503,$E$4:$E$2503,$E648,$Z$4:$Z$2503,"正常",$A$4:$A$2503,"&lt;="&amp;$A648))</f>
        <v/>
      </c>
      <c r="U648" s="26">
        <f>IF($G648="","",IF(OR($S648&gt;0,$Q648=0,$R648=0,$Z648&lt;&gt;"正常"),0,ROUND($T648/$Q648*$R648,0)-ROUND(($T648-$P648)/$Q648*$R648,0)))</f>
        <v/>
      </c>
      <c r="V648" s="26">
        <f>IF($G648="","",ROUND($P648+$U648,0))</f>
        <v/>
      </c>
      <c r="W648" s="26">
        <f>IF($G648="","",IF(N($K648)=0,0,ROUND($V648/$K648,2)))</f>
        <v/>
      </c>
      <c r="X648" s="17" t="inlineStr">
        <is>
          <t>采购入库</t>
        </is>
      </c>
      <c r="Y648" s="17" t="inlineStr">
        <is>
          <t>待补价</t>
        </is>
      </c>
      <c r="Z648" s="17" t="inlineStr">
        <is>
          <t>正常</t>
        </is>
      </c>
      <c r="AA648" s="17" t="n"/>
      <c r="AB648" s="17" t="inlineStr">
        <is>
          <t>原表第 654 行</t>
        </is>
      </c>
      <c r="AC648" s="24">
        <f>IF($G648="","",IF($H648="※编码不在物料档案里","※物料编码不在档案里",IF(N($K648)&lt;=0,"※入库数量要大于 0",IF(AND($C648&lt;&gt;"",$C648&lt;=结账锁),"※日期早于已结账截止日，不能再录",IF(AND($L648=0,$X648="正常"),"※没填单价，价格状态请选「待补价」",IF(AND($S648&gt;0,$R648&gt;0),"△本批有 "&amp;$S648&amp;" 行没单价，整批运费先挂账没摊",IF(AND($B648&lt;&gt;"",COUNTIF($B$4:$B$2503,$B648)&gt;1),"※入库单号重复","")))))))</f>
        <v/>
      </c>
    </row>
    <row r="649">
      <c r="A649" s="24">
        <f>IF($G649="","",COUNTA($G$4:$G649))</f>
        <v/>
      </c>
      <c r="B649" s="17" t="n"/>
      <c r="C649" s="30" t="n">
        <v>46109</v>
      </c>
      <c r="D649" s="17" t="inlineStr">
        <is>
          <t>A国内</t>
        </is>
      </c>
      <c r="E649" s="17" t="inlineStr">
        <is>
          <t>FCIU8630602-202603</t>
        </is>
      </c>
      <c r="F649" s="17" t="inlineStr">
        <is>
          <t>烟台市金豪矿山机械有限公司</t>
        </is>
      </c>
      <c r="G649" s="17" t="inlineStr">
        <is>
          <t>JH0580</t>
        </is>
      </c>
      <c r="H649" s="24">
        <f>IF($G649="","",IFERROR(VLOOKUP($G649,物料档案!$A$4:$P$1203,3,0),"※编码不在物料档案里"))</f>
        <v/>
      </c>
      <c r="I649" s="24">
        <f>IF($G649="","",IFERROR(VLOOKUP($G649,物料档案!$A$4:$P$1203,4,0),"※编码不在物料档案里"))</f>
        <v/>
      </c>
      <c r="J649" s="24">
        <f>IF($G649="","",IFERROR(VLOOKUP($G649,物料档案!$A$4:$P$1203,5,0),"※编码不在物料档案里"))</f>
        <v/>
      </c>
      <c r="K649" s="23" t="n">
        <v>18</v>
      </c>
      <c r="L649" s="31" t="n"/>
      <c r="M649" s="24">
        <f>IF($G649="","",IF($D649="A国内","CNY","TZS"))</f>
        <v/>
      </c>
      <c r="N649" s="28">
        <f>IF($G649="","",IF($D649="A国内",汇率,1))</f>
        <v/>
      </c>
      <c r="O649" s="25">
        <f>IF($G649="","",ROUND(N($K649)*N($L649),2))</f>
        <v/>
      </c>
      <c r="P649" s="26">
        <f>IF($G649="","",ROUND($O649*$N649,0))</f>
        <v/>
      </c>
      <c r="Q649" s="26">
        <f>IF($G649="","",SUMIFS($P$4:$P$2503,$E$4:$E$2503,$E649,$Z$4:$Z$2503,"正常"))</f>
        <v/>
      </c>
      <c r="R649" s="26">
        <f>IF($G649="","",SUMIFS(费用台账!$I$4:$I$503,费用台账!$C$4:$C$503,$E649,费用台账!$J$4:$J$503,"是",费用台账!$K$4:$K$503,"正常"))</f>
        <v/>
      </c>
      <c r="S649" s="28">
        <f>IF($G649="","",COUNTIFS($E$4:$E$2503,$E649,$Z$4:$Z$2503,"正常",$Y$4:$Y$2503,"待补价"))</f>
        <v/>
      </c>
      <c r="T649" s="26">
        <f>IF($G649="","",SUMIFS($P$4:$P$2503,$E$4:$E$2503,$E649,$Z$4:$Z$2503,"正常",$A$4:$A$2503,"&lt;="&amp;$A649))</f>
        <v/>
      </c>
      <c r="U649" s="26">
        <f>IF($G649="","",IF(OR($S649&gt;0,$Q649=0,$R649=0,$Z649&lt;&gt;"正常"),0,ROUND($T649/$Q649*$R649,0)-ROUND(($T649-$P649)/$Q649*$R649,0)))</f>
        <v/>
      </c>
      <c r="V649" s="26">
        <f>IF($G649="","",ROUND($P649+$U649,0))</f>
        <v/>
      </c>
      <c r="W649" s="26">
        <f>IF($G649="","",IF(N($K649)=0,0,ROUND($V649/$K649,2)))</f>
        <v/>
      </c>
      <c r="X649" s="17" t="inlineStr">
        <is>
          <t>采购入库</t>
        </is>
      </c>
      <c r="Y649" s="17" t="inlineStr">
        <is>
          <t>待补价</t>
        </is>
      </c>
      <c r="Z649" s="17" t="inlineStr">
        <is>
          <t>正常</t>
        </is>
      </c>
      <c r="AA649" s="17" t="n"/>
      <c r="AB649" s="17" t="inlineStr">
        <is>
          <t>原表第 655 行</t>
        </is>
      </c>
      <c r="AC649" s="24">
        <f>IF($G649="","",IF($H649="※编码不在物料档案里","※物料编码不在档案里",IF(N($K649)&lt;=0,"※入库数量要大于 0",IF(AND($C649&lt;&gt;"",$C649&lt;=结账锁),"※日期早于已结账截止日，不能再录",IF(AND($L649=0,$X649="正常"),"※没填单价，价格状态请选「待补价」",IF(AND($S649&gt;0,$R649&gt;0),"△本批有 "&amp;$S649&amp;" 行没单价，整批运费先挂账没摊",IF(AND($B649&lt;&gt;"",COUNTIF($B$4:$B$2503,$B649)&gt;1),"※入库单号重复","")))))))</f>
        <v/>
      </c>
    </row>
    <row r="650">
      <c r="A650" s="24">
        <f>IF($G650="","",COUNTA($G$4:$G650))</f>
        <v/>
      </c>
      <c r="B650" s="17" t="n"/>
      <c r="C650" s="30" t="n">
        <v>46109</v>
      </c>
      <c r="D650" s="17" t="inlineStr">
        <is>
          <t>A国内</t>
        </is>
      </c>
      <c r="E650" s="17" t="inlineStr">
        <is>
          <t>FCIU8630602-202603</t>
        </is>
      </c>
      <c r="F650" s="17" t="inlineStr">
        <is>
          <t>烟台市金豪矿山机械有限公司</t>
        </is>
      </c>
      <c r="G650" s="17" t="inlineStr">
        <is>
          <t>JH0581</t>
        </is>
      </c>
      <c r="H650" s="24">
        <f>IF($G650="","",IFERROR(VLOOKUP($G650,物料档案!$A$4:$P$1203,3,0),"※编码不在物料档案里"))</f>
        <v/>
      </c>
      <c r="I650" s="24">
        <f>IF($G650="","",IFERROR(VLOOKUP($G650,物料档案!$A$4:$P$1203,4,0),"※编码不在物料档案里"))</f>
        <v/>
      </c>
      <c r="J650" s="24">
        <f>IF($G650="","",IFERROR(VLOOKUP($G650,物料档案!$A$4:$P$1203,5,0),"※编码不在物料档案里"))</f>
        <v/>
      </c>
      <c r="K650" s="23" t="n">
        <v>16</v>
      </c>
      <c r="L650" s="31" t="n"/>
      <c r="M650" s="24">
        <f>IF($G650="","",IF($D650="A国内","CNY","TZS"))</f>
        <v/>
      </c>
      <c r="N650" s="28">
        <f>IF($G650="","",IF($D650="A国内",汇率,1))</f>
        <v/>
      </c>
      <c r="O650" s="25">
        <f>IF($G650="","",ROUND(N($K650)*N($L650),2))</f>
        <v/>
      </c>
      <c r="P650" s="26">
        <f>IF($G650="","",ROUND($O650*$N650,0))</f>
        <v/>
      </c>
      <c r="Q650" s="26">
        <f>IF($G650="","",SUMIFS($P$4:$P$2503,$E$4:$E$2503,$E650,$Z$4:$Z$2503,"正常"))</f>
        <v/>
      </c>
      <c r="R650" s="26">
        <f>IF($G650="","",SUMIFS(费用台账!$I$4:$I$503,费用台账!$C$4:$C$503,$E650,费用台账!$J$4:$J$503,"是",费用台账!$K$4:$K$503,"正常"))</f>
        <v/>
      </c>
      <c r="S650" s="28">
        <f>IF($G650="","",COUNTIFS($E$4:$E$2503,$E650,$Z$4:$Z$2503,"正常",$Y$4:$Y$2503,"待补价"))</f>
        <v/>
      </c>
      <c r="T650" s="26">
        <f>IF($G650="","",SUMIFS($P$4:$P$2503,$E$4:$E$2503,$E650,$Z$4:$Z$2503,"正常",$A$4:$A$2503,"&lt;="&amp;$A650))</f>
        <v/>
      </c>
      <c r="U650" s="26">
        <f>IF($G650="","",IF(OR($S650&gt;0,$Q650=0,$R650=0,$Z650&lt;&gt;"正常"),0,ROUND($T650/$Q650*$R650,0)-ROUND(($T650-$P650)/$Q650*$R650,0)))</f>
        <v/>
      </c>
      <c r="V650" s="26">
        <f>IF($G650="","",ROUND($P650+$U650,0))</f>
        <v/>
      </c>
      <c r="W650" s="26">
        <f>IF($G650="","",IF(N($K650)=0,0,ROUND($V650/$K650,2)))</f>
        <v/>
      </c>
      <c r="X650" s="17" t="inlineStr">
        <is>
          <t>采购入库</t>
        </is>
      </c>
      <c r="Y650" s="17" t="inlineStr">
        <is>
          <t>待补价</t>
        </is>
      </c>
      <c r="Z650" s="17" t="inlineStr">
        <is>
          <t>正常</t>
        </is>
      </c>
      <c r="AA650" s="17" t="n"/>
      <c r="AB650" s="17" t="inlineStr">
        <is>
          <t>原表第 656 行</t>
        </is>
      </c>
      <c r="AC650" s="24">
        <f>IF($G650="","",IF($H650="※编码不在物料档案里","※物料编码不在档案里",IF(N($K650)&lt;=0,"※入库数量要大于 0",IF(AND($C650&lt;&gt;"",$C650&lt;=结账锁),"※日期早于已结账截止日，不能再录",IF(AND($L650=0,$X650="正常"),"※没填单价，价格状态请选「待补价」",IF(AND($S650&gt;0,$R650&gt;0),"△本批有 "&amp;$S650&amp;" 行没单价，整批运费先挂账没摊",IF(AND($B650&lt;&gt;"",COUNTIF($B$4:$B$2503,$B650)&gt;1),"※入库单号重复","")))))))</f>
        <v/>
      </c>
    </row>
    <row r="651">
      <c r="A651" s="24">
        <f>IF($G651="","",COUNTA($G$4:$G651))</f>
        <v/>
      </c>
      <c r="B651" s="17" t="n"/>
      <c r="C651" s="30" t="n">
        <v>46109</v>
      </c>
      <c r="D651" s="17" t="inlineStr">
        <is>
          <t>A国内</t>
        </is>
      </c>
      <c r="E651" s="17" t="inlineStr">
        <is>
          <t>FCIU8630602-202603</t>
        </is>
      </c>
      <c r="F651" s="17" t="inlineStr">
        <is>
          <t>烟台市金豪矿山机械有限公司</t>
        </is>
      </c>
      <c r="G651" s="17" t="inlineStr">
        <is>
          <t>JH0582</t>
        </is>
      </c>
      <c r="H651" s="24">
        <f>IF($G651="","",IFERROR(VLOOKUP($G651,物料档案!$A$4:$P$1203,3,0),"※编码不在物料档案里"))</f>
        <v/>
      </c>
      <c r="I651" s="24">
        <f>IF($G651="","",IFERROR(VLOOKUP($G651,物料档案!$A$4:$P$1203,4,0),"※编码不在物料档案里"))</f>
        <v/>
      </c>
      <c r="J651" s="24">
        <f>IF($G651="","",IFERROR(VLOOKUP($G651,物料档案!$A$4:$P$1203,5,0),"※编码不在物料档案里"))</f>
        <v/>
      </c>
      <c r="K651" s="23" t="n">
        <v>20</v>
      </c>
      <c r="L651" s="31" t="n"/>
      <c r="M651" s="24">
        <f>IF($G651="","",IF($D651="A国内","CNY","TZS"))</f>
        <v/>
      </c>
      <c r="N651" s="28">
        <f>IF($G651="","",IF($D651="A国内",汇率,1))</f>
        <v/>
      </c>
      <c r="O651" s="25">
        <f>IF($G651="","",ROUND(N($K651)*N($L651),2))</f>
        <v/>
      </c>
      <c r="P651" s="26">
        <f>IF($G651="","",ROUND($O651*$N651,0))</f>
        <v/>
      </c>
      <c r="Q651" s="26">
        <f>IF($G651="","",SUMIFS($P$4:$P$2503,$E$4:$E$2503,$E651,$Z$4:$Z$2503,"正常"))</f>
        <v/>
      </c>
      <c r="R651" s="26">
        <f>IF($G651="","",SUMIFS(费用台账!$I$4:$I$503,费用台账!$C$4:$C$503,$E651,费用台账!$J$4:$J$503,"是",费用台账!$K$4:$K$503,"正常"))</f>
        <v/>
      </c>
      <c r="S651" s="28">
        <f>IF($G651="","",COUNTIFS($E$4:$E$2503,$E651,$Z$4:$Z$2503,"正常",$Y$4:$Y$2503,"待补价"))</f>
        <v/>
      </c>
      <c r="T651" s="26">
        <f>IF($G651="","",SUMIFS($P$4:$P$2503,$E$4:$E$2503,$E651,$Z$4:$Z$2503,"正常",$A$4:$A$2503,"&lt;="&amp;$A651))</f>
        <v/>
      </c>
      <c r="U651" s="26">
        <f>IF($G651="","",IF(OR($S651&gt;0,$Q651=0,$R651=0,$Z651&lt;&gt;"正常"),0,ROUND($T651/$Q651*$R651,0)-ROUND(($T651-$P651)/$Q651*$R651,0)))</f>
        <v/>
      </c>
      <c r="V651" s="26">
        <f>IF($G651="","",ROUND($P651+$U651,0))</f>
        <v/>
      </c>
      <c r="W651" s="26">
        <f>IF($G651="","",IF(N($K651)=0,0,ROUND($V651/$K651,2)))</f>
        <v/>
      </c>
      <c r="X651" s="17" t="inlineStr">
        <is>
          <t>采购入库</t>
        </is>
      </c>
      <c r="Y651" s="17" t="inlineStr">
        <is>
          <t>待补价</t>
        </is>
      </c>
      <c r="Z651" s="17" t="inlineStr">
        <is>
          <t>正常</t>
        </is>
      </c>
      <c r="AA651" s="17" t="n"/>
      <c r="AB651" s="17" t="inlineStr">
        <is>
          <t>原表第 657 行</t>
        </is>
      </c>
      <c r="AC651" s="24">
        <f>IF($G651="","",IF($H651="※编码不在物料档案里","※物料编码不在档案里",IF(N($K651)&lt;=0,"※入库数量要大于 0",IF(AND($C651&lt;&gt;"",$C651&lt;=结账锁),"※日期早于已结账截止日，不能再录",IF(AND($L651=0,$X651="正常"),"※没填单价，价格状态请选「待补价」",IF(AND($S651&gt;0,$R651&gt;0),"△本批有 "&amp;$S651&amp;" 行没单价，整批运费先挂账没摊",IF(AND($B651&lt;&gt;"",COUNTIF($B$4:$B$2503,$B651)&gt;1),"※入库单号重复","")))))))</f>
        <v/>
      </c>
    </row>
    <row r="652">
      <c r="A652" s="24">
        <f>IF($G652="","",COUNTA($G$4:$G652))</f>
        <v/>
      </c>
      <c r="B652" s="17" t="n"/>
      <c r="C652" s="30" t="n">
        <v>46109</v>
      </c>
      <c r="D652" s="17" t="inlineStr">
        <is>
          <t>A国内</t>
        </is>
      </c>
      <c r="E652" s="17" t="inlineStr">
        <is>
          <t>FCIU8630602-202603</t>
        </is>
      </c>
      <c r="F652" s="17" t="inlineStr">
        <is>
          <t>烟台市金豪矿山机械有限公司</t>
        </is>
      </c>
      <c r="G652" s="17" t="inlineStr">
        <is>
          <t>JH0583</t>
        </is>
      </c>
      <c r="H652" s="24">
        <f>IF($G652="","",IFERROR(VLOOKUP($G652,物料档案!$A$4:$P$1203,3,0),"※编码不在物料档案里"))</f>
        <v/>
      </c>
      <c r="I652" s="24">
        <f>IF($G652="","",IFERROR(VLOOKUP($G652,物料档案!$A$4:$P$1203,4,0),"※编码不在物料档案里"))</f>
        <v/>
      </c>
      <c r="J652" s="24">
        <f>IF($G652="","",IFERROR(VLOOKUP($G652,物料档案!$A$4:$P$1203,5,0),"※编码不在物料档案里"))</f>
        <v/>
      </c>
      <c r="K652" s="23" t="n">
        <v>35</v>
      </c>
      <c r="L652" s="31" t="n"/>
      <c r="M652" s="24">
        <f>IF($G652="","",IF($D652="A国内","CNY","TZS"))</f>
        <v/>
      </c>
      <c r="N652" s="28">
        <f>IF($G652="","",IF($D652="A国内",汇率,1))</f>
        <v/>
      </c>
      <c r="O652" s="25">
        <f>IF($G652="","",ROUND(N($K652)*N($L652),2))</f>
        <v/>
      </c>
      <c r="P652" s="26">
        <f>IF($G652="","",ROUND($O652*$N652,0))</f>
        <v/>
      </c>
      <c r="Q652" s="26">
        <f>IF($G652="","",SUMIFS($P$4:$P$2503,$E$4:$E$2503,$E652,$Z$4:$Z$2503,"正常"))</f>
        <v/>
      </c>
      <c r="R652" s="26">
        <f>IF($G652="","",SUMIFS(费用台账!$I$4:$I$503,费用台账!$C$4:$C$503,$E652,费用台账!$J$4:$J$503,"是",费用台账!$K$4:$K$503,"正常"))</f>
        <v/>
      </c>
      <c r="S652" s="28">
        <f>IF($G652="","",COUNTIFS($E$4:$E$2503,$E652,$Z$4:$Z$2503,"正常",$Y$4:$Y$2503,"待补价"))</f>
        <v/>
      </c>
      <c r="T652" s="26">
        <f>IF($G652="","",SUMIFS($P$4:$P$2503,$E$4:$E$2503,$E652,$Z$4:$Z$2503,"正常",$A$4:$A$2503,"&lt;="&amp;$A652))</f>
        <v/>
      </c>
      <c r="U652" s="26">
        <f>IF($G652="","",IF(OR($S652&gt;0,$Q652=0,$R652=0,$Z652&lt;&gt;"正常"),0,ROUND($T652/$Q652*$R652,0)-ROUND(($T652-$P652)/$Q652*$R652,0)))</f>
        <v/>
      </c>
      <c r="V652" s="26">
        <f>IF($G652="","",ROUND($P652+$U652,0))</f>
        <v/>
      </c>
      <c r="W652" s="26">
        <f>IF($G652="","",IF(N($K652)=0,0,ROUND($V652/$K652,2)))</f>
        <v/>
      </c>
      <c r="X652" s="17" t="inlineStr">
        <is>
          <t>采购入库</t>
        </is>
      </c>
      <c r="Y652" s="17" t="inlineStr">
        <is>
          <t>待补价</t>
        </is>
      </c>
      <c r="Z652" s="17" t="inlineStr">
        <is>
          <t>正常</t>
        </is>
      </c>
      <c r="AA652" s="17" t="n"/>
      <c r="AB652" s="17" t="inlineStr">
        <is>
          <t>原表第 658 行</t>
        </is>
      </c>
      <c r="AC652" s="24">
        <f>IF($G652="","",IF($H652="※编码不在物料档案里","※物料编码不在档案里",IF(N($K652)&lt;=0,"※入库数量要大于 0",IF(AND($C652&lt;&gt;"",$C652&lt;=结账锁),"※日期早于已结账截止日，不能再录",IF(AND($L652=0,$X652="正常"),"※没填单价，价格状态请选「待补价」",IF(AND($S652&gt;0,$R652&gt;0),"△本批有 "&amp;$S652&amp;" 行没单价，整批运费先挂账没摊",IF(AND($B652&lt;&gt;"",COUNTIF($B$4:$B$2503,$B652)&gt;1),"※入库单号重复","")))))))</f>
        <v/>
      </c>
    </row>
    <row r="653">
      <c r="A653" s="24">
        <f>IF($G653="","",COUNTA($G$4:$G653))</f>
        <v/>
      </c>
      <c r="B653" s="17" t="n"/>
      <c r="C653" s="30" t="n">
        <v>46109</v>
      </c>
      <c r="D653" s="17" t="inlineStr">
        <is>
          <t>A国内</t>
        </is>
      </c>
      <c r="E653" s="17" t="inlineStr">
        <is>
          <t>FCIU8630602-202603</t>
        </is>
      </c>
      <c r="F653" s="17" t="inlineStr">
        <is>
          <t>烟台市金豪矿山机械有限公司</t>
        </is>
      </c>
      <c r="G653" s="17" t="inlineStr">
        <is>
          <t>JH0584</t>
        </is>
      </c>
      <c r="H653" s="24">
        <f>IF($G653="","",IFERROR(VLOOKUP($G653,物料档案!$A$4:$P$1203,3,0),"※编码不在物料档案里"))</f>
        <v/>
      </c>
      <c r="I653" s="24">
        <f>IF($G653="","",IFERROR(VLOOKUP($G653,物料档案!$A$4:$P$1203,4,0),"※编码不在物料档案里"))</f>
        <v/>
      </c>
      <c r="J653" s="24">
        <f>IF($G653="","",IFERROR(VLOOKUP($G653,物料档案!$A$4:$P$1203,5,0),"※编码不在物料档案里"))</f>
        <v/>
      </c>
      <c r="K653" s="23" t="n">
        <v>4</v>
      </c>
      <c r="L653" s="31" t="n"/>
      <c r="M653" s="24">
        <f>IF($G653="","",IF($D653="A国内","CNY","TZS"))</f>
        <v/>
      </c>
      <c r="N653" s="28">
        <f>IF($G653="","",IF($D653="A国内",汇率,1))</f>
        <v/>
      </c>
      <c r="O653" s="25">
        <f>IF($G653="","",ROUND(N($K653)*N($L653),2))</f>
        <v/>
      </c>
      <c r="P653" s="26">
        <f>IF($G653="","",ROUND($O653*$N653,0))</f>
        <v/>
      </c>
      <c r="Q653" s="26">
        <f>IF($G653="","",SUMIFS($P$4:$P$2503,$E$4:$E$2503,$E653,$Z$4:$Z$2503,"正常"))</f>
        <v/>
      </c>
      <c r="R653" s="26">
        <f>IF($G653="","",SUMIFS(费用台账!$I$4:$I$503,费用台账!$C$4:$C$503,$E653,费用台账!$J$4:$J$503,"是",费用台账!$K$4:$K$503,"正常"))</f>
        <v/>
      </c>
      <c r="S653" s="28">
        <f>IF($G653="","",COUNTIFS($E$4:$E$2503,$E653,$Z$4:$Z$2503,"正常",$Y$4:$Y$2503,"待补价"))</f>
        <v/>
      </c>
      <c r="T653" s="26">
        <f>IF($G653="","",SUMIFS($P$4:$P$2503,$E$4:$E$2503,$E653,$Z$4:$Z$2503,"正常",$A$4:$A$2503,"&lt;="&amp;$A653))</f>
        <v/>
      </c>
      <c r="U653" s="26">
        <f>IF($G653="","",IF(OR($S653&gt;0,$Q653=0,$R653=0,$Z653&lt;&gt;"正常"),0,ROUND($T653/$Q653*$R653,0)-ROUND(($T653-$P653)/$Q653*$R653,0)))</f>
        <v/>
      </c>
      <c r="V653" s="26">
        <f>IF($G653="","",ROUND($P653+$U653,0))</f>
        <v/>
      </c>
      <c r="W653" s="26">
        <f>IF($G653="","",IF(N($K653)=0,0,ROUND($V653/$K653,2)))</f>
        <v/>
      </c>
      <c r="X653" s="17" t="inlineStr">
        <is>
          <t>采购入库</t>
        </is>
      </c>
      <c r="Y653" s="17" t="inlineStr">
        <is>
          <t>待补价</t>
        </is>
      </c>
      <c r="Z653" s="17" t="inlineStr">
        <is>
          <t>正常</t>
        </is>
      </c>
      <c r="AA653" s="17" t="n"/>
      <c r="AB653" s="17" t="inlineStr">
        <is>
          <t>原表第 659 行</t>
        </is>
      </c>
      <c r="AC653" s="24">
        <f>IF($G653="","",IF($H653="※编码不在物料档案里","※物料编码不在档案里",IF(N($K653)&lt;=0,"※入库数量要大于 0",IF(AND($C653&lt;&gt;"",$C653&lt;=结账锁),"※日期早于已结账截止日，不能再录",IF(AND($L653=0,$X653="正常"),"※没填单价，价格状态请选「待补价」",IF(AND($S653&gt;0,$R653&gt;0),"△本批有 "&amp;$S653&amp;" 行没单价，整批运费先挂账没摊",IF(AND($B653&lt;&gt;"",COUNTIF($B$4:$B$2503,$B653)&gt;1),"※入库单号重复","")))))))</f>
        <v/>
      </c>
    </row>
    <row r="654">
      <c r="A654" s="24">
        <f>IF($G654="","",COUNTA($G$4:$G654))</f>
        <v/>
      </c>
      <c r="B654" s="17" t="n"/>
      <c r="C654" s="30" t="n">
        <v>46109</v>
      </c>
      <c r="D654" s="17" t="inlineStr">
        <is>
          <t>A国内</t>
        </is>
      </c>
      <c r="E654" s="17" t="inlineStr">
        <is>
          <t>FCIU8630602-202603</t>
        </is>
      </c>
      <c r="F654" s="17" t="inlineStr">
        <is>
          <t>烟台市金豪矿山机械有限公司</t>
        </is>
      </c>
      <c r="G654" s="17" t="inlineStr">
        <is>
          <t>JH0585</t>
        </is>
      </c>
      <c r="H654" s="24">
        <f>IF($G654="","",IFERROR(VLOOKUP($G654,物料档案!$A$4:$P$1203,3,0),"※编码不在物料档案里"))</f>
        <v/>
      </c>
      <c r="I654" s="24">
        <f>IF($G654="","",IFERROR(VLOOKUP($G654,物料档案!$A$4:$P$1203,4,0),"※编码不在物料档案里"))</f>
        <v/>
      </c>
      <c r="J654" s="24">
        <f>IF($G654="","",IFERROR(VLOOKUP($G654,物料档案!$A$4:$P$1203,5,0),"※编码不在物料档案里"))</f>
        <v/>
      </c>
      <c r="K654" s="23" t="n">
        <v>4</v>
      </c>
      <c r="L654" s="31" t="n"/>
      <c r="M654" s="24">
        <f>IF($G654="","",IF($D654="A国内","CNY","TZS"))</f>
        <v/>
      </c>
      <c r="N654" s="28">
        <f>IF($G654="","",IF($D654="A国内",汇率,1))</f>
        <v/>
      </c>
      <c r="O654" s="25">
        <f>IF($G654="","",ROUND(N($K654)*N($L654),2))</f>
        <v/>
      </c>
      <c r="P654" s="26">
        <f>IF($G654="","",ROUND($O654*$N654,0))</f>
        <v/>
      </c>
      <c r="Q654" s="26">
        <f>IF($G654="","",SUMIFS($P$4:$P$2503,$E$4:$E$2503,$E654,$Z$4:$Z$2503,"正常"))</f>
        <v/>
      </c>
      <c r="R654" s="26">
        <f>IF($G654="","",SUMIFS(费用台账!$I$4:$I$503,费用台账!$C$4:$C$503,$E654,费用台账!$J$4:$J$503,"是",费用台账!$K$4:$K$503,"正常"))</f>
        <v/>
      </c>
      <c r="S654" s="28">
        <f>IF($G654="","",COUNTIFS($E$4:$E$2503,$E654,$Z$4:$Z$2503,"正常",$Y$4:$Y$2503,"待补价"))</f>
        <v/>
      </c>
      <c r="T654" s="26">
        <f>IF($G654="","",SUMIFS($P$4:$P$2503,$E$4:$E$2503,$E654,$Z$4:$Z$2503,"正常",$A$4:$A$2503,"&lt;="&amp;$A654))</f>
        <v/>
      </c>
      <c r="U654" s="26">
        <f>IF($G654="","",IF(OR($S654&gt;0,$Q654=0,$R654=0,$Z654&lt;&gt;"正常"),0,ROUND($T654/$Q654*$R654,0)-ROUND(($T654-$P654)/$Q654*$R654,0)))</f>
        <v/>
      </c>
      <c r="V654" s="26">
        <f>IF($G654="","",ROUND($P654+$U654,0))</f>
        <v/>
      </c>
      <c r="W654" s="26">
        <f>IF($G654="","",IF(N($K654)=0,0,ROUND($V654/$K654,2)))</f>
        <v/>
      </c>
      <c r="X654" s="17" t="inlineStr">
        <is>
          <t>采购入库</t>
        </is>
      </c>
      <c r="Y654" s="17" t="inlineStr">
        <is>
          <t>待补价</t>
        </is>
      </c>
      <c r="Z654" s="17" t="inlineStr">
        <is>
          <t>正常</t>
        </is>
      </c>
      <c r="AA654" s="17" t="n"/>
      <c r="AB654" s="17" t="inlineStr">
        <is>
          <t>原表第 660 行</t>
        </is>
      </c>
      <c r="AC654" s="24">
        <f>IF($G654="","",IF($H654="※编码不在物料档案里","※物料编码不在档案里",IF(N($K654)&lt;=0,"※入库数量要大于 0",IF(AND($C654&lt;&gt;"",$C654&lt;=结账锁),"※日期早于已结账截止日，不能再录",IF(AND($L654=0,$X654="正常"),"※没填单价，价格状态请选「待补价」",IF(AND($S654&gt;0,$R654&gt;0),"△本批有 "&amp;$S654&amp;" 行没单价，整批运费先挂账没摊",IF(AND($B654&lt;&gt;"",COUNTIF($B$4:$B$2503,$B654)&gt;1),"※入库单号重复","")))))))</f>
        <v/>
      </c>
    </row>
    <row r="655">
      <c r="A655" s="24">
        <f>IF($G655="","",COUNTA($G$4:$G655))</f>
        <v/>
      </c>
      <c r="B655" s="17" t="n"/>
      <c r="C655" s="30" t="n">
        <v>46109</v>
      </c>
      <c r="D655" s="17" t="inlineStr">
        <is>
          <t>A国内</t>
        </is>
      </c>
      <c r="E655" s="17" t="inlineStr">
        <is>
          <t>FCIU8630602-202603</t>
        </is>
      </c>
      <c r="F655" s="17" t="inlineStr">
        <is>
          <t>烟台市金豪矿山机械有限公司</t>
        </is>
      </c>
      <c r="G655" s="17" t="inlineStr">
        <is>
          <t>JH0586</t>
        </is>
      </c>
      <c r="H655" s="24">
        <f>IF($G655="","",IFERROR(VLOOKUP($G655,物料档案!$A$4:$P$1203,3,0),"※编码不在物料档案里"))</f>
        <v/>
      </c>
      <c r="I655" s="24">
        <f>IF($G655="","",IFERROR(VLOOKUP($G655,物料档案!$A$4:$P$1203,4,0),"※编码不在物料档案里"))</f>
        <v/>
      </c>
      <c r="J655" s="24">
        <f>IF($G655="","",IFERROR(VLOOKUP($G655,物料档案!$A$4:$P$1203,5,0),"※编码不在物料档案里"))</f>
        <v/>
      </c>
      <c r="K655" s="23" t="n">
        <v>2</v>
      </c>
      <c r="L655" s="31" t="n"/>
      <c r="M655" s="24">
        <f>IF($G655="","",IF($D655="A国内","CNY","TZS"))</f>
        <v/>
      </c>
      <c r="N655" s="28">
        <f>IF($G655="","",IF($D655="A国内",汇率,1))</f>
        <v/>
      </c>
      <c r="O655" s="25">
        <f>IF($G655="","",ROUND(N($K655)*N($L655),2))</f>
        <v/>
      </c>
      <c r="P655" s="26">
        <f>IF($G655="","",ROUND($O655*$N655,0))</f>
        <v/>
      </c>
      <c r="Q655" s="26">
        <f>IF($G655="","",SUMIFS($P$4:$P$2503,$E$4:$E$2503,$E655,$Z$4:$Z$2503,"正常"))</f>
        <v/>
      </c>
      <c r="R655" s="26">
        <f>IF($G655="","",SUMIFS(费用台账!$I$4:$I$503,费用台账!$C$4:$C$503,$E655,费用台账!$J$4:$J$503,"是",费用台账!$K$4:$K$503,"正常"))</f>
        <v/>
      </c>
      <c r="S655" s="28">
        <f>IF($G655="","",COUNTIFS($E$4:$E$2503,$E655,$Z$4:$Z$2503,"正常",$Y$4:$Y$2503,"待补价"))</f>
        <v/>
      </c>
      <c r="T655" s="26">
        <f>IF($G655="","",SUMIFS($P$4:$P$2503,$E$4:$E$2503,$E655,$Z$4:$Z$2503,"正常",$A$4:$A$2503,"&lt;="&amp;$A655))</f>
        <v/>
      </c>
      <c r="U655" s="26">
        <f>IF($G655="","",IF(OR($S655&gt;0,$Q655=0,$R655=0,$Z655&lt;&gt;"正常"),0,ROUND($T655/$Q655*$R655,0)-ROUND(($T655-$P655)/$Q655*$R655,0)))</f>
        <v/>
      </c>
      <c r="V655" s="26">
        <f>IF($G655="","",ROUND($P655+$U655,0))</f>
        <v/>
      </c>
      <c r="W655" s="26">
        <f>IF($G655="","",IF(N($K655)=0,0,ROUND($V655/$K655,2)))</f>
        <v/>
      </c>
      <c r="X655" s="17" t="inlineStr">
        <is>
          <t>采购入库</t>
        </is>
      </c>
      <c r="Y655" s="17" t="inlineStr">
        <is>
          <t>待补价</t>
        </is>
      </c>
      <c r="Z655" s="17" t="inlineStr">
        <is>
          <t>正常</t>
        </is>
      </c>
      <c r="AA655" s="17" t="n"/>
      <c r="AB655" s="17" t="inlineStr">
        <is>
          <t>原表第 661 行</t>
        </is>
      </c>
      <c r="AC655" s="24">
        <f>IF($G655="","",IF($H655="※编码不在物料档案里","※物料编码不在档案里",IF(N($K655)&lt;=0,"※入库数量要大于 0",IF(AND($C655&lt;&gt;"",$C655&lt;=结账锁),"※日期早于已结账截止日，不能再录",IF(AND($L655=0,$X655="正常"),"※没填单价，价格状态请选「待补价」",IF(AND($S655&gt;0,$R655&gt;0),"△本批有 "&amp;$S655&amp;" 行没单价，整批运费先挂账没摊",IF(AND($B655&lt;&gt;"",COUNTIF($B$4:$B$2503,$B655)&gt;1),"※入库单号重复","")))))))</f>
        <v/>
      </c>
    </row>
    <row r="656">
      <c r="A656" s="24">
        <f>IF($G656="","",COUNTA($G$4:$G656))</f>
        <v/>
      </c>
      <c r="B656" s="17" t="n"/>
      <c r="C656" s="30" t="n">
        <v>46109</v>
      </c>
      <c r="D656" s="17" t="inlineStr">
        <is>
          <t>A国内</t>
        </is>
      </c>
      <c r="E656" s="17" t="inlineStr">
        <is>
          <t>FCIU8630602-202603</t>
        </is>
      </c>
      <c r="F656" s="17" t="inlineStr">
        <is>
          <t>烟台市金豪矿山机械有限公司</t>
        </is>
      </c>
      <c r="G656" s="17" t="inlineStr">
        <is>
          <t>JH0587</t>
        </is>
      </c>
      <c r="H656" s="24">
        <f>IF($G656="","",IFERROR(VLOOKUP($G656,物料档案!$A$4:$P$1203,3,0),"※编码不在物料档案里"))</f>
        <v/>
      </c>
      <c r="I656" s="24">
        <f>IF($G656="","",IFERROR(VLOOKUP($G656,物料档案!$A$4:$P$1203,4,0),"※编码不在物料档案里"))</f>
        <v/>
      </c>
      <c r="J656" s="24">
        <f>IF($G656="","",IFERROR(VLOOKUP($G656,物料档案!$A$4:$P$1203,5,0),"※编码不在物料档案里"))</f>
        <v/>
      </c>
      <c r="K656" s="23" t="n">
        <v>2</v>
      </c>
      <c r="L656" s="31" t="n"/>
      <c r="M656" s="24">
        <f>IF($G656="","",IF($D656="A国内","CNY","TZS"))</f>
        <v/>
      </c>
      <c r="N656" s="28">
        <f>IF($G656="","",IF($D656="A国内",汇率,1))</f>
        <v/>
      </c>
      <c r="O656" s="25">
        <f>IF($G656="","",ROUND(N($K656)*N($L656),2))</f>
        <v/>
      </c>
      <c r="P656" s="26">
        <f>IF($G656="","",ROUND($O656*$N656,0))</f>
        <v/>
      </c>
      <c r="Q656" s="26">
        <f>IF($G656="","",SUMIFS($P$4:$P$2503,$E$4:$E$2503,$E656,$Z$4:$Z$2503,"正常"))</f>
        <v/>
      </c>
      <c r="R656" s="26">
        <f>IF($G656="","",SUMIFS(费用台账!$I$4:$I$503,费用台账!$C$4:$C$503,$E656,费用台账!$J$4:$J$503,"是",费用台账!$K$4:$K$503,"正常"))</f>
        <v/>
      </c>
      <c r="S656" s="28">
        <f>IF($G656="","",COUNTIFS($E$4:$E$2503,$E656,$Z$4:$Z$2503,"正常",$Y$4:$Y$2503,"待补价"))</f>
        <v/>
      </c>
      <c r="T656" s="26">
        <f>IF($G656="","",SUMIFS($P$4:$P$2503,$E$4:$E$2503,$E656,$Z$4:$Z$2503,"正常",$A$4:$A$2503,"&lt;="&amp;$A656))</f>
        <v/>
      </c>
      <c r="U656" s="26">
        <f>IF($G656="","",IF(OR($S656&gt;0,$Q656=0,$R656=0,$Z656&lt;&gt;"正常"),0,ROUND($T656/$Q656*$R656,0)-ROUND(($T656-$P656)/$Q656*$R656,0)))</f>
        <v/>
      </c>
      <c r="V656" s="26">
        <f>IF($G656="","",ROUND($P656+$U656,0))</f>
        <v/>
      </c>
      <c r="W656" s="26">
        <f>IF($G656="","",IF(N($K656)=0,0,ROUND($V656/$K656,2)))</f>
        <v/>
      </c>
      <c r="X656" s="17" t="inlineStr">
        <is>
          <t>采购入库</t>
        </is>
      </c>
      <c r="Y656" s="17" t="inlineStr">
        <is>
          <t>待补价</t>
        </is>
      </c>
      <c r="Z656" s="17" t="inlineStr">
        <is>
          <t>正常</t>
        </is>
      </c>
      <c r="AA656" s="17" t="n"/>
      <c r="AB656" s="17" t="inlineStr">
        <is>
          <t>原表第 662 行</t>
        </is>
      </c>
      <c r="AC656" s="24">
        <f>IF($G656="","",IF($H656="※编码不在物料档案里","※物料编码不在档案里",IF(N($K656)&lt;=0,"※入库数量要大于 0",IF(AND($C656&lt;&gt;"",$C656&lt;=结账锁),"※日期早于已结账截止日，不能再录",IF(AND($L656=0,$X656="正常"),"※没填单价，价格状态请选「待补价」",IF(AND($S656&gt;0,$R656&gt;0),"△本批有 "&amp;$S656&amp;" 行没单价，整批运费先挂账没摊",IF(AND($B656&lt;&gt;"",COUNTIF($B$4:$B$2503,$B656)&gt;1),"※入库单号重复","")))))))</f>
        <v/>
      </c>
    </row>
    <row r="657">
      <c r="A657" s="24">
        <f>IF($G657="","",COUNTA($G$4:$G657))</f>
        <v/>
      </c>
      <c r="B657" s="17" t="n"/>
      <c r="C657" s="30" t="n">
        <v>46109</v>
      </c>
      <c r="D657" s="17" t="inlineStr">
        <is>
          <t>A国内</t>
        </is>
      </c>
      <c r="E657" s="17" t="inlineStr">
        <is>
          <t>FCIU8630602-202603</t>
        </is>
      </c>
      <c r="F657" s="17" t="inlineStr">
        <is>
          <t>烟台市金豪矿山机械有限公司</t>
        </is>
      </c>
      <c r="G657" s="17" t="inlineStr">
        <is>
          <t>JH0588</t>
        </is>
      </c>
      <c r="H657" s="24">
        <f>IF($G657="","",IFERROR(VLOOKUP($G657,物料档案!$A$4:$P$1203,3,0),"※编码不在物料档案里"))</f>
        <v/>
      </c>
      <c r="I657" s="24">
        <f>IF($G657="","",IFERROR(VLOOKUP($G657,物料档案!$A$4:$P$1203,4,0),"※编码不在物料档案里"))</f>
        <v/>
      </c>
      <c r="J657" s="24">
        <f>IF($G657="","",IFERROR(VLOOKUP($G657,物料档案!$A$4:$P$1203,5,0),"※编码不在物料档案里"))</f>
        <v/>
      </c>
      <c r="K657" s="23" t="n">
        <v>20</v>
      </c>
      <c r="L657" s="31" t="n"/>
      <c r="M657" s="24">
        <f>IF($G657="","",IF($D657="A国内","CNY","TZS"))</f>
        <v/>
      </c>
      <c r="N657" s="28">
        <f>IF($G657="","",IF($D657="A国内",汇率,1))</f>
        <v/>
      </c>
      <c r="O657" s="25">
        <f>IF($G657="","",ROUND(N($K657)*N($L657),2))</f>
        <v/>
      </c>
      <c r="P657" s="26">
        <f>IF($G657="","",ROUND($O657*$N657,0))</f>
        <v/>
      </c>
      <c r="Q657" s="26">
        <f>IF($G657="","",SUMIFS($P$4:$P$2503,$E$4:$E$2503,$E657,$Z$4:$Z$2503,"正常"))</f>
        <v/>
      </c>
      <c r="R657" s="26">
        <f>IF($G657="","",SUMIFS(费用台账!$I$4:$I$503,费用台账!$C$4:$C$503,$E657,费用台账!$J$4:$J$503,"是",费用台账!$K$4:$K$503,"正常"))</f>
        <v/>
      </c>
      <c r="S657" s="28">
        <f>IF($G657="","",COUNTIFS($E$4:$E$2503,$E657,$Z$4:$Z$2503,"正常",$Y$4:$Y$2503,"待补价"))</f>
        <v/>
      </c>
      <c r="T657" s="26">
        <f>IF($G657="","",SUMIFS($P$4:$P$2503,$E$4:$E$2503,$E657,$Z$4:$Z$2503,"正常",$A$4:$A$2503,"&lt;="&amp;$A657))</f>
        <v/>
      </c>
      <c r="U657" s="26">
        <f>IF($G657="","",IF(OR($S657&gt;0,$Q657=0,$R657=0,$Z657&lt;&gt;"正常"),0,ROUND($T657/$Q657*$R657,0)-ROUND(($T657-$P657)/$Q657*$R657,0)))</f>
        <v/>
      </c>
      <c r="V657" s="26">
        <f>IF($G657="","",ROUND($P657+$U657,0))</f>
        <v/>
      </c>
      <c r="W657" s="26">
        <f>IF($G657="","",IF(N($K657)=0,0,ROUND($V657/$K657,2)))</f>
        <v/>
      </c>
      <c r="X657" s="17" t="inlineStr">
        <is>
          <t>采购入库</t>
        </is>
      </c>
      <c r="Y657" s="17" t="inlineStr">
        <is>
          <t>待补价</t>
        </is>
      </c>
      <c r="Z657" s="17" t="inlineStr">
        <is>
          <t>正常</t>
        </is>
      </c>
      <c r="AA657" s="17" t="n"/>
      <c r="AB657" s="17" t="inlineStr">
        <is>
          <t>原表第 663 行</t>
        </is>
      </c>
      <c r="AC657" s="24">
        <f>IF($G657="","",IF($H657="※编码不在物料档案里","※物料编码不在档案里",IF(N($K657)&lt;=0,"※入库数量要大于 0",IF(AND($C657&lt;&gt;"",$C657&lt;=结账锁),"※日期早于已结账截止日，不能再录",IF(AND($L657=0,$X657="正常"),"※没填单价，价格状态请选「待补价」",IF(AND($S657&gt;0,$R657&gt;0),"△本批有 "&amp;$S657&amp;" 行没单价，整批运费先挂账没摊",IF(AND($B657&lt;&gt;"",COUNTIF($B$4:$B$2503,$B657)&gt;1),"※入库单号重复","")))))))</f>
        <v/>
      </c>
    </row>
    <row r="658">
      <c r="A658" s="24">
        <f>IF($G658="","",COUNTA($G$4:$G658))</f>
        <v/>
      </c>
      <c r="B658" s="17" t="n"/>
      <c r="C658" s="30" t="n">
        <v>46109</v>
      </c>
      <c r="D658" s="17" t="inlineStr">
        <is>
          <t>A国内</t>
        </is>
      </c>
      <c r="E658" s="17" t="inlineStr">
        <is>
          <t>FCIU8630602-202603</t>
        </is>
      </c>
      <c r="F658" s="17" t="inlineStr">
        <is>
          <t>烟台市金豪矿山机械有限公司</t>
        </is>
      </c>
      <c r="G658" s="17" t="inlineStr">
        <is>
          <t>JH0589</t>
        </is>
      </c>
      <c r="H658" s="24">
        <f>IF($G658="","",IFERROR(VLOOKUP($G658,物料档案!$A$4:$P$1203,3,0),"※编码不在物料档案里"))</f>
        <v/>
      </c>
      <c r="I658" s="24">
        <f>IF($G658="","",IFERROR(VLOOKUP($G658,物料档案!$A$4:$P$1203,4,0),"※编码不在物料档案里"))</f>
        <v/>
      </c>
      <c r="J658" s="24">
        <f>IF($G658="","",IFERROR(VLOOKUP($G658,物料档案!$A$4:$P$1203,5,0),"※编码不在物料档案里"))</f>
        <v/>
      </c>
      <c r="K658" s="23" t="n">
        <v>6</v>
      </c>
      <c r="L658" s="31" t="n"/>
      <c r="M658" s="24">
        <f>IF($G658="","",IF($D658="A国内","CNY","TZS"))</f>
        <v/>
      </c>
      <c r="N658" s="28">
        <f>IF($G658="","",IF($D658="A国内",汇率,1))</f>
        <v/>
      </c>
      <c r="O658" s="25">
        <f>IF($G658="","",ROUND(N($K658)*N($L658),2))</f>
        <v/>
      </c>
      <c r="P658" s="26">
        <f>IF($G658="","",ROUND($O658*$N658,0))</f>
        <v/>
      </c>
      <c r="Q658" s="26">
        <f>IF($G658="","",SUMIFS($P$4:$P$2503,$E$4:$E$2503,$E658,$Z$4:$Z$2503,"正常"))</f>
        <v/>
      </c>
      <c r="R658" s="26">
        <f>IF($G658="","",SUMIFS(费用台账!$I$4:$I$503,费用台账!$C$4:$C$503,$E658,费用台账!$J$4:$J$503,"是",费用台账!$K$4:$K$503,"正常"))</f>
        <v/>
      </c>
      <c r="S658" s="28">
        <f>IF($G658="","",COUNTIFS($E$4:$E$2503,$E658,$Z$4:$Z$2503,"正常",$Y$4:$Y$2503,"待补价"))</f>
        <v/>
      </c>
      <c r="T658" s="26">
        <f>IF($G658="","",SUMIFS($P$4:$P$2503,$E$4:$E$2503,$E658,$Z$4:$Z$2503,"正常",$A$4:$A$2503,"&lt;="&amp;$A658))</f>
        <v/>
      </c>
      <c r="U658" s="26">
        <f>IF($G658="","",IF(OR($S658&gt;0,$Q658=0,$R658=0,$Z658&lt;&gt;"正常"),0,ROUND($T658/$Q658*$R658,0)-ROUND(($T658-$P658)/$Q658*$R658,0)))</f>
        <v/>
      </c>
      <c r="V658" s="26">
        <f>IF($G658="","",ROUND($P658+$U658,0))</f>
        <v/>
      </c>
      <c r="W658" s="26">
        <f>IF($G658="","",IF(N($K658)=0,0,ROUND($V658/$K658,2)))</f>
        <v/>
      </c>
      <c r="X658" s="17" t="inlineStr">
        <is>
          <t>采购入库</t>
        </is>
      </c>
      <c r="Y658" s="17" t="inlineStr">
        <is>
          <t>待补价</t>
        </is>
      </c>
      <c r="Z658" s="17" t="inlineStr">
        <is>
          <t>正常</t>
        </is>
      </c>
      <c r="AA658" s="17" t="n"/>
      <c r="AB658" s="17" t="inlineStr">
        <is>
          <t>原表第 664 行</t>
        </is>
      </c>
      <c r="AC658" s="24">
        <f>IF($G658="","",IF($H658="※编码不在物料档案里","※物料编码不在档案里",IF(N($K658)&lt;=0,"※入库数量要大于 0",IF(AND($C658&lt;&gt;"",$C658&lt;=结账锁),"※日期早于已结账截止日，不能再录",IF(AND($L658=0,$X658="正常"),"※没填单价，价格状态请选「待补价」",IF(AND($S658&gt;0,$R658&gt;0),"△本批有 "&amp;$S658&amp;" 行没单价，整批运费先挂账没摊",IF(AND($B658&lt;&gt;"",COUNTIF($B$4:$B$2503,$B658)&gt;1),"※入库单号重复","")))))))</f>
        <v/>
      </c>
    </row>
    <row r="659">
      <c r="A659" s="24">
        <f>IF($G659="","",COUNTA($G$4:$G659))</f>
        <v/>
      </c>
      <c r="B659" s="17" t="n"/>
      <c r="C659" s="30" t="n">
        <v>46109</v>
      </c>
      <c r="D659" s="17" t="inlineStr">
        <is>
          <t>A国内</t>
        </is>
      </c>
      <c r="E659" s="17" t="inlineStr">
        <is>
          <t>FCIU8630602-202603</t>
        </is>
      </c>
      <c r="F659" s="17" t="inlineStr">
        <is>
          <t>烟台市金豪矿山机械有限公司</t>
        </is>
      </c>
      <c r="G659" s="17" t="inlineStr">
        <is>
          <t>JH0590</t>
        </is>
      </c>
      <c r="H659" s="24">
        <f>IF($G659="","",IFERROR(VLOOKUP($G659,物料档案!$A$4:$P$1203,3,0),"※编码不在物料档案里"))</f>
        <v/>
      </c>
      <c r="I659" s="24">
        <f>IF($G659="","",IFERROR(VLOOKUP($G659,物料档案!$A$4:$P$1203,4,0),"※编码不在物料档案里"))</f>
        <v/>
      </c>
      <c r="J659" s="24">
        <f>IF($G659="","",IFERROR(VLOOKUP($G659,物料档案!$A$4:$P$1203,5,0),"※编码不在物料档案里"))</f>
        <v/>
      </c>
      <c r="K659" s="23" t="n">
        <v>4</v>
      </c>
      <c r="L659" s="31" t="n"/>
      <c r="M659" s="24">
        <f>IF($G659="","",IF($D659="A国内","CNY","TZS"))</f>
        <v/>
      </c>
      <c r="N659" s="28">
        <f>IF($G659="","",IF($D659="A国内",汇率,1))</f>
        <v/>
      </c>
      <c r="O659" s="25">
        <f>IF($G659="","",ROUND(N($K659)*N($L659),2))</f>
        <v/>
      </c>
      <c r="P659" s="26">
        <f>IF($G659="","",ROUND($O659*$N659,0))</f>
        <v/>
      </c>
      <c r="Q659" s="26">
        <f>IF($G659="","",SUMIFS($P$4:$P$2503,$E$4:$E$2503,$E659,$Z$4:$Z$2503,"正常"))</f>
        <v/>
      </c>
      <c r="R659" s="26">
        <f>IF($G659="","",SUMIFS(费用台账!$I$4:$I$503,费用台账!$C$4:$C$503,$E659,费用台账!$J$4:$J$503,"是",费用台账!$K$4:$K$503,"正常"))</f>
        <v/>
      </c>
      <c r="S659" s="28">
        <f>IF($G659="","",COUNTIFS($E$4:$E$2503,$E659,$Z$4:$Z$2503,"正常",$Y$4:$Y$2503,"待补价"))</f>
        <v/>
      </c>
      <c r="T659" s="26">
        <f>IF($G659="","",SUMIFS($P$4:$P$2503,$E$4:$E$2503,$E659,$Z$4:$Z$2503,"正常",$A$4:$A$2503,"&lt;="&amp;$A659))</f>
        <v/>
      </c>
      <c r="U659" s="26">
        <f>IF($G659="","",IF(OR($S659&gt;0,$Q659=0,$R659=0,$Z659&lt;&gt;"正常"),0,ROUND($T659/$Q659*$R659,0)-ROUND(($T659-$P659)/$Q659*$R659,0)))</f>
        <v/>
      </c>
      <c r="V659" s="26">
        <f>IF($G659="","",ROUND($P659+$U659,0))</f>
        <v/>
      </c>
      <c r="W659" s="26">
        <f>IF($G659="","",IF(N($K659)=0,0,ROUND($V659/$K659,2)))</f>
        <v/>
      </c>
      <c r="X659" s="17" t="inlineStr">
        <is>
          <t>采购入库</t>
        </is>
      </c>
      <c r="Y659" s="17" t="inlineStr">
        <is>
          <t>待补价</t>
        </is>
      </c>
      <c r="Z659" s="17" t="inlineStr">
        <is>
          <t>正常</t>
        </is>
      </c>
      <c r="AA659" s="17" t="n"/>
      <c r="AB659" s="17" t="inlineStr">
        <is>
          <t>原表第 665 行</t>
        </is>
      </c>
      <c r="AC659" s="24">
        <f>IF($G659="","",IF($H659="※编码不在物料档案里","※物料编码不在档案里",IF(N($K659)&lt;=0,"※入库数量要大于 0",IF(AND($C659&lt;&gt;"",$C659&lt;=结账锁),"※日期早于已结账截止日，不能再录",IF(AND($L659=0,$X659="正常"),"※没填单价，价格状态请选「待补价」",IF(AND($S659&gt;0,$R659&gt;0),"△本批有 "&amp;$S659&amp;" 行没单价，整批运费先挂账没摊",IF(AND($B659&lt;&gt;"",COUNTIF($B$4:$B$2503,$B659)&gt;1),"※入库单号重复","")))))))</f>
        <v/>
      </c>
    </row>
    <row r="660">
      <c r="A660" s="24">
        <f>IF($G660="","",COUNTA($G$4:$G660))</f>
        <v/>
      </c>
      <c r="B660" s="17" t="n"/>
      <c r="C660" s="30" t="n">
        <v>46109</v>
      </c>
      <c r="D660" s="17" t="inlineStr">
        <is>
          <t>A国内</t>
        </is>
      </c>
      <c r="E660" s="17" t="inlineStr">
        <is>
          <t>FCIU8630602-202603</t>
        </is>
      </c>
      <c r="F660" s="17" t="inlineStr">
        <is>
          <t>烟台市金豪矿山机械有限公司</t>
        </is>
      </c>
      <c r="G660" s="17" t="inlineStr">
        <is>
          <t>JH0591</t>
        </is>
      </c>
      <c r="H660" s="24">
        <f>IF($G660="","",IFERROR(VLOOKUP($G660,物料档案!$A$4:$P$1203,3,0),"※编码不在物料档案里"))</f>
        <v/>
      </c>
      <c r="I660" s="24">
        <f>IF($G660="","",IFERROR(VLOOKUP($G660,物料档案!$A$4:$P$1203,4,0),"※编码不在物料档案里"))</f>
        <v/>
      </c>
      <c r="J660" s="24">
        <f>IF($G660="","",IFERROR(VLOOKUP($G660,物料档案!$A$4:$P$1203,5,0),"※编码不在物料档案里"))</f>
        <v/>
      </c>
      <c r="K660" s="23" t="n">
        <v>10</v>
      </c>
      <c r="L660" s="31" t="n"/>
      <c r="M660" s="24">
        <f>IF($G660="","",IF($D660="A国内","CNY","TZS"))</f>
        <v/>
      </c>
      <c r="N660" s="28">
        <f>IF($G660="","",IF($D660="A国内",汇率,1))</f>
        <v/>
      </c>
      <c r="O660" s="25">
        <f>IF($G660="","",ROUND(N($K660)*N($L660),2))</f>
        <v/>
      </c>
      <c r="P660" s="26">
        <f>IF($G660="","",ROUND($O660*$N660,0))</f>
        <v/>
      </c>
      <c r="Q660" s="26">
        <f>IF($G660="","",SUMIFS($P$4:$P$2503,$E$4:$E$2503,$E660,$Z$4:$Z$2503,"正常"))</f>
        <v/>
      </c>
      <c r="R660" s="26">
        <f>IF($G660="","",SUMIFS(费用台账!$I$4:$I$503,费用台账!$C$4:$C$503,$E660,费用台账!$J$4:$J$503,"是",费用台账!$K$4:$K$503,"正常"))</f>
        <v/>
      </c>
      <c r="S660" s="28">
        <f>IF($G660="","",COUNTIFS($E$4:$E$2503,$E660,$Z$4:$Z$2503,"正常",$Y$4:$Y$2503,"待补价"))</f>
        <v/>
      </c>
      <c r="T660" s="26">
        <f>IF($G660="","",SUMIFS($P$4:$P$2503,$E$4:$E$2503,$E660,$Z$4:$Z$2503,"正常",$A$4:$A$2503,"&lt;="&amp;$A660))</f>
        <v/>
      </c>
      <c r="U660" s="26">
        <f>IF($G660="","",IF(OR($S660&gt;0,$Q660=0,$R660=0,$Z660&lt;&gt;"正常"),0,ROUND($T660/$Q660*$R660,0)-ROUND(($T660-$P660)/$Q660*$R660,0)))</f>
        <v/>
      </c>
      <c r="V660" s="26">
        <f>IF($G660="","",ROUND($P660+$U660,0))</f>
        <v/>
      </c>
      <c r="W660" s="26">
        <f>IF($G660="","",IF(N($K660)=0,0,ROUND($V660/$K660,2)))</f>
        <v/>
      </c>
      <c r="X660" s="17" t="inlineStr">
        <is>
          <t>采购入库</t>
        </is>
      </c>
      <c r="Y660" s="17" t="inlineStr">
        <is>
          <t>待补价</t>
        </is>
      </c>
      <c r="Z660" s="17" t="inlineStr">
        <is>
          <t>正常</t>
        </is>
      </c>
      <c r="AA660" s="17" t="n"/>
      <c r="AB660" s="17" t="inlineStr">
        <is>
          <t>原表第 666 行</t>
        </is>
      </c>
      <c r="AC660" s="24">
        <f>IF($G660="","",IF($H660="※编码不在物料档案里","※物料编码不在档案里",IF(N($K660)&lt;=0,"※入库数量要大于 0",IF(AND($C660&lt;&gt;"",$C660&lt;=结账锁),"※日期早于已结账截止日，不能再录",IF(AND($L660=0,$X660="正常"),"※没填单价，价格状态请选「待补价」",IF(AND($S660&gt;0,$R660&gt;0),"△本批有 "&amp;$S660&amp;" 行没单价，整批运费先挂账没摊",IF(AND($B660&lt;&gt;"",COUNTIF($B$4:$B$2503,$B660)&gt;1),"※入库单号重复","")))))))</f>
        <v/>
      </c>
    </row>
    <row r="661">
      <c r="A661" s="24">
        <f>IF($G661="","",COUNTA($G$4:$G661))</f>
        <v/>
      </c>
      <c r="B661" s="17" t="n"/>
      <c r="C661" s="30" t="n">
        <v>46109</v>
      </c>
      <c r="D661" s="17" t="inlineStr">
        <is>
          <t>A国内</t>
        </is>
      </c>
      <c r="E661" s="17" t="inlineStr">
        <is>
          <t>FCIU8630602-202603</t>
        </is>
      </c>
      <c r="F661" s="17" t="inlineStr">
        <is>
          <t>烟台市金豪矿山机械有限公司</t>
        </is>
      </c>
      <c r="G661" s="17" t="inlineStr">
        <is>
          <t>JH0592</t>
        </is>
      </c>
      <c r="H661" s="24">
        <f>IF($G661="","",IFERROR(VLOOKUP($G661,物料档案!$A$4:$P$1203,3,0),"※编码不在物料档案里"))</f>
        <v/>
      </c>
      <c r="I661" s="24">
        <f>IF($G661="","",IFERROR(VLOOKUP($G661,物料档案!$A$4:$P$1203,4,0),"※编码不在物料档案里"))</f>
        <v/>
      </c>
      <c r="J661" s="24">
        <f>IF($G661="","",IFERROR(VLOOKUP($G661,物料档案!$A$4:$P$1203,5,0),"※编码不在物料档案里"))</f>
        <v/>
      </c>
      <c r="K661" s="23" t="n">
        <v>6</v>
      </c>
      <c r="L661" s="31" t="n"/>
      <c r="M661" s="24">
        <f>IF($G661="","",IF($D661="A国内","CNY","TZS"))</f>
        <v/>
      </c>
      <c r="N661" s="28">
        <f>IF($G661="","",IF($D661="A国内",汇率,1))</f>
        <v/>
      </c>
      <c r="O661" s="25">
        <f>IF($G661="","",ROUND(N($K661)*N($L661),2))</f>
        <v/>
      </c>
      <c r="P661" s="26">
        <f>IF($G661="","",ROUND($O661*$N661,0))</f>
        <v/>
      </c>
      <c r="Q661" s="26">
        <f>IF($G661="","",SUMIFS($P$4:$P$2503,$E$4:$E$2503,$E661,$Z$4:$Z$2503,"正常"))</f>
        <v/>
      </c>
      <c r="R661" s="26">
        <f>IF($G661="","",SUMIFS(费用台账!$I$4:$I$503,费用台账!$C$4:$C$503,$E661,费用台账!$J$4:$J$503,"是",费用台账!$K$4:$K$503,"正常"))</f>
        <v/>
      </c>
      <c r="S661" s="28">
        <f>IF($G661="","",COUNTIFS($E$4:$E$2503,$E661,$Z$4:$Z$2503,"正常",$Y$4:$Y$2503,"待补价"))</f>
        <v/>
      </c>
      <c r="T661" s="26">
        <f>IF($G661="","",SUMIFS($P$4:$P$2503,$E$4:$E$2503,$E661,$Z$4:$Z$2503,"正常",$A$4:$A$2503,"&lt;="&amp;$A661))</f>
        <v/>
      </c>
      <c r="U661" s="26">
        <f>IF($G661="","",IF(OR($S661&gt;0,$Q661=0,$R661=0,$Z661&lt;&gt;"正常"),0,ROUND($T661/$Q661*$R661,0)-ROUND(($T661-$P661)/$Q661*$R661,0)))</f>
        <v/>
      </c>
      <c r="V661" s="26">
        <f>IF($G661="","",ROUND($P661+$U661,0))</f>
        <v/>
      </c>
      <c r="W661" s="26">
        <f>IF($G661="","",IF(N($K661)=0,0,ROUND($V661/$K661,2)))</f>
        <v/>
      </c>
      <c r="X661" s="17" t="inlineStr">
        <is>
          <t>采购入库</t>
        </is>
      </c>
      <c r="Y661" s="17" t="inlineStr">
        <is>
          <t>待补价</t>
        </is>
      </c>
      <c r="Z661" s="17" t="inlineStr">
        <is>
          <t>正常</t>
        </is>
      </c>
      <c r="AA661" s="17" t="n"/>
      <c r="AB661" s="17" t="inlineStr">
        <is>
          <t>原表第 667 行</t>
        </is>
      </c>
      <c r="AC661" s="24">
        <f>IF($G661="","",IF($H661="※编码不在物料档案里","※物料编码不在档案里",IF(N($K661)&lt;=0,"※入库数量要大于 0",IF(AND($C661&lt;&gt;"",$C661&lt;=结账锁),"※日期早于已结账截止日，不能再录",IF(AND($L661=0,$X661="正常"),"※没填单价，价格状态请选「待补价」",IF(AND($S661&gt;0,$R661&gt;0),"△本批有 "&amp;$S661&amp;" 行没单价，整批运费先挂账没摊",IF(AND($B661&lt;&gt;"",COUNTIF($B$4:$B$2503,$B661)&gt;1),"※入库单号重复","")))))))</f>
        <v/>
      </c>
    </row>
    <row r="662">
      <c r="A662" s="24">
        <f>IF($G662="","",COUNTA($G$4:$G662))</f>
        <v/>
      </c>
      <c r="B662" s="17" t="n"/>
      <c r="C662" s="30" t="n">
        <v>46109</v>
      </c>
      <c r="D662" s="17" t="inlineStr">
        <is>
          <t>A国内</t>
        </is>
      </c>
      <c r="E662" s="17" t="inlineStr">
        <is>
          <t>FCIU8630602-202603</t>
        </is>
      </c>
      <c r="F662" s="17" t="inlineStr">
        <is>
          <t>烟台市金豪矿山机械有限公司</t>
        </is>
      </c>
      <c r="G662" s="17" t="inlineStr">
        <is>
          <t>JH0593</t>
        </is>
      </c>
      <c r="H662" s="24">
        <f>IF($G662="","",IFERROR(VLOOKUP($G662,物料档案!$A$4:$P$1203,3,0),"※编码不在物料档案里"))</f>
        <v/>
      </c>
      <c r="I662" s="24">
        <f>IF($G662="","",IFERROR(VLOOKUP($G662,物料档案!$A$4:$P$1203,4,0),"※编码不在物料档案里"))</f>
        <v/>
      </c>
      <c r="J662" s="24">
        <f>IF($G662="","",IFERROR(VLOOKUP($G662,物料档案!$A$4:$P$1203,5,0),"※编码不在物料档案里"))</f>
        <v/>
      </c>
      <c r="K662" s="23" t="n">
        <v>4</v>
      </c>
      <c r="L662" s="31" t="n"/>
      <c r="M662" s="24">
        <f>IF($G662="","",IF($D662="A国内","CNY","TZS"))</f>
        <v/>
      </c>
      <c r="N662" s="28">
        <f>IF($G662="","",IF($D662="A国内",汇率,1))</f>
        <v/>
      </c>
      <c r="O662" s="25">
        <f>IF($G662="","",ROUND(N($K662)*N($L662),2))</f>
        <v/>
      </c>
      <c r="P662" s="26">
        <f>IF($G662="","",ROUND($O662*$N662,0))</f>
        <v/>
      </c>
      <c r="Q662" s="26">
        <f>IF($G662="","",SUMIFS($P$4:$P$2503,$E$4:$E$2503,$E662,$Z$4:$Z$2503,"正常"))</f>
        <v/>
      </c>
      <c r="R662" s="26">
        <f>IF($G662="","",SUMIFS(费用台账!$I$4:$I$503,费用台账!$C$4:$C$503,$E662,费用台账!$J$4:$J$503,"是",费用台账!$K$4:$K$503,"正常"))</f>
        <v/>
      </c>
      <c r="S662" s="28">
        <f>IF($G662="","",COUNTIFS($E$4:$E$2503,$E662,$Z$4:$Z$2503,"正常",$Y$4:$Y$2503,"待补价"))</f>
        <v/>
      </c>
      <c r="T662" s="26">
        <f>IF($G662="","",SUMIFS($P$4:$P$2503,$E$4:$E$2503,$E662,$Z$4:$Z$2503,"正常",$A$4:$A$2503,"&lt;="&amp;$A662))</f>
        <v/>
      </c>
      <c r="U662" s="26">
        <f>IF($G662="","",IF(OR($S662&gt;0,$Q662=0,$R662=0,$Z662&lt;&gt;"正常"),0,ROUND($T662/$Q662*$R662,0)-ROUND(($T662-$P662)/$Q662*$R662,0)))</f>
        <v/>
      </c>
      <c r="V662" s="26">
        <f>IF($G662="","",ROUND($P662+$U662,0))</f>
        <v/>
      </c>
      <c r="W662" s="26">
        <f>IF($G662="","",IF(N($K662)=0,0,ROUND($V662/$K662,2)))</f>
        <v/>
      </c>
      <c r="X662" s="17" t="inlineStr">
        <is>
          <t>采购入库</t>
        </is>
      </c>
      <c r="Y662" s="17" t="inlineStr">
        <is>
          <t>待补价</t>
        </is>
      </c>
      <c r="Z662" s="17" t="inlineStr">
        <is>
          <t>正常</t>
        </is>
      </c>
      <c r="AA662" s="17" t="n"/>
      <c r="AB662" s="17" t="inlineStr">
        <is>
          <t>原表第 668 行</t>
        </is>
      </c>
      <c r="AC662" s="24">
        <f>IF($G662="","",IF($H662="※编码不在物料档案里","※物料编码不在档案里",IF(N($K662)&lt;=0,"※入库数量要大于 0",IF(AND($C662&lt;&gt;"",$C662&lt;=结账锁),"※日期早于已结账截止日，不能再录",IF(AND($L662=0,$X662="正常"),"※没填单价，价格状态请选「待补价」",IF(AND($S662&gt;0,$R662&gt;0),"△本批有 "&amp;$S662&amp;" 行没单价，整批运费先挂账没摊",IF(AND($B662&lt;&gt;"",COUNTIF($B$4:$B$2503,$B662)&gt;1),"※入库单号重复","")))))))</f>
        <v/>
      </c>
    </row>
    <row r="663">
      <c r="A663" s="24">
        <f>IF($G663="","",COUNTA($G$4:$G663))</f>
        <v/>
      </c>
      <c r="B663" s="17" t="n"/>
      <c r="C663" s="30" t="n">
        <v>46109</v>
      </c>
      <c r="D663" s="17" t="inlineStr">
        <is>
          <t>A国内</t>
        </is>
      </c>
      <c r="E663" s="17" t="inlineStr">
        <is>
          <t>FCIU8630602-202603</t>
        </is>
      </c>
      <c r="F663" s="17" t="inlineStr">
        <is>
          <t>烟台市金豪矿山机械有限公司</t>
        </is>
      </c>
      <c r="G663" s="17" t="inlineStr">
        <is>
          <t>JH0594</t>
        </is>
      </c>
      <c r="H663" s="24">
        <f>IF($G663="","",IFERROR(VLOOKUP($G663,物料档案!$A$4:$P$1203,3,0),"※编码不在物料档案里"))</f>
        <v/>
      </c>
      <c r="I663" s="24">
        <f>IF($G663="","",IFERROR(VLOOKUP($G663,物料档案!$A$4:$P$1203,4,0),"※编码不在物料档案里"))</f>
        <v/>
      </c>
      <c r="J663" s="24">
        <f>IF($G663="","",IFERROR(VLOOKUP($G663,物料档案!$A$4:$P$1203,5,0),"※编码不在物料档案里"))</f>
        <v/>
      </c>
      <c r="K663" s="23" t="n">
        <v>3</v>
      </c>
      <c r="L663" s="31" t="n"/>
      <c r="M663" s="24">
        <f>IF($G663="","",IF($D663="A国内","CNY","TZS"))</f>
        <v/>
      </c>
      <c r="N663" s="28">
        <f>IF($G663="","",IF($D663="A国内",汇率,1))</f>
        <v/>
      </c>
      <c r="O663" s="25">
        <f>IF($G663="","",ROUND(N($K663)*N($L663),2))</f>
        <v/>
      </c>
      <c r="P663" s="26">
        <f>IF($G663="","",ROUND($O663*$N663,0))</f>
        <v/>
      </c>
      <c r="Q663" s="26">
        <f>IF($G663="","",SUMIFS($P$4:$P$2503,$E$4:$E$2503,$E663,$Z$4:$Z$2503,"正常"))</f>
        <v/>
      </c>
      <c r="R663" s="26">
        <f>IF($G663="","",SUMIFS(费用台账!$I$4:$I$503,费用台账!$C$4:$C$503,$E663,费用台账!$J$4:$J$503,"是",费用台账!$K$4:$K$503,"正常"))</f>
        <v/>
      </c>
      <c r="S663" s="28">
        <f>IF($G663="","",COUNTIFS($E$4:$E$2503,$E663,$Z$4:$Z$2503,"正常",$Y$4:$Y$2503,"待补价"))</f>
        <v/>
      </c>
      <c r="T663" s="26">
        <f>IF($G663="","",SUMIFS($P$4:$P$2503,$E$4:$E$2503,$E663,$Z$4:$Z$2503,"正常",$A$4:$A$2503,"&lt;="&amp;$A663))</f>
        <v/>
      </c>
      <c r="U663" s="26">
        <f>IF($G663="","",IF(OR($S663&gt;0,$Q663=0,$R663=0,$Z663&lt;&gt;"正常"),0,ROUND($T663/$Q663*$R663,0)-ROUND(($T663-$P663)/$Q663*$R663,0)))</f>
        <v/>
      </c>
      <c r="V663" s="26">
        <f>IF($G663="","",ROUND($P663+$U663,0))</f>
        <v/>
      </c>
      <c r="W663" s="26">
        <f>IF($G663="","",IF(N($K663)=0,0,ROUND($V663/$K663,2)))</f>
        <v/>
      </c>
      <c r="X663" s="17" t="inlineStr">
        <is>
          <t>采购入库</t>
        </is>
      </c>
      <c r="Y663" s="17" t="inlineStr">
        <is>
          <t>待补价</t>
        </is>
      </c>
      <c r="Z663" s="17" t="inlineStr">
        <is>
          <t>正常</t>
        </is>
      </c>
      <c r="AA663" s="17" t="n"/>
      <c r="AB663" s="17" t="inlineStr">
        <is>
          <t>原表第 669 行</t>
        </is>
      </c>
      <c r="AC663" s="24">
        <f>IF($G663="","",IF($H663="※编码不在物料档案里","※物料编码不在档案里",IF(N($K663)&lt;=0,"※入库数量要大于 0",IF(AND($C663&lt;&gt;"",$C663&lt;=结账锁),"※日期早于已结账截止日，不能再录",IF(AND($L663=0,$X663="正常"),"※没填单价，价格状态请选「待补价」",IF(AND($S663&gt;0,$R663&gt;0),"△本批有 "&amp;$S663&amp;" 行没单价，整批运费先挂账没摊",IF(AND($B663&lt;&gt;"",COUNTIF($B$4:$B$2503,$B663)&gt;1),"※入库单号重复","")))))))</f>
        <v/>
      </c>
    </row>
    <row r="664">
      <c r="A664" s="24">
        <f>IF($G664="","",COUNTA($G$4:$G664))</f>
        <v/>
      </c>
      <c r="B664" s="17" t="n"/>
      <c r="C664" s="30" t="n">
        <v>46109</v>
      </c>
      <c r="D664" s="17" t="inlineStr">
        <is>
          <t>A国内</t>
        </is>
      </c>
      <c r="E664" s="17" t="inlineStr">
        <is>
          <t>FCIU8630602-202603</t>
        </is>
      </c>
      <c r="F664" s="17" t="inlineStr">
        <is>
          <t>烟台市金豪矿山机械有限公司</t>
        </is>
      </c>
      <c r="G664" s="17" t="inlineStr">
        <is>
          <t>JH0595</t>
        </is>
      </c>
      <c r="H664" s="24">
        <f>IF($G664="","",IFERROR(VLOOKUP($G664,物料档案!$A$4:$P$1203,3,0),"※编码不在物料档案里"))</f>
        <v/>
      </c>
      <c r="I664" s="24">
        <f>IF($G664="","",IFERROR(VLOOKUP($G664,物料档案!$A$4:$P$1203,4,0),"※编码不在物料档案里"))</f>
        <v/>
      </c>
      <c r="J664" s="24">
        <f>IF($G664="","",IFERROR(VLOOKUP($G664,物料档案!$A$4:$P$1203,5,0),"※编码不在物料档案里"))</f>
        <v/>
      </c>
      <c r="K664" s="23" t="n">
        <v>3</v>
      </c>
      <c r="L664" s="31" t="n"/>
      <c r="M664" s="24">
        <f>IF($G664="","",IF($D664="A国内","CNY","TZS"))</f>
        <v/>
      </c>
      <c r="N664" s="28">
        <f>IF($G664="","",IF($D664="A国内",汇率,1))</f>
        <v/>
      </c>
      <c r="O664" s="25">
        <f>IF($G664="","",ROUND(N($K664)*N($L664),2))</f>
        <v/>
      </c>
      <c r="P664" s="26">
        <f>IF($G664="","",ROUND($O664*$N664,0))</f>
        <v/>
      </c>
      <c r="Q664" s="26">
        <f>IF($G664="","",SUMIFS($P$4:$P$2503,$E$4:$E$2503,$E664,$Z$4:$Z$2503,"正常"))</f>
        <v/>
      </c>
      <c r="R664" s="26">
        <f>IF($G664="","",SUMIFS(费用台账!$I$4:$I$503,费用台账!$C$4:$C$503,$E664,费用台账!$J$4:$J$503,"是",费用台账!$K$4:$K$503,"正常"))</f>
        <v/>
      </c>
      <c r="S664" s="28">
        <f>IF($G664="","",COUNTIFS($E$4:$E$2503,$E664,$Z$4:$Z$2503,"正常",$Y$4:$Y$2503,"待补价"))</f>
        <v/>
      </c>
      <c r="T664" s="26">
        <f>IF($G664="","",SUMIFS($P$4:$P$2503,$E$4:$E$2503,$E664,$Z$4:$Z$2503,"正常",$A$4:$A$2503,"&lt;="&amp;$A664))</f>
        <v/>
      </c>
      <c r="U664" s="26">
        <f>IF($G664="","",IF(OR($S664&gt;0,$Q664=0,$R664=0,$Z664&lt;&gt;"正常"),0,ROUND($T664/$Q664*$R664,0)-ROUND(($T664-$P664)/$Q664*$R664,0)))</f>
        <v/>
      </c>
      <c r="V664" s="26">
        <f>IF($G664="","",ROUND($P664+$U664,0))</f>
        <v/>
      </c>
      <c r="W664" s="26">
        <f>IF($G664="","",IF(N($K664)=0,0,ROUND($V664/$K664,2)))</f>
        <v/>
      </c>
      <c r="X664" s="17" t="inlineStr">
        <is>
          <t>采购入库</t>
        </is>
      </c>
      <c r="Y664" s="17" t="inlineStr">
        <is>
          <t>待补价</t>
        </is>
      </c>
      <c r="Z664" s="17" t="inlineStr">
        <is>
          <t>正常</t>
        </is>
      </c>
      <c r="AA664" s="17" t="n"/>
      <c r="AB664" s="17" t="inlineStr">
        <is>
          <t>原表第 670 行</t>
        </is>
      </c>
      <c r="AC664" s="24">
        <f>IF($G664="","",IF($H664="※编码不在物料档案里","※物料编码不在档案里",IF(N($K664)&lt;=0,"※入库数量要大于 0",IF(AND($C664&lt;&gt;"",$C664&lt;=结账锁),"※日期早于已结账截止日，不能再录",IF(AND($L664=0,$X664="正常"),"※没填单价，价格状态请选「待补价」",IF(AND($S664&gt;0,$R664&gt;0),"△本批有 "&amp;$S664&amp;" 行没单价，整批运费先挂账没摊",IF(AND($B664&lt;&gt;"",COUNTIF($B$4:$B$2503,$B664)&gt;1),"※入库单号重复","")))))))</f>
        <v/>
      </c>
    </row>
    <row r="665">
      <c r="A665" s="24">
        <f>IF($G665="","",COUNTA($G$4:$G665))</f>
        <v/>
      </c>
      <c r="B665" s="17" t="n"/>
      <c r="C665" s="30" t="n">
        <v>46109</v>
      </c>
      <c r="D665" s="17" t="inlineStr">
        <is>
          <t>A国内</t>
        </is>
      </c>
      <c r="E665" s="17" t="inlineStr">
        <is>
          <t>FCIU8630602-202603</t>
        </is>
      </c>
      <c r="F665" s="17" t="inlineStr">
        <is>
          <t>烟台市金豪矿山机械有限公司</t>
        </is>
      </c>
      <c r="G665" s="17" t="inlineStr">
        <is>
          <t>JH0596</t>
        </is>
      </c>
      <c r="H665" s="24">
        <f>IF($G665="","",IFERROR(VLOOKUP($G665,物料档案!$A$4:$P$1203,3,0),"※编码不在物料档案里"))</f>
        <v/>
      </c>
      <c r="I665" s="24">
        <f>IF($G665="","",IFERROR(VLOOKUP($G665,物料档案!$A$4:$P$1203,4,0),"※编码不在物料档案里"))</f>
        <v/>
      </c>
      <c r="J665" s="24">
        <f>IF($G665="","",IFERROR(VLOOKUP($G665,物料档案!$A$4:$P$1203,5,0),"※编码不在物料档案里"))</f>
        <v/>
      </c>
      <c r="K665" s="23" t="n">
        <v>3</v>
      </c>
      <c r="L665" s="31" t="n"/>
      <c r="M665" s="24">
        <f>IF($G665="","",IF($D665="A国内","CNY","TZS"))</f>
        <v/>
      </c>
      <c r="N665" s="28">
        <f>IF($G665="","",IF($D665="A国内",汇率,1))</f>
        <v/>
      </c>
      <c r="O665" s="25">
        <f>IF($G665="","",ROUND(N($K665)*N($L665),2))</f>
        <v/>
      </c>
      <c r="P665" s="26">
        <f>IF($G665="","",ROUND($O665*$N665,0))</f>
        <v/>
      </c>
      <c r="Q665" s="26">
        <f>IF($G665="","",SUMIFS($P$4:$P$2503,$E$4:$E$2503,$E665,$Z$4:$Z$2503,"正常"))</f>
        <v/>
      </c>
      <c r="R665" s="26">
        <f>IF($G665="","",SUMIFS(费用台账!$I$4:$I$503,费用台账!$C$4:$C$503,$E665,费用台账!$J$4:$J$503,"是",费用台账!$K$4:$K$503,"正常"))</f>
        <v/>
      </c>
      <c r="S665" s="28">
        <f>IF($G665="","",COUNTIFS($E$4:$E$2503,$E665,$Z$4:$Z$2503,"正常",$Y$4:$Y$2503,"待补价"))</f>
        <v/>
      </c>
      <c r="T665" s="26">
        <f>IF($G665="","",SUMIFS($P$4:$P$2503,$E$4:$E$2503,$E665,$Z$4:$Z$2503,"正常",$A$4:$A$2503,"&lt;="&amp;$A665))</f>
        <v/>
      </c>
      <c r="U665" s="26">
        <f>IF($G665="","",IF(OR($S665&gt;0,$Q665=0,$R665=0,$Z665&lt;&gt;"正常"),0,ROUND($T665/$Q665*$R665,0)-ROUND(($T665-$P665)/$Q665*$R665,0)))</f>
        <v/>
      </c>
      <c r="V665" s="26">
        <f>IF($G665="","",ROUND($P665+$U665,0))</f>
        <v/>
      </c>
      <c r="W665" s="26">
        <f>IF($G665="","",IF(N($K665)=0,0,ROUND($V665/$K665,2)))</f>
        <v/>
      </c>
      <c r="X665" s="17" t="inlineStr">
        <is>
          <t>采购入库</t>
        </is>
      </c>
      <c r="Y665" s="17" t="inlineStr">
        <is>
          <t>待补价</t>
        </is>
      </c>
      <c r="Z665" s="17" t="inlineStr">
        <is>
          <t>正常</t>
        </is>
      </c>
      <c r="AA665" s="17" t="n"/>
      <c r="AB665" s="17" t="inlineStr">
        <is>
          <t>原表第 671 行</t>
        </is>
      </c>
      <c r="AC665" s="24">
        <f>IF($G665="","",IF($H665="※编码不在物料档案里","※物料编码不在档案里",IF(N($K665)&lt;=0,"※入库数量要大于 0",IF(AND($C665&lt;&gt;"",$C665&lt;=结账锁),"※日期早于已结账截止日，不能再录",IF(AND($L665=0,$X665="正常"),"※没填单价，价格状态请选「待补价」",IF(AND($S665&gt;0,$R665&gt;0),"△本批有 "&amp;$S665&amp;" 行没单价，整批运费先挂账没摊",IF(AND($B665&lt;&gt;"",COUNTIF($B$4:$B$2503,$B665)&gt;1),"※入库单号重复","")))))))</f>
        <v/>
      </c>
    </row>
    <row r="666">
      <c r="A666" s="24">
        <f>IF($G666="","",COUNTA($G$4:$G666))</f>
        <v/>
      </c>
      <c r="B666" s="17" t="n"/>
      <c r="C666" s="30" t="n">
        <v>46109</v>
      </c>
      <c r="D666" s="17" t="inlineStr">
        <is>
          <t>A国内</t>
        </is>
      </c>
      <c r="E666" s="17" t="inlineStr">
        <is>
          <t>FCIU8630602-202603</t>
        </is>
      </c>
      <c r="F666" s="17" t="inlineStr">
        <is>
          <t>烟台市金豪矿山机械有限公司</t>
        </is>
      </c>
      <c r="G666" s="17" t="inlineStr">
        <is>
          <t>JH0597</t>
        </is>
      </c>
      <c r="H666" s="24">
        <f>IF($G666="","",IFERROR(VLOOKUP($G666,物料档案!$A$4:$P$1203,3,0),"※编码不在物料档案里"))</f>
        <v/>
      </c>
      <c r="I666" s="24">
        <f>IF($G666="","",IFERROR(VLOOKUP($G666,物料档案!$A$4:$P$1203,4,0),"※编码不在物料档案里"))</f>
        <v/>
      </c>
      <c r="J666" s="24">
        <f>IF($G666="","",IFERROR(VLOOKUP($G666,物料档案!$A$4:$P$1203,5,0),"※编码不在物料档案里"))</f>
        <v/>
      </c>
      <c r="K666" s="23" t="n">
        <v>3</v>
      </c>
      <c r="L666" s="31" t="n"/>
      <c r="M666" s="24">
        <f>IF($G666="","",IF($D666="A国内","CNY","TZS"))</f>
        <v/>
      </c>
      <c r="N666" s="28">
        <f>IF($G666="","",IF($D666="A国内",汇率,1))</f>
        <v/>
      </c>
      <c r="O666" s="25">
        <f>IF($G666="","",ROUND(N($K666)*N($L666),2))</f>
        <v/>
      </c>
      <c r="P666" s="26">
        <f>IF($G666="","",ROUND($O666*$N666,0))</f>
        <v/>
      </c>
      <c r="Q666" s="26">
        <f>IF($G666="","",SUMIFS($P$4:$P$2503,$E$4:$E$2503,$E666,$Z$4:$Z$2503,"正常"))</f>
        <v/>
      </c>
      <c r="R666" s="26">
        <f>IF($G666="","",SUMIFS(费用台账!$I$4:$I$503,费用台账!$C$4:$C$503,$E666,费用台账!$J$4:$J$503,"是",费用台账!$K$4:$K$503,"正常"))</f>
        <v/>
      </c>
      <c r="S666" s="28">
        <f>IF($G666="","",COUNTIFS($E$4:$E$2503,$E666,$Z$4:$Z$2503,"正常",$Y$4:$Y$2503,"待补价"))</f>
        <v/>
      </c>
      <c r="T666" s="26">
        <f>IF($G666="","",SUMIFS($P$4:$P$2503,$E$4:$E$2503,$E666,$Z$4:$Z$2503,"正常",$A$4:$A$2503,"&lt;="&amp;$A666))</f>
        <v/>
      </c>
      <c r="U666" s="26">
        <f>IF($G666="","",IF(OR($S666&gt;0,$Q666=0,$R666=0,$Z666&lt;&gt;"正常"),0,ROUND($T666/$Q666*$R666,0)-ROUND(($T666-$P666)/$Q666*$R666,0)))</f>
        <v/>
      </c>
      <c r="V666" s="26">
        <f>IF($G666="","",ROUND($P666+$U666,0))</f>
        <v/>
      </c>
      <c r="W666" s="26">
        <f>IF($G666="","",IF(N($K666)=0,0,ROUND($V666/$K666,2)))</f>
        <v/>
      </c>
      <c r="X666" s="17" t="inlineStr">
        <is>
          <t>采购入库</t>
        </is>
      </c>
      <c r="Y666" s="17" t="inlineStr">
        <is>
          <t>待补价</t>
        </is>
      </c>
      <c r="Z666" s="17" t="inlineStr">
        <is>
          <t>正常</t>
        </is>
      </c>
      <c r="AA666" s="17" t="n"/>
      <c r="AB666" s="17" t="inlineStr">
        <is>
          <t>原表第 672 行</t>
        </is>
      </c>
      <c r="AC666" s="24">
        <f>IF($G666="","",IF($H666="※编码不在物料档案里","※物料编码不在档案里",IF(N($K666)&lt;=0,"※入库数量要大于 0",IF(AND($C666&lt;&gt;"",$C666&lt;=结账锁),"※日期早于已结账截止日，不能再录",IF(AND($L666=0,$X666="正常"),"※没填单价，价格状态请选「待补价」",IF(AND($S666&gt;0,$R666&gt;0),"△本批有 "&amp;$S666&amp;" 行没单价，整批运费先挂账没摊",IF(AND($B666&lt;&gt;"",COUNTIF($B$4:$B$2503,$B666)&gt;1),"※入库单号重复","")))))))</f>
        <v/>
      </c>
    </row>
    <row r="667">
      <c r="A667" s="24">
        <f>IF($G667="","",COUNTA($G$4:$G667))</f>
        <v/>
      </c>
      <c r="B667" s="17" t="n"/>
      <c r="C667" s="30" t="n">
        <v>46109</v>
      </c>
      <c r="D667" s="17" t="inlineStr">
        <is>
          <t>A国内</t>
        </is>
      </c>
      <c r="E667" s="17" t="inlineStr">
        <is>
          <t>FCIU8630602-202603</t>
        </is>
      </c>
      <c r="F667" s="17" t="inlineStr">
        <is>
          <t>烟台市金豪矿山机械有限公司</t>
        </is>
      </c>
      <c r="G667" s="17" t="inlineStr">
        <is>
          <t>JH0598</t>
        </is>
      </c>
      <c r="H667" s="24">
        <f>IF($G667="","",IFERROR(VLOOKUP($G667,物料档案!$A$4:$P$1203,3,0),"※编码不在物料档案里"))</f>
        <v/>
      </c>
      <c r="I667" s="24">
        <f>IF($G667="","",IFERROR(VLOOKUP($G667,物料档案!$A$4:$P$1203,4,0),"※编码不在物料档案里"))</f>
        <v/>
      </c>
      <c r="J667" s="24">
        <f>IF($G667="","",IFERROR(VLOOKUP($G667,物料档案!$A$4:$P$1203,5,0),"※编码不在物料档案里"))</f>
        <v/>
      </c>
      <c r="K667" s="23" t="n">
        <v>3</v>
      </c>
      <c r="L667" s="31" t="n"/>
      <c r="M667" s="24">
        <f>IF($G667="","",IF($D667="A国内","CNY","TZS"))</f>
        <v/>
      </c>
      <c r="N667" s="28">
        <f>IF($G667="","",IF($D667="A国内",汇率,1))</f>
        <v/>
      </c>
      <c r="O667" s="25">
        <f>IF($G667="","",ROUND(N($K667)*N($L667),2))</f>
        <v/>
      </c>
      <c r="P667" s="26">
        <f>IF($G667="","",ROUND($O667*$N667,0))</f>
        <v/>
      </c>
      <c r="Q667" s="26">
        <f>IF($G667="","",SUMIFS($P$4:$P$2503,$E$4:$E$2503,$E667,$Z$4:$Z$2503,"正常"))</f>
        <v/>
      </c>
      <c r="R667" s="26">
        <f>IF($G667="","",SUMIFS(费用台账!$I$4:$I$503,费用台账!$C$4:$C$503,$E667,费用台账!$J$4:$J$503,"是",费用台账!$K$4:$K$503,"正常"))</f>
        <v/>
      </c>
      <c r="S667" s="28">
        <f>IF($G667="","",COUNTIFS($E$4:$E$2503,$E667,$Z$4:$Z$2503,"正常",$Y$4:$Y$2503,"待补价"))</f>
        <v/>
      </c>
      <c r="T667" s="26">
        <f>IF($G667="","",SUMIFS($P$4:$P$2503,$E$4:$E$2503,$E667,$Z$4:$Z$2503,"正常",$A$4:$A$2503,"&lt;="&amp;$A667))</f>
        <v/>
      </c>
      <c r="U667" s="26">
        <f>IF($G667="","",IF(OR($S667&gt;0,$Q667=0,$R667=0,$Z667&lt;&gt;"正常"),0,ROUND($T667/$Q667*$R667,0)-ROUND(($T667-$P667)/$Q667*$R667,0)))</f>
        <v/>
      </c>
      <c r="V667" s="26">
        <f>IF($G667="","",ROUND($P667+$U667,0))</f>
        <v/>
      </c>
      <c r="W667" s="26">
        <f>IF($G667="","",IF(N($K667)=0,0,ROUND($V667/$K667,2)))</f>
        <v/>
      </c>
      <c r="X667" s="17" t="inlineStr">
        <is>
          <t>采购入库</t>
        </is>
      </c>
      <c r="Y667" s="17" t="inlineStr">
        <is>
          <t>待补价</t>
        </is>
      </c>
      <c r="Z667" s="17" t="inlineStr">
        <is>
          <t>正常</t>
        </is>
      </c>
      <c r="AA667" s="17" t="n"/>
      <c r="AB667" s="17" t="inlineStr">
        <is>
          <t>原表第 673 行</t>
        </is>
      </c>
      <c r="AC667" s="24">
        <f>IF($G667="","",IF($H667="※编码不在物料档案里","※物料编码不在档案里",IF(N($K667)&lt;=0,"※入库数量要大于 0",IF(AND($C667&lt;&gt;"",$C667&lt;=结账锁),"※日期早于已结账截止日，不能再录",IF(AND($L667=0,$X667="正常"),"※没填单价，价格状态请选「待补价」",IF(AND($S667&gt;0,$R667&gt;0),"△本批有 "&amp;$S667&amp;" 行没单价，整批运费先挂账没摊",IF(AND($B667&lt;&gt;"",COUNTIF($B$4:$B$2503,$B667)&gt;1),"※入库单号重复","")))))))</f>
        <v/>
      </c>
    </row>
    <row r="668">
      <c r="A668" s="24">
        <f>IF($G668="","",COUNTA($G$4:$G668))</f>
        <v/>
      </c>
      <c r="B668" s="17" t="n"/>
      <c r="C668" s="30" t="n">
        <v>46109</v>
      </c>
      <c r="D668" s="17" t="inlineStr">
        <is>
          <t>A国内</t>
        </is>
      </c>
      <c r="E668" s="17" t="inlineStr">
        <is>
          <t>FCIU8630602-202603</t>
        </is>
      </c>
      <c r="F668" s="17" t="inlineStr">
        <is>
          <t>烟台市金豪矿山机械有限公司</t>
        </is>
      </c>
      <c r="G668" s="17" t="inlineStr">
        <is>
          <t>JH0599</t>
        </is>
      </c>
      <c r="H668" s="24">
        <f>IF($G668="","",IFERROR(VLOOKUP($G668,物料档案!$A$4:$P$1203,3,0),"※编码不在物料档案里"))</f>
        <v/>
      </c>
      <c r="I668" s="24">
        <f>IF($G668="","",IFERROR(VLOOKUP($G668,物料档案!$A$4:$P$1203,4,0),"※编码不在物料档案里"))</f>
        <v/>
      </c>
      <c r="J668" s="24">
        <f>IF($G668="","",IFERROR(VLOOKUP($G668,物料档案!$A$4:$P$1203,5,0),"※编码不在物料档案里"))</f>
        <v/>
      </c>
      <c r="K668" s="23" t="n">
        <v>3</v>
      </c>
      <c r="L668" s="31" t="n"/>
      <c r="M668" s="24">
        <f>IF($G668="","",IF($D668="A国内","CNY","TZS"))</f>
        <v/>
      </c>
      <c r="N668" s="28">
        <f>IF($G668="","",IF($D668="A国内",汇率,1))</f>
        <v/>
      </c>
      <c r="O668" s="25">
        <f>IF($G668="","",ROUND(N($K668)*N($L668),2))</f>
        <v/>
      </c>
      <c r="P668" s="26">
        <f>IF($G668="","",ROUND($O668*$N668,0))</f>
        <v/>
      </c>
      <c r="Q668" s="26">
        <f>IF($G668="","",SUMIFS($P$4:$P$2503,$E$4:$E$2503,$E668,$Z$4:$Z$2503,"正常"))</f>
        <v/>
      </c>
      <c r="R668" s="26">
        <f>IF($G668="","",SUMIFS(费用台账!$I$4:$I$503,费用台账!$C$4:$C$503,$E668,费用台账!$J$4:$J$503,"是",费用台账!$K$4:$K$503,"正常"))</f>
        <v/>
      </c>
      <c r="S668" s="28">
        <f>IF($G668="","",COUNTIFS($E$4:$E$2503,$E668,$Z$4:$Z$2503,"正常",$Y$4:$Y$2503,"待补价"))</f>
        <v/>
      </c>
      <c r="T668" s="26">
        <f>IF($G668="","",SUMIFS($P$4:$P$2503,$E$4:$E$2503,$E668,$Z$4:$Z$2503,"正常",$A$4:$A$2503,"&lt;="&amp;$A668))</f>
        <v/>
      </c>
      <c r="U668" s="26">
        <f>IF($G668="","",IF(OR($S668&gt;0,$Q668=0,$R668=0,$Z668&lt;&gt;"正常"),0,ROUND($T668/$Q668*$R668,0)-ROUND(($T668-$P668)/$Q668*$R668,0)))</f>
        <v/>
      </c>
      <c r="V668" s="26">
        <f>IF($G668="","",ROUND($P668+$U668,0))</f>
        <v/>
      </c>
      <c r="W668" s="26">
        <f>IF($G668="","",IF(N($K668)=0,0,ROUND($V668/$K668,2)))</f>
        <v/>
      </c>
      <c r="X668" s="17" t="inlineStr">
        <is>
          <t>采购入库</t>
        </is>
      </c>
      <c r="Y668" s="17" t="inlineStr">
        <is>
          <t>待补价</t>
        </is>
      </c>
      <c r="Z668" s="17" t="inlineStr">
        <is>
          <t>正常</t>
        </is>
      </c>
      <c r="AA668" s="17" t="n"/>
      <c r="AB668" s="17" t="inlineStr">
        <is>
          <t>原表第 674 行</t>
        </is>
      </c>
      <c r="AC668" s="24">
        <f>IF($G668="","",IF($H668="※编码不在物料档案里","※物料编码不在档案里",IF(N($K668)&lt;=0,"※入库数量要大于 0",IF(AND($C668&lt;&gt;"",$C668&lt;=结账锁),"※日期早于已结账截止日，不能再录",IF(AND($L668=0,$X668="正常"),"※没填单价，价格状态请选「待补价」",IF(AND($S668&gt;0,$R668&gt;0),"△本批有 "&amp;$S668&amp;" 行没单价，整批运费先挂账没摊",IF(AND($B668&lt;&gt;"",COUNTIF($B$4:$B$2503,$B668)&gt;1),"※入库单号重复","")))))))</f>
        <v/>
      </c>
    </row>
    <row r="669">
      <c r="A669" s="24">
        <f>IF($G669="","",COUNTA($G$4:$G669))</f>
        <v/>
      </c>
      <c r="B669" s="17" t="n"/>
      <c r="C669" s="30" t="n">
        <v>46109</v>
      </c>
      <c r="D669" s="17" t="inlineStr">
        <is>
          <t>A国内</t>
        </is>
      </c>
      <c r="E669" s="17" t="inlineStr">
        <is>
          <t>FCIU8630602-202603</t>
        </is>
      </c>
      <c r="F669" s="17" t="inlineStr">
        <is>
          <t>烟台市金豪矿山机械有限公司</t>
        </is>
      </c>
      <c r="G669" s="17" t="inlineStr">
        <is>
          <t>JH0600</t>
        </is>
      </c>
      <c r="H669" s="24">
        <f>IF($G669="","",IFERROR(VLOOKUP($G669,物料档案!$A$4:$P$1203,3,0),"※编码不在物料档案里"))</f>
        <v/>
      </c>
      <c r="I669" s="24">
        <f>IF($G669="","",IFERROR(VLOOKUP($G669,物料档案!$A$4:$P$1203,4,0),"※编码不在物料档案里"))</f>
        <v/>
      </c>
      <c r="J669" s="24">
        <f>IF($G669="","",IFERROR(VLOOKUP($G669,物料档案!$A$4:$P$1203,5,0),"※编码不在物料档案里"))</f>
        <v/>
      </c>
      <c r="K669" s="23" t="n">
        <v>1</v>
      </c>
      <c r="L669" s="31" t="n"/>
      <c r="M669" s="24">
        <f>IF($G669="","",IF($D669="A国内","CNY","TZS"))</f>
        <v/>
      </c>
      <c r="N669" s="28">
        <f>IF($G669="","",IF($D669="A国内",汇率,1))</f>
        <v/>
      </c>
      <c r="O669" s="25">
        <f>IF($G669="","",ROUND(N($K669)*N($L669),2))</f>
        <v/>
      </c>
      <c r="P669" s="26">
        <f>IF($G669="","",ROUND($O669*$N669,0))</f>
        <v/>
      </c>
      <c r="Q669" s="26">
        <f>IF($G669="","",SUMIFS($P$4:$P$2503,$E$4:$E$2503,$E669,$Z$4:$Z$2503,"正常"))</f>
        <v/>
      </c>
      <c r="R669" s="26">
        <f>IF($G669="","",SUMIFS(费用台账!$I$4:$I$503,费用台账!$C$4:$C$503,$E669,费用台账!$J$4:$J$503,"是",费用台账!$K$4:$K$503,"正常"))</f>
        <v/>
      </c>
      <c r="S669" s="28">
        <f>IF($G669="","",COUNTIFS($E$4:$E$2503,$E669,$Z$4:$Z$2503,"正常",$Y$4:$Y$2503,"待补价"))</f>
        <v/>
      </c>
      <c r="T669" s="26">
        <f>IF($G669="","",SUMIFS($P$4:$P$2503,$E$4:$E$2503,$E669,$Z$4:$Z$2503,"正常",$A$4:$A$2503,"&lt;="&amp;$A669))</f>
        <v/>
      </c>
      <c r="U669" s="26">
        <f>IF($G669="","",IF(OR($S669&gt;0,$Q669=0,$R669=0,$Z669&lt;&gt;"正常"),0,ROUND($T669/$Q669*$R669,0)-ROUND(($T669-$P669)/$Q669*$R669,0)))</f>
        <v/>
      </c>
      <c r="V669" s="26">
        <f>IF($G669="","",ROUND($P669+$U669,0))</f>
        <v/>
      </c>
      <c r="W669" s="26">
        <f>IF($G669="","",IF(N($K669)=0,0,ROUND($V669/$K669,2)))</f>
        <v/>
      </c>
      <c r="X669" s="17" t="inlineStr">
        <is>
          <t>采购入库</t>
        </is>
      </c>
      <c r="Y669" s="17" t="inlineStr">
        <is>
          <t>待补价</t>
        </is>
      </c>
      <c r="Z669" s="17" t="inlineStr">
        <is>
          <t>正常</t>
        </is>
      </c>
      <c r="AA669" s="17" t="n"/>
      <c r="AB669" s="17" t="inlineStr">
        <is>
          <t>原表第 675 行</t>
        </is>
      </c>
      <c r="AC669" s="24">
        <f>IF($G669="","",IF($H669="※编码不在物料档案里","※物料编码不在档案里",IF(N($K669)&lt;=0,"※入库数量要大于 0",IF(AND($C669&lt;&gt;"",$C669&lt;=结账锁),"※日期早于已结账截止日，不能再录",IF(AND($L669=0,$X669="正常"),"※没填单价，价格状态请选「待补价」",IF(AND($S669&gt;0,$R669&gt;0),"△本批有 "&amp;$S669&amp;" 行没单价，整批运费先挂账没摊",IF(AND($B669&lt;&gt;"",COUNTIF($B$4:$B$2503,$B669)&gt;1),"※入库单号重复","")))))))</f>
        <v/>
      </c>
    </row>
    <row r="670">
      <c r="A670" s="24">
        <f>IF($G670="","",COUNTA($G$4:$G670))</f>
        <v/>
      </c>
      <c r="B670" s="17" t="n"/>
      <c r="C670" s="30" t="n">
        <v>46109</v>
      </c>
      <c r="D670" s="17" t="inlineStr">
        <is>
          <t>A国内</t>
        </is>
      </c>
      <c r="E670" s="17" t="inlineStr">
        <is>
          <t>FCIU8630602-202603</t>
        </is>
      </c>
      <c r="F670" s="17" t="inlineStr">
        <is>
          <t>烟台市金豪矿山机械有限公司</t>
        </is>
      </c>
      <c r="G670" s="17" t="inlineStr">
        <is>
          <t>JH0601</t>
        </is>
      </c>
      <c r="H670" s="24">
        <f>IF($G670="","",IFERROR(VLOOKUP($G670,物料档案!$A$4:$P$1203,3,0),"※编码不在物料档案里"))</f>
        <v/>
      </c>
      <c r="I670" s="24">
        <f>IF($G670="","",IFERROR(VLOOKUP($G670,物料档案!$A$4:$P$1203,4,0),"※编码不在物料档案里"))</f>
        <v/>
      </c>
      <c r="J670" s="24">
        <f>IF($G670="","",IFERROR(VLOOKUP($G670,物料档案!$A$4:$P$1203,5,0),"※编码不在物料档案里"))</f>
        <v/>
      </c>
      <c r="K670" s="23" t="n">
        <v>8</v>
      </c>
      <c r="L670" s="31" t="n"/>
      <c r="M670" s="24">
        <f>IF($G670="","",IF($D670="A国内","CNY","TZS"))</f>
        <v/>
      </c>
      <c r="N670" s="28">
        <f>IF($G670="","",IF($D670="A国内",汇率,1))</f>
        <v/>
      </c>
      <c r="O670" s="25">
        <f>IF($G670="","",ROUND(N($K670)*N($L670),2))</f>
        <v/>
      </c>
      <c r="P670" s="26">
        <f>IF($G670="","",ROUND($O670*$N670,0))</f>
        <v/>
      </c>
      <c r="Q670" s="26">
        <f>IF($G670="","",SUMIFS($P$4:$P$2503,$E$4:$E$2503,$E670,$Z$4:$Z$2503,"正常"))</f>
        <v/>
      </c>
      <c r="R670" s="26">
        <f>IF($G670="","",SUMIFS(费用台账!$I$4:$I$503,费用台账!$C$4:$C$503,$E670,费用台账!$J$4:$J$503,"是",费用台账!$K$4:$K$503,"正常"))</f>
        <v/>
      </c>
      <c r="S670" s="28">
        <f>IF($G670="","",COUNTIFS($E$4:$E$2503,$E670,$Z$4:$Z$2503,"正常",$Y$4:$Y$2503,"待补价"))</f>
        <v/>
      </c>
      <c r="T670" s="26">
        <f>IF($G670="","",SUMIFS($P$4:$P$2503,$E$4:$E$2503,$E670,$Z$4:$Z$2503,"正常",$A$4:$A$2503,"&lt;="&amp;$A670))</f>
        <v/>
      </c>
      <c r="U670" s="26">
        <f>IF($G670="","",IF(OR($S670&gt;0,$Q670=0,$R670=0,$Z670&lt;&gt;"正常"),0,ROUND($T670/$Q670*$R670,0)-ROUND(($T670-$P670)/$Q670*$R670,0)))</f>
        <v/>
      </c>
      <c r="V670" s="26">
        <f>IF($G670="","",ROUND($P670+$U670,0))</f>
        <v/>
      </c>
      <c r="W670" s="26">
        <f>IF($G670="","",IF(N($K670)=0,0,ROUND($V670/$K670,2)))</f>
        <v/>
      </c>
      <c r="X670" s="17" t="inlineStr">
        <is>
          <t>采购入库</t>
        </is>
      </c>
      <c r="Y670" s="17" t="inlineStr">
        <is>
          <t>待补价</t>
        </is>
      </c>
      <c r="Z670" s="17" t="inlineStr">
        <is>
          <t>正常</t>
        </is>
      </c>
      <c r="AA670" s="17" t="n"/>
      <c r="AB670" s="17" t="inlineStr">
        <is>
          <t>原表第 676 行</t>
        </is>
      </c>
      <c r="AC670" s="24">
        <f>IF($G670="","",IF($H670="※编码不在物料档案里","※物料编码不在档案里",IF(N($K670)&lt;=0,"※入库数量要大于 0",IF(AND($C670&lt;&gt;"",$C670&lt;=结账锁),"※日期早于已结账截止日，不能再录",IF(AND($L670=0,$X670="正常"),"※没填单价，价格状态请选「待补价」",IF(AND($S670&gt;0,$R670&gt;0),"△本批有 "&amp;$S670&amp;" 行没单价，整批运费先挂账没摊",IF(AND($B670&lt;&gt;"",COUNTIF($B$4:$B$2503,$B670)&gt;1),"※入库单号重复","")))))))</f>
        <v/>
      </c>
    </row>
    <row r="671">
      <c r="A671" s="24">
        <f>IF($G671="","",COUNTA($G$4:$G671))</f>
        <v/>
      </c>
      <c r="B671" s="17" t="n"/>
      <c r="C671" s="30" t="n">
        <v>46109</v>
      </c>
      <c r="D671" s="17" t="inlineStr">
        <is>
          <t>A国内</t>
        </is>
      </c>
      <c r="E671" s="17" t="inlineStr">
        <is>
          <t>FCIU8630602-202603</t>
        </is>
      </c>
      <c r="F671" s="17" t="inlineStr">
        <is>
          <t>烟台市金豪矿山机械有限公司</t>
        </is>
      </c>
      <c r="G671" s="17" t="inlineStr">
        <is>
          <t>JH0602</t>
        </is>
      </c>
      <c r="H671" s="24">
        <f>IF($G671="","",IFERROR(VLOOKUP($G671,物料档案!$A$4:$P$1203,3,0),"※编码不在物料档案里"))</f>
        <v/>
      </c>
      <c r="I671" s="24">
        <f>IF($G671="","",IFERROR(VLOOKUP($G671,物料档案!$A$4:$P$1203,4,0),"※编码不在物料档案里"))</f>
        <v/>
      </c>
      <c r="J671" s="24">
        <f>IF($G671="","",IFERROR(VLOOKUP($G671,物料档案!$A$4:$P$1203,5,0),"※编码不在物料档案里"))</f>
        <v/>
      </c>
      <c r="K671" s="23" t="n">
        <v>8</v>
      </c>
      <c r="L671" s="31" t="n"/>
      <c r="M671" s="24">
        <f>IF($G671="","",IF($D671="A国内","CNY","TZS"))</f>
        <v/>
      </c>
      <c r="N671" s="28">
        <f>IF($G671="","",IF($D671="A国内",汇率,1))</f>
        <v/>
      </c>
      <c r="O671" s="25">
        <f>IF($G671="","",ROUND(N($K671)*N($L671),2))</f>
        <v/>
      </c>
      <c r="P671" s="26">
        <f>IF($G671="","",ROUND($O671*$N671,0))</f>
        <v/>
      </c>
      <c r="Q671" s="26">
        <f>IF($G671="","",SUMIFS($P$4:$P$2503,$E$4:$E$2503,$E671,$Z$4:$Z$2503,"正常"))</f>
        <v/>
      </c>
      <c r="R671" s="26">
        <f>IF($G671="","",SUMIFS(费用台账!$I$4:$I$503,费用台账!$C$4:$C$503,$E671,费用台账!$J$4:$J$503,"是",费用台账!$K$4:$K$503,"正常"))</f>
        <v/>
      </c>
      <c r="S671" s="28">
        <f>IF($G671="","",COUNTIFS($E$4:$E$2503,$E671,$Z$4:$Z$2503,"正常",$Y$4:$Y$2503,"待补价"))</f>
        <v/>
      </c>
      <c r="T671" s="26">
        <f>IF($G671="","",SUMIFS($P$4:$P$2503,$E$4:$E$2503,$E671,$Z$4:$Z$2503,"正常",$A$4:$A$2503,"&lt;="&amp;$A671))</f>
        <v/>
      </c>
      <c r="U671" s="26">
        <f>IF($G671="","",IF(OR($S671&gt;0,$Q671=0,$R671=0,$Z671&lt;&gt;"正常"),0,ROUND($T671/$Q671*$R671,0)-ROUND(($T671-$P671)/$Q671*$R671,0)))</f>
        <v/>
      </c>
      <c r="V671" s="26">
        <f>IF($G671="","",ROUND($P671+$U671,0))</f>
        <v/>
      </c>
      <c r="W671" s="26">
        <f>IF($G671="","",IF(N($K671)=0,0,ROUND($V671/$K671,2)))</f>
        <v/>
      </c>
      <c r="X671" s="17" t="inlineStr">
        <is>
          <t>采购入库</t>
        </is>
      </c>
      <c r="Y671" s="17" t="inlineStr">
        <is>
          <t>待补价</t>
        </is>
      </c>
      <c r="Z671" s="17" t="inlineStr">
        <is>
          <t>正常</t>
        </is>
      </c>
      <c r="AA671" s="17" t="n"/>
      <c r="AB671" s="17" t="inlineStr">
        <is>
          <t>原表第 677 行</t>
        </is>
      </c>
      <c r="AC671" s="24">
        <f>IF($G671="","",IF($H671="※编码不在物料档案里","※物料编码不在档案里",IF(N($K671)&lt;=0,"※入库数量要大于 0",IF(AND($C671&lt;&gt;"",$C671&lt;=结账锁),"※日期早于已结账截止日，不能再录",IF(AND($L671=0,$X671="正常"),"※没填单价，价格状态请选「待补价」",IF(AND($S671&gt;0,$R671&gt;0),"△本批有 "&amp;$S671&amp;" 行没单价，整批运费先挂账没摊",IF(AND($B671&lt;&gt;"",COUNTIF($B$4:$B$2503,$B671)&gt;1),"※入库单号重复","")))))))</f>
        <v/>
      </c>
    </row>
    <row r="672">
      <c r="A672" s="24">
        <f>IF($G672="","",COUNTA($G$4:$G672))</f>
        <v/>
      </c>
      <c r="B672" s="17" t="n"/>
      <c r="C672" s="30" t="n">
        <v>46109</v>
      </c>
      <c r="D672" s="17" t="inlineStr">
        <is>
          <t>A国内</t>
        </is>
      </c>
      <c r="E672" s="17" t="inlineStr">
        <is>
          <t>FCIU8630602-202603</t>
        </is>
      </c>
      <c r="F672" s="17" t="inlineStr">
        <is>
          <t>烟台市金豪矿山机械有限公司</t>
        </is>
      </c>
      <c r="G672" s="17" t="inlineStr">
        <is>
          <t>JH0603</t>
        </is>
      </c>
      <c r="H672" s="24">
        <f>IF($G672="","",IFERROR(VLOOKUP($G672,物料档案!$A$4:$P$1203,3,0),"※编码不在物料档案里"))</f>
        <v/>
      </c>
      <c r="I672" s="24">
        <f>IF($G672="","",IFERROR(VLOOKUP($G672,物料档案!$A$4:$P$1203,4,0),"※编码不在物料档案里"))</f>
        <v/>
      </c>
      <c r="J672" s="24">
        <f>IF($G672="","",IFERROR(VLOOKUP($G672,物料档案!$A$4:$P$1203,5,0),"※编码不在物料档案里"))</f>
        <v/>
      </c>
      <c r="K672" s="23" t="n">
        <v>10</v>
      </c>
      <c r="L672" s="31" t="n"/>
      <c r="M672" s="24">
        <f>IF($G672="","",IF($D672="A国内","CNY","TZS"))</f>
        <v/>
      </c>
      <c r="N672" s="28">
        <f>IF($G672="","",IF($D672="A国内",汇率,1))</f>
        <v/>
      </c>
      <c r="O672" s="25">
        <f>IF($G672="","",ROUND(N($K672)*N($L672),2))</f>
        <v/>
      </c>
      <c r="P672" s="26">
        <f>IF($G672="","",ROUND($O672*$N672,0))</f>
        <v/>
      </c>
      <c r="Q672" s="26">
        <f>IF($G672="","",SUMIFS($P$4:$P$2503,$E$4:$E$2503,$E672,$Z$4:$Z$2503,"正常"))</f>
        <v/>
      </c>
      <c r="R672" s="26">
        <f>IF($G672="","",SUMIFS(费用台账!$I$4:$I$503,费用台账!$C$4:$C$503,$E672,费用台账!$J$4:$J$503,"是",费用台账!$K$4:$K$503,"正常"))</f>
        <v/>
      </c>
      <c r="S672" s="28">
        <f>IF($G672="","",COUNTIFS($E$4:$E$2503,$E672,$Z$4:$Z$2503,"正常",$Y$4:$Y$2503,"待补价"))</f>
        <v/>
      </c>
      <c r="T672" s="26">
        <f>IF($G672="","",SUMIFS($P$4:$P$2503,$E$4:$E$2503,$E672,$Z$4:$Z$2503,"正常",$A$4:$A$2503,"&lt;="&amp;$A672))</f>
        <v/>
      </c>
      <c r="U672" s="26">
        <f>IF($G672="","",IF(OR($S672&gt;0,$Q672=0,$R672=0,$Z672&lt;&gt;"正常"),0,ROUND($T672/$Q672*$R672,0)-ROUND(($T672-$P672)/$Q672*$R672,0)))</f>
        <v/>
      </c>
      <c r="V672" s="26">
        <f>IF($G672="","",ROUND($P672+$U672,0))</f>
        <v/>
      </c>
      <c r="W672" s="26">
        <f>IF($G672="","",IF(N($K672)=0,0,ROUND($V672/$K672,2)))</f>
        <v/>
      </c>
      <c r="X672" s="17" t="inlineStr">
        <is>
          <t>采购入库</t>
        </is>
      </c>
      <c r="Y672" s="17" t="inlineStr">
        <is>
          <t>待补价</t>
        </is>
      </c>
      <c r="Z672" s="17" t="inlineStr">
        <is>
          <t>正常</t>
        </is>
      </c>
      <c r="AA672" s="17" t="n"/>
      <c r="AB672" s="17" t="inlineStr">
        <is>
          <t>原表第 678 行</t>
        </is>
      </c>
      <c r="AC672" s="24">
        <f>IF($G672="","",IF($H672="※编码不在物料档案里","※物料编码不在档案里",IF(N($K672)&lt;=0,"※入库数量要大于 0",IF(AND($C672&lt;&gt;"",$C672&lt;=结账锁),"※日期早于已结账截止日，不能再录",IF(AND($L672=0,$X672="正常"),"※没填单价，价格状态请选「待补价」",IF(AND($S672&gt;0,$R672&gt;0),"△本批有 "&amp;$S672&amp;" 行没单价，整批运费先挂账没摊",IF(AND($B672&lt;&gt;"",COUNTIF($B$4:$B$2503,$B672)&gt;1),"※入库单号重复","")))))))</f>
        <v/>
      </c>
    </row>
    <row r="673">
      <c r="A673" s="24">
        <f>IF($G673="","",COUNTA($G$4:$G673))</f>
        <v/>
      </c>
      <c r="B673" s="17" t="n"/>
      <c r="C673" s="30" t="n">
        <v>46109</v>
      </c>
      <c r="D673" s="17" t="inlineStr">
        <is>
          <t>A国内</t>
        </is>
      </c>
      <c r="E673" s="17" t="inlineStr">
        <is>
          <t>FCIU8630602-202603</t>
        </is>
      </c>
      <c r="F673" s="17" t="inlineStr">
        <is>
          <t>烟台市金豪矿山机械有限公司</t>
        </is>
      </c>
      <c r="G673" s="17" t="inlineStr">
        <is>
          <t>JH0604</t>
        </is>
      </c>
      <c r="H673" s="24">
        <f>IF($G673="","",IFERROR(VLOOKUP($G673,物料档案!$A$4:$P$1203,3,0),"※编码不在物料档案里"))</f>
        <v/>
      </c>
      <c r="I673" s="24">
        <f>IF($G673="","",IFERROR(VLOOKUP($G673,物料档案!$A$4:$P$1203,4,0),"※编码不在物料档案里"))</f>
        <v/>
      </c>
      <c r="J673" s="24">
        <f>IF($G673="","",IFERROR(VLOOKUP($G673,物料档案!$A$4:$P$1203,5,0),"※编码不在物料档案里"))</f>
        <v/>
      </c>
      <c r="K673" s="23" t="n">
        <v>2</v>
      </c>
      <c r="L673" s="31" t="n"/>
      <c r="M673" s="24">
        <f>IF($G673="","",IF($D673="A国内","CNY","TZS"))</f>
        <v/>
      </c>
      <c r="N673" s="28">
        <f>IF($G673="","",IF($D673="A国内",汇率,1))</f>
        <v/>
      </c>
      <c r="O673" s="25">
        <f>IF($G673="","",ROUND(N($K673)*N($L673),2))</f>
        <v/>
      </c>
      <c r="P673" s="26">
        <f>IF($G673="","",ROUND($O673*$N673,0))</f>
        <v/>
      </c>
      <c r="Q673" s="26">
        <f>IF($G673="","",SUMIFS($P$4:$P$2503,$E$4:$E$2503,$E673,$Z$4:$Z$2503,"正常"))</f>
        <v/>
      </c>
      <c r="R673" s="26">
        <f>IF($G673="","",SUMIFS(费用台账!$I$4:$I$503,费用台账!$C$4:$C$503,$E673,费用台账!$J$4:$J$503,"是",费用台账!$K$4:$K$503,"正常"))</f>
        <v/>
      </c>
      <c r="S673" s="28">
        <f>IF($G673="","",COUNTIFS($E$4:$E$2503,$E673,$Z$4:$Z$2503,"正常",$Y$4:$Y$2503,"待补价"))</f>
        <v/>
      </c>
      <c r="T673" s="26">
        <f>IF($G673="","",SUMIFS($P$4:$P$2503,$E$4:$E$2503,$E673,$Z$4:$Z$2503,"正常",$A$4:$A$2503,"&lt;="&amp;$A673))</f>
        <v/>
      </c>
      <c r="U673" s="26">
        <f>IF($G673="","",IF(OR($S673&gt;0,$Q673=0,$R673=0,$Z673&lt;&gt;"正常"),0,ROUND($T673/$Q673*$R673,0)-ROUND(($T673-$P673)/$Q673*$R673,0)))</f>
        <v/>
      </c>
      <c r="V673" s="26">
        <f>IF($G673="","",ROUND($P673+$U673,0))</f>
        <v/>
      </c>
      <c r="W673" s="26">
        <f>IF($G673="","",IF(N($K673)=0,0,ROUND($V673/$K673,2)))</f>
        <v/>
      </c>
      <c r="X673" s="17" t="inlineStr">
        <is>
          <t>采购入库</t>
        </is>
      </c>
      <c r="Y673" s="17" t="inlineStr">
        <is>
          <t>待补价</t>
        </is>
      </c>
      <c r="Z673" s="17" t="inlineStr">
        <is>
          <t>正常</t>
        </is>
      </c>
      <c r="AA673" s="17" t="n"/>
      <c r="AB673" s="17" t="inlineStr">
        <is>
          <t>原表第 679 行</t>
        </is>
      </c>
      <c r="AC673" s="24">
        <f>IF($G673="","",IF($H673="※编码不在物料档案里","※物料编码不在档案里",IF(N($K673)&lt;=0,"※入库数量要大于 0",IF(AND($C673&lt;&gt;"",$C673&lt;=结账锁),"※日期早于已结账截止日，不能再录",IF(AND($L673=0,$X673="正常"),"※没填单价，价格状态请选「待补价」",IF(AND($S673&gt;0,$R673&gt;0),"△本批有 "&amp;$S673&amp;" 行没单价，整批运费先挂账没摊",IF(AND($B673&lt;&gt;"",COUNTIF($B$4:$B$2503,$B673)&gt;1),"※入库单号重复","")))))))</f>
        <v/>
      </c>
    </row>
    <row r="674">
      <c r="A674" s="24">
        <f>IF($G674="","",COUNTA($G$4:$G674))</f>
        <v/>
      </c>
      <c r="B674" s="17" t="n"/>
      <c r="C674" s="30" t="n">
        <v>46109</v>
      </c>
      <c r="D674" s="17" t="inlineStr">
        <is>
          <t>A国内</t>
        </is>
      </c>
      <c r="E674" s="17" t="inlineStr">
        <is>
          <t>FCIU8630602-202603</t>
        </is>
      </c>
      <c r="F674" s="17" t="inlineStr">
        <is>
          <t>烟台市金豪矿山机械有限公司</t>
        </is>
      </c>
      <c r="G674" s="17" t="inlineStr">
        <is>
          <t>JH0605</t>
        </is>
      </c>
      <c r="H674" s="24">
        <f>IF($G674="","",IFERROR(VLOOKUP($G674,物料档案!$A$4:$P$1203,3,0),"※编码不在物料档案里"))</f>
        <v/>
      </c>
      <c r="I674" s="24">
        <f>IF($G674="","",IFERROR(VLOOKUP($G674,物料档案!$A$4:$P$1203,4,0),"※编码不在物料档案里"))</f>
        <v/>
      </c>
      <c r="J674" s="24">
        <f>IF($G674="","",IFERROR(VLOOKUP($G674,物料档案!$A$4:$P$1203,5,0),"※编码不在物料档案里"))</f>
        <v/>
      </c>
      <c r="K674" s="23" t="n">
        <v>2</v>
      </c>
      <c r="L674" s="31" t="n"/>
      <c r="M674" s="24">
        <f>IF($G674="","",IF($D674="A国内","CNY","TZS"))</f>
        <v/>
      </c>
      <c r="N674" s="28">
        <f>IF($G674="","",IF($D674="A国内",汇率,1))</f>
        <v/>
      </c>
      <c r="O674" s="25">
        <f>IF($G674="","",ROUND(N($K674)*N($L674),2))</f>
        <v/>
      </c>
      <c r="P674" s="26">
        <f>IF($G674="","",ROUND($O674*$N674,0))</f>
        <v/>
      </c>
      <c r="Q674" s="26">
        <f>IF($G674="","",SUMIFS($P$4:$P$2503,$E$4:$E$2503,$E674,$Z$4:$Z$2503,"正常"))</f>
        <v/>
      </c>
      <c r="R674" s="26">
        <f>IF($G674="","",SUMIFS(费用台账!$I$4:$I$503,费用台账!$C$4:$C$503,$E674,费用台账!$J$4:$J$503,"是",费用台账!$K$4:$K$503,"正常"))</f>
        <v/>
      </c>
      <c r="S674" s="28">
        <f>IF($G674="","",COUNTIFS($E$4:$E$2503,$E674,$Z$4:$Z$2503,"正常",$Y$4:$Y$2503,"待补价"))</f>
        <v/>
      </c>
      <c r="T674" s="26">
        <f>IF($G674="","",SUMIFS($P$4:$P$2503,$E$4:$E$2503,$E674,$Z$4:$Z$2503,"正常",$A$4:$A$2503,"&lt;="&amp;$A674))</f>
        <v/>
      </c>
      <c r="U674" s="26">
        <f>IF($G674="","",IF(OR($S674&gt;0,$Q674=0,$R674=0,$Z674&lt;&gt;"正常"),0,ROUND($T674/$Q674*$R674,0)-ROUND(($T674-$P674)/$Q674*$R674,0)))</f>
        <v/>
      </c>
      <c r="V674" s="26">
        <f>IF($G674="","",ROUND($P674+$U674,0))</f>
        <v/>
      </c>
      <c r="W674" s="26">
        <f>IF($G674="","",IF(N($K674)=0,0,ROUND($V674/$K674,2)))</f>
        <v/>
      </c>
      <c r="X674" s="17" t="inlineStr">
        <is>
          <t>采购入库</t>
        </is>
      </c>
      <c r="Y674" s="17" t="inlineStr">
        <is>
          <t>待补价</t>
        </is>
      </c>
      <c r="Z674" s="17" t="inlineStr">
        <is>
          <t>正常</t>
        </is>
      </c>
      <c r="AA674" s="17" t="n"/>
      <c r="AB674" s="17" t="inlineStr">
        <is>
          <t>原表第 680 行</t>
        </is>
      </c>
      <c r="AC674" s="24">
        <f>IF($G674="","",IF($H674="※编码不在物料档案里","※物料编码不在档案里",IF(N($K674)&lt;=0,"※入库数量要大于 0",IF(AND($C674&lt;&gt;"",$C674&lt;=结账锁),"※日期早于已结账截止日，不能再录",IF(AND($L674=0,$X674="正常"),"※没填单价，价格状态请选「待补价」",IF(AND($S674&gt;0,$R674&gt;0),"△本批有 "&amp;$S674&amp;" 行没单价，整批运费先挂账没摊",IF(AND($B674&lt;&gt;"",COUNTIF($B$4:$B$2503,$B674)&gt;1),"※入库单号重复","")))))))</f>
        <v/>
      </c>
    </row>
    <row r="675">
      <c r="A675" s="24">
        <f>IF($G675="","",COUNTA($G$4:$G675))</f>
        <v/>
      </c>
      <c r="B675" s="17" t="n"/>
      <c r="C675" s="30" t="n">
        <v>46109</v>
      </c>
      <c r="D675" s="17" t="inlineStr">
        <is>
          <t>A国内</t>
        </is>
      </c>
      <c r="E675" s="17" t="inlineStr">
        <is>
          <t>FCIU8630602-202603</t>
        </is>
      </c>
      <c r="F675" s="17" t="inlineStr">
        <is>
          <t>烟台市金豪矿山机械有限公司</t>
        </is>
      </c>
      <c r="G675" s="17" t="inlineStr">
        <is>
          <t>JH0606</t>
        </is>
      </c>
      <c r="H675" s="24">
        <f>IF($G675="","",IFERROR(VLOOKUP($G675,物料档案!$A$4:$P$1203,3,0),"※编码不在物料档案里"))</f>
        <v/>
      </c>
      <c r="I675" s="24">
        <f>IF($G675="","",IFERROR(VLOOKUP($G675,物料档案!$A$4:$P$1203,4,0),"※编码不在物料档案里"))</f>
        <v/>
      </c>
      <c r="J675" s="24">
        <f>IF($G675="","",IFERROR(VLOOKUP($G675,物料档案!$A$4:$P$1203,5,0),"※编码不在物料档案里"))</f>
        <v/>
      </c>
      <c r="K675" s="23" t="n">
        <v>2</v>
      </c>
      <c r="L675" s="31" t="n"/>
      <c r="M675" s="24">
        <f>IF($G675="","",IF($D675="A国内","CNY","TZS"))</f>
        <v/>
      </c>
      <c r="N675" s="28">
        <f>IF($G675="","",IF($D675="A国内",汇率,1))</f>
        <v/>
      </c>
      <c r="O675" s="25">
        <f>IF($G675="","",ROUND(N($K675)*N($L675),2))</f>
        <v/>
      </c>
      <c r="P675" s="26">
        <f>IF($G675="","",ROUND($O675*$N675,0))</f>
        <v/>
      </c>
      <c r="Q675" s="26">
        <f>IF($G675="","",SUMIFS($P$4:$P$2503,$E$4:$E$2503,$E675,$Z$4:$Z$2503,"正常"))</f>
        <v/>
      </c>
      <c r="R675" s="26">
        <f>IF($G675="","",SUMIFS(费用台账!$I$4:$I$503,费用台账!$C$4:$C$503,$E675,费用台账!$J$4:$J$503,"是",费用台账!$K$4:$K$503,"正常"))</f>
        <v/>
      </c>
      <c r="S675" s="28">
        <f>IF($G675="","",COUNTIFS($E$4:$E$2503,$E675,$Z$4:$Z$2503,"正常",$Y$4:$Y$2503,"待补价"))</f>
        <v/>
      </c>
      <c r="T675" s="26">
        <f>IF($G675="","",SUMIFS($P$4:$P$2503,$E$4:$E$2503,$E675,$Z$4:$Z$2503,"正常",$A$4:$A$2503,"&lt;="&amp;$A675))</f>
        <v/>
      </c>
      <c r="U675" s="26">
        <f>IF($G675="","",IF(OR($S675&gt;0,$Q675=0,$R675=0,$Z675&lt;&gt;"正常"),0,ROUND($T675/$Q675*$R675,0)-ROUND(($T675-$P675)/$Q675*$R675,0)))</f>
        <v/>
      </c>
      <c r="V675" s="26">
        <f>IF($G675="","",ROUND($P675+$U675,0))</f>
        <v/>
      </c>
      <c r="W675" s="26">
        <f>IF($G675="","",IF(N($K675)=0,0,ROUND($V675/$K675,2)))</f>
        <v/>
      </c>
      <c r="X675" s="17" t="inlineStr">
        <is>
          <t>采购入库</t>
        </is>
      </c>
      <c r="Y675" s="17" t="inlineStr">
        <is>
          <t>待补价</t>
        </is>
      </c>
      <c r="Z675" s="17" t="inlineStr">
        <is>
          <t>正常</t>
        </is>
      </c>
      <c r="AA675" s="17" t="n"/>
      <c r="AB675" s="17" t="inlineStr">
        <is>
          <t>原表第 681 行</t>
        </is>
      </c>
      <c r="AC675" s="24">
        <f>IF($G675="","",IF($H675="※编码不在物料档案里","※物料编码不在档案里",IF(N($K675)&lt;=0,"※入库数量要大于 0",IF(AND($C675&lt;&gt;"",$C675&lt;=结账锁),"※日期早于已结账截止日，不能再录",IF(AND($L675=0,$X675="正常"),"※没填单价，价格状态请选「待补价」",IF(AND($S675&gt;0,$R675&gt;0),"△本批有 "&amp;$S675&amp;" 行没单价，整批运费先挂账没摊",IF(AND($B675&lt;&gt;"",COUNTIF($B$4:$B$2503,$B675)&gt;1),"※入库单号重复","")))))))</f>
        <v/>
      </c>
    </row>
    <row r="676">
      <c r="A676" s="24">
        <f>IF($G676="","",COUNTA($G$4:$G676))</f>
        <v/>
      </c>
      <c r="B676" s="17" t="n"/>
      <c r="C676" s="30" t="n">
        <v>46109</v>
      </c>
      <c r="D676" s="17" t="inlineStr">
        <is>
          <t>A国内</t>
        </is>
      </c>
      <c r="E676" s="17" t="inlineStr">
        <is>
          <t>FCIU8630602-202603</t>
        </is>
      </c>
      <c r="F676" s="17" t="inlineStr">
        <is>
          <t>烟台市金豪矿山机械有限公司</t>
        </is>
      </c>
      <c r="G676" s="17" t="inlineStr">
        <is>
          <t>JH0607</t>
        </is>
      </c>
      <c r="H676" s="24">
        <f>IF($G676="","",IFERROR(VLOOKUP($G676,物料档案!$A$4:$P$1203,3,0),"※编码不在物料档案里"))</f>
        <v/>
      </c>
      <c r="I676" s="24">
        <f>IF($G676="","",IFERROR(VLOOKUP($G676,物料档案!$A$4:$P$1203,4,0),"※编码不在物料档案里"))</f>
        <v/>
      </c>
      <c r="J676" s="24">
        <f>IF($G676="","",IFERROR(VLOOKUP($G676,物料档案!$A$4:$P$1203,5,0),"※编码不在物料档案里"))</f>
        <v/>
      </c>
      <c r="K676" s="23" t="n">
        <v>2</v>
      </c>
      <c r="L676" s="31" t="n"/>
      <c r="M676" s="24">
        <f>IF($G676="","",IF($D676="A国内","CNY","TZS"))</f>
        <v/>
      </c>
      <c r="N676" s="28">
        <f>IF($G676="","",IF($D676="A国内",汇率,1))</f>
        <v/>
      </c>
      <c r="O676" s="25">
        <f>IF($G676="","",ROUND(N($K676)*N($L676),2))</f>
        <v/>
      </c>
      <c r="P676" s="26">
        <f>IF($G676="","",ROUND($O676*$N676,0))</f>
        <v/>
      </c>
      <c r="Q676" s="26">
        <f>IF($G676="","",SUMIFS($P$4:$P$2503,$E$4:$E$2503,$E676,$Z$4:$Z$2503,"正常"))</f>
        <v/>
      </c>
      <c r="R676" s="26">
        <f>IF($G676="","",SUMIFS(费用台账!$I$4:$I$503,费用台账!$C$4:$C$503,$E676,费用台账!$J$4:$J$503,"是",费用台账!$K$4:$K$503,"正常"))</f>
        <v/>
      </c>
      <c r="S676" s="28">
        <f>IF($G676="","",COUNTIFS($E$4:$E$2503,$E676,$Z$4:$Z$2503,"正常",$Y$4:$Y$2503,"待补价"))</f>
        <v/>
      </c>
      <c r="T676" s="26">
        <f>IF($G676="","",SUMIFS($P$4:$P$2503,$E$4:$E$2503,$E676,$Z$4:$Z$2503,"正常",$A$4:$A$2503,"&lt;="&amp;$A676))</f>
        <v/>
      </c>
      <c r="U676" s="26">
        <f>IF($G676="","",IF(OR($S676&gt;0,$Q676=0,$R676=0,$Z676&lt;&gt;"正常"),0,ROUND($T676/$Q676*$R676,0)-ROUND(($T676-$P676)/$Q676*$R676,0)))</f>
        <v/>
      </c>
      <c r="V676" s="26">
        <f>IF($G676="","",ROUND($P676+$U676,0))</f>
        <v/>
      </c>
      <c r="W676" s="26">
        <f>IF($G676="","",IF(N($K676)=0,0,ROUND($V676/$K676,2)))</f>
        <v/>
      </c>
      <c r="X676" s="17" t="inlineStr">
        <is>
          <t>采购入库</t>
        </is>
      </c>
      <c r="Y676" s="17" t="inlineStr">
        <is>
          <t>待补价</t>
        </is>
      </c>
      <c r="Z676" s="17" t="inlineStr">
        <is>
          <t>正常</t>
        </is>
      </c>
      <c r="AA676" s="17" t="n"/>
      <c r="AB676" s="17" t="inlineStr">
        <is>
          <t>原表第 682 行</t>
        </is>
      </c>
      <c r="AC676" s="24">
        <f>IF($G676="","",IF($H676="※编码不在物料档案里","※物料编码不在档案里",IF(N($K676)&lt;=0,"※入库数量要大于 0",IF(AND($C676&lt;&gt;"",$C676&lt;=结账锁),"※日期早于已结账截止日，不能再录",IF(AND($L676=0,$X676="正常"),"※没填单价，价格状态请选「待补价」",IF(AND($S676&gt;0,$R676&gt;0),"△本批有 "&amp;$S676&amp;" 行没单价，整批运费先挂账没摊",IF(AND($B676&lt;&gt;"",COUNTIF($B$4:$B$2503,$B676)&gt;1),"※入库单号重复","")))))))</f>
        <v/>
      </c>
    </row>
    <row r="677">
      <c r="A677" s="24">
        <f>IF($G677="","",COUNTA($G$4:$G677))</f>
        <v/>
      </c>
      <c r="B677" s="17" t="n"/>
      <c r="C677" s="30" t="n">
        <v>46109</v>
      </c>
      <c r="D677" s="17" t="inlineStr">
        <is>
          <t>A国内</t>
        </is>
      </c>
      <c r="E677" s="17" t="inlineStr">
        <is>
          <t>FCIU8630602-202603</t>
        </is>
      </c>
      <c r="F677" s="17" t="inlineStr">
        <is>
          <t>烟台市金豪矿山机械有限公司</t>
        </is>
      </c>
      <c r="G677" s="17" t="inlineStr">
        <is>
          <t>JH0608</t>
        </is>
      </c>
      <c r="H677" s="24">
        <f>IF($G677="","",IFERROR(VLOOKUP($G677,物料档案!$A$4:$P$1203,3,0),"※编码不在物料档案里"))</f>
        <v/>
      </c>
      <c r="I677" s="24">
        <f>IF($G677="","",IFERROR(VLOOKUP($G677,物料档案!$A$4:$P$1203,4,0),"※编码不在物料档案里"))</f>
        <v/>
      </c>
      <c r="J677" s="24">
        <f>IF($G677="","",IFERROR(VLOOKUP($G677,物料档案!$A$4:$P$1203,5,0),"※编码不在物料档案里"))</f>
        <v/>
      </c>
      <c r="K677" s="23" t="n">
        <v>2</v>
      </c>
      <c r="L677" s="31" t="n"/>
      <c r="M677" s="24">
        <f>IF($G677="","",IF($D677="A国内","CNY","TZS"))</f>
        <v/>
      </c>
      <c r="N677" s="28">
        <f>IF($G677="","",IF($D677="A国内",汇率,1))</f>
        <v/>
      </c>
      <c r="O677" s="25">
        <f>IF($G677="","",ROUND(N($K677)*N($L677),2))</f>
        <v/>
      </c>
      <c r="P677" s="26">
        <f>IF($G677="","",ROUND($O677*$N677,0))</f>
        <v/>
      </c>
      <c r="Q677" s="26">
        <f>IF($G677="","",SUMIFS($P$4:$P$2503,$E$4:$E$2503,$E677,$Z$4:$Z$2503,"正常"))</f>
        <v/>
      </c>
      <c r="R677" s="26">
        <f>IF($G677="","",SUMIFS(费用台账!$I$4:$I$503,费用台账!$C$4:$C$503,$E677,费用台账!$J$4:$J$503,"是",费用台账!$K$4:$K$503,"正常"))</f>
        <v/>
      </c>
      <c r="S677" s="28">
        <f>IF($G677="","",COUNTIFS($E$4:$E$2503,$E677,$Z$4:$Z$2503,"正常",$Y$4:$Y$2503,"待补价"))</f>
        <v/>
      </c>
      <c r="T677" s="26">
        <f>IF($G677="","",SUMIFS($P$4:$P$2503,$E$4:$E$2503,$E677,$Z$4:$Z$2503,"正常",$A$4:$A$2503,"&lt;="&amp;$A677))</f>
        <v/>
      </c>
      <c r="U677" s="26">
        <f>IF($G677="","",IF(OR($S677&gt;0,$Q677=0,$R677=0,$Z677&lt;&gt;"正常"),0,ROUND($T677/$Q677*$R677,0)-ROUND(($T677-$P677)/$Q677*$R677,0)))</f>
        <v/>
      </c>
      <c r="V677" s="26">
        <f>IF($G677="","",ROUND($P677+$U677,0))</f>
        <v/>
      </c>
      <c r="W677" s="26">
        <f>IF($G677="","",IF(N($K677)=0,0,ROUND($V677/$K677,2)))</f>
        <v/>
      </c>
      <c r="X677" s="17" t="inlineStr">
        <is>
          <t>采购入库</t>
        </is>
      </c>
      <c r="Y677" s="17" t="inlineStr">
        <is>
          <t>待补价</t>
        </is>
      </c>
      <c r="Z677" s="17" t="inlineStr">
        <is>
          <t>正常</t>
        </is>
      </c>
      <c r="AA677" s="17" t="n"/>
      <c r="AB677" s="17" t="inlineStr">
        <is>
          <t>原表第 683 行</t>
        </is>
      </c>
      <c r="AC677" s="24">
        <f>IF($G677="","",IF($H677="※编码不在物料档案里","※物料编码不在档案里",IF(N($K677)&lt;=0,"※入库数量要大于 0",IF(AND($C677&lt;&gt;"",$C677&lt;=结账锁),"※日期早于已结账截止日，不能再录",IF(AND($L677=0,$X677="正常"),"※没填单价，价格状态请选「待补价」",IF(AND($S677&gt;0,$R677&gt;0),"△本批有 "&amp;$S677&amp;" 行没单价，整批运费先挂账没摊",IF(AND($B677&lt;&gt;"",COUNTIF($B$4:$B$2503,$B677)&gt;1),"※入库单号重复","")))))))</f>
        <v/>
      </c>
    </row>
    <row r="678">
      <c r="A678" s="24">
        <f>IF($G678="","",COUNTA($G$4:$G678))</f>
        <v/>
      </c>
      <c r="B678" s="17" t="n"/>
      <c r="C678" s="30" t="n">
        <v>46109</v>
      </c>
      <c r="D678" s="17" t="inlineStr">
        <is>
          <t>A国内</t>
        </is>
      </c>
      <c r="E678" s="17" t="inlineStr">
        <is>
          <t>FCIU8630602-202603</t>
        </is>
      </c>
      <c r="F678" s="17" t="inlineStr">
        <is>
          <t>烟台市金豪矿山机械有限公司</t>
        </is>
      </c>
      <c r="G678" s="17" t="inlineStr">
        <is>
          <t>JH0609</t>
        </is>
      </c>
      <c r="H678" s="24">
        <f>IF($G678="","",IFERROR(VLOOKUP($G678,物料档案!$A$4:$P$1203,3,0),"※编码不在物料档案里"))</f>
        <v/>
      </c>
      <c r="I678" s="24">
        <f>IF($G678="","",IFERROR(VLOOKUP($G678,物料档案!$A$4:$P$1203,4,0),"※编码不在物料档案里"))</f>
        <v/>
      </c>
      <c r="J678" s="24">
        <f>IF($G678="","",IFERROR(VLOOKUP($G678,物料档案!$A$4:$P$1203,5,0),"※编码不在物料档案里"))</f>
        <v/>
      </c>
      <c r="K678" s="23" t="n">
        <v>4</v>
      </c>
      <c r="L678" s="31" t="n"/>
      <c r="M678" s="24">
        <f>IF($G678="","",IF($D678="A国内","CNY","TZS"))</f>
        <v/>
      </c>
      <c r="N678" s="28">
        <f>IF($G678="","",IF($D678="A国内",汇率,1))</f>
        <v/>
      </c>
      <c r="O678" s="25">
        <f>IF($G678="","",ROUND(N($K678)*N($L678),2))</f>
        <v/>
      </c>
      <c r="P678" s="26">
        <f>IF($G678="","",ROUND($O678*$N678,0))</f>
        <v/>
      </c>
      <c r="Q678" s="26">
        <f>IF($G678="","",SUMIFS($P$4:$P$2503,$E$4:$E$2503,$E678,$Z$4:$Z$2503,"正常"))</f>
        <v/>
      </c>
      <c r="R678" s="26">
        <f>IF($G678="","",SUMIFS(费用台账!$I$4:$I$503,费用台账!$C$4:$C$503,$E678,费用台账!$J$4:$J$503,"是",费用台账!$K$4:$K$503,"正常"))</f>
        <v/>
      </c>
      <c r="S678" s="28">
        <f>IF($G678="","",COUNTIFS($E$4:$E$2503,$E678,$Z$4:$Z$2503,"正常",$Y$4:$Y$2503,"待补价"))</f>
        <v/>
      </c>
      <c r="T678" s="26">
        <f>IF($G678="","",SUMIFS($P$4:$P$2503,$E$4:$E$2503,$E678,$Z$4:$Z$2503,"正常",$A$4:$A$2503,"&lt;="&amp;$A678))</f>
        <v/>
      </c>
      <c r="U678" s="26">
        <f>IF($G678="","",IF(OR($S678&gt;0,$Q678=0,$R678=0,$Z678&lt;&gt;"正常"),0,ROUND($T678/$Q678*$R678,0)-ROUND(($T678-$P678)/$Q678*$R678,0)))</f>
        <v/>
      </c>
      <c r="V678" s="26">
        <f>IF($G678="","",ROUND($P678+$U678,0))</f>
        <v/>
      </c>
      <c r="W678" s="26">
        <f>IF($G678="","",IF(N($K678)=0,0,ROUND($V678/$K678,2)))</f>
        <v/>
      </c>
      <c r="X678" s="17" t="inlineStr">
        <is>
          <t>采购入库</t>
        </is>
      </c>
      <c r="Y678" s="17" t="inlineStr">
        <is>
          <t>待补价</t>
        </is>
      </c>
      <c r="Z678" s="17" t="inlineStr">
        <is>
          <t>正常</t>
        </is>
      </c>
      <c r="AA678" s="17" t="n"/>
      <c r="AB678" s="17" t="inlineStr">
        <is>
          <t>原表第 684 行</t>
        </is>
      </c>
      <c r="AC678" s="24">
        <f>IF($G678="","",IF($H678="※编码不在物料档案里","※物料编码不在档案里",IF(N($K678)&lt;=0,"※入库数量要大于 0",IF(AND($C678&lt;&gt;"",$C678&lt;=结账锁),"※日期早于已结账截止日，不能再录",IF(AND($L678=0,$X678="正常"),"※没填单价，价格状态请选「待补价」",IF(AND($S678&gt;0,$R678&gt;0),"△本批有 "&amp;$S678&amp;" 行没单价，整批运费先挂账没摊",IF(AND($B678&lt;&gt;"",COUNTIF($B$4:$B$2503,$B678)&gt;1),"※入库单号重复","")))))))</f>
        <v/>
      </c>
    </row>
    <row r="679">
      <c r="A679" s="24">
        <f>IF($G679="","",COUNTA($G$4:$G679))</f>
        <v/>
      </c>
      <c r="B679" s="17" t="n"/>
      <c r="C679" s="30" t="n">
        <v>46109</v>
      </c>
      <c r="D679" s="17" t="inlineStr">
        <is>
          <t>A国内</t>
        </is>
      </c>
      <c r="E679" s="17" t="inlineStr">
        <is>
          <t>FCIU8630602-202603</t>
        </is>
      </c>
      <c r="F679" s="17" t="inlineStr">
        <is>
          <t>烟台市金豪矿山机械有限公司</t>
        </is>
      </c>
      <c r="G679" s="17" t="inlineStr">
        <is>
          <t>JH0610</t>
        </is>
      </c>
      <c r="H679" s="24">
        <f>IF($G679="","",IFERROR(VLOOKUP($G679,物料档案!$A$4:$P$1203,3,0),"※编码不在物料档案里"))</f>
        <v/>
      </c>
      <c r="I679" s="24">
        <f>IF($G679="","",IFERROR(VLOOKUP($G679,物料档案!$A$4:$P$1203,4,0),"※编码不在物料档案里"))</f>
        <v/>
      </c>
      <c r="J679" s="24">
        <f>IF($G679="","",IFERROR(VLOOKUP($G679,物料档案!$A$4:$P$1203,5,0),"※编码不在物料档案里"))</f>
        <v/>
      </c>
      <c r="K679" s="23" t="n">
        <v>2</v>
      </c>
      <c r="L679" s="31" t="n"/>
      <c r="M679" s="24">
        <f>IF($G679="","",IF($D679="A国内","CNY","TZS"))</f>
        <v/>
      </c>
      <c r="N679" s="28">
        <f>IF($G679="","",IF($D679="A国内",汇率,1))</f>
        <v/>
      </c>
      <c r="O679" s="25">
        <f>IF($G679="","",ROUND(N($K679)*N($L679),2))</f>
        <v/>
      </c>
      <c r="P679" s="26">
        <f>IF($G679="","",ROUND($O679*$N679,0))</f>
        <v/>
      </c>
      <c r="Q679" s="26">
        <f>IF($G679="","",SUMIFS($P$4:$P$2503,$E$4:$E$2503,$E679,$Z$4:$Z$2503,"正常"))</f>
        <v/>
      </c>
      <c r="R679" s="26">
        <f>IF($G679="","",SUMIFS(费用台账!$I$4:$I$503,费用台账!$C$4:$C$503,$E679,费用台账!$J$4:$J$503,"是",费用台账!$K$4:$K$503,"正常"))</f>
        <v/>
      </c>
      <c r="S679" s="28">
        <f>IF($G679="","",COUNTIFS($E$4:$E$2503,$E679,$Z$4:$Z$2503,"正常",$Y$4:$Y$2503,"待补价"))</f>
        <v/>
      </c>
      <c r="T679" s="26">
        <f>IF($G679="","",SUMIFS($P$4:$P$2503,$E$4:$E$2503,$E679,$Z$4:$Z$2503,"正常",$A$4:$A$2503,"&lt;="&amp;$A679))</f>
        <v/>
      </c>
      <c r="U679" s="26">
        <f>IF($G679="","",IF(OR($S679&gt;0,$Q679=0,$R679=0,$Z679&lt;&gt;"正常"),0,ROUND($T679/$Q679*$R679,0)-ROUND(($T679-$P679)/$Q679*$R679,0)))</f>
        <v/>
      </c>
      <c r="V679" s="26">
        <f>IF($G679="","",ROUND($P679+$U679,0))</f>
        <v/>
      </c>
      <c r="W679" s="26">
        <f>IF($G679="","",IF(N($K679)=0,0,ROUND($V679/$K679,2)))</f>
        <v/>
      </c>
      <c r="X679" s="17" t="inlineStr">
        <is>
          <t>采购入库</t>
        </is>
      </c>
      <c r="Y679" s="17" t="inlineStr">
        <is>
          <t>待补价</t>
        </is>
      </c>
      <c r="Z679" s="17" t="inlineStr">
        <is>
          <t>正常</t>
        </is>
      </c>
      <c r="AA679" s="17" t="n"/>
      <c r="AB679" s="17" t="inlineStr">
        <is>
          <t>原表第 685 行</t>
        </is>
      </c>
      <c r="AC679" s="24">
        <f>IF($G679="","",IF($H679="※编码不在物料档案里","※物料编码不在档案里",IF(N($K679)&lt;=0,"※入库数量要大于 0",IF(AND($C679&lt;&gt;"",$C679&lt;=结账锁),"※日期早于已结账截止日，不能再录",IF(AND($L679=0,$X679="正常"),"※没填单价，价格状态请选「待补价」",IF(AND($S679&gt;0,$R679&gt;0),"△本批有 "&amp;$S679&amp;" 行没单价，整批运费先挂账没摊",IF(AND($B679&lt;&gt;"",COUNTIF($B$4:$B$2503,$B679)&gt;1),"※入库单号重复","")))))))</f>
        <v/>
      </c>
    </row>
    <row r="680">
      <c r="A680" s="24">
        <f>IF($G680="","",COUNTA($G$4:$G680))</f>
        <v/>
      </c>
      <c r="B680" s="17" t="n"/>
      <c r="C680" s="30" t="n">
        <v>46109</v>
      </c>
      <c r="D680" s="17" t="inlineStr">
        <is>
          <t>A国内</t>
        </is>
      </c>
      <c r="E680" s="17" t="inlineStr">
        <is>
          <t>FCIU8630602-202603</t>
        </is>
      </c>
      <c r="F680" s="17" t="inlineStr">
        <is>
          <t>烟台市金豪矿山机械有限公司</t>
        </is>
      </c>
      <c r="G680" s="17" t="inlineStr">
        <is>
          <t>JH0611</t>
        </is>
      </c>
      <c r="H680" s="24">
        <f>IF($G680="","",IFERROR(VLOOKUP($G680,物料档案!$A$4:$P$1203,3,0),"※编码不在物料档案里"))</f>
        <v/>
      </c>
      <c r="I680" s="24">
        <f>IF($G680="","",IFERROR(VLOOKUP($G680,物料档案!$A$4:$P$1203,4,0),"※编码不在物料档案里"))</f>
        <v/>
      </c>
      <c r="J680" s="24">
        <f>IF($G680="","",IFERROR(VLOOKUP($G680,物料档案!$A$4:$P$1203,5,0),"※编码不在物料档案里"))</f>
        <v/>
      </c>
      <c r="K680" s="23" t="n">
        <v>6</v>
      </c>
      <c r="L680" s="31" t="n"/>
      <c r="M680" s="24">
        <f>IF($G680="","",IF($D680="A国内","CNY","TZS"))</f>
        <v/>
      </c>
      <c r="N680" s="28">
        <f>IF($G680="","",IF($D680="A国内",汇率,1))</f>
        <v/>
      </c>
      <c r="O680" s="25">
        <f>IF($G680="","",ROUND(N($K680)*N($L680),2))</f>
        <v/>
      </c>
      <c r="P680" s="26">
        <f>IF($G680="","",ROUND($O680*$N680,0))</f>
        <v/>
      </c>
      <c r="Q680" s="26">
        <f>IF($G680="","",SUMIFS($P$4:$P$2503,$E$4:$E$2503,$E680,$Z$4:$Z$2503,"正常"))</f>
        <v/>
      </c>
      <c r="R680" s="26">
        <f>IF($G680="","",SUMIFS(费用台账!$I$4:$I$503,费用台账!$C$4:$C$503,$E680,费用台账!$J$4:$J$503,"是",费用台账!$K$4:$K$503,"正常"))</f>
        <v/>
      </c>
      <c r="S680" s="28">
        <f>IF($G680="","",COUNTIFS($E$4:$E$2503,$E680,$Z$4:$Z$2503,"正常",$Y$4:$Y$2503,"待补价"))</f>
        <v/>
      </c>
      <c r="T680" s="26">
        <f>IF($G680="","",SUMIFS($P$4:$P$2503,$E$4:$E$2503,$E680,$Z$4:$Z$2503,"正常",$A$4:$A$2503,"&lt;="&amp;$A680))</f>
        <v/>
      </c>
      <c r="U680" s="26">
        <f>IF($G680="","",IF(OR($S680&gt;0,$Q680=0,$R680=0,$Z680&lt;&gt;"正常"),0,ROUND($T680/$Q680*$R680,0)-ROUND(($T680-$P680)/$Q680*$R680,0)))</f>
        <v/>
      </c>
      <c r="V680" s="26">
        <f>IF($G680="","",ROUND($P680+$U680,0))</f>
        <v/>
      </c>
      <c r="W680" s="26">
        <f>IF($G680="","",IF(N($K680)=0,0,ROUND($V680/$K680,2)))</f>
        <v/>
      </c>
      <c r="X680" s="17" t="inlineStr">
        <is>
          <t>采购入库</t>
        </is>
      </c>
      <c r="Y680" s="17" t="inlineStr">
        <is>
          <t>待补价</t>
        </is>
      </c>
      <c r="Z680" s="17" t="inlineStr">
        <is>
          <t>正常</t>
        </is>
      </c>
      <c r="AA680" s="17" t="n"/>
      <c r="AB680" s="17" t="inlineStr">
        <is>
          <t>原表第 686 行</t>
        </is>
      </c>
      <c r="AC680" s="24">
        <f>IF($G680="","",IF($H680="※编码不在物料档案里","※物料编码不在档案里",IF(N($K680)&lt;=0,"※入库数量要大于 0",IF(AND($C680&lt;&gt;"",$C680&lt;=结账锁),"※日期早于已结账截止日，不能再录",IF(AND($L680=0,$X680="正常"),"※没填单价，价格状态请选「待补价」",IF(AND($S680&gt;0,$R680&gt;0),"△本批有 "&amp;$S680&amp;" 行没单价，整批运费先挂账没摊",IF(AND($B680&lt;&gt;"",COUNTIF($B$4:$B$2503,$B680)&gt;1),"※入库单号重复","")))))))</f>
        <v/>
      </c>
    </row>
    <row r="681">
      <c r="A681" s="24">
        <f>IF($G681="","",COUNTA($G$4:$G681))</f>
        <v/>
      </c>
      <c r="B681" s="17" t="n"/>
      <c r="C681" s="30" t="n">
        <v>46109</v>
      </c>
      <c r="D681" s="17" t="inlineStr">
        <is>
          <t>A国内</t>
        </is>
      </c>
      <c r="E681" s="17" t="inlineStr">
        <is>
          <t>FCIU8630602-202603</t>
        </is>
      </c>
      <c r="F681" s="17" t="inlineStr">
        <is>
          <t>烟台市金豪矿山机械有限公司</t>
        </is>
      </c>
      <c r="G681" s="17" t="inlineStr">
        <is>
          <t>JH0612</t>
        </is>
      </c>
      <c r="H681" s="24">
        <f>IF($G681="","",IFERROR(VLOOKUP($G681,物料档案!$A$4:$P$1203,3,0),"※编码不在物料档案里"))</f>
        <v/>
      </c>
      <c r="I681" s="24">
        <f>IF($G681="","",IFERROR(VLOOKUP($G681,物料档案!$A$4:$P$1203,4,0),"※编码不在物料档案里"))</f>
        <v/>
      </c>
      <c r="J681" s="24">
        <f>IF($G681="","",IFERROR(VLOOKUP($G681,物料档案!$A$4:$P$1203,5,0),"※编码不在物料档案里"))</f>
        <v/>
      </c>
      <c r="K681" s="23" t="n">
        <v>30</v>
      </c>
      <c r="L681" s="31" t="n"/>
      <c r="M681" s="24">
        <f>IF($G681="","",IF($D681="A国内","CNY","TZS"))</f>
        <v/>
      </c>
      <c r="N681" s="28">
        <f>IF($G681="","",IF($D681="A国内",汇率,1))</f>
        <v/>
      </c>
      <c r="O681" s="25">
        <f>IF($G681="","",ROUND(N($K681)*N($L681),2))</f>
        <v/>
      </c>
      <c r="P681" s="26">
        <f>IF($G681="","",ROUND($O681*$N681,0))</f>
        <v/>
      </c>
      <c r="Q681" s="26">
        <f>IF($G681="","",SUMIFS($P$4:$P$2503,$E$4:$E$2503,$E681,$Z$4:$Z$2503,"正常"))</f>
        <v/>
      </c>
      <c r="R681" s="26">
        <f>IF($G681="","",SUMIFS(费用台账!$I$4:$I$503,费用台账!$C$4:$C$503,$E681,费用台账!$J$4:$J$503,"是",费用台账!$K$4:$K$503,"正常"))</f>
        <v/>
      </c>
      <c r="S681" s="28">
        <f>IF($G681="","",COUNTIFS($E$4:$E$2503,$E681,$Z$4:$Z$2503,"正常",$Y$4:$Y$2503,"待补价"))</f>
        <v/>
      </c>
      <c r="T681" s="26">
        <f>IF($G681="","",SUMIFS($P$4:$P$2503,$E$4:$E$2503,$E681,$Z$4:$Z$2503,"正常",$A$4:$A$2503,"&lt;="&amp;$A681))</f>
        <v/>
      </c>
      <c r="U681" s="26">
        <f>IF($G681="","",IF(OR($S681&gt;0,$Q681=0,$R681=0,$Z681&lt;&gt;"正常"),0,ROUND($T681/$Q681*$R681,0)-ROUND(($T681-$P681)/$Q681*$R681,0)))</f>
        <v/>
      </c>
      <c r="V681" s="26">
        <f>IF($G681="","",ROUND($P681+$U681,0))</f>
        <v/>
      </c>
      <c r="W681" s="26">
        <f>IF($G681="","",IF(N($K681)=0,0,ROUND($V681/$K681,2)))</f>
        <v/>
      </c>
      <c r="X681" s="17" t="inlineStr">
        <is>
          <t>采购入库</t>
        </is>
      </c>
      <c r="Y681" s="17" t="inlineStr">
        <is>
          <t>待补价</t>
        </is>
      </c>
      <c r="Z681" s="17" t="inlineStr">
        <is>
          <t>正常</t>
        </is>
      </c>
      <c r="AA681" s="17" t="n"/>
      <c r="AB681" s="17" t="inlineStr">
        <is>
          <t>原表第 687 行</t>
        </is>
      </c>
      <c r="AC681" s="24">
        <f>IF($G681="","",IF($H681="※编码不在物料档案里","※物料编码不在档案里",IF(N($K681)&lt;=0,"※入库数量要大于 0",IF(AND($C681&lt;&gt;"",$C681&lt;=结账锁),"※日期早于已结账截止日，不能再录",IF(AND($L681=0,$X681="正常"),"※没填单价，价格状态请选「待补价」",IF(AND($S681&gt;0,$R681&gt;0),"△本批有 "&amp;$S681&amp;" 行没单价，整批运费先挂账没摊",IF(AND($B681&lt;&gt;"",COUNTIF($B$4:$B$2503,$B681)&gt;1),"※入库单号重复","")))))))</f>
        <v/>
      </c>
    </row>
    <row r="682">
      <c r="A682" s="24">
        <f>IF($G682="","",COUNTA($G$4:$G682))</f>
        <v/>
      </c>
      <c r="B682" s="17" t="n"/>
      <c r="C682" s="30" t="n">
        <v>46109</v>
      </c>
      <c r="D682" s="17" t="inlineStr">
        <is>
          <t>A国内</t>
        </is>
      </c>
      <c r="E682" s="17" t="inlineStr">
        <is>
          <t>FCIU8630602-202603</t>
        </is>
      </c>
      <c r="F682" s="17" t="inlineStr">
        <is>
          <t>烟台市金豪矿山机械有限公司</t>
        </is>
      </c>
      <c r="G682" s="17" t="inlineStr">
        <is>
          <t>JH0613</t>
        </is>
      </c>
      <c r="H682" s="24">
        <f>IF($G682="","",IFERROR(VLOOKUP($G682,物料档案!$A$4:$P$1203,3,0),"※编码不在物料档案里"))</f>
        <v/>
      </c>
      <c r="I682" s="24">
        <f>IF($G682="","",IFERROR(VLOOKUP($G682,物料档案!$A$4:$P$1203,4,0),"※编码不在物料档案里"))</f>
        <v/>
      </c>
      <c r="J682" s="24">
        <f>IF($G682="","",IFERROR(VLOOKUP($G682,物料档案!$A$4:$P$1203,5,0),"※编码不在物料档案里"))</f>
        <v/>
      </c>
      <c r="K682" s="23" t="n">
        <v>4</v>
      </c>
      <c r="L682" s="31" t="n"/>
      <c r="M682" s="24">
        <f>IF($G682="","",IF($D682="A国内","CNY","TZS"))</f>
        <v/>
      </c>
      <c r="N682" s="28">
        <f>IF($G682="","",IF($D682="A国内",汇率,1))</f>
        <v/>
      </c>
      <c r="O682" s="25">
        <f>IF($G682="","",ROUND(N($K682)*N($L682),2))</f>
        <v/>
      </c>
      <c r="P682" s="26">
        <f>IF($G682="","",ROUND($O682*$N682,0))</f>
        <v/>
      </c>
      <c r="Q682" s="26">
        <f>IF($G682="","",SUMIFS($P$4:$P$2503,$E$4:$E$2503,$E682,$Z$4:$Z$2503,"正常"))</f>
        <v/>
      </c>
      <c r="R682" s="26">
        <f>IF($G682="","",SUMIFS(费用台账!$I$4:$I$503,费用台账!$C$4:$C$503,$E682,费用台账!$J$4:$J$503,"是",费用台账!$K$4:$K$503,"正常"))</f>
        <v/>
      </c>
      <c r="S682" s="28">
        <f>IF($G682="","",COUNTIFS($E$4:$E$2503,$E682,$Z$4:$Z$2503,"正常",$Y$4:$Y$2503,"待补价"))</f>
        <v/>
      </c>
      <c r="T682" s="26">
        <f>IF($G682="","",SUMIFS($P$4:$P$2503,$E$4:$E$2503,$E682,$Z$4:$Z$2503,"正常",$A$4:$A$2503,"&lt;="&amp;$A682))</f>
        <v/>
      </c>
      <c r="U682" s="26">
        <f>IF($G682="","",IF(OR($S682&gt;0,$Q682=0,$R682=0,$Z682&lt;&gt;"正常"),0,ROUND($T682/$Q682*$R682,0)-ROUND(($T682-$P682)/$Q682*$R682,0)))</f>
        <v/>
      </c>
      <c r="V682" s="26">
        <f>IF($G682="","",ROUND($P682+$U682,0))</f>
        <v/>
      </c>
      <c r="W682" s="26">
        <f>IF($G682="","",IF(N($K682)=0,0,ROUND($V682/$K682,2)))</f>
        <v/>
      </c>
      <c r="X682" s="17" t="inlineStr">
        <is>
          <t>采购入库</t>
        </is>
      </c>
      <c r="Y682" s="17" t="inlineStr">
        <is>
          <t>待补价</t>
        </is>
      </c>
      <c r="Z682" s="17" t="inlineStr">
        <is>
          <t>正常</t>
        </is>
      </c>
      <c r="AA682" s="17" t="n"/>
      <c r="AB682" s="17" t="inlineStr">
        <is>
          <t>原表第 688 行</t>
        </is>
      </c>
      <c r="AC682" s="24">
        <f>IF($G682="","",IF($H682="※编码不在物料档案里","※物料编码不在档案里",IF(N($K682)&lt;=0,"※入库数量要大于 0",IF(AND($C682&lt;&gt;"",$C682&lt;=结账锁),"※日期早于已结账截止日，不能再录",IF(AND($L682=0,$X682="正常"),"※没填单价，价格状态请选「待补价」",IF(AND($S682&gt;0,$R682&gt;0),"△本批有 "&amp;$S682&amp;" 行没单价，整批运费先挂账没摊",IF(AND($B682&lt;&gt;"",COUNTIF($B$4:$B$2503,$B682)&gt;1),"※入库单号重复","")))))))</f>
        <v/>
      </c>
    </row>
    <row r="683">
      <c r="A683" s="24">
        <f>IF($G683="","",COUNTA($G$4:$G683))</f>
        <v/>
      </c>
      <c r="B683" s="17" t="n"/>
      <c r="C683" s="30" t="n">
        <v>46109</v>
      </c>
      <c r="D683" s="17" t="inlineStr">
        <is>
          <t>A国内</t>
        </is>
      </c>
      <c r="E683" s="17" t="inlineStr">
        <is>
          <t>FCIU8630602-202603</t>
        </is>
      </c>
      <c r="F683" s="17" t="inlineStr">
        <is>
          <t>烟台市金豪矿山机械有限公司</t>
        </is>
      </c>
      <c r="G683" s="17" t="inlineStr">
        <is>
          <t>JH0614</t>
        </is>
      </c>
      <c r="H683" s="24">
        <f>IF($G683="","",IFERROR(VLOOKUP($G683,物料档案!$A$4:$P$1203,3,0),"※编码不在物料档案里"))</f>
        <v/>
      </c>
      <c r="I683" s="24">
        <f>IF($G683="","",IFERROR(VLOOKUP($G683,物料档案!$A$4:$P$1203,4,0),"※编码不在物料档案里"))</f>
        <v/>
      </c>
      <c r="J683" s="24">
        <f>IF($G683="","",IFERROR(VLOOKUP($G683,物料档案!$A$4:$P$1203,5,0),"※编码不在物料档案里"))</f>
        <v/>
      </c>
      <c r="K683" s="23" t="n">
        <v>2</v>
      </c>
      <c r="L683" s="31" t="n"/>
      <c r="M683" s="24">
        <f>IF($G683="","",IF($D683="A国内","CNY","TZS"))</f>
        <v/>
      </c>
      <c r="N683" s="28">
        <f>IF($G683="","",IF($D683="A国内",汇率,1))</f>
        <v/>
      </c>
      <c r="O683" s="25">
        <f>IF($G683="","",ROUND(N($K683)*N($L683),2))</f>
        <v/>
      </c>
      <c r="P683" s="26">
        <f>IF($G683="","",ROUND($O683*$N683,0))</f>
        <v/>
      </c>
      <c r="Q683" s="26">
        <f>IF($G683="","",SUMIFS($P$4:$P$2503,$E$4:$E$2503,$E683,$Z$4:$Z$2503,"正常"))</f>
        <v/>
      </c>
      <c r="R683" s="26">
        <f>IF($G683="","",SUMIFS(费用台账!$I$4:$I$503,费用台账!$C$4:$C$503,$E683,费用台账!$J$4:$J$503,"是",费用台账!$K$4:$K$503,"正常"))</f>
        <v/>
      </c>
      <c r="S683" s="28">
        <f>IF($G683="","",COUNTIFS($E$4:$E$2503,$E683,$Z$4:$Z$2503,"正常",$Y$4:$Y$2503,"待补价"))</f>
        <v/>
      </c>
      <c r="T683" s="26">
        <f>IF($G683="","",SUMIFS($P$4:$P$2503,$E$4:$E$2503,$E683,$Z$4:$Z$2503,"正常",$A$4:$A$2503,"&lt;="&amp;$A683))</f>
        <v/>
      </c>
      <c r="U683" s="26">
        <f>IF($G683="","",IF(OR($S683&gt;0,$Q683=0,$R683=0,$Z683&lt;&gt;"正常"),0,ROUND($T683/$Q683*$R683,0)-ROUND(($T683-$P683)/$Q683*$R683,0)))</f>
        <v/>
      </c>
      <c r="V683" s="26">
        <f>IF($G683="","",ROUND($P683+$U683,0))</f>
        <v/>
      </c>
      <c r="W683" s="26">
        <f>IF($G683="","",IF(N($K683)=0,0,ROUND($V683/$K683,2)))</f>
        <v/>
      </c>
      <c r="X683" s="17" t="inlineStr">
        <is>
          <t>采购入库</t>
        </is>
      </c>
      <c r="Y683" s="17" t="inlineStr">
        <is>
          <t>待补价</t>
        </is>
      </c>
      <c r="Z683" s="17" t="inlineStr">
        <is>
          <t>正常</t>
        </is>
      </c>
      <c r="AA683" s="17" t="n"/>
      <c r="AB683" s="17" t="inlineStr">
        <is>
          <t>原表第 689 行</t>
        </is>
      </c>
      <c r="AC683" s="24">
        <f>IF($G683="","",IF($H683="※编码不在物料档案里","※物料编码不在档案里",IF(N($K683)&lt;=0,"※入库数量要大于 0",IF(AND($C683&lt;&gt;"",$C683&lt;=结账锁),"※日期早于已结账截止日，不能再录",IF(AND($L683=0,$X683="正常"),"※没填单价，价格状态请选「待补价」",IF(AND($S683&gt;0,$R683&gt;0),"△本批有 "&amp;$S683&amp;" 行没单价，整批运费先挂账没摊",IF(AND($B683&lt;&gt;"",COUNTIF($B$4:$B$2503,$B683)&gt;1),"※入库单号重复","")))))))</f>
        <v/>
      </c>
    </row>
    <row r="684">
      <c r="A684" s="24">
        <f>IF($G684="","",COUNTA($G$4:$G684))</f>
        <v/>
      </c>
      <c r="B684" s="17" t="n"/>
      <c r="C684" s="30" t="n">
        <v>46109</v>
      </c>
      <c r="D684" s="17" t="inlineStr">
        <is>
          <t>A国内</t>
        </is>
      </c>
      <c r="E684" s="17" t="inlineStr">
        <is>
          <t>FCIU8630602-202603</t>
        </is>
      </c>
      <c r="F684" s="17" t="inlineStr">
        <is>
          <t>烟台市金豪矿山机械有限公司</t>
        </is>
      </c>
      <c r="G684" s="17" t="inlineStr">
        <is>
          <t>JH0615</t>
        </is>
      </c>
      <c r="H684" s="24">
        <f>IF($G684="","",IFERROR(VLOOKUP($G684,物料档案!$A$4:$P$1203,3,0),"※编码不在物料档案里"))</f>
        <v/>
      </c>
      <c r="I684" s="24">
        <f>IF($G684="","",IFERROR(VLOOKUP($G684,物料档案!$A$4:$P$1203,4,0),"※编码不在物料档案里"))</f>
        <v/>
      </c>
      <c r="J684" s="24">
        <f>IF($G684="","",IFERROR(VLOOKUP($G684,物料档案!$A$4:$P$1203,5,0),"※编码不在物料档案里"))</f>
        <v/>
      </c>
      <c r="K684" s="23" t="n">
        <v>3</v>
      </c>
      <c r="L684" s="31" t="n"/>
      <c r="M684" s="24">
        <f>IF($G684="","",IF($D684="A国内","CNY","TZS"))</f>
        <v/>
      </c>
      <c r="N684" s="28">
        <f>IF($G684="","",IF($D684="A国内",汇率,1))</f>
        <v/>
      </c>
      <c r="O684" s="25">
        <f>IF($G684="","",ROUND(N($K684)*N($L684),2))</f>
        <v/>
      </c>
      <c r="P684" s="26">
        <f>IF($G684="","",ROUND($O684*$N684,0))</f>
        <v/>
      </c>
      <c r="Q684" s="26">
        <f>IF($G684="","",SUMIFS($P$4:$P$2503,$E$4:$E$2503,$E684,$Z$4:$Z$2503,"正常"))</f>
        <v/>
      </c>
      <c r="R684" s="26">
        <f>IF($G684="","",SUMIFS(费用台账!$I$4:$I$503,费用台账!$C$4:$C$503,$E684,费用台账!$J$4:$J$503,"是",费用台账!$K$4:$K$503,"正常"))</f>
        <v/>
      </c>
      <c r="S684" s="28">
        <f>IF($G684="","",COUNTIFS($E$4:$E$2503,$E684,$Z$4:$Z$2503,"正常",$Y$4:$Y$2503,"待补价"))</f>
        <v/>
      </c>
      <c r="T684" s="26">
        <f>IF($G684="","",SUMIFS($P$4:$P$2503,$E$4:$E$2503,$E684,$Z$4:$Z$2503,"正常",$A$4:$A$2503,"&lt;="&amp;$A684))</f>
        <v/>
      </c>
      <c r="U684" s="26">
        <f>IF($G684="","",IF(OR($S684&gt;0,$Q684=0,$R684=0,$Z684&lt;&gt;"正常"),0,ROUND($T684/$Q684*$R684,0)-ROUND(($T684-$P684)/$Q684*$R684,0)))</f>
        <v/>
      </c>
      <c r="V684" s="26">
        <f>IF($G684="","",ROUND($P684+$U684,0))</f>
        <v/>
      </c>
      <c r="W684" s="26">
        <f>IF($G684="","",IF(N($K684)=0,0,ROUND($V684/$K684,2)))</f>
        <v/>
      </c>
      <c r="X684" s="17" t="inlineStr">
        <is>
          <t>采购入库</t>
        </is>
      </c>
      <c r="Y684" s="17" t="inlineStr">
        <is>
          <t>待补价</t>
        </is>
      </c>
      <c r="Z684" s="17" t="inlineStr">
        <is>
          <t>正常</t>
        </is>
      </c>
      <c r="AA684" s="17" t="n"/>
      <c r="AB684" s="17" t="inlineStr">
        <is>
          <t>原表第 690 行</t>
        </is>
      </c>
      <c r="AC684" s="24">
        <f>IF($G684="","",IF($H684="※编码不在物料档案里","※物料编码不在档案里",IF(N($K684)&lt;=0,"※入库数量要大于 0",IF(AND($C684&lt;&gt;"",$C684&lt;=结账锁),"※日期早于已结账截止日，不能再录",IF(AND($L684=0,$X684="正常"),"※没填单价，价格状态请选「待补价」",IF(AND($S684&gt;0,$R684&gt;0),"△本批有 "&amp;$S684&amp;" 行没单价，整批运费先挂账没摊",IF(AND($B684&lt;&gt;"",COUNTIF($B$4:$B$2503,$B684)&gt;1),"※入库单号重复","")))))))</f>
        <v/>
      </c>
    </row>
    <row r="685">
      <c r="A685" s="24">
        <f>IF($G685="","",COUNTA($G$4:$G685))</f>
        <v/>
      </c>
      <c r="B685" s="17" t="n"/>
      <c r="C685" s="30" t="n">
        <v>46109</v>
      </c>
      <c r="D685" s="17" t="inlineStr">
        <is>
          <t>A国内</t>
        </is>
      </c>
      <c r="E685" s="17" t="inlineStr">
        <is>
          <t>FCIU8630602-202603</t>
        </is>
      </c>
      <c r="F685" s="17" t="inlineStr">
        <is>
          <t>烟台市金豪矿山机械有限公司</t>
        </is>
      </c>
      <c r="G685" s="17" t="inlineStr">
        <is>
          <t>JH0616</t>
        </is>
      </c>
      <c r="H685" s="24">
        <f>IF($G685="","",IFERROR(VLOOKUP($G685,物料档案!$A$4:$P$1203,3,0),"※编码不在物料档案里"))</f>
        <v/>
      </c>
      <c r="I685" s="24">
        <f>IF($G685="","",IFERROR(VLOOKUP($G685,物料档案!$A$4:$P$1203,4,0),"※编码不在物料档案里"))</f>
        <v/>
      </c>
      <c r="J685" s="24">
        <f>IF($G685="","",IFERROR(VLOOKUP($G685,物料档案!$A$4:$P$1203,5,0),"※编码不在物料档案里"))</f>
        <v/>
      </c>
      <c r="K685" s="23" t="n">
        <v>22</v>
      </c>
      <c r="L685" s="31" t="n"/>
      <c r="M685" s="24">
        <f>IF($G685="","",IF($D685="A国内","CNY","TZS"))</f>
        <v/>
      </c>
      <c r="N685" s="28">
        <f>IF($G685="","",IF($D685="A国内",汇率,1))</f>
        <v/>
      </c>
      <c r="O685" s="25">
        <f>IF($G685="","",ROUND(N($K685)*N($L685),2))</f>
        <v/>
      </c>
      <c r="P685" s="26">
        <f>IF($G685="","",ROUND($O685*$N685,0))</f>
        <v/>
      </c>
      <c r="Q685" s="26">
        <f>IF($G685="","",SUMIFS($P$4:$P$2503,$E$4:$E$2503,$E685,$Z$4:$Z$2503,"正常"))</f>
        <v/>
      </c>
      <c r="R685" s="26">
        <f>IF($G685="","",SUMIFS(费用台账!$I$4:$I$503,费用台账!$C$4:$C$503,$E685,费用台账!$J$4:$J$503,"是",费用台账!$K$4:$K$503,"正常"))</f>
        <v/>
      </c>
      <c r="S685" s="28">
        <f>IF($G685="","",COUNTIFS($E$4:$E$2503,$E685,$Z$4:$Z$2503,"正常",$Y$4:$Y$2503,"待补价"))</f>
        <v/>
      </c>
      <c r="T685" s="26">
        <f>IF($G685="","",SUMIFS($P$4:$P$2503,$E$4:$E$2503,$E685,$Z$4:$Z$2503,"正常",$A$4:$A$2503,"&lt;="&amp;$A685))</f>
        <v/>
      </c>
      <c r="U685" s="26">
        <f>IF($G685="","",IF(OR($S685&gt;0,$Q685=0,$R685=0,$Z685&lt;&gt;"正常"),0,ROUND($T685/$Q685*$R685,0)-ROUND(($T685-$P685)/$Q685*$R685,0)))</f>
        <v/>
      </c>
      <c r="V685" s="26">
        <f>IF($G685="","",ROUND($P685+$U685,0))</f>
        <v/>
      </c>
      <c r="W685" s="26">
        <f>IF($G685="","",IF(N($K685)=0,0,ROUND($V685/$K685,2)))</f>
        <v/>
      </c>
      <c r="X685" s="17" t="inlineStr">
        <is>
          <t>采购入库</t>
        </is>
      </c>
      <c r="Y685" s="17" t="inlineStr">
        <is>
          <t>待补价</t>
        </is>
      </c>
      <c r="Z685" s="17" t="inlineStr">
        <is>
          <t>正常</t>
        </is>
      </c>
      <c r="AA685" s="17" t="n"/>
      <c r="AB685" s="17" t="inlineStr">
        <is>
          <t>原表第 691 行</t>
        </is>
      </c>
      <c r="AC685" s="24">
        <f>IF($G685="","",IF($H685="※编码不在物料档案里","※物料编码不在档案里",IF(N($K685)&lt;=0,"※入库数量要大于 0",IF(AND($C685&lt;&gt;"",$C685&lt;=结账锁),"※日期早于已结账截止日，不能再录",IF(AND($L685=0,$X685="正常"),"※没填单价，价格状态请选「待补价」",IF(AND($S685&gt;0,$R685&gt;0),"△本批有 "&amp;$S685&amp;" 行没单价，整批运费先挂账没摊",IF(AND($B685&lt;&gt;"",COUNTIF($B$4:$B$2503,$B685)&gt;1),"※入库单号重复","")))))))</f>
        <v/>
      </c>
    </row>
    <row r="686">
      <c r="A686" s="24">
        <f>IF($G686="","",COUNTA($G$4:$G686))</f>
        <v/>
      </c>
      <c r="B686" s="17" t="n"/>
      <c r="C686" s="30" t="n">
        <v>46109</v>
      </c>
      <c r="D686" s="17" t="inlineStr">
        <is>
          <t>A国内</t>
        </is>
      </c>
      <c r="E686" s="17" t="inlineStr">
        <is>
          <t>FCIU8630602-202603</t>
        </is>
      </c>
      <c r="F686" s="17" t="inlineStr">
        <is>
          <t>烟台市金豪矿山机械有限公司</t>
        </is>
      </c>
      <c r="G686" s="17" t="inlineStr">
        <is>
          <t>JH0617</t>
        </is>
      </c>
      <c r="H686" s="24">
        <f>IF($G686="","",IFERROR(VLOOKUP($G686,物料档案!$A$4:$P$1203,3,0),"※编码不在物料档案里"))</f>
        <v/>
      </c>
      <c r="I686" s="24">
        <f>IF($G686="","",IFERROR(VLOOKUP($G686,物料档案!$A$4:$P$1203,4,0),"※编码不在物料档案里"))</f>
        <v/>
      </c>
      <c r="J686" s="24">
        <f>IF($G686="","",IFERROR(VLOOKUP($G686,物料档案!$A$4:$P$1203,5,0),"※编码不在物料档案里"))</f>
        <v/>
      </c>
      <c r="K686" s="23" t="n">
        <v>4</v>
      </c>
      <c r="L686" s="31" t="n"/>
      <c r="M686" s="24">
        <f>IF($G686="","",IF($D686="A国内","CNY","TZS"))</f>
        <v/>
      </c>
      <c r="N686" s="28">
        <f>IF($G686="","",IF($D686="A国内",汇率,1))</f>
        <v/>
      </c>
      <c r="O686" s="25">
        <f>IF($G686="","",ROUND(N($K686)*N($L686),2))</f>
        <v/>
      </c>
      <c r="P686" s="26">
        <f>IF($G686="","",ROUND($O686*$N686,0))</f>
        <v/>
      </c>
      <c r="Q686" s="26">
        <f>IF($G686="","",SUMIFS($P$4:$P$2503,$E$4:$E$2503,$E686,$Z$4:$Z$2503,"正常"))</f>
        <v/>
      </c>
      <c r="R686" s="26">
        <f>IF($G686="","",SUMIFS(费用台账!$I$4:$I$503,费用台账!$C$4:$C$503,$E686,费用台账!$J$4:$J$503,"是",费用台账!$K$4:$K$503,"正常"))</f>
        <v/>
      </c>
      <c r="S686" s="28">
        <f>IF($G686="","",COUNTIFS($E$4:$E$2503,$E686,$Z$4:$Z$2503,"正常",$Y$4:$Y$2503,"待补价"))</f>
        <v/>
      </c>
      <c r="T686" s="26">
        <f>IF($G686="","",SUMIFS($P$4:$P$2503,$E$4:$E$2503,$E686,$Z$4:$Z$2503,"正常",$A$4:$A$2503,"&lt;="&amp;$A686))</f>
        <v/>
      </c>
      <c r="U686" s="26">
        <f>IF($G686="","",IF(OR($S686&gt;0,$Q686=0,$R686=0,$Z686&lt;&gt;"正常"),0,ROUND($T686/$Q686*$R686,0)-ROUND(($T686-$P686)/$Q686*$R686,0)))</f>
        <v/>
      </c>
      <c r="V686" s="26">
        <f>IF($G686="","",ROUND($P686+$U686,0))</f>
        <v/>
      </c>
      <c r="W686" s="26">
        <f>IF($G686="","",IF(N($K686)=0,0,ROUND($V686/$K686,2)))</f>
        <v/>
      </c>
      <c r="X686" s="17" t="inlineStr">
        <is>
          <t>采购入库</t>
        </is>
      </c>
      <c r="Y686" s="17" t="inlineStr">
        <is>
          <t>待补价</t>
        </is>
      </c>
      <c r="Z686" s="17" t="inlineStr">
        <is>
          <t>正常</t>
        </is>
      </c>
      <c r="AA686" s="17" t="n"/>
      <c r="AB686" s="17" t="inlineStr">
        <is>
          <t>原表第 692 行</t>
        </is>
      </c>
      <c r="AC686" s="24">
        <f>IF($G686="","",IF($H686="※编码不在物料档案里","※物料编码不在档案里",IF(N($K686)&lt;=0,"※入库数量要大于 0",IF(AND($C686&lt;&gt;"",$C686&lt;=结账锁),"※日期早于已结账截止日，不能再录",IF(AND($L686=0,$X686="正常"),"※没填单价，价格状态请选「待补价」",IF(AND($S686&gt;0,$R686&gt;0),"△本批有 "&amp;$S686&amp;" 行没单价，整批运费先挂账没摊",IF(AND($B686&lt;&gt;"",COUNTIF($B$4:$B$2503,$B686)&gt;1),"※入库单号重复","")))))))</f>
        <v/>
      </c>
    </row>
    <row r="687">
      <c r="A687" s="24">
        <f>IF($G687="","",COUNTA($G$4:$G687))</f>
        <v/>
      </c>
      <c r="B687" s="17" t="n"/>
      <c r="C687" s="30" t="n">
        <v>46109</v>
      </c>
      <c r="D687" s="17" t="inlineStr">
        <is>
          <t>A国内</t>
        </is>
      </c>
      <c r="E687" s="17" t="inlineStr">
        <is>
          <t>FCIU8630602-202603</t>
        </is>
      </c>
      <c r="F687" s="17" t="inlineStr">
        <is>
          <t>烟台市金豪矿山机械有限公司</t>
        </is>
      </c>
      <c r="G687" s="17" t="inlineStr">
        <is>
          <t>JH0618</t>
        </is>
      </c>
      <c r="H687" s="24">
        <f>IF($G687="","",IFERROR(VLOOKUP($G687,物料档案!$A$4:$P$1203,3,0),"※编码不在物料档案里"))</f>
        <v/>
      </c>
      <c r="I687" s="24">
        <f>IF($G687="","",IFERROR(VLOOKUP($G687,物料档案!$A$4:$P$1203,4,0),"※编码不在物料档案里"))</f>
        <v/>
      </c>
      <c r="J687" s="24">
        <f>IF($G687="","",IFERROR(VLOOKUP($G687,物料档案!$A$4:$P$1203,5,0),"※编码不在物料档案里"))</f>
        <v/>
      </c>
      <c r="K687" s="23" t="n">
        <v>8</v>
      </c>
      <c r="L687" s="31" t="n"/>
      <c r="M687" s="24">
        <f>IF($G687="","",IF($D687="A国内","CNY","TZS"))</f>
        <v/>
      </c>
      <c r="N687" s="28">
        <f>IF($G687="","",IF($D687="A国内",汇率,1))</f>
        <v/>
      </c>
      <c r="O687" s="25">
        <f>IF($G687="","",ROUND(N($K687)*N($L687),2))</f>
        <v/>
      </c>
      <c r="P687" s="26">
        <f>IF($G687="","",ROUND($O687*$N687,0))</f>
        <v/>
      </c>
      <c r="Q687" s="26">
        <f>IF($G687="","",SUMIFS($P$4:$P$2503,$E$4:$E$2503,$E687,$Z$4:$Z$2503,"正常"))</f>
        <v/>
      </c>
      <c r="R687" s="26">
        <f>IF($G687="","",SUMIFS(费用台账!$I$4:$I$503,费用台账!$C$4:$C$503,$E687,费用台账!$J$4:$J$503,"是",费用台账!$K$4:$K$503,"正常"))</f>
        <v/>
      </c>
      <c r="S687" s="28">
        <f>IF($G687="","",COUNTIFS($E$4:$E$2503,$E687,$Z$4:$Z$2503,"正常",$Y$4:$Y$2503,"待补价"))</f>
        <v/>
      </c>
      <c r="T687" s="26">
        <f>IF($G687="","",SUMIFS($P$4:$P$2503,$E$4:$E$2503,$E687,$Z$4:$Z$2503,"正常",$A$4:$A$2503,"&lt;="&amp;$A687))</f>
        <v/>
      </c>
      <c r="U687" s="26">
        <f>IF($G687="","",IF(OR($S687&gt;0,$Q687=0,$R687=0,$Z687&lt;&gt;"正常"),0,ROUND($T687/$Q687*$R687,0)-ROUND(($T687-$P687)/$Q687*$R687,0)))</f>
        <v/>
      </c>
      <c r="V687" s="26">
        <f>IF($G687="","",ROUND($P687+$U687,0))</f>
        <v/>
      </c>
      <c r="W687" s="26">
        <f>IF($G687="","",IF(N($K687)=0,0,ROUND($V687/$K687,2)))</f>
        <v/>
      </c>
      <c r="X687" s="17" t="inlineStr">
        <is>
          <t>采购入库</t>
        </is>
      </c>
      <c r="Y687" s="17" t="inlineStr">
        <is>
          <t>待补价</t>
        </is>
      </c>
      <c r="Z687" s="17" t="inlineStr">
        <is>
          <t>正常</t>
        </is>
      </c>
      <c r="AA687" s="17" t="n"/>
      <c r="AB687" s="17" t="inlineStr">
        <is>
          <t>原表第 693 行</t>
        </is>
      </c>
      <c r="AC687" s="24">
        <f>IF($G687="","",IF($H687="※编码不在物料档案里","※物料编码不在档案里",IF(N($K687)&lt;=0,"※入库数量要大于 0",IF(AND($C687&lt;&gt;"",$C687&lt;=结账锁),"※日期早于已结账截止日，不能再录",IF(AND($L687=0,$X687="正常"),"※没填单价，价格状态请选「待补价」",IF(AND($S687&gt;0,$R687&gt;0),"△本批有 "&amp;$S687&amp;" 行没单价，整批运费先挂账没摊",IF(AND($B687&lt;&gt;"",COUNTIF($B$4:$B$2503,$B687)&gt;1),"※入库单号重复","")))))))</f>
        <v/>
      </c>
    </row>
    <row r="688">
      <c r="A688" s="24">
        <f>IF($G688="","",COUNTA($G$4:$G688))</f>
        <v/>
      </c>
      <c r="B688" s="17" t="n"/>
      <c r="C688" s="30" t="n">
        <v>46109</v>
      </c>
      <c r="D688" s="17" t="inlineStr">
        <is>
          <t>A国内</t>
        </is>
      </c>
      <c r="E688" s="17" t="inlineStr">
        <is>
          <t>FCIU8630602-202603</t>
        </is>
      </c>
      <c r="F688" s="17" t="inlineStr">
        <is>
          <t>烟台市金豪矿山机械有限公司</t>
        </is>
      </c>
      <c r="G688" s="17" t="inlineStr">
        <is>
          <t>JH0619</t>
        </is>
      </c>
      <c r="H688" s="24">
        <f>IF($G688="","",IFERROR(VLOOKUP($G688,物料档案!$A$4:$P$1203,3,0),"※编码不在物料档案里"))</f>
        <v/>
      </c>
      <c r="I688" s="24">
        <f>IF($G688="","",IFERROR(VLOOKUP($G688,物料档案!$A$4:$P$1203,4,0),"※编码不在物料档案里"))</f>
        <v/>
      </c>
      <c r="J688" s="24">
        <f>IF($G688="","",IFERROR(VLOOKUP($G688,物料档案!$A$4:$P$1203,5,0),"※编码不在物料档案里"))</f>
        <v/>
      </c>
      <c r="K688" s="23" t="n">
        <v>2</v>
      </c>
      <c r="L688" s="31" t="n"/>
      <c r="M688" s="24">
        <f>IF($G688="","",IF($D688="A国内","CNY","TZS"))</f>
        <v/>
      </c>
      <c r="N688" s="28">
        <f>IF($G688="","",IF($D688="A国内",汇率,1))</f>
        <v/>
      </c>
      <c r="O688" s="25">
        <f>IF($G688="","",ROUND(N($K688)*N($L688),2))</f>
        <v/>
      </c>
      <c r="P688" s="26">
        <f>IF($G688="","",ROUND($O688*$N688,0))</f>
        <v/>
      </c>
      <c r="Q688" s="26">
        <f>IF($G688="","",SUMIFS($P$4:$P$2503,$E$4:$E$2503,$E688,$Z$4:$Z$2503,"正常"))</f>
        <v/>
      </c>
      <c r="R688" s="26">
        <f>IF($G688="","",SUMIFS(费用台账!$I$4:$I$503,费用台账!$C$4:$C$503,$E688,费用台账!$J$4:$J$503,"是",费用台账!$K$4:$K$503,"正常"))</f>
        <v/>
      </c>
      <c r="S688" s="28">
        <f>IF($G688="","",COUNTIFS($E$4:$E$2503,$E688,$Z$4:$Z$2503,"正常",$Y$4:$Y$2503,"待补价"))</f>
        <v/>
      </c>
      <c r="T688" s="26">
        <f>IF($G688="","",SUMIFS($P$4:$P$2503,$E$4:$E$2503,$E688,$Z$4:$Z$2503,"正常",$A$4:$A$2503,"&lt;="&amp;$A688))</f>
        <v/>
      </c>
      <c r="U688" s="26">
        <f>IF($G688="","",IF(OR($S688&gt;0,$Q688=0,$R688=0,$Z688&lt;&gt;"正常"),0,ROUND($T688/$Q688*$R688,0)-ROUND(($T688-$P688)/$Q688*$R688,0)))</f>
        <v/>
      </c>
      <c r="V688" s="26">
        <f>IF($G688="","",ROUND($P688+$U688,0))</f>
        <v/>
      </c>
      <c r="W688" s="26">
        <f>IF($G688="","",IF(N($K688)=0,0,ROUND($V688/$K688,2)))</f>
        <v/>
      </c>
      <c r="X688" s="17" t="inlineStr">
        <is>
          <t>采购入库</t>
        </is>
      </c>
      <c r="Y688" s="17" t="inlineStr">
        <is>
          <t>待补价</t>
        </is>
      </c>
      <c r="Z688" s="17" t="inlineStr">
        <is>
          <t>正常</t>
        </is>
      </c>
      <c r="AA688" s="17" t="n"/>
      <c r="AB688" s="17" t="inlineStr">
        <is>
          <t>原表第 694 行</t>
        </is>
      </c>
      <c r="AC688" s="24">
        <f>IF($G688="","",IF($H688="※编码不在物料档案里","※物料编码不在档案里",IF(N($K688)&lt;=0,"※入库数量要大于 0",IF(AND($C688&lt;&gt;"",$C688&lt;=结账锁),"※日期早于已结账截止日，不能再录",IF(AND($L688=0,$X688="正常"),"※没填单价，价格状态请选「待补价」",IF(AND($S688&gt;0,$R688&gt;0),"△本批有 "&amp;$S688&amp;" 行没单价，整批运费先挂账没摊",IF(AND($B688&lt;&gt;"",COUNTIF($B$4:$B$2503,$B688)&gt;1),"※入库单号重复","")))))))</f>
        <v/>
      </c>
    </row>
    <row r="689">
      <c r="A689" s="24">
        <f>IF($G689="","",COUNTA($G$4:$G689))</f>
        <v/>
      </c>
      <c r="B689" s="17" t="n"/>
      <c r="C689" s="30" t="n">
        <v>46109</v>
      </c>
      <c r="D689" s="17" t="inlineStr">
        <is>
          <t>A国内</t>
        </is>
      </c>
      <c r="E689" s="17" t="inlineStr">
        <is>
          <t>FCIU8630602-202603</t>
        </is>
      </c>
      <c r="F689" s="17" t="inlineStr">
        <is>
          <t>烟台市金豪矿山机械有限公司</t>
        </is>
      </c>
      <c r="G689" s="17" t="inlineStr">
        <is>
          <t>JH0620</t>
        </is>
      </c>
      <c r="H689" s="24">
        <f>IF($G689="","",IFERROR(VLOOKUP($G689,物料档案!$A$4:$P$1203,3,0),"※编码不在物料档案里"))</f>
        <v/>
      </c>
      <c r="I689" s="24">
        <f>IF($G689="","",IFERROR(VLOOKUP($G689,物料档案!$A$4:$P$1203,4,0),"※编码不在物料档案里"))</f>
        <v/>
      </c>
      <c r="J689" s="24">
        <f>IF($G689="","",IFERROR(VLOOKUP($G689,物料档案!$A$4:$P$1203,5,0),"※编码不在物料档案里"))</f>
        <v/>
      </c>
      <c r="K689" s="23" t="n">
        <v>2</v>
      </c>
      <c r="L689" s="31" t="n"/>
      <c r="M689" s="24">
        <f>IF($G689="","",IF($D689="A国内","CNY","TZS"))</f>
        <v/>
      </c>
      <c r="N689" s="28">
        <f>IF($G689="","",IF($D689="A国内",汇率,1))</f>
        <v/>
      </c>
      <c r="O689" s="25">
        <f>IF($G689="","",ROUND(N($K689)*N($L689),2))</f>
        <v/>
      </c>
      <c r="P689" s="26">
        <f>IF($G689="","",ROUND($O689*$N689,0))</f>
        <v/>
      </c>
      <c r="Q689" s="26">
        <f>IF($G689="","",SUMIFS($P$4:$P$2503,$E$4:$E$2503,$E689,$Z$4:$Z$2503,"正常"))</f>
        <v/>
      </c>
      <c r="R689" s="26">
        <f>IF($G689="","",SUMIFS(费用台账!$I$4:$I$503,费用台账!$C$4:$C$503,$E689,费用台账!$J$4:$J$503,"是",费用台账!$K$4:$K$503,"正常"))</f>
        <v/>
      </c>
      <c r="S689" s="28">
        <f>IF($G689="","",COUNTIFS($E$4:$E$2503,$E689,$Z$4:$Z$2503,"正常",$Y$4:$Y$2503,"待补价"))</f>
        <v/>
      </c>
      <c r="T689" s="26">
        <f>IF($G689="","",SUMIFS($P$4:$P$2503,$E$4:$E$2503,$E689,$Z$4:$Z$2503,"正常",$A$4:$A$2503,"&lt;="&amp;$A689))</f>
        <v/>
      </c>
      <c r="U689" s="26">
        <f>IF($G689="","",IF(OR($S689&gt;0,$Q689=0,$R689=0,$Z689&lt;&gt;"正常"),0,ROUND($T689/$Q689*$R689,0)-ROUND(($T689-$P689)/$Q689*$R689,0)))</f>
        <v/>
      </c>
      <c r="V689" s="26">
        <f>IF($G689="","",ROUND($P689+$U689,0))</f>
        <v/>
      </c>
      <c r="W689" s="26">
        <f>IF($G689="","",IF(N($K689)=0,0,ROUND($V689/$K689,2)))</f>
        <v/>
      </c>
      <c r="X689" s="17" t="inlineStr">
        <is>
          <t>采购入库</t>
        </is>
      </c>
      <c r="Y689" s="17" t="inlineStr">
        <is>
          <t>待补价</t>
        </is>
      </c>
      <c r="Z689" s="17" t="inlineStr">
        <is>
          <t>正常</t>
        </is>
      </c>
      <c r="AA689" s="17" t="n"/>
      <c r="AB689" s="17" t="inlineStr">
        <is>
          <t>原表第 695 行</t>
        </is>
      </c>
      <c r="AC689" s="24">
        <f>IF($G689="","",IF($H689="※编码不在物料档案里","※物料编码不在档案里",IF(N($K689)&lt;=0,"※入库数量要大于 0",IF(AND($C689&lt;&gt;"",$C689&lt;=结账锁),"※日期早于已结账截止日，不能再录",IF(AND($L689=0,$X689="正常"),"※没填单价，价格状态请选「待补价」",IF(AND($S689&gt;0,$R689&gt;0),"△本批有 "&amp;$S689&amp;" 行没单价，整批运费先挂账没摊",IF(AND($B689&lt;&gt;"",COUNTIF($B$4:$B$2503,$B689)&gt;1),"※入库单号重复","")))))))</f>
        <v/>
      </c>
    </row>
    <row r="690">
      <c r="A690" s="24">
        <f>IF($G690="","",COUNTA($G$4:$G690))</f>
        <v/>
      </c>
      <c r="B690" s="17" t="n"/>
      <c r="C690" s="30" t="n">
        <v>46109</v>
      </c>
      <c r="D690" s="17" t="inlineStr">
        <is>
          <t>A国内</t>
        </is>
      </c>
      <c r="E690" s="17" t="inlineStr">
        <is>
          <t>FCIU8630602-202603</t>
        </is>
      </c>
      <c r="F690" s="17" t="inlineStr">
        <is>
          <t>烟台市金豪矿山机械有限公司</t>
        </is>
      </c>
      <c r="G690" s="17" t="inlineStr">
        <is>
          <t>JH0621</t>
        </is>
      </c>
      <c r="H690" s="24">
        <f>IF($G690="","",IFERROR(VLOOKUP($G690,物料档案!$A$4:$P$1203,3,0),"※编码不在物料档案里"))</f>
        <v/>
      </c>
      <c r="I690" s="24">
        <f>IF($G690="","",IFERROR(VLOOKUP($G690,物料档案!$A$4:$P$1203,4,0),"※编码不在物料档案里"))</f>
        <v/>
      </c>
      <c r="J690" s="24">
        <f>IF($G690="","",IFERROR(VLOOKUP($G690,物料档案!$A$4:$P$1203,5,0),"※编码不在物料档案里"))</f>
        <v/>
      </c>
      <c r="K690" s="23" t="n">
        <v>16</v>
      </c>
      <c r="L690" s="31" t="n"/>
      <c r="M690" s="24">
        <f>IF($G690="","",IF($D690="A国内","CNY","TZS"))</f>
        <v/>
      </c>
      <c r="N690" s="28">
        <f>IF($G690="","",IF($D690="A国内",汇率,1))</f>
        <v/>
      </c>
      <c r="O690" s="25">
        <f>IF($G690="","",ROUND(N($K690)*N($L690),2))</f>
        <v/>
      </c>
      <c r="P690" s="26">
        <f>IF($G690="","",ROUND($O690*$N690,0))</f>
        <v/>
      </c>
      <c r="Q690" s="26">
        <f>IF($G690="","",SUMIFS($P$4:$P$2503,$E$4:$E$2503,$E690,$Z$4:$Z$2503,"正常"))</f>
        <v/>
      </c>
      <c r="R690" s="26">
        <f>IF($G690="","",SUMIFS(费用台账!$I$4:$I$503,费用台账!$C$4:$C$503,$E690,费用台账!$J$4:$J$503,"是",费用台账!$K$4:$K$503,"正常"))</f>
        <v/>
      </c>
      <c r="S690" s="28">
        <f>IF($G690="","",COUNTIFS($E$4:$E$2503,$E690,$Z$4:$Z$2503,"正常",$Y$4:$Y$2503,"待补价"))</f>
        <v/>
      </c>
      <c r="T690" s="26">
        <f>IF($G690="","",SUMIFS($P$4:$P$2503,$E$4:$E$2503,$E690,$Z$4:$Z$2503,"正常",$A$4:$A$2503,"&lt;="&amp;$A690))</f>
        <v/>
      </c>
      <c r="U690" s="26">
        <f>IF($G690="","",IF(OR($S690&gt;0,$Q690=0,$R690=0,$Z690&lt;&gt;"正常"),0,ROUND($T690/$Q690*$R690,0)-ROUND(($T690-$P690)/$Q690*$R690,0)))</f>
        <v/>
      </c>
      <c r="V690" s="26">
        <f>IF($G690="","",ROUND($P690+$U690,0))</f>
        <v/>
      </c>
      <c r="W690" s="26">
        <f>IF($G690="","",IF(N($K690)=0,0,ROUND($V690/$K690,2)))</f>
        <v/>
      </c>
      <c r="X690" s="17" t="inlineStr">
        <is>
          <t>采购入库</t>
        </is>
      </c>
      <c r="Y690" s="17" t="inlineStr">
        <is>
          <t>待补价</t>
        </is>
      </c>
      <c r="Z690" s="17" t="inlineStr">
        <is>
          <t>正常</t>
        </is>
      </c>
      <c r="AA690" s="17" t="n"/>
      <c r="AB690" s="17" t="inlineStr">
        <is>
          <t>原表第 696 行</t>
        </is>
      </c>
      <c r="AC690" s="24">
        <f>IF($G690="","",IF($H690="※编码不在物料档案里","※物料编码不在档案里",IF(N($K690)&lt;=0,"※入库数量要大于 0",IF(AND($C690&lt;&gt;"",$C690&lt;=结账锁),"※日期早于已结账截止日，不能再录",IF(AND($L690=0,$X690="正常"),"※没填单价，价格状态请选「待补价」",IF(AND($S690&gt;0,$R690&gt;0),"△本批有 "&amp;$S690&amp;" 行没单价，整批运费先挂账没摊",IF(AND($B690&lt;&gt;"",COUNTIF($B$4:$B$2503,$B690)&gt;1),"※入库单号重复","")))))))</f>
        <v/>
      </c>
    </row>
    <row r="691">
      <c r="A691" s="24">
        <f>IF($G691="","",COUNTA($G$4:$G691))</f>
        <v/>
      </c>
      <c r="B691" s="17" t="n"/>
      <c r="C691" s="30" t="n">
        <v>46109</v>
      </c>
      <c r="D691" s="17" t="inlineStr">
        <is>
          <t>A国内</t>
        </is>
      </c>
      <c r="E691" s="17" t="inlineStr">
        <is>
          <t>FCIU8630602-202603</t>
        </is>
      </c>
      <c r="F691" s="17" t="inlineStr">
        <is>
          <t>烟台市金豪矿山机械有限公司</t>
        </is>
      </c>
      <c r="G691" s="17" t="inlineStr">
        <is>
          <t>JH0622</t>
        </is>
      </c>
      <c r="H691" s="24">
        <f>IF($G691="","",IFERROR(VLOOKUP($G691,物料档案!$A$4:$P$1203,3,0),"※编码不在物料档案里"))</f>
        <v/>
      </c>
      <c r="I691" s="24">
        <f>IF($G691="","",IFERROR(VLOOKUP($G691,物料档案!$A$4:$P$1203,4,0),"※编码不在物料档案里"))</f>
        <v/>
      </c>
      <c r="J691" s="24">
        <f>IF($G691="","",IFERROR(VLOOKUP($G691,物料档案!$A$4:$P$1203,5,0),"※编码不在物料档案里"))</f>
        <v/>
      </c>
      <c r="K691" s="23" t="n">
        <v>1</v>
      </c>
      <c r="L691" s="31" t="n"/>
      <c r="M691" s="24">
        <f>IF($G691="","",IF($D691="A国内","CNY","TZS"))</f>
        <v/>
      </c>
      <c r="N691" s="28">
        <f>IF($G691="","",IF($D691="A国内",汇率,1))</f>
        <v/>
      </c>
      <c r="O691" s="25">
        <f>IF($G691="","",ROUND(N($K691)*N($L691),2))</f>
        <v/>
      </c>
      <c r="P691" s="26">
        <f>IF($G691="","",ROUND($O691*$N691,0))</f>
        <v/>
      </c>
      <c r="Q691" s="26">
        <f>IF($G691="","",SUMIFS($P$4:$P$2503,$E$4:$E$2503,$E691,$Z$4:$Z$2503,"正常"))</f>
        <v/>
      </c>
      <c r="R691" s="26">
        <f>IF($G691="","",SUMIFS(费用台账!$I$4:$I$503,费用台账!$C$4:$C$503,$E691,费用台账!$J$4:$J$503,"是",费用台账!$K$4:$K$503,"正常"))</f>
        <v/>
      </c>
      <c r="S691" s="28">
        <f>IF($G691="","",COUNTIFS($E$4:$E$2503,$E691,$Z$4:$Z$2503,"正常",$Y$4:$Y$2503,"待补价"))</f>
        <v/>
      </c>
      <c r="T691" s="26">
        <f>IF($G691="","",SUMIFS($P$4:$P$2503,$E$4:$E$2503,$E691,$Z$4:$Z$2503,"正常",$A$4:$A$2503,"&lt;="&amp;$A691))</f>
        <v/>
      </c>
      <c r="U691" s="26">
        <f>IF($G691="","",IF(OR($S691&gt;0,$Q691=0,$R691=0,$Z691&lt;&gt;"正常"),0,ROUND($T691/$Q691*$R691,0)-ROUND(($T691-$P691)/$Q691*$R691,0)))</f>
        <v/>
      </c>
      <c r="V691" s="26">
        <f>IF($G691="","",ROUND($P691+$U691,0))</f>
        <v/>
      </c>
      <c r="W691" s="26">
        <f>IF($G691="","",IF(N($K691)=0,0,ROUND($V691/$K691,2)))</f>
        <v/>
      </c>
      <c r="X691" s="17" t="inlineStr">
        <is>
          <t>采购入库</t>
        </is>
      </c>
      <c r="Y691" s="17" t="inlineStr">
        <is>
          <t>待补价</t>
        </is>
      </c>
      <c r="Z691" s="17" t="inlineStr">
        <is>
          <t>正常</t>
        </is>
      </c>
      <c r="AA691" s="17" t="n"/>
      <c r="AB691" s="17" t="inlineStr">
        <is>
          <t>原表第 697 行</t>
        </is>
      </c>
      <c r="AC691" s="24">
        <f>IF($G691="","",IF($H691="※编码不在物料档案里","※物料编码不在档案里",IF(N($K691)&lt;=0,"※入库数量要大于 0",IF(AND($C691&lt;&gt;"",$C691&lt;=结账锁),"※日期早于已结账截止日，不能再录",IF(AND($L691=0,$X691="正常"),"※没填单价，价格状态请选「待补价」",IF(AND($S691&gt;0,$R691&gt;0),"△本批有 "&amp;$S691&amp;" 行没单价，整批运费先挂账没摊",IF(AND($B691&lt;&gt;"",COUNTIF($B$4:$B$2503,$B691)&gt;1),"※入库单号重复","")))))))</f>
        <v/>
      </c>
    </row>
    <row r="692">
      <c r="A692" s="24">
        <f>IF($G692="","",COUNTA($G$4:$G692))</f>
        <v/>
      </c>
      <c r="B692" s="17" t="n"/>
      <c r="C692" s="30" t="n">
        <v>46109</v>
      </c>
      <c r="D692" s="17" t="inlineStr">
        <is>
          <t>A国内</t>
        </is>
      </c>
      <c r="E692" s="17" t="inlineStr">
        <is>
          <t>FCIU8630602-202603</t>
        </is>
      </c>
      <c r="F692" s="17" t="inlineStr">
        <is>
          <t>烟台市金豪矿山机械有限公司</t>
        </is>
      </c>
      <c r="G692" s="17" t="inlineStr">
        <is>
          <t>JH0623</t>
        </is>
      </c>
      <c r="H692" s="24">
        <f>IF($G692="","",IFERROR(VLOOKUP($G692,物料档案!$A$4:$P$1203,3,0),"※编码不在物料档案里"))</f>
        <v/>
      </c>
      <c r="I692" s="24">
        <f>IF($G692="","",IFERROR(VLOOKUP($G692,物料档案!$A$4:$P$1203,4,0),"※编码不在物料档案里"))</f>
        <v/>
      </c>
      <c r="J692" s="24">
        <f>IF($G692="","",IFERROR(VLOOKUP($G692,物料档案!$A$4:$P$1203,5,0),"※编码不在物料档案里"))</f>
        <v/>
      </c>
      <c r="K692" s="23" t="n">
        <v>6</v>
      </c>
      <c r="L692" s="31" t="n"/>
      <c r="M692" s="24">
        <f>IF($G692="","",IF($D692="A国内","CNY","TZS"))</f>
        <v/>
      </c>
      <c r="N692" s="28">
        <f>IF($G692="","",IF($D692="A国内",汇率,1))</f>
        <v/>
      </c>
      <c r="O692" s="25">
        <f>IF($G692="","",ROUND(N($K692)*N($L692),2))</f>
        <v/>
      </c>
      <c r="P692" s="26">
        <f>IF($G692="","",ROUND($O692*$N692,0))</f>
        <v/>
      </c>
      <c r="Q692" s="26">
        <f>IF($G692="","",SUMIFS($P$4:$P$2503,$E$4:$E$2503,$E692,$Z$4:$Z$2503,"正常"))</f>
        <v/>
      </c>
      <c r="R692" s="26">
        <f>IF($G692="","",SUMIFS(费用台账!$I$4:$I$503,费用台账!$C$4:$C$503,$E692,费用台账!$J$4:$J$503,"是",费用台账!$K$4:$K$503,"正常"))</f>
        <v/>
      </c>
      <c r="S692" s="28">
        <f>IF($G692="","",COUNTIFS($E$4:$E$2503,$E692,$Z$4:$Z$2503,"正常",$Y$4:$Y$2503,"待补价"))</f>
        <v/>
      </c>
      <c r="T692" s="26">
        <f>IF($G692="","",SUMIFS($P$4:$P$2503,$E$4:$E$2503,$E692,$Z$4:$Z$2503,"正常",$A$4:$A$2503,"&lt;="&amp;$A692))</f>
        <v/>
      </c>
      <c r="U692" s="26">
        <f>IF($G692="","",IF(OR($S692&gt;0,$Q692=0,$R692=0,$Z692&lt;&gt;"正常"),0,ROUND($T692/$Q692*$R692,0)-ROUND(($T692-$P692)/$Q692*$R692,0)))</f>
        <v/>
      </c>
      <c r="V692" s="26">
        <f>IF($G692="","",ROUND($P692+$U692,0))</f>
        <v/>
      </c>
      <c r="W692" s="26">
        <f>IF($G692="","",IF(N($K692)=0,0,ROUND($V692/$K692,2)))</f>
        <v/>
      </c>
      <c r="X692" s="17" t="inlineStr">
        <is>
          <t>采购入库</t>
        </is>
      </c>
      <c r="Y692" s="17" t="inlineStr">
        <is>
          <t>待补价</t>
        </is>
      </c>
      <c r="Z692" s="17" t="inlineStr">
        <is>
          <t>正常</t>
        </is>
      </c>
      <c r="AA692" s="17" t="n"/>
      <c r="AB692" s="17" t="inlineStr">
        <is>
          <t>原表第 698 行</t>
        </is>
      </c>
      <c r="AC692" s="24">
        <f>IF($G692="","",IF($H692="※编码不在物料档案里","※物料编码不在档案里",IF(N($K692)&lt;=0,"※入库数量要大于 0",IF(AND($C692&lt;&gt;"",$C692&lt;=结账锁),"※日期早于已结账截止日，不能再录",IF(AND($L692=0,$X692="正常"),"※没填单价，价格状态请选「待补价」",IF(AND($S692&gt;0,$R692&gt;0),"△本批有 "&amp;$S692&amp;" 行没单价，整批运费先挂账没摊",IF(AND($B692&lt;&gt;"",COUNTIF($B$4:$B$2503,$B692)&gt;1),"※入库单号重复","")))))))</f>
        <v/>
      </c>
    </row>
    <row r="693">
      <c r="A693" s="24">
        <f>IF($G693="","",COUNTA($G$4:$G693))</f>
        <v/>
      </c>
      <c r="B693" s="17" t="n"/>
      <c r="C693" s="30" t="n">
        <v>46109</v>
      </c>
      <c r="D693" s="17" t="inlineStr">
        <is>
          <t>A国内</t>
        </is>
      </c>
      <c r="E693" s="17" t="inlineStr">
        <is>
          <t>FCIU8630602-202603</t>
        </is>
      </c>
      <c r="F693" s="17" t="inlineStr">
        <is>
          <t>烟台市金豪矿山机械有限公司</t>
        </is>
      </c>
      <c r="G693" s="17" t="inlineStr">
        <is>
          <t>JH0624</t>
        </is>
      </c>
      <c r="H693" s="24">
        <f>IF($G693="","",IFERROR(VLOOKUP($G693,物料档案!$A$4:$P$1203,3,0),"※编码不在物料档案里"))</f>
        <v/>
      </c>
      <c r="I693" s="24">
        <f>IF($G693="","",IFERROR(VLOOKUP($G693,物料档案!$A$4:$P$1203,4,0),"※编码不在物料档案里"))</f>
        <v/>
      </c>
      <c r="J693" s="24">
        <f>IF($G693="","",IFERROR(VLOOKUP($G693,物料档案!$A$4:$P$1203,5,0),"※编码不在物料档案里"))</f>
        <v/>
      </c>
      <c r="K693" s="23" t="n">
        <v>60</v>
      </c>
      <c r="L693" s="31" t="n"/>
      <c r="M693" s="24">
        <f>IF($G693="","",IF($D693="A国内","CNY","TZS"))</f>
        <v/>
      </c>
      <c r="N693" s="28">
        <f>IF($G693="","",IF($D693="A国内",汇率,1))</f>
        <v/>
      </c>
      <c r="O693" s="25">
        <f>IF($G693="","",ROUND(N($K693)*N($L693),2))</f>
        <v/>
      </c>
      <c r="P693" s="26">
        <f>IF($G693="","",ROUND($O693*$N693,0))</f>
        <v/>
      </c>
      <c r="Q693" s="26">
        <f>IF($G693="","",SUMIFS($P$4:$P$2503,$E$4:$E$2503,$E693,$Z$4:$Z$2503,"正常"))</f>
        <v/>
      </c>
      <c r="R693" s="26">
        <f>IF($G693="","",SUMIFS(费用台账!$I$4:$I$503,费用台账!$C$4:$C$503,$E693,费用台账!$J$4:$J$503,"是",费用台账!$K$4:$K$503,"正常"))</f>
        <v/>
      </c>
      <c r="S693" s="28">
        <f>IF($G693="","",COUNTIFS($E$4:$E$2503,$E693,$Z$4:$Z$2503,"正常",$Y$4:$Y$2503,"待补价"))</f>
        <v/>
      </c>
      <c r="T693" s="26">
        <f>IF($G693="","",SUMIFS($P$4:$P$2503,$E$4:$E$2503,$E693,$Z$4:$Z$2503,"正常",$A$4:$A$2503,"&lt;="&amp;$A693))</f>
        <v/>
      </c>
      <c r="U693" s="26">
        <f>IF($G693="","",IF(OR($S693&gt;0,$Q693=0,$R693=0,$Z693&lt;&gt;"正常"),0,ROUND($T693/$Q693*$R693,0)-ROUND(($T693-$P693)/$Q693*$R693,0)))</f>
        <v/>
      </c>
      <c r="V693" s="26">
        <f>IF($G693="","",ROUND($P693+$U693,0))</f>
        <v/>
      </c>
      <c r="W693" s="26">
        <f>IF($G693="","",IF(N($K693)=0,0,ROUND($V693/$K693,2)))</f>
        <v/>
      </c>
      <c r="X693" s="17" t="inlineStr">
        <is>
          <t>采购入库</t>
        </is>
      </c>
      <c r="Y693" s="17" t="inlineStr">
        <is>
          <t>待补价</t>
        </is>
      </c>
      <c r="Z693" s="17" t="inlineStr">
        <is>
          <t>正常</t>
        </is>
      </c>
      <c r="AA693" s="17" t="n"/>
      <c r="AB693" s="17" t="inlineStr">
        <is>
          <t>原表第 699 行</t>
        </is>
      </c>
      <c r="AC693" s="24">
        <f>IF($G693="","",IF($H693="※编码不在物料档案里","※物料编码不在档案里",IF(N($K693)&lt;=0,"※入库数量要大于 0",IF(AND($C693&lt;&gt;"",$C693&lt;=结账锁),"※日期早于已结账截止日，不能再录",IF(AND($L693=0,$X693="正常"),"※没填单价，价格状态请选「待补价」",IF(AND($S693&gt;0,$R693&gt;0),"△本批有 "&amp;$S693&amp;" 行没单价，整批运费先挂账没摊",IF(AND($B693&lt;&gt;"",COUNTIF($B$4:$B$2503,$B693)&gt;1),"※入库单号重复","")))))))</f>
        <v/>
      </c>
    </row>
    <row r="694">
      <c r="A694" s="24">
        <f>IF($G694="","",COUNTA($G$4:$G694))</f>
        <v/>
      </c>
      <c r="B694" s="17" t="n"/>
      <c r="C694" s="30" t="n">
        <v>46109</v>
      </c>
      <c r="D694" s="17" t="inlineStr">
        <is>
          <t>A国内</t>
        </is>
      </c>
      <c r="E694" s="17" t="inlineStr">
        <is>
          <t>FCIU8630602-202603</t>
        </is>
      </c>
      <c r="F694" s="17" t="inlineStr">
        <is>
          <t>烟台市金豪矿山机械有限公司</t>
        </is>
      </c>
      <c r="G694" s="17" t="inlineStr">
        <is>
          <t>JH0625</t>
        </is>
      </c>
      <c r="H694" s="24">
        <f>IF($G694="","",IFERROR(VLOOKUP($G694,物料档案!$A$4:$P$1203,3,0),"※编码不在物料档案里"))</f>
        <v/>
      </c>
      <c r="I694" s="24">
        <f>IF($G694="","",IFERROR(VLOOKUP($G694,物料档案!$A$4:$P$1203,4,0),"※编码不在物料档案里"))</f>
        <v/>
      </c>
      <c r="J694" s="24">
        <f>IF($G694="","",IFERROR(VLOOKUP($G694,物料档案!$A$4:$P$1203,5,0),"※编码不在物料档案里"))</f>
        <v/>
      </c>
      <c r="K694" s="23" t="n">
        <v>1</v>
      </c>
      <c r="L694" s="31" t="n"/>
      <c r="M694" s="24">
        <f>IF($G694="","",IF($D694="A国内","CNY","TZS"))</f>
        <v/>
      </c>
      <c r="N694" s="28">
        <f>IF($G694="","",IF($D694="A国内",汇率,1))</f>
        <v/>
      </c>
      <c r="O694" s="25">
        <f>IF($G694="","",ROUND(N($K694)*N($L694),2))</f>
        <v/>
      </c>
      <c r="P694" s="26">
        <f>IF($G694="","",ROUND($O694*$N694,0))</f>
        <v/>
      </c>
      <c r="Q694" s="26">
        <f>IF($G694="","",SUMIFS($P$4:$P$2503,$E$4:$E$2503,$E694,$Z$4:$Z$2503,"正常"))</f>
        <v/>
      </c>
      <c r="R694" s="26">
        <f>IF($G694="","",SUMIFS(费用台账!$I$4:$I$503,费用台账!$C$4:$C$503,$E694,费用台账!$J$4:$J$503,"是",费用台账!$K$4:$K$503,"正常"))</f>
        <v/>
      </c>
      <c r="S694" s="28">
        <f>IF($G694="","",COUNTIFS($E$4:$E$2503,$E694,$Z$4:$Z$2503,"正常",$Y$4:$Y$2503,"待补价"))</f>
        <v/>
      </c>
      <c r="T694" s="26">
        <f>IF($G694="","",SUMIFS($P$4:$P$2503,$E$4:$E$2503,$E694,$Z$4:$Z$2503,"正常",$A$4:$A$2503,"&lt;="&amp;$A694))</f>
        <v/>
      </c>
      <c r="U694" s="26">
        <f>IF($G694="","",IF(OR($S694&gt;0,$Q694=0,$R694=0,$Z694&lt;&gt;"正常"),0,ROUND($T694/$Q694*$R694,0)-ROUND(($T694-$P694)/$Q694*$R694,0)))</f>
        <v/>
      </c>
      <c r="V694" s="26">
        <f>IF($G694="","",ROUND($P694+$U694,0))</f>
        <v/>
      </c>
      <c r="W694" s="26">
        <f>IF($G694="","",IF(N($K694)=0,0,ROUND($V694/$K694,2)))</f>
        <v/>
      </c>
      <c r="X694" s="17" t="inlineStr">
        <is>
          <t>采购入库</t>
        </is>
      </c>
      <c r="Y694" s="17" t="inlineStr">
        <is>
          <t>待补价</t>
        </is>
      </c>
      <c r="Z694" s="17" t="inlineStr">
        <is>
          <t>正常</t>
        </is>
      </c>
      <c r="AA694" s="17" t="n"/>
      <c r="AB694" s="17" t="inlineStr">
        <is>
          <t>原表第 700 行</t>
        </is>
      </c>
      <c r="AC694" s="24">
        <f>IF($G694="","",IF($H694="※编码不在物料档案里","※物料编码不在档案里",IF(N($K694)&lt;=0,"※入库数量要大于 0",IF(AND($C694&lt;&gt;"",$C694&lt;=结账锁),"※日期早于已结账截止日，不能再录",IF(AND($L694=0,$X694="正常"),"※没填单价，价格状态请选「待补价」",IF(AND($S694&gt;0,$R694&gt;0),"△本批有 "&amp;$S694&amp;" 行没单价，整批运费先挂账没摊",IF(AND($B694&lt;&gt;"",COUNTIF($B$4:$B$2503,$B694)&gt;1),"※入库单号重复","")))))))</f>
        <v/>
      </c>
    </row>
    <row r="695">
      <c r="A695" s="24">
        <f>IF($G695="","",COUNTA($G$4:$G695))</f>
        <v/>
      </c>
      <c r="B695" s="17" t="n"/>
      <c r="C695" s="30" t="n">
        <v>46109</v>
      </c>
      <c r="D695" s="17" t="inlineStr">
        <is>
          <t>A国内</t>
        </is>
      </c>
      <c r="E695" s="17" t="inlineStr">
        <is>
          <t>FCIU8630602-202603</t>
        </is>
      </c>
      <c r="F695" s="17" t="inlineStr">
        <is>
          <t>烟台市金豪矿山机械有限公司</t>
        </is>
      </c>
      <c r="G695" s="17" t="inlineStr">
        <is>
          <t>JH0626</t>
        </is>
      </c>
      <c r="H695" s="24">
        <f>IF($G695="","",IFERROR(VLOOKUP($G695,物料档案!$A$4:$P$1203,3,0),"※编码不在物料档案里"))</f>
        <v/>
      </c>
      <c r="I695" s="24">
        <f>IF($G695="","",IFERROR(VLOOKUP($G695,物料档案!$A$4:$P$1203,4,0),"※编码不在物料档案里"))</f>
        <v/>
      </c>
      <c r="J695" s="24">
        <f>IF($G695="","",IFERROR(VLOOKUP($G695,物料档案!$A$4:$P$1203,5,0),"※编码不在物料档案里"))</f>
        <v/>
      </c>
      <c r="K695" s="23" t="n">
        <v>10</v>
      </c>
      <c r="L695" s="31" t="n"/>
      <c r="M695" s="24">
        <f>IF($G695="","",IF($D695="A国内","CNY","TZS"))</f>
        <v/>
      </c>
      <c r="N695" s="28">
        <f>IF($G695="","",IF($D695="A国内",汇率,1))</f>
        <v/>
      </c>
      <c r="O695" s="25">
        <f>IF($G695="","",ROUND(N($K695)*N($L695),2))</f>
        <v/>
      </c>
      <c r="P695" s="26">
        <f>IF($G695="","",ROUND($O695*$N695,0))</f>
        <v/>
      </c>
      <c r="Q695" s="26">
        <f>IF($G695="","",SUMIFS($P$4:$P$2503,$E$4:$E$2503,$E695,$Z$4:$Z$2503,"正常"))</f>
        <v/>
      </c>
      <c r="R695" s="26">
        <f>IF($G695="","",SUMIFS(费用台账!$I$4:$I$503,费用台账!$C$4:$C$503,$E695,费用台账!$J$4:$J$503,"是",费用台账!$K$4:$K$503,"正常"))</f>
        <v/>
      </c>
      <c r="S695" s="28">
        <f>IF($G695="","",COUNTIFS($E$4:$E$2503,$E695,$Z$4:$Z$2503,"正常",$Y$4:$Y$2503,"待补价"))</f>
        <v/>
      </c>
      <c r="T695" s="26">
        <f>IF($G695="","",SUMIFS($P$4:$P$2503,$E$4:$E$2503,$E695,$Z$4:$Z$2503,"正常",$A$4:$A$2503,"&lt;="&amp;$A695))</f>
        <v/>
      </c>
      <c r="U695" s="26">
        <f>IF($G695="","",IF(OR($S695&gt;0,$Q695=0,$R695=0,$Z695&lt;&gt;"正常"),0,ROUND($T695/$Q695*$R695,0)-ROUND(($T695-$P695)/$Q695*$R695,0)))</f>
        <v/>
      </c>
      <c r="V695" s="26">
        <f>IF($G695="","",ROUND($P695+$U695,0))</f>
        <v/>
      </c>
      <c r="W695" s="26">
        <f>IF($G695="","",IF(N($K695)=0,0,ROUND($V695/$K695,2)))</f>
        <v/>
      </c>
      <c r="X695" s="17" t="inlineStr">
        <is>
          <t>采购入库</t>
        </is>
      </c>
      <c r="Y695" s="17" t="inlineStr">
        <is>
          <t>待补价</t>
        </is>
      </c>
      <c r="Z695" s="17" t="inlineStr">
        <is>
          <t>正常</t>
        </is>
      </c>
      <c r="AA695" s="17" t="n"/>
      <c r="AB695" s="17" t="inlineStr">
        <is>
          <t>原表第 701 行</t>
        </is>
      </c>
      <c r="AC695" s="24">
        <f>IF($G695="","",IF($H695="※编码不在物料档案里","※物料编码不在档案里",IF(N($K695)&lt;=0,"※入库数量要大于 0",IF(AND($C695&lt;&gt;"",$C695&lt;=结账锁),"※日期早于已结账截止日，不能再录",IF(AND($L695=0,$X695="正常"),"※没填单价，价格状态请选「待补价」",IF(AND($S695&gt;0,$R695&gt;0),"△本批有 "&amp;$S695&amp;" 行没单价，整批运费先挂账没摊",IF(AND($B695&lt;&gt;"",COUNTIF($B$4:$B$2503,$B695)&gt;1),"※入库单号重复","")))))))</f>
        <v/>
      </c>
    </row>
    <row r="696">
      <c r="A696" s="24">
        <f>IF($G696="","",COUNTA($G$4:$G696))</f>
        <v/>
      </c>
      <c r="B696" s="17" t="n"/>
      <c r="C696" s="30" t="n">
        <v>46109</v>
      </c>
      <c r="D696" s="17" t="inlineStr">
        <is>
          <t>A国内</t>
        </is>
      </c>
      <c r="E696" s="17" t="inlineStr">
        <is>
          <t>FCIU8630602-202603</t>
        </is>
      </c>
      <c r="F696" s="17" t="inlineStr">
        <is>
          <t>烟台市金豪矿山机械有限公司</t>
        </is>
      </c>
      <c r="G696" s="17" t="inlineStr">
        <is>
          <t>JH0627</t>
        </is>
      </c>
      <c r="H696" s="24">
        <f>IF($G696="","",IFERROR(VLOOKUP($G696,物料档案!$A$4:$P$1203,3,0),"※编码不在物料档案里"))</f>
        <v/>
      </c>
      <c r="I696" s="24">
        <f>IF($G696="","",IFERROR(VLOOKUP($G696,物料档案!$A$4:$P$1203,4,0),"※编码不在物料档案里"))</f>
        <v/>
      </c>
      <c r="J696" s="24">
        <f>IF($G696="","",IFERROR(VLOOKUP($G696,物料档案!$A$4:$P$1203,5,0),"※编码不在物料档案里"))</f>
        <v/>
      </c>
      <c r="K696" s="23" t="n">
        <v>10</v>
      </c>
      <c r="L696" s="31" t="n"/>
      <c r="M696" s="24">
        <f>IF($G696="","",IF($D696="A国内","CNY","TZS"))</f>
        <v/>
      </c>
      <c r="N696" s="28">
        <f>IF($G696="","",IF($D696="A国内",汇率,1))</f>
        <v/>
      </c>
      <c r="O696" s="25">
        <f>IF($G696="","",ROUND(N($K696)*N($L696),2))</f>
        <v/>
      </c>
      <c r="P696" s="26">
        <f>IF($G696="","",ROUND($O696*$N696,0))</f>
        <v/>
      </c>
      <c r="Q696" s="26">
        <f>IF($G696="","",SUMIFS($P$4:$P$2503,$E$4:$E$2503,$E696,$Z$4:$Z$2503,"正常"))</f>
        <v/>
      </c>
      <c r="R696" s="26">
        <f>IF($G696="","",SUMIFS(费用台账!$I$4:$I$503,费用台账!$C$4:$C$503,$E696,费用台账!$J$4:$J$503,"是",费用台账!$K$4:$K$503,"正常"))</f>
        <v/>
      </c>
      <c r="S696" s="28">
        <f>IF($G696="","",COUNTIFS($E$4:$E$2503,$E696,$Z$4:$Z$2503,"正常",$Y$4:$Y$2503,"待补价"))</f>
        <v/>
      </c>
      <c r="T696" s="26">
        <f>IF($G696="","",SUMIFS($P$4:$P$2503,$E$4:$E$2503,$E696,$Z$4:$Z$2503,"正常",$A$4:$A$2503,"&lt;="&amp;$A696))</f>
        <v/>
      </c>
      <c r="U696" s="26">
        <f>IF($G696="","",IF(OR($S696&gt;0,$Q696=0,$R696=0,$Z696&lt;&gt;"正常"),0,ROUND($T696/$Q696*$R696,0)-ROUND(($T696-$P696)/$Q696*$R696,0)))</f>
        <v/>
      </c>
      <c r="V696" s="26">
        <f>IF($G696="","",ROUND($P696+$U696,0))</f>
        <v/>
      </c>
      <c r="W696" s="26">
        <f>IF($G696="","",IF(N($K696)=0,0,ROUND($V696/$K696,2)))</f>
        <v/>
      </c>
      <c r="X696" s="17" t="inlineStr">
        <is>
          <t>采购入库</t>
        </is>
      </c>
      <c r="Y696" s="17" t="inlineStr">
        <is>
          <t>待补价</t>
        </is>
      </c>
      <c r="Z696" s="17" t="inlineStr">
        <is>
          <t>正常</t>
        </is>
      </c>
      <c r="AA696" s="17" t="n"/>
      <c r="AB696" s="17" t="inlineStr">
        <is>
          <t>原表第 702 行</t>
        </is>
      </c>
      <c r="AC696" s="24">
        <f>IF($G696="","",IF($H696="※编码不在物料档案里","※物料编码不在档案里",IF(N($K696)&lt;=0,"※入库数量要大于 0",IF(AND($C696&lt;&gt;"",$C696&lt;=结账锁),"※日期早于已结账截止日，不能再录",IF(AND($L696=0,$X696="正常"),"※没填单价，价格状态请选「待补价」",IF(AND($S696&gt;0,$R696&gt;0),"△本批有 "&amp;$S696&amp;" 行没单价，整批运费先挂账没摊",IF(AND($B696&lt;&gt;"",COUNTIF($B$4:$B$2503,$B696)&gt;1),"※入库单号重复","")))))))</f>
        <v/>
      </c>
    </row>
    <row r="697">
      <c r="A697" s="24">
        <f>IF($G697="","",COUNTA($G$4:$G697))</f>
        <v/>
      </c>
      <c r="B697" s="17" t="n"/>
      <c r="C697" s="30" t="n">
        <v>46109</v>
      </c>
      <c r="D697" s="17" t="inlineStr">
        <is>
          <t>A国内</t>
        </is>
      </c>
      <c r="E697" s="17" t="inlineStr">
        <is>
          <t>FCIU8630602-202603</t>
        </is>
      </c>
      <c r="F697" s="17" t="inlineStr">
        <is>
          <t>烟台市金豪矿山机械有限公司</t>
        </is>
      </c>
      <c r="G697" s="17" t="inlineStr">
        <is>
          <t>JH0628</t>
        </is>
      </c>
      <c r="H697" s="24">
        <f>IF($G697="","",IFERROR(VLOOKUP($G697,物料档案!$A$4:$P$1203,3,0),"※编码不在物料档案里"))</f>
        <v/>
      </c>
      <c r="I697" s="24">
        <f>IF($G697="","",IFERROR(VLOOKUP($G697,物料档案!$A$4:$P$1203,4,0),"※编码不在物料档案里"))</f>
        <v/>
      </c>
      <c r="J697" s="24">
        <f>IF($G697="","",IFERROR(VLOOKUP($G697,物料档案!$A$4:$P$1203,5,0),"※编码不在物料档案里"))</f>
        <v/>
      </c>
      <c r="K697" s="23" t="n">
        <v>4</v>
      </c>
      <c r="L697" s="31" t="n"/>
      <c r="M697" s="24">
        <f>IF($G697="","",IF($D697="A国内","CNY","TZS"))</f>
        <v/>
      </c>
      <c r="N697" s="28">
        <f>IF($G697="","",IF($D697="A国内",汇率,1))</f>
        <v/>
      </c>
      <c r="O697" s="25">
        <f>IF($G697="","",ROUND(N($K697)*N($L697),2))</f>
        <v/>
      </c>
      <c r="P697" s="26">
        <f>IF($G697="","",ROUND($O697*$N697,0))</f>
        <v/>
      </c>
      <c r="Q697" s="26">
        <f>IF($G697="","",SUMIFS($P$4:$P$2503,$E$4:$E$2503,$E697,$Z$4:$Z$2503,"正常"))</f>
        <v/>
      </c>
      <c r="R697" s="26">
        <f>IF($G697="","",SUMIFS(费用台账!$I$4:$I$503,费用台账!$C$4:$C$503,$E697,费用台账!$J$4:$J$503,"是",费用台账!$K$4:$K$503,"正常"))</f>
        <v/>
      </c>
      <c r="S697" s="28">
        <f>IF($G697="","",COUNTIFS($E$4:$E$2503,$E697,$Z$4:$Z$2503,"正常",$Y$4:$Y$2503,"待补价"))</f>
        <v/>
      </c>
      <c r="T697" s="26">
        <f>IF($G697="","",SUMIFS($P$4:$P$2503,$E$4:$E$2503,$E697,$Z$4:$Z$2503,"正常",$A$4:$A$2503,"&lt;="&amp;$A697))</f>
        <v/>
      </c>
      <c r="U697" s="26">
        <f>IF($G697="","",IF(OR($S697&gt;0,$Q697=0,$R697=0,$Z697&lt;&gt;"正常"),0,ROUND($T697/$Q697*$R697,0)-ROUND(($T697-$P697)/$Q697*$R697,0)))</f>
        <v/>
      </c>
      <c r="V697" s="26">
        <f>IF($G697="","",ROUND($P697+$U697,0))</f>
        <v/>
      </c>
      <c r="W697" s="26">
        <f>IF($G697="","",IF(N($K697)=0,0,ROUND($V697/$K697,2)))</f>
        <v/>
      </c>
      <c r="X697" s="17" t="inlineStr">
        <is>
          <t>采购入库</t>
        </is>
      </c>
      <c r="Y697" s="17" t="inlineStr">
        <is>
          <t>待补价</t>
        </is>
      </c>
      <c r="Z697" s="17" t="inlineStr">
        <is>
          <t>正常</t>
        </is>
      </c>
      <c r="AA697" s="17" t="n"/>
      <c r="AB697" s="17" t="inlineStr">
        <is>
          <t>原表第 703 行</t>
        </is>
      </c>
      <c r="AC697" s="24">
        <f>IF($G697="","",IF($H697="※编码不在物料档案里","※物料编码不在档案里",IF(N($K697)&lt;=0,"※入库数量要大于 0",IF(AND($C697&lt;&gt;"",$C697&lt;=结账锁),"※日期早于已结账截止日，不能再录",IF(AND($L697=0,$X697="正常"),"※没填单价，价格状态请选「待补价」",IF(AND($S697&gt;0,$R697&gt;0),"△本批有 "&amp;$S697&amp;" 行没单价，整批运费先挂账没摊",IF(AND($B697&lt;&gt;"",COUNTIF($B$4:$B$2503,$B697)&gt;1),"※入库单号重复","")))))))</f>
        <v/>
      </c>
    </row>
    <row r="698">
      <c r="A698" s="24">
        <f>IF($G698="","",COUNTA($G$4:$G698))</f>
        <v/>
      </c>
      <c r="B698" s="17" t="n"/>
      <c r="C698" s="30" t="n">
        <v>46109</v>
      </c>
      <c r="D698" s="17" t="inlineStr">
        <is>
          <t>A国内</t>
        </is>
      </c>
      <c r="E698" s="17" t="inlineStr">
        <is>
          <t>FCIU8630602-202603</t>
        </is>
      </c>
      <c r="F698" s="17" t="inlineStr">
        <is>
          <t>烟台市金豪矿山机械有限公司</t>
        </is>
      </c>
      <c r="G698" s="17" t="inlineStr">
        <is>
          <t>JH0629</t>
        </is>
      </c>
      <c r="H698" s="24">
        <f>IF($G698="","",IFERROR(VLOOKUP($G698,物料档案!$A$4:$P$1203,3,0),"※编码不在物料档案里"))</f>
        <v/>
      </c>
      <c r="I698" s="24">
        <f>IF($G698="","",IFERROR(VLOOKUP($G698,物料档案!$A$4:$P$1203,4,0),"※编码不在物料档案里"))</f>
        <v/>
      </c>
      <c r="J698" s="24">
        <f>IF($G698="","",IFERROR(VLOOKUP($G698,物料档案!$A$4:$P$1203,5,0),"※编码不在物料档案里"))</f>
        <v/>
      </c>
      <c r="K698" s="23" t="n">
        <v>1</v>
      </c>
      <c r="L698" s="31" t="n"/>
      <c r="M698" s="24">
        <f>IF($G698="","",IF($D698="A国内","CNY","TZS"))</f>
        <v/>
      </c>
      <c r="N698" s="28">
        <f>IF($G698="","",IF($D698="A国内",汇率,1))</f>
        <v/>
      </c>
      <c r="O698" s="25">
        <f>IF($G698="","",ROUND(N($K698)*N($L698),2))</f>
        <v/>
      </c>
      <c r="P698" s="26">
        <f>IF($G698="","",ROUND($O698*$N698,0))</f>
        <v/>
      </c>
      <c r="Q698" s="26">
        <f>IF($G698="","",SUMIFS($P$4:$P$2503,$E$4:$E$2503,$E698,$Z$4:$Z$2503,"正常"))</f>
        <v/>
      </c>
      <c r="R698" s="26">
        <f>IF($G698="","",SUMIFS(费用台账!$I$4:$I$503,费用台账!$C$4:$C$503,$E698,费用台账!$J$4:$J$503,"是",费用台账!$K$4:$K$503,"正常"))</f>
        <v/>
      </c>
      <c r="S698" s="28">
        <f>IF($G698="","",COUNTIFS($E$4:$E$2503,$E698,$Z$4:$Z$2503,"正常",$Y$4:$Y$2503,"待补价"))</f>
        <v/>
      </c>
      <c r="T698" s="26">
        <f>IF($G698="","",SUMIFS($P$4:$P$2503,$E$4:$E$2503,$E698,$Z$4:$Z$2503,"正常",$A$4:$A$2503,"&lt;="&amp;$A698))</f>
        <v/>
      </c>
      <c r="U698" s="26">
        <f>IF($G698="","",IF(OR($S698&gt;0,$Q698=0,$R698=0,$Z698&lt;&gt;"正常"),0,ROUND($T698/$Q698*$R698,0)-ROUND(($T698-$P698)/$Q698*$R698,0)))</f>
        <v/>
      </c>
      <c r="V698" s="26">
        <f>IF($G698="","",ROUND($P698+$U698,0))</f>
        <v/>
      </c>
      <c r="W698" s="26">
        <f>IF($G698="","",IF(N($K698)=0,0,ROUND($V698/$K698,2)))</f>
        <v/>
      </c>
      <c r="X698" s="17" t="inlineStr">
        <is>
          <t>采购入库</t>
        </is>
      </c>
      <c r="Y698" s="17" t="inlineStr">
        <is>
          <t>待补价</t>
        </is>
      </c>
      <c r="Z698" s="17" t="inlineStr">
        <is>
          <t>正常</t>
        </is>
      </c>
      <c r="AA698" s="17" t="n"/>
      <c r="AB698" s="17" t="inlineStr">
        <is>
          <t>原表第 704 行</t>
        </is>
      </c>
      <c r="AC698" s="24">
        <f>IF($G698="","",IF($H698="※编码不在物料档案里","※物料编码不在档案里",IF(N($K698)&lt;=0,"※入库数量要大于 0",IF(AND($C698&lt;&gt;"",$C698&lt;=结账锁),"※日期早于已结账截止日，不能再录",IF(AND($L698=0,$X698="正常"),"※没填单价，价格状态请选「待补价」",IF(AND($S698&gt;0,$R698&gt;0),"△本批有 "&amp;$S698&amp;" 行没单价，整批运费先挂账没摊",IF(AND($B698&lt;&gt;"",COUNTIF($B$4:$B$2503,$B698)&gt;1),"※入库单号重复","")))))))</f>
        <v/>
      </c>
    </row>
    <row r="699">
      <c r="A699" s="24">
        <f>IF($G699="","",COUNTA($G$4:$G699))</f>
        <v/>
      </c>
      <c r="B699" s="17" t="n"/>
      <c r="C699" s="30" t="n">
        <v>46109</v>
      </c>
      <c r="D699" s="17" t="inlineStr">
        <is>
          <t>A国内</t>
        </is>
      </c>
      <c r="E699" s="17" t="inlineStr">
        <is>
          <t>FCIU8630602-202603</t>
        </is>
      </c>
      <c r="F699" s="17" t="inlineStr">
        <is>
          <t>烟台市金豪矿山机械有限公司</t>
        </is>
      </c>
      <c r="G699" s="17" t="inlineStr">
        <is>
          <t>JH0630</t>
        </is>
      </c>
      <c r="H699" s="24">
        <f>IF($G699="","",IFERROR(VLOOKUP($G699,物料档案!$A$4:$P$1203,3,0),"※编码不在物料档案里"))</f>
        <v/>
      </c>
      <c r="I699" s="24">
        <f>IF($G699="","",IFERROR(VLOOKUP($G699,物料档案!$A$4:$P$1203,4,0),"※编码不在物料档案里"))</f>
        <v/>
      </c>
      <c r="J699" s="24">
        <f>IF($G699="","",IFERROR(VLOOKUP($G699,物料档案!$A$4:$P$1203,5,0),"※编码不在物料档案里"))</f>
        <v/>
      </c>
      <c r="K699" s="23" t="n">
        <v>6</v>
      </c>
      <c r="L699" s="31" t="n"/>
      <c r="M699" s="24">
        <f>IF($G699="","",IF($D699="A国内","CNY","TZS"))</f>
        <v/>
      </c>
      <c r="N699" s="28">
        <f>IF($G699="","",IF($D699="A国内",汇率,1))</f>
        <v/>
      </c>
      <c r="O699" s="25">
        <f>IF($G699="","",ROUND(N($K699)*N($L699),2))</f>
        <v/>
      </c>
      <c r="P699" s="26">
        <f>IF($G699="","",ROUND($O699*$N699,0))</f>
        <v/>
      </c>
      <c r="Q699" s="26">
        <f>IF($G699="","",SUMIFS($P$4:$P$2503,$E$4:$E$2503,$E699,$Z$4:$Z$2503,"正常"))</f>
        <v/>
      </c>
      <c r="R699" s="26">
        <f>IF($G699="","",SUMIFS(费用台账!$I$4:$I$503,费用台账!$C$4:$C$503,$E699,费用台账!$J$4:$J$503,"是",费用台账!$K$4:$K$503,"正常"))</f>
        <v/>
      </c>
      <c r="S699" s="28">
        <f>IF($G699="","",COUNTIFS($E$4:$E$2503,$E699,$Z$4:$Z$2503,"正常",$Y$4:$Y$2503,"待补价"))</f>
        <v/>
      </c>
      <c r="T699" s="26">
        <f>IF($G699="","",SUMIFS($P$4:$P$2503,$E$4:$E$2503,$E699,$Z$4:$Z$2503,"正常",$A$4:$A$2503,"&lt;="&amp;$A699))</f>
        <v/>
      </c>
      <c r="U699" s="26">
        <f>IF($G699="","",IF(OR($S699&gt;0,$Q699=0,$R699=0,$Z699&lt;&gt;"正常"),0,ROUND($T699/$Q699*$R699,0)-ROUND(($T699-$P699)/$Q699*$R699,0)))</f>
        <v/>
      </c>
      <c r="V699" s="26">
        <f>IF($G699="","",ROUND($P699+$U699,0))</f>
        <v/>
      </c>
      <c r="W699" s="26">
        <f>IF($G699="","",IF(N($K699)=0,0,ROUND($V699/$K699,2)))</f>
        <v/>
      </c>
      <c r="X699" s="17" t="inlineStr">
        <is>
          <t>采购入库</t>
        </is>
      </c>
      <c r="Y699" s="17" t="inlineStr">
        <is>
          <t>待补价</t>
        </is>
      </c>
      <c r="Z699" s="17" t="inlineStr">
        <is>
          <t>正常</t>
        </is>
      </c>
      <c r="AA699" s="17" t="n"/>
      <c r="AB699" s="17" t="inlineStr">
        <is>
          <t>原表第 705 行</t>
        </is>
      </c>
      <c r="AC699" s="24">
        <f>IF($G699="","",IF($H699="※编码不在物料档案里","※物料编码不在档案里",IF(N($K699)&lt;=0,"※入库数量要大于 0",IF(AND($C699&lt;&gt;"",$C699&lt;=结账锁),"※日期早于已结账截止日，不能再录",IF(AND($L699=0,$X699="正常"),"※没填单价，价格状态请选「待补价」",IF(AND($S699&gt;0,$R699&gt;0),"△本批有 "&amp;$S699&amp;" 行没单价，整批运费先挂账没摊",IF(AND($B699&lt;&gt;"",COUNTIF($B$4:$B$2503,$B699)&gt;1),"※入库单号重复","")))))))</f>
        <v/>
      </c>
    </row>
    <row r="700">
      <c r="A700" s="24">
        <f>IF($G700="","",COUNTA($G$4:$G700))</f>
        <v/>
      </c>
      <c r="B700" s="17" t="n"/>
      <c r="C700" s="30" t="n">
        <v>46109</v>
      </c>
      <c r="D700" s="17" t="inlineStr">
        <is>
          <t>A国内</t>
        </is>
      </c>
      <c r="E700" s="17" t="inlineStr">
        <is>
          <t>FCIU8630602-202603</t>
        </is>
      </c>
      <c r="F700" s="17" t="inlineStr">
        <is>
          <t>烟台市金豪矿山机械有限公司</t>
        </is>
      </c>
      <c r="G700" s="17" t="inlineStr">
        <is>
          <t>JH0631</t>
        </is>
      </c>
      <c r="H700" s="24">
        <f>IF($G700="","",IFERROR(VLOOKUP($G700,物料档案!$A$4:$P$1203,3,0),"※编码不在物料档案里"))</f>
        <v/>
      </c>
      <c r="I700" s="24">
        <f>IF($G700="","",IFERROR(VLOOKUP($G700,物料档案!$A$4:$P$1203,4,0),"※编码不在物料档案里"))</f>
        <v/>
      </c>
      <c r="J700" s="24">
        <f>IF($G700="","",IFERROR(VLOOKUP($G700,物料档案!$A$4:$P$1203,5,0),"※编码不在物料档案里"))</f>
        <v/>
      </c>
      <c r="K700" s="23" t="n">
        <v>1</v>
      </c>
      <c r="L700" s="31" t="n"/>
      <c r="M700" s="24">
        <f>IF($G700="","",IF($D700="A国内","CNY","TZS"))</f>
        <v/>
      </c>
      <c r="N700" s="28">
        <f>IF($G700="","",IF($D700="A国内",汇率,1))</f>
        <v/>
      </c>
      <c r="O700" s="25">
        <f>IF($G700="","",ROUND(N($K700)*N($L700),2))</f>
        <v/>
      </c>
      <c r="P700" s="26">
        <f>IF($G700="","",ROUND($O700*$N700,0))</f>
        <v/>
      </c>
      <c r="Q700" s="26">
        <f>IF($G700="","",SUMIFS($P$4:$P$2503,$E$4:$E$2503,$E700,$Z$4:$Z$2503,"正常"))</f>
        <v/>
      </c>
      <c r="R700" s="26">
        <f>IF($G700="","",SUMIFS(费用台账!$I$4:$I$503,费用台账!$C$4:$C$503,$E700,费用台账!$J$4:$J$503,"是",费用台账!$K$4:$K$503,"正常"))</f>
        <v/>
      </c>
      <c r="S700" s="28">
        <f>IF($G700="","",COUNTIFS($E$4:$E$2503,$E700,$Z$4:$Z$2503,"正常",$Y$4:$Y$2503,"待补价"))</f>
        <v/>
      </c>
      <c r="T700" s="26">
        <f>IF($G700="","",SUMIFS($P$4:$P$2503,$E$4:$E$2503,$E700,$Z$4:$Z$2503,"正常",$A$4:$A$2503,"&lt;="&amp;$A700))</f>
        <v/>
      </c>
      <c r="U700" s="26">
        <f>IF($G700="","",IF(OR($S700&gt;0,$Q700=0,$R700=0,$Z700&lt;&gt;"正常"),0,ROUND($T700/$Q700*$R700,0)-ROUND(($T700-$P700)/$Q700*$R700,0)))</f>
        <v/>
      </c>
      <c r="V700" s="26">
        <f>IF($G700="","",ROUND($P700+$U700,0))</f>
        <v/>
      </c>
      <c r="W700" s="26">
        <f>IF($G700="","",IF(N($K700)=0,0,ROUND($V700/$K700,2)))</f>
        <v/>
      </c>
      <c r="X700" s="17" t="inlineStr">
        <is>
          <t>采购入库</t>
        </is>
      </c>
      <c r="Y700" s="17" t="inlineStr">
        <is>
          <t>待补价</t>
        </is>
      </c>
      <c r="Z700" s="17" t="inlineStr">
        <is>
          <t>正常</t>
        </is>
      </c>
      <c r="AA700" s="17" t="n"/>
      <c r="AB700" s="17" t="inlineStr">
        <is>
          <t>原表第 706 行</t>
        </is>
      </c>
      <c r="AC700" s="24">
        <f>IF($G700="","",IF($H700="※编码不在物料档案里","※物料编码不在档案里",IF(N($K700)&lt;=0,"※入库数量要大于 0",IF(AND($C700&lt;&gt;"",$C700&lt;=结账锁),"※日期早于已结账截止日，不能再录",IF(AND($L700=0,$X700="正常"),"※没填单价，价格状态请选「待补价」",IF(AND($S700&gt;0,$R700&gt;0),"△本批有 "&amp;$S700&amp;" 行没单价，整批运费先挂账没摊",IF(AND($B700&lt;&gt;"",COUNTIF($B$4:$B$2503,$B700)&gt;1),"※入库单号重复","")))))))</f>
        <v/>
      </c>
    </row>
    <row r="701">
      <c r="A701" s="24">
        <f>IF($G701="","",COUNTA($G$4:$G701))</f>
        <v/>
      </c>
      <c r="B701" s="17" t="n"/>
      <c r="C701" s="30" t="n">
        <v>46109</v>
      </c>
      <c r="D701" s="17" t="inlineStr">
        <is>
          <t>A国内</t>
        </is>
      </c>
      <c r="E701" s="17" t="inlineStr">
        <is>
          <t>FCIU8630602-202603</t>
        </is>
      </c>
      <c r="F701" s="17" t="inlineStr">
        <is>
          <t>烟台市金豪矿山机械有限公司</t>
        </is>
      </c>
      <c r="G701" s="17" t="inlineStr">
        <is>
          <t>JH0632</t>
        </is>
      </c>
      <c r="H701" s="24">
        <f>IF($G701="","",IFERROR(VLOOKUP($G701,物料档案!$A$4:$P$1203,3,0),"※编码不在物料档案里"))</f>
        <v/>
      </c>
      <c r="I701" s="24">
        <f>IF($G701="","",IFERROR(VLOOKUP($G701,物料档案!$A$4:$P$1203,4,0),"※编码不在物料档案里"))</f>
        <v/>
      </c>
      <c r="J701" s="24">
        <f>IF($G701="","",IFERROR(VLOOKUP($G701,物料档案!$A$4:$P$1203,5,0),"※编码不在物料档案里"))</f>
        <v/>
      </c>
      <c r="K701" s="23" t="n">
        <v>1</v>
      </c>
      <c r="L701" s="31" t="n"/>
      <c r="M701" s="24">
        <f>IF($G701="","",IF($D701="A国内","CNY","TZS"))</f>
        <v/>
      </c>
      <c r="N701" s="28">
        <f>IF($G701="","",IF($D701="A国内",汇率,1))</f>
        <v/>
      </c>
      <c r="O701" s="25">
        <f>IF($G701="","",ROUND(N($K701)*N($L701),2))</f>
        <v/>
      </c>
      <c r="P701" s="26">
        <f>IF($G701="","",ROUND($O701*$N701,0))</f>
        <v/>
      </c>
      <c r="Q701" s="26">
        <f>IF($G701="","",SUMIFS($P$4:$P$2503,$E$4:$E$2503,$E701,$Z$4:$Z$2503,"正常"))</f>
        <v/>
      </c>
      <c r="R701" s="26">
        <f>IF($G701="","",SUMIFS(费用台账!$I$4:$I$503,费用台账!$C$4:$C$503,$E701,费用台账!$J$4:$J$503,"是",费用台账!$K$4:$K$503,"正常"))</f>
        <v/>
      </c>
      <c r="S701" s="28">
        <f>IF($G701="","",COUNTIFS($E$4:$E$2503,$E701,$Z$4:$Z$2503,"正常",$Y$4:$Y$2503,"待补价"))</f>
        <v/>
      </c>
      <c r="T701" s="26">
        <f>IF($G701="","",SUMIFS($P$4:$P$2503,$E$4:$E$2503,$E701,$Z$4:$Z$2503,"正常",$A$4:$A$2503,"&lt;="&amp;$A701))</f>
        <v/>
      </c>
      <c r="U701" s="26">
        <f>IF($G701="","",IF(OR($S701&gt;0,$Q701=0,$R701=0,$Z701&lt;&gt;"正常"),0,ROUND($T701/$Q701*$R701,0)-ROUND(($T701-$P701)/$Q701*$R701,0)))</f>
        <v/>
      </c>
      <c r="V701" s="26">
        <f>IF($G701="","",ROUND($P701+$U701,0))</f>
        <v/>
      </c>
      <c r="W701" s="26">
        <f>IF($G701="","",IF(N($K701)=0,0,ROUND($V701/$K701,2)))</f>
        <v/>
      </c>
      <c r="X701" s="17" t="inlineStr">
        <is>
          <t>采购入库</t>
        </is>
      </c>
      <c r="Y701" s="17" t="inlineStr">
        <is>
          <t>待补价</t>
        </is>
      </c>
      <c r="Z701" s="17" t="inlineStr">
        <is>
          <t>正常</t>
        </is>
      </c>
      <c r="AA701" s="17" t="n"/>
      <c r="AB701" s="17" t="inlineStr">
        <is>
          <t>原表第 707 行</t>
        </is>
      </c>
      <c r="AC701" s="24">
        <f>IF($G701="","",IF($H701="※编码不在物料档案里","※物料编码不在档案里",IF(N($K701)&lt;=0,"※入库数量要大于 0",IF(AND($C701&lt;&gt;"",$C701&lt;=结账锁),"※日期早于已结账截止日，不能再录",IF(AND($L701=0,$X701="正常"),"※没填单价，价格状态请选「待补价」",IF(AND($S701&gt;0,$R701&gt;0),"△本批有 "&amp;$S701&amp;" 行没单价，整批运费先挂账没摊",IF(AND($B701&lt;&gt;"",COUNTIF($B$4:$B$2503,$B701)&gt;1),"※入库单号重复","")))))))</f>
        <v/>
      </c>
    </row>
    <row r="702">
      <c r="A702" s="24">
        <f>IF($G702="","",COUNTA($G$4:$G702))</f>
        <v/>
      </c>
      <c r="B702" s="17" t="n"/>
      <c r="C702" s="30" t="n">
        <v>46109</v>
      </c>
      <c r="D702" s="17" t="inlineStr">
        <is>
          <t>A国内</t>
        </is>
      </c>
      <c r="E702" s="17" t="inlineStr">
        <is>
          <t>FCIU8630602-202603</t>
        </is>
      </c>
      <c r="F702" s="17" t="inlineStr">
        <is>
          <t>烟台市金豪矿山机械有限公司</t>
        </is>
      </c>
      <c r="G702" s="17" t="inlineStr">
        <is>
          <t>JH0633</t>
        </is>
      </c>
      <c r="H702" s="24">
        <f>IF($G702="","",IFERROR(VLOOKUP($G702,物料档案!$A$4:$P$1203,3,0),"※编码不在物料档案里"))</f>
        <v/>
      </c>
      <c r="I702" s="24">
        <f>IF($G702="","",IFERROR(VLOOKUP($G702,物料档案!$A$4:$P$1203,4,0),"※编码不在物料档案里"))</f>
        <v/>
      </c>
      <c r="J702" s="24">
        <f>IF($G702="","",IFERROR(VLOOKUP($G702,物料档案!$A$4:$P$1203,5,0),"※编码不在物料档案里"))</f>
        <v/>
      </c>
      <c r="K702" s="23" t="n">
        <v>100</v>
      </c>
      <c r="L702" s="31" t="n"/>
      <c r="M702" s="24">
        <f>IF($G702="","",IF($D702="A国内","CNY","TZS"))</f>
        <v/>
      </c>
      <c r="N702" s="28">
        <f>IF($G702="","",IF($D702="A国内",汇率,1))</f>
        <v/>
      </c>
      <c r="O702" s="25">
        <f>IF($G702="","",ROUND(N($K702)*N($L702),2))</f>
        <v/>
      </c>
      <c r="P702" s="26">
        <f>IF($G702="","",ROUND($O702*$N702,0))</f>
        <v/>
      </c>
      <c r="Q702" s="26">
        <f>IF($G702="","",SUMIFS($P$4:$P$2503,$E$4:$E$2503,$E702,$Z$4:$Z$2503,"正常"))</f>
        <v/>
      </c>
      <c r="R702" s="26">
        <f>IF($G702="","",SUMIFS(费用台账!$I$4:$I$503,费用台账!$C$4:$C$503,$E702,费用台账!$J$4:$J$503,"是",费用台账!$K$4:$K$503,"正常"))</f>
        <v/>
      </c>
      <c r="S702" s="28">
        <f>IF($G702="","",COUNTIFS($E$4:$E$2503,$E702,$Z$4:$Z$2503,"正常",$Y$4:$Y$2503,"待补价"))</f>
        <v/>
      </c>
      <c r="T702" s="26">
        <f>IF($G702="","",SUMIFS($P$4:$P$2503,$E$4:$E$2503,$E702,$Z$4:$Z$2503,"正常",$A$4:$A$2503,"&lt;="&amp;$A702))</f>
        <v/>
      </c>
      <c r="U702" s="26">
        <f>IF($G702="","",IF(OR($S702&gt;0,$Q702=0,$R702=0,$Z702&lt;&gt;"正常"),0,ROUND($T702/$Q702*$R702,0)-ROUND(($T702-$P702)/$Q702*$R702,0)))</f>
        <v/>
      </c>
      <c r="V702" s="26">
        <f>IF($G702="","",ROUND($P702+$U702,0))</f>
        <v/>
      </c>
      <c r="W702" s="26">
        <f>IF($G702="","",IF(N($K702)=0,0,ROUND($V702/$K702,2)))</f>
        <v/>
      </c>
      <c r="X702" s="17" t="inlineStr">
        <is>
          <t>采购入库</t>
        </is>
      </c>
      <c r="Y702" s="17" t="inlineStr">
        <is>
          <t>待补价</t>
        </is>
      </c>
      <c r="Z702" s="17" t="inlineStr">
        <is>
          <t>正常</t>
        </is>
      </c>
      <c r="AA702" s="17" t="n"/>
      <c r="AB702" s="17" t="inlineStr">
        <is>
          <t>原表第 708 行</t>
        </is>
      </c>
      <c r="AC702" s="24">
        <f>IF($G702="","",IF($H702="※编码不在物料档案里","※物料编码不在档案里",IF(N($K702)&lt;=0,"※入库数量要大于 0",IF(AND($C702&lt;&gt;"",$C702&lt;=结账锁),"※日期早于已结账截止日，不能再录",IF(AND($L702=0,$X702="正常"),"※没填单价，价格状态请选「待补价」",IF(AND($S702&gt;0,$R702&gt;0),"△本批有 "&amp;$S702&amp;" 行没单价，整批运费先挂账没摊",IF(AND($B702&lt;&gt;"",COUNTIF($B$4:$B$2503,$B702)&gt;1),"※入库单号重复","")))))))</f>
        <v/>
      </c>
    </row>
    <row r="703">
      <c r="A703" s="24">
        <f>IF($G703="","",COUNTA($G$4:$G703))</f>
        <v/>
      </c>
      <c r="B703" s="17" t="n"/>
      <c r="C703" s="30" t="n">
        <v>46109</v>
      </c>
      <c r="D703" s="17" t="inlineStr">
        <is>
          <t>A国内</t>
        </is>
      </c>
      <c r="E703" s="17" t="inlineStr">
        <is>
          <t>FCIU8630602-202603</t>
        </is>
      </c>
      <c r="F703" s="17" t="inlineStr">
        <is>
          <t>烟台市金豪矿山机械有限公司</t>
        </is>
      </c>
      <c r="G703" s="17" t="inlineStr">
        <is>
          <t>JH0634</t>
        </is>
      </c>
      <c r="H703" s="24">
        <f>IF($G703="","",IFERROR(VLOOKUP($G703,物料档案!$A$4:$P$1203,3,0),"※编码不在物料档案里"))</f>
        <v/>
      </c>
      <c r="I703" s="24">
        <f>IF($G703="","",IFERROR(VLOOKUP($G703,物料档案!$A$4:$P$1203,4,0),"※编码不在物料档案里"))</f>
        <v/>
      </c>
      <c r="J703" s="24">
        <f>IF($G703="","",IFERROR(VLOOKUP($G703,物料档案!$A$4:$P$1203,5,0),"※编码不在物料档案里"))</f>
        <v/>
      </c>
      <c r="K703" s="23" t="n">
        <v>1</v>
      </c>
      <c r="L703" s="31" t="n"/>
      <c r="M703" s="24">
        <f>IF($G703="","",IF($D703="A国内","CNY","TZS"))</f>
        <v/>
      </c>
      <c r="N703" s="28">
        <f>IF($G703="","",IF($D703="A国内",汇率,1))</f>
        <v/>
      </c>
      <c r="O703" s="25">
        <f>IF($G703="","",ROUND(N($K703)*N($L703),2))</f>
        <v/>
      </c>
      <c r="P703" s="26">
        <f>IF($G703="","",ROUND($O703*$N703,0))</f>
        <v/>
      </c>
      <c r="Q703" s="26">
        <f>IF($G703="","",SUMIFS($P$4:$P$2503,$E$4:$E$2503,$E703,$Z$4:$Z$2503,"正常"))</f>
        <v/>
      </c>
      <c r="R703" s="26">
        <f>IF($G703="","",SUMIFS(费用台账!$I$4:$I$503,费用台账!$C$4:$C$503,$E703,费用台账!$J$4:$J$503,"是",费用台账!$K$4:$K$503,"正常"))</f>
        <v/>
      </c>
      <c r="S703" s="28">
        <f>IF($G703="","",COUNTIFS($E$4:$E$2503,$E703,$Z$4:$Z$2503,"正常",$Y$4:$Y$2503,"待补价"))</f>
        <v/>
      </c>
      <c r="T703" s="26">
        <f>IF($G703="","",SUMIFS($P$4:$P$2503,$E$4:$E$2503,$E703,$Z$4:$Z$2503,"正常",$A$4:$A$2503,"&lt;="&amp;$A703))</f>
        <v/>
      </c>
      <c r="U703" s="26">
        <f>IF($G703="","",IF(OR($S703&gt;0,$Q703=0,$R703=0,$Z703&lt;&gt;"正常"),0,ROUND($T703/$Q703*$R703,0)-ROUND(($T703-$P703)/$Q703*$R703,0)))</f>
        <v/>
      </c>
      <c r="V703" s="26">
        <f>IF($G703="","",ROUND($P703+$U703,0))</f>
        <v/>
      </c>
      <c r="W703" s="26">
        <f>IF($G703="","",IF(N($K703)=0,0,ROUND($V703/$K703,2)))</f>
        <v/>
      </c>
      <c r="X703" s="17" t="inlineStr">
        <is>
          <t>采购入库</t>
        </is>
      </c>
      <c r="Y703" s="17" t="inlineStr">
        <is>
          <t>待补价</t>
        </is>
      </c>
      <c r="Z703" s="17" t="inlineStr">
        <is>
          <t>正常</t>
        </is>
      </c>
      <c r="AA703" s="17" t="n"/>
      <c r="AB703" s="17" t="inlineStr">
        <is>
          <t>原表第 709 行</t>
        </is>
      </c>
      <c r="AC703" s="24">
        <f>IF($G703="","",IF($H703="※编码不在物料档案里","※物料编码不在档案里",IF(N($K703)&lt;=0,"※入库数量要大于 0",IF(AND($C703&lt;&gt;"",$C703&lt;=结账锁),"※日期早于已结账截止日，不能再录",IF(AND($L703=0,$X703="正常"),"※没填单价，价格状态请选「待补价」",IF(AND($S703&gt;0,$R703&gt;0),"△本批有 "&amp;$S703&amp;" 行没单价，整批运费先挂账没摊",IF(AND($B703&lt;&gt;"",COUNTIF($B$4:$B$2503,$B703)&gt;1),"※入库单号重复","")))))))</f>
        <v/>
      </c>
    </row>
    <row r="704">
      <c r="A704" s="24">
        <f>IF($G704="","",COUNTA($G$4:$G704))</f>
        <v/>
      </c>
      <c r="B704" s="17" t="n"/>
      <c r="C704" s="30" t="n">
        <v>46119</v>
      </c>
      <c r="D704" s="17" t="inlineStr">
        <is>
          <t>A国内</t>
        </is>
      </c>
      <c r="E704" s="17" t="inlineStr">
        <is>
          <t>BEAU645628045G1-202604</t>
        </is>
      </c>
      <c r="F704" s="17" t="inlineStr">
        <is>
          <t>福建马扎罗贸易有限公司</t>
        </is>
      </c>
      <c r="G704" s="17" t="inlineStr">
        <is>
          <t>JH0635</t>
        </is>
      </c>
      <c r="H704" s="24">
        <f>IF($G704="","",IFERROR(VLOOKUP($G704,物料档案!$A$4:$P$1203,3,0),"※编码不在物料档案里"))</f>
        <v/>
      </c>
      <c r="I704" s="24">
        <f>IF($G704="","",IFERROR(VLOOKUP($G704,物料档案!$A$4:$P$1203,4,0),"※编码不在物料档案里"))</f>
        <v/>
      </c>
      <c r="J704" s="24">
        <f>IF($G704="","",IFERROR(VLOOKUP($G704,物料档案!$A$4:$P$1203,5,0),"※编码不在物料档案里"))</f>
        <v/>
      </c>
      <c r="K704" s="23" t="n">
        <v>3000</v>
      </c>
      <c r="L704" s="31" t="n">
        <v>42.8442216896517</v>
      </c>
      <c r="M704" s="24">
        <f>IF($G704="","",IF($D704="A国内","CNY","TZS"))</f>
        <v/>
      </c>
      <c r="N704" s="28">
        <f>IF($G704="","",IF($D704="A国内",汇率,1))</f>
        <v/>
      </c>
      <c r="O704" s="25">
        <f>IF($G704="","",ROUND(N($K704)*N($L704),2))</f>
        <v/>
      </c>
      <c r="P704" s="26">
        <f>IF($G704="","",ROUND($O704*$N704,0))</f>
        <v/>
      </c>
      <c r="Q704" s="26">
        <f>IF($G704="","",SUMIFS($P$4:$P$2503,$E$4:$E$2503,$E704,$Z$4:$Z$2503,"正常"))</f>
        <v/>
      </c>
      <c r="R704" s="26">
        <f>IF($G704="","",SUMIFS(费用台账!$I$4:$I$503,费用台账!$C$4:$C$503,$E704,费用台账!$J$4:$J$503,"是",费用台账!$K$4:$K$503,"正常"))</f>
        <v/>
      </c>
      <c r="S704" s="28">
        <f>IF($G704="","",COUNTIFS($E$4:$E$2503,$E704,$Z$4:$Z$2503,"正常",$Y$4:$Y$2503,"待补价"))</f>
        <v/>
      </c>
      <c r="T704" s="26">
        <f>IF($G704="","",SUMIFS($P$4:$P$2503,$E$4:$E$2503,$E704,$Z$4:$Z$2503,"正常",$A$4:$A$2503,"&lt;="&amp;$A704))</f>
        <v/>
      </c>
      <c r="U704" s="26">
        <f>IF($G704="","",IF(OR($S704&gt;0,$Q704=0,$R704=0,$Z704&lt;&gt;"正常"),0,ROUND($T704/$Q704*$R704,0)-ROUND(($T704-$P704)/$Q704*$R704,0)))</f>
        <v/>
      </c>
      <c r="V704" s="26">
        <f>IF($G704="","",ROUND($P704+$U704,0))</f>
        <v/>
      </c>
      <c r="W704" s="26">
        <f>IF($G704="","",IF(N($K704)=0,0,ROUND($V704/$K704,2)))</f>
        <v/>
      </c>
      <c r="X704" s="17" t="inlineStr">
        <is>
          <t>采购入库</t>
        </is>
      </c>
      <c r="Y704" s="17" t="inlineStr">
        <is>
          <t>正常</t>
        </is>
      </c>
      <c r="Z704" s="17" t="inlineStr">
        <is>
          <t>正常</t>
        </is>
      </c>
      <c r="AA704" s="17" t="n"/>
      <c r="AB704" s="17" t="inlineStr">
        <is>
          <t>原表第 710 行</t>
        </is>
      </c>
      <c r="AC704" s="24">
        <f>IF($G704="","",IF($H704="※编码不在物料档案里","※物料编码不在档案里",IF(N($K704)&lt;=0,"※入库数量要大于 0",IF(AND($C704&lt;&gt;"",$C704&lt;=结账锁),"※日期早于已结账截止日，不能再录",IF(AND($L704=0,$X704="正常"),"※没填单价，价格状态请选「待补价」",IF(AND($S704&gt;0,$R704&gt;0),"△本批有 "&amp;$S704&amp;" 行没单价，整批运费先挂账没摊",IF(AND($B704&lt;&gt;"",COUNTIF($B$4:$B$2503,$B704)&gt;1),"※入库单号重复","")))))))</f>
        <v/>
      </c>
    </row>
    <row r="705">
      <c r="A705" s="24">
        <f>IF($G705="","",COUNTA($G$4:$G705))</f>
        <v/>
      </c>
      <c r="B705" s="17" t="n"/>
      <c r="C705" s="30" t="n">
        <v>46119</v>
      </c>
      <c r="D705" s="17" t="inlineStr">
        <is>
          <t>A国内</t>
        </is>
      </c>
      <c r="E705" s="17" t="inlineStr">
        <is>
          <t>BEAU645628045G1-202604</t>
        </is>
      </c>
      <c r="F705" s="17" t="inlineStr">
        <is>
          <t>福建马扎罗贸易有限公司</t>
        </is>
      </c>
      <c r="G705" s="17" t="inlineStr">
        <is>
          <t>JH0636</t>
        </is>
      </c>
      <c r="H705" s="24">
        <f>IF($G705="","",IFERROR(VLOOKUP($G705,物料档案!$A$4:$P$1203,3,0),"※编码不在物料档案里"))</f>
        <v/>
      </c>
      <c r="I705" s="24">
        <f>IF($G705="","",IFERROR(VLOOKUP($G705,物料档案!$A$4:$P$1203,4,0),"※编码不在物料档案里"))</f>
        <v/>
      </c>
      <c r="J705" s="24">
        <f>IF($G705="","",IFERROR(VLOOKUP($G705,物料档案!$A$4:$P$1203,5,0),"※编码不在物料档案里"))</f>
        <v/>
      </c>
      <c r="K705" s="23" t="n">
        <v>4000</v>
      </c>
      <c r="L705" s="31" t="n">
        <v>43.9959480791585</v>
      </c>
      <c r="M705" s="24">
        <f>IF($G705="","",IF($D705="A国内","CNY","TZS"))</f>
        <v/>
      </c>
      <c r="N705" s="28">
        <f>IF($G705="","",IF($D705="A国内",汇率,1))</f>
        <v/>
      </c>
      <c r="O705" s="25">
        <f>IF($G705="","",ROUND(N($K705)*N($L705),2))</f>
        <v/>
      </c>
      <c r="P705" s="26">
        <f>IF($G705="","",ROUND($O705*$N705,0))</f>
        <v/>
      </c>
      <c r="Q705" s="26">
        <f>IF($G705="","",SUMIFS($P$4:$P$2503,$E$4:$E$2503,$E705,$Z$4:$Z$2503,"正常"))</f>
        <v/>
      </c>
      <c r="R705" s="26">
        <f>IF($G705="","",SUMIFS(费用台账!$I$4:$I$503,费用台账!$C$4:$C$503,$E705,费用台账!$J$4:$J$503,"是",费用台账!$K$4:$K$503,"正常"))</f>
        <v/>
      </c>
      <c r="S705" s="28">
        <f>IF($G705="","",COUNTIFS($E$4:$E$2503,$E705,$Z$4:$Z$2503,"正常",$Y$4:$Y$2503,"待补价"))</f>
        <v/>
      </c>
      <c r="T705" s="26">
        <f>IF($G705="","",SUMIFS($P$4:$P$2503,$E$4:$E$2503,$E705,$Z$4:$Z$2503,"正常",$A$4:$A$2503,"&lt;="&amp;$A705))</f>
        <v/>
      </c>
      <c r="U705" s="26">
        <f>IF($G705="","",IF(OR($S705&gt;0,$Q705=0,$R705=0,$Z705&lt;&gt;"正常"),0,ROUND($T705/$Q705*$R705,0)-ROUND(($T705-$P705)/$Q705*$R705,0)))</f>
        <v/>
      </c>
      <c r="V705" s="26">
        <f>IF($G705="","",ROUND($P705+$U705,0))</f>
        <v/>
      </c>
      <c r="W705" s="26">
        <f>IF($G705="","",IF(N($K705)=0,0,ROUND($V705/$K705,2)))</f>
        <v/>
      </c>
      <c r="X705" s="17" t="inlineStr">
        <is>
          <t>采购入库</t>
        </is>
      </c>
      <c r="Y705" s="17" t="inlineStr">
        <is>
          <t>正常</t>
        </is>
      </c>
      <c r="Z705" s="17" t="inlineStr">
        <is>
          <t>正常</t>
        </is>
      </c>
      <c r="AA705" s="17" t="n"/>
      <c r="AB705" s="17" t="inlineStr">
        <is>
          <t>原表第 711 行</t>
        </is>
      </c>
      <c r="AC705" s="24">
        <f>IF($G705="","",IF($H705="※编码不在物料档案里","※物料编码不在档案里",IF(N($K705)&lt;=0,"※入库数量要大于 0",IF(AND($C705&lt;&gt;"",$C705&lt;=结账锁),"※日期早于已结账截止日，不能再录",IF(AND($L705=0,$X705="正常"),"※没填单价，价格状态请选「待补价」",IF(AND($S705&gt;0,$R705&gt;0),"△本批有 "&amp;$S705&amp;" 行没单价，整批运费先挂账没摊",IF(AND($B705&lt;&gt;"",COUNTIF($B$4:$B$2503,$B705)&gt;1),"※入库单号重复","")))))))</f>
        <v/>
      </c>
    </row>
    <row r="706">
      <c r="A706" s="24">
        <f>IF($G706="","",COUNTA($G$4:$G706))</f>
        <v/>
      </c>
      <c r="B706" s="17" t="n"/>
      <c r="C706" s="30" t="n">
        <v>46119</v>
      </c>
      <c r="D706" s="17" t="inlineStr">
        <is>
          <t>A国内</t>
        </is>
      </c>
      <c r="E706" s="17" t="inlineStr">
        <is>
          <t>BEAU645628045G1-202604</t>
        </is>
      </c>
      <c r="F706" s="17" t="inlineStr">
        <is>
          <t>福建马扎罗贸易有限公司</t>
        </is>
      </c>
      <c r="G706" s="17" t="inlineStr">
        <is>
          <t>JH0637</t>
        </is>
      </c>
      <c r="H706" s="24">
        <f>IF($G706="","",IFERROR(VLOOKUP($G706,物料档案!$A$4:$P$1203,3,0),"※编码不在物料档案里"))</f>
        <v/>
      </c>
      <c r="I706" s="24">
        <f>IF($G706="","",IFERROR(VLOOKUP($G706,物料档案!$A$4:$P$1203,4,0),"※编码不在物料档案里"))</f>
        <v/>
      </c>
      <c r="J706" s="24">
        <f>IF($G706="","",IFERROR(VLOOKUP($G706,物料档案!$A$4:$P$1203,5,0),"※编码不在物料档案里"))</f>
        <v/>
      </c>
      <c r="K706" s="23" t="n">
        <v>24</v>
      </c>
      <c r="L706" s="31" t="n">
        <v>114.02091256117</v>
      </c>
      <c r="M706" s="24">
        <f>IF($G706="","",IF($D706="A国内","CNY","TZS"))</f>
        <v/>
      </c>
      <c r="N706" s="28">
        <f>IF($G706="","",IF($D706="A国内",汇率,1))</f>
        <v/>
      </c>
      <c r="O706" s="25">
        <f>IF($G706="","",ROUND(N($K706)*N($L706),2))</f>
        <v/>
      </c>
      <c r="P706" s="26">
        <f>IF($G706="","",ROUND($O706*$N706,0))</f>
        <v/>
      </c>
      <c r="Q706" s="26">
        <f>IF($G706="","",SUMIFS($P$4:$P$2503,$E$4:$E$2503,$E706,$Z$4:$Z$2503,"正常"))</f>
        <v/>
      </c>
      <c r="R706" s="26">
        <f>IF($G706="","",SUMIFS(费用台账!$I$4:$I$503,费用台账!$C$4:$C$503,$E706,费用台账!$J$4:$J$503,"是",费用台账!$K$4:$K$503,"正常"))</f>
        <v/>
      </c>
      <c r="S706" s="28">
        <f>IF($G706="","",COUNTIFS($E$4:$E$2503,$E706,$Z$4:$Z$2503,"正常",$Y$4:$Y$2503,"待补价"))</f>
        <v/>
      </c>
      <c r="T706" s="26">
        <f>IF($G706="","",SUMIFS($P$4:$P$2503,$E$4:$E$2503,$E706,$Z$4:$Z$2503,"正常",$A$4:$A$2503,"&lt;="&amp;$A706))</f>
        <v/>
      </c>
      <c r="U706" s="26">
        <f>IF($G706="","",IF(OR($S706&gt;0,$Q706=0,$R706=0,$Z706&lt;&gt;"正常"),0,ROUND($T706/$Q706*$R706,0)-ROUND(($T706-$P706)/$Q706*$R706,0)))</f>
        <v/>
      </c>
      <c r="V706" s="26">
        <f>IF($G706="","",ROUND($P706+$U706,0))</f>
        <v/>
      </c>
      <c r="W706" s="26">
        <f>IF($G706="","",IF(N($K706)=0,0,ROUND($V706/$K706,2)))</f>
        <v/>
      </c>
      <c r="X706" s="17" t="inlineStr">
        <is>
          <t>采购入库</t>
        </is>
      </c>
      <c r="Y706" s="17" t="inlineStr">
        <is>
          <t>正常</t>
        </is>
      </c>
      <c r="Z706" s="17" t="inlineStr">
        <is>
          <t>正常</t>
        </is>
      </c>
      <c r="AA706" s="17" t="n"/>
      <c r="AB706" s="17" t="inlineStr">
        <is>
          <t>原表第 712 行</t>
        </is>
      </c>
      <c r="AC706" s="24">
        <f>IF($G706="","",IF($H706="※编码不在物料档案里","※物料编码不在档案里",IF(N($K706)&lt;=0,"※入库数量要大于 0",IF(AND($C706&lt;&gt;"",$C706&lt;=结账锁),"※日期早于已结账截止日，不能再录",IF(AND($L706=0,$X706="正常"),"※没填单价，价格状态请选「待补价」",IF(AND($S706&gt;0,$R706&gt;0),"△本批有 "&amp;$S706&amp;" 行没单价，整批运费先挂账没摊",IF(AND($B706&lt;&gt;"",COUNTIF($B$4:$B$2503,$B706)&gt;1),"※入库单号重复","")))))))</f>
        <v/>
      </c>
    </row>
    <row r="707">
      <c r="A707" s="24">
        <f>IF($G707="","",COUNTA($G$4:$G707))</f>
        <v/>
      </c>
      <c r="B707" s="17" t="n"/>
      <c r="C707" s="30" t="n">
        <v>46119</v>
      </c>
      <c r="D707" s="17" t="inlineStr">
        <is>
          <t>A国内</t>
        </is>
      </c>
      <c r="E707" s="17" t="inlineStr">
        <is>
          <t>BEAU645628045G1-202604</t>
        </is>
      </c>
      <c r="F707" s="17" t="inlineStr">
        <is>
          <t>福建马扎罗贸易有限公司</t>
        </is>
      </c>
      <c r="G707" s="17" t="inlineStr">
        <is>
          <t>JH0638</t>
        </is>
      </c>
      <c r="H707" s="24">
        <f>IF($G707="","",IFERROR(VLOOKUP($G707,物料档案!$A$4:$P$1203,3,0),"※编码不在物料档案里"))</f>
        <v/>
      </c>
      <c r="I707" s="24">
        <f>IF($G707="","",IFERROR(VLOOKUP($G707,物料档案!$A$4:$P$1203,4,0),"※编码不在物料档案里"))</f>
        <v/>
      </c>
      <c r="J707" s="24">
        <f>IF($G707="","",IFERROR(VLOOKUP($G707,物料档案!$A$4:$P$1203,5,0),"※编码不在物料档案里"))</f>
        <v/>
      </c>
      <c r="K707" s="23" t="n">
        <v>74</v>
      </c>
      <c r="L707" s="31" t="n">
        <v>105.958827834623</v>
      </c>
      <c r="M707" s="24">
        <f>IF($G707="","",IF($D707="A国内","CNY","TZS"))</f>
        <v/>
      </c>
      <c r="N707" s="28">
        <f>IF($G707="","",IF($D707="A国内",汇率,1))</f>
        <v/>
      </c>
      <c r="O707" s="25">
        <f>IF($G707="","",ROUND(N($K707)*N($L707),2))</f>
        <v/>
      </c>
      <c r="P707" s="26">
        <f>IF($G707="","",ROUND($O707*$N707,0))</f>
        <v/>
      </c>
      <c r="Q707" s="26">
        <f>IF($G707="","",SUMIFS($P$4:$P$2503,$E$4:$E$2503,$E707,$Z$4:$Z$2503,"正常"))</f>
        <v/>
      </c>
      <c r="R707" s="26">
        <f>IF($G707="","",SUMIFS(费用台账!$I$4:$I$503,费用台账!$C$4:$C$503,$E707,费用台账!$J$4:$J$503,"是",费用台账!$K$4:$K$503,"正常"))</f>
        <v/>
      </c>
      <c r="S707" s="28">
        <f>IF($G707="","",COUNTIFS($E$4:$E$2503,$E707,$Z$4:$Z$2503,"正常",$Y$4:$Y$2503,"待补价"))</f>
        <v/>
      </c>
      <c r="T707" s="26">
        <f>IF($G707="","",SUMIFS($P$4:$P$2503,$E$4:$E$2503,$E707,$Z$4:$Z$2503,"正常",$A$4:$A$2503,"&lt;="&amp;$A707))</f>
        <v/>
      </c>
      <c r="U707" s="26">
        <f>IF($G707="","",IF(OR($S707&gt;0,$Q707=0,$R707=0,$Z707&lt;&gt;"正常"),0,ROUND($T707/$Q707*$R707,0)-ROUND(($T707-$P707)/$Q707*$R707,0)))</f>
        <v/>
      </c>
      <c r="V707" s="26">
        <f>IF($G707="","",ROUND($P707+$U707,0))</f>
        <v/>
      </c>
      <c r="W707" s="26">
        <f>IF($G707="","",IF(N($K707)=0,0,ROUND($V707/$K707,2)))</f>
        <v/>
      </c>
      <c r="X707" s="17" t="inlineStr">
        <is>
          <t>采购入库</t>
        </is>
      </c>
      <c r="Y707" s="17" t="inlineStr">
        <is>
          <t>正常</t>
        </is>
      </c>
      <c r="Z707" s="17" t="inlineStr">
        <is>
          <t>正常</t>
        </is>
      </c>
      <c r="AA707" s="17" t="n"/>
      <c r="AB707" s="17" t="inlineStr">
        <is>
          <t>原表第 713 行</t>
        </is>
      </c>
      <c r="AC707" s="24">
        <f>IF($G707="","",IF($H707="※编码不在物料档案里","※物料编码不在档案里",IF(N($K707)&lt;=0,"※入库数量要大于 0",IF(AND($C707&lt;&gt;"",$C707&lt;=结账锁),"※日期早于已结账截止日，不能再录",IF(AND($L707=0,$X707="正常"),"※没填单价，价格状态请选「待补价」",IF(AND($S707&gt;0,$R707&gt;0),"△本批有 "&amp;$S707&amp;" 行没单价，整批运费先挂账没摊",IF(AND($B707&lt;&gt;"",COUNTIF($B$4:$B$2503,$B707)&gt;1),"※入库单号重复","")))))))</f>
        <v/>
      </c>
    </row>
    <row r="708">
      <c r="A708" s="24">
        <f>IF($G708="","",COUNTA($G$4:$G708))</f>
        <v/>
      </c>
      <c r="B708" s="17" t="n"/>
      <c r="C708" s="30" t="n">
        <v>46119</v>
      </c>
      <c r="D708" s="17" t="inlineStr">
        <is>
          <t>A国内</t>
        </is>
      </c>
      <c r="E708" s="17" t="inlineStr">
        <is>
          <t>BEAU645628045G1-202604</t>
        </is>
      </c>
      <c r="F708" s="17" t="inlineStr">
        <is>
          <t>福建马扎罗贸易有限公司</t>
        </is>
      </c>
      <c r="G708" s="17" t="inlineStr">
        <is>
          <t>JH0639</t>
        </is>
      </c>
      <c r="H708" s="24">
        <f>IF($G708="","",IFERROR(VLOOKUP($G708,物料档案!$A$4:$P$1203,3,0),"※编码不在物料档案里"))</f>
        <v/>
      </c>
      <c r="I708" s="24">
        <f>IF($G708="","",IFERROR(VLOOKUP($G708,物料档案!$A$4:$P$1203,4,0),"※编码不在物料档案里"))</f>
        <v/>
      </c>
      <c r="J708" s="24">
        <f>IF($G708="","",IFERROR(VLOOKUP($G708,物料档案!$A$4:$P$1203,5,0),"※编码不在物料档案里"))</f>
        <v/>
      </c>
      <c r="K708" s="23" t="n">
        <v>16</v>
      </c>
      <c r="L708" s="31" t="n">
        <v>148.572704246373</v>
      </c>
      <c r="M708" s="24">
        <f>IF($G708="","",IF($D708="A国内","CNY","TZS"))</f>
        <v/>
      </c>
      <c r="N708" s="28">
        <f>IF($G708="","",IF($D708="A国内",汇率,1))</f>
        <v/>
      </c>
      <c r="O708" s="25">
        <f>IF($G708="","",ROUND(N($K708)*N($L708),2))</f>
        <v/>
      </c>
      <c r="P708" s="26">
        <f>IF($G708="","",ROUND($O708*$N708,0))</f>
        <v/>
      </c>
      <c r="Q708" s="26">
        <f>IF($G708="","",SUMIFS($P$4:$P$2503,$E$4:$E$2503,$E708,$Z$4:$Z$2503,"正常"))</f>
        <v/>
      </c>
      <c r="R708" s="26">
        <f>IF($G708="","",SUMIFS(费用台账!$I$4:$I$503,费用台账!$C$4:$C$503,$E708,费用台账!$J$4:$J$503,"是",费用台账!$K$4:$K$503,"正常"))</f>
        <v/>
      </c>
      <c r="S708" s="28">
        <f>IF($G708="","",COUNTIFS($E$4:$E$2503,$E708,$Z$4:$Z$2503,"正常",$Y$4:$Y$2503,"待补价"))</f>
        <v/>
      </c>
      <c r="T708" s="26">
        <f>IF($G708="","",SUMIFS($P$4:$P$2503,$E$4:$E$2503,$E708,$Z$4:$Z$2503,"正常",$A$4:$A$2503,"&lt;="&amp;$A708))</f>
        <v/>
      </c>
      <c r="U708" s="26">
        <f>IF($G708="","",IF(OR($S708&gt;0,$Q708=0,$R708=0,$Z708&lt;&gt;"正常"),0,ROUND($T708/$Q708*$R708,0)-ROUND(($T708-$P708)/$Q708*$R708,0)))</f>
        <v/>
      </c>
      <c r="V708" s="26">
        <f>IF($G708="","",ROUND($P708+$U708,0))</f>
        <v/>
      </c>
      <c r="W708" s="26">
        <f>IF($G708="","",IF(N($K708)=0,0,ROUND($V708/$K708,2)))</f>
        <v/>
      </c>
      <c r="X708" s="17" t="inlineStr">
        <is>
          <t>采购入库</t>
        </is>
      </c>
      <c r="Y708" s="17" t="inlineStr">
        <is>
          <t>正常</t>
        </is>
      </c>
      <c r="Z708" s="17" t="inlineStr">
        <is>
          <t>正常</t>
        </is>
      </c>
      <c r="AA708" s="17" t="n"/>
      <c r="AB708" s="17" t="inlineStr">
        <is>
          <t>原表第 714 行</t>
        </is>
      </c>
      <c r="AC708" s="24">
        <f>IF($G708="","",IF($H708="※编码不在物料档案里","※物料编码不在档案里",IF(N($K708)&lt;=0,"※入库数量要大于 0",IF(AND($C708&lt;&gt;"",$C708&lt;=结账锁),"※日期早于已结账截止日，不能再录",IF(AND($L708=0,$X708="正常"),"※没填单价，价格状态请选「待补价」",IF(AND($S708&gt;0,$R708&gt;0),"△本批有 "&amp;$S708&amp;" 行没单价，整批运费先挂账没摊",IF(AND($B708&lt;&gt;"",COUNTIF($B$4:$B$2503,$B708)&gt;1),"※入库单号重复","")))))))</f>
        <v/>
      </c>
    </row>
    <row r="709">
      <c r="A709" s="24">
        <f>IF($G709="","",COUNTA($G$4:$G709))</f>
        <v/>
      </c>
      <c r="B709" s="17" t="n"/>
      <c r="C709" s="30" t="n">
        <v>46119</v>
      </c>
      <c r="D709" s="17" t="inlineStr">
        <is>
          <t>A国内</t>
        </is>
      </c>
      <c r="E709" s="17" t="inlineStr">
        <is>
          <t>BEAU645628045G1-202604</t>
        </is>
      </c>
      <c r="F709" s="17" t="inlineStr">
        <is>
          <t>福建马扎罗贸易有限公司</t>
        </is>
      </c>
      <c r="G709" s="17" t="inlineStr">
        <is>
          <t>JH0640</t>
        </is>
      </c>
      <c r="H709" s="24">
        <f>IF($G709="","",IFERROR(VLOOKUP($G709,物料档案!$A$4:$P$1203,3,0),"※编码不在物料档案里"))</f>
        <v/>
      </c>
      <c r="I709" s="24">
        <f>IF($G709="","",IFERROR(VLOOKUP($G709,物料档案!$A$4:$P$1203,4,0),"※编码不在物料档案里"))</f>
        <v/>
      </c>
      <c r="J709" s="24">
        <f>IF($G709="","",IFERROR(VLOOKUP($G709,物料档案!$A$4:$P$1203,5,0),"※编码不在物料档案里"))</f>
        <v/>
      </c>
      <c r="K709" s="23" t="n">
        <v>24</v>
      </c>
      <c r="L709" s="31" t="n">
        <v>31.0966125166827</v>
      </c>
      <c r="M709" s="24">
        <f>IF($G709="","",IF($D709="A国内","CNY","TZS"))</f>
        <v/>
      </c>
      <c r="N709" s="28">
        <f>IF($G709="","",IF($D709="A国内",汇率,1))</f>
        <v/>
      </c>
      <c r="O709" s="25">
        <f>IF($G709="","",ROUND(N($K709)*N($L709),2))</f>
        <v/>
      </c>
      <c r="P709" s="26">
        <f>IF($G709="","",ROUND($O709*$N709,0))</f>
        <v/>
      </c>
      <c r="Q709" s="26">
        <f>IF($G709="","",SUMIFS($P$4:$P$2503,$E$4:$E$2503,$E709,$Z$4:$Z$2503,"正常"))</f>
        <v/>
      </c>
      <c r="R709" s="26">
        <f>IF($G709="","",SUMIFS(费用台账!$I$4:$I$503,费用台账!$C$4:$C$503,$E709,费用台账!$J$4:$J$503,"是",费用台账!$K$4:$K$503,"正常"))</f>
        <v/>
      </c>
      <c r="S709" s="28">
        <f>IF($G709="","",COUNTIFS($E$4:$E$2503,$E709,$Z$4:$Z$2503,"正常",$Y$4:$Y$2503,"待补价"))</f>
        <v/>
      </c>
      <c r="T709" s="26">
        <f>IF($G709="","",SUMIFS($P$4:$P$2503,$E$4:$E$2503,$E709,$Z$4:$Z$2503,"正常",$A$4:$A$2503,"&lt;="&amp;$A709))</f>
        <v/>
      </c>
      <c r="U709" s="26">
        <f>IF($G709="","",IF(OR($S709&gt;0,$Q709=0,$R709=0,$Z709&lt;&gt;"正常"),0,ROUND($T709/$Q709*$R709,0)-ROUND(($T709-$P709)/$Q709*$R709,0)))</f>
        <v/>
      </c>
      <c r="V709" s="26">
        <f>IF($G709="","",ROUND($P709+$U709,0))</f>
        <v/>
      </c>
      <c r="W709" s="26">
        <f>IF($G709="","",IF(N($K709)=0,0,ROUND($V709/$K709,2)))</f>
        <v/>
      </c>
      <c r="X709" s="17" t="inlineStr">
        <is>
          <t>采购入库</t>
        </is>
      </c>
      <c r="Y709" s="17" t="inlineStr">
        <is>
          <t>正常</t>
        </is>
      </c>
      <c r="Z709" s="17" t="inlineStr">
        <is>
          <t>正常</t>
        </is>
      </c>
      <c r="AA709" s="17" t="n"/>
      <c r="AB709" s="17" t="inlineStr">
        <is>
          <t>原表第 715 行</t>
        </is>
      </c>
      <c r="AC709" s="24">
        <f>IF($G709="","",IF($H709="※编码不在物料档案里","※物料编码不在档案里",IF(N($K709)&lt;=0,"※入库数量要大于 0",IF(AND($C709&lt;&gt;"",$C709&lt;=结账锁),"※日期早于已结账截止日，不能再录",IF(AND($L709=0,$X709="正常"),"※没填单价，价格状态请选「待补价」",IF(AND($S709&gt;0,$R709&gt;0),"△本批有 "&amp;$S709&amp;" 行没单价，整批运费先挂账没摊",IF(AND($B709&lt;&gt;"",COUNTIF($B$4:$B$2503,$B709)&gt;1),"※入库单号重复","")))))))</f>
        <v/>
      </c>
    </row>
    <row r="710">
      <c r="A710" s="24">
        <f>IF($G710="","",COUNTA($G$4:$G710))</f>
        <v/>
      </c>
      <c r="B710" s="17" t="n"/>
      <c r="C710" s="30" t="n">
        <v>46119</v>
      </c>
      <c r="D710" s="17" t="inlineStr">
        <is>
          <t>A国内</t>
        </is>
      </c>
      <c r="E710" s="17" t="inlineStr">
        <is>
          <t>BEAU645628045G1-202604</t>
        </is>
      </c>
      <c r="F710" s="17" t="inlineStr">
        <is>
          <t>福建马扎罗贸易有限公司</t>
        </is>
      </c>
      <c r="G710" s="17" t="inlineStr">
        <is>
          <t>JH0641</t>
        </is>
      </c>
      <c r="H710" s="24">
        <f>IF($G710="","",IFERROR(VLOOKUP($G710,物料档案!$A$4:$P$1203,3,0),"※编码不在物料档案里"))</f>
        <v/>
      </c>
      <c r="I710" s="24">
        <f>IF($G710="","",IFERROR(VLOOKUP($G710,物料档案!$A$4:$P$1203,4,0),"※编码不在物料档案里"))</f>
        <v/>
      </c>
      <c r="J710" s="24">
        <f>IF($G710="","",IFERROR(VLOOKUP($G710,物料档案!$A$4:$P$1203,5,0),"※编码不在物料档案里"))</f>
        <v/>
      </c>
      <c r="K710" s="23" t="n">
        <v>58</v>
      </c>
      <c r="L710" s="31" t="n">
        <v>48.3725083592842</v>
      </c>
      <c r="M710" s="24">
        <f>IF($G710="","",IF($D710="A国内","CNY","TZS"))</f>
        <v/>
      </c>
      <c r="N710" s="28">
        <f>IF($G710="","",IF($D710="A国内",汇率,1))</f>
        <v/>
      </c>
      <c r="O710" s="25">
        <f>IF($G710="","",ROUND(N($K710)*N($L710),2))</f>
        <v/>
      </c>
      <c r="P710" s="26">
        <f>IF($G710="","",ROUND($O710*$N710,0))</f>
        <v/>
      </c>
      <c r="Q710" s="26">
        <f>IF($G710="","",SUMIFS($P$4:$P$2503,$E$4:$E$2503,$E710,$Z$4:$Z$2503,"正常"))</f>
        <v/>
      </c>
      <c r="R710" s="26">
        <f>IF($G710="","",SUMIFS(费用台账!$I$4:$I$503,费用台账!$C$4:$C$503,$E710,费用台账!$J$4:$J$503,"是",费用台账!$K$4:$K$503,"正常"))</f>
        <v/>
      </c>
      <c r="S710" s="28">
        <f>IF($G710="","",COUNTIFS($E$4:$E$2503,$E710,$Z$4:$Z$2503,"正常",$Y$4:$Y$2503,"待补价"))</f>
        <v/>
      </c>
      <c r="T710" s="26">
        <f>IF($G710="","",SUMIFS($P$4:$P$2503,$E$4:$E$2503,$E710,$Z$4:$Z$2503,"正常",$A$4:$A$2503,"&lt;="&amp;$A710))</f>
        <v/>
      </c>
      <c r="U710" s="26">
        <f>IF($G710="","",IF(OR($S710&gt;0,$Q710=0,$R710=0,$Z710&lt;&gt;"正常"),0,ROUND($T710/$Q710*$R710,0)-ROUND(($T710-$P710)/$Q710*$R710,0)))</f>
        <v/>
      </c>
      <c r="V710" s="26">
        <f>IF($G710="","",ROUND($P710+$U710,0))</f>
        <v/>
      </c>
      <c r="W710" s="26">
        <f>IF($G710="","",IF(N($K710)=0,0,ROUND($V710/$K710,2)))</f>
        <v/>
      </c>
      <c r="X710" s="17" t="inlineStr">
        <is>
          <t>采购入库</t>
        </is>
      </c>
      <c r="Y710" s="17" t="inlineStr">
        <is>
          <t>正常</t>
        </is>
      </c>
      <c r="Z710" s="17" t="inlineStr">
        <is>
          <t>正常</t>
        </is>
      </c>
      <c r="AA710" s="17" t="n"/>
      <c r="AB710" s="17" t="inlineStr">
        <is>
          <t>原表第 716 行</t>
        </is>
      </c>
      <c r="AC710" s="24">
        <f>IF($G710="","",IF($H710="※编码不在物料档案里","※物料编码不在档案里",IF(N($K710)&lt;=0,"※入库数量要大于 0",IF(AND($C710&lt;&gt;"",$C710&lt;=结账锁),"※日期早于已结账截止日，不能再录",IF(AND($L710=0,$X710="正常"),"※没填单价，价格状态请选「待补价」",IF(AND($S710&gt;0,$R710&gt;0),"△本批有 "&amp;$S710&amp;" 行没单价，整批运费先挂账没摊",IF(AND($B710&lt;&gt;"",COUNTIF($B$4:$B$2503,$B710)&gt;1),"※入库单号重复","")))))))</f>
        <v/>
      </c>
    </row>
    <row r="711">
      <c r="A711" s="24">
        <f>IF($G711="","",COUNTA($G$4:$G711))</f>
        <v/>
      </c>
      <c r="B711" s="17" t="n"/>
      <c r="C711" s="30" t="n">
        <v>46132</v>
      </c>
      <c r="D711" s="17" t="inlineStr">
        <is>
          <t>A国内</t>
        </is>
      </c>
      <c r="E711" s="17" t="inlineStr">
        <is>
          <t>EMCU1461128-202604</t>
        </is>
      </c>
      <c r="F711" s="17" t="inlineStr">
        <is>
          <t>烟台亿泰化工有限公司</t>
        </is>
      </c>
      <c r="G711" s="17" t="inlineStr">
        <is>
          <t>JH0166</t>
        </is>
      </c>
      <c r="H711" s="24">
        <f>IF($G711="","",IFERROR(VLOOKUP($G711,物料档案!$A$4:$P$1203,3,0),"※编码不在物料档案里"))</f>
        <v/>
      </c>
      <c r="I711" s="24">
        <f>IF($G711="","",IFERROR(VLOOKUP($G711,物料档案!$A$4:$P$1203,4,0),"※编码不在物料档案里"))</f>
        <v/>
      </c>
      <c r="J711" s="24">
        <f>IF($G711="","",IFERROR(VLOOKUP($G711,物料档案!$A$4:$P$1203,5,0),"※编码不在物料档案里"))</f>
        <v/>
      </c>
      <c r="K711" s="23" t="n">
        <v>1</v>
      </c>
      <c r="L711" s="31" t="n"/>
      <c r="M711" s="24">
        <f>IF($G711="","",IF($D711="A国内","CNY","TZS"))</f>
        <v/>
      </c>
      <c r="N711" s="28">
        <f>IF($G711="","",IF($D711="A国内",汇率,1))</f>
        <v/>
      </c>
      <c r="O711" s="25">
        <f>IF($G711="","",ROUND(N($K711)*N($L711),2))</f>
        <v/>
      </c>
      <c r="P711" s="26">
        <f>IF($G711="","",ROUND($O711*$N711,0))</f>
        <v/>
      </c>
      <c r="Q711" s="26">
        <f>IF($G711="","",SUMIFS($P$4:$P$2503,$E$4:$E$2503,$E711,$Z$4:$Z$2503,"正常"))</f>
        <v/>
      </c>
      <c r="R711" s="26">
        <f>IF($G711="","",SUMIFS(费用台账!$I$4:$I$503,费用台账!$C$4:$C$503,$E711,费用台账!$J$4:$J$503,"是",费用台账!$K$4:$K$503,"正常"))</f>
        <v/>
      </c>
      <c r="S711" s="28">
        <f>IF($G711="","",COUNTIFS($E$4:$E$2503,$E711,$Z$4:$Z$2503,"正常",$Y$4:$Y$2503,"待补价"))</f>
        <v/>
      </c>
      <c r="T711" s="26">
        <f>IF($G711="","",SUMIFS($P$4:$P$2503,$E$4:$E$2503,$E711,$Z$4:$Z$2503,"正常",$A$4:$A$2503,"&lt;="&amp;$A711))</f>
        <v/>
      </c>
      <c r="U711" s="26">
        <f>IF($G711="","",IF(OR($S711&gt;0,$Q711=0,$R711=0,$Z711&lt;&gt;"正常"),0,ROUND($T711/$Q711*$R711,0)-ROUND(($T711-$P711)/$Q711*$R711,0)))</f>
        <v/>
      </c>
      <c r="V711" s="26">
        <f>IF($G711="","",ROUND($P711+$U711,0))</f>
        <v/>
      </c>
      <c r="W711" s="26">
        <f>IF($G711="","",IF(N($K711)=0,0,ROUND($V711/$K711,2)))</f>
        <v/>
      </c>
      <c r="X711" s="17" t="inlineStr">
        <is>
          <t>采购入库</t>
        </is>
      </c>
      <c r="Y711" s="17" t="inlineStr">
        <is>
          <t>待补价</t>
        </is>
      </c>
      <c r="Z711" s="17" t="inlineStr">
        <is>
          <t>正常</t>
        </is>
      </c>
      <c r="AA711" s="17" t="n"/>
      <c r="AB711" s="17" t="inlineStr">
        <is>
          <t>原表第 717 行</t>
        </is>
      </c>
      <c r="AC711" s="24">
        <f>IF($G711="","",IF($H711="※编码不在物料档案里","※物料编码不在档案里",IF(N($K711)&lt;=0,"※入库数量要大于 0",IF(AND($C711&lt;&gt;"",$C711&lt;=结账锁),"※日期早于已结账截止日，不能再录",IF(AND($L711=0,$X711="正常"),"※没填单价，价格状态请选「待补价」",IF(AND($S711&gt;0,$R711&gt;0),"△本批有 "&amp;$S711&amp;" 行没单价，整批运费先挂账没摊",IF(AND($B711&lt;&gt;"",COUNTIF($B$4:$B$2503,$B711)&gt;1),"※入库单号重复","")))))))</f>
        <v/>
      </c>
    </row>
    <row r="712">
      <c r="A712" s="24">
        <f>IF($G712="","",COUNTA($G$4:$G712))</f>
        <v/>
      </c>
      <c r="B712" s="17" t="n"/>
      <c r="C712" s="30" t="n">
        <v>46132</v>
      </c>
      <c r="D712" s="17" t="inlineStr">
        <is>
          <t>A国内</t>
        </is>
      </c>
      <c r="E712" s="17" t="inlineStr">
        <is>
          <t>EMCU1461128-202604</t>
        </is>
      </c>
      <c r="F712" s="17" t="inlineStr">
        <is>
          <t>烟台亿泰化工有限公司</t>
        </is>
      </c>
      <c r="G712" s="17" t="inlineStr">
        <is>
          <t>JH0642</t>
        </is>
      </c>
      <c r="H712" s="24">
        <f>IF($G712="","",IFERROR(VLOOKUP($G712,物料档案!$A$4:$P$1203,3,0),"※编码不在物料档案里"))</f>
        <v/>
      </c>
      <c r="I712" s="24">
        <f>IF($G712="","",IFERROR(VLOOKUP($G712,物料档案!$A$4:$P$1203,4,0),"※编码不在物料档案里"))</f>
        <v/>
      </c>
      <c r="J712" s="24">
        <f>IF($G712="","",IFERROR(VLOOKUP($G712,物料档案!$A$4:$P$1203,5,0),"※编码不在物料档案里"))</f>
        <v/>
      </c>
      <c r="K712" s="23" t="n">
        <v>10</v>
      </c>
      <c r="L712" s="31" t="n"/>
      <c r="M712" s="24">
        <f>IF($G712="","",IF($D712="A国内","CNY","TZS"))</f>
        <v/>
      </c>
      <c r="N712" s="28">
        <f>IF($G712="","",IF($D712="A国内",汇率,1))</f>
        <v/>
      </c>
      <c r="O712" s="25">
        <f>IF($G712="","",ROUND(N($K712)*N($L712),2))</f>
        <v/>
      </c>
      <c r="P712" s="26">
        <f>IF($G712="","",ROUND($O712*$N712,0))</f>
        <v/>
      </c>
      <c r="Q712" s="26">
        <f>IF($G712="","",SUMIFS($P$4:$P$2503,$E$4:$E$2503,$E712,$Z$4:$Z$2503,"正常"))</f>
        <v/>
      </c>
      <c r="R712" s="26">
        <f>IF($G712="","",SUMIFS(费用台账!$I$4:$I$503,费用台账!$C$4:$C$503,$E712,费用台账!$J$4:$J$503,"是",费用台账!$K$4:$K$503,"正常"))</f>
        <v/>
      </c>
      <c r="S712" s="28">
        <f>IF($G712="","",COUNTIFS($E$4:$E$2503,$E712,$Z$4:$Z$2503,"正常",$Y$4:$Y$2503,"待补价"))</f>
        <v/>
      </c>
      <c r="T712" s="26">
        <f>IF($G712="","",SUMIFS($P$4:$P$2503,$E$4:$E$2503,$E712,$Z$4:$Z$2503,"正常",$A$4:$A$2503,"&lt;="&amp;$A712))</f>
        <v/>
      </c>
      <c r="U712" s="26">
        <f>IF($G712="","",IF(OR($S712&gt;0,$Q712=0,$R712=0,$Z712&lt;&gt;"正常"),0,ROUND($T712/$Q712*$R712,0)-ROUND(($T712-$P712)/$Q712*$R712,0)))</f>
        <v/>
      </c>
      <c r="V712" s="26">
        <f>IF($G712="","",ROUND($P712+$U712,0))</f>
        <v/>
      </c>
      <c r="W712" s="26">
        <f>IF($G712="","",IF(N($K712)=0,0,ROUND($V712/$K712,2)))</f>
        <v/>
      </c>
      <c r="X712" s="17" t="inlineStr">
        <is>
          <t>采购入库</t>
        </is>
      </c>
      <c r="Y712" s="17" t="inlineStr">
        <is>
          <t>待补价</t>
        </is>
      </c>
      <c r="Z712" s="17" t="inlineStr">
        <is>
          <t>正常</t>
        </is>
      </c>
      <c r="AA712" s="17" t="n"/>
      <c r="AB712" s="17" t="inlineStr">
        <is>
          <t>原表第 718 行</t>
        </is>
      </c>
      <c r="AC712" s="24">
        <f>IF($G712="","",IF($H712="※编码不在物料档案里","※物料编码不在档案里",IF(N($K712)&lt;=0,"※入库数量要大于 0",IF(AND($C712&lt;&gt;"",$C712&lt;=结账锁),"※日期早于已结账截止日，不能再录",IF(AND($L712=0,$X712="正常"),"※没填单价，价格状态请选「待补价」",IF(AND($S712&gt;0,$R712&gt;0),"△本批有 "&amp;$S712&amp;" 行没单价，整批运费先挂账没摊",IF(AND($B712&lt;&gt;"",COUNTIF($B$4:$B$2503,$B712)&gt;1),"※入库单号重复","")))))))</f>
        <v/>
      </c>
    </row>
    <row r="713">
      <c r="A713" s="24">
        <f>IF($G713="","",COUNTA($G$4:$G713))</f>
        <v/>
      </c>
      <c r="B713" s="17" t="n"/>
      <c r="C713" s="30" t="n">
        <v>46132</v>
      </c>
      <c r="D713" s="17" t="inlineStr">
        <is>
          <t>A国内</t>
        </is>
      </c>
      <c r="E713" s="17" t="inlineStr">
        <is>
          <t>EMCU1461128-202604</t>
        </is>
      </c>
      <c r="F713" s="17" t="inlineStr">
        <is>
          <t>烟台亿泰化工有限公司</t>
        </is>
      </c>
      <c r="G713" s="17" t="inlineStr">
        <is>
          <t>JH0643</t>
        </is>
      </c>
      <c r="H713" s="24">
        <f>IF($G713="","",IFERROR(VLOOKUP($G713,物料档案!$A$4:$P$1203,3,0),"※编码不在物料档案里"))</f>
        <v/>
      </c>
      <c r="I713" s="24">
        <f>IF($G713="","",IFERROR(VLOOKUP($G713,物料档案!$A$4:$P$1203,4,0),"※编码不在物料档案里"))</f>
        <v/>
      </c>
      <c r="J713" s="24">
        <f>IF($G713="","",IFERROR(VLOOKUP($G713,物料档案!$A$4:$P$1203,5,0),"※编码不在物料档案里"))</f>
        <v/>
      </c>
      <c r="K713" s="23" t="n">
        <v>320</v>
      </c>
      <c r="L713" s="31" t="n"/>
      <c r="M713" s="24">
        <f>IF($G713="","",IF($D713="A国内","CNY","TZS"))</f>
        <v/>
      </c>
      <c r="N713" s="28">
        <f>IF($G713="","",IF($D713="A国内",汇率,1))</f>
        <v/>
      </c>
      <c r="O713" s="25">
        <f>IF($G713="","",ROUND(N($K713)*N($L713),2))</f>
        <v/>
      </c>
      <c r="P713" s="26">
        <f>IF($G713="","",ROUND($O713*$N713,0))</f>
        <v/>
      </c>
      <c r="Q713" s="26">
        <f>IF($G713="","",SUMIFS($P$4:$P$2503,$E$4:$E$2503,$E713,$Z$4:$Z$2503,"正常"))</f>
        <v/>
      </c>
      <c r="R713" s="26">
        <f>IF($G713="","",SUMIFS(费用台账!$I$4:$I$503,费用台账!$C$4:$C$503,$E713,费用台账!$J$4:$J$503,"是",费用台账!$K$4:$K$503,"正常"))</f>
        <v/>
      </c>
      <c r="S713" s="28">
        <f>IF($G713="","",COUNTIFS($E$4:$E$2503,$E713,$Z$4:$Z$2503,"正常",$Y$4:$Y$2503,"待补价"))</f>
        <v/>
      </c>
      <c r="T713" s="26">
        <f>IF($G713="","",SUMIFS($P$4:$P$2503,$E$4:$E$2503,$E713,$Z$4:$Z$2503,"正常",$A$4:$A$2503,"&lt;="&amp;$A713))</f>
        <v/>
      </c>
      <c r="U713" s="26">
        <f>IF($G713="","",IF(OR($S713&gt;0,$Q713=0,$R713=0,$Z713&lt;&gt;"正常"),0,ROUND($T713/$Q713*$R713,0)-ROUND(($T713-$P713)/$Q713*$R713,0)))</f>
        <v/>
      </c>
      <c r="V713" s="26">
        <f>IF($G713="","",ROUND($P713+$U713,0))</f>
        <v/>
      </c>
      <c r="W713" s="26">
        <f>IF($G713="","",IF(N($K713)=0,0,ROUND($V713/$K713,2)))</f>
        <v/>
      </c>
      <c r="X713" s="17" t="inlineStr">
        <is>
          <t>采购入库</t>
        </is>
      </c>
      <c r="Y713" s="17" t="inlineStr">
        <is>
          <t>待补价</t>
        </is>
      </c>
      <c r="Z713" s="17" t="inlineStr">
        <is>
          <t>正常</t>
        </is>
      </c>
      <c r="AA713" s="17" t="n"/>
      <c r="AB713" s="17" t="inlineStr">
        <is>
          <t>原表第 719 行</t>
        </is>
      </c>
      <c r="AC713" s="24">
        <f>IF($G713="","",IF($H713="※编码不在物料档案里","※物料编码不在档案里",IF(N($K713)&lt;=0,"※入库数量要大于 0",IF(AND($C713&lt;&gt;"",$C713&lt;=结账锁),"※日期早于已结账截止日，不能再录",IF(AND($L713=0,$X713="正常"),"※没填单价，价格状态请选「待补价」",IF(AND($S713&gt;0,$R713&gt;0),"△本批有 "&amp;$S713&amp;" 行没单价，整批运费先挂账没摊",IF(AND($B713&lt;&gt;"",COUNTIF($B$4:$B$2503,$B713)&gt;1),"※入库单号重复","")))))))</f>
        <v/>
      </c>
    </row>
    <row r="714">
      <c r="A714" s="24">
        <f>IF($G714="","",COUNTA($G$4:$G714))</f>
        <v/>
      </c>
      <c r="B714" s="17" t="n"/>
      <c r="C714" s="30" t="n">
        <v>46132</v>
      </c>
      <c r="D714" s="17" t="inlineStr">
        <is>
          <t>A国内</t>
        </is>
      </c>
      <c r="E714" s="17" t="inlineStr">
        <is>
          <t>EMCU1461128-202604</t>
        </is>
      </c>
      <c r="F714" s="17" t="inlineStr">
        <is>
          <t>烟台亿泰化工有限公司</t>
        </is>
      </c>
      <c r="G714" s="17" t="inlineStr">
        <is>
          <t>JH0644</t>
        </is>
      </c>
      <c r="H714" s="24">
        <f>IF($G714="","",IFERROR(VLOOKUP($G714,物料档案!$A$4:$P$1203,3,0),"※编码不在物料档案里"))</f>
        <v/>
      </c>
      <c r="I714" s="24">
        <f>IF($G714="","",IFERROR(VLOOKUP($G714,物料档案!$A$4:$P$1203,4,0),"※编码不在物料档案里"))</f>
        <v/>
      </c>
      <c r="J714" s="24">
        <f>IF($G714="","",IFERROR(VLOOKUP($G714,物料档案!$A$4:$P$1203,5,0),"※编码不在物料档案里"))</f>
        <v/>
      </c>
      <c r="K714" s="23" t="n">
        <v>200</v>
      </c>
      <c r="L714" s="31" t="n"/>
      <c r="M714" s="24">
        <f>IF($G714="","",IF($D714="A国内","CNY","TZS"))</f>
        <v/>
      </c>
      <c r="N714" s="28">
        <f>IF($G714="","",IF($D714="A国内",汇率,1))</f>
        <v/>
      </c>
      <c r="O714" s="25">
        <f>IF($G714="","",ROUND(N($K714)*N($L714),2))</f>
        <v/>
      </c>
      <c r="P714" s="26">
        <f>IF($G714="","",ROUND($O714*$N714,0))</f>
        <v/>
      </c>
      <c r="Q714" s="26">
        <f>IF($G714="","",SUMIFS($P$4:$P$2503,$E$4:$E$2503,$E714,$Z$4:$Z$2503,"正常"))</f>
        <v/>
      </c>
      <c r="R714" s="26">
        <f>IF($G714="","",SUMIFS(费用台账!$I$4:$I$503,费用台账!$C$4:$C$503,$E714,费用台账!$J$4:$J$503,"是",费用台账!$K$4:$K$503,"正常"))</f>
        <v/>
      </c>
      <c r="S714" s="28">
        <f>IF($G714="","",COUNTIFS($E$4:$E$2503,$E714,$Z$4:$Z$2503,"正常",$Y$4:$Y$2503,"待补价"))</f>
        <v/>
      </c>
      <c r="T714" s="26">
        <f>IF($G714="","",SUMIFS($P$4:$P$2503,$E$4:$E$2503,$E714,$Z$4:$Z$2503,"正常",$A$4:$A$2503,"&lt;="&amp;$A714))</f>
        <v/>
      </c>
      <c r="U714" s="26">
        <f>IF($G714="","",IF(OR($S714&gt;0,$Q714=0,$R714=0,$Z714&lt;&gt;"正常"),0,ROUND($T714/$Q714*$R714,0)-ROUND(($T714-$P714)/$Q714*$R714,0)))</f>
        <v/>
      </c>
      <c r="V714" s="26">
        <f>IF($G714="","",ROUND($P714+$U714,0))</f>
        <v/>
      </c>
      <c r="W714" s="26">
        <f>IF($G714="","",IF(N($K714)=0,0,ROUND($V714/$K714,2)))</f>
        <v/>
      </c>
      <c r="X714" s="17" t="inlineStr">
        <is>
          <t>采购入库</t>
        </is>
      </c>
      <c r="Y714" s="17" t="inlineStr">
        <is>
          <t>待补价</t>
        </is>
      </c>
      <c r="Z714" s="17" t="inlineStr">
        <is>
          <t>正常</t>
        </is>
      </c>
      <c r="AA714" s="17" t="n"/>
      <c r="AB714" s="17" t="inlineStr">
        <is>
          <t>原表第 720 行</t>
        </is>
      </c>
      <c r="AC714" s="24">
        <f>IF($G714="","",IF($H714="※编码不在物料档案里","※物料编码不在档案里",IF(N($K714)&lt;=0,"※入库数量要大于 0",IF(AND($C714&lt;&gt;"",$C714&lt;=结账锁),"※日期早于已结账截止日，不能再录",IF(AND($L714=0,$X714="正常"),"※没填单价，价格状态请选「待补价」",IF(AND($S714&gt;0,$R714&gt;0),"△本批有 "&amp;$S714&amp;" 行没单价，整批运费先挂账没摊",IF(AND($B714&lt;&gt;"",COUNTIF($B$4:$B$2503,$B714)&gt;1),"※入库单号重复","")))))))</f>
        <v/>
      </c>
    </row>
    <row r="715">
      <c r="A715" s="24">
        <f>IF($G715="","",COUNTA($G$4:$G715))</f>
        <v/>
      </c>
      <c r="B715" s="17" t="n"/>
      <c r="C715" s="30" t="n">
        <v>46141</v>
      </c>
      <c r="D715" s="17" t="inlineStr">
        <is>
          <t>A国内</t>
        </is>
      </c>
      <c r="E715" s="17" t="inlineStr">
        <is>
          <t>XYJU2031238-202604</t>
        </is>
      </c>
      <c r="F715" s="17" t="inlineStr">
        <is>
          <t>烟台亿泰化工有限公司</t>
        </is>
      </c>
      <c r="G715" s="17" t="inlineStr">
        <is>
          <t>JH0166</t>
        </is>
      </c>
      <c r="H715" s="24">
        <f>IF($G715="","",IFERROR(VLOOKUP($G715,物料档案!$A$4:$P$1203,3,0),"※编码不在物料档案里"))</f>
        <v/>
      </c>
      <c r="I715" s="24">
        <f>IF($G715="","",IFERROR(VLOOKUP($G715,物料档案!$A$4:$P$1203,4,0),"※编码不在物料档案里"))</f>
        <v/>
      </c>
      <c r="J715" s="24">
        <f>IF($G715="","",IFERROR(VLOOKUP($G715,物料档案!$A$4:$P$1203,5,0),"※编码不在物料档案里"))</f>
        <v/>
      </c>
      <c r="K715" s="23" t="n">
        <v>1</v>
      </c>
      <c r="L715" s="31" t="n"/>
      <c r="M715" s="24">
        <f>IF($G715="","",IF($D715="A国内","CNY","TZS"))</f>
        <v/>
      </c>
      <c r="N715" s="28">
        <f>IF($G715="","",IF($D715="A国内",汇率,1))</f>
        <v/>
      </c>
      <c r="O715" s="25">
        <f>IF($G715="","",ROUND(N($K715)*N($L715),2))</f>
        <v/>
      </c>
      <c r="P715" s="26">
        <f>IF($G715="","",ROUND($O715*$N715,0))</f>
        <v/>
      </c>
      <c r="Q715" s="26">
        <f>IF($G715="","",SUMIFS($P$4:$P$2503,$E$4:$E$2503,$E715,$Z$4:$Z$2503,"正常"))</f>
        <v/>
      </c>
      <c r="R715" s="26">
        <f>IF($G715="","",SUMIFS(费用台账!$I$4:$I$503,费用台账!$C$4:$C$503,$E715,费用台账!$J$4:$J$503,"是",费用台账!$K$4:$K$503,"正常"))</f>
        <v/>
      </c>
      <c r="S715" s="28">
        <f>IF($G715="","",COUNTIFS($E$4:$E$2503,$E715,$Z$4:$Z$2503,"正常",$Y$4:$Y$2503,"待补价"))</f>
        <v/>
      </c>
      <c r="T715" s="26">
        <f>IF($G715="","",SUMIFS($P$4:$P$2503,$E$4:$E$2503,$E715,$Z$4:$Z$2503,"正常",$A$4:$A$2503,"&lt;="&amp;$A715))</f>
        <v/>
      </c>
      <c r="U715" s="26">
        <f>IF($G715="","",IF(OR($S715&gt;0,$Q715=0,$R715=0,$Z715&lt;&gt;"正常"),0,ROUND($T715/$Q715*$R715,0)-ROUND(($T715-$P715)/$Q715*$R715,0)))</f>
        <v/>
      </c>
      <c r="V715" s="26">
        <f>IF($G715="","",ROUND($P715+$U715,0))</f>
        <v/>
      </c>
      <c r="W715" s="26">
        <f>IF($G715="","",IF(N($K715)=0,0,ROUND($V715/$K715,2)))</f>
        <v/>
      </c>
      <c r="X715" s="17" t="inlineStr">
        <is>
          <t>采购入库</t>
        </is>
      </c>
      <c r="Y715" s="17" t="inlineStr">
        <is>
          <t>待补价</t>
        </is>
      </c>
      <c r="Z715" s="17" t="inlineStr">
        <is>
          <t>正常</t>
        </is>
      </c>
      <c r="AA715" s="17" t="n"/>
      <c r="AB715" s="17" t="inlineStr">
        <is>
          <t>原表第 721 行</t>
        </is>
      </c>
      <c r="AC715" s="24">
        <f>IF($G715="","",IF($H715="※编码不在物料档案里","※物料编码不在档案里",IF(N($K715)&lt;=0,"※入库数量要大于 0",IF(AND($C715&lt;&gt;"",$C715&lt;=结账锁),"※日期早于已结账截止日，不能再录",IF(AND($L715=0,$X715="正常"),"※没填单价，价格状态请选「待补价」",IF(AND($S715&gt;0,$R715&gt;0),"△本批有 "&amp;$S715&amp;" 行没单价，整批运费先挂账没摊",IF(AND($B715&lt;&gt;"",COUNTIF($B$4:$B$2503,$B715)&gt;1),"※入库单号重复","")))))))</f>
        <v/>
      </c>
    </row>
    <row r="716">
      <c r="A716" s="24">
        <f>IF($G716="","",COUNTA($G$4:$G716))</f>
        <v/>
      </c>
      <c r="B716" s="17" t="n"/>
      <c r="C716" s="30" t="n">
        <v>46141</v>
      </c>
      <c r="D716" s="17" t="inlineStr">
        <is>
          <t>A国内</t>
        </is>
      </c>
      <c r="E716" s="17" t="inlineStr">
        <is>
          <t>XYJU2031238-202604</t>
        </is>
      </c>
      <c r="F716" s="17" t="inlineStr">
        <is>
          <t>烟台亿泰化工有限公司</t>
        </is>
      </c>
      <c r="G716" s="17" t="inlineStr">
        <is>
          <t>JH0645</t>
        </is>
      </c>
      <c r="H716" s="24">
        <f>IF($G716="","",IFERROR(VLOOKUP($G716,物料档案!$A$4:$P$1203,3,0),"※编码不在物料档案里"))</f>
        <v/>
      </c>
      <c r="I716" s="24">
        <f>IF($G716="","",IFERROR(VLOOKUP($G716,物料档案!$A$4:$P$1203,4,0),"※编码不在物料档案里"))</f>
        <v/>
      </c>
      <c r="J716" s="24">
        <f>IF($G716="","",IFERROR(VLOOKUP($G716,物料档案!$A$4:$P$1203,5,0),"※编码不在物料档案里"))</f>
        <v/>
      </c>
      <c r="K716" s="23" t="n">
        <v>20</v>
      </c>
      <c r="L716" s="31" t="n"/>
      <c r="M716" s="24">
        <f>IF($G716="","",IF($D716="A国内","CNY","TZS"))</f>
        <v/>
      </c>
      <c r="N716" s="28">
        <f>IF($G716="","",IF($D716="A国内",汇率,1))</f>
        <v/>
      </c>
      <c r="O716" s="25">
        <f>IF($G716="","",ROUND(N($K716)*N($L716),2))</f>
        <v/>
      </c>
      <c r="P716" s="26">
        <f>IF($G716="","",ROUND($O716*$N716,0))</f>
        <v/>
      </c>
      <c r="Q716" s="26">
        <f>IF($G716="","",SUMIFS($P$4:$P$2503,$E$4:$E$2503,$E716,$Z$4:$Z$2503,"正常"))</f>
        <v/>
      </c>
      <c r="R716" s="26">
        <f>IF($G716="","",SUMIFS(费用台账!$I$4:$I$503,费用台账!$C$4:$C$503,$E716,费用台账!$J$4:$J$503,"是",费用台账!$K$4:$K$503,"正常"))</f>
        <v/>
      </c>
      <c r="S716" s="28">
        <f>IF($G716="","",COUNTIFS($E$4:$E$2503,$E716,$Z$4:$Z$2503,"正常",$Y$4:$Y$2503,"待补价"))</f>
        <v/>
      </c>
      <c r="T716" s="26">
        <f>IF($G716="","",SUMIFS($P$4:$P$2503,$E$4:$E$2503,$E716,$Z$4:$Z$2503,"正常",$A$4:$A$2503,"&lt;="&amp;$A716))</f>
        <v/>
      </c>
      <c r="U716" s="26">
        <f>IF($G716="","",IF(OR($S716&gt;0,$Q716=0,$R716=0,$Z716&lt;&gt;"正常"),0,ROUND($T716/$Q716*$R716,0)-ROUND(($T716-$P716)/$Q716*$R716,0)))</f>
        <v/>
      </c>
      <c r="V716" s="26">
        <f>IF($G716="","",ROUND($P716+$U716,0))</f>
        <v/>
      </c>
      <c r="W716" s="26">
        <f>IF($G716="","",IF(N($K716)=0,0,ROUND($V716/$K716,2)))</f>
        <v/>
      </c>
      <c r="X716" s="17" t="inlineStr">
        <is>
          <t>采购入库</t>
        </is>
      </c>
      <c r="Y716" s="17" t="inlineStr">
        <is>
          <t>待补价</t>
        </is>
      </c>
      <c r="Z716" s="17" t="inlineStr">
        <is>
          <t>正常</t>
        </is>
      </c>
      <c r="AA716" s="17" t="n"/>
      <c r="AB716" s="17" t="inlineStr">
        <is>
          <t>原表第 722 行</t>
        </is>
      </c>
      <c r="AC716" s="24">
        <f>IF($G716="","",IF($H716="※编码不在物料档案里","※物料编码不在档案里",IF(N($K716)&lt;=0,"※入库数量要大于 0",IF(AND($C716&lt;&gt;"",$C716&lt;=结账锁),"※日期早于已结账截止日，不能再录",IF(AND($L716=0,$X716="正常"),"※没填单价，价格状态请选「待补价」",IF(AND($S716&gt;0,$R716&gt;0),"△本批有 "&amp;$S716&amp;" 行没单价，整批运费先挂账没摊",IF(AND($B716&lt;&gt;"",COUNTIF($B$4:$B$2503,$B716)&gt;1),"※入库单号重复","")))))))</f>
        <v/>
      </c>
    </row>
    <row r="717">
      <c r="A717" s="24">
        <f>IF($G717="","",COUNTA($G$4:$G717))</f>
        <v/>
      </c>
      <c r="B717" s="17" t="n"/>
      <c r="C717" s="30" t="n">
        <v>46158</v>
      </c>
      <c r="D717" s="17" t="inlineStr">
        <is>
          <t>A国内</t>
        </is>
      </c>
      <c r="E717" s="17" t="inlineStr">
        <is>
          <t>TIIU4204331-202605</t>
        </is>
      </c>
      <c r="F717" s="17" t="inlineStr">
        <is>
          <t>福建全力供应链管理有限公司</t>
        </is>
      </c>
      <c r="G717" s="17" t="inlineStr">
        <is>
          <t>JH0646</t>
        </is>
      </c>
      <c r="H717" s="24">
        <f>IF($G717="","",IFERROR(VLOOKUP($G717,物料档案!$A$4:$P$1203,3,0),"※编码不在物料档案里"))</f>
        <v/>
      </c>
      <c r="I717" s="24">
        <f>IF($G717="","",IFERROR(VLOOKUP($G717,物料档案!$A$4:$P$1203,4,0),"※编码不在物料档案里"))</f>
        <v/>
      </c>
      <c r="J717" s="24">
        <f>IF($G717="","",IFERROR(VLOOKUP($G717,物料档案!$A$4:$P$1203,5,0),"※编码不在物料档案里"))</f>
        <v/>
      </c>
      <c r="K717" s="23" t="n">
        <v>27.942</v>
      </c>
      <c r="L717" s="31" t="n">
        <v>4150</v>
      </c>
      <c r="M717" s="24">
        <f>IF($G717="","",IF($D717="A国内","CNY","TZS"))</f>
        <v/>
      </c>
      <c r="N717" s="28">
        <f>IF($G717="","",IF($D717="A国内",汇率,1))</f>
        <v/>
      </c>
      <c r="O717" s="25">
        <f>IF($G717="","",ROUND(N($K717)*N($L717),2))</f>
        <v/>
      </c>
      <c r="P717" s="26">
        <f>IF($G717="","",ROUND($O717*$N717,0))</f>
        <v/>
      </c>
      <c r="Q717" s="26">
        <f>IF($G717="","",SUMIFS($P$4:$P$2503,$E$4:$E$2503,$E717,$Z$4:$Z$2503,"正常"))</f>
        <v/>
      </c>
      <c r="R717" s="26">
        <f>IF($G717="","",SUMIFS(费用台账!$I$4:$I$503,费用台账!$C$4:$C$503,$E717,费用台账!$J$4:$J$503,"是",费用台账!$K$4:$K$503,"正常"))</f>
        <v/>
      </c>
      <c r="S717" s="28">
        <f>IF($G717="","",COUNTIFS($E$4:$E$2503,$E717,$Z$4:$Z$2503,"正常",$Y$4:$Y$2503,"待补价"))</f>
        <v/>
      </c>
      <c r="T717" s="26">
        <f>IF($G717="","",SUMIFS($P$4:$P$2503,$E$4:$E$2503,$E717,$Z$4:$Z$2503,"正常",$A$4:$A$2503,"&lt;="&amp;$A717))</f>
        <v/>
      </c>
      <c r="U717" s="26">
        <f>IF($G717="","",IF(OR($S717&gt;0,$Q717=0,$R717=0,$Z717&lt;&gt;"正常"),0,ROUND($T717/$Q717*$R717,0)-ROUND(($T717-$P717)/$Q717*$R717,0)))</f>
        <v/>
      </c>
      <c r="V717" s="26">
        <f>IF($G717="","",ROUND($P717+$U717,0))</f>
        <v/>
      </c>
      <c r="W717" s="26">
        <f>IF($G717="","",IF(N($K717)=0,0,ROUND($V717/$K717,2)))</f>
        <v/>
      </c>
      <c r="X717" s="17" t="inlineStr">
        <is>
          <t>采购入库</t>
        </is>
      </c>
      <c r="Y717" s="17" t="inlineStr">
        <is>
          <t>正常</t>
        </is>
      </c>
      <c r="Z717" s="17" t="inlineStr">
        <is>
          <t>正常</t>
        </is>
      </c>
      <c r="AA717" s="17" t="n"/>
      <c r="AB717" s="17" t="inlineStr">
        <is>
          <t>原表第 723 行</t>
        </is>
      </c>
      <c r="AC717" s="24">
        <f>IF($G717="","",IF($H717="※编码不在物料档案里","※物料编码不在档案里",IF(N($K717)&lt;=0,"※入库数量要大于 0",IF(AND($C717&lt;&gt;"",$C717&lt;=结账锁),"※日期早于已结账截止日，不能再录",IF(AND($L717=0,$X717="正常"),"※没填单价，价格状态请选「待补价」",IF(AND($S717&gt;0,$R717&gt;0),"△本批有 "&amp;$S717&amp;" 行没单价，整批运费先挂账没摊",IF(AND($B717&lt;&gt;"",COUNTIF($B$4:$B$2503,$B717)&gt;1),"※入库单号重复","")))))))</f>
        <v/>
      </c>
    </row>
    <row r="718">
      <c r="A718" s="24">
        <f>IF($G718="","",COUNTA($G$4:$G718))</f>
        <v/>
      </c>
      <c r="B718" s="17" t="n"/>
      <c r="C718" s="30" t="n">
        <v>46158</v>
      </c>
      <c r="D718" s="17" t="inlineStr">
        <is>
          <t>A国内</t>
        </is>
      </c>
      <c r="E718" s="17" t="inlineStr">
        <is>
          <t>DRYU9381826-202605</t>
        </is>
      </c>
      <c r="F718" s="17" t="inlineStr">
        <is>
          <t>赠送;
机油芯3粒
柴油芯3粒
空气芯3粒</t>
        </is>
      </c>
      <c r="G718" s="17" t="inlineStr">
        <is>
          <t>JH0647</t>
        </is>
      </c>
      <c r="H718" s="24">
        <f>IF($G718="","",IFERROR(VLOOKUP($G718,物料档案!$A$4:$P$1203,3,0),"※编码不在物料档案里"))</f>
        <v/>
      </c>
      <c r="I718" s="24">
        <f>IF($G718="","",IFERROR(VLOOKUP($G718,物料档案!$A$4:$P$1203,4,0),"※编码不在物料档案里"))</f>
        <v/>
      </c>
      <c r="J718" s="24">
        <f>IF($G718="","",IFERROR(VLOOKUP($G718,物料档案!$A$4:$P$1203,5,0),"※编码不在物料档案里"))</f>
        <v/>
      </c>
      <c r="K718" s="23" t="n">
        <v>1</v>
      </c>
      <c r="L718" s="31" t="n">
        <v>62000</v>
      </c>
      <c r="M718" s="24">
        <f>IF($G718="","",IF($D718="A国内","CNY","TZS"))</f>
        <v/>
      </c>
      <c r="N718" s="28">
        <f>IF($G718="","",IF($D718="A国内",汇率,1))</f>
        <v/>
      </c>
      <c r="O718" s="25">
        <f>IF($G718="","",ROUND(N($K718)*N($L718),2))</f>
        <v/>
      </c>
      <c r="P718" s="26">
        <f>IF($G718="","",ROUND($O718*$N718,0))</f>
        <v/>
      </c>
      <c r="Q718" s="26">
        <f>IF($G718="","",SUMIFS($P$4:$P$2503,$E$4:$E$2503,$E718,$Z$4:$Z$2503,"正常"))</f>
        <v/>
      </c>
      <c r="R718" s="26">
        <f>IF($G718="","",SUMIFS(费用台账!$I$4:$I$503,费用台账!$C$4:$C$503,$E718,费用台账!$J$4:$J$503,"是",费用台账!$K$4:$K$503,"正常"))</f>
        <v/>
      </c>
      <c r="S718" s="28">
        <f>IF($G718="","",COUNTIFS($E$4:$E$2503,$E718,$Z$4:$Z$2503,"正常",$Y$4:$Y$2503,"待补价"))</f>
        <v/>
      </c>
      <c r="T718" s="26">
        <f>IF($G718="","",SUMIFS($P$4:$P$2503,$E$4:$E$2503,$E718,$Z$4:$Z$2503,"正常",$A$4:$A$2503,"&lt;="&amp;$A718))</f>
        <v/>
      </c>
      <c r="U718" s="26">
        <f>IF($G718="","",IF(OR($S718&gt;0,$Q718=0,$R718=0,$Z718&lt;&gt;"正常"),0,ROUND($T718/$Q718*$R718,0)-ROUND(($T718-$P718)/$Q718*$R718,0)))</f>
        <v/>
      </c>
      <c r="V718" s="26">
        <f>IF($G718="","",ROUND($P718+$U718,0))</f>
        <v/>
      </c>
      <c r="W718" s="26">
        <f>IF($G718="","",IF(N($K718)=0,0,ROUND($V718/$K718,2)))</f>
        <v/>
      </c>
      <c r="X718" s="17" t="inlineStr">
        <is>
          <t>采购入库</t>
        </is>
      </c>
      <c r="Y718" s="17" t="inlineStr">
        <is>
          <t>正常</t>
        </is>
      </c>
      <c r="Z718" s="17" t="inlineStr">
        <is>
          <t>正常</t>
        </is>
      </c>
      <c r="AA718" s="17" t="n"/>
      <c r="AB718" s="17" t="inlineStr">
        <is>
          <t>原表第 726 行</t>
        </is>
      </c>
      <c r="AC718" s="24">
        <f>IF($G718="","",IF($H718="※编码不在物料档案里","※物料编码不在档案里",IF(N($K718)&lt;=0,"※入库数量要大于 0",IF(AND($C718&lt;&gt;"",$C718&lt;=结账锁),"※日期早于已结账截止日，不能再录",IF(AND($L718=0,$X718="正常"),"※没填单价，价格状态请选「待补价」",IF(AND($S718&gt;0,$R718&gt;0),"△本批有 "&amp;$S718&amp;" 行没单价，整批运费先挂账没摊",IF(AND($B718&lt;&gt;"",COUNTIF($B$4:$B$2503,$B718)&gt;1),"※入库单号重复","")))))))</f>
        <v/>
      </c>
    </row>
    <row r="719">
      <c r="A719" s="24">
        <f>IF($G719="","",COUNTA($G$4:$G719))</f>
        <v/>
      </c>
      <c r="B719" s="17" t="n"/>
      <c r="C719" s="30" t="n">
        <v>46158</v>
      </c>
      <c r="D719" s="17" t="inlineStr">
        <is>
          <t>A国内</t>
        </is>
      </c>
      <c r="E719" s="17" t="inlineStr">
        <is>
          <t>DRYU9381826-202605</t>
        </is>
      </c>
      <c r="F719" s="17" t="inlineStr">
        <is>
          <t>鑫洋</t>
        </is>
      </c>
      <c r="G719" s="17" t="inlineStr">
        <is>
          <t>JH0648</t>
        </is>
      </c>
      <c r="H719" s="24">
        <f>IF($G719="","",IFERROR(VLOOKUP($G719,物料档案!$A$4:$P$1203,3,0),"※编码不在物料档案里"))</f>
        <v/>
      </c>
      <c r="I719" s="24">
        <f>IF($G719="","",IFERROR(VLOOKUP($G719,物料档案!$A$4:$P$1203,4,0),"※编码不在物料档案里"))</f>
        <v/>
      </c>
      <c r="J719" s="24">
        <f>IF($G719="","",IFERROR(VLOOKUP($G719,物料档案!$A$4:$P$1203,5,0),"※编码不在物料档案里"))</f>
        <v/>
      </c>
      <c r="K719" s="23" t="n">
        <v>1</v>
      </c>
      <c r="L719" s="31" t="n">
        <v>150</v>
      </c>
      <c r="M719" s="24">
        <f>IF($G719="","",IF($D719="A国内","CNY","TZS"))</f>
        <v/>
      </c>
      <c r="N719" s="28">
        <f>IF($G719="","",IF($D719="A国内",汇率,1))</f>
        <v/>
      </c>
      <c r="O719" s="25">
        <f>IF($G719="","",ROUND(N($K719)*N($L719),2))</f>
        <v/>
      </c>
      <c r="P719" s="26">
        <f>IF($G719="","",ROUND($O719*$N719,0))</f>
        <v/>
      </c>
      <c r="Q719" s="26">
        <f>IF($G719="","",SUMIFS($P$4:$P$2503,$E$4:$E$2503,$E719,$Z$4:$Z$2503,"正常"))</f>
        <v/>
      </c>
      <c r="R719" s="26">
        <f>IF($G719="","",SUMIFS(费用台账!$I$4:$I$503,费用台账!$C$4:$C$503,$E719,费用台账!$J$4:$J$503,"是",费用台账!$K$4:$K$503,"正常"))</f>
        <v/>
      </c>
      <c r="S719" s="28">
        <f>IF($G719="","",COUNTIFS($E$4:$E$2503,$E719,$Z$4:$Z$2503,"正常",$Y$4:$Y$2503,"待补价"))</f>
        <v/>
      </c>
      <c r="T719" s="26">
        <f>IF($G719="","",SUMIFS($P$4:$P$2503,$E$4:$E$2503,$E719,$Z$4:$Z$2503,"正常",$A$4:$A$2503,"&lt;="&amp;$A719))</f>
        <v/>
      </c>
      <c r="U719" s="26">
        <f>IF($G719="","",IF(OR($S719&gt;0,$Q719=0,$R719=0,$Z719&lt;&gt;"正常"),0,ROUND($T719/$Q719*$R719,0)-ROUND(($T719-$P719)/$Q719*$R719,0)))</f>
        <v/>
      </c>
      <c r="V719" s="26">
        <f>IF($G719="","",ROUND($P719+$U719,0))</f>
        <v/>
      </c>
      <c r="W719" s="26">
        <f>IF($G719="","",IF(N($K719)=0,0,ROUND($V719/$K719,2)))</f>
        <v/>
      </c>
      <c r="X719" s="17" t="inlineStr">
        <is>
          <t>采购入库</t>
        </is>
      </c>
      <c r="Y719" s="17" t="inlineStr">
        <is>
          <t>正常</t>
        </is>
      </c>
      <c r="Z719" s="17" t="inlineStr">
        <is>
          <t>正常</t>
        </is>
      </c>
      <c r="AA719" s="17" t="n"/>
      <c r="AB719" s="17" t="inlineStr">
        <is>
          <t>原表第 727 行</t>
        </is>
      </c>
      <c r="AC719" s="24">
        <f>IF($G719="","",IF($H719="※编码不在物料档案里","※物料编码不在档案里",IF(N($K719)&lt;=0,"※入库数量要大于 0",IF(AND($C719&lt;&gt;"",$C719&lt;=结账锁),"※日期早于已结账截止日，不能再录",IF(AND($L719=0,$X719="正常"),"※没填单价，价格状态请选「待补价」",IF(AND($S719&gt;0,$R719&gt;0),"△本批有 "&amp;$S719&amp;" 行没单价，整批运费先挂账没摊",IF(AND($B719&lt;&gt;"",COUNTIF($B$4:$B$2503,$B719)&gt;1),"※入库单号重复","")))))))</f>
        <v/>
      </c>
    </row>
    <row r="720">
      <c r="A720" s="24">
        <f>IF($G720="","",COUNTA($G$4:$G720))</f>
        <v/>
      </c>
      <c r="B720" s="17" t="n"/>
      <c r="C720" s="30" t="n">
        <v>46158</v>
      </c>
      <c r="D720" s="17" t="inlineStr">
        <is>
          <t>A国内</t>
        </is>
      </c>
      <c r="E720" s="17" t="inlineStr">
        <is>
          <t>DRYU9381826-202605</t>
        </is>
      </c>
      <c r="F720" s="17" t="inlineStr">
        <is>
          <t>鑫洋</t>
        </is>
      </c>
      <c r="G720" s="17" t="inlineStr">
        <is>
          <t>JH0649</t>
        </is>
      </c>
      <c r="H720" s="24">
        <f>IF($G720="","",IFERROR(VLOOKUP($G720,物料档案!$A$4:$P$1203,3,0),"※编码不在物料档案里"))</f>
        <v/>
      </c>
      <c r="I720" s="24">
        <f>IF($G720="","",IFERROR(VLOOKUP($G720,物料档案!$A$4:$P$1203,4,0),"※编码不在物料档案里"))</f>
        <v/>
      </c>
      <c r="J720" s="24">
        <f>IF($G720="","",IFERROR(VLOOKUP($G720,物料档案!$A$4:$P$1203,5,0),"※编码不在物料档案里"))</f>
        <v/>
      </c>
      <c r="K720" s="23" t="n">
        <v>2</v>
      </c>
      <c r="L720" s="31" t="n">
        <v>100</v>
      </c>
      <c r="M720" s="24">
        <f>IF($G720="","",IF($D720="A国内","CNY","TZS"))</f>
        <v/>
      </c>
      <c r="N720" s="28">
        <f>IF($G720="","",IF($D720="A国内",汇率,1))</f>
        <v/>
      </c>
      <c r="O720" s="25">
        <f>IF($G720="","",ROUND(N($K720)*N($L720),2))</f>
        <v/>
      </c>
      <c r="P720" s="26">
        <f>IF($G720="","",ROUND($O720*$N720,0))</f>
        <v/>
      </c>
      <c r="Q720" s="26">
        <f>IF($G720="","",SUMIFS($P$4:$P$2503,$E$4:$E$2503,$E720,$Z$4:$Z$2503,"正常"))</f>
        <v/>
      </c>
      <c r="R720" s="26">
        <f>IF($G720="","",SUMIFS(费用台账!$I$4:$I$503,费用台账!$C$4:$C$503,$E720,费用台账!$J$4:$J$503,"是",费用台账!$K$4:$K$503,"正常"))</f>
        <v/>
      </c>
      <c r="S720" s="28">
        <f>IF($G720="","",COUNTIFS($E$4:$E$2503,$E720,$Z$4:$Z$2503,"正常",$Y$4:$Y$2503,"待补价"))</f>
        <v/>
      </c>
      <c r="T720" s="26">
        <f>IF($G720="","",SUMIFS($P$4:$P$2503,$E$4:$E$2503,$E720,$Z$4:$Z$2503,"正常",$A$4:$A$2503,"&lt;="&amp;$A720))</f>
        <v/>
      </c>
      <c r="U720" s="26">
        <f>IF($G720="","",IF(OR($S720&gt;0,$Q720=0,$R720=0,$Z720&lt;&gt;"正常"),0,ROUND($T720/$Q720*$R720,0)-ROUND(($T720-$P720)/$Q720*$R720,0)))</f>
        <v/>
      </c>
      <c r="V720" s="26">
        <f>IF($G720="","",ROUND($P720+$U720,0))</f>
        <v/>
      </c>
      <c r="W720" s="26">
        <f>IF($G720="","",IF(N($K720)=0,0,ROUND($V720/$K720,2)))</f>
        <v/>
      </c>
      <c r="X720" s="17" t="inlineStr">
        <is>
          <t>采购入库</t>
        </is>
      </c>
      <c r="Y720" s="17" t="inlineStr">
        <is>
          <t>正常</t>
        </is>
      </c>
      <c r="Z720" s="17" t="inlineStr">
        <is>
          <t>正常</t>
        </is>
      </c>
      <c r="AA720" s="17" t="n"/>
      <c r="AB720" s="17" t="inlineStr">
        <is>
          <t>原表第 728 行</t>
        </is>
      </c>
      <c r="AC720" s="24">
        <f>IF($G720="","",IF($H720="※编码不在物料档案里","※物料编码不在档案里",IF(N($K720)&lt;=0,"※入库数量要大于 0",IF(AND($C720&lt;&gt;"",$C720&lt;=结账锁),"※日期早于已结账截止日，不能再录",IF(AND($L720=0,$X720="正常"),"※没填单价，价格状态请选「待补价」",IF(AND($S720&gt;0,$R720&gt;0),"△本批有 "&amp;$S720&amp;" 行没单价，整批运费先挂账没摊",IF(AND($B720&lt;&gt;"",COUNTIF($B$4:$B$2503,$B720)&gt;1),"※入库单号重复","")))))))</f>
        <v/>
      </c>
    </row>
    <row r="721">
      <c r="A721" s="24">
        <f>IF($G721="","",COUNTA($G$4:$G721))</f>
        <v/>
      </c>
      <c r="B721" s="17" t="n"/>
      <c r="C721" s="30" t="n">
        <v>46158</v>
      </c>
      <c r="D721" s="17" t="inlineStr">
        <is>
          <t>A国内</t>
        </is>
      </c>
      <c r="E721" s="17" t="inlineStr">
        <is>
          <t>DRYU9381826-202605</t>
        </is>
      </c>
      <c r="F721" s="17" t="inlineStr">
        <is>
          <t>鑫洋</t>
        </is>
      </c>
      <c r="G721" s="17" t="inlineStr">
        <is>
          <t>JH0650</t>
        </is>
      </c>
      <c r="H721" s="24">
        <f>IF($G721="","",IFERROR(VLOOKUP($G721,物料档案!$A$4:$P$1203,3,0),"※编码不在物料档案里"))</f>
        <v/>
      </c>
      <c r="I721" s="24">
        <f>IF($G721="","",IFERROR(VLOOKUP($G721,物料档案!$A$4:$P$1203,4,0),"※编码不在物料档案里"))</f>
        <v/>
      </c>
      <c r="J721" s="24">
        <f>IF($G721="","",IFERROR(VLOOKUP($G721,物料档案!$A$4:$P$1203,5,0),"※编码不在物料档案里"))</f>
        <v/>
      </c>
      <c r="K721" s="23" t="n">
        <v>1</v>
      </c>
      <c r="L721" s="31" t="n">
        <v>26</v>
      </c>
      <c r="M721" s="24">
        <f>IF($G721="","",IF($D721="A国内","CNY","TZS"))</f>
        <v/>
      </c>
      <c r="N721" s="28">
        <f>IF($G721="","",IF($D721="A国内",汇率,1))</f>
        <v/>
      </c>
      <c r="O721" s="25">
        <f>IF($G721="","",ROUND(N($K721)*N($L721),2))</f>
        <v/>
      </c>
      <c r="P721" s="26">
        <f>IF($G721="","",ROUND($O721*$N721,0))</f>
        <v/>
      </c>
      <c r="Q721" s="26">
        <f>IF($G721="","",SUMIFS($P$4:$P$2503,$E$4:$E$2503,$E721,$Z$4:$Z$2503,"正常"))</f>
        <v/>
      </c>
      <c r="R721" s="26">
        <f>IF($G721="","",SUMIFS(费用台账!$I$4:$I$503,费用台账!$C$4:$C$503,$E721,费用台账!$J$4:$J$503,"是",费用台账!$K$4:$K$503,"正常"))</f>
        <v/>
      </c>
      <c r="S721" s="28">
        <f>IF($G721="","",COUNTIFS($E$4:$E$2503,$E721,$Z$4:$Z$2503,"正常",$Y$4:$Y$2503,"待补价"))</f>
        <v/>
      </c>
      <c r="T721" s="26">
        <f>IF($G721="","",SUMIFS($P$4:$P$2503,$E$4:$E$2503,$E721,$Z$4:$Z$2503,"正常",$A$4:$A$2503,"&lt;="&amp;$A721))</f>
        <v/>
      </c>
      <c r="U721" s="26">
        <f>IF($G721="","",IF(OR($S721&gt;0,$Q721=0,$R721=0,$Z721&lt;&gt;"正常"),0,ROUND($T721/$Q721*$R721,0)-ROUND(($T721-$P721)/$Q721*$R721,0)))</f>
        <v/>
      </c>
      <c r="V721" s="26">
        <f>IF($G721="","",ROUND($P721+$U721,0))</f>
        <v/>
      </c>
      <c r="W721" s="26">
        <f>IF($G721="","",IF(N($K721)=0,0,ROUND($V721/$K721,2)))</f>
        <v/>
      </c>
      <c r="X721" s="17" t="inlineStr">
        <is>
          <t>采购入库</t>
        </is>
      </c>
      <c r="Y721" s="17" t="inlineStr">
        <is>
          <t>正常</t>
        </is>
      </c>
      <c r="Z721" s="17" t="inlineStr">
        <is>
          <t>正常</t>
        </is>
      </c>
      <c r="AA721" s="17" t="n"/>
      <c r="AB721" s="17" t="inlineStr">
        <is>
          <t>原表第 729 行</t>
        </is>
      </c>
      <c r="AC721" s="24">
        <f>IF($G721="","",IF($H721="※编码不在物料档案里","※物料编码不在档案里",IF(N($K721)&lt;=0,"※入库数量要大于 0",IF(AND($C721&lt;&gt;"",$C721&lt;=结账锁),"※日期早于已结账截止日，不能再录",IF(AND($L721=0,$X721="正常"),"※没填单价，价格状态请选「待补价」",IF(AND($S721&gt;0,$R721&gt;0),"△本批有 "&amp;$S721&amp;" 行没单价，整批运费先挂账没摊",IF(AND($B721&lt;&gt;"",COUNTIF($B$4:$B$2503,$B721)&gt;1),"※入库单号重复","")))))))</f>
        <v/>
      </c>
    </row>
    <row r="722">
      <c r="A722" s="24">
        <f>IF($G722="","",COUNTA($G$4:$G722))</f>
        <v/>
      </c>
      <c r="B722" s="17" t="n"/>
      <c r="C722" s="30" t="n">
        <v>46158</v>
      </c>
      <c r="D722" s="17" t="inlineStr">
        <is>
          <t>A国内</t>
        </is>
      </c>
      <c r="E722" s="17" t="inlineStr">
        <is>
          <t>DRYU9381826-202605</t>
        </is>
      </c>
      <c r="F722" s="17" t="inlineStr">
        <is>
          <t>鑫洋</t>
        </is>
      </c>
      <c r="G722" s="17" t="inlineStr">
        <is>
          <t>JH0651</t>
        </is>
      </c>
      <c r="H722" s="24">
        <f>IF($G722="","",IFERROR(VLOOKUP($G722,物料档案!$A$4:$P$1203,3,0),"※编码不在物料档案里"))</f>
        <v/>
      </c>
      <c r="I722" s="24">
        <f>IF($G722="","",IFERROR(VLOOKUP($G722,物料档案!$A$4:$P$1203,4,0),"※编码不在物料档案里"))</f>
        <v/>
      </c>
      <c r="J722" s="24">
        <f>IF($G722="","",IFERROR(VLOOKUP($G722,物料档案!$A$4:$P$1203,5,0),"※编码不在物料档案里"))</f>
        <v/>
      </c>
      <c r="K722" s="23" t="n">
        <v>1</v>
      </c>
      <c r="L722" s="31" t="n">
        <v>23</v>
      </c>
      <c r="M722" s="24">
        <f>IF($G722="","",IF($D722="A国内","CNY","TZS"))</f>
        <v/>
      </c>
      <c r="N722" s="28">
        <f>IF($G722="","",IF($D722="A国内",汇率,1))</f>
        <v/>
      </c>
      <c r="O722" s="25">
        <f>IF($G722="","",ROUND(N($K722)*N($L722),2))</f>
        <v/>
      </c>
      <c r="P722" s="26">
        <f>IF($G722="","",ROUND($O722*$N722,0))</f>
        <v/>
      </c>
      <c r="Q722" s="26">
        <f>IF($G722="","",SUMIFS($P$4:$P$2503,$E$4:$E$2503,$E722,$Z$4:$Z$2503,"正常"))</f>
        <v/>
      </c>
      <c r="R722" s="26">
        <f>IF($G722="","",SUMIFS(费用台账!$I$4:$I$503,费用台账!$C$4:$C$503,$E722,费用台账!$J$4:$J$503,"是",费用台账!$K$4:$K$503,"正常"))</f>
        <v/>
      </c>
      <c r="S722" s="28">
        <f>IF($G722="","",COUNTIFS($E$4:$E$2503,$E722,$Z$4:$Z$2503,"正常",$Y$4:$Y$2503,"待补价"))</f>
        <v/>
      </c>
      <c r="T722" s="26">
        <f>IF($G722="","",SUMIFS($P$4:$P$2503,$E$4:$E$2503,$E722,$Z$4:$Z$2503,"正常",$A$4:$A$2503,"&lt;="&amp;$A722))</f>
        <v/>
      </c>
      <c r="U722" s="26">
        <f>IF($G722="","",IF(OR($S722&gt;0,$Q722=0,$R722=0,$Z722&lt;&gt;"正常"),0,ROUND($T722/$Q722*$R722,0)-ROUND(($T722-$P722)/$Q722*$R722,0)))</f>
        <v/>
      </c>
      <c r="V722" s="26">
        <f>IF($G722="","",ROUND($P722+$U722,0))</f>
        <v/>
      </c>
      <c r="W722" s="26">
        <f>IF($G722="","",IF(N($K722)=0,0,ROUND($V722/$K722,2)))</f>
        <v/>
      </c>
      <c r="X722" s="17" t="inlineStr">
        <is>
          <t>采购入库</t>
        </is>
      </c>
      <c r="Y722" s="17" t="inlineStr">
        <is>
          <t>正常</t>
        </is>
      </c>
      <c r="Z722" s="17" t="inlineStr">
        <is>
          <t>正常</t>
        </is>
      </c>
      <c r="AA722" s="17" t="n"/>
      <c r="AB722" s="17" t="inlineStr">
        <is>
          <t>原表第 730 行</t>
        </is>
      </c>
      <c r="AC722" s="24">
        <f>IF($G722="","",IF($H722="※编码不在物料档案里","※物料编码不在档案里",IF(N($K722)&lt;=0,"※入库数量要大于 0",IF(AND($C722&lt;&gt;"",$C722&lt;=结账锁),"※日期早于已结账截止日，不能再录",IF(AND($L722=0,$X722="正常"),"※没填单价，价格状态请选「待补价」",IF(AND($S722&gt;0,$R722&gt;0),"△本批有 "&amp;$S722&amp;" 行没单价，整批运费先挂账没摊",IF(AND($B722&lt;&gt;"",COUNTIF($B$4:$B$2503,$B722)&gt;1),"※入库单号重复","")))))))</f>
        <v/>
      </c>
    </row>
    <row r="723">
      <c r="A723" s="24">
        <f>IF($G723="","",COUNTA($G$4:$G723))</f>
        <v/>
      </c>
      <c r="B723" s="17" t="n"/>
      <c r="C723" s="30" t="n">
        <v>46158</v>
      </c>
      <c r="D723" s="17" t="inlineStr">
        <is>
          <t>A国内</t>
        </is>
      </c>
      <c r="E723" s="17" t="inlineStr">
        <is>
          <t>DRYU9381826-202605</t>
        </is>
      </c>
      <c r="F723" s="17" t="inlineStr">
        <is>
          <t>鑫洋</t>
        </is>
      </c>
      <c r="G723" s="17" t="inlineStr">
        <is>
          <t>JH0652</t>
        </is>
      </c>
      <c r="H723" s="24">
        <f>IF($G723="","",IFERROR(VLOOKUP($G723,物料档案!$A$4:$P$1203,3,0),"※编码不在物料档案里"))</f>
        <v/>
      </c>
      <c r="I723" s="24">
        <f>IF($G723="","",IFERROR(VLOOKUP($G723,物料档案!$A$4:$P$1203,4,0),"※编码不在物料档案里"))</f>
        <v/>
      </c>
      <c r="J723" s="24">
        <f>IF($G723="","",IFERROR(VLOOKUP($G723,物料档案!$A$4:$P$1203,5,0),"※编码不在物料档案里"))</f>
        <v/>
      </c>
      <c r="K723" s="23" t="n">
        <v>2</v>
      </c>
      <c r="L723" s="31" t="n">
        <v>670</v>
      </c>
      <c r="M723" s="24">
        <f>IF($G723="","",IF($D723="A国内","CNY","TZS"))</f>
        <v/>
      </c>
      <c r="N723" s="28">
        <f>IF($G723="","",IF($D723="A国内",汇率,1))</f>
        <v/>
      </c>
      <c r="O723" s="25">
        <f>IF($G723="","",ROUND(N($K723)*N($L723),2))</f>
        <v/>
      </c>
      <c r="P723" s="26">
        <f>IF($G723="","",ROUND($O723*$N723,0))</f>
        <v/>
      </c>
      <c r="Q723" s="26">
        <f>IF($G723="","",SUMIFS($P$4:$P$2503,$E$4:$E$2503,$E723,$Z$4:$Z$2503,"正常"))</f>
        <v/>
      </c>
      <c r="R723" s="26">
        <f>IF($G723="","",SUMIFS(费用台账!$I$4:$I$503,费用台账!$C$4:$C$503,$E723,费用台账!$J$4:$J$503,"是",费用台账!$K$4:$K$503,"正常"))</f>
        <v/>
      </c>
      <c r="S723" s="28">
        <f>IF($G723="","",COUNTIFS($E$4:$E$2503,$E723,$Z$4:$Z$2503,"正常",$Y$4:$Y$2503,"待补价"))</f>
        <v/>
      </c>
      <c r="T723" s="26">
        <f>IF($G723="","",SUMIFS($P$4:$P$2503,$E$4:$E$2503,$E723,$Z$4:$Z$2503,"正常",$A$4:$A$2503,"&lt;="&amp;$A723))</f>
        <v/>
      </c>
      <c r="U723" s="26">
        <f>IF($G723="","",IF(OR($S723&gt;0,$Q723=0,$R723=0,$Z723&lt;&gt;"正常"),0,ROUND($T723/$Q723*$R723,0)-ROUND(($T723-$P723)/$Q723*$R723,0)))</f>
        <v/>
      </c>
      <c r="V723" s="26">
        <f>IF($G723="","",ROUND($P723+$U723,0))</f>
        <v/>
      </c>
      <c r="W723" s="26">
        <f>IF($G723="","",IF(N($K723)=0,0,ROUND($V723/$K723,2)))</f>
        <v/>
      </c>
      <c r="X723" s="17" t="inlineStr">
        <is>
          <t>采购入库</t>
        </is>
      </c>
      <c r="Y723" s="17" t="inlineStr">
        <is>
          <t>正常</t>
        </is>
      </c>
      <c r="Z723" s="17" t="inlineStr">
        <is>
          <t>正常</t>
        </is>
      </c>
      <c r="AA723" s="17" t="n"/>
      <c r="AB723" s="17" t="inlineStr">
        <is>
          <t>原表第 731 行</t>
        </is>
      </c>
      <c r="AC723" s="24">
        <f>IF($G723="","",IF($H723="※编码不在物料档案里","※物料编码不在档案里",IF(N($K723)&lt;=0,"※入库数量要大于 0",IF(AND($C723&lt;&gt;"",$C723&lt;=结账锁),"※日期早于已结账截止日，不能再录",IF(AND($L723=0,$X723="正常"),"※没填单价，价格状态请选「待补价」",IF(AND($S723&gt;0,$R723&gt;0),"△本批有 "&amp;$S723&amp;" 行没单价，整批运费先挂账没摊",IF(AND($B723&lt;&gt;"",COUNTIF($B$4:$B$2503,$B723)&gt;1),"※入库单号重复","")))))))</f>
        <v/>
      </c>
    </row>
    <row r="724">
      <c r="A724" s="24">
        <f>IF($G724="","",COUNTA($G$4:$G724))</f>
        <v/>
      </c>
      <c r="B724" s="17" t="n"/>
      <c r="C724" s="30" t="n">
        <v>46158</v>
      </c>
      <c r="D724" s="17" t="inlineStr">
        <is>
          <t>A国内</t>
        </is>
      </c>
      <c r="E724" s="17" t="inlineStr">
        <is>
          <t>DRYU9381826-202605</t>
        </is>
      </c>
      <c r="F724" s="17" t="inlineStr">
        <is>
          <t>鑫洋</t>
        </is>
      </c>
      <c r="G724" s="17" t="inlineStr">
        <is>
          <t>JH0653</t>
        </is>
      </c>
      <c r="H724" s="24">
        <f>IF($G724="","",IFERROR(VLOOKUP($G724,物料档案!$A$4:$P$1203,3,0),"※编码不在物料档案里"))</f>
        <v/>
      </c>
      <c r="I724" s="24">
        <f>IF($G724="","",IFERROR(VLOOKUP($G724,物料档案!$A$4:$P$1203,4,0),"※编码不在物料档案里"))</f>
        <v/>
      </c>
      <c r="J724" s="24">
        <f>IF($G724="","",IFERROR(VLOOKUP($G724,物料档案!$A$4:$P$1203,5,0),"※编码不在物料档案里"))</f>
        <v/>
      </c>
      <c r="K724" s="23" t="n">
        <v>4</v>
      </c>
      <c r="L724" s="31" t="n">
        <v>480</v>
      </c>
      <c r="M724" s="24">
        <f>IF($G724="","",IF($D724="A国内","CNY","TZS"))</f>
        <v/>
      </c>
      <c r="N724" s="28">
        <f>IF($G724="","",IF($D724="A国内",汇率,1))</f>
        <v/>
      </c>
      <c r="O724" s="25">
        <f>IF($G724="","",ROUND(N($K724)*N($L724),2))</f>
        <v/>
      </c>
      <c r="P724" s="26">
        <f>IF($G724="","",ROUND($O724*$N724,0))</f>
        <v/>
      </c>
      <c r="Q724" s="26">
        <f>IF($G724="","",SUMIFS($P$4:$P$2503,$E$4:$E$2503,$E724,$Z$4:$Z$2503,"正常"))</f>
        <v/>
      </c>
      <c r="R724" s="26">
        <f>IF($G724="","",SUMIFS(费用台账!$I$4:$I$503,费用台账!$C$4:$C$503,$E724,费用台账!$J$4:$J$503,"是",费用台账!$K$4:$K$503,"正常"))</f>
        <v/>
      </c>
      <c r="S724" s="28">
        <f>IF($G724="","",COUNTIFS($E$4:$E$2503,$E724,$Z$4:$Z$2503,"正常",$Y$4:$Y$2503,"待补价"))</f>
        <v/>
      </c>
      <c r="T724" s="26">
        <f>IF($G724="","",SUMIFS($P$4:$P$2503,$E$4:$E$2503,$E724,$Z$4:$Z$2503,"正常",$A$4:$A$2503,"&lt;="&amp;$A724))</f>
        <v/>
      </c>
      <c r="U724" s="26">
        <f>IF($G724="","",IF(OR($S724&gt;0,$Q724=0,$R724=0,$Z724&lt;&gt;"正常"),0,ROUND($T724/$Q724*$R724,0)-ROUND(($T724-$P724)/$Q724*$R724,0)))</f>
        <v/>
      </c>
      <c r="V724" s="26">
        <f>IF($G724="","",ROUND($P724+$U724,0))</f>
        <v/>
      </c>
      <c r="W724" s="26">
        <f>IF($G724="","",IF(N($K724)=0,0,ROUND($V724/$K724,2)))</f>
        <v/>
      </c>
      <c r="X724" s="17" t="inlineStr">
        <is>
          <t>采购入库</t>
        </is>
      </c>
      <c r="Y724" s="17" t="inlineStr">
        <is>
          <t>正常</t>
        </is>
      </c>
      <c r="Z724" s="17" t="inlineStr">
        <is>
          <t>正常</t>
        </is>
      </c>
      <c r="AA724" s="17" t="n"/>
      <c r="AB724" s="17" t="inlineStr">
        <is>
          <t>原表第 732 行</t>
        </is>
      </c>
      <c r="AC724" s="24">
        <f>IF($G724="","",IF($H724="※编码不在物料档案里","※物料编码不在档案里",IF(N($K724)&lt;=0,"※入库数量要大于 0",IF(AND($C724&lt;&gt;"",$C724&lt;=结账锁),"※日期早于已结账截止日，不能再录",IF(AND($L724=0,$X724="正常"),"※没填单价，价格状态请选「待补价」",IF(AND($S724&gt;0,$R724&gt;0),"△本批有 "&amp;$S724&amp;" 行没单价，整批运费先挂账没摊",IF(AND($B724&lt;&gt;"",COUNTIF($B$4:$B$2503,$B724)&gt;1),"※入库单号重复","")))))))</f>
        <v/>
      </c>
    </row>
    <row r="725">
      <c r="A725" s="24">
        <f>IF($G725="","",COUNTA($G$4:$G725))</f>
        <v/>
      </c>
      <c r="B725" s="17" t="n"/>
      <c r="C725" s="30" t="n">
        <v>46158</v>
      </c>
      <c r="D725" s="17" t="inlineStr">
        <is>
          <t>A国内</t>
        </is>
      </c>
      <c r="E725" s="17" t="inlineStr">
        <is>
          <t>DRYU9381826-202605</t>
        </is>
      </c>
      <c r="F725" s="17" t="inlineStr">
        <is>
          <t>鑫洋</t>
        </is>
      </c>
      <c r="G725" s="17" t="inlineStr">
        <is>
          <t>JH0654</t>
        </is>
      </c>
      <c r="H725" s="24">
        <f>IF($G725="","",IFERROR(VLOOKUP($G725,物料档案!$A$4:$P$1203,3,0),"※编码不在物料档案里"))</f>
        <v/>
      </c>
      <c r="I725" s="24">
        <f>IF($G725="","",IFERROR(VLOOKUP($G725,物料档案!$A$4:$P$1203,4,0),"※编码不在物料档案里"))</f>
        <v/>
      </c>
      <c r="J725" s="24">
        <f>IF($G725="","",IFERROR(VLOOKUP($G725,物料档案!$A$4:$P$1203,5,0),"※编码不在物料档案里"))</f>
        <v/>
      </c>
      <c r="K725" s="23" t="n">
        <v>1</v>
      </c>
      <c r="L725" s="31" t="n">
        <v>32</v>
      </c>
      <c r="M725" s="24">
        <f>IF($G725="","",IF($D725="A国内","CNY","TZS"))</f>
        <v/>
      </c>
      <c r="N725" s="28">
        <f>IF($G725="","",IF($D725="A国内",汇率,1))</f>
        <v/>
      </c>
      <c r="O725" s="25">
        <f>IF($G725="","",ROUND(N($K725)*N($L725),2))</f>
        <v/>
      </c>
      <c r="P725" s="26">
        <f>IF($G725="","",ROUND($O725*$N725,0))</f>
        <v/>
      </c>
      <c r="Q725" s="26">
        <f>IF($G725="","",SUMIFS($P$4:$P$2503,$E$4:$E$2503,$E725,$Z$4:$Z$2503,"正常"))</f>
        <v/>
      </c>
      <c r="R725" s="26">
        <f>IF($G725="","",SUMIFS(费用台账!$I$4:$I$503,费用台账!$C$4:$C$503,$E725,费用台账!$J$4:$J$503,"是",费用台账!$K$4:$K$503,"正常"))</f>
        <v/>
      </c>
      <c r="S725" s="28">
        <f>IF($G725="","",COUNTIFS($E$4:$E$2503,$E725,$Z$4:$Z$2503,"正常",$Y$4:$Y$2503,"待补价"))</f>
        <v/>
      </c>
      <c r="T725" s="26">
        <f>IF($G725="","",SUMIFS($P$4:$P$2503,$E$4:$E$2503,$E725,$Z$4:$Z$2503,"正常",$A$4:$A$2503,"&lt;="&amp;$A725))</f>
        <v/>
      </c>
      <c r="U725" s="26">
        <f>IF($G725="","",IF(OR($S725&gt;0,$Q725=0,$R725=0,$Z725&lt;&gt;"正常"),0,ROUND($T725/$Q725*$R725,0)-ROUND(($T725-$P725)/$Q725*$R725,0)))</f>
        <v/>
      </c>
      <c r="V725" s="26">
        <f>IF($G725="","",ROUND($P725+$U725,0))</f>
        <v/>
      </c>
      <c r="W725" s="26">
        <f>IF($G725="","",IF(N($K725)=0,0,ROUND($V725/$K725,2)))</f>
        <v/>
      </c>
      <c r="X725" s="17" t="inlineStr">
        <is>
          <t>采购入库</t>
        </is>
      </c>
      <c r="Y725" s="17" t="inlineStr">
        <is>
          <t>正常</t>
        </is>
      </c>
      <c r="Z725" s="17" t="inlineStr">
        <is>
          <t>正常</t>
        </is>
      </c>
      <c r="AA725" s="17" t="n"/>
      <c r="AB725" s="17" t="inlineStr">
        <is>
          <t>原表第 733 行</t>
        </is>
      </c>
      <c r="AC725" s="24">
        <f>IF($G725="","",IF($H725="※编码不在物料档案里","※物料编码不在档案里",IF(N($K725)&lt;=0,"※入库数量要大于 0",IF(AND($C725&lt;&gt;"",$C725&lt;=结账锁),"※日期早于已结账截止日，不能再录",IF(AND($L725=0,$X725="正常"),"※没填单价，价格状态请选「待补价」",IF(AND($S725&gt;0,$R725&gt;0),"△本批有 "&amp;$S725&amp;" 行没单价，整批运费先挂账没摊",IF(AND($B725&lt;&gt;"",COUNTIF($B$4:$B$2503,$B725)&gt;1),"※入库单号重复","")))))))</f>
        <v/>
      </c>
    </row>
    <row r="726">
      <c r="A726" s="24">
        <f>IF($G726="","",COUNTA($G$4:$G726))</f>
        <v/>
      </c>
      <c r="B726" s="17" t="n"/>
      <c r="C726" s="30" t="n">
        <v>46158</v>
      </c>
      <c r="D726" s="17" t="inlineStr">
        <is>
          <t>A国内</t>
        </is>
      </c>
      <c r="E726" s="17" t="inlineStr">
        <is>
          <t>DRYU9381826-202605</t>
        </is>
      </c>
      <c r="F726" s="17" t="inlineStr">
        <is>
          <t>鑫洋</t>
        </is>
      </c>
      <c r="G726" s="17" t="inlineStr">
        <is>
          <t>JH0655</t>
        </is>
      </c>
      <c r="H726" s="24">
        <f>IF($G726="","",IFERROR(VLOOKUP($G726,物料档案!$A$4:$P$1203,3,0),"※编码不在物料档案里"))</f>
        <v/>
      </c>
      <c r="I726" s="24">
        <f>IF($G726="","",IFERROR(VLOOKUP($G726,物料档案!$A$4:$P$1203,4,0),"※编码不在物料档案里"))</f>
        <v/>
      </c>
      <c r="J726" s="24">
        <f>IF($G726="","",IFERROR(VLOOKUP($G726,物料档案!$A$4:$P$1203,5,0),"※编码不在物料档案里"))</f>
        <v/>
      </c>
      <c r="K726" s="23" t="n">
        <v>2</v>
      </c>
      <c r="L726" s="31" t="n">
        <v>65</v>
      </c>
      <c r="M726" s="24">
        <f>IF($G726="","",IF($D726="A国内","CNY","TZS"))</f>
        <v/>
      </c>
      <c r="N726" s="28">
        <f>IF($G726="","",IF($D726="A国内",汇率,1))</f>
        <v/>
      </c>
      <c r="O726" s="25">
        <f>IF($G726="","",ROUND(N($K726)*N($L726),2))</f>
        <v/>
      </c>
      <c r="P726" s="26">
        <f>IF($G726="","",ROUND($O726*$N726,0))</f>
        <v/>
      </c>
      <c r="Q726" s="26">
        <f>IF($G726="","",SUMIFS($P$4:$P$2503,$E$4:$E$2503,$E726,$Z$4:$Z$2503,"正常"))</f>
        <v/>
      </c>
      <c r="R726" s="26">
        <f>IF($G726="","",SUMIFS(费用台账!$I$4:$I$503,费用台账!$C$4:$C$503,$E726,费用台账!$J$4:$J$503,"是",费用台账!$K$4:$K$503,"正常"))</f>
        <v/>
      </c>
      <c r="S726" s="28">
        <f>IF($G726="","",COUNTIFS($E$4:$E$2503,$E726,$Z$4:$Z$2503,"正常",$Y$4:$Y$2503,"待补价"))</f>
        <v/>
      </c>
      <c r="T726" s="26">
        <f>IF($G726="","",SUMIFS($P$4:$P$2503,$E$4:$E$2503,$E726,$Z$4:$Z$2503,"正常",$A$4:$A$2503,"&lt;="&amp;$A726))</f>
        <v/>
      </c>
      <c r="U726" s="26">
        <f>IF($G726="","",IF(OR($S726&gt;0,$Q726=0,$R726=0,$Z726&lt;&gt;"正常"),0,ROUND($T726/$Q726*$R726,0)-ROUND(($T726-$P726)/$Q726*$R726,0)))</f>
        <v/>
      </c>
      <c r="V726" s="26">
        <f>IF($G726="","",ROUND($P726+$U726,0))</f>
        <v/>
      </c>
      <c r="W726" s="26">
        <f>IF($G726="","",IF(N($K726)=0,0,ROUND($V726/$K726,2)))</f>
        <v/>
      </c>
      <c r="X726" s="17" t="inlineStr">
        <is>
          <t>采购入库</t>
        </is>
      </c>
      <c r="Y726" s="17" t="inlineStr">
        <is>
          <t>正常</t>
        </is>
      </c>
      <c r="Z726" s="17" t="inlineStr">
        <is>
          <t>正常</t>
        </is>
      </c>
      <c r="AA726" s="17" t="n"/>
      <c r="AB726" s="17" t="inlineStr">
        <is>
          <t>原表第 734 行</t>
        </is>
      </c>
      <c r="AC726" s="24">
        <f>IF($G726="","",IF($H726="※编码不在物料档案里","※物料编码不在档案里",IF(N($K726)&lt;=0,"※入库数量要大于 0",IF(AND($C726&lt;&gt;"",$C726&lt;=结账锁),"※日期早于已结账截止日，不能再录",IF(AND($L726=0,$X726="正常"),"※没填单价，价格状态请选「待补价」",IF(AND($S726&gt;0,$R726&gt;0),"△本批有 "&amp;$S726&amp;" 行没单价，整批运费先挂账没摊",IF(AND($B726&lt;&gt;"",COUNTIF($B$4:$B$2503,$B726)&gt;1),"※入库单号重复","")))))))</f>
        <v/>
      </c>
    </row>
    <row r="727">
      <c r="A727" s="24">
        <f>IF($G727="","",COUNTA($G$4:$G727))</f>
        <v/>
      </c>
      <c r="B727" s="17" t="n"/>
      <c r="C727" s="30" t="n">
        <v>46158</v>
      </c>
      <c r="D727" s="17" t="inlineStr">
        <is>
          <t>A国内</t>
        </is>
      </c>
      <c r="E727" s="17" t="inlineStr">
        <is>
          <t>DRYU9381826-202605</t>
        </is>
      </c>
      <c r="F727" s="17" t="inlineStr">
        <is>
          <t>鑫洋</t>
        </is>
      </c>
      <c r="G727" s="17" t="inlineStr">
        <is>
          <t>JH0656</t>
        </is>
      </c>
      <c r="H727" s="24">
        <f>IF($G727="","",IFERROR(VLOOKUP($G727,物料档案!$A$4:$P$1203,3,0),"※编码不在物料档案里"))</f>
        <v/>
      </c>
      <c r="I727" s="24">
        <f>IF($G727="","",IFERROR(VLOOKUP($G727,物料档案!$A$4:$P$1203,4,0),"※编码不在物料档案里"))</f>
        <v/>
      </c>
      <c r="J727" s="24">
        <f>IF($G727="","",IFERROR(VLOOKUP($G727,物料档案!$A$4:$P$1203,5,0),"※编码不在物料档案里"))</f>
        <v/>
      </c>
      <c r="K727" s="23" t="n">
        <v>2</v>
      </c>
      <c r="L727" s="31" t="n">
        <v>28</v>
      </c>
      <c r="M727" s="24">
        <f>IF($G727="","",IF($D727="A国内","CNY","TZS"))</f>
        <v/>
      </c>
      <c r="N727" s="28">
        <f>IF($G727="","",IF($D727="A国内",汇率,1))</f>
        <v/>
      </c>
      <c r="O727" s="25">
        <f>IF($G727="","",ROUND(N($K727)*N($L727),2))</f>
        <v/>
      </c>
      <c r="P727" s="26">
        <f>IF($G727="","",ROUND($O727*$N727,0))</f>
        <v/>
      </c>
      <c r="Q727" s="26">
        <f>IF($G727="","",SUMIFS($P$4:$P$2503,$E$4:$E$2503,$E727,$Z$4:$Z$2503,"正常"))</f>
        <v/>
      </c>
      <c r="R727" s="26">
        <f>IF($G727="","",SUMIFS(费用台账!$I$4:$I$503,费用台账!$C$4:$C$503,$E727,费用台账!$J$4:$J$503,"是",费用台账!$K$4:$K$503,"正常"))</f>
        <v/>
      </c>
      <c r="S727" s="28">
        <f>IF($G727="","",COUNTIFS($E$4:$E$2503,$E727,$Z$4:$Z$2503,"正常",$Y$4:$Y$2503,"待补价"))</f>
        <v/>
      </c>
      <c r="T727" s="26">
        <f>IF($G727="","",SUMIFS($P$4:$P$2503,$E$4:$E$2503,$E727,$Z$4:$Z$2503,"正常",$A$4:$A$2503,"&lt;="&amp;$A727))</f>
        <v/>
      </c>
      <c r="U727" s="26">
        <f>IF($G727="","",IF(OR($S727&gt;0,$Q727=0,$R727=0,$Z727&lt;&gt;"正常"),0,ROUND($T727/$Q727*$R727,0)-ROUND(($T727-$P727)/$Q727*$R727,0)))</f>
        <v/>
      </c>
      <c r="V727" s="26">
        <f>IF($G727="","",ROUND($P727+$U727,0))</f>
        <v/>
      </c>
      <c r="W727" s="26">
        <f>IF($G727="","",IF(N($K727)=0,0,ROUND($V727/$K727,2)))</f>
        <v/>
      </c>
      <c r="X727" s="17" t="inlineStr">
        <is>
          <t>采购入库</t>
        </is>
      </c>
      <c r="Y727" s="17" t="inlineStr">
        <is>
          <t>正常</t>
        </is>
      </c>
      <c r="Z727" s="17" t="inlineStr">
        <is>
          <t>正常</t>
        </is>
      </c>
      <c r="AA727" s="17" t="n"/>
      <c r="AB727" s="17" t="inlineStr">
        <is>
          <t>原表第 735 行</t>
        </is>
      </c>
      <c r="AC727" s="24">
        <f>IF($G727="","",IF($H727="※编码不在物料档案里","※物料编码不在档案里",IF(N($K727)&lt;=0,"※入库数量要大于 0",IF(AND($C727&lt;&gt;"",$C727&lt;=结账锁),"※日期早于已结账截止日，不能再录",IF(AND($L727=0,$X727="正常"),"※没填单价，价格状态请选「待补价」",IF(AND($S727&gt;0,$R727&gt;0),"△本批有 "&amp;$S727&amp;" 行没单价，整批运费先挂账没摊",IF(AND($B727&lt;&gt;"",COUNTIF($B$4:$B$2503,$B727)&gt;1),"※入库单号重复","")))))))</f>
        <v/>
      </c>
    </row>
    <row r="728">
      <c r="A728" s="24">
        <f>IF($G728="","",COUNTA($G$4:$G728))</f>
        <v/>
      </c>
      <c r="B728" s="17" t="n"/>
      <c r="C728" s="30" t="n">
        <v>46158</v>
      </c>
      <c r="D728" s="17" t="inlineStr">
        <is>
          <t>A国内</t>
        </is>
      </c>
      <c r="E728" s="17" t="inlineStr">
        <is>
          <t>DRYU9381826-202605</t>
        </is>
      </c>
      <c r="F728" s="17" t="inlineStr">
        <is>
          <t>鑫洋</t>
        </is>
      </c>
      <c r="G728" s="17" t="inlineStr">
        <is>
          <t>JH0657</t>
        </is>
      </c>
      <c r="H728" s="24">
        <f>IF($G728="","",IFERROR(VLOOKUP($G728,物料档案!$A$4:$P$1203,3,0),"※编码不在物料档案里"))</f>
        <v/>
      </c>
      <c r="I728" s="24">
        <f>IF($G728="","",IFERROR(VLOOKUP($G728,物料档案!$A$4:$P$1203,4,0),"※编码不在物料档案里"))</f>
        <v/>
      </c>
      <c r="J728" s="24">
        <f>IF($G728="","",IFERROR(VLOOKUP($G728,物料档案!$A$4:$P$1203,5,0),"※编码不在物料档案里"))</f>
        <v/>
      </c>
      <c r="K728" s="23" t="n">
        <v>2</v>
      </c>
      <c r="L728" s="31" t="n">
        <v>30</v>
      </c>
      <c r="M728" s="24">
        <f>IF($G728="","",IF($D728="A国内","CNY","TZS"))</f>
        <v/>
      </c>
      <c r="N728" s="28">
        <f>IF($G728="","",IF($D728="A国内",汇率,1))</f>
        <v/>
      </c>
      <c r="O728" s="25">
        <f>IF($G728="","",ROUND(N($K728)*N($L728),2))</f>
        <v/>
      </c>
      <c r="P728" s="26">
        <f>IF($G728="","",ROUND($O728*$N728,0))</f>
        <v/>
      </c>
      <c r="Q728" s="26">
        <f>IF($G728="","",SUMIFS($P$4:$P$2503,$E$4:$E$2503,$E728,$Z$4:$Z$2503,"正常"))</f>
        <v/>
      </c>
      <c r="R728" s="26">
        <f>IF($G728="","",SUMIFS(费用台账!$I$4:$I$503,费用台账!$C$4:$C$503,$E728,费用台账!$J$4:$J$503,"是",费用台账!$K$4:$K$503,"正常"))</f>
        <v/>
      </c>
      <c r="S728" s="28">
        <f>IF($G728="","",COUNTIFS($E$4:$E$2503,$E728,$Z$4:$Z$2503,"正常",$Y$4:$Y$2503,"待补价"))</f>
        <v/>
      </c>
      <c r="T728" s="26">
        <f>IF($G728="","",SUMIFS($P$4:$P$2503,$E$4:$E$2503,$E728,$Z$4:$Z$2503,"正常",$A$4:$A$2503,"&lt;="&amp;$A728))</f>
        <v/>
      </c>
      <c r="U728" s="26">
        <f>IF($G728="","",IF(OR($S728&gt;0,$Q728=0,$R728=0,$Z728&lt;&gt;"正常"),0,ROUND($T728/$Q728*$R728,0)-ROUND(($T728-$P728)/$Q728*$R728,0)))</f>
        <v/>
      </c>
      <c r="V728" s="26">
        <f>IF($G728="","",ROUND($P728+$U728,0))</f>
        <v/>
      </c>
      <c r="W728" s="26">
        <f>IF($G728="","",IF(N($K728)=0,0,ROUND($V728/$K728,2)))</f>
        <v/>
      </c>
      <c r="X728" s="17" t="inlineStr">
        <is>
          <t>采购入库</t>
        </is>
      </c>
      <c r="Y728" s="17" t="inlineStr">
        <is>
          <t>正常</t>
        </is>
      </c>
      <c r="Z728" s="17" t="inlineStr">
        <is>
          <t>正常</t>
        </is>
      </c>
      <c r="AA728" s="17" t="n"/>
      <c r="AB728" s="17" t="inlineStr">
        <is>
          <t>原表第 736 行</t>
        </is>
      </c>
      <c r="AC728" s="24">
        <f>IF($G728="","",IF($H728="※编码不在物料档案里","※物料编码不在档案里",IF(N($K728)&lt;=0,"※入库数量要大于 0",IF(AND($C728&lt;&gt;"",$C728&lt;=结账锁),"※日期早于已结账截止日，不能再录",IF(AND($L728=0,$X728="正常"),"※没填单价，价格状态请选「待补价」",IF(AND($S728&gt;0,$R728&gt;0),"△本批有 "&amp;$S728&amp;" 行没单价，整批运费先挂账没摊",IF(AND($B728&lt;&gt;"",COUNTIF($B$4:$B$2503,$B728)&gt;1),"※入库单号重复","")))))))</f>
        <v/>
      </c>
    </row>
    <row r="729">
      <c r="A729" s="24">
        <f>IF($G729="","",COUNTA($G$4:$G729))</f>
        <v/>
      </c>
      <c r="B729" s="17" t="n"/>
      <c r="C729" s="30" t="n">
        <v>46158</v>
      </c>
      <c r="D729" s="17" t="inlineStr">
        <is>
          <t>A国内</t>
        </is>
      </c>
      <c r="E729" s="17" t="inlineStr">
        <is>
          <t>DRYU9381826-202605</t>
        </is>
      </c>
      <c r="F729" s="17" t="inlineStr">
        <is>
          <t>鑫洋</t>
        </is>
      </c>
      <c r="G729" s="17" t="inlineStr">
        <is>
          <t>JH0658</t>
        </is>
      </c>
      <c r="H729" s="24">
        <f>IF($G729="","",IFERROR(VLOOKUP($G729,物料档案!$A$4:$P$1203,3,0),"※编码不在物料档案里"))</f>
        <v/>
      </c>
      <c r="I729" s="24">
        <f>IF($G729="","",IFERROR(VLOOKUP($G729,物料档案!$A$4:$P$1203,4,0),"※编码不在物料档案里"))</f>
        <v/>
      </c>
      <c r="J729" s="24">
        <f>IF($G729="","",IFERROR(VLOOKUP($G729,物料档案!$A$4:$P$1203,5,0),"※编码不在物料档案里"))</f>
        <v/>
      </c>
      <c r="K729" s="23" t="n">
        <v>1</v>
      </c>
      <c r="L729" s="31" t="n">
        <v>48</v>
      </c>
      <c r="M729" s="24">
        <f>IF($G729="","",IF($D729="A国内","CNY","TZS"))</f>
        <v/>
      </c>
      <c r="N729" s="28">
        <f>IF($G729="","",IF($D729="A国内",汇率,1))</f>
        <v/>
      </c>
      <c r="O729" s="25">
        <f>IF($G729="","",ROUND(N($K729)*N($L729),2))</f>
        <v/>
      </c>
      <c r="P729" s="26">
        <f>IF($G729="","",ROUND($O729*$N729,0))</f>
        <v/>
      </c>
      <c r="Q729" s="26">
        <f>IF($G729="","",SUMIFS($P$4:$P$2503,$E$4:$E$2503,$E729,$Z$4:$Z$2503,"正常"))</f>
        <v/>
      </c>
      <c r="R729" s="26">
        <f>IF($G729="","",SUMIFS(费用台账!$I$4:$I$503,费用台账!$C$4:$C$503,$E729,费用台账!$J$4:$J$503,"是",费用台账!$K$4:$K$503,"正常"))</f>
        <v/>
      </c>
      <c r="S729" s="28">
        <f>IF($G729="","",COUNTIFS($E$4:$E$2503,$E729,$Z$4:$Z$2503,"正常",$Y$4:$Y$2503,"待补价"))</f>
        <v/>
      </c>
      <c r="T729" s="26">
        <f>IF($G729="","",SUMIFS($P$4:$P$2503,$E$4:$E$2503,$E729,$Z$4:$Z$2503,"正常",$A$4:$A$2503,"&lt;="&amp;$A729))</f>
        <v/>
      </c>
      <c r="U729" s="26">
        <f>IF($G729="","",IF(OR($S729&gt;0,$Q729=0,$R729=0,$Z729&lt;&gt;"正常"),0,ROUND($T729/$Q729*$R729,0)-ROUND(($T729-$P729)/$Q729*$R729,0)))</f>
        <v/>
      </c>
      <c r="V729" s="26">
        <f>IF($G729="","",ROUND($P729+$U729,0))</f>
        <v/>
      </c>
      <c r="W729" s="26">
        <f>IF($G729="","",IF(N($K729)=0,0,ROUND($V729/$K729,2)))</f>
        <v/>
      </c>
      <c r="X729" s="17" t="inlineStr">
        <is>
          <t>采购入库</t>
        </is>
      </c>
      <c r="Y729" s="17" t="inlineStr">
        <is>
          <t>正常</t>
        </is>
      </c>
      <c r="Z729" s="17" t="inlineStr">
        <is>
          <t>正常</t>
        </is>
      </c>
      <c r="AA729" s="17" t="n"/>
      <c r="AB729" s="17" t="inlineStr">
        <is>
          <t>原表第 737 行</t>
        </is>
      </c>
      <c r="AC729" s="24">
        <f>IF($G729="","",IF($H729="※编码不在物料档案里","※物料编码不在档案里",IF(N($K729)&lt;=0,"※入库数量要大于 0",IF(AND($C729&lt;&gt;"",$C729&lt;=结账锁),"※日期早于已结账截止日，不能再录",IF(AND($L729=0,$X729="正常"),"※没填单价，价格状态请选「待补价」",IF(AND($S729&gt;0,$R729&gt;0),"△本批有 "&amp;$S729&amp;" 行没单价，整批运费先挂账没摊",IF(AND($B729&lt;&gt;"",COUNTIF($B$4:$B$2503,$B729)&gt;1),"※入库单号重复","")))))))</f>
        <v/>
      </c>
    </row>
    <row r="730">
      <c r="A730" s="24">
        <f>IF($G730="","",COUNTA($G$4:$G730))</f>
        <v/>
      </c>
      <c r="B730" s="17" t="n"/>
      <c r="C730" s="30" t="n">
        <v>46158</v>
      </c>
      <c r="D730" s="17" t="inlineStr">
        <is>
          <t>A国内</t>
        </is>
      </c>
      <c r="E730" s="17" t="inlineStr">
        <is>
          <t>DRYU9381826-202605</t>
        </is>
      </c>
      <c r="F730" s="17" t="inlineStr">
        <is>
          <t>厦门大华仪表</t>
        </is>
      </c>
      <c r="G730" s="17" t="inlineStr">
        <is>
          <t>JH0659</t>
        </is>
      </c>
      <c r="H730" s="24">
        <f>IF($G730="","",IFERROR(VLOOKUP($G730,物料档案!$A$4:$P$1203,3,0),"※编码不在物料档案里"))</f>
        <v/>
      </c>
      <c r="I730" s="24">
        <f>IF($G730="","",IFERROR(VLOOKUP($G730,物料档案!$A$4:$P$1203,4,0),"※编码不在物料档案里"))</f>
        <v/>
      </c>
      <c r="J730" s="24">
        <f>IF($G730="","",IFERROR(VLOOKUP($G730,物料档案!$A$4:$P$1203,5,0),"※编码不在物料档案里"))</f>
        <v/>
      </c>
      <c r="K730" s="23" t="n">
        <v>1</v>
      </c>
      <c r="L730" s="31" t="n">
        <v>41800</v>
      </c>
      <c r="M730" s="24">
        <f>IF($G730="","",IF($D730="A国内","CNY","TZS"))</f>
        <v/>
      </c>
      <c r="N730" s="28">
        <f>IF($G730="","",IF($D730="A国内",汇率,1))</f>
        <v/>
      </c>
      <c r="O730" s="25">
        <f>IF($G730="","",ROUND(N($K730)*N($L730),2))</f>
        <v/>
      </c>
      <c r="P730" s="26">
        <f>IF($G730="","",ROUND($O730*$N730,0))</f>
        <v/>
      </c>
      <c r="Q730" s="26">
        <f>IF($G730="","",SUMIFS($P$4:$P$2503,$E$4:$E$2503,$E730,$Z$4:$Z$2503,"正常"))</f>
        <v/>
      </c>
      <c r="R730" s="26">
        <f>IF($G730="","",SUMIFS(费用台账!$I$4:$I$503,费用台账!$C$4:$C$503,$E730,费用台账!$J$4:$J$503,"是",费用台账!$K$4:$K$503,"正常"))</f>
        <v/>
      </c>
      <c r="S730" s="28">
        <f>IF($G730="","",COUNTIFS($E$4:$E$2503,$E730,$Z$4:$Z$2503,"正常",$Y$4:$Y$2503,"待补价"))</f>
        <v/>
      </c>
      <c r="T730" s="26">
        <f>IF($G730="","",SUMIFS($P$4:$P$2503,$E$4:$E$2503,$E730,$Z$4:$Z$2503,"正常",$A$4:$A$2503,"&lt;="&amp;$A730))</f>
        <v/>
      </c>
      <c r="U730" s="26">
        <f>IF($G730="","",IF(OR($S730&gt;0,$Q730=0,$R730=0,$Z730&lt;&gt;"正常"),0,ROUND($T730/$Q730*$R730,0)-ROUND(($T730-$P730)/$Q730*$R730,0)))</f>
        <v/>
      </c>
      <c r="V730" s="26">
        <f>IF($G730="","",ROUND($P730+$U730,0))</f>
        <v/>
      </c>
      <c r="W730" s="26">
        <f>IF($G730="","",IF(N($K730)=0,0,ROUND($V730/$K730,2)))</f>
        <v/>
      </c>
      <c r="X730" s="17" t="inlineStr">
        <is>
          <t>采购入库</t>
        </is>
      </c>
      <c r="Y730" s="17" t="inlineStr">
        <is>
          <t>正常</t>
        </is>
      </c>
      <c r="Z730" s="17" t="inlineStr">
        <is>
          <t>正常</t>
        </is>
      </c>
      <c r="AA730" s="17" t="n"/>
      <c r="AB730" s="17" t="inlineStr">
        <is>
          <t>原表第 738 行</t>
        </is>
      </c>
      <c r="AC730" s="24">
        <f>IF($G730="","",IF($H730="※编码不在物料档案里","※物料编码不在档案里",IF(N($K730)&lt;=0,"※入库数量要大于 0",IF(AND($C730&lt;&gt;"",$C730&lt;=结账锁),"※日期早于已结账截止日，不能再录",IF(AND($L730=0,$X730="正常"),"※没填单价，价格状态请选「待补价」",IF(AND($S730&gt;0,$R730&gt;0),"△本批有 "&amp;$S730&amp;" 行没单价，整批运费先挂账没摊",IF(AND($B730&lt;&gt;"",COUNTIF($B$4:$B$2503,$B730)&gt;1),"※入库单号重复","")))))))</f>
        <v/>
      </c>
    </row>
    <row r="731">
      <c r="A731" s="24">
        <f>IF($G731="","",COUNTA($G$4:$G731))</f>
        <v/>
      </c>
      <c r="B731" s="17" t="n"/>
      <c r="C731" s="30" t="n">
        <v>46158</v>
      </c>
      <c r="D731" s="17" t="inlineStr">
        <is>
          <t>A国内</t>
        </is>
      </c>
      <c r="E731" s="17" t="inlineStr">
        <is>
          <t>DRYU9381826-202605</t>
        </is>
      </c>
      <c r="F731" s="17" t="inlineStr">
        <is>
          <t>厦门大华仪表</t>
        </is>
      </c>
      <c r="G731" s="17" t="inlineStr">
        <is>
          <t>JH0660</t>
        </is>
      </c>
      <c r="H731" s="24">
        <f>IF($G731="","",IFERROR(VLOOKUP($G731,物料档案!$A$4:$P$1203,3,0),"※编码不在物料档案里"))</f>
        <v/>
      </c>
      <c r="I731" s="24">
        <f>IF($G731="","",IFERROR(VLOOKUP($G731,物料档案!$A$4:$P$1203,4,0),"※编码不在物料档案里"))</f>
        <v/>
      </c>
      <c r="J731" s="24">
        <f>IF($G731="","",IFERROR(VLOOKUP($G731,物料档案!$A$4:$P$1203,5,0),"※编码不在物料档案里"))</f>
        <v/>
      </c>
      <c r="K731" s="23" t="n">
        <v>3</v>
      </c>
      <c r="L731" s="31" t="n"/>
      <c r="M731" s="24">
        <f>IF($G731="","",IF($D731="A国内","CNY","TZS"))</f>
        <v/>
      </c>
      <c r="N731" s="28">
        <f>IF($G731="","",IF($D731="A国内",汇率,1))</f>
        <v/>
      </c>
      <c r="O731" s="25">
        <f>IF($G731="","",ROUND(N($K731)*N($L731),2))</f>
        <v/>
      </c>
      <c r="P731" s="26">
        <f>IF($G731="","",ROUND($O731*$N731,0))</f>
        <v/>
      </c>
      <c r="Q731" s="26">
        <f>IF($G731="","",SUMIFS($P$4:$P$2503,$E$4:$E$2503,$E731,$Z$4:$Z$2503,"正常"))</f>
        <v/>
      </c>
      <c r="R731" s="26">
        <f>IF($G731="","",SUMIFS(费用台账!$I$4:$I$503,费用台账!$C$4:$C$503,$E731,费用台账!$J$4:$J$503,"是",费用台账!$K$4:$K$503,"正常"))</f>
        <v/>
      </c>
      <c r="S731" s="28">
        <f>IF($G731="","",COUNTIFS($E$4:$E$2503,$E731,$Z$4:$Z$2503,"正常",$Y$4:$Y$2503,"待补价"))</f>
        <v/>
      </c>
      <c r="T731" s="26">
        <f>IF($G731="","",SUMIFS($P$4:$P$2503,$E$4:$E$2503,$E731,$Z$4:$Z$2503,"正常",$A$4:$A$2503,"&lt;="&amp;$A731))</f>
        <v/>
      </c>
      <c r="U731" s="26">
        <f>IF($G731="","",IF(OR($S731&gt;0,$Q731=0,$R731=0,$Z731&lt;&gt;"正常"),0,ROUND($T731/$Q731*$R731,0)-ROUND(($T731-$P731)/$Q731*$R731,0)))</f>
        <v/>
      </c>
      <c r="V731" s="26">
        <f>IF($G731="","",ROUND($P731+$U731,0))</f>
        <v/>
      </c>
      <c r="W731" s="26">
        <f>IF($G731="","",IF(N($K731)=0,0,ROUND($V731/$K731,2)))</f>
        <v/>
      </c>
      <c r="X731" s="17" t="inlineStr">
        <is>
          <t>采购入库</t>
        </is>
      </c>
      <c r="Y731" s="17" t="inlineStr">
        <is>
          <t>待补价</t>
        </is>
      </c>
      <c r="Z731" s="17" t="inlineStr">
        <is>
          <t>正常</t>
        </is>
      </c>
      <c r="AA731" s="17" t="n"/>
      <c r="AB731" s="17" t="inlineStr">
        <is>
          <t>原表第 739 行</t>
        </is>
      </c>
      <c r="AC731" s="24">
        <f>IF($G731="","",IF($H731="※编码不在物料档案里","※物料编码不在档案里",IF(N($K731)&lt;=0,"※入库数量要大于 0",IF(AND($C731&lt;&gt;"",$C731&lt;=结账锁),"※日期早于已结账截止日，不能再录",IF(AND($L731=0,$X731="正常"),"※没填单价，价格状态请选「待补价」",IF(AND($S731&gt;0,$R731&gt;0),"△本批有 "&amp;$S731&amp;" 行没单价，整批运费先挂账没摊",IF(AND($B731&lt;&gt;"",COUNTIF($B$4:$B$2503,$B731)&gt;1),"※入库单号重复","")))))))</f>
        <v/>
      </c>
    </row>
    <row r="732">
      <c r="A732" s="24">
        <f>IF($G732="","",COUNTA($G$4:$G732))</f>
        <v/>
      </c>
      <c r="B732" s="17" t="n"/>
      <c r="C732" s="30" t="n">
        <v>46158</v>
      </c>
      <c r="D732" s="17" t="inlineStr">
        <is>
          <t>A国内</t>
        </is>
      </c>
      <c r="E732" s="17" t="inlineStr">
        <is>
          <t>DRYU9381826-202605</t>
        </is>
      </c>
      <c r="F732" s="17" t="inlineStr">
        <is>
          <t>厦门大华仪表</t>
        </is>
      </c>
      <c r="G732" s="17" t="inlineStr">
        <is>
          <t>JH0661</t>
        </is>
      </c>
      <c r="H732" s="24">
        <f>IF($G732="","",IFERROR(VLOOKUP($G732,物料档案!$A$4:$P$1203,3,0),"※编码不在物料档案里"))</f>
        <v/>
      </c>
      <c r="I732" s="24">
        <f>IF($G732="","",IFERROR(VLOOKUP($G732,物料档案!$A$4:$P$1203,4,0),"※编码不在物料档案里"))</f>
        <v/>
      </c>
      <c r="J732" s="24">
        <f>IF($G732="","",IFERROR(VLOOKUP($G732,物料档案!$A$4:$P$1203,5,0),"※编码不在物料档案里"))</f>
        <v/>
      </c>
      <c r="K732" s="23" t="n">
        <v>8</v>
      </c>
      <c r="L732" s="31" t="n"/>
      <c r="M732" s="24">
        <f>IF($G732="","",IF($D732="A国内","CNY","TZS"))</f>
        <v/>
      </c>
      <c r="N732" s="28">
        <f>IF($G732="","",IF($D732="A国内",汇率,1))</f>
        <v/>
      </c>
      <c r="O732" s="25">
        <f>IF($G732="","",ROUND(N($K732)*N($L732),2))</f>
        <v/>
      </c>
      <c r="P732" s="26">
        <f>IF($G732="","",ROUND($O732*$N732,0))</f>
        <v/>
      </c>
      <c r="Q732" s="26">
        <f>IF($G732="","",SUMIFS($P$4:$P$2503,$E$4:$E$2503,$E732,$Z$4:$Z$2503,"正常"))</f>
        <v/>
      </c>
      <c r="R732" s="26">
        <f>IF($G732="","",SUMIFS(费用台账!$I$4:$I$503,费用台账!$C$4:$C$503,$E732,费用台账!$J$4:$J$503,"是",费用台账!$K$4:$K$503,"正常"))</f>
        <v/>
      </c>
      <c r="S732" s="28">
        <f>IF($G732="","",COUNTIFS($E$4:$E$2503,$E732,$Z$4:$Z$2503,"正常",$Y$4:$Y$2503,"待补价"))</f>
        <v/>
      </c>
      <c r="T732" s="26">
        <f>IF($G732="","",SUMIFS($P$4:$P$2503,$E$4:$E$2503,$E732,$Z$4:$Z$2503,"正常",$A$4:$A$2503,"&lt;="&amp;$A732))</f>
        <v/>
      </c>
      <c r="U732" s="26">
        <f>IF($G732="","",IF(OR($S732&gt;0,$Q732=0,$R732=0,$Z732&lt;&gt;"正常"),0,ROUND($T732/$Q732*$R732,0)-ROUND(($T732-$P732)/$Q732*$R732,0)))</f>
        <v/>
      </c>
      <c r="V732" s="26">
        <f>IF($G732="","",ROUND($P732+$U732,0))</f>
        <v/>
      </c>
      <c r="W732" s="26">
        <f>IF($G732="","",IF(N($K732)=0,0,ROUND($V732/$K732,2)))</f>
        <v/>
      </c>
      <c r="X732" s="17" t="inlineStr">
        <is>
          <t>采购入库</t>
        </is>
      </c>
      <c r="Y732" s="17" t="inlineStr">
        <is>
          <t>待补价</t>
        </is>
      </c>
      <c r="Z732" s="17" t="inlineStr">
        <is>
          <t>正常</t>
        </is>
      </c>
      <c r="AA732" s="17" t="n"/>
      <c r="AB732" s="17" t="inlineStr">
        <is>
          <t>原表第 740 行</t>
        </is>
      </c>
      <c r="AC732" s="24">
        <f>IF($G732="","",IF($H732="※编码不在物料档案里","※物料编码不在档案里",IF(N($K732)&lt;=0,"※入库数量要大于 0",IF(AND($C732&lt;&gt;"",$C732&lt;=结账锁),"※日期早于已结账截止日，不能再录",IF(AND($L732=0,$X732="正常"),"※没填单价，价格状态请选「待补价」",IF(AND($S732&gt;0,$R732&gt;0),"△本批有 "&amp;$S732&amp;" 行没单价，整批运费先挂账没摊",IF(AND($B732&lt;&gt;"",COUNTIF($B$4:$B$2503,$B732)&gt;1),"※入库单号重复","")))))))</f>
        <v/>
      </c>
    </row>
    <row r="733">
      <c r="A733" s="24">
        <f>IF($G733="","",COUNTA($G$4:$G733))</f>
        <v/>
      </c>
      <c r="B733" s="17" t="n"/>
      <c r="C733" s="30" t="n">
        <v>46158</v>
      </c>
      <c r="D733" s="17" t="inlineStr">
        <is>
          <t>A国内</t>
        </is>
      </c>
      <c r="E733" s="17" t="inlineStr">
        <is>
          <t>DRYU9381826-202605</t>
        </is>
      </c>
      <c r="F733" s="17" t="inlineStr">
        <is>
          <t>厦门大华仪表</t>
        </is>
      </c>
      <c r="G733" s="17" t="inlineStr">
        <is>
          <t>JH0662</t>
        </is>
      </c>
      <c r="H733" s="24">
        <f>IF($G733="","",IFERROR(VLOOKUP($G733,物料档案!$A$4:$P$1203,3,0),"※编码不在物料档案里"))</f>
        <v/>
      </c>
      <c r="I733" s="24">
        <f>IF($G733="","",IFERROR(VLOOKUP($G733,物料档案!$A$4:$P$1203,4,0),"※编码不在物料档案里"))</f>
        <v/>
      </c>
      <c r="J733" s="24">
        <f>IF($G733="","",IFERROR(VLOOKUP($G733,物料档案!$A$4:$P$1203,5,0),"※编码不在物料档案里"))</f>
        <v/>
      </c>
      <c r="K733" s="23" t="n">
        <v>1</v>
      </c>
      <c r="L733" s="31" t="n"/>
      <c r="M733" s="24">
        <f>IF($G733="","",IF($D733="A国内","CNY","TZS"))</f>
        <v/>
      </c>
      <c r="N733" s="28">
        <f>IF($G733="","",IF($D733="A国内",汇率,1))</f>
        <v/>
      </c>
      <c r="O733" s="25">
        <f>IF($G733="","",ROUND(N($K733)*N($L733),2))</f>
        <v/>
      </c>
      <c r="P733" s="26">
        <f>IF($G733="","",ROUND($O733*$N733,0))</f>
        <v/>
      </c>
      <c r="Q733" s="26">
        <f>IF($G733="","",SUMIFS($P$4:$P$2503,$E$4:$E$2503,$E733,$Z$4:$Z$2503,"正常"))</f>
        <v/>
      </c>
      <c r="R733" s="26">
        <f>IF($G733="","",SUMIFS(费用台账!$I$4:$I$503,费用台账!$C$4:$C$503,$E733,费用台账!$J$4:$J$503,"是",费用台账!$K$4:$K$503,"正常"))</f>
        <v/>
      </c>
      <c r="S733" s="28">
        <f>IF($G733="","",COUNTIFS($E$4:$E$2503,$E733,$Z$4:$Z$2503,"正常",$Y$4:$Y$2503,"待补价"))</f>
        <v/>
      </c>
      <c r="T733" s="26">
        <f>IF($G733="","",SUMIFS($P$4:$P$2503,$E$4:$E$2503,$E733,$Z$4:$Z$2503,"正常",$A$4:$A$2503,"&lt;="&amp;$A733))</f>
        <v/>
      </c>
      <c r="U733" s="26">
        <f>IF($G733="","",IF(OR($S733&gt;0,$Q733=0,$R733=0,$Z733&lt;&gt;"正常"),0,ROUND($T733/$Q733*$R733,0)-ROUND(($T733-$P733)/$Q733*$R733,0)))</f>
        <v/>
      </c>
      <c r="V733" s="26">
        <f>IF($G733="","",ROUND($P733+$U733,0))</f>
        <v/>
      </c>
      <c r="W733" s="26">
        <f>IF($G733="","",IF(N($K733)=0,0,ROUND($V733/$K733,2)))</f>
        <v/>
      </c>
      <c r="X733" s="17" t="inlineStr">
        <is>
          <t>采购入库</t>
        </is>
      </c>
      <c r="Y733" s="17" t="inlineStr">
        <is>
          <t>待补价</t>
        </is>
      </c>
      <c r="Z733" s="17" t="inlineStr">
        <is>
          <t>正常</t>
        </is>
      </c>
      <c r="AA733" s="17" t="n"/>
      <c r="AB733" s="17" t="inlineStr">
        <is>
          <t>原表第 741 行</t>
        </is>
      </c>
      <c r="AC733" s="24">
        <f>IF($G733="","",IF($H733="※编码不在物料档案里","※物料编码不在档案里",IF(N($K733)&lt;=0,"※入库数量要大于 0",IF(AND($C733&lt;&gt;"",$C733&lt;=结账锁),"※日期早于已结账截止日，不能再录",IF(AND($L733=0,$X733="正常"),"※没填单价，价格状态请选「待补价」",IF(AND($S733&gt;0,$R733&gt;0),"△本批有 "&amp;$S733&amp;" 行没单价，整批运费先挂账没摊",IF(AND($B733&lt;&gt;"",COUNTIF($B$4:$B$2503,$B733)&gt;1),"※入库单号重复","")))))))</f>
        <v/>
      </c>
    </row>
    <row r="734">
      <c r="A734" s="24">
        <f>IF($G734="","",COUNTA($G$4:$G734))</f>
        <v/>
      </c>
      <c r="B734" s="17" t="n"/>
      <c r="C734" s="30" t="n">
        <v>46158</v>
      </c>
      <c r="D734" s="17" t="inlineStr">
        <is>
          <t>A国内</t>
        </is>
      </c>
      <c r="E734" s="17" t="inlineStr">
        <is>
          <t>DRYU9381826-202605</t>
        </is>
      </c>
      <c r="F734" s="17" t="inlineStr">
        <is>
          <t>厦门大华仪表</t>
        </is>
      </c>
      <c r="G734" s="17" t="inlineStr">
        <is>
          <t>JH0663</t>
        </is>
      </c>
      <c r="H734" s="24">
        <f>IF($G734="","",IFERROR(VLOOKUP($G734,物料档案!$A$4:$P$1203,3,0),"※编码不在物料档案里"))</f>
        <v/>
      </c>
      <c r="I734" s="24">
        <f>IF($G734="","",IFERROR(VLOOKUP($G734,物料档案!$A$4:$P$1203,4,0),"※编码不在物料档案里"))</f>
        <v/>
      </c>
      <c r="J734" s="24">
        <f>IF($G734="","",IFERROR(VLOOKUP($G734,物料档案!$A$4:$P$1203,5,0),"※编码不在物料档案里"))</f>
        <v/>
      </c>
      <c r="K734" s="23" t="n">
        <v>1</v>
      </c>
      <c r="L734" s="31" t="n"/>
      <c r="M734" s="24">
        <f>IF($G734="","",IF($D734="A国内","CNY","TZS"))</f>
        <v/>
      </c>
      <c r="N734" s="28">
        <f>IF($G734="","",IF($D734="A国内",汇率,1))</f>
        <v/>
      </c>
      <c r="O734" s="25">
        <f>IF($G734="","",ROUND(N($K734)*N($L734),2))</f>
        <v/>
      </c>
      <c r="P734" s="26">
        <f>IF($G734="","",ROUND($O734*$N734,0))</f>
        <v/>
      </c>
      <c r="Q734" s="26">
        <f>IF($G734="","",SUMIFS($P$4:$P$2503,$E$4:$E$2503,$E734,$Z$4:$Z$2503,"正常"))</f>
        <v/>
      </c>
      <c r="R734" s="26">
        <f>IF($G734="","",SUMIFS(费用台账!$I$4:$I$503,费用台账!$C$4:$C$503,$E734,费用台账!$J$4:$J$503,"是",费用台账!$K$4:$K$503,"正常"))</f>
        <v/>
      </c>
      <c r="S734" s="28">
        <f>IF($G734="","",COUNTIFS($E$4:$E$2503,$E734,$Z$4:$Z$2503,"正常",$Y$4:$Y$2503,"待补价"))</f>
        <v/>
      </c>
      <c r="T734" s="26">
        <f>IF($G734="","",SUMIFS($P$4:$P$2503,$E$4:$E$2503,$E734,$Z$4:$Z$2503,"正常",$A$4:$A$2503,"&lt;="&amp;$A734))</f>
        <v/>
      </c>
      <c r="U734" s="26">
        <f>IF($G734="","",IF(OR($S734&gt;0,$Q734=0,$R734=0,$Z734&lt;&gt;"正常"),0,ROUND($T734/$Q734*$R734,0)-ROUND(($T734-$P734)/$Q734*$R734,0)))</f>
        <v/>
      </c>
      <c r="V734" s="26">
        <f>IF($G734="","",ROUND($P734+$U734,0))</f>
        <v/>
      </c>
      <c r="W734" s="26">
        <f>IF($G734="","",IF(N($K734)=0,0,ROUND($V734/$K734,2)))</f>
        <v/>
      </c>
      <c r="X734" s="17" t="inlineStr">
        <is>
          <t>采购入库</t>
        </is>
      </c>
      <c r="Y734" s="17" t="inlineStr">
        <is>
          <t>待补价</t>
        </is>
      </c>
      <c r="Z734" s="17" t="inlineStr">
        <is>
          <t>正常</t>
        </is>
      </c>
      <c r="AA734" s="17" t="n"/>
      <c r="AB734" s="17" t="inlineStr">
        <is>
          <t>原表第 742 行</t>
        </is>
      </c>
      <c r="AC734" s="24">
        <f>IF($G734="","",IF($H734="※编码不在物料档案里","※物料编码不在档案里",IF(N($K734)&lt;=0,"※入库数量要大于 0",IF(AND($C734&lt;&gt;"",$C734&lt;=结账锁),"※日期早于已结账截止日，不能再录",IF(AND($L734=0,$X734="正常"),"※没填单价，价格状态请选「待补价」",IF(AND($S734&gt;0,$R734&gt;0),"△本批有 "&amp;$S734&amp;" 行没单价，整批运费先挂账没摊",IF(AND($B734&lt;&gt;"",COUNTIF($B$4:$B$2503,$B734)&gt;1),"※入库单号重复","")))))))</f>
        <v/>
      </c>
    </row>
    <row r="735">
      <c r="A735" s="24">
        <f>IF($G735="","",COUNTA($G$4:$G735))</f>
        <v/>
      </c>
      <c r="B735" s="17" t="n"/>
      <c r="C735" s="30" t="n">
        <v>46158</v>
      </c>
      <c r="D735" s="17" t="inlineStr">
        <is>
          <t>A国内</t>
        </is>
      </c>
      <c r="E735" s="17" t="inlineStr">
        <is>
          <t>DRYU9381826-202605</t>
        </is>
      </c>
      <c r="F735" s="17" t="inlineStr">
        <is>
          <t>厦门大华仪表</t>
        </is>
      </c>
      <c r="G735" s="17" t="inlineStr">
        <is>
          <t>JH0664</t>
        </is>
      </c>
      <c r="H735" s="24">
        <f>IF($G735="","",IFERROR(VLOOKUP($G735,物料档案!$A$4:$P$1203,3,0),"※编码不在物料档案里"))</f>
        <v/>
      </c>
      <c r="I735" s="24">
        <f>IF($G735="","",IFERROR(VLOOKUP($G735,物料档案!$A$4:$P$1203,4,0),"※编码不在物料档案里"))</f>
        <v/>
      </c>
      <c r="J735" s="24">
        <f>IF($G735="","",IFERROR(VLOOKUP($G735,物料档案!$A$4:$P$1203,5,0),"※编码不在物料档案里"))</f>
        <v/>
      </c>
      <c r="K735" s="23" t="n">
        <v>1</v>
      </c>
      <c r="L735" s="31" t="n"/>
      <c r="M735" s="24">
        <f>IF($G735="","",IF($D735="A国内","CNY","TZS"))</f>
        <v/>
      </c>
      <c r="N735" s="28">
        <f>IF($G735="","",IF($D735="A国内",汇率,1))</f>
        <v/>
      </c>
      <c r="O735" s="25">
        <f>IF($G735="","",ROUND(N($K735)*N($L735),2))</f>
        <v/>
      </c>
      <c r="P735" s="26">
        <f>IF($G735="","",ROUND($O735*$N735,0))</f>
        <v/>
      </c>
      <c r="Q735" s="26">
        <f>IF($G735="","",SUMIFS($P$4:$P$2503,$E$4:$E$2503,$E735,$Z$4:$Z$2503,"正常"))</f>
        <v/>
      </c>
      <c r="R735" s="26">
        <f>IF($G735="","",SUMIFS(费用台账!$I$4:$I$503,费用台账!$C$4:$C$503,$E735,费用台账!$J$4:$J$503,"是",费用台账!$K$4:$K$503,"正常"))</f>
        <v/>
      </c>
      <c r="S735" s="28">
        <f>IF($G735="","",COUNTIFS($E$4:$E$2503,$E735,$Z$4:$Z$2503,"正常",$Y$4:$Y$2503,"待补价"))</f>
        <v/>
      </c>
      <c r="T735" s="26">
        <f>IF($G735="","",SUMIFS($P$4:$P$2503,$E$4:$E$2503,$E735,$Z$4:$Z$2503,"正常",$A$4:$A$2503,"&lt;="&amp;$A735))</f>
        <v/>
      </c>
      <c r="U735" s="26">
        <f>IF($G735="","",IF(OR($S735&gt;0,$Q735=0,$R735=0,$Z735&lt;&gt;"正常"),0,ROUND($T735/$Q735*$R735,0)-ROUND(($T735-$P735)/$Q735*$R735,0)))</f>
        <v/>
      </c>
      <c r="V735" s="26">
        <f>IF($G735="","",ROUND($P735+$U735,0))</f>
        <v/>
      </c>
      <c r="W735" s="26">
        <f>IF($G735="","",IF(N($K735)=0,0,ROUND($V735/$K735,2)))</f>
        <v/>
      </c>
      <c r="X735" s="17" t="inlineStr">
        <is>
          <t>采购入库</t>
        </is>
      </c>
      <c r="Y735" s="17" t="inlineStr">
        <is>
          <t>待补价</t>
        </is>
      </c>
      <c r="Z735" s="17" t="inlineStr">
        <is>
          <t>正常</t>
        </is>
      </c>
      <c r="AA735" s="17" t="n"/>
      <c r="AB735" s="17" t="inlineStr">
        <is>
          <t>原表第 743 行</t>
        </is>
      </c>
      <c r="AC735" s="24">
        <f>IF($G735="","",IF($H735="※编码不在物料档案里","※物料编码不在档案里",IF(N($K735)&lt;=0,"※入库数量要大于 0",IF(AND($C735&lt;&gt;"",$C735&lt;=结账锁),"※日期早于已结账截止日，不能再录",IF(AND($L735=0,$X735="正常"),"※没填单价，价格状态请选「待补价」",IF(AND($S735&gt;0,$R735&gt;0),"△本批有 "&amp;$S735&amp;" 行没单价，整批运费先挂账没摊",IF(AND($B735&lt;&gt;"",COUNTIF($B$4:$B$2503,$B735)&gt;1),"※入库单号重复","")))))))</f>
        <v/>
      </c>
    </row>
    <row r="736">
      <c r="A736" s="24">
        <f>IF($G736="","",COUNTA($G$4:$G736))</f>
        <v/>
      </c>
      <c r="B736" s="17" t="n"/>
      <c r="C736" s="30" t="n">
        <v>46158</v>
      </c>
      <c r="D736" s="17" t="inlineStr">
        <is>
          <t>A国内</t>
        </is>
      </c>
      <c r="E736" s="17" t="inlineStr">
        <is>
          <t>DRYU9381826-202605</t>
        </is>
      </c>
      <c r="F736" s="17" t="inlineStr">
        <is>
          <t>厦门大华仪表</t>
        </is>
      </c>
      <c r="G736" s="17" t="inlineStr">
        <is>
          <t>JH0665</t>
        </is>
      </c>
      <c r="H736" s="24">
        <f>IF($G736="","",IFERROR(VLOOKUP($G736,物料档案!$A$4:$P$1203,3,0),"※编码不在物料档案里"))</f>
        <v/>
      </c>
      <c r="I736" s="24">
        <f>IF($G736="","",IFERROR(VLOOKUP($G736,物料档案!$A$4:$P$1203,4,0),"※编码不在物料档案里"))</f>
        <v/>
      </c>
      <c r="J736" s="24">
        <f>IF($G736="","",IFERROR(VLOOKUP($G736,物料档案!$A$4:$P$1203,5,0),"※编码不在物料档案里"))</f>
        <v/>
      </c>
      <c r="K736" s="23" t="n">
        <v>1</v>
      </c>
      <c r="L736" s="31" t="n"/>
      <c r="M736" s="24">
        <f>IF($G736="","",IF($D736="A国内","CNY","TZS"))</f>
        <v/>
      </c>
      <c r="N736" s="28">
        <f>IF($G736="","",IF($D736="A国内",汇率,1))</f>
        <v/>
      </c>
      <c r="O736" s="25">
        <f>IF($G736="","",ROUND(N($K736)*N($L736),2))</f>
        <v/>
      </c>
      <c r="P736" s="26">
        <f>IF($G736="","",ROUND($O736*$N736,0))</f>
        <v/>
      </c>
      <c r="Q736" s="26">
        <f>IF($G736="","",SUMIFS($P$4:$P$2503,$E$4:$E$2503,$E736,$Z$4:$Z$2503,"正常"))</f>
        <v/>
      </c>
      <c r="R736" s="26">
        <f>IF($G736="","",SUMIFS(费用台账!$I$4:$I$503,费用台账!$C$4:$C$503,$E736,费用台账!$J$4:$J$503,"是",费用台账!$K$4:$K$503,"正常"))</f>
        <v/>
      </c>
      <c r="S736" s="28">
        <f>IF($G736="","",COUNTIFS($E$4:$E$2503,$E736,$Z$4:$Z$2503,"正常",$Y$4:$Y$2503,"待补价"))</f>
        <v/>
      </c>
      <c r="T736" s="26">
        <f>IF($G736="","",SUMIFS($P$4:$P$2503,$E$4:$E$2503,$E736,$Z$4:$Z$2503,"正常",$A$4:$A$2503,"&lt;="&amp;$A736))</f>
        <v/>
      </c>
      <c r="U736" s="26">
        <f>IF($G736="","",IF(OR($S736&gt;0,$Q736=0,$R736=0,$Z736&lt;&gt;"正常"),0,ROUND($T736/$Q736*$R736,0)-ROUND(($T736-$P736)/$Q736*$R736,0)))</f>
        <v/>
      </c>
      <c r="V736" s="26">
        <f>IF($G736="","",ROUND($P736+$U736,0))</f>
        <v/>
      </c>
      <c r="W736" s="26">
        <f>IF($G736="","",IF(N($K736)=0,0,ROUND($V736/$K736,2)))</f>
        <v/>
      </c>
      <c r="X736" s="17" t="inlineStr">
        <is>
          <t>采购入库</t>
        </is>
      </c>
      <c r="Y736" s="17" t="inlineStr">
        <is>
          <t>待补价</t>
        </is>
      </c>
      <c r="Z736" s="17" t="inlineStr">
        <is>
          <t>正常</t>
        </is>
      </c>
      <c r="AA736" s="17" t="n"/>
      <c r="AB736" s="17" t="inlineStr">
        <is>
          <t>原表第 744 行</t>
        </is>
      </c>
      <c r="AC736" s="24">
        <f>IF($G736="","",IF($H736="※编码不在物料档案里","※物料编码不在档案里",IF(N($K736)&lt;=0,"※入库数量要大于 0",IF(AND($C736&lt;&gt;"",$C736&lt;=结账锁),"※日期早于已结账截止日，不能再录",IF(AND($L736=0,$X736="正常"),"※没填单价，价格状态请选「待补价」",IF(AND($S736&gt;0,$R736&gt;0),"△本批有 "&amp;$S736&amp;" 行没单价，整批运费先挂账没摊",IF(AND($B736&lt;&gt;"",COUNTIF($B$4:$B$2503,$B736)&gt;1),"※入库单号重复","")))))))</f>
        <v/>
      </c>
    </row>
    <row r="737">
      <c r="A737" s="24">
        <f>IF($G737="","",COUNTA($G$4:$G737))</f>
        <v/>
      </c>
      <c r="B737" s="17" t="n"/>
      <c r="C737" s="30" t="n">
        <v>46158</v>
      </c>
      <c r="D737" s="17" t="inlineStr">
        <is>
          <t>A国内</t>
        </is>
      </c>
      <c r="E737" s="17" t="inlineStr">
        <is>
          <t>DRYU9381826-202605</t>
        </is>
      </c>
      <c r="F737" s="17" t="inlineStr">
        <is>
          <t>厦门大华仪表</t>
        </is>
      </c>
      <c r="G737" s="17" t="inlineStr">
        <is>
          <t>JH0666</t>
        </is>
      </c>
      <c r="H737" s="24">
        <f>IF($G737="","",IFERROR(VLOOKUP($G737,物料档案!$A$4:$P$1203,3,0),"※编码不在物料档案里"))</f>
        <v/>
      </c>
      <c r="I737" s="24">
        <f>IF($G737="","",IFERROR(VLOOKUP($G737,物料档案!$A$4:$P$1203,4,0),"※编码不在物料档案里"))</f>
        <v/>
      </c>
      <c r="J737" s="24">
        <f>IF($G737="","",IFERROR(VLOOKUP($G737,物料档案!$A$4:$P$1203,5,0),"※编码不在物料档案里"))</f>
        <v/>
      </c>
      <c r="K737" s="23" t="n">
        <v>2</v>
      </c>
      <c r="L737" s="31" t="n"/>
      <c r="M737" s="24">
        <f>IF($G737="","",IF($D737="A国内","CNY","TZS"))</f>
        <v/>
      </c>
      <c r="N737" s="28">
        <f>IF($G737="","",IF($D737="A国内",汇率,1))</f>
        <v/>
      </c>
      <c r="O737" s="25">
        <f>IF($G737="","",ROUND(N($K737)*N($L737),2))</f>
        <v/>
      </c>
      <c r="P737" s="26">
        <f>IF($G737="","",ROUND($O737*$N737,0))</f>
        <v/>
      </c>
      <c r="Q737" s="26">
        <f>IF($G737="","",SUMIFS($P$4:$P$2503,$E$4:$E$2503,$E737,$Z$4:$Z$2503,"正常"))</f>
        <v/>
      </c>
      <c r="R737" s="26">
        <f>IF($G737="","",SUMIFS(费用台账!$I$4:$I$503,费用台账!$C$4:$C$503,$E737,费用台账!$J$4:$J$503,"是",费用台账!$K$4:$K$503,"正常"))</f>
        <v/>
      </c>
      <c r="S737" s="28">
        <f>IF($G737="","",COUNTIFS($E$4:$E$2503,$E737,$Z$4:$Z$2503,"正常",$Y$4:$Y$2503,"待补价"))</f>
        <v/>
      </c>
      <c r="T737" s="26">
        <f>IF($G737="","",SUMIFS($P$4:$P$2503,$E$4:$E$2503,$E737,$Z$4:$Z$2503,"正常",$A$4:$A$2503,"&lt;="&amp;$A737))</f>
        <v/>
      </c>
      <c r="U737" s="26">
        <f>IF($G737="","",IF(OR($S737&gt;0,$Q737=0,$R737=0,$Z737&lt;&gt;"正常"),0,ROUND($T737/$Q737*$R737,0)-ROUND(($T737-$P737)/$Q737*$R737,0)))</f>
        <v/>
      </c>
      <c r="V737" s="26">
        <f>IF($G737="","",ROUND($P737+$U737,0))</f>
        <v/>
      </c>
      <c r="W737" s="26">
        <f>IF($G737="","",IF(N($K737)=0,0,ROUND($V737/$K737,2)))</f>
        <v/>
      </c>
      <c r="X737" s="17" t="inlineStr">
        <is>
          <t>采购入库</t>
        </is>
      </c>
      <c r="Y737" s="17" t="inlineStr">
        <is>
          <t>待补价</t>
        </is>
      </c>
      <c r="Z737" s="17" t="inlineStr">
        <is>
          <t>正常</t>
        </is>
      </c>
      <c r="AA737" s="17" t="n"/>
      <c r="AB737" s="17" t="inlineStr">
        <is>
          <t>原表第 745 行</t>
        </is>
      </c>
      <c r="AC737" s="24">
        <f>IF($G737="","",IF($H737="※编码不在物料档案里","※物料编码不在档案里",IF(N($K737)&lt;=0,"※入库数量要大于 0",IF(AND($C737&lt;&gt;"",$C737&lt;=结账锁),"※日期早于已结账截止日，不能再录",IF(AND($L737=0,$X737="正常"),"※没填单价，价格状态请选「待补价」",IF(AND($S737&gt;0,$R737&gt;0),"△本批有 "&amp;$S737&amp;" 行没单价，整批运费先挂账没摊",IF(AND($B737&lt;&gt;"",COUNTIF($B$4:$B$2503,$B737)&gt;1),"※入库单号重复","")))))))</f>
        <v/>
      </c>
    </row>
    <row r="738">
      <c r="A738" s="24">
        <f>IF($G738="","",COUNTA($G$4:$G738))</f>
        <v/>
      </c>
      <c r="B738" s="17" t="n"/>
      <c r="C738" s="30" t="n">
        <v>46158</v>
      </c>
      <c r="D738" s="17" t="inlineStr">
        <is>
          <t>A国内</t>
        </is>
      </c>
      <c r="E738" s="17" t="inlineStr">
        <is>
          <t>DRYU9381826-202605</t>
        </is>
      </c>
      <c r="F738" s="17" t="inlineStr">
        <is>
          <t>三明建设矿山</t>
        </is>
      </c>
      <c r="G738" s="17" t="inlineStr">
        <is>
          <t>JH0667</t>
        </is>
      </c>
      <c r="H738" s="24">
        <f>IF($G738="","",IFERROR(VLOOKUP($G738,物料档案!$A$4:$P$1203,3,0),"※编码不在物料档案里"))</f>
        <v/>
      </c>
      <c r="I738" s="24">
        <f>IF($G738="","",IFERROR(VLOOKUP($G738,物料档案!$A$4:$P$1203,4,0),"※编码不在物料档案里"))</f>
        <v/>
      </c>
      <c r="J738" s="24">
        <f>IF($G738="","",IFERROR(VLOOKUP($G738,物料档案!$A$4:$P$1203,5,0),"※编码不在物料档案里"))</f>
        <v/>
      </c>
      <c r="K738" s="23" t="n">
        <v>100</v>
      </c>
      <c r="L738" s="31" t="n">
        <v>7.3</v>
      </c>
      <c r="M738" s="24">
        <f>IF($G738="","",IF($D738="A国内","CNY","TZS"))</f>
        <v/>
      </c>
      <c r="N738" s="28">
        <f>IF($G738="","",IF($D738="A国内",汇率,1))</f>
        <v/>
      </c>
      <c r="O738" s="25">
        <f>IF($G738="","",ROUND(N($K738)*N($L738),2))</f>
        <v/>
      </c>
      <c r="P738" s="26">
        <f>IF($G738="","",ROUND($O738*$N738,0))</f>
        <v/>
      </c>
      <c r="Q738" s="26">
        <f>IF($G738="","",SUMIFS($P$4:$P$2503,$E$4:$E$2503,$E738,$Z$4:$Z$2503,"正常"))</f>
        <v/>
      </c>
      <c r="R738" s="26">
        <f>IF($G738="","",SUMIFS(费用台账!$I$4:$I$503,费用台账!$C$4:$C$503,$E738,费用台账!$J$4:$J$503,"是",费用台账!$K$4:$K$503,"正常"))</f>
        <v/>
      </c>
      <c r="S738" s="28">
        <f>IF($G738="","",COUNTIFS($E$4:$E$2503,$E738,$Z$4:$Z$2503,"正常",$Y$4:$Y$2503,"待补价"))</f>
        <v/>
      </c>
      <c r="T738" s="26">
        <f>IF($G738="","",SUMIFS($P$4:$P$2503,$E$4:$E$2503,$E738,$Z$4:$Z$2503,"正常",$A$4:$A$2503,"&lt;="&amp;$A738))</f>
        <v/>
      </c>
      <c r="U738" s="26">
        <f>IF($G738="","",IF(OR($S738&gt;0,$Q738=0,$R738=0,$Z738&lt;&gt;"正常"),0,ROUND($T738/$Q738*$R738,0)-ROUND(($T738-$P738)/$Q738*$R738,0)))</f>
        <v/>
      </c>
      <c r="V738" s="26">
        <f>IF($G738="","",ROUND($P738+$U738,0))</f>
        <v/>
      </c>
      <c r="W738" s="26">
        <f>IF($G738="","",IF(N($K738)=0,0,ROUND($V738/$K738,2)))</f>
        <v/>
      </c>
      <c r="X738" s="17" t="inlineStr">
        <is>
          <t>采购入库</t>
        </is>
      </c>
      <c r="Y738" s="17" t="inlineStr">
        <is>
          <t>正常</t>
        </is>
      </c>
      <c r="Z738" s="17" t="inlineStr">
        <is>
          <t>正常</t>
        </is>
      </c>
      <c r="AA738" s="17" t="n"/>
      <c r="AB738" s="17" t="inlineStr">
        <is>
          <t>原表第 746 行</t>
        </is>
      </c>
      <c r="AC738" s="24">
        <f>IF($G738="","",IF($H738="※编码不在物料档案里","※物料编码不在档案里",IF(N($K738)&lt;=0,"※入库数量要大于 0",IF(AND($C738&lt;&gt;"",$C738&lt;=结账锁),"※日期早于已结账截止日，不能再录",IF(AND($L738=0,$X738="正常"),"※没填单价，价格状态请选「待补价」",IF(AND($S738&gt;0,$R738&gt;0),"△本批有 "&amp;$S738&amp;" 行没单价，整批运费先挂账没摊",IF(AND($B738&lt;&gt;"",COUNTIF($B$4:$B$2503,$B738)&gt;1),"※入库单号重复","")))))))</f>
        <v/>
      </c>
    </row>
    <row r="739">
      <c r="A739" s="24">
        <f>IF($G739="","",COUNTA($G$4:$G739))</f>
        <v/>
      </c>
      <c r="B739" s="17" t="n"/>
      <c r="C739" s="30" t="n">
        <v>46158</v>
      </c>
      <c r="D739" s="17" t="inlineStr">
        <is>
          <t>A国内</t>
        </is>
      </c>
      <c r="E739" s="17" t="inlineStr">
        <is>
          <t>DRYU9381826-202605</t>
        </is>
      </c>
      <c r="F739" s="17" t="inlineStr">
        <is>
          <t>三明建设矿山</t>
        </is>
      </c>
      <c r="G739" s="17" t="inlineStr">
        <is>
          <t>JH0668</t>
        </is>
      </c>
      <c r="H739" s="24">
        <f>IF($G739="","",IFERROR(VLOOKUP($G739,物料档案!$A$4:$P$1203,3,0),"※编码不在物料档案里"))</f>
        <v/>
      </c>
      <c r="I739" s="24">
        <f>IF($G739="","",IFERROR(VLOOKUP($G739,物料档案!$A$4:$P$1203,4,0),"※编码不在物料档案里"))</f>
        <v/>
      </c>
      <c r="J739" s="24">
        <f>IF($G739="","",IFERROR(VLOOKUP($G739,物料档案!$A$4:$P$1203,5,0),"※编码不在物料档案里"))</f>
        <v/>
      </c>
      <c r="K739" s="23" t="n">
        <v>10</v>
      </c>
      <c r="L739" s="31" t="n">
        <v>13.8</v>
      </c>
      <c r="M739" s="24">
        <f>IF($G739="","",IF($D739="A国内","CNY","TZS"))</f>
        <v/>
      </c>
      <c r="N739" s="28">
        <f>IF($G739="","",IF($D739="A国内",汇率,1))</f>
        <v/>
      </c>
      <c r="O739" s="25">
        <f>IF($G739="","",ROUND(N($K739)*N($L739),2))</f>
        <v/>
      </c>
      <c r="P739" s="26">
        <f>IF($G739="","",ROUND($O739*$N739,0))</f>
        <v/>
      </c>
      <c r="Q739" s="26">
        <f>IF($G739="","",SUMIFS($P$4:$P$2503,$E$4:$E$2503,$E739,$Z$4:$Z$2503,"正常"))</f>
        <v/>
      </c>
      <c r="R739" s="26">
        <f>IF($G739="","",SUMIFS(费用台账!$I$4:$I$503,费用台账!$C$4:$C$503,$E739,费用台账!$J$4:$J$503,"是",费用台账!$K$4:$K$503,"正常"))</f>
        <v/>
      </c>
      <c r="S739" s="28">
        <f>IF($G739="","",COUNTIFS($E$4:$E$2503,$E739,$Z$4:$Z$2503,"正常",$Y$4:$Y$2503,"待补价"))</f>
        <v/>
      </c>
      <c r="T739" s="26">
        <f>IF($G739="","",SUMIFS($P$4:$P$2503,$E$4:$E$2503,$E739,$Z$4:$Z$2503,"正常",$A$4:$A$2503,"&lt;="&amp;$A739))</f>
        <v/>
      </c>
      <c r="U739" s="26">
        <f>IF($G739="","",IF(OR($S739&gt;0,$Q739=0,$R739=0,$Z739&lt;&gt;"正常"),0,ROUND($T739/$Q739*$R739,0)-ROUND(($T739-$P739)/$Q739*$R739,0)))</f>
        <v/>
      </c>
      <c r="V739" s="26">
        <f>IF($G739="","",ROUND($P739+$U739,0))</f>
        <v/>
      </c>
      <c r="W739" s="26">
        <f>IF($G739="","",IF(N($K739)=0,0,ROUND($V739/$K739,2)))</f>
        <v/>
      </c>
      <c r="X739" s="17" t="inlineStr">
        <is>
          <t>采购入库</t>
        </is>
      </c>
      <c r="Y739" s="17" t="inlineStr">
        <is>
          <t>正常</t>
        </is>
      </c>
      <c r="Z739" s="17" t="inlineStr">
        <is>
          <t>正常</t>
        </is>
      </c>
      <c r="AA739" s="17" t="n"/>
      <c r="AB739" s="17" t="inlineStr">
        <is>
          <t>原表第 747 行</t>
        </is>
      </c>
      <c r="AC739" s="24">
        <f>IF($G739="","",IF($H739="※编码不在物料档案里","※物料编码不在档案里",IF(N($K739)&lt;=0,"※入库数量要大于 0",IF(AND($C739&lt;&gt;"",$C739&lt;=结账锁),"※日期早于已结账截止日，不能再录",IF(AND($L739=0,$X739="正常"),"※没填单价，价格状态请选「待补价」",IF(AND($S739&gt;0,$R739&gt;0),"△本批有 "&amp;$S739&amp;" 行没单价，整批运费先挂账没摊",IF(AND($B739&lt;&gt;"",COUNTIF($B$4:$B$2503,$B739)&gt;1),"※入库单号重复","")))))))</f>
        <v/>
      </c>
    </row>
    <row r="740">
      <c r="A740" s="24">
        <f>IF($G740="","",COUNTA($G$4:$G740))</f>
        <v/>
      </c>
      <c r="B740" s="17" t="n"/>
      <c r="C740" s="30" t="n">
        <v>46158</v>
      </c>
      <c r="D740" s="17" t="inlineStr">
        <is>
          <t>A国内</t>
        </is>
      </c>
      <c r="E740" s="17" t="inlineStr">
        <is>
          <t>DRYU9381826-202605</t>
        </is>
      </c>
      <c r="F740" s="17" t="inlineStr">
        <is>
          <t>三明建设矿山</t>
        </is>
      </c>
      <c r="G740" s="17" t="inlineStr">
        <is>
          <t>JH0669</t>
        </is>
      </c>
      <c r="H740" s="24">
        <f>IF($G740="","",IFERROR(VLOOKUP($G740,物料档案!$A$4:$P$1203,3,0),"※编码不在物料档案里"))</f>
        <v/>
      </c>
      <c r="I740" s="24">
        <f>IF($G740="","",IFERROR(VLOOKUP($G740,物料档案!$A$4:$P$1203,4,0),"※编码不在物料档案里"))</f>
        <v/>
      </c>
      <c r="J740" s="24">
        <f>IF($G740="","",IFERROR(VLOOKUP($G740,物料档案!$A$4:$P$1203,5,0),"※编码不在物料档案里"))</f>
        <v/>
      </c>
      <c r="K740" s="23" t="n">
        <v>150</v>
      </c>
      <c r="L740" s="31" t="n">
        <v>0.9</v>
      </c>
      <c r="M740" s="24">
        <f>IF($G740="","",IF($D740="A国内","CNY","TZS"))</f>
        <v/>
      </c>
      <c r="N740" s="28">
        <f>IF($G740="","",IF($D740="A国内",汇率,1))</f>
        <v/>
      </c>
      <c r="O740" s="25">
        <f>IF($G740="","",ROUND(N($K740)*N($L740),2))</f>
        <v/>
      </c>
      <c r="P740" s="26">
        <f>IF($G740="","",ROUND($O740*$N740,0))</f>
        <v/>
      </c>
      <c r="Q740" s="26">
        <f>IF($G740="","",SUMIFS($P$4:$P$2503,$E$4:$E$2503,$E740,$Z$4:$Z$2503,"正常"))</f>
        <v/>
      </c>
      <c r="R740" s="26">
        <f>IF($G740="","",SUMIFS(费用台账!$I$4:$I$503,费用台账!$C$4:$C$503,$E740,费用台账!$J$4:$J$503,"是",费用台账!$K$4:$K$503,"正常"))</f>
        <v/>
      </c>
      <c r="S740" s="28">
        <f>IF($G740="","",COUNTIFS($E$4:$E$2503,$E740,$Z$4:$Z$2503,"正常",$Y$4:$Y$2503,"待补价"))</f>
        <v/>
      </c>
      <c r="T740" s="26">
        <f>IF($G740="","",SUMIFS($P$4:$P$2503,$E$4:$E$2503,$E740,$Z$4:$Z$2503,"正常",$A$4:$A$2503,"&lt;="&amp;$A740))</f>
        <v/>
      </c>
      <c r="U740" s="26">
        <f>IF($G740="","",IF(OR($S740&gt;0,$Q740=0,$R740=0,$Z740&lt;&gt;"正常"),0,ROUND($T740/$Q740*$R740,0)-ROUND(($T740-$P740)/$Q740*$R740,0)))</f>
        <v/>
      </c>
      <c r="V740" s="26">
        <f>IF($G740="","",ROUND($P740+$U740,0))</f>
        <v/>
      </c>
      <c r="W740" s="26">
        <f>IF($G740="","",IF(N($K740)=0,0,ROUND($V740/$K740,2)))</f>
        <v/>
      </c>
      <c r="X740" s="17" t="inlineStr">
        <is>
          <t>采购入库</t>
        </is>
      </c>
      <c r="Y740" s="17" t="inlineStr">
        <is>
          <t>正常</t>
        </is>
      </c>
      <c r="Z740" s="17" t="inlineStr">
        <is>
          <t>正常</t>
        </is>
      </c>
      <c r="AA740" s="17" t="n"/>
      <c r="AB740" s="17" t="inlineStr">
        <is>
          <t>原表第 748 行</t>
        </is>
      </c>
      <c r="AC740" s="24">
        <f>IF($G740="","",IF($H740="※编码不在物料档案里","※物料编码不在档案里",IF(N($K740)&lt;=0,"※入库数量要大于 0",IF(AND($C740&lt;&gt;"",$C740&lt;=结账锁),"※日期早于已结账截止日，不能再录",IF(AND($L740=0,$X740="正常"),"※没填单价，价格状态请选「待补价」",IF(AND($S740&gt;0,$R740&gt;0),"△本批有 "&amp;$S740&amp;" 行没单价，整批运费先挂账没摊",IF(AND($B740&lt;&gt;"",COUNTIF($B$4:$B$2503,$B740)&gt;1),"※入库单号重复","")))))))</f>
        <v/>
      </c>
    </row>
    <row r="741">
      <c r="A741" s="24">
        <f>IF($G741="","",COUNTA($G$4:$G741))</f>
        <v/>
      </c>
      <c r="B741" s="17" t="n"/>
      <c r="C741" s="30" t="n">
        <v>46158</v>
      </c>
      <c r="D741" s="17" t="inlineStr">
        <is>
          <t>A国内</t>
        </is>
      </c>
      <c r="E741" s="17" t="inlineStr">
        <is>
          <t>DRYU9381826-202605</t>
        </is>
      </c>
      <c r="F741" s="17" t="inlineStr">
        <is>
          <t>三明建设矿山</t>
        </is>
      </c>
      <c r="G741" s="17" t="inlineStr">
        <is>
          <t>JH0670</t>
        </is>
      </c>
      <c r="H741" s="24">
        <f>IF($G741="","",IFERROR(VLOOKUP($G741,物料档案!$A$4:$P$1203,3,0),"※编码不在物料档案里"))</f>
        <v/>
      </c>
      <c r="I741" s="24">
        <f>IF($G741="","",IFERROR(VLOOKUP($G741,物料档案!$A$4:$P$1203,4,0),"※编码不在物料档案里"))</f>
        <v/>
      </c>
      <c r="J741" s="24">
        <f>IF($G741="","",IFERROR(VLOOKUP($G741,物料档案!$A$4:$P$1203,5,0),"※编码不在物料档案里"))</f>
        <v/>
      </c>
      <c r="K741" s="23" t="n">
        <v>150</v>
      </c>
      <c r="L741" s="31" t="n">
        <v>0.8</v>
      </c>
      <c r="M741" s="24">
        <f>IF($G741="","",IF($D741="A国内","CNY","TZS"))</f>
        <v/>
      </c>
      <c r="N741" s="28">
        <f>IF($G741="","",IF($D741="A国内",汇率,1))</f>
        <v/>
      </c>
      <c r="O741" s="25">
        <f>IF($G741="","",ROUND(N($K741)*N($L741),2))</f>
        <v/>
      </c>
      <c r="P741" s="26">
        <f>IF($G741="","",ROUND($O741*$N741,0))</f>
        <v/>
      </c>
      <c r="Q741" s="26">
        <f>IF($G741="","",SUMIFS($P$4:$P$2503,$E$4:$E$2503,$E741,$Z$4:$Z$2503,"正常"))</f>
        <v/>
      </c>
      <c r="R741" s="26">
        <f>IF($G741="","",SUMIFS(费用台账!$I$4:$I$503,费用台账!$C$4:$C$503,$E741,费用台账!$J$4:$J$503,"是",费用台账!$K$4:$K$503,"正常"))</f>
        <v/>
      </c>
      <c r="S741" s="28">
        <f>IF($G741="","",COUNTIFS($E$4:$E$2503,$E741,$Z$4:$Z$2503,"正常",$Y$4:$Y$2503,"待补价"))</f>
        <v/>
      </c>
      <c r="T741" s="26">
        <f>IF($G741="","",SUMIFS($P$4:$P$2503,$E$4:$E$2503,$E741,$Z$4:$Z$2503,"正常",$A$4:$A$2503,"&lt;="&amp;$A741))</f>
        <v/>
      </c>
      <c r="U741" s="26">
        <f>IF($G741="","",IF(OR($S741&gt;0,$Q741=0,$R741=0,$Z741&lt;&gt;"正常"),0,ROUND($T741/$Q741*$R741,0)-ROUND(($T741-$P741)/$Q741*$R741,0)))</f>
        <v/>
      </c>
      <c r="V741" s="26">
        <f>IF($G741="","",ROUND($P741+$U741,0))</f>
        <v/>
      </c>
      <c r="W741" s="26">
        <f>IF($G741="","",IF(N($K741)=0,0,ROUND($V741/$K741,2)))</f>
        <v/>
      </c>
      <c r="X741" s="17" t="inlineStr">
        <is>
          <t>采购入库</t>
        </is>
      </c>
      <c r="Y741" s="17" t="inlineStr">
        <is>
          <t>正常</t>
        </is>
      </c>
      <c r="Z741" s="17" t="inlineStr">
        <is>
          <t>正常</t>
        </is>
      </c>
      <c r="AA741" s="17" t="n"/>
      <c r="AB741" s="17" t="inlineStr">
        <is>
          <t>原表第 749 行</t>
        </is>
      </c>
      <c r="AC741" s="24">
        <f>IF($G741="","",IF($H741="※编码不在物料档案里","※物料编码不在档案里",IF(N($K741)&lt;=0,"※入库数量要大于 0",IF(AND($C741&lt;&gt;"",$C741&lt;=结账锁),"※日期早于已结账截止日，不能再录",IF(AND($L741=0,$X741="正常"),"※没填单价，价格状态请选「待补价」",IF(AND($S741&gt;0,$R741&gt;0),"△本批有 "&amp;$S741&amp;" 行没单价，整批运费先挂账没摊",IF(AND($B741&lt;&gt;"",COUNTIF($B$4:$B$2503,$B741)&gt;1),"※入库单号重复","")))))))</f>
        <v/>
      </c>
    </row>
    <row r="742">
      <c r="A742" s="24">
        <f>IF($G742="","",COUNTA($G$4:$G742))</f>
        <v/>
      </c>
      <c r="B742" s="17" t="n"/>
      <c r="C742" s="30" t="n">
        <v>46158</v>
      </c>
      <c r="D742" s="17" t="inlineStr">
        <is>
          <t>A国内</t>
        </is>
      </c>
      <c r="E742" s="17" t="inlineStr">
        <is>
          <t>DRYU9381826-202605</t>
        </is>
      </c>
      <c r="F742" s="17" t="inlineStr">
        <is>
          <t>三明建设矿山</t>
        </is>
      </c>
      <c r="G742" s="17" t="inlineStr">
        <is>
          <t>JH0671</t>
        </is>
      </c>
      <c r="H742" s="24">
        <f>IF($G742="","",IFERROR(VLOOKUP($G742,物料档案!$A$4:$P$1203,3,0),"※编码不在物料档案里"))</f>
        <v/>
      </c>
      <c r="I742" s="24">
        <f>IF($G742="","",IFERROR(VLOOKUP($G742,物料档案!$A$4:$P$1203,4,0),"※编码不在物料档案里"))</f>
        <v/>
      </c>
      <c r="J742" s="24">
        <f>IF($G742="","",IFERROR(VLOOKUP($G742,物料档案!$A$4:$P$1203,5,0),"※编码不在物料档案里"))</f>
        <v/>
      </c>
      <c r="K742" s="23" t="n">
        <v>30</v>
      </c>
      <c r="L742" s="31" t="n">
        <v>35</v>
      </c>
      <c r="M742" s="24">
        <f>IF($G742="","",IF($D742="A国内","CNY","TZS"))</f>
        <v/>
      </c>
      <c r="N742" s="28">
        <f>IF($G742="","",IF($D742="A国内",汇率,1))</f>
        <v/>
      </c>
      <c r="O742" s="25">
        <f>IF($G742="","",ROUND(N($K742)*N($L742),2))</f>
        <v/>
      </c>
      <c r="P742" s="26">
        <f>IF($G742="","",ROUND($O742*$N742,0))</f>
        <v/>
      </c>
      <c r="Q742" s="26">
        <f>IF($G742="","",SUMIFS($P$4:$P$2503,$E$4:$E$2503,$E742,$Z$4:$Z$2503,"正常"))</f>
        <v/>
      </c>
      <c r="R742" s="26">
        <f>IF($G742="","",SUMIFS(费用台账!$I$4:$I$503,费用台账!$C$4:$C$503,$E742,费用台账!$J$4:$J$503,"是",费用台账!$K$4:$K$503,"正常"))</f>
        <v/>
      </c>
      <c r="S742" s="28">
        <f>IF($G742="","",COUNTIFS($E$4:$E$2503,$E742,$Z$4:$Z$2503,"正常",$Y$4:$Y$2503,"待补价"))</f>
        <v/>
      </c>
      <c r="T742" s="26">
        <f>IF($G742="","",SUMIFS($P$4:$P$2503,$E$4:$E$2503,$E742,$Z$4:$Z$2503,"正常",$A$4:$A$2503,"&lt;="&amp;$A742))</f>
        <v/>
      </c>
      <c r="U742" s="26">
        <f>IF($G742="","",IF(OR($S742&gt;0,$Q742=0,$R742=0,$Z742&lt;&gt;"正常"),0,ROUND($T742/$Q742*$R742,0)-ROUND(($T742-$P742)/$Q742*$R742,0)))</f>
        <v/>
      </c>
      <c r="V742" s="26">
        <f>IF($G742="","",ROUND($P742+$U742,0))</f>
        <v/>
      </c>
      <c r="W742" s="26">
        <f>IF($G742="","",IF(N($K742)=0,0,ROUND($V742/$K742,2)))</f>
        <v/>
      </c>
      <c r="X742" s="17" t="inlineStr">
        <is>
          <t>采购入库</t>
        </is>
      </c>
      <c r="Y742" s="17" t="inlineStr">
        <is>
          <t>正常</t>
        </is>
      </c>
      <c r="Z742" s="17" t="inlineStr">
        <is>
          <t>正常</t>
        </is>
      </c>
      <c r="AA742" s="17" t="n"/>
      <c r="AB742" s="17" t="inlineStr">
        <is>
          <t>原表第 750 行</t>
        </is>
      </c>
      <c r="AC742" s="24">
        <f>IF($G742="","",IF($H742="※编码不在物料档案里","※物料编码不在档案里",IF(N($K742)&lt;=0,"※入库数量要大于 0",IF(AND($C742&lt;&gt;"",$C742&lt;=结账锁),"※日期早于已结账截止日，不能再录",IF(AND($L742=0,$X742="正常"),"※没填单价，价格状态请选「待补价」",IF(AND($S742&gt;0,$R742&gt;0),"△本批有 "&amp;$S742&amp;" 行没单价，整批运费先挂账没摊",IF(AND($B742&lt;&gt;"",COUNTIF($B$4:$B$2503,$B742)&gt;1),"※入库单号重复","")))))))</f>
        <v/>
      </c>
    </row>
    <row r="743">
      <c r="A743" s="24">
        <f>IF($G743="","",COUNTA($G$4:$G743))</f>
        <v/>
      </c>
      <c r="B743" s="17" t="n"/>
      <c r="C743" s="30" t="n">
        <v>46158</v>
      </c>
      <c r="D743" s="17" t="inlineStr">
        <is>
          <t>A国内</t>
        </is>
      </c>
      <c r="E743" s="17" t="inlineStr">
        <is>
          <t>DRYU9381826-202605</t>
        </is>
      </c>
      <c r="F743" s="17" t="inlineStr">
        <is>
          <t>三明建设矿山</t>
        </is>
      </c>
      <c r="G743" s="17" t="inlineStr">
        <is>
          <t>JH0672</t>
        </is>
      </c>
      <c r="H743" s="24">
        <f>IF($G743="","",IFERROR(VLOOKUP($G743,物料档案!$A$4:$P$1203,3,0),"※编码不在物料档案里"))</f>
        <v/>
      </c>
      <c r="I743" s="24">
        <f>IF($G743="","",IFERROR(VLOOKUP($G743,物料档案!$A$4:$P$1203,4,0),"※编码不在物料档案里"))</f>
        <v/>
      </c>
      <c r="J743" s="24">
        <f>IF($G743="","",IFERROR(VLOOKUP($G743,物料档案!$A$4:$P$1203,5,0),"※编码不在物料档案里"))</f>
        <v/>
      </c>
      <c r="K743" s="23" t="n">
        <v>40</v>
      </c>
      <c r="L743" s="31" t="n">
        <v>13.8</v>
      </c>
      <c r="M743" s="24">
        <f>IF($G743="","",IF($D743="A国内","CNY","TZS"))</f>
        <v/>
      </c>
      <c r="N743" s="28">
        <f>IF($G743="","",IF($D743="A国内",汇率,1))</f>
        <v/>
      </c>
      <c r="O743" s="25">
        <f>IF($G743="","",ROUND(N($K743)*N($L743),2))</f>
        <v/>
      </c>
      <c r="P743" s="26">
        <f>IF($G743="","",ROUND($O743*$N743,0))</f>
        <v/>
      </c>
      <c r="Q743" s="26">
        <f>IF($G743="","",SUMIFS($P$4:$P$2503,$E$4:$E$2503,$E743,$Z$4:$Z$2503,"正常"))</f>
        <v/>
      </c>
      <c r="R743" s="26">
        <f>IF($G743="","",SUMIFS(费用台账!$I$4:$I$503,费用台账!$C$4:$C$503,$E743,费用台账!$J$4:$J$503,"是",费用台账!$K$4:$K$503,"正常"))</f>
        <v/>
      </c>
      <c r="S743" s="28">
        <f>IF($G743="","",COUNTIFS($E$4:$E$2503,$E743,$Z$4:$Z$2503,"正常",$Y$4:$Y$2503,"待补价"))</f>
        <v/>
      </c>
      <c r="T743" s="26">
        <f>IF($G743="","",SUMIFS($P$4:$P$2503,$E$4:$E$2503,$E743,$Z$4:$Z$2503,"正常",$A$4:$A$2503,"&lt;="&amp;$A743))</f>
        <v/>
      </c>
      <c r="U743" s="26">
        <f>IF($G743="","",IF(OR($S743&gt;0,$Q743=0,$R743=0,$Z743&lt;&gt;"正常"),0,ROUND($T743/$Q743*$R743,0)-ROUND(($T743-$P743)/$Q743*$R743,0)))</f>
        <v/>
      </c>
      <c r="V743" s="26">
        <f>IF($G743="","",ROUND($P743+$U743,0))</f>
        <v/>
      </c>
      <c r="W743" s="26">
        <f>IF($G743="","",IF(N($K743)=0,0,ROUND($V743/$K743,2)))</f>
        <v/>
      </c>
      <c r="X743" s="17" t="inlineStr">
        <is>
          <t>采购入库</t>
        </is>
      </c>
      <c r="Y743" s="17" t="inlineStr">
        <is>
          <t>正常</t>
        </is>
      </c>
      <c r="Z743" s="17" t="inlineStr">
        <is>
          <t>正常</t>
        </is>
      </c>
      <c r="AA743" s="17" t="n"/>
      <c r="AB743" s="17" t="inlineStr">
        <is>
          <t>原表第 751 行</t>
        </is>
      </c>
      <c r="AC743" s="24">
        <f>IF($G743="","",IF($H743="※编码不在物料档案里","※物料编码不在档案里",IF(N($K743)&lt;=0,"※入库数量要大于 0",IF(AND($C743&lt;&gt;"",$C743&lt;=结账锁),"※日期早于已结账截止日，不能再录",IF(AND($L743=0,$X743="正常"),"※没填单价，价格状态请选「待补价」",IF(AND($S743&gt;0,$R743&gt;0),"△本批有 "&amp;$S743&amp;" 行没单价，整批运费先挂账没摊",IF(AND($B743&lt;&gt;"",COUNTIF($B$4:$B$2503,$B743)&gt;1),"※入库单号重复","")))))))</f>
        <v/>
      </c>
    </row>
    <row r="744">
      <c r="A744" s="24">
        <f>IF($G744="","",COUNTA($G$4:$G744))</f>
        <v/>
      </c>
      <c r="B744" s="17" t="n"/>
      <c r="C744" s="30" t="n">
        <v>46158</v>
      </c>
      <c r="D744" s="17" t="inlineStr">
        <is>
          <t>A国内</t>
        </is>
      </c>
      <c r="E744" s="17" t="inlineStr">
        <is>
          <t>DRYU9381826-202605</t>
        </is>
      </c>
      <c r="F744" s="17" t="inlineStr">
        <is>
          <t>三明建设矿山</t>
        </is>
      </c>
      <c r="G744" s="17" t="inlineStr">
        <is>
          <t>JH0673</t>
        </is>
      </c>
      <c r="H744" s="24">
        <f>IF($G744="","",IFERROR(VLOOKUP($G744,物料档案!$A$4:$P$1203,3,0),"※编码不在物料档案里"))</f>
        <v/>
      </c>
      <c r="I744" s="24">
        <f>IF($G744="","",IFERROR(VLOOKUP($G744,物料档案!$A$4:$P$1203,4,0),"※编码不在物料档案里"))</f>
        <v/>
      </c>
      <c r="J744" s="24">
        <f>IF($G744="","",IFERROR(VLOOKUP($G744,物料档案!$A$4:$P$1203,5,0),"※编码不在物料档案里"))</f>
        <v/>
      </c>
      <c r="K744" s="23" t="n">
        <v>40</v>
      </c>
      <c r="L744" s="31" t="n">
        <v>5</v>
      </c>
      <c r="M744" s="24">
        <f>IF($G744="","",IF($D744="A国内","CNY","TZS"))</f>
        <v/>
      </c>
      <c r="N744" s="28">
        <f>IF($G744="","",IF($D744="A国内",汇率,1))</f>
        <v/>
      </c>
      <c r="O744" s="25">
        <f>IF($G744="","",ROUND(N($K744)*N($L744),2))</f>
        <v/>
      </c>
      <c r="P744" s="26">
        <f>IF($G744="","",ROUND($O744*$N744,0))</f>
        <v/>
      </c>
      <c r="Q744" s="26">
        <f>IF($G744="","",SUMIFS($P$4:$P$2503,$E$4:$E$2503,$E744,$Z$4:$Z$2503,"正常"))</f>
        <v/>
      </c>
      <c r="R744" s="26">
        <f>IF($G744="","",SUMIFS(费用台账!$I$4:$I$503,费用台账!$C$4:$C$503,$E744,费用台账!$J$4:$J$503,"是",费用台账!$K$4:$K$503,"正常"))</f>
        <v/>
      </c>
      <c r="S744" s="28">
        <f>IF($G744="","",COUNTIFS($E$4:$E$2503,$E744,$Z$4:$Z$2503,"正常",$Y$4:$Y$2503,"待补价"))</f>
        <v/>
      </c>
      <c r="T744" s="26">
        <f>IF($G744="","",SUMIFS($P$4:$P$2503,$E$4:$E$2503,$E744,$Z$4:$Z$2503,"正常",$A$4:$A$2503,"&lt;="&amp;$A744))</f>
        <v/>
      </c>
      <c r="U744" s="26">
        <f>IF($G744="","",IF(OR($S744&gt;0,$Q744=0,$R744=0,$Z744&lt;&gt;"正常"),0,ROUND($T744/$Q744*$R744,0)-ROUND(($T744-$P744)/$Q744*$R744,0)))</f>
        <v/>
      </c>
      <c r="V744" s="26">
        <f>IF($G744="","",ROUND($P744+$U744,0))</f>
        <v/>
      </c>
      <c r="W744" s="26">
        <f>IF($G744="","",IF(N($K744)=0,0,ROUND($V744/$K744,2)))</f>
        <v/>
      </c>
      <c r="X744" s="17" t="inlineStr">
        <is>
          <t>采购入库</t>
        </is>
      </c>
      <c r="Y744" s="17" t="inlineStr">
        <is>
          <t>正常</t>
        </is>
      </c>
      <c r="Z744" s="17" t="inlineStr">
        <is>
          <t>正常</t>
        </is>
      </c>
      <c r="AA744" s="17" t="n"/>
      <c r="AB744" s="17" t="inlineStr">
        <is>
          <t>原表第 752 行</t>
        </is>
      </c>
      <c r="AC744" s="24">
        <f>IF($G744="","",IF($H744="※编码不在物料档案里","※物料编码不在档案里",IF(N($K744)&lt;=0,"※入库数量要大于 0",IF(AND($C744&lt;&gt;"",$C744&lt;=结账锁),"※日期早于已结账截止日，不能再录",IF(AND($L744=0,$X744="正常"),"※没填单价，价格状态请选「待补价」",IF(AND($S744&gt;0,$R744&gt;0),"△本批有 "&amp;$S744&amp;" 行没单价，整批运费先挂账没摊",IF(AND($B744&lt;&gt;"",COUNTIF($B$4:$B$2503,$B744)&gt;1),"※入库单号重复","")))))))</f>
        <v/>
      </c>
    </row>
    <row r="745">
      <c r="A745" s="24">
        <f>IF($G745="","",COUNTA($G$4:$G745))</f>
        <v/>
      </c>
      <c r="B745" s="17" t="n"/>
      <c r="C745" s="30" t="n">
        <v>46158</v>
      </c>
      <c r="D745" s="17" t="inlineStr">
        <is>
          <t>A国内</t>
        </is>
      </c>
      <c r="E745" s="17" t="inlineStr">
        <is>
          <t>DRYU9381826-202605</t>
        </is>
      </c>
      <c r="F745" s="17" t="inlineStr">
        <is>
          <t>三明建设矿山</t>
        </is>
      </c>
      <c r="G745" s="17" t="inlineStr">
        <is>
          <t>JH0674</t>
        </is>
      </c>
      <c r="H745" s="24">
        <f>IF($G745="","",IFERROR(VLOOKUP($G745,物料档案!$A$4:$P$1203,3,0),"※编码不在物料档案里"))</f>
        <v/>
      </c>
      <c r="I745" s="24">
        <f>IF($G745="","",IFERROR(VLOOKUP($G745,物料档案!$A$4:$P$1203,4,0),"※编码不在物料档案里"))</f>
        <v/>
      </c>
      <c r="J745" s="24">
        <f>IF($G745="","",IFERROR(VLOOKUP($G745,物料档案!$A$4:$P$1203,5,0),"※编码不在物料档案里"))</f>
        <v/>
      </c>
      <c r="K745" s="23" t="n">
        <v>20</v>
      </c>
      <c r="L745" s="31" t="n">
        <v>2.7</v>
      </c>
      <c r="M745" s="24">
        <f>IF($G745="","",IF($D745="A国内","CNY","TZS"))</f>
        <v/>
      </c>
      <c r="N745" s="28">
        <f>IF($G745="","",IF($D745="A国内",汇率,1))</f>
        <v/>
      </c>
      <c r="O745" s="25">
        <f>IF($G745="","",ROUND(N($K745)*N($L745),2))</f>
        <v/>
      </c>
      <c r="P745" s="26">
        <f>IF($G745="","",ROUND($O745*$N745,0))</f>
        <v/>
      </c>
      <c r="Q745" s="26">
        <f>IF($G745="","",SUMIFS($P$4:$P$2503,$E$4:$E$2503,$E745,$Z$4:$Z$2503,"正常"))</f>
        <v/>
      </c>
      <c r="R745" s="26">
        <f>IF($G745="","",SUMIFS(费用台账!$I$4:$I$503,费用台账!$C$4:$C$503,$E745,费用台账!$J$4:$J$503,"是",费用台账!$K$4:$K$503,"正常"))</f>
        <v/>
      </c>
      <c r="S745" s="28">
        <f>IF($G745="","",COUNTIFS($E$4:$E$2503,$E745,$Z$4:$Z$2503,"正常",$Y$4:$Y$2503,"待补价"))</f>
        <v/>
      </c>
      <c r="T745" s="26">
        <f>IF($G745="","",SUMIFS($P$4:$P$2503,$E$4:$E$2503,$E745,$Z$4:$Z$2503,"正常",$A$4:$A$2503,"&lt;="&amp;$A745))</f>
        <v/>
      </c>
      <c r="U745" s="26">
        <f>IF($G745="","",IF(OR($S745&gt;0,$Q745=0,$R745=0,$Z745&lt;&gt;"正常"),0,ROUND($T745/$Q745*$R745,0)-ROUND(($T745-$P745)/$Q745*$R745,0)))</f>
        <v/>
      </c>
      <c r="V745" s="26">
        <f>IF($G745="","",ROUND($P745+$U745,0))</f>
        <v/>
      </c>
      <c r="W745" s="26">
        <f>IF($G745="","",IF(N($K745)=0,0,ROUND($V745/$K745,2)))</f>
        <v/>
      </c>
      <c r="X745" s="17" t="inlineStr">
        <is>
          <t>采购入库</t>
        </is>
      </c>
      <c r="Y745" s="17" t="inlineStr">
        <is>
          <t>正常</t>
        </is>
      </c>
      <c r="Z745" s="17" t="inlineStr">
        <is>
          <t>正常</t>
        </is>
      </c>
      <c r="AA745" s="17" t="n"/>
      <c r="AB745" s="17" t="inlineStr">
        <is>
          <t>原表第 753 行</t>
        </is>
      </c>
      <c r="AC745" s="24">
        <f>IF($G745="","",IF($H745="※编码不在物料档案里","※物料编码不在档案里",IF(N($K745)&lt;=0,"※入库数量要大于 0",IF(AND($C745&lt;&gt;"",$C745&lt;=结账锁),"※日期早于已结账截止日，不能再录",IF(AND($L745=0,$X745="正常"),"※没填单价，价格状态请选「待补价」",IF(AND($S745&gt;0,$R745&gt;0),"△本批有 "&amp;$S745&amp;" 行没单价，整批运费先挂账没摊",IF(AND($B745&lt;&gt;"",COUNTIF($B$4:$B$2503,$B745)&gt;1),"※入库单号重复","")))))))</f>
        <v/>
      </c>
    </row>
    <row r="746">
      <c r="A746" s="24">
        <f>IF($G746="","",COUNTA($G$4:$G746))</f>
        <v/>
      </c>
      <c r="B746" s="17" t="n"/>
      <c r="C746" s="30" t="n">
        <v>46158</v>
      </c>
      <c r="D746" s="17" t="inlineStr">
        <is>
          <t>A国内</t>
        </is>
      </c>
      <c r="E746" s="17" t="inlineStr">
        <is>
          <t>DRYU9381826-202605</t>
        </is>
      </c>
      <c r="F746" s="17" t="inlineStr">
        <is>
          <t>三明建设矿山</t>
        </is>
      </c>
      <c r="G746" s="17" t="inlineStr">
        <is>
          <t>JH0675</t>
        </is>
      </c>
      <c r="H746" s="24">
        <f>IF($G746="","",IFERROR(VLOOKUP($G746,物料档案!$A$4:$P$1203,3,0),"※编码不在物料档案里"))</f>
        <v/>
      </c>
      <c r="I746" s="24">
        <f>IF($G746="","",IFERROR(VLOOKUP($G746,物料档案!$A$4:$P$1203,4,0),"※编码不在物料档案里"))</f>
        <v/>
      </c>
      <c r="J746" s="24">
        <f>IF($G746="","",IFERROR(VLOOKUP($G746,物料档案!$A$4:$P$1203,5,0),"※编码不在物料档案里"))</f>
        <v/>
      </c>
      <c r="K746" s="23" t="n">
        <v>100</v>
      </c>
      <c r="L746" s="31" t="n">
        <v>9.199999999999999</v>
      </c>
      <c r="M746" s="24">
        <f>IF($G746="","",IF($D746="A国内","CNY","TZS"))</f>
        <v/>
      </c>
      <c r="N746" s="28">
        <f>IF($G746="","",IF($D746="A国内",汇率,1))</f>
        <v/>
      </c>
      <c r="O746" s="25">
        <f>IF($G746="","",ROUND(N($K746)*N($L746),2))</f>
        <v/>
      </c>
      <c r="P746" s="26">
        <f>IF($G746="","",ROUND($O746*$N746,0))</f>
        <v/>
      </c>
      <c r="Q746" s="26">
        <f>IF($G746="","",SUMIFS($P$4:$P$2503,$E$4:$E$2503,$E746,$Z$4:$Z$2503,"正常"))</f>
        <v/>
      </c>
      <c r="R746" s="26">
        <f>IF($G746="","",SUMIFS(费用台账!$I$4:$I$503,费用台账!$C$4:$C$503,$E746,费用台账!$J$4:$J$503,"是",费用台账!$K$4:$K$503,"正常"))</f>
        <v/>
      </c>
      <c r="S746" s="28">
        <f>IF($G746="","",COUNTIFS($E$4:$E$2503,$E746,$Z$4:$Z$2503,"正常",$Y$4:$Y$2503,"待补价"))</f>
        <v/>
      </c>
      <c r="T746" s="26">
        <f>IF($G746="","",SUMIFS($P$4:$P$2503,$E$4:$E$2503,$E746,$Z$4:$Z$2503,"正常",$A$4:$A$2503,"&lt;="&amp;$A746))</f>
        <v/>
      </c>
      <c r="U746" s="26">
        <f>IF($G746="","",IF(OR($S746&gt;0,$Q746=0,$R746=0,$Z746&lt;&gt;"正常"),0,ROUND($T746/$Q746*$R746,0)-ROUND(($T746-$P746)/$Q746*$R746,0)))</f>
        <v/>
      </c>
      <c r="V746" s="26">
        <f>IF($G746="","",ROUND($P746+$U746,0))</f>
        <v/>
      </c>
      <c r="W746" s="26">
        <f>IF($G746="","",IF(N($K746)=0,0,ROUND($V746/$K746,2)))</f>
        <v/>
      </c>
      <c r="X746" s="17" t="inlineStr">
        <is>
          <t>采购入库</t>
        </is>
      </c>
      <c r="Y746" s="17" t="inlineStr">
        <is>
          <t>正常</t>
        </is>
      </c>
      <c r="Z746" s="17" t="inlineStr">
        <is>
          <t>正常</t>
        </is>
      </c>
      <c r="AA746" s="17" t="n"/>
      <c r="AB746" s="17" t="inlineStr">
        <is>
          <t>原表第 754 行</t>
        </is>
      </c>
      <c r="AC746" s="24">
        <f>IF($G746="","",IF($H746="※编码不在物料档案里","※物料编码不在档案里",IF(N($K746)&lt;=0,"※入库数量要大于 0",IF(AND($C746&lt;&gt;"",$C746&lt;=结账锁),"※日期早于已结账截止日，不能再录",IF(AND($L746=0,$X746="正常"),"※没填单价，价格状态请选「待补价」",IF(AND($S746&gt;0,$R746&gt;0),"△本批有 "&amp;$S746&amp;" 行没单价，整批运费先挂账没摊",IF(AND($B746&lt;&gt;"",COUNTIF($B$4:$B$2503,$B746)&gt;1),"※入库单号重复","")))))))</f>
        <v/>
      </c>
    </row>
    <row r="747">
      <c r="A747" s="24">
        <f>IF($G747="","",COUNTA($G$4:$G747))</f>
        <v/>
      </c>
      <c r="B747" s="17" t="n"/>
      <c r="C747" s="30" t="n">
        <v>46158</v>
      </c>
      <c r="D747" s="17" t="inlineStr">
        <is>
          <t>A国内</t>
        </is>
      </c>
      <c r="E747" s="17" t="inlineStr">
        <is>
          <t>DRYU9381826-202605</t>
        </is>
      </c>
      <c r="F747" s="17" t="inlineStr">
        <is>
          <t>三明建设矿山</t>
        </is>
      </c>
      <c r="G747" s="17" t="inlineStr">
        <is>
          <t>JH0676</t>
        </is>
      </c>
      <c r="H747" s="24">
        <f>IF($G747="","",IFERROR(VLOOKUP($G747,物料档案!$A$4:$P$1203,3,0),"※编码不在物料档案里"))</f>
        <v/>
      </c>
      <c r="I747" s="24">
        <f>IF($G747="","",IFERROR(VLOOKUP($G747,物料档案!$A$4:$P$1203,4,0),"※编码不在物料档案里"))</f>
        <v/>
      </c>
      <c r="J747" s="24">
        <f>IF($G747="","",IFERROR(VLOOKUP($G747,物料档案!$A$4:$P$1203,5,0),"※编码不在物料档案里"))</f>
        <v/>
      </c>
      <c r="K747" s="23" t="n">
        <v>30</v>
      </c>
      <c r="L747" s="31" t="n">
        <v>13.8</v>
      </c>
      <c r="M747" s="24">
        <f>IF($G747="","",IF($D747="A国内","CNY","TZS"))</f>
        <v/>
      </c>
      <c r="N747" s="28">
        <f>IF($G747="","",IF($D747="A国内",汇率,1))</f>
        <v/>
      </c>
      <c r="O747" s="25">
        <f>IF($G747="","",ROUND(N($K747)*N($L747),2))</f>
        <v/>
      </c>
      <c r="P747" s="26">
        <f>IF($G747="","",ROUND($O747*$N747,0))</f>
        <v/>
      </c>
      <c r="Q747" s="26">
        <f>IF($G747="","",SUMIFS($P$4:$P$2503,$E$4:$E$2503,$E747,$Z$4:$Z$2503,"正常"))</f>
        <v/>
      </c>
      <c r="R747" s="26">
        <f>IF($G747="","",SUMIFS(费用台账!$I$4:$I$503,费用台账!$C$4:$C$503,$E747,费用台账!$J$4:$J$503,"是",费用台账!$K$4:$K$503,"正常"))</f>
        <v/>
      </c>
      <c r="S747" s="28">
        <f>IF($G747="","",COUNTIFS($E$4:$E$2503,$E747,$Z$4:$Z$2503,"正常",$Y$4:$Y$2503,"待补价"))</f>
        <v/>
      </c>
      <c r="T747" s="26">
        <f>IF($G747="","",SUMIFS($P$4:$P$2503,$E$4:$E$2503,$E747,$Z$4:$Z$2503,"正常",$A$4:$A$2503,"&lt;="&amp;$A747))</f>
        <v/>
      </c>
      <c r="U747" s="26">
        <f>IF($G747="","",IF(OR($S747&gt;0,$Q747=0,$R747=0,$Z747&lt;&gt;"正常"),0,ROUND($T747/$Q747*$R747,0)-ROUND(($T747-$P747)/$Q747*$R747,0)))</f>
        <v/>
      </c>
      <c r="V747" s="26">
        <f>IF($G747="","",ROUND($P747+$U747,0))</f>
        <v/>
      </c>
      <c r="W747" s="26">
        <f>IF($G747="","",IF(N($K747)=0,0,ROUND($V747/$K747,2)))</f>
        <v/>
      </c>
      <c r="X747" s="17" t="inlineStr">
        <is>
          <t>采购入库</t>
        </is>
      </c>
      <c r="Y747" s="17" t="inlineStr">
        <is>
          <t>正常</t>
        </is>
      </c>
      <c r="Z747" s="17" t="inlineStr">
        <is>
          <t>正常</t>
        </is>
      </c>
      <c r="AA747" s="17" t="n"/>
      <c r="AB747" s="17" t="inlineStr">
        <is>
          <t>原表第 755 行</t>
        </is>
      </c>
      <c r="AC747" s="24">
        <f>IF($G747="","",IF($H747="※编码不在物料档案里","※物料编码不在档案里",IF(N($K747)&lt;=0,"※入库数量要大于 0",IF(AND($C747&lt;&gt;"",$C747&lt;=结账锁),"※日期早于已结账截止日，不能再录",IF(AND($L747=0,$X747="正常"),"※没填单价，价格状态请选「待补价」",IF(AND($S747&gt;0,$R747&gt;0),"△本批有 "&amp;$S747&amp;" 行没单价，整批运费先挂账没摊",IF(AND($B747&lt;&gt;"",COUNTIF($B$4:$B$2503,$B747)&gt;1),"※入库单号重复","")))))))</f>
        <v/>
      </c>
    </row>
    <row r="748">
      <c r="A748" s="24">
        <f>IF($G748="","",COUNTA($G$4:$G748))</f>
        <v/>
      </c>
      <c r="B748" s="17" t="n"/>
      <c r="C748" s="30" t="n">
        <v>46158</v>
      </c>
      <c r="D748" s="17" t="inlineStr">
        <is>
          <t>A国内</t>
        </is>
      </c>
      <c r="E748" s="17" t="inlineStr">
        <is>
          <t>DRYU9381826-202605</t>
        </is>
      </c>
      <c r="F748" s="17" t="inlineStr">
        <is>
          <t>三明建设矿山</t>
        </is>
      </c>
      <c r="G748" s="17" t="inlineStr">
        <is>
          <t>JH0677</t>
        </is>
      </c>
      <c r="H748" s="24">
        <f>IF($G748="","",IFERROR(VLOOKUP($G748,物料档案!$A$4:$P$1203,3,0),"※编码不在物料档案里"))</f>
        <v/>
      </c>
      <c r="I748" s="24">
        <f>IF($G748="","",IFERROR(VLOOKUP($G748,物料档案!$A$4:$P$1203,4,0),"※编码不在物料档案里"))</f>
        <v/>
      </c>
      <c r="J748" s="24">
        <f>IF($G748="","",IFERROR(VLOOKUP($G748,物料档案!$A$4:$P$1203,5,0),"※编码不在物料档案里"))</f>
        <v/>
      </c>
      <c r="K748" s="23" t="n">
        <v>50</v>
      </c>
      <c r="L748" s="31" t="n">
        <v>8.300000000000001</v>
      </c>
      <c r="M748" s="24">
        <f>IF($G748="","",IF($D748="A国内","CNY","TZS"))</f>
        <v/>
      </c>
      <c r="N748" s="28">
        <f>IF($G748="","",IF($D748="A国内",汇率,1))</f>
        <v/>
      </c>
      <c r="O748" s="25">
        <f>IF($G748="","",ROUND(N($K748)*N($L748),2))</f>
        <v/>
      </c>
      <c r="P748" s="26">
        <f>IF($G748="","",ROUND($O748*$N748,0))</f>
        <v/>
      </c>
      <c r="Q748" s="26">
        <f>IF($G748="","",SUMIFS($P$4:$P$2503,$E$4:$E$2503,$E748,$Z$4:$Z$2503,"正常"))</f>
        <v/>
      </c>
      <c r="R748" s="26">
        <f>IF($G748="","",SUMIFS(费用台账!$I$4:$I$503,费用台账!$C$4:$C$503,$E748,费用台账!$J$4:$J$503,"是",费用台账!$K$4:$K$503,"正常"))</f>
        <v/>
      </c>
      <c r="S748" s="28">
        <f>IF($G748="","",COUNTIFS($E$4:$E$2503,$E748,$Z$4:$Z$2503,"正常",$Y$4:$Y$2503,"待补价"))</f>
        <v/>
      </c>
      <c r="T748" s="26">
        <f>IF($G748="","",SUMIFS($P$4:$P$2503,$E$4:$E$2503,$E748,$Z$4:$Z$2503,"正常",$A$4:$A$2503,"&lt;="&amp;$A748))</f>
        <v/>
      </c>
      <c r="U748" s="26">
        <f>IF($G748="","",IF(OR($S748&gt;0,$Q748=0,$R748=0,$Z748&lt;&gt;"正常"),0,ROUND($T748/$Q748*$R748,0)-ROUND(($T748-$P748)/$Q748*$R748,0)))</f>
        <v/>
      </c>
      <c r="V748" s="26">
        <f>IF($G748="","",ROUND($P748+$U748,0))</f>
        <v/>
      </c>
      <c r="W748" s="26">
        <f>IF($G748="","",IF(N($K748)=0,0,ROUND($V748/$K748,2)))</f>
        <v/>
      </c>
      <c r="X748" s="17" t="inlineStr">
        <is>
          <t>采购入库</t>
        </is>
      </c>
      <c r="Y748" s="17" t="inlineStr">
        <is>
          <t>正常</t>
        </is>
      </c>
      <c r="Z748" s="17" t="inlineStr">
        <is>
          <t>正常</t>
        </is>
      </c>
      <c r="AA748" s="17" t="n"/>
      <c r="AB748" s="17" t="inlineStr">
        <is>
          <t>原表第 756 行</t>
        </is>
      </c>
      <c r="AC748" s="24">
        <f>IF($G748="","",IF($H748="※编码不在物料档案里","※物料编码不在档案里",IF(N($K748)&lt;=0,"※入库数量要大于 0",IF(AND($C748&lt;&gt;"",$C748&lt;=结账锁),"※日期早于已结账截止日，不能再录",IF(AND($L748=0,$X748="正常"),"※没填单价，价格状态请选「待补价」",IF(AND($S748&gt;0,$R748&gt;0),"△本批有 "&amp;$S748&amp;" 行没单价，整批运费先挂账没摊",IF(AND($B748&lt;&gt;"",COUNTIF($B$4:$B$2503,$B748)&gt;1),"※入库单号重复","")))))))</f>
        <v/>
      </c>
    </row>
    <row r="749">
      <c r="A749" s="24">
        <f>IF($G749="","",COUNTA($G$4:$G749))</f>
        <v/>
      </c>
      <c r="B749" s="17" t="n"/>
      <c r="C749" s="30" t="n">
        <v>46158</v>
      </c>
      <c r="D749" s="17" t="inlineStr">
        <is>
          <t>A国内</t>
        </is>
      </c>
      <c r="E749" s="17" t="inlineStr">
        <is>
          <t>DRYU9381826-202605</t>
        </is>
      </c>
      <c r="F749" s="17" t="inlineStr">
        <is>
          <t>三明建设矿山</t>
        </is>
      </c>
      <c r="G749" s="17" t="inlineStr">
        <is>
          <t>JH0678</t>
        </is>
      </c>
      <c r="H749" s="24">
        <f>IF($G749="","",IFERROR(VLOOKUP($G749,物料档案!$A$4:$P$1203,3,0),"※编码不在物料档案里"))</f>
        <v/>
      </c>
      <c r="I749" s="24">
        <f>IF($G749="","",IFERROR(VLOOKUP($G749,物料档案!$A$4:$P$1203,4,0),"※编码不在物料档案里"))</f>
        <v/>
      </c>
      <c r="J749" s="24">
        <f>IF($G749="","",IFERROR(VLOOKUP($G749,物料档案!$A$4:$P$1203,5,0),"※编码不在物料档案里"))</f>
        <v/>
      </c>
      <c r="K749" s="23" t="n">
        <v>20</v>
      </c>
      <c r="L749" s="31" t="n">
        <v>13.8</v>
      </c>
      <c r="M749" s="24">
        <f>IF($G749="","",IF($D749="A国内","CNY","TZS"))</f>
        <v/>
      </c>
      <c r="N749" s="28">
        <f>IF($G749="","",IF($D749="A国内",汇率,1))</f>
        <v/>
      </c>
      <c r="O749" s="25">
        <f>IF($G749="","",ROUND(N($K749)*N($L749),2))</f>
        <v/>
      </c>
      <c r="P749" s="26">
        <f>IF($G749="","",ROUND($O749*$N749,0))</f>
        <v/>
      </c>
      <c r="Q749" s="26">
        <f>IF($G749="","",SUMIFS($P$4:$P$2503,$E$4:$E$2503,$E749,$Z$4:$Z$2503,"正常"))</f>
        <v/>
      </c>
      <c r="R749" s="26">
        <f>IF($G749="","",SUMIFS(费用台账!$I$4:$I$503,费用台账!$C$4:$C$503,$E749,费用台账!$J$4:$J$503,"是",费用台账!$K$4:$K$503,"正常"))</f>
        <v/>
      </c>
      <c r="S749" s="28">
        <f>IF($G749="","",COUNTIFS($E$4:$E$2503,$E749,$Z$4:$Z$2503,"正常",$Y$4:$Y$2503,"待补价"))</f>
        <v/>
      </c>
      <c r="T749" s="26">
        <f>IF($G749="","",SUMIFS($P$4:$P$2503,$E$4:$E$2503,$E749,$Z$4:$Z$2503,"正常",$A$4:$A$2503,"&lt;="&amp;$A749))</f>
        <v/>
      </c>
      <c r="U749" s="26">
        <f>IF($G749="","",IF(OR($S749&gt;0,$Q749=0,$R749=0,$Z749&lt;&gt;"正常"),0,ROUND($T749/$Q749*$R749,0)-ROUND(($T749-$P749)/$Q749*$R749,0)))</f>
        <v/>
      </c>
      <c r="V749" s="26">
        <f>IF($G749="","",ROUND($P749+$U749,0))</f>
        <v/>
      </c>
      <c r="W749" s="26">
        <f>IF($G749="","",IF(N($K749)=0,0,ROUND($V749/$K749,2)))</f>
        <v/>
      </c>
      <c r="X749" s="17" t="inlineStr">
        <is>
          <t>采购入库</t>
        </is>
      </c>
      <c r="Y749" s="17" t="inlineStr">
        <is>
          <t>正常</t>
        </is>
      </c>
      <c r="Z749" s="17" t="inlineStr">
        <is>
          <t>正常</t>
        </is>
      </c>
      <c r="AA749" s="17" t="n"/>
      <c r="AB749" s="17" t="inlineStr">
        <is>
          <t>原表第 757 行</t>
        </is>
      </c>
      <c r="AC749" s="24">
        <f>IF($G749="","",IF($H749="※编码不在物料档案里","※物料编码不在档案里",IF(N($K749)&lt;=0,"※入库数量要大于 0",IF(AND($C749&lt;&gt;"",$C749&lt;=结账锁),"※日期早于已结账截止日，不能再录",IF(AND($L749=0,$X749="正常"),"※没填单价，价格状态请选「待补价」",IF(AND($S749&gt;0,$R749&gt;0),"△本批有 "&amp;$S749&amp;" 行没单价，整批运费先挂账没摊",IF(AND($B749&lt;&gt;"",COUNTIF($B$4:$B$2503,$B749)&gt;1),"※入库单号重复","")))))))</f>
        <v/>
      </c>
    </row>
    <row r="750">
      <c r="A750" s="24">
        <f>IF($G750="","",COUNTA($G$4:$G750))</f>
        <v/>
      </c>
      <c r="B750" s="17" t="n"/>
      <c r="C750" s="30" t="n">
        <v>46158</v>
      </c>
      <c r="D750" s="17" t="inlineStr">
        <is>
          <t>A国内</t>
        </is>
      </c>
      <c r="E750" s="17" t="inlineStr">
        <is>
          <t>DRYU9381826-202605</t>
        </is>
      </c>
      <c r="F750" s="17" t="inlineStr">
        <is>
          <t>三明建设矿山</t>
        </is>
      </c>
      <c r="G750" s="17" t="inlineStr">
        <is>
          <t>JH0677</t>
        </is>
      </c>
      <c r="H750" s="24">
        <f>IF($G750="","",IFERROR(VLOOKUP($G750,物料档案!$A$4:$P$1203,3,0),"※编码不在物料档案里"))</f>
        <v/>
      </c>
      <c r="I750" s="24">
        <f>IF($G750="","",IFERROR(VLOOKUP($G750,物料档案!$A$4:$P$1203,4,0),"※编码不在物料档案里"))</f>
        <v/>
      </c>
      <c r="J750" s="24">
        <f>IF($G750="","",IFERROR(VLOOKUP($G750,物料档案!$A$4:$P$1203,5,0),"※编码不在物料档案里"))</f>
        <v/>
      </c>
      <c r="K750" s="23" t="n">
        <v>50</v>
      </c>
      <c r="L750" s="31" t="n">
        <v>8</v>
      </c>
      <c r="M750" s="24">
        <f>IF($G750="","",IF($D750="A国内","CNY","TZS"))</f>
        <v/>
      </c>
      <c r="N750" s="28">
        <f>IF($G750="","",IF($D750="A国内",汇率,1))</f>
        <v/>
      </c>
      <c r="O750" s="25">
        <f>IF($G750="","",ROUND(N($K750)*N($L750),2))</f>
        <v/>
      </c>
      <c r="P750" s="26">
        <f>IF($G750="","",ROUND($O750*$N750,0))</f>
        <v/>
      </c>
      <c r="Q750" s="26">
        <f>IF($G750="","",SUMIFS($P$4:$P$2503,$E$4:$E$2503,$E750,$Z$4:$Z$2503,"正常"))</f>
        <v/>
      </c>
      <c r="R750" s="26">
        <f>IF($G750="","",SUMIFS(费用台账!$I$4:$I$503,费用台账!$C$4:$C$503,$E750,费用台账!$J$4:$J$503,"是",费用台账!$K$4:$K$503,"正常"))</f>
        <v/>
      </c>
      <c r="S750" s="28">
        <f>IF($G750="","",COUNTIFS($E$4:$E$2503,$E750,$Z$4:$Z$2503,"正常",$Y$4:$Y$2503,"待补价"))</f>
        <v/>
      </c>
      <c r="T750" s="26">
        <f>IF($G750="","",SUMIFS($P$4:$P$2503,$E$4:$E$2503,$E750,$Z$4:$Z$2503,"正常",$A$4:$A$2503,"&lt;="&amp;$A750))</f>
        <v/>
      </c>
      <c r="U750" s="26">
        <f>IF($G750="","",IF(OR($S750&gt;0,$Q750=0,$R750=0,$Z750&lt;&gt;"正常"),0,ROUND($T750/$Q750*$R750,0)-ROUND(($T750-$P750)/$Q750*$R750,0)))</f>
        <v/>
      </c>
      <c r="V750" s="26">
        <f>IF($G750="","",ROUND($P750+$U750,0))</f>
        <v/>
      </c>
      <c r="W750" s="26">
        <f>IF($G750="","",IF(N($K750)=0,0,ROUND($V750/$K750,2)))</f>
        <v/>
      </c>
      <c r="X750" s="17" t="inlineStr">
        <is>
          <t>采购入库</t>
        </is>
      </c>
      <c r="Y750" s="17" t="inlineStr">
        <is>
          <t>正常</t>
        </is>
      </c>
      <c r="Z750" s="17" t="inlineStr">
        <is>
          <t>正常</t>
        </is>
      </c>
      <c r="AA750" s="17" t="n"/>
      <c r="AB750" s="17" t="inlineStr">
        <is>
          <t>原表第 758 行</t>
        </is>
      </c>
      <c r="AC750" s="24">
        <f>IF($G750="","",IF($H750="※编码不在物料档案里","※物料编码不在档案里",IF(N($K750)&lt;=0,"※入库数量要大于 0",IF(AND($C750&lt;&gt;"",$C750&lt;=结账锁),"※日期早于已结账截止日，不能再录",IF(AND($L750=0,$X750="正常"),"※没填单价，价格状态请选「待补价」",IF(AND($S750&gt;0,$R750&gt;0),"△本批有 "&amp;$S750&amp;" 行没单价，整批运费先挂账没摊",IF(AND($B750&lt;&gt;"",COUNTIF($B$4:$B$2503,$B750)&gt;1),"※入库单号重复","")))))))</f>
        <v/>
      </c>
    </row>
    <row r="751">
      <c r="A751" s="24">
        <f>IF($G751="","",COUNTA($G$4:$G751))</f>
        <v/>
      </c>
      <c r="B751" s="17" t="n"/>
      <c r="C751" s="30" t="n">
        <v>46158</v>
      </c>
      <c r="D751" s="17" t="inlineStr">
        <is>
          <t>A国内</t>
        </is>
      </c>
      <c r="E751" s="17" t="inlineStr">
        <is>
          <t>DRYU9381826-202605</t>
        </is>
      </c>
      <c r="F751" s="17" t="inlineStr">
        <is>
          <t>三明建设矿山</t>
        </is>
      </c>
      <c r="G751" s="17" t="inlineStr">
        <is>
          <t>JH0679</t>
        </is>
      </c>
      <c r="H751" s="24">
        <f>IF($G751="","",IFERROR(VLOOKUP($G751,物料档案!$A$4:$P$1203,3,0),"※编码不在物料档案里"))</f>
        <v/>
      </c>
      <c r="I751" s="24">
        <f>IF($G751="","",IFERROR(VLOOKUP($G751,物料档案!$A$4:$P$1203,4,0),"※编码不在物料档案里"))</f>
        <v/>
      </c>
      <c r="J751" s="24">
        <f>IF($G751="","",IFERROR(VLOOKUP($G751,物料档案!$A$4:$P$1203,5,0),"※编码不在物料档案里"))</f>
        <v/>
      </c>
      <c r="K751" s="23" t="n">
        <v>50</v>
      </c>
      <c r="L751" s="31" t="n">
        <v>21</v>
      </c>
      <c r="M751" s="24">
        <f>IF($G751="","",IF($D751="A国内","CNY","TZS"))</f>
        <v/>
      </c>
      <c r="N751" s="28">
        <f>IF($G751="","",IF($D751="A国内",汇率,1))</f>
        <v/>
      </c>
      <c r="O751" s="25">
        <f>IF($G751="","",ROUND(N($K751)*N($L751),2))</f>
        <v/>
      </c>
      <c r="P751" s="26">
        <f>IF($G751="","",ROUND($O751*$N751,0))</f>
        <v/>
      </c>
      <c r="Q751" s="26">
        <f>IF($G751="","",SUMIFS($P$4:$P$2503,$E$4:$E$2503,$E751,$Z$4:$Z$2503,"正常"))</f>
        <v/>
      </c>
      <c r="R751" s="26">
        <f>IF($G751="","",SUMIFS(费用台账!$I$4:$I$503,费用台账!$C$4:$C$503,$E751,费用台账!$J$4:$J$503,"是",费用台账!$K$4:$K$503,"正常"))</f>
        <v/>
      </c>
      <c r="S751" s="28">
        <f>IF($G751="","",COUNTIFS($E$4:$E$2503,$E751,$Z$4:$Z$2503,"正常",$Y$4:$Y$2503,"待补价"))</f>
        <v/>
      </c>
      <c r="T751" s="26">
        <f>IF($G751="","",SUMIFS($P$4:$P$2503,$E$4:$E$2503,$E751,$Z$4:$Z$2503,"正常",$A$4:$A$2503,"&lt;="&amp;$A751))</f>
        <v/>
      </c>
      <c r="U751" s="26">
        <f>IF($G751="","",IF(OR($S751&gt;0,$Q751=0,$R751=0,$Z751&lt;&gt;"正常"),0,ROUND($T751/$Q751*$R751,0)-ROUND(($T751-$P751)/$Q751*$R751,0)))</f>
        <v/>
      </c>
      <c r="V751" s="26">
        <f>IF($G751="","",ROUND($P751+$U751,0))</f>
        <v/>
      </c>
      <c r="W751" s="26">
        <f>IF($G751="","",IF(N($K751)=0,0,ROUND($V751/$K751,2)))</f>
        <v/>
      </c>
      <c r="X751" s="17" t="inlineStr">
        <is>
          <t>采购入库</t>
        </is>
      </c>
      <c r="Y751" s="17" t="inlineStr">
        <is>
          <t>正常</t>
        </is>
      </c>
      <c r="Z751" s="17" t="inlineStr">
        <is>
          <t>正常</t>
        </is>
      </c>
      <c r="AA751" s="17" t="n"/>
      <c r="AB751" s="17" t="inlineStr">
        <is>
          <t>原表第 759 行</t>
        </is>
      </c>
      <c r="AC751" s="24">
        <f>IF($G751="","",IF($H751="※编码不在物料档案里","※物料编码不在档案里",IF(N($K751)&lt;=0,"※入库数量要大于 0",IF(AND($C751&lt;&gt;"",$C751&lt;=结账锁),"※日期早于已结账截止日，不能再录",IF(AND($L751=0,$X751="正常"),"※没填单价，价格状态请选「待补价」",IF(AND($S751&gt;0,$R751&gt;0),"△本批有 "&amp;$S751&amp;" 行没单价，整批运费先挂账没摊",IF(AND($B751&lt;&gt;"",COUNTIF($B$4:$B$2503,$B751)&gt;1),"※入库单号重复","")))))))</f>
        <v/>
      </c>
    </row>
    <row r="752">
      <c r="A752" s="24">
        <f>IF($G752="","",COUNTA($G$4:$G752))</f>
        <v/>
      </c>
      <c r="B752" s="17" t="n"/>
      <c r="C752" s="30" t="n">
        <v>46158</v>
      </c>
      <c r="D752" s="17" t="inlineStr">
        <is>
          <t>A国内</t>
        </is>
      </c>
      <c r="E752" s="17" t="inlineStr">
        <is>
          <t>DRYU9381826-202605</t>
        </is>
      </c>
      <c r="F752" s="17" t="inlineStr">
        <is>
          <t>三明建设矿山</t>
        </is>
      </c>
      <c r="G752" s="17" t="inlineStr">
        <is>
          <t>JH0680</t>
        </is>
      </c>
      <c r="H752" s="24">
        <f>IF($G752="","",IFERROR(VLOOKUP($G752,物料档案!$A$4:$P$1203,3,0),"※编码不在物料档案里"))</f>
        <v/>
      </c>
      <c r="I752" s="24">
        <f>IF($G752="","",IFERROR(VLOOKUP($G752,物料档案!$A$4:$P$1203,4,0),"※编码不在物料档案里"))</f>
        <v/>
      </c>
      <c r="J752" s="24">
        <f>IF($G752="","",IFERROR(VLOOKUP($G752,物料档案!$A$4:$P$1203,5,0),"※编码不在物料档案里"))</f>
        <v/>
      </c>
      <c r="K752" s="23" t="n">
        <v>50</v>
      </c>
      <c r="L752" s="31" t="n">
        <v>54</v>
      </c>
      <c r="M752" s="24">
        <f>IF($G752="","",IF($D752="A国内","CNY","TZS"))</f>
        <v/>
      </c>
      <c r="N752" s="28">
        <f>IF($G752="","",IF($D752="A国内",汇率,1))</f>
        <v/>
      </c>
      <c r="O752" s="25">
        <f>IF($G752="","",ROUND(N($K752)*N($L752),2))</f>
        <v/>
      </c>
      <c r="P752" s="26">
        <f>IF($G752="","",ROUND($O752*$N752,0))</f>
        <v/>
      </c>
      <c r="Q752" s="26">
        <f>IF($G752="","",SUMIFS($P$4:$P$2503,$E$4:$E$2503,$E752,$Z$4:$Z$2503,"正常"))</f>
        <v/>
      </c>
      <c r="R752" s="26">
        <f>IF($G752="","",SUMIFS(费用台账!$I$4:$I$503,费用台账!$C$4:$C$503,$E752,费用台账!$J$4:$J$503,"是",费用台账!$K$4:$K$503,"正常"))</f>
        <v/>
      </c>
      <c r="S752" s="28">
        <f>IF($G752="","",COUNTIFS($E$4:$E$2503,$E752,$Z$4:$Z$2503,"正常",$Y$4:$Y$2503,"待补价"))</f>
        <v/>
      </c>
      <c r="T752" s="26">
        <f>IF($G752="","",SUMIFS($P$4:$P$2503,$E$4:$E$2503,$E752,$Z$4:$Z$2503,"正常",$A$4:$A$2503,"&lt;="&amp;$A752))</f>
        <v/>
      </c>
      <c r="U752" s="26">
        <f>IF($G752="","",IF(OR($S752&gt;0,$Q752=0,$R752=0,$Z752&lt;&gt;"正常"),0,ROUND($T752/$Q752*$R752,0)-ROUND(($T752-$P752)/$Q752*$R752,0)))</f>
        <v/>
      </c>
      <c r="V752" s="26">
        <f>IF($G752="","",ROUND($P752+$U752,0))</f>
        <v/>
      </c>
      <c r="W752" s="26">
        <f>IF($G752="","",IF(N($K752)=0,0,ROUND($V752/$K752,2)))</f>
        <v/>
      </c>
      <c r="X752" s="17" t="inlineStr">
        <is>
          <t>采购入库</t>
        </is>
      </c>
      <c r="Y752" s="17" t="inlineStr">
        <is>
          <t>正常</t>
        </is>
      </c>
      <c r="Z752" s="17" t="inlineStr">
        <is>
          <t>正常</t>
        </is>
      </c>
      <c r="AA752" s="17" t="n"/>
      <c r="AB752" s="17" t="inlineStr">
        <is>
          <t>原表第 760 行</t>
        </is>
      </c>
      <c r="AC752" s="24">
        <f>IF($G752="","",IF($H752="※编码不在物料档案里","※物料编码不在档案里",IF(N($K752)&lt;=0,"※入库数量要大于 0",IF(AND($C752&lt;&gt;"",$C752&lt;=结账锁),"※日期早于已结账截止日，不能再录",IF(AND($L752=0,$X752="正常"),"※没填单价，价格状态请选「待补价」",IF(AND($S752&gt;0,$R752&gt;0),"△本批有 "&amp;$S752&amp;" 行没单价，整批运费先挂账没摊",IF(AND($B752&lt;&gt;"",COUNTIF($B$4:$B$2503,$B752)&gt;1),"※入库单号重复","")))))))</f>
        <v/>
      </c>
    </row>
    <row r="753">
      <c r="A753" s="24">
        <f>IF($G753="","",COUNTA($G$4:$G753))</f>
        <v/>
      </c>
      <c r="B753" s="17" t="n"/>
      <c r="C753" s="30" t="n">
        <v>46158</v>
      </c>
      <c r="D753" s="17" t="inlineStr">
        <is>
          <t>A国内</t>
        </is>
      </c>
      <c r="E753" s="17" t="inlineStr">
        <is>
          <t>DRYU9381826-202605</t>
        </is>
      </c>
      <c r="F753" s="17" t="inlineStr">
        <is>
          <t>三明建设矿山</t>
        </is>
      </c>
      <c r="G753" s="17" t="inlineStr">
        <is>
          <t>JH0681</t>
        </is>
      </c>
      <c r="H753" s="24">
        <f>IF($G753="","",IFERROR(VLOOKUP($G753,物料档案!$A$4:$P$1203,3,0),"※编码不在物料档案里"))</f>
        <v/>
      </c>
      <c r="I753" s="24">
        <f>IF($G753="","",IFERROR(VLOOKUP($G753,物料档案!$A$4:$P$1203,4,0),"※编码不在物料档案里"))</f>
        <v/>
      </c>
      <c r="J753" s="24">
        <f>IF($G753="","",IFERROR(VLOOKUP($G753,物料档案!$A$4:$P$1203,5,0),"※编码不在物料档案里"))</f>
        <v/>
      </c>
      <c r="K753" s="23" t="n">
        <v>5</v>
      </c>
      <c r="L753" s="31" t="n">
        <v>120</v>
      </c>
      <c r="M753" s="24">
        <f>IF($G753="","",IF($D753="A国内","CNY","TZS"))</f>
        <v/>
      </c>
      <c r="N753" s="28">
        <f>IF($G753="","",IF($D753="A国内",汇率,1))</f>
        <v/>
      </c>
      <c r="O753" s="25">
        <f>IF($G753="","",ROUND(N($K753)*N($L753),2))</f>
        <v/>
      </c>
      <c r="P753" s="26">
        <f>IF($G753="","",ROUND($O753*$N753,0))</f>
        <v/>
      </c>
      <c r="Q753" s="26">
        <f>IF($G753="","",SUMIFS($P$4:$P$2503,$E$4:$E$2503,$E753,$Z$4:$Z$2503,"正常"))</f>
        <v/>
      </c>
      <c r="R753" s="26">
        <f>IF($G753="","",SUMIFS(费用台账!$I$4:$I$503,费用台账!$C$4:$C$503,$E753,费用台账!$J$4:$J$503,"是",费用台账!$K$4:$K$503,"正常"))</f>
        <v/>
      </c>
      <c r="S753" s="28">
        <f>IF($G753="","",COUNTIFS($E$4:$E$2503,$E753,$Z$4:$Z$2503,"正常",$Y$4:$Y$2503,"待补价"))</f>
        <v/>
      </c>
      <c r="T753" s="26">
        <f>IF($G753="","",SUMIFS($P$4:$P$2503,$E$4:$E$2503,$E753,$Z$4:$Z$2503,"正常",$A$4:$A$2503,"&lt;="&amp;$A753))</f>
        <v/>
      </c>
      <c r="U753" s="26">
        <f>IF($G753="","",IF(OR($S753&gt;0,$Q753=0,$R753=0,$Z753&lt;&gt;"正常"),0,ROUND($T753/$Q753*$R753,0)-ROUND(($T753-$P753)/$Q753*$R753,0)))</f>
        <v/>
      </c>
      <c r="V753" s="26">
        <f>IF($G753="","",ROUND($P753+$U753,0))</f>
        <v/>
      </c>
      <c r="W753" s="26">
        <f>IF($G753="","",IF(N($K753)=0,0,ROUND($V753/$K753,2)))</f>
        <v/>
      </c>
      <c r="X753" s="17" t="inlineStr">
        <is>
          <t>采购入库</t>
        </is>
      </c>
      <c r="Y753" s="17" t="inlineStr">
        <is>
          <t>正常</t>
        </is>
      </c>
      <c r="Z753" s="17" t="inlineStr">
        <is>
          <t>正常</t>
        </is>
      </c>
      <c r="AA753" s="17" t="n"/>
      <c r="AB753" s="17" t="inlineStr">
        <is>
          <t>原表第 761 行</t>
        </is>
      </c>
      <c r="AC753" s="24">
        <f>IF($G753="","",IF($H753="※编码不在物料档案里","※物料编码不在档案里",IF(N($K753)&lt;=0,"※入库数量要大于 0",IF(AND($C753&lt;&gt;"",$C753&lt;=结账锁),"※日期早于已结账截止日，不能再录",IF(AND($L753=0,$X753="正常"),"※没填单价，价格状态请选「待补价」",IF(AND($S753&gt;0,$R753&gt;0),"△本批有 "&amp;$S753&amp;" 行没单价，整批运费先挂账没摊",IF(AND($B753&lt;&gt;"",COUNTIF($B$4:$B$2503,$B753)&gt;1),"※入库单号重复","")))))))</f>
        <v/>
      </c>
    </row>
    <row r="754">
      <c r="A754" s="24">
        <f>IF($G754="","",COUNTA($G$4:$G754))</f>
        <v/>
      </c>
      <c r="B754" s="17" t="n"/>
      <c r="C754" s="30" t="n">
        <v>46158</v>
      </c>
      <c r="D754" s="17" t="inlineStr">
        <is>
          <t>A国内</t>
        </is>
      </c>
      <c r="E754" s="17" t="inlineStr">
        <is>
          <t>DRYU9381826-202605</t>
        </is>
      </c>
      <c r="F754" s="17" t="inlineStr">
        <is>
          <t>三明建设矿山</t>
        </is>
      </c>
      <c r="G754" s="17" t="inlineStr">
        <is>
          <t>JH0682</t>
        </is>
      </c>
      <c r="H754" s="24">
        <f>IF($G754="","",IFERROR(VLOOKUP($G754,物料档案!$A$4:$P$1203,3,0),"※编码不在物料档案里"))</f>
        <v/>
      </c>
      <c r="I754" s="24">
        <f>IF($G754="","",IFERROR(VLOOKUP($G754,物料档案!$A$4:$P$1203,4,0),"※编码不在物料档案里"))</f>
        <v/>
      </c>
      <c r="J754" s="24">
        <f>IF($G754="","",IFERROR(VLOOKUP($G754,物料档案!$A$4:$P$1203,5,0),"※编码不在物料档案里"))</f>
        <v/>
      </c>
      <c r="K754" s="23" t="n">
        <v>1</v>
      </c>
      <c r="L754" s="31" t="n">
        <v>4415</v>
      </c>
      <c r="M754" s="24">
        <f>IF($G754="","",IF($D754="A国内","CNY","TZS"))</f>
        <v/>
      </c>
      <c r="N754" s="28">
        <f>IF($G754="","",IF($D754="A国内",汇率,1))</f>
        <v/>
      </c>
      <c r="O754" s="25">
        <f>IF($G754="","",ROUND(N($K754)*N($L754),2))</f>
        <v/>
      </c>
      <c r="P754" s="26">
        <f>IF($G754="","",ROUND($O754*$N754,0))</f>
        <v/>
      </c>
      <c r="Q754" s="26">
        <f>IF($G754="","",SUMIFS($P$4:$P$2503,$E$4:$E$2503,$E754,$Z$4:$Z$2503,"正常"))</f>
        <v/>
      </c>
      <c r="R754" s="26">
        <f>IF($G754="","",SUMIFS(费用台账!$I$4:$I$503,费用台账!$C$4:$C$503,$E754,费用台账!$J$4:$J$503,"是",费用台账!$K$4:$K$503,"正常"))</f>
        <v/>
      </c>
      <c r="S754" s="28">
        <f>IF($G754="","",COUNTIFS($E$4:$E$2503,$E754,$Z$4:$Z$2503,"正常",$Y$4:$Y$2503,"待补价"))</f>
        <v/>
      </c>
      <c r="T754" s="26">
        <f>IF($G754="","",SUMIFS($P$4:$P$2503,$E$4:$E$2503,$E754,$Z$4:$Z$2503,"正常",$A$4:$A$2503,"&lt;="&amp;$A754))</f>
        <v/>
      </c>
      <c r="U754" s="26">
        <f>IF($G754="","",IF(OR($S754&gt;0,$Q754=0,$R754=0,$Z754&lt;&gt;"正常"),0,ROUND($T754/$Q754*$R754,0)-ROUND(($T754-$P754)/$Q754*$R754,0)))</f>
        <v/>
      </c>
      <c r="V754" s="26">
        <f>IF($G754="","",ROUND($P754+$U754,0))</f>
        <v/>
      </c>
      <c r="W754" s="26">
        <f>IF($G754="","",IF(N($K754)=0,0,ROUND($V754/$K754,2)))</f>
        <v/>
      </c>
      <c r="X754" s="17" t="inlineStr">
        <is>
          <t>采购入库</t>
        </is>
      </c>
      <c r="Y754" s="17" t="inlineStr">
        <is>
          <t>正常</t>
        </is>
      </c>
      <c r="Z754" s="17" t="inlineStr">
        <is>
          <t>正常</t>
        </is>
      </c>
      <c r="AA754" s="17" t="n"/>
      <c r="AB754" s="17" t="inlineStr">
        <is>
          <t>原表第 762 行</t>
        </is>
      </c>
      <c r="AC754" s="24">
        <f>IF($G754="","",IF($H754="※编码不在物料档案里","※物料编码不在档案里",IF(N($K754)&lt;=0,"※入库数量要大于 0",IF(AND($C754&lt;&gt;"",$C754&lt;=结账锁),"※日期早于已结账截止日，不能再录",IF(AND($L754=0,$X754="正常"),"※没填单价，价格状态请选「待补价」",IF(AND($S754&gt;0,$R754&gt;0),"△本批有 "&amp;$S754&amp;" 行没单价，整批运费先挂账没摊",IF(AND($B754&lt;&gt;"",COUNTIF($B$4:$B$2503,$B754)&gt;1),"※入库单号重复","")))))))</f>
        <v/>
      </c>
    </row>
    <row r="755">
      <c r="A755" s="24">
        <f>IF($G755="","",COUNTA($G$4:$G755))</f>
        <v/>
      </c>
      <c r="B755" s="17" t="n"/>
      <c r="C755" s="30" t="n">
        <v>46158</v>
      </c>
      <c r="D755" s="17" t="inlineStr">
        <is>
          <t>A国内</t>
        </is>
      </c>
      <c r="E755" s="17" t="inlineStr">
        <is>
          <t>DRYU9381826-202605</t>
        </is>
      </c>
      <c r="F755" s="17" t="inlineStr">
        <is>
          <t>三明建设矿山</t>
        </is>
      </c>
      <c r="G755" s="17" t="inlineStr">
        <is>
          <t>JH0683</t>
        </is>
      </c>
      <c r="H755" s="24">
        <f>IF($G755="","",IFERROR(VLOOKUP($G755,物料档案!$A$4:$P$1203,3,0),"※编码不在物料档案里"))</f>
        <v/>
      </c>
      <c r="I755" s="24">
        <f>IF($G755="","",IFERROR(VLOOKUP($G755,物料档案!$A$4:$P$1203,4,0),"※编码不在物料档案里"))</f>
        <v/>
      </c>
      <c r="J755" s="24">
        <f>IF($G755="","",IFERROR(VLOOKUP($G755,物料档案!$A$4:$P$1203,5,0),"※编码不在物料档案里"))</f>
        <v/>
      </c>
      <c r="K755" s="23" t="n">
        <v>10</v>
      </c>
      <c r="L755" s="31" t="n">
        <v>257</v>
      </c>
      <c r="M755" s="24">
        <f>IF($G755="","",IF($D755="A国内","CNY","TZS"))</f>
        <v/>
      </c>
      <c r="N755" s="28">
        <f>IF($G755="","",IF($D755="A国内",汇率,1))</f>
        <v/>
      </c>
      <c r="O755" s="25">
        <f>IF($G755="","",ROUND(N($K755)*N($L755),2))</f>
        <v/>
      </c>
      <c r="P755" s="26">
        <f>IF($G755="","",ROUND($O755*$N755,0))</f>
        <v/>
      </c>
      <c r="Q755" s="26">
        <f>IF($G755="","",SUMIFS($P$4:$P$2503,$E$4:$E$2503,$E755,$Z$4:$Z$2503,"正常"))</f>
        <v/>
      </c>
      <c r="R755" s="26">
        <f>IF($G755="","",SUMIFS(费用台账!$I$4:$I$503,费用台账!$C$4:$C$503,$E755,费用台账!$J$4:$J$503,"是",费用台账!$K$4:$K$503,"正常"))</f>
        <v/>
      </c>
      <c r="S755" s="28">
        <f>IF($G755="","",COUNTIFS($E$4:$E$2503,$E755,$Z$4:$Z$2503,"正常",$Y$4:$Y$2503,"待补价"))</f>
        <v/>
      </c>
      <c r="T755" s="26">
        <f>IF($G755="","",SUMIFS($P$4:$P$2503,$E$4:$E$2503,$E755,$Z$4:$Z$2503,"正常",$A$4:$A$2503,"&lt;="&amp;$A755))</f>
        <v/>
      </c>
      <c r="U755" s="26">
        <f>IF($G755="","",IF(OR($S755&gt;0,$Q755=0,$R755=0,$Z755&lt;&gt;"正常"),0,ROUND($T755/$Q755*$R755,0)-ROUND(($T755-$P755)/$Q755*$R755,0)))</f>
        <v/>
      </c>
      <c r="V755" s="26">
        <f>IF($G755="","",ROUND($P755+$U755,0))</f>
        <v/>
      </c>
      <c r="W755" s="26">
        <f>IF($G755="","",IF(N($K755)=0,0,ROUND($V755/$K755,2)))</f>
        <v/>
      </c>
      <c r="X755" s="17" t="inlineStr">
        <is>
          <t>采购入库</t>
        </is>
      </c>
      <c r="Y755" s="17" t="inlineStr">
        <is>
          <t>正常</t>
        </is>
      </c>
      <c r="Z755" s="17" t="inlineStr">
        <is>
          <t>正常</t>
        </is>
      </c>
      <c r="AA755" s="17" t="n"/>
      <c r="AB755" s="17" t="inlineStr">
        <is>
          <t>原表第 763 行</t>
        </is>
      </c>
      <c r="AC755" s="24">
        <f>IF($G755="","",IF($H755="※编码不在物料档案里","※物料编码不在档案里",IF(N($K755)&lt;=0,"※入库数量要大于 0",IF(AND($C755&lt;&gt;"",$C755&lt;=结账锁),"※日期早于已结账截止日，不能再录",IF(AND($L755=0,$X755="正常"),"※没填单价，价格状态请选「待补价」",IF(AND($S755&gt;0,$R755&gt;0),"△本批有 "&amp;$S755&amp;" 行没单价，整批运费先挂账没摊",IF(AND($B755&lt;&gt;"",COUNTIF($B$4:$B$2503,$B755)&gt;1),"※入库单号重复","")))))))</f>
        <v/>
      </c>
    </row>
    <row r="756">
      <c r="A756" s="24">
        <f>IF($G756="","",COUNTA($G$4:$G756))</f>
        <v/>
      </c>
      <c r="B756" s="17" t="n"/>
      <c r="C756" s="30" t="n">
        <v>46158</v>
      </c>
      <c r="D756" s="17" t="inlineStr">
        <is>
          <t>A国内</t>
        </is>
      </c>
      <c r="E756" s="17" t="inlineStr">
        <is>
          <t>DRYU9381826-202605</t>
        </is>
      </c>
      <c r="F756" s="17" t="inlineStr">
        <is>
          <t>三明建设矿山</t>
        </is>
      </c>
      <c r="G756" s="17" t="inlineStr">
        <is>
          <t>JH0684</t>
        </is>
      </c>
      <c r="H756" s="24">
        <f>IF($G756="","",IFERROR(VLOOKUP($G756,物料档案!$A$4:$P$1203,3,0),"※编码不在物料档案里"))</f>
        <v/>
      </c>
      <c r="I756" s="24">
        <f>IF($G756="","",IFERROR(VLOOKUP($G756,物料档案!$A$4:$P$1203,4,0),"※编码不在物料档案里"))</f>
        <v/>
      </c>
      <c r="J756" s="24">
        <f>IF($G756="","",IFERROR(VLOOKUP($G756,物料档案!$A$4:$P$1203,5,0),"※编码不在物料档案里"))</f>
        <v/>
      </c>
      <c r="K756" s="23" t="n">
        <v>10</v>
      </c>
      <c r="L756" s="31" t="n">
        <v>240</v>
      </c>
      <c r="M756" s="24">
        <f>IF($G756="","",IF($D756="A国内","CNY","TZS"))</f>
        <v/>
      </c>
      <c r="N756" s="28">
        <f>IF($G756="","",IF($D756="A国内",汇率,1))</f>
        <v/>
      </c>
      <c r="O756" s="25">
        <f>IF($G756="","",ROUND(N($K756)*N($L756),2))</f>
        <v/>
      </c>
      <c r="P756" s="26">
        <f>IF($G756="","",ROUND($O756*$N756,0))</f>
        <v/>
      </c>
      <c r="Q756" s="26">
        <f>IF($G756="","",SUMIFS($P$4:$P$2503,$E$4:$E$2503,$E756,$Z$4:$Z$2503,"正常"))</f>
        <v/>
      </c>
      <c r="R756" s="26">
        <f>IF($G756="","",SUMIFS(费用台账!$I$4:$I$503,费用台账!$C$4:$C$503,$E756,费用台账!$J$4:$J$503,"是",费用台账!$K$4:$K$503,"正常"))</f>
        <v/>
      </c>
      <c r="S756" s="28">
        <f>IF($G756="","",COUNTIFS($E$4:$E$2503,$E756,$Z$4:$Z$2503,"正常",$Y$4:$Y$2503,"待补价"))</f>
        <v/>
      </c>
      <c r="T756" s="26">
        <f>IF($G756="","",SUMIFS($P$4:$P$2503,$E$4:$E$2503,$E756,$Z$4:$Z$2503,"正常",$A$4:$A$2503,"&lt;="&amp;$A756))</f>
        <v/>
      </c>
      <c r="U756" s="26">
        <f>IF($G756="","",IF(OR($S756&gt;0,$Q756=0,$R756=0,$Z756&lt;&gt;"正常"),0,ROUND($T756/$Q756*$R756,0)-ROUND(($T756-$P756)/$Q756*$R756,0)))</f>
        <v/>
      </c>
      <c r="V756" s="26">
        <f>IF($G756="","",ROUND($P756+$U756,0))</f>
        <v/>
      </c>
      <c r="W756" s="26">
        <f>IF($G756="","",IF(N($K756)=0,0,ROUND($V756/$K756,2)))</f>
        <v/>
      </c>
      <c r="X756" s="17" t="inlineStr">
        <is>
          <t>采购入库</t>
        </is>
      </c>
      <c r="Y756" s="17" t="inlineStr">
        <is>
          <t>正常</t>
        </is>
      </c>
      <c r="Z756" s="17" t="inlineStr">
        <is>
          <t>正常</t>
        </is>
      </c>
      <c r="AA756" s="17" t="n"/>
      <c r="AB756" s="17" t="inlineStr">
        <is>
          <t>原表第 764 行</t>
        </is>
      </c>
      <c r="AC756" s="24">
        <f>IF($G756="","",IF($H756="※编码不在物料档案里","※物料编码不在档案里",IF(N($K756)&lt;=0,"※入库数量要大于 0",IF(AND($C756&lt;&gt;"",$C756&lt;=结账锁),"※日期早于已结账截止日，不能再录",IF(AND($L756=0,$X756="正常"),"※没填单价，价格状态请选「待补价」",IF(AND($S756&gt;0,$R756&gt;0),"△本批有 "&amp;$S756&amp;" 行没单价，整批运费先挂账没摊",IF(AND($B756&lt;&gt;"",COUNTIF($B$4:$B$2503,$B756)&gt;1),"※入库单号重复","")))))))</f>
        <v/>
      </c>
    </row>
    <row r="757">
      <c r="A757" s="24">
        <f>IF($G757="","",COUNTA($G$4:$G757))</f>
        <v/>
      </c>
      <c r="B757" s="17" t="n"/>
      <c r="C757" s="30" t="n">
        <v>46158</v>
      </c>
      <c r="D757" s="17" t="inlineStr">
        <is>
          <t>A国内</t>
        </is>
      </c>
      <c r="E757" s="17" t="inlineStr">
        <is>
          <t>DRYU9381826-202605</t>
        </is>
      </c>
      <c r="F757" s="17" t="inlineStr">
        <is>
          <t>三明建设矿山</t>
        </is>
      </c>
      <c r="G757" s="17" t="inlineStr">
        <is>
          <t>JH0685</t>
        </is>
      </c>
      <c r="H757" s="24">
        <f>IF($G757="","",IFERROR(VLOOKUP($G757,物料档案!$A$4:$P$1203,3,0),"※编码不在物料档案里"))</f>
        <v/>
      </c>
      <c r="I757" s="24">
        <f>IF($G757="","",IFERROR(VLOOKUP($G757,物料档案!$A$4:$P$1203,4,0),"※编码不在物料档案里"))</f>
        <v/>
      </c>
      <c r="J757" s="24">
        <f>IF($G757="","",IFERROR(VLOOKUP($G757,物料档案!$A$4:$P$1203,5,0),"※编码不在物料档案里"))</f>
        <v/>
      </c>
      <c r="K757" s="23" t="n">
        <v>10</v>
      </c>
      <c r="L757" s="31" t="n">
        <v>782</v>
      </c>
      <c r="M757" s="24">
        <f>IF($G757="","",IF($D757="A国内","CNY","TZS"))</f>
        <v/>
      </c>
      <c r="N757" s="28">
        <f>IF($G757="","",IF($D757="A国内",汇率,1))</f>
        <v/>
      </c>
      <c r="O757" s="25">
        <f>IF($G757="","",ROUND(N($K757)*N($L757),2))</f>
        <v/>
      </c>
      <c r="P757" s="26">
        <f>IF($G757="","",ROUND($O757*$N757,0))</f>
        <v/>
      </c>
      <c r="Q757" s="26">
        <f>IF($G757="","",SUMIFS($P$4:$P$2503,$E$4:$E$2503,$E757,$Z$4:$Z$2503,"正常"))</f>
        <v/>
      </c>
      <c r="R757" s="26">
        <f>IF($G757="","",SUMIFS(费用台账!$I$4:$I$503,费用台账!$C$4:$C$503,$E757,费用台账!$J$4:$J$503,"是",费用台账!$K$4:$K$503,"正常"))</f>
        <v/>
      </c>
      <c r="S757" s="28">
        <f>IF($G757="","",COUNTIFS($E$4:$E$2503,$E757,$Z$4:$Z$2503,"正常",$Y$4:$Y$2503,"待补价"))</f>
        <v/>
      </c>
      <c r="T757" s="26">
        <f>IF($G757="","",SUMIFS($P$4:$P$2503,$E$4:$E$2503,$E757,$Z$4:$Z$2503,"正常",$A$4:$A$2503,"&lt;="&amp;$A757))</f>
        <v/>
      </c>
      <c r="U757" s="26">
        <f>IF($G757="","",IF(OR($S757&gt;0,$Q757=0,$R757=0,$Z757&lt;&gt;"正常"),0,ROUND($T757/$Q757*$R757,0)-ROUND(($T757-$P757)/$Q757*$R757,0)))</f>
        <v/>
      </c>
      <c r="V757" s="26">
        <f>IF($G757="","",ROUND($P757+$U757,0))</f>
        <v/>
      </c>
      <c r="W757" s="26">
        <f>IF($G757="","",IF(N($K757)=0,0,ROUND($V757/$K757,2)))</f>
        <v/>
      </c>
      <c r="X757" s="17" t="inlineStr">
        <is>
          <t>采购入库</t>
        </is>
      </c>
      <c r="Y757" s="17" t="inlineStr">
        <is>
          <t>正常</t>
        </is>
      </c>
      <c r="Z757" s="17" t="inlineStr">
        <is>
          <t>正常</t>
        </is>
      </c>
      <c r="AA757" s="17" t="n"/>
      <c r="AB757" s="17" t="inlineStr">
        <is>
          <t>原表第 765 行</t>
        </is>
      </c>
      <c r="AC757" s="24">
        <f>IF($G757="","",IF($H757="※编码不在物料档案里","※物料编码不在档案里",IF(N($K757)&lt;=0,"※入库数量要大于 0",IF(AND($C757&lt;&gt;"",$C757&lt;=结账锁),"※日期早于已结账截止日，不能再录",IF(AND($L757=0,$X757="正常"),"※没填单价，价格状态请选「待补价」",IF(AND($S757&gt;0,$R757&gt;0),"△本批有 "&amp;$S757&amp;" 行没单价，整批运费先挂账没摊",IF(AND($B757&lt;&gt;"",COUNTIF($B$4:$B$2503,$B757)&gt;1),"※入库单号重复","")))))))</f>
        <v/>
      </c>
    </row>
    <row r="758">
      <c r="A758" s="24">
        <f>IF($G758="","",COUNTA($G$4:$G758))</f>
        <v/>
      </c>
      <c r="B758" s="17" t="n"/>
      <c r="C758" s="30" t="n">
        <v>46158</v>
      </c>
      <c r="D758" s="17" t="inlineStr">
        <is>
          <t>A国内</t>
        </is>
      </c>
      <c r="E758" s="17" t="inlineStr">
        <is>
          <t>DRYU9381826-202605</t>
        </is>
      </c>
      <c r="F758" s="17" t="inlineStr">
        <is>
          <t>三明建设矿山</t>
        </is>
      </c>
      <c r="G758" s="17" t="inlineStr">
        <is>
          <t>JH0686</t>
        </is>
      </c>
      <c r="H758" s="24">
        <f>IF($G758="","",IFERROR(VLOOKUP($G758,物料档案!$A$4:$P$1203,3,0),"※编码不在物料档案里"))</f>
        <v/>
      </c>
      <c r="I758" s="24">
        <f>IF($G758="","",IFERROR(VLOOKUP($G758,物料档案!$A$4:$P$1203,4,0),"※编码不在物料档案里"))</f>
        <v/>
      </c>
      <c r="J758" s="24">
        <f>IF($G758="","",IFERROR(VLOOKUP($G758,物料档案!$A$4:$P$1203,5,0),"※编码不在物料档案里"))</f>
        <v/>
      </c>
      <c r="K758" s="23" t="n">
        <v>20</v>
      </c>
      <c r="L758" s="31" t="n">
        <v>18</v>
      </c>
      <c r="M758" s="24">
        <f>IF($G758="","",IF($D758="A国内","CNY","TZS"))</f>
        <v/>
      </c>
      <c r="N758" s="28">
        <f>IF($G758="","",IF($D758="A国内",汇率,1))</f>
        <v/>
      </c>
      <c r="O758" s="25">
        <f>IF($G758="","",ROUND(N($K758)*N($L758),2))</f>
        <v/>
      </c>
      <c r="P758" s="26">
        <f>IF($G758="","",ROUND($O758*$N758,0))</f>
        <v/>
      </c>
      <c r="Q758" s="26">
        <f>IF($G758="","",SUMIFS($P$4:$P$2503,$E$4:$E$2503,$E758,$Z$4:$Z$2503,"正常"))</f>
        <v/>
      </c>
      <c r="R758" s="26">
        <f>IF($G758="","",SUMIFS(费用台账!$I$4:$I$503,费用台账!$C$4:$C$503,$E758,费用台账!$J$4:$J$503,"是",费用台账!$K$4:$K$503,"正常"))</f>
        <v/>
      </c>
      <c r="S758" s="28">
        <f>IF($G758="","",COUNTIFS($E$4:$E$2503,$E758,$Z$4:$Z$2503,"正常",$Y$4:$Y$2503,"待补价"))</f>
        <v/>
      </c>
      <c r="T758" s="26">
        <f>IF($G758="","",SUMIFS($P$4:$P$2503,$E$4:$E$2503,$E758,$Z$4:$Z$2503,"正常",$A$4:$A$2503,"&lt;="&amp;$A758))</f>
        <v/>
      </c>
      <c r="U758" s="26">
        <f>IF($G758="","",IF(OR($S758&gt;0,$Q758=0,$R758=0,$Z758&lt;&gt;"正常"),0,ROUND($T758/$Q758*$R758,0)-ROUND(($T758-$P758)/$Q758*$R758,0)))</f>
        <v/>
      </c>
      <c r="V758" s="26">
        <f>IF($G758="","",ROUND($P758+$U758,0))</f>
        <v/>
      </c>
      <c r="W758" s="26">
        <f>IF($G758="","",IF(N($K758)=0,0,ROUND($V758/$K758,2)))</f>
        <v/>
      </c>
      <c r="X758" s="17" t="inlineStr">
        <is>
          <t>采购入库</t>
        </is>
      </c>
      <c r="Y758" s="17" t="inlineStr">
        <is>
          <t>正常</t>
        </is>
      </c>
      <c r="Z758" s="17" t="inlineStr">
        <is>
          <t>正常</t>
        </is>
      </c>
      <c r="AA758" s="17" t="n"/>
      <c r="AB758" s="17" t="inlineStr">
        <is>
          <t>原表第 766 行</t>
        </is>
      </c>
      <c r="AC758" s="24">
        <f>IF($G758="","",IF($H758="※编码不在物料档案里","※物料编码不在档案里",IF(N($K758)&lt;=0,"※入库数量要大于 0",IF(AND($C758&lt;&gt;"",$C758&lt;=结账锁),"※日期早于已结账截止日，不能再录",IF(AND($L758=0,$X758="正常"),"※没填单价，价格状态请选「待补价」",IF(AND($S758&gt;0,$R758&gt;0),"△本批有 "&amp;$S758&amp;" 行没单价，整批运费先挂账没摊",IF(AND($B758&lt;&gt;"",COUNTIF($B$4:$B$2503,$B758)&gt;1),"※入库单号重复","")))))))</f>
        <v/>
      </c>
    </row>
    <row r="759">
      <c r="A759" s="24">
        <f>IF($G759="","",COUNTA($G$4:$G759))</f>
        <v/>
      </c>
      <c r="B759" s="17" t="n"/>
      <c r="C759" s="30" t="n">
        <v>46158</v>
      </c>
      <c r="D759" s="17" t="inlineStr">
        <is>
          <t>A国内</t>
        </is>
      </c>
      <c r="E759" s="17" t="inlineStr">
        <is>
          <t>DRYU9381826-202605</t>
        </is>
      </c>
      <c r="F759" s="17" t="inlineStr">
        <is>
          <t>三明建设矿山</t>
        </is>
      </c>
      <c r="G759" s="17" t="inlineStr">
        <is>
          <t>JH0687</t>
        </is>
      </c>
      <c r="H759" s="24">
        <f>IF($G759="","",IFERROR(VLOOKUP($G759,物料档案!$A$4:$P$1203,3,0),"※编码不在物料档案里"))</f>
        <v/>
      </c>
      <c r="I759" s="24">
        <f>IF($G759="","",IFERROR(VLOOKUP($G759,物料档案!$A$4:$P$1203,4,0),"※编码不在物料档案里"))</f>
        <v/>
      </c>
      <c r="J759" s="24">
        <f>IF($G759="","",IFERROR(VLOOKUP($G759,物料档案!$A$4:$P$1203,5,0),"※编码不在物料档案里"))</f>
        <v/>
      </c>
      <c r="K759" s="23" t="n">
        <v>50</v>
      </c>
      <c r="L759" s="31" t="n">
        <v>15</v>
      </c>
      <c r="M759" s="24">
        <f>IF($G759="","",IF($D759="A国内","CNY","TZS"))</f>
        <v/>
      </c>
      <c r="N759" s="28">
        <f>IF($G759="","",IF($D759="A国内",汇率,1))</f>
        <v/>
      </c>
      <c r="O759" s="25">
        <f>IF($G759="","",ROUND(N($K759)*N($L759),2))</f>
        <v/>
      </c>
      <c r="P759" s="26">
        <f>IF($G759="","",ROUND($O759*$N759,0))</f>
        <v/>
      </c>
      <c r="Q759" s="26">
        <f>IF($G759="","",SUMIFS($P$4:$P$2503,$E$4:$E$2503,$E759,$Z$4:$Z$2503,"正常"))</f>
        <v/>
      </c>
      <c r="R759" s="26">
        <f>IF($G759="","",SUMIFS(费用台账!$I$4:$I$503,费用台账!$C$4:$C$503,$E759,费用台账!$J$4:$J$503,"是",费用台账!$K$4:$K$503,"正常"))</f>
        <v/>
      </c>
      <c r="S759" s="28">
        <f>IF($G759="","",COUNTIFS($E$4:$E$2503,$E759,$Z$4:$Z$2503,"正常",$Y$4:$Y$2503,"待补价"))</f>
        <v/>
      </c>
      <c r="T759" s="26">
        <f>IF($G759="","",SUMIFS($P$4:$P$2503,$E$4:$E$2503,$E759,$Z$4:$Z$2503,"正常",$A$4:$A$2503,"&lt;="&amp;$A759))</f>
        <v/>
      </c>
      <c r="U759" s="26">
        <f>IF($G759="","",IF(OR($S759&gt;0,$Q759=0,$R759=0,$Z759&lt;&gt;"正常"),0,ROUND($T759/$Q759*$R759,0)-ROUND(($T759-$P759)/$Q759*$R759,0)))</f>
        <v/>
      </c>
      <c r="V759" s="26">
        <f>IF($G759="","",ROUND($P759+$U759,0))</f>
        <v/>
      </c>
      <c r="W759" s="26">
        <f>IF($G759="","",IF(N($K759)=0,0,ROUND($V759/$K759,2)))</f>
        <v/>
      </c>
      <c r="X759" s="17" t="inlineStr">
        <is>
          <t>采购入库</t>
        </is>
      </c>
      <c r="Y759" s="17" t="inlineStr">
        <is>
          <t>正常</t>
        </is>
      </c>
      <c r="Z759" s="17" t="inlineStr">
        <is>
          <t>正常</t>
        </is>
      </c>
      <c r="AA759" s="17" t="n"/>
      <c r="AB759" s="17" t="inlineStr">
        <is>
          <t>原表第 767 行</t>
        </is>
      </c>
      <c r="AC759" s="24">
        <f>IF($G759="","",IF($H759="※编码不在物料档案里","※物料编码不在档案里",IF(N($K759)&lt;=0,"※入库数量要大于 0",IF(AND($C759&lt;&gt;"",$C759&lt;=结账锁),"※日期早于已结账截止日，不能再录",IF(AND($L759=0,$X759="正常"),"※没填单价，价格状态请选「待补价」",IF(AND($S759&gt;0,$R759&gt;0),"△本批有 "&amp;$S759&amp;" 行没单价，整批运费先挂账没摊",IF(AND($B759&lt;&gt;"",COUNTIF($B$4:$B$2503,$B759)&gt;1),"※入库单号重复","")))))))</f>
        <v/>
      </c>
    </row>
    <row r="760">
      <c r="A760" s="24">
        <f>IF($G760="","",COUNTA($G$4:$G760))</f>
        <v/>
      </c>
      <c r="B760" s="17" t="n"/>
      <c r="C760" s="30" t="n">
        <v>46158</v>
      </c>
      <c r="D760" s="17" t="inlineStr">
        <is>
          <t>A国内</t>
        </is>
      </c>
      <c r="E760" s="17" t="inlineStr">
        <is>
          <t>DRYU9381826-202605</t>
        </is>
      </c>
      <c r="F760" s="17" t="inlineStr">
        <is>
          <t>三明建设矿山</t>
        </is>
      </c>
      <c r="G760" s="17" t="inlineStr">
        <is>
          <t>JH0688</t>
        </is>
      </c>
      <c r="H760" s="24">
        <f>IF($G760="","",IFERROR(VLOOKUP($G760,物料档案!$A$4:$P$1203,3,0),"※编码不在物料档案里"))</f>
        <v/>
      </c>
      <c r="I760" s="24">
        <f>IF($G760="","",IFERROR(VLOOKUP($G760,物料档案!$A$4:$P$1203,4,0),"※编码不在物料档案里"))</f>
        <v/>
      </c>
      <c r="J760" s="24">
        <f>IF($G760="","",IFERROR(VLOOKUP($G760,物料档案!$A$4:$P$1203,5,0),"※编码不在物料档案里"))</f>
        <v/>
      </c>
      <c r="K760" s="23" t="n">
        <v>50</v>
      </c>
      <c r="L760" s="31" t="n">
        <v>11</v>
      </c>
      <c r="M760" s="24">
        <f>IF($G760="","",IF($D760="A国内","CNY","TZS"))</f>
        <v/>
      </c>
      <c r="N760" s="28">
        <f>IF($G760="","",IF($D760="A国内",汇率,1))</f>
        <v/>
      </c>
      <c r="O760" s="25">
        <f>IF($G760="","",ROUND(N($K760)*N($L760),2))</f>
        <v/>
      </c>
      <c r="P760" s="26">
        <f>IF($G760="","",ROUND($O760*$N760,0))</f>
        <v/>
      </c>
      <c r="Q760" s="26">
        <f>IF($G760="","",SUMIFS($P$4:$P$2503,$E$4:$E$2503,$E760,$Z$4:$Z$2503,"正常"))</f>
        <v/>
      </c>
      <c r="R760" s="26">
        <f>IF($G760="","",SUMIFS(费用台账!$I$4:$I$503,费用台账!$C$4:$C$503,$E760,费用台账!$J$4:$J$503,"是",费用台账!$K$4:$K$503,"正常"))</f>
        <v/>
      </c>
      <c r="S760" s="28">
        <f>IF($G760="","",COUNTIFS($E$4:$E$2503,$E760,$Z$4:$Z$2503,"正常",$Y$4:$Y$2503,"待补价"))</f>
        <v/>
      </c>
      <c r="T760" s="26">
        <f>IF($G760="","",SUMIFS($P$4:$P$2503,$E$4:$E$2503,$E760,$Z$4:$Z$2503,"正常",$A$4:$A$2503,"&lt;="&amp;$A760))</f>
        <v/>
      </c>
      <c r="U760" s="26">
        <f>IF($G760="","",IF(OR($S760&gt;0,$Q760=0,$R760=0,$Z760&lt;&gt;"正常"),0,ROUND($T760/$Q760*$R760,0)-ROUND(($T760-$P760)/$Q760*$R760,0)))</f>
        <v/>
      </c>
      <c r="V760" s="26">
        <f>IF($G760="","",ROUND($P760+$U760,0))</f>
        <v/>
      </c>
      <c r="W760" s="26">
        <f>IF($G760="","",IF(N($K760)=0,0,ROUND($V760/$K760,2)))</f>
        <v/>
      </c>
      <c r="X760" s="17" t="inlineStr">
        <is>
          <t>采购入库</t>
        </is>
      </c>
      <c r="Y760" s="17" t="inlineStr">
        <is>
          <t>正常</t>
        </is>
      </c>
      <c r="Z760" s="17" t="inlineStr">
        <is>
          <t>正常</t>
        </is>
      </c>
      <c r="AA760" s="17" t="n"/>
      <c r="AB760" s="17" t="inlineStr">
        <is>
          <t>原表第 768 行</t>
        </is>
      </c>
      <c r="AC760" s="24">
        <f>IF($G760="","",IF($H760="※编码不在物料档案里","※物料编码不在档案里",IF(N($K760)&lt;=0,"※入库数量要大于 0",IF(AND($C760&lt;&gt;"",$C760&lt;=结账锁),"※日期早于已结账截止日，不能再录",IF(AND($L760=0,$X760="正常"),"※没填单价，价格状态请选「待补价」",IF(AND($S760&gt;0,$R760&gt;0),"△本批有 "&amp;$S760&amp;" 行没单价，整批运费先挂账没摊",IF(AND($B760&lt;&gt;"",COUNTIF($B$4:$B$2503,$B760)&gt;1),"※入库单号重复","")))))))</f>
        <v/>
      </c>
    </row>
    <row r="761">
      <c r="A761" s="24">
        <f>IF($G761="","",COUNTA($G$4:$G761))</f>
        <v/>
      </c>
      <c r="B761" s="17" t="n"/>
      <c r="C761" s="30" t="n">
        <v>46158</v>
      </c>
      <c r="D761" s="17" t="inlineStr">
        <is>
          <t>A国内</t>
        </is>
      </c>
      <c r="E761" s="17" t="inlineStr">
        <is>
          <t>DRYU9381826-202605</t>
        </is>
      </c>
      <c r="F761" s="17" t="inlineStr">
        <is>
          <t>三明建设矿山</t>
        </is>
      </c>
      <c r="G761" s="17" t="inlineStr">
        <is>
          <t>JH0689</t>
        </is>
      </c>
      <c r="H761" s="24">
        <f>IF($G761="","",IFERROR(VLOOKUP($G761,物料档案!$A$4:$P$1203,3,0),"※编码不在物料档案里"))</f>
        <v/>
      </c>
      <c r="I761" s="24">
        <f>IF($G761="","",IFERROR(VLOOKUP($G761,物料档案!$A$4:$P$1203,4,0),"※编码不在物料档案里"))</f>
        <v/>
      </c>
      <c r="J761" s="24">
        <f>IF($G761="","",IFERROR(VLOOKUP($G761,物料档案!$A$4:$P$1203,5,0),"※编码不在物料档案里"))</f>
        <v/>
      </c>
      <c r="K761" s="23" t="n">
        <v>50</v>
      </c>
      <c r="L761" s="31" t="n">
        <v>0.5</v>
      </c>
      <c r="M761" s="24">
        <f>IF($G761="","",IF($D761="A国内","CNY","TZS"))</f>
        <v/>
      </c>
      <c r="N761" s="28">
        <f>IF($G761="","",IF($D761="A国内",汇率,1))</f>
        <v/>
      </c>
      <c r="O761" s="25">
        <f>IF($G761="","",ROUND(N($K761)*N($L761),2))</f>
        <v/>
      </c>
      <c r="P761" s="26">
        <f>IF($G761="","",ROUND($O761*$N761,0))</f>
        <v/>
      </c>
      <c r="Q761" s="26">
        <f>IF($G761="","",SUMIFS($P$4:$P$2503,$E$4:$E$2503,$E761,$Z$4:$Z$2503,"正常"))</f>
        <v/>
      </c>
      <c r="R761" s="26">
        <f>IF($G761="","",SUMIFS(费用台账!$I$4:$I$503,费用台账!$C$4:$C$503,$E761,费用台账!$J$4:$J$503,"是",费用台账!$K$4:$K$503,"正常"))</f>
        <v/>
      </c>
      <c r="S761" s="28">
        <f>IF($G761="","",COUNTIFS($E$4:$E$2503,$E761,$Z$4:$Z$2503,"正常",$Y$4:$Y$2503,"待补价"))</f>
        <v/>
      </c>
      <c r="T761" s="26">
        <f>IF($G761="","",SUMIFS($P$4:$P$2503,$E$4:$E$2503,$E761,$Z$4:$Z$2503,"正常",$A$4:$A$2503,"&lt;="&amp;$A761))</f>
        <v/>
      </c>
      <c r="U761" s="26">
        <f>IF($G761="","",IF(OR($S761&gt;0,$Q761=0,$R761=0,$Z761&lt;&gt;"正常"),0,ROUND($T761/$Q761*$R761,0)-ROUND(($T761-$P761)/$Q761*$R761,0)))</f>
        <v/>
      </c>
      <c r="V761" s="26">
        <f>IF($G761="","",ROUND($P761+$U761,0))</f>
        <v/>
      </c>
      <c r="W761" s="26">
        <f>IF($G761="","",IF(N($K761)=0,0,ROUND($V761/$K761,2)))</f>
        <v/>
      </c>
      <c r="X761" s="17" t="inlineStr">
        <is>
          <t>采购入库</t>
        </is>
      </c>
      <c r="Y761" s="17" t="inlineStr">
        <is>
          <t>正常</t>
        </is>
      </c>
      <c r="Z761" s="17" t="inlineStr">
        <is>
          <t>正常</t>
        </is>
      </c>
      <c r="AA761" s="17" t="n"/>
      <c r="AB761" s="17" t="inlineStr">
        <is>
          <t>原表第 769 行</t>
        </is>
      </c>
      <c r="AC761" s="24">
        <f>IF($G761="","",IF($H761="※编码不在物料档案里","※物料编码不在档案里",IF(N($K761)&lt;=0,"※入库数量要大于 0",IF(AND($C761&lt;&gt;"",$C761&lt;=结账锁),"※日期早于已结账截止日，不能再录",IF(AND($L761=0,$X761="正常"),"※没填单价，价格状态请选「待补价」",IF(AND($S761&gt;0,$R761&gt;0),"△本批有 "&amp;$S761&amp;" 行没单价，整批运费先挂账没摊",IF(AND($B761&lt;&gt;"",COUNTIF($B$4:$B$2503,$B761)&gt;1),"※入库单号重复","")))))))</f>
        <v/>
      </c>
    </row>
    <row r="762">
      <c r="A762" s="24">
        <f>IF($G762="","",COUNTA($G$4:$G762))</f>
        <v/>
      </c>
      <c r="B762" s="17" t="n"/>
      <c r="C762" s="30" t="n">
        <v>46158</v>
      </c>
      <c r="D762" s="17" t="inlineStr">
        <is>
          <t>A国内</t>
        </is>
      </c>
      <c r="E762" s="17" t="inlineStr">
        <is>
          <t>DRYU9381826-202605</t>
        </is>
      </c>
      <c r="F762" s="17" t="inlineStr">
        <is>
          <t>三明建设矿山</t>
        </is>
      </c>
      <c r="G762" s="17" t="inlineStr">
        <is>
          <t>JH0690</t>
        </is>
      </c>
      <c r="H762" s="24">
        <f>IF($G762="","",IFERROR(VLOOKUP($G762,物料档案!$A$4:$P$1203,3,0),"※编码不在物料档案里"))</f>
        <v/>
      </c>
      <c r="I762" s="24">
        <f>IF($G762="","",IFERROR(VLOOKUP($G762,物料档案!$A$4:$P$1203,4,0),"※编码不在物料档案里"))</f>
        <v/>
      </c>
      <c r="J762" s="24">
        <f>IF($G762="","",IFERROR(VLOOKUP($G762,物料档案!$A$4:$P$1203,5,0),"※编码不在物料档案里"))</f>
        <v/>
      </c>
      <c r="K762" s="23" t="n">
        <v>30</v>
      </c>
      <c r="L762" s="31" t="n">
        <v>15</v>
      </c>
      <c r="M762" s="24">
        <f>IF($G762="","",IF($D762="A国内","CNY","TZS"))</f>
        <v/>
      </c>
      <c r="N762" s="28">
        <f>IF($G762="","",IF($D762="A国内",汇率,1))</f>
        <v/>
      </c>
      <c r="O762" s="25">
        <f>IF($G762="","",ROUND(N($K762)*N($L762),2))</f>
        <v/>
      </c>
      <c r="P762" s="26">
        <f>IF($G762="","",ROUND($O762*$N762,0))</f>
        <v/>
      </c>
      <c r="Q762" s="26">
        <f>IF($G762="","",SUMIFS($P$4:$P$2503,$E$4:$E$2503,$E762,$Z$4:$Z$2503,"正常"))</f>
        <v/>
      </c>
      <c r="R762" s="26">
        <f>IF($G762="","",SUMIFS(费用台账!$I$4:$I$503,费用台账!$C$4:$C$503,$E762,费用台账!$J$4:$J$503,"是",费用台账!$K$4:$K$503,"正常"))</f>
        <v/>
      </c>
      <c r="S762" s="28">
        <f>IF($G762="","",COUNTIFS($E$4:$E$2503,$E762,$Z$4:$Z$2503,"正常",$Y$4:$Y$2503,"待补价"))</f>
        <v/>
      </c>
      <c r="T762" s="26">
        <f>IF($G762="","",SUMIFS($P$4:$P$2503,$E$4:$E$2503,$E762,$Z$4:$Z$2503,"正常",$A$4:$A$2503,"&lt;="&amp;$A762))</f>
        <v/>
      </c>
      <c r="U762" s="26">
        <f>IF($G762="","",IF(OR($S762&gt;0,$Q762=0,$R762=0,$Z762&lt;&gt;"正常"),0,ROUND($T762/$Q762*$R762,0)-ROUND(($T762-$P762)/$Q762*$R762,0)))</f>
        <v/>
      </c>
      <c r="V762" s="26">
        <f>IF($G762="","",ROUND($P762+$U762,0))</f>
        <v/>
      </c>
      <c r="W762" s="26">
        <f>IF($G762="","",IF(N($K762)=0,0,ROUND($V762/$K762,2)))</f>
        <v/>
      </c>
      <c r="X762" s="17" t="inlineStr">
        <is>
          <t>采购入库</t>
        </is>
      </c>
      <c r="Y762" s="17" t="inlineStr">
        <is>
          <t>正常</t>
        </is>
      </c>
      <c r="Z762" s="17" t="inlineStr">
        <is>
          <t>正常</t>
        </is>
      </c>
      <c r="AA762" s="17" t="n"/>
      <c r="AB762" s="17" t="inlineStr">
        <is>
          <t>原表第 770 行</t>
        </is>
      </c>
      <c r="AC762" s="24">
        <f>IF($G762="","",IF($H762="※编码不在物料档案里","※物料编码不在档案里",IF(N($K762)&lt;=0,"※入库数量要大于 0",IF(AND($C762&lt;&gt;"",$C762&lt;=结账锁),"※日期早于已结账截止日，不能再录",IF(AND($L762=0,$X762="正常"),"※没填单价，价格状态请选「待补价」",IF(AND($S762&gt;0,$R762&gt;0),"△本批有 "&amp;$S762&amp;" 行没单价，整批运费先挂账没摊",IF(AND($B762&lt;&gt;"",COUNTIF($B$4:$B$2503,$B762)&gt;1),"※入库单号重复","")))))))</f>
        <v/>
      </c>
    </row>
    <row r="763">
      <c r="A763" s="24">
        <f>IF($G763="","",COUNTA($G$4:$G763))</f>
        <v/>
      </c>
      <c r="B763" s="17" t="n"/>
      <c r="C763" s="30" t="n">
        <v>46158</v>
      </c>
      <c r="D763" s="17" t="inlineStr">
        <is>
          <t>A国内</t>
        </is>
      </c>
      <c r="E763" s="17" t="inlineStr">
        <is>
          <t>DRYU9381826-202605</t>
        </is>
      </c>
      <c r="F763" s="17" t="inlineStr">
        <is>
          <t>三明建设矿山</t>
        </is>
      </c>
      <c r="G763" s="17" t="inlineStr">
        <is>
          <t>JH0691</t>
        </is>
      </c>
      <c r="H763" s="24">
        <f>IF($G763="","",IFERROR(VLOOKUP($G763,物料档案!$A$4:$P$1203,3,0),"※编码不在物料档案里"))</f>
        <v/>
      </c>
      <c r="I763" s="24">
        <f>IF($G763="","",IFERROR(VLOOKUP($G763,物料档案!$A$4:$P$1203,4,0),"※编码不在物料档案里"))</f>
        <v/>
      </c>
      <c r="J763" s="24">
        <f>IF($G763="","",IFERROR(VLOOKUP($G763,物料档案!$A$4:$P$1203,5,0),"※编码不在物料档案里"))</f>
        <v/>
      </c>
      <c r="K763" s="23" t="n">
        <v>200</v>
      </c>
      <c r="L763" s="31" t="n">
        <v>0.5</v>
      </c>
      <c r="M763" s="24">
        <f>IF($G763="","",IF($D763="A国内","CNY","TZS"))</f>
        <v/>
      </c>
      <c r="N763" s="28">
        <f>IF($G763="","",IF($D763="A国内",汇率,1))</f>
        <v/>
      </c>
      <c r="O763" s="25">
        <f>IF($G763="","",ROUND(N($K763)*N($L763),2))</f>
        <v/>
      </c>
      <c r="P763" s="26">
        <f>IF($G763="","",ROUND($O763*$N763,0))</f>
        <v/>
      </c>
      <c r="Q763" s="26">
        <f>IF($G763="","",SUMIFS($P$4:$P$2503,$E$4:$E$2503,$E763,$Z$4:$Z$2503,"正常"))</f>
        <v/>
      </c>
      <c r="R763" s="26">
        <f>IF($G763="","",SUMIFS(费用台账!$I$4:$I$503,费用台账!$C$4:$C$503,$E763,费用台账!$J$4:$J$503,"是",费用台账!$K$4:$K$503,"正常"))</f>
        <v/>
      </c>
      <c r="S763" s="28">
        <f>IF($G763="","",COUNTIFS($E$4:$E$2503,$E763,$Z$4:$Z$2503,"正常",$Y$4:$Y$2503,"待补价"))</f>
        <v/>
      </c>
      <c r="T763" s="26">
        <f>IF($G763="","",SUMIFS($P$4:$P$2503,$E$4:$E$2503,$E763,$Z$4:$Z$2503,"正常",$A$4:$A$2503,"&lt;="&amp;$A763))</f>
        <v/>
      </c>
      <c r="U763" s="26">
        <f>IF($G763="","",IF(OR($S763&gt;0,$Q763=0,$R763=0,$Z763&lt;&gt;"正常"),0,ROUND($T763/$Q763*$R763,0)-ROUND(($T763-$P763)/$Q763*$R763,0)))</f>
        <v/>
      </c>
      <c r="V763" s="26">
        <f>IF($G763="","",ROUND($P763+$U763,0))</f>
        <v/>
      </c>
      <c r="W763" s="26">
        <f>IF($G763="","",IF(N($K763)=0,0,ROUND($V763/$K763,2)))</f>
        <v/>
      </c>
      <c r="X763" s="17" t="inlineStr">
        <is>
          <t>采购入库</t>
        </is>
      </c>
      <c r="Y763" s="17" t="inlineStr">
        <is>
          <t>正常</t>
        </is>
      </c>
      <c r="Z763" s="17" t="inlineStr">
        <is>
          <t>正常</t>
        </is>
      </c>
      <c r="AA763" s="17" t="n"/>
      <c r="AB763" s="17" t="inlineStr">
        <is>
          <t>原表第 771 行</t>
        </is>
      </c>
      <c r="AC763" s="24">
        <f>IF($G763="","",IF($H763="※编码不在物料档案里","※物料编码不在档案里",IF(N($K763)&lt;=0,"※入库数量要大于 0",IF(AND($C763&lt;&gt;"",$C763&lt;=结账锁),"※日期早于已结账截止日，不能再录",IF(AND($L763=0,$X763="正常"),"※没填单价，价格状态请选「待补价」",IF(AND($S763&gt;0,$R763&gt;0),"△本批有 "&amp;$S763&amp;" 行没单价，整批运费先挂账没摊",IF(AND($B763&lt;&gt;"",COUNTIF($B$4:$B$2503,$B763)&gt;1),"※入库单号重复","")))))))</f>
        <v/>
      </c>
    </row>
    <row r="764">
      <c r="A764" s="24">
        <f>IF($G764="","",COUNTA($G$4:$G764))</f>
        <v/>
      </c>
      <c r="B764" s="17" t="n"/>
      <c r="C764" s="30" t="n">
        <v>46158</v>
      </c>
      <c r="D764" s="17" t="inlineStr">
        <is>
          <t>A国内</t>
        </is>
      </c>
      <c r="E764" s="17" t="inlineStr">
        <is>
          <t>DRYU9381826-202605</t>
        </is>
      </c>
      <c r="F764" s="17" t="inlineStr">
        <is>
          <t>三明建设矿山</t>
        </is>
      </c>
      <c r="G764" s="17" t="inlineStr">
        <is>
          <t>JH0692</t>
        </is>
      </c>
      <c r="H764" s="24">
        <f>IF($G764="","",IFERROR(VLOOKUP($G764,物料档案!$A$4:$P$1203,3,0),"※编码不在物料档案里"))</f>
        <v/>
      </c>
      <c r="I764" s="24">
        <f>IF($G764="","",IFERROR(VLOOKUP($G764,物料档案!$A$4:$P$1203,4,0),"※编码不在物料档案里"))</f>
        <v/>
      </c>
      <c r="J764" s="24">
        <f>IF($G764="","",IFERROR(VLOOKUP($G764,物料档案!$A$4:$P$1203,5,0),"※编码不在物料档案里"))</f>
        <v/>
      </c>
      <c r="K764" s="23" t="n">
        <v>200</v>
      </c>
      <c r="L764" s="31" t="n">
        <v>0.7</v>
      </c>
      <c r="M764" s="24">
        <f>IF($G764="","",IF($D764="A国内","CNY","TZS"))</f>
        <v/>
      </c>
      <c r="N764" s="28">
        <f>IF($G764="","",IF($D764="A国内",汇率,1))</f>
        <v/>
      </c>
      <c r="O764" s="25">
        <f>IF($G764="","",ROUND(N($K764)*N($L764),2))</f>
        <v/>
      </c>
      <c r="P764" s="26">
        <f>IF($G764="","",ROUND($O764*$N764,0))</f>
        <v/>
      </c>
      <c r="Q764" s="26">
        <f>IF($G764="","",SUMIFS($P$4:$P$2503,$E$4:$E$2503,$E764,$Z$4:$Z$2503,"正常"))</f>
        <v/>
      </c>
      <c r="R764" s="26">
        <f>IF($G764="","",SUMIFS(费用台账!$I$4:$I$503,费用台账!$C$4:$C$503,$E764,费用台账!$J$4:$J$503,"是",费用台账!$K$4:$K$503,"正常"))</f>
        <v/>
      </c>
      <c r="S764" s="28">
        <f>IF($G764="","",COUNTIFS($E$4:$E$2503,$E764,$Z$4:$Z$2503,"正常",$Y$4:$Y$2503,"待补价"))</f>
        <v/>
      </c>
      <c r="T764" s="26">
        <f>IF($G764="","",SUMIFS($P$4:$P$2503,$E$4:$E$2503,$E764,$Z$4:$Z$2503,"正常",$A$4:$A$2503,"&lt;="&amp;$A764))</f>
        <v/>
      </c>
      <c r="U764" s="26">
        <f>IF($G764="","",IF(OR($S764&gt;0,$Q764=0,$R764=0,$Z764&lt;&gt;"正常"),0,ROUND($T764/$Q764*$R764,0)-ROUND(($T764-$P764)/$Q764*$R764,0)))</f>
        <v/>
      </c>
      <c r="V764" s="26">
        <f>IF($G764="","",ROUND($P764+$U764,0))</f>
        <v/>
      </c>
      <c r="W764" s="26">
        <f>IF($G764="","",IF(N($K764)=0,0,ROUND($V764/$K764,2)))</f>
        <v/>
      </c>
      <c r="X764" s="17" t="inlineStr">
        <is>
          <t>采购入库</t>
        </is>
      </c>
      <c r="Y764" s="17" t="inlineStr">
        <is>
          <t>正常</t>
        </is>
      </c>
      <c r="Z764" s="17" t="inlineStr">
        <is>
          <t>正常</t>
        </is>
      </c>
      <c r="AA764" s="17" t="n"/>
      <c r="AB764" s="17" t="inlineStr">
        <is>
          <t>原表第 772 行</t>
        </is>
      </c>
      <c r="AC764" s="24">
        <f>IF($G764="","",IF($H764="※编码不在物料档案里","※物料编码不在档案里",IF(N($K764)&lt;=0,"※入库数量要大于 0",IF(AND($C764&lt;&gt;"",$C764&lt;=结账锁),"※日期早于已结账截止日，不能再录",IF(AND($L764=0,$X764="正常"),"※没填单价，价格状态请选「待补价」",IF(AND($S764&gt;0,$R764&gt;0),"△本批有 "&amp;$S764&amp;" 行没单价，整批运费先挂账没摊",IF(AND($B764&lt;&gt;"",COUNTIF($B$4:$B$2503,$B764)&gt;1),"※入库单号重复","")))))))</f>
        <v/>
      </c>
    </row>
    <row r="765">
      <c r="A765" s="24">
        <f>IF($G765="","",COUNTA($G$4:$G765))</f>
        <v/>
      </c>
      <c r="B765" s="17" t="n"/>
      <c r="C765" s="30" t="n">
        <v>46158</v>
      </c>
      <c r="D765" s="17" t="inlineStr">
        <is>
          <t>A国内</t>
        </is>
      </c>
      <c r="E765" s="17" t="inlineStr">
        <is>
          <t>DRYU9381826-202605</t>
        </is>
      </c>
      <c r="F765" s="17" t="inlineStr">
        <is>
          <t>三明建设矿山</t>
        </is>
      </c>
      <c r="G765" s="17" t="inlineStr">
        <is>
          <t>JH0693</t>
        </is>
      </c>
      <c r="H765" s="24">
        <f>IF($G765="","",IFERROR(VLOOKUP($G765,物料档案!$A$4:$P$1203,3,0),"※编码不在物料档案里"))</f>
        <v/>
      </c>
      <c r="I765" s="24">
        <f>IF($G765="","",IFERROR(VLOOKUP($G765,物料档案!$A$4:$P$1203,4,0),"※编码不在物料档案里"))</f>
        <v/>
      </c>
      <c r="J765" s="24">
        <f>IF($G765="","",IFERROR(VLOOKUP($G765,物料档案!$A$4:$P$1203,5,0),"※编码不在物料档案里"))</f>
        <v/>
      </c>
      <c r="K765" s="23" t="n">
        <v>20</v>
      </c>
      <c r="L765" s="31" t="n">
        <v>158</v>
      </c>
      <c r="M765" s="24">
        <f>IF($G765="","",IF($D765="A国内","CNY","TZS"))</f>
        <v/>
      </c>
      <c r="N765" s="28">
        <f>IF($G765="","",IF($D765="A国内",汇率,1))</f>
        <v/>
      </c>
      <c r="O765" s="25">
        <f>IF($G765="","",ROUND(N($K765)*N($L765),2))</f>
        <v/>
      </c>
      <c r="P765" s="26">
        <f>IF($G765="","",ROUND($O765*$N765,0))</f>
        <v/>
      </c>
      <c r="Q765" s="26">
        <f>IF($G765="","",SUMIFS($P$4:$P$2503,$E$4:$E$2503,$E765,$Z$4:$Z$2503,"正常"))</f>
        <v/>
      </c>
      <c r="R765" s="26">
        <f>IF($G765="","",SUMIFS(费用台账!$I$4:$I$503,费用台账!$C$4:$C$503,$E765,费用台账!$J$4:$J$503,"是",费用台账!$K$4:$K$503,"正常"))</f>
        <v/>
      </c>
      <c r="S765" s="28">
        <f>IF($G765="","",COUNTIFS($E$4:$E$2503,$E765,$Z$4:$Z$2503,"正常",$Y$4:$Y$2503,"待补价"))</f>
        <v/>
      </c>
      <c r="T765" s="26">
        <f>IF($G765="","",SUMIFS($P$4:$P$2503,$E$4:$E$2503,$E765,$Z$4:$Z$2503,"正常",$A$4:$A$2503,"&lt;="&amp;$A765))</f>
        <v/>
      </c>
      <c r="U765" s="26">
        <f>IF($G765="","",IF(OR($S765&gt;0,$Q765=0,$R765=0,$Z765&lt;&gt;"正常"),0,ROUND($T765/$Q765*$R765,0)-ROUND(($T765-$P765)/$Q765*$R765,0)))</f>
        <v/>
      </c>
      <c r="V765" s="26">
        <f>IF($G765="","",ROUND($P765+$U765,0))</f>
        <v/>
      </c>
      <c r="W765" s="26">
        <f>IF($G765="","",IF(N($K765)=0,0,ROUND($V765/$K765,2)))</f>
        <v/>
      </c>
      <c r="X765" s="17" t="inlineStr">
        <is>
          <t>采购入库</t>
        </is>
      </c>
      <c r="Y765" s="17" t="inlineStr">
        <is>
          <t>正常</t>
        </is>
      </c>
      <c r="Z765" s="17" t="inlineStr">
        <is>
          <t>正常</t>
        </is>
      </c>
      <c r="AA765" s="17" t="n"/>
      <c r="AB765" s="17" t="inlineStr">
        <is>
          <t>原表第 773 行</t>
        </is>
      </c>
      <c r="AC765" s="24">
        <f>IF($G765="","",IF($H765="※编码不在物料档案里","※物料编码不在档案里",IF(N($K765)&lt;=0,"※入库数量要大于 0",IF(AND($C765&lt;&gt;"",$C765&lt;=结账锁),"※日期早于已结账截止日，不能再录",IF(AND($L765=0,$X765="正常"),"※没填单价，价格状态请选「待补价」",IF(AND($S765&gt;0,$R765&gt;0),"△本批有 "&amp;$S765&amp;" 行没单价，整批运费先挂账没摊",IF(AND($B765&lt;&gt;"",COUNTIF($B$4:$B$2503,$B765)&gt;1),"※入库单号重复","")))))))</f>
        <v/>
      </c>
    </row>
    <row r="766">
      <c r="A766" s="24">
        <f>IF($G766="","",COUNTA($G$4:$G766))</f>
        <v/>
      </c>
      <c r="B766" s="17" t="n"/>
      <c r="C766" s="30" t="n">
        <v>46158</v>
      </c>
      <c r="D766" s="17" t="inlineStr">
        <is>
          <t>A国内</t>
        </is>
      </c>
      <c r="E766" s="17" t="inlineStr">
        <is>
          <t>DRYU9381826-202605</t>
        </is>
      </c>
      <c r="F766" s="17" t="inlineStr">
        <is>
          <t>三明建设矿山</t>
        </is>
      </c>
      <c r="G766" s="17" t="inlineStr">
        <is>
          <t>JH0694</t>
        </is>
      </c>
      <c r="H766" s="24">
        <f>IF($G766="","",IFERROR(VLOOKUP($G766,物料档案!$A$4:$P$1203,3,0),"※编码不在物料档案里"))</f>
        <v/>
      </c>
      <c r="I766" s="24">
        <f>IF($G766="","",IFERROR(VLOOKUP($G766,物料档案!$A$4:$P$1203,4,0),"※编码不在物料档案里"))</f>
        <v/>
      </c>
      <c r="J766" s="24">
        <f>IF($G766="","",IFERROR(VLOOKUP($G766,物料档案!$A$4:$P$1203,5,0),"※编码不在物料档案里"))</f>
        <v/>
      </c>
      <c r="K766" s="23" t="n">
        <v>10</v>
      </c>
      <c r="L766" s="31" t="n">
        <v>93</v>
      </c>
      <c r="M766" s="24">
        <f>IF($G766="","",IF($D766="A国内","CNY","TZS"))</f>
        <v/>
      </c>
      <c r="N766" s="28">
        <f>IF($G766="","",IF($D766="A国内",汇率,1))</f>
        <v/>
      </c>
      <c r="O766" s="25">
        <f>IF($G766="","",ROUND(N($K766)*N($L766),2))</f>
        <v/>
      </c>
      <c r="P766" s="26">
        <f>IF($G766="","",ROUND($O766*$N766,0))</f>
        <v/>
      </c>
      <c r="Q766" s="26">
        <f>IF($G766="","",SUMIFS($P$4:$P$2503,$E$4:$E$2503,$E766,$Z$4:$Z$2503,"正常"))</f>
        <v/>
      </c>
      <c r="R766" s="26">
        <f>IF($G766="","",SUMIFS(费用台账!$I$4:$I$503,费用台账!$C$4:$C$503,$E766,费用台账!$J$4:$J$503,"是",费用台账!$K$4:$K$503,"正常"))</f>
        <v/>
      </c>
      <c r="S766" s="28">
        <f>IF($G766="","",COUNTIFS($E$4:$E$2503,$E766,$Z$4:$Z$2503,"正常",$Y$4:$Y$2503,"待补价"))</f>
        <v/>
      </c>
      <c r="T766" s="26">
        <f>IF($G766="","",SUMIFS($P$4:$P$2503,$E$4:$E$2503,$E766,$Z$4:$Z$2503,"正常",$A$4:$A$2503,"&lt;="&amp;$A766))</f>
        <v/>
      </c>
      <c r="U766" s="26">
        <f>IF($G766="","",IF(OR($S766&gt;0,$Q766=0,$R766=0,$Z766&lt;&gt;"正常"),0,ROUND($T766/$Q766*$R766,0)-ROUND(($T766-$P766)/$Q766*$R766,0)))</f>
        <v/>
      </c>
      <c r="V766" s="26">
        <f>IF($G766="","",ROUND($P766+$U766,0))</f>
        <v/>
      </c>
      <c r="W766" s="26">
        <f>IF($G766="","",IF(N($K766)=0,0,ROUND($V766/$K766,2)))</f>
        <v/>
      </c>
      <c r="X766" s="17" t="inlineStr">
        <is>
          <t>采购入库</t>
        </is>
      </c>
      <c r="Y766" s="17" t="inlineStr">
        <is>
          <t>正常</t>
        </is>
      </c>
      <c r="Z766" s="17" t="inlineStr">
        <is>
          <t>正常</t>
        </is>
      </c>
      <c r="AA766" s="17" t="n"/>
      <c r="AB766" s="17" t="inlineStr">
        <is>
          <t>原表第 774 行</t>
        </is>
      </c>
      <c r="AC766" s="24">
        <f>IF($G766="","",IF($H766="※编码不在物料档案里","※物料编码不在档案里",IF(N($K766)&lt;=0,"※入库数量要大于 0",IF(AND($C766&lt;&gt;"",$C766&lt;=结账锁),"※日期早于已结账截止日，不能再录",IF(AND($L766=0,$X766="正常"),"※没填单价，价格状态请选「待补价」",IF(AND($S766&gt;0,$R766&gt;0),"△本批有 "&amp;$S766&amp;" 行没单价，整批运费先挂账没摊",IF(AND($B766&lt;&gt;"",COUNTIF($B$4:$B$2503,$B766)&gt;1),"※入库单号重复","")))))))</f>
        <v/>
      </c>
    </row>
    <row r="767">
      <c r="A767" s="24">
        <f>IF($G767="","",COUNTA($G$4:$G767))</f>
        <v/>
      </c>
      <c r="B767" s="17" t="n"/>
      <c r="C767" s="30" t="n">
        <v>46158</v>
      </c>
      <c r="D767" s="17" t="inlineStr">
        <is>
          <t>A国内</t>
        </is>
      </c>
      <c r="E767" s="17" t="inlineStr">
        <is>
          <t>DRYU9381826-202605</t>
        </is>
      </c>
      <c r="F767" s="17" t="inlineStr">
        <is>
          <t>猎谜</t>
        </is>
      </c>
      <c r="G767" s="17" t="inlineStr">
        <is>
          <t>JH0695</t>
        </is>
      </c>
      <c r="H767" s="24">
        <f>IF($G767="","",IFERROR(VLOOKUP($G767,物料档案!$A$4:$P$1203,3,0),"※编码不在物料档案里"))</f>
        <v/>
      </c>
      <c r="I767" s="24">
        <f>IF($G767="","",IFERROR(VLOOKUP($G767,物料档案!$A$4:$P$1203,4,0),"※编码不在物料档案里"))</f>
        <v/>
      </c>
      <c r="J767" s="24">
        <f>IF($G767="","",IFERROR(VLOOKUP($G767,物料档案!$A$4:$P$1203,5,0),"※编码不在物料档案里"))</f>
        <v/>
      </c>
      <c r="K767" s="23" t="n">
        <v>500</v>
      </c>
      <c r="L767" s="31" t="n">
        <v>6.1</v>
      </c>
      <c r="M767" s="24">
        <f>IF($G767="","",IF($D767="A国内","CNY","TZS"))</f>
        <v/>
      </c>
      <c r="N767" s="28">
        <f>IF($G767="","",IF($D767="A国内",汇率,1))</f>
        <v/>
      </c>
      <c r="O767" s="25">
        <f>IF($G767="","",ROUND(N($K767)*N($L767),2))</f>
        <v/>
      </c>
      <c r="P767" s="26">
        <f>IF($G767="","",ROUND($O767*$N767,0))</f>
        <v/>
      </c>
      <c r="Q767" s="26">
        <f>IF($G767="","",SUMIFS($P$4:$P$2503,$E$4:$E$2503,$E767,$Z$4:$Z$2503,"正常"))</f>
        <v/>
      </c>
      <c r="R767" s="26">
        <f>IF($G767="","",SUMIFS(费用台账!$I$4:$I$503,费用台账!$C$4:$C$503,$E767,费用台账!$J$4:$J$503,"是",费用台账!$K$4:$K$503,"正常"))</f>
        <v/>
      </c>
      <c r="S767" s="28">
        <f>IF($G767="","",COUNTIFS($E$4:$E$2503,$E767,$Z$4:$Z$2503,"正常",$Y$4:$Y$2503,"待补价"))</f>
        <v/>
      </c>
      <c r="T767" s="26">
        <f>IF($G767="","",SUMIFS($P$4:$P$2503,$E$4:$E$2503,$E767,$Z$4:$Z$2503,"正常",$A$4:$A$2503,"&lt;="&amp;$A767))</f>
        <v/>
      </c>
      <c r="U767" s="26">
        <f>IF($G767="","",IF(OR($S767&gt;0,$Q767=0,$R767=0,$Z767&lt;&gt;"正常"),0,ROUND($T767/$Q767*$R767,0)-ROUND(($T767-$P767)/$Q767*$R767,0)))</f>
        <v/>
      </c>
      <c r="V767" s="26">
        <f>IF($G767="","",ROUND($P767+$U767,0))</f>
        <v/>
      </c>
      <c r="W767" s="26">
        <f>IF($G767="","",IF(N($K767)=0,0,ROUND($V767/$K767,2)))</f>
        <v/>
      </c>
      <c r="X767" s="17" t="inlineStr">
        <is>
          <t>采购入库</t>
        </is>
      </c>
      <c r="Y767" s="17" t="inlineStr">
        <is>
          <t>正常</t>
        </is>
      </c>
      <c r="Z767" s="17" t="inlineStr">
        <is>
          <t>正常</t>
        </is>
      </c>
      <c r="AA767" s="17" t="n"/>
      <c r="AB767" s="17" t="inlineStr">
        <is>
          <t>原表第 775 行</t>
        </is>
      </c>
      <c r="AC767" s="24">
        <f>IF($G767="","",IF($H767="※编码不在物料档案里","※物料编码不在档案里",IF(N($K767)&lt;=0,"※入库数量要大于 0",IF(AND($C767&lt;&gt;"",$C767&lt;=结账锁),"※日期早于已结账截止日，不能再录",IF(AND($L767=0,$X767="正常"),"※没填单价，价格状态请选「待补价」",IF(AND($S767&gt;0,$R767&gt;0),"△本批有 "&amp;$S767&amp;" 行没单价，整批运费先挂账没摊",IF(AND($B767&lt;&gt;"",COUNTIF($B$4:$B$2503,$B767)&gt;1),"※入库单号重复","")))))))</f>
        <v/>
      </c>
    </row>
    <row r="768">
      <c r="A768" s="24">
        <f>IF($G768="","",COUNTA($G$4:$G768))</f>
        <v/>
      </c>
      <c r="B768" s="17" t="n"/>
      <c r="C768" s="30" t="n">
        <v>46158</v>
      </c>
      <c r="D768" s="17" t="inlineStr">
        <is>
          <t>A国内</t>
        </is>
      </c>
      <c r="E768" s="17" t="inlineStr">
        <is>
          <t>DRYU9381826-202605</t>
        </is>
      </c>
      <c r="F768" s="17" t="inlineStr">
        <is>
          <t>猎谜</t>
        </is>
      </c>
      <c r="G768" s="17" t="inlineStr">
        <is>
          <t>JH0696</t>
        </is>
      </c>
      <c r="H768" s="24">
        <f>IF($G768="","",IFERROR(VLOOKUP($G768,物料档案!$A$4:$P$1203,3,0),"※编码不在物料档案里"))</f>
        <v/>
      </c>
      <c r="I768" s="24">
        <f>IF($G768="","",IFERROR(VLOOKUP($G768,物料档案!$A$4:$P$1203,4,0),"※编码不在物料档案里"))</f>
        <v/>
      </c>
      <c r="J768" s="24">
        <f>IF($G768="","",IFERROR(VLOOKUP($G768,物料档案!$A$4:$P$1203,5,0),"※编码不在物料档案里"))</f>
        <v/>
      </c>
      <c r="K768" s="23" t="n">
        <v>500</v>
      </c>
      <c r="L768" s="31" t="n">
        <v>9.5</v>
      </c>
      <c r="M768" s="24">
        <f>IF($G768="","",IF($D768="A国内","CNY","TZS"))</f>
        <v/>
      </c>
      <c r="N768" s="28">
        <f>IF($G768="","",IF($D768="A国内",汇率,1))</f>
        <v/>
      </c>
      <c r="O768" s="25">
        <f>IF($G768="","",ROUND(N($K768)*N($L768),2))</f>
        <v/>
      </c>
      <c r="P768" s="26">
        <f>IF($G768="","",ROUND($O768*$N768,0))</f>
        <v/>
      </c>
      <c r="Q768" s="26">
        <f>IF($G768="","",SUMIFS($P$4:$P$2503,$E$4:$E$2503,$E768,$Z$4:$Z$2503,"正常"))</f>
        <v/>
      </c>
      <c r="R768" s="26">
        <f>IF($G768="","",SUMIFS(费用台账!$I$4:$I$503,费用台账!$C$4:$C$503,$E768,费用台账!$J$4:$J$503,"是",费用台账!$K$4:$K$503,"正常"))</f>
        <v/>
      </c>
      <c r="S768" s="28">
        <f>IF($G768="","",COUNTIFS($E$4:$E$2503,$E768,$Z$4:$Z$2503,"正常",$Y$4:$Y$2503,"待补价"))</f>
        <v/>
      </c>
      <c r="T768" s="26">
        <f>IF($G768="","",SUMIFS($P$4:$P$2503,$E$4:$E$2503,$E768,$Z$4:$Z$2503,"正常",$A$4:$A$2503,"&lt;="&amp;$A768))</f>
        <v/>
      </c>
      <c r="U768" s="26">
        <f>IF($G768="","",IF(OR($S768&gt;0,$Q768=0,$R768=0,$Z768&lt;&gt;"正常"),0,ROUND($T768/$Q768*$R768,0)-ROUND(($T768-$P768)/$Q768*$R768,0)))</f>
        <v/>
      </c>
      <c r="V768" s="26">
        <f>IF($G768="","",ROUND($P768+$U768,0))</f>
        <v/>
      </c>
      <c r="W768" s="26">
        <f>IF($G768="","",IF(N($K768)=0,0,ROUND($V768/$K768,2)))</f>
        <v/>
      </c>
      <c r="X768" s="17" t="inlineStr">
        <is>
          <t>采购入库</t>
        </is>
      </c>
      <c r="Y768" s="17" t="inlineStr">
        <is>
          <t>正常</t>
        </is>
      </c>
      <c r="Z768" s="17" t="inlineStr">
        <is>
          <t>正常</t>
        </is>
      </c>
      <c r="AA768" s="17" t="n"/>
      <c r="AB768" s="17" t="inlineStr">
        <is>
          <t>原表第 776 行</t>
        </is>
      </c>
      <c r="AC768" s="24">
        <f>IF($G768="","",IF($H768="※编码不在物料档案里","※物料编码不在档案里",IF(N($K768)&lt;=0,"※入库数量要大于 0",IF(AND($C768&lt;&gt;"",$C768&lt;=结账锁),"※日期早于已结账截止日，不能再录",IF(AND($L768=0,$X768="正常"),"※没填单价，价格状态请选「待补价」",IF(AND($S768&gt;0,$R768&gt;0),"△本批有 "&amp;$S768&amp;" 行没单价，整批运费先挂账没摊",IF(AND($B768&lt;&gt;"",COUNTIF($B$4:$B$2503,$B768)&gt;1),"※入库单号重复","")))))))</f>
        <v/>
      </c>
    </row>
    <row r="769">
      <c r="A769" s="24">
        <f>IF($G769="","",COUNTA($G$4:$G769))</f>
        <v/>
      </c>
      <c r="B769" s="17" t="n"/>
      <c r="C769" s="30" t="n">
        <v>46158</v>
      </c>
      <c r="D769" s="17" t="inlineStr">
        <is>
          <t>A国内</t>
        </is>
      </c>
      <c r="E769" s="17" t="inlineStr">
        <is>
          <t>DRYU9381826-202605</t>
        </is>
      </c>
      <c r="F769" s="17" t="inlineStr">
        <is>
          <t>猎谜</t>
        </is>
      </c>
      <c r="G769" s="17" t="inlineStr">
        <is>
          <t>JH0697</t>
        </is>
      </c>
      <c r="H769" s="24">
        <f>IF($G769="","",IFERROR(VLOOKUP($G769,物料档案!$A$4:$P$1203,3,0),"※编码不在物料档案里"))</f>
        <v/>
      </c>
      <c r="I769" s="24">
        <f>IF($G769="","",IFERROR(VLOOKUP($G769,物料档案!$A$4:$P$1203,4,0),"※编码不在物料档案里"))</f>
        <v/>
      </c>
      <c r="J769" s="24">
        <f>IF($G769="","",IFERROR(VLOOKUP($G769,物料档案!$A$4:$P$1203,5,0),"※编码不在物料档案里"))</f>
        <v/>
      </c>
      <c r="K769" s="23" t="n">
        <v>500</v>
      </c>
      <c r="L769" s="31" t="n">
        <v>14.22</v>
      </c>
      <c r="M769" s="24">
        <f>IF($G769="","",IF($D769="A国内","CNY","TZS"))</f>
        <v/>
      </c>
      <c r="N769" s="28">
        <f>IF($G769="","",IF($D769="A国内",汇率,1))</f>
        <v/>
      </c>
      <c r="O769" s="25">
        <f>IF($G769="","",ROUND(N($K769)*N($L769),2))</f>
        <v/>
      </c>
      <c r="P769" s="26">
        <f>IF($G769="","",ROUND($O769*$N769,0))</f>
        <v/>
      </c>
      <c r="Q769" s="26">
        <f>IF($G769="","",SUMIFS($P$4:$P$2503,$E$4:$E$2503,$E769,$Z$4:$Z$2503,"正常"))</f>
        <v/>
      </c>
      <c r="R769" s="26">
        <f>IF($G769="","",SUMIFS(费用台账!$I$4:$I$503,费用台账!$C$4:$C$503,$E769,费用台账!$J$4:$J$503,"是",费用台账!$K$4:$K$503,"正常"))</f>
        <v/>
      </c>
      <c r="S769" s="28">
        <f>IF($G769="","",COUNTIFS($E$4:$E$2503,$E769,$Z$4:$Z$2503,"正常",$Y$4:$Y$2503,"待补价"))</f>
        <v/>
      </c>
      <c r="T769" s="26">
        <f>IF($G769="","",SUMIFS($P$4:$P$2503,$E$4:$E$2503,$E769,$Z$4:$Z$2503,"正常",$A$4:$A$2503,"&lt;="&amp;$A769))</f>
        <v/>
      </c>
      <c r="U769" s="26">
        <f>IF($G769="","",IF(OR($S769&gt;0,$Q769=0,$R769=0,$Z769&lt;&gt;"正常"),0,ROUND($T769/$Q769*$R769,0)-ROUND(($T769-$P769)/$Q769*$R769,0)))</f>
        <v/>
      </c>
      <c r="V769" s="26">
        <f>IF($G769="","",ROUND($P769+$U769,0))</f>
        <v/>
      </c>
      <c r="W769" s="26">
        <f>IF($G769="","",IF(N($K769)=0,0,ROUND($V769/$K769,2)))</f>
        <v/>
      </c>
      <c r="X769" s="17" t="inlineStr">
        <is>
          <t>采购入库</t>
        </is>
      </c>
      <c r="Y769" s="17" t="inlineStr">
        <is>
          <t>正常</t>
        </is>
      </c>
      <c r="Z769" s="17" t="inlineStr">
        <is>
          <t>正常</t>
        </is>
      </c>
      <c r="AA769" s="17" t="n"/>
      <c r="AB769" s="17" t="inlineStr">
        <is>
          <t>原表第 777 行</t>
        </is>
      </c>
      <c r="AC769" s="24">
        <f>IF($G769="","",IF($H769="※编码不在物料档案里","※物料编码不在档案里",IF(N($K769)&lt;=0,"※入库数量要大于 0",IF(AND($C769&lt;&gt;"",$C769&lt;=结账锁),"※日期早于已结账截止日，不能再录",IF(AND($L769=0,$X769="正常"),"※没填单价，价格状态请选「待补价」",IF(AND($S769&gt;0,$R769&gt;0),"△本批有 "&amp;$S769&amp;" 行没单价，整批运费先挂账没摊",IF(AND($B769&lt;&gt;"",COUNTIF($B$4:$B$2503,$B769)&gt;1),"※入库单号重复","")))))))</f>
        <v/>
      </c>
    </row>
    <row r="770">
      <c r="A770" s="24">
        <f>IF($G770="","",COUNTA($G$4:$G770))</f>
        <v/>
      </c>
      <c r="B770" s="17" t="n"/>
      <c r="C770" s="30" t="n">
        <v>46158</v>
      </c>
      <c r="D770" s="17" t="inlineStr">
        <is>
          <t>A国内</t>
        </is>
      </c>
      <c r="E770" s="17" t="inlineStr">
        <is>
          <t>DRYU9381826-202605</t>
        </is>
      </c>
      <c r="F770" s="17" t="inlineStr">
        <is>
          <t>猎谜</t>
        </is>
      </c>
      <c r="G770" s="17" t="inlineStr">
        <is>
          <t>JH0698</t>
        </is>
      </c>
      <c r="H770" s="24">
        <f>IF($G770="","",IFERROR(VLOOKUP($G770,物料档案!$A$4:$P$1203,3,0),"※编码不在物料档案里"))</f>
        <v/>
      </c>
      <c r="I770" s="24">
        <f>IF($G770="","",IFERROR(VLOOKUP($G770,物料档案!$A$4:$P$1203,4,0),"※编码不在物料档案里"))</f>
        <v/>
      </c>
      <c r="J770" s="24">
        <f>IF($G770="","",IFERROR(VLOOKUP($G770,物料档案!$A$4:$P$1203,5,0),"※编码不在物料档案里"))</f>
        <v/>
      </c>
      <c r="K770" s="23" t="n">
        <v>500</v>
      </c>
      <c r="L770" s="31" t="n">
        <v>20.5</v>
      </c>
      <c r="M770" s="24">
        <f>IF($G770="","",IF($D770="A国内","CNY","TZS"))</f>
        <v/>
      </c>
      <c r="N770" s="28">
        <f>IF($G770="","",IF($D770="A国内",汇率,1))</f>
        <v/>
      </c>
      <c r="O770" s="25">
        <f>IF($G770="","",ROUND(N($K770)*N($L770),2))</f>
        <v/>
      </c>
      <c r="P770" s="26">
        <f>IF($G770="","",ROUND($O770*$N770,0))</f>
        <v/>
      </c>
      <c r="Q770" s="26">
        <f>IF($G770="","",SUMIFS($P$4:$P$2503,$E$4:$E$2503,$E770,$Z$4:$Z$2503,"正常"))</f>
        <v/>
      </c>
      <c r="R770" s="26">
        <f>IF($G770="","",SUMIFS(费用台账!$I$4:$I$503,费用台账!$C$4:$C$503,$E770,费用台账!$J$4:$J$503,"是",费用台账!$K$4:$K$503,"正常"))</f>
        <v/>
      </c>
      <c r="S770" s="28">
        <f>IF($G770="","",COUNTIFS($E$4:$E$2503,$E770,$Z$4:$Z$2503,"正常",$Y$4:$Y$2503,"待补价"))</f>
        <v/>
      </c>
      <c r="T770" s="26">
        <f>IF($G770="","",SUMIFS($P$4:$P$2503,$E$4:$E$2503,$E770,$Z$4:$Z$2503,"正常",$A$4:$A$2503,"&lt;="&amp;$A770))</f>
        <v/>
      </c>
      <c r="U770" s="26">
        <f>IF($G770="","",IF(OR($S770&gt;0,$Q770=0,$R770=0,$Z770&lt;&gt;"正常"),0,ROUND($T770/$Q770*$R770,0)-ROUND(($T770-$P770)/$Q770*$R770,0)))</f>
        <v/>
      </c>
      <c r="V770" s="26">
        <f>IF($G770="","",ROUND($P770+$U770,0))</f>
        <v/>
      </c>
      <c r="W770" s="26">
        <f>IF($G770="","",IF(N($K770)=0,0,ROUND($V770/$K770,2)))</f>
        <v/>
      </c>
      <c r="X770" s="17" t="inlineStr">
        <is>
          <t>采购入库</t>
        </is>
      </c>
      <c r="Y770" s="17" t="inlineStr">
        <is>
          <t>正常</t>
        </is>
      </c>
      <c r="Z770" s="17" t="inlineStr">
        <is>
          <t>正常</t>
        </is>
      </c>
      <c r="AA770" s="17" t="n"/>
      <c r="AB770" s="17" t="inlineStr">
        <is>
          <t>原表第 778 行</t>
        </is>
      </c>
      <c r="AC770" s="24">
        <f>IF($G770="","",IF($H770="※编码不在物料档案里","※物料编码不在档案里",IF(N($K770)&lt;=0,"※入库数量要大于 0",IF(AND($C770&lt;&gt;"",$C770&lt;=结账锁),"※日期早于已结账截止日，不能再录",IF(AND($L770=0,$X770="正常"),"※没填单价，价格状态请选「待补价」",IF(AND($S770&gt;0,$R770&gt;0),"△本批有 "&amp;$S770&amp;" 行没单价，整批运费先挂账没摊",IF(AND($B770&lt;&gt;"",COUNTIF($B$4:$B$2503,$B770)&gt;1),"※入库单号重复","")))))))</f>
        <v/>
      </c>
    </row>
    <row r="771">
      <c r="A771" s="24">
        <f>IF($G771="","",COUNTA($G$4:$G771))</f>
        <v/>
      </c>
      <c r="B771" s="17" t="n"/>
      <c r="C771" s="30" t="n">
        <v>46158</v>
      </c>
      <c r="D771" s="17" t="inlineStr">
        <is>
          <t>A国内</t>
        </is>
      </c>
      <c r="E771" s="17" t="inlineStr">
        <is>
          <t>DRYU9381826-202605</t>
        </is>
      </c>
      <c r="F771" s="17" t="inlineStr">
        <is>
          <t>猎谜</t>
        </is>
      </c>
      <c r="G771" s="17" t="inlineStr">
        <is>
          <t>JH0699</t>
        </is>
      </c>
      <c r="H771" s="24">
        <f>IF($G771="","",IFERROR(VLOOKUP($G771,物料档案!$A$4:$P$1203,3,0),"※编码不在物料档案里"))</f>
        <v/>
      </c>
      <c r="I771" s="24">
        <f>IF($G771="","",IFERROR(VLOOKUP($G771,物料档案!$A$4:$P$1203,4,0),"※编码不在物料档案里"))</f>
        <v/>
      </c>
      <c r="J771" s="24">
        <f>IF($G771="","",IFERROR(VLOOKUP($G771,物料档案!$A$4:$P$1203,5,0),"※编码不在物料档案里"))</f>
        <v/>
      </c>
      <c r="K771" s="23" t="n">
        <v>500</v>
      </c>
      <c r="L771" s="31" t="n">
        <v>31.7</v>
      </c>
      <c r="M771" s="24">
        <f>IF($G771="","",IF($D771="A国内","CNY","TZS"))</f>
        <v/>
      </c>
      <c r="N771" s="28">
        <f>IF($G771="","",IF($D771="A国内",汇率,1))</f>
        <v/>
      </c>
      <c r="O771" s="25">
        <f>IF($G771="","",ROUND(N($K771)*N($L771),2))</f>
        <v/>
      </c>
      <c r="P771" s="26">
        <f>IF($G771="","",ROUND($O771*$N771,0))</f>
        <v/>
      </c>
      <c r="Q771" s="26">
        <f>IF($G771="","",SUMIFS($P$4:$P$2503,$E$4:$E$2503,$E771,$Z$4:$Z$2503,"正常"))</f>
        <v/>
      </c>
      <c r="R771" s="26">
        <f>IF($G771="","",SUMIFS(费用台账!$I$4:$I$503,费用台账!$C$4:$C$503,$E771,费用台账!$J$4:$J$503,"是",费用台账!$K$4:$K$503,"正常"))</f>
        <v/>
      </c>
      <c r="S771" s="28">
        <f>IF($G771="","",COUNTIFS($E$4:$E$2503,$E771,$Z$4:$Z$2503,"正常",$Y$4:$Y$2503,"待补价"))</f>
        <v/>
      </c>
      <c r="T771" s="26">
        <f>IF($G771="","",SUMIFS($P$4:$P$2503,$E$4:$E$2503,$E771,$Z$4:$Z$2503,"正常",$A$4:$A$2503,"&lt;="&amp;$A771))</f>
        <v/>
      </c>
      <c r="U771" s="26">
        <f>IF($G771="","",IF(OR($S771&gt;0,$Q771=0,$R771=0,$Z771&lt;&gt;"正常"),0,ROUND($T771/$Q771*$R771,0)-ROUND(($T771-$P771)/$Q771*$R771,0)))</f>
        <v/>
      </c>
      <c r="V771" s="26">
        <f>IF($G771="","",ROUND($P771+$U771,0))</f>
        <v/>
      </c>
      <c r="W771" s="26">
        <f>IF($G771="","",IF(N($K771)=0,0,ROUND($V771/$K771,2)))</f>
        <v/>
      </c>
      <c r="X771" s="17" t="inlineStr">
        <is>
          <t>采购入库</t>
        </is>
      </c>
      <c r="Y771" s="17" t="inlineStr">
        <is>
          <t>正常</t>
        </is>
      </c>
      <c r="Z771" s="17" t="inlineStr">
        <is>
          <t>正常</t>
        </is>
      </c>
      <c r="AA771" s="17" t="n"/>
      <c r="AB771" s="17" t="inlineStr">
        <is>
          <t>原表第 779 行</t>
        </is>
      </c>
      <c r="AC771" s="24">
        <f>IF($G771="","",IF($H771="※编码不在物料档案里","※物料编码不在档案里",IF(N($K771)&lt;=0,"※入库数量要大于 0",IF(AND($C771&lt;&gt;"",$C771&lt;=结账锁),"※日期早于已结账截止日，不能再录",IF(AND($L771=0,$X771="正常"),"※没填单价，价格状态请选「待补价」",IF(AND($S771&gt;0,$R771&gt;0),"△本批有 "&amp;$S771&amp;" 行没单价，整批运费先挂账没摊",IF(AND($B771&lt;&gt;"",COUNTIF($B$4:$B$2503,$B771)&gt;1),"※入库单号重复","")))))))</f>
        <v/>
      </c>
    </row>
    <row r="772">
      <c r="A772" s="24">
        <f>IF($G772="","",COUNTA($G$4:$G772))</f>
        <v/>
      </c>
      <c r="B772" s="17" t="n"/>
      <c r="C772" s="30" t="n">
        <v>46158</v>
      </c>
      <c r="D772" s="17" t="inlineStr">
        <is>
          <t>A国内</t>
        </is>
      </c>
      <c r="E772" s="17" t="inlineStr">
        <is>
          <t>DRYU9381826-202605</t>
        </is>
      </c>
      <c r="F772" s="17" t="inlineStr">
        <is>
          <t>猎谜</t>
        </is>
      </c>
      <c r="G772" s="17" t="inlineStr">
        <is>
          <t>JH0700</t>
        </is>
      </c>
      <c r="H772" s="24">
        <f>IF($G772="","",IFERROR(VLOOKUP($G772,物料档案!$A$4:$P$1203,3,0),"※编码不在物料档案里"))</f>
        <v/>
      </c>
      <c r="I772" s="24">
        <f>IF($G772="","",IFERROR(VLOOKUP($G772,物料档案!$A$4:$P$1203,4,0),"※编码不在物料档案里"))</f>
        <v/>
      </c>
      <c r="J772" s="24">
        <f>IF($G772="","",IFERROR(VLOOKUP($G772,物料档案!$A$4:$P$1203,5,0),"※编码不在物料档案里"))</f>
        <v/>
      </c>
      <c r="K772" s="23" t="n">
        <v>500</v>
      </c>
      <c r="L772" s="31" t="n">
        <v>41</v>
      </c>
      <c r="M772" s="24">
        <f>IF($G772="","",IF($D772="A国内","CNY","TZS"))</f>
        <v/>
      </c>
      <c r="N772" s="28">
        <f>IF($G772="","",IF($D772="A国内",汇率,1))</f>
        <v/>
      </c>
      <c r="O772" s="25">
        <f>IF($G772="","",ROUND(N($K772)*N($L772),2))</f>
        <v/>
      </c>
      <c r="P772" s="26">
        <f>IF($G772="","",ROUND($O772*$N772,0))</f>
        <v/>
      </c>
      <c r="Q772" s="26">
        <f>IF($G772="","",SUMIFS($P$4:$P$2503,$E$4:$E$2503,$E772,$Z$4:$Z$2503,"正常"))</f>
        <v/>
      </c>
      <c r="R772" s="26">
        <f>IF($G772="","",SUMIFS(费用台账!$I$4:$I$503,费用台账!$C$4:$C$503,$E772,费用台账!$J$4:$J$503,"是",费用台账!$K$4:$K$503,"正常"))</f>
        <v/>
      </c>
      <c r="S772" s="28">
        <f>IF($G772="","",COUNTIFS($E$4:$E$2503,$E772,$Z$4:$Z$2503,"正常",$Y$4:$Y$2503,"待补价"))</f>
        <v/>
      </c>
      <c r="T772" s="26">
        <f>IF($G772="","",SUMIFS($P$4:$P$2503,$E$4:$E$2503,$E772,$Z$4:$Z$2503,"正常",$A$4:$A$2503,"&lt;="&amp;$A772))</f>
        <v/>
      </c>
      <c r="U772" s="26">
        <f>IF($G772="","",IF(OR($S772&gt;0,$Q772=0,$R772=0,$Z772&lt;&gt;"正常"),0,ROUND($T772/$Q772*$R772,0)-ROUND(($T772-$P772)/$Q772*$R772,0)))</f>
        <v/>
      </c>
      <c r="V772" s="26">
        <f>IF($G772="","",ROUND($P772+$U772,0))</f>
        <v/>
      </c>
      <c r="W772" s="26">
        <f>IF($G772="","",IF(N($K772)=0,0,ROUND($V772/$K772,2)))</f>
        <v/>
      </c>
      <c r="X772" s="17" t="inlineStr">
        <is>
          <t>采购入库</t>
        </is>
      </c>
      <c r="Y772" s="17" t="inlineStr">
        <is>
          <t>正常</t>
        </is>
      </c>
      <c r="Z772" s="17" t="inlineStr">
        <is>
          <t>正常</t>
        </is>
      </c>
      <c r="AA772" s="17" t="n"/>
      <c r="AB772" s="17" t="inlineStr">
        <is>
          <t>原表第 780 行</t>
        </is>
      </c>
      <c r="AC772" s="24">
        <f>IF($G772="","",IF($H772="※编码不在物料档案里","※物料编码不在档案里",IF(N($K772)&lt;=0,"※入库数量要大于 0",IF(AND($C772&lt;&gt;"",$C772&lt;=结账锁),"※日期早于已结账截止日，不能再录",IF(AND($L772=0,$X772="正常"),"※没填单价，价格状态请选「待补价」",IF(AND($S772&gt;0,$R772&gt;0),"△本批有 "&amp;$S772&amp;" 行没单价，整批运费先挂账没摊",IF(AND($B772&lt;&gt;"",COUNTIF($B$4:$B$2503,$B772)&gt;1),"※入库单号重复","")))))))</f>
        <v/>
      </c>
    </row>
    <row r="773">
      <c r="A773" s="24">
        <f>IF($G773="","",COUNTA($G$4:$G773))</f>
        <v/>
      </c>
      <c r="B773" s="17" t="n"/>
      <c r="C773" s="30" t="n">
        <v>46158</v>
      </c>
      <c r="D773" s="17" t="inlineStr">
        <is>
          <t>A国内</t>
        </is>
      </c>
      <c r="E773" s="17" t="inlineStr">
        <is>
          <t>DRYU9381826-202605</t>
        </is>
      </c>
      <c r="F773" s="17" t="inlineStr">
        <is>
          <t>猎谜</t>
        </is>
      </c>
      <c r="G773" s="17" t="inlineStr">
        <is>
          <t>JH0701</t>
        </is>
      </c>
      <c r="H773" s="24">
        <f>IF($G773="","",IFERROR(VLOOKUP($G773,物料档案!$A$4:$P$1203,3,0),"※编码不在物料档案里"))</f>
        <v/>
      </c>
      <c r="I773" s="24">
        <f>IF($G773="","",IFERROR(VLOOKUP($G773,物料档案!$A$4:$P$1203,4,0),"※编码不在物料档案里"))</f>
        <v/>
      </c>
      <c r="J773" s="24">
        <f>IF($G773="","",IFERROR(VLOOKUP($G773,物料档案!$A$4:$P$1203,5,0),"※编码不在物料档案里"))</f>
        <v/>
      </c>
      <c r="K773" s="23" t="n">
        <v>500</v>
      </c>
      <c r="L773" s="31" t="n">
        <v>14.8</v>
      </c>
      <c r="M773" s="24">
        <f>IF($G773="","",IF($D773="A国内","CNY","TZS"))</f>
        <v/>
      </c>
      <c r="N773" s="28">
        <f>IF($G773="","",IF($D773="A国内",汇率,1))</f>
        <v/>
      </c>
      <c r="O773" s="25">
        <f>IF($G773="","",ROUND(N($K773)*N($L773),2))</f>
        <v/>
      </c>
      <c r="P773" s="26">
        <f>IF($G773="","",ROUND($O773*$N773,0))</f>
        <v/>
      </c>
      <c r="Q773" s="26">
        <f>IF($G773="","",SUMIFS($P$4:$P$2503,$E$4:$E$2503,$E773,$Z$4:$Z$2503,"正常"))</f>
        <v/>
      </c>
      <c r="R773" s="26">
        <f>IF($G773="","",SUMIFS(费用台账!$I$4:$I$503,费用台账!$C$4:$C$503,$E773,费用台账!$J$4:$J$503,"是",费用台账!$K$4:$K$503,"正常"))</f>
        <v/>
      </c>
      <c r="S773" s="28">
        <f>IF($G773="","",COUNTIFS($E$4:$E$2503,$E773,$Z$4:$Z$2503,"正常",$Y$4:$Y$2503,"待补价"))</f>
        <v/>
      </c>
      <c r="T773" s="26">
        <f>IF($G773="","",SUMIFS($P$4:$P$2503,$E$4:$E$2503,$E773,$Z$4:$Z$2503,"正常",$A$4:$A$2503,"&lt;="&amp;$A773))</f>
        <v/>
      </c>
      <c r="U773" s="26">
        <f>IF($G773="","",IF(OR($S773&gt;0,$Q773=0,$R773=0,$Z773&lt;&gt;"正常"),0,ROUND($T773/$Q773*$R773,0)-ROUND(($T773-$P773)/$Q773*$R773,0)))</f>
        <v/>
      </c>
      <c r="V773" s="26">
        <f>IF($G773="","",ROUND($P773+$U773,0))</f>
        <v/>
      </c>
      <c r="W773" s="26">
        <f>IF($G773="","",IF(N($K773)=0,0,ROUND($V773/$K773,2)))</f>
        <v/>
      </c>
      <c r="X773" s="17" t="inlineStr">
        <is>
          <t>采购入库</t>
        </is>
      </c>
      <c r="Y773" s="17" t="inlineStr">
        <is>
          <t>正常</t>
        </is>
      </c>
      <c r="Z773" s="17" t="inlineStr">
        <is>
          <t>正常</t>
        </is>
      </c>
      <c r="AA773" s="17" t="n"/>
      <c r="AB773" s="17" t="inlineStr">
        <is>
          <t>原表第 781 行</t>
        </is>
      </c>
      <c r="AC773" s="24">
        <f>IF($G773="","",IF($H773="※编码不在物料档案里","※物料编码不在档案里",IF(N($K773)&lt;=0,"※入库数量要大于 0",IF(AND($C773&lt;&gt;"",$C773&lt;=结账锁),"※日期早于已结账截止日，不能再录",IF(AND($L773=0,$X773="正常"),"※没填单价，价格状态请选「待补价」",IF(AND($S773&gt;0,$R773&gt;0),"△本批有 "&amp;$S773&amp;" 行没单价，整批运费先挂账没摊",IF(AND($B773&lt;&gt;"",COUNTIF($B$4:$B$2503,$B773)&gt;1),"※入库单号重复","")))))))</f>
        <v/>
      </c>
    </row>
    <row r="774">
      <c r="A774" s="24">
        <f>IF($G774="","",COUNTA($G$4:$G774))</f>
        <v/>
      </c>
      <c r="B774" s="17" t="n"/>
      <c r="C774" s="30" t="n">
        <v>46158</v>
      </c>
      <c r="D774" s="17" t="inlineStr">
        <is>
          <t>A国内</t>
        </is>
      </c>
      <c r="E774" s="17" t="inlineStr">
        <is>
          <t>DRYU9381826-202605</t>
        </is>
      </c>
      <c r="F774" s="17" t="inlineStr">
        <is>
          <t>猎谜</t>
        </is>
      </c>
      <c r="G774" s="17" t="inlineStr">
        <is>
          <t>JH0702</t>
        </is>
      </c>
      <c r="H774" s="24">
        <f>IF($G774="","",IFERROR(VLOOKUP($G774,物料档案!$A$4:$P$1203,3,0),"※编码不在物料档案里"))</f>
        <v/>
      </c>
      <c r="I774" s="24">
        <f>IF($G774="","",IFERROR(VLOOKUP($G774,物料档案!$A$4:$P$1203,4,0),"※编码不在物料档案里"))</f>
        <v/>
      </c>
      <c r="J774" s="24">
        <f>IF($G774="","",IFERROR(VLOOKUP($G774,物料档案!$A$4:$P$1203,5,0),"※编码不在物料档案里"))</f>
        <v/>
      </c>
      <c r="K774" s="23" t="n">
        <v>300</v>
      </c>
      <c r="L774" s="31" t="n">
        <v>31</v>
      </c>
      <c r="M774" s="24">
        <f>IF($G774="","",IF($D774="A国内","CNY","TZS"))</f>
        <v/>
      </c>
      <c r="N774" s="28">
        <f>IF($G774="","",IF($D774="A国内",汇率,1))</f>
        <v/>
      </c>
      <c r="O774" s="25">
        <f>IF($G774="","",ROUND(N($K774)*N($L774),2))</f>
        <v/>
      </c>
      <c r="P774" s="26">
        <f>IF($G774="","",ROUND($O774*$N774,0))</f>
        <v/>
      </c>
      <c r="Q774" s="26">
        <f>IF($G774="","",SUMIFS($P$4:$P$2503,$E$4:$E$2503,$E774,$Z$4:$Z$2503,"正常"))</f>
        <v/>
      </c>
      <c r="R774" s="26">
        <f>IF($G774="","",SUMIFS(费用台账!$I$4:$I$503,费用台账!$C$4:$C$503,$E774,费用台账!$J$4:$J$503,"是",费用台账!$K$4:$K$503,"正常"))</f>
        <v/>
      </c>
      <c r="S774" s="28">
        <f>IF($G774="","",COUNTIFS($E$4:$E$2503,$E774,$Z$4:$Z$2503,"正常",$Y$4:$Y$2503,"待补价"))</f>
        <v/>
      </c>
      <c r="T774" s="26">
        <f>IF($G774="","",SUMIFS($P$4:$P$2503,$E$4:$E$2503,$E774,$Z$4:$Z$2503,"正常",$A$4:$A$2503,"&lt;="&amp;$A774))</f>
        <v/>
      </c>
      <c r="U774" s="26">
        <f>IF($G774="","",IF(OR($S774&gt;0,$Q774=0,$R774=0,$Z774&lt;&gt;"正常"),0,ROUND($T774/$Q774*$R774,0)-ROUND(($T774-$P774)/$Q774*$R774,0)))</f>
        <v/>
      </c>
      <c r="V774" s="26">
        <f>IF($G774="","",ROUND($P774+$U774,0))</f>
        <v/>
      </c>
      <c r="W774" s="26">
        <f>IF($G774="","",IF(N($K774)=0,0,ROUND($V774/$K774,2)))</f>
        <v/>
      </c>
      <c r="X774" s="17" t="inlineStr">
        <is>
          <t>采购入库</t>
        </is>
      </c>
      <c r="Y774" s="17" t="inlineStr">
        <is>
          <t>正常</t>
        </is>
      </c>
      <c r="Z774" s="17" t="inlineStr">
        <is>
          <t>正常</t>
        </is>
      </c>
      <c r="AA774" s="17" t="n"/>
      <c r="AB774" s="17" t="inlineStr">
        <is>
          <t>原表第 782 行</t>
        </is>
      </c>
      <c r="AC774" s="24">
        <f>IF($G774="","",IF($H774="※编码不在物料档案里","※物料编码不在档案里",IF(N($K774)&lt;=0,"※入库数量要大于 0",IF(AND($C774&lt;&gt;"",$C774&lt;=结账锁),"※日期早于已结账截止日，不能再录",IF(AND($L774=0,$X774="正常"),"※没填单价，价格状态请选「待补价」",IF(AND($S774&gt;0,$R774&gt;0),"△本批有 "&amp;$S774&amp;" 行没单价，整批运费先挂账没摊",IF(AND($B774&lt;&gt;"",COUNTIF($B$4:$B$2503,$B774)&gt;1),"※入库单号重复","")))))))</f>
        <v/>
      </c>
    </row>
    <row r="775">
      <c r="A775" s="24">
        <f>IF($G775="","",COUNTA($G$4:$G775))</f>
        <v/>
      </c>
      <c r="B775" s="17" t="n"/>
      <c r="C775" s="30" t="n">
        <v>46158</v>
      </c>
      <c r="D775" s="17" t="inlineStr">
        <is>
          <t>A国内</t>
        </is>
      </c>
      <c r="E775" s="17" t="inlineStr">
        <is>
          <t>DRYU9381826-202605</t>
        </is>
      </c>
      <c r="F775" s="17" t="inlineStr">
        <is>
          <t>猎谜</t>
        </is>
      </c>
      <c r="G775" s="17" t="inlineStr">
        <is>
          <t>JH0703</t>
        </is>
      </c>
      <c r="H775" s="24">
        <f>IF($G775="","",IFERROR(VLOOKUP($G775,物料档案!$A$4:$P$1203,3,0),"※编码不在物料档案里"))</f>
        <v/>
      </c>
      <c r="I775" s="24">
        <f>IF($G775="","",IFERROR(VLOOKUP($G775,物料档案!$A$4:$P$1203,4,0),"※编码不在物料档案里"))</f>
        <v/>
      </c>
      <c r="J775" s="24">
        <f>IF($G775="","",IFERROR(VLOOKUP($G775,物料档案!$A$4:$P$1203,5,0),"※编码不在物料档案里"))</f>
        <v/>
      </c>
      <c r="K775" s="23" t="n">
        <v>2</v>
      </c>
      <c r="L775" s="31" t="n">
        <v>2500</v>
      </c>
      <c r="M775" s="24">
        <f>IF($G775="","",IF($D775="A国内","CNY","TZS"))</f>
        <v/>
      </c>
      <c r="N775" s="28">
        <f>IF($G775="","",IF($D775="A国内",汇率,1))</f>
        <v/>
      </c>
      <c r="O775" s="25">
        <f>IF($G775="","",ROUND(N($K775)*N($L775),2))</f>
        <v/>
      </c>
      <c r="P775" s="26">
        <f>IF($G775="","",ROUND($O775*$N775,0))</f>
        <v/>
      </c>
      <c r="Q775" s="26">
        <f>IF($G775="","",SUMIFS($P$4:$P$2503,$E$4:$E$2503,$E775,$Z$4:$Z$2503,"正常"))</f>
        <v/>
      </c>
      <c r="R775" s="26">
        <f>IF($G775="","",SUMIFS(费用台账!$I$4:$I$503,费用台账!$C$4:$C$503,$E775,费用台账!$J$4:$J$503,"是",费用台账!$K$4:$K$503,"正常"))</f>
        <v/>
      </c>
      <c r="S775" s="28">
        <f>IF($G775="","",COUNTIFS($E$4:$E$2503,$E775,$Z$4:$Z$2503,"正常",$Y$4:$Y$2503,"待补价"))</f>
        <v/>
      </c>
      <c r="T775" s="26">
        <f>IF($G775="","",SUMIFS($P$4:$P$2503,$E$4:$E$2503,$E775,$Z$4:$Z$2503,"正常",$A$4:$A$2503,"&lt;="&amp;$A775))</f>
        <v/>
      </c>
      <c r="U775" s="26">
        <f>IF($G775="","",IF(OR($S775&gt;0,$Q775=0,$R775=0,$Z775&lt;&gt;"正常"),0,ROUND($T775/$Q775*$R775,0)-ROUND(($T775-$P775)/$Q775*$R775,0)))</f>
        <v/>
      </c>
      <c r="V775" s="26">
        <f>IF($G775="","",ROUND($P775+$U775,0))</f>
        <v/>
      </c>
      <c r="W775" s="26">
        <f>IF($G775="","",IF(N($K775)=0,0,ROUND($V775/$K775,2)))</f>
        <v/>
      </c>
      <c r="X775" s="17" t="inlineStr">
        <is>
          <t>采购入库</t>
        </is>
      </c>
      <c r="Y775" s="17" t="inlineStr">
        <is>
          <t>正常</t>
        </is>
      </c>
      <c r="Z775" s="17" t="inlineStr">
        <is>
          <t>正常</t>
        </is>
      </c>
      <c r="AA775" s="17" t="n"/>
      <c r="AB775" s="17" t="inlineStr">
        <is>
          <t>原表第 783 行</t>
        </is>
      </c>
      <c r="AC775" s="24">
        <f>IF($G775="","",IF($H775="※编码不在物料档案里","※物料编码不在档案里",IF(N($K775)&lt;=0,"※入库数量要大于 0",IF(AND($C775&lt;&gt;"",$C775&lt;=结账锁),"※日期早于已结账截止日，不能再录",IF(AND($L775=0,$X775="正常"),"※没填单价，价格状态请选「待补价」",IF(AND($S775&gt;0,$R775&gt;0),"△本批有 "&amp;$S775&amp;" 行没单价，整批运费先挂账没摊",IF(AND($B775&lt;&gt;"",COUNTIF($B$4:$B$2503,$B775)&gt;1),"※入库单号重复","")))))))</f>
        <v/>
      </c>
    </row>
    <row r="776">
      <c r="A776" s="24">
        <f>IF($G776="","",COUNTA($G$4:$G776))</f>
        <v/>
      </c>
      <c r="B776" s="17" t="n"/>
      <c r="C776" s="30" t="n">
        <v>46158</v>
      </c>
      <c r="D776" s="17" t="inlineStr">
        <is>
          <t>A国内</t>
        </is>
      </c>
      <c r="E776" s="17" t="inlineStr">
        <is>
          <t>DRYU9381826-202605</t>
        </is>
      </c>
      <c r="F776" s="17" t="inlineStr">
        <is>
          <t>猎谜</t>
        </is>
      </c>
      <c r="G776" s="17" t="inlineStr">
        <is>
          <t>JH0704</t>
        </is>
      </c>
      <c r="H776" s="24">
        <f>IF($G776="","",IFERROR(VLOOKUP($G776,物料档案!$A$4:$P$1203,3,0),"※编码不在物料档案里"))</f>
        <v/>
      </c>
      <c r="I776" s="24">
        <f>IF($G776="","",IFERROR(VLOOKUP($G776,物料档案!$A$4:$P$1203,4,0),"※编码不在物料档案里"))</f>
        <v/>
      </c>
      <c r="J776" s="24">
        <f>IF($G776="","",IFERROR(VLOOKUP($G776,物料档案!$A$4:$P$1203,5,0),"※编码不在物料档案里"))</f>
        <v/>
      </c>
      <c r="K776" s="23" t="n">
        <v>200</v>
      </c>
      <c r="L776" s="31" t="n">
        <v>106</v>
      </c>
      <c r="M776" s="24">
        <f>IF($G776="","",IF($D776="A国内","CNY","TZS"))</f>
        <v/>
      </c>
      <c r="N776" s="28">
        <f>IF($G776="","",IF($D776="A国内",汇率,1))</f>
        <v/>
      </c>
      <c r="O776" s="25">
        <f>IF($G776="","",ROUND(N($K776)*N($L776),2))</f>
        <v/>
      </c>
      <c r="P776" s="26">
        <f>IF($G776="","",ROUND($O776*$N776,0))</f>
        <v/>
      </c>
      <c r="Q776" s="26">
        <f>IF($G776="","",SUMIFS($P$4:$P$2503,$E$4:$E$2503,$E776,$Z$4:$Z$2503,"正常"))</f>
        <v/>
      </c>
      <c r="R776" s="26">
        <f>IF($G776="","",SUMIFS(费用台账!$I$4:$I$503,费用台账!$C$4:$C$503,$E776,费用台账!$J$4:$J$503,"是",费用台账!$K$4:$K$503,"正常"))</f>
        <v/>
      </c>
      <c r="S776" s="28">
        <f>IF($G776="","",COUNTIFS($E$4:$E$2503,$E776,$Z$4:$Z$2503,"正常",$Y$4:$Y$2503,"待补价"))</f>
        <v/>
      </c>
      <c r="T776" s="26">
        <f>IF($G776="","",SUMIFS($P$4:$P$2503,$E$4:$E$2503,$E776,$Z$4:$Z$2503,"正常",$A$4:$A$2503,"&lt;="&amp;$A776))</f>
        <v/>
      </c>
      <c r="U776" s="26">
        <f>IF($G776="","",IF(OR($S776&gt;0,$Q776=0,$R776=0,$Z776&lt;&gt;"正常"),0,ROUND($T776/$Q776*$R776,0)-ROUND(($T776-$P776)/$Q776*$R776,0)))</f>
        <v/>
      </c>
      <c r="V776" s="26">
        <f>IF($G776="","",ROUND($P776+$U776,0))</f>
        <v/>
      </c>
      <c r="W776" s="26">
        <f>IF($G776="","",IF(N($K776)=0,0,ROUND($V776/$K776,2)))</f>
        <v/>
      </c>
      <c r="X776" s="17" t="inlineStr">
        <is>
          <t>采购入库</t>
        </is>
      </c>
      <c r="Y776" s="17" t="inlineStr">
        <is>
          <t>正常</t>
        </is>
      </c>
      <c r="Z776" s="17" t="inlineStr">
        <is>
          <t>正常</t>
        </is>
      </c>
      <c r="AA776" s="17" t="n"/>
      <c r="AB776" s="17" t="inlineStr">
        <is>
          <t>原表第 784 行</t>
        </is>
      </c>
      <c r="AC776" s="24">
        <f>IF($G776="","",IF($H776="※编码不在物料档案里","※物料编码不在档案里",IF(N($K776)&lt;=0,"※入库数量要大于 0",IF(AND($C776&lt;&gt;"",$C776&lt;=结账锁),"※日期早于已结账截止日，不能再录",IF(AND($L776=0,$X776="正常"),"※没填单价，价格状态请选「待补价」",IF(AND($S776&gt;0,$R776&gt;0),"△本批有 "&amp;$S776&amp;" 行没单价，整批运费先挂账没摊",IF(AND($B776&lt;&gt;"",COUNTIF($B$4:$B$2503,$B776)&gt;1),"※入库单号重复","")))))))</f>
        <v/>
      </c>
    </row>
    <row r="777">
      <c r="A777" s="24">
        <f>IF($G777="","",COUNTA($G$4:$G777))</f>
        <v/>
      </c>
      <c r="B777" s="17" t="n"/>
      <c r="C777" s="30" t="n">
        <v>46158</v>
      </c>
      <c r="D777" s="17" t="inlineStr">
        <is>
          <t>A国内</t>
        </is>
      </c>
      <c r="E777" s="17" t="inlineStr">
        <is>
          <t>DRYU9381826-202605</t>
        </is>
      </c>
      <c r="F777" s="17" t="inlineStr">
        <is>
          <t>猎谜</t>
        </is>
      </c>
      <c r="G777" s="17" t="inlineStr">
        <is>
          <t>JH0705</t>
        </is>
      </c>
      <c r="H777" s="24">
        <f>IF($G777="","",IFERROR(VLOOKUP($G777,物料档案!$A$4:$P$1203,3,0),"※编码不在物料档案里"))</f>
        <v/>
      </c>
      <c r="I777" s="24">
        <f>IF($G777="","",IFERROR(VLOOKUP($G777,物料档案!$A$4:$P$1203,4,0),"※编码不在物料档案里"))</f>
        <v/>
      </c>
      <c r="J777" s="24">
        <f>IF($G777="","",IFERROR(VLOOKUP($G777,物料档案!$A$4:$P$1203,5,0),"※编码不在物料档案里"))</f>
        <v/>
      </c>
      <c r="K777" s="23" t="n">
        <v>1080</v>
      </c>
      <c r="L777" s="31" t="n">
        <v>4</v>
      </c>
      <c r="M777" s="24">
        <f>IF($G777="","",IF($D777="A国内","CNY","TZS"))</f>
        <v/>
      </c>
      <c r="N777" s="28">
        <f>IF($G777="","",IF($D777="A国内",汇率,1))</f>
        <v/>
      </c>
      <c r="O777" s="25">
        <f>IF($G777="","",ROUND(N($K777)*N($L777),2))</f>
        <v/>
      </c>
      <c r="P777" s="26">
        <f>IF($G777="","",ROUND($O777*$N777,0))</f>
        <v/>
      </c>
      <c r="Q777" s="26">
        <f>IF($G777="","",SUMIFS($P$4:$P$2503,$E$4:$E$2503,$E777,$Z$4:$Z$2503,"正常"))</f>
        <v/>
      </c>
      <c r="R777" s="26">
        <f>IF($G777="","",SUMIFS(费用台账!$I$4:$I$503,费用台账!$C$4:$C$503,$E777,费用台账!$J$4:$J$503,"是",费用台账!$K$4:$K$503,"正常"))</f>
        <v/>
      </c>
      <c r="S777" s="28">
        <f>IF($G777="","",COUNTIFS($E$4:$E$2503,$E777,$Z$4:$Z$2503,"正常",$Y$4:$Y$2503,"待补价"))</f>
        <v/>
      </c>
      <c r="T777" s="26">
        <f>IF($G777="","",SUMIFS($P$4:$P$2503,$E$4:$E$2503,$E777,$Z$4:$Z$2503,"正常",$A$4:$A$2503,"&lt;="&amp;$A777))</f>
        <v/>
      </c>
      <c r="U777" s="26">
        <f>IF($G777="","",IF(OR($S777&gt;0,$Q777=0,$R777=0,$Z777&lt;&gt;"正常"),0,ROUND($T777/$Q777*$R777,0)-ROUND(($T777-$P777)/$Q777*$R777,0)))</f>
        <v/>
      </c>
      <c r="V777" s="26">
        <f>IF($G777="","",ROUND($P777+$U777,0))</f>
        <v/>
      </c>
      <c r="W777" s="26">
        <f>IF($G777="","",IF(N($K777)=0,0,ROUND($V777/$K777,2)))</f>
        <v/>
      </c>
      <c r="X777" s="17" t="inlineStr">
        <is>
          <t>采购入库</t>
        </is>
      </c>
      <c r="Y777" s="17" t="inlineStr">
        <is>
          <t>正常</t>
        </is>
      </c>
      <c r="Z777" s="17" t="inlineStr">
        <is>
          <t>正常</t>
        </is>
      </c>
      <c r="AA777" s="17" t="n"/>
      <c r="AB777" s="17" t="inlineStr">
        <is>
          <t>原表第 785 行</t>
        </is>
      </c>
      <c r="AC777" s="24">
        <f>IF($G777="","",IF($H777="※编码不在物料档案里","※物料编码不在档案里",IF(N($K777)&lt;=0,"※入库数量要大于 0",IF(AND($C777&lt;&gt;"",$C777&lt;=结账锁),"※日期早于已结账截止日，不能再录",IF(AND($L777=0,$X777="正常"),"※没填单价，价格状态请选「待补价」",IF(AND($S777&gt;0,$R777&gt;0),"△本批有 "&amp;$S777&amp;" 行没单价，整批运费先挂账没摊",IF(AND($B777&lt;&gt;"",COUNTIF($B$4:$B$2503,$B777)&gt;1),"※入库单号重复","")))))))</f>
        <v/>
      </c>
    </row>
    <row r="778">
      <c r="A778" s="24">
        <f>IF($G778="","",COUNTA($G$4:$G778))</f>
        <v/>
      </c>
      <c r="B778" s="17" t="n"/>
      <c r="C778" s="30" t="n">
        <v>46158</v>
      </c>
      <c r="D778" s="17" t="inlineStr">
        <is>
          <t>A国内</t>
        </is>
      </c>
      <c r="E778" s="17" t="inlineStr">
        <is>
          <t>DRYU9381826-202605</t>
        </is>
      </c>
      <c r="F778" s="17" t="inlineStr">
        <is>
          <t>猎谜</t>
        </is>
      </c>
      <c r="G778" s="17" t="inlineStr">
        <is>
          <t>JH0706</t>
        </is>
      </c>
      <c r="H778" s="24">
        <f>IF($G778="","",IFERROR(VLOOKUP($G778,物料档案!$A$4:$P$1203,3,0),"※编码不在物料档案里"))</f>
        <v/>
      </c>
      <c r="I778" s="24">
        <f>IF($G778="","",IFERROR(VLOOKUP($G778,物料档案!$A$4:$P$1203,4,0),"※编码不在物料档案里"))</f>
        <v/>
      </c>
      <c r="J778" s="24">
        <f>IF($G778="","",IFERROR(VLOOKUP($G778,物料档案!$A$4:$P$1203,5,0),"※编码不在物料档案里"))</f>
        <v/>
      </c>
      <c r="K778" s="23" t="n">
        <v>4</v>
      </c>
      <c r="L778" s="31" t="n">
        <v>2611</v>
      </c>
      <c r="M778" s="24">
        <f>IF($G778="","",IF($D778="A国内","CNY","TZS"))</f>
        <v/>
      </c>
      <c r="N778" s="28">
        <f>IF($G778="","",IF($D778="A国内",汇率,1))</f>
        <v/>
      </c>
      <c r="O778" s="25">
        <f>IF($G778="","",ROUND(N($K778)*N($L778),2))</f>
        <v/>
      </c>
      <c r="P778" s="26">
        <f>IF($G778="","",ROUND($O778*$N778,0))</f>
        <v/>
      </c>
      <c r="Q778" s="26">
        <f>IF($G778="","",SUMIFS($P$4:$P$2503,$E$4:$E$2503,$E778,$Z$4:$Z$2503,"正常"))</f>
        <v/>
      </c>
      <c r="R778" s="26">
        <f>IF($G778="","",SUMIFS(费用台账!$I$4:$I$503,费用台账!$C$4:$C$503,$E778,费用台账!$J$4:$J$503,"是",费用台账!$K$4:$K$503,"正常"))</f>
        <v/>
      </c>
      <c r="S778" s="28">
        <f>IF($G778="","",COUNTIFS($E$4:$E$2503,$E778,$Z$4:$Z$2503,"正常",$Y$4:$Y$2503,"待补价"))</f>
        <v/>
      </c>
      <c r="T778" s="26">
        <f>IF($G778="","",SUMIFS($P$4:$P$2503,$E$4:$E$2503,$E778,$Z$4:$Z$2503,"正常",$A$4:$A$2503,"&lt;="&amp;$A778))</f>
        <v/>
      </c>
      <c r="U778" s="26">
        <f>IF($G778="","",IF(OR($S778&gt;0,$Q778=0,$R778=0,$Z778&lt;&gt;"正常"),0,ROUND($T778/$Q778*$R778,0)-ROUND(($T778-$P778)/$Q778*$R778,0)))</f>
        <v/>
      </c>
      <c r="V778" s="26">
        <f>IF($G778="","",ROUND($P778+$U778,0))</f>
        <v/>
      </c>
      <c r="W778" s="26">
        <f>IF($G778="","",IF(N($K778)=0,0,ROUND($V778/$K778,2)))</f>
        <v/>
      </c>
      <c r="X778" s="17" t="inlineStr">
        <is>
          <t>采购入库</t>
        </is>
      </c>
      <c r="Y778" s="17" t="inlineStr">
        <is>
          <t>正常</t>
        </is>
      </c>
      <c r="Z778" s="17" t="inlineStr">
        <is>
          <t>正常</t>
        </is>
      </c>
      <c r="AA778" s="17" t="n"/>
      <c r="AB778" s="17" t="inlineStr">
        <is>
          <t>原表第 786 行</t>
        </is>
      </c>
      <c r="AC778" s="24">
        <f>IF($G778="","",IF($H778="※编码不在物料档案里","※物料编码不在档案里",IF(N($K778)&lt;=0,"※入库数量要大于 0",IF(AND($C778&lt;&gt;"",$C778&lt;=结账锁),"※日期早于已结账截止日，不能再录",IF(AND($L778=0,$X778="正常"),"※没填单价，价格状态请选「待补价」",IF(AND($S778&gt;0,$R778&gt;0),"△本批有 "&amp;$S778&amp;" 行没单价，整批运费先挂账没摊",IF(AND($B778&lt;&gt;"",COUNTIF($B$4:$B$2503,$B778)&gt;1),"※入库单号重复","")))))))</f>
        <v/>
      </c>
    </row>
    <row r="779">
      <c r="A779" s="24">
        <f>IF($G779="","",COUNTA($G$4:$G779))</f>
        <v/>
      </c>
      <c r="B779" s="17" t="n"/>
      <c r="C779" s="30" t="n">
        <v>46158</v>
      </c>
      <c r="D779" s="17" t="inlineStr">
        <is>
          <t>A国内</t>
        </is>
      </c>
      <c r="E779" s="17" t="inlineStr">
        <is>
          <t>DRYU9381826-202605</t>
        </is>
      </c>
      <c r="F779" s="17" t="inlineStr">
        <is>
          <t>猎谜</t>
        </is>
      </c>
      <c r="G779" s="17" t="inlineStr">
        <is>
          <t>JH0707</t>
        </is>
      </c>
      <c r="H779" s="24">
        <f>IF($G779="","",IFERROR(VLOOKUP($G779,物料档案!$A$4:$P$1203,3,0),"※编码不在物料档案里"))</f>
        <v/>
      </c>
      <c r="I779" s="24">
        <f>IF($G779="","",IFERROR(VLOOKUP($G779,物料档案!$A$4:$P$1203,4,0),"※编码不在物料档案里"))</f>
        <v/>
      </c>
      <c r="J779" s="24">
        <f>IF($G779="","",IFERROR(VLOOKUP($G779,物料档案!$A$4:$P$1203,5,0),"※编码不在物料档案里"))</f>
        <v/>
      </c>
      <c r="K779" s="23" t="n">
        <v>15</v>
      </c>
      <c r="L779" s="31" t="n">
        <v>96.7</v>
      </c>
      <c r="M779" s="24">
        <f>IF($G779="","",IF($D779="A国内","CNY","TZS"))</f>
        <v/>
      </c>
      <c r="N779" s="28">
        <f>IF($G779="","",IF($D779="A国内",汇率,1))</f>
        <v/>
      </c>
      <c r="O779" s="25">
        <f>IF($G779="","",ROUND(N($K779)*N($L779),2))</f>
        <v/>
      </c>
      <c r="P779" s="26">
        <f>IF($G779="","",ROUND($O779*$N779,0))</f>
        <v/>
      </c>
      <c r="Q779" s="26">
        <f>IF($G779="","",SUMIFS($P$4:$P$2503,$E$4:$E$2503,$E779,$Z$4:$Z$2503,"正常"))</f>
        <v/>
      </c>
      <c r="R779" s="26">
        <f>IF($G779="","",SUMIFS(费用台账!$I$4:$I$503,费用台账!$C$4:$C$503,$E779,费用台账!$J$4:$J$503,"是",费用台账!$K$4:$K$503,"正常"))</f>
        <v/>
      </c>
      <c r="S779" s="28">
        <f>IF($G779="","",COUNTIFS($E$4:$E$2503,$E779,$Z$4:$Z$2503,"正常",$Y$4:$Y$2503,"待补价"))</f>
        <v/>
      </c>
      <c r="T779" s="26">
        <f>IF($G779="","",SUMIFS($P$4:$P$2503,$E$4:$E$2503,$E779,$Z$4:$Z$2503,"正常",$A$4:$A$2503,"&lt;="&amp;$A779))</f>
        <v/>
      </c>
      <c r="U779" s="26">
        <f>IF($G779="","",IF(OR($S779&gt;0,$Q779=0,$R779=0,$Z779&lt;&gt;"正常"),0,ROUND($T779/$Q779*$R779,0)-ROUND(($T779-$P779)/$Q779*$R779,0)))</f>
        <v/>
      </c>
      <c r="V779" s="26">
        <f>IF($G779="","",ROUND($P779+$U779,0))</f>
        <v/>
      </c>
      <c r="W779" s="26">
        <f>IF($G779="","",IF(N($K779)=0,0,ROUND($V779/$K779,2)))</f>
        <v/>
      </c>
      <c r="X779" s="17" t="inlineStr">
        <is>
          <t>采购入库</t>
        </is>
      </c>
      <c r="Y779" s="17" t="inlineStr">
        <is>
          <t>正常</t>
        </is>
      </c>
      <c r="Z779" s="17" t="inlineStr">
        <is>
          <t>正常</t>
        </is>
      </c>
      <c r="AA779" s="17" t="n"/>
      <c r="AB779" s="17" t="inlineStr">
        <is>
          <t>原表第 787 行</t>
        </is>
      </c>
      <c r="AC779" s="24">
        <f>IF($G779="","",IF($H779="※编码不在物料档案里","※物料编码不在档案里",IF(N($K779)&lt;=0,"※入库数量要大于 0",IF(AND($C779&lt;&gt;"",$C779&lt;=结账锁),"※日期早于已结账截止日，不能再录",IF(AND($L779=0,$X779="正常"),"※没填单价，价格状态请选「待补价」",IF(AND($S779&gt;0,$R779&gt;0),"△本批有 "&amp;$S779&amp;" 行没单价，整批运费先挂账没摊",IF(AND($B779&lt;&gt;"",COUNTIF($B$4:$B$2503,$B779)&gt;1),"※入库单号重复","")))))))</f>
        <v/>
      </c>
    </row>
    <row r="780">
      <c r="A780" s="24">
        <f>IF($G780="","",COUNTA($G$4:$G780))</f>
        <v/>
      </c>
      <c r="B780" s="17" t="n"/>
      <c r="C780" s="30" t="n">
        <v>46158</v>
      </c>
      <c r="D780" s="17" t="inlineStr">
        <is>
          <t>A国内</t>
        </is>
      </c>
      <c r="E780" s="17" t="inlineStr">
        <is>
          <t>DRYU9381826-202605</t>
        </is>
      </c>
      <c r="F780" s="17" t="inlineStr">
        <is>
          <t>猎谜</t>
        </is>
      </c>
      <c r="G780" s="17" t="inlineStr">
        <is>
          <t>JH0708</t>
        </is>
      </c>
      <c r="H780" s="24">
        <f>IF($G780="","",IFERROR(VLOOKUP($G780,物料档案!$A$4:$P$1203,3,0),"※编码不在物料档案里"))</f>
        <v/>
      </c>
      <c r="I780" s="24">
        <f>IF($G780="","",IFERROR(VLOOKUP($G780,物料档案!$A$4:$P$1203,4,0),"※编码不在物料档案里"))</f>
        <v/>
      </c>
      <c r="J780" s="24">
        <f>IF($G780="","",IFERROR(VLOOKUP($G780,物料档案!$A$4:$P$1203,5,0),"※编码不在物料档案里"))</f>
        <v/>
      </c>
      <c r="K780" s="23" t="n">
        <v>30</v>
      </c>
      <c r="L780" s="31" t="n">
        <v>96.7</v>
      </c>
      <c r="M780" s="24">
        <f>IF($G780="","",IF($D780="A国内","CNY","TZS"))</f>
        <v/>
      </c>
      <c r="N780" s="28">
        <f>IF($G780="","",IF($D780="A国内",汇率,1))</f>
        <v/>
      </c>
      <c r="O780" s="25">
        <f>IF($G780="","",ROUND(N($K780)*N($L780),2))</f>
        <v/>
      </c>
      <c r="P780" s="26">
        <f>IF($G780="","",ROUND($O780*$N780,0))</f>
        <v/>
      </c>
      <c r="Q780" s="26">
        <f>IF($G780="","",SUMIFS($P$4:$P$2503,$E$4:$E$2503,$E780,$Z$4:$Z$2503,"正常"))</f>
        <v/>
      </c>
      <c r="R780" s="26">
        <f>IF($G780="","",SUMIFS(费用台账!$I$4:$I$503,费用台账!$C$4:$C$503,$E780,费用台账!$J$4:$J$503,"是",费用台账!$K$4:$K$503,"正常"))</f>
        <v/>
      </c>
      <c r="S780" s="28">
        <f>IF($G780="","",COUNTIFS($E$4:$E$2503,$E780,$Z$4:$Z$2503,"正常",$Y$4:$Y$2503,"待补价"))</f>
        <v/>
      </c>
      <c r="T780" s="26">
        <f>IF($G780="","",SUMIFS($P$4:$P$2503,$E$4:$E$2503,$E780,$Z$4:$Z$2503,"正常",$A$4:$A$2503,"&lt;="&amp;$A780))</f>
        <v/>
      </c>
      <c r="U780" s="26">
        <f>IF($G780="","",IF(OR($S780&gt;0,$Q780=0,$R780=0,$Z780&lt;&gt;"正常"),0,ROUND($T780/$Q780*$R780,0)-ROUND(($T780-$P780)/$Q780*$R780,0)))</f>
        <v/>
      </c>
      <c r="V780" s="26">
        <f>IF($G780="","",ROUND($P780+$U780,0))</f>
        <v/>
      </c>
      <c r="W780" s="26">
        <f>IF($G780="","",IF(N($K780)=0,0,ROUND($V780/$K780,2)))</f>
        <v/>
      </c>
      <c r="X780" s="17" t="inlineStr">
        <is>
          <t>采购入库</t>
        </is>
      </c>
      <c r="Y780" s="17" t="inlineStr">
        <is>
          <t>正常</t>
        </is>
      </c>
      <c r="Z780" s="17" t="inlineStr">
        <is>
          <t>正常</t>
        </is>
      </c>
      <c r="AA780" s="17" t="n"/>
      <c r="AB780" s="17" t="inlineStr">
        <is>
          <t>原表第 788 行</t>
        </is>
      </c>
      <c r="AC780" s="24">
        <f>IF($G780="","",IF($H780="※编码不在物料档案里","※物料编码不在档案里",IF(N($K780)&lt;=0,"※入库数量要大于 0",IF(AND($C780&lt;&gt;"",$C780&lt;=结账锁),"※日期早于已结账截止日，不能再录",IF(AND($L780=0,$X780="正常"),"※没填单价，价格状态请选「待补价」",IF(AND($S780&gt;0,$R780&gt;0),"△本批有 "&amp;$S780&amp;" 行没单价，整批运费先挂账没摊",IF(AND($B780&lt;&gt;"",COUNTIF($B$4:$B$2503,$B780)&gt;1),"※入库单号重复","")))))))</f>
        <v/>
      </c>
    </row>
    <row r="781">
      <c r="A781" s="24">
        <f>IF($G781="","",COUNTA($G$4:$G781))</f>
        <v/>
      </c>
      <c r="B781" s="17" t="n"/>
      <c r="C781" s="30" t="n">
        <v>46158</v>
      </c>
      <c r="D781" s="17" t="inlineStr">
        <is>
          <t>A国内</t>
        </is>
      </c>
      <c r="E781" s="17" t="inlineStr">
        <is>
          <t>DRYU9381826-202605</t>
        </is>
      </c>
      <c r="F781" s="17" t="inlineStr">
        <is>
          <t>猎谜</t>
        </is>
      </c>
      <c r="G781" s="17" t="inlineStr">
        <is>
          <t>JH0709</t>
        </is>
      </c>
      <c r="H781" s="24">
        <f>IF($G781="","",IFERROR(VLOOKUP($G781,物料档案!$A$4:$P$1203,3,0),"※编码不在物料档案里"))</f>
        <v/>
      </c>
      <c r="I781" s="24">
        <f>IF($G781="","",IFERROR(VLOOKUP($G781,物料档案!$A$4:$P$1203,4,0),"※编码不在物料档案里"))</f>
        <v/>
      </c>
      <c r="J781" s="24">
        <f>IF($G781="","",IFERROR(VLOOKUP($G781,物料档案!$A$4:$P$1203,5,0),"※编码不在物料档案里"))</f>
        <v/>
      </c>
      <c r="K781" s="23" t="n">
        <v>5</v>
      </c>
      <c r="L781" s="31" t="n">
        <v>106</v>
      </c>
      <c r="M781" s="24">
        <f>IF($G781="","",IF($D781="A国内","CNY","TZS"))</f>
        <v/>
      </c>
      <c r="N781" s="28">
        <f>IF($G781="","",IF($D781="A国内",汇率,1))</f>
        <v/>
      </c>
      <c r="O781" s="25">
        <f>IF($G781="","",ROUND(N($K781)*N($L781),2))</f>
        <v/>
      </c>
      <c r="P781" s="26">
        <f>IF($G781="","",ROUND($O781*$N781,0))</f>
        <v/>
      </c>
      <c r="Q781" s="26">
        <f>IF($G781="","",SUMIFS($P$4:$P$2503,$E$4:$E$2503,$E781,$Z$4:$Z$2503,"正常"))</f>
        <v/>
      </c>
      <c r="R781" s="26">
        <f>IF($G781="","",SUMIFS(费用台账!$I$4:$I$503,费用台账!$C$4:$C$503,$E781,费用台账!$J$4:$J$503,"是",费用台账!$K$4:$K$503,"正常"))</f>
        <v/>
      </c>
      <c r="S781" s="28">
        <f>IF($G781="","",COUNTIFS($E$4:$E$2503,$E781,$Z$4:$Z$2503,"正常",$Y$4:$Y$2503,"待补价"))</f>
        <v/>
      </c>
      <c r="T781" s="26">
        <f>IF($G781="","",SUMIFS($P$4:$P$2503,$E$4:$E$2503,$E781,$Z$4:$Z$2503,"正常",$A$4:$A$2503,"&lt;="&amp;$A781))</f>
        <v/>
      </c>
      <c r="U781" s="26">
        <f>IF($G781="","",IF(OR($S781&gt;0,$Q781=0,$R781=0,$Z781&lt;&gt;"正常"),0,ROUND($T781/$Q781*$R781,0)-ROUND(($T781-$P781)/$Q781*$R781,0)))</f>
        <v/>
      </c>
      <c r="V781" s="26">
        <f>IF($G781="","",ROUND($P781+$U781,0))</f>
        <v/>
      </c>
      <c r="W781" s="26">
        <f>IF($G781="","",IF(N($K781)=0,0,ROUND($V781/$K781,2)))</f>
        <v/>
      </c>
      <c r="X781" s="17" t="inlineStr">
        <is>
          <t>采购入库</t>
        </is>
      </c>
      <c r="Y781" s="17" t="inlineStr">
        <is>
          <t>正常</t>
        </is>
      </c>
      <c r="Z781" s="17" t="inlineStr">
        <is>
          <t>正常</t>
        </is>
      </c>
      <c r="AA781" s="17" t="n"/>
      <c r="AB781" s="17" t="inlineStr">
        <is>
          <t>原表第 789 行</t>
        </is>
      </c>
      <c r="AC781" s="24">
        <f>IF($G781="","",IF($H781="※编码不在物料档案里","※物料编码不在档案里",IF(N($K781)&lt;=0,"※入库数量要大于 0",IF(AND($C781&lt;&gt;"",$C781&lt;=结账锁),"※日期早于已结账截止日，不能再录",IF(AND($L781=0,$X781="正常"),"※没填单价，价格状态请选「待补价」",IF(AND($S781&gt;0,$R781&gt;0),"△本批有 "&amp;$S781&amp;" 行没单价，整批运费先挂账没摊",IF(AND($B781&lt;&gt;"",COUNTIF($B$4:$B$2503,$B781)&gt;1),"※入库单号重复","")))))))</f>
        <v/>
      </c>
    </row>
    <row r="782">
      <c r="A782" s="24">
        <f>IF($G782="","",COUNTA($G$4:$G782))</f>
        <v/>
      </c>
      <c r="B782" s="17" t="n"/>
      <c r="C782" s="30" t="n">
        <v>46158</v>
      </c>
      <c r="D782" s="17" t="inlineStr">
        <is>
          <t>A国内</t>
        </is>
      </c>
      <c r="E782" s="17" t="inlineStr">
        <is>
          <t>DRYU9381826-202605</t>
        </is>
      </c>
      <c r="F782" s="17" t="inlineStr">
        <is>
          <t>楷博</t>
        </is>
      </c>
      <c r="G782" s="17" t="inlineStr">
        <is>
          <t>JH0710</t>
        </is>
      </c>
      <c r="H782" s="24">
        <f>IF($G782="","",IFERROR(VLOOKUP($G782,物料档案!$A$4:$P$1203,3,0),"※编码不在物料档案里"))</f>
        <v/>
      </c>
      <c r="I782" s="24">
        <f>IF($G782="","",IFERROR(VLOOKUP($G782,物料档案!$A$4:$P$1203,4,0),"※编码不在物料档案里"))</f>
        <v/>
      </c>
      <c r="J782" s="24">
        <f>IF($G782="","",IFERROR(VLOOKUP($G782,物料档案!$A$4:$P$1203,5,0),"※编码不在物料档案里"))</f>
        <v/>
      </c>
      <c r="K782" s="23" t="n">
        <v>3</v>
      </c>
      <c r="L782" s="31" t="n">
        <v>4100</v>
      </c>
      <c r="M782" s="24">
        <f>IF($G782="","",IF($D782="A国内","CNY","TZS"))</f>
        <v/>
      </c>
      <c r="N782" s="28">
        <f>IF($G782="","",IF($D782="A国内",汇率,1))</f>
        <v/>
      </c>
      <c r="O782" s="25">
        <f>IF($G782="","",ROUND(N($K782)*N($L782),2))</f>
        <v/>
      </c>
      <c r="P782" s="26">
        <f>IF($G782="","",ROUND($O782*$N782,0))</f>
        <v/>
      </c>
      <c r="Q782" s="26">
        <f>IF($G782="","",SUMIFS($P$4:$P$2503,$E$4:$E$2503,$E782,$Z$4:$Z$2503,"正常"))</f>
        <v/>
      </c>
      <c r="R782" s="26">
        <f>IF($G782="","",SUMIFS(费用台账!$I$4:$I$503,费用台账!$C$4:$C$503,$E782,费用台账!$J$4:$J$503,"是",费用台账!$K$4:$K$503,"正常"))</f>
        <v/>
      </c>
      <c r="S782" s="28">
        <f>IF($G782="","",COUNTIFS($E$4:$E$2503,$E782,$Z$4:$Z$2503,"正常",$Y$4:$Y$2503,"待补价"))</f>
        <v/>
      </c>
      <c r="T782" s="26">
        <f>IF($G782="","",SUMIFS($P$4:$P$2503,$E$4:$E$2503,$E782,$Z$4:$Z$2503,"正常",$A$4:$A$2503,"&lt;="&amp;$A782))</f>
        <v/>
      </c>
      <c r="U782" s="26">
        <f>IF($G782="","",IF(OR($S782&gt;0,$Q782=0,$R782=0,$Z782&lt;&gt;"正常"),0,ROUND($T782/$Q782*$R782,0)-ROUND(($T782-$P782)/$Q782*$R782,0)))</f>
        <v/>
      </c>
      <c r="V782" s="26">
        <f>IF($G782="","",ROUND($P782+$U782,0))</f>
        <v/>
      </c>
      <c r="W782" s="26">
        <f>IF($G782="","",IF(N($K782)=0,0,ROUND($V782/$K782,2)))</f>
        <v/>
      </c>
      <c r="X782" s="17" t="inlineStr">
        <is>
          <t>采购入库</t>
        </is>
      </c>
      <c r="Y782" s="17" t="inlineStr">
        <is>
          <t>正常</t>
        </is>
      </c>
      <c r="Z782" s="17" t="inlineStr">
        <is>
          <t>正常</t>
        </is>
      </c>
      <c r="AA782" s="17" t="n"/>
      <c r="AB782" s="17" t="inlineStr">
        <is>
          <t>原表第 790 行</t>
        </is>
      </c>
      <c r="AC782" s="24">
        <f>IF($G782="","",IF($H782="※编码不在物料档案里","※物料编码不在档案里",IF(N($K782)&lt;=0,"※入库数量要大于 0",IF(AND($C782&lt;&gt;"",$C782&lt;=结账锁),"※日期早于已结账截止日，不能再录",IF(AND($L782=0,$X782="正常"),"※没填单价，价格状态请选「待补价」",IF(AND($S782&gt;0,$R782&gt;0),"△本批有 "&amp;$S782&amp;" 行没单价，整批运费先挂账没摊",IF(AND($B782&lt;&gt;"",COUNTIF($B$4:$B$2503,$B782)&gt;1),"※入库单号重复","")))))))</f>
        <v/>
      </c>
    </row>
    <row r="783">
      <c r="A783" s="24">
        <f>IF($G783="","",COUNTA($G$4:$G783))</f>
        <v/>
      </c>
      <c r="B783" s="17" t="n"/>
      <c r="C783" s="30" t="n">
        <v>46158</v>
      </c>
      <c r="D783" s="17" t="inlineStr">
        <is>
          <t>A国内</t>
        </is>
      </c>
      <c r="E783" s="17" t="inlineStr">
        <is>
          <t>DRYU9381826-202605</t>
        </is>
      </c>
      <c r="F783" s="17" t="inlineStr">
        <is>
          <t>楷博</t>
        </is>
      </c>
      <c r="G783" s="17" t="inlineStr">
        <is>
          <t>JH0711</t>
        </is>
      </c>
      <c r="H783" s="24">
        <f>IF($G783="","",IFERROR(VLOOKUP($G783,物料档案!$A$4:$P$1203,3,0),"※编码不在物料档案里"))</f>
        <v/>
      </c>
      <c r="I783" s="24">
        <f>IF($G783="","",IFERROR(VLOOKUP($G783,物料档案!$A$4:$P$1203,4,0),"※编码不在物料档案里"))</f>
        <v/>
      </c>
      <c r="J783" s="24">
        <f>IF($G783="","",IFERROR(VLOOKUP($G783,物料档案!$A$4:$P$1203,5,0),"※编码不在物料档案里"))</f>
        <v/>
      </c>
      <c r="K783" s="23" t="n">
        <v>5</v>
      </c>
      <c r="L783" s="31" t="n">
        <v>270</v>
      </c>
      <c r="M783" s="24">
        <f>IF($G783="","",IF($D783="A国内","CNY","TZS"))</f>
        <v/>
      </c>
      <c r="N783" s="28">
        <f>IF($G783="","",IF($D783="A国内",汇率,1))</f>
        <v/>
      </c>
      <c r="O783" s="25">
        <f>IF($G783="","",ROUND(N($K783)*N($L783),2))</f>
        <v/>
      </c>
      <c r="P783" s="26">
        <f>IF($G783="","",ROUND($O783*$N783,0))</f>
        <v/>
      </c>
      <c r="Q783" s="26">
        <f>IF($G783="","",SUMIFS($P$4:$P$2503,$E$4:$E$2503,$E783,$Z$4:$Z$2503,"正常"))</f>
        <v/>
      </c>
      <c r="R783" s="26">
        <f>IF($G783="","",SUMIFS(费用台账!$I$4:$I$503,费用台账!$C$4:$C$503,$E783,费用台账!$J$4:$J$503,"是",费用台账!$K$4:$K$503,"正常"))</f>
        <v/>
      </c>
      <c r="S783" s="28">
        <f>IF($G783="","",COUNTIFS($E$4:$E$2503,$E783,$Z$4:$Z$2503,"正常",$Y$4:$Y$2503,"待补价"))</f>
        <v/>
      </c>
      <c r="T783" s="26">
        <f>IF($G783="","",SUMIFS($P$4:$P$2503,$E$4:$E$2503,$E783,$Z$4:$Z$2503,"正常",$A$4:$A$2503,"&lt;="&amp;$A783))</f>
        <v/>
      </c>
      <c r="U783" s="26">
        <f>IF($G783="","",IF(OR($S783&gt;0,$Q783=0,$R783=0,$Z783&lt;&gt;"正常"),0,ROUND($T783/$Q783*$R783,0)-ROUND(($T783-$P783)/$Q783*$R783,0)))</f>
        <v/>
      </c>
      <c r="V783" s="26">
        <f>IF($G783="","",ROUND($P783+$U783,0))</f>
        <v/>
      </c>
      <c r="W783" s="26">
        <f>IF($G783="","",IF(N($K783)=0,0,ROUND($V783/$K783,2)))</f>
        <v/>
      </c>
      <c r="X783" s="17" t="inlineStr">
        <is>
          <t>采购入库</t>
        </is>
      </c>
      <c r="Y783" s="17" t="inlineStr">
        <is>
          <t>正常</t>
        </is>
      </c>
      <c r="Z783" s="17" t="inlineStr">
        <is>
          <t>正常</t>
        </is>
      </c>
      <c r="AA783" s="17" t="n"/>
      <c r="AB783" s="17" t="inlineStr">
        <is>
          <t>原表第 791 行</t>
        </is>
      </c>
      <c r="AC783" s="24">
        <f>IF($G783="","",IF($H783="※编码不在物料档案里","※物料编码不在档案里",IF(N($K783)&lt;=0,"※入库数量要大于 0",IF(AND($C783&lt;&gt;"",$C783&lt;=结账锁),"※日期早于已结账截止日，不能再录",IF(AND($L783=0,$X783="正常"),"※没填单价，价格状态请选「待补价」",IF(AND($S783&gt;0,$R783&gt;0),"△本批有 "&amp;$S783&amp;" 行没单价，整批运费先挂账没摊",IF(AND($B783&lt;&gt;"",COUNTIF($B$4:$B$2503,$B783)&gt;1),"※入库单号重复","")))))))</f>
        <v/>
      </c>
    </row>
    <row r="784">
      <c r="A784" s="24">
        <f>IF($G784="","",COUNTA($G$4:$G784))</f>
        <v/>
      </c>
      <c r="B784" s="17" t="n"/>
      <c r="C784" s="30" t="n">
        <v>46158</v>
      </c>
      <c r="D784" s="17" t="inlineStr">
        <is>
          <t>A国内</t>
        </is>
      </c>
      <c r="E784" s="17" t="inlineStr">
        <is>
          <t>DRYU9381826-202605</t>
        </is>
      </c>
      <c r="F784" s="17" t="inlineStr">
        <is>
          <t>楷博</t>
        </is>
      </c>
      <c r="G784" s="17" t="inlineStr">
        <is>
          <t>JH0073</t>
        </is>
      </c>
      <c r="H784" s="24">
        <f>IF($G784="","",IFERROR(VLOOKUP($G784,物料档案!$A$4:$P$1203,3,0),"※编码不在物料档案里"))</f>
        <v/>
      </c>
      <c r="I784" s="24">
        <f>IF($G784="","",IFERROR(VLOOKUP($G784,物料档案!$A$4:$P$1203,4,0),"※编码不在物料档案里"))</f>
        <v/>
      </c>
      <c r="J784" s="24">
        <f>IF($G784="","",IFERROR(VLOOKUP($G784,物料档案!$A$4:$P$1203,5,0),"※编码不在物料档案里"))</f>
        <v/>
      </c>
      <c r="K784" s="23" t="n">
        <v>200</v>
      </c>
      <c r="L784" s="31" t="n">
        <v>0.7</v>
      </c>
      <c r="M784" s="24">
        <f>IF($G784="","",IF($D784="A国内","CNY","TZS"))</f>
        <v/>
      </c>
      <c r="N784" s="28">
        <f>IF($G784="","",IF($D784="A国内",汇率,1))</f>
        <v/>
      </c>
      <c r="O784" s="25">
        <f>IF($G784="","",ROUND(N($K784)*N($L784),2))</f>
        <v/>
      </c>
      <c r="P784" s="26">
        <f>IF($G784="","",ROUND($O784*$N784,0))</f>
        <v/>
      </c>
      <c r="Q784" s="26">
        <f>IF($G784="","",SUMIFS($P$4:$P$2503,$E$4:$E$2503,$E784,$Z$4:$Z$2503,"正常"))</f>
        <v/>
      </c>
      <c r="R784" s="26">
        <f>IF($G784="","",SUMIFS(费用台账!$I$4:$I$503,费用台账!$C$4:$C$503,$E784,费用台账!$J$4:$J$503,"是",费用台账!$K$4:$K$503,"正常"))</f>
        <v/>
      </c>
      <c r="S784" s="28">
        <f>IF($G784="","",COUNTIFS($E$4:$E$2503,$E784,$Z$4:$Z$2503,"正常",$Y$4:$Y$2503,"待补价"))</f>
        <v/>
      </c>
      <c r="T784" s="26">
        <f>IF($G784="","",SUMIFS($P$4:$P$2503,$E$4:$E$2503,$E784,$Z$4:$Z$2503,"正常",$A$4:$A$2503,"&lt;="&amp;$A784))</f>
        <v/>
      </c>
      <c r="U784" s="26">
        <f>IF($G784="","",IF(OR($S784&gt;0,$Q784=0,$R784=0,$Z784&lt;&gt;"正常"),0,ROUND($T784/$Q784*$R784,0)-ROUND(($T784-$P784)/$Q784*$R784,0)))</f>
        <v/>
      </c>
      <c r="V784" s="26">
        <f>IF($G784="","",ROUND($P784+$U784,0))</f>
        <v/>
      </c>
      <c r="W784" s="26">
        <f>IF($G784="","",IF(N($K784)=0,0,ROUND($V784/$K784,2)))</f>
        <v/>
      </c>
      <c r="X784" s="17" t="inlineStr">
        <is>
          <t>采购入库</t>
        </is>
      </c>
      <c r="Y784" s="17" t="inlineStr">
        <is>
          <t>正常</t>
        </is>
      </c>
      <c r="Z784" s="17" t="inlineStr">
        <is>
          <t>正常</t>
        </is>
      </c>
      <c r="AA784" s="17" t="n"/>
      <c r="AB784" s="17" t="inlineStr">
        <is>
          <t>原表第 792 行</t>
        </is>
      </c>
      <c r="AC784" s="24">
        <f>IF($G784="","",IF($H784="※编码不在物料档案里","※物料编码不在档案里",IF(N($K784)&lt;=0,"※入库数量要大于 0",IF(AND($C784&lt;&gt;"",$C784&lt;=结账锁),"※日期早于已结账截止日，不能再录",IF(AND($L784=0,$X784="正常"),"※没填单价，价格状态请选「待补价」",IF(AND($S784&gt;0,$R784&gt;0),"△本批有 "&amp;$S784&amp;" 行没单价，整批运费先挂账没摊",IF(AND($B784&lt;&gt;"",COUNTIF($B$4:$B$2503,$B784)&gt;1),"※入库单号重复","")))))))</f>
        <v/>
      </c>
    </row>
    <row r="785">
      <c r="A785" s="24">
        <f>IF($G785="","",COUNTA($G$4:$G785))</f>
        <v/>
      </c>
      <c r="B785" s="17" t="n"/>
      <c r="C785" s="30" t="n">
        <v>46158</v>
      </c>
      <c r="D785" s="17" t="inlineStr">
        <is>
          <t>A国内</t>
        </is>
      </c>
      <c r="E785" s="17" t="inlineStr">
        <is>
          <t>DRYU9381826-202605</t>
        </is>
      </c>
      <c r="F785" s="17" t="inlineStr">
        <is>
          <t>楷博</t>
        </is>
      </c>
      <c r="G785" s="17" t="inlineStr">
        <is>
          <t>JH0712</t>
        </is>
      </c>
      <c r="H785" s="24">
        <f>IF($G785="","",IFERROR(VLOOKUP($G785,物料档案!$A$4:$P$1203,3,0),"※编码不在物料档案里"))</f>
        <v/>
      </c>
      <c r="I785" s="24">
        <f>IF($G785="","",IFERROR(VLOOKUP($G785,物料档案!$A$4:$P$1203,4,0),"※编码不在物料档案里"))</f>
        <v/>
      </c>
      <c r="J785" s="24">
        <f>IF($G785="","",IFERROR(VLOOKUP($G785,物料档案!$A$4:$P$1203,5,0),"※编码不在物料档案里"))</f>
        <v/>
      </c>
      <c r="K785" s="23" t="n">
        <v>5</v>
      </c>
      <c r="L785" s="31" t="n">
        <v>58</v>
      </c>
      <c r="M785" s="24">
        <f>IF($G785="","",IF($D785="A国内","CNY","TZS"))</f>
        <v/>
      </c>
      <c r="N785" s="28">
        <f>IF($G785="","",IF($D785="A国内",汇率,1))</f>
        <v/>
      </c>
      <c r="O785" s="25">
        <f>IF($G785="","",ROUND(N($K785)*N($L785),2))</f>
        <v/>
      </c>
      <c r="P785" s="26">
        <f>IF($G785="","",ROUND($O785*$N785,0))</f>
        <v/>
      </c>
      <c r="Q785" s="26">
        <f>IF($G785="","",SUMIFS($P$4:$P$2503,$E$4:$E$2503,$E785,$Z$4:$Z$2503,"正常"))</f>
        <v/>
      </c>
      <c r="R785" s="26">
        <f>IF($G785="","",SUMIFS(费用台账!$I$4:$I$503,费用台账!$C$4:$C$503,$E785,费用台账!$J$4:$J$503,"是",费用台账!$K$4:$K$503,"正常"))</f>
        <v/>
      </c>
      <c r="S785" s="28">
        <f>IF($G785="","",COUNTIFS($E$4:$E$2503,$E785,$Z$4:$Z$2503,"正常",$Y$4:$Y$2503,"待补价"))</f>
        <v/>
      </c>
      <c r="T785" s="26">
        <f>IF($G785="","",SUMIFS($P$4:$P$2503,$E$4:$E$2503,$E785,$Z$4:$Z$2503,"正常",$A$4:$A$2503,"&lt;="&amp;$A785))</f>
        <v/>
      </c>
      <c r="U785" s="26">
        <f>IF($G785="","",IF(OR($S785&gt;0,$Q785=0,$R785=0,$Z785&lt;&gt;"正常"),0,ROUND($T785/$Q785*$R785,0)-ROUND(($T785-$P785)/$Q785*$R785,0)))</f>
        <v/>
      </c>
      <c r="V785" s="26">
        <f>IF($G785="","",ROUND($P785+$U785,0))</f>
        <v/>
      </c>
      <c r="W785" s="26">
        <f>IF($G785="","",IF(N($K785)=0,0,ROUND($V785/$K785,2)))</f>
        <v/>
      </c>
      <c r="X785" s="17" t="inlineStr">
        <is>
          <t>采购入库</t>
        </is>
      </c>
      <c r="Y785" s="17" t="inlineStr">
        <is>
          <t>正常</t>
        </is>
      </c>
      <c r="Z785" s="17" t="inlineStr">
        <is>
          <t>正常</t>
        </is>
      </c>
      <c r="AA785" s="17" t="n"/>
      <c r="AB785" s="17" t="inlineStr">
        <is>
          <t>原表第 793 行</t>
        </is>
      </c>
      <c r="AC785" s="24">
        <f>IF($G785="","",IF($H785="※编码不在物料档案里","※物料编码不在档案里",IF(N($K785)&lt;=0,"※入库数量要大于 0",IF(AND($C785&lt;&gt;"",$C785&lt;=结账锁),"※日期早于已结账截止日，不能再录",IF(AND($L785=0,$X785="正常"),"※没填单价，价格状态请选「待补价」",IF(AND($S785&gt;0,$R785&gt;0),"△本批有 "&amp;$S785&amp;" 行没单价，整批运费先挂账没摊",IF(AND($B785&lt;&gt;"",COUNTIF($B$4:$B$2503,$B785)&gt;1),"※入库单号重复","")))))))</f>
        <v/>
      </c>
    </row>
    <row r="786">
      <c r="A786" s="24">
        <f>IF($G786="","",COUNTA($G$4:$G786))</f>
        <v/>
      </c>
      <c r="B786" s="17" t="n"/>
      <c r="C786" s="30" t="n">
        <v>46158</v>
      </c>
      <c r="D786" s="17" t="inlineStr">
        <is>
          <t>A国内</t>
        </is>
      </c>
      <c r="E786" s="17" t="inlineStr">
        <is>
          <t>DRYU9381826-202605</t>
        </is>
      </c>
      <c r="F786" s="17" t="inlineStr">
        <is>
          <t>楷博</t>
        </is>
      </c>
      <c r="G786" s="17" t="inlineStr">
        <is>
          <t>JH0713</t>
        </is>
      </c>
      <c r="H786" s="24">
        <f>IF($G786="","",IFERROR(VLOOKUP($G786,物料档案!$A$4:$P$1203,3,0),"※编码不在物料档案里"))</f>
        <v/>
      </c>
      <c r="I786" s="24">
        <f>IF($G786="","",IFERROR(VLOOKUP($G786,物料档案!$A$4:$P$1203,4,0),"※编码不在物料档案里"))</f>
        <v/>
      </c>
      <c r="J786" s="24">
        <f>IF($G786="","",IFERROR(VLOOKUP($G786,物料档案!$A$4:$P$1203,5,0),"※编码不在物料档案里"))</f>
        <v/>
      </c>
      <c r="K786" s="23" t="n">
        <v>5</v>
      </c>
      <c r="L786" s="31" t="n">
        <v>75</v>
      </c>
      <c r="M786" s="24">
        <f>IF($G786="","",IF($D786="A国内","CNY","TZS"))</f>
        <v/>
      </c>
      <c r="N786" s="28">
        <f>IF($G786="","",IF($D786="A国内",汇率,1))</f>
        <v/>
      </c>
      <c r="O786" s="25">
        <f>IF($G786="","",ROUND(N($K786)*N($L786),2))</f>
        <v/>
      </c>
      <c r="P786" s="26">
        <f>IF($G786="","",ROUND($O786*$N786,0))</f>
        <v/>
      </c>
      <c r="Q786" s="26">
        <f>IF($G786="","",SUMIFS($P$4:$P$2503,$E$4:$E$2503,$E786,$Z$4:$Z$2503,"正常"))</f>
        <v/>
      </c>
      <c r="R786" s="26">
        <f>IF($G786="","",SUMIFS(费用台账!$I$4:$I$503,费用台账!$C$4:$C$503,$E786,费用台账!$J$4:$J$503,"是",费用台账!$K$4:$K$503,"正常"))</f>
        <v/>
      </c>
      <c r="S786" s="28">
        <f>IF($G786="","",COUNTIFS($E$4:$E$2503,$E786,$Z$4:$Z$2503,"正常",$Y$4:$Y$2503,"待补价"))</f>
        <v/>
      </c>
      <c r="T786" s="26">
        <f>IF($G786="","",SUMIFS($P$4:$P$2503,$E$4:$E$2503,$E786,$Z$4:$Z$2503,"正常",$A$4:$A$2503,"&lt;="&amp;$A786))</f>
        <v/>
      </c>
      <c r="U786" s="26">
        <f>IF($G786="","",IF(OR($S786&gt;0,$Q786=0,$R786=0,$Z786&lt;&gt;"正常"),0,ROUND($T786/$Q786*$R786,0)-ROUND(($T786-$P786)/$Q786*$R786,0)))</f>
        <v/>
      </c>
      <c r="V786" s="26">
        <f>IF($G786="","",ROUND($P786+$U786,0))</f>
        <v/>
      </c>
      <c r="W786" s="26">
        <f>IF($G786="","",IF(N($K786)=0,0,ROUND($V786/$K786,2)))</f>
        <v/>
      </c>
      <c r="X786" s="17" t="inlineStr">
        <is>
          <t>采购入库</t>
        </is>
      </c>
      <c r="Y786" s="17" t="inlineStr">
        <is>
          <t>正常</t>
        </is>
      </c>
      <c r="Z786" s="17" t="inlineStr">
        <is>
          <t>正常</t>
        </is>
      </c>
      <c r="AA786" s="17" t="n"/>
      <c r="AB786" s="17" t="inlineStr">
        <is>
          <t>原表第 794 行</t>
        </is>
      </c>
      <c r="AC786" s="24">
        <f>IF($G786="","",IF($H786="※编码不在物料档案里","※物料编码不在档案里",IF(N($K786)&lt;=0,"※入库数量要大于 0",IF(AND($C786&lt;&gt;"",$C786&lt;=结账锁),"※日期早于已结账截止日，不能再录",IF(AND($L786=0,$X786="正常"),"※没填单价，价格状态请选「待补价」",IF(AND($S786&gt;0,$R786&gt;0),"△本批有 "&amp;$S786&amp;" 行没单价，整批运费先挂账没摊",IF(AND($B786&lt;&gt;"",COUNTIF($B$4:$B$2503,$B786)&gt;1),"※入库单号重复","")))))))</f>
        <v/>
      </c>
    </row>
    <row r="787">
      <c r="A787" s="24">
        <f>IF($G787="","",COUNTA($G$4:$G787))</f>
        <v/>
      </c>
      <c r="B787" s="17" t="n"/>
      <c r="C787" s="30" t="n">
        <v>46158</v>
      </c>
      <c r="D787" s="17" t="inlineStr">
        <is>
          <t>A国内</t>
        </is>
      </c>
      <c r="E787" s="17" t="inlineStr">
        <is>
          <t>DRYU9381826-202605</t>
        </is>
      </c>
      <c r="F787" s="17" t="inlineStr">
        <is>
          <t>楷博</t>
        </is>
      </c>
      <c r="G787" s="17" t="inlineStr">
        <is>
          <t>JH0714</t>
        </is>
      </c>
      <c r="H787" s="24">
        <f>IF($G787="","",IFERROR(VLOOKUP($G787,物料档案!$A$4:$P$1203,3,0),"※编码不在物料档案里"))</f>
        <v/>
      </c>
      <c r="I787" s="24">
        <f>IF($G787="","",IFERROR(VLOOKUP($G787,物料档案!$A$4:$P$1203,4,0),"※编码不在物料档案里"))</f>
        <v/>
      </c>
      <c r="J787" s="24">
        <f>IF($G787="","",IFERROR(VLOOKUP($G787,物料档案!$A$4:$P$1203,5,0),"※编码不在物料档案里"))</f>
        <v/>
      </c>
      <c r="K787" s="23" t="n">
        <v>30</v>
      </c>
      <c r="L787" s="31" t="n">
        <v>8.5</v>
      </c>
      <c r="M787" s="24">
        <f>IF($G787="","",IF($D787="A国内","CNY","TZS"))</f>
        <v/>
      </c>
      <c r="N787" s="28">
        <f>IF($G787="","",IF($D787="A国内",汇率,1))</f>
        <v/>
      </c>
      <c r="O787" s="25">
        <f>IF($G787="","",ROUND(N($K787)*N($L787),2))</f>
        <v/>
      </c>
      <c r="P787" s="26">
        <f>IF($G787="","",ROUND($O787*$N787,0))</f>
        <v/>
      </c>
      <c r="Q787" s="26">
        <f>IF($G787="","",SUMIFS($P$4:$P$2503,$E$4:$E$2503,$E787,$Z$4:$Z$2503,"正常"))</f>
        <v/>
      </c>
      <c r="R787" s="26">
        <f>IF($G787="","",SUMIFS(费用台账!$I$4:$I$503,费用台账!$C$4:$C$503,$E787,费用台账!$J$4:$J$503,"是",费用台账!$K$4:$K$503,"正常"))</f>
        <v/>
      </c>
      <c r="S787" s="28">
        <f>IF($G787="","",COUNTIFS($E$4:$E$2503,$E787,$Z$4:$Z$2503,"正常",$Y$4:$Y$2503,"待补价"))</f>
        <v/>
      </c>
      <c r="T787" s="26">
        <f>IF($G787="","",SUMIFS($P$4:$P$2503,$E$4:$E$2503,$E787,$Z$4:$Z$2503,"正常",$A$4:$A$2503,"&lt;="&amp;$A787))</f>
        <v/>
      </c>
      <c r="U787" s="26">
        <f>IF($G787="","",IF(OR($S787&gt;0,$Q787=0,$R787=0,$Z787&lt;&gt;"正常"),0,ROUND($T787/$Q787*$R787,0)-ROUND(($T787-$P787)/$Q787*$R787,0)))</f>
        <v/>
      </c>
      <c r="V787" s="26">
        <f>IF($G787="","",ROUND($P787+$U787,0))</f>
        <v/>
      </c>
      <c r="W787" s="26">
        <f>IF($G787="","",IF(N($K787)=0,0,ROUND($V787/$K787,2)))</f>
        <v/>
      </c>
      <c r="X787" s="17" t="inlineStr">
        <is>
          <t>采购入库</t>
        </is>
      </c>
      <c r="Y787" s="17" t="inlineStr">
        <is>
          <t>正常</t>
        </is>
      </c>
      <c r="Z787" s="17" t="inlineStr">
        <is>
          <t>正常</t>
        </is>
      </c>
      <c r="AA787" s="17" t="n"/>
      <c r="AB787" s="17" t="inlineStr">
        <is>
          <t>原表第 795 行</t>
        </is>
      </c>
      <c r="AC787" s="24">
        <f>IF($G787="","",IF($H787="※编码不在物料档案里","※物料编码不在档案里",IF(N($K787)&lt;=0,"※入库数量要大于 0",IF(AND($C787&lt;&gt;"",$C787&lt;=结账锁),"※日期早于已结账截止日，不能再录",IF(AND($L787=0,$X787="正常"),"※没填单价，价格状态请选「待补价」",IF(AND($S787&gt;0,$R787&gt;0),"△本批有 "&amp;$S787&amp;" 行没单价，整批运费先挂账没摊",IF(AND($B787&lt;&gt;"",COUNTIF($B$4:$B$2503,$B787)&gt;1),"※入库单号重复","")))))))</f>
        <v/>
      </c>
    </row>
    <row r="788">
      <c r="A788" s="24">
        <f>IF($G788="","",COUNTA($G$4:$G788))</f>
        <v/>
      </c>
      <c r="B788" s="17" t="n"/>
      <c r="C788" s="30" t="n">
        <v>46158</v>
      </c>
      <c r="D788" s="17" t="inlineStr">
        <is>
          <t>A国内</t>
        </is>
      </c>
      <c r="E788" s="17" t="inlineStr">
        <is>
          <t>DRYU9381826-202605</t>
        </is>
      </c>
      <c r="F788" s="17" t="inlineStr">
        <is>
          <t>楷博</t>
        </is>
      </c>
      <c r="G788" s="17" t="inlineStr">
        <is>
          <t>JH0715</t>
        </is>
      </c>
      <c r="H788" s="24">
        <f>IF($G788="","",IFERROR(VLOOKUP($G788,物料档案!$A$4:$P$1203,3,0),"※编码不在物料档案里"))</f>
        <v/>
      </c>
      <c r="I788" s="24">
        <f>IF($G788="","",IFERROR(VLOOKUP($G788,物料档案!$A$4:$P$1203,4,0),"※编码不在物料档案里"))</f>
        <v/>
      </c>
      <c r="J788" s="24">
        <f>IF($G788="","",IFERROR(VLOOKUP($G788,物料档案!$A$4:$P$1203,5,0),"※编码不在物料档案里"))</f>
        <v/>
      </c>
      <c r="K788" s="23" t="n">
        <v>30</v>
      </c>
      <c r="L788" s="31" t="n">
        <v>12</v>
      </c>
      <c r="M788" s="24">
        <f>IF($G788="","",IF($D788="A国内","CNY","TZS"))</f>
        <v/>
      </c>
      <c r="N788" s="28">
        <f>IF($G788="","",IF($D788="A国内",汇率,1))</f>
        <v/>
      </c>
      <c r="O788" s="25">
        <f>IF($G788="","",ROUND(N($K788)*N($L788),2))</f>
        <v/>
      </c>
      <c r="P788" s="26">
        <f>IF($G788="","",ROUND($O788*$N788,0))</f>
        <v/>
      </c>
      <c r="Q788" s="26">
        <f>IF($G788="","",SUMIFS($P$4:$P$2503,$E$4:$E$2503,$E788,$Z$4:$Z$2503,"正常"))</f>
        <v/>
      </c>
      <c r="R788" s="26">
        <f>IF($G788="","",SUMIFS(费用台账!$I$4:$I$503,费用台账!$C$4:$C$503,$E788,费用台账!$J$4:$J$503,"是",费用台账!$K$4:$K$503,"正常"))</f>
        <v/>
      </c>
      <c r="S788" s="28">
        <f>IF($G788="","",COUNTIFS($E$4:$E$2503,$E788,$Z$4:$Z$2503,"正常",$Y$4:$Y$2503,"待补价"))</f>
        <v/>
      </c>
      <c r="T788" s="26">
        <f>IF($G788="","",SUMIFS($P$4:$P$2503,$E$4:$E$2503,$E788,$Z$4:$Z$2503,"正常",$A$4:$A$2503,"&lt;="&amp;$A788))</f>
        <v/>
      </c>
      <c r="U788" s="26">
        <f>IF($G788="","",IF(OR($S788&gt;0,$Q788=0,$R788=0,$Z788&lt;&gt;"正常"),0,ROUND($T788/$Q788*$R788,0)-ROUND(($T788-$P788)/$Q788*$R788,0)))</f>
        <v/>
      </c>
      <c r="V788" s="26">
        <f>IF($G788="","",ROUND($P788+$U788,0))</f>
        <v/>
      </c>
      <c r="W788" s="26">
        <f>IF($G788="","",IF(N($K788)=0,0,ROUND($V788/$K788,2)))</f>
        <v/>
      </c>
      <c r="X788" s="17" t="inlineStr">
        <is>
          <t>采购入库</t>
        </is>
      </c>
      <c r="Y788" s="17" t="inlineStr">
        <is>
          <t>正常</t>
        </is>
      </c>
      <c r="Z788" s="17" t="inlineStr">
        <is>
          <t>正常</t>
        </is>
      </c>
      <c r="AA788" s="17" t="n"/>
      <c r="AB788" s="17" t="inlineStr">
        <is>
          <t>原表第 796 行</t>
        </is>
      </c>
      <c r="AC788" s="24">
        <f>IF($G788="","",IF($H788="※编码不在物料档案里","※物料编码不在档案里",IF(N($K788)&lt;=0,"※入库数量要大于 0",IF(AND($C788&lt;&gt;"",$C788&lt;=结账锁),"※日期早于已结账截止日，不能再录",IF(AND($L788=0,$X788="正常"),"※没填单价，价格状态请选「待补价」",IF(AND($S788&gt;0,$R788&gt;0),"△本批有 "&amp;$S788&amp;" 行没单价，整批运费先挂账没摊",IF(AND($B788&lt;&gt;"",COUNTIF($B$4:$B$2503,$B788)&gt;1),"※入库单号重复","")))))))</f>
        <v/>
      </c>
    </row>
    <row r="789">
      <c r="A789" s="24">
        <f>IF($G789="","",COUNTA($G$4:$G789))</f>
        <v/>
      </c>
      <c r="B789" s="17" t="n"/>
      <c r="C789" s="30" t="n">
        <v>46158</v>
      </c>
      <c r="D789" s="17" t="inlineStr">
        <is>
          <t>A国内</t>
        </is>
      </c>
      <c r="E789" s="17" t="inlineStr">
        <is>
          <t>DRYU9381826-202605</t>
        </is>
      </c>
      <c r="F789" s="17" t="inlineStr">
        <is>
          <t>楷博</t>
        </is>
      </c>
      <c r="G789" s="17" t="inlineStr">
        <is>
          <t>JH0716</t>
        </is>
      </c>
      <c r="H789" s="24">
        <f>IF($G789="","",IFERROR(VLOOKUP($G789,物料档案!$A$4:$P$1203,3,0),"※编码不在物料档案里"))</f>
        <v/>
      </c>
      <c r="I789" s="24">
        <f>IF($G789="","",IFERROR(VLOOKUP($G789,物料档案!$A$4:$P$1203,4,0),"※编码不在物料档案里"))</f>
        <v/>
      </c>
      <c r="J789" s="24">
        <f>IF($G789="","",IFERROR(VLOOKUP($G789,物料档案!$A$4:$P$1203,5,0),"※编码不在物料档案里"))</f>
        <v/>
      </c>
      <c r="K789" s="23" t="n">
        <v>5</v>
      </c>
      <c r="L789" s="31" t="n">
        <v>630</v>
      </c>
      <c r="M789" s="24">
        <f>IF($G789="","",IF($D789="A国内","CNY","TZS"))</f>
        <v/>
      </c>
      <c r="N789" s="28">
        <f>IF($G789="","",IF($D789="A国内",汇率,1))</f>
        <v/>
      </c>
      <c r="O789" s="25">
        <f>IF($G789="","",ROUND(N($K789)*N($L789),2))</f>
        <v/>
      </c>
      <c r="P789" s="26">
        <f>IF($G789="","",ROUND($O789*$N789,0))</f>
        <v/>
      </c>
      <c r="Q789" s="26">
        <f>IF($G789="","",SUMIFS($P$4:$P$2503,$E$4:$E$2503,$E789,$Z$4:$Z$2503,"正常"))</f>
        <v/>
      </c>
      <c r="R789" s="26">
        <f>IF($G789="","",SUMIFS(费用台账!$I$4:$I$503,费用台账!$C$4:$C$503,$E789,费用台账!$J$4:$J$503,"是",费用台账!$K$4:$K$503,"正常"))</f>
        <v/>
      </c>
      <c r="S789" s="28">
        <f>IF($G789="","",COUNTIFS($E$4:$E$2503,$E789,$Z$4:$Z$2503,"正常",$Y$4:$Y$2503,"待补价"))</f>
        <v/>
      </c>
      <c r="T789" s="26">
        <f>IF($G789="","",SUMIFS($P$4:$P$2503,$E$4:$E$2503,$E789,$Z$4:$Z$2503,"正常",$A$4:$A$2503,"&lt;="&amp;$A789))</f>
        <v/>
      </c>
      <c r="U789" s="26">
        <f>IF($G789="","",IF(OR($S789&gt;0,$Q789=0,$R789=0,$Z789&lt;&gt;"正常"),0,ROUND($T789/$Q789*$R789,0)-ROUND(($T789-$P789)/$Q789*$R789,0)))</f>
        <v/>
      </c>
      <c r="V789" s="26">
        <f>IF($G789="","",ROUND($P789+$U789,0))</f>
        <v/>
      </c>
      <c r="W789" s="26">
        <f>IF($G789="","",IF(N($K789)=0,0,ROUND($V789/$K789,2)))</f>
        <v/>
      </c>
      <c r="X789" s="17" t="inlineStr">
        <is>
          <t>采购入库</t>
        </is>
      </c>
      <c r="Y789" s="17" t="inlineStr">
        <is>
          <t>正常</t>
        </is>
      </c>
      <c r="Z789" s="17" t="inlineStr">
        <is>
          <t>正常</t>
        </is>
      </c>
      <c r="AA789" s="17" t="n"/>
      <c r="AB789" s="17" t="inlineStr">
        <is>
          <t>原表第 797 行</t>
        </is>
      </c>
      <c r="AC789" s="24">
        <f>IF($G789="","",IF($H789="※编码不在物料档案里","※物料编码不在档案里",IF(N($K789)&lt;=0,"※入库数量要大于 0",IF(AND($C789&lt;&gt;"",$C789&lt;=结账锁),"※日期早于已结账截止日，不能再录",IF(AND($L789=0,$X789="正常"),"※没填单价，价格状态请选「待补价」",IF(AND($S789&gt;0,$R789&gt;0),"△本批有 "&amp;$S789&amp;" 行没单价，整批运费先挂账没摊",IF(AND($B789&lt;&gt;"",COUNTIF($B$4:$B$2503,$B789)&gt;1),"※入库单号重复","")))))))</f>
        <v/>
      </c>
    </row>
    <row r="790">
      <c r="A790" s="24">
        <f>IF($G790="","",COUNTA($G$4:$G790))</f>
        <v/>
      </c>
      <c r="B790" s="17" t="n"/>
      <c r="C790" s="30" t="n">
        <v>46158</v>
      </c>
      <c r="D790" s="17" t="inlineStr">
        <is>
          <t>A国内</t>
        </is>
      </c>
      <c r="E790" s="17" t="inlineStr">
        <is>
          <t>DRYU9381826-202605</t>
        </is>
      </c>
      <c r="F790" s="17" t="inlineStr">
        <is>
          <t>（自带两个）楷博</t>
        </is>
      </c>
      <c r="G790" s="17" t="inlineStr">
        <is>
          <t>JH0717</t>
        </is>
      </c>
      <c r="H790" s="24">
        <f>IF($G790="","",IFERROR(VLOOKUP($G790,物料档案!$A$4:$P$1203,3,0),"※编码不在物料档案里"))</f>
        <v/>
      </c>
      <c r="I790" s="24">
        <f>IF($G790="","",IFERROR(VLOOKUP($G790,物料档案!$A$4:$P$1203,4,0),"※编码不在物料档案里"))</f>
        <v/>
      </c>
      <c r="J790" s="24">
        <f>IF($G790="","",IFERROR(VLOOKUP($G790,物料档案!$A$4:$P$1203,5,0),"※编码不在物料档案里"))</f>
        <v/>
      </c>
      <c r="K790" s="23" t="n">
        <v>7</v>
      </c>
      <c r="L790" s="31" t="n">
        <v>234</v>
      </c>
      <c r="M790" s="24">
        <f>IF($G790="","",IF($D790="A国内","CNY","TZS"))</f>
        <v/>
      </c>
      <c r="N790" s="28">
        <f>IF($G790="","",IF($D790="A国内",汇率,1))</f>
        <v/>
      </c>
      <c r="O790" s="25">
        <f>IF($G790="","",ROUND(N($K790)*N($L790),2))</f>
        <v/>
      </c>
      <c r="P790" s="26">
        <f>IF($G790="","",ROUND($O790*$N790,0))</f>
        <v/>
      </c>
      <c r="Q790" s="26">
        <f>IF($G790="","",SUMIFS($P$4:$P$2503,$E$4:$E$2503,$E790,$Z$4:$Z$2503,"正常"))</f>
        <v/>
      </c>
      <c r="R790" s="26">
        <f>IF($G790="","",SUMIFS(费用台账!$I$4:$I$503,费用台账!$C$4:$C$503,$E790,费用台账!$J$4:$J$503,"是",费用台账!$K$4:$K$503,"正常"))</f>
        <v/>
      </c>
      <c r="S790" s="28">
        <f>IF($G790="","",COUNTIFS($E$4:$E$2503,$E790,$Z$4:$Z$2503,"正常",$Y$4:$Y$2503,"待补价"))</f>
        <v/>
      </c>
      <c r="T790" s="26">
        <f>IF($G790="","",SUMIFS($P$4:$P$2503,$E$4:$E$2503,$E790,$Z$4:$Z$2503,"正常",$A$4:$A$2503,"&lt;="&amp;$A790))</f>
        <v/>
      </c>
      <c r="U790" s="26">
        <f>IF($G790="","",IF(OR($S790&gt;0,$Q790=0,$R790=0,$Z790&lt;&gt;"正常"),0,ROUND($T790/$Q790*$R790,0)-ROUND(($T790-$P790)/$Q790*$R790,0)))</f>
        <v/>
      </c>
      <c r="V790" s="26">
        <f>IF($G790="","",ROUND($P790+$U790,0))</f>
        <v/>
      </c>
      <c r="W790" s="26">
        <f>IF($G790="","",IF(N($K790)=0,0,ROUND($V790/$K790,2)))</f>
        <v/>
      </c>
      <c r="X790" s="17" t="inlineStr">
        <is>
          <t>采购入库</t>
        </is>
      </c>
      <c r="Y790" s="17" t="inlineStr">
        <is>
          <t>正常</t>
        </is>
      </c>
      <c r="Z790" s="17" t="inlineStr">
        <is>
          <t>正常</t>
        </is>
      </c>
      <c r="AA790" s="17" t="n"/>
      <c r="AB790" s="17" t="inlineStr">
        <is>
          <t>原表第 798 行</t>
        </is>
      </c>
      <c r="AC790" s="24">
        <f>IF($G790="","",IF($H790="※编码不在物料档案里","※物料编码不在档案里",IF(N($K790)&lt;=0,"※入库数量要大于 0",IF(AND($C790&lt;&gt;"",$C790&lt;=结账锁),"※日期早于已结账截止日，不能再录",IF(AND($L790=0,$X790="正常"),"※没填单价，价格状态请选「待补价」",IF(AND($S790&gt;0,$R790&gt;0),"△本批有 "&amp;$S790&amp;" 行没单价，整批运费先挂账没摊",IF(AND($B790&lt;&gt;"",COUNTIF($B$4:$B$2503,$B790)&gt;1),"※入库单号重复","")))))))</f>
        <v/>
      </c>
    </row>
    <row r="791">
      <c r="A791" s="24">
        <f>IF($G791="","",COUNTA($G$4:$G791))</f>
        <v/>
      </c>
      <c r="B791" s="17" t="n"/>
      <c r="C791" s="30" t="n">
        <v>46158</v>
      </c>
      <c r="D791" s="17" t="inlineStr">
        <is>
          <t>A国内</t>
        </is>
      </c>
      <c r="E791" s="17" t="inlineStr">
        <is>
          <t>DRYU9381826-202605</t>
        </is>
      </c>
      <c r="F791" s="17" t="inlineStr">
        <is>
          <t>楷博</t>
        </is>
      </c>
      <c r="G791" s="17" t="inlineStr">
        <is>
          <t>JH0718</t>
        </is>
      </c>
      <c r="H791" s="24">
        <f>IF($G791="","",IFERROR(VLOOKUP($G791,物料档案!$A$4:$P$1203,3,0),"※编码不在物料档案里"))</f>
        <v/>
      </c>
      <c r="I791" s="24">
        <f>IF($G791="","",IFERROR(VLOOKUP($G791,物料档案!$A$4:$P$1203,4,0),"※编码不在物料档案里"))</f>
        <v/>
      </c>
      <c r="J791" s="24">
        <f>IF($G791="","",IFERROR(VLOOKUP($G791,物料档案!$A$4:$P$1203,5,0),"※编码不在物料档案里"))</f>
        <v/>
      </c>
      <c r="K791" s="23" t="n">
        <v>30</v>
      </c>
      <c r="L791" s="31" t="n">
        <v>3.5</v>
      </c>
      <c r="M791" s="24">
        <f>IF($G791="","",IF($D791="A国内","CNY","TZS"))</f>
        <v/>
      </c>
      <c r="N791" s="28">
        <f>IF($G791="","",IF($D791="A国内",汇率,1))</f>
        <v/>
      </c>
      <c r="O791" s="25">
        <f>IF($G791="","",ROUND(N($K791)*N($L791),2))</f>
        <v/>
      </c>
      <c r="P791" s="26">
        <f>IF($G791="","",ROUND($O791*$N791,0))</f>
        <v/>
      </c>
      <c r="Q791" s="26">
        <f>IF($G791="","",SUMIFS($P$4:$P$2503,$E$4:$E$2503,$E791,$Z$4:$Z$2503,"正常"))</f>
        <v/>
      </c>
      <c r="R791" s="26">
        <f>IF($G791="","",SUMIFS(费用台账!$I$4:$I$503,费用台账!$C$4:$C$503,$E791,费用台账!$J$4:$J$503,"是",费用台账!$K$4:$K$503,"正常"))</f>
        <v/>
      </c>
      <c r="S791" s="28">
        <f>IF($G791="","",COUNTIFS($E$4:$E$2503,$E791,$Z$4:$Z$2503,"正常",$Y$4:$Y$2503,"待补价"))</f>
        <v/>
      </c>
      <c r="T791" s="26">
        <f>IF($G791="","",SUMIFS($P$4:$P$2503,$E$4:$E$2503,$E791,$Z$4:$Z$2503,"正常",$A$4:$A$2503,"&lt;="&amp;$A791))</f>
        <v/>
      </c>
      <c r="U791" s="26">
        <f>IF($G791="","",IF(OR($S791&gt;0,$Q791=0,$R791=0,$Z791&lt;&gt;"正常"),0,ROUND($T791/$Q791*$R791,0)-ROUND(($T791-$P791)/$Q791*$R791,0)))</f>
        <v/>
      </c>
      <c r="V791" s="26">
        <f>IF($G791="","",ROUND($P791+$U791,0))</f>
        <v/>
      </c>
      <c r="W791" s="26">
        <f>IF($G791="","",IF(N($K791)=0,0,ROUND($V791/$K791,2)))</f>
        <v/>
      </c>
      <c r="X791" s="17" t="inlineStr">
        <is>
          <t>采购入库</t>
        </is>
      </c>
      <c r="Y791" s="17" t="inlineStr">
        <is>
          <t>正常</t>
        </is>
      </c>
      <c r="Z791" s="17" t="inlineStr">
        <is>
          <t>正常</t>
        </is>
      </c>
      <c r="AA791" s="17" t="n"/>
      <c r="AB791" s="17" t="inlineStr">
        <is>
          <t>原表第 799 行</t>
        </is>
      </c>
      <c r="AC791" s="24">
        <f>IF($G791="","",IF($H791="※编码不在物料档案里","※物料编码不在档案里",IF(N($K791)&lt;=0,"※入库数量要大于 0",IF(AND($C791&lt;&gt;"",$C791&lt;=结账锁),"※日期早于已结账截止日，不能再录",IF(AND($L791=0,$X791="正常"),"※没填单价，价格状态请选「待补价」",IF(AND($S791&gt;0,$R791&gt;0),"△本批有 "&amp;$S791&amp;" 行没单价，整批运费先挂账没摊",IF(AND($B791&lt;&gt;"",COUNTIF($B$4:$B$2503,$B791)&gt;1),"※入库单号重复","")))))))</f>
        <v/>
      </c>
    </row>
    <row r="792">
      <c r="A792" s="24">
        <f>IF($G792="","",COUNTA($G$4:$G792))</f>
        <v/>
      </c>
      <c r="B792" s="17" t="n"/>
      <c r="C792" s="30" t="n">
        <v>46158</v>
      </c>
      <c r="D792" s="17" t="inlineStr">
        <is>
          <t>A国内</t>
        </is>
      </c>
      <c r="E792" s="17" t="inlineStr">
        <is>
          <t>DRYU9381826-202605</t>
        </is>
      </c>
      <c r="F792" s="17" t="inlineStr">
        <is>
          <t>楷博</t>
        </is>
      </c>
      <c r="G792" s="17" t="inlineStr">
        <is>
          <t>JH0719</t>
        </is>
      </c>
      <c r="H792" s="24">
        <f>IF($G792="","",IFERROR(VLOOKUP($G792,物料档案!$A$4:$P$1203,3,0),"※编码不在物料档案里"))</f>
        <v/>
      </c>
      <c r="I792" s="24">
        <f>IF($G792="","",IFERROR(VLOOKUP($G792,物料档案!$A$4:$P$1203,4,0),"※编码不在物料档案里"))</f>
        <v/>
      </c>
      <c r="J792" s="24">
        <f>IF($G792="","",IFERROR(VLOOKUP($G792,物料档案!$A$4:$P$1203,5,0),"※编码不在物料档案里"))</f>
        <v/>
      </c>
      <c r="K792" s="23" t="n">
        <v>200</v>
      </c>
      <c r="L792" s="31" t="n">
        <v>95</v>
      </c>
      <c r="M792" s="24">
        <f>IF($G792="","",IF($D792="A国内","CNY","TZS"))</f>
        <v/>
      </c>
      <c r="N792" s="28">
        <f>IF($G792="","",IF($D792="A国内",汇率,1))</f>
        <v/>
      </c>
      <c r="O792" s="25">
        <f>IF($G792="","",ROUND(N($K792)*N($L792),2))</f>
        <v/>
      </c>
      <c r="P792" s="26">
        <f>IF($G792="","",ROUND($O792*$N792,0))</f>
        <v/>
      </c>
      <c r="Q792" s="26">
        <f>IF($G792="","",SUMIFS($P$4:$P$2503,$E$4:$E$2503,$E792,$Z$4:$Z$2503,"正常"))</f>
        <v/>
      </c>
      <c r="R792" s="26">
        <f>IF($G792="","",SUMIFS(费用台账!$I$4:$I$503,费用台账!$C$4:$C$503,$E792,费用台账!$J$4:$J$503,"是",费用台账!$K$4:$K$503,"正常"))</f>
        <v/>
      </c>
      <c r="S792" s="28">
        <f>IF($G792="","",COUNTIFS($E$4:$E$2503,$E792,$Z$4:$Z$2503,"正常",$Y$4:$Y$2503,"待补价"))</f>
        <v/>
      </c>
      <c r="T792" s="26">
        <f>IF($G792="","",SUMIFS($P$4:$P$2503,$E$4:$E$2503,$E792,$Z$4:$Z$2503,"正常",$A$4:$A$2503,"&lt;="&amp;$A792))</f>
        <v/>
      </c>
      <c r="U792" s="26">
        <f>IF($G792="","",IF(OR($S792&gt;0,$Q792=0,$R792=0,$Z792&lt;&gt;"正常"),0,ROUND($T792/$Q792*$R792,0)-ROUND(($T792-$P792)/$Q792*$R792,0)))</f>
        <v/>
      </c>
      <c r="V792" s="26">
        <f>IF($G792="","",ROUND($P792+$U792,0))</f>
        <v/>
      </c>
      <c r="W792" s="26">
        <f>IF($G792="","",IF(N($K792)=0,0,ROUND($V792/$K792,2)))</f>
        <v/>
      </c>
      <c r="X792" s="17" t="inlineStr">
        <is>
          <t>采购入库</t>
        </is>
      </c>
      <c r="Y792" s="17" t="inlineStr">
        <is>
          <t>正常</t>
        </is>
      </c>
      <c r="Z792" s="17" t="inlineStr">
        <is>
          <t>正常</t>
        </is>
      </c>
      <c r="AA792" s="17" t="n"/>
      <c r="AB792" s="17" t="inlineStr">
        <is>
          <t>原表第 800 行</t>
        </is>
      </c>
      <c r="AC792" s="24">
        <f>IF($G792="","",IF($H792="※编码不在物料档案里","※物料编码不在档案里",IF(N($K792)&lt;=0,"※入库数量要大于 0",IF(AND($C792&lt;&gt;"",$C792&lt;=结账锁),"※日期早于已结账截止日，不能再录",IF(AND($L792=0,$X792="正常"),"※没填单价，价格状态请选「待补价」",IF(AND($S792&gt;0,$R792&gt;0),"△本批有 "&amp;$S792&amp;" 行没单价，整批运费先挂账没摊",IF(AND($B792&lt;&gt;"",COUNTIF($B$4:$B$2503,$B792)&gt;1),"※入库单号重复","")))))))</f>
        <v/>
      </c>
    </row>
    <row r="793">
      <c r="A793" s="24">
        <f>IF($G793="","",COUNTA($G$4:$G793))</f>
        <v/>
      </c>
      <c r="B793" s="17" t="n"/>
      <c r="C793" s="30" t="n">
        <v>46158</v>
      </c>
      <c r="D793" s="17" t="inlineStr">
        <is>
          <t>A国内</t>
        </is>
      </c>
      <c r="E793" s="17" t="inlineStr">
        <is>
          <t>DRYU9381826-202605</t>
        </is>
      </c>
      <c r="F793" s="17" t="inlineStr">
        <is>
          <t>楷博</t>
        </is>
      </c>
      <c r="G793" s="17" t="inlineStr">
        <is>
          <t>JH0720</t>
        </is>
      </c>
      <c r="H793" s="24">
        <f>IF($G793="","",IFERROR(VLOOKUP($G793,物料档案!$A$4:$P$1203,3,0),"※编码不在物料档案里"))</f>
        <v/>
      </c>
      <c r="I793" s="24">
        <f>IF($G793="","",IFERROR(VLOOKUP($G793,物料档案!$A$4:$P$1203,4,0),"※编码不在物料档案里"))</f>
        <v/>
      </c>
      <c r="J793" s="24">
        <f>IF($G793="","",IFERROR(VLOOKUP($G793,物料档案!$A$4:$P$1203,5,0),"※编码不在物料档案里"))</f>
        <v/>
      </c>
      <c r="K793" s="23" t="n">
        <v>300</v>
      </c>
      <c r="L793" s="31" t="n">
        <v>7</v>
      </c>
      <c r="M793" s="24">
        <f>IF($G793="","",IF($D793="A国内","CNY","TZS"))</f>
        <v/>
      </c>
      <c r="N793" s="28">
        <f>IF($G793="","",IF($D793="A国内",汇率,1))</f>
        <v/>
      </c>
      <c r="O793" s="25">
        <f>IF($G793="","",ROUND(N($K793)*N($L793),2))</f>
        <v/>
      </c>
      <c r="P793" s="26">
        <f>IF($G793="","",ROUND($O793*$N793,0))</f>
        <v/>
      </c>
      <c r="Q793" s="26">
        <f>IF($G793="","",SUMIFS($P$4:$P$2503,$E$4:$E$2503,$E793,$Z$4:$Z$2503,"正常"))</f>
        <v/>
      </c>
      <c r="R793" s="26">
        <f>IF($G793="","",SUMIFS(费用台账!$I$4:$I$503,费用台账!$C$4:$C$503,$E793,费用台账!$J$4:$J$503,"是",费用台账!$K$4:$K$503,"正常"))</f>
        <v/>
      </c>
      <c r="S793" s="28">
        <f>IF($G793="","",COUNTIFS($E$4:$E$2503,$E793,$Z$4:$Z$2503,"正常",$Y$4:$Y$2503,"待补价"))</f>
        <v/>
      </c>
      <c r="T793" s="26">
        <f>IF($G793="","",SUMIFS($P$4:$P$2503,$E$4:$E$2503,$E793,$Z$4:$Z$2503,"正常",$A$4:$A$2503,"&lt;="&amp;$A793))</f>
        <v/>
      </c>
      <c r="U793" s="26">
        <f>IF($G793="","",IF(OR($S793&gt;0,$Q793=0,$R793=0,$Z793&lt;&gt;"正常"),0,ROUND($T793/$Q793*$R793,0)-ROUND(($T793-$P793)/$Q793*$R793,0)))</f>
        <v/>
      </c>
      <c r="V793" s="26">
        <f>IF($G793="","",ROUND($P793+$U793,0))</f>
        <v/>
      </c>
      <c r="W793" s="26">
        <f>IF($G793="","",IF(N($K793)=0,0,ROUND($V793/$K793,2)))</f>
        <v/>
      </c>
      <c r="X793" s="17" t="inlineStr">
        <is>
          <t>采购入库</t>
        </is>
      </c>
      <c r="Y793" s="17" t="inlineStr">
        <is>
          <t>正常</t>
        </is>
      </c>
      <c r="Z793" s="17" t="inlineStr">
        <is>
          <t>正常</t>
        </is>
      </c>
      <c r="AA793" s="17" t="n"/>
      <c r="AB793" s="17" t="inlineStr">
        <is>
          <t>原表第 801 行</t>
        </is>
      </c>
      <c r="AC793" s="24">
        <f>IF($G793="","",IF($H793="※编码不在物料档案里","※物料编码不在档案里",IF(N($K793)&lt;=0,"※入库数量要大于 0",IF(AND($C793&lt;&gt;"",$C793&lt;=结账锁),"※日期早于已结账截止日，不能再录",IF(AND($L793=0,$X793="正常"),"※没填单价，价格状态请选「待补价」",IF(AND($S793&gt;0,$R793&gt;0),"△本批有 "&amp;$S793&amp;" 行没单价，整批运费先挂账没摊",IF(AND($B793&lt;&gt;"",COUNTIF($B$4:$B$2503,$B793)&gt;1),"※入库单号重复","")))))))</f>
        <v/>
      </c>
    </row>
    <row r="794">
      <c r="A794" s="24">
        <f>IF($G794="","",COUNTA($G$4:$G794))</f>
        <v/>
      </c>
      <c r="B794" s="17" t="n"/>
      <c r="C794" s="30" t="n">
        <v>46158</v>
      </c>
      <c r="D794" s="17" t="inlineStr">
        <is>
          <t>A国内</t>
        </is>
      </c>
      <c r="E794" s="17" t="inlineStr">
        <is>
          <t>DRYU9381826-202605</t>
        </is>
      </c>
      <c r="F794" s="17" t="inlineStr">
        <is>
          <t>楷博</t>
        </is>
      </c>
      <c r="G794" s="17" t="inlineStr">
        <is>
          <t>JH0721</t>
        </is>
      </c>
      <c r="H794" s="24">
        <f>IF($G794="","",IFERROR(VLOOKUP($G794,物料档案!$A$4:$P$1203,3,0),"※编码不在物料档案里"))</f>
        <v/>
      </c>
      <c r="I794" s="24">
        <f>IF($G794="","",IFERROR(VLOOKUP($G794,物料档案!$A$4:$P$1203,4,0),"※编码不在物料档案里"))</f>
        <v/>
      </c>
      <c r="J794" s="24">
        <f>IF($G794="","",IFERROR(VLOOKUP($G794,物料档案!$A$4:$P$1203,5,0),"※编码不在物料档案里"))</f>
        <v/>
      </c>
      <c r="K794" s="23" t="n">
        <v>3</v>
      </c>
      <c r="L794" s="31" t="n">
        <v>235</v>
      </c>
      <c r="M794" s="24">
        <f>IF($G794="","",IF($D794="A国内","CNY","TZS"))</f>
        <v/>
      </c>
      <c r="N794" s="28">
        <f>IF($G794="","",IF($D794="A国内",汇率,1))</f>
        <v/>
      </c>
      <c r="O794" s="25">
        <f>IF($G794="","",ROUND(N($K794)*N($L794),2))</f>
        <v/>
      </c>
      <c r="P794" s="26">
        <f>IF($G794="","",ROUND($O794*$N794,0))</f>
        <v/>
      </c>
      <c r="Q794" s="26">
        <f>IF($G794="","",SUMIFS($P$4:$P$2503,$E$4:$E$2503,$E794,$Z$4:$Z$2503,"正常"))</f>
        <v/>
      </c>
      <c r="R794" s="26">
        <f>IF($G794="","",SUMIFS(费用台账!$I$4:$I$503,费用台账!$C$4:$C$503,$E794,费用台账!$J$4:$J$503,"是",费用台账!$K$4:$K$503,"正常"))</f>
        <v/>
      </c>
      <c r="S794" s="28">
        <f>IF($G794="","",COUNTIFS($E$4:$E$2503,$E794,$Z$4:$Z$2503,"正常",$Y$4:$Y$2503,"待补价"))</f>
        <v/>
      </c>
      <c r="T794" s="26">
        <f>IF($G794="","",SUMIFS($P$4:$P$2503,$E$4:$E$2503,$E794,$Z$4:$Z$2503,"正常",$A$4:$A$2503,"&lt;="&amp;$A794))</f>
        <v/>
      </c>
      <c r="U794" s="26">
        <f>IF($G794="","",IF(OR($S794&gt;0,$Q794=0,$R794=0,$Z794&lt;&gt;"正常"),0,ROUND($T794/$Q794*$R794,0)-ROUND(($T794-$P794)/$Q794*$R794,0)))</f>
        <v/>
      </c>
      <c r="V794" s="26">
        <f>IF($G794="","",ROUND($P794+$U794,0))</f>
        <v/>
      </c>
      <c r="W794" s="26">
        <f>IF($G794="","",IF(N($K794)=0,0,ROUND($V794/$K794,2)))</f>
        <v/>
      </c>
      <c r="X794" s="17" t="inlineStr">
        <is>
          <t>采购入库</t>
        </is>
      </c>
      <c r="Y794" s="17" t="inlineStr">
        <is>
          <t>正常</t>
        </is>
      </c>
      <c r="Z794" s="17" t="inlineStr">
        <is>
          <t>正常</t>
        </is>
      </c>
      <c r="AA794" s="17" t="n"/>
      <c r="AB794" s="17" t="inlineStr">
        <is>
          <t>原表第 802 行</t>
        </is>
      </c>
      <c r="AC794" s="24">
        <f>IF($G794="","",IF($H794="※编码不在物料档案里","※物料编码不在档案里",IF(N($K794)&lt;=0,"※入库数量要大于 0",IF(AND($C794&lt;&gt;"",$C794&lt;=结账锁),"※日期早于已结账截止日，不能再录",IF(AND($L794=0,$X794="正常"),"※没填单价，价格状态请选「待补价」",IF(AND($S794&gt;0,$R794&gt;0),"△本批有 "&amp;$S794&amp;" 行没单价，整批运费先挂账没摊",IF(AND($B794&lt;&gt;"",COUNTIF($B$4:$B$2503,$B794)&gt;1),"※入库单号重复","")))))))</f>
        <v/>
      </c>
    </row>
    <row r="795">
      <c r="A795" s="24">
        <f>IF($G795="","",COUNTA($G$4:$G795))</f>
        <v/>
      </c>
      <c r="B795" s="17" t="n"/>
      <c r="C795" s="30" t="n">
        <v>46158</v>
      </c>
      <c r="D795" s="17" t="inlineStr">
        <is>
          <t>A国内</t>
        </is>
      </c>
      <c r="E795" s="17" t="inlineStr">
        <is>
          <t>DRYU9381826-202605</t>
        </is>
      </c>
      <c r="F795" s="17" t="inlineStr">
        <is>
          <t>楷博</t>
        </is>
      </c>
      <c r="G795" s="17" t="inlineStr">
        <is>
          <t>JH0722</t>
        </is>
      </c>
      <c r="H795" s="24">
        <f>IF($G795="","",IFERROR(VLOOKUP($G795,物料档案!$A$4:$P$1203,3,0),"※编码不在物料档案里"))</f>
        <v/>
      </c>
      <c r="I795" s="24">
        <f>IF($G795="","",IFERROR(VLOOKUP($G795,物料档案!$A$4:$P$1203,4,0),"※编码不在物料档案里"))</f>
        <v/>
      </c>
      <c r="J795" s="24">
        <f>IF($G795="","",IFERROR(VLOOKUP($G795,物料档案!$A$4:$P$1203,5,0),"※编码不在物料档案里"))</f>
        <v/>
      </c>
      <c r="K795" s="23" t="n">
        <v>1</v>
      </c>
      <c r="L795" s="31" t="n">
        <v>360</v>
      </c>
      <c r="M795" s="24">
        <f>IF($G795="","",IF($D795="A国内","CNY","TZS"))</f>
        <v/>
      </c>
      <c r="N795" s="28">
        <f>IF($G795="","",IF($D795="A国内",汇率,1))</f>
        <v/>
      </c>
      <c r="O795" s="25">
        <f>IF($G795="","",ROUND(N($K795)*N($L795),2))</f>
        <v/>
      </c>
      <c r="P795" s="26">
        <f>IF($G795="","",ROUND($O795*$N795,0))</f>
        <v/>
      </c>
      <c r="Q795" s="26">
        <f>IF($G795="","",SUMIFS($P$4:$P$2503,$E$4:$E$2503,$E795,$Z$4:$Z$2503,"正常"))</f>
        <v/>
      </c>
      <c r="R795" s="26">
        <f>IF($G795="","",SUMIFS(费用台账!$I$4:$I$503,费用台账!$C$4:$C$503,$E795,费用台账!$J$4:$J$503,"是",费用台账!$K$4:$K$503,"正常"))</f>
        <v/>
      </c>
      <c r="S795" s="28">
        <f>IF($G795="","",COUNTIFS($E$4:$E$2503,$E795,$Z$4:$Z$2503,"正常",$Y$4:$Y$2503,"待补价"))</f>
        <v/>
      </c>
      <c r="T795" s="26">
        <f>IF($G795="","",SUMIFS($P$4:$P$2503,$E$4:$E$2503,$E795,$Z$4:$Z$2503,"正常",$A$4:$A$2503,"&lt;="&amp;$A795))</f>
        <v/>
      </c>
      <c r="U795" s="26">
        <f>IF($G795="","",IF(OR($S795&gt;0,$Q795=0,$R795=0,$Z795&lt;&gt;"正常"),0,ROUND($T795/$Q795*$R795,0)-ROUND(($T795-$P795)/$Q795*$R795,0)))</f>
        <v/>
      </c>
      <c r="V795" s="26">
        <f>IF($G795="","",ROUND($P795+$U795,0))</f>
        <v/>
      </c>
      <c r="W795" s="26">
        <f>IF($G795="","",IF(N($K795)=0,0,ROUND($V795/$K795,2)))</f>
        <v/>
      </c>
      <c r="X795" s="17" t="inlineStr">
        <is>
          <t>采购入库</t>
        </is>
      </c>
      <c r="Y795" s="17" t="inlineStr">
        <is>
          <t>正常</t>
        </is>
      </c>
      <c r="Z795" s="17" t="inlineStr">
        <is>
          <t>正常</t>
        </is>
      </c>
      <c r="AA795" s="17" t="n"/>
      <c r="AB795" s="17" t="inlineStr">
        <is>
          <t>原表第 803 行</t>
        </is>
      </c>
      <c r="AC795" s="24">
        <f>IF($G795="","",IF($H795="※编码不在物料档案里","※物料编码不在档案里",IF(N($K795)&lt;=0,"※入库数量要大于 0",IF(AND($C795&lt;&gt;"",$C795&lt;=结账锁),"※日期早于已结账截止日，不能再录",IF(AND($L795=0,$X795="正常"),"※没填单价，价格状态请选「待补价」",IF(AND($S795&gt;0,$R795&gt;0),"△本批有 "&amp;$S795&amp;" 行没单价，整批运费先挂账没摊",IF(AND($B795&lt;&gt;"",COUNTIF($B$4:$B$2503,$B795)&gt;1),"※入库单号重复","")))))))</f>
        <v/>
      </c>
    </row>
    <row r="796">
      <c r="A796" s="24">
        <f>IF($G796="","",COUNTA($G$4:$G796))</f>
        <v/>
      </c>
      <c r="B796" s="17" t="n"/>
      <c r="C796" s="30" t="n">
        <v>46158</v>
      </c>
      <c r="D796" s="17" t="inlineStr">
        <is>
          <t>A国内</t>
        </is>
      </c>
      <c r="E796" s="17" t="inlineStr">
        <is>
          <t>DRYU9381826-202605</t>
        </is>
      </c>
      <c r="F796" s="17" t="inlineStr">
        <is>
          <t>楷博</t>
        </is>
      </c>
      <c r="G796" s="17" t="inlineStr">
        <is>
          <t>JH0723</t>
        </is>
      </c>
      <c r="H796" s="24">
        <f>IF($G796="","",IFERROR(VLOOKUP($G796,物料档案!$A$4:$P$1203,3,0),"※编码不在物料档案里"))</f>
        <v/>
      </c>
      <c r="I796" s="24">
        <f>IF($G796="","",IFERROR(VLOOKUP($G796,物料档案!$A$4:$P$1203,4,0),"※编码不在物料档案里"))</f>
        <v/>
      </c>
      <c r="J796" s="24">
        <f>IF($G796="","",IFERROR(VLOOKUP($G796,物料档案!$A$4:$P$1203,5,0),"※编码不在物料档案里"))</f>
        <v/>
      </c>
      <c r="K796" s="23" t="n">
        <v>2</v>
      </c>
      <c r="L796" s="31" t="n">
        <v>1450</v>
      </c>
      <c r="M796" s="24">
        <f>IF($G796="","",IF($D796="A国内","CNY","TZS"))</f>
        <v/>
      </c>
      <c r="N796" s="28">
        <f>IF($G796="","",IF($D796="A国内",汇率,1))</f>
        <v/>
      </c>
      <c r="O796" s="25">
        <f>IF($G796="","",ROUND(N($K796)*N($L796),2))</f>
        <v/>
      </c>
      <c r="P796" s="26">
        <f>IF($G796="","",ROUND($O796*$N796,0))</f>
        <v/>
      </c>
      <c r="Q796" s="26">
        <f>IF($G796="","",SUMIFS($P$4:$P$2503,$E$4:$E$2503,$E796,$Z$4:$Z$2503,"正常"))</f>
        <v/>
      </c>
      <c r="R796" s="26">
        <f>IF($G796="","",SUMIFS(费用台账!$I$4:$I$503,费用台账!$C$4:$C$503,$E796,费用台账!$J$4:$J$503,"是",费用台账!$K$4:$K$503,"正常"))</f>
        <v/>
      </c>
      <c r="S796" s="28">
        <f>IF($G796="","",COUNTIFS($E$4:$E$2503,$E796,$Z$4:$Z$2503,"正常",$Y$4:$Y$2503,"待补价"))</f>
        <v/>
      </c>
      <c r="T796" s="26">
        <f>IF($G796="","",SUMIFS($P$4:$P$2503,$E$4:$E$2503,$E796,$Z$4:$Z$2503,"正常",$A$4:$A$2503,"&lt;="&amp;$A796))</f>
        <v/>
      </c>
      <c r="U796" s="26">
        <f>IF($G796="","",IF(OR($S796&gt;0,$Q796=0,$R796=0,$Z796&lt;&gt;"正常"),0,ROUND($T796/$Q796*$R796,0)-ROUND(($T796-$P796)/$Q796*$R796,0)))</f>
        <v/>
      </c>
      <c r="V796" s="26">
        <f>IF($G796="","",ROUND($P796+$U796,0))</f>
        <v/>
      </c>
      <c r="W796" s="26">
        <f>IF($G796="","",IF(N($K796)=0,0,ROUND($V796/$K796,2)))</f>
        <v/>
      </c>
      <c r="X796" s="17" t="inlineStr">
        <is>
          <t>采购入库</t>
        </is>
      </c>
      <c r="Y796" s="17" t="inlineStr">
        <is>
          <t>正常</t>
        </is>
      </c>
      <c r="Z796" s="17" t="inlineStr">
        <is>
          <t>正常</t>
        </is>
      </c>
      <c r="AA796" s="17" t="n"/>
      <c r="AB796" s="17" t="inlineStr">
        <is>
          <t>原表第 804 行</t>
        </is>
      </c>
      <c r="AC796" s="24">
        <f>IF($G796="","",IF($H796="※编码不在物料档案里","※物料编码不在档案里",IF(N($K796)&lt;=0,"※入库数量要大于 0",IF(AND($C796&lt;&gt;"",$C796&lt;=结账锁),"※日期早于已结账截止日，不能再录",IF(AND($L796=0,$X796="正常"),"※没填单价，价格状态请选「待补价」",IF(AND($S796&gt;0,$R796&gt;0),"△本批有 "&amp;$S796&amp;" 行没单价，整批运费先挂账没摊",IF(AND($B796&lt;&gt;"",COUNTIF($B$4:$B$2503,$B796)&gt;1),"※入库单号重复","")))))))</f>
        <v/>
      </c>
    </row>
    <row r="797">
      <c r="A797" s="24">
        <f>IF($G797="","",COUNTA($G$4:$G797))</f>
        <v/>
      </c>
      <c r="B797" s="17" t="n"/>
      <c r="C797" s="30" t="n">
        <v>46158</v>
      </c>
      <c r="D797" s="17" t="inlineStr">
        <is>
          <t>A国内</t>
        </is>
      </c>
      <c r="E797" s="17" t="inlineStr">
        <is>
          <t>DRYU9381826-202605</t>
        </is>
      </c>
      <c r="F797" s="17" t="inlineStr">
        <is>
          <t>楷博</t>
        </is>
      </c>
      <c r="G797" s="17" t="inlineStr">
        <is>
          <t>JH0724</t>
        </is>
      </c>
      <c r="H797" s="24">
        <f>IF($G797="","",IFERROR(VLOOKUP($G797,物料档案!$A$4:$P$1203,3,0),"※编码不在物料档案里"))</f>
        <v/>
      </c>
      <c r="I797" s="24">
        <f>IF($G797="","",IFERROR(VLOOKUP($G797,物料档案!$A$4:$P$1203,4,0),"※编码不在物料档案里"))</f>
        <v/>
      </c>
      <c r="J797" s="24">
        <f>IF($G797="","",IFERROR(VLOOKUP($G797,物料档案!$A$4:$P$1203,5,0),"※编码不在物料档案里"))</f>
        <v/>
      </c>
      <c r="K797" s="23" t="n">
        <v>2</v>
      </c>
      <c r="L797" s="31" t="n">
        <v>10</v>
      </c>
      <c r="M797" s="24">
        <f>IF($G797="","",IF($D797="A国内","CNY","TZS"))</f>
        <v/>
      </c>
      <c r="N797" s="28">
        <f>IF($G797="","",IF($D797="A国内",汇率,1))</f>
        <v/>
      </c>
      <c r="O797" s="25">
        <f>IF($G797="","",ROUND(N($K797)*N($L797),2))</f>
        <v/>
      </c>
      <c r="P797" s="26">
        <f>IF($G797="","",ROUND($O797*$N797,0))</f>
        <v/>
      </c>
      <c r="Q797" s="26">
        <f>IF($G797="","",SUMIFS($P$4:$P$2503,$E$4:$E$2503,$E797,$Z$4:$Z$2503,"正常"))</f>
        <v/>
      </c>
      <c r="R797" s="26">
        <f>IF($G797="","",SUMIFS(费用台账!$I$4:$I$503,费用台账!$C$4:$C$503,$E797,费用台账!$J$4:$J$503,"是",费用台账!$K$4:$K$503,"正常"))</f>
        <v/>
      </c>
      <c r="S797" s="28">
        <f>IF($G797="","",COUNTIFS($E$4:$E$2503,$E797,$Z$4:$Z$2503,"正常",$Y$4:$Y$2503,"待补价"))</f>
        <v/>
      </c>
      <c r="T797" s="26">
        <f>IF($G797="","",SUMIFS($P$4:$P$2503,$E$4:$E$2503,$E797,$Z$4:$Z$2503,"正常",$A$4:$A$2503,"&lt;="&amp;$A797))</f>
        <v/>
      </c>
      <c r="U797" s="26">
        <f>IF($G797="","",IF(OR($S797&gt;0,$Q797=0,$R797=0,$Z797&lt;&gt;"正常"),0,ROUND($T797/$Q797*$R797,0)-ROUND(($T797-$P797)/$Q797*$R797,0)))</f>
        <v/>
      </c>
      <c r="V797" s="26">
        <f>IF($G797="","",ROUND($P797+$U797,0))</f>
        <v/>
      </c>
      <c r="W797" s="26">
        <f>IF($G797="","",IF(N($K797)=0,0,ROUND($V797/$K797,2)))</f>
        <v/>
      </c>
      <c r="X797" s="17" t="inlineStr">
        <is>
          <t>采购入库</t>
        </is>
      </c>
      <c r="Y797" s="17" t="inlineStr">
        <is>
          <t>正常</t>
        </is>
      </c>
      <c r="Z797" s="17" t="inlineStr">
        <is>
          <t>正常</t>
        </is>
      </c>
      <c r="AA797" s="17" t="n"/>
      <c r="AB797" s="17" t="inlineStr">
        <is>
          <t>原表第 805 行</t>
        </is>
      </c>
      <c r="AC797" s="24">
        <f>IF($G797="","",IF($H797="※编码不在物料档案里","※物料编码不在档案里",IF(N($K797)&lt;=0,"※入库数量要大于 0",IF(AND($C797&lt;&gt;"",$C797&lt;=结账锁),"※日期早于已结账截止日，不能再录",IF(AND($L797=0,$X797="正常"),"※没填单价，价格状态请选「待补价」",IF(AND($S797&gt;0,$R797&gt;0),"△本批有 "&amp;$S797&amp;" 行没单价，整批运费先挂账没摊",IF(AND($B797&lt;&gt;"",COUNTIF($B$4:$B$2503,$B797)&gt;1),"※入库单号重复","")))))))</f>
        <v/>
      </c>
    </row>
    <row r="798">
      <c r="A798" s="24">
        <f>IF($G798="","",COUNTA($G$4:$G798))</f>
        <v/>
      </c>
      <c r="B798" s="17" t="n"/>
      <c r="C798" s="30" t="n">
        <v>46158</v>
      </c>
      <c r="D798" s="17" t="inlineStr">
        <is>
          <t>A国内</t>
        </is>
      </c>
      <c r="E798" s="17" t="inlineStr">
        <is>
          <t>DRYU9381826-202605</t>
        </is>
      </c>
      <c r="F798" s="17" t="inlineStr">
        <is>
          <t>楷博</t>
        </is>
      </c>
      <c r="G798" s="17" t="inlineStr">
        <is>
          <t>JH0725</t>
        </is>
      </c>
      <c r="H798" s="24">
        <f>IF($G798="","",IFERROR(VLOOKUP($G798,物料档案!$A$4:$P$1203,3,0),"※编码不在物料档案里"))</f>
        <v/>
      </c>
      <c r="I798" s="24">
        <f>IF($G798="","",IFERROR(VLOOKUP($G798,物料档案!$A$4:$P$1203,4,0),"※编码不在物料档案里"))</f>
        <v/>
      </c>
      <c r="J798" s="24">
        <f>IF($G798="","",IFERROR(VLOOKUP($G798,物料档案!$A$4:$P$1203,5,0),"※编码不在物料档案里"))</f>
        <v/>
      </c>
      <c r="K798" s="23" t="n">
        <v>10</v>
      </c>
      <c r="L798" s="31" t="n">
        <v>7.5</v>
      </c>
      <c r="M798" s="24">
        <f>IF($G798="","",IF($D798="A国内","CNY","TZS"))</f>
        <v/>
      </c>
      <c r="N798" s="28">
        <f>IF($G798="","",IF($D798="A国内",汇率,1))</f>
        <v/>
      </c>
      <c r="O798" s="25">
        <f>IF($G798="","",ROUND(N($K798)*N($L798),2))</f>
        <v/>
      </c>
      <c r="P798" s="26">
        <f>IF($G798="","",ROUND($O798*$N798,0))</f>
        <v/>
      </c>
      <c r="Q798" s="26">
        <f>IF($G798="","",SUMIFS($P$4:$P$2503,$E$4:$E$2503,$E798,$Z$4:$Z$2503,"正常"))</f>
        <v/>
      </c>
      <c r="R798" s="26">
        <f>IF($G798="","",SUMIFS(费用台账!$I$4:$I$503,费用台账!$C$4:$C$503,$E798,费用台账!$J$4:$J$503,"是",费用台账!$K$4:$K$503,"正常"))</f>
        <v/>
      </c>
      <c r="S798" s="28">
        <f>IF($G798="","",COUNTIFS($E$4:$E$2503,$E798,$Z$4:$Z$2503,"正常",$Y$4:$Y$2503,"待补价"))</f>
        <v/>
      </c>
      <c r="T798" s="26">
        <f>IF($G798="","",SUMIFS($P$4:$P$2503,$E$4:$E$2503,$E798,$Z$4:$Z$2503,"正常",$A$4:$A$2503,"&lt;="&amp;$A798))</f>
        <v/>
      </c>
      <c r="U798" s="26">
        <f>IF($G798="","",IF(OR($S798&gt;0,$Q798=0,$R798=0,$Z798&lt;&gt;"正常"),0,ROUND($T798/$Q798*$R798,0)-ROUND(($T798-$P798)/$Q798*$R798,0)))</f>
        <v/>
      </c>
      <c r="V798" s="26">
        <f>IF($G798="","",ROUND($P798+$U798,0))</f>
        <v/>
      </c>
      <c r="W798" s="26">
        <f>IF($G798="","",IF(N($K798)=0,0,ROUND($V798/$K798,2)))</f>
        <v/>
      </c>
      <c r="X798" s="17" t="inlineStr">
        <is>
          <t>采购入库</t>
        </is>
      </c>
      <c r="Y798" s="17" t="inlineStr">
        <is>
          <t>正常</t>
        </is>
      </c>
      <c r="Z798" s="17" t="inlineStr">
        <is>
          <t>正常</t>
        </is>
      </c>
      <c r="AA798" s="17" t="n"/>
      <c r="AB798" s="17" t="inlineStr">
        <is>
          <t>原表第 806 行</t>
        </is>
      </c>
      <c r="AC798" s="24">
        <f>IF($G798="","",IF($H798="※编码不在物料档案里","※物料编码不在档案里",IF(N($K798)&lt;=0,"※入库数量要大于 0",IF(AND($C798&lt;&gt;"",$C798&lt;=结账锁),"※日期早于已结账截止日，不能再录",IF(AND($L798=0,$X798="正常"),"※没填单价，价格状态请选「待补价」",IF(AND($S798&gt;0,$R798&gt;0),"△本批有 "&amp;$S798&amp;" 行没单价，整批运费先挂账没摊",IF(AND($B798&lt;&gt;"",COUNTIF($B$4:$B$2503,$B798)&gt;1),"※入库单号重复","")))))))</f>
        <v/>
      </c>
    </row>
    <row r="799">
      <c r="A799" s="24">
        <f>IF($G799="","",COUNTA($G$4:$G799))</f>
        <v/>
      </c>
      <c r="B799" s="17" t="n"/>
      <c r="C799" s="30" t="n">
        <v>46158</v>
      </c>
      <c r="D799" s="17" t="inlineStr">
        <is>
          <t>A国内</t>
        </is>
      </c>
      <c r="E799" s="17" t="inlineStr">
        <is>
          <t>DRYU9381826-202605</t>
        </is>
      </c>
      <c r="F799" s="17" t="inlineStr">
        <is>
          <t>楷博</t>
        </is>
      </c>
      <c r="G799" s="17" t="inlineStr">
        <is>
          <t>JH0726</t>
        </is>
      </c>
      <c r="H799" s="24">
        <f>IF($G799="","",IFERROR(VLOOKUP($G799,物料档案!$A$4:$P$1203,3,0),"※编码不在物料档案里"))</f>
        <v/>
      </c>
      <c r="I799" s="24">
        <f>IF($G799="","",IFERROR(VLOOKUP($G799,物料档案!$A$4:$P$1203,4,0),"※编码不在物料档案里"))</f>
        <v/>
      </c>
      <c r="J799" s="24">
        <f>IF($G799="","",IFERROR(VLOOKUP($G799,物料档案!$A$4:$P$1203,5,0),"※编码不在物料档案里"))</f>
        <v/>
      </c>
      <c r="K799" s="23" t="n">
        <v>5</v>
      </c>
      <c r="L799" s="31" t="n">
        <v>12</v>
      </c>
      <c r="M799" s="24">
        <f>IF($G799="","",IF($D799="A国内","CNY","TZS"))</f>
        <v/>
      </c>
      <c r="N799" s="28">
        <f>IF($G799="","",IF($D799="A国内",汇率,1))</f>
        <v/>
      </c>
      <c r="O799" s="25">
        <f>IF($G799="","",ROUND(N($K799)*N($L799),2))</f>
        <v/>
      </c>
      <c r="P799" s="26">
        <f>IF($G799="","",ROUND($O799*$N799,0))</f>
        <v/>
      </c>
      <c r="Q799" s="26">
        <f>IF($G799="","",SUMIFS($P$4:$P$2503,$E$4:$E$2503,$E799,$Z$4:$Z$2503,"正常"))</f>
        <v/>
      </c>
      <c r="R799" s="26">
        <f>IF($G799="","",SUMIFS(费用台账!$I$4:$I$503,费用台账!$C$4:$C$503,$E799,费用台账!$J$4:$J$503,"是",费用台账!$K$4:$K$503,"正常"))</f>
        <v/>
      </c>
      <c r="S799" s="28">
        <f>IF($G799="","",COUNTIFS($E$4:$E$2503,$E799,$Z$4:$Z$2503,"正常",$Y$4:$Y$2503,"待补价"))</f>
        <v/>
      </c>
      <c r="T799" s="26">
        <f>IF($G799="","",SUMIFS($P$4:$P$2503,$E$4:$E$2503,$E799,$Z$4:$Z$2503,"正常",$A$4:$A$2503,"&lt;="&amp;$A799))</f>
        <v/>
      </c>
      <c r="U799" s="26">
        <f>IF($G799="","",IF(OR($S799&gt;0,$Q799=0,$R799=0,$Z799&lt;&gt;"正常"),0,ROUND($T799/$Q799*$R799,0)-ROUND(($T799-$P799)/$Q799*$R799,0)))</f>
        <v/>
      </c>
      <c r="V799" s="26">
        <f>IF($G799="","",ROUND($P799+$U799,0))</f>
        <v/>
      </c>
      <c r="W799" s="26">
        <f>IF($G799="","",IF(N($K799)=0,0,ROUND($V799/$K799,2)))</f>
        <v/>
      </c>
      <c r="X799" s="17" t="inlineStr">
        <is>
          <t>采购入库</t>
        </is>
      </c>
      <c r="Y799" s="17" t="inlineStr">
        <is>
          <t>正常</t>
        </is>
      </c>
      <c r="Z799" s="17" t="inlineStr">
        <is>
          <t>正常</t>
        </is>
      </c>
      <c r="AA799" s="17" t="n"/>
      <c r="AB799" s="17" t="inlineStr">
        <is>
          <t>原表第 807 行</t>
        </is>
      </c>
      <c r="AC799" s="24">
        <f>IF($G799="","",IF($H799="※编码不在物料档案里","※物料编码不在档案里",IF(N($K799)&lt;=0,"※入库数量要大于 0",IF(AND($C799&lt;&gt;"",$C799&lt;=结账锁),"※日期早于已结账截止日，不能再录",IF(AND($L799=0,$X799="正常"),"※没填单价，价格状态请选「待补价」",IF(AND($S799&gt;0,$R799&gt;0),"△本批有 "&amp;$S799&amp;" 行没单价，整批运费先挂账没摊",IF(AND($B799&lt;&gt;"",COUNTIF($B$4:$B$2503,$B799)&gt;1),"※入库单号重复","")))))))</f>
        <v/>
      </c>
    </row>
    <row r="800">
      <c r="A800" s="24">
        <f>IF($G800="","",COUNTA($G$4:$G800))</f>
        <v/>
      </c>
      <c r="B800" s="17" t="n"/>
      <c r="C800" s="30" t="n">
        <v>46158</v>
      </c>
      <c r="D800" s="17" t="inlineStr">
        <is>
          <t>A国内</t>
        </is>
      </c>
      <c r="E800" s="17" t="inlineStr">
        <is>
          <t>DRYU9381826-202605</t>
        </is>
      </c>
      <c r="F800" s="17" t="inlineStr">
        <is>
          <t>楷博</t>
        </is>
      </c>
      <c r="G800" s="17" t="inlineStr">
        <is>
          <t>JH0727</t>
        </is>
      </c>
      <c r="H800" s="24">
        <f>IF($G800="","",IFERROR(VLOOKUP($G800,物料档案!$A$4:$P$1203,3,0),"※编码不在物料档案里"))</f>
        <v/>
      </c>
      <c r="I800" s="24">
        <f>IF($G800="","",IFERROR(VLOOKUP($G800,物料档案!$A$4:$P$1203,4,0),"※编码不在物料档案里"))</f>
        <v/>
      </c>
      <c r="J800" s="24">
        <f>IF($G800="","",IFERROR(VLOOKUP($G800,物料档案!$A$4:$P$1203,5,0),"※编码不在物料档案里"))</f>
        <v/>
      </c>
      <c r="K800" s="23" t="n">
        <v>2</v>
      </c>
      <c r="L800" s="31" t="n">
        <v>28</v>
      </c>
      <c r="M800" s="24">
        <f>IF($G800="","",IF($D800="A国内","CNY","TZS"))</f>
        <v/>
      </c>
      <c r="N800" s="28">
        <f>IF($G800="","",IF($D800="A国内",汇率,1))</f>
        <v/>
      </c>
      <c r="O800" s="25">
        <f>IF($G800="","",ROUND(N($K800)*N($L800),2))</f>
        <v/>
      </c>
      <c r="P800" s="26">
        <f>IF($G800="","",ROUND($O800*$N800,0))</f>
        <v/>
      </c>
      <c r="Q800" s="26">
        <f>IF($G800="","",SUMIFS($P$4:$P$2503,$E$4:$E$2503,$E800,$Z$4:$Z$2503,"正常"))</f>
        <v/>
      </c>
      <c r="R800" s="26">
        <f>IF($G800="","",SUMIFS(费用台账!$I$4:$I$503,费用台账!$C$4:$C$503,$E800,费用台账!$J$4:$J$503,"是",费用台账!$K$4:$K$503,"正常"))</f>
        <v/>
      </c>
      <c r="S800" s="28">
        <f>IF($G800="","",COUNTIFS($E$4:$E$2503,$E800,$Z$4:$Z$2503,"正常",$Y$4:$Y$2503,"待补价"))</f>
        <v/>
      </c>
      <c r="T800" s="26">
        <f>IF($G800="","",SUMIFS($P$4:$P$2503,$E$4:$E$2503,$E800,$Z$4:$Z$2503,"正常",$A$4:$A$2503,"&lt;="&amp;$A800))</f>
        <v/>
      </c>
      <c r="U800" s="26">
        <f>IF($G800="","",IF(OR($S800&gt;0,$Q800=0,$R800=0,$Z800&lt;&gt;"正常"),0,ROUND($T800/$Q800*$R800,0)-ROUND(($T800-$P800)/$Q800*$R800,0)))</f>
        <v/>
      </c>
      <c r="V800" s="26">
        <f>IF($G800="","",ROUND($P800+$U800,0))</f>
        <v/>
      </c>
      <c r="W800" s="26">
        <f>IF($G800="","",IF(N($K800)=0,0,ROUND($V800/$K800,2)))</f>
        <v/>
      </c>
      <c r="X800" s="17" t="inlineStr">
        <is>
          <t>采购入库</t>
        </is>
      </c>
      <c r="Y800" s="17" t="inlineStr">
        <is>
          <t>正常</t>
        </is>
      </c>
      <c r="Z800" s="17" t="inlineStr">
        <is>
          <t>正常</t>
        </is>
      </c>
      <c r="AA800" s="17" t="n"/>
      <c r="AB800" s="17" t="inlineStr">
        <is>
          <t>原表第 808 行</t>
        </is>
      </c>
      <c r="AC800" s="24">
        <f>IF($G800="","",IF($H800="※编码不在物料档案里","※物料编码不在档案里",IF(N($K800)&lt;=0,"※入库数量要大于 0",IF(AND($C800&lt;&gt;"",$C800&lt;=结账锁),"※日期早于已结账截止日，不能再录",IF(AND($L800=0,$X800="正常"),"※没填单价，价格状态请选「待补价」",IF(AND($S800&gt;0,$R800&gt;0),"△本批有 "&amp;$S800&amp;" 行没单价，整批运费先挂账没摊",IF(AND($B800&lt;&gt;"",COUNTIF($B$4:$B$2503,$B800)&gt;1),"※入库单号重复","")))))))</f>
        <v/>
      </c>
    </row>
    <row r="801">
      <c r="A801" s="24">
        <f>IF($G801="","",COUNTA($G$4:$G801))</f>
        <v/>
      </c>
      <c r="B801" s="17" t="n"/>
      <c r="C801" s="30" t="n">
        <v>46158</v>
      </c>
      <c r="D801" s="17" t="inlineStr">
        <is>
          <t>A国内</t>
        </is>
      </c>
      <c r="E801" s="17" t="inlineStr">
        <is>
          <t>DRYU9381826-202605</t>
        </is>
      </c>
      <c r="F801" s="17" t="inlineStr">
        <is>
          <t>楷博</t>
        </is>
      </c>
      <c r="G801" s="17" t="inlineStr">
        <is>
          <t>JH0728</t>
        </is>
      </c>
      <c r="H801" s="24">
        <f>IF($G801="","",IFERROR(VLOOKUP($G801,物料档案!$A$4:$P$1203,3,0),"※编码不在物料档案里"))</f>
        <v/>
      </c>
      <c r="I801" s="24">
        <f>IF($G801="","",IFERROR(VLOOKUP($G801,物料档案!$A$4:$P$1203,4,0),"※编码不在物料档案里"))</f>
        <v/>
      </c>
      <c r="J801" s="24">
        <f>IF($G801="","",IFERROR(VLOOKUP($G801,物料档案!$A$4:$P$1203,5,0),"※编码不在物料档案里"))</f>
        <v/>
      </c>
      <c r="K801" s="23" t="n">
        <v>50</v>
      </c>
      <c r="L801" s="31" t="n">
        <v>3</v>
      </c>
      <c r="M801" s="24">
        <f>IF($G801="","",IF($D801="A国内","CNY","TZS"))</f>
        <v/>
      </c>
      <c r="N801" s="28">
        <f>IF($G801="","",IF($D801="A国内",汇率,1))</f>
        <v/>
      </c>
      <c r="O801" s="25">
        <f>IF($G801="","",ROUND(N($K801)*N($L801),2))</f>
        <v/>
      </c>
      <c r="P801" s="26">
        <f>IF($G801="","",ROUND($O801*$N801,0))</f>
        <v/>
      </c>
      <c r="Q801" s="26">
        <f>IF($G801="","",SUMIFS($P$4:$P$2503,$E$4:$E$2503,$E801,$Z$4:$Z$2503,"正常"))</f>
        <v/>
      </c>
      <c r="R801" s="26">
        <f>IF($G801="","",SUMIFS(费用台账!$I$4:$I$503,费用台账!$C$4:$C$503,$E801,费用台账!$J$4:$J$503,"是",费用台账!$K$4:$K$503,"正常"))</f>
        <v/>
      </c>
      <c r="S801" s="28">
        <f>IF($G801="","",COUNTIFS($E$4:$E$2503,$E801,$Z$4:$Z$2503,"正常",$Y$4:$Y$2503,"待补价"))</f>
        <v/>
      </c>
      <c r="T801" s="26">
        <f>IF($G801="","",SUMIFS($P$4:$P$2503,$E$4:$E$2503,$E801,$Z$4:$Z$2503,"正常",$A$4:$A$2503,"&lt;="&amp;$A801))</f>
        <v/>
      </c>
      <c r="U801" s="26">
        <f>IF($G801="","",IF(OR($S801&gt;0,$Q801=0,$R801=0,$Z801&lt;&gt;"正常"),0,ROUND($T801/$Q801*$R801,0)-ROUND(($T801-$P801)/$Q801*$R801,0)))</f>
        <v/>
      </c>
      <c r="V801" s="26">
        <f>IF($G801="","",ROUND($P801+$U801,0))</f>
        <v/>
      </c>
      <c r="W801" s="26">
        <f>IF($G801="","",IF(N($K801)=0,0,ROUND($V801/$K801,2)))</f>
        <v/>
      </c>
      <c r="X801" s="17" t="inlineStr">
        <is>
          <t>采购入库</t>
        </is>
      </c>
      <c r="Y801" s="17" t="inlineStr">
        <is>
          <t>正常</t>
        </is>
      </c>
      <c r="Z801" s="17" t="inlineStr">
        <is>
          <t>正常</t>
        </is>
      </c>
      <c r="AA801" s="17" t="n"/>
      <c r="AB801" s="17" t="inlineStr">
        <is>
          <t>原表第 809 行</t>
        </is>
      </c>
      <c r="AC801" s="24">
        <f>IF($G801="","",IF($H801="※编码不在物料档案里","※物料编码不在档案里",IF(N($K801)&lt;=0,"※入库数量要大于 0",IF(AND($C801&lt;&gt;"",$C801&lt;=结账锁),"※日期早于已结账截止日，不能再录",IF(AND($L801=0,$X801="正常"),"※没填单价，价格状态请选「待补价」",IF(AND($S801&gt;0,$R801&gt;0),"△本批有 "&amp;$S801&amp;" 行没单价，整批运费先挂账没摊",IF(AND($B801&lt;&gt;"",COUNTIF($B$4:$B$2503,$B801)&gt;1),"※入库单号重复","")))))))</f>
        <v/>
      </c>
    </row>
    <row r="802">
      <c r="A802" s="24">
        <f>IF($G802="","",COUNTA($G$4:$G802))</f>
        <v/>
      </c>
      <c r="B802" s="17" t="n"/>
      <c r="C802" s="30" t="n">
        <v>46158</v>
      </c>
      <c r="D802" s="17" t="inlineStr">
        <is>
          <t>A国内</t>
        </is>
      </c>
      <c r="E802" s="17" t="inlineStr">
        <is>
          <t>DRYU9381826-202605</t>
        </is>
      </c>
      <c r="F802" s="17" t="inlineStr">
        <is>
          <t>楷博</t>
        </is>
      </c>
      <c r="G802" s="17" t="inlineStr">
        <is>
          <t>JH0729</t>
        </is>
      </c>
      <c r="H802" s="24">
        <f>IF($G802="","",IFERROR(VLOOKUP($G802,物料档案!$A$4:$P$1203,3,0),"※编码不在物料档案里"))</f>
        <v/>
      </c>
      <c r="I802" s="24">
        <f>IF($G802="","",IFERROR(VLOOKUP($G802,物料档案!$A$4:$P$1203,4,0),"※编码不在物料档案里"))</f>
        <v/>
      </c>
      <c r="J802" s="24">
        <f>IF($G802="","",IFERROR(VLOOKUP($G802,物料档案!$A$4:$P$1203,5,0),"※编码不在物料档案里"))</f>
        <v/>
      </c>
      <c r="K802" s="23" t="n">
        <v>1</v>
      </c>
      <c r="L802" s="31" t="n">
        <v>275</v>
      </c>
      <c r="M802" s="24">
        <f>IF($G802="","",IF($D802="A国内","CNY","TZS"))</f>
        <v/>
      </c>
      <c r="N802" s="28">
        <f>IF($G802="","",IF($D802="A国内",汇率,1))</f>
        <v/>
      </c>
      <c r="O802" s="25">
        <f>IF($G802="","",ROUND(N($K802)*N($L802),2))</f>
        <v/>
      </c>
      <c r="P802" s="26">
        <f>IF($G802="","",ROUND($O802*$N802,0))</f>
        <v/>
      </c>
      <c r="Q802" s="26">
        <f>IF($G802="","",SUMIFS($P$4:$P$2503,$E$4:$E$2503,$E802,$Z$4:$Z$2503,"正常"))</f>
        <v/>
      </c>
      <c r="R802" s="26">
        <f>IF($G802="","",SUMIFS(费用台账!$I$4:$I$503,费用台账!$C$4:$C$503,$E802,费用台账!$J$4:$J$503,"是",费用台账!$K$4:$K$503,"正常"))</f>
        <v/>
      </c>
      <c r="S802" s="28">
        <f>IF($G802="","",COUNTIFS($E$4:$E$2503,$E802,$Z$4:$Z$2503,"正常",$Y$4:$Y$2503,"待补价"))</f>
        <v/>
      </c>
      <c r="T802" s="26">
        <f>IF($G802="","",SUMIFS($P$4:$P$2503,$E$4:$E$2503,$E802,$Z$4:$Z$2503,"正常",$A$4:$A$2503,"&lt;="&amp;$A802))</f>
        <v/>
      </c>
      <c r="U802" s="26">
        <f>IF($G802="","",IF(OR($S802&gt;0,$Q802=0,$R802=0,$Z802&lt;&gt;"正常"),0,ROUND($T802/$Q802*$R802,0)-ROUND(($T802-$P802)/$Q802*$R802,0)))</f>
        <v/>
      </c>
      <c r="V802" s="26">
        <f>IF($G802="","",ROUND($P802+$U802,0))</f>
        <v/>
      </c>
      <c r="W802" s="26">
        <f>IF($G802="","",IF(N($K802)=0,0,ROUND($V802/$K802,2)))</f>
        <v/>
      </c>
      <c r="X802" s="17" t="inlineStr">
        <is>
          <t>采购入库</t>
        </is>
      </c>
      <c r="Y802" s="17" t="inlineStr">
        <is>
          <t>正常</t>
        </is>
      </c>
      <c r="Z802" s="17" t="inlineStr">
        <is>
          <t>正常</t>
        </is>
      </c>
      <c r="AA802" s="17" t="n"/>
      <c r="AB802" s="17" t="inlineStr">
        <is>
          <t>原表第 810 行</t>
        </is>
      </c>
      <c r="AC802" s="24">
        <f>IF($G802="","",IF($H802="※编码不在物料档案里","※物料编码不在档案里",IF(N($K802)&lt;=0,"※入库数量要大于 0",IF(AND($C802&lt;&gt;"",$C802&lt;=结账锁),"※日期早于已结账截止日，不能再录",IF(AND($L802=0,$X802="正常"),"※没填单价，价格状态请选「待补价」",IF(AND($S802&gt;0,$R802&gt;0),"△本批有 "&amp;$S802&amp;" 行没单价，整批运费先挂账没摊",IF(AND($B802&lt;&gt;"",COUNTIF($B$4:$B$2503,$B802)&gt;1),"※入库单号重复","")))))))</f>
        <v/>
      </c>
    </row>
    <row r="803">
      <c r="A803" s="24">
        <f>IF($G803="","",COUNTA($G$4:$G803))</f>
        <v/>
      </c>
      <c r="B803" s="17" t="n"/>
      <c r="C803" s="30" t="n">
        <v>46158</v>
      </c>
      <c r="D803" s="17" t="inlineStr">
        <is>
          <t>A国内</t>
        </is>
      </c>
      <c r="E803" s="17" t="inlineStr">
        <is>
          <t>DRYU9381826-202605</t>
        </is>
      </c>
      <c r="F803" s="17" t="inlineStr">
        <is>
          <t>楷博</t>
        </is>
      </c>
      <c r="G803" s="17" t="inlineStr">
        <is>
          <t>JH0730</t>
        </is>
      </c>
      <c r="H803" s="24">
        <f>IF($G803="","",IFERROR(VLOOKUP($G803,物料档案!$A$4:$P$1203,3,0),"※编码不在物料档案里"))</f>
        <v/>
      </c>
      <c r="I803" s="24">
        <f>IF($G803="","",IFERROR(VLOOKUP($G803,物料档案!$A$4:$P$1203,4,0),"※编码不在物料档案里"))</f>
        <v/>
      </c>
      <c r="J803" s="24">
        <f>IF($G803="","",IFERROR(VLOOKUP($G803,物料档案!$A$4:$P$1203,5,0),"※编码不在物料档案里"))</f>
        <v/>
      </c>
      <c r="K803" s="23" t="n">
        <v>6000</v>
      </c>
      <c r="L803" s="31" t="n">
        <v>1.3</v>
      </c>
      <c r="M803" s="24">
        <f>IF($G803="","",IF($D803="A国内","CNY","TZS"))</f>
        <v/>
      </c>
      <c r="N803" s="28">
        <f>IF($G803="","",IF($D803="A国内",汇率,1))</f>
        <v/>
      </c>
      <c r="O803" s="25">
        <f>IF($G803="","",ROUND(N($K803)*N($L803),2))</f>
        <v/>
      </c>
      <c r="P803" s="26">
        <f>IF($G803="","",ROUND($O803*$N803,0))</f>
        <v/>
      </c>
      <c r="Q803" s="26">
        <f>IF($G803="","",SUMIFS($P$4:$P$2503,$E$4:$E$2503,$E803,$Z$4:$Z$2503,"正常"))</f>
        <v/>
      </c>
      <c r="R803" s="26">
        <f>IF($G803="","",SUMIFS(费用台账!$I$4:$I$503,费用台账!$C$4:$C$503,$E803,费用台账!$J$4:$J$503,"是",费用台账!$K$4:$K$503,"正常"))</f>
        <v/>
      </c>
      <c r="S803" s="28">
        <f>IF($G803="","",COUNTIFS($E$4:$E$2503,$E803,$Z$4:$Z$2503,"正常",$Y$4:$Y$2503,"待补价"))</f>
        <v/>
      </c>
      <c r="T803" s="26">
        <f>IF($G803="","",SUMIFS($P$4:$P$2503,$E$4:$E$2503,$E803,$Z$4:$Z$2503,"正常",$A$4:$A$2503,"&lt;="&amp;$A803))</f>
        <v/>
      </c>
      <c r="U803" s="26">
        <f>IF($G803="","",IF(OR($S803&gt;0,$Q803=0,$R803=0,$Z803&lt;&gt;"正常"),0,ROUND($T803/$Q803*$R803,0)-ROUND(($T803-$P803)/$Q803*$R803,0)))</f>
        <v/>
      </c>
      <c r="V803" s="26">
        <f>IF($G803="","",ROUND($P803+$U803,0))</f>
        <v/>
      </c>
      <c r="W803" s="26">
        <f>IF($G803="","",IF(N($K803)=0,0,ROUND($V803/$K803,2)))</f>
        <v/>
      </c>
      <c r="X803" s="17" t="inlineStr">
        <is>
          <t>采购入库</t>
        </is>
      </c>
      <c r="Y803" s="17" t="inlineStr">
        <is>
          <t>正常</t>
        </is>
      </c>
      <c r="Z803" s="17" t="inlineStr">
        <is>
          <t>正常</t>
        </is>
      </c>
      <c r="AA803" s="17" t="n"/>
      <c r="AB803" s="17" t="inlineStr">
        <is>
          <t>原表第 811 行</t>
        </is>
      </c>
      <c r="AC803" s="24">
        <f>IF($G803="","",IF($H803="※编码不在物料档案里","※物料编码不在档案里",IF(N($K803)&lt;=0,"※入库数量要大于 0",IF(AND($C803&lt;&gt;"",$C803&lt;=结账锁),"※日期早于已结账截止日，不能再录",IF(AND($L803=0,$X803="正常"),"※没填单价，价格状态请选「待补价」",IF(AND($S803&gt;0,$R803&gt;0),"△本批有 "&amp;$S803&amp;" 行没单价，整批运费先挂账没摊",IF(AND($B803&lt;&gt;"",COUNTIF($B$4:$B$2503,$B803)&gt;1),"※入库单号重复","")))))))</f>
        <v/>
      </c>
    </row>
    <row r="804">
      <c r="A804" s="24">
        <f>IF($G804="","",COUNTA($G$4:$G804))</f>
        <v/>
      </c>
      <c r="B804" s="17" t="n"/>
      <c r="C804" s="30" t="n">
        <v>46158</v>
      </c>
      <c r="D804" s="17" t="inlineStr">
        <is>
          <t>A国内</t>
        </is>
      </c>
      <c r="E804" s="17" t="inlineStr">
        <is>
          <t>DRYU9381826-202605</t>
        </is>
      </c>
      <c r="F804" s="17" t="inlineStr">
        <is>
          <t>楷博</t>
        </is>
      </c>
      <c r="G804" s="17" t="inlineStr">
        <is>
          <t>JH0731</t>
        </is>
      </c>
      <c r="H804" s="24">
        <f>IF($G804="","",IFERROR(VLOOKUP($G804,物料档案!$A$4:$P$1203,3,0),"※编码不在物料档案里"))</f>
        <v/>
      </c>
      <c r="I804" s="24">
        <f>IF($G804="","",IFERROR(VLOOKUP($G804,物料档案!$A$4:$P$1203,4,0),"※编码不在物料档案里"))</f>
        <v/>
      </c>
      <c r="J804" s="24">
        <f>IF($G804="","",IFERROR(VLOOKUP($G804,物料档案!$A$4:$P$1203,5,0),"※编码不在物料档案里"))</f>
        <v/>
      </c>
      <c r="K804" s="23" t="n">
        <v>2</v>
      </c>
      <c r="L804" s="31" t="n">
        <v>75</v>
      </c>
      <c r="M804" s="24">
        <f>IF($G804="","",IF($D804="A国内","CNY","TZS"))</f>
        <v/>
      </c>
      <c r="N804" s="28">
        <f>IF($G804="","",IF($D804="A国内",汇率,1))</f>
        <v/>
      </c>
      <c r="O804" s="25">
        <f>IF($G804="","",ROUND(N($K804)*N($L804),2))</f>
        <v/>
      </c>
      <c r="P804" s="26">
        <f>IF($G804="","",ROUND($O804*$N804,0))</f>
        <v/>
      </c>
      <c r="Q804" s="26">
        <f>IF($G804="","",SUMIFS($P$4:$P$2503,$E$4:$E$2503,$E804,$Z$4:$Z$2503,"正常"))</f>
        <v/>
      </c>
      <c r="R804" s="26">
        <f>IF($G804="","",SUMIFS(费用台账!$I$4:$I$503,费用台账!$C$4:$C$503,$E804,费用台账!$J$4:$J$503,"是",费用台账!$K$4:$K$503,"正常"))</f>
        <v/>
      </c>
      <c r="S804" s="28">
        <f>IF($G804="","",COUNTIFS($E$4:$E$2503,$E804,$Z$4:$Z$2503,"正常",$Y$4:$Y$2503,"待补价"))</f>
        <v/>
      </c>
      <c r="T804" s="26">
        <f>IF($G804="","",SUMIFS($P$4:$P$2503,$E$4:$E$2503,$E804,$Z$4:$Z$2503,"正常",$A$4:$A$2503,"&lt;="&amp;$A804))</f>
        <v/>
      </c>
      <c r="U804" s="26">
        <f>IF($G804="","",IF(OR($S804&gt;0,$Q804=0,$R804=0,$Z804&lt;&gt;"正常"),0,ROUND($T804/$Q804*$R804,0)-ROUND(($T804-$P804)/$Q804*$R804,0)))</f>
        <v/>
      </c>
      <c r="V804" s="26">
        <f>IF($G804="","",ROUND($P804+$U804,0))</f>
        <v/>
      </c>
      <c r="W804" s="26">
        <f>IF($G804="","",IF(N($K804)=0,0,ROUND($V804/$K804,2)))</f>
        <v/>
      </c>
      <c r="X804" s="17" t="inlineStr">
        <is>
          <t>采购入库</t>
        </is>
      </c>
      <c r="Y804" s="17" t="inlineStr">
        <is>
          <t>正常</t>
        </is>
      </c>
      <c r="Z804" s="17" t="inlineStr">
        <is>
          <t>正常</t>
        </is>
      </c>
      <c r="AA804" s="17" t="n"/>
      <c r="AB804" s="17" t="inlineStr">
        <is>
          <t>原表第 812 行</t>
        </is>
      </c>
      <c r="AC804" s="24">
        <f>IF($G804="","",IF($H804="※编码不在物料档案里","※物料编码不在档案里",IF(N($K804)&lt;=0,"※入库数量要大于 0",IF(AND($C804&lt;&gt;"",$C804&lt;=结账锁),"※日期早于已结账截止日，不能再录",IF(AND($L804=0,$X804="正常"),"※没填单价，价格状态请选「待补价」",IF(AND($S804&gt;0,$R804&gt;0),"△本批有 "&amp;$S804&amp;" 行没单价，整批运费先挂账没摊",IF(AND($B804&lt;&gt;"",COUNTIF($B$4:$B$2503,$B804)&gt;1),"※入库单号重复","")))))))</f>
        <v/>
      </c>
    </row>
    <row r="805">
      <c r="A805" s="24">
        <f>IF($G805="","",COUNTA($G$4:$G805))</f>
        <v/>
      </c>
      <c r="B805" s="17" t="n"/>
      <c r="C805" s="30" t="n">
        <v>46158</v>
      </c>
      <c r="D805" s="17" t="inlineStr">
        <is>
          <t>A国内</t>
        </is>
      </c>
      <c r="E805" s="17" t="inlineStr">
        <is>
          <t>DRYU9381826-202605</t>
        </is>
      </c>
      <c r="F805" s="17" t="inlineStr">
        <is>
          <t>楷博</t>
        </is>
      </c>
      <c r="G805" s="17" t="inlineStr">
        <is>
          <t>JH0732</t>
        </is>
      </c>
      <c r="H805" s="24">
        <f>IF($G805="","",IFERROR(VLOOKUP($G805,物料档案!$A$4:$P$1203,3,0),"※编码不在物料档案里"))</f>
        <v/>
      </c>
      <c r="I805" s="24">
        <f>IF($G805="","",IFERROR(VLOOKUP($G805,物料档案!$A$4:$P$1203,4,0),"※编码不在物料档案里"))</f>
        <v/>
      </c>
      <c r="J805" s="24">
        <f>IF($G805="","",IFERROR(VLOOKUP($G805,物料档案!$A$4:$P$1203,5,0),"※编码不在物料档案里"))</f>
        <v/>
      </c>
      <c r="K805" s="23" t="n">
        <v>10</v>
      </c>
      <c r="L805" s="31" t="n">
        <v>32</v>
      </c>
      <c r="M805" s="24">
        <f>IF($G805="","",IF($D805="A国内","CNY","TZS"))</f>
        <v/>
      </c>
      <c r="N805" s="28">
        <f>IF($G805="","",IF($D805="A国内",汇率,1))</f>
        <v/>
      </c>
      <c r="O805" s="25">
        <f>IF($G805="","",ROUND(N($K805)*N($L805),2))</f>
        <v/>
      </c>
      <c r="P805" s="26">
        <f>IF($G805="","",ROUND($O805*$N805,0))</f>
        <v/>
      </c>
      <c r="Q805" s="26">
        <f>IF($G805="","",SUMIFS($P$4:$P$2503,$E$4:$E$2503,$E805,$Z$4:$Z$2503,"正常"))</f>
        <v/>
      </c>
      <c r="R805" s="26">
        <f>IF($G805="","",SUMIFS(费用台账!$I$4:$I$503,费用台账!$C$4:$C$503,$E805,费用台账!$J$4:$J$503,"是",费用台账!$K$4:$K$503,"正常"))</f>
        <v/>
      </c>
      <c r="S805" s="28">
        <f>IF($G805="","",COUNTIFS($E$4:$E$2503,$E805,$Z$4:$Z$2503,"正常",$Y$4:$Y$2503,"待补价"))</f>
        <v/>
      </c>
      <c r="T805" s="26">
        <f>IF($G805="","",SUMIFS($P$4:$P$2503,$E$4:$E$2503,$E805,$Z$4:$Z$2503,"正常",$A$4:$A$2503,"&lt;="&amp;$A805))</f>
        <v/>
      </c>
      <c r="U805" s="26">
        <f>IF($G805="","",IF(OR($S805&gt;0,$Q805=0,$R805=0,$Z805&lt;&gt;"正常"),0,ROUND($T805/$Q805*$R805,0)-ROUND(($T805-$P805)/$Q805*$R805,0)))</f>
        <v/>
      </c>
      <c r="V805" s="26">
        <f>IF($G805="","",ROUND($P805+$U805,0))</f>
        <v/>
      </c>
      <c r="W805" s="26">
        <f>IF($G805="","",IF(N($K805)=0,0,ROUND($V805/$K805,2)))</f>
        <v/>
      </c>
      <c r="X805" s="17" t="inlineStr">
        <is>
          <t>采购入库</t>
        </is>
      </c>
      <c r="Y805" s="17" t="inlineStr">
        <is>
          <t>正常</t>
        </is>
      </c>
      <c r="Z805" s="17" t="inlineStr">
        <is>
          <t>正常</t>
        </is>
      </c>
      <c r="AA805" s="17" t="n"/>
      <c r="AB805" s="17" t="inlineStr">
        <is>
          <t>原表第 813 行</t>
        </is>
      </c>
      <c r="AC805" s="24">
        <f>IF($G805="","",IF($H805="※编码不在物料档案里","※物料编码不在档案里",IF(N($K805)&lt;=0,"※入库数量要大于 0",IF(AND($C805&lt;&gt;"",$C805&lt;=结账锁),"※日期早于已结账截止日，不能再录",IF(AND($L805=0,$X805="正常"),"※没填单价，价格状态请选「待补价」",IF(AND($S805&gt;0,$R805&gt;0),"△本批有 "&amp;$S805&amp;" 行没单价，整批运费先挂账没摊",IF(AND($B805&lt;&gt;"",COUNTIF($B$4:$B$2503,$B805)&gt;1),"※入库单号重复","")))))))</f>
        <v/>
      </c>
    </row>
    <row r="806">
      <c r="A806" s="24">
        <f>IF($G806="","",COUNTA($G$4:$G806))</f>
        <v/>
      </c>
      <c r="B806" s="17" t="n"/>
      <c r="C806" s="30" t="n">
        <v>46158</v>
      </c>
      <c r="D806" s="17" t="inlineStr">
        <is>
          <t>A国内</t>
        </is>
      </c>
      <c r="E806" s="17" t="inlineStr">
        <is>
          <t>DRYU9381826-202605</t>
        </is>
      </c>
      <c r="F806" s="17" t="inlineStr">
        <is>
          <t>楷博</t>
        </is>
      </c>
      <c r="G806" s="17" t="inlineStr">
        <is>
          <t>JH0733</t>
        </is>
      </c>
      <c r="H806" s="24">
        <f>IF($G806="","",IFERROR(VLOOKUP($G806,物料档案!$A$4:$P$1203,3,0),"※编码不在物料档案里"))</f>
        <v/>
      </c>
      <c r="I806" s="24">
        <f>IF($G806="","",IFERROR(VLOOKUP($G806,物料档案!$A$4:$P$1203,4,0),"※编码不在物料档案里"))</f>
        <v/>
      </c>
      <c r="J806" s="24">
        <f>IF($G806="","",IFERROR(VLOOKUP($G806,物料档案!$A$4:$P$1203,5,0),"※编码不在物料档案里"))</f>
        <v/>
      </c>
      <c r="K806" s="23" t="n">
        <v>10</v>
      </c>
      <c r="L806" s="31" t="n">
        <v>19</v>
      </c>
      <c r="M806" s="24">
        <f>IF($G806="","",IF($D806="A国内","CNY","TZS"))</f>
        <v/>
      </c>
      <c r="N806" s="28">
        <f>IF($G806="","",IF($D806="A国内",汇率,1))</f>
        <v/>
      </c>
      <c r="O806" s="25">
        <f>IF($G806="","",ROUND(N($K806)*N($L806),2))</f>
        <v/>
      </c>
      <c r="P806" s="26">
        <f>IF($G806="","",ROUND($O806*$N806,0))</f>
        <v/>
      </c>
      <c r="Q806" s="26">
        <f>IF($G806="","",SUMIFS($P$4:$P$2503,$E$4:$E$2503,$E806,$Z$4:$Z$2503,"正常"))</f>
        <v/>
      </c>
      <c r="R806" s="26">
        <f>IF($G806="","",SUMIFS(费用台账!$I$4:$I$503,费用台账!$C$4:$C$503,$E806,费用台账!$J$4:$J$503,"是",费用台账!$K$4:$K$503,"正常"))</f>
        <v/>
      </c>
      <c r="S806" s="28">
        <f>IF($G806="","",COUNTIFS($E$4:$E$2503,$E806,$Z$4:$Z$2503,"正常",$Y$4:$Y$2503,"待补价"))</f>
        <v/>
      </c>
      <c r="T806" s="26">
        <f>IF($G806="","",SUMIFS($P$4:$P$2503,$E$4:$E$2503,$E806,$Z$4:$Z$2503,"正常",$A$4:$A$2503,"&lt;="&amp;$A806))</f>
        <v/>
      </c>
      <c r="U806" s="26">
        <f>IF($G806="","",IF(OR($S806&gt;0,$Q806=0,$R806=0,$Z806&lt;&gt;"正常"),0,ROUND($T806/$Q806*$R806,0)-ROUND(($T806-$P806)/$Q806*$R806,0)))</f>
        <v/>
      </c>
      <c r="V806" s="26">
        <f>IF($G806="","",ROUND($P806+$U806,0))</f>
        <v/>
      </c>
      <c r="W806" s="26">
        <f>IF($G806="","",IF(N($K806)=0,0,ROUND($V806/$K806,2)))</f>
        <v/>
      </c>
      <c r="X806" s="17" t="inlineStr">
        <is>
          <t>采购入库</t>
        </is>
      </c>
      <c r="Y806" s="17" t="inlineStr">
        <is>
          <t>正常</t>
        </is>
      </c>
      <c r="Z806" s="17" t="inlineStr">
        <is>
          <t>正常</t>
        </is>
      </c>
      <c r="AA806" s="17" t="n"/>
      <c r="AB806" s="17" t="inlineStr">
        <is>
          <t>原表第 814 行</t>
        </is>
      </c>
      <c r="AC806" s="24">
        <f>IF($G806="","",IF($H806="※编码不在物料档案里","※物料编码不在档案里",IF(N($K806)&lt;=0,"※入库数量要大于 0",IF(AND($C806&lt;&gt;"",$C806&lt;=结账锁),"※日期早于已结账截止日，不能再录",IF(AND($L806=0,$X806="正常"),"※没填单价，价格状态请选「待补价」",IF(AND($S806&gt;0,$R806&gt;0),"△本批有 "&amp;$S806&amp;" 行没单价，整批运费先挂账没摊",IF(AND($B806&lt;&gt;"",COUNTIF($B$4:$B$2503,$B806)&gt;1),"※入库单号重复","")))))))</f>
        <v/>
      </c>
    </row>
    <row r="807">
      <c r="A807" s="24">
        <f>IF($G807="","",COUNTA($G$4:$G807))</f>
        <v/>
      </c>
      <c r="B807" s="17" t="n"/>
      <c r="C807" s="30" t="n">
        <v>46158</v>
      </c>
      <c r="D807" s="17" t="inlineStr">
        <is>
          <t>A国内</t>
        </is>
      </c>
      <c r="E807" s="17" t="inlineStr">
        <is>
          <t>DRYU9381826-202605</t>
        </is>
      </c>
      <c r="F807" s="17" t="inlineStr">
        <is>
          <t>楷博</t>
        </is>
      </c>
      <c r="G807" s="17" t="inlineStr">
        <is>
          <t>JH0734</t>
        </is>
      </c>
      <c r="H807" s="24">
        <f>IF($G807="","",IFERROR(VLOOKUP($G807,物料档案!$A$4:$P$1203,3,0),"※编码不在物料档案里"))</f>
        <v/>
      </c>
      <c r="I807" s="24">
        <f>IF($G807="","",IFERROR(VLOOKUP($G807,物料档案!$A$4:$P$1203,4,0),"※编码不在物料档案里"))</f>
        <v/>
      </c>
      <c r="J807" s="24">
        <f>IF($G807="","",IFERROR(VLOOKUP($G807,物料档案!$A$4:$P$1203,5,0),"※编码不在物料档案里"))</f>
        <v/>
      </c>
      <c r="K807" s="23" t="n">
        <v>1</v>
      </c>
      <c r="L807" s="31" t="n">
        <v>70</v>
      </c>
      <c r="M807" s="24">
        <f>IF($G807="","",IF($D807="A国内","CNY","TZS"))</f>
        <v/>
      </c>
      <c r="N807" s="28">
        <f>IF($G807="","",IF($D807="A国内",汇率,1))</f>
        <v/>
      </c>
      <c r="O807" s="25">
        <f>IF($G807="","",ROUND(N($K807)*N($L807),2))</f>
        <v/>
      </c>
      <c r="P807" s="26">
        <f>IF($G807="","",ROUND($O807*$N807,0))</f>
        <v/>
      </c>
      <c r="Q807" s="26">
        <f>IF($G807="","",SUMIFS($P$4:$P$2503,$E$4:$E$2503,$E807,$Z$4:$Z$2503,"正常"))</f>
        <v/>
      </c>
      <c r="R807" s="26">
        <f>IF($G807="","",SUMIFS(费用台账!$I$4:$I$503,费用台账!$C$4:$C$503,$E807,费用台账!$J$4:$J$503,"是",费用台账!$K$4:$K$503,"正常"))</f>
        <v/>
      </c>
      <c r="S807" s="28">
        <f>IF($G807="","",COUNTIFS($E$4:$E$2503,$E807,$Z$4:$Z$2503,"正常",$Y$4:$Y$2503,"待补价"))</f>
        <v/>
      </c>
      <c r="T807" s="26">
        <f>IF($G807="","",SUMIFS($P$4:$P$2503,$E$4:$E$2503,$E807,$Z$4:$Z$2503,"正常",$A$4:$A$2503,"&lt;="&amp;$A807))</f>
        <v/>
      </c>
      <c r="U807" s="26">
        <f>IF($G807="","",IF(OR($S807&gt;0,$Q807=0,$R807=0,$Z807&lt;&gt;"正常"),0,ROUND($T807/$Q807*$R807,0)-ROUND(($T807-$P807)/$Q807*$R807,0)))</f>
        <v/>
      </c>
      <c r="V807" s="26">
        <f>IF($G807="","",ROUND($P807+$U807,0))</f>
        <v/>
      </c>
      <c r="W807" s="26">
        <f>IF($G807="","",IF(N($K807)=0,0,ROUND($V807/$K807,2)))</f>
        <v/>
      </c>
      <c r="X807" s="17" t="inlineStr">
        <is>
          <t>采购入库</t>
        </is>
      </c>
      <c r="Y807" s="17" t="inlineStr">
        <is>
          <t>正常</t>
        </is>
      </c>
      <c r="Z807" s="17" t="inlineStr">
        <is>
          <t>正常</t>
        </is>
      </c>
      <c r="AA807" s="17" t="n"/>
      <c r="AB807" s="17" t="inlineStr">
        <is>
          <t>原表第 815 行</t>
        </is>
      </c>
      <c r="AC807" s="24">
        <f>IF($G807="","",IF($H807="※编码不在物料档案里","※物料编码不在档案里",IF(N($K807)&lt;=0,"※入库数量要大于 0",IF(AND($C807&lt;&gt;"",$C807&lt;=结账锁),"※日期早于已结账截止日，不能再录",IF(AND($L807=0,$X807="正常"),"※没填单价，价格状态请选「待补价」",IF(AND($S807&gt;0,$R807&gt;0),"△本批有 "&amp;$S807&amp;" 行没单价，整批运费先挂账没摊",IF(AND($B807&lt;&gt;"",COUNTIF($B$4:$B$2503,$B807)&gt;1),"※入库单号重复","")))))))</f>
        <v/>
      </c>
    </row>
    <row r="808">
      <c r="A808" s="24">
        <f>IF($G808="","",COUNTA($G$4:$G808))</f>
        <v/>
      </c>
      <c r="B808" s="17" t="n"/>
      <c r="C808" s="30" t="n">
        <v>46158</v>
      </c>
      <c r="D808" s="17" t="inlineStr">
        <is>
          <t>A国内</t>
        </is>
      </c>
      <c r="E808" s="17" t="inlineStr">
        <is>
          <t>DRYU9381826-202605</t>
        </is>
      </c>
      <c r="F808" s="17" t="inlineStr">
        <is>
          <t>楷博</t>
        </is>
      </c>
      <c r="G808" s="17" t="inlineStr">
        <is>
          <t>JH0735</t>
        </is>
      </c>
      <c r="H808" s="24">
        <f>IF($G808="","",IFERROR(VLOOKUP($G808,物料档案!$A$4:$P$1203,3,0),"※编码不在物料档案里"))</f>
        <v/>
      </c>
      <c r="I808" s="24">
        <f>IF($G808="","",IFERROR(VLOOKUP($G808,物料档案!$A$4:$P$1203,4,0),"※编码不在物料档案里"))</f>
        <v/>
      </c>
      <c r="J808" s="24">
        <f>IF($G808="","",IFERROR(VLOOKUP($G808,物料档案!$A$4:$P$1203,5,0),"※编码不在物料档案里"))</f>
        <v/>
      </c>
      <c r="K808" s="23" t="n">
        <v>10</v>
      </c>
      <c r="L808" s="31" t="n">
        <v>32</v>
      </c>
      <c r="M808" s="24">
        <f>IF($G808="","",IF($D808="A国内","CNY","TZS"))</f>
        <v/>
      </c>
      <c r="N808" s="28">
        <f>IF($G808="","",IF($D808="A国内",汇率,1))</f>
        <v/>
      </c>
      <c r="O808" s="25">
        <f>IF($G808="","",ROUND(N($K808)*N($L808),2))</f>
        <v/>
      </c>
      <c r="P808" s="26">
        <f>IF($G808="","",ROUND($O808*$N808,0))</f>
        <v/>
      </c>
      <c r="Q808" s="26">
        <f>IF($G808="","",SUMIFS($P$4:$P$2503,$E$4:$E$2503,$E808,$Z$4:$Z$2503,"正常"))</f>
        <v/>
      </c>
      <c r="R808" s="26">
        <f>IF($G808="","",SUMIFS(费用台账!$I$4:$I$503,费用台账!$C$4:$C$503,$E808,费用台账!$J$4:$J$503,"是",费用台账!$K$4:$K$503,"正常"))</f>
        <v/>
      </c>
      <c r="S808" s="28">
        <f>IF($G808="","",COUNTIFS($E$4:$E$2503,$E808,$Z$4:$Z$2503,"正常",$Y$4:$Y$2503,"待补价"))</f>
        <v/>
      </c>
      <c r="T808" s="26">
        <f>IF($G808="","",SUMIFS($P$4:$P$2503,$E$4:$E$2503,$E808,$Z$4:$Z$2503,"正常",$A$4:$A$2503,"&lt;="&amp;$A808))</f>
        <v/>
      </c>
      <c r="U808" s="26">
        <f>IF($G808="","",IF(OR($S808&gt;0,$Q808=0,$R808=0,$Z808&lt;&gt;"正常"),0,ROUND($T808/$Q808*$R808,0)-ROUND(($T808-$P808)/$Q808*$R808,0)))</f>
        <v/>
      </c>
      <c r="V808" s="26">
        <f>IF($G808="","",ROUND($P808+$U808,0))</f>
        <v/>
      </c>
      <c r="W808" s="26">
        <f>IF($G808="","",IF(N($K808)=0,0,ROUND($V808/$K808,2)))</f>
        <v/>
      </c>
      <c r="X808" s="17" t="inlineStr">
        <is>
          <t>采购入库</t>
        </is>
      </c>
      <c r="Y808" s="17" t="inlineStr">
        <is>
          <t>正常</t>
        </is>
      </c>
      <c r="Z808" s="17" t="inlineStr">
        <is>
          <t>正常</t>
        </is>
      </c>
      <c r="AA808" s="17" t="n"/>
      <c r="AB808" s="17" t="inlineStr">
        <is>
          <t>原表第 816 行</t>
        </is>
      </c>
      <c r="AC808" s="24">
        <f>IF($G808="","",IF($H808="※编码不在物料档案里","※物料编码不在档案里",IF(N($K808)&lt;=0,"※入库数量要大于 0",IF(AND($C808&lt;&gt;"",$C808&lt;=结账锁),"※日期早于已结账截止日，不能再录",IF(AND($L808=0,$X808="正常"),"※没填单价，价格状态请选「待补价」",IF(AND($S808&gt;0,$R808&gt;0),"△本批有 "&amp;$S808&amp;" 行没单价，整批运费先挂账没摊",IF(AND($B808&lt;&gt;"",COUNTIF($B$4:$B$2503,$B808)&gt;1),"※入库单号重复","")))))))</f>
        <v/>
      </c>
    </row>
    <row r="809">
      <c r="A809" s="24">
        <f>IF($G809="","",COUNTA($G$4:$G809))</f>
        <v/>
      </c>
      <c r="B809" s="17" t="n"/>
      <c r="C809" s="30" t="n">
        <v>46158</v>
      </c>
      <c r="D809" s="17" t="inlineStr">
        <is>
          <t>A国内</t>
        </is>
      </c>
      <c r="E809" s="17" t="inlineStr">
        <is>
          <t>DRYU9381826-202605</t>
        </is>
      </c>
      <c r="F809" s="17" t="inlineStr">
        <is>
          <t>楷博</t>
        </is>
      </c>
      <c r="G809" s="17" t="inlineStr">
        <is>
          <t>JH0736</t>
        </is>
      </c>
      <c r="H809" s="24">
        <f>IF($G809="","",IFERROR(VLOOKUP($G809,物料档案!$A$4:$P$1203,3,0),"※编码不在物料档案里"))</f>
        <v/>
      </c>
      <c r="I809" s="24">
        <f>IF($G809="","",IFERROR(VLOOKUP($G809,物料档案!$A$4:$P$1203,4,0),"※编码不在物料档案里"))</f>
        <v/>
      </c>
      <c r="J809" s="24">
        <f>IF($G809="","",IFERROR(VLOOKUP($G809,物料档案!$A$4:$P$1203,5,0),"※编码不在物料档案里"))</f>
        <v/>
      </c>
      <c r="K809" s="23" t="n">
        <v>2</v>
      </c>
      <c r="L809" s="31" t="n">
        <v>6</v>
      </c>
      <c r="M809" s="24">
        <f>IF($G809="","",IF($D809="A国内","CNY","TZS"))</f>
        <v/>
      </c>
      <c r="N809" s="28">
        <f>IF($G809="","",IF($D809="A国内",汇率,1))</f>
        <v/>
      </c>
      <c r="O809" s="25">
        <f>IF($G809="","",ROUND(N($K809)*N($L809),2))</f>
        <v/>
      </c>
      <c r="P809" s="26">
        <f>IF($G809="","",ROUND($O809*$N809,0))</f>
        <v/>
      </c>
      <c r="Q809" s="26">
        <f>IF($G809="","",SUMIFS($P$4:$P$2503,$E$4:$E$2503,$E809,$Z$4:$Z$2503,"正常"))</f>
        <v/>
      </c>
      <c r="R809" s="26">
        <f>IF($G809="","",SUMIFS(费用台账!$I$4:$I$503,费用台账!$C$4:$C$503,$E809,费用台账!$J$4:$J$503,"是",费用台账!$K$4:$K$503,"正常"))</f>
        <v/>
      </c>
      <c r="S809" s="28">
        <f>IF($G809="","",COUNTIFS($E$4:$E$2503,$E809,$Z$4:$Z$2503,"正常",$Y$4:$Y$2503,"待补价"))</f>
        <v/>
      </c>
      <c r="T809" s="26">
        <f>IF($G809="","",SUMIFS($P$4:$P$2503,$E$4:$E$2503,$E809,$Z$4:$Z$2503,"正常",$A$4:$A$2503,"&lt;="&amp;$A809))</f>
        <v/>
      </c>
      <c r="U809" s="26">
        <f>IF($G809="","",IF(OR($S809&gt;0,$Q809=0,$R809=0,$Z809&lt;&gt;"正常"),0,ROUND($T809/$Q809*$R809,0)-ROUND(($T809-$P809)/$Q809*$R809,0)))</f>
        <v/>
      </c>
      <c r="V809" s="26">
        <f>IF($G809="","",ROUND($P809+$U809,0))</f>
        <v/>
      </c>
      <c r="W809" s="26">
        <f>IF($G809="","",IF(N($K809)=0,0,ROUND($V809/$K809,2)))</f>
        <v/>
      </c>
      <c r="X809" s="17" t="inlineStr">
        <is>
          <t>采购入库</t>
        </is>
      </c>
      <c r="Y809" s="17" t="inlineStr">
        <is>
          <t>正常</t>
        </is>
      </c>
      <c r="Z809" s="17" t="inlineStr">
        <is>
          <t>正常</t>
        </is>
      </c>
      <c r="AA809" s="17" t="n"/>
      <c r="AB809" s="17" t="inlineStr">
        <is>
          <t>原表第 817 行</t>
        </is>
      </c>
      <c r="AC809" s="24">
        <f>IF($G809="","",IF($H809="※编码不在物料档案里","※物料编码不在档案里",IF(N($K809)&lt;=0,"※入库数量要大于 0",IF(AND($C809&lt;&gt;"",$C809&lt;=结账锁),"※日期早于已结账截止日，不能再录",IF(AND($L809=0,$X809="正常"),"※没填单价，价格状态请选「待补价」",IF(AND($S809&gt;0,$R809&gt;0),"△本批有 "&amp;$S809&amp;" 行没单价，整批运费先挂账没摊",IF(AND($B809&lt;&gt;"",COUNTIF($B$4:$B$2503,$B809)&gt;1),"※入库单号重复","")))))))</f>
        <v/>
      </c>
    </row>
    <row r="810">
      <c r="A810" s="24">
        <f>IF($G810="","",COUNTA($G$4:$G810))</f>
        <v/>
      </c>
      <c r="B810" s="17" t="n"/>
      <c r="C810" s="30" t="n">
        <v>46158</v>
      </c>
      <c r="D810" s="17" t="inlineStr">
        <is>
          <t>A国内</t>
        </is>
      </c>
      <c r="E810" s="17" t="inlineStr">
        <is>
          <t>DRYU9381826-202605</t>
        </is>
      </c>
      <c r="F810" s="17" t="inlineStr">
        <is>
          <t>楷博</t>
        </is>
      </c>
      <c r="G810" s="17" t="inlineStr">
        <is>
          <t>JH0737</t>
        </is>
      </c>
      <c r="H810" s="24">
        <f>IF($G810="","",IFERROR(VLOOKUP($G810,物料档案!$A$4:$P$1203,3,0),"※编码不在物料档案里"))</f>
        <v/>
      </c>
      <c r="I810" s="24">
        <f>IF($G810="","",IFERROR(VLOOKUP($G810,物料档案!$A$4:$P$1203,4,0),"※编码不在物料档案里"))</f>
        <v/>
      </c>
      <c r="J810" s="24">
        <f>IF($G810="","",IFERROR(VLOOKUP($G810,物料档案!$A$4:$P$1203,5,0),"※编码不在物料档案里"))</f>
        <v/>
      </c>
      <c r="K810" s="23" t="n">
        <v>50</v>
      </c>
      <c r="L810" s="31" t="n">
        <v>22</v>
      </c>
      <c r="M810" s="24">
        <f>IF($G810="","",IF($D810="A国内","CNY","TZS"))</f>
        <v/>
      </c>
      <c r="N810" s="28">
        <f>IF($G810="","",IF($D810="A国内",汇率,1))</f>
        <v/>
      </c>
      <c r="O810" s="25">
        <f>IF($G810="","",ROUND(N($K810)*N($L810),2))</f>
        <v/>
      </c>
      <c r="P810" s="26">
        <f>IF($G810="","",ROUND($O810*$N810,0))</f>
        <v/>
      </c>
      <c r="Q810" s="26">
        <f>IF($G810="","",SUMIFS($P$4:$P$2503,$E$4:$E$2503,$E810,$Z$4:$Z$2503,"正常"))</f>
        <v/>
      </c>
      <c r="R810" s="26">
        <f>IF($G810="","",SUMIFS(费用台账!$I$4:$I$503,费用台账!$C$4:$C$503,$E810,费用台账!$J$4:$J$503,"是",费用台账!$K$4:$K$503,"正常"))</f>
        <v/>
      </c>
      <c r="S810" s="28">
        <f>IF($G810="","",COUNTIFS($E$4:$E$2503,$E810,$Z$4:$Z$2503,"正常",$Y$4:$Y$2503,"待补价"))</f>
        <v/>
      </c>
      <c r="T810" s="26">
        <f>IF($G810="","",SUMIFS($P$4:$P$2503,$E$4:$E$2503,$E810,$Z$4:$Z$2503,"正常",$A$4:$A$2503,"&lt;="&amp;$A810))</f>
        <v/>
      </c>
      <c r="U810" s="26">
        <f>IF($G810="","",IF(OR($S810&gt;0,$Q810=0,$R810=0,$Z810&lt;&gt;"正常"),0,ROUND($T810/$Q810*$R810,0)-ROUND(($T810-$P810)/$Q810*$R810,0)))</f>
        <v/>
      </c>
      <c r="V810" s="26">
        <f>IF($G810="","",ROUND($P810+$U810,0))</f>
        <v/>
      </c>
      <c r="W810" s="26">
        <f>IF($G810="","",IF(N($K810)=0,0,ROUND($V810/$K810,2)))</f>
        <v/>
      </c>
      <c r="X810" s="17" t="inlineStr">
        <is>
          <t>采购入库</t>
        </is>
      </c>
      <c r="Y810" s="17" t="inlineStr">
        <is>
          <t>正常</t>
        </is>
      </c>
      <c r="Z810" s="17" t="inlineStr">
        <is>
          <t>正常</t>
        </is>
      </c>
      <c r="AA810" s="17" t="n"/>
      <c r="AB810" s="17" t="inlineStr">
        <is>
          <t>原表第 818 行</t>
        </is>
      </c>
      <c r="AC810" s="24">
        <f>IF($G810="","",IF($H810="※编码不在物料档案里","※物料编码不在档案里",IF(N($K810)&lt;=0,"※入库数量要大于 0",IF(AND($C810&lt;&gt;"",$C810&lt;=结账锁),"※日期早于已结账截止日，不能再录",IF(AND($L810=0,$X810="正常"),"※没填单价，价格状态请选「待补价」",IF(AND($S810&gt;0,$R810&gt;0),"△本批有 "&amp;$S810&amp;" 行没单价，整批运费先挂账没摊",IF(AND($B810&lt;&gt;"",COUNTIF($B$4:$B$2503,$B810)&gt;1),"※入库单号重复","")))))))</f>
        <v/>
      </c>
    </row>
    <row r="811">
      <c r="A811" s="24">
        <f>IF($G811="","",COUNTA($G$4:$G811))</f>
        <v/>
      </c>
      <c r="B811" s="17" t="n"/>
      <c r="C811" s="30" t="n">
        <v>46158</v>
      </c>
      <c r="D811" s="17" t="inlineStr">
        <is>
          <t>A国内</t>
        </is>
      </c>
      <c r="E811" s="17" t="inlineStr">
        <is>
          <t>DRYU9381826-202605</t>
        </is>
      </c>
      <c r="F811" s="17" t="inlineStr">
        <is>
          <t>楷博</t>
        </is>
      </c>
      <c r="G811" s="17" t="inlineStr">
        <is>
          <t>JH0738</t>
        </is>
      </c>
      <c r="H811" s="24">
        <f>IF($G811="","",IFERROR(VLOOKUP($G811,物料档案!$A$4:$P$1203,3,0),"※编码不在物料档案里"))</f>
        <v/>
      </c>
      <c r="I811" s="24">
        <f>IF($G811="","",IFERROR(VLOOKUP($G811,物料档案!$A$4:$P$1203,4,0),"※编码不在物料档案里"))</f>
        <v/>
      </c>
      <c r="J811" s="24">
        <f>IF($G811="","",IFERROR(VLOOKUP($G811,物料档案!$A$4:$P$1203,5,0),"※编码不在物料档案里"))</f>
        <v/>
      </c>
      <c r="K811" s="23" t="n">
        <v>50</v>
      </c>
      <c r="L811" s="31" t="n">
        <v>24</v>
      </c>
      <c r="M811" s="24">
        <f>IF($G811="","",IF($D811="A国内","CNY","TZS"))</f>
        <v/>
      </c>
      <c r="N811" s="28">
        <f>IF($G811="","",IF($D811="A国内",汇率,1))</f>
        <v/>
      </c>
      <c r="O811" s="25">
        <f>IF($G811="","",ROUND(N($K811)*N($L811),2))</f>
        <v/>
      </c>
      <c r="P811" s="26">
        <f>IF($G811="","",ROUND($O811*$N811,0))</f>
        <v/>
      </c>
      <c r="Q811" s="26">
        <f>IF($G811="","",SUMIFS($P$4:$P$2503,$E$4:$E$2503,$E811,$Z$4:$Z$2503,"正常"))</f>
        <v/>
      </c>
      <c r="R811" s="26">
        <f>IF($G811="","",SUMIFS(费用台账!$I$4:$I$503,费用台账!$C$4:$C$503,$E811,费用台账!$J$4:$J$503,"是",费用台账!$K$4:$K$503,"正常"))</f>
        <v/>
      </c>
      <c r="S811" s="28">
        <f>IF($G811="","",COUNTIFS($E$4:$E$2503,$E811,$Z$4:$Z$2503,"正常",$Y$4:$Y$2503,"待补价"))</f>
        <v/>
      </c>
      <c r="T811" s="26">
        <f>IF($G811="","",SUMIFS($P$4:$P$2503,$E$4:$E$2503,$E811,$Z$4:$Z$2503,"正常",$A$4:$A$2503,"&lt;="&amp;$A811))</f>
        <v/>
      </c>
      <c r="U811" s="26">
        <f>IF($G811="","",IF(OR($S811&gt;0,$Q811=0,$R811=0,$Z811&lt;&gt;"正常"),0,ROUND($T811/$Q811*$R811,0)-ROUND(($T811-$P811)/$Q811*$R811,0)))</f>
        <v/>
      </c>
      <c r="V811" s="26">
        <f>IF($G811="","",ROUND($P811+$U811,0))</f>
        <v/>
      </c>
      <c r="W811" s="26">
        <f>IF($G811="","",IF(N($K811)=0,0,ROUND($V811/$K811,2)))</f>
        <v/>
      </c>
      <c r="X811" s="17" t="inlineStr">
        <is>
          <t>采购入库</t>
        </is>
      </c>
      <c r="Y811" s="17" t="inlineStr">
        <is>
          <t>正常</t>
        </is>
      </c>
      <c r="Z811" s="17" t="inlineStr">
        <is>
          <t>正常</t>
        </is>
      </c>
      <c r="AA811" s="17" t="n"/>
      <c r="AB811" s="17" t="inlineStr">
        <is>
          <t>原表第 819 行</t>
        </is>
      </c>
      <c r="AC811" s="24">
        <f>IF($G811="","",IF($H811="※编码不在物料档案里","※物料编码不在档案里",IF(N($K811)&lt;=0,"※入库数量要大于 0",IF(AND($C811&lt;&gt;"",$C811&lt;=结账锁),"※日期早于已结账截止日，不能再录",IF(AND($L811=0,$X811="正常"),"※没填单价，价格状态请选「待补价」",IF(AND($S811&gt;0,$R811&gt;0),"△本批有 "&amp;$S811&amp;" 行没单价，整批运费先挂账没摊",IF(AND($B811&lt;&gt;"",COUNTIF($B$4:$B$2503,$B811)&gt;1),"※入库单号重复","")))))))</f>
        <v/>
      </c>
    </row>
    <row r="812">
      <c r="A812" s="24">
        <f>IF($G812="","",COUNTA($G$4:$G812))</f>
        <v/>
      </c>
      <c r="B812" s="17" t="n"/>
      <c r="C812" s="30" t="n">
        <v>46158</v>
      </c>
      <c r="D812" s="17" t="inlineStr">
        <is>
          <t>A国内</t>
        </is>
      </c>
      <c r="E812" s="17" t="inlineStr">
        <is>
          <t>DRYU9381826-202605</t>
        </is>
      </c>
      <c r="F812" s="17" t="inlineStr">
        <is>
          <t>楷博</t>
        </is>
      </c>
      <c r="G812" s="17" t="inlineStr">
        <is>
          <t>JH0739</t>
        </is>
      </c>
      <c r="H812" s="24">
        <f>IF($G812="","",IFERROR(VLOOKUP($G812,物料档案!$A$4:$P$1203,3,0),"※编码不在物料档案里"))</f>
        <v/>
      </c>
      <c r="I812" s="24">
        <f>IF($G812="","",IFERROR(VLOOKUP($G812,物料档案!$A$4:$P$1203,4,0),"※编码不在物料档案里"))</f>
        <v/>
      </c>
      <c r="J812" s="24">
        <f>IF($G812="","",IFERROR(VLOOKUP($G812,物料档案!$A$4:$P$1203,5,0),"※编码不在物料档案里"))</f>
        <v/>
      </c>
      <c r="K812" s="23" t="n">
        <v>60</v>
      </c>
      <c r="L812" s="31" t="n">
        <v>25</v>
      </c>
      <c r="M812" s="24">
        <f>IF($G812="","",IF($D812="A国内","CNY","TZS"))</f>
        <v/>
      </c>
      <c r="N812" s="28">
        <f>IF($G812="","",IF($D812="A国内",汇率,1))</f>
        <v/>
      </c>
      <c r="O812" s="25">
        <f>IF($G812="","",ROUND(N($K812)*N($L812),2))</f>
        <v/>
      </c>
      <c r="P812" s="26">
        <f>IF($G812="","",ROUND($O812*$N812,0))</f>
        <v/>
      </c>
      <c r="Q812" s="26">
        <f>IF($G812="","",SUMIFS($P$4:$P$2503,$E$4:$E$2503,$E812,$Z$4:$Z$2503,"正常"))</f>
        <v/>
      </c>
      <c r="R812" s="26">
        <f>IF($G812="","",SUMIFS(费用台账!$I$4:$I$503,费用台账!$C$4:$C$503,$E812,费用台账!$J$4:$J$503,"是",费用台账!$K$4:$K$503,"正常"))</f>
        <v/>
      </c>
      <c r="S812" s="28">
        <f>IF($G812="","",COUNTIFS($E$4:$E$2503,$E812,$Z$4:$Z$2503,"正常",$Y$4:$Y$2503,"待补价"))</f>
        <v/>
      </c>
      <c r="T812" s="26">
        <f>IF($G812="","",SUMIFS($P$4:$P$2503,$E$4:$E$2503,$E812,$Z$4:$Z$2503,"正常",$A$4:$A$2503,"&lt;="&amp;$A812))</f>
        <v/>
      </c>
      <c r="U812" s="26">
        <f>IF($G812="","",IF(OR($S812&gt;0,$Q812=0,$R812=0,$Z812&lt;&gt;"正常"),0,ROUND($T812/$Q812*$R812,0)-ROUND(($T812-$P812)/$Q812*$R812,0)))</f>
        <v/>
      </c>
      <c r="V812" s="26">
        <f>IF($G812="","",ROUND($P812+$U812,0))</f>
        <v/>
      </c>
      <c r="W812" s="26">
        <f>IF($G812="","",IF(N($K812)=0,0,ROUND($V812/$K812,2)))</f>
        <v/>
      </c>
      <c r="X812" s="17" t="inlineStr">
        <is>
          <t>采购入库</t>
        </is>
      </c>
      <c r="Y812" s="17" t="inlineStr">
        <is>
          <t>正常</t>
        </is>
      </c>
      <c r="Z812" s="17" t="inlineStr">
        <is>
          <t>正常</t>
        </is>
      </c>
      <c r="AA812" s="17" t="n"/>
      <c r="AB812" s="17" t="inlineStr">
        <is>
          <t>原表第 820 行</t>
        </is>
      </c>
      <c r="AC812" s="24">
        <f>IF($G812="","",IF($H812="※编码不在物料档案里","※物料编码不在档案里",IF(N($K812)&lt;=0,"※入库数量要大于 0",IF(AND($C812&lt;&gt;"",$C812&lt;=结账锁),"※日期早于已结账截止日，不能再录",IF(AND($L812=0,$X812="正常"),"※没填单价，价格状态请选「待补价」",IF(AND($S812&gt;0,$R812&gt;0),"△本批有 "&amp;$S812&amp;" 行没单价，整批运费先挂账没摊",IF(AND($B812&lt;&gt;"",COUNTIF($B$4:$B$2503,$B812)&gt;1),"※入库单号重复","")))))))</f>
        <v/>
      </c>
    </row>
    <row r="813">
      <c r="A813" s="24">
        <f>IF($G813="","",COUNTA($G$4:$G813))</f>
        <v/>
      </c>
      <c r="B813" s="17" t="n"/>
      <c r="C813" s="30" t="n">
        <v>46158</v>
      </c>
      <c r="D813" s="17" t="inlineStr">
        <is>
          <t>A国内</t>
        </is>
      </c>
      <c r="E813" s="17" t="inlineStr">
        <is>
          <t>DRYU9381826-202605</t>
        </is>
      </c>
      <c r="F813" s="17" t="inlineStr">
        <is>
          <t>楷博</t>
        </is>
      </c>
      <c r="G813" s="17" t="inlineStr">
        <is>
          <t>JH0740</t>
        </is>
      </c>
      <c r="H813" s="24">
        <f>IF($G813="","",IFERROR(VLOOKUP($G813,物料档案!$A$4:$P$1203,3,0),"※编码不在物料档案里"))</f>
        <v/>
      </c>
      <c r="I813" s="24">
        <f>IF($G813="","",IFERROR(VLOOKUP($G813,物料档案!$A$4:$P$1203,4,0),"※编码不在物料档案里"))</f>
        <v/>
      </c>
      <c r="J813" s="24">
        <f>IF($G813="","",IFERROR(VLOOKUP($G813,物料档案!$A$4:$P$1203,5,0),"※编码不在物料档案里"))</f>
        <v/>
      </c>
      <c r="K813" s="23" t="n">
        <v>30</v>
      </c>
      <c r="L813" s="31" t="n">
        <v>16</v>
      </c>
      <c r="M813" s="24">
        <f>IF($G813="","",IF($D813="A国内","CNY","TZS"))</f>
        <v/>
      </c>
      <c r="N813" s="28">
        <f>IF($G813="","",IF($D813="A国内",汇率,1))</f>
        <v/>
      </c>
      <c r="O813" s="25">
        <f>IF($G813="","",ROUND(N($K813)*N($L813),2))</f>
        <v/>
      </c>
      <c r="P813" s="26">
        <f>IF($G813="","",ROUND($O813*$N813,0))</f>
        <v/>
      </c>
      <c r="Q813" s="26">
        <f>IF($G813="","",SUMIFS($P$4:$P$2503,$E$4:$E$2503,$E813,$Z$4:$Z$2503,"正常"))</f>
        <v/>
      </c>
      <c r="R813" s="26">
        <f>IF($G813="","",SUMIFS(费用台账!$I$4:$I$503,费用台账!$C$4:$C$503,$E813,费用台账!$J$4:$J$503,"是",费用台账!$K$4:$K$503,"正常"))</f>
        <v/>
      </c>
      <c r="S813" s="28">
        <f>IF($G813="","",COUNTIFS($E$4:$E$2503,$E813,$Z$4:$Z$2503,"正常",$Y$4:$Y$2503,"待补价"))</f>
        <v/>
      </c>
      <c r="T813" s="26">
        <f>IF($G813="","",SUMIFS($P$4:$P$2503,$E$4:$E$2503,$E813,$Z$4:$Z$2503,"正常",$A$4:$A$2503,"&lt;="&amp;$A813))</f>
        <v/>
      </c>
      <c r="U813" s="26">
        <f>IF($G813="","",IF(OR($S813&gt;0,$Q813=0,$R813=0,$Z813&lt;&gt;"正常"),0,ROUND($T813/$Q813*$R813,0)-ROUND(($T813-$P813)/$Q813*$R813,0)))</f>
        <v/>
      </c>
      <c r="V813" s="26">
        <f>IF($G813="","",ROUND($P813+$U813,0))</f>
        <v/>
      </c>
      <c r="W813" s="26">
        <f>IF($G813="","",IF(N($K813)=0,0,ROUND($V813/$K813,2)))</f>
        <v/>
      </c>
      <c r="X813" s="17" t="inlineStr">
        <is>
          <t>采购入库</t>
        </is>
      </c>
      <c r="Y813" s="17" t="inlineStr">
        <is>
          <t>正常</t>
        </is>
      </c>
      <c r="Z813" s="17" t="inlineStr">
        <is>
          <t>正常</t>
        </is>
      </c>
      <c r="AA813" s="17" t="n"/>
      <c r="AB813" s="17" t="inlineStr">
        <is>
          <t>原表第 821 行</t>
        </is>
      </c>
      <c r="AC813" s="24">
        <f>IF($G813="","",IF($H813="※编码不在物料档案里","※物料编码不在档案里",IF(N($K813)&lt;=0,"※入库数量要大于 0",IF(AND($C813&lt;&gt;"",$C813&lt;=结账锁),"※日期早于已结账截止日，不能再录",IF(AND($L813=0,$X813="正常"),"※没填单价，价格状态请选「待补价」",IF(AND($S813&gt;0,$R813&gt;0),"△本批有 "&amp;$S813&amp;" 行没单价，整批运费先挂账没摊",IF(AND($B813&lt;&gt;"",COUNTIF($B$4:$B$2503,$B813)&gt;1),"※入库单号重复","")))))))</f>
        <v/>
      </c>
    </row>
    <row r="814">
      <c r="A814" s="24">
        <f>IF($G814="","",COUNTA($G$4:$G814))</f>
        <v/>
      </c>
      <c r="B814" s="17" t="n"/>
      <c r="C814" s="30" t="n">
        <v>46158</v>
      </c>
      <c r="D814" s="17" t="inlineStr">
        <is>
          <t>A国内</t>
        </is>
      </c>
      <c r="E814" s="17" t="inlineStr">
        <is>
          <t>DRYU9381826-202605</t>
        </is>
      </c>
      <c r="F814" s="17" t="inlineStr">
        <is>
          <t>楷博</t>
        </is>
      </c>
      <c r="G814" s="17" t="inlineStr">
        <is>
          <t>JH0741</t>
        </is>
      </c>
      <c r="H814" s="24">
        <f>IF($G814="","",IFERROR(VLOOKUP($G814,物料档案!$A$4:$P$1203,3,0),"※编码不在物料档案里"))</f>
        <v/>
      </c>
      <c r="I814" s="24">
        <f>IF($G814="","",IFERROR(VLOOKUP($G814,物料档案!$A$4:$P$1203,4,0),"※编码不在物料档案里"))</f>
        <v/>
      </c>
      <c r="J814" s="24">
        <f>IF($G814="","",IFERROR(VLOOKUP($G814,物料档案!$A$4:$P$1203,5,0),"※编码不在物料档案里"))</f>
        <v/>
      </c>
      <c r="K814" s="23" t="n">
        <v>150</v>
      </c>
      <c r="L814" s="31" t="n">
        <v>2.5</v>
      </c>
      <c r="M814" s="24">
        <f>IF($G814="","",IF($D814="A国内","CNY","TZS"))</f>
        <v/>
      </c>
      <c r="N814" s="28">
        <f>IF($G814="","",IF($D814="A国内",汇率,1))</f>
        <v/>
      </c>
      <c r="O814" s="25">
        <f>IF($G814="","",ROUND(N($K814)*N($L814),2))</f>
        <v/>
      </c>
      <c r="P814" s="26">
        <f>IF($G814="","",ROUND($O814*$N814,0))</f>
        <v/>
      </c>
      <c r="Q814" s="26">
        <f>IF($G814="","",SUMIFS($P$4:$P$2503,$E$4:$E$2503,$E814,$Z$4:$Z$2503,"正常"))</f>
        <v/>
      </c>
      <c r="R814" s="26">
        <f>IF($G814="","",SUMIFS(费用台账!$I$4:$I$503,费用台账!$C$4:$C$503,$E814,费用台账!$J$4:$J$503,"是",费用台账!$K$4:$K$503,"正常"))</f>
        <v/>
      </c>
      <c r="S814" s="28">
        <f>IF($G814="","",COUNTIFS($E$4:$E$2503,$E814,$Z$4:$Z$2503,"正常",$Y$4:$Y$2503,"待补价"))</f>
        <v/>
      </c>
      <c r="T814" s="26">
        <f>IF($G814="","",SUMIFS($P$4:$P$2503,$E$4:$E$2503,$E814,$Z$4:$Z$2503,"正常",$A$4:$A$2503,"&lt;="&amp;$A814))</f>
        <v/>
      </c>
      <c r="U814" s="26">
        <f>IF($G814="","",IF(OR($S814&gt;0,$Q814=0,$R814=0,$Z814&lt;&gt;"正常"),0,ROUND($T814/$Q814*$R814,0)-ROUND(($T814-$P814)/$Q814*$R814,0)))</f>
        <v/>
      </c>
      <c r="V814" s="26">
        <f>IF($G814="","",ROUND($P814+$U814,0))</f>
        <v/>
      </c>
      <c r="W814" s="26">
        <f>IF($G814="","",IF(N($K814)=0,0,ROUND($V814/$K814,2)))</f>
        <v/>
      </c>
      <c r="X814" s="17" t="inlineStr">
        <is>
          <t>采购入库</t>
        </is>
      </c>
      <c r="Y814" s="17" t="inlineStr">
        <is>
          <t>正常</t>
        </is>
      </c>
      <c r="Z814" s="17" t="inlineStr">
        <is>
          <t>正常</t>
        </is>
      </c>
      <c r="AA814" s="17" t="n"/>
      <c r="AB814" s="17" t="inlineStr">
        <is>
          <t>原表第 822 行</t>
        </is>
      </c>
      <c r="AC814" s="24">
        <f>IF($G814="","",IF($H814="※编码不在物料档案里","※物料编码不在档案里",IF(N($K814)&lt;=0,"※入库数量要大于 0",IF(AND($C814&lt;&gt;"",$C814&lt;=结账锁),"※日期早于已结账截止日，不能再录",IF(AND($L814=0,$X814="正常"),"※没填单价，价格状态请选「待补价」",IF(AND($S814&gt;0,$R814&gt;0),"△本批有 "&amp;$S814&amp;" 行没单价，整批运费先挂账没摊",IF(AND($B814&lt;&gt;"",COUNTIF($B$4:$B$2503,$B814)&gt;1),"※入库单号重复","")))))))</f>
        <v/>
      </c>
    </row>
    <row r="815">
      <c r="A815" s="24">
        <f>IF($G815="","",COUNTA($G$4:$G815))</f>
        <v/>
      </c>
      <c r="B815" s="17" t="n"/>
      <c r="C815" s="30" t="n">
        <v>46158</v>
      </c>
      <c r="D815" s="17" t="inlineStr">
        <is>
          <t>A国内</t>
        </is>
      </c>
      <c r="E815" s="17" t="inlineStr">
        <is>
          <t>DRYU9381826-202605</t>
        </is>
      </c>
      <c r="F815" s="17" t="inlineStr">
        <is>
          <t>楷博</t>
        </is>
      </c>
      <c r="G815" s="17" t="inlineStr">
        <is>
          <t>JH0742</t>
        </is>
      </c>
      <c r="H815" s="24">
        <f>IF($G815="","",IFERROR(VLOOKUP($G815,物料档案!$A$4:$P$1203,3,0),"※编码不在物料档案里"))</f>
        <v/>
      </c>
      <c r="I815" s="24">
        <f>IF($G815="","",IFERROR(VLOOKUP($G815,物料档案!$A$4:$P$1203,4,0),"※编码不在物料档案里"))</f>
        <v/>
      </c>
      <c r="J815" s="24">
        <f>IF($G815="","",IFERROR(VLOOKUP($G815,物料档案!$A$4:$P$1203,5,0),"※编码不在物料档案里"))</f>
        <v/>
      </c>
      <c r="K815" s="23" t="n">
        <v>6</v>
      </c>
      <c r="L815" s="31" t="n">
        <v>460</v>
      </c>
      <c r="M815" s="24">
        <f>IF($G815="","",IF($D815="A国内","CNY","TZS"))</f>
        <v/>
      </c>
      <c r="N815" s="28">
        <f>IF($G815="","",IF($D815="A国内",汇率,1))</f>
        <v/>
      </c>
      <c r="O815" s="25">
        <f>IF($G815="","",ROUND(N($K815)*N($L815),2))</f>
        <v/>
      </c>
      <c r="P815" s="26">
        <f>IF($G815="","",ROUND($O815*$N815,0))</f>
        <v/>
      </c>
      <c r="Q815" s="26">
        <f>IF($G815="","",SUMIFS($P$4:$P$2503,$E$4:$E$2503,$E815,$Z$4:$Z$2503,"正常"))</f>
        <v/>
      </c>
      <c r="R815" s="26">
        <f>IF($G815="","",SUMIFS(费用台账!$I$4:$I$503,费用台账!$C$4:$C$503,$E815,费用台账!$J$4:$J$503,"是",费用台账!$K$4:$K$503,"正常"))</f>
        <v/>
      </c>
      <c r="S815" s="28">
        <f>IF($G815="","",COUNTIFS($E$4:$E$2503,$E815,$Z$4:$Z$2503,"正常",$Y$4:$Y$2503,"待补价"))</f>
        <v/>
      </c>
      <c r="T815" s="26">
        <f>IF($G815="","",SUMIFS($P$4:$P$2503,$E$4:$E$2503,$E815,$Z$4:$Z$2503,"正常",$A$4:$A$2503,"&lt;="&amp;$A815))</f>
        <v/>
      </c>
      <c r="U815" s="26">
        <f>IF($G815="","",IF(OR($S815&gt;0,$Q815=0,$R815=0,$Z815&lt;&gt;"正常"),0,ROUND($T815/$Q815*$R815,0)-ROUND(($T815-$P815)/$Q815*$R815,0)))</f>
        <v/>
      </c>
      <c r="V815" s="26">
        <f>IF($G815="","",ROUND($P815+$U815,0))</f>
        <v/>
      </c>
      <c r="W815" s="26">
        <f>IF($G815="","",IF(N($K815)=0,0,ROUND($V815/$K815,2)))</f>
        <v/>
      </c>
      <c r="X815" s="17" t="inlineStr">
        <is>
          <t>采购入库</t>
        </is>
      </c>
      <c r="Y815" s="17" t="inlineStr">
        <is>
          <t>正常</t>
        </is>
      </c>
      <c r="Z815" s="17" t="inlineStr">
        <is>
          <t>正常</t>
        </is>
      </c>
      <c r="AA815" s="17" t="n"/>
      <c r="AB815" s="17" t="inlineStr">
        <is>
          <t>原表第 823 行</t>
        </is>
      </c>
      <c r="AC815" s="24">
        <f>IF($G815="","",IF($H815="※编码不在物料档案里","※物料编码不在档案里",IF(N($K815)&lt;=0,"※入库数量要大于 0",IF(AND($C815&lt;&gt;"",$C815&lt;=结账锁),"※日期早于已结账截止日，不能再录",IF(AND($L815=0,$X815="正常"),"※没填单价，价格状态请选「待补价」",IF(AND($S815&gt;0,$R815&gt;0),"△本批有 "&amp;$S815&amp;" 行没单价，整批运费先挂账没摊",IF(AND($B815&lt;&gt;"",COUNTIF($B$4:$B$2503,$B815)&gt;1),"※入库单号重复","")))))))</f>
        <v/>
      </c>
    </row>
    <row r="816">
      <c r="A816" s="24">
        <f>IF($G816="","",COUNTA($G$4:$G816))</f>
        <v/>
      </c>
      <c r="B816" s="17" t="n"/>
      <c r="C816" s="30" t="n">
        <v>46158</v>
      </c>
      <c r="D816" s="17" t="inlineStr">
        <is>
          <t>A国内</t>
        </is>
      </c>
      <c r="E816" s="17" t="inlineStr">
        <is>
          <t>DRYU9381826-202605</t>
        </is>
      </c>
      <c r="F816" s="17" t="inlineStr">
        <is>
          <t>楷博</t>
        </is>
      </c>
      <c r="G816" s="17" t="inlineStr">
        <is>
          <t>JH0743</t>
        </is>
      </c>
      <c r="H816" s="24">
        <f>IF($G816="","",IFERROR(VLOOKUP($G816,物料档案!$A$4:$P$1203,3,0),"※编码不在物料档案里"))</f>
        <v/>
      </c>
      <c r="I816" s="24">
        <f>IF($G816="","",IFERROR(VLOOKUP($G816,物料档案!$A$4:$P$1203,4,0),"※编码不在物料档案里"))</f>
        <v/>
      </c>
      <c r="J816" s="24">
        <f>IF($G816="","",IFERROR(VLOOKUP($G816,物料档案!$A$4:$P$1203,5,0),"※编码不在物料档案里"))</f>
        <v/>
      </c>
      <c r="K816" s="23" t="n">
        <v>10</v>
      </c>
      <c r="L816" s="31" t="n">
        <v>320</v>
      </c>
      <c r="M816" s="24">
        <f>IF($G816="","",IF($D816="A国内","CNY","TZS"))</f>
        <v/>
      </c>
      <c r="N816" s="28">
        <f>IF($G816="","",IF($D816="A国内",汇率,1))</f>
        <v/>
      </c>
      <c r="O816" s="25">
        <f>IF($G816="","",ROUND(N($K816)*N($L816),2))</f>
        <v/>
      </c>
      <c r="P816" s="26">
        <f>IF($G816="","",ROUND($O816*$N816,0))</f>
        <v/>
      </c>
      <c r="Q816" s="26">
        <f>IF($G816="","",SUMIFS($P$4:$P$2503,$E$4:$E$2503,$E816,$Z$4:$Z$2503,"正常"))</f>
        <v/>
      </c>
      <c r="R816" s="26">
        <f>IF($G816="","",SUMIFS(费用台账!$I$4:$I$503,费用台账!$C$4:$C$503,$E816,费用台账!$J$4:$J$503,"是",费用台账!$K$4:$K$503,"正常"))</f>
        <v/>
      </c>
      <c r="S816" s="28">
        <f>IF($G816="","",COUNTIFS($E$4:$E$2503,$E816,$Z$4:$Z$2503,"正常",$Y$4:$Y$2503,"待补价"))</f>
        <v/>
      </c>
      <c r="T816" s="26">
        <f>IF($G816="","",SUMIFS($P$4:$P$2503,$E$4:$E$2503,$E816,$Z$4:$Z$2503,"正常",$A$4:$A$2503,"&lt;="&amp;$A816))</f>
        <v/>
      </c>
      <c r="U816" s="26">
        <f>IF($G816="","",IF(OR($S816&gt;0,$Q816=0,$R816=0,$Z816&lt;&gt;"正常"),0,ROUND($T816/$Q816*$R816,0)-ROUND(($T816-$P816)/$Q816*$R816,0)))</f>
        <v/>
      </c>
      <c r="V816" s="26">
        <f>IF($G816="","",ROUND($P816+$U816,0))</f>
        <v/>
      </c>
      <c r="W816" s="26">
        <f>IF($G816="","",IF(N($K816)=0,0,ROUND($V816/$K816,2)))</f>
        <v/>
      </c>
      <c r="X816" s="17" t="inlineStr">
        <is>
          <t>采购入库</t>
        </is>
      </c>
      <c r="Y816" s="17" t="inlineStr">
        <is>
          <t>正常</t>
        </is>
      </c>
      <c r="Z816" s="17" t="inlineStr">
        <is>
          <t>正常</t>
        </is>
      </c>
      <c r="AA816" s="17" t="n"/>
      <c r="AB816" s="17" t="inlineStr">
        <is>
          <t>原表第 824 行</t>
        </is>
      </c>
      <c r="AC816" s="24">
        <f>IF($G816="","",IF($H816="※编码不在物料档案里","※物料编码不在档案里",IF(N($K816)&lt;=0,"※入库数量要大于 0",IF(AND($C816&lt;&gt;"",$C816&lt;=结账锁),"※日期早于已结账截止日，不能再录",IF(AND($L816=0,$X816="正常"),"※没填单价，价格状态请选「待补价」",IF(AND($S816&gt;0,$R816&gt;0),"△本批有 "&amp;$S816&amp;" 行没单价，整批运费先挂账没摊",IF(AND($B816&lt;&gt;"",COUNTIF($B$4:$B$2503,$B816)&gt;1),"※入库单号重复","")))))))</f>
        <v/>
      </c>
    </row>
    <row r="817">
      <c r="A817" s="24">
        <f>IF($G817="","",COUNTA($G$4:$G817))</f>
        <v/>
      </c>
      <c r="B817" s="17" t="n"/>
      <c r="C817" s="30" t="n">
        <v>46158</v>
      </c>
      <c r="D817" s="17" t="inlineStr">
        <is>
          <t>A国内</t>
        </is>
      </c>
      <c r="E817" s="17" t="inlineStr">
        <is>
          <t>DRYU9381826-202605</t>
        </is>
      </c>
      <c r="F817" s="17" t="inlineStr">
        <is>
          <t>阿里巴巴</t>
        </is>
      </c>
      <c r="G817" s="17" t="inlineStr">
        <is>
          <t>JH0744</t>
        </is>
      </c>
      <c r="H817" s="24">
        <f>IF($G817="","",IFERROR(VLOOKUP($G817,物料档案!$A$4:$P$1203,3,0),"※编码不在物料档案里"))</f>
        <v/>
      </c>
      <c r="I817" s="24">
        <f>IF($G817="","",IFERROR(VLOOKUP($G817,物料档案!$A$4:$P$1203,4,0),"※编码不在物料档案里"))</f>
        <v/>
      </c>
      <c r="J817" s="24">
        <f>IF($G817="","",IFERROR(VLOOKUP($G817,物料档案!$A$4:$P$1203,5,0),"※编码不在物料档案里"))</f>
        <v/>
      </c>
      <c r="K817" s="23" t="n">
        <v>150</v>
      </c>
      <c r="L817" s="31" t="n">
        <v>3.4</v>
      </c>
      <c r="M817" s="24">
        <f>IF($G817="","",IF($D817="A国内","CNY","TZS"))</f>
        <v/>
      </c>
      <c r="N817" s="28">
        <f>IF($G817="","",IF($D817="A国内",汇率,1))</f>
        <v/>
      </c>
      <c r="O817" s="25">
        <f>IF($G817="","",ROUND(N($K817)*N($L817),2))</f>
        <v/>
      </c>
      <c r="P817" s="26">
        <f>IF($G817="","",ROUND($O817*$N817,0))</f>
        <v/>
      </c>
      <c r="Q817" s="26">
        <f>IF($G817="","",SUMIFS($P$4:$P$2503,$E$4:$E$2503,$E817,$Z$4:$Z$2503,"正常"))</f>
        <v/>
      </c>
      <c r="R817" s="26">
        <f>IF($G817="","",SUMIFS(费用台账!$I$4:$I$503,费用台账!$C$4:$C$503,$E817,费用台账!$J$4:$J$503,"是",费用台账!$K$4:$K$503,"正常"))</f>
        <v/>
      </c>
      <c r="S817" s="28">
        <f>IF($G817="","",COUNTIFS($E$4:$E$2503,$E817,$Z$4:$Z$2503,"正常",$Y$4:$Y$2503,"待补价"))</f>
        <v/>
      </c>
      <c r="T817" s="26">
        <f>IF($G817="","",SUMIFS($P$4:$P$2503,$E$4:$E$2503,$E817,$Z$4:$Z$2503,"正常",$A$4:$A$2503,"&lt;="&amp;$A817))</f>
        <v/>
      </c>
      <c r="U817" s="26">
        <f>IF($G817="","",IF(OR($S817&gt;0,$Q817=0,$R817=0,$Z817&lt;&gt;"正常"),0,ROUND($T817/$Q817*$R817,0)-ROUND(($T817-$P817)/$Q817*$R817,0)))</f>
        <v/>
      </c>
      <c r="V817" s="26">
        <f>IF($G817="","",ROUND($P817+$U817,0))</f>
        <v/>
      </c>
      <c r="W817" s="26">
        <f>IF($G817="","",IF(N($K817)=0,0,ROUND($V817/$K817,2)))</f>
        <v/>
      </c>
      <c r="X817" s="17" t="inlineStr">
        <is>
          <t>采购入库</t>
        </is>
      </c>
      <c r="Y817" s="17" t="inlineStr">
        <is>
          <t>正常</t>
        </is>
      </c>
      <c r="Z817" s="17" t="inlineStr">
        <is>
          <t>正常</t>
        </is>
      </c>
      <c r="AA817" s="17" t="n"/>
      <c r="AB817" s="17" t="inlineStr">
        <is>
          <t>原表第 825 行</t>
        </is>
      </c>
      <c r="AC817" s="24">
        <f>IF($G817="","",IF($H817="※编码不在物料档案里","※物料编码不在档案里",IF(N($K817)&lt;=0,"※入库数量要大于 0",IF(AND($C817&lt;&gt;"",$C817&lt;=结账锁),"※日期早于已结账截止日，不能再录",IF(AND($L817=0,$X817="正常"),"※没填单价，价格状态请选「待补价」",IF(AND($S817&gt;0,$R817&gt;0),"△本批有 "&amp;$S817&amp;" 行没单价，整批运费先挂账没摊",IF(AND($B817&lt;&gt;"",COUNTIF($B$4:$B$2503,$B817)&gt;1),"※入库单号重复","")))))))</f>
        <v/>
      </c>
    </row>
    <row r="818">
      <c r="A818" s="24">
        <f>IF($G818="","",COUNTA($G$4:$G818))</f>
        <v/>
      </c>
      <c r="B818" s="17" t="n"/>
      <c r="C818" s="30" t="n">
        <v>46158</v>
      </c>
      <c r="D818" s="17" t="inlineStr">
        <is>
          <t>A国内</t>
        </is>
      </c>
      <c r="E818" s="17" t="inlineStr">
        <is>
          <t>DRYU9381826-202605</t>
        </is>
      </c>
      <c r="F818" s="17" t="inlineStr">
        <is>
          <t>阿里巴巴</t>
        </is>
      </c>
      <c r="G818" s="17" t="inlineStr">
        <is>
          <t>JH0745</t>
        </is>
      </c>
      <c r="H818" s="24">
        <f>IF($G818="","",IFERROR(VLOOKUP($G818,物料档案!$A$4:$P$1203,3,0),"※编码不在物料档案里"))</f>
        <v/>
      </c>
      <c r="I818" s="24">
        <f>IF($G818="","",IFERROR(VLOOKUP($G818,物料档案!$A$4:$P$1203,4,0),"※编码不在物料档案里"))</f>
        <v/>
      </c>
      <c r="J818" s="24">
        <f>IF($G818="","",IFERROR(VLOOKUP($G818,物料档案!$A$4:$P$1203,5,0),"※编码不在物料档案里"))</f>
        <v/>
      </c>
      <c r="K818" s="23" t="n">
        <v>60</v>
      </c>
      <c r="L818" s="31" t="n">
        <v>66.7</v>
      </c>
      <c r="M818" s="24">
        <f>IF($G818="","",IF($D818="A国内","CNY","TZS"))</f>
        <v/>
      </c>
      <c r="N818" s="28">
        <f>IF($G818="","",IF($D818="A国内",汇率,1))</f>
        <v/>
      </c>
      <c r="O818" s="25">
        <f>IF($G818="","",ROUND(N($K818)*N($L818),2))</f>
        <v/>
      </c>
      <c r="P818" s="26">
        <f>IF($G818="","",ROUND($O818*$N818,0))</f>
        <v/>
      </c>
      <c r="Q818" s="26">
        <f>IF($G818="","",SUMIFS($P$4:$P$2503,$E$4:$E$2503,$E818,$Z$4:$Z$2503,"正常"))</f>
        <v/>
      </c>
      <c r="R818" s="26">
        <f>IF($G818="","",SUMIFS(费用台账!$I$4:$I$503,费用台账!$C$4:$C$503,$E818,费用台账!$J$4:$J$503,"是",费用台账!$K$4:$K$503,"正常"))</f>
        <v/>
      </c>
      <c r="S818" s="28">
        <f>IF($G818="","",COUNTIFS($E$4:$E$2503,$E818,$Z$4:$Z$2503,"正常",$Y$4:$Y$2503,"待补价"))</f>
        <v/>
      </c>
      <c r="T818" s="26">
        <f>IF($G818="","",SUMIFS($P$4:$P$2503,$E$4:$E$2503,$E818,$Z$4:$Z$2503,"正常",$A$4:$A$2503,"&lt;="&amp;$A818))</f>
        <v/>
      </c>
      <c r="U818" s="26">
        <f>IF($G818="","",IF(OR($S818&gt;0,$Q818=0,$R818=0,$Z818&lt;&gt;"正常"),0,ROUND($T818/$Q818*$R818,0)-ROUND(($T818-$P818)/$Q818*$R818,0)))</f>
        <v/>
      </c>
      <c r="V818" s="26">
        <f>IF($G818="","",ROUND($P818+$U818,0))</f>
        <v/>
      </c>
      <c r="W818" s="26">
        <f>IF($G818="","",IF(N($K818)=0,0,ROUND($V818/$K818,2)))</f>
        <v/>
      </c>
      <c r="X818" s="17" t="inlineStr">
        <is>
          <t>采购入库</t>
        </is>
      </c>
      <c r="Y818" s="17" t="inlineStr">
        <is>
          <t>正常</t>
        </is>
      </c>
      <c r="Z818" s="17" t="inlineStr">
        <is>
          <t>正常</t>
        </is>
      </c>
      <c r="AA818" s="17" t="n"/>
      <c r="AB818" s="17" t="inlineStr">
        <is>
          <t>原表第 826 行</t>
        </is>
      </c>
      <c r="AC818" s="24">
        <f>IF($G818="","",IF($H818="※编码不在物料档案里","※物料编码不在档案里",IF(N($K818)&lt;=0,"※入库数量要大于 0",IF(AND($C818&lt;&gt;"",$C818&lt;=结账锁),"※日期早于已结账截止日，不能再录",IF(AND($L818=0,$X818="正常"),"※没填单价，价格状态请选「待补价」",IF(AND($S818&gt;0,$R818&gt;0),"△本批有 "&amp;$S818&amp;" 行没单价，整批运费先挂账没摊",IF(AND($B818&lt;&gt;"",COUNTIF($B$4:$B$2503,$B818)&gt;1),"※入库单号重复","")))))))</f>
        <v/>
      </c>
    </row>
    <row r="819">
      <c r="A819" s="24">
        <f>IF($G819="","",COUNTA($G$4:$G819))</f>
        <v/>
      </c>
      <c r="B819" s="17" t="n"/>
      <c r="C819" s="30" t="n">
        <v>46158</v>
      </c>
      <c r="D819" s="17" t="inlineStr">
        <is>
          <t>A国内</t>
        </is>
      </c>
      <c r="E819" s="17" t="inlineStr">
        <is>
          <t>DRYU9381826-202605</t>
        </is>
      </c>
      <c r="F819" s="17" t="inlineStr">
        <is>
          <t>阿里巴巴</t>
        </is>
      </c>
      <c r="G819" s="17" t="inlineStr">
        <is>
          <t>JH0746</t>
        </is>
      </c>
      <c r="H819" s="24">
        <f>IF($G819="","",IFERROR(VLOOKUP($G819,物料档案!$A$4:$P$1203,3,0),"※编码不在物料档案里"))</f>
        <v/>
      </c>
      <c r="I819" s="24">
        <f>IF($G819="","",IFERROR(VLOOKUP($G819,物料档案!$A$4:$P$1203,4,0),"※编码不在物料档案里"))</f>
        <v/>
      </c>
      <c r="J819" s="24">
        <f>IF($G819="","",IFERROR(VLOOKUP($G819,物料档案!$A$4:$P$1203,5,0),"※编码不在物料档案里"))</f>
        <v/>
      </c>
      <c r="K819" s="23" t="n">
        <v>200</v>
      </c>
      <c r="L819" s="31" t="n">
        <v>7.5</v>
      </c>
      <c r="M819" s="24">
        <f>IF($G819="","",IF($D819="A国内","CNY","TZS"))</f>
        <v/>
      </c>
      <c r="N819" s="28">
        <f>IF($G819="","",IF($D819="A国内",汇率,1))</f>
        <v/>
      </c>
      <c r="O819" s="25">
        <f>IF($G819="","",ROUND(N($K819)*N($L819),2))</f>
        <v/>
      </c>
      <c r="P819" s="26">
        <f>IF($G819="","",ROUND($O819*$N819,0))</f>
        <v/>
      </c>
      <c r="Q819" s="26">
        <f>IF($G819="","",SUMIFS($P$4:$P$2503,$E$4:$E$2503,$E819,$Z$4:$Z$2503,"正常"))</f>
        <v/>
      </c>
      <c r="R819" s="26">
        <f>IF($G819="","",SUMIFS(费用台账!$I$4:$I$503,费用台账!$C$4:$C$503,$E819,费用台账!$J$4:$J$503,"是",费用台账!$K$4:$K$503,"正常"))</f>
        <v/>
      </c>
      <c r="S819" s="28">
        <f>IF($G819="","",COUNTIFS($E$4:$E$2503,$E819,$Z$4:$Z$2503,"正常",$Y$4:$Y$2503,"待补价"))</f>
        <v/>
      </c>
      <c r="T819" s="26">
        <f>IF($G819="","",SUMIFS($P$4:$P$2503,$E$4:$E$2503,$E819,$Z$4:$Z$2503,"正常",$A$4:$A$2503,"&lt;="&amp;$A819))</f>
        <v/>
      </c>
      <c r="U819" s="26">
        <f>IF($G819="","",IF(OR($S819&gt;0,$Q819=0,$R819=0,$Z819&lt;&gt;"正常"),0,ROUND($T819/$Q819*$R819,0)-ROUND(($T819-$P819)/$Q819*$R819,0)))</f>
        <v/>
      </c>
      <c r="V819" s="26">
        <f>IF($G819="","",ROUND($P819+$U819,0))</f>
        <v/>
      </c>
      <c r="W819" s="26">
        <f>IF($G819="","",IF(N($K819)=0,0,ROUND($V819/$K819,2)))</f>
        <v/>
      </c>
      <c r="X819" s="17" t="inlineStr">
        <is>
          <t>采购入库</t>
        </is>
      </c>
      <c r="Y819" s="17" t="inlineStr">
        <is>
          <t>正常</t>
        </is>
      </c>
      <c r="Z819" s="17" t="inlineStr">
        <is>
          <t>正常</t>
        </is>
      </c>
      <c r="AA819" s="17" t="n"/>
      <c r="AB819" s="17" t="inlineStr">
        <is>
          <t>原表第 827 行</t>
        </is>
      </c>
      <c r="AC819" s="24">
        <f>IF($G819="","",IF($H819="※编码不在物料档案里","※物料编码不在档案里",IF(N($K819)&lt;=0,"※入库数量要大于 0",IF(AND($C819&lt;&gt;"",$C819&lt;=结账锁),"※日期早于已结账截止日，不能再录",IF(AND($L819=0,$X819="正常"),"※没填单价，价格状态请选「待补价」",IF(AND($S819&gt;0,$R819&gt;0),"△本批有 "&amp;$S819&amp;" 行没单价，整批运费先挂账没摊",IF(AND($B819&lt;&gt;"",COUNTIF($B$4:$B$2503,$B819)&gt;1),"※入库单号重复","")))))))</f>
        <v/>
      </c>
    </row>
    <row r="820">
      <c r="A820" s="24">
        <f>IF($G820="","",COUNTA($G$4:$G820))</f>
        <v/>
      </c>
      <c r="B820" s="17" t="n"/>
      <c r="C820" s="30" t="n">
        <v>46158</v>
      </c>
      <c r="D820" s="17" t="inlineStr">
        <is>
          <t>A国内</t>
        </is>
      </c>
      <c r="E820" s="17" t="inlineStr">
        <is>
          <t>DRYU9381826-202605</t>
        </is>
      </c>
      <c r="F820" s="17" t="inlineStr">
        <is>
          <t>阿里巴巴</t>
        </is>
      </c>
      <c r="G820" s="17" t="inlineStr">
        <is>
          <t>JH0747</t>
        </is>
      </c>
      <c r="H820" s="24">
        <f>IF($G820="","",IFERROR(VLOOKUP($G820,物料档案!$A$4:$P$1203,3,0),"※编码不在物料档案里"))</f>
        <v/>
      </c>
      <c r="I820" s="24">
        <f>IF($G820="","",IFERROR(VLOOKUP($G820,物料档案!$A$4:$P$1203,4,0),"※编码不在物料档案里"))</f>
        <v/>
      </c>
      <c r="J820" s="24">
        <f>IF($G820="","",IFERROR(VLOOKUP($G820,物料档案!$A$4:$P$1203,5,0),"※编码不在物料档案里"))</f>
        <v/>
      </c>
      <c r="K820" s="23" t="n">
        <v>9</v>
      </c>
      <c r="L820" s="31" t="n">
        <v>75</v>
      </c>
      <c r="M820" s="24">
        <f>IF($G820="","",IF($D820="A国内","CNY","TZS"))</f>
        <v/>
      </c>
      <c r="N820" s="28">
        <f>IF($G820="","",IF($D820="A国内",汇率,1))</f>
        <v/>
      </c>
      <c r="O820" s="25">
        <f>IF($G820="","",ROUND(N($K820)*N($L820),2))</f>
        <v/>
      </c>
      <c r="P820" s="26">
        <f>IF($G820="","",ROUND($O820*$N820,0))</f>
        <v/>
      </c>
      <c r="Q820" s="26">
        <f>IF($G820="","",SUMIFS($P$4:$P$2503,$E$4:$E$2503,$E820,$Z$4:$Z$2503,"正常"))</f>
        <v/>
      </c>
      <c r="R820" s="26">
        <f>IF($G820="","",SUMIFS(费用台账!$I$4:$I$503,费用台账!$C$4:$C$503,$E820,费用台账!$J$4:$J$503,"是",费用台账!$K$4:$K$503,"正常"))</f>
        <v/>
      </c>
      <c r="S820" s="28">
        <f>IF($G820="","",COUNTIFS($E$4:$E$2503,$E820,$Z$4:$Z$2503,"正常",$Y$4:$Y$2503,"待补价"))</f>
        <v/>
      </c>
      <c r="T820" s="26">
        <f>IF($G820="","",SUMIFS($P$4:$P$2503,$E$4:$E$2503,$E820,$Z$4:$Z$2503,"正常",$A$4:$A$2503,"&lt;="&amp;$A820))</f>
        <v/>
      </c>
      <c r="U820" s="26">
        <f>IF($G820="","",IF(OR($S820&gt;0,$Q820=0,$R820=0,$Z820&lt;&gt;"正常"),0,ROUND($T820/$Q820*$R820,0)-ROUND(($T820-$P820)/$Q820*$R820,0)))</f>
        <v/>
      </c>
      <c r="V820" s="26">
        <f>IF($G820="","",ROUND($P820+$U820,0))</f>
        <v/>
      </c>
      <c r="W820" s="26">
        <f>IF($G820="","",IF(N($K820)=0,0,ROUND($V820/$K820,2)))</f>
        <v/>
      </c>
      <c r="X820" s="17" t="inlineStr">
        <is>
          <t>采购入库</t>
        </is>
      </c>
      <c r="Y820" s="17" t="inlineStr">
        <is>
          <t>正常</t>
        </is>
      </c>
      <c r="Z820" s="17" t="inlineStr">
        <is>
          <t>正常</t>
        </is>
      </c>
      <c r="AA820" s="17" t="n"/>
      <c r="AB820" s="17" t="inlineStr">
        <is>
          <t>原表第 828 行</t>
        </is>
      </c>
      <c r="AC820" s="24">
        <f>IF($G820="","",IF($H820="※编码不在物料档案里","※物料编码不在档案里",IF(N($K820)&lt;=0,"※入库数量要大于 0",IF(AND($C820&lt;&gt;"",$C820&lt;=结账锁),"※日期早于已结账截止日，不能再录",IF(AND($L820=0,$X820="正常"),"※没填单价，价格状态请选「待补价」",IF(AND($S820&gt;0,$R820&gt;0),"△本批有 "&amp;$S820&amp;" 行没单价，整批运费先挂账没摊",IF(AND($B820&lt;&gt;"",COUNTIF($B$4:$B$2503,$B820)&gt;1),"※入库单号重复","")))))))</f>
        <v/>
      </c>
    </row>
    <row r="821">
      <c r="A821" s="24">
        <f>IF($G821="","",COUNTA($G$4:$G821))</f>
        <v/>
      </c>
      <c r="B821" s="17" t="n"/>
      <c r="C821" s="30" t="n">
        <v>46158</v>
      </c>
      <c r="D821" s="17" t="inlineStr">
        <is>
          <t>A国内</t>
        </is>
      </c>
      <c r="E821" s="17" t="inlineStr">
        <is>
          <t>DRYU9381826-202605</t>
        </is>
      </c>
      <c r="F821" s="17" t="inlineStr">
        <is>
          <t>阿里巴巴</t>
        </is>
      </c>
      <c r="G821" s="17" t="inlineStr">
        <is>
          <t>JH0748</t>
        </is>
      </c>
      <c r="H821" s="24">
        <f>IF($G821="","",IFERROR(VLOOKUP($G821,物料档案!$A$4:$P$1203,3,0),"※编码不在物料档案里"))</f>
        <v/>
      </c>
      <c r="I821" s="24">
        <f>IF($G821="","",IFERROR(VLOOKUP($G821,物料档案!$A$4:$P$1203,4,0),"※编码不在物料档案里"))</f>
        <v/>
      </c>
      <c r="J821" s="24">
        <f>IF($G821="","",IFERROR(VLOOKUP($G821,物料档案!$A$4:$P$1203,5,0),"※编码不在物料档案里"))</f>
        <v/>
      </c>
      <c r="K821" s="23" t="n">
        <v>2</v>
      </c>
      <c r="L821" s="31" t="n">
        <v>90</v>
      </c>
      <c r="M821" s="24">
        <f>IF($G821="","",IF($D821="A国内","CNY","TZS"))</f>
        <v/>
      </c>
      <c r="N821" s="28">
        <f>IF($G821="","",IF($D821="A国内",汇率,1))</f>
        <v/>
      </c>
      <c r="O821" s="25">
        <f>IF($G821="","",ROUND(N($K821)*N($L821),2))</f>
        <v/>
      </c>
      <c r="P821" s="26">
        <f>IF($G821="","",ROUND($O821*$N821,0))</f>
        <v/>
      </c>
      <c r="Q821" s="26">
        <f>IF($G821="","",SUMIFS($P$4:$P$2503,$E$4:$E$2503,$E821,$Z$4:$Z$2503,"正常"))</f>
        <v/>
      </c>
      <c r="R821" s="26">
        <f>IF($G821="","",SUMIFS(费用台账!$I$4:$I$503,费用台账!$C$4:$C$503,$E821,费用台账!$J$4:$J$503,"是",费用台账!$K$4:$K$503,"正常"))</f>
        <v/>
      </c>
      <c r="S821" s="28">
        <f>IF($G821="","",COUNTIFS($E$4:$E$2503,$E821,$Z$4:$Z$2503,"正常",$Y$4:$Y$2503,"待补价"))</f>
        <v/>
      </c>
      <c r="T821" s="26">
        <f>IF($G821="","",SUMIFS($P$4:$P$2503,$E$4:$E$2503,$E821,$Z$4:$Z$2503,"正常",$A$4:$A$2503,"&lt;="&amp;$A821))</f>
        <v/>
      </c>
      <c r="U821" s="26">
        <f>IF($G821="","",IF(OR($S821&gt;0,$Q821=0,$R821=0,$Z821&lt;&gt;"正常"),0,ROUND($T821/$Q821*$R821,0)-ROUND(($T821-$P821)/$Q821*$R821,0)))</f>
        <v/>
      </c>
      <c r="V821" s="26">
        <f>IF($G821="","",ROUND($P821+$U821,0))</f>
        <v/>
      </c>
      <c r="W821" s="26">
        <f>IF($G821="","",IF(N($K821)=0,0,ROUND($V821/$K821,2)))</f>
        <v/>
      </c>
      <c r="X821" s="17" t="inlineStr">
        <is>
          <t>采购入库</t>
        </is>
      </c>
      <c r="Y821" s="17" t="inlineStr">
        <is>
          <t>正常</t>
        </is>
      </c>
      <c r="Z821" s="17" t="inlineStr">
        <is>
          <t>正常</t>
        </is>
      </c>
      <c r="AA821" s="17" t="n"/>
      <c r="AB821" s="17" t="inlineStr">
        <is>
          <t>原表第 829 行</t>
        </is>
      </c>
      <c r="AC821" s="24">
        <f>IF($G821="","",IF($H821="※编码不在物料档案里","※物料编码不在档案里",IF(N($K821)&lt;=0,"※入库数量要大于 0",IF(AND($C821&lt;&gt;"",$C821&lt;=结账锁),"※日期早于已结账截止日，不能再录",IF(AND($L821=0,$X821="正常"),"※没填单价，价格状态请选「待补价」",IF(AND($S821&gt;0,$R821&gt;0),"△本批有 "&amp;$S821&amp;" 行没单价，整批运费先挂账没摊",IF(AND($B821&lt;&gt;"",COUNTIF($B$4:$B$2503,$B821)&gt;1),"※入库单号重复","")))))))</f>
        <v/>
      </c>
    </row>
    <row r="822">
      <c r="A822" s="24">
        <f>IF($G822="","",COUNTA($G$4:$G822))</f>
        <v/>
      </c>
      <c r="B822" s="17" t="n"/>
      <c r="C822" s="30" t="n">
        <v>46158</v>
      </c>
      <c r="D822" s="17" t="inlineStr">
        <is>
          <t>A国内</t>
        </is>
      </c>
      <c r="E822" s="17" t="inlineStr">
        <is>
          <t>DRYU9381826-202605</t>
        </is>
      </c>
      <c r="F822" s="17" t="inlineStr">
        <is>
          <t>漳州龙海通途达国际仓储</t>
        </is>
      </c>
      <c r="G822" s="17" t="inlineStr">
        <is>
          <t>JH0749</t>
        </is>
      </c>
      <c r="H822" s="24">
        <f>IF($G822="","",IFERROR(VLOOKUP($G822,物料档案!$A$4:$P$1203,3,0),"※编码不在物料档案里"))</f>
        <v/>
      </c>
      <c r="I822" s="24">
        <f>IF($G822="","",IFERROR(VLOOKUP($G822,物料档案!$A$4:$P$1203,4,0),"※编码不在物料档案里"))</f>
        <v/>
      </c>
      <c r="J822" s="24">
        <f>IF($G822="","",IFERROR(VLOOKUP($G822,物料档案!$A$4:$P$1203,5,0),"※编码不在物料档案里"))</f>
        <v/>
      </c>
      <c r="K822" s="23" t="n">
        <v>2</v>
      </c>
      <c r="L822" s="31" t="n">
        <v>58</v>
      </c>
      <c r="M822" s="24">
        <f>IF($G822="","",IF($D822="A国内","CNY","TZS"))</f>
        <v/>
      </c>
      <c r="N822" s="28">
        <f>IF($G822="","",IF($D822="A国内",汇率,1))</f>
        <v/>
      </c>
      <c r="O822" s="25">
        <f>IF($G822="","",ROUND(N($K822)*N($L822),2))</f>
        <v/>
      </c>
      <c r="P822" s="26">
        <f>IF($G822="","",ROUND($O822*$N822,0))</f>
        <v/>
      </c>
      <c r="Q822" s="26">
        <f>IF($G822="","",SUMIFS($P$4:$P$2503,$E$4:$E$2503,$E822,$Z$4:$Z$2503,"正常"))</f>
        <v/>
      </c>
      <c r="R822" s="26">
        <f>IF($G822="","",SUMIFS(费用台账!$I$4:$I$503,费用台账!$C$4:$C$503,$E822,费用台账!$J$4:$J$503,"是",费用台账!$K$4:$K$503,"正常"))</f>
        <v/>
      </c>
      <c r="S822" s="28">
        <f>IF($G822="","",COUNTIFS($E$4:$E$2503,$E822,$Z$4:$Z$2503,"正常",$Y$4:$Y$2503,"待补价"))</f>
        <v/>
      </c>
      <c r="T822" s="26">
        <f>IF($G822="","",SUMIFS($P$4:$P$2503,$E$4:$E$2503,$E822,$Z$4:$Z$2503,"正常",$A$4:$A$2503,"&lt;="&amp;$A822))</f>
        <v/>
      </c>
      <c r="U822" s="26">
        <f>IF($G822="","",IF(OR($S822&gt;0,$Q822=0,$R822=0,$Z822&lt;&gt;"正常"),0,ROUND($T822/$Q822*$R822,0)-ROUND(($T822-$P822)/$Q822*$R822,0)))</f>
        <v/>
      </c>
      <c r="V822" s="26">
        <f>IF($G822="","",ROUND($P822+$U822,0))</f>
        <v/>
      </c>
      <c r="W822" s="26">
        <f>IF($G822="","",IF(N($K822)=0,0,ROUND($V822/$K822,2)))</f>
        <v/>
      </c>
      <c r="X822" s="17" t="inlineStr">
        <is>
          <t>采购入库</t>
        </is>
      </c>
      <c r="Y822" s="17" t="inlineStr">
        <is>
          <t>正常</t>
        </is>
      </c>
      <c r="Z822" s="17" t="inlineStr">
        <is>
          <t>正常</t>
        </is>
      </c>
      <c r="AA822" s="17" t="n"/>
      <c r="AB822" s="17" t="inlineStr">
        <is>
          <t>原表第 830 行</t>
        </is>
      </c>
      <c r="AC822" s="24">
        <f>IF($G822="","",IF($H822="※编码不在物料档案里","※物料编码不在档案里",IF(N($K822)&lt;=0,"※入库数量要大于 0",IF(AND($C822&lt;&gt;"",$C822&lt;=结账锁),"※日期早于已结账截止日，不能再录",IF(AND($L822=0,$X822="正常"),"※没填单价，价格状态请选「待补价」",IF(AND($S822&gt;0,$R822&gt;0),"△本批有 "&amp;$S822&amp;" 行没单价，整批运费先挂账没摊",IF(AND($B822&lt;&gt;"",COUNTIF($B$4:$B$2503,$B822)&gt;1),"※入库单号重复","")))))))</f>
        <v/>
      </c>
    </row>
    <row r="823">
      <c r="A823" s="24">
        <f>IF($G823="","",COUNTA($G$4:$G823))</f>
        <v/>
      </c>
      <c r="B823" s="17" t="n"/>
      <c r="C823" s="30" t="n">
        <v>46158</v>
      </c>
      <c r="D823" s="17" t="inlineStr">
        <is>
          <t>A国内</t>
        </is>
      </c>
      <c r="E823" s="17" t="inlineStr">
        <is>
          <t>DRYU9381826-202605</t>
        </is>
      </c>
      <c r="F823" s="17" t="inlineStr">
        <is>
          <t>漳州龙海通途达国际仓储</t>
        </is>
      </c>
      <c r="G823" s="17" t="inlineStr">
        <is>
          <t>JH0750</t>
        </is>
      </c>
      <c r="H823" s="24">
        <f>IF($G823="","",IFERROR(VLOOKUP($G823,物料档案!$A$4:$P$1203,3,0),"※编码不在物料档案里"))</f>
        <v/>
      </c>
      <c r="I823" s="24">
        <f>IF($G823="","",IFERROR(VLOOKUP($G823,物料档案!$A$4:$P$1203,4,0),"※编码不在物料档案里"))</f>
        <v/>
      </c>
      <c r="J823" s="24">
        <f>IF($G823="","",IFERROR(VLOOKUP($G823,物料档案!$A$4:$P$1203,5,0),"※编码不在物料档案里"))</f>
        <v/>
      </c>
      <c r="K823" s="23" t="n">
        <v>1</v>
      </c>
      <c r="L823" s="31" t="n">
        <v>128</v>
      </c>
      <c r="M823" s="24">
        <f>IF($G823="","",IF($D823="A国内","CNY","TZS"))</f>
        <v/>
      </c>
      <c r="N823" s="28">
        <f>IF($G823="","",IF($D823="A国内",汇率,1))</f>
        <v/>
      </c>
      <c r="O823" s="25">
        <f>IF($G823="","",ROUND(N($K823)*N($L823),2))</f>
        <v/>
      </c>
      <c r="P823" s="26">
        <f>IF($G823="","",ROUND($O823*$N823,0))</f>
        <v/>
      </c>
      <c r="Q823" s="26">
        <f>IF($G823="","",SUMIFS($P$4:$P$2503,$E$4:$E$2503,$E823,$Z$4:$Z$2503,"正常"))</f>
        <v/>
      </c>
      <c r="R823" s="26">
        <f>IF($G823="","",SUMIFS(费用台账!$I$4:$I$503,费用台账!$C$4:$C$503,$E823,费用台账!$J$4:$J$503,"是",费用台账!$K$4:$K$503,"正常"))</f>
        <v/>
      </c>
      <c r="S823" s="28">
        <f>IF($G823="","",COUNTIFS($E$4:$E$2503,$E823,$Z$4:$Z$2503,"正常",$Y$4:$Y$2503,"待补价"))</f>
        <v/>
      </c>
      <c r="T823" s="26">
        <f>IF($G823="","",SUMIFS($P$4:$P$2503,$E$4:$E$2503,$E823,$Z$4:$Z$2503,"正常",$A$4:$A$2503,"&lt;="&amp;$A823))</f>
        <v/>
      </c>
      <c r="U823" s="26">
        <f>IF($G823="","",IF(OR($S823&gt;0,$Q823=0,$R823=0,$Z823&lt;&gt;"正常"),0,ROUND($T823/$Q823*$R823,0)-ROUND(($T823-$P823)/$Q823*$R823,0)))</f>
        <v/>
      </c>
      <c r="V823" s="26">
        <f>IF($G823="","",ROUND($P823+$U823,0))</f>
        <v/>
      </c>
      <c r="W823" s="26">
        <f>IF($G823="","",IF(N($K823)=0,0,ROUND($V823/$K823,2)))</f>
        <v/>
      </c>
      <c r="X823" s="17" t="inlineStr">
        <is>
          <t>采购入库</t>
        </is>
      </c>
      <c r="Y823" s="17" t="inlineStr">
        <is>
          <t>正常</t>
        </is>
      </c>
      <c r="Z823" s="17" t="inlineStr">
        <is>
          <t>正常</t>
        </is>
      </c>
      <c r="AA823" s="17" t="n"/>
      <c r="AB823" s="17" t="inlineStr">
        <is>
          <t>原表第 831 行</t>
        </is>
      </c>
      <c r="AC823" s="24">
        <f>IF($G823="","",IF($H823="※编码不在物料档案里","※物料编码不在档案里",IF(N($K823)&lt;=0,"※入库数量要大于 0",IF(AND($C823&lt;&gt;"",$C823&lt;=结账锁),"※日期早于已结账截止日，不能再录",IF(AND($L823=0,$X823="正常"),"※没填单价，价格状态请选「待补价」",IF(AND($S823&gt;0,$R823&gt;0),"△本批有 "&amp;$S823&amp;" 行没单价，整批运费先挂账没摊",IF(AND($B823&lt;&gt;"",COUNTIF($B$4:$B$2503,$B823)&gt;1),"※入库单号重复","")))))))</f>
        <v/>
      </c>
    </row>
    <row r="824">
      <c r="A824" s="24">
        <f>IF($G824="","",COUNTA($G$4:$G824))</f>
        <v/>
      </c>
      <c r="B824" s="17" t="n"/>
      <c r="C824" s="30" t="n">
        <v>46158</v>
      </c>
      <c r="D824" s="17" t="inlineStr">
        <is>
          <t>A国内</t>
        </is>
      </c>
      <c r="E824" s="17" t="inlineStr">
        <is>
          <t>DRYU9381826-202605</t>
        </is>
      </c>
      <c r="F824" s="17" t="inlineStr">
        <is>
          <t>漳州龙海通途达国际仓储</t>
        </is>
      </c>
      <c r="G824" s="17" t="inlineStr">
        <is>
          <t>JH0751</t>
        </is>
      </c>
      <c r="H824" s="24">
        <f>IF($G824="","",IFERROR(VLOOKUP($G824,物料档案!$A$4:$P$1203,3,0),"※编码不在物料档案里"))</f>
        <v/>
      </c>
      <c r="I824" s="24">
        <f>IF($G824="","",IFERROR(VLOOKUP($G824,物料档案!$A$4:$P$1203,4,0),"※编码不在物料档案里"))</f>
        <v/>
      </c>
      <c r="J824" s="24">
        <f>IF($G824="","",IFERROR(VLOOKUP($G824,物料档案!$A$4:$P$1203,5,0),"※编码不在物料档案里"))</f>
        <v/>
      </c>
      <c r="K824" s="23" t="n">
        <v>1</v>
      </c>
      <c r="L824" s="31" t="n">
        <v>116</v>
      </c>
      <c r="M824" s="24">
        <f>IF($G824="","",IF($D824="A国内","CNY","TZS"))</f>
        <v/>
      </c>
      <c r="N824" s="28">
        <f>IF($G824="","",IF($D824="A国内",汇率,1))</f>
        <v/>
      </c>
      <c r="O824" s="25">
        <f>IF($G824="","",ROUND(N($K824)*N($L824),2))</f>
        <v/>
      </c>
      <c r="P824" s="26">
        <f>IF($G824="","",ROUND($O824*$N824,0))</f>
        <v/>
      </c>
      <c r="Q824" s="26">
        <f>IF($G824="","",SUMIFS($P$4:$P$2503,$E$4:$E$2503,$E824,$Z$4:$Z$2503,"正常"))</f>
        <v/>
      </c>
      <c r="R824" s="26">
        <f>IF($G824="","",SUMIFS(费用台账!$I$4:$I$503,费用台账!$C$4:$C$503,$E824,费用台账!$J$4:$J$503,"是",费用台账!$K$4:$K$503,"正常"))</f>
        <v/>
      </c>
      <c r="S824" s="28">
        <f>IF($G824="","",COUNTIFS($E$4:$E$2503,$E824,$Z$4:$Z$2503,"正常",$Y$4:$Y$2503,"待补价"))</f>
        <v/>
      </c>
      <c r="T824" s="26">
        <f>IF($G824="","",SUMIFS($P$4:$P$2503,$E$4:$E$2503,$E824,$Z$4:$Z$2503,"正常",$A$4:$A$2503,"&lt;="&amp;$A824))</f>
        <v/>
      </c>
      <c r="U824" s="26">
        <f>IF($G824="","",IF(OR($S824&gt;0,$Q824=0,$R824=0,$Z824&lt;&gt;"正常"),0,ROUND($T824/$Q824*$R824,0)-ROUND(($T824-$P824)/$Q824*$R824,0)))</f>
        <v/>
      </c>
      <c r="V824" s="26">
        <f>IF($G824="","",ROUND($P824+$U824,0))</f>
        <v/>
      </c>
      <c r="W824" s="26">
        <f>IF($G824="","",IF(N($K824)=0,0,ROUND($V824/$K824,2)))</f>
        <v/>
      </c>
      <c r="X824" s="17" t="inlineStr">
        <is>
          <t>采购入库</t>
        </is>
      </c>
      <c r="Y824" s="17" t="inlineStr">
        <is>
          <t>正常</t>
        </is>
      </c>
      <c r="Z824" s="17" t="inlineStr">
        <is>
          <t>正常</t>
        </is>
      </c>
      <c r="AA824" s="17" t="n"/>
      <c r="AB824" s="17" t="inlineStr">
        <is>
          <t>原表第 832 行</t>
        </is>
      </c>
      <c r="AC824" s="24">
        <f>IF($G824="","",IF($H824="※编码不在物料档案里","※物料编码不在档案里",IF(N($K824)&lt;=0,"※入库数量要大于 0",IF(AND($C824&lt;&gt;"",$C824&lt;=结账锁),"※日期早于已结账截止日，不能再录",IF(AND($L824=0,$X824="正常"),"※没填单价，价格状态请选「待补价」",IF(AND($S824&gt;0,$R824&gt;0),"△本批有 "&amp;$S824&amp;" 行没单价，整批运费先挂账没摊",IF(AND($B824&lt;&gt;"",COUNTIF($B$4:$B$2503,$B824)&gt;1),"※入库单号重复","")))))))</f>
        <v/>
      </c>
    </row>
    <row r="825">
      <c r="A825" s="24">
        <f>IF($G825="","",COUNTA($G$4:$G825))</f>
        <v/>
      </c>
      <c r="B825" s="17" t="n"/>
      <c r="C825" s="30" t="n">
        <v>46158</v>
      </c>
      <c r="D825" s="17" t="inlineStr">
        <is>
          <t>A国内</t>
        </is>
      </c>
      <c r="E825" s="17" t="inlineStr">
        <is>
          <t>DRYU9381826-202605</t>
        </is>
      </c>
      <c r="F825" s="17" t="inlineStr">
        <is>
          <t>漳州龙海通途达国际仓储</t>
        </is>
      </c>
      <c r="G825" s="17" t="inlineStr">
        <is>
          <t>JH0752</t>
        </is>
      </c>
      <c r="H825" s="24">
        <f>IF($G825="","",IFERROR(VLOOKUP($G825,物料档案!$A$4:$P$1203,3,0),"※编码不在物料档案里"))</f>
        <v/>
      </c>
      <c r="I825" s="24">
        <f>IF($G825="","",IFERROR(VLOOKUP($G825,物料档案!$A$4:$P$1203,4,0),"※编码不在物料档案里"))</f>
        <v/>
      </c>
      <c r="J825" s="24">
        <f>IF($G825="","",IFERROR(VLOOKUP($G825,物料档案!$A$4:$P$1203,5,0),"※编码不在物料档案里"))</f>
        <v/>
      </c>
      <c r="K825" s="23" t="n">
        <v>2</v>
      </c>
      <c r="L825" s="31" t="n">
        <v>266</v>
      </c>
      <c r="M825" s="24">
        <f>IF($G825="","",IF($D825="A国内","CNY","TZS"))</f>
        <v/>
      </c>
      <c r="N825" s="28">
        <f>IF($G825="","",IF($D825="A国内",汇率,1))</f>
        <v/>
      </c>
      <c r="O825" s="25">
        <f>IF($G825="","",ROUND(N($K825)*N($L825),2))</f>
        <v/>
      </c>
      <c r="P825" s="26">
        <f>IF($G825="","",ROUND($O825*$N825,0))</f>
        <v/>
      </c>
      <c r="Q825" s="26">
        <f>IF($G825="","",SUMIFS($P$4:$P$2503,$E$4:$E$2503,$E825,$Z$4:$Z$2503,"正常"))</f>
        <v/>
      </c>
      <c r="R825" s="26">
        <f>IF($G825="","",SUMIFS(费用台账!$I$4:$I$503,费用台账!$C$4:$C$503,$E825,费用台账!$J$4:$J$503,"是",费用台账!$K$4:$K$503,"正常"))</f>
        <v/>
      </c>
      <c r="S825" s="28">
        <f>IF($G825="","",COUNTIFS($E$4:$E$2503,$E825,$Z$4:$Z$2503,"正常",$Y$4:$Y$2503,"待补价"))</f>
        <v/>
      </c>
      <c r="T825" s="26">
        <f>IF($G825="","",SUMIFS($P$4:$P$2503,$E$4:$E$2503,$E825,$Z$4:$Z$2503,"正常",$A$4:$A$2503,"&lt;="&amp;$A825))</f>
        <v/>
      </c>
      <c r="U825" s="26">
        <f>IF($G825="","",IF(OR($S825&gt;0,$Q825=0,$R825=0,$Z825&lt;&gt;"正常"),0,ROUND($T825/$Q825*$R825,0)-ROUND(($T825-$P825)/$Q825*$R825,0)))</f>
        <v/>
      </c>
      <c r="V825" s="26">
        <f>IF($G825="","",ROUND($P825+$U825,0))</f>
        <v/>
      </c>
      <c r="W825" s="26">
        <f>IF($G825="","",IF(N($K825)=0,0,ROUND($V825/$K825,2)))</f>
        <v/>
      </c>
      <c r="X825" s="17" t="inlineStr">
        <is>
          <t>采购入库</t>
        </is>
      </c>
      <c r="Y825" s="17" t="inlineStr">
        <is>
          <t>正常</t>
        </is>
      </c>
      <c r="Z825" s="17" t="inlineStr">
        <is>
          <t>正常</t>
        </is>
      </c>
      <c r="AA825" s="17" t="n"/>
      <c r="AB825" s="17" t="inlineStr">
        <is>
          <t>原表第 833 行</t>
        </is>
      </c>
      <c r="AC825" s="24">
        <f>IF($G825="","",IF($H825="※编码不在物料档案里","※物料编码不在档案里",IF(N($K825)&lt;=0,"※入库数量要大于 0",IF(AND($C825&lt;&gt;"",$C825&lt;=结账锁),"※日期早于已结账截止日，不能再录",IF(AND($L825=0,$X825="正常"),"※没填单价，价格状态请选「待补价」",IF(AND($S825&gt;0,$R825&gt;0),"△本批有 "&amp;$S825&amp;" 行没单价，整批运费先挂账没摊",IF(AND($B825&lt;&gt;"",COUNTIF($B$4:$B$2503,$B825)&gt;1),"※入库单号重复","")))))))</f>
        <v/>
      </c>
    </row>
    <row r="826">
      <c r="A826" s="24">
        <f>IF($G826="","",COUNTA($G$4:$G826))</f>
        <v/>
      </c>
      <c r="B826" s="17" t="n"/>
      <c r="C826" s="30" t="n">
        <v>46158</v>
      </c>
      <c r="D826" s="17" t="inlineStr">
        <is>
          <t>A国内</t>
        </is>
      </c>
      <c r="E826" s="17" t="inlineStr">
        <is>
          <t>DRYU9381826-202605</t>
        </is>
      </c>
      <c r="F826" s="17" t="inlineStr">
        <is>
          <t>漳州龙海通途达国际仓储</t>
        </is>
      </c>
      <c r="G826" s="17" t="inlineStr">
        <is>
          <t>JH0753</t>
        </is>
      </c>
      <c r="H826" s="24">
        <f>IF($G826="","",IFERROR(VLOOKUP($G826,物料档案!$A$4:$P$1203,3,0),"※编码不在物料档案里"))</f>
        <v/>
      </c>
      <c r="I826" s="24">
        <f>IF($G826="","",IFERROR(VLOOKUP($G826,物料档案!$A$4:$P$1203,4,0),"※编码不在物料档案里"))</f>
        <v/>
      </c>
      <c r="J826" s="24">
        <f>IF($G826="","",IFERROR(VLOOKUP($G826,物料档案!$A$4:$P$1203,5,0),"※编码不在物料档案里"))</f>
        <v/>
      </c>
      <c r="K826" s="23" t="n">
        <v>2</v>
      </c>
      <c r="L826" s="31" t="n">
        <v>38</v>
      </c>
      <c r="M826" s="24">
        <f>IF($G826="","",IF($D826="A国内","CNY","TZS"))</f>
        <v/>
      </c>
      <c r="N826" s="28">
        <f>IF($G826="","",IF($D826="A国内",汇率,1))</f>
        <v/>
      </c>
      <c r="O826" s="25">
        <f>IF($G826="","",ROUND(N($K826)*N($L826),2))</f>
        <v/>
      </c>
      <c r="P826" s="26">
        <f>IF($G826="","",ROUND($O826*$N826,0))</f>
        <v/>
      </c>
      <c r="Q826" s="26">
        <f>IF($G826="","",SUMIFS($P$4:$P$2503,$E$4:$E$2503,$E826,$Z$4:$Z$2503,"正常"))</f>
        <v/>
      </c>
      <c r="R826" s="26">
        <f>IF($G826="","",SUMIFS(费用台账!$I$4:$I$503,费用台账!$C$4:$C$503,$E826,费用台账!$J$4:$J$503,"是",费用台账!$K$4:$K$503,"正常"))</f>
        <v/>
      </c>
      <c r="S826" s="28">
        <f>IF($G826="","",COUNTIFS($E$4:$E$2503,$E826,$Z$4:$Z$2503,"正常",$Y$4:$Y$2503,"待补价"))</f>
        <v/>
      </c>
      <c r="T826" s="26">
        <f>IF($G826="","",SUMIFS($P$4:$P$2503,$E$4:$E$2503,$E826,$Z$4:$Z$2503,"正常",$A$4:$A$2503,"&lt;="&amp;$A826))</f>
        <v/>
      </c>
      <c r="U826" s="26">
        <f>IF($G826="","",IF(OR($S826&gt;0,$Q826=0,$R826=0,$Z826&lt;&gt;"正常"),0,ROUND($T826/$Q826*$R826,0)-ROUND(($T826-$P826)/$Q826*$R826,0)))</f>
        <v/>
      </c>
      <c r="V826" s="26">
        <f>IF($G826="","",ROUND($P826+$U826,0))</f>
        <v/>
      </c>
      <c r="W826" s="26">
        <f>IF($G826="","",IF(N($K826)=0,0,ROUND($V826/$K826,2)))</f>
        <v/>
      </c>
      <c r="X826" s="17" t="inlineStr">
        <is>
          <t>采购入库</t>
        </is>
      </c>
      <c r="Y826" s="17" t="inlineStr">
        <is>
          <t>正常</t>
        </is>
      </c>
      <c r="Z826" s="17" t="inlineStr">
        <is>
          <t>正常</t>
        </is>
      </c>
      <c r="AA826" s="17" t="n"/>
      <c r="AB826" s="17" t="inlineStr">
        <is>
          <t>原表第 834 行</t>
        </is>
      </c>
      <c r="AC826" s="24">
        <f>IF($G826="","",IF($H826="※编码不在物料档案里","※物料编码不在档案里",IF(N($K826)&lt;=0,"※入库数量要大于 0",IF(AND($C826&lt;&gt;"",$C826&lt;=结账锁),"※日期早于已结账截止日，不能再录",IF(AND($L826=0,$X826="正常"),"※没填单价，价格状态请选「待补价」",IF(AND($S826&gt;0,$R826&gt;0),"△本批有 "&amp;$S826&amp;" 行没单价，整批运费先挂账没摊",IF(AND($B826&lt;&gt;"",COUNTIF($B$4:$B$2503,$B826)&gt;1),"※入库单号重复","")))))))</f>
        <v/>
      </c>
    </row>
    <row r="827">
      <c r="A827" s="24">
        <f>IF($G827="","",COUNTA($G$4:$G827))</f>
        <v/>
      </c>
      <c r="B827" s="17" t="n"/>
      <c r="C827" s="30" t="n">
        <v>46158</v>
      </c>
      <c r="D827" s="17" t="inlineStr">
        <is>
          <t>A国内</t>
        </is>
      </c>
      <c r="E827" s="17" t="inlineStr">
        <is>
          <t>DRYU9381826-202605</t>
        </is>
      </c>
      <c r="F827" s="17" t="inlineStr">
        <is>
          <t>漳州龙海通途达国际仓储</t>
        </is>
      </c>
      <c r="G827" s="17" t="inlineStr">
        <is>
          <t>JH0754</t>
        </is>
      </c>
      <c r="H827" s="24">
        <f>IF($G827="","",IFERROR(VLOOKUP($G827,物料档案!$A$4:$P$1203,3,0),"※编码不在物料档案里"))</f>
        <v/>
      </c>
      <c r="I827" s="24">
        <f>IF($G827="","",IFERROR(VLOOKUP($G827,物料档案!$A$4:$P$1203,4,0),"※编码不在物料档案里"))</f>
        <v/>
      </c>
      <c r="J827" s="24">
        <f>IF($G827="","",IFERROR(VLOOKUP($G827,物料档案!$A$4:$P$1203,5,0),"※编码不在物料档案里"))</f>
        <v/>
      </c>
      <c r="K827" s="23" t="n">
        <v>2</v>
      </c>
      <c r="L827" s="31" t="n">
        <v>42</v>
      </c>
      <c r="M827" s="24">
        <f>IF($G827="","",IF($D827="A国内","CNY","TZS"))</f>
        <v/>
      </c>
      <c r="N827" s="28">
        <f>IF($G827="","",IF($D827="A国内",汇率,1))</f>
        <v/>
      </c>
      <c r="O827" s="25">
        <f>IF($G827="","",ROUND(N($K827)*N($L827),2))</f>
        <v/>
      </c>
      <c r="P827" s="26">
        <f>IF($G827="","",ROUND($O827*$N827,0))</f>
        <v/>
      </c>
      <c r="Q827" s="26">
        <f>IF($G827="","",SUMIFS($P$4:$P$2503,$E$4:$E$2503,$E827,$Z$4:$Z$2503,"正常"))</f>
        <v/>
      </c>
      <c r="R827" s="26">
        <f>IF($G827="","",SUMIFS(费用台账!$I$4:$I$503,费用台账!$C$4:$C$503,$E827,费用台账!$J$4:$J$503,"是",费用台账!$K$4:$K$503,"正常"))</f>
        <v/>
      </c>
      <c r="S827" s="28">
        <f>IF($G827="","",COUNTIFS($E$4:$E$2503,$E827,$Z$4:$Z$2503,"正常",$Y$4:$Y$2503,"待补价"))</f>
        <v/>
      </c>
      <c r="T827" s="26">
        <f>IF($G827="","",SUMIFS($P$4:$P$2503,$E$4:$E$2503,$E827,$Z$4:$Z$2503,"正常",$A$4:$A$2503,"&lt;="&amp;$A827))</f>
        <v/>
      </c>
      <c r="U827" s="26">
        <f>IF($G827="","",IF(OR($S827&gt;0,$Q827=0,$R827=0,$Z827&lt;&gt;"正常"),0,ROUND($T827/$Q827*$R827,0)-ROUND(($T827-$P827)/$Q827*$R827,0)))</f>
        <v/>
      </c>
      <c r="V827" s="26">
        <f>IF($G827="","",ROUND($P827+$U827,0))</f>
        <v/>
      </c>
      <c r="W827" s="26">
        <f>IF($G827="","",IF(N($K827)=0,0,ROUND($V827/$K827,2)))</f>
        <v/>
      </c>
      <c r="X827" s="17" t="inlineStr">
        <is>
          <t>采购入库</t>
        </is>
      </c>
      <c r="Y827" s="17" t="inlineStr">
        <is>
          <t>正常</t>
        </is>
      </c>
      <c r="Z827" s="17" t="inlineStr">
        <is>
          <t>正常</t>
        </is>
      </c>
      <c r="AA827" s="17" t="n"/>
      <c r="AB827" s="17" t="inlineStr">
        <is>
          <t>原表第 835 行</t>
        </is>
      </c>
      <c r="AC827" s="24">
        <f>IF($G827="","",IF($H827="※编码不在物料档案里","※物料编码不在档案里",IF(N($K827)&lt;=0,"※入库数量要大于 0",IF(AND($C827&lt;&gt;"",$C827&lt;=结账锁),"※日期早于已结账截止日，不能再录",IF(AND($L827=0,$X827="正常"),"※没填单价，价格状态请选「待补价」",IF(AND($S827&gt;0,$R827&gt;0),"△本批有 "&amp;$S827&amp;" 行没单价，整批运费先挂账没摊",IF(AND($B827&lt;&gt;"",COUNTIF($B$4:$B$2503,$B827)&gt;1),"※入库单号重复","")))))))</f>
        <v/>
      </c>
    </row>
    <row r="828">
      <c r="A828" s="24">
        <f>IF($G828="","",COUNTA($G$4:$G828))</f>
        <v/>
      </c>
      <c r="B828" s="17" t="n"/>
      <c r="C828" s="30" t="n">
        <v>46158</v>
      </c>
      <c r="D828" s="17" t="inlineStr">
        <is>
          <t>A国内</t>
        </is>
      </c>
      <c r="E828" s="17" t="inlineStr">
        <is>
          <t>DRYU9381826-202605</t>
        </is>
      </c>
      <c r="F828" s="17" t="inlineStr">
        <is>
          <t>漳州龙海通途达国际仓储</t>
        </is>
      </c>
      <c r="G828" s="17" t="inlineStr">
        <is>
          <t>JH0755</t>
        </is>
      </c>
      <c r="H828" s="24">
        <f>IF($G828="","",IFERROR(VLOOKUP($G828,物料档案!$A$4:$P$1203,3,0),"※编码不在物料档案里"))</f>
        <v/>
      </c>
      <c r="I828" s="24">
        <f>IF($G828="","",IFERROR(VLOOKUP($G828,物料档案!$A$4:$P$1203,4,0),"※编码不在物料档案里"))</f>
        <v/>
      </c>
      <c r="J828" s="24">
        <f>IF($G828="","",IFERROR(VLOOKUP($G828,物料档案!$A$4:$P$1203,5,0),"※编码不在物料档案里"))</f>
        <v/>
      </c>
      <c r="K828" s="23" t="n">
        <v>10</v>
      </c>
      <c r="L828" s="31" t="n">
        <v>59</v>
      </c>
      <c r="M828" s="24">
        <f>IF($G828="","",IF($D828="A国内","CNY","TZS"))</f>
        <v/>
      </c>
      <c r="N828" s="28">
        <f>IF($G828="","",IF($D828="A国内",汇率,1))</f>
        <v/>
      </c>
      <c r="O828" s="25">
        <f>IF($G828="","",ROUND(N($K828)*N($L828),2))</f>
        <v/>
      </c>
      <c r="P828" s="26">
        <f>IF($G828="","",ROUND($O828*$N828,0))</f>
        <v/>
      </c>
      <c r="Q828" s="26">
        <f>IF($G828="","",SUMIFS($P$4:$P$2503,$E$4:$E$2503,$E828,$Z$4:$Z$2503,"正常"))</f>
        <v/>
      </c>
      <c r="R828" s="26">
        <f>IF($G828="","",SUMIFS(费用台账!$I$4:$I$503,费用台账!$C$4:$C$503,$E828,费用台账!$J$4:$J$503,"是",费用台账!$K$4:$K$503,"正常"))</f>
        <v/>
      </c>
      <c r="S828" s="28">
        <f>IF($G828="","",COUNTIFS($E$4:$E$2503,$E828,$Z$4:$Z$2503,"正常",$Y$4:$Y$2503,"待补价"))</f>
        <v/>
      </c>
      <c r="T828" s="26">
        <f>IF($G828="","",SUMIFS($P$4:$P$2503,$E$4:$E$2503,$E828,$Z$4:$Z$2503,"正常",$A$4:$A$2503,"&lt;="&amp;$A828))</f>
        <v/>
      </c>
      <c r="U828" s="26">
        <f>IF($G828="","",IF(OR($S828&gt;0,$Q828=0,$R828=0,$Z828&lt;&gt;"正常"),0,ROUND($T828/$Q828*$R828,0)-ROUND(($T828-$P828)/$Q828*$R828,0)))</f>
        <v/>
      </c>
      <c r="V828" s="26">
        <f>IF($G828="","",ROUND($P828+$U828,0))</f>
        <v/>
      </c>
      <c r="W828" s="26">
        <f>IF($G828="","",IF(N($K828)=0,0,ROUND($V828/$K828,2)))</f>
        <v/>
      </c>
      <c r="X828" s="17" t="inlineStr">
        <is>
          <t>采购入库</t>
        </is>
      </c>
      <c r="Y828" s="17" t="inlineStr">
        <is>
          <t>正常</t>
        </is>
      </c>
      <c r="Z828" s="17" t="inlineStr">
        <is>
          <t>正常</t>
        </is>
      </c>
      <c r="AA828" s="17" t="n"/>
      <c r="AB828" s="17" t="inlineStr">
        <is>
          <t>原表第 836 行</t>
        </is>
      </c>
      <c r="AC828" s="24">
        <f>IF($G828="","",IF($H828="※编码不在物料档案里","※物料编码不在档案里",IF(N($K828)&lt;=0,"※入库数量要大于 0",IF(AND($C828&lt;&gt;"",$C828&lt;=结账锁),"※日期早于已结账截止日，不能再录",IF(AND($L828=0,$X828="正常"),"※没填单价，价格状态请选「待补价」",IF(AND($S828&gt;0,$R828&gt;0),"△本批有 "&amp;$S828&amp;" 行没单价，整批运费先挂账没摊",IF(AND($B828&lt;&gt;"",COUNTIF($B$4:$B$2503,$B828)&gt;1),"※入库单号重复","")))))))</f>
        <v/>
      </c>
    </row>
    <row r="829">
      <c r="A829" s="24">
        <f>IF($G829="","",COUNTA($G$4:$G829))</f>
        <v/>
      </c>
      <c r="B829" s="17" t="n"/>
      <c r="C829" s="30" t="n">
        <v>46158</v>
      </c>
      <c r="D829" s="17" t="inlineStr">
        <is>
          <t>A国内</t>
        </is>
      </c>
      <c r="E829" s="17" t="inlineStr">
        <is>
          <t>DRYU9381826-202605</t>
        </is>
      </c>
      <c r="F829" s="17" t="inlineStr">
        <is>
          <t>漳州龙海通途达国际仓储</t>
        </is>
      </c>
      <c r="G829" s="17" t="inlineStr">
        <is>
          <t>JH0756</t>
        </is>
      </c>
      <c r="H829" s="24">
        <f>IF($G829="","",IFERROR(VLOOKUP($G829,物料档案!$A$4:$P$1203,3,0),"※编码不在物料档案里"))</f>
        <v/>
      </c>
      <c r="I829" s="24">
        <f>IF($G829="","",IFERROR(VLOOKUP($G829,物料档案!$A$4:$P$1203,4,0),"※编码不在物料档案里"))</f>
        <v/>
      </c>
      <c r="J829" s="24">
        <f>IF($G829="","",IFERROR(VLOOKUP($G829,物料档案!$A$4:$P$1203,5,0),"※编码不在物料档案里"))</f>
        <v/>
      </c>
      <c r="K829" s="23" t="n">
        <v>10</v>
      </c>
      <c r="L829" s="31" t="n">
        <v>67</v>
      </c>
      <c r="M829" s="24">
        <f>IF($G829="","",IF($D829="A国内","CNY","TZS"))</f>
        <v/>
      </c>
      <c r="N829" s="28">
        <f>IF($G829="","",IF($D829="A国内",汇率,1))</f>
        <v/>
      </c>
      <c r="O829" s="25">
        <f>IF($G829="","",ROUND(N($K829)*N($L829),2))</f>
        <v/>
      </c>
      <c r="P829" s="26">
        <f>IF($G829="","",ROUND($O829*$N829,0))</f>
        <v/>
      </c>
      <c r="Q829" s="26">
        <f>IF($G829="","",SUMIFS($P$4:$P$2503,$E$4:$E$2503,$E829,$Z$4:$Z$2503,"正常"))</f>
        <v/>
      </c>
      <c r="R829" s="26">
        <f>IF($G829="","",SUMIFS(费用台账!$I$4:$I$503,费用台账!$C$4:$C$503,$E829,费用台账!$J$4:$J$503,"是",费用台账!$K$4:$K$503,"正常"))</f>
        <v/>
      </c>
      <c r="S829" s="28">
        <f>IF($G829="","",COUNTIFS($E$4:$E$2503,$E829,$Z$4:$Z$2503,"正常",$Y$4:$Y$2503,"待补价"))</f>
        <v/>
      </c>
      <c r="T829" s="26">
        <f>IF($G829="","",SUMIFS($P$4:$P$2503,$E$4:$E$2503,$E829,$Z$4:$Z$2503,"正常",$A$4:$A$2503,"&lt;="&amp;$A829))</f>
        <v/>
      </c>
      <c r="U829" s="26">
        <f>IF($G829="","",IF(OR($S829&gt;0,$Q829=0,$R829=0,$Z829&lt;&gt;"正常"),0,ROUND($T829/$Q829*$R829,0)-ROUND(($T829-$P829)/$Q829*$R829,0)))</f>
        <v/>
      </c>
      <c r="V829" s="26">
        <f>IF($G829="","",ROUND($P829+$U829,0))</f>
        <v/>
      </c>
      <c r="W829" s="26">
        <f>IF($G829="","",IF(N($K829)=0,0,ROUND($V829/$K829,2)))</f>
        <v/>
      </c>
      <c r="X829" s="17" t="inlineStr">
        <is>
          <t>采购入库</t>
        </is>
      </c>
      <c r="Y829" s="17" t="inlineStr">
        <is>
          <t>正常</t>
        </is>
      </c>
      <c r="Z829" s="17" t="inlineStr">
        <is>
          <t>正常</t>
        </is>
      </c>
      <c r="AA829" s="17" t="n"/>
      <c r="AB829" s="17" t="inlineStr">
        <is>
          <t>原表第 837 行</t>
        </is>
      </c>
      <c r="AC829" s="24">
        <f>IF($G829="","",IF($H829="※编码不在物料档案里","※物料编码不在档案里",IF(N($K829)&lt;=0,"※入库数量要大于 0",IF(AND($C829&lt;&gt;"",$C829&lt;=结账锁),"※日期早于已结账截止日，不能再录",IF(AND($L829=0,$X829="正常"),"※没填单价，价格状态请选「待补价」",IF(AND($S829&gt;0,$R829&gt;0),"△本批有 "&amp;$S829&amp;" 行没单价，整批运费先挂账没摊",IF(AND($B829&lt;&gt;"",COUNTIF($B$4:$B$2503,$B829)&gt;1),"※入库单号重复","")))))))</f>
        <v/>
      </c>
    </row>
    <row r="830">
      <c r="A830" s="24">
        <f>IF($G830="","",COUNTA($G$4:$G830))</f>
        <v/>
      </c>
      <c r="B830" s="17" t="n"/>
      <c r="C830" s="30" t="n">
        <v>46158</v>
      </c>
      <c r="D830" s="17" t="inlineStr">
        <is>
          <t>A国内</t>
        </is>
      </c>
      <c r="E830" s="17" t="inlineStr">
        <is>
          <t>DRYU9381826-202605</t>
        </is>
      </c>
      <c r="F830" s="17" t="inlineStr">
        <is>
          <t>漳州龙海通途达国际仓储</t>
        </is>
      </c>
      <c r="G830" s="17" t="inlineStr">
        <is>
          <t>JH0757</t>
        </is>
      </c>
      <c r="H830" s="24">
        <f>IF($G830="","",IFERROR(VLOOKUP($G830,物料档案!$A$4:$P$1203,3,0),"※编码不在物料档案里"))</f>
        <v/>
      </c>
      <c r="I830" s="24">
        <f>IF($G830="","",IFERROR(VLOOKUP($G830,物料档案!$A$4:$P$1203,4,0),"※编码不在物料档案里"))</f>
        <v/>
      </c>
      <c r="J830" s="24">
        <f>IF($G830="","",IFERROR(VLOOKUP($G830,物料档案!$A$4:$P$1203,5,0),"※编码不在物料档案里"))</f>
        <v/>
      </c>
      <c r="K830" s="23" t="n">
        <v>10</v>
      </c>
      <c r="L830" s="31" t="n">
        <v>190</v>
      </c>
      <c r="M830" s="24">
        <f>IF($G830="","",IF($D830="A国内","CNY","TZS"))</f>
        <v/>
      </c>
      <c r="N830" s="28">
        <f>IF($G830="","",IF($D830="A国内",汇率,1))</f>
        <v/>
      </c>
      <c r="O830" s="25">
        <f>IF($G830="","",ROUND(N($K830)*N($L830),2))</f>
        <v/>
      </c>
      <c r="P830" s="26">
        <f>IF($G830="","",ROUND($O830*$N830,0))</f>
        <v/>
      </c>
      <c r="Q830" s="26">
        <f>IF($G830="","",SUMIFS($P$4:$P$2503,$E$4:$E$2503,$E830,$Z$4:$Z$2503,"正常"))</f>
        <v/>
      </c>
      <c r="R830" s="26">
        <f>IF($G830="","",SUMIFS(费用台账!$I$4:$I$503,费用台账!$C$4:$C$503,$E830,费用台账!$J$4:$J$503,"是",费用台账!$K$4:$K$503,"正常"))</f>
        <v/>
      </c>
      <c r="S830" s="28">
        <f>IF($G830="","",COUNTIFS($E$4:$E$2503,$E830,$Z$4:$Z$2503,"正常",$Y$4:$Y$2503,"待补价"))</f>
        <v/>
      </c>
      <c r="T830" s="26">
        <f>IF($G830="","",SUMIFS($P$4:$P$2503,$E$4:$E$2503,$E830,$Z$4:$Z$2503,"正常",$A$4:$A$2503,"&lt;="&amp;$A830))</f>
        <v/>
      </c>
      <c r="U830" s="26">
        <f>IF($G830="","",IF(OR($S830&gt;0,$Q830=0,$R830=0,$Z830&lt;&gt;"正常"),0,ROUND($T830/$Q830*$R830,0)-ROUND(($T830-$P830)/$Q830*$R830,0)))</f>
        <v/>
      </c>
      <c r="V830" s="26">
        <f>IF($G830="","",ROUND($P830+$U830,0))</f>
        <v/>
      </c>
      <c r="W830" s="26">
        <f>IF($G830="","",IF(N($K830)=0,0,ROUND($V830/$K830,2)))</f>
        <v/>
      </c>
      <c r="X830" s="17" t="inlineStr">
        <is>
          <t>采购入库</t>
        </is>
      </c>
      <c r="Y830" s="17" t="inlineStr">
        <is>
          <t>正常</t>
        </is>
      </c>
      <c r="Z830" s="17" t="inlineStr">
        <is>
          <t>正常</t>
        </is>
      </c>
      <c r="AA830" s="17" t="n"/>
      <c r="AB830" s="17" t="inlineStr">
        <is>
          <t>原表第 838 行</t>
        </is>
      </c>
      <c r="AC830" s="24">
        <f>IF($G830="","",IF($H830="※编码不在物料档案里","※物料编码不在档案里",IF(N($K830)&lt;=0,"※入库数量要大于 0",IF(AND($C830&lt;&gt;"",$C830&lt;=结账锁),"※日期早于已结账截止日，不能再录",IF(AND($L830=0,$X830="正常"),"※没填单价，价格状态请选「待补价」",IF(AND($S830&gt;0,$R830&gt;0),"△本批有 "&amp;$S830&amp;" 行没单价，整批运费先挂账没摊",IF(AND($B830&lt;&gt;"",COUNTIF($B$4:$B$2503,$B830)&gt;1),"※入库单号重复","")))))))</f>
        <v/>
      </c>
    </row>
    <row r="831">
      <c r="A831" s="24">
        <f>IF($G831="","",COUNTA($G$4:$G831))</f>
        <v/>
      </c>
      <c r="B831" s="17" t="n"/>
      <c r="C831" s="30" t="n">
        <v>46158</v>
      </c>
      <c r="D831" s="17" t="inlineStr">
        <is>
          <t>A国内</t>
        </is>
      </c>
      <c r="E831" s="17" t="inlineStr">
        <is>
          <t>DRYU9381826-202605</t>
        </is>
      </c>
      <c r="F831" s="17" t="inlineStr">
        <is>
          <t>漳州龙海通途达国际仓储</t>
        </is>
      </c>
      <c r="G831" s="17" t="inlineStr">
        <is>
          <t>JH0758</t>
        </is>
      </c>
      <c r="H831" s="24">
        <f>IF($G831="","",IFERROR(VLOOKUP($G831,物料档案!$A$4:$P$1203,3,0),"※编码不在物料档案里"))</f>
        <v/>
      </c>
      <c r="I831" s="24">
        <f>IF($G831="","",IFERROR(VLOOKUP($G831,物料档案!$A$4:$P$1203,4,0),"※编码不在物料档案里"))</f>
        <v/>
      </c>
      <c r="J831" s="24">
        <f>IF($G831="","",IFERROR(VLOOKUP($G831,物料档案!$A$4:$P$1203,5,0),"※编码不在物料档案里"))</f>
        <v/>
      </c>
      <c r="K831" s="23" t="n">
        <v>2</v>
      </c>
      <c r="L831" s="31" t="n">
        <v>25</v>
      </c>
      <c r="M831" s="24">
        <f>IF($G831="","",IF($D831="A国内","CNY","TZS"))</f>
        <v/>
      </c>
      <c r="N831" s="28">
        <f>IF($G831="","",IF($D831="A国内",汇率,1))</f>
        <v/>
      </c>
      <c r="O831" s="25">
        <f>IF($G831="","",ROUND(N($K831)*N($L831),2))</f>
        <v/>
      </c>
      <c r="P831" s="26">
        <f>IF($G831="","",ROUND($O831*$N831,0))</f>
        <v/>
      </c>
      <c r="Q831" s="26">
        <f>IF($G831="","",SUMIFS($P$4:$P$2503,$E$4:$E$2503,$E831,$Z$4:$Z$2503,"正常"))</f>
        <v/>
      </c>
      <c r="R831" s="26">
        <f>IF($G831="","",SUMIFS(费用台账!$I$4:$I$503,费用台账!$C$4:$C$503,$E831,费用台账!$J$4:$J$503,"是",费用台账!$K$4:$K$503,"正常"))</f>
        <v/>
      </c>
      <c r="S831" s="28">
        <f>IF($G831="","",COUNTIFS($E$4:$E$2503,$E831,$Z$4:$Z$2503,"正常",$Y$4:$Y$2503,"待补价"))</f>
        <v/>
      </c>
      <c r="T831" s="26">
        <f>IF($G831="","",SUMIFS($P$4:$P$2503,$E$4:$E$2503,$E831,$Z$4:$Z$2503,"正常",$A$4:$A$2503,"&lt;="&amp;$A831))</f>
        <v/>
      </c>
      <c r="U831" s="26">
        <f>IF($G831="","",IF(OR($S831&gt;0,$Q831=0,$R831=0,$Z831&lt;&gt;"正常"),0,ROUND($T831/$Q831*$R831,0)-ROUND(($T831-$P831)/$Q831*$R831,0)))</f>
        <v/>
      </c>
      <c r="V831" s="26">
        <f>IF($G831="","",ROUND($P831+$U831,0))</f>
        <v/>
      </c>
      <c r="W831" s="26">
        <f>IF($G831="","",IF(N($K831)=0,0,ROUND($V831/$K831,2)))</f>
        <v/>
      </c>
      <c r="X831" s="17" t="inlineStr">
        <is>
          <t>采购入库</t>
        </is>
      </c>
      <c r="Y831" s="17" t="inlineStr">
        <is>
          <t>正常</t>
        </is>
      </c>
      <c r="Z831" s="17" t="inlineStr">
        <is>
          <t>正常</t>
        </is>
      </c>
      <c r="AA831" s="17" t="n"/>
      <c r="AB831" s="17" t="inlineStr">
        <is>
          <t>原表第 839 行</t>
        </is>
      </c>
      <c r="AC831" s="24">
        <f>IF($G831="","",IF($H831="※编码不在物料档案里","※物料编码不在档案里",IF(N($K831)&lt;=0,"※入库数量要大于 0",IF(AND($C831&lt;&gt;"",$C831&lt;=结账锁),"※日期早于已结账截止日，不能再录",IF(AND($L831=0,$X831="正常"),"※没填单价，价格状态请选「待补价」",IF(AND($S831&gt;0,$R831&gt;0),"△本批有 "&amp;$S831&amp;" 行没单价，整批运费先挂账没摊",IF(AND($B831&lt;&gt;"",COUNTIF($B$4:$B$2503,$B831)&gt;1),"※入库单号重复","")))))))</f>
        <v/>
      </c>
    </row>
    <row r="832">
      <c r="A832" s="24">
        <f>IF($G832="","",COUNTA($G$4:$G832))</f>
        <v/>
      </c>
      <c r="B832" s="17" t="n"/>
      <c r="C832" s="30" t="n">
        <v>46158</v>
      </c>
      <c r="D832" s="17" t="inlineStr">
        <is>
          <t>A国内</t>
        </is>
      </c>
      <c r="E832" s="17" t="inlineStr">
        <is>
          <t>DRYU9381826-202605</t>
        </is>
      </c>
      <c r="F832" s="17" t="inlineStr">
        <is>
          <t>漳州龙海通途达国际仓储</t>
        </is>
      </c>
      <c r="G832" s="17" t="inlineStr">
        <is>
          <t>JH0759</t>
        </is>
      </c>
      <c r="H832" s="24">
        <f>IF($G832="","",IFERROR(VLOOKUP($G832,物料档案!$A$4:$P$1203,3,0),"※编码不在物料档案里"))</f>
        <v/>
      </c>
      <c r="I832" s="24">
        <f>IF($G832="","",IFERROR(VLOOKUP($G832,物料档案!$A$4:$P$1203,4,0),"※编码不在物料档案里"))</f>
        <v/>
      </c>
      <c r="J832" s="24">
        <f>IF($G832="","",IFERROR(VLOOKUP($G832,物料档案!$A$4:$P$1203,5,0),"※编码不在物料档案里"))</f>
        <v/>
      </c>
      <c r="K832" s="23" t="n">
        <v>2</v>
      </c>
      <c r="L832" s="31" t="n">
        <v>95</v>
      </c>
      <c r="M832" s="24">
        <f>IF($G832="","",IF($D832="A国内","CNY","TZS"))</f>
        <v/>
      </c>
      <c r="N832" s="28">
        <f>IF($G832="","",IF($D832="A国内",汇率,1))</f>
        <v/>
      </c>
      <c r="O832" s="25">
        <f>IF($G832="","",ROUND(N($K832)*N($L832),2))</f>
        <v/>
      </c>
      <c r="P832" s="26">
        <f>IF($G832="","",ROUND($O832*$N832,0))</f>
        <v/>
      </c>
      <c r="Q832" s="26">
        <f>IF($G832="","",SUMIFS($P$4:$P$2503,$E$4:$E$2503,$E832,$Z$4:$Z$2503,"正常"))</f>
        <v/>
      </c>
      <c r="R832" s="26">
        <f>IF($G832="","",SUMIFS(费用台账!$I$4:$I$503,费用台账!$C$4:$C$503,$E832,费用台账!$J$4:$J$503,"是",费用台账!$K$4:$K$503,"正常"))</f>
        <v/>
      </c>
      <c r="S832" s="28">
        <f>IF($G832="","",COUNTIFS($E$4:$E$2503,$E832,$Z$4:$Z$2503,"正常",$Y$4:$Y$2503,"待补价"))</f>
        <v/>
      </c>
      <c r="T832" s="26">
        <f>IF($G832="","",SUMIFS($P$4:$P$2503,$E$4:$E$2503,$E832,$Z$4:$Z$2503,"正常",$A$4:$A$2503,"&lt;="&amp;$A832))</f>
        <v/>
      </c>
      <c r="U832" s="26">
        <f>IF($G832="","",IF(OR($S832&gt;0,$Q832=0,$R832=0,$Z832&lt;&gt;"正常"),0,ROUND($T832/$Q832*$R832,0)-ROUND(($T832-$P832)/$Q832*$R832,0)))</f>
        <v/>
      </c>
      <c r="V832" s="26">
        <f>IF($G832="","",ROUND($P832+$U832,0))</f>
        <v/>
      </c>
      <c r="W832" s="26">
        <f>IF($G832="","",IF(N($K832)=0,0,ROUND($V832/$K832,2)))</f>
        <v/>
      </c>
      <c r="X832" s="17" t="inlineStr">
        <is>
          <t>采购入库</t>
        </is>
      </c>
      <c r="Y832" s="17" t="inlineStr">
        <is>
          <t>正常</t>
        </is>
      </c>
      <c r="Z832" s="17" t="inlineStr">
        <is>
          <t>正常</t>
        </is>
      </c>
      <c r="AA832" s="17" t="n"/>
      <c r="AB832" s="17" t="inlineStr">
        <is>
          <t>原表第 840 行</t>
        </is>
      </c>
      <c r="AC832" s="24">
        <f>IF($G832="","",IF($H832="※编码不在物料档案里","※物料编码不在档案里",IF(N($K832)&lt;=0,"※入库数量要大于 0",IF(AND($C832&lt;&gt;"",$C832&lt;=结账锁),"※日期早于已结账截止日，不能再录",IF(AND($L832=0,$X832="正常"),"※没填单价，价格状态请选「待补价」",IF(AND($S832&gt;0,$R832&gt;0),"△本批有 "&amp;$S832&amp;" 行没单价，整批运费先挂账没摊",IF(AND($B832&lt;&gt;"",COUNTIF($B$4:$B$2503,$B832)&gt;1),"※入库单号重复","")))))))</f>
        <v/>
      </c>
    </row>
    <row r="833">
      <c r="A833" s="24">
        <f>IF($G833="","",COUNTA($G$4:$G833))</f>
        <v/>
      </c>
      <c r="B833" s="17" t="n"/>
      <c r="C833" s="30" t="n">
        <v>46158</v>
      </c>
      <c r="D833" s="17" t="inlineStr">
        <is>
          <t>A国内</t>
        </is>
      </c>
      <c r="E833" s="17" t="inlineStr">
        <is>
          <t>DRYU9381826-202605</t>
        </is>
      </c>
      <c r="F833" s="17" t="inlineStr">
        <is>
          <t>漳州龙海通途达国际仓储</t>
        </is>
      </c>
      <c r="G833" s="17" t="inlineStr">
        <is>
          <t>JH0760</t>
        </is>
      </c>
      <c r="H833" s="24">
        <f>IF($G833="","",IFERROR(VLOOKUP($G833,物料档案!$A$4:$P$1203,3,0),"※编码不在物料档案里"))</f>
        <v/>
      </c>
      <c r="I833" s="24">
        <f>IF($G833="","",IFERROR(VLOOKUP($G833,物料档案!$A$4:$P$1203,4,0),"※编码不在物料档案里"))</f>
        <v/>
      </c>
      <c r="J833" s="24">
        <f>IF($G833="","",IFERROR(VLOOKUP($G833,物料档案!$A$4:$P$1203,5,0),"※编码不在物料档案里"))</f>
        <v/>
      </c>
      <c r="K833" s="23" t="n">
        <v>1</v>
      </c>
      <c r="L833" s="31" t="n">
        <v>20</v>
      </c>
      <c r="M833" s="24">
        <f>IF($G833="","",IF($D833="A国内","CNY","TZS"))</f>
        <v/>
      </c>
      <c r="N833" s="28">
        <f>IF($G833="","",IF($D833="A国内",汇率,1))</f>
        <v/>
      </c>
      <c r="O833" s="25">
        <f>IF($G833="","",ROUND(N($K833)*N($L833),2))</f>
        <v/>
      </c>
      <c r="P833" s="26">
        <f>IF($G833="","",ROUND($O833*$N833,0))</f>
        <v/>
      </c>
      <c r="Q833" s="26">
        <f>IF($G833="","",SUMIFS($P$4:$P$2503,$E$4:$E$2503,$E833,$Z$4:$Z$2503,"正常"))</f>
        <v/>
      </c>
      <c r="R833" s="26">
        <f>IF($G833="","",SUMIFS(费用台账!$I$4:$I$503,费用台账!$C$4:$C$503,$E833,费用台账!$J$4:$J$503,"是",费用台账!$K$4:$K$503,"正常"))</f>
        <v/>
      </c>
      <c r="S833" s="28">
        <f>IF($G833="","",COUNTIFS($E$4:$E$2503,$E833,$Z$4:$Z$2503,"正常",$Y$4:$Y$2503,"待补价"))</f>
        <v/>
      </c>
      <c r="T833" s="26">
        <f>IF($G833="","",SUMIFS($P$4:$P$2503,$E$4:$E$2503,$E833,$Z$4:$Z$2503,"正常",$A$4:$A$2503,"&lt;="&amp;$A833))</f>
        <v/>
      </c>
      <c r="U833" s="26">
        <f>IF($G833="","",IF(OR($S833&gt;0,$Q833=0,$R833=0,$Z833&lt;&gt;"正常"),0,ROUND($T833/$Q833*$R833,0)-ROUND(($T833-$P833)/$Q833*$R833,0)))</f>
        <v/>
      </c>
      <c r="V833" s="26">
        <f>IF($G833="","",ROUND($P833+$U833,0))</f>
        <v/>
      </c>
      <c r="W833" s="26">
        <f>IF($G833="","",IF(N($K833)=0,0,ROUND($V833/$K833,2)))</f>
        <v/>
      </c>
      <c r="X833" s="17" t="inlineStr">
        <is>
          <t>采购入库</t>
        </is>
      </c>
      <c r="Y833" s="17" t="inlineStr">
        <is>
          <t>正常</t>
        </is>
      </c>
      <c r="Z833" s="17" t="inlineStr">
        <is>
          <t>正常</t>
        </is>
      </c>
      <c r="AA833" s="17" t="n"/>
      <c r="AB833" s="17" t="inlineStr">
        <is>
          <t>原表第 841 行</t>
        </is>
      </c>
      <c r="AC833" s="24">
        <f>IF($G833="","",IF($H833="※编码不在物料档案里","※物料编码不在档案里",IF(N($K833)&lt;=0,"※入库数量要大于 0",IF(AND($C833&lt;&gt;"",$C833&lt;=结账锁),"※日期早于已结账截止日，不能再录",IF(AND($L833=0,$X833="正常"),"※没填单价，价格状态请选「待补价」",IF(AND($S833&gt;0,$R833&gt;0),"△本批有 "&amp;$S833&amp;" 行没单价，整批运费先挂账没摊",IF(AND($B833&lt;&gt;"",COUNTIF($B$4:$B$2503,$B833)&gt;1),"※入库单号重复","")))))))</f>
        <v/>
      </c>
    </row>
    <row r="834">
      <c r="A834" s="24">
        <f>IF($G834="","",COUNTA($G$4:$G834))</f>
        <v/>
      </c>
      <c r="B834" s="17" t="n"/>
      <c r="C834" s="30" t="n">
        <v>46158</v>
      </c>
      <c r="D834" s="17" t="inlineStr">
        <is>
          <t>A国内</t>
        </is>
      </c>
      <c r="E834" s="17" t="inlineStr">
        <is>
          <t>DRYU9381826-202605</t>
        </is>
      </c>
      <c r="F834" s="17" t="inlineStr">
        <is>
          <t>漳州龙海通途达国际仓储</t>
        </is>
      </c>
      <c r="G834" s="17" t="inlineStr">
        <is>
          <t>JH0761</t>
        </is>
      </c>
      <c r="H834" s="24">
        <f>IF($G834="","",IFERROR(VLOOKUP($G834,物料档案!$A$4:$P$1203,3,0),"※编码不在物料档案里"))</f>
        <v/>
      </c>
      <c r="I834" s="24">
        <f>IF($G834="","",IFERROR(VLOOKUP($G834,物料档案!$A$4:$P$1203,4,0),"※编码不在物料档案里"))</f>
        <v/>
      </c>
      <c r="J834" s="24">
        <f>IF($G834="","",IFERROR(VLOOKUP($G834,物料档案!$A$4:$P$1203,5,0),"※编码不在物料档案里"))</f>
        <v/>
      </c>
      <c r="K834" s="23" t="n">
        <v>1</v>
      </c>
      <c r="L834" s="31" t="n">
        <v>175</v>
      </c>
      <c r="M834" s="24">
        <f>IF($G834="","",IF($D834="A国内","CNY","TZS"))</f>
        <v/>
      </c>
      <c r="N834" s="28">
        <f>IF($G834="","",IF($D834="A国内",汇率,1))</f>
        <v/>
      </c>
      <c r="O834" s="25">
        <f>IF($G834="","",ROUND(N($K834)*N($L834),2))</f>
        <v/>
      </c>
      <c r="P834" s="26">
        <f>IF($G834="","",ROUND($O834*$N834,0))</f>
        <v/>
      </c>
      <c r="Q834" s="26">
        <f>IF($G834="","",SUMIFS($P$4:$P$2503,$E$4:$E$2503,$E834,$Z$4:$Z$2503,"正常"))</f>
        <v/>
      </c>
      <c r="R834" s="26">
        <f>IF($G834="","",SUMIFS(费用台账!$I$4:$I$503,费用台账!$C$4:$C$503,$E834,费用台账!$J$4:$J$503,"是",费用台账!$K$4:$K$503,"正常"))</f>
        <v/>
      </c>
      <c r="S834" s="28">
        <f>IF($G834="","",COUNTIFS($E$4:$E$2503,$E834,$Z$4:$Z$2503,"正常",$Y$4:$Y$2503,"待补价"))</f>
        <v/>
      </c>
      <c r="T834" s="26">
        <f>IF($G834="","",SUMIFS($P$4:$P$2503,$E$4:$E$2503,$E834,$Z$4:$Z$2503,"正常",$A$4:$A$2503,"&lt;="&amp;$A834))</f>
        <v/>
      </c>
      <c r="U834" s="26">
        <f>IF($G834="","",IF(OR($S834&gt;0,$Q834=0,$R834=0,$Z834&lt;&gt;"正常"),0,ROUND($T834/$Q834*$R834,0)-ROUND(($T834-$P834)/$Q834*$R834,0)))</f>
        <v/>
      </c>
      <c r="V834" s="26">
        <f>IF($G834="","",ROUND($P834+$U834,0))</f>
        <v/>
      </c>
      <c r="W834" s="26">
        <f>IF($G834="","",IF(N($K834)=0,0,ROUND($V834/$K834,2)))</f>
        <v/>
      </c>
      <c r="X834" s="17" t="inlineStr">
        <is>
          <t>采购入库</t>
        </is>
      </c>
      <c r="Y834" s="17" t="inlineStr">
        <is>
          <t>正常</t>
        </is>
      </c>
      <c r="Z834" s="17" t="inlineStr">
        <is>
          <t>正常</t>
        </is>
      </c>
      <c r="AA834" s="17" t="n"/>
      <c r="AB834" s="17" t="inlineStr">
        <is>
          <t>原表第 842 行</t>
        </is>
      </c>
      <c r="AC834" s="24">
        <f>IF($G834="","",IF($H834="※编码不在物料档案里","※物料编码不在档案里",IF(N($K834)&lt;=0,"※入库数量要大于 0",IF(AND($C834&lt;&gt;"",$C834&lt;=结账锁),"※日期早于已结账截止日，不能再录",IF(AND($L834=0,$X834="正常"),"※没填单价，价格状态请选「待补价」",IF(AND($S834&gt;0,$R834&gt;0),"△本批有 "&amp;$S834&amp;" 行没单价，整批运费先挂账没摊",IF(AND($B834&lt;&gt;"",COUNTIF($B$4:$B$2503,$B834)&gt;1),"※入库单号重复","")))))))</f>
        <v/>
      </c>
    </row>
    <row r="835">
      <c r="A835" s="24">
        <f>IF($G835="","",COUNTA($G$4:$G835))</f>
        <v/>
      </c>
      <c r="B835" s="17" t="n"/>
      <c r="C835" s="30" t="n">
        <v>46158</v>
      </c>
      <c r="D835" s="17" t="inlineStr">
        <is>
          <t>A国内</t>
        </is>
      </c>
      <c r="E835" s="17" t="inlineStr">
        <is>
          <t>DRYU9381826-202605</t>
        </is>
      </c>
      <c r="F835" s="17" t="inlineStr">
        <is>
          <t>龙岩少钦机械有限公司</t>
        </is>
      </c>
      <c r="G835" s="17" t="inlineStr">
        <is>
          <t>JH0762</t>
        </is>
      </c>
      <c r="H835" s="24">
        <f>IF($G835="","",IFERROR(VLOOKUP($G835,物料档案!$A$4:$P$1203,3,0),"※编码不在物料档案里"))</f>
        <v/>
      </c>
      <c r="I835" s="24">
        <f>IF($G835="","",IFERROR(VLOOKUP($G835,物料档案!$A$4:$P$1203,4,0),"※编码不在物料档案里"))</f>
        <v/>
      </c>
      <c r="J835" s="24">
        <f>IF($G835="","",IFERROR(VLOOKUP($G835,物料档案!$A$4:$P$1203,5,0),"※编码不在物料档案里"))</f>
        <v/>
      </c>
      <c r="K835" s="23" t="n">
        <v>8</v>
      </c>
      <c r="L835" s="31" t="n">
        <v>4477</v>
      </c>
      <c r="M835" s="24">
        <f>IF($G835="","",IF($D835="A国内","CNY","TZS"))</f>
        <v/>
      </c>
      <c r="N835" s="28">
        <f>IF($G835="","",IF($D835="A国内",汇率,1))</f>
        <v/>
      </c>
      <c r="O835" s="25">
        <f>IF($G835="","",ROUND(N($K835)*N($L835),2))</f>
        <v/>
      </c>
      <c r="P835" s="26">
        <f>IF($G835="","",ROUND($O835*$N835,0))</f>
        <v/>
      </c>
      <c r="Q835" s="26">
        <f>IF($G835="","",SUMIFS($P$4:$P$2503,$E$4:$E$2503,$E835,$Z$4:$Z$2503,"正常"))</f>
        <v/>
      </c>
      <c r="R835" s="26">
        <f>IF($G835="","",SUMIFS(费用台账!$I$4:$I$503,费用台账!$C$4:$C$503,$E835,费用台账!$J$4:$J$503,"是",费用台账!$K$4:$K$503,"正常"))</f>
        <v/>
      </c>
      <c r="S835" s="28">
        <f>IF($G835="","",COUNTIFS($E$4:$E$2503,$E835,$Z$4:$Z$2503,"正常",$Y$4:$Y$2503,"待补价"))</f>
        <v/>
      </c>
      <c r="T835" s="26">
        <f>IF($G835="","",SUMIFS($P$4:$P$2503,$E$4:$E$2503,$E835,$Z$4:$Z$2503,"正常",$A$4:$A$2503,"&lt;="&amp;$A835))</f>
        <v/>
      </c>
      <c r="U835" s="26">
        <f>IF($G835="","",IF(OR($S835&gt;0,$Q835=0,$R835=0,$Z835&lt;&gt;"正常"),0,ROUND($T835/$Q835*$R835,0)-ROUND(($T835-$P835)/$Q835*$R835,0)))</f>
        <v/>
      </c>
      <c r="V835" s="26">
        <f>IF($G835="","",ROUND($P835+$U835,0))</f>
        <v/>
      </c>
      <c r="W835" s="26">
        <f>IF($G835="","",IF(N($K835)=0,0,ROUND($V835/$K835,2)))</f>
        <v/>
      </c>
      <c r="X835" s="17" t="inlineStr">
        <is>
          <t>采购入库</t>
        </is>
      </c>
      <c r="Y835" s="17" t="inlineStr">
        <is>
          <t>正常</t>
        </is>
      </c>
      <c r="Z835" s="17" t="inlineStr">
        <is>
          <t>正常</t>
        </is>
      </c>
      <c r="AA835" s="17" t="n"/>
      <c r="AB835" s="17" t="inlineStr">
        <is>
          <t>原表第 843 行</t>
        </is>
      </c>
      <c r="AC835" s="24">
        <f>IF($G835="","",IF($H835="※编码不在物料档案里","※物料编码不在档案里",IF(N($K835)&lt;=0,"※入库数量要大于 0",IF(AND($C835&lt;&gt;"",$C835&lt;=结账锁),"※日期早于已结账截止日，不能再录",IF(AND($L835=0,$X835="正常"),"※没填单价，价格状态请选「待补价」",IF(AND($S835&gt;0,$R835&gt;0),"△本批有 "&amp;$S835&amp;" 行没单价，整批运费先挂账没摊",IF(AND($B835&lt;&gt;"",COUNTIF($B$4:$B$2503,$B835)&gt;1),"※入库单号重复","")))))))</f>
        <v/>
      </c>
    </row>
    <row r="836">
      <c r="A836" s="24">
        <f>IF($G836="","",COUNTA($G$4:$G836))</f>
        <v/>
      </c>
      <c r="B836" s="17" t="n"/>
      <c r="C836" s="30" t="n">
        <v>46158</v>
      </c>
      <c r="D836" s="17" t="inlineStr">
        <is>
          <t>A国内</t>
        </is>
      </c>
      <c r="E836" s="17" t="inlineStr">
        <is>
          <t>DRYU9381826-202605</t>
        </is>
      </c>
      <c r="F836" s="17" t="inlineStr">
        <is>
          <t>龙岩少钦机械有限公司</t>
        </is>
      </c>
      <c r="G836" s="17" t="inlineStr">
        <is>
          <t>JH0763</t>
        </is>
      </c>
      <c r="H836" s="24">
        <f>IF($G836="","",IFERROR(VLOOKUP($G836,物料档案!$A$4:$P$1203,3,0),"※编码不在物料档案里"))</f>
        <v/>
      </c>
      <c r="I836" s="24">
        <f>IF($G836="","",IFERROR(VLOOKUP($G836,物料档案!$A$4:$P$1203,4,0),"※编码不在物料档案里"))</f>
        <v/>
      </c>
      <c r="J836" s="24">
        <f>IF($G836="","",IFERROR(VLOOKUP($G836,物料档案!$A$4:$P$1203,5,0),"※编码不在物料档案里"))</f>
        <v/>
      </c>
      <c r="K836" s="23" t="n">
        <v>4</v>
      </c>
      <c r="L836" s="31" t="n">
        <v>15225</v>
      </c>
      <c r="M836" s="24">
        <f>IF($G836="","",IF($D836="A国内","CNY","TZS"))</f>
        <v/>
      </c>
      <c r="N836" s="28">
        <f>IF($G836="","",IF($D836="A国内",汇率,1))</f>
        <v/>
      </c>
      <c r="O836" s="25">
        <f>IF($G836="","",ROUND(N($K836)*N($L836),2))</f>
        <v/>
      </c>
      <c r="P836" s="26">
        <f>IF($G836="","",ROUND($O836*$N836,0))</f>
        <v/>
      </c>
      <c r="Q836" s="26">
        <f>IF($G836="","",SUMIFS($P$4:$P$2503,$E$4:$E$2503,$E836,$Z$4:$Z$2503,"正常"))</f>
        <v/>
      </c>
      <c r="R836" s="26">
        <f>IF($G836="","",SUMIFS(费用台账!$I$4:$I$503,费用台账!$C$4:$C$503,$E836,费用台账!$J$4:$J$503,"是",费用台账!$K$4:$K$503,"正常"))</f>
        <v/>
      </c>
      <c r="S836" s="28">
        <f>IF($G836="","",COUNTIFS($E$4:$E$2503,$E836,$Z$4:$Z$2503,"正常",$Y$4:$Y$2503,"待补价"))</f>
        <v/>
      </c>
      <c r="T836" s="26">
        <f>IF($G836="","",SUMIFS($P$4:$P$2503,$E$4:$E$2503,$E836,$Z$4:$Z$2503,"正常",$A$4:$A$2503,"&lt;="&amp;$A836))</f>
        <v/>
      </c>
      <c r="U836" s="26">
        <f>IF($G836="","",IF(OR($S836&gt;0,$Q836=0,$R836=0,$Z836&lt;&gt;"正常"),0,ROUND($T836/$Q836*$R836,0)-ROUND(($T836-$P836)/$Q836*$R836,0)))</f>
        <v/>
      </c>
      <c r="V836" s="26">
        <f>IF($G836="","",ROUND($P836+$U836,0))</f>
        <v/>
      </c>
      <c r="W836" s="26">
        <f>IF($G836="","",IF(N($K836)=0,0,ROUND($V836/$K836,2)))</f>
        <v/>
      </c>
      <c r="X836" s="17" t="inlineStr">
        <is>
          <t>采购入库</t>
        </is>
      </c>
      <c r="Y836" s="17" t="inlineStr">
        <is>
          <t>正常</t>
        </is>
      </c>
      <c r="Z836" s="17" t="inlineStr">
        <is>
          <t>正常</t>
        </is>
      </c>
      <c r="AA836" s="17" t="n"/>
      <c r="AB836" s="17" t="inlineStr">
        <is>
          <t>原表第 844 行</t>
        </is>
      </c>
      <c r="AC836" s="24">
        <f>IF($G836="","",IF($H836="※编码不在物料档案里","※物料编码不在档案里",IF(N($K836)&lt;=0,"※入库数量要大于 0",IF(AND($C836&lt;&gt;"",$C836&lt;=结账锁),"※日期早于已结账截止日，不能再录",IF(AND($L836=0,$X836="正常"),"※没填单价，价格状态请选「待补价」",IF(AND($S836&gt;0,$R836&gt;0),"△本批有 "&amp;$S836&amp;" 行没单价，整批运费先挂账没摊",IF(AND($B836&lt;&gt;"",COUNTIF($B$4:$B$2503,$B836)&gt;1),"※入库单号重复","")))))))</f>
        <v/>
      </c>
    </row>
    <row r="837">
      <c r="A837" s="24">
        <f>IF($G837="","",COUNTA($G$4:$G837))</f>
        <v/>
      </c>
      <c r="B837" s="17" t="n"/>
      <c r="C837" s="30" t="n">
        <v>46158</v>
      </c>
      <c r="D837" s="17" t="inlineStr">
        <is>
          <t>A国内</t>
        </is>
      </c>
      <c r="E837" s="17" t="inlineStr">
        <is>
          <t>DRYU9381826-202605</t>
        </is>
      </c>
      <c r="F837" s="17" t="inlineStr">
        <is>
          <t>龙岩少钦机械有限公司</t>
        </is>
      </c>
      <c r="G837" s="17" t="inlineStr">
        <is>
          <t>JH0764</t>
        </is>
      </c>
      <c r="H837" s="24">
        <f>IF($G837="","",IFERROR(VLOOKUP($G837,物料档案!$A$4:$P$1203,3,0),"※编码不在物料档案里"))</f>
        <v/>
      </c>
      <c r="I837" s="24">
        <f>IF($G837="","",IFERROR(VLOOKUP($G837,物料档案!$A$4:$P$1203,4,0),"※编码不在物料档案里"))</f>
        <v/>
      </c>
      <c r="J837" s="24">
        <f>IF($G837="","",IFERROR(VLOOKUP($G837,物料档案!$A$4:$P$1203,5,0),"※编码不在物料档案里"))</f>
        <v/>
      </c>
      <c r="K837" s="23" t="n">
        <v>4</v>
      </c>
      <c r="L837" s="31" t="n">
        <v>220</v>
      </c>
      <c r="M837" s="24">
        <f>IF($G837="","",IF($D837="A国内","CNY","TZS"))</f>
        <v/>
      </c>
      <c r="N837" s="28">
        <f>IF($G837="","",IF($D837="A国内",汇率,1))</f>
        <v/>
      </c>
      <c r="O837" s="25">
        <f>IF($G837="","",ROUND(N($K837)*N($L837),2))</f>
        <v/>
      </c>
      <c r="P837" s="26">
        <f>IF($G837="","",ROUND($O837*$N837,0))</f>
        <v/>
      </c>
      <c r="Q837" s="26">
        <f>IF($G837="","",SUMIFS($P$4:$P$2503,$E$4:$E$2503,$E837,$Z$4:$Z$2503,"正常"))</f>
        <v/>
      </c>
      <c r="R837" s="26">
        <f>IF($G837="","",SUMIFS(费用台账!$I$4:$I$503,费用台账!$C$4:$C$503,$E837,费用台账!$J$4:$J$503,"是",费用台账!$K$4:$K$503,"正常"))</f>
        <v/>
      </c>
      <c r="S837" s="28">
        <f>IF($G837="","",COUNTIFS($E$4:$E$2503,$E837,$Z$4:$Z$2503,"正常",$Y$4:$Y$2503,"待补价"))</f>
        <v/>
      </c>
      <c r="T837" s="26">
        <f>IF($G837="","",SUMIFS($P$4:$P$2503,$E$4:$E$2503,$E837,$Z$4:$Z$2503,"正常",$A$4:$A$2503,"&lt;="&amp;$A837))</f>
        <v/>
      </c>
      <c r="U837" s="26">
        <f>IF($G837="","",IF(OR($S837&gt;0,$Q837=0,$R837=0,$Z837&lt;&gt;"正常"),0,ROUND($T837/$Q837*$R837,0)-ROUND(($T837-$P837)/$Q837*$R837,0)))</f>
        <v/>
      </c>
      <c r="V837" s="26">
        <f>IF($G837="","",ROUND($P837+$U837,0))</f>
        <v/>
      </c>
      <c r="W837" s="26">
        <f>IF($G837="","",IF(N($K837)=0,0,ROUND($V837/$K837,2)))</f>
        <v/>
      </c>
      <c r="X837" s="17" t="inlineStr">
        <is>
          <t>采购入库</t>
        </is>
      </c>
      <c r="Y837" s="17" t="inlineStr">
        <is>
          <t>正常</t>
        </is>
      </c>
      <c r="Z837" s="17" t="inlineStr">
        <is>
          <t>正常</t>
        </is>
      </c>
      <c r="AA837" s="17" t="n"/>
      <c r="AB837" s="17" t="inlineStr">
        <is>
          <t>原表第 845 行</t>
        </is>
      </c>
      <c r="AC837" s="24">
        <f>IF($G837="","",IF($H837="※编码不在物料档案里","※物料编码不在档案里",IF(N($K837)&lt;=0,"※入库数量要大于 0",IF(AND($C837&lt;&gt;"",$C837&lt;=结账锁),"※日期早于已结账截止日，不能再录",IF(AND($L837=0,$X837="正常"),"※没填单价，价格状态请选「待补价」",IF(AND($S837&gt;0,$R837&gt;0),"△本批有 "&amp;$S837&amp;" 行没单价，整批运费先挂账没摊",IF(AND($B837&lt;&gt;"",COUNTIF($B$4:$B$2503,$B837)&gt;1),"※入库单号重复","")))))))</f>
        <v/>
      </c>
    </row>
    <row r="838">
      <c r="A838" s="24">
        <f>IF($G838="","",COUNTA($G$4:$G838))</f>
        <v/>
      </c>
      <c r="B838" s="17" t="n"/>
      <c r="C838" s="30" t="n">
        <v>46158</v>
      </c>
      <c r="D838" s="17" t="inlineStr">
        <is>
          <t>A国内</t>
        </is>
      </c>
      <c r="E838" s="17" t="inlineStr">
        <is>
          <t>DRYU9381826-202605</t>
        </is>
      </c>
      <c r="F838" s="17" t="inlineStr">
        <is>
          <t>龙岩少钦机械有限公司</t>
        </is>
      </c>
      <c r="G838" s="17" t="inlineStr">
        <is>
          <t>JH0765</t>
        </is>
      </c>
      <c r="H838" s="24">
        <f>IF($G838="","",IFERROR(VLOOKUP($G838,物料档案!$A$4:$P$1203,3,0),"※编码不在物料档案里"))</f>
        <v/>
      </c>
      <c r="I838" s="24">
        <f>IF($G838="","",IFERROR(VLOOKUP($G838,物料档案!$A$4:$P$1203,4,0),"※编码不在物料档案里"))</f>
        <v/>
      </c>
      <c r="J838" s="24">
        <f>IF($G838="","",IFERROR(VLOOKUP($G838,物料档案!$A$4:$P$1203,5,0),"※编码不在物料档案里"))</f>
        <v/>
      </c>
      <c r="K838" s="23" t="n">
        <v>4</v>
      </c>
      <c r="L838" s="31" t="n">
        <v>120</v>
      </c>
      <c r="M838" s="24">
        <f>IF($G838="","",IF($D838="A国内","CNY","TZS"))</f>
        <v/>
      </c>
      <c r="N838" s="28">
        <f>IF($G838="","",IF($D838="A国内",汇率,1))</f>
        <v/>
      </c>
      <c r="O838" s="25">
        <f>IF($G838="","",ROUND(N($K838)*N($L838),2))</f>
        <v/>
      </c>
      <c r="P838" s="26">
        <f>IF($G838="","",ROUND($O838*$N838,0))</f>
        <v/>
      </c>
      <c r="Q838" s="26">
        <f>IF($G838="","",SUMIFS($P$4:$P$2503,$E$4:$E$2503,$E838,$Z$4:$Z$2503,"正常"))</f>
        <v/>
      </c>
      <c r="R838" s="26">
        <f>IF($G838="","",SUMIFS(费用台账!$I$4:$I$503,费用台账!$C$4:$C$503,$E838,费用台账!$J$4:$J$503,"是",费用台账!$K$4:$K$503,"正常"))</f>
        <v/>
      </c>
      <c r="S838" s="28">
        <f>IF($G838="","",COUNTIFS($E$4:$E$2503,$E838,$Z$4:$Z$2503,"正常",$Y$4:$Y$2503,"待补价"))</f>
        <v/>
      </c>
      <c r="T838" s="26">
        <f>IF($G838="","",SUMIFS($P$4:$P$2503,$E$4:$E$2503,$E838,$Z$4:$Z$2503,"正常",$A$4:$A$2503,"&lt;="&amp;$A838))</f>
        <v/>
      </c>
      <c r="U838" s="26">
        <f>IF($G838="","",IF(OR($S838&gt;0,$Q838=0,$R838=0,$Z838&lt;&gt;"正常"),0,ROUND($T838/$Q838*$R838,0)-ROUND(($T838-$P838)/$Q838*$R838,0)))</f>
        <v/>
      </c>
      <c r="V838" s="26">
        <f>IF($G838="","",ROUND($P838+$U838,0))</f>
        <v/>
      </c>
      <c r="W838" s="26">
        <f>IF($G838="","",IF(N($K838)=0,0,ROUND($V838/$K838,2)))</f>
        <v/>
      </c>
      <c r="X838" s="17" t="inlineStr">
        <is>
          <t>采购入库</t>
        </is>
      </c>
      <c r="Y838" s="17" t="inlineStr">
        <is>
          <t>正常</t>
        </is>
      </c>
      <c r="Z838" s="17" t="inlineStr">
        <is>
          <t>正常</t>
        </is>
      </c>
      <c r="AA838" s="17" t="n"/>
      <c r="AB838" s="17" t="inlineStr">
        <is>
          <t>原表第 846 行</t>
        </is>
      </c>
      <c r="AC838" s="24">
        <f>IF($G838="","",IF($H838="※编码不在物料档案里","※物料编码不在档案里",IF(N($K838)&lt;=0,"※入库数量要大于 0",IF(AND($C838&lt;&gt;"",$C838&lt;=结账锁),"※日期早于已结账截止日，不能再录",IF(AND($L838=0,$X838="正常"),"※没填单价，价格状态请选「待补价」",IF(AND($S838&gt;0,$R838&gt;0),"△本批有 "&amp;$S838&amp;" 行没单价，整批运费先挂账没摊",IF(AND($B838&lt;&gt;"",COUNTIF($B$4:$B$2503,$B838)&gt;1),"※入库单号重复","")))))))</f>
        <v/>
      </c>
    </row>
    <row r="839">
      <c r="A839" s="24">
        <f>IF($G839="","",COUNTA($G$4:$G839))</f>
        <v/>
      </c>
      <c r="B839" s="17" t="n"/>
      <c r="C839" s="30" t="n">
        <v>46158</v>
      </c>
      <c r="D839" s="17" t="inlineStr">
        <is>
          <t>A国内</t>
        </is>
      </c>
      <c r="E839" s="17" t="inlineStr">
        <is>
          <t>DRYU9381826-202605</t>
        </is>
      </c>
      <c r="F839" s="17" t="inlineStr">
        <is>
          <t>厦门普罗斯灯具有限公司</t>
        </is>
      </c>
      <c r="G839" s="17" t="inlineStr">
        <is>
          <t>JH0766</t>
        </is>
      </c>
      <c r="H839" s="24">
        <f>IF($G839="","",IFERROR(VLOOKUP($G839,物料档案!$A$4:$P$1203,3,0),"※编码不在物料档案里"))</f>
        <v/>
      </c>
      <c r="I839" s="24">
        <f>IF($G839="","",IFERROR(VLOOKUP($G839,物料档案!$A$4:$P$1203,4,0),"※编码不在物料档案里"))</f>
        <v/>
      </c>
      <c r="J839" s="24">
        <f>IF($G839="","",IFERROR(VLOOKUP($G839,物料档案!$A$4:$P$1203,5,0),"※编码不在物料档案里"))</f>
        <v/>
      </c>
      <c r="K839" s="23" t="n">
        <v>100</v>
      </c>
      <c r="L839" s="31" t="n">
        <v>269.5</v>
      </c>
      <c r="M839" s="24">
        <f>IF($G839="","",IF($D839="A国内","CNY","TZS"))</f>
        <v/>
      </c>
      <c r="N839" s="28">
        <f>IF($G839="","",IF($D839="A国内",汇率,1))</f>
        <v/>
      </c>
      <c r="O839" s="25">
        <f>IF($G839="","",ROUND(N($K839)*N($L839),2))</f>
        <v/>
      </c>
      <c r="P839" s="26">
        <f>IF($G839="","",ROUND($O839*$N839,0))</f>
        <v/>
      </c>
      <c r="Q839" s="26">
        <f>IF($G839="","",SUMIFS($P$4:$P$2503,$E$4:$E$2503,$E839,$Z$4:$Z$2503,"正常"))</f>
        <v/>
      </c>
      <c r="R839" s="26">
        <f>IF($G839="","",SUMIFS(费用台账!$I$4:$I$503,费用台账!$C$4:$C$503,$E839,费用台账!$J$4:$J$503,"是",费用台账!$K$4:$K$503,"正常"))</f>
        <v/>
      </c>
      <c r="S839" s="28">
        <f>IF($G839="","",COUNTIFS($E$4:$E$2503,$E839,$Z$4:$Z$2503,"正常",$Y$4:$Y$2503,"待补价"))</f>
        <v/>
      </c>
      <c r="T839" s="26">
        <f>IF($G839="","",SUMIFS($P$4:$P$2503,$E$4:$E$2503,$E839,$Z$4:$Z$2503,"正常",$A$4:$A$2503,"&lt;="&amp;$A839))</f>
        <v/>
      </c>
      <c r="U839" s="26">
        <f>IF($G839="","",IF(OR($S839&gt;0,$Q839=0,$R839=0,$Z839&lt;&gt;"正常"),0,ROUND($T839/$Q839*$R839,0)-ROUND(($T839-$P839)/$Q839*$R839,0)))</f>
        <v/>
      </c>
      <c r="V839" s="26">
        <f>IF($G839="","",ROUND($P839+$U839,0))</f>
        <v/>
      </c>
      <c r="W839" s="26">
        <f>IF($G839="","",IF(N($K839)=0,0,ROUND($V839/$K839,2)))</f>
        <v/>
      </c>
      <c r="X839" s="17" t="inlineStr">
        <is>
          <t>采购入库</t>
        </is>
      </c>
      <c r="Y839" s="17" t="inlineStr">
        <is>
          <t>正常</t>
        </is>
      </c>
      <c r="Z839" s="17" t="inlineStr">
        <is>
          <t>正常</t>
        </is>
      </c>
      <c r="AA839" s="17" t="n"/>
      <c r="AB839" s="17" t="inlineStr">
        <is>
          <t>原表第 847 行</t>
        </is>
      </c>
      <c r="AC839" s="24">
        <f>IF($G839="","",IF($H839="※编码不在物料档案里","※物料编码不在档案里",IF(N($K839)&lt;=0,"※入库数量要大于 0",IF(AND($C839&lt;&gt;"",$C839&lt;=结账锁),"※日期早于已结账截止日，不能再录",IF(AND($L839=0,$X839="正常"),"※没填单价，价格状态请选「待补价」",IF(AND($S839&gt;0,$R839&gt;0),"△本批有 "&amp;$S839&amp;" 行没单价，整批运费先挂账没摊",IF(AND($B839&lt;&gt;"",COUNTIF($B$4:$B$2503,$B839)&gt;1),"※入库单号重复","")))))))</f>
        <v/>
      </c>
    </row>
    <row r="840">
      <c r="A840" s="24">
        <f>IF($G840="","",COUNTA($G$4:$G840))</f>
        <v/>
      </c>
      <c r="B840" s="17" t="n"/>
      <c r="C840" s="30" t="n">
        <v>46158</v>
      </c>
      <c r="D840" s="17" t="inlineStr">
        <is>
          <t>A国内</t>
        </is>
      </c>
      <c r="E840" s="17" t="inlineStr">
        <is>
          <t>DRYU9381826-202605</t>
        </is>
      </c>
      <c r="F840" s="17" t="inlineStr">
        <is>
          <t>厦门锦佳轮橡胶有限公司</t>
        </is>
      </c>
      <c r="G840" s="17" t="inlineStr">
        <is>
          <t>JH0767</t>
        </is>
      </c>
      <c r="H840" s="24">
        <f>IF($G840="","",IFERROR(VLOOKUP($G840,物料档案!$A$4:$P$1203,3,0),"※编码不在物料档案里"))</f>
        <v/>
      </c>
      <c r="I840" s="24">
        <f>IF($G840="","",IFERROR(VLOOKUP($G840,物料档案!$A$4:$P$1203,4,0),"※编码不在物料档案里"))</f>
        <v/>
      </c>
      <c r="J840" s="24">
        <f>IF($G840="","",IFERROR(VLOOKUP($G840,物料档案!$A$4:$P$1203,5,0),"※编码不在物料档案里"))</f>
        <v/>
      </c>
      <c r="K840" s="23" t="n">
        <v>10</v>
      </c>
      <c r="L840" s="31" t="n">
        <v>2300</v>
      </c>
      <c r="M840" s="24">
        <f>IF($G840="","",IF($D840="A国内","CNY","TZS"))</f>
        <v/>
      </c>
      <c r="N840" s="28">
        <f>IF($G840="","",IF($D840="A国内",汇率,1))</f>
        <v/>
      </c>
      <c r="O840" s="25">
        <f>IF($G840="","",ROUND(N($K840)*N($L840),2))</f>
        <v/>
      </c>
      <c r="P840" s="26">
        <f>IF($G840="","",ROUND($O840*$N840,0))</f>
        <v/>
      </c>
      <c r="Q840" s="26">
        <f>IF($G840="","",SUMIFS($P$4:$P$2503,$E$4:$E$2503,$E840,$Z$4:$Z$2503,"正常"))</f>
        <v/>
      </c>
      <c r="R840" s="26">
        <f>IF($G840="","",SUMIFS(费用台账!$I$4:$I$503,费用台账!$C$4:$C$503,$E840,费用台账!$J$4:$J$503,"是",费用台账!$K$4:$K$503,"正常"))</f>
        <v/>
      </c>
      <c r="S840" s="28">
        <f>IF($G840="","",COUNTIFS($E$4:$E$2503,$E840,$Z$4:$Z$2503,"正常",$Y$4:$Y$2503,"待补价"))</f>
        <v/>
      </c>
      <c r="T840" s="26">
        <f>IF($G840="","",SUMIFS($P$4:$P$2503,$E$4:$E$2503,$E840,$Z$4:$Z$2503,"正常",$A$4:$A$2503,"&lt;="&amp;$A840))</f>
        <v/>
      </c>
      <c r="U840" s="26">
        <f>IF($G840="","",IF(OR($S840&gt;0,$Q840=0,$R840=0,$Z840&lt;&gt;"正常"),0,ROUND($T840/$Q840*$R840,0)-ROUND(($T840-$P840)/$Q840*$R840,0)))</f>
        <v/>
      </c>
      <c r="V840" s="26">
        <f>IF($G840="","",ROUND($P840+$U840,0))</f>
        <v/>
      </c>
      <c r="W840" s="26">
        <f>IF($G840="","",IF(N($K840)=0,0,ROUND($V840/$K840,2)))</f>
        <v/>
      </c>
      <c r="X840" s="17" t="inlineStr">
        <is>
          <t>采购入库</t>
        </is>
      </c>
      <c r="Y840" s="17" t="inlineStr">
        <is>
          <t>正常</t>
        </is>
      </c>
      <c r="Z840" s="17" t="inlineStr">
        <is>
          <t>正常</t>
        </is>
      </c>
      <c r="AA840" s="17" t="n"/>
      <c r="AB840" s="17" t="inlineStr">
        <is>
          <t>原表第 848 行</t>
        </is>
      </c>
      <c r="AC840" s="24">
        <f>IF($G840="","",IF($H840="※编码不在物料档案里","※物料编码不在档案里",IF(N($K840)&lt;=0,"※入库数量要大于 0",IF(AND($C840&lt;&gt;"",$C840&lt;=结账锁),"※日期早于已结账截止日，不能再录",IF(AND($L840=0,$X840="正常"),"※没填单价，价格状态请选「待补价」",IF(AND($S840&gt;0,$R840&gt;0),"△本批有 "&amp;$S840&amp;" 行没单价，整批运费先挂账没摊",IF(AND($B840&lt;&gt;"",COUNTIF($B$4:$B$2503,$B840)&gt;1),"※入库单号重复","")))))))</f>
        <v/>
      </c>
    </row>
    <row r="841">
      <c r="A841" s="24">
        <f>IF($G841="","",COUNTA($G$4:$G841))</f>
        <v/>
      </c>
      <c r="B841" s="17" t="n"/>
      <c r="C841" s="30" t="n">
        <v>46158</v>
      </c>
      <c r="D841" s="17" t="inlineStr">
        <is>
          <t>A国内</t>
        </is>
      </c>
      <c r="E841" s="17" t="inlineStr">
        <is>
          <t>DRYU9381826-202605</t>
        </is>
      </c>
      <c r="F841" s="17" t="inlineStr">
        <is>
          <t>漳州市芗城区福莱纳农具商行</t>
        </is>
      </c>
      <c r="G841" s="17" t="inlineStr">
        <is>
          <t>JH0768</t>
        </is>
      </c>
      <c r="H841" s="24">
        <f>IF($G841="","",IFERROR(VLOOKUP($G841,物料档案!$A$4:$P$1203,3,0),"※编码不在物料档案里"))</f>
        <v/>
      </c>
      <c r="I841" s="24">
        <f>IF($G841="","",IFERROR(VLOOKUP($G841,物料档案!$A$4:$P$1203,4,0),"※编码不在物料档案里"))</f>
        <v/>
      </c>
      <c r="J841" s="24">
        <f>IF($G841="","",IFERROR(VLOOKUP($G841,物料档案!$A$4:$P$1203,5,0),"※编码不在物料档案里"))</f>
        <v/>
      </c>
      <c r="K841" s="23" t="n">
        <v>10</v>
      </c>
      <c r="L841" s="31" t="n">
        <v>200</v>
      </c>
      <c r="M841" s="24">
        <f>IF($G841="","",IF($D841="A国内","CNY","TZS"))</f>
        <v/>
      </c>
      <c r="N841" s="28">
        <f>IF($G841="","",IF($D841="A国内",汇率,1))</f>
        <v/>
      </c>
      <c r="O841" s="25">
        <f>IF($G841="","",ROUND(N($K841)*N($L841),2))</f>
        <v/>
      </c>
      <c r="P841" s="26">
        <f>IF($G841="","",ROUND($O841*$N841,0))</f>
        <v/>
      </c>
      <c r="Q841" s="26">
        <f>IF($G841="","",SUMIFS($P$4:$P$2503,$E$4:$E$2503,$E841,$Z$4:$Z$2503,"正常"))</f>
        <v/>
      </c>
      <c r="R841" s="26">
        <f>IF($G841="","",SUMIFS(费用台账!$I$4:$I$503,费用台账!$C$4:$C$503,$E841,费用台账!$J$4:$J$503,"是",费用台账!$K$4:$K$503,"正常"))</f>
        <v/>
      </c>
      <c r="S841" s="28">
        <f>IF($G841="","",COUNTIFS($E$4:$E$2503,$E841,$Z$4:$Z$2503,"正常",$Y$4:$Y$2503,"待补价"))</f>
        <v/>
      </c>
      <c r="T841" s="26">
        <f>IF($G841="","",SUMIFS($P$4:$P$2503,$E$4:$E$2503,$E841,$Z$4:$Z$2503,"正常",$A$4:$A$2503,"&lt;="&amp;$A841))</f>
        <v/>
      </c>
      <c r="U841" s="26">
        <f>IF($G841="","",IF(OR($S841&gt;0,$Q841=0,$R841=0,$Z841&lt;&gt;"正常"),0,ROUND($T841/$Q841*$R841,0)-ROUND(($T841-$P841)/$Q841*$R841,0)))</f>
        <v/>
      </c>
      <c r="V841" s="26">
        <f>IF($G841="","",ROUND($P841+$U841,0))</f>
        <v/>
      </c>
      <c r="W841" s="26">
        <f>IF($G841="","",IF(N($K841)=0,0,ROUND($V841/$K841,2)))</f>
        <v/>
      </c>
      <c r="X841" s="17" t="inlineStr">
        <is>
          <t>采购入库</t>
        </is>
      </c>
      <c r="Y841" s="17" t="inlineStr">
        <is>
          <t>正常</t>
        </is>
      </c>
      <c r="Z841" s="17" t="inlineStr">
        <is>
          <t>正常</t>
        </is>
      </c>
      <c r="AA841" s="17" t="n"/>
      <c r="AB841" s="17" t="inlineStr">
        <is>
          <t>原表第 849 行</t>
        </is>
      </c>
      <c r="AC841" s="24">
        <f>IF($G841="","",IF($H841="※编码不在物料档案里","※物料编码不在档案里",IF(N($K841)&lt;=0,"※入库数量要大于 0",IF(AND($C841&lt;&gt;"",$C841&lt;=结账锁),"※日期早于已结账截止日，不能再录",IF(AND($L841=0,$X841="正常"),"※没填单价，价格状态请选「待补价」",IF(AND($S841&gt;0,$R841&gt;0),"△本批有 "&amp;$S841&amp;" 行没单价，整批运费先挂账没摊",IF(AND($B841&lt;&gt;"",COUNTIF($B$4:$B$2503,$B841)&gt;1),"※入库单号重复","")))))))</f>
        <v/>
      </c>
    </row>
    <row r="842">
      <c r="A842" s="24">
        <f>IF($G842="","",COUNTA($G$4:$G842))</f>
        <v/>
      </c>
      <c r="B842" s="17" t="n"/>
      <c r="C842" s="30" t="n">
        <v>46158</v>
      </c>
      <c r="D842" s="17" t="inlineStr">
        <is>
          <t>A国内</t>
        </is>
      </c>
      <c r="E842" s="17" t="inlineStr">
        <is>
          <t>DRYU9381826-202605</t>
        </is>
      </c>
      <c r="F842" s="17" t="inlineStr">
        <is>
          <t>漳州市芗城区福莱纳农具商行</t>
        </is>
      </c>
      <c r="G842" s="17" t="inlineStr">
        <is>
          <t>JH0769</t>
        </is>
      </c>
      <c r="H842" s="24">
        <f>IF($G842="","",IFERROR(VLOOKUP($G842,物料档案!$A$4:$P$1203,3,0),"※编码不在物料档案里"))</f>
        <v/>
      </c>
      <c r="I842" s="24">
        <f>IF($G842="","",IFERROR(VLOOKUP($G842,物料档案!$A$4:$P$1203,4,0),"※编码不在物料档案里"))</f>
        <v/>
      </c>
      <c r="J842" s="24">
        <f>IF($G842="","",IFERROR(VLOOKUP($G842,物料档案!$A$4:$P$1203,5,0),"※编码不在物料档案里"))</f>
        <v/>
      </c>
      <c r="K842" s="23" t="n">
        <v>10</v>
      </c>
      <c r="L842" s="31" t="n">
        <v>380</v>
      </c>
      <c r="M842" s="24">
        <f>IF($G842="","",IF($D842="A国内","CNY","TZS"))</f>
        <v/>
      </c>
      <c r="N842" s="28">
        <f>IF($G842="","",IF($D842="A国内",汇率,1))</f>
        <v/>
      </c>
      <c r="O842" s="25">
        <f>IF($G842="","",ROUND(N($K842)*N($L842),2))</f>
        <v/>
      </c>
      <c r="P842" s="26">
        <f>IF($G842="","",ROUND($O842*$N842,0))</f>
        <v/>
      </c>
      <c r="Q842" s="26">
        <f>IF($G842="","",SUMIFS($P$4:$P$2503,$E$4:$E$2503,$E842,$Z$4:$Z$2503,"正常"))</f>
        <v/>
      </c>
      <c r="R842" s="26">
        <f>IF($G842="","",SUMIFS(费用台账!$I$4:$I$503,费用台账!$C$4:$C$503,$E842,费用台账!$J$4:$J$503,"是",费用台账!$K$4:$K$503,"正常"))</f>
        <v/>
      </c>
      <c r="S842" s="28">
        <f>IF($G842="","",COUNTIFS($E$4:$E$2503,$E842,$Z$4:$Z$2503,"正常",$Y$4:$Y$2503,"待补价"))</f>
        <v/>
      </c>
      <c r="T842" s="26">
        <f>IF($G842="","",SUMIFS($P$4:$P$2503,$E$4:$E$2503,$E842,$Z$4:$Z$2503,"正常",$A$4:$A$2503,"&lt;="&amp;$A842))</f>
        <v/>
      </c>
      <c r="U842" s="26">
        <f>IF($G842="","",IF(OR($S842&gt;0,$Q842=0,$R842=0,$Z842&lt;&gt;"正常"),0,ROUND($T842/$Q842*$R842,0)-ROUND(($T842-$P842)/$Q842*$R842,0)))</f>
        <v/>
      </c>
      <c r="V842" s="26">
        <f>IF($G842="","",ROUND($P842+$U842,0))</f>
        <v/>
      </c>
      <c r="W842" s="26">
        <f>IF($G842="","",IF(N($K842)=0,0,ROUND($V842/$K842,2)))</f>
        <v/>
      </c>
      <c r="X842" s="17" t="inlineStr">
        <is>
          <t>采购入库</t>
        </is>
      </c>
      <c r="Y842" s="17" t="inlineStr">
        <is>
          <t>正常</t>
        </is>
      </c>
      <c r="Z842" s="17" t="inlineStr">
        <is>
          <t>正常</t>
        </is>
      </c>
      <c r="AA842" s="17" t="n"/>
      <c r="AB842" s="17" t="inlineStr">
        <is>
          <t>原表第 850 行</t>
        </is>
      </c>
      <c r="AC842" s="24">
        <f>IF($G842="","",IF($H842="※编码不在物料档案里","※物料编码不在档案里",IF(N($K842)&lt;=0,"※入库数量要大于 0",IF(AND($C842&lt;&gt;"",$C842&lt;=结账锁),"※日期早于已结账截止日，不能再录",IF(AND($L842=0,$X842="正常"),"※没填单价，价格状态请选「待补价」",IF(AND($S842&gt;0,$R842&gt;0),"△本批有 "&amp;$S842&amp;" 行没单价，整批运费先挂账没摊",IF(AND($B842&lt;&gt;"",COUNTIF($B$4:$B$2503,$B842)&gt;1),"※入库单号重复","")))))))</f>
        <v/>
      </c>
    </row>
    <row r="843">
      <c r="A843" s="24">
        <f>IF($G843="","",COUNTA($G$4:$G843))</f>
        <v/>
      </c>
      <c r="B843" s="17" t="n"/>
      <c r="C843" s="30" t="n">
        <v>46158</v>
      </c>
      <c r="D843" s="17" t="inlineStr">
        <is>
          <t>A国内</t>
        </is>
      </c>
      <c r="E843" s="17" t="inlineStr">
        <is>
          <t>DRYU9381826-202605</t>
        </is>
      </c>
      <c r="F843" s="17" t="inlineStr">
        <is>
          <t>河北泰岳服饰有限公司</t>
        </is>
      </c>
      <c r="G843" s="17" t="inlineStr">
        <is>
          <t>JH0770</t>
        </is>
      </c>
      <c r="H843" s="24">
        <f>IF($G843="","",IFERROR(VLOOKUP($G843,物料档案!$A$4:$P$1203,3,0),"※编码不在物料档案里"))</f>
        <v/>
      </c>
      <c r="I843" s="24">
        <f>IF($G843="","",IFERROR(VLOOKUP($G843,物料档案!$A$4:$P$1203,4,0),"※编码不在物料档案里"))</f>
        <v/>
      </c>
      <c r="J843" s="24">
        <f>IF($G843="","",IFERROR(VLOOKUP($G843,物料档案!$A$4:$P$1203,5,0),"※编码不在物料档案里"))</f>
        <v/>
      </c>
      <c r="K843" s="23" t="n">
        <v>100</v>
      </c>
      <c r="L843" s="31" t="n">
        <v>80</v>
      </c>
      <c r="M843" s="24">
        <f>IF($G843="","",IF($D843="A国内","CNY","TZS"))</f>
        <v/>
      </c>
      <c r="N843" s="28">
        <f>IF($G843="","",IF($D843="A国内",汇率,1))</f>
        <v/>
      </c>
      <c r="O843" s="25">
        <f>IF($G843="","",ROUND(N($K843)*N($L843),2))</f>
        <v/>
      </c>
      <c r="P843" s="26">
        <f>IF($G843="","",ROUND($O843*$N843,0))</f>
        <v/>
      </c>
      <c r="Q843" s="26">
        <f>IF($G843="","",SUMIFS($P$4:$P$2503,$E$4:$E$2503,$E843,$Z$4:$Z$2503,"正常"))</f>
        <v/>
      </c>
      <c r="R843" s="26">
        <f>IF($G843="","",SUMIFS(费用台账!$I$4:$I$503,费用台账!$C$4:$C$503,$E843,费用台账!$J$4:$J$503,"是",费用台账!$K$4:$K$503,"正常"))</f>
        <v/>
      </c>
      <c r="S843" s="28">
        <f>IF($G843="","",COUNTIFS($E$4:$E$2503,$E843,$Z$4:$Z$2503,"正常",$Y$4:$Y$2503,"待补价"))</f>
        <v/>
      </c>
      <c r="T843" s="26">
        <f>IF($G843="","",SUMIFS($P$4:$P$2503,$E$4:$E$2503,$E843,$Z$4:$Z$2503,"正常",$A$4:$A$2503,"&lt;="&amp;$A843))</f>
        <v/>
      </c>
      <c r="U843" s="26">
        <f>IF($G843="","",IF(OR($S843&gt;0,$Q843=0,$R843=0,$Z843&lt;&gt;"正常"),0,ROUND($T843/$Q843*$R843,0)-ROUND(($T843-$P843)/$Q843*$R843,0)))</f>
        <v/>
      </c>
      <c r="V843" s="26">
        <f>IF($G843="","",ROUND($P843+$U843,0))</f>
        <v/>
      </c>
      <c r="W843" s="26">
        <f>IF($G843="","",IF(N($K843)=0,0,ROUND($V843/$K843,2)))</f>
        <v/>
      </c>
      <c r="X843" s="17" t="inlineStr">
        <is>
          <t>采购入库</t>
        </is>
      </c>
      <c r="Y843" s="17" t="inlineStr">
        <is>
          <t>正常</t>
        </is>
      </c>
      <c r="Z843" s="17" t="inlineStr">
        <is>
          <t>正常</t>
        </is>
      </c>
      <c r="AA843" s="17" t="n"/>
      <c r="AB843" s="17" t="inlineStr">
        <is>
          <t>原表第 851 行</t>
        </is>
      </c>
      <c r="AC843" s="24">
        <f>IF($G843="","",IF($H843="※编码不在物料档案里","※物料编码不在档案里",IF(N($K843)&lt;=0,"※入库数量要大于 0",IF(AND($C843&lt;&gt;"",$C843&lt;=结账锁),"※日期早于已结账截止日，不能再录",IF(AND($L843=0,$X843="正常"),"※没填单价，价格状态请选「待补价」",IF(AND($S843&gt;0,$R843&gt;0),"△本批有 "&amp;$S843&amp;" 行没单价，整批运费先挂账没摊",IF(AND($B843&lt;&gt;"",COUNTIF($B$4:$B$2503,$B843)&gt;1),"※入库单号重复","")))))))</f>
        <v/>
      </c>
    </row>
    <row r="844">
      <c r="A844" s="24">
        <f>IF($G844="","",COUNTA($G$4:$G844))</f>
        <v/>
      </c>
      <c r="B844" s="17" t="n"/>
      <c r="C844" s="30" t="n">
        <v>46158</v>
      </c>
      <c r="D844" s="17" t="inlineStr">
        <is>
          <t>A国内</t>
        </is>
      </c>
      <c r="E844" s="17" t="inlineStr">
        <is>
          <t>DRYU9381826-202605</t>
        </is>
      </c>
      <c r="F844" s="17" t="inlineStr">
        <is>
          <t>河北泰岳服饰有限公司</t>
        </is>
      </c>
      <c r="G844" s="17" t="inlineStr">
        <is>
          <t>JH0771</t>
        </is>
      </c>
      <c r="H844" s="24">
        <f>IF($G844="","",IFERROR(VLOOKUP($G844,物料档案!$A$4:$P$1203,3,0),"※编码不在物料档案里"))</f>
        <v/>
      </c>
      <c r="I844" s="24">
        <f>IF($G844="","",IFERROR(VLOOKUP($G844,物料档案!$A$4:$P$1203,4,0),"※编码不在物料档案里"))</f>
        <v/>
      </c>
      <c r="J844" s="24">
        <f>IF($G844="","",IFERROR(VLOOKUP($G844,物料档案!$A$4:$P$1203,5,0),"※编码不在物料档案里"))</f>
        <v/>
      </c>
      <c r="K844" s="23" t="n">
        <v>100</v>
      </c>
      <c r="L844" s="31" t="n">
        <v>35</v>
      </c>
      <c r="M844" s="24">
        <f>IF($G844="","",IF($D844="A国内","CNY","TZS"))</f>
        <v/>
      </c>
      <c r="N844" s="28">
        <f>IF($G844="","",IF($D844="A国内",汇率,1))</f>
        <v/>
      </c>
      <c r="O844" s="25">
        <f>IF($G844="","",ROUND(N($K844)*N($L844),2))</f>
        <v/>
      </c>
      <c r="P844" s="26">
        <f>IF($G844="","",ROUND($O844*$N844,0))</f>
        <v/>
      </c>
      <c r="Q844" s="26">
        <f>IF($G844="","",SUMIFS($P$4:$P$2503,$E$4:$E$2503,$E844,$Z$4:$Z$2503,"正常"))</f>
        <v/>
      </c>
      <c r="R844" s="26">
        <f>IF($G844="","",SUMIFS(费用台账!$I$4:$I$503,费用台账!$C$4:$C$503,$E844,费用台账!$J$4:$J$503,"是",费用台账!$K$4:$K$503,"正常"))</f>
        <v/>
      </c>
      <c r="S844" s="28">
        <f>IF($G844="","",COUNTIFS($E$4:$E$2503,$E844,$Z$4:$Z$2503,"正常",$Y$4:$Y$2503,"待补价"))</f>
        <v/>
      </c>
      <c r="T844" s="26">
        <f>IF($G844="","",SUMIFS($P$4:$P$2503,$E$4:$E$2503,$E844,$Z$4:$Z$2503,"正常",$A$4:$A$2503,"&lt;="&amp;$A844))</f>
        <v/>
      </c>
      <c r="U844" s="26">
        <f>IF($G844="","",IF(OR($S844&gt;0,$Q844=0,$R844=0,$Z844&lt;&gt;"正常"),0,ROUND($T844/$Q844*$R844,0)-ROUND(($T844-$P844)/$Q844*$R844,0)))</f>
        <v/>
      </c>
      <c r="V844" s="26">
        <f>IF($G844="","",ROUND($P844+$U844,0))</f>
        <v/>
      </c>
      <c r="W844" s="26">
        <f>IF($G844="","",IF(N($K844)=0,0,ROUND($V844/$K844,2)))</f>
        <v/>
      </c>
      <c r="X844" s="17" t="inlineStr">
        <is>
          <t>采购入库</t>
        </is>
      </c>
      <c r="Y844" s="17" t="inlineStr">
        <is>
          <t>正常</t>
        </is>
      </c>
      <c r="Z844" s="17" t="inlineStr">
        <is>
          <t>正常</t>
        </is>
      </c>
      <c r="AA844" s="17" t="n"/>
      <c r="AB844" s="17" t="inlineStr">
        <is>
          <t>原表第 852 行</t>
        </is>
      </c>
      <c r="AC844" s="24">
        <f>IF($G844="","",IF($H844="※编码不在物料档案里","※物料编码不在档案里",IF(N($K844)&lt;=0,"※入库数量要大于 0",IF(AND($C844&lt;&gt;"",$C844&lt;=结账锁),"※日期早于已结账截止日，不能再录",IF(AND($L844=0,$X844="正常"),"※没填单价，价格状态请选「待补价」",IF(AND($S844&gt;0,$R844&gt;0),"△本批有 "&amp;$S844&amp;" 行没单价，整批运费先挂账没摊",IF(AND($B844&lt;&gt;"",COUNTIF($B$4:$B$2503,$B844)&gt;1),"※入库单号重复","")))))))</f>
        <v/>
      </c>
    </row>
    <row r="845">
      <c r="A845" s="24">
        <f>IF($G845="","",COUNTA($G$4:$G845))</f>
        <v/>
      </c>
      <c r="B845" s="17" t="n"/>
      <c r="C845" s="30" t="n">
        <v>46158</v>
      </c>
      <c r="D845" s="17" t="inlineStr">
        <is>
          <t>A国内</t>
        </is>
      </c>
      <c r="E845" s="17" t="inlineStr">
        <is>
          <t>DRYU9381826-202605</t>
        </is>
      </c>
      <c r="F845" s="17" t="inlineStr">
        <is>
          <t>星兴五金经营部</t>
        </is>
      </c>
      <c r="G845" s="17" t="inlineStr">
        <is>
          <t>JH0772</t>
        </is>
      </c>
      <c r="H845" s="24">
        <f>IF($G845="","",IFERROR(VLOOKUP($G845,物料档案!$A$4:$P$1203,3,0),"※编码不在物料档案里"))</f>
        <v/>
      </c>
      <c r="I845" s="24">
        <f>IF($G845="","",IFERROR(VLOOKUP($G845,物料档案!$A$4:$P$1203,4,0),"※编码不在物料档案里"))</f>
        <v/>
      </c>
      <c r="J845" s="24">
        <f>IF($G845="","",IFERROR(VLOOKUP($G845,物料档案!$A$4:$P$1203,5,0),"※编码不在物料档案里"))</f>
        <v/>
      </c>
      <c r="K845" s="23" t="n">
        <v>50</v>
      </c>
      <c r="L845" s="31" t="n">
        <v>20</v>
      </c>
      <c r="M845" s="24">
        <f>IF($G845="","",IF($D845="A国内","CNY","TZS"))</f>
        <v/>
      </c>
      <c r="N845" s="28">
        <f>IF($G845="","",IF($D845="A国内",汇率,1))</f>
        <v/>
      </c>
      <c r="O845" s="25">
        <f>IF($G845="","",ROUND(N($K845)*N($L845),2))</f>
        <v/>
      </c>
      <c r="P845" s="26">
        <f>IF($G845="","",ROUND($O845*$N845,0))</f>
        <v/>
      </c>
      <c r="Q845" s="26">
        <f>IF($G845="","",SUMIFS($P$4:$P$2503,$E$4:$E$2503,$E845,$Z$4:$Z$2503,"正常"))</f>
        <v/>
      </c>
      <c r="R845" s="26">
        <f>IF($G845="","",SUMIFS(费用台账!$I$4:$I$503,费用台账!$C$4:$C$503,$E845,费用台账!$J$4:$J$503,"是",费用台账!$K$4:$K$503,"正常"))</f>
        <v/>
      </c>
      <c r="S845" s="28">
        <f>IF($G845="","",COUNTIFS($E$4:$E$2503,$E845,$Z$4:$Z$2503,"正常",$Y$4:$Y$2503,"待补价"))</f>
        <v/>
      </c>
      <c r="T845" s="26">
        <f>IF($G845="","",SUMIFS($P$4:$P$2503,$E$4:$E$2503,$E845,$Z$4:$Z$2503,"正常",$A$4:$A$2503,"&lt;="&amp;$A845))</f>
        <v/>
      </c>
      <c r="U845" s="26">
        <f>IF($G845="","",IF(OR($S845&gt;0,$Q845=0,$R845=0,$Z845&lt;&gt;"正常"),0,ROUND($T845/$Q845*$R845,0)-ROUND(($T845-$P845)/$Q845*$R845,0)))</f>
        <v/>
      </c>
      <c r="V845" s="26">
        <f>IF($G845="","",ROUND($P845+$U845,0))</f>
        <v/>
      </c>
      <c r="W845" s="26">
        <f>IF($G845="","",IF(N($K845)=0,0,ROUND($V845/$K845,2)))</f>
        <v/>
      </c>
      <c r="X845" s="17" t="inlineStr">
        <is>
          <t>采购入库</t>
        </is>
      </c>
      <c r="Y845" s="17" t="inlineStr">
        <is>
          <t>正常</t>
        </is>
      </c>
      <c r="Z845" s="17" t="inlineStr">
        <is>
          <t>正常</t>
        </is>
      </c>
      <c r="AA845" s="17" t="n"/>
      <c r="AB845" s="17" t="inlineStr">
        <is>
          <t>原表第 853 行</t>
        </is>
      </c>
      <c r="AC845" s="24">
        <f>IF($G845="","",IF($H845="※编码不在物料档案里","※物料编码不在档案里",IF(N($K845)&lt;=0,"※入库数量要大于 0",IF(AND($C845&lt;&gt;"",$C845&lt;=结账锁),"※日期早于已结账截止日，不能再录",IF(AND($L845=0,$X845="正常"),"※没填单价，价格状态请选「待补价」",IF(AND($S845&gt;0,$R845&gt;0),"△本批有 "&amp;$S845&amp;" 行没单价，整批运费先挂账没摊",IF(AND($B845&lt;&gt;"",COUNTIF($B$4:$B$2503,$B845)&gt;1),"※入库单号重复","")))))))</f>
        <v/>
      </c>
    </row>
    <row r="846">
      <c r="A846" s="24">
        <f>IF($G846="","",COUNTA($G$4:$G846))</f>
        <v/>
      </c>
      <c r="B846" s="17" t="n"/>
      <c r="C846" s="30" t="n">
        <v>46158</v>
      </c>
      <c r="D846" s="17" t="inlineStr">
        <is>
          <t>A国内</t>
        </is>
      </c>
      <c r="E846" s="17" t="inlineStr">
        <is>
          <t>DRYU9381826-202605</t>
        </is>
      </c>
      <c r="F846" s="17" t="inlineStr">
        <is>
          <t>星兴五金经营部</t>
        </is>
      </c>
      <c r="G846" s="17" t="inlineStr">
        <is>
          <t>JH0773</t>
        </is>
      </c>
      <c r="H846" s="24">
        <f>IF($G846="","",IFERROR(VLOOKUP($G846,物料档案!$A$4:$P$1203,3,0),"※编码不在物料档案里"))</f>
        <v/>
      </c>
      <c r="I846" s="24">
        <f>IF($G846="","",IFERROR(VLOOKUP($G846,物料档案!$A$4:$P$1203,4,0),"※编码不在物料档案里"))</f>
        <v/>
      </c>
      <c r="J846" s="24">
        <f>IF($G846="","",IFERROR(VLOOKUP($G846,物料档案!$A$4:$P$1203,5,0),"※编码不在物料档案里"))</f>
        <v/>
      </c>
      <c r="K846" s="23" t="n">
        <v>50</v>
      </c>
      <c r="L846" s="31" t="n">
        <v>20</v>
      </c>
      <c r="M846" s="24">
        <f>IF($G846="","",IF($D846="A国内","CNY","TZS"))</f>
        <v/>
      </c>
      <c r="N846" s="28">
        <f>IF($G846="","",IF($D846="A国内",汇率,1))</f>
        <v/>
      </c>
      <c r="O846" s="25">
        <f>IF($G846="","",ROUND(N($K846)*N($L846),2))</f>
        <v/>
      </c>
      <c r="P846" s="26">
        <f>IF($G846="","",ROUND($O846*$N846,0))</f>
        <v/>
      </c>
      <c r="Q846" s="26">
        <f>IF($G846="","",SUMIFS($P$4:$P$2503,$E$4:$E$2503,$E846,$Z$4:$Z$2503,"正常"))</f>
        <v/>
      </c>
      <c r="R846" s="26">
        <f>IF($G846="","",SUMIFS(费用台账!$I$4:$I$503,费用台账!$C$4:$C$503,$E846,费用台账!$J$4:$J$503,"是",费用台账!$K$4:$K$503,"正常"))</f>
        <v/>
      </c>
      <c r="S846" s="28">
        <f>IF($G846="","",COUNTIFS($E$4:$E$2503,$E846,$Z$4:$Z$2503,"正常",$Y$4:$Y$2503,"待补价"))</f>
        <v/>
      </c>
      <c r="T846" s="26">
        <f>IF($G846="","",SUMIFS($P$4:$P$2503,$E$4:$E$2503,$E846,$Z$4:$Z$2503,"正常",$A$4:$A$2503,"&lt;="&amp;$A846))</f>
        <v/>
      </c>
      <c r="U846" s="26">
        <f>IF($G846="","",IF(OR($S846&gt;0,$Q846=0,$R846=0,$Z846&lt;&gt;"正常"),0,ROUND($T846/$Q846*$R846,0)-ROUND(($T846-$P846)/$Q846*$R846,0)))</f>
        <v/>
      </c>
      <c r="V846" s="26">
        <f>IF($G846="","",ROUND($P846+$U846,0))</f>
        <v/>
      </c>
      <c r="W846" s="26">
        <f>IF($G846="","",IF(N($K846)=0,0,ROUND($V846/$K846,2)))</f>
        <v/>
      </c>
      <c r="X846" s="17" t="inlineStr">
        <is>
          <t>采购入库</t>
        </is>
      </c>
      <c r="Y846" s="17" t="inlineStr">
        <is>
          <t>正常</t>
        </is>
      </c>
      <c r="Z846" s="17" t="inlineStr">
        <is>
          <t>正常</t>
        </is>
      </c>
      <c r="AA846" s="17" t="n"/>
      <c r="AB846" s="17" t="inlineStr">
        <is>
          <t>原表第 854 行</t>
        </is>
      </c>
      <c r="AC846" s="24">
        <f>IF($G846="","",IF($H846="※编码不在物料档案里","※物料编码不在档案里",IF(N($K846)&lt;=0,"※入库数量要大于 0",IF(AND($C846&lt;&gt;"",$C846&lt;=结账锁),"※日期早于已结账截止日，不能再录",IF(AND($L846=0,$X846="正常"),"※没填单价，价格状态请选「待补价」",IF(AND($S846&gt;0,$R846&gt;0),"△本批有 "&amp;$S846&amp;" 行没单价，整批运费先挂账没摊",IF(AND($B846&lt;&gt;"",COUNTIF($B$4:$B$2503,$B846)&gt;1),"※入库单号重复","")))))))</f>
        <v/>
      </c>
    </row>
    <row r="847">
      <c r="A847" s="24">
        <f>IF($G847="","",COUNTA($G$4:$G847))</f>
        <v/>
      </c>
      <c r="B847" s="17" t="n"/>
      <c r="C847" s="30" t="n">
        <v>46158</v>
      </c>
      <c r="D847" s="17" t="inlineStr">
        <is>
          <t>A国内</t>
        </is>
      </c>
      <c r="E847" s="17" t="inlineStr">
        <is>
          <t>DRYU9381826-202605</t>
        </is>
      </c>
      <c r="F847" s="17" t="inlineStr">
        <is>
          <t>河南起重机有限公司</t>
        </is>
      </c>
      <c r="G847" s="17" t="inlineStr">
        <is>
          <t>JH0774</t>
        </is>
      </c>
      <c r="H847" s="24">
        <f>IF($G847="","",IFERROR(VLOOKUP($G847,物料档案!$A$4:$P$1203,3,0),"※编码不在物料档案里"))</f>
        <v/>
      </c>
      <c r="I847" s="24">
        <f>IF($G847="","",IFERROR(VLOOKUP($G847,物料档案!$A$4:$P$1203,4,0),"※编码不在物料档案里"))</f>
        <v/>
      </c>
      <c r="J847" s="24">
        <f>IF($G847="","",IFERROR(VLOOKUP($G847,物料档案!$A$4:$P$1203,5,0),"※编码不在物料档案里"))</f>
        <v/>
      </c>
      <c r="K847" s="23" t="n">
        <v>2</v>
      </c>
      <c r="L847" s="31" t="n">
        <v>160</v>
      </c>
      <c r="M847" s="24">
        <f>IF($G847="","",IF($D847="A国内","CNY","TZS"))</f>
        <v/>
      </c>
      <c r="N847" s="28">
        <f>IF($G847="","",IF($D847="A国内",汇率,1))</f>
        <v/>
      </c>
      <c r="O847" s="25">
        <f>IF($G847="","",ROUND(N($K847)*N($L847),2))</f>
        <v/>
      </c>
      <c r="P847" s="26">
        <f>IF($G847="","",ROUND($O847*$N847,0))</f>
        <v/>
      </c>
      <c r="Q847" s="26">
        <f>IF($G847="","",SUMIFS($P$4:$P$2503,$E$4:$E$2503,$E847,$Z$4:$Z$2503,"正常"))</f>
        <v/>
      </c>
      <c r="R847" s="26">
        <f>IF($G847="","",SUMIFS(费用台账!$I$4:$I$503,费用台账!$C$4:$C$503,$E847,费用台账!$J$4:$J$503,"是",费用台账!$K$4:$K$503,"正常"))</f>
        <v/>
      </c>
      <c r="S847" s="28">
        <f>IF($G847="","",COUNTIFS($E$4:$E$2503,$E847,$Z$4:$Z$2503,"正常",$Y$4:$Y$2503,"待补价"))</f>
        <v/>
      </c>
      <c r="T847" s="26">
        <f>IF($G847="","",SUMIFS($P$4:$P$2503,$E$4:$E$2503,$E847,$Z$4:$Z$2503,"正常",$A$4:$A$2503,"&lt;="&amp;$A847))</f>
        <v/>
      </c>
      <c r="U847" s="26">
        <f>IF($G847="","",IF(OR($S847&gt;0,$Q847=0,$R847=0,$Z847&lt;&gt;"正常"),0,ROUND($T847/$Q847*$R847,0)-ROUND(($T847-$P847)/$Q847*$R847,0)))</f>
        <v/>
      </c>
      <c r="V847" s="26">
        <f>IF($G847="","",ROUND($P847+$U847,0))</f>
        <v/>
      </c>
      <c r="W847" s="26">
        <f>IF($G847="","",IF(N($K847)=0,0,ROUND($V847/$K847,2)))</f>
        <v/>
      </c>
      <c r="X847" s="17" t="inlineStr">
        <is>
          <t>采购入库</t>
        </is>
      </c>
      <c r="Y847" s="17" t="inlineStr">
        <is>
          <t>正常</t>
        </is>
      </c>
      <c r="Z847" s="17" t="inlineStr">
        <is>
          <t>正常</t>
        </is>
      </c>
      <c r="AA847" s="17" t="n"/>
      <c r="AB847" s="17" t="inlineStr">
        <is>
          <t>原表第 855 行</t>
        </is>
      </c>
      <c r="AC847" s="24">
        <f>IF($G847="","",IF($H847="※编码不在物料档案里","※物料编码不在档案里",IF(N($K847)&lt;=0,"※入库数量要大于 0",IF(AND($C847&lt;&gt;"",$C847&lt;=结账锁),"※日期早于已结账截止日，不能再录",IF(AND($L847=0,$X847="正常"),"※没填单价，价格状态请选「待补价」",IF(AND($S847&gt;0,$R847&gt;0),"△本批有 "&amp;$S847&amp;" 行没单价，整批运费先挂账没摊",IF(AND($B847&lt;&gt;"",COUNTIF($B$4:$B$2503,$B847)&gt;1),"※入库单号重复","")))))))</f>
        <v/>
      </c>
    </row>
    <row r="848">
      <c r="A848" s="24">
        <f>IF($G848="","",COUNTA($G$4:$G848))</f>
        <v/>
      </c>
      <c r="B848" s="17" t="n"/>
      <c r="C848" s="30" t="n">
        <v>46158</v>
      </c>
      <c r="D848" s="17" t="inlineStr">
        <is>
          <t>A国内</t>
        </is>
      </c>
      <c r="E848" s="17" t="inlineStr">
        <is>
          <t>DRYU9381826-202605</t>
        </is>
      </c>
      <c r="F848" s="17" t="inlineStr">
        <is>
          <t>河南起重机有限公司</t>
        </is>
      </c>
      <c r="G848" s="17" t="inlineStr">
        <is>
          <t>JH0775</t>
        </is>
      </c>
      <c r="H848" s="24">
        <f>IF($G848="","",IFERROR(VLOOKUP($G848,物料档案!$A$4:$P$1203,3,0),"※编码不在物料档案里"))</f>
        <v/>
      </c>
      <c r="I848" s="24">
        <f>IF($G848="","",IFERROR(VLOOKUP($G848,物料档案!$A$4:$P$1203,4,0),"※编码不在物料档案里"))</f>
        <v/>
      </c>
      <c r="J848" s="24">
        <f>IF($G848="","",IFERROR(VLOOKUP($G848,物料档案!$A$4:$P$1203,5,0),"※编码不在物料档案里"))</f>
        <v/>
      </c>
      <c r="K848" s="23" t="n">
        <v>1.25</v>
      </c>
      <c r="L848" s="31" t="n">
        <v>48</v>
      </c>
      <c r="M848" s="24">
        <f>IF($G848="","",IF($D848="A国内","CNY","TZS"))</f>
        <v/>
      </c>
      <c r="N848" s="28">
        <f>IF($G848="","",IF($D848="A国内",汇率,1))</f>
        <v/>
      </c>
      <c r="O848" s="25">
        <f>IF($G848="","",ROUND(N($K848)*N($L848),2))</f>
        <v/>
      </c>
      <c r="P848" s="26">
        <f>IF($G848="","",ROUND($O848*$N848,0))</f>
        <v/>
      </c>
      <c r="Q848" s="26">
        <f>IF($G848="","",SUMIFS($P$4:$P$2503,$E$4:$E$2503,$E848,$Z$4:$Z$2503,"正常"))</f>
        <v/>
      </c>
      <c r="R848" s="26">
        <f>IF($G848="","",SUMIFS(费用台账!$I$4:$I$503,费用台账!$C$4:$C$503,$E848,费用台账!$J$4:$J$503,"是",费用台账!$K$4:$K$503,"正常"))</f>
        <v/>
      </c>
      <c r="S848" s="28">
        <f>IF($G848="","",COUNTIFS($E$4:$E$2503,$E848,$Z$4:$Z$2503,"正常",$Y$4:$Y$2503,"待补价"))</f>
        <v/>
      </c>
      <c r="T848" s="26">
        <f>IF($G848="","",SUMIFS($P$4:$P$2503,$E$4:$E$2503,$E848,$Z$4:$Z$2503,"正常",$A$4:$A$2503,"&lt;="&amp;$A848))</f>
        <v/>
      </c>
      <c r="U848" s="26">
        <f>IF($G848="","",IF(OR($S848&gt;0,$Q848=0,$R848=0,$Z848&lt;&gt;"正常"),0,ROUND($T848/$Q848*$R848,0)-ROUND(($T848-$P848)/$Q848*$R848,0)))</f>
        <v/>
      </c>
      <c r="V848" s="26">
        <f>IF($G848="","",ROUND($P848+$U848,0))</f>
        <v/>
      </c>
      <c r="W848" s="26">
        <f>IF($G848="","",IF(N($K848)=0,0,ROUND($V848/$K848,2)))</f>
        <v/>
      </c>
      <c r="X848" s="17" t="inlineStr">
        <is>
          <t>采购入库</t>
        </is>
      </c>
      <c r="Y848" s="17" t="inlineStr">
        <is>
          <t>正常</t>
        </is>
      </c>
      <c r="Z848" s="17" t="inlineStr">
        <is>
          <t>正常</t>
        </is>
      </c>
      <c r="AA848" s="17" t="n"/>
      <c r="AB848" s="17" t="inlineStr">
        <is>
          <t>原表第 856 行</t>
        </is>
      </c>
      <c r="AC848" s="24">
        <f>IF($G848="","",IF($H848="※编码不在物料档案里","※物料编码不在档案里",IF(N($K848)&lt;=0,"※入库数量要大于 0",IF(AND($C848&lt;&gt;"",$C848&lt;=结账锁),"※日期早于已结账截止日，不能再录",IF(AND($L848=0,$X848="正常"),"※没填单价，价格状态请选「待补价」",IF(AND($S848&gt;0,$R848&gt;0),"△本批有 "&amp;$S848&amp;" 行没单价，整批运费先挂账没摊",IF(AND($B848&lt;&gt;"",COUNTIF($B$4:$B$2503,$B848)&gt;1),"※入库单号重复","")))))))</f>
        <v/>
      </c>
    </row>
    <row r="849">
      <c r="A849" s="24">
        <f>IF($G849="","",COUNTA($G$4:$G849))</f>
        <v/>
      </c>
      <c r="B849" s="17" t="n"/>
      <c r="C849" s="30" t="n">
        <v>46158</v>
      </c>
      <c r="D849" s="17" t="inlineStr">
        <is>
          <t>A国内</t>
        </is>
      </c>
      <c r="E849" s="17" t="inlineStr">
        <is>
          <t>DRYU9381826-202605</t>
        </is>
      </c>
      <c r="F849" s="17" t="inlineStr">
        <is>
          <t>鹤壁万丰矿山机械制造有限公司</t>
        </is>
      </c>
      <c r="G849" s="17" t="inlineStr">
        <is>
          <t>JH0776</t>
        </is>
      </c>
      <c r="H849" s="24">
        <f>IF($G849="","",IFERROR(VLOOKUP($G849,物料档案!$A$4:$P$1203,3,0),"※编码不在物料档案里"))</f>
        <v/>
      </c>
      <c r="I849" s="24">
        <f>IF($G849="","",IFERROR(VLOOKUP($G849,物料档案!$A$4:$P$1203,4,0),"※编码不在物料档案里"))</f>
        <v/>
      </c>
      <c r="J849" s="24">
        <f>IF($G849="","",IFERROR(VLOOKUP($G849,物料档案!$A$4:$P$1203,5,0),"※编码不在物料档案里"))</f>
        <v/>
      </c>
      <c r="K849" s="23" t="n">
        <v>8</v>
      </c>
      <c r="L849" s="31" t="n">
        <v>234</v>
      </c>
      <c r="M849" s="24">
        <f>IF($G849="","",IF($D849="A国内","CNY","TZS"))</f>
        <v/>
      </c>
      <c r="N849" s="28">
        <f>IF($G849="","",IF($D849="A国内",汇率,1))</f>
        <v/>
      </c>
      <c r="O849" s="25">
        <f>IF($G849="","",ROUND(N($K849)*N($L849),2))</f>
        <v/>
      </c>
      <c r="P849" s="26">
        <f>IF($G849="","",ROUND($O849*$N849,0))</f>
        <v/>
      </c>
      <c r="Q849" s="26">
        <f>IF($G849="","",SUMIFS($P$4:$P$2503,$E$4:$E$2503,$E849,$Z$4:$Z$2503,"正常"))</f>
        <v/>
      </c>
      <c r="R849" s="26">
        <f>IF($G849="","",SUMIFS(费用台账!$I$4:$I$503,费用台账!$C$4:$C$503,$E849,费用台账!$J$4:$J$503,"是",费用台账!$K$4:$K$503,"正常"))</f>
        <v/>
      </c>
      <c r="S849" s="28">
        <f>IF($G849="","",COUNTIFS($E$4:$E$2503,$E849,$Z$4:$Z$2503,"正常",$Y$4:$Y$2503,"待补价"))</f>
        <v/>
      </c>
      <c r="T849" s="26">
        <f>IF($G849="","",SUMIFS($P$4:$P$2503,$E$4:$E$2503,$E849,$Z$4:$Z$2503,"正常",$A$4:$A$2503,"&lt;="&amp;$A849))</f>
        <v/>
      </c>
      <c r="U849" s="26">
        <f>IF($G849="","",IF(OR($S849&gt;0,$Q849=0,$R849=0,$Z849&lt;&gt;"正常"),0,ROUND($T849/$Q849*$R849,0)-ROUND(($T849-$P849)/$Q849*$R849,0)))</f>
        <v/>
      </c>
      <c r="V849" s="26">
        <f>IF($G849="","",ROUND($P849+$U849,0))</f>
        <v/>
      </c>
      <c r="W849" s="26">
        <f>IF($G849="","",IF(N($K849)=0,0,ROUND($V849/$K849,2)))</f>
        <v/>
      </c>
      <c r="X849" s="17" t="inlineStr">
        <is>
          <t>采购入库</t>
        </is>
      </c>
      <c r="Y849" s="17" t="inlineStr">
        <is>
          <t>正常</t>
        </is>
      </c>
      <c r="Z849" s="17" t="inlineStr">
        <is>
          <t>正常</t>
        </is>
      </c>
      <c r="AA849" s="17" t="n"/>
      <c r="AB849" s="17" t="inlineStr">
        <is>
          <t>原表第 857 行</t>
        </is>
      </c>
      <c r="AC849" s="24">
        <f>IF($G849="","",IF($H849="※编码不在物料档案里","※物料编码不在档案里",IF(N($K849)&lt;=0,"※入库数量要大于 0",IF(AND($C849&lt;&gt;"",$C849&lt;=结账锁),"※日期早于已结账截止日，不能再录",IF(AND($L849=0,$X849="正常"),"※没填单价，价格状态请选「待补价」",IF(AND($S849&gt;0,$R849&gt;0),"△本批有 "&amp;$S849&amp;" 行没单价，整批运费先挂账没摊",IF(AND($B849&lt;&gt;"",COUNTIF($B$4:$B$2503,$B849)&gt;1),"※入库单号重复","")))))))</f>
        <v/>
      </c>
    </row>
    <row r="850">
      <c r="A850" s="24">
        <f>IF($G850="","",COUNTA($G$4:$G850))</f>
        <v/>
      </c>
      <c r="B850" s="17" t="n"/>
      <c r="C850" s="30" t="n">
        <v>46158</v>
      </c>
      <c r="D850" s="17" t="inlineStr">
        <is>
          <t>A国内</t>
        </is>
      </c>
      <c r="E850" s="17" t="inlineStr">
        <is>
          <t>DRYU9381826-202605</t>
        </is>
      </c>
      <c r="F850" s="17" t="inlineStr">
        <is>
          <t>鹤壁万丰矿山机械制造有限公司</t>
        </is>
      </c>
      <c r="G850" s="17" t="inlineStr">
        <is>
          <t>JH0777</t>
        </is>
      </c>
      <c r="H850" s="24">
        <f>IF($G850="","",IFERROR(VLOOKUP($G850,物料档案!$A$4:$P$1203,3,0),"※编码不在物料档案里"))</f>
        <v/>
      </c>
      <c r="I850" s="24">
        <f>IF($G850="","",IFERROR(VLOOKUP($G850,物料档案!$A$4:$P$1203,4,0),"※编码不在物料档案里"))</f>
        <v/>
      </c>
      <c r="J850" s="24">
        <f>IF($G850="","",IFERROR(VLOOKUP($G850,物料档案!$A$4:$P$1203,5,0),"※编码不在物料档案里"))</f>
        <v/>
      </c>
      <c r="K850" s="23" t="n">
        <v>4</v>
      </c>
      <c r="L850" s="31" t="n">
        <v>135</v>
      </c>
      <c r="M850" s="24">
        <f>IF($G850="","",IF($D850="A国内","CNY","TZS"))</f>
        <v/>
      </c>
      <c r="N850" s="28">
        <f>IF($G850="","",IF($D850="A国内",汇率,1))</f>
        <v/>
      </c>
      <c r="O850" s="25">
        <f>IF($G850="","",ROUND(N($K850)*N($L850),2))</f>
        <v/>
      </c>
      <c r="P850" s="26">
        <f>IF($G850="","",ROUND($O850*$N850,0))</f>
        <v/>
      </c>
      <c r="Q850" s="26">
        <f>IF($G850="","",SUMIFS($P$4:$P$2503,$E$4:$E$2503,$E850,$Z$4:$Z$2503,"正常"))</f>
        <v/>
      </c>
      <c r="R850" s="26">
        <f>IF($G850="","",SUMIFS(费用台账!$I$4:$I$503,费用台账!$C$4:$C$503,$E850,费用台账!$J$4:$J$503,"是",费用台账!$K$4:$K$503,"正常"))</f>
        <v/>
      </c>
      <c r="S850" s="28">
        <f>IF($G850="","",COUNTIFS($E$4:$E$2503,$E850,$Z$4:$Z$2503,"正常",$Y$4:$Y$2503,"待补价"))</f>
        <v/>
      </c>
      <c r="T850" s="26">
        <f>IF($G850="","",SUMIFS($P$4:$P$2503,$E$4:$E$2503,$E850,$Z$4:$Z$2503,"正常",$A$4:$A$2503,"&lt;="&amp;$A850))</f>
        <v/>
      </c>
      <c r="U850" s="26">
        <f>IF($G850="","",IF(OR($S850&gt;0,$Q850=0,$R850=0,$Z850&lt;&gt;"正常"),0,ROUND($T850/$Q850*$R850,0)-ROUND(($T850-$P850)/$Q850*$R850,0)))</f>
        <v/>
      </c>
      <c r="V850" s="26">
        <f>IF($G850="","",ROUND($P850+$U850,0))</f>
        <v/>
      </c>
      <c r="W850" s="26">
        <f>IF($G850="","",IF(N($K850)=0,0,ROUND($V850/$K850,2)))</f>
        <v/>
      </c>
      <c r="X850" s="17" t="inlineStr">
        <is>
          <t>采购入库</t>
        </is>
      </c>
      <c r="Y850" s="17" t="inlineStr">
        <is>
          <t>正常</t>
        </is>
      </c>
      <c r="Z850" s="17" t="inlineStr">
        <is>
          <t>正常</t>
        </is>
      </c>
      <c r="AA850" s="17" t="n"/>
      <c r="AB850" s="17" t="inlineStr">
        <is>
          <t>原表第 858 行</t>
        </is>
      </c>
      <c r="AC850" s="24">
        <f>IF($G850="","",IF($H850="※编码不在物料档案里","※物料编码不在档案里",IF(N($K850)&lt;=0,"※入库数量要大于 0",IF(AND($C850&lt;&gt;"",$C850&lt;=结账锁),"※日期早于已结账截止日，不能再录",IF(AND($L850=0,$X850="正常"),"※没填单价，价格状态请选「待补价」",IF(AND($S850&gt;0,$R850&gt;0),"△本批有 "&amp;$S850&amp;" 行没单价，整批运费先挂账没摊",IF(AND($B850&lt;&gt;"",COUNTIF($B$4:$B$2503,$B850)&gt;1),"※入库单号重复","")))))))</f>
        <v/>
      </c>
    </row>
    <row r="851">
      <c r="A851" s="24">
        <f>IF($G851="","",COUNTA($G$4:$G851))</f>
        <v/>
      </c>
      <c r="B851" s="17" t="n"/>
      <c r="C851" s="30" t="n">
        <v>46158</v>
      </c>
      <c r="D851" s="17" t="inlineStr">
        <is>
          <t>A国内</t>
        </is>
      </c>
      <c r="E851" s="17" t="inlineStr">
        <is>
          <t>DRYU9381826-202605</t>
        </is>
      </c>
      <c r="F851" s="17" t="inlineStr">
        <is>
          <t>鹤壁万丰矿山机械制造有限公司</t>
        </is>
      </c>
      <c r="G851" s="17" t="inlineStr">
        <is>
          <t>JH0778</t>
        </is>
      </c>
      <c r="H851" s="24">
        <f>IF($G851="","",IFERROR(VLOOKUP($G851,物料档案!$A$4:$P$1203,3,0),"※编码不在物料档案里"))</f>
        <v/>
      </c>
      <c r="I851" s="24">
        <f>IF($G851="","",IFERROR(VLOOKUP($G851,物料档案!$A$4:$P$1203,4,0),"※编码不在物料档案里"))</f>
        <v/>
      </c>
      <c r="J851" s="24">
        <f>IF($G851="","",IFERROR(VLOOKUP($G851,物料档案!$A$4:$P$1203,5,0),"※编码不在物料档案里"))</f>
        <v/>
      </c>
      <c r="K851" s="23" t="n">
        <v>2</v>
      </c>
      <c r="L851" s="31" t="n">
        <v>72</v>
      </c>
      <c r="M851" s="24">
        <f>IF($G851="","",IF($D851="A国内","CNY","TZS"))</f>
        <v/>
      </c>
      <c r="N851" s="28">
        <f>IF($G851="","",IF($D851="A国内",汇率,1))</f>
        <v/>
      </c>
      <c r="O851" s="25">
        <f>IF($G851="","",ROUND(N($K851)*N($L851),2))</f>
        <v/>
      </c>
      <c r="P851" s="26">
        <f>IF($G851="","",ROUND($O851*$N851,0))</f>
        <v/>
      </c>
      <c r="Q851" s="26">
        <f>IF($G851="","",SUMIFS($P$4:$P$2503,$E$4:$E$2503,$E851,$Z$4:$Z$2503,"正常"))</f>
        <v/>
      </c>
      <c r="R851" s="26">
        <f>IF($G851="","",SUMIFS(费用台账!$I$4:$I$503,费用台账!$C$4:$C$503,$E851,费用台账!$J$4:$J$503,"是",费用台账!$K$4:$K$503,"正常"))</f>
        <v/>
      </c>
      <c r="S851" s="28">
        <f>IF($G851="","",COUNTIFS($E$4:$E$2503,$E851,$Z$4:$Z$2503,"正常",$Y$4:$Y$2503,"待补价"))</f>
        <v/>
      </c>
      <c r="T851" s="26">
        <f>IF($G851="","",SUMIFS($P$4:$P$2503,$E$4:$E$2503,$E851,$Z$4:$Z$2503,"正常",$A$4:$A$2503,"&lt;="&amp;$A851))</f>
        <v/>
      </c>
      <c r="U851" s="26">
        <f>IF($G851="","",IF(OR($S851&gt;0,$Q851=0,$R851=0,$Z851&lt;&gt;"正常"),0,ROUND($T851/$Q851*$R851,0)-ROUND(($T851-$P851)/$Q851*$R851,0)))</f>
        <v/>
      </c>
      <c r="V851" s="26">
        <f>IF($G851="","",ROUND($P851+$U851,0))</f>
        <v/>
      </c>
      <c r="W851" s="26">
        <f>IF($G851="","",IF(N($K851)=0,0,ROUND($V851/$K851,2)))</f>
        <v/>
      </c>
      <c r="X851" s="17" t="inlineStr">
        <is>
          <t>采购入库</t>
        </is>
      </c>
      <c r="Y851" s="17" t="inlineStr">
        <is>
          <t>正常</t>
        </is>
      </c>
      <c r="Z851" s="17" t="inlineStr">
        <is>
          <t>正常</t>
        </is>
      </c>
      <c r="AA851" s="17" t="n"/>
      <c r="AB851" s="17" t="inlineStr">
        <is>
          <t>原表第 859 行</t>
        </is>
      </c>
      <c r="AC851" s="24">
        <f>IF($G851="","",IF($H851="※编码不在物料档案里","※物料编码不在档案里",IF(N($K851)&lt;=0,"※入库数量要大于 0",IF(AND($C851&lt;&gt;"",$C851&lt;=结账锁),"※日期早于已结账截止日，不能再录",IF(AND($L851=0,$X851="正常"),"※没填单价，价格状态请选「待补价」",IF(AND($S851&gt;0,$R851&gt;0),"△本批有 "&amp;$S851&amp;" 行没单价，整批运费先挂账没摊",IF(AND($B851&lt;&gt;"",COUNTIF($B$4:$B$2503,$B851)&gt;1),"※入库单号重复","")))))))</f>
        <v/>
      </c>
    </row>
    <row r="852">
      <c r="A852" s="24">
        <f>IF($G852="","",COUNTA($G$4:$G852))</f>
        <v/>
      </c>
      <c r="B852" s="17" t="n"/>
      <c r="C852" s="30" t="n">
        <v>46158</v>
      </c>
      <c r="D852" s="17" t="inlineStr">
        <is>
          <t>A国内</t>
        </is>
      </c>
      <c r="E852" s="17" t="inlineStr">
        <is>
          <t>DRYU9381826-202605</t>
        </is>
      </c>
      <c r="F852" s="17" t="inlineStr">
        <is>
          <t>鹤壁万丰矿山机械制造有限公司</t>
        </is>
      </c>
      <c r="G852" s="17" t="inlineStr">
        <is>
          <t>JH0779</t>
        </is>
      </c>
      <c r="H852" s="24">
        <f>IF($G852="","",IFERROR(VLOOKUP($G852,物料档案!$A$4:$P$1203,3,0),"※编码不在物料档案里"))</f>
        <v/>
      </c>
      <c r="I852" s="24">
        <f>IF($G852="","",IFERROR(VLOOKUP($G852,物料档案!$A$4:$P$1203,4,0),"※编码不在物料档案里"))</f>
        <v/>
      </c>
      <c r="J852" s="24">
        <f>IF($G852="","",IFERROR(VLOOKUP($G852,物料档案!$A$4:$P$1203,5,0),"※编码不在物料档案里"))</f>
        <v/>
      </c>
      <c r="K852" s="23" t="n">
        <v>1</v>
      </c>
      <c r="L852" s="31" t="n">
        <v>54</v>
      </c>
      <c r="M852" s="24">
        <f>IF($G852="","",IF($D852="A国内","CNY","TZS"))</f>
        <v/>
      </c>
      <c r="N852" s="28">
        <f>IF($G852="","",IF($D852="A国内",汇率,1))</f>
        <v/>
      </c>
      <c r="O852" s="25">
        <f>IF($G852="","",ROUND(N($K852)*N($L852),2))</f>
        <v/>
      </c>
      <c r="P852" s="26">
        <f>IF($G852="","",ROUND($O852*$N852,0))</f>
        <v/>
      </c>
      <c r="Q852" s="26">
        <f>IF($G852="","",SUMIFS($P$4:$P$2503,$E$4:$E$2503,$E852,$Z$4:$Z$2503,"正常"))</f>
        <v/>
      </c>
      <c r="R852" s="26">
        <f>IF($G852="","",SUMIFS(费用台账!$I$4:$I$503,费用台账!$C$4:$C$503,$E852,费用台账!$J$4:$J$503,"是",费用台账!$K$4:$K$503,"正常"))</f>
        <v/>
      </c>
      <c r="S852" s="28">
        <f>IF($G852="","",COUNTIFS($E$4:$E$2503,$E852,$Z$4:$Z$2503,"正常",$Y$4:$Y$2503,"待补价"))</f>
        <v/>
      </c>
      <c r="T852" s="26">
        <f>IF($G852="","",SUMIFS($P$4:$P$2503,$E$4:$E$2503,$E852,$Z$4:$Z$2503,"正常",$A$4:$A$2503,"&lt;="&amp;$A852))</f>
        <v/>
      </c>
      <c r="U852" s="26">
        <f>IF($G852="","",IF(OR($S852&gt;0,$Q852=0,$R852=0,$Z852&lt;&gt;"正常"),0,ROUND($T852/$Q852*$R852,0)-ROUND(($T852-$P852)/$Q852*$R852,0)))</f>
        <v/>
      </c>
      <c r="V852" s="26">
        <f>IF($G852="","",ROUND($P852+$U852,0))</f>
        <v/>
      </c>
      <c r="W852" s="26">
        <f>IF($G852="","",IF(N($K852)=0,0,ROUND($V852/$K852,2)))</f>
        <v/>
      </c>
      <c r="X852" s="17" t="inlineStr">
        <is>
          <t>采购入库</t>
        </is>
      </c>
      <c r="Y852" s="17" t="inlineStr">
        <is>
          <t>正常</t>
        </is>
      </c>
      <c r="Z852" s="17" t="inlineStr">
        <is>
          <t>正常</t>
        </is>
      </c>
      <c r="AA852" s="17" t="n"/>
      <c r="AB852" s="17" t="inlineStr">
        <is>
          <t>原表第 860 行</t>
        </is>
      </c>
      <c r="AC852" s="24">
        <f>IF($G852="","",IF($H852="※编码不在物料档案里","※物料编码不在档案里",IF(N($K852)&lt;=0,"※入库数量要大于 0",IF(AND($C852&lt;&gt;"",$C852&lt;=结账锁),"※日期早于已结账截止日，不能再录",IF(AND($L852=0,$X852="正常"),"※没填单价，价格状态请选「待补价」",IF(AND($S852&gt;0,$R852&gt;0),"△本批有 "&amp;$S852&amp;" 行没单价，整批运费先挂账没摊",IF(AND($B852&lt;&gt;"",COUNTIF($B$4:$B$2503,$B852)&gt;1),"※入库单号重复","")))))))</f>
        <v/>
      </c>
    </row>
    <row r="853">
      <c r="A853" s="24">
        <f>IF($G853="","",COUNTA($G$4:$G853))</f>
        <v/>
      </c>
      <c r="B853" s="17" t="n"/>
      <c r="C853" s="30" t="n">
        <v>46158</v>
      </c>
      <c r="D853" s="17" t="inlineStr">
        <is>
          <t>A国内</t>
        </is>
      </c>
      <c r="E853" s="17" t="inlineStr">
        <is>
          <t>DRYU9381826-202605</t>
        </is>
      </c>
      <c r="F853" s="17" t="inlineStr">
        <is>
          <t>鹤壁万丰矿山机械制造有限公司</t>
        </is>
      </c>
      <c r="G853" s="17" t="inlineStr">
        <is>
          <t>JH0780</t>
        </is>
      </c>
      <c r="H853" s="24">
        <f>IF($G853="","",IFERROR(VLOOKUP($G853,物料档案!$A$4:$P$1203,3,0),"※编码不在物料档案里"))</f>
        <v/>
      </c>
      <c r="I853" s="24">
        <f>IF($G853="","",IFERROR(VLOOKUP($G853,物料档案!$A$4:$P$1203,4,0),"※编码不在物料档案里"))</f>
        <v/>
      </c>
      <c r="J853" s="24">
        <f>IF($G853="","",IFERROR(VLOOKUP($G853,物料档案!$A$4:$P$1203,5,0),"※编码不在物料档案里"))</f>
        <v/>
      </c>
      <c r="K853" s="23" t="n">
        <v>1</v>
      </c>
      <c r="L853" s="31" t="n">
        <v>486</v>
      </c>
      <c r="M853" s="24">
        <f>IF($G853="","",IF($D853="A国内","CNY","TZS"))</f>
        <v/>
      </c>
      <c r="N853" s="28">
        <f>IF($G853="","",IF($D853="A国内",汇率,1))</f>
        <v/>
      </c>
      <c r="O853" s="25">
        <f>IF($G853="","",ROUND(N($K853)*N($L853),2))</f>
        <v/>
      </c>
      <c r="P853" s="26">
        <f>IF($G853="","",ROUND($O853*$N853,0))</f>
        <v/>
      </c>
      <c r="Q853" s="26">
        <f>IF($G853="","",SUMIFS($P$4:$P$2503,$E$4:$E$2503,$E853,$Z$4:$Z$2503,"正常"))</f>
        <v/>
      </c>
      <c r="R853" s="26">
        <f>IF($G853="","",SUMIFS(费用台账!$I$4:$I$503,费用台账!$C$4:$C$503,$E853,费用台账!$J$4:$J$503,"是",费用台账!$K$4:$K$503,"正常"))</f>
        <v/>
      </c>
      <c r="S853" s="28">
        <f>IF($G853="","",COUNTIFS($E$4:$E$2503,$E853,$Z$4:$Z$2503,"正常",$Y$4:$Y$2503,"待补价"))</f>
        <v/>
      </c>
      <c r="T853" s="26">
        <f>IF($G853="","",SUMIFS($P$4:$P$2503,$E$4:$E$2503,$E853,$Z$4:$Z$2503,"正常",$A$4:$A$2503,"&lt;="&amp;$A853))</f>
        <v/>
      </c>
      <c r="U853" s="26">
        <f>IF($G853="","",IF(OR($S853&gt;0,$Q853=0,$R853=0,$Z853&lt;&gt;"正常"),0,ROUND($T853/$Q853*$R853,0)-ROUND(($T853-$P853)/$Q853*$R853,0)))</f>
        <v/>
      </c>
      <c r="V853" s="26">
        <f>IF($G853="","",ROUND($P853+$U853,0))</f>
        <v/>
      </c>
      <c r="W853" s="26">
        <f>IF($G853="","",IF(N($K853)=0,0,ROUND($V853/$K853,2)))</f>
        <v/>
      </c>
      <c r="X853" s="17" t="inlineStr">
        <is>
          <t>采购入库</t>
        </is>
      </c>
      <c r="Y853" s="17" t="inlineStr">
        <is>
          <t>正常</t>
        </is>
      </c>
      <c r="Z853" s="17" t="inlineStr">
        <is>
          <t>正常</t>
        </is>
      </c>
      <c r="AA853" s="17" t="n"/>
      <c r="AB853" s="17" t="inlineStr">
        <is>
          <t>原表第 861 行</t>
        </is>
      </c>
      <c r="AC853" s="24">
        <f>IF($G853="","",IF($H853="※编码不在物料档案里","※物料编码不在档案里",IF(N($K853)&lt;=0,"※入库数量要大于 0",IF(AND($C853&lt;&gt;"",$C853&lt;=结账锁),"※日期早于已结账截止日，不能再录",IF(AND($L853=0,$X853="正常"),"※没填单价，价格状态请选「待补价」",IF(AND($S853&gt;0,$R853&gt;0),"△本批有 "&amp;$S853&amp;" 行没单价，整批运费先挂账没摊",IF(AND($B853&lt;&gt;"",COUNTIF($B$4:$B$2503,$B853)&gt;1),"※入库单号重复","")))))))</f>
        <v/>
      </c>
    </row>
    <row r="854">
      <c r="A854" s="24">
        <f>IF($G854="","",COUNTA($G$4:$G854))</f>
        <v/>
      </c>
      <c r="B854" s="17" t="n"/>
      <c r="C854" s="30" t="n">
        <v>46158</v>
      </c>
      <c r="D854" s="17" t="inlineStr">
        <is>
          <t>A国内</t>
        </is>
      </c>
      <c r="E854" s="17" t="inlineStr">
        <is>
          <t>DRYU9381826-202605</t>
        </is>
      </c>
      <c r="F854" s="17" t="inlineStr">
        <is>
          <t>鹤壁万丰矿山机械制造有限公司</t>
        </is>
      </c>
      <c r="G854" s="17" t="inlineStr">
        <is>
          <t>JH0781</t>
        </is>
      </c>
      <c r="H854" s="24">
        <f>IF($G854="","",IFERROR(VLOOKUP($G854,物料档案!$A$4:$P$1203,3,0),"※编码不在物料档案里"))</f>
        <v/>
      </c>
      <c r="I854" s="24">
        <f>IF($G854="","",IFERROR(VLOOKUP($G854,物料档案!$A$4:$P$1203,4,0),"※编码不在物料档案里"))</f>
        <v/>
      </c>
      <c r="J854" s="24">
        <f>IF($G854="","",IFERROR(VLOOKUP($G854,物料档案!$A$4:$P$1203,5,0),"※编码不在物料档案里"))</f>
        <v/>
      </c>
      <c r="K854" s="23" t="n">
        <v>1</v>
      </c>
      <c r="L854" s="31" t="n">
        <v>810</v>
      </c>
      <c r="M854" s="24">
        <f>IF($G854="","",IF($D854="A国内","CNY","TZS"))</f>
        <v/>
      </c>
      <c r="N854" s="28">
        <f>IF($G854="","",IF($D854="A国内",汇率,1))</f>
        <v/>
      </c>
      <c r="O854" s="25">
        <f>IF($G854="","",ROUND(N($K854)*N($L854),2))</f>
        <v/>
      </c>
      <c r="P854" s="26">
        <f>IF($G854="","",ROUND($O854*$N854,0))</f>
        <v/>
      </c>
      <c r="Q854" s="26">
        <f>IF($G854="","",SUMIFS($P$4:$P$2503,$E$4:$E$2503,$E854,$Z$4:$Z$2503,"正常"))</f>
        <v/>
      </c>
      <c r="R854" s="26">
        <f>IF($G854="","",SUMIFS(费用台账!$I$4:$I$503,费用台账!$C$4:$C$503,$E854,费用台账!$J$4:$J$503,"是",费用台账!$K$4:$K$503,"正常"))</f>
        <v/>
      </c>
      <c r="S854" s="28">
        <f>IF($G854="","",COUNTIFS($E$4:$E$2503,$E854,$Z$4:$Z$2503,"正常",$Y$4:$Y$2503,"待补价"))</f>
        <v/>
      </c>
      <c r="T854" s="26">
        <f>IF($G854="","",SUMIFS($P$4:$P$2503,$E$4:$E$2503,$E854,$Z$4:$Z$2503,"正常",$A$4:$A$2503,"&lt;="&amp;$A854))</f>
        <v/>
      </c>
      <c r="U854" s="26">
        <f>IF($G854="","",IF(OR($S854&gt;0,$Q854=0,$R854=0,$Z854&lt;&gt;"正常"),0,ROUND($T854/$Q854*$R854,0)-ROUND(($T854-$P854)/$Q854*$R854,0)))</f>
        <v/>
      </c>
      <c r="V854" s="26">
        <f>IF($G854="","",ROUND($P854+$U854,0))</f>
        <v/>
      </c>
      <c r="W854" s="26">
        <f>IF($G854="","",IF(N($K854)=0,0,ROUND($V854/$K854,2)))</f>
        <v/>
      </c>
      <c r="X854" s="17" t="inlineStr">
        <is>
          <t>采购入库</t>
        </is>
      </c>
      <c r="Y854" s="17" t="inlineStr">
        <is>
          <t>正常</t>
        </is>
      </c>
      <c r="Z854" s="17" t="inlineStr">
        <is>
          <t>正常</t>
        </is>
      </c>
      <c r="AA854" s="17" t="n"/>
      <c r="AB854" s="17" t="inlineStr">
        <is>
          <t>原表第 862 行</t>
        </is>
      </c>
      <c r="AC854" s="24">
        <f>IF($G854="","",IF($H854="※编码不在物料档案里","※物料编码不在档案里",IF(N($K854)&lt;=0,"※入库数量要大于 0",IF(AND($C854&lt;&gt;"",$C854&lt;=结账锁),"※日期早于已结账截止日，不能再录",IF(AND($L854=0,$X854="正常"),"※没填单价，价格状态请选「待补价」",IF(AND($S854&gt;0,$R854&gt;0),"△本批有 "&amp;$S854&amp;" 行没单价，整批运费先挂账没摊",IF(AND($B854&lt;&gt;"",COUNTIF($B$4:$B$2503,$B854)&gt;1),"※入库单号重复","")))))))</f>
        <v/>
      </c>
    </row>
    <row r="855">
      <c r="A855" s="24">
        <f>IF($G855="","",COUNTA($G$4:$G855))</f>
        <v/>
      </c>
      <c r="B855" s="17" t="n"/>
      <c r="C855" s="30" t="n">
        <v>46158</v>
      </c>
      <c r="D855" s="17" t="inlineStr">
        <is>
          <t>A国内</t>
        </is>
      </c>
      <c r="E855" s="17" t="inlineStr">
        <is>
          <t>DRYU9381826-202605</t>
        </is>
      </c>
      <c r="F855" s="17" t="inlineStr">
        <is>
          <t>鹤壁万丰矿山机械制造有限公司</t>
        </is>
      </c>
      <c r="G855" s="17" t="inlineStr">
        <is>
          <t>JH0782</t>
        </is>
      </c>
      <c r="H855" s="24">
        <f>IF($G855="","",IFERROR(VLOOKUP($G855,物料档案!$A$4:$P$1203,3,0),"※编码不在物料档案里"))</f>
        <v/>
      </c>
      <c r="I855" s="24">
        <f>IF($G855="","",IFERROR(VLOOKUP($G855,物料档案!$A$4:$P$1203,4,0),"※编码不在物料档案里"))</f>
        <v/>
      </c>
      <c r="J855" s="24">
        <f>IF($G855="","",IFERROR(VLOOKUP($G855,物料档案!$A$4:$P$1203,5,0),"※编码不在物料档案里"))</f>
        <v/>
      </c>
      <c r="K855" s="23" t="n">
        <v>4</v>
      </c>
      <c r="L855" s="31" t="n">
        <v>108</v>
      </c>
      <c r="M855" s="24">
        <f>IF($G855="","",IF($D855="A国内","CNY","TZS"))</f>
        <v/>
      </c>
      <c r="N855" s="28">
        <f>IF($G855="","",IF($D855="A国内",汇率,1))</f>
        <v/>
      </c>
      <c r="O855" s="25">
        <f>IF($G855="","",ROUND(N($K855)*N($L855),2))</f>
        <v/>
      </c>
      <c r="P855" s="26">
        <f>IF($G855="","",ROUND($O855*$N855,0))</f>
        <v/>
      </c>
      <c r="Q855" s="26">
        <f>IF($G855="","",SUMIFS($P$4:$P$2503,$E$4:$E$2503,$E855,$Z$4:$Z$2503,"正常"))</f>
        <v/>
      </c>
      <c r="R855" s="26">
        <f>IF($G855="","",SUMIFS(费用台账!$I$4:$I$503,费用台账!$C$4:$C$503,$E855,费用台账!$J$4:$J$503,"是",费用台账!$K$4:$K$503,"正常"))</f>
        <v/>
      </c>
      <c r="S855" s="28">
        <f>IF($G855="","",COUNTIFS($E$4:$E$2503,$E855,$Z$4:$Z$2503,"正常",$Y$4:$Y$2503,"待补价"))</f>
        <v/>
      </c>
      <c r="T855" s="26">
        <f>IF($G855="","",SUMIFS($P$4:$P$2503,$E$4:$E$2503,$E855,$Z$4:$Z$2503,"正常",$A$4:$A$2503,"&lt;="&amp;$A855))</f>
        <v/>
      </c>
      <c r="U855" s="26">
        <f>IF($G855="","",IF(OR($S855&gt;0,$Q855=0,$R855=0,$Z855&lt;&gt;"正常"),0,ROUND($T855/$Q855*$R855,0)-ROUND(($T855-$P855)/$Q855*$R855,0)))</f>
        <v/>
      </c>
      <c r="V855" s="26">
        <f>IF($G855="","",ROUND($P855+$U855,0))</f>
        <v/>
      </c>
      <c r="W855" s="26">
        <f>IF($G855="","",IF(N($K855)=0,0,ROUND($V855/$K855,2)))</f>
        <v/>
      </c>
      <c r="X855" s="17" t="inlineStr">
        <is>
          <t>采购入库</t>
        </is>
      </c>
      <c r="Y855" s="17" t="inlineStr">
        <is>
          <t>正常</t>
        </is>
      </c>
      <c r="Z855" s="17" t="inlineStr">
        <is>
          <t>正常</t>
        </is>
      </c>
      <c r="AA855" s="17" t="n"/>
      <c r="AB855" s="17" t="inlineStr">
        <is>
          <t>原表第 863 行</t>
        </is>
      </c>
      <c r="AC855" s="24">
        <f>IF($G855="","",IF($H855="※编码不在物料档案里","※物料编码不在档案里",IF(N($K855)&lt;=0,"※入库数量要大于 0",IF(AND($C855&lt;&gt;"",$C855&lt;=结账锁),"※日期早于已结账截止日，不能再录",IF(AND($L855=0,$X855="正常"),"※没填单价，价格状态请选「待补价」",IF(AND($S855&gt;0,$R855&gt;0),"△本批有 "&amp;$S855&amp;" 行没单价，整批运费先挂账没摊",IF(AND($B855&lt;&gt;"",COUNTIF($B$4:$B$2503,$B855)&gt;1),"※入库单号重复","")))))))</f>
        <v/>
      </c>
    </row>
    <row r="856">
      <c r="A856" s="24">
        <f>IF($G856="","",COUNTA($G$4:$G856))</f>
        <v/>
      </c>
      <c r="B856" s="17" t="n"/>
      <c r="C856" s="30" t="n">
        <v>46158</v>
      </c>
      <c r="D856" s="17" t="inlineStr">
        <is>
          <t>A国内</t>
        </is>
      </c>
      <c r="E856" s="17" t="inlineStr">
        <is>
          <t>DRYU9381826-202605</t>
        </is>
      </c>
      <c r="F856" s="17" t="inlineStr">
        <is>
          <t>鹤壁万丰矿山机械制造有限公司</t>
        </is>
      </c>
      <c r="G856" s="17" t="inlineStr">
        <is>
          <t>JH0783</t>
        </is>
      </c>
      <c r="H856" s="24">
        <f>IF($G856="","",IFERROR(VLOOKUP($G856,物料档案!$A$4:$P$1203,3,0),"※编码不在物料档案里"))</f>
        <v/>
      </c>
      <c r="I856" s="24">
        <f>IF($G856="","",IFERROR(VLOOKUP($G856,物料档案!$A$4:$P$1203,4,0),"※编码不在物料档案里"))</f>
        <v/>
      </c>
      <c r="J856" s="24">
        <f>IF($G856="","",IFERROR(VLOOKUP($G856,物料档案!$A$4:$P$1203,5,0),"※编码不在物料档案里"))</f>
        <v/>
      </c>
      <c r="K856" s="23" t="n">
        <v>100</v>
      </c>
      <c r="L856" s="31" t="n">
        <v>0.8100000000000001</v>
      </c>
      <c r="M856" s="24">
        <f>IF($G856="","",IF($D856="A国内","CNY","TZS"))</f>
        <v/>
      </c>
      <c r="N856" s="28">
        <f>IF($G856="","",IF($D856="A国内",汇率,1))</f>
        <v/>
      </c>
      <c r="O856" s="25">
        <f>IF($G856="","",ROUND(N($K856)*N($L856),2))</f>
        <v/>
      </c>
      <c r="P856" s="26">
        <f>IF($G856="","",ROUND($O856*$N856,0))</f>
        <v/>
      </c>
      <c r="Q856" s="26">
        <f>IF($G856="","",SUMIFS($P$4:$P$2503,$E$4:$E$2503,$E856,$Z$4:$Z$2503,"正常"))</f>
        <v/>
      </c>
      <c r="R856" s="26">
        <f>IF($G856="","",SUMIFS(费用台账!$I$4:$I$503,费用台账!$C$4:$C$503,$E856,费用台账!$J$4:$J$503,"是",费用台账!$K$4:$K$503,"正常"))</f>
        <v/>
      </c>
      <c r="S856" s="28">
        <f>IF($G856="","",COUNTIFS($E$4:$E$2503,$E856,$Z$4:$Z$2503,"正常",$Y$4:$Y$2503,"待补价"))</f>
        <v/>
      </c>
      <c r="T856" s="26">
        <f>IF($G856="","",SUMIFS($P$4:$P$2503,$E$4:$E$2503,$E856,$Z$4:$Z$2503,"正常",$A$4:$A$2503,"&lt;="&amp;$A856))</f>
        <v/>
      </c>
      <c r="U856" s="26">
        <f>IF($G856="","",IF(OR($S856&gt;0,$Q856=0,$R856=0,$Z856&lt;&gt;"正常"),0,ROUND($T856/$Q856*$R856,0)-ROUND(($T856-$P856)/$Q856*$R856,0)))</f>
        <v/>
      </c>
      <c r="V856" s="26">
        <f>IF($G856="","",ROUND($P856+$U856,0))</f>
        <v/>
      </c>
      <c r="W856" s="26">
        <f>IF($G856="","",IF(N($K856)=0,0,ROUND($V856/$K856,2)))</f>
        <v/>
      </c>
      <c r="X856" s="17" t="inlineStr">
        <is>
          <t>采购入库</t>
        </is>
      </c>
      <c r="Y856" s="17" t="inlineStr">
        <is>
          <t>正常</t>
        </is>
      </c>
      <c r="Z856" s="17" t="inlineStr">
        <is>
          <t>正常</t>
        </is>
      </c>
      <c r="AA856" s="17" t="n"/>
      <c r="AB856" s="17" t="inlineStr">
        <is>
          <t>原表第 864 行</t>
        </is>
      </c>
      <c r="AC856" s="24">
        <f>IF($G856="","",IF($H856="※编码不在物料档案里","※物料编码不在档案里",IF(N($K856)&lt;=0,"※入库数量要大于 0",IF(AND($C856&lt;&gt;"",$C856&lt;=结账锁),"※日期早于已结账截止日，不能再录",IF(AND($L856=0,$X856="正常"),"※没填单价，价格状态请选「待补价」",IF(AND($S856&gt;0,$R856&gt;0),"△本批有 "&amp;$S856&amp;" 行没单价，整批运费先挂账没摊",IF(AND($B856&lt;&gt;"",COUNTIF($B$4:$B$2503,$B856)&gt;1),"※入库单号重复","")))))))</f>
        <v/>
      </c>
    </row>
    <row r="857">
      <c r="A857" s="24">
        <f>IF($G857="","",COUNTA($G$4:$G857))</f>
        <v/>
      </c>
      <c r="B857" s="17" t="n"/>
      <c r="C857" s="30" t="n">
        <v>46165</v>
      </c>
      <c r="D857" s="17" t="inlineStr">
        <is>
          <t>A国内</t>
        </is>
      </c>
      <c r="E857" s="17" t="inlineStr">
        <is>
          <t>TEMU2732393-202605</t>
        </is>
      </c>
      <c r="F857" s="17" t="inlineStr">
        <is>
          <t>烟台亿泰化工有限公司</t>
        </is>
      </c>
      <c r="G857" s="17" t="inlineStr">
        <is>
          <t>JH0784</t>
        </is>
      </c>
      <c r="H857" s="24">
        <f>IF($G857="","",IFERROR(VLOOKUP($G857,物料档案!$A$4:$P$1203,3,0),"※编码不在物料档案里"))</f>
        <v/>
      </c>
      <c r="I857" s="24">
        <f>IF($G857="","",IFERROR(VLOOKUP($G857,物料档案!$A$4:$P$1203,4,0),"※编码不在物料档案里"))</f>
        <v/>
      </c>
      <c r="J857" s="24">
        <f>IF($G857="","",IFERROR(VLOOKUP($G857,物料档案!$A$4:$P$1203,5,0),"※编码不在物料档案里"))</f>
        <v/>
      </c>
      <c r="K857" s="23" t="n">
        <v>1</v>
      </c>
      <c r="L857" s="31" t="n"/>
      <c r="M857" s="24">
        <f>IF($G857="","",IF($D857="A国内","CNY","TZS"))</f>
        <v/>
      </c>
      <c r="N857" s="28">
        <f>IF($G857="","",IF($D857="A国内",汇率,1))</f>
        <v/>
      </c>
      <c r="O857" s="25">
        <f>IF($G857="","",ROUND(N($K857)*N($L857),2))</f>
        <v/>
      </c>
      <c r="P857" s="26">
        <f>IF($G857="","",ROUND($O857*$N857,0))</f>
        <v/>
      </c>
      <c r="Q857" s="26">
        <f>IF($G857="","",SUMIFS($P$4:$P$2503,$E$4:$E$2503,$E857,$Z$4:$Z$2503,"正常"))</f>
        <v/>
      </c>
      <c r="R857" s="26">
        <f>IF($G857="","",SUMIFS(费用台账!$I$4:$I$503,费用台账!$C$4:$C$503,$E857,费用台账!$J$4:$J$503,"是",费用台账!$K$4:$K$503,"正常"))</f>
        <v/>
      </c>
      <c r="S857" s="28">
        <f>IF($G857="","",COUNTIFS($E$4:$E$2503,$E857,$Z$4:$Z$2503,"正常",$Y$4:$Y$2503,"待补价"))</f>
        <v/>
      </c>
      <c r="T857" s="26">
        <f>IF($G857="","",SUMIFS($P$4:$P$2503,$E$4:$E$2503,$E857,$Z$4:$Z$2503,"正常",$A$4:$A$2503,"&lt;="&amp;$A857))</f>
        <v/>
      </c>
      <c r="U857" s="26">
        <f>IF($G857="","",IF(OR($S857&gt;0,$Q857=0,$R857=0,$Z857&lt;&gt;"正常"),0,ROUND($T857/$Q857*$R857,0)-ROUND(($T857-$P857)/$Q857*$R857,0)))</f>
        <v/>
      </c>
      <c r="V857" s="26">
        <f>IF($G857="","",ROUND($P857+$U857,0))</f>
        <v/>
      </c>
      <c r="W857" s="26">
        <f>IF($G857="","",IF(N($K857)=0,0,ROUND($V857/$K857,2)))</f>
        <v/>
      </c>
      <c r="X857" s="17" t="inlineStr">
        <is>
          <t>采购入库</t>
        </is>
      </c>
      <c r="Y857" s="17" t="inlineStr">
        <is>
          <t>待补价</t>
        </is>
      </c>
      <c r="Z857" s="17" t="inlineStr">
        <is>
          <t>正常</t>
        </is>
      </c>
      <c r="AA857" s="17" t="n"/>
      <c r="AB857" s="17" t="inlineStr">
        <is>
          <t>原表第 873 行</t>
        </is>
      </c>
      <c r="AC857" s="24">
        <f>IF($G857="","",IF($H857="※编码不在物料档案里","※物料编码不在档案里",IF(N($K857)&lt;=0,"※入库数量要大于 0",IF(AND($C857&lt;&gt;"",$C857&lt;=结账锁),"※日期早于已结账截止日，不能再录",IF(AND($L857=0,$X857="正常"),"※没填单价，价格状态请选「待补价」",IF(AND($S857&gt;0,$R857&gt;0),"△本批有 "&amp;$S857&amp;" 行没单价，整批运费先挂账没摊",IF(AND($B857&lt;&gt;"",COUNTIF($B$4:$B$2503,$B857)&gt;1),"※入库单号重复","")))))))</f>
        <v/>
      </c>
    </row>
    <row r="858">
      <c r="A858" s="24">
        <f>IF($G858="","",COUNTA($G$4:$G858))</f>
        <v/>
      </c>
      <c r="B858" s="17" t="n"/>
      <c r="C858" s="30" t="n">
        <v>46165</v>
      </c>
      <c r="D858" s="17" t="inlineStr">
        <is>
          <t>A国内</t>
        </is>
      </c>
      <c r="E858" s="17" t="inlineStr">
        <is>
          <t>TEMU2732393-202605</t>
        </is>
      </c>
      <c r="F858" s="17" t="inlineStr">
        <is>
          <t>烟台亿泰化工有限公司</t>
        </is>
      </c>
      <c r="G858" s="17" t="inlineStr">
        <is>
          <t>JH0785</t>
        </is>
      </c>
      <c r="H858" s="24">
        <f>IF($G858="","",IFERROR(VLOOKUP($G858,物料档案!$A$4:$P$1203,3,0),"※编码不在物料档案里"))</f>
        <v/>
      </c>
      <c r="I858" s="24">
        <f>IF($G858="","",IFERROR(VLOOKUP($G858,物料档案!$A$4:$P$1203,4,0),"※编码不在物料档案里"))</f>
        <v/>
      </c>
      <c r="J858" s="24">
        <f>IF($G858="","",IFERROR(VLOOKUP($G858,物料档案!$A$4:$P$1203,5,0),"※编码不在物料档案里"))</f>
        <v/>
      </c>
      <c r="K858" s="23" t="n">
        <v>200</v>
      </c>
      <c r="L858" s="31" t="n"/>
      <c r="M858" s="24">
        <f>IF($G858="","",IF($D858="A国内","CNY","TZS"))</f>
        <v/>
      </c>
      <c r="N858" s="28">
        <f>IF($G858="","",IF($D858="A国内",汇率,1))</f>
        <v/>
      </c>
      <c r="O858" s="25">
        <f>IF($G858="","",ROUND(N($K858)*N($L858),2))</f>
        <v/>
      </c>
      <c r="P858" s="26">
        <f>IF($G858="","",ROUND($O858*$N858,0))</f>
        <v/>
      </c>
      <c r="Q858" s="26">
        <f>IF($G858="","",SUMIFS($P$4:$P$2503,$E$4:$E$2503,$E858,$Z$4:$Z$2503,"正常"))</f>
        <v/>
      </c>
      <c r="R858" s="26">
        <f>IF($G858="","",SUMIFS(费用台账!$I$4:$I$503,费用台账!$C$4:$C$503,$E858,费用台账!$J$4:$J$503,"是",费用台账!$K$4:$K$503,"正常"))</f>
        <v/>
      </c>
      <c r="S858" s="28">
        <f>IF($G858="","",COUNTIFS($E$4:$E$2503,$E858,$Z$4:$Z$2503,"正常",$Y$4:$Y$2503,"待补价"))</f>
        <v/>
      </c>
      <c r="T858" s="26">
        <f>IF($G858="","",SUMIFS($P$4:$P$2503,$E$4:$E$2503,$E858,$Z$4:$Z$2503,"正常",$A$4:$A$2503,"&lt;="&amp;$A858))</f>
        <v/>
      </c>
      <c r="U858" s="26">
        <f>IF($G858="","",IF(OR($S858&gt;0,$Q858=0,$R858=0,$Z858&lt;&gt;"正常"),0,ROUND($T858/$Q858*$R858,0)-ROUND(($T858-$P858)/$Q858*$R858,0)))</f>
        <v/>
      </c>
      <c r="V858" s="26">
        <f>IF($G858="","",ROUND($P858+$U858,0))</f>
        <v/>
      </c>
      <c r="W858" s="26">
        <f>IF($G858="","",IF(N($K858)=0,0,ROUND($V858/$K858,2)))</f>
        <v/>
      </c>
      <c r="X858" s="17" t="inlineStr">
        <is>
          <t>采购入库</t>
        </is>
      </c>
      <c r="Y858" s="17" t="inlineStr">
        <is>
          <t>待补价</t>
        </is>
      </c>
      <c r="Z858" s="17" t="inlineStr">
        <is>
          <t>正常</t>
        </is>
      </c>
      <c r="AA858" s="17" t="n"/>
      <c r="AB858" s="17" t="inlineStr">
        <is>
          <t>原表第 874 行</t>
        </is>
      </c>
      <c r="AC858" s="24">
        <f>IF($G858="","",IF($H858="※编码不在物料档案里","※物料编码不在档案里",IF(N($K858)&lt;=0,"※入库数量要大于 0",IF(AND($C858&lt;&gt;"",$C858&lt;=结账锁),"※日期早于已结账截止日，不能再录",IF(AND($L858=0,$X858="正常"),"※没填单价，价格状态请选「待补价」",IF(AND($S858&gt;0,$R858&gt;0),"△本批有 "&amp;$S858&amp;" 行没单价，整批运费先挂账没摊",IF(AND($B858&lt;&gt;"",COUNTIF($B$4:$B$2503,$B858)&gt;1),"※入库单号重复","")))))))</f>
        <v/>
      </c>
    </row>
    <row r="859">
      <c r="A859" s="24">
        <f>IF($G859="","",COUNTA($G$4:$G859))</f>
        <v/>
      </c>
      <c r="B859" s="17" t="n"/>
      <c r="C859" s="30" t="n">
        <v>46165</v>
      </c>
      <c r="D859" s="17" t="inlineStr">
        <is>
          <t>A国内</t>
        </is>
      </c>
      <c r="E859" s="17" t="inlineStr">
        <is>
          <t>TEMU2732393-202605</t>
        </is>
      </c>
      <c r="F859" s="17" t="inlineStr">
        <is>
          <t>烟台亿泰化工有限公司</t>
        </is>
      </c>
      <c r="G859" s="17" t="inlineStr">
        <is>
          <t>JH0786</t>
        </is>
      </c>
      <c r="H859" s="24">
        <f>IF($G859="","",IFERROR(VLOOKUP($G859,物料档案!$A$4:$P$1203,3,0),"※编码不在物料档案里"))</f>
        <v/>
      </c>
      <c r="I859" s="24">
        <f>IF($G859="","",IFERROR(VLOOKUP($G859,物料档案!$A$4:$P$1203,4,0),"※编码不在物料档案里"))</f>
        <v/>
      </c>
      <c r="J859" s="24">
        <f>IF($G859="","",IFERROR(VLOOKUP($G859,物料档案!$A$4:$P$1203,5,0),"※编码不在物料档案里"))</f>
        <v/>
      </c>
      <c r="K859" s="23" t="n">
        <v>2</v>
      </c>
      <c r="L859" s="31" t="n"/>
      <c r="M859" s="24">
        <f>IF($G859="","",IF($D859="A国内","CNY","TZS"))</f>
        <v/>
      </c>
      <c r="N859" s="28">
        <f>IF($G859="","",IF($D859="A国内",汇率,1))</f>
        <v/>
      </c>
      <c r="O859" s="25">
        <f>IF($G859="","",ROUND(N($K859)*N($L859),2))</f>
        <v/>
      </c>
      <c r="P859" s="26">
        <f>IF($G859="","",ROUND($O859*$N859,0))</f>
        <v/>
      </c>
      <c r="Q859" s="26">
        <f>IF($G859="","",SUMIFS($P$4:$P$2503,$E$4:$E$2503,$E859,$Z$4:$Z$2503,"正常"))</f>
        <v/>
      </c>
      <c r="R859" s="26">
        <f>IF($G859="","",SUMIFS(费用台账!$I$4:$I$503,费用台账!$C$4:$C$503,$E859,费用台账!$J$4:$J$503,"是",费用台账!$K$4:$K$503,"正常"))</f>
        <v/>
      </c>
      <c r="S859" s="28">
        <f>IF($G859="","",COUNTIFS($E$4:$E$2503,$E859,$Z$4:$Z$2503,"正常",$Y$4:$Y$2503,"待补价"))</f>
        <v/>
      </c>
      <c r="T859" s="26">
        <f>IF($G859="","",SUMIFS($P$4:$P$2503,$E$4:$E$2503,$E859,$Z$4:$Z$2503,"正常",$A$4:$A$2503,"&lt;="&amp;$A859))</f>
        <v/>
      </c>
      <c r="U859" s="26">
        <f>IF($G859="","",IF(OR($S859&gt;0,$Q859=0,$R859=0,$Z859&lt;&gt;"正常"),0,ROUND($T859/$Q859*$R859,0)-ROUND(($T859-$P859)/$Q859*$R859,0)))</f>
        <v/>
      </c>
      <c r="V859" s="26">
        <f>IF($G859="","",ROUND($P859+$U859,0))</f>
        <v/>
      </c>
      <c r="W859" s="26">
        <f>IF($G859="","",IF(N($K859)=0,0,ROUND($V859/$K859,2)))</f>
        <v/>
      </c>
      <c r="X859" s="17" t="inlineStr">
        <is>
          <t>采购入库</t>
        </is>
      </c>
      <c r="Y859" s="17" t="inlineStr">
        <is>
          <t>待补价</t>
        </is>
      </c>
      <c r="Z859" s="17" t="inlineStr">
        <is>
          <t>正常</t>
        </is>
      </c>
      <c r="AA859" s="17" t="n"/>
      <c r="AB859" s="17" t="inlineStr">
        <is>
          <t>原表第 875 行</t>
        </is>
      </c>
      <c r="AC859" s="24">
        <f>IF($G859="","",IF($H859="※编码不在物料档案里","※物料编码不在档案里",IF(N($K859)&lt;=0,"※入库数量要大于 0",IF(AND($C859&lt;&gt;"",$C859&lt;=结账锁),"※日期早于已结账截止日，不能再录",IF(AND($L859=0,$X859="正常"),"※没填单价，价格状态请选「待补价」",IF(AND($S859&gt;0,$R859&gt;0),"△本批有 "&amp;$S859&amp;" 行没单价，整批运费先挂账没摊",IF(AND($B859&lt;&gt;"",COUNTIF($B$4:$B$2503,$B859)&gt;1),"※入库单号重复","")))))))</f>
        <v/>
      </c>
    </row>
    <row r="860">
      <c r="A860" s="24">
        <f>IF($G860="","",COUNTA($G$4:$G860))</f>
        <v/>
      </c>
      <c r="B860" s="17" t="n"/>
      <c r="C860" s="30" t="n">
        <v>46165</v>
      </c>
      <c r="D860" s="17" t="inlineStr">
        <is>
          <t>A国内</t>
        </is>
      </c>
      <c r="E860" s="17" t="inlineStr">
        <is>
          <t>TEMU2732393-202605</t>
        </is>
      </c>
      <c r="F860" s="17" t="inlineStr">
        <is>
          <t>烟台亿泰化工有限公司</t>
        </is>
      </c>
      <c r="G860" s="17" t="inlineStr">
        <is>
          <t>JH0787</t>
        </is>
      </c>
      <c r="H860" s="24">
        <f>IF($G860="","",IFERROR(VLOOKUP($G860,物料档案!$A$4:$P$1203,3,0),"※编码不在物料档案里"))</f>
        <v/>
      </c>
      <c r="I860" s="24">
        <f>IF($G860="","",IFERROR(VLOOKUP($G860,物料档案!$A$4:$P$1203,4,0),"※编码不在物料档案里"))</f>
        <v/>
      </c>
      <c r="J860" s="24">
        <f>IF($G860="","",IFERROR(VLOOKUP($G860,物料档案!$A$4:$P$1203,5,0),"※编码不在物料档案里"))</f>
        <v/>
      </c>
      <c r="K860" s="23" t="n">
        <v>40</v>
      </c>
      <c r="L860" s="31" t="n"/>
      <c r="M860" s="24">
        <f>IF($G860="","",IF($D860="A国内","CNY","TZS"))</f>
        <v/>
      </c>
      <c r="N860" s="28">
        <f>IF($G860="","",IF($D860="A国内",汇率,1))</f>
        <v/>
      </c>
      <c r="O860" s="25">
        <f>IF($G860="","",ROUND(N($K860)*N($L860),2))</f>
        <v/>
      </c>
      <c r="P860" s="26">
        <f>IF($G860="","",ROUND($O860*$N860,0))</f>
        <v/>
      </c>
      <c r="Q860" s="26">
        <f>IF($G860="","",SUMIFS($P$4:$P$2503,$E$4:$E$2503,$E860,$Z$4:$Z$2503,"正常"))</f>
        <v/>
      </c>
      <c r="R860" s="26">
        <f>IF($G860="","",SUMIFS(费用台账!$I$4:$I$503,费用台账!$C$4:$C$503,$E860,费用台账!$J$4:$J$503,"是",费用台账!$K$4:$K$503,"正常"))</f>
        <v/>
      </c>
      <c r="S860" s="28">
        <f>IF($G860="","",COUNTIFS($E$4:$E$2503,$E860,$Z$4:$Z$2503,"正常",$Y$4:$Y$2503,"待补价"))</f>
        <v/>
      </c>
      <c r="T860" s="26">
        <f>IF($G860="","",SUMIFS($P$4:$P$2503,$E$4:$E$2503,$E860,$Z$4:$Z$2503,"正常",$A$4:$A$2503,"&lt;="&amp;$A860))</f>
        <v/>
      </c>
      <c r="U860" s="26">
        <f>IF($G860="","",IF(OR($S860&gt;0,$Q860=0,$R860=0,$Z860&lt;&gt;"正常"),0,ROUND($T860/$Q860*$R860,0)-ROUND(($T860-$P860)/$Q860*$R860,0)))</f>
        <v/>
      </c>
      <c r="V860" s="26">
        <f>IF($G860="","",ROUND($P860+$U860,0))</f>
        <v/>
      </c>
      <c r="W860" s="26">
        <f>IF($G860="","",IF(N($K860)=0,0,ROUND($V860/$K860,2)))</f>
        <v/>
      </c>
      <c r="X860" s="17" t="inlineStr">
        <is>
          <t>采购入库</t>
        </is>
      </c>
      <c r="Y860" s="17" t="inlineStr">
        <is>
          <t>待补价</t>
        </is>
      </c>
      <c r="Z860" s="17" t="inlineStr">
        <is>
          <t>正常</t>
        </is>
      </c>
      <c r="AA860" s="17" t="n"/>
      <c r="AB860" s="17" t="inlineStr">
        <is>
          <t>原表第 876 行</t>
        </is>
      </c>
      <c r="AC860" s="24">
        <f>IF($G860="","",IF($H860="※编码不在物料档案里","※物料编码不在档案里",IF(N($K860)&lt;=0,"※入库数量要大于 0",IF(AND($C860&lt;&gt;"",$C860&lt;=结账锁),"※日期早于已结账截止日，不能再录",IF(AND($L860=0,$X860="正常"),"※没填单价，价格状态请选「待补价」",IF(AND($S860&gt;0,$R860&gt;0),"△本批有 "&amp;$S860&amp;" 行没单价，整批运费先挂账没摊",IF(AND($B860&lt;&gt;"",COUNTIF($B$4:$B$2503,$B860)&gt;1),"※入库单号重复","")))))))</f>
        <v/>
      </c>
    </row>
    <row r="861">
      <c r="A861" s="24">
        <f>IF($G861="","",COUNTA($G$4:$G861))</f>
        <v/>
      </c>
      <c r="B861" s="17" t="n"/>
      <c r="C861" s="30" t="n">
        <v>46165</v>
      </c>
      <c r="D861" s="17" t="inlineStr">
        <is>
          <t>A国内</t>
        </is>
      </c>
      <c r="E861" s="17" t="inlineStr">
        <is>
          <t>TEMU2732393-202605</t>
        </is>
      </c>
      <c r="F861" s="17" t="inlineStr">
        <is>
          <t>烟台亿泰化工有限公司</t>
        </is>
      </c>
      <c r="G861" s="17" t="inlineStr">
        <is>
          <t>JH0788</t>
        </is>
      </c>
      <c r="H861" s="24">
        <f>IF($G861="","",IFERROR(VLOOKUP($G861,物料档案!$A$4:$P$1203,3,0),"※编码不在物料档案里"))</f>
        <v/>
      </c>
      <c r="I861" s="24">
        <f>IF($G861="","",IFERROR(VLOOKUP($G861,物料档案!$A$4:$P$1203,4,0),"※编码不在物料档案里"))</f>
        <v/>
      </c>
      <c r="J861" s="24">
        <f>IF($G861="","",IFERROR(VLOOKUP($G861,物料档案!$A$4:$P$1203,5,0),"※编码不在物料档案里"))</f>
        <v/>
      </c>
      <c r="K861" s="23" t="n">
        <v>80</v>
      </c>
      <c r="L861" s="31" t="n"/>
      <c r="M861" s="24">
        <f>IF($G861="","",IF($D861="A国内","CNY","TZS"))</f>
        <v/>
      </c>
      <c r="N861" s="28">
        <f>IF($G861="","",IF($D861="A国内",汇率,1))</f>
        <v/>
      </c>
      <c r="O861" s="25">
        <f>IF($G861="","",ROUND(N($K861)*N($L861),2))</f>
        <v/>
      </c>
      <c r="P861" s="26">
        <f>IF($G861="","",ROUND($O861*$N861,0))</f>
        <v/>
      </c>
      <c r="Q861" s="26">
        <f>IF($G861="","",SUMIFS($P$4:$P$2503,$E$4:$E$2503,$E861,$Z$4:$Z$2503,"正常"))</f>
        <v/>
      </c>
      <c r="R861" s="26">
        <f>IF($G861="","",SUMIFS(费用台账!$I$4:$I$503,费用台账!$C$4:$C$503,$E861,费用台账!$J$4:$J$503,"是",费用台账!$K$4:$K$503,"正常"))</f>
        <v/>
      </c>
      <c r="S861" s="28">
        <f>IF($G861="","",COUNTIFS($E$4:$E$2503,$E861,$Z$4:$Z$2503,"正常",$Y$4:$Y$2503,"待补价"))</f>
        <v/>
      </c>
      <c r="T861" s="26">
        <f>IF($G861="","",SUMIFS($P$4:$P$2503,$E$4:$E$2503,$E861,$Z$4:$Z$2503,"正常",$A$4:$A$2503,"&lt;="&amp;$A861))</f>
        <v/>
      </c>
      <c r="U861" s="26">
        <f>IF($G861="","",IF(OR($S861&gt;0,$Q861=0,$R861=0,$Z861&lt;&gt;"正常"),0,ROUND($T861/$Q861*$R861,0)-ROUND(($T861-$P861)/$Q861*$R861,0)))</f>
        <v/>
      </c>
      <c r="V861" s="26">
        <f>IF($G861="","",ROUND($P861+$U861,0))</f>
        <v/>
      </c>
      <c r="W861" s="26">
        <f>IF($G861="","",IF(N($K861)=0,0,ROUND($V861/$K861,2)))</f>
        <v/>
      </c>
      <c r="X861" s="17" t="inlineStr">
        <is>
          <t>采购入库</t>
        </is>
      </c>
      <c r="Y861" s="17" t="inlineStr">
        <is>
          <t>待补价</t>
        </is>
      </c>
      <c r="Z861" s="17" t="inlineStr">
        <is>
          <t>正常</t>
        </is>
      </c>
      <c r="AA861" s="17" t="n"/>
      <c r="AB861" s="17" t="inlineStr">
        <is>
          <t>原表第 877 行</t>
        </is>
      </c>
      <c r="AC861" s="24">
        <f>IF($G861="","",IF($H861="※编码不在物料档案里","※物料编码不在档案里",IF(N($K861)&lt;=0,"※入库数量要大于 0",IF(AND($C861&lt;&gt;"",$C861&lt;=结账锁),"※日期早于已结账截止日，不能再录",IF(AND($L861=0,$X861="正常"),"※没填单价，价格状态请选「待补价」",IF(AND($S861&gt;0,$R861&gt;0),"△本批有 "&amp;$S861&amp;" 行没单价，整批运费先挂账没摊",IF(AND($B861&lt;&gt;"",COUNTIF($B$4:$B$2503,$B861)&gt;1),"※入库单号重复","")))))))</f>
        <v/>
      </c>
    </row>
    <row r="862">
      <c r="A862" s="24">
        <f>IF($G862="","",COUNTA($G$4:$G862))</f>
        <v/>
      </c>
      <c r="B862" s="17" t="n"/>
      <c r="C862" s="30" t="n">
        <v>46165</v>
      </c>
      <c r="D862" s="17" t="inlineStr">
        <is>
          <t>A国内</t>
        </is>
      </c>
      <c r="E862" s="17" t="inlineStr">
        <is>
          <t>TEMU2732393-202605</t>
        </is>
      </c>
      <c r="F862" s="17" t="inlineStr">
        <is>
          <t>烟台亿泰化工有限公司</t>
        </is>
      </c>
      <c r="G862" s="17" t="inlineStr">
        <is>
          <t>JH0789</t>
        </is>
      </c>
      <c r="H862" s="24">
        <f>IF($G862="","",IFERROR(VLOOKUP($G862,物料档案!$A$4:$P$1203,3,0),"※编码不在物料档案里"))</f>
        <v/>
      </c>
      <c r="I862" s="24">
        <f>IF($G862="","",IFERROR(VLOOKUP($G862,物料档案!$A$4:$P$1203,4,0),"※编码不在物料档案里"))</f>
        <v/>
      </c>
      <c r="J862" s="24">
        <f>IF($G862="","",IFERROR(VLOOKUP($G862,物料档案!$A$4:$P$1203,5,0),"※编码不在物料档案里"))</f>
        <v/>
      </c>
      <c r="K862" s="23" t="n">
        <v>1.5</v>
      </c>
      <c r="L862" s="31" t="n"/>
      <c r="M862" s="24">
        <f>IF($G862="","",IF($D862="A国内","CNY","TZS"))</f>
        <v/>
      </c>
      <c r="N862" s="28">
        <f>IF($G862="","",IF($D862="A国内",汇率,1))</f>
        <v/>
      </c>
      <c r="O862" s="25">
        <f>IF($G862="","",ROUND(N($K862)*N($L862),2))</f>
        <v/>
      </c>
      <c r="P862" s="26">
        <f>IF($G862="","",ROUND($O862*$N862,0))</f>
        <v/>
      </c>
      <c r="Q862" s="26">
        <f>IF($G862="","",SUMIFS($P$4:$P$2503,$E$4:$E$2503,$E862,$Z$4:$Z$2503,"正常"))</f>
        <v/>
      </c>
      <c r="R862" s="26">
        <f>IF($G862="","",SUMIFS(费用台账!$I$4:$I$503,费用台账!$C$4:$C$503,$E862,费用台账!$J$4:$J$503,"是",费用台账!$K$4:$K$503,"正常"))</f>
        <v/>
      </c>
      <c r="S862" s="28">
        <f>IF($G862="","",COUNTIFS($E$4:$E$2503,$E862,$Z$4:$Z$2503,"正常",$Y$4:$Y$2503,"待补价"))</f>
        <v/>
      </c>
      <c r="T862" s="26">
        <f>IF($G862="","",SUMIFS($P$4:$P$2503,$E$4:$E$2503,$E862,$Z$4:$Z$2503,"正常",$A$4:$A$2503,"&lt;="&amp;$A862))</f>
        <v/>
      </c>
      <c r="U862" s="26">
        <f>IF($G862="","",IF(OR($S862&gt;0,$Q862=0,$R862=0,$Z862&lt;&gt;"正常"),0,ROUND($T862/$Q862*$R862,0)-ROUND(($T862-$P862)/$Q862*$R862,0)))</f>
        <v/>
      </c>
      <c r="V862" s="26">
        <f>IF($G862="","",ROUND($P862+$U862,0))</f>
        <v/>
      </c>
      <c r="W862" s="26">
        <f>IF($G862="","",IF(N($K862)=0,0,ROUND($V862/$K862,2)))</f>
        <v/>
      </c>
      <c r="X862" s="17" t="inlineStr">
        <is>
          <t>采购入库</t>
        </is>
      </c>
      <c r="Y862" s="17" t="inlineStr">
        <is>
          <t>待补价</t>
        </is>
      </c>
      <c r="Z862" s="17" t="inlineStr">
        <is>
          <t>正常</t>
        </is>
      </c>
      <c r="AA862" s="17" t="n"/>
      <c r="AB862" s="17" t="inlineStr">
        <is>
          <t>原表第 878 行</t>
        </is>
      </c>
      <c r="AC862" s="24">
        <f>IF($G862="","",IF($H862="※编码不在物料档案里","※物料编码不在档案里",IF(N($K862)&lt;=0,"※入库数量要大于 0",IF(AND($C862&lt;&gt;"",$C862&lt;=结账锁),"※日期早于已结账截止日，不能再录",IF(AND($L862=0,$X862="正常"),"※没填单价，价格状态请选「待补价」",IF(AND($S862&gt;0,$R862&gt;0),"△本批有 "&amp;$S862&amp;" 行没单价，整批运费先挂账没摊",IF(AND($B862&lt;&gt;"",COUNTIF($B$4:$B$2503,$B862)&gt;1),"※入库单号重复","")))))))</f>
        <v/>
      </c>
    </row>
    <row r="863">
      <c r="A863" s="24">
        <f>IF($G863="","",COUNTA($G$4:$G863))</f>
        <v/>
      </c>
      <c r="B863" s="17" t="n"/>
      <c r="C863" s="30" t="n">
        <v>46165</v>
      </c>
      <c r="D863" s="17" t="inlineStr">
        <is>
          <t>A国内</t>
        </is>
      </c>
      <c r="E863" s="17" t="inlineStr">
        <is>
          <t>TEMU2732393-202605</t>
        </is>
      </c>
      <c r="F863" s="17" t="inlineStr">
        <is>
          <t>烟台亿泰化工有限公司</t>
        </is>
      </c>
      <c r="G863" s="17" t="inlineStr">
        <is>
          <t>JH0790</t>
        </is>
      </c>
      <c r="H863" s="24">
        <f>IF($G863="","",IFERROR(VLOOKUP($G863,物料档案!$A$4:$P$1203,3,0),"※编码不在物料档案里"))</f>
        <v/>
      </c>
      <c r="I863" s="24">
        <f>IF($G863="","",IFERROR(VLOOKUP($G863,物料档案!$A$4:$P$1203,4,0),"※编码不在物料档案里"))</f>
        <v/>
      </c>
      <c r="J863" s="24">
        <f>IF($G863="","",IFERROR(VLOOKUP($G863,物料档案!$A$4:$P$1203,5,0),"※编码不在物料档案里"))</f>
        <v/>
      </c>
      <c r="K863" s="23" t="n">
        <v>4</v>
      </c>
      <c r="L863" s="31" t="n"/>
      <c r="M863" s="24">
        <f>IF($G863="","",IF($D863="A国内","CNY","TZS"))</f>
        <v/>
      </c>
      <c r="N863" s="28">
        <f>IF($G863="","",IF($D863="A国内",汇率,1))</f>
        <v/>
      </c>
      <c r="O863" s="25">
        <f>IF($G863="","",ROUND(N($K863)*N($L863),2))</f>
        <v/>
      </c>
      <c r="P863" s="26">
        <f>IF($G863="","",ROUND($O863*$N863,0))</f>
        <v/>
      </c>
      <c r="Q863" s="26">
        <f>IF($G863="","",SUMIFS($P$4:$P$2503,$E$4:$E$2503,$E863,$Z$4:$Z$2503,"正常"))</f>
        <v/>
      </c>
      <c r="R863" s="26">
        <f>IF($G863="","",SUMIFS(费用台账!$I$4:$I$503,费用台账!$C$4:$C$503,$E863,费用台账!$J$4:$J$503,"是",费用台账!$K$4:$K$503,"正常"))</f>
        <v/>
      </c>
      <c r="S863" s="28">
        <f>IF($G863="","",COUNTIFS($E$4:$E$2503,$E863,$Z$4:$Z$2503,"正常",$Y$4:$Y$2503,"待补价"))</f>
        <v/>
      </c>
      <c r="T863" s="26">
        <f>IF($G863="","",SUMIFS($P$4:$P$2503,$E$4:$E$2503,$E863,$Z$4:$Z$2503,"正常",$A$4:$A$2503,"&lt;="&amp;$A863))</f>
        <v/>
      </c>
      <c r="U863" s="26">
        <f>IF($G863="","",IF(OR($S863&gt;0,$Q863=0,$R863=0,$Z863&lt;&gt;"正常"),0,ROUND($T863/$Q863*$R863,0)-ROUND(($T863-$P863)/$Q863*$R863,0)))</f>
        <v/>
      </c>
      <c r="V863" s="26">
        <f>IF($G863="","",ROUND($P863+$U863,0))</f>
        <v/>
      </c>
      <c r="W863" s="26">
        <f>IF($G863="","",IF(N($K863)=0,0,ROUND($V863/$K863,2)))</f>
        <v/>
      </c>
      <c r="X863" s="17" t="inlineStr">
        <is>
          <t>采购入库</t>
        </is>
      </c>
      <c r="Y863" s="17" t="inlineStr">
        <is>
          <t>待补价</t>
        </is>
      </c>
      <c r="Z863" s="17" t="inlineStr">
        <is>
          <t>正常</t>
        </is>
      </c>
      <c r="AA863" s="17" t="n"/>
      <c r="AB863" s="17" t="inlineStr">
        <is>
          <t>原表第 879 行</t>
        </is>
      </c>
      <c r="AC863" s="24">
        <f>IF($G863="","",IF($H863="※编码不在物料档案里","※物料编码不在档案里",IF(N($K863)&lt;=0,"※入库数量要大于 0",IF(AND($C863&lt;&gt;"",$C863&lt;=结账锁),"※日期早于已结账截止日，不能再录",IF(AND($L863=0,$X863="正常"),"※没填单价，价格状态请选「待补价」",IF(AND($S863&gt;0,$R863&gt;0),"△本批有 "&amp;$S863&amp;" 行没单价，整批运费先挂账没摊",IF(AND($B863&lt;&gt;"",COUNTIF($B$4:$B$2503,$B863)&gt;1),"※入库单号重复","")))))))</f>
        <v/>
      </c>
    </row>
    <row r="864">
      <c r="A864" s="24">
        <f>IF($G864="","",COUNTA($G$4:$G864))</f>
        <v/>
      </c>
      <c r="B864" s="17" t="n"/>
      <c r="C864" s="30" t="n">
        <v>46165</v>
      </c>
      <c r="D864" s="17" t="inlineStr">
        <is>
          <t>A国内</t>
        </is>
      </c>
      <c r="E864" s="17" t="inlineStr">
        <is>
          <t>TEMU2732393-202605</t>
        </is>
      </c>
      <c r="F864" s="17" t="inlineStr">
        <is>
          <t>烟台亿泰化工有限公司</t>
        </is>
      </c>
      <c r="G864" s="17" t="inlineStr">
        <is>
          <t>JH0791</t>
        </is>
      </c>
      <c r="H864" s="24">
        <f>IF($G864="","",IFERROR(VLOOKUP($G864,物料档案!$A$4:$P$1203,3,0),"※编码不在物料档案里"))</f>
        <v/>
      </c>
      <c r="I864" s="24">
        <f>IF($G864="","",IFERROR(VLOOKUP($G864,物料档案!$A$4:$P$1203,4,0),"※编码不在物料档案里"))</f>
        <v/>
      </c>
      <c r="J864" s="24">
        <f>IF($G864="","",IFERROR(VLOOKUP($G864,物料档案!$A$4:$P$1203,5,0),"※编码不在物料档案里"))</f>
        <v/>
      </c>
      <c r="K864" s="23" t="n">
        <v>1</v>
      </c>
      <c r="L864" s="31" t="n"/>
      <c r="M864" s="24">
        <f>IF($G864="","",IF($D864="A国内","CNY","TZS"))</f>
        <v/>
      </c>
      <c r="N864" s="28">
        <f>IF($G864="","",IF($D864="A国内",汇率,1))</f>
        <v/>
      </c>
      <c r="O864" s="25">
        <f>IF($G864="","",ROUND(N($K864)*N($L864),2))</f>
        <v/>
      </c>
      <c r="P864" s="26">
        <f>IF($G864="","",ROUND($O864*$N864,0))</f>
        <v/>
      </c>
      <c r="Q864" s="26">
        <f>IF($G864="","",SUMIFS($P$4:$P$2503,$E$4:$E$2503,$E864,$Z$4:$Z$2503,"正常"))</f>
        <v/>
      </c>
      <c r="R864" s="26">
        <f>IF($G864="","",SUMIFS(费用台账!$I$4:$I$503,费用台账!$C$4:$C$503,$E864,费用台账!$J$4:$J$503,"是",费用台账!$K$4:$K$503,"正常"))</f>
        <v/>
      </c>
      <c r="S864" s="28">
        <f>IF($G864="","",COUNTIFS($E$4:$E$2503,$E864,$Z$4:$Z$2503,"正常",$Y$4:$Y$2503,"待补价"))</f>
        <v/>
      </c>
      <c r="T864" s="26">
        <f>IF($G864="","",SUMIFS($P$4:$P$2503,$E$4:$E$2503,$E864,$Z$4:$Z$2503,"正常",$A$4:$A$2503,"&lt;="&amp;$A864))</f>
        <v/>
      </c>
      <c r="U864" s="26">
        <f>IF($G864="","",IF(OR($S864&gt;0,$Q864=0,$R864=0,$Z864&lt;&gt;"正常"),0,ROUND($T864/$Q864*$R864,0)-ROUND(($T864-$P864)/$Q864*$R864,0)))</f>
        <v/>
      </c>
      <c r="V864" s="26">
        <f>IF($G864="","",ROUND($P864+$U864,0))</f>
        <v/>
      </c>
      <c r="W864" s="26">
        <f>IF($G864="","",IF(N($K864)=0,0,ROUND($V864/$K864,2)))</f>
        <v/>
      </c>
      <c r="X864" s="17" t="inlineStr">
        <is>
          <t>采购入库</t>
        </is>
      </c>
      <c r="Y864" s="17" t="inlineStr">
        <is>
          <t>待补价</t>
        </is>
      </c>
      <c r="Z864" s="17" t="inlineStr">
        <is>
          <t>正常</t>
        </is>
      </c>
      <c r="AA864" s="17" t="n"/>
      <c r="AB864" s="17" t="inlineStr">
        <is>
          <t>原表第 880 行</t>
        </is>
      </c>
      <c r="AC864" s="24">
        <f>IF($G864="","",IF($H864="※编码不在物料档案里","※物料编码不在档案里",IF(N($K864)&lt;=0,"※入库数量要大于 0",IF(AND($C864&lt;&gt;"",$C864&lt;=结账锁),"※日期早于已结账截止日，不能再录",IF(AND($L864=0,$X864="正常"),"※没填单价，价格状态请选「待补价」",IF(AND($S864&gt;0,$R864&gt;0),"△本批有 "&amp;$S864&amp;" 行没单价，整批运费先挂账没摊",IF(AND($B864&lt;&gt;"",COUNTIF($B$4:$B$2503,$B864)&gt;1),"※入库单号重复","")))))))</f>
        <v/>
      </c>
    </row>
    <row r="865">
      <c r="A865" s="24">
        <f>IF($G865="","",COUNTA($G$4:$G865))</f>
        <v/>
      </c>
      <c r="B865" s="17" t="n"/>
      <c r="C865" s="30" t="n">
        <v>46176</v>
      </c>
      <c r="D865" s="17" t="inlineStr">
        <is>
          <t>A国内</t>
        </is>
      </c>
      <c r="E865" s="17" t="inlineStr">
        <is>
          <t>WSKU6723980-202606</t>
        </is>
      </c>
      <c r="F865" s="17" t="inlineStr">
        <is>
          <t>烟台亿泰化工有限公司</t>
        </is>
      </c>
      <c r="G865" s="17" t="inlineStr">
        <is>
          <t>JH0166</t>
        </is>
      </c>
      <c r="H865" s="24">
        <f>IF($G865="","",IFERROR(VLOOKUP($G865,物料档案!$A$4:$P$1203,3,0),"※编码不在物料档案里"))</f>
        <v/>
      </c>
      <c r="I865" s="24">
        <f>IF($G865="","",IFERROR(VLOOKUP($G865,物料档案!$A$4:$P$1203,4,0),"※编码不在物料档案里"))</f>
        <v/>
      </c>
      <c r="J865" s="24">
        <f>IF($G865="","",IFERROR(VLOOKUP($G865,物料档案!$A$4:$P$1203,5,0),"※编码不在物料档案里"))</f>
        <v/>
      </c>
      <c r="K865" s="23" t="n">
        <v>1</v>
      </c>
      <c r="L865" s="31" t="n"/>
      <c r="M865" s="24">
        <f>IF($G865="","",IF($D865="A国内","CNY","TZS"))</f>
        <v/>
      </c>
      <c r="N865" s="28">
        <f>IF($G865="","",IF($D865="A国内",汇率,1))</f>
        <v/>
      </c>
      <c r="O865" s="25">
        <f>IF($G865="","",ROUND(N($K865)*N($L865),2))</f>
        <v/>
      </c>
      <c r="P865" s="26">
        <f>IF($G865="","",ROUND($O865*$N865,0))</f>
        <v/>
      </c>
      <c r="Q865" s="26">
        <f>IF($G865="","",SUMIFS($P$4:$P$2503,$E$4:$E$2503,$E865,$Z$4:$Z$2503,"正常"))</f>
        <v/>
      </c>
      <c r="R865" s="26">
        <f>IF($G865="","",SUMIFS(费用台账!$I$4:$I$503,费用台账!$C$4:$C$503,$E865,费用台账!$J$4:$J$503,"是",费用台账!$K$4:$K$503,"正常"))</f>
        <v/>
      </c>
      <c r="S865" s="28">
        <f>IF($G865="","",COUNTIFS($E$4:$E$2503,$E865,$Z$4:$Z$2503,"正常",$Y$4:$Y$2503,"待补价"))</f>
        <v/>
      </c>
      <c r="T865" s="26">
        <f>IF($G865="","",SUMIFS($P$4:$P$2503,$E$4:$E$2503,$E865,$Z$4:$Z$2503,"正常",$A$4:$A$2503,"&lt;="&amp;$A865))</f>
        <v/>
      </c>
      <c r="U865" s="26">
        <f>IF($G865="","",IF(OR($S865&gt;0,$Q865=0,$R865=0,$Z865&lt;&gt;"正常"),0,ROUND($T865/$Q865*$R865,0)-ROUND(($T865-$P865)/$Q865*$R865,0)))</f>
        <v/>
      </c>
      <c r="V865" s="26">
        <f>IF($G865="","",ROUND($P865+$U865,0))</f>
        <v/>
      </c>
      <c r="W865" s="26">
        <f>IF($G865="","",IF(N($K865)=0,0,ROUND($V865/$K865,2)))</f>
        <v/>
      </c>
      <c r="X865" s="17" t="inlineStr">
        <is>
          <t>采购入库</t>
        </is>
      </c>
      <c r="Y865" s="17" t="inlineStr">
        <is>
          <t>待补价</t>
        </is>
      </c>
      <c r="Z865" s="17" t="inlineStr">
        <is>
          <t>正常</t>
        </is>
      </c>
      <c r="AA865" s="17" t="n"/>
      <c r="AB865" s="17" t="inlineStr">
        <is>
          <t>原表第 881 行</t>
        </is>
      </c>
      <c r="AC865" s="24">
        <f>IF($G865="","",IF($H865="※编码不在物料档案里","※物料编码不在档案里",IF(N($K865)&lt;=0,"※入库数量要大于 0",IF(AND($C865&lt;&gt;"",$C865&lt;=结账锁),"※日期早于已结账截止日，不能再录",IF(AND($L865=0,$X865="正常"),"※没填单价，价格状态请选「待补价」",IF(AND($S865&gt;0,$R865&gt;0),"△本批有 "&amp;$S865&amp;" 行没单价，整批运费先挂账没摊",IF(AND($B865&lt;&gt;"",COUNTIF($B$4:$B$2503,$B865)&gt;1),"※入库单号重复","")))))))</f>
        <v/>
      </c>
    </row>
    <row r="866">
      <c r="A866" s="24">
        <f>IF($G866="","",COUNTA($G$4:$G866))</f>
        <v/>
      </c>
      <c r="B866" s="17" t="n"/>
      <c r="C866" s="30" t="n">
        <v>46176</v>
      </c>
      <c r="D866" s="17" t="inlineStr">
        <is>
          <t>A国内</t>
        </is>
      </c>
      <c r="E866" s="17" t="inlineStr">
        <is>
          <t>WSKU6723980-202606</t>
        </is>
      </c>
      <c r="F866" s="17" t="inlineStr">
        <is>
          <t>烟台亿泰化工有限公司</t>
        </is>
      </c>
      <c r="G866" s="17" t="inlineStr">
        <is>
          <t>JH0792</t>
        </is>
      </c>
      <c r="H866" s="24">
        <f>IF($G866="","",IFERROR(VLOOKUP($G866,物料档案!$A$4:$P$1203,3,0),"※编码不在物料档案里"))</f>
        <v/>
      </c>
      <c r="I866" s="24">
        <f>IF($G866="","",IFERROR(VLOOKUP($G866,物料档案!$A$4:$P$1203,4,0),"※编码不在物料档案里"))</f>
        <v/>
      </c>
      <c r="J866" s="24">
        <f>IF($G866="","",IFERROR(VLOOKUP($G866,物料档案!$A$4:$P$1203,5,0),"※编码不在物料档案里"))</f>
        <v/>
      </c>
      <c r="K866" s="23" t="n">
        <v>50</v>
      </c>
      <c r="L866" s="31" t="n"/>
      <c r="M866" s="24">
        <f>IF($G866="","",IF($D866="A国内","CNY","TZS"))</f>
        <v/>
      </c>
      <c r="N866" s="28">
        <f>IF($G866="","",IF($D866="A国内",汇率,1))</f>
        <v/>
      </c>
      <c r="O866" s="25">
        <f>IF($G866="","",ROUND(N($K866)*N($L866),2))</f>
        <v/>
      </c>
      <c r="P866" s="26">
        <f>IF($G866="","",ROUND($O866*$N866,0))</f>
        <v/>
      </c>
      <c r="Q866" s="26">
        <f>IF($G866="","",SUMIFS($P$4:$P$2503,$E$4:$E$2503,$E866,$Z$4:$Z$2503,"正常"))</f>
        <v/>
      </c>
      <c r="R866" s="26">
        <f>IF($G866="","",SUMIFS(费用台账!$I$4:$I$503,费用台账!$C$4:$C$503,$E866,费用台账!$J$4:$J$503,"是",费用台账!$K$4:$K$503,"正常"))</f>
        <v/>
      </c>
      <c r="S866" s="28">
        <f>IF($G866="","",COUNTIFS($E$4:$E$2503,$E866,$Z$4:$Z$2503,"正常",$Y$4:$Y$2503,"待补价"))</f>
        <v/>
      </c>
      <c r="T866" s="26">
        <f>IF($G866="","",SUMIFS($P$4:$P$2503,$E$4:$E$2503,$E866,$Z$4:$Z$2503,"正常",$A$4:$A$2503,"&lt;="&amp;$A866))</f>
        <v/>
      </c>
      <c r="U866" s="26">
        <f>IF($G866="","",IF(OR($S866&gt;0,$Q866=0,$R866=0,$Z866&lt;&gt;"正常"),0,ROUND($T866/$Q866*$R866,0)-ROUND(($T866-$P866)/$Q866*$R866,0)))</f>
        <v/>
      </c>
      <c r="V866" s="26">
        <f>IF($G866="","",ROUND($P866+$U866,0))</f>
        <v/>
      </c>
      <c r="W866" s="26">
        <f>IF($G866="","",IF(N($K866)=0,0,ROUND($V866/$K866,2)))</f>
        <v/>
      </c>
      <c r="X866" s="17" t="inlineStr">
        <is>
          <t>采购入库</t>
        </is>
      </c>
      <c r="Y866" s="17" t="inlineStr">
        <is>
          <t>待补价</t>
        </is>
      </c>
      <c r="Z866" s="17" t="inlineStr">
        <is>
          <t>正常</t>
        </is>
      </c>
      <c r="AA866" s="17" t="n"/>
      <c r="AB866" s="17" t="inlineStr">
        <is>
          <t>原表第 882 行</t>
        </is>
      </c>
      <c r="AC866" s="24">
        <f>IF($G866="","",IF($H866="※编码不在物料档案里","※物料编码不在档案里",IF(N($K866)&lt;=0,"※入库数量要大于 0",IF(AND($C866&lt;&gt;"",$C866&lt;=结账锁),"※日期早于已结账截止日，不能再录",IF(AND($L866=0,$X866="正常"),"※没填单价，价格状态请选「待补价」",IF(AND($S866&gt;0,$R866&gt;0),"△本批有 "&amp;$S866&amp;" 行没单价，整批运费先挂账没摊",IF(AND($B866&lt;&gt;"",COUNTIF($B$4:$B$2503,$B866)&gt;1),"※入库单号重复","")))))))</f>
        <v/>
      </c>
    </row>
    <row r="867">
      <c r="A867" s="24">
        <f>IF($G867="","",COUNTA($G$4:$G867))</f>
        <v/>
      </c>
      <c r="B867" s="17" t="n"/>
      <c r="C867" s="30" t="n">
        <v>46176</v>
      </c>
      <c r="D867" s="17" t="inlineStr">
        <is>
          <t>A国内</t>
        </is>
      </c>
      <c r="E867" s="17" t="inlineStr">
        <is>
          <t>WSKU6981795-202606</t>
        </is>
      </c>
      <c r="F867" s="17" t="inlineStr">
        <is>
          <t>烟台亿泰化工有限公司</t>
        </is>
      </c>
      <c r="G867" s="17" t="inlineStr">
        <is>
          <t>JH0166</t>
        </is>
      </c>
      <c r="H867" s="24">
        <f>IF($G867="","",IFERROR(VLOOKUP($G867,物料档案!$A$4:$P$1203,3,0),"※编码不在物料档案里"))</f>
        <v/>
      </c>
      <c r="I867" s="24">
        <f>IF($G867="","",IFERROR(VLOOKUP($G867,物料档案!$A$4:$P$1203,4,0),"※编码不在物料档案里"))</f>
        <v/>
      </c>
      <c r="J867" s="24">
        <f>IF($G867="","",IFERROR(VLOOKUP($G867,物料档案!$A$4:$P$1203,5,0),"※编码不在物料档案里"))</f>
        <v/>
      </c>
      <c r="K867" s="23" t="n">
        <v>1</v>
      </c>
      <c r="L867" s="31" t="n"/>
      <c r="M867" s="24">
        <f>IF($G867="","",IF($D867="A国内","CNY","TZS"))</f>
        <v/>
      </c>
      <c r="N867" s="28">
        <f>IF($G867="","",IF($D867="A国内",汇率,1))</f>
        <v/>
      </c>
      <c r="O867" s="25">
        <f>IF($G867="","",ROUND(N($K867)*N($L867),2))</f>
        <v/>
      </c>
      <c r="P867" s="26">
        <f>IF($G867="","",ROUND($O867*$N867,0))</f>
        <v/>
      </c>
      <c r="Q867" s="26">
        <f>IF($G867="","",SUMIFS($P$4:$P$2503,$E$4:$E$2503,$E867,$Z$4:$Z$2503,"正常"))</f>
        <v/>
      </c>
      <c r="R867" s="26">
        <f>IF($G867="","",SUMIFS(费用台账!$I$4:$I$503,费用台账!$C$4:$C$503,$E867,费用台账!$J$4:$J$503,"是",费用台账!$K$4:$K$503,"正常"))</f>
        <v/>
      </c>
      <c r="S867" s="28">
        <f>IF($G867="","",COUNTIFS($E$4:$E$2503,$E867,$Z$4:$Z$2503,"正常",$Y$4:$Y$2503,"待补价"))</f>
        <v/>
      </c>
      <c r="T867" s="26">
        <f>IF($G867="","",SUMIFS($P$4:$P$2503,$E$4:$E$2503,$E867,$Z$4:$Z$2503,"正常",$A$4:$A$2503,"&lt;="&amp;$A867))</f>
        <v/>
      </c>
      <c r="U867" s="26">
        <f>IF($G867="","",IF(OR($S867&gt;0,$Q867=0,$R867=0,$Z867&lt;&gt;"正常"),0,ROUND($T867/$Q867*$R867,0)-ROUND(($T867-$P867)/$Q867*$R867,0)))</f>
        <v/>
      </c>
      <c r="V867" s="26">
        <f>IF($G867="","",ROUND($P867+$U867,0))</f>
        <v/>
      </c>
      <c r="W867" s="26">
        <f>IF($G867="","",IF(N($K867)=0,0,ROUND($V867/$K867,2)))</f>
        <v/>
      </c>
      <c r="X867" s="17" t="inlineStr">
        <is>
          <t>采购入库</t>
        </is>
      </c>
      <c r="Y867" s="17" t="inlineStr">
        <is>
          <t>待补价</t>
        </is>
      </c>
      <c r="Z867" s="17" t="inlineStr">
        <is>
          <t>正常</t>
        </is>
      </c>
      <c r="AA867" s="17" t="n"/>
      <c r="AB867" s="17" t="inlineStr">
        <is>
          <t>原表第 883 行</t>
        </is>
      </c>
      <c r="AC867" s="24">
        <f>IF($G867="","",IF($H867="※编码不在物料档案里","※物料编码不在档案里",IF(N($K867)&lt;=0,"※入库数量要大于 0",IF(AND($C867&lt;&gt;"",$C867&lt;=结账锁),"※日期早于已结账截止日，不能再录",IF(AND($L867=0,$X867="正常"),"※没填单价，价格状态请选「待补价」",IF(AND($S867&gt;0,$R867&gt;0),"△本批有 "&amp;$S867&amp;" 行没单价，整批运费先挂账没摊",IF(AND($B867&lt;&gt;"",COUNTIF($B$4:$B$2503,$B867)&gt;1),"※入库单号重复","")))))))</f>
        <v/>
      </c>
    </row>
    <row r="868">
      <c r="A868" s="24">
        <f>IF($G868="","",COUNTA($G$4:$G868))</f>
        <v/>
      </c>
      <c r="B868" s="17" t="n"/>
      <c r="C868" s="30" t="n">
        <v>46176</v>
      </c>
      <c r="D868" s="17" t="inlineStr">
        <is>
          <t>A国内</t>
        </is>
      </c>
      <c r="E868" s="17" t="inlineStr">
        <is>
          <t>WSKU6981795-202606</t>
        </is>
      </c>
      <c r="F868" s="17" t="inlineStr">
        <is>
          <t>烟台亿泰化工有限公司</t>
        </is>
      </c>
      <c r="G868" s="17" t="inlineStr">
        <is>
          <t>JH0793</t>
        </is>
      </c>
      <c r="H868" s="24">
        <f>IF($G868="","",IFERROR(VLOOKUP($G868,物料档案!$A$4:$P$1203,3,0),"※编码不在物料档案里"))</f>
        <v/>
      </c>
      <c r="I868" s="24">
        <f>IF($G868="","",IFERROR(VLOOKUP($G868,物料档案!$A$4:$P$1203,4,0),"※编码不在物料档案里"))</f>
        <v/>
      </c>
      <c r="J868" s="24">
        <f>IF($G868="","",IFERROR(VLOOKUP($G868,物料档案!$A$4:$P$1203,5,0),"※编码不在物料档案里"))</f>
        <v/>
      </c>
      <c r="K868" s="23" t="n">
        <v>4</v>
      </c>
      <c r="L868" s="31" t="n"/>
      <c r="M868" s="24">
        <f>IF($G868="","",IF($D868="A国内","CNY","TZS"))</f>
        <v/>
      </c>
      <c r="N868" s="28">
        <f>IF($G868="","",IF($D868="A国内",汇率,1))</f>
        <v/>
      </c>
      <c r="O868" s="25">
        <f>IF($G868="","",ROUND(N($K868)*N($L868),2))</f>
        <v/>
      </c>
      <c r="P868" s="26">
        <f>IF($G868="","",ROUND($O868*$N868,0))</f>
        <v/>
      </c>
      <c r="Q868" s="26">
        <f>IF($G868="","",SUMIFS($P$4:$P$2503,$E$4:$E$2503,$E868,$Z$4:$Z$2503,"正常"))</f>
        <v/>
      </c>
      <c r="R868" s="26">
        <f>IF($G868="","",SUMIFS(费用台账!$I$4:$I$503,费用台账!$C$4:$C$503,$E868,费用台账!$J$4:$J$503,"是",费用台账!$K$4:$K$503,"正常"))</f>
        <v/>
      </c>
      <c r="S868" s="28">
        <f>IF($G868="","",COUNTIFS($E$4:$E$2503,$E868,$Z$4:$Z$2503,"正常",$Y$4:$Y$2503,"待补价"))</f>
        <v/>
      </c>
      <c r="T868" s="26">
        <f>IF($G868="","",SUMIFS($P$4:$P$2503,$E$4:$E$2503,$E868,$Z$4:$Z$2503,"正常",$A$4:$A$2503,"&lt;="&amp;$A868))</f>
        <v/>
      </c>
      <c r="U868" s="26">
        <f>IF($G868="","",IF(OR($S868&gt;0,$Q868=0,$R868=0,$Z868&lt;&gt;"正常"),0,ROUND($T868/$Q868*$R868,0)-ROUND(($T868-$P868)/$Q868*$R868,0)))</f>
        <v/>
      </c>
      <c r="V868" s="26">
        <f>IF($G868="","",ROUND($P868+$U868,0))</f>
        <v/>
      </c>
      <c r="W868" s="26">
        <f>IF($G868="","",IF(N($K868)=0,0,ROUND($V868/$K868,2)))</f>
        <v/>
      </c>
      <c r="X868" s="17" t="inlineStr">
        <is>
          <t>采购入库</t>
        </is>
      </c>
      <c r="Y868" s="17" t="inlineStr">
        <is>
          <t>待补价</t>
        </is>
      </c>
      <c r="Z868" s="17" t="inlineStr">
        <is>
          <t>正常</t>
        </is>
      </c>
      <c r="AA868" s="17" t="n"/>
      <c r="AB868" s="17" t="inlineStr">
        <is>
          <t>原表第 884 行</t>
        </is>
      </c>
      <c r="AC868" s="24">
        <f>IF($G868="","",IF($H868="※编码不在物料档案里","※物料编码不在档案里",IF(N($K868)&lt;=0,"※入库数量要大于 0",IF(AND($C868&lt;&gt;"",$C868&lt;=结账锁),"※日期早于已结账截止日，不能再录",IF(AND($L868=0,$X868="正常"),"※没填单价，价格状态请选「待补价」",IF(AND($S868&gt;0,$R868&gt;0),"△本批有 "&amp;$S868&amp;" 行没单价，整批运费先挂账没摊",IF(AND($B868&lt;&gt;"",COUNTIF($B$4:$B$2503,$B868)&gt;1),"※入库单号重复","")))))))</f>
        <v/>
      </c>
    </row>
    <row r="869">
      <c r="A869" s="24">
        <f>IF($G869="","",COUNTA($G$4:$G869))</f>
        <v/>
      </c>
      <c r="B869" s="17" t="n"/>
      <c r="C869" s="30" t="n">
        <v>46255</v>
      </c>
      <c r="D869" s="17" t="inlineStr">
        <is>
          <t>A国内</t>
        </is>
      </c>
      <c r="E869" s="17" t="inlineStr">
        <is>
          <t>MSKV4646463-202608</t>
        </is>
      </c>
      <c r="F869" s="17" t="n"/>
      <c r="G869" s="17" t="inlineStr">
        <is>
          <t>JH0794</t>
        </is>
      </c>
      <c r="H869" s="24">
        <f>IF($G869="","",IFERROR(VLOOKUP($G869,物料档案!$A$4:$P$1203,3,0),"※编码不在物料档案里"))</f>
        <v/>
      </c>
      <c r="I869" s="24">
        <f>IF($G869="","",IFERROR(VLOOKUP($G869,物料档案!$A$4:$P$1203,4,0),"※编码不在物料档案里"))</f>
        <v/>
      </c>
      <c r="J869" s="24">
        <f>IF($G869="","",IFERROR(VLOOKUP($G869,物料档案!$A$4:$P$1203,5,0),"※编码不在物料档案里"))</f>
        <v/>
      </c>
      <c r="K869" s="23" t="n">
        <v>0</v>
      </c>
      <c r="L869" s="31" t="n"/>
      <c r="M869" s="24">
        <f>IF($G869="","",IF($D869="A国内","CNY","TZS"))</f>
        <v/>
      </c>
      <c r="N869" s="28">
        <f>IF($G869="","",IF($D869="A国内",汇率,1))</f>
        <v/>
      </c>
      <c r="O869" s="25">
        <f>IF($G869="","",ROUND(N($K869)*N($L869),2))</f>
        <v/>
      </c>
      <c r="P869" s="26">
        <f>IF($G869="","",ROUND($O869*$N869,0))</f>
        <v/>
      </c>
      <c r="Q869" s="26">
        <f>IF($G869="","",SUMIFS($P$4:$P$2503,$E$4:$E$2503,$E869,$Z$4:$Z$2503,"正常"))</f>
        <v/>
      </c>
      <c r="R869" s="26">
        <f>IF($G869="","",SUMIFS(费用台账!$I$4:$I$503,费用台账!$C$4:$C$503,$E869,费用台账!$J$4:$J$503,"是",费用台账!$K$4:$K$503,"正常"))</f>
        <v/>
      </c>
      <c r="S869" s="28">
        <f>IF($G869="","",COUNTIFS($E$4:$E$2503,$E869,$Z$4:$Z$2503,"正常",$Y$4:$Y$2503,"待补价"))</f>
        <v/>
      </c>
      <c r="T869" s="26">
        <f>IF($G869="","",SUMIFS($P$4:$P$2503,$E$4:$E$2503,$E869,$Z$4:$Z$2503,"正常",$A$4:$A$2503,"&lt;="&amp;$A869))</f>
        <v/>
      </c>
      <c r="U869" s="26">
        <f>IF($G869="","",IF(OR($S869&gt;0,$Q869=0,$R869=0,$Z869&lt;&gt;"正常"),0,ROUND($T869/$Q869*$R869,0)-ROUND(($T869-$P869)/$Q869*$R869,0)))</f>
        <v/>
      </c>
      <c r="V869" s="26">
        <f>IF($G869="","",ROUND($P869+$U869,0))</f>
        <v/>
      </c>
      <c r="W869" s="26">
        <f>IF($G869="","",IF(N($K869)=0,0,ROUND($V869/$K869,2)))</f>
        <v/>
      </c>
      <c r="X869" s="17" t="inlineStr">
        <is>
          <t>采购入库</t>
        </is>
      </c>
      <c r="Y869" s="17" t="inlineStr">
        <is>
          <t>待补价</t>
        </is>
      </c>
      <c r="Z869" s="17" t="inlineStr">
        <is>
          <t>正常</t>
        </is>
      </c>
      <c r="AA869" s="17" t="n"/>
      <c r="AB869" s="17" t="inlineStr">
        <is>
          <t>原表第 885 行</t>
        </is>
      </c>
      <c r="AC869" s="24">
        <f>IF($G869="","",IF($H869="※编码不在物料档案里","※物料编码不在档案里",IF(N($K869)&lt;=0,"※入库数量要大于 0",IF(AND($C869&lt;&gt;"",$C869&lt;=结账锁),"※日期早于已结账截止日，不能再录",IF(AND($L869=0,$X869="正常"),"※没填单价，价格状态请选「待补价」",IF(AND($S869&gt;0,$R869&gt;0),"△本批有 "&amp;$S869&amp;" 行没单价，整批运费先挂账没摊",IF(AND($B869&lt;&gt;"",COUNTIF($B$4:$B$2503,$B869)&gt;1),"※入库单号重复","")))))))</f>
        <v/>
      </c>
    </row>
    <row r="870">
      <c r="A870" s="24">
        <f>IF($G870="","",COUNTA($G$4:$G870))</f>
        <v/>
      </c>
      <c r="B870" s="17" t="n"/>
      <c r="C870" s="30" t="n"/>
      <c r="D870" s="17" t="n"/>
      <c r="E870" s="17" t="n"/>
      <c r="F870" s="17" t="n"/>
      <c r="G870" s="17" t="n"/>
      <c r="H870" s="24">
        <f>IF($G870="","",IFERROR(VLOOKUP($G870,物料档案!$A$4:$P$1203,3,0),"※编码不在物料档案里"))</f>
        <v/>
      </c>
      <c r="I870" s="24">
        <f>IF($G870="","",IFERROR(VLOOKUP($G870,物料档案!$A$4:$P$1203,4,0),"※编码不在物料档案里"))</f>
        <v/>
      </c>
      <c r="J870" s="24">
        <f>IF($G870="","",IFERROR(VLOOKUP($G870,物料档案!$A$4:$P$1203,5,0),"※编码不在物料档案里"))</f>
        <v/>
      </c>
      <c r="K870" s="23" t="n"/>
      <c r="L870" s="31" t="n"/>
      <c r="M870" s="24">
        <f>IF($G870="","",IF($D870="A国内","CNY","TZS"))</f>
        <v/>
      </c>
      <c r="N870" s="28">
        <f>IF($G870="","",IF($D870="A国内",汇率,1))</f>
        <v/>
      </c>
      <c r="O870" s="25">
        <f>IF($G870="","",ROUND(N($K870)*N($L870),2))</f>
        <v/>
      </c>
      <c r="P870" s="26">
        <f>IF($G870="","",ROUND($O870*$N870,0))</f>
        <v/>
      </c>
      <c r="Q870" s="26">
        <f>IF($G870="","",SUMIFS($P$4:$P$2503,$E$4:$E$2503,$E870,$Z$4:$Z$2503,"正常"))</f>
        <v/>
      </c>
      <c r="R870" s="26">
        <f>IF($G870="","",SUMIFS(费用台账!$I$4:$I$503,费用台账!$C$4:$C$503,$E870,费用台账!$J$4:$J$503,"是",费用台账!$K$4:$K$503,"正常"))</f>
        <v/>
      </c>
      <c r="S870" s="28">
        <f>IF($G870="","",COUNTIFS($E$4:$E$2503,$E870,$Z$4:$Z$2503,"正常",$Y$4:$Y$2503,"待补价"))</f>
        <v/>
      </c>
      <c r="T870" s="26">
        <f>IF($G870="","",SUMIFS($P$4:$P$2503,$E$4:$E$2503,$E870,$Z$4:$Z$2503,"正常",$A$4:$A$2503,"&lt;="&amp;$A870))</f>
        <v/>
      </c>
      <c r="U870" s="26">
        <f>IF($G870="","",IF(OR($S870&gt;0,$Q870=0,$R870=0,$Z870&lt;&gt;"正常"),0,ROUND($T870/$Q870*$R870,0)-ROUND(($T870-$P870)/$Q870*$R870,0)))</f>
        <v/>
      </c>
      <c r="V870" s="26">
        <f>IF($G870="","",ROUND($P870+$U870,0))</f>
        <v/>
      </c>
      <c r="W870" s="26">
        <f>IF($G870="","",IF(N($K870)=0,0,ROUND($V870/$K870,2)))</f>
        <v/>
      </c>
      <c r="X870" s="17" t="n"/>
      <c r="Y870" s="17" t="n"/>
      <c r="Z870" s="17" t="n"/>
      <c r="AA870" s="17" t="n"/>
      <c r="AB870" s="17" t="n"/>
      <c r="AC870" s="24">
        <f>IF($G870="","",IF($H870="※编码不在物料档案里","※物料编码不在档案里",IF(N($K870)&lt;=0,"※入库数量要大于 0",IF(AND($C870&lt;&gt;"",$C870&lt;=结账锁),"※日期早于已结账截止日，不能再录",IF(AND($L870=0,$X870="正常"),"※没填单价，价格状态请选「待补价」",IF(AND($S870&gt;0,$R870&gt;0),"△本批有 "&amp;$S870&amp;" 行没单价，整批运费先挂账没摊",IF(AND($B870&lt;&gt;"",COUNTIF($B$4:$B$2503,$B870)&gt;1),"※入库单号重复","")))))))</f>
        <v/>
      </c>
    </row>
    <row r="871">
      <c r="A871" s="24">
        <f>IF($G871="","",COUNTA($G$4:$G871))</f>
        <v/>
      </c>
      <c r="B871" s="17" t="n"/>
      <c r="C871" s="30" t="n"/>
      <c r="D871" s="17" t="n"/>
      <c r="E871" s="17" t="n"/>
      <c r="F871" s="17" t="n"/>
      <c r="G871" s="17" t="n"/>
      <c r="H871" s="24">
        <f>IF($G871="","",IFERROR(VLOOKUP($G871,物料档案!$A$4:$P$1203,3,0),"※编码不在物料档案里"))</f>
        <v/>
      </c>
      <c r="I871" s="24">
        <f>IF($G871="","",IFERROR(VLOOKUP($G871,物料档案!$A$4:$P$1203,4,0),"※编码不在物料档案里"))</f>
        <v/>
      </c>
      <c r="J871" s="24">
        <f>IF($G871="","",IFERROR(VLOOKUP($G871,物料档案!$A$4:$P$1203,5,0),"※编码不在物料档案里"))</f>
        <v/>
      </c>
      <c r="K871" s="23" t="n"/>
      <c r="L871" s="31" t="n"/>
      <c r="M871" s="24">
        <f>IF($G871="","",IF($D871="A国内","CNY","TZS"))</f>
        <v/>
      </c>
      <c r="N871" s="28">
        <f>IF($G871="","",IF($D871="A国内",汇率,1))</f>
        <v/>
      </c>
      <c r="O871" s="25">
        <f>IF($G871="","",ROUND(N($K871)*N($L871),2))</f>
        <v/>
      </c>
      <c r="P871" s="26">
        <f>IF($G871="","",ROUND($O871*$N871,0))</f>
        <v/>
      </c>
      <c r="Q871" s="26">
        <f>IF($G871="","",SUMIFS($P$4:$P$2503,$E$4:$E$2503,$E871,$Z$4:$Z$2503,"正常"))</f>
        <v/>
      </c>
      <c r="R871" s="26">
        <f>IF($G871="","",SUMIFS(费用台账!$I$4:$I$503,费用台账!$C$4:$C$503,$E871,费用台账!$J$4:$J$503,"是",费用台账!$K$4:$K$503,"正常"))</f>
        <v/>
      </c>
      <c r="S871" s="28">
        <f>IF($G871="","",COUNTIFS($E$4:$E$2503,$E871,$Z$4:$Z$2503,"正常",$Y$4:$Y$2503,"待补价"))</f>
        <v/>
      </c>
      <c r="T871" s="26">
        <f>IF($G871="","",SUMIFS($P$4:$P$2503,$E$4:$E$2503,$E871,$Z$4:$Z$2503,"正常",$A$4:$A$2503,"&lt;="&amp;$A871))</f>
        <v/>
      </c>
      <c r="U871" s="26">
        <f>IF($G871="","",IF(OR($S871&gt;0,$Q871=0,$R871=0,$Z871&lt;&gt;"正常"),0,ROUND($T871/$Q871*$R871,0)-ROUND(($T871-$P871)/$Q871*$R871,0)))</f>
        <v/>
      </c>
      <c r="V871" s="26">
        <f>IF($G871="","",ROUND($P871+$U871,0))</f>
        <v/>
      </c>
      <c r="W871" s="26">
        <f>IF($G871="","",IF(N($K871)=0,0,ROUND($V871/$K871,2)))</f>
        <v/>
      </c>
      <c r="X871" s="17" t="n"/>
      <c r="Y871" s="17" t="n"/>
      <c r="Z871" s="17" t="n"/>
      <c r="AA871" s="17" t="n"/>
      <c r="AB871" s="17" t="n"/>
      <c r="AC871" s="24">
        <f>IF($G871="","",IF($H871="※编码不在物料档案里","※物料编码不在档案里",IF(N($K871)&lt;=0,"※入库数量要大于 0",IF(AND($C871&lt;&gt;"",$C871&lt;=结账锁),"※日期早于已结账截止日，不能再录",IF(AND($L871=0,$X871="正常"),"※没填单价，价格状态请选「待补价」",IF(AND($S871&gt;0,$R871&gt;0),"△本批有 "&amp;$S871&amp;" 行没单价，整批运费先挂账没摊",IF(AND($B871&lt;&gt;"",COUNTIF($B$4:$B$2503,$B871)&gt;1),"※入库单号重复","")))))))</f>
        <v/>
      </c>
    </row>
    <row r="872">
      <c r="A872" s="24">
        <f>IF($G872="","",COUNTA($G$4:$G872))</f>
        <v/>
      </c>
      <c r="B872" s="17" t="n"/>
      <c r="C872" s="30" t="n"/>
      <c r="D872" s="17" t="n"/>
      <c r="E872" s="17" t="n"/>
      <c r="F872" s="17" t="n"/>
      <c r="G872" s="17" t="n"/>
      <c r="H872" s="24">
        <f>IF($G872="","",IFERROR(VLOOKUP($G872,物料档案!$A$4:$P$1203,3,0),"※编码不在物料档案里"))</f>
        <v/>
      </c>
      <c r="I872" s="24">
        <f>IF($G872="","",IFERROR(VLOOKUP($G872,物料档案!$A$4:$P$1203,4,0),"※编码不在物料档案里"))</f>
        <v/>
      </c>
      <c r="J872" s="24">
        <f>IF($G872="","",IFERROR(VLOOKUP($G872,物料档案!$A$4:$P$1203,5,0),"※编码不在物料档案里"))</f>
        <v/>
      </c>
      <c r="K872" s="23" t="n"/>
      <c r="L872" s="31" t="n"/>
      <c r="M872" s="24">
        <f>IF($G872="","",IF($D872="A国内","CNY","TZS"))</f>
        <v/>
      </c>
      <c r="N872" s="28">
        <f>IF($G872="","",IF($D872="A国内",汇率,1))</f>
        <v/>
      </c>
      <c r="O872" s="25">
        <f>IF($G872="","",ROUND(N($K872)*N($L872),2))</f>
        <v/>
      </c>
      <c r="P872" s="26">
        <f>IF($G872="","",ROUND($O872*$N872,0))</f>
        <v/>
      </c>
      <c r="Q872" s="26">
        <f>IF($G872="","",SUMIFS($P$4:$P$2503,$E$4:$E$2503,$E872,$Z$4:$Z$2503,"正常"))</f>
        <v/>
      </c>
      <c r="R872" s="26">
        <f>IF($G872="","",SUMIFS(费用台账!$I$4:$I$503,费用台账!$C$4:$C$503,$E872,费用台账!$J$4:$J$503,"是",费用台账!$K$4:$K$503,"正常"))</f>
        <v/>
      </c>
      <c r="S872" s="28">
        <f>IF($G872="","",COUNTIFS($E$4:$E$2503,$E872,$Z$4:$Z$2503,"正常",$Y$4:$Y$2503,"待补价"))</f>
        <v/>
      </c>
      <c r="T872" s="26">
        <f>IF($G872="","",SUMIFS($P$4:$P$2503,$E$4:$E$2503,$E872,$Z$4:$Z$2503,"正常",$A$4:$A$2503,"&lt;="&amp;$A872))</f>
        <v/>
      </c>
      <c r="U872" s="26">
        <f>IF($G872="","",IF(OR($S872&gt;0,$Q872=0,$R872=0,$Z872&lt;&gt;"正常"),0,ROUND($T872/$Q872*$R872,0)-ROUND(($T872-$P872)/$Q872*$R872,0)))</f>
        <v/>
      </c>
      <c r="V872" s="26">
        <f>IF($G872="","",ROUND($P872+$U872,0))</f>
        <v/>
      </c>
      <c r="W872" s="26">
        <f>IF($G872="","",IF(N($K872)=0,0,ROUND($V872/$K872,2)))</f>
        <v/>
      </c>
      <c r="X872" s="17" t="n"/>
      <c r="Y872" s="17" t="n"/>
      <c r="Z872" s="17" t="n"/>
      <c r="AA872" s="17" t="n"/>
      <c r="AB872" s="17" t="n"/>
      <c r="AC872" s="24">
        <f>IF($G872="","",IF($H872="※编码不在物料档案里","※物料编码不在档案里",IF(N($K872)&lt;=0,"※入库数量要大于 0",IF(AND($C872&lt;&gt;"",$C872&lt;=结账锁),"※日期早于已结账截止日，不能再录",IF(AND($L872=0,$X872="正常"),"※没填单价，价格状态请选「待补价」",IF(AND($S872&gt;0,$R872&gt;0),"△本批有 "&amp;$S872&amp;" 行没单价，整批运费先挂账没摊",IF(AND($B872&lt;&gt;"",COUNTIF($B$4:$B$2503,$B872)&gt;1),"※入库单号重复","")))))))</f>
        <v/>
      </c>
    </row>
    <row r="873">
      <c r="A873" s="24">
        <f>IF($G873="","",COUNTA($G$4:$G873))</f>
        <v/>
      </c>
      <c r="B873" s="17" t="n"/>
      <c r="C873" s="30" t="n"/>
      <c r="D873" s="17" t="n"/>
      <c r="E873" s="17" t="n"/>
      <c r="F873" s="17" t="n"/>
      <c r="G873" s="17" t="n"/>
      <c r="H873" s="24">
        <f>IF($G873="","",IFERROR(VLOOKUP($G873,物料档案!$A$4:$P$1203,3,0),"※编码不在物料档案里"))</f>
        <v/>
      </c>
      <c r="I873" s="24">
        <f>IF($G873="","",IFERROR(VLOOKUP($G873,物料档案!$A$4:$P$1203,4,0),"※编码不在物料档案里"))</f>
        <v/>
      </c>
      <c r="J873" s="24">
        <f>IF($G873="","",IFERROR(VLOOKUP($G873,物料档案!$A$4:$P$1203,5,0),"※编码不在物料档案里"))</f>
        <v/>
      </c>
      <c r="K873" s="23" t="n"/>
      <c r="L873" s="31" t="n"/>
      <c r="M873" s="24">
        <f>IF($G873="","",IF($D873="A国内","CNY","TZS"))</f>
        <v/>
      </c>
      <c r="N873" s="28">
        <f>IF($G873="","",IF($D873="A国内",汇率,1))</f>
        <v/>
      </c>
      <c r="O873" s="25">
        <f>IF($G873="","",ROUND(N($K873)*N($L873),2))</f>
        <v/>
      </c>
      <c r="P873" s="26">
        <f>IF($G873="","",ROUND($O873*$N873,0))</f>
        <v/>
      </c>
      <c r="Q873" s="26">
        <f>IF($G873="","",SUMIFS($P$4:$P$2503,$E$4:$E$2503,$E873,$Z$4:$Z$2503,"正常"))</f>
        <v/>
      </c>
      <c r="R873" s="26">
        <f>IF($G873="","",SUMIFS(费用台账!$I$4:$I$503,费用台账!$C$4:$C$503,$E873,费用台账!$J$4:$J$503,"是",费用台账!$K$4:$K$503,"正常"))</f>
        <v/>
      </c>
      <c r="S873" s="28">
        <f>IF($G873="","",COUNTIFS($E$4:$E$2503,$E873,$Z$4:$Z$2503,"正常",$Y$4:$Y$2503,"待补价"))</f>
        <v/>
      </c>
      <c r="T873" s="26">
        <f>IF($G873="","",SUMIFS($P$4:$P$2503,$E$4:$E$2503,$E873,$Z$4:$Z$2503,"正常",$A$4:$A$2503,"&lt;="&amp;$A873))</f>
        <v/>
      </c>
      <c r="U873" s="26">
        <f>IF($G873="","",IF(OR($S873&gt;0,$Q873=0,$R873=0,$Z873&lt;&gt;"正常"),0,ROUND($T873/$Q873*$R873,0)-ROUND(($T873-$P873)/$Q873*$R873,0)))</f>
        <v/>
      </c>
      <c r="V873" s="26">
        <f>IF($G873="","",ROUND($P873+$U873,0))</f>
        <v/>
      </c>
      <c r="W873" s="26">
        <f>IF($G873="","",IF(N($K873)=0,0,ROUND($V873/$K873,2)))</f>
        <v/>
      </c>
      <c r="X873" s="17" t="n"/>
      <c r="Y873" s="17" t="n"/>
      <c r="Z873" s="17" t="n"/>
      <c r="AA873" s="17" t="n"/>
      <c r="AB873" s="17" t="n"/>
      <c r="AC873" s="24">
        <f>IF($G873="","",IF($H873="※编码不在物料档案里","※物料编码不在档案里",IF(N($K873)&lt;=0,"※入库数量要大于 0",IF(AND($C873&lt;&gt;"",$C873&lt;=结账锁),"※日期早于已结账截止日，不能再录",IF(AND($L873=0,$X873="正常"),"※没填单价，价格状态请选「待补价」",IF(AND($S873&gt;0,$R873&gt;0),"△本批有 "&amp;$S873&amp;" 行没单价，整批运费先挂账没摊",IF(AND($B873&lt;&gt;"",COUNTIF($B$4:$B$2503,$B873)&gt;1),"※入库单号重复","")))))))</f>
        <v/>
      </c>
    </row>
    <row r="874">
      <c r="A874" s="24">
        <f>IF($G874="","",COUNTA($G$4:$G874))</f>
        <v/>
      </c>
      <c r="B874" s="17" t="n"/>
      <c r="C874" s="30" t="n"/>
      <c r="D874" s="17" t="n"/>
      <c r="E874" s="17" t="n"/>
      <c r="F874" s="17" t="n"/>
      <c r="G874" s="17" t="n"/>
      <c r="H874" s="24">
        <f>IF($G874="","",IFERROR(VLOOKUP($G874,物料档案!$A$4:$P$1203,3,0),"※编码不在物料档案里"))</f>
        <v/>
      </c>
      <c r="I874" s="24">
        <f>IF($G874="","",IFERROR(VLOOKUP($G874,物料档案!$A$4:$P$1203,4,0),"※编码不在物料档案里"))</f>
        <v/>
      </c>
      <c r="J874" s="24">
        <f>IF($G874="","",IFERROR(VLOOKUP($G874,物料档案!$A$4:$P$1203,5,0),"※编码不在物料档案里"))</f>
        <v/>
      </c>
      <c r="K874" s="23" t="n"/>
      <c r="L874" s="31" t="n"/>
      <c r="M874" s="24">
        <f>IF($G874="","",IF($D874="A国内","CNY","TZS"))</f>
        <v/>
      </c>
      <c r="N874" s="28">
        <f>IF($G874="","",IF($D874="A国内",汇率,1))</f>
        <v/>
      </c>
      <c r="O874" s="25">
        <f>IF($G874="","",ROUND(N($K874)*N($L874),2))</f>
        <v/>
      </c>
      <c r="P874" s="26">
        <f>IF($G874="","",ROUND($O874*$N874,0))</f>
        <v/>
      </c>
      <c r="Q874" s="26">
        <f>IF($G874="","",SUMIFS($P$4:$P$2503,$E$4:$E$2503,$E874,$Z$4:$Z$2503,"正常"))</f>
        <v/>
      </c>
      <c r="R874" s="26">
        <f>IF($G874="","",SUMIFS(费用台账!$I$4:$I$503,费用台账!$C$4:$C$503,$E874,费用台账!$J$4:$J$503,"是",费用台账!$K$4:$K$503,"正常"))</f>
        <v/>
      </c>
      <c r="S874" s="28">
        <f>IF($G874="","",COUNTIFS($E$4:$E$2503,$E874,$Z$4:$Z$2503,"正常",$Y$4:$Y$2503,"待补价"))</f>
        <v/>
      </c>
      <c r="T874" s="26">
        <f>IF($G874="","",SUMIFS($P$4:$P$2503,$E$4:$E$2503,$E874,$Z$4:$Z$2503,"正常",$A$4:$A$2503,"&lt;="&amp;$A874))</f>
        <v/>
      </c>
      <c r="U874" s="26">
        <f>IF($G874="","",IF(OR($S874&gt;0,$Q874=0,$R874=0,$Z874&lt;&gt;"正常"),0,ROUND($T874/$Q874*$R874,0)-ROUND(($T874-$P874)/$Q874*$R874,0)))</f>
        <v/>
      </c>
      <c r="V874" s="26">
        <f>IF($G874="","",ROUND($P874+$U874,0))</f>
        <v/>
      </c>
      <c r="W874" s="26">
        <f>IF($G874="","",IF(N($K874)=0,0,ROUND($V874/$K874,2)))</f>
        <v/>
      </c>
      <c r="X874" s="17" t="n"/>
      <c r="Y874" s="17" t="n"/>
      <c r="Z874" s="17" t="n"/>
      <c r="AA874" s="17" t="n"/>
      <c r="AB874" s="17" t="n"/>
      <c r="AC874" s="24">
        <f>IF($G874="","",IF($H874="※编码不在物料档案里","※物料编码不在档案里",IF(N($K874)&lt;=0,"※入库数量要大于 0",IF(AND($C874&lt;&gt;"",$C874&lt;=结账锁),"※日期早于已结账截止日，不能再录",IF(AND($L874=0,$X874="正常"),"※没填单价，价格状态请选「待补价」",IF(AND($S874&gt;0,$R874&gt;0),"△本批有 "&amp;$S874&amp;" 行没单价，整批运费先挂账没摊",IF(AND($B874&lt;&gt;"",COUNTIF($B$4:$B$2503,$B874)&gt;1),"※入库单号重复","")))))))</f>
        <v/>
      </c>
    </row>
    <row r="875">
      <c r="A875" s="24">
        <f>IF($G875="","",COUNTA($G$4:$G875))</f>
        <v/>
      </c>
      <c r="B875" s="17" t="n"/>
      <c r="C875" s="30" t="n"/>
      <c r="D875" s="17" t="n"/>
      <c r="E875" s="17" t="n"/>
      <c r="F875" s="17" t="n"/>
      <c r="G875" s="17" t="n"/>
      <c r="H875" s="24">
        <f>IF($G875="","",IFERROR(VLOOKUP($G875,物料档案!$A$4:$P$1203,3,0),"※编码不在物料档案里"))</f>
        <v/>
      </c>
      <c r="I875" s="24">
        <f>IF($G875="","",IFERROR(VLOOKUP($G875,物料档案!$A$4:$P$1203,4,0),"※编码不在物料档案里"))</f>
        <v/>
      </c>
      <c r="J875" s="24">
        <f>IF($G875="","",IFERROR(VLOOKUP($G875,物料档案!$A$4:$P$1203,5,0),"※编码不在物料档案里"))</f>
        <v/>
      </c>
      <c r="K875" s="23" t="n"/>
      <c r="L875" s="31" t="n"/>
      <c r="M875" s="24">
        <f>IF($G875="","",IF($D875="A国内","CNY","TZS"))</f>
        <v/>
      </c>
      <c r="N875" s="28">
        <f>IF($G875="","",IF($D875="A国内",汇率,1))</f>
        <v/>
      </c>
      <c r="O875" s="25">
        <f>IF($G875="","",ROUND(N($K875)*N($L875),2))</f>
        <v/>
      </c>
      <c r="P875" s="26">
        <f>IF($G875="","",ROUND($O875*$N875,0))</f>
        <v/>
      </c>
      <c r="Q875" s="26">
        <f>IF($G875="","",SUMIFS($P$4:$P$2503,$E$4:$E$2503,$E875,$Z$4:$Z$2503,"正常"))</f>
        <v/>
      </c>
      <c r="R875" s="26">
        <f>IF($G875="","",SUMIFS(费用台账!$I$4:$I$503,费用台账!$C$4:$C$503,$E875,费用台账!$J$4:$J$503,"是",费用台账!$K$4:$K$503,"正常"))</f>
        <v/>
      </c>
      <c r="S875" s="28">
        <f>IF($G875="","",COUNTIFS($E$4:$E$2503,$E875,$Z$4:$Z$2503,"正常",$Y$4:$Y$2503,"待补价"))</f>
        <v/>
      </c>
      <c r="T875" s="26">
        <f>IF($G875="","",SUMIFS($P$4:$P$2503,$E$4:$E$2503,$E875,$Z$4:$Z$2503,"正常",$A$4:$A$2503,"&lt;="&amp;$A875))</f>
        <v/>
      </c>
      <c r="U875" s="26">
        <f>IF($G875="","",IF(OR($S875&gt;0,$Q875=0,$R875=0,$Z875&lt;&gt;"正常"),0,ROUND($T875/$Q875*$R875,0)-ROUND(($T875-$P875)/$Q875*$R875,0)))</f>
        <v/>
      </c>
      <c r="V875" s="26">
        <f>IF($G875="","",ROUND($P875+$U875,0))</f>
        <v/>
      </c>
      <c r="W875" s="26">
        <f>IF($G875="","",IF(N($K875)=0,0,ROUND($V875/$K875,2)))</f>
        <v/>
      </c>
      <c r="X875" s="17" t="n"/>
      <c r="Y875" s="17" t="n"/>
      <c r="Z875" s="17" t="n"/>
      <c r="AA875" s="17" t="n"/>
      <c r="AB875" s="17" t="n"/>
      <c r="AC875" s="24">
        <f>IF($G875="","",IF($H875="※编码不在物料档案里","※物料编码不在档案里",IF(N($K875)&lt;=0,"※入库数量要大于 0",IF(AND($C875&lt;&gt;"",$C875&lt;=结账锁),"※日期早于已结账截止日，不能再录",IF(AND($L875=0,$X875="正常"),"※没填单价，价格状态请选「待补价」",IF(AND($S875&gt;0,$R875&gt;0),"△本批有 "&amp;$S875&amp;" 行没单价，整批运费先挂账没摊",IF(AND($B875&lt;&gt;"",COUNTIF($B$4:$B$2503,$B875)&gt;1),"※入库单号重复","")))))))</f>
        <v/>
      </c>
    </row>
    <row r="876">
      <c r="A876" s="24">
        <f>IF($G876="","",COUNTA($G$4:$G876))</f>
        <v/>
      </c>
      <c r="B876" s="17" t="n"/>
      <c r="C876" s="30" t="n"/>
      <c r="D876" s="17" t="n"/>
      <c r="E876" s="17" t="n"/>
      <c r="F876" s="17" t="n"/>
      <c r="G876" s="17" t="n"/>
      <c r="H876" s="24">
        <f>IF($G876="","",IFERROR(VLOOKUP($G876,物料档案!$A$4:$P$1203,3,0),"※编码不在物料档案里"))</f>
        <v/>
      </c>
      <c r="I876" s="24">
        <f>IF($G876="","",IFERROR(VLOOKUP($G876,物料档案!$A$4:$P$1203,4,0),"※编码不在物料档案里"))</f>
        <v/>
      </c>
      <c r="J876" s="24">
        <f>IF($G876="","",IFERROR(VLOOKUP($G876,物料档案!$A$4:$P$1203,5,0),"※编码不在物料档案里"))</f>
        <v/>
      </c>
      <c r="K876" s="23" t="n"/>
      <c r="L876" s="31" t="n"/>
      <c r="M876" s="24">
        <f>IF($G876="","",IF($D876="A国内","CNY","TZS"))</f>
        <v/>
      </c>
      <c r="N876" s="28">
        <f>IF($G876="","",IF($D876="A国内",汇率,1))</f>
        <v/>
      </c>
      <c r="O876" s="25">
        <f>IF($G876="","",ROUND(N($K876)*N($L876),2))</f>
        <v/>
      </c>
      <c r="P876" s="26">
        <f>IF($G876="","",ROUND($O876*$N876,0))</f>
        <v/>
      </c>
      <c r="Q876" s="26">
        <f>IF($G876="","",SUMIFS($P$4:$P$2503,$E$4:$E$2503,$E876,$Z$4:$Z$2503,"正常"))</f>
        <v/>
      </c>
      <c r="R876" s="26">
        <f>IF($G876="","",SUMIFS(费用台账!$I$4:$I$503,费用台账!$C$4:$C$503,$E876,费用台账!$J$4:$J$503,"是",费用台账!$K$4:$K$503,"正常"))</f>
        <v/>
      </c>
      <c r="S876" s="28">
        <f>IF($G876="","",COUNTIFS($E$4:$E$2503,$E876,$Z$4:$Z$2503,"正常",$Y$4:$Y$2503,"待补价"))</f>
        <v/>
      </c>
      <c r="T876" s="26">
        <f>IF($G876="","",SUMIFS($P$4:$P$2503,$E$4:$E$2503,$E876,$Z$4:$Z$2503,"正常",$A$4:$A$2503,"&lt;="&amp;$A876))</f>
        <v/>
      </c>
      <c r="U876" s="26">
        <f>IF($G876="","",IF(OR($S876&gt;0,$Q876=0,$R876=0,$Z876&lt;&gt;"正常"),0,ROUND($T876/$Q876*$R876,0)-ROUND(($T876-$P876)/$Q876*$R876,0)))</f>
        <v/>
      </c>
      <c r="V876" s="26">
        <f>IF($G876="","",ROUND($P876+$U876,0))</f>
        <v/>
      </c>
      <c r="W876" s="26">
        <f>IF($G876="","",IF(N($K876)=0,0,ROUND($V876/$K876,2)))</f>
        <v/>
      </c>
      <c r="X876" s="17" t="n"/>
      <c r="Y876" s="17" t="n"/>
      <c r="Z876" s="17" t="n"/>
      <c r="AA876" s="17" t="n"/>
      <c r="AB876" s="17" t="n"/>
      <c r="AC876" s="24">
        <f>IF($G876="","",IF($H876="※编码不在物料档案里","※物料编码不在档案里",IF(N($K876)&lt;=0,"※入库数量要大于 0",IF(AND($C876&lt;&gt;"",$C876&lt;=结账锁),"※日期早于已结账截止日，不能再录",IF(AND($L876=0,$X876="正常"),"※没填单价，价格状态请选「待补价」",IF(AND($S876&gt;0,$R876&gt;0),"△本批有 "&amp;$S876&amp;" 行没单价，整批运费先挂账没摊",IF(AND($B876&lt;&gt;"",COUNTIF($B$4:$B$2503,$B876)&gt;1),"※入库单号重复","")))))))</f>
        <v/>
      </c>
    </row>
    <row r="877">
      <c r="A877" s="24">
        <f>IF($G877="","",COUNTA($G$4:$G877))</f>
        <v/>
      </c>
      <c r="B877" s="17" t="n"/>
      <c r="C877" s="30" t="n"/>
      <c r="D877" s="17" t="n"/>
      <c r="E877" s="17" t="n"/>
      <c r="F877" s="17" t="n"/>
      <c r="G877" s="17" t="n"/>
      <c r="H877" s="24">
        <f>IF($G877="","",IFERROR(VLOOKUP($G877,物料档案!$A$4:$P$1203,3,0),"※编码不在物料档案里"))</f>
        <v/>
      </c>
      <c r="I877" s="24">
        <f>IF($G877="","",IFERROR(VLOOKUP($G877,物料档案!$A$4:$P$1203,4,0),"※编码不在物料档案里"))</f>
        <v/>
      </c>
      <c r="J877" s="24">
        <f>IF($G877="","",IFERROR(VLOOKUP($G877,物料档案!$A$4:$P$1203,5,0),"※编码不在物料档案里"))</f>
        <v/>
      </c>
      <c r="K877" s="23" t="n"/>
      <c r="L877" s="31" t="n"/>
      <c r="M877" s="24">
        <f>IF($G877="","",IF($D877="A国内","CNY","TZS"))</f>
        <v/>
      </c>
      <c r="N877" s="28">
        <f>IF($G877="","",IF($D877="A国内",汇率,1))</f>
        <v/>
      </c>
      <c r="O877" s="25">
        <f>IF($G877="","",ROUND(N($K877)*N($L877),2))</f>
        <v/>
      </c>
      <c r="P877" s="26">
        <f>IF($G877="","",ROUND($O877*$N877,0))</f>
        <v/>
      </c>
      <c r="Q877" s="26">
        <f>IF($G877="","",SUMIFS($P$4:$P$2503,$E$4:$E$2503,$E877,$Z$4:$Z$2503,"正常"))</f>
        <v/>
      </c>
      <c r="R877" s="26">
        <f>IF($G877="","",SUMIFS(费用台账!$I$4:$I$503,费用台账!$C$4:$C$503,$E877,费用台账!$J$4:$J$503,"是",费用台账!$K$4:$K$503,"正常"))</f>
        <v/>
      </c>
      <c r="S877" s="28">
        <f>IF($G877="","",COUNTIFS($E$4:$E$2503,$E877,$Z$4:$Z$2503,"正常",$Y$4:$Y$2503,"待补价"))</f>
        <v/>
      </c>
      <c r="T877" s="26">
        <f>IF($G877="","",SUMIFS($P$4:$P$2503,$E$4:$E$2503,$E877,$Z$4:$Z$2503,"正常",$A$4:$A$2503,"&lt;="&amp;$A877))</f>
        <v/>
      </c>
      <c r="U877" s="26">
        <f>IF($G877="","",IF(OR($S877&gt;0,$Q877=0,$R877=0,$Z877&lt;&gt;"正常"),0,ROUND($T877/$Q877*$R877,0)-ROUND(($T877-$P877)/$Q877*$R877,0)))</f>
        <v/>
      </c>
      <c r="V877" s="26">
        <f>IF($G877="","",ROUND($P877+$U877,0))</f>
        <v/>
      </c>
      <c r="W877" s="26">
        <f>IF($G877="","",IF(N($K877)=0,0,ROUND($V877/$K877,2)))</f>
        <v/>
      </c>
      <c r="X877" s="17" t="n"/>
      <c r="Y877" s="17" t="n"/>
      <c r="Z877" s="17" t="n"/>
      <c r="AA877" s="17" t="n"/>
      <c r="AB877" s="17" t="n"/>
      <c r="AC877" s="24">
        <f>IF($G877="","",IF($H877="※编码不在物料档案里","※物料编码不在档案里",IF(N($K877)&lt;=0,"※入库数量要大于 0",IF(AND($C877&lt;&gt;"",$C877&lt;=结账锁),"※日期早于已结账截止日，不能再录",IF(AND($L877=0,$X877="正常"),"※没填单价，价格状态请选「待补价」",IF(AND($S877&gt;0,$R877&gt;0),"△本批有 "&amp;$S877&amp;" 行没单价，整批运费先挂账没摊",IF(AND($B877&lt;&gt;"",COUNTIF($B$4:$B$2503,$B877)&gt;1),"※入库单号重复","")))))))</f>
        <v/>
      </c>
    </row>
    <row r="878">
      <c r="A878" s="24">
        <f>IF($G878="","",COUNTA($G$4:$G878))</f>
        <v/>
      </c>
      <c r="B878" s="17" t="n"/>
      <c r="C878" s="30" t="n"/>
      <c r="D878" s="17" t="n"/>
      <c r="E878" s="17" t="n"/>
      <c r="F878" s="17" t="n"/>
      <c r="G878" s="17" t="n"/>
      <c r="H878" s="24">
        <f>IF($G878="","",IFERROR(VLOOKUP($G878,物料档案!$A$4:$P$1203,3,0),"※编码不在物料档案里"))</f>
        <v/>
      </c>
      <c r="I878" s="24">
        <f>IF($G878="","",IFERROR(VLOOKUP($G878,物料档案!$A$4:$P$1203,4,0),"※编码不在物料档案里"))</f>
        <v/>
      </c>
      <c r="J878" s="24">
        <f>IF($G878="","",IFERROR(VLOOKUP($G878,物料档案!$A$4:$P$1203,5,0),"※编码不在物料档案里"))</f>
        <v/>
      </c>
      <c r="K878" s="23" t="n"/>
      <c r="L878" s="31" t="n"/>
      <c r="M878" s="24">
        <f>IF($G878="","",IF($D878="A国内","CNY","TZS"))</f>
        <v/>
      </c>
      <c r="N878" s="28">
        <f>IF($G878="","",IF($D878="A国内",汇率,1))</f>
        <v/>
      </c>
      <c r="O878" s="25">
        <f>IF($G878="","",ROUND(N($K878)*N($L878),2))</f>
        <v/>
      </c>
      <c r="P878" s="26">
        <f>IF($G878="","",ROUND($O878*$N878,0))</f>
        <v/>
      </c>
      <c r="Q878" s="26">
        <f>IF($G878="","",SUMIFS($P$4:$P$2503,$E$4:$E$2503,$E878,$Z$4:$Z$2503,"正常"))</f>
        <v/>
      </c>
      <c r="R878" s="26">
        <f>IF($G878="","",SUMIFS(费用台账!$I$4:$I$503,费用台账!$C$4:$C$503,$E878,费用台账!$J$4:$J$503,"是",费用台账!$K$4:$K$503,"正常"))</f>
        <v/>
      </c>
      <c r="S878" s="28">
        <f>IF($G878="","",COUNTIFS($E$4:$E$2503,$E878,$Z$4:$Z$2503,"正常",$Y$4:$Y$2503,"待补价"))</f>
        <v/>
      </c>
      <c r="T878" s="26">
        <f>IF($G878="","",SUMIFS($P$4:$P$2503,$E$4:$E$2503,$E878,$Z$4:$Z$2503,"正常",$A$4:$A$2503,"&lt;="&amp;$A878))</f>
        <v/>
      </c>
      <c r="U878" s="26">
        <f>IF($G878="","",IF(OR($S878&gt;0,$Q878=0,$R878=0,$Z878&lt;&gt;"正常"),0,ROUND($T878/$Q878*$R878,0)-ROUND(($T878-$P878)/$Q878*$R878,0)))</f>
        <v/>
      </c>
      <c r="V878" s="26">
        <f>IF($G878="","",ROUND($P878+$U878,0))</f>
        <v/>
      </c>
      <c r="W878" s="26">
        <f>IF($G878="","",IF(N($K878)=0,0,ROUND($V878/$K878,2)))</f>
        <v/>
      </c>
      <c r="X878" s="17" t="n"/>
      <c r="Y878" s="17" t="n"/>
      <c r="Z878" s="17" t="n"/>
      <c r="AA878" s="17" t="n"/>
      <c r="AB878" s="17" t="n"/>
      <c r="AC878" s="24">
        <f>IF($G878="","",IF($H878="※编码不在物料档案里","※物料编码不在档案里",IF(N($K878)&lt;=0,"※入库数量要大于 0",IF(AND($C878&lt;&gt;"",$C878&lt;=结账锁),"※日期早于已结账截止日，不能再录",IF(AND($L878=0,$X878="正常"),"※没填单价，价格状态请选「待补价」",IF(AND($S878&gt;0,$R878&gt;0),"△本批有 "&amp;$S878&amp;" 行没单价，整批运费先挂账没摊",IF(AND($B878&lt;&gt;"",COUNTIF($B$4:$B$2503,$B878)&gt;1),"※入库单号重复","")))))))</f>
        <v/>
      </c>
    </row>
    <row r="879">
      <c r="A879" s="24">
        <f>IF($G879="","",COUNTA($G$4:$G879))</f>
        <v/>
      </c>
      <c r="B879" s="17" t="n"/>
      <c r="C879" s="30" t="n"/>
      <c r="D879" s="17" t="n"/>
      <c r="E879" s="17" t="n"/>
      <c r="F879" s="17" t="n"/>
      <c r="G879" s="17" t="n"/>
      <c r="H879" s="24">
        <f>IF($G879="","",IFERROR(VLOOKUP($G879,物料档案!$A$4:$P$1203,3,0),"※编码不在物料档案里"))</f>
        <v/>
      </c>
      <c r="I879" s="24">
        <f>IF($G879="","",IFERROR(VLOOKUP($G879,物料档案!$A$4:$P$1203,4,0),"※编码不在物料档案里"))</f>
        <v/>
      </c>
      <c r="J879" s="24">
        <f>IF($G879="","",IFERROR(VLOOKUP($G879,物料档案!$A$4:$P$1203,5,0),"※编码不在物料档案里"))</f>
        <v/>
      </c>
      <c r="K879" s="23" t="n"/>
      <c r="L879" s="31" t="n"/>
      <c r="M879" s="24">
        <f>IF($G879="","",IF($D879="A国内","CNY","TZS"))</f>
        <v/>
      </c>
      <c r="N879" s="28">
        <f>IF($G879="","",IF($D879="A国内",汇率,1))</f>
        <v/>
      </c>
      <c r="O879" s="25">
        <f>IF($G879="","",ROUND(N($K879)*N($L879),2))</f>
        <v/>
      </c>
      <c r="P879" s="26">
        <f>IF($G879="","",ROUND($O879*$N879,0))</f>
        <v/>
      </c>
      <c r="Q879" s="26">
        <f>IF($G879="","",SUMIFS($P$4:$P$2503,$E$4:$E$2503,$E879,$Z$4:$Z$2503,"正常"))</f>
        <v/>
      </c>
      <c r="R879" s="26">
        <f>IF($G879="","",SUMIFS(费用台账!$I$4:$I$503,费用台账!$C$4:$C$503,$E879,费用台账!$J$4:$J$503,"是",费用台账!$K$4:$K$503,"正常"))</f>
        <v/>
      </c>
      <c r="S879" s="28">
        <f>IF($G879="","",COUNTIFS($E$4:$E$2503,$E879,$Z$4:$Z$2503,"正常",$Y$4:$Y$2503,"待补价"))</f>
        <v/>
      </c>
      <c r="T879" s="26">
        <f>IF($G879="","",SUMIFS($P$4:$P$2503,$E$4:$E$2503,$E879,$Z$4:$Z$2503,"正常",$A$4:$A$2503,"&lt;="&amp;$A879))</f>
        <v/>
      </c>
      <c r="U879" s="26">
        <f>IF($G879="","",IF(OR($S879&gt;0,$Q879=0,$R879=0,$Z879&lt;&gt;"正常"),0,ROUND($T879/$Q879*$R879,0)-ROUND(($T879-$P879)/$Q879*$R879,0)))</f>
        <v/>
      </c>
      <c r="V879" s="26">
        <f>IF($G879="","",ROUND($P879+$U879,0))</f>
        <v/>
      </c>
      <c r="W879" s="26">
        <f>IF($G879="","",IF(N($K879)=0,0,ROUND($V879/$K879,2)))</f>
        <v/>
      </c>
      <c r="X879" s="17" t="n"/>
      <c r="Y879" s="17" t="n"/>
      <c r="Z879" s="17" t="n"/>
      <c r="AA879" s="17" t="n"/>
      <c r="AB879" s="17" t="n"/>
      <c r="AC879" s="24">
        <f>IF($G879="","",IF($H879="※编码不在物料档案里","※物料编码不在档案里",IF(N($K879)&lt;=0,"※入库数量要大于 0",IF(AND($C879&lt;&gt;"",$C879&lt;=结账锁),"※日期早于已结账截止日，不能再录",IF(AND($L879=0,$X879="正常"),"※没填单价，价格状态请选「待补价」",IF(AND($S879&gt;0,$R879&gt;0),"△本批有 "&amp;$S879&amp;" 行没单价，整批运费先挂账没摊",IF(AND($B879&lt;&gt;"",COUNTIF($B$4:$B$2503,$B879)&gt;1),"※入库单号重复","")))))))</f>
        <v/>
      </c>
    </row>
    <row r="880">
      <c r="A880" s="24">
        <f>IF($G880="","",COUNTA($G$4:$G880))</f>
        <v/>
      </c>
      <c r="B880" s="17" t="n"/>
      <c r="C880" s="30" t="n"/>
      <c r="D880" s="17" t="n"/>
      <c r="E880" s="17" t="n"/>
      <c r="F880" s="17" t="n"/>
      <c r="G880" s="17" t="n"/>
      <c r="H880" s="24">
        <f>IF($G880="","",IFERROR(VLOOKUP($G880,物料档案!$A$4:$P$1203,3,0),"※编码不在物料档案里"))</f>
        <v/>
      </c>
      <c r="I880" s="24">
        <f>IF($G880="","",IFERROR(VLOOKUP($G880,物料档案!$A$4:$P$1203,4,0),"※编码不在物料档案里"))</f>
        <v/>
      </c>
      <c r="J880" s="24">
        <f>IF($G880="","",IFERROR(VLOOKUP($G880,物料档案!$A$4:$P$1203,5,0),"※编码不在物料档案里"))</f>
        <v/>
      </c>
      <c r="K880" s="23" t="n"/>
      <c r="L880" s="31" t="n"/>
      <c r="M880" s="24">
        <f>IF($G880="","",IF($D880="A国内","CNY","TZS"))</f>
        <v/>
      </c>
      <c r="N880" s="28">
        <f>IF($G880="","",IF($D880="A国内",汇率,1))</f>
        <v/>
      </c>
      <c r="O880" s="25">
        <f>IF($G880="","",ROUND(N($K880)*N($L880),2))</f>
        <v/>
      </c>
      <c r="P880" s="26">
        <f>IF($G880="","",ROUND($O880*$N880,0))</f>
        <v/>
      </c>
      <c r="Q880" s="26">
        <f>IF($G880="","",SUMIFS($P$4:$P$2503,$E$4:$E$2503,$E880,$Z$4:$Z$2503,"正常"))</f>
        <v/>
      </c>
      <c r="R880" s="26">
        <f>IF($G880="","",SUMIFS(费用台账!$I$4:$I$503,费用台账!$C$4:$C$503,$E880,费用台账!$J$4:$J$503,"是",费用台账!$K$4:$K$503,"正常"))</f>
        <v/>
      </c>
      <c r="S880" s="28">
        <f>IF($G880="","",COUNTIFS($E$4:$E$2503,$E880,$Z$4:$Z$2503,"正常",$Y$4:$Y$2503,"待补价"))</f>
        <v/>
      </c>
      <c r="T880" s="26">
        <f>IF($G880="","",SUMIFS($P$4:$P$2503,$E$4:$E$2503,$E880,$Z$4:$Z$2503,"正常",$A$4:$A$2503,"&lt;="&amp;$A880))</f>
        <v/>
      </c>
      <c r="U880" s="26">
        <f>IF($G880="","",IF(OR($S880&gt;0,$Q880=0,$R880=0,$Z880&lt;&gt;"正常"),0,ROUND($T880/$Q880*$R880,0)-ROUND(($T880-$P880)/$Q880*$R880,0)))</f>
        <v/>
      </c>
      <c r="V880" s="26">
        <f>IF($G880="","",ROUND($P880+$U880,0))</f>
        <v/>
      </c>
      <c r="W880" s="26">
        <f>IF($G880="","",IF(N($K880)=0,0,ROUND($V880/$K880,2)))</f>
        <v/>
      </c>
      <c r="X880" s="17" t="n"/>
      <c r="Y880" s="17" t="n"/>
      <c r="Z880" s="17" t="n"/>
      <c r="AA880" s="17" t="n"/>
      <c r="AB880" s="17" t="n"/>
      <c r="AC880" s="24">
        <f>IF($G880="","",IF($H880="※编码不在物料档案里","※物料编码不在档案里",IF(N($K880)&lt;=0,"※入库数量要大于 0",IF(AND($C880&lt;&gt;"",$C880&lt;=结账锁),"※日期早于已结账截止日，不能再录",IF(AND($L880=0,$X880="正常"),"※没填单价，价格状态请选「待补价」",IF(AND($S880&gt;0,$R880&gt;0),"△本批有 "&amp;$S880&amp;" 行没单价，整批运费先挂账没摊",IF(AND($B880&lt;&gt;"",COUNTIF($B$4:$B$2503,$B880)&gt;1),"※入库单号重复","")))))))</f>
        <v/>
      </c>
    </row>
    <row r="881">
      <c r="A881" s="24">
        <f>IF($G881="","",COUNTA($G$4:$G881))</f>
        <v/>
      </c>
      <c r="B881" s="17" t="n"/>
      <c r="C881" s="30" t="n"/>
      <c r="D881" s="17" t="n"/>
      <c r="E881" s="17" t="n"/>
      <c r="F881" s="17" t="n"/>
      <c r="G881" s="17" t="n"/>
      <c r="H881" s="24">
        <f>IF($G881="","",IFERROR(VLOOKUP($G881,物料档案!$A$4:$P$1203,3,0),"※编码不在物料档案里"))</f>
        <v/>
      </c>
      <c r="I881" s="24">
        <f>IF($G881="","",IFERROR(VLOOKUP($G881,物料档案!$A$4:$P$1203,4,0),"※编码不在物料档案里"))</f>
        <v/>
      </c>
      <c r="J881" s="24">
        <f>IF($G881="","",IFERROR(VLOOKUP($G881,物料档案!$A$4:$P$1203,5,0),"※编码不在物料档案里"))</f>
        <v/>
      </c>
      <c r="K881" s="23" t="n"/>
      <c r="L881" s="31" t="n"/>
      <c r="M881" s="24">
        <f>IF($G881="","",IF($D881="A国内","CNY","TZS"))</f>
        <v/>
      </c>
      <c r="N881" s="28">
        <f>IF($G881="","",IF($D881="A国内",汇率,1))</f>
        <v/>
      </c>
      <c r="O881" s="25">
        <f>IF($G881="","",ROUND(N($K881)*N($L881),2))</f>
        <v/>
      </c>
      <c r="P881" s="26">
        <f>IF($G881="","",ROUND($O881*$N881,0))</f>
        <v/>
      </c>
      <c r="Q881" s="26">
        <f>IF($G881="","",SUMIFS($P$4:$P$2503,$E$4:$E$2503,$E881,$Z$4:$Z$2503,"正常"))</f>
        <v/>
      </c>
      <c r="R881" s="26">
        <f>IF($G881="","",SUMIFS(费用台账!$I$4:$I$503,费用台账!$C$4:$C$503,$E881,费用台账!$J$4:$J$503,"是",费用台账!$K$4:$K$503,"正常"))</f>
        <v/>
      </c>
      <c r="S881" s="28">
        <f>IF($G881="","",COUNTIFS($E$4:$E$2503,$E881,$Z$4:$Z$2503,"正常",$Y$4:$Y$2503,"待补价"))</f>
        <v/>
      </c>
      <c r="T881" s="26">
        <f>IF($G881="","",SUMIFS($P$4:$P$2503,$E$4:$E$2503,$E881,$Z$4:$Z$2503,"正常",$A$4:$A$2503,"&lt;="&amp;$A881))</f>
        <v/>
      </c>
      <c r="U881" s="26">
        <f>IF($G881="","",IF(OR($S881&gt;0,$Q881=0,$R881=0,$Z881&lt;&gt;"正常"),0,ROUND($T881/$Q881*$R881,0)-ROUND(($T881-$P881)/$Q881*$R881,0)))</f>
        <v/>
      </c>
      <c r="V881" s="26">
        <f>IF($G881="","",ROUND($P881+$U881,0))</f>
        <v/>
      </c>
      <c r="W881" s="26">
        <f>IF($G881="","",IF(N($K881)=0,0,ROUND($V881/$K881,2)))</f>
        <v/>
      </c>
      <c r="X881" s="17" t="n"/>
      <c r="Y881" s="17" t="n"/>
      <c r="Z881" s="17" t="n"/>
      <c r="AA881" s="17" t="n"/>
      <c r="AB881" s="17" t="n"/>
      <c r="AC881" s="24">
        <f>IF($G881="","",IF($H881="※编码不在物料档案里","※物料编码不在档案里",IF(N($K881)&lt;=0,"※入库数量要大于 0",IF(AND($C881&lt;&gt;"",$C881&lt;=结账锁),"※日期早于已结账截止日，不能再录",IF(AND($L881=0,$X881="正常"),"※没填单价，价格状态请选「待补价」",IF(AND($S881&gt;0,$R881&gt;0),"△本批有 "&amp;$S881&amp;" 行没单价，整批运费先挂账没摊",IF(AND($B881&lt;&gt;"",COUNTIF($B$4:$B$2503,$B881)&gt;1),"※入库单号重复","")))))))</f>
        <v/>
      </c>
    </row>
    <row r="882">
      <c r="A882" s="24">
        <f>IF($G882="","",COUNTA($G$4:$G882))</f>
        <v/>
      </c>
      <c r="B882" s="17" t="n"/>
      <c r="C882" s="30" t="n"/>
      <c r="D882" s="17" t="n"/>
      <c r="E882" s="17" t="n"/>
      <c r="F882" s="17" t="n"/>
      <c r="G882" s="17" t="n"/>
      <c r="H882" s="24">
        <f>IF($G882="","",IFERROR(VLOOKUP($G882,物料档案!$A$4:$P$1203,3,0),"※编码不在物料档案里"))</f>
        <v/>
      </c>
      <c r="I882" s="24">
        <f>IF($G882="","",IFERROR(VLOOKUP($G882,物料档案!$A$4:$P$1203,4,0),"※编码不在物料档案里"))</f>
        <v/>
      </c>
      <c r="J882" s="24">
        <f>IF($G882="","",IFERROR(VLOOKUP($G882,物料档案!$A$4:$P$1203,5,0),"※编码不在物料档案里"))</f>
        <v/>
      </c>
      <c r="K882" s="23" t="n"/>
      <c r="L882" s="31" t="n"/>
      <c r="M882" s="24">
        <f>IF($G882="","",IF($D882="A国内","CNY","TZS"))</f>
        <v/>
      </c>
      <c r="N882" s="28">
        <f>IF($G882="","",IF($D882="A国内",汇率,1))</f>
        <v/>
      </c>
      <c r="O882" s="25">
        <f>IF($G882="","",ROUND(N($K882)*N($L882),2))</f>
        <v/>
      </c>
      <c r="P882" s="26">
        <f>IF($G882="","",ROUND($O882*$N882,0))</f>
        <v/>
      </c>
      <c r="Q882" s="26">
        <f>IF($G882="","",SUMIFS($P$4:$P$2503,$E$4:$E$2503,$E882,$Z$4:$Z$2503,"正常"))</f>
        <v/>
      </c>
      <c r="R882" s="26">
        <f>IF($G882="","",SUMIFS(费用台账!$I$4:$I$503,费用台账!$C$4:$C$503,$E882,费用台账!$J$4:$J$503,"是",费用台账!$K$4:$K$503,"正常"))</f>
        <v/>
      </c>
      <c r="S882" s="28">
        <f>IF($G882="","",COUNTIFS($E$4:$E$2503,$E882,$Z$4:$Z$2503,"正常",$Y$4:$Y$2503,"待补价"))</f>
        <v/>
      </c>
      <c r="T882" s="26">
        <f>IF($G882="","",SUMIFS($P$4:$P$2503,$E$4:$E$2503,$E882,$Z$4:$Z$2503,"正常",$A$4:$A$2503,"&lt;="&amp;$A882))</f>
        <v/>
      </c>
      <c r="U882" s="26">
        <f>IF($G882="","",IF(OR($S882&gt;0,$Q882=0,$R882=0,$Z882&lt;&gt;"正常"),0,ROUND($T882/$Q882*$R882,0)-ROUND(($T882-$P882)/$Q882*$R882,0)))</f>
        <v/>
      </c>
      <c r="V882" s="26">
        <f>IF($G882="","",ROUND($P882+$U882,0))</f>
        <v/>
      </c>
      <c r="W882" s="26">
        <f>IF($G882="","",IF(N($K882)=0,0,ROUND($V882/$K882,2)))</f>
        <v/>
      </c>
      <c r="X882" s="17" t="n"/>
      <c r="Y882" s="17" t="n"/>
      <c r="Z882" s="17" t="n"/>
      <c r="AA882" s="17" t="n"/>
      <c r="AB882" s="17" t="n"/>
      <c r="AC882" s="24">
        <f>IF($G882="","",IF($H882="※编码不在物料档案里","※物料编码不在档案里",IF(N($K882)&lt;=0,"※入库数量要大于 0",IF(AND($C882&lt;&gt;"",$C882&lt;=结账锁),"※日期早于已结账截止日，不能再录",IF(AND($L882=0,$X882="正常"),"※没填单价，价格状态请选「待补价」",IF(AND($S882&gt;0,$R882&gt;0),"△本批有 "&amp;$S882&amp;" 行没单价，整批运费先挂账没摊",IF(AND($B882&lt;&gt;"",COUNTIF($B$4:$B$2503,$B882)&gt;1),"※入库单号重复","")))))))</f>
        <v/>
      </c>
    </row>
    <row r="883">
      <c r="A883" s="24">
        <f>IF($G883="","",COUNTA($G$4:$G883))</f>
        <v/>
      </c>
      <c r="B883" s="17" t="n"/>
      <c r="C883" s="30" t="n"/>
      <c r="D883" s="17" t="n"/>
      <c r="E883" s="17" t="n"/>
      <c r="F883" s="17" t="n"/>
      <c r="G883" s="17" t="n"/>
      <c r="H883" s="24">
        <f>IF($G883="","",IFERROR(VLOOKUP($G883,物料档案!$A$4:$P$1203,3,0),"※编码不在物料档案里"))</f>
        <v/>
      </c>
      <c r="I883" s="24">
        <f>IF($G883="","",IFERROR(VLOOKUP($G883,物料档案!$A$4:$P$1203,4,0),"※编码不在物料档案里"))</f>
        <v/>
      </c>
      <c r="J883" s="24">
        <f>IF($G883="","",IFERROR(VLOOKUP($G883,物料档案!$A$4:$P$1203,5,0),"※编码不在物料档案里"))</f>
        <v/>
      </c>
      <c r="K883" s="23" t="n"/>
      <c r="L883" s="31" t="n"/>
      <c r="M883" s="24">
        <f>IF($G883="","",IF($D883="A国内","CNY","TZS"))</f>
        <v/>
      </c>
      <c r="N883" s="28">
        <f>IF($G883="","",IF($D883="A国内",汇率,1))</f>
        <v/>
      </c>
      <c r="O883" s="25">
        <f>IF($G883="","",ROUND(N($K883)*N($L883),2))</f>
        <v/>
      </c>
      <c r="P883" s="26">
        <f>IF($G883="","",ROUND($O883*$N883,0))</f>
        <v/>
      </c>
      <c r="Q883" s="26">
        <f>IF($G883="","",SUMIFS($P$4:$P$2503,$E$4:$E$2503,$E883,$Z$4:$Z$2503,"正常"))</f>
        <v/>
      </c>
      <c r="R883" s="26">
        <f>IF($G883="","",SUMIFS(费用台账!$I$4:$I$503,费用台账!$C$4:$C$503,$E883,费用台账!$J$4:$J$503,"是",费用台账!$K$4:$K$503,"正常"))</f>
        <v/>
      </c>
      <c r="S883" s="28">
        <f>IF($G883="","",COUNTIFS($E$4:$E$2503,$E883,$Z$4:$Z$2503,"正常",$Y$4:$Y$2503,"待补价"))</f>
        <v/>
      </c>
      <c r="T883" s="26">
        <f>IF($G883="","",SUMIFS($P$4:$P$2503,$E$4:$E$2503,$E883,$Z$4:$Z$2503,"正常",$A$4:$A$2503,"&lt;="&amp;$A883))</f>
        <v/>
      </c>
      <c r="U883" s="26">
        <f>IF($G883="","",IF(OR($S883&gt;0,$Q883=0,$R883=0,$Z883&lt;&gt;"正常"),0,ROUND($T883/$Q883*$R883,0)-ROUND(($T883-$P883)/$Q883*$R883,0)))</f>
        <v/>
      </c>
      <c r="V883" s="26">
        <f>IF($G883="","",ROUND($P883+$U883,0))</f>
        <v/>
      </c>
      <c r="W883" s="26">
        <f>IF($G883="","",IF(N($K883)=0,0,ROUND($V883/$K883,2)))</f>
        <v/>
      </c>
      <c r="X883" s="17" t="n"/>
      <c r="Y883" s="17" t="n"/>
      <c r="Z883" s="17" t="n"/>
      <c r="AA883" s="17" t="n"/>
      <c r="AB883" s="17" t="n"/>
      <c r="AC883" s="24">
        <f>IF($G883="","",IF($H883="※编码不在物料档案里","※物料编码不在档案里",IF(N($K883)&lt;=0,"※入库数量要大于 0",IF(AND($C883&lt;&gt;"",$C883&lt;=结账锁),"※日期早于已结账截止日，不能再录",IF(AND($L883=0,$X883="正常"),"※没填单价，价格状态请选「待补价」",IF(AND($S883&gt;0,$R883&gt;0),"△本批有 "&amp;$S883&amp;" 行没单价，整批运费先挂账没摊",IF(AND($B883&lt;&gt;"",COUNTIF($B$4:$B$2503,$B883)&gt;1),"※入库单号重复","")))))))</f>
        <v/>
      </c>
    </row>
    <row r="884">
      <c r="A884" s="24">
        <f>IF($G884="","",COUNTA($G$4:$G884))</f>
        <v/>
      </c>
      <c r="B884" s="17" t="n"/>
      <c r="C884" s="30" t="n"/>
      <c r="D884" s="17" t="n"/>
      <c r="E884" s="17" t="n"/>
      <c r="F884" s="17" t="n"/>
      <c r="G884" s="17" t="n"/>
      <c r="H884" s="24">
        <f>IF($G884="","",IFERROR(VLOOKUP($G884,物料档案!$A$4:$P$1203,3,0),"※编码不在物料档案里"))</f>
        <v/>
      </c>
      <c r="I884" s="24">
        <f>IF($G884="","",IFERROR(VLOOKUP($G884,物料档案!$A$4:$P$1203,4,0),"※编码不在物料档案里"))</f>
        <v/>
      </c>
      <c r="J884" s="24">
        <f>IF($G884="","",IFERROR(VLOOKUP($G884,物料档案!$A$4:$P$1203,5,0),"※编码不在物料档案里"))</f>
        <v/>
      </c>
      <c r="K884" s="23" t="n"/>
      <c r="L884" s="31" t="n"/>
      <c r="M884" s="24">
        <f>IF($G884="","",IF($D884="A国内","CNY","TZS"))</f>
        <v/>
      </c>
      <c r="N884" s="28">
        <f>IF($G884="","",IF($D884="A国内",汇率,1))</f>
        <v/>
      </c>
      <c r="O884" s="25">
        <f>IF($G884="","",ROUND(N($K884)*N($L884),2))</f>
        <v/>
      </c>
      <c r="P884" s="26">
        <f>IF($G884="","",ROUND($O884*$N884,0))</f>
        <v/>
      </c>
      <c r="Q884" s="26">
        <f>IF($G884="","",SUMIFS($P$4:$P$2503,$E$4:$E$2503,$E884,$Z$4:$Z$2503,"正常"))</f>
        <v/>
      </c>
      <c r="R884" s="26">
        <f>IF($G884="","",SUMIFS(费用台账!$I$4:$I$503,费用台账!$C$4:$C$503,$E884,费用台账!$J$4:$J$503,"是",费用台账!$K$4:$K$503,"正常"))</f>
        <v/>
      </c>
      <c r="S884" s="28">
        <f>IF($G884="","",COUNTIFS($E$4:$E$2503,$E884,$Z$4:$Z$2503,"正常",$Y$4:$Y$2503,"待补价"))</f>
        <v/>
      </c>
      <c r="T884" s="26">
        <f>IF($G884="","",SUMIFS($P$4:$P$2503,$E$4:$E$2503,$E884,$Z$4:$Z$2503,"正常",$A$4:$A$2503,"&lt;="&amp;$A884))</f>
        <v/>
      </c>
      <c r="U884" s="26">
        <f>IF($G884="","",IF(OR($S884&gt;0,$Q884=0,$R884=0,$Z884&lt;&gt;"正常"),0,ROUND($T884/$Q884*$R884,0)-ROUND(($T884-$P884)/$Q884*$R884,0)))</f>
        <v/>
      </c>
      <c r="V884" s="26">
        <f>IF($G884="","",ROUND($P884+$U884,0))</f>
        <v/>
      </c>
      <c r="W884" s="26">
        <f>IF($G884="","",IF(N($K884)=0,0,ROUND($V884/$K884,2)))</f>
        <v/>
      </c>
      <c r="X884" s="17" t="n"/>
      <c r="Y884" s="17" t="n"/>
      <c r="Z884" s="17" t="n"/>
      <c r="AA884" s="17" t="n"/>
      <c r="AB884" s="17" t="n"/>
      <c r="AC884" s="24">
        <f>IF($G884="","",IF($H884="※编码不在物料档案里","※物料编码不在档案里",IF(N($K884)&lt;=0,"※入库数量要大于 0",IF(AND($C884&lt;&gt;"",$C884&lt;=结账锁),"※日期早于已结账截止日，不能再录",IF(AND($L884=0,$X884="正常"),"※没填单价，价格状态请选「待补价」",IF(AND($S884&gt;0,$R884&gt;0),"△本批有 "&amp;$S884&amp;" 行没单价，整批运费先挂账没摊",IF(AND($B884&lt;&gt;"",COUNTIF($B$4:$B$2503,$B884)&gt;1),"※入库单号重复","")))))))</f>
        <v/>
      </c>
    </row>
    <row r="885">
      <c r="A885" s="24">
        <f>IF($G885="","",COUNTA($G$4:$G885))</f>
        <v/>
      </c>
      <c r="B885" s="17" t="n"/>
      <c r="C885" s="30" t="n"/>
      <c r="D885" s="17" t="n"/>
      <c r="E885" s="17" t="n"/>
      <c r="F885" s="17" t="n"/>
      <c r="G885" s="17" t="n"/>
      <c r="H885" s="24">
        <f>IF($G885="","",IFERROR(VLOOKUP($G885,物料档案!$A$4:$P$1203,3,0),"※编码不在物料档案里"))</f>
        <v/>
      </c>
      <c r="I885" s="24">
        <f>IF($G885="","",IFERROR(VLOOKUP($G885,物料档案!$A$4:$P$1203,4,0),"※编码不在物料档案里"))</f>
        <v/>
      </c>
      <c r="J885" s="24">
        <f>IF($G885="","",IFERROR(VLOOKUP($G885,物料档案!$A$4:$P$1203,5,0),"※编码不在物料档案里"))</f>
        <v/>
      </c>
      <c r="K885" s="23" t="n"/>
      <c r="L885" s="31" t="n"/>
      <c r="M885" s="24">
        <f>IF($G885="","",IF($D885="A国内","CNY","TZS"))</f>
        <v/>
      </c>
      <c r="N885" s="28">
        <f>IF($G885="","",IF($D885="A国内",汇率,1))</f>
        <v/>
      </c>
      <c r="O885" s="25">
        <f>IF($G885="","",ROUND(N($K885)*N($L885),2))</f>
        <v/>
      </c>
      <c r="P885" s="26">
        <f>IF($G885="","",ROUND($O885*$N885,0))</f>
        <v/>
      </c>
      <c r="Q885" s="26">
        <f>IF($G885="","",SUMIFS($P$4:$P$2503,$E$4:$E$2503,$E885,$Z$4:$Z$2503,"正常"))</f>
        <v/>
      </c>
      <c r="R885" s="26">
        <f>IF($G885="","",SUMIFS(费用台账!$I$4:$I$503,费用台账!$C$4:$C$503,$E885,费用台账!$J$4:$J$503,"是",费用台账!$K$4:$K$503,"正常"))</f>
        <v/>
      </c>
      <c r="S885" s="28">
        <f>IF($G885="","",COUNTIFS($E$4:$E$2503,$E885,$Z$4:$Z$2503,"正常",$Y$4:$Y$2503,"待补价"))</f>
        <v/>
      </c>
      <c r="T885" s="26">
        <f>IF($G885="","",SUMIFS($P$4:$P$2503,$E$4:$E$2503,$E885,$Z$4:$Z$2503,"正常",$A$4:$A$2503,"&lt;="&amp;$A885))</f>
        <v/>
      </c>
      <c r="U885" s="26">
        <f>IF($G885="","",IF(OR($S885&gt;0,$Q885=0,$R885=0,$Z885&lt;&gt;"正常"),0,ROUND($T885/$Q885*$R885,0)-ROUND(($T885-$P885)/$Q885*$R885,0)))</f>
        <v/>
      </c>
      <c r="V885" s="26">
        <f>IF($G885="","",ROUND($P885+$U885,0))</f>
        <v/>
      </c>
      <c r="W885" s="26">
        <f>IF($G885="","",IF(N($K885)=0,0,ROUND($V885/$K885,2)))</f>
        <v/>
      </c>
      <c r="X885" s="17" t="n"/>
      <c r="Y885" s="17" t="n"/>
      <c r="Z885" s="17" t="n"/>
      <c r="AA885" s="17" t="n"/>
      <c r="AB885" s="17" t="n"/>
      <c r="AC885" s="24">
        <f>IF($G885="","",IF($H885="※编码不在物料档案里","※物料编码不在档案里",IF(N($K885)&lt;=0,"※入库数量要大于 0",IF(AND($C885&lt;&gt;"",$C885&lt;=结账锁),"※日期早于已结账截止日，不能再录",IF(AND($L885=0,$X885="正常"),"※没填单价，价格状态请选「待补价」",IF(AND($S885&gt;0,$R885&gt;0),"△本批有 "&amp;$S885&amp;" 行没单价，整批运费先挂账没摊",IF(AND($B885&lt;&gt;"",COUNTIF($B$4:$B$2503,$B885)&gt;1),"※入库单号重复","")))))))</f>
        <v/>
      </c>
    </row>
    <row r="886">
      <c r="A886" s="24">
        <f>IF($G886="","",COUNTA($G$4:$G886))</f>
        <v/>
      </c>
      <c r="B886" s="17" t="n"/>
      <c r="C886" s="30" t="n"/>
      <c r="D886" s="17" t="n"/>
      <c r="E886" s="17" t="n"/>
      <c r="F886" s="17" t="n"/>
      <c r="G886" s="17" t="n"/>
      <c r="H886" s="24">
        <f>IF($G886="","",IFERROR(VLOOKUP($G886,物料档案!$A$4:$P$1203,3,0),"※编码不在物料档案里"))</f>
        <v/>
      </c>
      <c r="I886" s="24">
        <f>IF($G886="","",IFERROR(VLOOKUP($G886,物料档案!$A$4:$P$1203,4,0),"※编码不在物料档案里"))</f>
        <v/>
      </c>
      <c r="J886" s="24">
        <f>IF($G886="","",IFERROR(VLOOKUP($G886,物料档案!$A$4:$P$1203,5,0),"※编码不在物料档案里"))</f>
        <v/>
      </c>
      <c r="K886" s="23" t="n"/>
      <c r="L886" s="31" t="n"/>
      <c r="M886" s="24">
        <f>IF($G886="","",IF($D886="A国内","CNY","TZS"))</f>
        <v/>
      </c>
      <c r="N886" s="28">
        <f>IF($G886="","",IF($D886="A国内",汇率,1))</f>
        <v/>
      </c>
      <c r="O886" s="25">
        <f>IF($G886="","",ROUND(N($K886)*N($L886),2))</f>
        <v/>
      </c>
      <c r="P886" s="26">
        <f>IF($G886="","",ROUND($O886*$N886,0))</f>
        <v/>
      </c>
      <c r="Q886" s="26">
        <f>IF($G886="","",SUMIFS($P$4:$P$2503,$E$4:$E$2503,$E886,$Z$4:$Z$2503,"正常"))</f>
        <v/>
      </c>
      <c r="R886" s="26">
        <f>IF($G886="","",SUMIFS(费用台账!$I$4:$I$503,费用台账!$C$4:$C$503,$E886,费用台账!$J$4:$J$503,"是",费用台账!$K$4:$K$503,"正常"))</f>
        <v/>
      </c>
      <c r="S886" s="28">
        <f>IF($G886="","",COUNTIFS($E$4:$E$2503,$E886,$Z$4:$Z$2503,"正常",$Y$4:$Y$2503,"待补价"))</f>
        <v/>
      </c>
      <c r="T886" s="26">
        <f>IF($G886="","",SUMIFS($P$4:$P$2503,$E$4:$E$2503,$E886,$Z$4:$Z$2503,"正常",$A$4:$A$2503,"&lt;="&amp;$A886))</f>
        <v/>
      </c>
      <c r="U886" s="26">
        <f>IF($G886="","",IF(OR($S886&gt;0,$Q886=0,$R886=0,$Z886&lt;&gt;"正常"),0,ROUND($T886/$Q886*$R886,0)-ROUND(($T886-$P886)/$Q886*$R886,0)))</f>
        <v/>
      </c>
      <c r="V886" s="26">
        <f>IF($G886="","",ROUND($P886+$U886,0))</f>
        <v/>
      </c>
      <c r="W886" s="26">
        <f>IF($G886="","",IF(N($K886)=0,0,ROUND($V886/$K886,2)))</f>
        <v/>
      </c>
      <c r="X886" s="17" t="n"/>
      <c r="Y886" s="17" t="n"/>
      <c r="Z886" s="17" t="n"/>
      <c r="AA886" s="17" t="n"/>
      <c r="AB886" s="17" t="n"/>
      <c r="AC886" s="24">
        <f>IF($G886="","",IF($H886="※编码不在物料档案里","※物料编码不在档案里",IF(N($K886)&lt;=0,"※入库数量要大于 0",IF(AND($C886&lt;&gt;"",$C886&lt;=结账锁),"※日期早于已结账截止日，不能再录",IF(AND($L886=0,$X886="正常"),"※没填单价，价格状态请选「待补价」",IF(AND($S886&gt;0,$R886&gt;0),"△本批有 "&amp;$S886&amp;" 行没单价，整批运费先挂账没摊",IF(AND($B886&lt;&gt;"",COUNTIF($B$4:$B$2503,$B886)&gt;1),"※入库单号重复","")))))))</f>
        <v/>
      </c>
    </row>
    <row r="887">
      <c r="A887" s="24">
        <f>IF($G887="","",COUNTA($G$4:$G887))</f>
        <v/>
      </c>
      <c r="B887" s="17" t="n"/>
      <c r="C887" s="30" t="n"/>
      <c r="D887" s="17" t="n"/>
      <c r="E887" s="17" t="n"/>
      <c r="F887" s="17" t="n"/>
      <c r="G887" s="17" t="n"/>
      <c r="H887" s="24">
        <f>IF($G887="","",IFERROR(VLOOKUP($G887,物料档案!$A$4:$P$1203,3,0),"※编码不在物料档案里"))</f>
        <v/>
      </c>
      <c r="I887" s="24">
        <f>IF($G887="","",IFERROR(VLOOKUP($G887,物料档案!$A$4:$P$1203,4,0),"※编码不在物料档案里"))</f>
        <v/>
      </c>
      <c r="J887" s="24">
        <f>IF($G887="","",IFERROR(VLOOKUP($G887,物料档案!$A$4:$P$1203,5,0),"※编码不在物料档案里"))</f>
        <v/>
      </c>
      <c r="K887" s="23" t="n"/>
      <c r="L887" s="31" t="n"/>
      <c r="M887" s="24">
        <f>IF($G887="","",IF($D887="A国内","CNY","TZS"))</f>
        <v/>
      </c>
      <c r="N887" s="28">
        <f>IF($G887="","",IF($D887="A国内",汇率,1))</f>
        <v/>
      </c>
      <c r="O887" s="25">
        <f>IF($G887="","",ROUND(N($K887)*N($L887),2))</f>
        <v/>
      </c>
      <c r="P887" s="26">
        <f>IF($G887="","",ROUND($O887*$N887,0))</f>
        <v/>
      </c>
      <c r="Q887" s="26">
        <f>IF($G887="","",SUMIFS($P$4:$P$2503,$E$4:$E$2503,$E887,$Z$4:$Z$2503,"正常"))</f>
        <v/>
      </c>
      <c r="R887" s="26">
        <f>IF($G887="","",SUMIFS(费用台账!$I$4:$I$503,费用台账!$C$4:$C$503,$E887,费用台账!$J$4:$J$503,"是",费用台账!$K$4:$K$503,"正常"))</f>
        <v/>
      </c>
      <c r="S887" s="28">
        <f>IF($G887="","",COUNTIFS($E$4:$E$2503,$E887,$Z$4:$Z$2503,"正常",$Y$4:$Y$2503,"待补价"))</f>
        <v/>
      </c>
      <c r="T887" s="26">
        <f>IF($G887="","",SUMIFS($P$4:$P$2503,$E$4:$E$2503,$E887,$Z$4:$Z$2503,"正常",$A$4:$A$2503,"&lt;="&amp;$A887))</f>
        <v/>
      </c>
      <c r="U887" s="26">
        <f>IF($G887="","",IF(OR($S887&gt;0,$Q887=0,$R887=0,$Z887&lt;&gt;"正常"),0,ROUND($T887/$Q887*$R887,0)-ROUND(($T887-$P887)/$Q887*$R887,0)))</f>
        <v/>
      </c>
      <c r="V887" s="26">
        <f>IF($G887="","",ROUND($P887+$U887,0))</f>
        <v/>
      </c>
      <c r="W887" s="26">
        <f>IF($G887="","",IF(N($K887)=0,0,ROUND($V887/$K887,2)))</f>
        <v/>
      </c>
      <c r="X887" s="17" t="n"/>
      <c r="Y887" s="17" t="n"/>
      <c r="Z887" s="17" t="n"/>
      <c r="AA887" s="17" t="n"/>
      <c r="AB887" s="17" t="n"/>
      <c r="AC887" s="24">
        <f>IF($G887="","",IF($H887="※编码不在物料档案里","※物料编码不在档案里",IF(N($K887)&lt;=0,"※入库数量要大于 0",IF(AND($C887&lt;&gt;"",$C887&lt;=结账锁),"※日期早于已结账截止日，不能再录",IF(AND($L887=0,$X887="正常"),"※没填单价，价格状态请选「待补价」",IF(AND($S887&gt;0,$R887&gt;0),"△本批有 "&amp;$S887&amp;" 行没单价，整批运费先挂账没摊",IF(AND($B887&lt;&gt;"",COUNTIF($B$4:$B$2503,$B887)&gt;1),"※入库单号重复","")))))))</f>
        <v/>
      </c>
    </row>
    <row r="888">
      <c r="A888" s="24">
        <f>IF($G888="","",COUNTA($G$4:$G888))</f>
        <v/>
      </c>
      <c r="B888" s="17" t="n"/>
      <c r="C888" s="30" t="n"/>
      <c r="D888" s="17" t="n"/>
      <c r="E888" s="17" t="n"/>
      <c r="F888" s="17" t="n"/>
      <c r="G888" s="17" t="n"/>
      <c r="H888" s="24">
        <f>IF($G888="","",IFERROR(VLOOKUP($G888,物料档案!$A$4:$P$1203,3,0),"※编码不在物料档案里"))</f>
        <v/>
      </c>
      <c r="I888" s="24">
        <f>IF($G888="","",IFERROR(VLOOKUP($G888,物料档案!$A$4:$P$1203,4,0),"※编码不在物料档案里"))</f>
        <v/>
      </c>
      <c r="J888" s="24">
        <f>IF($G888="","",IFERROR(VLOOKUP($G888,物料档案!$A$4:$P$1203,5,0),"※编码不在物料档案里"))</f>
        <v/>
      </c>
      <c r="K888" s="23" t="n"/>
      <c r="L888" s="31" t="n"/>
      <c r="M888" s="24">
        <f>IF($G888="","",IF($D888="A国内","CNY","TZS"))</f>
        <v/>
      </c>
      <c r="N888" s="28">
        <f>IF($G888="","",IF($D888="A国内",汇率,1))</f>
        <v/>
      </c>
      <c r="O888" s="25">
        <f>IF($G888="","",ROUND(N($K888)*N($L888),2))</f>
        <v/>
      </c>
      <c r="P888" s="26">
        <f>IF($G888="","",ROUND($O888*$N888,0))</f>
        <v/>
      </c>
      <c r="Q888" s="26">
        <f>IF($G888="","",SUMIFS($P$4:$P$2503,$E$4:$E$2503,$E888,$Z$4:$Z$2503,"正常"))</f>
        <v/>
      </c>
      <c r="R888" s="26">
        <f>IF($G888="","",SUMIFS(费用台账!$I$4:$I$503,费用台账!$C$4:$C$503,$E888,费用台账!$J$4:$J$503,"是",费用台账!$K$4:$K$503,"正常"))</f>
        <v/>
      </c>
      <c r="S888" s="28">
        <f>IF($G888="","",COUNTIFS($E$4:$E$2503,$E888,$Z$4:$Z$2503,"正常",$Y$4:$Y$2503,"待补价"))</f>
        <v/>
      </c>
      <c r="T888" s="26">
        <f>IF($G888="","",SUMIFS($P$4:$P$2503,$E$4:$E$2503,$E888,$Z$4:$Z$2503,"正常",$A$4:$A$2503,"&lt;="&amp;$A888))</f>
        <v/>
      </c>
      <c r="U888" s="26">
        <f>IF($G888="","",IF(OR($S888&gt;0,$Q888=0,$R888=0,$Z888&lt;&gt;"正常"),0,ROUND($T888/$Q888*$R888,0)-ROUND(($T888-$P888)/$Q888*$R888,0)))</f>
        <v/>
      </c>
      <c r="V888" s="26">
        <f>IF($G888="","",ROUND($P888+$U888,0))</f>
        <v/>
      </c>
      <c r="W888" s="26">
        <f>IF($G888="","",IF(N($K888)=0,0,ROUND($V888/$K888,2)))</f>
        <v/>
      </c>
      <c r="X888" s="17" t="n"/>
      <c r="Y888" s="17" t="n"/>
      <c r="Z888" s="17" t="n"/>
      <c r="AA888" s="17" t="n"/>
      <c r="AB888" s="17" t="n"/>
      <c r="AC888" s="24">
        <f>IF($G888="","",IF($H888="※编码不在物料档案里","※物料编码不在档案里",IF(N($K888)&lt;=0,"※入库数量要大于 0",IF(AND($C888&lt;&gt;"",$C888&lt;=结账锁),"※日期早于已结账截止日，不能再录",IF(AND($L888=0,$X888="正常"),"※没填单价，价格状态请选「待补价」",IF(AND($S888&gt;0,$R888&gt;0),"△本批有 "&amp;$S888&amp;" 行没单价，整批运费先挂账没摊",IF(AND($B888&lt;&gt;"",COUNTIF($B$4:$B$2503,$B888)&gt;1),"※入库单号重复","")))))))</f>
        <v/>
      </c>
    </row>
    <row r="889">
      <c r="A889" s="24">
        <f>IF($G889="","",COUNTA($G$4:$G889))</f>
        <v/>
      </c>
      <c r="B889" s="17" t="n"/>
      <c r="C889" s="30" t="n"/>
      <c r="D889" s="17" t="n"/>
      <c r="E889" s="17" t="n"/>
      <c r="F889" s="17" t="n"/>
      <c r="G889" s="17" t="n"/>
      <c r="H889" s="24">
        <f>IF($G889="","",IFERROR(VLOOKUP($G889,物料档案!$A$4:$P$1203,3,0),"※编码不在物料档案里"))</f>
        <v/>
      </c>
      <c r="I889" s="24">
        <f>IF($G889="","",IFERROR(VLOOKUP($G889,物料档案!$A$4:$P$1203,4,0),"※编码不在物料档案里"))</f>
        <v/>
      </c>
      <c r="J889" s="24">
        <f>IF($G889="","",IFERROR(VLOOKUP($G889,物料档案!$A$4:$P$1203,5,0),"※编码不在物料档案里"))</f>
        <v/>
      </c>
      <c r="K889" s="23" t="n"/>
      <c r="L889" s="31" t="n"/>
      <c r="M889" s="24">
        <f>IF($G889="","",IF($D889="A国内","CNY","TZS"))</f>
        <v/>
      </c>
      <c r="N889" s="28">
        <f>IF($G889="","",IF($D889="A国内",汇率,1))</f>
        <v/>
      </c>
      <c r="O889" s="25">
        <f>IF($G889="","",ROUND(N($K889)*N($L889),2))</f>
        <v/>
      </c>
      <c r="P889" s="26">
        <f>IF($G889="","",ROUND($O889*$N889,0))</f>
        <v/>
      </c>
      <c r="Q889" s="26">
        <f>IF($G889="","",SUMIFS($P$4:$P$2503,$E$4:$E$2503,$E889,$Z$4:$Z$2503,"正常"))</f>
        <v/>
      </c>
      <c r="R889" s="26">
        <f>IF($G889="","",SUMIFS(费用台账!$I$4:$I$503,费用台账!$C$4:$C$503,$E889,费用台账!$J$4:$J$503,"是",费用台账!$K$4:$K$503,"正常"))</f>
        <v/>
      </c>
      <c r="S889" s="28">
        <f>IF($G889="","",COUNTIFS($E$4:$E$2503,$E889,$Z$4:$Z$2503,"正常",$Y$4:$Y$2503,"待补价"))</f>
        <v/>
      </c>
      <c r="T889" s="26">
        <f>IF($G889="","",SUMIFS($P$4:$P$2503,$E$4:$E$2503,$E889,$Z$4:$Z$2503,"正常",$A$4:$A$2503,"&lt;="&amp;$A889))</f>
        <v/>
      </c>
      <c r="U889" s="26">
        <f>IF($G889="","",IF(OR($S889&gt;0,$Q889=0,$R889=0,$Z889&lt;&gt;"正常"),0,ROUND($T889/$Q889*$R889,0)-ROUND(($T889-$P889)/$Q889*$R889,0)))</f>
        <v/>
      </c>
      <c r="V889" s="26">
        <f>IF($G889="","",ROUND($P889+$U889,0))</f>
        <v/>
      </c>
      <c r="W889" s="26">
        <f>IF($G889="","",IF(N($K889)=0,0,ROUND($V889/$K889,2)))</f>
        <v/>
      </c>
      <c r="X889" s="17" t="n"/>
      <c r="Y889" s="17" t="n"/>
      <c r="Z889" s="17" t="n"/>
      <c r="AA889" s="17" t="n"/>
      <c r="AB889" s="17" t="n"/>
      <c r="AC889" s="24">
        <f>IF($G889="","",IF($H889="※编码不在物料档案里","※物料编码不在档案里",IF(N($K889)&lt;=0,"※入库数量要大于 0",IF(AND($C889&lt;&gt;"",$C889&lt;=结账锁),"※日期早于已结账截止日，不能再录",IF(AND($L889=0,$X889="正常"),"※没填单价，价格状态请选「待补价」",IF(AND($S889&gt;0,$R889&gt;0),"△本批有 "&amp;$S889&amp;" 行没单价，整批运费先挂账没摊",IF(AND($B889&lt;&gt;"",COUNTIF($B$4:$B$2503,$B889)&gt;1),"※入库单号重复","")))))))</f>
        <v/>
      </c>
    </row>
    <row r="890">
      <c r="A890" s="24">
        <f>IF($G890="","",COUNTA($G$4:$G890))</f>
        <v/>
      </c>
      <c r="B890" s="17" t="n"/>
      <c r="C890" s="30" t="n"/>
      <c r="D890" s="17" t="n"/>
      <c r="E890" s="17" t="n"/>
      <c r="F890" s="17" t="n"/>
      <c r="G890" s="17" t="n"/>
      <c r="H890" s="24">
        <f>IF($G890="","",IFERROR(VLOOKUP($G890,物料档案!$A$4:$P$1203,3,0),"※编码不在物料档案里"))</f>
        <v/>
      </c>
      <c r="I890" s="24">
        <f>IF($G890="","",IFERROR(VLOOKUP($G890,物料档案!$A$4:$P$1203,4,0),"※编码不在物料档案里"))</f>
        <v/>
      </c>
      <c r="J890" s="24">
        <f>IF($G890="","",IFERROR(VLOOKUP($G890,物料档案!$A$4:$P$1203,5,0),"※编码不在物料档案里"))</f>
        <v/>
      </c>
      <c r="K890" s="23" t="n"/>
      <c r="L890" s="31" t="n"/>
      <c r="M890" s="24">
        <f>IF($G890="","",IF($D890="A国内","CNY","TZS"))</f>
        <v/>
      </c>
      <c r="N890" s="28">
        <f>IF($G890="","",IF($D890="A国内",汇率,1))</f>
        <v/>
      </c>
      <c r="O890" s="25">
        <f>IF($G890="","",ROUND(N($K890)*N($L890),2))</f>
        <v/>
      </c>
      <c r="P890" s="26">
        <f>IF($G890="","",ROUND($O890*$N890,0))</f>
        <v/>
      </c>
      <c r="Q890" s="26">
        <f>IF($G890="","",SUMIFS($P$4:$P$2503,$E$4:$E$2503,$E890,$Z$4:$Z$2503,"正常"))</f>
        <v/>
      </c>
      <c r="R890" s="26">
        <f>IF($G890="","",SUMIFS(费用台账!$I$4:$I$503,费用台账!$C$4:$C$503,$E890,费用台账!$J$4:$J$503,"是",费用台账!$K$4:$K$503,"正常"))</f>
        <v/>
      </c>
      <c r="S890" s="28">
        <f>IF($G890="","",COUNTIFS($E$4:$E$2503,$E890,$Z$4:$Z$2503,"正常",$Y$4:$Y$2503,"待补价"))</f>
        <v/>
      </c>
      <c r="T890" s="26">
        <f>IF($G890="","",SUMIFS($P$4:$P$2503,$E$4:$E$2503,$E890,$Z$4:$Z$2503,"正常",$A$4:$A$2503,"&lt;="&amp;$A890))</f>
        <v/>
      </c>
      <c r="U890" s="26">
        <f>IF($G890="","",IF(OR($S890&gt;0,$Q890=0,$R890=0,$Z890&lt;&gt;"正常"),0,ROUND($T890/$Q890*$R890,0)-ROUND(($T890-$P890)/$Q890*$R890,0)))</f>
        <v/>
      </c>
      <c r="V890" s="26">
        <f>IF($G890="","",ROUND($P890+$U890,0))</f>
        <v/>
      </c>
      <c r="W890" s="26">
        <f>IF($G890="","",IF(N($K890)=0,0,ROUND($V890/$K890,2)))</f>
        <v/>
      </c>
      <c r="X890" s="17" t="n"/>
      <c r="Y890" s="17" t="n"/>
      <c r="Z890" s="17" t="n"/>
      <c r="AA890" s="17" t="n"/>
      <c r="AB890" s="17" t="n"/>
      <c r="AC890" s="24">
        <f>IF($G890="","",IF($H890="※编码不在物料档案里","※物料编码不在档案里",IF(N($K890)&lt;=0,"※入库数量要大于 0",IF(AND($C890&lt;&gt;"",$C890&lt;=结账锁),"※日期早于已结账截止日，不能再录",IF(AND($L890=0,$X890="正常"),"※没填单价，价格状态请选「待补价」",IF(AND($S890&gt;0,$R890&gt;0),"△本批有 "&amp;$S890&amp;" 行没单价，整批运费先挂账没摊",IF(AND($B890&lt;&gt;"",COUNTIF($B$4:$B$2503,$B890)&gt;1),"※入库单号重复","")))))))</f>
        <v/>
      </c>
    </row>
    <row r="891">
      <c r="A891" s="24">
        <f>IF($G891="","",COUNTA($G$4:$G891))</f>
        <v/>
      </c>
      <c r="B891" s="17" t="n"/>
      <c r="C891" s="30" t="n"/>
      <c r="D891" s="17" t="n"/>
      <c r="E891" s="17" t="n"/>
      <c r="F891" s="17" t="n"/>
      <c r="G891" s="17" t="n"/>
      <c r="H891" s="24">
        <f>IF($G891="","",IFERROR(VLOOKUP($G891,物料档案!$A$4:$P$1203,3,0),"※编码不在物料档案里"))</f>
        <v/>
      </c>
      <c r="I891" s="24">
        <f>IF($G891="","",IFERROR(VLOOKUP($G891,物料档案!$A$4:$P$1203,4,0),"※编码不在物料档案里"))</f>
        <v/>
      </c>
      <c r="J891" s="24">
        <f>IF($G891="","",IFERROR(VLOOKUP($G891,物料档案!$A$4:$P$1203,5,0),"※编码不在物料档案里"))</f>
        <v/>
      </c>
      <c r="K891" s="23" t="n"/>
      <c r="L891" s="31" t="n"/>
      <c r="M891" s="24">
        <f>IF($G891="","",IF($D891="A国内","CNY","TZS"))</f>
        <v/>
      </c>
      <c r="N891" s="28">
        <f>IF($G891="","",IF($D891="A国内",汇率,1))</f>
        <v/>
      </c>
      <c r="O891" s="25">
        <f>IF($G891="","",ROUND(N($K891)*N($L891),2))</f>
        <v/>
      </c>
      <c r="P891" s="26">
        <f>IF($G891="","",ROUND($O891*$N891,0))</f>
        <v/>
      </c>
      <c r="Q891" s="26">
        <f>IF($G891="","",SUMIFS($P$4:$P$2503,$E$4:$E$2503,$E891,$Z$4:$Z$2503,"正常"))</f>
        <v/>
      </c>
      <c r="R891" s="26">
        <f>IF($G891="","",SUMIFS(费用台账!$I$4:$I$503,费用台账!$C$4:$C$503,$E891,费用台账!$J$4:$J$503,"是",费用台账!$K$4:$K$503,"正常"))</f>
        <v/>
      </c>
      <c r="S891" s="28">
        <f>IF($G891="","",COUNTIFS($E$4:$E$2503,$E891,$Z$4:$Z$2503,"正常",$Y$4:$Y$2503,"待补价"))</f>
        <v/>
      </c>
      <c r="T891" s="26">
        <f>IF($G891="","",SUMIFS($P$4:$P$2503,$E$4:$E$2503,$E891,$Z$4:$Z$2503,"正常",$A$4:$A$2503,"&lt;="&amp;$A891))</f>
        <v/>
      </c>
      <c r="U891" s="26">
        <f>IF($G891="","",IF(OR($S891&gt;0,$Q891=0,$R891=0,$Z891&lt;&gt;"正常"),0,ROUND($T891/$Q891*$R891,0)-ROUND(($T891-$P891)/$Q891*$R891,0)))</f>
        <v/>
      </c>
      <c r="V891" s="26">
        <f>IF($G891="","",ROUND($P891+$U891,0))</f>
        <v/>
      </c>
      <c r="W891" s="26">
        <f>IF($G891="","",IF(N($K891)=0,0,ROUND($V891/$K891,2)))</f>
        <v/>
      </c>
      <c r="X891" s="17" t="n"/>
      <c r="Y891" s="17" t="n"/>
      <c r="Z891" s="17" t="n"/>
      <c r="AA891" s="17" t="n"/>
      <c r="AB891" s="17" t="n"/>
      <c r="AC891" s="24">
        <f>IF($G891="","",IF($H891="※编码不在物料档案里","※物料编码不在档案里",IF(N($K891)&lt;=0,"※入库数量要大于 0",IF(AND($C891&lt;&gt;"",$C891&lt;=结账锁),"※日期早于已结账截止日，不能再录",IF(AND($L891=0,$X891="正常"),"※没填单价，价格状态请选「待补价」",IF(AND($S891&gt;0,$R891&gt;0),"△本批有 "&amp;$S891&amp;" 行没单价，整批运费先挂账没摊",IF(AND($B891&lt;&gt;"",COUNTIF($B$4:$B$2503,$B891)&gt;1),"※入库单号重复","")))))))</f>
        <v/>
      </c>
    </row>
    <row r="892">
      <c r="A892" s="24">
        <f>IF($G892="","",COUNTA($G$4:$G892))</f>
        <v/>
      </c>
      <c r="B892" s="17" t="n"/>
      <c r="C892" s="30" t="n"/>
      <c r="D892" s="17" t="n"/>
      <c r="E892" s="17" t="n"/>
      <c r="F892" s="17" t="n"/>
      <c r="G892" s="17" t="n"/>
      <c r="H892" s="24">
        <f>IF($G892="","",IFERROR(VLOOKUP($G892,物料档案!$A$4:$P$1203,3,0),"※编码不在物料档案里"))</f>
        <v/>
      </c>
      <c r="I892" s="24">
        <f>IF($G892="","",IFERROR(VLOOKUP($G892,物料档案!$A$4:$P$1203,4,0),"※编码不在物料档案里"))</f>
        <v/>
      </c>
      <c r="J892" s="24">
        <f>IF($G892="","",IFERROR(VLOOKUP($G892,物料档案!$A$4:$P$1203,5,0),"※编码不在物料档案里"))</f>
        <v/>
      </c>
      <c r="K892" s="23" t="n"/>
      <c r="L892" s="31" t="n"/>
      <c r="M892" s="24">
        <f>IF($G892="","",IF($D892="A国内","CNY","TZS"))</f>
        <v/>
      </c>
      <c r="N892" s="28">
        <f>IF($G892="","",IF($D892="A国内",汇率,1))</f>
        <v/>
      </c>
      <c r="O892" s="25">
        <f>IF($G892="","",ROUND(N($K892)*N($L892),2))</f>
        <v/>
      </c>
      <c r="P892" s="26">
        <f>IF($G892="","",ROUND($O892*$N892,0))</f>
        <v/>
      </c>
      <c r="Q892" s="26">
        <f>IF($G892="","",SUMIFS($P$4:$P$2503,$E$4:$E$2503,$E892,$Z$4:$Z$2503,"正常"))</f>
        <v/>
      </c>
      <c r="R892" s="26">
        <f>IF($G892="","",SUMIFS(费用台账!$I$4:$I$503,费用台账!$C$4:$C$503,$E892,费用台账!$J$4:$J$503,"是",费用台账!$K$4:$K$503,"正常"))</f>
        <v/>
      </c>
      <c r="S892" s="28">
        <f>IF($G892="","",COUNTIFS($E$4:$E$2503,$E892,$Z$4:$Z$2503,"正常",$Y$4:$Y$2503,"待补价"))</f>
        <v/>
      </c>
      <c r="T892" s="26">
        <f>IF($G892="","",SUMIFS($P$4:$P$2503,$E$4:$E$2503,$E892,$Z$4:$Z$2503,"正常",$A$4:$A$2503,"&lt;="&amp;$A892))</f>
        <v/>
      </c>
      <c r="U892" s="26">
        <f>IF($G892="","",IF(OR($S892&gt;0,$Q892=0,$R892=0,$Z892&lt;&gt;"正常"),0,ROUND($T892/$Q892*$R892,0)-ROUND(($T892-$P892)/$Q892*$R892,0)))</f>
        <v/>
      </c>
      <c r="V892" s="26">
        <f>IF($G892="","",ROUND($P892+$U892,0))</f>
        <v/>
      </c>
      <c r="W892" s="26">
        <f>IF($G892="","",IF(N($K892)=0,0,ROUND($V892/$K892,2)))</f>
        <v/>
      </c>
      <c r="X892" s="17" t="n"/>
      <c r="Y892" s="17" t="n"/>
      <c r="Z892" s="17" t="n"/>
      <c r="AA892" s="17" t="n"/>
      <c r="AB892" s="17" t="n"/>
      <c r="AC892" s="24">
        <f>IF($G892="","",IF($H892="※编码不在物料档案里","※物料编码不在档案里",IF(N($K892)&lt;=0,"※入库数量要大于 0",IF(AND($C892&lt;&gt;"",$C892&lt;=结账锁),"※日期早于已结账截止日，不能再录",IF(AND($L892=0,$X892="正常"),"※没填单价，价格状态请选「待补价」",IF(AND($S892&gt;0,$R892&gt;0),"△本批有 "&amp;$S892&amp;" 行没单价，整批运费先挂账没摊",IF(AND($B892&lt;&gt;"",COUNTIF($B$4:$B$2503,$B892)&gt;1),"※入库单号重复","")))))))</f>
        <v/>
      </c>
    </row>
    <row r="893">
      <c r="A893" s="24">
        <f>IF($G893="","",COUNTA($G$4:$G893))</f>
        <v/>
      </c>
      <c r="B893" s="17" t="n"/>
      <c r="C893" s="30" t="n"/>
      <c r="D893" s="17" t="n"/>
      <c r="E893" s="17" t="n"/>
      <c r="F893" s="17" t="n"/>
      <c r="G893" s="17" t="n"/>
      <c r="H893" s="24">
        <f>IF($G893="","",IFERROR(VLOOKUP($G893,物料档案!$A$4:$P$1203,3,0),"※编码不在物料档案里"))</f>
        <v/>
      </c>
      <c r="I893" s="24">
        <f>IF($G893="","",IFERROR(VLOOKUP($G893,物料档案!$A$4:$P$1203,4,0),"※编码不在物料档案里"))</f>
        <v/>
      </c>
      <c r="J893" s="24">
        <f>IF($G893="","",IFERROR(VLOOKUP($G893,物料档案!$A$4:$P$1203,5,0),"※编码不在物料档案里"))</f>
        <v/>
      </c>
      <c r="K893" s="23" t="n"/>
      <c r="L893" s="31" t="n"/>
      <c r="M893" s="24">
        <f>IF($G893="","",IF($D893="A国内","CNY","TZS"))</f>
        <v/>
      </c>
      <c r="N893" s="28">
        <f>IF($G893="","",IF($D893="A国内",汇率,1))</f>
        <v/>
      </c>
      <c r="O893" s="25">
        <f>IF($G893="","",ROUND(N($K893)*N($L893),2))</f>
        <v/>
      </c>
      <c r="P893" s="26">
        <f>IF($G893="","",ROUND($O893*$N893,0))</f>
        <v/>
      </c>
      <c r="Q893" s="26">
        <f>IF($G893="","",SUMIFS($P$4:$P$2503,$E$4:$E$2503,$E893,$Z$4:$Z$2503,"正常"))</f>
        <v/>
      </c>
      <c r="R893" s="26">
        <f>IF($G893="","",SUMIFS(费用台账!$I$4:$I$503,费用台账!$C$4:$C$503,$E893,费用台账!$J$4:$J$503,"是",费用台账!$K$4:$K$503,"正常"))</f>
        <v/>
      </c>
      <c r="S893" s="28">
        <f>IF($G893="","",COUNTIFS($E$4:$E$2503,$E893,$Z$4:$Z$2503,"正常",$Y$4:$Y$2503,"待补价"))</f>
        <v/>
      </c>
      <c r="T893" s="26">
        <f>IF($G893="","",SUMIFS($P$4:$P$2503,$E$4:$E$2503,$E893,$Z$4:$Z$2503,"正常",$A$4:$A$2503,"&lt;="&amp;$A893))</f>
        <v/>
      </c>
      <c r="U893" s="26">
        <f>IF($G893="","",IF(OR($S893&gt;0,$Q893=0,$R893=0,$Z893&lt;&gt;"正常"),0,ROUND($T893/$Q893*$R893,0)-ROUND(($T893-$P893)/$Q893*$R893,0)))</f>
        <v/>
      </c>
      <c r="V893" s="26">
        <f>IF($G893="","",ROUND($P893+$U893,0))</f>
        <v/>
      </c>
      <c r="W893" s="26">
        <f>IF($G893="","",IF(N($K893)=0,0,ROUND($V893/$K893,2)))</f>
        <v/>
      </c>
      <c r="X893" s="17" t="n"/>
      <c r="Y893" s="17" t="n"/>
      <c r="Z893" s="17" t="n"/>
      <c r="AA893" s="17" t="n"/>
      <c r="AB893" s="17" t="n"/>
      <c r="AC893" s="24">
        <f>IF($G893="","",IF($H893="※编码不在物料档案里","※物料编码不在档案里",IF(N($K893)&lt;=0,"※入库数量要大于 0",IF(AND($C893&lt;&gt;"",$C893&lt;=结账锁),"※日期早于已结账截止日，不能再录",IF(AND($L893=0,$X893="正常"),"※没填单价，价格状态请选「待补价」",IF(AND($S893&gt;0,$R893&gt;0),"△本批有 "&amp;$S893&amp;" 行没单价，整批运费先挂账没摊",IF(AND($B893&lt;&gt;"",COUNTIF($B$4:$B$2503,$B893)&gt;1),"※入库单号重复","")))))))</f>
        <v/>
      </c>
    </row>
    <row r="894">
      <c r="A894" s="24">
        <f>IF($G894="","",COUNTA($G$4:$G894))</f>
        <v/>
      </c>
      <c r="B894" s="17" t="n"/>
      <c r="C894" s="30" t="n"/>
      <c r="D894" s="17" t="n"/>
      <c r="E894" s="17" t="n"/>
      <c r="F894" s="17" t="n"/>
      <c r="G894" s="17" t="n"/>
      <c r="H894" s="24">
        <f>IF($G894="","",IFERROR(VLOOKUP($G894,物料档案!$A$4:$P$1203,3,0),"※编码不在物料档案里"))</f>
        <v/>
      </c>
      <c r="I894" s="24">
        <f>IF($G894="","",IFERROR(VLOOKUP($G894,物料档案!$A$4:$P$1203,4,0),"※编码不在物料档案里"))</f>
        <v/>
      </c>
      <c r="J894" s="24">
        <f>IF($G894="","",IFERROR(VLOOKUP($G894,物料档案!$A$4:$P$1203,5,0),"※编码不在物料档案里"))</f>
        <v/>
      </c>
      <c r="K894" s="23" t="n"/>
      <c r="L894" s="31" t="n"/>
      <c r="M894" s="24">
        <f>IF($G894="","",IF($D894="A国内","CNY","TZS"))</f>
        <v/>
      </c>
      <c r="N894" s="28">
        <f>IF($G894="","",IF($D894="A国内",汇率,1))</f>
        <v/>
      </c>
      <c r="O894" s="25">
        <f>IF($G894="","",ROUND(N($K894)*N($L894),2))</f>
        <v/>
      </c>
      <c r="P894" s="26">
        <f>IF($G894="","",ROUND($O894*$N894,0))</f>
        <v/>
      </c>
      <c r="Q894" s="26">
        <f>IF($G894="","",SUMIFS($P$4:$P$2503,$E$4:$E$2503,$E894,$Z$4:$Z$2503,"正常"))</f>
        <v/>
      </c>
      <c r="R894" s="26">
        <f>IF($G894="","",SUMIFS(费用台账!$I$4:$I$503,费用台账!$C$4:$C$503,$E894,费用台账!$J$4:$J$503,"是",费用台账!$K$4:$K$503,"正常"))</f>
        <v/>
      </c>
      <c r="S894" s="28">
        <f>IF($G894="","",COUNTIFS($E$4:$E$2503,$E894,$Z$4:$Z$2503,"正常",$Y$4:$Y$2503,"待补价"))</f>
        <v/>
      </c>
      <c r="T894" s="26">
        <f>IF($G894="","",SUMIFS($P$4:$P$2503,$E$4:$E$2503,$E894,$Z$4:$Z$2503,"正常",$A$4:$A$2503,"&lt;="&amp;$A894))</f>
        <v/>
      </c>
      <c r="U894" s="26">
        <f>IF($G894="","",IF(OR($S894&gt;0,$Q894=0,$R894=0,$Z894&lt;&gt;"正常"),0,ROUND($T894/$Q894*$R894,0)-ROUND(($T894-$P894)/$Q894*$R894,0)))</f>
        <v/>
      </c>
      <c r="V894" s="26">
        <f>IF($G894="","",ROUND($P894+$U894,0))</f>
        <v/>
      </c>
      <c r="W894" s="26">
        <f>IF($G894="","",IF(N($K894)=0,0,ROUND($V894/$K894,2)))</f>
        <v/>
      </c>
      <c r="X894" s="17" t="n"/>
      <c r="Y894" s="17" t="n"/>
      <c r="Z894" s="17" t="n"/>
      <c r="AA894" s="17" t="n"/>
      <c r="AB894" s="17" t="n"/>
      <c r="AC894" s="24">
        <f>IF($G894="","",IF($H894="※编码不在物料档案里","※物料编码不在档案里",IF(N($K894)&lt;=0,"※入库数量要大于 0",IF(AND($C894&lt;&gt;"",$C894&lt;=结账锁),"※日期早于已结账截止日，不能再录",IF(AND($L894=0,$X894="正常"),"※没填单价，价格状态请选「待补价」",IF(AND($S894&gt;0,$R894&gt;0),"△本批有 "&amp;$S894&amp;" 行没单价，整批运费先挂账没摊",IF(AND($B894&lt;&gt;"",COUNTIF($B$4:$B$2503,$B894)&gt;1),"※入库单号重复","")))))))</f>
        <v/>
      </c>
    </row>
    <row r="895">
      <c r="A895" s="24">
        <f>IF($G895="","",COUNTA($G$4:$G895))</f>
        <v/>
      </c>
      <c r="B895" s="17" t="n"/>
      <c r="C895" s="30" t="n"/>
      <c r="D895" s="17" t="n"/>
      <c r="E895" s="17" t="n"/>
      <c r="F895" s="17" t="n"/>
      <c r="G895" s="17" t="n"/>
      <c r="H895" s="24">
        <f>IF($G895="","",IFERROR(VLOOKUP($G895,物料档案!$A$4:$P$1203,3,0),"※编码不在物料档案里"))</f>
        <v/>
      </c>
      <c r="I895" s="24">
        <f>IF($G895="","",IFERROR(VLOOKUP($G895,物料档案!$A$4:$P$1203,4,0),"※编码不在物料档案里"))</f>
        <v/>
      </c>
      <c r="J895" s="24">
        <f>IF($G895="","",IFERROR(VLOOKUP($G895,物料档案!$A$4:$P$1203,5,0),"※编码不在物料档案里"))</f>
        <v/>
      </c>
      <c r="K895" s="23" t="n"/>
      <c r="L895" s="31" t="n"/>
      <c r="M895" s="24">
        <f>IF($G895="","",IF($D895="A国内","CNY","TZS"))</f>
        <v/>
      </c>
      <c r="N895" s="28">
        <f>IF($G895="","",IF($D895="A国内",汇率,1))</f>
        <v/>
      </c>
      <c r="O895" s="25">
        <f>IF($G895="","",ROUND(N($K895)*N($L895),2))</f>
        <v/>
      </c>
      <c r="P895" s="26">
        <f>IF($G895="","",ROUND($O895*$N895,0))</f>
        <v/>
      </c>
      <c r="Q895" s="26">
        <f>IF($G895="","",SUMIFS($P$4:$P$2503,$E$4:$E$2503,$E895,$Z$4:$Z$2503,"正常"))</f>
        <v/>
      </c>
      <c r="R895" s="26">
        <f>IF($G895="","",SUMIFS(费用台账!$I$4:$I$503,费用台账!$C$4:$C$503,$E895,费用台账!$J$4:$J$503,"是",费用台账!$K$4:$K$503,"正常"))</f>
        <v/>
      </c>
      <c r="S895" s="28">
        <f>IF($G895="","",COUNTIFS($E$4:$E$2503,$E895,$Z$4:$Z$2503,"正常",$Y$4:$Y$2503,"待补价"))</f>
        <v/>
      </c>
      <c r="T895" s="26">
        <f>IF($G895="","",SUMIFS($P$4:$P$2503,$E$4:$E$2503,$E895,$Z$4:$Z$2503,"正常",$A$4:$A$2503,"&lt;="&amp;$A895))</f>
        <v/>
      </c>
      <c r="U895" s="26">
        <f>IF($G895="","",IF(OR($S895&gt;0,$Q895=0,$R895=0,$Z895&lt;&gt;"正常"),0,ROUND($T895/$Q895*$R895,0)-ROUND(($T895-$P895)/$Q895*$R895,0)))</f>
        <v/>
      </c>
      <c r="V895" s="26">
        <f>IF($G895="","",ROUND($P895+$U895,0))</f>
        <v/>
      </c>
      <c r="W895" s="26">
        <f>IF($G895="","",IF(N($K895)=0,0,ROUND($V895/$K895,2)))</f>
        <v/>
      </c>
      <c r="X895" s="17" t="n"/>
      <c r="Y895" s="17" t="n"/>
      <c r="Z895" s="17" t="n"/>
      <c r="AA895" s="17" t="n"/>
      <c r="AB895" s="17" t="n"/>
      <c r="AC895" s="24">
        <f>IF($G895="","",IF($H895="※编码不在物料档案里","※物料编码不在档案里",IF(N($K895)&lt;=0,"※入库数量要大于 0",IF(AND($C895&lt;&gt;"",$C895&lt;=结账锁),"※日期早于已结账截止日，不能再录",IF(AND($L895=0,$X895="正常"),"※没填单价，价格状态请选「待补价」",IF(AND($S895&gt;0,$R895&gt;0),"△本批有 "&amp;$S895&amp;" 行没单价，整批运费先挂账没摊",IF(AND($B895&lt;&gt;"",COUNTIF($B$4:$B$2503,$B895)&gt;1),"※入库单号重复","")))))))</f>
        <v/>
      </c>
    </row>
    <row r="896">
      <c r="A896" s="24">
        <f>IF($G896="","",COUNTA($G$4:$G896))</f>
        <v/>
      </c>
      <c r="B896" s="17" t="n"/>
      <c r="C896" s="30" t="n"/>
      <c r="D896" s="17" t="n"/>
      <c r="E896" s="17" t="n"/>
      <c r="F896" s="17" t="n"/>
      <c r="G896" s="17" t="n"/>
      <c r="H896" s="24">
        <f>IF($G896="","",IFERROR(VLOOKUP($G896,物料档案!$A$4:$P$1203,3,0),"※编码不在物料档案里"))</f>
        <v/>
      </c>
      <c r="I896" s="24">
        <f>IF($G896="","",IFERROR(VLOOKUP($G896,物料档案!$A$4:$P$1203,4,0),"※编码不在物料档案里"))</f>
        <v/>
      </c>
      <c r="J896" s="24">
        <f>IF($G896="","",IFERROR(VLOOKUP($G896,物料档案!$A$4:$P$1203,5,0),"※编码不在物料档案里"))</f>
        <v/>
      </c>
      <c r="K896" s="23" t="n"/>
      <c r="L896" s="31" t="n"/>
      <c r="M896" s="24">
        <f>IF($G896="","",IF($D896="A国内","CNY","TZS"))</f>
        <v/>
      </c>
      <c r="N896" s="28">
        <f>IF($G896="","",IF($D896="A国内",汇率,1))</f>
        <v/>
      </c>
      <c r="O896" s="25">
        <f>IF($G896="","",ROUND(N($K896)*N($L896),2))</f>
        <v/>
      </c>
      <c r="P896" s="26">
        <f>IF($G896="","",ROUND($O896*$N896,0))</f>
        <v/>
      </c>
      <c r="Q896" s="26">
        <f>IF($G896="","",SUMIFS($P$4:$P$2503,$E$4:$E$2503,$E896,$Z$4:$Z$2503,"正常"))</f>
        <v/>
      </c>
      <c r="R896" s="26">
        <f>IF($G896="","",SUMIFS(费用台账!$I$4:$I$503,费用台账!$C$4:$C$503,$E896,费用台账!$J$4:$J$503,"是",费用台账!$K$4:$K$503,"正常"))</f>
        <v/>
      </c>
      <c r="S896" s="28">
        <f>IF($G896="","",COUNTIFS($E$4:$E$2503,$E896,$Z$4:$Z$2503,"正常",$Y$4:$Y$2503,"待补价"))</f>
        <v/>
      </c>
      <c r="T896" s="26">
        <f>IF($G896="","",SUMIFS($P$4:$P$2503,$E$4:$E$2503,$E896,$Z$4:$Z$2503,"正常",$A$4:$A$2503,"&lt;="&amp;$A896))</f>
        <v/>
      </c>
      <c r="U896" s="26">
        <f>IF($G896="","",IF(OR($S896&gt;0,$Q896=0,$R896=0,$Z896&lt;&gt;"正常"),0,ROUND($T896/$Q896*$R896,0)-ROUND(($T896-$P896)/$Q896*$R896,0)))</f>
        <v/>
      </c>
      <c r="V896" s="26">
        <f>IF($G896="","",ROUND($P896+$U896,0))</f>
        <v/>
      </c>
      <c r="W896" s="26">
        <f>IF($G896="","",IF(N($K896)=0,0,ROUND($V896/$K896,2)))</f>
        <v/>
      </c>
      <c r="X896" s="17" t="n"/>
      <c r="Y896" s="17" t="n"/>
      <c r="Z896" s="17" t="n"/>
      <c r="AA896" s="17" t="n"/>
      <c r="AB896" s="17" t="n"/>
      <c r="AC896" s="24">
        <f>IF($G896="","",IF($H896="※编码不在物料档案里","※物料编码不在档案里",IF(N($K896)&lt;=0,"※入库数量要大于 0",IF(AND($C896&lt;&gt;"",$C896&lt;=结账锁),"※日期早于已结账截止日，不能再录",IF(AND($L896=0,$X896="正常"),"※没填单价，价格状态请选「待补价」",IF(AND($S896&gt;0,$R896&gt;0),"△本批有 "&amp;$S896&amp;" 行没单价，整批运费先挂账没摊",IF(AND($B896&lt;&gt;"",COUNTIF($B$4:$B$2503,$B896)&gt;1),"※入库单号重复","")))))))</f>
        <v/>
      </c>
    </row>
    <row r="897">
      <c r="A897" s="24">
        <f>IF($G897="","",COUNTA($G$4:$G897))</f>
        <v/>
      </c>
      <c r="B897" s="17" t="n"/>
      <c r="C897" s="30" t="n"/>
      <c r="D897" s="17" t="n"/>
      <c r="E897" s="17" t="n"/>
      <c r="F897" s="17" t="n"/>
      <c r="G897" s="17" t="n"/>
      <c r="H897" s="24">
        <f>IF($G897="","",IFERROR(VLOOKUP($G897,物料档案!$A$4:$P$1203,3,0),"※编码不在物料档案里"))</f>
        <v/>
      </c>
      <c r="I897" s="24">
        <f>IF($G897="","",IFERROR(VLOOKUP($G897,物料档案!$A$4:$P$1203,4,0),"※编码不在物料档案里"))</f>
        <v/>
      </c>
      <c r="J897" s="24">
        <f>IF($G897="","",IFERROR(VLOOKUP($G897,物料档案!$A$4:$P$1203,5,0),"※编码不在物料档案里"))</f>
        <v/>
      </c>
      <c r="K897" s="23" t="n"/>
      <c r="L897" s="31" t="n"/>
      <c r="M897" s="24">
        <f>IF($G897="","",IF($D897="A国内","CNY","TZS"))</f>
        <v/>
      </c>
      <c r="N897" s="28">
        <f>IF($G897="","",IF($D897="A国内",汇率,1))</f>
        <v/>
      </c>
      <c r="O897" s="25">
        <f>IF($G897="","",ROUND(N($K897)*N($L897),2))</f>
        <v/>
      </c>
      <c r="P897" s="26">
        <f>IF($G897="","",ROUND($O897*$N897,0))</f>
        <v/>
      </c>
      <c r="Q897" s="26">
        <f>IF($G897="","",SUMIFS($P$4:$P$2503,$E$4:$E$2503,$E897,$Z$4:$Z$2503,"正常"))</f>
        <v/>
      </c>
      <c r="R897" s="26">
        <f>IF($G897="","",SUMIFS(费用台账!$I$4:$I$503,费用台账!$C$4:$C$503,$E897,费用台账!$J$4:$J$503,"是",费用台账!$K$4:$K$503,"正常"))</f>
        <v/>
      </c>
      <c r="S897" s="28">
        <f>IF($G897="","",COUNTIFS($E$4:$E$2503,$E897,$Z$4:$Z$2503,"正常",$Y$4:$Y$2503,"待补价"))</f>
        <v/>
      </c>
      <c r="T897" s="26">
        <f>IF($G897="","",SUMIFS($P$4:$P$2503,$E$4:$E$2503,$E897,$Z$4:$Z$2503,"正常",$A$4:$A$2503,"&lt;="&amp;$A897))</f>
        <v/>
      </c>
      <c r="U897" s="26">
        <f>IF($G897="","",IF(OR($S897&gt;0,$Q897=0,$R897=0,$Z897&lt;&gt;"正常"),0,ROUND($T897/$Q897*$R897,0)-ROUND(($T897-$P897)/$Q897*$R897,0)))</f>
        <v/>
      </c>
      <c r="V897" s="26">
        <f>IF($G897="","",ROUND($P897+$U897,0))</f>
        <v/>
      </c>
      <c r="W897" s="26">
        <f>IF($G897="","",IF(N($K897)=0,0,ROUND($V897/$K897,2)))</f>
        <v/>
      </c>
      <c r="X897" s="17" t="n"/>
      <c r="Y897" s="17" t="n"/>
      <c r="Z897" s="17" t="n"/>
      <c r="AA897" s="17" t="n"/>
      <c r="AB897" s="17" t="n"/>
      <c r="AC897" s="24">
        <f>IF($G897="","",IF($H897="※编码不在物料档案里","※物料编码不在档案里",IF(N($K897)&lt;=0,"※入库数量要大于 0",IF(AND($C897&lt;&gt;"",$C897&lt;=结账锁),"※日期早于已结账截止日，不能再录",IF(AND($L897=0,$X897="正常"),"※没填单价，价格状态请选「待补价」",IF(AND($S897&gt;0,$R897&gt;0),"△本批有 "&amp;$S897&amp;" 行没单价，整批运费先挂账没摊",IF(AND($B897&lt;&gt;"",COUNTIF($B$4:$B$2503,$B897)&gt;1),"※入库单号重复","")))))))</f>
        <v/>
      </c>
    </row>
    <row r="898">
      <c r="A898" s="24">
        <f>IF($G898="","",COUNTA($G$4:$G898))</f>
        <v/>
      </c>
      <c r="B898" s="17" t="n"/>
      <c r="C898" s="30" t="n"/>
      <c r="D898" s="17" t="n"/>
      <c r="E898" s="17" t="n"/>
      <c r="F898" s="17" t="n"/>
      <c r="G898" s="17" t="n"/>
      <c r="H898" s="24">
        <f>IF($G898="","",IFERROR(VLOOKUP($G898,物料档案!$A$4:$P$1203,3,0),"※编码不在物料档案里"))</f>
        <v/>
      </c>
      <c r="I898" s="24">
        <f>IF($G898="","",IFERROR(VLOOKUP($G898,物料档案!$A$4:$P$1203,4,0),"※编码不在物料档案里"))</f>
        <v/>
      </c>
      <c r="J898" s="24">
        <f>IF($G898="","",IFERROR(VLOOKUP($G898,物料档案!$A$4:$P$1203,5,0),"※编码不在物料档案里"))</f>
        <v/>
      </c>
      <c r="K898" s="23" t="n"/>
      <c r="L898" s="31" t="n"/>
      <c r="M898" s="24">
        <f>IF($G898="","",IF($D898="A国内","CNY","TZS"))</f>
        <v/>
      </c>
      <c r="N898" s="28">
        <f>IF($G898="","",IF($D898="A国内",汇率,1))</f>
        <v/>
      </c>
      <c r="O898" s="25">
        <f>IF($G898="","",ROUND(N($K898)*N($L898),2))</f>
        <v/>
      </c>
      <c r="P898" s="26">
        <f>IF($G898="","",ROUND($O898*$N898,0))</f>
        <v/>
      </c>
      <c r="Q898" s="26">
        <f>IF($G898="","",SUMIFS($P$4:$P$2503,$E$4:$E$2503,$E898,$Z$4:$Z$2503,"正常"))</f>
        <v/>
      </c>
      <c r="R898" s="26">
        <f>IF($G898="","",SUMIFS(费用台账!$I$4:$I$503,费用台账!$C$4:$C$503,$E898,费用台账!$J$4:$J$503,"是",费用台账!$K$4:$K$503,"正常"))</f>
        <v/>
      </c>
      <c r="S898" s="28">
        <f>IF($G898="","",COUNTIFS($E$4:$E$2503,$E898,$Z$4:$Z$2503,"正常",$Y$4:$Y$2503,"待补价"))</f>
        <v/>
      </c>
      <c r="T898" s="26">
        <f>IF($G898="","",SUMIFS($P$4:$P$2503,$E$4:$E$2503,$E898,$Z$4:$Z$2503,"正常",$A$4:$A$2503,"&lt;="&amp;$A898))</f>
        <v/>
      </c>
      <c r="U898" s="26">
        <f>IF($G898="","",IF(OR($S898&gt;0,$Q898=0,$R898=0,$Z898&lt;&gt;"正常"),0,ROUND($T898/$Q898*$R898,0)-ROUND(($T898-$P898)/$Q898*$R898,0)))</f>
        <v/>
      </c>
      <c r="V898" s="26">
        <f>IF($G898="","",ROUND($P898+$U898,0))</f>
        <v/>
      </c>
      <c r="W898" s="26">
        <f>IF($G898="","",IF(N($K898)=0,0,ROUND($V898/$K898,2)))</f>
        <v/>
      </c>
      <c r="X898" s="17" t="n"/>
      <c r="Y898" s="17" t="n"/>
      <c r="Z898" s="17" t="n"/>
      <c r="AA898" s="17" t="n"/>
      <c r="AB898" s="17" t="n"/>
      <c r="AC898" s="24">
        <f>IF($G898="","",IF($H898="※编码不在物料档案里","※物料编码不在档案里",IF(N($K898)&lt;=0,"※入库数量要大于 0",IF(AND($C898&lt;&gt;"",$C898&lt;=结账锁),"※日期早于已结账截止日，不能再录",IF(AND($L898=0,$X898="正常"),"※没填单价，价格状态请选「待补价」",IF(AND($S898&gt;0,$R898&gt;0),"△本批有 "&amp;$S898&amp;" 行没单价，整批运费先挂账没摊",IF(AND($B898&lt;&gt;"",COUNTIF($B$4:$B$2503,$B898)&gt;1),"※入库单号重复","")))))))</f>
        <v/>
      </c>
    </row>
    <row r="899">
      <c r="A899" s="24">
        <f>IF($G899="","",COUNTA($G$4:$G899))</f>
        <v/>
      </c>
      <c r="B899" s="17" t="n"/>
      <c r="C899" s="30" t="n"/>
      <c r="D899" s="17" t="n"/>
      <c r="E899" s="17" t="n"/>
      <c r="F899" s="17" t="n"/>
      <c r="G899" s="17" t="n"/>
      <c r="H899" s="24">
        <f>IF($G899="","",IFERROR(VLOOKUP($G899,物料档案!$A$4:$P$1203,3,0),"※编码不在物料档案里"))</f>
        <v/>
      </c>
      <c r="I899" s="24">
        <f>IF($G899="","",IFERROR(VLOOKUP($G899,物料档案!$A$4:$P$1203,4,0),"※编码不在物料档案里"))</f>
        <v/>
      </c>
      <c r="J899" s="24">
        <f>IF($G899="","",IFERROR(VLOOKUP($G899,物料档案!$A$4:$P$1203,5,0),"※编码不在物料档案里"))</f>
        <v/>
      </c>
      <c r="K899" s="23" t="n"/>
      <c r="L899" s="31" t="n"/>
      <c r="M899" s="24">
        <f>IF($G899="","",IF($D899="A国内","CNY","TZS"))</f>
        <v/>
      </c>
      <c r="N899" s="28">
        <f>IF($G899="","",IF($D899="A国内",汇率,1))</f>
        <v/>
      </c>
      <c r="O899" s="25">
        <f>IF($G899="","",ROUND(N($K899)*N($L899),2))</f>
        <v/>
      </c>
      <c r="P899" s="26">
        <f>IF($G899="","",ROUND($O899*$N899,0))</f>
        <v/>
      </c>
      <c r="Q899" s="26">
        <f>IF($G899="","",SUMIFS($P$4:$P$2503,$E$4:$E$2503,$E899,$Z$4:$Z$2503,"正常"))</f>
        <v/>
      </c>
      <c r="R899" s="26">
        <f>IF($G899="","",SUMIFS(费用台账!$I$4:$I$503,费用台账!$C$4:$C$503,$E899,费用台账!$J$4:$J$503,"是",费用台账!$K$4:$K$503,"正常"))</f>
        <v/>
      </c>
      <c r="S899" s="28">
        <f>IF($G899="","",COUNTIFS($E$4:$E$2503,$E899,$Z$4:$Z$2503,"正常",$Y$4:$Y$2503,"待补价"))</f>
        <v/>
      </c>
      <c r="T899" s="26">
        <f>IF($G899="","",SUMIFS($P$4:$P$2503,$E$4:$E$2503,$E899,$Z$4:$Z$2503,"正常",$A$4:$A$2503,"&lt;="&amp;$A899))</f>
        <v/>
      </c>
      <c r="U899" s="26">
        <f>IF($G899="","",IF(OR($S899&gt;0,$Q899=0,$R899=0,$Z899&lt;&gt;"正常"),0,ROUND($T899/$Q899*$R899,0)-ROUND(($T899-$P899)/$Q899*$R899,0)))</f>
        <v/>
      </c>
      <c r="V899" s="26">
        <f>IF($G899="","",ROUND($P899+$U899,0))</f>
        <v/>
      </c>
      <c r="W899" s="26">
        <f>IF($G899="","",IF(N($K899)=0,0,ROUND($V899/$K899,2)))</f>
        <v/>
      </c>
      <c r="X899" s="17" t="n"/>
      <c r="Y899" s="17" t="n"/>
      <c r="Z899" s="17" t="n"/>
      <c r="AA899" s="17" t="n"/>
      <c r="AB899" s="17" t="n"/>
      <c r="AC899" s="24">
        <f>IF($G899="","",IF($H899="※编码不在物料档案里","※物料编码不在档案里",IF(N($K899)&lt;=0,"※入库数量要大于 0",IF(AND($C899&lt;&gt;"",$C899&lt;=结账锁),"※日期早于已结账截止日，不能再录",IF(AND($L899=0,$X899="正常"),"※没填单价，价格状态请选「待补价」",IF(AND($S899&gt;0,$R899&gt;0),"△本批有 "&amp;$S899&amp;" 行没单价，整批运费先挂账没摊",IF(AND($B899&lt;&gt;"",COUNTIF($B$4:$B$2503,$B899)&gt;1),"※入库单号重复","")))))))</f>
        <v/>
      </c>
    </row>
    <row r="900">
      <c r="A900" s="24">
        <f>IF($G900="","",COUNTA($G$4:$G900))</f>
        <v/>
      </c>
      <c r="B900" s="17" t="n"/>
      <c r="C900" s="30" t="n"/>
      <c r="D900" s="17" t="n"/>
      <c r="E900" s="17" t="n"/>
      <c r="F900" s="17" t="n"/>
      <c r="G900" s="17" t="n"/>
      <c r="H900" s="24">
        <f>IF($G900="","",IFERROR(VLOOKUP($G900,物料档案!$A$4:$P$1203,3,0),"※编码不在物料档案里"))</f>
        <v/>
      </c>
      <c r="I900" s="24">
        <f>IF($G900="","",IFERROR(VLOOKUP($G900,物料档案!$A$4:$P$1203,4,0),"※编码不在物料档案里"))</f>
        <v/>
      </c>
      <c r="J900" s="24">
        <f>IF($G900="","",IFERROR(VLOOKUP($G900,物料档案!$A$4:$P$1203,5,0),"※编码不在物料档案里"))</f>
        <v/>
      </c>
      <c r="K900" s="23" t="n"/>
      <c r="L900" s="31" t="n"/>
      <c r="M900" s="24">
        <f>IF($G900="","",IF($D900="A国内","CNY","TZS"))</f>
        <v/>
      </c>
      <c r="N900" s="28">
        <f>IF($G900="","",IF($D900="A国内",汇率,1))</f>
        <v/>
      </c>
      <c r="O900" s="25">
        <f>IF($G900="","",ROUND(N($K900)*N($L900),2))</f>
        <v/>
      </c>
      <c r="P900" s="26">
        <f>IF($G900="","",ROUND($O900*$N900,0))</f>
        <v/>
      </c>
      <c r="Q900" s="26">
        <f>IF($G900="","",SUMIFS($P$4:$P$2503,$E$4:$E$2503,$E900,$Z$4:$Z$2503,"正常"))</f>
        <v/>
      </c>
      <c r="R900" s="26">
        <f>IF($G900="","",SUMIFS(费用台账!$I$4:$I$503,费用台账!$C$4:$C$503,$E900,费用台账!$J$4:$J$503,"是",费用台账!$K$4:$K$503,"正常"))</f>
        <v/>
      </c>
      <c r="S900" s="28">
        <f>IF($G900="","",COUNTIFS($E$4:$E$2503,$E900,$Z$4:$Z$2503,"正常",$Y$4:$Y$2503,"待补价"))</f>
        <v/>
      </c>
      <c r="T900" s="26">
        <f>IF($G900="","",SUMIFS($P$4:$P$2503,$E$4:$E$2503,$E900,$Z$4:$Z$2503,"正常",$A$4:$A$2503,"&lt;="&amp;$A900))</f>
        <v/>
      </c>
      <c r="U900" s="26">
        <f>IF($G900="","",IF(OR($S900&gt;0,$Q900=0,$R900=0,$Z900&lt;&gt;"正常"),0,ROUND($T900/$Q900*$R900,0)-ROUND(($T900-$P900)/$Q900*$R900,0)))</f>
        <v/>
      </c>
      <c r="V900" s="26">
        <f>IF($G900="","",ROUND($P900+$U900,0))</f>
        <v/>
      </c>
      <c r="W900" s="26">
        <f>IF($G900="","",IF(N($K900)=0,0,ROUND($V900/$K900,2)))</f>
        <v/>
      </c>
      <c r="X900" s="17" t="n"/>
      <c r="Y900" s="17" t="n"/>
      <c r="Z900" s="17" t="n"/>
      <c r="AA900" s="17" t="n"/>
      <c r="AB900" s="17" t="n"/>
      <c r="AC900" s="24">
        <f>IF($G900="","",IF($H900="※编码不在物料档案里","※物料编码不在档案里",IF(N($K900)&lt;=0,"※入库数量要大于 0",IF(AND($C900&lt;&gt;"",$C900&lt;=结账锁),"※日期早于已结账截止日，不能再录",IF(AND($L900=0,$X900="正常"),"※没填单价，价格状态请选「待补价」",IF(AND($S900&gt;0,$R900&gt;0),"△本批有 "&amp;$S900&amp;" 行没单价，整批运费先挂账没摊",IF(AND($B900&lt;&gt;"",COUNTIF($B$4:$B$2503,$B900)&gt;1),"※入库单号重复","")))))))</f>
        <v/>
      </c>
    </row>
    <row r="901">
      <c r="A901" s="24">
        <f>IF($G901="","",COUNTA($G$4:$G901))</f>
        <v/>
      </c>
      <c r="B901" s="17" t="n"/>
      <c r="C901" s="30" t="n"/>
      <c r="D901" s="17" t="n"/>
      <c r="E901" s="17" t="n"/>
      <c r="F901" s="17" t="n"/>
      <c r="G901" s="17" t="n"/>
      <c r="H901" s="24">
        <f>IF($G901="","",IFERROR(VLOOKUP($G901,物料档案!$A$4:$P$1203,3,0),"※编码不在物料档案里"))</f>
        <v/>
      </c>
      <c r="I901" s="24">
        <f>IF($G901="","",IFERROR(VLOOKUP($G901,物料档案!$A$4:$P$1203,4,0),"※编码不在物料档案里"))</f>
        <v/>
      </c>
      <c r="J901" s="24">
        <f>IF($G901="","",IFERROR(VLOOKUP($G901,物料档案!$A$4:$P$1203,5,0),"※编码不在物料档案里"))</f>
        <v/>
      </c>
      <c r="K901" s="23" t="n"/>
      <c r="L901" s="31" t="n"/>
      <c r="M901" s="24">
        <f>IF($G901="","",IF($D901="A国内","CNY","TZS"))</f>
        <v/>
      </c>
      <c r="N901" s="28">
        <f>IF($G901="","",IF($D901="A国内",汇率,1))</f>
        <v/>
      </c>
      <c r="O901" s="25">
        <f>IF($G901="","",ROUND(N($K901)*N($L901),2))</f>
        <v/>
      </c>
      <c r="P901" s="26">
        <f>IF($G901="","",ROUND($O901*$N901,0))</f>
        <v/>
      </c>
      <c r="Q901" s="26">
        <f>IF($G901="","",SUMIFS($P$4:$P$2503,$E$4:$E$2503,$E901,$Z$4:$Z$2503,"正常"))</f>
        <v/>
      </c>
      <c r="R901" s="26">
        <f>IF($G901="","",SUMIFS(费用台账!$I$4:$I$503,费用台账!$C$4:$C$503,$E901,费用台账!$J$4:$J$503,"是",费用台账!$K$4:$K$503,"正常"))</f>
        <v/>
      </c>
      <c r="S901" s="28">
        <f>IF($G901="","",COUNTIFS($E$4:$E$2503,$E901,$Z$4:$Z$2503,"正常",$Y$4:$Y$2503,"待补价"))</f>
        <v/>
      </c>
      <c r="T901" s="26">
        <f>IF($G901="","",SUMIFS($P$4:$P$2503,$E$4:$E$2503,$E901,$Z$4:$Z$2503,"正常",$A$4:$A$2503,"&lt;="&amp;$A901))</f>
        <v/>
      </c>
      <c r="U901" s="26">
        <f>IF($G901="","",IF(OR($S901&gt;0,$Q901=0,$R901=0,$Z901&lt;&gt;"正常"),0,ROUND($T901/$Q901*$R901,0)-ROUND(($T901-$P901)/$Q901*$R901,0)))</f>
        <v/>
      </c>
      <c r="V901" s="26">
        <f>IF($G901="","",ROUND($P901+$U901,0))</f>
        <v/>
      </c>
      <c r="W901" s="26">
        <f>IF($G901="","",IF(N($K901)=0,0,ROUND($V901/$K901,2)))</f>
        <v/>
      </c>
      <c r="X901" s="17" t="n"/>
      <c r="Y901" s="17" t="n"/>
      <c r="Z901" s="17" t="n"/>
      <c r="AA901" s="17" t="n"/>
      <c r="AB901" s="17" t="n"/>
      <c r="AC901" s="24">
        <f>IF($G901="","",IF($H901="※编码不在物料档案里","※物料编码不在档案里",IF(N($K901)&lt;=0,"※入库数量要大于 0",IF(AND($C901&lt;&gt;"",$C901&lt;=结账锁),"※日期早于已结账截止日，不能再录",IF(AND($L901=0,$X901="正常"),"※没填单价，价格状态请选「待补价」",IF(AND($S901&gt;0,$R901&gt;0),"△本批有 "&amp;$S901&amp;" 行没单价，整批运费先挂账没摊",IF(AND($B901&lt;&gt;"",COUNTIF($B$4:$B$2503,$B901)&gt;1),"※入库单号重复","")))))))</f>
        <v/>
      </c>
    </row>
    <row r="902">
      <c r="A902" s="24">
        <f>IF($G902="","",COUNTA($G$4:$G902))</f>
        <v/>
      </c>
      <c r="B902" s="17" t="n"/>
      <c r="C902" s="30" t="n"/>
      <c r="D902" s="17" t="n"/>
      <c r="E902" s="17" t="n"/>
      <c r="F902" s="17" t="n"/>
      <c r="G902" s="17" t="n"/>
      <c r="H902" s="24">
        <f>IF($G902="","",IFERROR(VLOOKUP($G902,物料档案!$A$4:$P$1203,3,0),"※编码不在物料档案里"))</f>
        <v/>
      </c>
      <c r="I902" s="24">
        <f>IF($G902="","",IFERROR(VLOOKUP($G902,物料档案!$A$4:$P$1203,4,0),"※编码不在物料档案里"))</f>
        <v/>
      </c>
      <c r="J902" s="24">
        <f>IF($G902="","",IFERROR(VLOOKUP($G902,物料档案!$A$4:$P$1203,5,0),"※编码不在物料档案里"))</f>
        <v/>
      </c>
      <c r="K902" s="23" t="n"/>
      <c r="L902" s="31" t="n"/>
      <c r="M902" s="24">
        <f>IF($G902="","",IF($D902="A国内","CNY","TZS"))</f>
        <v/>
      </c>
      <c r="N902" s="28">
        <f>IF($G902="","",IF($D902="A国内",汇率,1))</f>
        <v/>
      </c>
      <c r="O902" s="25">
        <f>IF($G902="","",ROUND(N($K902)*N($L902),2))</f>
        <v/>
      </c>
      <c r="P902" s="26">
        <f>IF($G902="","",ROUND($O902*$N902,0))</f>
        <v/>
      </c>
      <c r="Q902" s="26">
        <f>IF($G902="","",SUMIFS($P$4:$P$2503,$E$4:$E$2503,$E902,$Z$4:$Z$2503,"正常"))</f>
        <v/>
      </c>
      <c r="R902" s="26">
        <f>IF($G902="","",SUMIFS(费用台账!$I$4:$I$503,费用台账!$C$4:$C$503,$E902,费用台账!$J$4:$J$503,"是",费用台账!$K$4:$K$503,"正常"))</f>
        <v/>
      </c>
      <c r="S902" s="28">
        <f>IF($G902="","",COUNTIFS($E$4:$E$2503,$E902,$Z$4:$Z$2503,"正常",$Y$4:$Y$2503,"待补价"))</f>
        <v/>
      </c>
      <c r="T902" s="26">
        <f>IF($G902="","",SUMIFS($P$4:$P$2503,$E$4:$E$2503,$E902,$Z$4:$Z$2503,"正常",$A$4:$A$2503,"&lt;="&amp;$A902))</f>
        <v/>
      </c>
      <c r="U902" s="26">
        <f>IF($G902="","",IF(OR($S902&gt;0,$Q902=0,$R902=0,$Z902&lt;&gt;"正常"),0,ROUND($T902/$Q902*$R902,0)-ROUND(($T902-$P902)/$Q902*$R902,0)))</f>
        <v/>
      </c>
      <c r="V902" s="26">
        <f>IF($G902="","",ROUND($P902+$U902,0))</f>
        <v/>
      </c>
      <c r="W902" s="26">
        <f>IF($G902="","",IF(N($K902)=0,0,ROUND($V902/$K902,2)))</f>
        <v/>
      </c>
      <c r="X902" s="17" t="n"/>
      <c r="Y902" s="17" t="n"/>
      <c r="Z902" s="17" t="n"/>
      <c r="AA902" s="17" t="n"/>
      <c r="AB902" s="17" t="n"/>
      <c r="AC902" s="24">
        <f>IF($G902="","",IF($H902="※编码不在物料档案里","※物料编码不在档案里",IF(N($K902)&lt;=0,"※入库数量要大于 0",IF(AND($C902&lt;&gt;"",$C902&lt;=结账锁),"※日期早于已结账截止日，不能再录",IF(AND($L902=0,$X902="正常"),"※没填单价，价格状态请选「待补价」",IF(AND($S902&gt;0,$R902&gt;0),"△本批有 "&amp;$S902&amp;" 行没单价，整批运费先挂账没摊",IF(AND($B902&lt;&gt;"",COUNTIF($B$4:$B$2503,$B902)&gt;1),"※入库单号重复","")))))))</f>
        <v/>
      </c>
    </row>
    <row r="903">
      <c r="A903" s="24">
        <f>IF($G903="","",COUNTA($G$4:$G903))</f>
        <v/>
      </c>
      <c r="B903" s="17" t="n"/>
      <c r="C903" s="30" t="n"/>
      <c r="D903" s="17" t="n"/>
      <c r="E903" s="17" t="n"/>
      <c r="F903" s="17" t="n"/>
      <c r="G903" s="17" t="n"/>
      <c r="H903" s="24">
        <f>IF($G903="","",IFERROR(VLOOKUP($G903,物料档案!$A$4:$P$1203,3,0),"※编码不在物料档案里"))</f>
        <v/>
      </c>
      <c r="I903" s="24">
        <f>IF($G903="","",IFERROR(VLOOKUP($G903,物料档案!$A$4:$P$1203,4,0),"※编码不在物料档案里"))</f>
        <v/>
      </c>
      <c r="J903" s="24">
        <f>IF($G903="","",IFERROR(VLOOKUP($G903,物料档案!$A$4:$P$1203,5,0),"※编码不在物料档案里"))</f>
        <v/>
      </c>
      <c r="K903" s="23" t="n"/>
      <c r="L903" s="31" t="n"/>
      <c r="M903" s="24">
        <f>IF($G903="","",IF($D903="A国内","CNY","TZS"))</f>
        <v/>
      </c>
      <c r="N903" s="28">
        <f>IF($G903="","",IF($D903="A国内",汇率,1))</f>
        <v/>
      </c>
      <c r="O903" s="25">
        <f>IF($G903="","",ROUND(N($K903)*N($L903),2))</f>
        <v/>
      </c>
      <c r="P903" s="26">
        <f>IF($G903="","",ROUND($O903*$N903,0))</f>
        <v/>
      </c>
      <c r="Q903" s="26">
        <f>IF($G903="","",SUMIFS($P$4:$P$2503,$E$4:$E$2503,$E903,$Z$4:$Z$2503,"正常"))</f>
        <v/>
      </c>
      <c r="R903" s="26">
        <f>IF($G903="","",SUMIFS(费用台账!$I$4:$I$503,费用台账!$C$4:$C$503,$E903,费用台账!$J$4:$J$503,"是",费用台账!$K$4:$K$503,"正常"))</f>
        <v/>
      </c>
      <c r="S903" s="28">
        <f>IF($G903="","",COUNTIFS($E$4:$E$2503,$E903,$Z$4:$Z$2503,"正常",$Y$4:$Y$2503,"待补价"))</f>
        <v/>
      </c>
      <c r="T903" s="26">
        <f>IF($G903="","",SUMIFS($P$4:$P$2503,$E$4:$E$2503,$E903,$Z$4:$Z$2503,"正常",$A$4:$A$2503,"&lt;="&amp;$A903))</f>
        <v/>
      </c>
      <c r="U903" s="26">
        <f>IF($G903="","",IF(OR($S903&gt;0,$Q903=0,$R903=0,$Z903&lt;&gt;"正常"),0,ROUND($T903/$Q903*$R903,0)-ROUND(($T903-$P903)/$Q903*$R903,0)))</f>
        <v/>
      </c>
      <c r="V903" s="26">
        <f>IF($G903="","",ROUND($P903+$U903,0))</f>
        <v/>
      </c>
      <c r="W903" s="26">
        <f>IF($G903="","",IF(N($K903)=0,0,ROUND($V903/$K903,2)))</f>
        <v/>
      </c>
      <c r="X903" s="17" t="n"/>
      <c r="Y903" s="17" t="n"/>
      <c r="Z903" s="17" t="n"/>
      <c r="AA903" s="17" t="n"/>
      <c r="AB903" s="17" t="n"/>
      <c r="AC903" s="24">
        <f>IF($G903="","",IF($H903="※编码不在物料档案里","※物料编码不在档案里",IF(N($K903)&lt;=0,"※入库数量要大于 0",IF(AND($C903&lt;&gt;"",$C903&lt;=结账锁),"※日期早于已结账截止日，不能再录",IF(AND($L903=0,$X903="正常"),"※没填单价，价格状态请选「待补价」",IF(AND($S903&gt;0,$R903&gt;0),"△本批有 "&amp;$S903&amp;" 行没单价，整批运费先挂账没摊",IF(AND($B903&lt;&gt;"",COUNTIF($B$4:$B$2503,$B903)&gt;1),"※入库单号重复","")))))))</f>
        <v/>
      </c>
    </row>
    <row r="904">
      <c r="A904" s="24">
        <f>IF($G904="","",COUNTA($G$4:$G904))</f>
        <v/>
      </c>
      <c r="B904" s="17" t="n"/>
      <c r="C904" s="30" t="n"/>
      <c r="D904" s="17" t="n"/>
      <c r="E904" s="17" t="n"/>
      <c r="F904" s="17" t="n"/>
      <c r="G904" s="17" t="n"/>
      <c r="H904" s="24">
        <f>IF($G904="","",IFERROR(VLOOKUP($G904,物料档案!$A$4:$P$1203,3,0),"※编码不在物料档案里"))</f>
        <v/>
      </c>
      <c r="I904" s="24">
        <f>IF($G904="","",IFERROR(VLOOKUP($G904,物料档案!$A$4:$P$1203,4,0),"※编码不在物料档案里"))</f>
        <v/>
      </c>
      <c r="J904" s="24">
        <f>IF($G904="","",IFERROR(VLOOKUP($G904,物料档案!$A$4:$P$1203,5,0),"※编码不在物料档案里"))</f>
        <v/>
      </c>
      <c r="K904" s="23" t="n"/>
      <c r="L904" s="31" t="n"/>
      <c r="M904" s="24">
        <f>IF($G904="","",IF($D904="A国内","CNY","TZS"))</f>
        <v/>
      </c>
      <c r="N904" s="28">
        <f>IF($G904="","",IF($D904="A国内",汇率,1))</f>
        <v/>
      </c>
      <c r="O904" s="25">
        <f>IF($G904="","",ROUND(N($K904)*N($L904),2))</f>
        <v/>
      </c>
      <c r="P904" s="26">
        <f>IF($G904="","",ROUND($O904*$N904,0))</f>
        <v/>
      </c>
      <c r="Q904" s="26">
        <f>IF($G904="","",SUMIFS($P$4:$P$2503,$E$4:$E$2503,$E904,$Z$4:$Z$2503,"正常"))</f>
        <v/>
      </c>
      <c r="R904" s="26">
        <f>IF($G904="","",SUMIFS(费用台账!$I$4:$I$503,费用台账!$C$4:$C$503,$E904,费用台账!$J$4:$J$503,"是",费用台账!$K$4:$K$503,"正常"))</f>
        <v/>
      </c>
      <c r="S904" s="28">
        <f>IF($G904="","",COUNTIFS($E$4:$E$2503,$E904,$Z$4:$Z$2503,"正常",$Y$4:$Y$2503,"待补价"))</f>
        <v/>
      </c>
      <c r="T904" s="26">
        <f>IF($G904="","",SUMIFS($P$4:$P$2503,$E$4:$E$2503,$E904,$Z$4:$Z$2503,"正常",$A$4:$A$2503,"&lt;="&amp;$A904))</f>
        <v/>
      </c>
      <c r="U904" s="26">
        <f>IF($G904="","",IF(OR($S904&gt;0,$Q904=0,$R904=0,$Z904&lt;&gt;"正常"),0,ROUND($T904/$Q904*$R904,0)-ROUND(($T904-$P904)/$Q904*$R904,0)))</f>
        <v/>
      </c>
      <c r="V904" s="26">
        <f>IF($G904="","",ROUND($P904+$U904,0))</f>
        <v/>
      </c>
      <c r="W904" s="26">
        <f>IF($G904="","",IF(N($K904)=0,0,ROUND($V904/$K904,2)))</f>
        <v/>
      </c>
      <c r="X904" s="17" t="n"/>
      <c r="Y904" s="17" t="n"/>
      <c r="Z904" s="17" t="n"/>
      <c r="AA904" s="17" t="n"/>
      <c r="AB904" s="17" t="n"/>
      <c r="AC904" s="24">
        <f>IF($G904="","",IF($H904="※编码不在物料档案里","※物料编码不在档案里",IF(N($K904)&lt;=0,"※入库数量要大于 0",IF(AND($C904&lt;&gt;"",$C904&lt;=结账锁),"※日期早于已结账截止日，不能再录",IF(AND($L904=0,$X904="正常"),"※没填单价，价格状态请选「待补价」",IF(AND($S904&gt;0,$R904&gt;0),"△本批有 "&amp;$S904&amp;" 行没单价，整批运费先挂账没摊",IF(AND($B904&lt;&gt;"",COUNTIF($B$4:$B$2503,$B904)&gt;1),"※入库单号重复","")))))))</f>
        <v/>
      </c>
    </row>
    <row r="905">
      <c r="A905" s="24">
        <f>IF($G905="","",COUNTA($G$4:$G905))</f>
        <v/>
      </c>
      <c r="B905" s="17" t="n"/>
      <c r="C905" s="30" t="n"/>
      <c r="D905" s="17" t="n"/>
      <c r="E905" s="17" t="n"/>
      <c r="F905" s="17" t="n"/>
      <c r="G905" s="17" t="n"/>
      <c r="H905" s="24">
        <f>IF($G905="","",IFERROR(VLOOKUP($G905,物料档案!$A$4:$P$1203,3,0),"※编码不在物料档案里"))</f>
        <v/>
      </c>
      <c r="I905" s="24">
        <f>IF($G905="","",IFERROR(VLOOKUP($G905,物料档案!$A$4:$P$1203,4,0),"※编码不在物料档案里"))</f>
        <v/>
      </c>
      <c r="J905" s="24">
        <f>IF($G905="","",IFERROR(VLOOKUP($G905,物料档案!$A$4:$P$1203,5,0),"※编码不在物料档案里"))</f>
        <v/>
      </c>
      <c r="K905" s="23" t="n"/>
      <c r="L905" s="31" t="n"/>
      <c r="M905" s="24">
        <f>IF($G905="","",IF($D905="A国内","CNY","TZS"))</f>
        <v/>
      </c>
      <c r="N905" s="28">
        <f>IF($G905="","",IF($D905="A国内",汇率,1))</f>
        <v/>
      </c>
      <c r="O905" s="25">
        <f>IF($G905="","",ROUND(N($K905)*N($L905),2))</f>
        <v/>
      </c>
      <c r="P905" s="26">
        <f>IF($G905="","",ROUND($O905*$N905,0))</f>
        <v/>
      </c>
      <c r="Q905" s="26">
        <f>IF($G905="","",SUMIFS($P$4:$P$2503,$E$4:$E$2503,$E905,$Z$4:$Z$2503,"正常"))</f>
        <v/>
      </c>
      <c r="R905" s="26">
        <f>IF($G905="","",SUMIFS(费用台账!$I$4:$I$503,费用台账!$C$4:$C$503,$E905,费用台账!$J$4:$J$503,"是",费用台账!$K$4:$K$503,"正常"))</f>
        <v/>
      </c>
      <c r="S905" s="28">
        <f>IF($G905="","",COUNTIFS($E$4:$E$2503,$E905,$Z$4:$Z$2503,"正常",$Y$4:$Y$2503,"待补价"))</f>
        <v/>
      </c>
      <c r="T905" s="26">
        <f>IF($G905="","",SUMIFS($P$4:$P$2503,$E$4:$E$2503,$E905,$Z$4:$Z$2503,"正常",$A$4:$A$2503,"&lt;="&amp;$A905))</f>
        <v/>
      </c>
      <c r="U905" s="26">
        <f>IF($G905="","",IF(OR($S905&gt;0,$Q905=0,$R905=0,$Z905&lt;&gt;"正常"),0,ROUND($T905/$Q905*$R905,0)-ROUND(($T905-$P905)/$Q905*$R905,0)))</f>
        <v/>
      </c>
      <c r="V905" s="26">
        <f>IF($G905="","",ROUND($P905+$U905,0))</f>
        <v/>
      </c>
      <c r="W905" s="26">
        <f>IF($G905="","",IF(N($K905)=0,0,ROUND($V905/$K905,2)))</f>
        <v/>
      </c>
      <c r="X905" s="17" t="n"/>
      <c r="Y905" s="17" t="n"/>
      <c r="Z905" s="17" t="n"/>
      <c r="AA905" s="17" t="n"/>
      <c r="AB905" s="17" t="n"/>
      <c r="AC905" s="24">
        <f>IF($G905="","",IF($H905="※编码不在物料档案里","※物料编码不在档案里",IF(N($K905)&lt;=0,"※入库数量要大于 0",IF(AND($C905&lt;&gt;"",$C905&lt;=结账锁),"※日期早于已结账截止日，不能再录",IF(AND($L905=0,$X905="正常"),"※没填单价，价格状态请选「待补价」",IF(AND($S905&gt;0,$R905&gt;0),"△本批有 "&amp;$S905&amp;" 行没单价，整批运费先挂账没摊",IF(AND($B905&lt;&gt;"",COUNTIF($B$4:$B$2503,$B905)&gt;1),"※入库单号重复","")))))))</f>
        <v/>
      </c>
    </row>
    <row r="906">
      <c r="A906" s="24">
        <f>IF($G906="","",COUNTA($G$4:$G906))</f>
        <v/>
      </c>
      <c r="B906" s="17" t="n"/>
      <c r="C906" s="30" t="n"/>
      <c r="D906" s="17" t="n"/>
      <c r="E906" s="17" t="n"/>
      <c r="F906" s="17" t="n"/>
      <c r="G906" s="17" t="n"/>
      <c r="H906" s="24">
        <f>IF($G906="","",IFERROR(VLOOKUP($G906,物料档案!$A$4:$P$1203,3,0),"※编码不在物料档案里"))</f>
        <v/>
      </c>
      <c r="I906" s="24">
        <f>IF($G906="","",IFERROR(VLOOKUP($G906,物料档案!$A$4:$P$1203,4,0),"※编码不在物料档案里"))</f>
        <v/>
      </c>
      <c r="J906" s="24">
        <f>IF($G906="","",IFERROR(VLOOKUP($G906,物料档案!$A$4:$P$1203,5,0),"※编码不在物料档案里"))</f>
        <v/>
      </c>
      <c r="K906" s="23" t="n"/>
      <c r="L906" s="31" t="n"/>
      <c r="M906" s="24">
        <f>IF($G906="","",IF($D906="A国内","CNY","TZS"))</f>
        <v/>
      </c>
      <c r="N906" s="28">
        <f>IF($G906="","",IF($D906="A国内",汇率,1))</f>
        <v/>
      </c>
      <c r="O906" s="25">
        <f>IF($G906="","",ROUND(N($K906)*N($L906),2))</f>
        <v/>
      </c>
      <c r="P906" s="26">
        <f>IF($G906="","",ROUND($O906*$N906,0))</f>
        <v/>
      </c>
      <c r="Q906" s="26">
        <f>IF($G906="","",SUMIFS($P$4:$P$2503,$E$4:$E$2503,$E906,$Z$4:$Z$2503,"正常"))</f>
        <v/>
      </c>
      <c r="R906" s="26">
        <f>IF($G906="","",SUMIFS(费用台账!$I$4:$I$503,费用台账!$C$4:$C$503,$E906,费用台账!$J$4:$J$503,"是",费用台账!$K$4:$K$503,"正常"))</f>
        <v/>
      </c>
      <c r="S906" s="28">
        <f>IF($G906="","",COUNTIFS($E$4:$E$2503,$E906,$Z$4:$Z$2503,"正常",$Y$4:$Y$2503,"待补价"))</f>
        <v/>
      </c>
      <c r="T906" s="26">
        <f>IF($G906="","",SUMIFS($P$4:$P$2503,$E$4:$E$2503,$E906,$Z$4:$Z$2503,"正常",$A$4:$A$2503,"&lt;="&amp;$A906))</f>
        <v/>
      </c>
      <c r="U906" s="26">
        <f>IF($G906="","",IF(OR($S906&gt;0,$Q906=0,$R906=0,$Z906&lt;&gt;"正常"),0,ROUND($T906/$Q906*$R906,0)-ROUND(($T906-$P906)/$Q906*$R906,0)))</f>
        <v/>
      </c>
      <c r="V906" s="26">
        <f>IF($G906="","",ROUND($P906+$U906,0))</f>
        <v/>
      </c>
      <c r="W906" s="26">
        <f>IF($G906="","",IF(N($K906)=0,0,ROUND($V906/$K906,2)))</f>
        <v/>
      </c>
      <c r="X906" s="17" t="n"/>
      <c r="Y906" s="17" t="n"/>
      <c r="Z906" s="17" t="n"/>
      <c r="AA906" s="17" t="n"/>
      <c r="AB906" s="17" t="n"/>
      <c r="AC906" s="24">
        <f>IF($G906="","",IF($H906="※编码不在物料档案里","※物料编码不在档案里",IF(N($K906)&lt;=0,"※入库数量要大于 0",IF(AND($C906&lt;&gt;"",$C906&lt;=结账锁),"※日期早于已结账截止日，不能再录",IF(AND($L906=0,$X906="正常"),"※没填单价，价格状态请选「待补价」",IF(AND($S906&gt;0,$R906&gt;0),"△本批有 "&amp;$S906&amp;" 行没单价，整批运费先挂账没摊",IF(AND($B906&lt;&gt;"",COUNTIF($B$4:$B$2503,$B906)&gt;1),"※入库单号重复","")))))))</f>
        <v/>
      </c>
    </row>
    <row r="907">
      <c r="A907" s="24">
        <f>IF($G907="","",COUNTA($G$4:$G907))</f>
        <v/>
      </c>
      <c r="B907" s="17" t="n"/>
      <c r="C907" s="30" t="n"/>
      <c r="D907" s="17" t="n"/>
      <c r="E907" s="17" t="n"/>
      <c r="F907" s="17" t="n"/>
      <c r="G907" s="17" t="n"/>
      <c r="H907" s="24">
        <f>IF($G907="","",IFERROR(VLOOKUP($G907,物料档案!$A$4:$P$1203,3,0),"※编码不在物料档案里"))</f>
        <v/>
      </c>
      <c r="I907" s="24">
        <f>IF($G907="","",IFERROR(VLOOKUP($G907,物料档案!$A$4:$P$1203,4,0),"※编码不在物料档案里"))</f>
        <v/>
      </c>
      <c r="J907" s="24">
        <f>IF($G907="","",IFERROR(VLOOKUP($G907,物料档案!$A$4:$P$1203,5,0),"※编码不在物料档案里"))</f>
        <v/>
      </c>
      <c r="K907" s="23" t="n"/>
      <c r="L907" s="31" t="n"/>
      <c r="M907" s="24">
        <f>IF($G907="","",IF($D907="A国内","CNY","TZS"))</f>
        <v/>
      </c>
      <c r="N907" s="28">
        <f>IF($G907="","",IF($D907="A国内",汇率,1))</f>
        <v/>
      </c>
      <c r="O907" s="25">
        <f>IF($G907="","",ROUND(N($K907)*N($L907),2))</f>
        <v/>
      </c>
      <c r="P907" s="26">
        <f>IF($G907="","",ROUND($O907*$N907,0))</f>
        <v/>
      </c>
      <c r="Q907" s="26">
        <f>IF($G907="","",SUMIFS($P$4:$P$2503,$E$4:$E$2503,$E907,$Z$4:$Z$2503,"正常"))</f>
        <v/>
      </c>
      <c r="R907" s="26">
        <f>IF($G907="","",SUMIFS(费用台账!$I$4:$I$503,费用台账!$C$4:$C$503,$E907,费用台账!$J$4:$J$503,"是",费用台账!$K$4:$K$503,"正常"))</f>
        <v/>
      </c>
      <c r="S907" s="28">
        <f>IF($G907="","",COUNTIFS($E$4:$E$2503,$E907,$Z$4:$Z$2503,"正常",$Y$4:$Y$2503,"待补价"))</f>
        <v/>
      </c>
      <c r="T907" s="26">
        <f>IF($G907="","",SUMIFS($P$4:$P$2503,$E$4:$E$2503,$E907,$Z$4:$Z$2503,"正常",$A$4:$A$2503,"&lt;="&amp;$A907))</f>
        <v/>
      </c>
      <c r="U907" s="26">
        <f>IF($G907="","",IF(OR($S907&gt;0,$Q907=0,$R907=0,$Z907&lt;&gt;"正常"),0,ROUND($T907/$Q907*$R907,0)-ROUND(($T907-$P907)/$Q907*$R907,0)))</f>
        <v/>
      </c>
      <c r="V907" s="26">
        <f>IF($G907="","",ROUND($P907+$U907,0))</f>
        <v/>
      </c>
      <c r="W907" s="26">
        <f>IF($G907="","",IF(N($K907)=0,0,ROUND($V907/$K907,2)))</f>
        <v/>
      </c>
      <c r="X907" s="17" t="n"/>
      <c r="Y907" s="17" t="n"/>
      <c r="Z907" s="17" t="n"/>
      <c r="AA907" s="17" t="n"/>
      <c r="AB907" s="17" t="n"/>
      <c r="AC907" s="24">
        <f>IF($G907="","",IF($H907="※编码不在物料档案里","※物料编码不在档案里",IF(N($K907)&lt;=0,"※入库数量要大于 0",IF(AND($C907&lt;&gt;"",$C907&lt;=结账锁),"※日期早于已结账截止日，不能再录",IF(AND($L907=0,$X907="正常"),"※没填单价，价格状态请选「待补价」",IF(AND($S907&gt;0,$R907&gt;0),"△本批有 "&amp;$S907&amp;" 行没单价，整批运费先挂账没摊",IF(AND($B907&lt;&gt;"",COUNTIF($B$4:$B$2503,$B907)&gt;1),"※入库单号重复","")))))))</f>
        <v/>
      </c>
    </row>
    <row r="908">
      <c r="A908" s="24">
        <f>IF($G908="","",COUNTA($G$4:$G908))</f>
        <v/>
      </c>
      <c r="B908" s="17" t="n"/>
      <c r="C908" s="30" t="n"/>
      <c r="D908" s="17" t="n"/>
      <c r="E908" s="17" t="n"/>
      <c r="F908" s="17" t="n"/>
      <c r="G908" s="17" t="n"/>
      <c r="H908" s="24">
        <f>IF($G908="","",IFERROR(VLOOKUP($G908,物料档案!$A$4:$P$1203,3,0),"※编码不在物料档案里"))</f>
        <v/>
      </c>
      <c r="I908" s="24">
        <f>IF($G908="","",IFERROR(VLOOKUP($G908,物料档案!$A$4:$P$1203,4,0),"※编码不在物料档案里"))</f>
        <v/>
      </c>
      <c r="J908" s="24">
        <f>IF($G908="","",IFERROR(VLOOKUP($G908,物料档案!$A$4:$P$1203,5,0),"※编码不在物料档案里"))</f>
        <v/>
      </c>
      <c r="K908" s="23" t="n"/>
      <c r="L908" s="31" t="n"/>
      <c r="M908" s="24">
        <f>IF($G908="","",IF($D908="A国内","CNY","TZS"))</f>
        <v/>
      </c>
      <c r="N908" s="28">
        <f>IF($G908="","",IF($D908="A国内",汇率,1))</f>
        <v/>
      </c>
      <c r="O908" s="25">
        <f>IF($G908="","",ROUND(N($K908)*N($L908),2))</f>
        <v/>
      </c>
      <c r="P908" s="26">
        <f>IF($G908="","",ROUND($O908*$N908,0))</f>
        <v/>
      </c>
      <c r="Q908" s="26">
        <f>IF($G908="","",SUMIFS($P$4:$P$2503,$E$4:$E$2503,$E908,$Z$4:$Z$2503,"正常"))</f>
        <v/>
      </c>
      <c r="R908" s="26">
        <f>IF($G908="","",SUMIFS(费用台账!$I$4:$I$503,费用台账!$C$4:$C$503,$E908,费用台账!$J$4:$J$503,"是",费用台账!$K$4:$K$503,"正常"))</f>
        <v/>
      </c>
      <c r="S908" s="28">
        <f>IF($G908="","",COUNTIFS($E$4:$E$2503,$E908,$Z$4:$Z$2503,"正常",$Y$4:$Y$2503,"待补价"))</f>
        <v/>
      </c>
      <c r="T908" s="26">
        <f>IF($G908="","",SUMIFS($P$4:$P$2503,$E$4:$E$2503,$E908,$Z$4:$Z$2503,"正常",$A$4:$A$2503,"&lt;="&amp;$A908))</f>
        <v/>
      </c>
      <c r="U908" s="26">
        <f>IF($G908="","",IF(OR($S908&gt;0,$Q908=0,$R908=0,$Z908&lt;&gt;"正常"),0,ROUND($T908/$Q908*$R908,0)-ROUND(($T908-$P908)/$Q908*$R908,0)))</f>
        <v/>
      </c>
      <c r="V908" s="26">
        <f>IF($G908="","",ROUND($P908+$U908,0))</f>
        <v/>
      </c>
      <c r="W908" s="26">
        <f>IF($G908="","",IF(N($K908)=0,0,ROUND($V908/$K908,2)))</f>
        <v/>
      </c>
      <c r="X908" s="17" t="n"/>
      <c r="Y908" s="17" t="n"/>
      <c r="Z908" s="17" t="n"/>
      <c r="AA908" s="17" t="n"/>
      <c r="AB908" s="17" t="n"/>
      <c r="AC908" s="24">
        <f>IF($G908="","",IF($H908="※编码不在物料档案里","※物料编码不在档案里",IF(N($K908)&lt;=0,"※入库数量要大于 0",IF(AND($C908&lt;&gt;"",$C908&lt;=结账锁),"※日期早于已结账截止日，不能再录",IF(AND($L908=0,$X908="正常"),"※没填单价，价格状态请选「待补价」",IF(AND($S908&gt;0,$R908&gt;0),"△本批有 "&amp;$S908&amp;" 行没单价，整批运费先挂账没摊",IF(AND($B908&lt;&gt;"",COUNTIF($B$4:$B$2503,$B908)&gt;1),"※入库单号重复","")))))))</f>
        <v/>
      </c>
    </row>
    <row r="909">
      <c r="A909" s="24">
        <f>IF($G909="","",COUNTA($G$4:$G909))</f>
        <v/>
      </c>
      <c r="B909" s="17" t="n"/>
      <c r="C909" s="30" t="n"/>
      <c r="D909" s="17" t="n"/>
      <c r="E909" s="17" t="n"/>
      <c r="F909" s="17" t="n"/>
      <c r="G909" s="17" t="n"/>
      <c r="H909" s="24">
        <f>IF($G909="","",IFERROR(VLOOKUP($G909,物料档案!$A$4:$P$1203,3,0),"※编码不在物料档案里"))</f>
        <v/>
      </c>
      <c r="I909" s="24">
        <f>IF($G909="","",IFERROR(VLOOKUP($G909,物料档案!$A$4:$P$1203,4,0),"※编码不在物料档案里"))</f>
        <v/>
      </c>
      <c r="J909" s="24">
        <f>IF($G909="","",IFERROR(VLOOKUP($G909,物料档案!$A$4:$P$1203,5,0),"※编码不在物料档案里"))</f>
        <v/>
      </c>
      <c r="K909" s="23" t="n"/>
      <c r="L909" s="31" t="n"/>
      <c r="M909" s="24">
        <f>IF($G909="","",IF($D909="A国内","CNY","TZS"))</f>
        <v/>
      </c>
      <c r="N909" s="28">
        <f>IF($G909="","",IF($D909="A国内",汇率,1))</f>
        <v/>
      </c>
      <c r="O909" s="25">
        <f>IF($G909="","",ROUND(N($K909)*N($L909),2))</f>
        <v/>
      </c>
      <c r="P909" s="26">
        <f>IF($G909="","",ROUND($O909*$N909,0))</f>
        <v/>
      </c>
      <c r="Q909" s="26">
        <f>IF($G909="","",SUMIFS($P$4:$P$2503,$E$4:$E$2503,$E909,$Z$4:$Z$2503,"正常"))</f>
        <v/>
      </c>
      <c r="R909" s="26">
        <f>IF($G909="","",SUMIFS(费用台账!$I$4:$I$503,费用台账!$C$4:$C$503,$E909,费用台账!$J$4:$J$503,"是",费用台账!$K$4:$K$503,"正常"))</f>
        <v/>
      </c>
      <c r="S909" s="28">
        <f>IF($G909="","",COUNTIFS($E$4:$E$2503,$E909,$Z$4:$Z$2503,"正常",$Y$4:$Y$2503,"待补价"))</f>
        <v/>
      </c>
      <c r="T909" s="26">
        <f>IF($G909="","",SUMIFS($P$4:$P$2503,$E$4:$E$2503,$E909,$Z$4:$Z$2503,"正常",$A$4:$A$2503,"&lt;="&amp;$A909))</f>
        <v/>
      </c>
      <c r="U909" s="26">
        <f>IF($G909="","",IF(OR($S909&gt;0,$Q909=0,$R909=0,$Z909&lt;&gt;"正常"),0,ROUND($T909/$Q909*$R909,0)-ROUND(($T909-$P909)/$Q909*$R909,0)))</f>
        <v/>
      </c>
      <c r="V909" s="26">
        <f>IF($G909="","",ROUND($P909+$U909,0))</f>
        <v/>
      </c>
      <c r="W909" s="26">
        <f>IF($G909="","",IF(N($K909)=0,0,ROUND($V909/$K909,2)))</f>
        <v/>
      </c>
      <c r="X909" s="17" t="n"/>
      <c r="Y909" s="17" t="n"/>
      <c r="Z909" s="17" t="n"/>
      <c r="AA909" s="17" t="n"/>
      <c r="AB909" s="17" t="n"/>
      <c r="AC909" s="24">
        <f>IF($G909="","",IF($H909="※编码不在物料档案里","※物料编码不在档案里",IF(N($K909)&lt;=0,"※入库数量要大于 0",IF(AND($C909&lt;&gt;"",$C909&lt;=结账锁),"※日期早于已结账截止日，不能再录",IF(AND($L909=0,$X909="正常"),"※没填单价，价格状态请选「待补价」",IF(AND($S909&gt;0,$R909&gt;0),"△本批有 "&amp;$S909&amp;" 行没单价，整批运费先挂账没摊",IF(AND($B909&lt;&gt;"",COUNTIF($B$4:$B$2503,$B909)&gt;1),"※入库单号重复","")))))))</f>
        <v/>
      </c>
    </row>
    <row r="910">
      <c r="A910" s="24">
        <f>IF($G910="","",COUNTA($G$4:$G910))</f>
        <v/>
      </c>
      <c r="B910" s="17" t="n"/>
      <c r="C910" s="30" t="n"/>
      <c r="D910" s="17" t="n"/>
      <c r="E910" s="17" t="n"/>
      <c r="F910" s="17" t="n"/>
      <c r="G910" s="17" t="n"/>
      <c r="H910" s="24">
        <f>IF($G910="","",IFERROR(VLOOKUP($G910,物料档案!$A$4:$P$1203,3,0),"※编码不在物料档案里"))</f>
        <v/>
      </c>
      <c r="I910" s="24">
        <f>IF($G910="","",IFERROR(VLOOKUP($G910,物料档案!$A$4:$P$1203,4,0),"※编码不在物料档案里"))</f>
        <v/>
      </c>
      <c r="J910" s="24">
        <f>IF($G910="","",IFERROR(VLOOKUP($G910,物料档案!$A$4:$P$1203,5,0),"※编码不在物料档案里"))</f>
        <v/>
      </c>
      <c r="K910" s="23" t="n"/>
      <c r="L910" s="31" t="n"/>
      <c r="M910" s="24">
        <f>IF($G910="","",IF($D910="A国内","CNY","TZS"))</f>
        <v/>
      </c>
      <c r="N910" s="28">
        <f>IF($G910="","",IF($D910="A国内",汇率,1))</f>
        <v/>
      </c>
      <c r="O910" s="25">
        <f>IF($G910="","",ROUND(N($K910)*N($L910),2))</f>
        <v/>
      </c>
      <c r="P910" s="26">
        <f>IF($G910="","",ROUND($O910*$N910,0))</f>
        <v/>
      </c>
      <c r="Q910" s="26">
        <f>IF($G910="","",SUMIFS($P$4:$P$2503,$E$4:$E$2503,$E910,$Z$4:$Z$2503,"正常"))</f>
        <v/>
      </c>
      <c r="R910" s="26">
        <f>IF($G910="","",SUMIFS(费用台账!$I$4:$I$503,费用台账!$C$4:$C$503,$E910,费用台账!$J$4:$J$503,"是",费用台账!$K$4:$K$503,"正常"))</f>
        <v/>
      </c>
      <c r="S910" s="28">
        <f>IF($G910="","",COUNTIFS($E$4:$E$2503,$E910,$Z$4:$Z$2503,"正常",$Y$4:$Y$2503,"待补价"))</f>
        <v/>
      </c>
      <c r="T910" s="26">
        <f>IF($G910="","",SUMIFS($P$4:$P$2503,$E$4:$E$2503,$E910,$Z$4:$Z$2503,"正常",$A$4:$A$2503,"&lt;="&amp;$A910))</f>
        <v/>
      </c>
      <c r="U910" s="26">
        <f>IF($G910="","",IF(OR($S910&gt;0,$Q910=0,$R910=0,$Z910&lt;&gt;"正常"),0,ROUND($T910/$Q910*$R910,0)-ROUND(($T910-$P910)/$Q910*$R910,0)))</f>
        <v/>
      </c>
      <c r="V910" s="26">
        <f>IF($G910="","",ROUND($P910+$U910,0))</f>
        <v/>
      </c>
      <c r="W910" s="26">
        <f>IF($G910="","",IF(N($K910)=0,0,ROUND($V910/$K910,2)))</f>
        <v/>
      </c>
      <c r="X910" s="17" t="n"/>
      <c r="Y910" s="17" t="n"/>
      <c r="Z910" s="17" t="n"/>
      <c r="AA910" s="17" t="n"/>
      <c r="AB910" s="17" t="n"/>
      <c r="AC910" s="24">
        <f>IF($G910="","",IF($H910="※编码不在物料档案里","※物料编码不在档案里",IF(N($K910)&lt;=0,"※入库数量要大于 0",IF(AND($C910&lt;&gt;"",$C910&lt;=结账锁),"※日期早于已结账截止日，不能再录",IF(AND($L910=0,$X910="正常"),"※没填单价，价格状态请选「待补价」",IF(AND($S910&gt;0,$R910&gt;0),"△本批有 "&amp;$S910&amp;" 行没单价，整批运费先挂账没摊",IF(AND($B910&lt;&gt;"",COUNTIF($B$4:$B$2503,$B910)&gt;1),"※入库单号重复","")))))))</f>
        <v/>
      </c>
    </row>
    <row r="911">
      <c r="A911" s="24">
        <f>IF($G911="","",COUNTA($G$4:$G911))</f>
        <v/>
      </c>
      <c r="B911" s="17" t="n"/>
      <c r="C911" s="30" t="n"/>
      <c r="D911" s="17" t="n"/>
      <c r="E911" s="17" t="n"/>
      <c r="F911" s="17" t="n"/>
      <c r="G911" s="17" t="n"/>
      <c r="H911" s="24">
        <f>IF($G911="","",IFERROR(VLOOKUP($G911,物料档案!$A$4:$P$1203,3,0),"※编码不在物料档案里"))</f>
        <v/>
      </c>
      <c r="I911" s="24">
        <f>IF($G911="","",IFERROR(VLOOKUP($G911,物料档案!$A$4:$P$1203,4,0),"※编码不在物料档案里"))</f>
        <v/>
      </c>
      <c r="J911" s="24">
        <f>IF($G911="","",IFERROR(VLOOKUP($G911,物料档案!$A$4:$P$1203,5,0),"※编码不在物料档案里"))</f>
        <v/>
      </c>
      <c r="K911" s="23" t="n"/>
      <c r="L911" s="31" t="n"/>
      <c r="M911" s="24">
        <f>IF($G911="","",IF($D911="A国内","CNY","TZS"))</f>
        <v/>
      </c>
      <c r="N911" s="28">
        <f>IF($G911="","",IF($D911="A国内",汇率,1))</f>
        <v/>
      </c>
      <c r="O911" s="25">
        <f>IF($G911="","",ROUND(N($K911)*N($L911),2))</f>
        <v/>
      </c>
      <c r="P911" s="26">
        <f>IF($G911="","",ROUND($O911*$N911,0))</f>
        <v/>
      </c>
      <c r="Q911" s="26">
        <f>IF($G911="","",SUMIFS($P$4:$P$2503,$E$4:$E$2503,$E911,$Z$4:$Z$2503,"正常"))</f>
        <v/>
      </c>
      <c r="R911" s="26">
        <f>IF($G911="","",SUMIFS(费用台账!$I$4:$I$503,费用台账!$C$4:$C$503,$E911,费用台账!$J$4:$J$503,"是",费用台账!$K$4:$K$503,"正常"))</f>
        <v/>
      </c>
      <c r="S911" s="28">
        <f>IF($G911="","",COUNTIFS($E$4:$E$2503,$E911,$Z$4:$Z$2503,"正常",$Y$4:$Y$2503,"待补价"))</f>
        <v/>
      </c>
      <c r="T911" s="26">
        <f>IF($G911="","",SUMIFS($P$4:$P$2503,$E$4:$E$2503,$E911,$Z$4:$Z$2503,"正常",$A$4:$A$2503,"&lt;="&amp;$A911))</f>
        <v/>
      </c>
      <c r="U911" s="26">
        <f>IF($G911="","",IF(OR($S911&gt;0,$Q911=0,$R911=0,$Z911&lt;&gt;"正常"),0,ROUND($T911/$Q911*$R911,0)-ROUND(($T911-$P911)/$Q911*$R911,0)))</f>
        <v/>
      </c>
      <c r="V911" s="26">
        <f>IF($G911="","",ROUND($P911+$U911,0))</f>
        <v/>
      </c>
      <c r="W911" s="26">
        <f>IF($G911="","",IF(N($K911)=0,0,ROUND($V911/$K911,2)))</f>
        <v/>
      </c>
      <c r="X911" s="17" t="n"/>
      <c r="Y911" s="17" t="n"/>
      <c r="Z911" s="17" t="n"/>
      <c r="AA911" s="17" t="n"/>
      <c r="AB911" s="17" t="n"/>
      <c r="AC911" s="24">
        <f>IF($G911="","",IF($H911="※编码不在物料档案里","※物料编码不在档案里",IF(N($K911)&lt;=0,"※入库数量要大于 0",IF(AND($C911&lt;&gt;"",$C911&lt;=结账锁),"※日期早于已结账截止日，不能再录",IF(AND($L911=0,$X911="正常"),"※没填单价，价格状态请选「待补价」",IF(AND($S911&gt;0,$R911&gt;0),"△本批有 "&amp;$S911&amp;" 行没单价，整批运费先挂账没摊",IF(AND($B911&lt;&gt;"",COUNTIF($B$4:$B$2503,$B911)&gt;1),"※入库单号重复","")))))))</f>
        <v/>
      </c>
    </row>
    <row r="912">
      <c r="A912" s="24">
        <f>IF($G912="","",COUNTA($G$4:$G912))</f>
        <v/>
      </c>
      <c r="B912" s="17" t="n"/>
      <c r="C912" s="30" t="n"/>
      <c r="D912" s="17" t="n"/>
      <c r="E912" s="17" t="n"/>
      <c r="F912" s="17" t="n"/>
      <c r="G912" s="17" t="n"/>
      <c r="H912" s="24">
        <f>IF($G912="","",IFERROR(VLOOKUP($G912,物料档案!$A$4:$P$1203,3,0),"※编码不在物料档案里"))</f>
        <v/>
      </c>
      <c r="I912" s="24">
        <f>IF($G912="","",IFERROR(VLOOKUP($G912,物料档案!$A$4:$P$1203,4,0),"※编码不在物料档案里"))</f>
        <v/>
      </c>
      <c r="J912" s="24">
        <f>IF($G912="","",IFERROR(VLOOKUP($G912,物料档案!$A$4:$P$1203,5,0),"※编码不在物料档案里"))</f>
        <v/>
      </c>
      <c r="K912" s="23" t="n"/>
      <c r="L912" s="31" t="n"/>
      <c r="M912" s="24">
        <f>IF($G912="","",IF($D912="A国内","CNY","TZS"))</f>
        <v/>
      </c>
      <c r="N912" s="28">
        <f>IF($G912="","",IF($D912="A国内",汇率,1))</f>
        <v/>
      </c>
      <c r="O912" s="25">
        <f>IF($G912="","",ROUND(N($K912)*N($L912),2))</f>
        <v/>
      </c>
      <c r="P912" s="26">
        <f>IF($G912="","",ROUND($O912*$N912,0))</f>
        <v/>
      </c>
      <c r="Q912" s="26">
        <f>IF($G912="","",SUMIFS($P$4:$P$2503,$E$4:$E$2503,$E912,$Z$4:$Z$2503,"正常"))</f>
        <v/>
      </c>
      <c r="R912" s="26">
        <f>IF($G912="","",SUMIFS(费用台账!$I$4:$I$503,费用台账!$C$4:$C$503,$E912,费用台账!$J$4:$J$503,"是",费用台账!$K$4:$K$503,"正常"))</f>
        <v/>
      </c>
      <c r="S912" s="28">
        <f>IF($G912="","",COUNTIFS($E$4:$E$2503,$E912,$Z$4:$Z$2503,"正常",$Y$4:$Y$2503,"待补价"))</f>
        <v/>
      </c>
      <c r="T912" s="26">
        <f>IF($G912="","",SUMIFS($P$4:$P$2503,$E$4:$E$2503,$E912,$Z$4:$Z$2503,"正常",$A$4:$A$2503,"&lt;="&amp;$A912))</f>
        <v/>
      </c>
      <c r="U912" s="26">
        <f>IF($G912="","",IF(OR($S912&gt;0,$Q912=0,$R912=0,$Z912&lt;&gt;"正常"),0,ROUND($T912/$Q912*$R912,0)-ROUND(($T912-$P912)/$Q912*$R912,0)))</f>
        <v/>
      </c>
      <c r="V912" s="26">
        <f>IF($G912="","",ROUND($P912+$U912,0))</f>
        <v/>
      </c>
      <c r="W912" s="26">
        <f>IF($G912="","",IF(N($K912)=0,0,ROUND($V912/$K912,2)))</f>
        <v/>
      </c>
      <c r="X912" s="17" t="n"/>
      <c r="Y912" s="17" t="n"/>
      <c r="Z912" s="17" t="n"/>
      <c r="AA912" s="17" t="n"/>
      <c r="AB912" s="17" t="n"/>
      <c r="AC912" s="24">
        <f>IF($G912="","",IF($H912="※编码不在物料档案里","※物料编码不在档案里",IF(N($K912)&lt;=0,"※入库数量要大于 0",IF(AND($C912&lt;&gt;"",$C912&lt;=结账锁),"※日期早于已结账截止日，不能再录",IF(AND($L912=0,$X912="正常"),"※没填单价，价格状态请选「待补价」",IF(AND($S912&gt;0,$R912&gt;0),"△本批有 "&amp;$S912&amp;" 行没单价，整批运费先挂账没摊",IF(AND($B912&lt;&gt;"",COUNTIF($B$4:$B$2503,$B912)&gt;1),"※入库单号重复","")))))))</f>
        <v/>
      </c>
    </row>
    <row r="913">
      <c r="A913" s="24">
        <f>IF($G913="","",COUNTA($G$4:$G913))</f>
        <v/>
      </c>
      <c r="B913" s="17" t="n"/>
      <c r="C913" s="30" t="n"/>
      <c r="D913" s="17" t="n"/>
      <c r="E913" s="17" t="n"/>
      <c r="F913" s="17" t="n"/>
      <c r="G913" s="17" t="n"/>
      <c r="H913" s="24">
        <f>IF($G913="","",IFERROR(VLOOKUP($G913,物料档案!$A$4:$P$1203,3,0),"※编码不在物料档案里"))</f>
        <v/>
      </c>
      <c r="I913" s="24">
        <f>IF($G913="","",IFERROR(VLOOKUP($G913,物料档案!$A$4:$P$1203,4,0),"※编码不在物料档案里"))</f>
        <v/>
      </c>
      <c r="J913" s="24">
        <f>IF($G913="","",IFERROR(VLOOKUP($G913,物料档案!$A$4:$P$1203,5,0),"※编码不在物料档案里"))</f>
        <v/>
      </c>
      <c r="K913" s="23" t="n"/>
      <c r="L913" s="31" t="n"/>
      <c r="M913" s="24">
        <f>IF($G913="","",IF($D913="A国内","CNY","TZS"))</f>
        <v/>
      </c>
      <c r="N913" s="28">
        <f>IF($G913="","",IF($D913="A国内",汇率,1))</f>
        <v/>
      </c>
      <c r="O913" s="25">
        <f>IF($G913="","",ROUND(N($K913)*N($L913),2))</f>
        <v/>
      </c>
      <c r="P913" s="26">
        <f>IF($G913="","",ROUND($O913*$N913,0))</f>
        <v/>
      </c>
      <c r="Q913" s="26">
        <f>IF($G913="","",SUMIFS($P$4:$P$2503,$E$4:$E$2503,$E913,$Z$4:$Z$2503,"正常"))</f>
        <v/>
      </c>
      <c r="R913" s="26">
        <f>IF($G913="","",SUMIFS(费用台账!$I$4:$I$503,费用台账!$C$4:$C$503,$E913,费用台账!$J$4:$J$503,"是",费用台账!$K$4:$K$503,"正常"))</f>
        <v/>
      </c>
      <c r="S913" s="28">
        <f>IF($G913="","",COUNTIFS($E$4:$E$2503,$E913,$Z$4:$Z$2503,"正常",$Y$4:$Y$2503,"待补价"))</f>
        <v/>
      </c>
      <c r="T913" s="26">
        <f>IF($G913="","",SUMIFS($P$4:$P$2503,$E$4:$E$2503,$E913,$Z$4:$Z$2503,"正常",$A$4:$A$2503,"&lt;="&amp;$A913))</f>
        <v/>
      </c>
      <c r="U913" s="26">
        <f>IF($G913="","",IF(OR($S913&gt;0,$Q913=0,$R913=0,$Z913&lt;&gt;"正常"),0,ROUND($T913/$Q913*$R913,0)-ROUND(($T913-$P913)/$Q913*$R913,0)))</f>
        <v/>
      </c>
      <c r="V913" s="26">
        <f>IF($G913="","",ROUND($P913+$U913,0))</f>
        <v/>
      </c>
      <c r="W913" s="26">
        <f>IF($G913="","",IF(N($K913)=0,0,ROUND($V913/$K913,2)))</f>
        <v/>
      </c>
      <c r="X913" s="17" t="n"/>
      <c r="Y913" s="17" t="n"/>
      <c r="Z913" s="17" t="n"/>
      <c r="AA913" s="17" t="n"/>
      <c r="AB913" s="17" t="n"/>
      <c r="AC913" s="24">
        <f>IF($G913="","",IF($H913="※编码不在物料档案里","※物料编码不在档案里",IF(N($K913)&lt;=0,"※入库数量要大于 0",IF(AND($C913&lt;&gt;"",$C913&lt;=结账锁),"※日期早于已结账截止日，不能再录",IF(AND($L913=0,$X913="正常"),"※没填单价，价格状态请选「待补价」",IF(AND($S913&gt;0,$R913&gt;0),"△本批有 "&amp;$S913&amp;" 行没单价，整批运费先挂账没摊",IF(AND($B913&lt;&gt;"",COUNTIF($B$4:$B$2503,$B913)&gt;1),"※入库单号重复","")))))))</f>
        <v/>
      </c>
    </row>
    <row r="914">
      <c r="A914" s="24">
        <f>IF($G914="","",COUNTA($G$4:$G914))</f>
        <v/>
      </c>
      <c r="B914" s="17" t="n"/>
      <c r="C914" s="30" t="n"/>
      <c r="D914" s="17" t="n"/>
      <c r="E914" s="17" t="n"/>
      <c r="F914" s="17" t="n"/>
      <c r="G914" s="17" t="n"/>
      <c r="H914" s="24">
        <f>IF($G914="","",IFERROR(VLOOKUP($G914,物料档案!$A$4:$P$1203,3,0),"※编码不在物料档案里"))</f>
        <v/>
      </c>
      <c r="I914" s="24">
        <f>IF($G914="","",IFERROR(VLOOKUP($G914,物料档案!$A$4:$P$1203,4,0),"※编码不在物料档案里"))</f>
        <v/>
      </c>
      <c r="J914" s="24">
        <f>IF($G914="","",IFERROR(VLOOKUP($G914,物料档案!$A$4:$P$1203,5,0),"※编码不在物料档案里"))</f>
        <v/>
      </c>
      <c r="K914" s="23" t="n"/>
      <c r="L914" s="31" t="n"/>
      <c r="M914" s="24">
        <f>IF($G914="","",IF($D914="A国内","CNY","TZS"))</f>
        <v/>
      </c>
      <c r="N914" s="28">
        <f>IF($G914="","",IF($D914="A国内",汇率,1))</f>
        <v/>
      </c>
      <c r="O914" s="25">
        <f>IF($G914="","",ROUND(N($K914)*N($L914),2))</f>
        <v/>
      </c>
      <c r="P914" s="26">
        <f>IF($G914="","",ROUND($O914*$N914,0))</f>
        <v/>
      </c>
      <c r="Q914" s="26">
        <f>IF($G914="","",SUMIFS($P$4:$P$2503,$E$4:$E$2503,$E914,$Z$4:$Z$2503,"正常"))</f>
        <v/>
      </c>
      <c r="R914" s="26">
        <f>IF($G914="","",SUMIFS(费用台账!$I$4:$I$503,费用台账!$C$4:$C$503,$E914,费用台账!$J$4:$J$503,"是",费用台账!$K$4:$K$503,"正常"))</f>
        <v/>
      </c>
      <c r="S914" s="28">
        <f>IF($G914="","",COUNTIFS($E$4:$E$2503,$E914,$Z$4:$Z$2503,"正常",$Y$4:$Y$2503,"待补价"))</f>
        <v/>
      </c>
      <c r="T914" s="26">
        <f>IF($G914="","",SUMIFS($P$4:$P$2503,$E$4:$E$2503,$E914,$Z$4:$Z$2503,"正常",$A$4:$A$2503,"&lt;="&amp;$A914))</f>
        <v/>
      </c>
      <c r="U914" s="26">
        <f>IF($G914="","",IF(OR($S914&gt;0,$Q914=0,$R914=0,$Z914&lt;&gt;"正常"),0,ROUND($T914/$Q914*$R914,0)-ROUND(($T914-$P914)/$Q914*$R914,0)))</f>
        <v/>
      </c>
      <c r="V914" s="26">
        <f>IF($G914="","",ROUND($P914+$U914,0))</f>
        <v/>
      </c>
      <c r="W914" s="26">
        <f>IF($G914="","",IF(N($K914)=0,0,ROUND($V914/$K914,2)))</f>
        <v/>
      </c>
      <c r="X914" s="17" t="n"/>
      <c r="Y914" s="17" t="n"/>
      <c r="Z914" s="17" t="n"/>
      <c r="AA914" s="17" t="n"/>
      <c r="AB914" s="17" t="n"/>
      <c r="AC914" s="24">
        <f>IF($G914="","",IF($H914="※编码不在物料档案里","※物料编码不在档案里",IF(N($K914)&lt;=0,"※入库数量要大于 0",IF(AND($C914&lt;&gt;"",$C914&lt;=结账锁),"※日期早于已结账截止日，不能再录",IF(AND($L914=0,$X914="正常"),"※没填单价，价格状态请选「待补价」",IF(AND($S914&gt;0,$R914&gt;0),"△本批有 "&amp;$S914&amp;" 行没单价，整批运费先挂账没摊",IF(AND($B914&lt;&gt;"",COUNTIF($B$4:$B$2503,$B914)&gt;1),"※入库单号重复","")))))))</f>
        <v/>
      </c>
    </row>
    <row r="915">
      <c r="A915" s="24">
        <f>IF($G915="","",COUNTA($G$4:$G915))</f>
        <v/>
      </c>
      <c r="B915" s="17" t="n"/>
      <c r="C915" s="30" t="n"/>
      <c r="D915" s="17" t="n"/>
      <c r="E915" s="17" t="n"/>
      <c r="F915" s="17" t="n"/>
      <c r="G915" s="17" t="n"/>
      <c r="H915" s="24">
        <f>IF($G915="","",IFERROR(VLOOKUP($G915,物料档案!$A$4:$P$1203,3,0),"※编码不在物料档案里"))</f>
        <v/>
      </c>
      <c r="I915" s="24">
        <f>IF($G915="","",IFERROR(VLOOKUP($G915,物料档案!$A$4:$P$1203,4,0),"※编码不在物料档案里"))</f>
        <v/>
      </c>
      <c r="J915" s="24">
        <f>IF($G915="","",IFERROR(VLOOKUP($G915,物料档案!$A$4:$P$1203,5,0),"※编码不在物料档案里"))</f>
        <v/>
      </c>
      <c r="K915" s="23" t="n"/>
      <c r="L915" s="31" t="n"/>
      <c r="M915" s="24">
        <f>IF($G915="","",IF($D915="A国内","CNY","TZS"))</f>
        <v/>
      </c>
      <c r="N915" s="28">
        <f>IF($G915="","",IF($D915="A国内",汇率,1))</f>
        <v/>
      </c>
      <c r="O915" s="25">
        <f>IF($G915="","",ROUND(N($K915)*N($L915),2))</f>
        <v/>
      </c>
      <c r="P915" s="26">
        <f>IF($G915="","",ROUND($O915*$N915,0))</f>
        <v/>
      </c>
      <c r="Q915" s="26">
        <f>IF($G915="","",SUMIFS($P$4:$P$2503,$E$4:$E$2503,$E915,$Z$4:$Z$2503,"正常"))</f>
        <v/>
      </c>
      <c r="R915" s="26">
        <f>IF($G915="","",SUMIFS(费用台账!$I$4:$I$503,费用台账!$C$4:$C$503,$E915,费用台账!$J$4:$J$503,"是",费用台账!$K$4:$K$503,"正常"))</f>
        <v/>
      </c>
      <c r="S915" s="28">
        <f>IF($G915="","",COUNTIFS($E$4:$E$2503,$E915,$Z$4:$Z$2503,"正常",$Y$4:$Y$2503,"待补价"))</f>
        <v/>
      </c>
      <c r="T915" s="26">
        <f>IF($G915="","",SUMIFS($P$4:$P$2503,$E$4:$E$2503,$E915,$Z$4:$Z$2503,"正常",$A$4:$A$2503,"&lt;="&amp;$A915))</f>
        <v/>
      </c>
      <c r="U915" s="26">
        <f>IF($G915="","",IF(OR($S915&gt;0,$Q915=0,$R915=0,$Z915&lt;&gt;"正常"),0,ROUND($T915/$Q915*$R915,0)-ROUND(($T915-$P915)/$Q915*$R915,0)))</f>
        <v/>
      </c>
      <c r="V915" s="26">
        <f>IF($G915="","",ROUND($P915+$U915,0))</f>
        <v/>
      </c>
      <c r="W915" s="26">
        <f>IF($G915="","",IF(N($K915)=0,0,ROUND($V915/$K915,2)))</f>
        <v/>
      </c>
      <c r="X915" s="17" t="n"/>
      <c r="Y915" s="17" t="n"/>
      <c r="Z915" s="17" t="n"/>
      <c r="AA915" s="17" t="n"/>
      <c r="AB915" s="17" t="n"/>
      <c r="AC915" s="24">
        <f>IF($G915="","",IF($H915="※编码不在物料档案里","※物料编码不在档案里",IF(N($K915)&lt;=0,"※入库数量要大于 0",IF(AND($C915&lt;&gt;"",$C915&lt;=结账锁),"※日期早于已结账截止日，不能再录",IF(AND($L915=0,$X915="正常"),"※没填单价，价格状态请选「待补价」",IF(AND($S915&gt;0,$R915&gt;0),"△本批有 "&amp;$S915&amp;" 行没单价，整批运费先挂账没摊",IF(AND($B915&lt;&gt;"",COUNTIF($B$4:$B$2503,$B915)&gt;1),"※入库单号重复","")))))))</f>
        <v/>
      </c>
    </row>
    <row r="916">
      <c r="A916" s="24">
        <f>IF($G916="","",COUNTA($G$4:$G916))</f>
        <v/>
      </c>
      <c r="B916" s="17" t="n"/>
      <c r="C916" s="30" t="n"/>
      <c r="D916" s="17" t="n"/>
      <c r="E916" s="17" t="n"/>
      <c r="F916" s="17" t="n"/>
      <c r="G916" s="17" t="n"/>
      <c r="H916" s="24">
        <f>IF($G916="","",IFERROR(VLOOKUP($G916,物料档案!$A$4:$P$1203,3,0),"※编码不在物料档案里"))</f>
        <v/>
      </c>
      <c r="I916" s="24">
        <f>IF($G916="","",IFERROR(VLOOKUP($G916,物料档案!$A$4:$P$1203,4,0),"※编码不在物料档案里"))</f>
        <v/>
      </c>
      <c r="J916" s="24">
        <f>IF($G916="","",IFERROR(VLOOKUP($G916,物料档案!$A$4:$P$1203,5,0),"※编码不在物料档案里"))</f>
        <v/>
      </c>
      <c r="K916" s="23" t="n"/>
      <c r="L916" s="31" t="n"/>
      <c r="M916" s="24">
        <f>IF($G916="","",IF($D916="A国内","CNY","TZS"))</f>
        <v/>
      </c>
      <c r="N916" s="28">
        <f>IF($G916="","",IF($D916="A国内",汇率,1))</f>
        <v/>
      </c>
      <c r="O916" s="25">
        <f>IF($G916="","",ROUND(N($K916)*N($L916),2))</f>
        <v/>
      </c>
      <c r="P916" s="26">
        <f>IF($G916="","",ROUND($O916*$N916,0))</f>
        <v/>
      </c>
      <c r="Q916" s="26">
        <f>IF($G916="","",SUMIFS($P$4:$P$2503,$E$4:$E$2503,$E916,$Z$4:$Z$2503,"正常"))</f>
        <v/>
      </c>
      <c r="R916" s="26">
        <f>IF($G916="","",SUMIFS(费用台账!$I$4:$I$503,费用台账!$C$4:$C$503,$E916,费用台账!$J$4:$J$503,"是",费用台账!$K$4:$K$503,"正常"))</f>
        <v/>
      </c>
      <c r="S916" s="28">
        <f>IF($G916="","",COUNTIFS($E$4:$E$2503,$E916,$Z$4:$Z$2503,"正常",$Y$4:$Y$2503,"待补价"))</f>
        <v/>
      </c>
      <c r="T916" s="26">
        <f>IF($G916="","",SUMIFS($P$4:$P$2503,$E$4:$E$2503,$E916,$Z$4:$Z$2503,"正常",$A$4:$A$2503,"&lt;="&amp;$A916))</f>
        <v/>
      </c>
      <c r="U916" s="26">
        <f>IF($G916="","",IF(OR($S916&gt;0,$Q916=0,$R916=0,$Z916&lt;&gt;"正常"),0,ROUND($T916/$Q916*$R916,0)-ROUND(($T916-$P916)/$Q916*$R916,0)))</f>
        <v/>
      </c>
      <c r="V916" s="26">
        <f>IF($G916="","",ROUND($P916+$U916,0))</f>
        <v/>
      </c>
      <c r="W916" s="26">
        <f>IF($G916="","",IF(N($K916)=0,0,ROUND($V916/$K916,2)))</f>
        <v/>
      </c>
      <c r="X916" s="17" t="n"/>
      <c r="Y916" s="17" t="n"/>
      <c r="Z916" s="17" t="n"/>
      <c r="AA916" s="17" t="n"/>
      <c r="AB916" s="17" t="n"/>
      <c r="AC916" s="24">
        <f>IF($G916="","",IF($H916="※编码不在物料档案里","※物料编码不在档案里",IF(N($K916)&lt;=0,"※入库数量要大于 0",IF(AND($C916&lt;&gt;"",$C916&lt;=结账锁),"※日期早于已结账截止日，不能再录",IF(AND($L916=0,$X916="正常"),"※没填单价，价格状态请选「待补价」",IF(AND($S916&gt;0,$R916&gt;0),"△本批有 "&amp;$S916&amp;" 行没单价，整批运费先挂账没摊",IF(AND($B916&lt;&gt;"",COUNTIF($B$4:$B$2503,$B916)&gt;1),"※入库单号重复","")))))))</f>
        <v/>
      </c>
    </row>
    <row r="917">
      <c r="A917" s="24">
        <f>IF($G917="","",COUNTA($G$4:$G917))</f>
        <v/>
      </c>
      <c r="B917" s="17" t="n"/>
      <c r="C917" s="30" t="n"/>
      <c r="D917" s="17" t="n"/>
      <c r="E917" s="17" t="n"/>
      <c r="F917" s="17" t="n"/>
      <c r="G917" s="17" t="n"/>
      <c r="H917" s="24">
        <f>IF($G917="","",IFERROR(VLOOKUP($G917,物料档案!$A$4:$P$1203,3,0),"※编码不在物料档案里"))</f>
        <v/>
      </c>
      <c r="I917" s="24">
        <f>IF($G917="","",IFERROR(VLOOKUP($G917,物料档案!$A$4:$P$1203,4,0),"※编码不在物料档案里"))</f>
        <v/>
      </c>
      <c r="J917" s="24">
        <f>IF($G917="","",IFERROR(VLOOKUP($G917,物料档案!$A$4:$P$1203,5,0),"※编码不在物料档案里"))</f>
        <v/>
      </c>
      <c r="K917" s="23" t="n"/>
      <c r="L917" s="31" t="n"/>
      <c r="M917" s="24">
        <f>IF($G917="","",IF($D917="A国内","CNY","TZS"))</f>
        <v/>
      </c>
      <c r="N917" s="28">
        <f>IF($G917="","",IF($D917="A国内",汇率,1))</f>
        <v/>
      </c>
      <c r="O917" s="25">
        <f>IF($G917="","",ROUND(N($K917)*N($L917),2))</f>
        <v/>
      </c>
      <c r="P917" s="26">
        <f>IF($G917="","",ROUND($O917*$N917,0))</f>
        <v/>
      </c>
      <c r="Q917" s="26">
        <f>IF($G917="","",SUMIFS($P$4:$P$2503,$E$4:$E$2503,$E917,$Z$4:$Z$2503,"正常"))</f>
        <v/>
      </c>
      <c r="R917" s="26">
        <f>IF($G917="","",SUMIFS(费用台账!$I$4:$I$503,费用台账!$C$4:$C$503,$E917,费用台账!$J$4:$J$503,"是",费用台账!$K$4:$K$503,"正常"))</f>
        <v/>
      </c>
      <c r="S917" s="28">
        <f>IF($G917="","",COUNTIFS($E$4:$E$2503,$E917,$Z$4:$Z$2503,"正常",$Y$4:$Y$2503,"待补价"))</f>
        <v/>
      </c>
      <c r="T917" s="26">
        <f>IF($G917="","",SUMIFS($P$4:$P$2503,$E$4:$E$2503,$E917,$Z$4:$Z$2503,"正常",$A$4:$A$2503,"&lt;="&amp;$A917))</f>
        <v/>
      </c>
      <c r="U917" s="26">
        <f>IF($G917="","",IF(OR($S917&gt;0,$Q917=0,$R917=0,$Z917&lt;&gt;"正常"),0,ROUND($T917/$Q917*$R917,0)-ROUND(($T917-$P917)/$Q917*$R917,0)))</f>
        <v/>
      </c>
      <c r="V917" s="26">
        <f>IF($G917="","",ROUND($P917+$U917,0))</f>
        <v/>
      </c>
      <c r="W917" s="26">
        <f>IF($G917="","",IF(N($K917)=0,0,ROUND($V917/$K917,2)))</f>
        <v/>
      </c>
      <c r="X917" s="17" t="n"/>
      <c r="Y917" s="17" t="n"/>
      <c r="Z917" s="17" t="n"/>
      <c r="AA917" s="17" t="n"/>
      <c r="AB917" s="17" t="n"/>
      <c r="AC917" s="24">
        <f>IF($G917="","",IF($H917="※编码不在物料档案里","※物料编码不在档案里",IF(N($K917)&lt;=0,"※入库数量要大于 0",IF(AND($C917&lt;&gt;"",$C917&lt;=结账锁),"※日期早于已结账截止日，不能再录",IF(AND($L917=0,$X917="正常"),"※没填单价，价格状态请选「待补价」",IF(AND($S917&gt;0,$R917&gt;0),"△本批有 "&amp;$S917&amp;" 行没单价，整批运费先挂账没摊",IF(AND($B917&lt;&gt;"",COUNTIF($B$4:$B$2503,$B917)&gt;1),"※入库单号重复","")))))))</f>
        <v/>
      </c>
    </row>
    <row r="918">
      <c r="A918" s="24">
        <f>IF($G918="","",COUNTA($G$4:$G918))</f>
        <v/>
      </c>
      <c r="B918" s="17" t="n"/>
      <c r="C918" s="30" t="n"/>
      <c r="D918" s="17" t="n"/>
      <c r="E918" s="17" t="n"/>
      <c r="F918" s="17" t="n"/>
      <c r="G918" s="17" t="n"/>
      <c r="H918" s="24">
        <f>IF($G918="","",IFERROR(VLOOKUP($G918,物料档案!$A$4:$P$1203,3,0),"※编码不在物料档案里"))</f>
        <v/>
      </c>
      <c r="I918" s="24">
        <f>IF($G918="","",IFERROR(VLOOKUP($G918,物料档案!$A$4:$P$1203,4,0),"※编码不在物料档案里"))</f>
        <v/>
      </c>
      <c r="J918" s="24">
        <f>IF($G918="","",IFERROR(VLOOKUP($G918,物料档案!$A$4:$P$1203,5,0),"※编码不在物料档案里"))</f>
        <v/>
      </c>
      <c r="K918" s="23" t="n"/>
      <c r="L918" s="31" t="n"/>
      <c r="M918" s="24">
        <f>IF($G918="","",IF($D918="A国内","CNY","TZS"))</f>
        <v/>
      </c>
      <c r="N918" s="28">
        <f>IF($G918="","",IF($D918="A国内",汇率,1))</f>
        <v/>
      </c>
      <c r="O918" s="25">
        <f>IF($G918="","",ROUND(N($K918)*N($L918),2))</f>
        <v/>
      </c>
      <c r="P918" s="26">
        <f>IF($G918="","",ROUND($O918*$N918,0))</f>
        <v/>
      </c>
      <c r="Q918" s="26">
        <f>IF($G918="","",SUMIFS($P$4:$P$2503,$E$4:$E$2503,$E918,$Z$4:$Z$2503,"正常"))</f>
        <v/>
      </c>
      <c r="R918" s="26">
        <f>IF($G918="","",SUMIFS(费用台账!$I$4:$I$503,费用台账!$C$4:$C$503,$E918,费用台账!$J$4:$J$503,"是",费用台账!$K$4:$K$503,"正常"))</f>
        <v/>
      </c>
      <c r="S918" s="28">
        <f>IF($G918="","",COUNTIFS($E$4:$E$2503,$E918,$Z$4:$Z$2503,"正常",$Y$4:$Y$2503,"待补价"))</f>
        <v/>
      </c>
      <c r="T918" s="26">
        <f>IF($G918="","",SUMIFS($P$4:$P$2503,$E$4:$E$2503,$E918,$Z$4:$Z$2503,"正常",$A$4:$A$2503,"&lt;="&amp;$A918))</f>
        <v/>
      </c>
      <c r="U918" s="26">
        <f>IF($G918="","",IF(OR($S918&gt;0,$Q918=0,$R918=0,$Z918&lt;&gt;"正常"),0,ROUND($T918/$Q918*$R918,0)-ROUND(($T918-$P918)/$Q918*$R918,0)))</f>
        <v/>
      </c>
      <c r="V918" s="26">
        <f>IF($G918="","",ROUND($P918+$U918,0))</f>
        <v/>
      </c>
      <c r="W918" s="26">
        <f>IF($G918="","",IF(N($K918)=0,0,ROUND($V918/$K918,2)))</f>
        <v/>
      </c>
      <c r="X918" s="17" t="n"/>
      <c r="Y918" s="17" t="n"/>
      <c r="Z918" s="17" t="n"/>
      <c r="AA918" s="17" t="n"/>
      <c r="AB918" s="17" t="n"/>
      <c r="AC918" s="24">
        <f>IF($G918="","",IF($H918="※编码不在物料档案里","※物料编码不在档案里",IF(N($K918)&lt;=0,"※入库数量要大于 0",IF(AND($C918&lt;&gt;"",$C918&lt;=结账锁),"※日期早于已结账截止日，不能再录",IF(AND($L918=0,$X918="正常"),"※没填单价，价格状态请选「待补价」",IF(AND($S918&gt;0,$R918&gt;0),"△本批有 "&amp;$S918&amp;" 行没单价，整批运费先挂账没摊",IF(AND($B918&lt;&gt;"",COUNTIF($B$4:$B$2503,$B918)&gt;1),"※入库单号重复","")))))))</f>
        <v/>
      </c>
    </row>
    <row r="919">
      <c r="A919" s="24">
        <f>IF($G919="","",COUNTA($G$4:$G919))</f>
        <v/>
      </c>
      <c r="B919" s="17" t="n"/>
      <c r="C919" s="30" t="n"/>
      <c r="D919" s="17" t="n"/>
      <c r="E919" s="17" t="n"/>
      <c r="F919" s="17" t="n"/>
      <c r="G919" s="17" t="n"/>
      <c r="H919" s="24">
        <f>IF($G919="","",IFERROR(VLOOKUP($G919,物料档案!$A$4:$P$1203,3,0),"※编码不在物料档案里"))</f>
        <v/>
      </c>
      <c r="I919" s="24">
        <f>IF($G919="","",IFERROR(VLOOKUP($G919,物料档案!$A$4:$P$1203,4,0),"※编码不在物料档案里"))</f>
        <v/>
      </c>
      <c r="J919" s="24">
        <f>IF($G919="","",IFERROR(VLOOKUP($G919,物料档案!$A$4:$P$1203,5,0),"※编码不在物料档案里"))</f>
        <v/>
      </c>
      <c r="K919" s="23" t="n"/>
      <c r="L919" s="31" t="n"/>
      <c r="M919" s="24">
        <f>IF($G919="","",IF($D919="A国内","CNY","TZS"))</f>
        <v/>
      </c>
      <c r="N919" s="28">
        <f>IF($G919="","",IF($D919="A国内",汇率,1))</f>
        <v/>
      </c>
      <c r="O919" s="25">
        <f>IF($G919="","",ROUND(N($K919)*N($L919),2))</f>
        <v/>
      </c>
      <c r="P919" s="26">
        <f>IF($G919="","",ROUND($O919*$N919,0))</f>
        <v/>
      </c>
      <c r="Q919" s="26">
        <f>IF($G919="","",SUMIFS($P$4:$P$2503,$E$4:$E$2503,$E919,$Z$4:$Z$2503,"正常"))</f>
        <v/>
      </c>
      <c r="R919" s="26">
        <f>IF($G919="","",SUMIFS(费用台账!$I$4:$I$503,费用台账!$C$4:$C$503,$E919,费用台账!$J$4:$J$503,"是",费用台账!$K$4:$K$503,"正常"))</f>
        <v/>
      </c>
      <c r="S919" s="28">
        <f>IF($G919="","",COUNTIFS($E$4:$E$2503,$E919,$Z$4:$Z$2503,"正常",$Y$4:$Y$2503,"待补价"))</f>
        <v/>
      </c>
      <c r="T919" s="26">
        <f>IF($G919="","",SUMIFS($P$4:$P$2503,$E$4:$E$2503,$E919,$Z$4:$Z$2503,"正常",$A$4:$A$2503,"&lt;="&amp;$A919))</f>
        <v/>
      </c>
      <c r="U919" s="26">
        <f>IF($G919="","",IF(OR($S919&gt;0,$Q919=0,$R919=0,$Z919&lt;&gt;"正常"),0,ROUND($T919/$Q919*$R919,0)-ROUND(($T919-$P919)/$Q919*$R919,0)))</f>
        <v/>
      </c>
      <c r="V919" s="26">
        <f>IF($G919="","",ROUND($P919+$U919,0))</f>
        <v/>
      </c>
      <c r="W919" s="26">
        <f>IF($G919="","",IF(N($K919)=0,0,ROUND($V919/$K919,2)))</f>
        <v/>
      </c>
      <c r="X919" s="17" t="n"/>
      <c r="Y919" s="17" t="n"/>
      <c r="Z919" s="17" t="n"/>
      <c r="AA919" s="17" t="n"/>
      <c r="AB919" s="17" t="n"/>
      <c r="AC919" s="24">
        <f>IF($G919="","",IF($H919="※编码不在物料档案里","※物料编码不在档案里",IF(N($K919)&lt;=0,"※入库数量要大于 0",IF(AND($C919&lt;&gt;"",$C919&lt;=结账锁),"※日期早于已结账截止日，不能再录",IF(AND($L919=0,$X919="正常"),"※没填单价，价格状态请选「待补价」",IF(AND($S919&gt;0,$R919&gt;0),"△本批有 "&amp;$S919&amp;" 行没单价，整批运费先挂账没摊",IF(AND($B919&lt;&gt;"",COUNTIF($B$4:$B$2503,$B919)&gt;1),"※入库单号重复","")))))))</f>
        <v/>
      </c>
    </row>
    <row r="920">
      <c r="A920" s="24">
        <f>IF($G920="","",COUNTA($G$4:$G920))</f>
        <v/>
      </c>
      <c r="B920" s="17" t="n"/>
      <c r="C920" s="30" t="n"/>
      <c r="D920" s="17" t="n"/>
      <c r="E920" s="17" t="n"/>
      <c r="F920" s="17" t="n"/>
      <c r="G920" s="17" t="n"/>
      <c r="H920" s="24">
        <f>IF($G920="","",IFERROR(VLOOKUP($G920,物料档案!$A$4:$P$1203,3,0),"※编码不在物料档案里"))</f>
        <v/>
      </c>
      <c r="I920" s="24">
        <f>IF($G920="","",IFERROR(VLOOKUP($G920,物料档案!$A$4:$P$1203,4,0),"※编码不在物料档案里"))</f>
        <v/>
      </c>
      <c r="J920" s="24">
        <f>IF($G920="","",IFERROR(VLOOKUP($G920,物料档案!$A$4:$P$1203,5,0),"※编码不在物料档案里"))</f>
        <v/>
      </c>
      <c r="K920" s="23" t="n"/>
      <c r="L920" s="31" t="n"/>
      <c r="M920" s="24">
        <f>IF($G920="","",IF($D920="A国内","CNY","TZS"))</f>
        <v/>
      </c>
      <c r="N920" s="28">
        <f>IF($G920="","",IF($D920="A国内",汇率,1))</f>
        <v/>
      </c>
      <c r="O920" s="25">
        <f>IF($G920="","",ROUND(N($K920)*N($L920),2))</f>
        <v/>
      </c>
      <c r="P920" s="26">
        <f>IF($G920="","",ROUND($O920*$N920,0))</f>
        <v/>
      </c>
      <c r="Q920" s="26">
        <f>IF($G920="","",SUMIFS($P$4:$P$2503,$E$4:$E$2503,$E920,$Z$4:$Z$2503,"正常"))</f>
        <v/>
      </c>
      <c r="R920" s="26">
        <f>IF($G920="","",SUMIFS(费用台账!$I$4:$I$503,费用台账!$C$4:$C$503,$E920,费用台账!$J$4:$J$503,"是",费用台账!$K$4:$K$503,"正常"))</f>
        <v/>
      </c>
      <c r="S920" s="28">
        <f>IF($G920="","",COUNTIFS($E$4:$E$2503,$E920,$Z$4:$Z$2503,"正常",$Y$4:$Y$2503,"待补价"))</f>
        <v/>
      </c>
      <c r="T920" s="26">
        <f>IF($G920="","",SUMIFS($P$4:$P$2503,$E$4:$E$2503,$E920,$Z$4:$Z$2503,"正常",$A$4:$A$2503,"&lt;="&amp;$A920))</f>
        <v/>
      </c>
      <c r="U920" s="26">
        <f>IF($G920="","",IF(OR($S920&gt;0,$Q920=0,$R920=0,$Z920&lt;&gt;"正常"),0,ROUND($T920/$Q920*$R920,0)-ROUND(($T920-$P920)/$Q920*$R920,0)))</f>
        <v/>
      </c>
      <c r="V920" s="26">
        <f>IF($G920="","",ROUND($P920+$U920,0))</f>
        <v/>
      </c>
      <c r="W920" s="26">
        <f>IF($G920="","",IF(N($K920)=0,0,ROUND($V920/$K920,2)))</f>
        <v/>
      </c>
      <c r="X920" s="17" t="n"/>
      <c r="Y920" s="17" t="n"/>
      <c r="Z920" s="17" t="n"/>
      <c r="AA920" s="17" t="n"/>
      <c r="AB920" s="17" t="n"/>
      <c r="AC920" s="24">
        <f>IF($G920="","",IF($H920="※编码不在物料档案里","※物料编码不在档案里",IF(N($K920)&lt;=0,"※入库数量要大于 0",IF(AND($C920&lt;&gt;"",$C920&lt;=结账锁),"※日期早于已结账截止日，不能再录",IF(AND($L920=0,$X920="正常"),"※没填单价，价格状态请选「待补价」",IF(AND($S920&gt;0,$R920&gt;0),"△本批有 "&amp;$S920&amp;" 行没单价，整批运费先挂账没摊",IF(AND($B920&lt;&gt;"",COUNTIF($B$4:$B$2503,$B920)&gt;1),"※入库单号重复","")))))))</f>
        <v/>
      </c>
    </row>
    <row r="921">
      <c r="A921" s="24">
        <f>IF($G921="","",COUNTA($G$4:$G921))</f>
        <v/>
      </c>
      <c r="B921" s="17" t="n"/>
      <c r="C921" s="30" t="n"/>
      <c r="D921" s="17" t="n"/>
      <c r="E921" s="17" t="n"/>
      <c r="F921" s="17" t="n"/>
      <c r="G921" s="17" t="n"/>
      <c r="H921" s="24">
        <f>IF($G921="","",IFERROR(VLOOKUP($G921,物料档案!$A$4:$P$1203,3,0),"※编码不在物料档案里"))</f>
        <v/>
      </c>
      <c r="I921" s="24">
        <f>IF($G921="","",IFERROR(VLOOKUP($G921,物料档案!$A$4:$P$1203,4,0),"※编码不在物料档案里"))</f>
        <v/>
      </c>
      <c r="J921" s="24">
        <f>IF($G921="","",IFERROR(VLOOKUP($G921,物料档案!$A$4:$P$1203,5,0),"※编码不在物料档案里"))</f>
        <v/>
      </c>
      <c r="K921" s="23" t="n"/>
      <c r="L921" s="31" t="n"/>
      <c r="M921" s="24">
        <f>IF($G921="","",IF($D921="A国内","CNY","TZS"))</f>
        <v/>
      </c>
      <c r="N921" s="28">
        <f>IF($G921="","",IF($D921="A国内",汇率,1))</f>
        <v/>
      </c>
      <c r="O921" s="25">
        <f>IF($G921="","",ROUND(N($K921)*N($L921),2))</f>
        <v/>
      </c>
      <c r="P921" s="26">
        <f>IF($G921="","",ROUND($O921*$N921,0))</f>
        <v/>
      </c>
      <c r="Q921" s="26">
        <f>IF($G921="","",SUMIFS($P$4:$P$2503,$E$4:$E$2503,$E921,$Z$4:$Z$2503,"正常"))</f>
        <v/>
      </c>
      <c r="R921" s="26">
        <f>IF($G921="","",SUMIFS(费用台账!$I$4:$I$503,费用台账!$C$4:$C$503,$E921,费用台账!$J$4:$J$503,"是",费用台账!$K$4:$K$503,"正常"))</f>
        <v/>
      </c>
      <c r="S921" s="28">
        <f>IF($G921="","",COUNTIFS($E$4:$E$2503,$E921,$Z$4:$Z$2503,"正常",$Y$4:$Y$2503,"待补价"))</f>
        <v/>
      </c>
      <c r="T921" s="26">
        <f>IF($G921="","",SUMIFS($P$4:$P$2503,$E$4:$E$2503,$E921,$Z$4:$Z$2503,"正常",$A$4:$A$2503,"&lt;="&amp;$A921))</f>
        <v/>
      </c>
      <c r="U921" s="26">
        <f>IF($G921="","",IF(OR($S921&gt;0,$Q921=0,$R921=0,$Z921&lt;&gt;"正常"),0,ROUND($T921/$Q921*$R921,0)-ROUND(($T921-$P921)/$Q921*$R921,0)))</f>
        <v/>
      </c>
      <c r="V921" s="26">
        <f>IF($G921="","",ROUND($P921+$U921,0))</f>
        <v/>
      </c>
      <c r="W921" s="26">
        <f>IF($G921="","",IF(N($K921)=0,0,ROUND($V921/$K921,2)))</f>
        <v/>
      </c>
      <c r="X921" s="17" t="n"/>
      <c r="Y921" s="17" t="n"/>
      <c r="Z921" s="17" t="n"/>
      <c r="AA921" s="17" t="n"/>
      <c r="AB921" s="17" t="n"/>
      <c r="AC921" s="24">
        <f>IF($G921="","",IF($H921="※编码不在物料档案里","※物料编码不在档案里",IF(N($K921)&lt;=0,"※入库数量要大于 0",IF(AND($C921&lt;&gt;"",$C921&lt;=结账锁),"※日期早于已结账截止日，不能再录",IF(AND($L921=0,$X921="正常"),"※没填单价，价格状态请选「待补价」",IF(AND($S921&gt;0,$R921&gt;0),"△本批有 "&amp;$S921&amp;" 行没单价，整批运费先挂账没摊",IF(AND($B921&lt;&gt;"",COUNTIF($B$4:$B$2503,$B921)&gt;1),"※入库单号重复","")))))))</f>
        <v/>
      </c>
    </row>
    <row r="922">
      <c r="A922" s="24">
        <f>IF($G922="","",COUNTA($G$4:$G922))</f>
        <v/>
      </c>
      <c r="B922" s="17" t="n"/>
      <c r="C922" s="30" t="n"/>
      <c r="D922" s="17" t="n"/>
      <c r="E922" s="17" t="n"/>
      <c r="F922" s="17" t="n"/>
      <c r="G922" s="17" t="n"/>
      <c r="H922" s="24">
        <f>IF($G922="","",IFERROR(VLOOKUP($G922,物料档案!$A$4:$P$1203,3,0),"※编码不在物料档案里"))</f>
        <v/>
      </c>
      <c r="I922" s="24">
        <f>IF($G922="","",IFERROR(VLOOKUP($G922,物料档案!$A$4:$P$1203,4,0),"※编码不在物料档案里"))</f>
        <v/>
      </c>
      <c r="J922" s="24">
        <f>IF($G922="","",IFERROR(VLOOKUP($G922,物料档案!$A$4:$P$1203,5,0),"※编码不在物料档案里"))</f>
        <v/>
      </c>
      <c r="K922" s="23" t="n"/>
      <c r="L922" s="31" t="n"/>
      <c r="M922" s="24">
        <f>IF($G922="","",IF($D922="A国内","CNY","TZS"))</f>
        <v/>
      </c>
      <c r="N922" s="28">
        <f>IF($G922="","",IF($D922="A国内",汇率,1))</f>
        <v/>
      </c>
      <c r="O922" s="25">
        <f>IF($G922="","",ROUND(N($K922)*N($L922),2))</f>
        <v/>
      </c>
      <c r="P922" s="26">
        <f>IF($G922="","",ROUND($O922*$N922,0))</f>
        <v/>
      </c>
      <c r="Q922" s="26">
        <f>IF($G922="","",SUMIFS($P$4:$P$2503,$E$4:$E$2503,$E922,$Z$4:$Z$2503,"正常"))</f>
        <v/>
      </c>
      <c r="R922" s="26">
        <f>IF($G922="","",SUMIFS(费用台账!$I$4:$I$503,费用台账!$C$4:$C$503,$E922,费用台账!$J$4:$J$503,"是",费用台账!$K$4:$K$503,"正常"))</f>
        <v/>
      </c>
      <c r="S922" s="28">
        <f>IF($G922="","",COUNTIFS($E$4:$E$2503,$E922,$Z$4:$Z$2503,"正常",$Y$4:$Y$2503,"待补价"))</f>
        <v/>
      </c>
      <c r="T922" s="26">
        <f>IF($G922="","",SUMIFS($P$4:$P$2503,$E$4:$E$2503,$E922,$Z$4:$Z$2503,"正常",$A$4:$A$2503,"&lt;="&amp;$A922))</f>
        <v/>
      </c>
      <c r="U922" s="26">
        <f>IF($G922="","",IF(OR($S922&gt;0,$Q922=0,$R922=0,$Z922&lt;&gt;"正常"),0,ROUND($T922/$Q922*$R922,0)-ROUND(($T922-$P922)/$Q922*$R922,0)))</f>
        <v/>
      </c>
      <c r="V922" s="26">
        <f>IF($G922="","",ROUND($P922+$U922,0))</f>
        <v/>
      </c>
      <c r="W922" s="26">
        <f>IF($G922="","",IF(N($K922)=0,0,ROUND($V922/$K922,2)))</f>
        <v/>
      </c>
      <c r="X922" s="17" t="n"/>
      <c r="Y922" s="17" t="n"/>
      <c r="Z922" s="17" t="n"/>
      <c r="AA922" s="17" t="n"/>
      <c r="AB922" s="17" t="n"/>
      <c r="AC922" s="24">
        <f>IF($G922="","",IF($H922="※编码不在物料档案里","※物料编码不在档案里",IF(N($K922)&lt;=0,"※入库数量要大于 0",IF(AND($C922&lt;&gt;"",$C922&lt;=结账锁),"※日期早于已结账截止日，不能再录",IF(AND($L922=0,$X922="正常"),"※没填单价，价格状态请选「待补价」",IF(AND($S922&gt;0,$R922&gt;0),"△本批有 "&amp;$S922&amp;" 行没单价，整批运费先挂账没摊",IF(AND($B922&lt;&gt;"",COUNTIF($B$4:$B$2503,$B922)&gt;1),"※入库单号重复","")))))))</f>
        <v/>
      </c>
    </row>
    <row r="923">
      <c r="A923" s="24">
        <f>IF($G923="","",COUNTA($G$4:$G923))</f>
        <v/>
      </c>
      <c r="B923" s="17" t="n"/>
      <c r="C923" s="30" t="n"/>
      <c r="D923" s="17" t="n"/>
      <c r="E923" s="17" t="n"/>
      <c r="F923" s="17" t="n"/>
      <c r="G923" s="17" t="n"/>
      <c r="H923" s="24">
        <f>IF($G923="","",IFERROR(VLOOKUP($G923,物料档案!$A$4:$P$1203,3,0),"※编码不在物料档案里"))</f>
        <v/>
      </c>
      <c r="I923" s="24">
        <f>IF($G923="","",IFERROR(VLOOKUP($G923,物料档案!$A$4:$P$1203,4,0),"※编码不在物料档案里"))</f>
        <v/>
      </c>
      <c r="J923" s="24">
        <f>IF($G923="","",IFERROR(VLOOKUP($G923,物料档案!$A$4:$P$1203,5,0),"※编码不在物料档案里"))</f>
        <v/>
      </c>
      <c r="K923" s="23" t="n"/>
      <c r="L923" s="31" t="n"/>
      <c r="M923" s="24">
        <f>IF($G923="","",IF($D923="A国内","CNY","TZS"))</f>
        <v/>
      </c>
      <c r="N923" s="28">
        <f>IF($G923="","",IF($D923="A国内",汇率,1))</f>
        <v/>
      </c>
      <c r="O923" s="25">
        <f>IF($G923="","",ROUND(N($K923)*N($L923),2))</f>
        <v/>
      </c>
      <c r="P923" s="26">
        <f>IF($G923="","",ROUND($O923*$N923,0))</f>
        <v/>
      </c>
      <c r="Q923" s="26">
        <f>IF($G923="","",SUMIFS($P$4:$P$2503,$E$4:$E$2503,$E923,$Z$4:$Z$2503,"正常"))</f>
        <v/>
      </c>
      <c r="R923" s="26">
        <f>IF($G923="","",SUMIFS(费用台账!$I$4:$I$503,费用台账!$C$4:$C$503,$E923,费用台账!$J$4:$J$503,"是",费用台账!$K$4:$K$503,"正常"))</f>
        <v/>
      </c>
      <c r="S923" s="28">
        <f>IF($G923="","",COUNTIFS($E$4:$E$2503,$E923,$Z$4:$Z$2503,"正常",$Y$4:$Y$2503,"待补价"))</f>
        <v/>
      </c>
      <c r="T923" s="26">
        <f>IF($G923="","",SUMIFS($P$4:$P$2503,$E$4:$E$2503,$E923,$Z$4:$Z$2503,"正常",$A$4:$A$2503,"&lt;="&amp;$A923))</f>
        <v/>
      </c>
      <c r="U923" s="26">
        <f>IF($G923="","",IF(OR($S923&gt;0,$Q923=0,$R923=0,$Z923&lt;&gt;"正常"),0,ROUND($T923/$Q923*$R923,0)-ROUND(($T923-$P923)/$Q923*$R923,0)))</f>
        <v/>
      </c>
      <c r="V923" s="26">
        <f>IF($G923="","",ROUND($P923+$U923,0))</f>
        <v/>
      </c>
      <c r="W923" s="26">
        <f>IF($G923="","",IF(N($K923)=0,0,ROUND($V923/$K923,2)))</f>
        <v/>
      </c>
      <c r="X923" s="17" t="n"/>
      <c r="Y923" s="17" t="n"/>
      <c r="Z923" s="17" t="n"/>
      <c r="AA923" s="17" t="n"/>
      <c r="AB923" s="17" t="n"/>
      <c r="AC923" s="24">
        <f>IF($G923="","",IF($H923="※编码不在物料档案里","※物料编码不在档案里",IF(N($K923)&lt;=0,"※入库数量要大于 0",IF(AND($C923&lt;&gt;"",$C923&lt;=结账锁),"※日期早于已结账截止日，不能再录",IF(AND($L923=0,$X923="正常"),"※没填单价，价格状态请选「待补价」",IF(AND($S923&gt;0,$R923&gt;0),"△本批有 "&amp;$S923&amp;" 行没单价，整批运费先挂账没摊",IF(AND($B923&lt;&gt;"",COUNTIF($B$4:$B$2503,$B923)&gt;1),"※入库单号重复","")))))))</f>
        <v/>
      </c>
    </row>
    <row r="924">
      <c r="A924" s="24">
        <f>IF($G924="","",COUNTA($G$4:$G924))</f>
        <v/>
      </c>
      <c r="B924" s="17" t="n"/>
      <c r="C924" s="30" t="n"/>
      <c r="D924" s="17" t="n"/>
      <c r="E924" s="17" t="n"/>
      <c r="F924" s="17" t="n"/>
      <c r="G924" s="17" t="n"/>
      <c r="H924" s="24">
        <f>IF($G924="","",IFERROR(VLOOKUP($G924,物料档案!$A$4:$P$1203,3,0),"※编码不在物料档案里"))</f>
        <v/>
      </c>
      <c r="I924" s="24">
        <f>IF($G924="","",IFERROR(VLOOKUP($G924,物料档案!$A$4:$P$1203,4,0),"※编码不在物料档案里"))</f>
        <v/>
      </c>
      <c r="J924" s="24">
        <f>IF($G924="","",IFERROR(VLOOKUP($G924,物料档案!$A$4:$P$1203,5,0),"※编码不在物料档案里"))</f>
        <v/>
      </c>
      <c r="K924" s="23" t="n"/>
      <c r="L924" s="31" t="n"/>
      <c r="M924" s="24">
        <f>IF($G924="","",IF($D924="A国内","CNY","TZS"))</f>
        <v/>
      </c>
      <c r="N924" s="28">
        <f>IF($G924="","",IF($D924="A国内",汇率,1))</f>
        <v/>
      </c>
      <c r="O924" s="25">
        <f>IF($G924="","",ROUND(N($K924)*N($L924),2))</f>
        <v/>
      </c>
      <c r="P924" s="26">
        <f>IF($G924="","",ROUND($O924*$N924,0))</f>
        <v/>
      </c>
      <c r="Q924" s="26">
        <f>IF($G924="","",SUMIFS($P$4:$P$2503,$E$4:$E$2503,$E924,$Z$4:$Z$2503,"正常"))</f>
        <v/>
      </c>
      <c r="R924" s="26">
        <f>IF($G924="","",SUMIFS(费用台账!$I$4:$I$503,费用台账!$C$4:$C$503,$E924,费用台账!$J$4:$J$503,"是",费用台账!$K$4:$K$503,"正常"))</f>
        <v/>
      </c>
      <c r="S924" s="28">
        <f>IF($G924="","",COUNTIFS($E$4:$E$2503,$E924,$Z$4:$Z$2503,"正常",$Y$4:$Y$2503,"待补价"))</f>
        <v/>
      </c>
      <c r="T924" s="26">
        <f>IF($G924="","",SUMIFS($P$4:$P$2503,$E$4:$E$2503,$E924,$Z$4:$Z$2503,"正常",$A$4:$A$2503,"&lt;="&amp;$A924))</f>
        <v/>
      </c>
      <c r="U924" s="26">
        <f>IF($G924="","",IF(OR($S924&gt;0,$Q924=0,$R924=0,$Z924&lt;&gt;"正常"),0,ROUND($T924/$Q924*$R924,0)-ROUND(($T924-$P924)/$Q924*$R924,0)))</f>
        <v/>
      </c>
      <c r="V924" s="26">
        <f>IF($G924="","",ROUND($P924+$U924,0))</f>
        <v/>
      </c>
      <c r="W924" s="26">
        <f>IF($G924="","",IF(N($K924)=0,0,ROUND($V924/$K924,2)))</f>
        <v/>
      </c>
      <c r="X924" s="17" t="n"/>
      <c r="Y924" s="17" t="n"/>
      <c r="Z924" s="17" t="n"/>
      <c r="AA924" s="17" t="n"/>
      <c r="AB924" s="17" t="n"/>
      <c r="AC924" s="24">
        <f>IF($G924="","",IF($H924="※编码不在物料档案里","※物料编码不在档案里",IF(N($K924)&lt;=0,"※入库数量要大于 0",IF(AND($C924&lt;&gt;"",$C924&lt;=结账锁),"※日期早于已结账截止日，不能再录",IF(AND($L924=0,$X924="正常"),"※没填单价，价格状态请选「待补价」",IF(AND($S924&gt;0,$R924&gt;0),"△本批有 "&amp;$S924&amp;" 行没单价，整批运费先挂账没摊",IF(AND($B924&lt;&gt;"",COUNTIF($B$4:$B$2503,$B924)&gt;1),"※入库单号重复","")))))))</f>
        <v/>
      </c>
    </row>
    <row r="925">
      <c r="A925" s="24">
        <f>IF($G925="","",COUNTA($G$4:$G925))</f>
        <v/>
      </c>
      <c r="B925" s="17" t="n"/>
      <c r="C925" s="30" t="n"/>
      <c r="D925" s="17" t="n"/>
      <c r="E925" s="17" t="n"/>
      <c r="F925" s="17" t="n"/>
      <c r="G925" s="17" t="n"/>
      <c r="H925" s="24">
        <f>IF($G925="","",IFERROR(VLOOKUP($G925,物料档案!$A$4:$P$1203,3,0),"※编码不在物料档案里"))</f>
        <v/>
      </c>
      <c r="I925" s="24">
        <f>IF($G925="","",IFERROR(VLOOKUP($G925,物料档案!$A$4:$P$1203,4,0),"※编码不在物料档案里"))</f>
        <v/>
      </c>
      <c r="J925" s="24">
        <f>IF($G925="","",IFERROR(VLOOKUP($G925,物料档案!$A$4:$P$1203,5,0),"※编码不在物料档案里"))</f>
        <v/>
      </c>
      <c r="K925" s="23" t="n"/>
      <c r="L925" s="31" t="n"/>
      <c r="M925" s="24">
        <f>IF($G925="","",IF($D925="A国内","CNY","TZS"))</f>
        <v/>
      </c>
      <c r="N925" s="28">
        <f>IF($G925="","",IF($D925="A国内",汇率,1))</f>
        <v/>
      </c>
      <c r="O925" s="25">
        <f>IF($G925="","",ROUND(N($K925)*N($L925),2))</f>
        <v/>
      </c>
      <c r="P925" s="26">
        <f>IF($G925="","",ROUND($O925*$N925,0))</f>
        <v/>
      </c>
      <c r="Q925" s="26">
        <f>IF($G925="","",SUMIFS($P$4:$P$2503,$E$4:$E$2503,$E925,$Z$4:$Z$2503,"正常"))</f>
        <v/>
      </c>
      <c r="R925" s="26">
        <f>IF($G925="","",SUMIFS(费用台账!$I$4:$I$503,费用台账!$C$4:$C$503,$E925,费用台账!$J$4:$J$503,"是",费用台账!$K$4:$K$503,"正常"))</f>
        <v/>
      </c>
      <c r="S925" s="28">
        <f>IF($G925="","",COUNTIFS($E$4:$E$2503,$E925,$Z$4:$Z$2503,"正常",$Y$4:$Y$2503,"待补价"))</f>
        <v/>
      </c>
      <c r="T925" s="26">
        <f>IF($G925="","",SUMIFS($P$4:$P$2503,$E$4:$E$2503,$E925,$Z$4:$Z$2503,"正常",$A$4:$A$2503,"&lt;="&amp;$A925))</f>
        <v/>
      </c>
      <c r="U925" s="26">
        <f>IF($G925="","",IF(OR($S925&gt;0,$Q925=0,$R925=0,$Z925&lt;&gt;"正常"),0,ROUND($T925/$Q925*$R925,0)-ROUND(($T925-$P925)/$Q925*$R925,0)))</f>
        <v/>
      </c>
      <c r="V925" s="26">
        <f>IF($G925="","",ROUND($P925+$U925,0))</f>
        <v/>
      </c>
      <c r="W925" s="26">
        <f>IF($G925="","",IF(N($K925)=0,0,ROUND($V925/$K925,2)))</f>
        <v/>
      </c>
      <c r="X925" s="17" t="n"/>
      <c r="Y925" s="17" t="n"/>
      <c r="Z925" s="17" t="n"/>
      <c r="AA925" s="17" t="n"/>
      <c r="AB925" s="17" t="n"/>
      <c r="AC925" s="24">
        <f>IF($G925="","",IF($H925="※编码不在物料档案里","※物料编码不在档案里",IF(N($K925)&lt;=0,"※入库数量要大于 0",IF(AND($C925&lt;&gt;"",$C925&lt;=结账锁),"※日期早于已结账截止日，不能再录",IF(AND($L925=0,$X925="正常"),"※没填单价，价格状态请选「待补价」",IF(AND($S925&gt;0,$R925&gt;0),"△本批有 "&amp;$S925&amp;" 行没单价，整批运费先挂账没摊",IF(AND($B925&lt;&gt;"",COUNTIF($B$4:$B$2503,$B925)&gt;1),"※入库单号重复","")))))))</f>
        <v/>
      </c>
    </row>
    <row r="926">
      <c r="A926" s="24">
        <f>IF($G926="","",COUNTA($G$4:$G926))</f>
        <v/>
      </c>
      <c r="B926" s="17" t="n"/>
      <c r="C926" s="30" t="n"/>
      <c r="D926" s="17" t="n"/>
      <c r="E926" s="17" t="n"/>
      <c r="F926" s="17" t="n"/>
      <c r="G926" s="17" t="n"/>
      <c r="H926" s="24">
        <f>IF($G926="","",IFERROR(VLOOKUP($G926,物料档案!$A$4:$P$1203,3,0),"※编码不在物料档案里"))</f>
        <v/>
      </c>
      <c r="I926" s="24">
        <f>IF($G926="","",IFERROR(VLOOKUP($G926,物料档案!$A$4:$P$1203,4,0),"※编码不在物料档案里"))</f>
        <v/>
      </c>
      <c r="J926" s="24">
        <f>IF($G926="","",IFERROR(VLOOKUP($G926,物料档案!$A$4:$P$1203,5,0),"※编码不在物料档案里"))</f>
        <v/>
      </c>
      <c r="K926" s="23" t="n"/>
      <c r="L926" s="31" t="n"/>
      <c r="M926" s="24">
        <f>IF($G926="","",IF($D926="A国内","CNY","TZS"))</f>
        <v/>
      </c>
      <c r="N926" s="28">
        <f>IF($G926="","",IF($D926="A国内",汇率,1))</f>
        <v/>
      </c>
      <c r="O926" s="25">
        <f>IF($G926="","",ROUND(N($K926)*N($L926),2))</f>
        <v/>
      </c>
      <c r="P926" s="26">
        <f>IF($G926="","",ROUND($O926*$N926,0))</f>
        <v/>
      </c>
      <c r="Q926" s="26">
        <f>IF($G926="","",SUMIFS($P$4:$P$2503,$E$4:$E$2503,$E926,$Z$4:$Z$2503,"正常"))</f>
        <v/>
      </c>
      <c r="R926" s="26">
        <f>IF($G926="","",SUMIFS(费用台账!$I$4:$I$503,费用台账!$C$4:$C$503,$E926,费用台账!$J$4:$J$503,"是",费用台账!$K$4:$K$503,"正常"))</f>
        <v/>
      </c>
      <c r="S926" s="28">
        <f>IF($G926="","",COUNTIFS($E$4:$E$2503,$E926,$Z$4:$Z$2503,"正常",$Y$4:$Y$2503,"待补价"))</f>
        <v/>
      </c>
      <c r="T926" s="26">
        <f>IF($G926="","",SUMIFS($P$4:$P$2503,$E$4:$E$2503,$E926,$Z$4:$Z$2503,"正常",$A$4:$A$2503,"&lt;="&amp;$A926))</f>
        <v/>
      </c>
      <c r="U926" s="26">
        <f>IF($G926="","",IF(OR($S926&gt;0,$Q926=0,$R926=0,$Z926&lt;&gt;"正常"),0,ROUND($T926/$Q926*$R926,0)-ROUND(($T926-$P926)/$Q926*$R926,0)))</f>
        <v/>
      </c>
      <c r="V926" s="26">
        <f>IF($G926="","",ROUND($P926+$U926,0))</f>
        <v/>
      </c>
      <c r="W926" s="26">
        <f>IF($G926="","",IF(N($K926)=0,0,ROUND($V926/$K926,2)))</f>
        <v/>
      </c>
      <c r="X926" s="17" t="n"/>
      <c r="Y926" s="17" t="n"/>
      <c r="Z926" s="17" t="n"/>
      <c r="AA926" s="17" t="n"/>
      <c r="AB926" s="17" t="n"/>
      <c r="AC926" s="24">
        <f>IF($G926="","",IF($H926="※编码不在物料档案里","※物料编码不在档案里",IF(N($K926)&lt;=0,"※入库数量要大于 0",IF(AND($C926&lt;&gt;"",$C926&lt;=结账锁),"※日期早于已结账截止日，不能再录",IF(AND($L926=0,$X926="正常"),"※没填单价，价格状态请选「待补价」",IF(AND($S926&gt;0,$R926&gt;0),"△本批有 "&amp;$S926&amp;" 行没单价，整批运费先挂账没摊",IF(AND($B926&lt;&gt;"",COUNTIF($B$4:$B$2503,$B926)&gt;1),"※入库单号重复","")))))))</f>
        <v/>
      </c>
    </row>
    <row r="927">
      <c r="A927" s="24">
        <f>IF($G927="","",COUNTA($G$4:$G927))</f>
        <v/>
      </c>
      <c r="B927" s="17" t="n"/>
      <c r="C927" s="30" t="n"/>
      <c r="D927" s="17" t="n"/>
      <c r="E927" s="17" t="n"/>
      <c r="F927" s="17" t="n"/>
      <c r="G927" s="17" t="n"/>
      <c r="H927" s="24">
        <f>IF($G927="","",IFERROR(VLOOKUP($G927,物料档案!$A$4:$P$1203,3,0),"※编码不在物料档案里"))</f>
        <v/>
      </c>
      <c r="I927" s="24">
        <f>IF($G927="","",IFERROR(VLOOKUP($G927,物料档案!$A$4:$P$1203,4,0),"※编码不在物料档案里"))</f>
        <v/>
      </c>
      <c r="J927" s="24">
        <f>IF($G927="","",IFERROR(VLOOKUP($G927,物料档案!$A$4:$P$1203,5,0),"※编码不在物料档案里"))</f>
        <v/>
      </c>
      <c r="K927" s="23" t="n"/>
      <c r="L927" s="31" t="n"/>
      <c r="M927" s="24">
        <f>IF($G927="","",IF($D927="A国内","CNY","TZS"))</f>
        <v/>
      </c>
      <c r="N927" s="28">
        <f>IF($G927="","",IF($D927="A国内",汇率,1))</f>
        <v/>
      </c>
      <c r="O927" s="25">
        <f>IF($G927="","",ROUND(N($K927)*N($L927),2))</f>
        <v/>
      </c>
      <c r="P927" s="26">
        <f>IF($G927="","",ROUND($O927*$N927,0))</f>
        <v/>
      </c>
      <c r="Q927" s="26">
        <f>IF($G927="","",SUMIFS($P$4:$P$2503,$E$4:$E$2503,$E927,$Z$4:$Z$2503,"正常"))</f>
        <v/>
      </c>
      <c r="R927" s="26">
        <f>IF($G927="","",SUMIFS(费用台账!$I$4:$I$503,费用台账!$C$4:$C$503,$E927,费用台账!$J$4:$J$503,"是",费用台账!$K$4:$K$503,"正常"))</f>
        <v/>
      </c>
      <c r="S927" s="28">
        <f>IF($G927="","",COUNTIFS($E$4:$E$2503,$E927,$Z$4:$Z$2503,"正常",$Y$4:$Y$2503,"待补价"))</f>
        <v/>
      </c>
      <c r="T927" s="26">
        <f>IF($G927="","",SUMIFS($P$4:$P$2503,$E$4:$E$2503,$E927,$Z$4:$Z$2503,"正常",$A$4:$A$2503,"&lt;="&amp;$A927))</f>
        <v/>
      </c>
      <c r="U927" s="26">
        <f>IF($G927="","",IF(OR($S927&gt;0,$Q927=0,$R927=0,$Z927&lt;&gt;"正常"),0,ROUND($T927/$Q927*$R927,0)-ROUND(($T927-$P927)/$Q927*$R927,0)))</f>
        <v/>
      </c>
      <c r="V927" s="26">
        <f>IF($G927="","",ROUND($P927+$U927,0))</f>
        <v/>
      </c>
      <c r="W927" s="26">
        <f>IF($G927="","",IF(N($K927)=0,0,ROUND($V927/$K927,2)))</f>
        <v/>
      </c>
      <c r="X927" s="17" t="n"/>
      <c r="Y927" s="17" t="n"/>
      <c r="Z927" s="17" t="n"/>
      <c r="AA927" s="17" t="n"/>
      <c r="AB927" s="17" t="n"/>
      <c r="AC927" s="24">
        <f>IF($G927="","",IF($H927="※编码不在物料档案里","※物料编码不在档案里",IF(N($K927)&lt;=0,"※入库数量要大于 0",IF(AND($C927&lt;&gt;"",$C927&lt;=结账锁),"※日期早于已结账截止日，不能再录",IF(AND($L927=0,$X927="正常"),"※没填单价，价格状态请选「待补价」",IF(AND($S927&gt;0,$R927&gt;0),"△本批有 "&amp;$S927&amp;" 行没单价，整批运费先挂账没摊",IF(AND($B927&lt;&gt;"",COUNTIF($B$4:$B$2503,$B927)&gt;1),"※入库单号重复","")))))))</f>
        <v/>
      </c>
    </row>
    <row r="928">
      <c r="A928" s="24">
        <f>IF($G928="","",COUNTA($G$4:$G928))</f>
        <v/>
      </c>
      <c r="B928" s="17" t="n"/>
      <c r="C928" s="30" t="n"/>
      <c r="D928" s="17" t="n"/>
      <c r="E928" s="17" t="n"/>
      <c r="F928" s="17" t="n"/>
      <c r="G928" s="17" t="n"/>
      <c r="H928" s="24">
        <f>IF($G928="","",IFERROR(VLOOKUP($G928,物料档案!$A$4:$P$1203,3,0),"※编码不在物料档案里"))</f>
        <v/>
      </c>
      <c r="I928" s="24">
        <f>IF($G928="","",IFERROR(VLOOKUP($G928,物料档案!$A$4:$P$1203,4,0),"※编码不在物料档案里"))</f>
        <v/>
      </c>
      <c r="J928" s="24">
        <f>IF($G928="","",IFERROR(VLOOKUP($G928,物料档案!$A$4:$P$1203,5,0),"※编码不在物料档案里"))</f>
        <v/>
      </c>
      <c r="K928" s="23" t="n"/>
      <c r="L928" s="31" t="n"/>
      <c r="M928" s="24">
        <f>IF($G928="","",IF($D928="A国内","CNY","TZS"))</f>
        <v/>
      </c>
      <c r="N928" s="28">
        <f>IF($G928="","",IF($D928="A国内",汇率,1))</f>
        <v/>
      </c>
      <c r="O928" s="25">
        <f>IF($G928="","",ROUND(N($K928)*N($L928),2))</f>
        <v/>
      </c>
      <c r="P928" s="26">
        <f>IF($G928="","",ROUND($O928*$N928,0))</f>
        <v/>
      </c>
      <c r="Q928" s="26">
        <f>IF($G928="","",SUMIFS($P$4:$P$2503,$E$4:$E$2503,$E928,$Z$4:$Z$2503,"正常"))</f>
        <v/>
      </c>
      <c r="R928" s="26">
        <f>IF($G928="","",SUMIFS(费用台账!$I$4:$I$503,费用台账!$C$4:$C$503,$E928,费用台账!$J$4:$J$503,"是",费用台账!$K$4:$K$503,"正常"))</f>
        <v/>
      </c>
      <c r="S928" s="28">
        <f>IF($G928="","",COUNTIFS($E$4:$E$2503,$E928,$Z$4:$Z$2503,"正常",$Y$4:$Y$2503,"待补价"))</f>
        <v/>
      </c>
      <c r="T928" s="26">
        <f>IF($G928="","",SUMIFS($P$4:$P$2503,$E$4:$E$2503,$E928,$Z$4:$Z$2503,"正常",$A$4:$A$2503,"&lt;="&amp;$A928))</f>
        <v/>
      </c>
      <c r="U928" s="26">
        <f>IF($G928="","",IF(OR($S928&gt;0,$Q928=0,$R928=0,$Z928&lt;&gt;"正常"),0,ROUND($T928/$Q928*$R928,0)-ROUND(($T928-$P928)/$Q928*$R928,0)))</f>
        <v/>
      </c>
      <c r="V928" s="26">
        <f>IF($G928="","",ROUND($P928+$U928,0))</f>
        <v/>
      </c>
      <c r="W928" s="26">
        <f>IF($G928="","",IF(N($K928)=0,0,ROUND($V928/$K928,2)))</f>
        <v/>
      </c>
      <c r="X928" s="17" t="n"/>
      <c r="Y928" s="17" t="n"/>
      <c r="Z928" s="17" t="n"/>
      <c r="AA928" s="17" t="n"/>
      <c r="AB928" s="17" t="n"/>
      <c r="AC928" s="24">
        <f>IF($G928="","",IF($H928="※编码不在物料档案里","※物料编码不在档案里",IF(N($K928)&lt;=0,"※入库数量要大于 0",IF(AND($C928&lt;&gt;"",$C928&lt;=结账锁),"※日期早于已结账截止日，不能再录",IF(AND($L928=0,$X928="正常"),"※没填单价，价格状态请选「待补价」",IF(AND($S928&gt;0,$R928&gt;0),"△本批有 "&amp;$S928&amp;" 行没单价，整批运费先挂账没摊",IF(AND($B928&lt;&gt;"",COUNTIF($B$4:$B$2503,$B928)&gt;1),"※入库单号重复","")))))))</f>
        <v/>
      </c>
    </row>
    <row r="929">
      <c r="A929" s="24">
        <f>IF($G929="","",COUNTA($G$4:$G929))</f>
        <v/>
      </c>
      <c r="B929" s="17" t="n"/>
      <c r="C929" s="30" t="n"/>
      <c r="D929" s="17" t="n"/>
      <c r="E929" s="17" t="n"/>
      <c r="F929" s="17" t="n"/>
      <c r="G929" s="17" t="n"/>
      <c r="H929" s="24">
        <f>IF($G929="","",IFERROR(VLOOKUP($G929,物料档案!$A$4:$P$1203,3,0),"※编码不在物料档案里"))</f>
        <v/>
      </c>
      <c r="I929" s="24">
        <f>IF($G929="","",IFERROR(VLOOKUP($G929,物料档案!$A$4:$P$1203,4,0),"※编码不在物料档案里"))</f>
        <v/>
      </c>
      <c r="J929" s="24">
        <f>IF($G929="","",IFERROR(VLOOKUP($G929,物料档案!$A$4:$P$1203,5,0),"※编码不在物料档案里"))</f>
        <v/>
      </c>
      <c r="K929" s="23" t="n"/>
      <c r="L929" s="31" t="n"/>
      <c r="M929" s="24">
        <f>IF($G929="","",IF($D929="A国内","CNY","TZS"))</f>
        <v/>
      </c>
      <c r="N929" s="28">
        <f>IF($G929="","",IF($D929="A国内",汇率,1))</f>
        <v/>
      </c>
      <c r="O929" s="25">
        <f>IF($G929="","",ROUND(N($K929)*N($L929),2))</f>
        <v/>
      </c>
      <c r="P929" s="26">
        <f>IF($G929="","",ROUND($O929*$N929,0))</f>
        <v/>
      </c>
      <c r="Q929" s="26">
        <f>IF($G929="","",SUMIFS($P$4:$P$2503,$E$4:$E$2503,$E929,$Z$4:$Z$2503,"正常"))</f>
        <v/>
      </c>
      <c r="R929" s="26">
        <f>IF($G929="","",SUMIFS(费用台账!$I$4:$I$503,费用台账!$C$4:$C$503,$E929,费用台账!$J$4:$J$503,"是",费用台账!$K$4:$K$503,"正常"))</f>
        <v/>
      </c>
      <c r="S929" s="28">
        <f>IF($G929="","",COUNTIFS($E$4:$E$2503,$E929,$Z$4:$Z$2503,"正常",$Y$4:$Y$2503,"待补价"))</f>
        <v/>
      </c>
      <c r="T929" s="26">
        <f>IF($G929="","",SUMIFS($P$4:$P$2503,$E$4:$E$2503,$E929,$Z$4:$Z$2503,"正常",$A$4:$A$2503,"&lt;="&amp;$A929))</f>
        <v/>
      </c>
      <c r="U929" s="26">
        <f>IF($G929="","",IF(OR($S929&gt;0,$Q929=0,$R929=0,$Z929&lt;&gt;"正常"),0,ROUND($T929/$Q929*$R929,0)-ROUND(($T929-$P929)/$Q929*$R929,0)))</f>
        <v/>
      </c>
      <c r="V929" s="26">
        <f>IF($G929="","",ROUND($P929+$U929,0))</f>
        <v/>
      </c>
      <c r="W929" s="26">
        <f>IF($G929="","",IF(N($K929)=0,0,ROUND($V929/$K929,2)))</f>
        <v/>
      </c>
      <c r="X929" s="17" t="n"/>
      <c r="Y929" s="17" t="n"/>
      <c r="Z929" s="17" t="n"/>
      <c r="AA929" s="17" t="n"/>
      <c r="AB929" s="17" t="n"/>
      <c r="AC929" s="24">
        <f>IF($G929="","",IF($H929="※编码不在物料档案里","※物料编码不在档案里",IF(N($K929)&lt;=0,"※入库数量要大于 0",IF(AND($C929&lt;&gt;"",$C929&lt;=结账锁),"※日期早于已结账截止日，不能再录",IF(AND($L929=0,$X929="正常"),"※没填单价，价格状态请选「待补价」",IF(AND($S929&gt;0,$R929&gt;0),"△本批有 "&amp;$S929&amp;" 行没单价，整批运费先挂账没摊",IF(AND($B929&lt;&gt;"",COUNTIF($B$4:$B$2503,$B929)&gt;1),"※入库单号重复","")))))))</f>
        <v/>
      </c>
    </row>
    <row r="930">
      <c r="A930" s="24">
        <f>IF($G930="","",COUNTA($G$4:$G930))</f>
        <v/>
      </c>
      <c r="B930" s="17" t="n"/>
      <c r="C930" s="30" t="n"/>
      <c r="D930" s="17" t="n"/>
      <c r="E930" s="17" t="n"/>
      <c r="F930" s="17" t="n"/>
      <c r="G930" s="17" t="n"/>
      <c r="H930" s="24">
        <f>IF($G930="","",IFERROR(VLOOKUP($G930,物料档案!$A$4:$P$1203,3,0),"※编码不在物料档案里"))</f>
        <v/>
      </c>
      <c r="I930" s="24">
        <f>IF($G930="","",IFERROR(VLOOKUP($G930,物料档案!$A$4:$P$1203,4,0),"※编码不在物料档案里"))</f>
        <v/>
      </c>
      <c r="J930" s="24">
        <f>IF($G930="","",IFERROR(VLOOKUP($G930,物料档案!$A$4:$P$1203,5,0),"※编码不在物料档案里"))</f>
        <v/>
      </c>
      <c r="K930" s="23" t="n"/>
      <c r="L930" s="31" t="n"/>
      <c r="M930" s="24">
        <f>IF($G930="","",IF($D930="A国内","CNY","TZS"))</f>
        <v/>
      </c>
      <c r="N930" s="28">
        <f>IF($G930="","",IF($D930="A国内",汇率,1))</f>
        <v/>
      </c>
      <c r="O930" s="25">
        <f>IF($G930="","",ROUND(N($K930)*N($L930),2))</f>
        <v/>
      </c>
      <c r="P930" s="26">
        <f>IF($G930="","",ROUND($O930*$N930,0))</f>
        <v/>
      </c>
      <c r="Q930" s="26">
        <f>IF($G930="","",SUMIFS($P$4:$P$2503,$E$4:$E$2503,$E930,$Z$4:$Z$2503,"正常"))</f>
        <v/>
      </c>
      <c r="R930" s="26">
        <f>IF($G930="","",SUMIFS(费用台账!$I$4:$I$503,费用台账!$C$4:$C$503,$E930,费用台账!$J$4:$J$503,"是",费用台账!$K$4:$K$503,"正常"))</f>
        <v/>
      </c>
      <c r="S930" s="28">
        <f>IF($G930="","",COUNTIFS($E$4:$E$2503,$E930,$Z$4:$Z$2503,"正常",$Y$4:$Y$2503,"待补价"))</f>
        <v/>
      </c>
      <c r="T930" s="26">
        <f>IF($G930="","",SUMIFS($P$4:$P$2503,$E$4:$E$2503,$E930,$Z$4:$Z$2503,"正常",$A$4:$A$2503,"&lt;="&amp;$A930))</f>
        <v/>
      </c>
      <c r="U930" s="26">
        <f>IF($G930="","",IF(OR($S930&gt;0,$Q930=0,$R930=0,$Z930&lt;&gt;"正常"),0,ROUND($T930/$Q930*$R930,0)-ROUND(($T930-$P930)/$Q930*$R930,0)))</f>
        <v/>
      </c>
      <c r="V930" s="26">
        <f>IF($G930="","",ROUND($P930+$U930,0))</f>
        <v/>
      </c>
      <c r="W930" s="26">
        <f>IF($G930="","",IF(N($K930)=0,0,ROUND($V930/$K930,2)))</f>
        <v/>
      </c>
      <c r="X930" s="17" t="n"/>
      <c r="Y930" s="17" t="n"/>
      <c r="Z930" s="17" t="n"/>
      <c r="AA930" s="17" t="n"/>
      <c r="AB930" s="17" t="n"/>
      <c r="AC930" s="24">
        <f>IF($G930="","",IF($H930="※编码不在物料档案里","※物料编码不在档案里",IF(N($K930)&lt;=0,"※入库数量要大于 0",IF(AND($C930&lt;&gt;"",$C930&lt;=结账锁),"※日期早于已结账截止日，不能再录",IF(AND($L930=0,$X930="正常"),"※没填单价，价格状态请选「待补价」",IF(AND($S930&gt;0,$R930&gt;0),"△本批有 "&amp;$S930&amp;" 行没单价，整批运费先挂账没摊",IF(AND($B930&lt;&gt;"",COUNTIF($B$4:$B$2503,$B930)&gt;1),"※入库单号重复","")))))))</f>
        <v/>
      </c>
    </row>
    <row r="931">
      <c r="A931" s="24">
        <f>IF($G931="","",COUNTA($G$4:$G931))</f>
        <v/>
      </c>
      <c r="B931" s="17" t="n"/>
      <c r="C931" s="30" t="n"/>
      <c r="D931" s="17" t="n"/>
      <c r="E931" s="17" t="n"/>
      <c r="F931" s="17" t="n"/>
      <c r="G931" s="17" t="n"/>
      <c r="H931" s="24">
        <f>IF($G931="","",IFERROR(VLOOKUP($G931,物料档案!$A$4:$P$1203,3,0),"※编码不在物料档案里"))</f>
        <v/>
      </c>
      <c r="I931" s="24">
        <f>IF($G931="","",IFERROR(VLOOKUP($G931,物料档案!$A$4:$P$1203,4,0),"※编码不在物料档案里"))</f>
        <v/>
      </c>
      <c r="J931" s="24">
        <f>IF($G931="","",IFERROR(VLOOKUP($G931,物料档案!$A$4:$P$1203,5,0),"※编码不在物料档案里"))</f>
        <v/>
      </c>
      <c r="K931" s="23" t="n"/>
      <c r="L931" s="31" t="n"/>
      <c r="M931" s="24">
        <f>IF($G931="","",IF($D931="A国内","CNY","TZS"))</f>
        <v/>
      </c>
      <c r="N931" s="28">
        <f>IF($G931="","",IF($D931="A国内",汇率,1))</f>
        <v/>
      </c>
      <c r="O931" s="25">
        <f>IF($G931="","",ROUND(N($K931)*N($L931),2))</f>
        <v/>
      </c>
      <c r="P931" s="26">
        <f>IF($G931="","",ROUND($O931*$N931,0))</f>
        <v/>
      </c>
      <c r="Q931" s="26">
        <f>IF($G931="","",SUMIFS($P$4:$P$2503,$E$4:$E$2503,$E931,$Z$4:$Z$2503,"正常"))</f>
        <v/>
      </c>
      <c r="R931" s="26">
        <f>IF($G931="","",SUMIFS(费用台账!$I$4:$I$503,费用台账!$C$4:$C$503,$E931,费用台账!$J$4:$J$503,"是",费用台账!$K$4:$K$503,"正常"))</f>
        <v/>
      </c>
      <c r="S931" s="28">
        <f>IF($G931="","",COUNTIFS($E$4:$E$2503,$E931,$Z$4:$Z$2503,"正常",$Y$4:$Y$2503,"待补价"))</f>
        <v/>
      </c>
      <c r="T931" s="26">
        <f>IF($G931="","",SUMIFS($P$4:$P$2503,$E$4:$E$2503,$E931,$Z$4:$Z$2503,"正常",$A$4:$A$2503,"&lt;="&amp;$A931))</f>
        <v/>
      </c>
      <c r="U931" s="26">
        <f>IF($G931="","",IF(OR($S931&gt;0,$Q931=0,$R931=0,$Z931&lt;&gt;"正常"),0,ROUND($T931/$Q931*$R931,0)-ROUND(($T931-$P931)/$Q931*$R931,0)))</f>
        <v/>
      </c>
      <c r="V931" s="26">
        <f>IF($G931="","",ROUND($P931+$U931,0))</f>
        <v/>
      </c>
      <c r="W931" s="26">
        <f>IF($G931="","",IF(N($K931)=0,0,ROUND($V931/$K931,2)))</f>
        <v/>
      </c>
      <c r="X931" s="17" t="n"/>
      <c r="Y931" s="17" t="n"/>
      <c r="Z931" s="17" t="n"/>
      <c r="AA931" s="17" t="n"/>
      <c r="AB931" s="17" t="n"/>
      <c r="AC931" s="24">
        <f>IF($G931="","",IF($H931="※编码不在物料档案里","※物料编码不在档案里",IF(N($K931)&lt;=0,"※入库数量要大于 0",IF(AND($C931&lt;&gt;"",$C931&lt;=结账锁),"※日期早于已结账截止日，不能再录",IF(AND($L931=0,$X931="正常"),"※没填单价，价格状态请选「待补价」",IF(AND($S931&gt;0,$R931&gt;0),"△本批有 "&amp;$S931&amp;" 行没单价，整批运费先挂账没摊",IF(AND($B931&lt;&gt;"",COUNTIF($B$4:$B$2503,$B931)&gt;1),"※入库单号重复","")))))))</f>
        <v/>
      </c>
    </row>
    <row r="932">
      <c r="A932" s="24">
        <f>IF($G932="","",COUNTA($G$4:$G932))</f>
        <v/>
      </c>
      <c r="B932" s="17" t="n"/>
      <c r="C932" s="30" t="n"/>
      <c r="D932" s="17" t="n"/>
      <c r="E932" s="17" t="n"/>
      <c r="F932" s="17" t="n"/>
      <c r="G932" s="17" t="n"/>
      <c r="H932" s="24">
        <f>IF($G932="","",IFERROR(VLOOKUP($G932,物料档案!$A$4:$P$1203,3,0),"※编码不在物料档案里"))</f>
        <v/>
      </c>
      <c r="I932" s="24">
        <f>IF($G932="","",IFERROR(VLOOKUP($G932,物料档案!$A$4:$P$1203,4,0),"※编码不在物料档案里"))</f>
        <v/>
      </c>
      <c r="J932" s="24">
        <f>IF($G932="","",IFERROR(VLOOKUP($G932,物料档案!$A$4:$P$1203,5,0),"※编码不在物料档案里"))</f>
        <v/>
      </c>
      <c r="K932" s="23" t="n"/>
      <c r="L932" s="31" t="n"/>
      <c r="M932" s="24">
        <f>IF($G932="","",IF($D932="A国内","CNY","TZS"))</f>
        <v/>
      </c>
      <c r="N932" s="28">
        <f>IF($G932="","",IF($D932="A国内",汇率,1))</f>
        <v/>
      </c>
      <c r="O932" s="25">
        <f>IF($G932="","",ROUND(N($K932)*N($L932),2))</f>
        <v/>
      </c>
      <c r="P932" s="26">
        <f>IF($G932="","",ROUND($O932*$N932,0))</f>
        <v/>
      </c>
      <c r="Q932" s="26">
        <f>IF($G932="","",SUMIFS($P$4:$P$2503,$E$4:$E$2503,$E932,$Z$4:$Z$2503,"正常"))</f>
        <v/>
      </c>
      <c r="R932" s="26">
        <f>IF($G932="","",SUMIFS(费用台账!$I$4:$I$503,费用台账!$C$4:$C$503,$E932,费用台账!$J$4:$J$503,"是",费用台账!$K$4:$K$503,"正常"))</f>
        <v/>
      </c>
      <c r="S932" s="28">
        <f>IF($G932="","",COUNTIFS($E$4:$E$2503,$E932,$Z$4:$Z$2503,"正常",$Y$4:$Y$2503,"待补价"))</f>
        <v/>
      </c>
      <c r="T932" s="26">
        <f>IF($G932="","",SUMIFS($P$4:$P$2503,$E$4:$E$2503,$E932,$Z$4:$Z$2503,"正常",$A$4:$A$2503,"&lt;="&amp;$A932))</f>
        <v/>
      </c>
      <c r="U932" s="26">
        <f>IF($G932="","",IF(OR($S932&gt;0,$Q932=0,$R932=0,$Z932&lt;&gt;"正常"),0,ROUND($T932/$Q932*$R932,0)-ROUND(($T932-$P932)/$Q932*$R932,0)))</f>
        <v/>
      </c>
      <c r="V932" s="26">
        <f>IF($G932="","",ROUND($P932+$U932,0))</f>
        <v/>
      </c>
      <c r="W932" s="26">
        <f>IF($G932="","",IF(N($K932)=0,0,ROUND($V932/$K932,2)))</f>
        <v/>
      </c>
      <c r="X932" s="17" t="n"/>
      <c r="Y932" s="17" t="n"/>
      <c r="Z932" s="17" t="n"/>
      <c r="AA932" s="17" t="n"/>
      <c r="AB932" s="17" t="n"/>
      <c r="AC932" s="24">
        <f>IF($G932="","",IF($H932="※编码不在物料档案里","※物料编码不在档案里",IF(N($K932)&lt;=0,"※入库数量要大于 0",IF(AND($C932&lt;&gt;"",$C932&lt;=结账锁),"※日期早于已结账截止日，不能再录",IF(AND($L932=0,$X932="正常"),"※没填单价，价格状态请选「待补价」",IF(AND($S932&gt;0,$R932&gt;0),"△本批有 "&amp;$S932&amp;" 行没单价，整批运费先挂账没摊",IF(AND($B932&lt;&gt;"",COUNTIF($B$4:$B$2503,$B932)&gt;1),"※入库单号重复","")))))))</f>
        <v/>
      </c>
    </row>
    <row r="933">
      <c r="A933" s="24">
        <f>IF($G933="","",COUNTA($G$4:$G933))</f>
        <v/>
      </c>
      <c r="B933" s="17" t="n"/>
      <c r="C933" s="30" t="n"/>
      <c r="D933" s="17" t="n"/>
      <c r="E933" s="17" t="n"/>
      <c r="F933" s="17" t="n"/>
      <c r="G933" s="17" t="n"/>
      <c r="H933" s="24">
        <f>IF($G933="","",IFERROR(VLOOKUP($G933,物料档案!$A$4:$P$1203,3,0),"※编码不在物料档案里"))</f>
        <v/>
      </c>
      <c r="I933" s="24">
        <f>IF($G933="","",IFERROR(VLOOKUP($G933,物料档案!$A$4:$P$1203,4,0),"※编码不在物料档案里"))</f>
        <v/>
      </c>
      <c r="J933" s="24">
        <f>IF($G933="","",IFERROR(VLOOKUP($G933,物料档案!$A$4:$P$1203,5,0),"※编码不在物料档案里"))</f>
        <v/>
      </c>
      <c r="K933" s="23" t="n"/>
      <c r="L933" s="31" t="n"/>
      <c r="M933" s="24">
        <f>IF($G933="","",IF($D933="A国内","CNY","TZS"))</f>
        <v/>
      </c>
      <c r="N933" s="28">
        <f>IF($G933="","",IF($D933="A国内",汇率,1))</f>
        <v/>
      </c>
      <c r="O933" s="25">
        <f>IF($G933="","",ROUND(N($K933)*N($L933),2))</f>
        <v/>
      </c>
      <c r="P933" s="26">
        <f>IF($G933="","",ROUND($O933*$N933,0))</f>
        <v/>
      </c>
      <c r="Q933" s="26">
        <f>IF($G933="","",SUMIFS($P$4:$P$2503,$E$4:$E$2503,$E933,$Z$4:$Z$2503,"正常"))</f>
        <v/>
      </c>
      <c r="R933" s="26">
        <f>IF($G933="","",SUMIFS(费用台账!$I$4:$I$503,费用台账!$C$4:$C$503,$E933,费用台账!$J$4:$J$503,"是",费用台账!$K$4:$K$503,"正常"))</f>
        <v/>
      </c>
      <c r="S933" s="28">
        <f>IF($G933="","",COUNTIFS($E$4:$E$2503,$E933,$Z$4:$Z$2503,"正常",$Y$4:$Y$2503,"待补价"))</f>
        <v/>
      </c>
      <c r="T933" s="26">
        <f>IF($G933="","",SUMIFS($P$4:$P$2503,$E$4:$E$2503,$E933,$Z$4:$Z$2503,"正常",$A$4:$A$2503,"&lt;="&amp;$A933))</f>
        <v/>
      </c>
      <c r="U933" s="26">
        <f>IF($G933="","",IF(OR($S933&gt;0,$Q933=0,$R933=0,$Z933&lt;&gt;"正常"),0,ROUND($T933/$Q933*$R933,0)-ROUND(($T933-$P933)/$Q933*$R933,0)))</f>
        <v/>
      </c>
      <c r="V933" s="26">
        <f>IF($G933="","",ROUND($P933+$U933,0))</f>
        <v/>
      </c>
      <c r="W933" s="26">
        <f>IF($G933="","",IF(N($K933)=0,0,ROUND($V933/$K933,2)))</f>
        <v/>
      </c>
      <c r="X933" s="17" t="n"/>
      <c r="Y933" s="17" t="n"/>
      <c r="Z933" s="17" t="n"/>
      <c r="AA933" s="17" t="n"/>
      <c r="AB933" s="17" t="n"/>
      <c r="AC933" s="24">
        <f>IF($G933="","",IF($H933="※编码不在物料档案里","※物料编码不在档案里",IF(N($K933)&lt;=0,"※入库数量要大于 0",IF(AND($C933&lt;&gt;"",$C933&lt;=结账锁),"※日期早于已结账截止日，不能再录",IF(AND($L933=0,$X933="正常"),"※没填单价，价格状态请选「待补价」",IF(AND($S933&gt;0,$R933&gt;0),"△本批有 "&amp;$S933&amp;" 行没单价，整批运费先挂账没摊",IF(AND($B933&lt;&gt;"",COUNTIF($B$4:$B$2503,$B933)&gt;1),"※入库单号重复","")))))))</f>
        <v/>
      </c>
    </row>
    <row r="934">
      <c r="A934" s="24">
        <f>IF($G934="","",COUNTA($G$4:$G934))</f>
        <v/>
      </c>
      <c r="B934" s="17" t="n"/>
      <c r="C934" s="30" t="n"/>
      <c r="D934" s="17" t="n"/>
      <c r="E934" s="17" t="n"/>
      <c r="F934" s="17" t="n"/>
      <c r="G934" s="17" t="n"/>
      <c r="H934" s="24">
        <f>IF($G934="","",IFERROR(VLOOKUP($G934,物料档案!$A$4:$P$1203,3,0),"※编码不在物料档案里"))</f>
        <v/>
      </c>
      <c r="I934" s="24">
        <f>IF($G934="","",IFERROR(VLOOKUP($G934,物料档案!$A$4:$P$1203,4,0),"※编码不在物料档案里"))</f>
        <v/>
      </c>
      <c r="J934" s="24">
        <f>IF($G934="","",IFERROR(VLOOKUP($G934,物料档案!$A$4:$P$1203,5,0),"※编码不在物料档案里"))</f>
        <v/>
      </c>
      <c r="K934" s="23" t="n"/>
      <c r="L934" s="31" t="n"/>
      <c r="M934" s="24">
        <f>IF($G934="","",IF($D934="A国内","CNY","TZS"))</f>
        <v/>
      </c>
      <c r="N934" s="28">
        <f>IF($G934="","",IF($D934="A国内",汇率,1))</f>
        <v/>
      </c>
      <c r="O934" s="25">
        <f>IF($G934="","",ROUND(N($K934)*N($L934),2))</f>
        <v/>
      </c>
      <c r="P934" s="26">
        <f>IF($G934="","",ROUND($O934*$N934,0))</f>
        <v/>
      </c>
      <c r="Q934" s="26">
        <f>IF($G934="","",SUMIFS($P$4:$P$2503,$E$4:$E$2503,$E934,$Z$4:$Z$2503,"正常"))</f>
        <v/>
      </c>
      <c r="R934" s="26">
        <f>IF($G934="","",SUMIFS(费用台账!$I$4:$I$503,费用台账!$C$4:$C$503,$E934,费用台账!$J$4:$J$503,"是",费用台账!$K$4:$K$503,"正常"))</f>
        <v/>
      </c>
      <c r="S934" s="28">
        <f>IF($G934="","",COUNTIFS($E$4:$E$2503,$E934,$Z$4:$Z$2503,"正常",$Y$4:$Y$2503,"待补价"))</f>
        <v/>
      </c>
      <c r="T934" s="26">
        <f>IF($G934="","",SUMIFS($P$4:$P$2503,$E$4:$E$2503,$E934,$Z$4:$Z$2503,"正常",$A$4:$A$2503,"&lt;="&amp;$A934))</f>
        <v/>
      </c>
      <c r="U934" s="26">
        <f>IF($G934="","",IF(OR($S934&gt;0,$Q934=0,$R934=0,$Z934&lt;&gt;"正常"),0,ROUND($T934/$Q934*$R934,0)-ROUND(($T934-$P934)/$Q934*$R934,0)))</f>
        <v/>
      </c>
      <c r="V934" s="26">
        <f>IF($G934="","",ROUND($P934+$U934,0))</f>
        <v/>
      </c>
      <c r="W934" s="26">
        <f>IF($G934="","",IF(N($K934)=0,0,ROUND($V934/$K934,2)))</f>
        <v/>
      </c>
      <c r="X934" s="17" t="n"/>
      <c r="Y934" s="17" t="n"/>
      <c r="Z934" s="17" t="n"/>
      <c r="AA934" s="17" t="n"/>
      <c r="AB934" s="17" t="n"/>
      <c r="AC934" s="24">
        <f>IF($G934="","",IF($H934="※编码不在物料档案里","※物料编码不在档案里",IF(N($K934)&lt;=0,"※入库数量要大于 0",IF(AND($C934&lt;&gt;"",$C934&lt;=结账锁),"※日期早于已结账截止日，不能再录",IF(AND($L934=0,$X934="正常"),"※没填单价，价格状态请选「待补价」",IF(AND($S934&gt;0,$R934&gt;0),"△本批有 "&amp;$S934&amp;" 行没单价，整批运费先挂账没摊",IF(AND($B934&lt;&gt;"",COUNTIF($B$4:$B$2503,$B934)&gt;1),"※入库单号重复","")))))))</f>
        <v/>
      </c>
    </row>
    <row r="935">
      <c r="A935" s="24">
        <f>IF($G935="","",COUNTA($G$4:$G935))</f>
        <v/>
      </c>
      <c r="B935" s="17" t="n"/>
      <c r="C935" s="30" t="n"/>
      <c r="D935" s="17" t="n"/>
      <c r="E935" s="17" t="n"/>
      <c r="F935" s="17" t="n"/>
      <c r="G935" s="17" t="n"/>
      <c r="H935" s="24">
        <f>IF($G935="","",IFERROR(VLOOKUP($G935,物料档案!$A$4:$P$1203,3,0),"※编码不在物料档案里"))</f>
        <v/>
      </c>
      <c r="I935" s="24">
        <f>IF($G935="","",IFERROR(VLOOKUP($G935,物料档案!$A$4:$P$1203,4,0),"※编码不在物料档案里"))</f>
        <v/>
      </c>
      <c r="J935" s="24">
        <f>IF($G935="","",IFERROR(VLOOKUP($G935,物料档案!$A$4:$P$1203,5,0),"※编码不在物料档案里"))</f>
        <v/>
      </c>
      <c r="K935" s="23" t="n"/>
      <c r="L935" s="31" t="n"/>
      <c r="M935" s="24">
        <f>IF($G935="","",IF($D935="A国内","CNY","TZS"))</f>
        <v/>
      </c>
      <c r="N935" s="28">
        <f>IF($G935="","",IF($D935="A国内",汇率,1))</f>
        <v/>
      </c>
      <c r="O935" s="25">
        <f>IF($G935="","",ROUND(N($K935)*N($L935),2))</f>
        <v/>
      </c>
      <c r="P935" s="26">
        <f>IF($G935="","",ROUND($O935*$N935,0))</f>
        <v/>
      </c>
      <c r="Q935" s="26">
        <f>IF($G935="","",SUMIFS($P$4:$P$2503,$E$4:$E$2503,$E935,$Z$4:$Z$2503,"正常"))</f>
        <v/>
      </c>
      <c r="R935" s="26">
        <f>IF($G935="","",SUMIFS(费用台账!$I$4:$I$503,费用台账!$C$4:$C$503,$E935,费用台账!$J$4:$J$503,"是",费用台账!$K$4:$K$503,"正常"))</f>
        <v/>
      </c>
      <c r="S935" s="28">
        <f>IF($G935="","",COUNTIFS($E$4:$E$2503,$E935,$Z$4:$Z$2503,"正常",$Y$4:$Y$2503,"待补价"))</f>
        <v/>
      </c>
      <c r="T935" s="26">
        <f>IF($G935="","",SUMIFS($P$4:$P$2503,$E$4:$E$2503,$E935,$Z$4:$Z$2503,"正常",$A$4:$A$2503,"&lt;="&amp;$A935))</f>
        <v/>
      </c>
      <c r="U935" s="26">
        <f>IF($G935="","",IF(OR($S935&gt;0,$Q935=0,$R935=0,$Z935&lt;&gt;"正常"),0,ROUND($T935/$Q935*$R935,0)-ROUND(($T935-$P935)/$Q935*$R935,0)))</f>
        <v/>
      </c>
      <c r="V935" s="26">
        <f>IF($G935="","",ROUND($P935+$U935,0))</f>
        <v/>
      </c>
      <c r="W935" s="26">
        <f>IF($G935="","",IF(N($K935)=0,0,ROUND($V935/$K935,2)))</f>
        <v/>
      </c>
      <c r="X935" s="17" t="n"/>
      <c r="Y935" s="17" t="n"/>
      <c r="Z935" s="17" t="n"/>
      <c r="AA935" s="17" t="n"/>
      <c r="AB935" s="17" t="n"/>
      <c r="AC935" s="24">
        <f>IF($G935="","",IF($H935="※编码不在物料档案里","※物料编码不在档案里",IF(N($K935)&lt;=0,"※入库数量要大于 0",IF(AND($C935&lt;&gt;"",$C935&lt;=结账锁),"※日期早于已结账截止日，不能再录",IF(AND($L935=0,$X935="正常"),"※没填单价，价格状态请选「待补价」",IF(AND($S935&gt;0,$R935&gt;0),"△本批有 "&amp;$S935&amp;" 行没单价，整批运费先挂账没摊",IF(AND($B935&lt;&gt;"",COUNTIF($B$4:$B$2503,$B935)&gt;1),"※入库单号重复","")))))))</f>
        <v/>
      </c>
    </row>
    <row r="936">
      <c r="A936" s="24">
        <f>IF($G936="","",COUNTA($G$4:$G936))</f>
        <v/>
      </c>
      <c r="B936" s="17" t="n"/>
      <c r="C936" s="30" t="n"/>
      <c r="D936" s="17" t="n"/>
      <c r="E936" s="17" t="n"/>
      <c r="F936" s="17" t="n"/>
      <c r="G936" s="17" t="n"/>
      <c r="H936" s="24">
        <f>IF($G936="","",IFERROR(VLOOKUP($G936,物料档案!$A$4:$P$1203,3,0),"※编码不在物料档案里"))</f>
        <v/>
      </c>
      <c r="I936" s="24">
        <f>IF($G936="","",IFERROR(VLOOKUP($G936,物料档案!$A$4:$P$1203,4,0),"※编码不在物料档案里"))</f>
        <v/>
      </c>
      <c r="J936" s="24">
        <f>IF($G936="","",IFERROR(VLOOKUP($G936,物料档案!$A$4:$P$1203,5,0),"※编码不在物料档案里"))</f>
        <v/>
      </c>
      <c r="K936" s="23" t="n"/>
      <c r="L936" s="31" t="n"/>
      <c r="M936" s="24">
        <f>IF($G936="","",IF($D936="A国内","CNY","TZS"))</f>
        <v/>
      </c>
      <c r="N936" s="28">
        <f>IF($G936="","",IF($D936="A国内",汇率,1))</f>
        <v/>
      </c>
      <c r="O936" s="25">
        <f>IF($G936="","",ROUND(N($K936)*N($L936),2))</f>
        <v/>
      </c>
      <c r="P936" s="26">
        <f>IF($G936="","",ROUND($O936*$N936,0))</f>
        <v/>
      </c>
      <c r="Q936" s="26">
        <f>IF($G936="","",SUMIFS($P$4:$P$2503,$E$4:$E$2503,$E936,$Z$4:$Z$2503,"正常"))</f>
        <v/>
      </c>
      <c r="R936" s="26">
        <f>IF($G936="","",SUMIFS(费用台账!$I$4:$I$503,费用台账!$C$4:$C$503,$E936,费用台账!$J$4:$J$503,"是",费用台账!$K$4:$K$503,"正常"))</f>
        <v/>
      </c>
      <c r="S936" s="28">
        <f>IF($G936="","",COUNTIFS($E$4:$E$2503,$E936,$Z$4:$Z$2503,"正常",$Y$4:$Y$2503,"待补价"))</f>
        <v/>
      </c>
      <c r="T936" s="26">
        <f>IF($G936="","",SUMIFS($P$4:$P$2503,$E$4:$E$2503,$E936,$Z$4:$Z$2503,"正常",$A$4:$A$2503,"&lt;="&amp;$A936))</f>
        <v/>
      </c>
      <c r="U936" s="26">
        <f>IF($G936="","",IF(OR($S936&gt;0,$Q936=0,$R936=0,$Z936&lt;&gt;"正常"),0,ROUND($T936/$Q936*$R936,0)-ROUND(($T936-$P936)/$Q936*$R936,0)))</f>
        <v/>
      </c>
      <c r="V936" s="26">
        <f>IF($G936="","",ROUND($P936+$U936,0))</f>
        <v/>
      </c>
      <c r="W936" s="26">
        <f>IF($G936="","",IF(N($K936)=0,0,ROUND($V936/$K936,2)))</f>
        <v/>
      </c>
      <c r="X936" s="17" t="n"/>
      <c r="Y936" s="17" t="n"/>
      <c r="Z936" s="17" t="n"/>
      <c r="AA936" s="17" t="n"/>
      <c r="AB936" s="17" t="n"/>
      <c r="AC936" s="24">
        <f>IF($G936="","",IF($H936="※编码不在物料档案里","※物料编码不在档案里",IF(N($K936)&lt;=0,"※入库数量要大于 0",IF(AND($C936&lt;&gt;"",$C936&lt;=结账锁),"※日期早于已结账截止日，不能再录",IF(AND($L936=0,$X936="正常"),"※没填单价，价格状态请选「待补价」",IF(AND($S936&gt;0,$R936&gt;0),"△本批有 "&amp;$S936&amp;" 行没单价，整批运费先挂账没摊",IF(AND($B936&lt;&gt;"",COUNTIF($B$4:$B$2503,$B936)&gt;1),"※入库单号重复","")))))))</f>
        <v/>
      </c>
    </row>
    <row r="937">
      <c r="A937" s="24">
        <f>IF($G937="","",COUNTA($G$4:$G937))</f>
        <v/>
      </c>
      <c r="B937" s="17" t="n"/>
      <c r="C937" s="30" t="n"/>
      <c r="D937" s="17" t="n"/>
      <c r="E937" s="17" t="n"/>
      <c r="F937" s="17" t="n"/>
      <c r="G937" s="17" t="n"/>
      <c r="H937" s="24">
        <f>IF($G937="","",IFERROR(VLOOKUP($G937,物料档案!$A$4:$P$1203,3,0),"※编码不在物料档案里"))</f>
        <v/>
      </c>
      <c r="I937" s="24">
        <f>IF($G937="","",IFERROR(VLOOKUP($G937,物料档案!$A$4:$P$1203,4,0),"※编码不在物料档案里"))</f>
        <v/>
      </c>
      <c r="J937" s="24">
        <f>IF($G937="","",IFERROR(VLOOKUP($G937,物料档案!$A$4:$P$1203,5,0),"※编码不在物料档案里"))</f>
        <v/>
      </c>
      <c r="K937" s="23" t="n"/>
      <c r="L937" s="31" t="n"/>
      <c r="M937" s="24">
        <f>IF($G937="","",IF($D937="A国内","CNY","TZS"))</f>
        <v/>
      </c>
      <c r="N937" s="28">
        <f>IF($G937="","",IF($D937="A国内",汇率,1))</f>
        <v/>
      </c>
      <c r="O937" s="25">
        <f>IF($G937="","",ROUND(N($K937)*N($L937),2))</f>
        <v/>
      </c>
      <c r="P937" s="26">
        <f>IF($G937="","",ROUND($O937*$N937,0))</f>
        <v/>
      </c>
      <c r="Q937" s="26">
        <f>IF($G937="","",SUMIFS($P$4:$P$2503,$E$4:$E$2503,$E937,$Z$4:$Z$2503,"正常"))</f>
        <v/>
      </c>
      <c r="R937" s="26">
        <f>IF($G937="","",SUMIFS(费用台账!$I$4:$I$503,费用台账!$C$4:$C$503,$E937,费用台账!$J$4:$J$503,"是",费用台账!$K$4:$K$503,"正常"))</f>
        <v/>
      </c>
      <c r="S937" s="28">
        <f>IF($G937="","",COUNTIFS($E$4:$E$2503,$E937,$Z$4:$Z$2503,"正常",$Y$4:$Y$2503,"待补价"))</f>
        <v/>
      </c>
      <c r="T937" s="26">
        <f>IF($G937="","",SUMIFS($P$4:$P$2503,$E$4:$E$2503,$E937,$Z$4:$Z$2503,"正常",$A$4:$A$2503,"&lt;="&amp;$A937))</f>
        <v/>
      </c>
      <c r="U937" s="26">
        <f>IF($G937="","",IF(OR($S937&gt;0,$Q937=0,$R937=0,$Z937&lt;&gt;"正常"),0,ROUND($T937/$Q937*$R937,0)-ROUND(($T937-$P937)/$Q937*$R937,0)))</f>
        <v/>
      </c>
      <c r="V937" s="26">
        <f>IF($G937="","",ROUND($P937+$U937,0))</f>
        <v/>
      </c>
      <c r="W937" s="26">
        <f>IF($G937="","",IF(N($K937)=0,0,ROUND($V937/$K937,2)))</f>
        <v/>
      </c>
      <c r="X937" s="17" t="n"/>
      <c r="Y937" s="17" t="n"/>
      <c r="Z937" s="17" t="n"/>
      <c r="AA937" s="17" t="n"/>
      <c r="AB937" s="17" t="n"/>
      <c r="AC937" s="24">
        <f>IF($G937="","",IF($H937="※编码不在物料档案里","※物料编码不在档案里",IF(N($K937)&lt;=0,"※入库数量要大于 0",IF(AND($C937&lt;&gt;"",$C937&lt;=结账锁),"※日期早于已结账截止日，不能再录",IF(AND($L937=0,$X937="正常"),"※没填单价，价格状态请选「待补价」",IF(AND($S937&gt;0,$R937&gt;0),"△本批有 "&amp;$S937&amp;" 行没单价，整批运费先挂账没摊",IF(AND($B937&lt;&gt;"",COUNTIF($B$4:$B$2503,$B937)&gt;1),"※入库单号重复","")))))))</f>
        <v/>
      </c>
    </row>
    <row r="938">
      <c r="A938" s="24">
        <f>IF($G938="","",COUNTA($G$4:$G938))</f>
        <v/>
      </c>
      <c r="B938" s="17" t="n"/>
      <c r="C938" s="30" t="n"/>
      <c r="D938" s="17" t="n"/>
      <c r="E938" s="17" t="n"/>
      <c r="F938" s="17" t="n"/>
      <c r="G938" s="17" t="n"/>
      <c r="H938" s="24">
        <f>IF($G938="","",IFERROR(VLOOKUP($G938,物料档案!$A$4:$P$1203,3,0),"※编码不在物料档案里"))</f>
        <v/>
      </c>
      <c r="I938" s="24">
        <f>IF($G938="","",IFERROR(VLOOKUP($G938,物料档案!$A$4:$P$1203,4,0),"※编码不在物料档案里"))</f>
        <v/>
      </c>
      <c r="J938" s="24">
        <f>IF($G938="","",IFERROR(VLOOKUP($G938,物料档案!$A$4:$P$1203,5,0),"※编码不在物料档案里"))</f>
        <v/>
      </c>
      <c r="K938" s="23" t="n"/>
      <c r="L938" s="31" t="n"/>
      <c r="M938" s="24">
        <f>IF($G938="","",IF($D938="A国内","CNY","TZS"))</f>
        <v/>
      </c>
      <c r="N938" s="28">
        <f>IF($G938="","",IF($D938="A国内",汇率,1))</f>
        <v/>
      </c>
      <c r="O938" s="25">
        <f>IF($G938="","",ROUND(N($K938)*N($L938),2))</f>
        <v/>
      </c>
      <c r="P938" s="26">
        <f>IF($G938="","",ROUND($O938*$N938,0))</f>
        <v/>
      </c>
      <c r="Q938" s="26">
        <f>IF($G938="","",SUMIFS($P$4:$P$2503,$E$4:$E$2503,$E938,$Z$4:$Z$2503,"正常"))</f>
        <v/>
      </c>
      <c r="R938" s="26">
        <f>IF($G938="","",SUMIFS(费用台账!$I$4:$I$503,费用台账!$C$4:$C$503,$E938,费用台账!$J$4:$J$503,"是",费用台账!$K$4:$K$503,"正常"))</f>
        <v/>
      </c>
      <c r="S938" s="28">
        <f>IF($G938="","",COUNTIFS($E$4:$E$2503,$E938,$Z$4:$Z$2503,"正常",$Y$4:$Y$2503,"待补价"))</f>
        <v/>
      </c>
      <c r="T938" s="26">
        <f>IF($G938="","",SUMIFS($P$4:$P$2503,$E$4:$E$2503,$E938,$Z$4:$Z$2503,"正常",$A$4:$A$2503,"&lt;="&amp;$A938))</f>
        <v/>
      </c>
      <c r="U938" s="26">
        <f>IF($G938="","",IF(OR($S938&gt;0,$Q938=0,$R938=0,$Z938&lt;&gt;"正常"),0,ROUND($T938/$Q938*$R938,0)-ROUND(($T938-$P938)/$Q938*$R938,0)))</f>
        <v/>
      </c>
      <c r="V938" s="26">
        <f>IF($G938="","",ROUND($P938+$U938,0))</f>
        <v/>
      </c>
      <c r="W938" s="26">
        <f>IF($G938="","",IF(N($K938)=0,0,ROUND($V938/$K938,2)))</f>
        <v/>
      </c>
      <c r="X938" s="17" t="n"/>
      <c r="Y938" s="17" t="n"/>
      <c r="Z938" s="17" t="n"/>
      <c r="AA938" s="17" t="n"/>
      <c r="AB938" s="17" t="n"/>
      <c r="AC938" s="24">
        <f>IF($G938="","",IF($H938="※编码不在物料档案里","※物料编码不在档案里",IF(N($K938)&lt;=0,"※入库数量要大于 0",IF(AND($C938&lt;&gt;"",$C938&lt;=结账锁),"※日期早于已结账截止日，不能再录",IF(AND($L938=0,$X938="正常"),"※没填单价，价格状态请选「待补价」",IF(AND($S938&gt;0,$R938&gt;0),"△本批有 "&amp;$S938&amp;" 行没单价，整批运费先挂账没摊",IF(AND($B938&lt;&gt;"",COUNTIF($B$4:$B$2503,$B938)&gt;1),"※入库单号重复","")))))))</f>
        <v/>
      </c>
    </row>
    <row r="939">
      <c r="A939" s="24">
        <f>IF($G939="","",COUNTA($G$4:$G939))</f>
        <v/>
      </c>
      <c r="B939" s="17" t="n"/>
      <c r="C939" s="30" t="n"/>
      <c r="D939" s="17" t="n"/>
      <c r="E939" s="17" t="n"/>
      <c r="F939" s="17" t="n"/>
      <c r="G939" s="17" t="n"/>
      <c r="H939" s="24">
        <f>IF($G939="","",IFERROR(VLOOKUP($G939,物料档案!$A$4:$P$1203,3,0),"※编码不在物料档案里"))</f>
        <v/>
      </c>
      <c r="I939" s="24">
        <f>IF($G939="","",IFERROR(VLOOKUP($G939,物料档案!$A$4:$P$1203,4,0),"※编码不在物料档案里"))</f>
        <v/>
      </c>
      <c r="J939" s="24">
        <f>IF($G939="","",IFERROR(VLOOKUP($G939,物料档案!$A$4:$P$1203,5,0),"※编码不在物料档案里"))</f>
        <v/>
      </c>
      <c r="K939" s="23" t="n"/>
      <c r="L939" s="31" t="n"/>
      <c r="M939" s="24">
        <f>IF($G939="","",IF($D939="A国内","CNY","TZS"))</f>
        <v/>
      </c>
      <c r="N939" s="28">
        <f>IF($G939="","",IF($D939="A国内",汇率,1))</f>
        <v/>
      </c>
      <c r="O939" s="25">
        <f>IF($G939="","",ROUND(N($K939)*N($L939),2))</f>
        <v/>
      </c>
      <c r="P939" s="26">
        <f>IF($G939="","",ROUND($O939*$N939,0))</f>
        <v/>
      </c>
      <c r="Q939" s="26">
        <f>IF($G939="","",SUMIFS($P$4:$P$2503,$E$4:$E$2503,$E939,$Z$4:$Z$2503,"正常"))</f>
        <v/>
      </c>
      <c r="R939" s="26">
        <f>IF($G939="","",SUMIFS(费用台账!$I$4:$I$503,费用台账!$C$4:$C$503,$E939,费用台账!$J$4:$J$503,"是",费用台账!$K$4:$K$503,"正常"))</f>
        <v/>
      </c>
      <c r="S939" s="28">
        <f>IF($G939="","",COUNTIFS($E$4:$E$2503,$E939,$Z$4:$Z$2503,"正常",$Y$4:$Y$2503,"待补价"))</f>
        <v/>
      </c>
      <c r="T939" s="26">
        <f>IF($G939="","",SUMIFS($P$4:$P$2503,$E$4:$E$2503,$E939,$Z$4:$Z$2503,"正常",$A$4:$A$2503,"&lt;="&amp;$A939))</f>
        <v/>
      </c>
      <c r="U939" s="26">
        <f>IF($G939="","",IF(OR($S939&gt;0,$Q939=0,$R939=0,$Z939&lt;&gt;"正常"),0,ROUND($T939/$Q939*$R939,0)-ROUND(($T939-$P939)/$Q939*$R939,0)))</f>
        <v/>
      </c>
      <c r="V939" s="26">
        <f>IF($G939="","",ROUND($P939+$U939,0))</f>
        <v/>
      </c>
      <c r="W939" s="26">
        <f>IF($G939="","",IF(N($K939)=0,0,ROUND($V939/$K939,2)))</f>
        <v/>
      </c>
      <c r="X939" s="17" t="n"/>
      <c r="Y939" s="17" t="n"/>
      <c r="Z939" s="17" t="n"/>
      <c r="AA939" s="17" t="n"/>
      <c r="AB939" s="17" t="n"/>
      <c r="AC939" s="24">
        <f>IF($G939="","",IF($H939="※编码不在物料档案里","※物料编码不在档案里",IF(N($K939)&lt;=0,"※入库数量要大于 0",IF(AND($C939&lt;&gt;"",$C939&lt;=结账锁),"※日期早于已结账截止日，不能再录",IF(AND($L939=0,$X939="正常"),"※没填单价，价格状态请选「待补价」",IF(AND($S939&gt;0,$R939&gt;0),"△本批有 "&amp;$S939&amp;" 行没单价，整批运费先挂账没摊",IF(AND($B939&lt;&gt;"",COUNTIF($B$4:$B$2503,$B939)&gt;1),"※入库单号重复","")))))))</f>
        <v/>
      </c>
    </row>
    <row r="940">
      <c r="A940" s="24">
        <f>IF($G940="","",COUNTA($G$4:$G940))</f>
        <v/>
      </c>
      <c r="B940" s="17" t="n"/>
      <c r="C940" s="30" t="n"/>
      <c r="D940" s="17" t="n"/>
      <c r="E940" s="17" t="n"/>
      <c r="F940" s="17" t="n"/>
      <c r="G940" s="17" t="n"/>
      <c r="H940" s="24">
        <f>IF($G940="","",IFERROR(VLOOKUP($G940,物料档案!$A$4:$P$1203,3,0),"※编码不在物料档案里"))</f>
        <v/>
      </c>
      <c r="I940" s="24">
        <f>IF($G940="","",IFERROR(VLOOKUP($G940,物料档案!$A$4:$P$1203,4,0),"※编码不在物料档案里"))</f>
        <v/>
      </c>
      <c r="J940" s="24">
        <f>IF($G940="","",IFERROR(VLOOKUP($G940,物料档案!$A$4:$P$1203,5,0),"※编码不在物料档案里"))</f>
        <v/>
      </c>
      <c r="K940" s="23" t="n"/>
      <c r="L940" s="31" t="n"/>
      <c r="M940" s="24">
        <f>IF($G940="","",IF($D940="A国内","CNY","TZS"))</f>
        <v/>
      </c>
      <c r="N940" s="28">
        <f>IF($G940="","",IF($D940="A国内",汇率,1))</f>
        <v/>
      </c>
      <c r="O940" s="25">
        <f>IF($G940="","",ROUND(N($K940)*N($L940),2))</f>
        <v/>
      </c>
      <c r="P940" s="26">
        <f>IF($G940="","",ROUND($O940*$N940,0))</f>
        <v/>
      </c>
      <c r="Q940" s="26">
        <f>IF($G940="","",SUMIFS($P$4:$P$2503,$E$4:$E$2503,$E940,$Z$4:$Z$2503,"正常"))</f>
        <v/>
      </c>
      <c r="R940" s="26">
        <f>IF($G940="","",SUMIFS(费用台账!$I$4:$I$503,费用台账!$C$4:$C$503,$E940,费用台账!$J$4:$J$503,"是",费用台账!$K$4:$K$503,"正常"))</f>
        <v/>
      </c>
      <c r="S940" s="28">
        <f>IF($G940="","",COUNTIFS($E$4:$E$2503,$E940,$Z$4:$Z$2503,"正常",$Y$4:$Y$2503,"待补价"))</f>
        <v/>
      </c>
      <c r="T940" s="26">
        <f>IF($G940="","",SUMIFS($P$4:$P$2503,$E$4:$E$2503,$E940,$Z$4:$Z$2503,"正常",$A$4:$A$2503,"&lt;="&amp;$A940))</f>
        <v/>
      </c>
      <c r="U940" s="26">
        <f>IF($G940="","",IF(OR($S940&gt;0,$Q940=0,$R940=0,$Z940&lt;&gt;"正常"),0,ROUND($T940/$Q940*$R940,0)-ROUND(($T940-$P940)/$Q940*$R940,0)))</f>
        <v/>
      </c>
      <c r="V940" s="26">
        <f>IF($G940="","",ROUND($P940+$U940,0))</f>
        <v/>
      </c>
      <c r="W940" s="26">
        <f>IF($G940="","",IF(N($K940)=0,0,ROUND($V940/$K940,2)))</f>
        <v/>
      </c>
      <c r="X940" s="17" t="n"/>
      <c r="Y940" s="17" t="n"/>
      <c r="Z940" s="17" t="n"/>
      <c r="AA940" s="17" t="n"/>
      <c r="AB940" s="17" t="n"/>
      <c r="AC940" s="24">
        <f>IF($G940="","",IF($H940="※编码不在物料档案里","※物料编码不在档案里",IF(N($K940)&lt;=0,"※入库数量要大于 0",IF(AND($C940&lt;&gt;"",$C940&lt;=结账锁),"※日期早于已结账截止日，不能再录",IF(AND($L940=0,$X940="正常"),"※没填单价，价格状态请选「待补价」",IF(AND($S940&gt;0,$R940&gt;0),"△本批有 "&amp;$S940&amp;" 行没单价，整批运费先挂账没摊",IF(AND($B940&lt;&gt;"",COUNTIF($B$4:$B$2503,$B940)&gt;1),"※入库单号重复","")))))))</f>
        <v/>
      </c>
    </row>
    <row r="941">
      <c r="A941" s="24">
        <f>IF($G941="","",COUNTA($G$4:$G941))</f>
        <v/>
      </c>
      <c r="B941" s="17" t="n"/>
      <c r="C941" s="30" t="n"/>
      <c r="D941" s="17" t="n"/>
      <c r="E941" s="17" t="n"/>
      <c r="F941" s="17" t="n"/>
      <c r="G941" s="17" t="n"/>
      <c r="H941" s="24">
        <f>IF($G941="","",IFERROR(VLOOKUP($G941,物料档案!$A$4:$P$1203,3,0),"※编码不在物料档案里"))</f>
        <v/>
      </c>
      <c r="I941" s="24">
        <f>IF($G941="","",IFERROR(VLOOKUP($G941,物料档案!$A$4:$P$1203,4,0),"※编码不在物料档案里"))</f>
        <v/>
      </c>
      <c r="J941" s="24">
        <f>IF($G941="","",IFERROR(VLOOKUP($G941,物料档案!$A$4:$P$1203,5,0),"※编码不在物料档案里"))</f>
        <v/>
      </c>
      <c r="K941" s="23" t="n"/>
      <c r="L941" s="31" t="n"/>
      <c r="M941" s="24">
        <f>IF($G941="","",IF($D941="A国内","CNY","TZS"))</f>
        <v/>
      </c>
      <c r="N941" s="28">
        <f>IF($G941="","",IF($D941="A国内",汇率,1))</f>
        <v/>
      </c>
      <c r="O941" s="25">
        <f>IF($G941="","",ROUND(N($K941)*N($L941),2))</f>
        <v/>
      </c>
      <c r="P941" s="26">
        <f>IF($G941="","",ROUND($O941*$N941,0))</f>
        <v/>
      </c>
      <c r="Q941" s="26">
        <f>IF($G941="","",SUMIFS($P$4:$P$2503,$E$4:$E$2503,$E941,$Z$4:$Z$2503,"正常"))</f>
        <v/>
      </c>
      <c r="R941" s="26">
        <f>IF($G941="","",SUMIFS(费用台账!$I$4:$I$503,费用台账!$C$4:$C$503,$E941,费用台账!$J$4:$J$503,"是",费用台账!$K$4:$K$503,"正常"))</f>
        <v/>
      </c>
      <c r="S941" s="28">
        <f>IF($G941="","",COUNTIFS($E$4:$E$2503,$E941,$Z$4:$Z$2503,"正常",$Y$4:$Y$2503,"待补价"))</f>
        <v/>
      </c>
      <c r="T941" s="26">
        <f>IF($G941="","",SUMIFS($P$4:$P$2503,$E$4:$E$2503,$E941,$Z$4:$Z$2503,"正常",$A$4:$A$2503,"&lt;="&amp;$A941))</f>
        <v/>
      </c>
      <c r="U941" s="26">
        <f>IF($G941="","",IF(OR($S941&gt;0,$Q941=0,$R941=0,$Z941&lt;&gt;"正常"),0,ROUND($T941/$Q941*$R941,0)-ROUND(($T941-$P941)/$Q941*$R941,0)))</f>
        <v/>
      </c>
      <c r="V941" s="26">
        <f>IF($G941="","",ROUND($P941+$U941,0))</f>
        <v/>
      </c>
      <c r="W941" s="26">
        <f>IF($G941="","",IF(N($K941)=0,0,ROUND($V941/$K941,2)))</f>
        <v/>
      </c>
      <c r="X941" s="17" t="n"/>
      <c r="Y941" s="17" t="n"/>
      <c r="Z941" s="17" t="n"/>
      <c r="AA941" s="17" t="n"/>
      <c r="AB941" s="17" t="n"/>
      <c r="AC941" s="24">
        <f>IF($G941="","",IF($H941="※编码不在物料档案里","※物料编码不在档案里",IF(N($K941)&lt;=0,"※入库数量要大于 0",IF(AND($C941&lt;&gt;"",$C941&lt;=结账锁),"※日期早于已结账截止日，不能再录",IF(AND($L941=0,$X941="正常"),"※没填单价，价格状态请选「待补价」",IF(AND($S941&gt;0,$R941&gt;0),"△本批有 "&amp;$S941&amp;" 行没单价，整批运费先挂账没摊",IF(AND($B941&lt;&gt;"",COUNTIF($B$4:$B$2503,$B941)&gt;1),"※入库单号重复","")))))))</f>
        <v/>
      </c>
    </row>
    <row r="942">
      <c r="A942" s="24">
        <f>IF($G942="","",COUNTA($G$4:$G942))</f>
        <v/>
      </c>
      <c r="B942" s="17" t="n"/>
      <c r="C942" s="30" t="n"/>
      <c r="D942" s="17" t="n"/>
      <c r="E942" s="17" t="n"/>
      <c r="F942" s="17" t="n"/>
      <c r="G942" s="17" t="n"/>
      <c r="H942" s="24">
        <f>IF($G942="","",IFERROR(VLOOKUP($G942,物料档案!$A$4:$P$1203,3,0),"※编码不在物料档案里"))</f>
        <v/>
      </c>
      <c r="I942" s="24">
        <f>IF($G942="","",IFERROR(VLOOKUP($G942,物料档案!$A$4:$P$1203,4,0),"※编码不在物料档案里"))</f>
        <v/>
      </c>
      <c r="J942" s="24">
        <f>IF($G942="","",IFERROR(VLOOKUP($G942,物料档案!$A$4:$P$1203,5,0),"※编码不在物料档案里"))</f>
        <v/>
      </c>
      <c r="K942" s="23" t="n"/>
      <c r="L942" s="31" t="n"/>
      <c r="M942" s="24">
        <f>IF($G942="","",IF($D942="A国内","CNY","TZS"))</f>
        <v/>
      </c>
      <c r="N942" s="28">
        <f>IF($G942="","",IF($D942="A国内",汇率,1))</f>
        <v/>
      </c>
      <c r="O942" s="25">
        <f>IF($G942="","",ROUND(N($K942)*N($L942),2))</f>
        <v/>
      </c>
      <c r="P942" s="26">
        <f>IF($G942="","",ROUND($O942*$N942,0))</f>
        <v/>
      </c>
      <c r="Q942" s="26">
        <f>IF($G942="","",SUMIFS($P$4:$P$2503,$E$4:$E$2503,$E942,$Z$4:$Z$2503,"正常"))</f>
        <v/>
      </c>
      <c r="R942" s="26">
        <f>IF($G942="","",SUMIFS(费用台账!$I$4:$I$503,费用台账!$C$4:$C$503,$E942,费用台账!$J$4:$J$503,"是",费用台账!$K$4:$K$503,"正常"))</f>
        <v/>
      </c>
      <c r="S942" s="28">
        <f>IF($G942="","",COUNTIFS($E$4:$E$2503,$E942,$Z$4:$Z$2503,"正常",$Y$4:$Y$2503,"待补价"))</f>
        <v/>
      </c>
      <c r="T942" s="26">
        <f>IF($G942="","",SUMIFS($P$4:$P$2503,$E$4:$E$2503,$E942,$Z$4:$Z$2503,"正常",$A$4:$A$2503,"&lt;="&amp;$A942))</f>
        <v/>
      </c>
      <c r="U942" s="26">
        <f>IF($G942="","",IF(OR($S942&gt;0,$Q942=0,$R942=0,$Z942&lt;&gt;"正常"),0,ROUND($T942/$Q942*$R942,0)-ROUND(($T942-$P942)/$Q942*$R942,0)))</f>
        <v/>
      </c>
      <c r="V942" s="26">
        <f>IF($G942="","",ROUND($P942+$U942,0))</f>
        <v/>
      </c>
      <c r="W942" s="26">
        <f>IF($G942="","",IF(N($K942)=0,0,ROUND($V942/$K942,2)))</f>
        <v/>
      </c>
      <c r="X942" s="17" t="n"/>
      <c r="Y942" s="17" t="n"/>
      <c r="Z942" s="17" t="n"/>
      <c r="AA942" s="17" t="n"/>
      <c r="AB942" s="17" t="n"/>
      <c r="AC942" s="24">
        <f>IF($G942="","",IF($H942="※编码不在物料档案里","※物料编码不在档案里",IF(N($K942)&lt;=0,"※入库数量要大于 0",IF(AND($C942&lt;&gt;"",$C942&lt;=结账锁),"※日期早于已结账截止日，不能再录",IF(AND($L942=0,$X942="正常"),"※没填单价，价格状态请选「待补价」",IF(AND($S942&gt;0,$R942&gt;0),"△本批有 "&amp;$S942&amp;" 行没单价，整批运费先挂账没摊",IF(AND($B942&lt;&gt;"",COUNTIF($B$4:$B$2503,$B942)&gt;1),"※入库单号重复","")))))))</f>
        <v/>
      </c>
    </row>
    <row r="943">
      <c r="A943" s="24">
        <f>IF($G943="","",COUNTA($G$4:$G943))</f>
        <v/>
      </c>
      <c r="B943" s="17" t="n"/>
      <c r="C943" s="30" t="n"/>
      <c r="D943" s="17" t="n"/>
      <c r="E943" s="17" t="n"/>
      <c r="F943" s="17" t="n"/>
      <c r="G943" s="17" t="n"/>
      <c r="H943" s="24">
        <f>IF($G943="","",IFERROR(VLOOKUP($G943,物料档案!$A$4:$P$1203,3,0),"※编码不在物料档案里"))</f>
        <v/>
      </c>
      <c r="I943" s="24">
        <f>IF($G943="","",IFERROR(VLOOKUP($G943,物料档案!$A$4:$P$1203,4,0),"※编码不在物料档案里"))</f>
        <v/>
      </c>
      <c r="J943" s="24">
        <f>IF($G943="","",IFERROR(VLOOKUP($G943,物料档案!$A$4:$P$1203,5,0),"※编码不在物料档案里"))</f>
        <v/>
      </c>
      <c r="K943" s="23" t="n"/>
      <c r="L943" s="31" t="n"/>
      <c r="M943" s="24">
        <f>IF($G943="","",IF($D943="A国内","CNY","TZS"))</f>
        <v/>
      </c>
      <c r="N943" s="28">
        <f>IF($G943="","",IF($D943="A国内",汇率,1))</f>
        <v/>
      </c>
      <c r="O943" s="25">
        <f>IF($G943="","",ROUND(N($K943)*N($L943),2))</f>
        <v/>
      </c>
      <c r="P943" s="26">
        <f>IF($G943="","",ROUND($O943*$N943,0))</f>
        <v/>
      </c>
      <c r="Q943" s="26">
        <f>IF($G943="","",SUMIFS($P$4:$P$2503,$E$4:$E$2503,$E943,$Z$4:$Z$2503,"正常"))</f>
        <v/>
      </c>
      <c r="R943" s="26">
        <f>IF($G943="","",SUMIFS(费用台账!$I$4:$I$503,费用台账!$C$4:$C$503,$E943,费用台账!$J$4:$J$503,"是",费用台账!$K$4:$K$503,"正常"))</f>
        <v/>
      </c>
      <c r="S943" s="28">
        <f>IF($G943="","",COUNTIFS($E$4:$E$2503,$E943,$Z$4:$Z$2503,"正常",$Y$4:$Y$2503,"待补价"))</f>
        <v/>
      </c>
      <c r="T943" s="26">
        <f>IF($G943="","",SUMIFS($P$4:$P$2503,$E$4:$E$2503,$E943,$Z$4:$Z$2503,"正常",$A$4:$A$2503,"&lt;="&amp;$A943))</f>
        <v/>
      </c>
      <c r="U943" s="26">
        <f>IF($G943="","",IF(OR($S943&gt;0,$Q943=0,$R943=0,$Z943&lt;&gt;"正常"),0,ROUND($T943/$Q943*$R943,0)-ROUND(($T943-$P943)/$Q943*$R943,0)))</f>
        <v/>
      </c>
      <c r="V943" s="26">
        <f>IF($G943="","",ROUND($P943+$U943,0))</f>
        <v/>
      </c>
      <c r="W943" s="26">
        <f>IF($G943="","",IF(N($K943)=0,0,ROUND($V943/$K943,2)))</f>
        <v/>
      </c>
      <c r="X943" s="17" t="n"/>
      <c r="Y943" s="17" t="n"/>
      <c r="Z943" s="17" t="n"/>
      <c r="AA943" s="17" t="n"/>
      <c r="AB943" s="17" t="n"/>
      <c r="AC943" s="24">
        <f>IF($G943="","",IF($H943="※编码不在物料档案里","※物料编码不在档案里",IF(N($K943)&lt;=0,"※入库数量要大于 0",IF(AND($C943&lt;&gt;"",$C943&lt;=结账锁),"※日期早于已结账截止日，不能再录",IF(AND($L943=0,$X943="正常"),"※没填单价，价格状态请选「待补价」",IF(AND($S943&gt;0,$R943&gt;0),"△本批有 "&amp;$S943&amp;" 行没单价，整批运费先挂账没摊",IF(AND($B943&lt;&gt;"",COUNTIF($B$4:$B$2503,$B943)&gt;1),"※入库单号重复","")))))))</f>
        <v/>
      </c>
    </row>
    <row r="944">
      <c r="A944" s="24">
        <f>IF($G944="","",COUNTA($G$4:$G944))</f>
        <v/>
      </c>
      <c r="B944" s="17" t="n"/>
      <c r="C944" s="30" t="n"/>
      <c r="D944" s="17" t="n"/>
      <c r="E944" s="17" t="n"/>
      <c r="F944" s="17" t="n"/>
      <c r="G944" s="17" t="n"/>
      <c r="H944" s="24">
        <f>IF($G944="","",IFERROR(VLOOKUP($G944,物料档案!$A$4:$P$1203,3,0),"※编码不在物料档案里"))</f>
        <v/>
      </c>
      <c r="I944" s="24">
        <f>IF($G944="","",IFERROR(VLOOKUP($G944,物料档案!$A$4:$P$1203,4,0),"※编码不在物料档案里"))</f>
        <v/>
      </c>
      <c r="J944" s="24">
        <f>IF($G944="","",IFERROR(VLOOKUP($G944,物料档案!$A$4:$P$1203,5,0),"※编码不在物料档案里"))</f>
        <v/>
      </c>
      <c r="K944" s="23" t="n"/>
      <c r="L944" s="31" t="n"/>
      <c r="M944" s="24">
        <f>IF($G944="","",IF($D944="A国内","CNY","TZS"))</f>
        <v/>
      </c>
      <c r="N944" s="28">
        <f>IF($G944="","",IF($D944="A国内",汇率,1))</f>
        <v/>
      </c>
      <c r="O944" s="25">
        <f>IF($G944="","",ROUND(N($K944)*N($L944),2))</f>
        <v/>
      </c>
      <c r="P944" s="26">
        <f>IF($G944="","",ROUND($O944*$N944,0))</f>
        <v/>
      </c>
      <c r="Q944" s="26">
        <f>IF($G944="","",SUMIFS($P$4:$P$2503,$E$4:$E$2503,$E944,$Z$4:$Z$2503,"正常"))</f>
        <v/>
      </c>
      <c r="R944" s="26">
        <f>IF($G944="","",SUMIFS(费用台账!$I$4:$I$503,费用台账!$C$4:$C$503,$E944,费用台账!$J$4:$J$503,"是",费用台账!$K$4:$K$503,"正常"))</f>
        <v/>
      </c>
      <c r="S944" s="28">
        <f>IF($G944="","",COUNTIFS($E$4:$E$2503,$E944,$Z$4:$Z$2503,"正常",$Y$4:$Y$2503,"待补价"))</f>
        <v/>
      </c>
      <c r="T944" s="26">
        <f>IF($G944="","",SUMIFS($P$4:$P$2503,$E$4:$E$2503,$E944,$Z$4:$Z$2503,"正常",$A$4:$A$2503,"&lt;="&amp;$A944))</f>
        <v/>
      </c>
      <c r="U944" s="26">
        <f>IF($G944="","",IF(OR($S944&gt;0,$Q944=0,$R944=0,$Z944&lt;&gt;"正常"),0,ROUND($T944/$Q944*$R944,0)-ROUND(($T944-$P944)/$Q944*$R944,0)))</f>
        <v/>
      </c>
      <c r="V944" s="26">
        <f>IF($G944="","",ROUND($P944+$U944,0))</f>
        <v/>
      </c>
      <c r="W944" s="26">
        <f>IF($G944="","",IF(N($K944)=0,0,ROUND($V944/$K944,2)))</f>
        <v/>
      </c>
      <c r="X944" s="17" t="n"/>
      <c r="Y944" s="17" t="n"/>
      <c r="Z944" s="17" t="n"/>
      <c r="AA944" s="17" t="n"/>
      <c r="AB944" s="17" t="n"/>
      <c r="AC944" s="24">
        <f>IF($G944="","",IF($H944="※编码不在物料档案里","※物料编码不在档案里",IF(N($K944)&lt;=0,"※入库数量要大于 0",IF(AND($C944&lt;&gt;"",$C944&lt;=结账锁),"※日期早于已结账截止日，不能再录",IF(AND($L944=0,$X944="正常"),"※没填单价，价格状态请选「待补价」",IF(AND($S944&gt;0,$R944&gt;0),"△本批有 "&amp;$S944&amp;" 行没单价，整批运费先挂账没摊",IF(AND($B944&lt;&gt;"",COUNTIF($B$4:$B$2503,$B944)&gt;1),"※入库单号重复","")))))))</f>
        <v/>
      </c>
    </row>
    <row r="945">
      <c r="A945" s="24">
        <f>IF($G945="","",COUNTA($G$4:$G945))</f>
        <v/>
      </c>
      <c r="B945" s="17" t="n"/>
      <c r="C945" s="30" t="n"/>
      <c r="D945" s="17" t="n"/>
      <c r="E945" s="17" t="n"/>
      <c r="F945" s="17" t="n"/>
      <c r="G945" s="17" t="n"/>
      <c r="H945" s="24">
        <f>IF($G945="","",IFERROR(VLOOKUP($G945,物料档案!$A$4:$P$1203,3,0),"※编码不在物料档案里"))</f>
        <v/>
      </c>
      <c r="I945" s="24">
        <f>IF($G945="","",IFERROR(VLOOKUP($G945,物料档案!$A$4:$P$1203,4,0),"※编码不在物料档案里"))</f>
        <v/>
      </c>
      <c r="J945" s="24">
        <f>IF($G945="","",IFERROR(VLOOKUP($G945,物料档案!$A$4:$P$1203,5,0),"※编码不在物料档案里"))</f>
        <v/>
      </c>
      <c r="K945" s="23" t="n"/>
      <c r="L945" s="31" t="n"/>
      <c r="M945" s="24">
        <f>IF($G945="","",IF($D945="A国内","CNY","TZS"))</f>
        <v/>
      </c>
      <c r="N945" s="28">
        <f>IF($G945="","",IF($D945="A国内",汇率,1))</f>
        <v/>
      </c>
      <c r="O945" s="25">
        <f>IF($G945="","",ROUND(N($K945)*N($L945),2))</f>
        <v/>
      </c>
      <c r="P945" s="26">
        <f>IF($G945="","",ROUND($O945*$N945,0))</f>
        <v/>
      </c>
      <c r="Q945" s="26">
        <f>IF($G945="","",SUMIFS($P$4:$P$2503,$E$4:$E$2503,$E945,$Z$4:$Z$2503,"正常"))</f>
        <v/>
      </c>
      <c r="R945" s="26">
        <f>IF($G945="","",SUMIFS(费用台账!$I$4:$I$503,费用台账!$C$4:$C$503,$E945,费用台账!$J$4:$J$503,"是",费用台账!$K$4:$K$503,"正常"))</f>
        <v/>
      </c>
      <c r="S945" s="28">
        <f>IF($G945="","",COUNTIFS($E$4:$E$2503,$E945,$Z$4:$Z$2503,"正常",$Y$4:$Y$2503,"待补价"))</f>
        <v/>
      </c>
      <c r="T945" s="26">
        <f>IF($G945="","",SUMIFS($P$4:$P$2503,$E$4:$E$2503,$E945,$Z$4:$Z$2503,"正常",$A$4:$A$2503,"&lt;="&amp;$A945))</f>
        <v/>
      </c>
      <c r="U945" s="26">
        <f>IF($G945="","",IF(OR($S945&gt;0,$Q945=0,$R945=0,$Z945&lt;&gt;"正常"),0,ROUND($T945/$Q945*$R945,0)-ROUND(($T945-$P945)/$Q945*$R945,0)))</f>
        <v/>
      </c>
      <c r="V945" s="26">
        <f>IF($G945="","",ROUND($P945+$U945,0))</f>
        <v/>
      </c>
      <c r="W945" s="26">
        <f>IF($G945="","",IF(N($K945)=0,0,ROUND($V945/$K945,2)))</f>
        <v/>
      </c>
      <c r="X945" s="17" t="n"/>
      <c r="Y945" s="17" t="n"/>
      <c r="Z945" s="17" t="n"/>
      <c r="AA945" s="17" t="n"/>
      <c r="AB945" s="17" t="n"/>
      <c r="AC945" s="24">
        <f>IF($G945="","",IF($H945="※编码不在物料档案里","※物料编码不在档案里",IF(N($K945)&lt;=0,"※入库数量要大于 0",IF(AND($C945&lt;&gt;"",$C945&lt;=结账锁),"※日期早于已结账截止日，不能再录",IF(AND($L945=0,$X945="正常"),"※没填单价，价格状态请选「待补价」",IF(AND($S945&gt;0,$R945&gt;0),"△本批有 "&amp;$S945&amp;" 行没单价，整批运费先挂账没摊",IF(AND($B945&lt;&gt;"",COUNTIF($B$4:$B$2503,$B945)&gt;1),"※入库单号重复","")))))))</f>
        <v/>
      </c>
    </row>
    <row r="946">
      <c r="A946" s="24">
        <f>IF($G946="","",COUNTA($G$4:$G946))</f>
        <v/>
      </c>
      <c r="B946" s="17" t="n"/>
      <c r="C946" s="30" t="n"/>
      <c r="D946" s="17" t="n"/>
      <c r="E946" s="17" t="n"/>
      <c r="F946" s="17" t="n"/>
      <c r="G946" s="17" t="n"/>
      <c r="H946" s="24">
        <f>IF($G946="","",IFERROR(VLOOKUP($G946,物料档案!$A$4:$P$1203,3,0),"※编码不在物料档案里"))</f>
        <v/>
      </c>
      <c r="I946" s="24">
        <f>IF($G946="","",IFERROR(VLOOKUP($G946,物料档案!$A$4:$P$1203,4,0),"※编码不在物料档案里"))</f>
        <v/>
      </c>
      <c r="J946" s="24">
        <f>IF($G946="","",IFERROR(VLOOKUP($G946,物料档案!$A$4:$P$1203,5,0),"※编码不在物料档案里"))</f>
        <v/>
      </c>
      <c r="K946" s="23" t="n"/>
      <c r="L946" s="31" t="n"/>
      <c r="M946" s="24">
        <f>IF($G946="","",IF($D946="A国内","CNY","TZS"))</f>
        <v/>
      </c>
      <c r="N946" s="28">
        <f>IF($G946="","",IF($D946="A国内",汇率,1))</f>
        <v/>
      </c>
      <c r="O946" s="25">
        <f>IF($G946="","",ROUND(N($K946)*N($L946),2))</f>
        <v/>
      </c>
      <c r="P946" s="26">
        <f>IF($G946="","",ROUND($O946*$N946,0))</f>
        <v/>
      </c>
      <c r="Q946" s="26">
        <f>IF($G946="","",SUMIFS($P$4:$P$2503,$E$4:$E$2503,$E946,$Z$4:$Z$2503,"正常"))</f>
        <v/>
      </c>
      <c r="R946" s="26">
        <f>IF($G946="","",SUMIFS(费用台账!$I$4:$I$503,费用台账!$C$4:$C$503,$E946,费用台账!$J$4:$J$503,"是",费用台账!$K$4:$K$503,"正常"))</f>
        <v/>
      </c>
      <c r="S946" s="28">
        <f>IF($G946="","",COUNTIFS($E$4:$E$2503,$E946,$Z$4:$Z$2503,"正常",$Y$4:$Y$2503,"待补价"))</f>
        <v/>
      </c>
      <c r="T946" s="26">
        <f>IF($G946="","",SUMIFS($P$4:$P$2503,$E$4:$E$2503,$E946,$Z$4:$Z$2503,"正常",$A$4:$A$2503,"&lt;="&amp;$A946))</f>
        <v/>
      </c>
      <c r="U946" s="26">
        <f>IF($G946="","",IF(OR($S946&gt;0,$Q946=0,$R946=0,$Z946&lt;&gt;"正常"),0,ROUND($T946/$Q946*$R946,0)-ROUND(($T946-$P946)/$Q946*$R946,0)))</f>
        <v/>
      </c>
      <c r="V946" s="26">
        <f>IF($G946="","",ROUND($P946+$U946,0))</f>
        <v/>
      </c>
      <c r="W946" s="26">
        <f>IF($G946="","",IF(N($K946)=0,0,ROUND($V946/$K946,2)))</f>
        <v/>
      </c>
      <c r="X946" s="17" t="n"/>
      <c r="Y946" s="17" t="n"/>
      <c r="Z946" s="17" t="n"/>
      <c r="AA946" s="17" t="n"/>
      <c r="AB946" s="17" t="n"/>
      <c r="AC946" s="24">
        <f>IF($G946="","",IF($H946="※编码不在物料档案里","※物料编码不在档案里",IF(N($K946)&lt;=0,"※入库数量要大于 0",IF(AND($C946&lt;&gt;"",$C946&lt;=结账锁),"※日期早于已结账截止日，不能再录",IF(AND($L946=0,$X946="正常"),"※没填单价，价格状态请选「待补价」",IF(AND($S946&gt;0,$R946&gt;0),"△本批有 "&amp;$S946&amp;" 行没单价，整批运费先挂账没摊",IF(AND($B946&lt;&gt;"",COUNTIF($B$4:$B$2503,$B946)&gt;1),"※入库单号重复","")))))))</f>
        <v/>
      </c>
    </row>
    <row r="947">
      <c r="A947" s="24">
        <f>IF($G947="","",COUNTA($G$4:$G947))</f>
        <v/>
      </c>
      <c r="B947" s="17" t="n"/>
      <c r="C947" s="30" t="n"/>
      <c r="D947" s="17" t="n"/>
      <c r="E947" s="17" t="n"/>
      <c r="F947" s="17" t="n"/>
      <c r="G947" s="17" t="n"/>
      <c r="H947" s="24">
        <f>IF($G947="","",IFERROR(VLOOKUP($G947,物料档案!$A$4:$P$1203,3,0),"※编码不在物料档案里"))</f>
        <v/>
      </c>
      <c r="I947" s="24">
        <f>IF($G947="","",IFERROR(VLOOKUP($G947,物料档案!$A$4:$P$1203,4,0),"※编码不在物料档案里"))</f>
        <v/>
      </c>
      <c r="J947" s="24">
        <f>IF($G947="","",IFERROR(VLOOKUP($G947,物料档案!$A$4:$P$1203,5,0),"※编码不在物料档案里"))</f>
        <v/>
      </c>
      <c r="K947" s="23" t="n"/>
      <c r="L947" s="31" t="n"/>
      <c r="M947" s="24">
        <f>IF($G947="","",IF($D947="A国内","CNY","TZS"))</f>
        <v/>
      </c>
      <c r="N947" s="28">
        <f>IF($G947="","",IF($D947="A国内",汇率,1))</f>
        <v/>
      </c>
      <c r="O947" s="25">
        <f>IF($G947="","",ROUND(N($K947)*N($L947),2))</f>
        <v/>
      </c>
      <c r="P947" s="26">
        <f>IF($G947="","",ROUND($O947*$N947,0))</f>
        <v/>
      </c>
      <c r="Q947" s="26">
        <f>IF($G947="","",SUMIFS($P$4:$P$2503,$E$4:$E$2503,$E947,$Z$4:$Z$2503,"正常"))</f>
        <v/>
      </c>
      <c r="R947" s="26">
        <f>IF($G947="","",SUMIFS(费用台账!$I$4:$I$503,费用台账!$C$4:$C$503,$E947,费用台账!$J$4:$J$503,"是",费用台账!$K$4:$K$503,"正常"))</f>
        <v/>
      </c>
      <c r="S947" s="28">
        <f>IF($G947="","",COUNTIFS($E$4:$E$2503,$E947,$Z$4:$Z$2503,"正常",$Y$4:$Y$2503,"待补价"))</f>
        <v/>
      </c>
      <c r="T947" s="26">
        <f>IF($G947="","",SUMIFS($P$4:$P$2503,$E$4:$E$2503,$E947,$Z$4:$Z$2503,"正常",$A$4:$A$2503,"&lt;="&amp;$A947))</f>
        <v/>
      </c>
      <c r="U947" s="26">
        <f>IF($G947="","",IF(OR($S947&gt;0,$Q947=0,$R947=0,$Z947&lt;&gt;"正常"),0,ROUND($T947/$Q947*$R947,0)-ROUND(($T947-$P947)/$Q947*$R947,0)))</f>
        <v/>
      </c>
      <c r="V947" s="26">
        <f>IF($G947="","",ROUND($P947+$U947,0))</f>
        <v/>
      </c>
      <c r="W947" s="26">
        <f>IF($G947="","",IF(N($K947)=0,0,ROUND($V947/$K947,2)))</f>
        <v/>
      </c>
      <c r="X947" s="17" t="n"/>
      <c r="Y947" s="17" t="n"/>
      <c r="Z947" s="17" t="n"/>
      <c r="AA947" s="17" t="n"/>
      <c r="AB947" s="17" t="n"/>
      <c r="AC947" s="24">
        <f>IF($G947="","",IF($H947="※编码不在物料档案里","※物料编码不在档案里",IF(N($K947)&lt;=0,"※入库数量要大于 0",IF(AND($C947&lt;&gt;"",$C947&lt;=结账锁),"※日期早于已结账截止日，不能再录",IF(AND($L947=0,$X947="正常"),"※没填单价，价格状态请选「待补价」",IF(AND($S947&gt;0,$R947&gt;0),"△本批有 "&amp;$S947&amp;" 行没单价，整批运费先挂账没摊",IF(AND($B947&lt;&gt;"",COUNTIF($B$4:$B$2503,$B947)&gt;1),"※入库单号重复","")))))))</f>
        <v/>
      </c>
    </row>
    <row r="948">
      <c r="A948" s="24">
        <f>IF($G948="","",COUNTA($G$4:$G948))</f>
        <v/>
      </c>
      <c r="B948" s="17" t="n"/>
      <c r="C948" s="30" t="n"/>
      <c r="D948" s="17" t="n"/>
      <c r="E948" s="17" t="n"/>
      <c r="F948" s="17" t="n"/>
      <c r="G948" s="17" t="n"/>
      <c r="H948" s="24">
        <f>IF($G948="","",IFERROR(VLOOKUP($G948,物料档案!$A$4:$P$1203,3,0),"※编码不在物料档案里"))</f>
        <v/>
      </c>
      <c r="I948" s="24">
        <f>IF($G948="","",IFERROR(VLOOKUP($G948,物料档案!$A$4:$P$1203,4,0),"※编码不在物料档案里"))</f>
        <v/>
      </c>
      <c r="J948" s="24">
        <f>IF($G948="","",IFERROR(VLOOKUP($G948,物料档案!$A$4:$P$1203,5,0),"※编码不在物料档案里"))</f>
        <v/>
      </c>
      <c r="K948" s="23" t="n"/>
      <c r="L948" s="31" t="n"/>
      <c r="M948" s="24">
        <f>IF($G948="","",IF($D948="A国内","CNY","TZS"))</f>
        <v/>
      </c>
      <c r="N948" s="28">
        <f>IF($G948="","",IF($D948="A国内",汇率,1))</f>
        <v/>
      </c>
      <c r="O948" s="25">
        <f>IF($G948="","",ROUND(N($K948)*N($L948),2))</f>
        <v/>
      </c>
      <c r="P948" s="26">
        <f>IF($G948="","",ROUND($O948*$N948,0))</f>
        <v/>
      </c>
      <c r="Q948" s="26">
        <f>IF($G948="","",SUMIFS($P$4:$P$2503,$E$4:$E$2503,$E948,$Z$4:$Z$2503,"正常"))</f>
        <v/>
      </c>
      <c r="R948" s="26">
        <f>IF($G948="","",SUMIFS(费用台账!$I$4:$I$503,费用台账!$C$4:$C$503,$E948,费用台账!$J$4:$J$503,"是",费用台账!$K$4:$K$503,"正常"))</f>
        <v/>
      </c>
      <c r="S948" s="28">
        <f>IF($G948="","",COUNTIFS($E$4:$E$2503,$E948,$Z$4:$Z$2503,"正常",$Y$4:$Y$2503,"待补价"))</f>
        <v/>
      </c>
      <c r="T948" s="26">
        <f>IF($G948="","",SUMIFS($P$4:$P$2503,$E$4:$E$2503,$E948,$Z$4:$Z$2503,"正常",$A$4:$A$2503,"&lt;="&amp;$A948))</f>
        <v/>
      </c>
      <c r="U948" s="26">
        <f>IF($G948="","",IF(OR($S948&gt;0,$Q948=0,$R948=0,$Z948&lt;&gt;"正常"),0,ROUND($T948/$Q948*$R948,0)-ROUND(($T948-$P948)/$Q948*$R948,0)))</f>
        <v/>
      </c>
      <c r="V948" s="26">
        <f>IF($G948="","",ROUND($P948+$U948,0))</f>
        <v/>
      </c>
      <c r="W948" s="26">
        <f>IF($G948="","",IF(N($K948)=0,0,ROUND($V948/$K948,2)))</f>
        <v/>
      </c>
      <c r="X948" s="17" t="n"/>
      <c r="Y948" s="17" t="n"/>
      <c r="Z948" s="17" t="n"/>
      <c r="AA948" s="17" t="n"/>
      <c r="AB948" s="17" t="n"/>
      <c r="AC948" s="24">
        <f>IF($G948="","",IF($H948="※编码不在物料档案里","※物料编码不在档案里",IF(N($K948)&lt;=0,"※入库数量要大于 0",IF(AND($C948&lt;&gt;"",$C948&lt;=结账锁),"※日期早于已结账截止日，不能再录",IF(AND($L948=0,$X948="正常"),"※没填单价，价格状态请选「待补价」",IF(AND($S948&gt;0,$R948&gt;0),"△本批有 "&amp;$S948&amp;" 行没单价，整批运费先挂账没摊",IF(AND($B948&lt;&gt;"",COUNTIF($B$4:$B$2503,$B948)&gt;1),"※入库单号重复","")))))))</f>
        <v/>
      </c>
    </row>
    <row r="949">
      <c r="A949" s="24">
        <f>IF($G949="","",COUNTA($G$4:$G949))</f>
        <v/>
      </c>
      <c r="B949" s="17" t="n"/>
      <c r="C949" s="30" t="n"/>
      <c r="D949" s="17" t="n"/>
      <c r="E949" s="17" t="n"/>
      <c r="F949" s="17" t="n"/>
      <c r="G949" s="17" t="n"/>
      <c r="H949" s="24">
        <f>IF($G949="","",IFERROR(VLOOKUP($G949,物料档案!$A$4:$P$1203,3,0),"※编码不在物料档案里"))</f>
        <v/>
      </c>
      <c r="I949" s="24">
        <f>IF($G949="","",IFERROR(VLOOKUP($G949,物料档案!$A$4:$P$1203,4,0),"※编码不在物料档案里"))</f>
        <v/>
      </c>
      <c r="J949" s="24">
        <f>IF($G949="","",IFERROR(VLOOKUP($G949,物料档案!$A$4:$P$1203,5,0),"※编码不在物料档案里"))</f>
        <v/>
      </c>
      <c r="K949" s="23" t="n"/>
      <c r="L949" s="31" t="n"/>
      <c r="M949" s="24">
        <f>IF($G949="","",IF($D949="A国内","CNY","TZS"))</f>
        <v/>
      </c>
      <c r="N949" s="28">
        <f>IF($G949="","",IF($D949="A国内",汇率,1))</f>
        <v/>
      </c>
      <c r="O949" s="25">
        <f>IF($G949="","",ROUND(N($K949)*N($L949),2))</f>
        <v/>
      </c>
      <c r="P949" s="26">
        <f>IF($G949="","",ROUND($O949*$N949,0))</f>
        <v/>
      </c>
      <c r="Q949" s="26">
        <f>IF($G949="","",SUMIFS($P$4:$P$2503,$E$4:$E$2503,$E949,$Z$4:$Z$2503,"正常"))</f>
        <v/>
      </c>
      <c r="R949" s="26">
        <f>IF($G949="","",SUMIFS(费用台账!$I$4:$I$503,费用台账!$C$4:$C$503,$E949,费用台账!$J$4:$J$503,"是",费用台账!$K$4:$K$503,"正常"))</f>
        <v/>
      </c>
      <c r="S949" s="28">
        <f>IF($G949="","",COUNTIFS($E$4:$E$2503,$E949,$Z$4:$Z$2503,"正常",$Y$4:$Y$2503,"待补价"))</f>
        <v/>
      </c>
      <c r="T949" s="26">
        <f>IF($G949="","",SUMIFS($P$4:$P$2503,$E$4:$E$2503,$E949,$Z$4:$Z$2503,"正常",$A$4:$A$2503,"&lt;="&amp;$A949))</f>
        <v/>
      </c>
      <c r="U949" s="26">
        <f>IF($G949="","",IF(OR($S949&gt;0,$Q949=0,$R949=0,$Z949&lt;&gt;"正常"),0,ROUND($T949/$Q949*$R949,0)-ROUND(($T949-$P949)/$Q949*$R949,0)))</f>
        <v/>
      </c>
      <c r="V949" s="26">
        <f>IF($G949="","",ROUND($P949+$U949,0))</f>
        <v/>
      </c>
      <c r="W949" s="26">
        <f>IF($G949="","",IF(N($K949)=0,0,ROUND($V949/$K949,2)))</f>
        <v/>
      </c>
      <c r="X949" s="17" t="n"/>
      <c r="Y949" s="17" t="n"/>
      <c r="Z949" s="17" t="n"/>
      <c r="AA949" s="17" t="n"/>
      <c r="AB949" s="17" t="n"/>
      <c r="AC949" s="24">
        <f>IF($G949="","",IF($H949="※编码不在物料档案里","※物料编码不在档案里",IF(N($K949)&lt;=0,"※入库数量要大于 0",IF(AND($C949&lt;&gt;"",$C949&lt;=结账锁),"※日期早于已结账截止日，不能再录",IF(AND($L949=0,$X949="正常"),"※没填单价，价格状态请选「待补价」",IF(AND($S949&gt;0,$R949&gt;0),"△本批有 "&amp;$S949&amp;" 行没单价，整批运费先挂账没摊",IF(AND($B949&lt;&gt;"",COUNTIF($B$4:$B$2503,$B949)&gt;1),"※入库单号重复","")))))))</f>
        <v/>
      </c>
    </row>
    <row r="950">
      <c r="A950" s="24">
        <f>IF($G950="","",COUNTA($G$4:$G950))</f>
        <v/>
      </c>
      <c r="B950" s="17" t="n"/>
      <c r="C950" s="30" t="n"/>
      <c r="D950" s="17" t="n"/>
      <c r="E950" s="17" t="n"/>
      <c r="F950" s="17" t="n"/>
      <c r="G950" s="17" t="n"/>
      <c r="H950" s="24">
        <f>IF($G950="","",IFERROR(VLOOKUP($G950,物料档案!$A$4:$P$1203,3,0),"※编码不在物料档案里"))</f>
        <v/>
      </c>
      <c r="I950" s="24">
        <f>IF($G950="","",IFERROR(VLOOKUP($G950,物料档案!$A$4:$P$1203,4,0),"※编码不在物料档案里"))</f>
        <v/>
      </c>
      <c r="J950" s="24">
        <f>IF($G950="","",IFERROR(VLOOKUP($G950,物料档案!$A$4:$P$1203,5,0),"※编码不在物料档案里"))</f>
        <v/>
      </c>
      <c r="K950" s="23" t="n"/>
      <c r="L950" s="31" t="n"/>
      <c r="M950" s="24">
        <f>IF($G950="","",IF($D950="A国内","CNY","TZS"))</f>
        <v/>
      </c>
      <c r="N950" s="28">
        <f>IF($G950="","",IF($D950="A国内",汇率,1))</f>
        <v/>
      </c>
      <c r="O950" s="25">
        <f>IF($G950="","",ROUND(N($K950)*N($L950),2))</f>
        <v/>
      </c>
      <c r="P950" s="26">
        <f>IF($G950="","",ROUND($O950*$N950,0))</f>
        <v/>
      </c>
      <c r="Q950" s="26">
        <f>IF($G950="","",SUMIFS($P$4:$P$2503,$E$4:$E$2503,$E950,$Z$4:$Z$2503,"正常"))</f>
        <v/>
      </c>
      <c r="R950" s="26">
        <f>IF($G950="","",SUMIFS(费用台账!$I$4:$I$503,费用台账!$C$4:$C$503,$E950,费用台账!$J$4:$J$503,"是",费用台账!$K$4:$K$503,"正常"))</f>
        <v/>
      </c>
      <c r="S950" s="28">
        <f>IF($G950="","",COUNTIFS($E$4:$E$2503,$E950,$Z$4:$Z$2503,"正常",$Y$4:$Y$2503,"待补价"))</f>
        <v/>
      </c>
      <c r="T950" s="26">
        <f>IF($G950="","",SUMIFS($P$4:$P$2503,$E$4:$E$2503,$E950,$Z$4:$Z$2503,"正常",$A$4:$A$2503,"&lt;="&amp;$A950))</f>
        <v/>
      </c>
      <c r="U950" s="26">
        <f>IF($G950="","",IF(OR($S950&gt;0,$Q950=0,$R950=0,$Z950&lt;&gt;"正常"),0,ROUND($T950/$Q950*$R950,0)-ROUND(($T950-$P950)/$Q950*$R950,0)))</f>
        <v/>
      </c>
      <c r="V950" s="26">
        <f>IF($G950="","",ROUND($P950+$U950,0))</f>
        <v/>
      </c>
      <c r="W950" s="26">
        <f>IF($G950="","",IF(N($K950)=0,0,ROUND($V950/$K950,2)))</f>
        <v/>
      </c>
      <c r="X950" s="17" t="n"/>
      <c r="Y950" s="17" t="n"/>
      <c r="Z950" s="17" t="n"/>
      <c r="AA950" s="17" t="n"/>
      <c r="AB950" s="17" t="n"/>
      <c r="AC950" s="24">
        <f>IF($G950="","",IF($H950="※编码不在物料档案里","※物料编码不在档案里",IF(N($K950)&lt;=0,"※入库数量要大于 0",IF(AND($C950&lt;&gt;"",$C950&lt;=结账锁),"※日期早于已结账截止日，不能再录",IF(AND($L950=0,$X950="正常"),"※没填单价，价格状态请选「待补价」",IF(AND($S950&gt;0,$R950&gt;0),"△本批有 "&amp;$S950&amp;" 行没单价，整批运费先挂账没摊",IF(AND($B950&lt;&gt;"",COUNTIF($B$4:$B$2503,$B950)&gt;1),"※入库单号重复","")))))))</f>
        <v/>
      </c>
    </row>
    <row r="951">
      <c r="A951" s="24">
        <f>IF($G951="","",COUNTA($G$4:$G951))</f>
        <v/>
      </c>
      <c r="B951" s="17" t="n"/>
      <c r="C951" s="30" t="n"/>
      <c r="D951" s="17" t="n"/>
      <c r="E951" s="17" t="n"/>
      <c r="F951" s="17" t="n"/>
      <c r="G951" s="17" t="n"/>
      <c r="H951" s="24">
        <f>IF($G951="","",IFERROR(VLOOKUP($G951,物料档案!$A$4:$P$1203,3,0),"※编码不在物料档案里"))</f>
        <v/>
      </c>
      <c r="I951" s="24">
        <f>IF($G951="","",IFERROR(VLOOKUP($G951,物料档案!$A$4:$P$1203,4,0),"※编码不在物料档案里"))</f>
        <v/>
      </c>
      <c r="J951" s="24">
        <f>IF($G951="","",IFERROR(VLOOKUP($G951,物料档案!$A$4:$P$1203,5,0),"※编码不在物料档案里"))</f>
        <v/>
      </c>
      <c r="K951" s="23" t="n"/>
      <c r="L951" s="31" t="n"/>
      <c r="M951" s="24">
        <f>IF($G951="","",IF($D951="A国内","CNY","TZS"))</f>
        <v/>
      </c>
      <c r="N951" s="28">
        <f>IF($G951="","",IF($D951="A国内",汇率,1))</f>
        <v/>
      </c>
      <c r="O951" s="25">
        <f>IF($G951="","",ROUND(N($K951)*N($L951),2))</f>
        <v/>
      </c>
      <c r="P951" s="26">
        <f>IF($G951="","",ROUND($O951*$N951,0))</f>
        <v/>
      </c>
      <c r="Q951" s="26">
        <f>IF($G951="","",SUMIFS($P$4:$P$2503,$E$4:$E$2503,$E951,$Z$4:$Z$2503,"正常"))</f>
        <v/>
      </c>
      <c r="R951" s="26">
        <f>IF($G951="","",SUMIFS(费用台账!$I$4:$I$503,费用台账!$C$4:$C$503,$E951,费用台账!$J$4:$J$503,"是",费用台账!$K$4:$K$503,"正常"))</f>
        <v/>
      </c>
      <c r="S951" s="28">
        <f>IF($G951="","",COUNTIFS($E$4:$E$2503,$E951,$Z$4:$Z$2503,"正常",$Y$4:$Y$2503,"待补价"))</f>
        <v/>
      </c>
      <c r="T951" s="26">
        <f>IF($G951="","",SUMIFS($P$4:$P$2503,$E$4:$E$2503,$E951,$Z$4:$Z$2503,"正常",$A$4:$A$2503,"&lt;="&amp;$A951))</f>
        <v/>
      </c>
      <c r="U951" s="26">
        <f>IF($G951="","",IF(OR($S951&gt;0,$Q951=0,$R951=0,$Z951&lt;&gt;"正常"),0,ROUND($T951/$Q951*$R951,0)-ROUND(($T951-$P951)/$Q951*$R951,0)))</f>
        <v/>
      </c>
      <c r="V951" s="26">
        <f>IF($G951="","",ROUND($P951+$U951,0))</f>
        <v/>
      </c>
      <c r="W951" s="26">
        <f>IF($G951="","",IF(N($K951)=0,0,ROUND($V951/$K951,2)))</f>
        <v/>
      </c>
      <c r="X951" s="17" t="n"/>
      <c r="Y951" s="17" t="n"/>
      <c r="Z951" s="17" t="n"/>
      <c r="AA951" s="17" t="n"/>
      <c r="AB951" s="17" t="n"/>
      <c r="AC951" s="24">
        <f>IF($G951="","",IF($H951="※编码不在物料档案里","※物料编码不在档案里",IF(N($K951)&lt;=0,"※入库数量要大于 0",IF(AND($C951&lt;&gt;"",$C951&lt;=结账锁),"※日期早于已结账截止日，不能再录",IF(AND($L951=0,$X951="正常"),"※没填单价，价格状态请选「待补价」",IF(AND($S951&gt;0,$R951&gt;0),"△本批有 "&amp;$S951&amp;" 行没单价，整批运费先挂账没摊",IF(AND($B951&lt;&gt;"",COUNTIF($B$4:$B$2503,$B951)&gt;1),"※入库单号重复","")))))))</f>
        <v/>
      </c>
    </row>
    <row r="952">
      <c r="A952" s="24">
        <f>IF($G952="","",COUNTA($G$4:$G952))</f>
        <v/>
      </c>
      <c r="B952" s="17" t="n"/>
      <c r="C952" s="30" t="n"/>
      <c r="D952" s="17" t="n"/>
      <c r="E952" s="17" t="n"/>
      <c r="F952" s="17" t="n"/>
      <c r="G952" s="17" t="n"/>
      <c r="H952" s="24">
        <f>IF($G952="","",IFERROR(VLOOKUP($G952,物料档案!$A$4:$P$1203,3,0),"※编码不在物料档案里"))</f>
        <v/>
      </c>
      <c r="I952" s="24">
        <f>IF($G952="","",IFERROR(VLOOKUP($G952,物料档案!$A$4:$P$1203,4,0),"※编码不在物料档案里"))</f>
        <v/>
      </c>
      <c r="J952" s="24">
        <f>IF($G952="","",IFERROR(VLOOKUP($G952,物料档案!$A$4:$P$1203,5,0),"※编码不在物料档案里"))</f>
        <v/>
      </c>
      <c r="K952" s="23" t="n"/>
      <c r="L952" s="31" t="n"/>
      <c r="M952" s="24">
        <f>IF($G952="","",IF($D952="A国内","CNY","TZS"))</f>
        <v/>
      </c>
      <c r="N952" s="28">
        <f>IF($G952="","",IF($D952="A国内",汇率,1))</f>
        <v/>
      </c>
      <c r="O952" s="25">
        <f>IF($G952="","",ROUND(N($K952)*N($L952),2))</f>
        <v/>
      </c>
      <c r="P952" s="26">
        <f>IF($G952="","",ROUND($O952*$N952,0))</f>
        <v/>
      </c>
      <c r="Q952" s="26">
        <f>IF($G952="","",SUMIFS($P$4:$P$2503,$E$4:$E$2503,$E952,$Z$4:$Z$2503,"正常"))</f>
        <v/>
      </c>
      <c r="R952" s="26">
        <f>IF($G952="","",SUMIFS(费用台账!$I$4:$I$503,费用台账!$C$4:$C$503,$E952,费用台账!$J$4:$J$503,"是",费用台账!$K$4:$K$503,"正常"))</f>
        <v/>
      </c>
      <c r="S952" s="28">
        <f>IF($G952="","",COUNTIFS($E$4:$E$2503,$E952,$Z$4:$Z$2503,"正常",$Y$4:$Y$2503,"待补价"))</f>
        <v/>
      </c>
      <c r="T952" s="26">
        <f>IF($G952="","",SUMIFS($P$4:$P$2503,$E$4:$E$2503,$E952,$Z$4:$Z$2503,"正常",$A$4:$A$2503,"&lt;="&amp;$A952))</f>
        <v/>
      </c>
      <c r="U952" s="26">
        <f>IF($G952="","",IF(OR($S952&gt;0,$Q952=0,$R952=0,$Z952&lt;&gt;"正常"),0,ROUND($T952/$Q952*$R952,0)-ROUND(($T952-$P952)/$Q952*$R952,0)))</f>
        <v/>
      </c>
      <c r="V952" s="26">
        <f>IF($G952="","",ROUND($P952+$U952,0))</f>
        <v/>
      </c>
      <c r="W952" s="26">
        <f>IF($G952="","",IF(N($K952)=0,0,ROUND($V952/$K952,2)))</f>
        <v/>
      </c>
      <c r="X952" s="17" t="n"/>
      <c r="Y952" s="17" t="n"/>
      <c r="Z952" s="17" t="n"/>
      <c r="AA952" s="17" t="n"/>
      <c r="AB952" s="17" t="n"/>
      <c r="AC952" s="24">
        <f>IF($G952="","",IF($H952="※编码不在物料档案里","※物料编码不在档案里",IF(N($K952)&lt;=0,"※入库数量要大于 0",IF(AND($C952&lt;&gt;"",$C952&lt;=结账锁),"※日期早于已结账截止日，不能再录",IF(AND($L952=0,$X952="正常"),"※没填单价，价格状态请选「待补价」",IF(AND($S952&gt;0,$R952&gt;0),"△本批有 "&amp;$S952&amp;" 行没单价，整批运费先挂账没摊",IF(AND($B952&lt;&gt;"",COUNTIF($B$4:$B$2503,$B952)&gt;1),"※入库单号重复","")))))))</f>
        <v/>
      </c>
    </row>
    <row r="953">
      <c r="A953" s="24">
        <f>IF($G953="","",COUNTA($G$4:$G953))</f>
        <v/>
      </c>
      <c r="B953" s="17" t="n"/>
      <c r="C953" s="30" t="n"/>
      <c r="D953" s="17" t="n"/>
      <c r="E953" s="17" t="n"/>
      <c r="F953" s="17" t="n"/>
      <c r="G953" s="17" t="n"/>
      <c r="H953" s="24">
        <f>IF($G953="","",IFERROR(VLOOKUP($G953,物料档案!$A$4:$P$1203,3,0),"※编码不在物料档案里"))</f>
        <v/>
      </c>
      <c r="I953" s="24">
        <f>IF($G953="","",IFERROR(VLOOKUP($G953,物料档案!$A$4:$P$1203,4,0),"※编码不在物料档案里"))</f>
        <v/>
      </c>
      <c r="J953" s="24">
        <f>IF($G953="","",IFERROR(VLOOKUP($G953,物料档案!$A$4:$P$1203,5,0),"※编码不在物料档案里"))</f>
        <v/>
      </c>
      <c r="K953" s="23" t="n"/>
      <c r="L953" s="31" t="n"/>
      <c r="M953" s="24">
        <f>IF($G953="","",IF($D953="A国内","CNY","TZS"))</f>
        <v/>
      </c>
      <c r="N953" s="28">
        <f>IF($G953="","",IF($D953="A国内",汇率,1))</f>
        <v/>
      </c>
      <c r="O953" s="25">
        <f>IF($G953="","",ROUND(N($K953)*N($L953),2))</f>
        <v/>
      </c>
      <c r="P953" s="26">
        <f>IF($G953="","",ROUND($O953*$N953,0))</f>
        <v/>
      </c>
      <c r="Q953" s="26">
        <f>IF($G953="","",SUMIFS($P$4:$P$2503,$E$4:$E$2503,$E953,$Z$4:$Z$2503,"正常"))</f>
        <v/>
      </c>
      <c r="R953" s="26">
        <f>IF($G953="","",SUMIFS(费用台账!$I$4:$I$503,费用台账!$C$4:$C$503,$E953,费用台账!$J$4:$J$503,"是",费用台账!$K$4:$K$503,"正常"))</f>
        <v/>
      </c>
      <c r="S953" s="28">
        <f>IF($G953="","",COUNTIFS($E$4:$E$2503,$E953,$Z$4:$Z$2503,"正常",$Y$4:$Y$2503,"待补价"))</f>
        <v/>
      </c>
      <c r="T953" s="26">
        <f>IF($G953="","",SUMIFS($P$4:$P$2503,$E$4:$E$2503,$E953,$Z$4:$Z$2503,"正常",$A$4:$A$2503,"&lt;="&amp;$A953))</f>
        <v/>
      </c>
      <c r="U953" s="26">
        <f>IF($G953="","",IF(OR($S953&gt;0,$Q953=0,$R953=0,$Z953&lt;&gt;"正常"),0,ROUND($T953/$Q953*$R953,0)-ROUND(($T953-$P953)/$Q953*$R953,0)))</f>
        <v/>
      </c>
      <c r="V953" s="26">
        <f>IF($G953="","",ROUND($P953+$U953,0))</f>
        <v/>
      </c>
      <c r="W953" s="26">
        <f>IF($G953="","",IF(N($K953)=0,0,ROUND($V953/$K953,2)))</f>
        <v/>
      </c>
      <c r="X953" s="17" t="n"/>
      <c r="Y953" s="17" t="n"/>
      <c r="Z953" s="17" t="n"/>
      <c r="AA953" s="17" t="n"/>
      <c r="AB953" s="17" t="n"/>
      <c r="AC953" s="24">
        <f>IF($G953="","",IF($H953="※编码不在物料档案里","※物料编码不在档案里",IF(N($K953)&lt;=0,"※入库数量要大于 0",IF(AND($C953&lt;&gt;"",$C953&lt;=结账锁),"※日期早于已结账截止日，不能再录",IF(AND($L953=0,$X953="正常"),"※没填单价，价格状态请选「待补价」",IF(AND($S953&gt;0,$R953&gt;0),"△本批有 "&amp;$S953&amp;" 行没单价，整批运费先挂账没摊",IF(AND($B953&lt;&gt;"",COUNTIF($B$4:$B$2503,$B953)&gt;1),"※入库单号重复","")))))))</f>
        <v/>
      </c>
    </row>
    <row r="954">
      <c r="A954" s="24">
        <f>IF($G954="","",COUNTA($G$4:$G954))</f>
        <v/>
      </c>
      <c r="B954" s="17" t="n"/>
      <c r="C954" s="30" t="n"/>
      <c r="D954" s="17" t="n"/>
      <c r="E954" s="17" t="n"/>
      <c r="F954" s="17" t="n"/>
      <c r="G954" s="17" t="n"/>
      <c r="H954" s="24">
        <f>IF($G954="","",IFERROR(VLOOKUP($G954,物料档案!$A$4:$P$1203,3,0),"※编码不在物料档案里"))</f>
        <v/>
      </c>
      <c r="I954" s="24">
        <f>IF($G954="","",IFERROR(VLOOKUP($G954,物料档案!$A$4:$P$1203,4,0),"※编码不在物料档案里"))</f>
        <v/>
      </c>
      <c r="J954" s="24">
        <f>IF($G954="","",IFERROR(VLOOKUP($G954,物料档案!$A$4:$P$1203,5,0),"※编码不在物料档案里"))</f>
        <v/>
      </c>
      <c r="K954" s="23" t="n"/>
      <c r="L954" s="31" t="n"/>
      <c r="M954" s="24">
        <f>IF($G954="","",IF($D954="A国内","CNY","TZS"))</f>
        <v/>
      </c>
      <c r="N954" s="28">
        <f>IF($G954="","",IF($D954="A国内",汇率,1))</f>
        <v/>
      </c>
      <c r="O954" s="25">
        <f>IF($G954="","",ROUND(N($K954)*N($L954),2))</f>
        <v/>
      </c>
      <c r="P954" s="26">
        <f>IF($G954="","",ROUND($O954*$N954,0))</f>
        <v/>
      </c>
      <c r="Q954" s="26">
        <f>IF($G954="","",SUMIFS($P$4:$P$2503,$E$4:$E$2503,$E954,$Z$4:$Z$2503,"正常"))</f>
        <v/>
      </c>
      <c r="R954" s="26">
        <f>IF($G954="","",SUMIFS(费用台账!$I$4:$I$503,费用台账!$C$4:$C$503,$E954,费用台账!$J$4:$J$503,"是",费用台账!$K$4:$K$503,"正常"))</f>
        <v/>
      </c>
      <c r="S954" s="28">
        <f>IF($G954="","",COUNTIFS($E$4:$E$2503,$E954,$Z$4:$Z$2503,"正常",$Y$4:$Y$2503,"待补价"))</f>
        <v/>
      </c>
      <c r="T954" s="26">
        <f>IF($G954="","",SUMIFS($P$4:$P$2503,$E$4:$E$2503,$E954,$Z$4:$Z$2503,"正常",$A$4:$A$2503,"&lt;="&amp;$A954))</f>
        <v/>
      </c>
      <c r="U954" s="26">
        <f>IF($G954="","",IF(OR($S954&gt;0,$Q954=0,$R954=0,$Z954&lt;&gt;"正常"),0,ROUND($T954/$Q954*$R954,0)-ROUND(($T954-$P954)/$Q954*$R954,0)))</f>
        <v/>
      </c>
      <c r="V954" s="26">
        <f>IF($G954="","",ROUND($P954+$U954,0))</f>
        <v/>
      </c>
      <c r="W954" s="26">
        <f>IF($G954="","",IF(N($K954)=0,0,ROUND($V954/$K954,2)))</f>
        <v/>
      </c>
      <c r="X954" s="17" t="n"/>
      <c r="Y954" s="17" t="n"/>
      <c r="Z954" s="17" t="n"/>
      <c r="AA954" s="17" t="n"/>
      <c r="AB954" s="17" t="n"/>
      <c r="AC954" s="24">
        <f>IF($G954="","",IF($H954="※编码不在物料档案里","※物料编码不在档案里",IF(N($K954)&lt;=0,"※入库数量要大于 0",IF(AND($C954&lt;&gt;"",$C954&lt;=结账锁),"※日期早于已结账截止日，不能再录",IF(AND($L954=0,$X954="正常"),"※没填单价，价格状态请选「待补价」",IF(AND($S954&gt;0,$R954&gt;0),"△本批有 "&amp;$S954&amp;" 行没单价，整批运费先挂账没摊",IF(AND($B954&lt;&gt;"",COUNTIF($B$4:$B$2503,$B954)&gt;1),"※入库单号重复","")))))))</f>
        <v/>
      </c>
    </row>
    <row r="955">
      <c r="A955" s="24">
        <f>IF($G955="","",COUNTA($G$4:$G955))</f>
        <v/>
      </c>
      <c r="B955" s="17" t="n"/>
      <c r="C955" s="30" t="n"/>
      <c r="D955" s="17" t="n"/>
      <c r="E955" s="17" t="n"/>
      <c r="F955" s="17" t="n"/>
      <c r="G955" s="17" t="n"/>
      <c r="H955" s="24">
        <f>IF($G955="","",IFERROR(VLOOKUP($G955,物料档案!$A$4:$P$1203,3,0),"※编码不在物料档案里"))</f>
        <v/>
      </c>
      <c r="I955" s="24">
        <f>IF($G955="","",IFERROR(VLOOKUP($G955,物料档案!$A$4:$P$1203,4,0),"※编码不在物料档案里"))</f>
        <v/>
      </c>
      <c r="J955" s="24">
        <f>IF($G955="","",IFERROR(VLOOKUP($G955,物料档案!$A$4:$P$1203,5,0),"※编码不在物料档案里"))</f>
        <v/>
      </c>
      <c r="K955" s="23" t="n"/>
      <c r="L955" s="31" t="n"/>
      <c r="M955" s="24">
        <f>IF($G955="","",IF($D955="A国内","CNY","TZS"))</f>
        <v/>
      </c>
      <c r="N955" s="28">
        <f>IF($G955="","",IF($D955="A国内",汇率,1))</f>
        <v/>
      </c>
      <c r="O955" s="25">
        <f>IF($G955="","",ROUND(N($K955)*N($L955),2))</f>
        <v/>
      </c>
      <c r="P955" s="26">
        <f>IF($G955="","",ROUND($O955*$N955,0))</f>
        <v/>
      </c>
      <c r="Q955" s="26">
        <f>IF($G955="","",SUMIFS($P$4:$P$2503,$E$4:$E$2503,$E955,$Z$4:$Z$2503,"正常"))</f>
        <v/>
      </c>
      <c r="R955" s="26">
        <f>IF($G955="","",SUMIFS(费用台账!$I$4:$I$503,费用台账!$C$4:$C$503,$E955,费用台账!$J$4:$J$503,"是",费用台账!$K$4:$K$503,"正常"))</f>
        <v/>
      </c>
      <c r="S955" s="28">
        <f>IF($G955="","",COUNTIFS($E$4:$E$2503,$E955,$Z$4:$Z$2503,"正常",$Y$4:$Y$2503,"待补价"))</f>
        <v/>
      </c>
      <c r="T955" s="26">
        <f>IF($G955="","",SUMIFS($P$4:$P$2503,$E$4:$E$2503,$E955,$Z$4:$Z$2503,"正常",$A$4:$A$2503,"&lt;="&amp;$A955))</f>
        <v/>
      </c>
      <c r="U955" s="26">
        <f>IF($G955="","",IF(OR($S955&gt;0,$Q955=0,$R955=0,$Z955&lt;&gt;"正常"),0,ROUND($T955/$Q955*$R955,0)-ROUND(($T955-$P955)/$Q955*$R955,0)))</f>
        <v/>
      </c>
      <c r="V955" s="26">
        <f>IF($G955="","",ROUND($P955+$U955,0))</f>
        <v/>
      </c>
      <c r="W955" s="26">
        <f>IF($G955="","",IF(N($K955)=0,0,ROUND($V955/$K955,2)))</f>
        <v/>
      </c>
      <c r="X955" s="17" t="n"/>
      <c r="Y955" s="17" t="n"/>
      <c r="Z955" s="17" t="n"/>
      <c r="AA955" s="17" t="n"/>
      <c r="AB955" s="17" t="n"/>
      <c r="AC955" s="24">
        <f>IF($G955="","",IF($H955="※编码不在物料档案里","※物料编码不在档案里",IF(N($K955)&lt;=0,"※入库数量要大于 0",IF(AND($C955&lt;&gt;"",$C955&lt;=结账锁),"※日期早于已结账截止日，不能再录",IF(AND($L955=0,$X955="正常"),"※没填单价，价格状态请选「待补价」",IF(AND($S955&gt;0,$R955&gt;0),"△本批有 "&amp;$S955&amp;" 行没单价，整批运费先挂账没摊",IF(AND($B955&lt;&gt;"",COUNTIF($B$4:$B$2503,$B955)&gt;1),"※入库单号重复","")))))))</f>
        <v/>
      </c>
    </row>
    <row r="956">
      <c r="A956" s="24">
        <f>IF($G956="","",COUNTA($G$4:$G956))</f>
        <v/>
      </c>
      <c r="B956" s="17" t="n"/>
      <c r="C956" s="30" t="n"/>
      <c r="D956" s="17" t="n"/>
      <c r="E956" s="17" t="n"/>
      <c r="F956" s="17" t="n"/>
      <c r="G956" s="17" t="n"/>
      <c r="H956" s="24">
        <f>IF($G956="","",IFERROR(VLOOKUP($G956,物料档案!$A$4:$P$1203,3,0),"※编码不在物料档案里"))</f>
        <v/>
      </c>
      <c r="I956" s="24">
        <f>IF($G956="","",IFERROR(VLOOKUP($G956,物料档案!$A$4:$P$1203,4,0),"※编码不在物料档案里"))</f>
        <v/>
      </c>
      <c r="J956" s="24">
        <f>IF($G956="","",IFERROR(VLOOKUP($G956,物料档案!$A$4:$P$1203,5,0),"※编码不在物料档案里"))</f>
        <v/>
      </c>
      <c r="K956" s="23" t="n"/>
      <c r="L956" s="31" t="n"/>
      <c r="M956" s="24">
        <f>IF($G956="","",IF($D956="A国内","CNY","TZS"))</f>
        <v/>
      </c>
      <c r="N956" s="28">
        <f>IF($G956="","",IF($D956="A国内",汇率,1))</f>
        <v/>
      </c>
      <c r="O956" s="25">
        <f>IF($G956="","",ROUND(N($K956)*N($L956),2))</f>
        <v/>
      </c>
      <c r="P956" s="26">
        <f>IF($G956="","",ROUND($O956*$N956,0))</f>
        <v/>
      </c>
      <c r="Q956" s="26">
        <f>IF($G956="","",SUMIFS($P$4:$P$2503,$E$4:$E$2503,$E956,$Z$4:$Z$2503,"正常"))</f>
        <v/>
      </c>
      <c r="R956" s="26">
        <f>IF($G956="","",SUMIFS(费用台账!$I$4:$I$503,费用台账!$C$4:$C$503,$E956,费用台账!$J$4:$J$503,"是",费用台账!$K$4:$K$503,"正常"))</f>
        <v/>
      </c>
      <c r="S956" s="28">
        <f>IF($G956="","",COUNTIFS($E$4:$E$2503,$E956,$Z$4:$Z$2503,"正常",$Y$4:$Y$2503,"待补价"))</f>
        <v/>
      </c>
      <c r="T956" s="26">
        <f>IF($G956="","",SUMIFS($P$4:$P$2503,$E$4:$E$2503,$E956,$Z$4:$Z$2503,"正常",$A$4:$A$2503,"&lt;="&amp;$A956))</f>
        <v/>
      </c>
      <c r="U956" s="26">
        <f>IF($G956="","",IF(OR($S956&gt;0,$Q956=0,$R956=0,$Z956&lt;&gt;"正常"),0,ROUND($T956/$Q956*$R956,0)-ROUND(($T956-$P956)/$Q956*$R956,0)))</f>
        <v/>
      </c>
      <c r="V956" s="26">
        <f>IF($G956="","",ROUND($P956+$U956,0))</f>
        <v/>
      </c>
      <c r="W956" s="26">
        <f>IF($G956="","",IF(N($K956)=0,0,ROUND($V956/$K956,2)))</f>
        <v/>
      </c>
      <c r="X956" s="17" t="n"/>
      <c r="Y956" s="17" t="n"/>
      <c r="Z956" s="17" t="n"/>
      <c r="AA956" s="17" t="n"/>
      <c r="AB956" s="17" t="n"/>
      <c r="AC956" s="24">
        <f>IF($G956="","",IF($H956="※编码不在物料档案里","※物料编码不在档案里",IF(N($K956)&lt;=0,"※入库数量要大于 0",IF(AND($C956&lt;&gt;"",$C956&lt;=结账锁),"※日期早于已结账截止日，不能再录",IF(AND($L956=0,$X956="正常"),"※没填单价，价格状态请选「待补价」",IF(AND($S956&gt;0,$R956&gt;0),"△本批有 "&amp;$S956&amp;" 行没单价，整批运费先挂账没摊",IF(AND($B956&lt;&gt;"",COUNTIF($B$4:$B$2503,$B956)&gt;1),"※入库单号重复","")))))))</f>
        <v/>
      </c>
    </row>
    <row r="957">
      <c r="A957" s="24">
        <f>IF($G957="","",COUNTA($G$4:$G957))</f>
        <v/>
      </c>
      <c r="B957" s="17" t="n"/>
      <c r="C957" s="30" t="n"/>
      <c r="D957" s="17" t="n"/>
      <c r="E957" s="17" t="n"/>
      <c r="F957" s="17" t="n"/>
      <c r="G957" s="17" t="n"/>
      <c r="H957" s="24">
        <f>IF($G957="","",IFERROR(VLOOKUP($G957,物料档案!$A$4:$P$1203,3,0),"※编码不在物料档案里"))</f>
        <v/>
      </c>
      <c r="I957" s="24">
        <f>IF($G957="","",IFERROR(VLOOKUP($G957,物料档案!$A$4:$P$1203,4,0),"※编码不在物料档案里"))</f>
        <v/>
      </c>
      <c r="J957" s="24">
        <f>IF($G957="","",IFERROR(VLOOKUP($G957,物料档案!$A$4:$P$1203,5,0),"※编码不在物料档案里"))</f>
        <v/>
      </c>
      <c r="K957" s="23" t="n"/>
      <c r="L957" s="31" t="n"/>
      <c r="M957" s="24">
        <f>IF($G957="","",IF($D957="A国内","CNY","TZS"))</f>
        <v/>
      </c>
      <c r="N957" s="28">
        <f>IF($G957="","",IF($D957="A国内",汇率,1))</f>
        <v/>
      </c>
      <c r="O957" s="25">
        <f>IF($G957="","",ROUND(N($K957)*N($L957),2))</f>
        <v/>
      </c>
      <c r="P957" s="26">
        <f>IF($G957="","",ROUND($O957*$N957,0))</f>
        <v/>
      </c>
      <c r="Q957" s="26">
        <f>IF($G957="","",SUMIFS($P$4:$P$2503,$E$4:$E$2503,$E957,$Z$4:$Z$2503,"正常"))</f>
        <v/>
      </c>
      <c r="R957" s="26">
        <f>IF($G957="","",SUMIFS(费用台账!$I$4:$I$503,费用台账!$C$4:$C$503,$E957,费用台账!$J$4:$J$503,"是",费用台账!$K$4:$K$503,"正常"))</f>
        <v/>
      </c>
      <c r="S957" s="28">
        <f>IF($G957="","",COUNTIFS($E$4:$E$2503,$E957,$Z$4:$Z$2503,"正常",$Y$4:$Y$2503,"待补价"))</f>
        <v/>
      </c>
      <c r="T957" s="26">
        <f>IF($G957="","",SUMIFS($P$4:$P$2503,$E$4:$E$2503,$E957,$Z$4:$Z$2503,"正常",$A$4:$A$2503,"&lt;="&amp;$A957))</f>
        <v/>
      </c>
      <c r="U957" s="26">
        <f>IF($G957="","",IF(OR($S957&gt;0,$Q957=0,$R957=0,$Z957&lt;&gt;"正常"),0,ROUND($T957/$Q957*$R957,0)-ROUND(($T957-$P957)/$Q957*$R957,0)))</f>
        <v/>
      </c>
      <c r="V957" s="26">
        <f>IF($G957="","",ROUND($P957+$U957,0))</f>
        <v/>
      </c>
      <c r="W957" s="26">
        <f>IF($G957="","",IF(N($K957)=0,0,ROUND($V957/$K957,2)))</f>
        <v/>
      </c>
      <c r="X957" s="17" t="n"/>
      <c r="Y957" s="17" t="n"/>
      <c r="Z957" s="17" t="n"/>
      <c r="AA957" s="17" t="n"/>
      <c r="AB957" s="17" t="n"/>
      <c r="AC957" s="24">
        <f>IF($G957="","",IF($H957="※编码不在物料档案里","※物料编码不在档案里",IF(N($K957)&lt;=0,"※入库数量要大于 0",IF(AND($C957&lt;&gt;"",$C957&lt;=结账锁),"※日期早于已结账截止日，不能再录",IF(AND($L957=0,$X957="正常"),"※没填单价，价格状态请选「待补价」",IF(AND($S957&gt;0,$R957&gt;0),"△本批有 "&amp;$S957&amp;" 行没单价，整批运费先挂账没摊",IF(AND($B957&lt;&gt;"",COUNTIF($B$4:$B$2503,$B957)&gt;1),"※入库单号重复","")))))))</f>
        <v/>
      </c>
    </row>
    <row r="958">
      <c r="A958" s="24">
        <f>IF($G958="","",COUNTA($G$4:$G958))</f>
        <v/>
      </c>
      <c r="B958" s="17" t="n"/>
      <c r="C958" s="30" t="n"/>
      <c r="D958" s="17" t="n"/>
      <c r="E958" s="17" t="n"/>
      <c r="F958" s="17" t="n"/>
      <c r="G958" s="17" t="n"/>
      <c r="H958" s="24">
        <f>IF($G958="","",IFERROR(VLOOKUP($G958,物料档案!$A$4:$P$1203,3,0),"※编码不在物料档案里"))</f>
        <v/>
      </c>
      <c r="I958" s="24">
        <f>IF($G958="","",IFERROR(VLOOKUP($G958,物料档案!$A$4:$P$1203,4,0),"※编码不在物料档案里"))</f>
        <v/>
      </c>
      <c r="J958" s="24">
        <f>IF($G958="","",IFERROR(VLOOKUP($G958,物料档案!$A$4:$P$1203,5,0),"※编码不在物料档案里"))</f>
        <v/>
      </c>
      <c r="K958" s="23" t="n"/>
      <c r="L958" s="31" t="n"/>
      <c r="M958" s="24">
        <f>IF($G958="","",IF($D958="A国内","CNY","TZS"))</f>
        <v/>
      </c>
      <c r="N958" s="28">
        <f>IF($G958="","",IF($D958="A国内",汇率,1))</f>
        <v/>
      </c>
      <c r="O958" s="25">
        <f>IF($G958="","",ROUND(N($K958)*N($L958),2))</f>
        <v/>
      </c>
      <c r="P958" s="26">
        <f>IF($G958="","",ROUND($O958*$N958,0))</f>
        <v/>
      </c>
      <c r="Q958" s="26">
        <f>IF($G958="","",SUMIFS($P$4:$P$2503,$E$4:$E$2503,$E958,$Z$4:$Z$2503,"正常"))</f>
        <v/>
      </c>
      <c r="R958" s="26">
        <f>IF($G958="","",SUMIFS(费用台账!$I$4:$I$503,费用台账!$C$4:$C$503,$E958,费用台账!$J$4:$J$503,"是",费用台账!$K$4:$K$503,"正常"))</f>
        <v/>
      </c>
      <c r="S958" s="28">
        <f>IF($G958="","",COUNTIFS($E$4:$E$2503,$E958,$Z$4:$Z$2503,"正常",$Y$4:$Y$2503,"待补价"))</f>
        <v/>
      </c>
      <c r="T958" s="26">
        <f>IF($G958="","",SUMIFS($P$4:$P$2503,$E$4:$E$2503,$E958,$Z$4:$Z$2503,"正常",$A$4:$A$2503,"&lt;="&amp;$A958))</f>
        <v/>
      </c>
      <c r="U958" s="26">
        <f>IF($G958="","",IF(OR($S958&gt;0,$Q958=0,$R958=0,$Z958&lt;&gt;"正常"),0,ROUND($T958/$Q958*$R958,0)-ROUND(($T958-$P958)/$Q958*$R958,0)))</f>
        <v/>
      </c>
      <c r="V958" s="26">
        <f>IF($G958="","",ROUND($P958+$U958,0))</f>
        <v/>
      </c>
      <c r="W958" s="26">
        <f>IF($G958="","",IF(N($K958)=0,0,ROUND($V958/$K958,2)))</f>
        <v/>
      </c>
      <c r="X958" s="17" t="n"/>
      <c r="Y958" s="17" t="n"/>
      <c r="Z958" s="17" t="n"/>
      <c r="AA958" s="17" t="n"/>
      <c r="AB958" s="17" t="n"/>
      <c r="AC958" s="24">
        <f>IF($G958="","",IF($H958="※编码不在物料档案里","※物料编码不在档案里",IF(N($K958)&lt;=0,"※入库数量要大于 0",IF(AND($C958&lt;&gt;"",$C958&lt;=结账锁),"※日期早于已结账截止日，不能再录",IF(AND($L958=0,$X958="正常"),"※没填单价，价格状态请选「待补价」",IF(AND($S958&gt;0,$R958&gt;0),"△本批有 "&amp;$S958&amp;" 行没单价，整批运费先挂账没摊",IF(AND($B958&lt;&gt;"",COUNTIF($B$4:$B$2503,$B958)&gt;1),"※入库单号重复","")))))))</f>
        <v/>
      </c>
    </row>
    <row r="959">
      <c r="A959" s="24">
        <f>IF($G959="","",COUNTA($G$4:$G959))</f>
        <v/>
      </c>
      <c r="B959" s="17" t="n"/>
      <c r="C959" s="30" t="n"/>
      <c r="D959" s="17" t="n"/>
      <c r="E959" s="17" t="n"/>
      <c r="F959" s="17" t="n"/>
      <c r="G959" s="17" t="n"/>
      <c r="H959" s="24">
        <f>IF($G959="","",IFERROR(VLOOKUP($G959,物料档案!$A$4:$P$1203,3,0),"※编码不在物料档案里"))</f>
        <v/>
      </c>
      <c r="I959" s="24">
        <f>IF($G959="","",IFERROR(VLOOKUP($G959,物料档案!$A$4:$P$1203,4,0),"※编码不在物料档案里"))</f>
        <v/>
      </c>
      <c r="J959" s="24">
        <f>IF($G959="","",IFERROR(VLOOKUP($G959,物料档案!$A$4:$P$1203,5,0),"※编码不在物料档案里"))</f>
        <v/>
      </c>
      <c r="K959" s="23" t="n"/>
      <c r="L959" s="31" t="n"/>
      <c r="M959" s="24">
        <f>IF($G959="","",IF($D959="A国内","CNY","TZS"))</f>
        <v/>
      </c>
      <c r="N959" s="28">
        <f>IF($G959="","",IF($D959="A国内",汇率,1))</f>
        <v/>
      </c>
      <c r="O959" s="25">
        <f>IF($G959="","",ROUND(N($K959)*N($L959),2))</f>
        <v/>
      </c>
      <c r="P959" s="26">
        <f>IF($G959="","",ROUND($O959*$N959,0))</f>
        <v/>
      </c>
      <c r="Q959" s="26">
        <f>IF($G959="","",SUMIFS($P$4:$P$2503,$E$4:$E$2503,$E959,$Z$4:$Z$2503,"正常"))</f>
        <v/>
      </c>
      <c r="R959" s="26">
        <f>IF($G959="","",SUMIFS(费用台账!$I$4:$I$503,费用台账!$C$4:$C$503,$E959,费用台账!$J$4:$J$503,"是",费用台账!$K$4:$K$503,"正常"))</f>
        <v/>
      </c>
      <c r="S959" s="28">
        <f>IF($G959="","",COUNTIFS($E$4:$E$2503,$E959,$Z$4:$Z$2503,"正常",$Y$4:$Y$2503,"待补价"))</f>
        <v/>
      </c>
      <c r="T959" s="26">
        <f>IF($G959="","",SUMIFS($P$4:$P$2503,$E$4:$E$2503,$E959,$Z$4:$Z$2503,"正常",$A$4:$A$2503,"&lt;="&amp;$A959))</f>
        <v/>
      </c>
      <c r="U959" s="26">
        <f>IF($G959="","",IF(OR($S959&gt;0,$Q959=0,$R959=0,$Z959&lt;&gt;"正常"),0,ROUND($T959/$Q959*$R959,0)-ROUND(($T959-$P959)/$Q959*$R959,0)))</f>
        <v/>
      </c>
      <c r="V959" s="26">
        <f>IF($G959="","",ROUND($P959+$U959,0))</f>
        <v/>
      </c>
      <c r="W959" s="26">
        <f>IF($G959="","",IF(N($K959)=0,0,ROUND($V959/$K959,2)))</f>
        <v/>
      </c>
      <c r="X959" s="17" t="n"/>
      <c r="Y959" s="17" t="n"/>
      <c r="Z959" s="17" t="n"/>
      <c r="AA959" s="17" t="n"/>
      <c r="AB959" s="17" t="n"/>
      <c r="AC959" s="24">
        <f>IF($G959="","",IF($H959="※编码不在物料档案里","※物料编码不在档案里",IF(N($K959)&lt;=0,"※入库数量要大于 0",IF(AND($C959&lt;&gt;"",$C959&lt;=结账锁),"※日期早于已结账截止日，不能再录",IF(AND($L959=0,$X959="正常"),"※没填单价，价格状态请选「待补价」",IF(AND($S959&gt;0,$R959&gt;0),"△本批有 "&amp;$S959&amp;" 行没单价，整批运费先挂账没摊",IF(AND($B959&lt;&gt;"",COUNTIF($B$4:$B$2503,$B959)&gt;1),"※入库单号重复","")))))))</f>
        <v/>
      </c>
    </row>
    <row r="960">
      <c r="A960" s="24">
        <f>IF($G960="","",COUNTA($G$4:$G960))</f>
        <v/>
      </c>
      <c r="B960" s="17" t="n"/>
      <c r="C960" s="30" t="n"/>
      <c r="D960" s="17" t="n"/>
      <c r="E960" s="17" t="n"/>
      <c r="F960" s="17" t="n"/>
      <c r="G960" s="17" t="n"/>
      <c r="H960" s="24">
        <f>IF($G960="","",IFERROR(VLOOKUP($G960,物料档案!$A$4:$P$1203,3,0),"※编码不在物料档案里"))</f>
        <v/>
      </c>
      <c r="I960" s="24">
        <f>IF($G960="","",IFERROR(VLOOKUP($G960,物料档案!$A$4:$P$1203,4,0),"※编码不在物料档案里"))</f>
        <v/>
      </c>
      <c r="J960" s="24">
        <f>IF($G960="","",IFERROR(VLOOKUP($G960,物料档案!$A$4:$P$1203,5,0),"※编码不在物料档案里"))</f>
        <v/>
      </c>
      <c r="K960" s="23" t="n"/>
      <c r="L960" s="31" t="n"/>
      <c r="M960" s="24">
        <f>IF($G960="","",IF($D960="A国内","CNY","TZS"))</f>
        <v/>
      </c>
      <c r="N960" s="28">
        <f>IF($G960="","",IF($D960="A国内",汇率,1))</f>
        <v/>
      </c>
      <c r="O960" s="25">
        <f>IF($G960="","",ROUND(N($K960)*N($L960),2))</f>
        <v/>
      </c>
      <c r="P960" s="26">
        <f>IF($G960="","",ROUND($O960*$N960,0))</f>
        <v/>
      </c>
      <c r="Q960" s="26">
        <f>IF($G960="","",SUMIFS($P$4:$P$2503,$E$4:$E$2503,$E960,$Z$4:$Z$2503,"正常"))</f>
        <v/>
      </c>
      <c r="R960" s="26">
        <f>IF($G960="","",SUMIFS(费用台账!$I$4:$I$503,费用台账!$C$4:$C$503,$E960,费用台账!$J$4:$J$503,"是",费用台账!$K$4:$K$503,"正常"))</f>
        <v/>
      </c>
      <c r="S960" s="28">
        <f>IF($G960="","",COUNTIFS($E$4:$E$2503,$E960,$Z$4:$Z$2503,"正常",$Y$4:$Y$2503,"待补价"))</f>
        <v/>
      </c>
      <c r="T960" s="26">
        <f>IF($G960="","",SUMIFS($P$4:$P$2503,$E$4:$E$2503,$E960,$Z$4:$Z$2503,"正常",$A$4:$A$2503,"&lt;="&amp;$A960))</f>
        <v/>
      </c>
      <c r="U960" s="26">
        <f>IF($G960="","",IF(OR($S960&gt;0,$Q960=0,$R960=0,$Z960&lt;&gt;"正常"),0,ROUND($T960/$Q960*$R960,0)-ROUND(($T960-$P960)/$Q960*$R960,0)))</f>
        <v/>
      </c>
      <c r="V960" s="26">
        <f>IF($G960="","",ROUND($P960+$U960,0))</f>
        <v/>
      </c>
      <c r="W960" s="26">
        <f>IF($G960="","",IF(N($K960)=0,0,ROUND($V960/$K960,2)))</f>
        <v/>
      </c>
      <c r="X960" s="17" t="n"/>
      <c r="Y960" s="17" t="n"/>
      <c r="Z960" s="17" t="n"/>
      <c r="AA960" s="17" t="n"/>
      <c r="AB960" s="17" t="n"/>
      <c r="AC960" s="24">
        <f>IF($G960="","",IF($H960="※编码不在物料档案里","※物料编码不在档案里",IF(N($K960)&lt;=0,"※入库数量要大于 0",IF(AND($C960&lt;&gt;"",$C960&lt;=结账锁),"※日期早于已结账截止日，不能再录",IF(AND($L960=0,$X960="正常"),"※没填单价，价格状态请选「待补价」",IF(AND($S960&gt;0,$R960&gt;0),"△本批有 "&amp;$S960&amp;" 行没单价，整批运费先挂账没摊",IF(AND($B960&lt;&gt;"",COUNTIF($B$4:$B$2503,$B960)&gt;1),"※入库单号重复","")))))))</f>
        <v/>
      </c>
    </row>
    <row r="961">
      <c r="A961" s="24">
        <f>IF($G961="","",COUNTA($G$4:$G961))</f>
        <v/>
      </c>
      <c r="B961" s="17" t="n"/>
      <c r="C961" s="30" t="n"/>
      <c r="D961" s="17" t="n"/>
      <c r="E961" s="17" t="n"/>
      <c r="F961" s="17" t="n"/>
      <c r="G961" s="17" t="n"/>
      <c r="H961" s="24">
        <f>IF($G961="","",IFERROR(VLOOKUP($G961,物料档案!$A$4:$P$1203,3,0),"※编码不在物料档案里"))</f>
        <v/>
      </c>
      <c r="I961" s="24">
        <f>IF($G961="","",IFERROR(VLOOKUP($G961,物料档案!$A$4:$P$1203,4,0),"※编码不在物料档案里"))</f>
        <v/>
      </c>
      <c r="J961" s="24">
        <f>IF($G961="","",IFERROR(VLOOKUP($G961,物料档案!$A$4:$P$1203,5,0),"※编码不在物料档案里"))</f>
        <v/>
      </c>
      <c r="K961" s="23" t="n"/>
      <c r="L961" s="31" t="n"/>
      <c r="M961" s="24">
        <f>IF($G961="","",IF($D961="A国内","CNY","TZS"))</f>
        <v/>
      </c>
      <c r="N961" s="28">
        <f>IF($G961="","",IF($D961="A国内",汇率,1))</f>
        <v/>
      </c>
      <c r="O961" s="25">
        <f>IF($G961="","",ROUND(N($K961)*N($L961),2))</f>
        <v/>
      </c>
      <c r="P961" s="26">
        <f>IF($G961="","",ROUND($O961*$N961,0))</f>
        <v/>
      </c>
      <c r="Q961" s="26">
        <f>IF($G961="","",SUMIFS($P$4:$P$2503,$E$4:$E$2503,$E961,$Z$4:$Z$2503,"正常"))</f>
        <v/>
      </c>
      <c r="R961" s="26">
        <f>IF($G961="","",SUMIFS(费用台账!$I$4:$I$503,费用台账!$C$4:$C$503,$E961,费用台账!$J$4:$J$503,"是",费用台账!$K$4:$K$503,"正常"))</f>
        <v/>
      </c>
      <c r="S961" s="28">
        <f>IF($G961="","",COUNTIFS($E$4:$E$2503,$E961,$Z$4:$Z$2503,"正常",$Y$4:$Y$2503,"待补价"))</f>
        <v/>
      </c>
      <c r="T961" s="26">
        <f>IF($G961="","",SUMIFS($P$4:$P$2503,$E$4:$E$2503,$E961,$Z$4:$Z$2503,"正常",$A$4:$A$2503,"&lt;="&amp;$A961))</f>
        <v/>
      </c>
      <c r="U961" s="26">
        <f>IF($G961="","",IF(OR($S961&gt;0,$Q961=0,$R961=0,$Z961&lt;&gt;"正常"),0,ROUND($T961/$Q961*$R961,0)-ROUND(($T961-$P961)/$Q961*$R961,0)))</f>
        <v/>
      </c>
      <c r="V961" s="26">
        <f>IF($G961="","",ROUND($P961+$U961,0))</f>
        <v/>
      </c>
      <c r="W961" s="26">
        <f>IF($G961="","",IF(N($K961)=0,0,ROUND($V961/$K961,2)))</f>
        <v/>
      </c>
      <c r="X961" s="17" t="n"/>
      <c r="Y961" s="17" t="n"/>
      <c r="Z961" s="17" t="n"/>
      <c r="AA961" s="17" t="n"/>
      <c r="AB961" s="17" t="n"/>
      <c r="AC961" s="24">
        <f>IF($G961="","",IF($H961="※编码不在物料档案里","※物料编码不在档案里",IF(N($K961)&lt;=0,"※入库数量要大于 0",IF(AND($C961&lt;&gt;"",$C961&lt;=结账锁),"※日期早于已结账截止日，不能再录",IF(AND($L961=0,$X961="正常"),"※没填单价，价格状态请选「待补价」",IF(AND($S961&gt;0,$R961&gt;0),"△本批有 "&amp;$S961&amp;" 行没单价，整批运费先挂账没摊",IF(AND($B961&lt;&gt;"",COUNTIF($B$4:$B$2503,$B961)&gt;1),"※入库单号重复","")))))))</f>
        <v/>
      </c>
    </row>
    <row r="962">
      <c r="A962" s="24">
        <f>IF($G962="","",COUNTA($G$4:$G962))</f>
        <v/>
      </c>
      <c r="B962" s="17" t="n"/>
      <c r="C962" s="30" t="n"/>
      <c r="D962" s="17" t="n"/>
      <c r="E962" s="17" t="n"/>
      <c r="F962" s="17" t="n"/>
      <c r="G962" s="17" t="n"/>
      <c r="H962" s="24">
        <f>IF($G962="","",IFERROR(VLOOKUP($G962,物料档案!$A$4:$P$1203,3,0),"※编码不在物料档案里"))</f>
        <v/>
      </c>
      <c r="I962" s="24">
        <f>IF($G962="","",IFERROR(VLOOKUP($G962,物料档案!$A$4:$P$1203,4,0),"※编码不在物料档案里"))</f>
        <v/>
      </c>
      <c r="J962" s="24">
        <f>IF($G962="","",IFERROR(VLOOKUP($G962,物料档案!$A$4:$P$1203,5,0),"※编码不在物料档案里"))</f>
        <v/>
      </c>
      <c r="K962" s="23" t="n"/>
      <c r="L962" s="31" t="n"/>
      <c r="M962" s="24">
        <f>IF($G962="","",IF($D962="A国内","CNY","TZS"))</f>
        <v/>
      </c>
      <c r="N962" s="28">
        <f>IF($G962="","",IF($D962="A国内",汇率,1))</f>
        <v/>
      </c>
      <c r="O962" s="25">
        <f>IF($G962="","",ROUND(N($K962)*N($L962),2))</f>
        <v/>
      </c>
      <c r="P962" s="26">
        <f>IF($G962="","",ROUND($O962*$N962,0))</f>
        <v/>
      </c>
      <c r="Q962" s="26">
        <f>IF($G962="","",SUMIFS($P$4:$P$2503,$E$4:$E$2503,$E962,$Z$4:$Z$2503,"正常"))</f>
        <v/>
      </c>
      <c r="R962" s="26">
        <f>IF($G962="","",SUMIFS(费用台账!$I$4:$I$503,费用台账!$C$4:$C$503,$E962,费用台账!$J$4:$J$503,"是",费用台账!$K$4:$K$503,"正常"))</f>
        <v/>
      </c>
      <c r="S962" s="28">
        <f>IF($G962="","",COUNTIFS($E$4:$E$2503,$E962,$Z$4:$Z$2503,"正常",$Y$4:$Y$2503,"待补价"))</f>
        <v/>
      </c>
      <c r="T962" s="26">
        <f>IF($G962="","",SUMIFS($P$4:$P$2503,$E$4:$E$2503,$E962,$Z$4:$Z$2503,"正常",$A$4:$A$2503,"&lt;="&amp;$A962))</f>
        <v/>
      </c>
      <c r="U962" s="26">
        <f>IF($G962="","",IF(OR($S962&gt;0,$Q962=0,$R962=0,$Z962&lt;&gt;"正常"),0,ROUND($T962/$Q962*$R962,0)-ROUND(($T962-$P962)/$Q962*$R962,0)))</f>
        <v/>
      </c>
      <c r="V962" s="26">
        <f>IF($G962="","",ROUND($P962+$U962,0))</f>
        <v/>
      </c>
      <c r="W962" s="26">
        <f>IF($G962="","",IF(N($K962)=0,0,ROUND($V962/$K962,2)))</f>
        <v/>
      </c>
      <c r="X962" s="17" t="n"/>
      <c r="Y962" s="17" t="n"/>
      <c r="Z962" s="17" t="n"/>
      <c r="AA962" s="17" t="n"/>
      <c r="AB962" s="17" t="n"/>
      <c r="AC962" s="24">
        <f>IF($G962="","",IF($H962="※编码不在物料档案里","※物料编码不在档案里",IF(N($K962)&lt;=0,"※入库数量要大于 0",IF(AND($C962&lt;&gt;"",$C962&lt;=结账锁),"※日期早于已结账截止日，不能再录",IF(AND($L962=0,$X962="正常"),"※没填单价，价格状态请选「待补价」",IF(AND($S962&gt;0,$R962&gt;0),"△本批有 "&amp;$S962&amp;" 行没单价，整批运费先挂账没摊",IF(AND($B962&lt;&gt;"",COUNTIF($B$4:$B$2503,$B962)&gt;1),"※入库单号重复","")))))))</f>
        <v/>
      </c>
    </row>
    <row r="963">
      <c r="A963" s="24">
        <f>IF($G963="","",COUNTA($G$4:$G963))</f>
        <v/>
      </c>
      <c r="B963" s="17" t="n"/>
      <c r="C963" s="30" t="n"/>
      <c r="D963" s="17" t="n"/>
      <c r="E963" s="17" t="n"/>
      <c r="F963" s="17" t="n"/>
      <c r="G963" s="17" t="n"/>
      <c r="H963" s="24">
        <f>IF($G963="","",IFERROR(VLOOKUP($G963,物料档案!$A$4:$P$1203,3,0),"※编码不在物料档案里"))</f>
        <v/>
      </c>
      <c r="I963" s="24">
        <f>IF($G963="","",IFERROR(VLOOKUP($G963,物料档案!$A$4:$P$1203,4,0),"※编码不在物料档案里"))</f>
        <v/>
      </c>
      <c r="J963" s="24">
        <f>IF($G963="","",IFERROR(VLOOKUP($G963,物料档案!$A$4:$P$1203,5,0),"※编码不在物料档案里"))</f>
        <v/>
      </c>
      <c r="K963" s="23" t="n"/>
      <c r="L963" s="31" t="n"/>
      <c r="M963" s="24">
        <f>IF($G963="","",IF($D963="A国内","CNY","TZS"))</f>
        <v/>
      </c>
      <c r="N963" s="28">
        <f>IF($G963="","",IF($D963="A国内",汇率,1))</f>
        <v/>
      </c>
      <c r="O963" s="25">
        <f>IF($G963="","",ROUND(N($K963)*N($L963),2))</f>
        <v/>
      </c>
      <c r="P963" s="26">
        <f>IF($G963="","",ROUND($O963*$N963,0))</f>
        <v/>
      </c>
      <c r="Q963" s="26">
        <f>IF($G963="","",SUMIFS($P$4:$P$2503,$E$4:$E$2503,$E963,$Z$4:$Z$2503,"正常"))</f>
        <v/>
      </c>
      <c r="R963" s="26">
        <f>IF($G963="","",SUMIFS(费用台账!$I$4:$I$503,费用台账!$C$4:$C$503,$E963,费用台账!$J$4:$J$503,"是",费用台账!$K$4:$K$503,"正常"))</f>
        <v/>
      </c>
      <c r="S963" s="28">
        <f>IF($G963="","",COUNTIFS($E$4:$E$2503,$E963,$Z$4:$Z$2503,"正常",$Y$4:$Y$2503,"待补价"))</f>
        <v/>
      </c>
      <c r="T963" s="26">
        <f>IF($G963="","",SUMIFS($P$4:$P$2503,$E$4:$E$2503,$E963,$Z$4:$Z$2503,"正常",$A$4:$A$2503,"&lt;="&amp;$A963))</f>
        <v/>
      </c>
      <c r="U963" s="26">
        <f>IF($G963="","",IF(OR($S963&gt;0,$Q963=0,$R963=0,$Z963&lt;&gt;"正常"),0,ROUND($T963/$Q963*$R963,0)-ROUND(($T963-$P963)/$Q963*$R963,0)))</f>
        <v/>
      </c>
      <c r="V963" s="26">
        <f>IF($G963="","",ROUND($P963+$U963,0))</f>
        <v/>
      </c>
      <c r="W963" s="26">
        <f>IF($G963="","",IF(N($K963)=0,0,ROUND($V963/$K963,2)))</f>
        <v/>
      </c>
      <c r="X963" s="17" t="n"/>
      <c r="Y963" s="17" t="n"/>
      <c r="Z963" s="17" t="n"/>
      <c r="AA963" s="17" t="n"/>
      <c r="AB963" s="17" t="n"/>
      <c r="AC963" s="24">
        <f>IF($G963="","",IF($H963="※编码不在物料档案里","※物料编码不在档案里",IF(N($K963)&lt;=0,"※入库数量要大于 0",IF(AND($C963&lt;&gt;"",$C963&lt;=结账锁),"※日期早于已结账截止日，不能再录",IF(AND($L963=0,$X963="正常"),"※没填单价，价格状态请选「待补价」",IF(AND($S963&gt;0,$R963&gt;0),"△本批有 "&amp;$S963&amp;" 行没单价，整批运费先挂账没摊",IF(AND($B963&lt;&gt;"",COUNTIF($B$4:$B$2503,$B963)&gt;1),"※入库单号重复","")))))))</f>
        <v/>
      </c>
    </row>
    <row r="964">
      <c r="A964" s="24">
        <f>IF($G964="","",COUNTA($G$4:$G964))</f>
        <v/>
      </c>
      <c r="B964" s="17" t="n"/>
      <c r="C964" s="30" t="n"/>
      <c r="D964" s="17" t="n"/>
      <c r="E964" s="17" t="n"/>
      <c r="F964" s="17" t="n"/>
      <c r="G964" s="17" t="n"/>
      <c r="H964" s="24">
        <f>IF($G964="","",IFERROR(VLOOKUP($G964,物料档案!$A$4:$P$1203,3,0),"※编码不在物料档案里"))</f>
        <v/>
      </c>
      <c r="I964" s="24">
        <f>IF($G964="","",IFERROR(VLOOKUP($G964,物料档案!$A$4:$P$1203,4,0),"※编码不在物料档案里"))</f>
        <v/>
      </c>
      <c r="J964" s="24">
        <f>IF($G964="","",IFERROR(VLOOKUP($G964,物料档案!$A$4:$P$1203,5,0),"※编码不在物料档案里"))</f>
        <v/>
      </c>
      <c r="K964" s="23" t="n"/>
      <c r="L964" s="31" t="n"/>
      <c r="M964" s="24">
        <f>IF($G964="","",IF($D964="A国内","CNY","TZS"))</f>
        <v/>
      </c>
      <c r="N964" s="28">
        <f>IF($G964="","",IF($D964="A国内",汇率,1))</f>
        <v/>
      </c>
      <c r="O964" s="25">
        <f>IF($G964="","",ROUND(N($K964)*N($L964),2))</f>
        <v/>
      </c>
      <c r="P964" s="26">
        <f>IF($G964="","",ROUND($O964*$N964,0))</f>
        <v/>
      </c>
      <c r="Q964" s="26">
        <f>IF($G964="","",SUMIFS($P$4:$P$2503,$E$4:$E$2503,$E964,$Z$4:$Z$2503,"正常"))</f>
        <v/>
      </c>
      <c r="R964" s="26">
        <f>IF($G964="","",SUMIFS(费用台账!$I$4:$I$503,费用台账!$C$4:$C$503,$E964,费用台账!$J$4:$J$503,"是",费用台账!$K$4:$K$503,"正常"))</f>
        <v/>
      </c>
      <c r="S964" s="28">
        <f>IF($G964="","",COUNTIFS($E$4:$E$2503,$E964,$Z$4:$Z$2503,"正常",$Y$4:$Y$2503,"待补价"))</f>
        <v/>
      </c>
      <c r="T964" s="26">
        <f>IF($G964="","",SUMIFS($P$4:$P$2503,$E$4:$E$2503,$E964,$Z$4:$Z$2503,"正常",$A$4:$A$2503,"&lt;="&amp;$A964))</f>
        <v/>
      </c>
      <c r="U964" s="26">
        <f>IF($G964="","",IF(OR($S964&gt;0,$Q964=0,$R964=0,$Z964&lt;&gt;"正常"),0,ROUND($T964/$Q964*$R964,0)-ROUND(($T964-$P964)/$Q964*$R964,0)))</f>
        <v/>
      </c>
      <c r="V964" s="26">
        <f>IF($G964="","",ROUND($P964+$U964,0))</f>
        <v/>
      </c>
      <c r="W964" s="26">
        <f>IF($G964="","",IF(N($K964)=0,0,ROUND($V964/$K964,2)))</f>
        <v/>
      </c>
      <c r="X964" s="17" t="n"/>
      <c r="Y964" s="17" t="n"/>
      <c r="Z964" s="17" t="n"/>
      <c r="AA964" s="17" t="n"/>
      <c r="AB964" s="17" t="n"/>
      <c r="AC964" s="24">
        <f>IF($G964="","",IF($H964="※编码不在物料档案里","※物料编码不在档案里",IF(N($K964)&lt;=0,"※入库数量要大于 0",IF(AND($C964&lt;&gt;"",$C964&lt;=结账锁),"※日期早于已结账截止日，不能再录",IF(AND($L964=0,$X964="正常"),"※没填单价，价格状态请选「待补价」",IF(AND($S964&gt;0,$R964&gt;0),"△本批有 "&amp;$S964&amp;" 行没单价，整批运费先挂账没摊",IF(AND($B964&lt;&gt;"",COUNTIF($B$4:$B$2503,$B964)&gt;1),"※入库单号重复","")))))))</f>
        <v/>
      </c>
    </row>
    <row r="965">
      <c r="A965" s="24">
        <f>IF($G965="","",COUNTA($G$4:$G965))</f>
        <v/>
      </c>
      <c r="B965" s="17" t="n"/>
      <c r="C965" s="30" t="n"/>
      <c r="D965" s="17" t="n"/>
      <c r="E965" s="17" t="n"/>
      <c r="F965" s="17" t="n"/>
      <c r="G965" s="17" t="n"/>
      <c r="H965" s="24">
        <f>IF($G965="","",IFERROR(VLOOKUP($G965,物料档案!$A$4:$P$1203,3,0),"※编码不在物料档案里"))</f>
        <v/>
      </c>
      <c r="I965" s="24">
        <f>IF($G965="","",IFERROR(VLOOKUP($G965,物料档案!$A$4:$P$1203,4,0),"※编码不在物料档案里"))</f>
        <v/>
      </c>
      <c r="J965" s="24">
        <f>IF($G965="","",IFERROR(VLOOKUP($G965,物料档案!$A$4:$P$1203,5,0),"※编码不在物料档案里"))</f>
        <v/>
      </c>
      <c r="K965" s="23" t="n"/>
      <c r="L965" s="31" t="n"/>
      <c r="M965" s="24">
        <f>IF($G965="","",IF($D965="A国内","CNY","TZS"))</f>
        <v/>
      </c>
      <c r="N965" s="28">
        <f>IF($G965="","",IF($D965="A国内",汇率,1))</f>
        <v/>
      </c>
      <c r="O965" s="25">
        <f>IF($G965="","",ROUND(N($K965)*N($L965),2))</f>
        <v/>
      </c>
      <c r="P965" s="26">
        <f>IF($G965="","",ROUND($O965*$N965,0))</f>
        <v/>
      </c>
      <c r="Q965" s="26">
        <f>IF($G965="","",SUMIFS($P$4:$P$2503,$E$4:$E$2503,$E965,$Z$4:$Z$2503,"正常"))</f>
        <v/>
      </c>
      <c r="R965" s="26">
        <f>IF($G965="","",SUMIFS(费用台账!$I$4:$I$503,费用台账!$C$4:$C$503,$E965,费用台账!$J$4:$J$503,"是",费用台账!$K$4:$K$503,"正常"))</f>
        <v/>
      </c>
      <c r="S965" s="28">
        <f>IF($G965="","",COUNTIFS($E$4:$E$2503,$E965,$Z$4:$Z$2503,"正常",$Y$4:$Y$2503,"待补价"))</f>
        <v/>
      </c>
      <c r="T965" s="26">
        <f>IF($G965="","",SUMIFS($P$4:$P$2503,$E$4:$E$2503,$E965,$Z$4:$Z$2503,"正常",$A$4:$A$2503,"&lt;="&amp;$A965))</f>
        <v/>
      </c>
      <c r="U965" s="26">
        <f>IF($G965="","",IF(OR($S965&gt;0,$Q965=0,$R965=0,$Z965&lt;&gt;"正常"),0,ROUND($T965/$Q965*$R965,0)-ROUND(($T965-$P965)/$Q965*$R965,0)))</f>
        <v/>
      </c>
      <c r="V965" s="26">
        <f>IF($G965="","",ROUND($P965+$U965,0))</f>
        <v/>
      </c>
      <c r="W965" s="26">
        <f>IF($G965="","",IF(N($K965)=0,0,ROUND($V965/$K965,2)))</f>
        <v/>
      </c>
      <c r="X965" s="17" t="n"/>
      <c r="Y965" s="17" t="n"/>
      <c r="Z965" s="17" t="n"/>
      <c r="AA965" s="17" t="n"/>
      <c r="AB965" s="17" t="n"/>
      <c r="AC965" s="24">
        <f>IF($G965="","",IF($H965="※编码不在物料档案里","※物料编码不在档案里",IF(N($K965)&lt;=0,"※入库数量要大于 0",IF(AND($C965&lt;&gt;"",$C965&lt;=结账锁),"※日期早于已结账截止日，不能再录",IF(AND($L965=0,$X965="正常"),"※没填单价，价格状态请选「待补价」",IF(AND($S965&gt;0,$R965&gt;0),"△本批有 "&amp;$S965&amp;" 行没单价，整批运费先挂账没摊",IF(AND($B965&lt;&gt;"",COUNTIF($B$4:$B$2503,$B965)&gt;1),"※入库单号重复","")))))))</f>
        <v/>
      </c>
    </row>
    <row r="966">
      <c r="A966" s="24">
        <f>IF($G966="","",COUNTA($G$4:$G966))</f>
        <v/>
      </c>
      <c r="B966" s="17" t="n"/>
      <c r="C966" s="30" t="n"/>
      <c r="D966" s="17" t="n"/>
      <c r="E966" s="17" t="n"/>
      <c r="F966" s="17" t="n"/>
      <c r="G966" s="17" t="n"/>
      <c r="H966" s="24">
        <f>IF($G966="","",IFERROR(VLOOKUP($G966,物料档案!$A$4:$P$1203,3,0),"※编码不在物料档案里"))</f>
        <v/>
      </c>
      <c r="I966" s="24">
        <f>IF($G966="","",IFERROR(VLOOKUP($G966,物料档案!$A$4:$P$1203,4,0),"※编码不在物料档案里"))</f>
        <v/>
      </c>
      <c r="J966" s="24">
        <f>IF($G966="","",IFERROR(VLOOKUP($G966,物料档案!$A$4:$P$1203,5,0),"※编码不在物料档案里"))</f>
        <v/>
      </c>
      <c r="K966" s="23" t="n"/>
      <c r="L966" s="31" t="n"/>
      <c r="M966" s="24">
        <f>IF($G966="","",IF($D966="A国内","CNY","TZS"))</f>
        <v/>
      </c>
      <c r="N966" s="28">
        <f>IF($G966="","",IF($D966="A国内",汇率,1))</f>
        <v/>
      </c>
      <c r="O966" s="25">
        <f>IF($G966="","",ROUND(N($K966)*N($L966),2))</f>
        <v/>
      </c>
      <c r="P966" s="26">
        <f>IF($G966="","",ROUND($O966*$N966,0))</f>
        <v/>
      </c>
      <c r="Q966" s="26">
        <f>IF($G966="","",SUMIFS($P$4:$P$2503,$E$4:$E$2503,$E966,$Z$4:$Z$2503,"正常"))</f>
        <v/>
      </c>
      <c r="R966" s="26">
        <f>IF($G966="","",SUMIFS(费用台账!$I$4:$I$503,费用台账!$C$4:$C$503,$E966,费用台账!$J$4:$J$503,"是",费用台账!$K$4:$K$503,"正常"))</f>
        <v/>
      </c>
      <c r="S966" s="28">
        <f>IF($G966="","",COUNTIFS($E$4:$E$2503,$E966,$Z$4:$Z$2503,"正常",$Y$4:$Y$2503,"待补价"))</f>
        <v/>
      </c>
      <c r="T966" s="26">
        <f>IF($G966="","",SUMIFS($P$4:$P$2503,$E$4:$E$2503,$E966,$Z$4:$Z$2503,"正常",$A$4:$A$2503,"&lt;="&amp;$A966))</f>
        <v/>
      </c>
      <c r="U966" s="26">
        <f>IF($G966="","",IF(OR($S966&gt;0,$Q966=0,$R966=0,$Z966&lt;&gt;"正常"),0,ROUND($T966/$Q966*$R966,0)-ROUND(($T966-$P966)/$Q966*$R966,0)))</f>
        <v/>
      </c>
      <c r="V966" s="26">
        <f>IF($G966="","",ROUND($P966+$U966,0))</f>
        <v/>
      </c>
      <c r="W966" s="26">
        <f>IF($G966="","",IF(N($K966)=0,0,ROUND($V966/$K966,2)))</f>
        <v/>
      </c>
      <c r="X966" s="17" t="n"/>
      <c r="Y966" s="17" t="n"/>
      <c r="Z966" s="17" t="n"/>
      <c r="AA966" s="17" t="n"/>
      <c r="AB966" s="17" t="n"/>
      <c r="AC966" s="24">
        <f>IF($G966="","",IF($H966="※编码不在物料档案里","※物料编码不在档案里",IF(N($K966)&lt;=0,"※入库数量要大于 0",IF(AND($C966&lt;&gt;"",$C966&lt;=结账锁),"※日期早于已结账截止日，不能再录",IF(AND($L966=0,$X966="正常"),"※没填单价，价格状态请选「待补价」",IF(AND($S966&gt;0,$R966&gt;0),"△本批有 "&amp;$S966&amp;" 行没单价，整批运费先挂账没摊",IF(AND($B966&lt;&gt;"",COUNTIF($B$4:$B$2503,$B966)&gt;1),"※入库单号重复","")))))))</f>
        <v/>
      </c>
    </row>
    <row r="967">
      <c r="A967" s="24">
        <f>IF($G967="","",COUNTA($G$4:$G967))</f>
        <v/>
      </c>
      <c r="B967" s="17" t="n"/>
      <c r="C967" s="30" t="n"/>
      <c r="D967" s="17" t="n"/>
      <c r="E967" s="17" t="n"/>
      <c r="F967" s="17" t="n"/>
      <c r="G967" s="17" t="n"/>
      <c r="H967" s="24">
        <f>IF($G967="","",IFERROR(VLOOKUP($G967,物料档案!$A$4:$P$1203,3,0),"※编码不在物料档案里"))</f>
        <v/>
      </c>
      <c r="I967" s="24">
        <f>IF($G967="","",IFERROR(VLOOKUP($G967,物料档案!$A$4:$P$1203,4,0),"※编码不在物料档案里"))</f>
        <v/>
      </c>
      <c r="J967" s="24">
        <f>IF($G967="","",IFERROR(VLOOKUP($G967,物料档案!$A$4:$P$1203,5,0),"※编码不在物料档案里"))</f>
        <v/>
      </c>
      <c r="K967" s="23" t="n"/>
      <c r="L967" s="31" t="n"/>
      <c r="M967" s="24">
        <f>IF($G967="","",IF($D967="A国内","CNY","TZS"))</f>
        <v/>
      </c>
      <c r="N967" s="28">
        <f>IF($G967="","",IF($D967="A国内",汇率,1))</f>
        <v/>
      </c>
      <c r="O967" s="25">
        <f>IF($G967="","",ROUND(N($K967)*N($L967),2))</f>
        <v/>
      </c>
      <c r="P967" s="26">
        <f>IF($G967="","",ROUND($O967*$N967,0))</f>
        <v/>
      </c>
      <c r="Q967" s="26">
        <f>IF($G967="","",SUMIFS($P$4:$P$2503,$E$4:$E$2503,$E967,$Z$4:$Z$2503,"正常"))</f>
        <v/>
      </c>
      <c r="R967" s="26">
        <f>IF($G967="","",SUMIFS(费用台账!$I$4:$I$503,费用台账!$C$4:$C$503,$E967,费用台账!$J$4:$J$503,"是",费用台账!$K$4:$K$503,"正常"))</f>
        <v/>
      </c>
      <c r="S967" s="28">
        <f>IF($G967="","",COUNTIFS($E$4:$E$2503,$E967,$Z$4:$Z$2503,"正常",$Y$4:$Y$2503,"待补价"))</f>
        <v/>
      </c>
      <c r="T967" s="26">
        <f>IF($G967="","",SUMIFS($P$4:$P$2503,$E$4:$E$2503,$E967,$Z$4:$Z$2503,"正常",$A$4:$A$2503,"&lt;="&amp;$A967))</f>
        <v/>
      </c>
      <c r="U967" s="26">
        <f>IF($G967="","",IF(OR($S967&gt;0,$Q967=0,$R967=0,$Z967&lt;&gt;"正常"),0,ROUND($T967/$Q967*$R967,0)-ROUND(($T967-$P967)/$Q967*$R967,0)))</f>
        <v/>
      </c>
      <c r="V967" s="26">
        <f>IF($G967="","",ROUND($P967+$U967,0))</f>
        <v/>
      </c>
      <c r="W967" s="26">
        <f>IF($G967="","",IF(N($K967)=0,0,ROUND($V967/$K967,2)))</f>
        <v/>
      </c>
      <c r="X967" s="17" t="n"/>
      <c r="Y967" s="17" t="n"/>
      <c r="Z967" s="17" t="n"/>
      <c r="AA967" s="17" t="n"/>
      <c r="AB967" s="17" t="n"/>
      <c r="AC967" s="24">
        <f>IF($G967="","",IF($H967="※编码不在物料档案里","※物料编码不在档案里",IF(N($K967)&lt;=0,"※入库数量要大于 0",IF(AND($C967&lt;&gt;"",$C967&lt;=结账锁),"※日期早于已结账截止日，不能再录",IF(AND($L967=0,$X967="正常"),"※没填单价，价格状态请选「待补价」",IF(AND($S967&gt;0,$R967&gt;0),"△本批有 "&amp;$S967&amp;" 行没单价，整批运费先挂账没摊",IF(AND($B967&lt;&gt;"",COUNTIF($B$4:$B$2503,$B967)&gt;1),"※入库单号重复","")))))))</f>
        <v/>
      </c>
    </row>
    <row r="968">
      <c r="A968" s="24">
        <f>IF($G968="","",COUNTA($G$4:$G968))</f>
        <v/>
      </c>
      <c r="B968" s="17" t="n"/>
      <c r="C968" s="30" t="n"/>
      <c r="D968" s="17" t="n"/>
      <c r="E968" s="17" t="n"/>
      <c r="F968" s="17" t="n"/>
      <c r="G968" s="17" t="n"/>
      <c r="H968" s="24">
        <f>IF($G968="","",IFERROR(VLOOKUP($G968,物料档案!$A$4:$P$1203,3,0),"※编码不在物料档案里"))</f>
        <v/>
      </c>
      <c r="I968" s="24">
        <f>IF($G968="","",IFERROR(VLOOKUP($G968,物料档案!$A$4:$P$1203,4,0),"※编码不在物料档案里"))</f>
        <v/>
      </c>
      <c r="J968" s="24">
        <f>IF($G968="","",IFERROR(VLOOKUP($G968,物料档案!$A$4:$P$1203,5,0),"※编码不在物料档案里"))</f>
        <v/>
      </c>
      <c r="K968" s="23" t="n"/>
      <c r="L968" s="31" t="n"/>
      <c r="M968" s="24">
        <f>IF($G968="","",IF($D968="A国内","CNY","TZS"))</f>
        <v/>
      </c>
      <c r="N968" s="28">
        <f>IF($G968="","",IF($D968="A国内",汇率,1))</f>
        <v/>
      </c>
      <c r="O968" s="25">
        <f>IF($G968="","",ROUND(N($K968)*N($L968),2))</f>
        <v/>
      </c>
      <c r="P968" s="26">
        <f>IF($G968="","",ROUND($O968*$N968,0))</f>
        <v/>
      </c>
      <c r="Q968" s="26">
        <f>IF($G968="","",SUMIFS($P$4:$P$2503,$E$4:$E$2503,$E968,$Z$4:$Z$2503,"正常"))</f>
        <v/>
      </c>
      <c r="R968" s="26">
        <f>IF($G968="","",SUMIFS(费用台账!$I$4:$I$503,费用台账!$C$4:$C$503,$E968,费用台账!$J$4:$J$503,"是",费用台账!$K$4:$K$503,"正常"))</f>
        <v/>
      </c>
      <c r="S968" s="28">
        <f>IF($G968="","",COUNTIFS($E$4:$E$2503,$E968,$Z$4:$Z$2503,"正常",$Y$4:$Y$2503,"待补价"))</f>
        <v/>
      </c>
      <c r="T968" s="26">
        <f>IF($G968="","",SUMIFS($P$4:$P$2503,$E$4:$E$2503,$E968,$Z$4:$Z$2503,"正常",$A$4:$A$2503,"&lt;="&amp;$A968))</f>
        <v/>
      </c>
      <c r="U968" s="26">
        <f>IF($G968="","",IF(OR($S968&gt;0,$Q968=0,$R968=0,$Z968&lt;&gt;"正常"),0,ROUND($T968/$Q968*$R968,0)-ROUND(($T968-$P968)/$Q968*$R968,0)))</f>
        <v/>
      </c>
      <c r="V968" s="26">
        <f>IF($G968="","",ROUND($P968+$U968,0))</f>
        <v/>
      </c>
      <c r="W968" s="26">
        <f>IF($G968="","",IF(N($K968)=0,0,ROUND($V968/$K968,2)))</f>
        <v/>
      </c>
      <c r="X968" s="17" t="n"/>
      <c r="Y968" s="17" t="n"/>
      <c r="Z968" s="17" t="n"/>
      <c r="AA968" s="17" t="n"/>
      <c r="AB968" s="17" t="n"/>
      <c r="AC968" s="24">
        <f>IF($G968="","",IF($H968="※编码不在物料档案里","※物料编码不在档案里",IF(N($K968)&lt;=0,"※入库数量要大于 0",IF(AND($C968&lt;&gt;"",$C968&lt;=结账锁),"※日期早于已结账截止日，不能再录",IF(AND($L968=0,$X968="正常"),"※没填单价，价格状态请选「待补价」",IF(AND($S968&gt;0,$R968&gt;0),"△本批有 "&amp;$S968&amp;" 行没单价，整批运费先挂账没摊",IF(AND($B968&lt;&gt;"",COUNTIF($B$4:$B$2503,$B968)&gt;1),"※入库单号重复","")))))))</f>
        <v/>
      </c>
    </row>
    <row r="969">
      <c r="A969" s="24">
        <f>IF($G969="","",COUNTA($G$4:$G969))</f>
        <v/>
      </c>
      <c r="B969" s="17" t="n"/>
      <c r="C969" s="30" t="n"/>
      <c r="D969" s="17" t="n"/>
      <c r="E969" s="17" t="n"/>
      <c r="F969" s="17" t="n"/>
      <c r="G969" s="17" t="n"/>
      <c r="H969" s="24">
        <f>IF($G969="","",IFERROR(VLOOKUP($G969,物料档案!$A$4:$P$1203,3,0),"※编码不在物料档案里"))</f>
        <v/>
      </c>
      <c r="I969" s="24">
        <f>IF($G969="","",IFERROR(VLOOKUP($G969,物料档案!$A$4:$P$1203,4,0),"※编码不在物料档案里"))</f>
        <v/>
      </c>
      <c r="J969" s="24">
        <f>IF($G969="","",IFERROR(VLOOKUP($G969,物料档案!$A$4:$P$1203,5,0),"※编码不在物料档案里"))</f>
        <v/>
      </c>
      <c r="K969" s="23" t="n"/>
      <c r="L969" s="31" t="n"/>
      <c r="M969" s="24">
        <f>IF($G969="","",IF($D969="A国内","CNY","TZS"))</f>
        <v/>
      </c>
      <c r="N969" s="28">
        <f>IF($G969="","",IF($D969="A国内",汇率,1))</f>
        <v/>
      </c>
      <c r="O969" s="25">
        <f>IF($G969="","",ROUND(N($K969)*N($L969),2))</f>
        <v/>
      </c>
      <c r="P969" s="26">
        <f>IF($G969="","",ROUND($O969*$N969,0))</f>
        <v/>
      </c>
      <c r="Q969" s="26">
        <f>IF($G969="","",SUMIFS($P$4:$P$2503,$E$4:$E$2503,$E969,$Z$4:$Z$2503,"正常"))</f>
        <v/>
      </c>
      <c r="R969" s="26">
        <f>IF($G969="","",SUMIFS(费用台账!$I$4:$I$503,费用台账!$C$4:$C$503,$E969,费用台账!$J$4:$J$503,"是",费用台账!$K$4:$K$503,"正常"))</f>
        <v/>
      </c>
      <c r="S969" s="28">
        <f>IF($G969="","",COUNTIFS($E$4:$E$2503,$E969,$Z$4:$Z$2503,"正常",$Y$4:$Y$2503,"待补价"))</f>
        <v/>
      </c>
      <c r="T969" s="26">
        <f>IF($G969="","",SUMIFS($P$4:$P$2503,$E$4:$E$2503,$E969,$Z$4:$Z$2503,"正常",$A$4:$A$2503,"&lt;="&amp;$A969))</f>
        <v/>
      </c>
      <c r="U969" s="26">
        <f>IF($G969="","",IF(OR($S969&gt;0,$Q969=0,$R969=0,$Z969&lt;&gt;"正常"),0,ROUND($T969/$Q969*$R969,0)-ROUND(($T969-$P969)/$Q969*$R969,0)))</f>
        <v/>
      </c>
      <c r="V969" s="26">
        <f>IF($G969="","",ROUND($P969+$U969,0))</f>
        <v/>
      </c>
      <c r="W969" s="26">
        <f>IF($G969="","",IF(N($K969)=0,0,ROUND($V969/$K969,2)))</f>
        <v/>
      </c>
      <c r="X969" s="17" t="n"/>
      <c r="Y969" s="17" t="n"/>
      <c r="Z969" s="17" t="n"/>
      <c r="AA969" s="17" t="n"/>
      <c r="AB969" s="17" t="n"/>
      <c r="AC969" s="24">
        <f>IF($G969="","",IF($H969="※编码不在物料档案里","※物料编码不在档案里",IF(N($K969)&lt;=0,"※入库数量要大于 0",IF(AND($C969&lt;&gt;"",$C969&lt;=结账锁),"※日期早于已结账截止日，不能再录",IF(AND($L969=0,$X969="正常"),"※没填单价，价格状态请选「待补价」",IF(AND($S969&gt;0,$R969&gt;0),"△本批有 "&amp;$S969&amp;" 行没单价，整批运费先挂账没摊",IF(AND($B969&lt;&gt;"",COUNTIF($B$4:$B$2503,$B969)&gt;1),"※入库单号重复","")))))))</f>
        <v/>
      </c>
    </row>
    <row r="970">
      <c r="A970" s="24">
        <f>IF($G970="","",COUNTA($G$4:$G970))</f>
        <v/>
      </c>
      <c r="B970" s="17" t="n"/>
      <c r="C970" s="30" t="n"/>
      <c r="D970" s="17" t="n"/>
      <c r="E970" s="17" t="n"/>
      <c r="F970" s="17" t="n"/>
      <c r="G970" s="17" t="n"/>
      <c r="H970" s="24">
        <f>IF($G970="","",IFERROR(VLOOKUP($G970,物料档案!$A$4:$P$1203,3,0),"※编码不在物料档案里"))</f>
        <v/>
      </c>
      <c r="I970" s="24">
        <f>IF($G970="","",IFERROR(VLOOKUP($G970,物料档案!$A$4:$P$1203,4,0),"※编码不在物料档案里"))</f>
        <v/>
      </c>
      <c r="J970" s="24">
        <f>IF($G970="","",IFERROR(VLOOKUP($G970,物料档案!$A$4:$P$1203,5,0),"※编码不在物料档案里"))</f>
        <v/>
      </c>
      <c r="K970" s="23" t="n"/>
      <c r="L970" s="31" t="n"/>
      <c r="M970" s="24">
        <f>IF($G970="","",IF($D970="A国内","CNY","TZS"))</f>
        <v/>
      </c>
      <c r="N970" s="28">
        <f>IF($G970="","",IF($D970="A国内",汇率,1))</f>
        <v/>
      </c>
      <c r="O970" s="25">
        <f>IF($G970="","",ROUND(N($K970)*N($L970),2))</f>
        <v/>
      </c>
      <c r="P970" s="26">
        <f>IF($G970="","",ROUND($O970*$N970,0))</f>
        <v/>
      </c>
      <c r="Q970" s="26">
        <f>IF($G970="","",SUMIFS($P$4:$P$2503,$E$4:$E$2503,$E970,$Z$4:$Z$2503,"正常"))</f>
        <v/>
      </c>
      <c r="R970" s="26">
        <f>IF($G970="","",SUMIFS(费用台账!$I$4:$I$503,费用台账!$C$4:$C$503,$E970,费用台账!$J$4:$J$503,"是",费用台账!$K$4:$K$503,"正常"))</f>
        <v/>
      </c>
      <c r="S970" s="28">
        <f>IF($G970="","",COUNTIFS($E$4:$E$2503,$E970,$Z$4:$Z$2503,"正常",$Y$4:$Y$2503,"待补价"))</f>
        <v/>
      </c>
      <c r="T970" s="26">
        <f>IF($G970="","",SUMIFS($P$4:$P$2503,$E$4:$E$2503,$E970,$Z$4:$Z$2503,"正常",$A$4:$A$2503,"&lt;="&amp;$A970))</f>
        <v/>
      </c>
      <c r="U970" s="26">
        <f>IF($G970="","",IF(OR($S970&gt;0,$Q970=0,$R970=0,$Z970&lt;&gt;"正常"),0,ROUND($T970/$Q970*$R970,0)-ROUND(($T970-$P970)/$Q970*$R970,0)))</f>
        <v/>
      </c>
      <c r="V970" s="26">
        <f>IF($G970="","",ROUND($P970+$U970,0))</f>
        <v/>
      </c>
      <c r="W970" s="26">
        <f>IF($G970="","",IF(N($K970)=0,0,ROUND($V970/$K970,2)))</f>
        <v/>
      </c>
      <c r="X970" s="17" t="n"/>
      <c r="Y970" s="17" t="n"/>
      <c r="Z970" s="17" t="n"/>
      <c r="AA970" s="17" t="n"/>
      <c r="AB970" s="17" t="n"/>
      <c r="AC970" s="24">
        <f>IF($G970="","",IF($H970="※编码不在物料档案里","※物料编码不在档案里",IF(N($K970)&lt;=0,"※入库数量要大于 0",IF(AND($C970&lt;&gt;"",$C970&lt;=结账锁),"※日期早于已结账截止日，不能再录",IF(AND($L970=0,$X970="正常"),"※没填单价，价格状态请选「待补价」",IF(AND($S970&gt;0,$R970&gt;0),"△本批有 "&amp;$S970&amp;" 行没单价，整批运费先挂账没摊",IF(AND($B970&lt;&gt;"",COUNTIF($B$4:$B$2503,$B970)&gt;1),"※入库单号重复","")))))))</f>
        <v/>
      </c>
    </row>
    <row r="971">
      <c r="A971" s="24">
        <f>IF($G971="","",COUNTA($G$4:$G971))</f>
        <v/>
      </c>
      <c r="B971" s="17" t="n"/>
      <c r="C971" s="30" t="n"/>
      <c r="D971" s="17" t="n"/>
      <c r="E971" s="17" t="n"/>
      <c r="F971" s="17" t="n"/>
      <c r="G971" s="17" t="n"/>
      <c r="H971" s="24">
        <f>IF($G971="","",IFERROR(VLOOKUP($G971,物料档案!$A$4:$P$1203,3,0),"※编码不在物料档案里"))</f>
        <v/>
      </c>
      <c r="I971" s="24">
        <f>IF($G971="","",IFERROR(VLOOKUP($G971,物料档案!$A$4:$P$1203,4,0),"※编码不在物料档案里"))</f>
        <v/>
      </c>
      <c r="J971" s="24">
        <f>IF($G971="","",IFERROR(VLOOKUP($G971,物料档案!$A$4:$P$1203,5,0),"※编码不在物料档案里"))</f>
        <v/>
      </c>
      <c r="K971" s="23" t="n"/>
      <c r="L971" s="31" t="n"/>
      <c r="M971" s="24">
        <f>IF($G971="","",IF($D971="A国内","CNY","TZS"))</f>
        <v/>
      </c>
      <c r="N971" s="28">
        <f>IF($G971="","",IF($D971="A国内",汇率,1))</f>
        <v/>
      </c>
      <c r="O971" s="25">
        <f>IF($G971="","",ROUND(N($K971)*N($L971),2))</f>
        <v/>
      </c>
      <c r="P971" s="26">
        <f>IF($G971="","",ROUND($O971*$N971,0))</f>
        <v/>
      </c>
      <c r="Q971" s="26">
        <f>IF($G971="","",SUMIFS($P$4:$P$2503,$E$4:$E$2503,$E971,$Z$4:$Z$2503,"正常"))</f>
        <v/>
      </c>
      <c r="R971" s="26">
        <f>IF($G971="","",SUMIFS(费用台账!$I$4:$I$503,费用台账!$C$4:$C$503,$E971,费用台账!$J$4:$J$503,"是",费用台账!$K$4:$K$503,"正常"))</f>
        <v/>
      </c>
      <c r="S971" s="28">
        <f>IF($G971="","",COUNTIFS($E$4:$E$2503,$E971,$Z$4:$Z$2503,"正常",$Y$4:$Y$2503,"待补价"))</f>
        <v/>
      </c>
      <c r="T971" s="26">
        <f>IF($G971="","",SUMIFS($P$4:$P$2503,$E$4:$E$2503,$E971,$Z$4:$Z$2503,"正常",$A$4:$A$2503,"&lt;="&amp;$A971))</f>
        <v/>
      </c>
      <c r="U971" s="26">
        <f>IF($G971="","",IF(OR($S971&gt;0,$Q971=0,$R971=0,$Z971&lt;&gt;"正常"),0,ROUND($T971/$Q971*$R971,0)-ROUND(($T971-$P971)/$Q971*$R971,0)))</f>
        <v/>
      </c>
      <c r="V971" s="26">
        <f>IF($G971="","",ROUND($P971+$U971,0))</f>
        <v/>
      </c>
      <c r="W971" s="26">
        <f>IF($G971="","",IF(N($K971)=0,0,ROUND($V971/$K971,2)))</f>
        <v/>
      </c>
      <c r="X971" s="17" t="n"/>
      <c r="Y971" s="17" t="n"/>
      <c r="Z971" s="17" t="n"/>
      <c r="AA971" s="17" t="n"/>
      <c r="AB971" s="17" t="n"/>
      <c r="AC971" s="24">
        <f>IF($G971="","",IF($H971="※编码不在物料档案里","※物料编码不在档案里",IF(N($K971)&lt;=0,"※入库数量要大于 0",IF(AND($C971&lt;&gt;"",$C971&lt;=结账锁),"※日期早于已结账截止日，不能再录",IF(AND($L971=0,$X971="正常"),"※没填单价，价格状态请选「待补价」",IF(AND($S971&gt;0,$R971&gt;0),"△本批有 "&amp;$S971&amp;" 行没单价，整批运费先挂账没摊",IF(AND($B971&lt;&gt;"",COUNTIF($B$4:$B$2503,$B971)&gt;1),"※入库单号重复","")))))))</f>
        <v/>
      </c>
    </row>
    <row r="972">
      <c r="A972" s="24">
        <f>IF($G972="","",COUNTA($G$4:$G972))</f>
        <v/>
      </c>
      <c r="B972" s="17" t="n"/>
      <c r="C972" s="30" t="n"/>
      <c r="D972" s="17" t="n"/>
      <c r="E972" s="17" t="n"/>
      <c r="F972" s="17" t="n"/>
      <c r="G972" s="17" t="n"/>
      <c r="H972" s="24">
        <f>IF($G972="","",IFERROR(VLOOKUP($G972,物料档案!$A$4:$P$1203,3,0),"※编码不在物料档案里"))</f>
        <v/>
      </c>
      <c r="I972" s="24">
        <f>IF($G972="","",IFERROR(VLOOKUP($G972,物料档案!$A$4:$P$1203,4,0),"※编码不在物料档案里"))</f>
        <v/>
      </c>
      <c r="J972" s="24">
        <f>IF($G972="","",IFERROR(VLOOKUP($G972,物料档案!$A$4:$P$1203,5,0),"※编码不在物料档案里"))</f>
        <v/>
      </c>
      <c r="K972" s="23" t="n"/>
      <c r="L972" s="31" t="n"/>
      <c r="M972" s="24">
        <f>IF($G972="","",IF($D972="A国内","CNY","TZS"))</f>
        <v/>
      </c>
      <c r="N972" s="28">
        <f>IF($G972="","",IF($D972="A国内",汇率,1))</f>
        <v/>
      </c>
      <c r="O972" s="25">
        <f>IF($G972="","",ROUND(N($K972)*N($L972),2))</f>
        <v/>
      </c>
      <c r="P972" s="26">
        <f>IF($G972="","",ROUND($O972*$N972,0))</f>
        <v/>
      </c>
      <c r="Q972" s="26">
        <f>IF($G972="","",SUMIFS($P$4:$P$2503,$E$4:$E$2503,$E972,$Z$4:$Z$2503,"正常"))</f>
        <v/>
      </c>
      <c r="R972" s="26">
        <f>IF($G972="","",SUMIFS(费用台账!$I$4:$I$503,费用台账!$C$4:$C$503,$E972,费用台账!$J$4:$J$503,"是",费用台账!$K$4:$K$503,"正常"))</f>
        <v/>
      </c>
      <c r="S972" s="28">
        <f>IF($G972="","",COUNTIFS($E$4:$E$2503,$E972,$Z$4:$Z$2503,"正常",$Y$4:$Y$2503,"待补价"))</f>
        <v/>
      </c>
      <c r="T972" s="26">
        <f>IF($G972="","",SUMIFS($P$4:$P$2503,$E$4:$E$2503,$E972,$Z$4:$Z$2503,"正常",$A$4:$A$2503,"&lt;="&amp;$A972))</f>
        <v/>
      </c>
      <c r="U972" s="26">
        <f>IF($G972="","",IF(OR($S972&gt;0,$Q972=0,$R972=0,$Z972&lt;&gt;"正常"),0,ROUND($T972/$Q972*$R972,0)-ROUND(($T972-$P972)/$Q972*$R972,0)))</f>
        <v/>
      </c>
      <c r="V972" s="26">
        <f>IF($G972="","",ROUND($P972+$U972,0))</f>
        <v/>
      </c>
      <c r="W972" s="26">
        <f>IF($G972="","",IF(N($K972)=0,0,ROUND($V972/$K972,2)))</f>
        <v/>
      </c>
      <c r="X972" s="17" t="n"/>
      <c r="Y972" s="17" t="n"/>
      <c r="Z972" s="17" t="n"/>
      <c r="AA972" s="17" t="n"/>
      <c r="AB972" s="17" t="n"/>
      <c r="AC972" s="24">
        <f>IF($G972="","",IF($H972="※编码不在物料档案里","※物料编码不在档案里",IF(N($K972)&lt;=0,"※入库数量要大于 0",IF(AND($C972&lt;&gt;"",$C972&lt;=结账锁),"※日期早于已结账截止日，不能再录",IF(AND($L972=0,$X972="正常"),"※没填单价，价格状态请选「待补价」",IF(AND($S972&gt;0,$R972&gt;0),"△本批有 "&amp;$S972&amp;" 行没单价，整批运费先挂账没摊",IF(AND($B972&lt;&gt;"",COUNTIF($B$4:$B$2503,$B972)&gt;1),"※入库单号重复","")))))))</f>
        <v/>
      </c>
    </row>
    <row r="973">
      <c r="A973" s="24">
        <f>IF($G973="","",COUNTA($G$4:$G973))</f>
        <v/>
      </c>
      <c r="B973" s="17" t="n"/>
      <c r="C973" s="30" t="n"/>
      <c r="D973" s="17" t="n"/>
      <c r="E973" s="17" t="n"/>
      <c r="F973" s="17" t="n"/>
      <c r="G973" s="17" t="n"/>
      <c r="H973" s="24">
        <f>IF($G973="","",IFERROR(VLOOKUP($G973,物料档案!$A$4:$P$1203,3,0),"※编码不在物料档案里"))</f>
        <v/>
      </c>
      <c r="I973" s="24">
        <f>IF($G973="","",IFERROR(VLOOKUP($G973,物料档案!$A$4:$P$1203,4,0),"※编码不在物料档案里"))</f>
        <v/>
      </c>
      <c r="J973" s="24">
        <f>IF($G973="","",IFERROR(VLOOKUP($G973,物料档案!$A$4:$P$1203,5,0),"※编码不在物料档案里"))</f>
        <v/>
      </c>
      <c r="K973" s="23" t="n"/>
      <c r="L973" s="31" t="n"/>
      <c r="M973" s="24">
        <f>IF($G973="","",IF($D973="A国内","CNY","TZS"))</f>
        <v/>
      </c>
      <c r="N973" s="28">
        <f>IF($G973="","",IF($D973="A国内",汇率,1))</f>
        <v/>
      </c>
      <c r="O973" s="25">
        <f>IF($G973="","",ROUND(N($K973)*N($L973),2))</f>
        <v/>
      </c>
      <c r="P973" s="26">
        <f>IF($G973="","",ROUND($O973*$N973,0))</f>
        <v/>
      </c>
      <c r="Q973" s="26">
        <f>IF($G973="","",SUMIFS($P$4:$P$2503,$E$4:$E$2503,$E973,$Z$4:$Z$2503,"正常"))</f>
        <v/>
      </c>
      <c r="R973" s="26">
        <f>IF($G973="","",SUMIFS(费用台账!$I$4:$I$503,费用台账!$C$4:$C$503,$E973,费用台账!$J$4:$J$503,"是",费用台账!$K$4:$K$503,"正常"))</f>
        <v/>
      </c>
      <c r="S973" s="28">
        <f>IF($G973="","",COUNTIFS($E$4:$E$2503,$E973,$Z$4:$Z$2503,"正常",$Y$4:$Y$2503,"待补价"))</f>
        <v/>
      </c>
      <c r="T973" s="26">
        <f>IF($G973="","",SUMIFS($P$4:$P$2503,$E$4:$E$2503,$E973,$Z$4:$Z$2503,"正常",$A$4:$A$2503,"&lt;="&amp;$A973))</f>
        <v/>
      </c>
      <c r="U973" s="26">
        <f>IF($G973="","",IF(OR($S973&gt;0,$Q973=0,$R973=0,$Z973&lt;&gt;"正常"),0,ROUND($T973/$Q973*$R973,0)-ROUND(($T973-$P973)/$Q973*$R973,0)))</f>
        <v/>
      </c>
      <c r="V973" s="26">
        <f>IF($G973="","",ROUND($P973+$U973,0))</f>
        <v/>
      </c>
      <c r="W973" s="26">
        <f>IF($G973="","",IF(N($K973)=0,0,ROUND($V973/$K973,2)))</f>
        <v/>
      </c>
      <c r="X973" s="17" t="n"/>
      <c r="Y973" s="17" t="n"/>
      <c r="Z973" s="17" t="n"/>
      <c r="AA973" s="17" t="n"/>
      <c r="AB973" s="17" t="n"/>
      <c r="AC973" s="24">
        <f>IF($G973="","",IF($H973="※编码不在物料档案里","※物料编码不在档案里",IF(N($K973)&lt;=0,"※入库数量要大于 0",IF(AND($C973&lt;&gt;"",$C973&lt;=结账锁),"※日期早于已结账截止日，不能再录",IF(AND($L973=0,$X973="正常"),"※没填单价，价格状态请选「待补价」",IF(AND($S973&gt;0,$R973&gt;0),"△本批有 "&amp;$S973&amp;" 行没单价，整批运费先挂账没摊",IF(AND($B973&lt;&gt;"",COUNTIF($B$4:$B$2503,$B973)&gt;1),"※入库单号重复","")))))))</f>
        <v/>
      </c>
    </row>
    <row r="974">
      <c r="A974" s="24">
        <f>IF($G974="","",COUNTA($G$4:$G974))</f>
        <v/>
      </c>
      <c r="B974" s="17" t="n"/>
      <c r="C974" s="30" t="n"/>
      <c r="D974" s="17" t="n"/>
      <c r="E974" s="17" t="n"/>
      <c r="F974" s="17" t="n"/>
      <c r="G974" s="17" t="n"/>
      <c r="H974" s="24">
        <f>IF($G974="","",IFERROR(VLOOKUP($G974,物料档案!$A$4:$P$1203,3,0),"※编码不在物料档案里"))</f>
        <v/>
      </c>
      <c r="I974" s="24">
        <f>IF($G974="","",IFERROR(VLOOKUP($G974,物料档案!$A$4:$P$1203,4,0),"※编码不在物料档案里"))</f>
        <v/>
      </c>
      <c r="J974" s="24">
        <f>IF($G974="","",IFERROR(VLOOKUP($G974,物料档案!$A$4:$P$1203,5,0),"※编码不在物料档案里"))</f>
        <v/>
      </c>
      <c r="K974" s="23" t="n"/>
      <c r="L974" s="31" t="n"/>
      <c r="M974" s="24">
        <f>IF($G974="","",IF($D974="A国内","CNY","TZS"))</f>
        <v/>
      </c>
      <c r="N974" s="28">
        <f>IF($G974="","",IF($D974="A国内",汇率,1))</f>
        <v/>
      </c>
      <c r="O974" s="25">
        <f>IF($G974="","",ROUND(N($K974)*N($L974),2))</f>
        <v/>
      </c>
      <c r="P974" s="26">
        <f>IF($G974="","",ROUND($O974*$N974,0))</f>
        <v/>
      </c>
      <c r="Q974" s="26">
        <f>IF($G974="","",SUMIFS($P$4:$P$2503,$E$4:$E$2503,$E974,$Z$4:$Z$2503,"正常"))</f>
        <v/>
      </c>
      <c r="R974" s="26">
        <f>IF($G974="","",SUMIFS(费用台账!$I$4:$I$503,费用台账!$C$4:$C$503,$E974,费用台账!$J$4:$J$503,"是",费用台账!$K$4:$K$503,"正常"))</f>
        <v/>
      </c>
      <c r="S974" s="28">
        <f>IF($G974="","",COUNTIFS($E$4:$E$2503,$E974,$Z$4:$Z$2503,"正常",$Y$4:$Y$2503,"待补价"))</f>
        <v/>
      </c>
      <c r="T974" s="26">
        <f>IF($G974="","",SUMIFS($P$4:$P$2503,$E$4:$E$2503,$E974,$Z$4:$Z$2503,"正常",$A$4:$A$2503,"&lt;="&amp;$A974))</f>
        <v/>
      </c>
      <c r="U974" s="26">
        <f>IF($G974="","",IF(OR($S974&gt;0,$Q974=0,$R974=0,$Z974&lt;&gt;"正常"),0,ROUND($T974/$Q974*$R974,0)-ROUND(($T974-$P974)/$Q974*$R974,0)))</f>
        <v/>
      </c>
      <c r="V974" s="26">
        <f>IF($G974="","",ROUND($P974+$U974,0))</f>
        <v/>
      </c>
      <c r="W974" s="26">
        <f>IF($G974="","",IF(N($K974)=0,0,ROUND($V974/$K974,2)))</f>
        <v/>
      </c>
      <c r="X974" s="17" t="n"/>
      <c r="Y974" s="17" t="n"/>
      <c r="Z974" s="17" t="n"/>
      <c r="AA974" s="17" t="n"/>
      <c r="AB974" s="17" t="n"/>
      <c r="AC974" s="24">
        <f>IF($G974="","",IF($H974="※编码不在物料档案里","※物料编码不在档案里",IF(N($K974)&lt;=0,"※入库数量要大于 0",IF(AND($C974&lt;&gt;"",$C974&lt;=结账锁),"※日期早于已结账截止日，不能再录",IF(AND($L974=0,$X974="正常"),"※没填单价，价格状态请选「待补价」",IF(AND($S974&gt;0,$R974&gt;0),"△本批有 "&amp;$S974&amp;" 行没单价，整批运费先挂账没摊",IF(AND($B974&lt;&gt;"",COUNTIF($B$4:$B$2503,$B974)&gt;1),"※入库单号重复","")))))))</f>
        <v/>
      </c>
    </row>
    <row r="975">
      <c r="A975" s="24">
        <f>IF($G975="","",COUNTA($G$4:$G975))</f>
        <v/>
      </c>
      <c r="B975" s="17" t="n"/>
      <c r="C975" s="30" t="n"/>
      <c r="D975" s="17" t="n"/>
      <c r="E975" s="17" t="n"/>
      <c r="F975" s="17" t="n"/>
      <c r="G975" s="17" t="n"/>
      <c r="H975" s="24">
        <f>IF($G975="","",IFERROR(VLOOKUP($G975,物料档案!$A$4:$P$1203,3,0),"※编码不在物料档案里"))</f>
        <v/>
      </c>
      <c r="I975" s="24">
        <f>IF($G975="","",IFERROR(VLOOKUP($G975,物料档案!$A$4:$P$1203,4,0),"※编码不在物料档案里"))</f>
        <v/>
      </c>
      <c r="J975" s="24">
        <f>IF($G975="","",IFERROR(VLOOKUP($G975,物料档案!$A$4:$P$1203,5,0),"※编码不在物料档案里"))</f>
        <v/>
      </c>
      <c r="K975" s="23" t="n"/>
      <c r="L975" s="31" t="n"/>
      <c r="M975" s="24">
        <f>IF($G975="","",IF($D975="A国内","CNY","TZS"))</f>
        <v/>
      </c>
      <c r="N975" s="28">
        <f>IF($G975="","",IF($D975="A国内",汇率,1))</f>
        <v/>
      </c>
      <c r="O975" s="25">
        <f>IF($G975="","",ROUND(N($K975)*N($L975),2))</f>
        <v/>
      </c>
      <c r="P975" s="26">
        <f>IF($G975="","",ROUND($O975*$N975,0))</f>
        <v/>
      </c>
      <c r="Q975" s="26">
        <f>IF($G975="","",SUMIFS($P$4:$P$2503,$E$4:$E$2503,$E975,$Z$4:$Z$2503,"正常"))</f>
        <v/>
      </c>
      <c r="R975" s="26">
        <f>IF($G975="","",SUMIFS(费用台账!$I$4:$I$503,费用台账!$C$4:$C$503,$E975,费用台账!$J$4:$J$503,"是",费用台账!$K$4:$K$503,"正常"))</f>
        <v/>
      </c>
      <c r="S975" s="28">
        <f>IF($G975="","",COUNTIFS($E$4:$E$2503,$E975,$Z$4:$Z$2503,"正常",$Y$4:$Y$2503,"待补价"))</f>
        <v/>
      </c>
      <c r="T975" s="26">
        <f>IF($G975="","",SUMIFS($P$4:$P$2503,$E$4:$E$2503,$E975,$Z$4:$Z$2503,"正常",$A$4:$A$2503,"&lt;="&amp;$A975))</f>
        <v/>
      </c>
      <c r="U975" s="26">
        <f>IF($G975="","",IF(OR($S975&gt;0,$Q975=0,$R975=0,$Z975&lt;&gt;"正常"),0,ROUND($T975/$Q975*$R975,0)-ROUND(($T975-$P975)/$Q975*$R975,0)))</f>
        <v/>
      </c>
      <c r="V975" s="26">
        <f>IF($G975="","",ROUND($P975+$U975,0))</f>
        <v/>
      </c>
      <c r="W975" s="26">
        <f>IF($G975="","",IF(N($K975)=0,0,ROUND($V975/$K975,2)))</f>
        <v/>
      </c>
      <c r="X975" s="17" t="n"/>
      <c r="Y975" s="17" t="n"/>
      <c r="Z975" s="17" t="n"/>
      <c r="AA975" s="17" t="n"/>
      <c r="AB975" s="17" t="n"/>
      <c r="AC975" s="24">
        <f>IF($G975="","",IF($H975="※编码不在物料档案里","※物料编码不在档案里",IF(N($K975)&lt;=0,"※入库数量要大于 0",IF(AND($C975&lt;&gt;"",$C975&lt;=结账锁),"※日期早于已结账截止日，不能再录",IF(AND($L975=0,$X975="正常"),"※没填单价，价格状态请选「待补价」",IF(AND($S975&gt;0,$R975&gt;0),"△本批有 "&amp;$S975&amp;" 行没单价，整批运费先挂账没摊",IF(AND($B975&lt;&gt;"",COUNTIF($B$4:$B$2503,$B975)&gt;1),"※入库单号重复","")))))))</f>
        <v/>
      </c>
    </row>
    <row r="976">
      <c r="A976" s="24">
        <f>IF($G976="","",COUNTA($G$4:$G976))</f>
        <v/>
      </c>
      <c r="B976" s="17" t="n"/>
      <c r="C976" s="30" t="n"/>
      <c r="D976" s="17" t="n"/>
      <c r="E976" s="17" t="n"/>
      <c r="F976" s="17" t="n"/>
      <c r="G976" s="17" t="n"/>
      <c r="H976" s="24">
        <f>IF($G976="","",IFERROR(VLOOKUP($G976,物料档案!$A$4:$P$1203,3,0),"※编码不在物料档案里"))</f>
        <v/>
      </c>
      <c r="I976" s="24">
        <f>IF($G976="","",IFERROR(VLOOKUP($G976,物料档案!$A$4:$P$1203,4,0),"※编码不在物料档案里"))</f>
        <v/>
      </c>
      <c r="J976" s="24">
        <f>IF($G976="","",IFERROR(VLOOKUP($G976,物料档案!$A$4:$P$1203,5,0),"※编码不在物料档案里"))</f>
        <v/>
      </c>
      <c r="K976" s="23" t="n"/>
      <c r="L976" s="31" t="n"/>
      <c r="M976" s="24">
        <f>IF($G976="","",IF($D976="A国内","CNY","TZS"))</f>
        <v/>
      </c>
      <c r="N976" s="28">
        <f>IF($G976="","",IF($D976="A国内",汇率,1))</f>
        <v/>
      </c>
      <c r="O976" s="25">
        <f>IF($G976="","",ROUND(N($K976)*N($L976),2))</f>
        <v/>
      </c>
      <c r="P976" s="26">
        <f>IF($G976="","",ROUND($O976*$N976,0))</f>
        <v/>
      </c>
      <c r="Q976" s="26">
        <f>IF($G976="","",SUMIFS($P$4:$P$2503,$E$4:$E$2503,$E976,$Z$4:$Z$2503,"正常"))</f>
        <v/>
      </c>
      <c r="R976" s="26">
        <f>IF($G976="","",SUMIFS(费用台账!$I$4:$I$503,费用台账!$C$4:$C$503,$E976,费用台账!$J$4:$J$503,"是",费用台账!$K$4:$K$503,"正常"))</f>
        <v/>
      </c>
      <c r="S976" s="28">
        <f>IF($G976="","",COUNTIFS($E$4:$E$2503,$E976,$Z$4:$Z$2503,"正常",$Y$4:$Y$2503,"待补价"))</f>
        <v/>
      </c>
      <c r="T976" s="26">
        <f>IF($G976="","",SUMIFS($P$4:$P$2503,$E$4:$E$2503,$E976,$Z$4:$Z$2503,"正常",$A$4:$A$2503,"&lt;="&amp;$A976))</f>
        <v/>
      </c>
      <c r="U976" s="26">
        <f>IF($G976="","",IF(OR($S976&gt;0,$Q976=0,$R976=0,$Z976&lt;&gt;"正常"),0,ROUND($T976/$Q976*$R976,0)-ROUND(($T976-$P976)/$Q976*$R976,0)))</f>
        <v/>
      </c>
      <c r="V976" s="26">
        <f>IF($G976="","",ROUND($P976+$U976,0))</f>
        <v/>
      </c>
      <c r="W976" s="26">
        <f>IF($G976="","",IF(N($K976)=0,0,ROUND($V976/$K976,2)))</f>
        <v/>
      </c>
      <c r="X976" s="17" t="n"/>
      <c r="Y976" s="17" t="n"/>
      <c r="Z976" s="17" t="n"/>
      <c r="AA976" s="17" t="n"/>
      <c r="AB976" s="17" t="n"/>
      <c r="AC976" s="24">
        <f>IF($G976="","",IF($H976="※编码不在物料档案里","※物料编码不在档案里",IF(N($K976)&lt;=0,"※入库数量要大于 0",IF(AND($C976&lt;&gt;"",$C976&lt;=结账锁),"※日期早于已结账截止日，不能再录",IF(AND($L976=0,$X976="正常"),"※没填单价，价格状态请选「待补价」",IF(AND($S976&gt;0,$R976&gt;0),"△本批有 "&amp;$S976&amp;" 行没单价，整批运费先挂账没摊",IF(AND($B976&lt;&gt;"",COUNTIF($B$4:$B$2503,$B976)&gt;1),"※入库单号重复","")))))))</f>
        <v/>
      </c>
    </row>
    <row r="977">
      <c r="A977" s="24">
        <f>IF($G977="","",COUNTA($G$4:$G977))</f>
        <v/>
      </c>
      <c r="B977" s="17" t="n"/>
      <c r="C977" s="30" t="n"/>
      <c r="D977" s="17" t="n"/>
      <c r="E977" s="17" t="n"/>
      <c r="F977" s="17" t="n"/>
      <c r="G977" s="17" t="n"/>
      <c r="H977" s="24">
        <f>IF($G977="","",IFERROR(VLOOKUP($G977,物料档案!$A$4:$P$1203,3,0),"※编码不在物料档案里"))</f>
        <v/>
      </c>
      <c r="I977" s="24">
        <f>IF($G977="","",IFERROR(VLOOKUP($G977,物料档案!$A$4:$P$1203,4,0),"※编码不在物料档案里"))</f>
        <v/>
      </c>
      <c r="J977" s="24">
        <f>IF($G977="","",IFERROR(VLOOKUP($G977,物料档案!$A$4:$P$1203,5,0),"※编码不在物料档案里"))</f>
        <v/>
      </c>
      <c r="K977" s="23" t="n"/>
      <c r="L977" s="31" t="n"/>
      <c r="M977" s="24">
        <f>IF($G977="","",IF($D977="A国内","CNY","TZS"))</f>
        <v/>
      </c>
      <c r="N977" s="28">
        <f>IF($G977="","",IF($D977="A国内",汇率,1))</f>
        <v/>
      </c>
      <c r="O977" s="25">
        <f>IF($G977="","",ROUND(N($K977)*N($L977),2))</f>
        <v/>
      </c>
      <c r="P977" s="26">
        <f>IF($G977="","",ROUND($O977*$N977,0))</f>
        <v/>
      </c>
      <c r="Q977" s="26">
        <f>IF($G977="","",SUMIFS($P$4:$P$2503,$E$4:$E$2503,$E977,$Z$4:$Z$2503,"正常"))</f>
        <v/>
      </c>
      <c r="R977" s="26">
        <f>IF($G977="","",SUMIFS(费用台账!$I$4:$I$503,费用台账!$C$4:$C$503,$E977,费用台账!$J$4:$J$503,"是",费用台账!$K$4:$K$503,"正常"))</f>
        <v/>
      </c>
      <c r="S977" s="28">
        <f>IF($G977="","",COUNTIFS($E$4:$E$2503,$E977,$Z$4:$Z$2503,"正常",$Y$4:$Y$2503,"待补价"))</f>
        <v/>
      </c>
      <c r="T977" s="26">
        <f>IF($G977="","",SUMIFS($P$4:$P$2503,$E$4:$E$2503,$E977,$Z$4:$Z$2503,"正常",$A$4:$A$2503,"&lt;="&amp;$A977))</f>
        <v/>
      </c>
      <c r="U977" s="26">
        <f>IF($G977="","",IF(OR($S977&gt;0,$Q977=0,$R977=0,$Z977&lt;&gt;"正常"),0,ROUND($T977/$Q977*$R977,0)-ROUND(($T977-$P977)/$Q977*$R977,0)))</f>
        <v/>
      </c>
      <c r="V977" s="26">
        <f>IF($G977="","",ROUND($P977+$U977,0))</f>
        <v/>
      </c>
      <c r="W977" s="26">
        <f>IF($G977="","",IF(N($K977)=0,0,ROUND($V977/$K977,2)))</f>
        <v/>
      </c>
      <c r="X977" s="17" t="n"/>
      <c r="Y977" s="17" t="n"/>
      <c r="Z977" s="17" t="n"/>
      <c r="AA977" s="17" t="n"/>
      <c r="AB977" s="17" t="n"/>
      <c r="AC977" s="24">
        <f>IF($G977="","",IF($H977="※编码不在物料档案里","※物料编码不在档案里",IF(N($K977)&lt;=0,"※入库数量要大于 0",IF(AND($C977&lt;&gt;"",$C977&lt;=结账锁),"※日期早于已结账截止日，不能再录",IF(AND($L977=0,$X977="正常"),"※没填单价，价格状态请选「待补价」",IF(AND($S977&gt;0,$R977&gt;0),"△本批有 "&amp;$S977&amp;" 行没单价，整批运费先挂账没摊",IF(AND($B977&lt;&gt;"",COUNTIF($B$4:$B$2503,$B977)&gt;1),"※入库单号重复","")))))))</f>
        <v/>
      </c>
    </row>
    <row r="978">
      <c r="A978" s="24">
        <f>IF($G978="","",COUNTA($G$4:$G978))</f>
        <v/>
      </c>
      <c r="B978" s="17" t="n"/>
      <c r="C978" s="30" t="n"/>
      <c r="D978" s="17" t="n"/>
      <c r="E978" s="17" t="n"/>
      <c r="F978" s="17" t="n"/>
      <c r="G978" s="17" t="n"/>
      <c r="H978" s="24">
        <f>IF($G978="","",IFERROR(VLOOKUP($G978,物料档案!$A$4:$P$1203,3,0),"※编码不在物料档案里"))</f>
        <v/>
      </c>
      <c r="I978" s="24">
        <f>IF($G978="","",IFERROR(VLOOKUP($G978,物料档案!$A$4:$P$1203,4,0),"※编码不在物料档案里"))</f>
        <v/>
      </c>
      <c r="J978" s="24">
        <f>IF($G978="","",IFERROR(VLOOKUP($G978,物料档案!$A$4:$P$1203,5,0),"※编码不在物料档案里"))</f>
        <v/>
      </c>
      <c r="K978" s="23" t="n"/>
      <c r="L978" s="31" t="n"/>
      <c r="M978" s="24">
        <f>IF($G978="","",IF($D978="A国内","CNY","TZS"))</f>
        <v/>
      </c>
      <c r="N978" s="28">
        <f>IF($G978="","",IF($D978="A国内",汇率,1))</f>
        <v/>
      </c>
      <c r="O978" s="25">
        <f>IF($G978="","",ROUND(N($K978)*N($L978),2))</f>
        <v/>
      </c>
      <c r="P978" s="26">
        <f>IF($G978="","",ROUND($O978*$N978,0))</f>
        <v/>
      </c>
      <c r="Q978" s="26">
        <f>IF($G978="","",SUMIFS($P$4:$P$2503,$E$4:$E$2503,$E978,$Z$4:$Z$2503,"正常"))</f>
        <v/>
      </c>
      <c r="R978" s="26">
        <f>IF($G978="","",SUMIFS(费用台账!$I$4:$I$503,费用台账!$C$4:$C$503,$E978,费用台账!$J$4:$J$503,"是",费用台账!$K$4:$K$503,"正常"))</f>
        <v/>
      </c>
      <c r="S978" s="28">
        <f>IF($G978="","",COUNTIFS($E$4:$E$2503,$E978,$Z$4:$Z$2503,"正常",$Y$4:$Y$2503,"待补价"))</f>
        <v/>
      </c>
      <c r="T978" s="26">
        <f>IF($G978="","",SUMIFS($P$4:$P$2503,$E$4:$E$2503,$E978,$Z$4:$Z$2503,"正常",$A$4:$A$2503,"&lt;="&amp;$A978))</f>
        <v/>
      </c>
      <c r="U978" s="26">
        <f>IF($G978="","",IF(OR($S978&gt;0,$Q978=0,$R978=0,$Z978&lt;&gt;"正常"),0,ROUND($T978/$Q978*$R978,0)-ROUND(($T978-$P978)/$Q978*$R978,0)))</f>
        <v/>
      </c>
      <c r="V978" s="26">
        <f>IF($G978="","",ROUND($P978+$U978,0))</f>
        <v/>
      </c>
      <c r="W978" s="26">
        <f>IF($G978="","",IF(N($K978)=0,0,ROUND($V978/$K978,2)))</f>
        <v/>
      </c>
      <c r="X978" s="17" t="n"/>
      <c r="Y978" s="17" t="n"/>
      <c r="Z978" s="17" t="n"/>
      <c r="AA978" s="17" t="n"/>
      <c r="AB978" s="17" t="n"/>
      <c r="AC978" s="24">
        <f>IF($G978="","",IF($H978="※编码不在物料档案里","※物料编码不在档案里",IF(N($K978)&lt;=0,"※入库数量要大于 0",IF(AND($C978&lt;&gt;"",$C978&lt;=结账锁),"※日期早于已结账截止日，不能再录",IF(AND($L978=0,$X978="正常"),"※没填单价，价格状态请选「待补价」",IF(AND($S978&gt;0,$R978&gt;0),"△本批有 "&amp;$S978&amp;" 行没单价，整批运费先挂账没摊",IF(AND($B978&lt;&gt;"",COUNTIF($B$4:$B$2503,$B978)&gt;1),"※入库单号重复","")))))))</f>
        <v/>
      </c>
    </row>
    <row r="979">
      <c r="A979" s="24">
        <f>IF($G979="","",COUNTA($G$4:$G979))</f>
        <v/>
      </c>
      <c r="B979" s="17" t="n"/>
      <c r="C979" s="30" t="n"/>
      <c r="D979" s="17" t="n"/>
      <c r="E979" s="17" t="n"/>
      <c r="F979" s="17" t="n"/>
      <c r="G979" s="17" t="n"/>
      <c r="H979" s="24">
        <f>IF($G979="","",IFERROR(VLOOKUP($G979,物料档案!$A$4:$P$1203,3,0),"※编码不在物料档案里"))</f>
        <v/>
      </c>
      <c r="I979" s="24">
        <f>IF($G979="","",IFERROR(VLOOKUP($G979,物料档案!$A$4:$P$1203,4,0),"※编码不在物料档案里"))</f>
        <v/>
      </c>
      <c r="J979" s="24">
        <f>IF($G979="","",IFERROR(VLOOKUP($G979,物料档案!$A$4:$P$1203,5,0),"※编码不在物料档案里"))</f>
        <v/>
      </c>
      <c r="K979" s="23" t="n"/>
      <c r="L979" s="31" t="n"/>
      <c r="M979" s="24">
        <f>IF($G979="","",IF($D979="A国内","CNY","TZS"))</f>
        <v/>
      </c>
      <c r="N979" s="28">
        <f>IF($G979="","",IF($D979="A国内",汇率,1))</f>
        <v/>
      </c>
      <c r="O979" s="25">
        <f>IF($G979="","",ROUND(N($K979)*N($L979),2))</f>
        <v/>
      </c>
      <c r="P979" s="26">
        <f>IF($G979="","",ROUND($O979*$N979,0))</f>
        <v/>
      </c>
      <c r="Q979" s="26">
        <f>IF($G979="","",SUMIFS($P$4:$P$2503,$E$4:$E$2503,$E979,$Z$4:$Z$2503,"正常"))</f>
        <v/>
      </c>
      <c r="R979" s="26">
        <f>IF($G979="","",SUMIFS(费用台账!$I$4:$I$503,费用台账!$C$4:$C$503,$E979,费用台账!$J$4:$J$503,"是",费用台账!$K$4:$K$503,"正常"))</f>
        <v/>
      </c>
      <c r="S979" s="28">
        <f>IF($G979="","",COUNTIFS($E$4:$E$2503,$E979,$Z$4:$Z$2503,"正常",$Y$4:$Y$2503,"待补价"))</f>
        <v/>
      </c>
      <c r="T979" s="26">
        <f>IF($G979="","",SUMIFS($P$4:$P$2503,$E$4:$E$2503,$E979,$Z$4:$Z$2503,"正常",$A$4:$A$2503,"&lt;="&amp;$A979))</f>
        <v/>
      </c>
      <c r="U979" s="26">
        <f>IF($G979="","",IF(OR($S979&gt;0,$Q979=0,$R979=0,$Z979&lt;&gt;"正常"),0,ROUND($T979/$Q979*$R979,0)-ROUND(($T979-$P979)/$Q979*$R979,0)))</f>
        <v/>
      </c>
      <c r="V979" s="26">
        <f>IF($G979="","",ROUND($P979+$U979,0))</f>
        <v/>
      </c>
      <c r="W979" s="26">
        <f>IF($G979="","",IF(N($K979)=0,0,ROUND($V979/$K979,2)))</f>
        <v/>
      </c>
      <c r="X979" s="17" t="n"/>
      <c r="Y979" s="17" t="n"/>
      <c r="Z979" s="17" t="n"/>
      <c r="AA979" s="17" t="n"/>
      <c r="AB979" s="17" t="n"/>
      <c r="AC979" s="24">
        <f>IF($G979="","",IF($H979="※编码不在物料档案里","※物料编码不在档案里",IF(N($K979)&lt;=0,"※入库数量要大于 0",IF(AND($C979&lt;&gt;"",$C979&lt;=结账锁),"※日期早于已结账截止日，不能再录",IF(AND($L979=0,$X979="正常"),"※没填单价，价格状态请选「待补价」",IF(AND($S979&gt;0,$R979&gt;0),"△本批有 "&amp;$S979&amp;" 行没单价，整批运费先挂账没摊",IF(AND($B979&lt;&gt;"",COUNTIF($B$4:$B$2503,$B979)&gt;1),"※入库单号重复","")))))))</f>
        <v/>
      </c>
    </row>
    <row r="980">
      <c r="A980" s="24">
        <f>IF($G980="","",COUNTA($G$4:$G980))</f>
        <v/>
      </c>
      <c r="B980" s="17" t="n"/>
      <c r="C980" s="30" t="n"/>
      <c r="D980" s="17" t="n"/>
      <c r="E980" s="17" t="n"/>
      <c r="F980" s="17" t="n"/>
      <c r="G980" s="17" t="n"/>
      <c r="H980" s="24">
        <f>IF($G980="","",IFERROR(VLOOKUP($G980,物料档案!$A$4:$P$1203,3,0),"※编码不在物料档案里"))</f>
        <v/>
      </c>
      <c r="I980" s="24">
        <f>IF($G980="","",IFERROR(VLOOKUP($G980,物料档案!$A$4:$P$1203,4,0),"※编码不在物料档案里"))</f>
        <v/>
      </c>
      <c r="J980" s="24">
        <f>IF($G980="","",IFERROR(VLOOKUP($G980,物料档案!$A$4:$P$1203,5,0),"※编码不在物料档案里"))</f>
        <v/>
      </c>
      <c r="K980" s="23" t="n"/>
      <c r="L980" s="31" t="n"/>
      <c r="M980" s="24">
        <f>IF($G980="","",IF($D980="A国内","CNY","TZS"))</f>
        <v/>
      </c>
      <c r="N980" s="28">
        <f>IF($G980="","",IF($D980="A国内",汇率,1))</f>
        <v/>
      </c>
      <c r="O980" s="25">
        <f>IF($G980="","",ROUND(N($K980)*N($L980),2))</f>
        <v/>
      </c>
      <c r="P980" s="26">
        <f>IF($G980="","",ROUND($O980*$N980,0))</f>
        <v/>
      </c>
      <c r="Q980" s="26">
        <f>IF($G980="","",SUMIFS($P$4:$P$2503,$E$4:$E$2503,$E980,$Z$4:$Z$2503,"正常"))</f>
        <v/>
      </c>
      <c r="R980" s="26">
        <f>IF($G980="","",SUMIFS(费用台账!$I$4:$I$503,费用台账!$C$4:$C$503,$E980,费用台账!$J$4:$J$503,"是",费用台账!$K$4:$K$503,"正常"))</f>
        <v/>
      </c>
      <c r="S980" s="28">
        <f>IF($G980="","",COUNTIFS($E$4:$E$2503,$E980,$Z$4:$Z$2503,"正常",$Y$4:$Y$2503,"待补价"))</f>
        <v/>
      </c>
      <c r="T980" s="26">
        <f>IF($G980="","",SUMIFS($P$4:$P$2503,$E$4:$E$2503,$E980,$Z$4:$Z$2503,"正常",$A$4:$A$2503,"&lt;="&amp;$A980))</f>
        <v/>
      </c>
      <c r="U980" s="26">
        <f>IF($G980="","",IF(OR($S980&gt;0,$Q980=0,$R980=0,$Z980&lt;&gt;"正常"),0,ROUND($T980/$Q980*$R980,0)-ROUND(($T980-$P980)/$Q980*$R980,0)))</f>
        <v/>
      </c>
      <c r="V980" s="26">
        <f>IF($G980="","",ROUND($P980+$U980,0))</f>
        <v/>
      </c>
      <c r="W980" s="26">
        <f>IF($G980="","",IF(N($K980)=0,0,ROUND($V980/$K980,2)))</f>
        <v/>
      </c>
      <c r="X980" s="17" t="n"/>
      <c r="Y980" s="17" t="n"/>
      <c r="Z980" s="17" t="n"/>
      <c r="AA980" s="17" t="n"/>
      <c r="AB980" s="17" t="n"/>
      <c r="AC980" s="24">
        <f>IF($G980="","",IF($H980="※编码不在物料档案里","※物料编码不在档案里",IF(N($K980)&lt;=0,"※入库数量要大于 0",IF(AND($C980&lt;&gt;"",$C980&lt;=结账锁),"※日期早于已结账截止日，不能再录",IF(AND($L980=0,$X980="正常"),"※没填单价，价格状态请选「待补价」",IF(AND($S980&gt;0,$R980&gt;0),"△本批有 "&amp;$S980&amp;" 行没单价，整批运费先挂账没摊",IF(AND($B980&lt;&gt;"",COUNTIF($B$4:$B$2503,$B980)&gt;1),"※入库单号重复","")))))))</f>
        <v/>
      </c>
    </row>
    <row r="981">
      <c r="A981" s="24">
        <f>IF($G981="","",COUNTA($G$4:$G981))</f>
        <v/>
      </c>
      <c r="B981" s="17" t="n"/>
      <c r="C981" s="30" t="n"/>
      <c r="D981" s="17" t="n"/>
      <c r="E981" s="17" t="n"/>
      <c r="F981" s="17" t="n"/>
      <c r="G981" s="17" t="n"/>
      <c r="H981" s="24">
        <f>IF($G981="","",IFERROR(VLOOKUP($G981,物料档案!$A$4:$P$1203,3,0),"※编码不在物料档案里"))</f>
        <v/>
      </c>
      <c r="I981" s="24">
        <f>IF($G981="","",IFERROR(VLOOKUP($G981,物料档案!$A$4:$P$1203,4,0),"※编码不在物料档案里"))</f>
        <v/>
      </c>
      <c r="J981" s="24">
        <f>IF($G981="","",IFERROR(VLOOKUP($G981,物料档案!$A$4:$P$1203,5,0),"※编码不在物料档案里"))</f>
        <v/>
      </c>
      <c r="K981" s="23" t="n"/>
      <c r="L981" s="31" t="n"/>
      <c r="M981" s="24">
        <f>IF($G981="","",IF($D981="A国内","CNY","TZS"))</f>
        <v/>
      </c>
      <c r="N981" s="28">
        <f>IF($G981="","",IF($D981="A国内",汇率,1))</f>
        <v/>
      </c>
      <c r="O981" s="25">
        <f>IF($G981="","",ROUND(N($K981)*N($L981),2))</f>
        <v/>
      </c>
      <c r="P981" s="26">
        <f>IF($G981="","",ROUND($O981*$N981,0))</f>
        <v/>
      </c>
      <c r="Q981" s="26">
        <f>IF($G981="","",SUMIFS($P$4:$P$2503,$E$4:$E$2503,$E981,$Z$4:$Z$2503,"正常"))</f>
        <v/>
      </c>
      <c r="R981" s="26">
        <f>IF($G981="","",SUMIFS(费用台账!$I$4:$I$503,费用台账!$C$4:$C$503,$E981,费用台账!$J$4:$J$503,"是",费用台账!$K$4:$K$503,"正常"))</f>
        <v/>
      </c>
      <c r="S981" s="28">
        <f>IF($G981="","",COUNTIFS($E$4:$E$2503,$E981,$Z$4:$Z$2503,"正常",$Y$4:$Y$2503,"待补价"))</f>
        <v/>
      </c>
      <c r="T981" s="26">
        <f>IF($G981="","",SUMIFS($P$4:$P$2503,$E$4:$E$2503,$E981,$Z$4:$Z$2503,"正常",$A$4:$A$2503,"&lt;="&amp;$A981))</f>
        <v/>
      </c>
      <c r="U981" s="26">
        <f>IF($G981="","",IF(OR($S981&gt;0,$Q981=0,$R981=0,$Z981&lt;&gt;"正常"),0,ROUND($T981/$Q981*$R981,0)-ROUND(($T981-$P981)/$Q981*$R981,0)))</f>
        <v/>
      </c>
      <c r="V981" s="26">
        <f>IF($G981="","",ROUND($P981+$U981,0))</f>
        <v/>
      </c>
      <c r="W981" s="26">
        <f>IF($G981="","",IF(N($K981)=0,0,ROUND($V981/$K981,2)))</f>
        <v/>
      </c>
      <c r="X981" s="17" t="n"/>
      <c r="Y981" s="17" t="n"/>
      <c r="Z981" s="17" t="n"/>
      <c r="AA981" s="17" t="n"/>
      <c r="AB981" s="17" t="n"/>
      <c r="AC981" s="24">
        <f>IF($G981="","",IF($H981="※编码不在物料档案里","※物料编码不在档案里",IF(N($K981)&lt;=0,"※入库数量要大于 0",IF(AND($C981&lt;&gt;"",$C981&lt;=结账锁),"※日期早于已结账截止日，不能再录",IF(AND($L981=0,$X981="正常"),"※没填单价，价格状态请选「待补价」",IF(AND($S981&gt;0,$R981&gt;0),"△本批有 "&amp;$S981&amp;" 行没单价，整批运费先挂账没摊",IF(AND($B981&lt;&gt;"",COUNTIF($B$4:$B$2503,$B981)&gt;1),"※入库单号重复","")))))))</f>
        <v/>
      </c>
    </row>
    <row r="982">
      <c r="A982" s="24">
        <f>IF($G982="","",COUNTA($G$4:$G982))</f>
        <v/>
      </c>
      <c r="B982" s="17" t="n"/>
      <c r="C982" s="30" t="n"/>
      <c r="D982" s="17" t="n"/>
      <c r="E982" s="17" t="n"/>
      <c r="F982" s="17" t="n"/>
      <c r="G982" s="17" t="n"/>
      <c r="H982" s="24">
        <f>IF($G982="","",IFERROR(VLOOKUP($G982,物料档案!$A$4:$P$1203,3,0),"※编码不在物料档案里"))</f>
        <v/>
      </c>
      <c r="I982" s="24">
        <f>IF($G982="","",IFERROR(VLOOKUP($G982,物料档案!$A$4:$P$1203,4,0),"※编码不在物料档案里"))</f>
        <v/>
      </c>
      <c r="J982" s="24">
        <f>IF($G982="","",IFERROR(VLOOKUP($G982,物料档案!$A$4:$P$1203,5,0),"※编码不在物料档案里"))</f>
        <v/>
      </c>
      <c r="K982" s="23" t="n"/>
      <c r="L982" s="31" t="n"/>
      <c r="M982" s="24">
        <f>IF($G982="","",IF($D982="A国内","CNY","TZS"))</f>
        <v/>
      </c>
      <c r="N982" s="28">
        <f>IF($G982="","",IF($D982="A国内",汇率,1))</f>
        <v/>
      </c>
      <c r="O982" s="25">
        <f>IF($G982="","",ROUND(N($K982)*N($L982),2))</f>
        <v/>
      </c>
      <c r="P982" s="26">
        <f>IF($G982="","",ROUND($O982*$N982,0))</f>
        <v/>
      </c>
      <c r="Q982" s="26">
        <f>IF($G982="","",SUMIFS($P$4:$P$2503,$E$4:$E$2503,$E982,$Z$4:$Z$2503,"正常"))</f>
        <v/>
      </c>
      <c r="R982" s="26">
        <f>IF($G982="","",SUMIFS(费用台账!$I$4:$I$503,费用台账!$C$4:$C$503,$E982,费用台账!$J$4:$J$503,"是",费用台账!$K$4:$K$503,"正常"))</f>
        <v/>
      </c>
      <c r="S982" s="28">
        <f>IF($G982="","",COUNTIFS($E$4:$E$2503,$E982,$Z$4:$Z$2503,"正常",$Y$4:$Y$2503,"待补价"))</f>
        <v/>
      </c>
      <c r="T982" s="26">
        <f>IF($G982="","",SUMIFS($P$4:$P$2503,$E$4:$E$2503,$E982,$Z$4:$Z$2503,"正常",$A$4:$A$2503,"&lt;="&amp;$A982))</f>
        <v/>
      </c>
      <c r="U982" s="26">
        <f>IF($G982="","",IF(OR($S982&gt;0,$Q982=0,$R982=0,$Z982&lt;&gt;"正常"),0,ROUND($T982/$Q982*$R982,0)-ROUND(($T982-$P982)/$Q982*$R982,0)))</f>
        <v/>
      </c>
      <c r="V982" s="26">
        <f>IF($G982="","",ROUND($P982+$U982,0))</f>
        <v/>
      </c>
      <c r="W982" s="26">
        <f>IF($G982="","",IF(N($K982)=0,0,ROUND($V982/$K982,2)))</f>
        <v/>
      </c>
      <c r="X982" s="17" t="n"/>
      <c r="Y982" s="17" t="n"/>
      <c r="Z982" s="17" t="n"/>
      <c r="AA982" s="17" t="n"/>
      <c r="AB982" s="17" t="n"/>
      <c r="AC982" s="24">
        <f>IF($G982="","",IF($H982="※编码不在物料档案里","※物料编码不在档案里",IF(N($K982)&lt;=0,"※入库数量要大于 0",IF(AND($C982&lt;&gt;"",$C982&lt;=结账锁),"※日期早于已结账截止日，不能再录",IF(AND($L982=0,$X982="正常"),"※没填单价，价格状态请选「待补价」",IF(AND($S982&gt;0,$R982&gt;0),"△本批有 "&amp;$S982&amp;" 行没单价，整批运费先挂账没摊",IF(AND($B982&lt;&gt;"",COUNTIF($B$4:$B$2503,$B982)&gt;1),"※入库单号重复","")))))))</f>
        <v/>
      </c>
    </row>
    <row r="983">
      <c r="A983" s="24">
        <f>IF($G983="","",COUNTA($G$4:$G983))</f>
        <v/>
      </c>
      <c r="B983" s="17" t="n"/>
      <c r="C983" s="30" t="n"/>
      <c r="D983" s="17" t="n"/>
      <c r="E983" s="17" t="n"/>
      <c r="F983" s="17" t="n"/>
      <c r="G983" s="17" t="n"/>
      <c r="H983" s="24">
        <f>IF($G983="","",IFERROR(VLOOKUP($G983,物料档案!$A$4:$P$1203,3,0),"※编码不在物料档案里"))</f>
        <v/>
      </c>
      <c r="I983" s="24">
        <f>IF($G983="","",IFERROR(VLOOKUP($G983,物料档案!$A$4:$P$1203,4,0),"※编码不在物料档案里"))</f>
        <v/>
      </c>
      <c r="J983" s="24">
        <f>IF($G983="","",IFERROR(VLOOKUP($G983,物料档案!$A$4:$P$1203,5,0),"※编码不在物料档案里"))</f>
        <v/>
      </c>
      <c r="K983" s="23" t="n"/>
      <c r="L983" s="31" t="n"/>
      <c r="M983" s="24">
        <f>IF($G983="","",IF($D983="A国内","CNY","TZS"))</f>
        <v/>
      </c>
      <c r="N983" s="28">
        <f>IF($G983="","",IF($D983="A国内",汇率,1))</f>
        <v/>
      </c>
      <c r="O983" s="25">
        <f>IF($G983="","",ROUND(N($K983)*N($L983),2))</f>
        <v/>
      </c>
      <c r="P983" s="26">
        <f>IF($G983="","",ROUND($O983*$N983,0))</f>
        <v/>
      </c>
      <c r="Q983" s="26">
        <f>IF($G983="","",SUMIFS($P$4:$P$2503,$E$4:$E$2503,$E983,$Z$4:$Z$2503,"正常"))</f>
        <v/>
      </c>
      <c r="R983" s="26">
        <f>IF($G983="","",SUMIFS(费用台账!$I$4:$I$503,费用台账!$C$4:$C$503,$E983,费用台账!$J$4:$J$503,"是",费用台账!$K$4:$K$503,"正常"))</f>
        <v/>
      </c>
      <c r="S983" s="28">
        <f>IF($G983="","",COUNTIFS($E$4:$E$2503,$E983,$Z$4:$Z$2503,"正常",$Y$4:$Y$2503,"待补价"))</f>
        <v/>
      </c>
      <c r="T983" s="26">
        <f>IF($G983="","",SUMIFS($P$4:$P$2503,$E$4:$E$2503,$E983,$Z$4:$Z$2503,"正常",$A$4:$A$2503,"&lt;="&amp;$A983))</f>
        <v/>
      </c>
      <c r="U983" s="26">
        <f>IF($G983="","",IF(OR($S983&gt;0,$Q983=0,$R983=0,$Z983&lt;&gt;"正常"),0,ROUND($T983/$Q983*$R983,0)-ROUND(($T983-$P983)/$Q983*$R983,0)))</f>
        <v/>
      </c>
      <c r="V983" s="26">
        <f>IF($G983="","",ROUND($P983+$U983,0))</f>
        <v/>
      </c>
      <c r="W983" s="26">
        <f>IF($G983="","",IF(N($K983)=0,0,ROUND($V983/$K983,2)))</f>
        <v/>
      </c>
      <c r="X983" s="17" t="n"/>
      <c r="Y983" s="17" t="n"/>
      <c r="Z983" s="17" t="n"/>
      <c r="AA983" s="17" t="n"/>
      <c r="AB983" s="17" t="n"/>
      <c r="AC983" s="24">
        <f>IF($G983="","",IF($H983="※编码不在物料档案里","※物料编码不在档案里",IF(N($K983)&lt;=0,"※入库数量要大于 0",IF(AND($C983&lt;&gt;"",$C983&lt;=结账锁),"※日期早于已结账截止日，不能再录",IF(AND($L983=0,$X983="正常"),"※没填单价，价格状态请选「待补价」",IF(AND($S983&gt;0,$R983&gt;0),"△本批有 "&amp;$S983&amp;" 行没单价，整批运费先挂账没摊",IF(AND($B983&lt;&gt;"",COUNTIF($B$4:$B$2503,$B983)&gt;1),"※入库单号重复","")))))))</f>
        <v/>
      </c>
    </row>
    <row r="984">
      <c r="A984" s="24">
        <f>IF($G984="","",COUNTA($G$4:$G984))</f>
        <v/>
      </c>
      <c r="B984" s="17" t="n"/>
      <c r="C984" s="30" t="n"/>
      <c r="D984" s="17" t="n"/>
      <c r="E984" s="17" t="n"/>
      <c r="F984" s="17" t="n"/>
      <c r="G984" s="17" t="n"/>
      <c r="H984" s="24">
        <f>IF($G984="","",IFERROR(VLOOKUP($G984,物料档案!$A$4:$P$1203,3,0),"※编码不在物料档案里"))</f>
        <v/>
      </c>
      <c r="I984" s="24">
        <f>IF($G984="","",IFERROR(VLOOKUP($G984,物料档案!$A$4:$P$1203,4,0),"※编码不在物料档案里"))</f>
        <v/>
      </c>
      <c r="J984" s="24">
        <f>IF($G984="","",IFERROR(VLOOKUP($G984,物料档案!$A$4:$P$1203,5,0),"※编码不在物料档案里"))</f>
        <v/>
      </c>
      <c r="K984" s="23" t="n"/>
      <c r="L984" s="31" t="n"/>
      <c r="M984" s="24">
        <f>IF($G984="","",IF($D984="A国内","CNY","TZS"))</f>
        <v/>
      </c>
      <c r="N984" s="28">
        <f>IF($G984="","",IF($D984="A国内",汇率,1))</f>
        <v/>
      </c>
      <c r="O984" s="25">
        <f>IF($G984="","",ROUND(N($K984)*N($L984),2))</f>
        <v/>
      </c>
      <c r="P984" s="26">
        <f>IF($G984="","",ROUND($O984*$N984,0))</f>
        <v/>
      </c>
      <c r="Q984" s="26">
        <f>IF($G984="","",SUMIFS($P$4:$P$2503,$E$4:$E$2503,$E984,$Z$4:$Z$2503,"正常"))</f>
        <v/>
      </c>
      <c r="R984" s="26">
        <f>IF($G984="","",SUMIFS(费用台账!$I$4:$I$503,费用台账!$C$4:$C$503,$E984,费用台账!$J$4:$J$503,"是",费用台账!$K$4:$K$503,"正常"))</f>
        <v/>
      </c>
      <c r="S984" s="28">
        <f>IF($G984="","",COUNTIFS($E$4:$E$2503,$E984,$Z$4:$Z$2503,"正常",$Y$4:$Y$2503,"待补价"))</f>
        <v/>
      </c>
      <c r="T984" s="26">
        <f>IF($G984="","",SUMIFS($P$4:$P$2503,$E$4:$E$2503,$E984,$Z$4:$Z$2503,"正常",$A$4:$A$2503,"&lt;="&amp;$A984))</f>
        <v/>
      </c>
      <c r="U984" s="26">
        <f>IF($G984="","",IF(OR($S984&gt;0,$Q984=0,$R984=0,$Z984&lt;&gt;"正常"),0,ROUND($T984/$Q984*$R984,0)-ROUND(($T984-$P984)/$Q984*$R984,0)))</f>
        <v/>
      </c>
      <c r="V984" s="26">
        <f>IF($G984="","",ROUND($P984+$U984,0))</f>
        <v/>
      </c>
      <c r="W984" s="26">
        <f>IF($G984="","",IF(N($K984)=0,0,ROUND($V984/$K984,2)))</f>
        <v/>
      </c>
      <c r="X984" s="17" t="n"/>
      <c r="Y984" s="17" t="n"/>
      <c r="Z984" s="17" t="n"/>
      <c r="AA984" s="17" t="n"/>
      <c r="AB984" s="17" t="n"/>
      <c r="AC984" s="24">
        <f>IF($G984="","",IF($H984="※编码不在物料档案里","※物料编码不在档案里",IF(N($K984)&lt;=0,"※入库数量要大于 0",IF(AND($C984&lt;&gt;"",$C984&lt;=结账锁),"※日期早于已结账截止日，不能再录",IF(AND($L984=0,$X984="正常"),"※没填单价，价格状态请选「待补价」",IF(AND($S984&gt;0,$R984&gt;0),"△本批有 "&amp;$S984&amp;" 行没单价，整批运费先挂账没摊",IF(AND($B984&lt;&gt;"",COUNTIF($B$4:$B$2503,$B984)&gt;1),"※入库单号重复","")))))))</f>
        <v/>
      </c>
    </row>
    <row r="985">
      <c r="A985" s="24">
        <f>IF($G985="","",COUNTA($G$4:$G985))</f>
        <v/>
      </c>
      <c r="B985" s="17" t="n"/>
      <c r="C985" s="30" t="n"/>
      <c r="D985" s="17" t="n"/>
      <c r="E985" s="17" t="n"/>
      <c r="F985" s="17" t="n"/>
      <c r="G985" s="17" t="n"/>
      <c r="H985" s="24">
        <f>IF($G985="","",IFERROR(VLOOKUP($G985,物料档案!$A$4:$P$1203,3,0),"※编码不在物料档案里"))</f>
        <v/>
      </c>
      <c r="I985" s="24">
        <f>IF($G985="","",IFERROR(VLOOKUP($G985,物料档案!$A$4:$P$1203,4,0),"※编码不在物料档案里"))</f>
        <v/>
      </c>
      <c r="J985" s="24">
        <f>IF($G985="","",IFERROR(VLOOKUP($G985,物料档案!$A$4:$P$1203,5,0),"※编码不在物料档案里"))</f>
        <v/>
      </c>
      <c r="K985" s="23" t="n"/>
      <c r="L985" s="31" t="n"/>
      <c r="M985" s="24">
        <f>IF($G985="","",IF($D985="A国内","CNY","TZS"))</f>
        <v/>
      </c>
      <c r="N985" s="28">
        <f>IF($G985="","",IF($D985="A国内",汇率,1))</f>
        <v/>
      </c>
      <c r="O985" s="25">
        <f>IF($G985="","",ROUND(N($K985)*N($L985),2))</f>
        <v/>
      </c>
      <c r="P985" s="26">
        <f>IF($G985="","",ROUND($O985*$N985,0))</f>
        <v/>
      </c>
      <c r="Q985" s="26">
        <f>IF($G985="","",SUMIFS($P$4:$P$2503,$E$4:$E$2503,$E985,$Z$4:$Z$2503,"正常"))</f>
        <v/>
      </c>
      <c r="R985" s="26">
        <f>IF($G985="","",SUMIFS(费用台账!$I$4:$I$503,费用台账!$C$4:$C$503,$E985,费用台账!$J$4:$J$503,"是",费用台账!$K$4:$K$503,"正常"))</f>
        <v/>
      </c>
      <c r="S985" s="28">
        <f>IF($G985="","",COUNTIFS($E$4:$E$2503,$E985,$Z$4:$Z$2503,"正常",$Y$4:$Y$2503,"待补价"))</f>
        <v/>
      </c>
      <c r="T985" s="26">
        <f>IF($G985="","",SUMIFS($P$4:$P$2503,$E$4:$E$2503,$E985,$Z$4:$Z$2503,"正常",$A$4:$A$2503,"&lt;="&amp;$A985))</f>
        <v/>
      </c>
      <c r="U985" s="26">
        <f>IF($G985="","",IF(OR($S985&gt;0,$Q985=0,$R985=0,$Z985&lt;&gt;"正常"),0,ROUND($T985/$Q985*$R985,0)-ROUND(($T985-$P985)/$Q985*$R985,0)))</f>
        <v/>
      </c>
      <c r="V985" s="26">
        <f>IF($G985="","",ROUND($P985+$U985,0))</f>
        <v/>
      </c>
      <c r="W985" s="26">
        <f>IF($G985="","",IF(N($K985)=0,0,ROUND($V985/$K985,2)))</f>
        <v/>
      </c>
      <c r="X985" s="17" t="n"/>
      <c r="Y985" s="17" t="n"/>
      <c r="Z985" s="17" t="n"/>
      <c r="AA985" s="17" t="n"/>
      <c r="AB985" s="17" t="n"/>
      <c r="AC985" s="24">
        <f>IF($G985="","",IF($H985="※编码不在物料档案里","※物料编码不在档案里",IF(N($K985)&lt;=0,"※入库数量要大于 0",IF(AND($C985&lt;&gt;"",$C985&lt;=结账锁),"※日期早于已结账截止日，不能再录",IF(AND($L985=0,$X985="正常"),"※没填单价，价格状态请选「待补价」",IF(AND($S985&gt;0,$R985&gt;0),"△本批有 "&amp;$S985&amp;" 行没单价，整批运费先挂账没摊",IF(AND($B985&lt;&gt;"",COUNTIF($B$4:$B$2503,$B985)&gt;1),"※入库单号重复","")))))))</f>
        <v/>
      </c>
    </row>
    <row r="986">
      <c r="A986" s="24">
        <f>IF($G986="","",COUNTA($G$4:$G986))</f>
        <v/>
      </c>
      <c r="B986" s="17" t="n"/>
      <c r="C986" s="30" t="n"/>
      <c r="D986" s="17" t="n"/>
      <c r="E986" s="17" t="n"/>
      <c r="F986" s="17" t="n"/>
      <c r="G986" s="17" t="n"/>
      <c r="H986" s="24">
        <f>IF($G986="","",IFERROR(VLOOKUP($G986,物料档案!$A$4:$P$1203,3,0),"※编码不在物料档案里"))</f>
        <v/>
      </c>
      <c r="I986" s="24">
        <f>IF($G986="","",IFERROR(VLOOKUP($G986,物料档案!$A$4:$P$1203,4,0),"※编码不在物料档案里"))</f>
        <v/>
      </c>
      <c r="J986" s="24">
        <f>IF($G986="","",IFERROR(VLOOKUP($G986,物料档案!$A$4:$P$1203,5,0),"※编码不在物料档案里"))</f>
        <v/>
      </c>
      <c r="K986" s="23" t="n"/>
      <c r="L986" s="31" t="n"/>
      <c r="M986" s="24">
        <f>IF($G986="","",IF($D986="A国内","CNY","TZS"))</f>
        <v/>
      </c>
      <c r="N986" s="28">
        <f>IF($G986="","",IF($D986="A国内",汇率,1))</f>
        <v/>
      </c>
      <c r="O986" s="25">
        <f>IF($G986="","",ROUND(N($K986)*N($L986),2))</f>
        <v/>
      </c>
      <c r="P986" s="26">
        <f>IF($G986="","",ROUND($O986*$N986,0))</f>
        <v/>
      </c>
      <c r="Q986" s="26">
        <f>IF($G986="","",SUMIFS($P$4:$P$2503,$E$4:$E$2503,$E986,$Z$4:$Z$2503,"正常"))</f>
        <v/>
      </c>
      <c r="R986" s="26">
        <f>IF($G986="","",SUMIFS(费用台账!$I$4:$I$503,费用台账!$C$4:$C$503,$E986,费用台账!$J$4:$J$503,"是",费用台账!$K$4:$K$503,"正常"))</f>
        <v/>
      </c>
      <c r="S986" s="28">
        <f>IF($G986="","",COUNTIFS($E$4:$E$2503,$E986,$Z$4:$Z$2503,"正常",$Y$4:$Y$2503,"待补价"))</f>
        <v/>
      </c>
      <c r="T986" s="26">
        <f>IF($G986="","",SUMIFS($P$4:$P$2503,$E$4:$E$2503,$E986,$Z$4:$Z$2503,"正常",$A$4:$A$2503,"&lt;="&amp;$A986))</f>
        <v/>
      </c>
      <c r="U986" s="26">
        <f>IF($G986="","",IF(OR($S986&gt;0,$Q986=0,$R986=0,$Z986&lt;&gt;"正常"),0,ROUND($T986/$Q986*$R986,0)-ROUND(($T986-$P986)/$Q986*$R986,0)))</f>
        <v/>
      </c>
      <c r="V986" s="26">
        <f>IF($G986="","",ROUND($P986+$U986,0))</f>
        <v/>
      </c>
      <c r="W986" s="26">
        <f>IF($G986="","",IF(N($K986)=0,0,ROUND($V986/$K986,2)))</f>
        <v/>
      </c>
      <c r="X986" s="17" t="n"/>
      <c r="Y986" s="17" t="n"/>
      <c r="Z986" s="17" t="n"/>
      <c r="AA986" s="17" t="n"/>
      <c r="AB986" s="17" t="n"/>
      <c r="AC986" s="24">
        <f>IF($G986="","",IF($H986="※编码不在物料档案里","※物料编码不在档案里",IF(N($K986)&lt;=0,"※入库数量要大于 0",IF(AND($C986&lt;&gt;"",$C986&lt;=结账锁),"※日期早于已结账截止日，不能再录",IF(AND($L986=0,$X986="正常"),"※没填单价，价格状态请选「待补价」",IF(AND($S986&gt;0,$R986&gt;0),"△本批有 "&amp;$S986&amp;" 行没单价，整批运费先挂账没摊",IF(AND($B986&lt;&gt;"",COUNTIF($B$4:$B$2503,$B986)&gt;1),"※入库单号重复","")))))))</f>
        <v/>
      </c>
    </row>
    <row r="987">
      <c r="A987" s="24">
        <f>IF($G987="","",COUNTA($G$4:$G987))</f>
        <v/>
      </c>
      <c r="B987" s="17" t="n"/>
      <c r="C987" s="30" t="n"/>
      <c r="D987" s="17" t="n"/>
      <c r="E987" s="17" t="n"/>
      <c r="F987" s="17" t="n"/>
      <c r="G987" s="17" t="n"/>
      <c r="H987" s="24">
        <f>IF($G987="","",IFERROR(VLOOKUP($G987,物料档案!$A$4:$P$1203,3,0),"※编码不在物料档案里"))</f>
        <v/>
      </c>
      <c r="I987" s="24">
        <f>IF($G987="","",IFERROR(VLOOKUP($G987,物料档案!$A$4:$P$1203,4,0),"※编码不在物料档案里"))</f>
        <v/>
      </c>
      <c r="J987" s="24">
        <f>IF($G987="","",IFERROR(VLOOKUP($G987,物料档案!$A$4:$P$1203,5,0),"※编码不在物料档案里"))</f>
        <v/>
      </c>
      <c r="K987" s="23" t="n"/>
      <c r="L987" s="31" t="n"/>
      <c r="M987" s="24">
        <f>IF($G987="","",IF($D987="A国内","CNY","TZS"))</f>
        <v/>
      </c>
      <c r="N987" s="28">
        <f>IF($G987="","",IF($D987="A国内",汇率,1))</f>
        <v/>
      </c>
      <c r="O987" s="25">
        <f>IF($G987="","",ROUND(N($K987)*N($L987),2))</f>
        <v/>
      </c>
      <c r="P987" s="26">
        <f>IF($G987="","",ROUND($O987*$N987,0))</f>
        <v/>
      </c>
      <c r="Q987" s="26">
        <f>IF($G987="","",SUMIFS($P$4:$P$2503,$E$4:$E$2503,$E987,$Z$4:$Z$2503,"正常"))</f>
        <v/>
      </c>
      <c r="R987" s="26">
        <f>IF($G987="","",SUMIFS(费用台账!$I$4:$I$503,费用台账!$C$4:$C$503,$E987,费用台账!$J$4:$J$503,"是",费用台账!$K$4:$K$503,"正常"))</f>
        <v/>
      </c>
      <c r="S987" s="28">
        <f>IF($G987="","",COUNTIFS($E$4:$E$2503,$E987,$Z$4:$Z$2503,"正常",$Y$4:$Y$2503,"待补价"))</f>
        <v/>
      </c>
      <c r="T987" s="26">
        <f>IF($G987="","",SUMIFS($P$4:$P$2503,$E$4:$E$2503,$E987,$Z$4:$Z$2503,"正常",$A$4:$A$2503,"&lt;="&amp;$A987))</f>
        <v/>
      </c>
      <c r="U987" s="26">
        <f>IF($G987="","",IF(OR($S987&gt;0,$Q987=0,$R987=0,$Z987&lt;&gt;"正常"),0,ROUND($T987/$Q987*$R987,0)-ROUND(($T987-$P987)/$Q987*$R987,0)))</f>
        <v/>
      </c>
      <c r="V987" s="26">
        <f>IF($G987="","",ROUND($P987+$U987,0))</f>
        <v/>
      </c>
      <c r="W987" s="26">
        <f>IF($G987="","",IF(N($K987)=0,0,ROUND($V987/$K987,2)))</f>
        <v/>
      </c>
      <c r="X987" s="17" t="n"/>
      <c r="Y987" s="17" t="n"/>
      <c r="Z987" s="17" t="n"/>
      <c r="AA987" s="17" t="n"/>
      <c r="AB987" s="17" t="n"/>
      <c r="AC987" s="24">
        <f>IF($G987="","",IF($H987="※编码不在物料档案里","※物料编码不在档案里",IF(N($K987)&lt;=0,"※入库数量要大于 0",IF(AND($C987&lt;&gt;"",$C987&lt;=结账锁),"※日期早于已结账截止日，不能再录",IF(AND($L987=0,$X987="正常"),"※没填单价，价格状态请选「待补价」",IF(AND($S987&gt;0,$R987&gt;0),"△本批有 "&amp;$S987&amp;" 行没单价，整批运费先挂账没摊",IF(AND($B987&lt;&gt;"",COUNTIF($B$4:$B$2503,$B987)&gt;1),"※入库单号重复","")))))))</f>
        <v/>
      </c>
    </row>
    <row r="988">
      <c r="A988" s="24">
        <f>IF($G988="","",COUNTA($G$4:$G988))</f>
        <v/>
      </c>
      <c r="B988" s="17" t="n"/>
      <c r="C988" s="30" t="n"/>
      <c r="D988" s="17" t="n"/>
      <c r="E988" s="17" t="n"/>
      <c r="F988" s="17" t="n"/>
      <c r="G988" s="17" t="n"/>
      <c r="H988" s="24">
        <f>IF($G988="","",IFERROR(VLOOKUP($G988,物料档案!$A$4:$P$1203,3,0),"※编码不在物料档案里"))</f>
        <v/>
      </c>
      <c r="I988" s="24">
        <f>IF($G988="","",IFERROR(VLOOKUP($G988,物料档案!$A$4:$P$1203,4,0),"※编码不在物料档案里"))</f>
        <v/>
      </c>
      <c r="J988" s="24">
        <f>IF($G988="","",IFERROR(VLOOKUP($G988,物料档案!$A$4:$P$1203,5,0),"※编码不在物料档案里"))</f>
        <v/>
      </c>
      <c r="K988" s="23" t="n"/>
      <c r="L988" s="31" t="n"/>
      <c r="M988" s="24">
        <f>IF($G988="","",IF($D988="A国内","CNY","TZS"))</f>
        <v/>
      </c>
      <c r="N988" s="28">
        <f>IF($G988="","",IF($D988="A国内",汇率,1))</f>
        <v/>
      </c>
      <c r="O988" s="25">
        <f>IF($G988="","",ROUND(N($K988)*N($L988),2))</f>
        <v/>
      </c>
      <c r="P988" s="26">
        <f>IF($G988="","",ROUND($O988*$N988,0))</f>
        <v/>
      </c>
      <c r="Q988" s="26">
        <f>IF($G988="","",SUMIFS($P$4:$P$2503,$E$4:$E$2503,$E988,$Z$4:$Z$2503,"正常"))</f>
        <v/>
      </c>
      <c r="R988" s="26">
        <f>IF($G988="","",SUMIFS(费用台账!$I$4:$I$503,费用台账!$C$4:$C$503,$E988,费用台账!$J$4:$J$503,"是",费用台账!$K$4:$K$503,"正常"))</f>
        <v/>
      </c>
      <c r="S988" s="28">
        <f>IF($G988="","",COUNTIFS($E$4:$E$2503,$E988,$Z$4:$Z$2503,"正常",$Y$4:$Y$2503,"待补价"))</f>
        <v/>
      </c>
      <c r="T988" s="26">
        <f>IF($G988="","",SUMIFS($P$4:$P$2503,$E$4:$E$2503,$E988,$Z$4:$Z$2503,"正常",$A$4:$A$2503,"&lt;="&amp;$A988))</f>
        <v/>
      </c>
      <c r="U988" s="26">
        <f>IF($G988="","",IF(OR($S988&gt;0,$Q988=0,$R988=0,$Z988&lt;&gt;"正常"),0,ROUND($T988/$Q988*$R988,0)-ROUND(($T988-$P988)/$Q988*$R988,0)))</f>
        <v/>
      </c>
      <c r="V988" s="26">
        <f>IF($G988="","",ROUND($P988+$U988,0))</f>
        <v/>
      </c>
      <c r="W988" s="26">
        <f>IF($G988="","",IF(N($K988)=0,0,ROUND($V988/$K988,2)))</f>
        <v/>
      </c>
      <c r="X988" s="17" t="n"/>
      <c r="Y988" s="17" t="n"/>
      <c r="Z988" s="17" t="n"/>
      <c r="AA988" s="17" t="n"/>
      <c r="AB988" s="17" t="n"/>
      <c r="AC988" s="24">
        <f>IF($G988="","",IF($H988="※编码不在物料档案里","※物料编码不在档案里",IF(N($K988)&lt;=0,"※入库数量要大于 0",IF(AND($C988&lt;&gt;"",$C988&lt;=结账锁),"※日期早于已结账截止日，不能再录",IF(AND($L988=0,$X988="正常"),"※没填单价，价格状态请选「待补价」",IF(AND($S988&gt;0,$R988&gt;0),"△本批有 "&amp;$S988&amp;" 行没单价，整批运费先挂账没摊",IF(AND($B988&lt;&gt;"",COUNTIF($B$4:$B$2503,$B988)&gt;1),"※入库单号重复","")))))))</f>
        <v/>
      </c>
    </row>
    <row r="989">
      <c r="A989" s="24">
        <f>IF($G989="","",COUNTA($G$4:$G989))</f>
        <v/>
      </c>
      <c r="B989" s="17" t="n"/>
      <c r="C989" s="30" t="n"/>
      <c r="D989" s="17" t="n"/>
      <c r="E989" s="17" t="n"/>
      <c r="F989" s="17" t="n"/>
      <c r="G989" s="17" t="n"/>
      <c r="H989" s="24">
        <f>IF($G989="","",IFERROR(VLOOKUP($G989,物料档案!$A$4:$P$1203,3,0),"※编码不在物料档案里"))</f>
        <v/>
      </c>
      <c r="I989" s="24">
        <f>IF($G989="","",IFERROR(VLOOKUP($G989,物料档案!$A$4:$P$1203,4,0),"※编码不在物料档案里"))</f>
        <v/>
      </c>
      <c r="J989" s="24">
        <f>IF($G989="","",IFERROR(VLOOKUP($G989,物料档案!$A$4:$P$1203,5,0),"※编码不在物料档案里"))</f>
        <v/>
      </c>
      <c r="K989" s="23" t="n"/>
      <c r="L989" s="31" t="n"/>
      <c r="M989" s="24">
        <f>IF($G989="","",IF($D989="A国内","CNY","TZS"))</f>
        <v/>
      </c>
      <c r="N989" s="28">
        <f>IF($G989="","",IF($D989="A国内",汇率,1))</f>
        <v/>
      </c>
      <c r="O989" s="25">
        <f>IF($G989="","",ROUND(N($K989)*N($L989),2))</f>
        <v/>
      </c>
      <c r="P989" s="26">
        <f>IF($G989="","",ROUND($O989*$N989,0))</f>
        <v/>
      </c>
      <c r="Q989" s="26">
        <f>IF($G989="","",SUMIFS($P$4:$P$2503,$E$4:$E$2503,$E989,$Z$4:$Z$2503,"正常"))</f>
        <v/>
      </c>
      <c r="R989" s="26">
        <f>IF($G989="","",SUMIFS(费用台账!$I$4:$I$503,费用台账!$C$4:$C$503,$E989,费用台账!$J$4:$J$503,"是",费用台账!$K$4:$K$503,"正常"))</f>
        <v/>
      </c>
      <c r="S989" s="28">
        <f>IF($G989="","",COUNTIFS($E$4:$E$2503,$E989,$Z$4:$Z$2503,"正常",$Y$4:$Y$2503,"待补价"))</f>
        <v/>
      </c>
      <c r="T989" s="26">
        <f>IF($G989="","",SUMIFS($P$4:$P$2503,$E$4:$E$2503,$E989,$Z$4:$Z$2503,"正常",$A$4:$A$2503,"&lt;="&amp;$A989))</f>
        <v/>
      </c>
      <c r="U989" s="26">
        <f>IF($G989="","",IF(OR($S989&gt;0,$Q989=0,$R989=0,$Z989&lt;&gt;"正常"),0,ROUND($T989/$Q989*$R989,0)-ROUND(($T989-$P989)/$Q989*$R989,0)))</f>
        <v/>
      </c>
      <c r="V989" s="26">
        <f>IF($G989="","",ROUND($P989+$U989,0))</f>
        <v/>
      </c>
      <c r="W989" s="26">
        <f>IF($G989="","",IF(N($K989)=0,0,ROUND($V989/$K989,2)))</f>
        <v/>
      </c>
      <c r="X989" s="17" t="n"/>
      <c r="Y989" s="17" t="n"/>
      <c r="Z989" s="17" t="n"/>
      <c r="AA989" s="17" t="n"/>
      <c r="AB989" s="17" t="n"/>
      <c r="AC989" s="24">
        <f>IF($G989="","",IF($H989="※编码不在物料档案里","※物料编码不在档案里",IF(N($K989)&lt;=0,"※入库数量要大于 0",IF(AND($C989&lt;&gt;"",$C989&lt;=结账锁),"※日期早于已结账截止日，不能再录",IF(AND($L989=0,$X989="正常"),"※没填单价，价格状态请选「待补价」",IF(AND($S989&gt;0,$R989&gt;0),"△本批有 "&amp;$S989&amp;" 行没单价，整批运费先挂账没摊",IF(AND($B989&lt;&gt;"",COUNTIF($B$4:$B$2503,$B989)&gt;1),"※入库单号重复","")))))))</f>
        <v/>
      </c>
    </row>
    <row r="990">
      <c r="A990" s="24">
        <f>IF($G990="","",COUNTA($G$4:$G990))</f>
        <v/>
      </c>
      <c r="B990" s="17" t="n"/>
      <c r="C990" s="30" t="n"/>
      <c r="D990" s="17" t="n"/>
      <c r="E990" s="17" t="n"/>
      <c r="F990" s="17" t="n"/>
      <c r="G990" s="17" t="n"/>
      <c r="H990" s="24">
        <f>IF($G990="","",IFERROR(VLOOKUP($G990,物料档案!$A$4:$P$1203,3,0),"※编码不在物料档案里"))</f>
        <v/>
      </c>
      <c r="I990" s="24">
        <f>IF($G990="","",IFERROR(VLOOKUP($G990,物料档案!$A$4:$P$1203,4,0),"※编码不在物料档案里"))</f>
        <v/>
      </c>
      <c r="J990" s="24">
        <f>IF($G990="","",IFERROR(VLOOKUP($G990,物料档案!$A$4:$P$1203,5,0),"※编码不在物料档案里"))</f>
        <v/>
      </c>
      <c r="K990" s="23" t="n"/>
      <c r="L990" s="31" t="n"/>
      <c r="M990" s="24">
        <f>IF($G990="","",IF($D990="A国内","CNY","TZS"))</f>
        <v/>
      </c>
      <c r="N990" s="28">
        <f>IF($G990="","",IF($D990="A国内",汇率,1))</f>
        <v/>
      </c>
      <c r="O990" s="25">
        <f>IF($G990="","",ROUND(N($K990)*N($L990),2))</f>
        <v/>
      </c>
      <c r="P990" s="26">
        <f>IF($G990="","",ROUND($O990*$N990,0))</f>
        <v/>
      </c>
      <c r="Q990" s="26">
        <f>IF($G990="","",SUMIFS($P$4:$P$2503,$E$4:$E$2503,$E990,$Z$4:$Z$2503,"正常"))</f>
        <v/>
      </c>
      <c r="R990" s="26">
        <f>IF($G990="","",SUMIFS(费用台账!$I$4:$I$503,费用台账!$C$4:$C$503,$E990,费用台账!$J$4:$J$503,"是",费用台账!$K$4:$K$503,"正常"))</f>
        <v/>
      </c>
      <c r="S990" s="28">
        <f>IF($G990="","",COUNTIFS($E$4:$E$2503,$E990,$Z$4:$Z$2503,"正常",$Y$4:$Y$2503,"待补价"))</f>
        <v/>
      </c>
      <c r="T990" s="26">
        <f>IF($G990="","",SUMIFS($P$4:$P$2503,$E$4:$E$2503,$E990,$Z$4:$Z$2503,"正常",$A$4:$A$2503,"&lt;="&amp;$A990))</f>
        <v/>
      </c>
      <c r="U990" s="26">
        <f>IF($G990="","",IF(OR($S990&gt;0,$Q990=0,$R990=0,$Z990&lt;&gt;"正常"),0,ROUND($T990/$Q990*$R990,0)-ROUND(($T990-$P990)/$Q990*$R990,0)))</f>
        <v/>
      </c>
      <c r="V990" s="26">
        <f>IF($G990="","",ROUND($P990+$U990,0))</f>
        <v/>
      </c>
      <c r="W990" s="26">
        <f>IF($G990="","",IF(N($K990)=0,0,ROUND($V990/$K990,2)))</f>
        <v/>
      </c>
      <c r="X990" s="17" t="n"/>
      <c r="Y990" s="17" t="n"/>
      <c r="Z990" s="17" t="n"/>
      <c r="AA990" s="17" t="n"/>
      <c r="AB990" s="17" t="n"/>
      <c r="AC990" s="24">
        <f>IF($G990="","",IF($H990="※编码不在物料档案里","※物料编码不在档案里",IF(N($K990)&lt;=0,"※入库数量要大于 0",IF(AND($C990&lt;&gt;"",$C990&lt;=结账锁),"※日期早于已结账截止日，不能再录",IF(AND($L990=0,$X990="正常"),"※没填单价，价格状态请选「待补价」",IF(AND($S990&gt;0,$R990&gt;0),"△本批有 "&amp;$S990&amp;" 行没单价，整批运费先挂账没摊",IF(AND($B990&lt;&gt;"",COUNTIF($B$4:$B$2503,$B990)&gt;1),"※入库单号重复","")))))))</f>
        <v/>
      </c>
    </row>
    <row r="991">
      <c r="A991" s="24">
        <f>IF($G991="","",COUNTA($G$4:$G991))</f>
        <v/>
      </c>
      <c r="B991" s="17" t="n"/>
      <c r="C991" s="30" t="n"/>
      <c r="D991" s="17" t="n"/>
      <c r="E991" s="17" t="n"/>
      <c r="F991" s="17" t="n"/>
      <c r="G991" s="17" t="n"/>
      <c r="H991" s="24">
        <f>IF($G991="","",IFERROR(VLOOKUP($G991,物料档案!$A$4:$P$1203,3,0),"※编码不在物料档案里"))</f>
        <v/>
      </c>
      <c r="I991" s="24">
        <f>IF($G991="","",IFERROR(VLOOKUP($G991,物料档案!$A$4:$P$1203,4,0),"※编码不在物料档案里"))</f>
        <v/>
      </c>
      <c r="J991" s="24">
        <f>IF($G991="","",IFERROR(VLOOKUP($G991,物料档案!$A$4:$P$1203,5,0),"※编码不在物料档案里"))</f>
        <v/>
      </c>
      <c r="K991" s="23" t="n"/>
      <c r="L991" s="31" t="n"/>
      <c r="M991" s="24">
        <f>IF($G991="","",IF($D991="A国内","CNY","TZS"))</f>
        <v/>
      </c>
      <c r="N991" s="28">
        <f>IF($G991="","",IF($D991="A国内",汇率,1))</f>
        <v/>
      </c>
      <c r="O991" s="25">
        <f>IF($G991="","",ROUND(N($K991)*N($L991),2))</f>
        <v/>
      </c>
      <c r="P991" s="26">
        <f>IF($G991="","",ROUND($O991*$N991,0))</f>
        <v/>
      </c>
      <c r="Q991" s="26">
        <f>IF($G991="","",SUMIFS($P$4:$P$2503,$E$4:$E$2503,$E991,$Z$4:$Z$2503,"正常"))</f>
        <v/>
      </c>
      <c r="R991" s="26">
        <f>IF($G991="","",SUMIFS(费用台账!$I$4:$I$503,费用台账!$C$4:$C$503,$E991,费用台账!$J$4:$J$503,"是",费用台账!$K$4:$K$503,"正常"))</f>
        <v/>
      </c>
      <c r="S991" s="28">
        <f>IF($G991="","",COUNTIFS($E$4:$E$2503,$E991,$Z$4:$Z$2503,"正常",$Y$4:$Y$2503,"待补价"))</f>
        <v/>
      </c>
      <c r="T991" s="26">
        <f>IF($G991="","",SUMIFS($P$4:$P$2503,$E$4:$E$2503,$E991,$Z$4:$Z$2503,"正常",$A$4:$A$2503,"&lt;="&amp;$A991))</f>
        <v/>
      </c>
      <c r="U991" s="26">
        <f>IF($G991="","",IF(OR($S991&gt;0,$Q991=0,$R991=0,$Z991&lt;&gt;"正常"),0,ROUND($T991/$Q991*$R991,0)-ROUND(($T991-$P991)/$Q991*$R991,0)))</f>
        <v/>
      </c>
      <c r="V991" s="26">
        <f>IF($G991="","",ROUND($P991+$U991,0))</f>
        <v/>
      </c>
      <c r="W991" s="26">
        <f>IF($G991="","",IF(N($K991)=0,0,ROUND($V991/$K991,2)))</f>
        <v/>
      </c>
      <c r="X991" s="17" t="n"/>
      <c r="Y991" s="17" t="n"/>
      <c r="Z991" s="17" t="n"/>
      <c r="AA991" s="17" t="n"/>
      <c r="AB991" s="17" t="n"/>
      <c r="AC991" s="24">
        <f>IF($G991="","",IF($H991="※编码不在物料档案里","※物料编码不在档案里",IF(N($K991)&lt;=0,"※入库数量要大于 0",IF(AND($C991&lt;&gt;"",$C991&lt;=结账锁),"※日期早于已结账截止日，不能再录",IF(AND($L991=0,$X991="正常"),"※没填单价，价格状态请选「待补价」",IF(AND($S991&gt;0,$R991&gt;0),"△本批有 "&amp;$S991&amp;" 行没单价，整批运费先挂账没摊",IF(AND($B991&lt;&gt;"",COUNTIF($B$4:$B$2503,$B991)&gt;1),"※入库单号重复","")))))))</f>
        <v/>
      </c>
    </row>
    <row r="992">
      <c r="A992" s="24">
        <f>IF($G992="","",COUNTA($G$4:$G992))</f>
        <v/>
      </c>
      <c r="B992" s="17" t="n"/>
      <c r="C992" s="30" t="n"/>
      <c r="D992" s="17" t="n"/>
      <c r="E992" s="17" t="n"/>
      <c r="F992" s="17" t="n"/>
      <c r="G992" s="17" t="n"/>
      <c r="H992" s="24">
        <f>IF($G992="","",IFERROR(VLOOKUP($G992,物料档案!$A$4:$P$1203,3,0),"※编码不在物料档案里"))</f>
        <v/>
      </c>
      <c r="I992" s="24">
        <f>IF($G992="","",IFERROR(VLOOKUP($G992,物料档案!$A$4:$P$1203,4,0),"※编码不在物料档案里"))</f>
        <v/>
      </c>
      <c r="J992" s="24">
        <f>IF($G992="","",IFERROR(VLOOKUP($G992,物料档案!$A$4:$P$1203,5,0),"※编码不在物料档案里"))</f>
        <v/>
      </c>
      <c r="K992" s="23" t="n"/>
      <c r="L992" s="31" t="n"/>
      <c r="M992" s="24">
        <f>IF($G992="","",IF($D992="A国内","CNY","TZS"))</f>
        <v/>
      </c>
      <c r="N992" s="28">
        <f>IF($G992="","",IF($D992="A国内",汇率,1))</f>
        <v/>
      </c>
      <c r="O992" s="25">
        <f>IF($G992="","",ROUND(N($K992)*N($L992),2))</f>
        <v/>
      </c>
      <c r="P992" s="26">
        <f>IF($G992="","",ROUND($O992*$N992,0))</f>
        <v/>
      </c>
      <c r="Q992" s="26">
        <f>IF($G992="","",SUMIFS($P$4:$P$2503,$E$4:$E$2503,$E992,$Z$4:$Z$2503,"正常"))</f>
        <v/>
      </c>
      <c r="R992" s="26">
        <f>IF($G992="","",SUMIFS(费用台账!$I$4:$I$503,费用台账!$C$4:$C$503,$E992,费用台账!$J$4:$J$503,"是",费用台账!$K$4:$K$503,"正常"))</f>
        <v/>
      </c>
      <c r="S992" s="28">
        <f>IF($G992="","",COUNTIFS($E$4:$E$2503,$E992,$Z$4:$Z$2503,"正常",$Y$4:$Y$2503,"待补价"))</f>
        <v/>
      </c>
      <c r="T992" s="26">
        <f>IF($G992="","",SUMIFS($P$4:$P$2503,$E$4:$E$2503,$E992,$Z$4:$Z$2503,"正常",$A$4:$A$2503,"&lt;="&amp;$A992))</f>
        <v/>
      </c>
      <c r="U992" s="26">
        <f>IF($G992="","",IF(OR($S992&gt;0,$Q992=0,$R992=0,$Z992&lt;&gt;"正常"),0,ROUND($T992/$Q992*$R992,0)-ROUND(($T992-$P992)/$Q992*$R992,0)))</f>
        <v/>
      </c>
      <c r="V992" s="26">
        <f>IF($G992="","",ROUND($P992+$U992,0))</f>
        <v/>
      </c>
      <c r="W992" s="26">
        <f>IF($G992="","",IF(N($K992)=0,0,ROUND($V992/$K992,2)))</f>
        <v/>
      </c>
      <c r="X992" s="17" t="n"/>
      <c r="Y992" s="17" t="n"/>
      <c r="Z992" s="17" t="n"/>
      <c r="AA992" s="17" t="n"/>
      <c r="AB992" s="17" t="n"/>
      <c r="AC992" s="24">
        <f>IF($G992="","",IF($H992="※编码不在物料档案里","※物料编码不在档案里",IF(N($K992)&lt;=0,"※入库数量要大于 0",IF(AND($C992&lt;&gt;"",$C992&lt;=结账锁),"※日期早于已结账截止日，不能再录",IF(AND($L992=0,$X992="正常"),"※没填单价，价格状态请选「待补价」",IF(AND($S992&gt;0,$R992&gt;0),"△本批有 "&amp;$S992&amp;" 行没单价，整批运费先挂账没摊",IF(AND($B992&lt;&gt;"",COUNTIF($B$4:$B$2503,$B992)&gt;1),"※入库单号重复","")))))))</f>
        <v/>
      </c>
    </row>
    <row r="993">
      <c r="A993" s="24">
        <f>IF($G993="","",COUNTA($G$4:$G993))</f>
        <v/>
      </c>
      <c r="B993" s="17" t="n"/>
      <c r="C993" s="30" t="n"/>
      <c r="D993" s="17" t="n"/>
      <c r="E993" s="17" t="n"/>
      <c r="F993" s="17" t="n"/>
      <c r="G993" s="17" t="n"/>
      <c r="H993" s="24">
        <f>IF($G993="","",IFERROR(VLOOKUP($G993,物料档案!$A$4:$P$1203,3,0),"※编码不在物料档案里"))</f>
        <v/>
      </c>
      <c r="I993" s="24">
        <f>IF($G993="","",IFERROR(VLOOKUP($G993,物料档案!$A$4:$P$1203,4,0),"※编码不在物料档案里"))</f>
        <v/>
      </c>
      <c r="J993" s="24">
        <f>IF($G993="","",IFERROR(VLOOKUP($G993,物料档案!$A$4:$P$1203,5,0),"※编码不在物料档案里"))</f>
        <v/>
      </c>
      <c r="K993" s="23" t="n"/>
      <c r="L993" s="31" t="n"/>
      <c r="M993" s="24">
        <f>IF($G993="","",IF($D993="A国内","CNY","TZS"))</f>
        <v/>
      </c>
      <c r="N993" s="28">
        <f>IF($G993="","",IF($D993="A国内",汇率,1))</f>
        <v/>
      </c>
      <c r="O993" s="25">
        <f>IF($G993="","",ROUND(N($K993)*N($L993),2))</f>
        <v/>
      </c>
      <c r="P993" s="26">
        <f>IF($G993="","",ROUND($O993*$N993,0))</f>
        <v/>
      </c>
      <c r="Q993" s="26">
        <f>IF($G993="","",SUMIFS($P$4:$P$2503,$E$4:$E$2503,$E993,$Z$4:$Z$2503,"正常"))</f>
        <v/>
      </c>
      <c r="R993" s="26">
        <f>IF($G993="","",SUMIFS(费用台账!$I$4:$I$503,费用台账!$C$4:$C$503,$E993,费用台账!$J$4:$J$503,"是",费用台账!$K$4:$K$503,"正常"))</f>
        <v/>
      </c>
      <c r="S993" s="28">
        <f>IF($G993="","",COUNTIFS($E$4:$E$2503,$E993,$Z$4:$Z$2503,"正常",$Y$4:$Y$2503,"待补价"))</f>
        <v/>
      </c>
      <c r="T993" s="26">
        <f>IF($G993="","",SUMIFS($P$4:$P$2503,$E$4:$E$2503,$E993,$Z$4:$Z$2503,"正常",$A$4:$A$2503,"&lt;="&amp;$A993))</f>
        <v/>
      </c>
      <c r="U993" s="26">
        <f>IF($G993="","",IF(OR($S993&gt;0,$Q993=0,$R993=0,$Z993&lt;&gt;"正常"),0,ROUND($T993/$Q993*$R993,0)-ROUND(($T993-$P993)/$Q993*$R993,0)))</f>
        <v/>
      </c>
      <c r="V993" s="26">
        <f>IF($G993="","",ROUND($P993+$U993,0))</f>
        <v/>
      </c>
      <c r="W993" s="26">
        <f>IF($G993="","",IF(N($K993)=0,0,ROUND($V993/$K993,2)))</f>
        <v/>
      </c>
      <c r="X993" s="17" t="n"/>
      <c r="Y993" s="17" t="n"/>
      <c r="Z993" s="17" t="n"/>
      <c r="AA993" s="17" t="n"/>
      <c r="AB993" s="17" t="n"/>
      <c r="AC993" s="24">
        <f>IF($G993="","",IF($H993="※编码不在物料档案里","※物料编码不在档案里",IF(N($K993)&lt;=0,"※入库数量要大于 0",IF(AND($C993&lt;&gt;"",$C993&lt;=结账锁),"※日期早于已结账截止日，不能再录",IF(AND($L993=0,$X993="正常"),"※没填单价，价格状态请选「待补价」",IF(AND($S993&gt;0,$R993&gt;0),"△本批有 "&amp;$S993&amp;" 行没单价，整批运费先挂账没摊",IF(AND($B993&lt;&gt;"",COUNTIF($B$4:$B$2503,$B993)&gt;1),"※入库单号重复","")))))))</f>
        <v/>
      </c>
    </row>
    <row r="994">
      <c r="A994" s="24">
        <f>IF($G994="","",COUNTA($G$4:$G994))</f>
        <v/>
      </c>
      <c r="B994" s="17" t="n"/>
      <c r="C994" s="30" t="n"/>
      <c r="D994" s="17" t="n"/>
      <c r="E994" s="17" t="n"/>
      <c r="F994" s="17" t="n"/>
      <c r="G994" s="17" t="n"/>
      <c r="H994" s="24">
        <f>IF($G994="","",IFERROR(VLOOKUP($G994,物料档案!$A$4:$P$1203,3,0),"※编码不在物料档案里"))</f>
        <v/>
      </c>
      <c r="I994" s="24">
        <f>IF($G994="","",IFERROR(VLOOKUP($G994,物料档案!$A$4:$P$1203,4,0),"※编码不在物料档案里"))</f>
        <v/>
      </c>
      <c r="J994" s="24">
        <f>IF($G994="","",IFERROR(VLOOKUP($G994,物料档案!$A$4:$P$1203,5,0),"※编码不在物料档案里"))</f>
        <v/>
      </c>
      <c r="K994" s="23" t="n"/>
      <c r="L994" s="31" t="n"/>
      <c r="M994" s="24">
        <f>IF($G994="","",IF($D994="A国内","CNY","TZS"))</f>
        <v/>
      </c>
      <c r="N994" s="28">
        <f>IF($G994="","",IF($D994="A国内",汇率,1))</f>
        <v/>
      </c>
      <c r="O994" s="25">
        <f>IF($G994="","",ROUND(N($K994)*N($L994),2))</f>
        <v/>
      </c>
      <c r="P994" s="26">
        <f>IF($G994="","",ROUND($O994*$N994,0))</f>
        <v/>
      </c>
      <c r="Q994" s="26">
        <f>IF($G994="","",SUMIFS($P$4:$P$2503,$E$4:$E$2503,$E994,$Z$4:$Z$2503,"正常"))</f>
        <v/>
      </c>
      <c r="R994" s="26">
        <f>IF($G994="","",SUMIFS(费用台账!$I$4:$I$503,费用台账!$C$4:$C$503,$E994,费用台账!$J$4:$J$503,"是",费用台账!$K$4:$K$503,"正常"))</f>
        <v/>
      </c>
      <c r="S994" s="28">
        <f>IF($G994="","",COUNTIFS($E$4:$E$2503,$E994,$Z$4:$Z$2503,"正常",$Y$4:$Y$2503,"待补价"))</f>
        <v/>
      </c>
      <c r="T994" s="26">
        <f>IF($G994="","",SUMIFS($P$4:$P$2503,$E$4:$E$2503,$E994,$Z$4:$Z$2503,"正常",$A$4:$A$2503,"&lt;="&amp;$A994))</f>
        <v/>
      </c>
      <c r="U994" s="26">
        <f>IF($G994="","",IF(OR($S994&gt;0,$Q994=0,$R994=0,$Z994&lt;&gt;"正常"),0,ROUND($T994/$Q994*$R994,0)-ROUND(($T994-$P994)/$Q994*$R994,0)))</f>
        <v/>
      </c>
      <c r="V994" s="26">
        <f>IF($G994="","",ROUND($P994+$U994,0))</f>
        <v/>
      </c>
      <c r="W994" s="26">
        <f>IF($G994="","",IF(N($K994)=0,0,ROUND($V994/$K994,2)))</f>
        <v/>
      </c>
      <c r="X994" s="17" t="n"/>
      <c r="Y994" s="17" t="n"/>
      <c r="Z994" s="17" t="n"/>
      <c r="AA994" s="17" t="n"/>
      <c r="AB994" s="17" t="n"/>
      <c r="AC994" s="24">
        <f>IF($G994="","",IF($H994="※编码不在物料档案里","※物料编码不在档案里",IF(N($K994)&lt;=0,"※入库数量要大于 0",IF(AND($C994&lt;&gt;"",$C994&lt;=结账锁),"※日期早于已结账截止日，不能再录",IF(AND($L994=0,$X994="正常"),"※没填单价，价格状态请选「待补价」",IF(AND($S994&gt;0,$R994&gt;0),"△本批有 "&amp;$S994&amp;" 行没单价，整批运费先挂账没摊",IF(AND($B994&lt;&gt;"",COUNTIF($B$4:$B$2503,$B994)&gt;1),"※入库单号重复","")))))))</f>
        <v/>
      </c>
    </row>
    <row r="995">
      <c r="A995" s="24">
        <f>IF($G995="","",COUNTA($G$4:$G995))</f>
        <v/>
      </c>
      <c r="B995" s="17" t="n"/>
      <c r="C995" s="30" t="n"/>
      <c r="D995" s="17" t="n"/>
      <c r="E995" s="17" t="n"/>
      <c r="F995" s="17" t="n"/>
      <c r="G995" s="17" t="n"/>
      <c r="H995" s="24">
        <f>IF($G995="","",IFERROR(VLOOKUP($G995,物料档案!$A$4:$P$1203,3,0),"※编码不在物料档案里"))</f>
        <v/>
      </c>
      <c r="I995" s="24">
        <f>IF($G995="","",IFERROR(VLOOKUP($G995,物料档案!$A$4:$P$1203,4,0),"※编码不在物料档案里"))</f>
        <v/>
      </c>
      <c r="J995" s="24">
        <f>IF($G995="","",IFERROR(VLOOKUP($G995,物料档案!$A$4:$P$1203,5,0),"※编码不在物料档案里"))</f>
        <v/>
      </c>
      <c r="K995" s="23" t="n"/>
      <c r="L995" s="31" t="n"/>
      <c r="M995" s="24">
        <f>IF($G995="","",IF($D995="A国内","CNY","TZS"))</f>
        <v/>
      </c>
      <c r="N995" s="28">
        <f>IF($G995="","",IF($D995="A国内",汇率,1))</f>
        <v/>
      </c>
      <c r="O995" s="25">
        <f>IF($G995="","",ROUND(N($K995)*N($L995),2))</f>
        <v/>
      </c>
      <c r="P995" s="26">
        <f>IF($G995="","",ROUND($O995*$N995,0))</f>
        <v/>
      </c>
      <c r="Q995" s="26">
        <f>IF($G995="","",SUMIFS($P$4:$P$2503,$E$4:$E$2503,$E995,$Z$4:$Z$2503,"正常"))</f>
        <v/>
      </c>
      <c r="R995" s="26">
        <f>IF($G995="","",SUMIFS(费用台账!$I$4:$I$503,费用台账!$C$4:$C$503,$E995,费用台账!$J$4:$J$503,"是",费用台账!$K$4:$K$503,"正常"))</f>
        <v/>
      </c>
      <c r="S995" s="28">
        <f>IF($G995="","",COUNTIFS($E$4:$E$2503,$E995,$Z$4:$Z$2503,"正常",$Y$4:$Y$2503,"待补价"))</f>
        <v/>
      </c>
      <c r="T995" s="26">
        <f>IF($G995="","",SUMIFS($P$4:$P$2503,$E$4:$E$2503,$E995,$Z$4:$Z$2503,"正常",$A$4:$A$2503,"&lt;="&amp;$A995))</f>
        <v/>
      </c>
      <c r="U995" s="26">
        <f>IF($G995="","",IF(OR($S995&gt;0,$Q995=0,$R995=0,$Z995&lt;&gt;"正常"),0,ROUND($T995/$Q995*$R995,0)-ROUND(($T995-$P995)/$Q995*$R995,0)))</f>
        <v/>
      </c>
      <c r="V995" s="26">
        <f>IF($G995="","",ROUND($P995+$U995,0))</f>
        <v/>
      </c>
      <c r="W995" s="26">
        <f>IF($G995="","",IF(N($K995)=0,0,ROUND($V995/$K995,2)))</f>
        <v/>
      </c>
      <c r="X995" s="17" t="n"/>
      <c r="Y995" s="17" t="n"/>
      <c r="Z995" s="17" t="n"/>
      <c r="AA995" s="17" t="n"/>
      <c r="AB995" s="17" t="n"/>
      <c r="AC995" s="24">
        <f>IF($G995="","",IF($H995="※编码不在物料档案里","※物料编码不在档案里",IF(N($K995)&lt;=0,"※入库数量要大于 0",IF(AND($C995&lt;&gt;"",$C995&lt;=结账锁),"※日期早于已结账截止日，不能再录",IF(AND($L995=0,$X995="正常"),"※没填单价，价格状态请选「待补价」",IF(AND($S995&gt;0,$R995&gt;0),"△本批有 "&amp;$S995&amp;" 行没单价，整批运费先挂账没摊",IF(AND($B995&lt;&gt;"",COUNTIF($B$4:$B$2503,$B995)&gt;1),"※入库单号重复","")))))))</f>
        <v/>
      </c>
    </row>
    <row r="996">
      <c r="A996" s="24">
        <f>IF($G996="","",COUNTA($G$4:$G996))</f>
        <v/>
      </c>
      <c r="B996" s="17" t="n"/>
      <c r="C996" s="30" t="n"/>
      <c r="D996" s="17" t="n"/>
      <c r="E996" s="17" t="n"/>
      <c r="F996" s="17" t="n"/>
      <c r="G996" s="17" t="n"/>
      <c r="H996" s="24">
        <f>IF($G996="","",IFERROR(VLOOKUP($G996,物料档案!$A$4:$P$1203,3,0),"※编码不在物料档案里"))</f>
        <v/>
      </c>
      <c r="I996" s="24">
        <f>IF($G996="","",IFERROR(VLOOKUP($G996,物料档案!$A$4:$P$1203,4,0),"※编码不在物料档案里"))</f>
        <v/>
      </c>
      <c r="J996" s="24">
        <f>IF($G996="","",IFERROR(VLOOKUP($G996,物料档案!$A$4:$P$1203,5,0),"※编码不在物料档案里"))</f>
        <v/>
      </c>
      <c r="K996" s="23" t="n"/>
      <c r="L996" s="31" t="n"/>
      <c r="M996" s="24">
        <f>IF($G996="","",IF($D996="A国内","CNY","TZS"))</f>
        <v/>
      </c>
      <c r="N996" s="28">
        <f>IF($G996="","",IF($D996="A国内",汇率,1))</f>
        <v/>
      </c>
      <c r="O996" s="25">
        <f>IF($G996="","",ROUND(N($K996)*N($L996),2))</f>
        <v/>
      </c>
      <c r="P996" s="26">
        <f>IF($G996="","",ROUND($O996*$N996,0))</f>
        <v/>
      </c>
      <c r="Q996" s="26">
        <f>IF($G996="","",SUMIFS($P$4:$P$2503,$E$4:$E$2503,$E996,$Z$4:$Z$2503,"正常"))</f>
        <v/>
      </c>
      <c r="R996" s="26">
        <f>IF($G996="","",SUMIFS(费用台账!$I$4:$I$503,费用台账!$C$4:$C$503,$E996,费用台账!$J$4:$J$503,"是",费用台账!$K$4:$K$503,"正常"))</f>
        <v/>
      </c>
      <c r="S996" s="28">
        <f>IF($G996="","",COUNTIFS($E$4:$E$2503,$E996,$Z$4:$Z$2503,"正常",$Y$4:$Y$2503,"待补价"))</f>
        <v/>
      </c>
      <c r="T996" s="26">
        <f>IF($G996="","",SUMIFS($P$4:$P$2503,$E$4:$E$2503,$E996,$Z$4:$Z$2503,"正常",$A$4:$A$2503,"&lt;="&amp;$A996))</f>
        <v/>
      </c>
      <c r="U996" s="26">
        <f>IF($G996="","",IF(OR($S996&gt;0,$Q996=0,$R996=0,$Z996&lt;&gt;"正常"),0,ROUND($T996/$Q996*$R996,0)-ROUND(($T996-$P996)/$Q996*$R996,0)))</f>
        <v/>
      </c>
      <c r="V996" s="26">
        <f>IF($G996="","",ROUND($P996+$U996,0))</f>
        <v/>
      </c>
      <c r="W996" s="26">
        <f>IF($G996="","",IF(N($K996)=0,0,ROUND($V996/$K996,2)))</f>
        <v/>
      </c>
      <c r="X996" s="17" t="n"/>
      <c r="Y996" s="17" t="n"/>
      <c r="Z996" s="17" t="n"/>
      <c r="AA996" s="17" t="n"/>
      <c r="AB996" s="17" t="n"/>
      <c r="AC996" s="24">
        <f>IF($G996="","",IF($H996="※编码不在物料档案里","※物料编码不在档案里",IF(N($K996)&lt;=0,"※入库数量要大于 0",IF(AND($C996&lt;&gt;"",$C996&lt;=结账锁),"※日期早于已结账截止日，不能再录",IF(AND($L996=0,$X996="正常"),"※没填单价，价格状态请选「待补价」",IF(AND($S996&gt;0,$R996&gt;0),"△本批有 "&amp;$S996&amp;" 行没单价，整批运费先挂账没摊",IF(AND($B996&lt;&gt;"",COUNTIF($B$4:$B$2503,$B996)&gt;1),"※入库单号重复","")))))))</f>
        <v/>
      </c>
    </row>
    <row r="997">
      <c r="A997" s="24">
        <f>IF($G997="","",COUNTA($G$4:$G997))</f>
        <v/>
      </c>
      <c r="B997" s="17" t="n"/>
      <c r="C997" s="30" t="n"/>
      <c r="D997" s="17" t="n"/>
      <c r="E997" s="17" t="n"/>
      <c r="F997" s="17" t="n"/>
      <c r="G997" s="17" t="n"/>
      <c r="H997" s="24">
        <f>IF($G997="","",IFERROR(VLOOKUP($G997,物料档案!$A$4:$P$1203,3,0),"※编码不在物料档案里"))</f>
        <v/>
      </c>
      <c r="I997" s="24">
        <f>IF($G997="","",IFERROR(VLOOKUP($G997,物料档案!$A$4:$P$1203,4,0),"※编码不在物料档案里"))</f>
        <v/>
      </c>
      <c r="J997" s="24">
        <f>IF($G997="","",IFERROR(VLOOKUP($G997,物料档案!$A$4:$P$1203,5,0),"※编码不在物料档案里"))</f>
        <v/>
      </c>
      <c r="K997" s="23" t="n"/>
      <c r="L997" s="31" t="n"/>
      <c r="M997" s="24">
        <f>IF($G997="","",IF($D997="A国内","CNY","TZS"))</f>
        <v/>
      </c>
      <c r="N997" s="28">
        <f>IF($G997="","",IF($D997="A国内",汇率,1))</f>
        <v/>
      </c>
      <c r="O997" s="25">
        <f>IF($G997="","",ROUND(N($K997)*N($L997),2))</f>
        <v/>
      </c>
      <c r="P997" s="26">
        <f>IF($G997="","",ROUND($O997*$N997,0))</f>
        <v/>
      </c>
      <c r="Q997" s="26">
        <f>IF($G997="","",SUMIFS($P$4:$P$2503,$E$4:$E$2503,$E997,$Z$4:$Z$2503,"正常"))</f>
        <v/>
      </c>
      <c r="R997" s="26">
        <f>IF($G997="","",SUMIFS(费用台账!$I$4:$I$503,费用台账!$C$4:$C$503,$E997,费用台账!$J$4:$J$503,"是",费用台账!$K$4:$K$503,"正常"))</f>
        <v/>
      </c>
      <c r="S997" s="28">
        <f>IF($G997="","",COUNTIFS($E$4:$E$2503,$E997,$Z$4:$Z$2503,"正常",$Y$4:$Y$2503,"待补价"))</f>
        <v/>
      </c>
      <c r="T997" s="26">
        <f>IF($G997="","",SUMIFS($P$4:$P$2503,$E$4:$E$2503,$E997,$Z$4:$Z$2503,"正常",$A$4:$A$2503,"&lt;="&amp;$A997))</f>
        <v/>
      </c>
      <c r="U997" s="26">
        <f>IF($G997="","",IF(OR($S997&gt;0,$Q997=0,$R997=0,$Z997&lt;&gt;"正常"),0,ROUND($T997/$Q997*$R997,0)-ROUND(($T997-$P997)/$Q997*$R997,0)))</f>
        <v/>
      </c>
      <c r="V997" s="26">
        <f>IF($G997="","",ROUND($P997+$U997,0))</f>
        <v/>
      </c>
      <c r="W997" s="26">
        <f>IF($G997="","",IF(N($K997)=0,0,ROUND($V997/$K997,2)))</f>
        <v/>
      </c>
      <c r="X997" s="17" t="n"/>
      <c r="Y997" s="17" t="n"/>
      <c r="Z997" s="17" t="n"/>
      <c r="AA997" s="17" t="n"/>
      <c r="AB997" s="17" t="n"/>
      <c r="AC997" s="24">
        <f>IF($G997="","",IF($H997="※编码不在物料档案里","※物料编码不在档案里",IF(N($K997)&lt;=0,"※入库数量要大于 0",IF(AND($C997&lt;&gt;"",$C997&lt;=结账锁),"※日期早于已结账截止日，不能再录",IF(AND($L997=0,$X997="正常"),"※没填单价，价格状态请选「待补价」",IF(AND($S997&gt;0,$R997&gt;0),"△本批有 "&amp;$S997&amp;" 行没单价，整批运费先挂账没摊",IF(AND($B997&lt;&gt;"",COUNTIF($B$4:$B$2503,$B997)&gt;1),"※入库单号重复","")))))))</f>
        <v/>
      </c>
    </row>
    <row r="998">
      <c r="A998" s="24">
        <f>IF($G998="","",COUNTA($G$4:$G998))</f>
        <v/>
      </c>
      <c r="B998" s="17" t="n"/>
      <c r="C998" s="30" t="n"/>
      <c r="D998" s="17" t="n"/>
      <c r="E998" s="17" t="n"/>
      <c r="F998" s="17" t="n"/>
      <c r="G998" s="17" t="n"/>
      <c r="H998" s="24">
        <f>IF($G998="","",IFERROR(VLOOKUP($G998,物料档案!$A$4:$P$1203,3,0),"※编码不在物料档案里"))</f>
        <v/>
      </c>
      <c r="I998" s="24">
        <f>IF($G998="","",IFERROR(VLOOKUP($G998,物料档案!$A$4:$P$1203,4,0),"※编码不在物料档案里"))</f>
        <v/>
      </c>
      <c r="J998" s="24">
        <f>IF($G998="","",IFERROR(VLOOKUP($G998,物料档案!$A$4:$P$1203,5,0),"※编码不在物料档案里"))</f>
        <v/>
      </c>
      <c r="K998" s="23" t="n"/>
      <c r="L998" s="31" t="n"/>
      <c r="M998" s="24">
        <f>IF($G998="","",IF($D998="A国内","CNY","TZS"))</f>
        <v/>
      </c>
      <c r="N998" s="28">
        <f>IF($G998="","",IF($D998="A国内",汇率,1))</f>
        <v/>
      </c>
      <c r="O998" s="25">
        <f>IF($G998="","",ROUND(N($K998)*N($L998),2))</f>
        <v/>
      </c>
      <c r="P998" s="26">
        <f>IF($G998="","",ROUND($O998*$N998,0))</f>
        <v/>
      </c>
      <c r="Q998" s="26">
        <f>IF($G998="","",SUMIFS($P$4:$P$2503,$E$4:$E$2503,$E998,$Z$4:$Z$2503,"正常"))</f>
        <v/>
      </c>
      <c r="R998" s="26">
        <f>IF($G998="","",SUMIFS(费用台账!$I$4:$I$503,费用台账!$C$4:$C$503,$E998,费用台账!$J$4:$J$503,"是",费用台账!$K$4:$K$503,"正常"))</f>
        <v/>
      </c>
      <c r="S998" s="28">
        <f>IF($G998="","",COUNTIFS($E$4:$E$2503,$E998,$Z$4:$Z$2503,"正常",$Y$4:$Y$2503,"待补价"))</f>
        <v/>
      </c>
      <c r="T998" s="26">
        <f>IF($G998="","",SUMIFS($P$4:$P$2503,$E$4:$E$2503,$E998,$Z$4:$Z$2503,"正常",$A$4:$A$2503,"&lt;="&amp;$A998))</f>
        <v/>
      </c>
      <c r="U998" s="26">
        <f>IF($G998="","",IF(OR($S998&gt;0,$Q998=0,$R998=0,$Z998&lt;&gt;"正常"),0,ROUND($T998/$Q998*$R998,0)-ROUND(($T998-$P998)/$Q998*$R998,0)))</f>
        <v/>
      </c>
      <c r="V998" s="26">
        <f>IF($G998="","",ROUND($P998+$U998,0))</f>
        <v/>
      </c>
      <c r="W998" s="26">
        <f>IF($G998="","",IF(N($K998)=0,0,ROUND($V998/$K998,2)))</f>
        <v/>
      </c>
      <c r="X998" s="17" t="n"/>
      <c r="Y998" s="17" t="n"/>
      <c r="Z998" s="17" t="n"/>
      <c r="AA998" s="17" t="n"/>
      <c r="AB998" s="17" t="n"/>
      <c r="AC998" s="24">
        <f>IF($G998="","",IF($H998="※编码不在物料档案里","※物料编码不在档案里",IF(N($K998)&lt;=0,"※入库数量要大于 0",IF(AND($C998&lt;&gt;"",$C998&lt;=结账锁),"※日期早于已结账截止日，不能再录",IF(AND($L998=0,$X998="正常"),"※没填单价，价格状态请选「待补价」",IF(AND($S998&gt;0,$R998&gt;0),"△本批有 "&amp;$S998&amp;" 行没单价，整批运费先挂账没摊",IF(AND($B998&lt;&gt;"",COUNTIF($B$4:$B$2503,$B998)&gt;1),"※入库单号重复","")))))))</f>
        <v/>
      </c>
    </row>
    <row r="999">
      <c r="A999" s="24">
        <f>IF($G999="","",COUNTA($G$4:$G999))</f>
        <v/>
      </c>
      <c r="B999" s="17" t="n"/>
      <c r="C999" s="30" t="n"/>
      <c r="D999" s="17" t="n"/>
      <c r="E999" s="17" t="n"/>
      <c r="F999" s="17" t="n"/>
      <c r="G999" s="17" t="n"/>
      <c r="H999" s="24">
        <f>IF($G999="","",IFERROR(VLOOKUP($G999,物料档案!$A$4:$P$1203,3,0),"※编码不在物料档案里"))</f>
        <v/>
      </c>
      <c r="I999" s="24">
        <f>IF($G999="","",IFERROR(VLOOKUP($G999,物料档案!$A$4:$P$1203,4,0),"※编码不在物料档案里"))</f>
        <v/>
      </c>
      <c r="J999" s="24">
        <f>IF($G999="","",IFERROR(VLOOKUP($G999,物料档案!$A$4:$P$1203,5,0),"※编码不在物料档案里"))</f>
        <v/>
      </c>
      <c r="K999" s="23" t="n"/>
      <c r="L999" s="31" t="n"/>
      <c r="M999" s="24">
        <f>IF($G999="","",IF($D999="A国内","CNY","TZS"))</f>
        <v/>
      </c>
      <c r="N999" s="28">
        <f>IF($G999="","",IF($D999="A国内",汇率,1))</f>
        <v/>
      </c>
      <c r="O999" s="25">
        <f>IF($G999="","",ROUND(N($K999)*N($L999),2))</f>
        <v/>
      </c>
      <c r="P999" s="26">
        <f>IF($G999="","",ROUND($O999*$N999,0))</f>
        <v/>
      </c>
      <c r="Q999" s="26">
        <f>IF($G999="","",SUMIFS($P$4:$P$2503,$E$4:$E$2503,$E999,$Z$4:$Z$2503,"正常"))</f>
        <v/>
      </c>
      <c r="R999" s="26">
        <f>IF($G999="","",SUMIFS(费用台账!$I$4:$I$503,费用台账!$C$4:$C$503,$E999,费用台账!$J$4:$J$503,"是",费用台账!$K$4:$K$503,"正常"))</f>
        <v/>
      </c>
      <c r="S999" s="28">
        <f>IF($G999="","",COUNTIFS($E$4:$E$2503,$E999,$Z$4:$Z$2503,"正常",$Y$4:$Y$2503,"待补价"))</f>
        <v/>
      </c>
      <c r="T999" s="26">
        <f>IF($G999="","",SUMIFS($P$4:$P$2503,$E$4:$E$2503,$E999,$Z$4:$Z$2503,"正常",$A$4:$A$2503,"&lt;="&amp;$A999))</f>
        <v/>
      </c>
      <c r="U999" s="26">
        <f>IF($G999="","",IF(OR($S999&gt;0,$Q999=0,$R999=0,$Z999&lt;&gt;"正常"),0,ROUND($T999/$Q999*$R999,0)-ROUND(($T999-$P999)/$Q999*$R999,0)))</f>
        <v/>
      </c>
      <c r="V999" s="26">
        <f>IF($G999="","",ROUND($P999+$U999,0))</f>
        <v/>
      </c>
      <c r="W999" s="26">
        <f>IF($G999="","",IF(N($K999)=0,0,ROUND($V999/$K999,2)))</f>
        <v/>
      </c>
      <c r="X999" s="17" t="n"/>
      <c r="Y999" s="17" t="n"/>
      <c r="Z999" s="17" t="n"/>
      <c r="AA999" s="17" t="n"/>
      <c r="AB999" s="17" t="n"/>
      <c r="AC999" s="24">
        <f>IF($G999="","",IF($H999="※编码不在物料档案里","※物料编码不在档案里",IF(N($K999)&lt;=0,"※入库数量要大于 0",IF(AND($C999&lt;&gt;"",$C999&lt;=结账锁),"※日期早于已结账截止日，不能再录",IF(AND($L999=0,$X999="正常"),"※没填单价，价格状态请选「待补价」",IF(AND($S999&gt;0,$R999&gt;0),"△本批有 "&amp;$S999&amp;" 行没单价，整批运费先挂账没摊",IF(AND($B999&lt;&gt;"",COUNTIF($B$4:$B$2503,$B999)&gt;1),"※入库单号重复","")))))))</f>
        <v/>
      </c>
    </row>
    <row r="1000">
      <c r="A1000" s="24">
        <f>IF($G1000="","",COUNTA($G$4:$G1000))</f>
        <v/>
      </c>
      <c r="B1000" s="17" t="n"/>
      <c r="C1000" s="30" t="n"/>
      <c r="D1000" s="17" t="n"/>
      <c r="E1000" s="17" t="n"/>
      <c r="F1000" s="17" t="n"/>
      <c r="G1000" s="17" t="n"/>
      <c r="H1000" s="24">
        <f>IF($G1000="","",IFERROR(VLOOKUP($G1000,物料档案!$A$4:$P$1203,3,0),"※编码不在物料档案里"))</f>
        <v/>
      </c>
      <c r="I1000" s="24">
        <f>IF($G1000="","",IFERROR(VLOOKUP($G1000,物料档案!$A$4:$P$1203,4,0),"※编码不在物料档案里"))</f>
        <v/>
      </c>
      <c r="J1000" s="24">
        <f>IF($G1000="","",IFERROR(VLOOKUP($G1000,物料档案!$A$4:$P$1203,5,0),"※编码不在物料档案里"))</f>
        <v/>
      </c>
      <c r="K1000" s="23" t="n"/>
      <c r="L1000" s="31" t="n"/>
      <c r="M1000" s="24">
        <f>IF($G1000="","",IF($D1000="A国内","CNY","TZS"))</f>
        <v/>
      </c>
      <c r="N1000" s="28">
        <f>IF($G1000="","",IF($D1000="A国内",汇率,1))</f>
        <v/>
      </c>
      <c r="O1000" s="25">
        <f>IF($G1000="","",ROUND(N($K1000)*N($L1000),2))</f>
        <v/>
      </c>
      <c r="P1000" s="26">
        <f>IF($G1000="","",ROUND($O1000*$N1000,0))</f>
        <v/>
      </c>
      <c r="Q1000" s="26">
        <f>IF($G1000="","",SUMIFS($P$4:$P$2503,$E$4:$E$2503,$E1000,$Z$4:$Z$2503,"正常"))</f>
        <v/>
      </c>
      <c r="R1000" s="26">
        <f>IF($G1000="","",SUMIFS(费用台账!$I$4:$I$503,费用台账!$C$4:$C$503,$E1000,费用台账!$J$4:$J$503,"是",费用台账!$K$4:$K$503,"正常"))</f>
        <v/>
      </c>
      <c r="S1000" s="28">
        <f>IF($G1000="","",COUNTIFS($E$4:$E$2503,$E1000,$Z$4:$Z$2503,"正常",$Y$4:$Y$2503,"待补价"))</f>
        <v/>
      </c>
      <c r="T1000" s="26">
        <f>IF($G1000="","",SUMIFS($P$4:$P$2503,$E$4:$E$2503,$E1000,$Z$4:$Z$2503,"正常",$A$4:$A$2503,"&lt;="&amp;$A1000))</f>
        <v/>
      </c>
      <c r="U1000" s="26">
        <f>IF($G1000="","",IF(OR($S1000&gt;0,$Q1000=0,$R1000=0,$Z1000&lt;&gt;"正常"),0,ROUND($T1000/$Q1000*$R1000,0)-ROUND(($T1000-$P1000)/$Q1000*$R1000,0)))</f>
        <v/>
      </c>
      <c r="V1000" s="26">
        <f>IF($G1000="","",ROUND($P1000+$U1000,0))</f>
        <v/>
      </c>
      <c r="W1000" s="26">
        <f>IF($G1000="","",IF(N($K1000)=0,0,ROUND($V1000/$K1000,2)))</f>
        <v/>
      </c>
      <c r="X1000" s="17" t="n"/>
      <c r="Y1000" s="17" t="n"/>
      <c r="Z1000" s="17" t="n"/>
      <c r="AA1000" s="17" t="n"/>
      <c r="AB1000" s="17" t="n"/>
      <c r="AC1000" s="24">
        <f>IF($G1000="","",IF($H1000="※编码不在物料档案里","※物料编码不在档案里",IF(N($K1000)&lt;=0,"※入库数量要大于 0",IF(AND($C1000&lt;&gt;"",$C1000&lt;=结账锁),"※日期早于已结账截止日，不能再录",IF(AND($L1000=0,$X1000="正常"),"※没填单价，价格状态请选「待补价」",IF(AND($S1000&gt;0,$R1000&gt;0),"△本批有 "&amp;$S1000&amp;" 行没单价，整批运费先挂账没摊",IF(AND($B1000&lt;&gt;"",COUNTIF($B$4:$B$2503,$B1000)&gt;1),"※入库单号重复","")))))))</f>
        <v/>
      </c>
    </row>
    <row r="1001">
      <c r="A1001" s="24">
        <f>IF($G1001="","",COUNTA($G$4:$G1001))</f>
        <v/>
      </c>
      <c r="B1001" s="17" t="n"/>
      <c r="C1001" s="30" t="n"/>
      <c r="D1001" s="17" t="n"/>
      <c r="E1001" s="17" t="n"/>
      <c r="F1001" s="17" t="n"/>
      <c r="G1001" s="17" t="n"/>
      <c r="H1001" s="24">
        <f>IF($G1001="","",IFERROR(VLOOKUP($G1001,物料档案!$A$4:$P$1203,3,0),"※编码不在物料档案里"))</f>
        <v/>
      </c>
      <c r="I1001" s="24">
        <f>IF($G1001="","",IFERROR(VLOOKUP($G1001,物料档案!$A$4:$P$1203,4,0),"※编码不在物料档案里"))</f>
        <v/>
      </c>
      <c r="J1001" s="24">
        <f>IF($G1001="","",IFERROR(VLOOKUP($G1001,物料档案!$A$4:$P$1203,5,0),"※编码不在物料档案里"))</f>
        <v/>
      </c>
      <c r="K1001" s="23" t="n"/>
      <c r="L1001" s="31" t="n"/>
      <c r="M1001" s="24">
        <f>IF($G1001="","",IF($D1001="A国内","CNY","TZS"))</f>
        <v/>
      </c>
      <c r="N1001" s="28">
        <f>IF($G1001="","",IF($D1001="A国内",汇率,1))</f>
        <v/>
      </c>
      <c r="O1001" s="25">
        <f>IF($G1001="","",ROUND(N($K1001)*N($L1001),2))</f>
        <v/>
      </c>
      <c r="P1001" s="26">
        <f>IF($G1001="","",ROUND($O1001*$N1001,0))</f>
        <v/>
      </c>
      <c r="Q1001" s="26">
        <f>IF($G1001="","",SUMIFS($P$4:$P$2503,$E$4:$E$2503,$E1001,$Z$4:$Z$2503,"正常"))</f>
        <v/>
      </c>
      <c r="R1001" s="26">
        <f>IF($G1001="","",SUMIFS(费用台账!$I$4:$I$503,费用台账!$C$4:$C$503,$E1001,费用台账!$J$4:$J$503,"是",费用台账!$K$4:$K$503,"正常"))</f>
        <v/>
      </c>
      <c r="S1001" s="28">
        <f>IF($G1001="","",COUNTIFS($E$4:$E$2503,$E1001,$Z$4:$Z$2503,"正常",$Y$4:$Y$2503,"待补价"))</f>
        <v/>
      </c>
      <c r="T1001" s="26">
        <f>IF($G1001="","",SUMIFS($P$4:$P$2503,$E$4:$E$2503,$E1001,$Z$4:$Z$2503,"正常",$A$4:$A$2503,"&lt;="&amp;$A1001))</f>
        <v/>
      </c>
      <c r="U1001" s="26">
        <f>IF($G1001="","",IF(OR($S1001&gt;0,$Q1001=0,$R1001=0,$Z1001&lt;&gt;"正常"),0,ROUND($T1001/$Q1001*$R1001,0)-ROUND(($T1001-$P1001)/$Q1001*$R1001,0)))</f>
        <v/>
      </c>
      <c r="V1001" s="26">
        <f>IF($G1001="","",ROUND($P1001+$U1001,0))</f>
        <v/>
      </c>
      <c r="W1001" s="26">
        <f>IF($G1001="","",IF(N($K1001)=0,0,ROUND($V1001/$K1001,2)))</f>
        <v/>
      </c>
      <c r="X1001" s="17" t="n"/>
      <c r="Y1001" s="17" t="n"/>
      <c r="Z1001" s="17" t="n"/>
      <c r="AA1001" s="17" t="n"/>
      <c r="AB1001" s="17" t="n"/>
      <c r="AC1001" s="24">
        <f>IF($G1001="","",IF($H1001="※编码不在物料档案里","※物料编码不在档案里",IF(N($K1001)&lt;=0,"※入库数量要大于 0",IF(AND($C1001&lt;&gt;"",$C1001&lt;=结账锁),"※日期早于已结账截止日，不能再录",IF(AND($L1001=0,$X1001="正常"),"※没填单价，价格状态请选「待补价」",IF(AND($S1001&gt;0,$R1001&gt;0),"△本批有 "&amp;$S1001&amp;" 行没单价，整批运费先挂账没摊",IF(AND($B1001&lt;&gt;"",COUNTIF($B$4:$B$2503,$B1001)&gt;1),"※入库单号重复","")))))))</f>
        <v/>
      </c>
    </row>
    <row r="1002">
      <c r="A1002" s="24">
        <f>IF($G1002="","",COUNTA($G$4:$G1002))</f>
        <v/>
      </c>
      <c r="B1002" s="17" t="n"/>
      <c r="C1002" s="30" t="n"/>
      <c r="D1002" s="17" t="n"/>
      <c r="E1002" s="17" t="n"/>
      <c r="F1002" s="17" t="n"/>
      <c r="G1002" s="17" t="n"/>
      <c r="H1002" s="24">
        <f>IF($G1002="","",IFERROR(VLOOKUP($G1002,物料档案!$A$4:$P$1203,3,0),"※编码不在物料档案里"))</f>
        <v/>
      </c>
      <c r="I1002" s="24">
        <f>IF($G1002="","",IFERROR(VLOOKUP($G1002,物料档案!$A$4:$P$1203,4,0),"※编码不在物料档案里"))</f>
        <v/>
      </c>
      <c r="J1002" s="24">
        <f>IF($G1002="","",IFERROR(VLOOKUP($G1002,物料档案!$A$4:$P$1203,5,0),"※编码不在物料档案里"))</f>
        <v/>
      </c>
      <c r="K1002" s="23" t="n"/>
      <c r="L1002" s="31" t="n"/>
      <c r="M1002" s="24">
        <f>IF($G1002="","",IF($D1002="A国内","CNY","TZS"))</f>
        <v/>
      </c>
      <c r="N1002" s="28">
        <f>IF($G1002="","",IF($D1002="A国内",汇率,1))</f>
        <v/>
      </c>
      <c r="O1002" s="25">
        <f>IF($G1002="","",ROUND(N($K1002)*N($L1002),2))</f>
        <v/>
      </c>
      <c r="P1002" s="26">
        <f>IF($G1002="","",ROUND($O1002*$N1002,0))</f>
        <v/>
      </c>
      <c r="Q1002" s="26">
        <f>IF($G1002="","",SUMIFS($P$4:$P$2503,$E$4:$E$2503,$E1002,$Z$4:$Z$2503,"正常"))</f>
        <v/>
      </c>
      <c r="R1002" s="26">
        <f>IF($G1002="","",SUMIFS(费用台账!$I$4:$I$503,费用台账!$C$4:$C$503,$E1002,费用台账!$J$4:$J$503,"是",费用台账!$K$4:$K$503,"正常"))</f>
        <v/>
      </c>
      <c r="S1002" s="28">
        <f>IF($G1002="","",COUNTIFS($E$4:$E$2503,$E1002,$Z$4:$Z$2503,"正常",$Y$4:$Y$2503,"待补价"))</f>
        <v/>
      </c>
      <c r="T1002" s="26">
        <f>IF($G1002="","",SUMIFS($P$4:$P$2503,$E$4:$E$2503,$E1002,$Z$4:$Z$2503,"正常",$A$4:$A$2503,"&lt;="&amp;$A1002))</f>
        <v/>
      </c>
      <c r="U1002" s="26">
        <f>IF($G1002="","",IF(OR($S1002&gt;0,$Q1002=0,$R1002=0,$Z1002&lt;&gt;"正常"),0,ROUND($T1002/$Q1002*$R1002,0)-ROUND(($T1002-$P1002)/$Q1002*$R1002,0)))</f>
        <v/>
      </c>
      <c r="V1002" s="26">
        <f>IF($G1002="","",ROUND($P1002+$U1002,0))</f>
        <v/>
      </c>
      <c r="W1002" s="26">
        <f>IF($G1002="","",IF(N($K1002)=0,0,ROUND($V1002/$K1002,2)))</f>
        <v/>
      </c>
      <c r="X1002" s="17" t="n"/>
      <c r="Y1002" s="17" t="n"/>
      <c r="Z1002" s="17" t="n"/>
      <c r="AA1002" s="17" t="n"/>
      <c r="AB1002" s="17" t="n"/>
      <c r="AC1002" s="24">
        <f>IF($G1002="","",IF($H1002="※编码不在物料档案里","※物料编码不在档案里",IF(N($K1002)&lt;=0,"※入库数量要大于 0",IF(AND($C1002&lt;&gt;"",$C1002&lt;=结账锁),"※日期早于已结账截止日，不能再录",IF(AND($L1002=0,$X1002="正常"),"※没填单价，价格状态请选「待补价」",IF(AND($S1002&gt;0,$R1002&gt;0),"△本批有 "&amp;$S1002&amp;" 行没单价，整批运费先挂账没摊",IF(AND($B1002&lt;&gt;"",COUNTIF($B$4:$B$2503,$B1002)&gt;1),"※入库单号重复","")))))))</f>
        <v/>
      </c>
    </row>
    <row r="1003">
      <c r="A1003" s="24">
        <f>IF($G1003="","",COUNTA($G$4:$G1003))</f>
        <v/>
      </c>
      <c r="B1003" s="17" t="n"/>
      <c r="C1003" s="30" t="n"/>
      <c r="D1003" s="17" t="n"/>
      <c r="E1003" s="17" t="n"/>
      <c r="F1003" s="17" t="n"/>
      <c r="G1003" s="17" t="n"/>
      <c r="H1003" s="24">
        <f>IF($G1003="","",IFERROR(VLOOKUP($G1003,物料档案!$A$4:$P$1203,3,0),"※编码不在物料档案里"))</f>
        <v/>
      </c>
      <c r="I1003" s="24">
        <f>IF($G1003="","",IFERROR(VLOOKUP($G1003,物料档案!$A$4:$P$1203,4,0),"※编码不在物料档案里"))</f>
        <v/>
      </c>
      <c r="J1003" s="24">
        <f>IF($G1003="","",IFERROR(VLOOKUP($G1003,物料档案!$A$4:$P$1203,5,0),"※编码不在物料档案里"))</f>
        <v/>
      </c>
      <c r="K1003" s="23" t="n"/>
      <c r="L1003" s="31" t="n"/>
      <c r="M1003" s="24">
        <f>IF($G1003="","",IF($D1003="A国内","CNY","TZS"))</f>
        <v/>
      </c>
      <c r="N1003" s="28">
        <f>IF($G1003="","",IF($D1003="A国内",汇率,1))</f>
        <v/>
      </c>
      <c r="O1003" s="25">
        <f>IF($G1003="","",ROUND(N($K1003)*N($L1003),2))</f>
        <v/>
      </c>
      <c r="P1003" s="26">
        <f>IF($G1003="","",ROUND($O1003*$N1003,0))</f>
        <v/>
      </c>
      <c r="Q1003" s="26">
        <f>IF($G1003="","",SUMIFS($P$4:$P$2503,$E$4:$E$2503,$E1003,$Z$4:$Z$2503,"正常"))</f>
        <v/>
      </c>
      <c r="R1003" s="26">
        <f>IF($G1003="","",SUMIFS(费用台账!$I$4:$I$503,费用台账!$C$4:$C$503,$E1003,费用台账!$J$4:$J$503,"是",费用台账!$K$4:$K$503,"正常"))</f>
        <v/>
      </c>
      <c r="S1003" s="28">
        <f>IF($G1003="","",COUNTIFS($E$4:$E$2503,$E1003,$Z$4:$Z$2503,"正常",$Y$4:$Y$2503,"待补价"))</f>
        <v/>
      </c>
      <c r="T1003" s="26">
        <f>IF($G1003="","",SUMIFS($P$4:$P$2503,$E$4:$E$2503,$E1003,$Z$4:$Z$2503,"正常",$A$4:$A$2503,"&lt;="&amp;$A1003))</f>
        <v/>
      </c>
      <c r="U1003" s="26">
        <f>IF($G1003="","",IF(OR($S1003&gt;0,$Q1003=0,$R1003=0,$Z1003&lt;&gt;"正常"),0,ROUND($T1003/$Q1003*$R1003,0)-ROUND(($T1003-$P1003)/$Q1003*$R1003,0)))</f>
        <v/>
      </c>
      <c r="V1003" s="26">
        <f>IF($G1003="","",ROUND($P1003+$U1003,0))</f>
        <v/>
      </c>
      <c r="W1003" s="26">
        <f>IF($G1003="","",IF(N($K1003)=0,0,ROUND($V1003/$K1003,2)))</f>
        <v/>
      </c>
      <c r="X1003" s="17" t="n"/>
      <c r="Y1003" s="17" t="n"/>
      <c r="Z1003" s="17" t="n"/>
      <c r="AA1003" s="17" t="n"/>
      <c r="AB1003" s="17" t="n"/>
      <c r="AC1003" s="24">
        <f>IF($G1003="","",IF($H1003="※编码不在物料档案里","※物料编码不在档案里",IF(N($K1003)&lt;=0,"※入库数量要大于 0",IF(AND($C1003&lt;&gt;"",$C1003&lt;=结账锁),"※日期早于已结账截止日，不能再录",IF(AND($L1003=0,$X1003="正常"),"※没填单价，价格状态请选「待补价」",IF(AND($S1003&gt;0,$R1003&gt;0),"△本批有 "&amp;$S1003&amp;" 行没单价，整批运费先挂账没摊",IF(AND($B1003&lt;&gt;"",COUNTIF($B$4:$B$2503,$B1003)&gt;1),"※入库单号重复","")))))))</f>
        <v/>
      </c>
    </row>
    <row r="1004">
      <c r="A1004" s="24">
        <f>IF($G1004="","",COUNTA($G$4:$G1004))</f>
        <v/>
      </c>
      <c r="B1004" s="17" t="n"/>
      <c r="C1004" s="30" t="n"/>
      <c r="D1004" s="17" t="n"/>
      <c r="E1004" s="17" t="n"/>
      <c r="F1004" s="17" t="n"/>
      <c r="G1004" s="17" t="n"/>
      <c r="H1004" s="24">
        <f>IF($G1004="","",IFERROR(VLOOKUP($G1004,物料档案!$A$4:$P$1203,3,0),"※编码不在物料档案里"))</f>
        <v/>
      </c>
      <c r="I1004" s="24">
        <f>IF($G1004="","",IFERROR(VLOOKUP($G1004,物料档案!$A$4:$P$1203,4,0),"※编码不在物料档案里"))</f>
        <v/>
      </c>
      <c r="J1004" s="24">
        <f>IF($G1004="","",IFERROR(VLOOKUP($G1004,物料档案!$A$4:$P$1203,5,0),"※编码不在物料档案里"))</f>
        <v/>
      </c>
      <c r="K1004" s="23" t="n"/>
      <c r="L1004" s="31" t="n"/>
      <c r="M1004" s="24">
        <f>IF($G1004="","",IF($D1004="A国内","CNY","TZS"))</f>
        <v/>
      </c>
      <c r="N1004" s="28">
        <f>IF($G1004="","",IF($D1004="A国内",汇率,1))</f>
        <v/>
      </c>
      <c r="O1004" s="25">
        <f>IF($G1004="","",ROUND(N($K1004)*N($L1004),2))</f>
        <v/>
      </c>
      <c r="P1004" s="26">
        <f>IF($G1004="","",ROUND($O1004*$N1004,0))</f>
        <v/>
      </c>
      <c r="Q1004" s="26">
        <f>IF($G1004="","",SUMIFS($P$4:$P$2503,$E$4:$E$2503,$E1004,$Z$4:$Z$2503,"正常"))</f>
        <v/>
      </c>
      <c r="R1004" s="26">
        <f>IF($G1004="","",SUMIFS(费用台账!$I$4:$I$503,费用台账!$C$4:$C$503,$E1004,费用台账!$J$4:$J$503,"是",费用台账!$K$4:$K$503,"正常"))</f>
        <v/>
      </c>
      <c r="S1004" s="28">
        <f>IF($G1004="","",COUNTIFS($E$4:$E$2503,$E1004,$Z$4:$Z$2503,"正常",$Y$4:$Y$2503,"待补价"))</f>
        <v/>
      </c>
      <c r="T1004" s="26">
        <f>IF($G1004="","",SUMIFS($P$4:$P$2503,$E$4:$E$2503,$E1004,$Z$4:$Z$2503,"正常",$A$4:$A$2503,"&lt;="&amp;$A1004))</f>
        <v/>
      </c>
      <c r="U1004" s="26">
        <f>IF($G1004="","",IF(OR($S1004&gt;0,$Q1004=0,$R1004=0,$Z1004&lt;&gt;"正常"),0,ROUND($T1004/$Q1004*$R1004,0)-ROUND(($T1004-$P1004)/$Q1004*$R1004,0)))</f>
        <v/>
      </c>
      <c r="V1004" s="26">
        <f>IF($G1004="","",ROUND($P1004+$U1004,0))</f>
        <v/>
      </c>
      <c r="W1004" s="26">
        <f>IF($G1004="","",IF(N($K1004)=0,0,ROUND($V1004/$K1004,2)))</f>
        <v/>
      </c>
      <c r="X1004" s="17" t="n"/>
      <c r="Y1004" s="17" t="n"/>
      <c r="Z1004" s="17" t="n"/>
      <c r="AA1004" s="17" t="n"/>
      <c r="AB1004" s="17" t="n"/>
      <c r="AC1004" s="24">
        <f>IF($G1004="","",IF($H1004="※编码不在物料档案里","※物料编码不在档案里",IF(N($K1004)&lt;=0,"※入库数量要大于 0",IF(AND($C1004&lt;&gt;"",$C1004&lt;=结账锁),"※日期早于已结账截止日，不能再录",IF(AND($L1004=0,$X1004="正常"),"※没填单价，价格状态请选「待补价」",IF(AND($S1004&gt;0,$R1004&gt;0),"△本批有 "&amp;$S1004&amp;" 行没单价，整批运费先挂账没摊",IF(AND($B1004&lt;&gt;"",COUNTIF($B$4:$B$2503,$B1004)&gt;1),"※入库单号重复","")))))))</f>
        <v/>
      </c>
    </row>
    <row r="1005">
      <c r="A1005" s="24">
        <f>IF($G1005="","",COUNTA($G$4:$G1005))</f>
        <v/>
      </c>
      <c r="B1005" s="17" t="n"/>
      <c r="C1005" s="30" t="n"/>
      <c r="D1005" s="17" t="n"/>
      <c r="E1005" s="17" t="n"/>
      <c r="F1005" s="17" t="n"/>
      <c r="G1005" s="17" t="n"/>
      <c r="H1005" s="24">
        <f>IF($G1005="","",IFERROR(VLOOKUP($G1005,物料档案!$A$4:$P$1203,3,0),"※编码不在物料档案里"))</f>
        <v/>
      </c>
      <c r="I1005" s="24">
        <f>IF($G1005="","",IFERROR(VLOOKUP($G1005,物料档案!$A$4:$P$1203,4,0),"※编码不在物料档案里"))</f>
        <v/>
      </c>
      <c r="J1005" s="24">
        <f>IF($G1005="","",IFERROR(VLOOKUP($G1005,物料档案!$A$4:$P$1203,5,0),"※编码不在物料档案里"))</f>
        <v/>
      </c>
      <c r="K1005" s="23" t="n"/>
      <c r="L1005" s="31" t="n"/>
      <c r="M1005" s="24">
        <f>IF($G1005="","",IF($D1005="A国内","CNY","TZS"))</f>
        <v/>
      </c>
      <c r="N1005" s="28">
        <f>IF($G1005="","",IF($D1005="A国内",汇率,1))</f>
        <v/>
      </c>
      <c r="O1005" s="25">
        <f>IF($G1005="","",ROUND(N($K1005)*N($L1005),2))</f>
        <v/>
      </c>
      <c r="P1005" s="26">
        <f>IF($G1005="","",ROUND($O1005*$N1005,0))</f>
        <v/>
      </c>
      <c r="Q1005" s="26">
        <f>IF($G1005="","",SUMIFS($P$4:$P$2503,$E$4:$E$2503,$E1005,$Z$4:$Z$2503,"正常"))</f>
        <v/>
      </c>
      <c r="R1005" s="26">
        <f>IF($G1005="","",SUMIFS(费用台账!$I$4:$I$503,费用台账!$C$4:$C$503,$E1005,费用台账!$J$4:$J$503,"是",费用台账!$K$4:$K$503,"正常"))</f>
        <v/>
      </c>
      <c r="S1005" s="28">
        <f>IF($G1005="","",COUNTIFS($E$4:$E$2503,$E1005,$Z$4:$Z$2503,"正常",$Y$4:$Y$2503,"待补价"))</f>
        <v/>
      </c>
      <c r="T1005" s="26">
        <f>IF($G1005="","",SUMIFS($P$4:$P$2503,$E$4:$E$2503,$E1005,$Z$4:$Z$2503,"正常",$A$4:$A$2503,"&lt;="&amp;$A1005))</f>
        <v/>
      </c>
      <c r="U1005" s="26">
        <f>IF($G1005="","",IF(OR($S1005&gt;0,$Q1005=0,$R1005=0,$Z1005&lt;&gt;"正常"),0,ROUND($T1005/$Q1005*$R1005,0)-ROUND(($T1005-$P1005)/$Q1005*$R1005,0)))</f>
        <v/>
      </c>
      <c r="V1005" s="26">
        <f>IF($G1005="","",ROUND($P1005+$U1005,0))</f>
        <v/>
      </c>
      <c r="W1005" s="26">
        <f>IF($G1005="","",IF(N($K1005)=0,0,ROUND($V1005/$K1005,2)))</f>
        <v/>
      </c>
      <c r="X1005" s="17" t="n"/>
      <c r="Y1005" s="17" t="n"/>
      <c r="Z1005" s="17" t="n"/>
      <c r="AA1005" s="17" t="n"/>
      <c r="AB1005" s="17" t="n"/>
      <c r="AC1005" s="24">
        <f>IF($G1005="","",IF($H1005="※编码不在物料档案里","※物料编码不在档案里",IF(N($K1005)&lt;=0,"※入库数量要大于 0",IF(AND($C1005&lt;&gt;"",$C1005&lt;=结账锁),"※日期早于已结账截止日，不能再录",IF(AND($L1005=0,$X1005="正常"),"※没填单价，价格状态请选「待补价」",IF(AND($S1005&gt;0,$R1005&gt;0),"△本批有 "&amp;$S1005&amp;" 行没单价，整批运费先挂账没摊",IF(AND($B1005&lt;&gt;"",COUNTIF($B$4:$B$2503,$B1005)&gt;1),"※入库单号重复","")))))))</f>
        <v/>
      </c>
    </row>
    <row r="1006">
      <c r="A1006" s="24">
        <f>IF($G1006="","",COUNTA($G$4:$G1006))</f>
        <v/>
      </c>
      <c r="B1006" s="17" t="n"/>
      <c r="C1006" s="30" t="n"/>
      <c r="D1006" s="17" t="n"/>
      <c r="E1006" s="17" t="n"/>
      <c r="F1006" s="17" t="n"/>
      <c r="G1006" s="17" t="n"/>
      <c r="H1006" s="24">
        <f>IF($G1006="","",IFERROR(VLOOKUP($G1006,物料档案!$A$4:$P$1203,3,0),"※编码不在物料档案里"))</f>
        <v/>
      </c>
      <c r="I1006" s="24">
        <f>IF($G1006="","",IFERROR(VLOOKUP($G1006,物料档案!$A$4:$P$1203,4,0),"※编码不在物料档案里"))</f>
        <v/>
      </c>
      <c r="J1006" s="24">
        <f>IF($G1006="","",IFERROR(VLOOKUP($G1006,物料档案!$A$4:$P$1203,5,0),"※编码不在物料档案里"))</f>
        <v/>
      </c>
      <c r="K1006" s="23" t="n"/>
      <c r="L1006" s="31" t="n"/>
      <c r="M1006" s="24">
        <f>IF($G1006="","",IF($D1006="A国内","CNY","TZS"))</f>
        <v/>
      </c>
      <c r="N1006" s="28">
        <f>IF($G1006="","",IF($D1006="A国内",汇率,1))</f>
        <v/>
      </c>
      <c r="O1006" s="25">
        <f>IF($G1006="","",ROUND(N($K1006)*N($L1006),2))</f>
        <v/>
      </c>
      <c r="P1006" s="26">
        <f>IF($G1006="","",ROUND($O1006*$N1006,0))</f>
        <v/>
      </c>
      <c r="Q1006" s="26">
        <f>IF($G1006="","",SUMIFS($P$4:$P$2503,$E$4:$E$2503,$E1006,$Z$4:$Z$2503,"正常"))</f>
        <v/>
      </c>
      <c r="R1006" s="26">
        <f>IF($G1006="","",SUMIFS(费用台账!$I$4:$I$503,费用台账!$C$4:$C$503,$E1006,费用台账!$J$4:$J$503,"是",费用台账!$K$4:$K$503,"正常"))</f>
        <v/>
      </c>
      <c r="S1006" s="28">
        <f>IF($G1006="","",COUNTIFS($E$4:$E$2503,$E1006,$Z$4:$Z$2503,"正常",$Y$4:$Y$2503,"待补价"))</f>
        <v/>
      </c>
      <c r="T1006" s="26">
        <f>IF($G1006="","",SUMIFS($P$4:$P$2503,$E$4:$E$2503,$E1006,$Z$4:$Z$2503,"正常",$A$4:$A$2503,"&lt;="&amp;$A1006))</f>
        <v/>
      </c>
      <c r="U1006" s="26">
        <f>IF($G1006="","",IF(OR($S1006&gt;0,$Q1006=0,$R1006=0,$Z1006&lt;&gt;"正常"),0,ROUND($T1006/$Q1006*$R1006,0)-ROUND(($T1006-$P1006)/$Q1006*$R1006,0)))</f>
        <v/>
      </c>
      <c r="V1006" s="26">
        <f>IF($G1006="","",ROUND($P1006+$U1006,0))</f>
        <v/>
      </c>
      <c r="W1006" s="26">
        <f>IF($G1006="","",IF(N($K1006)=0,0,ROUND($V1006/$K1006,2)))</f>
        <v/>
      </c>
      <c r="X1006" s="17" t="n"/>
      <c r="Y1006" s="17" t="n"/>
      <c r="Z1006" s="17" t="n"/>
      <c r="AA1006" s="17" t="n"/>
      <c r="AB1006" s="17" t="n"/>
      <c r="AC1006" s="24">
        <f>IF($G1006="","",IF($H1006="※编码不在物料档案里","※物料编码不在档案里",IF(N($K1006)&lt;=0,"※入库数量要大于 0",IF(AND($C1006&lt;&gt;"",$C1006&lt;=结账锁),"※日期早于已结账截止日，不能再录",IF(AND($L1006=0,$X1006="正常"),"※没填单价，价格状态请选「待补价」",IF(AND($S1006&gt;0,$R1006&gt;0),"△本批有 "&amp;$S1006&amp;" 行没单价，整批运费先挂账没摊",IF(AND($B1006&lt;&gt;"",COUNTIF($B$4:$B$2503,$B1006)&gt;1),"※入库单号重复","")))))))</f>
        <v/>
      </c>
    </row>
    <row r="1007">
      <c r="A1007" s="24">
        <f>IF($G1007="","",COUNTA($G$4:$G1007))</f>
        <v/>
      </c>
      <c r="B1007" s="17" t="n"/>
      <c r="C1007" s="30" t="n"/>
      <c r="D1007" s="17" t="n"/>
      <c r="E1007" s="17" t="n"/>
      <c r="F1007" s="17" t="n"/>
      <c r="G1007" s="17" t="n"/>
      <c r="H1007" s="24">
        <f>IF($G1007="","",IFERROR(VLOOKUP($G1007,物料档案!$A$4:$P$1203,3,0),"※编码不在物料档案里"))</f>
        <v/>
      </c>
      <c r="I1007" s="24">
        <f>IF($G1007="","",IFERROR(VLOOKUP($G1007,物料档案!$A$4:$P$1203,4,0),"※编码不在物料档案里"))</f>
        <v/>
      </c>
      <c r="J1007" s="24">
        <f>IF($G1007="","",IFERROR(VLOOKUP($G1007,物料档案!$A$4:$P$1203,5,0),"※编码不在物料档案里"))</f>
        <v/>
      </c>
      <c r="K1007" s="23" t="n"/>
      <c r="L1007" s="31" t="n"/>
      <c r="M1007" s="24">
        <f>IF($G1007="","",IF($D1007="A国内","CNY","TZS"))</f>
        <v/>
      </c>
      <c r="N1007" s="28">
        <f>IF($G1007="","",IF($D1007="A国内",汇率,1))</f>
        <v/>
      </c>
      <c r="O1007" s="25">
        <f>IF($G1007="","",ROUND(N($K1007)*N($L1007),2))</f>
        <v/>
      </c>
      <c r="P1007" s="26">
        <f>IF($G1007="","",ROUND($O1007*$N1007,0))</f>
        <v/>
      </c>
      <c r="Q1007" s="26">
        <f>IF($G1007="","",SUMIFS($P$4:$P$2503,$E$4:$E$2503,$E1007,$Z$4:$Z$2503,"正常"))</f>
        <v/>
      </c>
      <c r="R1007" s="26">
        <f>IF($G1007="","",SUMIFS(费用台账!$I$4:$I$503,费用台账!$C$4:$C$503,$E1007,费用台账!$J$4:$J$503,"是",费用台账!$K$4:$K$503,"正常"))</f>
        <v/>
      </c>
      <c r="S1007" s="28">
        <f>IF($G1007="","",COUNTIFS($E$4:$E$2503,$E1007,$Z$4:$Z$2503,"正常",$Y$4:$Y$2503,"待补价"))</f>
        <v/>
      </c>
      <c r="T1007" s="26">
        <f>IF($G1007="","",SUMIFS($P$4:$P$2503,$E$4:$E$2503,$E1007,$Z$4:$Z$2503,"正常",$A$4:$A$2503,"&lt;="&amp;$A1007))</f>
        <v/>
      </c>
      <c r="U1007" s="26">
        <f>IF($G1007="","",IF(OR($S1007&gt;0,$Q1007=0,$R1007=0,$Z1007&lt;&gt;"正常"),0,ROUND($T1007/$Q1007*$R1007,0)-ROUND(($T1007-$P1007)/$Q1007*$R1007,0)))</f>
        <v/>
      </c>
      <c r="V1007" s="26">
        <f>IF($G1007="","",ROUND($P1007+$U1007,0))</f>
        <v/>
      </c>
      <c r="W1007" s="26">
        <f>IF($G1007="","",IF(N($K1007)=0,0,ROUND($V1007/$K1007,2)))</f>
        <v/>
      </c>
      <c r="X1007" s="17" t="n"/>
      <c r="Y1007" s="17" t="n"/>
      <c r="Z1007" s="17" t="n"/>
      <c r="AA1007" s="17" t="n"/>
      <c r="AB1007" s="17" t="n"/>
      <c r="AC1007" s="24">
        <f>IF($G1007="","",IF($H1007="※编码不在物料档案里","※物料编码不在档案里",IF(N($K1007)&lt;=0,"※入库数量要大于 0",IF(AND($C1007&lt;&gt;"",$C1007&lt;=结账锁),"※日期早于已结账截止日，不能再录",IF(AND($L1007=0,$X1007="正常"),"※没填单价，价格状态请选「待补价」",IF(AND($S1007&gt;0,$R1007&gt;0),"△本批有 "&amp;$S1007&amp;" 行没单价，整批运费先挂账没摊",IF(AND($B1007&lt;&gt;"",COUNTIF($B$4:$B$2503,$B1007)&gt;1),"※入库单号重复","")))))))</f>
        <v/>
      </c>
    </row>
    <row r="1008">
      <c r="A1008" s="24">
        <f>IF($G1008="","",COUNTA($G$4:$G1008))</f>
        <v/>
      </c>
      <c r="B1008" s="17" t="n"/>
      <c r="C1008" s="30" t="n"/>
      <c r="D1008" s="17" t="n"/>
      <c r="E1008" s="17" t="n"/>
      <c r="F1008" s="17" t="n"/>
      <c r="G1008" s="17" t="n"/>
      <c r="H1008" s="24">
        <f>IF($G1008="","",IFERROR(VLOOKUP($G1008,物料档案!$A$4:$P$1203,3,0),"※编码不在物料档案里"))</f>
        <v/>
      </c>
      <c r="I1008" s="24">
        <f>IF($G1008="","",IFERROR(VLOOKUP($G1008,物料档案!$A$4:$P$1203,4,0),"※编码不在物料档案里"))</f>
        <v/>
      </c>
      <c r="J1008" s="24">
        <f>IF($G1008="","",IFERROR(VLOOKUP($G1008,物料档案!$A$4:$P$1203,5,0),"※编码不在物料档案里"))</f>
        <v/>
      </c>
      <c r="K1008" s="23" t="n"/>
      <c r="L1008" s="31" t="n"/>
      <c r="M1008" s="24">
        <f>IF($G1008="","",IF($D1008="A国内","CNY","TZS"))</f>
        <v/>
      </c>
      <c r="N1008" s="28">
        <f>IF($G1008="","",IF($D1008="A国内",汇率,1))</f>
        <v/>
      </c>
      <c r="O1008" s="25">
        <f>IF($G1008="","",ROUND(N($K1008)*N($L1008),2))</f>
        <v/>
      </c>
      <c r="P1008" s="26">
        <f>IF($G1008="","",ROUND($O1008*$N1008,0))</f>
        <v/>
      </c>
      <c r="Q1008" s="26">
        <f>IF($G1008="","",SUMIFS($P$4:$P$2503,$E$4:$E$2503,$E1008,$Z$4:$Z$2503,"正常"))</f>
        <v/>
      </c>
      <c r="R1008" s="26">
        <f>IF($G1008="","",SUMIFS(费用台账!$I$4:$I$503,费用台账!$C$4:$C$503,$E1008,费用台账!$J$4:$J$503,"是",费用台账!$K$4:$K$503,"正常"))</f>
        <v/>
      </c>
      <c r="S1008" s="28">
        <f>IF($G1008="","",COUNTIFS($E$4:$E$2503,$E1008,$Z$4:$Z$2503,"正常",$Y$4:$Y$2503,"待补价"))</f>
        <v/>
      </c>
      <c r="T1008" s="26">
        <f>IF($G1008="","",SUMIFS($P$4:$P$2503,$E$4:$E$2503,$E1008,$Z$4:$Z$2503,"正常",$A$4:$A$2503,"&lt;="&amp;$A1008))</f>
        <v/>
      </c>
      <c r="U1008" s="26">
        <f>IF($G1008="","",IF(OR($S1008&gt;0,$Q1008=0,$R1008=0,$Z1008&lt;&gt;"正常"),0,ROUND($T1008/$Q1008*$R1008,0)-ROUND(($T1008-$P1008)/$Q1008*$R1008,0)))</f>
        <v/>
      </c>
      <c r="V1008" s="26">
        <f>IF($G1008="","",ROUND($P1008+$U1008,0))</f>
        <v/>
      </c>
      <c r="W1008" s="26">
        <f>IF($G1008="","",IF(N($K1008)=0,0,ROUND($V1008/$K1008,2)))</f>
        <v/>
      </c>
      <c r="X1008" s="17" t="n"/>
      <c r="Y1008" s="17" t="n"/>
      <c r="Z1008" s="17" t="n"/>
      <c r="AA1008" s="17" t="n"/>
      <c r="AB1008" s="17" t="n"/>
      <c r="AC1008" s="24">
        <f>IF($G1008="","",IF($H1008="※编码不在物料档案里","※物料编码不在档案里",IF(N($K1008)&lt;=0,"※入库数量要大于 0",IF(AND($C1008&lt;&gt;"",$C1008&lt;=结账锁),"※日期早于已结账截止日，不能再录",IF(AND($L1008=0,$X1008="正常"),"※没填单价，价格状态请选「待补价」",IF(AND($S1008&gt;0,$R1008&gt;0),"△本批有 "&amp;$S1008&amp;" 行没单价，整批运费先挂账没摊",IF(AND($B1008&lt;&gt;"",COUNTIF($B$4:$B$2503,$B1008)&gt;1),"※入库单号重复","")))))))</f>
        <v/>
      </c>
    </row>
    <row r="1009">
      <c r="A1009" s="24">
        <f>IF($G1009="","",COUNTA($G$4:$G1009))</f>
        <v/>
      </c>
      <c r="B1009" s="17" t="n"/>
      <c r="C1009" s="30" t="n"/>
      <c r="D1009" s="17" t="n"/>
      <c r="E1009" s="17" t="n"/>
      <c r="F1009" s="17" t="n"/>
      <c r="G1009" s="17" t="n"/>
      <c r="H1009" s="24">
        <f>IF($G1009="","",IFERROR(VLOOKUP($G1009,物料档案!$A$4:$P$1203,3,0),"※编码不在物料档案里"))</f>
        <v/>
      </c>
      <c r="I1009" s="24">
        <f>IF($G1009="","",IFERROR(VLOOKUP($G1009,物料档案!$A$4:$P$1203,4,0),"※编码不在物料档案里"))</f>
        <v/>
      </c>
      <c r="J1009" s="24">
        <f>IF($G1009="","",IFERROR(VLOOKUP($G1009,物料档案!$A$4:$P$1203,5,0),"※编码不在物料档案里"))</f>
        <v/>
      </c>
      <c r="K1009" s="23" t="n"/>
      <c r="L1009" s="31" t="n"/>
      <c r="M1009" s="24">
        <f>IF($G1009="","",IF($D1009="A国内","CNY","TZS"))</f>
        <v/>
      </c>
      <c r="N1009" s="28">
        <f>IF($G1009="","",IF($D1009="A国内",汇率,1))</f>
        <v/>
      </c>
      <c r="O1009" s="25">
        <f>IF($G1009="","",ROUND(N($K1009)*N($L1009),2))</f>
        <v/>
      </c>
      <c r="P1009" s="26">
        <f>IF($G1009="","",ROUND($O1009*$N1009,0))</f>
        <v/>
      </c>
      <c r="Q1009" s="26">
        <f>IF($G1009="","",SUMIFS($P$4:$P$2503,$E$4:$E$2503,$E1009,$Z$4:$Z$2503,"正常"))</f>
        <v/>
      </c>
      <c r="R1009" s="26">
        <f>IF($G1009="","",SUMIFS(费用台账!$I$4:$I$503,费用台账!$C$4:$C$503,$E1009,费用台账!$J$4:$J$503,"是",费用台账!$K$4:$K$503,"正常"))</f>
        <v/>
      </c>
      <c r="S1009" s="28">
        <f>IF($G1009="","",COUNTIFS($E$4:$E$2503,$E1009,$Z$4:$Z$2503,"正常",$Y$4:$Y$2503,"待补价"))</f>
        <v/>
      </c>
      <c r="T1009" s="26">
        <f>IF($G1009="","",SUMIFS($P$4:$P$2503,$E$4:$E$2503,$E1009,$Z$4:$Z$2503,"正常",$A$4:$A$2503,"&lt;="&amp;$A1009))</f>
        <v/>
      </c>
      <c r="U1009" s="26">
        <f>IF($G1009="","",IF(OR($S1009&gt;0,$Q1009=0,$R1009=0,$Z1009&lt;&gt;"正常"),0,ROUND($T1009/$Q1009*$R1009,0)-ROUND(($T1009-$P1009)/$Q1009*$R1009,0)))</f>
        <v/>
      </c>
      <c r="V1009" s="26">
        <f>IF($G1009="","",ROUND($P1009+$U1009,0))</f>
        <v/>
      </c>
      <c r="W1009" s="26">
        <f>IF($G1009="","",IF(N($K1009)=0,0,ROUND($V1009/$K1009,2)))</f>
        <v/>
      </c>
      <c r="X1009" s="17" t="n"/>
      <c r="Y1009" s="17" t="n"/>
      <c r="Z1009" s="17" t="n"/>
      <c r="AA1009" s="17" t="n"/>
      <c r="AB1009" s="17" t="n"/>
      <c r="AC1009" s="24">
        <f>IF($G1009="","",IF($H1009="※编码不在物料档案里","※物料编码不在档案里",IF(N($K1009)&lt;=0,"※入库数量要大于 0",IF(AND($C1009&lt;&gt;"",$C1009&lt;=结账锁),"※日期早于已结账截止日，不能再录",IF(AND($L1009=0,$X1009="正常"),"※没填单价，价格状态请选「待补价」",IF(AND($S1009&gt;0,$R1009&gt;0),"△本批有 "&amp;$S1009&amp;" 行没单价，整批运费先挂账没摊",IF(AND($B1009&lt;&gt;"",COUNTIF($B$4:$B$2503,$B1009)&gt;1),"※入库单号重复","")))))))</f>
        <v/>
      </c>
    </row>
    <row r="1010">
      <c r="A1010" s="24">
        <f>IF($G1010="","",COUNTA($G$4:$G1010))</f>
        <v/>
      </c>
      <c r="B1010" s="17" t="n"/>
      <c r="C1010" s="30" t="n"/>
      <c r="D1010" s="17" t="n"/>
      <c r="E1010" s="17" t="n"/>
      <c r="F1010" s="17" t="n"/>
      <c r="G1010" s="17" t="n"/>
      <c r="H1010" s="24">
        <f>IF($G1010="","",IFERROR(VLOOKUP($G1010,物料档案!$A$4:$P$1203,3,0),"※编码不在物料档案里"))</f>
        <v/>
      </c>
      <c r="I1010" s="24">
        <f>IF($G1010="","",IFERROR(VLOOKUP($G1010,物料档案!$A$4:$P$1203,4,0),"※编码不在物料档案里"))</f>
        <v/>
      </c>
      <c r="J1010" s="24">
        <f>IF($G1010="","",IFERROR(VLOOKUP($G1010,物料档案!$A$4:$P$1203,5,0),"※编码不在物料档案里"))</f>
        <v/>
      </c>
      <c r="K1010" s="23" t="n"/>
      <c r="L1010" s="31" t="n"/>
      <c r="M1010" s="24">
        <f>IF($G1010="","",IF($D1010="A国内","CNY","TZS"))</f>
        <v/>
      </c>
      <c r="N1010" s="28">
        <f>IF($G1010="","",IF($D1010="A国内",汇率,1))</f>
        <v/>
      </c>
      <c r="O1010" s="25">
        <f>IF($G1010="","",ROUND(N($K1010)*N($L1010),2))</f>
        <v/>
      </c>
      <c r="P1010" s="26">
        <f>IF($G1010="","",ROUND($O1010*$N1010,0))</f>
        <v/>
      </c>
      <c r="Q1010" s="26">
        <f>IF($G1010="","",SUMIFS($P$4:$P$2503,$E$4:$E$2503,$E1010,$Z$4:$Z$2503,"正常"))</f>
        <v/>
      </c>
      <c r="R1010" s="26">
        <f>IF($G1010="","",SUMIFS(费用台账!$I$4:$I$503,费用台账!$C$4:$C$503,$E1010,费用台账!$J$4:$J$503,"是",费用台账!$K$4:$K$503,"正常"))</f>
        <v/>
      </c>
      <c r="S1010" s="28">
        <f>IF($G1010="","",COUNTIFS($E$4:$E$2503,$E1010,$Z$4:$Z$2503,"正常",$Y$4:$Y$2503,"待补价"))</f>
        <v/>
      </c>
      <c r="T1010" s="26">
        <f>IF($G1010="","",SUMIFS($P$4:$P$2503,$E$4:$E$2503,$E1010,$Z$4:$Z$2503,"正常",$A$4:$A$2503,"&lt;="&amp;$A1010))</f>
        <v/>
      </c>
      <c r="U1010" s="26">
        <f>IF($G1010="","",IF(OR($S1010&gt;0,$Q1010=0,$R1010=0,$Z1010&lt;&gt;"正常"),0,ROUND($T1010/$Q1010*$R1010,0)-ROUND(($T1010-$P1010)/$Q1010*$R1010,0)))</f>
        <v/>
      </c>
      <c r="V1010" s="26">
        <f>IF($G1010="","",ROUND($P1010+$U1010,0))</f>
        <v/>
      </c>
      <c r="W1010" s="26">
        <f>IF($G1010="","",IF(N($K1010)=0,0,ROUND($V1010/$K1010,2)))</f>
        <v/>
      </c>
      <c r="X1010" s="17" t="n"/>
      <c r="Y1010" s="17" t="n"/>
      <c r="Z1010" s="17" t="n"/>
      <c r="AA1010" s="17" t="n"/>
      <c r="AB1010" s="17" t="n"/>
      <c r="AC1010" s="24">
        <f>IF($G1010="","",IF($H1010="※编码不在物料档案里","※物料编码不在档案里",IF(N($K1010)&lt;=0,"※入库数量要大于 0",IF(AND($C1010&lt;&gt;"",$C1010&lt;=结账锁),"※日期早于已结账截止日，不能再录",IF(AND($L1010=0,$X1010="正常"),"※没填单价，价格状态请选「待补价」",IF(AND($S1010&gt;0,$R1010&gt;0),"△本批有 "&amp;$S1010&amp;" 行没单价，整批运费先挂账没摊",IF(AND($B1010&lt;&gt;"",COUNTIF($B$4:$B$2503,$B1010)&gt;1),"※入库单号重复","")))))))</f>
        <v/>
      </c>
    </row>
    <row r="1011">
      <c r="A1011" s="24">
        <f>IF($G1011="","",COUNTA($G$4:$G1011))</f>
        <v/>
      </c>
      <c r="B1011" s="17" t="n"/>
      <c r="C1011" s="30" t="n"/>
      <c r="D1011" s="17" t="n"/>
      <c r="E1011" s="17" t="n"/>
      <c r="F1011" s="17" t="n"/>
      <c r="G1011" s="17" t="n"/>
      <c r="H1011" s="24">
        <f>IF($G1011="","",IFERROR(VLOOKUP($G1011,物料档案!$A$4:$P$1203,3,0),"※编码不在物料档案里"))</f>
        <v/>
      </c>
      <c r="I1011" s="24">
        <f>IF($G1011="","",IFERROR(VLOOKUP($G1011,物料档案!$A$4:$P$1203,4,0),"※编码不在物料档案里"))</f>
        <v/>
      </c>
      <c r="J1011" s="24">
        <f>IF($G1011="","",IFERROR(VLOOKUP($G1011,物料档案!$A$4:$P$1203,5,0),"※编码不在物料档案里"))</f>
        <v/>
      </c>
      <c r="K1011" s="23" t="n"/>
      <c r="L1011" s="31" t="n"/>
      <c r="M1011" s="24">
        <f>IF($G1011="","",IF($D1011="A国内","CNY","TZS"))</f>
        <v/>
      </c>
      <c r="N1011" s="28">
        <f>IF($G1011="","",IF($D1011="A国内",汇率,1))</f>
        <v/>
      </c>
      <c r="O1011" s="25">
        <f>IF($G1011="","",ROUND(N($K1011)*N($L1011),2))</f>
        <v/>
      </c>
      <c r="P1011" s="26">
        <f>IF($G1011="","",ROUND($O1011*$N1011,0))</f>
        <v/>
      </c>
      <c r="Q1011" s="26">
        <f>IF($G1011="","",SUMIFS($P$4:$P$2503,$E$4:$E$2503,$E1011,$Z$4:$Z$2503,"正常"))</f>
        <v/>
      </c>
      <c r="R1011" s="26">
        <f>IF($G1011="","",SUMIFS(费用台账!$I$4:$I$503,费用台账!$C$4:$C$503,$E1011,费用台账!$J$4:$J$503,"是",费用台账!$K$4:$K$503,"正常"))</f>
        <v/>
      </c>
      <c r="S1011" s="28">
        <f>IF($G1011="","",COUNTIFS($E$4:$E$2503,$E1011,$Z$4:$Z$2503,"正常",$Y$4:$Y$2503,"待补价"))</f>
        <v/>
      </c>
      <c r="T1011" s="26">
        <f>IF($G1011="","",SUMIFS($P$4:$P$2503,$E$4:$E$2503,$E1011,$Z$4:$Z$2503,"正常",$A$4:$A$2503,"&lt;="&amp;$A1011))</f>
        <v/>
      </c>
      <c r="U1011" s="26">
        <f>IF($G1011="","",IF(OR($S1011&gt;0,$Q1011=0,$R1011=0,$Z1011&lt;&gt;"正常"),0,ROUND($T1011/$Q1011*$R1011,0)-ROUND(($T1011-$P1011)/$Q1011*$R1011,0)))</f>
        <v/>
      </c>
      <c r="V1011" s="26">
        <f>IF($G1011="","",ROUND($P1011+$U1011,0))</f>
        <v/>
      </c>
      <c r="W1011" s="26">
        <f>IF($G1011="","",IF(N($K1011)=0,0,ROUND($V1011/$K1011,2)))</f>
        <v/>
      </c>
      <c r="X1011" s="17" t="n"/>
      <c r="Y1011" s="17" t="n"/>
      <c r="Z1011" s="17" t="n"/>
      <c r="AA1011" s="17" t="n"/>
      <c r="AB1011" s="17" t="n"/>
      <c r="AC1011" s="24">
        <f>IF($G1011="","",IF($H1011="※编码不在物料档案里","※物料编码不在档案里",IF(N($K1011)&lt;=0,"※入库数量要大于 0",IF(AND($C1011&lt;&gt;"",$C1011&lt;=结账锁),"※日期早于已结账截止日，不能再录",IF(AND($L1011=0,$X1011="正常"),"※没填单价，价格状态请选「待补价」",IF(AND($S1011&gt;0,$R1011&gt;0),"△本批有 "&amp;$S1011&amp;" 行没单价，整批运费先挂账没摊",IF(AND($B1011&lt;&gt;"",COUNTIF($B$4:$B$2503,$B1011)&gt;1),"※入库单号重复","")))))))</f>
        <v/>
      </c>
    </row>
    <row r="1012">
      <c r="A1012" s="24">
        <f>IF($G1012="","",COUNTA($G$4:$G1012))</f>
        <v/>
      </c>
      <c r="B1012" s="17" t="n"/>
      <c r="C1012" s="30" t="n"/>
      <c r="D1012" s="17" t="n"/>
      <c r="E1012" s="17" t="n"/>
      <c r="F1012" s="17" t="n"/>
      <c r="G1012" s="17" t="n"/>
      <c r="H1012" s="24">
        <f>IF($G1012="","",IFERROR(VLOOKUP($G1012,物料档案!$A$4:$P$1203,3,0),"※编码不在物料档案里"))</f>
        <v/>
      </c>
      <c r="I1012" s="24">
        <f>IF($G1012="","",IFERROR(VLOOKUP($G1012,物料档案!$A$4:$P$1203,4,0),"※编码不在物料档案里"))</f>
        <v/>
      </c>
      <c r="J1012" s="24">
        <f>IF($G1012="","",IFERROR(VLOOKUP($G1012,物料档案!$A$4:$P$1203,5,0),"※编码不在物料档案里"))</f>
        <v/>
      </c>
      <c r="K1012" s="23" t="n"/>
      <c r="L1012" s="31" t="n"/>
      <c r="M1012" s="24">
        <f>IF($G1012="","",IF($D1012="A国内","CNY","TZS"))</f>
        <v/>
      </c>
      <c r="N1012" s="28">
        <f>IF($G1012="","",IF($D1012="A国内",汇率,1))</f>
        <v/>
      </c>
      <c r="O1012" s="25">
        <f>IF($G1012="","",ROUND(N($K1012)*N($L1012),2))</f>
        <v/>
      </c>
      <c r="P1012" s="26">
        <f>IF($G1012="","",ROUND($O1012*$N1012,0))</f>
        <v/>
      </c>
      <c r="Q1012" s="26">
        <f>IF($G1012="","",SUMIFS($P$4:$P$2503,$E$4:$E$2503,$E1012,$Z$4:$Z$2503,"正常"))</f>
        <v/>
      </c>
      <c r="R1012" s="26">
        <f>IF($G1012="","",SUMIFS(费用台账!$I$4:$I$503,费用台账!$C$4:$C$503,$E1012,费用台账!$J$4:$J$503,"是",费用台账!$K$4:$K$503,"正常"))</f>
        <v/>
      </c>
      <c r="S1012" s="28">
        <f>IF($G1012="","",COUNTIFS($E$4:$E$2503,$E1012,$Z$4:$Z$2503,"正常",$Y$4:$Y$2503,"待补价"))</f>
        <v/>
      </c>
      <c r="T1012" s="26">
        <f>IF($G1012="","",SUMIFS($P$4:$P$2503,$E$4:$E$2503,$E1012,$Z$4:$Z$2503,"正常",$A$4:$A$2503,"&lt;="&amp;$A1012))</f>
        <v/>
      </c>
      <c r="U1012" s="26">
        <f>IF($G1012="","",IF(OR($S1012&gt;0,$Q1012=0,$R1012=0,$Z1012&lt;&gt;"正常"),0,ROUND($T1012/$Q1012*$R1012,0)-ROUND(($T1012-$P1012)/$Q1012*$R1012,0)))</f>
        <v/>
      </c>
      <c r="V1012" s="26">
        <f>IF($G1012="","",ROUND($P1012+$U1012,0))</f>
        <v/>
      </c>
      <c r="W1012" s="26">
        <f>IF($G1012="","",IF(N($K1012)=0,0,ROUND($V1012/$K1012,2)))</f>
        <v/>
      </c>
      <c r="X1012" s="17" t="n"/>
      <c r="Y1012" s="17" t="n"/>
      <c r="Z1012" s="17" t="n"/>
      <c r="AA1012" s="17" t="n"/>
      <c r="AB1012" s="17" t="n"/>
      <c r="AC1012" s="24">
        <f>IF($G1012="","",IF($H1012="※编码不在物料档案里","※物料编码不在档案里",IF(N($K1012)&lt;=0,"※入库数量要大于 0",IF(AND($C1012&lt;&gt;"",$C1012&lt;=结账锁),"※日期早于已结账截止日，不能再录",IF(AND($L1012=0,$X1012="正常"),"※没填单价，价格状态请选「待补价」",IF(AND($S1012&gt;0,$R1012&gt;0),"△本批有 "&amp;$S1012&amp;" 行没单价，整批运费先挂账没摊",IF(AND($B1012&lt;&gt;"",COUNTIF($B$4:$B$2503,$B1012)&gt;1),"※入库单号重复","")))))))</f>
        <v/>
      </c>
    </row>
    <row r="1013">
      <c r="A1013" s="24">
        <f>IF($G1013="","",COUNTA($G$4:$G1013))</f>
        <v/>
      </c>
      <c r="B1013" s="17" t="n"/>
      <c r="C1013" s="30" t="n"/>
      <c r="D1013" s="17" t="n"/>
      <c r="E1013" s="17" t="n"/>
      <c r="F1013" s="17" t="n"/>
      <c r="G1013" s="17" t="n"/>
      <c r="H1013" s="24">
        <f>IF($G1013="","",IFERROR(VLOOKUP($G1013,物料档案!$A$4:$P$1203,3,0),"※编码不在物料档案里"))</f>
        <v/>
      </c>
      <c r="I1013" s="24">
        <f>IF($G1013="","",IFERROR(VLOOKUP($G1013,物料档案!$A$4:$P$1203,4,0),"※编码不在物料档案里"))</f>
        <v/>
      </c>
      <c r="J1013" s="24">
        <f>IF($G1013="","",IFERROR(VLOOKUP($G1013,物料档案!$A$4:$P$1203,5,0),"※编码不在物料档案里"))</f>
        <v/>
      </c>
      <c r="K1013" s="23" t="n"/>
      <c r="L1013" s="31" t="n"/>
      <c r="M1013" s="24">
        <f>IF($G1013="","",IF($D1013="A国内","CNY","TZS"))</f>
        <v/>
      </c>
      <c r="N1013" s="28">
        <f>IF($G1013="","",IF($D1013="A国内",汇率,1))</f>
        <v/>
      </c>
      <c r="O1013" s="25">
        <f>IF($G1013="","",ROUND(N($K1013)*N($L1013),2))</f>
        <v/>
      </c>
      <c r="P1013" s="26">
        <f>IF($G1013="","",ROUND($O1013*$N1013,0))</f>
        <v/>
      </c>
      <c r="Q1013" s="26">
        <f>IF($G1013="","",SUMIFS($P$4:$P$2503,$E$4:$E$2503,$E1013,$Z$4:$Z$2503,"正常"))</f>
        <v/>
      </c>
      <c r="R1013" s="26">
        <f>IF($G1013="","",SUMIFS(费用台账!$I$4:$I$503,费用台账!$C$4:$C$503,$E1013,费用台账!$J$4:$J$503,"是",费用台账!$K$4:$K$503,"正常"))</f>
        <v/>
      </c>
      <c r="S1013" s="28">
        <f>IF($G1013="","",COUNTIFS($E$4:$E$2503,$E1013,$Z$4:$Z$2503,"正常",$Y$4:$Y$2503,"待补价"))</f>
        <v/>
      </c>
      <c r="T1013" s="26">
        <f>IF($G1013="","",SUMIFS($P$4:$P$2503,$E$4:$E$2503,$E1013,$Z$4:$Z$2503,"正常",$A$4:$A$2503,"&lt;="&amp;$A1013))</f>
        <v/>
      </c>
      <c r="U1013" s="26">
        <f>IF($G1013="","",IF(OR($S1013&gt;0,$Q1013=0,$R1013=0,$Z1013&lt;&gt;"正常"),0,ROUND($T1013/$Q1013*$R1013,0)-ROUND(($T1013-$P1013)/$Q1013*$R1013,0)))</f>
        <v/>
      </c>
      <c r="V1013" s="26">
        <f>IF($G1013="","",ROUND($P1013+$U1013,0))</f>
        <v/>
      </c>
      <c r="W1013" s="26">
        <f>IF($G1013="","",IF(N($K1013)=0,0,ROUND($V1013/$K1013,2)))</f>
        <v/>
      </c>
      <c r="X1013" s="17" t="n"/>
      <c r="Y1013" s="17" t="n"/>
      <c r="Z1013" s="17" t="n"/>
      <c r="AA1013" s="17" t="n"/>
      <c r="AB1013" s="17" t="n"/>
      <c r="AC1013" s="24">
        <f>IF($G1013="","",IF($H1013="※编码不在物料档案里","※物料编码不在档案里",IF(N($K1013)&lt;=0,"※入库数量要大于 0",IF(AND($C1013&lt;&gt;"",$C1013&lt;=结账锁),"※日期早于已结账截止日，不能再录",IF(AND($L1013=0,$X1013="正常"),"※没填单价，价格状态请选「待补价」",IF(AND($S1013&gt;0,$R1013&gt;0),"△本批有 "&amp;$S1013&amp;" 行没单价，整批运费先挂账没摊",IF(AND($B1013&lt;&gt;"",COUNTIF($B$4:$B$2503,$B1013)&gt;1),"※入库单号重复","")))))))</f>
        <v/>
      </c>
    </row>
    <row r="1014">
      <c r="A1014" s="24">
        <f>IF($G1014="","",COUNTA($G$4:$G1014))</f>
        <v/>
      </c>
      <c r="B1014" s="17" t="n"/>
      <c r="C1014" s="30" t="n"/>
      <c r="D1014" s="17" t="n"/>
      <c r="E1014" s="17" t="n"/>
      <c r="F1014" s="17" t="n"/>
      <c r="G1014" s="17" t="n"/>
      <c r="H1014" s="24">
        <f>IF($G1014="","",IFERROR(VLOOKUP($G1014,物料档案!$A$4:$P$1203,3,0),"※编码不在物料档案里"))</f>
        <v/>
      </c>
      <c r="I1014" s="24">
        <f>IF($G1014="","",IFERROR(VLOOKUP($G1014,物料档案!$A$4:$P$1203,4,0),"※编码不在物料档案里"))</f>
        <v/>
      </c>
      <c r="J1014" s="24">
        <f>IF($G1014="","",IFERROR(VLOOKUP($G1014,物料档案!$A$4:$P$1203,5,0),"※编码不在物料档案里"))</f>
        <v/>
      </c>
      <c r="K1014" s="23" t="n"/>
      <c r="L1014" s="31" t="n"/>
      <c r="M1014" s="24">
        <f>IF($G1014="","",IF($D1014="A国内","CNY","TZS"))</f>
        <v/>
      </c>
      <c r="N1014" s="28">
        <f>IF($G1014="","",IF($D1014="A国内",汇率,1))</f>
        <v/>
      </c>
      <c r="O1014" s="25">
        <f>IF($G1014="","",ROUND(N($K1014)*N($L1014),2))</f>
        <v/>
      </c>
      <c r="P1014" s="26">
        <f>IF($G1014="","",ROUND($O1014*$N1014,0))</f>
        <v/>
      </c>
      <c r="Q1014" s="26">
        <f>IF($G1014="","",SUMIFS($P$4:$P$2503,$E$4:$E$2503,$E1014,$Z$4:$Z$2503,"正常"))</f>
        <v/>
      </c>
      <c r="R1014" s="26">
        <f>IF($G1014="","",SUMIFS(费用台账!$I$4:$I$503,费用台账!$C$4:$C$503,$E1014,费用台账!$J$4:$J$503,"是",费用台账!$K$4:$K$503,"正常"))</f>
        <v/>
      </c>
      <c r="S1014" s="28">
        <f>IF($G1014="","",COUNTIFS($E$4:$E$2503,$E1014,$Z$4:$Z$2503,"正常",$Y$4:$Y$2503,"待补价"))</f>
        <v/>
      </c>
      <c r="T1014" s="26">
        <f>IF($G1014="","",SUMIFS($P$4:$P$2503,$E$4:$E$2503,$E1014,$Z$4:$Z$2503,"正常",$A$4:$A$2503,"&lt;="&amp;$A1014))</f>
        <v/>
      </c>
      <c r="U1014" s="26">
        <f>IF($G1014="","",IF(OR($S1014&gt;0,$Q1014=0,$R1014=0,$Z1014&lt;&gt;"正常"),0,ROUND($T1014/$Q1014*$R1014,0)-ROUND(($T1014-$P1014)/$Q1014*$R1014,0)))</f>
        <v/>
      </c>
      <c r="V1014" s="26">
        <f>IF($G1014="","",ROUND($P1014+$U1014,0))</f>
        <v/>
      </c>
      <c r="W1014" s="26">
        <f>IF($G1014="","",IF(N($K1014)=0,0,ROUND($V1014/$K1014,2)))</f>
        <v/>
      </c>
      <c r="X1014" s="17" t="n"/>
      <c r="Y1014" s="17" t="n"/>
      <c r="Z1014" s="17" t="n"/>
      <c r="AA1014" s="17" t="n"/>
      <c r="AB1014" s="17" t="n"/>
      <c r="AC1014" s="24">
        <f>IF($G1014="","",IF($H1014="※编码不在物料档案里","※物料编码不在档案里",IF(N($K1014)&lt;=0,"※入库数量要大于 0",IF(AND($C1014&lt;&gt;"",$C1014&lt;=结账锁),"※日期早于已结账截止日，不能再录",IF(AND($L1014=0,$X1014="正常"),"※没填单价，价格状态请选「待补价」",IF(AND($S1014&gt;0,$R1014&gt;0),"△本批有 "&amp;$S1014&amp;" 行没单价，整批运费先挂账没摊",IF(AND($B1014&lt;&gt;"",COUNTIF($B$4:$B$2503,$B1014)&gt;1),"※入库单号重复","")))))))</f>
        <v/>
      </c>
    </row>
    <row r="1015">
      <c r="A1015" s="24">
        <f>IF($G1015="","",COUNTA($G$4:$G1015))</f>
        <v/>
      </c>
      <c r="B1015" s="17" t="n"/>
      <c r="C1015" s="30" t="n"/>
      <c r="D1015" s="17" t="n"/>
      <c r="E1015" s="17" t="n"/>
      <c r="F1015" s="17" t="n"/>
      <c r="G1015" s="17" t="n"/>
      <c r="H1015" s="24">
        <f>IF($G1015="","",IFERROR(VLOOKUP($G1015,物料档案!$A$4:$P$1203,3,0),"※编码不在物料档案里"))</f>
        <v/>
      </c>
      <c r="I1015" s="24">
        <f>IF($G1015="","",IFERROR(VLOOKUP($G1015,物料档案!$A$4:$P$1203,4,0),"※编码不在物料档案里"))</f>
        <v/>
      </c>
      <c r="J1015" s="24">
        <f>IF($G1015="","",IFERROR(VLOOKUP($G1015,物料档案!$A$4:$P$1203,5,0),"※编码不在物料档案里"))</f>
        <v/>
      </c>
      <c r="K1015" s="23" t="n"/>
      <c r="L1015" s="31" t="n"/>
      <c r="M1015" s="24">
        <f>IF($G1015="","",IF($D1015="A国内","CNY","TZS"))</f>
        <v/>
      </c>
      <c r="N1015" s="28">
        <f>IF($G1015="","",IF($D1015="A国内",汇率,1))</f>
        <v/>
      </c>
      <c r="O1015" s="25">
        <f>IF($G1015="","",ROUND(N($K1015)*N($L1015),2))</f>
        <v/>
      </c>
      <c r="P1015" s="26">
        <f>IF($G1015="","",ROUND($O1015*$N1015,0))</f>
        <v/>
      </c>
      <c r="Q1015" s="26">
        <f>IF($G1015="","",SUMIFS($P$4:$P$2503,$E$4:$E$2503,$E1015,$Z$4:$Z$2503,"正常"))</f>
        <v/>
      </c>
      <c r="R1015" s="26">
        <f>IF($G1015="","",SUMIFS(费用台账!$I$4:$I$503,费用台账!$C$4:$C$503,$E1015,费用台账!$J$4:$J$503,"是",费用台账!$K$4:$K$503,"正常"))</f>
        <v/>
      </c>
      <c r="S1015" s="28">
        <f>IF($G1015="","",COUNTIFS($E$4:$E$2503,$E1015,$Z$4:$Z$2503,"正常",$Y$4:$Y$2503,"待补价"))</f>
        <v/>
      </c>
      <c r="T1015" s="26">
        <f>IF($G1015="","",SUMIFS($P$4:$P$2503,$E$4:$E$2503,$E1015,$Z$4:$Z$2503,"正常",$A$4:$A$2503,"&lt;="&amp;$A1015))</f>
        <v/>
      </c>
      <c r="U1015" s="26">
        <f>IF($G1015="","",IF(OR($S1015&gt;0,$Q1015=0,$R1015=0,$Z1015&lt;&gt;"正常"),0,ROUND($T1015/$Q1015*$R1015,0)-ROUND(($T1015-$P1015)/$Q1015*$R1015,0)))</f>
        <v/>
      </c>
      <c r="V1015" s="26">
        <f>IF($G1015="","",ROUND($P1015+$U1015,0))</f>
        <v/>
      </c>
      <c r="W1015" s="26">
        <f>IF($G1015="","",IF(N($K1015)=0,0,ROUND($V1015/$K1015,2)))</f>
        <v/>
      </c>
      <c r="X1015" s="17" t="n"/>
      <c r="Y1015" s="17" t="n"/>
      <c r="Z1015" s="17" t="n"/>
      <c r="AA1015" s="17" t="n"/>
      <c r="AB1015" s="17" t="n"/>
      <c r="AC1015" s="24">
        <f>IF($G1015="","",IF($H1015="※编码不在物料档案里","※物料编码不在档案里",IF(N($K1015)&lt;=0,"※入库数量要大于 0",IF(AND($C1015&lt;&gt;"",$C1015&lt;=结账锁),"※日期早于已结账截止日，不能再录",IF(AND($L1015=0,$X1015="正常"),"※没填单价，价格状态请选「待补价」",IF(AND($S1015&gt;0,$R1015&gt;0),"△本批有 "&amp;$S1015&amp;" 行没单价，整批运费先挂账没摊",IF(AND($B1015&lt;&gt;"",COUNTIF($B$4:$B$2503,$B1015)&gt;1),"※入库单号重复","")))))))</f>
        <v/>
      </c>
    </row>
    <row r="1016">
      <c r="A1016" s="24">
        <f>IF($G1016="","",COUNTA($G$4:$G1016))</f>
        <v/>
      </c>
      <c r="B1016" s="17" t="n"/>
      <c r="C1016" s="30" t="n"/>
      <c r="D1016" s="17" t="n"/>
      <c r="E1016" s="17" t="n"/>
      <c r="F1016" s="17" t="n"/>
      <c r="G1016" s="17" t="n"/>
      <c r="H1016" s="24">
        <f>IF($G1016="","",IFERROR(VLOOKUP($G1016,物料档案!$A$4:$P$1203,3,0),"※编码不在物料档案里"))</f>
        <v/>
      </c>
      <c r="I1016" s="24">
        <f>IF($G1016="","",IFERROR(VLOOKUP($G1016,物料档案!$A$4:$P$1203,4,0),"※编码不在物料档案里"))</f>
        <v/>
      </c>
      <c r="J1016" s="24">
        <f>IF($G1016="","",IFERROR(VLOOKUP($G1016,物料档案!$A$4:$P$1203,5,0),"※编码不在物料档案里"))</f>
        <v/>
      </c>
      <c r="K1016" s="23" t="n"/>
      <c r="L1016" s="31" t="n"/>
      <c r="M1016" s="24">
        <f>IF($G1016="","",IF($D1016="A国内","CNY","TZS"))</f>
        <v/>
      </c>
      <c r="N1016" s="28">
        <f>IF($G1016="","",IF($D1016="A国内",汇率,1))</f>
        <v/>
      </c>
      <c r="O1016" s="25">
        <f>IF($G1016="","",ROUND(N($K1016)*N($L1016),2))</f>
        <v/>
      </c>
      <c r="P1016" s="26">
        <f>IF($G1016="","",ROUND($O1016*$N1016,0))</f>
        <v/>
      </c>
      <c r="Q1016" s="26">
        <f>IF($G1016="","",SUMIFS($P$4:$P$2503,$E$4:$E$2503,$E1016,$Z$4:$Z$2503,"正常"))</f>
        <v/>
      </c>
      <c r="R1016" s="26">
        <f>IF($G1016="","",SUMIFS(费用台账!$I$4:$I$503,费用台账!$C$4:$C$503,$E1016,费用台账!$J$4:$J$503,"是",费用台账!$K$4:$K$503,"正常"))</f>
        <v/>
      </c>
      <c r="S1016" s="28">
        <f>IF($G1016="","",COUNTIFS($E$4:$E$2503,$E1016,$Z$4:$Z$2503,"正常",$Y$4:$Y$2503,"待补价"))</f>
        <v/>
      </c>
      <c r="T1016" s="26">
        <f>IF($G1016="","",SUMIFS($P$4:$P$2503,$E$4:$E$2503,$E1016,$Z$4:$Z$2503,"正常",$A$4:$A$2503,"&lt;="&amp;$A1016))</f>
        <v/>
      </c>
      <c r="U1016" s="26">
        <f>IF($G1016="","",IF(OR($S1016&gt;0,$Q1016=0,$R1016=0,$Z1016&lt;&gt;"正常"),0,ROUND($T1016/$Q1016*$R1016,0)-ROUND(($T1016-$P1016)/$Q1016*$R1016,0)))</f>
        <v/>
      </c>
      <c r="V1016" s="26">
        <f>IF($G1016="","",ROUND($P1016+$U1016,0))</f>
        <v/>
      </c>
      <c r="W1016" s="26">
        <f>IF($G1016="","",IF(N($K1016)=0,0,ROUND($V1016/$K1016,2)))</f>
        <v/>
      </c>
      <c r="X1016" s="17" t="n"/>
      <c r="Y1016" s="17" t="n"/>
      <c r="Z1016" s="17" t="n"/>
      <c r="AA1016" s="17" t="n"/>
      <c r="AB1016" s="17" t="n"/>
      <c r="AC1016" s="24">
        <f>IF($G1016="","",IF($H1016="※编码不在物料档案里","※物料编码不在档案里",IF(N($K1016)&lt;=0,"※入库数量要大于 0",IF(AND($C1016&lt;&gt;"",$C1016&lt;=结账锁),"※日期早于已结账截止日，不能再录",IF(AND($L1016=0,$X1016="正常"),"※没填单价，价格状态请选「待补价」",IF(AND($S1016&gt;0,$R1016&gt;0),"△本批有 "&amp;$S1016&amp;" 行没单价，整批运费先挂账没摊",IF(AND($B1016&lt;&gt;"",COUNTIF($B$4:$B$2503,$B1016)&gt;1),"※入库单号重复","")))))))</f>
        <v/>
      </c>
    </row>
    <row r="1017">
      <c r="A1017" s="24">
        <f>IF($G1017="","",COUNTA($G$4:$G1017))</f>
        <v/>
      </c>
      <c r="B1017" s="17" t="n"/>
      <c r="C1017" s="30" t="n"/>
      <c r="D1017" s="17" t="n"/>
      <c r="E1017" s="17" t="n"/>
      <c r="F1017" s="17" t="n"/>
      <c r="G1017" s="17" t="n"/>
      <c r="H1017" s="24">
        <f>IF($G1017="","",IFERROR(VLOOKUP($G1017,物料档案!$A$4:$P$1203,3,0),"※编码不在物料档案里"))</f>
        <v/>
      </c>
      <c r="I1017" s="24">
        <f>IF($G1017="","",IFERROR(VLOOKUP($G1017,物料档案!$A$4:$P$1203,4,0),"※编码不在物料档案里"))</f>
        <v/>
      </c>
      <c r="J1017" s="24">
        <f>IF($G1017="","",IFERROR(VLOOKUP($G1017,物料档案!$A$4:$P$1203,5,0),"※编码不在物料档案里"))</f>
        <v/>
      </c>
      <c r="K1017" s="23" t="n"/>
      <c r="L1017" s="31" t="n"/>
      <c r="M1017" s="24">
        <f>IF($G1017="","",IF($D1017="A国内","CNY","TZS"))</f>
        <v/>
      </c>
      <c r="N1017" s="28">
        <f>IF($G1017="","",IF($D1017="A国内",汇率,1))</f>
        <v/>
      </c>
      <c r="O1017" s="25">
        <f>IF($G1017="","",ROUND(N($K1017)*N($L1017),2))</f>
        <v/>
      </c>
      <c r="P1017" s="26">
        <f>IF($G1017="","",ROUND($O1017*$N1017,0))</f>
        <v/>
      </c>
      <c r="Q1017" s="26">
        <f>IF($G1017="","",SUMIFS($P$4:$P$2503,$E$4:$E$2503,$E1017,$Z$4:$Z$2503,"正常"))</f>
        <v/>
      </c>
      <c r="R1017" s="26">
        <f>IF($G1017="","",SUMIFS(费用台账!$I$4:$I$503,费用台账!$C$4:$C$503,$E1017,费用台账!$J$4:$J$503,"是",费用台账!$K$4:$K$503,"正常"))</f>
        <v/>
      </c>
      <c r="S1017" s="28">
        <f>IF($G1017="","",COUNTIFS($E$4:$E$2503,$E1017,$Z$4:$Z$2503,"正常",$Y$4:$Y$2503,"待补价"))</f>
        <v/>
      </c>
      <c r="T1017" s="26">
        <f>IF($G1017="","",SUMIFS($P$4:$P$2503,$E$4:$E$2503,$E1017,$Z$4:$Z$2503,"正常",$A$4:$A$2503,"&lt;="&amp;$A1017))</f>
        <v/>
      </c>
      <c r="U1017" s="26">
        <f>IF($G1017="","",IF(OR($S1017&gt;0,$Q1017=0,$R1017=0,$Z1017&lt;&gt;"正常"),0,ROUND($T1017/$Q1017*$R1017,0)-ROUND(($T1017-$P1017)/$Q1017*$R1017,0)))</f>
        <v/>
      </c>
      <c r="V1017" s="26">
        <f>IF($G1017="","",ROUND($P1017+$U1017,0))</f>
        <v/>
      </c>
      <c r="W1017" s="26">
        <f>IF($G1017="","",IF(N($K1017)=0,0,ROUND($V1017/$K1017,2)))</f>
        <v/>
      </c>
      <c r="X1017" s="17" t="n"/>
      <c r="Y1017" s="17" t="n"/>
      <c r="Z1017" s="17" t="n"/>
      <c r="AA1017" s="17" t="n"/>
      <c r="AB1017" s="17" t="n"/>
      <c r="AC1017" s="24">
        <f>IF($G1017="","",IF($H1017="※编码不在物料档案里","※物料编码不在档案里",IF(N($K1017)&lt;=0,"※入库数量要大于 0",IF(AND($C1017&lt;&gt;"",$C1017&lt;=结账锁),"※日期早于已结账截止日，不能再录",IF(AND($L1017=0,$X1017="正常"),"※没填单价，价格状态请选「待补价」",IF(AND($S1017&gt;0,$R1017&gt;0),"△本批有 "&amp;$S1017&amp;" 行没单价，整批运费先挂账没摊",IF(AND($B1017&lt;&gt;"",COUNTIF($B$4:$B$2503,$B1017)&gt;1),"※入库单号重复","")))))))</f>
        <v/>
      </c>
    </row>
    <row r="1018">
      <c r="A1018" s="24">
        <f>IF($G1018="","",COUNTA($G$4:$G1018))</f>
        <v/>
      </c>
      <c r="B1018" s="17" t="n"/>
      <c r="C1018" s="30" t="n"/>
      <c r="D1018" s="17" t="n"/>
      <c r="E1018" s="17" t="n"/>
      <c r="F1018" s="17" t="n"/>
      <c r="G1018" s="17" t="n"/>
      <c r="H1018" s="24">
        <f>IF($G1018="","",IFERROR(VLOOKUP($G1018,物料档案!$A$4:$P$1203,3,0),"※编码不在物料档案里"))</f>
        <v/>
      </c>
      <c r="I1018" s="24">
        <f>IF($G1018="","",IFERROR(VLOOKUP($G1018,物料档案!$A$4:$P$1203,4,0),"※编码不在物料档案里"))</f>
        <v/>
      </c>
      <c r="J1018" s="24">
        <f>IF($G1018="","",IFERROR(VLOOKUP($G1018,物料档案!$A$4:$P$1203,5,0),"※编码不在物料档案里"))</f>
        <v/>
      </c>
      <c r="K1018" s="23" t="n"/>
      <c r="L1018" s="31" t="n"/>
      <c r="M1018" s="24">
        <f>IF($G1018="","",IF($D1018="A国内","CNY","TZS"))</f>
        <v/>
      </c>
      <c r="N1018" s="28">
        <f>IF($G1018="","",IF($D1018="A国内",汇率,1))</f>
        <v/>
      </c>
      <c r="O1018" s="25">
        <f>IF($G1018="","",ROUND(N($K1018)*N($L1018),2))</f>
        <v/>
      </c>
      <c r="P1018" s="26">
        <f>IF($G1018="","",ROUND($O1018*$N1018,0))</f>
        <v/>
      </c>
      <c r="Q1018" s="26">
        <f>IF($G1018="","",SUMIFS($P$4:$P$2503,$E$4:$E$2503,$E1018,$Z$4:$Z$2503,"正常"))</f>
        <v/>
      </c>
      <c r="R1018" s="26">
        <f>IF($G1018="","",SUMIFS(费用台账!$I$4:$I$503,费用台账!$C$4:$C$503,$E1018,费用台账!$J$4:$J$503,"是",费用台账!$K$4:$K$503,"正常"))</f>
        <v/>
      </c>
      <c r="S1018" s="28">
        <f>IF($G1018="","",COUNTIFS($E$4:$E$2503,$E1018,$Z$4:$Z$2503,"正常",$Y$4:$Y$2503,"待补价"))</f>
        <v/>
      </c>
      <c r="T1018" s="26">
        <f>IF($G1018="","",SUMIFS($P$4:$P$2503,$E$4:$E$2503,$E1018,$Z$4:$Z$2503,"正常",$A$4:$A$2503,"&lt;="&amp;$A1018))</f>
        <v/>
      </c>
      <c r="U1018" s="26">
        <f>IF($G1018="","",IF(OR($S1018&gt;0,$Q1018=0,$R1018=0,$Z1018&lt;&gt;"正常"),0,ROUND($T1018/$Q1018*$R1018,0)-ROUND(($T1018-$P1018)/$Q1018*$R1018,0)))</f>
        <v/>
      </c>
      <c r="V1018" s="26">
        <f>IF($G1018="","",ROUND($P1018+$U1018,0))</f>
        <v/>
      </c>
      <c r="W1018" s="26">
        <f>IF($G1018="","",IF(N($K1018)=0,0,ROUND($V1018/$K1018,2)))</f>
        <v/>
      </c>
      <c r="X1018" s="17" t="n"/>
      <c r="Y1018" s="17" t="n"/>
      <c r="Z1018" s="17" t="n"/>
      <c r="AA1018" s="17" t="n"/>
      <c r="AB1018" s="17" t="n"/>
      <c r="AC1018" s="24">
        <f>IF($G1018="","",IF($H1018="※编码不在物料档案里","※物料编码不在档案里",IF(N($K1018)&lt;=0,"※入库数量要大于 0",IF(AND($C1018&lt;&gt;"",$C1018&lt;=结账锁),"※日期早于已结账截止日，不能再录",IF(AND($L1018=0,$X1018="正常"),"※没填单价，价格状态请选「待补价」",IF(AND($S1018&gt;0,$R1018&gt;0),"△本批有 "&amp;$S1018&amp;" 行没单价，整批运费先挂账没摊",IF(AND($B1018&lt;&gt;"",COUNTIF($B$4:$B$2503,$B1018)&gt;1),"※入库单号重复","")))))))</f>
        <v/>
      </c>
    </row>
    <row r="1019">
      <c r="A1019" s="24">
        <f>IF($G1019="","",COUNTA($G$4:$G1019))</f>
        <v/>
      </c>
      <c r="B1019" s="17" t="n"/>
      <c r="C1019" s="30" t="n"/>
      <c r="D1019" s="17" t="n"/>
      <c r="E1019" s="17" t="n"/>
      <c r="F1019" s="17" t="n"/>
      <c r="G1019" s="17" t="n"/>
      <c r="H1019" s="24">
        <f>IF($G1019="","",IFERROR(VLOOKUP($G1019,物料档案!$A$4:$P$1203,3,0),"※编码不在物料档案里"))</f>
        <v/>
      </c>
      <c r="I1019" s="24">
        <f>IF($G1019="","",IFERROR(VLOOKUP($G1019,物料档案!$A$4:$P$1203,4,0),"※编码不在物料档案里"))</f>
        <v/>
      </c>
      <c r="J1019" s="24">
        <f>IF($G1019="","",IFERROR(VLOOKUP($G1019,物料档案!$A$4:$P$1203,5,0),"※编码不在物料档案里"))</f>
        <v/>
      </c>
      <c r="K1019" s="23" t="n"/>
      <c r="L1019" s="31" t="n"/>
      <c r="M1019" s="24">
        <f>IF($G1019="","",IF($D1019="A国内","CNY","TZS"))</f>
        <v/>
      </c>
      <c r="N1019" s="28">
        <f>IF($G1019="","",IF($D1019="A国内",汇率,1))</f>
        <v/>
      </c>
      <c r="O1019" s="25">
        <f>IF($G1019="","",ROUND(N($K1019)*N($L1019),2))</f>
        <v/>
      </c>
      <c r="P1019" s="26">
        <f>IF($G1019="","",ROUND($O1019*$N1019,0))</f>
        <v/>
      </c>
      <c r="Q1019" s="26">
        <f>IF($G1019="","",SUMIFS($P$4:$P$2503,$E$4:$E$2503,$E1019,$Z$4:$Z$2503,"正常"))</f>
        <v/>
      </c>
      <c r="R1019" s="26">
        <f>IF($G1019="","",SUMIFS(费用台账!$I$4:$I$503,费用台账!$C$4:$C$503,$E1019,费用台账!$J$4:$J$503,"是",费用台账!$K$4:$K$503,"正常"))</f>
        <v/>
      </c>
      <c r="S1019" s="28">
        <f>IF($G1019="","",COUNTIFS($E$4:$E$2503,$E1019,$Z$4:$Z$2503,"正常",$Y$4:$Y$2503,"待补价"))</f>
        <v/>
      </c>
      <c r="T1019" s="26">
        <f>IF($G1019="","",SUMIFS($P$4:$P$2503,$E$4:$E$2503,$E1019,$Z$4:$Z$2503,"正常",$A$4:$A$2503,"&lt;="&amp;$A1019))</f>
        <v/>
      </c>
      <c r="U1019" s="26">
        <f>IF($G1019="","",IF(OR($S1019&gt;0,$Q1019=0,$R1019=0,$Z1019&lt;&gt;"正常"),0,ROUND($T1019/$Q1019*$R1019,0)-ROUND(($T1019-$P1019)/$Q1019*$R1019,0)))</f>
        <v/>
      </c>
      <c r="V1019" s="26">
        <f>IF($G1019="","",ROUND($P1019+$U1019,0))</f>
        <v/>
      </c>
      <c r="W1019" s="26">
        <f>IF($G1019="","",IF(N($K1019)=0,0,ROUND($V1019/$K1019,2)))</f>
        <v/>
      </c>
      <c r="X1019" s="17" t="n"/>
      <c r="Y1019" s="17" t="n"/>
      <c r="Z1019" s="17" t="n"/>
      <c r="AA1019" s="17" t="n"/>
      <c r="AB1019" s="17" t="n"/>
      <c r="AC1019" s="24">
        <f>IF($G1019="","",IF($H1019="※编码不在物料档案里","※物料编码不在档案里",IF(N($K1019)&lt;=0,"※入库数量要大于 0",IF(AND($C1019&lt;&gt;"",$C1019&lt;=结账锁),"※日期早于已结账截止日，不能再录",IF(AND($L1019=0,$X1019="正常"),"※没填单价，价格状态请选「待补价」",IF(AND($S1019&gt;0,$R1019&gt;0),"△本批有 "&amp;$S1019&amp;" 行没单价，整批运费先挂账没摊",IF(AND($B1019&lt;&gt;"",COUNTIF($B$4:$B$2503,$B1019)&gt;1),"※入库单号重复","")))))))</f>
        <v/>
      </c>
    </row>
    <row r="1020">
      <c r="A1020" s="24">
        <f>IF($G1020="","",COUNTA($G$4:$G1020))</f>
        <v/>
      </c>
      <c r="B1020" s="17" t="n"/>
      <c r="C1020" s="30" t="n"/>
      <c r="D1020" s="17" t="n"/>
      <c r="E1020" s="17" t="n"/>
      <c r="F1020" s="17" t="n"/>
      <c r="G1020" s="17" t="n"/>
      <c r="H1020" s="24">
        <f>IF($G1020="","",IFERROR(VLOOKUP($G1020,物料档案!$A$4:$P$1203,3,0),"※编码不在物料档案里"))</f>
        <v/>
      </c>
      <c r="I1020" s="24">
        <f>IF($G1020="","",IFERROR(VLOOKUP($G1020,物料档案!$A$4:$P$1203,4,0),"※编码不在物料档案里"))</f>
        <v/>
      </c>
      <c r="J1020" s="24">
        <f>IF($G1020="","",IFERROR(VLOOKUP($G1020,物料档案!$A$4:$P$1203,5,0),"※编码不在物料档案里"))</f>
        <v/>
      </c>
      <c r="K1020" s="23" t="n"/>
      <c r="L1020" s="31" t="n"/>
      <c r="M1020" s="24">
        <f>IF($G1020="","",IF($D1020="A国内","CNY","TZS"))</f>
        <v/>
      </c>
      <c r="N1020" s="28">
        <f>IF($G1020="","",IF($D1020="A国内",汇率,1))</f>
        <v/>
      </c>
      <c r="O1020" s="25">
        <f>IF($G1020="","",ROUND(N($K1020)*N($L1020),2))</f>
        <v/>
      </c>
      <c r="P1020" s="26">
        <f>IF($G1020="","",ROUND($O1020*$N1020,0))</f>
        <v/>
      </c>
      <c r="Q1020" s="26">
        <f>IF($G1020="","",SUMIFS($P$4:$P$2503,$E$4:$E$2503,$E1020,$Z$4:$Z$2503,"正常"))</f>
        <v/>
      </c>
      <c r="R1020" s="26">
        <f>IF($G1020="","",SUMIFS(费用台账!$I$4:$I$503,费用台账!$C$4:$C$503,$E1020,费用台账!$J$4:$J$503,"是",费用台账!$K$4:$K$503,"正常"))</f>
        <v/>
      </c>
      <c r="S1020" s="28">
        <f>IF($G1020="","",COUNTIFS($E$4:$E$2503,$E1020,$Z$4:$Z$2503,"正常",$Y$4:$Y$2503,"待补价"))</f>
        <v/>
      </c>
      <c r="T1020" s="26">
        <f>IF($G1020="","",SUMIFS($P$4:$P$2503,$E$4:$E$2503,$E1020,$Z$4:$Z$2503,"正常",$A$4:$A$2503,"&lt;="&amp;$A1020))</f>
        <v/>
      </c>
      <c r="U1020" s="26">
        <f>IF($G1020="","",IF(OR($S1020&gt;0,$Q1020=0,$R1020=0,$Z1020&lt;&gt;"正常"),0,ROUND($T1020/$Q1020*$R1020,0)-ROUND(($T1020-$P1020)/$Q1020*$R1020,0)))</f>
        <v/>
      </c>
      <c r="V1020" s="26">
        <f>IF($G1020="","",ROUND($P1020+$U1020,0))</f>
        <v/>
      </c>
      <c r="W1020" s="26">
        <f>IF($G1020="","",IF(N($K1020)=0,0,ROUND($V1020/$K1020,2)))</f>
        <v/>
      </c>
      <c r="X1020" s="17" t="n"/>
      <c r="Y1020" s="17" t="n"/>
      <c r="Z1020" s="17" t="n"/>
      <c r="AA1020" s="17" t="n"/>
      <c r="AB1020" s="17" t="n"/>
      <c r="AC1020" s="24">
        <f>IF($G1020="","",IF($H1020="※编码不在物料档案里","※物料编码不在档案里",IF(N($K1020)&lt;=0,"※入库数量要大于 0",IF(AND($C1020&lt;&gt;"",$C1020&lt;=结账锁),"※日期早于已结账截止日，不能再录",IF(AND($L1020=0,$X1020="正常"),"※没填单价，价格状态请选「待补价」",IF(AND($S1020&gt;0,$R1020&gt;0),"△本批有 "&amp;$S1020&amp;" 行没单价，整批运费先挂账没摊",IF(AND($B1020&lt;&gt;"",COUNTIF($B$4:$B$2503,$B1020)&gt;1),"※入库单号重复","")))))))</f>
        <v/>
      </c>
    </row>
    <row r="1021">
      <c r="A1021" s="24">
        <f>IF($G1021="","",COUNTA($G$4:$G1021))</f>
        <v/>
      </c>
      <c r="B1021" s="17" t="n"/>
      <c r="C1021" s="30" t="n"/>
      <c r="D1021" s="17" t="n"/>
      <c r="E1021" s="17" t="n"/>
      <c r="F1021" s="17" t="n"/>
      <c r="G1021" s="17" t="n"/>
      <c r="H1021" s="24">
        <f>IF($G1021="","",IFERROR(VLOOKUP($G1021,物料档案!$A$4:$P$1203,3,0),"※编码不在物料档案里"))</f>
        <v/>
      </c>
      <c r="I1021" s="24">
        <f>IF($G1021="","",IFERROR(VLOOKUP($G1021,物料档案!$A$4:$P$1203,4,0),"※编码不在物料档案里"))</f>
        <v/>
      </c>
      <c r="J1021" s="24">
        <f>IF($G1021="","",IFERROR(VLOOKUP($G1021,物料档案!$A$4:$P$1203,5,0),"※编码不在物料档案里"))</f>
        <v/>
      </c>
      <c r="K1021" s="23" t="n"/>
      <c r="L1021" s="31" t="n"/>
      <c r="M1021" s="24">
        <f>IF($G1021="","",IF($D1021="A国内","CNY","TZS"))</f>
        <v/>
      </c>
      <c r="N1021" s="28">
        <f>IF($G1021="","",IF($D1021="A国内",汇率,1))</f>
        <v/>
      </c>
      <c r="O1021" s="25">
        <f>IF($G1021="","",ROUND(N($K1021)*N($L1021),2))</f>
        <v/>
      </c>
      <c r="P1021" s="26">
        <f>IF($G1021="","",ROUND($O1021*$N1021,0))</f>
        <v/>
      </c>
      <c r="Q1021" s="26">
        <f>IF($G1021="","",SUMIFS($P$4:$P$2503,$E$4:$E$2503,$E1021,$Z$4:$Z$2503,"正常"))</f>
        <v/>
      </c>
      <c r="R1021" s="26">
        <f>IF($G1021="","",SUMIFS(费用台账!$I$4:$I$503,费用台账!$C$4:$C$503,$E1021,费用台账!$J$4:$J$503,"是",费用台账!$K$4:$K$503,"正常"))</f>
        <v/>
      </c>
      <c r="S1021" s="28">
        <f>IF($G1021="","",COUNTIFS($E$4:$E$2503,$E1021,$Z$4:$Z$2503,"正常",$Y$4:$Y$2503,"待补价"))</f>
        <v/>
      </c>
      <c r="T1021" s="26">
        <f>IF($G1021="","",SUMIFS($P$4:$P$2503,$E$4:$E$2503,$E1021,$Z$4:$Z$2503,"正常",$A$4:$A$2503,"&lt;="&amp;$A1021))</f>
        <v/>
      </c>
      <c r="U1021" s="26">
        <f>IF($G1021="","",IF(OR($S1021&gt;0,$Q1021=0,$R1021=0,$Z1021&lt;&gt;"正常"),0,ROUND($T1021/$Q1021*$R1021,0)-ROUND(($T1021-$P1021)/$Q1021*$R1021,0)))</f>
        <v/>
      </c>
      <c r="V1021" s="26">
        <f>IF($G1021="","",ROUND($P1021+$U1021,0))</f>
        <v/>
      </c>
      <c r="W1021" s="26">
        <f>IF($G1021="","",IF(N($K1021)=0,0,ROUND($V1021/$K1021,2)))</f>
        <v/>
      </c>
      <c r="X1021" s="17" t="n"/>
      <c r="Y1021" s="17" t="n"/>
      <c r="Z1021" s="17" t="n"/>
      <c r="AA1021" s="17" t="n"/>
      <c r="AB1021" s="17" t="n"/>
      <c r="AC1021" s="24">
        <f>IF($G1021="","",IF($H1021="※编码不在物料档案里","※物料编码不在档案里",IF(N($K1021)&lt;=0,"※入库数量要大于 0",IF(AND($C1021&lt;&gt;"",$C1021&lt;=结账锁),"※日期早于已结账截止日，不能再录",IF(AND($L1021=0,$X1021="正常"),"※没填单价，价格状态请选「待补价」",IF(AND($S1021&gt;0,$R1021&gt;0),"△本批有 "&amp;$S1021&amp;" 行没单价，整批运费先挂账没摊",IF(AND($B1021&lt;&gt;"",COUNTIF($B$4:$B$2503,$B1021)&gt;1),"※入库单号重复","")))))))</f>
        <v/>
      </c>
    </row>
    <row r="1022">
      <c r="A1022" s="24">
        <f>IF($G1022="","",COUNTA($G$4:$G1022))</f>
        <v/>
      </c>
      <c r="B1022" s="17" t="n"/>
      <c r="C1022" s="30" t="n"/>
      <c r="D1022" s="17" t="n"/>
      <c r="E1022" s="17" t="n"/>
      <c r="F1022" s="17" t="n"/>
      <c r="G1022" s="17" t="n"/>
      <c r="H1022" s="24">
        <f>IF($G1022="","",IFERROR(VLOOKUP($G1022,物料档案!$A$4:$P$1203,3,0),"※编码不在物料档案里"))</f>
        <v/>
      </c>
      <c r="I1022" s="24">
        <f>IF($G1022="","",IFERROR(VLOOKUP($G1022,物料档案!$A$4:$P$1203,4,0),"※编码不在物料档案里"))</f>
        <v/>
      </c>
      <c r="J1022" s="24">
        <f>IF($G1022="","",IFERROR(VLOOKUP($G1022,物料档案!$A$4:$P$1203,5,0),"※编码不在物料档案里"))</f>
        <v/>
      </c>
      <c r="K1022" s="23" t="n"/>
      <c r="L1022" s="31" t="n"/>
      <c r="M1022" s="24">
        <f>IF($G1022="","",IF($D1022="A国内","CNY","TZS"))</f>
        <v/>
      </c>
      <c r="N1022" s="28">
        <f>IF($G1022="","",IF($D1022="A国内",汇率,1))</f>
        <v/>
      </c>
      <c r="O1022" s="25">
        <f>IF($G1022="","",ROUND(N($K1022)*N($L1022),2))</f>
        <v/>
      </c>
      <c r="P1022" s="26">
        <f>IF($G1022="","",ROUND($O1022*$N1022,0))</f>
        <v/>
      </c>
      <c r="Q1022" s="26">
        <f>IF($G1022="","",SUMIFS($P$4:$P$2503,$E$4:$E$2503,$E1022,$Z$4:$Z$2503,"正常"))</f>
        <v/>
      </c>
      <c r="R1022" s="26">
        <f>IF($G1022="","",SUMIFS(费用台账!$I$4:$I$503,费用台账!$C$4:$C$503,$E1022,费用台账!$J$4:$J$503,"是",费用台账!$K$4:$K$503,"正常"))</f>
        <v/>
      </c>
      <c r="S1022" s="28">
        <f>IF($G1022="","",COUNTIFS($E$4:$E$2503,$E1022,$Z$4:$Z$2503,"正常",$Y$4:$Y$2503,"待补价"))</f>
        <v/>
      </c>
      <c r="T1022" s="26">
        <f>IF($G1022="","",SUMIFS($P$4:$P$2503,$E$4:$E$2503,$E1022,$Z$4:$Z$2503,"正常",$A$4:$A$2503,"&lt;="&amp;$A1022))</f>
        <v/>
      </c>
      <c r="U1022" s="26">
        <f>IF($G1022="","",IF(OR($S1022&gt;0,$Q1022=0,$R1022=0,$Z1022&lt;&gt;"正常"),0,ROUND($T1022/$Q1022*$R1022,0)-ROUND(($T1022-$P1022)/$Q1022*$R1022,0)))</f>
        <v/>
      </c>
      <c r="V1022" s="26">
        <f>IF($G1022="","",ROUND($P1022+$U1022,0))</f>
        <v/>
      </c>
      <c r="W1022" s="26">
        <f>IF($G1022="","",IF(N($K1022)=0,0,ROUND($V1022/$K1022,2)))</f>
        <v/>
      </c>
      <c r="X1022" s="17" t="n"/>
      <c r="Y1022" s="17" t="n"/>
      <c r="Z1022" s="17" t="n"/>
      <c r="AA1022" s="17" t="n"/>
      <c r="AB1022" s="17" t="n"/>
      <c r="AC1022" s="24">
        <f>IF($G1022="","",IF($H1022="※编码不在物料档案里","※物料编码不在档案里",IF(N($K1022)&lt;=0,"※入库数量要大于 0",IF(AND($C1022&lt;&gt;"",$C1022&lt;=结账锁),"※日期早于已结账截止日，不能再录",IF(AND($L1022=0,$X1022="正常"),"※没填单价，价格状态请选「待补价」",IF(AND($S1022&gt;0,$R1022&gt;0),"△本批有 "&amp;$S1022&amp;" 行没单价，整批运费先挂账没摊",IF(AND($B1022&lt;&gt;"",COUNTIF($B$4:$B$2503,$B1022)&gt;1),"※入库单号重复","")))))))</f>
        <v/>
      </c>
    </row>
    <row r="1023">
      <c r="A1023" s="24">
        <f>IF($G1023="","",COUNTA($G$4:$G1023))</f>
        <v/>
      </c>
      <c r="B1023" s="17" t="n"/>
      <c r="C1023" s="30" t="n"/>
      <c r="D1023" s="17" t="n"/>
      <c r="E1023" s="17" t="n"/>
      <c r="F1023" s="17" t="n"/>
      <c r="G1023" s="17" t="n"/>
      <c r="H1023" s="24">
        <f>IF($G1023="","",IFERROR(VLOOKUP($G1023,物料档案!$A$4:$P$1203,3,0),"※编码不在物料档案里"))</f>
        <v/>
      </c>
      <c r="I1023" s="24">
        <f>IF($G1023="","",IFERROR(VLOOKUP($G1023,物料档案!$A$4:$P$1203,4,0),"※编码不在物料档案里"))</f>
        <v/>
      </c>
      <c r="J1023" s="24">
        <f>IF($G1023="","",IFERROR(VLOOKUP($G1023,物料档案!$A$4:$P$1203,5,0),"※编码不在物料档案里"))</f>
        <v/>
      </c>
      <c r="K1023" s="23" t="n"/>
      <c r="L1023" s="31" t="n"/>
      <c r="M1023" s="24">
        <f>IF($G1023="","",IF($D1023="A国内","CNY","TZS"))</f>
        <v/>
      </c>
      <c r="N1023" s="28">
        <f>IF($G1023="","",IF($D1023="A国内",汇率,1))</f>
        <v/>
      </c>
      <c r="O1023" s="25">
        <f>IF($G1023="","",ROUND(N($K1023)*N($L1023),2))</f>
        <v/>
      </c>
      <c r="P1023" s="26">
        <f>IF($G1023="","",ROUND($O1023*$N1023,0))</f>
        <v/>
      </c>
      <c r="Q1023" s="26">
        <f>IF($G1023="","",SUMIFS($P$4:$P$2503,$E$4:$E$2503,$E1023,$Z$4:$Z$2503,"正常"))</f>
        <v/>
      </c>
      <c r="R1023" s="26">
        <f>IF($G1023="","",SUMIFS(费用台账!$I$4:$I$503,费用台账!$C$4:$C$503,$E1023,费用台账!$J$4:$J$503,"是",费用台账!$K$4:$K$503,"正常"))</f>
        <v/>
      </c>
      <c r="S1023" s="28">
        <f>IF($G1023="","",COUNTIFS($E$4:$E$2503,$E1023,$Z$4:$Z$2503,"正常",$Y$4:$Y$2503,"待补价"))</f>
        <v/>
      </c>
      <c r="T1023" s="26">
        <f>IF($G1023="","",SUMIFS($P$4:$P$2503,$E$4:$E$2503,$E1023,$Z$4:$Z$2503,"正常",$A$4:$A$2503,"&lt;="&amp;$A1023))</f>
        <v/>
      </c>
      <c r="U1023" s="26">
        <f>IF($G1023="","",IF(OR($S1023&gt;0,$Q1023=0,$R1023=0,$Z1023&lt;&gt;"正常"),0,ROUND($T1023/$Q1023*$R1023,0)-ROUND(($T1023-$P1023)/$Q1023*$R1023,0)))</f>
        <v/>
      </c>
      <c r="V1023" s="26">
        <f>IF($G1023="","",ROUND($P1023+$U1023,0))</f>
        <v/>
      </c>
      <c r="W1023" s="26">
        <f>IF($G1023="","",IF(N($K1023)=0,0,ROUND($V1023/$K1023,2)))</f>
        <v/>
      </c>
      <c r="X1023" s="17" t="n"/>
      <c r="Y1023" s="17" t="n"/>
      <c r="Z1023" s="17" t="n"/>
      <c r="AA1023" s="17" t="n"/>
      <c r="AB1023" s="17" t="n"/>
      <c r="AC1023" s="24">
        <f>IF($G1023="","",IF($H1023="※编码不在物料档案里","※物料编码不在档案里",IF(N($K1023)&lt;=0,"※入库数量要大于 0",IF(AND($C1023&lt;&gt;"",$C1023&lt;=结账锁),"※日期早于已结账截止日，不能再录",IF(AND($L1023=0,$X1023="正常"),"※没填单价，价格状态请选「待补价」",IF(AND($S1023&gt;0,$R1023&gt;0),"△本批有 "&amp;$S1023&amp;" 行没单价，整批运费先挂账没摊",IF(AND($B1023&lt;&gt;"",COUNTIF($B$4:$B$2503,$B1023)&gt;1),"※入库单号重复","")))))))</f>
        <v/>
      </c>
    </row>
    <row r="1024">
      <c r="A1024" s="24">
        <f>IF($G1024="","",COUNTA($G$4:$G1024))</f>
        <v/>
      </c>
      <c r="B1024" s="17" t="n"/>
      <c r="C1024" s="30" t="n"/>
      <c r="D1024" s="17" t="n"/>
      <c r="E1024" s="17" t="n"/>
      <c r="F1024" s="17" t="n"/>
      <c r="G1024" s="17" t="n"/>
      <c r="H1024" s="24">
        <f>IF($G1024="","",IFERROR(VLOOKUP($G1024,物料档案!$A$4:$P$1203,3,0),"※编码不在物料档案里"))</f>
        <v/>
      </c>
      <c r="I1024" s="24">
        <f>IF($G1024="","",IFERROR(VLOOKUP($G1024,物料档案!$A$4:$P$1203,4,0),"※编码不在物料档案里"))</f>
        <v/>
      </c>
      <c r="J1024" s="24">
        <f>IF($G1024="","",IFERROR(VLOOKUP($G1024,物料档案!$A$4:$P$1203,5,0),"※编码不在物料档案里"))</f>
        <v/>
      </c>
      <c r="K1024" s="23" t="n"/>
      <c r="L1024" s="31" t="n"/>
      <c r="M1024" s="24">
        <f>IF($G1024="","",IF($D1024="A国内","CNY","TZS"))</f>
        <v/>
      </c>
      <c r="N1024" s="28">
        <f>IF($G1024="","",IF($D1024="A国内",汇率,1))</f>
        <v/>
      </c>
      <c r="O1024" s="25">
        <f>IF($G1024="","",ROUND(N($K1024)*N($L1024),2))</f>
        <v/>
      </c>
      <c r="P1024" s="26">
        <f>IF($G1024="","",ROUND($O1024*$N1024,0))</f>
        <v/>
      </c>
      <c r="Q1024" s="26">
        <f>IF($G1024="","",SUMIFS($P$4:$P$2503,$E$4:$E$2503,$E1024,$Z$4:$Z$2503,"正常"))</f>
        <v/>
      </c>
      <c r="R1024" s="26">
        <f>IF($G1024="","",SUMIFS(费用台账!$I$4:$I$503,费用台账!$C$4:$C$503,$E1024,费用台账!$J$4:$J$503,"是",费用台账!$K$4:$K$503,"正常"))</f>
        <v/>
      </c>
      <c r="S1024" s="28">
        <f>IF($G1024="","",COUNTIFS($E$4:$E$2503,$E1024,$Z$4:$Z$2503,"正常",$Y$4:$Y$2503,"待补价"))</f>
        <v/>
      </c>
      <c r="T1024" s="26">
        <f>IF($G1024="","",SUMIFS($P$4:$P$2503,$E$4:$E$2503,$E1024,$Z$4:$Z$2503,"正常",$A$4:$A$2503,"&lt;="&amp;$A1024))</f>
        <v/>
      </c>
      <c r="U1024" s="26">
        <f>IF($G1024="","",IF(OR($S1024&gt;0,$Q1024=0,$R1024=0,$Z1024&lt;&gt;"正常"),0,ROUND($T1024/$Q1024*$R1024,0)-ROUND(($T1024-$P1024)/$Q1024*$R1024,0)))</f>
        <v/>
      </c>
      <c r="V1024" s="26">
        <f>IF($G1024="","",ROUND($P1024+$U1024,0))</f>
        <v/>
      </c>
      <c r="W1024" s="26">
        <f>IF($G1024="","",IF(N($K1024)=0,0,ROUND($V1024/$K1024,2)))</f>
        <v/>
      </c>
      <c r="X1024" s="17" t="n"/>
      <c r="Y1024" s="17" t="n"/>
      <c r="Z1024" s="17" t="n"/>
      <c r="AA1024" s="17" t="n"/>
      <c r="AB1024" s="17" t="n"/>
      <c r="AC1024" s="24">
        <f>IF($G1024="","",IF($H1024="※编码不在物料档案里","※物料编码不在档案里",IF(N($K1024)&lt;=0,"※入库数量要大于 0",IF(AND($C1024&lt;&gt;"",$C1024&lt;=结账锁),"※日期早于已结账截止日，不能再录",IF(AND($L1024=0,$X1024="正常"),"※没填单价，价格状态请选「待补价」",IF(AND($S1024&gt;0,$R1024&gt;0),"△本批有 "&amp;$S1024&amp;" 行没单价，整批运费先挂账没摊",IF(AND($B1024&lt;&gt;"",COUNTIF($B$4:$B$2503,$B1024)&gt;1),"※入库单号重复","")))))))</f>
        <v/>
      </c>
    </row>
    <row r="1025">
      <c r="A1025" s="24">
        <f>IF($G1025="","",COUNTA($G$4:$G1025))</f>
        <v/>
      </c>
      <c r="B1025" s="17" t="n"/>
      <c r="C1025" s="30" t="n"/>
      <c r="D1025" s="17" t="n"/>
      <c r="E1025" s="17" t="n"/>
      <c r="F1025" s="17" t="n"/>
      <c r="G1025" s="17" t="n"/>
      <c r="H1025" s="24">
        <f>IF($G1025="","",IFERROR(VLOOKUP($G1025,物料档案!$A$4:$P$1203,3,0),"※编码不在物料档案里"))</f>
        <v/>
      </c>
      <c r="I1025" s="24">
        <f>IF($G1025="","",IFERROR(VLOOKUP($G1025,物料档案!$A$4:$P$1203,4,0),"※编码不在物料档案里"))</f>
        <v/>
      </c>
      <c r="J1025" s="24">
        <f>IF($G1025="","",IFERROR(VLOOKUP($G1025,物料档案!$A$4:$P$1203,5,0),"※编码不在物料档案里"))</f>
        <v/>
      </c>
      <c r="K1025" s="23" t="n"/>
      <c r="L1025" s="31" t="n"/>
      <c r="M1025" s="24">
        <f>IF($G1025="","",IF($D1025="A国内","CNY","TZS"))</f>
        <v/>
      </c>
      <c r="N1025" s="28">
        <f>IF($G1025="","",IF($D1025="A国内",汇率,1))</f>
        <v/>
      </c>
      <c r="O1025" s="25">
        <f>IF($G1025="","",ROUND(N($K1025)*N($L1025),2))</f>
        <v/>
      </c>
      <c r="P1025" s="26">
        <f>IF($G1025="","",ROUND($O1025*$N1025,0))</f>
        <v/>
      </c>
      <c r="Q1025" s="26">
        <f>IF($G1025="","",SUMIFS($P$4:$P$2503,$E$4:$E$2503,$E1025,$Z$4:$Z$2503,"正常"))</f>
        <v/>
      </c>
      <c r="R1025" s="26">
        <f>IF($G1025="","",SUMIFS(费用台账!$I$4:$I$503,费用台账!$C$4:$C$503,$E1025,费用台账!$J$4:$J$503,"是",费用台账!$K$4:$K$503,"正常"))</f>
        <v/>
      </c>
      <c r="S1025" s="28">
        <f>IF($G1025="","",COUNTIFS($E$4:$E$2503,$E1025,$Z$4:$Z$2503,"正常",$Y$4:$Y$2503,"待补价"))</f>
        <v/>
      </c>
      <c r="T1025" s="26">
        <f>IF($G1025="","",SUMIFS($P$4:$P$2503,$E$4:$E$2503,$E1025,$Z$4:$Z$2503,"正常",$A$4:$A$2503,"&lt;="&amp;$A1025))</f>
        <v/>
      </c>
      <c r="U1025" s="26">
        <f>IF($G1025="","",IF(OR($S1025&gt;0,$Q1025=0,$R1025=0,$Z1025&lt;&gt;"正常"),0,ROUND($T1025/$Q1025*$R1025,0)-ROUND(($T1025-$P1025)/$Q1025*$R1025,0)))</f>
        <v/>
      </c>
      <c r="V1025" s="26">
        <f>IF($G1025="","",ROUND($P1025+$U1025,0))</f>
        <v/>
      </c>
      <c r="W1025" s="26">
        <f>IF($G1025="","",IF(N($K1025)=0,0,ROUND($V1025/$K1025,2)))</f>
        <v/>
      </c>
      <c r="X1025" s="17" t="n"/>
      <c r="Y1025" s="17" t="n"/>
      <c r="Z1025" s="17" t="n"/>
      <c r="AA1025" s="17" t="n"/>
      <c r="AB1025" s="17" t="n"/>
      <c r="AC1025" s="24">
        <f>IF($G1025="","",IF($H1025="※编码不在物料档案里","※物料编码不在档案里",IF(N($K1025)&lt;=0,"※入库数量要大于 0",IF(AND($C1025&lt;&gt;"",$C1025&lt;=结账锁),"※日期早于已结账截止日，不能再录",IF(AND($L1025=0,$X1025="正常"),"※没填单价，价格状态请选「待补价」",IF(AND($S1025&gt;0,$R1025&gt;0),"△本批有 "&amp;$S1025&amp;" 行没单价，整批运费先挂账没摊",IF(AND($B1025&lt;&gt;"",COUNTIF($B$4:$B$2503,$B1025)&gt;1),"※入库单号重复","")))))))</f>
        <v/>
      </c>
    </row>
    <row r="1026">
      <c r="A1026" s="24">
        <f>IF($G1026="","",COUNTA($G$4:$G1026))</f>
        <v/>
      </c>
      <c r="B1026" s="17" t="n"/>
      <c r="C1026" s="30" t="n"/>
      <c r="D1026" s="17" t="n"/>
      <c r="E1026" s="17" t="n"/>
      <c r="F1026" s="17" t="n"/>
      <c r="G1026" s="17" t="n"/>
      <c r="H1026" s="24">
        <f>IF($G1026="","",IFERROR(VLOOKUP($G1026,物料档案!$A$4:$P$1203,3,0),"※编码不在物料档案里"))</f>
        <v/>
      </c>
      <c r="I1026" s="24">
        <f>IF($G1026="","",IFERROR(VLOOKUP($G1026,物料档案!$A$4:$P$1203,4,0),"※编码不在物料档案里"))</f>
        <v/>
      </c>
      <c r="J1026" s="24">
        <f>IF($G1026="","",IFERROR(VLOOKUP($G1026,物料档案!$A$4:$P$1203,5,0),"※编码不在物料档案里"))</f>
        <v/>
      </c>
      <c r="K1026" s="23" t="n"/>
      <c r="L1026" s="31" t="n"/>
      <c r="M1026" s="24">
        <f>IF($G1026="","",IF($D1026="A国内","CNY","TZS"))</f>
        <v/>
      </c>
      <c r="N1026" s="28">
        <f>IF($G1026="","",IF($D1026="A国内",汇率,1))</f>
        <v/>
      </c>
      <c r="O1026" s="25">
        <f>IF($G1026="","",ROUND(N($K1026)*N($L1026),2))</f>
        <v/>
      </c>
      <c r="P1026" s="26">
        <f>IF($G1026="","",ROUND($O1026*$N1026,0))</f>
        <v/>
      </c>
      <c r="Q1026" s="26">
        <f>IF($G1026="","",SUMIFS($P$4:$P$2503,$E$4:$E$2503,$E1026,$Z$4:$Z$2503,"正常"))</f>
        <v/>
      </c>
      <c r="R1026" s="26">
        <f>IF($G1026="","",SUMIFS(费用台账!$I$4:$I$503,费用台账!$C$4:$C$503,$E1026,费用台账!$J$4:$J$503,"是",费用台账!$K$4:$K$503,"正常"))</f>
        <v/>
      </c>
      <c r="S1026" s="28">
        <f>IF($G1026="","",COUNTIFS($E$4:$E$2503,$E1026,$Z$4:$Z$2503,"正常",$Y$4:$Y$2503,"待补价"))</f>
        <v/>
      </c>
      <c r="T1026" s="26">
        <f>IF($G1026="","",SUMIFS($P$4:$P$2503,$E$4:$E$2503,$E1026,$Z$4:$Z$2503,"正常",$A$4:$A$2503,"&lt;="&amp;$A1026))</f>
        <v/>
      </c>
      <c r="U1026" s="26">
        <f>IF($G1026="","",IF(OR($S1026&gt;0,$Q1026=0,$R1026=0,$Z1026&lt;&gt;"正常"),0,ROUND($T1026/$Q1026*$R1026,0)-ROUND(($T1026-$P1026)/$Q1026*$R1026,0)))</f>
        <v/>
      </c>
      <c r="V1026" s="26">
        <f>IF($G1026="","",ROUND($P1026+$U1026,0))</f>
        <v/>
      </c>
      <c r="W1026" s="26">
        <f>IF($G1026="","",IF(N($K1026)=0,0,ROUND($V1026/$K1026,2)))</f>
        <v/>
      </c>
      <c r="X1026" s="17" t="n"/>
      <c r="Y1026" s="17" t="n"/>
      <c r="Z1026" s="17" t="n"/>
      <c r="AA1026" s="17" t="n"/>
      <c r="AB1026" s="17" t="n"/>
      <c r="AC1026" s="24">
        <f>IF($G1026="","",IF($H1026="※编码不在物料档案里","※物料编码不在档案里",IF(N($K1026)&lt;=0,"※入库数量要大于 0",IF(AND($C1026&lt;&gt;"",$C1026&lt;=结账锁),"※日期早于已结账截止日，不能再录",IF(AND($L1026=0,$X1026="正常"),"※没填单价，价格状态请选「待补价」",IF(AND($S1026&gt;0,$R1026&gt;0),"△本批有 "&amp;$S1026&amp;" 行没单价，整批运费先挂账没摊",IF(AND($B1026&lt;&gt;"",COUNTIF($B$4:$B$2503,$B1026)&gt;1),"※入库单号重复","")))))))</f>
        <v/>
      </c>
    </row>
    <row r="1027">
      <c r="A1027" s="24">
        <f>IF($G1027="","",COUNTA($G$4:$G1027))</f>
        <v/>
      </c>
      <c r="B1027" s="17" t="n"/>
      <c r="C1027" s="30" t="n"/>
      <c r="D1027" s="17" t="n"/>
      <c r="E1027" s="17" t="n"/>
      <c r="F1027" s="17" t="n"/>
      <c r="G1027" s="17" t="n"/>
      <c r="H1027" s="24">
        <f>IF($G1027="","",IFERROR(VLOOKUP($G1027,物料档案!$A$4:$P$1203,3,0),"※编码不在物料档案里"))</f>
        <v/>
      </c>
      <c r="I1027" s="24">
        <f>IF($G1027="","",IFERROR(VLOOKUP($G1027,物料档案!$A$4:$P$1203,4,0),"※编码不在物料档案里"))</f>
        <v/>
      </c>
      <c r="J1027" s="24">
        <f>IF($G1027="","",IFERROR(VLOOKUP($G1027,物料档案!$A$4:$P$1203,5,0),"※编码不在物料档案里"))</f>
        <v/>
      </c>
      <c r="K1027" s="23" t="n"/>
      <c r="L1027" s="31" t="n"/>
      <c r="M1027" s="24">
        <f>IF($G1027="","",IF($D1027="A国内","CNY","TZS"))</f>
        <v/>
      </c>
      <c r="N1027" s="28">
        <f>IF($G1027="","",IF($D1027="A国内",汇率,1))</f>
        <v/>
      </c>
      <c r="O1027" s="25">
        <f>IF($G1027="","",ROUND(N($K1027)*N($L1027),2))</f>
        <v/>
      </c>
      <c r="P1027" s="26">
        <f>IF($G1027="","",ROUND($O1027*$N1027,0))</f>
        <v/>
      </c>
      <c r="Q1027" s="26">
        <f>IF($G1027="","",SUMIFS($P$4:$P$2503,$E$4:$E$2503,$E1027,$Z$4:$Z$2503,"正常"))</f>
        <v/>
      </c>
      <c r="R1027" s="26">
        <f>IF($G1027="","",SUMIFS(费用台账!$I$4:$I$503,费用台账!$C$4:$C$503,$E1027,费用台账!$J$4:$J$503,"是",费用台账!$K$4:$K$503,"正常"))</f>
        <v/>
      </c>
      <c r="S1027" s="28">
        <f>IF($G1027="","",COUNTIFS($E$4:$E$2503,$E1027,$Z$4:$Z$2503,"正常",$Y$4:$Y$2503,"待补价"))</f>
        <v/>
      </c>
      <c r="T1027" s="26">
        <f>IF($G1027="","",SUMIFS($P$4:$P$2503,$E$4:$E$2503,$E1027,$Z$4:$Z$2503,"正常",$A$4:$A$2503,"&lt;="&amp;$A1027))</f>
        <v/>
      </c>
      <c r="U1027" s="26">
        <f>IF($G1027="","",IF(OR($S1027&gt;0,$Q1027=0,$R1027=0,$Z1027&lt;&gt;"正常"),0,ROUND($T1027/$Q1027*$R1027,0)-ROUND(($T1027-$P1027)/$Q1027*$R1027,0)))</f>
        <v/>
      </c>
      <c r="V1027" s="26">
        <f>IF($G1027="","",ROUND($P1027+$U1027,0))</f>
        <v/>
      </c>
      <c r="W1027" s="26">
        <f>IF($G1027="","",IF(N($K1027)=0,0,ROUND($V1027/$K1027,2)))</f>
        <v/>
      </c>
      <c r="X1027" s="17" t="n"/>
      <c r="Y1027" s="17" t="n"/>
      <c r="Z1027" s="17" t="n"/>
      <c r="AA1027" s="17" t="n"/>
      <c r="AB1027" s="17" t="n"/>
      <c r="AC1027" s="24">
        <f>IF($G1027="","",IF($H1027="※编码不在物料档案里","※物料编码不在档案里",IF(N($K1027)&lt;=0,"※入库数量要大于 0",IF(AND($C1027&lt;&gt;"",$C1027&lt;=结账锁),"※日期早于已结账截止日，不能再录",IF(AND($L1027=0,$X1027="正常"),"※没填单价，价格状态请选「待补价」",IF(AND($S1027&gt;0,$R1027&gt;0),"△本批有 "&amp;$S1027&amp;" 行没单价，整批运费先挂账没摊",IF(AND($B1027&lt;&gt;"",COUNTIF($B$4:$B$2503,$B1027)&gt;1),"※入库单号重复","")))))))</f>
        <v/>
      </c>
    </row>
    <row r="1028">
      <c r="A1028" s="24">
        <f>IF($G1028="","",COUNTA($G$4:$G1028))</f>
        <v/>
      </c>
      <c r="B1028" s="17" t="n"/>
      <c r="C1028" s="30" t="n"/>
      <c r="D1028" s="17" t="n"/>
      <c r="E1028" s="17" t="n"/>
      <c r="F1028" s="17" t="n"/>
      <c r="G1028" s="17" t="n"/>
      <c r="H1028" s="24">
        <f>IF($G1028="","",IFERROR(VLOOKUP($G1028,物料档案!$A$4:$P$1203,3,0),"※编码不在物料档案里"))</f>
        <v/>
      </c>
      <c r="I1028" s="24">
        <f>IF($G1028="","",IFERROR(VLOOKUP($G1028,物料档案!$A$4:$P$1203,4,0),"※编码不在物料档案里"))</f>
        <v/>
      </c>
      <c r="J1028" s="24">
        <f>IF($G1028="","",IFERROR(VLOOKUP($G1028,物料档案!$A$4:$P$1203,5,0),"※编码不在物料档案里"))</f>
        <v/>
      </c>
      <c r="K1028" s="23" t="n"/>
      <c r="L1028" s="31" t="n"/>
      <c r="M1028" s="24">
        <f>IF($G1028="","",IF($D1028="A国内","CNY","TZS"))</f>
        <v/>
      </c>
      <c r="N1028" s="28">
        <f>IF($G1028="","",IF($D1028="A国内",汇率,1))</f>
        <v/>
      </c>
      <c r="O1028" s="25">
        <f>IF($G1028="","",ROUND(N($K1028)*N($L1028),2))</f>
        <v/>
      </c>
      <c r="P1028" s="26">
        <f>IF($G1028="","",ROUND($O1028*$N1028,0))</f>
        <v/>
      </c>
      <c r="Q1028" s="26">
        <f>IF($G1028="","",SUMIFS($P$4:$P$2503,$E$4:$E$2503,$E1028,$Z$4:$Z$2503,"正常"))</f>
        <v/>
      </c>
      <c r="R1028" s="26">
        <f>IF($G1028="","",SUMIFS(费用台账!$I$4:$I$503,费用台账!$C$4:$C$503,$E1028,费用台账!$J$4:$J$503,"是",费用台账!$K$4:$K$503,"正常"))</f>
        <v/>
      </c>
      <c r="S1028" s="28">
        <f>IF($G1028="","",COUNTIFS($E$4:$E$2503,$E1028,$Z$4:$Z$2503,"正常",$Y$4:$Y$2503,"待补价"))</f>
        <v/>
      </c>
      <c r="T1028" s="26">
        <f>IF($G1028="","",SUMIFS($P$4:$P$2503,$E$4:$E$2503,$E1028,$Z$4:$Z$2503,"正常",$A$4:$A$2503,"&lt;="&amp;$A1028))</f>
        <v/>
      </c>
      <c r="U1028" s="26">
        <f>IF($G1028="","",IF(OR($S1028&gt;0,$Q1028=0,$R1028=0,$Z1028&lt;&gt;"正常"),0,ROUND($T1028/$Q1028*$R1028,0)-ROUND(($T1028-$P1028)/$Q1028*$R1028,0)))</f>
        <v/>
      </c>
      <c r="V1028" s="26">
        <f>IF($G1028="","",ROUND($P1028+$U1028,0))</f>
        <v/>
      </c>
      <c r="W1028" s="26">
        <f>IF($G1028="","",IF(N($K1028)=0,0,ROUND($V1028/$K1028,2)))</f>
        <v/>
      </c>
      <c r="X1028" s="17" t="n"/>
      <c r="Y1028" s="17" t="n"/>
      <c r="Z1028" s="17" t="n"/>
      <c r="AA1028" s="17" t="n"/>
      <c r="AB1028" s="17" t="n"/>
      <c r="AC1028" s="24">
        <f>IF($G1028="","",IF($H1028="※编码不在物料档案里","※物料编码不在档案里",IF(N($K1028)&lt;=0,"※入库数量要大于 0",IF(AND($C1028&lt;&gt;"",$C1028&lt;=结账锁),"※日期早于已结账截止日，不能再录",IF(AND($L1028=0,$X1028="正常"),"※没填单价，价格状态请选「待补价」",IF(AND($S1028&gt;0,$R1028&gt;0),"△本批有 "&amp;$S1028&amp;" 行没单价，整批运费先挂账没摊",IF(AND($B1028&lt;&gt;"",COUNTIF($B$4:$B$2503,$B1028)&gt;1),"※入库单号重复","")))))))</f>
        <v/>
      </c>
    </row>
    <row r="1029">
      <c r="A1029" s="24">
        <f>IF($G1029="","",COUNTA($G$4:$G1029))</f>
        <v/>
      </c>
      <c r="B1029" s="17" t="n"/>
      <c r="C1029" s="30" t="n"/>
      <c r="D1029" s="17" t="n"/>
      <c r="E1029" s="17" t="n"/>
      <c r="F1029" s="17" t="n"/>
      <c r="G1029" s="17" t="n"/>
      <c r="H1029" s="24">
        <f>IF($G1029="","",IFERROR(VLOOKUP($G1029,物料档案!$A$4:$P$1203,3,0),"※编码不在物料档案里"))</f>
        <v/>
      </c>
      <c r="I1029" s="24">
        <f>IF($G1029="","",IFERROR(VLOOKUP($G1029,物料档案!$A$4:$P$1203,4,0),"※编码不在物料档案里"))</f>
        <v/>
      </c>
      <c r="J1029" s="24">
        <f>IF($G1029="","",IFERROR(VLOOKUP($G1029,物料档案!$A$4:$P$1203,5,0),"※编码不在物料档案里"))</f>
        <v/>
      </c>
      <c r="K1029" s="23" t="n"/>
      <c r="L1029" s="31" t="n"/>
      <c r="M1029" s="24">
        <f>IF($G1029="","",IF($D1029="A国内","CNY","TZS"))</f>
        <v/>
      </c>
      <c r="N1029" s="28">
        <f>IF($G1029="","",IF($D1029="A国内",汇率,1))</f>
        <v/>
      </c>
      <c r="O1029" s="25">
        <f>IF($G1029="","",ROUND(N($K1029)*N($L1029),2))</f>
        <v/>
      </c>
      <c r="P1029" s="26">
        <f>IF($G1029="","",ROUND($O1029*$N1029,0))</f>
        <v/>
      </c>
      <c r="Q1029" s="26">
        <f>IF($G1029="","",SUMIFS($P$4:$P$2503,$E$4:$E$2503,$E1029,$Z$4:$Z$2503,"正常"))</f>
        <v/>
      </c>
      <c r="R1029" s="26">
        <f>IF($G1029="","",SUMIFS(费用台账!$I$4:$I$503,费用台账!$C$4:$C$503,$E1029,费用台账!$J$4:$J$503,"是",费用台账!$K$4:$K$503,"正常"))</f>
        <v/>
      </c>
      <c r="S1029" s="28">
        <f>IF($G1029="","",COUNTIFS($E$4:$E$2503,$E1029,$Z$4:$Z$2503,"正常",$Y$4:$Y$2503,"待补价"))</f>
        <v/>
      </c>
      <c r="T1029" s="26">
        <f>IF($G1029="","",SUMIFS($P$4:$P$2503,$E$4:$E$2503,$E1029,$Z$4:$Z$2503,"正常",$A$4:$A$2503,"&lt;="&amp;$A1029))</f>
        <v/>
      </c>
      <c r="U1029" s="26">
        <f>IF($G1029="","",IF(OR($S1029&gt;0,$Q1029=0,$R1029=0,$Z1029&lt;&gt;"正常"),0,ROUND($T1029/$Q1029*$R1029,0)-ROUND(($T1029-$P1029)/$Q1029*$R1029,0)))</f>
        <v/>
      </c>
      <c r="V1029" s="26">
        <f>IF($G1029="","",ROUND($P1029+$U1029,0))</f>
        <v/>
      </c>
      <c r="W1029" s="26">
        <f>IF($G1029="","",IF(N($K1029)=0,0,ROUND($V1029/$K1029,2)))</f>
        <v/>
      </c>
      <c r="X1029" s="17" t="n"/>
      <c r="Y1029" s="17" t="n"/>
      <c r="Z1029" s="17" t="n"/>
      <c r="AA1029" s="17" t="n"/>
      <c r="AB1029" s="17" t="n"/>
      <c r="AC1029" s="24">
        <f>IF($G1029="","",IF($H1029="※编码不在物料档案里","※物料编码不在档案里",IF(N($K1029)&lt;=0,"※入库数量要大于 0",IF(AND($C1029&lt;&gt;"",$C1029&lt;=结账锁),"※日期早于已结账截止日，不能再录",IF(AND($L1029=0,$X1029="正常"),"※没填单价，价格状态请选「待补价」",IF(AND($S1029&gt;0,$R1029&gt;0),"△本批有 "&amp;$S1029&amp;" 行没单价，整批运费先挂账没摊",IF(AND($B1029&lt;&gt;"",COUNTIF($B$4:$B$2503,$B1029)&gt;1),"※入库单号重复","")))))))</f>
        <v/>
      </c>
    </row>
    <row r="1030">
      <c r="A1030" s="24">
        <f>IF($G1030="","",COUNTA($G$4:$G1030))</f>
        <v/>
      </c>
      <c r="B1030" s="17" t="n"/>
      <c r="C1030" s="30" t="n"/>
      <c r="D1030" s="17" t="n"/>
      <c r="E1030" s="17" t="n"/>
      <c r="F1030" s="17" t="n"/>
      <c r="G1030" s="17" t="n"/>
      <c r="H1030" s="24">
        <f>IF($G1030="","",IFERROR(VLOOKUP($G1030,物料档案!$A$4:$P$1203,3,0),"※编码不在物料档案里"))</f>
        <v/>
      </c>
      <c r="I1030" s="24">
        <f>IF($G1030="","",IFERROR(VLOOKUP($G1030,物料档案!$A$4:$P$1203,4,0),"※编码不在物料档案里"))</f>
        <v/>
      </c>
      <c r="J1030" s="24">
        <f>IF($G1030="","",IFERROR(VLOOKUP($G1030,物料档案!$A$4:$P$1203,5,0),"※编码不在物料档案里"))</f>
        <v/>
      </c>
      <c r="K1030" s="23" t="n"/>
      <c r="L1030" s="31" t="n"/>
      <c r="M1030" s="24">
        <f>IF($G1030="","",IF($D1030="A国内","CNY","TZS"))</f>
        <v/>
      </c>
      <c r="N1030" s="28">
        <f>IF($G1030="","",IF($D1030="A国内",汇率,1))</f>
        <v/>
      </c>
      <c r="O1030" s="25">
        <f>IF($G1030="","",ROUND(N($K1030)*N($L1030),2))</f>
        <v/>
      </c>
      <c r="P1030" s="26">
        <f>IF($G1030="","",ROUND($O1030*$N1030,0))</f>
        <v/>
      </c>
      <c r="Q1030" s="26">
        <f>IF($G1030="","",SUMIFS($P$4:$P$2503,$E$4:$E$2503,$E1030,$Z$4:$Z$2503,"正常"))</f>
        <v/>
      </c>
      <c r="R1030" s="26">
        <f>IF($G1030="","",SUMIFS(费用台账!$I$4:$I$503,费用台账!$C$4:$C$503,$E1030,费用台账!$J$4:$J$503,"是",费用台账!$K$4:$K$503,"正常"))</f>
        <v/>
      </c>
      <c r="S1030" s="28">
        <f>IF($G1030="","",COUNTIFS($E$4:$E$2503,$E1030,$Z$4:$Z$2503,"正常",$Y$4:$Y$2503,"待补价"))</f>
        <v/>
      </c>
      <c r="T1030" s="26">
        <f>IF($G1030="","",SUMIFS($P$4:$P$2503,$E$4:$E$2503,$E1030,$Z$4:$Z$2503,"正常",$A$4:$A$2503,"&lt;="&amp;$A1030))</f>
        <v/>
      </c>
      <c r="U1030" s="26">
        <f>IF($G1030="","",IF(OR($S1030&gt;0,$Q1030=0,$R1030=0,$Z1030&lt;&gt;"正常"),0,ROUND($T1030/$Q1030*$R1030,0)-ROUND(($T1030-$P1030)/$Q1030*$R1030,0)))</f>
        <v/>
      </c>
      <c r="V1030" s="26">
        <f>IF($G1030="","",ROUND($P1030+$U1030,0))</f>
        <v/>
      </c>
      <c r="W1030" s="26">
        <f>IF($G1030="","",IF(N($K1030)=0,0,ROUND($V1030/$K1030,2)))</f>
        <v/>
      </c>
      <c r="X1030" s="17" t="n"/>
      <c r="Y1030" s="17" t="n"/>
      <c r="Z1030" s="17" t="n"/>
      <c r="AA1030" s="17" t="n"/>
      <c r="AB1030" s="17" t="n"/>
      <c r="AC1030" s="24">
        <f>IF($G1030="","",IF($H1030="※编码不在物料档案里","※物料编码不在档案里",IF(N($K1030)&lt;=0,"※入库数量要大于 0",IF(AND($C1030&lt;&gt;"",$C1030&lt;=结账锁),"※日期早于已结账截止日，不能再录",IF(AND($L1030=0,$X1030="正常"),"※没填单价，价格状态请选「待补价」",IF(AND($S1030&gt;0,$R1030&gt;0),"△本批有 "&amp;$S1030&amp;" 行没单价，整批运费先挂账没摊",IF(AND($B1030&lt;&gt;"",COUNTIF($B$4:$B$2503,$B1030)&gt;1),"※入库单号重复","")))))))</f>
        <v/>
      </c>
    </row>
    <row r="1031">
      <c r="A1031" s="24">
        <f>IF($G1031="","",COUNTA($G$4:$G1031))</f>
        <v/>
      </c>
      <c r="B1031" s="17" t="n"/>
      <c r="C1031" s="30" t="n"/>
      <c r="D1031" s="17" t="n"/>
      <c r="E1031" s="17" t="n"/>
      <c r="F1031" s="17" t="n"/>
      <c r="G1031" s="17" t="n"/>
      <c r="H1031" s="24">
        <f>IF($G1031="","",IFERROR(VLOOKUP($G1031,物料档案!$A$4:$P$1203,3,0),"※编码不在物料档案里"))</f>
        <v/>
      </c>
      <c r="I1031" s="24">
        <f>IF($G1031="","",IFERROR(VLOOKUP($G1031,物料档案!$A$4:$P$1203,4,0),"※编码不在物料档案里"))</f>
        <v/>
      </c>
      <c r="J1031" s="24">
        <f>IF($G1031="","",IFERROR(VLOOKUP($G1031,物料档案!$A$4:$P$1203,5,0),"※编码不在物料档案里"))</f>
        <v/>
      </c>
      <c r="K1031" s="23" t="n"/>
      <c r="L1031" s="31" t="n"/>
      <c r="M1031" s="24">
        <f>IF($G1031="","",IF($D1031="A国内","CNY","TZS"))</f>
        <v/>
      </c>
      <c r="N1031" s="28">
        <f>IF($G1031="","",IF($D1031="A国内",汇率,1))</f>
        <v/>
      </c>
      <c r="O1031" s="25">
        <f>IF($G1031="","",ROUND(N($K1031)*N($L1031),2))</f>
        <v/>
      </c>
      <c r="P1031" s="26">
        <f>IF($G1031="","",ROUND($O1031*$N1031,0))</f>
        <v/>
      </c>
      <c r="Q1031" s="26">
        <f>IF($G1031="","",SUMIFS($P$4:$P$2503,$E$4:$E$2503,$E1031,$Z$4:$Z$2503,"正常"))</f>
        <v/>
      </c>
      <c r="R1031" s="26">
        <f>IF($G1031="","",SUMIFS(费用台账!$I$4:$I$503,费用台账!$C$4:$C$503,$E1031,费用台账!$J$4:$J$503,"是",费用台账!$K$4:$K$503,"正常"))</f>
        <v/>
      </c>
      <c r="S1031" s="28">
        <f>IF($G1031="","",COUNTIFS($E$4:$E$2503,$E1031,$Z$4:$Z$2503,"正常",$Y$4:$Y$2503,"待补价"))</f>
        <v/>
      </c>
      <c r="T1031" s="26">
        <f>IF($G1031="","",SUMIFS($P$4:$P$2503,$E$4:$E$2503,$E1031,$Z$4:$Z$2503,"正常",$A$4:$A$2503,"&lt;="&amp;$A1031))</f>
        <v/>
      </c>
      <c r="U1031" s="26">
        <f>IF($G1031="","",IF(OR($S1031&gt;0,$Q1031=0,$R1031=0,$Z1031&lt;&gt;"正常"),0,ROUND($T1031/$Q1031*$R1031,0)-ROUND(($T1031-$P1031)/$Q1031*$R1031,0)))</f>
        <v/>
      </c>
      <c r="V1031" s="26">
        <f>IF($G1031="","",ROUND($P1031+$U1031,0))</f>
        <v/>
      </c>
      <c r="W1031" s="26">
        <f>IF($G1031="","",IF(N($K1031)=0,0,ROUND($V1031/$K1031,2)))</f>
        <v/>
      </c>
      <c r="X1031" s="17" t="n"/>
      <c r="Y1031" s="17" t="n"/>
      <c r="Z1031" s="17" t="n"/>
      <c r="AA1031" s="17" t="n"/>
      <c r="AB1031" s="17" t="n"/>
      <c r="AC1031" s="24">
        <f>IF($G1031="","",IF($H1031="※编码不在物料档案里","※物料编码不在档案里",IF(N($K1031)&lt;=0,"※入库数量要大于 0",IF(AND($C1031&lt;&gt;"",$C1031&lt;=结账锁),"※日期早于已结账截止日，不能再录",IF(AND($L1031=0,$X1031="正常"),"※没填单价，价格状态请选「待补价」",IF(AND($S1031&gt;0,$R1031&gt;0),"△本批有 "&amp;$S1031&amp;" 行没单价，整批运费先挂账没摊",IF(AND($B1031&lt;&gt;"",COUNTIF($B$4:$B$2503,$B1031)&gt;1),"※入库单号重复","")))))))</f>
        <v/>
      </c>
    </row>
    <row r="1032">
      <c r="A1032" s="24">
        <f>IF($G1032="","",COUNTA($G$4:$G1032))</f>
        <v/>
      </c>
      <c r="B1032" s="17" t="n"/>
      <c r="C1032" s="30" t="n"/>
      <c r="D1032" s="17" t="n"/>
      <c r="E1032" s="17" t="n"/>
      <c r="F1032" s="17" t="n"/>
      <c r="G1032" s="17" t="n"/>
      <c r="H1032" s="24">
        <f>IF($G1032="","",IFERROR(VLOOKUP($G1032,物料档案!$A$4:$P$1203,3,0),"※编码不在物料档案里"))</f>
        <v/>
      </c>
      <c r="I1032" s="24">
        <f>IF($G1032="","",IFERROR(VLOOKUP($G1032,物料档案!$A$4:$P$1203,4,0),"※编码不在物料档案里"))</f>
        <v/>
      </c>
      <c r="J1032" s="24">
        <f>IF($G1032="","",IFERROR(VLOOKUP($G1032,物料档案!$A$4:$P$1203,5,0),"※编码不在物料档案里"))</f>
        <v/>
      </c>
      <c r="K1032" s="23" t="n"/>
      <c r="L1032" s="31" t="n"/>
      <c r="M1032" s="24">
        <f>IF($G1032="","",IF($D1032="A国内","CNY","TZS"))</f>
        <v/>
      </c>
      <c r="N1032" s="28">
        <f>IF($G1032="","",IF($D1032="A国内",汇率,1))</f>
        <v/>
      </c>
      <c r="O1032" s="25">
        <f>IF($G1032="","",ROUND(N($K1032)*N($L1032),2))</f>
        <v/>
      </c>
      <c r="P1032" s="26">
        <f>IF($G1032="","",ROUND($O1032*$N1032,0))</f>
        <v/>
      </c>
      <c r="Q1032" s="26">
        <f>IF($G1032="","",SUMIFS($P$4:$P$2503,$E$4:$E$2503,$E1032,$Z$4:$Z$2503,"正常"))</f>
        <v/>
      </c>
      <c r="R1032" s="26">
        <f>IF($G1032="","",SUMIFS(费用台账!$I$4:$I$503,费用台账!$C$4:$C$503,$E1032,费用台账!$J$4:$J$503,"是",费用台账!$K$4:$K$503,"正常"))</f>
        <v/>
      </c>
      <c r="S1032" s="28">
        <f>IF($G1032="","",COUNTIFS($E$4:$E$2503,$E1032,$Z$4:$Z$2503,"正常",$Y$4:$Y$2503,"待补价"))</f>
        <v/>
      </c>
      <c r="T1032" s="26">
        <f>IF($G1032="","",SUMIFS($P$4:$P$2503,$E$4:$E$2503,$E1032,$Z$4:$Z$2503,"正常",$A$4:$A$2503,"&lt;="&amp;$A1032))</f>
        <v/>
      </c>
      <c r="U1032" s="26">
        <f>IF($G1032="","",IF(OR($S1032&gt;0,$Q1032=0,$R1032=0,$Z1032&lt;&gt;"正常"),0,ROUND($T1032/$Q1032*$R1032,0)-ROUND(($T1032-$P1032)/$Q1032*$R1032,0)))</f>
        <v/>
      </c>
      <c r="V1032" s="26">
        <f>IF($G1032="","",ROUND($P1032+$U1032,0))</f>
        <v/>
      </c>
      <c r="W1032" s="26">
        <f>IF($G1032="","",IF(N($K1032)=0,0,ROUND($V1032/$K1032,2)))</f>
        <v/>
      </c>
      <c r="X1032" s="17" t="n"/>
      <c r="Y1032" s="17" t="n"/>
      <c r="Z1032" s="17" t="n"/>
      <c r="AA1032" s="17" t="n"/>
      <c r="AB1032" s="17" t="n"/>
      <c r="AC1032" s="24">
        <f>IF($G1032="","",IF($H1032="※编码不在物料档案里","※物料编码不在档案里",IF(N($K1032)&lt;=0,"※入库数量要大于 0",IF(AND($C1032&lt;&gt;"",$C1032&lt;=结账锁),"※日期早于已结账截止日，不能再录",IF(AND($L1032=0,$X1032="正常"),"※没填单价，价格状态请选「待补价」",IF(AND($S1032&gt;0,$R1032&gt;0),"△本批有 "&amp;$S1032&amp;" 行没单价，整批运费先挂账没摊",IF(AND($B1032&lt;&gt;"",COUNTIF($B$4:$B$2503,$B1032)&gt;1),"※入库单号重复","")))))))</f>
        <v/>
      </c>
    </row>
    <row r="1033">
      <c r="A1033" s="24">
        <f>IF($G1033="","",COUNTA($G$4:$G1033))</f>
        <v/>
      </c>
      <c r="B1033" s="17" t="n"/>
      <c r="C1033" s="30" t="n"/>
      <c r="D1033" s="17" t="n"/>
      <c r="E1033" s="17" t="n"/>
      <c r="F1033" s="17" t="n"/>
      <c r="G1033" s="17" t="n"/>
      <c r="H1033" s="24">
        <f>IF($G1033="","",IFERROR(VLOOKUP($G1033,物料档案!$A$4:$P$1203,3,0),"※编码不在物料档案里"))</f>
        <v/>
      </c>
      <c r="I1033" s="24">
        <f>IF($G1033="","",IFERROR(VLOOKUP($G1033,物料档案!$A$4:$P$1203,4,0),"※编码不在物料档案里"))</f>
        <v/>
      </c>
      <c r="J1033" s="24">
        <f>IF($G1033="","",IFERROR(VLOOKUP($G1033,物料档案!$A$4:$P$1203,5,0),"※编码不在物料档案里"))</f>
        <v/>
      </c>
      <c r="K1033" s="23" t="n"/>
      <c r="L1033" s="31" t="n"/>
      <c r="M1033" s="24">
        <f>IF($G1033="","",IF($D1033="A国内","CNY","TZS"))</f>
        <v/>
      </c>
      <c r="N1033" s="28">
        <f>IF($G1033="","",IF($D1033="A国内",汇率,1))</f>
        <v/>
      </c>
      <c r="O1033" s="25">
        <f>IF($G1033="","",ROUND(N($K1033)*N($L1033),2))</f>
        <v/>
      </c>
      <c r="P1033" s="26">
        <f>IF($G1033="","",ROUND($O1033*$N1033,0))</f>
        <v/>
      </c>
      <c r="Q1033" s="26">
        <f>IF($G1033="","",SUMIFS($P$4:$P$2503,$E$4:$E$2503,$E1033,$Z$4:$Z$2503,"正常"))</f>
        <v/>
      </c>
      <c r="R1033" s="26">
        <f>IF($G1033="","",SUMIFS(费用台账!$I$4:$I$503,费用台账!$C$4:$C$503,$E1033,费用台账!$J$4:$J$503,"是",费用台账!$K$4:$K$503,"正常"))</f>
        <v/>
      </c>
      <c r="S1033" s="28">
        <f>IF($G1033="","",COUNTIFS($E$4:$E$2503,$E1033,$Z$4:$Z$2503,"正常",$Y$4:$Y$2503,"待补价"))</f>
        <v/>
      </c>
      <c r="T1033" s="26">
        <f>IF($G1033="","",SUMIFS($P$4:$P$2503,$E$4:$E$2503,$E1033,$Z$4:$Z$2503,"正常",$A$4:$A$2503,"&lt;="&amp;$A1033))</f>
        <v/>
      </c>
      <c r="U1033" s="26">
        <f>IF($G1033="","",IF(OR($S1033&gt;0,$Q1033=0,$R1033=0,$Z1033&lt;&gt;"正常"),0,ROUND($T1033/$Q1033*$R1033,0)-ROUND(($T1033-$P1033)/$Q1033*$R1033,0)))</f>
        <v/>
      </c>
      <c r="V1033" s="26">
        <f>IF($G1033="","",ROUND($P1033+$U1033,0))</f>
        <v/>
      </c>
      <c r="W1033" s="26">
        <f>IF($G1033="","",IF(N($K1033)=0,0,ROUND($V1033/$K1033,2)))</f>
        <v/>
      </c>
      <c r="X1033" s="17" t="n"/>
      <c r="Y1033" s="17" t="n"/>
      <c r="Z1033" s="17" t="n"/>
      <c r="AA1033" s="17" t="n"/>
      <c r="AB1033" s="17" t="n"/>
      <c r="AC1033" s="24">
        <f>IF($G1033="","",IF($H1033="※编码不在物料档案里","※物料编码不在档案里",IF(N($K1033)&lt;=0,"※入库数量要大于 0",IF(AND($C1033&lt;&gt;"",$C1033&lt;=结账锁),"※日期早于已结账截止日，不能再录",IF(AND($L1033=0,$X1033="正常"),"※没填单价，价格状态请选「待补价」",IF(AND($S1033&gt;0,$R1033&gt;0),"△本批有 "&amp;$S1033&amp;" 行没单价，整批运费先挂账没摊",IF(AND($B1033&lt;&gt;"",COUNTIF($B$4:$B$2503,$B1033)&gt;1),"※入库单号重复","")))))))</f>
        <v/>
      </c>
    </row>
    <row r="1034">
      <c r="A1034" s="24">
        <f>IF($G1034="","",COUNTA($G$4:$G1034))</f>
        <v/>
      </c>
      <c r="B1034" s="17" t="n"/>
      <c r="C1034" s="30" t="n"/>
      <c r="D1034" s="17" t="n"/>
      <c r="E1034" s="17" t="n"/>
      <c r="F1034" s="17" t="n"/>
      <c r="G1034" s="17" t="n"/>
      <c r="H1034" s="24">
        <f>IF($G1034="","",IFERROR(VLOOKUP($G1034,物料档案!$A$4:$P$1203,3,0),"※编码不在物料档案里"))</f>
        <v/>
      </c>
      <c r="I1034" s="24">
        <f>IF($G1034="","",IFERROR(VLOOKUP($G1034,物料档案!$A$4:$P$1203,4,0),"※编码不在物料档案里"))</f>
        <v/>
      </c>
      <c r="J1034" s="24">
        <f>IF($G1034="","",IFERROR(VLOOKUP($G1034,物料档案!$A$4:$P$1203,5,0),"※编码不在物料档案里"))</f>
        <v/>
      </c>
      <c r="K1034" s="23" t="n"/>
      <c r="L1034" s="31" t="n"/>
      <c r="M1034" s="24">
        <f>IF($G1034="","",IF($D1034="A国内","CNY","TZS"))</f>
        <v/>
      </c>
      <c r="N1034" s="28">
        <f>IF($G1034="","",IF($D1034="A国内",汇率,1))</f>
        <v/>
      </c>
      <c r="O1034" s="25">
        <f>IF($G1034="","",ROUND(N($K1034)*N($L1034),2))</f>
        <v/>
      </c>
      <c r="P1034" s="26">
        <f>IF($G1034="","",ROUND($O1034*$N1034,0))</f>
        <v/>
      </c>
      <c r="Q1034" s="26">
        <f>IF($G1034="","",SUMIFS($P$4:$P$2503,$E$4:$E$2503,$E1034,$Z$4:$Z$2503,"正常"))</f>
        <v/>
      </c>
      <c r="R1034" s="26">
        <f>IF($G1034="","",SUMIFS(费用台账!$I$4:$I$503,费用台账!$C$4:$C$503,$E1034,费用台账!$J$4:$J$503,"是",费用台账!$K$4:$K$503,"正常"))</f>
        <v/>
      </c>
      <c r="S1034" s="28">
        <f>IF($G1034="","",COUNTIFS($E$4:$E$2503,$E1034,$Z$4:$Z$2503,"正常",$Y$4:$Y$2503,"待补价"))</f>
        <v/>
      </c>
      <c r="T1034" s="26">
        <f>IF($G1034="","",SUMIFS($P$4:$P$2503,$E$4:$E$2503,$E1034,$Z$4:$Z$2503,"正常",$A$4:$A$2503,"&lt;="&amp;$A1034))</f>
        <v/>
      </c>
      <c r="U1034" s="26">
        <f>IF($G1034="","",IF(OR($S1034&gt;0,$Q1034=0,$R1034=0,$Z1034&lt;&gt;"正常"),0,ROUND($T1034/$Q1034*$R1034,0)-ROUND(($T1034-$P1034)/$Q1034*$R1034,0)))</f>
        <v/>
      </c>
      <c r="V1034" s="26">
        <f>IF($G1034="","",ROUND($P1034+$U1034,0))</f>
        <v/>
      </c>
      <c r="W1034" s="26">
        <f>IF($G1034="","",IF(N($K1034)=0,0,ROUND($V1034/$K1034,2)))</f>
        <v/>
      </c>
      <c r="X1034" s="17" t="n"/>
      <c r="Y1034" s="17" t="n"/>
      <c r="Z1034" s="17" t="n"/>
      <c r="AA1034" s="17" t="n"/>
      <c r="AB1034" s="17" t="n"/>
      <c r="AC1034" s="24">
        <f>IF($G1034="","",IF($H1034="※编码不在物料档案里","※物料编码不在档案里",IF(N($K1034)&lt;=0,"※入库数量要大于 0",IF(AND($C1034&lt;&gt;"",$C1034&lt;=结账锁),"※日期早于已结账截止日，不能再录",IF(AND($L1034=0,$X1034="正常"),"※没填单价，价格状态请选「待补价」",IF(AND($S1034&gt;0,$R1034&gt;0),"△本批有 "&amp;$S1034&amp;" 行没单价，整批运费先挂账没摊",IF(AND($B1034&lt;&gt;"",COUNTIF($B$4:$B$2503,$B1034)&gt;1),"※入库单号重复","")))))))</f>
        <v/>
      </c>
    </row>
    <row r="1035">
      <c r="A1035" s="24">
        <f>IF($G1035="","",COUNTA($G$4:$G1035))</f>
        <v/>
      </c>
      <c r="B1035" s="17" t="n"/>
      <c r="C1035" s="30" t="n"/>
      <c r="D1035" s="17" t="n"/>
      <c r="E1035" s="17" t="n"/>
      <c r="F1035" s="17" t="n"/>
      <c r="G1035" s="17" t="n"/>
      <c r="H1035" s="24">
        <f>IF($G1035="","",IFERROR(VLOOKUP($G1035,物料档案!$A$4:$P$1203,3,0),"※编码不在物料档案里"))</f>
        <v/>
      </c>
      <c r="I1035" s="24">
        <f>IF($G1035="","",IFERROR(VLOOKUP($G1035,物料档案!$A$4:$P$1203,4,0),"※编码不在物料档案里"))</f>
        <v/>
      </c>
      <c r="J1035" s="24">
        <f>IF($G1035="","",IFERROR(VLOOKUP($G1035,物料档案!$A$4:$P$1203,5,0),"※编码不在物料档案里"))</f>
        <v/>
      </c>
      <c r="K1035" s="23" t="n"/>
      <c r="L1035" s="31" t="n"/>
      <c r="M1035" s="24">
        <f>IF($G1035="","",IF($D1035="A国内","CNY","TZS"))</f>
        <v/>
      </c>
      <c r="N1035" s="28">
        <f>IF($G1035="","",IF($D1035="A国内",汇率,1))</f>
        <v/>
      </c>
      <c r="O1035" s="25">
        <f>IF($G1035="","",ROUND(N($K1035)*N($L1035),2))</f>
        <v/>
      </c>
      <c r="P1035" s="26">
        <f>IF($G1035="","",ROUND($O1035*$N1035,0))</f>
        <v/>
      </c>
      <c r="Q1035" s="26">
        <f>IF($G1035="","",SUMIFS($P$4:$P$2503,$E$4:$E$2503,$E1035,$Z$4:$Z$2503,"正常"))</f>
        <v/>
      </c>
      <c r="R1035" s="26">
        <f>IF($G1035="","",SUMIFS(费用台账!$I$4:$I$503,费用台账!$C$4:$C$503,$E1035,费用台账!$J$4:$J$503,"是",费用台账!$K$4:$K$503,"正常"))</f>
        <v/>
      </c>
      <c r="S1035" s="28">
        <f>IF($G1035="","",COUNTIFS($E$4:$E$2503,$E1035,$Z$4:$Z$2503,"正常",$Y$4:$Y$2503,"待补价"))</f>
        <v/>
      </c>
      <c r="T1035" s="26">
        <f>IF($G1035="","",SUMIFS($P$4:$P$2503,$E$4:$E$2503,$E1035,$Z$4:$Z$2503,"正常",$A$4:$A$2503,"&lt;="&amp;$A1035))</f>
        <v/>
      </c>
      <c r="U1035" s="26">
        <f>IF($G1035="","",IF(OR($S1035&gt;0,$Q1035=0,$R1035=0,$Z1035&lt;&gt;"正常"),0,ROUND($T1035/$Q1035*$R1035,0)-ROUND(($T1035-$P1035)/$Q1035*$R1035,0)))</f>
        <v/>
      </c>
      <c r="V1035" s="26">
        <f>IF($G1035="","",ROUND($P1035+$U1035,0))</f>
        <v/>
      </c>
      <c r="W1035" s="26">
        <f>IF($G1035="","",IF(N($K1035)=0,0,ROUND($V1035/$K1035,2)))</f>
        <v/>
      </c>
      <c r="X1035" s="17" t="n"/>
      <c r="Y1035" s="17" t="n"/>
      <c r="Z1035" s="17" t="n"/>
      <c r="AA1035" s="17" t="n"/>
      <c r="AB1035" s="17" t="n"/>
      <c r="AC1035" s="24">
        <f>IF($G1035="","",IF($H1035="※编码不在物料档案里","※物料编码不在档案里",IF(N($K1035)&lt;=0,"※入库数量要大于 0",IF(AND($C1035&lt;&gt;"",$C1035&lt;=结账锁),"※日期早于已结账截止日，不能再录",IF(AND($L1035=0,$X1035="正常"),"※没填单价，价格状态请选「待补价」",IF(AND($S1035&gt;0,$R1035&gt;0),"△本批有 "&amp;$S1035&amp;" 行没单价，整批运费先挂账没摊",IF(AND($B1035&lt;&gt;"",COUNTIF($B$4:$B$2503,$B1035)&gt;1),"※入库单号重复","")))))))</f>
        <v/>
      </c>
    </row>
    <row r="1036">
      <c r="A1036" s="24">
        <f>IF($G1036="","",COUNTA($G$4:$G1036))</f>
        <v/>
      </c>
      <c r="B1036" s="17" t="n"/>
      <c r="C1036" s="30" t="n"/>
      <c r="D1036" s="17" t="n"/>
      <c r="E1036" s="17" t="n"/>
      <c r="F1036" s="17" t="n"/>
      <c r="G1036" s="17" t="n"/>
      <c r="H1036" s="24">
        <f>IF($G1036="","",IFERROR(VLOOKUP($G1036,物料档案!$A$4:$P$1203,3,0),"※编码不在物料档案里"))</f>
        <v/>
      </c>
      <c r="I1036" s="24">
        <f>IF($G1036="","",IFERROR(VLOOKUP($G1036,物料档案!$A$4:$P$1203,4,0),"※编码不在物料档案里"))</f>
        <v/>
      </c>
      <c r="J1036" s="24">
        <f>IF($G1036="","",IFERROR(VLOOKUP($G1036,物料档案!$A$4:$P$1203,5,0),"※编码不在物料档案里"))</f>
        <v/>
      </c>
      <c r="K1036" s="23" t="n"/>
      <c r="L1036" s="31" t="n"/>
      <c r="M1036" s="24">
        <f>IF($G1036="","",IF($D1036="A国内","CNY","TZS"))</f>
        <v/>
      </c>
      <c r="N1036" s="28">
        <f>IF($G1036="","",IF($D1036="A国内",汇率,1))</f>
        <v/>
      </c>
      <c r="O1036" s="25">
        <f>IF($G1036="","",ROUND(N($K1036)*N($L1036),2))</f>
        <v/>
      </c>
      <c r="P1036" s="26">
        <f>IF($G1036="","",ROUND($O1036*$N1036,0))</f>
        <v/>
      </c>
      <c r="Q1036" s="26">
        <f>IF($G1036="","",SUMIFS($P$4:$P$2503,$E$4:$E$2503,$E1036,$Z$4:$Z$2503,"正常"))</f>
        <v/>
      </c>
      <c r="R1036" s="26">
        <f>IF($G1036="","",SUMIFS(费用台账!$I$4:$I$503,费用台账!$C$4:$C$503,$E1036,费用台账!$J$4:$J$503,"是",费用台账!$K$4:$K$503,"正常"))</f>
        <v/>
      </c>
      <c r="S1036" s="28">
        <f>IF($G1036="","",COUNTIFS($E$4:$E$2503,$E1036,$Z$4:$Z$2503,"正常",$Y$4:$Y$2503,"待补价"))</f>
        <v/>
      </c>
      <c r="T1036" s="26">
        <f>IF($G1036="","",SUMIFS($P$4:$P$2503,$E$4:$E$2503,$E1036,$Z$4:$Z$2503,"正常",$A$4:$A$2503,"&lt;="&amp;$A1036))</f>
        <v/>
      </c>
      <c r="U1036" s="26">
        <f>IF($G1036="","",IF(OR($S1036&gt;0,$Q1036=0,$R1036=0,$Z1036&lt;&gt;"正常"),0,ROUND($T1036/$Q1036*$R1036,0)-ROUND(($T1036-$P1036)/$Q1036*$R1036,0)))</f>
        <v/>
      </c>
      <c r="V1036" s="26">
        <f>IF($G1036="","",ROUND($P1036+$U1036,0))</f>
        <v/>
      </c>
      <c r="W1036" s="26">
        <f>IF($G1036="","",IF(N($K1036)=0,0,ROUND($V1036/$K1036,2)))</f>
        <v/>
      </c>
      <c r="X1036" s="17" t="n"/>
      <c r="Y1036" s="17" t="n"/>
      <c r="Z1036" s="17" t="n"/>
      <c r="AA1036" s="17" t="n"/>
      <c r="AB1036" s="17" t="n"/>
      <c r="AC1036" s="24">
        <f>IF($G1036="","",IF($H1036="※编码不在物料档案里","※物料编码不在档案里",IF(N($K1036)&lt;=0,"※入库数量要大于 0",IF(AND($C1036&lt;&gt;"",$C1036&lt;=结账锁),"※日期早于已结账截止日，不能再录",IF(AND($L1036=0,$X1036="正常"),"※没填单价，价格状态请选「待补价」",IF(AND($S1036&gt;0,$R1036&gt;0),"△本批有 "&amp;$S1036&amp;" 行没单价，整批运费先挂账没摊",IF(AND($B1036&lt;&gt;"",COUNTIF($B$4:$B$2503,$B1036)&gt;1),"※入库单号重复","")))))))</f>
        <v/>
      </c>
    </row>
    <row r="1037">
      <c r="A1037" s="24">
        <f>IF($G1037="","",COUNTA($G$4:$G1037))</f>
        <v/>
      </c>
      <c r="B1037" s="17" t="n"/>
      <c r="C1037" s="30" t="n"/>
      <c r="D1037" s="17" t="n"/>
      <c r="E1037" s="17" t="n"/>
      <c r="F1037" s="17" t="n"/>
      <c r="G1037" s="17" t="n"/>
      <c r="H1037" s="24">
        <f>IF($G1037="","",IFERROR(VLOOKUP($G1037,物料档案!$A$4:$P$1203,3,0),"※编码不在物料档案里"))</f>
        <v/>
      </c>
      <c r="I1037" s="24">
        <f>IF($G1037="","",IFERROR(VLOOKUP($G1037,物料档案!$A$4:$P$1203,4,0),"※编码不在物料档案里"))</f>
        <v/>
      </c>
      <c r="J1037" s="24">
        <f>IF($G1037="","",IFERROR(VLOOKUP($G1037,物料档案!$A$4:$P$1203,5,0),"※编码不在物料档案里"))</f>
        <v/>
      </c>
      <c r="K1037" s="23" t="n"/>
      <c r="L1037" s="31" t="n"/>
      <c r="M1037" s="24">
        <f>IF($G1037="","",IF($D1037="A国内","CNY","TZS"))</f>
        <v/>
      </c>
      <c r="N1037" s="28">
        <f>IF($G1037="","",IF($D1037="A国内",汇率,1))</f>
        <v/>
      </c>
      <c r="O1037" s="25">
        <f>IF($G1037="","",ROUND(N($K1037)*N($L1037),2))</f>
        <v/>
      </c>
      <c r="P1037" s="26">
        <f>IF($G1037="","",ROUND($O1037*$N1037,0))</f>
        <v/>
      </c>
      <c r="Q1037" s="26">
        <f>IF($G1037="","",SUMIFS($P$4:$P$2503,$E$4:$E$2503,$E1037,$Z$4:$Z$2503,"正常"))</f>
        <v/>
      </c>
      <c r="R1037" s="26">
        <f>IF($G1037="","",SUMIFS(费用台账!$I$4:$I$503,费用台账!$C$4:$C$503,$E1037,费用台账!$J$4:$J$503,"是",费用台账!$K$4:$K$503,"正常"))</f>
        <v/>
      </c>
      <c r="S1037" s="28">
        <f>IF($G1037="","",COUNTIFS($E$4:$E$2503,$E1037,$Z$4:$Z$2503,"正常",$Y$4:$Y$2503,"待补价"))</f>
        <v/>
      </c>
      <c r="T1037" s="26">
        <f>IF($G1037="","",SUMIFS($P$4:$P$2503,$E$4:$E$2503,$E1037,$Z$4:$Z$2503,"正常",$A$4:$A$2503,"&lt;="&amp;$A1037))</f>
        <v/>
      </c>
      <c r="U1037" s="26">
        <f>IF($G1037="","",IF(OR($S1037&gt;0,$Q1037=0,$R1037=0,$Z1037&lt;&gt;"正常"),0,ROUND($T1037/$Q1037*$R1037,0)-ROUND(($T1037-$P1037)/$Q1037*$R1037,0)))</f>
        <v/>
      </c>
      <c r="V1037" s="26">
        <f>IF($G1037="","",ROUND($P1037+$U1037,0))</f>
        <v/>
      </c>
      <c r="W1037" s="26">
        <f>IF($G1037="","",IF(N($K1037)=0,0,ROUND($V1037/$K1037,2)))</f>
        <v/>
      </c>
      <c r="X1037" s="17" t="n"/>
      <c r="Y1037" s="17" t="n"/>
      <c r="Z1037" s="17" t="n"/>
      <c r="AA1037" s="17" t="n"/>
      <c r="AB1037" s="17" t="n"/>
      <c r="AC1037" s="24">
        <f>IF($G1037="","",IF($H1037="※编码不在物料档案里","※物料编码不在档案里",IF(N($K1037)&lt;=0,"※入库数量要大于 0",IF(AND($C1037&lt;&gt;"",$C1037&lt;=结账锁),"※日期早于已结账截止日，不能再录",IF(AND($L1037=0,$X1037="正常"),"※没填单价，价格状态请选「待补价」",IF(AND($S1037&gt;0,$R1037&gt;0),"△本批有 "&amp;$S1037&amp;" 行没单价，整批运费先挂账没摊",IF(AND($B1037&lt;&gt;"",COUNTIF($B$4:$B$2503,$B1037)&gt;1),"※入库单号重复","")))))))</f>
        <v/>
      </c>
    </row>
    <row r="1038">
      <c r="A1038" s="24">
        <f>IF($G1038="","",COUNTA($G$4:$G1038))</f>
        <v/>
      </c>
      <c r="B1038" s="17" t="n"/>
      <c r="C1038" s="30" t="n"/>
      <c r="D1038" s="17" t="n"/>
      <c r="E1038" s="17" t="n"/>
      <c r="F1038" s="17" t="n"/>
      <c r="G1038" s="17" t="n"/>
      <c r="H1038" s="24">
        <f>IF($G1038="","",IFERROR(VLOOKUP($G1038,物料档案!$A$4:$P$1203,3,0),"※编码不在物料档案里"))</f>
        <v/>
      </c>
      <c r="I1038" s="24">
        <f>IF($G1038="","",IFERROR(VLOOKUP($G1038,物料档案!$A$4:$P$1203,4,0),"※编码不在物料档案里"))</f>
        <v/>
      </c>
      <c r="J1038" s="24">
        <f>IF($G1038="","",IFERROR(VLOOKUP($G1038,物料档案!$A$4:$P$1203,5,0),"※编码不在物料档案里"))</f>
        <v/>
      </c>
      <c r="K1038" s="23" t="n"/>
      <c r="L1038" s="31" t="n"/>
      <c r="M1038" s="24">
        <f>IF($G1038="","",IF($D1038="A国内","CNY","TZS"))</f>
        <v/>
      </c>
      <c r="N1038" s="28">
        <f>IF($G1038="","",IF($D1038="A国内",汇率,1))</f>
        <v/>
      </c>
      <c r="O1038" s="25">
        <f>IF($G1038="","",ROUND(N($K1038)*N($L1038),2))</f>
        <v/>
      </c>
      <c r="P1038" s="26">
        <f>IF($G1038="","",ROUND($O1038*$N1038,0))</f>
        <v/>
      </c>
      <c r="Q1038" s="26">
        <f>IF($G1038="","",SUMIFS($P$4:$P$2503,$E$4:$E$2503,$E1038,$Z$4:$Z$2503,"正常"))</f>
        <v/>
      </c>
      <c r="R1038" s="26">
        <f>IF($G1038="","",SUMIFS(费用台账!$I$4:$I$503,费用台账!$C$4:$C$503,$E1038,费用台账!$J$4:$J$503,"是",费用台账!$K$4:$K$503,"正常"))</f>
        <v/>
      </c>
      <c r="S1038" s="28">
        <f>IF($G1038="","",COUNTIFS($E$4:$E$2503,$E1038,$Z$4:$Z$2503,"正常",$Y$4:$Y$2503,"待补价"))</f>
        <v/>
      </c>
      <c r="T1038" s="26">
        <f>IF($G1038="","",SUMIFS($P$4:$P$2503,$E$4:$E$2503,$E1038,$Z$4:$Z$2503,"正常",$A$4:$A$2503,"&lt;="&amp;$A1038))</f>
        <v/>
      </c>
      <c r="U1038" s="26">
        <f>IF($G1038="","",IF(OR($S1038&gt;0,$Q1038=0,$R1038=0,$Z1038&lt;&gt;"正常"),0,ROUND($T1038/$Q1038*$R1038,0)-ROUND(($T1038-$P1038)/$Q1038*$R1038,0)))</f>
        <v/>
      </c>
      <c r="V1038" s="26">
        <f>IF($G1038="","",ROUND($P1038+$U1038,0))</f>
        <v/>
      </c>
      <c r="W1038" s="26">
        <f>IF($G1038="","",IF(N($K1038)=0,0,ROUND($V1038/$K1038,2)))</f>
        <v/>
      </c>
      <c r="X1038" s="17" t="n"/>
      <c r="Y1038" s="17" t="n"/>
      <c r="Z1038" s="17" t="n"/>
      <c r="AA1038" s="17" t="n"/>
      <c r="AB1038" s="17" t="n"/>
      <c r="AC1038" s="24">
        <f>IF($G1038="","",IF($H1038="※编码不在物料档案里","※物料编码不在档案里",IF(N($K1038)&lt;=0,"※入库数量要大于 0",IF(AND($C1038&lt;&gt;"",$C1038&lt;=结账锁),"※日期早于已结账截止日，不能再录",IF(AND($L1038=0,$X1038="正常"),"※没填单价，价格状态请选「待补价」",IF(AND($S1038&gt;0,$R1038&gt;0),"△本批有 "&amp;$S1038&amp;" 行没单价，整批运费先挂账没摊",IF(AND($B1038&lt;&gt;"",COUNTIF($B$4:$B$2503,$B1038)&gt;1),"※入库单号重复","")))))))</f>
        <v/>
      </c>
    </row>
    <row r="1039">
      <c r="A1039" s="24">
        <f>IF($G1039="","",COUNTA($G$4:$G1039))</f>
        <v/>
      </c>
      <c r="B1039" s="17" t="n"/>
      <c r="C1039" s="30" t="n"/>
      <c r="D1039" s="17" t="n"/>
      <c r="E1039" s="17" t="n"/>
      <c r="F1039" s="17" t="n"/>
      <c r="G1039" s="17" t="n"/>
      <c r="H1039" s="24">
        <f>IF($G1039="","",IFERROR(VLOOKUP($G1039,物料档案!$A$4:$P$1203,3,0),"※编码不在物料档案里"))</f>
        <v/>
      </c>
      <c r="I1039" s="24">
        <f>IF($G1039="","",IFERROR(VLOOKUP($G1039,物料档案!$A$4:$P$1203,4,0),"※编码不在物料档案里"))</f>
        <v/>
      </c>
      <c r="J1039" s="24">
        <f>IF($G1039="","",IFERROR(VLOOKUP($G1039,物料档案!$A$4:$P$1203,5,0),"※编码不在物料档案里"))</f>
        <v/>
      </c>
      <c r="K1039" s="23" t="n"/>
      <c r="L1039" s="31" t="n"/>
      <c r="M1039" s="24">
        <f>IF($G1039="","",IF($D1039="A国内","CNY","TZS"))</f>
        <v/>
      </c>
      <c r="N1039" s="28">
        <f>IF($G1039="","",IF($D1039="A国内",汇率,1))</f>
        <v/>
      </c>
      <c r="O1039" s="25">
        <f>IF($G1039="","",ROUND(N($K1039)*N($L1039),2))</f>
        <v/>
      </c>
      <c r="P1039" s="26">
        <f>IF($G1039="","",ROUND($O1039*$N1039,0))</f>
        <v/>
      </c>
      <c r="Q1039" s="26">
        <f>IF($G1039="","",SUMIFS($P$4:$P$2503,$E$4:$E$2503,$E1039,$Z$4:$Z$2503,"正常"))</f>
        <v/>
      </c>
      <c r="R1039" s="26">
        <f>IF($G1039="","",SUMIFS(费用台账!$I$4:$I$503,费用台账!$C$4:$C$503,$E1039,费用台账!$J$4:$J$503,"是",费用台账!$K$4:$K$503,"正常"))</f>
        <v/>
      </c>
      <c r="S1039" s="28">
        <f>IF($G1039="","",COUNTIFS($E$4:$E$2503,$E1039,$Z$4:$Z$2503,"正常",$Y$4:$Y$2503,"待补价"))</f>
        <v/>
      </c>
      <c r="T1039" s="26">
        <f>IF($G1039="","",SUMIFS($P$4:$P$2503,$E$4:$E$2503,$E1039,$Z$4:$Z$2503,"正常",$A$4:$A$2503,"&lt;="&amp;$A1039))</f>
        <v/>
      </c>
      <c r="U1039" s="26">
        <f>IF($G1039="","",IF(OR($S1039&gt;0,$Q1039=0,$R1039=0,$Z1039&lt;&gt;"正常"),0,ROUND($T1039/$Q1039*$R1039,0)-ROUND(($T1039-$P1039)/$Q1039*$R1039,0)))</f>
        <v/>
      </c>
      <c r="V1039" s="26">
        <f>IF($G1039="","",ROUND($P1039+$U1039,0))</f>
        <v/>
      </c>
      <c r="W1039" s="26">
        <f>IF($G1039="","",IF(N($K1039)=0,0,ROUND($V1039/$K1039,2)))</f>
        <v/>
      </c>
      <c r="X1039" s="17" t="n"/>
      <c r="Y1039" s="17" t="n"/>
      <c r="Z1039" s="17" t="n"/>
      <c r="AA1039" s="17" t="n"/>
      <c r="AB1039" s="17" t="n"/>
      <c r="AC1039" s="24">
        <f>IF($G1039="","",IF($H1039="※编码不在物料档案里","※物料编码不在档案里",IF(N($K1039)&lt;=0,"※入库数量要大于 0",IF(AND($C1039&lt;&gt;"",$C1039&lt;=结账锁),"※日期早于已结账截止日，不能再录",IF(AND($L1039=0,$X1039="正常"),"※没填单价，价格状态请选「待补价」",IF(AND($S1039&gt;0,$R1039&gt;0),"△本批有 "&amp;$S1039&amp;" 行没单价，整批运费先挂账没摊",IF(AND($B1039&lt;&gt;"",COUNTIF($B$4:$B$2503,$B1039)&gt;1),"※入库单号重复","")))))))</f>
        <v/>
      </c>
    </row>
    <row r="1040">
      <c r="A1040" s="24">
        <f>IF($G1040="","",COUNTA($G$4:$G1040))</f>
        <v/>
      </c>
      <c r="B1040" s="17" t="n"/>
      <c r="C1040" s="30" t="n"/>
      <c r="D1040" s="17" t="n"/>
      <c r="E1040" s="17" t="n"/>
      <c r="F1040" s="17" t="n"/>
      <c r="G1040" s="17" t="n"/>
      <c r="H1040" s="24">
        <f>IF($G1040="","",IFERROR(VLOOKUP($G1040,物料档案!$A$4:$P$1203,3,0),"※编码不在物料档案里"))</f>
        <v/>
      </c>
      <c r="I1040" s="24">
        <f>IF($G1040="","",IFERROR(VLOOKUP($G1040,物料档案!$A$4:$P$1203,4,0),"※编码不在物料档案里"))</f>
        <v/>
      </c>
      <c r="J1040" s="24">
        <f>IF($G1040="","",IFERROR(VLOOKUP($G1040,物料档案!$A$4:$P$1203,5,0),"※编码不在物料档案里"))</f>
        <v/>
      </c>
      <c r="K1040" s="23" t="n"/>
      <c r="L1040" s="31" t="n"/>
      <c r="M1040" s="24">
        <f>IF($G1040="","",IF($D1040="A国内","CNY","TZS"))</f>
        <v/>
      </c>
      <c r="N1040" s="28">
        <f>IF($G1040="","",IF($D1040="A国内",汇率,1))</f>
        <v/>
      </c>
      <c r="O1040" s="25">
        <f>IF($G1040="","",ROUND(N($K1040)*N($L1040),2))</f>
        <v/>
      </c>
      <c r="P1040" s="26">
        <f>IF($G1040="","",ROUND($O1040*$N1040,0))</f>
        <v/>
      </c>
      <c r="Q1040" s="26">
        <f>IF($G1040="","",SUMIFS($P$4:$P$2503,$E$4:$E$2503,$E1040,$Z$4:$Z$2503,"正常"))</f>
        <v/>
      </c>
      <c r="R1040" s="26">
        <f>IF($G1040="","",SUMIFS(费用台账!$I$4:$I$503,费用台账!$C$4:$C$503,$E1040,费用台账!$J$4:$J$503,"是",费用台账!$K$4:$K$503,"正常"))</f>
        <v/>
      </c>
      <c r="S1040" s="28">
        <f>IF($G1040="","",COUNTIFS($E$4:$E$2503,$E1040,$Z$4:$Z$2503,"正常",$Y$4:$Y$2503,"待补价"))</f>
        <v/>
      </c>
      <c r="T1040" s="26">
        <f>IF($G1040="","",SUMIFS($P$4:$P$2503,$E$4:$E$2503,$E1040,$Z$4:$Z$2503,"正常",$A$4:$A$2503,"&lt;="&amp;$A1040))</f>
        <v/>
      </c>
      <c r="U1040" s="26">
        <f>IF($G1040="","",IF(OR($S1040&gt;0,$Q1040=0,$R1040=0,$Z1040&lt;&gt;"正常"),0,ROUND($T1040/$Q1040*$R1040,0)-ROUND(($T1040-$P1040)/$Q1040*$R1040,0)))</f>
        <v/>
      </c>
      <c r="V1040" s="26">
        <f>IF($G1040="","",ROUND($P1040+$U1040,0))</f>
        <v/>
      </c>
      <c r="W1040" s="26">
        <f>IF($G1040="","",IF(N($K1040)=0,0,ROUND($V1040/$K1040,2)))</f>
        <v/>
      </c>
      <c r="X1040" s="17" t="n"/>
      <c r="Y1040" s="17" t="n"/>
      <c r="Z1040" s="17" t="n"/>
      <c r="AA1040" s="17" t="n"/>
      <c r="AB1040" s="17" t="n"/>
      <c r="AC1040" s="24">
        <f>IF($G1040="","",IF($H1040="※编码不在物料档案里","※物料编码不在档案里",IF(N($K1040)&lt;=0,"※入库数量要大于 0",IF(AND($C1040&lt;&gt;"",$C1040&lt;=结账锁),"※日期早于已结账截止日，不能再录",IF(AND($L1040=0,$X1040="正常"),"※没填单价，价格状态请选「待补价」",IF(AND($S1040&gt;0,$R1040&gt;0),"△本批有 "&amp;$S1040&amp;" 行没单价，整批运费先挂账没摊",IF(AND($B1040&lt;&gt;"",COUNTIF($B$4:$B$2503,$B1040)&gt;1),"※入库单号重复","")))))))</f>
        <v/>
      </c>
    </row>
    <row r="1041">
      <c r="A1041" s="24">
        <f>IF($G1041="","",COUNTA($G$4:$G1041))</f>
        <v/>
      </c>
      <c r="B1041" s="17" t="n"/>
      <c r="C1041" s="30" t="n"/>
      <c r="D1041" s="17" t="n"/>
      <c r="E1041" s="17" t="n"/>
      <c r="F1041" s="17" t="n"/>
      <c r="G1041" s="17" t="n"/>
      <c r="H1041" s="24">
        <f>IF($G1041="","",IFERROR(VLOOKUP($G1041,物料档案!$A$4:$P$1203,3,0),"※编码不在物料档案里"))</f>
        <v/>
      </c>
      <c r="I1041" s="24">
        <f>IF($G1041="","",IFERROR(VLOOKUP($G1041,物料档案!$A$4:$P$1203,4,0),"※编码不在物料档案里"))</f>
        <v/>
      </c>
      <c r="J1041" s="24">
        <f>IF($G1041="","",IFERROR(VLOOKUP($G1041,物料档案!$A$4:$P$1203,5,0),"※编码不在物料档案里"))</f>
        <v/>
      </c>
      <c r="K1041" s="23" t="n"/>
      <c r="L1041" s="31" t="n"/>
      <c r="M1041" s="24">
        <f>IF($G1041="","",IF($D1041="A国内","CNY","TZS"))</f>
        <v/>
      </c>
      <c r="N1041" s="28">
        <f>IF($G1041="","",IF($D1041="A国内",汇率,1))</f>
        <v/>
      </c>
      <c r="O1041" s="25">
        <f>IF($G1041="","",ROUND(N($K1041)*N($L1041),2))</f>
        <v/>
      </c>
      <c r="P1041" s="26">
        <f>IF($G1041="","",ROUND($O1041*$N1041,0))</f>
        <v/>
      </c>
      <c r="Q1041" s="26">
        <f>IF($G1041="","",SUMIFS($P$4:$P$2503,$E$4:$E$2503,$E1041,$Z$4:$Z$2503,"正常"))</f>
        <v/>
      </c>
      <c r="R1041" s="26">
        <f>IF($G1041="","",SUMIFS(费用台账!$I$4:$I$503,费用台账!$C$4:$C$503,$E1041,费用台账!$J$4:$J$503,"是",费用台账!$K$4:$K$503,"正常"))</f>
        <v/>
      </c>
      <c r="S1041" s="28">
        <f>IF($G1041="","",COUNTIFS($E$4:$E$2503,$E1041,$Z$4:$Z$2503,"正常",$Y$4:$Y$2503,"待补价"))</f>
        <v/>
      </c>
      <c r="T1041" s="26">
        <f>IF($G1041="","",SUMIFS($P$4:$P$2503,$E$4:$E$2503,$E1041,$Z$4:$Z$2503,"正常",$A$4:$A$2503,"&lt;="&amp;$A1041))</f>
        <v/>
      </c>
      <c r="U1041" s="26">
        <f>IF($G1041="","",IF(OR($S1041&gt;0,$Q1041=0,$R1041=0,$Z1041&lt;&gt;"正常"),0,ROUND($T1041/$Q1041*$R1041,0)-ROUND(($T1041-$P1041)/$Q1041*$R1041,0)))</f>
        <v/>
      </c>
      <c r="V1041" s="26">
        <f>IF($G1041="","",ROUND($P1041+$U1041,0))</f>
        <v/>
      </c>
      <c r="W1041" s="26">
        <f>IF($G1041="","",IF(N($K1041)=0,0,ROUND($V1041/$K1041,2)))</f>
        <v/>
      </c>
      <c r="X1041" s="17" t="n"/>
      <c r="Y1041" s="17" t="n"/>
      <c r="Z1041" s="17" t="n"/>
      <c r="AA1041" s="17" t="n"/>
      <c r="AB1041" s="17" t="n"/>
      <c r="AC1041" s="24">
        <f>IF($G1041="","",IF($H1041="※编码不在物料档案里","※物料编码不在档案里",IF(N($K1041)&lt;=0,"※入库数量要大于 0",IF(AND($C1041&lt;&gt;"",$C1041&lt;=结账锁),"※日期早于已结账截止日，不能再录",IF(AND($L1041=0,$X1041="正常"),"※没填单价，价格状态请选「待补价」",IF(AND($S1041&gt;0,$R1041&gt;0),"△本批有 "&amp;$S1041&amp;" 行没单价，整批运费先挂账没摊",IF(AND($B1041&lt;&gt;"",COUNTIF($B$4:$B$2503,$B1041)&gt;1),"※入库单号重复","")))))))</f>
        <v/>
      </c>
    </row>
    <row r="1042">
      <c r="A1042" s="24">
        <f>IF($G1042="","",COUNTA($G$4:$G1042))</f>
        <v/>
      </c>
      <c r="B1042" s="17" t="n"/>
      <c r="C1042" s="30" t="n"/>
      <c r="D1042" s="17" t="n"/>
      <c r="E1042" s="17" t="n"/>
      <c r="F1042" s="17" t="n"/>
      <c r="G1042" s="17" t="n"/>
      <c r="H1042" s="24">
        <f>IF($G1042="","",IFERROR(VLOOKUP($G1042,物料档案!$A$4:$P$1203,3,0),"※编码不在物料档案里"))</f>
        <v/>
      </c>
      <c r="I1042" s="24">
        <f>IF($G1042="","",IFERROR(VLOOKUP($G1042,物料档案!$A$4:$P$1203,4,0),"※编码不在物料档案里"))</f>
        <v/>
      </c>
      <c r="J1042" s="24">
        <f>IF($G1042="","",IFERROR(VLOOKUP($G1042,物料档案!$A$4:$P$1203,5,0),"※编码不在物料档案里"))</f>
        <v/>
      </c>
      <c r="K1042" s="23" t="n"/>
      <c r="L1042" s="31" t="n"/>
      <c r="M1042" s="24">
        <f>IF($G1042="","",IF($D1042="A国内","CNY","TZS"))</f>
        <v/>
      </c>
      <c r="N1042" s="28">
        <f>IF($G1042="","",IF($D1042="A国内",汇率,1))</f>
        <v/>
      </c>
      <c r="O1042" s="25">
        <f>IF($G1042="","",ROUND(N($K1042)*N($L1042),2))</f>
        <v/>
      </c>
      <c r="P1042" s="26">
        <f>IF($G1042="","",ROUND($O1042*$N1042,0))</f>
        <v/>
      </c>
      <c r="Q1042" s="26">
        <f>IF($G1042="","",SUMIFS($P$4:$P$2503,$E$4:$E$2503,$E1042,$Z$4:$Z$2503,"正常"))</f>
        <v/>
      </c>
      <c r="R1042" s="26">
        <f>IF($G1042="","",SUMIFS(费用台账!$I$4:$I$503,费用台账!$C$4:$C$503,$E1042,费用台账!$J$4:$J$503,"是",费用台账!$K$4:$K$503,"正常"))</f>
        <v/>
      </c>
      <c r="S1042" s="28">
        <f>IF($G1042="","",COUNTIFS($E$4:$E$2503,$E1042,$Z$4:$Z$2503,"正常",$Y$4:$Y$2503,"待补价"))</f>
        <v/>
      </c>
      <c r="T1042" s="26">
        <f>IF($G1042="","",SUMIFS($P$4:$P$2503,$E$4:$E$2503,$E1042,$Z$4:$Z$2503,"正常",$A$4:$A$2503,"&lt;="&amp;$A1042))</f>
        <v/>
      </c>
      <c r="U1042" s="26">
        <f>IF($G1042="","",IF(OR($S1042&gt;0,$Q1042=0,$R1042=0,$Z1042&lt;&gt;"正常"),0,ROUND($T1042/$Q1042*$R1042,0)-ROUND(($T1042-$P1042)/$Q1042*$R1042,0)))</f>
        <v/>
      </c>
      <c r="V1042" s="26">
        <f>IF($G1042="","",ROUND($P1042+$U1042,0))</f>
        <v/>
      </c>
      <c r="W1042" s="26">
        <f>IF($G1042="","",IF(N($K1042)=0,0,ROUND($V1042/$K1042,2)))</f>
        <v/>
      </c>
      <c r="X1042" s="17" t="n"/>
      <c r="Y1042" s="17" t="n"/>
      <c r="Z1042" s="17" t="n"/>
      <c r="AA1042" s="17" t="n"/>
      <c r="AB1042" s="17" t="n"/>
      <c r="AC1042" s="24">
        <f>IF($G1042="","",IF($H1042="※编码不在物料档案里","※物料编码不在档案里",IF(N($K1042)&lt;=0,"※入库数量要大于 0",IF(AND($C1042&lt;&gt;"",$C1042&lt;=结账锁),"※日期早于已结账截止日，不能再录",IF(AND($L1042=0,$X1042="正常"),"※没填单价，价格状态请选「待补价」",IF(AND($S1042&gt;0,$R1042&gt;0),"△本批有 "&amp;$S1042&amp;" 行没单价，整批运费先挂账没摊",IF(AND($B1042&lt;&gt;"",COUNTIF($B$4:$B$2503,$B1042)&gt;1),"※入库单号重复","")))))))</f>
        <v/>
      </c>
    </row>
    <row r="1043">
      <c r="A1043" s="24">
        <f>IF($G1043="","",COUNTA($G$4:$G1043))</f>
        <v/>
      </c>
      <c r="B1043" s="17" t="n"/>
      <c r="C1043" s="30" t="n"/>
      <c r="D1043" s="17" t="n"/>
      <c r="E1043" s="17" t="n"/>
      <c r="F1043" s="17" t="n"/>
      <c r="G1043" s="17" t="n"/>
      <c r="H1043" s="24">
        <f>IF($G1043="","",IFERROR(VLOOKUP($G1043,物料档案!$A$4:$P$1203,3,0),"※编码不在物料档案里"))</f>
        <v/>
      </c>
      <c r="I1043" s="24">
        <f>IF($G1043="","",IFERROR(VLOOKUP($G1043,物料档案!$A$4:$P$1203,4,0),"※编码不在物料档案里"))</f>
        <v/>
      </c>
      <c r="J1043" s="24">
        <f>IF($G1043="","",IFERROR(VLOOKUP($G1043,物料档案!$A$4:$P$1203,5,0),"※编码不在物料档案里"))</f>
        <v/>
      </c>
      <c r="K1043" s="23" t="n"/>
      <c r="L1043" s="31" t="n"/>
      <c r="M1043" s="24">
        <f>IF($G1043="","",IF($D1043="A国内","CNY","TZS"))</f>
        <v/>
      </c>
      <c r="N1043" s="28">
        <f>IF($G1043="","",IF($D1043="A国内",汇率,1))</f>
        <v/>
      </c>
      <c r="O1043" s="25">
        <f>IF($G1043="","",ROUND(N($K1043)*N($L1043),2))</f>
        <v/>
      </c>
      <c r="P1043" s="26">
        <f>IF($G1043="","",ROUND($O1043*$N1043,0))</f>
        <v/>
      </c>
      <c r="Q1043" s="26">
        <f>IF($G1043="","",SUMIFS($P$4:$P$2503,$E$4:$E$2503,$E1043,$Z$4:$Z$2503,"正常"))</f>
        <v/>
      </c>
      <c r="R1043" s="26">
        <f>IF($G1043="","",SUMIFS(费用台账!$I$4:$I$503,费用台账!$C$4:$C$503,$E1043,费用台账!$J$4:$J$503,"是",费用台账!$K$4:$K$503,"正常"))</f>
        <v/>
      </c>
      <c r="S1043" s="28">
        <f>IF($G1043="","",COUNTIFS($E$4:$E$2503,$E1043,$Z$4:$Z$2503,"正常",$Y$4:$Y$2503,"待补价"))</f>
        <v/>
      </c>
      <c r="T1043" s="26">
        <f>IF($G1043="","",SUMIFS($P$4:$P$2503,$E$4:$E$2503,$E1043,$Z$4:$Z$2503,"正常",$A$4:$A$2503,"&lt;="&amp;$A1043))</f>
        <v/>
      </c>
      <c r="U1043" s="26">
        <f>IF($G1043="","",IF(OR($S1043&gt;0,$Q1043=0,$R1043=0,$Z1043&lt;&gt;"正常"),0,ROUND($T1043/$Q1043*$R1043,0)-ROUND(($T1043-$P1043)/$Q1043*$R1043,0)))</f>
        <v/>
      </c>
      <c r="V1043" s="26">
        <f>IF($G1043="","",ROUND($P1043+$U1043,0))</f>
        <v/>
      </c>
      <c r="W1043" s="26">
        <f>IF($G1043="","",IF(N($K1043)=0,0,ROUND($V1043/$K1043,2)))</f>
        <v/>
      </c>
      <c r="X1043" s="17" t="n"/>
      <c r="Y1043" s="17" t="n"/>
      <c r="Z1043" s="17" t="n"/>
      <c r="AA1043" s="17" t="n"/>
      <c r="AB1043" s="17" t="n"/>
      <c r="AC1043" s="24">
        <f>IF($G1043="","",IF($H1043="※编码不在物料档案里","※物料编码不在档案里",IF(N($K1043)&lt;=0,"※入库数量要大于 0",IF(AND($C1043&lt;&gt;"",$C1043&lt;=结账锁),"※日期早于已结账截止日，不能再录",IF(AND($L1043=0,$X1043="正常"),"※没填单价，价格状态请选「待补价」",IF(AND($S1043&gt;0,$R1043&gt;0),"△本批有 "&amp;$S1043&amp;" 行没单价，整批运费先挂账没摊",IF(AND($B1043&lt;&gt;"",COUNTIF($B$4:$B$2503,$B1043)&gt;1),"※入库单号重复","")))))))</f>
        <v/>
      </c>
    </row>
    <row r="1044">
      <c r="A1044" s="24">
        <f>IF($G1044="","",COUNTA($G$4:$G1044))</f>
        <v/>
      </c>
      <c r="B1044" s="17" t="n"/>
      <c r="C1044" s="30" t="n"/>
      <c r="D1044" s="17" t="n"/>
      <c r="E1044" s="17" t="n"/>
      <c r="F1044" s="17" t="n"/>
      <c r="G1044" s="17" t="n"/>
      <c r="H1044" s="24">
        <f>IF($G1044="","",IFERROR(VLOOKUP($G1044,物料档案!$A$4:$P$1203,3,0),"※编码不在物料档案里"))</f>
        <v/>
      </c>
      <c r="I1044" s="24">
        <f>IF($G1044="","",IFERROR(VLOOKUP($G1044,物料档案!$A$4:$P$1203,4,0),"※编码不在物料档案里"))</f>
        <v/>
      </c>
      <c r="J1044" s="24">
        <f>IF($G1044="","",IFERROR(VLOOKUP($G1044,物料档案!$A$4:$P$1203,5,0),"※编码不在物料档案里"))</f>
        <v/>
      </c>
      <c r="K1044" s="23" t="n"/>
      <c r="L1044" s="31" t="n"/>
      <c r="M1044" s="24">
        <f>IF($G1044="","",IF($D1044="A国内","CNY","TZS"))</f>
        <v/>
      </c>
      <c r="N1044" s="28">
        <f>IF($G1044="","",IF($D1044="A国内",汇率,1))</f>
        <v/>
      </c>
      <c r="O1044" s="25">
        <f>IF($G1044="","",ROUND(N($K1044)*N($L1044),2))</f>
        <v/>
      </c>
      <c r="P1044" s="26">
        <f>IF($G1044="","",ROUND($O1044*$N1044,0))</f>
        <v/>
      </c>
      <c r="Q1044" s="26">
        <f>IF($G1044="","",SUMIFS($P$4:$P$2503,$E$4:$E$2503,$E1044,$Z$4:$Z$2503,"正常"))</f>
        <v/>
      </c>
      <c r="R1044" s="26">
        <f>IF($G1044="","",SUMIFS(费用台账!$I$4:$I$503,费用台账!$C$4:$C$503,$E1044,费用台账!$J$4:$J$503,"是",费用台账!$K$4:$K$503,"正常"))</f>
        <v/>
      </c>
      <c r="S1044" s="28">
        <f>IF($G1044="","",COUNTIFS($E$4:$E$2503,$E1044,$Z$4:$Z$2503,"正常",$Y$4:$Y$2503,"待补价"))</f>
        <v/>
      </c>
      <c r="T1044" s="26">
        <f>IF($G1044="","",SUMIFS($P$4:$P$2503,$E$4:$E$2503,$E1044,$Z$4:$Z$2503,"正常",$A$4:$A$2503,"&lt;="&amp;$A1044))</f>
        <v/>
      </c>
      <c r="U1044" s="26">
        <f>IF($G1044="","",IF(OR($S1044&gt;0,$Q1044=0,$R1044=0,$Z1044&lt;&gt;"正常"),0,ROUND($T1044/$Q1044*$R1044,0)-ROUND(($T1044-$P1044)/$Q1044*$R1044,0)))</f>
        <v/>
      </c>
      <c r="V1044" s="26">
        <f>IF($G1044="","",ROUND($P1044+$U1044,0))</f>
        <v/>
      </c>
      <c r="W1044" s="26">
        <f>IF($G1044="","",IF(N($K1044)=0,0,ROUND($V1044/$K1044,2)))</f>
        <v/>
      </c>
      <c r="X1044" s="17" t="n"/>
      <c r="Y1044" s="17" t="n"/>
      <c r="Z1044" s="17" t="n"/>
      <c r="AA1044" s="17" t="n"/>
      <c r="AB1044" s="17" t="n"/>
      <c r="AC1044" s="24">
        <f>IF($G1044="","",IF($H1044="※编码不在物料档案里","※物料编码不在档案里",IF(N($K1044)&lt;=0,"※入库数量要大于 0",IF(AND($C1044&lt;&gt;"",$C1044&lt;=结账锁),"※日期早于已结账截止日，不能再录",IF(AND($L1044=0,$X1044="正常"),"※没填单价，价格状态请选「待补价」",IF(AND($S1044&gt;0,$R1044&gt;0),"△本批有 "&amp;$S1044&amp;" 行没单价，整批运费先挂账没摊",IF(AND($B1044&lt;&gt;"",COUNTIF($B$4:$B$2503,$B1044)&gt;1),"※入库单号重复","")))))))</f>
        <v/>
      </c>
    </row>
    <row r="1045">
      <c r="A1045" s="24">
        <f>IF($G1045="","",COUNTA($G$4:$G1045))</f>
        <v/>
      </c>
      <c r="B1045" s="17" t="n"/>
      <c r="C1045" s="30" t="n"/>
      <c r="D1045" s="17" t="n"/>
      <c r="E1045" s="17" t="n"/>
      <c r="F1045" s="17" t="n"/>
      <c r="G1045" s="17" t="n"/>
      <c r="H1045" s="24">
        <f>IF($G1045="","",IFERROR(VLOOKUP($G1045,物料档案!$A$4:$P$1203,3,0),"※编码不在物料档案里"))</f>
        <v/>
      </c>
      <c r="I1045" s="24">
        <f>IF($G1045="","",IFERROR(VLOOKUP($G1045,物料档案!$A$4:$P$1203,4,0),"※编码不在物料档案里"))</f>
        <v/>
      </c>
      <c r="J1045" s="24">
        <f>IF($G1045="","",IFERROR(VLOOKUP($G1045,物料档案!$A$4:$P$1203,5,0),"※编码不在物料档案里"))</f>
        <v/>
      </c>
      <c r="K1045" s="23" t="n"/>
      <c r="L1045" s="31" t="n"/>
      <c r="M1045" s="24">
        <f>IF($G1045="","",IF($D1045="A国内","CNY","TZS"))</f>
        <v/>
      </c>
      <c r="N1045" s="28">
        <f>IF($G1045="","",IF($D1045="A国内",汇率,1))</f>
        <v/>
      </c>
      <c r="O1045" s="25">
        <f>IF($G1045="","",ROUND(N($K1045)*N($L1045),2))</f>
        <v/>
      </c>
      <c r="P1045" s="26">
        <f>IF($G1045="","",ROUND($O1045*$N1045,0))</f>
        <v/>
      </c>
      <c r="Q1045" s="26">
        <f>IF($G1045="","",SUMIFS($P$4:$P$2503,$E$4:$E$2503,$E1045,$Z$4:$Z$2503,"正常"))</f>
        <v/>
      </c>
      <c r="R1045" s="26">
        <f>IF($G1045="","",SUMIFS(费用台账!$I$4:$I$503,费用台账!$C$4:$C$503,$E1045,费用台账!$J$4:$J$503,"是",费用台账!$K$4:$K$503,"正常"))</f>
        <v/>
      </c>
      <c r="S1045" s="28">
        <f>IF($G1045="","",COUNTIFS($E$4:$E$2503,$E1045,$Z$4:$Z$2503,"正常",$Y$4:$Y$2503,"待补价"))</f>
        <v/>
      </c>
      <c r="T1045" s="26">
        <f>IF($G1045="","",SUMIFS($P$4:$P$2503,$E$4:$E$2503,$E1045,$Z$4:$Z$2503,"正常",$A$4:$A$2503,"&lt;="&amp;$A1045))</f>
        <v/>
      </c>
      <c r="U1045" s="26">
        <f>IF($G1045="","",IF(OR($S1045&gt;0,$Q1045=0,$R1045=0,$Z1045&lt;&gt;"正常"),0,ROUND($T1045/$Q1045*$R1045,0)-ROUND(($T1045-$P1045)/$Q1045*$R1045,0)))</f>
        <v/>
      </c>
      <c r="V1045" s="26">
        <f>IF($G1045="","",ROUND($P1045+$U1045,0))</f>
        <v/>
      </c>
      <c r="W1045" s="26">
        <f>IF($G1045="","",IF(N($K1045)=0,0,ROUND($V1045/$K1045,2)))</f>
        <v/>
      </c>
      <c r="X1045" s="17" t="n"/>
      <c r="Y1045" s="17" t="n"/>
      <c r="Z1045" s="17" t="n"/>
      <c r="AA1045" s="17" t="n"/>
      <c r="AB1045" s="17" t="n"/>
      <c r="AC1045" s="24">
        <f>IF($G1045="","",IF($H1045="※编码不在物料档案里","※物料编码不在档案里",IF(N($K1045)&lt;=0,"※入库数量要大于 0",IF(AND($C1045&lt;&gt;"",$C1045&lt;=结账锁),"※日期早于已结账截止日，不能再录",IF(AND($L1045=0,$X1045="正常"),"※没填单价，价格状态请选「待补价」",IF(AND($S1045&gt;0,$R1045&gt;0),"△本批有 "&amp;$S1045&amp;" 行没单价，整批运费先挂账没摊",IF(AND($B1045&lt;&gt;"",COUNTIF($B$4:$B$2503,$B1045)&gt;1),"※入库单号重复","")))))))</f>
        <v/>
      </c>
    </row>
    <row r="1046">
      <c r="A1046" s="24">
        <f>IF($G1046="","",COUNTA($G$4:$G1046))</f>
        <v/>
      </c>
      <c r="B1046" s="17" t="n"/>
      <c r="C1046" s="30" t="n"/>
      <c r="D1046" s="17" t="n"/>
      <c r="E1046" s="17" t="n"/>
      <c r="F1046" s="17" t="n"/>
      <c r="G1046" s="17" t="n"/>
      <c r="H1046" s="24">
        <f>IF($G1046="","",IFERROR(VLOOKUP($G1046,物料档案!$A$4:$P$1203,3,0),"※编码不在物料档案里"))</f>
        <v/>
      </c>
      <c r="I1046" s="24">
        <f>IF($G1046="","",IFERROR(VLOOKUP($G1046,物料档案!$A$4:$P$1203,4,0),"※编码不在物料档案里"))</f>
        <v/>
      </c>
      <c r="J1046" s="24">
        <f>IF($G1046="","",IFERROR(VLOOKUP($G1046,物料档案!$A$4:$P$1203,5,0),"※编码不在物料档案里"))</f>
        <v/>
      </c>
      <c r="K1046" s="23" t="n"/>
      <c r="L1046" s="31" t="n"/>
      <c r="M1046" s="24">
        <f>IF($G1046="","",IF($D1046="A国内","CNY","TZS"))</f>
        <v/>
      </c>
      <c r="N1046" s="28">
        <f>IF($G1046="","",IF($D1046="A国内",汇率,1))</f>
        <v/>
      </c>
      <c r="O1046" s="25">
        <f>IF($G1046="","",ROUND(N($K1046)*N($L1046),2))</f>
        <v/>
      </c>
      <c r="P1046" s="26">
        <f>IF($G1046="","",ROUND($O1046*$N1046,0))</f>
        <v/>
      </c>
      <c r="Q1046" s="26">
        <f>IF($G1046="","",SUMIFS($P$4:$P$2503,$E$4:$E$2503,$E1046,$Z$4:$Z$2503,"正常"))</f>
        <v/>
      </c>
      <c r="R1046" s="26">
        <f>IF($G1046="","",SUMIFS(费用台账!$I$4:$I$503,费用台账!$C$4:$C$503,$E1046,费用台账!$J$4:$J$503,"是",费用台账!$K$4:$K$503,"正常"))</f>
        <v/>
      </c>
      <c r="S1046" s="28">
        <f>IF($G1046="","",COUNTIFS($E$4:$E$2503,$E1046,$Z$4:$Z$2503,"正常",$Y$4:$Y$2503,"待补价"))</f>
        <v/>
      </c>
      <c r="T1046" s="26">
        <f>IF($G1046="","",SUMIFS($P$4:$P$2503,$E$4:$E$2503,$E1046,$Z$4:$Z$2503,"正常",$A$4:$A$2503,"&lt;="&amp;$A1046))</f>
        <v/>
      </c>
      <c r="U1046" s="26">
        <f>IF($G1046="","",IF(OR($S1046&gt;0,$Q1046=0,$R1046=0,$Z1046&lt;&gt;"正常"),0,ROUND($T1046/$Q1046*$R1046,0)-ROUND(($T1046-$P1046)/$Q1046*$R1046,0)))</f>
        <v/>
      </c>
      <c r="V1046" s="26">
        <f>IF($G1046="","",ROUND($P1046+$U1046,0))</f>
        <v/>
      </c>
      <c r="W1046" s="26">
        <f>IF($G1046="","",IF(N($K1046)=0,0,ROUND($V1046/$K1046,2)))</f>
        <v/>
      </c>
      <c r="X1046" s="17" t="n"/>
      <c r="Y1046" s="17" t="n"/>
      <c r="Z1046" s="17" t="n"/>
      <c r="AA1046" s="17" t="n"/>
      <c r="AB1046" s="17" t="n"/>
      <c r="AC1046" s="24">
        <f>IF($G1046="","",IF($H1046="※编码不在物料档案里","※物料编码不在档案里",IF(N($K1046)&lt;=0,"※入库数量要大于 0",IF(AND($C1046&lt;&gt;"",$C1046&lt;=结账锁),"※日期早于已结账截止日，不能再录",IF(AND($L1046=0,$X1046="正常"),"※没填单价，价格状态请选「待补价」",IF(AND($S1046&gt;0,$R1046&gt;0),"△本批有 "&amp;$S1046&amp;" 行没单价，整批运费先挂账没摊",IF(AND($B1046&lt;&gt;"",COUNTIF($B$4:$B$2503,$B1046)&gt;1),"※入库单号重复","")))))))</f>
        <v/>
      </c>
    </row>
    <row r="1047">
      <c r="A1047" s="24">
        <f>IF($G1047="","",COUNTA($G$4:$G1047))</f>
        <v/>
      </c>
      <c r="B1047" s="17" t="n"/>
      <c r="C1047" s="30" t="n"/>
      <c r="D1047" s="17" t="n"/>
      <c r="E1047" s="17" t="n"/>
      <c r="F1047" s="17" t="n"/>
      <c r="G1047" s="17" t="n"/>
      <c r="H1047" s="24">
        <f>IF($G1047="","",IFERROR(VLOOKUP($G1047,物料档案!$A$4:$P$1203,3,0),"※编码不在物料档案里"))</f>
        <v/>
      </c>
      <c r="I1047" s="24">
        <f>IF($G1047="","",IFERROR(VLOOKUP($G1047,物料档案!$A$4:$P$1203,4,0),"※编码不在物料档案里"))</f>
        <v/>
      </c>
      <c r="J1047" s="24">
        <f>IF($G1047="","",IFERROR(VLOOKUP($G1047,物料档案!$A$4:$P$1203,5,0),"※编码不在物料档案里"))</f>
        <v/>
      </c>
      <c r="K1047" s="23" t="n"/>
      <c r="L1047" s="31" t="n"/>
      <c r="M1047" s="24">
        <f>IF($G1047="","",IF($D1047="A国内","CNY","TZS"))</f>
        <v/>
      </c>
      <c r="N1047" s="28">
        <f>IF($G1047="","",IF($D1047="A国内",汇率,1))</f>
        <v/>
      </c>
      <c r="O1047" s="25">
        <f>IF($G1047="","",ROUND(N($K1047)*N($L1047),2))</f>
        <v/>
      </c>
      <c r="P1047" s="26">
        <f>IF($G1047="","",ROUND($O1047*$N1047,0))</f>
        <v/>
      </c>
      <c r="Q1047" s="26">
        <f>IF($G1047="","",SUMIFS($P$4:$P$2503,$E$4:$E$2503,$E1047,$Z$4:$Z$2503,"正常"))</f>
        <v/>
      </c>
      <c r="R1047" s="26">
        <f>IF($G1047="","",SUMIFS(费用台账!$I$4:$I$503,费用台账!$C$4:$C$503,$E1047,费用台账!$J$4:$J$503,"是",费用台账!$K$4:$K$503,"正常"))</f>
        <v/>
      </c>
      <c r="S1047" s="28">
        <f>IF($G1047="","",COUNTIFS($E$4:$E$2503,$E1047,$Z$4:$Z$2503,"正常",$Y$4:$Y$2503,"待补价"))</f>
        <v/>
      </c>
      <c r="T1047" s="26">
        <f>IF($G1047="","",SUMIFS($P$4:$P$2503,$E$4:$E$2503,$E1047,$Z$4:$Z$2503,"正常",$A$4:$A$2503,"&lt;="&amp;$A1047))</f>
        <v/>
      </c>
      <c r="U1047" s="26">
        <f>IF($G1047="","",IF(OR($S1047&gt;0,$Q1047=0,$R1047=0,$Z1047&lt;&gt;"正常"),0,ROUND($T1047/$Q1047*$R1047,0)-ROUND(($T1047-$P1047)/$Q1047*$R1047,0)))</f>
        <v/>
      </c>
      <c r="V1047" s="26">
        <f>IF($G1047="","",ROUND($P1047+$U1047,0))</f>
        <v/>
      </c>
      <c r="W1047" s="26">
        <f>IF($G1047="","",IF(N($K1047)=0,0,ROUND($V1047/$K1047,2)))</f>
        <v/>
      </c>
      <c r="X1047" s="17" t="n"/>
      <c r="Y1047" s="17" t="n"/>
      <c r="Z1047" s="17" t="n"/>
      <c r="AA1047" s="17" t="n"/>
      <c r="AB1047" s="17" t="n"/>
      <c r="AC1047" s="24">
        <f>IF($G1047="","",IF($H1047="※编码不在物料档案里","※物料编码不在档案里",IF(N($K1047)&lt;=0,"※入库数量要大于 0",IF(AND($C1047&lt;&gt;"",$C1047&lt;=结账锁),"※日期早于已结账截止日，不能再录",IF(AND($L1047=0,$X1047="正常"),"※没填单价，价格状态请选「待补价」",IF(AND($S1047&gt;0,$R1047&gt;0),"△本批有 "&amp;$S1047&amp;" 行没单价，整批运费先挂账没摊",IF(AND($B1047&lt;&gt;"",COUNTIF($B$4:$B$2503,$B1047)&gt;1),"※入库单号重复","")))))))</f>
        <v/>
      </c>
    </row>
    <row r="1048">
      <c r="A1048" s="24">
        <f>IF($G1048="","",COUNTA($G$4:$G1048))</f>
        <v/>
      </c>
      <c r="B1048" s="17" t="n"/>
      <c r="C1048" s="30" t="n"/>
      <c r="D1048" s="17" t="n"/>
      <c r="E1048" s="17" t="n"/>
      <c r="F1048" s="17" t="n"/>
      <c r="G1048" s="17" t="n"/>
      <c r="H1048" s="24">
        <f>IF($G1048="","",IFERROR(VLOOKUP($G1048,物料档案!$A$4:$P$1203,3,0),"※编码不在物料档案里"))</f>
        <v/>
      </c>
      <c r="I1048" s="24">
        <f>IF($G1048="","",IFERROR(VLOOKUP($G1048,物料档案!$A$4:$P$1203,4,0),"※编码不在物料档案里"))</f>
        <v/>
      </c>
      <c r="J1048" s="24">
        <f>IF($G1048="","",IFERROR(VLOOKUP($G1048,物料档案!$A$4:$P$1203,5,0),"※编码不在物料档案里"))</f>
        <v/>
      </c>
      <c r="K1048" s="23" t="n"/>
      <c r="L1048" s="31" t="n"/>
      <c r="M1048" s="24">
        <f>IF($G1048="","",IF($D1048="A国内","CNY","TZS"))</f>
        <v/>
      </c>
      <c r="N1048" s="28">
        <f>IF($G1048="","",IF($D1048="A国内",汇率,1))</f>
        <v/>
      </c>
      <c r="O1048" s="25">
        <f>IF($G1048="","",ROUND(N($K1048)*N($L1048),2))</f>
        <v/>
      </c>
      <c r="P1048" s="26">
        <f>IF($G1048="","",ROUND($O1048*$N1048,0))</f>
        <v/>
      </c>
      <c r="Q1048" s="26">
        <f>IF($G1048="","",SUMIFS($P$4:$P$2503,$E$4:$E$2503,$E1048,$Z$4:$Z$2503,"正常"))</f>
        <v/>
      </c>
      <c r="R1048" s="26">
        <f>IF($G1048="","",SUMIFS(费用台账!$I$4:$I$503,费用台账!$C$4:$C$503,$E1048,费用台账!$J$4:$J$503,"是",费用台账!$K$4:$K$503,"正常"))</f>
        <v/>
      </c>
      <c r="S1048" s="28">
        <f>IF($G1048="","",COUNTIFS($E$4:$E$2503,$E1048,$Z$4:$Z$2503,"正常",$Y$4:$Y$2503,"待补价"))</f>
        <v/>
      </c>
      <c r="T1048" s="26">
        <f>IF($G1048="","",SUMIFS($P$4:$P$2503,$E$4:$E$2503,$E1048,$Z$4:$Z$2503,"正常",$A$4:$A$2503,"&lt;="&amp;$A1048))</f>
        <v/>
      </c>
      <c r="U1048" s="26">
        <f>IF($G1048="","",IF(OR($S1048&gt;0,$Q1048=0,$R1048=0,$Z1048&lt;&gt;"正常"),0,ROUND($T1048/$Q1048*$R1048,0)-ROUND(($T1048-$P1048)/$Q1048*$R1048,0)))</f>
        <v/>
      </c>
      <c r="V1048" s="26">
        <f>IF($G1048="","",ROUND($P1048+$U1048,0))</f>
        <v/>
      </c>
      <c r="W1048" s="26">
        <f>IF($G1048="","",IF(N($K1048)=0,0,ROUND($V1048/$K1048,2)))</f>
        <v/>
      </c>
      <c r="X1048" s="17" t="n"/>
      <c r="Y1048" s="17" t="n"/>
      <c r="Z1048" s="17" t="n"/>
      <c r="AA1048" s="17" t="n"/>
      <c r="AB1048" s="17" t="n"/>
      <c r="AC1048" s="24">
        <f>IF($G1048="","",IF($H1048="※编码不在物料档案里","※物料编码不在档案里",IF(N($K1048)&lt;=0,"※入库数量要大于 0",IF(AND($C1048&lt;&gt;"",$C1048&lt;=结账锁),"※日期早于已结账截止日，不能再录",IF(AND($L1048=0,$X1048="正常"),"※没填单价，价格状态请选「待补价」",IF(AND($S1048&gt;0,$R1048&gt;0),"△本批有 "&amp;$S1048&amp;" 行没单价，整批运费先挂账没摊",IF(AND($B1048&lt;&gt;"",COUNTIF($B$4:$B$2503,$B1048)&gt;1),"※入库单号重复","")))))))</f>
        <v/>
      </c>
    </row>
    <row r="1049">
      <c r="A1049" s="24">
        <f>IF($G1049="","",COUNTA($G$4:$G1049))</f>
        <v/>
      </c>
      <c r="B1049" s="17" t="n"/>
      <c r="C1049" s="30" t="n"/>
      <c r="D1049" s="17" t="n"/>
      <c r="E1049" s="17" t="n"/>
      <c r="F1049" s="17" t="n"/>
      <c r="G1049" s="17" t="n"/>
      <c r="H1049" s="24">
        <f>IF($G1049="","",IFERROR(VLOOKUP($G1049,物料档案!$A$4:$P$1203,3,0),"※编码不在物料档案里"))</f>
        <v/>
      </c>
      <c r="I1049" s="24">
        <f>IF($G1049="","",IFERROR(VLOOKUP($G1049,物料档案!$A$4:$P$1203,4,0),"※编码不在物料档案里"))</f>
        <v/>
      </c>
      <c r="J1049" s="24">
        <f>IF($G1049="","",IFERROR(VLOOKUP($G1049,物料档案!$A$4:$P$1203,5,0),"※编码不在物料档案里"))</f>
        <v/>
      </c>
      <c r="K1049" s="23" t="n"/>
      <c r="L1049" s="31" t="n"/>
      <c r="M1049" s="24">
        <f>IF($G1049="","",IF($D1049="A国内","CNY","TZS"))</f>
        <v/>
      </c>
      <c r="N1049" s="28">
        <f>IF($G1049="","",IF($D1049="A国内",汇率,1))</f>
        <v/>
      </c>
      <c r="O1049" s="25">
        <f>IF($G1049="","",ROUND(N($K1049)*N($L1049),2))</f>
        <v/>
      </c>
      <c r="P1049" s="26">
        <f>IF($G1049="","",ROUND($O1049*$N1049,0))</f>
        <v/>
      </c>
      <c r="Q1049" s="26">
        <f>IF($G1049="","",SUMIFS($P$4:$P$2503,$E$4:$E$2503,$E1049,$Z$4:$Z$2503,"正常"))</f>
        <v/>
      </c>
      <c r="R1049" s="26">
        <f>IF($G1049="","",SUMIFS(费用台账!$I$4:$I$503,费用台账!$C$4:$C$503,$E1049,费用台账!$J$4:$J$503,"是",费用台账!$K$4:$K$503,"正常"))</f>
        <v/>
      </c>
      <c r="S1049" s="28">
        <f>IF($G1049="","",COUNTIFS($E$4:$E$2503,$E1049,$Z$4:$Z$2503,"正常",$Y$4:$Y$2503,"待补价"))</f>
        <v/>
      </c>
      <c r="T1049" s="26">
        <f>IF($G1049="","",SUMIFS($P$4:$P$2503,$E$4:$E$2503,$E1049,$Z$4:$Z$2503,"正常",$A$4:$A$2503,"&lt;="&amp;$A1049))</f>
        <v/>
      </c>
      <c r="U1049" s="26">
        <f>IF($G1049="","",IF(OR($S1049&gt;0,$Q1049=0,$R1049=0,$Z1049&lt;&gt;"正常"),0,ROUND($T1049/$Q1049*$R1049,0)-ROUND(($T1049-$P1049)/$Q1049*$R1049,0)))</f>
        <v/>
      </c>
      <c r="V1049" s="26">
        <f>IF($G1049="","",ROUND($P1049+$U1049,0))</f>
        <v/>
      </c>
      <c r="W1049" s="26">
        <f>IF($G1049="","",IF(N($K1049)=0,0,ROUND($V1049/$K1049,2)))</f>
        <v/>
      </c>
      <c r="X1049" s="17" t="n"/>
      <c r="Y1049" s="17" t="n"/>
      <c r="Z1049" s="17" t="n"/>
      <c r="AA1049" s="17" t="n"/>
      <c r="AB1049" s="17" t="n"/>
      <c r="AC1049" s="24">
        <f>IF($G1049="","",IF($H1049="※编码不在物料档案里","※物料编码不在档案里",IF(N($K1049)&lt;=0,"※入库数量要大于 0",IF(AND($C1049&lt;&gt;"",$C1049&lt;=结账锁),"※日期早于已结账截止日，不能再录",IF(AND($L1049=0,$X1049="正常"),"※没填单价，价格状态请选「待补价」",IF(AND($S1049&gt;0,$R1049&gt;0),"△本批有 "&amp;$S1049&amp;" 行没单价，整批运费先挂账没摊",IF(AND($B1049&lt;&gt;"",COUNTIF($B$4:$B$2503,$B1049)&gt;1),"※入库单号重复","")))))))</f>
        <v/>
      </c>
    </row>
    <row r="1050">
      <c r="A1050" s="24">
        <f>IF($G1050="","",COUNTA($G$4:$G1050))</f>
        <v/>
      </c>
      <c r="B1050" s="17" t="n"/>
      <c r="C1050" s="30" t="n"/>
      <c r="D1050" s="17" t="n"/>
      <c r="E1050" s="17" t="n"/>
      <c r="F1050" s="17" t="n"/>
      <c r="G1050" s="17" t="n"/>
      <c r="H1050" s="24">
        <f>IF($G1050="","",IFERROR(VLOOKUP($G1050,物料档案!$A$4:$P$1203,3,0),"※编码不在物料档案里"))</f>
        <v/>
      </c>
      <c r="I1050" s="24">
        <f>IF($G1050="","",IFERROR(VLOOKUP($G1050,物料档案!$A$4:$P$1203,4,0),"※编码不在物料档案里"))</f>
        <v/>
      </c>
      <c r="J1050" s="24">
        <f>IF($G1050="","",IFERROR(VLOOKUP($G1050,物料档案!$A$4:$P$1203,5,0),"※编码不在物料档案里"))</f>
        <v/>
      </c>
      <c r="K1050" s="23" t="n"/>
      <c r="L1050" s="31" t="n"/>
      <c r="M1050" s="24">
        <f>IF($G1050="","",IF($D1050="A国内","CNY","TZS"))</f>
        <v/>
      </c>
      <c r="N1050" s="28">
        <f>IF($G1050="","",IF($D1050="A国内",汇率,1))</f>
        <v/>
      </c>
      <c r="O1050" s="25">
        <f>IF($G1050="","",ROUND(N($K1050)*N($L1050),2))</f>
        <v/>
      </c>
      <c r="P1050" s="26">
        <f>IF($G1050="","",ROUND($O1050*$N1050,0))</f>
        <v/>
      </c>
      <c r="Q1050" s="26">
        <f>IF($G1050="","",SUMIFS($P$4:$P$2503,$E$4:$E$2503,$E1050,$Z$4:$Z$2503,"正常"))</f>
        <v/>
      </c>
      <c r="R1050" s="26">
        <f>IF($G1050="","",SUMIFS(费用台账!$I$4:$I$503,费用台账!$C$4:$C$503,$E1050,费用台账!$J$4:$J$503,"是",费用台账!$K$4:$K$503,"正常"))</f>
        <v/>
      </c>
      <c r="S1050" s="28">
        <f>IF($G1050="","",COUNTIFS($E$4:$E$2503,$E1050,$Z$4:$Z$2503,"正常",$Y$4:$Y$2503,"待补价"))</f>
        <v/>
      </c>
      <c r="T1050" s="26">
        <f>IF($G1050="","",SUMIFS($P$4:$P$2503,$E$4:$E$2503,$E1050,$Z$4:$Z$2503,"正常",$A$4:$A$2503,"&lt;="&amp;$A1050))</f>
        <v/>
      </c>
      <c r="U1050" s="26">
        <f>IF($G1050="","",IF(OR($S1050&gt;0,$Q1050=0,$R1050=0,$Z1050&lt;&gt;"正常"),0,ROUND($T1050/$Q1050*$R1050,0)-ROUND(($T1050-$P1050)/$Q1050*$R1050,0)))</f>
        <v/>
      </c>
      <c r="V1050" s="26">
        <f>IF($G1050="","",ROUND($P1050+$U1050,0))</f>
        <v/>
      </c>
      <c r="W1050" s="26">
        <f>IF($G1050="","",IF(N($K1050)=0,0,ROUND($V1050/$K1050,2)))</f>
        <v/>
      </c>
      <c r="X1050" s="17" t="n"/>
      <c r="Y1050" s="17" t="n"/>
      <c r="Z1050" s="17" t="n"/>
      <c r="AA1050" s="17" t="n"/>
      <c r="AB1050" s="17" t="n"/>
      <c r="AC1050" s="24">
        <f>IF($G1050="","",IF($H1050="※编码不在物料档案里","※物料编码不在档案里",IF(N($K1050)&lt;=0,"※入库数量要大于 0",IF(AND($C1050&lt;&gt;"",$C1050&lt;=结账锁),"※日期早于已结账截止日，不能再录",IF(AND($L1050=0,$X1050="正常"),"※没填单价，价格状态请选「待补价」",IF(AND($S1050&gt;0,$R1050&gt;0),"△本批有 "&amp;$S1050&amp;" 行没单价，整批运费先挂账没摊",IF(AND($B1050&lt;&gt;"",COUNTIF($B$4:$B$2503,$B1050)&gt;1),"※入库单号重复","")))))))</f>
        <v/>
      </c>
    </row>
    <row r="1051">
      <c r="A1051" s="24">
        <f>IF($G1051="","",COUNTA($G$4:$G1051))</f>
        <v/>
      </c>
      <c r="B1051" s="17" t="n"/>
      <c r="C1051" s="30" t="n"/>
      <c r="D1051" s="17" t="n"/>
      <c r="E1051" s="17" t="n"/>
      <c r="F1051" s="17" t="n"/>
      <c r="G1051" s="17" t="n"/>
      <c r="H1051" s="24">
        <f>IF($G1051="","",IFERROR(VLOOKUP($G1051,物料档案!$A$4:$P$1203,3,0),"※编码不在物料档案里"))</f>
        <v/>
      </c>
      <c r="I1051" s="24">
        <f>IF($G1051="","",IFERROR(VLOOKUP($G1051,物料档案!$A$4:$P$1203,4,0),"※编码不在物料档案里"))</f>
        <v/>
      </c>
      <c r="J1051" s="24">
        <f>IF($G1051="","",IFERROR(VLOOKUP($G1051,物料档案!$A$4:$P$1203,5,0),"※编码不在物料档案里"))</f>
        <v/>
      </c>
      <c r="K1051" s="23" t="n"/>
      <c r="L1051" s="31" t="n"/>
      <c r="M1051" s="24">
        <f>IF($G1051="","",IF($D1051="A国内","CNY","TZS"))</f>
        <v/>
      </c>
      <c r="N1051" s="28">
        <f>IF($G1051="","",IF($D1051="A国内",汇率,1))</f>
        <v/>
      </c>
      <c r="O1051" s="25">
        <f>IF($G1051="","",ROUND(N($K1051)*N($L1051),2))</f>
        <v/>
      </c>
      <c r="P1051" s="26">
        <f>IF($G1051="","",ROUND($O1051*$N1051,0))</f>
        <v/>
      </c>
      <c r="Q1051" s="26">
        <f>IF($G1051="","",SUMIFS($P$4:$P$2503,$E$4:$E$2503,$E1051,$Z$4:$Z$2503,"正常"))</f>
        <v/>
      </c>
      <c r="R1051" s="26">
        <f>IF($G1051="","",SUMIFS(费用台账!$I$4:$I$503,费用台账!$C$4:$C$503,$E1051,费用台账!$J$4:$J$503,"是",费用台账!$K$4:$K$503,"正常"))</f>
        <v/>
      </c>
      <c r="S1051" s="28">
        <f>IF($G1051="","",COUNTIFS($E$4:$E$2503,$E1051,$Z$4:$Z$2503,"正常",$Y$4:$Y$2503,"待补价"))</f>
        <v/>
      </c>
      <c r="T1051" s="26">
        <f>IF($G1051="","",SUMIFS($P$4:$P$2503,$E$4:$E$2503,$E1051,$Z$4:$Z$2503,"正常",$A$4:$A$2503,"&lt;="&amp;$A1051))</f>
        <v/>
      </c>
      <c r="U1051" s="26">
        <f>IF($G1051="","",IF(OR($S1051&gt;0,$Q1051=0,$R1051=0,$Z1051&lt;&gt;"正常"),0,ROUND($T1051/$Q1051*$R1051,0)-ROUND(($T1051-$P1051)/$Q1051*$R1051,0)))</f>
        <v/>
      </c>
      <c r="V1051" s="26">
        <f>IF($G1051="","",ROUND($P1051+$U1051,0))</f>
        <v/>
      </c>
      <c r="W1051" s="26">
        <f>IF($G1051="","",IF(N($K1051)=0,0,ROUND($V1051/$K1051,2)))</f>
        <v/>
      </c>
      <c r="X1051" s="17" t="n"/>
      <c r="Y1051" s="17" t="n"/>
      <c r="Z1051" s="17" t="n"/>
      <c r="AA1051" s="17" t="n"/>
      <c r="AB1051" s="17" t="n"/>
      <c r="AC1051" s="24">
        <f>IF($G1051="","",IF($H1051="※编码不在物料档案里","※物料编码不在档案里",IF(N($K1051)&lt;=0,"※入库数量要大于 0",IF(AND($C1051&lt;&gt;"",$C1051&lt;=结账锁),"※日期早于已结账截止日，不能再录",IF(AND($L1051=0,$X1051="正常"),"※没填单价，价格状态请选「待补价」",IF(AND($S1051&gt;0,$R1051&gt;0),"△本批有 "&amp;$S1051&amp;" 行没单价，整批运费先挂账没摊",IF(AND($B1051&lt;&gt;"",COUNTIF($B$4:$B$2503,$B1051)&gt;1),"※入库单号重复","")))))))</f>
        <v/>
      </c>
    </row>
    <row r="1052">
      <c r="A1052" s="24">
        <f>IF($G1052="","",COUNTA($G$4:$G1052))</f>
        <v/>
      </c>
      <c r="B1052" s="17" t="n"/>
      <c r="C1052" s="30" t="n"/>
      <c r="D1052" s="17" t="n"/>
      <c r="E1052" s="17" t="n"/>
      <c r="F1052" s="17" t="n"/>
      <c r="G1052" s="17" t="n"/>
      <c r="H1052" s="24">
        <f>IF($G1052="","",IFERROR(VLOOKUP($G1052,物料档案!$A$4:$P$1203,3,0),"※编码不在物料档案里"))</f>
        <v/>
      </c>
      <c r="I1052" s="24">
        <f>IF($G1052="","",IFERROR(VLOOKUP($G1052,物料档案!$A$4:$P$1203,4,0),"※编码不在物料档案里"))</f>
        <v/>
      </c>
      <c r="J1052" s="24">
        <f>IF($G1052="","",IFERROR(VLOOKUP($G1052,物料档案!$A$4:$P$1203,5,0),"※编码不在物料档案里"))</f>
        <v/>
      </c>
      <c r="K1052" s="23" t="n"/>
      <c r="L1052" s="31" t="n"/>
      <c r="M1052" s="24">
        <f>IF($G1052="","",IF($D1052="A国内","CNY","TZS"))</f>
        <v/>
      </c>
      <c r="N1052" s="28">
        <f>IF($G1052="","",IF($D1052="A国内",汇率,1))</f>
        <v/>
      </c>
      <c r="O1052" s="25">
        <f>IF($G1052="","",ROUND(N($K1052)*N($L1052),2))</f>
        <v/>
      </c>
      <c r="P1052" s="26">
        <f>IF($G1052="","",ROUND($O1052*$N1052,0))</f>
        <v/>
      </c>
      <c r="Q1052" s="26">
        <f>IF($G1052="","",SUMIFS($P$4:$P$2503,$E$4:$E$2503,$E1052,$Z$4:$Z$2503,"正常"))</f>
        <v/>
      </c>
      <c r="R1052" s="26">
        <f>IF($G1052="","",SUMIFS(费用台账!$I$4:$I$503,费用台账!$C$4:$C$503,$E1052,费用台账!$J$4:$J$503,"是",费用台账!$K$4:$K$503,"正常"))</f>
        <v/>
      </c>
      <c r="S1052" s="28">
        <f>IF($G1052="","",COUNTIFS($E$4:$E$2503,$E1052,$Z$4:$Z$2503,"正常",$Y$4:$Y$2503,"待补价"))</f>
        <v/>
      </c>
      <c r="T1052" s="26">
        <f>IF($G1052="","",SUMIFS($P$4:$P$2503,$E$4:$E$2503,$E1052,$Z$4:$Z$2503,"正常",$A$4:$A$2503,"&lt;="&amp;$A1052))</f>
        <v/>
      </c>
      <c r="U1052" s="26">
        <f>IF($G1052="","",IF(OR($S1052&gt;0,$Q1052=0,$R1052=0,$Z1052&lt;&gt;"正常"),0,ROUND($T1052/$Q1052*$R1052,0)-ROUND(($T1052-$P1052)/$Q1052*$R1052,0)))</f>
        <v/>
      </c>
      <c r="V1052" s="26">
        <f>IF($G1052="","",ROUND($P1052+$U1052,0))</f>
        <v/>
      </c>
      <c r="W1052" s="26">
        <f>IF($G1052="","",IF(N($K1052)=0,0,ROUND($V1052/$K1052,2)))</f>
        <v/>
      </c>
      <c r="X1052" s="17" t="n"/>
      <c r="Y1052" s="17" t="n"/>
      <c r="Z1052" s="17" t="n"/>
      <c r="AA1052" s="17" t="n"/>
      <c r="AB1052" s="17" t="n"/>
      <c r="AC1052" s="24">
        <f>IF($G1052="","",IF($H1052="※编码不在物料档案里","※物料编码不在档案里",IF(N($K1052)&lt;=0,"※入库数量要大于 0",IF(AND($C1052&lt;&gt;"",$C1052&lt;=结账锁),"※日期早于已结账截止日，不能再录",IF(AND($L1052=0,$X1052="正常"),"※没填单价，价格状态请选「待补价」",IF(AND($S1052&gt;0,$R1052&gt;0),"△本批有 "&amp;$S1052&amp;" 行没单价，整批运费先挂账没摊",IF(AND($B1052&lt;&gt;"",COUNTIF($B$4:$B$2503,$B1052)&gt;1),"※入库单号重复","")))))))</f>
        <v/>
      </c>
    </row>
    <row r="1053">
      <c r="A1053" s="24">
        <f>IF($G1053="","",COUNTA($G$4:$G1053))</f>
        <v/>
      </c>
      <c r="B1053" s="17" t="n"/>
      <c r="C1053" s="30" t="n"/>
      <c r="D1053" s="17" t="n"/>
      <c r="E1053" s="17" t="n"/>
      <c r="F1053" s="17" t="n"/>
      <c r="G1053" s="17" t="n"/>
      <c r="H1053" s="24">
        <f>IF($G1053="","",IFERROR(VLOOKUP($G1053,物料档案!$A$4:$P$1203,3,0),"※编码不在物料档案里"))</f>
        <v/>
      </c>
      <c r="I1053" s="24">
        <f>IF($G1053="","",IFERROR(VLOOKUP($G1053,物料档案!$A$4:$P$1203,4,0),"※编码不在物料档案里"))</f>
        <v/>
      </c>
      <c r="J1053" s="24">
        <f>IF($G1053="","",IFERROR(VLOOKUP($G1053,物料档案!$A$4:$P$1203,5,0),"※编码不在物料档案里"))</f>
        <v/>
      </c>
      <c r="K1053" s="23" t="n"/>
      <c r="L1053" s="31" t="n"/>
      <c r="M1053" s="24">
        <f>IF($G1053="","",IF($D1053="A国内","CNY","TZS"))</f>
        <v/>
      </c>
      <c r="N1053" s="28">
        <f>IF($G1053="","",IF($D1053="A国内",汇率,1))</f>
        <v/>
      </c>
      <c r="O1053" s="25">
        <f>IF($G1053="","",ROUND(N($K1053)*N($L1053),2))</f>
        <v/>
      </c>
      <c r="P1053" s="26">
        <f>IF($G1053="","",ROUND($O1053*$N1053,0))</f>
        <v/>
      </c>
      <c r="Q1053" s="26">
        <f>IF($G1053="","",SUMIFS($P$4:$P$2503,$E$4:$E$2503,$E1053,$Z$4:$Z$2503,"正常"))</f>
        <v/>
      </c>
      <c r="R1053" s="26">
        <f>IF($G1053="","",SUMIFS(费用台账!$I$4:$I$503,费用台账!$C$4:$C$503,$E1053,费用台账!$J$4:$J$503,"是",费用台账!$K$4:$K$503,"正常"))</f>
        <v/>
      </c>
      <c r="S1053" s="28">
        <f>IF($G1053="","",COUNTIFS($E$4:$E$2503,$E1053,$Z$4:$Z$2503,"正常",$Y$4:$Y$2503,"待补价"))</f>
        <v/>
      </c>
      <c r="T1053" s="26">
        <f>IF($G1053="","",SUMIFS($P$4:$P$2503,$E$4:$E$2503,$E1053,$Z$4:$Z$2503,"正常",$A$4:$A$2503,"&lt;="&amp;$A1053))</f>
        <v/>
      </c>
      <c r="U1053" s="26">
        <f>IF($G1053="","",IF(OR($S1053&gt;0,$Q1053=0,$R1053=0,$Z1053&lt;&gt;"正常"),0,ROUND($T1053/$Q1053*$R1053,0)-ROUND(($T1053-$P1053)/$Q1053*$R1053,0)))</f>
        <v/>
      </c>
      <c r="V1053" s="26">
        <f>IF($G1053="","",ROUND($P1053+$U1053,0))</f>
        <v/>
      </c>
      <c r="W1053" s="26">
        <f>IF($G1053="","",IF(N($K1053)=0,0,ROUND($V1053/$K1053,2)))</f>
        <v/>
      </c>
      <c r="X1053" s="17" t="n"/>
      <c r="Y1053" s="17" t="n"/>
      <c r="Z1053" s="17" t="n"/>
      <c r="AA1053" s="17" t="n"/>
      <c r="AB1053" s="17" t="n"/>
      <c r="AC1053" s="24">
        <f>IF($G1053="","",IF($H1053="※编码不在物料档案里","※物料编码不在档案里",IF(N($K1053)&lt;=0,"※入库数量要大于 0",IF(AND($C1053&lt;&gt;"",$C1053&lt;=结账锁),"※日期早于已结账截止日，不能再录",IF(AND($L1053=0,$X1053="正常"),"※没填单价，价格状态请选「待补价」",IF(AND($S1053&gt;0,$R1053&gt;0),"△本批有 "&amp;$S1053&amp;" 行没单价，整批运费先挂账没摊",IF(AND($B1053&lt;&gt;"",COUNTIF($B$4:$B$2503,$B1053)&gt;1),"※入库单号重复","")))))))</f>
        <v/>
      </c>
    </row>
    <row r="1054">
      <c r="A1054" s="24">
        <f>IF($G1054="","",COUNTA($G$4:$G1054))</f>
        <v/>
      </c>
      <c r="B1054" s="17" t="n"/>
      <c r="C1054" s="30" t="n"/>
      <c r="D1054" s="17" t="n"/>
      <c r="E1054" s="17" t="n"/>
      <c r="F1054" s="17" t="n"/>
      <c r="G1054" s="17" t="n"/>
      <c r="H1054" s="24">
        <f>IF($G1054="","",IFERROR(VLOOKUP($G1054,物料档案!$A$4:$P$1203,3,0),"※编码不在物料档案里"))</f>
        <v/>
      </c>
      <c r="I1054" s="24">
        <f>IF($G1054="","",IFERROR(VLOOKUP($G1054,物料档案!$A$4:$P$1203,4,0),"※编码不在物料档案里"))</f>
        <v/>
      </c>
      <c r="J1054" s="24">
        <f>IF($G1054="","",IFERROR(VLOOKUP($G1054,物料档案!$A$4:$P$1203,5,0),"※编码不在物料档案里"))</f>
        <v/>
      </c>
      <c r="K1054" s="23" t="n"/>
      <c r="L1054" s="31" t="n"/>
      <c r="M1054" s="24">
        <f>IF($G1054="","",IF($D1054="A国内","CNY","TZS"))</f>
        <v/>
      </c>
      <c r="N1054" s="28">
        <f>IF($G1054="","",IF($D1054="A国内",汇率,1))</f>
        <v/>
      </c>
      <c r="O1054" s="25">
        <f>IF($G1054="","",ROUND(N($K1054)*N($L1054),2))</f>
        <v/>
      </c>
      <c r="P1054" s="26">
        <f>IF($G1054="","",ROUND($O1054*$N1054,0))</f>
        <v/>
      </c>
      <c r="Q1054" s="26">
        <f>IF($G1054="","",SUMIFS($P$4:$P$2503,$E$4:$E$2503,$E1054,$Z$4:$Z$2503,"正常"))</f>
        <v/>
      </c>
      <c r="R1054" s="26">
        <f>IF($G1054="","",SUMIFS(费用台账!$I$4:$I$503,费用台账!$C$4:$C$503,$E1054,费用台账!$J$4:$J$503,"是",费用台账!$K$4:$K$503,"正常"))</f>
        <v/>
      </c>
      <c r="S1054" s="28">
        <f>IF($G1054="","",COUNTIFS($E$4:$E$2503,$E1054,$Z$4:$Z$2503,"正常",$Y$4:$Y$2503,"待补价"))</f>
        <v/>
      </c>
      <c r="T1054" s="26">
        <f>IF($G1054="","",SUMIFS($P$4:$P$2503,$E$4:$E$2503,$E1054,$Z$4:$Z$2503,"正常",$A$4:$A$2503,"&lt;="&amp;$A1054))</f>
        <v/>
      </c>
      <c r="U1054" s="26">
        <f>IF($G1054="","",IF(OR($S1054&gt;0,$Q1054=0,$R1054=0,$Z1054&lt;&gt;"正常"),0,ROUND($T1054/$Q1054*$R1054,0)-ROUND(($T1054-$P1054)/$Q1054*$R1054,0)))</f>
        <v/>
      </c>
      <c r="V1054" s="26">
        <f>IF($G1054="","",ROUND($P1054+$U1054,0))</f>
        <v/>
      </c>
      <c r="W1054" s="26">
        <f>IF($G1054="","",IF(N($K1054)=0,0,ROUND($V1054/$K1054,2)))</f>
        <v/>
      </c>
      <c r="X1054" s="17" t="n"/>
      <c r="Y1054" s="17" t="n"/>
      <c r="Z1054" s="17" t="n"/>
      <c r="AA1054" s="17" t="n"/>
      <c r="AB1054" s="17" t="n"/>
      <c r="AC1054" s="24">
        <f>IF($G1054="","",IF($H1054="※编码不在物料档案里","※物料编码不在档案里",IF(N($K1054)&lt;=0,"※入库数量要大于 0",IF(AND($C1054&lt;&gt;"",$C1054&lt;=结账锁),"※日期早于已结账截止日，不能再录",IF(AND($L1054=0,$X1054="正常"),"※没填单价，价格状态请选「待补价」",IF(AND($S1054&gt;0,$R1054&gt;0),"△本批有 "&amp;$S1054&amp;" 行没单价，整批运费先挂账没摊",IF(AND($B1054&lt;&gt;"",COUNTIF($B$4:$B$2503,$B1054)&gt;1),"※入库单号重复","")))))))</f>
        <v/>
      </c>
    </row>
    <row r="1055">
      <c r="A1055" s="24">
        <f>IF($G1055="","",COUNTA($G$4:$G1055))</f>
        <v/>
      </c>
      <c r="B1055" s="17" t="n"/>
      <c r="C1055" s="30" t="n"/>
      <c r="D1055" s="17" t="n"/>
      <c r="E1055" s="17" t="n"/>
      <c r="F1055" s="17" t="n"/>
      <c r="G1055" s="17" t="n"/>
      <c r="H1055" s="24">
        <f>IF($G1055="","",IFERROR(VLOOKUP($G1055,物料档案!$A$4:$P$1203,3,0),"※编码不在物料档案里"))</f>
        <v/>
      </c>
      <c r="I1055" s="24">
        <f>IF($G1055="","",IFERROR(VLOOKUP($G1055,物料档案!$A$4:$P$1203,4,0),"※编码不在物料档案里"))</f>
        <v/>
      </c>
      <c r="J1055" s="24">
        <f>IF($G1055="","",IFERROR(VLOOKUP($G1055,物料档案!$A$4:$P$1203,5,0),"※编码不在物料档案里"))</f>
        <v/>
      </c>
      <c r="K1055" s="23" t="n"/>
      <c r="L1055" s="31" t="n"/>
      <c r="M1055" s="24">
        <f>IF($G1055="","",IF($D1055="A国内","CNY","TZS"))</f>
        <v/>
      </c>
      <c r="N1055" s="28">
        <f>IF($G1055="","",IF($D1055="A国内",汇率,1))</f>
        <v/>
      </c>
      <c r="O1055" s="25">
        <f>IF($G1055="","",ROUND(N($K1055)*N($L1055),2))</f>
        <v/>
      </c>
      <c r="P1055" s="26">
        <f>IF($G1055="","",ROUND($O1055*$N1055,0))</f>
        <v/>
      </c>
      <c r="Q1055" s="26">
        <f>IF($G1055="","",SUMIFS($P$4:$P$2503,$E$4:$E$2503,$E1055,$Z$4:$Z$2503,"正常"))</f>
        <v/>
      </c>
      <c r="R1055" s="26">
        <f>IF($G1055="","",SUMIFS(费用台账!$I$4:$I$503,费用台账!$C$4:$C$503,$E1055,费用台账!$J$4:$J$503,"是",费用台账!$K$4:$K$503,"正常"))</f>
        <v/>
      </c>
      <c r="S1055" s="28">
        <f>IF($G1055="","",COUNTIFS($E$4:$E$2503,$E1055,$Z$4:$Z$2503,"正常",$Y$4:$Y$2503,"待补价"))</f>
        <v/>
      </c>
      <c r="T1055" s="26">
        <f>IF($G1055="","",SUMIFS($P$4:$P$2503,$E$4:$E$2503,$E1055,$Z$4:$Z$2503,"正常",$A$4:$A$2503,"&lt;="&amp;$A1055))</f>
        <v/>
      </c>
      <c r="U1055" s="26">
        <f>IF($G1055="","",IF(OR($S1055&gt;0,$Q1055=0,$R1055=0,$Z1055&lt;&gt;"正常"),0,ROUND($T1055/$Q1055*$R1055,0)-ROUND(($T1055-$P1055)/$Q1055*$R1055,0)))</f>
        <v/>
      </c>
      <c r="V1055" s="26">
        <f>IF($G1055="","",ROUND($P1055+$U1055,0))</f>
        <v/>
      </c>
      <c r="W1055" s="26">
        <f>IF($G1055="","",IF(N($K1055)=0,0,ROUND($V1055/$K1055,2)))</f>
        <v/>
      </c>
      <c r="X1055" s="17" t="n"/>
      <c r="Y1055" s="17" t="n"/>
      <c r="Z1055" s="17" t="n"/>
      <c r="AA1055" s="17" t="n"/>
      <c r="AB1055" s="17" t="n"/>
      <c r="AC1055" s="24">
        <f>IF($G1055="","",IF($H1055="※编码不在物料档案里","※物料编码不在档案里",IF(N($K1055)&lt;=0,"※入库数量要大于 0",IF(AND($C1055&lt;&gt;"",$C1055&lt;=结账锁),"※日期早于已结账截止日，不能再录",IF(AND($L1055=0,$X1055="正常"),"※没填单价，价格状态请选「待补价」",IF(AND($S1055&gt;0,$R1055&gt;0),"△本批有 "&amp;$S1055&amp;" 行没单价，整批运费先挂账没摊",IF(AND($B1055&lt;&gt;"",COUNTIF($B$4:$B$2503,$B1055)&gt;1),"※入库单号重复","")))))))</f>
        <v/>
      </c>
    </row>
    <row r="1056">
      <c r="A1056" s="24">
        <f>IF($G1056="","",COUNTA($G$4:$G1056))</f>
        <v/>
      </c>
      <c r="B1056" s="17" t="n"/>
      <c r="C1056" s="30" t="n"/>
      <c r="D1056" s="17" t="n"/>
      <c r="E1056" s="17" t="n"/>
      <c r="F1056" s="17" t="n"/>
      <c r="G1056" s="17" t="n"/>
      <c r="H1056" s="24">
        <f>IF($G1056="","",IFERROR(VLOOKUP($G1056,物料档案!$A$4:$P$1203,3,0),"※编码不在物料档案里"))</f>
        <v/>
      </c>
      <c r="I1056" s="24">
        <f>IF($G1056="","",IFERROR(VLOOKUP($G1056,物料档案!$A$4:$P$1203,4,0),"※编码不在物料档案里"))</f>
        <v/>
      </c>
      <c r="J1056" s="24">
        <f>IF($G1056="","",IFERROR(VLOOKUP($G1056,物料档案!$A$4:$P$1203,5,0),"※编码不在物料档案里"))</f>
        <v/>
      </c>
      <c r="K1056" s="23" t="n"/>
      <c r="L1056" s="31" t="n"/>
      <c r="M1056" s="24">
        <f>IF($G1056="","",IF($D1056="A国内","CNY","TZS"))</f>
        <v/>
      </c>
      <c r="N1056" s="28">
        <f>IF($G1056="","",IF($D1056="A国内",汇率,1))</f>
        <v/>
      </c>
      <c r="O1056" s="25">
        <f>IF($G1056="","",ROUND(N($K1056)*N($L1056),2))</f>
        <v/>
      </c>
      <c r="P1056" s="26">
        <f>IF($G1056="","",ROUND($O1056*$N1056,0))</f>
        <v/>
      </c>
      <c r="Q1056" s="26">
        <f>IF($G1056="","",SUMIFS($P$4:$P$2503,$E$4:$E$2503,$E1056,$Z$4:$Z$2503,"正常"))</f>
        <v/>
      </c>
      <c r="R1056" s="26">
        <f>IF($G1056="","",SUMIFS(费用台账!$I$4:$I$503,费用台账!$C$4:$C$503,$E1056,费用台账!$J$4:$J$503,"是",费用台账!$K$4:$K$503,"正常"))</f>
        <v/>
      </c>
      <c r="S1056" s="28">
        <f>IF($G1056="","",COUNTIFS($E$4:$E$2503,$E1056,$Z$4:$Z$2503,"正常",$Y$4:$Y$2503,"待补价"))</f>
        <v/>
      </c>
      <c r="T1056" s="26">
        <f>IF($G1056="","",SUMIFS($P$4:$P$2503,$E$4:$E$2503,$E1056,$Z$4:$Z$2503,"正常",$A$4:$A$2503,"&lt;="&amp;$A1056))</f>
        <v/>
      </c>
      <c r="U1056" s="26">
        <f>IF($G1056="","",IF(OR($S1056&gt;0,$Q1056=0,$R1056=0,$Z1056&lt;&gt;"正常"),0,ROUND($T1056/$Q1056*$R1056,0)-ROUND(($T1056-$P1056)/$Q1056*$R1056,0)))</f>
        <v/>
      </c>
      <c r="V1056" s="26">
        <f>IF($G1056="","",ROUND($P1056+$U1056,0))</f>
        <v/>
      </c>
      <c r="W1056" s="26">
        <f>IF($G1056="","",IF(N($K1056)=0,0,ROUND($V1056/$K1056,2)))</f>
        <v/>
      </c>
      <c r="X1056" s="17" t="n"/>
      <c r="Y1056" s="17" t="n"/>
      <c r="Z1056" s="17" t="n"/>
      <c r="AA1056" s="17" t="n"/>
      <c r="AB1056" s="17" t="n"/>
      <c r="AC1056" s="24">
        <f>IF($G1056="","",IF($H1056="※编码不在物料档案里","※物料编码不在档案里",IF(N($K1056)&lt;=0,"※入库数量要大于 0",IF(AND($C1056&lt;&gt;"",$C1056&lt;=结账锁),"※日期早于已结账截止日，不能再录",IF(AND($L1056=0,$X1056="正常"),"※没填单价，价格状态请选「待补价」",IF(AND($S1056&gt;0,$R1056&gt;0),"△本批有 "&amp;$S1056&amp;" 行没单价，整批运费先挂账没摊",IF(AND($B1056&lt;&gt;"",COUNTIF($B$4:$B$2503,$B1056)&gt;1),"※入库单号重复","")))))))</f>
        <v/>
      </c>
    </row>
    <row r="1057">
      <c r="A1057" s="24">
        <f>IF($G1057="","",COUNTA($G$4:$G1057))</f>
        <v/>
      </c>
      <c r="B1057" s="17" t="n"/>
      <c r="C1057" s="30" t="n"/>
      <c r="D1057" s="17" t="n"/>
      <c r="E1057" s="17" t="n"/>
      <c r="F1057" s="17" t="n"/>
      <c r="G1057" s="17" t="n"/>
      <c r="H1057" s="24">
        <f>IF($G1057="","",IFERROR(VLOOKUP($G1057,物料档案!$A$4:$P$1203,3,0),"※编码不在物料档案里"))</f>
        <v/>
      </c>
      <c r="I1057" s="24">
        <f>IF($G1057="","",IFERROR(VLOOKUP($G1057,物料档案!$A$4:$P$1203,4,0),"※编码不在物料档案里"))</f>
        <v/>
      </c>
      <c r="J1057" s="24">
        <f>IF($G1057="","",IFERROR(VLOOKUP($G1057,物料档案!$A$4:$P$1203,5,0),"※编码不在物料档案里"))</f>
        <v/>
      </c>
      <c r="K1057" s="23" t="n"/>
      <c r="L1057" s="31" t="n"/>
      <c r="M1057" s="24">
        <f>IF($G1057="","",IF($D1057="A国内","CNY","TZS"))</f>
        <v/>
      </c>
      <c r="N1057" s="28">
        <f>IF($G1057="","",IF($D1057="A国内",汇率,1))</f>
        <v/>
      </c>
      <c r="O1057" s="25">
        <f>IF($G1057="","",ROUND(N($K1057)*N($L1057),2))</f>
        <v/>
      </c>
      <c r="P1057" s="26">
        <f>IF($G1057="","",ROUND($O1057*$N1057,0))</f>
        <v/>
      </c>
      <c r="Q1057" s="26">
        <f>IF($G1057="","",SUMIFS($P$4:$P$2503,$E$4:$E$2503,$E1057,$Z$4:$Z$2503,"正常"))</f>
        <v/>
      </c>
      <c r="R1057" s="26">
        <f>IF($G1057="","",SUMIFS(费用台账!$I$4:$I$503,费用台账!$C$4:$C$503,$E1057,费用台账!$J$4:$J$503,"是",费用台账!$K$4:$K$503,"正常"))</f>
        <v/>
      </c>
      <c r="S1057" s="28">
        <f>IF($G1057="","",COUNTIFS($E$4:$E$2503,$E1057,$Z$4:$Z$2503,"正常",$Y$4:$Y$2503,"待补价"))</f>
        <v/>
      </c>
      <c r="T1057" s="26">
        <f>IF($G1057="","",SUMIFS($P$4:$P$2503,$E$4:$E$2503,$E1057,$Z$4:$Z$2503,"正常",$A$4:$A$2503,"&lt;="&amp;$A1057))</f>
        <v/>
      </c>
      <c r="U1057" s="26">
        <f>IF($G1057="","",IF(OR($S1057&gt;0,$Q1057=0,$R1057=0,$Z1057&lt;&gt;"正常"),0,ROUND($T1057/$Q1057*$R1057,0)-ROUND(($T1057-$P1057)/$Q1057*$R1057,0)))</f>
        <v/>
      </c>
      <c r="V1057" s="26">
        <f>IF($G1057="","",ROUND($P1057+$U1057,0))</f>
        <v/>
      </c>
      <c r="W1057" s="26">
        <f>IF($G1057="","",IF(N($K1057)=0,0,ROUND($V1057/$K1057,2)))</f>
        <v/>
      </c>
      <c r="X1057" s="17" t="n"/>
      <c r="Y1057" s="17" t="n"/>
      <c r="Z1057" s="17" t="n"/>
      <c r="AA1057" s="17" t="n"/>
      <c r="AB1057" s="17" t="n"/>
      <c r="AC1057" s="24">
        <f>IF($G1057="","",IF($H1057="※编码不在物料档案里","※物料编码不在档案里",IF(N($K1057)&lt;=0,"※入库数量要大于 0",IF(AND($C1057&lt;&gt;"",$C1057&lt;=结账锁),"※日期早于已结账截止日，不能再录",IF(AND($L1057=0,$X1057="正常"),"※没填单价，价格状态请选「待补价」",IF(AND($S1057&gt;0,$R1057&gt;0),"△本批有 "&amp;$S1057&amp;" 行没单价，整批运费先挂账没摊",IF(AND($B1057&lt;&gt;"",COUNTIF($B$4:$B$2503,$B1057)&gt;1),"※入库单号重复","")))))))</f>
        <v/>
      </c>
    </row>
    <row r="1058">
      <c r="A1058" s="24">
        <f>IF($G1058="","",COUNTA($G$4:$G1058))</f>
        <v/>
      </c>
      <c r="B1058" s="17" t="n"/>
      <c r="C1058" s="30" t="n"/>
      <c r="D1058" s="17" t="n"/>
      <c r="E1058" s="17" t="n"/>
      <c r="F1058" s="17" t="n"/>
      <c r="G1058" s="17" t="n"/>
      <c r="H1058" s="24">
        <f>IF($G1058="","",IFERROR(VLOOKUP($G1058,物料档案!$A$4:$P$1203,3,0),"※编码不在物料档案里"))</f>
        <v/>
      </c>
      <c r="I1058" s="24">
        <f>IF($G1058="","",IFERROR(VLOOKUP($G1058,物料档案!$A$4:$P$1203,4,0),"※编码不在物料档案里"))</f>
        <v/>
      </c>
      <c r="J1058" s="24">
        <f>IF($G1058="","",IFERROR(VLOOKUP($G1058,物料档案!$A$4:$P$1203,5,0),"※编码不在物料档案里"))</f>
        <v/>
      </c>
      <c r="K1058" s="23" t="n"/>
      <c r="L1058" s="31" t="n"/>
      <c r="M1058" s="24">
        <f>IF($G1058="","",IF($D1058="A国内","CNY","TZS"))</f>
        <v/>
      </c>
      <c r="N1058" s="28">
        <f>IF($G1058="","",IF($D1058="A国内",汇率,1))</f>
        <v/>
      </c>
      <c r="O1058" s="25">
        <f>IF($G1058="","",ROUND(N($K1058)*N($L1058),2))</f>
        <v/>
      </c>
      <c r="P1058" s="26">
        <f>IF($G1058="","",ROUND($O1058*$N1058,0))</f>
        <v/>
      </c>
      <c r="Q1058" s="26">
        <f>IF($G1058="","",SUMIFS($P$4:$P$2503,$E$4:$E$2503,$E1058,$Z$4:$Z$2503,"正常"))</f>
        <v/>
      </c>
      <c r="R1058" s="26">
        <f>IF($G1058="","",SUMIFS(费用台账!$I$4:$I$503,费用台账!$C$4:$C$503,$E1058,费用台账!$J$4:$J$503,"是",费用台账!$K$4:$K$503,"正常"))</f>
        <v/>
      </c>
      <c r="S1058" s="28">
        <f>IF($G1058="","",COUNTIFS($E$4:$E$2503,$E1058,$Z$4:$Z$2503,"正常",$Y$4:$Y$2503,"待补价"))</f>
        <v/>
      </c>
      <c r="T1058" s="26">
        <f>IF($G1058="","",SUMIFS($P$4:$P$2503,$E$4:$E$2503,$E1058,$Z$4:$Z$2503,"正常",$A$4:$A$2503,"&lt;="&amp;$A1058))</f>
        <v/>
      </c>
      <c r="U1058" s="26">
        <f>IF($G1058="","",IF(OR($S1058&gt;0,$Q1058=0,$R1058=0,$Z1058&lt;&gt;"正常"),0,ROUND($T1058/$Q1058*$R1058,0)-ROUND(($T1058-$P1058)/$Q1058*$R1058,0)))</f>
        <v/>
      </c>
      <c r="V1058" s="26">
        <f>IF($G1058="","",ROUND($P1058+$U1058,0))</f>
        <v/>
      </c>
      <c r="W1058" s="26">
        <f>IF($G1058="","",IF(N($K1058)=0,0,ROUND($V1058/$K1058,2)))</f>
        <v/>
      </c>
      <c r="X1058" s="17" t="n"/>
      <c r="Y1058" s="17" t="n"/>
      <c r="Z1058" s="17" t="n"/>
      <c r="AA1058" s="17" t="n"/>
      <c r="AB1058" s="17" t="n"/>
      <c r="AC1058" s="24">
        <f>IF($G1058="","",IF($H1058="※编码不在物料档案里","※物料编码不在档案里",IF(N($K1058)&lt;=0,"※入库数量要大于 0",IF(AND($C1058&lt;&gt;"",$C1058&lt;=结账锁),"※日期早于已结账截止日，不能再录",IF(AND($L1058=0,$X1058="正常"),"※没填单价，价格状态请选「待补价」",IF(AND($S1058&gt;0,$R1058&gt;0),"△本批有 "&amp;$S1058&amp;" 行没单价，整批运费先挂账没摊",IF(AND($B1058&lt;&gt;"",COUNTIF($B$4:$B$2503,$B1058)&gt;1),"※入库单号重复","")))))))</f>
        <v/>
      </c>
    </row>
    <row r="1059">
      <c r="A1059" s="24">
        <f>IF($G1059="","",COUNTA($G$4:$G1059))</f>
        <v/>
      </c>
      <c r="B1059" s="17" t="n"/>
      <c r="C1059" s="30" t="n"/>
      <c r="D1059" s="17" t="n"/>
      <c r="E1059" s="17" t="n"/>
      <c r="F1059" s="17" t="n"/>
      <c r="G1059" s="17" t="n"/>
      <c r="H1059" s="24">
        <f>IF($G1059="","",IFERROR(VLOOKUP($G1059,物料档案!$A$4:$P$1203,3,0),"※编码不在物料档案里"))</f>
        <v/>
      </c>
      <c r="I1059" s="24">
        <f>IF($G1059="","",IFERROR(VLOOKUP($G1059,物料档案!$A$4:$P$1203,4,0),"※编码不在物料档案里"))</f>
        <v/>
      </c>
      <c r="J1059" s="24">
        <f>IF($G1059="","",IFERROR(VLOOKUP($G1059,物料档案!$A$4:$P$1203,5,0),"※编码不在物料档案里"))</f>
        <v/>
      </c>
      <c r="K1059" s="23" t="n"/>
      <c r="L1059" s="31" t="n"/>
      <c r="M1059" s="24">
        <f>IF($G1059="","",IF($D1059="A国内","CNY","TZS"))</f>
        <v/>
      </c>
      <c r="N1059" s="28">
        <f>IF($G1059="","",IF($D1059="A国内",汇率,1))</f>
        <v/>
      </c>
      <c r="O1059" s="25">
        <f>IF($G1059="","",ROUND(N($K1059)*N($L1059),2))</f>
        <v/>
      </c>
      <c r="P1059" s="26">
        <f>IF($G1059="","",ROUND($O1059*$N1059,0))</f>
        <v/>
      </c>
      <c r="Q1059" s="26">
        <f>IF($G1059="","",SUMIFS($P$4:$P$2503,$E$4:$E$2503,$E1059,$Z$4:$Z$2503,"正常"))</f>
        <v/>
      </c>
      <c r="R1059" s="26">
        <f>IF($G1059="","",SUMIFS(费用台账!$I$4:$I$503,费用台账!$C$4:$C$503,$E1059,费用台账!$J$4:$J$503,"是",费用台账!$K$4:$K$503,"正常"))</f>
        <v/>
      </c>
      <c r="S1059" s="28">
        <f>IF($G1059="","",COUNTIFS($E$4:$E$2503,$E1059,$Z$4:$Z$2503,"正常",$Y$4:$Y$2503,"待补价"))</f>
        <v/>
      </c>
      <c r="T1059" s="26">
        <f>IF($G1059="","",SUMIFS($P$4:$P$2503,$E$4:$E$2503,$E1059,$Z$4:$Z$2503,"正常",$A$4:$A$2503,"&lt;="&amp;$A1059))</f>
        <v/>
      </c>
      <c r="U1059" s="26">
        <f>IF($G1059="","",IF(OR($S1059&gt;0,$Q1059=0,$R1059=0,$Z1059&lt;&gt;"正常"),0,ROUND($T1059/$Q1059*$R1059,0)-ROUND(($T1059-$P1059)/$Q1059*$R1059,0)))</f>
        <v/>
      </c>
      <c r="V1059" s="26">
        <f>IF($G1059="","",ROUND($P1059+$U1059,0))</f>
        <v/>
      </c>
      <c r="W1059" s="26">
        <f>IF($G1059="","",IF(N($K1059)=0,0,ROUND($V1059/$K1059,2)))</f>
        <v/>
      </c>
      <c r="X1059" s="17" t="n"/>
      <c r="Y1059" s="17" t="n"/>
      <c r="Z1059" s="17" t="n"/>
      <c r="AA1059" s="17" t="n"/>
      <c r="AB1059" s="17" t="n"/>
      <c r="AC1059" s="24">
        <f>IF($G1059="","",IF($H1059="※编码不在物料档案里","※物料编码不在档案里",IF(N($K1059)&lt;=0,"※入库数量要大于 0",IF(AND($C1059&lt;&gt;"",$C1059&lt;=结账锁),"※日期早于已结账截止日，不能再录",IF(AND($L1059=0,$X1059="正常"),"※没填单价，价格状态请选「待补价」",IF(AND($S1059&gt;0,$R1059&gt;0),"△本批有 "&amp;$S1059&amp;" 行没单价，整批运费先挂账没摊",IF(AND($B1059&lt;&gt;"",COUNTIF($B$4:$B$2503,$B1059)&gt;1),"※入库单号重复","")))))))</f>
        <v/>
      </c>
    </row>
    <row r="1060">
      <c r="A1060" s="24">
        <f>IF($G1060="","",COUNTA($G$4:$G1060))</f>
        <v/>
      </c>
      <c r="B1060" s="17" t="n"/>
      <c r="C1060" s="30" t="n"/>
      <c r="D1060" s="17" t="n"/>
      <c r="E1060" s="17" t="n"/>
      <c r="F1060" s="17" t="n"/>
      <c r="G1060" s="17" t="n"/>
      <c r="H1060" s="24">
        <f>IF($G1060="","",IFERROR(VLOOKUP($G1060,物料档案!$A$4:$P$1203,3,0),"※编码不在物料档案里"))</f>
        <v/>
      </c>
      <c r="I1060" s="24">
        <f>IF($G1060="","",IFERROR(VLOOKUP($G1060,物料档案!$A$4:$P$1203,4,0),"※编码不在物料档案里"))</f>
        <v/>
      </c>
      <c r="J1060" s="24">
        <f>IF($G1060="","",IFERROR(VLOOKUP($G1060,物料档案!$A$4:$P$1203,5,0),"※编码不在物料档案里"))</f>
        <v/>
      </c>
      <c r="K1060" s="23" t="n"/>
      <c r="L1060" s="31" t="n"/>
      <c r="M1060" s="24">
        <f>IF($G1060="","",IF($D1060="A国内","CNY","TZS"))</f>
        <v/>
      </c>
      <c r="N1060" s="28">
        <f>IF($G1060="","",IF($D1060="A国内",汇率,1))</f>
        <v/>
      </c>
      <c r="O1060" s="25">
        <f>IF($G1060="","",ROUND(N($K1060)*N($L1060),2))</f>
        <v/>
      </c>
      <c r="P1060" s="26">
        <f>IF($G1060="","",ROUND($O1060*$N1060,0))</f>
        <v/>
      </c>
      <c r="Q1060" s="26">
        <f>IF($G1060="","",SUMIFS($P$4:$P$2503,$E$4:$E$2503,$E1060,$Z$4:$Z$2503,"正常"))</f>
        <v/>
      </c>
      <c r="R1060" s="26">
        <f>IF($G1060="","",SUMIFS(费用台账!$I$4:$I$503,费用台账!$C$4:$C$503,$E1060,费用台账!$J$4:$J$503,"是",费用台账!$K$4:$K$503,"正常"))</f>
        <v/>
      </c>
      <c r="S1060" s="28">
        <f>IF($G1060="","",COUNTIFS($E$4:$E$2503,$E1060,$Z$4:$Z$2503,"正常",$Y$4:$Y$2503,"待补价"))</f>
        <v/>
      </c>
      <c r="T1060" s="26">
        <f>IF($G1060="","",SUMIFS($P$4:$P$2503,$E$4:$E$2503,$E1060,$Z$4:$Z$2503,"正常",$A$4:$A$2503,"&lt;="&amp;$A1060))</f>
        <v/>
      </c>
      <c r="U1060" s="26">
        <f>IF($G1060="","",IF(OR($S1060&gt;0,$Q1060=0,$R1060=0,$Z1060&lt;&gt;"正常"),0,ROUND($T1060/$Q1060*$R1060,0)-ROUND(($T1060-$P1060)/$Q1060*$R1060,0)))</f>
        <v/>
      </c>
      <c r="V1060" s="26">
        <f>IF($G1060="","",ROUND($P1060+$U1060,0))</f>
        <v/>
      </c>
      <c r="W1060" s="26">
        <f>IF($G1060="","",IF(N($K1060)=0,0,ROUND($V1060/$K1060,2)))</f>
        <v/>
      </c>
      <c r="X1060" s="17" t="n"/>
      <c r="Y1060" s="17" t="n"/>
      <c r="Z1060" s="17" t="n"/>
      <c r="AA1060" s="17" t="n"/>
      <c r="AB1060" s="17" t="n"/>
      <c r="AC1060" s="24">
        <f>IF($G1060="","",IF($H1060="※编码不在物料档案里","※物料编码不在档案里",IF(N($K1060)&lt;=0,"※入库数量要大于 0",IF(AND($C1060&lt;&gt;"",$C1060&lt;=结账锁),"※日期早于已结账截止日，不能再录",IF(AND($L1060=0,$X1060="正常"),"※没填单价，价格状态请选「待补价」",IF(AND($S1060&gt;0,$R1060&gt;0),"△本批有 "&amp;$S1060&amp;" 行没单价，整批运费先挂账没摊",IF(AND($B1060&lt;&gt;"",COUNTIF($B$4:$B$2503,$B1060)&gt;1),"※入库单号重复","")))))))</f>
        <v/>
      </c>
    </row>
    <row r="1061">
      <c r="A1061" s="24">
        <f>IF($G1061="","",COUNTA($G$4:$G1061))</f>
        <v/>
      </c>
      <c r="B1061" s="17" t="n"/>
      <c r="C1061" s="30" t="n"/>
      <c r="D1061" s="17" t="n"/>
      <c r="E1061" s="17" t="n"/>
      <c r="F1061" s="17" t="n"/>
      <c r="G1061" s="17" t="n"/>
      <c r="H1061" s="24">
        <f>IF($G1061="","",IFERROR(VLOOKUP($G1061,物料档案!$A$4:$P$1203,3,0),"※编码不在物料档案里"))</f>
        <v/>
      </c>
      <c r="I1061" s="24">
        <f>IF($G1061="","",IFERROR(VLOOKUP($G1061,物料档案!$A$4:$P$1203,4,0),"※编码不在物料档案里"))</f>
        <v/>
      </c>
      <c r="J1061" s="24">
        <f>IF($G1061="","",IFERROR(VLOOKUP($G1061,物料档案!$A$4:$P$1203,5,0),"※编码不在物料档案里"))</f>
        <v/>
      </c>
      <c r="K1061" s="23" t="n"/>
      <c r="L1061" s="31" t="n"/>
      <c r="M1061" s="24">
        <f>IF($G1061="","",IF($D1061="A国内","CNY","TZS"))</f>
        <v/>
      </c>
      <c r="N1061" s="28">
        <f>IF($G1061="","",IF($D1061="A国内",汇率,1))</f>
        <v/>
      </c>
      <c r="O1061" s="25">
        <f>IF($G1061="","",ROUND(N($K1061)*N($L1061),2))</f>
        <v/>
      </c>
      <c r="P1061" s="26">
        <f>IF($G1061="","",ROUND($O1061*$N1061,0))</f>
        <v/>
      </c>
      <c r="Q1061" s="26">
        <f>IF($G1061="","",SUMIFS($P$4:$P$2503,$E$4:$E$2503,$E1061,$Z$4:$Z$2503,"正常"))</f>
        <v/>
      </c>
      <c r="R1061" s="26">
        <f>IF($G1061="","",SUMIFS(费用台账!$I$4:$I$503,费用台账!$C$4:$C$503,$E1061,费用台账!$J$4:$J$503,"是",费用台账!$K$4:$K$503,"正常"))</f>
        <v/>
      </c>
      <c r="S1061" s="28">
        <f>IF($G1061="","",COUNTIFS($E$4:$E$2503,$E1061,$Z$4:$Z$2503,"正常",$Y$4:$Y$2503,"待补价"))</f>
        <v/>
      </c>
      <c r="T1061" s="26">
        <f>IF($G1061="","",SUMIFS($P$4:$P$2503,$E$4:$E$2503,$E1061,$Z$4:$Z$2503,"正常",$A$4:$A$2503,"&lt;="&amp;$A1061))</f>
        <v/>
      </c>
      <c r="U1061" s="26">
        <f>IF($G1061="","",IF(OR($S1061&gt;0,$Q1061=0,$R1061=0,$Z1061&lt;&gt;"正常"),0,ROUND($T1061/$Q1061*$R1061,0)-ROUND(($T1061-$P1061)/$Q1061*$R1061,0)))</f>
        <v/>
      </c>
      <c r="V1061" s="26">
        <f>IF($G1061="","",ROUND($P1061+$U1061,0))</f>
        <v/>
      </c>
      <c r="W1061" s="26">
        <f>IF($G1061="","",IF(N($K1061)=0,0,ROUND($V1061/$K1061,2)))</f>
        <v/>
      </c>
      <c r="X1061" s="17" t="n"/>
      <c r="Y1061" s="17" t="n"/>
      <c r="Z1061" s="17" t="n"/>
      <c r="AA1061" s="17" t="n"/>
      <c r="AB1061" s="17" t="n"/>
      <c r="AC1061" s="24">
        <f>IF($G1061="","",IF($H1061="※编码不在物料档案里","※物料编码不在档案里",IF(N($K1061)&lt;=0,"※入库数量要大于 0",IF(AND($C1061&lt;&gt;"",$C1061&lt;=结账锁),"※日期早于已结账截止日，不能再录",IF(AND($L1061=0,$X1061="正常"),"※没填单价，价格状态请选「待补价」",IF(AND($S1061&gt;0,$R1061&gt;0),"△本批有 "&amp;$S1061&amp;" 行没单价，整批运费先挂账没摊",IF(AND($B1061&lt;&gt;"",COUNTIF($B$4:$B$2503,$B1061)&gt;1),"※入库单号重复","")))))))</f>
        <v/>
      </c>
    </row>
    <row r="1062">
      <c r="A1062" s="24">
        <f>IF($G1062="","",COUNTA($G$4:$G1062))</f>
        <v/>
      </c>
      <c r="B1062" s="17" t="n"/>
      <c r="C1062" s="30" t="n"/>
      <c r="D1062" s="17" t="n"/>
      <c r="E1062" s="17" t="n"/>
      <c r="F1062" s="17" t="n"/>
      <c r="G1062" s="17" t="n"/>
      <c r="H1062" s="24">
        <f>IF($G1062="","",IFERROR(VLOOKUP($G1062,物料档案!$A$4:$P$1203,3,0),"※编码不在物料档案里"))</f>
        <v/>
      </c>
      <c r="I1062" s="24">
        <f>IF($G1062="","",IFERROR(VLOOKUP($G1062,物料档案!$A$4:$P$1203,4,0),"※编码不在物料档案里"))</f>
        <v/>
      </c>
      <c r="J1062" s="24">
        <f>IF($G1062="","",IFERROR(VLOOKUP($G1062,物料档案!$A$4:$P$1203,5,0),"※编码不在物料档案里"))</f>
        <v/>
      </c>
      <c r="K1062" s="23" t="n"/>
      <c r="L1062" s="31" t="n"/>
      <c r="M1062" s="24">
        <f>IF($G1062="","",IF($D1062="A国内","CNY","TZS"))</f>
        <v/>
      </c>
      <c r="N1062" s="28">
        <f>IF($G1062="","",IF($D1062="A国内",汇率,1))</f>
        <v/>
      </c>
      <c r="O1062" s="25">
        <f>IF($G1062="","",ROUND(N($K1062)*N($L1062),2))</f>
        <v/>
      </c>
      <c r="P1062" s="26">
        <f>IF($G1062="","",ROUND($O1062*$N1062,0))</f>
        <v/>
      </c>
      <c r="Q1062" s="26">
        <f>IF($G1062="","",SUMIFS($P$4:$P$2503,$E$4:$E$2503,$E1062,$Z$4:$Z$2503,"正常"))</f>
        <v/>
      </c>
      <c r="R1062" s="26">
        <f>IF($G1062="","",SUMIFS(费用台账!$I$4:$I$503,费用台账!$C$4:$C$503,$E1062,费用台账!$J$4:$J$503,"是",费用台账!$K$4:$K$503,"正常"))</f>
        <v/>
      </c>
      <c r="S1062" s="28">
        <f>IF($G1062="","",COUNTIFS($E$4:$E$2503,$E1062,$Z$4:$Z$2503,"正常",$Y$4:$Y$2503,"待补价"))</f>
        <v/>
      </c>
      <c r="T1062" s="26">
        <f>IF($G1062="","",SUMIFS($P$4:$P$2503,$E$4:$E$2503,$E1062,$Z$4:$Z$2503,"正常",$A$4:$A$2503,"&lt;="&amp;$A1062))</f>
        <v/>
      </c>
      <c r="U1062" s="26">
        <f>IF($G1062="","",IF(OR($S1062&gt;0,$Q1062=0,$R1062=0,$Z1062&lt;&gt;"正常"),0,ROUND($T1062/$Q1062*$R1062,0)-ROUND(($T1062-$P1062)/$Q1062*$R1062,0)))</f>
        <v/>
      </c>
      <c r="V1062" s="26">
        <f>IF($G1062="","",ROUND($P1062+$U1062,0))</f>
        <v/>
      </c>
      <c r="W1062" s="26">
        <f>IF($G1062="","",IF(N($K1062)=0,0,ROUND($V1062/$K1062,2)))</f>
        <v/>
      </c>
      <c r="X1062" s="17" t="n"/>
      <c r="Y1062" s="17" t="n"/>
      <c r="Z1062" s="17" t="n"/>
      <c r="AA1062" s="17" t="n"/>
      <c r="AB1062" s="17" t="n"/>
      <c r="AC1062" s="24">
        <f>IF($G1062="","",IF($H1062="※编码不在物料档案里","※物料编码不在档案里",IF(N($K1062)&lt;=0,"※入库数量要大于 0",IF(AND($C1062&lt;&gt;"",$C1062&lt;=结账锁),"※日期早于已结账截止日，不能再录",IF(AND($L1062=0,$X1062="正常"),"※没填单价，价格状态请选「待补价」",IF(AND($S1062&gt;0,$R1062&gt;0),"△本批有 "&amp;$S1062&amp;" 行没单价，整批运费先挂账没摊",IF(AND($B1062&lt;&gt;"",COUNTIF($B$4:$B$2503,$B1062)&gt;1),"※入库单号重复","")))))))</f>
        <v/>
      </c>
    </row>
    <row r="1063">
      <c r="A1063" s="24">
        <f>IF($G1063="","",COUNTA($G$4:$G1063))</f>
        <v/>
      </c>
      <c r="B1063" s="17" t="n"/>
      <c r="C1063" s="30" t="n"/>
      <c r="D1063" s="17" t="n"/>
      <c r="E1063" s="17" t="n"/>
      <c r="F1063" s="17" t="n"/>
      <c r="G1063" s="17" t="n"/>
      <c r="H1063" s="24">
        <f>IF($G1063="","",IFERROR(VLOOKUP($G1063,物料档案!$A$4:$P$1203,3,0),"※编码不在物料档案里"))</f>
        <v/>
      </c>
      <c r="I1063" s="24">
        <f>IF($G1063="","",IFERROR(VLOOKUP($G1063,物料档案!$A$4:$P$1203,4,0),"※编码不在物料档案里"))</f>
        <v/>
      </c>
      <c r="J1063" s="24">
        <f>IF($G1063="","",IFERROR(VLOOKUP($G1063,物料档案!$A$4:$P$1203,5,0),"※编码不在物料档案里"))</f>
        <v/>
      </c>
      <c r="K1063" s="23" t="n"/>
      <c r="L1063" s="31" t="n"/>
      <c r="M1063" s="24">
        <f>IF($G1063="","",IF($D1063="A国内","CNY","TZS"))</f>
        <v/>
      </c>
      <c r="N1063" s="28">
        <f>IF($G1063="","",IF($D1063="A国内",汇率,1))</f>
        <v/>
      </c>
      <c r="O1063" s="25">
        <f>IF($G1063="","",ROUND(N($K1063)*N($L1063),2))</f>
        <v/>
      </c>
      <c r="P1063" s="26">
        <f>IF($G1063="","",ROUND($O1063*$N1063,0))</f>
        <v/>
      </c>
      <c r="Q1063" s="26">
        <f>IF($G1063="","",SUMIFS($P$4:$P$2503,$E$4:$E$2503,$E1063,$Z$4:$Z$2503,"正常"))</f>
        <v/>
      </c>
      <c r="R1063" s="26">
        <f>IF($G1063="","",SUMIFS(费用台账!$I$4:$I$503,费用台账!$C$4:$C$503,$E1063,费用台账!$J$4:$J$503,"是",费用台账!$K$4:$K$503,"正常"))</f>
        <v/>
      </c>
      <c r="S1063" s="28">
        <f>IF($G1063="","",COUNTIFS($E$4:$E$2503,$E1063,$Z$4:$Z$2503,"正常",$Y$4:$Y$2503,"待补价"))</f>
        <v/>
      </c>
      <c r="T1063" s="26">
        <f>IF($G1063="","",SUMIFS($P$4:$P$2503,$E$4:$E$2503,$E1063,$Z$4:$Z$2503,"正常",$A$4:$A$2503,"&lt;="&amp;$A1063))</f>
        <v/>
      </c>
      <c r="U1063" s="26">
        <f>IF($G1063="","",IF(OR($S1063&gt;0,$Q1063=0,$R1063=0,$Z1063&lt;&gt;"正常"),0,ROUND($T1063/$Q1063*$R1063,0)-ROUND(($T1063-$P1063)/$Q1063*$R1063,0)))</f>
        <v/>
      </c>
      <c r="V1063" s="26">
        <f>IF($G1063="","",ROUND($P1063+$U1063,0))</f>
        <v/>
      </c>
      <c r="W1063" s="26">
        <f>IF($G1063="","",IF(N($K1063)=0,0,ROUND($V1063/$K1063,2)))</f>
        <v/>
      </c>
      <c r="X1063" s="17" t="n"/>
      <c r="Y1063" s="17" t="n"/>
      <c r="Z1063" s="17" t="n"/>
      <c r="AA1063" s="17" t="n"/>
      <c r="AB1063" s="17" t="n"/>
      <c r="AC1063" s="24">
        <f>IF($G1063="","",IF($H1063="※编码不在物料档案里","※物料编码不在档案里",IF(N($K1063)&lt;=0,"※入库数量要大于 0",IF(AND($C1063&lt;&gt;"",$C1063&lt;=结账锁),"※日期早于已结账截止日，不能再录",IF(AND($L1063=0,$X1063="正常"),"※没填单价，价格状态请选「待补价」",IF(AND($S1063&gt;0,$R1063&gt;0),"△本批有 "&amp;$S1063&amp;" 行没单价，整批运费先挂账没摊",IF(AND($B1063&lt;&gt;"",COUNTIF($B$4:$B$2503,$B1063)&gt;1),"※入库单号重复","")))))))</f>
        <v/>
      </c>
    </row>
    <row r="1064">
      <c r="A1064" s="24">
        <f>IF($G1064="","",COUNTA($G$4:$G1064))</f>
        <v/>
      </c>
      <c r="B1064" s="17" t="n"/>
      <c r="C1064" s="30" t="n"/>
      <c r="D1064" s="17" t="n"/>
      <c r="E1064" s="17" t="n"/>
      <c r="F1064" s="17" t="n"/>
      <c r="G1064" s="17" t="n"/>
      <c r="H1064" s="24">
        <f>IF($G1064="","",IFERROR(VLOOKUP($G1064,物料档案!$A$4:$P$1203,3,0),"※编码不在物料档案里"))</f>
        <v/>
      </c>
      <c r="I1064" s="24">
        <f>IF($G1064="","",IFERROR(VLOOKUP($G1064,物料档案!$A$4:$P$1203,4,0),"※编码不在物料档案里"))</f>
        <v/>
      </c>
      <c r="J1064" s="24">
        <f>IF($G1064="","",IFERROR(VLOOKUP($G1064,物料档案!$A$4:$P$1203,5,0),"※编码不在物料档案里"))</f>
        <v/>
      </c>
      <c r="K1064" s="23" t="n"/>
      <c r="L1064" s="31" t="n"/>
      <c r="M1064" s="24">
        <f>IF($G1064="","",IF($D1064="A国内","CNY","TZS"))</f>
        <v/>
      </c>
      <c r="N1064" s="28">
        <f>IF($G1064="","",IF($D1064="A国内",汇率,1))</f>
        <v/>
      </c>
      <c r="O1064" s="25">
        <f>IF($G1064="","",ROUND(N($K1064)*N($L1064),2))</f>
        <v/>
      </c>
      <c r="P1064" s="26">
        <f>IF($G1064="","",ROUND($O1064*$N1064,0))</f>
        <v/>
      </c>
      <c r="Q1064" s="26">
        <f>IF($G1064="","",SUMIFS($P$4:$P$2503,$E$4:$E$2503,$E1064,$Z$4:$Z$2503,"正常"))</f>
        <v/>
      </c>
      <c r="R1064" s="26">
        <f>IF($G1064="","",SUMIFS(费用台账!$I$4:$I$503,费用台账!$C$4:$C$503,$E1064,费用台账!$J$4:$J$503,"是",费用台账!$K$4:$K$503,"正常"))</f>
        <v/>
      </c>
      <c r="S1064" s="28">
        <f>IF($G1064="","",COUNTIFS($E$4:$E$2503,$E1064,$Z$4:$Z$2503,"正常",$Y$4:$Y$2503,"待补价"))</f>
        <v/>
      </c>
      <c r="T1064" s="26">
        <f>IF($G1064="","",SUMIFS($P$4:$P$2503,$E$4:$E$2503,$E1064,$Z$4:$Z$2503,"正常",$A$4:$A$2503,"&lt;="&amp;$A1064))</f>
        <v/>
      </c>
      <c r="U1064" s="26">
        <f>IF($G1064="","",IF(OR($S1064&gt;0,$Q1064=0,$R1064=0,$Z1064&lt;&gt;"正常"),0,ROUND($T1064/$Q1064*$R1064,0)-ROUND(($T1064-$P1064)/$Q1064*$R1064,0)))</f>
        <v/>
      </c>
      <c r="V1064" s="26">
        <f>IF($G1064="","",ROUND($P1064+$U1064,0))</f>
        <v/>
      </c>
      <c r="W1064" s="26">
        <f>IF($G1064="","",IF(N($K1064)=0,0,ROUND($V1064/$K1064,2)))</f>
        <v/>
      </c>
      <c r="X1064" s="17" t="n"/>
      <c r="Y1064" s="17" t="n"/>
      <c r="Z1064" s="17" t="n"/>
      <c r="AA1064" s="17" t="n"/>
      <c r="AB1064" s="17" t="n"/>
      <c r="AC1064" s="24">
        <f>IF($G1064="","",IF($H1064="※编码不在物料档案里","※物料编码不在档案里",IF(N($K1064)&lt;=0,"※入库数量要大于 0",IF(AND($C1064&lt;&gt;"",$C1064&lt;=结账锁),"※日期早于已结账截止日，不能再录",IF(AND($L1064=0,$X1064="正常"),"※没填单价，价格状态请选「待补价」",IF(AND($S1064&gt;0,$R1064&gt;0),"△本批有 "&amp;$S1064&amp;" 行没单价，整批运费先挂账没摊",IF(AND($B1064&lt;&gt;"",COUNTIF($B$4:$B$2503,$B1064)&gt;1),"※入库单号重复","")))))))</f>
        <v/>
      </c>
    </row>
    <row r="1065">
      <c r="A1065" s="24">
        <f>IF($G1065="","",COUNTA($G$4:$G1065))</f>
        <v/>
      </c>
      <c r="B1065" s="17" t="n"/>
      <c r="C1065" s="30" t="n"/>
      <c r="D1065" s="17" t="n"/>
      <c r="E1065" s="17" t="n"/>
      <c r="F1065" s="17" t="n"/>
      <c r="G1065" s="17" t="n"/>
      <c r="H1065" s="24">
        <f>IF($G1065="","",IFERROR(VLOOKUP($G1065,物料档案!$A$4:$P$1203,3,0),"※编码不在物料档案里"))</f>
        <v/>
      </c>
      <c r="I1065" s="24">
        <f>IF($G1065="","",IFERROR(VLOOKUP($G1065,物料档案!$A$4:$P$1203,4,0),"※编码不在物料档案里"))</f>
        <v/>
      </c>
      <c r="J1065" s="24">
        <f>IF($G1065="","",IFERROR(VLOOKUP($G1065,物料档案!$A$4:$P$1203,5,0),"※编码不在物料档案里"))</f>
        <v/>
      </c>
      <c r="K1065" s="23" t="n"/>
      <c r="L1065" s="31" t="n"/>
      <c r="M1065" s="24">
        <f>IF($G1065="","",IF($D1065="A国内","CNY","TZS"))</f>
        <v/>
      </c>
      <c r="N1065" s="28">
        <f>IF($G1065="","",IF($D1065="A国内",汇率,1))</f>
        <v/>
      </c>
      <c r="O1065" s="25">
        <f>IF($G1065="","",ROUND(N($K1065)*N($L1065),2))</f>
        <v/>
      </c>
      <c r="P1065" s="26">
        <f>IF($G1065="","",ROUND($O1065*$N1065,0))</f>
        <v/>
      </c>
      <c r="Q1065" s="26">
        <f>IF($G1065="","",SUMIFS($P$4:$P$2503,$E$4:$E$2503,$E1065,$Z$4:$Z$2503,"正常"))</f>
        <v/>
      </c>
      <c r="R1065" s="26">
        <f>IF($G1065="","",SUMIFS(费用台账!$I$4:$I$503,费用台账!$C$4:$C$503,$E1065,费用台账!$J$4:$J$503,"是",费用台账!$K$4:$K$503,"正常"))</f>
        <v/>
      </c>
      <c r="S1065" s="28">
        <f>IF($G1065="","",COUNTIFS($E$4:$E$2503,$E1065,$Z$4:$Z$2503,"正常",$Y$4:$Y$2503,"待补价"))</f>
        <v/>
      </c>
      <c r="T1065" s="26">
        <f>IF($G1065="","",SUMIFS($P$4:$P$2503,$E$4:$E$2503,$E1065,$Z$4:$Z$2503,"正常",$A$4:$A$2503,"&lt;="&amp;$A1065))</f>
        <v/>
      </c>
      <c r="U1065" s="26">
        <f>IF($G1065="","",IF(OR($S1065&gt;0,$Q1065=0,$R1065=0,$Z1065&lt;&gt;"正常"),0,ROUND($T1065/$Q1065*$R1065,0)-ROUND(($T1065-$P1065)/$Q1065*$R1065,0)))</f>
        <v/>
      </c>
      <c r="V1065" s="26">
        <f>IF($G1065="","",ROUND($P1065+$U1065,0))</f>
        <v/>
      </c>
      <c r="W1065" s="26">
        <f>IF($G1065="","",IF(N($K1065)=0,0,ROUND($V1065/$K1065,2)))</f>
        <v/>
      </c>
      <c r="X1065" s="17" t="n"/>
      <c r="Y1065" s="17" t="n"/>
      <c r="Z1065" s="17" t="n"/>
      <c r="AA1065" s="17" t="n"/>
      <c r="AB1065" s="17" t="n"/>
      <c r="AC1065" s="24">
        <f>IF($G1065="","",IF($H1065="※编码不在物料档案里","※物料编码不在档案里",IF(N($K1065)&lt;=0,"※入库数量要大于 0",IF(AND($C1065&lt;&gt;"",$C1065&lt;=结账锁),"※日期早于已结账截止日，不能再录",IF(AND($L1065=0,$X1065="正常"),"※没填单价，价格状态请选「待补价」",IF(AND($S1065&gt;0,$R1065&gt;0),"△本批有 "&amp;$S1065&amp;" 行没单价，整批运费先挂账没摊",IF(AND($B1065&lt;&gt;"",COUNTIF($B$4:$B$2503,$B1065)&gt;1),"※入库单号重复","")))))))</f>
        <v/>
      </c>
    </row>
    <row r="1066">
      <c r="A1066" s="24">
        <f>IF($G1066="","",COUNTA($G$4:$G1066))</f>
        <v/>
      </c>
      <c r="B1066" s="17" t="n"/>
      <c r="C1066" s="30" t="n"/>
      <c r="D1066" s="17" t="n"/>
      <c r="E1066" s="17" t="n"/>
      <c r="F1066" s="17" t="n"/>
      <c r="G1066" s="17" t="n"/>
      <c r="H1066" s="24">
        <f>IF($G1066="","",IFERROR(VLOOKUP($G1066,物料档案!$A$4:$P$1203,3,0),"※编码不在物料档案里"))</f>
        <v/>
      </c>
      <c r="I1066" s="24">
        <f>IF($G1066="","",IFERROR(VLOOKUP($G1066,物料档案!$A$4:$P$1203,4,0),"※编码不在物料档案里"))</f>
        <v/>
      </c>
      <c r="J1066" s="24">
        <f>IF($G1066="","",IFERROR(VLOOKUP($G1066,物料档案!$A$4:$P$1203,5,0),"※编码不在物料档案里"))</f>
        <v/>
      </c>
      <c r="K1066" s="23" t="n"/>
      <c r="L1066" s="31" t="n"/>
      <c r="M1066" s="24">
        <f>IF($G1066="","",IF($D1066="A国内","CNY","TZS"))</f>
        <v/>
      </c>
      <c r="N1066" s="28">
        <f>IF($G1066="","",IF($D1066="A国内",汇率,1))</f>
        <v/>
      </c>
      <c r="O1066" s="25">
        <f>IF($G1066="","",ROUND(N($K1066)*N($L1066),2))</f>
        <v/>
      </c>
      <c r="P1066" s="26">
        <f>IF($G1066="","",ROUND($O1066*$N1066,0))</f>
        <v/>
      </c>
      <c r="Q1066" s="26">
        <f>IF($G1066="","",SUMIFS($P$4:$P$2503,$E$4:$E$2503,$E1066,$Z$4:$Z$2503,"正常"))</f>
        <v/>
      </c>
      <c r="R1066" s="26">
        <f>IF($G1066="","",SUMIFS(费用台账!$I$4:$I$503,费用台账!$C$4:$C$503,$E1066,费用台账!$J$4:$J$503,"是",费用台账!$K$4:$K$503,"正常"))</f>
        <v/>
      </c>
      <c r="S1066" s="28">
        <f>IF($G1066="","",COUNTIFS($E$4:$E$2503,$E1066,$Z$4:$Z$2503,"正常",$Y$4:$Y$2503,"待补价"))</f>
        <v/>
      </c>
      <c r="T1066" s="26">
        <f>IF($G1066="","",SUMIFS($P$4:$P$2503,$E$4:$E$2503,$E1066,$Z$4:$Z$2503,"正常",$A$4:$A$2503,"&lt;="&amp;$A1066))</f>
        <v/>
      </c>
      <c r="U1066" s="26">
        <f>IF($G1066="","",IF(OR($S1066&gt;0,$Q1066=0,$R1066=0,$Z1066&lt;&gt;"正常"),0,ROUND($T1066/$Q1066*$R1066,0)-ROUND(($T1066-$P1066)/$Q1066*$R1066,0)))</f>
        <v/>
      </c>
      <c r="V1066" s="26">
        <f>IF($G1066="","",ROUND($P1066+$U1066,0))</f>
        <v/>
      </c>
      <c r="W1066" s="26">
        <f>IF($G1066="","",IF(N($K1066)=0,0,ROUND($V1066/$K1066,2)))</f>
        <v/>
      </c>
      <c r="X1066" s="17" t="n"/>
      <c r="Y1066" s="17" t="n"/>
      <c r="Z1066" s="17" t="n"/>
      <c r="AA1066" s="17" t="n"/>
      <c r="AB1066" s="17" t="n"/>
      <c r="AC1066" s="24">
        <f>IF($G1066="","",IF($H1066="※编码不在物料档案里","※物料编码不在档案里",IF(N($K1066)&lt;=0,"※入库数量要大于 0",IF(AND($C1066&lt;&gt;"",$C1066&lt;=结账锁),"※日期早于已结账截止日，不能再录",IF(AND($L1066=0,$X1066="正常"),"※没填单价，价格状态请选「待补价」",IF(AND($S1066&gt;0,$R1066&gt;0),"△本批有 "&amp;$S1066&amp;" 行没单价，整批运费先挂账没摊",IF(AND($B1066&lt;&gt;"",COUNTIF($B$4:$B$2503,$B1066)&gt;1),"※入库单号重复","")))))))</f>
        <v/>
      </c>
    </row>
    <row r="1067">
      <c r="A1067" s="24">
        <f>IF($G1067="","",COUNTA($G$4:$G1067))</f>
        <v/>
      </c>
      <c r="B1067" s="17" t="n"/>
      <c r="C1067" s="30" t="n"/>
      <c r="D1067" s="17" t="n"/>
      <c r="E1067" s="17" t="n"/>
      <c r="F1067" s="17" t="n"/>
      <c r="G1067" s="17" t="n"/>
      <c r="H1067" s="24">
        <f>IF($G1067="","",IFERROR(VLOOKUP($G1067,物料档案!$A$4:$P$1203,3,0),"※编码不在物料档案里"))</f>
        <v/>
      </c>
      <c r="I1067" s="24">
        <f>IF($G1067="","",IFERROR(VLOOKUP($G1067,物料档案!$A$4:$P$1203,4,0),"※编码不在物料档案里"))</f>
        <v/>
      </c>
      <c r="J1067" s="24">
        <f>IF($G1067="","",IFERROR(VLOOKUP($G1067,物料档案!$A$4:$P$1203,5,0),"※编码不在物料档案里"))</f>
        <v/>
      </c>
      <c r="K1067" s="23" t="n"/>
      <c r="L1067" s="31" t="n"/>
      <c r="M1067" s="24">
        <f>IF($G1067="","",IF($D1067="A国内","CNY","TZS"))</f>
        <v/>
      </c>
      <c r="N1067" s="28">
        <f>IF($G1067="","",IF($D1067="A国内",汇率,1))</f>
        <v/>
      </c>
      <c r="O1067" s="25">
        <f>IF($G1067="","",ROUND(N($K1067)*N($L1067),2))</f>
        <v/>
      </c>
      <c r="P1067" s="26">
        <f>IF($G1067="","",ROUND($O1067*$N1067,0))</f>
        <v/>
      </c>
      <c r="Q1067" s="26">
        <f>IF($G1067="","",SUMIFS($P$4:$P$2503,$E$4:$E$2503,$E1067,$Z$4:$Z$2503,"正常"))</f>
        <v/>
      </c>
      <c r="R1067" s="26">
        <f>IF($G1067="","",SUMIFS(费用台账!$I$4:$I$503,费用台账!$C$4:$C$503,$E1067,费用台账!$J$4:$J$503,"是",费用台账!$K$4:$K$503,"正常"))</f>
        <v/>
      </c>
      <c r="S1067" s="28">
        <f>IF($G1067="","",COUNTIFS($E$4:$E$2503,$E1067,$Z$4:$Z$2503,"正常",$Y$4:$Y$2503,"待补价"))</f>
        <v/>
      </c>
      <c r="T1067" s="26">
        <f>IF($G1067="","",SUMIFS($P$4:$P$2503,$E$4:$E$2503,$E1067,$Z$4:$Z$2503,"正常",$A$4:$A$2503,"&lt;="&amp;$A1067))</f>
        <v/>
      </c>
      <c r="U1067" s="26">
        <f>IF($G1067="","",IF(OR($S1067&gt;0,$Q1067=0,$R1067=0,$Z1067&lt;&gt;"正常"),0,ROUND($T1067/$Q1067*$R1067,0)-ROUND(($T1067-$P1067)/$Q1067*$R1067,0)))</f>
        <v/>
      </c>
      <c r="V1067" s="26">
        <f>IF($G1067="","",ROUND($P1067+$U1067,0))</f>
        <v/>
      </c>
      <c r="W1067" s="26">
        <f>IF($G1067="","",IF(N($K1067)=0,0,ROUND($V1067/$K1067,2)))</f>
        <v/>
      </c>
      <c r="X1067" s="17" t="n"/>
      <c r="Y1067" s="17" t="n"/>
      <c r="Z1067" s="17" t="n"/>
      <c r="AA1067" s="17" t="n"/>
      <c r="AB1067" s="17" t="n"/>
      <c r="AC1067" s="24">
        <f>IF($G1067="","",IF($H1067="※编码不在物料档案里","※物料编码不在档案里",IF(N($K1067)&lt;=0,"※入库数量要大于 0",IF(AND($C1067&lt;&gt;"",$C1067&lt;=结账锁),"※日期早于已结账截止日，不能再录",IF(AND($L1067=0,$X1067="正常"),"※没填单价，价格状态请选「待补价」",IF(AND($S1067&gt;0,$R1067&gt;0),"△本批有 "&amp;$S1067&amp;" 行没单价，整批运费先挂账没摊",IF(AND($B1067&lt;&gt;"",COUNTIF($B$4:$B$2503,$B1067)&gt;1),"※入库单号重复","")))))))</f>
        <v/>
      </c>
    </row>
    <row r="1068">
      <c r="A1068" s="24">
        <f>IF($G1068="","",COUNTA($G$4:$G1068))</f>
        <v/>
      </c>
      <c r="B1068" s="17" t="n"/>
      <c r="C1068" s="30" t="n"/>
      <c r="D1068" s="17" t="n"/>
      <c r="E1068" s="17" t="n"/>
      <c r="F1068" s="17" t="n"/>
      <c r="G1068" s="17" t="n"/>
      <c r="H1068" s="24">
        <f>IF($G1068="","",IFERROR(VLOOKUP($G1068,物料档案!$A$4:$P$1203,3,0),"※编码不在物料档案里"))</f>
        <v/>
      </c>
      <c r="I1068" s="24">
        <f>IF($G1068="","",IFERROR(VLOOKUP($G1068,物料档案!$A$4:$P$1203,4,0),"※编码不在物料档案里"))</f>
        <v/>
      </c>
      <c r="J1068" s="24">
        <f>IF($G1068="","",IFERROR(VLOOKUP($G1068,物料档案!$A$4:$P$1203,5,0),"※编码不在物料档案里"))</f>
        <v/>
      </c>
      <c r="K1068" s="23" t="n"/>
      <c r="L1068" s="31" t="n"/>
      <c r="M1068" s="24">
        <f>IF($G1068="","",IF($D1068="A国内","CNY","TZS"))</f>
        <v/>
      </c>
      <c r="N1068" s="28">
        <f>IF($G1068="","",IF($D1068="A国内",汇率,1))</f>
        <v/>
      </c>
      <c r="O1068" s="25">
        <f>IF($G1068="","",ROUND(N($K1068)*N($L1068),2))</f>
        <v/>
      </c>
      <c r="P1068" s="26">
        <f>IF($G1068="","",ROUND($O1068*$N1068,0))</f>
        <v/>
      </c>
      <c r="Q1068" s="26">
        <f>IF($G1068="","",SUMIFS($P$4:$P$2503,$E$4:$E$2503,$E1068,$Z$4:$Z$2503,"正常"))</f>
        <v/>
      </c>
      <c r="R1068" s="26">
        <f>IF($G1068="","",SUMIFS(费用台账!$I$4:$I$503,费用台账!$C$4:$C$503,$E1068,费用台账!$J$4:$J$503,"是",费用台账!$K$4:$K$503,"正常"))</f>
        <v/>
      </c>
      <c r="S1068" s="28">
        <f>IF($G1068="","",COUNTIFS($E$4:$E$2503,$E1068,$Z$4:$Z$2503,"正常",$Y$4:$Y$2503,"待补价"))</f>
        <v/>
      </c>
      <c r="T1068" s="26">
        <f>IF($G1068="","",SUMIFS($P$4:$P$2503,$E$4:$E$2503,$E1068,$Z$4:$Z$2503,"正常",$A$4:$A$2503,"&lt;="&amp;$A1068))</f>
        <v/>
      </c>
      <c r="U1068" s="26">
        <f>IF($G1068="","",IF(OR($S1068&gt;0,$Q1068=0,$R1068=0,$Z1068&lt;&gt;"正常"),0,ROUND($T1068/$Q1068*$R1068,0)-ROUND(($T1068-$P1068)/$Q1068*$R1068,0)))</f>
        <v/>
      </c>
      <c r="V1068" s="26">
        <f>IF($G1068="","",ROUND($P1068+$U1068,0))</f>
        <v/>
      </c>
      <c r="W1068" s="26">
        <f>IF($G1068="","",IF(N($K1068)=0,0,ROUND($V1068/$K1068,2)))</f>
        <v/>
      </c>
      <c r="X1068" s="17" t="n"/>
      <c r="Y1068" s="17" t="n"/>
      <c r="Z1068" s="17" t="n"/>
      <c r="AA1068" s="17" t="n"/>
      <c r="AB1068" s="17" t="n"/>
      <c r="AC1068" s="24">
        <f>IF($G1068="","",IF($H1068="※编码不在物料档案里","※物料编码不在档案里",IF(N($K1068)&lt;=0,"※入库数量要大于 0",IF(AND($C1068&lt;&gt;"",$C1068&lt;=结账锁),"※日期早于已结账截止日，不能再录",IF(AND($L1068=0,$X1068="正常"),"※没填单价，价格状态请选「待补价」",IF(AND($S1068&gt;0,$R1068&gt;0),"△本批有 "&amp;$S1068&amp;" 行没单价，整批运费先挂账没摊",IF(AND($B1068&lt;&gt;"",COUNTIF($B$4:$B$2503,$B1068)&gt;1),"※入库单号重复","")))))))</f>
        <v/>
      </c>
    </row>
    <row r="1069">
      <c r="A1069" s="24">
        <f>IF($G1069="","",COUNTA($G$4:$G1069))</f>
        <v/>
      </c>
      <c r="B1069" s="17" t="n"/>
      <c r="C1069" s="30" t="n"/>
      <c r="D1069" s="17" t="n"/>
      <c r="E1069" s="17" t="n"/>
      <c r="F1069" s="17" t="n"/>
      <c r="G1069" s="17" t="n"/>
      <c r="H1069" s="24">
        <f>IF($G1069="","",IFERROR(VLOOKUP($G1069,物料档案!$A$4:$P$1203,3,0),"※编码不在物料档案里"))</f>
        <v/>
      </c>
      <c r="I1069" s="24">
        <f>IF($G1069="","",IFERROR(VLOOKUP($G1069,物料档案!$A$4:$P$1203,4,0),"※编码不在物料档案里"))</f>
        <v/>
      </c>
      <c r="J1069" s="24">
        <f>IF($G1069="","",IFERROR(VLOOKUP($G1069,物料档案!$A$4:$P$1203,5,0),"※编码不在物料档案里"))</f>
        <v/>
      </c>
      <c r="K1069" s="23" t="n"/>
      <c r="L1069" s="31" t="n"/>
      <c r="M1069" s="24">
        <f>IF($G1069="","",IF($D1069="A国内","CNY","TZS"))</f>
        <v/>
      </c>
      <c r="N1069" s="28">
        <f>IF($G1069="","",IF($D1069="A国内",汇率,1))</f>
        <v/>
      </c>
      <c r="O1069" s="25">
        <f>IF($G1069="","",ROUND(N($K1069)*N($L1069),2))</f>
        <v/>
      </c>
      <c r="P1069" s="26">
        <f>IF($G1069="","",ROUND($O1069*$N1069,0))</f>
        <v/>
      </c>
      <c r="Q1069" s="26">
        <f>IF($G1069="","",SUMIFS($P$4:$P$2503,$E$4:$E$2503,$E1069,$Z$4:$Z$2503,"正常"))</f>
        <v/>
      </c>
      <c r="R1069" s="26">
        <f>IF($G1069="","",SUMIFS(费用台账!$I$4:$I$503,费用台账!$C$4:$C$503,$E1069,费用台账!$J$4:$J$503,"是",费用台账!$K$4:$K$503,"正常"))</f>
        <v/>
      </c>
      <c r="S1069" s="28">
        <f>IF($G1069="","",COUNTIFS($E$4:$E$2503,$E1069,$Z$4:$Z$2503,"正常",$Y$4:$Y$2503,"待补价"))</f>
        <v/>
      </c>
      <c r="T1069" s="26">
        <f>IF($G1069="","",SUMIFS($P$4:$P$2503,$E$4:$E$2503,$E1069,$Z$4:$Z$2503,"正常",$A$4:$A$2503,"&lt;="&amp;$A1069))</f>
        <v/>
      </c>
      <c r="U1069" s="26">
        <f>IF($G1069="","",IF(OR($S1069&gt;0,$Q1069=0,$R1069=0,$Z1069&lt;&gt;"正常"),0,ROUND($T1069/$Q1069*$R1069,0)-ROUND(($T1069-$P1069)/$Q1069*$R1069,0)))</f>
        <v/>
      </c>
      <c r="V1069" s="26">
        <f>IF($G1069="","",ROUND($P1069+$U1069,0))</f>
        <v/>
      </c>
      <c r="W1069" s="26">
        <f>IF($G1069="","",IF(N($K1069)=0,0,ROUND($V1069/$K1069,2)))</f>
        <v/>
      </c>
      <c r="X1069" s="17" t="n"/>
      <c r="Y1069" s="17" t="n"/>
      <c r="Z1069" s="17" t="n"/>
      <c r="AA1069" s="17" t="n"/>
      <c r="AB1069" s="17" t="n"/>
      <c r="AC1069" s="24">
        <f>IF($G1069="","",IF($H1069="※编码不在物料档案里","※物料编码不在档案里",IF(N($K1069)&lt;=0,"※入库数量要大于 0",IF(AND($C1069&lt;&gt;"",$C1069&lt;=结账锁),"※日期早于已结账截止日，不能再录",IF(AND($L1069=0,$X1069="正常"),"※没填单价，价格状态请选「待补价」",IF(AND($S1069&gt;0,$R1069&gt;0),"△本批有 "&amp;$S1069&amp;" 行没单价，整批运费先挂账没摊",IF(AND($B1069&lt;&gt;"",COUNTIF($B$4:$B$2503,$B1069)&gt;1),"※入库单号重复","")))))))</f>
        <v/>
      </c>
    </row>
    <row r="1070">
      <c r="A1070" s="24">
        <f>IF($G1070="","",COUNTA($G$4:$G1070))</f>
        <v/>
      </c>
      <c r="B1070" s="17" t="n"/>
      <c r="C1070" s="30" t="n"/>
      <c r="D1070" s="17" t="n"/>
      <c r="E1070" s="17" t="n"/>
      <c r="F1070" s="17" t="n"/>
      <c r="G1070" s="17" t="n"/>
      <c r="H1070" s="24">
        <f>IF($G1070="","",IFERROR(VLOOKUP($G1070,物料档案!$A$4:$P$1203,3,0),"※编码不在物料档案里"))</f>
        <v/>
      </c>
      <c r="I1070" s="24">
        <f>IF($G1070="","",IFERROR(VLOOKUP($G1070,物料档案!$A$4:$P$1203,4,0),"※编码不在物料档案里"))</f>
        <v/>
      </c>
      <c r="J1070" s="24">
        <f>IF($G1070="","",IFERROR(VLOOKUP($G1070,物料档案!$A$4:$P$1203,5,0),"※编码不在物料档案里"))</f>
        <v/>
      </c>
      <c r="K1070" s="23" t="n"/>
      <c r="L1070" s="31" t="n"/>
      <c r="M1070" s="24">
        <f>IF($G1070="","",IF($D1070="A国内","CNY","TZS"))</f>
        <v/>
      </c>
      <c r="N1070" s="28">
        <f>IF($G1070="","",IF($D1070="A国内",汇率,1))</f>
        <v/>
      </c>
      <c r="O1070" s="25">
        <f>IF($G1070="","",ROUND(N($K1070)*N($L1070),2))</f>
        <v/>
      </c>
      <c r="P1070" s="26">
        <f>IF($G1070="","",ROUND($O1070*$N1070,0))</f>
        <v/>
      </c>
      <c r="Q1070" s="26">
        <f>IF($G1070="","",SUMIFS($P$4:$P$2503,$E$4:$E$2503,$E1070,$Z$4:$Z$2503,"正常"))</f>
        <v/>
      </c>
      <c r="R1070" s="26">
        <f>IF($G1070="","",SUMIFS(费用台账!$I$4:$I$503,费用台账!$C$4:$C$503,$E1070,费用台账!$J$4:$J$503,"是",费用台账!$K$4:$K$503,"正常"))</f>
        <v/>
      </c>
      <c r="S1070" s="28">
        <f>IF($G1070="","",COUNTIFS($E$4:$E$2503,$E1070,$Z$4:$Z$2503,"正常",$Y$4:$Y$2503,"待补价"))</f>
        <v/>
      </c>
      <c r="T1070" s="26">
        <f>IF($G1070="","",SUMIFS($P$4:$P$2503,$E$4:$E$2503,$E1070,$Z$4:$Z$2503,"正常",$A$4:$A$2503,"&lt;="&amp;$A1070))</f>
        <v/>
      </c>
      <c r="U1070" s="26">
        <f>IF($G1070="","",IF(OR($S1070&gt;0,$Q1070=0,$R1070=0,$Z1070&lt;&gt;"正常"),0,ROUND($T1070/$Q1070*$R1070,0)-ROUND(($T1070-$P1070)/$Q1070*$R1070,0)))</f>
        <v/>
      </c>
      <c r="V1070" s="26">
        <f>IF($G1070="","",ROUND($P1070+$U1070,0))</f>
        <v/>
      </c>
      <c r="W1070" s="26">
        <f>IF($G1070="","",IF(N($K1070)=0,0,ROUND($V1070/$K1070,2)))</f>
        <v/>
      </c>
      <c r="X1070" s="17" t="n"/>
      <c r="Y1070" s="17" t="n"/>
      <c r="Z1070" s="17" t="n"/>
      <c r="AA1070" s="17" t="n"/>
      <c r="AB1070" s="17" t="n"/>
      <c r="AC1070" s="24">
        <f>IF($G1070="","",IF($H1070="※编码不在物料档案里","※物料编码不在档案里",IF(N($K1070)&lt;=0,"※入库数量要大于 0",IF(AND($C1070&lt;&gt;"",$C1070&lt;=结账锁),"※日期早于已结账截止日，不能再录",IF(AND($L1070=0,$X1070="正常"),"※没填单价，价格状态请选「待补价」",IF(AND($S1070&gt;0,$R1070&gt;0),"△本批有 "&amp;$S1070&amp;" 行没单价，整批运费先挂账没摊",IF(AND($B1070&lt;&gt;"",COUNTIF($B$4:$B$2503,$B1070)&gt;1),"※入库单号重复","")))))))</f>
        <v/>
      </c>
    </row>
    <row r="1071">
      <c r="A1071" s="24">
        <f>IF($G1071="","",COUNTA($G$4:$G1071))</f>
        <v/>
      </c>
      <c r="B1071" s="17" t="n"/>
      <c r="C1071" s="30" t="n"/>
      <c r="D1071" s="17" t="n"/>
      <c r="E1071" s="17" t="n"/>
      <c r="F1071" s="17" t="n"/>
      <c r="G1071" s="17" t="n"/>
      <c r="H1071" s="24">
        <f>IF($G1071="","",IFERROR(VLOOKUP($G1071,物料档案!$A$4:$P$1203,3,0),"※编码不在物料档案里"))</f>
        <v/>
      </c>
      <c r="I1071" s="24">
        <f>IF($G1071="","",IFERROR(VLOOKUP($G1071,物料档案!$A$4:$P$1203,4,0),"※编码不在物料档案里"))</f>
        <v/>
      </c>
      <c r="J1071" s="24">
        <f>IF($G1071="","",IFERROR(VLOOKUP($G1071,物料档案!$A$4:$P$1203,5,0),"※编码不在物料档案里"))</f>
        <v/>
      </c>
      <c r="K1071" s="23" t="n"/>
      <c r="L1071" s="31" t="n"/>
      <c r="M1071" s="24">
        <f>IF($G1071="","",IF($D1071="A国内","CNY","TZS"))</f>
        <v/>
      </c>
      <c r="N1071" s="28">
        <f>IF($G1071="","",IF($D1071="A国内",汇率,1))</f>
        <v/>
      </c>
      <c r="O1071" s="25">
        <f>IF($G1071="","",ROUND(N($K1071)*N($L1071),2))</f>
        <v/>
      </c>
      <c r="P1071" s="26">
        <f>IF($G1071="","",ROUND($O1071*$N1071,0))</f>
        <v/>
      </c>
      <c r="Q1071" s="26">
        <f>IF($G1071="","",SUMIFS($P$4:$P$2503,$E$4:$E$2503,$E1071,$Z$4:$Z$2503,"正常"))</f>
        <v/>
      </c>
      <c r="R1071" s="26">
        <f>IF($G1071="","",SUMIFS(费用台账!$I$4:$I$503,费用台账!$C$4:$C$503,$E1071,费用台账!$J$4:$J$503,"是",费用台账!$K$4:$K$503,"正常"))</f>
        <v/>
      </c>
      <c r="S1071" s="28">
        <f>IF($G1071="","",COUNTIFS($E$4:$E$2503,$E1071,$Z$4:$Z$2503,"正常",$Y$4:$Y$2503,"待补价"))</f>
        <v/>
      </c>
      <c r="T1071" s="26">
        <f>IF($G1071="","",SUMIFS($P$4:$P$2503,$E$4:$E$2503,$E1071,$Z$4:$Z$2503,"正常",$A$4:$A$2503,"&lt;="&amp;$A1071))</f>
        <v/>
      </c>
      <c r="U1071" s="26">
        <f>IF($G1071="","",IF(OR($S1071&gt;0,$Q1071=0,$R1071=0,$Z1071&lt;&gt;"正常"),0,ROUND($T1071/$Q1071*$R1071,0)-ROUND(($T1071-$P1071)/$Q1071*$R1071,0)))</f>
        <v/>
      </c>
      <c r="V1071" s="26">
        <f>IF($G1071="","",ROUND($P1071+$U1071,0))</f>
        <v/>
      </c>
      <c r="W1071" s="26">
        <f>IF($G1071="","",IF(N($K1071)=0,0,ROUND($V1071/$K1071,2)))</f>
        <v/>
      </c>
      <c r="X1071" s="17" t="n"/>
      <c r="Y1071" s="17" t="n"/>
      <c r="Z1071" s="17" t="n"/>
      <c r="AA1071" s="17" t="n"/>
      <c r="AB1071" s="17" t="n"/>
      <c r="AC1071" s="24">
        <f>IF($G1071="","",IF($H1071="※编码不在物料档案里","※物料编码不在档案里",IF(N($K1071)&lt;=0,"※入库数量要大于 0",IF(AND($C1071&lt;&gt;"",$C1071&lt;=结账锁),"※日期早于已结账截止日，不能再录",IF(AND($L1071=0,$X1071="正常"),"※没填单价，价格状态请选「待补价」",IF(AND($S1071&gt;0,$R1071&gt;0),"△本批有 "&amp;$S1071&amp;" 行没单价，整批运费先挂账没摊",IF(AND($B1071&lt;&gt;"",COUNTIF($B$4:$B$2503,$B1071)&gt;1),"※入库单号重复","")))))))</f>
        <v/>
      </c>
    </row>
    <row r="1072">
      <c r="A1072" s="24">
        <f>IF($G1072="","",COUNTA($G$4:$G1072))</f>
        <v/>
      </c>
      <c r="B1072" s="17" t="n"/>
      <c r="C1072" s="30" t="n"/>
      <c r="D1072" s="17" t="n"/>
      <c r="E1072" s="17" t="n"/>
      <c r="F1072" s="17" t="n"/>
      <c r="G1072" s="17" t="n"/>
      <c r="H1072" s="24">
        <f>IF($G1072="","",IFERROR(VLOOKUP($G1072,物料档案!$A$4:$P$1203,3,0),"※编码不在物料档案里"))</f>
        <v/>
      </c>
      <c r="I1072" s="24">
        <f>IF($G1072="","",IFERROR(VLOOKUP($G1072,物料档案!$A$4:$P$1203,4,0),"※编码不在物料档案里"))</f>
        <v/>
      </c>
      <c r="J1072" s="24">
        <f>IF($G1072="","",IFERROR(VLOOKUP($G1072,物料档案!$A$4:$P$1203,5,0),"※编码不在物料档案里"))</f>
        <v/>
      </c>
      <c r="K1072" s="23" t="n"/>
      <c r="L1072" s="31" t="n"/>
      <c r="M1072" s="24">
        <f>IF($G1072="","",IF($D1072="A国内","CNY","TZS"))</f>
        <v/>
      </c>
      <c r="N1072" s="28">
        <f>IF($G1072="","",IF($D1072="A国内",汇率,1))</f>
        <v/>
      </c>
      <c r="O1072" s="25">
        <f>IF($G1072="","",ROUND(N($K1072)*N($L1072),2))</f>
        <v/>
      </c>
      <c r="P1072" s="26">
        <f>IF($G1072="","",ROUND($O1072*$N1072,0))</f>
        <v/>
      </c>
      <c r="Q1072" s="26">
        <f>IF($G1072="","",SUMIFS($P$4:$P$2503,$E$4:$E$2503,$E1072,$Z$4:$Z$2503,"正常"))</f>
        <v/>
      </c>
      <c r="R1072" s="26">
        <f>IF($G1072="","",SUMIFS(费用台账!$I$4:$I$503,费用台账!$C$4:$C$503,$E1072,费用台账!$J$4:$J$503,"是",费用台账!$K$4:$K$503,"正常"))</f>
        <v/>
      </c>
      <c r="S1072" s="28">
        <f>IF($G1072="","",COUNTIFS($E$4:$E$2503,$E1072,$Z$4:$Z$2503,"正常",$Y$4:$Y$2503,"待补价"))</f>
        <v/>
      </c>
      <c r="T1072" s="26">
        <f>IF($G1072="","",SUMIFS($P$4:$P$2503,$E$4:$E$2503,$E1072,$Z$4:$Z$2503,"正常",$A$4:$A$2503,"&lt;="&amp;$A1072))</f>
        <v/>
      </c>
      <c r="U1072" s="26">
        <f>IF($G1072="","",IF(OR($S1072&gt;0,$Q1072=0,$R1072=0,$Z1072&lt;&gt;"正常"),0,ROUND($T1072/$Q1072*$R1072,0)-ROUND(($T1072-$P1072)/$Q1072*$R1072,0)))</f>
        <v/>
      </c>
      <c r="V1072" s="26">
        <f>IF($G1072="","",ROUND($P1072+$U1072,0))</f>
        <v/>
      </c>
      <c r="W1072" s="26">
        <f>IF($G1072="","",IF(N($K1072)=0,0,ROUND($V1072/$K1072,2)))</f>
        <v/>
      </c>
      <c r="X1072" s="17" t="n"/>
      <c r="Y1072" s="17" t="n"/>
      <c r="Z1072" s="17" t="n"/>
      <c r="AA1072" s="17" t="n"/>
      <c r="AB1072" s="17" t="n"/>
      <c r="AC1072" s="24">
        <f>IF($G1072="","",IF($H1072="※编码不在物料档案里","※物料编码不在档案里",IF(N($K1072)&lt;=0,"※入库数量要大于 0",IF(AND($C1072&lt;&gt;"",$C1072&lt;=结账锁),"※日期早于已结账截止日，不能再录",IF(AND($L1072=0,$X1072="正常"),"※没填单价，价格状态请选「待补价」",IF(AND($S1072&gt;0,$R1072&gt;0),"△本批有 "&amp;$S1072&amp;" 行没单价，整批运费先挂账没摊",IF(AND($B1072&lt;&gt;"",COUNTIF($B$4:$B$2503,$B1072)&gt;1),"※入库单号重复","")))))))</f>
        <v/>
      </c>
    </row>
    <row r="1073">
      <c r="A1073" s="24">
        <f>IF($G1073="","",COUNTA($G$4:$G1073))</f>
        <v/>
      </c>
      <c r="B1073" s="17" t="n"/>
      <c r="C1073" s="30" t="n"/>
      <c r="D1073" s="17" t="n"/>
      <c r="E1073" s="17" t="n"/>
      <c r="F1073" s="17" t="n"/>
      <c r="G1073" s="17" t="n"/>
      <c r="H1073" s="24">
        <f>IF($G1073="","",IFERROR(VLOOKUP($G1073,物料档案!$A$4:$P$1203,3,0),"※编码不在物料档案里"))</f>
        <v/>
      </c>
      <c r="I1073" s="24">
        <f>IF($G1073="","",IFERROR(VLOOKUP($G1073,物料档案!$A$4:$P$1203,4,0),"※编码不在物料档案里"))</f>
        <v/>
      </c>
      <c r="J1073" s="24">
        <f>IF($G1073="","",IFERROR(VLOOKUP($G1073,物料档案!$A$4:$P$1203,5,0),"※编码不在物料档案里"))</f>
        <v/>
      </c>
      <c r="K1073" s="23" t="n"/>
      <c r="L1073" s="31" t="n"/>
      <c r="M1073" s="24">
        <f>IF($G1073="","",IF($D1073="A国内","CNY","TZS"))</f>
        <v/>
      </c>
      <c r="N1073" s="28">
        <f>IF($G1073="","",IF($D1073="A国内",汇率,1))</f>
        <v/>
      </c>
      <c r="O1073" s="25">
        <f>IF($G1073="","",ROUND(N($K1073)*N($L1073),2))</f>
        <v/>
      </c>
      <c r="P1073" s="26">
        <f>IF($G1073="","",ROUND($O1073*$N1073,0))</f>
        <v/>
      </c>
      <c r="Q1073" s="26">
        <f>IF($G1073="","",SUMIFS($P$4:$P$2503,$E$4:$E$2503,$E1073,$Z$4:$Z$2503,"正常"))</f>
        <v/>
      </c>
      <c r="R1073" s="26">
        <f>IF($G1073="","",SUMIFS(费用台账!$I$4:$I$503,费用台账!$C$4:$C$503,$E1073,费用台账!$J$4:$J$503,"是",费用台账!$K$4:$K$503,"正常"))</f>
        <v/>
      </c>
      <c r="S1073" s="28">
        <f>IF($G1073="","",COUNTIFS($E$4:$E$2503,$E1073,$Z$4:$Z$2503,"正常",$Y$4:$Y$2503,"待补价"))</f>
        <v/>
      </c>
      <c r="T1073" s="26">
        <f>IF($G1073="","",SUMIFS($P$4:$P$2503,$E$4:$E$2503,$E1073,$Z$4:$Z$2503,"正常",$A$4:$A$2503,"&lt;="&amp;$A1073))</f>
        <v/>
      </c>
      <c r="U1073" s="26">
        <f>IF($G1073="","",IF(OR($S1073&gt;0,$Q1073=0,$R1073=0,$Z1073&lt;&gt;"正常"),0,ROUND($T1073/$Q1073*$R1073,0)-ROUND(($T1073-$P1073)/$Q1073*$R1073,0)))</f>
        <v/>
      </c>
      <c r="V1073" s="26">
        <f>IF($G1073="","",ROUND($P1073+$U1073,0))</f>
        <v/>
      </c>
      <c r="W1073" s="26">
        <f>IF($G1073="","",IF(N($K1073)=0,0,ROUND($V1073/$K1073,2)))</f>
        <v/>
      </c>
      <c r="X1073" s="17" t="n"/>
      <c r="Y1073" s="17" t="n"/>
      <c r="Z1073" s="17" t="n"/>
      <c r="AA1073" s="17" t="n"/>
      <c r="AB1073" s="17" t="n"/>
      <c r="AC1073" s="24">
        <f>IF($G1073="","",IF($H1073="※编码不在物料档案里","※物料编码不在档案里",IF(N($K1073)&lt;=0,"※入库数量要大于 0",IF(AND($C1073&lt;&gt;"",$C1073&lt;=结账锁),"※日期早于已结账截止日，不能再录",IF(AND($L1073=0,$X1073="正常"),"※没填单价，价格状态请选「待补价」",IF(AND($S1073&gt;0,$R1073&gt;0),"△本批有 "&amp;$S1073&amp;" 行没单价，整批运费先挂账没摊",IF(AND($B1073&lt;&gt;"",COUNTIF($B$4:$B$2503,$B1073)&gt;1),"※入库单号重复","")))))))</f>
        <v/>
      </c>
    </row>
    <row r="1074">
      <c r="A1074" s="24">
        <f>IF($G1074="","",COUNTA($G$4:$G1074))</f>
        <v/>
      </c>
      <c r="B1074" s="17" t="n"/>
      <c r="C1074" s="30" t="n"/>
      <c r="D1074" s="17" t="n"/>
      <c r="E1074" s="17" t="n"/>
      <c r="F1074" s="17" t="n"/>
      <c r="G1074" s="17" t="n"/>
      <c r="H1074" s="24">
        <f>IF($G1074="","",IFERROR(VLOOKUP($G1074,物料档案!$A$4:$P$1203,3,0),"※编码不在物料档案里"))</f>
        <v/>
      </c>
      <c r="I1074" s="24">
        <f>IF($G1074="","",IFERROR(VLOOKUP($G1074,物料档案!$A$4:$P$1203,4,0),"※编码不在物料档案里"))</f>
        <v/>
      </c>
      <c r="J1074" s="24">
        <f>IF($G1074="","",IFERROR(VLOOKUP($G1074,物料档案!$A$4:$P$1203,5,0),"※编码不在物料档案里"))</f>
        <v/>
      </c>
      <c r="K1074" s="23" t="n"/>
      <c r="L1074" s="31" t="n"/>
      <c r="M1074" s="24">
        <f>IF($G1074="","",IF($D1074="A国内","CNY","TZS"))</f>
        <v/>
      </c>
      <c r="N1074" s="28">
        <f>IF($G1074="","",IF($D1074="A国内",汇率,1))</f>
        <v/>
      </c>
      <c r="O1074" s="25">
        <f>IF($G1074="","",ROUND(N($K1074)*N($L1074),2))</f>
        <v/>
      </c>
      <c r="P1074" s="26">
        <f>IF($G1074="","",ROUND($O1074*$N1074,0))</f>
        <v/>
      </c>
      <c r="Q1074" s="26">
        <f>IF($G1074="","",SUMIFS($P$4:$P$2503,$E$4:$E$2503,$E1074,$Z$4:$Z$2503,"正常"))</f>
        <v/>
      </c>
      <c r="R1074" s="26">
        <f>IF($G1074="","",SUMIFS(费用台账!$I$4:$I$503,费用台账!$C$4:$C$503,$E1074,费用台账!$J$4:$J$503,"是",费用台账!$K$4:$K$503,"正常"))</f>
        <v/>
      </c>
      <c r="S1074" s="28">
        <f>IF($G1074="","",COUNTIFS($E$4:$E$2503,$E1074,$Z$4:$Z$2503,"正常",$Y$4:$Y$2503,"待补价"))</f>
        <v/>
      </c>
      <c r="T1074" s="26">
        <f>IF($G1074="","",SUMIFS($P$4:$P$2503,$E$4:$E$2503,$E1074,$Z$4:$Z$2503,"正常",$A$4:$A$2503,"&lt;="&amp;$A1074))</f>
        <v/>
      </c>
      <c r="U1074" s="26">
        <f>IF($G1074="","",IF(OR($S1074&gt;0,$Q1074=0,$R1074=0,$Z1074&lt;&gt;"正常"),0,ROUND($T1074/$Q1074*$R1074,0)-ROUND(($T1074-$P1074)/$Q1074*$R1074,0)))</f>
        <v/>
      </c>
      <c r="V1074" s="26">
        <f>IF($G1074="","",ROUND($P1074+$U1074,0))</f>
        <v/>
      </c>
      <c r="W1074" s="26">
        <f>IF($G1074="","",IF(N($K1074)=0,0,ROUND($V1074/$K1074,2)))</f>
        <v/>
      </c>
      <c r="X1074" s="17" t="n"/>
      <c r="Y1074" s="17" t="n"/>
      <c r="Z1074" s="17" t="n"/>
      <c r="AA1074" s="17" t="n"/>
      <c r="AB1074" s="17" t="n"/>
      <c r="AC1074" s="24">
        <f>IF($G1074="","",IF($H1074="※编码不在物料档案里","※物料编码不在档案里",IF(N($K1074)&lt;=0,"※入库数量要大于 0",IF(AND($C1074&lt;&gt;"",$C1074&lt;=结账锁),"※日期早于已结账截止日，不能再录",IF(AND($L1074=0,$X1074="正常"),"※没填单价，价格状态请选「待补价」",IF(AND($S1074&gt;0,$R1074&gt;0),"△本批有 "&amp;$S1074&amp;" 行没单价，整批运费先挂账没摊",IF(AND($B1074&lt;&gt;"",COUNTIF($B$4:$B$2503,$B1074)&gt;1),"※入库单号重复","")))))))</f>
        <v/>
      </c>
    </row>
    <row r="1075">
      <c r="A1075" s="24">
        <f>IF($G1075="","",COUNTA($G$4:$G1075))</f>
        <v/>
      </c>
      <c r="B1075" s="17" t="n"/>
      <c r="C1075" s="30" t="n"/>
      <c r="D1075" s="17" t="n"/>
      <c r="E1075" s="17" t="n"/>
      <c r="F1075" s="17" t="n"/>
      <c r="G1075" s="17" t="n"/>
      <c r="H1075" s="24">
        <f>IF($G1075="","",IFERROR(VLOOKUP($G1075,物料档案!$A$4:$P$1203,3,0),"※编码不在物料档案里"))</f>
        <v/>
      </c>
      <c r="I1075" s="24">
        <f>IF($G1075="","",IFERROR(VLOOKUP($G1075,物料档案!$A$4:$P$1203,4,0),"※编码不在物料档案里"))</f>
        <v/>
      </c>
      <c r="J1075" s="24">
        <f>IF($G1075="","",IFERROR(VLOOKUP($G1075,物料档案!$A$4:$P$1203,5,0),"※编码不在物料档案里"))</f>
        <v/>
      </c>
      <c r="K1075" s="23" t="n"/>
      <c r="L1075" s="31" t="n"/>
      <c r="M1075" s="24">
        <f>IF($G1075="","",IF($D1075="A国内","CNY","TZS"))</f>
        <v/>
      </c>
      <c r="N1075" s="28">
        <f>IF($G1075="","",IF($D1075="A国内",汇率,1))</f>
        <v/>
      </c>
      <c r="O1075" s="25">
        <f>IF($G1075="","",ROUND(N($K1075)*N($L1075),2))</f>
        <v/>
      </c>
      <c r="P1075" s="26">
        <f>IF($G1075="","",ROUND($O1075*$N1075,0))</f>
        <v/>
      </c>
      <c r="Q1075" s="26">
        <f>IF($G1075="","",SUMIFS($P$4:$P$2503,$E$4:$E$2503,$E1075,$Z$4:$Z$2503,"正常"))</f>
        <v/>
      </c>
      <c r="R1075" s="26">
        <f>IF($G1075="","",SUMIFS(费用台账!$I$4:$I$503,费用台账!$C$4:$C$503,$E1075,费用台账!$J$4:$J$503,"是",费用台账!$K$4:$K$503,"正常"))</f>
        <v/>
      </c>
      <c r="S1075" s="28">
        <f>IF($G1075="","",COUNTIFS($E$4:$E$2503,$E1075,$Z$4:$Z$2503,"正常",$Y$4:$Y$2503,"待补价"))</f>
        <v/>
      </c>
      <c r="T1075" s="26">
        <f>IF($G1075="","",SUMIFS($P$4:$P$2503,$E$4:$E$2503,$E1075,$Z$4:$Z$2503,"正常",$A$4:$A$2503,"&lt;="&amp;$A1075))</f>
        <v/>
      </c>
      <c r="U1075" s="26">
        <f>IF($G1075="","",IF(OR($S1075&gt;0,$Q1075=0,$R1075=0,$Z1075&lt;&gt;"正常"),0,ROUND($T1075/$Q1075*$R1075,0)-ROUND(($T1075-$P1075)/$Q1075*$R1075,0)))</f>
        <v/>
      </c>
      <c r="V1075" s="26">
        <f>IF($G1075="","",ROUND($P1075+$U1075,0))</f>
        <v/>
      </c>
      <c r="W1075" s="26">
        <f>IF($G1075="","",IF(N($K1075)=0,0,ROUND($V1075/$K1075,2)))</f>
        <v/>
      </c>
      <c r="X1075" s="17" t="n"/>
      <c r="Y1075" s="17" t="n"/>
      <c r="Z1075" s="17" t="n"/>
      <c r="AA1075" s="17" t="n"/>
      <c r="AB1075" s="17" t="n"/>
      <c r="AC1075" s="24">
        <f>IF($G1075="","",IF($H1075="※编码不在物料档案里","※物料编码不在档案里",IF(N($K1075)&lt;=0,"※入库数量要大于 0",IF(AND($C1075&lt;&gt;"",$C1075&lt;=结账锁),"※日期早于已结账截止日，不能再录",IF(AND($L1075=0,$X1075="正常"),"※没填单价，价格状态请选「待补价」",IF(AND($S1075&gt;0,$R1075&gt;0),"△本批有 "&amp;$S1075&amp;" 行没单价，整批运费先挂账没摊",IF(AND($B1075&lt;&gt;"",COUNTIF($B$4:$B$2503,$B1075)&gt;1),"※入库单号重复","")))))))</f>
        <v/>
      </c>
    </row>
    <row r="1076">
      <c r="A1076" s="24">
        <f>IF($G1076="","",COUNTA($G$4:$G1076))</f>
        <v/>
      </c>
      <c r="B1076" s="17" t="n"/>
      <c r="C1076" s="30" t="n"/>
      <c r="D1076" s="17" t="n"/>
      <c r="E1076" s="17" t="n"/>
      <c r="F1076" s="17" t="n"/>
      <c r="G1076" s="17" t="n"/>
      <c r="H1076" s="24">
        <f>IF($G1076="","",IFERROR(VLOOKUP($G1076,物料档案!$A$4:$P$1203,3,0),"※编码不在物料档案里"))</f>
        <v/>
      </c>
      <c r="I1076" s="24">
        <f>IF($G1076="","",IFERROR(VLOOKUP($G1076,物料档案!$A$4:$P$1203,4,0),"※编码不在物料档案里"))</f>
        <v/>
      </c>
      <c r="J1076" s="24">
        <f>IF($G1076="","",IFERROR(VLOOKUP($G1076,物料档案!$A$4:$P$1203,5,0),"※编码不在物料档案里"))</f>
        <v/>
      </c>
      <c r="K1076" s="23" t="n"/>
      <c r="L1076" s="31" t="n"/>
      <c r="M1076" s="24">
        <f>IF($G1076="","",IF($D1076="A国内","CNY","TZS"))</f>
        <v/>
      </c>
      <c r="N1076" s="28">
        <f>IF($G1076="","",IF($D1076="A国内",汇率,1))</f>
        <v/>
      </c>
      <c r="O1076" s="25">
        <f>IF($G1076="","",ROUND(N($K1076)*N($L1076),2))</f>
        <v/>
      </c>
      <c r="P1076" s="26">
        <f>IF($G1076="","",ROUND($O1076*$N1076,0))</f>
        <v/>
      </c>
      <c r="Q1076" s="26">
        <f>IF($G1076="","",SUMIFS($P$4:$P$2503,$E$4:$E$2503,$E1076,$Z$4:$Z$2503,"正常"))</f>
        <v/>
      </c>
      <c r="R1076" s="26">
        <f>IF($G1076="","",SUMIFS(费用台账!$I$4:$I$503,费用台账!$C$4:$C$503,$E1076,费用台账!$J$4:$J$503,"是",费用台账!$K$4:$K$503,"正常"))</f>
        <v/>
      </c>
      <c r="S1076" s="28">
        <f>IF($G1076="","",COUNTIFS($E$4:$E$2503,$E1076,$Z$4:$Z$2503,"正常",$Y$4:$Y$2503,"待补价"))</f>
        <v/>
      </c>
      <c r="T1076" s="26">
        <f>IF($G1076="","",SUMIFS($P$4:$P$2503,$E$4:$E$2503,$E1076,$Z$4:$Z$2503,"正常",$A$4:$A$2503,"&lt;="&amp;$A1076))</f>
        <v/>
      </c>
      <c r="U1076" s="26">
        <f>IF($G1076="","",IF(OR($S1076&gt;0,$Q1076=0,$R1076=0,$Z1076&lt;&gt;"正常"),0,ROUND($T1076/$Q1076*$R1076,0)-ROUND(($T1076-$P1076)/$Q1076*$R1076,0)))</f>
        <v/>
      </c>
      <c r="V1076" s="26">
        <f>IF($G1076="","",ROUND($P1076+$U1076,0))</f>
        <v/>
      </c>
      <c r="W1076" s="26">
        <f>IF($G1076="","",IF(N($K1076)=0,0,ROUND($V1076/$K1076,2)))</f>
        <v/>
      </c>
      <c r="X1076" s="17" t="n"/>
      <c r="Y1076" s="17" t="n"/>
      <c r="Z1076" s="17" t="n"/>
      <c r="AA1076" s="17" t="n"/>
      <c r="AB1076" s="17" t="n"/>
      <c r="AC1076" s="24">
        <f>IF($G1076="","",IF($H1076="※编码不在物料档案里","※物料编码不在档案里",IF(N($K1076)&lt;=0,"※入库数量要大于 0",IF(AND($C1076&lt;&gt;"",$C1076&lt;=结账锁),"※日期早于已结账截止日，不能再录",IF(AND($L1076=0,$X1076="正常"),"※没填单价，价格状态请选「待补价」",IF(AND($S1076&gt;0,$R1076&gt;0),"△本批有 "&amp;$S1076&amp;" 行没单价，整批运费先挂账没摊",IF(AND($B1076&lt;&gt;"",COUNTIF($B$4:$B$2503,$B1076)&gt;1),"※入库单号重复","")))))))</f>
        <v/>
      </c>
    </row>
    <row r="1077">
      <c r="A1077" s="24">
        <f>IF($G1077="","",COUNTA($G$4:$G1077))</f>
        <v/>
      </c>
      <c r="B1077" s="17" t="n"/>
      <c r="C1077" s="30" t="n"/>
      <c r="D1077" s="17" t="n"/>
      <c r="E1077" s="17" t="n"/>
      <c r="F1077" s="17" t="n"/>
      <c r="G1077" s="17" t="n"/>
      <c r="H1077" s="24">
        <f>IF($G1077="","",IFERROR(VLOOKUP($G1077,物料档案!$A$4:$P$1203,3,0),"※编码不在物料档案里"))</f>
        <v/>
      </c>
      <c r="I1077" s="24">
        <f>IF($G1077="","",IFERROR(VLOOKUP($G1077,物料档案!$A$4:$P$1203,4,0),"※编码不在物料档案里"))</f>
        <v/>
      </c>
      <c r="J1077" s="24">
        <f>IF($G1077="","",IFERROR(VLOOKUP($G1077,物料档案!$A$4:$P$1203,5,0),"※编码不在物料档案里"))</f>
        <v/>
      </c>
      <c r="K1077" s="23" t="n"/>
      <c r="L1077" s="31" t="n"/>
      <c r="M1077" s="24">
        <f>IF($G1077="","",IF($D1077="A国内","CNY","TZS"))</f>
        <v/>
      </c>
      <c r="N1077" s="28">
        <f>IF($G1077="","",IF($D1077="A国内",汇率,1))</f>
        <v/>
      </c>
      <c r="O1077" s="25">
        <f>IF($G1077="","",ROUND(N($K1077)*N($L1077),2))</f>
        <v/>
      </c>
      <c r="P1077" s="26">
        <f>IF($G1077="","",ROUND($O1077*$N1077,0))</f>
        <v/>
      </c>
      <c r="Q1077" s="26">
        <f>IF($G1077="","",SUMIFS($P$4:$P$2503,$E$4:$E$2503,$E1077,$Z$4:$Z$2503,"正常"))</f>
        <v/>
      </c>
      <c r="R1077" s="26">
        <f>IF($G1077="","",SUMIFS(费用台账!$I$4:$I$503,费用台账!$C$4:$C$503,$E1077,费用台账!$J$4:$J$503,"是",费用台账!$K$4:$K$503,"正常"))</f>
        <v/>
      </c>
      <c r="S1077" s="28">
        <f>IF($G1077="","",COUNTIFS($E$4:$E$2503,$E1077,$Z$4:$Z$2503,"正常",$Y$4:$Y$2503,"待补价"))</f>
        <v/>
      </c>
      <c r="T1077" s="26">
        <f>IF($G1077="","",SUMIFS($P$4:$P$2503,$E$4:$E$2503,$E1077,$Z$4:$Z$2503,"正常",$A$4:$A$2503,"&lt;="&amp;$A1077))</f>
        <v/>
      </c>
      <c r="U1077" s="26">
        <f>IF($G1077="","",IF(OR($S1077&gt;0,$Q1077=0,$R1077=0,$Z1077&lt;&gt;"正常"),0,ROUND($T1077/$Q1077*$R1077,0)-ROUND(($T1077-$P1077)/$Q1077*$R1077,0)))</f>
        <v/>
      </c>
      <c r="V1077" s="26">
        <f>IF($G1077="","",ROUND($P1077+$U1077,0))</f>
        <v/>
      </c>
      <c r="W1077" s="26">
        <f>IF($G1077="","",IF(N($K1077)=0,0,ROUND($V1077/$K1077,2)))</f>
        <v/>
      </c>
      <c r="X1077" s="17" t="n"/>
      <c r="Y1077" s="17" t="n"/>
      <c r="Z1077" s="17" t="n"/>
      <c r="AA1077" s="17" t="n"/>
      <c r="AB1077" s="17" t="n"/>
      <c r="AC1077" s="24">
        <f>IF($G1077="","",IF($H1077="※编码不在物料档案里","※物料编码不在档案里",IF(N($K1077)&lt;=0,"※入库数量要大于 0",IF(AND($C1077&lt;&gt;"",$C1077&lt;=结账锁),"※日期早于已结账截止日，不能再录",IF(AND($L1077=0,$X1077="正常"),"※没填单价，价格状态请选「待补价」",IF(AND($S1077&gt;0,$R1077&gt;0),"△本批有 "&amp;$S1077&amp;" 行没单价，整批运费先挂账没摊",IF(AND($B1077&lt;&gt;"",COUNTIF($B$4:$B$2503,$B1077)&gt;1),"※入库单号重复","")))))))</f>
        <v/>
      </c>
    </row>
    <row r="1078">
      <c r="A1078" s="24">
        <f>IF($G1078="","",COUNTA($G$4:$G1078))</f>
        <v/>
      </c>
      <c r="B1078" s="17" t="n"/>
      <c r="C1078" s="30" t="n"/>
      <c r="D1078" s="17" t="n"/>
      <c r="E1078" s="17" t="n"/>
      <c r="F1078" s="17" t="n"/>
      <c r="G1078" s="17" t="n"/>
      <c r="H1078" s="24">
        <f>IF($G1078="","",IFERROR(VLOOKUP($G1078,物料档案!$A$4:$P$1203,3,0),"※编码不在物料档案里"))</f>
        <v/>
      </c>
      <c r="I1078" s="24">
        <f>IF($G1078="","",IFERROR(VLOOKUP($G1078,物料档案!$A$4:$P$1203,4,0),"※编码不在物料档案里"))</f>
        <v/>
      </c>
      <c r="J1078" s="24">
        <f>IF($G1078="","",IFERROR(VLOOKUP($G1078,物料档案!$A$4:$P$1203,5,0),"※编码不在物料档案里"))</f>
        <v/>
      </c>
      <c r="K1078" s="23" t="n"/>
      <c r="L1078" s="31" t="n"/>
      <c r="M1078" s="24">
        <f>IF($G1078="","",IF($D1078="A国内","CNY","TZS"))</f>
        <v/>
      </c>
      <c r="N1078" s="28">
        <f>IF($G1078="","",IF($D1078="A国内",汇率,1))</f>
        <v/>
      </c>
      <c r="O1078" s="25">
        <f>IF($G1078="","",ROUND(N($K1078)*N($L1078),2))</f>
        <v/>
      </c>
      <c r="P1078" s="26">
        <f>IF($G1078="","",ROUND($O1078*$N1078,0))</f>
        <v/>
      </c>
      <c r="Q1078" s="26">
        <f>IF($G1078="","",SUMIFS($P$4:$P$2503,$E$4:$E$2503,$E1078,$Z$4:$Z$2503,"正常"))</f>
        <v/>
      </c>
      <c r="R1078" s="26">
        <f>IF($G1078="","",SUMIFS(费用台账!$I$4:$I$503,费用台账!$C$4:$C$503,$E1078,费用台账!$J$4:$J$503,"是",费用台账!$K$4:$K$503,"正常"))</f>
        <v/>
      </c>
      <c r="S1078" s="28">
        <f>IF($G1078="","",COUNTIFS($E$4:$E$2503,$E1078,$Z$4:$Z$2503,"正常",$Y$4:$Y$2503,"待补价"))</f>
        <v/>
      </c>
      <c r="T1078" s="26">
        <f>IF($G1078="","",SUMIFS($P$4:$P$2503,$E$4:$E$2503,$E1078,$Z$4:$Z$2503,"正常",$A$4:$A$2503,"&lt;="&amp;$A1078))</f>
        <v/>
      </c>
      <c r="U1078" s="26">
        <f>IF($G1078="","",IF(OR($S1078&gt;0,$Q1078=0,$R1078=0,$Z1078&lt;&gt;"正常"),0,ROUND($T1078/$Q1078*$R1078,0)-ROUND(($T1078-$P1078)/$Q1078*$R1078,0)))</f>
        <v/>
      </c>
      <c r="V1078" s="26">
        <f>IF($G1078="","",ROUND($P1078+$U1078,0))</f>
        <v/>
      </c>
      <c r="W1078" s="26">
        <f>IF($G1078="","",IF(N($K1078)=0,0,ROUND($V1078/$K1078,2)))</f>
        <v/>
      </c>
      <c r="X1078" s="17" t="n"/>
      <c r="Y1078" s="17" t="n"/>
      <c r="Z1078" s="17" t="n"/>
      <c r="AA1078" s="17" t="n"/>
      <c r="AB1078" s="17" t="n"/>
      <c r="AC1078" s="24">
        <f>IF($G1078="","",IF($H1078="※编码不在物料档案里","※物料编码不在档案里",IF(N($K1078)&lt;=0,"※入库数量要大于 0",IF(AND($C1078&lt;&gt;"",$C1078&lt;=结账锁),"※日期早于已结账截止日，不能再录",IF(AND($L1078=0,$X1078="正常"),"※没填单价，价格状态请选「待补价」",IF(AND($S1078&gt;0,$R1078&gt;0),"△本批有 "&amp;$S1078&amp;" 行没单价，整批运费先挂账没摊",IF(AND($B1078&lt;&gt;"",COUNTIF($B$4:$B$2503,$B1078)&gt;1),"※入库单号重复","")))))))</f>
        <v/>
      </c>
    </row>
    <row r="1079">
      <c r="A1079" s="24">
        <f>IF($G1079="","",COUNTA($G$4:$G1079))</f>
        <v/>
      </c>
      <c r="B1079" s="17" t="n"/>
      <c r="C1079" s="30" t="n"/>
      <c r="D1079" s="17" t="n"/>
      <c r="E1079" s="17" t="n"/>
      <c r="F1079" s="17" t="n"/>
      <c r="G1079" s="17" t="n"/>
      <c r="H1079" s="24">
        <f>IF($G1079="","",IFERROR(VLOOKUP($G1079,物料档案!$A$4:$P$1203,3,0),"※编码不在物料档案里"))</f>
        <v/>
      </c>
      <c r="I1079" s="24">
        <f>IF($G1079="","",IFERROR(VLOOKUP($G1079,物料档案!$A$4:$P$1203,4,0),"※编码不在物料档案里"))</f>
        <v/>
      </c>
      <c r="J1079" s="24">
        <f>IF($G1079="","",IFERROR(VLOOKUP($G1079,物料档案!$A$4:$P$1203,5,0),"※编码不在物料档案里"))</f>
        <v/>
      </c>
      <c r="K1079" s="23" t="n"/>
      <c r="L1079" s="31" t="n"/>
      <c r="M1079" s="24">
        <f>IF($G1079="","",IF($D1079="A国内","CNY","TZS"))</f>
        <v/>
      </c>
      <c r="N1079" s="28">
        <f>IF($G1079="","",IF($D1079="A国内",汇率,1))</f>
        <v/>
      </c>
      <c r="O1079" s="25">
        <f>IF($G1079="","",ROUND(N($K1079)*N($L1079),2))</f>
        <v/>
      </c>
      <c r="P1079" s="26">
        <f>IF($G1079="","",ROUND($O1079*$N1079,0))</f>
        <v/>
      </c>
      <c r="Q1079" s="26">
        <f>IF($G1079="","",SUMIFS($P$4:$P$2503,$E$4:$E$2503,$E1079,$Z$4:$Z$2503,"正常"))</f>
        <v/>
      </c>
      <c r="R1079" s="26">
        <f>IF($G1079="","",SUMIFS(费用台账!$I$4:$I$503,费用台账!$C$4:$C$503,$E1079,费用台账!$J$4:$J$503,"是",费用台账!$K$4:$K$503,"正常"))</f>
        <v/>
      </c>
      <c r="S1079" s="28">
        <f>IF($G1079="","",COUNTIFS($E$4:$E$2503,$E1079,$Z$4:$Z$2503,"正常",$Y$4:$Y$2503,"待补价"))</f>
        <v/>
      </c>
      <c r="T1079" s="26">
        <f>IF($G1079="","",SUMIFS($P$4:$P$2503,$E$4:$E$2503,$E1079,$Z$4:$Z$2503,"正常",$A$4:$A$2503,"&lt;="&amp;$A1079))</f>
        <v/>
      </c>
      <c r="U1079" s="26">
        <f>IF($G1079="","",IF(OR($S1079&gt;0,$Q1079=0,$R1079=0,$Z1079&lt;&gt;"正常"),0,ROUND($T1079/$Q1079*$R1079,0)-ROUND(($T1079-$P1079)/$Q1079*$R1079,0)))</f>
        <v/>
      </c>
      <c r="V1079" s="26">
        <f>IF($G1079="","",ROUND($P1079+$U1079,0))</f>
        <v/>
      </c>
      <c r="W1079" s="26">
        <f>IF($G1079="","",IF(N($K1079)=0,0,ROUND($V1079/$K1079,2)))</f>
        <v/>
      </c>
      <c r="X1079" s="17" t="n"/>
      <c r="Y1079" s="17" t="n"/>
      <c r="Z1079" s="17" t="n"/>
      <c r="AA1079" s="17" t="n"/>
      <c r="AB1079" s="17" t="n"/>
      <c r="AC1079" s="24">
        <f>IF($G1079="","",IF($H1079="※编码不在物料档案里","※物料编码不在档案里",IF(N($K1079)&lt;=0,"※入库数量要大于 0",IF(AND($C1079&lt;&gt;"",$C1079&lt;=结账锁),"※日期早于已结账截止日，不能再录",IF(AND($L1079=0,$X1079="正常"),"※没填单价，价格状态请选「待补价」",IF(AND($S1079&gt;0,$R1079&gt;0),"△本批有 "&amp;$S1079&amp;" 行没单价，整批运费先挂账没摊",IF(AND($B1079&lt;&gt;"",COUNTIF($B$4:$B$2503,$B1079)&gt;1),"※入库单号重复","")))))))</f>
        <v/>
      </c>
    </row>
    <row r="1080">
      <c r="A1080" s="24">
        <f>IF($G1080="","",COUNTA($G$4:$G1080))</f>
        <v/>
      </c>
      <c r="B1080" s="17" t="n"/>
      <c r="C1080" s="30" t="n"/>
      <c r="D1080" s="17" t="n"/>
      <c r="E1080" s="17" t="n"/>
      <c r="F1080" s="17" t="n"/>
      <c r="G1080" s="17" t="n"/>
      <c r="H1080" s="24">
        <f>IF($G1080="","",IFERROR(VLOOKUP($G1080,物料档案!$A$4:$P$1203,3,0),"※编码不在物料档案里"))</f>
        <v/>
      </c>
      <c r="I1080" s="24">
        <f>IF($G1080="","",IFERROR(VLOOKUP($G1080,物料档案!$A$4:$P$1203,4,0),"※编码不在物料档案里"))</f>
        <v/>
      </c>
      <c r="J1080" s="24">
        <f>IF($G1080="","",IFERROR(VLOOKUP($G1080,物料档案!$A$4:$P$1203,5,0),"※编码不在物料档案里"))</f>
        <v/>
      </c>
      <c r="K1080" s="23" t="n"/>
      <c r="L1080" s="31" t="n"/>
      <c r="M1080" s="24">
        <f>IF($G1080="","",IF($D1080="A国内","CNY","TZS"))</f>
        <v/>
      </c>
      <c r="N1080" s="28">
        <f>IF($G1080="","",IF($D1080="A国内",汇率,1))</f>
        <v/>
      </c>
      <c r="O1080" s="25">
        <f>IF($G1080="","",ROUND(N($K1080)*N($L1080),2))</f>
        <v/>
      </c>
      <c r="P1080" s="26">
        <f>IF($G1080="","",ROUND($O1080*$N1080,0))</f>
        <v/>
      </c>
      <c r="Q1080" s="26">
        <f>IF($G1080="","",SUMIFS($P$4:$P$2503,$E$4:$E$2503,$E1080,$Z$4:$Z$2503,"正常"))</f>
        <v/>
      </c>
      <c r="R1080" s="26">
        <f>IF($G1080="","",SUMIFS(费用台账!$I$4:$I$503,费用台账!$C$4:$C$503,$E1080,费用台账!$J$4:$J$503,"是",费用台账!$K$4:$K$503,"正常"))</f>
        <v/>
      </c>
      <c r="S1080" s="28">
        <f>IF($G1080="","",COUNTIFS($E$4:$E$2503,$E1080,$Z$4:$Z$2503,"正常",$Y$4:$Y$2503,"待补价"))</f>
        <v/>
      </c>
      <c r="T1080" s="26">
        <f>IF($G1080="","",SUMIFS($P$4:$P$2503,$E$4:$E$2503,$E1080,$Z$4:$Z$2503,"正常",$A$4:$A$2503,"&lt;="&amp;$A1080))</f>
        <v/>
      </c>
      <c r="U1080" s="26">
        <f>IF($G1080="","",IF(OR($S1080&gt;0,$Q1080=0,$R1080=0,$Z1080&lt;&gt;"正常"),0,ROUND($T1080/$Q1080*$R1080,0)-ROUND(($T1080-$P1080)/$Q1080*$R1080,0)))</f>
        <v/>
      </c>
      <c r="V1080" s="26">
        <f>IF($G1080="","",ROUND($P1080+$U1080,0))</f>
        <v/>
      </c>
      <c r="W1080" s="26">
        <f>IF($G1080="","",IF(N($K1080)=0,0,ROUND($V1080/$K1080,2)))</f>
        <v/>
      </c>
      <c r="X1080" s="17" t="n"/>
      <c r="Y1080" s="17" t="n"/>
      <c r="Z1080" s="17" t="n"/>
      <c r="AA1080" s="17" t="n"/>
      <c r="AB1080" s="17" t="n"/>
      <c r="AC1080" s="24">
        <f>IF($G1080="","",IF($H1080="※编码不在物料档案里","※物料编码不在档案里",IF(N($K1080)&lt;=0,"※入库数量要大于 0",IF(AND($C1080&lt;&gt;"",$C1080&lt;=结账锁),"※日期早于已结账截止日，不能再录",IF(AND($L1080=0,$X1080="正常"),"※没填单价，价格状态请选「待补价」",IF(AND($S1080&gt;0,$R1080&gt;0),"△本批有 "&amp;$S1080&amp;" 行没单价，整批运费先挂账没摊",IF(AND($B1080&lt;&gt;"",COUNTIF($B$4:$B$2503,$B1080)&gt;1),"※入库单号重复","")))))))</f>
        <v/>
      </c>
    </row>
    <row r="1081">
      <c r="A1081" s="24">
        <f>IF($G1081="","",COUNTA($G$4:$G1081))</f>
        <v/>
      </c>
      <c r="B1081" s="17" t="n"/>
      <c r="C1081" s="30" t="n"/>
      <c r="D1081" s="17" t="n"/>
      <c r="E1081" s="17" t="n"/>
      <c r="F1081" s="17" t="n"/>
      <c r="G1081" s="17" t="n"/>
      <c r="H1081" s="24">
        <f>IF($G1081="","",IFERROR(VLOOKUP($G1081,物料档案!$A$4:$P$1203,3,0),"※编码不在物料档案里"))</f>
        <v/>
      </c>
      <c r="I1081" s="24">
        <f>IF($G1081="","",IFERROR(VLOOKUP($G1081,物料档案!$A$4:$P$1203,4,0),"※编码不在物料档案里"))</f>
        <v/>
      </c>
      <c r="J1081" s="24">
        <f>IF($G1081="","",IFERROR(VLOOKUP($G1081,物料档案!$A$4:$P$1203,5,0),"※编码不在物料档案里"))</f>
        <v/>
      </c>
      <c r="K1081" s="23" t="n"/>
      <c r="L1081" s="31" t="n"/>
      <c r="M1081" s="24">
        <f>IF($G1081="","",IF($D1081="A国内","CNY","TZS"))</f>
        <v/>
      </c>
      <c r="N1081" s="28">
        <f>IF($G1081="","",IF($D1081="A国内",汇率,1))</f>
        <v/>
      </c>
      <c r="O1081" s="25">
        <f>IF($G1081="","",ROUND(N($K1081)*N($L1081),2))</f>
        <v/>
      </c>
      <c r="P1081" s="26">
        <f>IF($G1081="","",ROUND($O1081*$N1081,0))</f>
        <v/>
      </c>
      <c r="Q1081" s="26">
        <f>IF($G1081="","",SUMIFS($P$4:$P$2503,$E$4:$E$2503,$E1081,$Z$4:$Z$2503,"正常"))</f>
        <v/>
      </c>
      <c r="R1081" s="26">
        <f>IF($G1081="","",SUMIFS(费用台账!$I$4:$I$503,费用台账!$C$4:$C$503,$E1081,费用台账!$J$4:$J$503,"是",费用台账!$K$4:$K$503,"正常"))</f>
        <v/>
      </c>
      <c r="S1081" s="28">
        <f>IF($G1081="","",COUNTIFS($E$4:$E$2503,$E1081,$Z$4:$Z$2503,"正常",$Y$4:$Y$2503,"待补价"))</f>
        <v/>
      </c>
      <c r="T1081" s="26">
        <f>IF($G1081="","",SUMIFS($P$4:$P$2503,$E$4:$E$2503,$E1081,$Z$4:$Z$2503,"正常",$A$4:$A$2503,"&lt;="&amp;$A1081))</f>
        <v/>
      </c>
      <c r="U1081" s="26">
        <f>IF($G1081="","",IF(OR($S1081&gt;0,$Q1081=0,$R1081=0,$Z1081&lt;&gt;"正常"),0,ROUND($T1081/$Q1081*$R1081,0)-ROUND(($T1081-$P1081)/$Q1081*$R1081,0)))</f>
        <v/>
      </c>
      <c r="V1081" s="26">
        <f>IF($G1081="","",ROUND($P1081+$U1081,0))</f>
        <v/>
      </c>
      <c r="W1081" s="26">
        <f>IF($G1081="","",IF(N($K1081)=0,0,ROUND($V1081/$K1081,2)))</f>
        <v/>
      </c>
      <c r="X1081" s="17" t="n"/>
      <c r="Y1081" s="17" t="n"/>
      <c r="Z1081" s="17" t="n"/>
      <c r="AA1081" s="17" t="n"/>
      <c r="AB1081" s="17" t="n"/>
      <c r="AC1081" s="24">
        <f>IF($G1081="","",IF($H1081="※编码不在物料档案里","※物料编码不在档案里",IF(N($K1081)&lt;=0,"※入库数量要大于 0",IF(AND($C1081&lt;&gt;"",$C1081&lt;=结账锁),"※日期早于已结账截止日，不能再录",IF(AND($L1081=0,$X1081="正常"),"※没填单价，价格状态请选「待补价」",IF(AND($S1081&gt;0,$R1081&gt;0),"△本批有 "&amp;$S1081&amp;" 行没单价，整批运费先挂账没摊",IF(AND($B1081&lt;&gt;"",COUNTIF($B$4:$B$2503,$B1081)&gt;1),"※入库单号重复","")))))))</f>
        <v/>
      </c>
    </row>
    <row r="1082">
      <c r="A1082" s="24">
        <f>IF($G1082="","",COUNTA($G$4:$G1082))</f>
        <v/>
      </c>
      <c r="B1082" s="17" t="n"/>
      <c r="C1082" s="30" t="n"/>
      <c r="D1082" s="17" t="n"/>
      <c r="E1082" s="17" t="n"/>
      <c r="F1082" s="17" t="n"/>
      <c r="G1082" s="17" t="n"/>
      <c r="H1082" s="24">
        <f>IF($G1082="","",IFERROR(VLOOKUP($G1082,物料档案!$A$4:$P$1203,3,0),"※编码不在物料档案里"))</f>
        <v/>
      </c>
      <c r="I1082" s="24">
        <f>IF($G1082="","",IFERROR(VLOOKUP($G1082,物料档案!$A$4:$P$1203,4,0),"※编码不在物料档案里"))</f>
        <v/>
      </c>
      <c r="J1082" s="24">
        <f>IF($G1082="","",IFERROR(VLOOKUP($G1082,物料档案!$A$4:$P$1203,5,0),"※编码不在物料档案里"))</f>
        <v/>
      </c>
      <c r="K1082" s="23" t="n"/>
      <c r="L1082" s="31" t="n"/>
      <c r="M1082" s="24">
        <f>IF($G1082="","",IF($D1082="A国内","CNY","TZS"))</f>
        <v/>
      </c>
      <c r="N1082" s="28">
        <f>IF($G1082="","",IF($D1082="A国内",汇率,1))</f>
        <v/>
      </c>
      <c r="O1082" s="25">
        <f>IF($G1082="","",ROUND(N($K1082)*N($L1082),2))</f>
        <v/>
      </c>
      <c r="P1082" s="26">
        <f>IF($G1082="","",ROUND($O1082*$N1082,0))</f>
        <v/>
      </c>
      <c r="Q1082" s="26">
        <f>IF($G1082="","",SUMIFS($P$4:$P$2503,$E$4:$E$2503,$E1082,$Z$4:$Z$2503,"正常"))</f>
        <v/>
      </c>
      <c r="R1082" s="26">
        <f>IF($G1082="","",SUMIFS(费用台账!$I$4:$I$503,费用台账!$C$4:$C$503,$E1082,费用台账!$J$4:$J$503,"是",费用台账!$K$4:$K$503,"正常"))</f>
        <v/>
      </c>
      <c r="S1082" s="28">
        <f>IF($G1082="","",COUNTIFS($E$4:$E$2503,$E1082,$Z$4:$Z$2503,"正常",$Y$4:$Y$2503,"待补价"))</f>
        <v/>
      </c>
      <c r="T1082" s="26">
        <f>IF($G1082="","",SUMIFS($P$4:$P$2503,$E$4:$E$2503,$E1082,$Z$4:$Z$2503,"正常",$A$4:$A$2503,"&lt;="&amp;$A1082))</f>
        <v/>
      </c>
      <c r="U1082" s="26">
        <f>IF($G1082="","",IF(OR($S1082&gt;0,$Q1082=0,$R1082=0,$Z1082&lt;&gt;"正常"),0,ROUND($T1082/$Q1082*$R1082,0)-ROUND(($T1082-$P1082)/$Q1082*$R1082,0)))</f>
        <v/>
      </c>
      <c r="V1082" s="26">
        <f>IF($G1082="","",ROUND($P1082+$U1082,0))</f>
        <v/>
      </c>
      <c r="W1082" s="26">
        <f>IF($G1082="","",IF(N($K1082)=0,0,ROUND($V1082/$K1082,2)))</f>
        <v/>
      </c>
      <c r="X1082" s="17" t="n"/>
      <c r="Y1082" s="17" t="n"/>
      <c r="Z1082" s="17" t="n"/>
      <c r="AA1082" s="17" t="n"/>
      <c r="AB1082" s="17" t="n"/>
      <c r="AC1082" s="24">
        <f>IF($G1082="","",IF($H1082="※编码不在物料档案里","※物料编码不在档案里",IF(N($K1082)&lt;=0,"※入库数量要大于 0",IF(AND($C1082&lt;&gt;"",$C1082&lt;=结账锁),"※日期早于已结账截止日，不能再录",IF(AND($L1082=0,$X1082="正常"),"※没填单价，价格状态请选「待补价」",IF(AND($S1082&gt;0,$R1082&gt;0),"△本批有 "&amp;$S1082&amp;" 行没单价，整批运费先挂账没摊",IF(AND($B1082&lt;&gt;"",COUNTIF($B$4:$B$2503,$B1082)&gt;1),"※入库单号重复","")))))))</f>
        <v/>
      </c>
    </row>
    <row r="1083">
      <c r="A1083" s="24">
        <f>IF($G1083="","",COUNTA($G$4:$G1083))</f>
        <v/>
      </c>
      <c r="B1083" s="17" t="n"/>
      <c r="C1083" s="30" t="n"/>
      <c r="D1083" s="17" t="n"/>
      <c r="E1083" s="17" t="n"/>
      <c r="F1083" s="17" t="n"/>
      <c r="G1083" s="17" t="n"/>
      <c r="H1083" s="24">
        <f>IF($G1083="","",IFERROR(VLOOKUP($G1083,物料档案!$A$4:$P$1203,3,0),"※编码不在物料档案里"))</f>
        <v/>
      </c>
      <c r="I1083" s="24">
        <f>IF($G1083="","",IFERROR(VLOOKUP($G1083,物料档案!$A$4:$P$1203,4,0),"※编码不在物料档案里"))</f>
        <v/>
      </c>
      <c r="J1083" s="24">
        <f>IF($G1083="","",IFERROR(VLOOKUP($G1083,物料档案!$A$4:$P$1203,5,0),"※编码不在物料档案里"))</f>
        <v/>
      </c>
      <c r="K1083" s="23" t="n"/>
      <c r="L1083" s="31" t="n"/>
      <c r="M1083" s="24">
        <f>IF($G1083="","",IF($D1083="A国内","CNY","TZS"))</f>
        <v/>
      </c>
      <c r="N1083" s="28">
        <f>IF($G1083="","",IF($D1083="A国内",汇率,1))</f>
        <v/>
      </c>
      <c r="O1083" s="25">
        <f>IF($G1083="","",ROUND(N($K1083)*N($L1083),2))</f>
        <v/>
      </c>
      <c r="P1083" s="26">
        <f>IF($G1083="","",ROUND($O1083*$N1083,0))</f>
        <v/>
      </c>
      <c r="Q1083" s="26">
        <f>IF($G1083="","",SUMIFS($P$4:$P$2503,$E$4:$E$2503,$E1083,$Z$4:$Z$2503,"正常"))</f>
        <v/>
      </c>
      <c r="R1083" s="26">
        <f>IF($G1083="","",SUMIFS(费用台账!$I$4:$I$503,费用台账!$C$4:$C$503,$E1083,费用台账!$J$4:$J$503,"是",费用台账!$K$4:$K$503,"正常"))</f>
        <v/>
      </c>
      <c r="S1083" s="28">
        <f>IF($G1083="","",COUNTIFS($E$4:$E$2503,$E1083,$Z$4:$Z$2503,"正常",$Y$4:$Y$2503,"待补价"))</f>
        <v/>
      </c>
      <c r="T1083" s="26">
        <f>IF($G1083="","",SUMIFS($P$4:$P$2503,$E$4:$E$2503,$E1083,$Z$4:$Z$2503,"正常",$A$4:$A$2503,"&lt;="&amp;$A1083))</f>
        <v/>
      </c>
      <c r="U1083" s="26">
        <f>IF($G1083="","",IF(OR($S1083&gt;0,$Q1083=0,$R1083=0,$Z1083&lt;&gt;"正常"),0,ROUND($T1083/$Q1083*$R1083,0)-ROUND(($T1083-$P1083)/$Q1083*$R1083,0)))</f>
        <v/>
      </c>
      <c r="V1083" s="26">
        <f>IF($G1083="","",ROUND($P1083+$U1083,0))</f>
        <v/>
      </c>
      <c r="W1083" s="26">
        <f>IF($G1083="","",IF(N($K1083)=0,0,ROUND($V1083/$K1083,2)))</f>
        <v/>
      </c>
      <c r="X1083" s="17" t="n"/>
      <c r="Y1083" s="17" t="n"/>
      <c r="Z1083" s="17" t="n"/>
      <c r="AA1083" s="17" t="n"/>
      <c r="AB1083" s="17" t="n"/>
      <c r="AC1083" s="24">
        <f>IF($G1083="","",IF($H1083="※编码不在物料档案里","※物料编码不在档案里",IF(N($K1083)&lt;=0,"※入库数量要大于 0",IF(AND($C1083&lt;&gt;"",$C1083&lt;=结账锁),"※日期早于已结账截止日，不能再录",IF(AND($L1083=0,$X1083="正常"),"※没填单价，价格状态请选「待补价」",IF(AND($S1083&gt;0,$R1083&gt;0),"△本批有 "&amp;$S1083&amp;" 行没单价，整批运费先挂账没摊",IF(AND($B1083&lt;&gt;"",COUNTIF($B$4:$B$2503,$B1083)&gt;1),"※入库单号重复","")))))))</f>
        <v/>
      </c>
    </row>
    <row r="1084">
      <c r="A1084" s="24">
        <f>IF($G1084="","",COUNTA($G$4:$G1084))</f>
        <v/>
      </c>
      <c r="B1084" s="17" t="n"/>
      <c r="C1084" s="30" t="n"/>
      <c r="D1084" s="17" t="n"/>
      <c r="E1084" s="17" t="n"/>
      <c r="F1084" s="17" t="n"/>
      <c r="G1084" s="17" t="n"/>
      <c r="H1084" s="24">
        <f>IF($G1084="","",IFERROR(VLOOKUP($G1084,物料档案!$A$4:$P$1203,3,0),"※编码不在物料档案里"))</f>
        <v/>
      </c>
      <c r="I1084" s="24">
        <f>IF($G1084="","",IFERROR(VLOOKUP($G1084,物料档案!$A$4:$P$1203,4,0),"※编码不在物料档案里"))</f>
        <v/>
      </c>
      <c r="J1084" s="24">
        <f>IF($G1084="","",IFERROR(VLOOKUP($G1084,物料档案!$A$4:$P$1203,5,0),"※编码不在物料档案里"))</f>
        <v/>
      </c>
      <c r="K1084" s="23" t="n"/>
      <c r="L1084" s="31" t="n"/>
      <c r="M1084" s="24">
        <f>IF($G1084="","",IF($D1084="A国内","CNY","TZS"))</f>
        <v/>
      </c>
      <c r="N1084" s="28">
        <f>IF($G1084="","",IF($D1084="A国内",汇率,1))</f>
        <v/>
      </c>
      <c r="O1084" s="25">
        <f>IF($G1084="","",ROUND(N($K1084)*N($L1084),2))</f>
        <v/>
      </c>
      <c r="P1084" s="26">
        <f>IF($G1084="","",ROUND($O1084*$N1084,0))</f>
        <v/>
      </c>
      <c r="Q1084" s="26">
        <f>IF($G1084="","",SUMIFS($P$4:$P$2503,$E$4:$E$2503,$E1084,$Z$4:$Z$2503,"正常"))</f>
        <v/>
      </c>
      <c r="R1084" s="26">
        <f>IF($G1084="","",SUMIFS(费用台账!$I$4:$I$503,费用台账!$C$4:$C$503,$E1084,费用台账!$J$4:$J$503,"是",费用台账!$K$4:$K$503,"正常"))</f>
        <v/>
      </c>
      <c r="S1084" s="28">
        <f>IF($G1084="","",COUNTIFS($E$4:$E$2503,$E1084,$Z$4:$Z$2503,"正常",$Y$4:$Y$2503,"待补价"))</f>
        <v/>
      </c>
      <c r="T1084" s="26">
        <f>IF($G1084="","",SUMIFS($P$4:$P$2503,$E$4:$E$2503,$E1084,$Z$4:$Z$2503,"正常",$A$4:$A$2503,"&lt;="&amp;$A1084))</f>
        <v/>
      </c>
      <c r="U1084" s="26">
        <f>IF($G1084="","",IF(OR($S1084&gt;0,$Q1084=0,$R1084=0,$Z1084&lt;&gt;"正常"),0,ROUND($T1084/$Q1084*$R1084,0)-ROUND(($T1084-$P1084)/$Q1084*$R1084,0)))</f>
        <v/>
      </c>
      <c r="V1084" s="26">
        <f>IF($G1084="","",ROUND($P1084+$U1084,0))</f>
        <v/>
      </c>
      <c r="W1084" s="26">
        <f>IF($G1084="","",IF(N($K1084)=0,0,ROUND($V1084/$K1084,2)))</f>
        <v/>
      </c>
      <c r="X1084" s="17" t="n"/>
      <c r="Y1084" s="17" t="n"/>
      <c r="Z1084" s="17" t="n"/>
      <c r="AA1084" s="17" t="n"/>
      <c r="AB1084" s="17" t="n"/>
      <c r="AC1084" s="24">
        <f>IF($G1084="","",IF($H1084="※编码不在物料档案里","※物料编码不在档案里",IF(N($K1084)&lt;=0,"※入库数量要大于 0",IF(AND($C1084&lt;&gt;"",$C1084&lt;=结账锁),"※日期早于已结账截止日，不能再录",IF(AND($L1084=0,$X1084="正常"),"※没填单价，价格状态请选「待补价」",IF(AND($S1084&gt;0,$R1084&gt;0),"△本批有 "&amp;$S1084&amp;" 行没单价，整批运费先挂账没摊",IF(AND($B1084&lt;&gt;"",COUNTIF($B$4:$B$2503,$B1084)&gt;1),"※入库单号重复","")))))))</f>
        <v/>
      </c>
    </row>
    <row r="1085">
      <c r="A1085" s="24">
        <f>IF($G1085="","",COUNTA($G$4:$G1085))</f>
        <v/>
      </c>
      <c r="B1085" s="17" t="n"/>
      <c r="C1085" s="30" t="n"/>
      <c r="D1085" s="17" t="n"/>
      <c r="E1085" s="17" t="n"/>
      <c r="F1085" s="17" t="n"/>
      <c r="G1085" s="17" t="n"/>
      <c r="H1085" s="24">
        <f>IF($G1085="","",IFERROR(VLOOKUP($G1085,物料档案!$A$4:$P$1203,3,0),"※编码不在物料档案里"))</f>
        <v/>
      </c>
      <c r="I1085" s="24">
        <f>IF($G1085="","",IFERROR(VLOOKUP($G1085,物料档案!$A$4:$P$1203,4,0),"※编码不在物料档案里"))</f>
        <v/>
      </c>
      <c r="J1085" s="24">
        <f>IF($G1085="","",IFERROR(VLOOKUP($G1085,物料档案!$A$4:$P$1203,5,0),"※编码不在物料档案里"))</f>
        <v/>
      </c>
      <c r="K1085" s="23" t="n"/>
      <c r="L1085" s="31" t="n"/>
      <c r="M1085" s="24">
        <f>IF($G1085="","",IF($D1085="A国内","CNY","TZS"))</f>
        <v/>
      </c>
      <c r="N1085" s="28">
        <f>IF($G1085="","",IF($D1085="A国内",汇率,1))</f>
        <v/>
      </c>
      <c r="O1085" s="25">
        <f>IF($G1085="","",ROUND(N($K1085)*N($L1085),2))</f>
        <v/>
      </c>
      <c r="P1085" s="26">
        <f>IF($G1085="","",ROUND($O1085*$N1085,0))</f>
        <v/>
      </c>
      <c r="Q1085" s="26">
        <f>IF($G1085="","",SUMIFS($P$4:$P$2503,$E$4:$E$2503,$E1085,$Z$4:$Z$2503,"正常"))</f>
        <v/>
      </c>
      <c r="R1085" s="26">
        <f>IF($G1085="","",SUMIFS(费用台账!$I$4:$I$503,费用台账!$C$4:$C$503,$E1085,费用台账!$J$4:$J$503,"是",费用台账!$K$4:$K$503,"正常"))</f>
        <v/>
      </c>
      <c r="S1085" s="28">
        <f>IF($G1085="","",COUNTIFS($E$4:$E$2503,$E1085,$Z$4:$Z$2503,"正常",$Y$4:$Y$2503,"待补价"))</f>
        <v/>
      </c>
      <c r="T1085" s="26">
        <f>IF($G1085="","",SUMIFS($P$4:$P$2503,$E$4:$E$2503,$E1085,$Z$4:$Z$2503,"正常",$A$4:$A$2503,"&lt;="&amp;$A1085))</f>
        <v/>
      </c>
      <c r="U1085" s="26">
        <f>IF($G1085="","",IF(OR($S1085&gt;0,$Q1085=0,$R1085=0,$Z1085&lt;&gt;"正常"),0,ROUND($T1085/$Q1085*$R1085,0)-ROUND(($T1085-$P1085)/$Q1085*$R1085,0)))</f>
        <v/>
      </c>
      <c r="V1085" s="26">
        <f>IF($G1085="","",ROUND($P1085+$U1085,0))</f>
        <v/>
      </c>
      <c r="W1085" s="26">
        <f>IF($G1085="","",IF(N($K1085)=0,0,ROUND($V1085/$K1085,2)))</f>
        <v/>
      </c>
      <c r="X1085" s="17" t="n"/>
      <c r="Y1085" s="17" t="n"/>
      <c r="Z1085" s="17" t="n"/>
      <c r="AA1085" s="17" t="n"/>
      <c r="AB1085" s="17" t="n"/>
      <c r="AC1085" s="24">
        <f>IF($G1085="","",IF($H1085="※编码不在物料档案里","※物料编码不在档案里",IF(N($K1085)&lt;=0,"※入库数量要大于 0",IF(AND($C1085&lt;&gt;"",$C1085&lt;=结账锁),"※日期早于已结账截止日，不能再录",IF(AND($L1085=0,$X1085="正常"),"※没填单价，价格状态请选「待补价」",IF(AND($S1085&gt;0,$R1085&gt;0),"△本批有 "&amp;$S1085&amp;" 行没单价，整批运费先挂账没摊",IF(AND($B1085&lt;&gt;"",COUNTIF($B$4:$B$2503,$B1085)&gt;1),"※入库单号重复","")))))))</f>
        <v/>
      </c>
    </row>
    <row r="1086">
      <c r="A1086" s="24">
        <f>IF($G1086="","",COUNTA($G$4:$G1086))</f>
        <v/>
      </c>
      <c r="B1086" s="17" t="n"/>
      <c r="C1086" s="30" t="n"/>
      <c r="D1086" s="17" t="n"/>
      <c r="E1086" s="17" t="n"/>
      <c r="F1086" s="17" t="n"/>
      <c r="G1086" s="17" t="n"/>
      <c r="H1086" s="24">
        <f>IF($G1086="","",IFERROR(VLOOKUP($G1086,物料档案!$A$4:$P$1203,3,0),"※编码不在物料档案里"))</f>
        <v/>
      </c>
      <c r="I1086" s="24">
        <f>IF($G1086="","",IFERROR(VLOOKUP($G1086,物料档案!$A$4:$P$1203,4,0),"※编码不在物料档案里"))</f>
        <v/>
      </c>
      <c r="J1086" s="24">
        <f>IF($G1086="","",IFERROR(VLOOKUP($G1086,物料档案!$A$4:$P$1203,5,0),"※编码不在物料档案里"))</f>
        <v/>
      </c>
      <c r="K1086" s="23" t="n"/>
      <c r="L1086" s="31" t="n"/>
      <c r="M1086" s="24">
        <f>IF($G1086="","",IF($D1086="A国内","CNY","TZS"))</f>
        <v/>
      </c>
      <c r="N1086" s="28">
        <f>IF($G1086="","",IF($D1086="A国内",汇率,1))</f>
        <v/>
      </c>
      <c r="O1086" s="25">
        <f>IF($G1086="","",ROUND(N($K1086)*N($L1086),2))</f>
        <v/>
      </c>
      <c r="P1086" s="26">
        <f>IF($G1086="","",ROUND($O1086*$N1086,0))</f>
        <v/>
      </c>
      <c r="Q1086" s="26">
        <f>IF($G1086="","",SUMIFS($P$4:$P$2503,$E$4:$E$2503,$E1086,$Z$4:$Z$2503,"正常"))</f>
        <v/>
      </c>
      <c r="R1086" s="26">
        <f>IF($G1086="","",SUMIFS(费用台账!$I$4:$I$503,费用台账!$C$4:$C$503,$E1086,费用台账!$J$4:$J$503,"是",费用台账!$K$4:$K$503,"正常"))</f>
        <v/>
      </c>
      <c r="S1086" s="28">
        <f>IF($G1086="","",COUNTIFS($E$4:$E$2503,$E1086,$Z$4:$Z$2503,"正常",$Y$4:$Y$2503,"待补价"))</f>
        <v/>
      </c>
      <c r="T1086" s="26">
        <f>IF($G1086="","",SUMIFS($P$4:$P$2503,$E$4:$E$2503,$E1086,$Z$4:$Z$2503,"正常",$A$4:$A$2503,"&lt;="&amp;$A1086))</f>
        <v/>
      </c>
      <c r="U1086" s="26">
        <f>IF($G1086="","",IF(OR($S1086&gt;0,$Q1086=0,$R1086=0,$Z1086&lt;&gt;"正常"),0,ROUND($T1086/$Q1086*$R1086,0)-ROUND(($T1086-$P1086)/$Q1086*$R1086,0)))</f>
        <v/>
      </c>
      <c r="V1086" s="26">
        <f>IF($G1086="","",ROUND($P1086+$U1086,0))</f>
        <v/>
      </c>
      <c r="W1086" s="26">
        <f>IF($G1086="","",IF(N($K1086)=0,0,ROUND($V1086/$K1086,2)))</f>
        <v/>
      </c>
      <c r="X1086" s="17" t="n"/>
      <c r="Y1086" s="17" t="n"/>
      <c r="Z1086" s="17" t="n"/>
      <c r="AA1086" s="17" t="n"/>
      <c r="AB1086" s="17" t="n"/>
      <c r="AC1086" s="24">
        <f>IF($G1086="","",IF($H1086="※编码不在物料档案里","※物料编码不在档案里",IF(N($K1086)&lt;=0,"※入库数量要大于 0",IF(AND($C1086&lt;&gt;"",$C1086&lt;=结账锁),"※日期早于已结账截止日，不能再录",IF(AND($L1086=0,$X1086="正常"),"※没填单价，价格状态请选「待补价」",IF(AND($S1086&gt;0,$R1086&gt;0),"△本批有 "&amp;$S1086&amp;" 行没单价，整批运费先挂账没摊",IF(AND($B1086&lt;&gt;"",COUNTIF($B$4:$B$2503,$B1086)&gt;1),"※入库单号重复","")))))))</f>
        <v/>
      </c>
    </row>
    <row r="1087">
      <c r="A1087" s="24">
        <f>IF($G1087="","",COUNTA($G$4:$G1087))</f>
        <v/>
      </c>
      <c r="B1087" s="17" t="n"/>
      <c r="C1087" s="30" t="n"/>
      <c r="D1087" s="17" t="n"/>
      <c r="E1087" s="17" t="n"/>
      <c r="F1087" s="17" t="n"/>
      <c r="G1087" s="17" t="n"/>
      <c r="H1087" s="24">
        <f>IF($G1087="","",IFERROR(VLOOKUP($G1087,物料档案!$A$4:$P$1203,3,0),"※编码不在物料档案里"))</f>
        <v/>
      </c>
      <c r="I1087" s="24">
        <f>IF($G1087="","",IFERROR(VLOOKUP($G1087,物料档案!$A$4:$P$1203,4,0),"※编码不在物料档案里"))</f>
        <v/>
      </c>
      <c r="J1087" s="24">
        <f>IF($G1087="","",IFERROR(VLOOKUP($G1087,物料档案!$A$4:$P$1203,5,0),"※编码不在物料档案里"))</f>
        <v/>
      </c>
      <c r="K1087" s="23" t="n"/>
      <c r="L1087" s="31" t="n"/>
      <c r="M1087" s="24">
        <f>IF($G1087="","",IF($D1087="A国内","CNY","TZS"))</f>
        <v/>
      </c>
      <c r="N1087" s="28">
        <f>IF($G1087="","",IF($D1087="A国内",汇率,1))</f>
        <v/>
      </c>
      <c r="O1087" s="25">
        <f>IF($G1087="","",ROUND(N($K1087)*N($L1087),2))</f>
        <v/>
      </c>
      <c r="P1087" s="26">
        <f>IF($G1087="","",ROUND($O1087*$N1087,0))</f>
        <v/>
      </c>
      <c r="Q1087" s="26">
        <f>IF($G1087="","",SUMIFS($P$4:$P$2503,$E$4:$E$2503,$E1087,$Z$4:$Z$2503,"正常"))</f>
        <v/>
      </c>
      <c r="R1087" s="26">
        <f>IF($G1087="","",SUMIFS(费用台账!$I$4:$I$503,费用台账!$C$4:$C$503,$E1087,费用台账!$J$4:$J$503,"是",费用台账!$K$4:$K$503,"正常"))</f>
        <v/>
      </c>
      <c r="S1087" s="28">
        <f>IF($G1087="","",COUNTIFS($E$4:$E$2503,$E1087,$Z$4:$Z$2503,"正常",$Y$4:$Y$2503,"待补价"))</f>
        <v/>
      </c>
      <c r="T1087" s="26">
        <f>IF($G1087="","",SUMIFS($P$4:$P$2503,$E$4:$E$2503,$E1087,$Z$4:$Z$2503,"正常",$A$4:$A$2503,"&lt;="&amp;$A1087))</f>
        <v/>
      </c>
      <c r="U1087" s="26">
        <f>IF($G1087="","",IF(OR($S1087&gt;0,$Q1087=0,$R1087=0,$Z1087&lt;&gt;"正常"),0,ROUND($T1087/$Q1087*$R1087,0)-ROUND(($T1087-$P1087)/$Q1087*$R1087,0)))</f>
        <v/>
      </c>
      <c r="V1087" s="26">
        <f>IF($G1087="","",ROUND($P1087+$U1087,0))</f>
        <v/>
      </c>
      <c r="W1087" s="26">
        <f>IF($G1087="","",IF(N($K1087)=0,0,ROUND($V1087/$K1087,2)))</f>
        <v/>
      </c>
      <c r="X1087" s="17" t="n"/>
      <c r="Y1087" s="17" t="n"/>
      <c r="Z1087" s="17" t="n"/>
      <c r="AA1087" s="17" t="n"/>
      <c r="AB1087" s="17" t="n"/>
      <c r="AC1087" s="24">
        <f>IF($G1087="","",IF($H1087="※编码不在物料档案里","※物料编码不在档案里",IF(N($K1087)&lt;=0,"※入库数量要大于 0",IF(AND($C1087&lt;&gt;"",$C1087&lt;=结账锁),"※日期早于已结账截止日，不能再录",IF(AND($L1087=0,$X1087="正常"),"※没填单价，价格状态请选「待补价」",IF(AND($S1087&gt;0,$R1087&gt;0),"△本批有 "&amp;$S1087&amp;" 行没单价，整批运费先挂账没摊",IF(AND($B1087&lt;&gt;"",COUNTIF($B$4:$B$2503,$B1087)&gt;1),"※入库单号重复","")))))))</f>
        <v/>
      </c>
    </row>
    <row r="1088">
      <c r="A1088" s="24">
        <f>IF($G1088="","",COUNTA($G$4:$G1088))</f>
        <v/>
      </c>
      <c r="B1088" s="17" t="n"/>
      <c r="C1088" s="30" t="n"/>
      <c r="D1088" s="17" t="n"/>
      <c r="E1088" s="17" t="n"/>
      <c r="F1088" s="17" t="n"/>
      <c r="G1088" s="17" t="n"/>
      <c r="H1088" s="24">
        <f>IF($G1088="","",IFERROR(VLOOKUP($G1088,物料档案!$A$4:$P$1203,3,0),"※编码不在物料档案里"))</f>
        <v/>
      </c>
      <c r="I1088" s="24">
        <f>IF($G1088="","",IFERROR(VLOOKUP($G1088,物料档案!$A$4:$P$1203,4,0),"※编码不在物料档案里"))</f>
        <v/>
      </c>
      <c r="J1088" s="24">
        <f>IF($G1088="","",IFERROR(VLOOKUP($G1088,物料档案!$A$4:$P$1203,5,0),"※编码不在物料档案里"))</f>
        <v/>
      </c>
      <c r="K1088" s="23" t="n"/>
      <c r="L1088" s="31" t="n"/>
      <c r="M1088" s="24">
        <f>IF($G1088="","",IF($D1088="A国内","CNY","TZS"))</f>
        <v/>
      </c>
      <c r="N1088" s="28">
        <f>IF($G1088="","",IF($D1088="A国内",汇率,1))</f>
        <v/>
      </c>
      <c r="O1088" s="25">
        <f>IF($G1088="","",ROUND(N($K1088)*N($L1088),2))</f>
        <v/>
      </c>
      <c r="P1088" s="26">
        <f>IF($G1088="","",ROUND($O1088*$N1088,0))</f>
        <v/>
      </c>
      <c r="Q1088" s="26">
        <f>IF($G1088="","",SUMIFS($P$4:$P$2503,$E$4:$E$2503,$E1088,$Z$4:$Z$2503,"正常"))</f>
        <v/>
      </c>
      <c r="R1088" s="26">
        <f>IF($G1088="","",SUMIFS(费用台账!$I$4:$I$503,费用台账!$C$4:$C$503,$E1088,费用台账!$J$4:$J$503,"是",费用台账!$K$4:$K$503,"正常"))</f>
        <v/>
      </c>
      <c r="S1088" s="28">
        <f>IF($G1088="","",COUNTIFS($E$4:$E$2503,$E1088,$Z$4:$Z$2503,"正常",$Y$4:$Y$2503,"待补价"))</f>
        <v/>
      </c>
      <c r="T1088" s="26">
        <f>IF($G1088="","",SUMIFS($P$4:$P$2503,$E$4:$E$2503,$E1088,$Z$4:$Z$2503,"正常",$A$4:$A$2503,"&lt;="&amp;$A1088))</f>
        <v/>
      </c>
      <c r="U1088" s="26">
        <f>IF($G1088="","",IF(OR($S1088&gt;0,$Q1088=0,$R1088=0,$Z1088&lt;&gt;"正常"),0,ROUND($T1088/$Q1088*$R1088,0)-ROUND(($T1088-$P1088)/$Q1088*$R1088,0)))</f>
        <v/>
      </c>
      <c r="V1088" s="26">
        <f>IF($G1088="","",ROUND($P1088+$U1088,0))</f>
        <v/>
      </c>
      <c r="W1088" s="26">
        <f>IF($G1088="","",IF(N($K1088)=0,0,ROUND($V1088/$K1088,2)))</f>
        <v/>
      </c>
      <c r="X1088" s="17" t="n"/>
      <c r="Y1088" s="17" t="n"/>
      <c r="Z1088" s="17" t="n"/>
      <c r="AA1088" s="17" t="n"/>
      <c r="AB1088" s="17" t="n"/>
      <c r="AC1088" s="24">
        <f>IF($G1088="","",IF($H1088="※编码不在物料档案里","※物料编码不在档案里",IF(N($K1088)&lt;=0,"※入库数量要大于 0",IF(AND($C1088&lt;&gt;"",$C1088&lt;=结账锁),"※日期早于已结账截止日，不能再录",IF(AND($L1088=0,$X1088="正常"),"※没填单价，价格状态请选「待补价」",IF(AND($S1088&gt;0,$R1088&gt;0),"△本批有 "&amp;$S1088&amp;" 行没单价，整批运费先挂账没摊",IF(AND($B1088&lt;&gt;"",COUNTIF($B$4:$B$2503,$B1088)&gt;1),"※入库单号重复","")))))))</f>
        <v/>
      </c>
    </row>
    <row r="1089">
      <c r="A1089" s="24">
        <f>IF($G1089="","",COUNTA($G$4:$G1089))</f>
        <v/>
      </c>
      <c r="B1089" s="17" t="n"/>
      <c r="C1089" s="30" t="n"/>
      <c r="D1089" s="17" t="n"/>
      <c r="E1089" s="17" t="n"/>
      <c r="F1089" s="17" t="n"/>
      <c r="G1089" s="17" t="n"/>
      <c r="H1089" s="24">
        <f>IF($G1089="","",IFERROR(VLOOKUP($G1089,物料档案!$A$4:$P$1203,3,0),"※编码不在物料档案里"))</f>
        <v/>
      </c>
      <c r="I1089" s="24">
        <f>IF($G1089="","",IFERROR(VLOOKUP($G1089,物料档案!$A$4:$P$1203,4,0),"※编码不在物料档案里"))</f>
        <v/>
      </c>
      <c r="J1089" s="24">
        <f>IF($G1089="","",IFERROR(VLOOKUP($G1089,物料档案!$A$4:$P$1203,5,0),"※编码不在物料档案里"))</f>
        <v/>
      </c>
      <c r="K1089" s="23" t="n"/>
      <c r="L1089" s="31" t="n"/>
      <c r="M1089" s="24">
        <f>IF($G1089="","",IF($D1089="A国内","CNY","TZS"))</f>
        <v/>
      </c>
      <c r="N1089" s="28">
        <f>IF($G1089="","",IF($D1089="A国内",汇率,1))</f>
        <v/>
      </c>
      <c r="O1089" s="25">
        <f>IF($G1089="","",ROUND(N($K1089)*N($L1089),2))</f>
        <v/>
      </c>
      <c r="P1089" s="26">
        <f>IF($G1089="","",ROUND($O1089*$N1089,0))</f>
        <v/>
      </c>
      <c r="Q1089" s="26">
        <f>IF($G1089="","",SUMIFS($P$4:$P$2503,$E$4:$E$2503,$E1089,$Z$4:$Z$2503,"正常"))</f>
        <v/>
      </c>
      <c r="R1089" s="26">
        <f>IF($G1089="","",SUMIFS(费用台账!$I$4:$I$503,费用台账!$C$4:$C$503,$E1089,费用台账!$J$4:$J$503,"是",费用台账!$K$4:$K$503,"正常"))</f>
        <v/>
      </c>
      <c r="S1089" s="28">
        <f>IF($G1089="","",COUNTIFS($E$4:$E$2503,$E1089,$Z$4:$Z$2503,"正常",$Y$4:$Y$2503,"待补价"))</f>
        <v/>
      </c>
      <c r="T1089" s="26">
        <f>IF($G1089="","",SUMIFS($P$4:$P$2503,$E$4:$E$2503,$E1089,$Z$4:$Z$2503,"正常",$A$4:$A$2503,"&lt;="&amp;$A1089))</f>
        <v/>
      </c>
      <c r="U1089" s="26">
        <f>IF($G1089="","",IF(OR($S1089&gt;0,$Q1089=0,$R1089=0,$Z1089&lt;&gt;"正常"),0,ROUND($T1089/$Q1089*$R1089,0)-ROUND(($T1089-$P1089)/$Q1089*$R1089,0)))</f>
        <v/>
      </c>
      <c r="V1089" s="26">
        <f>IF($G1089="","",ROUND($P1089+$U1089,0))</f>
        <v/>
      </c>
      <c r="W1089" s="26">
        <f>IF($G1089="","",IF(N($K1089)=0,0,ROUND($V1089/$K1089,2)))</f>
        <v/>
      </c>
      <c r="X1089" s="17" t="n"/>
      <c r="Y1089" s="17" t="n"/>
      <c r="Z1089" s="17" t="n"/>
      <c r="AA1089" s="17" t="n"/>
      <c r="AB1089" s="17" t="n"/>
      <c r="AC1089" s="24">
        <f>IF($G1089="","",IF($H1089="※编码不在物料档案里","※物料编码不在档案里",IF(N($K1089)&lt;=0,"※入库数量要大于 0",IF(AND($C1089&lt;&gt;"",$C1089&lt;=结账锁),"※日期早于已结账截止日，不能再录",IF(AND($L1089=0,$X1089="正常"),"※没填单价，价格状态请选「待补价」",IF(AND($S1089&gt;0,$R1089&gt;0),"△本批有 "&amp;$S1089&amp;" 行没单价，整批运费先挂账没摊",IF(AND($B1089&lt;&gt;"",COUNTIF($B$4:$B$2503,$B1089)&gt;1),"※入库单号重复","")))))))</f>
        <v/>
      </c>
    </row>
    <row r="1090">
      <c r="A1090" s="24">
        <f>IF($G1090="","",COUNTA($G$4:$G1090))</f>
        <v/>
      </c>
      <c r="B1090" s="17" t="n"/>
      <c r="C1090" s="30" t="n"/>
      <c r="D1090" s="17" t="n"/>
      <c r="E1090" s="17" t="n"/>
      <c r="F1090" s="17" t="n"/>
      <c r="G1090" s="17" t="n"/>
      <c r="H1090" s="24">
        <f>IF($G1090="","",IFERROR(VLOOKUP($G1090,物料档案!$A$4:$P$1203,3,0),"※编码不在物料档案里"))</f>
        <v/>
      </c>
      <c r="I1090" s="24">
        <f>IF($G1090="","",IFERROR(VLOOKUP($G1090,物料档案!$A$4:$P$1203,4,0),"※编码不在物料档案里"))</f>
        <v/>
      </c>
      <c r="J1090" s="24">
        <f>IF($G1090="","",IFERROR(VLOOKUP($G1090,物料档案!$A$4:$P$1203,5,0),"※编码不在物料档案里"))</f>
        <v/>
      </c>
      <c r="K1090" s="23" t="n"/>
      <c r="L1090" s="31" t="n"/>
      <c r="M1090" s="24">
        <f>IF($G1090="","",IF($D1090="A国内","CNY","TZS"))</f>
        <v/>
      </c>
      <c r="N1090" s="28">
        <f>IF($G1090="","",IF($D1090="A国内",汇率,1))</f>
        <v/>
      </c>
      <c r="O1090" s="25">
        <f>IF($G1090="","",ROUND(N($K1090)*N($L1090),2))</f>
        <v/>
      </c>
      <c r="P1090" s="26">
        <f>IF($G1090="","",ROUND($O1090*$N1090,0))</f>
        <v/>
      </c>
      <c r="Q1090" s="26">
        <f>IF($G1090="","",SUMIFS($P$4:$P$2503,$E$4:$E$2503,$E1090,$Z$4:$Z$2503,"正常"))</f>
        <v/>
      </c>
      <c r="R1090" s="26">
        <f>IF($G1090="","",SUMIFS(费用台账!$I$4:$I$503,费用台账!$C$4:$C$503,$E1090,费用台账!$J$4:$J$503,"是",费用台账!$K$4:$K$503,"正常"))</f>
        <v/>
      </c>
      <c r="S1090" s="28">
        <f>IF($G1090="","",COUNTIFS($E$4:$E$2503,$E1090,$Z$4:$Z$2503,"正常",$Y$4:$Y$2503,"待补价"))</f>
        <v/>
      </c>
      <c r="T1090" s="26">
        <f>IF($G1090="","",SUMIFS($P$4:$P$2503,$E$4:$E$2503,$E1090,$Z$4:$Z$2503,"正常",$A$4:$A$2503,"&lt;="&amp;$A1090))</f>
        <v/>
      </c>
      <c r="U1090" s="26">
        <f>IF($G1090="","",IF(OR($S1090&gt;0,$Q1090=0,$R1090=0,$Z1090&lt;&gt;"正常"),0,ROUND($T1090/$Q1090*$R1090,0)-ROUND(($T1090-$P1090)/$Q1090*$R1090,0)))</f>
        <v/>
      </c>
      <c r="V1090" s="26">
        <f>IF($G1090="","",ROUND($P1090+$U1090,0))</f>
        <v/>
      </c>
      <c r="W1090" s="26">
        <f>IF($G1090="","",IF(N($K1090)=0,0,ROUND($V1090/$K1090,2)))</f>
        <v/>
      </c>
      <c r="X1090" s="17" t="n"/>
      <c r="Y1090" s="17" t="n"/>
      <c r="Z1090" s="17" t="n"/>
      <c r="AA1090" s="17" t="n"/>
      <c r="AB1090" s="17" t="n"/>
      <c r="AC1090" s="24">
        <f>IF($G1090="","",IF($H1090="※编码不在物料档案里","※物料编码不在档案里",IF(N($K1090)&lt;=0,"※入库数量要大于 0",IF(AND($C1090&lt;&gt;"",$C1090&lt;=结账锁),"※日期早于已结账截止日，不能再录",IF(AND($L1090=0,$X1090="正常"),"※没填单价，价格状态请选「待补价」",IF(AND($S1090&gt;0,$R1090&gt;0),"△本批有 "&amp;$S1090&amp;" 行没单价，整批运费先挂账没摊",IF(AND($B1090&lt;&gt;"",COUNTIF($B$4:$B$2503,$B1090)&gt;1),"※入库单号重复","")))))))</f>
        <v/>
      </c>
    </row>
    <row r="1091">
      <c r="A1091" s="24">
        <f>IF($G1091="","",COUNTA($G$4:$G1091))</f>
        <v/>
      </c>
      <c r="B1091" s="17" t="n"/>
      <c r="C1091" s="30" t="n"/>
      <c r="D1091" s="17" t="n"/>
      <c r="E1091" s="17" t="n"/>
      <c r="F1091" s="17" t="n"/>
      <c r="G1091" s="17" t="n"/>
      <c r="H1091" s="24">
        <f>IF($G1091="","",IFERROR(VLOOKUP($G1091,物料档案!$A$4:$P$1203,3,0),"※编码不在物料档案里"))</f>
        <v/>
      </c>
      <c r="I1091" s="24">
        <f>IF($G1091="","",IFERROR(VLOOKUP($G1091,物料档案!$A$4:$P$1203,4,0),"※编码不在物料档案里"))</f>
        <v/>
      </c>
      <c r="J1091" s="24">
        <f>IF($G1091="","",IFERROR(VLOOKUP($G1091,物料档案!$A$4:$P$1203,5,0),"※编码不在物料档案里"))</f>
        <v/>
      </c>
      <c r="K1091" s="23" t="n"/>
      <c r="L1091" s="31" t="n"/>
      <c r="M1091" s="24">
        <f>IF($G1091="","",IF($D1091="A国内","CNY","TZS"))</f>
        <v/>
      </c>
      <c r="N1091" s="28">
        <f>IF($G1091="","",IF($D1091="A国内",汇率,1))</f>
        <v/>
      </c>
      <c r="O1091" s="25">
        <f>IF($G1091="","",ROUND(N($K1091)*N($L1091),2))</f>
        <v/>
      </c>
      <c r="P1091" s="26">
        <f>IF($G1091="","",ROUND($O1091*$N1091,0))</f>
        <v/>
      </c>
      <c r="Q1091" s="26">
        <f>IF($G1091="","",SUMIFS($P$4:$P$2503,$E$4:$E$2503,$E1091,$Z$4:$Z$2503,"正常"))</f>
        <v/>
      </c>
      <c r="R1091" s="26">
        <f>IF($G1091="","",SUMIFS(费用台账!$I$4:$I$503,费用台账!$C$4:$C$503,$E1091,费用台账!$J$4:$J$503,"是",费用台账!$K$4:$K$503,"正常"))</f>
        <v/>
      </c>
      <c r="S1091" s="28">
        <f>IF($G1091="","",COUNTIFS($E$4:$E$2503,$E1091,$Z$4:$Z$2503,"正常",$Y$4:$Y$2503,"待补价"))</f>
        <v/>
      </c>
      <c r="T1091" s="26">
        <f>IF($G1091="","",SUMIFS($P$4:$P$2503,$E$4:$E$2503,$E1091,$Z$4:$Z$2503,"正常",$A$4:$A$2503,"&lt;="&amp;$A1091))</f>
        <v/>
      </c>
      <c r="U1091" s="26">
        <f>IF($G1091="","",IF(OR($S1091&gt;0,$Q1091=0,$R1091=0,$Z1091&lt;&gt;"正常"),0,ROUND($T1091/$Q1091*$R1091,0)-ROUND(($T1091-$P1091)/$Q1091*$R1091,0)))</f>
        <v/>
      </c>
      <c r="V1091" s="26">
        <f>IF($G1091="","",ROUND($P1091+$U1091,0))</f>
        <v/>
      </c>
      <c r="W1091" s="26">
        <f>IF($G1091="","",IF(N($K1091)=0,0,ROUND($V1091/$K1091,2)))</f>
        <v/>
      </c>
      <c r="X1091" s="17" t="n"/>
      <c r="Y1091" s="17" t="n"/>
      <c r="Z1091" s="17" t="n"/>
      <c r="AA1091" s="17" t="n"/>
      <c r="AB1091" s="17" t="n"/>
      <c r="AC1091" s="24">
        <f>IF($G1091="","",IF($H1091="※编码不在物料档案里","※物料编码不在档案里",IF(N($K1091)&lt;=0,"※入库数量要大于 0",IF(AND($C1091&lt;&gt;"",$C1091&lt;=结账锁),"※日期早于已结账截止日，不能再录",IF(AND($L1091=0,$X1091="正常"),"※没填单价，价格状态请选「待补价」",IF(AND($S1091&gt;0,$R1091&gt;0),"△本批有 "&amp;$S1091&amp;" 行没单价，整批运费先挂账没摊",IF(AND($B1091&lt;&gt;"",COUNTIF($B$4:$B$2503,$B1091)&gt;1),"※入库单号重复","")))))))</f>
        <v/>
      </c>
    </row>
    <row r="1092">
      <c r="A1092" s="24">
        <f>IF($G1092="","",COUNTA($G$4:$G1092))</f>
        <v/>
      </c>
      <c r="B1092" s="17" t="n"/>
      <c r="C1092" s="30" t="n"/>
      <c r="D1092" s="17" t="n"/>
      <c r="E1092" s="17" t="n"/>
      <c r="F1092" s="17" t="n"/>
      <c r="G1092" s="17" t="n"/>
      <c r="H1092" s="24">
        <f>IF($G1092="","",IFERROR(VLOOKUP($G1092,物料档案!$A$4:$P$1203,3,0),"※编码不在物料档案里"))</f>
        <v/>
      </c>
      <c r="I1092" s="24">
        <f>IF($G1092="","",IFERROR(VLOOKUP($G1092,物料档案!$A$4:$P$1203,4,0),"※编码不在物料档案里"))</f>
        <v/>
      </c>
      <c r="J1092" s="24">
        <f>IF($G1092="","",IFERROR(VLOOKUP($G1092,物料档案!$A$4:$P$1203,5,0),"※编码不在物料档案里"))</f>
        <v/>
      </c>
      <c r="K1092" s="23" t="n"/>
      <c r="L1092" s="31" t="n"/>
      <c r="M1092" s="24">
        <f>IF($G1092="","",IF($D1092="A国内","CNY","TZS"))</f>
        <v/>
      </c>
      <c r="N1092" s="28">
        <f>IF($G1092="","",IF($D1092="A国内",汇率,1))</f>
        <v/>
      </c>
      <c r="O1092" s="25">
        <f>IF($G1092="","",ROUND(N($K1092)*N($L1092),2))</f>
        <v/>
      </c>
      <c r="P1092" s="26">
        <f>IF($G1092="","",ROUND($O1092*$N1092,0))</f>
        <v/>
      </c>
      <c r="Q1092" s="26">
        <f>IF($G1092="","",SUMIFS($P$4:$P$2503,$E$4:$E$2503,$E1092,$Z$4:$Z$2503,"正常"))</f>
        <v/>
      </c>
      <c r="R1092" s="26">
        <f>IF($G1092="","",SUMIFS(费用台账!$I$4:$I$503,费用台账!$C$4:$C$503,$E1092,费用台账!$J$4:$J$503,"是",费用台账!$K$4:$K$503,"正常"))</f>
        <v/>
      </c>
      <c r="S1092" s="28">
        <f>IF($G1092="","",COUNTIFS($E$4:$E$2503,$E1092,$Z$4:$Z$2503,"正常",$Y$4:$Y$2503,"待补价"))</f>
        <v/>
      </c>
      <c r="T1092" s="26">
        <f>IF($G1092="","",SUMIFS($P$4:$P$2503,$E$4:$E$2503,$E1092,$Z$4:$Z$2503,"正常",$A$4:$A$2503,"&lt;="&amp;$A1092))</f>
        <v/>
      </c>
      <c r="U1092" s="26">
        <f>IF($G1092="","",IF(OR($S1092&gt;0,$Q1092=0,$R1092=0,$Z1092&lt;&gt;"正常"),0,ROUND($T1092/$Q1092*$R1092,0)-ROUND(($T1092-$P1092)/$Q1092*$R1092,0)))</f>
        <v/>
      </c>
      <c r="V1092" s="26">
        <f>IF($G1092="","",ROUND($P1092+$U1092,0))</f>
        <v/>
      </c>
      <c r="W1092" s="26">
        <f>IF($G1092="","",IF(N($K1092)=0,0,ROUND($V1092/$K1092,2)))</f>
        <v/>
      </c>
      <c r="X1092" s="17" t="n"/>
      <c r="Y1092" s="17" t="n"/>
      <c r="Z1092" s="17" t="n"/>
      <c r="AA1092" s="17" t="n"/>
      <c r="AB1092" s="17" t="n"/>
      <c r="AC1092" s="24">
        <f>IF($G1092="","",IF($H1092="※编码不在物料档案里","※物料编码不在档案里",IF(N($K1092)&lt;=0,"※入库数量要大于 0",IF(AND($C1092&lt;&gt;"",$C1092&lt;=结账锁),"※日期早于已结账截止日，不能再录",IF(AND($L1092=0,$X1092="正常"),"※没填单价，价格状态请选「待补价」",IF(AND($S1092&gt;0,$R1092&gt;0),"△本批有 "&amp;$S1092&amp;" 行没单价，整批运费先挂账没摊",IF(AND($B1092&lt;&gt;"",COUNTIF($B$4:$B$2503,$B1092)&gt;1),"※入库单号重复","")))))))</f>
        <v/>
      </c>
    </row>
    <row r="1093">
      <c r="A1093" s="24">
        <f>IF($G1093="","",COUNTA($G$4:$G1093))</f>
        <v/>
      </c>
      <c r="B1093" s="17" t="n"/>
      <c r="C1093" s="30" t="n"/>
      <c r="D1093" s="17" t="n"/>
      <c r="E1093" s="17" t="n"/>
      <c r="F1093" s="17" t="n"/>
      <c r="G1093" s="17" t="n"/>
      <c r="H1093" s="24">
        <f>IF($G1093="","",IFERROR(VLOOKUP($G1093,物料档案!$A$4:$P$1203,3,0),"※编码不在物料档案里"))</f>
        <v/>
      </c>
      <c r="I1093" s="24">
        <f>IF($G1093="","",IFERROR(VLOOKUP($G1093,物料档案!$A$4:$P$1203,4,0),"※编码不在物料档案里"))</f>
        <v/>
      </c>
      <c r="J1093" s="24">
        <f>IF($G1093="","",IFERROR(VLOOKUP($G1093,物料档案!$A$4:$P$1203,5,0),"※编码不在物料档案里"))</f>
        <v/>
      </c>
      <c r="K1093" s="23" t="n"/>
      <c r="L1093" s="31" t="n"/>
      <c r="M1093" s="24">
        <f>IF($G1093="","",IF($D1093="A国内","CNY","TZS"))</f>
        <v/>
      </c>
      <c r="N1093" s="28">
        <f>IF($G1093="","",IF($D1093="A国内",汇率,1))</f>
        <v/>
      </c>
      <c r="O1093" s="25">
        <f>IF($G1093="","",ROUND(N($K1093)*N($L1093),2))</f>
        <v/>
      </c>
      <c r="P1093" s="26">
        <f>IF($G1093="","",ROUND($O1093*$N1093,0))</f>
        <v/>
      </c>
      <c r="Q1093" s="26">
        <f>IF($G1093="","",SUMIFS($P$4:$P$2503,$E$4:$E$2503,$E1093,$Z$4:$Z$2503,"正常"))</f>
        <v/>
      </c>
      <c r="R1093" s="26">
        <f>IF($G1093="","",SUMIFS(费用台账!$I$4:$I$503,费用台账!$C$4:$C$503,$E1093,费用台账!$J$4:$J$503,"是",费用台账!$K$4:$K$503,"正常"))</f>
        <v/>
      </c>
      <c r="S1093" s="28">
        <f>IF($G1093="","",COUNTIFS($E$4:$E$2503,$E1093,$Z$4:$Z$2503,"正常",$Y$4:$Y$2503,"待补价"))</f>
        <v/>
      </c>
      <c r="T1093" s="26">
        <f>IF($G1093="","",SUMIFS($P$4:$P$2503,$E$4:$E$2503,$E1093,$Z$4:$Z$2503,"正常",$A$4:$A$2503,"&lt;="&amp;$A1093))</f>
        <v/>
      </c>
      <c r="U1093" s="26">
        <f>IF($G1093="","",IF(OR($S1093&gt;0,$Q1093=0,$R1093=0,$Z1093&lt;&gt;"正常"),0,ROUND($T1093/$Q1093*$R1093,0)-ROUND(($T1093-$P1093)/$Q1093*$R1093,0)))</f>
        <v/>
      </c>
      <c r="V1093" s="26">
        <f>IF($G1093="","",ROUND($P1093+$U1093,0))</f>
        <v/>
      </c>
      <c r="W1093" s="26">
        <f>IF($G1093="","",IF(N($K1093)=0,0,ROUND($V1093/$K1093,2)))</f>
        <v/>
      </c>
      <c r="X1093" s="17" t="n"/>
      <c r="Y1093" s="17" t="n"/>
      <c r="Z1093" s="17" t="n"/>
      <c r="AA1093" s="17" t="n"/>
      <c r="AB1093" s="17" t="n"/>
      <c r="AC1093" s="24">
        <f>IF($G1093="","",IF($H1093="※编码不在物料档案里","※物料编码不在档案里",IF(N($K1093)&lt;=0,"※入库数量要大于 0",IF(AND($C1093&lt;&gt;"",$C1093&lt;=结账锁),"※日期早于已结账截止日，不能再录",IF(AND($L1093=0,$X1093="正常"),"※没填单价，价格状态请选「待补价」",IF(AND($S1093&gt;0,$R1093&gt;0),"△本批有 "&amp;$S1093&amp;" 行没单价，整批运费先挂账没摊",IF(AND($B1093&lt;&gt;"",COUNTIF($B$4:$B$2503,$B1093)&gt;1),"※入库单号重复","")))))))</f>
        <v/>
      </c>
    </row>
    <row r="1094">
      <c r="A1094" s="24">
        <f>IF($G1094="","",COUNTA($G$4:$G1094))</f>
        <v/>
      </c>
      <c r="B1094" s="17" t="n"/>
      <c r="C1094" s="30" t="n"/>
      <c r="D1094" s="17" t="n"/>
      <c r="E1094" s="17" t="n"/>
      <c r="F1094" s="17" t="n"/>
      <c r="G1094" s="17" t="n"/>
      <c r="H1094" s="24">
        <f>IF($G1094="","",IFERROR(VLOOKUP($G1094,物料档案!$A$4:$P$1203,3,0),"※编码不在物料档案里"))</f>
        <v/>
      </c>
      <c r="I1094" s="24">
        <f>IF($G1094="","",IFERROR(VLOOKUP($G1094,物料档案!$A$4:$P$1203,4,0),"※编码不在物料档案里"))</f>
        <v/>
      </c>
      <c r="J1094" s="24">
        <f>IF($G1094="","",IFERROR(VLOOKUP($G1094,物料档案!$A$4:$P$1203,5,0),"※编码不在物料档案里"))</f>
        <v/>
      </c>
      <c r="K1094" s="23" t="n"/>
      <c r="L1094" s="31" t="n"/>
      <c r="M1094" s="24">
        <f>IF($G1094="","",IF($D1094="A国内","CNY","TZS"))</f>
        <v/>
      </c>
      <c r="N1094" s="28">
        <f>IF($G1094="","",IF($D1094="A国内",汇率,1))</f>
        <v/>
      </c>
      <c r="O1094" s="25">
        <f>IF($G1094="","",ROUND(N($K1094)*N($L1094),2))</f>
        <v/>
      </c>
      <c r="P1094" s="26">
        <f>IF($G1094="","",ROUND($O1094*$N1094,0))</f>
        <v/>
      </c>
      <c r="Q1094" s="26">
        <f>IF($G1094="","",SUMIFS($P$4:$P$2503,$E$4:$E$2503,$E1094,$Z$4:$Z$2503,"正常"))</f>
        <v/>
      </c>
      <c r="R1094" s="26">
        <f>IF($G1094="","",SUMIFS(费用台账!$I$4:$I$503,费用台账!$C$4:$C$503,$E1094,费用台账!$J$4:$J$503,"是",费用台账!$K$4:$K$503,"正常"))</f>
        <v/>
      </c>
      <c r="S1094" s="28">
        <f>IF($G1094="","",COUNTIFS($E$4:$E$2503,$E1094,$Z$4:$Z$2503,"正常",$Y$4:$Y$2503,"待补价"))</f>
        <v/>
      </c>
      <c r="T1094" s="26">
        <f>IF($G1094="","",SUMIFS($P$4:$P$2503,$E$4:$E$2503,$E1094,$Z$4:$Z$2503,"正常",$A$4:$A$2503,"&lt;="&amp;$A1094))</f>
        <v/>
      </c>
      <c r="U1094" s="26">
        <f>IF($G1094="","",IF(OR($S1094&gt;0,$Q1094=0,$R1094=0,$Z1094&lt;&gt;"正常"),0,ROUND($T1094/$Q1094*$R1094,0)-ROUND(($T1094-$P1094)/$Q1094*$R1094,0)))</f>
        <v/>
      </c>
      <c r="V1094" s="26">
        <f>IF($G1094="","",ROUND($P1094+$U1094,0))</f>
        <v/>
      </c>
      <c r="W1094" s="26">
        <f>IF($G1094="","",IF(N($K1094)=0,0,ROUND($V1094/$K1094,2)))</f>
        <v/>
      </c>
      <c r="X1094" s="17" t="n"/>
      <c r="Y1094" s="17" t="n"/>
      <c r="Z1094" s="17" t="n"/>
      <c r="AA1094" s="17" t="n"/>
      <c r="AB1094" s="17" t="n"/>
      <c r="AC1094" s="24">
        <f>IF($G1094="","",IF($H1094="※编码不在物料档案里","※物料编码不在档案里",IF(N($K1094)&lt;=0,"※入库数量要大于 0",IF(AND($C1094&lt;&gt;"",$C1094&lt;=结账锁),"※日期早于已结账截止日，不能再录",IF(AND($L1094=0,$X1094="正常"),"※没填单价，价格状态请选「待补价」",IF(AND($S1094&gt;0,$R1094&gt;0),"△本批有 "&amp;$S1094&amp;" 行没单价，整批运费先挂账没摊",IF(AND($B1094&lt;&gt;"",COUNTIF($B$4:$B$2503,$B1094)&gt;1),"※入库单号重复","")))))))</f>
        <v/>
      </c>
    </row>
    <row r="1095">
      <c r="A1095" s="24">
        <f>IF($G1095="","",COUNTA($G$4:$G1095))</f>
        <v/>
      </c>
      <c r="B1095" s="17" t="n"/>
      <c r="C1095" s="30" t="n"/>
      <c r="D1095" s="17" t="n"/>
      <c r="E1095" s="17" t="n"/>
      <c r="F1095" s="17" t="n"/>
      <c r="G1095" s="17" t="n"/>
      <c r="H1095" s="24">
        <f>IF($G1095="","",IFERROR(VLOOKUP($G1095,物料档案!$A$4:$P$1203,3,0),"※编码不在物料档案里"))</f>
        <v/>
      </c>
      <c r="I1095" s="24">
        <f>IF($G1095="","",IFERROR(VLOOKUP($G1095,物料档案!$A$4:$P$1203,4,0),"※编码不在物料档案里"))</f>
        <v/>
      </c>
      <c r="J1095" s="24">
        <f>IF($G1095="","",IFERROR(VLOOKUP($G1095,物料档案!$A$4:$P$1203,5,0),"※编码不在物料档案里"))</f>
        <v/>
      </c>
      <c r="K1095" s="23" t="n"/>
      <c r="L1095" s="31" t="n"/>
      <c r="M1095" s="24">
        <f>IF($G1095="","",IF($D1095="A国内","CNY","TZS"))</f>
        <v/>
      </c>
      <c r="N1095" s="28">
        <f>IF($G1095="","",IF($D1095="A国内",汇率,1))</f>
        <v/>
      </c>
      <c r="O1095" s="25">
        <f>IF($G1095="","",ROUND(N($K1095)*N($L1095),2))</f>
        <v/>
      </c>
      <c r="P1095" s="26">
        <f>IF($G1095="","",ROUND($O1095*$N1095,0))</f>
        <v/>
      </c>
      <c r="Q1095" s="26">
        <f>IF($G1095="","",SUMIFS($P$4:$P$2503,$E$4:$E$2503,$E1095,$Z$4:$Z$2503,"正常"))</f>
        <v/>
      </c>
      <c r="R1095" s="26">
        <f>IF($G1095="","",SUMIFS(费用台账!$I$4:$I$503,费用台账!$C$4:$C$503,$E1095,费用台账!$J$4:$J$503,"是",费用台账!$K$4:$K$503,"正常"))</f>
        <v/>
      </c>
      <c r="S1095" s="28">
        <f>IF($G1095="","",COUNTIFS($E$4:$E$2503,$E1095,$Z$4:$Z$2503,"正常",$Y$4:$Y$2503,"待补价"))</f>
        <v/>
      </c>
      <c r="T1095" s="26">
        <f>IF($G1095="","",SUMIFS($P$4:$P$2503,$E$4:$E$2503,$E1095,$Z$4:$Z$2503,"正常",$A$4:$A$2503,"&lt;="&amp;$A1095))</f>
        <v/>
      </c>
      <c r="U1095" s="26">
        <f>IF($G1095="","",IF(OR($S1095&gt;0,$Q1095=0,$R1095=0,$Z1095&lt;&gt;"正常"),0,ROUND($T1095/$Q1095*$R1095,0)-ROUND(($T1095-$P1095)/$Q1095*$R1095,0)))</f>
        <v/>
      </c>
      <c r="V1095" s="26">
        <f>IF($G1095="","",ROUND($P1095+$U1095,0))</f>
        <v/>
      </c>
      <c r="W1095" s="26">
        <f>IF($G1095="","",IF(N($K1095)=0,0,ROUND($V1095/$K1095,2)))</f>
        <v/>
      </c>
      <c r="X1095" s="17" t="n"/>
      <c r="Y1095" s="17" t="n"/>
      <c r="Z1095" s="17" t="n"/>
      <c r="AA1095" s="17" t="n"/>
      <c r="AB1095" s="17" t="n"/>
      <c r="AC1095" s="24">
        <f>IF($G1095="","",IF($H1095="※编码不在物料档案里","※物料编码不在档案里",IF(N($K1095)&lt;=0,"※入库数量要大于 0",IF(AND($C1095&lt;&gt;"",$C1095&lt;=结账锁),"※日期早于已结账截止日，不能再录",IF(AND($L1095=0,$X1095="正常"),"※没填单价，价格状态请选「待补价」",IF(AND($S1095&gt;0,$R1095&gt;0),"△本批有 "&amp;$S1095&amp;" 行没单价，整批运费先挂账没摊",IF(AND($B1095&lt;&gt;"",COUNTIF($B$4:$B$2503,$B1095)&gt;1),"※入库单号重复","")))))))</f>
        <v/>
      </c>
    </row>
    <row r="1096">
      <c r="A1096" s="24">
        <f>IF($G1096="","",COUNTA($G$4:$G1096))</f>
        <v/>
      </c>
      <c r="B1096" s="17" t="n"/>
      <c r="C1096" s="30" t="n"/>
      <c r="D1096" s="17" t="n"/>
      <c r="E1096" s="17" t="n"/>
      <c r="F1096" s="17" t="n"/>
      <c r="G1096" s="17" t="n"/>
      <c r="H1096" s="24">
        <f>IF($G1096="","",IFERROR(VLOOKUP($G1096,物料档案!$A$4:$P$1203,3,0),"※编码不在物料档案里"))</f>
        <v/>
      </c>
      <c r="I1096" s="24">
        <f>IF($G1096="","",IFERROR(VLOOKUP($G1096,物料档案!$A$4:$P$1203,4,0),"※编码不在物料档案里"))</f>
        <v/>
      </c>
      <c r="J1096" s="24">
        <f>IF($G1096="","",IFERROR(VLOOKUP($G1096,物料档案!$A$4:$P$1203,5,0),"※编码不在物料档案里"))</f>
        <v/>
      </c>
      <c r="K1096" s="23" t="n"/>
      <c r="L1096" s="31" t="n"/>
      <c r="M1096" s="24">
        <f>IF($G1096="","",IF($D1096="A国内","CNY","TZS"))</f>
        <v/>
      </c>
      <c r="N1096" s="28">
        <f>IF($G1096="","",IF($D1096="A国内",汇率,1))</f>
        <v/>
      </c>
      <c r="O1096" s="25">
        <f>IF($G1096="","",ROUND(N($K1096)*N($L1096),2))</f>
        <v/>
      </c>
      <c r="P1096" s="26">
        <f>IF($G1096="","",ROUND($O1096*$N1096,0))</f>
        <v/>
      </c>
      <c r="Q1096" s="26">
        <f>IF($G1096="","",SUMIFS($P$4:$P$2503,$E$4:$E$2503,$E1096,$Z$4:$Z$2503,"正常"))</f>
        <v/>
      </c>
      <c r="R1096" s="26">
        <f>IF($G1096="","",SUMIFS(费用台账!$I$4:$I$503,费用台账!$C$4:$C$503,$E1096,费用台账!$J$4:$J$503,"是",费用台账!$K$4:$K$503,"正常"))</f>
        <v/>
      </c>
      <c r="S1096" s="28">
        <f>IF($G1096="","",COUNTIFS($E$4:$E$2503,$E1096,$Z$4:$Z$2503,"正常",$Y$4:$Y$2503,"待补价"))</f>
        <v/>
      </c>
      <c r="T1096" s="26">
        <f>IF($G1096="","",SUMIFS($P$4:$P$2503,$E$4:$E$2503,$E1096,$Z$4:$Z$2503,"正常",$A$4:$A$2503,"&lt;="&amp;$A1096))</f>
        <v/>
      </c>
      <c r="U1096" s="26">
        <f>IF($G1096="","",IF(OR($S1096&gt;0,$Q1096=0,$R1096=0,$Z1096&lt;&gt;"正常"),0,ROUND($T1096/$Q1096*$R1096,0)-ROUND(($T1096-$P1096)/$Q1096*$R1096,0)))</f>
        <v/>
      </c>
      <c r="V1096" s="26">
        <f>IF($G1096="","",ROUND($P1096+$U1096,0))</f>
        <v/>
      </c>
      <c r="W1096" s="26">
        <f>IF($G1096="","",IF(N($K1096)=0,0,ROUND($V1096/$K1096,2)))</f>
        <v/>
      </c>
      <c r="X1096" s="17" t="n"/>
      <c r="Y1096" s="17" t="n"/>
      <c r="Z1096" s="17" t="n"/>
      <c r="AA1096" s="17" t="n"/>
      <c r="AB1096" s="17" t="n"/>
      <c r="AC1096" s="24">
        <f>IF($G1096="","",IF($H1096="※编码不在物料档案里","※物料编码不在档案里",IF(N($K1096)&lt;=0,"※入库数量要大于 0",IF(AND($C1096&lt;&gt;"",$C1096&lt;=结账锁),"※日期早于已结账截止日，不能再录",IF(AND($L1096=0,$X1096="正常"),"※没填单价，价格状态请选「待补价」",IF(AND($S1096&gt;0,$R1096&gt;0),"△本批有 "&amp;$S1096&amp;" 行没单价，整批运费先挂账没摊",IF(AND($B1096&lt;&gt;"",COUNTIF($B$4:$B$2503,$B1096)&gt;1),"※入库单号重复","")))))))</f>
        <v/>
      </c>
    </row>
    <row r="1097">
      <c r="A1097" s="24">
        <f>IF($G1097="","",COUNTA($G$4:$G1097))</f>
        <v/>
      </c>
      <c r="B1097" s="17" t="n"/>
      <c r="C1097" s="30" t="n"/>
      <c r="D1097" s="17" t="n"/>
      <c r="E1097" s="17" t="n"/>
      <c r="F1097" s="17" t="n"/>
      <c r="G1097" s="17" t="n"/>
      <c r="H1097" s="24">
        <f>IF($G1097="","",IFERROR(VLOOKUP($G1097,物料档案!$A$4:$P$1203,3,0),"※编码不在物料档案里"))</f>
        <v/>
      </c>
      <c r="I1097" s="24">
        <f>IF($G1097="","",IFERROR(VLOOKUP($G1097,物料档案!$A$4:$P$1203,4,0),"※编码不在物料档案里"))</f>
        <v/>
      </c>
      <c r="J1097" s="24">
        <f>IF($G1097="","",IFERROR(VLOOKUP($G1097,物料档案!$A$4:$P$1203,5,0),"※编码不在物料档案里"))</f>
        <v/>
      </c>
      <c r="K1097" s="23" t="n"/>
      <c r="L1097" s="31" t="n"/>
      <c r="M1097" s="24">
        <f>IF($G1097="","",IF($D1097="A国内","CNY","TZS"))</f>
        <v/>
      </c>
      <c r="N1097" s="28">
        <f>IF($G1097="","",IF($D1097="A国内",汇率,1))</f>
        <v/>
      </c>
      <c r="O1097" s="25">
        <f>IF($G1097="","",ROUND(N($K1097)*N($L1097),2))</f>
        <v/>
      </c>
      <c r="P1097" s="26">
        <f>IF($G1097="","",ROUND($O1097*$N1097,0))</f>
        <v/>
      </c>
      <c r="Q1097" s="26">
        <f>IF($G1097="","",SUMIFS($P$4:$P$2503,$E$4:$E$2503,$E1097,$Z$4:$Z$2503,"正常"))</f>
        <v/>
      </c>
      <c r="R1097" s="26">
        <f>IF($G1097="","",SUMIFS(费用台账!$I$4:$I$503,费用台账!$C$4:$C$503,$E1097,费用台账!$J$4:$J$503,"是",费用台账!$K$4:$K$503,"正常"))</f>
        <v/>
      </c>
      <c r="S1097" s="28">
        <f>IF($G1097="","",COUNTIFS($E$4:$E$2503,$E1097,$Z$4:$Z$2503,"正常",$Y$4:$Y$2503,"待补价"))</f>
        <v/>
      </c>
      <c r="T1097" s="26">
        <f>IF($G1097="","",SUMIFS($P$4:$P$2503,$E$4:$E$2503,$E1097,$Z$4:$Z$2503,"正常",$A$4:$A$2503,"&lt;="&amp;$A1097))</f>
        <v/>
      </c>
      <c r="U1097" s="26">
        <f>IF($G1097="","",IF(OR($S1097&gt;0,$Q1097=0,$R1097=0,$Z1097&lt;&gt;"正常"),0,ROUND($T1097/$Q1097*$R1097,0)-ROUND(($T1097-$P1097)/$Q1097*$R1097,0)))</f>
        <v/>
      </c>
      <c r="V1097" s="26">
        <f>IF($G1097="","",ROUND($P1097+$U1097,0))</f>
        <v/>
      </c>
      <c r="W1097" s="26">
        <f>IF($G1097="","",IF(N($K1097)=0,0,ROUND($V1097/$K1097,2)))</f>
        <v/>
      </c>
      <c r="X1097" s="17" t="n"/>
      <c r="Y1097" s="17" t="n"/>
      <c r="Z1097" s="17" t="n"/>
      <c r="AA1097" s="17" t="n"/>
      <c r="AB1097" s="17" t="n"/>
      <c r="AC1097" s="24">
        <f>IF($G1097="","",IF($H1097="※编码不在物料档案里","※物料编码不在档案里",IF(N($K1097)&lt;=0,"※入库数量要大于 0",IF(AND($C1097&lt;&gt;"",$C1097&lt;=结账锁),"※日期早于已结账截止日，不能再录",IF(AND($L1097=0,$X1097="正常"),"※没填单价，价格状态请选「待补价」",IF(AND($S1097&gt;0,$R1097&gt;0),"△本批有 "&amp;$S1097&amp;" 行没单价，整批运费先挂账没摊",IF(AND($B1097&lt;&gt;"",COUNTIF($B$4:$B$2503,$B1097)&gt;1),"※入库单号重复","")))))))</f>
        <v/>
      </c>
    </row>
    <row r="1098">
      <c r="A1098" s="24">
        <f>IF($G1098="","",COUNTA($G$4:$G1098))</f>
        <v/>
      </c>
      <c r="B1098" s="17" t="n"/>
      <c r="C1098" s="30" t="n"/>
      <c r="D1098" s="17" t="n"/>
      <c r="E1098" s="17" t="n"/>
      <c r="F1098" s="17" t="n"/>
      <c r="G1098" s="17" t="n"/>
      <c r="H1098" s="24">
        <f>IF($G1098="","",IFERROR(VLOOKUP($G1098,物料档案!$A$4:$P$1203,3,0),"※编码不在物料档案里"))</f>
        <v/>
      </c>
      <c r="I1098" s="24">
        <f>IF($G1098="","",IFERROR(VLOOKUP($G1098,物料档案!$A$4:$P$1203,4,0),"※编码不在物料档案里"))</f>
        <v/>
      </c>
      <c r="J1098" s="24">
        <f>IF($G1098="","",IFERROR(VLOOKUP($G1098,物料档案!$A$4:$P$1203,5,0),"※编码不在物料档案里"))</f>
        <v/>
      </c>
      <c r="K1098" s="23" t="n"/>
      <c r="L1098" s="31" t="n"/>
      <c r="M1098" s="24">
        <f>IF($G1098="","",IF($D1098="A国内","CNY","TZS"))</f>
        <v/>
      </c>
      <c r="N1098" s="28">
        <f>IF($G1098="","",IF($D1098="A国内",汇率,1))</f>
        <v/>
      </c>
      <c r="O1098" s="25">
        <f>IF($G1098="","",ROUND(N($K1098)*N($L1098),2))</f>
        <v/>
      </c>
      <c r="P1098" s="26">
        <f>IF($G1098="","",ROUND($O1098*$N1098,0))</f>
        <v/>
      </c>
      <c r="Q1098" s="26">
        <f>IF($G1098="","",SUMIFS($P$4:$P$2503,$E$4:$E$2503,$E1098,$Z$4:$Z$2503,"正常"))</f>
        <v/>
      </c>
      <c r="R1098" s="26">
        <f>IF($G1098="","",SUMIFS(费用台账!$I$4:$I$503,费用台账!$C$4:$C$503,$E1098,费用台账!$J$4:$J$503,"是",费用台账!$K$4:$K$503,"正常"))</f>
        <v/>
      </c>
      <c r="S1098" s="28">
        <f>IF($G1098="","",COUNTIFS($E$4:$E$2503,$E1098,$Z$4:$Z$2503,"正常",$Y$4:$Y$2503,"待补价"))</f>
        <v/>
      </c>
      <c r="T1098" s="26">
        <f>IF($G1098="","",SUMIFS($P$4:$P$2503,$E$4:$E$2503,$E1098,$Z$4:$Z$2503,"正常",$A$4:$A$2503,"&lt;="&amp;$A1098))</f>
        <v/>
      </c>
      <c r="U1098" s="26">
        <f>IF($G1098="","",IF(OR($S1098&gt;0,$Q1098=0,$R1098=0,$Z1098&lt;&gt;"正常"),0,ROUND($T1098/$Q1098*$R1098,0)-ROUND(($T1098-$P1098)/$Q1098*$R1098,0)))</f>
        <v/>
      </c>
      <c r="V1098" s="26">
        <f>IF($G1098="","",ROUND($P1098+$U1098,0))</f>
        <v/>
      </c>
      <c r="W1098" s="26">
        <f>IF($G1098="","",IF(N($K1098)=0,0,ROUND($V1098/$K1098,2)))</f>
        <v/>
      </c>
      <c r="X1098" s="17" t="n"/>
      <c r="Y1098" s="17" t="n"/>
      <c r="Z1098" s="17" t="n"/>
      <c r="AA1098" s="17" t="n"/>
      <c r="AB1098" s="17" t="n"/>
      <c r="AC1098" s="24">
        <f>IF($G1098="","",IF($H1098="※编码不在物料档案里","※物料编码不在档案里",IF(N($K1098)&lt;=0,"※入库数量要大于 0",IF(AND($C1098&lt;&gt;"",$C1098&lt;=结账锁),"※日期早于已结账截止日，不能再录",IF(AND($L1098=0,$X1098="正常"),"※没填单价，价格状态请选「待补价」",IF(AND($S1098&gt;0,$R1098&gt;0),"△本批有 "&amp;$S1098&amp;" 行没单价，整批运费先挂账没摊",IF(AND($B1098&lt;&gt;"",COUNTIF($B$4:$B$2503,$B1098)&gt;1),"※入库单号重复","")))))))</f>
        <v/>
      </c>
    </row>
    <row r="1099">
      <c r="A1099" s="24">
        <f>IF($G1099="","",COUNTA($G$4:$G1099))</f>
        <v/>
      </c>
      <c r="B1099" s="17" t="n"/>
      <c r="C1099" s="30" t="n"/>
      <c r="D1099" s="17" t="n"/>
      <c r="E1099" s="17" t="n"/>
      <c r="F1099" s="17" t="n"/>
      <c r="G1099" s="17" t="n"/>
      <c r="H1099" s="24">
        <f>IF($G1099="","",IFERROR(VLOOKUP($G1099,物料档案!$A$4:$P$1203,3,0),"※编码不在物料档案里"))</f>
        <v/>
      </c>
      <c r="I1099" s="24">
        <f>IF($G1099="","",IFERROR(VLOOKUP($G1099,物料档案!$A$4:$P$1203,4,0),"※编码不在物料档案里"))</f>
        <v/>
      </c>
      <c r="J1099" s="24">
        <f>IF($G1099="","",IFERROR(VLOOKUP($G1099,物料档案!$A$4:$P$1203,5,0),"※编码不在物料档案里"))</f>
        <v/>
      </c>
      <c r="K1099" s="23" t="n"/>
      <c r="L1099" s="31" t="n"/>
      <c r="M1099" s="24">
        <f>IF($G1099="","",IF($D1099="A国内","CNY","TZS"))</f>
        <v/>
      </c>
      <c r="N1099" s="28">
        <f>IF($G1099="","",IF($D1099="A国内",汇率,1))</f>
        <v/>
      </c>
      <c r="O1099" s="25">
        <f>IF($G1099="","",ROUND(N($K1099)*N($L1099),2))</f>
        <v/>
      </c>
      <c r="P1099" s="26">
        <f>IF($G1099="","",ROUND($O1099*$N1099,0))</f>
        <v/>
      </c>
      <c r="Q1099" s="26">
        <f>IF($G1099="","",SUMIFS($P$4:$P$2503,$E$4:$E$2503,$E1099,$Z$4:$Z$2503,"正常"))</f>
        <v/>
      </c>
      <c r="R1099" s="26">
        <f>IF($G1099="","",SUMIFS(费用台账!$I$4:$I$503,费用台账!$C$4:$C$503,$E1099,费用台账!$J$4:$J$503,"是",费用台账!$K$4:$K$503,"正常"))</f>
        <v/>
      </c>
      <c r="S1099" s="28">
        <f>IF($G1099="","",COUNTIFS($E$4:$E$2503,$E1099,$Z$4:$Z$2503,"正常",$Y$4:$Y$2503,"待补价"))</f>
        <v/>
      </c>
      <c r="T1099" s="26">
        <f>IF($G1099="","",SUMIFS($P$4:$P$2503,$E$4:$E$2503,$E1099,$Z$4:$Z$2503,"正常",$A$4:$A$2503,"&lt;="&amp;$A1099))</f>
        <v/>
      </c>
      <c r="U1099" s="26">
        <f>IF($G1099="","",IF(OR($S1099&gt;0,$Q1099=0,$R1099=0,$Z1099&lt;&gt;"正常"),0,ROUND($T1099/$Q1099*$R1099,0)-ROUND(($T1099-$P1099)/$Q1099*$R1099,0)))</f>
        <v/>
      </c>
      <c r="V1099" s="26">
        <f>IF($G1099="","",ROUND($P1099+$U1099,0))</f>
        <v/>
      </c>
      <c r="W1099" s="26">
        <f>IF($G1099="","",IF(N($K1099)=0,0,ROUND($V1099/$K1099,2)))</f>
        <v/>
      </c>
      <c r="X1099" s="17" t="n"/>
      <c r="Y1099" s="17" t="n"/>
      <c r="Z1099" s="17" t="n"/>
      <c r="AA1099" s="17" t="n"/>
      <c r="AB1099" s="17" t="n"/>
      <c r="AC1099" s="24">
        <f>IF($G1099="","",IF($H1099="※编码不在物料档案里","※物料编码不在档案里",IF(N($K1099)&lt;=0,"※入库数量要大于 0",IF(AND($C1099&lt;&gt;"",$C1099&lt;=结账锁),"※日期早于已结账截止日，不能再录",IF(AND($L1099=0,$X1099="正常"),"※没填单价，价格状态请选「待补价」",IF(AND($S1099&gt;0,$R1099&gt;0),"△本批有 "&amp;$S1099&amp;" 行没单价，整批运费先挂账没摊",IF(AND($B1099&lt;&gt;"",COUNTIF($B$4:$B$2503,$B1099)&gt;1),"※入库单号重复","")))))))</f>
        <v/>
      </c>
    </row>
    <row r="1100">
      <c r="A1100" s="24">
        <f>IF($G1100="","",COUNTA($G$4:$G1100))</f>
        <v/>
      </c>
      <c r="B1100" s="17" t="n"/>
      <c r="C1100" s="30" t="n"/>
      <c r="D1100" s="17" t="n"/>
      <c r="E1100" s="17" t="n"/>
      <c r="F1100" s="17" t="n"/>
      <c r="G1100" s="17" t="n"/>
      <c r="H1100" s="24">
        <f>IF($G1100="","",IFERROR(VLOOKUP($G1100,物料档案!$A$4:$P$1203,3,0),"※编码不在物料档案里"))</f>
        <v/>
      </c>
      <c r="I1100" s="24">
        <f>IF($G1100="","",IFERROR(VLOOKUP($G1100,物料档案!$A$4:$P$1203,4,0),"※编码不在物料档案里"))</f>
        <v/>
      </c>
      <c r="J1100" s="24">
        <f>IF($G1100="","",IFERROR(VLOOKUP($G1100,物料档案!$A$4:$P$1203,5,0),"※编码不在物料档案里"))</f>
        <v/>
      </c>
      <c r="K1100" s="23" t="n"/>
      <c r="L1100" s="31" t="n"/>
      <c r="M1100" s="24">
        <f>IF($G1100="","",IF($D1100="A国内","CNY","TZS"))</f>
        <v/>
      </c>
      <c r="N1100" s="28">
        <f>IF($G1100="","",IF($D1100="A国内",汇率,1))</f>
        <v/>
      </c>
      <c r="O1100" s="25">
        <f>IF($G1100="","",ROUND(N($K1100)*N($L1100),2))</f>
        <v/>
      </c>
      <c r="P1100" s="26">
        <f>IF($G1100="","",ROUND($O1100*$N1100,0))</f>
        <v/>
      </c>
      <c r="Q1100" s="26">
        <f>IF($G1100="","",SUMIFS($P$4:$P$2503,$E$4:$E$2503,$E1100,$Z$4:$Z$2503,"正常"))</f>
        <v/>
      </c>
      <c r="R1100" s="26">
        <f>IF($G1100="","",SUMIFS(费用台账!$I$4:$I$503,费用台账!$C$4:$C$503,$E1100,费用台账!$J$4:$J$503,"是",费用台账!$K$4:$K$503,"正常"))</f>
        <v/>
      </c>
      <c r="S1100" s="28">
        <f>IF($G1100="","",COUNTIFS($E$4:$E$2503,$E1100,$Z$4:$Z$2503,"正常",$Y$4:$Y$2503,"待补价"))</f>
        <v/>
      </c>
      <c r="T1100" s="26">
        <f>IF($G1100="","",SUMIFS($P$4:$P$2503,$E$4:$E$2503,$E1100,$Z$4:$Z$2503,"正常",$A$4:$A$2503,"&lt;="&amp;$A1100))</f>
        <v/>
      </c>
      <c r="U1100" s="26">
        <f>IF($G1100="","",IF(OR($S1100&gt;0,$Q1100=0,$R1100=0,$Z1100&lt;&gt;"正常"),0,ROUND($T1100/$Q1100*$R1100,0)-ROUND(($T1100-$P1100)/$Q1100*$R1100,0)))</f>
        <v/>
      </c>
      <c r="V1100" s="26">
        <f>IF($G1100="","",ROUND($P1100+$U1100,0))</f>
        <v/>
      </c>
      <c r="W1100" s="26">
        <f>IF($G1100="","",IF(N($K1100)=0,0,ROUND($V1100/$K1100,2)))</f>
        <v/>
      </c>
      <c r="X1100" s="17" t="n"/>
      <c r="Y1100" s="17" t="n"/>
      <c r="Z1100" s="17" t="n"/>
      <c r="AA1100" s="17" t="n"/>
      <c r="AB1100" s="17" t="n"/>
      <c r="AC1100" s="24">
        <f>IF($G1100="","",IF($H1100="※编码不在物料档案里","※物料编码不在档案里",IF(N($K1100)&lt;=0,"※入库数量要大于 0",IF(AND($C1100&lt;&gt;"",$C1100&lt;=结账锁),"※日期早于已结账截止日，不能再录",IF(AND($L1100=0,$X1100="正常"),"※没填单价，价格状态请选「待补价」",IF(AND($S1100&gt;0,$R1100&gt;0),"△本批有 "&amp;$S1100&amp;" 行没单价，整批运费先挂账没摊",IF(AND($B1100&lt;&gt;"",COUNTIF($B$4:$B$2503,$B1100)&gt;1),"※入库单号重复","")))))))</f>
        <v/>
      </c>
    </row>
    <row r="1101">
      <c r="A1101" s="24">
        <f>IF($G1101="","",COUNTA($G$4:$G1101))</f>
        <v/>
      </c>
      <c r="B1101" s="17" t="n"/>
      <c r="C1101" s="30" t="n"/>
      <c r="D1101" s="17" t="n"/>
      <c r="E1101" s="17" t="n"/>
      <c r="F1101" s="17" t="n"/>
      <c r="G1101" s="17" t="n"/>
      <c r="H1101" s="24">
        <f>IF($G1101="","",IFERROR(VLOOKUP($G1101,物料档案!$A$4:$P$1203,3,0),"※编码不在物料档案里"))</f>
        <v/>
      </c>
      <c r="I1101" s="24">
        <f>IF($G1101="","",IFERROR(VLOOKUP($G1101,物料档案!$A$4:$P$1203,4,0),"※编码不在物料档案里"))</f>
        <v/>
      </c>
      <c r="J1101" s="24">
        <f>IF($G1101="","",IFERROR(VLOOKUP($G1101,物料档案!$A$4:$P$1203,5,0),"※编码不在物料档案里"))</f>
        <v/>
      </c>
      <c r="K1101" s="23" t="n"/>
      <c r="L1101" s="31" t="n"/>
      <c r="M1101" s="24">
        <f>IF($G1101="","",IF($D1101="A国内","CNY","TZS"))</f>
        <v/>
      </c>
      <c r="N1101" s="28">
        <f>IF($G1101="","",IF($D1101="A国内",汇率,1))</f>
        <v/>
      </c>
      <c r="O1101" s="25">
        <f>IF($G1101="","",ROUND(N($K1101)*N($L1101),2))</f>
        <v/>
      </c>
      <c r="P1101" s="26">
        <f>IF($G1101="","",ROUND($O1101*$N1101,0))</f>
        <v/>
      </c>
      <c r="Q1101" s="26">
        <f>IF($G1101="","",SUMIFS($P$4:$P$2503,$E$4:$E$2503,$E1101,$Z$4:$Z$2503,"正常"))</f>
        <v/>
      </c>
      <c r="R1101" s="26">
        <f>IF($G1101="","",SUMIFS(费用台账!$I$4:$I$503,费用台账!$C$4:$C$503,$E1101,费用台账!$J$4:$J$503,"是",费用台账!$K$4:$K$503,"正常"))</f>
        <v/>
      </c>
      <c r="S1101" s="28">
        <f>IF($G1101="","",COUNTIFS($E$4:$E$2503,$E1101,$Z$4:$Z$2503,"正常",$Y$4:$Y$2503,"待补价"))</f>
        <v/>
      </c>
      <c r="T1101" s="26">
        <f>IF($G1101="","",SUMIFS($P$4:$P$2503,$E$4:$E$2503,$E1101,$Z$4:$Z$2503,"正常",$A$4:$A$2503,"&lt;="&amp;$A1101))</f>
        <v/>
      </c>
      <c r="U1101" s="26">
        <f>IF($G1101="","",IF(OR($S1101&gt;0,$Q1101=0,$R1101=0,$Z1101&lt;&gt;"正常"),0,ROUND($T1101/$Q1101*$R1101,0)-ROUND(($T1101-$P1101)/$Q1101*$R1101,0)))</f>
        <v/>
      </c>
      <c r="V1101" s="26">
        <f>IF($G1101="","",ROUND($P1101+$U1101,0))</f>
        <v/>
      </c>
      <c r="W1101" s="26">
        <f>IF($G1101="","",IF(N($K1101)=0,0,ROUND($V1101/$K1101,2)))</f>
        <v/>
      </c>
      <c r="X1101" s="17" t="n"/>
      <c r="Y1101" s="17" t="n"/>
      <c r="Z1101" s="17" t="n"/>
      <c r="AA1101" s="17" t="n"/>
      <c r="AB1101" s="17" t="n"/>
      <c r="AC1101" s="24">
        <f>IF($G1101="","",IF($H1101="※编码不在物料档案里","※物料编码不在档案里",IF(N($K1101)&lt;=0,"※入库数量要大于 0",IF(AND($C1101&lt;&gt;"",$C1101&lt;=结账锁),"※日期早于已结账截止日，不能再录",IF(AND($L1101=0,$X1101="正常"),"※没填单价，价格状态请选「待补价」",IF(AND($S1101&gt;0,$R1101&gt;0),"△本批有 "&amp;$S1101&amp;" 行没单价，整批运费先挂账没摊",IF(AND($B1101&lt;&gt;"",COUNTIF($B$4:$B$2503,$B1101)&gt;1),"※入库单号重复","")))))))</f>
        <v/>
      </c>
    </row>
    <row r="1102">
      <c r="A1102" s="24">
        <f>IF($G1102="","",COUNTA($G$4:$G1102))</f>
        <v/>
      </c>
      <c r="B1102" s="17" t="n"/>
      <c r="C1102" s="30" t="n"/>
      <c r="D1102" s="17" t="n"/>
      <c r="E1102" s="17" t="n"/>
      <c r="F1102" s="17" t="n"/>
      <c r="G1102" s="17" t="n"/>
      <c r="H1102" s="24">
        <f>IF($G1102="","",IFERROR(VLOOKUP($G1102,物料档案!$A$4:$P$1203,3,0),"※编码不在物料档案里"))</f>
        <v/>
      </c>
      <c r="I1102" s="24">
        <f>IF($G1102="","",IFERROR(VLOOKUP($G1102,物料档案!$A$4:$P$1203,4,0),"※编码不在物料档案里"))</f>
        <v/>
      </c>
      <c r="J1102" s="24">
        <f>IF($G1102="","",IFERROR(VLOOKUP($G1102,物料档案!$A$4:$P$1203,5,0),"※编码不在物料档案里"))</f>
        <v/>
      </c>
      <c r="K1102" s="23" t="n"/>
      <c r="L1102" s="31" t="n"/>
      <c r="M1102" s="24">
        <f>IF($G1102="","",IF($D1102="A国内","CNY","TZS"))</f>
        <v/>
      </c>
      <c r="N1102" s="28">
        <f>IF($G1102="","",IF($D1102="A国内",汇率,1))</f>
        <v/>
      </c>
      <c r="O1102" s="25">
        <f>IF($G1102="","",ROUND(N($K1102)*N($L1102),2))</f>
        <v/>
      </c>
      <c r="P1102" s="26">
        <f>IF($G1102="","",ROUND($O1102*$N1102,0))</f>
        <v/>
      </c>
      <c r="Q1102" s="26">
        <f>IF($G1102="","",SUMIFS($P$4:$P$2503,$E$4:$E$2503,$E1102,$Z$4:$Z$2503,"正常"))</f>
        <v/>
      </c>
      <c r="R1102" s="26">
        <f>IF($G1102="","",SUMIFS(费用台账!$I$4:$I$503,费用台账!$C$4:$C$503,$E1102,费用台账!$J$4:$J$503,"是",费用台账!$K$4:$K$503,"正常"))</f>
        <v/>
      </c>
      <c r="S1102" s="28">
        <f>IF($G1102="","",COUNTIFS($E$4:$E$2503,$E1102,$Z$4:$Z$2503,"正常",$Y$4:$Y$2503,"待补价"))</f>
        <v/>
      </c>
      <c r="T1102" s="26">
        <f>IF($G1102="","",SUMIFS($P$4:$P$2503,$E$4:$E$2503,$E1102,$Z$4:$Z$2503,"正常",$A$4:$A$2503,"&lt;="&amp;$A1102))</f>
        <v/>
      </c>
      <c r="U1102" s="26">
        <f>IF($G1102="","",IF(OR($S1102&gt;0,$Q1102=0,$R1102=0,$Z1102&lt;&gt;"正常"),0,ROUND($T1102/$Q1102*$R1102,0)-ROUND(($T1102-$P1102)/$Q1102*$R1102,0)))</f>
        <v/>
      </c>
      <c r="V1102" s="26">
        <f>IF($G1102="","",ROUND($P1102+$U1102,0))</f>
        <v/>
      </c>
      <c r="W1102" s="26">
        <f>IF($G1102="","",IF(N($K1102)=0,0,ROUND($V1102/$K1102,2)))</f>
        <v/>
      </c>
      <c r="X1102" s="17" t="n"/>
      <c r="Y1102" s="17" t="n"/>
      <c r="Z1102" s="17" t="n"/>
      <c r="AA1102" s="17" t="n"/>
      <c r="AB1102" s="17" t="n"/>
      <c r="AC1102" s="24">
        <f>IF($G1102="","",IF($H1102="※编码不在物料档案里","※物料编码不在档案里",IF(N($K1102)&lt;=0,"※入库数量要大于 0",IF(AND($C1102&lt;&gt;"",$C1102&lt;=结账锁),"※日期早于已结账截止日，不能再录",IF(AND($L1102=0,$X1102="正常"),"※没填单价，价格状态请选「待补价」",IF(AND($S1102&gt;0,$R1102&gt;0),"△本批有 "&amp;$S1102&amp;" 行没单价，整批运费先挂账没摊",IF(AND($B1102&lt;&gt;"",COUNTIF($B$4:$B$2503,$B1102)&gt;1),"※入库单号重复","")))))))</f>
        <v/>
      </c>
    </row>
    <row r="1103">
      <c r="A1103" s="24">
        <f>IF($G1103="","",COUNTA($G$4:$G1103))</f>
        <v/>
      </c>
      <c r="B1103" s="17" t="n"/>
      <c r="C1103" s="30" t="n"/>
      <c r="D1103" s="17" t="n"/>
      <c r="E1103" s="17" t="n"/>
      <c r="F1103" s="17" t="n"/>
      <c r="G1103" s="17" t="n"/>
      <c r="H1103" s="24">
        <f>IF($G1103="","",IFERROR(VLOOKUP($G1103,物料档案!$A$4:$P$1203,3,0),"※编码不在物料档案里"))</f>
        <v/>
      </c>
      <c r="I1103" s="24">
        <f>IF($G1103="","",IFERROR(VLOOKUP($G1103,物料档案!$A$4:$P$1203,4,0),"※编码不在物料档案里"))</f>
        <v/>
      </c>
      <c r="J1103" s="24">
        <f>IF($G1103="","",IFERROR(VLOOKUP($G1103,物料档案!$A$4:$P$1203,5,0),"※编码不在物料档案里"))</f>
        <v/>
      </c>
      <c r="K1103" s="23" t="n"/>
      <c r="L1103" s="31" t="n"/>
      <c r="M1103" s="24">
        <f>IF($G1103="","",IF($D1103="A国内","CNY","TZS"))</f>
        <v/>
      </c>
      <c r="N1103" s="28">
        <f>IF($G1103="","",IF($D1103="A国内",汇率,1))</f>
        <v/>
      </c>
      <c r="O1103" s="25">
        <f>IF($G1103="","",ROUND(N($K1103)*N($L1103),2))</f>
        <v/>
      </c>
      <c r="P1103" s="26">
        <f>IF($G1103="","",ROUND($O1103*$N1103,0))</f>
        <v/>
      </c>
      <c r="Q1103" s="26">
        <f>IF($G1103="","",SUMIFS($P$4:$P$2503,$E$4:$E$2503,$E1103,$Z$4:$Z$2503,"正常"))</f>
        <v/>
      </c>
      <c r="R1103" s="26">
        <f>IF($G1103="","",SUMIFS(费用台账!$I$4:$I$503,费用台账!$C$4:$C$503,$E1103,费用台账!$J$4:$J$503,"是",费用台账!$K$4:$K$503,"正常"))</f>
        <v/>
      </c>
      <c r="S1103" s="28">
        <f>IF($G1103="","",COUNTIFS($E$4:$E$2503,$E1103,$Z$4:$Z$2503,"正常",$Y$4:$Y$2503,"待补价"))</f>
        <v/>
      </c>
      <c r="T1103" s="26">
        <f>IF($G1103="","",SUMIFS($P$4:$P$2503,$E$4:$E$2503,$E1103,$Z$4:$Z$2503,"正常",$A$4:$A$2503,"&lt;="&amp;$A1103))</f>
        <v/>
      </c>
      <c r="U1103" s="26">
        <f>IF($G1103="","",IF(OR($S1103&gt;0,$Q1103=0,$R1103=0,$Z1103&lt;&gt;"正常"),0,ROUND($T1103/$Q1103*$R1103,0)-ROUND(($T1103-$P1103)/$Q1103*$R1103,0)))</f>
        <v/>
      </c>
      <c r="V1103" s="26">
        <f>IF($G1103="","",ROUND($P1103+$U1103,0))</f>
        <v/>
      </c>
      <c r="W1103" s="26">
        <f>IF($G1103="","",IF(N($K1103)=0,0,ROUND($V1103/$K1103,2)))</f>
        <v/>
      </c>
      <c r="X1103" s="17" t="n"/>
      <c r="Y1103" s="17" t="n"/>
      <c r="Z1103" s="17" t="n"/>
      <c r="AA1103" s="17" t="n"/>
      <c r="AB1103" s="17" t="n"/>
      <c r="AC1103" s="24">
        <f>IF($G1103="","",IF($H1103="※编码不在物料档案里","※物料编码不在档案里",IF(N($K1103)&lt;=0,"※入库数量要大于 0",IF(AND($C1103&lt;&gt;"",$C1103&lt;=结账锁),"※日期早于已结账截止日，不能再录",IF(AND($L1103=0,$X1103="正常"),"※没填单价，价格状态请选「待补价」",IF(AND($S1103&gt;0,$R1103&gt;0),"△本批有 "&amp;$S1103&amp;" 行没单价，整批运费先挂账没摊",IF(AND($B1103&lt;&gt;"",COUNTIF($B$4:$B$2503,$B1103)&gt;1),"※入库单号重复","")))))))</f>
        <v/>
      </c>
    </row>
    <row r="1104">
      <c r="A1104" s="24">
        <f>IF($G1104="","",COUNTA($G$4:$G1104))</f>
        <v/>
      </c>
      <c r="B1104" s="17" t="n"/>
      <c r="C1104" s="30" t="n"/>
      <c r="D1104" s="17" t="n"/>
      <c r="E1104" s="17" t="n"/>
      <c r="F1104" s="17" t="n"/>
      <c r="G1104" s="17" t="n"/>
      <c r="H1104" s="24">
        <f>IF($G1104="","",IFERROR(VLOOKUP($G1104,物料档案!$A$4:$P$1203,3,0),"※编码不在物料档案里"))</f>
        <v/>
      </c>
      <c r="I1104" s="24">
        <f>IF($G1104="","",IFERROR(VLOOKUP($G1104,物料档案!$A$4:$P$1203,4,0),"※编码不在物料档案里"))</f>
        <v/>
      </c>
      <c r="J1104" s="24">
        <f>IF($G1104="","",IFERROR(VLOOKUP($G1104,物料档案!$A$4:$P$1203,5,0),"※编码不在物料档案里"))</f>
        <v/>
      </c>
      <c r="K1104" s="23" t="n"/>
      <c r="L1104" s="31" t="n"/>
      <c r="M1104" s="24">
        <f>IF($G1104="","",IF($D1104="A国内","CNY","TZS"))</f>
        <v/>
      </c>
      <c r="N1104" s="28">
        <f>IF($G1104="","",IF($D1104="A国内",汇率,1))</f>
        <v/>
      </c>
      <c r="O1104" s="25">
        <f>IF($G1104="","",ROUND(N($K1104)*N($L1104),2))</f>
        <v/>
      </c>
      <c r="P1104" s="26">
        <f>IF($G1104="","",ROUND($O1104*$N1104,0))</f>
        <v/>
      </c>
      <c r="Q1104" s="26">
        <f>IF($G1104="","",SUMIFS($P$4:$P$2503,$E$4:$E$2503,$E1104,$Z$4:$Z$2503,"正常"))</f>
        <v/>
      </c>
      <c r="R1104" s="26">
        <f>IF($G1104="","",SUMIFS(费用台账!$I$4:$I$503,费用台账!$C$4:$C$503,$E1104,费用台账!$J$4:$J$503,"是",费用台账!$K$4:$K$503,"正常"))</f>
        <v/>
      </c>
      <c r="S1104" s="28">
        <f>IF($G1104="","",COUNTIFS($E$4:$E$2503,$E1104,$Z$4:$Z$2503,"正常",$Y$4:$Y$2503,"待补价"))</f>
        <v/>
      </c>
      <c r="T1104" s="26">
        <f>IF($G1104="","",SUMIFS($P$4:$P$2503,$E$4:$E$2503,$E1104,$Z$4:$Z$2503,"正常",$A$4:$A$2503,"&lt;="&amp;$A1104))</f>
        <v/>
      </c>
      <c r="U1104" s="26">
        <f>IF($G1104="","",IF(OR($S1104&gt;0,$Q1104=0,$R1104=0,$Z1104&lt;&gt;"正常"),0,ROUND($T1104/$Q1104*$R1104,0)-ROUND(($T1104-$P1104)/$Q1104*$R1104,0)))</f>
        <v/>
      </c>
      <c r="V1104" s="26">
        <f>IF($G1104="","",ROUND($P1104+$U1104,0))</f>
        <v/>
      </c>
      <c r="W1104" s="26">
        <f>IF($G1104="","",IF(N($K1104)=0,0,ROUND($V1104/$K1104,2)))</f>
        <v/>
      </c>
      <c r="X1104" s="17" t="n"/>
      <c r="Y1104" s="17" t="n"/>
      <c r="Z1104" s="17" t="n"/>
      <c r="AA1104" s="17" t="n"/>
      <c r="AB1104" s="17" t="n"/>
      <c r="AC1104" s="24">
        <f>IF($G1104="","",IF($H1104="※编码不在物料档案里","※物料编码不在档案里",IF(N($K1104)&lt;=0,"※入库数量要大于 0",IF(AND($C1104&lt;&gt;"",$C1104&lt;=结账锁),"※日期早于已结账截止日，不能再录",IF(AND($L1104=0,$X1104="正常"),"※没填单价，价格状态请选「待补价」",IF(AND($S1104&gt;0,$R1104&gt;0),"△本批有 "&amp;$S1104&amp;" 行没单价，整批运费先挂账没摊",IF(AND($B1104&lt;&gt;"",COUNTIF($B$4:$B$2503,$B1104)&gt;1),"※入库单号重复","")))))))</f>
        <v/>
      </c>
    </row>
    <row r="1105">
      <c r="A1105" s="24">
        <f>IF($G1105="","",COUNTA($G$4:$G1105))</f>
        <v/>
      </c>
      <c r="B1105" s="17" t="n"/>
      <c r="C1105" s="30" t="n"/>
      <c r="D1105" s="17" t="n"/>
      <c r="E1105" s="17" t="n"/>
      <c r="F1105" s="17" t="n"/>
      <c r="G1105" s="17" t="n"/>
      <c r="H1105" s="24">
        <f>IF($G1105="","",IFERROR(VLOOKUP($G1105,物料档案!$A$4:$P$1203,3,0),"※编码不在物料档案里"))</f>
        <v/>
      </c>
      <c r="I1105" s="24">
        <f>IF($G1105="","",IFERROR(VLOOKUP($G1105,物料档案!$A$4:$P$1203,4,0),"※编码不在物料档案里"))</f>
        <v/>
      </c>
      <c r="J1105" s="24">
        <f>IF($G1105="","",IFERROR(VLOOKUP($G1105,物料档案!$A$4:$P$1203,5,0),"※编码不在物料档案里"))</f>
        <v/>
      </c>
      <c r="K1105" s="23" t="n"/>
      <c r="L1105" s="31" t="n"/>
      <c r="M1105" s="24">
        <f>IF($G1105="","",IF($D1105="A国内","CNY","TZS"))</f>
        <v/>
      </c>
      <c r="N1105" s="28">
        <f>IF($G1105="","",IF($D1105="A国内",汇率,1))</f>
        <v/>
      </c>
      <c r="O1105" s="25">
        <f>IF($G1105="","",ROUND(N($K1105)*N($L1105),2))</f>
        <v/>
      </c>
      <c r="P1105" s="26">
        <f>IF($G1105="","",ROUND($O1105*$N1105,0))</f>
        <v/>
      </c>
      <c r="Q1105" s="26">
        <f>IF($G1105="","",SUMIFS($P$4:$P$2503,$E$4:$E$2503,$E1105,$Z$4:$Z$2503,"正常"))</f>
        <v/>
      </c>
      <c r="R1105" s="26">
        <f>IF($G1105="","",SUMIFS(费用台账!$I$4:$I$503,费用台账!$C$4:$C$503,$E1105,费用台账!$J$4:$J$503,"是",费用台账!$K$4:$K$503,"正常"))</f>
        <v/>
      </c>
      <c r="S1105" s="28">
        <f>IF($G1105="","",COUNTIFS($E$4:$E$2503,$E1105,$Z$4:$Z$2503,"正常",$Y$4:$Y$2503,"待补价"))</f>
        <v/>
      </c>
      <c r="T1105" s="26">
        <f>IF($G1105="","",SUMIFS($P$4:$P$2503,$E$4:$E$2503,$E1105,$Z$4:$Z$2503,"正常",$A$4:$A$2503,"&lt;="&amp;$A1105))</f>
        <v/>
      </c>
      <c r="U1105" s="26">
        <f>IF($G1105="","",IF(OR($S1105&gt;0,$Q1105=0,$R1105=0,$Z1105&lt;&gt;"正常"),0,ROUND($T1105/$Q1105*$R1105,0)-ROUND(($T1105-$P1105)/$Q1105*$R1105,0)))</f>
        <v/>
      </c>
      <c r="V1105" s="26">
        <f>IF($G1105="","",ROUND($P1105+$U1105,0))</f>
        <v/>
      </c>
      <c r="W1105" s="26">
        <f>IF($G1105="","",IF(N($K1105)=0,0,ROUND($V1105/$K1105,2)))</f>
        <v/>
      </c>
      <c r="X1105" s="17" t="n"/>
      <c r="Y1105" s="17" t="n"/>
      <c r="Z1105" s="17" t="n"/>
      <c r="AA1105" s="17" t="n"/>
      <c r="AB1105" s="17" t="n"/>
      <c r="AC1105" s="24">
        <f>IF($G1105="","",IF($H1105="※编码不在物料档案里","※物料编码不在档案里",IF(N($K1105)&lt;=0,"※入库数量要大于 0",IF(AND($C1105&lt;&gt;"",$C1105&lt;=结账锁),"※日期早于已结账截止日，不能再录",IF(AND($L1105=0,$X1105="正常"),"※没填单价，价格状态请选「待补价」",IF(AND($S1105&gt;0,$R1105&gt;0),"△本批有 "&amp;$S1105&amp;" 行没单价，整批运费先挂账没摊",IF(AND($B1105&lt;&gt;"",COUNTIF($B$4:$B$2503,$B1105)&gt;1),"※入库单号重复","")))))))</f>
        <v/>
      </c>
    </row>
    <row r="1106">
      <c r="A1106" s="24">
        <f>IF($G1106="","",COUNTA($G$4:$G1106))</f>
        <v/>
      </c>
      <c r="B1106" s="17" t="n"/>
      <c r="C1106" s="30" t="n"/>
      <c r="D1106" s="17" t="n"/>
      <c r="E1106" s="17" t="n"/>
      <c r="F1106" s="17" t="n"/>
      <c r="G1106" s="17" t="n"/>
      <c r="H1106" s="24">
        <f>IF($G1106="","",IFERROR(VLOOKUP($G1106,物料档案!$A$4:$P$1203,3,0),"※编码不在物料档案里"))</f>
        <v/>
      </c>
      <c r="I1106" s="24">
        <f>IF($G1106="","",IFERROR(VLOOKUP($G1106,物料档案!$A$4:$P$1203,4,0),"※编码不在物料档案里"))</f>
        <v/>
      </c>
      <c r="J1106" s="24">
        <f>IF($G1106="","",IFERROR(VLOOKUP($G1106,物料档案!$A$4:$P$1203,5,0),"※编码不在物料档案里"))</f>
        <v/>
      </c>
      <c r="K1106" s="23" t="n"/>
      <c r="L1106" s="31" t="n"/>
      <c r="M1106" s="24">
        <f>IF($G1106="","",IF($D1106="A国内","CNY","TZS"))</f>
        <v/>
      </c>
      <c r="N1106" s="28">
        <f>IF($G1106="","",IF($D1106="A国内",汇率,1))</f>
        <v/>
      </c>
      <c r="O1106" s="25">
        <f>IF($G1106="","",ROUND(N($K1106)*N($L1106),2))</f>
        <v/>
      </c>
      <c r="P1106" s="26">
        <f>IF($G1106="","",ROUND($O1106*$N1106,0))</f>
        <v/>
      </c>
      <c r="Q1106" s="26">
        <f>IF($G1106="","",SUMIFS($P$4:$P$2503,$E$4:$E$2503,$E1106,$Z$4:$Z$2503,"正常"))</f>
        <v/>
      </c>
      <c r="R1106" s="26">
        <f>IF($G1106="","",SUMIFS(费用台账!$I$4:$I$503,费用台账!$C$4:$C$503,$E1106,费用台账!$J$4:$J$503,"是",费用台账!$K$4:$K$503,"正常"))</f>
        <v/>
      </c>
      <c r="S1106" s="28">
        <f>IF($G1106="","",COUNTIFS($E$4:$E$2503,$E1106,$Z$4:$Z$2503,"正常",$Y$4:$Y$2503,"待补价"))</f>
        <v/>
      </c>
      <c r="T1106" s="26">
        <f>IF($G1106="","",SUMIFS($P$4:$P$2503,$E$4:$E$2503,$E1106,$Z$4:$Z$2503,"正常",$A$4:$A$2503,"&lt;="&amp;$A1106))</f>
        <v/>
      </c>
      <c r="U1106" s="26">
        <f>IF($G1106="","",IF(OR($S1106&gt;0,$Q1106=0,$R1106=0,$Z1106&lt;&gt;"正常"),0,ROUND($T1106/$Q1106*$R1106,0)-ROUND(($T1106-$P1106)/$Q1106*$R1106,0)))</f>
        <v/>
      </c>
      <c r="V1106" s="26">
        <f>IF($G1106="","",ROUND($P1106+$U1106,0))</f>
        <v/>
      </c>
      <c r="W1106" s="26">
        <f>IF($G1106="","",IF(N($K1106)=0,0,ROUND($V1106/$K1106,2)))</f>
        <v/>
      </c>
      <c r="X1106" s="17" t="n"/>
      <c r="Y1106" s="17" t="n"/>
      <c r="Z1106" s="17" t="n"/>
      <c r="AA1106" s="17" t="n"/>
      <c r="AB1106" s="17" t="n"/>
      <c r="AC1106" s="24">
        <f>IF($G1106="","",IF($H1106="※编码不在物料档案里","※物料编码不在档案里",IF(N($K1106)&lt;=0,"※入库数量要大于 0",IF(AND($C1106&lt;&gt;"",$C1106&lt;=结账锁),"※日期早于已结账截止日，不能再录",IF(AND($L1106=0,$X1106="正常"),"※没填单价，价格状态请选「待补价」",IF(AND($S1106&gt;0,$R1106&gt;0),"△本批有 "&amp;$S1106&amp;" 行没单价，整批运费先挂账没摊",IF(AND($B1106&lt;&gt;"",COUNTIF($B$4:$B$2503,$B1106)&gt;1),"※入库单号重复","")))))))</f>
        <v/>
      </c>
    </row>
    <row r="1107">
      <c r="A1107" s="24">
        <f>IF($G1107="","",COUNTA($G$4:$G1107))</f>
        <v/>
      </c>
      <c r="B1107" s="17" t="n"/>
      <c r="C1107" s="30" t="n"/>
      <c r="D1107" s="17" t="n"/>
      <c r="E1107" s="17" t="n"/>
      <c r="F1107" s="17" t="n"/>
      <c r="G1107" s="17" t="n"/>
      <c r="H1107" s="24">
        <f>IF($G1107="","",IFERROR(VLOOKUP($G1107,物料档案!$A$4:$P$1203,3,0),"※编码不在物料档案里"))</f>
        <v/>
      </c>
      <c r="I1107" s="24">
        <f>IF($G1107="","",IFERROR(VLOOKUP($G1107,物料档案!$A$4:$P$1203,4,0),"※编码不在物料档案里"))</f>
        <v/>
      </c>
      <c r="J1107" s="24">
        <f>IF($G1107="","",IFERROR(VLOOKUP($G1107,物料档案!$A$4:$P$1203,5,0),"※编码不在物料档案里"))</f>
        <v/>
      </c>
      <c r="K1107" s="23" t="n"/>
      <c r="L1107" s="31" t="n"/>
      <c r="M1107" s="24">
        <f>IF($G1107="","",IF($D1107="A国内","CNY","TZS"))</f>
        <v/>
      </c>
      <c r="N1107" s="28">
        <f>IF($G1107="","",IF($D1107="A国内",汇率,1))</f>
        <v/>
      </c>
      <c r="O1107" s="25">
        <f>IF($G1107="","",ROUND(N($K1107)*N($L1107),2))</f>
        <v/>
      </c>
      <c r="P1107" s="26">
        <f>IF($G1107="","",ROUND($O1107*$N1107,0))</f>
        <v/>
      </c>
      <c r="Q1107" s="26">
        <f>IF($G1107="","",SUMIFS($P$4:$P$2503,$E$4:$E$2503,$E1107,$Z$4:$Z$2503,"正常"))</f>
        <v/>
      </c>
      <c r="R1107" s="26">
        <f>IF($G1107="","",SUMIFS(费用台账!$I$4:$I$503,费用台账!$C$4:$C$503,$E1107,费用台账!$J$4:$J$503,"是",费用台账!$K$4:$K$503,"正常"))</f>
        <v/>
      </c>
      <c r="S1107" s="28">
        <f>IF($G1107="","",COUNTIFS($E$4:$E$2503,$E1107,$Z$4:$Z$2503,"正常",$Y$4:$Y$2503,"待补价"))</f>
        <v/>
      </c>
      <c r="T1107" s="26">
        <f>IF($G1107="","",SUMIFS($P$4:$P$2503,$E$4:$E$2503,$E1107,$Z$4:$Z$2503,"正常",$A$4:$A$2503,"&lt;="&amp;$A1107))</f>
        <v/>
      </c>
      <c r="U1107" s="26">
        <f>IF($G1107="","",IF(OR($S1107&gt;0,$Q1107=0,$R1107=0,$Z1107&lt;&gt;"正常"),0,ROUND($T1107/$Q1107*$R1107,0)-ROUND(($T1107-$P1107)/$Q1107*$R1107,0)))</f>
        <v/>
      </c>
      <c r="V1107" s="26">
        <f>IF($G1107="","",ROUND($P1107+$U1107,0))</f>
        <v/>
      </c>
      <c r="W1107" s="26">
        <f>IF($G1107="","",IF(N($K1107)=0,0,ROUND($V1107/$K1107,2)))</f>
        <v/>
      </c>
      <c r="X1107" s="17" t="n"/>
      <c r="Y1107" s="17" t="n"/>
      <c r="Z1107" s="17" t="n"/>
      <c r="AA1107" s="17" t="n"/>
      <c r="AB1107" s="17" t="n"/>
      <c r="AC1107" s="24">
        <f>IF($G1107="","",IF($H1107="※编码不在物料档案里","※物料编码不在档案里",IF(N($K1107)&lt;=0,"※入库数量要大于 0",IF(AND($C1107&lt;&gt;"",$C1107&lt;=结账锁),"※日期早于已结账截止日，不能再录",IF(AND($L1107=0,$X1107="正常"),"※没填单价，价格状态请选「待补价」",IF(AND($S1107&gt;0,$R1107&gt;0),"△本批有 "&amp;$S1107&amp;" 行没单价，整批运费先挂账没摊",IF(AND($B1107&lt;&gt;"",COUNTIF($B$4:$B$2503,$B1107)&gt;1),"※入库单号重复","")))))))</f>
        <v/>
      </c>
    </row>
    <row r="1108">
      <c r="A1108" s="24">
        <f>IF($G1108="","",COUNTA($G$4:$G1108))</f>
        <v/>
      </c>
      <c r="B1108" s="17" t="n"/>
      <c r="C1108" s="30" t="n"/>
      <c r="D1108" s="17" t="n"/>
      <c r="E1108" s="17" t="n"/>
      <c r="F1108" s="17" t="n"/>
      <c r="G1108" s="17" t="n"/>
      <c r="H1108" s="24">
        <f>IF($G1108="","",IFERROR(VLOOKUP($G1108,物料档案!$A$4:$P$1203,3,0),"※编码不在物料档案里"))</f>
        <v/>
      </c>
      <c r="I1108" s="24">
        <f>IF($G1108="","",IFERROR(VLOOKUP($G1108,物料档案!$A$4:$P$1203,4,0),"※编码不在物料档案里"))</f>
        <v/>
      </c>
      <c r="J1108" s="24">
        <f>IF($G1108="","",IFERROR(VLOOKUP($G1108,物料档案!$A$4:$P$1203,5,0),"※编码不在物料档案里"))</f>
        <v/>
      </c>
      <c r="K1108" s="23" t="n"/>
      <c r="L1108" s="31" t="n"/>
      <c r="M1108" s="24">
        <f>IF($G1108="","",IF($D1108="A国内","CNY","TZS"))</f>
        <v/>
      </c>
      <c r="N1108" s="28">
        <f>IF($G1108="","",IF($D1108="A国内",汇率,1))</f>
        <v/>
      </c>
      <c r="O1108" s="25">
        <f>IF($G1108="","",ROUND(N($K1108)*N($L1108),2))</f>
        <v/>
      </c>
      <c r="P1108" s="26">
        <f>IF($G1108="","",ROUND($O1108*$N1108,0))</f>
        <v/>
      </c>
      <c r="Q1108" s="26">
        <f>IF($G1108="","",SUMIFS($P$4:$P$2503,$E$4:$E$2503,$E1108,$Z$4:$Z$2503,"正常"))</f>
        <v/>
      </c>
      <c r="R1108" s="26">
        <f>IF($G1108="","",SUMIFS(费用台账!$I$4:$I$503,费用台账!$C$4:$C$503,$E1108,费用台账!$J$4:$J$503,"是",费用台账!$K$4:$K$503,"正常"))</f>
        <v/>
      </c>
      <c r="S1108" s="28">
        <f>IF($G1108="","",COUNTIFS($E$4:$E$2503,$E1108,$Z$4:$Z$2503,"正常",$Y$4:$Y$2503,"待补价"))</f>
        <v/>
      </c>
      <c r="T1108" s="26">
        <f>IF($G1108="","",SUMIFS($P$4:$P$2503,$E$4:$E$2503,$E1108,$Z$4:$Z$2503,"正常",$A$4:$A$2503,"&lt;="&amp;$A1108))</f>
        <v/>
      </c>
      <c r="U1108" s="26">
        <f>IF($G1108="","",IF(OR($S1108&gt;0,$Q1108=0,$R1108=0,$Z1108&lt;&gt;"正常"),0,ROUND($T1108/$Q1108*$R1108,0)-ROUND(($T1108-$P1108)/$Q1108*$R1108,0)))</f>
        <v/>
      </c>
      <c r="V1108" s="26">
        <f>IF($G1108="","",ROUND($P1108+$U1108,0))</f>
        <v/>
      </c>
      <c r="W1108" s="26">
        <f>IF($G1108="","",IF(N($K1108)=0,0,ROUND($V1108/$K1108,2)))</f>
        <v/>
      </c>
      <c r="X1108" s="17" t="n"/>
      <c r="Y1108" s="17" t="n"/>
      <c r="Z1108" s="17" t="n"/>
      <c r="AA1108" s="17" t="n"/>
      <c r="AB1108" s="17" t="n"/>
      <c r="AC1108" s="24">
        <f>IF($G1108="","",IF($H1108="※编码不在物料档案里","※物料编码不在档案里",IF(N($K1108)&lt;=0,"※入库数量要大于 0",IF(AND($C1108&lt;&gt;"",$C1108&lt;=结账锁),"※日期早于已结账截止日，不能再录",IF(AND($L1108=0,$X1108="正常"),"※没填单价，价格状态请选「待补价」",IF(AND($S1108&gt;0,$R1108&gt;0),"△本批有 "&amp;$S1108&amp;" 行没单价，整批运费先挂账没摊",IF(AND($B1108&lt;&gt;"",COUNTIF($B$4:$B$2503,$B1108)&gt;1),"※入库单号重复","")))))))</f>
        <v/>
      </c>
    </row>
    <row r="1109">
      <c r="A1109" s="24">
        <f>IF($G1109="","",COUNTA($G$4:$G1109))</f>
        <v/>
      </c>
      <c r="B1109" s="17" t="n"/>
      <c r="C1109" s="30" t="n"/>
      <c r="D1109" s="17" t="n"/>
      <c r="E1109" s="17" t="n"/>
      <c r="F1109" s="17" t="n"/>
      <c r="G1109" s="17" t="n"/>
      <c r="H1109" s="24">
        <f>IF($G1109="","",IFERROR(VLOOKUP($G1109,物料档案!$A$4:$P$1203,3,0),"※编码不在物料档案里"))</f>
        <v/>
      </c>
      <c r="I1109" s="24">
        <f>IF($G1109="","",IFERROR(VLOOKUP($G1109,物料档案!$A$4:$P$1203,4,0),"※编码不在物料档案里"))</f>
        <v/>
      </c>
      <c r="J1109" s="24">
        <f>IF($G1109="","",IFERROR(VLOOKUP($G1109,物料档案!$A$4:$P$1203,5,0),"※编码不在物料档案里"))</f>
        <v/>
      </c>
      <c r="K1109" s="23" t="n"/>
      <c r="L1109" s="31" t="n"/>
      <c r="M1109" s="24">
        <f>IF($G1109="","",IF($D1109="A国内","CNY","TZS"))</f>
        <v/>
      </c>
      <c r="N1109" s="28">
        <f>IF($G1109="","",IF($D1109="A国内",汇率,1))</f>
        <v/>
      </c>
      <c r="O1109" s="25">
        <f>IF($G1109="","",ROUND(N($K1109)*N($L1109),2))</f>
        <v/>
      </c>
      <c r="P1109" s="26">
        <f>IF($G1109="","",ROUND($O1109*$N1109,0))</f>
        <v/>
      </c>
      <c r="Q1109" s="26">
        <f>IF($G1109="","",SUMIFS($P$4:$P$2503,$E$4:$E$2503,$E1109,$Z$4:$Z$2503,"正常"))</f>
        <v/>
      </c>
      <c r="R1109" s="26">
        <f>IF($G1109="","",SUMIFS(费用台账!$I$4:$I$503,费用台账!$C$4:$C$503,$E1109,费用台账!$J$4:$J$503,"是",费用台账!$K$4:$K$503,"正常"))</f>
        <v/>
      </c>
      <c r="S1109" s="28">
        <f>IF($G1109="","",COUNTIFS($E$4:$E$2503,$E1109,$Z$4:$Z$2503,"正常",$Y$4:$Y$2503,"待补价"))</f>
        <v/>
      </c>
      <c r="T1109" s="26">
        <f>IF($G1109="","",SUMIFS($P$4:$P$2503,$E$4:$E$2503,$E1109,$Z$4:$Z$2503,"正常",$A$4:$A$2503,"&lt;="&amp;$A1109))</f>
        <v/>
      </c>
      <c r="U1109" s="26">
        <f>IF($G1109="","",IF(OR($S1109&gt;0,$Q1109=0,$R1109=0,$Z1109&lt;&gt;"正常"),0,ROUND($T1109/$Q1109*$R1109,0)-ROUND(($T1109-$P1109)/$Q1109*$R1109,0)))</f>
        <v/>
      </c>
      <c r="V1109" s="26">
        <f>IF($G1109="","",ROUND($P1109+$U1109,0))</f>
        <v/>
      </c>
      <c r="W1109" s="26">
        <f>IF($G1109="","",IF(N($K1109)=0,0,ROUND($V1109/$K1109,2)))</f>
        <v/>
      </c>
      <c r="X1109" s="17" t="n"/>
      <c r="Y1109" s="17" t="n"/>
      <c r="Z1109" s="17" t="n"/>
      <c r="AA1109" s="17" t="n"/>
      <c r="AB1109" s="17" t="n"/>
      <c r="AC1109" s="24">
        <f>IF($G1109="","",IF($H1109="※编码不在物料档案里","※物料编码不在档案里",IF(N($K1109)&lt;=0,"※入库数量要大于 0",IF(AND($C1109&lt;&gt;"",$C1109&lt;=结账锁),"※日期早于已结账截止日，不能再录",IF(AND($L1109=0,$X1109="正常"),"※没填单价，价格状态请选「待补价」",IF(AND($S1109&gt;0,$R1109&gt;0),"△本批有 "&amp;$S1109&amp;" 行没单价，整批运费先挂账没摊",IF(AND($B1109&lt;&gt;"",COUNTIF($B$4:$B$2503,$B1109)&gt;1),"※入库单号重复","")))))))</f>
        <v/>
      </c>
    </row>
    <row r="1110">
      <c r="A1110" s="24">
        <f>IF($G1110="","",COUNTA($G$4:$G1110))</f>
        <v/>
      </c>
      <c r="B1110" s="17" t="n"/>
      <c r="C1110" s="30" t="n"/>
      <c r="D1110" s="17" t="n"/>
      <c r="E1110" s="17" t="n"/>
      <c r="F1110" s="17" t="n"/>
      <c r="G1110" s="17" t="n"/>
      <c r="H1110" s="24">
        <f>IF($G1110="","",IFERROR(VLOOKUP($G1110,物料档案!$A$4:$P$1203,3,0),"※编码不在物料档案里"))</f>
        <v/>
      </c>
      <c r="I1110" s="24">
        <f>IF($G1110="","",IFERROR(VLOOKUP($G1110,物料档案!$A$4:$P$1203,4,0),"※编码不在物料档案里"))</f>
        <v/>
      </c>
      <c r="J1110" s="24">
        <f>IF($G1110="","",IFERROR(VLOOKUP($G1110,物料档案!$A$4:$P$1203,5,0),"※编码不在物料档案里"))</f>
        <v/>
      </c>
      <c r="K1110" s="23" t="n"/>
      <c r="L1110" s="31" t="n"/>
      <c r="M1110" s="24">
        <f>IF($G1110="","",IF($D1110="A国内","CNY","TZS"))</f>
        <v/>
      </c>
      <c r="N1110" s="28">
        <f>IF($G1110="","",IF($D1110="A国内",汇率,1))</f>
        <v/>
      </c>
      <c r="O1110" s="25">
        <f>IF($G1110="","",ROUND(N($K1110)*N($L1110),2))</f>
        <v/>
      </c>
      <c r="P1110" s="26">
        <f>IF($G1110="","",ROUND($O1110*$N1110,0))</f>
        <v/>
      </c>
      <c r="Q1110" s="26">
        <f>IF($G1110="","",SUMIFS($P$4:$P$2503,$E$4:$E$2503,$E1110,$Z$4:$Z$2503,"正常"))</f>
        <v/>
      </c>
      <c r="R1110" s="26">
        <f>IF($G1110="","",SUMIFS(费用台账!$I$4:$I$503,费用台账!$C$4:$C$503,$E1110,费用台账!$J$4:$J$503,"是",费用台账!$K$4:$K$503,"正常"))</f>
        <v/>
      </c>
      <c r="S1110" s="28">
        <f>IF($G1110="","",COUNTIFS($E$4:$E$2503,$E1110,$Z$4:$Z$2503,"正常",$Y$4:$Y$2503,"待补价"))</f>
        <v/>
      </c>
      <c r="T1110" s="26">
        <f>IF($G1110="","",SUMIFS($P$4:$P$2503,$E$4:$E$2503,$E1110,$Z$4:$Z$2503,"正常",$A$4:$A$2503,"&lt;="&amp;$A1110))</f>
        <v/>
      </c>
      <c r="U1110" s="26">
        <f>IF($G1110="","",IF(OR($S1110&gt;0,$Q1110=0,$R1110=0,$Z1110&lt;&gt;"正常"),0,ROUND($T1110/$Q1110*$R1110,0)-ROUND(($T1110-$P1110)/$Q1110*$R1110,0)))</f>
        <v/>
      </c>
      <c r="V1110" s="26">
        <f>IF($G1110="","",ROUND($P1110+$U1110,0))</f>
        <v/>
      </c>
      <c r="W1110" s="26">
        <f>IF($G1110="","",IF(N($K1110)=0,0,ROUND($V1110/$K1110,2)))</f>
        <v/>
      </c>
      <c r="X1110" s="17" t="n"/>
      <c r="Y1110" s="17" t="n"/>
      <c r="Z1110" s="17" t="n"/>
      <c r="AA1110" s="17" t="n"/>
      <c r="AB1110" s="17" t="n"/>
      <c r="AC1110" s="24">
        <f>IF($G1110="","",IF($H1110="※编码不在物料档案里","※物料编码不在档案里",IF(N($K1110)&lt;=0,"※入库数量要大于 0",IF(AND($C1110&lt;&gt;"",$C1110&lt;=结账锁),"※日期早于已结账截止日，不能再录",IF(AND($L1110=0,$X1110="正常"),"※没填单价，价格状态请选「待补价」",IF(AND($S1110&gt;0,$R1110&gt;0),"△本批有 "&amp;$S1110&amp;" 行没单价，整批运费先挂账没摊",IF(AND($B1110&lt;&gt;"",COUNTIF($B$4:$B$2503,$B1110)&gt;1),"※入库单号重复","")))))))</f>
        <v/>
      </c>
    </row>
    <row r="1111">
      <c r="A1111" s="24">
        <f>IF($G1111="","",COUNTA($G$4:$G1111))</f>
        <v/>
      </c>
      <c r="B1111" s="17" t="n"/>
      <c r="C1111" s="30" t="n"/>
      <c r="D1111" s="17" t="n"/>
      <c r="E1111" s="17" t="n"/>
      <c r="F1111" s="17" t="n"/>
      <c r="G1111" s="17" t="n"/>
      <c r="H1111" s="24">
        <f>IF($G1111="","",IFERROR(VLOOKUP($G1111,物料档案!$A$4:$P$1203,3,0),"※编码不在物料档案里"))</f>
        <v/>
      </c>
      <c r="I1111" s="24">
        <f>IF($G1111="","",IFERROR(VLOOKUP($G1111,物料档案!$A$4:$P$1203,4,0),"※编码不在物料档案里"))</f>
        <v/>
      </c>
      <c r="J1111" s="24">
        <f>IF($G1111="","",IFERROR(VLOOKUP($G1111,物料档案!$A$4:$P$1203,5,0),"※编码不在物料档案里"))</f>
        <v/>
      </c>
      <c r="K1111" s="23" t="n"/>
      <c r="L1111" s="31" t="n"/>
      <c r="M1111" s="24">
        <f>IF($G1111="","",IF($D1111="A国内","CNY","TZS"))</f>
        <v/>
      </c>
      <c r="N1111" s="28">
        <f>IF($G1111="","",IF($D1111="A国内",汇率,1))</f>
        <v/>
      </c>
      <c r="O1111" s="25">
        <f>IF($G1111="","",ROUND(N($K1111)*N($L1111),2))</f>
        <v/>
      </c>
      <c r="P1111" s="26">
        <f>IF($G1111="","",ROUND($O1111*$N1111,0))</f>
        <v/>
      </c>
      <c r="Q1111" s="26">
        <f>IF($G1111="","",SUMIFS($P$4:$P$2503,$E$4:$E$2503,$E1111,$Z$4:$Z$2503,"正常"))</f>
        <v/>
      </c>
      <c r="R1111" s="26">
        <f>IF($G1111="","",SUMIFS(费用台账!$I$4:$I$503,费用台账!$C$4:$C$503,$E1111,费用台账!$J$4:$J$503,"是",费用台账!$K$4:$K$503,"正常"))</f>
        <v/>
      </c>
      <c r="S1111" s="28">
        <f>IF($G1111="","",COUNTIFS($E$4:$E$2503,$E1111,$Z$4:$Z$2503,"正常",$Y$4:$Y$2503,"待补价"))</f>
        <v/>
      </c>
      <c r="T1111" s="26">
        <f>IF($G1111="","",SUMIFS($P$4:$P$2503,$E$4:$E$2503,$E1111,$Z$4:$Z$2503,"正常",$A$4:$A$2503,"&lt;="&amp;$A1111))</f>
        <v/>
      </c>
      <c r="U1111" s="26">
        <f>IF($G1111="","",IF(OR($S1111&gt;0,$Q1111=0,$R1111=0,$Z1111&lt;&gt;"正常"),0,ROUND($T1111/$Q1111*$R1111,0)-ROUND(($T1111-$P1111)/$Q1111*$R1111,0)))</f>
        <v/>
      </c>
      <c r="V1111" s="26">
        <f>IF($G1111="","",ROUND($P1111+$U1111,0))</f>
        <v/>
      </c>
      <c r="W1111" s="26">
        <f>IF($G1111="","",IF(N($K1111)=0,0,ROUND($V1111/$K1111,2)))</f>
        <v/>
      </c>
      <c r="X1111" s="17" t="n"/>
      <c r="Y1111" s="17" t="n"/>
      <c r="Z1111" s="17" t="n"/>
      <c r="AA1111" s="17" t="n"/>
      <c r="AB1111" s="17" t="n"/>
      <c r="AC1111" s="24">
        <f>IF($G1111="","",IF($H1111="※编码不在物料档案里","※物料编码不在档案里",IF(N($K1111)&lt;=0,"※入库数量要大于 0",IF(AND($C1111&lt;&gt;"",$C1111&lt;=结账锁),"※日期早于已结账截止日，不能再录",IF(AND($L1111=0,$X1111="正常"),"※没填单价，价格状态请选「待补价」",IF(AND($S1111&gt;0,$R1111&gt;0),"△本批有 "&amp;$S1111&amp;" 行没单价，整批运费先挂账没摊",IF(AND($B1111&lt;&gt;"",COUNTIF($B$4:$B$2503,$B1111)&gt;1),"※入库单号重复","")))))))</f>
        <v/>
      </c>
    </row>
    <row r="1112">
      <c r="A1112" s="24">
        <f>IF($G1112="","",COUNTA($G$4:$G1112))</f>
        <v/>
      </c>
      <c r="B1112" s="17" t="n"/>
      <c r="C1112" s="30" t="n"/>
      <c r="D1112" s="17" t="n"/>
      <c r="E1112" s="17" t="n"/>
      <c r="F1112" s="17" t="n"/>
      <c r="G1112" s="17" t="n"/>
      <c r="H1112" s="24">
        <f>IF($G1112="","",IFERROR(VLOOKUP($G1112,物料档案!$A$4:$P$1203,3,0),"※编码不在物料档案里"))</f>
        <v/>
      </c>
      <c r="I1112" s="24">
        <f>IF($G1112="","",IFERROR(VLOOKUP($G1112,物料档案!$A$4:$P$1203,4,0),"※编码不在物料档案里"))</f>
        <v/>
      </c>
      <c r="J1112" s="24">
        <f>IF($G1112="","",IFERROR(VLOOKUP($G1112,物料档案!$A$4:$P$1203,5,0),"※编码不在物料档案里"))</f>
        <v/>
      </c>
      <c r="K1112" s="23" t="n"/>
      <c r="L1112" s="31" t="n"/>
      <c r="M1112" s="24">
        <f>IF($G1112="","",IF($D1112="A国内","CNY","TZS"))</f>
        <v/>
      </c>
      <c r="N1112" s="28">
        <f>IF($G1112="","",IF($D1112="A国内",汇率,1))</f>
        <v/>
      </c>
      <c r="O1112" s="25">
        <f>IF($G1112="","",ROUND(N($K1112)*N($L1112),2))</f>
        <v/>
      </c>
      <c r="P1112" s="26">
        <f>IF($G1112="","",ROUND($O1112*$N1112,0))</f>
        <v/>
      </c>
      <c r="Q1112" s="26">
        <f>IF($G1112="","",SUMIFS($P$4:$P$2503,$E$4:$E$2503,$E1112,$Z$4:$Z$2503,"正常"))</f>
        <v/>
      </c>
      <c r="R1112" s="26">
        <f>IF($G1112="","",SUMIFS(费用台账!$I$4:$I$503,费用台账!$C$4:$C$503,$E1112,费用台账!$J$4:$J$503,"是",费用台账!$K$4:$K$503,"正常"))</f>
        <v/>
      </c>
      <c r="S1112" s="28">
        <f>IF($G1112="","",COUNTIFS($E$4:$E$2503,$E1112,$Z$4:$Z$2503,"正常",$Y$4:$Y$2503,"待补价"))</f>
        <v/>
      </c>
      <c r="T1112" s="26">
        <f>IF($G1112="","",SUMIFS($P$4:$P$2503,$E$4:$E$2503,$E1112,$Z$4:$Z$2503,"正常",$A$4:$A$2503,"&lt;="&amp;$A1112))</f>
        <v/>
      </c>
      <c r="U1112" s="26">
        <f>IF($G1112="","",IF(OR($S1112&gt;0,$Q1112=0,$R1112=0,$Z1112&lt;&gt;"正常"),0,ROUND($T1112/$Q1112*$R1112,0)-ROUND(($T1112-$P1112)/$Q1112*$R1112,0)))</f>
        <v/>
      </c>
      <c r="V1112" s="26">
        <f>IF($G1112="","",ROUND($P1112+$U1112,0))</f>
        <v/>
      </c>
      <c r="W1112" s="26">
        <f>IF($G1112="","",IF(N($K1112)=0,0,ROUND($V1112/$K1112,2)))</f>
        <v/>
      </c>
      <c r="X1112" s="17" t="n"/>
      <c r="Y1112" s="17" t="n"/>
      <c r="Z1112" s="17" t="n"/>
      <c r="AA1112" s="17" t="n"/>
      <c r="AB1112" s="17" t="n"/>
      <c r="AC1112" s="24">
        <f>IF($G1112="","",IF($H1112="※编码不在物料档案里","※物料编码不在档案里",IF(N($K1112)&lt;=0,"※入库数量要大于 0",IF(AND($C1112&lt;&gt;"",$C1112&lt;=结账锁),"※日期早于已结账截止日，不能再录",IF(AND($L1112=0,$X1112="正常"),"※没填单价，价格状态请选「待补价」",IF(AND($S1112&gt;0,$R1112&gt;0),"△本批有 "&amp;$S1112&amp;" 行没单价，整批运费先挂账没摊",IF(AND($B1112&lt;&gt;"",COUNTIF($B$4:$B$2503,$B1112)&gt;1),"※入库单号重复","")))))))</f>
        <v/>
      </c>
    </row>
    <row r="1113">
      <c r="A1113" s="24">
        <f>IF($G1113="","",COUNTA($G$4:$G1113))</f>
        <v/>
      </c>
      <c r="B1113" s="17" t="n"/>
      <c r="C1113" s="30" t="n"/>
      <c r="D1113" s="17" t="n"/>
      <c r="E1113" s="17" t="n"/>
      <c r="F1113" s="17" t="n"/>
      <c r="G1113" s="17" t="n"/>
      <c r="H1113" s="24">
        <f>IF($G1113="","",IFERROR(VLOOKUP($G1113,物料档案!$A$4:$P$1203,3,0),"※编码不在物料档案里"))</f>
        <v/>
      </c>
      <c r="I1113" s="24">
        <f>IF($G1113="","",IFERROR(VLOOKUP($G1113,物料档案!$A$4:$P$1203,4,0),"※编码不在物料档案里"))</f>
        <v/>
      </c>
      <c r="J1113" s="24">
        <f>IF($G1113="","",IFERROR(VLOOKUP($G1113,物料档案!$A$4:$P$1203,5,0),"※编码不在物料档案里"))</f>
        <v/>
      </c>
      <c r="K1113" s="23" t="n"/>
      <c r="L1113" s="31" t="n"/>
      <c r="M1113" s="24">
        <f>IF($G1113="","",IF($D1113="A国内","CNY","TZS"))</f>
        <v/>
      </c>
      <c r="N1113" s="28">
        <f>IF($G1113="","",IF($D1113="A国内",汇率,1))</f>
        <v/>
      </c>
      <c r="O1113" s="25">
        <f>IF($G1113="","",ROUND(N($K1113)*N($L1113),2))</f>
        <v/>
      </c>
      <c r="P1113" s="26">
        <f>IF($G1113="","",ROUND($O1113*$N1113,0))</f>
        <v/>
      </c>
      <c r="Q1113" s="26">
        <f>IF($G1113="","",SUMIFS($P$4:$P$2503,$E$4:$E$2503,$E1113,$Z$4:$Z$2503,"正常"))</f>
        <v/>
      </c>
      <c r="R1113" s="26">
        <f>IF($G1113="","",SUMIFS(费用台账!$I$4:$I$503,费用台账!$C$4:$C$503,$E1113,费用台账!$J$4:$J$503,"是",费用台账!$K$4:$K$503,"正常"))</f>
        <v/>
      </c>
      <c r="S1113" s="28">
        <f>IF($G1113="","",COUNTIFS($E$4:$E$2503,$E1113,$Z$4:$Z$2503,"正常",$Y$4:$Y$2503,"待补价"))</f>
        <v/>
      </c>
      <c r="T1113" s="26">
        <f>IF($G1113="","",SUMIFS($P$4:$P$2503,$E$4:$E$2503,$E1113,$Z$4:$Z$2503,"正常",$A$4:$A$2503,"&lt;="&amp;$A1113))</f>
        <v/>
      </c>
      <c r="U1113" s="26">
        <f>IF($G1113="","",IF(OR($S1113&gt;0,$Q1113=0,$R1113=0,$Z1113&lt;&gt;"正常"),0,ROUND($T1113/$Q1113*$R1113,0)-ROUND(($T1113-$P1113)/$Q1113*$R1113,0)))</f>
        <v/>
      </c>
      <c r="V1113" s="26">
        <f>IF($G1113="","",ROUND($P1113+$U1113,0))</f>
        <v/>
      </c>
      <c r="W1113" s="26">
        <f>IF($G1113="","",IF(N($K1113)=0,0,ROUND($V1113/$K1113,2)))</f>
        <v/>
      </c>
      <c r="X1113" s="17" t="n"/>
      <c r="Y1113" s="17" t="n"/>
      <c r="Z1113" s="17" t="n"/>
      <c r="AA1113" s="17" t="n"/>
      <c r="AB1113" s="17" t="n"/>
      <c r="AC1113" s="24">
        <f>IF($G1113="","",IF($H1113="※编码不在物料档案里","※物料编码不在档案里",IF(N($K1113)&lt;=0,"※入库数量要大于 0",IF(AND($C1113&lt;&gt;"",$C1113&lt;=结账锁),"※日期早于已结账截止日，不能再录",IF(AND($L1113=0,$X1113="正常"),"※没填单价，价格状态请选「待补价」",IF(AND($S1113&gt;0,$R1113&gt;0),"△本批有 "&amp;$S1113&amp;" 行没单价，整批运费先挂账没摊",IF(AND($B1113&lt;&gt;"",COUNTIF($B$4:$B$2503,$B1113)&gt;1),"※入库单号重复","")))))))</f>
        <v/>
      </c>
    </row>
    <row r="1114">
      <c r="A1114" s="24">
        <f>IF($G1114="","",COUNTA($G$4:$G1114))</f>
        <v/>
      </c>
      <c r="B1114" s="17" t="n"/>
      <c r="C1114" s="30" t="n"/>
      <c r="D1114" s="17" t="n"/>
      <c r="E1114" s="17" t="n"/>
      <c r="F1114" s="17" t="n"/>
      <c r="G1114" s="17" t="n"/>
      <c r="H1114" s="24">
        <f>IF($G1114="","",IFERROR(VLOOKUP($G1114,物料档案!$A$4:$P$1203,3,0),"※编码不在物料档案里"))</f>
        <v/>
      </c>
      <c r="I1114" s="24">
        <f>IF($G1114="","",IFERROR(VLOOKUP($G1114,物料档案!$A$4:$P$1203,4,0),"※编码不在物料档案里"))</f>
        <v/>
      </c>
      <c r="J1114" s="24">
        <f>IF($G1114="","",IFERROR(VLOOKUP($G1114,物料档案!$A$4:$P$1203,5,0),"※编码不在物料档案里"))</f>
        <v/>
      </c>
      <c r="K1114" s="23" t="n"/>
      <c r="L1114" s="31" t="n"/>
      <c r="M1114" s="24">
        <f>IF($G1114="","",IF($D1114="A国内","CNY","TZS"))</f>
        <v/>
      </c>
      <c r="N1114" s="28">
        <f>IF($G1114="","",IF($D1114="A国内",汇率,1))</f>
        <v/>
      </c>
      <c r="O1114" s="25">
        <f>IF($G1114="","",ROUND(N($K1114)*N($L1114),2))</f>
        <v/>
      </c>
      <c r="P1114" s="26">
        <f>IF($G1114="","",ROUND($O1114*$N1114,0))</f>
        <v/>
      </c>
      <c r="Q1114" s="26">
        <f>IF($G1114="","",SUMIFS($P$4:$P$2503,$E$4:$E$2503,$E1114,$Z$4:$Z$2503,"正常"))</f>
        <v/>
      </c>
      <c r="R1114" s="26">
        <f>IF($G1114="","",SUMIFS(费用台账!$I$4:$I$503,费用台账!$C$4:$C$503,$E1114,费用台账!$J$4:$J$503,"是",费用台账!$K$4:$K$503,"正常"))</f>
        <v/>
      </c>
      <c r="S1114" s="28">
        <f>IF($G1114="","",COUNTIFS($E$4:$E$2503,$E1114,$Z$4:$Z$2503,"正常",$Y$4:$Y$2503,"待补价"))</f>
        <v/>
      </c>
      <c r="T1114" s="26">
        <f>IF($G1114="","",SUMIFS($P$4:$P$2503,$E$4:$E$2503,$E1114,$Z$4:$Z$2503,"正常",$A$4:$A$2503,"&lt;="&amp;$A1114))</f>
        <v/>
      </c>
      <c r="U1114" s="26">
        <f>IF($G1114="","",IF(OR($S1114&gt;0,$Q1114=0,$R1114=0,$Z1114&lt;&gt;"正常"),0,ROUND($T1114/$Q1114*$R1114,0)-ROUND(($T1114-$P1114)/$Q1114*$R1114,0)))</f>
        <v/>
      </c>
      <c r="V1114" s="26">
        <f>IF($G1114="","",ROUND($P1114+$U1114,0))</f>
        <v/>
      </c>
      <c r="W1114" s="26">
        <f>IF($G1114="","",IF(N($K1114)=0,0,ROUND($V1114/$K1114,2)))</f>
        <v/>
      </c>
      <c r="X1114" s="17" t="n"/>
      <c r="Y1114" s="17" t="n"/>
      <c r="Z1114" s="17" t="n"/>
      <c r="AA1114" s="17" t="n"/>
      <c r="AB1114" s="17" t="n"/>
      <c r="AC1114" s="24">
        <f>IF($G1114="","",IF($H1114="※编码不在物料档案里","※物料编码不在档案里",IF(N($K1114)&lt;=0,"※入库数量要大于 0",IF(AND($C1114&lt;&gt;"",$C1114&lt;=结账锁),"※日期早于已结账截止日，不能再录",IF(AND($L1114=0,$X1114="正常"),"※没填单价，价格状态请选「待补价」",IF(AND($S1114&gt;0,$R1114&gt;0),"△本批有 "&amp;$S1114&amp;" 行没单价，整批运费先挂账没摊",IF(AND($B1114&lt;&gt;"",COUNTIF($B$4:$B$2503,$B1114)&gt;1),"※入库单号重复","")))))))</f>
        <v/>
      </c>
    </row>
    <row r="1115">
      <c r="A1115" s="24">
        <f>IF($G1115="","",COUNTA($G$4:$G1115))</f>
        <v/>
      </c>
      <c r="B1115" s="17" t="n"/>
      <c r="C1115" s="30" t="n"/>
      <c r="D1115" s="17" t="n"/>
      <c r="E1115" s="17" t="n"/>
      <c r="F1115" s="17" t="n"/>
      <c r="G1115" s="17" t="n"/>
      <c r="H1115" s="24">
        <f>IF($G1115="","",IFERROR(VLOOKUP($G1115,物料档案!$A$4:$P$1203,3,0),"※编码不在物料档案里"))</f>
        <v/>
      </c>
      <c r="I1115" s="24">
        <f>IF($G1115="","",IFERROR(VLOOKUP($G1115,物料档案!$A$4:$P$1203,4,0),"※编码不在物料档案里"))</f>
        <v/>
      </c>
      <c r="J1115" s="24">
        <f>IF($G1115="","",IFERROR(VLOOKUP($G1115,物料档案!$A$4:$P$1203,5,0),"※编码不在物料档案里"))</f>
        <v/>
      </c>
      <c r="K1115" s="23" t="n"/>
      <c r="L1115" s="31" t="n"/>
      <c r="M1115" s="24">
        <f>IF($G1115="","",IF($D1115="A国内","CNY","TZS"))</f>
        <v/>
      </c>
      <c r="N1115" s="28">
        <f>IF($G1115="","",IF($D1115="A国内",汇率,1))</f>
        <v/>
      </c>
      <c r="O1115" s="25">
        <f>IF($G1115="","",ROUND(N($K1115)*N($L1115),2))</f>
        <v/>
      </c>
      <c r="P1115" s="26">
        <f>IF($G1115="","",ROUND($O1115*$N1115,0))</f>
        <v/>
      </c>
      <c r="Q1115" s="26">
        <f>IF($G1115="","",SUMIFS($P$4:$P$2503,$E$4:$E$2503,$E1115,$Z$4:$Z$2503,"正常"))</f>
        <v/>
      </c>
      <c r="R1115" s="26">
        <f>IF($G1115="","",SUMIFS(费用台账!$I$4:$I$503,费用台账!$C$4:$C$503,$E1115,费用台账!$J$4:$J$503,"是",费用台账!$K$4:$K$503,"正常"))</f>
        <v/>
      </c>
      <c r="S1115" s="28">
        <f>IF($G1115="","",COUNTIFS($E$4:$E$2503,$E1115,$Z$4:$Z$2503,"正常",$Y$4:$Y$2503,"待补价"))</f>
        <v/>
      </c>
      <c r="T1115" s="26">
        <f>IF($G1115="","",SUMIFS($P$4:$P$2503,$E$4:$E$2503,$E1115,$Z$4:$Z$2503,"正常",$A$4:$A$2503,"&lt;="&amp;$A1115))</f>
        <v/>
      </c>
      <c r="U1115" s="26">
        <f>IF($G1115="","",IF(OR($S1115&gt;0,$Q1115=0,$R1115=0,$Z1115&lt;&gt;"正常"),0,ROUND($T1115/$Q1115*$R1115,0)-ROUND(($T1115-$P1115)/$Q1115*$R1115,0)))</f>
        <v/>
      </c>
      <c r="V1115" s="26">
        <f>IF($G1115="","",ROUND($P1115+$U1115,0))</f>
        <v/>
      </c>
      <c r="W1115" s="26">
        <f>IF($G1115="","",IF(N($K1115)=0,0,ROUND($V1115/$K1115,2)))</f>
        <v/>
      </c>
      <c r="X1115" s="17" t="n"/>
      <c r="Y1115" s="17" t="n"/>
      <c r="Z1115" s="17" t="n"/>
      <c r="AA1115" s="17" t="n"/>
      <c r="AB1115" s="17" t="n"/>
      <c r="AC1115" s="24">
        <f>IF($G1115="","",IF($H1115="※编码不在物料档案里","※物料编码不在档案里",IF(N($K1115)&lt;=0,"※入库数量要大于 0",IF(AND($C1115&lt;&gt;"",$C1115&lt;=结账锁),"※日期早于已结账截止日，不能再录",IF(AND($L1115=0,$X1115="正常"),"※没填单价，价格状态请选「待补价」",IF(AND($S1115&gt;0,$R1115&gt;0),"△本批有 "&amp;$S1115&amp;" 行没单价，整批运费先挂账没摊",IF(AND($B1115&lt;&gt;"",COUNTIF($B$4:$B$2503,$B1115)&gt;1),"※入库单号重复","")))))))</f>
        <v/>
      </c>
    </row>
    <row r="1116">
      <c r="A1116" s="24">
        <f>IF($G1116="","",COUNTA($G$4:$G1116))</f>
        <v/>
      </c>
      <c r="B1116" s="17" t="n"/>
      <c r="C1116" s="30" t="n"/>
      <c r="D1116" s="17" t="n"/>
      <c r="E1116" s="17" t="n"/>
      <c r="F1116" s="17" t="n"/>
      <c r="G1116" s="17" t="n"/>
      <c r="H1116" s="24">
        <f>IF($G1116="","",IFERROR(VLOOKUP($G1116,物料档案!$A$4:$P$1203,3,0),"※编码不在物料档案里"))</f>
        <v/>
      </c>
      <c r="I1116" s="24">
        <f>IF($G1116="","",IFERROR(VLOOKUP($G1116,物料档案!$A$4:$P$1203,4,0),"※编码不在物料档案里"))</f>
        <v/>
      </c>
      <c r="J1116" s="24">
        <f>IF($G1116="","",IFERROR(VLOOKUP($G1116,物料档案!$A$4:$P$1203,5,0),"※编码不在物料档案里"))</f>
        <v/>
      </c>
      <c r="K1116" s="23" t="n"/>
      <c r="L1116" s="31" t="n"/>
      <c r="M1116" s="24">
        <f>IF($G1116="","",IF($D1116="A国内","CNY","TZS"))</f>
        <v/>
      </c>
      <c r="N1116" s="28">
        <f>IF($G1116="","",IF($D1116="A国内",汇率,1))</f>
        <v/>
      </c>
      <c r="O1116" s="25">
        <f>IF($G1116="","",ROUND(N($K1116)*N($L1116),2))</f>
        <v/>
      </c>
      <c r="P1116" s="26">
        <f>IF($G1116="","",ROUND($O1116*$N1116,0))</f>
        <v/>
      </c>
      <c r="Q1116" s="26">
        <f>IF($G1116="","",SUMIFS($P$4:$P$2503,$E$4:$E$2503,$E1116,$Z$4:$Z$2503,"正常"))</f>
        <v/>
      </c>
      <c r="R1116" s="26">
        <f>IF($G1116="","",SUMIFS(费用台账!$I$4:$I$503,费用台账!$C$4:$C$503,$E1116,费用台账!$J$4:$J$503,"是",费用台账!$K$4:$K$503,"正常"))</f>
        <v/>
      </c>
      <c r="S1116" s="28">
        <f>IF($G1116="","",COUNTIFS($E$4:$E$2503,$E1116,$Z$4:$Z$2503,"正常",$Y$4:$Y$2503,"待补价"))</f>
        <v/>
      </c>
      <c r="T1116" s="26">
        <f>IF($G1116="","",SUMIFS($P$4:$P$2503,$E$4:$E$2503,$E1116,$Z$4:$Z$2503,"正常",$A$4:$A$2503,"&lt;="&amp;$A1116))</f>
        <v/>
      </c>
      <c r="U1116" s="26">
        <f>IF($G1116="","",IF(OR($S1116&gt;0,$Q1116=0,$R1116=0,$Z1116&lt;&gt;"正常"),0,ROUND($T1116/$Q1116*$R1116,0)-ROUND(($T1116-$P1116)/$Q1116*$R1116,0)))</f>
        <v/>
      </c>
      <c r="V1116" s="26">
        <f>IF($G1116="","",ROUND($P1116+$U1116,0))</f>
        <v/>
      </c>
      <c r="W1116" s="26">
        <f>IF($G1116="","",IF(N($K1116)=0,0,ROUND($V1116/$K1116,2)))</f>
        <v/>
      </c>
      <c r="X1116" s="17" t="n"/>
      <c r="Y1116" s="17" t="n"/>
      <c r="Z1116" s="17" t="n"/>
      <c r="AA1116" s="17" t="n"/>
      <c r="AB1116" s="17" t="n"/>
      <c r="AC1116" s="24">
        <f>IF($G1116="","",IF($H1116="※编码不在物料档案里","※物料编码不在档案里",IF(N($K1116)&lt;=0,"※入库数量要大于 0",IF(AND($C1116&lt;&gt;"",$C1116&lt;=结账锁),"※日期早于已结账截止日，不能再录",IF(AND($L1116=0,$X1116="正常"),"※没填单价，价格状态请选「待补价」",IF(AND($S1116&gt;0,$R1116&gt;0),"△本批有 "&amp;$S1116&amp;" 行没单价，整批运费先挂账没摊",IF(AND($B1116&lt;&gt;"",COUNTIF($B$4:$B$2503,$B1116)&gt;1),"※入库单号重复","")))))))</f>
        <v/>
      </c>
    </row>
    <row r="1117">
      <c r="A1117" s="24">
        <f>IF($G1117="","",COUNTA($G$4:$G1117))</f>
        <v/>
      </c>
      <c r="B1117" s="17" t="n"/>
      <c r="C1117" s="30" t="n"/>
      <c r="D1117" s="17" t="n"/>
      <c r="E1117" s="17" t="n"/>
      <c r="F1117" s="17" t="n"/>
      <c r="G1117" s="17" t="n"/>
      <c r="H1117" s="24">
        <f>IF($G1117="","",IFERROR(VLOOKUP($G1117,物料档案!$A$4:$P$1203,3,0),"※编码不在物料档案里"))</f>
        <v/>
      </c>
      <c r="I1117" s="24">
        <f>IF($G1117="","",IFERROR(VLOOKUP($G1117,物料档案!$A$4:$P$1203,4,0),"※编码不在物料档案里"))</f>
        <v/>
      </c>
      <c r="J1117" s="24">
        <f>IF($G1117="","",IFERROR(VLOOKUP($G1117,物料档案!$A$4:$P$1203,5,0),"※编码不在物料档案里"))</f>
        <v/>
      </c>
      <c r="K1117" s="23" t="n"/>
      <c r="L1117" s="31" t="n"/>
      <c r="M1117" s="24">
        <f>IF($G1117="","",IF($D1117="A国内","CNY","TZS"))</f>
        <v/>
      </c>
      <c r="N1117" s="28">
        <f>IF($G1117="","",IF($D1117="A国内",汇率,1))</f>
        <v/>
      </c>
      <c r="O1117" s="25">
        <f>IF($G1117="","",ROUND(N($K1117)*N($L1117),2))</f>
        <v/>
      </c>
      <c r="P1117" s="26">
        <f>IF($G1117="","",ROUND($O1117*$N1117,0))</f>
        <v/>
      </c>
      <c r="Q1117" s="26">
        <f>IF($G1117="","",SUMIFS($P$4:$P$2503,$E$4:$E$2503,$E1117,$Z$4:$Z$2503,"正常"))</f>
        <v/>
      </c>
      <c r="R1117" s="26">
        <f>IF($G1117="","",SUMIFS(费用台账!$I$4:$I$503,费用台账!$C$4:$C$503,$E1117,费用台账!$J$4:$J$503,"是",费用台账!$K$4:$K$503,"正常"))</f>
        <v/>
      </c>
      <c r="S1117" s="28">
        <f>IF($G1117="","",COUNTIFS($E$4:$E$2503,$E1117,$Z$4:$Z$2503,"正常",$Y$4:$Y$2503,"待补价"))</f>
        <v/>
      </c>
      <c r="T1117" s="26">
        <f>IF($G1117="","",SUMIFS($P$4:$P$2503,$E$4:$E$2503,$E1117,$Z$4:$Z$2503,"正常",$A$4:$A$2503,"&lt;="&amp;$A1117))</f>
        <v/>
      </c>
      <c r="U1117" s="26">
        <f>IF($G1117="","",IF(OR($S1117&gt;0,$Q1117=0,$R1117=0,$Z1117&lt;&gt;"正常"),0,ROUND($T1117/$Q1117*$R1117,0)-ROUND(($T1117-$P1117)/$Q1117*$R1117,0)))</f>
        <v/>
      </c>
      <c r="V1117" s="26">
        <f>IF($G1117="","",ROUND($P1117+$U1117,0))</f>
        <v/>
      </c>
      <c r="W1117" s="26">
        <f>IF($G1117="","",IF(N($K1117)=0,0,ROUND($V1117/$K1117,2)))</f>
        <v/>
      </c>
      <c r="X1117" s="17" t="n"/>
      <c r="Y1117" s="17" t="n"/>
      <c r="Z1117" s="17" t="n"/>
      <c r="AA1117" s="17" t="n"/>
      <c r="AB1117" s="17" t="n"/>
      <c r="AC1117" s="24">
        <f>IF($G1117="","",IF($H1117="※编码不在物料档案里","※物料编码不在档案里",IF(N($K1117)&lt;=0,"※入库数量要大于 0",IF(AND($C1117&lt;&gt;"",$C1117&lt;=结账锁),"※日期早于已结账截止日，不能再录",IF(AND($L1117=0,$X1117="正常"),"※没填单价，价格状态请选「待补价」",IF(AND($S1117&gt;0,$R1117&gt;0),"△本批有 "&amp;$S1117&amp;" 行没单价，整批运费先挂账没摊",IF(AND($B1117&lt;&gt;"",COUNTIF($B$4:$B$2503,$B1117)&gt;1),"※入库单号重复","")))))))</f>
        <v/>
      </c>
    </row>
    <row r="1118">
      <c r="A1118" s="24">
        <f>IF($G1118="","",COUNTA($G$4:$G1118))</f>
        <v/>
      </c>
      <c r="B1118" s="17" t="n"/>
      <c r="C1118" s="30" t="n"/>
      <c r="D1118" s="17" t="n"/>
      <c r="E1118" s="17" t="n"/>
      <c r="F1118" s="17" t="n"/>
      <c r="G1118" s="17" t="n"/>
      <c r="H1118" s="24">
        <f>IF($G1118="","",IFERROR(VLOOKUP($G1118,物料档案!$A$4:$P$1203,3,0),"※编码不在物料档案里"))</f>
        <v/>
      </c>
      <c r="I1118" s="24">
        <f>IF($G1118="","",IFERROR(VLOOKUP($G1118,物料档案!$A$4:$P$1203,4,0),"※编码不在物料档案里"))</f>
        <v/>
      </c>
      <c r="J1118" s="24">
        <f>IF($G1118="","",IFERROR(VLOOKUP($G1118,物料档案!$A$4:$P$1203,5,0),"※编码不在物料档案里"))</f>
        <v/>
      </c>
      <c r="K1118" s="23" t="n"/>
      <c r="L1118" s="31" t="n"/>
      <c r="M1118" s="24">
        <f>IF($G1118="","",IF($D1118="A国内","CNY","TZS"))</f>
        <v/>
      </c>
      <c r="N1118" s="28">
        <f>IF($G1118="","",IF($D1118="A国内",汇率,1))</f>
        <v/>
      </c>
      <c r="O1118" s="25">
        <f>IF($G1118="","",ROUND(N($K1118)*N($L1118),2))</f>
        <v/>
      </c>
      <c r="P1118" s="26">
        <f>IF($G1118="","",ROUND($O1118*$N1118,0))</f>
        <v/>
      </c>
      <c r="Q1118" s="26">
        <f>IF($G1118="","",SUMIFS($P$4:$P$2503,$E$4:$E$2503,$E1118,$Z$4:$Z$2503,"正常"))</f>
        <v/>
      </c>
      <c r="R1118" s="26">
        <f>IF($G1118="","",SUMIFS(费用台账!$I$4:$I$503,费用台账!$C$4:$C$503,$E1118,费用台账!$J$4:$J$503,"是",费用台账!$K$4:$K$503,"正常"))</f>
        <v/>
      </c>
      <c r="S1118" s="28">
        <f>IF($G1118="","",COUNTIFS($E$4:$E$2503,$E1118,$Z$4:$Z$2503,"正常",$Y$4:$Y$2503,"待补价"))</f>
        <v/>
      </c>
      <c r="T1118" s="26">
        <f>IF($G1118="","",SUMIFS($P$4:$P$2503,$E$4:$E$2503,$E1118,$Z$4:$Z$2503,"正常",$A$4:$A$2503,"&lt;="&amp;$A1118))</f>
        <v/>
      </c>
      <c r="U1118" s="26">
        <f>IF($G1118="","",IF(OR($S1118&gt;0,$Q1118=0,$R1118=0,$Z1118&lt;&gt;"正常"),0,ROUND($T1118/$Q1118*$R1118,0)-ROUND(($T1118-$P1118)/$Q1118*$R1118,0)))</f>
        <v/>
      </c>
      <c r="V1118" s="26">
        <f>IF($G1118="","",ROUND($P1118+$U1118,0))</f>
        <v/>
      </c>
      <c r="W1118" s="26">
        <f>IF($G1118="","",IF(N($K1118)=0,0,ROUND($V1118/$K1118,2)))</f>
        <v/>
      </c>
      <c r="X1118" s="17" t="n"/>
      <c r="Y1118" s="17" t="n"/>
      <c r="Z1118" s="17" t="n"/>
      <c r="AA1118" s="17" t="n"/>
      <c r="AB1118" s="17" t="n"/>
      <c r="AC1118" s="24">
        <f>IF($G1118="","",IF($H1118="※编码不在物料档案里","※物料编码不在档案里",IF(N($K1118)&lt;=0,"※入库数量要大于 0",IF(AND($C1118&lt;&gt;"",$C1118&lt;=结账锁),"※日期早于已结账截止日，不能再录",IF(AND($L1118=0,$X1118="正常"),"※没填单价，价格状态请选「待补价」",IF(AND($S1118&gt;0,$R1118&gt;0),"△本批有 "&amp;$S1118&amp;" 行没单价，整批运费先挂账没摊",IF(AND($B1118&lt;&gt;"",COUNTIF($B$4:$B$2503,$B1118)&gt;1),"※入库单号重复","")))))))</f>
        <v/>
      </c>
    </row>
    <row r="1119">
      <c r="A1119" s="24">
        <f>IF($G1119="","",COUNTA($G$4:$G1119))</f>
        <v/>
      </c>
      <c r="B1119" s="17" t="n"/>
      <c r="C1119" s="30" t="n"/>
      <c r="D1119" s="17" t="n"/>
      <c r="E1119" s="17" t="n"/>
      <c r="F1119" s="17" t="n"/>
      <c r="G1119" s="17" t="n"/>
      <c r="H1119" s="24">
        <f>IF($G1119="","",IFERROR(VLOOKUP($G1119,物料档案!$A$4:$P$1203,3,0),"※编码不在物料档案里"))</f>
        <v/>
      </c>
      <c r="I1119" s="24">
        <f>IF($G1119="","",IFERROR(VLOOKUP($G1119,物料档案!$A$4:$P$1203,4,0),"※编码不在物料档案里"))</f>
        <v/>
      </c>
      <c r="J1119" s="24">
        <f>IF($G1119="","",IFERROR(VLOOKUP($G1119,物料档案!$A$4:$P$1203,5,0),"※编码不在物料档案里"))</f>
        <v/>
      </c>
      <c r="K1119" s="23" t="n"/>
      <c r="L1119" s="31" t="n"/>
      <c r="M1119" s="24">
        <f>IF($G1119="","",IF($D1119="A国内","CNY","TZS"))</f>
        <v/>
      </c>
      <c r="N1119" s="28">
        <f>IF($G1119="","",IF($D1119="A国内",汇率,1))</f>
        <v/>
      </c>
      <c r="O1119" s="25">
        <f>IF($G1119="","",ROUND(N($K1119)*N($L1119),2))</f>
        <v/>
      </c>
      <c r="P1119" s="26">
        <f>IF($G1119="","",ROUND($O1119*$N1119,0))</f>
        <v/>
      </c>
      <c r="Q1119" s="26">
        <f>IF($G1119="","",SUMIFS($P$4:$P$2503,$E$4:$E$2503,$E1119,$Z$4:$Z$2503,"正常"))</f>
        <v/>
      </c>
      <c r="R1119" s="26">
        <f>IF($G1119="","",SUMIFS(费用台账!$I$4:$I$503,费用台账!$C$4:$C$503,$E1119,费用台账!$J$4:$J$503,"是",费用台账!$K$4:$K$503,"正常"))</f>
        <v/>
      </c>
      <c r="S1119" s="28">
        <f>IF($G1119="","",COUNTIFS($E$4:$E$2503,$E1119,$Z$4:$Z$2503,"正常",$Y$4:$Y$2503,"待补价"))</f>
        <v/>
      </c>
      <c r="T1119" s="26">
        <f>IF($G1119="","",SUMIFS($P$4:$P$2503,$E$4:$E$2503,$E1119,$Z$4:$Z$2503,"正常",$A$4:$A$2503,"&lt;="&amp;$A1119))</f>
        <v/>
      </c>
      <c r="U1119" s="26">
        <f>IF($G1119="","",IF(OR($S1119&gt;0,$Q1119=0,$R1119=0,$Z1119&lt;&gt;"正常"),0,ROUND($T1119/$Q1119*$R1119,0)-ROUND(($T1119-$P1119)/$Q1119*$R1119,0)))</f>
        <v/>
      </c>
      <c r="V1119" s="26">
        <f>IF($G1119="","",ROUND($P1119+$U1119,0))</f>
        <v/>
      </c>
      <c r="W1119" s="26">
        <f>IF($G1119="","",IF(N($K1119)=0,0,ROUND($V1119/$K1119,2)))</f>
        <v/>
      </c>
      <c r="X1119" s="17" t="n"/>
      <c r="Y1119" s="17" t="n"/>
      <c r="Z1119" s="17" t="n"/>
      <c r="AA1119" s="17" t="n"/>
      <c r="AB1119" s="17" t="n"/>
      <c r="AC1119" s="24">
        <f>IF($G1119="","",IF($H1119="※编码不在物料档案里","※物料编码不在档案里",IF(N($K1119)&lt;=0,"※入库数量要大于 0",IF(AND($C1119&lt;&gt;"",$C1119&lt;=结账锁),"※日期早于已结账截止日，不能再录",IF(AND($L1119=0,$X1119="正常"),"※没填单价，价格状态请选「待补价」",IF(AND($S1119&gt;0,$R1119&gt;0),"△本批有 "&amp;$S1119&amp;" 行没单价，整批运费先挂账没摊",IF(AND($B1119&lt;&gt;"",COUNTIF($B$4:$B$2503,$B1119)&gt;1),"※入库单号重复","")))))))</f>
        <v/>
      </c>
    </row>
    <row r="1120">
      <c r="A1120" s="24">
        <f>IF($G1120="","",COUNTA($G$4:$G1120))</f>
        <v/>
      </c>
      <c r="B1120" s="17" t="n"/>
      <c r="C1120" s="30" t="n"/>
      <c r="D1120" s="17" t="n"/>
      <c r="E1120" s="17" t="n"/>
      <c r="F1120" s="17" t="n"/>
      <c r="G1120" s="17" t="n"/>
      <c r="H1120" s="24">
        <f>IF($G1120="","",IFERROR(VLOOKUP($G1120,物料档案!$A$4:$P$1203,3,0),"※编码不在物料档案里"))</f>
        <v/>
      </c>
      <c r="I1120" s="24">
        <f>IF($G1120="","",IFERROR(VLOOKUP($G1120,物料档案!$A$4:$P$1203,4,0),"※编码不在物料档案里"))</f>
        <v/>
      </c>
      <c r="J1120" s="24">
        <f>IF($G1120="","",IFERROR(VLOOKUP($G1120,物料档案!$A$4:$P$1203,5,0),"※编码不在物料档案里"))</f>
        <v/>
      </c>
      <c r="K1120" s="23" t="n"/>
      <c r="L1120" s="31" t="n"/>
      <c r="M1120" s="24">
        <f>IF($G1120="","",IF($D1120="A国内","CNY","TZS"))</f>
        <v/>
      </c>
      <c r="N1120" s="28">
        <f>IF($G1120="","",IF($D1120="A国内",汇率,1))</f>
        <v/>
      </c>
      <c r="O1120" s="25">
        <f>IF($G1120="","",ROUND(N($K1120)*N($L1120),2))</f>
        <v/>
      </c>
      <c r="P1120" s="26">
        <f>IF($G1120="","",ROUND($O1120*$N1120,0))</f>
        <v/>
      </c>
      <c r="Q1120" s="26">
        <f>IF($G1120="","",SUMIFS($P$4:$P$2503,$E$4:$E$2503,$E1120,$Z$4:$Z$2503,"正常"))</f>
        <v/>
      </c>
      <c r="R1120" s="26">
        <f>IF($G1120="","",SUMIFS(费用台账!$I$4:$I$503,费用台账!$C$4:$C$503,$E1120,费用台账!$J$4:$J$503,"是",费用台账!$K$4:$K$503,"正常"))</f>
        <v/>
      </c>
      <c r="S1120" s="28">
        <f>IF($G1120="","",COUNTIFS($E$4:$E$2503,$E1120,$Z$4:$Z$2503,"正常",$Y$4:$Y$2503,"待补价"))</f>
        <v/>
      </c>
      <c r="T1120" s="26">
        <f>IF($G1120="","",SUMIFS($P$4:$P$2503,$E$4:$E$2503,$E1120,$Z$4:$Z$2503,"正常",$A$4:$A$2503,"&lt;="&amp;$A1120))</f>
        <v/>
      </c>
      <c r="U1120" s="26">
        <f>IF($G1120="","",IF(OR($S1120&gt;0,$Q1120=0,$R1120=0,$Z1120&lt;&gt;"正常"),0,ROUND($T1120/$Q1120*$R1120,0)-ROUND(($T1120-$P1120)/$Q1120*$R1120,0)))</f>
        <v/>
      </c>
      <c r="V1120" s="26">
        <f>IF($G1120="","",ROUND($P1120+$U1120,0))</f>
        <v/>
      </c>
      <c r="W1120" s="26">
        <f>IF($G1120="","",IF(N($K1120)=0,0,ROUND($V1120/$K1120,2)))</f>
        <v/>
      </c>
      <c r="X1120" s="17" t="n"/>
      <c r="Y1120" s="17" t="n"/>
      <c r="Z1120" s="17" t="n"/>
      <c r="AA1120" s="17" t="n"/>
      <c r="AB1120" s="17" t="n"/>
      <c r="AC1120" s="24">
        <f>IF($G1120="","",IF($H1120="※编码不在物料档案里","※物料编码不在档案里",IF(N($K1120)&lt;=0,"※入库数量要大于 0",IF(AND($C1120&lt;&gt;"",$C1120&lt;=结账锁),"※日期早于已结账截止日，不能再录",IF(AND($L1120=0,$X1120="正常"),"※没填单价，价格状态请选「待补价」",IF(AND($S1120&gt;0,$R1120&gt;0),"△本批有 "&amp;$S1120&amp;" 行没单价，整批运费先挂账没摊",IF(AND($B1120&lt;&gt;"",COUNTIF($B$4:$B$2503,$B1120)&gt;1),"※入库单号重复","")))))))</f>
        <v/>
      </c>
    </row>
    <row r="1121">
      <c r="A1121" s="24">
        <f>IF($G1121="","",COUNTA($G$4:$G1121))</f>
        <v/>
      </c>
      <c r="B1121" s="17" t="n"/>
      <c r="C1121" s="30" t="n"/>
      <c r="D1121" s="17" t="n"/>
      <c r="E1121" s="17" t="n"/>
      <c r="F1121" s="17" t="n"/>
      <c r="G1121" s="17" t="n"/>
      <c r="H1121" s="24">
        <f>IF($G1121="","",IFERROR(VLOOKUP($G1121,物料档案!$A$4:$P$1203,3,0),"※编码不在物料档案里"))</f>
        <v/>
      </c>
      <c r="I1121" s="24">
        <f>IF($G1121="","",IFERROR(VLOOKUP($G1121,物料档案!$A$4:$P$1203,4,0),"※编码不在物料档案里"))</f>
        <v/>
      </c>
      <c r="J1121" s="24">
        <f>IF($G1121="","",IFERROR(VLOOKUP($G1121,物料档案!$A$4:$P$1203,5,0),"※编码不在物料档案里"))</f>
        <v/>
      </c>
      <c r="K1121" s="23" t="n"/>
      <c r="L1121" s="31" t="n"/>
      <c r="M1121" s="24">
        <f>IF($G1121="","",IF($D1121="A国内","CNY","TZS"))</f>
        <v/>
      </c>
      <c r="N1121" s="28">
        <f>IF($G1121="","",IF($D1121="A国内",汇率,1))</f>
        <v/>
      </c>
      <c r="O1121" s="25">
        <f>IF($G1121="","",ROUND(N($K1121)*N($L1121),2))</f>
        <v/>
      </c>
      <c r="P1121" s="26">
        <f>IF($G1121="","",ROUND($O1121*$N1121,0))</f>
        <v/>
      </c>
      <c r="Q1121" s="26">
        <f>IF($G1121="","",SUMIFS($P$4:$P$2503,$E$4:$E$2503,$E1121,$Z$4:$Z$2503,"正常"))</f>
        <v/>
      </c>
      <c r="R1121" s="26">
        <f>IF($G1121="","",SUMIFS(费用台账!$I$4:$I$503,费用台账!$C$4:$C$503,$E1121,费用台账!$J$4:$J$503,"是",费用台账!$K$4:$K$503,"正常"))</f>
        <v/>
      </c>
      <c r="S1121" s="28">
        <f>IF($G1121="","",COUNTIFS($E$4:$E$2503,$E1121,$Z$4:$Z$2503,"正常",$Y$4:$Y$2503,"待补价"))</f>
        <v/>
      </c>
      <c r="T1121" s="26">
        <f>IF($G1121="","",SUMIFS($P$4:$P$2503,$E$4:$E$2503,$E1121,$Z$4:$Z$2503,"正常",$A$4:$A$2503,"&lt;="&amp;$A1121))</f>
        <v/>
      </c>
      <c r="U1121" s="26">
        <f>IF($G1121="","",IF(OR($S1121&gt;0,$Q1121=0,$R1121=0,$Z1121&lt;&gt;"正常"),0,ROUND($T1121/$Q1121*$R1121,0)-ROUND(($T1121-$P1121)/$Q1121*$R1121,0)))</f>
        <v/>
      </c>
      <c r="V1121" s="26">
        <f>IF($G1121="","",ROUND($P1121+$U1121,0))</f>
        <v/>
      </c>
      <c r="W1121" s="26">
        <f>IF($G1121="","",IF(N($K1121)=0,0,ROUND($V1121/$K1121,2)))</f>
        <v/>
      </c>
      <c r="X1121" s="17" t="n"/>
      <c r="Y1121" s="17" t="n"/>
      <c r="Z1121" s="17" t="n"/>
      <c r="AA1121" s="17" t="n"/>
      <c r="AB1121" s="17" t="n"/>
      <c r="AC1121" s="24">
        <f>IF($G1121="","",IF($H1121="※编码不在物料档案里","※物料编码不在档案里",IF(N($K1121)&lt;=0,"※入库数量要大于 0",IF(AND($C1121&lt;&gt;"",$C1121&lt;=结账锁),"※日期早于已结账截止日，不能再录",IF(AND($L1121=0,$X1121="正常"),"※没填单价，价格状态请选「待补价」",IF(AND($S1121&gt;0,$R1121&gt;0),"△本批有 "&amp;$S1121&amp;" 行没单价，整批运费先挂账没摊",IF(AND($B1121&lt;&gt;"",COUNTIF($B$4:$B$2503,$B1121)&gt;1),"※入库单号重复","")))))))</f>
        <v/>
      </c>
    </row>
    <row r="1122">
      <c r="A1122" s="24">
        <f>IF($G1122="","",COUNTA($G$4:$G1122))</f>
        <v/>
      </c>
      <c r="B1122" s="17" t="n"/>
      <c r="C1122" s="30" t="n"/>
      <c r="D1122" s="17" t="n"/>
      <c r="E1122" s="17" t="n"/>
      <c r="F1122" s="17" t="n"/>
      <c r="G1122" s="17" t="n"/>
      <c r="H1122" s="24">
        <f>IF($G1122="","",IFERROR(VLOOKUP($G1122,物料档案!$A$4:$P$1203,3,0),"※编码不在物料档案里"))</f>
        <v/>
      </c>
      <c r="I1122" s="24">
        <f>IF($G1122="","",IFERROR(VLOOKUP($G1122,物料档案!$A$4:$P$1203,4,0),"※编码不在物料档案里"))</f>
        <v/>
      </c>
      <c r="J1122" s="24">
        <f>IF($G1122="","",IFERROR(VLOOKUP($G1122,物料档案!$A$4:$P$1203,5,0),"※编码不在物料档案里"))</f>
        <v/>
      </c>
      <c r="K1122" s="23" t="n"/>
      <c r="L1122" s="31" t="n"/>
      <c r="M1122" s="24">
        <f>IF($G1122="","",IF($D1122="A国内","CNY","TZS"))</f>
        <v/>
      </c>
      <c r="N1122" s="28">
        <f>IF($G1122="","",IF($D1122="A国内",汇率,1))</f>
        <v/>
      </c>
      <c r="O1122" s="25">
        <f>IF($G1122="","",ROUND(N($K1122)*N($L1122),2))</f>
        <v/>
      </c>
      <c r="P1122" s="26">
        <f>IF($G1122="","",ROUND($O1122*$N1122,0))</f>
        <v/>
      </c>
      <c r="Q1122" s="26">
        <f>IF($G1122="","",SUMIFS($P$4:$P$2503,$E$4:$E$2503,$E1122,$Z$4:$Z$2503,"正常"))</f>
        <v/>
      </c>
      <c r="R1122" s="26">
        <f>IF($G1122="","",SUMIFS(费用台账!$I$4:$I$503,费用台账!$C$4:$C$503,$E1122,费用台账!$J$4:$J$503,"是",费用台账!$K$4:$K$503,"正常"))</f>
        <v/>
      </c>
      <c r="S1122" s="28">
        <f>IF($G1122="","",COUNTIFS($E$4:$E$2503,$E1122,$Z$4:$Z$2503,"正常",$Y$4:$Y$2503,"待补价"))</f>
        <v/>
      </c>
      <c r="T1122" s="26">
        <f>IF($G1122="","",SUMIFS($P$4:$P$2503,$E$4:$E$2503,$E1122,$Z$4:$Z$2503,"正常",$A$4:$A$2503,"&lt;="&amp;$A1122))</f>
        <v/>
      </c>
      <c r="U1122" s="26">
        <f>IF($G1122="","",IF(OR($S1122&gt;0,$Q1122=0,$R1122=0,$Z1122&lt;&gt;"正常"),0,ROUND($T1122/$Q1122*$R1122,0)-ROUND(($T1122-$P1122)/$Q1122*$R1122,0)))</f>
        <v/>
      </c>
      <c r="V1122" s="26">
        <f>IF($G1122="","",ROUND($P1122+$U1122,0))</f>
        <v/>
      </c>
      <c r="W1122" s="26">
        <f>IF($G1122="","",IF(N($K1122)=0,0,ROUND($V1122/$K1122,2)))</f>
        <v/>
      </c>
      <c r="X1122" s="17" t="n"/>
      <c r="Y1122" s="17" t="n"/>
      <c r="Z1122" s="17" t="n"/>
      <c r="AA1122" s="17" t="n"/>
      <c r="AB1122" s="17" t="n"/>
      <c r="AC1122" s="24">
        <f>IF($G1122="","",IF($H1122="※编码不在物料档案里","※物料编码不在档案里",IF(N($K1122)&lt;=0,"※入库数量要大于 0",IF(AND($C1122&lt;&gt;"",$C1122&lt;=结账锁),"※日期早于已结账截止日，不能再录",IF(AND($L1122=0,$X1122="正常"),"※没填单价，价格状态请选「待补价」",IF(AND($S1122&gt;0,$R1122&gt;0),"△本批有 "&amp;$S1122&amp;" 行没单价，整批运费先挂账没摊",IF(AND($B1122&lt;&gt;"",COUNTIF($B$4:$B$2503,$B1122)&gt;1),"※入库单号重复","")))))))</f>
        <v/>
      </c>
    </row>
    <row r="1123">
      <c r="A1123" s="24">
        <f>IF($G1123="","",COUNTA($G$4:$G1123))</f>
        <v/>
      </c>
      <c r="B1123" s="17" t="n"/>
      <c r="C1123" s="30" t="n"/>
      <c r="D1123" s="17" t="n"/>
      <c r="E1123" s="17" t="n"/>
      <c r="F1123" s="17" t="n"/>
      <c r="G1123" s="17" t="n"/>
      <c r="H1123" s="24">
        <f>IF($G1123="","",IFERROR(VLOOKUP($G1123,物料档案!$A$4:$P$1203,3,0),"※编码不在物料档案里"))</f>
        <v/>
      </c>
      <c r="I1123" s="24">
        <f>IF($G1123="","",IFERROR(VLOOKUP($G1123,物料档案!$A$4:$P$1203,4,0),"※编码不在物料档案里"))</f>
        <v/>
      </c>
      <c r="J1123" s="24">
        <f>IF($G1123="","",IFERROR(VLOOKUP($G1123,物料档案!$A$4:$P$1203,5,0),"※编码不在物料档案里"))</f>
        <v/>
      </c>
      <c r="K1123" s="23" t="n"/>
      <c r="L1123" s="31" t="n"/>
      <c r="M1123" s="24">
        <f>IF($G1123="","",IF($D1123="A国内","CNY","TZS"))</f>
        <v/>
      </c>
      <c r="N1123" s="28">
        <f>IF($G1123="","",IF($D1123="A国内",汇率,1))</f>
        <v/>
      </c>
      <c r="O1123" s="25">
        <f>IF($G1123="","",ROUND(N($K1123)*N($L1123),2))</f>
        <v/>
      </c>
      <c r="P1123" s="26">
        <f>IF($G1123="","",ROUND($O1123*$N1123,0))</f>
        <v/>
      </c>
      <c r="Q1123" s="26">
        <f>IF($G1123="","",SUMIFS($P$4:$P$2503,$E$4:$E$2503,$E1123,$Z$4:$Z$2503,"正常"))</f>
        <v/>
      </c>
      <c r="R1123" s="26">
        <f>IF($G1123="","",SUMIFS(费用台账!$I$4:$I$503,费用台账!$C$4:$C$503,$E1123,费用台账!$J$4:$J$503,"是",费用台账!$K$4:$K$503,"正常"))</f>
        <v/>
      </c>
      <c r="S1123" s="28">
        <f>IF($G1123="","",COUNTIFS($E$4:$E$2503,$E1123,$Z$4:$Z$2503,"正常",$Y$4:$Y$2503,"待补价"))</f>
        <v/>
      </c>
      <c r="T1123" s="26">
        <f>IF($G1123="","",SUMIFS($P$4:$P$2503,$E$4:$E$2503,$E1123,$Z$4:$Z$2503,"正常",$A$4:$A$2503,"&lt;="&amp;$A1123))</f>
        <v/>
      </c>
      <c r="U1123" s="26">
        <f>IF($G1123="","",IF(OR($S1123&gt;0,$Q1123=0,$R1123=0,$Z1123&lt;&gt;"正常"),0,ROUND($T1123/$Q1123*$R1123,0)-ROUND(($T1123-$P1123)/$Q1123*$R1123,0)))</f>
        <v/>
      </c>
      <c r="V1123" s="26">
        <f>IF($G1123="","",ROUND($P1123+$U1123,0))</f>
        <v/>
      </c>
      <c r="W1123" s="26">
        <f>IF($G1123="","",IF(N($K1123)=0,0,ROUND($V1123/$K1123,2)))</f>
        <v/>
      </c>
      <c r="X1123" s="17" t="n"/>
      <c r="Y1123" s="17" t="n"/>
      <c r="Z1123" s="17" t="n"/>
      <c r="AA1123" s="17" t="n"/>
      <c r="AB1123" s="17" t="n"/>
      <c r="AC1123" s="24">
        <f>IF($G1123="","",IF($H1123="※编码不在物料档案里","※物料编码不在档案里",IF(N($K1123)&lt;=0,"※入库数量要大于 0",IF(AND($C1123&lt;&gt;"",$C1123&lt;=结账锁),"※日期早于已结账截止日，不能再录",IF(AND($L1123=0,$X1123="正常"),"※没填单价，价格状态请选「待补价」",IF(AND($S1123&gt;0,$R1123&gt;0),"△本批有 "&amp;$S1123&amp;" 行没单价，整批运费先挂账没摊",IF(AND($B1123&lt;&gt;"",COUNTIF($B$4:$B$2503,$B1123)&gt;1),"※入库单号重复","")))))))</f>
        <v/>
      </c>
    </row>
    <row r="1124">
      <c r="A1124" s="24">
        <f>IF($G1124="","",COUNTA($G$4:$G1124))</f>
        <v/>
      </c>
      <c r="B1124" s="17" t="n"/>
      <c r="C1124" s="30" t="n"/>
      <c r="D1124" s="17" t="n"/>
      <c r="E1124" s="17" t="n"/>
      <c r="F1124" s="17" t="n"/>
      <c r="G1124" s="17" t="n"/>
      <c r="H1124" s="24">
        <f>IF($G1124="","",IFERROR(VLOOKUP($G1124,物料档案!$A$4:$P$1203,3,0),"※编码不在物料档案里"))</f>
        <v/>
      </c>
      <c r="I1124" s="24">
        <f>IF($G1124="","",IFERROR(VLOOKUP($G1124,物料档案!$A$4:$P$1203,4,0),"※编码不在物料档案里"))</f>
        <v/>
      </c>
      <c r="J1124" s="24">
        <f>IF($G1124="","",IFERROR(VLOOKUP($G1124,物料档案!$A$4:$P$1203,5,0),"※编码不在物料档案里"))</f>
        <v/>
      </c>
      <c r="K1124" s="23" t="n"/>
      <c r="L1124" s="31" t="n"/>
      <c r="M1124" s="24">
        <f>IF($G1124="","",IF($D1124="A国内","CNY","TZS"))</f>
        <v/>
      </c>
      <c r="N1124" s="28">
        <f>IF($G1124="","",IF($D1124="A国内",汇率,1))</f>
        <v/>
      </c>
      <c r="O1124" s="25">
        <f>IF($G1124="","",ROUND(N($K1124)*N($L1124),2))</f>
        <v/>
      </c>
      <c r="P1124" s="26">
        <f>IF($G1124="","",ROUND($O1124*$N1124,0))</f>
        <v/>
      </c>
      <c r="Q1124" s="26">
        <f>IF($G1124="","",SUMIFS($P$4:$P$2503,$E$4:$E$2503,$E1124,$Z$4:$Z$2503,"正常"))</f>
        <v/>
      </c>
      <c r="R1124" s="26">
        <f>IF($G1124="","",SUMIFS(费用台账!$I$4:$I$503,费用台账!$C$4:$C$503,$E1124,费用台账!$J$4:$J$503,"是",费用台账!$K$4:$K$503,"正常"))</f>
        <v/>
      </c>
      <c r="S1124" s="28">
        <f>IF($G1124="","",COUNTIFS($E$4:$E$2503,$E1124,$Z$4:$Z$2503,"正常",$Y$4:$Y$2503,"待补价"))</f>
        <v/>
      </c>
      <c r="T1124" s="26">
        <f>IF($G1124="","",SUMIFS($P$4:$P$2503,$E$4:$E$2503,$E1124,$Z$4:$Z$2503,"正常",$A$4:$A$2503,"&lt;="&amp;$A1124))</f>
        <v/>
      </c>
      <c r="U1124" s="26">
        <f>IF($G1124="","",IF(OR($S1124&gt;0,$Q1124=0,$R1124=0,$Z1124&lt;&gt;"正常"),0,ROUND($T1124/$Q1124*$R1124,0)-ROUND(($T1124-$P1124)/$Q1124*$R1124,0)))</f>
        <v/>
      </c>
      <c r="V1124" s="26">
        <f>IF($G1124="","",ROUND($P1124+$U1124,0))</f>
        <v/>
      </c>
      <c r="W1124" s="26">
        <f>IF($G1124="","",IF(N($K1124)=0,0,ROUND($V1124/$K1124,2)))</f>
        <v/>
      </c>
      <c r="X1124" s="17" t="n"/>
      <c r="Y1124" s="17" t="n"/>
      <c r="Z1124" s="17" t="n"/>
      <c r="AA1124" s="17" t="n"/>
      <c r="AB1124" s="17" t="n"/>
      <c r="AC1124" s="24">
        <f>IF($G1124="","",IF($H1124="※编码不在物料档案里","※物料编码不在档案里",IF(N($K1124)&lt;=0,"※入库数量要大于 0",IF(AND($C1124&lt;&gt;"",$C1124&lt;=结账锁),"※日期早于已结账截止日，不能再录",IF(AND($L1124=0,$X1124="正常"),"※没填单价，价格状态请选「待补价」",IF(AND($S1124&gt;0,$R1124&gt;0),"△本批有 "&amp;$S1124&amp;" 行没单价，整批运费先挂账没摊",IF(AND($B1124&lt;&gt;"",COUNTIF($B$4:$B$2503,$B1124)&gt;1),"※入库单号重复","")))))))</f>
        <v/>
      </c>
    </row>
    <row r="1125">
      <c r="A1125" s="24">
        <f>IF($G1125="","",COUNTA($G$4:$G1125))</f>
        <v/>
      </c>
      <c r="B1125" s="17" t="n"/>
      <c r="C1125" s="30" t="n"/>
      <c r="D1125" s="17" t="n"/>
      <c r="E1125" s="17" t="n"/>
      <c r="F1125" s="17" t="n"/>
      <c r="G1125" s="17" t="n"/>
      <c r="H1125" s="24">
        <f>IF($G1125="","",IFERROR(VLOOKUP($G1125,物料档案!$A$4:$P$1203,3,0),"※编码不在物料档案里"))</f>
        <v/>
      </c>
      <c r="I1125" s="24">
        <f>IF($G1125="","",IFERROR(VLOOKUP($G1125,物料档案!$A$4:$P$1203,4,0),"※编码不在物料档案里"))</f>
        <v/>
      </c>
      <c r="J1125" s="24">
        <f>IF($G1125="","",IFERROR(VLOOKUP($G1125,物料档案!$A$4:$P$1203,5,0),"※编码不在物料档案里"))</f>
        <v/>
      </c>
      <c r="K1125" s="23" t="n"/>
      <c r="L1125" s="31" t="n"/>
      <c r="M1125" s="24">
        <f>IF($G1125="","",IF($D1125="A国内","CNY","TZS"))</f>
        <v/>
      </c>
      <c r="N1125" s="28">
        <f>IF($G1125="","",IF($D1125="A国内",汇率,1))</f>
        <v/>
      </c>
      <c r="O1125" s="25">
        <f>IF($G1125="","",ROUND(N($K1125)*N($L1125),2))</f>
        <v/>
      </c>
      <c r="P1125" s="26">
        <f>IF($G1125="","",ROUND($O1125*$N1125,0))</f>
        <v/>
      </c>
      <c r="Q1125" s="26">
        <f>IF($G1125="","",SUMIFS($P$4:$P$2503,$E$4:$E$2503,$E1125,$Z$4:$Z$2503,"正常"))</f>
        <v/>
      </c>
      <c r="R1125" s="26">
        <f>IF($G1125="","",SUMIFS(费用台账!$I$4:$I$503,费用台账!$C$4:$C$503,$E1125,费用台账!$J$4:$J$503,"是",费用台账!$K$4:$K$503,"正常"))</f>
        <v/>
      </c>
      <c r="S1125" s="28">
        <f>IF($G1125="","",COUNTIFS($E$4:$E$2503,$E1125,$Z$4:$Z$2503,"正常",$Y$4:$Y$2503,"待补价"))</f>
        <v/>
      </c>
      <c r="T1125" s="26">
        <f>IF($G1125="","",SUMIFS($P$4:$P$2503,$E$4:$E$2503,$E1125,$Z$4:$Z$2503,"正常",$A$4:$A$2503,"&lt;="&amp;$A1125))</f>
        <v/>
      </c>
      <c r="U1125" s="26">
        <f>IF($G1125="","",IF(OR($S1125&gt;0,$Q1125=0,$R1125=0,$Z1125&lt;&gt;"正常"),0,ROUND($T1125/$Q1125*$R1125,0)-ROUND(($T1125-$P1125)/$Q1125*$R1125,0)))</f>
        <v/>
      </c>
      <c r="V1125" s="26">
        <f>IF($G1125="","",ROUND($P1125+$U1125,0))</f>
        <v/>
      </c>
      <c r="W1125" s="26">
        <f>IF($G1125="","",IF(N($K1125)=0,0,ROUND($V1125/$K1125,2)))</f>
        <v/>
      </c>
      <c r="X1125" s="17" t="n"/>
      <c r="Y1125" s="17" t="n"/>
      <c r="Z1125" s="17" t="n"/>
      <c r="AA1125" s="17" t="n"/>
      <c r="AB1125" s="17" t="n"/>
      <c r="AC1125" s="24">
        <f>IF($G1125="","",IF($H1125="※编码不在物料档案里","※物料编码不在档案里",IF(N($K1125)&lt;=0,"※入库数量要大于 0",IF(AND($C1125&lt;&gt;"",$C1125&lt;=结账锁),"※日期早于已结账截止日，不能再录",IF(AND($L1125=0,$X1125="正常"),"※没填单价，价格状态请选「待补价」",IF(AND($S1125&gt;0,$R1125&gt;0),"△本批有 "&amp;$S1125&amp;" 行没单价，整批运费先挂账没摊",IF(AND($B1125&lt;&gt;"",COUNTIF($B$4:$B$2503,$B1125)&gt;1),"※入库单号重复","")))))))</f>
        <v/>
      </c>
    </row>
    <row r="1126">
      <c r="A1126" s="24">
        <f>IF($G1126="","",COUNTA($G$4:$G1126))</f>
        <v/>
      </c>
      <c r="B1126" s="17" t="n"/>
      <c r="C1126" s="30" t="n"/>
      <c r="D1126" s="17" t="n"/>
      <c r="E1126" s="17" t="n"/>
      <c r="F1126" s="17" t="n"/>
      <c r="G1126" s="17" t="n"/>
      <c r="H1126" s="24">
        <f>IF($G1126="","",IFERROR(VLOOKUP($G1126,物料档案!$A$4:$P$1203,3,0),"※编码不在物料档案里"))</f>
        <v/>
      </c>
      <c r="I1126" s="24">
        <f>IF($G1126="","",IFERROR(VLOOKUP($G1126,物料档案!$A$4:$P$1203,4,0),"※编码不在物料档案里"))</f>
        <v/>
      </c>
      <c r="J1126" s="24">
        <f>IF($G1126="","",IFERROR(VLOOKUP($G1126,物料档案!$A$4:$P$1203,5,0),"※编码不在物料档案里"))</f>
        <v/>
      </c>
      <c r="K1126" s="23" t="n"/>
      <c r="L1126" s="31" t="n"/>
      <c r="M1126" s="24">
        <f>IF($G1126="","",IF($D1126="A国内","CNY","TZS"))</f>
        <v/>
      </c>
      <c r="N1126" s="28">
        <f>IF($G1126="","",IF($D1126="A国内",汇率,1))</f>
        <v/>
      </c>
      <c r="O1126" s="25">
        <f>IF($G1126="","",ROUND(N($K1126)*N($L1126),2))</f>
        <v/>
      </c>
      <c r="P1126" s="26">
        <f>IF($G1126="","",ROUND($O1126*$N1126,0))</f>
        <v/>
      </c>
      <c r="Q1126" s="26">
        <f>IF($G1126="","",SUMIFS($P$4:$P$2503,$E$4:$E$2503,$E1126,$Z$4:$Z$2503,"正常"))</f>
        <v/>
      </c>
      <c r="R1126" s="26">
        <f>IF($G1126="","",SUMIFS(费用台账!$I$4:$I$503,费用台账!$C$4:$C$503,$E1126,费用台账!$J$4:$J$503,"是",费用台账!$K$4:$K$503,"正常"))</f>
        <v/>
      </c>
      <c r="S1126" s="28">
        <f>IF($G1126="","",COUNTIFS($E$4:$E$2503,$E1126,$Z$4:$Z$2503,"正常",$Y$4:$Y$2503,"待补价"))</f>
        <v/>
      </c>
      <c r="T1126" s="26">
        <f>IF($G1126="","",SUMIFS($P$4:$P$2503,$E$4:$E$2503,$E1126,$Z$4:$Z$2503,"正常",$A$4:$A$2503,"&lt;="&amp;$A1126))</f>
        <v/>
      </c>
      <c r="U1126" s="26">
        <f>IF($G1126="","",IF(OR($S1126&gt;0,$Q1126=0,$R1126=0,$Z1126&lt;&gt;"正常"),0,ROUND($T1126/$Q1126*$R1126,0)-ROUND(($T1126-$P1126)/$Q1126*$R1126,0)))</f>
        <v/>
      </c>
      <c r="V1126" s="26">
        <f>IF($G1126="","",ROUND($P1126+$U1126,0))</f>
        <v/>
      </c>
      <c r="W1126" s="26">
        <f>IF($G1126="","",IF(N($K1126)=0,0,ROUND($V1126/$K1126,2)))</f>
        <v/>
      </c>
      <c r="X1126" s="17" t="n"/>
      <c r="Y1126" s="17" t="n"/>
      <c r="Z1126" s="17" t="n"/>
      <c r="AA1126" s="17" t="n"/>
      <c r="AB1126" s="17" t="n"/>
      <c r="AC1126" s="24">
        <f>IF($G1126="","",IF($H1126="※编码不在物料档案里","※物料编码不在档案里",IF(N($K1126)&lt;=0,"※入库数量要大于 0",IF(AND($C1126&lt;&gt;"",$C1126&lt;=结账锁),"※日期早于已结账截止日，不能再录",IF(AND($L1126=0,$X1126="正常"),"※没填单价，价格状态请选「待补价」",IF(AND($S1126&gt;0,$R1126&gt;0),"△本批有 "&amp;$S1126&amp;" 行没单价，整批运费先挂账没摊",IF(AND($B1126&lt;&gt;"",COUNTIF($B$4:$B$2503,$B1126)&gt;1),"※入库单号重复","")))))))</f>
        <v/>
      </c>
    </row>
    <row r="1127">
      <c r="A1127" s="24">
        <f>IF($G1127="","",COUNTA($G$4:$G1127))</f>
        <v/>
      </c>
      <c r="B1127" s="17" t="n"/>
      <c r="C1127" s="30" t="n"/>
      <c r="D1127" s="17" t="n"/>
      <c r="E1127" s="17" t="n"/>
      <c r="F1127" s="17" t="n"/>
      <c r="G1127" s="17" t="n"/>
      <c r="H1127" s="24">
        <f>IF($G1127="","",IFERROR(VLOOKUP($G1127,物料档案!$A$4:$P$1203,3,0),"※编码不在物料档案里"))</f>
        <v/>
      </c>
      <c r="I1127" s="24">
        <f>IF($G1127="","",IFERROR(VLOOKUP($G1127,物料档案!$A$4:$P$1203,4,0),"※编码不在物料档案里"))</f>
        <v/>
      </c>
      <c r="J1127" s="24">
        <f>IF($G1127="","",IFERROR(VLOOKUP($G1127,物料档案!$A$4:$P$1203,5,0),"※编码不在物料档案里"))</f>
        <v/>
      </c>
      <c r="K1127" s="23" t="n"/>
      <c r="L1127" s="31" t="n"/>
      <c r="M1127" s="24">
        <f>IF($G1127="","",IF($D1127="A国内","CNY","TZS"))</f>
        <v/>
      </c>
      <c r="N1127" s="28">
        <f>IF($G1127="","",IF($D1127="A国内",汇率,1))</f>
        <v/>
      </c>
      <c r="O1127" s="25">
        <f>IF($G1127="","",ROUND(N($K1127)*N($L1127),2))</f>
        <v/>
      </c>
      <c r="P1127" s="26">
        <f>IF($G1127="","",ROUND($O1127*$N1127,0))</f>
        <v/>
      </c>
      <c r="Q1127" s="26">
        <f>IF($G1127="","",SUMIFS($P$4:$P$2503,$E$4:$E$2503,$E1127,$Z$4:$Z$2503,"正常"))</f>
        <v/>
      </c>
      <c r="R1127" s="26">
        <f>IF($G1127="","",SUMIFS(费用台账!$I$4:$I$503,费用台账!$C$4:$C$503,$E1127,费用台账!$J$4:$J$503,"是",费用台账!$K$4:$K$503,"正常"))</f>
        <v/>
      </c>
      <c r="S1127" s="28">
        <f>IF($G1127="","",COUNTIFS($E$4:$E$2503,$E1127,$Z$4:$Z$2503,"正常",$Y$4:$Y$2503,"待补价"))</f>
        <v/>
      </c>
      <c r="T1127" s="26">
        <f>IF($G1127="","",SUMIFS($P$4:$P$2503,$E$4:$E$2503,$E1127,$Z$4:$Z$2503,"正常",$A$4:$A$2503,"&lt;="&amp;$A1127))</f>
        <v/>
      </c>
      <c r="U1127" s="26">
        <f>IF($G1127="","",IF(OR($S1127&gt;0,$Q1127=0,$R1127=0,$Z1127&lt;&gt;"正常"),0,ROUND($T1127/$Q1127*$R1127,0)-ROUND(($T1127-$P1127)/$Q1127*$R1127,0)))</f>
        <v/>
      </c>
      <c r="V1127" s="26">
        <f>IF($G1127="","",ROUND($P1127+$U1127,0))</f>
        <v/>
      </c>
      <c r="W1127" s="26">
        <f>IF($G1127="","",IF(N($K1127)=0,0,ROUND($V1127/$K1127,2)))</f>
        <v/>
      </c>
      <c r="X1127" s="17" t="n"/>
      <c r="Y1127" s="17" t="n"/>
      <c r="Z1127" s="17" t="n"/>
      <c r="AA1127" s="17" t="n"/>
      <c r="AB1127" s="17" t="n"/>
      <c r="AC1127" s="24">
        <f>IF($G1127="","",IF($H1127="※编码不在物料档案里","※物料编码不在档案里",IF(N($K1127)&lt;=0,"※入库数量要大于 0",IF(AND($C1127&lt;&gt;"",$C1127&lt;=结账锁),"※日期早于已结账截止日，不能再录",IF(AND($L1127=0,$X1127="正常"),"※没填单价，价格状态请选「待补价」",IF(AND($S1127&gt;0,$R1127&gt;0),"△本批有 "&amp;$S1127&amp;" 行没单价，整批运费先挂账没摊",IF(AND($B1127&lt;&gt;"",COUNTIF($B$4:$B$2503,$B1127)&gt;1),"※入库单号重复","")))))))</f>
        <v/>
      </c>
    </row>
    <row r="1128">
      <c r="A1128" s="24">
        <f>IF($G1128="","",COUNTA($G$4:$G1128))</f>
        <v/>
      </c>
      <c r="B1128" s="17" t="n"/>
      <c r="C1128" s="30" t="n"/>
      <c r="D1128" s="17" t="n"/>
      <c r="E1128" s="17" t="n"/>
      <c r="F1128" s="17" t="n"/>
      <c r="G1128" s="17" t="n"/>
      <c r="H1128" s="24">
        <f>IF($G1128="","",IFERROR(VLOOKUP($G1128,物料档案!$A$4:$P$1203,3,0),"※编码不在物料档案里"))</f>
        <v/>
      </c>
      <c r="I1128" s="24">
        <f>IF($G1128="","",IFERROR(VLOOKUP($G1128,物料档案!$A$4:$P$1203,4,0),"※编码不在物料档案里"))</f>
        <v/>
      </c>
      <c r="J1128" s="24">
        <f>IF($G1128="","",IFERROR(VLOOKUP($G1128,物料档案!$A$4:$P$1203,5,0),"※编码不在物料档案里"))</f>
        <v/>
      </c>
      <c r="K1128" s="23" t="n"/>
      <c r="L1128" s="31" t="n"/>
      <c r="M1128" s="24">
        <f>IF($G1128="","",IF($D1128="A国内","CNY","TZS"))</f>
        <v/>
      </c>
      <c r="N1128" s="28">
        <f>IF($G1128="","",IF($D1128="A国内",汇率,1))</f>
        <v/>
      </c>
      <c r="O1128" s="25">
        <f>IF($G1128="","",ROUND(N($K1128)*N($L1128),2))</f>
        <v/>
      </c>
      <c r="P1128" s="26">
        <f>IF($G1128="","",ROUND($O1128*$N1128,0))</f>
        <v/>
      </c>
      <c r="Q1128" s="26">
        <f>IF($G1128="","",SUMIFS($P$4:$P$2503,$E$4:$E$2503,$E1128,$Z$4:$Z$2503,"正常"))</f>
        <v/>
      </c>
      <c r="R1128" s="26">
        <f>IF($G1128="","",SUMIFS(费用台账!$I$4:$I$503,费用台账!$C$4:$C$503,$E1128,费用台账!$J$4:$J$503,"是",费用台账!$K$4:$K$503,"正常"))</f>
        <v/>
      </c>
      <c r="S1128" s="28">
        <f>IF($G1128="","",COUNTIFS($E$4:$E$2503,$E1128,$Z$4:$Z$2503,"正常",$Y$4:$Y$2503,"待补价"))</f>
        <v/>
      </c>
      <c r="T1128" s="26">
        <f>IF($G1128="","",SUMIFS($P$4:$P$2503,$E$4:$E$2503,$E1128,$Z$4:$Z$2503,"正常",$A$4:$A$2503,"&lt;="&amp;$A1128))</f>
        <v/>
      </c>
      <c r="U1128" s="26">
        <f>IF($G1128="","",IF(OR($S1128&gt;0,$Q1128=0,$R1128=0,$Z1128&lt;&gt;"正常"),0,ROUND($T1128/$Q1128*$R1128,0)-ROUND(($T1128-$P1128)/$Q1128*$R1128,0)))</f>
        <v/>
      </c>
      <c r="V1128" s="26">
        <f>IF($G1128="","",ROUND($P1128+$U1128,0))</f>
        <v/>
      </c>
      <c r="W1128" s="26">
        <f>IF($G1128="","",IF(N($K1128)=0,0,ROUND($V1128/$K1128,2)))</f>
        <v/>
      </c>
      <c r="X1128" s="17" t="n"/>
      <c r="Y1128" s="17" t="n"/>
      <c r="Z1128" s="17" t="n"/>
      <c r="AA1128" s="17" t="n"/>
      <c r="AB1128" s="17" t="n"/>
      <c r="AC1128" s="24">
        <f>IF($G1128="","",IF($H1128="※编码不在物料档案里","※物料编码不在档案里",IF(N($K1128)&lt;=0,"※入库数量要大于 0",IF(AND($C1128&lt;&gt;"",$C1128&lt;=结账锁),"※日期早于已结账截止日，不能再录",IF(AND($L1128=0,$X1128="正常"),"※没填单价，价格状态请选「待补价」",IF(AND($S1128&gt;0,$R1128&gt;0),"△本批有 "&amp;$S1128&amp;" 行没单价，整批运费先挂账没摊",IF(AND($B1128&lt;&gt;"",COUNTIF($B$4:$B$2503,$B1128)&gt;1),"※入库单号重复","")))))))</f>
        <v/>
      </c>
    </row>
    <row r="1129">
      <c r="A1129" s="24">
        <f>IF($G1129="","",COUNTA($G$4:$G1129))</f>
        <v/>
      </c>
      <c r="B1129" s="17" t="n"/>
      <c r="C1129" s="30" t="n"/>
      <c r="D1129" s="17" t="n"/>
      <c r="E1129" s="17" t="n"/>
      <c r="F1129" s="17" t="n"/>
      <c r="G1129" s="17" t="n"/>
      <c r="H1129" s="24">
        <f>IF($G1129="","",IFERROR(VLOOKUP($G1129,物料档案!$A$4:$P$1203,3,0),"※编码不在物料档案里"))</f>
        <v/>
      </c>
      <c r="I1129" s="24">
        <f>IF($G1129="","",IFERROR(VLOOKUP($G1129,物料档案!$A$4:$P$1203,4,0),"※编码不在物料档案里"))</f>
        <v/>
      </c>
      <c r="J1129" s="24">
        <f>IF($G1129="","",IFERROR(VLOOKUP($G1129,物料档案!$A$4:$P$1203,5,0),"※编码不在物料档案里"))</f>
        <v/>
      </c>
      <c r="K1129" s="23" t="n"/>
      <c r="L1129" s="31" t="n"/>
      <c r="M1129" s="24">
        <f>IF($G1129="","",IF($D1129="A国内","CNY","TZS"))</f>
        <v/>
      </c>
      <c r="N1129" s="28">
        <f>IF($G1129="","",IF($D1129="A国内",汇率,1))</f>
        <v/>
      </c>
      <c r="O1129" s="25">
        <f>IF($G1129="","",ROUND(N($K1129)*N($L1129),2))</f>
        <v/>
      </c>
      <c r="P1129" s="26">
        <f>IF($G1129="","",ROUND($O1129*$N1129,0))</f>
        <v/>
      </c>
      <c r="Q1129" s="26">
        <f>IF($G1129="","",SUMIFS($P$4:$P$2503,$E$4:$E$2503,$E1129,$Z$4:$Z$2503,"正常"))</f>
        <v/>
      </c>
      <c r="R1129" s="26">
        <f>IF($G1129="","",SUMIFS(费用台账!$I$4:$I$503,费用台账!$C$4:$C$503,$E1129,费用台账!$J$4:$J$503,"是",费用台账!$K$4:$K$503,"正常"))</f>
        <v/>
      </c>
      <c r="S1129" s="28">
        <f>IF($G1129="","",COUNTIFS($E$4:$E$2503,$E1129,$Z$4:$Z$2503,"正常",$Y$4:$Y$2503,"待补价"))</f>
        <v/>
      </c>
      <c r="T1129" s="26">
        <f>IF($G1129="","",SUMIFS($P$4:$P$2503,$E$4:$E$2503,$E1129,$Z$4:$Z$2503,"正常",$A$4:$A$2503,"&lt;="&amp;$A1129))</f>
        <v/>
      </c>
      <c r="U1129" s="26">
        <f>IF($G1129="","",IF(OR($S1129&gt;0,$Q1129=0,$R1129=0,$Z1129&lt;&gt;"正常"),0,ROUND($T1129/$Q1129*$R1129,0)-ROUND(($T1129-$P1129)/$Q1129*$R1129,0)))</f>
        <v/>
      </c>
      <c r="V1129" s="26">
        <f>IF($G1129="","",ROUND($P1129+$U1129,0))</f>
        <v/>
      </c>
      <c r="W1129" s="26">
        <f>IF($G1129="","",IF(N($K1129)=0,0,ROUND($V1129/$K1129,2)))</f>
        <v/>
      </c>
      <c r="X1129" s="17" t="n"/>
      <c r="Y1129" s="17" t="n"/>
      <c r="Z1129" s="17" t="n"/>
      <c r="AA1129" s="17" t="n"/>
      <c r="AB1129" s="17" t="n"/>
      <c r="AC1129" s="24">
        <f>IF($G1129="","",IF($H1129="※编码不在物料档案里","※物料编码不在档案里",IF(N($K1129)&lt;=0,"※入库数量要大于 0",IF(AND($C1129&lt;&gt;"",$C1129&lt;=结账锁),"※日期早于已结账截止日，不能再录",IF(AND($L1129=0,$X1129="正常"),"※没填单价，价格状态请选「待补价」",IF(AND($S1129&gt;0,$R1129&gt;0),"△本批有 "&amp;$S1129&amp;" 行没单价，整批运费先挂账没摊",IF(AND($B1129&lt;&gt;"",COUNTIF($B$4:$B$2503,$B1129)&gt;1),"※入库单号重复","")))))))</f>
        <v/>
      </c>
    </row>
    <row r="1130">
      <c r="A1130" s="24">
        <f>IF($G1130="","",COUNTA($G$4:$G1130))</f>
        <v/>
      </c>
      <c r="B1130" s="17" t="n"/>
      <c r="C1130" s="30" t="n"/>
      <c r="D1130" s="17" t="n"/>
      <c r="E1130" s="17" t="n"/>
      <c r="F1130" s="17" t="n"/>
      <c r="G1130" s="17" t="n"/>
      <c r="H1130" s="24">
        <f>IF($G1130="","",IFERROR(VLOOKUP($G1130,物料档案!$A$4:$P$1203,3,0),"※编码不在物料档案里"))</f>
        <v/>
      </c>
      <c r="I1130" s="24">
        <f>IF($G1130="","",IFERROR(VLOOKUP($G1130,物料档案!$A$4:$P$1203,4,0),"※编码不在物料档案里"))</f>
        <v/>
      </c>
      <c r="J1130" s="24">
        <f>IF($G1130="","",IFERROR(VLOOKUP($G1130,物料档案!$A$4:$P$1203,5,0),"※编码不在物料档案里"))</f>
        <v/>
      </c>
      <c r="K1130" s="23" t="n"/>
      <c r="L1130" s="31" t="n"/>
      <c r="M1130" s="24">
        <f>IF($G1130="","",IF($D1130="A国内","CNY","TZS"))</f>
        <v/>
      </c>
      <c r="N1130" s="28">
        <f>IF($G1130="","",IF($D1130="A国内",汇率,1))</f>
        <v/>
      </c>
      <c r="O1130" s="25">
        <f>IF($G1130="","",ROUND(N($K1130)*N($L1130),2))</f>
        <v/>
      </c>
      <c r="P1130" s="26">
        <f>IF($G1130="","",ROUND($O1130*$N1130,0))</f>
        <v/>
      </c>
      <c r="Q1130" s="26">
        <f>IF($G1130="","",SUMIFS($P$4:$P$2503,$E$4:$E$2503,$E1130,$Z$4:$Z$2503,"正常"))</f>
        <v/>
      </c>
      <c r="R1130" s="26">
        <f>IF($G1130="","",SUMIFS(费用台账!$I$4:$I$503,费用台账!$C$4:$C$503,$E1130,费用台账!$J$4:$J$503,"是",费用台账!$K$4:$K$503,"正常"))</f>
        <v/>
      </c>
      <c r="S1130" s="28">
        <f>IF($G1130="","",COUNTIFS($E$4:$E$2503,$E1130,$Z$4:$Z$2503,"正常",$Y$4:$Y$2503,"待补价"))</f>
        <v/>
      </c>
      <c r="T1130" s="26">
        <f>IF($G1130="","",SUMIFS($P$4:$P$2503,$E$4:$E$2503,$E1130,$Z$4:$Z$2503,"正常",$A$4:$A$2503,"&lt;="&amp;$A1130))</f>
        <v/>
      </c>
      <c r="U1130" s="26">
        <f>IF($G1130="","",IF(OR($S1130&gt;0,$Q1130=0,$R1130=0,$Z1130&lt;&gt;"正常"),0,ROUND($T1130/$Q1130*$R1130,0)-ROUND(($T1130-$P1130)/$Q1130*$R1130,0)))</f>
        <v/>
      </c>
      <c r="V1130" s="26">
        <f>IF($G1130="","",ROUND($P1130+$U1130,0))</f>
        <v/>
      </c>
      <c r="W1130" s="26">
        <f>IF($G1130="","",IF(N($K1130)=0,0,ROUND($V1130/$K1130,2)))</f>
        <v/>
      </c>
      <c r="X1130" s="17" t="n"/>
      <c r="Y1130" s="17" t="n"/>
      <c r="Z1130" s="17" t="n"/>
      <c r="AA1130" s="17" t="n"/>
      <c r="AB1130" s="17" t="n"/>
      <c r="AC1130" s="24">
        <f>IF($G1130="","",IF($H1130="※编码不在物料档案里","※物料编码不在档案里",IF(N($K1130)&lt;=0,"※入库数量要大于 0",IF(AND($C1130&lt;&gt;"",$C1130&lt;=结账锁),"※日期早于已结账截止日，不能再录",IF(AND($L1130=0,$X1130="正常"),"※没填单价，价格状态请选「待补价」",IF(AND($S1130&gt;0,$R1130&gt;0),"△本批有 "&amp;$S1130&amp;" 行没单价，整批运费先挂账没摊",IF(AND($B1130&lt;&gt;"",COUNTIF($B$4:$B$2503,$B1130)&gt;1),"※入库单号重复","")))))))</f>
        <v/>
      </c>
    </row>
    <row r="1131">
      <c r="A1131" s="24">
        <f>IF($G1131="","",COUNTA($G$4:$G1131))</f>
        <v/>
      </c>
      <c r="B1131" s="17" t="n"/>
      <c r="C1131" s="30" t="n"/>
      <c r="D1131" s="17" t="n"/>
      <c r="E1131" s="17" t="n"/>
      <c r="F1131" s="17" t="n"/>
      <c r="G1131" s="17" t="n"/>
      <c r="H1131" s="24">
        <f>IF($G1131="","",IFERROR(VLOOKUP($G1131,物料档案!$A$4:$P$1203,3,0),"※编码不在物料档案里"))</f>
        <v/>
      </c>
      <c r="I1131" s="24">
        <f>IF($G1131="","",IFERROR(VLOOKUP($G1131,物料档案!$A$4:$P$1203,4,0),"※编码不在物料档案里"))</f>
        <v/>
      </c>
      <c r="J1131" s="24">
        <f>IF($G1131="","",IFERROR(VLOOKUP($G1131,物料档案!$A$4:$P$1203,5,0),"※编码不在物料档案里"))</f>
        <v/>
      </c>
      <c r="K1131" s="23" t="n"/>
      <c r="L1131" s="31" t="n"/>
      <c r="M1131" s="24">
        <f>IF($G1131="","",IF($D1131="A国内","CNY","TZS"))</f>
        <v/>
      </c>
      <c r="N1131" s="28">
        <f>IF($G1131="","",IF($D1131="A国内",汇率,1))</f>
        <v/>
      </c>
      <c r="O1131" s="25">
        <f>IF($G1131="","",ROUND(N($K1131)*N($L1131),2))</f>
        <v/>
      </c>
      <c r="P1131" s="26">
        <f>IF($G1131="","",ROUND($O1131*$N1131,0))</f>
        <v/>
      </c>
      <c r="Q1131" s="26">
        <f>IF($G1131="","",SUMIFS($P$4:$P$2503,$E$4:$E$2503,$E1131,$Z$4:$Z$2503,"正常"))</f>
        <v/>
      </c>
      <c r="R1131" s="26">
        <f>IF($G1131="","",SUMIFS(费用台账!$I$4:$I$503,费用台账!$C$4:$C$503,$E1131,费用台账!$J$4:$J$503,"是",费用台账!$K$4:$K$503,"正常"))</f>
        <v/>
      </c>
      <c r="S1131" s="28">
        <f>IF($G1131="","",COUNTIFS($E$4:$E$2503,$E1131,$Z$4:$Z$2503,"正常",$Y$4:$Y$2503,"待补价"))</f>
        <v/>
      </c>
      <c r="T1131" s="26">
        <f>IF($G1131="","",SUMIFS($P$4:$P$2503,$E$4:$E$2503,$E1131,$Z$4:$Z$2503,"正常",$A$4:$A$2503,"&lt;="&amp;$A1131))</f>
        <v/>
      </c>
      <c r="U1131" s="26">
        <f>IF($G1131="","",IF(OR($S1131&gt;0,$Q1131=0,$R1131=0,$Z1131&lt;&gt;"正常"),0,ROUND($T1131/$Q1131*$R1131,0)-ROUND(($T1131-$P1131)/$Q1131*$R1131,0)))</f>
        <v/>
      </c>
      <c r="V1131" s="26">
        <f>IF($G1131="","",ROUND($P1131+$U1131,0))</f>
        <v/>
      </c>
      <c r="W1131" s="26">
        <f>IF($G1131="","",IF(N($K1131)=0,0,ROUND($V1131/$K1131,2)))</f>
        <v/>
      </c>
      <c r="X1131" s="17" t="n"/>
      <c r="Y1131" s="17" t="n"/>
      <c r="Z1131" s="17" t="n"/>
      <c r="AA1131" s="17" t="n"/>
      <c r="AB1131" s="17" t="n"/>
      <c r="AC1131" s="24">
        <f>IF($G1131="","",IF($H1131="※编码不在物料档案里","※物料编码不在档案里",IF(N($K1131)&lt;=0,"※入库数量要大于 0",IF(AND($C1131&lt;&gt;"",$C1131&lt;=结账锁),"※日期早于已结账截止日，不能再录",IF(AND($L1131=0,$X1131="正常"),"※没填单价，价格状态请选「待补价」",IF(AND($S1131&gt;0,$R1131&gt;0),"△本批有 "&amp;$S1131&amp;" 行没单价，整批运费先挂账没摊",IF(AND($B1131&lt;&gt;"",COUNTIF($B$4:$B$2503,$B1131)&gt;1),"※入库单号重复","")))))))</f>
        <v/>
      </c>
    </row>
    <row r="1132">
      <c r="A1132" s="24">
        <f>IF($G1132="","",COUNTA($G$4:$G1132))</f>
        <v/>
      </c>
      <c r="B1132" s="17" t="n"/>
      <c r="C1132" s="30" t="n"/>
      <c r="D1132" s="17" t="n"/>
      <c r="E1132" s="17" t="n"/>
      <c r="F1132" s="17" t="n"/>
      <c r="G1132" s="17" t="n"/>
      <c r="H1132" s="24">
        <f>IF($G1132="","",IFERROR(VLOOKUP($G1132,物料档案!$A$4:$P$1203,3,0),"※编码不在物料档案里"))</f>
        <v/>
      </c>
      <c r="I1132" s="24">
        <f>IF($G1132="","",IFERROR(VLOOKUP($G1132,物料档案!$A$4:$P$1203,4,0),"※编码不在物料档案里"))</f>
        <v/>
      </c>
      <c r="J1132" s="24">
        <f>IF($G1132="","",IFERROR(VLOOKUP($G1132,物料档案!$A$4:$P$1203,5,0),"※编码不在物料档案里"))</f>
        <v/>
      </c>
      <c r="K1132" s="23" t="n"/>
      <c r="L1132" s="31" t="n"/>
      <c r="M1132" s="24">
        <f>IF($G1132="","",IF($D1132="A国内","CNY","TZS"))</f>
        <v/>
      </c>
      <c r="N1132" s="28">
        <f>IF($G1132="","",IF($D1132="A国内",汇率,1))</f>
        <v/>
      </c>
      <c r="O1132" s="25">
        <f>IF($G1132="","",ROUND(N($K1132)*N($L1132),2))</f>
        <v/>
      </c>
      <c r="P1132" s="26">
        <f>IF($G1132="","",ROUND($O1132*$N1132,0))</f>
        <v/>
      </c>
      <c r="Q1132" s="26">
        <f>IF($G1132="","",SUMIFS($P$4:$P$2503,$E$4:$E$2503,$E1132,$Z$4:$Z$2503,"正常"))</f>
        <v/>
      </c>
      <c r="R1132" s="26">
        <f>IF($G1132="","",SUMIFS(费用台账!$I$4:$I$503,费用台账!$C$4:$C$503,$E1132,费用台账!$J$4:$J$503,"是",费用台账!$K$4:$K$503,"正常"))</f>
        <v/>
      </c>
      <c r="S1132" s="28">
        <f>IF($G1132="","",COUNTIFS($E$4:$E$2503,$E1132,$Z$4:$Z$2503,"正常",$Y$4:$Y$2503,"待补价"))</f>
        <v/>
      </c>
      <c r="T1132" s="26">
        <f>IF($G1132="","",SUMIFS($P$4:$P$2503,$E$4:$E$2503,$E1132,$Z$4:$Z$2503,"正常",$A$4:$A$2503,"&lt;="&amp;$A1132))</f>
        <v/>
      </c>
      <c r="U1132" s="26">
        <f>IF($G1132="","",IF(OR($S1132&gt;0,$Q1132=0,$R1132=0,$Z1132&lt;&gt;"正常"),0,ROUND($T1132/$Q1132*$R1132,0)-ROUND(($T1132-$P1132)/$Q1132*$R1132,0)))</f>
        <v/>
      </c>
      <c r="V1132" s="26">
        <f>IF($G1132="","",ROUND($P1132+$U1132,0))</f>
        <v/>
      </c>
      <c r="W1132" s="26">
        <f>IF($G1132="","",IF(N($K1132)=0,0,ROUND($V1132/$K1132,2)))</f>
        <v/>
      </c>
      <c r="X1132" s="17" t="n"/>
      <c r="Y1132" s="17" t="n"/>
      <c r="Z1132" s="17" t="n"/>
      <c r="AA1132" s="17" t="n"/>
      <c r="AB1132" s="17" t="n"/>
      <c r="AC1132" s="24">
        <f>IF($G1132="","",IF($H1132="※编码不在物料档案里","※物料编码不在档案里",IF(N($K1132)&lt;=0,"※入库数量要大于 0",IF(AND($C1132&lt;&gt;"",$C1132&lt;=结账锁),"※日期早于已结账截止日，不能再录",IF(AND($L1132=0,$X1132="正常"),"※没填单价，价格状态请选「待补价」",IF(AND($S1132&gt;0,$R1132&gt;0),"△本批有 "&amp;$S1132&amp;" 行没单价，整批运费先挂账没摊",IF(AND($B1132&lt;&gt;"",COUNTIF($B$4:$B$2503,$B1132)&gt;1),"※入库单号重复","")))))))</f>
        <v/>
      </c>
    </row>
    <row r="1133">
      <c r="A1133" s="24">
        <f>IF($G1133="","",COUNTA($G$4:$G1133))</f>
        <v/>
      </c>
      <c r="B1133" s="17" t="n"/>
      <c r="C1133" s="30" t="n"/>
      <c r="D1133" s="17" t="n"/>
      <c r="E1133" s="17" t="n"/>
      <c r="F1133" s="17" t="n"/>
      <c r="G1133" s="17" t="n"/>
      <c r="H1133" s="24">
        <f>IF($G1133="","",IFERROR(VLOOKUP($G1133,物料档案!$A$4:$P$1203,3,0),"※编码不在物料档案里"))</f>
        <v/>
      </c>
      <c r="I1133" s="24">
        <f>IF($G1133="","",IFERROR(VLOOKUP($G1133,物料档案!$A$4:$P$1203,4,0),"※编码不在物料档案里"))</f>
        <v/>
      </c>
      <c r="J1133" s="24">
        <f>IF($G1133="","",IFERROR(VLOOKUP($G1133,物料档案!$A$4:$P$1203,5,0),"※编码不在物料档案里"))</f>
        <v/>
      </c>
      <c r="K1133" s="23" t="n"/>
      <c r="L1133" s="31" t="n"/>
      <c r="M1133" s="24">
        <f>IF($G1133="","",IF($D1133="A国内","CNY","TZS"))</f>
        <v/>
      </c>
      <c r="N1133" s="28">
        <f>IF($G1133="","",IF($D1133="A国内",汇率,1))</f>
        <v/>
      </c>
      <c r="O1133" s="25">
        <f>IF($G1133="","",ROUND(N($K1133)*N($L1133),2))</f>
        <v/>
      </c>
      <c r="P1133" s="26">
        <f>IF($G1133="","",ROUND($O1133*$N1133,0))</f>
        <v/>
      </c>
      <c r="Q1133" s="26">
        <f>IF($G1133="","",SUMIFS($P$4:$P$2503,$E$4:$E$2503,$E1133,$Z$4:$Z$2503,"正常"))</f>
        <v/>
      </c>
      <c r="R1133" s="26">
        <f>IF($G1133="","",SUMIFS(费用台账!$I$4:$I$503,费用台账!$C$4:$C$503,$E1133,费用台账!$J$4:$J$503,"是",费用台账!$K$4:$K$503,"正常"))</f>
        <v/>
      </c>
      <c r="S1133" s="28">
        <f>IF($G1133="","",COUNTIFS($E$4:$E$2503,$E1133,$Z$4:$Z$2503,"正常",$Y$4:$Y$2503,"待补价"))</f>
        <v/>
      </c>
      <c r="T1133" s="26">
        <f>IF($G1133="","",SUMIFS($P$4:$P$2503,$E$4:$E$2503,$E1133,$Z$4:$Z$2503,"正常",$A$4:$A$2503,"&lt;="&amp;$A1133))</f>
        <v/>
      </c>
      <c r="U1133" s="26">
        <f>IF($G1133="","",IF(OR($S1133&gt;0,$Q1133=0,$R1133=0,$Z1133&lt;&gt;"正常"),0,ROUND($T1133/$Q1133*$R1133,0)-ROUND(($T1133-$P1133)/$Q1133*$R1133,0)))</f>
        <v/>
      </c>
      <c r="V1133" s="26">
        <f>IF($G1133="","",ROUND($P1133+$U1133,0))</f>
        <v/>
      </c>
      <c r="W1133" s="26">
        <f>IF($G1133="","",IF(N($K1133)=0,0,ROUND($V1133/$K1133,2)))</f>
        <v/>
      </c>
      <c r="X1133" s="17" t="n"/>
      <c r="Y1133" s="17" t="n"/>
      <c r="Z1133" s="17" t="n"/>
      <c r="AA1133" s="17" t="n"/>
      <c r="AB1133" s="17" t="n"/>
      <c r="AC1133" s="24">
        <f>IF($G1133="","",IF($H1133="※编码不在物料档案里","※物料编码不在档案里",IF(N($K1133)&lt;=0,"※入库数量要大于 0",IF(AND($C1133&lt;&gt;"",$C1133&lt;=结账锁),"※日期早于已结账截止日，不能再录",IF(AND($L1133=0,$X1133="正常"),"※没填单价，价格状态请选「待补价」",IF(AND($S1133&gt;0,$R1133&gt;0),"△本批有 "&amp;$S1133&amp;" 行没单价，整批运费先挂账没摊",IF(AND($B1133&lt;&gt;"",COUNTIF($B$4:$B$2503,$B1133)&gt;1),"※入库单号重复","")))))))</f>
        <v/>
      </c>
    </row>
    <row r="1134">
      <c r="A1134" s="24">
        <f>IF($G1134="","",COUNTA($G$4:$G1134))</f>
        <v/>
      </c>
      <c r="B1134" s="17" t="n"/>
      <c r="C1134" s="30" t="n"/>
      <c r="D1134" s="17" t="n"/>
      <c r="E1134" s="17" t="n"/>
      <c r="F1134" s="17" t="n"/>
      <c r="G1134" s="17" t="n"/>
      <c r="H1134" s="24">
        <f>IF($G1134="","",IFERROR(VLOOKUP($G1134,物料档案!$A$4:$P$1203,3,0),"※编码不在物料档案里"))</f>
        <v/>
      </c>
      <c r="I1134" s="24">
        <f>IF($G1134="","",IFERROR(VLOOKUP($G1134,物料档案!$A$4:$P$1203,4,0),"※编码不在物料档案里"))</f>
        <v/>
      </c>
      <c r="J1134" s="24">
        <f>IF($G1134="","",IFERROR(VLOOKUP($G1134,物料档案!$A$4:$P$1203,5,0),"※编码不在物料档案里"))</f>
        <v/>
      </c>
      <c r="K1134" s="23" t="n"/>
      <c r="L1134" s="31" t="n"/>
      <c r="M1134" s="24">
        <f>IF($G1134="","",IF($D1134="A国内","CNY","TZS"))</f>
        <v/>
      </c>
      <c r="N1134" s="28">
        <f>IF($G1134="","",IF($D1134="A国内",汇率,1))</f>
        <v/>
      </c>
      <c r="O1134" s="25">
        <f>IF($G1134="","",ROUND(N($K1134)*N($L1134),2))</f>
        <v/>
      </c>
      <c r="P1134" s="26">
        <f>IF($G1134="","",ROUND($O1134*$N1134,0))</f>
        <v/>
      </c>
      <c r="Q1134" s="26">
        <f>IF($G1134="","",SUMIFS($P$4:$P$2503,$E$4:$E$2503,$E1134,$Z$4:$Z$2503,"正常"))</f>
        <v/>
      </c>
      <c r="R1134" s="26">
        <f>IF($G1134="","",SUMIFS(费用台账!$I$4:$I$503,费用台账!$C$4:$C$503,$E1134,费用台账!$J$4:$J$503,"是",费用台账!$K$4:$K$503,"正常"))</f>
        <v/>
      </c>
      <c r="S1134" s="28">
        <f>IF($G1134="","",COUNTIFS($E$4:$E$2503,$E1134,$Z$4:$Z$2503,"正常",$Y$4:$Y$2503,"待补价"))</f>
        <v/>
      </c>
      <c r="T1134" s="26">
        <f>IF($G1134="","",SUMIFS($P$4:$P$2503,$E$4:$E$2503,$E1134,$Z$4:$Z$2503,"正常",$A$4:$A$2503,"&lt;="&amp;$A1134))</f>
        <v/>
      </c>
      <c r="U1134" s="26">
        <f>IF($G1134="","",IF(OR($S1134&gt;0,$Q1134=0,$R1134=0,$Z1134&lt;&gt;"正常"),0,ROUND($T1134/$Q1134*$R1134,0)-ROUND(($T1134-$P1134)/$Q1134*$R1134,0)))</f>
        <v/>
      </c>
      <c r="V1134" s="26">
        <f>IF($G1134="","",ROUND($P1134+$U1134,0))</f>
        <v/>
      </c>
      <c r="W1134" s="26">
        <f>IF($G1134="","",IF(N($K1134)=0,0,ROUND($V1134/$K1134,2)))</f>
        <v/>
      </c>
      <c r="X1134" s="17" t="n"/>
      <c r="Y1134" s="17" t="n"/>
      <c r="Z1134" s="17" t="n"/>
      <c r="AA1134" s="17" t="n"/>
      <c r="AB1134" s="17" t="n"/>
      <c r="AC1134" s="24">
        <f>IF($G1134="","",IF($H1134="※编码不在物料档案里","※物料编码不在档案里",IF(N($K1134)&lt;=0,"※入库数量要大于 0",IF(AND($C1134&lt;&gt;"",$C1134&lt;=结账锁),"※日期早于已结账截止日，不能再录",IF(AND($L1134=0,$X1134="正常"),"※没填单价，价格状态请选「待补价」",IF(AND($S1134&gt;0,$R1134&gt;0),"△本批有 "&amp;$S1134&amp;" 行没单价，整批运费先挂账没摊",IF(AND($B1134&lt;&gt;"",COUNTIF($B$4:$B$2503,$B1134)&gt;1),"※入库单号重复","")))))))</f>
        <v/>
      </c>
    </row>
    <row r="1135">
      <c r="A1135" s="24">
        <f>IF($G1135="","",COUNTA($G$4:$G1135))</f>
        <v/>
      </c>
      <c r="B1135" s="17" t="n"/>
      <c r="C1135" s="30" t="n"/>
      <c r="D1135" s="17" t="n"/>
      <c r="E1135" s="17" t="n"/>
      <c r="F1135" s="17" t="n"/>
      <c r="G1135" s="17" t="n"/>
      <c r="H1135" s="24">
        <f>IF($G1135="","",IFERROR(VLOOKUP($G1135,物料档案!$A$4:$P$1203,3,0),"※编码不在物料档案里"))</f>
        <v/>
      </c>
      <c r="I1135" s="24">
        <f>IF($G1135="","",IFERROR(VLOOKUP($G1135,物料档案!$A$4:$P$1203,4,0),"※编码不在物料档案里"))</f>
        <v/>
      </c>
      <c r="J1135" s="24">
        <f>IF($G1135="","",IFERROR(VLOOKUP($G1135,物料档案!$A$4:$P$1203,5,0),"※编码不在物料档案里"))</f>
        <v/>
      </c>
      <c r="K1135" s="23" t="n"/>
      <c r="L1135" s="31" t="n"/>
      <c r="M1135" s="24">
        <f>IF($G1135="","",IF($D1135="A国内","CNY","TZS"))</f>
        <v/>
      </c>
      <c r="N1135" s="28">
        <f>IF($G1135="","",IF($D1135="A国内",汇率,1))</f>
        <v/>
      </c>
      <c r="O1135" s="25">
        <f>IF($G1135="","",ROUND(N($K1135)*N($L1135),2))</f>
        <v/>
      </c>
      <c r="P1135" s="26">
        <f>IF($G1135="","",ROUND($O1135*$N1135,0))</f>
        <v/>
      </c>
      <c r="Q1135" s="26">
        <f>IF($G1135="","",SUMIFS($P$4:$P$2503,$E$4:$E$2503,$E1135,$Z$4:$Z$2503,"正常"))</f>
        <v/>
      </c>
      <c r="R1135" s="26">
        <f>IF($G1135="","",SUMIFS(费用台账!$I$4:$I$503,费用台账!$C$4:$C$503,$E1135,费用台账!$J$4:$J$503,"是",费用台账!$K$4:$K$503,"正常"))</f>
        <v/>
      </c>
      <c r="S1135" s="28">
        <f>IF($G1135="","",COUNTIFS($E$4:$E$2503,$E1135,$Z$4:$Z$2503,"正常",$Y$4:$Y$2503,"待补价"))</f>
        <v/>
      </c>
      <c r="T1135" s="26">
        <f>IF($G1135="","",SUMIFS($P$4:$P$2503,$E$4:$E$2503,$E1135,$Z$4:$Z$2503,"正常",$A$4:$A$2503,"&lt;="&amp;$A1135))</f>
        <v/>
      </c>
      <c r="U1135" s="26">
        <f>IF($G1135="","",IF(OR($S1135&gt;0,$Q1135=0,$R1135=0,$Z1135&lt;&gt;"正常"),0,ROUND($T1135/$Q1135*$R1135,0)-ROUND(($T1135-$P1135)/$Q1135*$R1135,0)))</f>
        <v/>
      </c>
      <c r="V1135" s="26">
        <f>IF($G1135="","",ROUND($P1135+$U1135,0))</f>
        <v/>
      </c>
      <c r="W1135" s="26">
        <f>IF($G1135="","",IF(N($K1135)=0,0,ROUND($V1135/$K1135,2)))</f>
        <v/>
      </c>
      <c r="X1135" s="17" t="n"/>
      <c r="Y1135" s="17" t="n"/>
      <c r="Z1135" s="17" t="n"/>
      <c r="AA1135" s="17" t="n"/>
      <c r="AB1135" s="17" t="n"/>
      <c r="AC1135" s="24">
        <f>IF($G1135="","",IF($H1135="※编码不在物料档案里","※物料编码不在档案里",IF(N($K1135)&lt;=0,"※入库数量要大于 0",IF(AND($C1135&lt;&gt;"",$C1135&lt;=结账锁),"※日期早于已结账截止日，不能再录",IF(AND($L1135=0,$X1135="正常"),"※没填单价，价格状态请选「待补价」",IF(AND($S1135&gt;0,$R1135&gt;0),"△本批有 "&amp;$S1135&amp;" 行没单价，整批运费先挂账没摊",IF(AND($B1135&lt;&gt;"",COUNTIF($B$4:$B$2503,$B1135)&gt;1),"※入库单号重复","")))))))</f>
        <v/>
      </c>
    </row>
    <row r="1136">
      <c r="A1136" s="24">
        <f>IF($G1136="","",COUNTA($G$4:$G1136))</f>
        <v/>
      </c>
      <c r="B1136" s="17" t="n"/>
      <c r="C1136" s="30" t="n"/>
      <c r="D1136" s="17" t="n"/>
      <c r="E1136" s="17" t="n"/>
      <c r="F1136" s="17" t="n"/>
      <c r="G1136" s="17" t="n"/>
      <c r="H1136" s="24">
        <f>IF($G1136="","",IFERROR(VLOOKUP($G1136,物料档案!$A$4:$P$1203,3,0),"※编码不在物料档案里"))</f>
        <v/>
      </c>
      <c r="I1136" s="24">
        <f>IF($G1136="","",IFERROR(VLOOKUP($G1136,物料档案!$A$4:$P$1203,4,0),"※编码不在物料档案里"))</f>
        <v/>
      </c>
      <c r="J1136" s="24">
        <f>IF($G1136="","",IFERROR(VLOOKUP($G1136,物料档案!$A$4:$P$1203,5,0),"※编码不在物料档案里"))</f>
        <v/>
      </c>
      <c r="K1136" s="23" t="n"/>
      <c r="L1136" s="31" t="n"/>
      <c r="M1136" s="24">
        <f>IF($G1136="","",IF($D1136="A国内","CNY","TZS"))</f>
        <v/>
      </c>
      <c r="N1136" s="28">
        <f>IF($G1136="","",IF($D1136="A国内",汇率,1))</f>
        <v/>
      </c>
      <c r="O1136" s="25">
        <f>IF($G1136="","",ROUND(N($K1136)*N($L1136),2))</f>
        <v/>
      </c>
      <c r="P1136" s="26">
        <f>IF($G1136="","",ROUND($O1136*$N1136,0))</f>
        <v/>
      </c>
      <c r="Q1136" s="26">
        <f>IF($G1136="","",SUMIFS($P$4:$P$2503,$E$4:$E$2503,$E1136,$Z$4:$Z$2503,"正常"))</f>
        <v/>
      </c>
      <c r="R1136" s="26">
        <f>IF($G1136="","",SUMIFS(费用台账!$I$4:$I$503,费用台账!$C$4:$C$503,$E1136,费用台账!$J$4:$J$503,"是",费用台账!$K$4:$K$503,"正常"))</f>
        <v/>
      </c>
      <c r="S1136" s="28">
        <f>IF($G1136="","",COUNTIFS($E$4:$E$2503,$E1136,$Z$4:$Z$2503,"正常",$Y$4:$Y$2503,"待补价"))</f>
        <v/>
      </c>
      <c r="T1136" s="26">
        <f>IF($G1136="","",SUMIFS($P$4:$P$2503,$E$4:$E$2503,$E1136,$Z$4:$Z$2503,"正常",$A$4:$A$2503,"&lt;="&amp;$A1136))</f>
        <v/>
      </c>
      <c r="U1136" s="26">
        <f>IF($G1136="","",IF(OR($S1136&gt;0,$Q1136=0,$R1136=0,$Z1136&lt;&gt;"正常"),0,ROUND($T1136/$Q1136*$R1136,0)-ROUND(($T1136-$P1136)/$Q1136*$R1136,0)))</f>
        <v/>
      </c>
      <c r="V1136" s="26">
        <f>IF($G1136="","",ROUND($P1136+$U1136,0))</f>
        <v/>
      </c>
      <c r="W1136" s="26">
        <f>IF($G1136="","",IF(N($K1136)=0,0,ROUND($V1136/$K1136,2)))</f>
        <v/>
      </c>
      <c r="X1136" s="17" t="n"/>
      <c r="Y1136" s="17" t="n"/>
      <c r="Z1136" s="17" t="n"/>
      <c r="AA1136" s="17" t="n"/>
      <c r="AB1136" s="17" t="n"/>
      <c r="AC1136" s="24">
        <f>IF($G1136="","",IF($H1136="※编码不在物料档案里","※物料编码不在档案里",IF(N($K1136)&lt;=0,"※入库数量要大于 0",IF(AND($C1136&lt;&gt;"",$C1136&lt;=结账锁),"※日期早于已结账截止日，不能再录",IF(AND($L1136=0,$X1136="正常"),"※没填单价，价格状态请选「待补价」",IF(AND($S1136&gt;0,$R1136&gt;0),"△本批有 "&amp;$S1136&amp;" 行没单价，整批运费先挂账没摊",IF(AND($B1136&lt;&gt;"",COUNTIF($B$4:$B$2503,$B1136)&gt;1),"※入库单号重复","")))))))</f>
        <v/>
      </c>
    </row>
    <row r="1137">
      <c r="A1137" s="24">
        <f>IF($G1137="","",COUNTA($G$4:$G1137))</f>
        <v/>
      </c>
      <c r="B1137" s="17" t="n"/>
      <c r="C1137" s="30" t="n"/>
      <c r="D1137" s="17" t="n"/>
      <c r="E1137" s="17" t="n"/>
      <c r="F1137" s="17" t="n"/>
      <c r="G1137" s="17" t="n"/>
      <c r="H1137" s="24">
        <f>IF($G1137="","",IFERROR(VLOOKUP($G1137,物料档案!$A$4:$P$1203,3,0),"※编码不在物料档案里"))</f>
        <v/>
      </c>
      <c r="I1137" s="24">
        <f>IF($G1137="","",IFERROR(VLOOKUP($G1137,物料档案!$A$4:$P$1203,4,0),"※编码不在物料档案里"))</f>
        <v/>
      </c>
      <c r="J1137" s="24">
        <f>IF($G1137="","",IFERROR(VLOOKUP($G1137,物料档案!$A$4:$P$1203,5,0),"※编码不在物料档案里"))</f>
        <v/>
      </c>
      <c r="K1137" s="23" t="n"/>
      <c r="L1137" s="31" t="n"/>
      <c r="M1137" s="24">
        <f>IF($G1137="","",IF($D1137="A国内","CNY","TZS"))</f>
        <v/>
      </c>
      <c r="N1137" s="28">
        <f>IF($G1137="","",IF($D1137="A国内",汇率,1))</f>
        <v/>
      </c>
      <c r="O1137" s="25">
        <f>IF($G1137="","",ROUND(N($K1137)*N($L1137),2))</f>
        <v/>
      </c>
      <c r="P1137" s="26">
        <f>IF($G1137="","",ROUND($O1137*$N1137,0))</f>
        <v/>
      </c>
      <c r="Q1137" s="26">
        <f>IF($G1137="","",SUMIFS($P$4:$P$2503,$E$4:$E$2503,$E1137,$Z$4:$Z$2503,"正常"))</f>
        <v/>
      </c>
      <c r="R1137" s="26">
        <f>IF($G1137="","",SUMIFS(费用台账!$I$4:$I$503,费用台账!$C$4:$C$503,$E1137,费用台账!$J$4:$J$503,"是",费用台账!$K$4:$K$503,"正常"))</f>
        <v/>
      </c>
      <c r="S1137" s="28">
        <f>IF($G1137="","",COUNTIFS($E$4:$E$2503,$E1137,$Z$4:$Z$2503,"正常",$Y$4:$Y$2503,"待补价"))</f>
        <v/>
      </c>
      <c r="T1137" s="26">
        <f>IF($G1137="","",SUMIFS($P$4:$P$2503,$E$4:$E$2503,$E1137,$Z$4:$Z$2503,"正常",$A$4:$A$2503,"&lt;="&amp;$A1137))</f>
        <v/>
      </c>
      <c r="U1137" s="26">
        <f>IF($G1137="","",IF(OR($S1137&gt;0,$Q1137=0,$R1137=0,$Z1137&lt;&gt;"正常"),0,ROUND($T1137/$Q1137*$R1137,0)-ROUND(($T1137-$P1137)/$Q1137*$R1137,0)))</f>
        <v/>
      </c>
      <c r="V1137" s="26">
        <f>IF($G1137="","",ROUND($P1137+$U1137,0))</f>
        <v/>
      </c>
      <c r="W1137" s="26">
        <f>IF($G1137="","",IF(N($K1137)=0,0,ROUND($V1137/$K1137,2)))</f>
        <v/>
      </c>
      <c r="X1137" s="17" t="n"/>
      <c r="Y1137" s="17" t="n"/>
      <c r="Z1137" s="17" t="n"/>
      <c r="AA1137" s="17" t="n"/>
      <c r="AB1137" s="17" t="n"/>
      <c r="AC1137" s="24">
        <f>IF($G1137="","",IF($H1137="※编码不在物料档案里","※物料编码不在档案里",IF(N($K1137)&lt;=0,"※入库数量要大于 0",IF(AND($C1137&lt;&gt;"",$C1137&lt;=结账锁),"※日期早于已结账截止日，不能再录",IF(AND($L1137=0,$X1137="正常"),"※没填单价，价格状态请选「待补价」",IF(AND($S1137&gt;0,$R1137&gt;0),"△本批有 "&amp;$S1137&amp;" 行没单价，整批运费先挂账没摊",IF(AND($B1137&lt;&gt;"",COUNTIF($B$4:$B$2503,$B1137)&gt;1),"※入库单号重复","")))))))</f>
        <v/>
      </c>
    </row>
    <row r="1138">
      <c r="A1138" s="24">
        <f>IF($G1138="","",COUNTA($G$4:$G1138))</f>
        <v/>
      </c>
      <c r="B1138" s="17" t="n"/>
      <c r="C1138" s="30" t="n"/>
      <c r="D1138" s="17" t="n"/>
      <c r="E1138" s="17" t="n"/>
      <c r="F1138" s="17" t="n"/>
      <c r="G1138" s="17" t="n"/>
      <c r="H1138" s="24">
        <f>IF($G1138="","",IFERROR(VLOOKUP($G1138,物料档案!$A$4:$P$1203,3,0),"※编码不在物料档案里"))</f>
        <v/>
      </c>
      <c r="I1138" s="24">
        <f>IF($G1138="","",IFERROR(VLOOKUP($G1138,物料档案!$A$4:$P$1203,4,0),"※编码不在物料档案里"))</f>
        <v/>
      </c>
      <c r="J1138" s="24">
        <f>IF($G1138="","",IFERROR(VLOOKUP($G1138,物料档案!$A$4:$P$1203,5,0),"※编码不在物料档案里"))</f>
        <v/>
      </c>
      <c r="K1138" s="23" t="n"/>
      <c r="L1138" s="31" t="n"/>
      <c r="M1138" s="24">
        <f>IF($G1138="","",IF($D1138="A国内","CNY","TZS"))</f>
        <v/>
      </c>
      <c r="N1138" s="28">
        <f>IF($G1138="","",IF($D1138="A国内",汇率,1))</f>
        <v/>
      </c>
      <c r="O1138" s="25">
        <f>IF($G1138="","",ROUND(N($K1138)*N($L1138),2))</f>
        <v/>
      </c>
      <c r="P1138" s="26">
        <f>IF($G1138="","",ROUND($O1138*$N1138,0))</f>
        <v/>
      </c>
      <c r="Q1138" s="26">
        <f>IF($G1138="","",SUMIFS($P$4:$P$2503,$E$4:$E$2503,$E1138,$Z$4:$Z$2503,"正常"))</f>
        <v/>
      </c>
      <c r="R1138" s="26">
        <f>IF($G1138="","",SUMIFS(费用台账!$I$4:$I$503,费用台账!$C$4:$C$503,$E1138,费用台账!$J$4:$J$503,"是",费用台账!$K$4:$K$503,"正常"))</f>
        <v/>
      </c>
      <c r="S1138" s="28">
        <f>IF($G1138="","",COUNTIFS($E$4:$E$2503,$E1138,$Z$4:$Z$2503,"正常",$Y$4:$Y$2503,"待补价"))</f>
        <v/>
      </c>
      <c r="T1138" s="26">
        <f>IF($G1138="","",SUMIFS($P$4:$P$2503,$E$4:$E$2503,$E1138,$Z$4:$Z$2503,"正常",$A$4:$A$2503,"&lt;="&amp;$A1138))</f>
        <v/>
      </c>
      <c r="U1138" s="26">
        <f>IF($G1138="","",IF(OR($S1138&gt;0,$Q1138=0,$R1138=0,$Z1138&lt;&gt;"正常"),0,ROUND($T1138/$Q1138*$R1138,0)-ROUND(($T1138-$P1138)/$Q1138*$R1138,0)))</f>
        <v/>
      </c>
      <c r="V1138" s="26">
        <f>IF($G1138="","",ROUND($P1138+$U1138,0))</f>
        <v/>
      </c>
      <c r="W1138" s="26">
        <f>IF($G1138="","",IF(N($K1138)=0,0,ROUND($V1138/$K1138,2)))</f>
        <v/>
      </c>
      <c r="X1138" s="17" t="n"/>
      <c r="Y1138" s="17" t="n"/>
      <c r="Z1138" s="17" t="n"/>
      <c r="AA1138" s="17" t="n"/>
      <c r="AB1138" s="17" t="n"/>
      <c r="AC1138" s="24">
        <f>IF($G1138="","",IF($H1138="※编码不在物料档案里","※物料编码不在档案里",IF(N($K1138)&lt;=0,"※入库数量要大于 0",IF(AND($C1138&lt;&gt;"",$C1138&lt;=结账锁),"※日期早于已结账截止日，不能再录",IF(AND($L1138=0,$X1138="正常"),"※没填单价，价格状态请选「待补价」",IF(AND($S1138&gt;0,$R1138&gt;0),"△本批有 "&amp;$S1138&amp;" 行没单价，整批运费先挂账没摊",IF(AND($B1138&lt;&gt;"",COUNTIF($B$4:$B$2503,$B1138)&gt;1),"※入库单号重复","")))))))</f>
        <v/>
      </c>
    </row>
    <row r="1139">
      <c r="A1139" s="24">
        <f>IF($G1139="","",COUNTA($G$4:$G1139))</f>
        <v/>
      </c>
      <c r="B1139" s="17" t="n"/>
      <c r="C1139" s="30" t="n"/>
      <c r="D1139" s="17" t="n"/>
      <c r="E1139" s="17" t="n"/>
      <c r="F1139" s="17" t="n"/>
      <c r="G1139" s="17" t="n"/>
      <c r="H1139" s="24">
        <f>IF($G1139="","",IFERROR(VLOOKUP($G1139,物料档案!$A$4:$P$1203,3,0),"※编码不在物料档案里"))</f>
        <v/>
      </c>
      <c r="I1139" s="24">
        <f>IF($G1139="","",IFERROR(VLOOKUP($G1139,物料档案!$A$4:$P$1203,4,0),"※编码不在物料档案里"))</f>
        <v/>
      </c>
      <c r="J1139" s="24">
        <f>IF($G1139="","",IFERROR(VLOOKUP($G1139,物料档案!$A$4:$P$1203,5,0),"※编码不在物料档案里"))</f>
        <v/>
      </c>
      <c r="K1139" s="23" t="n"/>
      <c r="L1139" s="31" t="n"/>
      <c r="M1139" s="24">
        <f>IF($G1139="","",IF($D1139="A国内","CNY","TZS"))</f>
        <v/>
      </c>
      <c r="N1139" s="28">
        <f>IF($G1139="","",IF($D1139="A国内",汇率,1))</f>
        <v/>
      </c>
      <c r="O1139" s="25">
        <f>IF($G1139="","",ROUND(N($K1139)*N($L1139),2))</f>
        <v/>
      </c>
      <c r="P1139" s="26">
        <f>IF($G1139="","",ROUND($O1139*$N1139,0))</f>
        <v/>
      </c>
      <c r="Q1139" s="26">
        <f>IF($G1139="","",SUMIFS($P$4:$P$2503,$E$4:$E$2503,$E1139,$Z$4:$Z$2503,"正常"))</f>
        <v/>
      </c>
      <c r="R1139" s="26">
        <f>IF($G1139="","",SUMIFS(费用台账!$I$4:$I$503,费用台账!$C$4:$C$503,$E1139,费用台账!$J$4:$J$503,"是",费用台账!$K$4:$K$503,"正常"))</f>
        <v/>
      </c>
      <c r="S1139" s="28">
        <f>IF($G1139="","",COUNTIFS($E$4:$E$2503,$E1139,$Z$4:$Z$2503,"正常",$Y$4:$Y$2503,"待补价"))</f>
        <v/>
      </c>
      <c r="T1139" s="26">
        <f>IF($G1139="","",SUMIFS($P$4:$P$2503,$E$4:$E$2503,$E1139,$Z$4:$Z$2503,"正常",$A$4:$A$2503,"&lt;="&amp;$A1139))</f>
        <v/>
      </c>
      <c r="U1139" s="26">
        <f>IF($G1139="","",IF(OR($S1139&gt;0,$Q1139=0,$R1139=0,$Z1139&lt;&gt;"正常"),0,ROUND($T1139/$Q1139*$R1139,0)-ROUND(($T1139-$P1139)/$Q1139*$R1139,0)))</f>
        <v/>
      </c>
      <c r="V1139" s="26">
        <f>IF($G1139="","",ROUND($P1139+$U1139,0))</f>
        <v/>
      </c>
      <c r="W1139" s="26">
        <f>IF($G1139="","",IF(N($K1139)=0,0,ROUND($V1139/$K1139,2)))</f>
        <v/>
      </c>
      <c r="X1139" s="17" t="n"/>
      <c r="Y1139" s="17" t="n"/>
      <c r="Z1139" s="17" t="n"/>
      <c r="AA1139" s="17" t="n"/>
      <c r="AB1139" s="17" t="n"/>
      <c r="AC1139" s="24">
        <f>IF($G1139="","",IF($H1139="※编码不在物料档案里","※物料编码不在档案里",IF(N($K1139)&lt;=0,"※入库数量要大于 0",IF(AND($C1139&lt;&gt;"",$C1139&lt;=结账锁),"※日期早于已结账截止日，不能再录",IF(AND($L1139=0,$X1139="正常"),"※没填单价，价格状态请选「待补价」",IF(AND($S1139&gt;0,$R1139&gt;0),"△本批有 "&amp;$S1139&amp;" 行没单价，整批运费先挂账没摊",IF(AND($B1139&lt;&gt;"",COUNTIF($B$4:$B$2503,$B1139)&gt;1),"※入库单号重复","")))))))</f>
        <v/>
      </c>
    </row>
    <row r="1140">
      <c r="A1140" s="24">
        <f>IF($G1140="","",COUNTA($G$4:$G1140))</f>
        <v/>
      </c>
      <c r="B1140" s="17" t="n"/>
      <c r="C1140" s="30" t="n"/>
      <c r="D1140" s="17" t="n"/>
      <c r="E1140" s="17" t="n"/>
      <c r="F1140" s="17" t="n"/>
      <c r="G1140" s="17" t="n"/>
      <c r="H1140" s="24">
        <f>IF($G1140="","",IFERROR(VLOOKUP($G1140,物料档案!$A$4:$P$1203,3,0),"※编码不在物料档案里"))</f>
        <v/>
      </c>
      <c r="I1140" s="24">
        <f>IF($G1140="","",IFERROR(VLOOKUP($G1140,物料档案!$A$4:$P$1203,4,0),"※编码不在物料档案里"))</f>
        <v/>
      </c>
      <c r="J1140" s="24">
        <f>IF($G1140="","",IFERROR(VLOOKUP($G1140,物料档案!$A$4:$P$1203,5,0),"※编码不在物料档案里"))</f>
        <v/>
      </c>
      <c r="K1140" s="23" t="n"/>
      <c r="L1140" s="31" t="n"/>
      <c r="M1140" s="24">
        <f>IF($G1140="","",IF($D1140="A国内","CNY","TZS"))</f>
        <v/>
      </c>
      <c r="N1140" s="28">
        <f>IF($G1140="","",IF($D1140="A国内",汇率,1))</f>
        <v/>
      </c>
      <c r="O1140" s="25">
        <f>IF($G1140="","",ROUND(N($K1140)*N($L1140),2))</f>
        <v/>
      </c>
      <c r="P1140" s="26">
        <f>IF($G1140="","",ROUND($O1140*$N1140,0))</f>
        <v/>
      </c>
      <c r="Q1140" s="26">
        <f>IF($G1140="","",SUMIFS($P$4:$P$2503,$E$4:$E$2503,$E1140,$Z$4:$Z$2503,"正常"))</f>
        <v/>
      </c>
      <c r="R1140" s="26">
        <f>IF($G1140="","",SUMIFS(费用台账!$I$4:$I$503,费用台账!$C$4:$C$503,$E1140,费用台账!$J$4:$J$503,"是",费用台账!$K$4:$K$503,"正常"))</f>
        <v/>
      </c>
      <c r="S1140" s="28">
        <f>IF($G1140="","",COUNTIFS($E$4:$E$2503,$E1140,$Z$4:$Z$2503,"正常",$Y$4:$Y$2503,"待补价"))</f>
        <v/>
      </c>
      <c r="T1140" s="26">
        <f>IF($G1140="","",SUMIFS($P$4:$P$2503,$E$4:$E$2503,$E1140,$Z$4:$Z$2503,"正常",$A$4:$A$2503,"&lt;="&amp;$A1140))</f>
        <v/>
      </c>
      <c r="U1140" s="26">
        <f>IF($G1140="","",IF(OR($S1140&gt;0,$Q1140=0,$R1140=0,$Z1140&lt;&gt;"正常"),0,ROUND($T1140/$Q1140*$R1140,0)-ROUND(($T1140-$P1140)/$Q1140*$R1140,0)))</f>
        <v/>
      </c>
      <c r="V1140" s="26">
        <f>IF($G1140="","",ROUND($P1140+$U1140,0))</f>
        <v/>
      </c>
      <c r="W1140" s="26">
        <f>IF($G1140="","",IF(N($K1140)=0,0,ROUND($V1140/$K1140,2)))</f>
        <v/>
      </c>
      <c r="X1140" s="17" t="n"/>
      <c r="Y1140" s="17" t="n"/>
      <c r="Z1140" s="17" t="n"/>
      <c r="AA1140" s="17" t="n"/>
      <c r="AB1140" s="17" t="n"/>
      <c r="AC1140" s="24">
        <f>IF($G1140="","",IF($H1140="※编码不在物料档案里","※物料编码不在档案里",IF(N($K1140)&lt;=0,"※入库数量要大于 0",IF(AND($C1140&lt;&gt;"",$C1140&lt;=结账锁),"※日期早于已结账截止日，不能再录",IF(AND($L1140=0,$X1140="正常"),"※没填单价，价格状态请选「待补价」",IF(AND($S1140&gt;0,$R1140&gt;0),"△本批有 "&amp;$S1140&amp;" 行没单价，整批运费先挂账没摊",IF(AND($B1140&lt;&gt;"",COUNTIF($B$4:$B$2503,$B1140)&gt;1),"※入库单号重复","")))))))</f>
        <v/>
      </c>
    </row>
    <row r="1141">
      <c r="A1141" s="24">
        <f>IF($G1141="","",COUNTA($G$4:$G1141))</f>
        <v/>
      </c>
      <c r="B1141" s="17" t="n"/>
      <c r="C1141" s="30" t="n"/>
      <c r="D1141" s="17" t="n"/>
      <c r="E1141" s="17" t="n"/>
      <c r="F1141" s="17" t="n"/>
      <c r="G1141" s="17" t="n"/>
      <c r="H1141" s="24">
        <f>IF($G1141="","",IFERROR(VLOOKUP($G1141,物料档案!$A$4:$P$1203,3,0),"※编码不在物料档案里"))</f>
        <v/>
      </c>
      <c r="I1141" s="24">
        <f>IF($G1141="","",IFERROR(VLOOKUP($G1141,物料档案!$A$4:$P$1203,4,0),"※编码不在物料档案里"))</f>
        <v/>
      </c>
      <c r="J1141" s="24">
        <f>IF($G1141="","",IFERROR(VLOOKUP($G1141,物料档案!$A$4:$P$1203,5,0),"※编码不在物料档案里"))</f>
        <v/>
      </c>
      <c r="K1141" s="23" t="n"/>
      <c r="L1141" s="31" t="n"/>
      <c r="M1141" s="24">
        <f>IF($G1141="","",IF($D1141="A国内","CNY","TZS"))</f>
        <v/>
      </c>
      <c r="N1141" s="28">
        <f>IF($G1141="","",IF($D1141="A国内",汇率,1))</f>
        <v/>
      </c>
      <c r="O1141" s="25">
        <f>IF($G1141="","",ROUND(N($K1141)*N($L1141),2))</f>
        <v/>
      </c>
      <c r="P1141" s="26">
        <f>IF($G1141="","",ROUND($O1141*$N1141,0))</f>
        <v/>
      </c>
      <c r="Q1141" s="26">
        <f>IF($G1141="","",SUMIFS($P$4:$P$2503,$E$4:$E$2503,$E1141,$Z$4:$Z$2503,"正常"))</f>
        <v/>
      </c>
      <c r="R1141" s="26">
        <f>IF($G1141="","",SUMIFS(费用台账!$I$4:$I$503,费用台账!$C$4:$C$503,$E1141,费用台账!$J$4:$J$503,"是",费用台账!$K$4:$K$503,"正常"))</f>
        <v/>
      </c>
      <c r="S1141" s="28">
        <f>IF($G1141="","",COUNTIFS($E$4:$E$2503,$E1141,$Z$4:$Z$2503,"正常",$Y$4:$Y$2503,"待补价"))</f>
        <v/>
      </c>
      <c r="T1141" s="26">
        <f>IF($G1141="","",SUMIFS($P$4:$P$2503,$E$4:$E$2503,$E1141,$Z$4:$Z$2503,"正常",$A$4:$A$2503,"&lt;="&amp;$A1141))</f>
        <v/>
      </c>
      <c r="U1141" s="26">
        <f>IF($G1141="","",IF(OR($S1141&gt;0,$Q1141=0,$R1141=0,$Z1141&lt;&gt;"正常"),0,ROUND($T1141/$Q1141*$R1141,0)-ROUND(($T1141-$P1141)/$Q1141*$R1141,0)))</f>
        <v/>
      </c>
      <c r="V1141" s="26">
        <f>IF($G1141="","",ROUND($P1141+$U1141,0))</f>
        <v/>
      </c>
      <c r="W1141" s="26">
        <f>IF($G1141="","",IF(N($K1141)=0,0,ROUND($V1141/$K1141,2)))</f>
        <v/>
      </c>
      <c r="X1141" s="17" t="n"/>
      <c r="Y1141" s="17" t="n"/>
      <c r="Z1141" s="17" t="n"/>
      <c r="AA1141" s="17" t="n"/>
      <c r="AB1141" s="17" t="n"/>
      <c r="AC1141" s="24">
        <f>IF($G1141="","",IF($H1141="※编码不在物料档案里","※物料编码不在档案里",IF(N($K1141)&lt;=0,"※入库数量要大于 0",IF(AND($C1141&lt;&gt;"",$C1141&lt;=结账锁),"※日期早于已结账截止日，不能再录",IF(AND($L1141=0,$X1141="正常"),"※没填单价，价格状态请选「待补价」",IF(AND($S1141&gt;0,$R1141&gt;0),"△本批有 "&amp;$S1141&amp;" 行没单价，整批运费先挂账没摊",IF(AND($B1141&lt;&gt;"",COUNTIF($B$4:$B$2503,$B1141)&gt;1),"※入库单号重复","")))))))</f>
        <v/>
      </c>
    </row>
    <row r="1142">
      <c r="A1142" s="24">
        <f>IF($G1142="","",COUNTA($G$4:$G1142))</f>
        <v/>
      </c>
      <c r="B1142" s="17" t="n"/>
      <c r="C1142" s="30" t="n"/>
      <c r="D1142" s="17" t="n"/>
      <c r="E1142" s="17" t="n"/>
      <c r="F1142" s="17" t="n"/>
      <c r="G1142" s="17" t="n"/>
      <c r="H1142" s="24">
        <f>IF($G1142="","",IFERROR(VLOOKUP($G1142,物料档案!$A$4:$P$1203,3,0),"※编码不在物料档案里"))</f>
        <v/>
      </c>
      <c r="I1142" s="24">
        <f>IF($G1142="","",IFERROR(VLOOKUP($G1142,物料档案!$A$4:$P$1203,4,0),"※编码不在物料档案里"))</f>
        <v/>
      </c>
      <c r="J1142" s="24">
        <f>IF($G1142="","",IFERROR(VLOOKUP($G1142,物料档案!$A$4:$P$1203,5,0),"※编码不在物料档案里"))</f>
        <v/>
      </c>
      <c r="K1142" s="23" t="n"/>
      <c r="L1142" s="31" t="n"/>
      <c r="M1142" s="24">
        <f>IF($G1142="","",IF($D1142="A国内","CNY","TZS"))</f>
        <v/>
      </c>
      <c r="N1142" s="28">
        <f>IF($G1142="","",IF($D1142="A国内",汇率,1))</f>
        <v/>
      </c>
      <c r="O1142" s="25">
        <f>IF($G1142="","",ROUND(N($K1142)*N($L1142),2))</f>
        <v/>
      </c>
      <c r="P1142" s="26">
        <f>IF($G1142="","",ROUND($O1142*$N1142,0))</f>
        <v/>
      </c>
      <c r="Q1142" s="26">
        <f>IF($G1142="","",SUMIFS($P$4:$P$2503,$E$4:$E$2503,$E1142,$Z$4:$Z$2503,"正常"))</f>
        <v/>
      </c>
      <c r="R1142" s="26">
        <f>IF($G1142="","",SUMIFS(费用台账!$I$4:$I$503,费用台账!$C$4:$C$503,$E1142,费用台账!$J$4:$J$503,"是",费用台账!$K$4:$K$503,"正常"))</f>
        <v/>
      </c>
      <c r="S1142" s="28">
        <f>IF($G1142="","",COUNTIFS($E$4:$E$2503,$E1142,$Z$4:$Z$2503,"正常",$Y$4:$Y$2503,"待补价"))</f>
        <v/>
      </c>
      <c r="T1142" s="26">
        <f>IF($G1142="","",SUMIFS($P$4:$P$2503,$E$4:$E$2503,$E1142,$Z$4:$Z$2503,"正常",$A$4:$A$2503,"&lt;="&amp;$A1142))</f>
        <v/>
      </c>
      <c r="U1142" s="26">
        <f>IF($G1142="","",IF(OR($S1142&gt;0,$Q1142=0,$R1142=0,$Z1142&lt;&gt;"正常"),0,ROUND($T1142/$Q1142*$R1142,0)-ROUND(($T1142-$P1142)/$Q1142*$R1142,0)))</f>
        <v/>
      </c>
      <c r="V1142" s="26">
        <f>IF($G1142="","",ROUND($P1142+$U1142,0))</f>
        <v/>
      </c>
      <c r="W1142" s="26">
        <f>IF($G1142="","",IF(N($K1142)=0,0,ROUND($V1142/$K1142,2)))</f>
        <v/>
      </c>
      <c r="X1142" s="17" t="n"/>
      <c r="Y1142" s="17" t="n"/>
      <c r="Z1142" s="17" t="n"/>
      <c r="AA1142" s="17" t="n"/>
      <c r="AB1142" s="17" t="n"/>
      <c r="AC1142" s="24">
        <f>IF($G1142="","",IF($H1142="※编码不在物料档案里","※物料编码不在档案里",IF(N($K1142)&lt;=0,"※入库数量要大于 0",IF(AND($C1142&lt;&gt;"",$C1142&lt;=结账锁),"※日期早于已结账截止日，不能再录",IF(AND($L1142=0,$X1142="正常"),"※没填单价，价格状态请选「待补价」",IF(AND($S1142&gt;0,$R1142&gt;0),"△本批有 "&amp;$S1142&amp;" 行没单价，整批运费先挂账没摊",IF(AND($B1142&lt;&gt;"",COUNTIF($B$4:$B$2503,$B1142)&gt;1),"※入库单号重复","")))))))</f>
        <v/>
      </c>
    </row>
    <row r="1143">
      <c r="A1143" s="24">
        <f>IF($G1143="","",COUNTA($G$4:$G1143))</f>
        <v/>
      </c>
      <c r="B1143" s="17" t="n"/>
      <c r="C1143" s="30" t="n"/>
      <c r="D1143" s="17" t="n"/>
      <c r="E1143" s="17" t="n"/>
      <c r="F1143" s="17" t="n"/>
      <c r="G1143" s="17" t="n"/>
      <c r="H1143" s="24">
        <f>IF($G1143="","",IFERROR(VLOOKUP($G1143,物料档案!$A$4:$P$1203,3,0),"※编码不在物料档案里"))</f>
        <v/>
      </c>
      <c r="I1143" s="24">
        <f>IF($G1143="","",IFERROR(VLOOKUP($G1143,物料档案!$A$4:$P$1203,4,0),"※编码不在物料档案里"))</f>
        <v/>
      </c>
      <c r="J1143" s="24">
        <f>IF($G1143="","",IFERROR(VLOOKUP($G1143,物料档案!$A$4:$P$1203,5,0),"※编码不在物料档案里"))</f>
        <v/>
      </c>
      <c r="K1143" s="23" t="n"/>
      <c r="L1143" s="31" t="n"/>
      <c r="M1143" s="24">
        <f>IF($G1143="","",IF($D1143="A国内","CNY","TZS"))</f>
        <v/>
      </c>
      <c r="N1143" s="28">
        <f>IF($G1143="","",IF($D1143="A国内",汇率,1))</f>
        <v/>
      </c>
      <c r="O1143" s="25">
        <f>IF($G1143="","",ROUND(N($K1143)*N($L1143),2))</f>
        <v/>
      </c>
      <c r="P1143" s="26">
        <f>IF($G1143="","",ROUND($O1143*$N1143,0))</f>
        <v/>
      </c>
      <c r="Q1143" s="26">
        <f>IF($G1143="","",SUMIFS($P$4:$P$2503,$E$4:$E$2503,$E1143,$Z$4:$Z$2503,"正常"))</f>
        <v/>
      </c>
      <c r="R1143" s="26">
        <f>IF($G1143="","",SUMIFS(费用台账!$I$4:$I$503,费用台账!$C$4:$C$503,$E1143,费用台账!$J$4:$J$503,"是",费用台账!$K$4:$K$503,"正常"))</f>
        <v/>
      </c>
      <c r="S1143" s="28">
        <f>IF($G1143="","",COUNTIFS($E$4:$E$2503,$E1143,$Z$4:$Z$2503,"正常",$Y$4:$Y$2503,"待补价"))</f>
        <v/>
      </c>
      <c r="T1143" s="26">
        <f>IF($G1143="","",SUMIFS($P$4:$P$2503,$E$4:$E$2503,$E1143,$Z$4:$Z$2503,"正常",$A$4:$A$2503,"&lt;="&amp;$A1143))</f>
        <v/>
      </c>
      <c r="U1143" s="26">
        <f>IF($G1143="","",IF(OR($S1143&gt;0,$Q1143=0,$R1143=0,$Z1143&lt;&gt;"正常"),0,ROUND($T1143/$Q1143*$R1143,0)-ROUND(($T1143-$P1143)/$Q1143*$R1143,0)))</f>
        <v/>
      </c>
      <c r="V1143" s="26">
        <f>IF($G1143="","",ROUND($P1143+$U1143,0))</f>
        <v/>
      </c>
      <c r="W1143" s="26">
        <f>IF($G1143="","",IF(N($K1143)=0,0,ROUND($V1143/$K1143,2)))</f>
        <v/>
      </c>
      <c r="X1143" s="17" t="n"/>
      <c r="Y1143" s="17" t="n"/>
      <c r="Z1143" s="17" t="n"/>
      <c r="AA1143" s="17" t="n"/>
      <c r="AB1143" s="17" t="n"/>
      <c r="AC1143" s="24">
        <f>IF($G1143="","",IF($H1143="※编码不在物料档案里","※物料编码不在档案里",IF(N($K1143)&lt;=0,"※入库数量要大于 0",IF(AND($C1143&lt;&gt;"",$C1143&lt;=结账锁),"※日期早于已结账截止日，不能再录",IF(AND($L1143=0,$X1143="正常"),"※没填单价，价格状态请选「待补价」",IF(AND($S1143&gt;0,$R1143&gt;0),"△本批有 "&amp;$S1143&amp;" 行没单价，整批运费先挂账没摊",IF(AND($B1143&lt;&gt;"",COUNTIF($B$4:$B$2503,$B1143)&gt;1),"※入库单号重复","")))))))</f>
        <v/>
      </c>
    </row>
    <row r="1144">
      <c r="A1144" s="24">
        <f>IF($G1144="","",COUNTA($G$4:$G1144))</f>
        <v/>
      </c>
      <c r="B1144" s="17" t="n"/>
      <c r="C1144" s="30" t="n"/>
      <c r="D1144" s="17" t="n"/>
      <c r="E1144" s="17" t="n"/>
      <c r="F1144" s="17" t="n"/>
      <c r="G1144" s="17" t="n"/>
      <c r="H1144" s="24">
        <f>IF($G1144="","",IFERROR(VLOOKUP($G1144,物料档案!$A$4:$P$1203,3,0),"※编码不在物料档案里"))</f>
        <v/>
      </c>
      <c r="I1144" s="24">
        <f>IF($G1144="","",IFERROR(VLOOKUP($G1144,物料档案!$A$4:$P$1203,4,0),"※编码不在物料档案里"))</f>
        <v/>
      </c>
      <c r="J1144" s="24">
        <f>IF($G1144="","",IFERROR(VLOOKUP($G1144,物料档案!$A$4:$P$1203,5,0),"※编码不在物料档案里"))</f>
        <v/>
      </c>
      <c r="K1144" s="23" t="n"/>
      <c r="L1144" s="31" t="n"/>
      <c r="M1144" s="24">
        <f>IF($G1144="","",IF($D1144="A国内","CNY","TZS"))</f>
        <v/>
      </c>
      <c r="N1144" s="28">
        <f>IF($G1144="","",IF($D1144="A国内",汇率,1))</f>
        <v/>
      </c>
      <c r="O1144" s="25">
        <f>IF($G1144="","",ROUND(N($K1144)*N($L1144),2))</f>
        <v/>
      </c>
      <c r="P1144" s="26">
        <f>IF($G1144="","",ROUND($O1144*$N1144,0))</f>
        <v/>
      </c>
      <c r="Q1144" s="26">
        <f>IF($G1144="","",SUMIFS($P$4:$P$2503,$E$4:$E$2503,$E1144,$Z$4:$Z$2503,"正常"))</f>
        <v/>
      </c>
      <c r="R1144" s="26">
        <f>IF($G1144="","",SUMIFS(费用台账!$I$4:$I$503,费用台账!$C$4:$C$503,$E1144,费用台账!$J$4:$J$503,"是",费用台账!$K$4:$K$503,"正常"))</f>
        <v/>
      </c>
      <c r="S1144" s="28">
        <f>IF($G1144="","",COUNTIFS($E$4:$E$2503,$E1144,$Z$4:$Z$2503,"正常",$Y$4:$Y$2503,"待补价"))</f>
        <v/>
      </c>
      <c r="T1144" s="26">
        <f>IF($G1144="","",SUMIFS($P$4:$P$2503,$E$4:$E$2503,$E1144,$Z$4:$Z$2503,"正常",$A$4:$A$2503,"&lt;="&amp;$A1144))</f>
        <v/>
      </c>
      <c r="U1144" s="26">
        <f>IF($G1144="","",IF(OR($S1144&gt;0,$Q1144=0,$R1144=0,$Z1144&lt;&gt;"正常"),0,ROUND($T1144/$Q1144*$R1144,0)-ROUND(($T1144-$P1144)/$Q1144*$R1144,0)))</f>
        <v/>
      </c>
      <c r="V1144" s="26">
        <f>IF($G1144="","",ROUND($P1144+$U1144,0))</f>
        <v/>
      </c>
      <c r="W1144" s="26">
        <f>IF($G1144="","",IF(N($K1144)=0,0,ROUND($V1144/$K1144,2)))</f>
        <v/>
      </c>
      <c r="X1144" s="17" t="n"/>
      <c r="Y1144" s="17" t="n"/>
      <c r="Z1144" s="17" t="n"/>
      <c r="AA1144" s="17" t="n"/>
      <c r="AB1144" s="17" t="n"/>
      <c r="AC1144" s="24">
        <f>IF($G1144="","",IF($H1144="※编码不在物料档案里","※物料编码不在档案里",IF(N($K1144)&lt;=0,"※入库数量要大于 0",IF(AND($C1144&lt;&gt;"",$C1144&lt;=结账锁),"※日期早于已结账截止日，不能再录",IF(AND($L1144=0,$X1144="正常"),"※没填单价，价格状态请选「待补价」",IF(AND($S1144&gt;0,$R1144&gt;0),"△本批有 "&amp;$S1144&amp;" 行没单价，整批运费先挂账没摊",IF(AND($B1144&lt;&gt;"",COUNTIF($B$4:$B$2503,$B1144)&gt;1),"※入库单号重复","")))))))</f>
        <v/>
      </c>
    </row>
    <row r="1145">
      <c r="A1145" s="24">
        <f>IF($G1145="","",COUNTA($G$4:$G1145))</f>
        <v/>
      </c>
      <c r="B1145" s="17" t="n"/>
      <c r="C1145" s="30" t="n"/>
      <c r="D1145" s="17" t="n"/>
      <c r="E1145" s="17" t="n"/>
      <c r="F1145" s="17" t="n"/>
      <c r="G1145" s="17" t="n"/>
      <c r="H1145" s="24">
        <f>IF($G1145="","",IFERROR(VLOOKUP($G1145,物料档案!$A$4:$P$1203,3,0),"※编码不在物料档案里"))</f>
        <v/>
      </c>
      <c r="I1145" s="24">
        <f>IF($G1145="","",IFERROR(VLOOKUP($G1145,物料档案!$A$4:$P$1203,4,0),"※编码不在物料档案里"))</f>
        <v/>
      </c>
      <c r="J1145" s="24">
        <f>IF($G1145="","",IFERROR(VLOOKUP($G1145,物料档案!$A$4:$P$1203,5,0),"※编码不在物料档案里"))</f>
        <v/>
      </c>
      <c r="K1145" s="23" t="n"/>
      <c r="L1145" s="31" t="n"/>
      <c r="M1145" s="24">
        <f>IF($G1145="","",IF($D1145="A国内","CNY","TZS"))</f>
        <v/>
      </c>
      <c r="N1145" s="28">
        <f>IF($G1145="","",IF($D1145="A国内",汇率,1))</f>
        <v/>
      </c>
      <c r="O1145" s="25">
        <f>IF($G1145="","",ROUND(N($K1145)*N($L1145),2))</f>
        <v/>
      </c>
      <c r="P1145" s="26">
        <f>IF($G1145="","",ROUND($O1145*$N1145,0))</f>
        <v/>
      </c>
      <c r="Q1145" s="26">
        <f>IF($G1145="","",SUMIFS($P$4:$P$2503,$E$4:$E$2503,$E1145,$Z$4:$Z$2503,"正常"))</f>
        <v/>
      </c>
      <c r="R1145" s="26">
        <f>IF($G1145="","",SUMIFS(费用台账!$I$4:$I$503,费用台账!$C$4:$C$503,$E1145,费用台账!$J$4:$J$503,"是",费用台账!$K$4:$K$503,"正常"))</f>
        <v/>
      </c>
      <c r="S1145" s="28">
        <f>IF($G1145="","",COUNTIFS($E$4:$E$2503,$E1145,$Z$4:$Z$2503,"正常",$Y$4:$Y$2503,"待补价"))</f>
        <v/>
      </c>
      <c r="T1145" s="26">
        <f>IF($G1145="","",SUMIFS($P$4:$P$2503,$E$4:$E$2503,$E1145,$Z$4:$Z$2503,"正常",$A$4:$A$2503,"&lt;="&amp;$A1145))</f>
        <v/>
      </c>
      <c r="U1145" s="26">
        <f>IF($G1145="","",IF(OR($S1145&gt;0,$Q1145=0,$R1145=0,$Z1145&lt;&gt;"正常"),0,ROUND($T1145/$Q1145*$R1145,0)-ROUND(($T1145-$P1145)/$Q1145*$R1145,0)))</f>
        <v/>
      </c>
      <c r="V1145" s="26">
        <f>IF($G1145="","",ROUND($P1145+$U1145,0))</f>
        <v/>
      </c>
      <c r="W1145" s="26">
        <f>IF($G1145="","",IF(N($K1145)=0,0,ROUND($V1145/$K1145,2)))</f>
        <v/>
      </c>
      <c r="X1145" s="17" t="n"/>
      <c r="Y1145" s="17" t="n"/>
      <c r="Z1145" s="17" t="n"/>
      <c r="AA1145" s="17" t="n"/>
      <c r="AB1145" s="17" t="n"/>
      <c r="AC1145" s="24">
        <f>IF($G1145="","",IF($H1145="※编码不在物料档案里","※物料编码不在档案里",IF(N($K1145)&lt;=0,"※入库数量要大于 0",IF(AND($C1145&lt;&gt;"",$C1145&lt;=结账锁),"※日期早于已结账截止日，不能再录",IF(AND($L1145=0,$X1145="正常"),"※没填单价，价格状态请选「待补价」",IF(AND($S1145&gt;0,$R1145&gt;0),"△本批有 "&amp;$S1145&amp;" 行没单价，整批运费先挂账没摊",IF(AND($B1145&lt;&gt;"",COUNTIF($B$4:$B$2503,$B1145)&gt;1),"※入库单号重复","")))))))</f>
        <v/>
      </c>
    </row>
    <row r="1146">
      <c r="A1146" s="24">
        <f>IF($G1146="","",COUNTA($G$4:$G1146))</f>
        <v/>
      </c>
      <c r="B1146" s="17" t="n"/>
      <c r="C1146" s="30" t="n"/>
      <c r="D1146" s="17" t="n"/>
      <c r="E1146" s="17" t="n"/>
      <c r="F1146" s="17" t="n"/>
      <c r="G1146" s="17" t="n"/>
      <c r="H1146" s="24">
        <f>IF($G1146="","",IFERROR(VLOOKUP($G1146,物料档案!$A$4:$P$1203,3,0),"※编码不在物料档案里"))</f>
        <v/>
      </c>
      <c r="I1146" s="24">
        <f>IF($G1146="","",IFERROR(VLOOKUP($G1146,物料档案!$A$4:$P$1203,4,0),"※编码不在物料档案里"))</f>
        <v/>
      </c>
      <c r="J1146" s="24">
        <f>IF($G1146="","",IFERROR(VLOOKUP($G1146,物料档案!$A$4:$P$1203,5,0),"※编码不在物料档案里"))</f>
        <v/>
      </c>
      <c r="K1146" s="23" t="n"/>
      <c r="L1146" s="31" t="n"/>
      <c r="M1146" s="24">
        <f>IF($G1146="","",IF($D1146="A国内","CNY","TZS"))</f>
        <v/>
      </c>
      <c r="N1146" s="28">
        <f>IF($G1146="","",IF($D1146="A国内",汇率,1))</f>
        <v/>
      </c>
      <c r="O1146" s="25">
        <f>IF($G1146="","",ROUND(N($K1146)*N($L1146),2))</f>
        <v/>
      </c>
      <c r="P1146" s="26">
        <f>IF($G1146="","",ROUND($O1146*$N1146,0))</f>
        <v/>
      </c>
      <c r="Q1146" s="26">
        <f>IF($G1146="","",SUMIFS($P$4:$P$2503,$E$4:$E$2503,$E1146,$Z$4:$Z$2503,"正常"))</f>
        <v/>
      </c>
      <c r="R1146" s="26">
        <f>IF($G1146="","",SUMIFS(费用台账!$I$4:$I$503,费用台账!$C$4:$C$503,$E1146,费用台账!$J$4:$J$503,"是",费用台账!$K$4:$K$503,"正常"))</f>
        <v/>
      </c>
      <c r="S1146" s="28">
        <f>IF($G1146="","",COUNTIFS($E$4:$E$2503,$E1146,$Z$4:$Z$2503,"正常",$Y$4:$Y$2503,"待补价"))</f>
        <v/>
      </c>
      <c r="T1146" s="26">
        <f>IF($G1146="","",SUMIFS($P$4:$P$2503,$E$4:$E$2503,$E1146,$Z$4:$Z$2503,"正常",$A$4:$A$2503,"&lt;="&amp;$A1146))</f>
        <v/>
      </c>
      <c r="U1146" s="26">
        <f>IF($G1146="","",IF(OR($S1146&gt;0,$Q1146=0,$R1146=0,$Z1146&lt;&gt;"正常"),0,ROUND($T1146/$Q1146*$R1146,0)-ROUND(($T1146-$P1146)/$Q1146*$R1146,0)))</f>
        <v/>
      </c>
      <c r="V1146" s="26">
        <f>IF($G1146="","",ROUND($P1146+$U1146,0))</f>
        <v/>
      </c>
      <c r="W1146" s="26">
        <f>IF($G1146="","",IF(N($K1146)=0,0,ROUND($V1146/$K1146,2)))</f>
        <v/>
      </c>
      <c r="X1146" s="17" t="n"/>
      <c r="Y1146" s="17" t="n"/>
      <c r="Z1146" s="17" t="n"/>
      <c r="AA1146" s="17" t="n"/>
      <c r="AB1146" s="17" t="n"/>
      <c r="AC1146" s="24">
        <f>IF($G1146="","",IF($H1146="※编码不在物料档案里","※物料编码不在档案里",IF(N($K1146)&lt;=0,"※入库数量要大于 0",IF(AND($C1146&lt;&gt;"",$C1146&lt;=结账锁),"※日期早于已结账截止日，不能再录",IF(AND($L1146=0,$X1146="正常"),"※没填单价，价格状态请选「待补价」",IF(AND($S1146&gt;0,$R1146&gt;0),"△本批有 "&amp;$S1146&amp;" 行没单价，整批运费先挂账没摊",IF(AND($B1146&lt;&gt;"",COUNTIF($B$4:$B$2503,$B1146)&gt;1),"※入库单号重复","")))))))</f>
        <v/>
      </c>
    </row>
    <row r="1147">
      <c r="A1147" s="24">
        <f>IF($G1147="","",COUNTA($G$4:$G1147))</f>
        <v/>
      </c>
      <c r="B1147" s="17" t="n"/>
      <c r="C1147" s="30" t="n"/>
      <c r="D1147" s="17" t="n"/>
      <c r="E1147" s="17" t="n"/>
      <c r="F1147" s="17" t="n"/>
      <c r="G1147" s="17" t="n"/>
      <c r="H1147" s="24">
        <f>IF($G1147="","",IFERROR(VLOOKUP($G1147,物料档案!$A$4:$P$1203,3,0),"※编码不在物料档案里"))</f>
        <v/>
      </c>
      <c r="I1147" s="24">
        <f>IF($G1147="","",IFERROR(VLOOKUP($G1147,物料档案!$A$4:$P$1203,4,0),"※编码不在物料档案里"))</f>
        <v/>
      </c>
      <c r="J1147" s="24">
        <f>IF($G1147="","",IFERROR(VLOOKUP($G1147,物料档案!$A$4:$P$1203,5,0),"※编码不在物料档案里"))</f>
        <v/>
      </c>
      <c r="K1147" s="23" t="n"/>
      <c r="L1147" s="31" t="n"/>
      <c r="M1147" s="24">
        <f>IF($G1147="","",IF($D1147="A国内","CNY","TZS"))</f>
        <v/>
      </c>
      <c r="N1147" s="28">
        <f>IF($G1147="","",IF($D1147="A国内",汇率,1))</f>
        <v/>
      </c>
      <c r="O1147" s="25">
        <f>IF($G1147="","",ROUND(N($K1147)*N($L1147),2))</f>
        <v/>
      </c>
      <c r="P1147" s="26">
        <f>IF($G1147="","",ROUND($O1147*$N1147,0))</f>
        <v/>
      </c>
      <c r="Q1147" s="26">
        <f>IF($G1147="","",SUMIFS($P$4:$P$2503,$E$4:$E$2503,$E1147,$Z$4:$Z$2503,"正常"))</f>
        <v/>
      </c>
      <c r="R1147" s="26">
        <f>IF($G1147="","",SUMIFS(费用台账!$I$4:$I$503,费用台账!$C$4:$C$503,$E1147,费用台账!$J$4:$J$503,"是",费用台账!$K$4:$K$503,"正常"))</f>
        <v/>
      </c>
      <c r="S1147" s="28">
        <f>IF($G1147="","",COUNTIFS($E$4:$E$2503,$E1147,$Z$4:$Z$2503,"正常",$Y$4:$Y$2503,"待补价"))</f>
        <v/>
      </c>
      <c r="T1147" s="26">
        <f>IF($G1147="","",SUMIFS($P$4:$P$2503,$E$4:$E$2503,$E1147,$Z$4:$Z$2503,"正常",$A$4:$A$2503,"&lt;="&amp;$A1147))</f>
        <v/>
      </c>
      <c r="U1147" s="26">
        <f>IF($G1147="","",IF(OR($S1147&gt;0,$Q1147=0,$R1147=0,$Z1147&lt;&gt;"正常"),0,ROUND($T1147/$Q1147*$R1147,0)-ROUND(($T1147-$P1147)/$Q1147*$R1147,0)))</f>
        <v/>
      </c>
      <c r="V1147" s="26">
        <f>IF($G1147="","",ROUND($P1147+$U1147,0))</f>
        <v/>
      </c>
      <c r="W1147" s="26">
        <f>IF($G1147="","",IF(N($K1147)=0,0,ROUND($V1147/$K1147,2)))</f>
        <v/>
      </c>
      <c r="X1147" s="17" t="n"/>
      <c r="Y1147" s="17" t="n"/>
      <c r="Z1147" s="17" t="n"/>
      <c r="AA1147" s="17" t="n"/>
      <c r="AB1147" s="17" t="n"/>
      <c r="AC1147" s="24">
        <f>IF($G1147="","",IF($H1147="※编码不在物料档案里","※物料编码不在档案里",IF(N($K1147)&lt;=0,"※入库数量要大于 0",IF(AND($C1147&lt;&gt;"",$C1147&lt;=结账锁),"※日期早于已结账截止日，不能再录",IF(AND($L1147=0,$X1147="正常"),"※没填单价，价格状态请选「待补价」",IF(AND($S1147&gt;0,$R1147&gt;0),"△本批有 "&amp;$S1147&amp;" 行没单价，整批运费先挂账没摊",IF(AND($B1147&lt;&gt;"",COUNTIF($B$4:$B$2503,$B1147)&gt;1),"※入库单号重复","")))))))</f>
        <v/>
      </c>
    </row>
    <row r="1148">
      <c r="A1148" s="24">
        <f>IF($G1148="","",COUNTA($G$4:$G1148))</f>
        <v/>
      </c>
      <c r="B1148" s="17" t="n"/>
      <c r="C1148" s="30" t="n"/>
      <c r="D1148" s="17" t="n"/>
      <c r="E1148" s="17" t="n"/>
      <c r="F1148" s="17" t="n"/>
      <c r="G1148" s="17" t="n"/>
      <c r="H1148" s="24">
        <f>IF($G1148="","",IFERROR(VLOOKUP($G1148,物料档案!$A$4:$P$1203,3,0),"※编码不在物料档案里"))</f>
        <v/>
      </c>
      <c r="I1148" s="24">
        <f>IF($G1148="","",IFERROR(VLOOKUP($G1148,物料档案!$A$4:$P$1203,4,0),"※编码不在物料档案里"))</f>
        <v/>
      </c>
      <c r="J1148" s="24">
        <f>IF($G1148="","",IFERROR(VLOOKUP($G1148,物料档案!$A$4:$P$1203,5,0),"※编码不在物料档案里"))</f>
        <v/>
      </c>
      <c r="K1148" s="23" t="n"/>
      <c r="L1148" s="31" t="n"/>
      <c r="M1148" s="24">
        <f>IF($G1148="","",IF($D1148="A国内","CNY","TZS"))</f>
        <v/>
      </c>
      <c r="N1148" s="28">
        <f>IF($G1148="","",IF($D1148="A国内",汇率,1))</f>
        <v/>
      </c>
      <c r="O1148" s="25">
        <f>IF($G1148="","",ROUND(N($K1148)*N($L1148),2))</f>
        <v/>
      </c>
      <c r="P1148" s="26">
        <f>IF($G1148="","",ROUND($O1148*$N1148,0))</f>
        <v/>
      </c>
      <c r="Q1148" s="26">
        <f>IF($G1148="","",SUMIFS($P$4:$P$2503,$E$4:$E$2503,$E1148,$Z$4:$Z$2503,"正常"))</f>
        <v/>
      </c>
      <c r="R1148" s="26">
        <f>IF($G1148="","",SUMIFS(费用台账!$I$4:$I$503,费用台账!$C$4:$C$503,$E1148,费用台账!$J$4:$J$503,"是",费用台账!$K$4:$K$503,"正常"))</f>
        <v/>
      </c>
      <c r="S1148" s="28">
        <f>IF($G1148="","",COUNTIFS($E$4:$E$2503,$E1148,$Z$4:$Z$2503,"正常",$Y$4:$Y$2503,"待补价"))</f>
        <v/>
      </c>
      <c r="T1148" s="26">
        <f>IF($G1148="","",SUMIFS($P$4:$P$2503,$E$4:$E$2503,$E1148,$Z$4:$Z$2503,"正常",$A$4:$A$2503,"&lt;="&amp;$A1148))</f>
        <v/>
      </c>
      <c r="U1148" s="26">
        <f>IF($G1148="","",IF(OR($S1148&gt;0,$Q1148=0,$R1148=0,$Z1148&lt;&gt;"正常"),0,ROUND($T1148/$Q1148*$R1148,0)-ROUND(($T1148-$P1148)/$Q1148*$R1148,0)))</f>
        <v/>
      </c>
      <c r="V1148" s="26">
        <f>IF($G1148="","",ROUND($P1148+$U1148,0))</f>
        <v/>
      </c>
      <c r="W1148" s="26">
        <f>IF($G1148="","",IF(N($K1148)=0,0,ROUND($V1148/$K1148,2)))</f>
        <v/>
      </c>
      <c r="X1148" s="17" t="n"/>
      <c r="Y1148" s="17" t="n"/>
      <c r="Z1148" s="17" t="n"/>
      <c r="AA1148" s="17" t="n"/>
      <c r="AB1148" s="17" t="n"/>
      <c r="AC1148" s="24">
        <f>IF($G1148="","",IF($H1148="※编码不在物料档案里","※物料编码不在档案里",IF(N($K1148)&lt;=0,"※入库数量要大于 0",IF(AND($C1148&lt;&gt;"",$C1148&lt;=结账锁),"※日期早于已结账截止日，不能再录",IF(AND($L1148=0,$X1148="正常"),"※没填单价，价格状态请选「待补价」",IF(AND($S1148&gt;0,$R1148&gt;0),"△本批有 "&amp;$S1148&amp;" 行没单价，整批运费先挂账没摊",IF(AND($B1148&lt;&gt;"",COUNTIF($B$4:$B$2503,$B1148)&gt;1),"※入库单号重复","")))))))</f>
        <v/>
      </c>
    </row>
    <row r="1149">
      <c r="A1149" s="24">
        <f>IF($G1149="","",COUNTA($G$4:$G1149))</f>
        <v/>
      </c>
      <c r="B1149" s="17" t="n"/>
      <c r="C1149" s="30" t="n"/>
      <c r="D1149" s="17" t="n"/>
      <c r="E1149" s="17" t="n"/>
      <c r="F1149" s="17" t="n"/>
      <c r="G1149" s="17" t="n"/>
      <c r="H1149" s="24">
        <f>IF($G1149="","",IFERROR(VLOOKUP($G1149,物料档案!$A$4:$P$1203,3,0),"※编码不在物料档案里"))</f>
        <v/>
      </c>
      <c r="I1149" s="24">
        <f>IF($G1149="","",IFERROR(VLOOKUP($G1149,物料档案!$A$4:$P$1203,4,0),"※编码不在物料档案里"))</f>
        <v/>
      </c>
      <c r="J1149" s="24">
        <f>IF($G1149="","",IFERROR(VLOOKUP($G1149,物料档案!$A$4:$P$1203,5,0),"※编码不在物料档案里"))</f>
        <v/>
      </c>
      <c r="K1149" s="23" t="n"/>
      <c r="L1149" s="31" t="n"/>
      <c r="M1149" s="24">
        <f>IF($G1149="","",IF($D1149="A国内","CNY","TZS"))</f>
        <v/>
      </c>
      <c r="N1149" s="28">
        <f>IF($G1149="","",IF($D1149="A国内",汇率,1))</f>
        <v/>
      </c>
      <c r="O1149" s="25">
        <f>IF($G1149="","",ROUND(N($K1149)*N($L1149),2))</f>
        <v/>
      </c>
      <c r="P1149" s="26">
        <f>IF($G1149="","",ROUND($O1149*$N1149,0))</f>
        <v/>
      </c>
      <c r="Q1149" s="26">
        <f>IF($G1149="","",SUMIFS($P$4:$P$2503,$E$4:$E$2503,$E1149,$Z$4:$Z$2503,"正常"))</f>
        <v/>
      </c>
      <c r="R1149" s="26">
        <f>IF($G1149="","",SUMIFS(费用台账!$I$4:$I$503,费用台账!$C$4:$C$503,$E1149,费用台账!$J$4:$J$503,"是",费用台账!$K$4:$K$503,"正常"))</f>
        <v/>
      </c>
      <c r="S1149" s="28">
        <f>IF($G1149="","",COUNTIFS($E$4:$E$2503,$E1149,$Z$4:$Z$2503,"正常",$Y$4:$Y$2503,"待补价"))</f>
        <v/>
      </c>
      <c r="T1149" s="26">
        <f>IF($G1149="","",SUMIFS($P$4:$P$2503,$E$4:$E$2503,$E1149,$Z$4:$Z$2503,"正常",$A$4:$A$2503,"&lt;="&amp;$A1149))</f>
        <v/>
      </c>
      <c r="U1149" s="26">
        <f>IF($G1149="","",IF(OR($S1149&gt;0,$Q1149=0,$R1149=0,$Z1149&lt;&gt;"正常"),0,ROUND($T1149/$Q1149*$R1149,0)-ROUND(($T1149-$P1149)/$Q1149*$R1149,0)))</f>
        <v/>
      </c>
      <c r="V1149" s="26">
        <f>IF($G1149="","",ROUND($P1149+$U1149,0))</f>
        <v/>
      </c>
      <c r="W1149" s="26">
        <f>IF($G1149="","",IF(N($K1149)=0,0,ROUND($V1149/$K1149,2)))</f>
        <v/>
      </c>
      <c r="X1149" s="17" t="n"/>
      <c r="Y1149" s="17" t="n"/>
      <c r="Z1149" s="17" t="n"/>
      <c r="AA1149" s="17" t="n"/>
      <c r="AB1149" s="17" t="n"/>
      <c r="AC1149" s="24">
        <f>IF($G1149="","",IF($H1149="※编码不在物料档案里","※物料编码不在档案里",IF(N($K1149)&lt;=0,"※入库数量要大于 0",IF(AND($C1149&lt;&gt;"",$C1149&lt;=结账锁),"※日期早于已结账截止日，不能再录",IF(AND($L1149=0,$X1149="正常"),"※没填单价，价格状态请选「待补价」",IF(AND($S1149&gt;0,$R1149&gt;0),"△本批有 "&amp;$S1149&amp;" 行没单价，整批运费先挂账没摊",IF(AND($B1149&lt;&gt;"",COUNTIF($B$4:$B$2503,$B1149)&gt;1),"※入库单号重复","")))))))</f>
        <v/>
      </c>
    </row>
    <row r="1150">
      <c r="A1150" s="24">
        <f>IF($G1150="","",COUNTA($G$4:$G1150))</f>
        <v/>
      </c>
      <c r="B1150" s="17" t="n"/>
      <c r="C1150" s="30" t="n"/>
      <c r="D1150" s="17" t="n"/>
      <c r="E1150" s="17" t="n"/>
      <c r="F1150" s="17" t="n"/>
      <c r="G1150" s="17" t="n"/>
      <c r="H1150" s="24">
        <f>IF($G1150="","",IFERROR(VLOOKUP($G1150,物料档案!$A$4:$P$1203,3,0),"※编码不在物料档案里"))</f>
        <v/>
      </c>
      <c r="I1150" s="24">
        <f>IF($G1150="","",IFERROR(VLOOKUP($G1150,物料档案!$A$4:$P$1203,4,0),"※编码不在物料档案里"))</f>
        <v/>
      </c>
      <c r="J1150" s="24">
        <f>IF($G1150="","",IFERROR(VLOOKUP($G1150,物料档案!$A$4:$P$1203,5,0),"※编码不在物料档案里"))</f>
        <v/>
      </c>
      <c r="K1150" s="23" t="n"/>
      <c r="L1150" s="31" t="n"/>
      <c r="M1150" s="24">
        <f>IF($G1150="","",IF($D1150="A国内","CNY","TZS"))</f>
        <v/>
      </c>
      <c r="N1150" s="28">
        <f>IF($G1150="","",IF($D1150="A国内",汇率,1))</f>
        <v/>
      </c>
      <c r="O1150" s="25">
        <f>IF($G1150="","",ROUND(N($K1150)*N($L1150),2))</f>
        <v/>
      </c>
      <c r="P1150" s="26">
        <f>IF($G1150="","",ROUND($O1150*$N1150,0))</f>
        <v/>
      </c>
      <c r="Q1150" s="26">
        <f>IF($G1150="","",SUMIFS($P$4:$P$2503,$E$4:$E$2503,$E1150,$Z$4:$Z$2503,"正常"))</f>
        <v/>
      </c>
      <c r="R1150" s="26">
        <f>IF($G1150="","",SUMIFS(费用台账!$I$4:$I$503,费用台账!$C$4:$C$503,$E1150,费用台账!$J$4:$J$503,"是",费用台账!$K$4:$K$503,"正常"))</f>
        <v/>
      </c>
      <c r="S1150" s="28">
        <f>IF($G1150="","",COUNTIFS($E$4:$E$2503,$E1150,$Z$4:$Z$2503,"正常",$Y$4:$Y$2503,"待补价"))</f>
        <v/>
      </c>
      <c r="T1150" s="26">
        <f>IF($G1150="","",SUMIFS($P$4:$P$2503,$E$4:$E$2503,$E1150,$Z$4:$Z$2503,"正常",$A$4:$A$2503,"&lt;="&amp;$A1150))</f>
        <v/>
      </c>
      <c r="U1150" s="26">
        <f>IF($G1150="","",IF(OR($S1150&gt;0,$Q1150=0,$R1150=0,$Z1150&lt;&gt;"正常"),0,ROUND($T1150/$Q1150*$R1150,0)-ROUND(($T1150-$P1150)/$Q1150*$R1150,0)))</f>
        <v/>
      </c>
      <c r="V1150" s="26">
        <f>IF($G1150="","",ROUND($P1150+$U1150,0))</f>
        <v/>
      </c>
      <c r="W1150" s="26">
        <f>IF($G1150="","",IF(N($K1150)=0,0,ROUND($V1150/$K1150,2)))</f>
        <v/>
      </c>
      <c r="X1150" s="17" t="n"/>
      <c r="Y1150" s="17" t="n"/>
      <c r="Z1150" s="17" t="n"/>
      <c r="AA1150" s="17" t="n"/>
      <c r="AB1150" s="17" t="n"/>
      <c r="AC1150" s="24">
        <f>IF($G1150="","",IF($H1150="※编码不在物料档案里","※物料编码不在档案里",IF(N($K1150)&lt;=0,"※入库数量要大于 0",IF(AND($C1150&lt;&gt;"",$C1150&lt;=结账锁),"※日期早于已结账截止日，不能再录",IF(AND($L1150=0,$X1150="正常"),"※没填单价，价格状态请选「待补价」",IF(AND($S1150&gt;0,$R1150&gt;0),"△本批有 "&amp;$S1150&amp;" 行没单价，整批运费先挂账没摊",IF(AND($B1150&lt;&gt;"",COUNTIF($B$4:$B$2503,$B1150)&gt;1),"※入库单号重复","")))))))</f>
        <v/>
      </c>
    </row>
    <row r="1151">
      <c r="A1151" s="24">
        <f>IF($G1151="","",COUNTA($G$4:$G1151))</f>
        <v/>
      </c>
      <c r="B1151" s="17" t="n"/>
      <c r="C1151" s="30" t="n"/>
      <c r="D1151" s="17" t="n"/>
      <c r="E1151" s="17" t="n"/>
      <c r="F1151" s="17" t="n"/>
      <c r="G1151" s="17" t="n"/>
      <c r="H1151" s="24">
        <f>IF($G1151="","",IFERROR(VLOOKUP($G1151,物料档案!$A$4:$P$1203,3,0),"※编码不在物料档案里"))</f>
        <v/>
      </c>
      <c r="I1151" s="24">
        <f>IF($G1151="","",IFERROR(VLOOKUP($G1151,物料档案!$A$4:$P$1203,4,0),"※编码不在物料档案里"))</f>
        <v/>
      </c>
      <c r="J1151" s="24">
        <f>IF($G1151="","",IFERROR(VLOOKUP($G1151,物料档案!$A$4:$P$1203,5,0),"※编码不在物料档案里"))</f>
        <v/>
      </c>
      <c r="K1151" s="23" t="n"/>
      <c r="L1151" s="31" t="n"/>
      <c r="M1151" s="24">
        <f>IF($G1151="","",IF($D1151="A国内","CNY","TZS"))</f>
        <v/>
      </c>
      <c r="N1151" s="28">
        <f>IF($G1151="","",IF($D1151="A国内",汇率,1))</f>
        <v/>
      </c>
      <c r="O1151" s="25">
        <f>IF($G1151="","",ROUND(N($K1151)*N($L1151),2))</f>
        <v/>
      </c>
      <c r="P1151" s="26">
        <f>IF($G1151="","",ROUND($O1151*$N1151,0))</f>
        <v/>
      </c>
      <c r="Q1151" s="26">
        <f>IF($G1151="","",SUMIFS($P$4:$P$2503,$E$4:$E$2503,$E1151,$Z$4:$Z$2503,"正常"))</f>
        <v/>
      </c>
      <c r="R1151" s="26">
        <f>IF($G1151="","",SUMIFS(费用台账!$I$4:$I$503,费用台账!$C$4:$C$503,$E1151,费用台账!$J$4:$J$503,"是",费用台账!$K$4:$K$503,"正常"))</f>
        <v/>
      </c>
      <c r="S1151" s="28">
        <f>IF($G1151="","",COUNTIFS($E$4:$E$2503,$E1151,$Z$4:$Z$2503,"正常",$Y$4:$Y$2503,"待补价"))</f>
        <v/>
      </c>
      <c r="T1151" s="26">
        <f>IF($G1151="","",SUMIFS($P$4:$P$2503,$E$4:$E$2503,$E1151,$Z$4:$Z$2503,"正常",$A$4:$A$2503,"&lt;="&amp;$A1151))</f>
        <v/>
      </c>
      <c r="U1151" s="26">
        <f>IF($G1151="","",IF(OR($S1151&gt;0,$Q1151=0,$R1151=0,$Z1151&lt;&gt;"正常"),0,ROUND($T1151/$Q1151*$R1151,0)-ROUND(($T1151-$P1151)/$Q1151*$R1151,0)))</f>
        <v/>
      </c>
      <c r="V1151" s="26">
        <f>IF($G1151="","",ROUND($P1151+$U1151,0))</f>
        <v/>
      </c>
      <c r="W1151" s="26">
        <f>IF($G1151="","",IF(N($K1151)=0,0,ROUND($V1151/$K1151,2)))</f>
        <v/>
      </c>
      <c r="X1151" s="17" t="n"/>
      <c r="Y1151" s="17" t="n"/>
      <c r="Z1151" s="17" t="n"/>
      <c r="AA1151" s="17" t="n"/>
      <c r="AB1151" s="17" t="n"/>
      <c r="AC1151" s="24">
        <f>IF($G1151="","",IF($H1151="※编码不在物料档案里","※物料编码不在档案里",IF(N($K1151)&lt;=0,"※入库数量要大于 0",IF(AND($C1151&lt;&gt;"",$C1151&lt;=结账锁),"※日期早于已结账截止日，不能再录",IF(AND($L1151=0,$X1151="正常"),"※没填单价，价格状态请选「待补价」",IF(AND($S1151&gt;0,$R1151&gt;0),"△本批有 "&amp;$S1151&amp;" 行没单价，整批运费先挂账没摊",IF(AND($B1151&lt;&gt;"",COUNTIF($B$4:$B$2503,$B1151)&gt;1),"※入库单号重复","")))))))</f>
        <v/>
      </c>
    </row>
    <row r="1152">
      <c r="A1152" s="24">
        <f>IF($G1152="","",COUNTA($G$4:$G1152))</f>
        <v/>
      </c>
      <c r="B1152" s="17" t="n"/>
      <c r="C1152" s="30" t="n"/>
      <c r="D1152" s="17" t="n"/>
      <c r="E1152" s="17" t="n"/>
      <c r="F1152" s="17" t="n"/>
      <c r="G1152" s="17" t="n"/>
      <c r="H1152" s="24">
        <f>IF($G1152="","",IFERROR(VLOOKUP($G1152,物料档案!$A$4:$P$1203,3,0),"※编码不在物料档案里"))</f>
        <v/>
      </c>
      <c r="I1152" s="24">
        <f>IF($G1152="","",IFERROR(VLOOKUP($G1152,物料档案!$A$4:$P$1203,4,0),"※编码不在物料档案里"))</f>
        <v/>
      </c>
      <c r="J1152" s="24">
        <f>IF($G1152="","",IFERROR(VLOOKUP($G1152,物料档案!$A$4:$P$1203,5,0),"※编码不在物料档案里"))</f>
        <v/>
      </c>
      <c r="K1152" s="23" t="n"/>
      <c r="L1152" s="31" t="n"/>
      <c r="M1152" s="24">
        <f>IF($G1152="","",IF($D1152="A国内","CNY","TZS"))</f>
        <v/>
      </c>
      <c r="N1152" s="28">
        <f>IF($G1152="","",IF($D1152="A国内",汇率,1))</f>
        <v/>
      </c>
      <c r="O1152" s="25">
        <f>IF($G1152="","",ROUND(N($K1152)*N($L1152),2))</f>
        <v/>
      </c>
      <c r="P1152" s="26">
        <f>IF($G1152="","",ROUND($O1152*$N1152,0))</f>
        <v/>
      </c>
      <c r="Q1152" s="26">
        <f>IF($G1152="","",SUMIFS($P$4:$P$2503,$E$4:$E$2503,$E1152,$Z$4:$Z$2503,"正常"))</f>
        <v/>
      </c>
      <c r="R1152" s="26">
        <f>IF($G1152="","",SUMIFS(费用台账!$I$4:$I$503,费用台账!$C$4:$C$503,$E1152,费用台账!$J$4:$J$503,"是",费用台账!$K$4:$K$503,"正常"))</f>
        <v/>
      </c>
      <c r="S1152" s="28">
        <f>IF($G1152="","",COUNTIFS($E$4:$E$2503,$E1152,$Z$4:$Z$2503,"正常",$Y$4:$Y$2503,"待补价"))</f>
        <v/>
      </c>
      <c r="T1152" s="26">
        <f>IF($G1152="","",SUMIFS($P$4:$P$2503,$E$4:$E$2503,$E1152,$Z$4:$Z$2503,"正常",$A$4:$A$2503,"&lt;="&amp;$A1152))</f>
        <v/>
      </c>
      <c r="U1152" s="26">
        <f>IF($G1152="","",IF(OR($S1152&gt;0,$Q1152=0,$R1152=0,$Z1152&lt;&gt;"正常"),0,ROUND($T1152/$Q1152*$R1152,0)-ROUND(($T1152-$P1152)/$Q1152*$R1152,0)))</f>
        <v/>
      </c>
      <c r="V1152" s="26">
        <f>IF($G1152="","",ROUND($P1152+$U1152,0))</f>
        <v/>
      </c>
      <c r="W1152" s="26">
        <f>IF($G1152="","",IF(N($K1152)=0,0,ROUND($V1152/$K1152,2)))</f>
        <v/>
      </c>
      <c r="X1152" s="17" t="n"/>
      <c r="Y1152" s="17" t="n"/>
      <c r="Z1152" s="17" t="n"/>
      <c r="AA1152" s="17" t="n"/>
      <c r="AB1152" s="17" t="n"/>
      <c r="AC1152" s="24">
        <f>IF($G1152="","",IF($H1152="※编码不在物料档案里","※物料编码不在档案里",IF(N($K1152)&lt;=0,"※入库数量要大于 0",IF(AND($C1152&lt;&gt;"",$C1152&lt;=结账锁),"※日期早于已结账截止日，不能再录",IF(AND($L1152=0,$X1152="正常"),"※没填单价，价格状态请选「待补价」",IF(AND($S1152&gt;0,$R1152&gt;0),"△本批有 "&amp;$S1152&amp;" 行没单价，整批运费先挂账没摊",IF(AND($B1152&lt;&gt;"",COUNTIF($B$4:$B$2503,$B1152)&gt;1),"※入库单号重复","")))))))</f>
        <v/>
      </c>
    </row>
    <row r="1153">
      <c r="A1153" s="24">
        <f>IF($G1153="","",COUNTA($G$4:$G1153))</f>
        <v/>
      </c>
      <c r="B1153" s="17" t="n"/>
      <c r="C1153" s="30" t="n"/>
      <c r="D1153" s="17" t="n"/>
      <c r="E1153" s="17" t="n"/>
      <c r="F1153" s="17" t="n"/>
      <c r="G1153" s="17" t="n"/>
      <c r="H1153" s="24">
        <f>IF($G1153="","",IFERROR(VLOOKUP($G1153,物料档案!$A$4:$P$1203,3,0),"※编码不在物料档案里"))</f>
        <v/>
      </c>
      <c r="I1153" s="24">
        <f>IF($G1153="","",IFERROR(VLOOKUP($G1153,物料档案!$A$4:$P$1203,4,0),"※编码不在物料档案里"))</f>
        <v/>
      </c>
      <c r="J1153" s="24">
        <f>IF($G1153="","",IFERROR(VLOOKUP($G1153,物料档案!$A$4:$P$1203,5,0),"※编码不在物料档案里"))</f>
        <v/>
      </c>
      <c r="K1153" s="23" t="n"/>
      <c r="L1153" s="31" t="n"/>
      <c r="M1153" s="24">
        <f>IF($G1153="","",IF($D1153="A国内","CNY","TZS"))</f>
        <v/>
      </c>
      <c r="N1153" s="28">
        <f>IF($G1153="","",IF($D1153="A国内",汇率,1))</f>
        <v/>
      </c>
      <c r="O1153" s="25">
        <f>IF($G1153="","",ROUND(N($K1153)*N($L1153),2))</f>
        <v/>
      </c>
      <c r="P1153" s="26">
        <f>IF($G1153="","",ROUND($O1153*$N1153,0))</f>
        <v/>
      </c>
      <c r="Q1153" s="26">
        <f>IF($G1153="","",SUMIFS($P$4:$P$2503,$E$4:$E$2503,$E1153,$Z$4:$Z$2503,"正常"))</f>
        <v/>
      </c>
      <c r="R1153" s="26">
        <f>IF($G1153="","",SUMIFS(费用台账!$I$4:$I$503,费用台账!$C$4:$C$503,$E1153,费用台账!$J$4:$J$503,"是",费用台账!$K$4:$K$503,"正常"))</f>
        <v/>
      </c>
      <c r="S1153" s="28">
        <f>IF($G1153="","",COUNTIFS($E$4:$E$2503,$E1153,$Z$4:$Z$2503,"正常",$Y$4:$Y$2503,"待补价"))</f>
        <v/>
      </c>
      <c r="T1153" s="26">
        <f>IF($G1153="","",SUMIFS($P$4:$P$2503,$E$4:$E$2503,$E1153,$Z$4:$Z$2503,"正常",$A$4:$A$2503,"&lt;="&amp;$A1153))</f>
        <v/>
      </c>
      <c r="U1153" s="26">
        <f>IF($G1153="","",IF(OR($S1153&gt;0,$Q1153=0,$R1153=0,$Z1153&lt;&gt;"正常"),0,ROUND($T1153/$Q1153*$R1153,0)-ROUND(($T1153-$P1153)/$Q1153*$R1153,0)))</f>
        <v/>
      </c>
      <c r="V1153" s="26">
        <f>IF($G1153="","",ROUND($P1153+$U1153,0))</f>
        <v/>
      </c>
      <c r="W1153" s="26">
        <f>IF($G1153="","",IF(N($K1153)=0,0,ROUND($V1153/$K1153,2)))</f>
        <v/>
      </c>
      <c r="X1153" s="17" t="n"/>
      <c r="Y1153" s="17" t="n"/>
      <c r="Z1153" s="17" t="n"/>
      <c r="AA1153" s="17" t="n"/>
      <c r="AB1153" s="17" t="n"/>
      <c r="AC1153" s="24">
        <f>IF($G1153="","",IF($H1153="※编码不在物料档案里","※物料编码不在档案里",IF(N($K1153)&lt;=0,"※入库数量要大于 0",IF(AND($C1153&lt;&gt;"",$C1153&lt;=结账锁),"※日期早于已结账截止日，不能再录",IF(AND($L1153=0,$X1153="正常"),"※没填单价，价格状态请选「待补价」",IF(AND($S1153&gt;0,$R1153&gt;0),"△本批有 "&amp;$S1153&amp;" 行没单价，整批运费先挂账没摊",IF(AND($B1153&lt;&gt;"",COUNTIF($B$4:$B$2503,$B1153)&gt;1),"※入库单号重复","")))))))</f>
        <v/>
      </c>
    </row>
    <row r="1154">
      <c r="A1154" s="24">
        <f>IF($G1154="","",COUNTA($G$4:$G1154))</f>
        <v/>
      </c>
      <c r="B1154" s="17" t="n"/>
      <c r="C1154" s="30" t="n"/>
      <c r="D1154" s="17" t="n"/>
      <c r="E1154" s="17" t="n"/>
      <c r="F1154" s="17" t="n"/>
      <c r="G1154" s="17" t="n"/>
      <c r="H1154" s="24">
        <f>IF($G1154="","",IFERROR(VLOOKUP($G1154,物料档案!$A$4:$P$1203,3,0),"※编码不在物料档案里"))</f>
        <v/>
      </c>
      <c r="I1154" s="24">
        <f>IF($G1154="","",IFERROR(VLOOKUP($G1154,物料档案!$A$4:$P$1203,4,0),"※编码不在物料档案里"))</f>
        <v/>
      </c>
      <c r="J1154" s="24">
        <f>IF($G1154="","",IFERROR(VLOOKUP($G1154,物料档案!$A$4:$P$1203,5,0),"※编码不在物料档案里"))</f>
        <v/>
      </c>
      <c r="K1154" s="23" t="n"/>
      <c r="L1154" s="31" t="n"/>
      <c r="M1154" s="24">
        <f>IF($G1154="","",IF($D1154="A国内","CNY","TZS"))</f>
        <v/>
      </c>
      <c r="N1154" s="28">
        <f>IF($G1154="","",IF($D1154="A国内",汇率,1))</f>
        <v/>
      </c>
      <c r="O1154" s="25">
        <f>IF($G1154="","",ROUND(N($K1154)*N($L1154),2))</f>
        <v/>
      </c>
      <c r="P1154" s="26">
        <f>IF($G1154="","",ROUND($O1154*$N1154,0))</f>
        <v/>
      </c>
      <c r="Q1154" s="26">
        <f>IF($G1154="","",SUMIFS($P$4:$P$2503,$E$4:$E$2503,$E1154,$Z$4:$Z$2503,"正常"))</f>
        <v/>
      </c>
      <c r="R1154" s="26">
        <f>IF($G1154="","",SUMIFS(费用台账!$I$4:$I$503,费用台账!$C$4:$C$503,$E1154,费用台账!$J$4:$J$503,"是",费用台账!$K$4:$K$503,"正常"))</f>
        <v/>
      </c>
      <c r="S1154" s="28">
        <f>IF($G1154="","",COUNTIFS($E$4:$E$2503,$E1154,$Z$4:$Z$2503,"正常",$Y$4:$Y$2503,"待补价"))</f>
        <v/>
      </c>
      <c r="T1154" s="26">
        <f>IF($G1154="","",SUMIFS($P$4:$P$2503,$E$4:$E$2503,$E1154,$Z$4:$Z$2503,"正常",$A$4:$A$2503,"&lt;="&amp;$A1154))</f>
        <v/>
      </c>
      <c r="U1154" s="26">
        <f>IF($G1154="","",IF(OR($S1154&gt;0,$Q1154=0,$R1154=0,$Z1154&lt;&gt;"正常"),0,ROUND($T1154/$Q1154*$R1154,0)-ROUND(($T1154-$P1154)/$Q1154*$R1154,0)))</f>
        <v/>
      </c>
      <c r="V1154" s="26">
        <f>IF($G1154="","",ROUND($P1154+$U1154,0))</f>
        <v/>
      </c>
      <c r="W1154" s="26">
        <f>IF($G1154="","",IF(N($K1154)=0,0,ROUND($V1154/$K1154,2)))</f>
        <v/>
      </c>
      <c r="X1154" s="17" t="n"/>
      <c r="Y1154" s="17" t="n"/>
      <c r="Z1154" s="17" t="n"/>
      <c r="AA1154" s="17" t="n"/>
      <c r="AB1154" s="17" t="n"/>
      <c r="AC1154" s="24">
        <f>IF($G1154="","",IF($H1154="※编码不在物料档案里","※物料编码不在档案里",IF(N($K1154)&lt;=0,"※入库数量要大于 0",IF(AND($C1154&lt;&gt;"",$C1154&lt;=结账锁),"※日期早于已结账截止日，不能再录",IF(AND($L1154=0,$X1154="正常"),"※没填单价，价格状态请选「待补价」",IF(AND($S1154&gt;0,$R1154&gt;0),"△本批有 "&amp;$S1154&amp;" 行没单价，整批运费先挂账没摊",IF(AND($B1154&lt;&gt;"",COUNTIF($B$4:$B$2503,$B1154)&gt;1),"※入库单号重复","")))))))</f>
        <v/>
      </c>
    </row>
    <row r="1155">
      <c r="A1155" s="24">
        <f>IF($G1155="","",COUNTA($G$4:$G1155))</f>
        <v/>
      </c>
      <c r="B1155" s="17" t="n"/>
      <c r="C1155" s="30" t="n"/>
      <c r="D1155" s="17" t="n"/>
      <c r="E1155" s="17" t="n"/>
      <c r="F1155" s="17" t="n"/>
      <c r="G1155" s="17" t="n"/>
      <c r="H1155" s="24">
        <f>IF($G1155="","",IFERROR(VLOOKUP($G1155,物料档案!$A$4:$P$1203,3,0),"※编码不在物料档案里"))</f>
        <v/>
      </c>
      <c r="I1155" s="24">
        <f>IF($G1155="","",IFERROR(VLOOKUP($G1155,物料档案!$A$4:$P$1203,4,0),"※编码不在物料档案里"))</f>
        <v/>
      </c>
      <c r="J1155" s="24">
        <f>IF($G1155="","",IFERROR(VLOOKUP($G1155,物料档案!$A$4:$P$1203,5,0),"※编码不在物料档案里"))</f>
        <v/>
      </c>
      <c r="K1155" s="23" t="n"/>
      <c r="L1155" s="31" t="n"/>
      <c r="M1155" s="24">
        <f>IF($G1155="","",IF($D1155="A国内","CNY","TZS"))</f>
        <v/>
      </c>
      <c r="N1155" s="28">
        <f>IF($G1155="","",IF($D1155="A国内",汇率,1))</f>
        <v/>
      </c>
      <c r="O1155" s="25">
        <f>IF($G1155="","",ROUND(N($K1155)*N($L1155),2))</f>
        <v/>
      </c>
      <c r="P1155" s="26">
        <f>IF($G1155="","",ROUND($O1155*$N1155,0))</f>
        <v/>
      </c>
      <c r="Q1155" s="26">
        <f>IF($G1155="","",SUMIFS($P$4:$P$2503,$E$4:$E$2503,$E1155,$Z$4:$Z$2503,"正常"))</f>
        <v/>
      </c>
      <c r="R1155" s="26">
        <f>IF($G1155="","",SUMIFS(费用台账!$I$4:$I$503,费用台账!$C$4:$C$503,$E1155,费用台账!$J$4:$J$503,"是",费用台账!$K$4:$K$503,"正常"))</f>
        <v/>
      </c>
      <c r="S1155" s="28">
        <f>IF($G1155="","",COUNTIFS($E$4:$E$2503,$E1155,$Z$4:$Z$2503,"正常",$Y$4:$Y$2503,"待补价"))</f>
        <v/>
      </c>
      <c r="T1155" s="26">
        <f>IF($G1155="","",SUMIFS($P$4:$P$2503,$E$4:$E$2503,$E1155,$Z$4:$Z$2503,"正常",$A$4:$A$2503,"&lt;="&amp;$A1155))</f>
        <v/>
      </c>
      <c r="U1155" s="26">
        <f>IF($G1155="","",IF(OR($S1155&gt;0,$Q1155=0,$R1155=0,$Z1155&lt;&gt;"正常"),0,ROUND($T1155/$Q1155*$R1155,0)-ROUND(($T1155-$P1155)/$Q1155*$R1155,0)))</f>
        <v/>
      </c>
      <c r="V1155" s="26">
        <f>IF($G1155="","",ROUND($P1155+$U1155,0))</f>
        <v/>
      </c>
      <c r="W1155" s="26">
        <f>IF($G1155="","",IF(N($K1155)=0,0,ROUND($V1155/$K1155,2)))</f>
        <v/>
      </c>
      <c r="X1155" s="17" t="n"/>
      <c r="Y1155" s="17" t="n"/>
      <c r="Z1155" s="17" t="n"/>
      <c r="AA1155" s="17" t="n"/>
      <c r="AB1155" s="17" t="n"/>
      <c r="AC1155" s="24">
        <f>IF($G1155="","",IF($H1155="※编码不在物料档案里","※物料编码不在档案里",IF(N($K1155)&lt;=0,"※入库数量要大于 0",IF(AND($C1155&lt;&gt;"",$C1155&lt;=结账锁),"※日期早于已结账截止日，不能再录",IF(AND($L1155=0,$X1155="正常"),"※没填单价，价格状态请选「待补价」",IF(AND($S1155&gt;0,$R1155&gt;0),"△本批有 "&amp;$S1155&amp;" 行没单价，整批运费先挂账没摊",IF(AND($B1155&lt;&gt;"",COUNTIF($B$4:$B$2503,$B1155)&gt;1),"※入库单号重复","")))))))</f>
        <v/>
      </c>
    </row>
    <row r="1156">
      <c r="A1156" s="24">
        <f>IF($G1156="","",COUNTA($G$4:$G1156))</f>
        <v/>
      </c>
      <c r="B1156" s="17" t="n"/>
      <c r="C1156" s="30" t="n"/>
      <c r="D1156" s="17" t="n"/>
      <c r="E1156" s="17" t="n"/>
      <c r="F1156" s="17" t="n"/>
      <c r="G1156" s="17" t="n"/>
      <c r="H1156" s="24">
        <f>IF($G1156="","",IFERROR(VLOOKUP($G1156,物料档案!$A$4:$P$1203,3,0),"※编码不在物料档案里"))</f>
        <v/>
      </c>
      <c r="I1156" s="24">
        <f>IF($G1156="","",IFERROR(VLOOKUP($G1156,物料档案!$A$4:$P$1203,4,0),"※编码不在物料档案里"))</f>
        <v/>
      </c>
      <c r="J1156" s="24">
        <f>IF($G1156="","",IFERROR(VLOOKUP($G1156,物料档案!$A$4:$P$1203,5,0),"※编码不在物料档案里"))</f>
        <v/>
      </c>
      <c r="K1156" s="23" t="n"/>
      <c r="L1156" s="31" t="n"/>
      <c r="M1156" s="24">
        <f>IF($G1156="","",IF($D1156="A国内","CNY","TZS"))</f>
        <v/>
      </c>
      <c r="N1156" s="28">
        <f>IF($G1156="","",IF($D1156="A国内",汇率,1))</f>
        <v/>
      </c>
      <c r="O1156" s="25">
        <f>IF($G1156="","",ROUND(N($K1156)*N($L1156),2))</f>
        <v/>
      </c>
      <c r="P1156" s="26">
        <f>IF($G1156="","",ROUND($O1156*$N1156,0))</f>
        <v/>
      </c>
      <c r="Q1156" s="26">
        <f>IF($G1156="","",SUMIFS($P$4:$P$2503,$E$4:$E$2503,$E1156,$Z$4:$Z$2503,"正常"))</f>
        <v/>
      </c>
      <c r="R1156" s="26">
        <f>IF($G1156="","",SUMIFS(费用台账!$I$4:$I$503,费用台账!$C$4:$C$503,$E1156,费用台账!$J$4:$J$503,"是",费用台账!$K$4:$K$503,"正常"))</f>
        <v/>
      </c>
      <c r="S1156" s="28">
        <f>IF($G1156="","",COUNTIFS($E$4:$E$2503,$E1156,$Z$4:$Z$2503,"正常",$Y$4:$Y$2503,"待补价"))</f>
        <v/>
      </c>
      <c r="T1156" s="26">
        <f>IF($G1156="","",SUMIFS($P$4:$P$2503,$E$4:$E$2503,$E1156,$Z$4:$Z$2503,"正常",$A$4:$A$2503,"&lt;="&amp;$A1156))</f>
        <v/>
      </c>
      <c r="U1156" s="26">
        <f>IF($G1156="","",IF(OR($S1156&gt;0,$Q1156=0,$R1156=0,$Z1156&lt;&gt;"正常"),0,ROUND($T1156/$Q1156*$R1156,0)-ROUND(($T1156-$P1156)/$Q1156*$R1156,0)))</f>
        <v/>
      </c>
      <c r="V1156" s="26">
        <f>IF($G1156="","",ROUND($P1156+$U1156,0))</f>
        <v/>
      </c>
      <c r="W1156" s="26">
        <f>IF($G1156="","",IF(N($K1156)=0,0,ROUND($V1156/$K1156,2)))</f>
        <v/>
      </c>
      <c r="X1156" s="17" t="n"/>
      <c r="Y1156" s="17" t="n"/>
      <c r="Z1156" s="17" t="n"/>
      <c r="AA1156" s="17" t="n"/>
      <c r="AB1156" s="17" t="n"/>
      <c r="AC1156" s="24">
        <f>IF($G1156="","",IF($H1156="※编码不在物料档案里","※物料编码不在档案里",IF(N($K1156)&lt;=0,"※入库数量要大于 0",IF(AND($C1156&lt;&gt;"",$C1156&lt;=结账锁),"※日期早于已结账截止日，不能再录",IF(AND($L1156=0,$X1156="正常"),"※没填单价，价格状态请选「待补价」",IF(AND($S1156&gt;0,$R1156&gt;0),"△本批有 "&amp;$S1156&amp;" 行没单价，整批运费先挂账没摊",IF(AND($B1156&lt;&gt;"",COUNTIF($B$4:$B$2503,$B1156)&gt;1),"※入库单号重复","")))))))</f>
        <v/>
      </c>
    </row>
    <row r="1157">
      <c r="A1157" s="24">
        <f>IF($G1157="","",COUNTA($G$4:$G1157))</f>
        <v/>
      </c>
      <c r="B1157" s="17" t="n"/>
      <c r="C1157" s="30" t="n"/>
      <c r="D1157" s="17" t="n"/>
      <c r="E1157" s="17" t="n"/>
      <c r="F1157" s="17" t="n"/>
      <c r="G1157" s="17" t="n"/>
      <c r="H1157" s="24">
        <f>IF($G1157="","",IFERROR(VLOOKUP($G1157,物料档案!$A$4:$P$1203,3,0),"※编码不在物料档案里"))</f>
        <v/>
      </c>
      <c r="I1157" s="24">
        <f>IF($G1157="","",IFERROR(VLOOKUP($G1157,物料档案!$A$4:$P$1203,4,0),"※编码不在物料档案里"))</f>
        <v/>
      </c>
      <c r="J1157" s="24">
        <f>IF($G1157="","",IFERROR(VLOOKUP($G1157,物料档案!$A$4:$P$1203,5,0),"※编码不在物料档案里"))</f>
        <v/>
      </c>
      <c r="K1157" s="23" t="n"/>
      <c r="L1157" s="31" t="n"/>
      <c r="M1157" s="24">
        <f>IF($G1157="","",IF($D1157="A国内","CNY","TZS"))</f>
        <v/>
      </c>
      <c r="N1157" s="28">
        <f>IF($G1157="","",IF($D1157="A国内",汇率,1))</f>
        <v/>
      </c>
      <c r="O1157" s="25">
        <f>IF($G1157="","",ROUND(N($K1157)*N($L1157),2))</f>
        <v/>
      </c>
      <c r="P1157" s="26">
        <f>IF($G1157="","",ROUND($O1157*$N1157,0))</f>
        <v/>
      </c>
      <c r="Q1157" s="26">
        <f>IF($G1157="","",SUMIFS($P$4:$P$2503,$E$4:$E$2503,$E1157,$Z$4:$Z$2503,"正常"))</f>
        <v/>
      </c>
      <c r="R1157" s="26">
        <f>IF($G1157="","",SUMIFS(费用台账!$I$4:$I$503,费用台账!$C$4:$C$503,$E1157,费用台账!$J$4:$J$503,"是",费用台账!$K$4:$K$503,"正常"))</f>
        <v/>
      </c>
      <c r="S1157" s="28">
        <f>IF($G1157="","",COUNTIFS($E$4:$E$2503,$E1157,$Z$4:$Z$2503,"正常",$Y$4:$Y$2503,"待补价"))</f>
        <v/>
      </c>
      <c r="T1157" s="26">
        <f>IF($G1157="","",SUMIFS($P$4:$P$2503,$E$4:$E$2503,$E1157,$Z$4:$Z$2503,"正常",$A$4:$A$2503,"&lt;="&amp;$A1157))</f>
        <v/>
      </c>
      <c r="U1157" s="26">
        <f>IF($G1157="","",IF(OR($S1157&gt;0,$Q1157=0,$R1157=0,$Z1157&lt;&gt;"正常"),0,ROUND($T1157/$Q1157*$R1157,0)-ROUND(($T1157-$P1157)/$Q1157*$R1157,0)))</f>
        <v/>
      </c>
      <c r="V1157" s="26">
        <f>IF($G1157="","",ROUND($P1157+$U1157,0))</f>
        <v/>
      </c>
      <c r="W1157" s="26">
        <f>IF($G1157="","",IF(N($K1157)=0,0,ROUND($V1157/$K1157,2)))</f>
        <v/>
      </c>
      <c r="X1157" s="17" t="n"/>
      <c r="Y1157" s="17" t="n"/>
      <c r="Z1157" s="17" t="n"/>
      <c r="AA1157" s="17" t="n"/>
      <c r="AB1157" s="17" t="n"/>
      <c r="AC1157" s="24">
        <f>IF($G1157="","",IF($H1157="※编码不在物料档案里","※物料编码不在档案里",IF(N($K1157)&lt;=0,"※入库数量要大于 0",IF(AND($C1157&lt;&gt;"",$C1157&lt;=结账锁),"※日期早于已结账截止日，不能再录",IF(AND($L1157=0,$X1157="正常"),"※没填单价，价格状态请选「待补价」",IF(AND($S1157&gt;0,$R1157&gt;0),"△本批有 "&amp;$S1157&amp;" 行没单价，整批运费先挂账没摊",IF(AND($B1157&lt;&gt;"",COUNTIF($B$4:$B$2503,$B1157)&gt;1),"※入库单号重复","")))))))</f>
        <v/>
      </c>
    </row>
    <row r="1158">
      <c r="A1158" s="24">
        <f>IF($G1158="","",COUNTA($G$4:$G1158))</f>
        <v/>
      </c>
      <c r="B1158" s="17" t="n"/>
      <c r="C1158" s="30" t="n"/>
      <c r="D1158" s="17" t="n"/>
      <c r="E1158" s="17" t="n"/>
      <c r="F1158" s="17" t="n"/>
      <c r="G1158" s="17" t="n"/>
      <c r="H1158" s="24">
        <f>IF($G1158="","",IFERROR(VLOOKUP($G1158,物料档案!$A$4:$P$1203,3,0),"※编码不在物料档案里"))</f>
        <v/>
      </c>
      <c r="I1158" s="24">
        <f>IF($G1158="","",IFERROR(VLOOKUP($G1158,物料档案!$A$4:$P$1203,4,0),"※编码不在物料档案里"))</f>
        <v/>
      </c>
      <c r="J1158" s="24">
        <f>IF($G1158="","",IFERROR(VLOOKUP($G1158,物料档案!$A$4:$P$1203,5,0),"※编码不在物料档案里"))</f>
        <v/>
      </c>
      <c r="K1158" s="23" t="n"/>
      <c r="L1158" s="31" t="n"/>
      <c r="M1158" s="24">
        <f>IF($G1158="","",IF($D1158="A国内","CNY","TZS"))</f>
        <v/>
      </c>
      <c r="N1158" s="28">
        <f>IF($G1158="","",IF($D1158="A国内",汇率,1))</f>
        <v/>
      </c>
      <c r="O1158" s="25">
        <f>IF($G1158="","",ROUND(N($K1158)*N($L1158),2))</f>
        <v/>
      </c>
      <c r="P1158" s="26">
        <f>IF($G1158="","",ROUND($O1158*$N1158,0))</f>
        <v/>
      </c>
      <c r="Q1158" s="26">
        <f>IF($G1158="","",SUMIFS($P$4:$P$2503,$E$4:$E$2503,$E1158,$Z$4:$Z$2503,"正常"))</f>
        <v/>
      </c>
      <c r="R1158" s="26">
        <f>IF($G1158="","",SUMIFS(费用台账!$I$4:$I$503,费用台账!$C$4:$C$503,$E1158,费用台账!$J$4:$J$503,"是",费用台账!$K$4:$K$503,"正常"))</f>
        <v/>
      </c>
      <c r="S1158" s="28">
        <f>IF($G1158="","",COUNTIFS($E$4:$E$2503,$E1158,$Z$4:$Z$2503,"正常",$Y$4:$Y$2503,"待补价"))</f>
        <v/>
      </c>
      <c r="T1158" s="26">
        <f>IF($G1158="","",SUMIFS($P$4:$P$2503,$E$4:$E$2503,$E1158,$Z$4:$Z$2503,"正常",$A$4:$A$2503,"&lt;="&amp;$A1158))</f>
        <v/>
      </c>
      <c r="U1158" s="26">
        <f>IF($G1158="","",IF(OR($S1158&gt;0,$Q1158=0,$R1158=0,$Z1158&lt;&gt;"正常"),0,ROUND($T1158/$Q1158*$R1158,0)-ROUND(($T1158-$P1158)/$Q1158*$R1158,0)))</f>
        <v/>
      </c>
      <c r="V1158" s="26">
        <f>IF($G1158="","",ROUND($P1158+$U1158,0))</f>
        <v/>
      </c>
      <c r="W1158" s="26">
        <f>IF($G1158="","",IF(N($K1158)=0,0,ROUND($V1158/$K1158,2)))</f>
        <v/>
      </c>
      <c r="X1158" s="17" t="n"/>
      <c r="Y1158" s="17" t="n"/>
      <c r="Z1158" s="17" t="n"/>
      <c r="AA1158" s="17" t="n"/>
      <c r="AB1158" s="17" t="n"/>
      <c r="AC1158" s="24">
        <f>IF($G1158="","",IF($H1158="※编码不在物料档案里","※物料编码不在档案里",IF(N($K1158)&lt;=0,"※入库数量要大于 0",IF(AND($C1158&lt;&gt;"",$C1158&lt;=结账锁),"※日期早于已结账截止日，不能再录",IF(AND($L1158=0,$X1158="正常"),"※没填单价，价格状态请选「待补价」",IF(AND($S1158&gt;0,$R1158&gt;0),"△本批有 "&amp;$S1158&amp;" 行没单价，整批运费先挂账没摊",IF(AND($B1158&lt;&gt;"",COUNTIF($B$4:$B$2503,$B1158)&gt;1),"※入库单号重复","")))))))</f>
        <v/>
      </c>
    </row>
    <row r="1159">
      <c r="A1159" s="24">
        <f>IF($G1159="","",COUNTA($G$4:$G1159))</f>
        <v/>
      </c>
      <c r="B1159" s="17" t="n"/>
      <c r="C1159" s="30" t="n"/>
      <c r="D1159" s="17" t="n"/>
      <c r="E1159" s="17" t="n"/>
      <c r="F1159" s="17" t="n"/>
      <c r="G1159" s="17" t="n"/>
      <c r="H1159" s="24">
        <f>IF($G1159="","",IFERROR(VLOOKUP($G1159,物料档案!$A$4:$P$1203,3,0),"※编码不在物料档案里"))</f>
        <v/>
      </c>
      <c r="I1159" s="24">
        <f>IF($G1159="","",IFERROR(VLOOKUP($G1159,物料档案!$A$4:$P$1203,4,0),"※编码不在物料档案里"))</f>
        <v/>
      </c>
      <c r="J1159" s="24">
        <f>IF($G1159="","",IFERROR(VLOOKUP($G1159,物料档案!$A$4:$P$1203,5,0),"※编码不在物料档案里"))</f>
        <v/>
      </c>
      <c r="K1159" s="23" t="n"/>
      <c r="L1159" s="31" t="n"/>
      <c r="M1159" s="24">
        <f>IF($G1159="","",IF($D1159="A国内","CNY","TZS"))</f>
        <v/>
      </c>
      <c r="N1159" s="28">
        <f>IF($G1159="","",IF($D1159="A国内",汇率,1))</f>
        <v/>
      </c>
      <c r="O1159" s="25">
        <f>IF($G1159="","",ROUND(N($K1159)*N($L1159),2))</f>
        <v/>
      </c>
      <c r="P1159" s="26">
        <f>IF($G1159="","",ROUND($O1159*$N1159,0))</f>
        <v/>
      </c>
      <c r="Q1159" s="26">
        <f>IF($G1159="","",SUMIFS($P$4:$P$2503,$E$4:$E$2503,$E1159,$Z$4:$Z$2503,"正常"))</f>
        <v/>
      </c>
      <c r="R1159" s="26">
        <f>IF($G1159="","",SUMIFS(费用台账!$I$4:$I$503,费用台账!$C$4:$C$503,$E1159,费用台账!$J$4:$J$503,"是",费用台账!$K$4:$K$503,"正常"))</f>
        <v/>
      </c>
      <c r="S1159" s="28">
        <f>IF($G1159="","",COUNTIFS($E$4:$E$2503,$E1159,$Z$4:$Z$2503,"正常",$Y$4:$Y$2503,"待补价"))</f>
        <v/>
      </c>
      <c r="T1159" s="26">
        <f>IF($G1159="","",SUMIFS($P$4:$P$2503,$E$4:$E$2503,$E1159,$Z$4:$Z$2503,"正常",$A$4:$A$2503,"&lt;="&amp;$A1159))</f>
        <v/>
      </c>
      <c r="U1159" s="26">
        <f>IF($G1159="","",IF(OR($S1159&gt;0,$Q1159=0,$R1159=0,$Z1159&lt;&gt;"正常"),0,ROUND($T1159/$Q1159*$R1159,0)-ROUND(($T1159-$P1159)/$Q1159*$R1159,0)))</f>
        <v/>
      </c>
      <c r="V1159" s="26">
        <f>IF($G1159="","",ROUND($P1159+$U1159,0))</f>
        <v/>
      </c>
      <c r="W1159" s="26">
        <f>IF($G1159="","",IF(N($K1159)=0,0,ROUND($V1159/$K1159,2)))</f>
        <v/>
      </c>
      <c r="X1159" s="17" t="n"/>
      <c r="Y1159" s="17" t="n"/>
      <c r="Z1159" s="17" t="n"/>
      <c r="AA1159" s="17" t="n"/>
      <c r="AB1159" s="17" t="n"/>
      <c r="AC1159" s="24">
        <f>IF($G1159="","",IF($H1159="※编码不在物料档案里","※物料编码不在档案里",IF(N($K1159)&lt;=0,"※入库数量要大于 0",IF(AND($C1159&lt;&gt;"",$C1159&lt;=结账锁),"※日期早于已结账截止日，不能再录",IF(AND($L1159=0,$X1159="正常"),"※没填单价，价格状态请选「待补价」",IF(AND($S1159&gt;0,$R1159&gt;0),"△本批有 "&amp;$S1159&amp;" 行没单价，整批运费先挂账没摊",IF(AND($B1159&lt;&gt;"",COUNTIF($B$4:$B$2503,$B1159)&gt;1),"※入库单号重复","")))))))</f>
        <v/>
      </c>
    </row>
    <row r="1160">
      <c r="A1160" s="24">
        <f>IF($G1160="","",COUNTA($G$4:$G1160))</f>
        <v/>
      </c>
      <c r="B1160" s="17" t="n"/>
      <c r="C1160" s="30" t="n"/>
      <c r="D1160" s="17" t="n"/>
      <c r="E1160" s="17" t="n"/>
      <c r="F1160" s="17" t="n"/>
      <c r="G1160" s="17" t="n"/>
      <c r="H1160" s="24">
        <f>IF($G1160="","",IFERROR(VLOOKUP($G1160,物料档案!$A$4:$P$1203,3,0),"※编码不在物料档案里"))</f>
        <v/>
      </c>
      <c r="I1160" s="24">
        <f>IF($G1160="","",IFERROR(VLOOKUP($G1160,物料档案!$A$4:$P$1203,4,0),"※编码不在物料档案里"))</f>
        <v/>
      </c>
      <c r="J1160" s="24">
        <f>IF($G1160="","",IFERROR(VLOOKUP($G1160,物料档案!$A$4:$P$1203,5,0),"※编码不在物料档案里"))</f>
        <v/>
      </c>
      <c r="K1160" s="23" t="n"/>
      <c r="L1160" s="31" t="n"/>
      <c r="M1160" s="24">
        <f>IF($G1160="","",IF($D1160="A国内","CNY","TZS"))</f>
        <v/>
      </c>
      <c r="N1160" s="28">
        <f>IF($G1160="","",IF($D1160="A国内",汇率,1))</f>
        <v/>
      </c>
      <c r="O1160" s="25">
        <f>IF($G1160="","",ROUND(N($K1160)*N($L1160),2))</f>
        <v/>
      </c>
      <c r="P1160" s="26">
        <f>IF($G1160="","",ROUND($O1160*$N1160,0))</f>
        <v/>
      </c>
      <c r="Q1160" s="26">
        <f>IF($G1160="","",SUMIFS($P$4:$P$2503,$E$4:$E$2503,$E1160,$Z$4:$Z$2503,"正常"))</f>
        <v/>
      </c>
      <c r="R1160" s="26">
        <f>IF($G1160="","",SUMIFS(费用台账!$I$4:$I$503,费用台账!$C$4:$C$503,$E1160,费用台账!$J$4:$J$503,"是",费用台账!$K$4:$K$503,"正常"))</f>
        <v/>
      </c>
      <c r="S1160" s="28">
        <f>IF($G1160="","",COUNTIFS($E$4:$E$2503,$E1160,$Z$4:$Z$2503,"正常",$Y$4:$Y$2503,"待补价"))</f>
        <v/>
      </c>
      <c r="T1160" s="26">
        <f>IF($G1160="","",SUMIFS($P$4:$P$2503,$E$4:$E$2503,$E1160,$Z$4:$Z$2503,"正常",$A$4:$A$2503,"&lt;="&amp;$A1160))</f>
        <v/>
      </c>
      <c r="U1160" s="26">
        <f>IF($G1160="","",IF(OR($S1160&gt;0,$Q1160=0,$R1160=0,$Z1160&lt;&gt;"正常"),0,ROUND($T1160/$Q1160*$R1160,0)-ROUND(($T1160-$P1160)/$Q1160*$R1160,0)))</f>
        <v/>
      </c>
      <c r="V1160" s="26">
        <f>IF($G1160="","",ROUND($P1160+$U1160,0))</f>
        <v/>
      </c>
      <c r="W1160" s="26">
        <f>IF($G1160="","",IF(N($K1160)=0,0,ROUND($V1160/$K1160,2)))</f>
        <v/>
      </c>
      <c r="X1160" s="17" t="n"/>
      <c r="Y1160" s="17" t="n"/>
      <c r="Z1160" s="17" t="n"/>
      <c r="AA1160" s="17" t="n"/>
      <c r="AB1160" s="17" t="n"/>
      <c r="AC1160" s="24">
        <f>IF($G1160="","",IF($H1160="※编码不在物料档案里","※物料编码不在档案里",IF(N($K1160)&lt;=0,"※入库数量要大于 0",IF(AND($C1160&lt;&gt;"",$C1160&lt;=结账锁),"※日期早于已结账截止日，不能再录",IF(AND($L1160=0,$X1160="正常"),"※没填单价，价格状态请选「待补价」",IF(AND($S1160&gt;0,$R1160&gt;0),"△本批有 "&amp;$S1160&amp;" 行没单价，整批运费先挂账没摊",IF(AND($B1160&lt;&gt;"",COUNTIF($B$4:$B$2503,$B1160)&gt;1),"※入库单号重复","")))))))</f>
        <v/>
      </c>
    </row>
    <row r="1161">
      <c r="A1161" s="24">
        <f>IF($G1161="","",COUNTA($G$4:$G1161))</f>
        <v/>
      </c>
      <c r="B1161" s="17" t="n"/>
      <c r="C1161" s="30" t="n"/>
      <c r="D1161" s="17" t="n"/>
      <c r="E1161" s="17" t="n"/>
      <c r="F1161" s="17" t="n"/>
      <c r="G1161" s="17" t="n"/>
      <c r="H1161" s="24">
        <f>IF($G1161="","",IFERROR(VLOOKUP($G1161,物料档案!$A$4:$P$1203,3,0),"※编码不在物料档案里"))</f>
        <v/>
      </c>
      <c r="I1161" s="24">
        <f>IF($G1161="","",IFERROR(VLOOKUP($G1161,物料档案!$A$4:$P$1203,4,0),"※编码不在物料档案里"))</f>
        <v/>
      </c>
      <c r="J1161" s="24">
        <f>IF($G1161="","",IFERROR(VLOOKUP($G1161,物料档案!$A$4:$P$1203,5,0),"※编码不在物料档案里"))</f>
        <v/>
      </c>
      <c r="K1161" s="23" t="n"/>
      <c r="L1161" s="31" t="n"/>
      <c r="M1161" s="24">
        <f>IF($G1161="","",IF($D1161="A国内","CNY","TZS"))</f>
        <v/>
      </c>
      <c r="N1161" s="28">
        <f>IF($G1161="","",IF($D1161="A国内",汇率,1))</f>
        <v/>
      </c>
      <c r="O1161" s="25">
        <f>IF($G1161="","",ROUND(N($K1161)*N($L1161),2))</f>
        <v/>
      </c>
      <c r="P1161" s="26">
        <f>IF($G1161="","",ROUND($O1161*$N1161,0))</f>
        <v/>
      </c>
      <c r="Q1161" s="26">
        <f>IF($G1161="","",SUMIFS($P$4:$P$2503,$E$4:$E$2503,$E1161,$Z$4:$Z$2503,"正常"))</f>
        <v/>
      </c>
      <c r="R1161" s="26">
        <f>IF($G1161="","",SUMIFS(费用台账!$I$4:$I$503,费用台账!$C$4:$C$503,$E1161,费用台账!$J$4:$J$503,"是",费用台账!$K$4:$K$503,"正常"))</f>
        <v/>
      </c>
      <c r="S1161" s="28">
        <f>IF($G1161="","",COUNTIFS($E$4:$E$2503,$E1161,$Z$4:$Z$2503,"正常",$Y$4:$Y$2503,"待补价"))</f>
        <v/>
      </c>
      <c r="T1161" s="26">
        <f>IF($G1161="","",SUMIFS($P$4:$P$2503,$E$4:$E$2503,$E1161,$Z$4:$Z$2503,"正常",$A$4:$A$2503,"&lt;="&amp;$A1161))</f>
        <v/>
      </c>
      <c r="U1161" s="26">
        <f>IF($G1161="","",IF(OR($S1161&gt;0,$Q1161=0,$R1161=0,$Z1161&lt;&gt;"正常"),0,ROUND($T1161/$Q1161*$R1161,0)-ROUND(($T1161-$P1161)/$Q1161*$R1161,0)))</f>
        <v/>
      </c>
      <c r="V1161" s="26">
        <f>IF($G1161="","",ROUND($P1161+$U1161,0))</f>
        <v/>
      </c>
      <c r="W1161" s="26">
        <f>IF($G1161="","",IF(N($K1161)=0,0,ROUND($V1161/$K1161,2)))</f>
        <v/>
      </c>
      <c r="X1161" s="17" t="n"/>
      <c r="Y1161" s="17" t="n"/>
      <c r="Z1161" s="17" t="n"/>
      <c r="AA1161" s="17" t="n"/>
      <c r="AB1161" s="17" t="n"/>
      <c r="AC1161" s="24">
        <f>IF($G1161="","",IF($H1161="※编码不在物料档案里","※物料编码不在档案里",IF(N($K1161)&lt;=0,"※入库数量要大于 0",IF(AND($C1161&lt;&gt;"",$C1161&lt;=结账锁),"※日期早于已结账截止日，不能再录",IF(AND($L1161=0,$X1161="正常"),"※没填单价，价格状态请选「待补价」",IF(AND($S1161&gt;0,$R1161&gt;0),"△本批有 "&amp;$S1161&amp;" 行没单价，整批运费先挂账没摊",IF(AND($B1161&lt;&gt;"",COUNTIF($B$4:$B$2503,$B1161)&gt;1),"※入库单号重复","")))))))</f>
        <v/>
      </c>
    </row>
    <row r="1162">
      <c r="A1162" s="24">
        <f>IF($G1162="","",COUNTA($G$4:$G1162))</f>
        <v/>
      </c>
      <c r="B1162" s="17" t="n"/>
      <c r="C1162" s="30" t="n"/>
      <c r="D1162" s="17" t="n"/>
      <c r="E1162" s="17" t="n"/>
      <c r="F1162" s="17" t="n"/>
      <c r="G1162" s="17" t="n"/>
      <c r="H1162" s="24">
        <f>IF($G1162="","",IFERROR(VLOOKUP($G1162,物料档案!$A$4:$P$1203,3,0),"※编码不在物料档案里"))</f>
        <v/>
      </c>
      <c r="I1162" s="24">
        <f>IF($G1162="","",IFERROR(VLOOKUP($G1162,物料档案!$A$4:$P$1203,4,0),"※编码不在物料档案里"))</f>
        <v/>
      </c>
      <c r="J1162" s="24">
        <f>IF($G1162="","",IFERROR(VLOOKUP($G1162,物料档案!$A$4:$P$1203,5,0),"※编码不在物料档案里"))</f>
        <v/>
      </c>
      <c r="K1162" s="23" t="n"/>
      <c r="L1162" s="31" t="n"/>
      <c r="M1162" s="24">
        <f>IF($G1162="","",IF($D1162="A国内","CNY","TZS"))</f>
        <v/>
      </c>
      <c r="N1162" s="28">
        <f>IF($G1162="","",IF($D1162="A国内",汇率,1))</f>
        <v/>
      </c>
      <c r="O1162" s="25">
        <f>IF($G1162="","",ROUND(N($K1162)*N($L1162),2))</f>
        <v/>
      </c>
      <c r="P1162" s="26">
        <f>IF($G1162="","",ROUND($O1162*$N1162,0))</f>
        <v/>
      </c>
      <c r="Q1162" s="26">
        <f>IF($G1162="","",SUMIFS($P$4:$P$2503,$E$4:$E$2503,$E1162,$Z$4:$Z$2503,"正常"))</f>
        <v/>
      </c>
      <c r="R1162" s="26">
        <f>IF($G1162="","",SUMIFS(费用台账!$I$4:$I$503,费用台账!$C$4:$C$503,$E1162,费用台账!$J$4:$J$503,"是",费用台账!$K$4:$K$503,"正常"))</f>
        <v/>
      </c>
      <c r="S1162" s="28">
        <f>IF($G1162="","",COUNTIFS($E$4:$E$2503,$E1162,$Z$4:$Z$2503,"正常",$Y$4:$Y$2503,"待补价"))</f>
        <v/>
      </c>
      <c r="T1162" s="26">
        <f>IF($G1162="","",SUMIFS($P$4:$P$2503,$E$4:$E$2503,$E1162,$Z$4:$Z$2503,"正常",$A$4:$A$2503,"&lt;="&amp;$A1162))</f>
        <v/>
      </c>
      <c r="U1162" s="26">
        <f>IF($G1162="","",IF(OR($S1162&gt;0,$Q1162=0,$R1162=0,$Z1162&lt;&gt;"正常"),0,ROUND($T1162/$Q1162*$R1162,0)-ROUND(($T1162-$P1162)/$Q1162*$R1162,0)))</f>
        <v/>
      </c>
      <c r="V1162" s="26">
        <f>IF($G1162="","",ROUND($P1162+$U1162,0))</f>
        <v/>
      </c>
      <c r="W1162" s="26">
        <f>IF($G1162="","",IF(N($K1162)=0,0,ROUND($V1162/$K1162,2)))</f>
        <v/>
      </c>
      <c r="X1162" s="17" t="n"/>
      <c r="Y1162" s="17" t="n"/>
      <c r="Z1162" s="17" t="n"/>
      <c r="AA1162" s="17" t="n"/>
      <c r="AB1162" s="17" t="n"/>
      <c r="AC1162" s="24">
        <f>IF($G1162="","",IF($H1162="※编码不在物料档案里","※物料编码不在档案里",IF(N($K1162)&lt;=0,"※入库数量要大于 0",IF(AND($C1162&lt;&gt;"",$C1162&lt;=结账锁),"※日期早于已结账截止日，不能再录",IF(AND($L1162=0,$X1162="正常"),"※没填单价，价格状态请选「待补价」",IF(AND($S1162&gt;0,$R1162&gt;0),"△本批有 "&amp;$S1162&amp;" 行没单价，整批运费先挂账没摊",IF(AND($B1162&lt;&gt;"",COUNTIF($B$4:$B$2503,$B1162)&gt;1),"※入库单号重复","")))))))</f>
        <v/>
      </c>
    </row>
    <row r="1163">
      <c r="A1163" s="24">
        <f>IF($G1163="","",COUNTA($G$4:$G1163))</f>
        <v/>
      </c>
      <c r="B1163" s="17" t="n"/>
      <c r="C1163" s="30" t="n"/>
      <c r="D1163" s="17" t="n"/>
      <c r="E1163" s="17" t="n"/>
      <c r="F1163" s="17" t="n"/>
      <c r="G1163" s="17" t="n"/>
      <c r="H1163" s="24">
        <f>IF($G1163="","",IFERROR(VLOOKUP($G1163,物料档案!$A$4:$P$1203,3,0),"※编码不在物料档案里"))</f>
        <v/>
      </c>
      <c r="I1163" s="24">
        <f>IF($G1163="","",IFERROR(VLOOKUP($G1163,物料档案!$A$4:$P$1203,4,0),"※编码不在物料档案里"))</f>
        <v/>
      </c>
      <c r="J1163" s="24">
        <f>IF($G1163="","",IFERROR(VLOOKUP($G1163,物料档案!$A$4:$P$1203,5,0),"※编码不在物料档案里"))</f>
        <v/>
      </c>
      <c r="K1163" s="23" t="n"/>
      <c r="L1163" s="31" t="n"/>
      <c r="M1163" s="24">
        <f>IF($G1163="","",IF($D1163="A国内","CNY","TZS"))</f>
        <v/>
      </c>
      <c r="N1163" s="28">
        <f>IF($G1163="","",IF($D1163="A国内",汇率,1))</f>
        <v/>
      </c>
      <c r="O1163" s="25">
        <f>IF($G1163="","",ROUND(N($K1163)*N($L1163),2))</f>
        <v/>
      </c>
      <c r="P1163" s="26">
        <f>IF($G1163="","",ROUND($O1163*$N1163,0))</f>
        <v/>
      </c>
      <c r="Q1163" s="26">
        <f>IF($G1163="","",SUMIFS($P$4:$P$2503,$E$4:$E$2503,$E1163,$Z$4:$Z$2503,"正常"))</f>
        <v/>
      </c>
      <c r="R1163" s="26">
        <f>IF($G1163="","",SUMIFS(费用台账!$I$4:$I$503,费用台账!$C$4:$C$503,$E1163,费用台账!$J$4:$J$503,"是",费用台账!$K$4:$K$503,"正常"))</f>
        <v/>
      </c>
      <c r="S1163" s="28">
        <f>IF($G1163="","",COUNTIFS($E$4:$E$2503,$E1163,$Z$4:$Z$2503,"正常",$Y$4:$Y$2503,"待补价"))</f>
        <v/>
      </c>
      <c r="T1163" s="26">
        <f>IF($G1163="","",SUMIFS($P$4:$P$2503,$E$4:$E$2503,$E1163,$Z$4:$Z$2503,"正常",$A$4:$A$2503,"&lt;="&amp;$A1163))</f>
        <v/>
      </c>
      <c r="U1163" s="26">
        <f>IF($G1163="","",IF(OR($S1163&gt;0,$Q1163=0,$R1163=0,$Z1163&lt;&gt;"正常"),0,ROUND($T1163/$Q1163*$R1163,0)-ROUND(($T1163-$P1163)/$Q1163*$R1163,0)))</f>
        <v/>
      </c>
      <c r="V1163" s="26">
        <f>IF($G1163="","",ROUND($P1163+$U1163,0))</f>
        <v/>
      </c>
      <c r="W1163" s="26">
        <f>IF($G1163="","",IF(N($K1163)=0,0,ROUND($V1163/$K1163,2)))</f>
        <v/>
      </c>
      <c r="X1163" s="17" t="n"/>
      <c r="Y1163" s="17" t="n"/>
      <c r="Z1163" s="17" t="n"/>
      <c r="AA1163" s="17" t="n"/>
      <c r="AB1163" s="17" t="n"/>
      <c r="AC1163" s="24">
        <f>IF($G1163="","",IF($H1163="※编码不在物料档案里","※物料编码不在档案里",IF(N($K1163)&lt;=0,"※入库数量要大于 0",IF(AND($C1163&lt;&gt;"",$C1163&lt;=结账锁),"※日期早于已结账截止日，不能再录",IF(AND($L1163=0,$X1163="正常"),"※没填单价，价格状态请选「待补价」",IF(AND($S1163&gt;0,$R1163&gt;0),"△本批有 "&amp;$S1163&amp;" 行没单价，整批运费先挂账没摊",IF(AND($B1163&lt;&gt;"",COUNTIF($B$4:$B$2503,$B1163)&gt;1),"※入库单号重复","")))))))</f>
        <v/>
      </c>
    </row>
    <row r="1164">
      <c r="A1164" s="24">
        <f>IF($G1164="","",COUNTA($G$4:$G1164))</f>
        <v/>
      </c>
      <c r="B1164" s="17" t="n"/>
      <c r="C1164" s="30" t="n"/>
      <c r="D1164" s="17" t="n"/>
      <c r="E1164" s="17" t="n"/>
      <c r="F1164" s="17" t="n"/>
      <c r="G1164" s="17" t="n"/>
      <c r="H1164" s="24">
        <f>IF($G1164="","",IFERROR(VLOOKUP($G1164,物料档案!$A$4:$P$1203,3,0),"※编码不在物料档案里"))</f>
        <v/>
      </c>
      <c r="I1164" s="24">
        <f>IF($G1164="","",IFERROR(VLOOKUP($G1164,物料档案!$A$4:$P$1203,4,0),"※编码不在物料档案里"))</f>
        <v/>
      </c>
      <c r="J1164" s="24">
        <f>IF($G1164="","",IFERROR(VLOOKUP($G1164,物料档案!$A$4:$P$1203,5,0),"※编码不在物料档案里"))</f>
        <v/>
      </c>
      <c r="K1164" s="23" t="n"/>
      <c r="L1164" s="31" t="n"/>
      <c r="M1164" s="24">
        <f>IF($G1164="","",IF($D1164="A国内","CNY","TZS"))</f>
        <v/>
      </c>
      <c r="N1164" s="28">
        <f>IF($G1164="","",IF($D1164="A国内",汇率,1))</f>
        <v/>
      </c>
      <c r="O1164" s="25">
        <f>IF($G1164="","",ROUND(N($K1164)*N($L1164),2))</f>
        <v/>
      </c>
      <c r="P1164" s="26">
        <f>IF($G1164="","",ROUND($O1164*$N1164,0))</f>
        <v/>
      </c>
      <c r="Q1164" s="26">
        <f>IF($G1164="","",SUMIFS($P$4:$P$2503,$E$4:$E$2503,$E1164,$Z$4:$Z$2503,"正常"))</f>
        <v/>
      </c>
      <c r="R1164" s="26">
        <f>IF($G1164="","",SUMIFS(费用台账!$I$4:$I$503,费用台账!$C$4:$C$503,$E1164,费用台账!$J$4:$J$503,"是",费用台账!$K$4:$K$503,"正常"))</f>
        <v/>
      </c>
      <c r="S1164" s="28">
        <f>IF($G1164="","",COUNTIFS($E$4:$E$2503,$E1164,$Z$4:$Z$2503,"正常",$Y$4:$Y$2503,"待补价"))</f>
        <v/>
      </c>
      <c r="T1164" s="26">
        <f>IF($G1164="","",SUMIFS($P$4:$P$2503,$E$4:$E$2503,$E1164,$Z$4:$Z$2503,"正常",$A$4:$A$2503,"&lt;="&amp;$A1164))</f>
        <v/>
      </c>
      <c r="U1164" s="26">
        <f>IF($G1164="","",IF(OR($S1164&gt;0,$Q1164=0,$R1164=0,$Z1164&lt;&gt;"正常"),0,ROUND($T1164/$Q1164*$R1164,0)-ROUND(($T1164-$P1164)/$Q1164*$R1164,0)))</f>
        <v/>
      </c>
      <c r="V1164" s="26">
        <f>IF($G1164="","",ROUND($P1164+$U1164,0))</f>
        <v/>
      </c>
      <c r="W1164" s="26">
        <f>IF($G1164="","",IF(N($K1164)=0,0,ROUND($V1164/$K1164,2)))</f>
        <v/>
      </c>
      <c r="X1164" s="17" t="n"/>
      <c r="Y1164" s="17" t="n"/>
      <c r="Z1164" s="17" t="n"/>
      <c r="AA1164" s="17" t="n"/>
      <c r="AB1164" s="17" t="n"/>
      <c r="AC1164" s="24">
        <f>IF($G1164="","",IF($H1164="※编码不在物料档案里","※物料编码不在档案里",IF(N($K1164)&lt;=0,"※入库数量要大于 0",IF(AND($C1164&lt;&gt;"",$C1164&lt;=结账锁),"※日期早于已结账截止日，不能再录",IF(AND($L1164=0,$X1164="正常"),"※没填单价，价格状态请选「待补价」",IF(AND($S1164&gt;0,$R1164&gt;0),"△本批有 "&amp;$S1164&amp;" 行没单价，整批运费先挂账没摊",IF(AND($B1164&lt;&gt;"",COUNTIF($B$4:$B$2503,$B1164)&gt;1),"※入库单号重复","")))))))</f>
        <v/>
      </c>
    </row>
    <row r="1165">
      <c r="A1165" s="24">
        <f>IF($G1165="","",COUNTA($G$4:$G1165))</f>
        <v/>
      </c>
      <c r="B1165" s="17" t="n"/>
      <c r="C1165" s="30" t="n"/>
      <c r="D1165" s="17" t="n"/>
      <c r="E1165" s="17" t="n"/>
      <c r="F1165" s="17" t="n"/>
      <c r="G1165" s="17" t="n"/>
      <c r="H1165" s="24">
        <f>IF($G1165="","",IFERROR(VLOOKUP($G1165,物料档案!$A$4:$P$1203,3,0),"※编码不在物料档案里"))</f>
        <v/>
      </c>
      <c r="I1165" s="24">
        <f>IF($G1165="","",IFERROR(VLOOKUP($G1165,物料档案!$A$4:$P$1203,4,0),"※编码不在物料档案里"))</f>
        <v/>
      </c>
      <c r="J1165" s="24">
        <f>IF($G1165="","",IFERROR(VLOOKUP($G1165,物料档案!$A$4:$P$1203,5,0),"※编码不在物料档案里"))</f>
        <v/>
      </c>
      <c r="K1165" s="23" t="n"/>
      <c r="L1165" s="31" t="n"/>
      <c r="M1165" s="24">
        <f>IF($G1165="","",IF($D1165="A国内","CNY","TZS"))</f>
        <v/>
      </c>
      <c r="N1165" s="28">
        <f>IF($G1165="","",IF($D1165="A国内",汇率,1))</f>
        <v/>
      </c>
      <c r="O1165" s="25">
        <f>IF($G1165="","",ROUND(N($K1165)*N($L1165),2))</f>
        <v/>
      </c>
      <c r="P1165" s="26">
        <f>IF($G1165="","",ROUND($O1165*$N1165,0))</f>
        <v/>
      </c>
      <c r="Q1165" s="26">
        <f>IF($G1165="","",SUMIFS($P$4:$P$2503,$E$4:$E$2503,$E1165,$Z$4:$Z$2503,"正常"))</f>
        <v/>
      </c>
      <c r="R1165" s="26">
        <f>IF($G1165="","",SUMIFS(费用台账!$I$4:$I$503,费用台账!$C$4:$C$503,$E1165,费用台账!$J$4:$J$503,"是",费用台账!$K$4:$K$503,"正常"))</f>
        <v/>
      </c>
      <c r="S1165" s="28">
        <f>IF($G1165="","",COUNTIFS($E$4:$E$2503,$E1165,$Z$4:$Z$2503,"正常",$Y$4:$Y$2503,"待补价"))</f>
        <v/>
      </c>
      <c r="T1165" s="26">
        <f>IF($G1165="","",SUMIFS($P$4:$P$2503,$E$4:$E$2503,$E1165,$Z$4:$Z$2503,"正常",$A$4:$A$2503,"&lt;="&amp;$A1165))</f>
        <v/>
      </c>
      <c r="U1165" s="26">
        <f>IF($G1165="","",IF(OR($S1165&gt;0,$Q1165=0,$R1165=0,$Z1165&lt;&gt;"正常"),0,ROUND($T1165/$Q1165*$R1165,0)-ROUND(($T1165-$P1165)/$Q1165*$R1165,0)))</f>
        <v/>
      </c>
      <c r="V1165" s="26">
        <f>IF($G1165="","",ROUND($P1165+$U1165,0))</f>
        <v/>
      </c>
      <c r="W1165" s="26">
        <f>IF($G1165="","",IF(N($K1165)=0,0,ROUND($V1165/$K1165,2)))</f>
        <v/>
      </c>
      <c r="X1165" s="17" t="n"/>
      <c r="Y1165" s="17" t="n"/>
      <c r="Z1165" s="17" t="n"/>
      <c r="AA1165" s="17" t="n"/>
      <c r="AB1165" s="17" t="n"/>
      <c r="AC1165" s="24">
        <f>IF($G1165="","",IF($H1165="※编码不在物料档案里","※物料编码不在档案里",IF(N($K1165)&lt;=0,"※入库数量要大于 0",IF(AND($C1165&lt;&gt;"",$C1165&lt;=结账锁),"※日期早于已结账截止日，不能再录",IF(AND($L1165=0,$X1165="正常"),"※没填单价，价格状态请选「待补价」",IF(AND($S1165&gt;0,$R1165&gt;0),"△本批有 "&amp;$S1165&amp;" 行没单价，整批运费先挂账没摊",IF(AND($B1165&lt;&gt;"",COUNTIF($B$4:$B$2503,$B1165)&gt;1),"※入库单号重复","")))))))</f>
        <v/>
      </c>
    </row>
    <row r="1166">
      <c r="A1166" s="24">
        <f>IF($G1166="","",COUNTA($G$4:$G1166))</f>
        <v/>
      </c>
      <c r="B1166" s="17" t="n"/>
      <c r="C1166" s="30" t="n"/>
      <c r="D1166" s="17" t="n"/>
      <c r="E1166" s="17" t="n"/>
      <c r="F1166" s="17" t="n"/>
      <c r="G1166" s="17" t="n"/>
      <c r="H1166" s="24">
        <f>IF($G1166="","",IFERROR(VLOOKUP($G1166,物料档案!$A$4:$P$1203,3,0),"※编码不在物料档案里"))</f>
        <v/>
      </c>
      <c r="I1166" s="24">
        <f>IF($G1166="","",IFERROR(VLOOKUP($G1166,物料档案!$A$4:$P$1203,4,0),"※编码不在物料档案里"))</f>
        <v/>
      </c>
      <c r="J1166" s="24">
        <f>IF($G1166="","",IFERROR(VLOOKUP($G1166,物料档案!$A$4:$P$1203,5,0),"※编码不在物料档案里"))</f>
        <v/>
      </c>
      <c r="K1166" s="23" t="n"/>
      <c r="L1166" s="31" t="n"/>
      <c r="M1166" s="24">
        <f>IF($G1166="","",IF($D1166="A国内","CNY","TZS"))</f>
        <v/>
      </c>
      <c r="N1166" s="28">
        <f>IF($G1166="","",IF($D1166="A国内",汇率,1))</f>
        <v/>
      </c>
      <c r="O1166" s="25">
        <f>IF($G1166="","",ROUND(N($K1166)*N($L1166),2))</f>
        <v/>
      </c>
      <c r="P1166" s="26">
        <f>IF($G1166="","",ROUND($O1166*$N1166,0))</f>
        <v/>
      </c>
      <c r="Q1166" s="26">
        <f>IF($G1166="","",SUMIFS($P$4:$P$2503,$E$4:$E$2503,$E1166,$Z$4:$Z$2503,"正常"))</f>
        <v/>
      </c>
      <c r="R1166" s="26">
        <f>IF($G1166="","",SUMIFS(费用台账!$I$4:$I$503,费用台账!$C$4:$C$503,$E1166,费用台账!$J$4:$J$503,"是",费用台账!$K$4:$K$503,"正常"))</f>
        <v/>
      </c>
      <c r="S1166" s="28">
        <f>IF($G1166="","",COUNTIFS($E$4:$E$2503,$E1166,$Z$4:$Z$2503,"正常",$Y$4:$Y$2503,"待补价"))</f>
        <v/>
      </c>
      <c r="T1166" s="26">
        <f>IF($G1166="","",SUMIFS($P$4:$P$2503,$E$4:$E$2503,$E1166,$Z$4:$Z$2503,"正常",$A$4:$A$2503,"&lt;="&amp;$A1166))</f>
        <v/>
      </c>
      <c r="U1166" s="26">
        <f>IF($G1166="","",IF(OR($S1166&gt;0,$Q1166=0,$R1166=0,$Z1166&lt;&gt;"正常"),0,ROUND($T1166/$Q1166*$R1166,0)-ROUND(($T1166-$P1166)/$Q1166*$R1166,0)))</f>
        <v/>
      </c>
      <c r="V1166" s="26">
        <f>IF($G1166="","",ROUND($P1166+$U1166,0))</f>
        <v/>
      </c>
      <c r="W1166" s="26">
        <f>IF($G1166="","",IF(N($K1166)=0,0,ROUND($V1166/$K1166,2)))</f>
        <v/>
      </c>
      <c r="X1166" s="17" t="n"/>
      <c r="Y1166" s="17" t="n"/>
      <c r="Z1166" s="17" t="n"/>
      <c r="AA1166" s="17" t="n"/>
      <c r="AB1166" s="17" t="n"/>
      <c r="AC1166" s="24">
        <f>IF($G1166="","",IF($H1166="※编码不在物料档案里","※物料编码不在档案里",IF(N($K1166)&lt;=0,"※入库数量要大于 0",IF(AND($C1166&lt;&gt;"",$C1166&lt;=结账锁),"※日期早于已结账截止日，不能再录",IF(AND($L1166=0,$X1166="正常"),"※没填单价，价格状态请选「待补价」",IF(AND($S1166&gt;0,$R1166&gt;0),"△本批有 "&amp;$S1166&amp;" 行没单价，整批运费先挂账没摊",IF(AND($B1166&lt;&gt;"",COUNTIF($B$4:$B$2503,$B1166)&gt;1),"※入库单号重复","")))))))</f>
        <v/>
      </c>
    </row>
    <row r="1167">
      <c r="A1167" s="24">
        <f>IF($G1167="","",COUNTA($G$4:$G1167))</f>
        <v/>
      </c>
      <c r="B1167" s="17" t="n"/>
      <c r="C1167" s="30" t="n"/>
      <c r="D1167" s="17" t="n"/>
      <c r="E1167" s="17" t="n"/>
      <c r="F1167" s="17" t="n"/>
      <c r="G1167" s="17" t="n"/>
      <c r="H1167" s="24">
        <f>IF($G1167="","",IFERROR(VLOOKUP($G1167,物料档案!$A$4:$P$1203,3,0),"※编码不在物料档案里"))</f>
        <v/>
      </c>
      <c r="I1167" s="24">
        <f>IF($G1167="","",IFERROR(VLOOKUP($G1167,物料档案!$A$4:$P$1203,4,0),"※编码不在物料档案里"))</f>
        <v/>
      </c>
      <c r="J1167" s="24">
        <f>IF($G1167="","",IFERROR(VLOOKUP($G1167,物料档案!$A$4:$P$1203,5,0),"※编码不在物料档案里"))</f>
        <v/>
      </c>
      <c r="K1167" s="23" t="n"/>
      <c r="L1167" s="31" t="n"/>
      <c r="M1167" s="24">
        <f>IF($G1167="","",IF($D1167="A国内","CNY","TZS"))</f>
        <v/>
      </c>
      <c r="N1167" s="28">
        <f>IF($G1167="","",IF($D1167="A国内",汇率,1))</f>
        <v/>
      </c>
      <c r="O1167" s="25">
        <f>IF($G1167="","",ROUND(N($K1167)*N($L1167),2))</f>
        <v/>
      </c>
      <c r="P1167" s="26">
        <f>IF($G1167="","",ROUND($O1167*$N1167,0))</f>
        <v/>
      </c>
      <c r="Q1167" s="26">
        <f>IF($G1167="","",SUMIFS($P$4:$P$2503,$E$4:$E$2503,$E1167,$Z$4:$Z$2503,"正常"))</f>
        <v/>
      </c>
      <c r="R1167" s="26">
        <f>IF($G1167="","",SUMIFS(费用台账!$I$4:$I$503,费用台账!$C$4:$C$503,$E1167,费用台账!$J$4:$J$503,"是",费用台账!$K$4:$K$503,"正常"))</f>
        <v/>
      </c>
      <c r="S1167" s="28">
        <f>IF($G1167="","",COUNTIFS($E$4:$E$2503,$E1167,$Z$4:$Z$2503,"正常",$Y$4:$Y$2503,"待补价"))</f>
        <v/>
      </c>
      <c r="T1167" s="26">
        <f>IF($G1167="","",SUMIFS($P$4:$P$2503,$E$4:$E$2503,$E1167,$Z$4:$Z$2503,"正常",$A$4:$A$2503,"&lt;="&amp;$A1167))</f>
        <v/>
      </c>
      <c r="U1167" s="26">
        <f>IF($G1167="","",IF(OR($S1167&gt;0,$Q1167=0,$R1167=0,$Z1167&lt;&gt;"正常"),0,ROUND($T1167/$Q1167*$R1167,0)-ROUND(($T1167-$P1167)/$Q1167*$R1167,0)))</f>
        <v/>
      </c>
      <c r="V1167" s="26">
        <f>IF($G1167="","",ROUND($P1167+$U1167,0))</f>
        <v/>
      </c>
      <c r="W1167" s="26">
        <f>IF($G1167="","",IF(N($K1167)=0,0,ROUND($V1167/$K1167,2)))</f>
        <v/>
      </c>
      <c r="X1167" s="17" t="n"/>
      <c r="Y1167" s="17" t="n"/>
      <c r="Z1167" s="17" t="n"/>
      <c r="AA1167" s="17" t="n"/>
      <c r="AB1167" s="17" t="n"/>
      <c r="AC1167" s="24">
        <f>IF($G1167="","",IF($H1167="※编码不在物料档案里","※物料编码不在档案里",IF(N($K1167)&lt;=0,"※入库数量要大于 0",IF(AND($C1167&lt;&gt;"",$C1167&lt;=结账锁),"※日期早于已结账截止日，不能再录",IF(AND($L1167=0,$X1167="正常"),"※没填单价，价格状态请选「待补价」",IF(AND($S1167&gt;0,$R1167&gt;0),"△本批有 "&amp;$S1167&amp;" 行没单价，整批运费先挂账没摊",IF(AND($B1167&lt;&gt;"",COUNTIF($B$4:$B$2503,$B1167)&gt;1),"※入库单号重复","")))))))</f>
        <v/>
      </c>
    </row>
    <row r="1168">
      <c r="A1168" s="24">
        <f>IF($G1168="","",COUNTA($G$4:$G1168))</f>
        <v/>
      </c>
      <c r="B1168" s="17" t="n"/>
      <c r="C1168" s="30" t="n"/>
      <c r="D1168" s="17" t="n"/>
      <c r="E1168" s="17" t="n"/>
      <c r="F1168" s="17" t="n"/>
      <c r="G1168" s="17" t="n"/>
      <c r="H1168" s="24">
        <f>IF($G1168="","",IFERROR(VLOOKUP($G1168,物料档案!$A$4:$P$1203,3,0),"※编码不在物料档案里"))</f>
        <v/>
      </c>
      <c r="I1168" s="24">
        <f>IF($G1168="","",IFERROR(VLOOKUP($G1168,物料档案!$A$4:$P$1203,4,0),"※编码不在物料档案里"))</f>
        <v/>
      </c>
      <c r="J1168" s="24">
        <f>IF($G1168="","",IFERROR(VLOOKUP($G1168,物料档案!$A$4:$P$1203,5,0),"※编码不在物料档案里"))</f>
        <v/>
      </c>
      <c r="K1168" s="23" t="n"/>
      <c r="L1168" s="31" t="n"/>
      <c r="M1168" s="24">
        <f>IF($G1168="","",IF($D1168="A国内","CNY","TZS"))</f>
        <v/>
      </c>
      <c r="N1168" s="28">
        <f>IF($G1168="","",IF($D1168="A国内",汇率,1))</f>
        <v/>
      </c>
      <c r="O1168" s="25">
        <f>IF($G1168="","",ROUND(N($K1168)*N($L1168),2))</f>
        <v/>
      </c>
      <c r="P1168" s="26">
        <f>IF($G1168="","",ROUND($O1168*$N1168,0))</f>
        <v/>
      </c>
      <c r="Q1168" s="26">
        <f>IF($G1168="","",SUMIFS($P$4:$P$2503,$E$4:$E$2503,$E1168,$Z$4:$Z$2503,"正常"))</f>
        <v/>
      </c>
      <c r="R1168" s="26">
        <f>IF($G1168="","",SUMIFS(费用台账!$I$4:$I$503,费用台账!$C$4:$C$503,$E1168,费用台账!$J$4:$J$503,"是",费用台账!$K$4:$K$503,"正常"))</f>
        <v/>
      </c>
      <c r="S1168" s="28">
        <f>IF($G1168="","",COUNTIFS($E$4:$E$2503,$E1168,$Z$4:$Z$2503,"正常",$Y$4:$Y$2503,"待补价"))</f>
        <v/>
      </c>
      <c r="T1168" s="26">
        <f>IF($G1168="","",SUMIFS($P$4:$P$2503,$E$4:$E$2503,$E1168,$Z$4:$Z$2503,"正常",$A$4:$A$2503,"&lt;="&amp;$A1168))</f>
        <v/>
      </c>
      <c r="U1168" s="26">
        <f>IF($G1168="","",IF(OR($S1168&gt;0,$Q1168=0,$R1168=0,$Z1168&lt;&gt;"正常"),0,ROUND($T1168/$Q1168*$R1168,0)-ROUND(($T1168-$P1168)/$Q1168*$R1168,0)))</f>
        <v/>
      </c>
      <c r="V1168" s="26">
        <f>IF($G1168="","",ROUND($P1168+$U1168,0))</f>
        <v/>
      </c>
      <c r="W1168" s="26">
        <f>IF($G1168="","",IF(N($K1168)=0,0,ROUND($V1168/$K1168,2)))</f>
        <v/>
      </c>
      <c r="X1168" s="17" t="n"/>
      <c r="Y1168" s="17" t="n"/>
      <c r="Z1168" s="17" t="n"/>
      <c r="AA1168" s="17" t="n"/>
      <c r="AB1168" s="17" t="n"/>
      <c r="AC1168" s="24">
        <f>IF($G1168="","",IF($H1168="※编码不在物料档案里","※物料编码不在档案里",IF(N($K1168)&lt;=0,"※入库数量要大于 0",IF(AND($C1168&lt;&gt;"",$C1168&lt;=结账锁),"※日期早于已结账截止日，不能再录",IF(AND($L1168=0,$X1168="正常"),"※没填单价，价格状态请选「待补价」",IF(AND($S1168&gt;0,$R1168&gt;0),"△本批有 "&amp;$S1168&amp;" 行没单价，整批运费先挂账没摊",IF(AND($B1168&lt;&gt;"",COUNTIF($B$4:$B$2503,$B1168)&gt;1),"※入库单号重复","")))))))</f>
        <v/>
      </c>
    </row>
    <row r="1169">
      <c r="A1169" s="24">
        <f>IF($G1169="","",COUNTA($G$4:$G1169))</f>
        <v/>
      </c>
      <c r="B1169" s="17" t="n"/>
      <c r="C1169" s="30" t="n"/>
      <c r="D1169" s="17" t="n"/>
      <c r="E1169" s="17" t="n"/>
      <c r="F1169" s="17" t="n"/>
      <c r="G1169" s="17" t="n"/>
      <c r="H1169" s="24">
        <f>IF($G1169="","",IFERROR(VLOOKUP($G1169,物料档案!$A$4:$P$1203,3,0),"※编码不在物料档案里"))</f>
        <v/>
      </c>
      <c r="I1169" s="24">
        <f>IF($G1169="","",IFERROR(VLOOKUP($G1169,物料档案!$A$4:$P$1203,4,0),"※编码不在物料档案里"))</f>
        <v/>
      </c>
      <c r="J1169" s="24">
        <f>IF($G1169="","",IFERROR(VLOOKUP($G1169,物料档案!$A$4:$P$1203,5,0),"※编码不在物料档案里"))</f>
        <v/>
      </c>
      <c r="K1169" s="23" t="n"/>
      <c r="L1169" s="31" t="n"/>
      <c r="M1169" s="24">
        <f>IF($G1169="","",IF($D1169="A国内","CNY","TZS"))</f>
        <v/>
      </c>
      <c r="N1169" s="28">
        <f>IF($G1169="","",IF($D1169="A国内",汇率,1))</f>
        <v/>
      </c>
      <c r="O1169" s="25">
        <f>IF($G1169="","",ROUND(N($K1169)*N($L1169),2))</f>
        <v/>
      </c>
      <c r="P1169" s="26">
        <f>IF($G1169="","",ROUND($O1169*$N1169,0))</f>
        <v/>
      </c>
      <c r="Q1169" s="26">
        <f>IF($G1169="","",SUMIFS($P$4:$P$2503,$E$4:$E$2503,$E1169,$Z$4:$Z$2503,"正常"))</f>
        <v/>
      </c>
      <c r="R1169" s="26">
        <f>IF($G1169="","",SUMIFS(费用台账!$I$4:$I$503,费用台账!$C$4:$C$503,$E1169,费用台账!$J$4:$J$503,"是",费用台账!$K$4:$K$503,"正常"))</f>
        <v/>
      </c>
      <c r="S1169" s="28">
        <f>IF($G1169="","",COUNTIFS($E$4:$E$2503,$E1169,$Z$4:$Z$2503,"正常",$Y$4:$Y$2503,"待补价"))</f>
        <v/>
      </c>
      <c r="T1169" s="26">
        <f>IF($G1169="","",SUMIFS($P$4:$P$2503,$E$4:$E$2503,$E1169,$Z$4:$Z$2503,"正常",$A$4:$A$2503,"&lt;="&amp;$A1169))</f>
        <v/>
      </c>
      <c r="U1169" s="26">
        <f>IF($G1169="","",IF(OR($S1169&gt;0,$Q1169=0,$R1169=0,$Z1169&lt;&gt;"正常"),0,ROUND($T1169/$Q1169*$R1169,0)-ROUND(($T1169-$P1169)/$Q1169*$R1169,0)))</f>
        <v/>
      </c>
      <c r="V1169" s="26">
        <f>IF($G1169="","",ROUND($P1169+$U1169,0))</f>
        <v/>
      </c>
      <c r="W1169" s="26">
        <f>IF($G1169="","",IF(N($K1169)=0,0,ROUND($V1169/$K1169,2)))</f>
        <v/>
      </c>
      <c r="X1169" s="17" t="n"/>
      <c r="Y1169" s="17" t="n"/>
      <c r="Z1169" s="17" t="n"/>
      <c r="AA1169" s="17" t="n"/>
      <c r="AB1169" s="17" t="n"/>
      <c r="AC1169" s="24">
        <f>IF($G1169="","",IF($H1169="※编码不在物料档案里","※物料编码不在档案里",IF(N($K1169)&lt;=0,"※入库数量要大于 0",IF(AND($C1169&lt;&gt;"",$C1169&lt;=结账锁),"※日期早于已结账截止日，不能再录",IF(AND($L1169=0,$X1169="正常"),"※没填单价，价格状态请选「待补价」",IF(AND($S1169&gt;0,$R1169&gt;0),"△本批有 "&amp;$S1169&amp;" 行没单价，整批运费先挂账没摊",IF(AND($B1169&lt;&gt;"",COUNTIF($B$4:$B$2503,$B1169)&gt;1),"※入库单号重复","")))))))</f>
        <v/>
      </c>
    </row>
    <row r="1170">
      <c r="A1170" s="24">
        <f>IF($G1170="","",COUNTA($G$4:$G1170))</f>
        <v/>
      </c>
      <c r="B1170" s="17" t="n"/>
      <c r="C1170" s="30" t="n"/>
      <c r="D1170" s="17" t="n"/>
      <c r="E1170" s="17" t="n"/>
      <c r="F1170" s="17" t="n"/>
      <c r="G1170" s="17" t="n"/>
      <c r="H1170" s="24">
        <f>IF($G1170="","",IFERROR(VLOOKUP($G1170,物料档案!$A$4:$P$1203,3,0),"※编码不在物料档案里"))</f>
        <v/>
      </c>
      <c r="I1170" s="24">
        <f>IF($G1170="","",IFERROR(VLOOKUP($G1170,物料档案!$A$4:$P$1203,4,0),"※编码不在物料档案里"))</f>
        <v/>
      </c>
      <c r="J1170" s="24">
        <f>IF($G1170="","",IFERROR(VLOOKUP($G1170,物料档案!$A$4:$P$1203,5,0),"※编码不在物料档案里"))</f>
        <v/>
      </c>
      <c r="K1170" s="23" t="n"/>
      <c r="L1170" s="31" t="n"/>
      <c r="M1170" s="24">
        <f>IF($G1170="","",IF($D1170="A国内","CNY","TZS"))</f>
        <v/>
      </c>
      <c r="N1170" s="28">
        <f>IF($G1170="","",IF($D1170="A国内",汇率,1))</f>
        <v/>
      </c>
      <c r="O1170" s="25">
        <f>IF($G1170="","",ROUND(N($K1170)*N($L1170),2))</f>
        <v/>
      </c>
      <c r="P1170" s="26">
        <f>IF($G1170="","",ROUND($O1170*$N1170,0))</f>
        <v/>
      </c>
      <c r="Q1170" s="26">
        <f>IF($G1170="","",SUMIFS($P$4:$P$2503,$E$4:$E$2503,$E1170,$Z$4:$Z$2503,"正常"))</f>
        <v/>
      </c>
      <c r="R1170" s="26">
        <f>IF($G1170="","",SUMIFS(费用台账!$I$4:$I$503,费用台账!$C$4:$C$503,$E1170,费用台账!$J$4:$J$503,"是",费用台账!$K$4:$K$503,"正常"))</f>
        <v/>
      </c>
      <c r="S1170" s="28">
        <f>IF($G1170="","",COUNTIFS($E$4:$E$2503,$E1170,$Z$4:$Z$2503,"正常",$Y$4:$Y$2503,"待补价"))</f>
        <v/>
      </c>
      <c r="T1170" s="26">
        <f>IF($G1170="","",SUMIFS($P$4:$P$2503,$E$4:$E$2503,$E1170,$Z$4:$Z$2503,"正常",$A$4:$A$2503,"&lt;="&amp;$A1170))</f>
        <v/>
      </c>
      <c r="U1170" s="26">
        <f>IF($G1170="","",IF(OR($S1170&gt;0,$Q1170=0,$R1170=0,$Z1170&lt;&gt;"正常"),0,ROUND($T1170/$Q1170*$R1170,0)-ROUND(($T1170-$P1170)/$Q1170*$R1170,0)))</f>
        <v/>
      </c>
      <c r="V1170" s="26">
        <f>IF($G1170="","",ROUND($P1170+$U1170,0))</f>
        <v/>
      </c>
      <c r="W1170" s="26">
        <f>IF($G1170="","",IF(N($K1170)=0,0,ROUND($V1170/$K1170,2)))</f>
        <v/>
      </c>
      <c r="X1170" s="17" t="n"/>
      <c r="Y1170" s="17" t="n"/>
      <c r="Z1170" s="17" t="n"/>
      <c r="AA1170" s="17" t="n"/>
      <c r="AB1170" s="17" t="n"/>
      <c r="AC1170" s="24">
        <f>IF($G1170="","",IF($H1170="※编码不在物料档案里","※物料编码不在档案里",IF(N($K1170)&lt;=0,"※入库数量要大于 0",IF(AND($C1170&lt;&gt;"",$C1170&lt;=结账锁),"※日期早于已结账截止日，不能再录",IF(AND($L1170=0,$X1170="正常"),"※没填单价，价格状态请选「待补价」",IF(AND($S1170&gt;0,$R1170&gt;0),"△本批有 "&amp;$S1170&amp;" 行没单价，整批运费先挂账没摊",IF(AND($B1170&lt;&gt;"",COUNTIF($B$4:$B$2503,$B1170)&gt;1),"※入库单号重复","")))))))</f>
        <v/>
      </c>
    </row>
    <row r="1171">
      <c r="A1171" s="24">
        <f>IF($G1171="","",COUNTA($G$4:$G1171))</f>
        <v/>
      </c>
      <c r="B1171" s="17" t="n"/>
      <c r="C1171" s="30" t="n"/>
      <c r="D1171" s="17" t="n"/>
      <c r="E1171" s="17" t="n"/>
      <c r="F1171" s="17" t="n"/>
      <c r="G1171" s="17" t="n"/>
      <c r="H1171" s="24">
        <f>IF($G1171="","",IFERROR(VLOOKUP($G1171,物料档案!$A$4:$P$1203,3,0),"※编码不在物料档案里"))</f>
        <v/>
      </c>
      <c r="I1171" s="24">
        <f>IF($G1171="","",IFERROR(VLOOKUP($G1171,物料档案!$A$4:$P$1203,4,0),"※编码不在物料档案里"))</f>
        <v/>
      </c>
      <c r="J1171" s="24">
        <f>IF($G1171="","",IFERROR(VLOOKUP($G1171,物料档案!$A$4:$P$1203,5,0),"※编码不在物料档案里"))</f>
        <v/>
      </c>
      <c r="K1171" s="23" t="n"/>
      <c r="L1171" s="31" t="n"/>
      <c r="M1171" s="24">
        <f>IF($G1171="","",IF($D1171="A国内","CNY","TZS"))</f>
        <v/>
      </c>
      <c r="N1171" s="28">
        <f>IF($G1171="","",IF($D1171="A国内",汇率,1))</f>
        <v/>
      </c>
      <c r="O1171" s="25">
        <f>IF($G1171="","",ROUND(N($K1171)*N($L1171),2))</f>
        <v/>
      </c>
      <c r="P1171" s="26">
        <f>IF($G1171="","",ROUND($O1171*$N1171,0))</f>
        <v/>
      </c>
      <c r="Q1171" s="26">
        <f>IF($G1171="","",SUMIFS($P$4:$P$2503,$E$4:$E$2503,$E1171,$Z$4:$Z$2503,"正常"))</f>
        <v/>
      </c>
      <c r="R1171" s="26">
        <f>IF($G1171="","",SUMIFS(费用台账!$I$4:$I$503,费用台账!$C$4:$C$503,$E1171,费用台账!$J$4:$J$503,"是",费用台账!$K$4:$K$503,"正常"))</f>
        <v/>
      </c>
      <c r="S1171" s="28">
        <f>IF($G1171="","",COUNTIFS($E$4:$E$2503,$E1171,$Z$4:$Z$2503,"正常",$Y$4:$Y$2503,"待补价"))</f>
        <v/>
      </c>
      <c r="T1171" s="26">
        <f>IF($G1171="","",SUMIFS($P$4:$P$2503,$E$4:$E$2503,$E1171,$Z$4:$Z$2503,"正常",$A$4:$A$2503,"&lt;="&amp;$A1171))</f>
        <v/>
      </c>
      <c r="U1171" s="26">
        <f>IF($G1171="","",IF(OR($S1171&gt;0,$Q1171=0,$R1171=0,$Z1171&lt;&gt;"正常"),0,ROUND($T1171/$Q1171*$R1171,0)-ROUND(($T1171-$P1171)/$Q1171*$R1171,0)))</f>
        <v/>
      </c>
      <c r="V1171" s="26">
        <f>IF($G1171="","",ROUND($P1171+$U1171,0))</f>
        <v/>
      </c>
      <c r="W1171" s="26">
        <f>IF($G1171="","",IF(N($K1171)=0,0,ROUND($V1171/$K1171,2)))</f>
        <v/>
      </c>
      <c r="X1171" s="17" t="n"/>
      <c r="Y1171" s="17" t="n"/>
      <c r="Z1171" s="17" t="n"/>
      <c r="AA1171" s="17" t="n"/>
      <c r="AB1171" s="17" t="n"/>
      <c r="AC1171" s="24">
        <f>IF($G1171="","",IF($H1171="※编码不在物料档案里","※物料编码不在档案里",IF(N($K1171)&lt;=0,"※入库数量要大于 0",IF(AND($C1171&lt;&gt;"",$C1171&lt;=结账锁),"※日期早于已结账截止日，不能再录",IF(AND($L1171=0,$X1171="正常"),"※没填单价，价格状态请选「待补价」",IF(AND($S1171&gt;0,$R1171&gt;0),"△本批有 "&amp;$S1171&amp;" 行没单价，整批运费先挂账没摊",IF(AND($B1171&lt;&gt;"",COUNTIF($B$4:$B$2503,$B1171)&gt;1),"※入库单号重复","")))))))</f>
        <v/>
      </c>
    </row>
    <row r="1172">
      <c r="A1172" s="24">
        <f>IF($G1172="","",COUNTA($G$4:$G1172))</f>
        <v/>
      </c>
      <c r="B1172" s="17" t="n"/>
      <c r="C1172" s="30" t="n"/>
      <c r="D1172" s="17" t="n"/>
      <c r="E1172" s="17" t="n"/>
      <c r="F1172" s="17" t="n"/>
      <c r="G1172" s="17" t="n"/>
      <c r="H1172" s="24">
        <f>IF($G1172="","",IFERROR(VLOOKUP($G1172,物料档案!$A$4:$P$1203,3,0),"※编码不在物料档案里"))</f>
        <v/>
      </c>
      <c r="I1172" s="24">
        <f>IF($G1172="","",IFERROR(VLOOKUP($G1172,物料档案!$A$4:$P$1203,4,0),"※编码不在物料档案里"))</f>
        <v/>
      </c>
      <c r="J1172" s="24">
        <f>IF($G1172="","",IFERROR(VLOOKUP($G1172,物料档案!$A$4:$P$1203,5,0),"※编码不在物料档案里"))</f>
        <v/>
      </c>
      <c r="K1172" s="23" t="n"/>
      <c r="L1172" s="31" t="n"/>
      <c r="M1172" s="24">
        <f>IF($G1172="","",IF($D1172="A国内","CNY","TZS"))</f>
        <v/>
      </c>
      <c r="N1172" s="28">
        <f>IF($G1172="","",IF($D1172="A国内",汇率,1))</f>
        <v/>
      </c>
      <c r="O1172" s="25">
        <f>IF($G1172="","",ROUND(N($K1172)*N($L1172),2))</f>
        <v/>
      </c>
      <c r="P1172" s="26">
        <f>IF($G1172="","",ROUND($O1172*$N1172,0))</f>
        <v/>
      </c>
      <c r="Q1172" s="26">
        <f>IF($G1172="","",SUMIFS($P$4:$P$2503,$E$4:$E$2503,$E1172,$Z$4:$Z$2503,"正常"))</f>
        <v/>
      </c>
      <c r="R1172" s="26">
        <f>IF($G1172="","",SUMIFS(费用台账!$I$4:$I$503,费用台账!$C$4:$C$503,$E1172,费用台账!$J$4:$J$503,"是",费用台账!$K$4:$K$503,"正常"))</f>
        <v/>
      </c>
      <c r="S1172" s="28">
        <f>IF($G1172="","",COUNTIFS($E$4:$E$2503,$E1172,$Z$4:$Z$2503,"正常",$Y$4:$Y$2503,"待补价"))</f>
        <v/>
      </c>
      <c r="T1172" s="26">
        <f>IF($G1172="","",SUMIFS($P$4:$P$2503,$E$4:$E$2503,$E1172,$Z$4:$Z$2503,"正常",$A$4:$A$2503,"&lt;="&amp;$A1172))</f>
        <v/>
      </c>
      <c r="U1172" s="26">
        <f>IF($G1172="","",IF(OR($S1172&gt;0,$Q1172=0,$R1172=0,$Z1172&lt;&gt;"正常"),0,ROUND($T1172/$Q1172*$R1172,0)-ROUND(($T1172-$P1172)/$Q1172*$R1172,0)))</f>
        <v/>
      </c>
      <c r="V1172" s="26">
        <f>IF($G1172="","",ROUND($P1172+$U1172,0))</f>
        <v/>
      </c>
      <c r="W1172" s="26">
        <f>IF($G1172="","",IF(N($K1172)=0,0,ROUND($V1172/$K1172,2)))</f>
        <v/>
      </c>
      <c r="X1172" s="17" t="n"/>
      <c r="Y1172" s="17" t="n"/>
      <c r="Z1172" s="17" t="n"/>
      <c r="AA1172" s="17" t="n"/>
      <c r="AB1172" s="17" t="n"/>
      <c r="AC1172" s="24">
        <f>IF($G1172="","",IF($H1172="※编码不在物料档案里","※物料编码不在档案里",IF(N($K1172)&lt;=0,"※入库数量要大于 0",IF(AND($C1172&lt;&gt;"",$C1172&lt;=结账锁),"※日期早于已结账截止日，不能再录",IF(AND($L1172=0,$X1172="正常"),"※没填单价，价格状态请选「待补价」",IF(AND($S1172&gt;0,$R1172&gt;0),"△本批有 "&amp;$S1172&amp;" 行没单价，整批运费先挂账没摊",IF(AND($B1172&lt;&gt;"",COUNTIF($B$4:$B$2503,$B1172)&gt;1),"※入库单号重复","")))))))</f>
        <v/>
      </c>
    </row>
    <row r="1173">
      <c r="A1173" s="24">
        <f>IF($G1173="","",COUNTA($G$4:$G1173))</f>
        <v/>
      </c>
      <c r="B1173" s="17" t="n"/>
      <c r="C1173" s="30" t="n"/>
      <c r="D1173" s="17" t="n"/>
      <c r="E1173" s="17" t="n"/>
      <c r="F1173" s="17" t="n"/>
      <c r="G1173" s="17" t="n"/>
      <c r="H1173" s="24">
        <f>IF($G1173="","",IFERROR(VLOOKUP($G1173,物料档案!$A$4:$P$1203,3,0),"※编码不在物料档案里"))</f>
        <v/>
      </c>
      <c r="I1173" s="24">
        <f>IF($G1173="","",IFERROR(VLOOKUP($G1173,物料档案!$A$4:$P$1203,4,0),"※编码不在物料档案里"))</f>
        <v/>
      </c>
      <c r="J1173" s="24">
        <f>IF($G1173="","",IFERROR(VLOOKUP($G1173,物料档案!$A$4:$P$1203,5,0),"※编码不在物料档案里"))</f>
        <v/>
      </c>
      <c r="K1173" s="23" t="n"/>
      <c r="L1173" s="31" t="n"/>
      <c r="M1173" s="24">
        <f>IF($G1173="","",IF($D1173="A国内","CNY","TZS"))</f>
        <v/>
      </c>
      <c r="N1173" s="28">
        <f>IF($G1173="","",IF($D1173="A国内",汇率,1))</f>
        <v/>
      </c>
      <c r="O1173" s="25">
        <f>IF($G1173="","",ROUND(N($K1173)*N($L1173),2))</f>
        <v/>
      </c>
      <c r="P1173" s="26">
        <f>IF($G1173="","",ROUND($O1173*$N1173,0))</f>
        <v/>
      </c>
      <c r="Q1173" s="26">
        <f>IF($G1173="","",SUMIFS($P$4:$P$2503,$E$4:$E$2503,$E1173,$Z$4:$Z$2503,"正常"))</f>
        <v/>
      </c>
      <c r="R1173" s="26">
        <f>IF($G1173="","",SUMIFS(费用台账!$I$4:$I$503,费用台账!$C$4:$C$503,$E1173,费用台账!$J$4:$J$503,"是",费用台账!$K$4:$K$503,"正常"))</f>
        <v/>
      </c>
      <c r="S1173" s="28">
        <f>IF($G1173="","",COUNTIFS($E$4:$E$2503,$E1173,$Z$4:$Z$2503,"正常",$Y$4:$Y$2503,"待补价"))</f>
        <v/>
      </c>
      <c r="T1173" s="26">
        <f>IF($G1173="","",SUMIFS($P$4:$P$2503,$E$4:$E$2503,$E1173,$Z$4:$Z$2503,"正常",$A$4:$A$2503,"&lt;="&amp;$A1173))</f>
        <v/>
      </c>
      <c r="U1173" s="26">
        <f>IF($G1173="","",IF(OR($S1173&gt;0,$Q1173=0,$R1173=0,$Z1173&lt;&gt;"正常"),0,ROUND($T1173/$Q1173*$R1173,0)-ROUND(($T1173-$P1173)/$Q1173*$R1173,0)))</f>
        <v/>
      </c>
      <c r="V1173" s="26">
        <f>IF($G1173="","",ROUND($P1173+$U1173,0))</f>
        <v/>
      </c>
      <c r="W1173" s="26">
        <f>IF($G1173="","",IF(N($K1173)=0,0,ROUND($V1173/$K1173,2)))</f>
        <v/>
      </c>
      <c r="X1173" s="17" t="n"/>
      <c r="Y1173" s="17" t="n"/>
      <c r="Z1173" s="17" t="n"/>
      <c r="AA1173" s="17" t="n"/>
      <c r="AB1173" s="17" t="n"/>
      <c r="AC1173" s="24">
        <f>IF($G1173="","",IF($H1173="※编码不在物料档案里","※物料编码不在档案里",IF(N($K1173)&lt;=0,"※入库数量要大于 0",IF(AND($C1173&lt;&gt;"",$C1173&lt;=结账锁),"※日期早于已结账截止日，不能再录",IF(AND($L1173=0,$X1173="正常"),"※没填单价，价格状态请选「待补价」",IF(AND($S1173&gt;0,$R1173&gt;0),"△本批有 "&amp;$S1173&amp;" 行没单价，整批运费先挂账没摊",IF(AND($B1173&lt;&gt;"",COUNTIF($B$4:$B$2503,$B1173)&gt;1),"※入库单号重复","")))))))</f>
        <v/>
      </c>
    </row>
    <row r="1174">
      <c r="A1174" s="24">
        <f>IF($G1174="","",COUNTA($G$4:$G1174))</f>
        <v/>
      </c>
      <c r="B1174" s="17" t="n"/>
      <c r="C1174" s="30" t="n"/>
      <c r="D1174" s="17" t="n"/>
      <c r="E1174" s="17" t="n"/>
      <c r="F1174" s="17" t="n"/>
      <c r="G1174" s="17" t="n"/>
      <c r="H1174" s="24">
        <f>IF($G1174="","",IFERROR(VLOOKUP($G1174,物料档案!$A$4:$P$1203,3,0),"※编码不在物料档案里"))</f>
        <v/>
      </c>
      <c r="I1174" s="24">
        <f>IF($G1174="","",IFERROR(VLOOKUP($G1174,物料档案!$A$4:$P$1203,4,0),"※编码不在物料档案里"))</f>
        <v/>
      </c>
      <c r="J1174" s="24">
        <f>IF($G1174="","",IFERROR(VLOOKUP($G1174,物料档案!$A$4:$P$1203,5,0),"※编码不在物料档案里"))</f>
        <v/>
      </c>
      <c r="K1174" s="23" t="n"/>
      <c r="L1174" s="31" t="n"/>
      <c r="M1174" s="24">
        <f>IF($G1174="","",IF($D1174="A国内","CNY","TZS"))</f>
        <v/>
      </c>
      <c r="N1174" s="28">
        <f>IF($G1174="","",IF($D1174="A国内",汇率,1))</f>
        <v/>
      </c>
      <c r="O1174" s="25">
        <f>IF($G1174="","",ROUND(N($K1174)*N($L1174),2))</f>
        <v/>
      </c>
      <c r="P1174" s="26">
        <f>IF($G1174="","",ROUND($O1174*$N1174,0))</f>
        <v/>
      </c>
      <c r="Q1174" s="26">
        <f>IF($G1174="","",SUMIFS($P$4:$P$2503,$E$4:$E$2503,$E1174,$Z$4:$Z$2503,"正常"))</f>
        <v/>
      </c>
      <c r="R1174" s="26">
        <f>IF($G1174="","",SUMIFS(费用台账!$I$4:$I$503,费用台账!$C$4:$C$503,$E1174,费用台账!$J$4:$J$503,"是",费用台账!$K$4:$K$503,"正常"))</f>
        <v/>
      </c>
      <c r="S1174" s="28">
        <f>IF($G1174="","",COUNTIFS($E$4:$E$2503,$E1174,$Z$4:$Z$2503,"正常",$Y$4:$Y$2503,"待补价"))</f>
        <v/>
      </c>
      <c r="T1174" s="26">
        <f>IF($G1174="","",SUMIFS($P$4:$P$2503,$E$4:$E$2503,$E1174,$Z$4:$Z$2503,"正常",$A$4:$A$2503,"&lt;="&amp;$A1174))</f>
        <v/>
      </c>
      <c r="U1174" s="26">
        <f>IF($G1174="","",IF(OR($S1174&gt;0,$Q1174=0,$R1174=0,$Z1174&lt;&gt;"正常"),0,ROUND($T1174/$Q1174*$R1174,0)-ROUND(($T1174-$P1174)/$Q1174*$R1174,0)))</f>
        <v/>
      </c>
      <c r="V1174" s="26">
        <f>IF($G1174="","",ROUND($P1174+$U1174,0))</f>
        <v/>
      </c>
      <c r="W1174" s="26">
        <f>IF($G1174="","",IF(N($K1174)=0,0,ROUND($V1174/$K1174,2)))</f>
        <v/>
      </c>
      <c r="X1174" s="17" t="n"/>
      <c r="Y1174" s="17" t="n"/>
      <c r="Z1174" s="17" t="n"/>
      <c r="AA1174" s="17" t="n"/>
      <c r="AB1174" s="17" t="n"/>
      <c r="AC1174" s="24">
        <f>IF($G1174="","",IF($H1174="※编码不在物料档案里","※物料编码不在档案里",IF(N($K1174)&lt;=0,"※入库数量要大于 0",IF(AND($C1174&lt;&gt;"",$C1174&lt;=结账锁),"※日期早于已结账截止日，不能再录",IF(AND($L1174=0,$X1174="正常"),"※没填单价，价格状态请选「待补价」",IF(AND($S1174&gt;0,$R1174&gt;0),"△本批有 "&amp;$S1174&amp;" 行没单价，整批运费先挂账没摊",IF(AND($B1174&lt;&gt;"",COUNTIF($B$4:$B$2503,$B1174)&gt;1),"※入库单号重复","")))))))</f>
        <v/>
      </c>
    </row>
    <row r="1175">
      <c r="A1175" s="24">
        <f>IF($G1175="","",COUNTA($G$4:$G1175))</f>
        <v/>
      </c>
      <c r="B1175" s="17" t="n"/>
      <c r="C1175" s="30" t="n"/>
      <c r="D1175" s="17" t="n"/>
      <c r="E1175" s="17" t="n"/>
      <c r="F1175" s="17" t="n"/>
      <c r="G1175" s="17" t="n"/>
      <c r="H1175" s="24">
        <f>IF($G1175="","",IFERROR(VLOOKUP($G1175,物料档案!$A$4:$P$1203,3,0),"※编码不在物料档案里"))</f>
        <v/>
      </c>
      <c r="I1175" s="24">
        <f>IF($G1175="","",IFERROR(VLOOKUP($G1175,物料档案!$A$4:$P$1203,4,0),"※编码不在物料档案里"))</f>
        <v/>
      </c>
      <c r="J1175" s="24">
        <f>IF($G1175="","",IFERROR(VLOOKUP($G1175,物料档案!$A$4:$P$1203,5,0),"※编码不在物料档案里"))</f>
        <v/>
      </c>
      <c r="K1175" s="23" t="n"/>
      <c r="L1175" s="31" t="n"/>
      <c r="M1175" s="24">
        <f>IF($G1175="","",IF($D1175="A国内","CNY","TZS"))</f>
        <v/>
      </c>
      <c r="N1175" s="28">
        <f>IF($G1175="","",IF($D1175="A国内",汇率,1))</f>
        <v/>
      </c>
      <c r="O1175" s="25">
        <f>IF($G1175="","",ROUND(N($K1175)*N($L1175),2))</f>
        <v/>
      </c>
      <c r="P1175" s="26">
        <f>IF($G1175="","",ROUND($O1175*$N1175,0))</f>
        <v/>
      </c>
      <c r="Q1175" s="26">
        <f>IF($G1175="","",SUMIFS($P$4:$P$2503,$E$4:$E$2503,$E1175,$Z$4:$Z$2503,"正常"))</f>
        <v/>
      </c>
      <c r="R1175" s="26">
        <f>IF($G1175="","",SUMIFS(费用台账!$I$4:$I$503,费用台账!$C$4:$C$503,$E1175,费用台账!$J$4:$J$503,"是",费用台账!$K$4:$K$503,"正常"))</f>
        <v/>
      </c>
      <c r="S1175" s="28">
        <f>IF($G1175="","",COUNTIFS($E$4:$E$2503,$E1175,$Z$4:$Z$2503,"正常",$Y$4:$Y$2503,"待补价"))</f>
        <v/>
      </c>
      <c r="T1175" s="26">
        <f>IF($G1175="","",SUMIFS($P$4:$P$2503,$E$4:$E$2503,$E1175,$Z$4:$Z$2503,"正常",$A$4:$A$2503,"&lt;="&amp;$A1175))</f>
        <v/>
      </c>
      <c r="U1175" s="26">
        <f>IF($G1175="","",IF(OR($S1175&gt;0,$Q1175=0,$R1175=0,$Z1175&lt;&gt;"正常"),0,ROUND($T1175/$Q1175*$R1175,0)-ROUND(($T1175-$P1175)/$Q1175*$R1175,0)))</f>
        <v/>
      </c>
      <c r="V1175" s="26">
        <f>IF($G1175="","",ROUND($P1175+$U1175,0))</f>
        <v/>
      </c>
      <c r="W1175" s="26">
        <f>IF($G1175="","",IF(N($K1175)=0,0,ROUND($V1175/$K1175,2)))</f>
        <v/>
      </c>
      <c r="X1175" s="17" t="n"/>
      <c r="Y1175" s="17" t="n"/>
      <c r="Z1175" s="17" t="n"/>
      <c r="AA1175" s="17" t="n"/>
      <c r="AB1175" s="17" t="n"/>
      <c r="AC1175" s="24">
        <f>IF($G1175="","",IF($H1175="※编码不在物料档案里","※物料编码不在档案里",IF(N($K1175)&lt;=0,"※入库数量要大于 0",IF(AND($C1175&lt;&gt;"",$C1175&lt;=结账锁),"※日期早于已结账截止日，不能再录",IF(AND($L1175=0,$X1175="正常"),"※没填单价，价格状态请选「待补价」",IF(AND($S1175&gt;0,$R1175&gt;0),"△本批有 "&amp;$S1175&amp;" 行没单价，整批运费先挂账没摊",IF(AND($B1175&lt;&gt;"",COUNTIF($B$4:$B$2503,$B1175)&gt;1),"※入库单号重复","")))))))</f>
        <v/>
      </c>
    </row>
    <row r="1176">
      <c r="A1176" s="24">
        <f>IF($G1176="","",COUNTA($G$4:$G1176))</f>
        <v/>
      </c>
      <c r="B1176" s="17" t="n"/>
      <c r="C1176" s="30" t="n"/>
      <c r="D1176" s="17" t="n"/>
      <c r="E1176" s="17" t="n"/>
      <c r="F1176" s="17" t="n"/>
      <c r="G1176" s="17" t="n"/>
      <c r="H1176" s="24">
        <f>IF($G1176="","",IFERROR(VLOOKUP($G1176,物料档案!$A$4:$P$1203,3,0),"※编码不在物料档案里"))</f>
        <v/>
      </c>
      <c r="I1176" s="24">
        <f>IF($G1176="","",IFERROR(VLOOKUP($G1176,物料档案!$A$4:$P$1203,4,0),"※编码不在物料档案里"))</f>
        <v/>
      </c>
      <c r="J1176" s="24">
        <f>IF($G1176="","",IFERROR(VLOOKUP($G1176,物料档案!$A$4:$P$1203,5,0),"※编码不在物料档案里"))</f>
        <v/>
      </c>
      <c r="K1176" s="23" t="n"/>
      <c r="L1176" s="31" t="n"/>
      <c r="M1176" s="24">
        <f>IF($G1176="","",IF($D1176="A国内","CNY","TZS"))</f>
        <v/>
      </c>
      <c r="N1176" s="28">
        <f>IF($G1176="","",IF($D1176="A国内",汇率,1))</f>
        <v/>
      </c>
      <c r="O1176" s="25">
        <f>IF($G1176="","",ROUND(N($K1176)*N($L1176),2))</f>
        <v/>
      </c>
      <c r="P1176" s="26">
        <f>IF($G1176="","",ROUND($O1176*$N1176,0))</f>
        <v/>
      </c>
      <c r="Q1176" s="26">
        <f>IF($G1176="","",SUMIFS($P$4:$P$2503,$E$4:$E$2503,$E1176,$Z$4:$Z$2503,"正常"))</f>
        <v/>
      </c>
      <c r="R1176" s="26">
        <f>IF($G1176="","",SUMIFS(费用台账!$I$4:$I$503,费用台账!$C$4:$C$503,$E1176,费用台账!$J$4:$J$503,"是",费用台账!$K$4:$K$503,"正常"))</f>
        <v/>
      </c>
      <c r="S1176" s="28">
        <f>IF($G1176="","",COUNTIFS($E$4:$E$2503,$E1176,$Z$4:$Z$2503,"正常",$Y$4:$Y$2503,"待补价"))</f>
        <v/>
      </c>
      <c r="T1176" s="26">
        <f>IF($G1176="","",SUMIFS($P$4:$P$2503,$E$4:$E$2503,$E1176,$Z$4:$Z$2503,"正常",$A$4:$A$2503,"&lt;="&amp;$A1176))</f>
        <v/>
      </c>
      <c r="U1176" s="26">
        <f>IF($G1176="","",IF(OR($S1176&gt;0,$Q1176=0,$R1176=0,$Z1176&lt;&gt;"正常"),0,ROUND($T1176/$Q1176*$R1176,0)-ROUND(($T1176-$P1176)/$Q1176*$R1176,0)))</f>
        <v/>
      </c>
      <c r="V1176" s="26">
        <f>IF($G1176="","",ROUND($P1176+$U1176,0))</f>
        <v/>
      </c>
      <c r="W1176" s="26">
        <f>IF($G1176="","",IF(N($K1176)=0,0,ROUND($V1176/$K1176,2)))</f>
        <v/>
      </c>
      <c r="X1176" s="17" t="n"/>
      <c r="Y1176" s="17" t="n"/>
      <c r="Z1176" s="17" t="n"/>
      <c r="AA1176" s="17" t="n"/>
      <c r="AB1176" s="17" t="n"/>
      <c r="AC1176" s="24">
        <f>IF($G1176="","",IF($H1176="※编码不在物料档案里","※物料编码不在档案里",IF(N($K1176)&lt;=0,"※入库数量要大于 0",IF(AND($C1176&lt;&gt;"",$C1176&lt;=结账锁),"※日期早于已结账截止日，不能再录",IF(AND($L1176=0,$X1176="正常"),"※没填单价，价格状态请选「待补价」",IF(AND($S1176&gt;0,$R1176&gt;0),"△本批有 "&amp;$S1176&amp;" 行没单价，整批运费先挂账没摊",IF(AND($B1176&lt;&gt;"",COUNTIF($B$4:$B$2503,$B1176)&gt;1),"※入库单号重复","")))))))</f>
        <v/>
      </c>
    </row>
    <row r="1177">
      <c r="A1177" s="24">
        <f>IF($G1177="","",COUNTA($G$4:$G1177))</f>
        <v/>
      </c>
      <c r="B1177" s="17" t="n"/>
      <c r="C1177" s="30" t="n"/>
      <c r="D1177" s="17" t="n"/>
      <c r="E1177" s="17" t="n"/>
      <c r="F1177" s="17" t="n"/>
      <c r="G1177" s="17" t="n"/>
      <c r="H1177" s="24">
        <f>IF($G1177="","",IFERROR(VLOOKUP($G1177,物料档案!$A$4:$P$1203,3,0),"※编码不在物料档案里"))</f>
        <v/>
      </c>
      <c r="I1177" s="24">
        <f>IF($G1177="","",IFERROR(VLOOKUP($G1177,物料档案!$A$4:$P$1203,4,0),"※编码不在物料档案里"))</f>
        <v/>
      </c>
      <c r="J1177" s="24">
        <f>IF($G1177="","",IFERROR(VLOOKUP($G1177,物料档案!$A$4:$P$1203,5,0),"※编码不在物料档案里"))</f>
        <v/>
      </c>
      <c r="K1177" s="23" t="n"/>
      <c r="L1177" s="31" t="n"/>
      <c r="M1177" s="24">
        <f>IF($G1177="","",IF($D1177="A国内","CNY","TZS"))</f>
        <v/>
      </c>
      <c r="N1177" s="28">
        <f>IF($G1177="","",IF($D1177="A国内",汇率,1))</f>
        <v/>
      </c>
      <c r="O1177" s="25">
        <f>IF($G1177="","",ROUND(N($K1177)*N($L1177),2))</f>
        <v/>
      </c>
      <c r="P1177" s="26">
        <f>IF($G1177="","",ROUND($O1177*$N1177,0))</f>
        <v/>
      </c>
      <c r="Q1177" s="26">
        <f>IF($G1177="","",SUMIFS($P$4:$P$2503,$E$4:$E$2503,$E1177,$Z$4:$Z$2503,"正常"))</f>
        <v/>
      </c>
      <c r="R1177" s="26">
        <f>IF($G1177="","",SUMIFS(费用台账!$I$4:$I$503,费用台账!$C$4:$C$503,$E1177,费用台账!$J$4:$J$503,"是",费用台账!$K$4:$K$503,"正常"))</f>
        <v/>
      </c>
      <c r="S1177" s="28">
        <f>IF($G1177="","",COUNTIFS($E$4:$E$2503,$E1177,$Z$4:$Z$2503,"正常",$Y$4:$Y$2503,"待补价"))</f>
        <v/>
      </c>
      <c r="T1177" s="26">
        <f>IF($G1177="","",SUMIFS($P$4:$P$2503,$E$4:$E$2503,$E1177,$Z$4:$Z$2503,"正常",$A$4:$A$2503,"&lt;="&amp;$A1177))</f>
        <v/>
      </c>
      <c r="U1177" s="26">
        <f>IF($G1177="","",IF(OR($S1177&gt;0,$Q1177=0,$R1177=0,$Z1177&lt;&gt;"正常"),0,ROUND($T1177/$Q1177*$R1177,0)-ROUND(($T1177-$P1177)/$Q1177*$R1177,0)))</f>
        <v/>
      </c>
      <c r="V1177" s="26">
        <f>IF($G1177="","",ROUND($P1177+$U1177,0))</f>
        <v/>
      </c>
      <c r="W1177" s="26">
        <f>IF($G1177="","",IF(N($K1177)=0,0,ROUND($V1177/$K1177,2)))</f>
        <v/>
      </c>
      <c r="X1177" s="17" t="n"/>
      <c r="Y1177" s="17" t="n"/>
      <c r="Z1177" s="17" t="n"/>
      <c r="AA1177" s="17" t="n"/>
      <c r="AB1177" s="17" t="n"/>
      <c r="AC1177" s="24">
        <f>IF($G1177="","",IF($H1177="※编码不在物料档案里","※物料编码不在档案里",IF(N($K1177)&lt;=0,"※入库数量要大于 0",IF(AND($C1177&lt;&gt;"",$C1177&lt;=结账锁),"※日期早于已结账截止日，不能再录",IF(AND($L1177=0,$X1177="正常"),"※没填单价，价格状态请选「待补价」",IF(AND($S1177&gt;0,$R1177&gt;0),"△本批有 "&amp;$S1177&amp;" 行没单价，整批运费先挂账没摊",IF(AND($B1177&lt;&gt;"",COUNTIF($B$4:$B$2503,$B1177)&gt;1),"※入库单号重复","")))))))</f>
        <v/>
      </c>
    </row>
    <row r="1178">
      <c r="A1178" s="24">
        <f>IF($G1178="","",COUNTA($G$4:$G1178))</f>
        <v/>
      </c>
      <c r="B1178" s="17" t="n"/>
      <c r="C1178" s="30" t="n"/>
      <c r="D1178" s="17" t="n"/>
      <c r="E1178" s="17" t="n"/>
      <c r="F1178" s="17" t="n"/>
      <c r="G1178" s="17" t="n"/>
      <c r="H1178" s="24">
        <f>IF($G1178="","",IFERROR(VLOOKUP($G1178,物料档案!$A$4:$P$1203,3,0),"※编码不在物料档案里"))</f>
        <v/>
      </c>
      <c r="I1178" s="24">
        <f>IF($G1178="","",IFERROR(VLOOKUP($G1178,物料档案!$A$4:$P$1203,4,0),"※编码不在物料档案里"))</f>
        <v/>
      </c>
      <c r="J1178" s="24">
        <f>IF($G1178="","",IFERROR(VLOOKUP($G1178,物料档案!$A$4:$P$1203,5,0),"※编码不在物料档案里"))</f>
        <v/>
      </c>
      <c r="K1178" s="23" t="n"/>
      <c r="L1178" s="31" t="n"/>
      <c r="M1178" s="24">
        <f>IF($G1178="","",IF($D1178="A国内","CNY","TZS"))</f>
        <v/>
      </c>
      <c r="N1178" s="28">
        <f>IF($G1178="","",IF($D1178="A国内",汇率,1))</f>
        <v/>
      </c>
      <c r="O1178" s="25">
        <f>IF($G1178="","",ROUND(N($K1178)*N($L1178),2))</f>
        <v/>
      </c>
      <c r="P1178" s="26">
        <f>IF($G1178="","",ROUND($O1178*$N1178,0))</f>
        <v/>
      </c>
      <c r="Q1178" s="26">
        <f>IF($G1178="","",SUMIFS($P$4:$P$2503,$E$4:$E$2503,$E1178,$Z$4:$Z$2503,"正常"))</f>
        <v/>
      </c>
      <c r="R1178" s="26">
        <f>IF($G1178="","",SUMIFS(费用台账!$I$4:$I$503,费用台账!$C$4:$C$503,$E1178,费用台账!$J$4:$J$503,"是",费用台账!$K$4:$K$503,"正常"))</f>
        <v/>
      </c>
      <c r="S1178" s="28">
        <f>IF($G1178="","",COUNTIFS($E$4:$E$2503,$E1178,$Z$4:$Z$2503,"正常",$Y$4:$Y$2503,"待补价"))</f>
        <v/>
      </c>
      <c r="T1178" s="26">
        <f>IF($G1178="","",SUMIFS($P$4:$P$2503,$E$4:$E$2503,$E1178,$Z$4:$Z$2503,"正常",$A$4:$A$2503,"&lt;="&amp;$A1178))</f>
        <v/>
      </c>
      <c r="U1178" s="26">
        <f>IF($G1178="","",IF(OR($S1178&gt;0,$Q1178=0,$R1178=0,$Z1178&lt;&gt;"正常"),0,ROUND($T1178/$Q1178*$R1178,0)-ROUND(($T1178-$P1178)/$Q1178*$R1178,0)))</f>
        <v/>
      </c>
      <c r="V1178" s="26">
        <f>IF($G1178="","",ROUND($P1178+$U1178,0))</f>
        <v/>
      </c>
      <c r="W1178" s="26">
        <f>IF($G1178="","",IF(N($K1178)=0,0,ROUND($V1178/$K1178,2)))</f>
        <v/>
      </c>
      <c r="X1178" s="17" t="n"/>
      <c r="Y1178" s="17" t="n"/>
      <c r="Z1178" s="17" t="n"/>
      <c r="AA1178" s="17" t="n"/>
      <c r="AB1178" s="17" t="n"/>
      <c r="AC1178" s="24">
        <f>IF($G1178="","",IF($H1178="※编码不在物料档案里","※物料编码不在档案里",IF(N($K1178)&lt;=0,"※入库数量要大于 0",IF(AND($C1178&lt;&gt;"",$C1178&lt;=结账锁),"※日期早于已结账截止日，不能再录",IF(AND($L1178=0,$X1178="正常"),"※没填单价，价格状态请选「待补价」",IF(AND($S1178&gt;0,$R1178&gt;0),"△本批有 "&amp;$S1178&amp;" 行没单价，整批运费先挂账没摊",IF(AND($B1178&lt;&gt;"",COUNTIF($B$4:$B$2503,$B1178)&gt;1),"※入库单号重复","")))))))</f>
        <v/>
      </c>
    </row>
    <row r="1179">
      <c r="A1179" s="24">
        <f>IF($G1179="","",COUNTA($G$4:$G1179))</f>
        <v/>
      </c>
      <c r="B1179" s="17" t="n"/>
      <c r="C1179" s="30" t="n"/>
      <c r="D1179" s="17" t="n"/>
      <c r="E1179" s="17" t="n"/>
      <c r="F1179" s="17" t="n"/>
      <c r="G1179" s="17" t="n"/>
      <c r="H1179" s="24">
        <f>IF($G1179="","",IFERROR(VLOOKUP($G1179,物料档案!$A$4:$P$1203,3,0),"※编码不在物料档案里"))</f>
        <v/>
      </c>
      <c r="I1179" s="24">
        <f>IF($G1179="","",IFERROR(VLOOKUP($G1179,物料档案!$A$4:$P$1203,4,0),"※编码不在物料档案里"))</f>
        <v/>
      </c>
      <c r="J1179" s="24">
        <f>IF($G1179="","",IFERROR(VLOOKUP($G1179,物料档案!$A$4:$P$1203,5,0),"※编码不在物料档案里"))</f>
        <v/>
      </c>
      <c r="K1179" s="23" t="n"/>
      <c r="L1179" s="31" t="n"/>
      <c r="M1179" s="24">
        <f>IF($G1179="","",IF($D1179="A国内","CNY","TZS"))</f>
        <v/>
      </c>
      <c r="N1179" s="28">
        <f>IF($G1179="","",IF($D1179="A国内",汇率,1))</f>
        <v/>
      </c>
      <c r="O1179" s="25">
        <f>IF($G1179="","",ROUND(N($K1179)*N($L1179),2))</f>
        <v/>
      </c>
      <c r="P1179" s="26">
        <f>IF($G1179="","",ROUND($O1179*$N1179,0))</f>
        <v/>
      </c>
      <c r="Q1179" s="26">
        <f>IF($G1179="","",SUMIFS($P$4:$P$2503,$E$4:$E$2503,$E1179,$Z$4:$Z$2503,"正常"))</f>
        <v/>
      </c>
      <c r="R1179" s="26">
        <f>IF($G1179="","",SUMIFS(费用台账!$I$4:$I$503,费用台账!$C$4:$C$503,$E1179,费用台账!$J$4:$J$503,"是",费用台账!$K$4:$K$503,"正常"))</f>
        <v/>
      </c>
      <c r="S1179" s="28">
        <f>IF($G1179="","",COUNTIFS($E$4:$E$2503,$E1179,$Z$4:$Z$2503,"正常",$Y$4:$Y$2503,"待补价"))</f>
        <v/>
      </c>
      <c r="T1179" s="26">
        <f>IF($G1179="","",SUMIFS($P$4:$P$2503,$E$4:$E$2503,$E1179,$Z$4:$Z$2503,"正常",$A$4:$A$2503,"&lt;="&amp;$A1179))</f>
        <v/>
      </c>
      <c r="U1179" s="26">
        <f>IF($G1179="","",IF(OR($S1179&gt;0,$Q1179=0,$R1179=0,$Z1179&lt;&gt;"正常"),0,ROUND($T1179/$Q1179*$R1179,0)-ROUND(($T1179-$P1179)/$Q1179*$R1179,0)))</f>
        <v/>
      </c>
      <c r="V1179" s="26">
        <f>IF($G1179="","",ROUND($P1179+$U1179,0))</f>
        <v/>
      </c>
      <c r="W1179" s="26">
        <f>IF($G1179="","",IF(N($K1179)=0,0,ROUND($V1179/$K1179,2)))</f>
        <v/>
      </c>
      <c r="X1179" s="17" t="n"/>
      <c r="Y1179" s="17" t="n"/>
      <c r="Z1179" s="17" t="n"/>
      <c r="AA1179" s="17" t="n"/>
      <c r="AB1179" s="17" t="n"/>
      <c r="AC1179" s="24">
        <f>IF($G1179="","",IF($H1179="※编码不在物料档案里","※物料编码不在档案里",IF(N($K1179)&lt;=0,"※入库数量要大于 0",IF(AND($C1179&lt;&gt;"",$C1179&lt;=结账锁),"※日期早于已结账截止日，不能再录",IF(AND($L1179=0,$X1179="正常"),"※没填单价，价格状态请选「待补价」",IF(AND($S1179&gt;0,$R1179&gt;0),"△本批有 "&amp;$S1179&amp;" 行没单价，整批运费先挂账没摊",IF(AND($B1179&lt;&gt;"",COUNTIF($B$4:$B$2503,$B1179)&gt;1),"※入库单号重复","")))))))</f>
        <v/>
      </c>
    </row>
    <row r="1180">
      <c r="A1180" s="24">
        <f>IF($G1180="","",COUNTA($G$4:$G1180))</f>
        <v/>
      </c>
      <c r="B1180" s="17" t="n"/>
      <c r="C1180" s="30" t="n"/>
      <c r="D1180" s="17" t="n"/>
      <c r="E1180" s="17" t="n"/>
      <c r="F1180" s="17" t="n"/>
      <c r="G1180" s="17" t="n"/>
      <c r="H1180" s="24">
        <f>IF($G1180="","",IFERROR(VLOOKUP($G1180,物料档案!$A$4:$P$1203,3,0),"※编码不在物料档案里"))</f>
        <v/>
      </c>
      <c r="I1180" s="24">
        <f>IF($G1180="","",IFERROR(VLOOKUP($G1180,物料档案!$A$4:$P$1203,4,0),"※编码不在物料档案里"))</f>
        <v/>
      </c>
      <c r="J1180" s="24">
        <f>IF($G1180="","",IFERROR(VLOOKUP($G1180,物料档案!$A$4:$P$1203,5,0),"※编码不在物料档案里"))</f>
        <v/>
      </c>
      <c r="K1180" s="23" t="n"/>
      <c r="L1180" s="31" t="n"/>
      <c r="M1180" s="24">
        <f>IF($G1180="","",IF($D1180="A国内","CNY","TZS"))</f>
        <v/>
      </c>
      <c r="N1180" s="28">
        <f>IF($G1180="","",IF($D1180="A国内",汇率,1))</f>
        <v/>
      </c>
      <c r="O1180" s="25">
        <f>IF($G1180="","",ROUND(N($K1180)*N($L1180),2))</f>
        <v/>
      </c>
      <c r="P1180" s="26">
        <f>IF($G1180="","",ROUND($O1180*$N1180,0))</f>
        <v/>
      </c>
      <c r="Q1180" s="26">
        <f>IF($G1180="","",SUMIFS($P$4:$P$2503,$E$4:$E$2503,$E1180,$Z$4:$Z$2503,"正常"))</f>
        <v/>
      </c>
      <c r="R1180" s="26">
        <f>IF($G1180="","",SUMIFS(费用台账!$I$4:$I$503,费用台账!$C$4:$C$503,$E1180,费用台账!$J$4:$J$503,"是",费用台账!$K$4:$K$503,"正常"))</f>
        <v/>
      </c>
      <c r="S1180" s="28">
        <f>IF($G1180="","",COUNTIFS($E$4:$E$2503,$E1180,$Z$4:$Z$2503,"正常",$Y$4:$Y$2503,"待补价"))</f>
        <v/>
      </c>
      <c r="T1180" s="26">
        <f>IF($G1180="","",SUMIFS($P$4:$P$2503,$E$4:$E$2503,$E1180,$Z$4:$Z$2503,"正常",$A$4:$A$2503,"&lt;="&amp;$A1180))</f>
        <v/>
      </c>
      <c r="U1180" s="26">
        <f>IF($G1180="","",IF(OR($S1180&gt;0,$Q1180=0,$R1180=0,$Z1180&lt;&gt;"正常"),0,ROUND($T1180/$Q1180*$R1180,0)-ROUND(($T1180-$P1180)/$Q1180*$R1180,0)))</f>
        <v/>
      </c>
      <c r="V1180" s="26">
        <f>IF($G1180="","",ROUND($P1180+$U1180,0))</f>
        <v/>
      </c>
      <c r="W1180" s="26">
        <f>IF($G1180="","",IF(N($K1180)=0,0,ROUND($V1180/$K1180,2)))</f>
        <v/>
      </c>
      <c r="X1180" s="17" t="n"/>
      <c r="Y1180" s="17" t="n"/>
      <c r="Z1180" s="17" t="n"/>
      <c r="AA1180" s="17" t="n"/>
      <c r="AB1180" s="17" t="n"/>
      <c r="AC1180" s="24">
        <f>IF($G1180="","",IF($H1180="※编码不在物料档案里","※物料编码不在档案里",IF(N($K1180)&lt;=0,"※入库数量要大于 0",IF(AND($C1180&lt;&gt;"",$C1180&lt;=结账锁),"※日期早于已结账截止日，不能再录",IF(AND($L1180=0,$X1180="正常"),"※没填单价，价格状态请选「待补价」",IF(AND($S1180&gt;0,$R1180&gt;0),"△本批有 "&amp;$S1180&amp;" 行没单价，整批运费先挂账没摊",IF(AND($B1180&lt;&gt;"",COUNTIF($B$4:$B$2503,$B1180)&gt;1),"※入库单号重复","")))))))</f>
        <v/>
      </c>
    </row>
    <row r="1181">
      <c r="A1181" s="24">
        <f>IF($G1181="","",COUNTA($G$4:$G1181))</f>
        <v/>
      </c>
      <c r="B1181" s="17" t="n"/>
      <c r="C1181" s="30" t="n"/>
      <c r="D1181" s="17" t="n"/>
      <c r="E1181" s="17" t="n"/>
      <c r="F1181" s="17" t="n"/>
      <c r="G1181" s="17" t="n"/>
      <c r="H1181" s="24">
        <f>IF($G1181="","",IFERROR(VLOOKUP($G1181,物料档案!$A$4:$P$1203,3,0),"※编码不在物料档案里"))</f>
        <v/>
      </c>
      <c r="I1181" s="24">
        <f>IF($G1181="","",IFERROR(VLOOKUP($G1181,物料档案!$A$4:$P$1203,4,0),"※编码不在物料档案里"))</f>
        <v/>
      </c>
      <c r="J1181" s="24">
        <f>IF($G1181="","",IFERROR(VLOOKUP($G1181,物料档案!$A$4:$P$1203,5,0),"※编码不在物料档案里"))</f>
        <v/>
      </c>
      <c r="K1181" s="23" t="n"/>
      <c r="L1181" s="31" t="n"/>
      <c r="M1181" s="24">
        <f>IF($G1181="","",IF($D1181="A国内","CNY","TZS"))</f>
        <v/>
      </c>
      <c r="N1181" s="28">
        <f>IF($G1181="","",IF($D1181="A国内",汇率,1))</f>
        <v/>
      </c>
      <c r="O1181" s="25">
        <f>IF($G1181="","",ROUND(N($K1181)*N($L1181),2))</f>
        <v/>
      </c>
      <c r="P1181" s="26">
        <f>IF($G1181="","",ROUND($O1181*$N1181,0))</f>
        <v/>
      </c>
      <c r="Q1181" s="26">
        <f>IF($G1181="","",SUMIFS($P$4:$P$2503,$E$4:$E$2503,$E1181,$Z$4:$Z$2503,"正常"))</f>
        <v/>
      </c>
      <c r="R1181" s="26">
        <f>IF($G1181="","",SUMIFS(费用台账!$I$4:$I$503,费用台账!$C$4:$C$503,$E1181,费用台账!$J$4:$J$503,"是",费用台账!$K$4:$K$503,"正常"))</f>
        <v/>
      </c>
      <c r="S1181" s="28">
        <f>IF($G1181="","",COUNTIFS($E$4:$E$2503,$E1181,$Z$4:$Z$2503,"正常",$Y$4:$Y$2503,"待补价"))</f>
        <v/>
      </c>
      <c r="T1181" s="26">
        <f>IF($G1181="","",SUMIFS($P$4:$P$2503,$E$4:$E$2503,$E1181,$Z$4:$Z$2503,"正常",$A$4:$A$2503,"&lt;="&amp;$A1181))</f>
        <v/>
      </c>
      <c r="U1181" s="26">
        <f>IF($G1181="","",IF(OR($S1181&gt;0,$Q1181=0,$R1181=0,$Z1181&lt;&gt;"正常"),0,ROUND($T1181/$Q1181*$R1181,0)-ROUND(($T1181-$P1181)/$Q1181*$R1181,0)))</f>
        <v/>
      </c>
      <c r="V1181" s="26">
        <f>IF($G1181="","",ROUND($P1181+$U1181,0))</f>
        <v/>
      </c>
      <c r="W1181" s="26">
        <f>IF($G1181="","",IF(N($K1181)=0,0,ROUND($V1181/$K1181,2)))</f>
        <v/>
      </c>
      <c r="X1181" s="17" t="n"/>
      <c r="Y1181" s="17" t="n"/>
      <c r="Z1181" s="17" t="n"/>
      <c r="AA1181" s="17" t="n"/>
      <c r="AB1181" s="17" t="n"/>
      <c r="AC1181" s="24">
        <f>IF($G1181="","",IF($H1181="※编码不在物料档案里","※物料编码不在档案里",IF(N($K1181)&lt;=0,"※入库数量要大于 0",IF(AND($C1181&lt;&gt;"",$C1181&lt;=结账锁),"※日期早于已结账截止日，不能再录",IF(AND($L1181=0,$X1181="正常"),"※没填单价，价格状态请选「待补价」",IF(AND($S1181&gt;0,$R1181&gt;0),"△本批有 "&amp;$S1181&amp;" 行没单价，整批运费先挂账没摊",IF(AND($B1181&lt;&gt;"",COUNTIF($B$4:$B$2503,$B1181)&gt;1),"※入库单号重复","")))))))</f>
        <v/>
      </c>
    </row>
    <row r="1182">
      <c r="A1182" s="24">
        <f>IF($G1182="","",COUNTA($G$4:$G1182))</f>
        <v/>
      </c>
      <c r="B1182" s="17" t="n"/>
      <c r="C1182" s="30" t="n"/>
      <c r="D1182" s="17" t="n"/>
      <c r="E1182" s="17" t="n"/>
      <c r="F1182" s="17" t="n"/>
      <c r="G1182" s="17" t="n"/>
      <c r="H1182" s="24">
        <f>IF($G1182="","",IFERROR(VLOOKUP($G1182,物料档案!$A$4:$P$1203,3,0),"※编码不在物料档案里"))</f>
        <v/>
      </c>
      <c r="I1182" s="24">
        <f>IF($G1182="","",IFERROR(VLOOKUP($G1182,物料档案!$A$4:$P$1203,4,0),"※编码不在物料档案里"))</f>
        <v/>
      </c>
      <c r="J1182" s="24">
        <f>IF($G1182="","",IFERROR(VLOOKUP($G1182,物料档案!$A$4:$P$1203,5,0),"※编码不在物料档案里"))</f>
        <v/>
      </c>
      <c r="K1182" s="23" t="n"/>
      <c r="L1182" s="31" t="n"/>
      <c r="M1182" s="24">
        <f>IF($G1182="","",IF($D1182="A国内","CNY","TZS"))</f>
        <v/>
      </c>
      <c r="N1182" s="28">
        <f>IF($G1182="","",IF($D1182="A国内",汇率,1))</f>
        <v/>
      </c>
      <c r="O1182" s="25">
        <f>IF($G1182="","",ROUND(N($K1182)*N($L1182),2))</f>
        <v/>
      </c>
      <c r="P1182" s="26">
        <f>IF($G1182="","",ROUND($O1182*$N1182,0))</f>
        <v/>
      </c>
      <c r="Q1182" s="26">
        <f>IF($G1182="","",SUMIFS($P$4:$P$2503,$E$4:$E$2503,$E1182,$Z$4:$Z$2503,"正常"))</f>
        <v/>
      </c>
      <c r="R1182" s="26">
        <f>IF($G1182="","",SUMIFS(费用台账!$I$4:$I$503,费用台账!$C$4:$C$503,$E1182,费用台账!$J$4:$J$503,"是",费用台账!$K$4:$K$503,"正常"))</f>
        <v/>
      </c>
      <c r="S1182" s="28">
        <f>IF($G1182="","",COUNTIFS($E$4:$E$2503,$E1182,$Z$4:$Z$2503,"正常",$Y$4:$Y$2503,"待补价"))</f>
        <v/>
      </c>
      <c r="T1182" s="26">
        <f>IF($G1182="","",SUMIFS($P$4:$P$2503,$E$4:$E$2503,$E1182,$Z$4:$Z$2503,"正常",$A$4:$A$2503,"&lt;="&amp;$A1182))</f>
        <v/>
      </c>
      <c r="U1182" s="26">
        <f>IF($G1182="","",IF(OR($S1182&gt;0,$Q1182=0,$R1182=0,$Z1182&lt;&gt;"正常"),0,ROUND($T1182/$Q1182*$R1182,0)-ROUND(($T1182-$P1182)/$Q1182*$R1182,0)))</f>
        <v/>
      </c>
      <c r="V1182" s="26">
        <f>IF($G1182="","",ROUND($P1182+$U1182,0))</f>
        <v/>
      </c>
      <c r="W1182" s="26">
        <f>IF($G1182="","",IF(N($K1182)=0,0,ROUND($V1182/$K1182,2)))</f>
        <v/>
      </c>
      <c r="X1182" s="17" t="n"/>
      <c r="Y1182" s="17" t="n"/>
      <c r="Z1182" s="17" t="n"/>
      <c r="AA1182" s="17" t="n"/>
      <c r="AB1182" s="17" t="n"/>
      <c r="AC1182" s="24">
        <f>IF($G1182="","",IF($H1182="※编码不在物料档案里","※物料编码不在档案里",IF(N($K1182)&lt;=0,"※入库数量要大于 0",IF(AND($C1182&lt;&gt;"",$C1182&lt;=结账锁),"※日期早于已结账截止日，不能再录",IF(AND($L1182=0,$X1182="正常"),"※没填单价，价格状态请选「待补价」",IF(AND($S1182&gt;0,$R1182&gt;0),"△本批有 "&amp;$S1182&amp;" 行没单价，整批运费先挂账没摊",IF(AND($B1182&lt;&gt;"",COUNTIF($B$4:$B$2503,$B1182)&gt;1),"※入库单号重复","")))))))</f>
        <v/>
      </c>
    </row>
    <row r="1183">
      <c r="A1183" s="24">
        <f>IF($G1183="","",COUNTA($G$4:$G1183))</f>
        <v/>
      </c>
      <c r="B1183" s="17" t="n"/>
      <c r="C1183" s="30" t="n"/>
      <c r="D1183" s="17" t="n"/>
      <c r="E1183" s="17" t="n"/>
      <c r="F1183" s="17" t="n"/>
      <c r="G1183" s="17" t="n"/>
      <c r="H1183" s="24">
        <f>IF($G1183="","",IFERROR(VLOOKUP($G1183,物料档案!$A$4:$P$1203,3,0),"※编码不在物料档案里"))</f>
        <v/>
      </c>
      <c r="I1183" s="24">
        <f>IF($G1183="","",IFERROR(VLOOKUP($G1183,物料档案!$A$4:$P$1203,4,0),"※编码不在物料档案里"))</f>
        <v/>
      </c>
      <c r="J1183" s="24">
        <f>IF($G1183="","",IFERROR(VLOOKUP($G1183,物料档案!$A$4:$P$1203,5,0),"※编码不在物料档案里"))</f>
        <v/>
      </c>
      <c r="K1183" s="23" t="n"/>
      <c r="L1183" s="31" t="n"/>
      <c r="M1183" s="24">
        <f>IF($G1183="","",IF($D1183="A国内","CNY","TZS"))</f>
        <v/>
      </c>
      <c r="N1183" s="28">
        <f>IF($G1183="","",IF($D1183="A国内",汇率,1))</f>
        <v/>
      </c>
      <c r="O1183" s="25">
        <f>IF($G1183="","",ROUND(N($K1183)*N($L1183),2))</f>
        <v/>
      </c>
      <c r="P1183" s="26">
        <f>IF($G1183="","",ROUND($O1183*$N1183,0))</f>
        <v/>
      </c>
      <c r="Q1183" s="26">
        <f>IF($G1183="","",SUMIFS($P$4:$P$2503,$E$4:$E$2503,$E1183,$Z$4:$Z$2503,"正常"))</f>
        <v/>
      </c>
      <c r="R1183" s="26">
        <f>IF($G1183="","",SUMIFS(费用台账!$I$4:$I$503,费用台账!$C$4:$C$503,$E1183,费用台账!$J$4:$J$503,"是",费用台账!$K$4:$K$503,"正常"))</f>
        <v/>
      </c>
      <c r="S1183" s="28">
        <f>IF($G1183="","",COUNTIFS($E$4:$E$2503,$E1183,$Z$4:$Z$2503,"正常",$Y$4:$Y$2503,"待补价"))</f>
        <v/>
      </c>
      <c r="T1183" s="26">
        <f>IF($G1183="","",SUMIFS($P$4:$P$2503,$E$4:$E$2503,$E1183,$Z$4:$Z$2503,"正常",$A$4:$A$2503,"&lt;="&amp;$A1183))</f>
        <v/>
      </c>
      <c r="U1183" s="26">
        <f>IF($G1183="","",IF(OR($S1183&gt;0,$Q1183=0,$R1183=0,$Z1183&lt;&gt;"正常"),0,ROUND($T1183/$Q1183*$R1183,0)-ROUND(($T1183-$P1183)/$Q1183*$R1183,0)))</f>
        <v/>
      </c>
      <c r="V1183" s="26">
        <f>IF($G1183="","",ROUND($P1183+$U1183,0))</f>
        <v/>
      </c>
      <c r="W1183" s="26">
        <f>IF($G1183="","",IF(N($K1183)=0,0,ROUND($V1183/$K1183,2)))</f>
        <v/>
      </c>
      <c r="X1183" s="17" t="n"/>
      <c r="Y1183" s="17" t="n"/>
      <c r="Z1183" s="17" t="n"/>
      <c r="AA1183" s="17" t="n"/>
      <c r="AB1183" s="17" t="n"/>
      <c r="AC1183" s="24">
        <f>IF($G1183="","",IF($H1183="※编码不在物料档案里","※物料编码不在档案里",IF(N($K1183)&lt;=0,"※入库数量要大于 0",IF(AND($C1183&lt;&gt;"",$C1183&lt;=结账锁),"※日期早于已结账截止日，不能再录",IF(AND($L1183=0,$X1183="正常"),"※没填单价，价格状态请选「待补价」",IF(AND($S1183&gt;0,$R1183&gt;0),"△本批有 "&amp;$S1183&amp;" 行没单价，整批运费先挂账没摊",IF(AND($B1183&lt;&gt;"",COUNTIF($B$4:$B$2503,$B1183)&gt;1),"※入库单号重复","")))))))</f>
        <v/>
      </c>
    </row>
    <row r="1184">
      <c r="A1184" s="24">
        <f>IF($G1184="","",COUNTA($G$4:$G1184))</f>
        <v/>
      </c>
      <c r="B1184" s="17" t="n"/>
      <c r="C1184" s="30" t="n"/>
      <c r="D1184" s="17" t="n"/>
      <c r="E1184" s="17" t="n"/>
      <c r="F1184" s="17" t="n"/>
      <c r="G1184" s="17" t="n"/>
      <c r="H1184" s="24">
        <f>IF($G1184="","",IFERROR(VLOOKUP($G1184,物料档案!$A$4:$P$1203,3,0),"※编码不在物料档案里"))</f>
        <v/>
      </c>
      <c r="I1184" s="24">
        <f>IF($G1184="","",IFERROR(VLOOKUP($G1184,物料档案!$A$4:$P$1203,4,0),"※编码不在物料档案里"))</f>
        <v/>
      </c>
      <c r="J1184" s="24">
        <f>IF($G1184="","",IFERROR(VLOOKUP($G1184,物料档案!$A$4:$P$1203,5,0),"※编码不在物料档案里"))</f>
        <v/>
      </c>
      <c r="K1184" s="23" t="n"/>
      <c r="L1184" s="31" t="n"/>
      <c r="M1184" s="24">
        <f>IF($G1184="","",IF($D1184="A国内","CNY","TZS"))</f>
        <v/>
      </c>
      <c r="N1184" s="28">
        <f>IF($G1184="","",IF($D1184="A国内",汇率,1))</f>
        <v/>
      </c>
      <c r="O1184" s="25">
        <f>IF($G1184="","",ROUND(N($K1184)*N($L1184),2))</f>
        <v/>
      </c>
      <c r="P1184" s="26">
        <f>IF($G1184="","",ROUND($O1184*$N1184,0))</f>
        <v/>
      </c>
      <c r="Q1184" s="26">
        <f>IF($G1184="","",SUMIFS($P$4:$P$2503,$E$4:$E$2503,$E1184,$Z$4:$Z$2503,"正常"))</f>
        <v/>
      </c>
      <c r="R1184" s="26">
        <f>IF($G1184="","",SUMIFS(费用台账!$I$4:$I$503,费用台账!$C$4:$C$503,$E1184,费用台账!$J$4:$J$503,"是",费用台账!$K$4:$K$503,"正常"))</f>
        <v/>
      </c>
      <c r="S1184" s="28">
        <f>IF($G1184="","",COUNTIFS($E$4:$E$2503,$E1184,$Z$4:$Z$2503,"正常",$Y$4:$Y$2503,"待补价"))</f>
        <v/>
      </c>
      <c r="T1184" s="26">
        <f>IF($G1184="","",SUMIFS($P$4:$P$2503,$E$4:$E$2503,$E1184,$Z$4:$Z$2503,"正常",$A$4:$A$2503,"&lt;="&amp;$A1184))</f>
        <v/>
      </c>
      <c r="U1184" s="26">
        <f>IF($G1184="","",IF(OR($S1184&gt;0,$Q1184=0,$R1184=0,$Z1184&lt;&gt;"正常"),0,ROUND($T1184/$Q1184*$R1184,0)-ROUND(($T1184-$P1184)/$Q1184*$R1184,0)))</f>
        <v/>
      </c>
      <c r="V1184" s="26">
        <f>IF($G1184="","",ROUND($P1184+$U1184,0))</f>
        <v/>
      </c>
      <c r="W1184" s="26">
        <f>IF($G1184="","",IF(N($K1184)=0,0,ROUND($V1184/$K1184,2)))</f>
        <v/>
      </c>
      <c r="X1184" s="17" t="n"/>
      <c r="Y1184" s="17" t="n"/>
      <c r="Z1184" s="17" t="n"/>
      <c r="AA1184" s="17" t="n"/>
      <c r="AB1184" s="17" t="n"/>
      <c r="AC1184" s="24">
        <f>IF($G1184="","",IF($H1184="※编码不在物料档案里","※物料编码不在档案里",IF(N($K1184)&lt;=0,"※入库数量要大于 0",IF(AND($C1184&lt;&gt;"",$C1184&lt;=结账锁),"※日期早于已结账截止日，不能再录",IF(AND($L1184=0,$X1184="正常"),"※没填单价，价格状态请选「待补价」",IF(AND($S1184&gt;0,$R1184&gt;0),"△本批有 "&amp;$S1184&amp;" 行没单价，整批运费先挂账没摊",IF(AND($B1184&lt;&gt;"",COUNTIF($B$4:$B$2503,$B1184)&gt;1),"※入库单号重复","")))))))</f>
        <v/>
      </c>
    </row>
    <row r="1185">
      <c r="A1185" s="24">
        <f>IF($G1185="","",COUNTA($G$4:$G1185))</f>
        <v/>
      </c>
      <c r="B1185" s="17" t="n"/>
      <c r="C1185" s="30" t="n"/>
      <c r="D1185" s="17" t="n"/>
      <c r="E1185" s="17" t="n"/>
      <c r="F1185" s="17" t="n"/>
      <c r="G1185" s="17" t="n"/>
      <c r="H1185" s="24">
        <f>IF($G1185="","",IFERROR(VLOOKUP($G1185,物料档案!$A$4:$P$1203,3,0),"※编码不在物料档案里"))</f>
        <v/>
      </c>
      <c r="I1185" s="24">
        <f>IF($G1185="","",IFERROR(VLOOKUP($G1185,物料档案!$A$4:$P$1203,4,0),"※编码不在物料档案里"))</f>
        <v/>
      </c>
      <c r="J1185" s="24">
        <f>IF($G1185="","",IFERROR(VLOOKUP($G1185,物料档案!$A$4:$P$1203,5,0),"※编码不在物料档案里"))</f>
        <v/>
      </c>
      <c r="K1185" s="23" t="n"/>
      <c r="L1185" s="31" t="n"/>
      <c r="M1185" s="24">
        <f>IF($G1185="","",IF($D1185="A国内","CNY","TZS"))</f>
        <v/>
      </c>
      <c r="N1185" s="28">
        <f>IF($G1185="","",IF($D1185="A国内",汇率,1))</f>
        <v/>
      </c>
      <c r="O1185" s="25">
        <f>IF($G1185="","",ROUND(N($K1185)*N($L1185),2))</f>
        <v/>
      </c>
      <c r="P1185" s="26">
        <f>IF($G1185="","",ROUND($O1185*$N1185,0))</f>
        <v/>
      </c>
      <c r="Q1185" s="26">
        <f>IF($G1185="","",SUMIFS($P$4:$P$2503,$E$4:$E$2503,$E1185,$Z$4:$Z$2503,"正常"))</f>
        <v/>
      </c>
      <c r="R1185" s="26">
        <f>IF($G1185="","",SUMIFS(费用台账!$I$4:$I$503,费用台账!$C$4:$C$503,$E1185,费用台账!$J$4:$J$503,"是",费用台账!$K$4:$K$503,"正常"))</f>
        <v/>
      </c>
      <c r="S1185" s="28">
        <f>IF($G1185="","",COUNTIFS($E$4:$E$2503,$E1185,$Z$4:$Z$2503,"正常",$Y$4:$Y$2503,"待补价"))</f>
        <v/>
      </c>
      <c r="T1185" s="26">
        <f>IF($G1185="","",SUMIFS($P$4:$P$2503,$E$4:$E$2503,$E1185,$Z$4:$Z$2503,"正常",$A$4:$A$2503,"&lt;="&amp;$A1185))</f>
        <v/>
      </c>
      <c r="U1185" s="26">
        <f>IF($G1185="","",IF(OR($S1185&gt;0,$Q1185=0,$R1185=0,$Z1185&lt;&gt;"正常"),0,ROUND($T1185/$Q1185*$R1185,0)-ROUND(($T1185-$P1185)/$Q1185*$R1185,0)))</f>
        <v/>
      </c>
      <c r="V1185" s="26">
        <f>IF($G1185="","",ROUND($P1185+$U1185,0))</f>
        <v/>
      </c>
      <c r="W1185" s="26">
        <f>IF($G1185="","",IF(N($K1185)=0,0,ROUND($V1185/$K1185,2)))</f>
        <v/>
      </c>
      <c r="X1185" s="17" t="n"/>
      <c r="Y1185" s="17" t="n"/>
      <c r="Z1185" s="17" t="n"/>
      <c r="AA1185" s="17" t="n"/>
      <c r="AB1185" s="17" t="n"/>
      <c r="AC1185" s="24">
        <f>IF($G1185="","",IF($H1185="※编码不在物料档案里","※物料编码不在档案里",IF(N($K1185)&lt;=0,"※入库数量要大于 0",IF(AND($C1185&lt;&gt;"",$C1185&lt;=结账锁),"※日期早于已结账截止日，不能再录",IF(AND($L1185=0,$X1185="正常"),"※没填单价，价格状态请选「待补价」",IF(AND($S1185&gt;0,$R1185&gt;0),"△本批有 "&amp;$S1185&amp;" 行没单价，整批运费先挂账没摊",IF(AND($B1185&lt;&gt;"",COUNTIF($B$4:$B$2503,$B1185)&gt;1),"※入库单号重复","")))))))</f>
        <v/>
      </c>
    </row>
    <row r="1186">
      <c r="A1186" s="24">
        <f>IF($G1186="","",COUNTA($G$4:$G1186))</f>
        <v/>
      </c>
      <c r="B1186" s="17" t="n"/>
      <c r="C1186" s="30" t="n"/>
      <c r="D1186" s="17" t="n"/>
      <c r="E1186" s="17" t="n"/>
      <c r="F1186" s="17" t="n"/>
      <c r="G1186" s="17" t="n"/>
      <c r="H1186" s="24">
        <f>IF($G1186="","",IFERROR(VLOOKUP($G1186,物料档案!$A$4:$P$1203,3,0),"※编码不在物料档案里"))</f>
        <v/>
      </c>
      <c r="I1186" s="24">
        <f>IF($G1186="","",IFERROR(VLOOKUP($G1186,物料档案!$A$4:$P$1203,4,0),"※编码不在物料档案里"))</f>
        <v/>
      </c>
      <c r="J1186" s="24">
        <f>IF($G1186="","",IFERROR(VLOOKUP($G1186,物料档案!$A$4:$P$1203,5,0),"※编码不在物料档案里"))</f>
        <v/>
      </c>
      <c r="K1186" s="23" t="n"/>
      <c r="L1186" s="31" t="n"/>
      <c r="M1186" s="24">
        <f>IF($G1186="","",IF($D1186="A国内","CNY","TZS"))</f>
        <v/>
      </c>
      <c r="N1186" s="28">
        <f>IF($G1186="","",IF($D1186="A国内",汇率,1))</f>
        <v/>
      </c>
      <c r="O1186" s="25">
        <f>IF($G1186="","",ROUND(N($K1186)*N($L1186),2))</f>
        <v/>
      </c>
      <c r="P1186" s="26">
        <f>IF($G1186="","",ROUND($O1186*$N1186,0))</f>
        <v/>
      </c>
      <c r="Q1186" s="26">
        <f>IF($G1186="","",SUMIFS($P$4:$P$2503,$E$4:$E$2503,$E1186,$Z$4:$Z$2503,"正常"))</f>
        <v/>
      </c>
      <c r="R1186" s="26">
        <f>IF($G1186="","",SUMIFS(费用台账!$I$4:$I$503,费用台账!$C$4:$C$503,$E1186,费用台账!$J$4:$J$503,"是",费用台账!$K$4:$K$503,"正常"))</f>
        <v/>
      </c>
      <c r="S1186" s="28">
        <f>IF($G1186="","",COUNTIFS($E$4:$E$2503,$E1186,$Z$4:$Z$2503,"正常",$Y$4:$Y$2503,"待补价"))</f>
        <v/>
      </c>
      <c r="T1186" s="26">
        <f>IF($G1186="","",SUMIFS($P$4:$P$2503,$E$4:$E$2503,$E1186,$Z$4:$Z$2503,"正常",$A$4:$A$2503,"&lt;="&amp;$A1186))</f>
        <v/>
      </c>
      <c r="U1186" s="26">
        <f>IF($G1186="","",IF(OR($S1186&gt;0,$Q1186=0,$R1186=0,$Z1186&lt;&gt;"正常"),0,ROUND($T1186/$Q1186*$R1186,0)-ROUND(($T1186-$P1186)/$Q1186*$R1186,0)))</f>
        <v/>
      </c>
      <c r="V1186" s="26">
        <f>IF($G1186="","",ROUND($P1186+$U1186,0))</f>
        <v/>
      </c>
      <c r="W1186" s="26">
        <f>IF($G1186="","",IF(N($K1186)=0,0,ROUND($V1186/$K1186,2)))</f>
        <v/>
      </c>
      <c r="X1186" s="17" t="n"/>
      <c r="Y1186" s="17" t="n"/>
      <c r="Z1186" s="17" t="n"/>
      <c r="AA1186" s="17" t="n"/>
      <c r="AB1186" s="17" t="n"/>
      <c r="AC1186" s="24">
        <f>IF($G1186="","",IF($H1186="※编码不在物料档案里","※物料编码不在档案里",IF(N($K1186)&lt;=0,"※入库数量要大于 0",IF(AND($C1186&lt;&gt;"",$C1186&lt;=结账锁),"※日期早于已结账截止日，不能再录",IF(AND($L1186=0,$X1186="正常"),"※没填单价，价格状态请选「待补价」",IF(AND($S1186&gt;0,$R1186&gt;0),"△本批有 "&amp;$S1186&amp;" 行没单价，整批运费先挂账没摊",IF(AND($B1186&lt;&gt;"",COUNTIF($B$4:$B$2503,$B1186)&gt;1),"※入库单号重复","")))))))</f>
        <v/>
      </c>
    </row>
    <row r="1187">
      <c r="A1187" s="24">
        <f>IF($G1187="","",COUNTA($G$4:$G1187))</f>
        <v/>
      </c>
      <c r="B1187" s="17" t="n"/>
      <c r="C1187" s="30" t="n"/>
      <c r="D1187" s="17" t="n"/>
      <c r="E1187" s="17" t="n"/>
      <c r="F1187" s="17" t="n"/>
      <c r="G1187" s="17" t="n"/>
      <c r="H1187" s="24">
        <f>IF($G1187="","",IFERROR(VLOOKUP($G1187,物料档案!$A$4:$P$1203,3,0),"※编码不在物料档案里"))</f>
        <v/>
      </c>
      <c r="I1187" s="24">
        <f>IF($G1187="","",IFERROR(VLOOKUP($G1187,物料档案!$A$4:$P$1203,4,0),"※编码不在物料档案里"))</f>
        <v/>
      </c>
      <c r="J1187" s="24">
        <f>IF($G1187="","",IFERROR(VLOOKUP($G1187,物料档案!$A$4:$P$1203,5,0),"※编码不在物料档案里"))</f>
        <v/>
      </c>
      <c r="K1187" s="23" t="n"/>
      <c r="L1187" s="31" t="n"/>
      <c r="M1187" s="24">
        <f>IF($G1187="","",IF($D1187="A国内","CNY","TZS"))</f>
        <v/>
      </c>
      <c r="N1187" s="28">
        <f>IF($G1187="","",IF($D1187="A国内",汇率,1))</f>
        <v/>
      </c>
      <c r="O1187" s="25">
        <f>IF($G1187="","",ROUND(N($K1187)*N($L1187),2))</f>
        <v/>
      </c>
      <c r="P1187" s="26">
        <f>IF($G1187="","",ROUND($O1187*$N1187,0))</f>
        <v/>
      </c>
      <c r="Q1187" s="26">
        <f>IF($G1187="","",SUMIFS($P$4:$P$2503,$E$4:$E$2503,$E1187,$Z$4:$Z$2503,"正常"))</f>
        <v/>
      </c>
      <c r="R1187" s="26">
        <f>IF($G1187="","",SUMIFS(费用台账!$I$4:$I$503,费用台账!$C$4:$C$503,$E1187,费用台账!$J$4:$J$503,"是",费用台账!$K$4:$K$503,"正常"))</f>
        <v/>
      </c>
      <c r="S1187" s="28">
        <f>IF($G1187="","",COUNTIFS($E$4:$E$2503,$E1187,$Z$4:$Z$2503,"正常",$Y$4:$Y$2503,"待补价"))</f>
        <v/>
      </c>
      <c r="T1187" s="26">
        <f>IF($G1187="","",SUMIFS($P$4:$P$2503,$E$4:$E$2503,$E1187,$Z$4:$Z$2503,"正常",$A$4:$A$2503,"&lt;="&amp;$A1187))</f>
        <v/>
      </c>
      <c r="U1187" s="26">
        <f>IF($G1187="","",IF(OR($S1187&gt;0,$Q1187=0,$R1187=0,$Z1187&lt;&gt;"正常"),0,ROUND($T1187/$Q1187*$R1187,0)-ROUND(($T1187-$P1187)/$Q1187*$R1187,0)))</f>
        <v/>
      </c>
      <c r="V1187" s="26">
        <f>IF($G1187="","",ROUND($P1187+$U1187,0))</f>
        <v/>
      </c>
      <c r="W1187" s="26">
        <f>IF($G1187="","",IF(N($K1187)=0,0,ROUND($V1187/$K1187,2)))</f>
        <v/>
      </c>
      <c r="X1187" s="17" t="n"/>
      <c r="Y1187" s="17" t="n"/>
      <c r="Z1187" s="17" t="n"/>
      <c r="AA1187" s="17" t="n"/>
      <c r="AB1187" s="17" t="n"/>
      <c r="AC1187" s="24">
        <f>IF($G1187="","",IF($H1187="※编码不在物料档案里","※物料编码不在档案里",IF(N($K1187)&lt;=0,"※入库数量要大于 0",IF(AND($C1187&lt;&gt;"",$C1187&lt;=结账锁),"※日期早于已结账截止日，不能再录",IF(AND($L1187=0,$X1187="正常"),"※没填单价，价格状态请选「待补价」",IF(AND($S1187&gt;0,$R1187&gt;0),"△本批有 "&amp;$S1187&amp;" 行没单价，整批运费先挂账没摊",IF(AND($B1187&lt;&gt;"",COUNTIF($B$4:$B$2503,$B1187)&gt;1),"※入库单号重复","")))))))</f>
        <v/>
      </c>
    </row>
    <row r="1188">
      <c r="A1188" s="24">
        <f>IF($G1188="","",COUNTA($G$4:$G1188))</f>
        <v/>
      </c>
      <c r="B1188" s="17" t="n"/>
      <c r="C1188" s="30" t="n"/>
      <c r="D1188" s="17" t="n"/>
      <c r="E1188" s="17" t="n"/>
      <c r="F1188" s="17" t="n"/>
      <c r="G1188" s="17" t="n"/>
      <c r="H1188" s="24">
        <f>IF($G1188="","",IFERROR(VLOOKUP($G1188,物料档案!$A$4:$P$1203,3,0),"※编码不在物料档案里"))</f>
        <v/>
      </c>
      <c r="I1188" s="24">
        <f>IF($G1188="","",IFERROR(VLOOKUP($G1188,物料档案!$A$4:$P$1203,4,0),"※编码不在物料档案里"))</f>
        <v/>
      </c>
      <c r="J1188" s="24">
        <f>IF($G1188="","",IFERROR(VLOOKUP($G1188,物料档案!$A$4:$P$1203,5,0),"※编码不在物料档案里"))</f>
        <v/>
      </c>
      <c r="K1188" s="23" t="n"/>
      <c r="L1188" s="31" t="n"/>
      <c r="M1188" s="24">
        <f>IF($G1188="","",IF($D1188="A国内","CNY","TZS"))</f>
        <v/>
      </c>
      <c r="N1188" s="28">
        <f>IF($G1188="","",IF($D1188="A国内",汇率,1))</f>
        <v/>
      </c>
      <c r="O1188" s="25">
        <f>IF($G1188="","",ROUND(N($K1188)*N($L1188),2))</f>
        <v/>
      </c>
      <c r="P1188" s="26">
        <f>IF($G1188="","",ROUND($O1188*$N1188,0))</f>
        <v/>
      </c>
      <c r="Q1188" s="26">
        <f>IF($G1188="","",SUMIFS($P$4:$P$2503,$E$4:$E$2503,$E1188,$Z$4:$Z$2503,"正常"))</f>
        <v/>
      </c>
      <c r="R1188" s="26">
        <f>IF($G1188="","",SUMIFS(费用台账!$I$4:$I$503,费用台账!$C$4:$C$503,$E1188,费用台账!$J$4:$J$503,"是",费用台账!$K$4:$K$503,"正常"))</f>
        <v/>
      </c>
      <c r="S1188" s="28">
        <f>IF($G1188="","",COUNTIFS($E$4:$E$2503,$E1188,$Z$4:$Z$2503,"正常",$Y$4:$Y$2503,"待补价"))</f>
        <v/>
      </c>
      <c r="T1188" s="26">
        <f>IF($G1188="","",SUMIFS($P$4:$P$2503,$E$4:$E$2503,$E1188,$Z$4:$Z$2503,"正常",$A$4:$A$2503,"&lt;="&amp;$A1188))</f>
        <v/>
      </c>
      <c r="U1188" s="26">
        <f>IF($G1188="","",IF(OR($S1188&gt;0,$Q1188=0,$R1188=0,$Z1188&lt;&gt;"正常"),0,ROUND($T1188/$Q1188*$R1188,0)-ROUND(($T1188-$P1188)/$Q1188*$R1188,0)))</f>
        <v/>
      </c>
      <c r="V1188" s="26">
        <f>IF($G1188="","",ROUND($P1188+$U1188,0))</f>
        <v/>
      </c>
      <c r="W1188" s="26">
        <f>IF($G1188="","",IF(N($K1188)=0,0,ROUND($V1188/$K1188,2)))</f>
        <v/>
      </c>
      <c r="X1188" s="17" t="n"/>
      <c r="Y1188" s="17" t="n"/>
      <c r="Z1188" s="17" t="n"/>
      <c r="AA1188" s="17" t="n"/>
      <c r="AB1188" s="17" t="n"/>
      <c r="AC1188" s="24">
        <f>IF($G1188="","",IF($H1188="※编码不在物料档案里","※物料编码不在档案里",IF(N($K1188)&lt;=0,"※入库数量要大于 0",IF(AND($C1188&lt;&gt;"",$C1188&lt;=结账锁),"※日期早于已结账截止日，不能再录",IF(AND($L1188=0,$X1188="正常"),"※没填单价，价格状态请选「待补价」",IF(AND($S1188&gt;0,$R1188&gt;0),"△本批有 "&amp;$S1188&amp;" 行没单价，整批运费先挂账没摊",IF(AND($B1188&lt;&gt;"",COUNTIF($B$4:$B$2503,$B1188)&gt;1),"※入库单号重复","")))))))</f>
        <v/>
      </c>
    </row>
    <row r="1189">
      <c r="A1189" s="24">
        <f>IF($G1189="","",COUNTA($G$4:$G1189))</f>
        <v/>
      </c>
      <c r="B1189" s="17" t="n"/>
      <c r="C1189" s="30" t="n"/>
      <c r="D1189" s="17" t="n"/>
      <c r="E1189" s="17" t="n"/>
      <c r="F1189" s="17" t="n"/>
      <c r="G1189" s="17" t="n"/>
      <c r="H1189" s="24">
        <f>IF($G1189="","",IFERROR(VLOOKUP($G1189,物料档案!$A$4:$P$1203,3,0),"※编码不在物料档案里"))</f>
        <v/>
      </c>
      <c r="I1189" s="24">
        <f>IF($G1189="","",IFERROR(VLOOKUP($G1189,物料档案!$A$4:$P$1203,4,0),"※编码不在物料档案里"))</f>
        <v/>
      </c>
      <c r="J1189" s="24">
        <f>IF($G1189="","",IFERROR(VLOOKUP($G1189,物料档案!$A$4:$P$1203,5,0),"※编码不在物料档案里"))</f>
        <v/>
      </c>
      <c r="K1189" s="23" t="n"/>
      <c r="L1189" s="31" t="n"/>
      <c r="M1189" s="24">
        <f>IF($G1189="","",IF($D1189="A国内","CNY","TZS"))</f>
        <v/>
      </c>
      <c r="N1189" s="28">
        <f>IF($G1189="","",IF($D1189="A国内",汇率,1))</f>
        <v/>
      </c>
      <c r="O1189" s="25">
        <f>IF($G1189="","",ROUND(N($K1189)*N($L1189),2))</f>
        <v/>
      </c>
      <c r="P1189" s="26">
        <f>IF($G1189="","",ROUND($O1189*$N1189,0))</f>
        <v/>
      </c>
      <c r="Q1189" s="26">
        <f>IF($G1189="","",SUMIFS($P$4:$P$2503,$E$4:$E$2503,$E1189,$Z$4:$Z$2503,"正常"))</f>
        <v/>
      </c>
      <c r="R1189" s="26">
        <f>IF($G1189="","",SUMIFS(费用台账!$I$4:$I$503,费用台账!$C$4:$C$503,$E1189,费用台账!$J$4:$J$503,"是",费用台账!$K$4:$K$503,"正常"))</f>
        <v/>
      </c>
      <c r="S1189" s="28">
        <f>IF($G1189="","",COUNTIFS($E$4:$E$2503,$E1189,$Z$4:$Z$2503,"正常",$Y$4:$Y$2503,"待补价"))</f>
        <v/>
      </c>
      <c r="T1189" s="26">
        <f>IF($G1189="","",SUMIFS($P$4:$P$2503,$E$4:$E$2503,$E1189,$Z$4:$Z$2503,"正常",$A$4:$A$2503,"&lt;="&amp;$A1189))</f>
        <v/>
      </c>
      <c r="U1189" s="26">
        <f>IF($G1189="","",IF(OR($S1189&gt;0,$Q1189=0,$R1189=0,$Z1189&lt;&gt;"正常"),0,ROUND($T1189/$Q1189*$R1189,0)-ROUND(($T1189-$P1189)/$Q1189*$R1189,0)))</f>
        <v/>
      </c>
      <c r="V1189" s="26">
        <f>IF($G1189="","",ROUND($P1189+$U1189,0))</f>
        <v/>
      </c>
      <c r="W1189" s="26">
        <f>IF($G1189="","",IF(N($K1189)=0,0,ROUND($V1189/$K1189,2)))</f>
        <v/>
      </c>
      <c r="X1189" s="17" t="n"/>
      <c r="Y1189" s="17" t="n"/>
      <c r="Z1189" s="17" t="n"/>
      <c r="AA1189" s="17" t="n"/>
      <c r="AB1189" s="17" t="n"/>
      <c r="AC1189" s="24">
        <f>IF($G1189="","",IF($H1189="※编码不在物料档案里","※物料编码不在档案里",IF(N($K1189)&lt;=0,"※入库数量要大于 0",IF(AND($C1189&lt;&gt;"",$C1189&lt;=结账锁),"※日期早于已结账截止日，不能再录",IF(AND($L1189=0,$X1189="正常"),"※没填单价，价格状态请选「待补价」",IF(AND($S1189&gt;0,$R1189&gt;0),"△本批有 "&amp;$S1189&amp;" 行没单价，整批运费先挂账没摊",IF(AND($B1189&lt;&gt;"",COUNTIF($B$4:$B$2503,$B1189)&gt;1),"※入库单号重复","")))))))</f>
        <v/>
      </c>
    </row>
    <row r="1190">
      <c r="A1190" s="24">
        <f>IF($G1190="","",COUNTA($G$4:$G1190))</f>
        <v/>
      </c>
      <c r="B1190" s="17" t="n"/>
      <c r="C1190" s="30" t="n"/>
      <c r="D1190" s="17" t="n"/>
      <c r="E1190" s="17" t="n"/>
      <c r="F1190" s="17" t="n"/>
      <c r="G1190" s="17" t="n"/>
      <c r="H1190" s="24">
        <f>IF($G1190="","",IFERROR(VLOOKUP($G1190,物料档案!$A$4:$P$1203,3,0),"※编码不在物料档案里"))</f>
        <v/>
      </c>
      <c r="I1190" s="24">
        <f>IF($G1190="","",IFERROR(VLOOKUP($G1190,物料档案!$A$4:$P$1203,4,0),"※编码不在物料档案里"))</f>
        <v/>
      </c>
      <c r="J1190" s="24">
        <f>IF($G1190="","",IFERROR(VLOOKUP($G1190,物料档案!$A$4:$P$1203,5,0),"※编码不在物料档案里"))</f>
        <v/>
      </c>
      <c r="K1190" s="23" t="n"/>
      <c r="L1190" s="31" t="n"/>
      <c r="M1190" s="24">
        <f>IF($G1190="","",IF($D1190="A国内","CNY","TZS"))</f>
        <v/>
      </c>
      <c r="N1190" s="28">
        <f>IF($G1190="","",IF($D1190="A国内",汇率,1))</f>
        <v/>
      </c>
      <c r="O1190" s="25">
        <f>IF($G1190="","",ROUND(N($K1190)*N($L1190),2))</f>
        <v/>
      </c>
      <c r="P1190" s="26">
        <f>IF($G1190="","",ROUND($O1190*$N1190,0))</f>
        <v/>
      </c>
      <c r="Q1190" s="26">
        <f>IF($G1190="","",SUMIFS($P$4:$P$2503,$E$4:$E$2503,$E1190,$Z$4:$Z$2503,"正常"))</f>
        <v/>
      </c>
      <c r="R1190" s="26">
        <f>IF($G1190="","",SUMIFS(费用台账!$I$4:$I$503,费用台账!$C$4:$C$503,$E1190,费用台账!$J$4:$J$503,"是",费用台账!$K$4:$K$503,"正常"))</f>
        <v/>
      </c>
      <c r="S1190" s="28">
        <f>IF($G1190="","",COUNTIFS($E$4:$E$2503,$E1190,$Z$4:$Z$2503,"正常",$Y$4:$Y$2503,"待补价"))</f>
        <v/>
      </c>
      <c r="T1190" s="26">
        <f>IF($G1190="","",SUMIFS($P$4:$P$2503,$E$4:$E$2503,$E1190,$Z$4:$Z$2503,"正常",$A$4:$A$2503,"&lt;="&amp;$A1190))</f>
        <v/>
      </c>
      <c r="U1190" s="26">
        <f>IF($G1190="","",IF(OR($S1190&gt;0,$Q1190=0,$R1190=0,$Z1190&lt;&gt;"正常"),0,ROUND($T1190/$Q1190*$R1190,0)-ROUND(($T1190-$P1190)/$Q1190*$R1190,0)))</f>
        <v/>
      </c>
      <c r="V1190" s="26">
        <f>IF($G1190="","",ROUND($P1190+$U1190,0))</f>
        <v/>
      </c>
      <c r="W1190" s="26">
        <f>IF($G1190="","",IF(N($K1190)=0,0,ROUND($V1190/$K1190,2)))</f>
        <v/>
      </c>
      <c r="X1190" s="17" t="n"/>
      <c r="Y1190" s="17" t="n"/>
      <c r="Z1190" s="17" t="n"/>
      <c r="AA1190" s="17" t="n"/>
      <c r="AB1190" s="17" t="n"/>
      <c r="AC1190" s="24">
        <f>IF($G1190="","",IF($H1190="※编码不在物料档案里","※物料编码不在档案里",IF(N($K1190)&lt;=0,"※入库数量要大于 0",IF(AND($C1190&lt;&gt;"",$C1190&lt;=结账锁),"※日期早于已结账截止日，不能再录",IF(AND($L1190=0,$X1190="正常"),"※没填单价，价格状态请选「待补价」",IF(AND($S1190&gt;0,$R1190&gt;0),"△本批有 "&amp;$S1190&amp;" 行没单价，整批运费先挂账没摊",IF(AND($B1190&lt;&gt;"",COUNTIF($B$4:$B$2503,$B1190)&gt;1),"※入库单号重复","")))))))</f>
        <v/>
      </c>
    </row>
    <row r="1191">
      <c r="A1191" s="24">
        <f>IF($G1191="","",COUNTA($G$4:$G1191))</f>
        <v/>
      </c>
      <c r="B1191" s="17" t="n"/>
      <c r="C1191" s="30" t="n"/>
      <c r="D1191" s="17" t="n"/>
      <c r="E1191" s="17" t="n"/>
      <c r="F1191" s="17" t="n"/>
      <c r="G1191" s="17" t="n"/>
      <c r="H1191" s="24">
        <f>IF($G1191="","",IFERROR(VLOOKUP($G1191,物料档案!$A$4:$P$1203,3,0),"※编码不在物料档案里"))</f>
        <v/>
      </c>
      <c r="I1191" s="24">
        <f>IF($G1191="","",IFERROR(VLOOKUP($G1191,物料档案!$A$4:$P$1203,4,0),"※编码不在物料档案里"))</f>
        <v/>
      </c>
      <c r="J1191" s="24">
        <f>IF($G1191="","",IFERROR(VLOOKUP($G1191,物料档案!$A$4:$P$1203,5,0),"※编码不在物料档案里"))</f>
        <v/>
      </c>
      <c r="K1191" s="23" t="n"/>
      <c r="L1191" s="31" t="n"/>
      <c r="M1191" s="24">
        <f>IF($G1191="","",IF($D1191="A国内","CNY","TZS"))</f>
        <v/>
      </c>
      <c r="N1191" s="28">
        <f>IF($G1191="","",IF($D1191="A国内",汇率,1))</f>
        <v/>
      </c>
      <c r="O1191" s="25">
        <f>IF($G1191="","",ROUND(N($K1191)*N($L1191),2))</f>
        <v/>
      </c>
      <c r="P1191" s="26">
        <f>IF($G1191="","",ROUND($O1191*$N1191,0))</f>
        <v/>
      </c>
      <c r="Q1191" s="26">
        <f>IF($G1191="","",SUMIFS($P$4:$P$2503,$E$4:$E$2503,$E1191,$Z$4:$Z$2503,"正常"))</f>
        <v/>
      </c>
      <c r="R1191" s="26">
        <f>IF($G1191="","",SUMIFS(费用台账!$I$4:$I$503,费用台账!$C$4:$C$503,$E1191,费用台账!$J$4:$J$503,"是",费用台账!$K$4:$K$503,"正常"))</f>
        <v/>
      </c>
      <c r="S1191" s="28">
        <f>IF($G1191="","",COUNTIFS($E$4:$E$2503,$E1191,$Z$4:$Z$2503,"正常",$Y$4:$Y$2503,"待补价"))</f>
        <v/>
      </c>
      <c r="T1191" s="26">
        <f>IF($G1191="","",SUMIFS($P$4:$P$2503,$E$4:$E$2503,$E1191,$Z$4:$Z$2503,"正常",$A$4:$A$2503,"&lt;="&amp;$A1191))</f>
        <v/>
      </c>
      <c r="U1191" s="26">
        <f>IF($G1191="","",IF(OR($S1191&gt;0,$Q1191=0,$R1191=0,$Z1191&lt;&gt;"正常"),0,ROUND($T1191/$Q1191*$R1191,0)-ROUND(($T1191-$P1191)/$Q1191*$R1191,0)))</f>
        <v/>
      </c>
      <c r="V1191" s="26">
        <f>IF($G1191="","",ROUND($P1191+$U1191,0))</f>
        <v/>
      </c>
      <c r="W1191" s="26">
        <f>IF($G1191="","",IF(N($K1191)=0,0,ROUND($V1191/$K1191,2)))</f>
        <v/>
      </c>
      <c r="X1191" s="17" t="n"/>
      <c r="Y1191" s="17" t="n"/>
      <c r="Z1191" s="17" t="n"/>
      <c r="AA1191" s="17" t="n"/>
      <c r="AB1191" s="17" t="n"/>
      <c r="AC1191" s="24">
        <f>IF($G1191="","",IF($H1191="※编码不在物料档案里","※物料编码不在档案里",IF(N($K1191)&lt;=0,"※入库数量要大于 0",IF(AND($C1191&lt;&gt;"",$C1191&lt;=结账锁),"※日期早于已结账截止日，不能再录",IF(AND($L1191=0,$X1191="正常"),"※没填单价，价格状态请选「待补价」",IF(AND($S1191&gt;0,$R1191&gt;0),"△本批有 "&amp;$S1191&amp;" 行没单价，整批运费先挂账没摊",IF(AND($B1191&lt;&gt;"",COUNTIF($B$4:$B$2503,$B1191)&gt;1),"※入库单号重复","")))))))</f>
        <v/>
      </c>
    </row>
    <row r="1192">
      <c r="A1192" s="24">
        <f>IF($G1192="","",COUNTA($G$4:$G1192))</f>
        <v/>
      </c>
      <c r="B1192" s="17" t="n"/>
      <c r="C1192" s="30" t="n"/>
      <c r="D1192" s="17" t="n"/>
      <c r="E1192" s="17" t="n"/>
      <c r="F1192" s="17" t="n"/>
      <c r="G1192" s="17" t="n"/>
      <c r="H1192" s="24">
        <f>IF($G1192="","",IFERROR(VLOOKUP($G1192,物料档案!$A$4:$P$1203,3,0),"※编码不在物料档案里"))</f>
        <v/>
      </c>
      <c r="I1192" s="24">
        <f>IF($G1192="","",IFERROR(VLOOKUP($G1192,物料档案!$A$4:$P$1203,4,0),"※编码不在物料档案里"))</f>
        <v/>
      </c>
      <c r="J1192" s="24">
        <f>IF($G1192="","",IFERROR(VLOOKUP($G1192,物料档案!$A$4:$P$1203,5,0),"※编码不在物料档案里"))</f>
        <v/>
      </c>
      <c r="K1192" s="23" t="n"/>
      <c r="L1192" s="31" t="n"/>
      <c r="M1192" s="24">
        <f>IF($G1192="","",IF($D1192="A国内","CNY","TZS"))</f>
        <v/>
      </c>
      <c r="N1192" s="28">
        <f>IF($G1192="","",IF($D1192="A国内",汇率,1))</f>
        <v/>
      </c>
      <c r="O1192" s="25">
        <f>IF($G1192="","",ROUND(N($K1192)*N($L1192),2))</f>
        <v/>
      </c>
      <c r="P1192" s="26">
        <f>IF($G1192="","",ROUND($O1192*$N1192,0))</f>
        <v/>
      </c>
      <c r="Q1192" s="26">
        <f>IF($G1192="","",SUMIFS($P$4:$P$2503,$E$4:$E$2503,$E1192,$Z$4:$Z$2503,"正常"))</f>
        <v/>
      </c>
      <c r="R1192" s="26">
        <f>IF($G1192="","",SUMIFS(费用台账!$I$4:$I$503,费用台账!$C$4:$C$503,$E1192,费用台账!$J$4:$J$503,"是",费用台账!$K$4:$K$503,"正常"))</f>
        <v/>
      </c>
      <c r="S1192" s="28">
        <f>IF($G1192="","",COUNTIFS($E$4:$E$2503,$E1192,$Z$4:$Z$2503,"正常",$Y$4:$Y$2503,"待补价"))</f>
        <v/>
      </c>
      <c r="T1192" s="26">
        <f>IF($G1192="","",SUMIFS($P$4:$P$2503,$E$4:$E$2503,$E1192,$Z$4:$Z$2503,"正常",$A$4:$A$2503,"&lt;="&amp;$A1192))</f>
        <v/>
      </c>
      <c r="U1192" s="26">
        <f>IF($G1192="","",IF(OR($S1192&gt;0,$Q1192=0,$R1192=0,$Z1192&lt;&gt;"正常"),0,ROUND($T1192/$Q1192*$R1192,0)-ROUND(($T1192-$P1192)/$Q1192*$R1192,0)))</f>
        <v/>
      </c>
      <c r="V1192" s="26">
        <f>IF($G1192="","",ROUND($P1192+$U1192,0))</f>
        <v/>
      </c>
      <c r="W1192" s="26">
        <f>IF($G1192="","",IF(N($K1192)=0,0,ROUND($V1192/$K1192,2)))</f>
        <v/>
      </c>
      <c r="X1192" s="17" t="n"/>
      <c r="Y1192" s="17" t="n"/>
      <c r="Z1192" s="17" t="n"/>
      <c r="AA1192" s="17" t="n"/>
      <c r="AB1192" s="17" t="n"/>
      <c r="AC1192" s="24">
        <f>IF($G1192="","",IF($H1192="※编码不在物料档案里","※物料编码不在档案里",IF(N($K1192)&lt;=0,"※入库数量要大于 0",IF(AND($C1192&lt;&gt;"",$C1192&lt;=结账锁),"※日期早于已结账截止日，不能再录",IF(AND($L1192=0,$X1192="正常"),"※没填单价，价格状态请选「待补价」",IF(AND($S1192&gt;0,$R1192&gt;0),"△本批有 "&amp;$S1192&amp;" 行没单价，整批运费先挂账没摊",IF(AND($B1192&lt;&gt;"",COUNTIF($B$4:$B$2503,$B1192)&gt;1),"※入库单号重复","")))))))</f>
        <v/>
      </c>
    </row>
    <row r="1193">
      <c r="A1193" s="24">
        <f>IF($G1193="","",COUNTA($G$4:$G1193))</f>
        <v/>
      </c>
      <c r="B1193" s="17" t="n"/>
      <c r="C1193" s="30" t="n"/>
      <c r="D1193" s="17" t="n"/>
      <c r="E1193" s="17" t="n"/>
      <c r="F1193" s="17" t="n"/>
      <c r="G1193" s="17" t="n"/>
      <c r="H1193" s="24">
        <f>IF($G1193="","",IFERROR(VLOOKUP($G1193,物料档案!$A$4:$P$1203,3,0),"※编码不在物料档案里"))</f>
        <v/>
      </c>
      <c r="I1193" s="24">
        <f>IF($G1193="","",IFERROR(VLOOKUP($G1193,物料档案!$A$4:$P$1203,4,0),"※编码不在物料档案里"))</f>
        <v/>
      </c>
      <c r="J1193" s="24">
        <f>IF($G1193="","",IFERROR(VLOOKUP($G1193,物料档案!$A$4:$P$1203,5,0),"※编码不在物料档案里"))</f>
        <v/>
      </c>
      <c r="K1193" s="23" t="n"/>
      <c r="L1193" s="31" t="n"/>
      <c r="M1193" s="24">
        <f>IF($G1193="","",IF($D1193="A国内","CNY","TZS"))</f>
        <v/>
      </c>
      <c r="N1193" s="28">
        <f>IF($G1193="","",IF($D1193="A国内",汇率,1))</f>
        <v/>
      </c>
      <c r="O1193" s="25">
        <f>IF($G1193="","",ROUND(N($K1193)*N($L1193),2))</f>
        <v/>
      </c>
      <c r="P1193" s="26">
        <f>IF($G1193="","",ROUND($O1193*$N1193,0))</f>
        <v/>
      </c>
      <c r="Q1193" s="26">
        <f>IF($G1193="","",SUMIFS($P$4:$P$2503,$E$4:$E$2503,$E1193,$Z$4:$Z$2503,"正常"))</f>
        <v/>
      </c>
      <c r="R1193" s="26">
        <f>IF($G1193="","",SUMIFS(费用台账!$I$4:$I$503,费用台账!$C$4:$C$503,$E1193,费用台账!$J$4:$J$503,"是",费用台账!$K$4:$K$503,"正常"))</f>
        <v/>
      </c>
      <c r="S1193" s="28">
        <f>IF($G1193="","",COUNTIFS($E$4:$E$2503,$E1193,$Z$4:$Z$2503,"正常",$Y$4:$Y$2503,"待补价"))</f>
        <v/>
      </c>
      <c r="T1193" s="26">
        <f>IF($G1193="","",SUMIFS($P$4:$P$2503,$E$4:$E$2503,$E1193,$Z$4:$Z$2503,"正常",$A$4:$A$2503,"&lt;="&amp;$A1193))</f>
        <v/>
      </c>
      <c r="U1193" s="26">
        <f>IF($G1193="","",IF(OR($S1193&gt;0,$Q1193=0,$R1193=0,$Z1193&lt;&gt;"正常"),0,ROUND($T1193/$Q1193*$R1193,0)-ROUND(($T1193-$P1193)/$Q1193*$R1193,0)))</f>
        <v/>
      </c>
      <c r="V1193" s="26">
        <f>IF($G1193="","",ROUND($P1193+$U1193,0))</f>
        <v/>
      </c>
      <c r="W1193" s="26">
        <f>IF($G1193="","",IF(N($K1193)=0,0,ROUND($V1193/$K1193,2)))</f>
        <v/>
      </c>
      <c r="X1193" s="17" t="n"/>
      <c r="Y1193" s="17" t="n"/>
      <c r="Z1193" s="17" t="n"/>
      <c r="AA1193" s="17" t="n"/>
      <c r="AB1193" s="17" t="n"/>
      <c r="AC1193" s="24">
        <f>IF($G1193="","",IF($H1193="※编码不在物料档案里","※物料编码不在档案里",IF(N($K1193)&lt;=0,"※入库数量要大于 0",IF(AND($C1193&lt;&gt;"",$C1193&lt;=结账锁),"※日期早于已结账截止日，不能再录",IF(AND($L1193=0,$X1193="正常"),"※没填单价，价格状态请选「待补价」",IF(AND($S1193&gt;0,$R1193&gt;0),"△本批有 "&amp;$S1193&amp;" 行没单价，整批运费先挂账没摊",IF(AND($B1193&lt;&gt;"",COUNTIF($B$4:$B$2503,$B1193)&gt;1),"※入库单号重复","")))))))</f>
        <v/>
      </c>
    </row>
    <row r="1194">
      <c r="A1194" s="24">
        <f>IF($G1194="","",COUNTA($G$4:$G1194))</f>
        <v/>
      </c>
      <c r="B1194" s="17" t="n"/>
      <c r="C1194" s="30" t="n"/>
      <c r="D1194" s="17" t="n"/>
      <c r="E1194" s="17" t="n"/>
      <c r="F1194" s="17" t="n"/>
      <c r="G1194" s="17" t="n"/>
      <c r="H1194" s="24">
        <f>IF($G1194="","",IFERROR(VLOOKUP($G1194,物料档案!$A$4:$P$1203,3,0),"※编码不在物料档案里"))</f>
        <v/>
      </c>
      <c r="I1194" s="24">
        <f>IF($G1194="","",IFERROR(VLOOKUP($G1194,物料档案!$A$4:$P$1203,4,0),"※编码不在物料档案里"))</f>
        <v/>
      </c>
      <c r="J1194" s="24">
        <f>IF($G1194="","",IFERROR(VLOOKUP($G1194,物料档案!$A$4:$P$1203,5,0),"※编码不在物料档案里"))</f>
        <v/>
      </c>
      <c r="K1194" s="23" t="n"/>
      <c r="L1194" s="31" t="n"/>
      <c r="M1194" s="24">
        <f>IF($G1194="","",IF($D1194="A国内","CNY","TZS"))</f>
        <v/>
      </c>
      <c r="N1194" s="28">
        <f>IF($G1194="","",IF($D1194="A国内",汇率,1))</f>
        <v/>
      </c>
      <c r="O1194" s="25">
        <f>IF($G1194="","",ROUND(N($K1194)*N($L1194),2))</f>
        <v/>
      </c>
      <c r="P1194" s="26">
        <f>IF($G1194="","",ROUND($O1194*$N1194,0))</f>
        <v/>
      </c>
      <c r="Q1194" s="26">
        <f>IF($G1194="","",SUMIFS($P$4:$P$2503,$E$4:$E$2503,$E1194,$Z$4:$Z$2503,"正常"))</f>
        <v/>
      </c>
      <c r="R1194" s="26">
        <f>IF($G1194="","",SUMIFS(费用台账!$I$4:$I$503,费用台账!$C$4:$C$503,$E1194,费用台账!$J$4:$J$503,"是",费用台账!$K$4:$K$503,"正常"))</f>
        <v/>
      </c>
      <c r="S1194" s="28">
        <f>IF($G1194="","",COUNTIFS($E$4:$E$2503,$E1194,$Z$4:$Z$2503,"正常",$Y$4:$Y$2503,"待补价"))</f>
        <v/>
      </c>
      <c r="T1194" s="26">
        <f>IF($G1194="","",SUMIFS($P$4:$P$2503,$E$4:$E$2503,$E1194,$Z$4:$Z$2503,"正常",$A$4:$A$2503,"&lt;="&amp;$A1194))</f>
        <v/>
      </c>
      <c r="U1194" s="26">
        <f>IF($G1194="","",IF(OR($S1194&gt;0,$Q1194=0,$R1194=0,$Z1194&lt;&gt;"正常"),0,ROUND($T1194/$Q1194*$R1194,0)-ROUND(($T1194-$P1194)/$Q1194*$R1194,0)))</f>
        <v/>
      </c>
      <c r="V1194" s="26">
        <f>IF($G1194="","",ROUND($P1194+$U1194,0))</f>
        <v/>
      </c>
      <c r="W1194" s="26">
        <f>IF($G1194="","",IF(N($K1194)=0,0,ROUND($V1194/$K1194,2)))</f>
        <v/>
      </c>
      <c r="X1194" s="17" t="n"/>
      <c r="Y1194" s="17" t="n"/>
      <c r="Z1194" s="17" t="n"/>
      <c r="AA1194" s="17" t="n"/>
      <c r="AB1194" s="17" t="n"/>
      <c r="AC1194" s="24">
        <f>IF($G1194="","",IF($H1194="※编码不在物料档案里","※物料编码不在档案里",IF(N($K1194)&lt;=0,"※入库数量要大于 0",IF(AND($C1194&lt;&gt;"",$C1194&lt;=结账锁),"※日期早于已结账截止日，不能再录",IF(AND($L1194=0,$X1194="正常"),"※没填单价，价格状态请选「待补价」",IF(AND($S1194&gt;0,$R1194&gt;0),"△本批有 "&amp;$S1194&amp;" 行没单价，整批运费先挂账没摊",IF(AND($B1194&lt;&gt;"",COUNTIF($B$4:$B$2503,$B1194)&gt;1),"※入库单号重复","")))))))</f>
        <v/>
      </c>
    </row>
    <row r="1195">
      <c r="A1195" s="24">
        <f>IF($G1195="","",COUNTA($G$4:$G1195))</f>
        <v/>
      </c>
      <c r="B1195" s="17" t="n"/>
      <c r="C1195" s="30" t="n"/>
      <c r="D1195" s="17" t="n"/>
      <c r="E1195" s="17" t="n"/>
      <c r="F1195" s="17" t="n"/>
      <c r="G1195" s="17" t="n"/>
      <c r="H1195" s="24">
        <f>IF($G1195="","",IFERROR(VLOOKUP($G1195,物料档案!$A$4:$P$1203,3,0),"※编码不在物料档案里"))</f>
        <v/>
      </c>
      <c r="I1195" s="24">
        <f>IF($G1195="","",IFERROR(VLOOKUP($G1195,物料档案!$A$4:$P$1203,4,0),"※编码不在物料档案里"))</f>
        <v/>
      </c>
      <c r="J1195" s="24">
        <f>IF($G1195="","",IFERROR(VLOOKUP($G1195,物料档案!$A$4:$P$1203,5,0),"※编码不在物料档案里"))</f>
        <v/>
      </c>
      <c r="K1195" s="23" t="n"/>
      <c r="L1195" s="31" t="n"/>
      <c r="M1195" s="24">
        <f>IF($G1195="","",IF($D1195="A国内","CNY","TZS"))</f>
        <v/>
      </c>
      <c r="N1195" s="28">
        <f>IF($G1195="","",IF($D1195="A国内",汇率,1))</f>
        <v/>
      </c>
      <c r="O1195" s="25">
        <f>IF($G1195="","",ROUND(N($K1195)*N($L1195),2))</f>
        <v/>
      </c>
      <c r="P1195" s="26">
        <f>IF($G1195="","",ROUND($O1195*$N1195,0))</f>
        <v/>
      </c>
      <c r="Q1195" s="26">
        <f>IF($G1195="","",SUMIFS($P$4:$P$2503,$E$4:$E$2503,$E1195,$Z$4:$Z$2503,"正常"))</f>
        <v/>
      </c>
      <c r="R1195" s="26">
        <f>IF($G1195="","",SUMIFS(费用台账!$I$4:$I$503,费用台账!$C$4:$C$503,$E1195,费用台账!$J$4:$J$503,"是",费用台账!$K$4:$K$503,"正常"))</f>
        <v/>
      </c>
      <c r="S1195" s="28">
        <f>IF($G1195="","",COUNTIFS($E$4:$E$2503,$E1195,$Z$4:$Z$2503,"正常",$Y$4:$Y$2503,"待补价"))</f>
        <v/>
      </c>
      <c r="T1195" s="26">
        <f>IF($G1195="","",SUMIFS($P$4:$P$2503,$E$4:$E$2503,$E1195,$Z$4:$Z$2503,"正常",$A$4:$A$2503,"&lt;="&amp;$A1195))</f>
        <v/>
      </c>
      <c r="U1195" s="26">
        <f>IF($G1195="","",IF(OR($S1195&gt;0,$Q1195=0,$R1195=0,$Z1195&lt;&gt;"正常"),0,ROUND($T1195/$Q1195*$R1195,0)-ROUND(($T1195-$P1195)/$Q1195*$R1195,0)))</f>
        <v/>
      </c>
      <c r="V1195" s="26">
        <f>IF($G1195="","",ROUND($P1195+$U1195,0))</f>
        <v/>
      </c>
      <c r="W1195" s="26">
        <f>IF($G1195="","",IF(N($K1195)=0,0,ROUND($V1195/$K1195,2)))</f>
        <v/>
      </c>
      <c r="X1195" s="17" t="n"/>
      <c r="Y1195" s="17" t="n"/>
      <c r="Z1195" s="17" t="n"/>
      <c r="AA1195" s="17" t="n"/>
      <c r="AB1195" s="17" t="n"/>
      <c r="AC1195" s="24">
        <f>IF($G1195="","",IF($H1195="※编码不在物料档案里","※物料编码不在档案里",IF(N($K1195)&lt;=0,"※入库数量要大于 0",IF(AND($C1195&lt;&gt;"",$C1195&lt;=结账锁),"※日期早于已结账截止日，不能再录",IF(AND($L1195=0,$X1195="正常"),"※没填单价，价格状态请选「待补价」",IF(AND($S1195&gt;0,$R1195&gt;0),"△本批有 "&amp;$S1195&amp;" 行没单价，整批运费先挂账没摊",IF(AND($B1195&lt;&gt;"",COUNTIF($B$4:$B$2503,$B1195)&gt;1),"※入库单号重复","")))))))</f>
        <v/>
      </c>
    </row>
    <row r="1196">
      <c r="A1196" s="24">
        <f>IF($G1196="","",COUNTA($G$4:$G1196))</f>
        <v/>
      </c>
      <c r="B1196" s="17" t="n"/>
      <c r="C1196" s="30" t="n"/>
      <c r="D1196" s="17" t="n"/>
      <c r="E1196" s="17" t="n"/>
      <c r="F1196" s="17" t="n"/>
      <c r="G1196" s="17" t="n"/>
      <c r="H1196" s="24">
        <f>IF($G1196="","",IFERROR(VLOOKUP($G1196,物料档案!$A$4:$P$1203,3,0),"※编码不在物料档案里"))</f>
        <v/>
      </c>
      <c r="I1196" s="24">
        <f>IF($G1196="","",IFERROR(VLOOKUP($G1196,物料档案!$A$4:$P$1203,4,0),"※编码不在物料档案里"))</f>
        <v/>
      </c>
      <c r="J1196" s="24">
        <f>IF($G1196="","",IFERROR(VLOOKUP($G1196,物料档案!$A$4:$P$1203,5,0),"※编码不在物料档案里"))</f>
        <v/>
      </c>
      <c r="K1196" s="23" t="n"/>
      <c r="L1196" s="31" t="n"/>
      <c r="M1196" s="24">
        <f>IF($G1196="","",IF($D1196="A国内","CNY","TZS"))</f>
        <v/>
      </c>
      <c r="N1196" s="28">
        <f>IF($G1196="","",IF($D1196="A国内",汇率,1))</f>
        <v/>
      </c>
      <c r="O1196" s="25">
        <f>IF($G1196="","",ROUND(N($K1196)*N($L1196),2))</f>
        <v/>
      </c>
      <c r="P1196" s="26">
        <f>IF($G1196="","",ROUND($O1196*$N1196,0))</f>
        <v/>
      </c>
      <c r="Q1196" s="26">
        <f>IF($G1196="","",SUMIFS($P$4:$P$2503,$E$4:$E$2503,$E1196,$Z$4:$Z$2503,"正常"))</f>
        <v/>
      </c>
      <c r="R1196" s="26">
        <f>IF($G1196="","",SUMIFS(费用台账!$I$4:$I$503,费用台账!$C$4:$C$503,$E1196,费用台账!$J$4:$J$503,"是",费用台账!$K$4:$K$503,"正常"))</f>
        <v/>
      </c>
      <c r="S1196" s="28">
        <f>IF($G1196="","",COUNTIFS($E$4:$E$2503,$E1196,$Z$4:$Z$2503,"正常",$Y$4:$Y$2503,"待补价"))</f>
        <v/>
      </c>
      <c r="T1196" s="26">
        <f>IF($G1196="","",SUMIFS($P$4:$P$2503,$E$4:$E$2503,$E1196,$Z$4:$Z$2503,"正常",$A$4:$A$2503,"&lt;="&amp;$A1196))</f>
        <v/>
      </c>
      <c r="U1196" s="26">
        <f>IF($G1196="","",IF(OR($S1196&gt;0,$Q1196=0,$R1196=0,$Z1196&lt;&gt;"正常"),0,ROUND($T1196/$Q1196*$R1196,0)-ROUND(($T1196-$P1196)/$Q1196*$R1196,0)))</f>
        <v/>
      </c>
      <c r="V1196" s="26">
        <f>IF($G1196="","",ROUND($P1196+$U1196,0))</f>
        <v/>
      </c>
      <c r="W1196" s="26">
        <f>IF($G1196="","",IF(N($K1196)=0,0,ROUND($V1196/$K1196,2)))</f>
        <v/>
      </c>
      <c r="X1196" s="17" t="n"/>
      <c r="Y1196" s="17" t="n"/>
      <c r="Z1196" s="17" t="n"/>
      <c r="AA1196" s="17" t="n"/>
      <c r="AB1196" s="17" t="n"/>
      <c r="AC1196" s="24">
        <f>IF($G1196="","",IF($H1196="※编码不在物料档案里","※物料编码不在档案里",IF(N($K1196)&lt;=0,"※入库数量要大于 0",IF(AND($C1196&lt;&gt;"",$C1196&lt;=结账锁),"※日期早于已结账截止日，不能再录",IF(AND($L1196=0,$X1196="正常"),"※没填单价，价格状态请选「待补价」",IF(AND($S1196&gt;0,$R1196&gt;0),"△本批有 "&amp;$S1196&amp;" 行没单价，整批运费先挂账没摊",IF(AND($B1196&lt;&gt;"",COUNTIF($B$4:$B$2503,$B1196)&gt;1),"※入库单号重复","")))))))</f>
        <v/>
      </c>
    </row>
    <row r="1197">
      <c r="A1197" s="24">
        <f>IF($G1197="","",COUNTA($G$4:$G1197))</f>
        <v/>
      </c>
      <c r="B1197" s="17" t="n"/>
      <c r="C1197" s="30" t="n"/>
      <c r="D1197" s="17" t="n"/>
      <c r="E1197" s="17" t="n"/>
      <c r="F1197" s="17" t="n"/>
      <c r="G1197" s="17" t="n"/>
      <c r="H1197" s="24">
        <f>IF($G1197="","",IFERROR(VLOOKUP($G1197,物料档案!$A$4:$P$1203,3,0),"※编码不在物料档案里"))</f>
        <v/>
      </c>
      <c r="I1197" s="24">
        <f>IF($G1197="","",IFERROR(VLOOKUP($G1197,物料档案!$A$4:$P$1203,4,0),"※编码不在物料档案里"))</f>
        <v/>
      </c>
      <c r="J1197" s="24">
        <f>IF($G1197="","",IFERROR(VLOOKUP($G1197,物料档案!$A$4:$P$1203,5,0),"※编码不在物料档案里"))</f>
        <v/>
      </c>
      <c r="K1197" s="23" t="n"/>
      <c r="L1197" s="31" t="n"/>
      <c r="M1197" s="24">
        <f>IF($G1197="","",IF($D1197="A国内","CNY","TZS"))</f>
        <v/>
      </c>
      <c r="N1197" s="28">
        <f>IF($G1197="","",IF($D1197="A国内",汇率,1))</f>
        <v/>
      </c>
      <c r="O1197" s="25">
        <f>IF($G1197="","",ROUND(N($K1197)*N($L1197),2))</f>
        <v/>
      </c>
      <c r="P1197" s="26">
        <f>IF($G1197="","",ROUND($O1197*$N1197,0))</f>
        <v/>
      </c>
      <c r="Q1197" s="26">
        <f>IF($G1197="","",SUMIFS($P$4:$P$2503,$E$4:$E$2503,$E1197,$Z$4:$Z$2503,"正常"))</f>
        <v/>
      </c>
      <c r="R1197" s="26">
        <f>IF($G1197="","",SUMIFS(费用台账!$I$4:$I$503,费用台账!$C$4:$C$503,$E1197,费用台账!$J$4:$J$503,"是",费用台账!$K$4:$K$503,"正常"))</f>
        <v/>
      </c>
      <c r="S1197" s="28">
        <f>IF($G1197="","",COUNTIFS($E$4:$E$2503,$E1197,$Z$4:$Z$2503,"正常",$Y$4:$Y$2503,"待补价"))</f>
        <v/>
      </c>
      <c r="T1197" s="26">
        <f>IF($G1197="","",SUMIFS($P$4:$P$2503,$E$4:$E$2503,$E1197,$Z$4:$Z$2503,"正常",$A$4:$A$2503,"&lt;="&amp;$A1197))</f>
        <v/>
      </c>
      <c r="U1197" s="26">
        <f>IF($G1197="","",IF(OR($S1197&gt;0,$Q1197=0,$R1197=0,$Z1197&lt;&gt;"正常"),0,ROUND($T1197/$Q1197*$R1197,0)-ROUND(($T1197-$P1197)/$Q1197*$R1197,0)))</f>
        <v/>
      </c>
      <c r="V1197" s="26">
        <f>IF($G1197="","",ROUND($P1197+$U1197,0))</f>
        <v/>
      </c>
      <c r="W1197" s="26">
        <f>IF($G1197="","",IF(N($K1197)=0,0,ROUND($V1197/$K1197,2)))</f>
        <v/>
      </c>
      <c r="X1197" s="17" t="n"/>
      <c r="Y1197" s="17" t="n"/>
      <c r="Z1197" s="17" t="n"/>
      <c r="AA1197" s="17" t="n"/>
      <c r="AB1197" s="17" t="n"/>
      <c r="AC1197" s="24">
        <f>IF($G1197="","",IF($H1197="※编码不在物料档案里","※物料编码不在档案里",IF(N($K1197)&lt;=0,"※入库数量要大于 0",IF(AND($C1197&lt;&gt;"",$C1197&lt;=结账锁),"※日期早于已结账截止日，不能再录",IF(AND($L1197=0,$X1197="正常"),"※没填单价，价格状态请选「待补价」",IF(AND($S1197&gt;0,$R1197&gt;0),"△本批有 "&amp;$S1197&amp;" 行没单价，整批运费先挂账没摊",IF(AND($B1197&lt;&gt;"",COUNTIF($B$4:$B$2503,$B1197)&gt;1),"※入库单号重复","")))))))</f>
        <v/>
      </c>
    </row>
    <row r="1198">
      <c r="A1198" s="24">
        <f>IF($G1198="","",COUNTA($G$4:$G1198))</f>
        <v/>
      </c>
      <c r="B1198" s="17" t="n"/>
      <c r="C1198" s="30" t="n"/>
      <c r="D1198" s="17" t="n"/>
      <c r="E1198" s="17" t="n"/>
      <c r="F1198" s="17" t="n"/>
      <c r="G1198" s="17" t="n"/>
      <c r="H1198" s="24">
        <f>IF($G1198="","",IFERROR(VLOOKUP($G1198,物料档案!$A$4:$P$1203,3,0),"※编码不在物料档案里"))</f>
        <v/>
      </c>
      <c r="I1198" s="24">
        <f>IF($G1198="","",IFERROR(VLOOKUP($G1198,物料档案!$A$4:$P$1203,4,0),"※编码不在物料档案里"))</f>
        <v/>
      </c>
      <c r="J1198" s="24">
        <f>IF($G1198="","",IFERROR(VLOOKUP($G1198,物料档案!$A$4:$P$1203,5,0),"※编码不在物料档案里"))</f>
        <v/>
      </c>
      <c r="K1198" s="23" t="n"/>
      <c r="L1198" s="31" t="n"/>
      <c r="M1198" s="24">
        <f>IF($G1198="","",IF($D1198="A国内","CNY","TZS"))</f>
        <v/>
      </c>
      <c r="N1198" s="28">
        <f>IF($G1198="","",IF($D1198="A国内",汇率,1))</f>
        <v/>
      </c>
      <c r="O1198" s="25">
        <f>IF($G1198="","",ROUND(N($K1198)*N($L1198),2))</f>
        <v/>
      </c>
      <c r="P1198" s="26">
        <f>IF($G1198="","",ROUND($O1198*$N1198,0))</f>
        <v/>
      </c>
      <c r="Q1198" s="26">
        <f>IF($G1198="","",SUMIFS($P$4:$P$2503,$E$4:$E$2503,$E1198,$Z$4:$Z$2503,"正常"))</f>
        <v/>
      </c>
      <c r="R1198" s="26">
        <f>IF($G1198="","",SUMIFS(费用台账!$I$4:$I$503,费用台账!$C$4:$C$503,$E1198,费用台账!$J$4:$J$503,"是",费用台账!$K$4:$K$503,"正常"))</f>
        <v/>
      </c>
      <c r="S1198" s="28">
        <f>IF($G1198="","",COUNTIFS($E$4:$E$2503,$E1198,$Z$4:$Z$2503,"正常",$Y$4:$Y$2503,"待补价"))</f>
        <v/>
      </c>
      <c r="T1198" s="26">
        <f>IF($G1198="","",SUMIFS($P$4:$P$2503,$E$4:$E$2503,$E1198,$Z$4:$Z$2503,"正常",$A$4:$A$2503,"&lt;="&amp;$A1198))</f>
        <v/>
      </c>
      <c r="U1198" s="26">
        <f>IF($G1198="","",IF(OR($S1198&gt;0,$Q1198=0,$R1198=0,$Z1198&lt;&gt;"正常"),0,ROUND($T1198/$Q1198*$R1198,0)-ROUND(($T1198-$P1198)/$Q1198*$R1198,0)))</f>
        <v/>
      </c>
      <c r="V1198" s="26">
        <f>IF($G1198="","",ROUND($P1198+$U1198,0))</f>
        <v/>
      </c>
      <c r="W1198" s="26">
        <f>IF($G1198="","",IF(N($K1198)=0,0,ROUND($V1198/$K1198,2)))</f>
        <v/>
      </c>
      <c r="X1198" s="17" t="n"/>
      <c r="Y1198" s="17" t="n"/>
      <c r="Z1198" s="17" t="n"/>
      <c r="AA1198" s="17" t="n"/>
      <c r="AB1198" s="17" t="n"/>
      <c r="AC1198" s="24">
        <f>IF($G1198="","",IF($H1198="※编码不在物料档案里","※物料编码不在档案里",IF(N($K1198)&lt;=0,"※入库数量要大于 0",IF(AND($C1198&lt;&gt;"",$C1198&lt;=结账锁),"※日期早于已结账截止日，不能再录",IF(AND($L1198=0,$X1198="正常"),"※没填单价，价格状态请选「待补价」",IF(AND($S1198&gt;0,$R1198&gt;0),"△本批有 "&amp;$S1198&amp;" 行没单价，整批运费先挂账没摊",IF(AND($B1198&lt;&gt;"",COUNTIF($B$4:$B$2503,$B1198)&gt;1),"※入库单号重复","")))))))</f>
        <v/>
      </c>
    </row>
    <row r="1199">
      <c r="A1199" s="24">
        <f>IF($G1199="","",COUNTA($G$4:$G1199))</f>
        <v/>
      </c>
      <c r="B1199" s="17" t="n"/>
      <c r="C1199" s="30" t="n"/>
      <c r="D1199" s="17" t="n"/>
      <c r="E1199" s="17" t="n"/>
      <c r="F1199" s="17" t="n"/>
      <c r="G1199" s="17" t="n"/>
      <c r="H1199" s="24">
        <f>IF($G1199="","",IFERROR(VLOOKUP($G1199,物料档案!$A$4:$P$1203,3,0),"※编码不在物料档案里"))</f>
        <v/>
      </c>
      <c r="I1199" s="24">
        <f>IF($G1199="","",IFERROR(VLOOKUP($G1199,物料档案!$A$4:$P$1203,4,0),"※编码不在物料档案里"))</f>
        <v/>
      </c>
      <c r="J1199" s="24">
        <f>IF($G1199="","",IFERROR(VLOOKUP($G1199,物料档案!$A$4:$P$1203,5,0),"※编码不在物料档案里"))</f>
        <v/>
      </c>
      <c r="K1199" s="23" t="n"/>
      <c r="L1199" s="31" t="n"/>
      <c r="M1199" s="24">
        <f>IF($G1199="","",IF($D1199="A国内","CNY","TZS"))</f>
        <v/>
      </c>
      <c r="N1199" s="28">
        <f>IF($G1199="","",IF($D1199="A国内",汇率,1))</f>
        <v/>
      </c>
      <c r="O1199" s="25">
        <f>IF($G1199="","",ROUND(N($K1199)*N($L1199),2))</f>
        <v/>
      </c>
      <c r="P1199" s="26">
        <f>IF($G1199="","",ROUND($O1199*$N1199,0))</f>
        <v/>
      </c>
      <c r="Q1199" s="26">
        <f>IF($G1199="","",SUMIFS($P$4:$P$2503,$E$4:$E$2503,$E1199,$Z$4:$Z$2503,"正常"))</f>
        <v/>
      </c>
      <c r="R1199" s="26">
        <f>IF($G1199="","",SUMIFS(费用台账!$I$4:$I$503,费用台账!$C$4:$C$503,$E1199,费用台账!$J$4:$J$503,"是",费用台账!$K$4:$K$503,"正常"))</f>
        <v/>
      </c>
      <c r="S1199" s="28">
        <f>IF($G1199="","",COUNTIFS($E$4:$E$2503,$E1199,$Z$4:$Z$2503,"正常",$Y$4:$Y$2503,"待补价"))</f>
        <v/>
      </c>
      <c r="T1199" s="26">
        <f>IF($G1199="","",SUMIFS($P$4:$P$2503,$E$4:$E$2503,$E1199,$Z$4:$Z$2503,"正常",$A$4:$A$2503,"&lt;="&amp;$A1199))</f>
        <v/>
      </c>
      <c r="U1199" s="26">
        <f>IF($G1199="","",IF(OR($S1199&gt;0,$Q1199=0,$R1199=0,$Z1199&lt;&gt;"正常"),0,ROUND($T1199/$Q1199*$R1199,0)-ROUND(($T1199-$P1199)/$Q1199*$R1199,0)))</f>
        <v/>
      </c>
      <c r="V1199" s="26">
        <f>IF($G1199="","",ROUND($P1199+$U1199,0))</f>
        <v/>
      </c>
      <c r="W1199" s="26">
        <f>IF($G1199="","",IF(N($K1199)=0,0,ROUND($V1199/$K1199,2)))</f>
        <v/>
      </c>
      <c r="X1199" s="17" t="n"/>
      <c r="Y1199" s="17" t="n"/>
      <c r="Z1199" s="17" t="n"/>
      <c r="AA1199" s="17" t="n"/>
      <c r="AB1199" s="17" t="n"/>
      <c r="AC1199" s="24">
        <f>IF($G1199="","",IF($H1199="※编码不在物料档案里","※物料编码不在档案里",IF(N($K1199)&lt;=0,"※入库数量要大于 0",IF(AND($C1199&lt;&gt;"",$C1199&lt;=结账锁),"※日期早于已结账截止日，不能再录",IF(AND($L1199=0,$X1199="正常"),"※没填单价，价格状态请选「待补价」",IF(AND($S1199&gt;0,$R1199&gt;0),"△本批有 "&amp;$S1199&amp;" 行没单价，整批运费先挂账没摊",IF(AND($B1199&lt;&gt;"",COUNTIF($B$4:$B$2503,$B1199)&gt;1),"※入库单号重复","")))))))</f>
        <v/>
      </c>
    </row>
    <row r="1200">
      <c r="A1200" s="24">
        <f>IF($G1200="","",COUNTA($G$4:$G1200))</f>
        <v/>
      </c>
      <c r="B1200" s="17" t="n"/>
      <c r="C1200" s="30" t="n"/>
      <c r="D1200" s="17" t="n"/>
      <c r="E1200" s="17" t="n"/>
      <c r="F1200" s="17" t="n"/>
      <c r="G1200" s="17" t="n"/>
      <c r="H1200" s="24">
        <f>IF($G1200="","",IFERROR(VLOOKUP($G1200,物料档案!$A$4:$P$1203,3,0),"※编码不在物料档案里"))</f>
        <v/>
      </c>
      <c r="I1200" s="24">
        <f>IF($G1200="","",IFERROR(VLOOKUP($G1200,物料档案!$A$4:$P$1203,4,0),"※编码不在物料档案里"))</f>
        <v/>
      </c>
      <c r="J1200" s="24">
        <f>IF($G1200="","",IFERROR(VLOOKUP($G1200,物料档案!$A$4:$P$1203,5,0),"※编码不在物料档案里"))</f>
        <v/>
      </c>
      <c r="K1200" s="23" t="n"/>
      <c r="L1200" s="31" t="n"/>
      <c r="M1200" s="24">
        <f>IF($G1200="","",IF($D1200="A国内","CNY","TZS"))</f>
        <v/>
      </c>
      <c r="N1200" s="28">
        <f>IF($G1200="","",IF($D1200="A国内",汇率,1))</f>
        <v/>
      </c>
      <c r="O1200" s="25">
        <f>IF($G1200="","",ROUND(N($K1200)*N($L1200),2))</f>
        <v/>
      </c>
      <c r="P1200" s="26">
        <f>IF($G1200="","",ROUND($O1200*$N1200,0))</f>
        <v/>
      </c>
      <c r="Q1200" s="26">
        <f>IF($G1200="","",SUMIFS($P$4:$P$2503,$E$4:$E$2503,$E1200,$Z$4:$Z$2503,"正常"))</f>
        <v/>
      </c>
      <c r="R1200" s="26">
        <f>IF($G1200="","",SUMIFS(费用台账!$I$4:$I$503,费用台账!$C$4:$C$503,$E1200,费用台账!$J$4:$J$503,"是",费用台账!$K$4:$K$503,"正常"))</f>
        <v/>
      </c>
      <c r="S1200" s="28">
        <f>IF($G1200="","",COUNTIFS($E$4:$E$2503,$E1200,$Z$4:$Z$2503,"正常",$Y$4:$Y$2503,"待补价"))</f>
        <v/>
      </c>
      <c r="T1200" s="26">
        <f>IF($G1200="","",SUMIFS($P$4:$P$2503,$E$4:$E$2503,$E1200,$Z$4:$Z$2503,"正常",$A$4:$A$2503,"&lt;="&amp;$A1200))</f>
        <v/>
      </c>
      <c r="U1200" s="26">
        <f>IF($G1200="","",IF(OR($S1200&gt;0,$Q1200=0,$R1200=0,$Z1200&lt;&gt;"正常"),0,ROUND($T1200/$Q1200*$R1200,0)-ROUND(($T1200-$P1200)/$Q1200*$R1200,0)))</f>
        <v/>
      </c>
      <c r="V1200" s="26">
        <f>IF($G1200="","",ROUND($P1200+$U1200,0))</f>
        <v/>
      </c>
      <c r="W1200" s="26">
        <f>IF($G1200="","",IF(N($K1200)=0,0,ROUND($V1200/$K1200,2)))</f>
        <v/>
      </c>
      <c r="X1200" s="17" t="n"/>
      <c r="Y1200" s="17" t="n"/>
      <c r="Z1200" s="17" t="n"/>
      <c r="AA1200" s="17" t="n"/>
      <c r="AB1200" s="17" t="n"/>
      <c r="AC1200" s="24">
        <f>IF($G1200="","",IF($H1200="※编码不在物料档案里","※物料编码不在档案里",IF(N($K1200)&lt;=0,"※入库数量要大于 0",IF(AND($C1200&lt;&gt;"",$C1200&lt;=结账锁),"※日期早于已结账截止日，不能再录",IF(AND($L1200=0,$X1200="正常"),"※没填单价，价格状态请选「待补价」",IF(AND($S1200&gt;0,$R1200&gt;0),"△本批有 "&amp;$S1200&amp;" 行没单价，整批运费先挂账没摊",IF(AND($B1200&lt;&gt;"",COUNTIF($B$4:$B$2503,$B1200)&gt;1),"※入库单号重复","")))))))</f>
        <v/>
      </c>
    </row>
    <row r="1201">
      <c r="A1201" s="24">
        <f>IF($G1201="","",COUNTA($G$4:$G1201))</f>
        <v/>
      </c>
      <c r="B1201" s="17" t="n"/>
      <c r="C1201" s="30" t="n"/>
      <c r="D1201" s="17" t="n"/>
      <c r="E1201" s="17" t="n"/>
      <c r="F1201" s="17" t="n"/>
      <c r="G1201" s="17" t="n"/>
      <c r="H1201" s="24">
        <f>IF($G1201="","",IFERROR(VLOOKUP($G1201,物料档案!$A$4:$P$1203,3,0),"※编码不在物料档案里"))</f>
        <v/>
      </c>
      <c r="I1201" s="24">
        <f>IF($G1201="","",IFERROR(VLOOKUP($G1201,物料档案!$A$4:$P$1203,4,0),"※编码不在物料档案里"))</f>
        <v/>
      </c>
      <c r="J1201" s="24">
        <f>IF($G1201="","",IFERROR(VLOOKUP($G1201,物料档案!$A$4:$P$1203,5,0),"※编码不在物料档案里"))</f>
        <v/>
      </c>
      <c r="K1201" s="23" t="n"/>
      <c r="L1201" s="31" t="n"/>
      <c r="M1201" s="24">
        <f>IF($G1201="","",IF($D1201="A国内","CNY","TZS"))</f>
        <v/>
      </c>
      <c r="N1201" s="28">
        <f>IF($G1201="","",IF($D1201="A国内",汇率,1))</f>
        <v/>
      </c>
      <c r="O1201" s="25">
        <f>IF($G1201="","",ROUND(N($K1201)*N($L1201),2))</f>
        <v/>
      </c>
      <c r="P1201" s="26">
        <f>IF($G1201="","",ROUND($O1201*$N1201,0))</f>
        <v/>
      </c>
      <c r="Q1201" s="26">
        <f>IF($G1201="","",SUMIFS($P$4:$P$2503,$E$4:$E$2503,$E1201,$Z$4:$Z$2503,"正常"))</f>
        <v/>
      </c>
      <c r="R1201" s="26">
        <f>IF($G1201="","",SUMIFS(费用台账!$I$4:$I$503,费用台账!$C$4:$C$503,$E1201,费用台账!$J$4:$J$503,"是",费用台账!$K$4:$K$503,"正常"))</f>
        <v/>
      </c>
      <c r="S1201" s="28">
        <f>IF($G1201="","",COUNTIFS($E$4:$E$2503,$E1201,$Z$4:$Z$2503,"正常",$Y$4:$Y$2503,"待补价"))</f>
        <v/>
      </c>
      <c r="T1201" s="26">
        <f>IF($G1201="","",SUMIFS($P$4:$P$2503,$E$4:$E$2503,$E1201,$Z$4:$Z$2503,"正常",$A$4:$A$2503,"&lt;="&amp;$A1201))</f>
        <v/>
      </c>
      <c r="U1201" s="26">
        <f>IF($G1201="","",IF(OR($S1201&gt;0,$Q1201=0,$R1201=0,$Z1201&lt;&gt;"正常"),0,ROUND($T1201/$Q1201*$R1201,0)-ROUND(($T1201-$P1201)/$Q1201*$R1201,0)))</f>
        <v/>
      </c>
      <c r="V1201" s="26">
        <f>IF($G1201="","",ROUND($P1201+$U1201,0))</f>
        <v/>
      </c>
      <c r="W1201" s="26">
        <f>IF($G1201="","",IF(N($K1201)=0,0,ROUND($V1201/$K1201,2)))</f>
        <v/>
      </c>
      <c r="X1201" s="17" t="n"/>
      <c r="Y1201" s="17" t="n"/>
      <c r="Z1201" s="17" t="n"/>
      <c r="AA1201" s="17" t="n"/>
      <c r="AB1201" s="17" t="n"/>
      <c r="AC1201" s="24">
        <f>IF($G1201="","",IF($H1201="※编码不在物料档案里","※物料编码不在档案里",IF(N($K1201)&lt;=0,"※入库数量要大于 0",IF(AND($C1201&lt;&gt;"",$C1201&lt;=结账锁),"※日期早于已结账截止日，不能再录",IF(AND($L1201=0,$X1201="正常"),"※没填单价，价格状态请选「待补价」",IF(AND($S1201&gt;0,$R1201&gt;0),"△本批有 "&amp;$S1201&amp;" 行没单价，整批运费先挂账没摊",IF(AND($B1201&lt;&gt;"",COUNTIF($B$4:$B$2503,$B1201)&gt;1),"※入库单号重复","")))))))</f>
        <v/>
      </c>
    </row>
    <row r="1202">
      <c r="A1202" s="24">
        <f>IF($G1202="","",COUNTA($G$4:$G1202))</f>
        <v/>
      </c>
      <c r="B1202" s="17" t="n"/>
      <c r="C1202" s="30" t="n"/>
      <c r="D1202" s="17" t="n"/>
      <c r="E1202" s="17" t="n"/>
      <c r="F1202" s="17" t="n"/>
      <c r="G1202" s="17" t="n"/>
      <c r="H1202" s="24">
        <f>IF($G1202="","",IFERROR(VLOOKUP($G1202,物料档案!$A$4:$P$1203,3,0),"※编码不在物料档案里"))</f>
        <v/>
      </c>
      <c r="I1202" s="24">
        <f>IF($G1202="","",IFERROR(VLOOKUP($G1202,物料档案!$A$4:$P$1203,4,0),"※编码不在物料档案里"))</f>
        <v/>
      </c>
      <c r="J1202" s="24">
        <f>IF($G1202="","",IFERROR(VLOOKUP($G1202,物料档案!$A$4:$P$1203,5,0),"※编码不在物料档案里"))</f>
        <v/>
      </c>
      <c r="K1202" s="23" t="n"/>
      <c r="L1202" s="31" t="n"/>
      <c r="M1202" s="24">
        <f>IF($G1202="","",IF($D1202="A国内","CNY","TZS"))</f>
        <v/>
      </c>
      <c r="N1202" s="28">
        <f>IF($G1202="","",IF($D1202="A国内",汇率,1))</f>
        <v/>
      </c>
      <c r="O1202" s="25">
        <f>IF($G1202="","",ROUND(N($K1202)*N($L1202),2))</f>
        <v/>
      </c>
      <c r="P1202" s="26">
        <f>IF($G1202="","",ROUND($O1202*$N1202,0))</f>
        <v/>
      </c>
      <c r="Q1202" s="26">
        <f>IF($G1202="","",SUMIFS($P$4:$P$2503,$E$4:$E$2503,$E1202,$Z$4:$Z$2503,"正常"))</f>
        <v/>
      </c>
      <c r="R1202" s="26">
        <f>IF($G1202="","",SUMIFS(费用台账!$I$4:$I$503,费用台账!$C$4:$C$503,$E1202,费用台账!$J$4:$J$503,"是",费用台账!$K$4:$K$503,"正常"))</f>
        <v/>
      </c>
      <c r="S1202" s="28">
        <f>IF($G1202="","",COUNTIFS($E$4:$E$2503,$E1202,$Z$4:$Z$2503,"正常",$Y$4:$Y$2503,"待补价"))</f>
        <v/>
      </c>
      <c r="T1202" s="26">
        <f>IF($G1202="","",SUMIFS($P$4:$P$2503,$E$4:$E$2503,$E1202,$Z$4:$Z$2503,"正常",$A$4:$A$2503,"&lt;="&amp;$A1202))</f>
        <v/>
      </c>
      <c r="U1202" s="26">
        <f>IF($G1202="","",IF(OR($S1202&gt;0,$Q1202=0,$R1202=0,$Z1202&lt;&gt;"正常"),0,ROUND($T1202/$Q1202*$R1202,0)-ROUND(($T1202-$P1202)/$Q1202*$R1202,0)))</f>
        <v/>
      </c>
      <c r="V1202" s="26">
        <f>IF($G1202="","",ROUND($P1202+$U1202,0))</f>
        <v/>
      </c>
      <c r="W1202" s="26">
        <f>IF($G1202="","",IF(N($K1202)=0,0,ROUND($V1202/$K1202,2)))</f>
        <v/>
      </c>
      <c r="X1202" s="17" t="n"/>
      <c r="Y1202" s="17" t="n"/>
      <c r="Z1202" s="17" t="n"/>
      <c r="AA1202" s="17" t="n"/>
      <c r="AB1202" s="17" t="n"/>
      <c r="AC1202" s="24">
        <f>IF($G1202="","",IF($H1202="※编码不在物料档案里","※物料编码不在档案里",IF(N($K1202)&lt;=0,"※入库数量要大于 0",IF(AND($C1202&lt;&gt;"",$C1202&lt;=结账锁),"※日期早于已结账截止日，不能再录",IF(AND($L1202=0,$X1202="正常"),"※没填单价，价格状态请选「待补价」",IF(AND($S1202&gt;0,$R1202&gt;0),"△本批有 "&amp;$S1202&amp;" 行没单价，整批运费先挂账没摊",IF(AND($B1202&lt;&gt;"",COUNTIF($B$4:$B$2503,$B1202)&gt;1),"※入库单号重复","")))))))</f>
        <v/>
      </c>
    </row>
    <row r="1203">
      <c r="A1203" s="24">
        <f>IF($G1203="","",COUNTA($G$4:$G1203))</f>
        <v/>
      </c>
      <c r="B1203" s="17" t="n"/>
      <c r="C1203" s="30" t="n"/>
      <c r="D1203" s="17" t="n"/>
      <c r="E1203" s="17" t="n"/>
      <c r="F1203" s="17" t="n"/>
      <c r="G1203" s="17" t="n"/>
      <c r="H1203" s="24">
        <f>IF($G1203="","",IFERROR(VLOOKUP($G1203,物料档案!$A$4:$P$1203,3,0),"※编码不在物料档案里"))</f>
        <v/>
      </c>
      <c r="I1203" s="24">
        <f>IF($G1203="","",IFERROR(VLOOKUP($G1203,物料档案!$A$4:$P$1203,4,0),"※编码不在物料档案里"))</f>
        <v/>
      </c>
      <c r="J1203" s="24">
        <f>IF($G1203="","",IFERROR(VLOOKUP($G1203,物料档案!$A$4:$P$1203,5,0),"※编码不在物料档案里"))</f>
        <v/>
      </c>
      <c r="K1203" s="23" t="n"/>
      <c r="L1203" s="31" t="n"/>
      <c r="M1203" s="24">
        <f>IF($G1203="","",IF($D1203="A国内","CNY","TZS"))</f>
        <v/>
      </c>
      <c r="N1203" s="28">
        <f>IF($G1203="","",IF($D1203="A国内",汇率,1))</f>
        <v/>
      </c>
      <c r="O1203" s="25">
        <f>IF($G1203="","",ROUND(N($K1203)*N($L1203),2))</f>
        <v/>
      </c>
      <c r="P1203" s="26">
        <f>IF($G1203="","",ROUND($O1203*$N1203,0))</f>
        <v/>
      </c>
      <c r="Q1203" s="26">
        <f>IF($G1203="","",SUMIFS($P$4:$P$2503,$E$4:$E$2503,$E1203,$Z$4:$Z$2503,"正常"))</f>
        <v/>
      </c>
      <c r="R1203" s="26">
        <f>IF($G1203="","",SUMIFS(费用台账!$I$4:$I$503,费用台账!$C$4:$C$503,$E1203,费用台账!$J$4:$J$503,"是",费用台账!$K$4:$K$503,"正常"))</f>
        <v/>
      </c>
      <c r="S1203" s="28">
        <f>IF($G1203="","",COUNTIFS($E$4:$E$2503,$E1203,$Z$4:$Z$2503,"正常",$Y$4:$Y$2503,"待补价"))</f>
        <v/>
      </c>
      <c r="T1203" s="26">
        <f>IF($G1203="","",SUMIFS($P$4:$P$2503,$E$4:$E$2503,$E1203,$Z$4:$Z$2503,"正常",$A$4:$A$2503,"&lt;="&amp;$A1203))</f>
        <v/>
      </c>
      <c r="U1203" s="26">
        <f>IF($G1203="","",IF(OR($S1203&gt;0,$Q1203=0,$R1203=0,$Z1203&lt;&gt;"正常"),0,ROUND($T1203/$Q1203*$R1203,0)-ROUND(($T1203-$P1203)/$Q1203*$R1203,0)))</f>
        <v/>
      </c>
      <c r="V1203" s="26">
        <f>IF($G1203="","",ROUND($P1203+$U1203,0))</f>
        <v/>
      </c>
      <c r="W1203" s="26">
        <f>IF($G1203="","",IF(N($K1203)=0,0,ROUND($V1203/$K1203,2)))</f>
        <v/>
      </c>
      <c r="X1203" s="17" t="n"/>
      <c r="Y1203" s="17" t="n"/>
      <c r="Z1203" s="17" t="n"/>
      <c r="AA1203" s="17" t="n"/>
      <c r="AB1203" s="17" t="n"/>
      <c r="AC1203" s="24">
        <f>IF($G1203="","",IF($H1203="※编码不在物料档案里","※物料编码不在档案里",IF(N($K1203)&lt;=0,"※入库数量要大于 0",IF(AND($C1203&lt;&gt;"",$C1203&lt;=结账锁),"※日期早于已结账截止日，不能再录",IF(AND($L1203=0,$X1203="正常"),"※没填单价，价格状态请选「待补价」",IF(AND($S1203&gt;0,$R1203&gt;0),"△本批有 "&amp;$S1203&amp;" 行没单价，整批运费先挂账没摊",IF(AND($B1203&lt;&gt;"",COUNTIF($B$4:$B$2503,$B1203)&gt;1),"※入库单号重复","")))))))</f>
        <v/>
      </c>
    </row>
    <row r="1204">
      <c r="A1204" s="24">
        <f>IF($G1204="","",COUNTA($G$4:$G1204))</f>
        <v/>
      </c>
      <c r="B1204" s="17" t="n"/>
      <c r="C1204" s="30" t="n"/>
      <c r="D1204" s="17" t="n"/>
      <c r="E1204" s="17" t="n"/>
      <c r="F1204" s="17" t="n"/>
      <c r="G1204" s="17" t="n"/>
      <c r="H1204" s="24">
        <f>IF($G1204="","",IFERROR(VLOOKUP($G1204,物料档案!$A$4:$P$1203,3,0),"※编码不在物料档案里"))</f>
        <v/>
      </c>
      <c r="I1204" s="24">
        <f>IF($G1204="","",IFERROR(VLOOKUP($G1204,物料档案!$A$4:$P$1203,4,0),"※编码不在物料档案里"))</f>
        <v/>
      </c>
      <c r="J1204" s="24">
        <f>IF($G1204="","",IFERROR(VLOOKUP($G1204,物料档案!$A$4:$P$1203,5,0),"※编码不在物料档案里"))</f>
        <v/>
      </c>
      <c r="K1204" s="23" t="n"/>
      <c r="L1204" s="31" t="n"/>
      <c r="M1204" s="24">
        <f>IF($G1204="","",IF($D1204="A国内","CNY","TZS"))</f>
        <v/>
      </c>
      <c r="N1204" s="28">
        <f>IF($G1204="","",IF($D1204="A国内",汇率,1))</f>
        <v/>
      </c>
      <c r="O1204" s="25">
        <f>IF($G1204="","",ROUND(N($K1204)*N($L1204),2))</f>
        <v/>
      </c>
      <c r="P1204" s="26">
        <f>IF($G1204="","",ROUND($O1204*$N1204,0))</f>
        <v/>
      </c>
      <c r="Q1204" s="26">
        <f>IF($G1204="","",SUMIFS($P$4:$P$2503,$E$4:$E$2503,$E1204,$Z$4:$Z$2503,"正常"))</f>
        <v/>
      </c>
      <c r="R1204" s="26">
        <f>IF($G1204="","",SUMIFS(费用台账!$I$4:$I$503,费用台账!$C$4:$C$503,$E1204,费用台账!$J$4:$J$503,"是",费用台账!$K$4:$K$503,"正常"))</f>
        <v/>
      </c>
      <c r="S1204" s="28">
        <f>IF($G1204="","",COUNTIFS($E$4:$E$2503,$E1204,$Z$4:$Z$2503,"正常",$Y$4:$Y$2503,"待补价"))</f>
        <v/>
      </c>
      <c r="T1204" s="26">
        <f>IF($G1204="","",SUMIFS($P$4:$P$2503,$E$4:$E$2503,$E1204,$Z$4:$Z$2503,"正常",$A$4:$A$2503,"&lt;="&amp;$A1204))</f>
        <v/>
      </c>
      <c r="U1204" s="26">
        <f>IF($G1204="","",IF(OR($S1204&gt;0,$Q1204=0,$R1204=0,$Z1204&lt;&gt;"正常"),0,ROUND($T1204/$Q1204*$R1204,0)-ROUND(($T1204-$P1204)/$Q1204*$R1204,0)))</f>
        <v/>
      </c>
      <c r="V1204" s="26">
        <f>IF($G1204="","",ROUND($P1204+$U1204,0))</f>
        <v/>
      </c>
      <c r="W1204" s="26">
        <f>IF($G1204="","",IF(N($K1204)=0,0,ROUND($V1204/$K1204,2)))</f>
        <v/>
      </c>
      <c r="X1204" s="17" t="n"/>
      <c r="Y1204" s="17" t="n"/>
      <c r="Z1204" s="17" t="n"/>
      <c r="AA1204" s="17" t="n"/>
      <c r="AB1204" s="17" t="n"/>
      <c r="AC1204" s="24">
        <f>IF($G1204="","",IF($H1204="※编码不在物料档案里","※物料编码不在档案里",IF(N($K1204)&lt;=0,"※入库数量要大于 0",IF(AND($C1204&lt;&gt;"",$C1204&lt;=结账锁),"※日期早于已结账截止日，不能再录",IF(AND($L1204=0,$X1204="正常"),"※没填单价，价格状态请选「待补价」",IF(AND($S1204&gt;0,$R1204&gt;0),"△本批有 "&amp;$S1204&amp;" 行没单价，整批运费先挂账没摊",IF(AND($B1204&lt;&gt;"",COUNTIF($B$4:$B$2503,$B1204)&gt;1),"※入库单号重复","")))))))</f>
        <v/>
      </c>
    </row>
    <row r="1205">
      <c r="A1205" s="24">
        <f>IF($G1205="","",COUNTA($G$4:$G1205))</f>
        <v/>
      </c>
      <c r="B1205" s="17" t="n"/>
      <c r="C1205" s="30" t="n"/>
      <c r="D1205" s="17" t="n"/>
      <c r="E1205" s="17" t="n"/>
      <c r="F1205" s="17" t="n"/>
      <c r="G1205" s="17" t="n"/>
      <c r="H1205" s="24">
        <f>IF($G1205="","",IFERROR(VLOOKUP($G1205,物料档案!$A$4:$P$1203,3,0),"※编码不在物料档案里"))</f>
        <v/>
      </c>
      <c r="I1205" s="24">
        <f>IF($G1205="","",IFERROR(VLOOKUP($G1205,物料档案!$A$4:$P$1203,4,0),"※编码不在物料档案里"))</f>
        <v/>
      </c>
      <c r="J1205" s="24">
        <f>IF($G1205="","",IFERROR(VLOOKUP($G1205,物料档案!$A$4:$P$1203,5,0),"※编码不在物料档案里"))</f>
        <v/>
      </c>
      <c r="K1205" s="23" t="n"/>
      <c r="L1205" s="31" t="n"/>
      <c r="M1205" s="24">
        <f>IF($G1205="","",IF($D1205="A国内","CNY","TZS"))</f>
        <v/>
      </c>
      <c r="N1205" s="28">
        <f>IF($G1205="","",IF($D1205="A国内",汇率,1))</f>
        <v/>
      </c>
      <c r="O1205" s="25">
        <f>IF($G1205="","",ROUND(N($K1205)*N($L1205),2))</f>
        <v/>
      </c>
      <c r="P1205" s="26">
        <f>IF($G1205="","",ROUND($O1205*$N1205,0))</f>
        <v/>
      </c>
      <c r="Q1205" s="26">
        <f>IF($G1205="","",SUMIFS($P$4:$P$2503,$E$4:$E$2503,$E1205,$Z$4:$Z$2503,"正常"))</f>
        <v/>
      </c>
      <c r="R1205" s="26">
        <f>IF($G1205="","",SUMIFS(费用台账!$I$4:$I$503,费用台账!$C$4:$C$503,$E1205,费用台账!$J$4:$J$503,"是",费用台账!$K$4:$K$503,"正常"))</f>
        <v/>
      </c>
      <c r="S1205" s="28">
        <f>IF($G1205="","",COUNTIFS($E$4:$E$2503,$E1205,$Z$4:$Z$2503,"正常",$Y$4:$Y$2503,"待补价"))</f>
        <v/>
      </c>
      <c r="T1205" s="26">
        <f>IF($G1205="","",SUMIFS($P$4:$P$2503,$E$4:$E$2503,$E1205,$Z$4:$Z$2503,"正常",$A$4:$A$2503,"&lt;="&amp;$A1205))</f>
        <v/>
      </c>
      <c r="U1205" s="26">
        <f>IF($G1205="","",IF(OR($S1205&gt;0,$Q1205=0,$R1205=0,$Z1205&lt;&gt;"正常"),0,ROUND($T1205/$Q1205*$R1205,0)-ROUND(($T1205-$P1205)/$Q1205*$R1205,0)))</f>
        <v/>
      </c>
      <c r="V1205" s="26">
        <f>IF($G1205="","",ROUND($P1205+$U1205,0))</f>
        <v/>
      </c>
      <c r="W1205" s="26">
        <f>IF($G1205="","",IF(N($K1205)=0,0,ROUND($V1205/$K1205,2)))</f>
        <v/>
      </c>
      <c r="X1205" s="17" t="n"/>
      <c r="Y1205" s="17" t="n"/>
      <c r="Z1205" s="17" t="n"/>
      <c r="AA1205" s="17" t="n"/>
      <c r="AB1205" s="17" t="n"/>
      <c r="AC1205" s="24">
        <f>IF($G1205="","",IF($H1205="※编码不在物料档案里","※物料编码不在档案里",IF(N($K1205)&lt;=0,"※入库数量要大于 0",IF(AND($C1205&lt;&gt;"",$C1205&lt;=结账锁),"※日期早于已结账截止日，不能再录",IF(AND($L1205=0,$X1205="正常"),"※没填单价，价格状态请选「待补价」",IF(AND($S1205&gt;0,$R1205&gt;0),"△本批有 "&amp;$S1205&amp;" 行没单价，整批运费先挂账没摊",IF(AND($B1205&lt;&gt;"",COUNTIF($B$4:$B$2503,$B1205)&gt;1),"※入库单号重复","")))))))</f>
        <v/>
      </c>
    </row>
    <row r="1206">
      <c r="A1206" s="24">
        <f>IF($G1206="","",COUNTA($G$4:$G1206))</f>
        <v/>
      </c>
      <c r="B1206" s="17" t="n"/>
      <c r="C1206" s="30" t="n"/>
      <c r="D1206" s="17" t="n"/>
      <c r="E1206" s="17" t="n"/>
      <c r="F1206" s="17" t="n"/>
      <c r="G1206" s="17" t="n"/>
      <c r="H1206" s="24">
        <f>IF($G1206="","",IFERROR(VLOOKUP($G1206,物料档案!$A$4:$P$1203,3,0),"※编码不在物料档案里"))</f>
        <v/>
      </c>
      <c r="I1206" s="24">
        <f>IF($G1206="","",IFERROR(VLOOKUP($G1206,物料档案!$A$4:$P$1203,4,0),"※编码不在物料档案里"))</f>
        <v/>
      </c>
      <c r="J1206" s="24">
        <f>IF($G1206="","",IFERROR(VLOOKUP($G1206,物料档案!$A$4:$P$1203,5,0),"※编码不在物料档案里"))</f>
        <v/>
      </c>
      <c r="K1206" s="23" t="n"/>
      <c r="L1206" s="31" t="n"/>
      <c r="M1206" s="24">
        <f>IF($G1206="","",IF($D1206="A国内","CNY","TZS"))</f>
        <v/>
      </c>
      <c r="N1206" s="28">
        <f>IF($G1206="","",IF($D1206="A国内",汇率,1))</f>
        <v/>
      </c>
      <c r="O1206" s="25">
        <f>IF($G1206="","",ROUND(N($K1206)*N($L1206),2))</f>
        <v/>
      </c>
      <c r="P1206" s="26">
        <f>IF($G1206="","",ROUND($O1206*$N1206,0))</f>
        <v/>
      </c>
      <c r="Q1206" s="26">
        <f>IF($G1206="","",SUMIFS($P$4:$P$2503,$E$4:$E$2503,$E1206,$Z$4:$Z$2503,"正常"))</f>
        <v/>
      </c>
      <c r="R1206" s="26">
        <f>IF($G1206="","",SUMIFS(费用台账!$I$4:$I$503,费用台账!$C$4:$C$503,$E1206,费用台账!$J$4:$J$503,"是",费用台账!$K$4:$K$503,"正常"))</f>
        <v/>
      </c>
      <c r="S1206" s="28">
        <f>IF($G1206="","",COUNTIFS($E$4:$E$2503,$E1206,$Z$4:$Z$2503,"正常",$Y$4:$Y$2503,"待补价"))</f>
        <v/>
      </c>
      <c r="T1206" s="26">
        <f>IF($G1206="","",SUMIFS($P$4:$P$2503,$E$4:$E$2503,$E1206,$Z$4:$Z$2503,"正常",$A$4:$A$2503,"&lt;="&amp;$A1206))</f>
        <v/>
      </c>
      <c r="U1206" s="26">
        <f>IF($G1206="","",IF(OR($S1206&gt;0,$Q1206=0,$R1206=0,$Z1206&lt;&gt;"正常"),0,ROUND($T1206/$Q1206*$R1206,0)-ROUND(($T1206-$P1206)/$Q1206*$R1206,0)))</f>
        <v/>
      </c>
      <c r="V1206" s="26">
        <f>IF($G1206="","",ROUND($P1206+$U1206,0))</f>
        <v/>
      </c>
      <c r="W1206" s="26">
        <f>IF($G1206="","",IF(N($K1206)=0,0,ROUND($V1206/$K1206,2)))</f>
        <v/>
      </c>
      <c r="X1206" s="17" t="n"/>
      <c r="Y1206" s="17" t="n"/>
      <c r="Z1206" s="17" t="n"/>
      <c r="AA1206" s="17" t="n"/>
      <c r="AB1206" s="17" t="n"/>
      <c r="AC1206" s="24">
        <f>IF($G1206="","",IF($H1206="※编码不在物料档案里","※物料编码不在档案里",IF(N($K1206)&lt;=0,"※入库数量要大于 0",IF(AND($C1206&lt;&gt;"",$C1206&lt;=结账锁),"※日期早于已结账截止日，不能再录",IF(AND($L1206=0,$X1206="正常"),"※没填单价，价格状态请选「待补价」",IF(AND($S1206&gt;0,$R1206&gt;0),"△本批有 "&amp;$S1206&amp;" 行没单价，整批运费先挂账没摊",IF(AND($B1206&lt;&gt;"",COUNTIF($B$4:$B$2503,$B1206)&gt;1),"※入库单号重复","")))))))</f>
        <v/>
      </c>
    </row>
    <row r="1207">
      <c r="A1207" s="24">
        <f>IF($G1207="","",COUNTA($G$4:$G1207))</f>
        <v/>
      </c>
      <c r="B1207" s="17" t="n"/>
      <c r="C1207" s="30" t="n"/>
      <c r="D1207" s="17" t="n"/>
      <c r="E1207" s="17" t="n"/>
      <c r="F1207" s="17" t="n"/>
      <c r="G1207" s="17" t="n"/>
      <c r="H1207" s="24">
        <f>IF($G1207="","",IFERROR(VLOOKUP($G1207,物料档案!$A$4:$P$1203,3,0),"※编码不在物料档案里"))</f>
        <v/>
      </c>
      <c r="I1207" s="24">
        <f>IF($G1207="","",IFERROR(VLOOKUP($G1207,物料档案!$A$4:$P$1203,4,0),"※编码不在物料档案里"))</f>
        <v/>
      </c>
      <c r="J1207" s="24">
        <f>IF($G1207="","",IFERROR(VLOOKUP($G1207,物料档案!$A$4:$P$1203,5,0),"※编码不在物料档案里"))</f>
        <v/>
      </c>
      <c r="K1207" s="23" t="n"/>
      <c r="L1207" s="31" t="n"/>
      <c r="M1207" s="24">
        <f>IF($G1207="","",IF($D1207="A国内","CNY","TZS"))</f>
        <v/>
      </c>
      <c r="N1207" s="28">
        <f>IF($G1207="","",IF($D1207="A国内",汇率,1))</f>
        <v/>
      </c>
      <c r="O1207" s="25">
        <f>IF($G1207="","",ROUND(N($K1207)*N($L1207),2))</f>
        <v/>
      </c>
      <c r="P1207" s="26">
        <f>IF($G1207="","",ROUND($O1207*$N1207,0))</f>
        <v/>
      </c>
      <c r="Q1207" s="26">
        <f>IF($G1207="","",SUMIFS($P$4:$P$2503,$E$4:$E$2503,$E1207,$Z$4:$Z$2503,"正常"))</f>
        <v/>
      </c>
      <c r="R1207" s="26">
        <f>IF($G1207="","",SUMIFS(费用台账!$I$4:$I$503,费用台账!$C$4:$C$503,$E1207,费用台账!$J$4:$J$503,"是",费用台账!$K$4:$K$503,"正常"))</f>
        <v/>
      </c>
      <c r="S1207" s="28">
        <f>IF($G1207="","",COUNTIFS($E$4:$E$2503,$E1207,$Z$4:$Z$2503,"正常",$Y$4:$Y$2503,"待补价"))</f>
        <v/>
      </c>
      <c r="T1207" s="26">
        <f>IF($G1207="","",SUMIFS($P$4:$P$2503,$E$4:$E$2503,$E1207,$Z$4:$Z$2503,"正常",$A$4:$A$2503,"&lt;="&amp;$A1207))</f>
        <v/>
      </c>
      <c r="U1207" s="26">
        <f>IF($G1207="","",IF(OR($S1207&gt;0,$Q1207=0,$R1207=0,$Z1207&lt;&gt;"正常"),0,ROUND($T1207/$Q1207*$R1207,0)-ROUND(($T1207-$P1207)/$Q1207*$R1207,0)))</f>
        <v/>
      </c>
      <c r="V1207" s="26">
        <f>IF($G1207="","",ROUND($P1207+$U1207,0))</f>
        <v/>
      </c>
      <c r="W1207" s="26">
        <f>IF($G1207="","",IF(N($K1207)=0,0,ROUND($V1207/$K1207,2)))</f>
        <v/>
      </c>
      <c r="X1207" s="17" t="n"/>
      <c r="Y1207" s="17" t="n"/>
      <c r="Z1207" s="17" t="n"/>
      <c r="AA1207" s="17" t="n"/>
      <c r="AB1207" s="17" t="n"/>
      <c r="AC1207" s="24">
        <f>IF($G1207="","",IF($H1207="※编码不在物料档案里","※物料编码不在档案里",IF(N($K1207)&lt;=0,"※入库数量要大于 0",IF(AND($C1207&lt;&gt;"",$C1207&lt;=结账锁),"※日期早于已结账截止日，不能再录",IF(AND($L1207=0,$X1207="正常"),"※没填单价，价格状态请选「待补价」",IF(AND($S1207&gt;0,$R1207&gt;0),"△本批有 "&amp;$S1207&amp;" 行没单价，整批运费先挂账没摊",IF(AND($B1207&lt;&gt;"",COUNTIF($B$4:$B$2503,$B1207)&gt;1),"※入库单号重复","")))))))</f>
        <v/>
      </c>
    </row>
    <row r="1208">
      <c r="A1208" s="24">
        <f>IF($G1208="","",COUNTA($G$4:$G1208))</f>
        <v/>
      </c>
      <c r="B1208" s="17" t="n"/>
      <c r="C1208" s="30" t="n"/>
      <c r="D1208" s="17" t="n"/>
      <c r="E1208" s="17" t="n"/>
      <c r="F1208" s="17" t="n"/>
      <c r="G1208" s="17" t="n"/>
      <c r="H1208" s="24">
        <f>IF($G1208="","",IFERROR(VLOOKUP($G1208,物料档案!$A$4:$P$1203,3,0),"※编码不在物料档案里"))</f>
        <v/>
      </c>
      <c r="I1208" s="24">
        <f>IF($G1208="","",IFERROR(VLOOKUP($G1208,物料档案!$A$4:$P$1203,4,0),"※编码不在物料档案里"))</f>
        <v/>
      </c>
      <c r="J1208" s="24">
        <f>IF($G1208="","",IFERROR(VLOOKUP($G1208,物料档案!$A$4:$P$1203,5,0),"※编码不在物料档案里"))</f>
        <v/>
      </c>
      <c r="K1208" s="23" t="n"/>
      <c r="L1208" s="31" t="n"/>
      <c r="M1208" s="24">
        <f>IF($G1208="","",IF($D1208="A国内","CNY","TZS"))</f>
        <v/>
      </c>
      <c r="N1208" s="28">
        <f>IF($G1208="","",IF($D1208="A国内",汇率,1))</f>
        <v/>
      </c>
      <c r="O1208" s="25">
        <f>IF($G1208="","",ROUND(N($K1208)*N($L1208),2))</f>
        <v/>
      </c>
      <c r="P1208" s="26">
        <f>IF($G1208="","",ROUND($O1208*$N1208,0))</f>
        <v/>
      </c>
      <c r="Q1208" s="26">
        <f>IF($G1208="","",SUMIFS($P$4:$P$2503,$E$4:$E$2503,$E1208,$Z$4:$Z$2503,"正常"))</f>
        <v/>
      </c>
      <c r="R1208" s="26">
        <f>IF($G1208="","",SUMIFS(费用台账!$I$4:$I$503,费用台账!$C$4:$C$503,$E1208,费用台账!$J$4:$J$503,"是",费用台账!$K$4:$K$503,"正常"))</f>
        <v/>
      </c>
      <c r="S1208" s="28">
        <f>IF($G1208="","",COUNTIFS($E$4:$E$2503,$E1208,$Z$4:$Z$2503,"正常",$Y$4:$Y$2503,"待补价"))</f>
        <v/>
      </c>
      <c r="T1208" s="26">
        <f>IF($G1208="","",SUMIFS($P$4:$P$2503,$E$4:$E$2503,$E1208,$Z$4:$Z$2503,"正常",$A$4:$A$2503,"&lt;="&amp;$A1208))</f>
        <v/>
      </c>
      <c r="U1208" s="26">
        <f>IF($G1208="","",IF(OR($S1208&gt;0,$Q1208=0,$R1208=0,$Z1208&lt;&gt;"正常"),0,ROUND($T1208/$Q1208*$R1208,0)-ROUND(($T1208-$P1208)/$Q1208*$R1208,0)))</f>
        <v/>
      </c>
      <c r="V1208" s="26">
        <f>IF($G1208="","",ROUND($P1208+$U1208,0))</f>
        <v/>
      </c>
      <c r="W1208" s="26">
        <f>IF($G1208="","",IF(N($K1208)=0,0,ROUND($V1208/$K1208,2)))</f>
        <v/>
      </c>
      <c r="X1208" s="17" t="n"/>
      <c r="Y1208" s="17" t="n"/>
      <c r="Z1208" s="17" t="n"/>
      <c r="AA1208" s="17" t="n"/>
      <c r="AB1208" s="17" t="n"/>
      <c r="AC1208" s="24">
        <f>IF($G1208="","",IF($H1208="※编码不在物料档案里","※物料编码不在档案里",IF(N($K1208)&lt;=0,"※入库数量要大于 0",IF(AND($C1208&lt;&gt;"",$C1208&lt;=结账锁),"※日期早于已结账截止日，不能再录",IF(AND($L1208=0,$X1208="正常"),"※没填单价，价格状态请选「待补价」",IF(AND($S1208&gt;0,$R1208&gt;0),"△本批有 "&amp;$S1208&amp;" 行没单价，整批运费先挂账没摊",IF(AND($B1208&lt;&gt;"",COUNTIF($B$4:$B$2503,$B1208)&gt;1),"※入库单号重复","")))))))</f>
        <v/>
      </c>
    </row>
    <row r="1209">
      <c r="A1209" s="24">
        <f>IF($G1209="","",COUNTA($G$4:$G1209))</f>
        <v/>
      </c>
      <c r="B1209" s="17" t="n"/>
      <c r="C1209" s="30" t="n"/>
      <c r="D1209" s="17" t="n"/>
      <c r="E1209" s="17" t="n"/>
      <c r="F1209" s="17" t="n"/>
      <c r="G1209" s="17" t="n"/>
      <c r="H1209" s="24">
        <f>IF($G1209="","",IFERROR(VLOOKUP($G1209,物料档案!$A$4:$P$1203,3,0),"※编码不在物料档案里"))</f>
        <v/>
      </c>
      <c r="I1209" s="24">
        <f>IF($G1209="","",IFERROR(VLOOKUP($G1209,物料档案!$A$4:$P$1203,4,0),"※编码不在物料档案里"))</f>
        <v/>
      </c>
      <c r="J1209" s="24">
        <f>IF($G1209="","",IFERROR(VLOOKUP($G1209,物料档案!$A$4:$P$1203,5,0),"※编码不在物料档案里"))</f>
        <v/>
      </c>
      <c r="K1209" s="23" t="n"/>
      <c r="L1209" s="31" t="n"/>
      <c r="M1209" s="24">
        <f>IF($G1209="","",IF($D1209="A国内","CNY","TZS"))</f>
        <v/>
      </c>
      <c r="N1209" s="28">
        <f>IF($G1209="","",IF($D1209="A国内",汇率,1))</f>
        <v/>
      </c>
      <c r="O1209" s="25">
        <f>IF($G1209="","",ROUND(N($K1209)*N($L1209),2))</f>
        <v/>
      </c>
      <c r="P1209" s="26">
        <f>IF($G1209="","",ROUND($O1209*$N1209,0))</f>
        <v/>
      </c>
      <c r="Q1209" s="26">
        <f>IF($G1209="","",SUMIFS($P$4:$P$2503,$E$4:$E$2503,$E1209,$Z$4:$Z$2503,"正常"))</f>
        <v/>
      </c>
      <c r="R1209" s="26">
        <f>IF($G1209="","",SUMIFS(费用台账!$I$4:$I$503,费用台账!$C$4:$C$503,$E1209,费用台账!$J$4:$J$503,"是",费用台账!$K$4:$K$503,"正常"))</f>
        <v/>
      </c>
      <c r="S1209" s="28">
        <f>IF($G1209="","",COUNTIFS($E$4:$E$2503,$E1209,$Z$4:$Z$2503,"正常",$Y$4:$Y$2503,"待补价"))</f>
        <v/>
      </c>
      <c r="T1209" s="26">
        <f>IF($G1209="","",SUMIFS($P$4:$P$2503,$E$4:$E$2503,$E1209,$Z$4:$Z$2503,"正常",$A$4:$A$2503,"&lt;="&amp;$A1209))</f>
        <v/>
      </c>
      <c r="U1209" s="26">
        <f>IF($G1209="","",IF(OR($S1209&gt;0,$Q1209=0,$R1209=0,$Z1209&lt;&gt;"正常"),0,ROUND($T1209/$Q1209*$R1209,0)-ROUND(($T1209-$P1209)/$Q1209*$R1209,0)))</f>
        <v/>
      </c>
      <c r="V1209" s="26">
        <f>IF($G1209="","",ROUND($P1209+$U1209,0))</f>
        <v/>
      </c>
      <c r="W1209" s="26">
        <f>IF($G1209="","",IF(N($K1209)=0,0,ROUND($V1209/$K1209,2)))</f>
        <v/>
      </c>
      <c r="X1209" s="17" t="n"/>
      <c r="Y1209" s="17" t="n"/>
      <c r="Z1209" s="17" t="n"/>
      <c r="AA1209" s="17" t="n"/>
      <c r="AB1209" s="17" t="n"/>
      <c r="AC1209" s="24">
        <f>IF($G1209="","",IF($H1209="※编码不在物料档案里","※物料编码不在档案里",IF(N($K1209)&lt;=0,"※入库数量要大于 0",IF(AND($C1209&lt;&gt;"",$C1209&lt;=结账锁),"※日期早于已结账截止日，不能再录",IF(AND($L1209=0,$X1209="正常"),"※没填单价，价格状态请选「待补价」",IF(AND($S1209&gt;0,$R1209&gt;0),"△本批有 "&amp;$S1209&amp;" 行没单价，整批运费先挂账没摊",IF(AND($B1209&lt;&gt;"",COUNTIF($B$4:$B$2503,$B1209)&gt;1),"※入库单号重复","")))))))</f>
        <v/>
      </c>
    </row>
    <row r="1210">
      <c r="A1210" s="24">
        <f>IF($G1210="","",COUNTA($G$4:$G1210))</f>
        <v/>
      </c>
      <c r="B1210" s="17" t="n"/>
      <c r="C1210" s="30" t="n"/>
      <c r="D1210" s="17" t="n"/>
      <c r="E1210" s="17" t="n"/>
      <c r="F1210" s="17" t="n"/>
      <c r="G1210" s="17" t="n"/>
      <c r="H1210" s="24">
        <f>IF($G1210="","",IFERROR(VLOOKUP($G1210,物料档案!$A$4:$P$1203,3,0),"※编码不在物料档案里"))</f>
        <v/>
      </c>
      <c r="I1210" s="24">
        <f>IF($G1210="","",IFERROR(VLOOKUP($G1210,物料档案!$A$4:$P$1203,4,0),"※编码不在物料档案里"))</f>
        <v/>
      </c>
      <c r="J1210" s="24">
        <f>IF($G1210="","",IFERROR(VLOOKUP($G1210,物料档案!$A$4:$P$1203,5,0),"※编码不在物料档案里"))</f>
        <v/>
      </c>
      <c r="K1210" s="23" t="n"/>
      <c r="L1210" s="31" t="n"/>
      <c r="M1210" s="24">
        <f>IF($G1210="","",IF($D1210="A国内","CNY","TZS"))</f>
        <v/>
      </c>
      <c r="N1210" s="28">
        <f>IF($G1210="","",IF($D1210="A国内",汇率,1))</f>
        <v/>
      </c>
      <c r="O1210" s="25">
        <f>IF($G1210="","",ROUND(N($K1210)*N($L1210),2))</f>
        <v/>
      </c>
      <c r="P1210" s="26">
        <f>IF($G1210="","",ROUND($O1210*$N1210,0))</f>
        <v/>
      </c>
      <c r="Q1210" s="26">
        <f>IF($G1210="","",SUMIFS($P$4:$P$2503,$E$4:$E$2503,$E1210,$Z$4:$Z$2503,"正常"))</f>
        <v/>
      </c>
      <c r="R1210" s="26">
        <f>IF($G1210="","",SUMIFS(费用台账!$I$4:$I$503,费用台账!$C$4:$C$503,$E1210,费用台账!$J$4:$J$503,"是",费用台账!$K$4:$K$503,"正常"))</f>
        <v/>
      </c>
      <c r="S1210" s="28">
        <f>IF($G1210="","",COUNTIFS($E$4:$E$2503,$E1210,$Z$4:$Z$2503,"正常",$Y$4:$Y$2503,"待补价"))</f>
        <v/>
      </c>
      <c r="T1210" s="26">
        <f>IF($G1210="","",SUMIFS($P$4:$P$2503,$E$4:$E$2503,$E1210,$Z$4:$Z$2503,"正常",$A$4:$A$2503,"&lt;="&amp;$A1210))</f>
        <v/>
      </c>
      <c r="U1210" s="26">
        <f>IF($G1210="","",IF(OR($S1210&gt;0,$Q1210=0,$R1210=0,$Z1210&lt;&gt;"正常"),0,ROUND($T1210/$Q1210*$R1210,0)-ROUND(($T1210-$P1210)/$Q1210*$R1210,0)))</f>
        <v/>
      </c>
      <c r="V1210" s="26">
        <f>IF($G1210="","",ROUND($P1210+$U1210,0))</f>
        <v/>
      </c>
      <c r="W1210" s="26">
        <f>IF($G1210="","",IF(N($K1210)=0,0,ROUND($V1210/$K1210,2)))</f>
        <v/>
      </c>
      <c r="X1210" s="17" t="n"/>
      <c r="Y1210" s="17" t="n"/>
      <c r="Z1210" s="17" t="n"/>
      <c r="AA1210" s="17" t="n"/>
      <c r="AB1210" s="17" t="n"/>
      <c r="AC1210" s="24">
        <f>IF($G1210="","",IF($H1210="※编码不在物料档案里","※物料编码不在档案里",IF(N($K1210)&lt;=0,"※入库数量要大于 0",IF(AND($C1210&lt;&gt;"",$C1210&lt;=结账锁),"※日期早于已结账截止日，不能再录",IF(AND($L1210=0,$X1210="正常"),"※没填单价，价格状态请选「待补价」",IF(AND($S1210&gt;0,$R1210&gt;0),"△本批有 "&amp;$S1210&amp;" 行没单价，整批运费先挂账没摊",IF(AND($B1210&lt;&gt;"",COUNTIF($B$4:$B$2503,$B1210)&gt;1),"※入库单号重复","")))))))</f>
        <v/>
      </c>
    </row>
    <row r="1211">
      <c r="A1211" s="24">
        <f>IF($G1211="","",COUNTA($G$4:$G1211))</f>
        <v/>
      </c>
      <c r="B1211" s="17" t="n"/>
      <c r="C1211" s="30" t="n"/>
      <c r="D1211" s="17" t="n"/>
      <c r="E1211" s="17" t="n"/>
      <c r="F1211" s="17" t="n"/>
      <c r="G1211" s="17" t="n"/>
      <c r="H1211" s="24">
        <f>IF($G1211="","",IFERROR(VLOOKUP($G1211,物料档案!$A$4:$P$1203,3,0),"※编码不在物料档案里"))</f>
        <v/>
      </c>
      <c r="I1211" s="24">
        <f>IF($G1211="","",IFERROR(VLOOKUP($G1211,物料档案!$A$4:$P$1203,4,0),"※编码不在物料档案里"))</f>
        <v/>
      </c>
      <c r="J1211" s="24">
        <f>IF($G1211="","",IFERROR(VLOOKUP($G1211,物料档案!$A$4:$P$1203,5,0),"※编码不在物料档案里"))</f>
        <v/>
      </c>
      <c r="K1211" s="23" t="n"/>
      <c r="L1211" s="31" t="n"/>
      <c r="M1211" s="24">
        <f>IF($G1211="","",IF($D1211="A国内","CNY","TZS"))</f>
        <v/>
      </c>
      <c r="N1211" s="28">
        <f>IF($G1211="","",IF($D1211="A国内",汇率,1))</f>
        <v/>
      </c>
      <c r="O1211" s="25">
        <f>IF($G1211="","",ROUND(N($K1211)*N($L1211),2))</f>
        <v/>
      </c>
      <c r="P1211" s="26">
        <f>IF($G1211="","",ROUND($O1211*$N1211,0))</f>
        <v/>
      </c>
      <c r="Q1211" s="26">
        <f>IF($G1211="","",SUMIFS($P$4:$P$2503,$E$4:$E$2503,$E1211,$Z$4:$Z$2503,"正常"))</f>
        <v/>
      </c>
      <c r="R1211" s="26">
        <f>IF($G1211="","",SUMIFS(费用台账!$I$4:$I$503,费用台账!$C$4:$C$503,$E1211,费用台账!$J$4:$J$503,"是",费用台账!$K$4:$K$503,"正常"))</f>
        <v/>
      </c>
      <c r="S1211" s="28">
        <f>IF($G1211="","",COUNTIFS($E$4:$E$2503,$E1211,$Z$4:$Z$2503,"正常",$Y$4:$Y$2503,"待补价"))</f>
        <v/>
      </c>
      <c r="T1211" s="26">
        <f>IF($G1211="","",SUMIFS($P$4:$P$2503,$E$4:$E$2503,$E1211,$Z$4:$Z$2503,"正常",$A$4:$A$2503,"&lt;="&amp;$A1211))</f>
        <v/>
      </c>
      <c r="U1211" s="26">
        <f>IF($G1211="","",IF(OR($S1211&gt;0,$Q1211=0,$R1211=0,$Z1211&lt;&gt;"正常"),0,ROUND($T1211/$Q1211*$R1211,0)-ROUND(($T1211-$P1211)/$Q1211*$R1211,0)))</f>
        <v/>
      </c>
      <c r="V1211" s="26">
        <f>IF($G1211="","",ROUND($P1211+$U1211,0))</f>
        <v/>
      </c>
      <c r="W1211" s="26">
        <f>IF($G1211="","",IF(N($K1211)=0,0,ROUND($V1211/$K1211,2)))</f>
        <v/>
      </c>
      <c r="X1211" s="17" t="n"/>
      <c r="Y1211" s="17" t="n"/>
      <c r="Z1211" s="17" t="n"/>
      <c r="AA1211" s="17" t="n"/>
      <c r="AB1211" s="17" t="n"/>
      <c r="AC1211" s="24">
        <f>IF($G1211="","",IF($H1211="※编码不在物料档案里","※物料编码不在档案里",IF(N($K1211)&lt;=0,"※入库数量要大于 0",IF(AND($C1211&lt;&gt;"",$C1211&lt;=结账锁),"※日期早于已结账截止日，不能再录",IF(AND($L1211=0,$X1211="正常"),"※没填单价，价格状态请选「待补价」",IF(AND($S1211&gt;0,$R1211&gt;0),"△本批有 "&amp;$S1211&amp;" 行没单价，整批运费先挂账没摊",IF(AND($B1211&lt;&gt;"",COUNTIF($B$4:$B$2503,$B1211)&gt;1),"※入库单号重复","")))))))</f>
        <v/>
      </c>
    </row>
    <row r="1212">
      <c r="A1212" s="24">
        <f>IF($G1212="","",COUNTA($G$4:$G1212))</f>
        <v/>
      </c>
      <c r="B1212" s="17" t="n"/>
      <c r="C1212" s="30" t="n"/>
      <c r="D1212" s="17" t="n"/>
      <c r="E1212" s="17" t="n"/>
      <c r="F1212" s="17" t="n"/>
      <c r="G1212" s="17" t="n"/>
      <c r="H1212" s="24">
        <f>IF($G1212="","",IFERROR(VLOOKUP($G1212,物料档案!$A$4:$P$1203,3,0),"※编码不在物料档案里"))</f>
        <v/>
      </c>
      <c r="I1212" s="24">
        <f>IF($G1212="","",IFERROR(VLOOKUP($G1212,物料档案!$A$4:$P$1203,4,0),"※编码不在物料档案里"))</f>
        <v/>
      </c>
      <c r="J1212" s="24">
        <f>IF($G1212="","",IFERROR(VLOOKUP($G1212,物料档案!$A$4:$P$1203,5,0),"※编码不在物料档案里"))</f>
        <v/>
      </c>
      <c r="K1212" s="23" t="n"/>
      <c r="L1212" s="31" t="n"/>
      <c r="M1212" s="24">
        <f>IF($G1212="","",IF($D1212="A国内","CNY","TZS"))</f>
        <v/>
      </c>
      <c r="N1212" s="28">
        <f>IF($G1212="","",IF($D1212="A国内",汇率,1))</f>
        <v/>
      </c>
      <c r="O1212" s="25">
        <f>IF($G1212="","",ROUND(N($K1212)*N($L1212),2))</f>
        <v/>
      </c>
      <c r="P1212" s="26">
        <f>IF($G1212="","",ROUND($O1212*$N1212,0))</f>
        <v/>
      </c>
      <c r="Q1212" s="26">
        <f>IF($G1212="","",SUMIFS($P$4:$P$2503,$E$4:$E$2503,$E1212,$Z$4:$Z$2503,"正常"))</f>
        <v/>
      </c>
      <c r="R1212" s="26">
        <f>IF($G1212="","",SUMIFS(费用台账!$I$4:$I$503,费用台账!$C$4:$C$503,$E1212,费用台账!$J$4:$J$503,"是",费用台账!$K$4:$K$503,"正常"))</f>
        <v/>
      </c>
      <c r="S1212" s="28">
        <f>IF($G1212="","",COUNTIFS($E$4:$E$2503,$E1212,$Z$4:$Z$2503,"正常",$Y$4:$Y$2503,"待补价"))</f>
        <v/>
      </c>
      <c r="T1212" s="26">
        <f>IF($G1212="","",SUMIFS($P$4:$P$2503,$E$4:$E$2503,$E1212,$Z$4:$Z$2503,"正常",$A$4:$A$2503,"&lt;="&amp;$A1212))</f>
        <v/>
      </c>
      <c r="U1212" s="26">
        <f>IF($G1212="","",IF(OR($S1212&gt;0,$Q1212=0,$R1212=0,$Z1212&lt;&gt;"正常"),0,ROUND($T1212/$Q1212*$R1212,0)-ROUND(($T1212-$P1212)/$Q1212*$R1212,0)))</f>
        <v/>
      </c>
      <c r="V1212" s="26">
        <f>IF($G1212="","",ROUND($P1212+$U1212,0))</f>
        <v/>
      </c>
      <c r="W1212" s="26">
        <f>IF($G1212="","",IF(N($K1212)=0,0,ROUND($V1212/$K1212,2)))</f>
        <v/>
      </c>
      <c r="X1212" s="17" t="n"/>
      <c r="Y1212" s="17" t="n"/>
      <c r="Z1212" s="17" t="n"/>
      <c r="AA1212" s="17" t="n"/>
      <c r="AB1212" s="17" t="n"/>
      <c r="AC1212" s="24">
        <f>IF($G1212="","",IF($H1212="※编码不在物料档案里","※物料编码不在档案里",IF(N($K1212)&lt;=0,"※入库数量要大于 0",IF(AND($C1212&lt;&gt;"",$C1212&lt;=结账锁),"※日期早于已结账截止日，不能再录",IF(AND($L1212=0,$X1212="正常"),"※没填单价，价格状态请选「待补价」",IF(AND($S1212&gt;0,$R1212&gt;0),"△本批有 "&amp;$S1212&amp;" 行没单价，整批运费先挂账没摊",IF(AND($B1212&lt;&gt;"",COUNTIF($B$4:$B$2503,$B1212)&gt;1),"※入库单号重复","")))))))</f>
        <v/>
      </c>
    </row>
    <row r="1213">
      <c r="A1213" s="24">
        <f>IF($G1213="","",COUNTA($G$4:$G1213))</f>
        <v/>
      </c>
      <c r="B1213" s="17" t="n"/>
      <c r="C1213" s="30" t="n"/>
      <c r="D1213" s="17" t="n"/>
      <c r="E1213" s="17" t="n"/>
      <c r="F1213" s="17" t="n"/>
      <c r="G1213" s="17" t="n"/>
      <c r="H1213" s="24">
        <f>IF($G1213="","",IFERROR(VLOOKUP($G1213,物料档案!$A$4:$P$1203,3,0),"※编码不在物料档案里"))</f>
        <v/>
      </c>
      <c r="I1213" s="24">
        <f>IF($G1213="","",IFERROR(VLOOKUP($G1213,物料档案!$A$4:$P$1203,4,0),"※编码不在物料档案里"))</f>
        <v/>
      </c>
      <c r="J1213" s="24">
        <f>IF($G1213="","",IFERROR(VLOOKUP($G1213,物料档案!$A$4:$P$1203,5,0),"※编码不在物料档案里"))</f>
        <v/>
      </c>
      <c r="K1213" s="23" t="n"/>
      <c r="L1213" s="31" t="n"/>
      <c r="M1213" s="24">
        <f>IF($G1213="","",IF($D1213="A国内","CNY","TZS"))</f>
        <v/>
      </c>
      <c r="N1213" s="28">
        <f>IF($G1213="","",IF($D1213="A国内",汇率,1))</f>
        <v/>
      </c>
      <c r="O1213" s="25">
        <f>IF($G1213="","",ROUND(N($K1213)*N($L1213),2))</f>
        <v/>
      </c>
      <c r="P1213" s="26">
        <f>IF($G1213="","",ROUND($O1213*$N1213,0))</f>
        <v/>
      </c>
      <c r="Q1213" s="26">
        <f>IF($G1213="","",SUMIFS($P$4:$P$2503,$E$4:$E$2503,$E1213,$Z$4:$Z$2503,"正常"))</f>
        <v/>
      </c>
      <c r="R1213" s="26">
        <f>IF($G1213="","",SUMIFS(费用台账!$I$4:$I$503,费用台账!$C$4:$C$503,$E1213,费用台账!$J$4:$J$503,"是",费用台账!$K$4:$K$503,"正常"))</f>
        <v/>
      </c>
      <c r="S1213" s="28">
        <f>IF($G1213="","",COUNTIFS($E$4:$E$2503,$E1213,$Z$4:$Z$2503,"正常",$Y$4:$Y$2503,"待补价"))</f>
        <v/>
      </c>
      <c r="T1213" s="26">
        <f>IF($G1213="","",SUMIFS($P$4:$P$2503,$E$4:$E$2503,$E1213,$Z$4:$Z$2503,"正常",$A$4:$A$2503,"&lt;="&amp;$A1213))</f>
        <v/>
      </c>
      <c r="U1213" s="26">
        <f>IF($G1213="","",IF(OR($S1213&gt;0,$Q1213=0,$R1213=0,$Z1213&lt;&gt;"正常"),0,ROUND($T1213/$Q1213*$R1213,0)-ROUND(($T1213-$P1213)/$Q1213*$R1213,0)))</f>
        <v/>
      </c>
      <c r="V1213" s="26">
        <f>IF($G1213="","",ROUND($P1213+$U1213,0))</f>
        <v/>
      </c>
      <c r="W1213" s="26">
        <f>IF($G1213="","",IF(N($K1213)=0,0,ROUND($V1213/$K1213,2)))</f>
        <v/>
      </c>
      <c r="X1213" s="17" t="n"/>
      <c r="Y1213" s="17" t="n"/>
      <c r="Z1213" s="17" t="n"/>
      <c r="AA1213" s="17" t="n"/>
      <c r="AB1213" s="17" t="n"/>
      <c r="AC1213" s="24">
        <f>IF($G1213="","",IF($H1213="※编码不在物料档案里","※物料编码不在档案里",IF(N($K1213)&lt;=0,"※入库数量要大于 0",IF(AND($C1213&lt;&gt;"",$C1213&lt;=结账锁),"※日期早于已结账截止日，不能再录",IF(AND($L1213=0,$X1213="正常"),"※没填单价，价格状态请选「待补价」",IF(AND($S1213&gt;0,$R1213&gt;0),"△本批有 "&amp;$S1213&amp;" 行没单价，整批运费先挂账没摊",IF(AND($B1213&lt;&gt;"",COUNTIF($B$4:$B$2503,$B1213)&gt;1),"※入库单号重复","")))))))</f>
        <v/>
      </c>
    </row>
    <row r="1214">
      <c r="A1214" s="24">
        <f>IF($G1214="","",COUNTA($G$4:$G1214))</f>
        <v/>
      </c>
      <c r="B1214" s="17" t="n"/>
      <c r="C1214" s="30" t="n"/>
      <c r="D1214" s="17" t="n"/>
      <c r="E1214" s="17" t="n"/>
      <c r="F1214" s="17" t="n"/>
      <c r="G1214" s="17" t="n"/>
      <c r="H1214" s="24">
        <f>IF($G1214="","",IFERROR(VLOOKUP($G1214,物料档案!$A$4:$P$1203,3,0),"※编码不在物料档案里"))</f>
        <v/>
      </c>
      <c r="I1214" s="24">
        <f>IF($G1214="","",IFERROR(VLOOKUP($G1214,物料档案!$A$4:$P$1203,4,0),"※编码不在物料档案里"))</f>
        <v/>
      </c>
      <c r="J1214" s="24">
        <f>IF($G1214="","",IFERROR(VLOOKUP($G1214,物料档案!$A$4:$P$1203,5,0),"※编码不在物料档案里"))</f>
        <v/>
      </c>
      <c r="K1214" s="23" t="n"/>
      <c r="L1214" s="31" t="n"/>
      <c r="M1214" s="24">
        <f>IF($G1214="","",IF($D1214="A国内","CNY","TZS"))</f>
        <v/>
      </c>
      <c r="N1214" s="28">
        <f>IF($G1214="","",IF($D1214="A国内",汇率,1))</f>
        <v/>
      </c>
      <c r="O1214" s="25">
        <f>IF($G1214="","",ROUND(N($K1214)*N($L1214),2))</f>
        <v/>
      </c>
      <c r="P1214" s="26">
        <f>IF($G1214="","",ROUND($O1214*$N1214,0))</f>
        <v/>
      </c>
      <c r="Q1214" s="26">
        <f>IF($G1214="","",SUMIFS($P$4:$P$2503,$E$4:$E$2503,$E1214,$Z$4:$Z$2503,"正常"))</f>
        <v/>
      </c>
      <c r="R1214" s="26">
        <f>IF($G1214="","",SUMIFS(费用台账!$I$4:$I$503,费用台账!$C$4:$C$503,$E1214,费用台账!$J$4:$J$503,"是",费用台账!$K$4:$K$503,"正常"))</f>
        <v/>
      </c>
      <c r="S1214" s="28">
        <f>IF($G1214="","",COUNTIFS($E$4:$E$2503,$E1214,$Z$4:$Z$2503,"正常",$Y$4:$Y$2503,"待补价"))</f>
        <v/>
      </c>
      <c r="T1214" s="26">
        <f>IF($G1214="","",SUMIFS($P$4:$P$2503,$E$4:$E$2503,$E1214,$Z$4:$Z$2503,"正常",$A$4:$A$2503,"&lt;="&amp;$A1214))</f>
        <v/>
      </c>
      <c r="U1214" s="26">
        <f>IF($G1214="","",IF(OR($S1214&gt;0,$Q1214=0,$R1214=0,$Z1214&lt;&gt;"正常"),0,ROUND($T1214/$Q1214*$R1214,0)-ROUND(($T1214-$P1214)/$Q1214*$R1214,0)))</f>
        <v/>
      </c>
      <c r="V1214" s="26">
        <f>IF($G1214="","",ROUND($P1214+$U1214,0))</f>
        <v/>
      </c>
      <c r="W1214" s="26">
        <f>IF($G1214="","",IF(N($K1214)=0,0,ROUND($V1214/$K1214,2)))</f>
        <v/>
      </c>
      <c r="X1214" s="17" t="n"/>
      <c r="Y1214" s="17" t="n"/>
      <c r="Z1214" s="17" t="n"/>
      <c r="AA1214" s="17" t="n"/>
      <c r="AB1214" s="17" t="n"/>
      <c r="AC1214" s="24">
        <f>IF($G1214="","",IF($H1214="※编码不在物料档案里","※物料编码不在档案里",IF(N($K1214)&lt;=0,"※入库数量要大于 0",IF(AND($C1214&lt;&gt;"",$C1214&lt;=结账锁),"※日期早于已结账截止日，不能再录",IF(AND($L1214=0,$X1214="正常"),"※没填单价，价格状态请选「待补价」",IF(AND($S1214&gt;0,$R1214&gt;0),"△本批有 "&amp;$S1214&amp;" 行没单价，整批运费先挂账没摊",IF(AND($B1214&lt;&gt;"",COUNTIF($B$4:$B$2503,$B1214)&gt;1),"※入库单号重复","")))))))</f>
        <v/>
      </c>
    </row>
    <row r="1215">
      <c r="A1215" s="24">
        <f>IF($G1215="","",COUNTA($G$4:$G1215))</f>
        <v/>
      </c>
      <c r="B1215" s="17" t="n"/>
      <c r="C1215" s="30" t="n"/>
      <c r="D1215" s="17" t="n"/>
      <c r="E1215" s="17" t="n"/>
      <c r="F1215" s="17" t="n"/>
      <c r="G1215" s="17" t="n"/>
      <c r="H1215" s="24">
        <f>IF($G1215="","",IFERROR(VLOOKUP($G1215,物料档案!$A$4:$P$1203,3,0),"※编码不在物料档案里"))</f>
        <v/>
      </c>
      <c r="I1215" s="24">
        <f>IF($G1215="","",IFERROR(VLOOKUP($G1215,物料档案!$A$4:$P$1203,4,0),"※编码不在物料档案里"))</f>
        <v/>
      </c>
      <c r="J1215" s="24">
        <f>IF($G1215="","",IFERROR(VLOOKUP($G1215,物料档案!$A$4:$P$1203,5,0),"※编码不在物料档案里"))</f>
        <v/>
      </c>
      <c r="K1215" s="23" t="n"/>
      <c r="L1215" s="31" t="n"/>
      <c r="M1215" s="24">
        <f>IF($G1215="","",IF($D1215="A国内","CNY","TZS"))</f>
        <v/>
      </c>
      <c r="N1215" s="28">
        <f>IF($G1215="","",IF($D1215="A国内",汇率,1))</f>
        <v/>
      </c>
      <c r="O1215" s="25">
        <f>IF($G1215="","",ROUND(N($K1215)*N($L1215),2))</f>
        <v/>
      </c>
      <c r="P1215" s="26">
        <f>IF($G1215="","",ROUND($O1215*$N1215,0))</f>
        <v/>
      </c>
      <c r="Q1215" s="26">
        <f>IF($G1215="","",SUMIFS($P$4:$P$2503,$E$4:$E$2503,$E1215,$Z$4:$Z$2503,"正常"))</f>
        <v/>
      </c>
      <c r="R1215" s="26">
        <f>IF($G1215="","",SUMIFS(费用台账!$I$4:$I$503,费用台账!$C$4:$C$503,$E1215,费用台账!$J$4:$J$503,"是",费用台账!$K$4:$K$503,"正常"))</f>
        <v/>
      </c>
      <c r="S1215" s="28">
        <f>IF($G1215="","",COUNTIFS($E$4:$E$2503,$E1215,$Z$4:$Z$2503,"正常",$Y$4:$Y$2503,"待补价"))</f>
        <v/>
      </c>
      <c r="T1215" s="26">
        <f>IF($G1215="","",SUMIFS($P$4:$P$2503,$E$4:$E$2503,$E1215,$Z$4:$Z$2503,"正常",$A$4:$A$2503,"&lt;="&amp;$A1215))</f>
        <v/>
      </c>
      <c r="U1215" s="26">
        <f>IF($G1215="","",IF(OR($S1215&gt;0,$Q1215=0,$R1215=0,$Z1215&lt;&gt;"正常"),0,ROUND($T1215/$Q1215*$R1215,0)-ROUND(($T1215-$P1215)/$Q1215*$R1215,0)))</f>
        <v/>
      </c>
      <c r="V1215" s="26">
        <f>IF($G1215="","",ROUND($P1215+$U1215,0))</f>
        <v/>
      </c>
      <c r="W1215" s="26">
        <f>IF($G1215="","",IF(N($K1215)=0,0,ROUND($V1215/$K1215,2)))</f>
        <v/>
      </c>
      <c r="X1215" s="17" t="n"/>
      <c r="Y1215" s="17" t="n"/>
      <c r="Z1215" s="17" t="n"/>
      <c r="AA1215" s="17" t="n"/>
      <c r="AB1215" s="17" t="n"/>
      <c r="AC1215" s="24">
        <f>IF($G1215="","",IF($H1215="※编码不在物料档案里","※物料编码不在档案里",IF(N($K1215)&lt;=0,"※入库数量要大于 0",IF(AND($C1215&lt;&gt;"",$C1215&lt;=结账锁),"※日期早于已结账截止日，不能再录",IF(AND($L1215=0,$X1215="正常"),"※没填单价，价格状态请选「待补价」",IF(AND($S1215&gt;0,$R1215&gt;0),"△本批有 "&amp;$S1215&amp;" 行没单价，整批运费先挂账没摊",IF(AND($B1215&lt;&gt;"",COUNTIF($B$4:$B$2503,$B1215)&gt;1),"※入库单号重复","")))))))</f>
        <v/>
      </c>
    </row>
    <row r="1216">
      <c r="A1216" s="24">
        <f>IF($G1216="","",COUNTA($G$4:$G1216))</f>
        <v/>
      </c>
      <c r="B1216" s="17" t="n"/>
      <c r="C1216" s="30" t="n"/>
      <c r="D1216" s="17" t="n"/>
      <c r="E1216" s="17" t="n"/>
      <c r="F1216" s="17" t="n"/>
      <c r="G1216" s="17" t="n"/>
      <c r="H1216" s="24">
        <f>IF($G1216="","",IFERROR(VLOOKUP($G1216,物料档案!$A$4:$P$1203,3,0),"※编码不在物料档案里"))</f>
        <v/>
      </c>
      <c r="I1216" s="24">
        <f>IF($G1216="","",IFERROR(VLOOKUP($G1216,物料档案!$A$4:$P$1203,4,0),"※编码不在物料档案里"))</f>
        <v/>
      </c>
      <c r="J1216" s="24">
        <f>IF($G1216="","",IFERROR(VLOOKUP($G1216,物料档案!$A$4:$P$1203,5,0),"※编码不在物料档案里"))</f>
        <v/>
      </c>
      <c r="K1216" s="23" t="n"/>
      <c r="L1216" s="31" t="n"/>
      <c r="M1216" s="24">
        <f>IF($G1216="","",IF($D1216="A国内","CNY","TZS"))</f>
        <v/>
      </c>
      <c r="N1216" s="28">
        <f>IF($G1216="","",IF($D1216="A国内",汇率,1))</f>
        <v/>
      </c>
      <c r="O1216" s="25">
        <f>IF($G1216="","",ROUND(N($K1216)*N($L1216),2))</f>
        <v/>
      </c>
      <c r="P1216" s="26">
        <f>IF($G1216="","",ROUND($O1216*$N1216,0))</f>
        <v/>
      </c>
      <c r="Q1216" s="26">
        <f>IF($G1216="","",SUMIFS($P$4:$P$2503,$E$4:$E$2503,$E1216,$Z$4:$Z$2503,"正常"))</f>
        <v/>
      </c>
      <c r="R1216" s="26">
        <f>IF($G1216="","",SUMIFS(费用台账!$I$4:$I$503,费用台账!$C$4:$C$503,$E1216,费用台账!$J$4:$J$503,"是",费用台账!$K$4:$K$503,"正常"))</f>
        <v/>
      </c>
      <c r="S1216" s="28">
        <f>IF($G1216="","",COUNTIFS($E$4:$E$2503,$E1216,$Z$4:$Z$2503,"正常",$Y$4:$Y$2503,"待补价"))</f>
        <v/>
      </c>
      <c r="T1216" s="26">
        <f>IF($G1216="","",SUMIFS($P$4:$P$2503,$E$4:$E$2503,$E1216,$Z$4:$Z$2503,"正常",$A$4:$A$2503,"&lt;="&amp;$A1216))</f>
        <v/>
      </c>
      <c r="U1216" s="26">
        <f>IF($G1216="","",IF(OR($S1216&gt;0,$Q1216=0,$R1216=0,$Z1216&lt;&gt;"正常"),0,ROUND($T1216/$Q1216*$R1216,0)-ROUND(($T1216-$P1216)/$Q1216*$R1216,0)))</f>
        <v/>
      </c>
      <c r="V1216" s="26">
        <f>IF($G1216="","",ROUND($P1216+$U1216,0))</f>
        <v/>
      </c>
      <c r="W1216" s="26">
        <f>IF($G1216="","",IF(N($K1216)=0,0,ROUND($V1216/$K1216,2)))</f>
        <v/>
      </c>
      <c r="X1216" s="17" t="n"/>
      <c r="Y1216" s="17" t="n"/>
      <c r="Z1216" s="17" t="n"/>
      <c r="AA1216" s="17" t="n"/>
      <c r="AB1216" s="17" t="n"/>
      <c r="AC1216" s="24">
        <f>IF($G1216="","",IF($H1216="※编码不在物料档案里","※物料编码不在档案里",IF(N($K1216)&lt;=0,"※入库数量要大于 0",IF(AND($C1216&lt;&gt;"",$C1216&lt;=结账锁),"※日期早于已结账截止日，不能再录",IF(AND($L1216=0,$X1216="正常"),"※没填单价，价格状态请选「待补价」",IF(AND($S1216&gt;0,$R1216&gt;0),"△本批有 "&amp;$S1216&amp;" 行没单价，整批运费先挂账没摊",IF(AND($B1216&lt;&gt;"",COUNTIF($B$4:$B$2503,$B1216)&gt;1),"※入库单号重复","")))))))</f>
        <v/>
      </c>
    </row>
    <row r="1217">
      <c r="A1217" s="24">
        <f>IF($G1217="","",COUNTA($G$4:$G1217))</f>
        <v/>
      </c>
      <c r="B1217" s="17" t="n"/>
      <c r="C1217" s="30" t="n"/>
      <c r="D1217" s="17" t="n"/>
      <c r="E1217" s="17" t="n"/>
      <c r="F1217" s="17" t="n"/>
      <c r="G1217" s="17" t="n"/>
      <c r="H1217" s="24">
        <f>IF($G1217="","",IFERROR(VLOOKUP($G1217,物料档案!$A$4:$P$1203,3,0),"※编码不在物料档案里"))</f>
        <v/>
      </c>
      <c r="I1217" s="24">
        <f>IF($G1217="","",IFERROR(VLOOKUP($G1217,物料档案!$A$4:$P$1203,4,0),"※编码不在物料档案里"))</f>
        <v/>
      </c>
      <c r="J1217" s="24">
        <f>IF($G1217="","",IFERROR(VLOOKUP($G1217,物料档案!$A$4:$P$1203,5,0),"※编码不在物料档案里"))</f>
        <v/>
      </c>
      <c r="K1217" s="23" t="n"/>
      <c r="L1217" s="31" t="n"/>
      <c r="M1217" s="24">
        <f>IF($G1217="","",IF($D1217="A国内","CNY","TZS"))</f>
        <v/>
      </c>
      <c r="N1217" s="28">
        <f>IF($G1217="","",IF($D1217="A国内",汇率,1))</f>
        <v/>
      </c>
      <c r="O1217" s="25">
        <f>IF($G1217="","",ROUND(N($K1217)*N($L1217),2))</f>
        <v/>
      </c>
      <c r="P1217" s="26">
        <f>IF($G1217="","",ROUND($O1217*$N1217,0))</f>
        <v/>
      </c>
      <c r="Q1217" s="26">
        <f>IF($G1217="","",SUMIFS($P$4:$P$2503,$E$4:$E$2503,$E1217,$Z$4:$Z$2503,"正常"))</f>
        <v/>
      </c>
      <c r="R1217" s="26">
        <f>IF($G1217="","",SUMIFS(费用台账!$I$4:$I$503,费用台账!$C$4:$C$503,$E1217,费用台账!$J$4:$J$503,"是",费用台账!$K$4:$K$503,"正常"))</f>
        <v/>
      </c>
      <c r="S1217" s="28">
        <f>IF($G1217="","",COUNTIFS($E$4:$E$2503,$E1217,$Z$4:$Z$2503,"正常",$Y$4:$Y$2503,"待补价"))</f>
        <v/>
      </c>
      <c r="T1217" s="26">
        <f>IF($G1217="","",SUMIFS($P$4:$P$2503,$E$4:$E$2503,$E1217,$Z$4:$Z$2503,"正常",$A$4:$A$2503,"&lt;="&amp;$A1217))</f>
        <v/>
      </c>
      <c r="U1217" s="26">
        <f>IF($G1217="","",IF(OR($S1217&gt;0,$Q1217=0,$R1217=0,$Z1217&lt;&gt;"正常"),0,ROUND($T1217/$Q1217*$R1217,0)-ROUND(($T1217-$P1217)/$Q1217*$R1217,0)))</f>
        <v/>
      </c>
      <c r="V1217" s="26">
        <f>IF($G1217="","",ROUND($P1217+$U1217,0))</f>
        <v/>
      </c>
      <c r="W1217" s="26">
        <f>IF($G1217="","",IF(N($K1217)=0,0,ROUND($V1217/$K1217,2)))</f>
        <v/>
      </c>
      <c r="X1217" s="17" t="n"/>
      <c r="Y1217" s="17" t="n"/>
      <c r="Z1217" s="17" t="n"/>
      <c r="AA1217" s="17" t="n"/>
      <c r="AB1217" s="17" t="n"/>
      <c r="AC1217" s="24">
        <f>IF($G1217="","",IF($H1217="※编码不在物料档案里","※物料编码不在档案里",IF(N($K1217)&lt;=0,"※入库数量要大于 0",IF(AND($C1217&lt;&gt;"",$C1217&lt;=结账锁),"※日期早于已结账截止日，不能再录",IF(AND($L1217=0,$X1217="正常"),"※没填单价，价格状态请选「待补价」",IF(AND($S1217&gt;0,$R1217&gt;0),"△本批有 "&amp;$S1217&amp;" 行没单价，整批运费先挂账没摊",IF(AND($B1217&lt;&gt;"",COUNTIF($B$4:$B$2503,$B1217)&gt;1),"※入库单号重复","")))))))</f>
        <v/>
      </c>
    </row>
    <row r="1218">
      <c r="A1218" s="24">
        <f>IF($G1218="","",COUNTA($G$4:$G1218))</f>
        <v/>
      </c>
      <c r="B1218" s="17" t="n"/>
      <c r="C1218" s="30" t="n"/>
      <c r="D1218" s="17" t="n"/>
      <c r="E1218" s="17" t="n"/>
      <c r="F1218" s="17" t="n"/>
      <c r="G1218" s="17" t="n"/>
      <c r="H1218" s="24">
        <f>IF($G1218="","",IFERROR(VLOOKUP($G1218,物料档案!$A$4:$P$1203,3,0),"※编码不在物料档案里"))</f>
        <v/>
      </c>
      <c r="I1218" s="24">
        <f>IF($G1218="","",IFERROR(VLOOKUP($G1218,物料档案!$A$4:$P$1203,4,0),"※编码不在物料档案里"))</f>
        <v/>
      </c>
      <c r="J1218" s="24">
        <f>IF($G1218="","",IFERROR(VLOOKUP($G1218,物料档案!$A$4:$P$1203,5,0),"※编码不在物料档案里"))</f>
        <v/>
      </c>
      <c r="K1218" s="23" t="n"/>
      <c r="L1218" s="31" t="n"/>
      <c r="M1218" s="24">
        <f>IF($G1218="","",IF($D1218="A国内","CNY","TZS"))</f>
        <v/>
      </c>
      <c r="N1218" s="28">
        <f>IF($G1218="","",IF($D1218="A国内",汇率,1))</f>
        <v/>
      </c>
      <c r="O1218" s="25">
        <f>IF($G1218="","",ROUND(N($K1218)*N($L1218),2))</f>
        <v/>
      </c>
      <c r="P1218" s="26">
        <f>IF($G1218="","",ROUND($O1218*$N1218,0))</f>
        <v/>
      </c>
      <c r="Q1218" s="26">
        <f>IF($G1218="","",SUMIFS($P$4:$P$2503,$E$4:$E$2503,$E1218,$Z$4:$Z$2503,"正常"))</f>
        <v/>
      </c>
      <c r="R1218" s="26">
        <f>IF($G1218="","",SUMIFS(费用台账!$I$4:$I$503,费用台账!$C$4:$C$503,$E1218,费用台账!$J$4:$J$503,"是",费用台账!$K$4:$K$503,"正常"))</f>
        <v/>
      </c>
      <c r="S1218" s="28">
        <f>IF($G1218="","",COUNTIFS($E$4:$E$2503,$E1218,$Z$4:$Z$2503,"正常",$Y$4:$Y$2503,"待补价"))</f>
        <v/>
      </c>
      <c r="T1218" s="26">
        <f>IF($G1218="","",SUMIFS($P$4:$P$2503,$E$4:$E$2503,$E1218,$Z$4:$Z$2503,"正常",$A$4:$A$2503,"&lt;="&amp;$A1218))</f>
        <v/>
      </c>
      <c r="U1218" s="26">
        <f>IF($G1218="","",IF(OR($S1218&gt;0,$Q1218=0,$R1218=0,$Z1218&lt;&gt;"正常"),0,ROUND($T1218/$Q1218*$R1218,0)-ROUND(($T1218-$P1218)/$Q1218*$R1218,0)))</f>
        <v/>
      </c>
      <c r="V1218" s="26">
        <f>IF($G1218="","",ROUND($P1218+$U1218,0))</f>
        <v/>
      </c>
      <c r="W1218" s="26">
        <f>IF($G1218="","",IF(N($K1218)=0,0,ROUND($V1218/$K1218,2)))</f>
        <v/>
      </c>
      <c r="X1218" s="17" t="n"/>
      <c r="Y1218" s="17" t="n"/>
      <c r="Z1218" s="17" t="n"/>
      <c r="AA1218" s="17" t="n"/>
      <c r="AB1218" s="17" t="n"/>
      <c r="AC1218" s="24">
        <f>IF($G1218="","",IF($H1218="※编码不在物料档案里","※物料编码不在档案里",IF(N($K1218)&lt;=0,"※入库数量要大于 0",IF(AND($C1218&lt;&gt;"",$C1218&lt;=结账锁),"※日期早于已结账截止日，不能再录",IF(AND($L1218=0,$X1218="正常"),"※没填单价，价格状态请选「待补价」",IF(AND($S1218&gt;0,$R1218&gt;0),"△本批有 "&amp;$S1218&amp;" 行没单价，整批运费先挂账没摊",IF(AND($B1218&lt;&gt;"",COUNTIF($B$4:$B$2503,$B1218)&gt;1),"※入库单号重复","")))))))</f>
        <v/>
      </c>
    </row>
    <row r="1219">
      <c r="A1219" s="24">
        <f>IF($G1219="","",COUNTA($G$4:$G1219))</f>
        <v/>
      </c>
      <c r="B1219" s="17" t="n"/>
      <c r="C1219" s="30" t="n"/>
      <c r="D1219" s="17" t="n"/>
      <c r="E1219" s="17" t="n"/>
      <c r="F1219" s="17" t="n"/>
      <c r="G1219" s="17" t="n"/>
      <c r="H1219" s="24">
        <f>IF($G1219="","",IFERROR(VLOOKUP($G1219,物料档案!$A$4:$P$1203,3,0),"※编码不在物料档案里"))</f>
        <v/>
      </c>
      <c r="I1219" s="24">
        <f>IF($G1219="","",IFERROR(VLOOKUP($G1219,物料档案!$A$4:$P$1203,4,0),"※编码不在物料档案里"))</f>
        <v/>
      </c>
      <c r="J1219" s="24">
        <f>IF($G1219="","",IFERROR(VLOOKUP($G1219,物料档案!$A$4:$P$1203,5,0),"※编码不在物料档案里"))</f>
        <v/>
      </c>
      <c r="K1219" s="23" t="n"/>
      <c r="L1219" s="31" t="n"/>
      <c r="M1219" s="24">
        <f>IF($G1219="","",IF($D1219="A国内","CNY","TZS"))</f>
        <v/>
      </c>
      <c r="N1219" s="28">
        <f>IF($G1219="","",IF($D1219="A国内",汇率,1))</f>
        <v/>
      </c>
      <c r="O1219" s="25">
        <f>IF($G1219="","",ROUND(N($K1219)*N($L1219),2))</f>
        <v/>
      </c>
      <c r="P1219" s="26">
        <f>IF($G1219="","",ROUND($O1219*$N1219,0))</f>
        <v/>
      </c>
      <c r="Q1219" s="26">
        <f>IF($G1219="","",SUMIFS($P$4:$P$2503,$E$4:$E$2503,$E1219,$Z$4:$Z$2503,"正常"))</f>
        <v/>
      </c>
      <c r="R1219" s="26">
        <f>IF($G1219="","",SUMIFS(费用台账!$I$4:$I$503,费用台账!$C$4:$C$503,$E1219,费用台账!$J$4:$J$503,"是",费用台账!$K$4:$K$503,"正常"))</f>
        <v/>
      </c>
      <c r="S1219" s="28">
        <f>IF($G1219="","",COUNTIFS($E$4:$E$2503,$E1219,$Z$4:$Z$2503,"正常",$Y$4:$Y$2503,"待补价"))</f>
        <v/>
      </c>
      <c r="T1219" s="26">
        <f>IF($G1219="","",SUMIFS($P$4:$P$2503,$E$4:$E$2503,$E1219,$Z$4:$Z$2503,"正常",$A$4:$A$2503,"&lt;="&amp;$A1219))</f>
        <v/>
      </c>
      <c r="U1219" s="26">
        <f>IF($G1219="","",IF(OR($S1219&gt;0,$Q1219=0,$R1219=0,$Z1219&lt;&gt;"正常"),0,ROUND($T1219/$Q1219*$R1219,0)-ROUND(($T1219-$P1219)/$Q1219*$R1219,0)))</f>
        <v/>
      </c>
      <c r="V1219" s="26">
        <f>IF($G1219="","",ROUND($P1219+$U1219,0))</f>
        <v/>
      </c>
      <c r="W1219" s="26">
        <f>IF($G1219="","",IF(N($K1219)=0,0,ROUND($V1219/$K1219,2)))</f>
        <v/>
      </c>
      <c r="X1219" s="17" t="n"/>
      <c r="Y1219" s="17" t="n"/>
      <c r="Z1219" s="17" t="n"/>
      <c r="AA1219" s="17" t="n"/>
      <c r="AB1219" s="17" t="n"/>
      <c r="AC1219" s="24">
        <f>IF($G1219="","",IF($H1219="※编码不在物料档案里","※物料编码不在档案里",IF(N($K1219)&lt;=0,"※入库数量要大于 0",IF(AND($C1219&lt;&gt;"",$C1219&lt;=结账锁),"※日期早于已结账截止日，不能再录",IF(AND($L1219=0,$X1219="正常"),"※没填单价，价格状态请选「待补价」",IF(AND($S1219&gt;0,$R1219&gt;0),"△本批有 "&amp;$S1219&amp;" 行没单价，整批运费先挂账没摊",IF(AND($B1219&lt;&gt;"",COUNTIF($B$4:$B$2503,$B1219)&gt;1),"※入库单号重复","")))))))</f>
        <v/>
      </c>
    </row>
    <row r="1220">
      <c r="A1220" s="24">
        <f>IF($G1220="","",COUNTA($G$4:$G1220))</f>
        <v/>
      </c>
      <c r="B1220" s="17" t="n"/>
      <c r="C1220" s="30" t="n"/>
      <c r="D1220" s="17" t="n"/>
      <c r="E1220" s="17" t="n"/>
      <c r="F1220" s="17" t="n"/>
      <c r="G1220" s="17" t="n"/>
      <c r="H1220" s="24">
        <f>IF($G1220="","",IFERROR(VLOOKUP($G1220,物料档案!$A$4:$P$1203,3,0),"※编码不在物料档案里"))</f>
        <v/>
      </c>
      <c r="I1220" s="24">
        <f>IF($G1220="","",IFERROR(VLOOKUP($G1220,物料档案!$A$4:$P$1203,4,0),"※编码不在物料档案里"))</f>
        <v/>
      </c>
      <c r="J1220" s="24">
        <f>IF($G1220="","",IFERROR(VLOOKUP($G1220,物料档案!$A$4:$P$1203,5,0),"※编码不在物料档案里"))</f>
        <v/>
      </c>
      <c r="K1220" s="23" t="n"/>
      <c r="L1220" s="31" t="n"/>
      <c r="M1220" s="24">
        <f>IF($G1220="","",IF($D1220="A国内","CNY","TZS"))</f>
        <v/>
      </c>
      <c r="N1220" s="28">
        <f>IF($G1220="","",IF($D1220="A国内",汇率,1))</f>
        <v/>
      </c>
      <c r="O1220" s="25">
        <f>IF($G1220="","",ROUND(N($K1220)*N($L1220),2))</f>
        <v/>
      </c>
      <c r="P1220" s="26">
        <f>IF($G1220="","",ROUND($O1220*$N1220,0))</f>
        <v/>
      </c>
      <c r="Q1220" s="26">
        <f>IF($G1220="","",SUMIFS($P$4:$P$2503,$E$4:$E$2503,$E1220,$Z$4:$Z$2503,"正常"))</f>
        <v/>
      </c>
      <c r="R1220" s="26">
        <f>IF($G1220="","",SUMIFS(费用台账!$I$4:$I$503,费用台账!$C$4:$C$503,$E1220,费用台账!$J$4:$J$503,"是",费用台账!$K$4:$K$503,"正常"))</f>
        <v/>
      </c>
      <c r="S1220" s="28">
        <f>IF($G1220="","",COUNTIFS($E$4:$E$2503,$E1220,$Z$4:$Z$2503,"正常",$Y$4:$Y$2503,"待补价"))</f>
        <v/>
      </c>
      <c r="T1220" s="26">
        <f>IF($G1220="","",SUMIFS($P$4:$P$2503,$E$4:$E$2503,$E1220,$Z$4:$Z$2503,"正常",$A$4:$A$2503,"&lt;="&amp;$A1220))</f>
        <v/>
      </c>
      <c r="U1220" s="26">
        <f>IF($G1220="","",IF(OR($S1220&gt;0,$Q1220=0,$R1220=0,$Z1220&lt;&gt;"正常"),0,ROUND($T1220/$Q1220*$R1220,0)-ROUND(($T1220-$P1220)/$Q1220*$R1220,0)))</f>
        <v/>
      </c>
      <c r="V1220" s="26">
        <f>IF($G1220="","",ROUND($P1220+$U1220,0))</f>
        <v/>
      </c>
      <c r="W1220" s="26">
        <f>IF($G1220="","",IF(N($K1220)=0,0,ROUND($V1220/$K1220,2)))</f>
        <v/>
      </c>
      <c r="X1220" s="17" t="n"/>
      <c r="Y1220" s="17" t="n"/>
      <c r="Z1220" s="17" t="n"/>
      <c r="AA1220" s="17" t="n"/>
      <c r="AB1220" s="17" t="n"/>
      <c r="AC1220" s="24">
        <f>IF($G1220="","",IF($H1220="※编码不在物料档案里","※物料编码不在档案里",IF(N($K1220)&lt;=0,"※入库数量要大于 0",IF(AND($C1220&lt;&gt;"",$C1220&lt;=结账锁),"※日期早于已结账截止日，不能再录",IF(AND($L1220=0,$X1220="正常"),"※没填单价，价格状态请选「待补价」",IF(AND($S1220&gt;0,$R1220&gt;0),"△本批有 "&amp;$S1220&amp;" 行没单价，整批运费先挂账没摊",IF(AND($B1220&lt;&gt;"",COUNTIF($B$4:$B$2503,$B1220)&gt;1),"※入库单号重复","")))))))</f>
        <v/>
      </c>
    </row>
    <row r="1221">
      <c r="A1221" s="24">
        <f>IF($G1221="","",COUNTA($G$4:$G1221))</f>
        <v/>
      </c>
      <c r="B1221" s="17" t="n"/>
      <c r="C1221" s="30" t="n"/>
      <c r="D1221" s="17" t="n"/>
      <c r="E1221" s="17" t="n"/>
      <c r="F1221" s="17" t="n"/>
      <c r="G1221" s="17" t="n"/>
      <c r="H1221" s="24">
        <f>IF($G1221="","",IFERROR(VLOOKUP($G1221,物料档案!$A$4:$P$1203,3,0),"※编码不在物料档案里"))</f>
        <v/>
      </c>
      <c r="I1221" s="24">
        <f>IF($G1221="","",IFERROR(VLOOKUP($G1221,物料档案!$A$4:$P$1203,4,0),"※编码不在物料档案里"))</f>
        <v/>
      </c>
      <c r="J1221" s="24">
        <f>IF($G1221="","",IFERROR(VLOOKUP($G1221,物料档案!$A$4:$P$1203,5,0),"※编码不在物料档案里"))</f>
        <v/>
      </c>
      <c r="K1221" s="23" t="n"/>
      <c r="L1221" s="31" t="n"/>
      <c r="M1221" s="24">
        <f>IF($G1221="","",IF($D1221="A国内","CNY","TZS"))</f>
        <v/>
      </c>
      <c r="N1221" s="28">
        <f>IF($G1221="","",IF($D1221="A国内",汇率,1))</f>
        <v/>
      </c>
      <c r="O1221" s="25">
        <f>IF($G1221="","",ROUND(N($K1221)*N($L1221),2))</f>
        <v/>
      </c>
      <c r="P1221" s="26">
        <f>IF($G1221="","",ROUND($O1221*$N1221,0))</f>
        <v/>
      </c>
      <c r="Q1221" s="26">
        <f>IF($G1221="","",SUMIFS($P$4:$P$2503,$E$4:$E$2503,$E1221,$Z$4:$Z$2503,"正常"))</f>
        <v/>
      </c>
      <c r="R1221" s="26">
        <f>IF($G1221="","",SUMIFS(费用台账!$I$4:$I$503,费用台账!$C$4:$C$503,$E1221,费用台账!$J$4:$J$503,"是",费用台账!$K$4:$K$503,"正常"))</f>
        <v/>
      </c>
      <c r="S1221" s="28">
        <f>IF($G1221="","",COUNTIFS($E$4:$E$2503,$E1221,$Z$4:$Z$2503,"正常",$Y$4:$Y$2503,"待补价"))</f>
        <v/>
      </c>
      <c r="T1221" s="26">
        <f>IF($G1221="","",SUMIFS($P$4:$P$2503,$E$4:$E$2503,$E1221,$Z$4:$Z$2503,"正常",$A$4:$A$2503,"&lt;="&amp;$A1221))</f>
        <v/>
      </c>
      <c r="U1221" s="26">
        <f>IF($G1221="","",IF(OR($S1221&gt;0,$Q1221=0,$R1221=0,$Z1221&lt;&gt;"正常"),0,ROUND($T1221/$Q1221*$R1221,0)-ROUND(($T1221-$P1221)/$Q1221*$R1221,0)))</f>
        <v/>
      </c>
      <c r="V1221" s="26">
        <f>IF($G1221="","",ROUND($P1221+$U1221,0))</f>
        <v/>
      </c>
      <c r="W1221" s="26">
        <f>IF($G1221="","",IF(N($K1221)=0,0,ROUND($V1221/$K1221,2)))</f>
        <v/>
      </c>
      <c r="X1221" s="17" t="n"/>
      <c r="Y1221" s="17" t="n"/>
      <c r="Z1221" s="17" t="n"/>
      <c r="AA1221" s="17" t="n"/>
      <c r="AB1221" s="17" t="n"/>
      <c r="AC1221" s="24">
        <f>IF($G1221="","",IF($H1221="※编码不在物料档案里","※物料编码不在档案里",IF(N($K1221)&lt;=0,"※入库数量要大于 0",IF(AND($C1221&lt;&gt;"",$C1221&lt;=结账锁),"※日期早于已结账截止日，不能再录",IF(AND($L1221=0,$X1221="正常"),"※没填单价，价格状态请选「待补价」",IF(AND($S1221&gt;0,$R1221&gt;0),"△本批有 "&amp;$S1221&amp;" 行没单价，整批运费先挂账没摊",IF(AND($B1221&lt;&gt;"",COUNTIF($B$4:$B$2503,$B1221)&gt;1),"※入库单号重复","")))))))</f>
        <v/>
      </c>
    </row>
    <row r="1222">
      <c r="A1222" s="24">
        <f>IF($G1222="","",COUNTA($G$4:$G1222))</f>
        <v/>
      </c>
      <c r="B1222" s="17" t="n"/>
      <c r="C1222" s="30" t="n"/>
      <c r="D1222" s="17" t="n"/>
      <c r="E1222" s="17" t="n"/>
      <c r="F1222" s="17" t="n"/>
      <c r="G1222" s="17" t="n"/>
      <c r="H1222" s="24">
        <f>IF($G1222="","",IFERROR(VLOOKUP($G1222,物料档案!$A$4:$P$1203,3,0),"※编码不在物料档案里"))</f>
        <v/>
      </c>
      <c r="I1222" s="24">
        <f>IF($G1222="","",IFERROR(VLOOKUP($G1222,物料档案!$A$4:$P$1203,4,0),"※编码不在物料档案里"))</f>
        <v/>
      </c>
      <c r="J1222" s="24">
        <f>IF($G1222="","",IFERROR(VLOOKUP($G1222,物料档案!$A$4:$P$1203,5,0),"※编码不在物料档案里"))</f>
        <v/>
      </c>
      <c r="K1222" s="23" t="n"/>
      <c r="L1222" s="31" t="n"/>
      <c r="M1222" s="24">
        <f>IF($G1222="","",IF($D1222="A国内","CNY","TZS"))</f>
        <v/>
      </c>
      <c r="N1222" s="28">
        <f>IF($G1222="","",IF($D1222="A国内",汇率,1))</f>
        <v/>
      </c>
      <c r="O1222" s="25">
        <f>IF($G1222="","",ROUND(N($K1222)*N($L1222),2))</f>
        <v/>
      </c>
      <c r="P1222" s="26">
        <f>IF($G1222="","",ROUND($O1222*$N1222,0))</f>
        <v/>
      </c>
      <c r="Q1222" s="26">
        <f>IF($G1222="","",SUMIFS($P$4:$P$2503,$E$4:$E$2503,$E1222,$Z$4:$Z$2503,"正常"))</f>
        <v/>
      </c>
      <c r="R1222" s="26">
        <f>IF($G1222="","",SUMIFS(费用台账!$I$4:$I$503,费用台账!$C$4:$C$503,$E1222,费用台账!$J$4:$J$503,"是",费用台账!$K$4:$K$503,"正常"))</f>
        <v/>
      </c>
      <c r="S1222" s="28">
        <f>IF($G1222="","",COUNTIFS($E$4:$E$2503,$E1222,$Z$4:$Z$2503,"正常",$Y$4:$Y$2503,"待补价"))</f>
        <v/>
      </c>
      <c r="T1222" s="26">
        <f>IF($G1222="","",SUMIFS($P$4:$P$2503,$E$4:$E$2503,$E1222,$Z$4:$Z$2503,"正常",$A$4:$A$2503,"&lt;="&amp;$A1222))</f>
        <v/>
      </c>
      <c r="U1222" s="26">
        <f>IF($G1222="","",IF(OR($S1222&gt;0,$Q1222=0,$R1222=0,$Z1222&lt;&gt;"正常"),0,ROUND($T1222/$Q1222*$R1222,0)-ROUND(($T1222-$P1222)/$Q1222*$R1222,0)))</f>
        <v/>
      </c>
      <c r="V1222" s="26">
        <f>IF($G1222="","",ROUND($P1222+$U1222,0))</f>
        <v/>
      </c>
      <c r="W1222" s="26">
        <f>IF($G1222="","",IF(N($K1222)=0,0,ROUND($V1222/$K1222,2)))</f>
        <v/>
      </c>
      <c r="X1222" s="17" t="n"/>
      <c r="Y1222" s="17" t="n"/>
      <c r="Z1222" s="17" t="n"/>
      <c r="AA1222" s="17" t="n"/>
      <c r="AB1222" s="17" t="n"/>
      <c r="AC1222" s="24">
        <f>IF($G1222="","",IF($H1222="※编码不在物料档案里","※物料编码不在档案里",IF(N($K1222)&lt;=0,"※入库数量要大于 0",IF(AND($C1222&lt;&gt;"",$C1222&lt;=结账锁),"※日期早于已结账截止日，不能再录",IF(AND($L1222=0,$X1222="正常"),"※没填单价，价格状态请选「待补价」",IF(AND($S1222&gt;0,$R1222&gt;0),"△本批有 "&amp;$S1222&amp;" 行没单价，整批运费先挂账没摊",IF(AND($B1222&lt;&gt;"",COUNTIF($B$4:$B$2503,$B1222)&gt;1),"※入库单号重复","")))))))</f>
        <v/>
      </c>
    </row>
    <row r="1223">
      <c r="A1223" s="24">
        <f>IF($G1223="","",COUNTA($G$4:$G1223))</f>
        <v/>
      </c>
      <c r="B1223" s="17" t="n"/>
      <c r="C1223" s="30" t="n"/>
      <c r="D1223" s="17" t="n"/>
      <c r="E1223" s="17" t="n"/>
      <c r="F1223" s="17" t="n"/>
      <c r="G1223" s="17" t="n"/>
      <c r="H1223" s="24">
        <f>IF($G1223="","",IFERROR(VLOOKUP($G1223,物料档案!$A$4:$P$1203,3,0),"※编码不在物料档案里"))</f>
        <v/>
      </c>
      <c r="I1223" s="24">
        <f>IF($G1223="","",IFERROR(VLOOKUP($G1223,物料档案!$A$4:$P$1203,4,0),"※编码不在物料档案里"))</f>
        <v/>
      </c>
      <c r="J1223" s="24">
        <f>IF($G1223="","",IFERROR(VLOOKUP($G1223,物料档案!$A$4:$P$1203,5,0),"※编码不在物料档案里"))</f>
        <v/>
      </c>
      <c r="K1223" s="23" t="n"/>
      <c r="L1223" s="31" t="n"/>
      <c r="M1223" s="24">
        <f>IF($G1223="","",IF($D1223="A国内","CNY","TZS"))</f>
        <v/>
      </c>
      <c r="N1223" s="28">
        <f>IF($G1223="","",IF($D1223="A国内",汇率,1))</f>
        <v/>
      </c>
      <c r="O1223" s="25">
        <f>IF($G1223="","",ROUND(N($K1223)*N($L1223),2))</f>
        <v/>
      </c>
      <c r="P1223" s="26">
        <f>IF($G1223="","",ROUND($O1223*$N1223,0))</f>
        <v/>
      </c>
      <c r="Q1223" s="26">
        <f>IF($G1223="","",SUMIFS($P$4:$P$2503,$E$4:$E$2503,$E1223,$Z$4:$Z$2503,"正常"))</f>
        <v/>
      </c>
      <c r="R1223" s="26">
        <f>IF($G1223="","",SUMIFS(费用台账!$I$4:$I$503,费用台账!$C$4:$C$503,$E1223,费用台账!$J$4:$J$503,"是",费用台账!$K$4:$K$503,"正常"))</f>
        <v/>
      </c>
      <c r="S1223" s="28">
        <f>IF($G1223="","",COUNTIFS($E$4:$E$2503,$E1223,$Z$4:$Z$2503,"正常",$Y$4:$Y$2503,"待补价"))</f>
        <v/>
      </c>
      <c r="T1223" s="26">
        <f>IF($G1223="","",SUMIFS($P$4:$P$2503,$E$4:$E$2503,$E1223,$Z$4:$Z$2503,"正常",$A$4:$A$2503,"&lt;="&amp;$A1223))</f>
        <v/>
      </c>
      <c r="U1223" s="26">
        <f>IF($G1223="","",IF(OR($S1223&gt;0,$Q1223=0,$R1223=0,$Z1223&lt;&gt;"正常"),0,ROUND($T1223/$Q1223*$R1223,0)-ROUND(($T1223-$P1223)/$Q1223*$R1223,0)))</f>
        <v/>
      </c>
      <c r="V1223" s="26">
        <f>IF($G1223="","",ROUND($P1223+$U1223,0))</f>
        <v/>
      </c>
      <c r="W1223" s="26">
        <f>IF($G1223="","",IF(N($K1223)=0,0,ROUND($V1223/$K1223,2)))</f>
        <v/>
      </c>
      <c r="X1223" s="17" t="n"/>
      <c r="Y1223" s="17" t="n"/>
      <c r="Z1223" s="17" t="n"/>
      <c r="AA1223" s="17" t="n"/>
      <c r="AB1223" s="17" t="n"/>
      <c r="AC1223" s="24">
        <f>IF($G1223="","",IF($H1223="※编码不在物料档案里","※物料编码不在档案里",IF(N($K1223)&lt;=0,"※入库数量要大于 0",IF(AND($C1223&lt;&gt;"",$C1223&lt;=结账锁),"※日期早于已结账截止日，不能再录",IF(AND($L1223=0,$X1223="正常"),"※没填单价，价格状态请选「待补价」",IF(AND($S1223&gt;0,$R1223&gt;0),"△本批有 "&amp;$S1223&amp;" 行没单价，整批运费先挂账没摊",IF(AND($B1223&lt;&gt;"",COUNTIF($B$4:$B$2503,$B1223)&gt;1),"※入库单号重复","")))))))</f>
        <v/>
      </c>
    </row>
    <row r="1224">
      <c r="A1224" s="24">
        <f>IF($G1224="","",COUNTA($G$4:$G1224))</f>
        <v/>
      </c>
      <c r="B1224" s="17" t="n"/>
      <c r="C1224" s="30" t="n"/>
      <c r="D1224" s="17" t="n"/>
      <c r="E1224" s="17" t="n"/>
      <c r="F1224" s="17" t="n"/>
      <c r="G1224" s="17" t="n"/>
      <c r="H1224" s="24">
        <f>IF($G1224="","",IFERROR(VLOOKUP($G1224,物料档案!$A$4:$P$1203,3,0),"※编码不在物料档案里"))</f>
        <v/>
      </c>
      <c r="I1224" s="24">
        <f>IF($G1224="","",IFERROR(VLOOKUP($G1224,物料档案!$A$4:$P$1203,4,0),"※编码不在物料档案里"))</f>
        <v/>
      </c>
      <c r="J1224" s="24">
        <f>IF($G1224="","",IFERROR(VLOOKUP($G1224,物料档案!$A$4:$P$1203,5,0),"※编码不在物料档案里"))</f>
        <v/>
      </c>
      <c r="K1224" s="23" t="n"/>
      <c r="L1224" s="31" t="n"/>
      <c r="M1224" s="24">
        <f>IF($G1224="","",IF($D1224="A国内","CNY","TZS"))</f>
        <v/>
      </c>
      <c r="N1224" s="28">
        <f>IF($G1224="","",IF($D1224="A国内",汇率,1))</f>
        <v/>
      </c>
      <c r="O1224" s="25">
        <f>IF($G1224="","",ROUND(N($K1224)*N($L1224),2))</f>
        <v/>
      </c>
      <c r="P1224" s="26">
        <f>IF($G1224="","",ROUND($O1224*$N1224,0))</f>
        <v/>
      </c>
      <c r="Q1224" s="26">
        <f>IF($G1224="","",SUMIFS($P$4:$P$2503,$E$4:$E$2503,$E1224,$Z$4:$Z$2503,"正常"))</f>
        <v/>
      </c>
      <c r="R1224" s="26">
        <f>IF($G1224="","",SUMIFS(费用台账!$I$4:$I$503,费用台账!$C$4:$C$503,$E1224,费用台账!$J$4:$J$503,"是",费用台账!$K$4:$K$503,"正常"))</f>
        <v/>
      </c>
      <c r="S1224" s="28">
        <f>IF($G1224="","",COUNTIFS($E$4:$E$2503,$E1224,$Z$4:$Z$2503,"正常",$Y$4:$Y$2503,"待补价"))</f>
        <v/>
      </c>
      <c r="T1224" s="26">
        <f>IF($G1224="","",SUMIFS($P$4:$P$2503,$E$4:$E$2503,$E1224,$Z$4:$Z$2503,"正常",$A$4:$A$2503,"&lt;="&amp;$A1224))</f>
        <v/>
      </c>
      <c r="U1224" s="26">
        <f>IF($G1224="","",IF(OR($S1224&gt;0,$Q1224=0,$R1224=0,$Z1224&lt;&gt;"正常"),0,ROUND($T1224/$Q1224*$R1224,0)-ROUND(($T1224-$P1224)/$Q1224*$R1224,0)))</f>
        <v/>
      </c>
      <c r="V1224" s="26">
        <f>IF($G1224="","",ROUND($P1224+$U1224,0))</f>
        <v/>
      </c>
      <c r="W1224" s="26">
        <f>IF($G1224="","",IF(N($K1224)=0,0,ROUND($V1224/$K1224,2)))</f>
        <v/>
      </c>
      <c r="X1224" s="17" t="n"/>
      <c r="Y1224" s="17" t="n"/>
      <c r="Z1224" s="17" t="n"/>
      <c r="AA1224" s="17" t="n"/>
      <c r="AB1224" s="17" t="n"/>
      <c r="AC1224" s="24">
        <f>IF($G1224="","",IF($H1224="※编码不在物料档案里","※物料编码不在档案里",IF(N($K1224)&lt;=0,"※入库数量要大于 0",IF(AND($C1224&lt;&gt;"",$C1224&lt;=结账锁),"※日期早于已结账截止日，不能再录",IF(AND($L1224=0,$X1224="正常"),"※没填单价，价格状态请选「待补价」",IF(AND($S1224&gt;0,$R1224&gt;0),"△本批有 "&amp;$S1224&amp;" 行没单价，整批运费先挂账没摊",IF(AND($B1224&lt;&gt;"",COUNTIF($B$4:$B$2503,$B1224)&gt;1),"※入库单号重复","")))))))</f>
        <v/>
      </c>
    </row>
    <row r="1225">
      <c r="A1225" s="24">
        <f>IF($G1225="","",COUNTA($G$4:$G1225))</f>
        <v/>
      </c>
      <c r="B1225" s="17" t="n"/>
      <c r="C1225" s="30" t="n"/>
      <c r="D1225" s="17" t="n"/>
      <c r="E1225" s="17" t="n"/>
      <c r="F1225" s="17" t="n"/>
      <c r="G1225" s="17" t="n"/>
      <c r="H1225" s="24">
        <f>IF($G1225="","",IFERROR(VLOOKUP($G1225,物料档案!$A$4:$P$1203,3,0),"※编码不在物料档案里"))</f>
        <v/>
      </c>
      <c r="I1225" s="24">
        <f>IF($G1225="","",IFERROR(VLOOKUP($G1225,物料档案!$A$4:$P$1203,4,0),"※编码不在物料档案里"))</f>
        <v/>
      </c>
      <c r="J1225" s="24">
        <f>IF($G1225="","",IFERROR(VLOOKUP($G1225,物料档案!$A$4:$P$1203,5,0),"※编码不在物料档案里"))</f>
        <v/>
      </c>
      <c r="K1225" s="23" t="n"/>
      <c r="L1225" s="31" t="n"/>
      <c r="M1225" s="24">
        <f>IF($G1225="","",IF($D1225="A国内","CNY","TZS"))</f>
        <v/>
      </c>
      <c r="N1225" s="28">
        <f>IF($G1225="","",IF($D1225="A国内",汇率,1))</f>
        <v/>
      </c>
      <c r="O1225" s="25">
        <f>IF($G1225="","",ROUND(N($K1225)*N($L1225),2))</f>
        <v/>
      </c>
      <c r="P1225" s="26">
        <f>IF($G1225="","",ROUND($O1225*$N1225,0))</f>
        <v/>
      </c>
      <c r="Q1225" s="26">
        <f>IF($G1225="","",SUMIFS($P$4:$P$2503,$E$4:$E$2503,$E1225,$Z$4:$Z$2503,"正常"))</f>
        <v/>
      </c>
      <c r="R1225" s="26">
        <f>IF($G1225="","",SUMIFS(费用台账!$I$4:$I$503,费用台账!$C$4:$C$503,$E1225,费用台账!$J$4:$J$503,"是",费用台账!$K$4:$K$503,"正常"))</f>
        <v/>
      </c>
      <c r="S1225" s="28">
        <f>IF($G1225="","",COUNTIFS($E$4:$E$2503,$E1225,$Z$4:$Z$2503,"正常",$Y$4:$Y$2503,"待补价"))</f>
        <v/>
      </c>
      <c r="T1225" s="26">
        <f>IF($G1225="","",SUMIFS($P$4:$P$2503,$E$4:$E$2503,$E1225,$Z$4:$Z$2503,"正常",$A$4:$A$2503,"&lt;="&amp;$A1225))</f>
        <v/>
      </c>
      <c r="U1225" s="26">
        <f>IF($G1225="","",IF(OR($S1225&gt;0,$Q1225=0,$R1225=0,$Z1225&lt;&gt;"正常"),0,ROUND($T1225/$Q1225*$R1225,0)-ROUND(($T1225-$P1225)/$Q1225*$R1225,0)))</f>
        <v/>
      </c>
      <c r="V1225" s="26">
        <f>IF($G1225="","",ROUND($P1225+$U1225,0))</f>
        <v/>
      </c>
      <c r="W1225" s="26">
        <f>IF($G1225="","",IF(N($K1225)=0,0,ROUND($V1225/$K1225,2)))</f>
        <v/>
      </c>
      <c r="X1225" s="17" t="n"/>
      <c r="Y1225" s="17" t="n"/>
      <c r="Z1225" s="17" t="n"/>
      <c r="AA1225" s="17" t="n"/>
      <c r="AB1225" s="17" t="n"/>
      <c r="AC1225" s="24">
        <f>IF($G1225="","",IF($H1225="※编码不在物料档案里","※物料编码不在档案里",IF(N($K1225)&lt;=0,"※入库数量要大于 0",IF(AND($C1225&lt;&gt;"",$C1225&lt;=结账锁),"※日期早于已结账截止日，不能再录",IF(AND($L1225=0,$X1225="正常"),"※没填单价，价格状态请选「待补价」",IF(AND($S1225&gt;0,$R1225&gt;0),"△本批有 "&amp;$S1225&amp;" 行没单价，整批运费先挂账没摊",IF(AND($B1225&lt;&gt;"",COUNTIF($B$4:$B$2503,$B1225)&gt;1),"※入库单号重复","")))))))</f>
        <v/>
      </c>
    </row>
    <row r="1226">
      <c r="A1226" s="24">
        <f>IF($G1226="","",COUNTA($G$4:$G1226))</f>
        <v/>
      </c>
      <c r="B1226" s="17" t="n"/>
      <c r="C1226" s="30" t="n"/>
      <c r="D1226" s="17" t="n"/>
      <c r="E1226" s="17" t="n"/>
      <c r="F1226" s="17" t="n"/>
      <c r="G1226" s="17" t="n"/>
      <c r="H1226" s="24">
        <f>IF($G1226="","",IFERROR(VLOOKUP($G1226,物料档案!$A$4:$P$1203,3,0),"※编码不在物料档案里"))</f>
        <v/>
      </c>
      <c r="I1226" s="24">
        <f>IF($G1226="","",IFERROR(VLOOKUP($G1226,物料档案!$A$4:$P$1203,4,0),"※编码不在物料档案里"))</f>
        <v/>
      </c>
      <c r="J1226" s="24">
        <f>IF($G1226="","",IFERROR(VLOOKUP($G1226,物料档案!$A$4:$P$1203,5,0),"※编码不在物料档案里"))</f>
        <v/>
      </c>
      <c r="K1226" s="23" t="n"/>
      <c r="L1226" s="31" t="n"/>
      <c r="M1226" s="24">
        <f>IF($G1226="","",IF($D1226="A国内","CNY","TZS"))</f>
        <v/>
      </c>
      <c r="N1226" s="28">
        <f>IF($G1226="","",IF($D1226="A国内",汇率,1))</f>
        <v/>
      </c>
      <c r="O1226" s="25">
        <f>IF($G1226="","",ROUND(N($K1226)*N($L1226),2))</f>
        <v/>
      </c>
      <c r="P1226" s="26">
        <f>IF($G1226="","",ROUND($O1226*$N1226,0))</f>
        <v/>
      </c>
      <c r="Q1226" s="26">
        <f>IF($G1226="","",SUMIFS($P$4:$P$2503,$E$4:$E$2503,$E1226,$Z$4:$Z$2503,"正常"))</f>
        <v/>
      </c>
      <c r="R1226" s="26">
        <f>IF($G1226="","",SUMIFS(费用台账!$I$4:$I$503,费用台账!$C$4:$C$503,$E1226,费用台账!$J$4:$J$503,"是",费用台账!$K$4:$K$503,"正常"))</f>
        <v/>
      </c>
      <c r="S1226" s="28">
        <f>IF($G1226="","",COUNTIFS($E$4:$E$2503,$E1226,$Z$4:$Z$2503,"正常",$Y$4:$Y$2503,"待补价"))</f>
        <v/>
      </c>
      <c r="T1226" s="26">
        <f>IF($G1226="","",SUMIFS($P$4:$P$2503,$E$4:$E$2503,$E1226,$Z$4:$Z$2503,"正常",$A$4:$A$2503,"&lt;="&amp;$A1226))</f>
        <v/>
      </c>
      <c r="U1226" s="26">
        <f>IF($G1226="","",IF(OR($S1226&gt;0,$Q1226=0,$R1226=0,$Z1226&lt;&gt;"正常"),0,ROUND($T1226/$Q1226*$R1226,0)-ROUND(($T1226-$P1226)/$Q1226*$R1226,0)))</f>
        <v/>
      </c>
      <c r="V1226" s="26">
        <f>IF($G1226="","",ROUND($P1226+$U1226,0))</f>
        <v/>
      </c>
      <c r="W1226" s="26">
        <f>IF($G1226="","",IF(N($K1226)=0,0,ROUND($V1226/$K1226,2)))</f>
        <v/>
      </c>
      <c r="X1226" s="17" t="n"/>
      <c r="Y1226" s="17" t="n"/>
      <c r="Z1226" s="17" t="n"/>
      <c r="AA1226" s="17" t="n"/>
      <c r="AB1226" s="17" t="n"/>
      <c r="AC1226" s="24">
        <f>IF($G1226="","",IF($H1226="※编码不在物料档案里","※物料编码不在档案里",IF(N($K1226)&lt;=0,"※入库数量要大于 0",IF(AND($C1226&lt;&gt;"",$C1226&lt;=结账锁),"※日期早于已结账截止日，不能再录",IF(AND($L1226=0,$X1226="正常"),"※没填单价，价格状态请选「待补价」",IF(AND($S1226&gt;0,$R1226&gt;0),"△本批有 "&amp;$S1226&amp;" 行没单价，整批运费先挂账没摊",IF(AND($B1226&lt;&gt;"",COUNTIF($B$4:$B$2503,$B1226)&gt;1),"※入库单号重复","")))))))</f>
        <v/>
      </c>
    </row>
    <row r="1227">
      <c r="A1227" s="24">
        <f>IF($G1227="","",COUNTA($G$4:$G1227))</f>
        <v/>
      </c>
      <c r="B1227" s="17" t="n"/>
      <c r="C1227" s="30" t="n"/>
      <c r="D1227" s="17" t="n"/>
      <c r="E1227" s="17" t="n"/>
      <c r="F1227" s="17" t="n"/>
      <c r="G1227" s="17" t="n"/>
      <c r="H1227" s="24">
        <f>IF($G1227="","",IFERROR(VLOOKUP($G1227,物料档案!$A$4:$P$1203,3,0),"※编码不在物料档案里"))</f>
        <v/>
      </c>
      <c r="I1227" s="24">
        <f>IF($G1227="","",IFERROR(VLOOKUP($G1227,物料档案!$A$4:$P$1203,4,0),"※编码不在物料档案里"))</f>
        <v/>
      </c>
      <c r="J1227" s="24">
        <f>IF($G1227="","",IFERROR(VLOOKUP($G1227,物料档案!$A$4:$P$1203,5,0),"※编码不在物料档案里"))</f>
        <v/>
      </c>
      <c r="K1227" s="23" t="n"/>
      <c r="L1227" s="31" t="n"/>
      <c r="M1227" s="24">
        <f>IF($G1227="","",IF($D1227="A国内","CNY","TZS"))</f>
        <v/>
      </c>
      <c r="N1227" s="28">
        <f>IF($G1227="","",IF($D1227="A国内",汇率,1))</f>
        <v/>
      </c>
      <c r="O1227" s="25">
        <f>IF($G1227="","",ROUND(N($K1227)*N($L1227),2))</f>
        <v/>
      </c>
      <c r="P1227" s="26">
        <f>IF($G1227="","",ROUND($O1227*$N1227,0))</f>
        <v/>
      </c>
      <c r="Q1227" s="26">
        <f>IF($G1227="","",SUMIFS($P$4:$P$2503,$E$4:$E$2503,$E1227,$Z$4:$Z$2503,"正常"))</f>
        <v/>
      </c>
      <c r="R1227" s="26">
        <f>IF($G1227="","",SUMIFS(费用台账!$I$4:$I$503,费用台账!$C$4:$C$503,$E1227,费用台账!$J$4:$J$503,"是",费用台账!$K$4:$K$503,"正常"))</f>
        <v/>
      </c>
      <c r="S1227" s="28">
        <f>IF($G1227="","",COUNTIFS($E$4:$E$2503,$E1227,$Z$4:$Z$2503,"正常",$Y$4:$Y$2503,"待补价"))</f>
        <v/>
      </c>
      <c r="T1227" s="26">
        <f>IF($G1227="","",SUMIFS($P$4:$P$2503,$E$4:$E$2503,$E1227,$Z$4:$Z$2503,"正常",$A$4:$A$2503,"&lt;="&amp;$A1227))</f>
        <v/>
      </c>
      <c r="U1227" s="26">
        <f>IF($G1227="","",IF(OR($S1227&gt;0,$Q1227=0,$R1227=0,$Z1227&lt;&gt;"正常"),0,ROUND($T1227/$Q1227*$R1227,0)-ROUND(($T1227-$P1227)/$Q1227*$R1227,0)))</f>
        <v/>
      </c>
      <c r="V1227" s="26">
        <f>IF($G1227="","",ROUND($P1227+$U1227,0))</f>
        <v/>
      </c>
      <c r="W1227" s="26">
        <f>IF($G1227="","",IF(N($K1227)=0,0,ROUND($V1227/$K1227,2)))</f>
        <v/>
      </c>
      <c r="X1227" s="17" t="n"/>
      <c r="Y1227" s="17" t="n"/>
      <c r="Z1227" s="17" t="n"/>
      <c r="AA1227" s="17" t="n"/>
      <c r="AB1227" s="17" t="n"/>
      <c r="AC1227" s="24">
        <f>IF($G1227="","",IF($H1227="※编码不在物料档案里","※物料编码不在档案里",IF(N($K1227)&lt;=0,"※入库数量要大于 0",IF(AND($C1227&lt;&gt;"",$C1227&lt;=结账锁),"※日期早于已结账截止日，不能再录",IF(AND($L1227=0,$X1227="正常"),"※没填单价，价格状态请选「待补价」",IF(AND($S1227&gt;0,$R1227&gt;0),"△本批有 "&amp;$S1227&amp;" 行没单价，整批运费先挂账没摊",IF(AND($B1227&lt;&gt;"",COUNTIF($B$4:$B$2503,$B1227)&gt;1),"※入库单号重复","")))))))</f>
        <v/>
      </c>
    </row>
    <row r="1228">
      <c r="A1228" s="24">
        <f>IF($G1228="","",COUNTA($G$4:$G1228))</f>
        <v/>
      </c>
      <c r="B1228" s="17" t="n"/>
      <c r="C1228" s="30" t="n"/>
      <c r="D1228" s="17" t="n"/>
      <c r="E1228" s="17" t="n"/>
      <c r="F1228" s="17" t="n"/>
      <c r="G1228" s="17" t="n"/>
      <c r="H1228" s="24">
        <f>IF($G1228="","",IFERROR(VLOOKUP($G1228,物料档案!$A$4:$P$1203,3,0),"※编码不在物料档案里"))</f>
        <v/>
      </c>
      <c r="I1228" s="24">
        <f>IF($G1228="","",IFERROR(VLOOKUP($G1228,物料档案!$A$4:$P$1203,4,0),"※编码不在物料档案里"))</f>
        <v/>
      </c>
      <c r="J1228" s="24">
        <f>IF($G1228="","",IFERROR(VLOOKUP($G1228,物料档案!$A$4:$P$1203,5,0),"※编码不在物料档案里"))</f>
        <v/>
      </c>
      <c r="K1228" s="23" t="n"/>
      <c r="L1228" s="31" t="n"/>
      <c r="M1228" s="24">
        <f>IF($G1228="","",IF($D1228="A国内","CNY","TZS"))</f>
        <v/>
      </c>
      <c r="N1228" s="28">
        <f>IF($G1228="","",IF($D1228="A国内",汇率,1))</f>
        <v/>
      </c>
      <c r="O1228" s="25">
        <f>IF($G1228="","",ROUND(N($K1228)*N($L1228),2))</f>
        <v/>
      </c>
      <c r="P1228" s="26">
        <f>IF($G1228="","",ROUND($O1228*$N1228,0))</f>
        <v/>
      </c>
      <c r="Q1228" s="26">
        <f>IF($G1228="","",SUMIFS($P$4:$P$2503,$E$4:$E$2503,$E1228,$Z$4:$Z$2503,"正常"))</f>
        <v/>
      </c>
      <c r="R1228" s="26">
        <f>IF($G1228="","",SUMIFS(费用台账!$I$4:$I$503,费用台账!$C$4:$C$503,$E1228,费用台账!$J$4:$J$503,"是",费用台账!$K$4:$K$503,"正常"))</f>
        <v/>
      </c>
      <c r="S1228" s="28">
        <f>IF($G1228="","",COUNTIFS($E$4:$E$2503,$E1228,$Z$4:$Z$2503,"正常",$Y$4:$Y$2503,"待补价"))</f>
        <v/>
      </c>
      <c r="T1228" s="26">
        <f>IF($G1228="","",SUMIFS($P$4:$P$2503,$E$4:$E$2503,$E1228,$Z$4:$Z$2503,"正常",$A$4:$A$2503,"&lt;="&amp;$A1228))</f>
        <v/>
      </c>
      <c r="U1228" s="26">
        <f>IF($G1228="","",IF(OR($S1228&gt;0,$Q1228=0,$R1228=0,$Z1228&lt;&gt;"正常"),0,ROUND($T1228/$Q1228*$R1228,0)-ROUND(($T1228-$P1228)/$Q1228*$R1228,0)))</f>
        <v/>
      </c>
      <c r="V1228" s="26">
        <f>IF($G1228="","",ROUND($P1228+$U1228,0))</f>
        <v/>
      </c>
      <c r="W1228" s="26">
        <f>IF($G1228="","",IF(N($K1228)=0,0,ROUND($V1228/$K1228,2)))</f>
        <v/>
      </c>
      <c r="X1228" s="17" t="n"/>
      <c r="Y1228" s="17" t="n"/>
      <c r="Z1228" s="17" t="n"/>
      <c r="AA1228" s="17" t="n"/>
      <c r="AB1228" s="17" t="n"/>
      <c r="AC1228" s="24">
        <f>IF($G1228="","",IF($H1228="※编码不在物料档案里","※物料编码不在档案里",IF(N($K1228)&lt;=0,"※入库数量要大于 0",IF(AND($C1228&lt;&gt;"",$C1228&lt;=结账锁),"※日期早于已结账截止日，不能再录",IF(AND($L1228=0,$X1228="正常"),"※没填单价，价格状态请选「待补价」",IF(AND($S1228&gt;0,$R1228&gt;0),"△本批有 "&amp;$S1228&amp;" 行没单价，整批运费先挂账没摊",IF(AND($B1228&lt;&gt;"",COUNTIF($B$4:$B$2503,$B1228)&gt;1),"※入库单号重复","")))))))</f>
        <v/>
      </c>
    </row>
    <row r="1229">
      <c r="A1229" s="24">
        <f>IF($G1229="","",COUNTA($G$4:$G1229))</f>
        <v/>
      </c>
      <c r="B1229" s="17" t="n"/>
      <c r="C1229" s="30" t="n"/>
      <c r="D1229" s="17" t="n"/>
      <c r="E1229" s="17" t="n"/>
      <c r="F1229" s="17" t="n"/>
      <c r="G1229" s="17" t="n"/>
      <c r="H1229" s="24">
        <f>IF($G1229="","",IFERROR(VLOOKUP($G1229,物料档案!$A$4:$P$1203,3,0),"※编码不在物料档案里"))</f>
        <v/>
      </c>
      <c r="I1229" s="24">
        <f>IF($G1229="","",IFERROR(VLOOKUP($G1229,物料档案!$A$4:$P$1203,4,0),"※编码不在物料档案里"))</f>
        <v/>
      </c>
      <c r="J1229" s="24">
        <f>IF($G1229="","",IFERROR(VLOOKUP($G1229,物料档案!$A$4:$P$1203,5,0),"※编码不在物料档案里"))</f>
        <v/>
      </c>
      <c r="K1229" s="23" t="n"/>
      <c r="L1229" s="31" t="n"/>
      <c r="M1229" s="24">
        <f>IF($G1229="","",IF($D1229="A国内","CNY","TZS"))</f>
        <v/>
      </c>
      <c r="N1229" s="28">
        <f>IF($G1229="","",IF($D1229="A国内",汇率,1))</f>
        <v/>
      </c>
      <c r="O1229" s="25">
        <f>IF($G1229="","",ROUND(N($K1229)*N($L1229),2))</f>
        <v/>
      </c>
      <c r="P1229" s="26">
        <f>IF($G1229="","",ROUND($O1229*$N1229,0))</f>
        <v/>
      </c>
      <c r="Q1229" s="26">
        <f>IF($G1229="","",SUMIFS($P$4:$P$2503,$E$4:$E$2503,$E1229,$Z$4:$Z$2503,"正常"))</f>
        <v/>
      </c>
      <c r="R1229" s="26">
        <f>IF($G1229="","",SUMIFS(费用台账!$I$4:$I$503,费用台账!$C$4:$C$503,$E1229,费用台账!$J$4:$J$503,"是",费用台账!$K$4:$K$503,"正常"))</f>
        <v/>
      </c>
      <c r="S1229" s="28">
        <f>IF($G1229="","",COUNTIFS($E$4:$E$2503,$E1229,$Z$4:$Z$2503,"正常",$Y$4:$Y$2503,"待补价"))</f>
        <v/>
      </c>
      <c r="T1229" s="26">
        <f>IF($G1229="","",SUMIFS($P$4:$P$2503,$E$4:$E$2503,$E1229,$Z$4:$Z$2503,"正常",$A$4:$A$2503,"&lt;="&amp;$A1229))</f>
        <v/>
      </c>
      <c r="U1229" s="26">
        <f>IF($G1229="","",IF(OR($S1229&gt;0,$Q1229=0,$R1229=0,$Z1229&lt;&gt;"正常"),0,ROUND($T1229/$Q1229*$R1229,0)-ROUND(($T1229-$P1229)/$Q1229*$R1229,0)))</f>
        <v/>
      </c>
      <c r="V1229" s="26">
        <f>IF($G1229="","",ROUND($P1229+$U1229,0))</f>
        <v/>
      </c>
      <c r="W1229" s="26">
        <f>IF($G1229="","",IF(N($K1229)=0,0,ROUND($V1229/$K1229,2)))</f>
        <v/>
      </c>
      <c r="X1229" s="17" t="n"/>
      <c r="Y1229" s="17" t="n"/>
      <c r="Z1229" s="17" t="n"/>
      <c r="AA1229" s="17" t="n"/>
      <c r="AB1229" s="17" t="n"/>
      <c r="AC1229" s="24">
        <f>IF($G1229="","",IF($H1229="※编码不在物料档案里","※物料编码不在档案里",IF(N($K1229)&lt;=0,"※入库数量要大于 0",IF(AND($C1229&lt;&gt;"",$C1229&lt;=结账锁),"※日期早于已结账截止日，不能再录",IF(AND($L1229=0,$X1229="正常"),"※没填单价，价格状态请选「待补价」",IF(AND($S1229&gt;0,$R1229&gt;0),"△本批有 "&amp;$S1229&amp;" 行没单价，整批运费先挂账没摊",IF(AND($B1229&lt;&gt;"",COUNTIF($B$4:$B$2503,$B1229)&gt;1),"※入库单号重复","")))))))</f>
        <v/>
      </c>
    </row>
    <row r="1230">
      <c r="A1230" s="24">
        <f>IF($G1230="","",COUNTA($G$4:$G1230))</f>
        <v/>
      </c>
      <c r="B1230" s="17" t="n"/>
      <c r="C1230" s="30" t="n"/>
      <c r="D1230" s="17" t="n"/>
      <c r="E1230" s="17" t="n"/>
      <c r="F1230" s="17" t="n"/>
      <c r="G1230" s="17" t="n"/>
      <c r="H1230" s="24">
        <f>IF($G1230="","",IFERROR(VLOOKUP($G1230,物料档案!$A$4:$P$1203,3,0),"※编码不在物料档案里"))</f>
        <v/>
      </c>
      <c r="I1230" s="24">
        <f>IF($G1230="","",IFERROR(VLOOKUP($G1230,物料档案!$A$4:$P$1203,4,0),"※编码不在物料档案里"))</f>
        <v/>
      </c>
      <c r="J1230" s="24">
        <f>IF($G1230="","",IFERROR(VLOOKUP($G1230,物料档案!$A$4:$P$1203,5,0),"※编码不在物料档案里"))</f>
        <v/>
      </c>
      <c r="K1230" s="23" t="n"/>
      <c r="L1230" s="31" t="n"/>
      <c r="M1230" s="24">
        <f>IF($G1230="","",IF($D1230="A国内","CNY","TZS"))</f>
        <v/>
      </c>
      <c r="N1230" s="28">
        <f>IF($G1230="","",IF($D1230="A国内",汇率,1))</f>
        <v/>
      </c>
      <c r="O1230" s="25">
        <f>IF($G1230="","",ROUND(N($K1230)*N($L1230),2))</f>
        <v/>
      </c>
      <c r="P1230" s="26">
        <f>IF($G1230="","",ROUND($O1230*$N1230,0))</f>
        <v/>
      </c>
      <c r="Q1230" s="26">
        <f>IF($G1230="","",SUMIFS($P$4:$P$2503,$E$4:$E$2503,$E1230,$Z$4:$Z$2503,"正常"))</f>
        <v/>
      </c>
      <c r="R1230" s="26">
        <f>IF($G1230="","",SUMIFS(费用台账!$I$4:$I$503,费用台账!$C$4:$C$503,$E1230,费用台账!$J$4:$J$503,"是",费用台账!$K$4:$K$503,"正常"))</f>
        <v/>
      </c>
      <c r="S1230" s="28">
        <f>IF($G1230="","",COUNTIFS($E$4:$E$2503,$E1230,$Z$4:$Z$2503,"正常",$Y$4:$Y$2503,"待补价"))</f>
        <v/>
      </c>
      <c r="T1230" s="26">
        <f>IF($G1230="","",SUMIFS($P$4:$P$2503,$E$4:$E$2503,$E1230,$Z$4:$Z$2503,"正常",$A$4:$A$2503,"&lt;="&amp;$A1230))</f>
        <v/>
      </c>
      <c r="U1230" s="26">
        <f>IF($G1230="","",IF(OR($S1230&gt;0,$Q1230=0,$R1230=0,$Z1230&lt;&gt;"正常"),0,ROUND($T1230/$Q1230*$R1230,0)-ROUND(($T1230-$P1230)/$Q1230*$R1230,0)))</f>
        <v/>
      </c>
      <c r="V1230" s="26">
        <f>IF($G1230="","",ROUND($P1230+$U1230,0))</f>
        <v/>
      </c>
      <c r="W1230" s="26">
        <f>IF($G1230="","",IF(N($K1230)=0,0,ROUND($V1230/$K1230,2)))</f>
        <v/>
      </c>
      <c r="X1230" s="17" t="n"/>
      <c r="Y1230" s="17" t="n"/>
      <c r="Z1230" s="17" t="n"/>
      <c r="AA1230" s="17" t="n"/>
      <c r="AB1230" s="17" t="n"/>
      <c r="AC1230" s="24">
        <f>IF($G1230="","",IF($H1230="※编码不在物料档案里","※物料编码不在档案里",IF(N($K1230)&lt;=0,"※入库数量要大于 0",IF(AND($C1230&lt;&gt;"",$C1230&lt;=结账锁),"※日期早于已结账截止日，不能再录",IF(AND($L1230=0,$X1230="正常"),"※没填单价，价格状态请选「待补价」",IF(AND($S1230&gt;0,$R1230&gt;0),"△本批有 "&amp;$S1230&amp;" 行没单价，整批运费先挂账没摊",IF(AND($B1230&lt;&gt;"",COUNTIF($B$4:$B$2503,$B1230)&gt;1),"※入库单号重复","")))))))</f>
        <v/>
      </c>
    </row>
    <row r="1231">
      <c r="A1231" s="24">
        <f>IF($G1231="","",COUNTA($G$4:$G1231))</f>
        <v/>
      </c>
      <c r="B1231" s="17" t="n"/>
      <c r="C1231" s="30" t="n"/>
      <c r="D1231" s="17" t="n"/>
      <c r="E1231" s="17" t="n"/>
      <c r="F1231" s="17" t="n"/>
      <c r="G1231" s="17" t="n"/>
      <c r="H1231" s="24">
        <f>IF($G1231="","",IFERROR(VLOOKUP($G1231,物料档案!$A$4:$P$1203,3,0),"※编码不在物料档案里"))</f>
        <v/>
      </c>
      <c r="I1231" s="24">
        <f>IF($G1231="","",IFERROR(VLOOKUP($G1231,物料档案!$A$4:$P$1203,4,0),"※编码不在物料档案里"))</f>
        <v/>
      </c>
      <c r="J1231" s="24">
        <f>IF($G1231="","",IFERROR(VLOOKUP($G1231,物料档案!$A$4:$P$1203,5,0),"※编码不在物料档案里"))</f>
        <v/>
      </c>
      <c r="K1231" s="23" t="n"/>
      <c r="L1231" s="31" t="n"/>
      <c r="M1231" s="24">
        <f>IF($G1231="","",IF($D1231="A国内","CNY","TZS"))</f>
        <v/>
      </c>
      <c r="N1231" s="28">
        <f>IF($G1231="","",IF($D1231="A国内",汇率,1))</f>
        <v/>
      </c>
      <c r="O1231" s="25">
        <f>IF($G1231="","",ROUND(N($K1231)*N($L1231),2))</f>
        <v/>
      </c>
      <c r="P1231" s="26">
        <f>IF($G1231="","",ROUND($O1231*$N1231,0))</f>
        <v/>
      </c>
      <c r="Q1231" s="26">
        <f>IF($G1231="","",SUMIFS($P$4:$P$2503,$E$4:$E$2503,$E1231,$Z$4:$Z$2503,"正常"))</f>
        <v/>
      </c>
      <c r="R1231" s="26">
        <f>IF($G1231="","",SUMIFS(费用台账!$I$4:$I$503,费用台账!$C$4:$C$503,$E1231,费用台账!$J$4:$J$503,"是",费用台账!$K$4:$K$503,"正常"))</f>
        <v/>
      </c>
      <c r="S1231" s="28">
        <f>IF($G1231="","",COUNTIFS($E$4:$E$2503,$E1231,$Z$4:$Z$2503,"正常",$Y$4:$Y$2503,"待补价"))</f>
        <v/>
      </c>
      <c r="T1231" s="26">
        <f>IF($G1231="","",SUMIFS($P$4:$P$2503,$E$4:$E$2503,$E1231,$Z$4:$Z$2503,"正常",$A$4:$A$2503,"&lt;="&amp;$A1231))</f>
        <v/>
      </c>
      <c r="U1231" s="26">
        <f>IF($G1231="","",IF(OR($S1231&gt;0,$Q1231=0,$R1231=0,$Z1231&lt;&gt;"正常"),0,ROUND($T1231/$Q1231*$R1231,0)-ROUND(($T1231-$P1231)/$Q1231*$R1231,0)))</f>
        <v/>
      </c>
      <c r="V1231" s="26">
        <f>IF($G1231="","",ROUND($P1231+$U1231,0))</f>
        <v/>
      </c>
      <c r="W1231" s="26">
        <f>IF($G1231="","",IF(N($K1231)=0,0,ROUND($V1231/$K1231,2)))</f>
        <v/>
      </c>
      <c r="X1231" s="17" t="n"/>
      <c r="Y1231" s="17" t="n"/>
      <c r="Z1231" s="17" t="n"/>
      <c r="AA1231" s="17" t="n"/>
      <c r="AB1231" s="17" t="n"/>
      <c r="AC1231" s="24">
        <f>IF($G1231="","",IF($H1231="※编码不在物料档案里","※物料编码不在档案里",IF(N($K1231)&lt;=0,"※入库数量要大于 0",IF(AND($C1231&lt;&gt;"",$C1231&lt;=结账锁),"※日期早于已结账截止日，不能再录",IF(AND($L1231=0,$X1231="正常"),"※没填单价，价格状态请选「待补价」",IF(AND($S1231&gt;0,$R1231&gt;0),"△本批有 "&amp;$S1231&amp;" 行没单价，整批运费先挂账没摊",IF(AND($B1231&lt;&gt;"",COUNTIF($B$4:$B$2503,$B1231)&gt;1),"※入库单号重复","")))))))</f>
        <v/>
      </c>
    </row>
    <row r="1232">
      <c r="A1232" s="24">
        <f>IF($G1232="","",COUNTA($G$4:$G1232))</f>
        <v/>
      </c>
      <c r="B1232" s="17" t="n"/>
      <c r="C1232" s="30" t="n"/>
      <c r="D1232" s="17" t="n"/>
      <c r="E1232" s="17" t="n"/>
      <c r="F1232" s="17" t="n"/>
      <c r="G1232" s="17" t="n"/>
      <c r="H1232" s="24">
        <f>IF($G1232="","",IFERROR(VLOOKUP($G1232,物料档案!$A$4:$P$1203,3,0),"※编码不在物料档案里"))</f>
        <v/>
      </c>
      <c r="I1232" s="24">
        <f>IF($G1232="","",IFERROR(VLOOKUP($G1232,物料档案!$A$4:$P$1203,4,0),"※编码不在物料档案里"))</f>
        <v/>
      </c>
      <c r="J1232" s="24">
        <f>IF($G1232="","",IFERROR(VLOOKUP($G1232,物料档案!$A$4:$P$1203,5,0),"※编码不在物料档案里"))</f>
        <v/>
      </c>
      <c r="K1232" s="23" t="n"/>
      <c r="L1232" s="31" t="n"/>
      <c r="M1232" s="24">
        <f>IF($G1232="","",IF($D1232="A国内","CNY","TZS"))</f>
        <v/>
      </c>
      <c r="N1232" s="28">
        <f>IF($G1232="","",IF($D1232="A国内",汇率,1))</f>
        <v/>
      </c>
      <c r="O1232" s="25">
        <f>IF($G1232="","",ROUND(N($K1232)*N($L1232),2))</f>
        <v/>
      </c>
      <c r="P1232" s="26">
        <f>IF($G1232="","",ROUND($O1232*$N1232,0))</f>
        <v/>
      </c>
      <c r="Q1232" s="26">
        <f>IF($G1232="","",SUMIFS($P$4:$P$2503,$E$4:$E$2503,$E1232,$Z$4:$Z$2503,"正常"))</f>
        <v/>
      </c>
      <c r="R1232" s="26">
        <f>IF($G1232="","",SUMIFS(费用台账!$I$4:$I$503,费用台账!$C$4:$C$503,$E1232,费用台账!$J$4:$J$503,"是",费用台账!$K$4:$K$503,"正常"))</f>
        <v/>
      </c>
      <c r="S1232" s="28">
        <f>IF($G1232="","",COUNTIFS($E$4:$E$2503,$E1232,$Z$4:$Z$2503,"正常",$Y$4:$Y$2503,"待补价"))</f>
        <v/>
      </c>
      <c r="T1232" s="26">
        <f>IF($G1232="","",SUMIFS($P$4:$P$2503,$E$4:$E$2503,$E1232,$Z$4:$Z$2503,"正常",$A$4:$A$2503,"&lt;="&amp;$A1232))</f>
        <v/>
      </c>
      <c r="U1232" s="26">
        <f>IF($G1232="","",IF(OR($S1232&gt;0,$Q1232=0,$R1232=0,$Z1232&lt;&gt;"正常"),0,ROUND($T1232/$Q1232*$R1232,0)-ROUND(($T1232-$P1232)/$Q1232*$R1232,0)))</f>
        <v/>
      </c>
      <c r="V1232" s="26">
        <f>IF($G1232="","",ROUND($P1232+$U1232,0))</f>
        <v/>
      </c>
      <c r="W1232" s="26">
        <f>IF($G1232="","",IF(N($K1232)=0,0,ROUND($V1232/$K1232,2)))</f>
        <v/>
      </c>
      <c r="X1232" s="17" t="n"/>
      <c r="Y1232" s="17" t="n"/>
      <c r="Z1232" s="17" t="n"/>
      <c r="AA1232" s="17" t="n"/>
      <c r="AB1232" s="17" t="n"/>
      <c r="AC1232" s="24">
        <f>IF($G1232="","",IF($H1232="※编码不在物料档案里","※物料编码不在档案里",IF(N($K1232)&lt;=0,"※入库数量要大于 0",IF(AND($C1232&lt;&gt;"",$C1232&lt;=结账锁),"※日期早于已结账截止日，不能再录",IF(AND($L1232=0,$X1232="正常"),"※没填单价，价格状态请选「待补价」",IF(AND($S1232&gt;0,$R1232&gt;0),"△本批有 "&amp;$S1232&amp;" 行没单价，整批运费先挂账没摊",IF(AND($B1232&lt;&gt;"",COUNTIF($B$4:$B$2503,$B1232)&gt;1),"※入库单号重复","")))))))</f>
        <v/>
      </c>
    </row>
    <row r="1233">
      <c r="A1233" s="24">
        <f>IF($G1233="","",COUNTA($G$4:$G1233))</f>
        <v/>
      </c>
      <c r="B1233" s="17" t="n"/>
      <c r="C1233" s="30" t="n"/>
      <c r="D1233" s="17" t="n"/>
      <c r="E1233" s="17" t="n"/>
      <c r="F1233" s="17" t="n"/>
      <c r="G1233" s="17" t="n"/>
      <c r="H1233" s="24">
        <f>IF($G1233="","",IFERROR(VLOOKUP($G1233,物料档案!$A$4:$P$1203,3,0),"※编码不在物料档案里"))</f>
        <v/>
      </c>
      <c r="I1233" s="24">
        <f>IF($G1233="","",IFERROR(VLOOKUP($G1233,物料档案!$A$4:$P$1203,4,0),"※编码不在物料档案里"))</f>
        <v/>
      </c>
      <c r="J1233" s="24">
        <f>IF($G1233="","",IFERROR(VLOOKUP($G1233,物料档案!$A$4:$P$1203,5,0),"※编码不在物料档案里"))</f>
        <v/>
      </c>
      <c r="K1233" s="23" t="n"/>
      <c r="L1233" s="31" t="n"/>
      <c r="M1233" s="24">
        <f>IF($G1233="","",IF($D1233="A国内","CNY","TZS"))</f>
        <v/>
      </c>
      <c r="N1233" s="28">
        <f>IF($G1233="","",IF($D1233="A国内",汇率,1))</f>
        <v/>
      </c>
      <c r="O1233" s="25">
        <f>IF($G1233="","",ROUND(N($K1233)*N($L1233),2))</f>
        <v/>
      </c>
      <c r="P1233" s="26">
        <f>IF($G1233="","",ROUND($O1233*$N1233,0))</f>
        <v/>
      </c>
      <c r="Q1233" s="26">
        <f>IF($G1233="","",SUMIFS($P$4:$P$2503,$E$4:$E$2503,$E1233,$Z$4:$Z$2503,"正常"))</f>
        <v/>
      </c>
      <c r="R1233" s="26">
        <f>IF($G1233="","",SUMIFS(费用台账!$I$4:$I$503,费用台账!$C$4:$C$503,$E1233,费用台账!$J$4:$J$503,"是",费用台账!$K$4:$K$503,"正常"))</f>
        <v/>
      </c>
      <c r="S1233" s="28">
        <f>IF($G1233="","",COUNTIFS($E$4:$E$2503,$E1233,$Z$4:$Z$2503,"正常",$Y$4:$Y$2503,"待补价"))</f>
        <v/>
      </c>
      <c r="T1233" s="26">
        <f>IF($G1233="","",SUMIFS($P$4:$P$2503,$E$4:$E$2503,$E1233,$Z$4:$Z$2503,"正常",$A$4:$A$2503,"&lt;="&amp;$A1233))</f>
        <v/>
      </c>
      <c r="U1233" s="26">
        <f>IF($G1233="","",IF(OR($S1233&gt;0,$Q1233=0,$R1233=0,$Z1233&lt;&gt;"正常"),0,ROUND($T1233/$Q1233*$R1233,0)-ROUND(($T1233-$P1233)/$Q1233*$R1233,0)))</f>
        <v/>
      </c>
      <c r="V1233" s="26">
        <f>IF($G1233="","",ROUND($P1233+$U1233,0))</f>
        <v/>
      </c>
      <c r="W1233" s="26">
        <f>IF($G1233="","",IF(N($K1233)=0,0,ROUND($V1233/$K1233,2)))</f>
        <v/>
      </c>
      <c r="X1233" s="17" t="n"/>
      <c r="Y1233" s="17" t="n"/>
      <c r="Z1233" s="17" t="n"/>
      <c r="AA1233" s="17" t="n"/>
      <c r="AB1233" s="17" t="n"/>
      <c r="AC1233" s="24">
        <f>IF($G1233="","",IF($H1233="※编码不在物料档案里","※物料编码不在档案里",IF(N($K1233)&lt;=0,"※入库数量要大于 0",IF(AND($C1233&lt;&gt;"",$C1233&lt;=结账锁),"※日期早于已结账截止日，不能再录",IF(AND($L1233=0,$X1233="正常"),"※没填单价，价格状态请选「待补价」",IF(AND($S1233&gt;0,$R1233&gt;0),"△本批有 "&amp;$S1233&amp;" 行没单价，整批运费先挂账没摊",IF(AND($B1233&lt;&gt;"",COUNTIF($B$4:$B$2503,$B1233)&gt;1),"※入库单号重复","")))))))</f>
        <v/>
      </c>
    </row>
    <row r="1234">
      <c r="A1234" s="24">
        <f>IF($G1234="","",COUNTA($G$4:$G1234))</f>
        <v/>
      </c>
      <c r="B1234" s="17" t="n"/>
      <c r="C1234" s="30" t="n"/>
      <c r="D1234" s="17" t="n"/>
      <c r="E1234" s="17" t="n"/>
      <c r="F1234" s="17" t="n"/>
      <c r="G1234" s="17" t="n"/>
      <c r="H1234" s="24">
        <f>IF($G1234="","",IFERROR(VLOOKUP($G1234,物料档案!$A$4:$P$1203,3,0),"※编码不在物料档案里"))</f>
        <v/>
      </c>
      <c r="I1234" s="24">
        <f>IF($G1234="","",IFERROR(VLOOKUP($G1234,物料档案!$A$4:$P$1203,4,0),"※编码不在物料档案里"))</f>
        <v/>
      </c>
      <c r="J1234" s="24">
        <f>IF($G1234="","",IFERROR(VLOOKUP($G1234,物料档案!$A$4:$P$1203,5,0),"※编码不在物料档案里"))</f>
        <v/>
      </c>
      <c r="K1234" s="23" t="n"/>
      <c r="L1234" s="31" t="n"/>
      <c r="M1234" s="24">
        <f>IF($G1234="","",IF($D1234="A国内","CNY","TZS"))</f>
        <v/>
      </c>
      <c r="N1234" s="28">
        <f>IF($G1234="","",IF($D1234="A国内",汇率,1))</f>
        <v/>
      </c>
      <c r="O1234" s="25">
        <f>IF($G1234="","",ROUND(N($K1234)*N($L1234),2))</f>
        <v/>
      </c>
      <c r="P1234" s="26">
        <f>IF($G1234="","",ROUND($O1234*$N1234,0))</f>
        <v/>
      </c>
      <c r="Q1234" s="26">
        <f>IF($G1234="","",SUMIFS($P$4:$P$2503,$E$4:$E$2503,$E1234,$Z$4:$Z$2503,"正常"))</f>
        <v/>
      </c>
      <c r="R1234" s="26">
        <f>IF($G1234="","",SUMIFS(费用台账!$I$4:$I$503,费用台账!$C$4:$C$503,$E1234,费用台账!$J$4:$J$503,"是",费用台账!$K$4:$K$503,"正常"))</f>
        <v/>
      </c>
      <c r="S1234" s="28">
        <f>IF($G1234="","",COUNTIFS($E$4:$E$2503,$E1234,$Z$4:$Z$2503,"正常",$Y$4:$Y$2503,"待补价"))</f>
        <v/>
      </c>
      <c r="T1234" s="26">
        <f>IF($G1234="","",SUMIFS($P$4:$P$2503,$E$4:$E$2503,$E1234,$Z$4:$Z$2503,"正常",$A$4:$A$2503,"&lt;="&amp;$A1234))</f>
        <v/>
      </c>
      <c r="U1234" s="26">
        <f>IF($G1234="","",IF(OR($S1234&gt;0,$Q1234=0,$R1234=0,$Z1234&lt;&gt;"正常"),0,ROUND($T1234/$Q1234*$R1234,0)-ROUND(($T1234-$P1234)/$Q1234*$R1234,0)))</f>
        <v/>
      </c>
      <c r="V1234" s="26">
        <f>IF($G1234="","",ROUND($P1234+$U1234,0))</f>
        <v/>
      </c>
      <c r="W1234" s="26">
        <f>IF($G1234="","",IF(N($K1234)=0,0,ROUND($V1234/$K1234,2)))</f>
        <v/>
      </c>
      <c r="X1234" s="17" t="n"/>
      <c r="Y1234" s="17" t="n"/>
      <c r="Z1234" s="17" t="n"/>
      <c r="AA1234" s="17" t="n"/>
      <c r="AB1234" s="17" t="n"/>
      <c r="AC1234" s="24">
        <f>IF($G1234="","",IF($H1234="※编码不在物料档案里","※物料编码不在档案里",IF(N($K1234)&lt;=0,"※入库数量要大于 0",IF(AND($C1234&lt;&gt;"",$C1234&lt;=结账锁),"※日期早于已结账截止日，不能再录",IF(AND($L1234=0,$X1234="正常"),"※没填单价，价格状态请选「待补价」",IF(AND($S1234&gt;0,$R1234&gt;0),"△本批有 "&amp;$S1234&amp;" 行没单价，整批运费先挂账没摊",IF(AND($B1234&lt;&gt;"",COUNTIF($B$4:$B$2503,$B1234)&gt;1),"※入库单号重复","")))))))</f>
        <v/>
      </c>
    </row>
    <row r="1235">
      <c r="A1235" s="24">
        <f>IF($G1235="","",COUNTA($G$4:$G1235))</f>
        <v/>
      </c>
      <c r="B1235" s="17" t="n"/>
      <c r="C1235" s="30" t="n"/>
      <c r="D1235" s="17" t="n"/>
      <c r="E1235" s="17" t="n"/>
      <c r="F1235" s="17" t="n"/>
      <c r="G1235" s="17" t="n"/>
      <c r="H1235" s="24">
        <f>IF($G1235="","",IFERROR(VLOOKUP($G1235,物料档案!$A$4:$P$1203,3,0),"※编码不在物料档案里"))</f>
        <v/>
      </c>
      <c r="I1235" s="24">
        <f>IF($G1235="","",IFERROR(VLOOKUP($G1235,物料档案!$A$4:$P$1203,4,0),"※编码不在物料档案里"))</f>
        <v/>
      </c>
      <c r="J1235" s="24">
        <f>IF($G1235="","",IFERROR(VLOOKUP($G1235,物料档案!$A$4:$P$1203,5,0),"※编码不在物料档案里"))</f>
        <v/>
      </c>
      <c r="K1235" s="23" t="n"/>
      <c r="L1235" s="31" t="n"/>
      <c r="M1235" s="24">
        <f>IF($G1235="","",IF($D1235="A国内","CNY","TZS"))</f>
        <v/>
      </c>
      <c r="N1235" s="28">
        <f>IF($G1235="","",IF($D1235="A国内",汇率,1))</f>
        <v/>
      </c>
      <c r="O1235" s="25">
        <f>IF($G1235="","",ROUND(N($K1235)*N($L1235),2))</f>
        <v/>
      </c>
      <c r="P1235" s="26">
        <f>IF($G1235="","",ROUND($O1235*$N1235,0))</f>
        <v/>
      </c>
      <c r="Q1235" s="26">
        <f>IF($G1235="","",SUMIFS($P$4:$P$2503,$E$4:$E$2503,$E1235,$Z$4:$Z$2503,"正常"))</f>
        <v/>
      </c>
      <c r="R1235" s="26">
        <f>IF($G1235="","",SUMIFS(费用台账!$I$4:$I$503,费用台账!$C$4:$C$503,$E1235,费用台账!$J$4:$J$503,"是",费用台账!$K$4:$K$503,"正常"))</f>
        <v/>
      </c>
      <c r="S1235" s="28">
        <f>IF($G1235="","",COUNTIFS($E$4:$E$2503,$E1235,$Z$4:$Z$2503,"正常",$Y$4:$Y$2503,"待补价"))</f>
        <v/>
      </c>
      <c r="T1235" s="26">
        <f>IF($G1235="","",SUMIFS($P$4:$P$2503,$E$4:$E$2503,$E1235,$Z$4:$Z$2503,"正常",$A$4:$A$2503,"&lt;="&amp;$A1235))</f>
        <v/>
      </c>
      <c r="U1235" s="26">
        <f>IF($G1235="","",IF(OR($S1235&gt;0,$Q1235=0,$R1235=0,$Z1235&lt;&gt;"正常"),0,ROUND($T1235/$Q1235*$R1235,0)-ROUND(($T1235-$P1235)/$Q1235*$R1235,0)))</f>
        <v/>
      </c>
      <c r="V1235" s="26">
        <f>IF($G1235="","",ROUND($P1235+$U1235,0))</f>
        <v/>
      </c>
      <c r="W1235" s="26">
        <f>IF($G1235="","",IF(N($K1235)=0,0,ROUND($V1235/$K1235,2)))</f>
        <v/>
      </c>
      <c r="X1235" s="17" t="n"/>
      <c r="Y1235" s="17" t="n"/>
      <c r="Z1235" s="17" t="n"/>
      <c r="AA1235" s="17" t="n"/>
      <c r="AB1235" s="17" t="n"/>
      <c r="AC1235" s="24">
        <f>IF($G1235="","",IF($H1235="※编码不在物料档案里","※物料编码不在档案里",IF(N($K1235)&lt;=0,"※入库数量要大于 0",IF(AND($C1235&lt;&gt;"",$C1235&lt;=结账锁),"※日期早于已结账截止日，不能再录",IF(AND($L1235=0,$X1235="正常"),"※没填单价，价格状态请选「待补价」",IF(AND($S1235&gt;0,$R1235&gt;0),"△本批有 "&amp;$S1235&amp;" 行没单价，整批运费先挂账没摊",IF(AND($B1235&lt;&gt;"",COUNTIF($B$4:$B$2503,$B1235)&gt;1),"※入库单号重复","")))))))</f>
        <v/>
      </c>
    </row>
    <row r="1236">
      <c r="A1236" s="24">
        <f>IF($G1236="","",COUNTA($G$4:$G1236))</f>
        <v/>
      </c>
      <c r="B1236" s="17" t="n"/>
      <c r="C1236" s="30" t="n"/>
      <c r="D1236" s="17" t="n"/>
      <c r="E1236" s="17" t="n"/>
      <c r="F1236" s="17" t="n"/>
      <c r="G1236" s="17" t="n"/>
      <c r="H1236" s="24">
        <f>IF($G1236="","",IFERROR(VLOOKUP($G1236,物料档案!$A$4:$P$1203,3,0),"※编码不在物料档案里"))</f>
        <v/>
      </c>
      <c r="I1236" s="24">
        <f>IF($G1236="","",IFERROR(VLOOKUP($G1236,物料档案!$A$4:$P$1203,4,0),"※编码不在物料档案里"))</f>
        <v/>
      </c>
      <c r="J1236" s="24">
        <f>IF($G1236="","",IFERROR(VLOOKUP($G1236,物料档案!$A$4:$P$1203,5,0),"※编码不在物料档案里"))</f>
        <v/>
      </c>
      <c r="K1236" s="23" t="n"/>
      <c r="L1236" s="31" t="n"/>
      <c r="M1236" s="24">
        <f>IF($G1236="","",IF($D1236="A国内","CNY","TZS"))</f>
        <v/>
      </c>
      <c r="N1236" s="28">
        <f>IF($G1236="","",IF($D1236="A国内",汇率,1))</f>
        <v/>
      </c>
      <c r="O1236" s="25">
        <f>IF($G1236="","",ROUND(N($K1236)*N($L1236),2))</f>
        <v/>
      </c>
      <c r="P1236" s="26">
        <f>IF($G1236="","",ROUND($O1236*$N1236,0))</f>
        <v/>
      </c>
      <c r="Q1236" s="26">
        <f>IF($G1236="","",SUMIFS($P$4:$P$2503,$E$4:$E$2503,$E1236,$Z$4:$Z$2503,"正常"))</f>
        <v/>
      </c>
      <c r="R1236" s="26">
        <f>IF($G1236="","",SUMIFS(费用台账!$I$4:$I$503,费用台账!$C$4:$C$503,$E1236,费用台账!$J$4:$J$503,"是",费用台账!$K$4:$K$503,"正常"))</f>
        <v/>
      </c>
      <c r="S1236" s="28">
        <f>IF($G1236="","",COUNTIFS($E$4:$E$2503,$E1236,$Z$4:$Z$2503,"正常",$Y$4:$Y$2503,"待补价"))</f>
        <v/>
      </c>
      <c r="T1236" s="26">
        <f>IF($G1236="","",SUMIFS($P$4:$P$2503,$E$4:$E$2503,$E1236,$Z$4:$Z$2503,"正常",$A$4:$A$2503,"&lt;="&amp;$A1236))</f>
        <v/>
      </c>
      <c r="U1236" s="26">
        <f>IF($G1236="","",IF(OR($S1236&gt;0,$Q1236=0,$R1236=0,$Z1236&lt;&gt;"正常"),0,ROUND($T1236/$Q1236*$R1236,0)-ROUND(($T1236-$P1236)/$Q1236*$R1236,0)))</f>
        <v/>
      </c>
      <c r="V1236" s="26">
        <f>IF($G1236="","",ROUND($P1236+$U1236,0))</f>
        <v/>
      </c>
      <c r="W1236" s="26">
        <f>IF($G1236="","",IF(N($K1236)=0,0,ROUND($V1236/$K1236,2)))</f>
        <v/>
      </c>
      <c r="X1236" s="17" t="n"/>
      <c r="Y1236" s="17" t="n"/>
      <c r="Z1236" s="17" t="n"/>
      <c r="AA1236" s="17" t="n"/>
      <c r="AB1236" s="17" t="n"/>
      <c r="AC1236" s="24">
        <f>IF($G1236="","",IF($H1236="※编码不在物料档案里","※物料编码不在档案里",IF(N($K1236)&lt;=0,"※入库数量要大于 0",IF(AND($C1236&lt;&gt;"",$C1236&lt;=结账锁),"※日期早于已结账截止日，不能再录",IF(AND($L1236=0,$X1236="正常"),"※没填单价，价格状态请选「待补价」",IF(AND($S1236&gt;0,$R1236&gt;0),"△本批有 "&amp;$S1236&amp;" 行没单价，整批运费先挂账没摊",IF(AND($B1236&lt;&gt;"",COUNTIF($B$4:$B$2503,$B1236)&gt;1),"※入库单号重复","")))))))</f>
        <v/>
      </c>
    </row>
    <row r="1237">
      <c r="A1237" s="24">
        <f>IF($G1237="","",COUNTA($G$4:$G1237))</f>
        <v/>
      </c>
      <c r="B1237" s="17" t="n"/>
      <c r="C1237" s="30" t="n"/>
      <c r="D1237" s="17" t="n"/>
      <c r="E1237" s="17" t="n"/>
      <c r="F1237" s="17" t="n"/>
      <c r="G1237" s="17" t="n"/>
      <c r="H1237" s="24">
        <f>IF($G1237="","",IFERROR(VLOOKUP($G1237,物料档案!$A$4:$P$1203,3,0),"※编码不在物料档案里"))</f>
        <v/>
      </c>
      <c r="I1237" s="24">
        <f>IF($G1237="","",IFERROR(VLOOKUP($G1237,物料档案!$A$4:$P$1203,4,0),"※编码不在物料档案里"))</f>
        <v/>
      </c>
      <c r="J1237" s="24">
        <f>IF($G1237="","",IFERROR(VLOOKUP($G1237,物料档案!$A$4:$P$1203,5,0),"※编码不在物料档案里"))</f>
        <v/>
      </c>
      <c r="K1237" s="23" t="n"/>
      <c r="L1237" s="31" t="n"/>
      <c r="M1237" s="24">
        <f>IF($G1237="","",IF($D1237="A国内","CNY","TZS"))</f>
        <v/>
      </c>
      <c r="N1237" s="28">
        <f>IF($G1237="","",IF($D1237="A国内",汇率,1))</f>
        <v/>
      </c>
      <c r="O1237" s="25">
        <f>IF($G1237="","",ROUND(N($K1237)*N($L1237),2))</f>
        <v/>
      </c>
      <c r="P1237" s="26">
        <f>IF($G1237="","",ROUND($O1237*$N1237,0))</f>
        <v/>
      </c>
      <c r="Q1237" s="26">
        <f>IF($G1237="","",SUMIFS($P$4:$P$2503,$E$4:$E$2503,$E1237,$Z$4:$Z$2503,"正常"))</f>
        <v/>
      </c>
      <c r="R1237" s="26">
        <f>IF($G1237="","",SUMIFS(费用台账!$I$4:$I$503,费用台账!$C$4:$C$503,$E1237,费用台账!$J$4:$J$503,"是",费用台账!$K$4:$K$503,"正常"))</f>
        <v/>
      </c>
      <c r="S1237" s="28">
        <f>IF($G1237="","",COUNTIFS($E$4:$E$2503,$E1237,$Z$4:$Z$2503,"正常",$Y$4:$Y$2503,"待补价"))</f>
        <v/>
      </c>
      <c r="T1237" s="26">
        <f>IF($G1237="","",SUMIFS($P$4:$P$2503,$E$4:$E$2503,$E1237,$Z$4:$Z$2503,"正常",$A$4:$A$2503,"&lt;="&amp;$A1237))</f>
        <v/>
      </c>
      <c r="U1237" s="26">
        <f>IF($G1237="","",IF(OR($S1237&gt;0,$Q1237=0,$R1237=0,$Z1237&lt;&gt;"正常"),0,ROUND($T1237/$Q1237*$R1237,0)-ROUND(($T1237-$P1237)/$Q1237*$R1237,0)))</f>
        <v/>
      </c>
      <c r="V1237" s="26">
        <f>IF($G1237="","",ROUND($P1237+$U1237,0))</f>
        <v/>
      </c>
      <c r="W1237" s="26">
        <f>IF($G1237="","",IF(N($K1237)=0,0,ROUND($V1237/$K1237,2)))</f>
        <v/>
      </c>
      <c r="X1237" s="17" t="n"/>
      <c r="Y1237" s="17" t="n"/>
      <c r="Z1237" s="17" t="n"/>
      <c r="AA1237" s="17" t="n"/>
      <c r="AB1237" s="17" t="n"/>
      <c r="AC1237" s="24">
        <f>IF($G1237="","",IF($H1237="※编码不在物料档案里","※物料编码不在档案里",IF(N($K1237)&lt;=0,"※入库数量要大于 0",IF(AND($C1237&lt;&gt;"",$C1237&lt;=结账锁),"※日期早于已结账截止日，不能再录",IF(AND($L1237=0,$X1237="正常"),"※没填单价，价格状态请选「待补价」",IF(AND($S1237&gt;0,$R1237&gt;0),"△本批有 "&amp;$S1237&amp;" 行没单价，整批运费先挂账没摊",IF(AND($B1237&lt;&gt;"",COUNTIF($B$4:$B$2503,$B1237)&gt;1),"※入库单号重复","")))))))</f>
        <v/>
      </c>
    </row>
    <row r="1238">
      <c r="A1238" s="24">
        <f>IF($G1238="","",COUNTA($G$4:$G1238))</f>
        <v/>
      </c>
      <c r="B1238" s="17" t="n"/>
      <c r="C1238" s="30" t="n"/>
      <c r="D1238" s="17" t="n"/>
      <c r="E1238" s="17" t="n"/>
      <c r="F1238" s="17" t="n"/>
      <c r="G1238" s="17" t="n"/>
      <c r="H1238" s="24">
        <f>IF($G1238="","",IFERROR(VLOOKUP($G1238,物料档案!$A$4:$P$1203,3,0),"※编码不在物料档案里"))</f>
        <v/>
      </c>
      <c r="I1238" s="24">
        <f>IF($G1238="","",IFERROR(VLOOKUP($G1238,物料档案!$A$4:$P$1203,4,0),"※编码不在物料档案里"))</f>
        <v/>
      </c>
      <c r="J1238" s="24">
        <f>IF($G1238="","",IFERROR(VLOOKUP($G1238,物料档案!$A$4:$P$1203,5,0),"※编码不在物料档案里"))</f>
        <v/>
      </c>
      <c r="K1238" s="23" t="n"/>
      <c r="L1238" s="31" t="n"/>
      <c r="M1238" s="24">
        <f>IF($G1238="","",IF($D1238="A国内","CNY","TZS"))</f>
        <v/>
      </c>
      <c r="N1238" s="28">
        <f>IF($G1238="","",IF($D1238="A国内",汇率,1))</f>
        <v/>
      </c>
      <c r="O1238" s="25">
        <f>IF($G1238="","",ROUND(N($K1238)*N($L1238),2))</f>
        <v/>
      </c>
      <c r="P1238" s="26">
        <f>IF($G1238="","",ROUND($O1238*$N1238,0))</f>
        <v/>
      </c>
      <c r="Q1238" s="26">
        <f>IF($G1238="","",SUMIFS($P$4:$P$2503,$E$4:$E$2503,$E1238,$Z$4:$Z$2503,"正常"))</f>
        <v/>
      </c>
      <c r="R1238" s="26">
        <f>IF($G1238="","",SUMIFS(费用台账!$I$4:$I$503,费用台账!$C$4:$C$503,$E1238,费用台账!$J$4:$J$503,"是",费用台账!$K$4:$K$503,"正常"))</f>
        <v/>
      </c>
      <c r="S1238" s="28">
        <f>IF($G1238="","",COUNTIFS($E$4:$E$2503,$E1238,$Z$4:$Z$2503,"正常",$Y$4:$Y$2503,"待补价"))</f>
        <v/>
      </c>
      <c r="T1238" s="26">
        <f>IF($G1238="","",SUMIFS($P$4:$P$2503,$E$4:$E$2503,$E1238,$Z$4:$Z$2503,"正常",$A$4:$A$2503,"&lt;="&amp;$A1238))</f>
        <v/>
      </c>
      <c r="U1238" s="26">
        <f>IF($G1238="","",IF(OR($S1238&gt;0,$Q1238=0,$R1238=0,$Z1238&lt;&gt;"正常"),0,ROUND($T1238/$Q1238*$R1238,0)-ROUND(($T1238-$P1238)/$Q1238*$R1238,0)))</f>
        <v/>
      </c>
      <c r="V1238" s="26">
        <f>IF($G1238="","",ROUND($P1238+$U1238,0))</f>
        <v/>
      </c>
      <c r="W1238" s="26">
        <f>IF($G1238="","",IF(N($K1238)=0,0,ROUND($V1238/$K1238,2)))</f>
        <v/>
      </c>
      <c r="X1238" s="17" t="n"/>
      <c r="Y1238" s="17" t="n"/>
      <c r="Z1238" s="17" t="n"/>
      <c r="AA1238" s="17" t="n"/>
      <c r="AB1238" s="17" t="n"/>
      <c r="AC1238" s="24">
        <f>IF($G1238="","",IF($H1238="※编码不在物料档案里","※物料编码不在档案里",IF(N($K1238)&lt;=0,"※入库数量要大于 0",IF(AND($C1238&lt;&gt;"",$C1238&lt;=结账锁),"※日期早于已结账截止日，不能再录",IF(AND($L1238=0,$X1238="正常"),"※没填单价，价格状态请选「待补价」",IF(AND($S1238&gt;0,$R1238&gt;0),"△本批有 "&amp;$S1238&amp;" 行没单价，整批运费先挂账没摊",IF(AND($B1238&lt;&gt;"",COUNTIF($B$4:$B$2503,$B1238)&gt;1),"※入库单号重复","")))))))</f>
        <v/>
      </c>
    </row>
    <row r="1239">
      <c r="A1239" s="24">
        <f>IF($G1239="","",COUNTA($G$4:$G1239))</f>
        <v/>
      </c>
      <c r="B1239" s="17" t="n"/>
      <c r="C1239" s="30" t="n"/>
      <c r="D1239" s="17" t="n"/>
      <c r="E1239" s="17" t="n"/>
      <c r="F1239" s="17" t="n"/>
      <c r="G1239" s="17" t="n"/>
      <c r="H1239" s="24">
        <f>IF($G1239="","",IFERROR(VLOOKUP($G1239,物料档案!$A$4:$P$1203,3,0),"※编码不在物料档案里"))</f>
        <v/>
      </c>
      <c r="I1239" s="24">
        <f>IF($G1239="","",IFERROR(VLOOKUP($G1239,物料档案!$A$4:$P$1203,4,0),"※编码不在物料档案里"))</f>
        <v/>
      </c>
      <c r="J1239" s="24">
        <f>IF($G1239="","",IFERROR(VLOOKUP($G1239,物料档案!$A$4:$P$1203,5,0),"※编码不在物料档案里"))</f>
        <v/>
      </c>
      <c r="K1239" s="23" t="n"/>
      <c r="L1239" s="31" t="n"/>
      <c r="M1239" s="24">
        <f>IF($G1239="","",IF($D1239="A国内","CNY","TZS"))</f>
        <v/>
      </c>
      <c r="N1239" s="28">
        <f>IF($G1239="","",IF($D1239="A国内",汇率,1))</f>
        <v/>
      </c>
      <c r="O1239" s="25">
        <f>IF($G1239="","",ROUND(N($K1239)*N($L1239),2))</f>
        <v/>
      </c>
      <c r="P1239" s="26">
        <f>IF($G1239="","",ROUND($O1239*$N1239,0))</f>
        <v/>
      </c>
      <c r="Q1239" s="26">
        <f>IF($G1239="","",SUMIFS($P$4:$P$2503,$E$4:$E$2503,$E1239,$Z$4:$Z$2503,"正常"))</f>
        <v/>
      </c>
      <c r="R1239" s="26">
        <f>IF($G1239="","",SUMIFS(费用台账!$I$4:$I$503,费用台账!$C$4:$C$503,$E1239,费用台账!$J$4:$J$503,"是",费用台账!$K$4:$K$503,"正常"))</f>
        <v/>
      </c>
      <c r="S1239" s="28">
        <f>IF($G1239="","",COUNTIFS($E$4:$E$2503,$E1239,$Z$4:$Z$2503,"正常",$Y$4:$Y$2503,"待补价"))</f>
        <v/>
      </c>
      <c r="T1239" s="26">
        <f>IF($G1239="","",SUMIFS($P$4:$P$2503,$E$4:$E$2503,$E1239,$Z$4:$Z$2503,"正常",$A$4:$A$2503,"&lt;="&amp;$A1239))</f>
        <v/>
      </c>
      <c r="U1239" s="26">
        <f>IF($G1239="","",IF(OR($S1239&gt;0,$Q1239=0,$R1239=0,$Z1239&lt;&gt;"正常"),0,ROUND($T1239/$Q1239*$R1239,0)-ROUND(($T1239-$P1239)/$Q1239*$R1239,0)))</f>
        <v/>
      </c>
      <c r="V1239" s="26">
        <f>IF($G1239="","",ROUND($P1239+$U1239,0))</f>
        <v/>
      </c>
      <c r="W1239" s="26">
        <f>IF($G1239="","",IF(N($K1239)=0,0,ROUND($V1239/$K1239,2)))</f>
        <v/>
      </c>
      <c r="X1239" s="17" t="n"/>
      <c r="Y1239" s="17" t="n"/>
      <c r="Z1239" s="17" t="n"/>
      <c r="AA1239" s="17" t="n"/>
      <c r="AB1239" s="17" t="n"/>
      <c r="AC1239" s="24">
        <f>IF($G1239="","",IF($H1239="※编码不在物料档案里","※物料编码不在档案里",IF(N($K1239)&lt;=0,"※入库数量要大于 0",IF(AND($C1239&lt;&gt;"",$C1239&lt;=结账锁),"※日期早于已结账截止日，不能再录",IF(AND($L1239=0,$X1239="正常"),"※没填单价，价格状态请选「待补价」",IF(AND($S1239&gt;0,$R1239&gt;0),"△本批有 "&amp;$S1239&amp;" 行没单价，整批运费先挂账没摊",IF(AND($B1239&lt;&gt;"",COUNTIF($B$4:$B$2503,$B1239)&gt;1),"※入库单号重复","")))))))</f>
        <v/>
      </c>
    </row>
    <row r="1240">
      <c r="A1240" s="24">
        <f>IF($G1240="","",COUNTA($G$4:$G1240))</f>
        <v/>
      </c>
      <c r="B1240" s="17" t="n"/>
      <c r="C1240" s="30" t="n"/>
      <c r="D1240" s="17" t="n"/>
      <c r="E1240" s="17" t="n"/>
      <c r="F1240" s="17" t="n"/>
      <c r="G1240" s="17" t="n"/>
      <c r="H1240" s="24">
        <f>IF($G1240="","",IFERROR(VLOOKUP($G1240,物料档案!$A$4:$P$1203,3,0),"※编码不在物料档案里"))</f>
        <v/>
      </c>
      <c r="I1240" s="24">
        <f>IF($G1240="","",IFERROR(VLOOKUP($G1240,物料档案!$A$4:$P$1203,4,0),"※编码不在物料档案里"))</f>
        <v/>
      </c>
      <c r="J1240" s="24">
        <f>IF($G1240="","",IFERROR(VLOOKUP($G1240,物料档案!$A$4:$P$1203,5,0),"※编码不在物料档案里"))</f>
        <v/>
      </c>
      <c r="K1240" s="23" t="n"/>
      <c r="L1240" s="31" t="n"/>
      <c r="M1240" s="24">
        <f>IF($G1240="","",IF($D1240="A国内","CNY","TZS"))</f>
        <v/>
      </c>
      <c r="N1240" s="28">
        <f>IF($G1240="","",IF($D1240="A国内",汇率,1))</f>
        <v/>
      </c>
      <c r="O1240" s="25">
        <f>IF($G1240="","",ROUND(N($K1240)*N($L1240),2))</f>
        <v/>
      </c>
      <c r="P1240" s="26">
        <f>IF($G1240="","",ROUND($O1240*$N1240,0))</f>
        <v/>
      </c>
      <c r="Q1240" s="26">
        <f>IF($G1240="","",SUMIFS($P$4:$P$2503,$E$4:$E$2503,$E1240,$Z$4:$Z$2503,"正常"))</f>
        <v/>
      </c>
      <c r="R1240" s="26">
        <f>IF($G1240="","",SUMIFS(费用台账!$I$4:$I$503,费用台账!$C$4:$C$503,$E1240,费用台账!$J$4:$J$503,"是",费用台账!$K$4:$K$503,"正常"))</f>
        <v/>
      </c>
      <c r="S1240" s="28">
        <f>IF($G1240="","",COUNTIFS($E$4:$E$2503,$E1240,$Z$4:$Z$2503,"正常",$Y$4:$Y$2503,"待补价"))</f>
        <v/>
      </c>
      <c r="T1240" s="26">
        <f>IF($G1240="","",SUMIFS($P$4:$P$2503,$E$4:$E$2503,$E1240,$Z$4:$Z$2503,"正常",$A$4:$A$2503,"&lt;="&amp;$A1240))</f>
        <v/>
      </c>
      <c r="U1240" s="26">
        <f>IF($G1240="","",IF(OR($S1240&gt;0,$Q1240=0,$R1240=0,$Z1240&lt;&gt;"正常"),0,ROUND($T1240/$Q1240*$R1240,0)-ROUND(($T1240-$P1240)/$Q1240*$R1240,0)))</f>
        <v/>
      </c>
      <c r="V1240" s="26">
        <f>IF($G1240="","",ROUND($P1240+$U1240,0))</f>
        <v/>
      </c>
      <c r="W1240" s="26">
        <f>IF($G1240="","",IF(N($K1240)=0,0,ROUND($V1240/$K1240,2)))</f>
        <v/>
      </c>
      <c r="X1240" s="17" t="n"/>
      <c r="Y1240" s="17" t="n"/>
      <c r="Z1240" s="17" t="n"/>
      <c r="AA1240" s="17" t="n"/>
      <c r="AB1240" s="17" t="n"/>
      <c r="AC1240" s="24">
        <f>IF($G1240="","",IF($H1240="※编码不在物料档案里","※物料编码不在档案里",IF(N($K1240)&lt;=0,"※入库数量要大于 0",IF(AND($C1240&lt;&gt;"",$C1240&lt;=结账锁),"※日期早于已结账截止日，不能再录",IF(AND($L1240=0,$X1240="正常"),"※没填单价，价格状态请选「待补价」",IF(AND($S1240&gt;0,$R1240&gt;0),"△本批有 "&amp;$S1240&amp;" 行没单价，整批运费先挂账没摊",IF(AND($B1240&lt;&gt;"",COUNTIF($B$4:$B$2503,$B1240)&gt;1),"※入库单号重复","")))))))</f>
        <v/>
      </c>
    </row>
    <row r="1241">
      <c r="A1241" s="24">
        <f>IF($G1241="","",COUNTA($G$4:$G1241))</f>
        <v/>
      </c>
      <c r="B1241" s="17" t="n"/>
      <c r="C1241" s="30" t="n"/>
      <c r="D1241" s="17" t="n"/>
      <c r="E1241" s="17" t="n"/>
      <c r="F1241" s="17" t="n"/>
      <c r="G1241" s="17" t="n"/>
      <c r="H1241" s="24">
        <f>IF($G1241="","",IFERROR(VLOOKUP($G1241,物料档案!$A$4:$P$1203,3,0),"※编码不在物料档案里"))</f>
        <v/>
      </c>
      <c r="I1241" s="24">
        <f>IF($G1241="","",IFERROR(VLOOKUP($G1241,物料档案!$A$4:$P$1203,4,0),"※编码不在物料档案里"))</f>
        <v/>
      </c>
      <c r="J1241" s="24">
        <f>IF($G1241="","",IFERROR(VLOOKUP($G1241,物料档案!$A$4:$P$1203,5,0),"※编码不在物料档案里"))</f>
        <v/>
      </c>
      <c r="K1241" s="23" t="n"/>
      <c r="L1241" s="31" t="n"/>
      <c r="M1241" s="24">
        <f>IF($G1241="","",IF($D1241="A国内","CNY","TZS"))</f>
        <v/>
      </c>
      <c r="N1241" s="28">
        <f>IF($G1241="","",IF($D1241="A国内",汇率,1))</f>
        <v/>
      </c>
      <c r="O1241" s="25">
        <f>IF($G1241="","",ROUND(N($K1241)*N($L1241),2))</f>
        <v/>
      </c>
      <c r="P1241" s="26">
        <f>IF($G1241="","",ROUND($O1241*$N1241,0))</f>
        <v/>
      </c>
      <c r="Q1241" s="26">
        <f>IF($G1241="","",SUMIFS($P$4:$P$2503,$E$4:$E$2503,$E1241,$Z$4:$Z$2503,"正常"))</f>
        <v/>
      </c>
      <c r="R1241" s="26">
        <f>IF($G1241="","",SUMIFS(费用台账!$I$4:$I$503,费用台账!$C$4:$C$503,$E1241,费用台账!$J$4:$J$503,"是",费用台账!$K$4:$K$503,"正常"))</f>
        <v/>
      </c>
      <c r="S1241" s="28">
        <f>IF($G1241="","",COUNTIFS($E$4:$E$2503,$E1241,$Z$4:$Z$2503,"正常",$Y$4:$Y$2503,"待补价"))</f>
        <v/>
      </c>
      <c r="T1241" s="26">
        <f>IF($G1241="","",SUMIFS($P$4:$P$2503,$E$4:$E$2503,$E1241,$Z$4:$Z$2503,"正常",$A$4:$A$2503,"&lt;="&amp;$A1241))</f>
        <v/>
      </c>
      <c r="U1241" s="26">
        <f>IF($G1241="","",IF(OR($S1241&gt;0,$Q1241=0,$R1241=0,$Z1241&lt;&gt;"正常"),0,ROUND($T1241/$Q1241*$R1241,0)-ROUND(($T1241-$P1241)/$Q1241*$R1241,0)))</f>
        <v/>
      </c>
      <c r="V1241" s="26">
        <f>IF($G1241="","",ROUND($P1241+$U1241,0))</f>
        <v/>
      </c>
      <c r="W1241" s="26">
        <f>IF($G1241="","",IF(N($K1241)=0,0,ROUND($V1241/$K1241,2)))</f>
        <v/>
      </c>
      <c r="X1241" s="17" t="n"/>
      <c r="Y1241" s="17" t="n"/>
      <c r="Z1241" s="17" t="n"/>
      <c r="AA1241" s="17" t="n"/>
      <c r="AB1241" s="17" t="n"/>
      <c r="AC1241" s="24">
        <f>IF($G1241="","",IF($H1241="※编码不在物料档案里","※物料编码不在档案里",IF(N($K1241)&lt;=0,"※入库数量要大于 0",IF(AND($C1241&lt;&gt;"",$C1241&lt;=结账锁),"※日期早于已结账截止日，不能再录",IF(AND($L1241=0,$X1241="正常"),"※没填单价，价格状态请选「待补价」",IF(AND($S1241&gt;0,$R1241&gt;0),"△本批有 "&amp;$S1241&amp;" 行没单价，整批运费先挂账没摊",IF(AND($B1241&lt;&gt;"",COUNTIF($B$4:$B$2503,$B1241)&gt;1),"※入库单号重复","")))))))</f>
        <v/>
      </c>
    </row>
    <row r="1242">
      <c r="A1242" s="24">
        <f>IF($G1242="","",COUNTA($G$4:$G1242))</f>
        <v/>
      </c>
      <c r="B1242" s="17" t="n"/>
      <c r="C1242" s="30" t="n"/>
      <c r="D1242" s="17" t="n"/>
      <c r="E1242" s="17" t="n"/>
      <c r="F1242" s="17" t="n"/>
      <c r="G1242" s="17" t="n"/>
      <c r="H1242" s="24">
        <f>IF($G1242="","",IFERROR(VLOOKUP($G1242,物料档案!$A$4:$P$1203,3,0),"※编码不在物料档案里"))</f>
        <v/>
      </c>
      <c r="I1242" s="24">
        <f>IF($G1242="","",IFERROR(VLOOKUP($G1242,物料档案!$A$4:$P$1203,4,0),"※编码不在物料档案里"))</f>
        <v/>
      </c>
      <c r="J1242" s="24">
        <f>IF($G1242="","",IFERROR(VLOOKUP($G1242,物料档案!$A$4:$P$1203,5,0),"※编码不在物料档案里"))</f>
        <v/>
      </c>
      <c r="K1242" s="23" t="n"/>
      <c r="L1242" s="31" t="n"/>
      <c r="M1242" s="24">
        <f>IF($G1242="","",IF($D1242="A国内","CNY","TZS"))</f>
        <v/>
      </c>
      <c r="N1242" s="28">
        <f>IF($G1242="","",IF($D1242="A国内",汇率,1))</f>
        <v/>
      </c>
      <c r="O1242" s="25">
        <f>IF($G1242="","",ROUND(N($K1242)*N($L1242),2))</f>
        <v/>
      </c>
      <c r="P1242" s="26">
        <f>IF($G1242="","",ROUND($O1242*$N1242,0))</f>
        <v/>
      </c>
      <c r="Q1242" s="26">
        <f>IF($G1242="","",SUMIFS($P$4:$P$2503,$E$4:$E$2503,$E1242,$Z$4:$Z$2503,"正常"))</f>
        <v/>
      </c>
      <c r="R1242" s="26">
        <f>IF($G1242="","",SUMIFS(费用台账!$I$4:$I$503,费用台账!$C$4:$C$503,$E1242,费用台账!$J$4:$J$503,"是",费用台账!$K$4:$K$503,"正常"))</f>
        <v/>
      </c>
      <c r="S1242" s="28">
        <f>IF($G1242="","",COUNTIFS($E$4:$E$2503,$E1242,$Z$4:$Z$2503,"正常",$Y$4:$Y$2503,"待补价"))</f>
        <v/>
      </c>
      <c r="T1242" s="26">
        <f>IF($G1242="","",SUMIFS($P$4:$P$2503,$E$4:$E$2503,$E1242,$Z$4:$Z$2503,"正常",$A$4:$A$2503,"&lt;="&amp;$A1242))</f>
        <v/>
      </c>
      <c r="U1242" s="26">
        <f>IF($G1242="","",IF(OR($S1242&gt;0,$Q1242=0,$R1242=0,$Z1242&lt;&gt;"正常"),0,ROUND($T1242/$Q1242*$R1242,0)-ROUND(($T1242-$P1242)/$Q1242*$R1242,0)))</f>
        <v/>
      </c>
      <c r="V1242" s="26">
        <f>IF($G1242="","",ROUND($P1242+$U1242,0))</f>
        <v/>
      </c>
      <c r="W1242" s="26">
        <f>IF($G1242="","",IF(N($K1242)=0,0,ROUND($V1242/$K1242,2)))</f>
        <v/>
      </c>
      <c r="X1242" s="17" t="n"/>
      <c r="Y1242" s="17" t="n"/>
      <c r="Z1242" s="17" t="n"/>
      <c r="AA1242" s="17" t="n"/>
      <c r="AB1242" s="17" t="n"/>
      <c r="AC1242" s="24">
        <f>IF($G1242="","",IF($H1242="※编码不在物料档案里","※物料编码不在档案里",IF(N($K1242)&lt;=0,"※入库数量要大于 0",IF(AND($C1242&lt;&gt;"",$C1242&lt;=结账锁),"※日期早于已结账截止日，不能再录",IF(AND($L1242=0,$X1242="正常"),"※没填单价，价格状态请选「待补价」",IF(AND($S1242&gt;0,$R1242&gt;0),"△本批有 "&amp;$S1242&amp;" 行没单价，整批运费先挂账没摊",IF(AND($B1242&lt;&gt;"",COUNTIF($B$4:$B$2503,$B1242)&gt;1),"※入库单号重复","")))))))</f>
        <v/>
      </c>
    </row>
    <row r="1243">
      <c r="A1243" s="24">
        <f>IF($G1243="","",COUNTA($G$4:$G1243))</f>
        <v/>
      </c>
      <c r="B1243" s="17" t="n"/>
      <c r="C1243" s="30" t="n"/>
      <c r="D1243" s="17" t="n"/>
      <c r="E1243" s="17" t="n"/>
      <c r="F1243" s="17" t="n"/>
      <c r="G1243" s="17" t="n"/>
      <c r="H1243" s="24">
        <f>IF($G1243="","",IFERROR(VLOOKUP($G1243,物料档案!$A$4:$P$1203,3,0),"※编码不在物料档案里"))</f>
        <v/>
      </c>
      <c r="I1243" s="24">
        <f>IF($G1243="","",IFERROR(VLOOKUP($G1243,物料档案!$A$4:$P$1203,4,0),"※编码不在物料档案里"))</f>
        <v/>
      </c>
      <c r="J1243" s="24">
        <f>IF($G1243="","",IFERROR(VLOOKUP($G1243,物料档案!$A$4:$P$1203,5,0),"※编码不在物料档案里"))</f>
        <v/>
      </c>
      <c r="K1243" s="23" t="n"/>
      <c r="L1243" s="31" t="n"/>
      <c r="M1243" s="24">
        <f>IF($G1243="","",IF($D1243="A国内","CNY","TZS"))</f>
        <v/>
      </c>
      <c r="N1243" s="28">
        <f>IF($G1243="","",IF($D1243="A国内",汇率,1))</f>
        <v/>
      </c>
      <c r="O1243" s="25">
        <f>IF($G1243="","",ROUND(N($K1243)*N($L1243),2))</f>
        <v/>
      </c>
      <c r="P1243" s="26">
        <f>IF($G1243="","",ROUND($O1243*$N1243,0))</f>
        <v/>
      </c>
      <c r="Q1243" s="26">
        <f>IF($G1243="","",SUMIFS($P$4:$P$2503,$E$4:$E$2503,$E1243,$Z$4:$Z$2503,"正常"))</f>
        <v/>
      </c>
      <c r="R1243" s="26">
        <f>IF($G1243="","",SUMIFS(费用台账!$I$4:$I$503,费用台账!$C$4:$C$503,$E1243,费用台账!$J$4:$J$503,"是",费用台账!$K$4:$K$503,"正常"))</f>
        <v/>
      </c>
      <c r="S1243" s="28">
        <f>IF($G1243="","",COUNTIFS($E$4:$E$2503,$E1243,$Z$4:$Z$2503,"正常",$Y$4:$Y$2503,"待补价"))</f>
        <v/>
      </c>
      <c r="T1243" s="26">
        <f>IF($G1243="","",SUMIFS($P$4:$P$2503,$E$4:$E$2503,$E1243,$Z$4:$Z$2503,"正常",$A$4:$A$2503,"&lt;="&amp;$A1243))</f>
        <v/>
      </c>
      <c r="U1243" s="26">
        <f>IF($G1243="","",IF(OR($S1243&gt;0,$Q1243=0,$R1243=0,$Z1243&lt;&gt;"正常"),0,ROUND($T1243/$Q1243*$R1243,0)-ROUND(($T1243-$P1243)/$Q1243*$R1243,0)))</f>
        <v/>
      </c>
      <c r="V1243" s="26">
        <f>IF($G1243="","",ROUND($P1243+$U1243,0))</f>
        <v/>
      </c>
      <c r="W1243" s="26">
        <f>IF($G1243="","",IF(N($K1243)=0,0,ROUND($V1243/$K1243,2)))</f>
        <v/>
      </c>
      <c r="X1243" s="17" t="n"/>
      <c r="Y1243" s="17" t="n"/>
      <c r="Z1243" s="17" t="n"/>
      <c r="AA1243" s="17" t="n"/>
      <c r="AB1243" s="17" t="n"/>
      <c r="AC1243" s="24">
        <f>IF($G1243="","",IF($H1243="※编码不在物料档案里","※物料编码不在档案里",IF(N($K1243)&lt;=0,"※入库数量要大于 0",IF(AND($C1243&lt;&gt;"",$C1243&lt;=结账锁),"※日期早于已结账截止日，不能再录",IF(AND($L1243=0,$X1243="正常"),"※没填单价，价格状态请选「待补价」",IF(AND($S1243&gt;0,$R1243&gt;0),"△本批有 "&amp;$S1243&amp;" 行没单价，整批运费先挂账没摊",IF(AND($B1243&lt;&gt;"",COUNTIF($B$4:$B$2503,$B1243)&gt;1),"※入库单号重复","")))))))</f>
        <v/>
      </c>
    </row>
    <row r="1244">
      <c r="A1244" s="24">
        <f>IF($G1244="","",COUNTA($G$4:$G1244))</f>
        <v/>
      </c>
      <c r="B1244" s="17" t="n"/>
      <c r="C1244" s="30" t="n"/>
      <c r="D1244" s="17" t="n"/>
      <c r="E1244" s="17" t="n"/>
      <c r="F1244" s="17" t="n"/>
      <c r="G1244" s="17" t="n"/>
      <c r="H1244" s="24">
        <f>IF($G1244="","",IFERROR(VLOOKUP($G1244,物料档案!$A$4:$P$1203,3,0),"※编码不在物料档案里"))</f>
        <v/>
      </c>
      <c r="I1244" s="24">
        <f>IF($G1244="","",IFERROR(VLOOKUP($G1244,物料档案!$A$4:$P$1203,4,0),"※编码不在物料档案里"))</f>
        <v/>
      </c>
      <c r="J1244" s="24">
        <f>IF($G1244="","",IFERROR(VLOOKUP($G1244,物料档案!$A$4:$P$1203,5,0),"※编码不在物料档案里"))</f>
        <v/>
      </c>
      <c r="K1244" s="23" t="n"/>
      <c r="L1244" s="31" t="n"/>
      <c r="M1244" s="24">
        <f>IF($G1244="","",IF($D1244="A国内","CNY","TZS"))</f>
        <v/>
      </c>
      <c r="N1244" s="28">
        <f>IF($G1244="","",IF($D1244="A国内",汇率,1))</f>
        <v/>
      </c>
      <c r="O1244" s="25">
        <f>IF($G1244="","",ROUND(N($K1244)*N($L1244),2))</f>
        <v/>
      </c>
      <c r="P1244" s="26">
        <f>IF($G1244="","",ROUND($O1244*$N1244,0))</f>
        <v/>
      </c>
      <c r="Q1244" s="26">
        <f>IF($G1244="","",SUMIFS($P$4:$P$2503,$E$4:$E$2503,$E1244,$Z$4:$Z$2503,"正常"))</f>
        <v/>
      </c>
      <c r="R1244" s="26">
        <f>IF($G1244="","",SUMIFS(费用台账!$I$4:$I$503,费用台账!$C$4:$C$503,$E1244,费用台账!$J$4:$J$503,"是",费用台账!$K$4:$K$503,"正常"))</f>
        <v/>
      </c>
      <c r="S1244" s="28">
        <f>IF($G1244="","",COUNTIFS($E$4:$E$2503,$E1244,$Z$4:$Z$2503,"正常",$Y$4:$Y$2503,"待补价"))</f>
        <v/>
      </c>
      <c r="T1244" s="26">
        <f>IF($G1244="","",SUMIFS($P$4:$P$2503,$E$4:$E$2503,$E1244,$Z$4:$Z$2503,"正常",$A$4:$A$2503,"&lt;="&amp;$A1244))</f>
        <v/>
      </c>
      <c r="U1244" s="26">
        <f>IF($G1244="","",IF(OR($S1244&gt;0,$Q1244=0,$R1244=0,$Z1244&lt;&gt;"正常"),0,ROUND($T1244/$Q1244*$R1244,0)-ROUND(($T1244-$P1244)/$Q1244*$R1244,0)))</f>
        <v/>
      </c>
      <c r="V1244" s="26">
        <f>IF($G1244="","",ROUND($P1244+$U1244,0))</f>
        <v/>
      </c>
      <c r="W1244" s="26">
        <f>IF($G1244="","",IF(N($K1244)=0,0,ROUND($V1244/$K1244,2)))</f>
        <v/>
      </c>
      <c r="X1244" s="17" t="n"/>
      <c r="Y1244" s="17" t="n"/>
      <c r="Z1244" s="17" t="n"/>
      <c r="AA1244" s="17" t="n"/>
      <c r="AB1244" s="17" t="n"/>
      <c r="AC1244" s="24">
        <f>IF($G1244="","",IF($H1244="※编码不在物料档案里","※物料编码不在档案里",IF(N($K1244)&lt;=0,"※入库数量要大于 0",IF(AND($C1244&lt;&gt;"",$C1244&lt;=结账锁),"※日期早于已结账截止日，不能再录",IF(AND($L1244=0,$X1244="正常"),"※没填单价，价格状态请选「待补价」",IF(AND($S1244&gt;0,$R1244&gt;0),"△本批有 "&amp;$S1244&amp;" 行没单价，整批运费先挂账没摊",IF(AND($B1244&lt;&gt;"",COUNTIF($B$4:$B$2503,$B1244)&gt;1),"※入库单号重复","")))))))</f>
        <v/>
      </c>
    </row>
    <row r="1245">
      <c r="A1245" s="24">
        <f>IF($G1245="","",COUNTA($G$4:$G1245))</f>
        <v/>
      </c>
      <c r="B1245" s="17" t="n"/>
      <c r="C1245" s="30" t="n"/>
      <c r="D1245" s="17" t="n"/>
      <c r="E1245" s="17" t="n"/>
      <c r="F1245" s="17" t="n"/>
      <c r="G1245" s="17" t="n"/>
      <c r="H1245" s="24">
        <f>IF($G1245="","",IFERROR(VLOOKUP($G1245,物料档案!$A$4:$P$1203,3,0),"※编码不在物料档案里"))</f>
        <v/>
      </c>
      <c r="I1245" s="24">
        <f>IF($G1245="","",IFERROR(VLOOKUP($G1245,物料档案!$A$4:$P$1203,4,0),"※编码不在物料档案里"))</f>
        <v/>
      </c>
      <c r="J1245" s="24">
        <f>IF($G1245="","",IFERROR(VLOOKUP($G1245,物料档案!$A$4:$P$1203,5,0),"※编码不在物料档案里"))</f>
        <v/>
      </c>
      <c r="K1245" s="23" t="n"/>
      <c r="L1245" s="31" t="n"/>
      <c r="M1245" s="24">
        <f>IF($G1245="","",IF($D1245="A国内","CNY","TZS"))</f>
        <v/>
      </c>
      <c r="N1245" s="28">
        <f>IF($G1245="","",IF($D1245="A国内",汇率,1))</f>
        <v/>
      </c>
      <c r="O1245" s="25">
        <f>IF($G1245="","",ROUND(N($K1245)*N($L1245),2))</f>
        <v/>
      </c>
      <c r="P1245" s="26">
        <f>IF($G1245="","",ROUND($O1245*$N1245,0))</f>
        <v/>
      </c>
      <c r="Q1245" s="26">
        <f>IF($G1245="","",SUMIFS($P$4:$P$2503,$E$4:$E$2503,$E1245,$Z$4:$Z$2503,"正常"))</f>
        <v/>
      </c>
      <c r="R1245" s="26">
        <f>IF($G1245="","",SUMIFS(费用台账!$I$4:$I$503,费用台账!$C$4:$C$503,$E1245,费用台账!$J$4:$J$503,"是",费用台账!$K$4:$K$503,"正常"))</f>
        <v/>
      </c>
      <c r="S1245" s="28">
        <f>IF($G1245="","",COUNTIFS($E$4:$E$2503,$E1245,$Z$4:$Z$2503,"正常",$Y$4:$Y$2503,"待补价"))</f>
        <v/>
      </c>
      <c r="T1245" s="26">
        <f>IF($G1245="","",SUMIFS($P$4:$P$2503,$E$4:$E$2503,$E1245,$Z$4:$Z$2503,"正常",$A$4:$A$2503,"&lt;="&amp;$A1245))</f>
        <v/>
      </c>
      <c r="U1245" s="26">
        <f>IF($G1245="","",IF(OR($S1245&gt;0,$Q1245=0,$R1245=0,$Z1245&lt;&gt;"正常"),0,ROUND($T1245/$Q1245*$R1245,0)-ROUND(($T1245-$P1245)/$Q1245*$R1245,0)))</f>
        <v/>
      </c>
      <c r="V1245" s="26">
        <f>IF($G1245="","",ROUND($P1245+$U1245,0))</f>
        <v/>
      </c>
      <c r="W1245" s="26">
        <f>IF($G1245="","",IF(N($K1245)=0,0,ROUND($V1245/$K1245,2)))</f>
        <v/>
      </c>
      <c r="X1245" s="17" t="n"/>
      <c r="Y1245" s="17" t="n"/>
      <c r="Z1245" s="17" t="n"/>
      <c r="AA1245" s="17" t="n"/>
      <c r="AB1245" s="17" t="n"/>
      <c r="AC1245" s="24">
        <f>IF($G1245="","",IF($H1245="※编码不在物料档案里","※物料编码不在档案里",IF(N($K1245)&lt;=0,"※入库数量要大于 0",IF(AND($C1245&lt;&gt;"",$C1245&lt;=结账锁),"※日期早于已结账截止日，不能再录",IF(AND($L1245=0,$X1245="正常"),"※没填单价，价格状态请选「待补价」",IF(AND($S1245&gt;0,$R1245&gt;0),"△本批有 "&amp;$S1245&amp;" 行没单价，整批运费先挂账没摊",IF(AND($B1245&lt;&gt;"",COUNTIF($B$4:$B$2503,$B1245)&gt;1),"※入库单号重复","")))))))</f>
        <v/>
      </c>
    </row>
    <row r="1246">
      <c r="A1246" s="24">
        <f>IF($G1246="","",COUNTA($G$4:$G1246))</f>
        <v/>
      </c>
      <c r="B1246" s="17" t="n"/>
      <c r="C1246" s="30" t="n"/>
      <c r="D1246" s="17" t="n"/>
      <c r="E1246" s="17" t="n"/>
      <c r="F1246" s="17" t="n"/>
      <c r="G1246" s="17" t="n"/>
      <c r="H1246" s="24">
        <f>IF($G1246="","",IFERROR(VLOOKUP($G1246,物料档案!$A$4:$P$1203,3,0),"※编码不在物料档案里"))</f>
        <v/>
      </c>
      <c r="I1246" s="24">
        <f>IF($G1246="","",IFERROR(VLOOKUP($G1246,物料档案!$A$4:$P$1203,4,0),"※编码不在物料档案里"))</f>
        <v/>
      </c>
      <c r="J1246" s="24">
        <f>IF($G1246="","",IFERROR(VLOOKUP($G1246,物料档案!$A$4:$P$1203,5,0),"※编码不在物料档案里"))</f>
        <v/>
      </c>
      <c r="K1246" s="23" t="n"/>
      <c r="L1246" s="31" t="n"/>
      <c r="M1246" s="24">
        <f>IF($G1246="","",IF($D1246="A国内","CNY","TZS"))</f>
        <v/>
      </c>
      <c r="N1246" s="28">
        <f>IF($G1246="","",IF($D1246="A国内",汇率,1))</f>
        <v/>
      </c>
      <c r="O1246" s="25">
        <f>IF($G1246="","",ROUND(N($K1246)*N($L1246),2))</f>
        <v/>
      </c>
      <c r="P1246" s="26">
        <f>IF($G1246="","",ROUND($O1246*$N1246,0))</f>
        <v/>
      </c>
      <c r="Q1246" s="26">
        <f>IF($G1246="","",SUMIFS($P$4:$P$2503,$E$4:$E$2503,$E1246,$Z$4:$Z$2503,"正常"))</f>
        <v/>
      </c>
      <c r="R1246" s="26">
        <f>IF($G1246="","",SUMIFS(费用台账!$I$4:$I$503,费用台账!$C$4:$C$503,$E1246,费用台账!$J$4:$J$503,"是",费用台账!$K$4:$K$503,"正常"))</f>
        <v/>
      </c>
      <c r="S1246" s="28">
        <f>IF($G1246="","",COUNTIFS($E$4:$E$2503,$E1246,$Z$4:$Z$2503,"正常",$Y$4:$Y$2503,"待补价"))</f>
        <v/>
      </c>
      <c r="T1246" s="26">
        <f>IF($G1246="","",SUMIFS($P$4:$P$2503,$E$4:$E$2503,$E1246,$Z$4:$Z$2503,"正常",$A$4:$A$2503,"&lt;="&amp;$A1246))</f>
        <v/>
      </c>
      <c r="U1246" s="26">
        <f>IF($G1246="","",IF(OR($S1246&gt;0,$Q1246=0,$R1246=0,$Z1246&lt;&gt;"正常"),0,ROUND($T1246/$Q1246*$R1246,0)-ROUND(($T1246-$P1246)/$Q1246*$R1246,0)))</f>
        <v/>
      </c>
      <c r="V1246" s="26">
        <f>IF($G1246="","",ROUND($P1246+$U1246,0))</f>
        <v/>
      </c>
      <c r="W1246" s="26">
        <f>IF($G1246="","",IF(N($K1246)=0,0,ROUND($V1246/$K1246,2)))</f>
        <v/>
      </c>
      <c r="X1246" s="17" t="n"/>
      <c r="Y1246" s="17" t="n"/>
      <c r="Z1246" s="17" t="n"/>
      <c r="AA1246" s="17" t="n"/>
      <c r="AB1246" s="17" t="n"/>
      <c r="AC1246" s="24">
        <f>IF($G1246="","",IF($H1246="※编码不在物料档案里","※物料编码不在档案里",IF(N($K1246)&lt;=0,"※入库数量要大于 0",IF(AND($C1246&lt;&gt;"",$C1246&lt;=结账锁),"※日期早于已结账截止日，不能再录",IF(AND($L1246=0,$X1246="正常"),"※没填单价，价格状态请选「待补价」",IF(AND($S1246&gt;0,$R1246&gt;0),"△本批有 "&amp;$S1246&amp;" 行没单价，整批运费先挂账没摊",IF(AND($B1246&lt;&gt;"",COUNTIF($B$4:$B$2503,$B1246)&gt;1),"※入库单号重复","")))))))</f>
        <v/>
      </c>
    </row>
    <row r="1247">
      <c r="A1247" s="24">
        <f>IF($G1247="","",COUNTA($G$4:$G1247))</f>
        <v/>
      </c>
      <c r="B1247" s="17" t="n"/>
      <c r="C1247" s="30" t="n"/>
      <c r="D1247" s="17" t="n"/>
      <c r="E1247" s="17" t="n"/>
      <c r="F1247" s="17" t="n"/>
      <c r="G1247" s="17" t="n"/>
      <c r="H1247" s="24">
        <f>IF($G1247="","",IFERROR(VLOOKUP($G1247,物料档案!$A$4:$P$1203,3,0),"※编码不在物料档案里"))</f>
        <v/>
      </c>
      <c r="I1247" s="24">
        <f>IF($G1247="","",IFERROR(VLOOKUP($G1247,物料档案!$A$4:$P$1203,4,0),"※编码不在物料档案里"))</f>
        <v/>
      </c>
      <c r="J1247" s="24">
        <f>IF($G1247="","",IFERROR(VLOOKUP($G1247,物料档案!$A$4:$P$1203,5,0),"※编码不在物料档案里"))</f>
        <v/>
      </c>
      <c r="K1247" s="23" t="n"/>
      <c r="L1247" s="31" t="n"/>
      <c r="M1247" s="24">
        <f>IF($G1247="","",IF($D1247="A国内","CNY","TZS"))</f>
        <v/>
      </c>
      <c r="N1247" s="28">
        <f>IF($G1247="","",IF($D1247="A国内",汇率,1))</f>
        <v/>
      </c>
      <c r="O1247" s="25">
        <f>IF($G1247="","",ROUND(N($K1247)*N($L1247),2))</f>
        <v/>
      </c>
      <c r="P1247" s="26">
        <f>IF($G1247="","",ROUND($O1247*$N1247,0))</f>
        <v/>
      </c>
      <c r="Q1247" s="26">
        <f>IF($G1247="","",SUMIFS($P$4:$P$2503,$E$4:$E$2503,$E1247,$Z$4:$Z$2503,"正常"))</f>
        <v/>
      </c>
      <c r="R1247" s="26">
        <f>IF($G1247="","",SUMIFS(费用台账!$I$4:$I$503,费用台账!$C$4:$C$503,$E1247,费用台账!$J$4:$J$503,"是",费用台账!$K$4:$K$503,"正常"))</f>
        <v/>
      </c>
      <c r="S1247" s="28">
        <f>IF($G1247="","",COUNTIFS($E$4:$E$2503,$E1247,$Z$4:$Z$2503,"正常",$Y$4:$Y$2503,"待补价"))</f>
        <v/>
      </c>
      <c r="T1247" s="26">
        <f>IF($G1247="","",SUMIFS($P$4:$P$2503,$E$4:$E$2503,$E1247,$Z$4:$Z$2503,"正常",$A$4:$A$2503,"&lt;="&amp;$A1247))</f>
        <v/>
      </c>
      <c r="U1247" s="26">
        <f>IF($G1247="","",IF(OR($S1247&gt;0,$Q1247=0,$R1247=0,$Z1247&lt;&gt;"正常"),0,ROUND($T1247/$Q1247*$R1247,0)-ROUND(($T1247-$P1247)/$Q1247*$R1247,0)))</f>
        <v/>
      </c>
      <c r="V1247" s="26">
        <f>IF($G1247="","",ROUND($P1247+$U1247,0))</f>
        <v/>
      </c>
      <c r="W1247" s="26">
        <f>IF($G1247="","",IF(N($K1247)=0,0,ROUND($V1247/$K1247,2)))</f>
        <v/>
      </c>
      <c r="X1247" s="17" t="n"/>
      <c r="Y1247" s="17" t="n"/>
      <c r="Z1247" s="17" t="n"/>
      <c r="AA1247" s="17" t="n"/>
      <c r="AB1247" s="17" t="n"/>
      <c r="AC1247" s="24">
        <f>IF($G1247="","",IF($H1247="※编码不在物料档案里","※物料编码不在档案里",IF(N($K1247)&lt;=0,"※入库数量要大于 0",IF(AND($C1247&lt;&gt;"",$C1247&lt;=结账锁),"※日期早于已结账截止日，不能再录",IF(AND($L1247=0,$X1247="正常"),"※没填单价，价格状态请选「待补价」",IF(AND($S1247&gt;0,$R1247&gt;0),"△本批有 "&amp;$S1247&amp;" 行没单价，整批运费先挂账没摊",IF(AND($B1247&lt;&gt;"",COUNTIF($B$4:$B$2503,$B1247)&gt;1),"※入库单号重复","")))))))</f>
        <v/>
      </c>
    </row>
    <row r="1248">
      <c r="A1248" s="24">
        <f>IF($G1248="","",COUNTA($G$4:$G1248))</f>
        <v/>
      </c>
      <c r="B1248" s="17" t="n"/>
      <c r="C1248" s="30" t="n"/>
      <c r="D1248" s="17" t="n"/>
      <c r="E1248" s="17" t="n"/>
      <c r="F1248" s="17" t="n"/>
      <c r="G1248" s="17" t="n"/>
      <c r="H1248" s="24">
        <f>IF($G1248="","",IFERROR(VLOOKUP($G1248,物料档案!$A$4:$P$1203,3,0),"※编码不在物料档案里"))</f>
        <v/>
      </c>
      <c r="I1248" s="24">
        <f>IF($G1248="","",IFERROR(VLOOKUP($G1248,物料档案!$A$4:$P$1203,4,0),"※编码不在物料档案里"))</f>
        <v/>
      </c>
      <c r="J1248" s="24">
        <f>IF($G1248="","",IFERROR(VLOOKUP($G1248,物料档案!$A$4:$P$1203,5,0),"※编码不在物料档案里"))</f>
        <v/>
      </c>
      <c r="K1248" s="23" t="n"/>
      <c r="L1248" s="31" t="n"/>
      <c r="M1248" s="24">
        <f>IF($G1248="","",IF($D1248="A国内","CNY","TZS"))</f>
        <v/>
      </c>
      <c r="N1248" s="28">
        <f>IF($G1248="","",IF($D1248="A国内",汇率,1))</f>
        <v/>
      </c>
      <c r="O1248" s="25">
        <f>IF($G1248="","",ROUND(N($K1248)*N($L1248),2))</f>
        <v/>
      </c>
      <c r="P1248" s="26">
        <f>IF($G1248="","",ROUND($O1248*$N1248,0))</f>
        <v/>
      </c>
      <c r="Q1248" s="26">
        <f>IF($G1248="","",SUMIFS($P$4:$P$2503,$E$4:$E$2503,$E1248,$Z$4:$Z$2503,"正常"))</f>
        <v/>
      </c>
      <c r="R1248" s="26">
        <f>IF($G1248="","",SUMIFS(费用台账!$I$4:$I$503,费用台账!$C$4:$C$503,$E1248,费用台账!$J$4:$J$503,"是",费用台账!$K$4:$K$503,"正常"))</f>
        <v/>
      </c>
      <c r="S1248" s="28">
        <f>IF($G1248="","",COUNTIFS($E$4:$E$2503,$E1248,$Z$4:$Z$2503,"正常",$Y$4:$Y$2503,"待补价"))</f>
        <v/>
      </c>
      <c r="T1248" s="26">
        <f>IF($G1248="","",SUMIFS($P$4:$P$2503,$E$4:$E$2503,$E1248,$Z$4:$Z$2503,"正常",$A$4:$A$2503,"&lt;="&amp;$A1248))</f>
        <v/>
      </c>
      <c r="U1248" s="26">
        <f>IF($G1248="","",IF(OR($S1248&gt;0,$Q1248=0,$R1248=0,$Z1248&lt;&gt;"正常"),0,ROUND($T1248/$Q1248*$R1248,0)-ROUND(($T1248-$P1248)/$Q1248*$R1248,0)))</f>
        <v/>
      </c>
      <c r="V1248" s="26">
        <f>IF($G1248="","",ROUND($P1248+$U1248,0))</f>
        <v/>
      </c>
      <c r="W1248" s="26">
        <f>IF($G1248="","",IF(N($K1248)=0,0,ROUND($V1248/$K1248,2)))</f>
        <v/>
      </c>
      <c r="X1248" s="17" t="n"/>
      <c r="Y1248" s="17" t="n"/>
      <c r="Z1248" s="17" t="n"/>
      <c r="AA1248" s="17" t="n"/>
      <c r="AB1248" s="17" t="n"/>
      <c r="AC1248" s="24">
        <f>IF($G1248="","",IF($H1248="※编码不在物料档案里","※物料编码不在档案里",IF(N($K1248)&lt;=0,"※入库数量要大于 0",IF(AND($C1248&lt;&gt;"",$C1248&lt;=结账锁),"※日期早于已结账截止日，不能再录",IF(AND($L1248=0,$X1248="正常"),"※没填单价，价格状态请选「待补价」",IF(AND($S1248&gt;0,$R1248&gt;0),"△本批有 "&amp;$S1248&amp;" 行没单价，整批运费先挂账没摊",IF(AND($B1248&lt;&gt;"",COUNTIF($B$4:$B$2503,$B1248)&gt;1),"※入库单号重复","")))))))</f>
        <v/>
      </c>
    </row>
    <row r="1249">
      <c r="A1249" s="24">
        <f>IF($G1249="","",COUNTA($G$4:$G1249))</f>
        <v/>
      </c>
      <c r="B1249" s="17" t="n"/>
      <c r="C1249" s="30" t="n"/>
      <c r="D1249" s="17" t="n"/>
      <c r="E1249" s="17" t="n"/>
      <c r="F1249" s="17" t="n"/>
      <c r="G1249" s="17" t="n"/>
      <c r="H1249" s="24">
        <f>IF($G1249="","",IFERROR(VLOOKUP($G1249,物料档案!$A$4:$P$1203,3,0),"※编码不在物料档案里"))</f>
        <v/>
      </c>
      <c r="I1249" s="24">
        <f>IF($G1249="","",IFERROR(VLOOKUP($G1249,物料档案!$A$4:$P$1203,4,0),"※编码不在物料档案里"))</f>
        <v/>
      </c>
      <c r="J1249" s="24">
        <f>IF($G1249="","",IFERROR(VLOOKUP($G1249,物料档案!$A$4:$P$1203,5,0),"※编码不在物料档案里"))</f>
        <v/>
      </c>
      <c r="K1249" s="23" t="n"/>
      <c r="L1249" s="31" t="n"/>
      <c r="M1249" s="24">
        <f>IF($G1249="","",IF($D1249="A国内","CNY","TZS"))</f>
        <v/>
      </c>
      <c r="N1249" s="28">
        <f>IF($G1249="","",IF($D1249="A国内",汇率,1))</f>
        <v/>
      </c>
      <c r="O1249" s="25">
        <f>IF($G1249="","",ROUND(N($K1249)*N($L1249),2))</f>
        <v/>
      </c>
      <c r="P1249" s="26">
        <f>IF($G1249="","",ROUND($O1249*$N1249,0))</f>
        <v/>
      </c>
      <c r="Q1249" s="26">
        <f>IF($G1249="","",SUMIFS($P$4:$P$2503,$E$4:$E$2503,$E1249,$Z$4:$Z$2503,"正常"))</f>
        <v/>
      </c>
      <c r="R1249" s="26">
        <f>IF($G1249="","",SUMIFS(费用台账!$I$4:$I$503,费用台账!$C$4:$C$503,$E1249,费用台账!$J$4:$J$503,"是",费用台账!$K$4:$K$503,"正常"))</f>
        <v/>
      </c>
      <c r="S1249" s="28">
        <f>IF($G1249="","",COUNTIFS($E$4:$E$2503,$E1249,$Z$4:$Z$2503,"正常",$Y$4:$Y$2503,"待补价"))</f>
        <v/>
      </c>
      <c r="T1249" s="26">
        <f>IF($G1249="","",SUMIFS($P$4:$P$2503,$E$4:$E$2503,$E1249,$Z$4:$Z$2503,"正常",$A$4:$A$2503,"&lt;="&amp;$A1249))</f>
        <v/>
      </c>
      <c r="U1249" s="26">
        <f>IF($G1249="","",IF(OR($S1249&gt;0,$Q1249=0,$R1249=0,$Z1249&lt;&gt;"正常"),0,ROUND($T1249/$Q1249*$R1249,0)-ROUND(($T1249-$P1249)/$Q1249*$R1249,0)))</f>
        <v/>
      </c>
      <c r="V1249" s="26">
        <f>IF($G1249="","",ROUND($P1249+$U1249,0))</f>
        <v/>
      </c>
      <c r="W1249" s="26">
        <f>IF($G1249="","",IF(N($K1249)=0,0,ROUND($V1249/$K1249,2)))</f>
        <v/>
      </c>
      <c r="X1249" s="17" t="n"/>
      <c r="Y1249" s="17" t="n"/>
      <c r="Z1249" s="17" t="n"/>
      <c r="AA1249" s="17" t="n"/>
      <c r="AB1249" s="17" t="n"/>
      <c r="AC1249" s="24">
        <f>IF($G1249="","",IF($H1249="※编码不在物料档案里","※物料编码不在档案里",IF(N($K1249)&lt;=0,"※入库数量要大于 0",IF(AND($C1249&lt;&gt;"",$C1249&lt;=结账锁),"※日期早于已结账截止日，不能再录",IF(AND($L1249=0,$X1249="正常"),"※没填单价，价格状态请选「待补价」",IF(AND($S1249&gt;0,$R1249&gt;0),"△本批有 "&amp;$S1249&amp;" 行没单价，整批运费先挂账没摊",IF(AND($B1249&lt;&gt;"",COUNTIF($B$4:$B$2503,$B1249)&gt;1),"※入库单号重复","")))))))</f>
        <v/>
      </c>
    </row>
    <row r="1250">
      <c r="A1250" s="24">
        <f>IF($G1250="","",COUNTA($G$4:$G1250))</f>
        <v/>
      </c>
      <c r="B1250" s="17" t="n"/>
      <c r="C1250" s="30" t="n"/>
      <c r="D1250" s="17" t="n"/>
      <c r="E1250" s="17" t="n"/>
      <c r="F1250" s="17" t="n"/>
      <c r="G1250" s="17" t="n"/>
      <c r="H1250" s="24">
        <f>IF($G1250="","",IFERROR(VLOOKUP($G1250,物料档案!$A$4:$P$1203,3,0),"※编码不在物料档案里"))</f>
        <v/>
      </c>
      <c r="I1250" s="24">
        <f>IF($G1250="","",IFERROR(VLOOKUP($G1250,物料档案!$A$4:$P$1203,4,0),"※编码不在物料档案里"))</f>
        <v/>
      </c>
      <c r="J1250" s="24">
        <f>IF($G1250="","",IFERROR(VLOOKUP($G1250,物料档案!$A$4:$P$1203,5,0),"※编码不在物料档案里"))</f>
        <v/>
      </c>
      <c r="K1250" s="23" t="n"/>
      <c r="L1250" s="31" t="n"/>
      <c r="M1250" s="24">
        <f>IF($G1250="","",IF($D1250="A国内","CNY","TZS"))</f>
        <v/>
      </c>
      <c r="N1250" s="28">
        <f>IF($G1250="","",IF($D1250="A国内",汇率,1))</f>
        <v/>
      </c>
      <c r="O1250" s="25">
        <f>IF($G1250="","",ROUND(N($K1250)*N($L1250),2))</f>
        <v/>
      </c>
      <c r="P1250" s="26">
        <f>IF($G1250="","",ROUND($O1250*$N1250,0))</f>
        <v/>
      </c>
      <c r="Q1250" s="26">
        <f>IF($G1250="","",SUMIFS($P$4:$P$2503,$E$4:$E$2503,$E1250,$Z$4:$Z$2503,"正常"))</f>
        <v/>
      </c>
      <c r="R1250" s="26">
        <f>IF($G1250="","",SUMIFS(费用台账!$I$4:$I$503,费用台账!$C$4:$C$503,$E1250,费用台账!$J$4:$J$503,"是",费用台账!$K$4:$K$503,"正常"))</f>
        <v/>
      </c>
      <c r="S1250" s="28">
        <f>IF($G1250="","",COUNTIFS($E$4:$E$2503,$E1250,$Z$4:$Z$2503,"正常",$Y$4:$Y$2503,"待补价"))</f>
        <v/>
      </c>
      <c r="T1250" s="26">
        <f>IF($G1250="","",SUMIFS($P$4:$P$2503,$E$4:$E$2503,$E1250,$Z$4:$Z$2503,"正常",$A$4:$A$2503,"&lt;="&amp;$A1250))</f>
        <v/>
      </c>
      <c r="U1250" s="26">
        <f>IF($G1250="","",IF(OR($S1250&gt;0,$Q1250=0,$R1250=0,$Z1250&lt;&gt;"正常"),0,ROUND($T1250/$Q1250*$R1250,0)-ROUND(($T1250-$P1250)/$Q1250*$R1250,0)))</f>
        <v/>
      </c>
      <c r="V1250" s="26">
        <f>IF($G1250="","",ROUND($P1250+$U1250,0))</f>
        <v/>
      </c>
      <c r="W1250" s="26">
        <f>IF($G1250="","",IF(N($K1250)=0,0,ROUND($V1250/$K1250,2)))</f>
        <v/>
      </c>
      <c r="X1250" s="17" t="n"/>
      <c r="Y1250" s="17" t="n"/>
      <c r="Z1250" s="17" t="n"/>
      <c r="AA1250" s="17" t="n"/>
      <c r="AB1250" s="17" t="n"/>
      <c r="AC1250" s="24">
        <f>IF($G1250="","",IF($H1250="※编码不在物料档案里","※物料编码不在档案里",IF(N($K1250)&lt;=0,"※入库数量要大于 0",IF(AND($C1250&lt;&gt;"",$C1250&lt;=结账锁),"※日期早于已结账截止日，不能再录",IF(AND($L1250=0,$X1250="正常"),"※没填单价，价格状态请选「待补价」",IF(AND($S1250&gt;0,$R1250&gt;0),"△本批有 "&amp;$S1250&amp;" 行没单价，整批运费先挂账没摊",IF(AND($B1250&lt;&gt;"",COUNTIF($B$4:$B$2503,$B1250)&gt;1),"※入库单号重复","")))))))</f>
        <v/>
      </c>
    </row>
    <row r="1251">
      <c r="A1251" s="24">
        <f>IF($G1251="","",COUNTA($G$4:$G1251))</f>
        <v/>
      </c>
      <c r="B1251" s="17" t="n"/>
      <c r="C1251" s="30" t="n"/>
      <c r="D1251" s="17" t="n"/>
      <c r="E1251" s="17" t="n"/>
      <c r="F1251" s="17" t="n"/>
      <c r="G1251" s="17" t="n"/>
      <c r="H1251" s="24">
        <f>IF($G1251="","",IFERROR(VLOOKUP($G1251,物料档案!$A$4:$P$1203,3,0),"※编码不在物料档案里"))</f>
        <v/>
      </c>
      <c r="I1251" s="24">
        <f>IF($G1251="","",IFERROR(VLOOKUP($G1251,物料档案!$A$4:$P$1203,4,0),"※编码不在物料档案里"))</f>
        <v/>
      </c>
      <c r="J1251" s="24">
        <f>IF($G1251="","",IFERROR(VLOOKUP($G1251,物料档案!$A$4:$P$1203,5,0),"※编码不在物料档案里"))</f>
        <v/>
      </c>
      <c r="K1251" s="23" t="n"/>
      <c r="L1251" s="31" t="n"/>
      <c r="M1251" s="24">
        <f>IF($G1251="","",IF($D1251="A国内","CNY","TZS"))</f>
        <v/>
      </c>
      <c r="N1251" s="28">
        <f>IF($G1251="","",IF($D1251="A国内",汇率,1))</f>
        <v/>
      </c>
      <c r="O1251" s="25">
        <f>IF($G1251="","",ROUND(N($K1251)*N($L1251),2))</f>
        <v/>
      </c>
      <c r="P1251" s="26">
        <f>IF($G1251="","",ROUND($O1251*$N1251,0))</f>
        <v/>
      </c>
      <c r="Q1251" s="26">
        <f>IF($G1251="","",SUMIFS($P$4:$P$2503,$E$4:$E$2503,$E1251,$Z$4:$Z$2503,"正常"))</f>
        <v/>
      </c>
      <c r="R1251" s="26">
        <f>IF($G1251="","",SUMIFS(费用台账!$I$4:$I$503,费用台账!$C$4:$C$503,$E1251,费用台账!$J$4:$J$503,"是",费用台账!$K$4:$K$503,"正常"))</f>
        <v/>
      </c>
      <c r="S1251" s="28">
        <f>IF($G1251="","",COUNTIFS($E$4:$E$2503,$E1251,$Z$4:$Z$2503,"正常",$Y$4:$Y$2503,"待补价"))</f>
        <v/>
      </c>
      <c r="T1251" s="26">
        <f>IF($G1251="","",SUMIFS($P$4:$P$2503,$E$4:$E$2503,$E1251,$Z$4:$Z$2503,"正常",$A$4:$A$2503,"&lt;="&amp;$A1251))</f>
        <v/>
      </c>
      <c r="U1251" s="26">
        <f>IF($G1251="","",IF(OR($S1251&gt;0,$Q1251=0,$R1251=0,$Z1251&lt;&gt;"正常"),0,ROUND($T1251/$Q1251*$R1251,0)-ROUND(($T1251-$P1251)/$Q1251*$R1251,0)))</f>
        <v/>
      </c>
      <c r="V1251" s="26">
        <f>IF($G1251="","",ROUND($P1251+$U1251,0))</f>
        <v/>
      </c>
      <c r="W1251" s="26">
        <f>IF($G1251="","",IF(N($K1251)=0,0,ROUND($V1251/$K1251,2)))</f>
        <v/>
      </c>
      <c r="X1251" s="17" t="n"/>
      <c r="Y1251" s="17" t="n"/>
      <c r="Z1251" s="17" t="n"/>
      <c r="AA1251" s="17" t="n"/>
      <c r="AB1251" s="17" t="n"/>
      <c r="AC1251" s="24">
        <f>IF($G1251="","",IF($H1251="※编码不在物料档案里","※物料编码不在档案里",IF(N($K1251)&lt;=0,"※入库数量要大于 0",IF(AND($C1251&lt;&gt;"",$C1251&lt;=结账锁),"※日期早于已结账截止日，不能再录",IF(AND($L1251=0,$X1251="正常"),"※没填单价，价格状态请选「待补价」",IF(AND($S1251&gt;0,$R1251&gt;0),"△本批有 "&amp;$S1251&amp;" 行没单价，整批运费先挂账没摊",IF(AND($B1251&lt;&gt;"",COUNTIF($B$4:$B$2503,$B1251)&gt;1),"※入库单号重复","")))))))</f>
        <v/>
      </c>
    </row>
    <row r="1252">
      <c r="A1252" s="24">
        <f>IF($G1252="","",COUNTA($G$4:$G1252))</f>
        <v/>
      </c>
      <c r="B1252" s="17" t="n"/>
      <c r="C1252" s="30" t="n"/>
      <c r="D1252" s="17" t="n"/>
      <c r="E1252" s="17" t="n"/>
      <c r="F1252" s="17" t="n"/>
      <c r="G1252" s="17" t="n"/>
      <c r="H1252" s="24">
        <f>IF($G1252="","",IFERROR(VLOOKUP($G1252,物料档案!$A$4:$P$1203,3,0),"※编码不在物料档案里"))</f>
        <v/>
      </c>
      <c r="I1252" s="24">
        <f>IF($G1252="","",IFERROR(VLOOKUP($G1252,物料档案!$A$4:$P$1203,4,0),"※编码不在物料档案里"))</f>
        <v/>
      </c>
      <c r="J1252" s="24">
        <f>IF($G1252="","",IFERROR(VLOOKUP($G1252,物料档案!$A$4:$P$1203,5,0),"※编码不在物料档案里"))</f>
        <v/>
      </c>
      <c r="K1252" s="23" t="n"/>
      <c r="L1252" s="31" t="n"/>
      <c r="M1252" s="24">
        <f>IF($G1252="","",IF($D1252="A国内","CNY","TZS"))</f>
        <v/>
      </c>
      <c r="N1252" s="28">
        <f>IF($G1252="","",IF($D1252="A国内",汇率,1))</f>
        <v/>
      </c>
      <c r="O1252" s="25">
        <f>IF($G1252="","",ROUND(N($K1252)*N($L1252),2))</f>
        <v/>
      </c>
      <c r="P1252" s="26">
        <f>IF($G1252="","",ROUND($O1252*$N1252,0))</f>
        <v/>
      </c>
      <c r="Q1252" s="26">
        <f>IF($G1252="","",SUMIFS($P$4:$P$2503,$E$4:$E$2503,$E1252,$Z$4:$Z$2503,"正常"))</f>
        <v/>
      </c>
      <c r="R1252" s="26">
        <f>IF($G1252="","",SUMIFS(费用台账!$I$4:$I$503,费用台账!$C$4:$C$503,$E1252,费用台账!$J$4:$J$503,"是",费用台账!$K$4:$K$503,"正常"))</f>
        <v/>
      </c>
      <c r="S1252" s="28">
        <f>IF($G1252="","",COUNTIFS($E$4:$E$2503,$E1252,$Z$4:$Z$2503,"正常",$Y$4:$Y$2503,"待补价"))</f>
        <v/>
      </c>
      <c r="T1252" s="26">
        <f>IF($G1252="","",SUMIFS($P$4:$P$2503,$E$4:$E$2503,$E1252,$Z$4:$Z$2503,"正常",$A$4:$A$2503,"&lt;="&amp;$A1252))</f>
        <v/>
      </c>
      <c r="U1252" s="26">
        <f>IF($G1252="","",IF(OR($S1252&gt;0,$Q1252=0,$R1252=0,$Z1252&lt;&gt;"正常"),0,ROUND($T1252/$Q1252*$R1252,0)-ROUND(($T1252-$P1252)/$Q1252*$R1252,0)))</f>
        <v/>
      </c>
      <c r="V1252" s="26">
        <f>IF($G1252="","",ROUND($P1252+$U1252,0))</f>
        <v/>
      </c>
      <c r="W1252" s="26">
        <f>IF($G1252="","",IF(N($K1252)=0,0,ROUND($V1252/$K1252,2)))</f>
        <v/>
      </c>
      <c r="X1252" s="17" t="n"/>
      <c r="Y1252" s="17" t="n"/>
      <c r="Z1252" s="17" t="n"/>
      <c r="AA1252" s="17" t="n"/>
      <c r="AB1252" s="17" t="n"/>
      <c r="AC1252" s="24">
        <f>IF($G1252="","",IF($H1252="※编码不在物料档案里","※物料编码不在档案里",IF(N($K1252)&lt;=0,"※入库数量要大于 0",IF(AND($C1252&lt;&gt;"",$C1252&lt;=结账锁),"※日期早于已结账截止日，不能再录",IF(AND($L1252=0,$X1252="正常"),"※没填单价，价格状态请选「待补价」",IF(AND($S1252&gt;0,$R1252&gt;0),"△本批有 "&amp;$S1252&amp;" 行没单价，整批运费先挂账没摊",IF(AND($B1252&lt;&gt;"",COUNTIF($B$4:$B$2503,$B1252)&gt;1),"※入库单号重复","")))))))</f>
        <v/>
      </c>
    </row>
    <row r="1253">
      <c r="A1253" s="24">
        <f>IF($G1253="","",COUNTA($G$4:$G1253))</f>
        <v/>
      </c>
      <c r="B1253" s="17" t="n"/>
      <c r="C1253" s="30" t="n"/>
      <c r="D1253" s="17" t="n"/>
      <c r="E1253" s="17" t="n"/>
      <c r="F1253" s="17" t="n"/>
      <c r="G1253" s="17" t="n"/>
      <c r="H1253" s="24">
        <f>IF($G1253="","",IFERROR(VLOOKUP($G1253,物料档案!$A$4:$P$1203,3,0),"※编码不在物料档案里"))</f>
        <v/>
      </c>
      <c r="I1253" s="24">
        <f>IF($G1253="","",IFERROR(VLOOKUP($G1253,物料档案!$A$4:$P$1203,4,0),"※编码不在物料档案里"))</f>
        <v/>
      </c>
      <c r="J1253" s="24">
        <f>IF($G1253="","",IFERROR(VLOOKUP($G1253,物料档案!$A$4:$P$1203,5,0),"※编码不在物料档案里"))</f>
        <v/>
      </c>
      <c r="K1253" s="23" t="n"/>
      <c r="L1253" s="31" t="n"/>
      <c r="M1253" s="24">
        <f>IF($G1253="","",IF($D1253="A国内","CNY","TZS"))</f>
        <v/>
      </c>
      <c r="N1253" s="28">
        <f>IF($G1253="","",IF($D1253="A国内",汇率,1))</f>
        <v/>
      </c>
      <c r="O1253" s="25">
        <f>IF($G1253="","",ROUND(N($K1253)*N($L1253),2))</f>
        <v/>
      </c>
      <c r="P1253" s="26">
        <f>IF($G1253="","",ROUND($O1253*$N1253,0))</f>
        <v/>
      </c>
      <c r="Q1253" s="26">
        <f>IF($G1253="","",SUMIFS($P$4:$P$2503,$E$4:$E$2503,$E1253,$Z$4:$Z$2503,"正常"))</f>
        <v/>
      </c>
      <c r="R1253" s="26">
        <f>IF($G1253="","",SUMIFS(费用台账!$I$4:$I$503,费用台账!$C$4:$C$503,$E1253,费用台账!$J$4:$J$503,"是",费用台账!$K$4:$K$503,"正常"))</f>
        <v/>
      </c>
      <c r="S1253" s="28">
        <f>IF($G1253="","",COUNTIFS($E$4:$E$2503,$E1253,$Z$4:$Z$2503,"正常",$Y$4:$Y$2503,"待补价"))</f>
        <v/>
      </c>
      <c r="T1253" s="26">
        <f>IF($G1253="","",SUMIFS($P$4:$P$2503,$E$4:$E$2503,$E1253,$Z$4:$Z$2503,"正常",$A$4:$A$2503,"&lt;="&amp;$A1253))</f>
        <v/>
      </c>
      <c r="U1253" s="26">
        <f>IF($G1253="","",IF(OR($S1253&gt;0,$Q1253=0,$R1253=0,$Z1253&lt;&gt;"正常"),0,ROUND($T1253/$Q1253*$R1253,0)-ROUND(($T1253-$P1253)/$Q1253*$R1253,0)))</f>
        <v/>
      </c>
      <c r="V1253" s="26">
        <f>IF($G1253="","",ROUND($P1253+$U1253,0))</f>
        <v/>
      </c>
      <c r="W1253" s="26">
        <f>IF($G1253="","",IF(N($K1253)=0,0,ROUND($V1253/$K1253,2)))</f>
        <v/>
      </c>
      <c r="X1253" s="17" t="n"/>
      <c r="Y1253" s="17" t="n"/>
      <c r="Z1253" s="17" t="n"/>
      <c r="AA1253" s="17" t="n"/>
      <c r="AB1253" s="17" t="n"/>
      <c r="AC1253" s="24">
        <f>IF($G1253="","",IF($H1253="※编码不在物料档案里","※物料编码不在档案里",IF(N($K1253)&lt;=0,"※入库数量要大于 0",IF(AND($C1253&lt;&gt;"",$C1253&lt;=结账锁),"※日期早于已结账截止日，不能再录",IF(AND($L1253=0,$X1253="正常"),"※没填单价，价格状态请选「待补价」",IF(AND($S1253&gt;0,$R1253&gt;0),"△本批有 "&amp;$S1253&amp;" 行没单价，整批运费先挂账没摊",IF(AND($B1253&lt;&gt;"",COUNTIF($B$4:$B$2503,$B1253)&gt;1),"※入库单号重复","")))))))</f>
        <v/>
      </c>
    </row>
    <row r="1254">
      <c r="A1254" s="24">
        <f>IF($G1254="","",COUNTA($G$4:$G1254))</f>
        <v/>
      </c>
      <c r="B1254" s="17" t="n"/>
      <c r="C1254" s="30" t="n"/>
      <c r="D1254" s="17" t="n"/>
      <c r="E1254" s="17" t="n"/>
      <c r="F1254" s="17" t="n"/>
      <c r="G1254" s="17" t="n"/>
      <c r="H1254" s="24">
        <f>IF($G1254="","",IFERROR(VLOOKUP($G1254,物料档案!$A$4:$P$1203,3,0),"※编码不在物料档案里"))</f>
        <v/>
      </c>
      <c r="I1254" s="24">
        <f>IF($G1254="","",IFERROR(VLOOKUP($G1254,物料档案!$A$4:$P$1203,4,0),"※编码不在物料档案里"))</f>
        <v/>
      </c>
      <c r="J1254" s="24">
        <f>IF($G1254="","",IFERROR(VLOOKUP($G1254,物料档案!$A$4:$P$1203,5,0),"※编码不在物料档案里"))</f>
        <v/>
      </c>
      <c r="K1254" s="23" t="n"/>
      <c r="L1254" s="31" t="n"/>
      <c r="M1254" s="24">
        <f>IF($G1254="","",IF($D1254="A国内","CNY","TZS"))</f>
        <v/>
      </c>
      <c r="N1254" s="28">
        <f>IF($G1254="","",IF($D1254="A国内",汇率,1))</f>
        <v/>
      </c>
      <c r="O1254" s="25">
        <f>IF($G1254="","",ROUND(N($K1254)*N($L1254),2))</f>
        <v/>
      </c>
      <c r="P1254" s="26">
        <f>IF($G1254="","",ROUND($O1254*$N1254,0))</f>
        <v/>
      </c>
      <c r="Q1254" s="26">
        <f>IF($G1254="","",SUMIFS($P$4:$P$2503,$E$4:$E$2503,$E1254,$Z$4:$Z$2503,"正常"))</f>
        <v/>
      </c>
      <c r="R1254" s="26">
        <f>IF($G1254="","",SUMIFS(费用台账!$I$4:$I$503,费用台账!$C$4:$C$503,$E1254,费用台账!$J$4:$J$503,"是",费用台账!$K$4:$K$503,"正常"))</f>
        <v/>
      </c>
      <c r="S1254" s="28">
        <f>IF($G1254="","",COUNTIFS($E$4:$E$2503,$E1254,$Z$4:$Z$2503,"正常",$Y$4:$Y$2503,"待补价"))</f>
        <v/>
      </c>
      <c r="T1254" s="26">
        <f>IF($G1254="","",SUMIFS($P$4:$P$2503,$E$4:$E$2503,$E1254,$Z$4:$Z$2503,"正常",$A$4:$A$2503,"&lt;="&amp;$A1254))</f>
        <v/>
      </c>
      <c r="U1254" s="26">
        <f>IF($G1254="","",IF(OR($S1254&gt;0,$Q1254=0,$R1254=0,$Z1254&lt;&gt;"正常"),0,ROUND($T1254/$Q1254*$R1254,0)-ROUND(($T1254-$P1254)/$Q1254*$R1254,0)))</f>
        <v/>
      </c>
      <c r="V1254" s="26">
        <f>IF($G1254="","",ROUND($P1254+$U1254,0))</f>
        <v/>
      </c>
      <c r="W1254" s="26">
        <f>IF($G1254="","",IF(N($K1254)=0,0,ROUND($V1254/$K1254,2)))</f>
        <v/>
      </c>
      <c r="X1254" s="17" t="n"/>
      <c r="Y1254" s="17" t="n"/>
      <c r="Z1254" s="17" t="n"/>
      <c r="AA1254" s="17" t="n"/>
      <c r="AB1254" s="17" t="n"/>
      <c r="AC1254" s="24">
        <f>IF($G1254="","",IF($H1254="※编码不在物料档案里","※物料编码不在档案里",IF(N($K1254)&lt;=0,"※入库数量要大于 0",IF(AND($C1254&lt;&gt;"",$C1254&lt;=结账锁),"※日期早于已结账截止日，不能再录",IF(AND($L1254=0,$X1254="正常"),"※没填单价，价格状态请选「待补价」",IF(AND($S1254&gt;0,$R1254&gt;0),"△本批有 "&amp;$S1254&amp;" 行没单价，整批运费先挂账没摊",IF(AND($B1254&lt;&gt;"",COUNTIF($B$4:$B$2503,$B1254)&gt;1),"※入库单号重复","")))))))</f>
        <v/>
      </c>
    </row>
    <row r="1255">
      <c r="A1255" s="24">
        <f>IF($G1255="","",COUNTA($G$4:$G1255))</f>
        <v/>
      </c>
      <c r="B1255" s="17" t="n"/>
      <c r="C1255" s="30" t="n"/>
      <c r="D1255" s="17" t="n"/>
      <c r="E1255" s="17" t="n"/>
      <c r="F1255" s="17" t="n"/>
      <c r="G1255" s="17" t="n"/>
      <c r="H1255" s="24">
        <f>IF($G1255="","",IFERROR(VLOOKUP($G1255,物料档案!$A$4:$P$1203,3,0),"※编码不在物料档案里"))</f>
        <v/>
      </c>
      <c r="I1255" s="24">
        <f>IF($G1255="","",IFERROR(VLOOKUP($G1255,物料档案!$A$4:$P$1203,4,0),"※编码不在物料档案里"))</f>
        <v/>
      </c>
      <c r="J1255" s="24">
        <f>IF($G1255="","",IFERROR(VLOOKUP($G1255,物料档案!$A$4:$P$1203,5,0),"※编码不在物料档案里"))</f>
        <v/>
      </c>
      <c r="K1255" s="23" t="n"/>
      <c r="L1255" s="31" t="n"/>
      <c r="M1255" s="24">
        <f>IF($G1255="","",IF($D1255="A国内","CNY","TZS"))</f>
        <v/>
      </c>
      <c r="N1255" s="28">
        <f>IF($G1255="","",IF($D1255="A国内",汇率,1))</f>
        <v/>
      </c>
      <c r="O1255" s="25">
        <f>IF($G1255="","",ROUND(N($K1255)*N($L1255),2))</f>
        <v/>
      </c>
      <c r="P1255" s="26">
        <f>IF($G1255="","",ROUND($O1255*$N1255,0))</f>
        <v/>
      </c>
      <c r="Q1255" s="26">
        <f>IF($G1255="","",SUMIFS($P$4:$P$2503,$E$4:$E$2503,$E1255,$Z$4:$Z$2503,"正常"))</f>
        <v/>
      </c>
      <c r="R1255" s="26">
        <f>IF($G1255="","",SUMIFS(费用台账!$I$4:$I$503,费用台账!$C$4:$C$503,$E1255,费用台账!$J$4:$J$503,"是",费用台账!$K$4:$K$503,"正常"))</f>
        <v/>
      </c>
      <c r="S1255" s="28">
        <f>IF($G1255="","",COUNTIFS($E$4:$E$2503,$E1255,$Z$4:$Z$2503,"正常",$Y$4:$Y$2503,"待补价"))</f>
        <v/>
      </c>
      <c r="T1255" s="26">
        <f>IF($G1255="","",SUMIFS($P$4:$P$2503,$E$4:$E$2503,$E1255,$Z$4:$Z$2503,"正常",$A$4:$A$2503,"&lt;="&amp;$A1255))</f>
        <v/>
      </c>
      <c r="U1255" s="26">
        <f>IF($G1255="","",IF(OR($S1255&gt;0,$Q1255=0,$R1255=0,$Z1255&lt;&gt;"正常"),0,ROUND($T1255/$Q1255*$R1255,0)-ROUND(($T1255-$P1255)/$Q1255*$R1255,0)))</f>
        <v/>
      </c>
      <c r="V1255" s="26">
        <f>IF($G1255="","",ROUND($P1255+$U1255,0))</f>
        <v/>
      </c>
      <c r="W1255" s="26">
        <f>IF($G1255="","",IF(N($K1255)=0,0,ROUND($V1255/$K1255,2)))</f>
        <v/>
      </c>
      <c r="X1255" s="17" t="n"/>
      <c r="Y1255" s="17" t="n"/>
      <c r="Z1255" s="17" t="n"/>
      <c r="AA1255" s="17" t="n"/>
      <c r="AB1255" s="17" t="n"/>
      <c r="AC1255" s="24">
        <f>IF($G1255="","",IF($H1255="※编码不在物料档案里","※物料编码不在档案里",IF(N($K1255)&lt;=0,"※入库数量要大于 0",IF(AND($C1255&lt;&gt;"",$C1255&lt;=结账锁),"※日期早于已结账截止日，不能再录",IF(AND($L1255=0,$X1255="正常"),"※没填单价，价格状态请选「待补价」",IF(AND($S1255&gt;0,$R1255&gt;0),"△本批有 "&amp;$S1255&amp;" 行没单价，整批运费先挂账没摊",IF(AND($B1255&lt;&gt;"",COUNTIF($B$4:$B$2503,$B1255)&gt;1),"※入库单号重复","")))))))</f>
        <v/>
      </c>
    </row>
    <row r="1256">
      <c r="A1256" s="24">
        <f>IF($G1256="","",COUNTA($G$4:$G1256))</f>
        <v/>
      </c>
      <c r="B1256" s="17" t="n"/>
      <c r="C1256" s="30" t="n"/>
      <c r="D1256" s="17" t="n"/>
      <c r="E1256" s="17" t="n"/>
      <c r="F1256" s="17" t="n"/>
      <c r="G1256" s="17" t="n"/>
      <c r="H1256" s="24">
        <f>IF($G1256="","",IFERROR(VLOOKUP($G1256,物料档案!$A$4:$P$1203,3,0),"※编码不在物料档案里"))</f>
        <v/>
      </c>
      <c r="I1256" s="24">
        <f>IF($G1256="","",IFERROR(VLOOKUP($G1256,物料档案!$A$4:$P$1203,4,0),"※编码不在物料档案里"))</f>
        <v/>
      </c>
      <c r="J1256" s="24">
        <f>IF($G1256="","",IFERROR(VLOOKUP($G1256,物料档案!$A$4:$P$1203,5,0),"※编码不在物料档案里"))</f>
        <v/>
      </c>
      <c r="K1256" s="23" t="n"/>
      <c r="L1256" s="31" t="n"/>
      <c r="M1256" s="24">
        <f>IF($G1256="","",IF($D1256="A国内","CNY","TZS"))</f>
        <v/>
      </c>
      <c r="N1256" s="28">
        <f>IF($G1256="","",IF($D1256="A国内",汇率,1))</f>
        <v/>
      </c>
      <c r="O1256" s="25">
        <f>IF($G1256="","",ROUND(N($K1256)*N($L1256),2))</f>
        <v/>
      </c>
      <c r="P1256" s="26">
        <f>IF($G1256="","",ROUND($O1256*$N1256,0))</f>
        <v/>
      </c>
      <c r="Q1256" s="26">
        <f>IF($G1256="","",SUMIFS($P$4:$P$2503,$E$4:$E$2503,$E1256,$Z$4:$Z$2503,"正常"))</f>
        <v/>
      </c>
      <c r="R1256" s="26">
        <f>IF($G1256="","",SUMIFS(费用台账!$I$4:$I$503,费用台账!$C$4:$C$503,$E1256,费用台账!$J$4:$J$503,"是",费用台账!$K$4:$K$503,"正常"))</f>
        <v/>
      </c>
      <c r="S1256" s="28">
        <f>IF($G1256="","",COUNTIFS($E$4:$E$2503,$E1256,$Z$4:$Z$2503,"正常",$Y$4:$Y$2503,"待补价"))</f>
        <v/>
      </c>
      <c r="T1256" s="26">
        <f>IF($G1256="","",SUMIFS($P$4:$P$2503,$E$4:$E$2503,$E1256,$Z$4:$Z$2503,"正常",$A$4:$A$2503,"&lt;="&amp;$A1256))</f>
        <v/>
      </c>
      <c r="U1256" s="26">
        <f>IF($G1256="","",IF(OR($S1256&gt;0,$Q1256=0,$R1256=0,$Z1256&lt;&gt;"正常"),0,ROUND($T1256/$Q1256*$R1256,0)-ROUND(($T1256-$P1256)/$Q1256*$R1256,0)))</f>
        <v/>
      </c>
      <c r="V1256" s="26">
        <f>IF($G1256="","",ROUND($P1256+$U1256,0))</f>
        <v/>
      </c>
      <c r="W1256" s="26">
        <f>IF($G1256="","",IF(N($K1256)=0,0,ROUND($V1256/$K1256,2)))</f>
        <v/>
      </c>
      <c r="X1256" s="17" t="n"/>
      <c r="Y1256" s="17" t="n"/>
      <c r="Z1256" s="17" t="n"/>
      <c r="AA1256" s="17" t="n"/>
      <c r="AB1256" s="17" t="n"/>
      <c r="AC1256" s="24">
        <f>IF($G1256="","",IF($H1256="※编码不在物料档案里","※物料编码不在档案里",IF(N($K1256)&lt;=0,"※入库数量要大于 0",IF(AND($C1256&lt;&gt;"",$C1256&lt;=结账锁),"※日期早于已结账截止日，不能再录",IF(AND($L1256=0,$X1256="正常"),"※没填单价，价格状态请选「待补价」",IF(AND($S1256&gt;0,$R1256&gt;0),"△本批有 "&amp;$S1256&amp;" 行没单价，整批运费先挂账没摊",IF(AND($B1256&lt;&gt;"",COUNTIF($B$4:$B$2503,$B1256)&gt;1),"※入库单号重复","")))))))</f>
        <v/>
      </c>
    </row>
    <row r="1257">
      <c r="A1257" s="24">
        <f>IF($G1257="","",COUNTA($G$4:$G1257))</f>
        <v/>
      </c>
      <c r="B1257" s="17" t="n"/>
      <c r="C1257" s="30" t="n"/>
      <c r="D1257" s="17" t="n"/>
      <c r="E1257" s="17" t="n"/>
      <c r="F1257" s="17" t="n"/>
      <c r="G1257" s="17" t="n"/>
      <c r="H1257" s="24">
        <f>IF($G1257="","",IFERROR(VLOOKUP($G1257,物料档案!$A$4:$P$1203,3,0),"※编码不在物料档案里"))</f>
        <v/>
      </c>
      <c r="I1257" s="24">
        <f>IF($G1257="","",IFERROR(VLOOKUP($G1257,物料档案!$A$4:$P$1203,4,0),"※编码不在物料档案里"))</f>
        <v/>
      </c>
      <c r="J1257" s="24">
        <f>IF($G1257="","",IFERROR(VLOOKUP($G1257,物料档案!$A$4:$P$1203,5,0),"※编码不在物料档案里"))</f>
        <v/>
      </c>
      <c r="K1257" s="23" t="n"/>
      <c r="L1257" s="31" t="n"/>
      <c r="M1257" s="24">
        <f>IF($G1257="","",IF($D1257="A国内","CNY","TZS"))</f>
        <v/>
      </c>
      <c r="N1257" s="28">
        <f>IF($G1257="","",IF($D1257="A国内",汇率,1))</f>
        <v/>
      </c>
      <c r="O1257" s="25">
        <f>IF($G1257="","",ROUND(N($K1257)*N($L1257),2))</f>
        <v/>
      </c>
      <c r="P1257" s="26">
        <f>IF($G1257="","",ROUND($O1257*$N1257,0))</f>
        <v/>
      </c>
      <c r="Q1257" s="26">
        <f>IF($G1257="","",SUMIFS($P$4:$P$2503,$E$4:$E$2503,$E1257,$Z$4:$Z$2503,"正常"))</f>
        <v/>
      </c>
      <c r="R1257" s="26">
        <f>IF($G1257="","",SUMIFS(费用台账!$I$4:$I$503,费用台账!$C$4:$C$503,$E1257,费用台账!$J$4:$J$503,"是",费用台账!$K$4:$K$503,"正常"))</f>
        <v/>
      </c>
      <c r="S1257" s="28">
        <f>IF($G1257="","",COUNTIFS($E$4:$E$2503,$E1257,$Z$4:$Z$2503,"正常",$Y$4:$Y$2503,"待补价"))</f>
        <v/>
      </c>
      <c r="T1257" s="26">
        <f>IF($G1257="","",SUMIFS($P$4:$P$2503,$E$4:$E$2503,$E1257,$Z$4:$Z$2503,"正常",$A$4:$A$2503,"&lt;="&amp;$A1257))</f>
        <v/>
      </c>
      <c r="U1257" s="26">
        <f>IF($G1257="","",IF(OR($S1257&gt;0,$Q1257=0,$R1257=0,$Z1257&lt;&gt;"正常"),0,ROUND($T1257/$Q1257*$R1257,0)-ROUND(($T1257-$P1257)/$Q1257*$R1257,0)))</f>
        <v/>
      </c>
      <c r="V1257" s="26">
        <f>IF($G1257="","",ROUND($P1257+$U1257,0))</f>
        <v/>
      </c>
      <c r="W1257" s="26">
        <f>IF($G1257="","",IF(N($K1257)=0,0,ROUND($V1257/$K1257,2)))</f>
        <v/>
      </c>
      <c r="X1257" s="17" t="n"/>
      <c r="Y1257" s="17" t="n"/>
      <c r="Z1257" s="17" t="n"/>
      <c r="AA1257" s="17" t="n"/>
      <c r="AB1257" s="17" t="n"/>
      <c r="AC1257" s="24">
        <f>IF($G1257="","",IF($H1257="※编码不在物料档案里","※物料编码不在档案里",IF(N($K1257)&lt;=0,"※入库数量要大于 0",IF(AND($C1257&lt;&gt;"",$C1257&lt;=结账锁),"※日期早于已结账截止日，不能再录",IF(AND($L1257=0,$X1257="正常"),"※没填单价，价格状态请选「待补价」",IF(AND($S1257&gt;0,$R1257&gt;0),"△本批有 "&amp;$S1257&amp;" 行没单价，整批运费先挂账没摊",IF(AND($B1257&lt;&gt;"",COUNTIF($B$4:$B$2503,$B1257)&gt;1),"※入库单号重复","")))))))</f>
        <v/>
      </c>
    </row>
    <row r="1258">
      <c r="A1258" s="24">
        <f>IF($G1258="","",COUNTA($G$4:$G1258))</f>
        <v/>
      </c>
      <c r="B1258" s="17" t="n"/>
      <c r="C1258" s="30" t="n"/>
      <c r="D1258" s="17" t="n"/>
      <c r="E1258" s="17" t="n"/>
      <c r="F1258" s="17" t="n"/>
      <c r="G1258" s="17" t="n"/>
      <c r="H1258" s="24">
        <f>IF($G1258="","",IFERROR(VLOOKUP($G1258,物料档案!$A$4:$P$1203,3,0),"※编码不在物料档案里"))</f>
        <v/>
      </c>
      <c r="I1258" s="24">
        <f>IF($G1258="","",IFERROR(VLOOKUP($G1258,物料档案!$A$4:$P$1203,4,0),"※编码不在物料档案里"))</f>
        <v/>
      </c>
      <c r="J1258" s="24">
        <f>IF($G1258="","",IFERROR(VLOOKUP($G1258,物料档案!$A$4:$P$1203,5,0),"※编码不在物料档案里"))</f>
        <v/>
      </c>
      <c r="K1258" s="23" t="n"/>
      <c r="L1258" s="31" t="n"/>
      <c r="M1258" s="24">
        <f>IF($G1258="","",IF($D1258="A国内","CNY","TZS"))</f>
        <v/>
      </c>
      <c r="N1258" s="28">
        <f>IF($G1258="","",IF($D1258="A国内",汇率,1))</f>
        <v/>
      </c>
      <c r="O1258" s="25">
        <f>IF($G1258="","",ROUND(N($K1258)*N($L1258),2))</f>
        <v/>
      </c>
      <c r="P1258" s="26">
        <f>IF($G1258="","",ROUND($O1258*$N1258,0))</f>
        <v/>
      </c>
      <c r="Q1258" s="26">
        <f>IF($G1258="","",SUMIFS($P$4:$P$2503,$E$4:$E$2503,$E1258,$Z$4:$Z$2503,"正常"))</f>
        <v/>
      </c>
      <c r="R1258" s="26">
        <f>IF($G1258="","",SUMIFS(费用台账!$I$4:$I$503,费用台账!$C$4:$C$503,$E1258,费用台账!$J$4:$J$503,"是",费用台账!$K$4:$K$503,"正常"))</f>
        <v/>
      </c>
      <c r="S1258" s="28">
        <f>IF($G1258="","",COUNTIFS($E$4:$E$2503,$E1258,$Z$4:$Z$2503,"正常",$Y$4:$Y$2503,"待补价"))</f>
        <v/>
      </c>
      <c r="T1258" s="26">
        <f>IF($G1258="","",SUMIFS($P$4:$P$2503,$E$4:$E$2503,$E1258,$Z$4:$Z$2503,"正常",$A$4:$A$2503,"&lt;="&amp;$A1258))</f>
        <v/>
      </c>
      <c r="U1258" s="26">
        <f>IF($G1258="","",IF(OR($S1258&gt;0,$Q1258=0,$R1258=0,$Z1258&lt;&gt;"正常"),0,ROUND($T1258/$Q1258*$R1258,0)-ROUND(($T1258-$P1258)/$Q1258*$R1258,0)))</f>
        <v/>
      </c>
      <c r="V1258" s="26">
        <f>IF($G1258="","",ROUND($P1258+$U1258,0))</f>
        <v/>
      </c>
      <c r="W1258" s="26">
        <f>IF($G1258="","",IF(N($K1258)=0,0,ROUND($V1258/$K1258,2)))</f>
        <v/>
      </c>
      <c r="X1258" s="17" t="n"/>
      <c r="Y1258" s="17" t="n"/>
      <c r="Z1258" s="17" t="n"/>
      <c r="AA1258" s="17" t="n"/>
      <c r="AB1258" s="17" t="n"/>
      <c r="AC1258" s="24">
        <f>IF($G1258="","",IF($H1258="※编码不在物料档案里","※物料编码不在档案里",IF(N($K1258)&lt;=0,"※入库数量要大于 0",IF(AND($C1258&lt;&gt;"",$C1258&lt;=结账锁),"※日期早于已结账截止日，不能再录",IF(AND($L1258=0,$X1258="正常"),"※没填单价，价格状态请选「待补价」",IF(AND($S1258&gt;0,$R1258&gt;0),"△本批有 "&amp;$S1258&amp;" 行没单价，整批运费先挂账没摊",IF(AND($B1258&lt;&gt;"",COUNTIF($B$4:$B$2503,$B1258)&gt;1),"※入库单号重复","")))))))</f>
        <v/>
      </c>
    </row>
    <row r="1259">
      <c r="A1259" s="24">
        <f>IF($G1259="","",COUNTA($G$4:$G1259))</f>
        <v/>
      </c>
      <c r="B1259" s="17" t="n"/>
      <c r="C1259" s="30" t="n"/>
      <c r="D1259" s="17" t="n"/>
      <c r="E1259" s="17" t="n"/>
      <c r="F1259" s="17" t="n"/>
      <c r="G1259" s="17" t="n"/>
      <c r="H1259" s="24">
        <f>IF($G1259="","",IFERROR(VLOOKUP($G1259,物料档案!$A$4:$P$1203,3,0),"※编码不在物料档案里"))</f>
        <v/>
      </c>
      <c r="I1259" s="24">
        <f>IF($G1259="","",IFERROR(VLOOKUP($G1259,物料档案!$A$4:$P$1203,4,0),"※编码不在物料档案里"))</f>
        <v/>
      </c>
      <c r="J1259" s="24">
        <f>IF($G1259="","",IFERROR(VLOOKUP($G1259,物料档案!$A$4:$P$1203,5,0),"※编码不在物料档案里"))</f>
        <v/>
      </c>
      <c r="K1259" s="23" t="n"/>
      <c r="L1259" s="31" t="n"/>
      <c r="M1259" s="24">
        <f>IF($G1259="","",IF($D1259="A国内","CNY","TZS"))</f>
        <v/>
      </c>
      <c r="N1259" s="28">
        <f>IF($G1259="","",IF($D1259="A国内",汇率,1))</f>
        <v/>
      </c>
      <c r="O1259" s="25">
        <f>IF($G1259="","",ROUND(N($K1259)*N($L1259),2))</f>
        <v/>
      </c>
      <c r="P1259" s="26">
        <f>IF($G1259="","",ROUND($O1259*$N1259,0))</f>
        <v/>
      </c>
      <c r="Q1259" s="26">
        <f>IF($G1259="","",SUMIFS($P$4:$P$2503,$E$4:$E$2503,$E1259,$Z$4:$Z$2503,"正常"))</f>
        <v/>
      </c>
      <c r="R1259" s="26">
        <f>IF($G1259="","",SUMIFS(费用台账!$I$4:$I$503,费用台账!$C$4:$C$503,$E1259,费用台账!$J$4:$J$503,"是",费用台账!$K$4:$K$503,"正常"))</f>
        <v/>
      </c>
      <c r="S1259" s="28">
        <f>IF($G1259="","",COUNTIFS($E$4:$E$2503,$E1259,$Z$4:$Z$2503,"正常",$Y$4:$Y$2503,"待补价"))</f>
        <v/>
      </c>
      <c r="T1259" s="26">
        <f>IF($G1259="","",SUMIFS($P$4:$P$2503,$E$4:$E$2503,$E1259,$Z$4:$Z$2503,"正常",$A$4:$A$2503,"&lt;="&amp;$A1259))</f>
        <v/>
      </c>
      <c r="U1259" s="26">
        <f>IF($G1259="","",IF(OR($S1259&gt;0,$Q1259=0,$R1259=0,$Z1259&lt;&gt;"正常"),0,ROUND($T1259/$Q1259*$R1259,0)-ROUND(($T1259-$P1259)/$Q1259*$R1259,0)))</f>
        <v/>
      </c>
      <c r="V1259" s="26">
        <f>IF($G1259="","",ROUND($P1259+$U1259,0))</f>
        <v/>
      </c>
      <c r="W1259" s="26">
        <f>IF($G1259="","",IF(N($K1259)=0,0,ROUND($V1259/$K1259,2)))</f>
        <v/>
      </c>
      <c r="X1259" s="17" t="n"/>
      <c r="Y1259" s="17" t="n"/>
      <c r="Z1259" s="17" t="n"/>
      <c r="AA1259" s="17" t="n"/>
      <c r="AB1259" s="17" t="n"/>
      <c r="AC1259" s="24">
        <f>IF($G1259="","",IF($H1259="※编码不在物料档案里","※物料编码不在档案里",IF(N($K1259)&lt;=0,"※入库数量要大于 0",IF(AND($C1259&lt;&gt;"",$C1259&lt;=结账锁),"※日期早于已结账截止日，不能再录",IF(AND($L1259=0,$X1259="正常"),"※没填单价，价格状态请选「待补价」",IF(AND($S1259&gt;0,$R1259&gt;0),"△本批有 "&amp;$S1259&amp;" 行没单价，整批运费先挂账没摊",IF(AND($B1259&lt;&gt;"",COUNTIF($B$4:$B$2503,$B1259)&gt;1),"※入库单号重复","")))))))</f>
        <v/>
      </c>
    </row>
    <row r="1260">
      <c r="A1260" s="24">
        <f>IF($G1260="","",COUNTA($G$4:$G1260))</f>
        <v/>
      </c>
      <c r="B1260" s="17" t="n"/>
      <c r="C1260" s="30" t="n"/>
      <c r="D1260" s="17" t="n"/>
      <c r="E1260" s="17" t="n"/>
      <c r="F1260" s="17" t="n"/>
      <c r="G1260" s="17" t="n"/>
      <c r="H1260" s="24">
        <f>IF($G1260="","",IFERROR(VLOOKUP($G1260,物料档案!$A$4:$P$1203,3,0),"※编码不在物料档案里"))</f>
        <v/>
      </c>
      <c r="I1260" s="24">
        <f>IF($G1260="","",IFERROR(VLOOKUP($G1260,物料档案!$A$4:$P$1203,4,0),"※编码不在物料档案里"))</f>
        <v/>
      </c>
      <c r="J1260" s="24">
        <f>IF($G1260="","",IFERROR(VLOOKUP($G1260,物料档案!$A$4:$P$1203,5,0),"※编码不在物料档案里"))</f>
        <v/>
      </c>
      <c r="K1260" s="23" t="n"/>
      <c r="L1260" s="31" t="n"/>
      <c r="M1260" s="24">
        <f>IF($G1260="","",IF($D1260="A国内","CNY","TZS"))</f>
        <v/>
      </c>
      <c r="N1260" s="28">
        <f>IF($G1260="","",IF($D1260="A国内",汇率,1))</f>
        <v/>
      </c>
      <c r="O1260" s="25">
        <f>IF($G1260="","",ROUND(N($K1260)*N($L1260),2))</f>
        <v/>
      </c>
      <c r="P1260" s="26">
        <f>IF($G1260="","",ROUND($O1260*$N1260,0))</f>
        <v/>
      </c>
      <c r="Q1260" s="26">
        <f>IF($G1260="","",SUMIFS($P$4:$P$2503,$E$4:$E$2503,$E1260,$Z$4:$Z$2503,"正常"))</f>
        <v/>
      </c>
      <c r="R1260" s="26">
        <f>IF($G1260="","",SUMIFS(费用台账!$I$4:$I$503,费用台账!$C$4:$C$503,$E1260,费用台账!$J$4:$J$503,"是",费用台账!$K$4:$K$503,"正常"))</f>
        <v/>
      </c>
      <c r="S1260" s="28">
        <f>IF($G1260="","",COUNTIFS($E$4:$E$2503,$E1260,$Z$4:$Z$2503,"正常",$Y$4:$Y$2503,"待补价"))</f>
        <v/>
      </c>
      <c r="T1260" s="26">
        <f>IF($G1260="","",SUMIFS($P$4:$P$2503,$E$4:$E$2503,$E1260,$Z$4:$Z$2503,"正常",$A$4:$A$2503,"&lt;="&amp;$A1260))</f>
        <v/>
      </c>
      <c r="U1260" s="26">
        <f>IF($G1260="","",IF(OR($S1260&gt;0,$Q1260=0,$R1260=0,$Z1260&lt;&gt;"正常"),0,ROUND($T1260/$Q1260*$R1260,0)-ROUND(($T1260-$P1260)/$Q1260*$R1260,0)))</f>
        <v/>
      </c>
      <c r="V1260" s="26">
        <f>IF($G1260="","",ROUND($P1260+$U1260,0))</f>
        <v/>
      </c>
      <c r="W1260" s="26">
        <f>IF($G1260="","",IF(N($K1260)=0,0,ROUND($V1260/$K1260,2)))</f>
        <v/>
      </c>
      <c r="X1260" s="17" t="n"/>
      <c r="Y1260" s="17" t="n"/>
      <c r="Z1260" s="17" t="n"/>
      <c r="AA1260" s="17" t="n"/>
      <c r="AB1260" s="17" t="n"/>
      <c r="AC1260" s="24">
        <f>IF($G1260="","",IF($H1260="※编码不在物料档案里","※物料编码不在档案里",IF(N($K1260)&lt;=0,"※入库数量要大于 0",IF(AND($C1260&lt;&gt;"",$C1260&lt;=结账锁),"※日期早于已结账截止日，不能再录",IF(AND($L1260=0,$X1260="正常"),"※没填单价，价格状态请选「待补价」",IF(AND($S1260&gt;0,$R1260&gt;0),"△本批有 "&amp;$S1260&amp;" 行没单价，整批运费先挂账没摊",IF(AND($B1260&lt;&gt;"",COUNTIF($B$4:$B$2503,$B1260)&gt;1),"※入库单号重复","")))))))</f>
        <v/>
      </c>
    </row>
    <row r="1261">
      <c r="A1261" s="24">
        <f>IF($G1261="","",COUNTA($G$4:$G1261))</f>
        <v/>
      </c>
      <c r="B1261" s="17" t="n"/>
      <c r="C1261" s="30" t="n"/>
      <c r="D1261" s="17" t="n"/>
      <c r="E1261" s="17" t="n"/>
      <c r="F1261" s="17" t="n"/>
      <c r="G1261" s="17" t="n"/>
      <c r="H1261" s="24">
        <f>IF($G1261="","",IFERROR(VLOOKUP($G1261,物料档案!$A$4:$P$1203,3,0),"※编码不在物料档案里"))</f>
        <v/>
      </c>
      <c r="I1261" s="24">
        <f>IF($G1261="","",IFERROR(VLOOKUP($G1261,物料档案!$A$4:$P$1203,4,0),"※编码不在物料档案里"))</f>
        <v/>
      </c>
      <c r="J1261" s="24">
        <f>IF($G1261="","",IFERROR(VLOOKUP($G1261,物料档案!$A$4:$P$1203,5,0),"※编码不在物料档案里"))</f>
        <v/>
      </c>
      <c r="K1261" s="23" t="n"/>
      <c r="L1261" s="31" t="n"/>
      <c r="M1261" s="24">
        <f>IF($G1261="","",IF($D1261="A国内","CNY","TZS"))</f>
        <v/>
      </c>
      <c r="N1261" s="28">
        <f>IF($G1261="","",IF($D1261="A国内",汇率,1))</f>
        <v/>
      </c>
      <c r="O1261" s="25">
        <f>IF($G1261="","",ROUND(N($K1261)*N($L1261),2))</f>
        <v/>
      </c>
      <c r="P1261" s="26">
        <f>IF($G1261="","",ROUND($O1261*$N1261,0))</f>
        <v/>
      </c>
      <c r="Q1261" s="26">
        <f>IF($G1261="","",SUMIFS($P$4:$P$2503,$E$4:$E$2503,$E1261,$Z$4:$Z$2503,"正常"))</f>
        <v/>
      </c>
      <c r="R1261" s="26">
        <f>IF($G1261="","",SUMIFS(费用台账!$I$4:$I$503,费用台账!$C$4:$C$503,$E1261,费用台账!$J$4:$J$503,"是",费用台账!$K$4:$K$503,"正常"))</f>
        <v/>
      </c>
      <c r="S1261" s="28">
        <f>IF($G1261="","",COUNTIFS($E$4:$E$2503,$E1261,$Z$4:$Z$2503,"正常",$Y$4:$Y$2503,"待补价"))</f>
        <v/>
      </c>
      <c r="T1261" s="26">
        <f>IF($G1261="","",SUMIFS($P$4:$P$2503,$E$4:$E$2503,$E1261,$Z$4:$Z$2503,"正常",$A$4:$A$2503,"&lt;="&amp;$A1261))</f>
        <v/>
      </c>
      <c r="U1261" s="26">
        <f>IF($G1261="","",IF(OR($S1261&gt;0,$Q1261=0,$R1261=0,$Z1261&lt;&gt;"正常"),0,ROUND($T1261/$Q1261*$R1261,0)-ROUND(($T1261-$P1261)/$Q1261*$R1261,0)))</f>
        <v/>
      </c>
      <c r="V1261" s="26">
        <f>IF($G1261="","",ROUND($P1261+$U1261,0))</f>
        <v/>
      </c>
      <c r="W1261" s="26">
        <f>IF($G1261="","",IF(N($K1261)=0,0,ROUND($V1261/$K1261,2)))</f>
        <v/>
      </c>
      <c r="X1261" s="17" t="n"/>
      <c r="Y1261" s="17" t="n"/>
      <c r="Z1261" s="17" t="n"/>
      <c r="AA1261" s="17" t="n"/>
      <c r="AB1261" s="17" t="n"/>
      <c r="AC1261" s="24">
        <f>IF($G1261="","",IF($H1261="※编码不在物料档案里","※物料编码不在档案里",IF(N($K1261)&lt;=0,"※入库数量要大于 0",IF(AND($C1261&lt;&gt;"",$C1261&lt;=结账锁),"※日期早于已结账截止日，不能再录",IF(AND($L1261=0,$X1261="正常"),"※没填单价，价格状态请选「待补价」",IF(AND($S1261&gt;0,$R1261&gt;0),"△本批有 "&amp;$S1261&amp;" 行没单价，整批运费先挂账没摊",IF(AND($B1261&lt;&gt;"",COUNTIF($B$4:$B$2503,$B1261)&gt;1),"※入库单号重复","")))))))</f>
        <v/>
      </c>
    </row>
    <row r="1262">
      <c r="A1262" s="24">
        <f>IF($G1262="","",COUNTA($G$4:$G1262))</f>
        <v/>
      </c>
      <c r="B1262" s="17" t="n"/>
      <c r="C1262" s="30" t="n"/>
      <c r="D1262" s="17" t="n"/>
      <c r="E1262" s="17" t="n"/>
      <c r="F1262" s="17" t="n"/>
      <c r="G1262" s="17" t="n"/>
      <c r="H1262" s="24">
        <f>IF($G1262="","",IFERROR(VLOOKUP($G1262,物料档案!$A$4:$P$1203,3,0),"※编码不在物料档案里"))</f>
        <v/>
      </c>
      <c r="I1262" s="24">
        <f>IF($G1262="","",IFERROR(VLOOKUP($G1262,物料档案!$A$4:$P$1203,4,0),"※编码不在物料档案里"))</f>
        <v/>
      </c>
      <c r="J1262" s="24">
        <f>IF($G1262="","",IFERROR(VLOOKUP($G1262,物料档案!$A$4:$P$1203,5,0),"※编码不在物料档案里"))</f>
        <v/>
      </c>
      <c r="K1262" s="23" t="n"/>
      <c r="L1262" s="31" t="n"/>
      <c r="M1262" s="24">
        <f>IF($G1262="","",IF($D1262="A国内","CNY","TZS"))</f>
        <v/>
      </c>
      <c r="N1262" s="28">
        <f>IF($G1262="","",IF($D1262="A国内",汇率,1))</f>
        <v/>
      </c>
      <c r="O1262" s="25">
        <f>IF($G1262="","",ROUND(N($K1262)*N($L1262),2))</f>
        <v/>
      </c>
      <c r="P1262" s="26">
        <f>IF($G1262="","",ROUND($O1262*$N1262,0))</f>
        <v/>
      </c>
      <c r="Q1262" s="26">
        <f>IF($G1262="","",SUMIFS($P$4:$P$2503,$E$4:$E$2503,$E1262,$Z$4:$Z$2503,"正常"))</f>
        <v/>
      </c>
      <c r="R1262" s="26">
        <f>IF($G1262="","",SUMIFS(费用台账!$I$4:$I$503,费用台账!$C$4:$C$503,$E1262,费用台账!$J$4:$J$503,"是",费用台账!$K$4:$K$503,"正常"))</f>
        <v/>
      </c>
      <c r="S1262" s="28">
        <f>IF($G1262="","",COUNTIFS($E$4:$E$2503,$E1262,$Z$4:$Z$2503,"正常",$Y$4:$Y$2503,"待补价"))</f>
        <v/>
      </c>
      <c r="T1262" s="26">
        <f>IF($G1262="","",SUMIFS($P$4:$P$2503,$E$4:$E$2503,$E1262,$Z$4:$Z$2503,"正常",$A$4:$A$2503,"&lt;="&amp;$A1262))</f>
        <v/>
      </c>
      <c r="U1262" s="26">
        <f>IF($G1262="","",IF(OR($S1262&gt;0,$Q1262=0,$R1262=0,$Z1262&lt;&gt;"正常"),0,ROUND($T1262/$Q1262*$R1262,0)-ROUND(($T1262-$P1262)/$Q1262*$R1262,0)))</f>
        <v/>
      </c>
      <c r="V1262" s="26">
        <f>IF($G1262="","",ROUND($P1262+$U1262,0))</f>
        <v/>
      </c>
      <c r="W1262" s="26">
        <f>IF($G1262="","",IF(N($K1262)=0,0,ROUND($V1262/$K1262,2)))</f>
        <v/>
      </c>
      <c r="X1262" s="17" t="n"/>
      <c r="Y1262" s="17" t="n"/>
      <c r="Z1262" s="17" t="n"/>
      <c r="AA1262" s="17" t="n"/>
      <c r="AB1262" s="17" t="n"/>
      <c r="AC1262" s="24">
        <f>IF($G1262="","",IF($H1262="※编码不在物料档案里","※物料编码不在档案里",IF(N($K1262)&lt;=0,"※入库数量要大于 0",IF(AND($C1262&lt;&gt;"",$C1262&lt;=结账锁),"※日期早于已结账截止日，不能再录",IF(AND($L1262=0,$X1262="正常"),"※没填单价，价格状态请选「待补价」",IF(AND($S1262&gt;0,$R1262&gt;0),"△本批有 "&amp;$S1262&amp;" 行没单价，整批运费先挂账没摊",IF(AND($B1262&lt;&gt;"",COUNTIF($B$4:$B$2503,$B1262)&gt;1),"※入库单号重复","")))))))</f>
        <v/>
      </c>
    </row>
    <row r="1263">
      <c r="A1263" s="24">
        <f>IF($G1263="","",COUNTA($G$4:$G1263))</f>
        <v/>
      </c>
      <c r="B1263" s="17" t="n"/>
      <c r="C1263" s="30" t="n"/>
      <c r="D1263" s="17" t="n"/>
      <c r="E1263" s="17" t="n"/>
      <c r="F1263" s="17" t="n"/>
      <c r="G1263" s="17" t="n"/>
      <c r="H1263" s="24">
        <f>IF($G1263="","",IFERROR(VLOOKUP($G1263,物料档案!$A$4:$P$1203,3,0),"※编码不在物料档案里"))</f>
        <v/>
      </c>
      <c r="I1263" s="24">
        <f>IF($G1263="","",IFERROR(VLOOKUP($G1263,物料档案!$A$4:$P$1203,4,0),"※编码不在物料档案里"))</f>
        <v/>
      </c>
      <c r="J1263" s="24">
        <f>IF($G1263="","",IFERROR(VLOOKUP($G1263,物料档案!$A$4:$P$1203,5,0),"※编码不在物料档案里"))</f>
        <v/>
      </c>
      <c r="K1263" s="23" t="n"/>
      <c r="L1263" s="31" t="n"/>
      <c r="M1263" s="24">
        <f>IF($G1263="","",IF($D1263="A国内","CNY","TZS"))</f>
        <v/>
      </c>
      <c r="N1263" s="28">
        <f>IF($G1263="","",IF($D1263="A国内",汇率,1))</f>
        <v/>
      </c>
      <c r="O1263" s="25">
        <f>IF($G1263="","",ROUND(N($K1263)*N($L1263),2))</f>
        <v/>
      </c>
      <c r="P1263" s="26">
        <f>IF($G1263="","",ROUND($O1263*$N1263,0))</f>
        <v/>
      </c>
      <c r="Q1263" s="26">
        <f>IF($G1263="","",SUMIFS($P$4:$P$2503,$E$4:$E$2503,$E1263,$Z$4:$Z$2503,"正常"))</f>
        <v/>
      </c>
      <c r="R1263" s="26">
        <f>IF($G1263="","",SUMIFS(费用台账!$I$4:$I$503,费用台账!$C$4:$C$503,$E1263,费用台账!$J$4:$J$503,"是",费用台账!$K$4:$K$503,"正常"))</f>
        <v/>
      </c>
      <c r="S1263" s="28">
        <f>IF($G1263="","",COUNTIFS($E$4:$E$2503,$E1263,$Z$4:$Z$2503,"正常",$Y$4:$Y$2503,"待补价"))</f>
        <v/>
      </c>
      <c r="T1263" s="26">
        <f>IF($G1263="","",SUMIFS($P$4:$P$2503,$E$4:$E$2503,$E1263,$Z$4:$Z$2503,"正常",$A$4:$A$2503,"&lt;="&amp;$A1263))</f>
        <v/>
      </c>
      <c r="U1263" s="26">
        <f>IF($G1263="","",IF(OR($S1263&gt;0,$Q1263=0,$R1263=0,$Z1263&lt;&gt;"正常"),0,ROUND($T1263/$Q1263*$R1263,0)-ROUND(($T1263-$P1263)/$Q1263*$R1263,0)))</f>
        <v/>
      </c>
      <c r="V1263" s="26">
        <f>IF($G1263="","",ROUND($P1263+$U1263,0))</f>
        <v/>
      </c>
      <c r="W1263" s="26">
        <f>IF($G1263="","",IF(N($K1263)=0,0,ROUND($V1263/$K1263,2)))</f>
        <v/>
      </c>
      <c r="X1263" s="17" t="n"/>
      <c r="Y1263" s="17" t="n"/>
      <c r="Z1263" s="17" t="n"/>
      <c r="AA1263" s="17" t="n"/>
      <c r="AB1263" s="17" t="n"/>
      <c r="AC1263" s="24">
        <f>IF($G1263="","",IF($H1263="※编码不在物料档案里","※物料编码不在档案里",IF(N($K1263)&lt;=0,"※入库数量要大于 0",IF(AND($C1263&lt;&gt;"",$C1263&lt;=结账锁),"※日期早于已结账截止日，不能再录",IF(AND($L1263=0,$X1263="正常"),"※没填单价，价格状态请选「待补价」",IF(AND($S1263&gt;0,$R1263&gt;0),"△本批有 "&amp;$S1263&amp;" 行没单价，整批运费先挂账没摊",IF(AND($B1263&lt;&gt;"",COUNTIF($B$4:$B$2503,$B1263)&gt;1),"※入库单号重复","")))))))</f>
        <v/>
      </c>
    </row>
    <row r="1264">
      <c r="A1264" s="24">
        <f>IF($G1264="","",COUNTA($G$4:$G1264))</f>
        <v/>
      </c>
      <c r="B1264" s="17" t="n"/>
      <c r="C1264" s="30" t="n"/>
      <c r="D1264" s="17" t="n"/>
      <c r="E1264" s="17" t="n"/>
      <c r="F1264" s="17" t="n"/>
      <c r="G1264" s="17" t="n"/>
      <c r="H1264" s="24">
        <f>IF($G1264="","",IFERROR(VLOOKUP($G1264,物料档案!$A$4:$P$1203,3,0),"※编码不在物料档案里"))</f>
        <v/>
      </c>
      <c r="I1264" s="24">
        <f>IF($G1264="","",IFERROR(VLOOKUP($G1264,物料档案!$A$4:$P$1203,4,0),"※编码不在物料档案里"))</f>
        <v/>
      </c>
      <c r="J1264" s="24">
        <f>IF($G1264="","",IFERROR(VLOOKUP($G1264,物料档案!$A$4:$P$1203,5,0),"※编码不在物料档案里"))</f>
        <v/>
      </c>
      <c r="K1264" s="23" t="n"/>
      <c r="L1264" s="31" t="n"/>
      <c r="M1264" s="24">
        <f>IF($G1264="","",IF($D1264="A国内","CNY","TZS"))</f>
        <v/>
      </c>
      <c r="N1264" s="28">
        <f>IF($G1264="","",IF($D1264="A国内",汇率,1))</f>
        <v/>
      </c>
      <c r="O1264" s="25">
        <f>IF($G1264="","",ROUND(N($K1264)*N($L1264),2))</f>
        <v/>
      </c>
      <c r="P1264" s="26">
        <f>IF($G1264="","",ROUND($O1264*$N1264,0))</f>
        <v/>
      </c>
      <c r="Q1264" s="26">
        <f>IF($G1264="","",SUMIFS($P$4:$P$2503,$E$4:$E$2503,$E1264,$Z$4:$Z$2503,"正常"))</f>
        <v/>
      </c>
      <c r="R1264" s="26">
        <f>IF($G1264="","",SUMIFS(费用台账!$I$4:$I$503,费用台账!$C$4:$C$503,$E1264,费用台账!$J$4:$J$503,"是",费用台账!$K$4:$K$503,"正常"))</f>
        <v/>
      </c>
      <c r="S1264" s="28">
        <f>IF($G1264="","",COUNTIFS($E$4:$E$2503,$E1264,$Z$4:$Z$2503,"正常",$Y$4:$Y$2503,"待补价"))</f>
        <v/>
      </c>
      <c r="T1264" s="26">
        <f>IF($G1264="","",SUMIFS($P$4:$P$2503,$E$4:$E$2503,$E1264,$Z$4:$Z$2503,"正常",$A$4:$A$2503,"&lt;="&amp;$A1264))</f>
        <v/>
      </c>
      <c r="U1264" s="26">
        <f>IF($G1264="","",IF(OR($S1264&gt;0,$Q1264=0,$R1264=0,$Z1264&lt;&gt;"正常"),0,ROUND($T1264/$Q1264*$R1264,0)-ROUND(($T1264-$P1264)/$Q1264*$R1264,0)))</f>
        <v/>
      </c>
      <c r="V1264" s="26">
        <f>IF($G1264="","",ROUND($P1264+$U1264,0))</f>
        <v/>
      </c>
      <c r="W1264" s="26">
        <f>IF($G1264="","",IF(N($K1264)=0,0,ROUND($V1264/$K1264,2)))</f>
        <v/>
      </c>
      <c r="X1264" s="17" t="n"/>
      <c r="Y1264" s="17" t="n"/>
      <c r="Z1264" s="17" t="n"/>
      <c r="AA1264" s="17" t="n"/>
      <c r="AB1264" s="17" t="n"/>
      <c r="AC1264" s="24">
        <f>IF($G1264="","",IF($H1264="※编码不在物料档案里","※物料编码不在档案里",IF(N($K1264)&lt;=0,"※入库数量要大于 0",IF(AND($C1264&lt;&gt;"",$C1264&lt;=结账锁),"※日期早于已结账截止日，不能再录",IF(AND($L1264=0,$X1264="正常"),"※没填单价，价格状态请选「待补价」",IF(AND($S1264&gt;0,$R1264&gt;0),"△本批有 "&amp;$S1264&amp;" 行没单价，整批运费先挂账没摊",IF(AND($B1264&lt;&gt;"",COUNTIF($B$4:$B$2503,$B1264)&gt;1),"※入库单号重复","")))))))</f>
        <v/>
      </c>
    </row>
    <row r="1265">
      <c r="A1265" s="24">
        <f>IF($G1265="","",COUNTA($G$4:$G1265))</f>
        <v/>
      </c>
      <c r="B1265" s="17" t="n"/>
      <c r="C1265" s="30" t="n"/>
      <c r="D1265" s="17" t="n"/>
      <c r="E1265" s="17" t="n"/>
      <c r="F1265" s="17" t="n"/>
      <c r="G1265" s="17" t="n"/>
      <c r="H1265" s="24">
        <f>IF($G1265="","",IFERROR(VLOOKUP($G1265,物料档案!$A$4:$P$1203,3,0),"※编码不在物料档案里"))</f>
        <v/>
      </c>
      <c r="I1265" s="24">
        <f>IF($G1265="","",IFERROR(VLOOKUP($G1265,物料档案!$A$4:$P$1203,4,0),"※编码不在物料档案里"))</f>
        <v/>
      </c>
      <c r="J1265" s="24">
        <f>IF($G1265="","",IFERROR(VLOOKUP($G1265,物料档案!$A$4:$P$1203,5,0),"※编码不在物料档案里"))</f>
        <v/>
      </c>
      <c r="K1265" s="23" t="n"/>
      <c r="L1265" s="31" t="n"/>
      <c r="M1265" s="24">
        <f>IF($G1265="","",IF($D1265="A国内","CNY","TZS"))</f>
        <v/>
      </c>
      <c r="N1265" s="28">
        <f>IF($G1265="","",IF($D1265="A国内",汇率,1))</f>
        <v/>
      </c>
      <c r="O1265" s="25">
        <f>IF($G1265="","",ROUND(N($K1265)*N($L1265),2))</f>
        <v/>
      </c>
      <c r="P1265" s="26">
        <f>IF($G1265="","",ROUND($O1265*$N1265,0))</f>
        <v/>
      </c>
      <c r="Q1265" s="26">
        <f>IF($G1265="","",SUMIFS($P$4:$P$2503,$E$4:$E$2503,$E1265,$Z$4:$Z$2503,"正常"))</f>
        <v/>
      </c>
      <c r="R1265" s="26">
        <f>IF($G1265="","",SUMIFS(费用台账!$I$4:$I$503,费用台账!$C$4:$C$503,$E1265,费用台账!$J$4:$J$503,"是",费用台账!$K$4:$K$503,"正常"))</f>
        <v/>
      </c>
      <c r="S1265" s="28">
        <f>IF($G1265="","",COUNTIFS($E$4:$E$2503,$E1265,$Z$4:$Z$2503,"正常",$Y$4:$Y$2503,"待补价"))</f>
        <v/>
      </c>
      <c r="T1265" s="26">
        <f>IF($G1265="","",SUMIFS($P$4:$P$2503,$E$4:$E$2503,$E1265,$Z$4:$Z$2503,"正常",$A$4:$A$2503,"&lt;="&amp;$A1265))</f>
        <v/>
      </c>
      <c r="U1265" s="26">
        <f>IF($G1265="","",IF(OR($S1265&gt;0,$Q1265=0,$R1265=0,$Z1265&lt;&gt;"正常"),0,ROUND($T1265/$Q1265*$R1265,0)-ROUND(($T1265-$P1265)/$Q1265*$R1265,0)))</f>
        <v/>
      </c>
      <c r="V1265" s="26">
        <f>IF($G1265="","",ROUND($P1265+$U1265,0))</f>
        <v/>
      </c>
      <c r="W1265" s="26">
        <f>IF($G1265="","",IF(N($K1265)=0,0,ROUND($V1265/$K1265,2)))</f>
        <v/>
      </c>
      <c r="X1265" s="17" t="n"/>
      <c r="Y1265" s="17" t="n"/>
      <c r="Z1265" s="17" t="n"/>
      <c r="AA1265" s="17" t="n"/>
      <c r="AB1265" s="17" t="n"/>
      <c r="AC1265" s="24">
        <f>IF($G1265="","",IF($H1265="※编码不在物料档案里","※物料编码不在档案里",IF(N($K1265)&lt;=0,"※入库数量要大于 0",IF(AND($C1265&lt;&gt;"",$C1265&lt;=结账锁),"※日期早于已结账截止日，不能再录",IF(AND($L1265=0,$X1265="正常"),"※没填单价，价格状态请选「待补价」",IF(AND($S1265&gt;0,$R1265&gt;0),"△本批有 "&amp;$S1265&amp;" 行没单价，整批运费先挂账没摊",IF(AND($B1265&lt;&gt;"",COUNTIF($B$4:$B$2503,$B1265)&gt;1),"※入库单号重复","")))))))</f>
        <v/>
      </c>
    </row>
    <row r="1266">
      <c r="A1266" s="24">
        <f>IF($G1266="","",COUNTA($G$4:$G1266))</f>
        <v/>
      </c>
      <c r="B1266" s="17" t="n"/>
      <c r="C1266" s="30" t="n"/>
      <c r="D1266" s="17" t="n"/>
      <c r="E1266" s="17" t="n"/>
      <c r="F1266" s="17" t="n"/>
      <c r="G1266" s="17" t="n"/>
      <c r="H1266" s="24">
        <f>IF($G1266="","",IFERROR(VLOOKUP($G1266,物料档案!$A$4:$P$1203,3,0),"※编码不在物料档案里"))</f>
        <v/>
      </c>
      <c r="I1266" s="24">
        <f>IF($G1266="","",IFERROR(VLOOKUP($G1266,物料档案!$A$4:$P$1203,4,0),"※编码不在物料档案里"))</f>
        <v/>
      </c>
      <c r="J1266" s="24">
        <f>IF($G1266="","",IFERROR(VLOOKUP($G1266,物料档案!$A$4:$P$1203,5,0),"※编码不在物料档案里"))</f>
        <v/>
      </c>
      <c r="K1266" s="23" t="n"/>
      <c r="L1266" s="31" t="n"/>
      <c r="M1266" s="24">
        <f>IF($G1266="","",IF($D1266="A国内","CNY","TZS"))</f>
        <v/>
      </c>
      <c r="N1266" s="28">
        <f>IF($G1266="","",IF($D1266="A国内",汇率,1))</f>
        <v/>
      </c>
      <c r="O1266" s="25">
        <f>IF($G1266="","",ROUND(N($K1266)*N($L1266),2))</f>
        <v/>
      </c>
      <c r="P1266" s="26">
        <f>IF($G1266="","",ROUND($O1266*$N1266,0))</f>
        <v/>
      </c>
      <c r="Q1266" s="26">
        <f>IF($G1266="","",SUMIFS($P$4:$P$2503,$E$4:$E$2503,$E1266,$Z$4:$Z$2503,"正常"))</f>
        <v/>
      </c>
      <c r="R1266" s="26">
        <f>IF($G1266="","",SUMIFS(费用台账!$I$4:$I$503,费用台账!$C$4:$C$503,$E1266,费用台账!$J$4:$J$503,"是",费用台账!$K$4:$K$503,"正常"))</f>
        <v/>
      </c>
      <c r="S1266" s="28">
        <f>IF($G1266="","",COUNTIFS($E$4:$E$2503,$E1266,$Z$4:$Z$2503,"正常",$Y$4:$Y$2503,"待补价"))</f>
        <v/>
      </c>
      <c r="T1266" s="26">
        <f>IF($G1266="","",SUMIFS($P$4:$P$2503,$E$4:$E$2503,$E1266,$Z$4:$Z$2503,"正常",$A$4:$A$2503,"&lt;="&amp;$A1266))</f>
        <v/>
      </c>
      <c r="U1266" s="26">
        <f>IF($G1266="","",IF(OR($S1266&gt;0,$Q1266=0,$R1266=0,$Z1266&lt;&gt;"正常"),0,ROUND($T1266/$Q1266*$R1266,0)-ROUND(($T1266-$P1266)/$Q1266*$R1266,0)))</f>
        <v/>
      </c>
      <c r="V1266" s="26">
        <f>IF($G1266="","",ROUND($P1266+$U1266,0))</f>
        <v/>
      </c>
      <c r="W1266" s="26">
        <f>IF($G1266="","",IF(N($K1266)=0,0,ROUND($V1266/$K1266,2)))</f>
        <v/>
      </c>
      <c r="X1266" s="17" t="n"/>
      <c r="Y1266" s="17" t="n"/>
      <c r="Z1266" s="17" t="n"/>
      <c r="AA1266" s="17" t="n"/>
      <c r="AB1266" s="17" t="n"/>
      <c r="AC1266" s="24">
        <f>IF($G1266="","",IF($H1266="※编码不在物料档案里","※物料编码不在档案里",IF(N($K1266)&lt;=0,"※入库数量要大于 0",IF(AND($C1266&lt;&gt;"",$C1266&lt;=结账锁),"※日期早于已结账截止日，不能再录",IF(AND($L1266=0,$X1266="正常"),"※没填单价，价格状态请选「待补价」",IF(AND($S1266&gt;0,$R1266&gt;0),"△本批有 "&amp;$S1266&amp;" 行没单价，整批运费先挂账没摊",IF(AND($B1266&lt;&gt;"",COUNTIF($B$4:$B$2503,$B1266)&gt;1),"※入库单号重复","")))))))</f>
        <v/>
      </c>
    </row>
    <row r="1267">
      <c r="A1267" s="24">
        <f>IF($G1267="","",COUNTA($G$4:$G1267))</f>
        <v/>
      </c>
      <c r="B1267" s="17" t="n"/>
      <c r="C1267" s="30" t="n"/>
      <c r="D1267" s="17" t="n"/>
      <c r="E1267" s="17" t="n"/>
      <c r="F1267" s="17" t="n"/>
      <c r="G1267" s="17" t="n"/>
      <c r="H1267" s="24">
        <f>IF($G1267="","",IFERROR(VLOOKUP($G1267,物料档案!$A$4:$P$1203,3,0),"※编码不在物料档案里"))</f>
        <v/>
      </c>
      <c r="I1267" s="24">
        <f>IF($G1267="","",IFERROR(VLOOKUP($G1267,物料档案!$A$4:$P$1203,4,0),"※编码不在物料档案里"))</f>
        <v/>
      </c>
      <c r="J1267" s="24">
        <f>IF($G1267="","",IFERROR(VLOOKUP($G1267,物料档案!$A$4:$P$1203,5,0),"※编码不在物料档案里"))</f>
        <v/>
      </c>
      <c r="K1267" s="23" t="n"/>
      <c r="L1267" s="31" t="n"/>
      <c r="M1267" s="24">
        <f>IF($G1267="","",IF($D1267="A国内","CNY","TZS"))</f>
        <v/>
      </c>
      <c r="N1267" s="28">
        <f>IF($G1267="","",IF($D1267="A国内",汇率,1))</f>
        <v/>
      </c>
      <c r="O1267" s="25">
        <f>IF($G1267="","",ROUND(N($K1267)*N($L1267),2))</f>
        <v/>
      </c>
      <c r="P1267" s="26">
        <f>IF($G1267="","",ROUND($O1267*$N1267,0))</f>
        <v/>
      </c>
      <c r="Q1267" s="26">
        <f>IF($G1267="","",SUMIFS($P$4:$P$2503,$E$4:$E$2503,$E1267,$Z$4:$Z$2503,"正常"))</f>
        <v/>
      </c>
      <c r="R1267" s="26">
        <f>IF($G1267="","",SUMIFS(费用台账!$I$4:$I$503,费用台账!$C$4:$C$503,$E1267,费用台账!$J$4:$J$503,"是",费用台账!$K$4:$K$503,"正常"))</f>
        <v/>
      </c>
      <c r="S1267" s="28">
        <f>IF($G1267="","",COUNTIFS($E$4:$E$2503,$E1267,$Z$4:$Z$2503,"正常",$Y$4:$Y$2503,"待补价"))</f>
        <v/>
      </c>
      <c r="T1267" s="26">
        <f>IF($G1267="","",SUMIFS($P$4:$P$2503,$E$4:$E$2503,$E1267,$Z$4:$Z$2503,"正常",$A$4:$A$2503,"&lt;="&amp;$A1267))</f>
        <v/>
      </c>
      <c r="U1267" s="26">
        <f>IF($G1267="","",IF(OR($S1267&gt;0,$Q1267=0,$R1267=0,$Z1267&lt;&gt;"正常"),0,ROUND($T1267/$Q1267*$R1267,0)-ROUND(($T1267-$P1267)/$Q1267*$R1267,0)))</f>
        <v/>
      </c>
      <c r="V1267" s="26">
        <f>IF($G1267="","",ROUND($P1267+$U1267,0))</f>
        <v/>
      </c>
      <c r="W1267" s="26">
        <f>IF($G1267="","",IF(N($K1267)=0,0,ROUND($V1267/$K1267,2)))</f>
        <v/>
      </c>
      <c r="X1267" s="17" t="n"/>
      <c r="Y1267" s="17" t="n"/>
      <c r="Z1267" s="17" t="n"/>
      <c r="AA1267" s="17" t="n"/>
      <c r="AB1267" s="17" t="n"/>
      <c r="AC1267" s="24">
        <f>IF($G1267="","",IF($H1267="※编码不在物料档案里","※物料编码不在档案里",IF(N($K1267)&lt;=0,"※入库数量要大于 0",IF(AND($C1267&lt;&gt;"",$C1267&lt;=结账锁),"※日期早于已结账截止日，不能再录",IF(AND($L1267=0,$X1267="正常"),"※没填单价，价格状态请选「待补价」",IF(AND($S1267&gt;0,$R1267&gt;0),"△本批有 "&amp;$S1267&amp;" 行没单价，整批运费先挂账没摊",IF(AND($B1267&lt;&gt;"",COUNTIF($B$4:$B$2503,$B1267)&gt;1),"※入库单号重复","")))))))</f>
        <v/>
      </c>
    </row>
    <row r="1268">
      <c r="A1268" s="24">
        <f>IF($G1268="","",COUNTA($G$4:$G1268))</f>
        <v/>
      </c>
      <c r="B1268" s="17" t="n"/>
      <c r="C1268" s="30" t="n"/>
      <c r="D1268" s="17" t="n"/>
      <c r="E1268" s="17" t="n"/>
      <c r="F1268" s="17" t="n"/>
      <c r="G1268" s="17" t="n"/>
      <c r="H1268" s="24">
        <f>IF($G1268="","",IFERROR(VLOOKUP($G1268,物料档案!$A$4:$P$1203,3,0),"※编码不在物料档案里"))</f>
        <v/>
      </c>
      <c r="I1268" s="24">
        <f>IF($G1268="","",IFERROR(VLOOKUP($G1268,物料档案!$A$4:$P$1203,4,0),"※编码不在物料档案里"))</f>
        <v/>
      </c>
      <c r="J1268" s="24">
        <f>IF($G1268="","",IFERROR(VLOOKUP($G1268,物料档案!$A$4:$P$1203,5,0),"※编码不在物料档案里"))</f>
        <v/>
      </c>
      <c r="K1268" s="23" t="n"/>
      <c r="L1268" s="31" t="n"/>
      <c r="M1268" s="24">
        <f>IF($G1268="","",IF($D1268="A国内","CNY","TZS"))</f>
        <v/>
      </c>
      <c r="N1268" s="28">
        <f>IF($G1268="","",IF($D1268="A国内",汇率,1))</f>
        <v/>
      </c>
      <c r="O1268" s="25">
        <f>IF($G1268="","",ROUND(N($K1268)*N($L1268),2))</f>
        <v/>
      </c>
      <c r="P1268" s="26">
        <f>IF($G1268="","",ROUND($O1268*$N1268,0))</f>
        <v/>
      </c>
      <c r="Q1268" s="26">
        <f>IF($G1268="","",SUMIFS($P$4:$P$2503,$E$4:$E$2503,$E1268,$Z$4:$Z$2503,"正常"))</f>
        <v/>
      </c>
      <c r="R1268" s="26">
        <f>IF($G1268="","",SUMIFS(费用台账!$I$4:$I$503,费用台账!$C$4:$C$503,$E1268,费用台账!$J$4:$J$503,"是",费用台账!$K$4:$K$503,"正常"))</f>
        <v/>
      </c>
      <c r="S1268" s="28">
        <f>IF($G1268="","",COUNTIFS($E$4:$E$2503,$E1268,$Z$4:$Z$2503,"正常",$Y$4:$Y$2503,"待补价"))</f>
        <v/>
      </c>
      <c r="T1268" s="26">
        <f>IF($G1268="","",SUMIFS($P$4:$P$2503,$E$4:$E$2503,$E1268,$Z$4:$Z$2503,"正常",$A$4:$A$2503,"&lt;="&amp;$A1268))</f>
        <v/>
      </c>
      <c r="U1268" s="26">
        <f>IF($G1268="","",IF(OR($S1268&gt;0,$Q1268=0,$R1268=0,$Z1268&lt;&gt;"正常"),0,ROUND($T1268/$Q1268*$R1268,0)-ROUND(($T1268-$P1268)/$Q1268*$R1268,0)))</f>
        <v/>
      </c>
      <c r="V1268" s="26">
        <f>IF($G1268="","",ROUND($P1268+$U1268,0))</f>
        <v/>
      </c>
      <c r="W1268" s="26">
        <f>IF($G1268="","",IF(N($K1268)=0,0,ROUND($V1268/$K1268,2)))</f>
        <v/>
      </c>
      <c r="X1268" s="17" t="n"/>
      <c r="Y1268" s="17" t="n"/>
      <c r="Z1268" s="17" t="n"/>
      <c r="AA1268" s="17" t="n"/>
      <c r="AB1268" s="17" t="n"/>
      <c r="AC1268" s="24">
        <f>IF($G1268="","",IF($H1268="※编码不在物料档案里","※物料编码不在档案里",IF(N($K1268)&lt;=0,"※入库数量要大于 0",IF(AND($C1268&lt;&gt;"",$C1268&lt;=结账锁),"※日期早于已结账截止日，不能再录",IF(AND($L1268=0,$X1268="正常"),"※没填单价，价格状态请选「待补价」",IF(AND($S1268&gt;0,$R1268&gt;0),"△本批有 "&amp;$S1268&amp;" 行没单价，整批运费先挂账没摊",IF(AND($B1268&lt;&gt;"",COUNTIF($B$4:$B$2503,$B1268)&gt;1),"※入库单号重复","")))))))</f>
        <v/>
      </c>
    </row>
    <row r="1269">
      <c r="A1269" s="24">
        <f>IF($G1269="","",COUNTA($G$4:$G1269))</f>
        <v/>
      </c>
      <c r="B1269" s="17" t="n"/>
      <c r="C1269" s="30" t="n"/>
      <c r="D1269" s="17" t="n"/>
      <c r="E1269" s="17" t="n"/>
      <c r="F1269" s="17" t="n"/>
      <c r="G1269" s="17" t="n"/>
      <c r="H1269" s="24">
        <f>IF($G1269="","",IFERROR(VLOOKUP($G1269,物料档案!$A$4:$P$1203,3,0),"※编码不在物料档案里"))</f>
        <v/>
      </c>
      <c r="I1269" s="24">
        <f>IF($G1269="","",IFERROR(VLOOKUP($G1269,物料档案!$A$4:$P$1203,4,0),"※编码不在物料档案里"))</f>
        <v/>
      </c>
      <c r="J1269" s="24">
        <f>IF($G1269="","",IFERROR(VLOOKUP($G1269,物料档案!$A$4:$P$1203,5,0),"※编码不在物料档案里"))</f>
        <v/>
      </c>
      <c r="K1269" s="23" t="n"/>
      <c r="L1269" s="31" t="n"/>
      <c r="M1269" s="24">
        <f>IF($G1269="","",IF($D1269="A国内","CNY","TZS"))</f>
        <v/>
      </c>
      <c r="N1269" s="28">
        <f>IF($G1269="","",IF($D1269="A国内",汇率,1))</f>
        <v/>
      </c>
      <c r="O1269" s="25">
        <f>IF($G1269="","",ROUND(N($K1269)*N($L1269),2))</f>
        <v/>
      </c>
      <c r="P1269" s="26">
        <f>IF($G1269="","",ROUND($O1269*$N1269,0))</f>
        <v/>
      </c>
      <c r="Q1269" s="26">
        <f>IF($G1269="","",SUMIFS($P$4:$P$2503,$E$4:$E$2503,$E1269,$Z$4:$Z$2503,"正常"))</f>
        <v/>
      </c>
      <c r="R1269" s="26">
        <f>IF($G1269="","",SUMIFS(费用台账!$I$4:$I$503,费用台账!$C$4:$C$503,$E1269,费用台账!$J$4:$J$503,"是",费用台账!$K$4:$K$503,"正常"))</f>
        <v/>
      </c>
      <c r="S1269" s="28">
        <f>IF($G1269="","",COUNTIFS($E$4:$E$2503,$E1269,$Z$4:$Z$2503,"正常",$Y$4:$Y$2503,"待补价"))</f>
        <v/>
      </c>
      <c r="T1269" s="26">
        <f>IF($G1269="","",SUMIFS($P$4:$P$2503,$E$4:$E$2503,$E1269,$Z$4:$Z$2503,"正常",$A$4:$A$2503,"&lt;="&amp;$A1269))</f>
        <v/>
      </c>
      <c r="U1269" s="26">
        <f>IF($G1269="","",IF(OR($S1269&gt;0,$Q1269=0,$R1269=0,$Z1269&lt;&gt;"正常"),0,ROUND($T1269/$Q1269*$R1269,0)-ROUND(($T1269-$P1269)/$Q1269*$R1269,0)))</f>
        <v/>
      </c>
      <c r="V1269" s="26">
        <f>IF($G1269="","",ROUND($P1269+$U1269,0))</f>
        <v/>
      </c>
      <c r="W1269" s="26">
        <f>IF($G1269="","",IF(N($K1269)=0,0,ROUND($V1269/$K1269,2)))</f>
        <v/>
      </c>
      <c r="X1269" s="17" t="n"/>
      <c r="Y1269" s="17" t="n"/>
      <c r="Z1269" s="17" t="n"/>
      <c r="AA1269" s="17" t="n"/>
      <c r="AB1269" s="17" t="n"/>
      <c r="AC1269" s="24">
        <f>IF($G1269="","",IF($H1269="※编码不在物料档案里","※物料编码不在档案里",IF(N($K1269)&lt;=0,"※入库数量要大于 0",IF(AND($C1269&lt;&gt;"",$C1269&lt;=结账锁),"※日期早于已结账截止日，不能再录",IF(AND($L1269=0,$X1269="正常"),"※没填单价，价格状态请选「待补价」",IF(AND($S1269&gt;0,$R1269&gt;0),"△本批有 "&amp;$S1269&amp;" 行没单价，整批运费先挂账没摊",IF(AND($B1269&lt;&gt;"",COUNTIF($B$4:$B$2503,$B1269)&gt;1),"※入库单号重复","")))))))</f>
        <v/>
      </c>
    </row>
    <row r="1270">
      <c r="A1270" s="24">
        <f>IF($G1270="","",COUNTA($G$4:$G1270))</f>
        <v/>
      </c>
      <c r="B1270" s="17" t="n"/>
      <c r="C1270" s="30" t="n"/>
      <c r="D1270" s="17" t="n"/>
      <c r="E1270" s="17" t="n"/>
      <c r="F1270" s="17" t="n"/>
      <c r="G1270" s="17" t="n"/>
      <c r="H1270" s="24">
        <f>IF($G1270="","",IFERROR(VLOOKUP($G1270,物料档案!$A$4:$P$1203,3,0),"※编码不在物料档案里"))</f>
        <v/>
      </c>
      <c r="I1270" s="24">
        <f>IF($G1270="","",IFERROR(VLOOKUP($G1270,物料档案!$A$4:$P$1203,4,0),"※编码不在物料档案里"))</f>
        <v/>
      </c>
      <c r="J1270" s="24">
        <f>IF($G1270="","",IFERROR(VLOOKUP($G1270,物料档案!$A$4:$P$1203,5,0),"※编码不在物料档案里"))</f>
        <v/>
      </c>
      <c r="K1270" s="23" t="n"/>
      <c r="L1270" s="31" t="n"/>
      <c r="M1270" s="24">
        <f>IF($G1270="","",IF($D1270="A国内","CNY","TZS"))</f>
        <v/>
      </c>
      <c r="N1270" s="28">
        <f>IF($G1270="","",IF($D1270="A国内",汇率,1))</f>
        <v/>
      </c>
      <c r="O1270" s="25">
        <f>IF($G1270="","",ROUND(N($K1270)*N($L1270),2))</f>
        <v/>
      </c>
      <c r="P1270" s="26">
        <f>IF($G1270="","",ROUND($O1270*$N1270,0))</f>
        <v/>
      </c>
      <c r="Q1270" s="26">
        <f>IF($G1270="","",SUMIFS($P$4:$P$2503,$E$4:$E$2503,$E1270,$Z$4:$Z$2503,"正常"))</f>
        <v/>
      </c>
      <c r="R1270" s="26">
        <f>IF($G1270="","",SUMIFS(费用台账!$I$4:$I$503,费用台账!$C$4:$C$503,$E1270,费用台账!$J$4:$J$503,"是",费用台账!$K$4:$K$503,"正常"))</f>
        <v/>
      </c>
      <c r="S1270" s="28">
        <f>IF($G1270="","",COUNTIFS($E$4:$E$2503,$E1270,$Z$4:$Z$2503,"正常",$Y$4:$Y$2503,"待补价"))</f>
        <v/>
      </c>
      <c r="T1270" s="26">
        <f>IF($G1270="","",SUMIFS($P$4:$P$2503,$E$4:$E$2503,$E1270,$Z$4:$Z$2503,"正常",$A$4:$A$2503,"&lt;="&amp;$A1270))</f>
        <v/>
      </c>
      <c r="U1270" s="26">
        <f>IF($G1270="","",IF(OR($S1270&gt;0,$Q1270=0,$R1270=0,$Z1270&lt;&gt;"正常"),0,ROUND($T1270/$Q1270*$R1270,0)-ROUND(($T1270-$P1270)/$Q1270*$R1270,0)))</f>
        <v/>
      </c>
      <c r="V1270" s="26">
        <f>IF($G1270="","",ROUND($P1270+$U1270,0))</f>
        <v/>
      </c>
      <c r="W1270" s="26">
        <f>IF($G1270="","",IF(N($K1270)=0,0,ROUND($V1270/$K1270,2)))</f>
        <v/>
      </c>
      <c r="X1270" s="17" t="n"/>
      <c r="Y1270" s="17" t="n"/>
      <c r="Z1270" s="17" t="n"/>
      <c r="AA1270" s="17" t="n"/>
      <c r="AB1270" s="17" t="n"/>
      <c r="AC1270" s="24">
        <f>IF($G1270="","",IF($H1270="※编码不在物料档案里","※物料编码不在档案里",IF(N($K1270)&lt;=0,"※入库数量要大于 0",IF(AND($C1270&lt;&gt;"",$C1270&lt;=结账锁),"※日期早于已结账截止日，不能再录",IF(AND($L1270=0,$X1270="正常"),"※没填单价，价格状态请选「待补价」",IF(AND($S1270&gt;0,$R1270&gt;0),"△本批有 "&amp;$S1270&amp;" 行没单价，整批运费先挂账没摊",IF(AND($B1270&lt;&gt;"",COUNTIF($B$4:$B$2503,$B1270)&gt;1),"※入库单号重复","")))))))</f>
        <v/>
      </c>
    </row>
    <row r="1271">
      <c r="A1271" s="24">
        <f>IF($G1271="","",COUNTA($G$4:$G1271))</f>
        <v/>
      </c>
      <c r="B1271" s="17" t="n"/>
      <c r="C1271" s="30" t="n"/>
      <c r="D1271" s="17" t="n"/>
      <c r="E1271" s="17" t="n"/>
      <c r="F1271" s="17" t="n"/>
      <c r="G1271" s="17" t="n"/>
      <c r="H1271" s="24">
        <f>IF($G1271="","",IFERROR(VLOOKUP($G1271,物料档案!$A$4:$P$1203,3,0),"※编码不在物料档案里"))</f>
        <v/>
      </c>
      <c r="I1271" s="24">
        <f>IF($G1271="","",IFERROR(VLOOKUP($G1271,物料档案!$A$4:$P$1203,4,0),"※编码不在物料档案里"))</f>
        <v/>
      </c>
      <c r="J1271" s="24">
        <f>IF($G1271="","",IFERROR(VLOOKUP($G1271,物料档案!$A$4:$P$1203,5,0),"※编码不在物料档案里"))</f>
        <v/>
      </c>
      <c r="K1271" s="23" t="n"/>
      <c r="L1271" s="31" t="n"/>
      <c r="M1271" s="24">
        <f>IF($G1271="","",IF($D1271="A国内","CNY","TZS"))</f>
        <v/>
      </c>
      <c r="N1271" s="28">
        <f>IF($G1271="","",IF($D1271="A国内",汇率,1))</f>
        <v/>
      </c>
      <c r="O1271" s="25">
        <f>IF($G1271="","",ROUND(N($K1271)*N($L1271),2))</f>
        <v/>
      </c>
      <c r="P1271" s="26">
        <f>IF($G1271="","",ROUND($O1271*$N1271,0))</f>
        <v/>
      </c>
      <c r="Q1271" s="26">
        <f>IF($G1271="","",SUMIFS($P$4:$P$2503,$E$4:$E$2503,$E1271,$Z$4:$Z$2503,"正常"))</f>
        <v/>
      </c>
      <c r="R1271" s="26">
        <f>IF($G1271="","",SUMIFS(费用台账!$I$4:$I$503,费用台账!$C$4:$C$503,$E1271,费用台账!$J$4:$J$503,"是",费用台账!$K$4:$K$503,"正常"))</f>
        <v/>
      </c>
      <c r="S1271" s="28">
        <f>IF($G1271="","",COUNTIFS($E$4:$E$2503,$E1271,$Z$4:$Z$2503,"正常",$Y$4:$Y$2503,"待补价"))</f>
        <v/>
      </c>
      <c r="T1271" s="26">
        <f>IF($G1271="","",SUMIFS($P$4:$P$2503,$E$4:$E$2503,$E1271,$Z$4:$Z$2503,"正常",$A$4:$A$2503,"&lt;="&amp;$A1271))</f>
        <v/>
      </c>
      <c r="U1271" s="26">
        <f>IF($G1271="","",IF(OR($S1271&gt;0,$Q1271=0,$R1271=0,$Z1271&lt;&gt;"正常"),0,ROUND($T1271/$Q1271*$R1271,0)-ROUND(($T1271-$P1271)/$Q1271*$R1271,0)))</f>
        <v/>
      </c>
      <c r="V1271" s="26">
        <f>IF($G1271="","",ROUND($P1271+$U1271,0))</f>
        <v/>
      </c>
      <c r="W1271" s="26">
        <f>IF($G1271="","",IF(N($K1271)=0,0,ROUND($V1271/$K1271,2)))</f>
        <v/>
      </c>
      <c r="X1271" s="17" t="n"/>
      <c r="Y1271" s="17" t="n"/>
      <c r="Z1271" s="17" t="n"/>
      <c r="AA1271" s="17" t="n"/>
      <c r="AB1271" s="17" t="n"/>
      <c r="AC1271" s="24">
        <f>IF($G1271="","",IF($H1271="※编码不在物料档案里","※物料编码不在档案里",IF(N($K1271)&lt;=0,"※入库数量要大于 0",IF(AND($C1271&lt;&gt;"",$C1271&lt;=结账锁),"※日期早于已结账截止日，不能再录",IF(AND($L1271=0,$X1271="正常"),"※没填单价，价格状态请选「待补价」",IF(AND($S1271&gt;0,$R1271&gt;0),"△本批有 "&amp;$S1271&amp;" 行没单价，整批运费先挂账没摊",IF(AND($B1271&lt;&gt;"",COUNTIF($B$4:$B$2503,$B1271)&gt;1),"※入库单号重复","")))))))</f>
        <v/>
      </c>
    </row>
    <row r="1272">
      <c r="A1272" s="24">
        <f>IF($G1272="","",COUNTA($G$4:$G1272))</f>
        <v/>
      </c>
      <c r="B1272" s="17" t="n"/>
      <c r="C1272" s="30" t="n"/>
      <c r="D1272" s="17" t="n"/>
      <c r="E1272" s="17" t="n"/>
      <c r="F1272" s="17" t="n"/>
      <c r="G1272" s="17" t="n"/>
      <c r="H1272" s="24">
        <f>IF($G1272="","",IFERROR(VLOOKUP($G1272,物料档案!$A$4:$P$1203,3,0),"※编码不在物料档案里"))</f>
        <v/>
      </c>
      <c r="I1272" s="24">
        <f>IF($G1272="","",IFERROR(VLOOKUP($G1272,物料档案!$A$4:$P$1203,4,0),"※编码不在物料档案里"))</f>
        <v/>
      </c>
      <c r="J1272" s="24">
        <f>IF($G1272="","",IFERROR(VLOOKUP($G1272,物料档案!$A$4:$P$1203,5,0),"※编码不在物料档案里"))</f>
        <v/>
      </c>
      <c r="K1272" s="23" t="n"/>
      <c r="L1272" s="31" t="n"/>
      <c r="M1272" s="24">
        <f>IF($G1272="","",IF($D1272="A国内","CNY","TZS"))</f>
        <v/>
      </c>
      <c r="N1272" s="28">
        <f>IF($G1272="","",IF($D1272="A国内",汇率,1))</f>
        <v/>
      </c>
      <c r="O1272" s="25">
        <f>IF($G1272="","",ROUND(N($K1272)*N($L1272),2))</f>
        <v/>
      </c>
      <c r="P1272" s="26">
        <f>IF($G1272="","",ROUND($O1272*$N1272,0))</f>
        <v/>
      </c>
      <c r="Q1272" s="26">
        <f>IF($G1272="","",SUMIFS($P$4:$P$2503,$E$4:$E$2503,$E1272,$Z$4:$Z$2503,"正常"))</f>
        <v/>
      </c>
      <c r="R1272" s="26">
        <f>IF($G1272="","",SUMIFS(费用台账!$I$4:$I$503,费用台账!$C$4:$C$503,$E1272,费用台账!$J$4:$J$503,"是",费用台账!$K$4:$K$503,"正常"))</f>
        <v/>
      </c>
      <c r="S1272" s="28">
        <f>IF($G1272="","",COUNTIFS($E$4:$E$2503,$E1272,$Z$4:$Z$2503,"正常",$Y$4:$Y$2503,"待补价"))</f>
        <v/>
      </c>
      <c r="T1272" s="26">
        <f>IF($G1272="","",SUMIFS($P$4:$P$2503,$E$4:$E$2503,$E1272,$Z$4:$Z$2503,"正常",$A$4:$A$2503,"&lt;="&amp;$A1272))</f>
        <v/>
      </c>
      <c r="U1272" s="26">
        <f>IF($G1272="","",IF(OR($S1272&gt;0,$Q1272=0,$R1272=0,$Z1272&lt;&gt;"正常"),0,ROUND($T1272/$Q1272*$R1272,0)-ROUND(($T1272-$P1272)/$Q1272*$R1272,0)))</f>
        <v/>
      </c>
      <c r="V1272" s="26">
        <f>IF($G1272="","",ROUND($P1272+$U1272,0))</f>
        <v/>
      </c>
      <c r="W1272" s="26">
        <f>IF($G1272="","",IF(N($K1272)=0,0,ROUND($V1272/$K1272,2)))</f>
        <v/>
      </c>
      <c r="X1272" s="17" t="n"/>
      <c r="Y1272" s="17" t="n"/>
      <c r="Z1272" s="17" t="n"/>
      <c r="AA1272" s="17" t="n"/>
      <c r="AB1272" s="17" t="n"/>
      <c r="AC1272" s="24">
        <f>IF($G1272="","",IF($H1272="※编码不在物料档案里","※物料编码不在档案里",IF(N($K1272)&lt;=0,"※入库数量要大于 0",IF(AND($C1272&lt;&gt;"",$C1272&lt;=结账锁),"※日期早于已结账截止日，不能再录",IF(AND($L1272=0,$X1272="正常"),"※没填单价，价格状态请选「待补价」",IF(AND($S1272&gt;0,$R1272&gt;0),"△本批有 "&amp;$S1272&amp;" 行没单价，整批运费先挂账没摊",IF(AND($B1272&lt;&gt;"",COUNTIF($B$4:$B$2503,$B1272)&gt;1),"※入库单号重复","")))))))</f>
        <v/>
      </c>
    </row>
    <row r="1273">
      <c r="A1273" s="24">
        <f>IF($G1273="","",COUNTA($G$4:$G1273))</f>
        <v/>
      </c>
      <c r="B1273" s="17" t="n"/>
      <c r="C1273" s="30" t="n"/>
      <c r="D1273" s="17" t="n"/>
      <c r="E1273" s="17" t="n"/>
      <c r="F1273" s="17" t="n"/>
      <c r="G1273" s="17" t="n"/>
      <c r="H1273" s="24">
        <f>IF($G1273="","",IFERROR(VLOOKUP($G1273,物料档案!$A$4:$P$1203,3,0),"※编码不在物料档案里"))</f>
        <v/>
      </c>
      <c r="I1273" s="24">
        <f>IF($G1273="","",IFERROR(VLOOKUP($G1273,物料档案!$A$4:$P$1203,4,0),"※编码不在物料档案里"))</f>
        <v/>
      </c>
      <c r="J1273" s="24">
        <f>IF($G1273="","",IFERROR(VLOOKUP($G1273,物料档案!$A$4:$P$1203,5,0),"※编码不在物料档案里"))</f>
        <v/>
      </c>
      <c r="K1273" s="23" t="n"/>
      <c r="L1273" s="31" t="n"/>
      <c r="M1273" s="24">
        <f>IF($G1273="","",IF($D1273="A国内","CNY","TZS"))</f>
        <v/>
      </c>
      <c r="N1273" s="28">
        <f>IF($G1273="","",IF($D1273="A国内",汇率,1))</f>
        <v/>
      </c>
      <c r="O1273" s="25">
        <f>IF($G1273="","",ROUND(N($K1273)*N($L1273),2))</f>
        <v/>
      </c>
      <c r="P1273" s="26">
        <f>IF($G1273="","",ROUND($O1273*$N1273,0))</f>
        <v/>
      </c>
      <c r="Q1273" s="26">
        <f>IF($G1273="","",SUMIFS($P$4:$P$2503,$E$4:$E$2503,$E1273,$Z$4:$Z$2503,"正常"))</f>
        <v/>
      </c>
      <c r="R1273" s="26">
        <f>IF($G1273="","",SUMIFS(费用台账!$I$4:$I$503,费用台账!$C$4:$C$503,$E1273,费用台账!$J$4:$J$503,"是",费用台账!$K$4:$K$503,"正常"))</f>
        <v/>
      </c>
      <c r="S1273" s="28">
        <f>IF($G1273="","",COUNTIFS($E$4:$E$2503,$E1273,$Z$4:$Z$2503,"正常",$Y$4:$Y$2503,"待补价"))</f>
        <v/>
      </c>
      <c r="T1273" s="26">
        <f>IF($G1273="","",SUMIFS($P$4:$P$2503,$E$4:$E$2503,$E1273,$Z$4:$Z$2503,"正常",$A$4:$A$2503,"&lt;="&amp;$A1273))</f>
        <v/>
      </c>
      <c r="U1273" s="26">
        <f>IF($G1273="","",IF(OR($S1273&gt;0,$Q1273=0,$R1273=0,$Z1273&lt;&gt;"正常"),0,ROUND($T1273/$Q1273*$R1273,0)-ROUND(($T1273-$P1273)/$Q1273*$R1273,0)))</f>
        <v/>
      </c>
      <c r="V1273" s="26">
        <f>IF($G1273="","",ROUND($P1273+$U1273,0))</f>
        <v/>
      </c>
      <c r="W1273" s="26">
        <f>IF($G1273="","",IF(N($K1273)=0,0,ROUND($V1273/$K1273,2)))</f>
        <v/>
      </c>
      <c r="X1273" s="17" t="n"/>
      <c r="Y1273" s="17" t="n"/>
      <c r="Z1273" s="17" t="n"/>
      <c r="AA1273" s="17" t="n"/>
      <c r="AB1273" s="17" t="n"/>
      <c r="AC1273" s="24">
        <f>IF($G1273="","",IF($H1273="※编码不在物料档案里","※物料编码不在档案里",IF(N($K1273)&lt;=0,"※入库数量要大于 0",IF(AND($C1273&lt;&gt;"",$C1273&lt;=结账锁),"※日期早于已结账截止日，不能再录",IF(AND($L1273=0,$X1273="正常"),"※没填单价，价格状态请选「待补价」",IF(AND($S1273&gt;0,$R1273&gt;0),"△本批有 "&amp;$S1273&amp;" 行没单价，整批运费先挂账没摊",IF(AND($B1273&lt;&gt;"",COUNTIF($B$4:$B$2503,$B1273)&gt;1),"※入库单号重复","")))))))</f>
        <v/>
      </c>
    </row>
    <row r="1274">
      <c r="A1274" s="24">
        <f>IF($G1274="","",COUNTA($G$4:$G1274))</f>
        <v/>
      </c>
      <c r="B1274" s="17" t="n"/>
      <c r="C1274" s="30" t="n"/>
      <c r="D1274" s="17" t="n"/>
      <c r="E1274" s="17" t="n"/>
      <c r="F1274" s="17" t="n"/>
      <c r="G1274" s="17" t="n"/>
      <c r="H1274" s="24">
        <f>IF($G1274="","",IFERROR(VLOOKUP($G1274,物料档案!$A$4:$P$1203,3,0),"※编码不在物料档案里"))</f>
        <v/>
      </c>
      <c r="I1274" s="24">
        <f>IF($G1274="","",IFERROR(VLOOKUP($G1274,物料档案!$A$4:$P$1203,4,0),"※编码不在物料档案里"))</f>
        <v/>
      </c>
      <c r="J1274" s="24">
        <f>IF($G1274="","",IFERROR(VLOOKUP($G1274,物料档案!$A$4:$P$1203,5,0),"※编码不在物料档案里"))</f>
        <v/>
      </c>
      <c r="K1274" s="23" t="n"/>
      <c r="L1274" s="31" t="n"/>
      <c r="M1274" s="24">
        <f>IF($G1274="","",IF($D1274="A国内","CNY","TZS"))</f>
        <v/>
      </c>
      <c r="N1274" s="28">
        <f>IF($G1274="","",IF($D1274="A国内",汇率,1))</f>
        <v/>
      </c>
      <c r="O1274" s="25">
        <f>IF($G1274="","",ROUND(N($K1274)*N($L1274),2))</f>
        <v/>
      </c>
      <c r="P1274" s="26">
        <f>IF($G1274="","",ROUND($O1274*$N1274,0))</f>
        <v/>
      </c>
      <c r="Q1274" s="26">
        <f>IF($G1274="","",SUMIFS($P$4:$P$2503,$E$4:$E$2503,$E1274,$Z$4:$Z$2503,"正常"))</f>
        <v/>
      </c>
      <c r="R1274" s="26">
        <f>IF($G1274="","",SUMIFS(费用台账!$I$4:$I$503,费用台账!$C$4:$C$503,$E1274,费用台账!$J$4:$J$503,"是",费用台账!$K$4:$K$503,"正常"))</f>
        <v/>
      </c>
      <c r="S1274" s="28">
        <f>IF($G1274="","",COUNTIFS($E$4:$E$2503,$E1274,$Z$4:$Z$2503,"正常",$Y$4:$Y$2503,"待补价"))</f>
        <v/>
      </c>
      <c r="T1274" s="26">
        <f>IF($G1274="","",SUMIFS($P$4:$P$2503,$E$4:$E$2503,$E1274,$Z$4:$Z$2503,"正常",$A$4:$A$2503,"&lt;="&amp;$A1274))</f>
        <v/>
      </c>
      <c r="U1274" s="26">
        <f>IF($G1274="","",IF(OR($S1274&gt;0,$Q1274=0,$R1274=0,$Z1274&lt;&gt;"正常"),0,ROUND($T1274/$Q1274*$R1274,0)-ROUND(($T1274-$P1274)/$Q1274*$R1274,0)))</f>
        <v/>
      </c>
      <c r="V1274" s="26">
        <f>IF($G1274="","",ROUND($P1274+$U1274,0))</f>
        <v/>
      </c>
      <c r="W1274" s="26">
        <f>IF($G1274="","",IF(N($K1274)=0,0,ROUND($V1274/$K1274,2)))</f>
        <v/>
      </c>
      <c r="X1274" s="17" t="n"/>
      <c r="Y1274" s="17" t="n"/>
      <c r="Z1274" s="17" t="n"/>
      <c r="AA1274" s="17" t="n"/>
      <c r="AB1274" s="17" t="n"/>
      <c r="AC1274" s="24">
        <f>IF($G1274="","",IF($H1274="※编码不在物料档案里","※物料编码不在档案里",IF(N($K1274)&lt;=0,"※入库数量要大于 0",IF(AND($C1274&lt;&gt;"",$C1274&lt;=结账锁),"※日期早于已结账截止日，不能再录",IF(AND($L1274=0,$X1274="正常"),"※没填单价，价格状态请选「待补价」",IF(AND($S1274&gt;0,$R1274&gt;0),"△本批有 "&amp;$S1274&amp;" 行没单价，整批运费先挂账没摊",IF(AND($B1274&lt;&gt;"",COUNTIF($B$4:$B$2503,$B1274)&gt;1),"※入库单号重复","")))))))</f>
        <v/>
      </c>
    </row>
    <row r="1275">
      <c r="A1275" s="24">
        <f>IF($G1275="","",COUNTA($G$4:$G1275))</f>
        <v/>
      </c>
      <c r="B1275" s="17" t="n"/>
      <c r="C1275" s="30" t="n"/>
      <c r="D1275" s="17" t="n"/>
      <c r="E1275" s="17" t="n"/>
      <c r="F1275" s="17" t="n"/>
      <c r="G1275" s="17" t="n"/>
      <c r="H1275" s="24">
        <f>IF($G1275="","",IFERROR(VLOOKUP($G1275,物料档案!$A$4:$P$1203,3,0),"※编码不在物料档案里"))</f>
        <v/>
      </c>
      <c r="I1275" s="24">
        <f>IF($G1275="","",IFERROR(VLOOKUP($G1275,物料档案!$A$4:$P$1203,4,0),"※编码不在物料档案里"))</f>
        <v/>
      </c>
      <c r="J1275" s="24">
        <f>IF($G1275="","",IFERROR(VLOOKUP($G1275,物料档案!$A$4:$P$1203,5,0),"※编码不在物料档案里"))</f>
        <v/>
      </c>
      <c r="K1275" s="23" t="n"/>
      <c r="L1275" s="31" t="n"/>
      <c r="M1275" s="24">
        <f>IF($G1275="","",IF($D1275="A国内","CNY","TZS"))</f>
        <v/>
      </c>
      <c r="N1275" s="28">
        <f>IF($G1275="","",IF($D1275="A国内",汇率,1))</f>
        <v/>
      </c>
      <c r="O1275" s="25">
        <f>IF($G1275="","",ROUND(N($K1275)*N($L1275),2))</f>
        <v/>
      </c>
      <c r="P1275" s="26">
        <f>IF($G1275="","",ROUND($O1275*$N1275,0))</f>
        <v/>
      </c>
      <c r="Q1275" s="26">
        <f>IF($G1275="","",SUMIFS($P$4:$P$2503,$E$4:$E$2503,$E1275,$Z$4:$Z$2503,"正常"))</f>
        <v/>
      </c>
      <c r="R1275" s="26">
        <f>IF($G1275="","",SUMIFS(费用台账!$I$4:$I$503,费用台账!$C$4:$C$503,$E1275,费用台账!$J$4:$J$503,"是",费用台账!$K$4:$K$503,"正常"))</f>
        <v/>
      </c>
      <c r="S1275" s="28">
        <f>IF($G1275="","",COUNTIFS($E$4:$E$2503,$E1275,$Z$4:$Z$2503,"正常",$Y$4:$Y$2503,"待补价"))</f>
        <v/>
      </c>
      <c r="T1275" s="26">
        <f>IF($G1275="","",SUMIFS($P$4:$P$2503,$E$4:$E$2503,$E1275,$Z$4:$Z$2503,"正常",$A$4:$A$2503,"&lt;="&amp;$A1275))</f>
        <v/>
      </c>
      <c r="U1275" s="26">
        <f>IF($G1275="","",IF(OR($S1275&gt;0,$Q1275=0,$R1275=0,$Z1275&lt;&gt;"正常"),0,ROUND($T1275/$Q1275*$R1275,0)-ROUND(($T1275-$P1275)/$Q1275*$R1275,0)))</f>
        <v/>
      </c>
      <c r="V1275" s="26">
        <f>IF($G1275="","",ROUND($P1275+$U1275,0))</f>
        <v/>
      </c>
      <c r="W1275" s="26">
        <f>IF($G1275="","",IF(N($K1275)=0,0,ROUND($V1275/$K1275,2)))</f>
        <v/>
      </c>
      <c r="X1275" s="17" t="n"/>
      <c r="Y1275" s="17" t="n"/>
      <c r="Z1275" s="17" t="n"/>
      <c r="AA1275" s="17" t="n"/>
      <c r="AB1275" s="17" t="n"/>
      <c r="AC1275" s="24">
        <f>IF($G1275="","",IF($H1275="※编码不在物料档案里","※物料编码不在档案里",IF(N($K1275)&lt;=0,"※入库数量要大于 0",IF(AND($C1275&lt;&gt;"",$C1275&lt;=结账锁),"※日期早于已结账截止日，不能再录",IF(AND($L1275=0,$X1275="正常"),"※没填单价，价格状态请选「待补价」",IF(AND($S1275&gt;0,$R1275&gt;0),"△本批有 "&amp;$S1275&amp;" 行没单价，整批运费先挂账没摊",IF(AND($B1275&lt;&gt;"",COUNTIF($B$4:$B$2503,$B1275)&gt;1),"※入库单号重复","")))))))</f>
        <v/>
      </c>
    </row>
    <row r="1276">
      <c r="A1276" s="24">
        <f>IF($G1276="","",COUNTA($G$4:$G1276))</f>
        <v/>
      </c>
      <c r="B1276" s="17" t="n"/>
      <c r="C1276" s="30" t="n"/>
      <c r="D1276" s="17" t="n"/>
      <c r="E1276" s="17" t="n"/>
      <c r="F1276" s="17" t="n"/>
      <c r="G1276" s="17" t="n"/>
      <c r="H1276" s="24">
        <f>IF($G1276="","",IFERROR(VLOOKUP($G1276,物料档案!$A$4:$P$1203,3,0),"※编码不在物料档案里"))</f>
        <v/>
      </c>
      <c r="I1276" s="24">
        <f>IF($G1276="","",IFERROR(VLOOKUP($G1276,物料档案!$A$4:$P$1203,4,0),"※编码不在物料档案里"))</f>
        <v/>
      </c>
      <c r="J1276" s="24">
        <f>IF($G1276="","",IFERROR(VLOOKUP($G1276,物料档案!$A$4:$P$1203,5,0),"※编码不在物料档案里"))</f>
        <v/>
      </c>
      <c r="K1276" s="23" t="n"/>
      <c r="L1276" s="31" t="n"/>
      <c r="M1276" s="24">
        <f>IF($G1276="","",IF($D1276="A国内","CNY","TZS"))</f>
        <v/>
      </c>
      <c r="N1276" s="28">
        <f>IF($G1276="","",IF($D1276="A国内",汇率,1))</f>
        <v/>
      </c>
      <c r="O1276" s="25">
        <f>IF($G1276="","",ROUND(N($K1276)*N($L1276),2))</f>
        <v/>
      </c>
      <c r="P1276" s="26">
        <f>IF($G1276="","",ROUND($O1276*$N1276,0))</f>
        <v/>
      </c>
      <c r="Q1276" s="26">
        <f>IF($G1276="","",SUMIFS($P$4:$P$2503,$E$4:$E$2503,$E1276,$Z$4:$Z$2503,"正常"))</f>
        <v/>
      </c>
      <c r="R1276" s="26">
        <f>IF($G1276="","",SUMIFS(费用台账!$I$4:$I$503,费用台账!$C$4:$C$503,$E1276,费用台账!$J$4:$J$503,"是",费用台账!$K$4:$K$503,"正常"))</f>
        <v/>
      </c>
      <c r="S1276" s="28">
        <f>IF($G1276="","",COUNTIFS($E$4:$E$2503,$E1276,$Z$4:$Z$2503,"正常",$Y$4:$Y$2503,"待补价"))</f>
        <v/>
      </c>
      <c r="T1276" s="26">
        <f>IF($G1276="","",SUMIFS($P$4:$P$2503,$E$4:$E$2503,$E1276,$Z$4:$Z$2503,"正常",$A$4:$A$2503,"&lt;="&amp;$A1276))</f>
        <v/>
      </c>
      <c r="U1276" s="26">
        <f>IF($G1276="","",IF(OR($S1276&gt;0,$Q1276=0,$R1276=0,$Z1276&lt;&gt;"正常"),0,ROUND($T1276/$Q1276*$R1276,0)-ROUND(($T1276-$P1276)/$Q1276*$R1276,0)))</f>
        <v/>
      </c>
      <c r="V1276" s="26">
        <f>IF($G1276="","",ROUND($P1276+$U1276,0))</f>
        <v/>
      </c>
      <c r="W1276" s="26">
        <f>IF($G1276="","",IF(N($K1276)=0,0,ROUND($V1276/$K1276,2)))</f>
        <v/>
      </c>
      <c r="X1276" s="17" t="n"/>
      <c r="Y1276" s="17" t="n"/>
      <c r="Z1276" s="17" t="n"/>
      <c r="AA1276" s="17" t="n"/>
      <c r="AB1276" s="17" t="n"/>
      <c r="AC1276" s="24">
        <f>IF($G1276="","",IF($H1276="※编码不在物料档案里","※物料编码不在档案里",IF(N($K1276)&lt;=0,"※入库数量要大于 0",IF(AND($C1276&lt;&gt;"",$C1276&lt;=结账锁),"※日期早于已结账截止日，不能再录",IF(AND($L1276=0,$X1276="正常"),"※没填单价，价格状态请选「待补价」",IF(AND($S1276&gt;0,$R1276&gt;0),"△本批有 "&amp;$S1276&amp;" 行没单价，整批运费先挂账没摊",IF(AND($B1276&lt;&gt;"",COUNTIF($B$4:$B$2503,$B1276)&gt;1),"※入库单号重复","")))))))</f>
        <v/>
      </c>
    </row>
    <row r="1277">
      <c r="A1277" s="24">
        <f>IF($G1277="","",COUNTA($G$4:$G1277))</f>
        <v/>
      </c>
      <c r="B1277" s="17" t="n"/>
      <c r="C1277" s="30" t="n"/>
      <c r="D1277" s="17" t="n"/>
      <c r="E1277" s="17" t="n"/>
      <c r="F1277" s="17" t="n"/>
      <c r="G1277" s="17" t="n"/>
      <c r="H1277" s="24">
        <f>IF($G1277="","",IFERROR(VLOOKUP($G1277,物料档案!$A$4:$P$1203,3,0),"※编码不在物料档案里"))</f>
        <v/>
      </c>
      <c r="I1277" s="24">
        <f>IF($G1277="","",IFERROR(VLOOKUP($G1277,物料档案!$A$4:$P$1203,4,0),"※编码不在物料档案里"))</f>
        <v/>
      </c>
      <c r="J1277" s="24">
        <f>IF($G1277="","",IFERROR(VLOOKUP($G1277,物料档案!$A$4:$P$1203,5,0),"※编码不在物料档案里"))</f>
        <v/>
      </c>
      <c r="K1277" s="23" t="n"/>
      <c r="L1277" s="31" t="n"/>
      <c r="M1277" s="24">
        <f>IF($G1277="","",IF($D1277="A国内","CNY","TZS"))</f>
        <v/>
      </c>
      <c r="N1277" s="28">
        <f>IF($G1277="","",IF($D1277="A国内",汇率,1))</f>
        <v/>
      </c>
      <c r="O1277" s="25">
        <f>IF($G1277="","",ROUND(N($K1277)*N($L1277),2))</f>
        <v/>
      </c>
      <c r="P1277" s="26">
        <f>IF($G1277="","",ROUND($O1277*$N1277,0))</f>
        <v/>
      </c>
      <c r="Q1277" s="26">
        <f>IF($G1277="","",SUMIFS($P$4:$P$2503,$E$4:$E$2503,$E1277,$Z$4:$Z$2503,"正常"))</f>
        <v/>
      </c>
      <c r="R1277" s="26">
        <f>IF($G1277="","",SUMIFS(费用台账!$I$4:$I$503,费用台账!$C$4:$C$503,$E1277,费用台账!$J$4:$J$503,"是",费用台账!$K$4:$K$503,"正常"))</f>
        <v/>
      </c>
      <c r="S1277" s="28">
        <f>IF($G1277="","",COUNTIFS($E$4:$E$2503,$E1277,$Z$4:$Z$2503,"正常",$Y$4:$Y$2503,"待补价"))</f>
        <v/>
      </c>
      <c r="T1277" s="26">
        <f>IF($G1277="","",SUMIFS($P$4:$P$2503,$E$4:$E$2503,$E1277,$Z$4:$Z$2503,"正常",$A$4:$A$2503,"&lt;="&amp;$A1277))</f>
        <v/>
      </c>
      <c r="U1277" s="26">
        <f>IF($G1277="","",IF(OR($S1277&gt;0,$Q1277=0,$R1277=0,$Z1277&lt;&gt;"正常"),0,ROUND($T1277/$Q1277*$R1277,0)-ROUND(($T1277-$P1277)/$Q1277*$R1277,0)))</f>
        <v/>
      </c>
      <c r="V1277" s="26">
        <f>IF($G1277="","",ROUND($P1277+$U1277,0))</f>
        <v/>
      </c>
      <c r="W1277" s="26">
        <f>IF($G1277="","",IF(N($K1277)=0,0,ROUND($V1277/$K1277,2)))</f>
        <v/>
      </c>
      <c r="X1277" s="17" t="n"/>
      <c r="Y1277" s="17" t="n"/>
      <c r="Z1277" s="17" t="n"/>
      <c r="AA1277" s="17" t="n"/>
      <c r="AB1277" s="17" t="n"/>
      <c r="AC1277" s="24">
        <f>IF($G1277="","",IF($H1277="※编码不在物料档案里","※物料编码不在档案里",IF(N($K1277)&lt;=0,"※入库数量要大于 0",IF(AND($C1277&lt;&gt;"",$C1277&lt;=结账锁),"※日期早于已结账截止日，不能再录",IF(AND($L1277=0,$X1277="正常"),"※没填单价，价格状态请选「待补价」",IF(AND($S1277&gt;0,$R1277&gt;0),"△本批有 "&amp;$S1277&amp;" 行没单价，整批运费先挂账没摊",IF(AND($B1277&lt;&gt;"",COUNTIF($B$4:$B$2503,$B1277)&gt;1),"※入库单号重复","")))))))</f>
        <v/>
      </c>
    </row>
    <row r="1278">
      <c r="A1278" s="24">
        <f>IF($G1278="","",COUNTA($G$4:$G1278))</f>
        <v/>
      </c>
      <c r="B1278" s="17" t="n"/>
      <c r="C1278" s="30" t="n"/>
      <c r="D1278" s="17" t="n"/>
      <c r="E1278" s="17" t="n"/>
      <c r="F1278" s="17" t="n"/>
      <c r="G1278" s="17" t="n"/>
      <c r="H1278" s="24">
        <f>IF($G1278="","",IFERROR(VLOOKUP($G1278,物料档案!$A$4:$P$1203,3,0),"※编码不在物料档案里"))</f>
        <v/>
      </c>
      <c r="I1278" s="24">
        <f>IF($G1278="","",IFERROR(VLOOKUP($G1278,物料档案!$A$4:$P$1203,4,0),"※编码不在物料档案里"))</f>
        <v/>
      </c>
      <c r="J1278" s="24">
        <f>IF($G1278="","",IFERROR(VLOOKUP($G1278,物料档案!$A$4:$P$1203,5,0),"※编码不在物料档案里"))</f>
        <v/>
      </c>
      <c r="K1278" s="23" t="n"/>
      <c r="L1278" s="31" t="n"/>
      <c r="M1278" s="24">
        <f>IF($G1278="","",IF($D1278="A国内","CNY","TZS"))</f>
        <v/>
      </c>
      <c r="N1278" s="28">
        <f>IF($G1278="","",IF($D1278="A国内",汇率,1))</f>
        <v/>
      </c>
      <c r="O1278" s="25">
        <f>IF($G1278="","",ROUND(N($K1278)*N($L1278),2))</f>
        <v/>
      </c>
      <c r="P1278" s="26">
        <f>IF($G1278="","",ROUND($O1278*$N1278,0))</f>
        <v/>
      </c>
      <c r="Q1278" s="26">
        <f>IF($G1278="","",SUMIFS($P$4:$P$2503,$E$4:$E$2503,$E1278,$Z$4:$Z$2503,"正常"))</f>
        <v/>
      </c>
      <c r="R1278" s="26">
        <f>IF($G1278="","",SUMIFS(费用台账!$I$4:$I$503,费用台账!$C$4:$C$503,$E1278,费用台账!$J$4:$J$503,"是",费用台账!$K$4:$K$503,"正常"))</f>
        <v/>
      </c>
      <c r="S1278" s="28">
        <f>IF($G1278="","",COUNTIFS($E$4:$E$2503,$E1278,$Z$4:$Z$2503,"正常",$Y$4:$Y$2503,"待补价"))</f>
        <v/>
      </c>
      <c r="T1278" s="26">
        <f>IF($G1278="","",SUMIFS($P$4:$P$2503,$E$4:$E$2503,$E1278,$Z$4:$Z$2503,"正常",$A$4:$A$2503,"&lt;="&amp;$A1278))</f>
        <v/>
      </c>
      <c r="U1278" s="26">
        <f>IF($G1278="","",IF(OR($S1278&gt;0,$Q1278=0,$R1278=0,$Z1278&lt;&gt;"正常"),0,ROUND($T1278/$Q1278*$R1278,0)-ROUND(($T1278-$P1278)/$Q1278*$R1278,0)))</f>
        <v/>
      </c>
      <c r="V1278" s="26">
        <f>IF($G1278="","",ROUND($P1278+$U1278,0))</f>
        <v/>
      </c>
      <c r="W1278" s="26">
        <f>IF($G1278="","",IF(N($K1278)=0,0,ROUND($V1278/$K1278,2)))</f>
        <v/>
      </c>
      <c r="X1278" s="17" t="n"/>
      <c r="Y1278" s="17" t="n"/>
      <c r="Z1278" s="17" t="n"/>
      <c r="AA1278" s="17" t="n"/>
      <c r="AB1278" s="17" t="n"/>
      <c r="AC1278" s="24">
        <f>IF($G1278="","",IF($H1278="※编码不在物料档案里","※物料编码不在档案里",IF(N($K1278)&lt;=0,"※入库数量要大于 0",IF(AND($C1278&lt;&gt;"",$C1278&lt;=结账锁),"※日期早于已结账截止日，不能再录",IF(AND($L1278=0,$X1278="正常"),"※没填单价，价格状态请选「待补价」",IF(AND($S1278&gt;0,$R1278&gt;0),"△本批有 "&amp;$S1278&amp;" 行没单价，整批运费先挂账没摊",IF(AND($B1278&lt;&gt;"",COUNTIF($B$4:$B$2503,$B1278)&gt;1),"※入库单号重复","")))))))</f>
        <v/>
      </c>
    </row>
    <row r="1279">
      <c r="A1279" s="24">
        <f>IF($G1279="","",COUNTA($G$4:$G1279))</f>
        <v/>
      </c>
      <c r="B1279" s="17" t="n"/>
      <c r="C1279" s="30" t="n"/>
      <c r="D1279" s="17" t="n"/>
      <c r="E1279" s="17" t="n"/>
      <c r="F1279" s="17" t="n"/>
      <c r="G1279" s="17" t="n"/>
      <c r="H1279" s="24">
        <f>IF($G1279="","",IFERROR(VLOOKUP($G1279,物料档案!$A$4:$P$1203,3,0),"※编码不在物料档案里"))</f>
        <v/>
      </c>
      <c r="I1279" s="24">
        <f>IF($G1279="","",IFERROR(VLOOKUP($G1279,物料档案!$A$4:$P$1203,4,0),"※编码不在物料档案里"))</f>
        <v/>
      </c>
      <c r="J1279" s="24">
        <f>IF($G1279="","",IFERROR(VLOOKUP($G1279,物料档案!$A$4:$P$1203,5,0),"※编码不在物料档案里"))</f>
        <v/>
      </c>
      <c r="K1279" s="23" t="n"/>
      <c r="L1279" s="31" t="n"/>
      <c r="M1279" s="24">
        <f>IF($G1279="","",IF($D1279="A国内","CNY","TZS"))</f>
        <v/>
      </c>
      <c r="N1279" s="28">
        <f>IF($G1279="","",IF($D1279="A国内",汇率,1))</f>
        <v/>
      </c>
      <c r="O1279" s="25">
        <f>IF($G1279="","",ROUND(N($K1279)*N($L1279),2))</f>
        <v/>
      </c>
      <c r="P1279" s="26">
        <f>IF($G1279="","",ROUND($O1279*$N1279,0))</f>
        <v/>
      </c>
      <c r="Q1279" s="26">
        <f>IF($G1279="","",SUMIFS($P$4:$P$2503,$E$4:$E$2503,$E1279,$Z$4:$Z$2503,"正常"))</f>
        <v/>
      </c>
      <c r="R1279" s="26">
        <f>IF($G1279="","",SUMIFS(费用台账!$I$4:$I$503,费用台账!$C$4:$C$503,$E1279,费用台账!$J$4:$J$503,"是",费用台账!$K$4:$K$503,"正常"))</f>
        <v/>
      </c>
      <c r="S1279" s="28">
        <f>IF($G1279="","",COUNTIFS($E$4:$E$2503,$E1279,$Z$4:$Z$2503,"正常",$Y$4:$Y$2503,"待补价"))</f>
        <v/>
      </c>
      <c r="T1279" s="26">
        <f>IF($G1279="","",SUMIFS($P$4:$P$2503,$E$4:$E$2503,$E1279,$Z$4:$Z$2503,"正常",$A$4:$A$2503,"&lt;="&amp;$A1279))</f>
        <v/>
      </c>
      <c r="U1279" s="26">
        <f>IF($G1279="","",IF(OR($S1279&gt;0,$Q1279=0,$R1279=0,$Z1279&lt;&gt;"正常"),0,ROUND($T1279/$Q1279*$R1279,0)-ROUND(($T1279-$P1279)/$Q1279*$R1279,0)))</f>
        <v/>
      </c>
      <c r="V1279" s="26">
        <f>IF($G1279="","",ROUND($P1279+$U1279,0))</f>
        <v/>
      </c>
      <c r="W1279" s="26">
        <f>IF($G1279="","",IF(N($K1279)=0,0,ROUND($V1279/$K1279,2)))</f>
        <v/>
      </c>
      <c r="X1279" s="17" t="n"/>
      <c r="Y1279" s="17" t="n"/>
      <c r="Z1279" s="17" t="n"/>
      <c r="AA1279" s="17" t="n"/>
      <c r="AB1279" s="17" t="n"/>
      <c r="AC1279" s="24">
        <f>IF($G1279="","",IF($H1279="※编码不在物料档案里","※物料编码不在档案里",IF(N($K1279)&lt;=0,"※入库数量要大于 0",IF(AND($C1279&lt;&gt;"",$C1279&lt;=结账锁),"※日期早于已结账截止日，不能再录",IF(AND($L1279=0,$X1279="正常"),"※没填单价，价格状态请选「待补价」",IF(AND($S1279&gt;0,$R1279&gt;0),"△本批有 "&amp;$S1279&amp;" 行没单价，整批运费先挂账没摊",IF(AND($B1279&lt;&gt;"",COUNTIF($B$4:$B$2503,$B1279)&gt;1),"※入库单号重复","")))))))</f>
        <v/>
      </c>
    </row>
    <row r="1280">
      <c r="A1280" s="24">
        <f>IF($G1280="","",COUNTA($G$4:$G1280))</f>
        <v/>
      </c>
      <c r="B1280" s="17" t="n"/>
      <c r="C1280" s="30" t="n"/>
      <c r="D1280" s="17" t="n"/>
      <c r="E1280" s="17" t="n"/>
      <c r="F1280" s="17" t="n"/>
      <c r="G1280" s="17" t="n"/>
      <c r="H1280" s="24">
        <f>IF($G1280="","",IFERROR(VLOOKUP($G1280,物料档案!$A$4:$P$1203,3,0),"※编码不在物料档案里"))</f>
        <v/>
      </c>
      <c r="I1280" s="24">
        <f>IF($G1280="","",IFERROR(VLOOKUP($G1280,物料档案!$A$4:$P$1203,4,0),"※编码不在物料档案里"))</f>
        <v/>
      </c>
      <c r="J1280" s="24">
        <f>IF($G1280="","",IFERROR(VLOOKUP($G1280,物料档案!$A$4:$P$1203,5,0),"※编码不在物料档案里"))</f>
        <v/>
      </c>
      <c r="K1280" s="23" t="n"/>
      <c r="L1280" s="31" t="n"/>
      <c r="M1280" s="24">
        <f>IF($G1280="","",IF($D1280="A国内","CNY","TZS"))</f>
        <v/>
      </c>
      <c r="N1280" s="28">
        <f>IF($G1280="","",IF($D1280="A国内",汇率,1))</f>
        <v/>
      </c>
      <c r="O1280" s="25">
        <f>IF($G1280="","",ROUND(N($K1280)*N($L1280),2))</f>
        <v/>
      </c>
      <c r="P1280" s="26">
        <f>IF($G1280="","",ROUND($O1280*$N1280,0))</f>
        <v/>
      </c>
      <c r="Q1280" s="26">
        <f>IF($G1280="","",SUMIFS($P$4:$P$2503,$E$4:$E$2503,$E1280,$Z$4:$Z$2503,"正常"))</f>
        <v/>
      </c>
      <c r="R1280" s="26">
        <f>IF($G1280="","",SUMIFS(费用台账!$I$4:$I$503,费用台账!$C$4:$C$503,$E1280,费用台账!$J$4:$J$503,"是",费用台账!$K$4:$K$503,"正常"))</f>
        <v/>
      </c>
      <c r="S1280" s="28">
        <f>IF($G1280="","",COUNTIFS($E$4:$E$2503,$E1280,$Z$4:$Z$2503,"正常",$Y$4:$Y$2503,"待补价"))</f>
        <v/>
      </c>
      <c r="T1280" s="26">
        <f>IF($G1280="","",SUMIFS($P$4:$P$2503,$E$4:$E$2503,$E1280,$Z$4:$Z$2503,"正常",$A$4:$A$2503,"&lt;="&amp;$A1280))</f>
        <v/>
      </c>
      <c r="U1280" s="26">
        <f>IF($G1280="","",IF(OR($S1280&gt;0,$Q1280=0,$R1280=0,$Z1280&lt;&gt;"正常"),0,ROUND($T1280/$Q1280*$R1280,0)-ROUND(($T1280-$P1280)/$Q1280*$R1280,0)))</f>
        <v/>
      </c>
      <c r="V1280" s="26">
        <f>IF($G1280="","",ROUND($P1280+$U1280,0))</f>
        <v/>
      </c>
      <c r="W1280" s="26">
        <f>IF($G1280="","",IF(N($K1280)=0,0,ROUND($V1280/$K1280,2)))</f>
        <v/>
      </c>
      <c r="X1280" s="17" t="n"/>
      <c r="Y1280" s="17" t="n"/>
      <c r="Z1280" s="17" t="n"/>
      <c r="AA1280" s="17" t="n"/>
      <c r="AB1280" s="17" t="n"/>
      <c r="AC1280" s="24">
        <f>IF($G1280="","",IF($H1280="※编码不在物料档案里","※物料编码不在档案里",IF(N($K1280)&lt;=0,"※入库数量要大于 0",IF(AND($C1280&lt;&gt;"",$C1280&lt;=结账锁),"※日期早于已结账截止日，不能再录",IF(AND($L1280=0,$X1280="正常"),"※没填单价，价格状态请选「待补价」",IF(AND($S1280&gt;0,$R1280&gt;0),"△本批有 "&amp;$S1280&amp;" 行没单价，整批运费先挂账没摊",IF(AND($B1280&lt;&gt;"",COUNTIF($B$4:$B$2503,$B1280)&gt;1),"※入库单号重复","")))))))</f>
        <v/>
      </c>
    </row>
    <row r="1281">
      <c r="A1281" s="24">
        <f>IF($G1281="","",COUNTA($G$4:$G1281))</f>
        <v/>
      </c>
      <c r="B1281" s="17" t="n"/>
      <c r="C1281" s="30" t="n"/>
      <c r="D1281" s="17" t="n"/>
      <c r="E1281" s="17" t="n"/>
      <c r="F1281" s="17" t="n"/>
      <c r="G1281" s="17" t="n"/>
      <c r="H1281" s="24">
        <f>IF($G1281="","",IFERROR(VLOOKUP($G1281,物料档案!$A$4:$P$1203,3,0),"※编码不在物料档案里"))</f>
        <v/>
      </c>
      <c r="I1281" s="24">
        <f>IF($G1281="","",IFERROR(VLOOKUP($G1281,物料档案!$A$4:$P$1203,4,0),"※编码不在物料档案里"))</f>
        <v/>
      </c>
      <c r="J1281" s="24">
        <f>IF($G1281="","",IFERROR(VLOOKUP($G1281,物料档案!$A$4:$P$1203,5,0),"※编码不在物料档案里"))</f>
        <v/>
      </c>
      <c r="K1281" s="23" t="n"/>
      <c r="L1281" s="31" t="n"/>
      <c r="M1281" s="24">
        <f>IF($G1281="","",IF($D1281="A国内","CNY","TZS"))</f>
        <v/>
      </c>
      <c r="N1281" s="28">
        <f>IF($G1281="","",IF($D1281="A国内",汇率,1))</f>
        <v/>
      </c>
      <c r="O1281" s="25">
        <f>IF($G1281="","",ROUND(N($K1281)*N($L1281),2))</f>
        <v/>
      </c>
      <c r="P1281" s="26">
        <f>IF($G1281="","",ROUND($O1281*$N1281,0))</f>
        <v/>
      </c>
      <c r="Q1281" s="26">
        <f>IF($G1281="","",SUMIFS($P$4:$P$2503,$E$4:$E$2503,$E1281,$Z$4:$Z$2503,"正常"))</f>
        <v/>
      </c>
      <c r="R1281" s="26">
        <f>IF($G1281="","",SUMIFS(费用台账!$I$4:$I$503,费用台账!$C$4:$C$503,$E1281,费用台账!$J$4:$J$503,"是",费用台账!$K$4:$K$503,"正常"))</f>
        <v/>
      </c>
      <c r="S1281" s="28">
        <f>IF($G1281="","",COUNTIFS($E$4:$E$2503,$E1281,$Z$4:$Z$2503,"正常",$Y$4:$Y$2503,"待补价"))</f>
        <v/>
      </c>
      <c r="T1281" s="26">
        <f>IF($G1281="","",SUMIFS($P$4:$P$2503,$E$4:$E$2503,$E1281,$Z$4:$Z$2503,"正常",$A$4:$A$2503,"&lt;="&amp;$A1281))</f>
        <v/>
      </c>
      <c r="U1281" s="26">
        <f>IF($G1281="","",IF(OR($S1281&gt;0,$Q1281=0,$R1281=0,$Z1281&lt;&gt;"正常"),0,ROUND($T1281/$Q1281*$R1281,0)-ROUND(($T1281-$P1281)/$Q1281*$R1281,0)))</f>
        <v/>
      </c>
      <c r="V1281" s="26">
        <f>IF($G1281="","",ROUND($P1281+$U1281,0))</f>
        <v/>
      </c>
      <c r="W1281" s="26">
        <f>IF($G1281="","",IF(N($K1281)=0,0,ROUND($V1281/$K1281,2)))</f>
        <v/>
      </c>
      <c r="X1281" s="17" t="n"/>
      <c r="Y1281" s="17" t="n"/>
      <c r="Z1281" s="17" t="n"/>
      <c r="AA1281" s="17" t="n"/>
      <c r="AB1281" s="17" t="n"/>
      <c r="AC1281" s="24">
        <f>IF($G1281="","",IF($H1281="※编码不在物料档案里","※物料编码不在档案里",IF(N($K1281)&lt;=0,"※入库数量要大于 0",IF(AND($C1281&lt;&gt;"",$C1281&lt;=结账锁),"※日期早于已结账截止日，不能再录",IF(AND($L1281=0,$X1281="正常"),"※没填单价，价格状态请选「待补价」",IF(AND($S1281&gt;0,$R1281&gt;0),"△本批有 "&amp;$S1281&amp;" 行没单价，整批运费先挂账没摊",IF(AND($B1281&lt;&gt;"",COUNTIF($B$4:$B$2503,$B1281)&gt;1),"※入库单号重复","")))))))</f>
        <v/>
      </c>
    </row>
    <row r="1282">
      <c r="A1282" s="24">
        <f>IF($G1282="","",COUNTA($G$4:$G1282))</f>
        <v/>
      </c>
      <c r="B1282" s="17" t="n"/>
      <c r="C1282" s="30" t="n"/>
      <c r="D1282" s="17" t="n"/>
      <c r="E1282" s="17" t="n"/>
      <c r="F1282" s="17" t="n"/>
      <c r="G1282" s="17" t="n"/>
      <c r="H1282" s="24">
        <f>IF($G1282="","",IFERROR(VLOOKUP($G1282,物料档案!$A$4:$P$1203,3,0),"※编码不在物料档案里"))</f>
        <v/>
      </c>
      <c r="I1282" s="24">
        <f>IF($G1282="","",IFERROR(VLOOKUP($G1282,物料档案!$A$4:$P$1203,4,0),"※编码不在物料档案里"))</f>
        <v/>
      </c>
      <c r="J1282" s="24">
        <f>IF($G1282="","",IFERROR(VLOOKUP($G1282,物料档案!$A$4:$P$1203,5,0),"※编码不在物料档案里"))</f>
        <v/>
      </c>
      <c r="K1282" s="23" t="n"/>
      <c r="L1282" s="31" t="n"/>
      <c r="M1282" s="24">
        <f>IF($G1282="","",IF($D1282="A国内","CNY","TZS"))</f>
        <v/>
      </c>
      <c r="N1282" s="28">
        <f>IF($G1282="","",IF($D1282="A国内",汇率,1))</f>
        <v/>
      </c>
      <c r="O1282" s="25">
        <f>IF($G1282="","",ROUND(N($K1282)*N($L1282),2))</f>
        <v/>
      </c>
      <c r="P1282" s="26">
        <f>IF($G1282="","",ROUND($O1282*$N1282,0))</f>
        <v/>
      </c>
      <c r="Q1282" s="26">
        <f>IF($G1282="","",SUMIFS($P$4:$P$2503,$E$4:$E$2503,$E1282,$Z$4:$Z$2503,"正常"))</f>
        <v/>
      </c>
      <c r="R1282" s="26">
        <f>IF($G1282="","",SUMIFS(费用台账!$I$4:$I$503,费用台账!$C$4:$C$503,$E1282,费用台账!$J$4:$J$503,"是",费用台账!$K$4:$K$503,"正常"))</f>
        <v/>
      </c>
      <c r="S1282" s="28">
        <f>IF($G1282="","",COUNTIFS($E$4:$E$2503,$E1282,$Z$4:$Z$2503,"正常",$Y$4:$Y$2503,"待补价"))</f>
        <v/>
      </c>
      <c r="T1282" s="26">
        <f>IF($G1282="","",SUMIFS($P$4:$P$2503,$E$4:$E$2503,$E1282,$Z$4:$Z$2503,"正常",$A$4:$A$2503,"&lt;="&amp;$A1282))</f>
        <v/>
      </c>
      <c r="U1282" s="26">
        <f>IF($G1282="","",IF(OR($S1282&gt;0,$Q1282=0,$R1282=0,$Z1282&lt;&gt;"正常"),0,ROUND($T1282/$Q1282*$R1282,0)-ROUND(($T1282-$P1282)/$Q1282*$R1282,0)))</f>
        <v/>
      </c>
      <c r="V1282" s="26">
        <f>IF($G1282="","",ROUND($P1282+$U1282,0))</f>
        <v/>
      </c>
      <c r="W1282" s="26">
        <f>IF($G1282="","",IF(N($K1282)=0,0,ROUND($V1282/$K1282,2)))</f>
        <v/>
      </c>
      <c r="X1282" s="17" t="n"/>
      <c r="Y1282" s="17" t="n"/>
      <c r="Z1282" s="17" t="n"/>
      <c r="AA1282" s="17" t="n"/>
      <c r="AB1282" s="17" t="n"/>
      <c r="AC1282" s="24">
        <f>IF($G1282="","",IF($H1282="※编码不在物料档案里","※物料编码不在档案里",IF(N($K1282)&lt;=0,"※入库数量要大于 0",IF(AND($C1282&lt;&gt;"",$C1282&lt;=结账锁),"※日期早于已结账截止日，不能再录",IF(AND($L1282=0,$X1282="正常"),"※没填单价，价格状态请选「待补价」",IF(AND($S1282&gt;0,$R1282&gt;0),"△本批有 "&amp;$S1282&amp;" 行没单价，整批运费先挂账没摊",IF(AND($B1282&lt;&gt;"",COUNTIF($B$4:$B$2503,$B1282)&gt;1),"※入库单号重复","")))))))</f>
        <v/>
      </c>
    </row>
    <row r="1283">
      <c r="A1283" s="24">
        <f>IF($G1283="","",COUNTA($G$4:$G1283))</f>
        <v/>
      </c>
      <c r="B1283" s="17" t="n"/>
      <c r="C1283" s="30" t="n"/>
      <c r="D1283" s="17" t="n"/>
      <c r="E1283" s="17" t="n"/>
      <c r="F1283" s="17" t="n"/>
      <c r="G1283" s="17" t="n"/>
      <c r="H1283" s="24">
        <f>IF($G1283="","",IFERROR(VLOOKUP($G1283,物料档案!$A$4:$P$1203,3,0),"※编码不在物料档案里"))</f>
        <v/>
      </c>
      <c r="I1283" s="24">
        <f>IF($G1283="","",IFERROR(VLOOKUP($G1283,物料档案!$A$4:$P$1203,4,0),"※编码不在物料档案里"))</f>
        <v/>
      </c>
      <c r="J1283" s="24">
        <f>IF($G1283="","",IFERROR(VLOOKUP($G1283,物料档案!$A$4:$P$1203,5,0),"※编码不在物料档案里"))</f>
        <v/>
      </c>
      <c r="K1283" s="23" t="n"/>
      <c r="L1283" s="31" t="n"/>
      <c r="M1283" s="24">
        <f>IF($G1283="","",IF($D1283="A国内","CNY","TZS"))</f>
        <v/>
      </c>
      <c r="N1283" s="28">
        <f>IF($G1283="","",IF($D1283="A国内",汇率,1))</f>
        <v/>
      </c>
      <c r="O1283" s="25">
        <f>IF($G1283="","",ROUND(N($K1283)*N($L1283),2))</f>
        <v/>
      </c>
      <c r="P1283" s="26">
        <f>IF($G1283="","",ROUND($O1283*$N1283,0))</f>
        <v/>
      </c>
      <c r="Q1283" s="26">
        <f>IF($G1283="","",SUMIFS($P$4:$P$2503,$E$4:$E$2503,$E1283,$Z$4:$Z$2503,"正常"))</f>
        <v/>
      </c>
      <c r="R1283" s="26">
        <f>IF($G1283="","",SUMIFS(费用台账!$I$4:$I$503,费用台账!$C$4:$C$503,$E1283,费用台账!$J$4:$J$503,"是",费用台账!$K$4:$K$503,"正常"))</f>
        <v/>
      </c>
      <c r="S1283" s="28">
        <f>IF($G1283="","",COUNTIFS($E$4:$E$2503,$E1283,$Z$4:$Z$2503,"正常",$Y$4:$Y$2503,"待补价"))</f>
        <v/>
      </c>
      <c r="T1283" s="26">
        <f>IF($G1283="","",SUMIFS($P$4:$P$2503,$E$4:$E$2503,$E1283,$Z$4:$Z$2503,"正常",$A$4:$A$2503,"&lt;="&amp;$A1283))</f>
        <v/>
      </c>
      <c r="U1283" s="26">
        <f>IF($G1283="","",IF(OR($S1283&gt;0,$Q1283=0,$R1283=0,$Z1283&lt;&gt;"正常"),0,ROUND($T1283/$Q1283*$R1283,0)-ROUND(($T1283-$P1283)/$Q1283*$R1283,0)))</f>
        <v/>
      </c>
      <c r="V1283" s="26">
        <f>IF($G1283="","",ROUND($P1283+$U1283,0))</f>
        <v/>
      </c>
      <c r="W1283" s="26">
        <f>IF($G1283="","",IF(N($K1283)=0,0,ROUND($V1283/$K1283,2)))</f>
        <v/>
      </c>
      <c r="X1283" s="17" t="n"/>
      <c r="Y1283" s="17" t="n"/>
      <c r="Z1283" s="17" t="n"/>
      <c r="AA1283" s="17" t="n"/>
      <c r="AB1283" s="17" t="n"/>
      <c r="AC1283" s="24">
        <f>IF($G1283="","",IF($H1283="※编码不在物料档案里","※物料编码不在档案里",IF(N($K1283)&lt;=0,"※入库数量要大于 0",IF(AND($C1283&lt;&gt;"",$C1283&lt;=结账锁),"※日期早于已结账截止日，不能再录",IF(AND($L1283=0,$X1283="正常"),"※没填单价，价格状态请选「待补价」",IF(AND($S1283&gt;0,$R1283&gt;0),"△本批有 "&amp;$S1283&amp;" 行没单价，整批运费先挂账没摊",IF(AND($B1283&lt;&gt;"",COUNTIF($B$4:$B$2503,$B1283)&gt;1),"※入库单号重复","")))))))</f>
        <v/>
      </c>
    </row>
    <row r="1284">
      <c r="A1284" s="24">
        <f>IF($G1284="","",COUNTA($G$4:$G1284))</f>
        <v/>
      </c>
      <c r="B1284" s="17" t="n"/>
      <c r="C1284" s="30" t="n"/>
      <c r="D1284" s="17" t="n"/>
      <c r="E1284" s="17" t="n"/>
      <c r="F1284" s="17" t="n"/>
      <c r="G1284" s="17" t="n"/>
      <c r="H1284" s="24">
        <f>IF($G1284="","",IFERROR(VLOOKUP($G1284,物料档案!$A$4:$P$1203,3,0),"※编码不在物料档案里"))</f>
        <v/>
      </c>
      <c r="I1284" s="24">
        <f>IF($G1284="","",IFERROR(VLOOKUP($G1284,物料档案!$A$4:$P$1203,4,0),"※编码不在物料档案里"))</f>
        <v/>
      </c>
      <c r="J1284" s="24">
        <f>IF($G1284="","",IFERROR(VLOOKUP($G1284,物料档案!$A$4:$P$1203,5,0),"※编码不在物料档案里"))</f>
        <v/>
      </c>
      <c r="K1284" s="23" t="n"/>
      <c r="L1284" s="31" t="n"/>
      <c r="M1284" s="24">
        <f>IF($G1284="","",IF($D1284="A国内","CNY","TZS"))</f>
        <v/>
      </c>
      <c r="N1284" s="28">
        <f>IF($G1284="","",IF($D1284="A国内",汇率,1))</f>
        <v/>
      </c>
      <c r="O1284" s="25">
        <f>IF($G1284="","",ROUND(N($K1284)*N($L1284),2))</f>
        <v/>
      </c>
      <c r="P1284" s="26">
        <f>IF($G1284="","",ROUND($O1284*$N1284,0))</f>
        <v/>
      </c>
      <c r="Q1284" s="26">
        <f>IF($G1284="","",SUMIFS($P$4:$P$2503,$E$4:$E$2503,$E1284,$Z$4:$Z$2503,"正常"))</f>
        <v/>
      </c>
      <c r="R1284" s="26">
        <f>IF($G1284="","",SUMIFS(费用台账!$I$4:$I$503,费用台账!$C$4:$C$503,$E1284,费用台账!$J$4:$J$503,"是",费用台账!$K$4:$K$503,"正常"))</f>
        <v/>
      </c>
      <c r="S1284" s="28">
        <f>IF($G1284="","",COUNTIFS($E$4:$E$2503,$E1284,$Z$4:$Z$2503,"正常",$Y$4:$Y$2503,"待补价"))</f>
        <v/>
      </c>
      <c r="T1284" s="26">
        <f>IF($G1284="","",SUMIFS($P$4:$P$2503,$E$4:$E$2503,$E1284,$Z$4:$Z$2503,"正常",$A$4:$A$2503,"&lt;="&amp;$A1284))</f>
        <v/>
      </c>
      <c r="U1284" s="26">
        <f>IF($G1284="","",IF(OR($S1284&gt;0,$Q1284=0,$R1284=0,$Z1284&lt;&gt;"正常"),0,ROUND($T1284/$Q1284*$R1284,0)-ROUND(($T1284-$P1284)/$Q1284*$R1284,0)))</f>
        <v/>
      </c>
      <c r="V1284" s="26">
        <f>IF($G1284="","",ROUND($P1284+$U1284,0))</f>
        <v/>
      </c>
      <c r="W1284" s="26">
        <f>IF($G1284="","",IF(N($K1284)=0,0,ROUND($V1284/$K1284,2)))</f>
        <v/>
      </c>
      <c r="X1284" s="17" t="n"/>
      <c r="Y1284" s="17" t="n"/>
      <c r="Z1284" s="17" t="n"/>
      <c r="AA1284" s="17" t="n"/>
      <c r="AB1284" s="17" t="n"/>
      <c r="AC1284" s="24">
        <f>IF($G1284="","",IF($H1284="※编码不在物料档案里","※物料编码不在档案里",IF(N($K1284)&lt;=0,"※入库数量要大于 0",IF(AND($C1284&lt;&gt;"",$C1284&lt;=结账锁),"※日期早于已结账截止日，不能再录",IF(AND($L1284=0,$X1284="正常"),"※没填单价，价格状态请选「待补价」",IF(AND($S1284&gt;0,$R1284&gt;0),"△本批有 "&amp;$S1284&amp;" 行没单价，整批运费先挂账没摊",IF(AND($B1284&lt;&gt;"",COUNTIF($B$4:$B$2503,$B1284)&gt;1),"※入库单号重复","")))))))</f>
        <v/>
      </c>
    </row>
    <row r="1285">
      <c r="A1285" s="24">
        <f>IF($G1285="","",COUNTA($G$4:$G1285))</f>
        <v/>
      </c>
      <c r="B1285" s="17" t="n"/>
      <c r="C1285" s="30" t="n"/>
      <c r="D1285" s="17" t="n"/>
      <c r="E1285" s="17" t="n"/>
      <c r="F1285" s="17" t="n"/>
      <c r="G1285" s="17" t="n"/>
      <c r="H1285" s="24">
        <f>IF($G1285="","",IFERROR(VLOOKUP($G1285,物料档案!$A$4:$P$1203,3,0),"※编码不在物料档案里"))</f>
        <v/>
      </c>
      <c r="I1285" s="24">
        <f>IF($G1285="","",IFERROR(VLOOKUP($G1285,物料档案!$A$4:$P$1203,4,0),"※编码不在物料档案里"))</f>
        <v/>
      </c>
      <c r="J1285" s="24">
        <f>IF($G1285="","",IFERROR(VLOOKUP($G1285,物料档案!$A$4:$P$1203,5,0),"※编码不在物料档案里"))</f>
        <v/>
      </c>
      <c r="K1285" s="23" t="n"/>
      <c r="L1285" s="31" t="n"/>
      <c r="M1285" s="24">
        <f>IF($G1285="","",IF($D1285="A国内","CNY","TZS"))</f>
        <v/>
      </c>
      <c r="N1285" s="28">
        <f>IF($G1285="","",IF($D1285="A国内",汇率,1))</f>
        <v/>
      </c>
      <c r="O1285" s="25">
        <f>IF($G1285="","",ROUND(N($K1285)*N($L1285),2))</f>
        <v/>
      </c>
      <c r="P1285" s="26">
        <f>IF($G1285="","",ROUND($O1285*$N1285,0))</f>
        <v/>
      </c>
      <c r="Q1285" s="26">
        <f>IF($G1285="","",SUMIFS($P$4:$P$2503,$E$4:$E$2503,$E1285,$Z$4:$Z$2503,"正常"))</f>
        <v/>
      </c>
      <c r="R1285" s="26">
        <f>IF($G1285="","",SUMIFS(费用台账!$I$4:$I$503,费用台账!$C$4:$C$503,$E1285,费用台账!$J$4:$J$503,"是",费用台账!$K$4:$K$503,"正常"))</f>
        <v/>
      </c>
      <c r="S1285" s="28">
        <f>IF($G1285="","",COUNTIFS($E$4:$E$2503,$E1285,$Z$4:$Z$2503,"正常",$Y$4:$Y$2503,"待补价"))</f>
        <v/>
      </c>
      <c r="T1285" s="26">
        <f>IF($G1285="","",SUMIFS($P$4:$P$2503,$E$4:$E$2503,$E1285,$Z$4:$Z$2503,"正常",$A$4:$A$2503,"&lt;="&amp;$A1285))</f>
        <v/>
      </c>
      <c r="U1285" s="26">
        <f>IF($G1285="","",IF(OR($S1285&gt;0,$Q1285=0,$R1285=0,$Z1285&lt;&gt;"正常"),0,ROUND($T1285/$Q1285*$R1285,0)-ROUND(($T1285-$P1285)/$Q1285*$R1285,0)))</f>
        <v/>
      </c>
      <c r="V1285" s="26">
        <f>IF($G1285="","",ROUND($P1285+$U1285,0))</f>
        <v/>
      </c>
      <c r="W1285" s="26">
        <f>IF($G1285="","",IF(N($K1285)=0,0,ROUND($V1285/$K1285,2)))</f>
        <v/>
      </c>
      <c r="X1285" s="17" t="n"/>
      <c r="Y1285" s="17" t="n"/>
      <c r="Z1285" s="17" t="n"/>
      <c r="AA1285" s="17" t="n"/>
      <c r="AB1285" s="17" t="n"/>
      <c r="AC1285" s="24">
        <f>IF($G1285="","",IF($H1285="※编码不在物料档案里","※物料编码不在档案里",IF(N($K1285)&lt;=0,"※入库数量要大于 0",IF(AND($C1285&lt;&gt;"",$C1285&lt;=结账锁),"※日期早于已结账截止日，不能再录",IF(AND($L1285=0,$X1285="正常"),"※没填单价，价格状态请选「待补价」",IF(AND($S1285&gt;0,$R1285&gt;0),"△本批有 "&amp;$S1285&amp;" 行没单价，整批运费先挂账没摊",IF(AND($B1285&lt;&gt;"",COUNTIF($B$4:$B$2503,$B1285)&gt;1),"※入库单号重复","")))))))</f>
        <v/>
      </c>
    </row>
    <row r="1286">
      <c r="A1286" s="24">
        <f>IF($G1286="","",COUNTA($G$4:$G1286))</f>
        <v/>
      </c>
      <c r="B1286" s="17" t="n"/>
      <c r="C1286" s="30" t="n"/>
      <c r="D1286" s="17" t="n"/>
      <c r="E1286" s="17" t="n"/>
      <c r="F1286" s="17" t="n"/>
      <c r="G1286" s="17" t="n"/>
      <c r="H1286" s="24">
        <f>IF($G1286="","",IFERROR(VLOOKUP($G1286,物料档案!$A$4:$P$1203,3,0),"※编码不在物料档案里"))</f>
        <v/>
      </c>
      <c r="I1286" s="24">
        <f>IF($G1286="","",IFERROR(VLOOKUP($G1286,物料档案!$A$4:$P$1203,4,0),"※编码不在物料档案里"))</f>
        <v/>
      </c>
      <c r="J1286" s="24">
        <f>IF($G1286="","",IFERROR(VLOOKUP($G1286,物料档案!$A$4:$P$1203,5,0),"※编码不在物料档案里"))</f>
        <v/>
      </c>
      <c r="K1286" s="23" t="n"/>
      <c r="L1286" s="31" t="n"/>
      <c r="M1286" s="24">
        <f>IF($G1286="","",IF($D1286="A国内","CNY","TZS"))</f>
        <v/>
      </c>
      <c r="N1286" s="28">
        <f>IF($G1286="","",IF($D1286="A国内",汇率,1))</f>
        <v/>
      </c>
      <c r="O1286" s="25">
        <f>IF($G1286="","",ROUND(N($K1286)*N($L1286),2))</f>
        <v/>
      </c>
      <c r="P1286" s="26">
        <f>IF($G1286="","",ROUND($O1286*$N1286,0))</f>
        <v/>
      </c>
      <c r="Q1286" s="26">
        <f>IF($G1286="","",SUMIFS($P$4:$P$2503,$E$4:$E$2503,$E1286,$Z$4:$Z$2503,"正常"))</f>
        <v/>
      </c>
      <c r="R1286" s="26">
        <f>IF($G1286="","",SUMIFS(费用台账!$I$4:$I$503,费用台账!$C$4:$C$503,$E1286,费用台账!$J$4:$J$503,"是",费用台账!$K$4:$K$503,"正常"))</f>
        <v/>
      </c>
      <c r="S1286" s="28">
        <f>IF($G1286="","",COUNTIFS($E$4:$E$2503,$E1286,$Z$4:$Z$2503,"正常",$Y$4:$Y$2503,"待补价"))</f>
        <v/>
      </c>
      <c r="T1286" s="26">
        <f>IF($G1286="","",SUMIFS($P$4:$P$2503,$E$4:$E$2503,$E1286,$Z$4:$Z$2503,"正常",$A$4:$A$2503,"&lt;="&amp;$A1286))</f>
        <v/>
      </c>
      <c r="U1286" s="26">
        <f>IF($G1286="","",IF(OR($S1286&gt;0,$Q1286=0,$R1286=0,$Z1286&lt;&gt;"正常"),0,ROUND($T1286/$Q1286*$R1286,0)-ROUND(($T1286-$P1286)/$Q1286*$R1286,0)))</f>
        <v/>
      </c>
      <c r="V1286" s="26">
        <f>IF($G1286="","",ROUND($P1286+$U1286,0))</f>
        <v/>
      </c>
      <c r="W1286" s="26">
        <f>IF($G1286="","",IF(N($K1286)=0,0,ROUND($V1286/$K1286,2)))</f>
        <v/>
      </c>
      <c r="X1286" s="17" t="n"/>
      <c r="Y1286" s="17" t="n"/>
      <c r="Z1286" s="17" t="n"/>
      <c r="AA1286" s="17" t="n"/>
      <c r="AB1286" s="17" t="n"/>
      <c r="AC1286" s="24">
        <f>IF($G1286="","",IF($H1286="※编码不在物料档案里","※物料编码不在档案里",IF(N($K1286)&lt;=0,"※入库数量要大于 0",IF(AND($C1286&lt;&gt;"",$C1286&lt;=结账锁),"※日期早于已结账截止日，不能再录",IF(AND($L1286=0,$X1286="正常"),"※没填单价，价格状态请选「待补价」",IF(AND($S1286&gt;0,$R1286&gt;0),"△本批有 "&amp;$S1286&amp;" 行没单价，整批运费先挂账没摊",IF(AND($B1286&lt;&gt;"",COUNTIF($B$4:$B$2503,$B1286)&gt;1),"※入库单号重复","")))))))</f>
        <v/>
      </c>
    </row>
    <row r="1287">
      <c r="A1287" s="24">
        <f>IF($G1287="","",COUNTA($G$4:$G1287))</f>
        <v/>
      </c>
      <c r="B1287" s="17" t="n"/>
      <c r="C1287" s="30" t="n"/>
      <c r="D1287" s="17" t="n"/>
      <c r="E1287" s="17" t="n"/>
      <c r="F1287" s="17" t="n"/>
      <c r="G1287" s="17" t="n"/>
      <c r="H1287" s="24">
        <f>IF($G1287="","",IFERROR(VLOOKUP($G1287,物料档案!$A$4:$P$1203,3,0),"※编码不在物料档案里"))</f>
        <v/>
      </c>
      <c r="I1287" s="24">
        <f>IF($G1287="","",IFERROR(VLOOKUP($G1287,物料档案!$A$4:$P$1203,4,0),"※编码不在物料档案里"))</f>
        <v/>
      </c>
      <c r="J1287" s="24">
        <f>IF($G1287="","",IFERROR(VLOOKUP($G1287,物料档案!$A$4:$P$1203,5,0),"※编码不在物料档案里"))</f>
        <v/>
      </c>
      <c r="K1287" s="23" t="n"/>
      <c r="L1287" s="31" t="n"/>
      <c r="M1287" s="24">
        <f>IF($G1287="","",IF($D1287="A国内","CNY","TZS"))</f>
        <v/>
      </c>
      <c r="N1287" s="28">
        <f>IF($G1287="","",IF($D1287="A国内",汇率,1))</f>
        <v/>
      </c>
      <c r="O1287" s="25">
        <f>IF($G1287="","",ROUND(N($K1287)*N($L1287),2))</f>
        <v/>
      </c>
      <c r="P1287" s="26">
        <f>IF($G1287="","",ROUND($O1287*$N1287,0))</f>
        <v/>
      </c>
      <c r="Q1287" s="26">
        <f>IF($G1287="","",SUMIFS($P$4:$P$2503,$E$4:$E$2503,$E1287,$Z$4:$Z$2503,"正常"))</f>
        <v/>
      </c>
      <c r="R1287" s="26">
        <f>IF($G1287="","",SUMIFS(费用台账!$I$4:$I$503,费用台账!$C$4:$C$503,$E1287,费用台账!$J$4:$J$503,"是",费用台账!$K$4:$K$503,"正常"))</f>
        <v/>
      </c>
      <c r="S1287" s="28">
        <f>IF($G1287="","",COUNTIFS($E$4:$E$2503,$E1287,$Z$4:$Z$2503,"正常",$Y$4:$Y$2503,"待补价"))</f>
        <v/>
      </c>
      <c r="T1287" s="26">
        <f>IF($G1287="","",SUMIFS($P$4:$P$2503,$E$4:$E$2503,$E1287,$Z$4:$Z$2503,"正常",$A$4:$A$2503,"&lt;="&amp;$A1287))</f>
        <v/>
      </c>
      <c r="U1287" s="26">
        <f>IF($G1287="","",IF(OR($S1287&gt;0,$Q1287=0,$R1287=0,$Z1287&lt;&gt;"正常"),0,ROUND($T1287/$Q1287*$R1287,0)-ROUND(($T1287-$P1287)/$Q1287*$R1287,0)))</f>
        <v/>
      </c>
      <c r="V1287" s="26">
        <f>IF($G1287="","",ROUND($P1287+$U1287,0))</f>
        <v/>
      </c>
      <c r="W1287" s="26">
        <f>IF($G1287="","",IF(N($K1287)=0,0,ROUND($V1287/$K1287,2)))</f>
        <v/>
      </c>
      <c r="X1287" s="17" t="n"/>
      <c r="Y1287" s="17" t="n"/>
      <c r="Z1287" s="17" t="n"/>
      <c r="AA1287" s="17" t="n"/>
      <c r="AB1287" s="17" t="n"/>
      <c r="AC1287" s="24">
        <f>IF($G1287="","",IF($H1287="※编码不在物料档案里","※物料编码不在档案里",IF(N($K1287)&lt;=0,"※入库数量要大于 0",IF(AND($C1287&lt;&gt;"",$C1287&lt;=结账锁),"※日期早于已结账截止日，不能再录",IF(AND($L1287=0,$X1287="正常"),"※没填单价，价格状态请选「待补价」",IF(AND($S1287&gt;0,$R1287&gt;0),"△本批有 "&amp;$S1287&amp;" 行没单价，整批运费先挂账没摊",IF(AND($B1287&lt;&gt;"",COUNTIF($B$4:$B$2503,$B1287)&gt;1),"※入库单号重复","")))))))</f>
        <v/>
      </c>
    </row>
    <row r="1288">
      <c r="A1288" s="24">
        <f>IF($G1288="","",COUNTA($G$4:$G1288))</f>
        <v/>
      </c>
      <c r="B1288" s="17" t="n"/>
      <c r="C1288" s="30" t="n"/>
      <c r="D1288" s="17" t="n"/>
      <c r="E1288" s="17" t="n"/>
      <c r="F1288" s="17" t="n"/>
      <c r="G1288" s="17" t="n"/>
      <c r="H1288" s="24">
        <f>IF($G1288="","",IFERROR(VLOOKUP($G1288,物料档案!$A$4:$P$1203,3,0),"※编码不在物料档案里"))</f>
        <v/>
      </c>
      <c r="I1288" s="24">
        <f>IF($G1288="","",IFERROR(VLOOKUP($G1288,物料档案!$A$4:$P$1203,4,0),"※编码不在物料档案里"))</f>
        <v/>
      </c>
      <c r="J1288" s="24">
        <f>IF($G1288="","",IFERROR(VLOOKUP($G1288,物料档案!$A$4:$P$1203,5,0),"※编码不在物料档案里"))</f>
        <v/>
      </c>
      <c r="K1288" s="23" t="n"/>
      <c r="L1288" s="31" t="n"/>
      <c r="M1288" s="24">
        <f>IF($G1288="","",IF($D1288="A国内","CNY","TZS"))</f>
        <v/>
      </c>
      <c r="N1288" s="28">
        <f>IF($G1288="","",IF($D1288="A国内",汇率,1))</f>
        <v/>
      </c>
      <c r="O1288" s="25">
        <f>IF($G1288="","",ROUND(N($K1288)*N($L1288),2))</f>
        <v/>
      </c>
      <c r="P1288" s="26">
        <f>IF($G1288="","",ROUND($O1288*$N1288,0))</f>
        <v/>
      </c>
      <c r="Q1288" s="26">
        <f>IF($G1288="","",SUMIFS($P$4:$P$2503,$E$4:$E$2503,$E1288,$Z$4:$Z$2503,"正常"))</f>
        <v/>
      </c>
      <c r="R1288" s="26">
        <f>IF($G1288="","",SUMIFS(费用台账!$I$4:$I$503,费用台账!$C$4:$C$503,$E1288,费用台账!$J$4:$J$503,"是",费用台账!$K$4:$K$503,"正常"))</f>
        <v/>
      </c>
      <c r="S1288" s="28">
        <f>IF($G1288="","",COUNTIFS($E$4:$E$2503,$E1288,$Z$4:$Z$2503,"正常",$Y$4:$Y$2503,"待补价"))</f>
        <v/>
      </c>
      <c r="T1288" s="26">
        <f>IF($G1288="","",SUMIFS($P$4:$P$2503,$E$4:$E$2503,$E1288,$Z$4:$Z$2503,"正常",$A$4:$A$2503,"&lt;="&amp;$A1288))</f>
        <v/>
      </c>
      <c r="U1288" s="26">
        <f>IF($G1288="","",IF(OR($S1288&gt;0,$Q1288=0,$R1288=0,$Z1288&lt;&gt;"正常"),0,ROUND($T1288/$Q1288*$R1288,0)-ROUND(($T1288-$P1288)/$Q1288*$R1288,0)))</f>
        <v/>
      </c>
      <c r="V1288" s="26">
        <f>IF($G1288="","",ROUND($P1288+$U1288,0))</f>
        <v/>
      </c>
      <c r="W1288" s="26">
        <f>IF($G1288="","",IF(N($K1288)=0,0,ROUND($V1288/$K1288,2)))</f>
        <v/>
      </c>
      <c r="X1288" s="17" t="n"/>
      <c r="Y1288" s="17" t="n"/>
      <c r="Z1288" s="17" t="n"/>
      <c r="AA1288" s="17" t="n"/>
      <c r="AB1288" s="17" t="n"/>
      <c r="AC1288" s="24">
        <f>IF($G1288="","",IF($H1288="※编码不在物料档案里","※物料编码不在档案里",IF(N($K1288)&lt;=0,"※入库数量要大于 0",IF(AND($C1288&lt;&gt;"",$C1288&lt;=结账锁),"※日期早于已结账截止日，不能再录",IF(AND($L1288=0,$X1288="正常"),"※没填单价，价格状态请选「待补价」",IF(AND($S1288&gt;0,$R1288&gt;0),"△本批有 "&amp;$S1288&amp;" 行没单价，整批运费先挂账没摊",IF(AND($B1288&lt;&gt;"",COUNTIF($B$4:$B$2503,$B1288)&gt;1),"※入库单号重复","")))))))</f>
        <v/>
      </c>
    </row>
    <row r="1289">
      <c r="A1289" s="24">
        <f>IF($G1289="","",COUNTA($G$4:$G1289))</f>
        <v/>
      </c>
      <c r="B1289" s="17" t="n"/>
      <c r="C1289" s="30" t="n"/>
      <c r="D1289" s="17" t="n"/>
      <c r="E1289" s="17" t="n"/>
      <c r="F1289" s="17" t="n"/>
      <c r="G1289" s="17" t="n"/>
      <c r="H1289" s="24">
        <f>IF($G1289="","",IFERROR(VLOOKUP($G1289,物料档案!$A$4:$P$1203,3,0),"※编码不在物料档案里"))</f>
        <v/>
      </c>
      <c r="I1289" s="24">
        <f>IF($G1289="","",IFERROR(VLOOKUP($G1289,物料档案!$A$4:$P$1203,4,0),"※编码不在物料档案里"))</f>
        <v/>
      </c>
      <c r="J1289" s="24">
        <f>IF($G1289="","",IFERROR(VLOOKUP($G1289,物料档案!$A$4:$P$1203,5,0),"※编码不在物料档案里"))</f>
        <v/>
      </c>
      <c r="K1289" s="23" t="n"/>
      <c r="L1289" s="31" t="n"/>
      <c r="M1289" s="24">
        <f>IF($G1289="","",IF($D1289="A国内","CNY","TZS"))</f>
        <v/>
      </c>
      <c r="N1289" s="28">
        <f>IF($G1289="","",IF($D1289="A国内",汇率,1))</f>
        <v/>
      </c>
      <c r="O1289" s="25">
        <f>IF($G1289="","",ROUND(N($K1289)*N($L1289),2))</f>
        <v/>
      </c>
      <c r="P1289" s="26">
        <f>IF($G1289="","",ROUND($O1289*$N1289,0))</f>
        <v/>
      </c>
      <c r="Q1289" s="26">
        <f>IF($G1289="","",SUMIFS($P$4:$P$2503,$E$4:$E$2503,$E1289,$Z$4:$Z$2503,"正常"))</f>
        <v/>
      </c>
      <c r="R1289" s="26">
        <f>IF($G1289="","",SUMIFS(费用台账!$I$4:$I$503,费用台账!$C$4:$C$503,$E1289,费用台账!$J$4:$J$503,"是",费用台账!$K$4:$K$503,"正常"))</f>
        <v/>
      </c>
      <c r="S1289" s="28">
        <f>IF($G1289="","",COUNTIFS($E$4:$E$2503,$E1289,$Z$4:$Z$2503,"正常",$Y$4:$Y$2503,"待补价"))</f>
        <v/>
      </c>
      <c r="T1289" s="26">
        <f>IF($G1289="","",SUMIFS($P$4:$P$2503,$E$4:$E$2503,$E1289,$Z$4:$Z$2503,"正常",$A$4:$A$2503,"&lt;="&amp;$A1289))</f>
        <v/>
      </c>
      <c r="U1289" s="26">
        <f>IF($G1289="","",IF(OR($S1289&gt;0,$Q1289=0,$R1289=0,$Z1289&lt;&gt;"正常"),0,ROUND($T1289/$Q1289*$R1289,0)-ROUND(($T1289-$P1289)/$Q1289*$R1289,0)))</f>
        <v/>
      </c>
      <c r="V1289" s="26">
        <f>IF($G1289="","",ROUND($P1289+$U1289,0))</f>
        <v/>
      </c>
      <c r="W1289" s="26">
        <f>IF($G1289="","",IF(N($K1289)=0,0,ROUND($V1289/$K1289,2)))</f>
        <v/>
      </c>
      <c r="X1289" s="17" t="n"/>
      <c r="Y1289" s="17" t="n"/>
      <c r="Z1289" s="17" t="n"/>
      <c r="AA1289" s="17" t="n"/>
      <c r="AB1289" s="17" t="n"/>
      <c r="AC1289" s="24">
        <f>IF($G1289="","",IF($H1289="※编码不在物料档案里","※物料编码不在档案里",IF(N($K1289)&lt;=0,"※入库数量要大于 0",IF(AND($C1289&lt;&gt;"",$C1289&lt;=结账锁),"※日期早于已结账截止日，不能再录",IF(AND($L1289=0,$X1289="正常"),"※没填单价，价格状态请选「待补价」",IF(AND($S1289&gt;0,$R1289&gt;0),"△本批有 "&amp;$S1289&amp;" 行没单价，整批运费先挂账没摊",IF(AND($B1289&lt;&gt;"",COUNTIF($B$4:$B$2503,$B1289)&gt;1),"※入库单号重复","")))))))</f>
        <v/>
      </c>
    </row>
    <row r="1290">
      <c r="A1290" s="24">
        <f>IF($G1290="","",COUNTA($G$4:$G1290))</f>
        <v/>
      </c>
      <c r="B1290" s="17" t="n"/>
      <c r="C1290" s="30" t="n"/>
      <c r="D1290" s="17" t="n"/>
      <c r="E1290" s="17" t="n"/>
      <c r="F1290" s="17" t="n"/>
      <c r="G1290" s="17" t="n"/>
      <c r="H1290" s="24">
        <f>IF($G1290="","",IFERROR(VLOOKUP($G1290,物料档案!$A$4:$P$1203,3,0),"※编码不在物料档案里"))</f>
        <v/>
      </c>
      <c r="I1290" s="24">
        <f>IF($G1290="","",IFERROR(VLOOKUP($G1290,物料档案!$A$4:$P$1203,4,0),"※编码不在物料档案里"))</f>
        <v/>
      </c>
      <c r="J1290" s="24">
        <f>IF($G1290="","",IFERROR(VLOOKUP($G1290,物料档案!$A$4:$P$1203,5,0),"※编码不在物料档案里"))</f>
        <v/>
      </c>
      <c r="K1290" s="23" t="n"/>
      <c r="L1290" s="31" t="n"/>
      <c r="M1290" s="24">
        <f>IF($G1290="","",IF($D1290="A国内","CNY","TZS"))</f>
        <v/>
      </c>
      <c r="N1290" s="28">
        <f>IF($G1290="","",IF($D1290="A国内",汇率,1))</f>
        <v/>
      </c>
      <c r="O1290" s="25">
        <f>IF($G1290="","",ROUND(N($K1290)*N($L1290),2))</f>
        <v/>
      </c>
      <c r="P1290" s="26">
        <f>IF($G1290="","",ROUND($O1290*$N1290,0))</f>
        <v/>
      </c>
      <c r="Q1290" s="26">
        <f>IF($G1290="","",SUMIFS($P$4:$P$2503,$E$4:$E$2503,$E1290,$Z$4:$Z$2503,"正常"))</f>
        <v/>
      </c>
      <c r="R1290" s="26">
        <f>IF($G1290="","",SUMIFS(费用台账!$I$4:$I$503,费用台账!$C$4:$C$503,$E1290,费用台账!$J$4:$J$503,"是",费用台账!$K$4:$K$503,"正常"))</f>
        <v/>
      </c>
      <c r="S1290" s="28">
        <f>IF($G1290="","",COUNTIFS($E$4:$E$2503,$E1290,$Z$4:$Z$2503,"正常",$Y$4:$Y$2503,"待补价"))</f>
        <v/>
      </c>
      <c r="T1290" s="26">
        <f>IF($G1290="","",SUMIFS($P$4:$P$2503,$E$4:$E$2503,$E1290,$Z$4:$Z$2503,"正常",$A$4:$A$2503,"&lt;="&amp;$A1290))</f>
        <v/>
      </c>
      <c r="U1290" s="26">
        <f>IF($G1290="","",IF(OR($S1290&gt;0,$Q1290=0,$R1290=0,$Z1290&lt;&gt;"正常"),0,ROUND($T1290/$Q1290*$R1290,0)-ROUND(($T1290-$P1290)/$Q1290*$R1290,0)))</f>
        <v/>
      </c>
      <c r="V1290" s="26">
        <f>IF($G1290="","",ROUND($P1290+$U1290,0))</f>
        <v/>
      </c>
      <c r="W1290" s="26">
        <f>IF($G1290="","",IF(N($K1290)=0,0,ROUND($V1290/$K1290,2)))</f>
        <v/>
      </c>
      <c r="X1290" s="17" t="n"/>
      <c r="Y1290" s="17" t="n"/>
      <c r="Z1290" s="17" t="n"/>
      <c r="AA1290" s="17" t="n"/>
      <c r="AB1290" s="17" t="n"/>
      <c r="AC1290" s="24">
        <f>IF($G1290="","",IF($H1290="※编码不在物料档案里","※物料编码不在档案里",IF(N($K1290)&lt;=0,"※入库数量要大于 0",IF(AND($C1290&lt;&gt;"",$C1290&lt;=结账锁),"※日期早于已结账截止日，不能再录",IF(AND($L1290=0,$X1290="正常"),"※没填单价，价格状态请选「待补价」",IF(AND($S1290&gt;0,$R1290&gt;0),"△本批有 "&amp;$S1290&amp;" 行没单价，整批运费先挂账没摊",IF(AND($B1290&lt;&gt;"",COUNTIF($B$4:$B$2503,$B1290)&gt;1),"※入库单号重复","")))))))</f>
        <v/>
      </c>
    </row>
    <row r="1291">
      <c r="A1291" s="24">
        <f>IF($G1291="","",COUNTA($G$4:$G1291))</f>
        <v/>
      </c>
      <c r="B1291" s="17" t="n"/>
      <c r="C1291" s="30" t="n"/>
      <c r="D1291" s="17" t="n"/>
      <c r="E1291" s="17" t="n"/>
      <c r="F1291" s="17" t="n"/>
      <c r="G1291" s="17" t="n"/>
      <c r="H1291" s="24">
        <f>IF($G1291="","",IFERROR(VLOOKUP($G1291,物料档案!$A$4:$P$1203,3,0),"※编码不在物料档案里"))</f>
        <v/>
      </c>
      <c r="I1291" s="24">
        <f>IF($G1291="","",IFERROR(VLOOKUP($G1291,物料档案!$A$4:$P$1203,4,0),"※编码不在物料档案里"))</f>
        <v/>
      </c>
      <c r="J1291" s="24">
        <f>IF($G1291="","",IFERROR(VLOOKUP($G1291,物料档案!$A$4:$P$1203,5,0),"※编码不在物料档案里"))</f>
        <v/>
      </c>
      <c r="K1291" s="23" t="n"/>
      <c r="L1291" s="31" t="n"/>
      <c r="M1291" s="24">
        <f>IF($G1291="","",IF($D1291="A国内","CNY","TZS"))</f>
        <v/>
      </c>
      <c r="N1291" s="28">
        <f>IF($G1291="","",IF($D1291="A国内",汇率,1))</f>
        <v/>
      </c>
      <c r="O1291" s="25">
        <f>IF($G1291="","",ROUND(N($K1291)*N($L1291),2))</f>
        <v/>
      </c>
      <c r="P1291" s="26">
        <f>IF($G1291="","",ROUND($O1291*$N1291,0))</f>
        <v/>
      </c>
      <c r="Q1291" s="26">
        <f>IF($G1291="","",SUMIFS($P$4:$P$2503,$E$4:$E$2503,$E1291,$Z$4:$Z$2503,"正常"))</f>
        <v/>
      </c>
      <c r="R1291" s="26">
        <f>IF($G1291="","",SUMIFS(费用台账!$I$4:$I$503,费用台账!$C$4:$C$503,$E1291,费用台账!$J$4:$J$503,"是",费用台账!$K$4:$K$503,"正常"))</f>
        <v/>
      </c>
      <c r="S1291" s="28">
        <f>IF($G1291="","",COUNTIFS($E$4:$E$2503,$E1291,$Z$4:$Z$2503,"正常",$Y$4:$Y$2503,"待补价"))</f>
        <v/>
      </c>
      <c r="T1291" s="26">
        <f>IF($G1291="","",SUMIFS($P$4:$P$2503,$E$4:$E$2503,$E1291,$Z$4:$Z$2503,"正常",$A$4:$A$2503,"&lt;="&amp;$A1291))</f>
        <v/>
      </c>
      <c r="U1291" s="26">
        <f>IF($G1291="","",IF(OR($S1291&gt;0,$Q1291=0,$R1291=0,$Z1291&lt;&gt;"正常"),0,ROUND($T1291/$Q1291*$R1291,0)-ROUND(($T1291-$P1291)/$Q1291*$R1291,0)))</f>
        <v/>
      </c>
      <c r="V1291" s="26">
        <f>IF($G1291="","",ROUND($P1291+$U1291,0))</f>
        <v/>
      </c>
      <c r="W1291" s="26">
        <f>IF($G1291="","",IF(N($K1291)=0,0,ROUND($V1291/$K1291,2)))</f>
        <v/>
      </c>
      <c r="X1291" s="17" t="n"/>
      <c r="Y1291" s="17" t="n"/>
      <c r="Z1291" s="17" t="n"/>
      <c r="AA1291" s="17" t="n"/>
      <c r="AB1291" s="17" t="n"/>
      <c r="AC1291" s="24">
        <f>IF($G1291="","",IF($H1291="※编码不在物料档案里","※物料编码不在档案里",IF(N($K1291)&lt;=0,"※入库数量要大于 0",IF(AND($C1291&lt;&gt;"",$C1291&lt;=结账锁),"※日期早于已结账截止日，不能再录",IF(AND($L1291=0,$X1291="正常"),"※没填单价，价格状态请选「待补价」",IF(AND($S1291&gt;0,$R1291&gt;0),"△本批有 "&amp;$S1291&amp;" 行没单价，整批运费先挂账没摊",IF(AND($B1291&lt;&gt;"",COUNTIF($B$4:$B$2503,$B1291)&gt;1),"※入库单号重复","")))))))</f>
        <v/>
      </c>
    </row>
    <row r="1292">
      <c r="A1292" s="24">
        <f>IF($G1292="","",COUNTA($G$4:$G1292))</f>
        <v/>
      </c>
      <c r="B1292" s="17" t="n"/>
      <c r="C1292" s="30" t="n"/>
      <c r="D1292" s="17" t="n"/>
      <c r="E1292" s="17" t="n"/>
      <c r="F1292" s="17" t="n"/>
      <c r="G1292" s="17" t="n"/>
      <c r="H1292" s="24">
        <f>IF($G1292="","",IFERROR(VLOOKUP($G1292,物料档案!$A$4:$P$1203,3,0),"※编码不在物料档案里"))</f>
        <v/>
      </c>
      <c r="I1292" s="24">
        <f>IF($G1292="","",IFERROR(VLOOKUP($G1292,物料档案!$A$4:$P$1203,4,0),"※编码不在物料档案里"))</f>
        <v/>
      </c>
      <c r="J1292" s="24">
        <f>IF($G1292="","",IFERROR(VLOOKUP($G1292,物料档案!$A$4:$P$1203,5,0),"※编码不在物料档案里"))</f>
        <v/>
      </c>
      <c r="K1292" s="23" t="n"/>
      <c r="L1292" s="31" t="n"/>
      <c r="M1292" s="24">
        <f>IF($G1292="","",IF($D1292="A国内","CNY","TZS"))</f>
        <v/>
      </c>
      <c r="N1292" s="28">
        <f>IF($G1292="","",IF($D1292="A国内",汇率,1))</f>
        <v/>
      </c>
      <c r="O1292" s="25">
        <f>IF($G1292="","",ROUND(N($K1292)*N($L1292),2))</f>
        <v/>
      </c>
      <c r="P1292" s="26">
        <f>IF($G1292="","",ROUND($O1292*$N1292,0))</f>
        <v/>
      </c>
      <c r="Q1292" s="26">
        <f>IF($G1292="","",SUMIFS($P$4:$P$2503,$E$4:$E$2503,$E1292,$Z$4:$Z$2503,"正常"))</f>
        <v/>
      </c>
      <c r="R1292" s="26">
        <f>IF($G1292="","",SUMIFS(费用台账!$I$4:$I$503,费用台账!$C$4:$C$503,$E1292,费用台账!$J$4:$J$503,"是",费用台账!$K$4:$K$503,"正常"))</f>
        <v/>
      </c>
      <c r="S1292" s="28">
        <f>IF($G1292="","",COUNTIFS($E$4:$E$2503,$E1292,$Z$4:$Z$2503,"正常",$Y$4:$Y$2503,"待补价"))</f>
        <v/>
      </c>
      <c r="T1292" s="26">
        <f>IF($G1292="","",SUMIFS($P$4:$P$2503,$E$4:$E$2503,$E1292,$Z$4:$Z$2503,"正常",$A$4:$A$2503,"&lt;="&amp;$A1292))</f>
        <v/>
      </c>
      <c r="U1292" s="26">
        <f>IF($G1292="","",IF(OR($S1292&gt;0,$Q1292=0,$R1292=0,$Z1292&lt;&gt;"正常"),0,ROUND($T1292/$Q1292*$R1292,0)-ROUND(($T1292-$P1292)/$Q1292*$R1292,0)))</f>
        <v/>
      </c>
      <c r="V1292" s="26">
        <f>IF($G1292="","",ROUND($P1292+$U1292,0))</f>
        <v/>
      </c>
      <c r="W1292" s="26">
        <f>IF($G1292="","",IF(N($K1292)=0,0,ROUND($V1292/$K1292,2)))</f>
        <v/>
      </c>
      <c r="X1292" s="17" t="n"/>
      <c r="Y1292" s="17" t="n"/>
      <c r="Z1292" s="17" t="n"/>
      <c r="AA1292" s="17" t="n"/>
      <c r="AB1292" s="17" t="n"/>
      <c r="AC1292" s="24">
        <f>IF($G1292="","",IF($H1292="※编码不在物料档案里","※物料编码不在档案里",IF(N($K1292)&lt;=0,"※入库数量要大于 0",IF(AND($C1292&lt;&gt;"",$C1292&lt;=结账锁),"※日期早于已结账截止日，不能再录",IF(AND($L1292=0,$X1292="正常"),"※没填单价，价格状态请选「待补价」",IF(AND($S1292&gt;0,$R1292&gt;0),"△本批有 "&amp;$S1292&amp;" 行没单价，整批运费先挂账没摊",IF(AND($B1292&lt;&gt;"",COUNTIF($B$4:$B$2503,$B1292)&gt;1),"※入库单号重复","")))))))</f>
        <v/>
      </c>
    </row>
    <row r="1293">
      <c r="A1293" s="24">
        <f>IF($G1293="","",COUNTA($G$4:$G1293))</f>
        <v/>
      </c>
      <c r="B1293" s="17" t="n"/>
      <c r="C1293" s="30" t="n"/>
      <c r="D1293" s="17" t="n"/>
      <c r="E1293" s="17" t="n"/>
      <c r="F1293" s="17" t="n"/>
      <c r="G1293" s="17" t="n"/>
      <c r="H1293" s="24">
        <f>IF($G1293="","",IFERROR(VLOOKUP($G1293,物料档案!$A$4:$P$1203,3,0),"※编码不在物料档案里"))</f>
        <v/>
      </c>
      <c r="I1293" s="24">
        <f>IF($G1293="","",IFERROR(VLOOKUP($G1293,物料档案!$A$4:$P$1203,4,0),"※编码不在物料档案里"))</f>
        <v/>
      </c>
      <c r="J1293" s="24">
        <f>IF($G1293="","",IFERROR(VLOOKUP($G1293,物料档案!$A$4:$P$1203,5,0),"※编码不在物料档案里"))</f>
        <v/>
      </c>
      <c r="K1293" s="23" t="n"/>
      <c r="L1293" s="31" t="n"/>
      <c r="M1293" s="24">
        <f>IF($G1293="","",IF($D1293="A国内","CNY","TZS"))</f>
        <v/>
      </c>
      <c r="N1293" s="28">
        <f>IF($G1293="","",IF($D1293="A国内",汇率,1))</f>
        <v/>
      </c>
      <c r="O1293" s="25">
        <f>IF($G1293="","",ROUND(N($K1293)*N($L1293),2))</f>
        <v/>
      </c>
      <c r="P1293" s="26">
        <f>IF($G1293="","",ROUND($O1293*$N1293,0))</f>
        <v/>
      </c>
      <c r="Q1293" s="26">
        <f>IF($G1293="","",SUMIFS($P$4:$P$2503,$E$4:$E$2503,$E1293,$Z$4:$Z$2503,"正常"))</f>
        <v/>
      </c>
      <c r="R1293" s="26">
        <f>IF($G1293="","",SUMIFS(费用台账!$I$4:$I$503,费用台账!$C$4:$C$503,$E1293,费用台账!$J$4:$J$503,"是",费用台账!$K$4:$K$503,"正常"))</f>
        <v/>
      </c>
      <c r="S1293" s="28">
        <f>IF($G1293="","",COUNTIFS($E$4:$E$2503,$E1293,$Z$4:$Z$2503,"正常",$Y$4:$Y$2503,"待补价"))</f>
        <v/>
      </c>
      <c r="T1293" s="26">
        <f>IF($G1293="","",SUMIFS($P$4:$P$2503,$E$4:$E$2503,$E1293,$Z$4:$Z$2503,"正常",$A$4:$A$2503,"&lt;="&amp;$A1293))</f>
        <v/>
      </c>
      <c r="U1293" s="26">
        <f>IF($G1293="","",IF(OR($S1293&gt;0,$Q1293=0,$R1293=0,$Z1293&lt;&gt;"正常"),0,ROUND($T1293/$Q1293*$R1293,0)-ROUND(($T1293-$P1293)/$Q1293*$R1293,0)))</f>
        <v/>
      </c>
      <c r="V1293" s="26">
        <f>IF($G1293="","",ROUND($P1293+$U1293,0))</f>
        <v/>
      </c>
      <c r="W1293" s="26">
        <f>IF($G1293="","",IF(N($K1293)=0,0,ROUND($V1293/$K1293,2)))</f>
        <v/>
      </c>
      <c r="X1293" s="17" t="n"/>
      <c r="Y1293" s="17" t="n"/>
      <c r="Z1293" s="17" t="n"/>
      <c r="AA1293" s="17" t="n"/>
      <c r="AB1293" s="17" t="n"/>
      <c r="AC1293" s="24">
        <f>IF($G1293="","",IF($H1293="※编码不在物料档案里","※物料编码不在档案里",IF(N($K1293)&lt;=0,"※入库数量要大于 0",IF(AND($C1293&lt;&gt;"",$C1293&lt;=结账锁),"※日期早于已结账截止日，不能再录",IF(AND($L1293=0,$X1293="正常"),"※没填单价，价格状态请选「待补价」",IF(AND($S1293&gt;0,$R1293&gt;0),"△本批有 "&amp;$S1293&amp;" 行没单价，整批运费先挂账没摊",IF(AND($B1293&lt;&gt;"",COUNTIF($B$4:$B$2503,$B1293)&gt;1),"※入库单号重复","")))))))</f>
        <v/>
      </c>
    </row>
    <row r="1294">
      <c r="A1294" s="24">
        <f>IF($G1294="","",COUNTA($G$4:$G1294))</f>
        <v/>
      </c>
      <c r="B1294" s="17" t="n"/>
      <c r="C1294" s="30" t="n"/>
      <c r="D1294" s="17" t="n"/>
      <c r="E1294" s="17" t="n"/>
      <c r="F1294" s="17" t="n"/>
      <c r="G1294" s="17" t="n"/>
      <c r="H1294" s="24">
        <f>IF($G1294="","",IFERROR(VLOOKUP($G1294,物料档案!$A$4:$P$1203,3,0),"※编码不在物料档案里"))</f>
        <v/>
      </c>
      <c r="I1294" s="24">
        <f>IF($G1294="","",IFERROR(VLOOKUP($G1294,物料档案!$A$4:$P$1203,4,0),"※编码不在物料档案里"))</f>
        <v/>
      </c>
      <c r="J1294" s="24">
        <f>IF($G1294="","",IFERROR(VLOOKUP($G1294,物料档案!$A$4:$P$1203,5,0),"※编码不在物料档案里"))</f>
        <v/>
      </c>
      <c r="K1294" s="23" t="n"/>
      <c r="L1294" s="31" t="n"/>
      <c r="M1294" s="24">
        <f>IF($G1294="","",IF($D1294="A国内","CNY","TZS"))</f>
        <v/>
      </c>
      <c r="N1294" s="28">
        <f>IF($G1294="","",IF($D1294="A国内",汇率,1))</f>
        <v/>
      </c>
      <c r="O1294" s="25">
        <f>IF($G1294="","",ROUND(N($K1294)*N($L1294),2))</f>
        <v/>
      </c>
      <c r="P1294" s="26">
        <f>IF($G1294="","",ROUND($O1294*$N1294,0))</f>
        <v/>
      </c>
      <c r="Q1294" s="26">
        <f>IF($G1294="","",SUMIFS($P$4:$P$2503,$E$4:$E$2503,$E1294,$Z$4:$Z$2503,"正常"))</f>
        <v/>
      </c>
      <c r="R1294" s="26">
        <f>IF($G1294="","",SUMIFS(费用台账!$I$4:$I$503,费用台账!$C$4:$C$503,$E1294,费用台账!$J$4:$J$503,"是",费用台账!$K$4:$K$503,"正常"))</f>
        <v/>
      </c>
      <c r="S1294" s="28">
        <f>IF($G1294="","",COUNTIFS($E$4:$E$2503,$E1294,$Z$4:$Z$2503,"正常",$Y$4:$Y$2503,"待补价"))</f>
        <v/>
      </c>
      <c r="T1294" s="26">
        <f>IF($G1294="","",SUMIFS($P$4:$P$2503,$E$4:$E$2503,$E1294,$Z$4:$Z$2503,"正常",$A$4:$A$2503,"&lt;="&amp;$A1294))</f>
        <v/>
      </c>
      <c r="U1294" s="26">
        <f>IF($G1294="","",IF(OR($S1294&gt;0,$Q1294=0,$R1294=0,$Z1294&lt;&gt;"正常"),0,ROUND($T1294/$Q1294*$R1294,0)-ROUND(($T1294-$P1294)/$Q1294*$R1294,0)))</f>
        <v/>
      </c>
      <c r="V1294" s="26">
        <f>IF($G1294="","",ROUND($P1294+$U1294,0))</f>
        <v/>
      </c>
      <c r="W1294" s="26">
        <f>IF($G1294="","",IF(N($K1294)=0,0,ROUND($V1294/$K1294,2)))</f>
        <v/>
      </c>
      <c r="X1294" s="17" t="n"/>
      <c r="Y1294" s="17" t="n"/>
      <c r="Z1294" s="17" t="n"/>
      <c r="AA1294" s="17" t="n"/>
      <c r="AB1294" s="17" t="n"/>
      <c r="AC1294" s="24">
        <f>IF($G1294="","",IF($H1294="※编码不在物料档案里","※物料编码不在档案里",IF(N($K1294)&lt;=0,"※入库数量要大于 0",IF(AND($C1294&lt;&gt;"",$C1294&lt;=结账锁),"※日期早于已结账截止日，不能再录",IF(AND($L1294=0,$X1294="正常"),"※没填单价，价格状态请选「待补价」",IF(AND($S1294&gt;0,$R1294&gt;0),"△本批有 "&amp;$S1294&amp;" 行没单价，整批运费先挂账没摊",IF(AND($B1294&lt;&gt;"",COUNTIF($B$4:$B$2503,$B1294)&gt;1),"※入库单号重复","")))))))</f>
        <v/>
      </c>
    </row>
    <row r="1295">
      <c r="A1295" s="24">
        <f>IF($G1295="","",COUNTA($G$4:$G1295))</f>
        <v/>
      </c>
      <c r="B1295" s="17" t="n"/>
      <c r="C1295" s="30" t="n"/>
      <c r="D1295" s="17" t="n"/>
      <c r="E1295" s="17" t="n"/>
      <c r="F1295" s="17" t="n"/>
      <c r="G1295" s="17" t="n"/>
      <c r="H1295" s="24">
        <f>IF($G1295="","",IFERROR(VLOOKUP($G1295,物料档案!$A$4:$P$1203,3,0),"※编码不在物料档案里"))</f>
        <v/>
      </c>
      <c r="I1295" s="24">
        <f>IF($G1295="","",IFERROR(VLOOKUP($G1295,物料档案!$A$4:$P$1203,4,0),"※编码不在物料档案里"))</f>
        <v/>
      </c>
      <c r="J1295" s="24">
        <f>IF($G1295="","",IFERROR(VLOOKUP($G1295,物料档案!$A$4:$P$1203,5,0),"※编码不在物料档案里"))</f>
        <v/>
      </c>
      <c r="K1295" s="23" t="n"/>
      <c r="L1295" s="31" t="n"/>
      <c r="M1295" s="24">
        <f>IF($G1295="","",IF($D1295="A国内","CNY","TZS"))</f>
        <v/>
      </c>
      <c r="N1295" s="28">
        <f>IF($G1295="","",IF($D1295="A国内",汇率,1))</f>
        <v/>
      </c>
      <c r="O1295" s="25">
        <f>IF($G1295="","",ROUND(N($K1295)*N($L1295),2))</f>
        <v/>
      </c>
      <c r="P1295" s="26">
        <f>IF($G1295="","",ROUND($O1295*$N1295,0))</f>
        <v/>
      </c>
      <c r="Q1295" s="26">
        <f>IF($G1295="","",SUMIFS($P$4:$P$2503,$E$4:$E$2503,$E1295,$Z$4:$Z$2503,"正常"))</f>
        <v/>
      </c>
      <c r="R1295" s="26">
        <f>IF($G1295="","",SUMIFS(费用台账!$I$4:$I$503,费用台账!$C$4:$C$503,$E1295,费用台账!$J$4:$J$503,"是",费用台账!$K$4:$K$503,"正常"))</f>
        <v/>
      </c>
      <c r="S1295" s="28">
        <f>IF($G1295="","",COUNTIFS($E$4:$E$2503,$E1295,$Z$4:$Z$2503,"正常",$Y$4:$Y$2503,"待补价"))</f>
        <v/>
      </c>
      <c r="T1295" s="26">
        <f>IF($G1295="","",SUMIFS($P$4:$P$2503,$E$4:$E$2503,$E1295,$Z$4:$Z$2503,"正常",$A$4:$A$2503,"&lt;="&amp;$A1295))</f>
        <v/>
      </c>
      <c r="U1295" s="26">
        <f>IF($G1295="","",IF(OR($S1295&gt;0,$Q1295=0,$R1295=0,$Z1295&lt;&gt;"正常"),0,ROUND($T1295/$Q1295*$R1295,0)-ROUND(($T1295-$P1295)/$Q1295*$R1295,0)))</f>
        <v/>
      </c>
      <c r="V1295" s="26">
        <f>IF($G1295="","",ROUND($P1295+$U1295,0))</f>
        <v/>
      </c>
      <c r="W1295" s="26">
        <f>IF($G1295="","",IF(N($K1295)=0,0,ROUND($V1295/$K1295,2)))</f>
        <v/>
      </c>
      <c r="X1295" s="17" t="n"/>
      <c r="Y1295" s="17" t="n"/>
      <c r="Z1295" s="17" t="n"/>
      <c r="AA1295" s="17" t="n"/>
      <c r="AB1295" s="17" t="n"/>
      <c r="AC1295" s="24">
        <f>IF($G1295="","",IF($H1295="※编码不在物料档案里","※物料编码不在档案里",IF(N($K1295)&lt;=0,"※入库数量要大于 0",IF(AND($C1295&lt;&gt;"",$C1295&lt;=结账锁),"※日期早于已结账截止日，不能再录",IF(AND($L1295=0,$X1295="正常"),"※没填单价，价格状态请选「待补价」",IF(AND($S1295&gt;0,$R1295&gt;0),"△本批有 "&amp;$S1295&amp;" 行没单价，整批运费先挂账没摊",IF(AND($B1295&lt;&gt;"",COUNTIF($B$4:$B$2503,$B1295)&gt;1),"※入库单号重复","")))))))</f>
        <v/>
      </c>
    </row>
    <row r="1296">
      <c r="A1296" s="24">
        <f>IF($G1296="","",COUNTA($G$4:$G1296))</f>
        <v/>
      </c>
      <c r="B1296" s="17" t="n"/>
      <c r="C1296" s="30" t="n"/>
      <c r="D1296" s="17" t="n"/>
      <c r="E1296" s="17" t="n"/>
      <c r="F1296" s="17" t="n"/>
      <c r="G1296" s="17" t="n"/>
      <c r="H1296" s="24">
        <f>IF($G1296="","",IFERROR(VLOOKUP($G1296,物料档案!$A$4:$P$1203,3,0),"※编码不在物料档案里"))</f>
        <v/>
      </c>
      <c r="I1296" s="24">
        <f>IF($G1296="","",IFERROR(VLOOKUP($G1296,物料档案!$A$4:$P$1203,4,0),"※编码不在物料档案里"))</f>
        <v/>
      </c>
      <c r="J1296" s="24">
        <f>IF($G1296="","",IFERROR(VLOOKUP($G1296,物料档案!$A$4:$P$1203,5,0),"※编码不在物料档案里"))</f>
        <v/>
      </c>
      <c r="K1296" s="23" t="n"/>
      <c r="L1296" s="31" t="n"/>
      <c r="M1296" s="24">
        <f>IF($G1296="","",IF($D1296="A国内","CNY","TZS"))</f>
        <v/>
      </c>
      <c r="N1296" s="28">
        <f>IF($G1296="","",IF($D1296="A国内",汇率,1))</f>
        <v/>
      </c>
      <c r="O1296" s="25">
        <f>IF($G1296="","",ROUND(N($K1296)*N($L1296),2))</f>
        <v/>
      </c>
      <c r="P1296" s="26">
        <f>IF($G1296="","",ROUND($O1296*$N1296,0))</f>
        <v/>
      </c>
      <c r="Q1296" s="26">
        <f>IF($G1296="","",SUMIFS($P$4:$P$2503,$E$4:$E$2503,$E1296,$Z$4:$Z$2503,"正常"))</f>
        <v/>
      </c>
      <c r="R1296" s="26">
        <f>IF($G1296="","",SUMIFS(费用台账!$I$4:$I$503,费用台账!$C$4:$C$503,$E1296,费用台账!$J$4:$J$503,"是",费用台账!$K$4:$K$503,"正常"))</f>
        <v/>
      </c>
      <c r="S1296" s="28">
        <f>IF($G1296="","",COUNTIFS($E$4:$E$2503,$E1296,$Z$4:$Z$2503,"正常",$Y$4:$Y$2503,"待补价"))</f>
        <v/>
      </c>
      <c r="T1296" s="26">
        <f>IF($G1296="","",SUMIFS($P$4:$P$2503,$E$4:$E$2503,$E1296,$Z$4:$Z$2503,"正常",$A$4:$A$2503,"&lt;="&amp;$A1296))</f>
        <v/>
      </c>
      <c r="U1296" s="26">
        <f>IF($G1296="","",IF(OR($S1296&gt;0,$Q1296=0,$R1296=0,$Z1296&lt;&gt;"正常"),0,ROUND($T1296/$Q1296*$R1296,0)-ROUND(($T1296-$P1296)/$Q1296*$R1296,0)))</f>
        <v/>
      </c>
      <c r="V1296" s="26">
        <f>IF($G1296="","",ROUND($P1296+$U1296,0))</f>
        <v/>
      </c>
      <c r="W1296" s="26">
        <f>IF($G1296="","",IF(N($K1296)=0,0,ROUND($V1296/$K1296,2)))</f>
        <v/>
      </c>
      <c r="X1296" s="17" t="n"/>
      <c r="Y1296" s="17" t="n"/>
      <c r="Z1296" s="17" t="n"/>
      <c r="AA1296" s="17" t="n"/>
      <c r="AB1296" s="17" t="n"/>
      <c r="AC1296" s="24">
        <f>IF($G1296="","",IF($H1296="※编码不在物料档案里","※物料编码不在档案里",IF(N($K1296)&lt;=0,"※入库数量要大于 0",IF(AND($C1296&lt;&gt;"",$C1296&lt;=结账锁),"※日期早于已结账截止日，不能再录",IF(AND($L1296=0,$X1296="正常"),"※没填单价，价格状态请选「待补价」",IF(AND($S1296&gt;0,$R1296&gt;0),"△本批有 "&amp;$S1296&amp;" 行没单价，整批运费先挂账没摊",IF(AND($B1296&lt;&gt;"",COUNTIF($B$4:$B$2503,$B1296)&gt;1),"※入库单号重复","")))))))</f>
        <v/>
      </c>
    </row>
    <row r="1297">
      <c r="A1297" s="24">
        <f>IF($G1297="","",COUNTA($G$4:$G1297))</f>
        <v/>
      </c>
      <c r="B1297" s="17" t="n"/>
      <c r="C1297" s="30" t="n"/>
      <c r="D1297" s="17" t="n"/>
      <c r="E1297" s="17" t="n"/>
      <c r="F1297" s="17" t="n"/>
      <c r="G1297" s="17" t="n"/>
      <c r="H1297" s="24">
        <f>IF($G1297="","",IFERROR(VLOOKUP($G1297,物料档案!$A$4:$P$1203,3,0),"※编码不在物料档案里"))</f>
        <v/>
      </c>
      <c r="I1297" s="24">
        <f>IF($G1297="","",IFERROR(VLOOKUP($G1297,物料档案!$A$4:$P$1203,4,0),"※编码不在物料档案里"))</f>
        <v/>
      </c>
      <c r="J1297" s="24">
        <f>IF($G1297="","",IFERROR(VLOOKUP($G1297,物料档案!$A$4:$P$1203,5,0),"※编码不在物料档案里"))</f>
        <v/>
      </c>
      <c r="K1297" s="23" t="n"/>
      <c r="L1297" s="31" t="n"/>
      <c r="M1297" s="24">
        <f>IF($G1297="","",IF($D1297="A国内","CNY","TZS"))</f>
        <v/>
      </c>
      <c r="N1297" s="28">
        <f>IF($G1297="","",IF($D1297="A国内",汇率,1))</f>
        <v/>
      </c>
      <c r="O1297" s="25">
        <f>IF($G1297="","",ROUND(N($K1297)*N($L1297),2))</f>
        <v/>
      </c>
      <c r="P1297" s="26">
        <f>IF($G1297="","",ROUND($O1297*$N1297,0))</f>
        <v/>
      </c>
      <c r="Q1297" s="26">
        <f>IF($G1297="","",SUMIFS($P$4:$P$2503,$E$4:$E$2503,$E1297,$Z$4:$Z$2503,"正常"))</f>
        <v/>
      </c>
      <c r="R1297" s="26">
        <f>IF($G1297="","",SUMIFS(费用台账!$I$4:$I$503,费用台账!$C$4:$C$503,$E1297,费用台账!$J$4:$J$503,"是",费用台账!$K$4:$K$503,"正常"))</f>
        <v/>
      </c>
      <c r="S1297" s="28">
        <f>IF($G1297="","",COUNTIFS($E$4:$E$2503,$E1297,$Z$4:$Z$2503,"正常",$Y$4:$Y$2503,"待补价"))</f>
        <v/>
      </c>
      <c r="T1297" s="26">
        <f>IF($G1297="","",SUMIFS($P$4:$P$2503,$E$4:$E$2503,$E1297,$Z$4:$Z$2503,"正常",$A$4:$A$2503,"&lt;="&amp;$A1297))</f>
        <v/>
      </c>
      <c r="U1297" s="26">
        <f>IF($G1297="","",IF(OR($S1297&gt;0,$Q1297=0,$R1297=0,$Z1297&lt;&gt;"正常"),0,ROUND($T1297/$Q1297*$R1297,0)-ROUND(($T1297-$P1297)/$Q1297*$R1297,0)))</f>
        <v/>
      </c>
      <c r="V1297" s="26">
        <f>IF($G1297="","",ROUND($P1297+$U1297,0))</f>
        <v/>
      </c>
      <c r="W1297" s="26">
        <f>IF($G1297="","",IF(N($K1297)=0,0,ROUND($V1297/$K1297,2)))</f>
        <v/>
      </c>
      <c r="X1297" s="17" t="n"/>
      <c r="Y1297" s="17" t="n"/>
      <c r="Z1297" s="17" t="n"/>
      <c r="AA1297" s="17" t="n"/>
      <c r="AB1297" s="17" t="n"/>
      <c r="AC1297" s="24">
        <f>IF($G1297="","",IF($H1297="※编码不在物料档案里","※物料编码不在档案里",IF(N($K1297)&lt;=0,"※入库数量要大于 0",IF(AND($C1297&lt;&gt;"",$C1297&lt;=结账锁),"※日期早于已结账截止日，不能再录",IF(AND($L1297=0,$X1297="正常"),"※没填单价，价格状态请选「待补价」",IF(AND($S1297&gt;0,$R1297&gt;0),"△本批有 "&amp;$S1297&amp;" 行没单价，整批运费先挂账没摊",IF(AND($B1297&lt;&gt;"",COUNTIF($B$4:$B$2503,$B1297)&gt;1),"※入库单号重复","")))))))</f>
        <v/>
      </c>
    </row>
    <row r="1298">
      <c r="A1298" s="24">
        <f>IF($G1298="","",COUNTA($G$4:$G1298))</f>
        <v/>
      </c>
      <c r="B1298" s="17" t="n"/>
      <c r="C1298" s="30" t="n"/>
      <c r="D1298" s="17" t="n"/>
      <c r="E1298" s="17" t="n"/>
      <c r="F1298" s="17" t="n"/>
      <c r="G1298" s="17" t="n"/>
      <c r="H1298" s="24">
        <f>IF($G1298="","",IFERROR(VLOOKUP($G1298,物料档案!$A$4:$P$1203,3,0),"※编码不在物料档案里"))</f>
        <v/>
      </c>
      <c r="I1298" s="24">
        <f>IF($G1298="","",IFERROR(VLOOKUP($G1298,物料档案!$A$4:$P$1203,4,0),"※编码不在物料档案里"))</f>
        <v/>
      </c>
      <c r="J1298" s="24">
        <f>IF($G1298="","",IFERROR(VLOOKUP($G1298,物料档案!$A$4:$P$1203,5,0),"※编码不在物料档案里"))</f>
        <v/>
      </c>
      <c r="K1298" s="23" t="n"/>
      <c r="L1298" s="31" t="n"/>
      <c r="M1298" s="24">
        <f>IF($G1298="","",IF($D1298="A国内","CNY","TZS"))</f>
        <v/>
      </c>
      <c r="N1298" s="28">
        <f>IF($G1298="","",IF($D1298="A国内",汇率,1))</f>
        <v/>
      </c>
      <c r="O1298" s="25">
        <f>IF($G1298="","",ROUND(N($K1298)*N($L1298),2))</f>
        <v/>
      </c>
      <c r="P1298" s="26">
        <f>IF($G1298="","",ROUND($O1298*$N1298,0))</f>
        <v/>
      </c>
      <c r="Q1298" s="26">
        <f>IF($G1298="","",SUMIFS($P$4:$P$2503,$E$4:$E$2503,$E1298,$Z$4:$Z$2503,"正常"))</f>
        <v/>
      </c>
      <c r="R1298" s="26">
        <f>IF($G1298="","",SUMIFS(费用台账!$I$4:$I$503,费用台账!$C$4:$C$503,$E1298,费用台账!$J$4:$J$503,"是",费用台账!$K$4:$K$503,"正常"))</f>
        <v/>
      </c>
      <c r="S1298" s="28">
        <f>IF($G1298="","",COUNTIFS($E$4:$E$2503,$E1298,$Z$4:$Z$2503,"正常",$Y$4:$Y$2503,"待补价"))</f>
        <v/>
      </c>
      <c r="T1298" s="26">
        <f>IF($G1298="","",SUMIFS($P$4:$P$2503,$E$4:$E$2503,$E1298,$Z$4:$Z$2503,"正常",$A$4:$A$2503,"&lt;="&amp;$A1298))</f>
        <v/>
      </c>
      <c r="U1298" s="26">
        <f>IF($G1298="","",IF(OR($S1298&gt;0,$Q1298=0,$R1298=0,$Z1298&lt;&gt;"正常"),0,ROUND($T1298/$Q1298*$R1298,0)-ROUND(($T1298-$P1298)/$Q1298*$R1298,0)))</f>
        <v/>
      </c>
      <c r="V1298" s="26">
        <f>IF($G1298="","",ROUND($P1298+$U1298,0))</f>
        <v/>
      </c>
      <c r="W1298" s="26">
        <f>IF($G1298="","",IF(N($K1298)=0,0,ROUND($V1298/$K1298,2)))</f>
        <v/>
      </c>
      <c r="X1298" s="17" t="n"/>
      <c r="Y1298" s="17" t="n"/>
      <c r="Z1298" s="17" t="n"/>
      <c r="AA1298" s="17" t="n"/>
      <c r="AB1298" s="17" t="n"/>
      <c r="AC1298" s="24">
        <f>IF($G1298="","",IF($H1298="※编码不在物料档案里","※物料编码不在档案里",IF(N($K1298)&lt;=0,"※入库数量要大于 0",IF(AND($C1298&lt;&gt;"",$C1298&lt;=结账锁),"※日期早于已结账截止日，不能再录",IF(AND($L1298=0,$X1298="正常"),"※没填单价，价格状态请选「待补价」",IF(AND($S1298&gt;0,$R1298&gt;0),"△本批有 "&amp;$S1298&amp;" 行没单价，整批运费先挂账没摊",IF(AND($B1298&lt;&gt;"",COUNTIF($B$4:$B$2503,$B1298)&gt;1),"※入库单号重复","")))))))</f>
        <v/>
      </c>
    </row>
    <row r="1299">
      <c r="A1299" s="24">
        <f>IF($G1299="","",COUNTA($G$4:$G1299))</f>
        <v/>
      </c>
      <c r="B1299" s="17" t="n"/>
      <c r="C1299" s="30" t="n"/>
      <c r="D1299" s="17" t="n"/>
      <c r="E1299" s="17" t="n"/>
      <c r="F1299" s="17" t="n"/>
      <c r="G1299" s="17" t="n"/>
      <c r="H1299" s="24">
        <f>IF($G1299="","",IFERROR(VLOOKUP($G1299,物料档案!$A$4:$P$1203,3,0),"※编码不在物料档案里"))</f>
        <v/>
      </c>
      <c r="I1299" s="24">
        <f>IF($G1299="","",IFERROR(VLOOKUP($G1299,物料档案!$A$4:$P$1203,4,0),"※编码不在物料档案里"))</f>
        <v/>
      </c>
      <c r="J1299" s="24">
        <f>IF($G1299="","",IFERROR(VLOOKUP($G1299,物料档案!$A$4:$P$1203,5,0),"※编码不在物料档案里"))</f>
        <v/>
      </c>
      <c r="K1299" s="23" t="n"/>
      <c r="L1299" s="31" t="n"/>
      <c r="M1299" s="24">
        <f>IF($G1299="","",IF($D1299="A国内","CNY","TZS"))</f>
        <v/>
      </c>
      <c r="N1299" s="28">
        <f>IF($G1299="","",IF($D1299="A国内",汇率,1))</f>
        <v/>
      </c>
      <c r="O1299" s="25">
        <f>IF($G1299="","",ROUND(N($K1299)*N($L1299),2))</f>
        <v/>
      </c>
      <c r="P1299" s="26">
        <f>IF($G1299="","",ROUND($O1299*$N1299,0))</f>
        <v/>
      </c>
      <c r="Q1299" s="26">
        <f>IF($G1299="","",SUMIFS($P$4:$P$2503,$E$4:$E$2503,$E1299,$Z$4:$Z$2503,"正常"))</f>
        <v/>
      </c>
      <c r="R1299" s="26">
        <f>IF($G1299="","",SUMIFS(费用台账!$I$4:$I$503,费用台账!$C$4:$C$503,$E1299,费用台账!$J$4:$J$503,"是",费用台账!$K$4:$K$503,"正常"))</f>
        <v/>
      </c>
      <c r="S1299" s="28">
        <f>IF($G1299="","",COUNTIFS($E$4:$E$2503,$E1299,$Z$4:$Z$2503,"正常",$Y$4:$Y$2503,"待补价"))</f>
        <v/>
      </c>
      <c r="T1299" s="26">
        <f>IF($G1299="","",SUMIFS($P$4:$P$2503,$E$4:$E$2503,$E1299,$Z$4:$Z$2503,"正常",$A$4:$A$2503,"&lt;="&amp;$A1299))</f>
        <v/>
      </c>
      <c r="U1299" s="26">
        <f>IF($G1299="","",IF(OR($S1299&gt;0,$Q1299=0,$R1299=0,$Z1299&lt;&gt;"正常"),0,ROUND($T1299/$Q1299*$R1299,0)-ROUND(($T1299-$P1299)/$Q1299*$R1299,0)))</f>
        <v/>
      </c>
      <c r="V1299" s="26">
        <f>IF($G1299="","",ROUND($P1299+$U1299,0))</f>
        <v/>
      </c>
      <c r="W1299" s="26">
        <f>IF($G1299="","",IF(N($K1299)=0,0,ROUND($V1299/$K1299,2)))</f>
        <v/>
      </c>
      <c r="X1299" s="17" t="n"/>
      <c r="Y1299" s="17" t="n"/>
      <c r="Z1299" s="17" t="n"/>
      <c r="AA1299" s="17" t="n"/>
      <c r="AB1299" s="17" t="n"/>
      <c r="AC1299" s="24">
        <f>IF($G1299="","",IF($H1299="※编码不在物料档案里","※物料编码不在档案里",IF(N($K1299)&lt;=0,"※入库数量要大于 0",IF(AND($C1299&lt;&gt;"",$C1299&lt;=结账锁),"※日期早于已结账截止日，不能再录",IF(AND($L1299=0,$X1299="正常"),"※没填单价，价格状态请选「待补价」",IF(AND($S1299&gt;0,$R1299&gt;0),"△本批有 "&amp;$S1299&amp;" 行没单价，整批运费先挂账没摊",IF(AND($B1299&lt;&gt;"",COUNTIF($B$4:$B$2503,$B1299)&gt;1),"※入库单号重复","")))))))</f>
        <v/>
      </c>
    </row>
    <row r="1300">
      <c r="A1300" s="24">
        <f>IF($G1300="","",COUNTA($G$4:$G1300))</f>
        <v/>
      </c>
      <c r="B1300" s="17" t="n"/>
      <c r="C1300" s="30" t="n"/>
      <c r="D1300" s="17" t="n"/>
      <c r="E1300" s="17" t="n"/>
      <c r="F1300" s="17" t="n"/>
      <c r="G1300" s="17" t="n"/>
      <c r="H1300" s="24">
        <f>IF($G1300="","",IFERROR(VLOOKUP($G1300,物料档案!$A$4:$P$1203,3,0),"※编码不在物料档案里"))</f>
        <v/>
      </c>
      <c r="I1300" s="24">
        <f>IF($G1300="","",IFERROR(VLOOKUP($G1300,物料档案!$A$4:$P$1203,4,0),"※编码不在物料档案里"))</f>
        <v/>
      </c>
      <c r="J1300" s="24">
        <f>IF($G1300="","",IFERROR(VLOOKUP($G1300,物料档案!$A$4:$P$1203,5,0),"※编码不在物料档案里"))</f>
        <v/>
      </c>
      <c r="K1300" s="23" t="n"/>
      <c r="L1300" s="31" t="n"/>
      <c r="M1300" s="24">
        <f>IF($G1300="","",IF($D1300="A国内","CNY","TZS"))</f>
        <v/>
      </c>
      <c r="N1300" s="28">
        <f>IF($G1300="","",IF($D1300="A国内",汇率,1))</f>
        <v/>
      </c>
      <c r="O1300" s="25">
        <f>IF($G1300="","",ROUND(N($K1300)*N($L1300),2))</f>
        <v/>
      </c>
      <c r="P1300" s="26">
        <f>IF($G1300="","",ROUND($O1300*$N1300,0))</f>
        <v/>
      </c>
      <c r="Q1300" s="26">
        <f>IF($G1300="","",SUMIFS($P$4:$P$2503,$E$4:$E$2503,$E1300,$Z$4:$Z$2503,"正常"))</f>
        <v/>
      </c>
      <c r="R1300" s="26">
        <f>IF($G1300="","",SUMIFS(费用台账!$I$4:$I$503,费用台账!$C$4:$C$503,$E1300,费用台账!$J$4:$J$503,"是",费用台账!$K$4:$K$503,"正常"))</f>
        <v/>
      </c>
      <c r="S1300" s="28">
        <f>IF($G1300="","",COUNTIFS($E$4:$E$2503,$E1300,$Z$4:$Z$2503,"正常",$Y$4:$Y$2503,"待补价"))</f>
        <v/>
      </c>
      <c r="T1300" s="26">
        <f>IF($G1300="","",SUMIFS($P$4:$P$2503,$E$4:$E$2503,$E1300,$Z$4:$Z$2503,"正常",$A$4:$A$2503,"&lt;="&amp;$A1300))</f>
        <v/>
      </c>
      <c r="U1300" s="26">
        <f>IF($G1300="","",IF(OR($S1300&gt;0,$Q1300=0,$R1300=0,$Z1300&lt;&gt;"正常"),0,ROUND($T1300/$Q1300*$R1300,0)-ROUND(($T1300-$P1300)/$Q1300*$R1300,0)))</f>
        <v/>
      </c>
      <c r="V1300" s="26">
        <f>IF($G1300="","",ROUND($P1300+$U1300,0))</f>
        <v/>
      </c>
      <c r="W1300" s="26">
        <f>IF($G1300="","",IF(N($K1300)=0,0,ROUND($V1300/$K1300,2)))</f>
        <v/>
      </c>
      <c r="X1300" s="17" t="n"/>
      <c r="Y1300" s="17" t="n"/>
      <c r="Z1300" s="17" t="n"/>
      <c r="AA1300" s="17" t="n"/>
      <c r="AB1300" s="17" t="n"/>
      <c r="AC1300" s="24">
        <f>IF($G1300="","",IF($H1300="※编码不在物料档案里","※物料编码不在档案里",IF(N($K1300)&lt;=0,"※入库数量要大于 0",IF(AND($C1300&lt;&gt;"",$C1300&lt;=结账锁),"※日期早于已结账截止日，不能再录",IF(AND($L1300=0,$X1300="正常"),"※没填单价，价格状态请选「待补价」",IF(AND($S1300&gt;0,$R1300&gt;0),"△本批有 "&amp;$S1300&amp;" 行没单价，整批运费先挂账没摊",IF(AND($B1300&lt;&gt;"",COUNTIF($B$4:$B$2503,$B1300)&gt;1),"※入库单号重复","")))))))</f>
        <v/>
      </c>
    </row>
    <row r="1301">
      <c r="A1301" s="24">
        <f>IF($G1301="","",COUNTA($G$4:$G1301))</f>
        <v/>
      </c>
      <c r="B1301" s="17" t="n"/>
      <c r="C1301" s="30" t="n"/>
      <c r="D1301" s="17" t="n"/>
      <c r="E1301" s="17" t="n"/>
      <c r="F1301" s="17" t="n"/>
      <c r="G1301" s="17" t="n"/>
      <c r="H1301" s="24">
        <f>IF($G1301="","",IFERROR(VLOOKUP($G1301,物料档案!$A$4:$P$1203,3,0),"※编码不在物料档案里"))</f>
        <v/>
      </c>
      <c r="I1301" s="24">
        <f>IF($G1301="","",IFERROR(VLOOKUP($G1301,物料档案!$A$4:$P$1203,4,0),"※编码不在物料档案里"))</f>
        <v/>
      </c>
      <c r="J1301" s="24">
        <f>IF($G1301="","",IFERROR(VLOOKUP($G1301,物料档案!$A$4:$P$1203,5,0),"※编码不在物料档案里"))</f>
        <v/>
      </c>
      <c r="K1301" s="23" t="n"/>
      <c r="L1301" s="31" t="n"/>
      <c r="M1301" s="24">
        <f>IF($G1301="","",IF($D1301="A国内","CNY","TZS"))</f>
        <v/>
      </c>
      <c r="N1301" s="28">
        <f>IF($G1301="","",IF($D1301="A国内",汇率,1))</f>
        <v/>
      </c>
      <c r="O1301" s="25">
        <f>IF($G1301="","",ROUND(N($K1301)*N($L1301),2))</f>
        <v/>
      </c>
      <c r="P1301" s="26">
        <f>IF($G1301="","",ROUND($O1301*$N1301,0))</f>
        <v/>
      </c>
      <c r="Q1301" s="26">
        <f>IF($G1301="","",SUMIFS($P$4:$P$2503,$E$4:$E$2503,$E1301,$Z$4:$Z$2503,"正常"))</f>
        <v/>
      </c>
      <c r="R1301" s="26">
        <f>IF($G1301="","",SUMIFS(费用台账!$I$4:$I$503,费用台账!$C$4:$C$503,$E1301,费用台账!$J$4:$J$503,"是",费用台账!$K$4:$K$503,"正常"))</f>
        <v/>
      </c>
      <c r="S1301" s="28">
        <f>IF($G1301="","",COUNTIFS($E$4:$E$2503,$E1301,$Z$4:$Z$2503,"正常",$Y$4:$Y$2503,"待补价"))</f>
        <v/>
      </c>
      <c r="T1301" s="26">
        <f>IF($G1301="","",SUMIFS($P$4:$P$2503,$E$4:$E$2503,$E1301,$Z$4:$Z$2503,"正常",$A$4:$A$2503,"&lt;="&amp;$A1301))</f>
        <v/>
      </c>
      <c r="U1301" s="26">
        <f>IF($G1301="","",IF(OR($S1301&gt;0,$Q1301=0,$R1301=0,$Z1301&lt;&gt;"正常"),0,ROUND($T1301/$Q1301*$R1301,0)-ROUND(($T1301-$P1301)/$Q1301*$R1301,0)))</f>
        <v/>
      </c>
      <c r="V1301" s="26">
        <f>IF($G1301="","",ROUND($P1301+$U1301,0))</f>
        <v/>
      </c>
      <c r="W1301" s="26">
        <f>IF($G1301="","",IF(N($K1301)=0,0,ROUND($V1301/$K1301,2)))</f>
        <v/>
      </c>
      <c r="X1301" s="17" t="n"/>
      <c r="Y1301" s="17" t="n"/>
      <c r="Z1301" s="17" t="n"/>
      <c r="AA1301" s="17" t="n"/>
      <c r="AB1301" s="17" t="n"/>
      <c r="AC1301" s="24">
        <f>IF($G1301="","",IF($H1301="※编码不在物料档案里","※物料编码不在档案里",IF(N($K1301)&lt;=0,"※入库数量要大于 0",IF(AND($C1301&lt;&gt;"",$C1301&lt;=结账锁),"※日期早于已结账截止日，不能再录",IF(AND($L1301=0,$X1301="正常"),"※没填单价，价格状态请选「待补价」",IF(AND($S1301&gt;0,$R1301&gt;0),"△本批有 "&amp;$S1301&amp;" 行没单价，整批运费先挂账没摊",IF(AND($B1301&lt;&gt;"",COUNTIF($B$4:$B$2503,$B1301)&gt;1),"※入库单号重复","")))))))</f>
        <v/>
      </c>
    </row>
    <row r="1302">
      <c r="A1302" s="24">
        <f>IF($G1302="","",COUNTA($G$4:$G1302))</f>
        <v/>
      </c>
      <c r="B1302" s="17" t="n"/>
      <c r="C1302" s="30" t="n"/>
      <c r="D1302" s="17" t="n"/>
      <c r="E1302" s="17" t="n"/>
      <c r="F1302" s="17" t="n"/>
      <c r="G1302" s="17" t="n"/>
      <c r="H1302" s="24">
        <f>IF($G1302="","",IFERROR(VLOOKUP($G1302,物料档案!$A$4:$P$1203,3,0),"※编码不在物料档案里"))</f>
        <v/>
      </c>
      <c r="I1302" s="24">
        <f>IF($G1302="","",IFERROR(VLOOKUP($G1302,物料档案!$A$4:$P$1203,4,0),"※编码不在物料档案里"))</f>
        <v/>
      </c>
      <c r="J1302" s="24">
        <f>IF($G1302="","",IFERROR(VLOOKUP($G1302,物料档案!$A$4:$P$1203,5,0),"※编码不在物料档案里"))</f>
        <v/>
      </c>
      <c r="K1302" s="23" t="n"/>
      <c r="L1302" s="31" t="n"/>
      <c r="M1302" s="24">
        <f>IF($G1302="","",IF($D1302="A国内","CNY","TZS"))</f>
        <v/>
      </c>
      <c r="N1302" s="28">
        <f>IF($G1302="","",IF($D1302="A国内",汇率,1))</f>
        <v/>
      </c>
      <c r="O1302" s="25">
        <f>IF($G1302="","",ROUND(N($K1302)*N($L1302),2))</f>
        <v/>
      </c>
      <c r="P1302" s="26">
        <f>IF($G1302="","",ROUND($O1302*$N1302,0))</f>
        <v/>
      </c>
      <c r="Q1302" s="26">
        <f>IF($G1302="","",SUMIFS($P$4:$P$2503,$E$4:$E$2503,$E1302,$Z$4:$Z$2503,"正常"))</f>
        <v/>
      </c>
      <c r="R1302" s="26">
        <f>IF($G1302="","",SUMIFS(费用台账!$I$4:$I$503,费用台账!$C$4:$C$503,$E1302,费用台账!$J$4:$J$503,"是",费用台账!$K$4:$K$503,"正常"))</f>
        <v/>
      </c>
      <c r="S1302" s="28">
        <f>IF($G1302="","",COUNTIFS($E$4:$E$2503,$E1302,$Z$4:$Z$2503,"正常",$Y$4:$Y$2503,"待补价"))</f>
        <v/>
      </c>
      <c r="T1302" s="26">
        <f>IF($G1302="","",SUMIFS($P$4:$P$2503,$E$4:$E$2503,$E1302,$Z$4:$Z$2503,"正常",$A$4:$A$2503,"&lt;="&amp;$A1302))</f>
        <v/>
      </c>
      <c r="U1302" s="26">
        <f>IF($G1302="","",IF(OR($S1302&gt;0,$Q1302=0,$R1302=0,$Z1302&lt;&gt;"正常"),0,ROUND($T1302/$Q1302*$R1302,0)-ROUND(($T1302-$P1302)/$Q1302*$R1302,0)))</f>
        <v/>
      </c>
      <c r="V1302" s="26">
        <f>IF($G1302="","",ROUND($P1302+$U1302,0))</f>
        <v/>
      </c>
      <c r="W1302" s="26">
        <f>IF($G1302="","",IF(N($K1302)=0,0,ROUND($V1302/$K1302,2)))</f>
        <v/>
      </c>
      <c r="X1302" s="17" t="n"/>
      <c r="Y1302" s="17" t="n"/>
      <c r="Z1302" s="17" t="n"/>
      <c r="AA1302" s="17" t="n"/>
      <c r="AB1302" s="17" t="n"/>
      <c r="AC1302" s="24">
        <f>IF($G1302="","",IF($H1302="※编码不在物料档案里","※物料编码不在档案里",IF(N($K1302)&lt;=0,"※入库数量要大于 0",IF(AND($C1302&lt;&gt;"",$C1302&lt;=结账锁),"※日期早于已结账截止日，不能再录",IF(AND($L1302=0,$X1302="正常"),"※没填单价，价格状态请选「待补价」",IF(AND($S1302&gt;0,$R1302&gt;0),"△本批有 "&amp;$S1302&amp;" 行没单价，整批运费先挂账没摊",IF(AND($B1302&lt;&gt;"",COUNTIF($B$4:$B$2503,$B1302)&gt;1),"※入库单号重复","")))))))</f>
        <v/>
      </c>
    </row>
    <row r="1303">
      <c r="A1303" s="24">
        <f>IF($G1303="","",COUNTA($G$4:$G1303))</f>
        <v/>
      </c>
      <c r="B1303" s="17" t="n"/>
      <c r="C1303" s="30" t="n"/>
      <c r="D1303" s="17" t="n"/>
      <c r="E1303" s="17" t="n"/>
      <c r="F1303" s="17" t="n"/>
      <c r="G1303" s="17" t="n"/>
      <c r="H1303" s="24">
        <f>IF($G1303="","",IFERROR(VLOOKUP($G1303,物料档案!$A$4:$P$1203,3,0),"※编码不在物料档案里"))</f>
        <v/>
      </c>
      <c r="I1303" s="24">
        <f>IF($G1303="","",IFERROR(VLOOKUP($G1303,物料档案!$A$4:$P$1203,4,0),"※编码不在物料档案里"))</f>
        <v/>
      </c>
      <c r="J1303" s="24">
        <f>IF($G1303="","",IFERROR(VLOOKUP($G1303,物料档案!$A$4:$P$1203,5,0),"※编码不在物料档案里"))</f>
        <v/>
      </c>
      <c r="K1303" s="23" t="n"/>
      <c r="L1303" s="31" t="n"/>
      <c r="M1303" s="24">
        <f>IF($G1303="","",IF($D1303="A国内","CNY","TZS"))</f>
        <v/>
      </c>
      <c r="N1303" s="28">
        <f>IF($G1303="","",IF($D1303="A国内",汇率,1))</f>
        <v/>
      </c>
      <c r="O1303" s="25">
        <f>IF($G1303="","",ROUND(N($K1303)*N($L1303),2))</f>
        <v/>
      </c>
      <c r="P1303" s="26">
        <f>IF($G1303="","",ROUND($O1303*$N1303,0))</f>
        <v/>
      </c>
      <c r="Q1303" s="26">
        <f>IF($G1303="","",SUMIFS($P$4:$P$2503,$E$4:$E$2503,$E1303,$Z$4:$Z$2503,"正常"))</f>
        <v/>
      </c>
      <c r="R1303" s="26">
        <f>IF($G1303="","",SUMIFS(费用台账!$I$4:$I$503,费用台账!$C$4:$C$503,$E1303,费用台账!$J$4:$J$503,"是",费用台账!$K$4:$K$503,"正常"))</f>
        <v/>
      </c>
      <c r="S1303" s="28">
        <f>IF($G1303="","",COUNTIFS($E$4:$E$2503,$E1303,$Z$4:$Z$2503,"正常",$Y$4:$Y$2503,"待补价"))</f>
        <v/>
      </c>
      <c r="T1303" s="26">
        <f>IF($G1303="","",SUMIFS($P$4:$P$2503,$E$4:$E$2503,$E1303,$Z$4:$Z$2503,"正常",$A$4:$A$2503,"&lt;="&amp;$A1303))</f>
        <v/>
      </c>
      <c r="U1303" s="26">
        <f>IF($G1303="","",IF(OR($S1303&gt;0,$Q1303=0,$R1303=0,$Z1303&lt;&gt;"正常"),0,ROUND($T1303/$Q1303*$R1303,0)-ROUND(($T1303-$P1303)/$Q1303*$R1303,0)))</f>
        <v/>
      </c>
      <c r="V1303" s="26">
        <f>IF($G1303="","",ROUND($P1303+$U1303,0))</f>
        <v/>
      </c>
      <c r="W1303" s="26">
        <f>IF($G1303="","",IF(N($K1303)=0,0,ROUND($V1303/$K1303,2)))</f>
        <v/>
      </c>
      <c r="X1303" s="17" t="n"/>
      <c r="Y1303" s="17" t="n"/>
      <c r="Z1303" s="17" t="n"/>
      <c r="AA1303" s="17" t="n"/>
      <c r="AB1303" s="17" t="n"/>
      <c r="AC1303" s="24">
        <f>IF($G1303="","",IF($H1303="※编码不在物料档案里","※物料编码不在档案里",IF(N($K1303)&lt;=0,"※入库数量要大于 0",IF(AND($C1303&lt;&gt;"",$C1303&lt;=结账锁),"※日期早于已结账截止日，不能再录",IF(AND($L1303=0,$X1303="正常"),"※没填单价，价格状态请选「待补价」",IF(AND($S1303&gt;0,$R1303&gt;0),"△本批有 "&amp;$S1303&amp;" 行没单价，整批运费先挂账没摊",IF(AND($B1303&lt;&gt;"",COUNTIF($B$4:$B$2503,$B1303)&gt;1),"※入库单号重复","")))))))</f>
        <v/>
      </c>
    </row>
    <row r="1304">
      <c r="A1304" s="24">
        <f>IF($G1304="","",COUNTA($G$4:$G1304))</f>
        <v/>
      </c>
      <c r="B1304" s="17" t="n"/>
      <c r="C1304" s="30" t="n"/>
      <c r="D1304" s="17" t="n"/>
      <c r="E1304" s="17" t="n"/>
      <c r="F1304" s="17" t="n"/>
      <c r="G1304" s="17" t="n"/>
      <c r="H1304" s="24">
        <f>IF($G1304="","",IFERROR(VLOOKUP($G1304,物料档案!$A$4:$P$1203,3,0),"※编码不在物料档案里"))</f>
        <v/>
      </c>
      <c r="I1304" s="24">
        <f>IF($G1304="","",IFERROR(VLOOKUP($G1304,物料档案!$A$4:$P$1203,4,0),"※编码不在物料档案里"))</f>
        <v/>
      </c>
      <c r="J1304" s="24">
        <f>IF($G1304="","",IFERROR(VLOOKUP($G1304,物料档案!$A$4:$P$1203,5,0),"※编码不在物料档案里"))</f>
        <v/>
      </c>
      <c r="K1304" s="23" t="n"/>
      <c r="L1304" s="31" t="n"/>
      <c r="M1304" s="24">
        <f>IF($G1304="","",IF($D1304="A国内","CNY","TZS"))</f>
        <v/>
      </c>
      <c r="N1304" s="28">
        <f>IF($G1304="","",IF($D1304="A国内",汇率,1))</f>
        <v/>
      </c>
      <c r="O1304" s="25">
        <f>IF($G1304="","",ROUND(N($K1304)*N($L1304),2))</f>
        <v/>
      </c>
      <c r="P1304" s="26">
        <f>IF($G1304="","",ROUND($O1304*$N1304,0))</f>
        <v/>
      </c>
      <c r="Q1304" s="26">
        <f>IF($G1304="","",SUMIFS($P$4:$P$2503,$E$4:$E$2503,$E1304,$Z$4:$Z$2503,"正常"))</f>
        <v/>
      </c>
      <c r="R1304" s="26">
        <f>IF($G1304="","",SUMIFS(费用台账!$I$4:$I$503,费用台账!$C$4:$C$503,$E1304,费用台账!$J$4:$J$503,"是",费用台账!$K$4:$K$503,"正常"))</f>
        <v/>
      </c>
      <c r="S1304" s="28">
        <f>IF($G1304="","",COUNTIFS($E$4:$E$2503,$E1304,$Z$4:$Z$2503,"正常",$Y$4:$Y$2503,"待补价"))</f>
        <v/>
      </c>
      <c r="T1304" s="26">
        <f>IF($G1304="","",SUMIFS($P$4:$P$2503,$E$4:$E$2503,$E1304,$Z$4:$Z$2503,"正常",$A$4:$A$2503,"&lt;="&amp;$A1304))</f>
        <v/>
      </c>
      <c r="U1304" s="26">
        <f>IF($G1304="","",IF(OR($S1304&gt;0,$Q1304=0,$R1304=0,$Z1304&lt;&gt;"正常"),0,ROUND($T1304/$Q1304*$R1304,0)-ROUND(($T1304-$P1304)/$Q1304*$R1304,0)))</f>
        <v/>
      </c>
      <c r="V1304" s="26">
        <f>IF($G1304="","",ROUND($P1304+$U1304,0))</f>
        <v/>
      </c>
      <c r="W1304" s="26">
        <f>IF($G1304="","",IF(N($K1304)=0,0,ROUND($V1304/$K1304,2)))</f>
        <v/>
      </c>
      <c r="X1304" s="17" t="n"/>
      <c r="Y1304" s="17" t="n"/>
      <c r="Z1304" s="17" t="n"/>
      <c r="AA1304" s="17" t="n"/>
      <c r="AB1304" s="17" t="n"/>
      <c r="AC1304" s="24">
        <f>IF($G1304="","",IF($H1304="※编码不在物料档案里","※物料编码不在档案里",IF(N($K1304)&lt;=0,"※入库数量要大于 0",IF(AND($C1304&lt;&gt;"",$C1304&lt;=结账锁),"※日期早于已结账截止日，不能再录",IF(AND($L1304=0,$X1304="正常"),"※没填单价，价格状态请选「待补价」",IF(AND($S1304&gt;0,$R1304&gt;0),"△本批有 "&amp;$S1304&amp;" 行没单价，整批运费先挂账没摊",IF(AND($B1304&lt;&gt;"",COUNTIF($B$4:$B$2503,$B1304)&gt;1),"※入库单号重复","")))))))</f>
        <v/>
      </c>
    </row>
    <row r="1305">
      <c r="A1305" s="24">
        <f>IF($G1305="","",COUNTA($G$4:$G1305))</f>
        <v/>
      </c>
      <c r="B1305" s="17" t="n"/>
      <c r="C1305" s="30" t="n"/>
      <c r="D1305" s="17" t="n"/>
      <c r="E1305" s="17" t="n"/>
      <c r="F1305" s="17" t="n"/>
      <c r="G1305" s="17" t="n"/>
      <c r="H1305" s="24">
        <f>IF($G1305="","",IFERROR(VLOOKUP($G1305,物料档案!$A$4:$P$1203,3,0),"※编码不在物料档案里"))</f>
        <v/>
      </c>
      <c r="I1305" s="24">
        <f>IF($G1305="","",IFERROR(VLOOKUP($G1305,物料档案!$A$4:$P$1203,4,0),"※编码不在物料档案里"))</f>
        <v/>
      </c>
      <c r="J1305" s="24">
        <f>IF($G1305="","",IFERROR(VLOOKUP($G1305,物料档案!$A$4:$P$1203,5,0),"※编码不在物料档案里"))</f>
        <v/>
      </c>
      <c r="K1305" s="23" t="n"/>
      <c r="L1305" s="31" t="n"/>
      <c r="M1305" s="24">
        <f>IF($G1305="","",IF($D1305="A国内","CNY","TZS"))</f>
        <v/>
      </c>
      <c r="N1305" s="28">
        <f>IF($G1305="","",IF($D1305="A国内",汇率,1))</f>
        <v/>
      </c>
      <c r="O1305" s="25">
        <f>IF($G1305="","",ROUND(N($K1305)*N($L1305),2))</f>
        <v/>
      </c>
      <c r="P1305" s="26">
        <f>IF($G1305="","",ROUND($O1305*$N1305,0))</f>
        <v/>
      </c>
      <c r="Q1305" s="26">
        <f>IF($G1305="","",SUMIFS($P$4:$P$2503,$E$4:$E$2503,$E1305,$Z$4:$Z$2503,"正常"))</f>
        <v/>
      </c>
      <c r="R1305" s="26">
        <f>IF($G1305="","",SUMIFS(费用台账!$I$4:$I$503,费用台账!$C$4:$C$503,$E1305,费用台账!$J$4:$J$503,"是",费用台账!$K$4:$K$503,"正常"))</f>
        <v/>
      </c>
      <c r="S1305" s="28">
        <f>IF($G1305="","",COUNTIFS($E$4:$E$2503,$E1305,$Z$4:$Z$2503,"正常",$Y$4:$Y$2503,"待补价"))</f>
        <v/>
      </c>
      <c r="T1305" s="26">
        <f>IF($G1305="","",SUMIFS($P$4:$P$2503,$E$4:$E$2503,$E1305,$Z$4:$Z$2503,"正常",$A$4:$A$2503,"&lt;="&amp;$A1305))</f>
        <v/>
      </c>
      <c r="U1305" s="26">
        <f>IF($G1305="","",IF(OR($S1305&gt;0,$Q1305=0,$R1305=0,$Z1305&lt;&gt;"正常"),0,ROUND($T1305/$Q1305*$R1305,0)-ROUND(($T1305-$P1305)/$Q1305*$R1305,0)))</f>
        <v/>
      </c>
      <c r="V1305" s="26">
        <f>IF($G1305="","",ROUND($P1305+$U1305,0))</f>
        <v/>
      </c>
      <c r="W1305" s="26">
        <f>IF($G1305="","",IF(N($K1305)=0,0,ROUND($V1305/$K1305,2)))</f>
        <v/>
      </c>
      <c r="X1305" s="17" t="n"/>
      <c r="Y1305" s="17" t="n"/>
      <c r="Z1305" s="17" t="n"/>
      <c r="AA1305" s="17" t="n"/>
      <c r="AB1305" s="17" t="n"/>
      <c r="AC1305" s="24">
        <f>IF($G1305="","",IF($H1305="※编码不在物料档案里","※物料编码不在档案里",IF(N($K1305)&lt;=0,"※入库数量要大于 0",IF(AND($C1305&lt;&gt;"",$C1305&lt;=结账锁),"※日期早于已结账截止日，不能再录",IF(AND($L1305=0,$X1305="正常"),"※没填单价，价格状态请选「待补价」",IF(AND($S1305&gt;0,$R1305&gt;0),"△本批有 "&amp;$S1305&amp;" 行没单价，整批运费先挂账没摊",IF(AND($B1305&lt;&gt;"",COUNTIF($B$4:$B$2503,$B1305)&gt;1),"※入库单号重复","")))))))</f>
        <v/>
      </c>
    </row>
    <row r="1306">
      <c r="A1306" s="24">
        <f>IF($G1306="","",COUNTA($G$4:$G1306))</f>
        <v/>
      </c>
      <c r="B1306" s="17" t="n"/>
      <c r="C1306" s="30" t="n"/>
      <c r="D1306" s="17" t="n"/>
      <c r="E1306" s="17" t="n"/>
      <c r="F1306" s="17" t="n"/>
      <c r="G1306" s="17" t="n"/>
      <c r="H1306" s="24">
        <f>IF($G1306="","",IFERROR(VLOOKUP($G1306,物料档案!$A$4:$P$1203,3,0),"※编码不在物料档案里"))</f>
        <v/>
      </c>
      <c r="I1306" s="24">
        <f>IF($G1306="","",IFERROR(VLOOKUP($G1306,物料档案!$A$4:$P$1203,4,0),"※编码不在物料档案里"))</f>
        <v/>
      </c>
      <c r="J1306" s="24">
        <f>IF($G1306="","",IFERROR(VLOOKUP($G1306,物料档案!$A$4:$P$1203,5,0),"※编码不在物料档案里"))</f>
        <v/>
      </c>
      <c r="K1306" s="23" t="n"/>
      <c r="L1306" s="31" t="n"/>
      <c r="M1306" s="24">
        <f>IF($G1306="","",IF($D1306="A国内","CNY","TZS"))</f>
        <v/>
      </c>
      <c r="N1306" s="28">
        <f>IF($G1306="","",IF($D1306="A国内",汇率,1))</f>
        <v/>
      </c>
      <c r="O1306" s="25">
        <f>IF($G1306="","",ROUND(N($K1306)*N($L1306),2))</f>
        <v/>
      </c>
      <c r="P1306" s="26">
        <f>IF($G1306="","",ROUND($O1306*$N1306,0))</f>
        <v/>
      </c>
      <c r="Q1306" s="26">
        <f>IF($G1306="","",SUMIFS($P$4:$P$2503,$E$4:$E$2503,$E1306,$Z$4:$Z$2503,"正常"))</f>
        <v/>
      </c>
      <c r="R1306" s="26">
        <f>IF($G1306="","",SUMIFS(费用台账!$I$4:$I$503,费用台账!$C$4:$C$503,$E1306,费用台账!$J$4:$J$503,"是",费用台账!$K$4:$K$503,"正常"))</f>
        <v/>
      </c>
      <c r="S1306" s="28">
        <f>IF($G1306="","",COUNTIFS($E$4:$E$2503,$E1306,$Z$4:$Z$2503,"正常",$Y$4:$Y$2503,"待补价"))</f>
        <v/>
      </c>
      <c r="T1306" s="26">
        <f>IF($G1306="","",SUMIFS($P$4:$P$2503,$E$4:$E$2503,$E1306,$Z$4:$Z$2503,"正常",$A$4:$A$2503,"&lt;="&amp;$A1306))</f>
        <v/>
      </c>
      <c r="U1306" s="26">
        <f>IF($G1306="","",IF(OR($S1306&gt;0,$Q1306=0,$R1306=0,$Z1306&lt;&gt;"正常"),0,ROUND($T1306/$Q1306*$R1306,0)-ROUND(($T1306-$P1306)/$Q1306*$R1306,0)))</f>
        <v/>
      </c>
      <c r="V1306" s="26">
        <f>IF($G1306="","",ROUND($P1306+$U1306,0))</f>
        <v/>
      </c>
      <c r="W1306" s="26">
        <f>IF($G1306="","",IF(N($K1306)=0,0,ROUND($V1306/$K1306,2)))</f>
        <v/>
      </c>
      <c r="X1306" s="17" t="n"/>
      <c r="Y1306" s="17" t="n"/>
      <c r="Z1306" s="17" t="n"/>
      <c r="AA1306" s="17" t="n"/>
      <c r="AB1306" s="17" t="n"/>
      <c r="AC1306" s="24">
        <f>IF($G1306="","",IF($H1306="※编码不在物料档案里","※物料编码不在档案里",IF(N($K1306)&lt;=0,"※入库数量要大于 0",IF(AND($C1306&lt;&gt;"",$C1306&lt;=结账锁),"※日期早于已结账截止日，不能再录",IF(AND($L1306=0,$X1306="正常"),"※没填单价，价格状态请选「待补价」",IF(AND($S1306&gt;0,$R1306&gt;0),"△本批有 "&amp;$S1306&amp;" 行没单价，整批运费先挂账没摊",IF(AND($B1306&lt;&gt;"",COUNTIF($B$4:$B$2503,$B1306)&gt;1),"※入库单号重复","")))))))</f>
        <v/>
      </c>
    </row>
    <row r="1307">
      <c r="A1307" s="24">
        <f>IF($G1307="","",COUNTA($G$4:$G1307))</f>
        <v/>
      </c>
      <c r="B1307" s="17" t="n"/>
      <c r="C1307" s="30" t="n"/>
      <c r="D1307" s="17" t="n"/>
      <c r="E1307" s="17" t="n"/>
      <c r="F1307" s="17" t="n"/>
      <c r="G1307" s="17" t="n"/>
      <c r="H1307" s="24">
        <f>IF($G1307="","",IFERROR(VLOOKUP($G1307,物料档案!$A$4:$P$1203,3,0),"※编码不在物料档案里"))</f>
        <v/>
      </c>
      <c r="I1307" s="24">
        <f>IF($G1307="","",IFERROR(VLOOKUP($G1307,物料档案!$A$4:$P$1203,4,0),"※编码不在物料档案里"))</f>
        <v/>
      </c>
      <c r="J1307" s="24">
        <f>IF($G1307="","",IFERROR(VLOOKUP($G1307,物料档案!$A$4:$P$1203,5,0),"※编码不在物料档案里"))</f>
        <v/>
      </c>
      <c r="K1307" s="23" t="n"/>
      <c r="L1307" s="31" t="n"/>
      <c r="M1307" s="24">
        <f>IF($G1307="","",IF($D1307="A国内","CNY","TZS"))</f>
        <v/>
      </c>
      <c r="N1307" s="28">
        <f>IF($G1307="","",IF($D1307="A国内",汇率,1))</f>
        <v/>
      </c>
      <c r="O1307" s="25">
        <f>IF($G1307="","",ROUND(N($K1307)*N($L1307),2))</f>
        <v/>
      </c>
      <c r="P1307" s="26">
        <f>IF($G1307="","",ROUND($O1307*$N1307,0))</f>
        <v/>
      </c>
      <c r="Q1307" s="26">
        <f>IF($G1307="","",SUMIFS($P$4:$P$2503,$E$4:$E$2503,$E1307,$Z$4:$Z$2503,"正常"))</f>
        <v/>
      </c>
      <c r="R1307" s="26">
        <f>IF($G1307="","",SUMIFS(费用台账!$I$4:$I$503,费用台账!$C$4:$C$503,$E1307,费用台账!$J$4:$J$503,"是",费用台账!$K$4:$K$503,"正常"))</f>
        <v/>
      </c>
      <c r="S1307" s="28">
        <f>IF($G1307="","",COUNTIFS($E$4:$E$2503,$E1307,$Z$4:$Z$2503,"正常",$Y$4:$Y$2503,"待补价"))</f>
        <v/>
      </c>
      <c r="T1307" s="26">
        <f>IF($G1307="","",SUMIFS($P$4:$P$2503,$E$4:$E$2503,$E1307,$Z$4:$Z$2503,"正常",$A$4:$A$2503,"&lt;="&amp;$A1307))</f>
        <v/>
      </c>
      <c r="U1307" s="26">
        <f>IF($G1307="","",IF(OR($S1307&gt;0,$Q1307=0,$R1307=0,$Z1307&lt;&gt;"正常"),0,ROUND($T1307/$Q1307*$R1307,0)-ROUND(($T1307-$P1307)/$Q1307*$R1307,0)))</f>
        <v/>
      </c>
      <c r="V1307" s="26">
        <f>IF($G1307="","",ROUND($P1307+$U1307,0))</f>
        <v/>
      </c>
      <c r="W1307" s="26">
        <f>IF($G1307="","",IF(N($K1307)=0,0,ROUND($V1307/$K1307,2)))</f>
        <v/>
      </c>
      <c r="X1307" s="17" t="n"/>
      <c r="Y1307" s="17" t="n"/>
      <c r="Z1307" s="17" t="n"/>
      <c r="AA1307" s="17" t="n"/>
      <c r="AB1307" s="17" t="n"/>
      <c r="AC1307" s="24">
        <f>IF($G1307="","",IF($H1307="※编码不在物料档案里","※物料编码不在档案里",IF(N($K1307)&lt;=0,"※入库数量要大于 0",IF(AND($C1307&lt;&gt;"",$C1307&lt;=结账锁),"※日期早于已结账截止日，不能再录",IF(AND($L1307=0,$X1307="正常"),"※没填单价，价格状态请选「待补价」",IF(AND($S1307&gt;0,$R1307&gt;0),"△本批有 "&amp;$S1307&amp;" 行没单价，整批运费先挂账没摊",IF(AND($B1307&lt;&gt;"",COUNTIF($B$4:$B$2503,$B1307)&gt;1),"※入库单号重复","")))))))</f>
        <v/>
      </c>
    </row>
    <row r="1308">
      <c r="A1308" s="24">
        <f>IF($G1308="","",COUNTA($G$4:$G1308))</f>
        <v/>
      </c>
      <c r="B1308" s="17" t="n"/>
      <c r="C1308" s="30" t="n"/>
      <c r="D1308" s="17" t="n"/>
      <c r="E1308" s="17" t="n"/>
      <c r="F1308" s="17" t="n"/>
      <c r="G1308" s="17" t="n"/>
      <c r="H1308" s="24">
        <f>IF($G1308="","",IFERROR(VLOOKUP($G1308,物料档案!$A$4:$P$1203,3,0),"※编码不在物料档案里"))</f>
        <v/>
      </c>
      <c r="I1308" s="24">
        <f>IF($G1308="","",IFERROR(VLOOKUP($G1308,物料档案!$A$4:$P$1203,4,0),"※编码不在物料档案里"))</f>
        <v/>
      </c>
      <c r="J1308" s="24">
        <f>IF($G1308="","",IFERROR(VLOOKUP($G1308,物料档案!$A$4:$P$1203,5,0),"※编码不在物料档案里"))</f>
        <v/>
      </c>
      <c r="K1308" s="23" t="n"/>
      <c r="L1308" s="31" t="n"/>
      <c r="M1308" s="24">
        <f>IF($G1308="","",IF($D1308="A国内","CNY","TZS"))</f>
        <v/>
      </c>
      <c r="N1308" s="28">
        <f>IF($G1308="","",IF($D1308="A国内",汇率,1))</f>
        <v/>
      </c>
      <c r="O1308" s="25">
        <f>IF($G1308="","",ROUND(N($K1308)*N($L1308),2))</f>
        <v/>
      </c>
      <c r="P1308" s="26">
        <f>IF($G1308="","",ROUND($O1308*$N1308,0))</f>
        <v/>
      </c>
      <c r="Q1308" s="26">
        <f>IF($G1308="","",SUMIFS($P$4:$P$2503,$E$4:$E$2503,$E1308,$Z$4:$Z$2503,"正常"))</f>
        <v/>
      </c>
      <c r="R1308" s="26">
        <f>IF($G1308="","",SUMIFS(费用台账!$I$4:$I$503,费用台账!$C$4:$C$503,$E1308,费用台账!$J$4:$J$503,"是",费用台账!$K$4:$K$503,"正常"))</f>
        <v/>
      </c>
      <c r="S1308" s="28">
        <f>IF($G1308="","",COUNTIFS($E$4:$E$2503,$E1308,$Z$4:$Z$2503,"正常",$Y$4:$Y$2503,"待补价"))</f>
        <v/>
      </c>
      <c r="T1308" s="26">
        <f>IF($G1308="","",SUMIFS($P$4:$P$2503,$E$4:$E$2503,$E1308,$Z$4:$Z$2503,"正常",$A$4:$A$2503,"&lt;="&amp;$A1308))</f>
        <v/>
      </c>
      <c r="U1308" s="26">
        <f>IF($G1308="","",IF(OR($S1308&gt;0,$Q1308=0,$R1308=0,$Z1308&lt;&gt;"正常"),0,ROUND($T1308/$Q1308*$R1308,0)-ROUND(($T1308-$P1308)/$Q1308*$R1308,0)))</f>
        <v/>
      </c>
      <c r="V1308" s="26">
        <f>IF($G1308="","",ROUND($P1308+$U1308,0))</f>
        <v/>
      </c>
      <c r="W1308" s="26">
        <f>IF($G1308="","",IF(N($K1308)=0,0,ROUND($V1308/$K1308,2)))</f>
        <v/>
      </c>
      <c r="X1308" s="17" t="n"/>
      <c r="Y1308" s="17" t="n"/>
      <c r="Z1308" s="17" t="n"/>
      <c r="AA1308" s="17" t="n"/>
      <c r="AB1308" s="17" t="n"/>
      <c r="AC1308" s="24">
        <f>IF($G1308="","",IF($H1308="※编码不在物料档案里","※物料编码不在档案里",IF(N($K1308)&lt;=0,"※入库数量要大于 0",IF(AND($C1308&lt;&gt;"",$C1308&lt;=结账锁),"※日期早于已结账截止日，不能再录",IF(AND($L1308=0,$X1308="正常"),"※没填单价，价格状态请选「待补价」",IF(AND($S1308&gt;0,$R1308&gt;0),"△本批有 "&amp;$S1308&amp;" 行没单价，整批运费先挂账没摊",IF(AND($B1308&lt;&gt;"",COUNTIF($B$4:$B$2503,$B1308)&gt;1),"※入库单号重复","")))))))</f>
        <v/>
      </c>
    </row>
    <row r="1309">
      <c r="A1309" s="24">
        <f>IF($G1309="","",COUNTA($G$4:$G1309))</f>
        <v/>
      </c>
      <c r="B1309" s="17" t="n"/>
      <c r="C1309" s="30" t="n"/>
      <c r="D1309" s="17" t="n"/>
      <c r="E1309" s="17" t="n"/>
      <c r="F1309" s="17" t="n"/>
      <c r="G1309" s="17" t="n"/>
      <c r="H1309" s="24">
        <f>IF($G1309="","",IFERROR(VLOOKUP($G1309,物料档案!$A$4:$P$1203,3,0),"※编码不在物料档案里"))</f>
        <v/>
      </c>
      <c r="I1309" s="24">
        <f>IF($G1309="","",IFERROR(VLOOKUP($G1309,物料档案!$A$4:$P$1203,4,0),"※编码不在物料档案里"))</f>
        <v/>
      </c>
      <c r="J1309" s="24">
        <f>IF($G1309="","",IFERROR(VLOOKUP($G1309,物料档案!$A$4:$P$1203,5,0),"※编码不在物料档案里"))</f>
        <v/>
      </c>
      <c r="K1309" s="23" t="n"/>
      <c r="L1309" s="31" t="n"/>
      <c r="M1309" s="24">
        <f>IF($G1309="","",IF($D1309="A国内","CNY","TZS"))</f>
        <v/>
      </c>
      <c r="N1309" s="28">
        <f>IF($G1309="","",IF($D1309="A国内",汇率,1))</f>
        <v/>
      </c>
      <c r="O1309" s="25">
        <f>IF($G1309="","",ROUND(N($K1309)*N($L1309),2))</f>
        <v/>
      </c>
      <c r="P1309" s="26">
        <f>IF($G1309="","",ROUND($O1309*$N1309,0))</f>
        <v/>
      </c>
      <c r="Q1309" s="26">
        <f>IF($G1309="","",SUMIFS($P$4:$P$2503,$E$4:$E$2503,$E1309,$Z$4:$Z$2503,"正常"))</f>
        <v/>
      </c>
      <c r="R1309" s="26">
        <f>IF($G1309="","",SUMIFS(费用台账!$I$4:$I$503,费用台账!$C$4:$C$503,$E1309,费用台账!$J$4:$J$503,"是",费用台账!$K$4:$K$503,"正常"))</f>
        <v/>
      </c>
      <c r="S1309" s="28">
        <f>IF($G1309="","",COUNTIFS($E$4:$E$2503,$E1309,$Z$4:$Z$2503,"正常",$Y$4:$Y$2503,"待补价"))</f>
        <v/>
      </c>
      <c r="T1309" s="26">
        <f>IF($G1309="","",SUMIFS($P$4:$P$2503,$E$4:$E$2503,$E1309,$Z$4:$Z$2503,"正常",$A$4:$A$2503,"&lt;="&amp;$A1309))</f>
        <v/>
      </c>
      <c r="U1309" s="26">
        <f>IF($G1309="","",IF(OR($S1309&gt;0,$Q1309=0,$R1309=0,$Z1309&lt;&gt;"正常"),0,ROUND($T1309/$Q1309*$R1309,0)-ROUND(($T1309-$P1309)/$Q1309*$R1309,0)))</f>
        <v/>
      </c>
      <c r="V1309" s="26">
        <f>IF($G1309="","",ROUND($P1309+$U1309,0))</f>
        <v/>
      </c>
      <c r="W1309" s="26">
        <f>IF($G1309="","",IF(N($K1309)=0,0,ROUND($V1309/$K1309,2)))</f>
        <v/>
      </c>
      <c r="X1309" s="17" t="n"/>
      <c r="Y1309" s="17" t="n"/>
      <c r="Z1309" s="17" t="n"/>
      <c r="AA1309" s="17" t="n"/>
      <c r="AB1309" s="17" t="n"/>
      <c r="AC1309" s="24">
        <f>IF($G1309="","",IF($H1309="※编码不在物料档案里","※物料编码不在档案里",IF(N($K1309)&lt;=0,"※入库数量要大于 0",IF(AND($C1309&lt;&gt;"",$C1309&lt;=结账锁),"※日期早于已结账截止日，不能再录",IF(AND($L1309=0,$X1309="正常"),"※没填单价，价格状态请选「待补价」",IF(AND($S1309&gt;0,$R1309&gt;0),"△本批有 "&amp;$S1309&amp;" 行没单价，整批运费先挂账没摊",IF(AND($B1309&lt;&gt;"",COUNTIF($B$4:$B$2503,$B1309)&gt;1),"※入库单号重复","")))))))</f>
        <v/>
      </c>
    </row>
    <row r="1310">
      <c r="A1310" s="24">
        <f>IF($G1310="","",COUNTA($G$4:$G1310))</f>
        <v/>
      </c>
      <c r="B1310" s="17" t="n"/>
      <c r="C1310" s="30" t="n"/>
      <c r="D1310" s="17" t="n"/>
      <c r="E1310" s="17" t="n"/>
      <c r="F1310" s="17" t="n"/>
      <c r="G1310" s="17" t="n"/>
      <c r="H1310" s="24">
        <f>IF($G1310="","",IFERROR(VLOOKUP($G1310,物料档案!$A$4:$P$1203,3,0),"※编码不在物料档案里"))</f>
        <v/>
      </c>
      <c r="I1310" s="24">
        <f>IF($G1310="","",IFERROR(VLOOKUP($G1310,物料档案!$A$4:$P$1203,4,0),"※编码不在物料档案里"))</f>
        <v/>
      </c>
      <c r="J1310" s="24">
        <f>IF($G1310="","",IFERROR(VLOOKUP($G1310,物料档案!$A$4:$P$1203,5,0),"※编码不在物料档案里"))</f>
        <v/>
      </c>
      <c r="K1310" s="23" t="n"/>
      <c r="L1310" s="31" t="n"/>
      <c r="M1310" s="24">
        <f>IF($G1310="","",IF($D1310="A国内","CNY","TZS"))</f>
        <v/>
      </c>
      <c r="N1310" s="28">
        <f>IF($G1310="","",IF($D1310="A国内",汇率,1))</f>
        <v/>
      </c>
      <c r="O1310" s="25">
        <f>IF($G1310="","",ROUND(N($K1310)*N($L1310),2))</f>
        <v/>
      </c>
      <c r="P1310" s="26">
        <f>IF($G1310="","",ROUND($O1310*$N1310,0))</f>
        <v/>
      </c>
      <c r="Q1310" s="26">
        <f>IF($G1310="","",SUMIFS($P$4:$P$2503,$E$4:$E$2503,$E1310,$Z$4:$Z$2503,"正常"))</f>
        <v/>
      </c>
      <c r="R1310" s="26">
        <f>IF($G1310="","",SUMIFS(费用台账!$I$4:$I$503,费用台账!$C$4:$C$503,$E1310,费用台账!$J$4:$J$503,"是",费用台账!$K$4:$K$503,"正常"))</f>
        <v/>
      </c>
      <c r="S1310" s="28">
        <f>IF($G1310="","",COUNTIFS($E$4:$E$2503,$E1310,$Z$4:$Z$2503,"正常",$Y$4:$Y$2503,"待补价"))</f>
        <v/>
      </c>
      <c r="T1310" s="26">
        <f>IF($G1310="","",SUMIFS($P$4:$P$2503,$E$4:$E$2503,$E1310,$Z$4:$Z$2503,"正常",$A$4:$A$2503,"&lt;="&amp;$A1310))</f>
        <v/>
      </c>
      <c r="U1310" s="26">
        <f>IF($G1310="","",IF(OR($S1310&gt;0,$Q1310=0,$R1310=0,$Z1310&lt;&gt;"正常"),0,ROUND($T1310/$Q1310*$R1310,0)-ROUND(($T1310-$P1310)/$Q1310*$R1310,0)))</f>
        <v/>
      </c>
      <c r="V1310" s="26">
        <f>IF($G1310="","",ROUND($P1310+$U1310,0))</f>
        <v/>
      </c>
      <c r="W1310" s="26">
        <f>IF($G1310="","",IF(N($K1310)=0,0,ROUND($V1310/$K1310,2)))</f>
        <v/>
      </c>
      <c r="X1310" s="17" t="n"/>
      <c r="Y1310" s="17" t="n"/>
      <c r="Z1310" s="17" t="n"/>
      <c r="AA1310" s="17" t="n"/>
      <c r="AB1310" s="17" t="n"/>
      <c r="AC1310" s="24">
        <f>IF($G1310="","",IF($H1310="※编码不在物料档案里","※物料编码不在档案里",IF(N($K1310)&lt;=0,"※入库数量要大于 0",IF(AND($C1310&lt;&gt;"",$C1310&lt;=结账锁),"※日期早于已结账截止日，不能再录",IF(AND($L1310=0,$X1310="正常"),"※没填单价，价格状态请选「待补价」",IF(AND($S1310&gt;0,$R1310&gt;0),"△本批有 "&amp;$S1310&amp;" 行没单价，整批运费先挂账没摊",IF(AND($B1310&lt;&gt;"",COUNTIF($B$4:$B$2503,$B1310)&gt;1),"※入库单号重复","")))))))</f>
        <v/>
      </c>
    </row>
    <row r="1311">
      <c r="A1311" s="24">
        <f>IF($G1311="","",COUNTA($G$4:$G1311))</f>
        <v/>
      </c>
      <c r="B1311" s="17" t="n"/>
      <c r="C1311" s="30" t="n"/>
      <c r="D1311" s="17" t="n"/>
      <c r="E1311" s="17" t="n"/>
      <c r="F1311" s="17" t="n"/>
      <c r="G1311" s="17" t="n"/>
      <c r="H1311" s="24">
        <f>IF($G1311="","",IFERROR(VLOOKUP($G1311,物料档案!$A$4:$P$1203,3,0),"※编码不在物料档案里"))</f>
        <v/>
      </c>
      <c r="I1311" s="24">
        <f>IF($G1311="","",IFERROR(VLOOKUP($G1311,物料档案!$A$4:$P$1203,4,0),"※编码不在物料档案里"))</f>
        <v/>
      </c>
      <c r="J1311" s="24">
        <f>IF($G1311="","",IFERROR(VLOOKUP($G1311,物料档案!$A$4:$P$1203,5,0),"※编码不在物料档案里"))</f>
        <v/>
      </c>
      <c r="K1311" s="23" t="n"/>
      <c r="L1311" s="31" t="n"/>
      <c r="M1311" s="24">
        <f>IF($G1311="","",IF($D1311="A国内","CNY","TZS"))</f>
        <v/>
      </c>
      <c r="N1311" s="28">
        <f>IF($G1311="","",IF($D1311="A国内",汇率,1))</f>
        <v/>
      </c>
      <c r="O1311" s="25">
        <f>IF($G1311="","",ROUND(N($K1311)*N($L1311),2))</f>
        <v/>
      </c>
      <c r="P1311" s="26">
        <f>IF($G1311="","",ROUND($O1311*$N1311,0))</f>
        <v/>
      </c>
      <c r="Q1311" s="26">
        <f>IF($G1311="","",SUMIFS($P$4:$P$2503,$E$4:$E$2503,$E1311,$Z$4:$Z$2503,"正常"))</f>
        <v/>
      </c>
      <c r="R1311" s="26">
        <f>IF($G1311="","",SUMIFS(费用台账!$I$4:$I$503,费用台账!$C$4:$C$503,$E1311,费用台账!$J$4:$J$503,"是",费用台账!$K$4:$K$503,"正常"))</f>
        <v/>
      </c>
      <c r="S1311" s="28">
        <f>IF($G1311="","",COUNTIFS($E$4:$E$2503,$E1311,$Z$4:$Z$2503,"正常",$Y$4:$Y$2503,"待补价"))</f>
        <v/>
      </c>
      <c r="T1311" s="26">
        <f>IF($G1311="","",SUMIFS($P$4:$P$2503,$E$4:$E$2503,$E1311,$Z$4:$Z$2503,"正常",$A$4:$A$2503,"&lt;="&amp;$A1311))</f>
        <v/>
      </c>
      <c r="U1311" s="26">
        <f>IF($G1311="","",IF(OR($S1311&gt;0,$Q1311=0,$R1311=0,$Z1311&lt;&gt;"正常"),0,ROUND($T1311/$Q1311*$R1311,0)-ROUND(($T1311-$P1311)/$Q1311*$R1311,0)))</f>
        <v/>
      </c>
      <c r="V1311" s="26">
        <f>IF($G1311="","",ROUND($P1311+$U1311,0))</f>
        <v/>
      </c>
      <c r="W1311" s="26">
        <f>IF($G1311="","",IF(N($K1311)=0,0,ROUND($V1311/$K1311,2)))</f>
        <v/>
      </c>
      <c r="X1311" s="17" t="n"/>
      <c r="Y1311" s="17" t="n"/>
      <c r="Z1311" s="17" t="n"/>
      <c r="AA1311" s="17" t="n"/>
      <c r="AB1311" s="17" t="n"/>
      <c r="AC1311" s="24">
        <f>IF($G1311="","",IF($H1311="※编码不在物料档案里","※物料编码不在档案里",IF(N($K1311)&lt;=0,"※入库数量要大于 0",IF(AND($C1311&lt;&gt;"",$C1311&lt;=结账锁),"※日期早于已结账截止日，不能再录",IF(AND($L1311=0,$X1311="正常"),"※没填单价，价格状态请选「待补价」",IF(AND($S1311&gt;0,$R1311&gt;0),"△本批有 "&amp;$S1311&amp;" 行没单价，整批运费先挂账没摊",IF(AND($B1311&lt;&gt;"",COUNTIF($B$4:$B$2503,$B1311)&gt;1),"※入库单号重复","")))))))</f>
        <v/>
      </c>
    </row>
    <row r="1312">
      <c r="A1312" s="24">
        <f>IF($G1312="","",COUNTA($G$4:$G1312))</f>
        <v/>
      </c>
      <c r="B1312" s="17" t="n"/>
      <c r="C1312" s="30" t="n"/>
      <c r="D1312" s="17" t="n"/>
      <c r="E1312" s="17" t="n"/>
      <c r="F1312" s="17" t="n"/>
      <c r="G1312" s="17" t="n"/>
      <c r="H1312" s="24">
        <f>IF($G1312="","",IFERROR(VLOOKUP($G1312,物料档案!$A$4:$P$1203,3,0),"※编码不在物料档案里"))</f>
        <v/>
      </c>
      <c r="I1312" s="24">
        <f>IF($G1312="","",IFERROR(VLOOKUP($G1312,物料档案!$A$4:$P$1203,4,0),"※编码不在物料档案里"))</f>
        <v/>
      </c>
      <c r="J1312" s="24">
        <f>IF($G1312="","",IFERROR(VLOOKUP($G1312,物料档案!$A$4:$P$1203,5,0),"※编码不在物料档案里"))</f>
        <v/>
      </c>
      <c r="K1312" s="23" t="n"/>
      <c r="L1312" s="31" t="n"/>
      <c r="M1312" s="24">
        <f>IF($G1312="","",IF($D1312="A国内","CNY","TZS"))</f>
        <v/>
      </c>
      <c r="N1312" s="28">
        <f>IF($G1312="","",IF($D1312="A国内",汇率,1))</f>
        <v/>
      </c>
      <c r="O1312" s="25">
        <f>IF($G1312="","",ROUND(N($K1312)*N($L1312),2))</f>
        <v/>
      </c>
      <c r="P1312" s="26">
        <f>IF($G1312="","",ROUND($O1312*$N1312,0))</f>
        <v/>
      </c>
      <c r="Q1312" s="26">
        <f>IF($G1312="","",SUMIFS($P$4:$P$2503,$E$4:$E$2503,$E1312,$Z$4:$Z$2503,"正常"))</f>
        <v/>
      </c>
      <c r="R1312" s="26">
        <f>IF($G1312="","",SUMIFS(费用台账!$I$4:$I$503,费用台账!$C$4:$C$503,$E1312,费用台账!$J$4:$J$503,"是",费用台账!$K$4:$K$503,"正常"))</f>
        <v/>
      </c>
      <c r="S1312" s="28">
        <f>IF($G1312="","",COUNTIFS($E$4:$E$2503,$E1312,$Z$4:$Z$2503,"正常",$Y$4:$Y$2503,"待补价"))</f>
        <v/>
      </c>
      <c r="T1312" s="26">
        <f>IF($G1312="","",SUMIFS($P$4:$P$2503,$E$4:$E$2503,$E1312,$Z$4:$Z$2503,"正常",$A$4:$A$2503,"&lt;="&amp;$A1312))</f>
        <v/>
      </c>
      <c r="U1312" s="26">
        <f>IF($G1312="","",IF(OR($S1312&gt;0,$Q1312=0,$R1312=0,$Z1312&lt;&gt;"正常"),0,ROUND($T1312/$Q1312*$R1312,0)-ROUND(($T1312-$P1312)/$Q1312*$R1312,0)))</f>
        <v/>
      </c>
      <c r="V1312" s="26">
        <f>IF($G1312="","",ROUND($P1312+$U1312,0))</f>
        <v/>
      </c>
      <c r="W1312" s="26">
        <f>IF($G1312="","",IF(N($K1312)=0,0,ROUND($V1312/$K1312,2)))</f>
        <v/>
      </c>
      <c r="X1312" s="17" t="n"/>
      <c r="Y1312" s="17" t="n"/>
      <c r="Z1312" s="17" t="n"/>
      <c r="AA1312" s="17" t="n"/>
      <c r="AB1312" s="17" t="n"/>
      <c r="AC1312" s="24">
        <f>IF($G1312="","",IF($H1312="※编码不在物料档案里","※物料编码不在档案里",IF(N($K1312)&lt;=0,"※入库数量要大于 0",IF(AND($C1312&lt;&gt;"",$C1312&lt;=结账锁),"※日期早于已结账截止日，不能再录",IF(AND($L1312=0,$X1312="正常"),"※没填单价，价格状态请选「待补价」",IF(AND($S1312&gt;0,$R1312&gt;0),"△本批有 "&amp;$S1312&amp;" 行没单价，整批运费先挂账没摊",IF(AND($B1312&lt;&gt;"",COUNTIF($B$4:$B$2503,$B1312)&gt;1),"※入库单号重复","")))))))</f>
        <v/>
      </c>
    </row>
    <row r="1313">
      <c r="A1313" s="24">
        <f>IF($G1313="","",COUNTA($G$4:$G1313))</f>
        <v/>
      </c>
      <c r="B1313" s="17" t="n"/>
      <c r="C1313" s="30" t="n"/>
      <c r="D1313" s="17" t="n"/>
      <c r="E1313" s="17" t="n"/>
      <c r="F1313" s="17" t="n"/>
      <c r="G1313" s="17" t="n"/>
      <c r="H1313" s="24">
        <f>IF($G1313="","",IFERROR(VLOOKUP($G1313,物料档案!$A$4:$P$1203,3,0),"※编码不在物料档案里"))</f>
        <v/>
      </c>
      <c r="I1313" s="24">
        <f>IF($G1313="","",IFERROR(VLOOKUP($G1313,物料档案!$A$4:$P$1203,4,0),"※编码不在物料档案里"))</f>
        <v/>
      </c>
      <c r="J1313" s="24">
        <f>IF($G1313="","",IFERROR(VLOOKUP($G1313,物料档案!$A$4:$P$1203,5,0),"※编码不在物料档案里"))</f>
        <v/>
      </c>
      <c r="K1313" s="23" t="n"/>
      <c r="L1313" s="31" t="n"/>
      <c r="M1313" s="24">
        <f>IF($G1313="","",IF($D1313="A国内","CNY","TZS"))</f>
        <v/>
      </c>
      <c r="N1313" s="28">
        <f>IF($G1313="","",IF($D1313="A国内",汇率,1))</f>
        <v/>
      </c>
      <c r="O1313" s="25">
        <f>IF($G1313="","",ROUND(N($K1313)*N($L1313),2))</f>
        <v/>
      </c>
      <c r="P1313" s="26">
        <f>IF($G1313="","",ROUND($O1313*$N1313,0))</f>
        <v/>
      </c>
      <c r="Q1313" s="26">
        <f>IF($G1313="","",SUMIFS($P$4:$P$2503,$E$4:$E$2503,$E1313,$Z$4:$Z$2503,"正常"))</f>
        <v/>
      </c>
      <c r="R1313" s="26">
        <f>IF($G1313="","",SUMIFS(费用台账!$I$4:$I$503,费用台账!$C$4:$C$503,$E1313,费用台账!$J$4:$J$503,"是",费用台账!$K$4:$K$503,"正常"))</f>
        <v/>
      </c>
      <c r="S1313" s="28">
        <f>IF($G1313="","",COUNTIFS($E$4:$E$2503,$E1313,$Z$4:$Z$2503,"正常",$Y$4:$Y$2503,"待补价"))</f>
        <v/>
      </c>
      <c r="T1313" s="26">
        <f>IF($G1313="","",SUMIFS($P$4:$P$2503,$E$4:$E$2503,$E1313,$Z$4:$Z$2503,"正常",$A$4:$A$2503,"&lt;="&amp;$A1313))</f>
        <v/>
      </c>
      <c r="U1313" s="26">
        <f>IF($G1313="","",IF(OR($S1313&gt;0,$Q1313=0,$R1313=0,$Z1313&lt;&gt;"正常"),0,ROUND($T1313/$Q1313*$R1313,0)-ROUND(($T1313-$P1313)/$Q1313*$R1313,0)))</f>
        <v/>
      </c>
      <c r="V1313" s="26">
        <f>IF($G1313="","",ROUND($P1313+$U1313,0))</f>
        <v/>
      </c>
      <c r="W1313" s="26">
        <f>IF($G1313="","",IF(N($K1313)=0,0,ROUND($V1313/$K1313,2)))</f>
        <v/>
      </c>
      <c r="X1313" s="17" t="n"/>
      <c r="Y1313" s="17" t="n"/>
      <c r="Z1313" s="17" t="n"/>
      <c r="AA1313" s="17" t="n"/>
      <c r="AB1313" s="17" t="n"/>
      <c r="AC1313" s="24">
        <f>IF($G1313="","",IF($H1313="※编码不在物料档案里","※物料编码不在档案里",IF(N($K1313)&lt;=0,"※入库数量要大于 0",IF(AND($C1313&lt;&gt;"",$C1313&lt;=结账锁),"※日期早于已结账截止日，不能再录",IF(AND($L1313=0,$X1313="正常"),"※没填单价，价格状态请选「待补价」",IF(AND($S1313&gt;0,$R1313&gt;0),"△本批有 "&amp;$S1313&amp;" 行没单价，整批运费先挂账没摊",IF(AND($B1313&lt;&gt;"",COUNTIF($B$4:$B$2503,$B1313)&gt;1),"※入库单号重复","")))))))</f>
        <v/>
      </c>
    </row>
    <row r="1314">
      <c r="A1314" s="24">
        <f>IF($G1314="","",COUNTA($G$4:$G1314))</f>
        <v/>
      </c>
      <c r="B1314" s="17" t="n"/>
      <c r="C1314" s="30" t="n"/>
      <c r="D1314" s="17" t="n"/>
      <c r="E1314" s="17" t="n"/>
      <c r="F1314" s="17" t="n"/>
      <c r="G1314" s="17" t="n"/>
      <c r="H1314" s="24">
        <f>IF($G1314="","",IFERROR(VLOOKUP($G1314,物料档案!$A$4:$P$1203,3,0),"※编码不在物料档案里"))</f>
        <v/>
      </c>
      <c r="I1314" s="24">
        <f>IF($G1314="","",IFERROR(VLOOKUP($G1314,物料档案!$A$4:$P$1203,4,0),"※编码不在物料档案里"))</f>
        <v/>
      </c>
      <c r="J1314" s="24">
        <f>IF($G1314="","",IFERROR(VLOOKUP($G1314,物料档案!$A$4:$P$1203,5,0),"※编码不在物料档案里"))</f>
        <v/>
      </c>
      <c r="K1314" s="23" t="n"/>
      <c r="L1314" s="31" t="n"/>
      <c r="M1314" s="24">
        <f>IF($G1314="","",IF($D1314="A国内","CNY","TZS"))</f>
        <v/>
      </c>
      <c r="N1314" s="28">
        <f>IF($G1314="","",IF($D1314="A国内",汇率,1))</f>
        <v/>
      </c>
      <c r="O1314" s="25">
        <f>IF($G1314="","",ROUND(N($K1314)*N($L1314),2))</f>
        <v/>
      </c>
      <c r="P1314" s="26">
        <f>IF($G1314="","",ROUND($O1314*$N1314,0))</f>
        <v/>
      </c>
      <c r="Q1314" s="26">
        <f>IF($G1314="","",SUMIFS($P$4:$P$2503,$E$4:$E$2503,$E1314,$Z$4:$Z$2503,"正常"))</f>
        <v/>
      </c>
      <c r="R1314" s="26">
        <f>IF($G1314="","",SUMIFS(费用台账!$I$4:$I$503,费用台账!$C$4:$C$503,$E1314,费用台账!$J$4:$J$503,"是",费用台账!$K$4:$K$503,"正常"))</f>
        <v/>
      </c>
      <c r="S1314" s="28">
        <f>IF($G1314="","",COUNTIFS($E$4:$E$2503,$E1314,$Z$4:$Z$2503,"正常",$Y$4:$Y$2503,"待补价"))</f>
        <v/>
      </c>
      <c r="T1314" s="26">
        <f>IF($G1314="","",SUMIFS($P$4:$P$2503,$E$4:$E$2503,$E1314,$Z$4:$Z$2503,"正常",$A$4:$A$2503,"&lt;="&amp;$A1314))</f>
        <v/>
      </c>
      <c r="U1314" s="26">
        <f>IF($G1314="","",IF(OR($S1314&gt;0,$Q1314=0,$R1314=0,$Z1314&lt;&gt;"正常"),0,ROUND($T1314/$Q1314*$R1314,0)-ROUND(($T1314-$P1314)/$Q1314*$R1314,0)))</f>
        <v/>
      </c>
      <c r="V1314" s="26">
        <f>IF($G1314="","",ROUND($P1314+$U1314,0))</f>
        <v/>
      </c>
      <c r="W1314" s="26">
        <f>IF($G1314="","",IF(N($K1314)=0,0,ROUND($V1314/$K1314,2)))</f>
        <v/>
      </c>
      <c r="X1314" s="17" t="n"/>
      <c r="Y1314" s="17" t="n"/>
      <c r="Z1314" s="17" t="n"/>
      <c r="AA1314" s="17" t="n"/>
      <c r="AB1314" s="17" t="n"/>
      <c r="AC1314" s="24">
        <f>IF($G1314="","",IF($H1314="※编码不在物料档案里","※物料编码不在档案里",IF(N($K1314)&lt;=0,"※入库数量要大于 0",IF(AND($C1314&lt;&gt;"",$C1314&lt;=结账锁),"※日期早于已结账截止日，不能再录",IF(AND($L1314=0,$X1314="正常"),"※没填单价，价格状态请选「待补价」",IF(AND($S1314&gt;0,$R1314&gt;0),"△本批有 "&amp;$S1314&amp;" 行没单价，整批运费先挂账没摊",IF(AND($B1314&lt;&gt;"",COUNTIF($B$4:$B$2503,$B1314)&gt;1),"※入库单号重复","")))))))</f>
        <v/>
      </c>
    </row>
    <row r="1315">
      <c r="A1315" s="24">
        <f>IF($G1315="","",COUNTA($G$4:$G1315))</f>
        <v/>
      </c>
      <c r="B1315" s="17" t="n"/>
      <c r="C1315" s="30" t="n"/>
      <c r="D1315" s="17" t="n"/>
      <c r="E1315" s="17" t="n"/>
      <c r="F1315" s="17" t="n"/>
      <c r="G1315" s="17" t="n"/>
      <c r="H1315" s="24">
        <f>IF($G1315="","",IFERROR(VLOOKUP($G1315,物料档案!$A$4:$P$1203,3,0),"※编码不在物料档案里"))</f>
        <v/>
      </c>
      <c r="I1315" s="24">
        <f>IF($G1315="","",IFERROR(VLOOKUP($G1315,物料档案!$A$4:$P$1203,4,0),"※编码不在物料档案里"))</f>
        <v/>
      </c>
      <c r="J1315" s="24">
        <f>IF($G1315="","",IFERROR(VLOOKUP($G1315,物料档案!$A$4:$P$1203,5,0),"※编码不在物料档案里"))</f>
        <v/>
      </c>
      <c r="K1315" s="23" t="n"/>
      <c r="L1315" s="31" t="n"/>
      <c r="M1315" s="24">
        <f>IF($G1315="","",IF($D1315="A国内","CNY","TZS"))</f>
        <v/>
      </c>
      <c r="N1315" s="28">
        <f>IF($G1315="","",IF($D1315="A国内",汇率,1))</f>
        <v/>
      </c>
      <c r="O1315" s="25">
        <f>IF($G1315="","",ROUND(N($K1315)*N($L1315),2))</f>
        <v/>
      </c>
      <c r="P1315" s="26">
        <f>IF($G1315="","",ROUND($O1315*$N1315,0))</f>
        <v/>
      </c>
      <c r="Q1315" s="26">
        <f>IF($G1315="","",SUMIFS($P$4:$P$2503,$E$4:$E$2503,$E1315,$Z$4:$Z$2503,"正常"))</f>
        <v/>
      </c>
      <c r="R1315" s="26">
        <f>IF($G1315="","",SUMIFS(费用台账!$I$4:$I$503,费用台账!$C$4:$C$503,$E1315,费用台账!$J$4:$J$503,"是",费用台账!$K$4:$K$503,"正常"))</f>
        <v/>
      </c>
      <c r="S1315" s="28">
        <f>IF($G1315="","",COUNTIFS($E$4:$E$2503,$E1315,$Z$4:$Z$2503,"正常",$Y$4:$Y$2503,"待补价"))</f>
        <v/>
      </c>
      <c r="T1315" s="26">
        <f>IF($G1315="","",SUMIFS($P$4:$P$2503,$E$4:$E$2503,$E1315,$Z$4:$Z$2503,"正常",$A$4:$A$2503,"&lt;="&amp;$A1315))</f>
        <v/>
      </c>
      <c r="U1315" s="26">
        <f>IF($G1315="","",IF(OR($S1315&gt;0,$Q1315=0,$R1315=0,$Z1315&lt;&gt;"正常"),0,ROUND($T1315/$Q1315*$R1315,0)-ROUND(($T1315-$P1315)/$Q1315*$R1315,0)))</f>
        <v/>
      </c>
      <c r="V1315" s="26">
        <f>IF($G1315="","",ROUND($P1315+$U1315,0))</f>
        <v/>
      </c>
      <c r="W1315" s="26">
        <f>IF($G1315="","",IF(N($K1315)=0,0,ROUND($V1315/$K1315,2)))</f>
        <v/>
      </c>
      <c r="X1315" s="17" t="n"/>
      <c r="Y1315" s="17" t="n"/>
      <c r="Z1315" s="17" t="n"/>
      <c r="AA1315" s="17" t="n"/>
      <c r="AB1315" s="17" t="n"/>
      <c r="AC1315" s="24">
        <f>IF($G1315="","",IF($H1315="※编码不在物料档案里","※物料编码不在档案里",IF(N($K1315)&lt;=0,"※入库数量要大于 0",IF(AND($C1315&lt;&gt;"",$C1315&lt;=结账锁),"※日期早于已结账截止日，不能再录",IF(AND($L1315=0,$X1315="正常"),"※没填单价，价格状态请选「待补价」",IF(AND($S1315&gt;0,$R1315&gt;0),"△本批有 "&amp;$S1315&amp;" 行没单价，整批运费先挂账没摊",IF(AND($B1315&lt;&gt;"",COUNTIF($B$4:$B$2503,$B1315)&gt;1),"※入库单号重复","")))))))</f>
        <v/>
      </c>
    </row>
    <row r="1316">
      <c r="A1316" s="24">
        <f>IF($G1316="","",COUNTA($G$4:$G1316))</f>
        <v/>
      </c>
      <c r="B1316" s="17" t="n"/>
      <c r="C1316" s="30" t="n"/>
      <c r="D1316" s="17" t="n"/>
      <c r="E1316" s="17" t="n"/>
      <c r="F1316" s="17" t="n"/>
      <c r="G1316" s="17" t="n"/>
      <c r="H1316" s="24">
        <f>IF($G1316="","",IFERROR(VLOOKUP($G1316,物料档案!$A$4:$P$1203,3,0),"※编码不在物料档案里"))</f>
        <v/>
      </c>
      <c r="I1316" s="24">
        <f>IF($G1316="","",IFERROR(VLOOKUP($G1316,物料档案!$A$4:$P$1203,4,0),"※编码不在物料档案里"))</f>
        <v/>
      </c>
      <c r="J1316" s="24">
        <f>IF($G1316="","",IFERROR(VLOOKUP($G1316,物料档案!$A$4:$P$1203,5,0),"※编码不在物料档案里"))</f>
        <v/>
      </c>
      <c r="K1316" s="23" t="n"/>
      <c r="L1316" s="31" t="n"/>
      <c r="M1316" s="24">
        <f>IF($G1316="","",IF($D1316="A国内","CNY","TZS"))</f>
        <v/>
      </c>
      <c r="N1316" s="28">
        <f>IF($G1316="","",IF($D1316="A国内",汇率,1))</f>
        <v/>
      </c>
      <c r="O1316" s="25">
        <f>IF($G1316="","",ROUND(N($K1316)*N($L1316),2))</f>
        <v/>
      </c>
      <c r="P1316" s="26">
        <f>IF($G1316="","",ROUND($O1316*$N1316,0))</f>
        <v/>
      </c>
      <c r="Q1316" s="26">
        <f>IF($G1316="","",SUMIFS($P$4:$P$2503,$E$4:$E$2503,$E1316,$Z$4:$Z$2503,"正常"))</f>
        <v/>
      </c>
      <c r="R1316" s="26">
        <f>IF($G1316="","",SUMIFS(费用台账!$I$4:$I$503,费用台账!$C$4:$C$503,$E1316,费用台账!$J$4:$J$503,"是",费用台账!$K$4:$K$503,"正常"))</f>
        <v/>
      </c>
      <c r="S1316" s="28">
        <f>IF($G1316="","",COUNTIFS($E$4:$E$2503,$E1316,$Z$4:$Z$2503,"正常",$Y$4:$Y$2503,"待补价"))</f>
        <v/>
      </c>
      <c r="T1316" s="26">
        <f>IF($G1316="","",SUMIFS($P$4:$P$2503,$E$4:$E$2503,$E1316,$Z$4:$Z$2503,"正常",$A$4:$A$2503,"&lt;="&amp;$A1316))</f>
        <v/>
      </c>
      <c r="U1316" s="26">
        <f>IF($G1316="","",IF(OR($S1316&gt;0,$Q1316=0,$R1316=0,$Z1316&lt;&gt;"正常"),0,ROUND($T1316/$Q1316*$R1316,0)-ROUND(($T1316-$P1316)/$Q1316*$R1316,0)))</f>
        <v/>
      </c>
      <c r="V1316" s="26">
        <f>IF($G1316="","",ROUND($P1316+$U1316,0))</f>
        <v/>
      </c>
      <c r="W1316" s="26">
        <f>IF($G1316="","",IF(N($K1316)=0,0,ROUND($V1316/$K1316,2)))</f>
        <v/>
      </c>
      <c r="X1316" s="17" t="n"/>
      <c r="Y1316" s="17" t="n"/>
      <c r="Z1316" s="17" t="n"/>
      <c r="AA1316" s="17" t="n"/>
      <c r="AB1316" s="17" t="n"/>
      <c r="AC1316" s="24">
        <f>IF($G1316="","",IF($H1316="※编码不在物料档案里","※物料编码不在档案里",IF(N($K1316)&lt;=0,"※入库数量要大于 0",IF(AND($C1316&lt;&gt;"",$C1316&lt;=结账锁),"※日期早于已结账截止日，不能再录",IF(AND($L1316=0,$X1316="正常"),"※没填单价，价格状态请选「待补价」",IF(AND($S1316&gt;0,$R1316&gt;0),"△本批有 "&amp;$S1316&amp;" 行没单价，整批运费先挂账没摊",IF(AND($B1316&lt;&gt;"",COUNTIF($B$4:$B$2503,$B1316)&gt;1),"※入库单号重复","")))))))</f>
        <v/>
      </c>
    </row>
    <row r="1317">
      <c r="A1317" s="24">
        <f>IF($G1317="","",COUNTA($G$4:$G1317))</f>
        <v/>
      </c>
      <c r="B1317" s="17" t="n"/>
      <c r="C1317" s="30" t="n"/>
      <c r="D1317" s="17" t="n"/>
      <c r="E1317" s="17" t="n"/>
      <c r="F1317" s="17" t="n"/>
      <c r="G1317" s="17" t="n"/>
      <c r="H1317" s="24">
        <f>IF($G1317="","",IFERROR(VLOOKUP($G1317,物料档案!$A$4:$P$1203,3,0),"※编码不在物料档案里"))</f>
        <v/>
      </c>
      <c r="I1317" s="24">
        <f>IF($G1317="","",IFERROR(VLOOKUP($G1317,物料档案!$A$4:$P$1203,4,0),"※编码不在物料档案里"))</f>
        <v/>
      </c>
      <c r="J1317" s="24">
        <f>IF($G1317="","",IFERROR(VLOOKUP($G1317,物料档案!$A$4:$P$1203,5,0),"※编码不在物料档案里"))</f>
        <v/>
      </c>
      <c r="K1317" s="23" t="n"/>
      <c r="L1317" s="31" t="n"/>
      <c r="M1317" s="24">
        <f>IF($G1317="","",IF($D1317="A国内","CNY","TZS"))</f>
        <v/>
      </c>
      <c r="N1317" s="28">
        <f>IF($G1317="","",IF($D1317="A国内",汇率,1))</f>
        <v/>
      </c>
      <c r="O1317" s="25">
        <f>IF($G1317="","",ROUND(N($K1317)*N($L1317),2))</f>
        <v/>
      </c>
      <c r="P1317" s="26">
        <f>IF($G1317="","",ROUND($O1317*$N1317,0))</f>
        <v/>
      </c>
      <c r="Q1317" s="26">
        <f>IF($G1317="","",SUMIFS($P$4:$P$2503,$E$4:$E$2503,$E1317,$Z$4:$Z$2503,"正常"))</f>
        <v/>
      </c>
      <c r="R1317" s="26">
        <f>IF($G1317="","",SUMIFS(费用台账!$I$4:$I$503,费用台账!$C$4:$C$503,$E1317,费用台账!$J$4:$J$503,"是",费用台账!$K$4:$K$503,"正常"))</f>
        <v/>
      </c>
      <c r="S1317" s="28">
        <f>IF($G1317="","",COUNTIFS($E$4:$E$2503,$E1317,$Z$4:$Z$2503,"正常",$Y$4:$Y$2503,"待补价"))</f>
        <v/>
      </c>
      <c r="T1317" s="26">
        <f>IF($G1317="","",SUMIFS($P$4:$P$2503,$E$4:$E$2503,$E1317,$Z$4:$Z$2503,"正常",$A$4:$A$2503,"&lt;="&amp;$A1317))</f>
        <v/>
      </c>
      <c r="U1317" s="26">
        <f>IF($G1317="","",IF(OR($S1317&gt;0,$Q1317=0,$R1317=0,$Z1317&lt;&gt;"正常"),0,ROUND($T1317/$Q1317*$R1317,0)-ROUND(($T1317-$P1317)/$Q1317*$R1317,0)))</f>
        <v/>
      </c>
      <c r="V1317" s="26">
        <f>IF($G1317="","",ROUND($P1317+$U1317,0))</f>
        <v/>
      </c>
      <c r="W1317" s="26">
        <f>IF($G1317="","",IF(N($K1317)=0,0,ROUND($V1317/$K1317,2)))</f>
        <v/>
      </c>
      <c r="X1317" s="17" t="n"/>
      <c r="Y1317" s="17" t="n"/>
      <c r="Z1317" s="17" t="n"/>
      <c r="AA1317" s="17" t="n"/>
      <c r="AB1317" s="17" t="n"/>
      <c r="AC1317" s="24">
        <f>IF($G1317="","",IF($H1317="※编码不在物料档案里","※物料编码不在档案里",IF(N($K1317)&lt;=0,"※入库数量要大于 0",IF(AND($C1317&lt;&gt;"",$C1317&lt;=结账锁),"※日期早于已结账截止日，不能再录",IF(AND($L1317=0,$X1317="正常"),"※没填单价，价格状态请选「待补价」",IF(AND($S1317&gt;0,$R1317&gt;0),"△本批有 "&amp;$S1317&amp;" 行没单价，整批运费先挂账没摊",IF(AND($B1317&lt;&gt;"",COUNTIF($B$4:$B$2503,$B1317)&gt;1),"※入库单号重复","")))))))</f>
        <v/>
      </c>
    </row>
    <row r="1318">
      <c r="A1318" s="24">
        <f>IF($G1318="","",COUNTA($G$4:$G1318))</f>
        <v/>
      </c>
      <c r="B1318" s="17" t="n"/>
      <c r="C1318" s="30" t="n"/>
      <c r="D1318" s="17" t="n"/>
      <c r="E1318" s="17" t="n"/>
      <c r="F1318" s="17" t="n"/>
      <c r="G1318" s="17" t="n"/>
      <c r="H1318" s="24">
        <f>IF($G1318="","",IFERROR(VLOOKUP($G1318,物料档案!$A$4:$P$1203,3,0),"※编码不在物料档案里"))</f>
        <v/>
      </c>
      <c r="I1318" s="24">
        <f>IF($G1318="","",IFERROR(VLOOKUP($G1318,物料档案!$A$4:$P$1203,4,0),"※编码不在物料档案里"))</f>
        <v/>
      </c>
      <c r="J1318" s="24">
        <f>IF($G1318="","",IFERROR(VLOOKUP($G1318,物料档案!$A$4:$P$1203,5,0),"※编码不在物料档案里"))</f>
        <v/>
      </c>
      <c r="K1318" s="23" t="n"/>
      <c r="L1318" s="31" t="n"/>
      <c r="M1318" s="24">
        <f>IF($G1318="","",IF($D1318="A国内","CNY","TZS"))</f>
        <v/>
      </c>
      <c r="N1318" s="28">
        <f>IF($G1318="","",IF($D1318="A国内",汇率,1))</f>
        <v/>
      </c>
      <c r="O1318" s="25">
        <f>IF($G1318="","",ROUND(N($K1318)*N($L1318),2))</f>
        <v/>
      </c>
      <c r="P1318" s="26">
        <f>IF($G1318="","",ROUND($O1318*$N1318,0))</f>
        <v/>
      </c>
      <c r="Q1318" s="26">
        <f>IF($G1318="","",SUMIFS($P$4:$P$2503,$E$4:$E$2503,$E1318,$Z$4:$Z$2503,"正常"))</f>
        <v/>
      </c>
      <c r="R1318" s="26">
        <f>IF($G1318="","",SUMIFS(费用台账!$I$4:$I$503,费用台账!$C$4:$C$503,$E1318,费用台账!$J$4:$J$503,"是",费用台账!$K$4:$K$503,"正常"))</f>
        <v/>
      </c>
      <c r="S1318" s="28">
        <f>IF($G1318="","",COUNTIFS($E$4:$E$2503,$E1318,$Z$4:$Z$2503,"正常",$Y$4:$Y$2503,"待补价"))</f>
        <v/>
      </c>
      <c r="T1318" s="26">
        <f>IF($G1318="","",SUMIFS($P$4:$P$2503,$E$4:$E$2503,$E1318,$Z$4:$Z$2503,"正常",$A$4:$A$2503,"&lt;="&amp;$A1318))</f>
        <v/>
      </c>
      <c r="U1318" s="26">
        <f>IF($G1318="","",IF(OR($S1318&gt;0,$Q1318=0,$R1318=0,$Z1318&lt;&gt;"正常"),0,ROUND($T1318/$Q1318*$R1318,0)-ROUND(($T1318-$P1318)/$Q1318*$R1318,0)))</f>
        <v/>
      </c>
      <c r="V1318" s="26">
        <f>IF($G1318="","",ROUND($P1318+$U1318,0))</f>
        <v/>
      </c>
      <c r="W1318" s="26">
        <f>IF($G1318="","",IF(N($K1318)=0,0,ROUND($V1318/$K1318,2)))</f>
        <v/>
      </c>
      <c r="X1318" s="17" t="n"/>
      <c r="Y1318" s="17" t="n"/>
      <c r="Z1318" s="17" t="n"/>
      <c r="AA1318" s="17" t="n"/>
      <c r="AB1318" s="17" t="n"/>
      <c r="AC1318" s="24">
        <f>IF($G1318="","",IF($H1318="※编码不在物料档案里","※物料编码不在档案里",IF(N($K1318)&lt;=0,"※入库数量要大于 0",IF(AND($C1318&lt;&gt;"",$C1318&lt;=结账锁),"※日期早于已结账截止日，不能再录",IF(AND($L1318=0,$X1318="正常"),"※没填单价，价格状态请选「待补价」",IF(AND($S1318&gt;0,$R1318&gt;0),"△本批有 "&amp;$S1318&amp;" 行没单价，整批运费先挂账没摊",IF(AND($B1318&lt;&gt;"",COUNTIF($B$4:$B$2503,$B1318)&gt;1),"※入库单号重复","")))))))</f>
        <v/>
      </c>
    </row>
    <row r="1319">
      <c r="A1319" s="24">
        <f>IF($G1319="","",COUNTA($G$4:$G1319))</f>
        <v/>
      </c>
      <c r="B1319" s="17" t="n"/>
      <c r="C1319" s="30" t="n"/>
      <c r="D1319" s="17" t="n"/>
      <c r="E1319" s="17" t="n"/>
      <c r="F1319" s="17" t="n"/>
      <c r="G1319" s="17" t="n"/>
      <c r="H1319" s="24">
        <f>IF($G1319="","",IFERROR(VLOOKUP($G1319,物料档案!$A$4:$P$1203,3,0),"※编码不在物料档案里"))</f>
        <v/>
      </c>
      <c r="I1319" s="24">
        <f>IF($G1319="","",IFERROR(VLOOKUP($G1319,物料档案!$A$4:$P$1203,4,0),"※编码不在物料档案里"))</f>
        <v/>
      </c>
      <c r="J1319" s="24">
        <f>IF($G1319="","",IFERROR(VLOOKUP($G1319,物料档案!$A$4:$P$1203,5,0),"※编码不在物料档案里"))</f>
        <v/>
      </c>
      <c r="K1319" s="23" t="n"/>
      <c r="L1319" s="31" t="n"/>
      <c r="M1319" s="24">
        <f>IF($G1319="","",IF($D1319="A国内","CNY","TZS"))</f>
        <v/>
      </c>
      <c r="N1319" s="28">
        <f>IF($G1319="","",IF($D1319="A国内",汇率,1))</f>
        <v/>
      </c>
      <c r="O1319" s="25">
        <f>IF($G1319="","",ROUND(N($K1319)*N($L1319),2))</f>
        <v/>
      </c>
      <c r="P1319" s="26">
        <f>IF($G1319="","",ROUND($O1319*$N1319,0))</f>
        <v/>
      </c>
      <c r="Q1319" s="26">
        <f>IF($G1319="","",SUMIFS($P$4:$P$2503,$E$4:$E$2503,$E1319,$Z$4:$Z$2503,"正常"))</f>
        <v/>
      </c>
      <c r="R1319" s="26">
        <f>IF($G1319="","",SUMIFS(费用台账!$I$4:$I$503,费用台账!$C$4:$C$503,$E1319,费用台账!$J$4:$J$503,"是",费用台账!$K$4:$K$503,"正常"))</f>
        <v/>
      </c>
      <c r="S1319" s="28">
        <f>IF($G1319="","",COUNTIFS($E$4:$E$2503,$E1319,$Z$4:$Z$2503,"正常",$Y$4:$Y$2503,"待补价"))</f>
        <v/>
      </c>
      <c r="T1319" s="26">
        <f>IF($G1319="","",SUMIFS($P$4:$P$2503,$E$4:$E$2503,$E1319,$Z$4:$Z$2503,"正常",$A$4:$A$2503,"&lt;="&amp;$A1319))</f>
        <v/>
      </c>
      <c r="U1319" s="26">
        <f>IF($G1319="","",IF(OR($S1319&gt;0,$Q1319=0,$R1319=0,$Z1319&lt;&gt;"正常"),0,ROUND($T1319/$Q1319*$R1319,0)-ROUND(($T1319-$P1319)/$Q1319*$R1319,0)))</f>
        <v/>
      </c>
      <c r="V1319" s="26">
        <f>IF($G1319="","",ROUND($P1319+$U1319,0))</f>
        <v/>
      </c>
      <c r="W1319" s="26">
        <f>IF($G1319="","",IF(N($K1319)=0,0,ROUND($V1319/$K1319,2)))</f>
        <v/>
      </c>
      <c r="X1319" s="17" t="n"/>
      <c r="Y1319" s="17" t="n"/>
      <c r="Z1319" s="17" t="n"/>
      <c r="AA1319" s="17" t="n"/>
      <c r="AB1319" s="17" t="n"/>
      <c r="AC1319" s="24">
        <f>IF($G1319="","",IF($H1319="※编码不在物料档案里","※物料编码不在档案里",IF(N($K1319)&lt;=0,"※入库数量要大于 0",IF(AND($C1319&lt;&gt;"",$C1319&lt;=结账锁),"※日期早于已结账截止日，不能再录",IF(AND($L1319=0,$X1319="正常"),"※没填单价，价格状态请选「待补价」",IF(AND($S1319&gt;0,$R1319&gt;0),"△本批有 "&amp;$S1319&amp;" 行没单价，整批运费先挂账没摊",IF(AND($B1319&lt;&gt;"",COUNTIF($B$4:$B$2503,$B1319)&gt;1),"※入库单号重复","")))))))</f>
        <v/>
      </c>
    </row>
    <row r="1320">
      <c r="A1320" s="24">
        <f>IF($G1320="","",COUNTA($G$4:$G1320))</f>
        <v/>
      </c>
      <c r="B1320" s="17" t="n"/>
      <c r="C1320" s="30" t="n"/>
      <c r="D1320" s="17" t="n"/>
      <c r="E1320" s="17" t="n"/>
      <c r="F1320" s="17" t="n"/>
      <c r="G1320" s="17" t="n"/>
      <c r="H1320" s="24">
        <f>IF($G1320="","",IFERROR(VLOOKUP($G1320,物料档案!$A$4:$P$1203,3,0),"※编码不在物料档案里"))</f>
        <v/>
      </c>
      <c r="I1320" s="24">
        <f>IF($G1320="","",IFERROR(VLOOKUP($G1320,物料档案!$A$4:$P$1203,4,0),"※编码不在物料档案里"))</f>
        <v/>
      </c>
      <c r="J1320" s="24">
        <f>IF($G1320="","",IFERROR(VLOOKUP($G1320,物料档案!$A$4:$P$1203,5,0),"※编码不在物料档案里"))</f>
        <v/>
      </c>
      <c r="K1320" s="23" t="n"/>
      <c r="L1320" s="31" t="n"/>
      <c r="M1320" s="24">
        <f>IF($G1320="","",IF($D1320="A国内","CNY","TZS"))</f>
        <v/>
      </c>
      <c r="N1320" s="28">
        <f>IF($G1320="","",IF($D1320="A国内",汇率,1))</f>
        <v/>
      </c>
      <c r="O1320" s="25">
        <f>IF($G1320="","",ROUND(N($K1320)*N($L1320),2))</f>
        <v/>
      </c>
      <c r="P1320" s="26">
        <f>IF($G1320="","",ROUND($O1320*$N1320,0))</f>
        <v/>
      </c>
      <c r="Q1320" s="26">
        <f>IF($G1320="","",SUMIFS($P$4:$P$2503,$E$4:$E$2503,$E1320,$Z$4:$Z$2503,"正常"))</f>
        <v/>
      </c>
      <c r="R1320" s="26">
        <f>IF($G1320="","",SUMIFS(费用台账!$I$4:$I$503,费用台账!$C$4:$C$503,$E1320,费用台账!$J$4:$J$503,"是",费用台账!$K$4:$K$503,"正常"))</f>
        <v/>
      </c>
      <c r="S1320" s="28">
        <f>IF($G1320="","",COUNTIFS($E$4:$E$2503,$E1320,$Z$4:$Z$2503,"正常",$Y$4:$Y$2503,"待补价"))</f>
        <v/>
      </c>
      <c r="T1320" s="26">
        <f>IF($G1320="","",SUMIFS($P$4:$P$2503,$E$4:$E$2503,$E1320,$Z$4:$Z$2503,"正常",$A$4:$A$2503,"&lt;="&amp;$A1320))</f>
        <v/>
      </c>
      <c r="U1320" s="26">
        <f>IF($G1320="","",IF(OR($S1320&gt;0,$Q1320=0,$R1320=0,$Z1320&lt;&gt;"正常"),0,ROUND($T1320/$Q1320*$R1320,0)-ROUND(($T1320-$P1320)/$Q1320*$R1320,0)))</f>
        <v/>
      </c>
      <c r="V1320" s="26">
        <f>IF($G1320="","",ROUND($P1320+$U1320,0))</f>
        <v/>
      </c>
      <c r="W1320" s="26">
        <f>IF($G1320="","",IF(N($K1320)=0,0,ROUND($V1320/$K1320,2)))</f>
        <v/>
      </c>
      <c r="X1320" s="17" t="n"/>
      <c r="Y1320" s="17" t="n"/>
      <c r="Z1320" s="17" t="n"/>
      <c r="AA1320" s="17" t="n"/>
      <c r="AB1320" s="17" t="n"/>
      <c r="AC1320" s="24">
        <f>IF($G1320="","",IF($H1320="※编码不在物料档案里","※物料编码不在档案里",IF(N($K1320)&lt;=0,"※入库数量要大于 0",IF(AND($C1320&lt;&gt;"",$C1320&lt;=结账锁),"※日期早于已结账截止日，不能再录",IF(AND($L1320=0,$X1320="正常"),"※没填单价，价格状态请选「待补价」",IF(AND($S1320&gt;0,$R1320&gt;0),"△本批有 "&amp;$S1320&amp;" 行没单价，整批运费先挂账没摊",IF(AND($B1320&lt;&gt;"",COUNTIF($B$4:$B$2503,$B1320)&gt;1),"※入库单号重复","")))))))</f>
        <v/>
      </c>
    </row>
    <row r="1321">
      <c r="A1321" s="24">
        <f>IF($G1321="","",COUNTA($G$4:$G1321))</f>
        <v/>
      </c>
      <c r="B1321" s="17" t="n"/>
      <c r="C1321" s="30" t="n"/>
      <c r="D1321" s="17" t="n"/>
      <c r="E1321" s="17" t="n"/>
      <c r="F1321" s="17" t="n"/>
      <c r="G1321" s="17" t="n"/>
      <c r="H1321" s="24">
        <f>IF($G1321="","",IFERROR(VLOOKUP($G1321,物料档案!$A$4:$P$1203,3,0),"※编码不在物料档案里"))</f>
        <v/>
      </c>
      <c r="I1321" s="24">
        <f>IF($G1321="","",IFERROR(VLOOKUP($G1321,物料档案!$A$4:$P$1203,4,0),"※编码不在物料档案里"))</f>
        <v/>
      </c>
      <c r="J1321" s="24">
        <f>IF($G1321="","",IFERROR(VLOOKUP($G1321,物料档案!$A$4:$P$1203,5,0),"※编码不在物料档案里"))</f>
        <v/>
      </c>
      <c r="K1321" s="23" t="n"/>
      <c r="L1321" s="31" t="n"/>
      <c r="M1321" s="24">
        <f>IF($G1321="","",IF($D1321="A国内","CNY","TZS"))</f>
        <v/>
      </c>
      <c r="N1321" s="28">
        <f>IF($G1321="","",IF($D1321="A国内",汇率,1))</f>
        <v/>
      </c>
      <c r="O1321" s="25">
        <f>IF($G1321="","",ROUND(N($K1321)*N($L1321),2))</f>
        <v/>
      </c>
      <c r="P1321" s="26">
        <f>IF($G1321="","",ROUND($O1321*$N1321,0))</f>
        <v/>
      </c>
      <c r="Q1321" s="26">
        <f>IF($G1321="","",SUMIFS($P$4:$P$2503,$E$4:$E$2503,$E1321,$Z$4:$Z$2503,"正常"))</f>
        <v/>
      </c>
      <c r="R1321" s="26">
        <f>IF($G1321="","",SUMIFS(费用台账!$I$4:$I$503,费用台账!$C$4:$C$503,$E1321,费用台账!$J$4:$J$503,"是",费用台账!$K$4:$K$503,"正常"))</f>
        <v/>
      </c>
      <c r="S1321" s="28">
        <f>IF($G1321="","",COUNTIFS($E$4:$E$2503,$E1321,$Z$4:$Z$2503,"正常",$Y$4:$Y$2503,"待补价"))</f>
        <v/>
      </c>
      <c r="T1321" s="26">
        <f>IF($G1321="","",SUMIFS($P$4:$P$2503,$E$4:$E$2503,$E1321,$Z$4:$Z$2503,"正常",$A$4:$A$2503,"&lt;="&amp;$A1321))</f>
        <v/>
      </c>
      <c r="U1321" s="26">
        <f>IF($G1321="","",IF(OR($S1321&gt;0,$Q1321=0,$R1321=0,$Z1321&lt;&gt;"正常"),0,ROUND($T1321/$Q1321*$R1321,0)-ROUND(($T1321-$P1321)/$Q1321*$R1321,0)))</f>
        <v/>
      </c>
      <c r="V1321" s="26">
        <f>IF($G1321="","",ROUND($P1321+$U1321,0))</f>
        <v/>
      </c>
      <c r="W1321" s="26">
        <f>IF($G1321="","",IF(N($K1321)=0,0,ROUND($V1321/$K1321,2)))</f>
        <v/>
      </c>
      <c r="X1321" s="17" t="n"/>
      <c r="Y1321" s="17" t="n"/>
      <c r="Z1321" s="17" t="n"/>
      <c r="AA1321" s="17" t="n"/>
      <c r="AB1321" s="17" t="n"/>
      <c r="AC1321" s="24">
        <f>IF($G1321="","",IF($H1321="※编码不在物料档案里","※物料编码不在档案里",IF(N($K1321)&lt;=0,"※入库数量要大于 0",IF(AND($C1321&lt;&gt;"",$C1321&lt;=结账锁),"※日期早于已结账截止日，不能再录",IF(AND($L1321=0,$X1321="正常"),"※没填单价，价格状态请选「待补价」",IF(AND($S1321&gt;0,$R1321&gt;0),"△本批有 "&amp;$S1321&amp;" 行没单价，整批运费先挂账没摊",IF(AND($B1321&lt;&gt;"",COUNTIF($B$4:$B$2503,$B1321)&gt;1),"※入库单号重复","")))))))</f>
        <v/>
      </c>
    </row>
    <row r="1322">
      <c r="A1322" s="24">
        <f>IF($G1322="","",COUNTA($G$4:$G1322))</f>
        <v/>
      </c>
      <c r="B1322" s="17" t="n"/>
      <c r="C1322" s="30" t="n"/>
      <c r="D1322" s="17" t="n"/>
      <c r="E1322" s="17" t="n"/>
      <c r="F1322" s="17" t="n"/>
      <c r="G1322" s="17" t="n"/>
      <c r="H1322" s="24">
        <f>IF($G1322="","",IFERROR(VLOOKUP($G1322,物料档案!$A$4:$P$1203,3,0),"※编码不在物料档案里"))</f>
        <v/>
      </c>
      <c r="I1322" s="24">
        <f>IF($G1322="","",IFERROR(VLOOKUP($G1322,物料档案!$A$4:$P$1203,4,0),"※编码不在物料档案里"))</f>
        <v/>
      </c>
      <c r="J1322" s="24">
        <f>IF($G1322="","",IFERROR(VLOOKUP($G1322,物料档案!$A$4:$P$1203,5,0),"※编码不在物料档案里"))</f>
        <v/>
      </c>
      <c r="K1322" s="23" t="n"/>
      <c r="L1322" s="31" t="n"/>
      <c r="M1322" s="24">
        <f>IF($G1322="","",IF($D1322="A国内","CNY","TZS"))</f>
        <v/>
      </c>
      <c r="N1322" s="28">
        <f>IF($G1322="","",IF($D1322="A国内",汇率,1))</f>
        <v/>
      </c>
      <c r="O1322" s="25">
        <f>IF($G1322="","",ROUND(N($K1322)*N($L1322),2))</f>
        <v/>
      </c>
      <c r="P1322" s="26">
        <f>IF($G1322="","",ROUND($O1322*$N1322,0))</f>
        <v/>
      </c>
      <c r="Q1322" s="26">
        <f>IF($G1322="","",SUMIFS($P$4:$P$2503,$E$4:$E$2503,$E1322,$Z$4:$Z$2503,"正常"))</f>
        <v/>
      </c>
      <c r="R1322" s="26">
        <f>IF($G1322="","",SUMIFS(费用台账!$I$4:$I$503,费用台账!$C$4:$C$503,$E1322,费用台账!$J$4:$J$503,"是",费用台账!$K$4:$K$503,"正常"))</f>
        <v/>
      </c>
      <c r="S1322" s="28">
        <f>IF($G1322="","",COUNTIFS($E$4:$E$2503,$E1322,$Z$4:$Z$2503,"正常",$Y$4:$Y$2503,"待补价"))</f>
        <v/>
      </c>
      <c r="T1322" s="26">
        <f>IF($G1322="","",SUMIFS($P$4:$P$2503,$E$4:$E$2503,$E1322,$Z$4:$Z$2503,"正常",$A$4:$A$2503,"&lt;="&amp;$A1322))</f>
        <v/>
      </c>
      <c r="U1322" s="26">
        <f>IF($G1322="","",IF(OR($S1322&gt;0,$Q1322=0,$R1322=0,$Z1322&lt;&gt;"正常"),0,ROUND($T1322/$Q1322*$R1322,0)-ROUND(($T1322-$P1322)/$Q1322*$R1322,0)))</f>
        <v/>
      </c>
      <c r="V1322" s="26">
        <f>IF($G1322="","",ROUND($P1322+$U1322,0))</f>
        <v/>
      </c>
      <c r="W1322" s="26">
        <f>IF($G1322="","",IF(N($K1322)=0,0,ROUND($V1322/$K1322,2)))</f>
        <v/>
      </c>
      <c r="X1322" s="17" t="n"/>
      <c r="Y1322" s="17" t="n"/>
      <c r="Z1322" s="17" t="n"/>
      <c r="AA1322" s="17" t="n"/>
      <c r="AB1322" s="17" t="n"/>
      <c r="AC1322" s="24">
        <f>IF($G1322="","",IF($H1322="※编码不在物料档案里","※物料编码不在档案里",IF(N($K1322)&lt;=0,"※入库数量要大于 0",IF(AND($C1322&lt;&gt;"",$C1322&lt;=结账锁),"※日期早于已结账截止日，不能再录",IF(AND($L1322=0,$X1322="正常"),"※没填单价，价格状态请选「待补价」",IF(AND($S1322&gt;0,$R1322&gt;0),"△本批有 "&amp;$S1322&amp;" 行没单价，整批运费先挂账没摊",IF(AND($B1322&lt;&gt;"",COUNTIF($B$4:$B$2503,$B1322)&gt;1),"※入库单号重复","")))))))</f>
        <v/>
      </c>
    </row>
    <row r="1323">
      <c r="A1323" s="24">
        <f>IF($G1323="","",COUNTA($G$4:$G1323))</f>
        <v/>
      </c>
      <c r="B1323" s="17" t="n"/>
      <c r="C1323" s="30" t="n"/>
      <c r="D1323" s="17" t="n"/>
      <c r="E1323" s="17" t="n"/>
      <c r="F1323" s="17" t="n"/>
      <c r="G1323" s="17" t="n"/>
      <c r="H1323" s="24">
        <f>IF($G1323="","",IFERROR(VLOOKUP($G1323,物料档案!$A$4:$P$1203,3,0),"※编码不在物料档案里"))</f>
        <v/>
      </c>
      <c r="I1323" s="24">
        <f>IF($G1323="","",IFERROR(VLOOKUP($G1323,物料档案!$A$4:$P$1203,4,0),"※编码不在物料档案里"))</f>
        <v/>
      </c>
      <c r="J1323" s="24">
        <f>IF($G1323="","",IFERROR(VLOOKUP($G1323,物料档案!$A$4:$P$1203,5,0),"※编码不在物料档案里"))</f>
        <v/>
      </c>
      <c r="K1323" s="23" t="n"/>
      <c r="L1323" s="31" t="n"/>
      <c r="M1323" s="24">
        <f>IF($G1323="","",IF($D1323="A国内","CNY","TZS"))</f>
        <v/>
      </c>
      <c r="N1323" s="28">
        <f>IF($G1323="","",IF($D1323="A国内",汇率,1))</f>
        <v/>
      </c>
      <c r="O1323" s="25">
        <f>IF($G1323="","",ROUND(N($K1323)*N($L1323),2))</f>
        <v/>
      </c>
      <c r="P1323" s="26">
        <f>IF($G1323="","",ROUND($O1323*$N1323,0))</f>
        <v/>
      </c>
      <c r="Q1323" s="26">
        <f>IF($G1323="","",SUMIFS($P$4:$P$2503,$E$4:$E$2503,$E1323,$Z$4:$Z$2503,"正常"))</f>
        <v/>
      </c>
      <c r="R1323" s="26">
        <f>IF($G1323="","",SUMIFS(费用台账!$I$4:$I$503,费用台账!$C$4:$C$503,$E1323,费用台账!$J$4:$J$503,"是",费用台账!$K$4:$K$503,"正常"))</f>
        <v/>
      </c>
      <c r="S1323" s="28">
        <f>IF($G1323="","",COUNTIFS($E$4:$E$2503,$E1323,$Z$4:$Z$2503,"正常",$Y$4:$Y$2503,"待补价"))</f>
        <v/>
      </c>
      <c r="T1323" s="26">
        <f>IF($G1323="","",SUMIFS($P$4:$P$2503,$E$4:$E$2503,$E1323,$Z$4:$Z$2503,"正常",$A$4:$A$2503,"&lt;="&amp;$A1323))</f>
        <v/>
      </c>
      <c r="U1323" s="26">
        <f>IF($G1323="","",IF(OR($S1323&gt;0,$Q1323=0,$R1323=0,$Z1323&lt;&gt;"正常"),0,ROUND($T1323/$Q1323*$R1323,0)-ROUND(($T1323-$P1323)/$Q1323*$R1323,0)))</f>
        <v/>
      </c>
      <c r="V1323" s="26">
        <f>IF($G1323="","",ROUND($P1323+$U1323,0))</f>
        <v/>
      </c>
      <c r="W1323" s="26">
        <f>IF($G1323="","",IF(N($K1323)=0,0,ROUND($V1323/$K1323,2)))</f>
        <v/>
      </c>
      <c r="X1323" s="17" t="n"/>
      <c r="Y1323" s="17" t="n"/>
      <c r="Z1323" s="17" t="n"/>
      <c r="AA1323" s="17" t="n"/>
      <c r="AB1323" s="17" t="n"/>
      <c r="AC1323" s="24">
        <f>IF($G1323="","",IF($H1323="※编码不在物料档案里","※物料编码不在档案里",IF(N($K1323)&lt;=0,"※入库数量要大于 0",IF(AND($C1323&lt;&gt;"",$C1323&lt;=结账锁),"※日期早于已结账截止日，不能再录",IF(AND($L1323=0,$X1323="正常"),"※没填单价，价格状态请选「待补价」",IF(AND($S1323&gt;0,$R1323&gt;0),"△本批有 "&amp;$S1323&amp;" 行没单价，整批运费先挂账没摊",IF(AND($B1323&lt;&gt;"",COUNTIF($B$4:$B$2503,$B1323)&gt;1),"※入库单号重复","")))))))</f>
        <v/>
      </c>
    </row>
    <row r="1324">
      <c r="A1324" s="24">
        <f>IF($G1324="","",COUNTA($G$4:$G1324))</f>
        <v/>
      </c>
      <c r="B1324" s="17" t="n"/>
      <c r="C1324" s="30" t="n"/>
      <c r="D1324" s="17" t="n"/>
      <c r="E1324" s="17" t="n"/>
      <c r="F1324" s="17" t="n"/>
      <c r="G1324" s="17" t="n"/>
      <c r="H1324" s="24">
        <f>IF($G1324="","",IFERROR(VLOOKUP($G1324,物料档案!$A$4:$P$1203,3,0),"※编码不在物料档案里"))</f>
        <v/>
      </c>
      <c r="I1324" s="24">
        <f>IF($G1324="","",IFERROR(VLOOKUP($G1324,物料档案!$A$4:$P$1203,4,0),"※编码不在物料档案里"))</f>
        <v/>
      </c>
      <c r="J1324" s="24">
        <f>IF($G1324="","",IFERROR(VLOOKUP($G1324,物料档案!$A$4:$P$1203,5,0),"※编码不在物料档案里"))</f>
        <v/>
      </c>
      <c r="K1324" s="23" t="n"/>
      <c r="L1324" s="31" t="n"/>
      <c r="M1324" s="24">
        <f>IF($G1324="","",IF($D1324="A国内","CNY","TZS"))</f>
        <v/>
      </c>
      <c r="N1324" s="28">
        <f>IF($G1324="","",IF($D1324="A国内",汇率,1))</f>
        <v/>
      </c>
      <c r="O1324" s="25">
        <f>IF($G1324="","",ROUND(N($K1324)*N($L1324),2))</f>
        <v/>
      </c>
      <c r="P1324" s="26">
        <f>IF($G1324="","",ROUND($O1324*$N1324,0))</f>
        <v/>
      </c>
      <c r="Q1324" s="26">
        <f>IF($G1324="","",SUMIFS($P$4:$P$2503,$E$4:$E$2503,$E1324,$Z$4:$Z$2503,"正常"))</f>
        <v/>
      </c>
      <c r="R1324" s="26">
        <f>IF($G1324="","",SUMIFS(费用台账!$I$4:$I$503,费用台账!$C$4:$C$503,$E1324,费用台账!$J$4:$J$503,"是",费用台账!$K$4:$K$503,"正常"))</f>
        <v/>
      </c>
      <c r="S1324" s="28">
        <f>IF($G1324="","",COUNTIFS($E$4:$E$2503,$E1324,$Z$4:$Z$2503,"正常",$Y$4:$Y$2503,"待补价"))</f>
        <v/>
      </c>
      <c r="T1324" s="26">
        <f>IF($G1324="","",SUMIFS($P$4:$P$2503,$E$4:$E$2503,$E1324,$Z$4:$Z$2503,"正常",$A$4:$A$2503,"&lt;="&amp;$A1324))</f>
        <v/>
      </c>
      <c r="U1324" s="26">
        <f>IF($G1324="","",IF(OR($S1324&gt;0,$Q1324=0,$R1324=0,$Z1324&lt;&gt;"正常"),0,ROUND($T1324/$Q1324*$R1324,0)-ROUND(($T1324-$P1324)/$Q1324*$R1324,0)))</f>
        <v/>
      </c>
      <c r="V1324" s="26">
        <f>IF($G1324="","",ROUND($P1324+$U1324,0))</f>
        <v/>
      </c>
      <c r="W1324" s="26">
        <f>IF($G1324="","",IF(N($K1324)=0,0,ROUND($V1324/$K1324,2)))</f>
        <v/>
      </c>
      <c r="X1324" s="17" t="n"/>
      <c r="Y1324" s="17" t="n"/>
      <c r="Z1324" s="17" t="n"/>
      <c r="AA1324" s="17" t="n"/>
      <c r="AB1324" s="17" t="n"/>
      <c r="AC1324" s="24">
        <f>IF($G1324="","",IF($H1324="※编码不在物料档案里","※物料编码不在档案里",IF(N($K1324)&lt;=0,"※入库数量要大于 0",IF(AND($C1324&lt;&gt;"",$C1324&lt;=结账锁),"※日期早于已结账截止日，不能再录",IF(AND($L1324=0,$X1324="正常"),"※没填单价，价格状态请选「待补价」",IF(AND($S1324&gt;0,$R1324&gt;0),"△本批有 "&amp;$S1324&amp;" 行没单价，整批运费先挂账没摊",IF(AND($B1324&lt;&gt;"",COUNTIF($B$4:$B$2503,$B1324)&gt;1),"※入库单号重复","")))))))</f>
        <v/>
      </c>
    </row>
    <row r="1325">
      <c r="A1325" s="24">
        <f>IF($G1325="","",COUNTA($G$4:$G1325))</f>
        <v/>
      </c>
      <c r="B1325" s="17" t="n"/>
      <c r="C1325" s="30" t="n"/>
      <c r="D1325" s="17" t="n"/>
      <c r="E1325" s="17" t="n"/>
      <c r="F1325" s="17" t="n"/>
      <c r="G1325" s="17" t="n"/>
      <c r="H1325" s="24">
        <f>IF($G1325="","",IFERROR(VLOOKUP($G1325,物料档案!$A$4:$P$1203,3,0),"※编码不在物料档案里"))</f>
        <v/>
      </c>
      <c r="I1325" s="24">
        <f>IF($G1325="","",IFERROR(VLOOKUP($G1325,物料档案!$A$4:$P$1203,4,0),"※编码不在物料档案里"))</f>
        <v/>
      </c>
      <c r="J1325" s="24">
        <f>IF($G1325="","",IFERROR(VLOOKUP($G1325,物料档案!$A$4:$P$1203,5,0),"※编码不在物料档案里"))</f>
        <v/>
      </c>
      <c r="K1325" s="23" t="n"/>
      <c r="L1325" s="31" t="n"/>
      <c r="M1325" s="24">
        <f>IF($G1325="","",IF($D1325="A国内","CNY","TZS"))</f>
        <v/>
      </c>
      <c r="N1325" s="28">
        <f>IF($G1325="","",IF($D1325="A国内",汇率,1))</f>
        <v/>
      </c>
      <c r="O1325" s="25">
        <f>IF($G1325="","",ROUND(N($K1325)*N($L1325),2))</f>
        <v/>
      </c>
      <c r="P1325" s="26">
        <f>IF($G1325="","",ROUND($O1325*$N1325,0))</f>
        <v/>
      </c>
      <c r="Q1325" s="26">
        <f>IF($G1325="","",SUMIFS($P$4:$P$2503,$E$4:$E$2503,$E1325,$Z$4:$Z$2503,"正常"))</f>
        <v/>
      </c>
      <c r="R1325" s="26">
        <f>IF($G1325="","",SUMIFS(费用台账!$I$4:$I$503,费用台账!$C$4:$C$503,$E1325,费用台账!$J$4:$J$503,"是",费用台账!$K$4:$K$503,"正常"))</f>
        <v/>
      </c>
      <c r="S1325" s="28">
        <f>IF($G1325="","",COUNTIFS($E$4:$E$2503,$E1325,$Z$4:$Z$2503,"正常",$Y$4:$Y$2503,"待补价"))</f>
        <v/>
      </c>
      <c r="T1325" s="26">
        <f>IF($G1325="","",SUMIFS($P$4:$P$2503,$E$4:$E$2503,$E1325,$Z$4:$Z$2503,"正常",$A$4:$A$2503,"&lt;="&amp;$A1325))</f>
        <v/>
      </c>
      <c r="U1325" s="26">
        <f>IF($G1325="","",IF(OR($S1325&gt;0,$Q1325=0,$R1325=0,$Z1325&lt;&gt;"正常"),0,ROUND($T1325/$Q1325*$R1325,0)-ROUND(($T1325-$P1325)/$Q1325*$R1325,0)))</f>
        <v/>
      </c>
      <c r="V1325" s="26">
        <f>IF($G1325="","",ROUND($P1325+$U1325,0))</f>
        <v/>
      </c>
      <c r="W1325" s="26">
        <f>IF($G1325="","",IF(N($K1325)=0,0,ROUND($V1325/$K1325,2)))</f>
        <v/>
      </c>
      <c r="X1325" s="17" t="n"/>
      <c r="Y1325" s="17" t="n"/>
      <c r="Z1325" s="17" t="n"/>
      <c r="AA1325" s="17" t="n"/>
      <c r="AB1325" s="17" t="n"/>
      <c r="AC1325" s="24">
        <f>IF($G1325="","",IF($H1325="※编码不在物料档案里","※物料编码不在档案里",IF(N($K1325)&lt;=0,"※入库数量要大于 0",IF(AND($C1325&lt;&gt;"",$C1325&lt;=结账锁),"※日期早于已结账截止日，不能再录",IF(AND($L1325=0,$X1325="正常"),"※没填单价，价格状态请选「待补价」",IF(AND($S1325&gt;0,$R1325&gt;0),"△本批有 "&amp;$S1325&amp;" 行没单价，整批运费先挂账没摊",IF(AND($B1325&lt;&gt;"",COUNTIF($B$4:$B$2503,$B1325)&gt;1),"※入库单号重复","")))))))</f>
        <v/>
      </c>
    </row>
    <row r="1326">
      <c r="A1326" s="24">
        <f>IF($G1326="","",COUNTA($G$4:$G1326))</f>
        <v/>
      </c>
      <c r="B1326" s="17" t="n"/>
      <c r="C1326" s="30" t="n"/>
      <c r="D1326" s="17" t="n"/>
      <c r="E1326" s="17" t="n"/>
      <c r="F1326" s="17" t="n"/>
      <c r="G1326" s="17" t="n"/>
      <c r="H1326" s="24">
        <f>IF($G1326="","",IFERROR(VLOOKUP($G1326,物料档案!$A$4:$P$1203,3,0),"※编码不在物料档案里"))</f>
        <v/>
      </c>
      <c r="I1326" s="24">
        <f>IF($G1326="","",IFERROR(VLOOKUP($G1326,物料档案!$A$4:$P$1203,4,0),"※编码不在物料档案里"))</f>
        <v/>
      </c>
      <c r="J1326" s="24">
        <f>IF($G1326="","",IFERROR(VLOOKUP($G1326,物料档案!$A$4:$P$1203,5,0),"※编码不在物料档案里"))</f>
        <v/>
      </c>
      <c r="K1326" s="23" t="n"/>
      <c r="L1326" s="31" t="n"/>
      <c r="M1326" s="24">
        <f>IF($G1326="","",IF($D1326="A国内","CNY","TZS"))</f>
        <v/>
      </c>
      <c r="N1326" s="28">
        <f>IF($G1326="","",IF($D1326="A国内",汇率,1))</f>
        <v/>
      </c>
      <c r="O1326" s="25">
        <f>IF($G1326="","",ROUND(N($K1326)*N($L1326),2))</f>
        <v/>
      </c>
      <c r="P1326" s="26">
        <f>IF($G1326="","",ROUND($O1326*$N1326,0))</f>
        <v/>
      </c>
      <c r="Q1326" s="26">
        <f>IF($G1326="","",SUMIFS($P$4:$P$2503,$E$4:$E$2503,$E1326,$Z$4:$Z$2503,"正常"))</f>
        <v/>
      </c>
      <c r="R1326" s="26">
        <f>IF($G1326="","",SUMIFS(费用台账!$I$4:$I$503,费用台账!$C$4:$C$503,$E1326,费用台账!$J$4:$J$503,"是",费用台账!$K$4:$K$503,"正常"))</f>
        <v/>
      </c>
      <c r="S1326" s="28">
        <f>IF($G1326="","",COUNTIFS($E$4:$E$2503,$E1326,$Z$4:$Z$2503,"正常",$Y$4:$Y$2503,"待补价"))</f>
        <v/>
      </c>
      <c r="T1326" s="26">
        <f>IF($G1326="","",SUMIFS($P$4:$P$2503,$E$4:$E$2503,$E1326,$Z$4:$Z$2503,"正常",$A$4:$A$2503,"&lt;="&amp;$A1326))</f>
        <v/>
      </c>
      <c r="U1326" s="26">
        <f>IF($G1326="","",IF(OR($S1326&gt;0,$Q1326=0,$R1326=0,$Z1326&lt;&gt;"正常"),0,ROUND($T1326/$Q1326*$R1326,0)-ROUND(($T1326-$P1326)/$Q1326*$R1326,0)))</f>
        <v/>
      </c>
      <c r="V1326" s="26">
        <f>IF($G1326="","",ROUND($P1326+$U1326,0))</f>
        <v/>
      </c>
      <c r="W1326" s="26">
        <f>IF($G1326="","",IF(N($K1326)=0,0,ROUND($V1326/$K1326,2)))</f>
        <v/>
      </c>
      <c r="X1326" s="17" t="n"/>
      <c r="Y1326" s="17" t="n"/>
      <c r="Z1326" s="17" t="n"/>
      <c r="AA1326" s="17" t="n"/>
      <c r="AB1326" s="17" t="n"/>
      <c r="AC1326" s="24">
        <f>IF($G1326="","",IF($H1326="※编码不在物料档案里","※物料编码不在档案里",IF(N($K1326)&lt;=0,"※入库数量要大于 0",IF(AND($C1326&lt;&gt;"",$C1326&lt;=结账锁),"※日期早于已结账截止日，不能再录",IF(AND($L1326=0,$X1326="正常"),"※没填单价，价格状态请选「待补价」",IF(AND($S1326&gt;0,$R1326&gt;0),"△本批有 "&amp;$S1326&amp;" 行没单价，整批运费先挂账没摊",IF(AND($B1326&lt;&gt;"",COUNTIF($B$4:$B$2503,$B1326)&gt;1),"※入库单号重复","")))))))</f>
        <v/>
      </c>
    </row>
    <row r="1327">
      <c r="A1327" s="24">
        <f>IF($G1327="","",COUNTA($G$4:$G1327))</f>
        <v/>
      </c>
      <c r="B1327" s="17" t="n"/>
      <c r="C1327" s="30" t="n"/>
      <c r="D1327" s="17" t="n"/>
      <c r="E1327" s="17" t="n"/>
      <c r="F1327" s="17" t="n"/>
      <c r="G1327" s="17" t="n"/>
      <c r="H1327" s="24">
        <f>IF($G1327="","",IFERROR(VLOOKUP($G1327,物料档案!$A$4:$P$1203,3,0),"※编码不在物料档案里"))</f>
        <v/>
      </c>
      <c r="I1327" s="24">
        <f>IF($G1327="","",IFERROR(VLOOKUP($G1327,物料档案!$A$4:$P$1203,4,0),"※编码不在物料档案里"))</f>
        <v/>
      </c>
      <c r="J1327" s="24">
        <f>IF($G1327="","",IFERROR(VLOOKUP($G1327,物料档案!$A$4:$P$1203,5,0),"※编码不在物料档案里"))</f>
        <v/>
      </c>
      <c r="K1327" s="23" t="n"/>
      <c r="L1327" s="31" t="n"/>
      <c r="M1327" s="24">
        <f>IF($G1327="","",IF($D1327="A国内","CNY","TZS"))</f>
        <v/>
      </c>
      <c r="N1327" s="28">
        <f>IF($G1327="","",IF($D1327="A国内",汇率,1))</f>
        <v/>
      </c>
      <c r="O1327" s="25">
        <f>IF($G1327="","",ROUND(N($K1327)*N($L1327),2))</f>
        <v/>
      </c>
      <c r="P1327" s="26">
        <f>IF($G1327="","",ROUND($O1327*$N1327,0))</f>
        <v/>
      </c>
      <c r="Q1327" s="26">
        <f>IF($G1327="","",SUMIFS($P$4:$P$2503,$E$4:$E$2503,$E1327,$Z$4:$Z$2503,"正常"))</f>
        <v/>
      </c>
      <c r="R1327" s="26">
        <f>IF($G1327="","",SUMIFS(费用台账!$I$4:$I$503,费用台账!$C$4:$C$503,$E1327,费用台账!$J$4:$J$503,"是",费用台账!$K$4:$K$503,"正常"))</f>
        <v/>
      </c>
      <c r="S1327" s="28">
        <f>IF($G1327="","",COUNTIFS($E$4:$E$2503,$E1327,$Z$4:$Z$2503,"正常",$Y$4:$Y$2503,"待补价"))</f>
        <v/>
      </c>
      <c r="T1327" s="26">
        <f>IF($G1327="","",SUMIFS($P$4:$P$2503,$E$4:$E$2503,$E1327,$Z$4:$Z$2503,"正常",$A$4:$A$2503,"&lt;="&amp;$A1327))</f>
        <v/>
      </c>
      <c r="U1327" s="26">
        <f>IF($G1327="","",IF(OR($S1327&gt;0,$Q1327=0,$R1327=0,$Z1327&lt;&gt;"正常"),0,ROUND($T1327/$Q1327*$R1327,0)-ROUND(($T1327-$P1327)/$Q1327*$R1327,0)))</f>
        <v/>
      </c>
      <c r="V1327" s="26">
        <f>IF($G1327="","",ROUND($P1327+$U1327,0))</f>
        <v/>
      </c>
      <c r="W1327" s="26">
        <f>IF($G1327="","",IF(N($K1327)=0,0,ROUND($V1327/$K1327,2)))</f>
        <v/>
      </c>
      <c r="X1327" s="17" t="n"/>
      <c r="Y1327" s="17" t="n"/>
      <c r="Z1327" s="17" t="n"/>
      <c r="AA1327" s="17" t="n"/>
      <c r="AB1327" s="17" t="n"/>
      <c r="AC1327" s="24">
        <f>IF($G1327="","",IF($H1327="※编码不在物料档案里","※物料编码不在档案里",IF(N($K1327)&lt;=0,"※入库数量要大于 0",IF(AND($C1327&lt;&gt;"",$C1327&lt;=结账锁),"※日期早于已结账截止日，不能再录",IF(AND($L1327=0,$X1327="正常"),"※没填单价，价格状态请选「待补价」",IF(AND($S1327&gt;0,$R1327&gt;0),"△本批有 "&amp;$S1327&amp;" 行没单价，整批运费先挂账没摊",IF(AND($B1327&lt;&gt;"",COUNTIF($B$4:$B$2503,$B1327)&gt;1),"※入库单号重复","")))))))</f>
        <v/>
      </c>
    </row>
    <row r="1328">
      <c r="A1328" s="24">
        <f>IF($G1328="","",COUNTA($G$4:$G1328))</f>
        <v/>
      </c>
      <c r="B1328" s="17" t="n"/>
      <c r="C1328" s="30" t="n"/>
      <c r="D1328" s="17" t="n"/>
      <c r="E1328" s="17" t="n"/>
      <c r="F1328" s="17" t="n"/>
      <c r="G1328" s="17" t="n"/>
      <c r="H1328" s="24">
        <f>IF($G1328="","",IFERROR(VLOOKUP($G1328,物料档案!$A$4:$P$1203,3,0),"※编码不在物料档案里"))</f>
        <v/>
      </c>
      <c r="I1328" s="24">
        <f>IF($G1328="","",IFERROR(VLOOKUP($G1328,物料档案!$A$4:$P$1203,4,0),"※编码不在物料档案里"))</f>
        <v/>
      </c>
      <c r="J1328" s="24">
        <f>IF($G1328="","",IFERROR(VLOOKUP($G1328,物料档案!$A$4:$P$1203,5,0),"※编码不在物料档案里"))</f>
        <v/>
      </c>
      <c r="K1328" s="23" t="n"/>
      <c r="L1328" s="31" t="n"/>
      <c r="M1328" s="24">
        <f>IF($G1328="","",IF($D1328="A国内","CNY","TZS"))</f>
        <v/>
      </c>
      <c r="N1328" s="28">
        <f>IF($G1328="","",IF($D1328="A国内",汇率,1))</f>
        <v/>
      </c>
      <c r="O1328" s="25">
        <f>IF($G1328="","",ROUND(N($K1328)*N($L1328),2))</f>
        <v/>
      </c>
      <c r="P1328" s="26">
        <f>IF($G1328="","",ROUND($O1328*$N1328,0))</f>
        <v/>
      </c>
      <c r="Q1328" s="26">
        <f>IF($G1328="","",SUMIFS($P$4:$P$2503,$E$4:$E$2503,$E1328,$Z$4:$Z$2503,"正常"))</f>
        <v/>
      </c>
      <c r="R1328" s="26">
        <f>IF($G1328="","",SUMIFS(费用台账!$I$4:$I$503,费用台账!$C$4:$C$503,$E1328,费用台账!$J$4:$J$503,"是",费用台账!$K$4:$K$503,"正常"))</f>
        <v/>
      </c>
      <c r="S1328" s="28">
        <f>IF($G1328="","",COUNTIFS($E$4:$E$2503,$E1328,$Z$4:$Z$2503,"正常",$Y$4:$Y$2503,"待补价"))</f>
        <v/>
      </c>
      <c r="T1328" s="26">
        <f>IF($G1328="","",SUMIFS($P$4:$P$2503,$E$4:$E$2503,$E1328,$Z$4:$Z$2503,"正常",$A$4:$A$2503,"&lt;="&amp;$A1328))</f>
        <v/>
      </c>
      <c r="U1328" s="26">
        <f>IF($G1328="","",IF(OR($S1328&gt;0,$Q1328=0,$R1328=0,$Z1328&lt;&gt;"正常"),0,ROUND($T1328/$Q1328*$R1328,0)-ROUND(($T1328-$P1328)/$Q1328*$R1328,0)))</f>
        <v/>
      </c>
      <c r="V1328" s="26">
        <f>IF($G1328="","",ROUND($P1328+$U1328,0))</f>
        <v/>
      </c>
      <c r="W1328" s="26">
        <f>IF($G1328="","",IF(N($K1328)=0,0,ROUND($V1328/$K1328,2)))</f>
        <v/>
      </c>
      <c r="X1328" s="17" t="n"/>
      <c r="Y1328" s="17" t="n"/>
      <c r="Z1328" s="17" t="n"/>
      <c r="AA1328" s="17" t="n"/>
      <c r="AB1328" s="17" t="n"/>
      <c r="AC1328" s="24">
        <f>IF($G1328="","",IF($H1328="※编码不在物料档案里","※物料编码不在档案里",IF(N($K1328)&lt;=0,"※入库数量要大于 0",IF(AND($C1328&lt;&gt;"",$C1328&lt;=结账锁),"※日期早于已结账截止日，不能再录",IF(AND($L1328=0,$X1328="正常"),"※没填单价，价格状态请选「待补价」",IF(AND($S1328&gt;0,$R1328&gt;0),"△本批有 "&amp;$S1328&amp;" 行没单价，整批运费先挂账没摊",IF(AND($B1328&lt;&gt;"",COUNTIF($B$4:$B$2503,$B1328)&gt;1),"※入库单号重复","")))))))</f>
        <v/>
      </c>
    </row>
    <row r="1329">
      <c r="A1329" s="24">
        <f>IF($G1329="","",COUNTA($G$4:$G1329))</f>
        <v/>
      </c>
      <c r="B1329" s="17" t="n"/>
      <c r="C1329" s="30" t="n"/>
      <c r="D1329" s="17" t="n"/>
      <c r="E1329" s="17" t="n"/>
      <c r="F1329" s="17" t="n"/>
      <c r="G1329" s="17" t="n"/>
      <c r="H1329" s="24">
        <f>IF($G1329="","",IFERROR(VLOOKUP($G1329,物料档案!$A$4:$P$1203,3,0),"※编码不在物料档案里"))</f>
        <v/>
      </c>
      <c r="I1329" s="24">
        <f>IF($G1329="","",IFERROR(VLOOKUP($G1329,物料档案!$A$4:$P$1203,4,0),"※编码不在物料档案里"))</f>
        <v/>
      </c>
      <c r="J1329" s="24">
        <f>IF($G1329="","",IFERROR(VLOOKUP($G1329,物料档案!$A$4:$P$1203,5,0),"※编码不在物料档案里"))</f>
        <v/>
      </c>
      <c r="K1329" s="23" t="n"/>
      <c r="L1329" s="31" t="n"/>
      <c r="M1329" s="24">
        <f>IF($G1329="","",IF($D1329="A国内","CNY","TZS"))</f>
        <v/>
      </c>
      <c r="N1329" s="28">
        <f>IF($G1329="","",IF($D1329="A国内",汇率,1))</f>
        <v/>
      </c>
      <c r="O1329" s="25">
        <f>IF($G1329="","",ROUND(N($K1329)*N($L1329),2))</f>
        <v/>
      </c>
      <c r="P1329" s="26">
        <f>IF($G1329="","",ROUND($O1329*$N1329,0))</f>
        <v/>
      </c>
      <c r="Q1329" s="26">
        <f>IF($G1329="","",SUMIFS($P$4:$P$2503,$E$4:$E$2503,$E1329,$Z$4:$Z$2503,"正常"))</f>
        <v/>
      </c>
      <c r="R1329" s="26">
        <f>IF($G1329="","",SUMIFS(费用台账!$I$4:$I$503,费用台账!$C$4:$C$503,$E1329,费用台账!$J$4:$J$503,"是",费用台账!$K$4:$K$503,"正常"))</f>
        <v/>
      </c>
      <c r="S1329" s="28">
        <f>IF($G1329="","",COUNTIFS($E$4:$E$2503,$E1329,$Z$4:$Z$2503,"正常",$Y$4:$Y$2503,"待补价"))</f>
        <v/>
      </c>
      <c r="T1329" s="26">
        <f>IF($G1329="","",SUMIFS($P$4:$P$2503,$E$4:$E$2503,$E1329,$Z$4:$Z$2503,"正常",$A$4:$A$2503,"&lt;="&amp;$A1329))</f>
        <v/>
      </c>
      <c r="U1329" s="26">
        <f>IF($G1329="","",IF(OR($S1329&gt;0,$Q1329=0,$R1329=0,$Z1329&lt;&gt;"正常"),0,ROUND($T1329/$Q1329*$R1329,0)-ROUND(($T1329-$P1329)/$Q1329*$R1329,0)))</f>
        <v/>
      </c>
      <c r="V1329" s="26">
        <f>IF($G1329="","",ROUND($P1329+$U1329,0))</f>
        <v/>
      </c>
      <c r="W1329" s="26">
        <f>IF($G1329="","",IF(N($K1329)=0,0,ROUND($V1329/$K1329,2)))</f>
        <v/>
      </c>
      <c r="X1329" s="17" t="n"/>
      <c r="Y1329" s="17" t="n"/>
      <c r="Z1329" s="17" t="n"/>
      <c r="AA1329" s="17" t="n"/>
      <c r="AB1329" s="17" t="n"/>
      <c r="AC1329" s="24">
        <f>IF($G1329="","",IF($H1329="※编码不在物料档案里","※物料编码不在档案里",IF(N($K1329)&lt;=0,"※入库数量要大于 0",IF(AND($C1329&lt;&gt;"",$C1329&lt;=结账锁),"※日期早于已结账截止日，不能再录",IF(AND($L1329=0,$X1329="正常"),"※没填单价，价格状态请选「待补价」",IF(AND($S1329&gt;0,$R1329&gt;0),"△本批有 "&amp;$S1329&amp;" 行没单价，整批运费先挂账没摊",IF(AND($B1329&lt;&gt;"",COUNTIF($B$4:$B$2503,$B1329)&gt;1),"※入库单号重复","")))))))</f>
        <v/>
      </c>
    </row>
    <row r="1330">
      <c r="A1330" s="24">
        <f>IF($G1330="","",COUNTA($G$4:$G1330))</f>
        <v/>
      </c>
      <c r="B1330" s="17" t="n"/>
      <c r="C1330" s="30" t="n"/>
      <c r="D1330" s="17" t="n"/>
      <c r="E1330" s="17" t="n"/>
      <c r="F1330" s="17" t="n"/>
      <c r="G1330" s="17" t="n"/>
      <c r="H1330" s="24">
        <f>IF($G1330="","",IFERROR(VLOOKUP($G1330,物料档案!$A$4:$P$1203,3,0),"※编码不在物料档案里"))</f>
        <v/>
      </c>
      <c r="I1330" s="24">
        <f>IF($G1330="","",IFERROR(VLOOKUP($G1330,物料档案!$A$4:$P$1203,4,0),"※编码不在物料档案里"))</f>
        <v/>
      </c>
      <c r="J1330" s="24">
        <f>IF($G1330="","",IFERROR(VLOOKUP($G1330,物料档案!$A$4:$P$1203,5,0),"※编码不在物料档案里"))</f>
        <v/>
      </c>
      <c r="K1330" s="23" t="n"/>
      <c r="L1330" s="31" t="n"/>
      <c r="M1330" s="24">
        <f>IF($G1330="","",IF($D1330="A国内","CNY","TZS"))</f>
        <v/>
      </c>
      <c r="N1330" s="28">
        <f>IF($G1330="","",IF($D1330="A国内",汇率,1))</f>
        <v/>
      </c>
      <c r="O1330" s="25">
        <f>IF($G1330="","",ROUND(N($K1330)*N($L1330),2))</f>
        <v/>
      </c>
      <c r="P1330" s="26">
        <f>IF($G1330="","",ROUND($O1330*$N1330,0))</f>
        <v/>
      </c>
      <c r="Q1330" s="26">
        <f>IF($G1330="","",SUMIFS($P$4:$P$2503,$E$4:$E$2503,$E1330,$Z$4:$Z$2503,"正常"))</f>
        <v/>
      </c>
      <c r="R1330" s="26">
        <f>IF($G1330="","",SUMIFS(费用台账!$I$4:$I$503,费用台账!$C$4:$C$503,$E1330,费用台账!$J$4:$J$503,"是",费用台账!$K$4:$K$503,"正常"))</f>
        <v/>
      </c>
      <c r="S1330" s="28">
        <f>IF($G1330="","",COUNTIFS($E$4:$E$2503,$E1330,$Z$4:$Z$2503,"正常",$Y$4:$Y$2503,"待补价"))</f>
        <v/>
      </c>
      <c r="T1330" s="26">
        <f>IF($G1330="","",SUMIFS($P$4:$P$2503,$E$4:$E$2503,$E1330,$Z$4:$Z$2503,"正常",$A$4:$A$2503,"&lt;="&amp;$A1330))</f>
        <v/>
      </c>
      <c r="U1330" s="26">
        <f>IF($G1330="","",IF(OR($S1330&gt;0,$Q1330=0,$R1330=0,$Z1330&lt;&gt;"正常"),0,ROUND($T1330/$Q1330*$R1330,0)-ROUND(($T1330-$P1330)/$Q1330*$R1330,0)))</f>
        <v/>
      </c>
      <c r="V1330" s="26">
        <f>IF($G1330="","",ROUND($P1330+$U1330,0))</f>
        <v/>
      </c>
      <c r="W1330" s="26">
        <f>IF($G1330="","",IF(N($K1330)=0,0,ROUND($V1330/$K1330,2)))</f>
        <v/>
      </c>
      <c r="X1330" s="17" t="n"/>
      <c r="Y1330" s="17" t="n"/>
      <c r="Z1330" s="17" t="n"/>
      <c r="AA1330" s="17" t="n"/>
      <c r="AB1330" s="17" t="n"/>
      <c r="AC1330" s="24">
        <f>IF($G1330="","",IF($H1330="※编码不在物料档案里","※物料编码不在档案里",IF(N($K1330)&lt;=0,"※入库数量要大于 0",IF(AND($C1330&lt;&gt;"",$C1330&lt;=结账锁),"※日期早于已结账截止日，不能再录",IF(AND($L1330=0,$X1330="正常"),"※没填单价，价格状态请选「待补价」",IF(AND($S1330&gt;0,$R1330&gt;0),"△本批有 "&amp;$S1330&amp;" 行没单价，整批运费先挂账没摊",IF(AND($B1330&lt;&gt;"",COUNTIF($B$4:$B$2503,$B1330)&gt;1),"※入库单号重复","")))))))</f>
        <v/>
      </c>
    </row>
    <row r="1331">
      <c r="A1331" s="24">
        <f>IF($G1331="","",COUNTA($G$4:$G1331))</f>
        <v/>
      </c>
      <c r="B1331" s="17" t="n"/>
      <c r="C1331" s="30" t="n"/>
      <c r="D1331" s="17" t="n"/>
      <c r="E1331" s="17" t="n"/>
      <c r="F1331" s="17" t="n"/>
      <c r="G1331" s="17" t="n"/>
      <c r="H1331" s="24">
        <f>IF($G1331="","",IFERROR(VLOOKUP($G1331,物料档案!$A$4:$P$1203,3,0),"※编码不在物料档案里"))</f>
        <v/>
      </c>
      <c r="I1331" s="24">
        <f>IF($G1331="","",IFERROR(VLOOKUP($G1331,物料档案!$A$4:$P$1203,4,0),"※编码不在物料档案里"))</f>
        <v/>
      </c>
      <c r="J1331" s="24">
        <f>IF($G1331="","",IFERROR(VLOOKUP($G1331,物料档案!$A$4:$P$1203,5,0),"※编码不在物料档案里"))</f>
        <v/>
      </c>
      <c r="K1331" s="23" t="n"/>
      <c r="L1331" s="31" t="n"/>
      <c r="M1331" s="24">
        <f>IF($G1331="","",IF($D1331="A国内","CNY","TZS"))</f>
        <v/>
      </c>
      <c r="N1331" s="28">
        <f>IF($G1331="","",IF($D1331="A国内",汇率,1))</f>
        <v/>
      </c>
      <c r="O1331" s="25">
        <f>IF($G1331="","",ROUND(N($K1331)*N($L1331),2))</f>
        <v/>
      </c>
      <c r="P1331" s="26">
        <f>IF($G1331="","",ROUND($O1331*$N1331,0))</f>
        <v/>
      </c>
      <c r="Q1331" s="26">
        <f>IF($G1331="","",SUMIFS($P$4:$P$2503,$E$4:$E$2503,$E1331,$Z$4:$Z$2503,"正常"))</f>
        <v/>
      </c>
      <c r="R1331" s="26">
        <f>IF($G1331="","",SUMIFS(费用台账!$I$4:$I$503,费用台账!$C$4:$C$503,$E1331,费用台账!$J$4:$J$503,"是",费用台账!$K$4:$K$503,"正常"))</f>
        <v/>
      </c>
      <c r="S1331" s="28">
        <f>IF($G1331="","",COUNTIFS($E$4:$E$2503,$E1331,$Z$4:$Z$2503,"正常",$Y$4:$Y$2503,"待补价"))</f>
        <v/>
      </c>
      <c r="T1331" s="26">
        <f>IF($G1331="","",SUMIFS($P$4:$P$2503,$E$4:$E$2503,$E1331,$Z$4:$Z$2503,"正常",$A$4:$A$2503,"&lt;="&amp;$A1331))</f>
        <v/>
      </c>
      <c r="U1331" s="26">
        <f>IF($G1331="","",IF(OR($S1331&gt;0,$Q1331=0,$R1331=0,$Z1331&lt;&gt;"正常"),0,ROUND($T1331/$Q1331*$R1331,0)-ROUND(($T1331-$P1331)/$Q1331*$R1331,0)))</f>
        <v/>
      </c>
      <c r="V1331" s="26">
        <f>IF($G1331="","",ROUND($P1331+$U1331,0))</f>
        <v/>
      </c>
      <c r="W1331" s="26">
        <f>IF($G1331="","",IF(N($K1331)=0,0,ROUND($V1331/$K1331,2)))</f>
        <v/>
      </c>
      <c r="X1331" s="17" t="n"/>
      <c r="Y1331" s="17" t="n"/>
      <c r="Z1331" s="17" t="n"/>
      <c r="AA1331" s="17" t="n"/>
      <c r="AB1331" s="17" t="n"/>
      <c r="AC1331" s="24">
        <f>IF($G1331="","",IF($H1331="※编码不在物料档案里","※物料编码不在档案里",IF(N($K1331)&lt;=0,"※入库数量要大于 0",IF(AND($C1331&lt;&gt;"",$C1331&lt;=结账锁),"※日期早于已结账截止日，不能再录",IF(AND($L1331=0,$X1331="正常"),"※没填单价，价格状态请选「待补价」",IF(AND($S1331&gt;0,$R1331&gt;0),"△本批有 "&amp;$S1331&amp;" 行没单价，整批运费先挂账没摊",IF(AND($B1331&lt;&gt;"",COUNTIF($B$4:$B$2503,$B1331)&gt;1),"※入库单号重复","")))))))</f>
        <v/>
      </c>
    </row>
    <row r="1332">
      <c r="A1332" s="24">
        <f>IF($G1332="","",COUNTA($G$4:$G1332))</f>
        <v/>
      </c>
      <c r="B1332" s="17" t="n"/>
      <c r="C1332" s="30" t="n"/>
      <c r="D1332" s="17" t="n"/>
      <c r="E1332" s="17" t="n"/>
      <c r="F1332" s="17" t="n"/>
      <c r="G1332" s="17" t="n"/>
      <c r="H1332" s="24">
        <f>IF($G1332="","",IFERROR(VLOOKUP($G1332,物料档案!$A$4:$P$1203,3,0),"※编码不在物料档案里"))</f>
        <v/>
      </c>
      <c r="I1332" s="24">
        <f>IF($G1332="","",IFERROR(VLOOKUP($G1332,物料档案!$A$4:$P$1203,4,0),"※编码不在物料档案里"))</f>
        <v/>
      </c>
      <c r="J1332" s="24">
        <f>IF($G1332="","",IFERROR(VLOOKUP($G1332,物料档案!$A$4:$P$1203,5,0),"※编码不在物料档案里"))</f>
        <v/>
      </c>
      <c r="K1332" s="23" t="n"/>
      <c r="L1332" s="31" t="n"/>
      <c r="M1332" s="24">
        <f>IF($G1332="","",IF($D1332="A国内","CNY","TZS"))</f>
        <v/>
      </c>
      <c r="N1332" s="28">
        <f>IF($G1332="","",IF($D1332="A国内",汇率,1))</f>
        <v/>
      </c>
      <c r="O1332" s="25">
        <f>IF($G1332="","",ROUND(N($K1332)*N($L1332),2))</f>
        <v/>
      </c>
      <c r="P1332" s="26">
        <f>IF($G1332="","",ROUND($O1332*$N1332,0))</f>
        <v/>
      </c>
      <c r="Q1332" s="26">
        <f>IF($G1332="","",SUMIFS($P$4:$P$2503,$E$4:$E$2503,$E1332,$Z$4:$Z$2503,"正常"))</f>
        <v/>
      </c>
      <c r="R1332" s="26">
        <f>IF($G1332="","",SUMIFS(费用台账!$I$4:$I$503,费用台账!$C$4:$C$503,$E1332,费用台账!$J$4:$J$503,"是",费用台账!$K$4:$K$503,"正常"))</f>
        <v/>
      </c>
      <c r="S1332" s="28">
        <f>IF($G1332="","",COUNTIFS($E$4:$E$2503,$E1332,$Z$4:$Z$2503,"正常",$Y$4:$Y$2503,"待补价"))</f>
        <v/>
      </c>
      <c r="T1332" s="26">
        <f>IF($G1332="","",SUMIFS($P$4:$P$2503,$E$4:$E$2503,$E1332,$Z$4:$Z$2503,"正常",$A$4:$A$2503,"&lt;="&amp;$A1332))</f>
        <v/>
      </c>
      <c r="U1332" s="26">
        <f>IF($G1332="","",IF(OR($S1332&gt;0,$Q1332=0,$R1332=0,$Z1332&lt;&gt;"正常"),0,ROUND($T1332/$Q1332*$R1332,0)-ROUND(($T1332-$P1332)/$Q1332*$R1332,0)))</f>
        <v/>
      </c>
      <c r="V1332" s="26">
        <f>IF($G1332="","",ROUND($P1332+$U1332,0))</f>
        <v/>
      </c>
      <c r="W1332" s="26">
        <f>IF($G1332="","",IF(N($K1332)=0,0,ROUND($V1332/$K1332,2)))</f>
        <v/>
      </c>
      <c r="X1332" s="17" t="n"/>
      <c r="Y1332" s="17" t="n"/>
      <c r="Z1332" s="17" t="n"/>
      <c r="AA1332" s="17" t="n"/>
      <c r="AB1332" s="17" t="n"/>
      <c r="AC1332" s="24">
        <f>IF($G1332="","",IF($H1332="※编码不在物料档案里","※物料编码不在档案里",IF(N($K1332)&lt;=0,"※入库数量要大于 0",IF(AND($C1332&lt;&gt;"",$C1332&lt;=结账锁),"※日期早于已结账截止日，不能再录",IF(AND($L1332=0,$X1332="正常"),"※没填单价，价格状态请选「待补价」",IF(AND($S1332&gt;0,$R1332&gt;0),"△本批有 "&amp;$S1332&amp;" 行没单价，整批运费先挂账没摊",IF(AND($B1332&lt;&gt;"",COUNTIF($B$4:$B$2503,$B1332)&gt;1),"※入库单号重复","")))))))</f>
        <v/>
      </c>
    </row>
    <row r="1333">
      <c r="A1333" s="24">
        <f>IF($G1333="","",COUNTA($G$4:$G1333))</f>
        <v/>
      </c>
      <c r="B1333" s="17" t="n"/>
      <c r="C1333" s="30" t="n"/>
      <c r="D1333" s="17" t="n"/>
      <c r="E1333" s="17" t="n"/>
      <c r="F1333" s="17" t="n"/>
      <c r="G1333" s="17" t="n"/>
      <c r="H1333" s="24">
        <f>IF($G1333="","",IFERROR(VLOOKUP($G1333,物料档案!$A$4:$P$1203,3,0),"※编码不在物料档案里"))</f>
        <v/>
      </c>
      <c r="I1333" s="24">
        <f>IF($G1333="","",IFERROR(VLOOKUP($G1333,物料档案!$A$4:$P$1203,4,0),"※编码不在物料档案里"))</f>
        <v/>
      </c>
      <c r="J1333" s="24">
        <f>IF($G1333="","",IFERROR(VLOOKUP($G1333,物料档案!$A$4:$P$1203,5,0),"※编码不在物料档案里"))</f>
        <v/>
      </c>
      <c r="K1333" s="23" t="n"/>
      <c r="L1333" s="31" t="n"/>
      <c r="M1333" s="24">
        <f>IF($G1333="","",IF($D1333="A国内","CNY","TZS"))</f>
        <v/>
      </c>
      <c r="N1333" s="28">
        <f>IF($G1333="","",IF($D1333="A国内",汇率,1))</f>
        <v/>
      </c>
      <c r="O1333" s="25">
        <f>IF($G1333="","",ROUND(N($K1333)*N($L1333),2))</f>
        <v/>
      </c>
      <c r="P1333" s="26">
        <f>IF($G1333="","",ROUND($O1333*$N1333,0))</f>
        <v/>
      </c>
      <c r="Q1333" s="26">
        <f>IF($G1333="","",SUMIFS($P$4:$P$2503,$E$4:$E$2503,$E1333,$Z$4:$Z$2503,"正常"))</f>
        <v/>
      </c>
      <c r="R1333" s="26">
        <f>IF($G1333="","",SUMIFS(费用台账!$I$4:$I$503,费用台账!$C$4:$C$503,$E1333,费用台账!$J$4:$J$503,"是",费用台账!$K$4:$K$503,"正常"))</f>
        <v/>
      </c>
      <c r="S1333" s="28">
        <f>IF($G1333="","",COUNTIFS($E$4:$E$2503,$E1333,$Z$4:$Z$2503,"正常",$Y$4:$Y$2503,"待补价"))</f>
        <v/>
      </c>
      <c r="T1333" s="26">
        <f>IF($G1333="","",SUMIFS($P$4:$P$2503,$E$4:$E$2503,$E1333,$Z$4:$Z$2503,"正常",$A$4:$A$2503,"&lt;="&amp;$A1333))</f>
        <v/>
      </c>
      <c r="U1333" s="26">
        <f>IF($G1333="","",IF(OR($S1333&gt;0,$Q1333=0,$R1333=0,$Z1333&lt;&gt;"正常"),0,ROUND($T1333/$Q1333*$R1333,0)-ROUND(($T1333-$P1333)/$Q1333*$R1333,0)))</f>
        <v/>
      </c>
      <c r="V1333" s="26">
        <f>IF($G1333="","",ROUND($P1333+$U1333,0))</f>
        <v/>
      </c>
      <c r="W1333" s="26">
        <f>IF($G1333="","",IF(N($K1333)=0,0,ROUND($V1333/$K1333,2)))</f>
        <v/>
      </c>
      <c r="X1333" s="17" t="n"/>
      <c r="Y1333" s="17" t="n"/>
      <c r="Z1333" s="17" t="n"/>
      <c r="AA1333" s="17" t="n"/>
      <c r="AB1333" s="17" t="n"/>
      <c r="AC1333" s="24">
        <f>IF($G1333="","",IF($H1333="※编码不在物料档案里","※物料编码不在档案里",IF(N($K1333)&lt;=0,"※入库数量要大于 0",IF(AND($C1333&lt;&gt;"",$C1333&lt;=结账锁),"※日期早于已结账截止日，不能再录",IF(AND($L1333=0,$X1333="正常"),"※没填单价，价格状态请选「待补价」",IF(AND($S1333&gt;0,$R1333&gt;0),"△本批有 "&amp;$S1333&amp;" 行没单价，整批运费先挂账没摊",IF(AND($B1333&lt;&gt;"",COUNTIF($B$4:$B$2503,$B1333)&gt;1),"※入库单号重复","")))))))</f>
        <v/>
      </c>
    </row>
    <row r="1334">
      <c r="A1334" s="24">
        <f>IF($G1334="","",COUNTA($G$4:$G1334))</f>
        <v/>
      </c>
      <c r="B1334" s="17" t="n"/>
      <c r="C1334" s="30" t="n"/>
      <c r="D1334" s="17" t="n"/>
      <c r="E1334" s="17" t="n"/>
      <c r="F1334" s="17" t="n"/>
      <c r="G1334" s="17" t="n"/>
      <c r="H1334" s="24">
        <f>IF($G1334="","",IFERROR(VLOOKUP($G1334,物料档案!$A$4:$P$1203,3,0),"※编码不在物料档案里"))</f>
        <v/>
      </c>
      <c r="I1334" s="24">
        <f>IF($G1334="","",IFERROR(VLOOKUP($G1334,物料档案!$A$4:$P$1203,4,0),"※编码不在物料档案里"))</f>
        <v/>
      </c>
      <c r="J1334" s="24">
        <f>IF($G1334="","",IFERROR(VLOOKUP($G1334,物料档案!$A$4:$P$1203,5,0),"※编码不在物料档案里"))</f>
        <v/>
      </c>
      <c r="K1334" s="23" t="n"/>
      <c r="L1334" s="31" t="n"/>
      <c r="M1334" s="24">
        <f>IF($G1334="","",IF($D1334="A国内","CNY","TZS"))</f>
        <v/>
      </c>
      <c r="N1334" s="28">
        <f>IF($G1334="","",IF($D1334="A国内",汇率,1))</f>
        <v/>
      </c>
      <c r="O1334" s="25">
        <f>IF($G1334="","",ROUND(N($K1334)*N($L1334),2))</f>
        <v/>
      </c>
      <c r="P1334" s="26">
        <f>IF($G1334="","",ROUND($O1334*$N1334,0))</f>
        <v/>
      </c>
      <c r="Q1334" s="26">
        <f>IF($G1334="","",SUMIFS($P$4:$P$2503,$E$4:$E$2503,$E1334,$Z$4:$Z$2503,"正常"))</f>
        <v/>
      </c>
      <c r="R1334" s="26">
        <f>IF($G1334="","",SUMIFS(费用台账!$I$4:$I$503,费用台账!$C$4:$C$503,$E1334,费用台账!$J$4:$J$503,"是",费用台账!$K$4:$K$503,"正常"))</f>
        <v/>
      </c>
      <c r="S1334" s="28">
        <f>IF($G1334="","",COUNTIFS($E$4:$E$2503,$E1334,$Z$4:$Z$2503,"正常",$Y$4:$Y$2503,"待补价"))</f>
        <v/>
      </c>
      <c r="T1334" s="26">
        <f>IF($G1334="","",SUMIFS($P$4:$P$2503,$E$4:$E$2503,$E1334,$Z$4:$Z$2503,"正常",$A$4:$A$2503,"&lt;="&amp;$A1334))</f>
        <v/>
      </c>
      <c r="U1334" s="26">
        <f>IF($G1334="","",IF(OR($S1334&gt;0,$Q1334=0,$R1334=0,$Z1334&lt;&gt;"正常"),0,ROUND($T1334/$Q1334*$R1334,0)-ROUND(($T1334-$P1334)/$Q1334*$R1334,0)))</f>
        <v/>
      </c>
      <c r="V1334" s="26">
        <f>IF($G1334="","",ROUND($P1334+$U1334,0))</f>
        <v/>
      </c>
      <c r="W1334" s="26">
        <f>IF($G1334="","",IF(N($K1334)=0,0,ROUND($V1334/$K1334,2)))</f>
        <v/>
      </c>
      <c r="X1334" s="17" t="n"/>
      <c r="Y1334" s="17" t="n"/>
      <c r="Z1334" s="17" t="n"/>
      <c r="AA1334" s="17" t="n"/>
      <c r="AB1334" s="17" t="n"/>
      <c r="AC1334" s="24">
        <f>IF($G1334="","",IF($H1334="※编码不在物料档案里","※物料编码不在档案里",IF(N($K1334)&lt;=0,"※入库数量要大于 0",IF(AND($C1334&lt;&gt;"",$C1334&lt;=结账锁),"※日期早于已结账截止日，不能再录",IF(AND($L1334=0,$X1334="正常"),"※没填单价，价格状态请选「待补价」",IF(AND($S1334&gt;0,$R1334&gt;0),"△本批有 "&amp;$S1334&amp;" 行没单价，整批运费先挂账没摊",IF(AND($B1334&lt;&gt;"",COUNTIF($B$4:$B$2503,$B1334)&gt;1),"※入库单号重复","")))))))</f>
        <v/>
      </c>
    </row>
    <row r="1335">
      <c r="A1335" s="24">
        <f>IF($G1335="","",COUNTA($G$4:$G1335))</f>
        <v/>
      </c>
      <c r="B1335" s="17" t="n"/>
      <c r="C1335" s="30" t="n"/>
      <c r="D1335" s="17" t="n"/>
      <c r="E1335" s="17" t="n"/>
      <c r="F1335" s="17" t="n"/>
      <c r="G1335" s="17" t="n"/>
      <c r="H1335" s="24">
        <f>IF($G1335="","",IFERROR(VLOOKUP($G1335,物料档案!$A$4:$P$1203,3,0),"※编码不在物料档案里"))</f>
        <v/>
      </c>
      <c r="I1335" s="24">
        <f>IF($G1335="","",IFERROR(VLOOKUP($G1335,物料档案!$A$4:$P$1203,4,0),"※编码不在物料档案里"))</f>
        <v/>
      </c>
      <c r="J1335" s="24">
        <f>IF($G1335="","",IFERROR(VLOOKUP($G1335,物料档案!$A$4:$P$1203,5,0),"※编码不在物料档案里"))</f>
        <v/>
      </c>
      <c r="K1335" s="23" t="n"/>
      <c r="L1335" s="31" t="n"/>
      <c r="M1335" s="24">
        <f>IF($G1335="","",IF($D1335="A国内","CNY","TZS"))</f>
        <v/>
      </c>
      <c r="N1335" s="28">
        <f>IF($G1335="","",IF($D1335="A国内",汇率,1))</f>
        <v/>
      </c>
      <c r="O1335" s="25">
        <f>IF($G1335="","",ROUND(N($K1335)*N($L1335),2))</f>
        <v/>
      </c>
      <c r="P1335" s="26">
        <f>IF($G1335="","",ROUND($O1335*$N1335,0))</f>
        <v/>
      </c>
      <c r="Q1335" s="26">
        <f>IF($G1335="","",SUMIFS($P$4:$P$2503,$E$4:$E$2503,$E1335,$Z$4:$Z$2503,"正常"))</f>
        <v/>
      </c>
      <c r="R1335" s="26">
        <f>IF($G1335="","",SUMIFS(费用台账!$I$4:$I$503,费用台账!$C$4:$C$503,$E1335,费用台账!$J$4:$J$503,"是",费用台账!$K$4:$K$503,"正常"))</f>
        <v/>
      </c>
      <c r="S1335" s="28">
        <f>IF($G1335="","",COUNTIFS($E$4:$E$2503,$E1335,$Z$4:$Z$2503,"正常",$Y$4:$Y$2503,"待补价"))</f>
        <v/>
      </c>
      <c r="T1335" s="26">
        <f>IF($G1335="","",SUMIFS($P$4:$P$2503,$E$4:$E$2503,$E1335,$Z$4:$Z$2503,"正常",$A$4:$A$2503,"&lt;="&amp;$A1335))</f>
        <v/>
      </c>
      <c r="U1335" s="26">
        <f>IF($G1335="","",IF(OR($S1335&gt;0,$Q1335=0,$R1335=0,$Z1335&lt;&gt;"正常"),0,ROUND($T1335/$Q1335*$R1335,0)-ROUND(($T1335-$P1335)/$Q1335*$R1335,0)))</f>
        <v/>
      </c>
      <c r="V1335" s="26">
        <f>IF($G1335="","",ROUND($P1335+$U1335,0))</f>
        <v/>
      </c>
      <c r="W1335" s="26">
        <f>IF($G1335="","",IF(N($K1335)=0,0,ROUND($V1335/$K1335,2)))</f>
        <v/>
      </c>
      <c r="X1335" s="17" t="n"/>
      <c r="Y1335" s="17" t="n"/>
      <c r="Z1335" s="17" t="n"/>
      <c r="AA1335" s="17" t="n"/>
      <c r="AB1335" s="17" t="n"/>
      <c r="AC1335" s="24">
        <f>IF($G1335="","",IF($H1335="※编码不在物料档案里","※物料编码不在档案里",IF(N($K1335)&lt;=0,"※入库数量要大于 0",IF(AND($C1335&lt;&gt;"",$C1335&lt;=结账锁),"※日期早于已结账截止日，不能再录",IF(AND($L1335=0,$X1335="正常"),"※没填单价，价格状态请选「待补价」",IF(AND($S1335&gt;0,$R1335&gt;0),"△本批有 "&amp;$S1335&amp;" 行没单价，整批运费先挂账没摊",IF(AND($B1335&lt;&gt;"",COUNTIF($B$4:$B$2503,$B1335)&gt;1),"※入库单号重复","")))))))</f>
        <v/>
      </c>
    </row>
    <row r="1336">
      <c r="A1336" s="24">
        <f>IF($G1336="","",COUNTA($G$4:$G1336))</f>
        <v/>
      </c>
      <c r="B1336" s="17" t="n"/>
      <c r="C1336" s="30" t="n"/>
      <c r="D1336" s="17" t="n"/>
      <c r="E1336" s="17" t="n"/>
      <c r="F1336" s="17" t="n"/>
      <c r="G1336" s="17" t="n"/>
      <c r="H1336" s="24">
        <f>IF($G1336="","",IFERROR(VLOOKUP($G1336,物料档案!$A$4:$P$1203,3,0),"※编码不在物料档案里"))</f>
        <v/>
      </c>
      <c r="I1336" s="24">
        <f>IF($G1336="","",IFERROR(VLOOKUP($G1336,物料档案!$A$4:$P$1203,4,0),"※编码不在物料档案里"))</f>
        <v/>
      </c>
      <c r="J1336" s="24">
        <f>IF($G1336="","",IFERROR(VLOOKUP($G1336,物料档案!$A$4:$P$1203,5,0),"※编码不在物料档案里"))</f>
        <v/>
      </c>
      <c r="K1336" s="23" t="n"/>
      <c r="L1336" s="31" t="n"/>
      <c r="M1336" s="24">
        <f>IF($G1336="","",IF($D1336="A国内","CNY","TZS"))</f>
        <v/>
      </c>
      <c r="N1336" s="28">
        <f>IF($G1336="","",IF($D1336="A国内",汇率,1))</f>
        <v/>
      </c>
      <c r="O1336" s="25">
        <f>IF($G1336="","",ROUND(N($K1336)*N($L1336),2))</f>
        <v/>
      </c>
      <c r="P1336" s="26">
        <f>IF($G1336="","",ROUND($O1336*$N1336,0))</f>
        <v/>
      </c>
      <c r="Q1336" s="26">
        <f>IF($G1336="","",SUMIFS($P$4:$P$2503,$E$4:$E$2503,$E1336,$Z$4:$Z$2503,"正常"))</f>
        <v/>
      </c>
      <c r="R1336" s="26">
        <f>IF($G1336="","",SUMIFS(费用台账!$I$4:$I$503,费用台账!$C$4:$C$503,$E1336,费用台账!$J$4:$J$503,"是",费用台账!$K$4:$K$503,"正常"))</f>
        <v/>
      </c>
      <c r="S1336" s="28">
        <f>IF($G1336="","",COUNTIFS($E$4:$E$2503,$E1336,$Z$4:$Z$2503,"正常",$Y$4:$Y$2503,"待补价"))</f>
        <v/>
      </c>
      <c r="T1336" s="26">
        <f>IF($G1336="","",SUMIFS($P$4:$P$2503,$E$4:$E$2503,$E1336,$Z$4:$Z$2503,"正常",$A$4:$A$2503,"&lt;="&amp;$A1336))</f>
        <v/>
      </c>
      <c r="U1336" s="26">
        <f>IF($G1336="","",IF(OR($S1336&gt;0,$Q1336=0,$R1336=0,$Z1336&lt;&gt;"正常"),0,ROUND($T1336/$Q1336*$R1336,0)-ROUND(($T1336-$P1336)/$Q1336*$R1336,0)))</f>
        <v/>
      </c>
      <c r="V1336" s="26">
        <f>IF($G1336="","",ROUND($P1336+$U1336,0))</f>
        <v/>
      </c>
      <c r="W1336" s="26">
        <f>IF($G1336="","",IF(N($K1336)=0,0,ROUND($V1336/$K1336,2)))</f>
        <v/>
      </c>
      <c r="X1336" s="17" t="n"/>
      <c r="Y1336" s="17" t="n"/>
      <c r="Z1336" s="17" t="n"/>
      <c r="AA1336" s="17" t="n"/>
      <c r="AB1336" s="17" t="n"/>
      <c r="AC1336" s="24">
        <f>IF($G1336="","",IF($H1336="※编码不在物料档案里","※物料编码不在档案里",IF(N($K1336)&lt;=0,"※入库数量要大于 0",IF(AND($C1336&lt;&gt;"",$C1336&lt;=结账锁),"※日期早于已结账截止日，不能再录",IF(AND($L1336=0,$X1336="正常"),"※没填单价，价格状态请选「待补价」",IF(AND($S1336&gt;0,$R1336&gt;0),"△本批有 "&amp;$S1336&amp;" 行没单价，整批运费先挂账没摊",IF(AND($B1336&lt;&gt;"",COUNTIF($B$4:$B$2503,$B1336)&gt;1),"※入库单号重复","")))))))</f>
        <v/>
      </c>
    </row>
    <row r="1337">
      <c r="A1337" s="24">
        <f>IF($G1337="","",COUNTA($G$4:$G1337))</f>
        <v/>
      </c>
      <c r="B1337" s="17" t="n"/>
      <c r="C1337" s="30" t="n"/>
      <c r="D1337" s="17" t="n"/>
      <c r="E1337" s="17" t="n"/>
      <c r="F1337" s="17" t="n"/>
      <c r="G1337" s="17" t="n"/>
      <c r="H1337" s="24">
        <f>IF($G1337="","",IFERROR(VLOOKUP($G1337,物料档案!$A$4:$P$1203,3,0),"※编码不在物料档案里"))</f>
        <v/>
      </c>
      <c r="I1337" s="24">
        <f>IF($G1337="","",IFERROR(VLOOKUP($G1337,物料档案!$A$4:$P$1203,4,0),"※编码不在物料档案里"))</f>
        <v/>
      </c>
      <c r="J1337" s="24">
        <f>IF($G1337="","",IFERROR(VLOOKUP($G1337,物料档案!$A$4:$P$1203,5,0),"※编码不在物料档案里"))</f>
        <v/>
      </c>
      <c r="K1337" s="23" t="n"/>
      <c r="L1337" s="31" t="n"/>
      <c r="M1337" s="24">
        <f>IF($G1337="","",IF($D1337="A国内","CNY","TZS"))</f>
        <v/>
      </c>
      <c r="N1337" s="28">
        <f>IF($G1337="","",IF($D1337="A国内",汇率,1))</f>
        <v/>
      </c>
      <c r="O1337" s="25">
        <f>IF($G1337="","",ROUND(N($K1337)*N($L1337),2))</f>
        <v/>
      </c>
      <c r="P1337" s="26">
        <f>IF($G1337="","",ROUND($O1337*$N1337,0))</f>
        <v/>
      </c>
      <c r="Q1337" s="26">
        <f>IF($G1337="","",SUMIFS($P$4:$P$2503,$E$4:$E$2503,$E1337,$Z$4:$Z$2503,"正常"))</f>
        <v/>
      </c>
      <c r="R1337" s="26">
        <f>IF($G1337="","",SUMIFS(费用台账!$I$4:$I$503,费用台账!$C$4:$C$503,$E1337,费用台账!$J$4:$J$503,"是",费用台账!$K$4:$K$503,"正常"))</f>
        <v/>
      </c>
      <c r="S1337" s="28">
        <f>IF($G1337="","",COUNTIFS($E$4:$E$2503,$E1337,$Z$4:$Z$2503,"正常",$Y$4:$Y$2503,"待补价"))</f>
        <v/>
      </c>
      <c r="T1337" s="26">
        <f>IF($G1337="","",SUMIFS($P$4:$P$2503,$E$4:$E$2503,$E1337,$Z$4:$Z$2503,"正常",$A$4:$A$2503,"&lt;="&amp;$A1337))</f>
        <v/>
      </c>
      <c r="U1337" s="26">
        <f>IF($G1337="","",IF(OR($S1337&gt;0,$Q1337=0,$R1337=0,$Z1337&lt;&gt;"正常"),0,ROUND($T1337/$Q1337*$R1337,0)-ROUND(($T1337-$P1337)/$Q1337*$R1337,0)))</f>
        <v/>
      </c>
      <c r="V1337" s="26">
        <f>IF($G1337="","",ROUND($P1337+$U1337,0))</f>
        <v/>
      </c>
      <c r="W1337" s="26">
        <f>IF($G1337="","",IF(N($K1337)=0,0,ROUND($V1337/$K1337,2)))</f>
        <v/>
      </c>
      <c r="X1337" s="17" t="n"/>
      <c r="Y1337" s="17" t="n"/>
      <c r="Z1337" s="17" t="n"/>
      <c r="AA1337" s="17" t="n"/>
      <c r="AB1337" s="17" t="n"/>
      <c r="AC1337" s="24">
        <f>IF($G1337="","",IF($H1337="※编码不在物料档案里","※物料编码不在档案里",IF(N($K1337)&lt;=0,"※入库数量要大于 0",IF(AND($C1337&lt;&gt;"",$C1337&lt;=结账锁),"※日期早于已结账截止日，不能再录",IF(AND($L1337=0,$X1337="正常"),"※没填单价，价格状态请选「待补价」",IF(AND($S1337&gt;0,$R1337&gt;0),"△本批有 "&amp;$S1337&amp;" 行没单价，整批运费先挂账没摊",IF(AND($B1337&lt;&gt;"",COUNTIF($B$4:$B$2503,$B1337)&gt;1),"※入库单号重复","")))))))</f>
        <v/>
      </c>
    </row>
    <row r="1338">
      <c r="A1338" s="24">
        <f>IF($G1338="","",COUNTA($G$4:$G1338))</f>
        <v/>
      </c>
      <c r="B1338" s="17" t="n"/>
      <c r="C1338" s="30" t="n"/>
      <c r="D1338" s="17" t="n"/>
      <c r="E1338" s="17" t="n"/>
      <c r="F1338" s="17" t="n"/>
      <c r="G1338" s="17" t="n"/>
      <c r="H1338" s="24">
        <f>IF($G1338="","",IFERROR(VLOOKUP($G1338,物料档案!$A$4:$P$1203,3,0),"※编码不在物料档案里"))</f>
        <v/>
      </c>
      <c r="I1338" s="24">
        <f>IF($G1338="","",IFERROR(VLOOKUP($G1338,物料档案!$A$4:$P$1203,4,0),"※编码不在物料档案里"))</f>
        <v/>
      </c>
      <c r="J1338" s="24">
        <f>IF($G1338="","",IFERROR(VLOOKUP($G1338,物料档案!$A$4:$P$1203,5,0),"※编码不在物料档案里"))</f>
        <v/>
      </c>
      <c r="K1338" s="23" t="n"/>
      <c r="L1338" s="31" t="n"/>
      <c r="M1338" s="24">
        <f>IF($G1338="","",IF($D1338="A国内","CNY","TZS"))</f>
        <v/>
      </c>
      <c r="N1338" s="28">
        <f>IF($G1338="","",IF($D1338="A国内",汇率,1))</f>
        <v/>
      </c>
      <c r="O1338" s="25">
        <f>IF($G1338="","",ROUND(N($K1338)*N($L1338),2))</f>
        <v/>
      </c>
      <c r="P1338" s="26">
        <f>IF($G1338="","",ROUND($O1338*$N1338,0))</f>
        <v/>
      </c>
      <c r="Q1338" s="26">
        <f>IF($G1338="","",SUMIFS($P$4:$P$2503,$E$4:$E$2503,$E1338,$Z$4:$Z$2503,"正常"))</f>
        <v/>
      </c>
      <c r="R1338" s="26">
        <f>IF($G1338="","",SUMIFS(费用台账!$I$4:$I$503,费用台账!$C$4:$C$503,$E1338,费用台账!$J$4:$J$503,"是",费用台账!$K$4:$K$503,"正常"))</f>
        <v/>
      </c>
      <c r="S1338" s="28">
        <f>IF($G1338="","",COUNTIFS($E$4:$E$2503,$E1338,$Z$4:$Z$2503,"正常",$Y$4:$Y$2503,"待补价"))</f>
        <v/>
      </c>
      <c r="T1338" s="26">
        <f>IF($G1338="","",SUMIFS($P$4:$P$2503,$E$4:$E$2503,$E1338,$Z$4:$Z$2503,"正常",$A$4:$A$2503,"&lt;="&amp;$A1338))</f>
        <v/>
      </c>
      <c r="U1338" s="26">
        <f>IF($G1338="","",IF(OR($S1338&gt;0,$Q1338=0,$R1338=0,$Z1338&lt;&gt;"正常"),0,ROUND($T1338/$Q1338*$R1338,0)-ROUND(($T1338-$P1338)/$Q1338*$R1338,0)))</f>
        <v/>
      </c>
      <c r="V1338" s="26">
        <f>IF($G1338="","",ROUND($P1338+$U1338,0))</f>
        <v/>
      </c>
      <c r="W1338" s="26">
        <f>IF($G1338="","",IF(N($K1338)=0,0,ROUND($V1338/$K1338,2)))</f>
        <v/>
      </c>
      <c r="X1338" s="17" t="n"/>
      <c r="Y1338" s="17" t="n"/>
      <c r="Z1338" s="17" t="n"/>
      <c r="AA1338" s="17" t="n"/>
      <c r="AB1338" s="17" t="n"/>
      <c r="AC1338" s="24">
        <f>IF($G1338="","",IF($H1338="※编码不在物料档案里","※物料编码不在档案里",IF(N($K1338)&lt;=0,"※入库数量要大于 0",IF(AND($C1338&lt;&gt;"",$C1338&lt;=结账锁),"※日期早于已结账截止日，不能再录",IF(AND($L1338=0,$X1338="正常"),"※没填单价，价格状态请选「待补价」",IF(AND($S1338&gt;0,$R1338&gt;0),"△本批有 "&amp;$S1338&amp;" 行没单价，整批运费先挂账没摊",IF(AND($B1338&lt;&gt;"",COUNTIF($B$4:$B$2503,$B1338)&gt;1),"※入库单号重复","")))))))</f>
        <v/>
      </c>
    </row>
    <row r="1339">
      <c r="A1339" s="24">
        <f>IF($G1339="","",COUNTA($G$4:$G1339))</f>
        <v/>
      </c>
      <c r="B1339" s="17" t="n"/>
      <c r="C1339" s="30" t="n"/>
      <c r="D1339" s="17" t="n"/>
      <c r="E1339" s="17" t="n"/>
      <c r="F1339" s="17" t="n"/>
      <c r="G1339" s="17" t="n"/>
      <c r="H1339" s="24">
        <f>IF($G1339="","",IFERROR(VLOOKUP($G1339,物料档案!$A$4:$P$1203,3,0),"※编码不在物料档案里"))</f>
        <v/>
      </c>
      <c r="I1339" s="24">
        <f>IF($G1339="","",IFERROR(VLOOKUP($G1339,物料档案!$A$4:$P$1203,4,0),"※编码不在物料档案里"))</f>
        <v/>
      </c>
      <c r="J1339" s="24">
        <f>IF($G1339="","",IFERROR(VLOOKUP($G1339,物料档案!$A$4:$P$1203,5,0),"※编码不在物料档案里"))</f>
        <v/>
      </c>
      <c r="K1339" s="23" t="n"/>
      <c r="L1339" s="31" t="n"/>
      <c r="M1339" s="24">
        <f>IF($G1339="","",IF($D1339="A国内","CNY","TZS"))</f>
        <v/>
      </c>
      <c r="N1339" s="28">
        <f>IF($G1339="","",IF($D1339="A国内",汇率,1))</f>
        <v/>
      </c>
      <c r="O1339" s="25">
        <f>IF($G1339="","",ROUND(N($K1339)*N($L1339),2))</f>
        <v/>
      </c>
      <c r="P1339" s="26">
        <f>IF($G1339="","",ROUND($O1339*$N1339,0))</f>
        <v/>
      </c>
      <c r="Q1339" s="26">
        <f>IF($G1339="","",SUMIFS($P$4:$P$2503,$E$4:$E$2503,$E1339,$Z$4:$Z$2503,"正常"))</f>
        <v/>
      </c>
      <c r="R1339" s="26">
        <f>IF($G1339="","",SUMIFS(费用台账!$I$4:$I$503,费用台账!$C$4:$C$503,$E1339,费用台账!$J$4:$J$503,"是",费用台账!$K$4:$K$503,"正常"))</f>
        <v/>
      </c>
      <c r="S1339" s="28">
        <f>IF($G1339="","",COUNTIFS($E$4:$E$2503,$E1339,$Z$4:$Z$2503,"正常",$Y$4:$Y$2503,"待补价"))</f>
        <v/>
      </c>
      <c r="T1339" s="26">
        <f>IF($G1339="","",SUMIFS($P$4:$P$2503,$E$4:$E$2503,$E1339,$Z$4:$Z$2503,"正常",$A$4:$A$2503,"&lt;="&amp;$A1339))</f>
        <v/>
      </c>
      <c r="U1339" s="26">
        <f>IF($G1339="","",IF(OR($S1339&gt;0,$Q1339=0,$R1339=0,$Z1339&lt;&gt;"正常"),0,ROUND($T1339/$Q1339*$R1339,0)-ROUND(($T1339-$P1339)/$Q1339*$R1339,0)))</f>
        <v/>
      </c>
      <c r="V1339" s="26">
        <f>IF($G1339="","",ROUND($P1339+$U1339,0))</f>
        <v/>
      </c>
      <c r="W1339" s="26">
        <f>IF($G1339="","",IF(N($K1339)=0,0,ROUND($V1339/$K1339,2)))</f>
        <v/>
      </c>
      <c r="X1339" s="17" t="n"/>
      <c r="Y1339" s="17" t="n"/>
      <c r="Z1339" s="17" t="n"/>
      <c r="AA1339" s="17" t="n"/>
      <c r="AB1339" s="17" t="n"/>
      <c r="AC1339" s="24">
        <f>IF($G1339="","",IF($H1339="※编码不在物料档案里","※物料编码不在档案里",IF(N($K1339)&lt;=0,"※入库数量要大于 0",IF(AND($C1339&lt;&gt;"",$C1339&lt;=结账锁),"※日期早于已结账截止日，不能再录",IF(AND($L1339=0,$X1339="正常"),"※没填单价，价格状态请选「待补价」",IF(AND($S1339&gt;0,$R1339&gt;0),"△本批有 "&amp;$S1339&amp;" 行没单价，整批运费先挂账没摊",IF(AND($B1339&lt;&gt;"",COUNTIF($B$4:$B$2503,$B1339)&gt;1),"※入库单号重复","")))))))</f>
        <v/>
      </c>
    </row>
    <row r="1340">
      <c r="A1340" s="24">
        <f>IF($G1340="","",COUNTA($G$4:$G1340))</f>
        <v/>
      </c>
      <c r="B1340" s="17" t="n"/>
      <c r="C1340" s="30" t="n"/>
      <c r="D1340" s="17" t="n"/>
      <c r="E1340" s="17" t="n"/>
      <c r="F1340" s="17" t="n"/>
      <c r="G1340" s="17" t="n"/>
      <c r="H1340" s="24">
        <f>IF($G1340="","",IFERROR(VLOOKUP($G1340,物料档案!$A$4:$P$1203,3,0),"※编码不在物料档案里"))</f>
        <v/>
      </c>
      <c r="I1340" s="24">
        <f>IF($G1340="","",IFERROR(VLOOKUP($G1340,物料档案!$A$4:$P$1203,4,0),"※编码不在物料档案里"))</f>
        <v/>
      </c>
      <c r="J1340" s="24">
        <f>IF($G1340="","",IFERROR(VLOOKUP($G1340,物料档案!$A$4:$P$1203,5,0),"※编码不在物料档案里"))</f>
        <v/>
      </c>
      <c r="K1340" s="23" t="n"/>
      <c r="L1340" s="31" t="n"/>
      <c r="M1340" s="24">
        <f>IF($G1340="","",IF($D1340="A国内","CNY","TZS"))</f>
        <v/>
      </c>
      <c r="N1340" s="28">
        <f>IF($G1340="","",IF($D1340="A国内",汇率,1))</f>
        <v/>
      </c>
      <c r="O1340" s="25">
        <f>IF($G1340="","",ROUND(N($K1340)*N($L1340),2))</f>
        <v/>
      </c>
      <c r="P1340" s="26">
        <f>IF($G1340="","",ROUND($O1340*$N1340,0))</f>
        <v/>
      </c>
      <c r="Q1340" s="26">
        <f>IF($G1340="","",SUMIFS($P$4:$P$2503,$E$4:$E$2503,$E1340,$Z$4:$Z$2503,"正常"))</f>
        <v/>
      </c>
      <c r="R1340" s="26">
        <f>IF($G1340="","",SUMIFS(费用台账!$I$4:$I$503,费用台账!$C$4:$C$503,$E1340,费用台账!$J$4:$J$503,"是",费用台账!$K$4:$K$503,"正常"))</f>
        <v/>
      </c>
      <c r="S1340" s="28">
        <f>IF($G1340="","",COUNTIFS($E$4:$E$2503,$E1340,$Z$4:$Z$2503,"正常",$Y$4:$Y$2503,"待补价"))</f>
        <v/>
      </c>
      <c r="T1340" s="26">
        <f>IF($G1340="","",SUMIFS($P$4:$P$2503,$E$4:$E$2503,$E1340,$Z$4:$Z$2503,"正常",$A$4:$A$2503,"&lt;="&amp;$A1340))</f>
        <v/>
      </c>
      <c r="U1340" s="26">
        <f>IF($G1340="","",IF(OR($S1340&gt;0,$Q1340=0,$R1340=0,$Z1340&lt;&gt;"正常"),0,ROUND($T1340/$Q1340*$R1340,0)-ROUND(($T1340-$P1340)/$Q1340*$R1340,0)))</f>
        <v/>
      </c>
      <c r="V1340" s="26">
        <f>IF($G1340="","",ROUND($P1340+$U1340,0))</f>
        <v/>
      </c>
      <c r="W1340" s="26">
        <f>IF($G1340="","",IF(N($K1340)=0,0,ROUND($V1340/$K1340,2)))</f>
        <v/>
      </c>
      <c r="X1340" s="17" t="n"/>
      <c r="Y1340" s="17" t="n"/>
      <c r="Z1340" s="17" t="n"/>
      <c r="AA1340" s="17" t="n"/>
      <c r="AB1340" s="17" t="n"/>
      <c r="AC1340" s="24">
        <f>IF($G1340="","",IF($H1340="※编码不在物料档案里","※物料编码不在档案里",IF(N($K1340)&lt;=0,"※入库数量要大于 0",IF(AND($C1340&lt;&gt;"",$C1340&lt;=结账锁),"※日期早于已结账截止日，不能再录",IF(AND($L1340=0,$X1340="正常"),"※没填单价，价格状态请选「待补价」",IF(AND($S1340&gt;0,$R1340&gt;0),"△本批有 "&amp;$S1340&amp;" 行没单价，整批运费先挂账没摊",IF(AND($B1340&lt;&gt;"",COUNTIF($B$4:$B$2503,$B1340)&gt;1),"※入库单号重复","")))))))</f>
        <v/>
      </c>
    </row>
    <row r="1341">
      <c r="A1341" s="24">
        <f>IF($G1341="","",COUNTA($G$4:$G1341))</f>
        <v/>
      </c>
      <c r="B1341" s="17" t="n"/>
      <c r="C1341" s="30" t="n"/>
      <c r="D1341" s="17" t="n"/>
      <c r="E1341" s="17" t="n"/>
      <c r="F1341" s="17" t="n"/>
      <c r="G1341" s="17" t="n"/>
      <c r="H1341" s="24">
        <f>IF($G1341="","",IFERROR(VLOOKUP($G1341,物料档案!$A$4:$P$1203,3,0),"※编码不在物料档案里"))</f>
        <v/>
      </c>
      <c r="I1341" s="24">
        <f>IF($G1341="","",IFERROR(VLOOKUP($G1341,物料档案!$A$4:$P$1203,4,0),"※编码不在物料档案里"))</f>
        <v/>
      </c>
      <c r="J1341" s="24">
        <f>IF($G1341="","",IFERROR(VLOOKUP($G1341,物料档案!$A$4:$P$1203,5,0),"※编码不在物料档案里"))</f>
        <v/>
      </c>
      <c r="K1341" s="23" t="n"/>
      <c r="L1341" s="31" t="n"/>
      <c r="M1341" s="24">
        <f>IF($G1341="","",IF($D1341="A国内","CNY","TZS"))</f>
        <v/>
      </c>
      <c r="N1341" s="28">
        <f>IF($G1341="","",IF($D1341="A国内",汇率,1))</f>
        <v/>
      </c>
      <c r="O1341" s="25">
        <f>IF($G1341="","",ROUND(N($K1341)*N($L1341),2))</f>
        <v/>
      </c>
      <c r="P1341" s="26">
        <f>IF($G1341="","",ROUND($O1341*$N1341,0))</f>
        <v/>
      </c>
      <c r="Q1341" s="26">
        <f>IF($G1341="","",SUMIFS($P$4:$P$2503,$E$4:$E$2503,$E1341,$Z$4:$Z$2503,"正常"))</f>
        <v/>
      </c>
      <c r="R1341" s="26">
        <f>IF($G1341="","",SUMIFS(费用台账!$I$4:$I$503,费用台账!$C$4:$C$503,$E1341,费用台账!$J$4:$J$503,"是",费用台账!$K$4:$K$503,"正常"))</f>
        <v/>
      </c>
      <c r="S1341" s="28">
        <f>IF($G1341="","",COUNTIFS($E$4:$E$2503,$E1341,$Z$4:$Z$2503,"正常",$Y$4:$Y$2503,"待补价"))</f>
        <v/>
      </c>
      <c r="T1341" s="26">
        <f>IF($G1341="","",SUMIFS($P$4:$P$2503,$E$4:$E$2503,$E1341,$Z$4:$Z$2503,"正常",$A$4:$A$2503,"&lt;="&amp;$A1341))</f>
        <v/>
      </c>
      <c r="U1341" s="26">
        <f>IF($G1341="","",IF(OR($S1341&gt;0,$Q1341=0,$R1341=0,$Z1341&lt;&gt;"正常"),0,ROUND($T1341/$Q1341*$R1341,0)-ROUND(($T1341-$P1341)/$Q1341*$R1341,0)))</f>
        <v/>
      </c>
      <c r="V1341" s="26">
        <f>IF($G1341="","",ROUND($P1341+$U1341,0))</f>
        <v/>
      </c>
      <c r="W1341" s="26">
        <f>IF($G1341="","",IF(N($K1341)=0,0,ROUND($V1341/$K1341,2)))</f>
        <v/>
      </c>
      <c r="X1341" s="17" t="n"/>
      <c r="Y1341" s="17" t="n"/>
      <c r="Z1341" s="17" t="n"/>
      <c r="AA1341" s="17" t="n"/>
      <c r="AB1341" s="17" t="n"/>
      <c r="AC1341" s="24">
        <f>IF($G1341="","",IF($H1341="※编码不在物料档案里","※物料编码不在档案里",IF(N($K1341)&lt;=0,"※入库数量要大于 0",IF(AND($C1341&lt;&gt;"",$C1341&lt;=结账锁),"※日期早于已结账截止日，不能再录",IF(AND($L1341=0,$X1341="正常"),"※没填单价，价格状态请选「待补价」",IF(AND($S1341&gt;0,$R1341&gt;0),"△本批有 "&amp;$S1341&amp;" 行没单价，整批运费先挂账没摊",IF(AND($B1341&lt;&gt;"",COUNTIF($B$4:$B$2503,$B1341)&gt;1),"※入库单号重复","")))))))</f>
        <v/>
      </c>
    </row>
    <row r="1342">
      <c r="A1342" s="24">
        <f>IF($G1342="","",COUNTA($G$4:$G1342))</f>
        <v/>
      </c>
      <c r="B1342" s="17" t="n"/>
      <c r="C1342" s="30" t="n"/>
      <c r="D1342" s="17" t="n"/>
      <c r="E1342" s="17" t="n"/>
      <c r="F1342" s="17" t="n"/>
      <c r="G1342" s="17" t="n"/>
      <c r="H1342" s="24">
        <f>IF($G1342="","",IFERROR(VLOOKUP($G1342,物料档案!$A$4:$P$1203,3,0),"※编码不在物料档案里"))</f>
        <v/>
      </c>
      <c r="I1342" s="24">
        <f>IF($G1342="","",IFERROR(VLOOKUP($G1342,物料档案!$A$4:$P$1203,4,0),"※编码不在物料档案里"))</f>
        <v/>
      </c>
      <c r="J1342" s="24">
        <f>IF($G1342="","",IFERROR(VLOOKUP($G1342,物料档案!$A$4:$P$1203,5,0),"※编码不在物料档案里"))</f>
        <v/>
      </c>
      <c r="K1342" s="23" t="n"/>
      <c r="L1342" s="31" t="n"/>
      <c r="M1342" s="24">
        <f>IF($G1342="","",IF($D1342="A国内","CNY","TZS"))</f>
        <v/>
      </c>
      <c r="N1342" s="28">
        <f>IF($G1342="","",IF($D1342="A国内",汇率,1))</f>
        <v/>
      </c>
      <c r="O1342" s="25">
        <f>IF($G1342="","",ROUND(N($K1342)*N($L1342),2))</f>
        <v/>
      </c>
      <c r="P1342" s="26">
        <f>IF($G1342="","",ROUND($O1342*$N1342,0))</f>
        <v/>
      </c>
      <c r="Q1342" s="26">
        <f>IF($G1342="","",SUMIFS($P$4:$P$2503,$E$4:$E$2503,$E1342,$Z$4:$Z$2503,"正常"))</f>
        <v/>
      </c>
      <c r="R1342" s="26">
        <f>IF($G1342="","",SUMIFS(费用台账!$I$4:$I$503,费用台账!$C$4:$C$503,$E1342,费用台账!$J$4:$J$503,"是",费用台账!$K$4:$K$503,"正常"))</f>
        <v/>
      </c>
      <c r="S1342" s="28">
        <f>IF($G1342="","",COUNTIFS($E$4:$E$2503,$E1342,$Z$4:$Z$2503,"正常",$Y$4:$Y$2503,"待补价"))</f>
        <v/>
      </c>
      <c r="T1342" s="26">
        <f>IF($G1342="","",SUMIFS($P$4:$P$2503,$E$4:$E$2503,$E1342,$Z$4:$Z$2503,"正常",$A$4:$A$2503,"&lt;="&amp;$A1342))</f>
        <v/>
      </c>
      <c r="U1342" s="26">
        <f>IF($G1342="","",IF(OR($S1342&gt;0,$Q1342=0,$R1342=0,$Z1342&lt;&gt;"正常"),0,ROUND($T1342/$Q1342*$R1342,0)-ROUND(($T1342-$P1342)/$Q1342*$R1342,0)))</f>
        <v/>
      </c>
      <c r="V1342" s="26">
        <f>IF($G1342="","",ROUND($P1342+$U1342,0))</f>
        <v/>
      </c>
      <c r="W1342" s="26">
        <f>IF($G1342="","",IF(N($K1342)=0,0,ROUND($V1342/$K1342,2)))</f>
        <v/>
      </c>
      <c r="X1342" s="17" t="n"/>
      <c r="Y1342" s="17" t="n"/>
      <c r="Z1342" s="17" t="n"/>
      <c r="AA1342" s="17" t="n"/>
      <c r="AB1342" s="17" t="n"/>
      <c r="AC1342" s="24">
        <f>IF($G1342="","",IF($H1342="※编码不在物料档案里","※物料编码不在档案里",IF(N($K1342)&lt;=0,"※入库数量要大于 0",IF(AND($C1342&lt;&gt;"",$C1342&lt;=结账锁),"※日期早于已结账截止日，不能再录",IF(AND($L1342=0,$X1342="正常"),"※没填单价，价格状态请选「待补价」",IF(AND($S1342&gt;0,$R1342&gt;0),"△本批有 "&amp;$S1342&amp;" 行没单价，整批运费先挂账没摊",IF(AND($B1342&lt;&gt;"",COUNTIF($B$4:$B$2503,$B1342)&gt;1),"※入库单号重复","")))))))</f>
        <v/>
      </c>
    </row>
    <row r="1343">
      <c r="A1343" s="24">
        <f>IF($G1343="","",COUNTA($G$4:$G1343))</f>
        <v/>
      </c>
      <c r="B1343" s="17" t="n"/>
      <c r="C1343" s="30" t="n"/>
      <c r="D1343" s="17" t="n"/>
      <c r="E1343" s="17" t="n"/>
      <c r="F1343" s="17" t="n"/>
      <c r="G1343" s="17" t="n"/>
      <c r="H1343" s="24">
        <f>IF($G1343="","",IFERROR(VLOOKUP($G1343,物料档案!$A$4:$P$1203,3,0),"※编码不在物料档案里"))</f>
        <v/>
      </c>
      <c r="I1343" s="24">
        <f>IF($G1343="","",IFERROR(VLOOKUP($G1343,物料档案!$A$4:$P$1203,4,0),"※编码不在物料档案里"))</f>
        <v/>
      </c>
      <c r="J1343" s="24">
        <f>IF($G1343="","",IFERROR(VLOOKUP($G1343,物料档案!$A$4:$P$1203,5,0),"※编码不在物料档案里"))</f>
        <v/>
      </c>
      <c r="K1343" s="23" t="n"/>
      <c r="L1343" s="31" t="n"/>
      <c r="M1343" s="24">
        <f>IF($G1343="","",IF($D1343="A国内","CNY","TZS"))</f>
        <v/>
      </c>
      <c r="N1343" s="28">
        <f>IF($G1343="","",IF($D1343="A国内",汇率,1))</f>
        <v/>
      </c>
      <c r="O1343" s="25">
        <f>IF($G1343="","",ROUND(N($K1343)*N($L1343),2))</f>
        <v/>
      </c>
      <c r="P1343" s="26">
        <f>IF($G1343="","",ROUND($O1343*$N1343,0))</f>
        <v/>
      </c>
      <c r="Q1343" s="26">
        <f>IF($G1343="","",SUMIFS($P$4:$P$2503,$E$4:$E$2503,$E1343,$Z$4:$Z$2503,"正常"))</f>
        <v/>
      </c>
      <c r="R1343" s="26">
        <f>IF($G1343="","",SUMIFS(费用台账!$I$4:$I$503,费用台账!$C$4:$C$503,$E1343,费用台账!$J$4:$J$503,"是",费用台账!$K$4:$K$503,"正常"))</f>
        <v/>
      </c>
      <c r="S1343" s="28">
        <f>IF($G1343="","",COUNTIFS($E$4:$E$2503,$E1343,$Z$4:$Z$2503,"正常",$Y$4:$Y$2503,"待补价"))</f>
        <v/>
      </c>
      <c r="T1343" s="26">
        <f>IF($G1343="","",SUMIFS($P$4:$P$2503,$E$4:$E$2503,$E1343,$Z$4:$Z$2503,"正常",$A$4:$A$2503,"&lt;="&amp;$A1343))</f>
        <v/>
      </c>
      <c r="U1343" s="26">
        <f>IF($G1343="","",IF(OR($S1343&gt;0,$Q1343=0,$R1343=0,$Z1343&lt;&gt;"正常"),0,ROUND($T1343/$Q1343*$R1343,0)-ROUND(($T1343-$P1343)/$Q1343*$R1343,0)))</f>
        <v/>
      </c>
      <c r="V1343" s="26">
        <f>IF($G1343="","",ROUND($P1343+$U1343,0))</f>
        <v/>
      </c>
      <c r="W1343" s="26">
        <f>IF($G1343="","",IF(N($K1343)=0,0,ROUND($V1343/$K1343,2)))</f>
        <v/>
      </c>
      <c r="X1343" s="17" t="n"/>
      <c r="Y1343" s="17" t="n"/>
      <c r="Z1343" s="17" t="n"/>
      <c r="AA1343" s="17" t="n"/>
      <c r="AB1343" s="17" t="n"/>
      <c r="AC1343" s="24">
        <f>IF($G1343="","",IF($H1343="※编码不在物料档案里","※物料编码不在档案里",IF(N($K1343)&lt;=0,"※入库数量要大于 0",IF(AND($C1343&lt;&gt;"",$C1343&lt;=结账锁),"※日期早于已结账截止日，不能再录",IF(AND($L1343=0,$X1343="正常"),"※没填单价，价格状态请选「待补价」",IF(AND($S1343&gt;0,$R1343&gt;0),"△本批有 "&amp;$S1343&amp;" 行没单价，整批运费先挂账没摊",IF(AND($B1343&lt;&gt;"",COUNTIF($B$4:$B$2503,$B1343)&gt;1),"※入库单号重复","")))))))</f>
        <v/>
      </c>
    </row>
    <row r="1344">
      <c r="A1344" s="24">
        <f>IF($G1344="","",COUNTA($G$4:$G1344))</f>
        <v/>
      </c>
      <c r="B1344" s="17" t="n"/>
      <c r="C1344" s="30" t="n"/>
      <c r="D1344" s="17" t="n"/>
      <c r="E1344" s="17" t="n"/>
      <c r="F1344" s="17" t="n"/>
      <c r="G1344" s="17" t="n"/>
      <c r="H1344" s="24">
        <f>IF($G1344="","",IFERROR(VLOOKUP($G1344,物料档案!$A$4:$P$1203,3,0),"※编码不在物料档案里"))</f>
        <v/>
      </c>
      <c r="I1344" s="24">
        <f>IF($G1344="","",IFERROR(VLOOKUP($G1344,物料档案!$A$4:$P$1203,4,0),"※编码不在物料档案里"))</f>
        <v/>
      </c>
      <c r="J1344" s="24">
        <f>IF($G1344="","",IFERROR(VLOOKUP($G1344,物料档案!$A$4:$P$1203,5,0),"※编码不在物料档案里"))</f>
        <v/>
      </c>
      <c r="K1344" s="23" t="n"/>
      <c r="L1344" s="31" t="n"/>
      <c r="M1344" s="24">
        <f>IF($G1344="","",IF($D1344="A国内","CNY","TZS"))</f>
        <v/>
      </c>
      <c r="N1344" s="28">
        <f>IF($G1344="","",IF($D1344="A国内",汇率,1))</f>
        <v/>
      </c>
      <c r="O1344" s="25">
        <f>IF($G1344="","",ROUND(N($K1344)*N($L1344),2))</f>
        <v/>
      </c>
      <c r="P1344" s="26">
        <f>IF($G1344="","",ROUND($O1344*$N1344,0))</f>
        <v/>
      </c>
      <c r="Q1344" s="26">
        <f>IF($G1344="","",SUMIFS($P$4:$P$2503,$E$4:$E$2503,$E1344,$Z$4:$Z$2503,"正常"))</f>
        <v/>
      </c>
      <c r="R1344" s="26">
        <f>IF($G1344="","",SUMIFS(费用台账!$I$4:$I$503,费用台账!$C$4:$C$503,$E1344,费用台账!$J$4:$J$503,"是",费用台账!$K$4:$K$503,"正常"))</f>
        <v/>
      </c>
      <c r="S1344" s="28">
        <f>IF($G1344="","",COUNTIFS($E$4:$E$2503,$E1344,$Z$4:$Z$2503,"正常",$Y$4:$Y$2503,"待补价"))</f>
        <v/>
      </c>
      <c r="T1344" s="26">
        <f>IF($G1344="","",SUMIFS($P$4:$P$2503,$E$4:$E$2503,$E1344,$Z$4:$Z$2503,"正常",$A$4:$A$2503,"&lt;="&amp;$A1344))</f>
        <v/>
      </c>
      <c r="U1344" s="26">
        <f>IF($G1344="","",IF(OR($S1344&gt;0,$Q1344=0,$R1344=0,$Z1344&lt;&gt;"正常"),0,ROUND($T1344/$Q1344*$R1344,0)-ROUND(($T1344-$P1344)/$Q1344*$R1344,0)))</f>
        <v/>
      </c>
      <c r="V1344" s="26">
        <f>IF($G1344="","",ROUND($P1344+$U1344,0))</f>
        <v/>
      </c>
      <c r="W1344" s="26">
        <f>IF($G1344="","",IF(N($K1344)=0,0,ROUND($V1344/$K1344,2)))</f>
        <v/>
      </c>
      <c r="X1344" s="17" t="n"/>
      <c r="Y1344" s="17" t="n"/>
      <c r="Z1344" s="17" t="n"/>
      <c r="AA1344" s="17" t="n"/>
      <c r="AB1344" s="17" t="n"/>
      <c r="AC1344" s="24">
        <f>IF($G1344="","",IF($H1344="※编码不在物料档案里","※物料编码不在档案里",IF(N($K1344)&lt;=0,"※入库数量要大于 0",IF(AND($C1344&lt;&gt;"",$C1344&lt;=结账锁),"※日期早于已结账截止日，不能再录",IF(AND($L1344=0,$X1344="正常"),"※没填单价，价格状态请选「待补价」",IF(AND($S1344&gt;0,$R1344&gt;0),"△本批有 "&amp;$S1344&amp;" 行没单价，整批运费先挂账没摊",IF(AND($B1344&lt;&gt;"",COUNTIF($B$4:$B$2503,$B1344)&gt;1),"※入库单号重复","")))))))</f>
        <v/>
      </c>
    </row>
    <row r="1345">
      <c r="A1345" s="24">
        <f>IF($G1345="","",COUNTA($G$4:$G1345))</f>
        <v/>
      </c>
      <c r="B1345" s="17" t="n"/>
      <c r="C1345" s="30" t="n"/>
      <c r="D1345" s="17" t="n"/>
      <c r="E1345" s="17" t="n"/>
      <c r="F1345" s="17" t="n"/>
      <c r="G1345" s="17" t="n"/>
      <c r="H1345" s="24">
        <f>IF($G1345="","",IFERROR(VLOOKUP($G1345,物料档案!$A$4:$P$1203,3,0),"※编码不在物料档案里"))</f>
        <v/>
      </c>
      <c r="I1345" s="24">
        <f>IF($G1345="","",IFERROR(VLOOKUP($G1345,物料档案!$A$4:$P$1203,4,0),"※编码不在物料档案里"))</f>
        <v/>
      </c>
      <c r="J1345" s="24">
        <f>IF($G1345="","",IFERROR(VLOOKUP($G1345,物料档案!$A$4:$P$1203,5,0),"※编码不在物料档案里"))</f>
        <v/>
      </c>
      <c r="K1345" s="23" t="n"/>
      <c r="L1345" s="31" t="n"/>
      <c r="M1345" s="24">
        <f>IF($G1345="","",IF($D1345="A国内","CNY","TZS"))</f>
        <v/>
      </c>
      <c r="N1345" s="28">
        <f>IF($G1345="","",IF($D1345="A国内",汇率,1))</f>
        <v/>
      </c>
      <c r="O1345" s="25">
        <f>IF($G1345="","",ROUND(N($K1345)*N($L1345),2))</f>
        <v/>
      </c>
      <c r="P1345" s="26">
        <f>IF($G1345="","",ROUND($O1345*$N1345,0))</f>
        <v/>
      </c>
      <c r="Q1345" s="26">
        <f>IF($G1345="","",SUMIFS($P$4:$P$2503,$E$4:$E$2503,$E1345,$Z$4:$Z$2503,"正常"))</f>
        <v/>
      </c>
      <c r="R1345" s="26">
        <f>IF($G1345="","",SUMIFS(费用台账!$I$4:$I$503,费用台账!$C$4:$C$503,$E1345,费用台账!$J$4:$J$503,"是",费用台账!$K$4:$K$503,"正常"))</f>
        <v/>
      </c>
      <c r="S1345" s="28">
        <f>IF($G1345="","",COUNTIFS($E$4:$E$2503,$E1345,$Z$4:$Z$2503,"正常",$Y$4:$Y$2503,"待补价"))</f>
        <v/>
      </c>
      <c r="T1345" s="26">
        <f>IF($G1345="","",SUMIFS($P$4:$P$2503,$E$4:$E$2503,$E1345,$Z$4:$Z$2503,"正常",$A$4:$A$2503,"&lt;="&amp;$A1345))</f>
        <v/>
      </c>
      <c r="U1345" s="26">
        <f>IF($G1345="","",IF(OR($S1345&gt;0,$Q1345=0,$R1345=0,$Z1345&lt;&gt;"正常"),0,ROUND($T1345/$Q1345*$R1345,0)-ROUND(($T1345-$P1345)/$Q1345*$R1345,0)))</f>
        <v/>
      </c>
      <c r="V1345" s="26">
        <f>IF($G1345="","",ROUND($P1345+$U1345,0))</f>
        <v/>
      </c>
      <c r="W1345" s="26">
        <f>IF($G1345="","",IF(N($K1345)=0,0,ROUND($V1345/$K1345,2)))</f>
        <v/>
      </c>
      <c r="X1345" s="17" t="n"/>
      <c r="Y1345" s="17" t="n"/>
      <c r="Z1345" s="17" t="n"/>
      <c r="AA1345" s="17" t="n"/>
      <c r="AB1345" s="17" t="n"/>
      <c r="AC1345" s="24">
        <f>IF($G1345="","",IF($H1345="※编码不在物料档案里","※物料编码不在档案里",IF(N($K1345)&lt;=0,"※入库数量要大于 0",IF(AND($C1345&lt;&gt;"",$C1345&lt;=结账锁),"※日期早于已结账截止日，不能再录",IF(AND($L1345=0,$X1345="正常"),"※没填单价，价格状态请选「待补价」",IF(AND($S1345&gt;0,$R1345&gt;0),"△本批有 "&amp;$S1345&amp;" 行没单价，整批运费先挂账没摊",IF(AND($B1345&lt;&gt;"",COUNTIF($B$4:$B$2503,$B1345)&gt;1),"※入库单号重复","")))))))</f>
        <v/>
      </c>
    </row>
    <row r="1346">
      <c r="A1346" s="24">
        <f>IF($G1346="","",COUNTA($G$4:$G1346))</f>
        <v/>
      </c>
      <c r="B1346" s="17" t="n"/>
      <c r="C1346" s="30" t="n"/>
      <c r="D1346" s="17" t="n"/>
      <c r="E1346" s="17" t="n"/>
      <c r="F1346" s="17" t="n"/>
      <c r="G1346" s="17" t="n"/>
      <c r="H1346" s="24">
        <f>IF($G1346="","",IFERROR(VLOOKUP($G1346,物料档案!$A$4:$P$1203,3,0),"※编码不在物料档案里"))</f>
        <v/>
      </c>
      <c r="I1346" s="24">
        <f>IF($G1346="","",IFERROR(VLOOKUP($G1346,物料档案!$A$4:$P$1203,4,0),"※编码不在物料档案里"))</f>
        <v/>
      </c>
      <c r="J1346" s="24">
        <f>IF($G1346="","",IFERROR(VLOOKUP($G1346,物料档案!$A$4:$P$1203,5,0),"※编码不在物料档案里"))</f>
        <v/>
      </c>
      <c r="K1346" s="23" t="n"/>
      <c r="L1346" s="31" t="n"/>
      <c r="M1346" s="24">
        <f>IF($G1346="","",IF($D1346="A国内","CNY","TZS"))</f>
        <v/>
      </c>
      <c r="N1346" s="28">
        <f>IF($G1346="","",IF($D1346="A国内",汇率,1))</f>
        <v/>
      </c>
      <c r="O1346" s="25">
        <f>IF($G1346="","",ROUND(N($K1346)*N($L1346),2))</f>
        <v/>
      </c>
      <c r="P1346" s="26">
        <f>IF($G1346="","",ROUND($O1346*$N1346,0))</f>
        <v/>
      </c>
      <c r="Q1346" s="26">
        <f>IF($G1346="","",SUMIFS($P$4:$P$2503,$E$4:$E$2503,$E1346,$Z$4:$Z$2503,"正常"))</f>
        <v/>
      </c>
      <c r="R1346" s="26">
        <f>IF($G1346="","",SUMIFS(费用台账!$I$4:$I$503,费用台账!$C$4:$C$503,$E1346,费用台账!$J$4:$J$503,"是",费用台账!$K$4:$K$503,"正常"))</f>
        <v/>
      </c>
      <c r="S1346" s="28">
        <f>IF($G1346="","",COUNTIFS($E$4:$E$2503,$E1346,$Z$4:$Z$2503,"正常",$Y$4:$Y$2503,"待补价"))</f>
        <v/>
      </c>
      <c r="T1346" s="26">
        <f>IF($G1346="","",SUMIFS($P$4:$P$2503,$E$4:$E$2503,$E1346,$Z$4:$Z$2503,"正常",$A$4:$A$2503,"&lt;="&amp;$A1346))</f>
        <v/>
      </c>
      <c r="U1346" s="26">
        <f>IF($G1346="","",IF(OR($S1346&gt;0,$Q1346=0,$R1346=0,$Z1346&lt;&gt;"正常"),0,ROUND($T1346/$Q1346*$R1346,0)-ROUND(($T1346-$P1346)/$Q1346*$R1346,0)))</f>
        <v/>
      </c>
      <c r="V1346" s="26">
        <f>IF($G1346="","",ROUND($P1346+$U1346,0))</f>
        <v/>
      </c>
      <c r="W1346" s="26">
        <f>IF($G1346="","",IF(N($K1346)=0,0,ROUND($V1346/$K1346,2)))</f>
        <v/>
      </c>
      <c r="X1346" s="17" t="n"/>
      <c r="Y1346" s="17" t="n"/>
      <c r="Z1346" s="17" t="n"/>
      <c r="AA1346" s="17" t="n"/>
      <c r="AB1346" s="17" t="n"/>
      <c r="AC1346" s="24">
        <f>IF($G1346="","",IF($H1346="※编码不在物料档案里","※物料编码不在档案里",IF(N($K1346)&lt;=0,"※入库数量要大于 0",IF(AND($C1346&lt;&gt;"",$C1346&lt;=结账锁),"※日期早于已结账截止日，不能再录",IF(AND($L1346=0,$X1346="正常"),"※没填单价，价格状态请选「待补价」",IF(AND($S1346&gt;0,$R1346&gt;0),"△本批有 "&amp;$S1346&amp;" 行没单价，整批运费先挂账没摊",IF(AND($B1346&lt;&gt;"",COUNTIF($B$4:$B$2503,$B1346)&gt;1),"※入库单号重复","")))))))</f>
        <v/>
      </c>
    </row>
    <row r="1347">
      <c r="A1347" s="24">
        <f>IF($G1347="","",COUNTA($G$4:$G1347))</f>
        <v/>
      </c>
      <c r="B1347" s="17" t="n"/>
      <c r="C1347" s="30" t="n"/>
      <c r="D1347" s="17" t="n"/>
      <c r="E1347" s="17" t="n"/>
      <c r="F1347" s="17" t="n"/>
      <c r="G1347" s="17" t="n"/>
      <c r="H1347" s="24">
        <f>IF($G1347="","",IFERROR(VLOOKUP($G1347,物料档案!$A$4:$P$1203,3,0),"※编码不在物料档案里"))</f>
        <v/>
      </c>
      <c r="I1347" s="24">
        <f>IF($G1347="","",IFERROR(VLOOKUP($G1347,物料档案!$A$4:$P$1203,4,0),"※编码不在物料档案里"))</f>
        <v/>
      </c>
      <c r="J1347" s="24">
        <f>IF($G1347="","",IFERROR(VLOOKUP($G1347,物料档案!$A$4:$P$1203,5,0),"※编码不在物料档案里"))</f>
        <v/>
      </c>
      <c r="K1347" s="23" t="n"/>
      <c r="L1347" s="31" t="n"/>
      <c r="M1347" s="24">
        <f>IF($G1347="","",IF($D1347="A国内","CNY","TZS"))</f>
        <v/>
      </c>
      <c r="N1347" s="28">
        <f>IF($G1347="","",IF($D1347="A国内",汇率,1))</f>
        <v/>
      </c>
      <c r="O1347" s="25">
        <f>IF($G1347="","",ROUND(N($K1347)*N($L1347),2))</f>
        <v/>
      </c>
      <c r="P1347" s="26">
        <f>IF($G1347="","",ROUND($O1347*$N1347,0))</f>
        <v/>
      </c>
      <c r="Q1347" s="26">
        <f>IF($G1347="","",SUMIFS($P$4:$P$2503,$E$4:$E$2503,$E1347,$Z$4:$Z$2503,"正常"))</f>
        <v/>
      </c>
      <c r="R1347" s="26">
        <f>IF($G1347="","",SUMIFS(费用台账!$I$4:$I$503,费用台账!$C$4:$C$503,$E1347,费用台账!$J$4:$J$503,"是",费用台账!$K$4:$K$503,"正常"))</f>
        <v/>
      </c>
      <c r="S1347" s="28">
        <f>IF($G1347="","",COUNTIFS($E$4:$E$2503,$E1347,$Z$4:$Z$2503,"正常",$Y$4:$Y$2503,"待补价"))</f>
        <v/>
      </c>
      <c r="T1347" s="26">
        <f>IF($G1347="","",SUMIFS($P$4:$P$2503,$E$4:$E$2503,$E1347,$Z$4:$Z$2503,"正常",$A$4:$A$2503,"&lt;="&amp;$A1347))</f>
        <v/>
      </c>
      <c r="U1347" s="26">
        <f>IF($G1347="","",IF(OR($S1347&gt;0,$Q1347=0,$R1347=0,$Z1347&lt;&gt;"正常"),0,ROUND($T1347/$Q1347*$R1347,0)-ROUND(($T1347-$P1347)/$Q1347*$R1347,0)))</f>
        <v/>
      </c>
      <c r="V1347" s="26">
        <f>IF($G1347="","",ROUND($P1347+$U1347,0))</f>
        <v/>
      </c>
      <c r="W1347" s="26">
        <f>IF($G1347="","",IF(N($K1347)=0,0,ROUND($V1347/$K1347,2)))</f>
        <v/>
      </c>
      <c r="X1347" s="17" t="n"/>
      <c r="Y1347" s="17" t="n"/>
      <c r="Z1347" s="17" t="n"/>
      <c r="AA1347" s="17" t="n"/>
      <c r="AB1347" s="17" t="n"/>
      <c r="AC1347" s="24">
        <f>IF($G1347="","",IF($H1347="※编码不在物料档案里","※物料编码不在档案里",IF(N($K1347)&lt;=0,"※入库数量要大于 0",IF(AND($C1347&lt;&gt;"",$C1347&lt;=结账锁),"※日期早于已结账截止日，不能再录",IF(AND($L1347=0,$X1347="正常"),"※没填单价，价格状态请选「待补价」",IF(AND($S1347&gt;0,$R1347&gt;0),"△本批有 "&amp;$S1347&amp;" 行没单价，整批运费先挂账没摊",IF(AND($B1347&lt;&gt;"",COUNTIF($B$4:$B$2503,$B1347)&gt;1),"※入库单号重复","")))))))</f>
        <v/>
      </c>
    </row>
    <row r="1348">
      <c r="A1348" s="24">
        <f>IF($G1348="","",COUNTA($G$4:$G1348))</f>
        <v/>
      </c>
      <c r="B1348" s="17" t="n"/>
      <c r="C1348" s="30" t="n"/>
      <c r="D1348" s="17" t="n"/>
      <c r="E1348" s="17" t="n"/>
      <c r="F1348" s="17" t="n"/>
      <c r="G1348" s="17" t="n"/>
      <c r="H1348" s="24">
        <f>IF($G1348="","",IFERROR(VLOOKUP($G1348,物料档案!$A$4:$P$1203,3,0),"※编码不在物料档案里"))</f>
        <v/>
      </c>
      <c r="I1348" s="24">
        <f>IF($G1348="","",IFERROR(VLOOKUP($G1348,物料档案!$A$4:$P$1203,4,0),"※编码不在物料档案里"))</f>
        <v/>
      </c>
      <c r="J1348" s="24">
        <f>IF($G1348="","",IFERROR(VLOOKUP($G1348,物料档案!$A$4:$P$1203,5,0),"※编码不在物料档案里"))</f>
        <v/>
      </c>
      <c r="K1348" s="23" t="n"/>
      <c r="L1348" s="31" t="n"/>
      <c r="M1348" s="24">
        <f>IF($G1348="","",IF($D1348="A国内","CNY","TZS"))</f>
        <v/>
      </c>
      <c r="N1348" s="28">
        <f>IF($G1348="","",IF($D1348="A国内",汇率,1))</f>
        <v/>
      </c>
      <c r="O1348" s="25">
        <f>IF($G1348="","",ROUND(N($K1348)*N($L1348),2))</f>
        <v/>
      </c>
      <c r="P1348" s="26">
        <f>IF($G1348="","",ROUND($O1348*$N1348,0))</f>
        <v/>
      </c>
      <c r="Q1348" s="26">
        <f>IF($G1348="","",SUMIFS($P$4:$P$2503,$E$4:$E$2503,$E1348,$Z$4:$Z$2503,"正常"))</f>
        <v/>
      </c>
      <c r="R1348" s="26">
        <f>IF($G1348="","",SUMIFS(费用台账!$I$4:$I$503,费用台账!$C$4:$C$503,$E1348,费用台账!$J$4:$J$503,"是",费用台账!$K$4:$K$503,"正常"))</f>
        <v/>
      </c>
      <c r="S1348" s="28">
        <f>IF($G1348="","",COUNTIFS($E$4:$E$2503,$E1348,$Z$4:$Z$2503,"正常",$Y$4:$Y$2503,"待补价"))</f>
        <v/>
      </c>
      <c r="T1348" s="26">
        <f>IF($G1348="","",SUMIFS($P$4:$P$2503,$E$4:$E$2503,$E1348,$Z$4:$Z$2503,"正常",$A$4:$A$2503,"&lt;="&amp;$A1348))</f>
        <v/>
      </c>
      <c r="U1348" s="26">
        <f>IF($G1348="","",IF(OR($S1348&gt;0,$Q1348=0,$R1348=0,$Z1348&lt;&gt;"正常"),0,ROUND($T1348/$Q1348*$R1348,0)-ROUND(($T1348-$P1348)/$Q1348*$R1348,0)))</f>
        <v/>
      </c>
      <c r="V1348" s="26">
        <f>IF($G1348="","",ROUND($P1348+$U1348,0))</f>
        <v/>
      </c>
      <c r="W1348" s="26">
        <f>IF($G1348="","",IF(N($K1348)=0,0,ROUND($V1348/$K1348,2)))</f>
        <v/>
      </c>
      <c r="X1348" s="17" t="n"/>
      <c r="Y1348" s="17" t="n"/>
      <c r="Z1348" s="17" t="n"/>
      <c r="AA1348" s="17" t="n"/>
      <c r="AB1348" s="17" t="n"/>
      <c r="AC1348" s="24">
        <f>IF($G1348="","",IF($H1348="※编码不在物料档案里","※物料编码不在档案里",IF(N($K1348)&lt;=0,"※入库数量要大于 0",IF(AND($C1348&lt;&gt;"",$C1348&lt;=结账锁),"※日期早于已结账截止日，不能再录",IF(AND($L1348=0,$X1348="正常"),"※没填单价，价格状态请选「待补价」",IF(AND($S1348&gt;0,$R1348&gt;0),"△本批有 "&amp;$S1348&amp;" 行没单价，整批运费先挂账没摊",IF(AND($B1348&lt;&gt;"",COUNTIF($B$4:$B$2503,$B1348)&gt;1),"※入库单号重复","")))))))</f>
        <v/>
      </c>
    </row>
    <row r="1349">
      <c r="A1349" s="24">
        <f>IF($G1349="","",COUNTA($G$4:$G1349))</f>
        <v/>
      </c>
      <c r="B1349" s="17" t="n"/>
      <c r="C1349" s="30" t="n"/>
      <c r="D1349" s="17" t="n"/>
      <c r="E1349" s="17" t="n"/>
      <c r="F1349" s="17" t="n"/>
      <c r="G1349" s="17" t="n"/>
      <c r="H1349" s="24">
        <f>IF($G1349="","",IFERROR(VLOOKUP($G1349,物料档案!$A$4:$P$1203,3,0),"※编码不在物料档案里"))</f>
        <v/>
      </c>
      <c r="I1349" s="24">
        <f>IF($G1349="","",IFERROR(VLOOKUP($G1349,物料档案!$A$4:$P$1203,4,0),"※编码不在物料档案里"))</f>
        <v/>
      </c>
      <c r="J1349" s="24">
        <f>IF($G1349="","",IFERROR(VLOOKUP($G1349,物料档案!$A$4:$P$1203,5,0),"※编码不在物料档案里"))</f>
        <v/>
      </c>
      <c r="K1349" s="23" t="n"/>
      <c r="L1349" s="31" t="n"/>
      <c r="M1349" s="24">
        <f>IF($G1349="","",IF($D1349="A国内","CNY","TZS"))</f>
        <v/>
      </c>
      <c r="N1349" s="28">
        <f>IF($G1349="","",IF($D1349="A国内",汇率,1))</f>
        <v/>
      </c>
      <c r="O1349" s="25">
        <f>IF($G1349="","",ROUND(N($K1349)*N($L1349),2))</f>
        <v/>
      </c>
      <c r="P1349" s="26">
        <f>IF($G1349="","",ROUND($O1349*$N1349,0))</f>
        <v/>
      </c>
      <c r="Q1349" s="26">
        <f>IF($G1349="","",SUMIFS($P$4:$P$2503,$E$4:$E$2503,$E1349,$Z$4:$Z$2503,"正常"))</f>
        <v/>
      </c>
      <c r="R1349" s="26">
        <f>IF($G1349="","",SUMIFS(费用台账!$I$4:$I$503,费用台账!$C$4:$C$503,$E1349,费用台账!$J$4:$J$503,"是",费用台账!$K$4:$K$503,"正常"))</f>
        <v/>
      </c>
      <c r="S1349" s="28">
        <f>IF($G1349="","",COUNTIFS($E$4:$E$2503,$E1349,$Z$4:$Z$2503,"正常",$Y$4:$Y$2503,"待补价"))</f>
        <v/>
      </c>
      <c r="T1349" s="26">
        <f>IF($G1349="","",SUMIFS($P$4:$P$2503,$E$4:$E$2503,$E1349,$Z$4:$Z$2503,"正常",$A$4:$A$2503,"&lt;="&amp;$A1349))</f>
        <v/>
      </c>
      <c r="U1349" s="26">
        <f>IF($G1349="","",IF(OR($S1349&gt;0,$Q1349=0,$R1349=0,$Z1349&lt;&gt;"正常"),0,ROUND($T1349/$Q1349*$R1349,0)-ROUND(($T1349-$P1349)/$Q1349*$R1349,0)))</f>
        <v/>
      </c>
      <c r="V1349" s="26">
        <f>IF($G1349="","",ROUND($P1349+$U1349,0))</f>
        <v/>
      </c>
      <c r="W1349" s="26">
        <f>IF($G1349="","",IF(N($K1349)=0,0,ROUND($V1349/$K1349,2)))</f>
        <v/>
      </c>
      <c r="X1349" s="17" t="n"/>
      <c r="Y1349" s="17" t="n"/>
      <c r="Z1349" s="17" t="n"/>
      <c r="AA1349" s="17" t="n"/>
      <c r="AB1349" s="17" t="n"/>
      <c r="AC1349" s="24">
        <f>IF($G1349="","",IF($H1349="※编码不在物料档案里","※物料编码不在档案里",IF(N($K1349)&lt;=0,"※入库数量要大于 0",IF(AND($C1349&lt;&gt;"",$C1349&lt;=结账锁),"※日期早于已结账截止日，不能再录",IF(AND($L1349=0,$X1349="正常"),"※没填单价，价格状态请选「待补价」",IF(AND($S1349&gt;0,$R1349&gt;0),"△本批有 "&amp;$S1349&amp;" 行没单价，整批运费先挂账没摊",IF(AND($B1349&lt;&gt;"",COUNTIF($B$4:$B$2503,$B1349)&gt;1),"※入库单号重复","")))))))</f>
        <v/>
      </c>
    </row>
    <row r="1350">
      <c r="A1350" s="24">
        <f>IF($G1350="","",COUNTA($G$4:$G1350))</f>
        <v/>
      </c>
      <c r="B1350" s="17" t="n"/>
      <c r="C1350" s="30" t="n"/>
      <c r="D1350" s="17" t="n"/>
      <c r="E1350" s="17" t="n"/>
      <c r="F1350" s="17" t="n"/>
      <c r="G1350" s="17" t="n"/>
      <c r="H1350" s="24">
        <f>IF($G1350="","",IFERROR(VLOOKUP($G1350,物料档案!$A$4:$P$1203,3,0),"※编码不在物料档案里"))</f>
        <v/>
      </c>
      <c r="I1350" s="24">
        <f>IF($G1350="","",IFERROR(VLOOKUP($G1350,物料档案!$A$4:$P$1203,4,0),"※编码不在物料档案里"))</f>
        <v/>
      </c>
      <c r="J1350" s="24">
        <f>IF($G1350="","",IFERROR(VLOOKUP($G1350,物料档案!$A$4:$P$1203,5,0),"※编码不在物料档案里"))</f>
        <v/>
      </c>
      <c r="K1350" s="23" t="n"/>
      <c r="L1350" s="31" t="n"/>
      <c r="M1350" s="24">
        <f>IF($G1350="","",IF($D1350="A国内","CNY","TZS"))</f>
        <v/>
      </c>
      <c r="N1350" s="28">
        <f>IF($G1350="","",IF($D1350="A国内",汇率,1))</f>
        <v/>
      </c>
      <c r="O1350" s="25">
        <f>IF($G1350="","",ROUND(N($K1350)*N($L1350),2))</f>
        <v/>
      </c>
      <c r="P1350" s="26">
        <f>IF($G1350="","",ROUND($O1350*$N1350,0))</f>
        <v/>
      </c>
      <c r="Q1350" s="26">
        <f>IF($G1350="","",SUMIFS($P$4:$P$2503,$E$4:$E$2503,$E1350,$Z$4:$Z$2503,"正常"))</f>
        <v/>
      </c>
      <c r="R1350" s="26">
        <f>IF($G1350="","",SUMIFS(费用台账!$I$4:$I$503,费用台账!$C$4:$C$503,$E1350,费用台账!$J$4:$J$503,"是",费用台账!$K$4:$K$503,"正常"))</f>
        <v/>
      </c>
      <c r="S1350" s="28">
        <f>IF($G1350="","",COUNTIFS($E$4:$E$2503,$E1350,$Z$4:$Z$2503,"正常",$Y$4:$Y$2503,"待补价"))</f>
        <v/>
      </c>
      <c r="T1350" s="26">
        <f>IF($G1350="","",SUMIFS($P$4:$P$2503,$E$4:$E$2503,$E1350,$Z$4:$Z$2503,"正常",$A$4:$A$2503,"&lt;="&amp;$A1350))</f>
        <v/>
      </c>
      <c r="U1350" s="26">
        <f>IF($G1350="","",IF(OR($S1350&gt;0,$Q1350=0,$R1350=0,$Z1350&lt;&gt;"正常"),0,ROUND($T1350/$Q1350*$R1350,0)-ROUND(($T1350-$P1350)/$Q1350*$R1350,0)))</f>
        <v/>
      </c>
      <c r="V1350" s="26">
        <f>IF($G1350="","",ROUND($P1350+$U1350,0))</f>
        <v/>
      </c>
      <c r="W1350" s="26">
        <f>IF($G1350="","",IF(N($K1350)=0,0,ROUND($V1350/$K1350,2)))</f>
        <v/>
      </c>
      <c r="X1350" s="17" t="n"/>
      <c r="Y1350" s="17" t="n"/>
      <c r="Z1350" s="17" t="n"/>
      <c r="AA1350" s="17" t="n"/>
      <c r="AB1350" s="17" t="n"/>
      <c r="AC1350" s="24">
        <f>IF($G1350="","",IF($H1350="※编码不在物料档案里","※物料编码不在档案里",IF(N($K1350)&lt;=0,"※入库数量要大于 0",IF(AND($C1350&lt;&gt;"",$C1350&lt;=结账锁),"※日期早于已结账截止日，不能再录",IF(AND($L1350=0,$X1350="正常"),"※没填单价，价格状态请选「待补价」",IF(AND($S1350&gt;0,$R1350&gt;0),"△本批有 "&amp;$S1350&amp;" 行没单价，整批运费先挂账没摊",IF(AND($B1350&lt;&gt;"",COUNTIF($B$4:$B$2503,$B1350)&gt;1),"※入库单号重复","")))))))</f>
        <v/>
      </c>
    </row>
    <row r="1351">
      <c r="A1351" s="24">
        <f>IF($G1351="","",COUNTA($G$4:$G1351))</f>
        <v/>
      </c>
      <c r="B1351" s="17" t="n"/>
      <c r="C1351" s="30" t="n"/>
      <c r="D1351" s="17" t="n"/>
      <c r="E1351" s="17" t="n"/>
      <c r="F1351" s="17" t="n"/>
      <c r="G1351" s="17" t="n"/>
      <c r="H1351" s="24">
        <f>IF($G1351="","",IFERROR(VLOOKUP($G1351,物料档案!$A$4:$P$1203,3,0),"※编码不在物料档案里"))</f>
        <v/>
      </c>
      <c r="I1351" s="24">
        <f>IF($G1351="","",IFERROR(VLOOKUP($G1351,物料档案!$A$4:$P$1203,4,0),"※编码不在物料档案里"))</f>
        <v/>
      </c>
      <c r="J1351" s="24">
        <f>IF($G1351="","",IFERROR(VLOOKUP($G1351,物料档案!$A$4:$P$1203,5,0),"※编码不在物料档案里"))</f>
        <v/>
      </c>
      <c r="K1351" s="23" t="n"/>
      <c r="L1351" s="31" t="n"/>
      <c r="M1351" s="24">
        <f>IF($G1351="","",IF($D1351="A国内","CNY","TZS"))</f>
        <v/>
      </c>
      <c r="N1351" s="28">
        <f>IF($G1351="","",IF($D1351="A国内",汇率,1))</f>
        <v/>
      </c>
      <c r="O1351" s="25">
        <f>IF($G1351="","",ROUND(N($K1351)*N($L1351),2))</f>
        <v/>
      </c>
      <c r="P1351" s="26">
        <f>IF($G1351="","",ROUND($O1351*$N1351,0))</f>
        <v/>
      </c>
      <c r="Q1351" s="26">
        <f>IF($G1351="","",SUMIFS($P$4:$P$2503,$E$4:$E$2503,$E1351,$Z$4:$Z$2503,"正常"))</f>
        <v/>
      </c>
      <c r="R1351" s="26">
        <f>IF($G1351="","",SUMIFS(费用台账!$I$4:$I$503,费用台账!$C$4:$C$503,$E1351,费用台账!$J$4:$J$503,"是",费用台账!$K$4:$K$503,"正常"))</f>
        <v/>
      </c>
      <c r="S1351" s="28">
        <f>IF($G1351="","",COUNTIFS($E$4:$E$2503,$E1351,$Z$4:$Z$2503,"正常",$Y$4:$Y$2503,"待补价"))</f>
        <v/>
      </c>
      <c r="T1351" s="26">
        <f>IF($G1351="","",SUMIFS($P$4:$P$2503,$E$4:$E$2503,$E1351,$Z$4:$Z$2503,"正常",$A$4:$A$2503,"&lt;="&amp;$A1351))</f>
        <v/>
      </c>
      <c r="U1351" s="26">
        <f>IF($G1351="","",IF(OR($S1351&gt;0,$Q1351=0,$R1351=0,$Z1351&lt;&gt;"正常"),0,ROUND($T1351/$Q1351*$R1351,0)-ROUND(($T1351-$P1351)/$Q1351*$R1351,0)))</f>
        <v/>
      </c>
      <c r="V1351" s="26">
        <f>IF($G1351="","",ROUND($P1351+$U1351,0))</f>
        <v/>
      </c>
      <c r="W1351" s="26">
        <f>IF($G1351="","",IF(N($K1351)=0,0,ROUND($V1351/$K1351,2)))</f>
        <v/>
      </c>
      <c r="X1351" s="17" t="n"/>
      <c r="Y1351" s="17" t="n"/>
      <c r="Z1351" s="17" t="n"/>
      <c r="AA1351" s="17" t="n"/>
      <c r="AB1351" s="17" t="n"/>
      <c r="AC1351" s="24">
        <f>IF($G1351="","",IF($H1351="※编码不在物料档案里","※物料编码不在档案里",IF(N($K1351)&lt;=0,"※入库数量要大于 0",IF(AND($C1351&lt;&gt;"",$C1351&lt;=结账锁),"※日期早于已结账截止日，不能再录",IF(AND($L1351=0,$X1351="正常"),"※没填单价，价格状态请选「待补价」",IF(AND($S1351&gt;0,$R1351&gt;0),"△本批有 "&amp;$S1351&amp;" 行没单价，整批运费先挂账没摊",IF(AND($B1351&lt;&gt;"",COUNTIF($B$4:$B$2503,$B1351)&gt;1),"※入库单号重复","")))))))</f>
        <v/>
      </c>
    </row>
    <row r="1352">
      <c r="A1352" s="24">
        <f>IF($G1352="","",COUNTA($G$4:$G1352))</f>
        <v/>
      </c>
      <c r="B1352" s="17" t="n"/>
      <c r="C1352" s="30" t="n"/>
      <c r="D1352" s="17" t="n"/>
      <c r="E1352" s="17" t="n"/>
      <c r="F1352" s="17" t="n"/>
      <c r="G1352" s="17" t="n"/>
      <c r="H1352" s="24">
        <f>IF($G1352="","",IFERROR(VLOOKUP($G1352,物料档案!$A$4:$P$1203,3,0),"※编码不在物料档案里"))</f>
        <v/>
      </c>
      <c r="I1352" s="24">
        <f>IF($G1352="","",IFERROR(VLOOKUP($G1352,物料档案!$A$4:$P$1203,4,0),"※编码不在物料档案里"))</f>
        <v/>
      </c>
      <c r="J1352" s="24">
        <f>IF($G1352="","",IFERROR(VLOOKUP($G1352,物料档案!$A$4:$P$1203,5,0),"※编码不在物料档案里"))</f>
        <v/>
      </c>
      <c r="K1352" s="23" t="n"/>
      <c r="L1352" s="31" t="n"/>
      <c r="M1352" s="24">
        <f>IF($G1352="","",IF($D1352="A国内","CNY","TZS"))</f>
        <v/>
      </c>
      <c r="N1352" s="28">
        <f>IF($G1352="","",IF($D1352="A国内",汇率,1))</f>
        <v/>
      </c>
      <c r="O1352" s="25">
        <f>IF($G1352="","",ROUND(N($K1352)*N($L1352),2))</f>
        <v/>
      </c>
      <c r="P1352" s="26">
        <f>IF($G1352="","",ROUND($O1352*$N1352,0))</f>
        <v/>
      </c>
      <c r="Q1352" s="26">
        <f>IF($G1352="","",SUMIFS($P$4:$P$2503,$E$4:$E$2503,$E1352,$Z$4:$Z$2503,"正常"))</f>
        <v/>
      </c>
      <c r="R1352" s="26">
        <f>IF($G1352="","",SUMIFS(费用台账!$I$4:$I$503,费用台账!$C$4:$C$503,$E1352,费用台账!$J$4:$J$503,"是",费用台账!$K$4:$K$503,"正常"))</f>
        <v/>
      </c>
      <c r="S1352" s="28">
        <f>IF($G1352="","",COUNTIFS($E$4:$E$2503,$E1352,$Z$4:$Z$2503,"正常",$Y$4:$Y$2503,"待补价"))</f>
        <v/>
      </c>
      <c r="T1352" s="26">
        <f>IF($G1352="","",SUMIFS($P$4:$P$2503,$E$4:$E$2503,$E1352,$Z$4:$Z$2503,"正常",$A$4:$A$2503,"&lt;="&amp;$A1352))</f>
        <v/>
      </c>
      <c r="U1352" s="26">
        <f>IF($G1352="","",IF(OR($S1352&gt;0,$Q1352=0,$R1352=0,$Z1352&lt;&gt;"正常"),0,ROUND($T1352/$Q1352*$R1352,0)-ROUND(($T1352-$P1352)/$Q1352*$R1352,0)))</f>
        <v/>
      </c>
      <c r="V1352" s="26">
        <f>IF($G1352="","",ROUND($P1352+$U1352,0))</f>
        <v/>
      </c>
      <c r="W1352" s="26">
        <f>IF($G1352="","",IF(N($K1352)=0,0,ROUND($V1352/$K1352,2)))</f>
        <v/>
      </c>
      <c r="X1352" s="17" t="n"/>
      <c r="Y1352" s="17" t="n"/>
      <c r="Z1352" s="17" t="n"/>
      <c r="AA1352" s="17" t="n"/>
      <c r="AB1352" s="17" t="n"/>
      <c r="AC1352" s="24">
        <f>IF($G1352="","",IF($H1352="※编码不在物料档案里","※物料编码不在档案里",IF(N($K1352)&lt;=0,"※入库数量要大于 0",IF(AND($C1352&lt;&gt;"",$C1352&lt;=结账锁),"※日期早于已结账截止日，不能再录",IF(AND($L1352=0,$X1352="正常"),"※没填单价，价格状态请选「待补价」",IF(AND($S1352&gt;0,$R1352&gt;0),"△本批有 "&amp;$S1352&amp;" 行没单价，整批运费先挂账没摊",IF(AND($B1352&lt;&gt;"",COUNTIF($B$4:$B$2503,$B1352)&gt;1),"※入库单号重复","")))))))</f>
        <v/>
      </c>
    </row>
    <row r="1353">
      <c r="A1353" s="24">
        <f>IF($G1353="","",COUNTA($G$4:$G1353))</f>
        <v/>
      </c>
      <c r="B1353" s="17" t="n"/>
      <c r="C1353" s="30" t="n"/>
      <c r="D1353" s="17" t="n"/>
      <c r="E1353" s="17" t="n"/>
      <c r="F1353" s="17" t="n"/>
      <c r="G1353" s="17" t="n"/>
      <c r="H1353" s="24">
        <f>IF($G1353="","",IFERROR(VLOOKUP($G1353,物料档案!$A$4:$P$1203,3,0),"※编码不在物料档案里"))</f>
        <v/>
      </c>
      <c r="I1353" s="24">
        <f>IF($G1353="","",IFERROR(VLOOKUP($G1353,物料档案!$A$4:$P$1203,4,0),"※编码不在物料档案里"))</f>
        <v/>
      </c>
      <c r="J1353" s="24">
        <f>IF($G1353="","",IFERROR(VLOOKUP($G1353,物料档案!$A$4:$P$1203,5,0),"※编码不在物料档案里"))</f>
        <v/>
      </c>
      <c r="K1353" s="23" t="n"/>
      <c r="L1353" s="31" t="n"/>
      <c r="M1353" s="24">
        <f>IF($G1353="","",IF($D1353="A国内","CNY","TZS"))</f>
        <v/>
      </c>
      <c r="N1353" s="28">
        <f>IF($G1353="","",IF($D1353="A国内",汇率,1))</f>
        <v/>
      </c>
      <c r="O1353" s="25">
        <f>IF($G1353="","",ROUND(N($K1353)*N($L1353),2))</f>
        <v/>
      </c>
      <c r="P1353" s="26">
        <f>IF($G1353="","",ROUND($O1353*$N1353,0))</f>
        <v/>
      </c>
      <c r="Q1353" s="26">
        <f>IF($G1353="","",SUMIFS($P$4:$P$2503,$E$4:$E$2503,$E1353,$Z$4:$Z$2503,"正常"))</f>
        <v/>
      </c>
      <c r="R1353" s="26">
        <f>IF($G1353="","",SUMIFS(费用台账!$I$4:$I$503,费用台账!$C$4:$C$503,$E1353,费用台账!$J$4:$J$503,"是",费用台账!$K$4:$K$503,"正常"))</f>
        <v/>
      </c>
      <c r="S1353" s="28">
        <f>IF($G1353="","",COUNTIFS($E$4:$E$2503,$E1353,$Z$4:$Z$2503,"正常",$Y$4:$Y$2503,"待补价"))</f>
        <v/>
      </c>
      <c r="T1353" s="26">
        <f>IF($G1353="","",SUMIFS($P$4:$P$2503,$E$4:$E$2503,$E1353,$Z$4:$Z$2503,"正常",$A$4:$A$2503,"&lt;="&amp;$A1353))</f>
        <v/>
      </c>
      <c r="U1353" s="26">
        <f>IF($G1353="","",IF(OR($S1353&gt;0,$Q1353=0,$R1353=0,$Z1353&lt;&gt;"正常"),0,ROUND($T1353/$Q1353*$R1353,0)-ROUND(($T1353-$P1353)/$Q1353*$R1353,0)))</f>
        <v/>
      </c>
      <c r="V1353" s="26">
        <f>IF($G1353="","",ROUND($P1353+$U1353,0))</f>
        <v/>
      </c>
      <c r="W1353" s="26">
        <f>IF($G1353="","",IF(N($K1353)=0,0,ROUND($V1353/$K1353,2)))</f>
        <v/>
      </c>
      <c r="X1353" s="17" t="n"/>
      <c r="Y1353" s="17" t="n"/>
      <c r="Z1353" s="17" t="n"/>
      <c r="AA1353" s="17" t="n"/>
      <c r="AB1353" s="17" t="n"/>
      <c r="AC1353" s="24">
        <f>IF($G1353="","",IF($H1353="※编码不在物料档案里","※物料编码不在档案里",IF(N($K1353)&lt;=0,"※入库数量要大于 0",IF(AND($C1353&lt;&gt;"",$C1353&lt;=结账锁),"※日期早于已结账截止日，不能再录",IF(AND($L1353=0,$X1353="正常"),"※没填单价，价格状态请选「待补价」",IF(AND($S1353&gt;0,$R1353&gt;0),"△本批有 "&amp;$S1353&amp;" 行没单价，整批运费先挂账没摊",IF(AND($B1353&lt;&gt;"",COUNTIF($B$4:$B$2503,$B1353)&gt;1),"※入库单号重复","")))))))</f>
        <v/>
      </c>
    </row>
    <row r="1354">
      <c r="A1354" s="24">
        <f>IF($G1354="","",COUNTA($G$4:$G1354))</f>
        <v/>
      </c>
      <c r="B1354" s="17" t="n"/>
      <c r="C1354" s="30" t="n"/>
      <c r="D1354" s="17" t="n"/>
      <c r="E1354" s="17" t="n"/>
      <c r="F1354" s="17" t="n"/>
      <c r="G1354" s="17" t="n"/>
      <c r="H1354" s="24">
        <f>IF($G1354="","",IFERROR(VLOOKUP($G1354,物料档案!$A$4:$P$1203,3,0),"※编码不在物料档案里"))</f>
        <v/>
      </c>
      <c r="I1354" s="24">
        <f>IF($G1354="","",IFERROR(VLOOKUP($G1354,物料档案!$A$4:$P$1203,4,0),"※编码不在物料档案里"))</f>
        <v/>
      </c>
      <c r="J1354" s="24">
        <f>IF($G1354="","",IFERROR(VLOOKUP($G1354,物料档案!$A$4:$P$1203,5,0),"※编码不在物料档案里"))</f>
        <v/>
      </c>
      <c r="K1354" s="23" t="n"/>
      <c r="L1354" s="31" t="n"/>
      <c r="M1354" s="24">
        <f>IF($G1354="","",IF($D1354="A国内","CNY","TZS"))</f>
        <v/>
      </c>
      <c r="N1354" s="28">
        <f>IF($G1354="","",IF($D1354="A国内",汇率,1))</f>
        <v/>
      </c>
      <c r="O1354" s="25">
        <f>IF($G1354="","",ROUND(N($K1354)*N($L1354),2))</f>
        <v/>
      </c>
      <c r="P1354" s="26">
        <f>IF($G1354="","",ROUND($O1354*$N1354,0))</f>
        <v/>
      </c>
      <c r="Q1354" s="26">
        <f>IF($G1354="","",SUMIFS($P$4:$P$2503,$E$4:$E$2503,$E1354,$Z$4:$Z$2503,"正常"))</f>
        <v/>
      </c>
      <c r="R1354" s="26">
        <f>IF($G1354="","",SUMIFS(费用台账!$I$4:$I$503,费用台账!$C$4:$C$503,$E1354,费用台账!$J$4:$J$503,"是",费用台账!$K$4:$K$503,"正常"))</f>
        <v/>
      </c>
      <c r="S1354" s="28">
        <f>IF($G1354="","",COUNTIFS($E$4:$E$2503,$E1354,$Z$4:$Z$2503,"正常",$Y$4:$Y$2503,"待补价"))</f>
        <v/>
      </c>
      <c r="T1354" s="26">
        <f>IF($G1354="","",SUMIFS($P$4:$P$2503,$E$4:$E$2503,$E1354,$Z$4:$Z$2503,"正常",$A$4:$A$2503,"&lt;="&amp;$A1354))</f>
        <v/>
      </c>
      <c r="U1354" s="26">
        <f>IF($G1354="","",IF(OR($S1354&gt;0,$Q1354=0,$R1354=0,$Z1354&lt;&gt;"正常"),0,ROUND($T1354/$Q1354*$R1354,0)-ROUND(($T1354-$P1354)/$Q1354*$R1354,0)))</f>
        <v/>
      </c>
      <c r="V1354" s="26">
        <f>IF($G1354="","",ROUND($P1354+$U1354,0))</f>
        <v/>
      </c>
      <c r="W1354" s="26">
        <f>IF($G1354="","",IF(N($K1354)=0,0,ROUND($V1354/$K1354,2)))</f>
        <v/>
      </c>
      <c r="X1354" s="17" t="n"/>
      <c r="Y1354" s="17" t="n"/>
      <c r="Z1354" s="17" t="n"/>
      <c r="AA1354" s="17" t="n"/>
      <c r="AB1354" s="17" t="n"/>
      <c r="AC1354" s="24">
        <f>IF($G1354="","",IF($H1354="※编码不在物料档案里","※物料编码不在档案里",IF(N($K1354)&lt;=0,"※入库数量要大于 0",IF(AND($C1354&lt;&gt;"",$C1354&lt;=结账锁),"※日期早于已结账截止日，不能再录",IF(AND($L1354=0,$X1354="正常"),"※没填单价，价格状态请选「待补价」",IF(AND($S1354&gt;0,$R1354&gt;0),"△本批有 "&amp;$S1354&amp;" 行没单价，整批运费先挂账没摊",IF(AND($B1354&lt;&gt;"",COUNTIF($B$4:$B$2503,$B1354)&gt;1),"※入库单号重复","")))))))</f>
        <v/>
      </c>
    </row>
    <row r="1355">
      <c r="A1355" s="24">
        <f>IF($G1355="","",COUNTA($G$4:$G1355))</f>
        <v/>
      </c>
      <c r="B1355" s="17" t="n"/>
      <c r="C1355" s="30" t="n"/>
      <c r="D1355" s="17" t="n"/>
      <c r="E1355" s="17" t="n"/>
      <c r="F1355" s="17" t="n"/>
      <c r="G1355" s="17" t="n"/>
      <c r="H1355" s="24">
        <f>IF($G1355="","",IFERROR(VLOOKUP($G1355,物料档案!$A$4:$P$1203,3,0),"※编码不在物料档案里"))</f>
        <v/>
      </c>
      <c r="I1355" s="24">
        <f>IF($G1355="","",IFERROR(VLOOKUP($G1355,物料档案!$A$4:$P$1203,4,0),"※编码不在物料档案里"))</f>
        <v/>
      </c>
      <c r="J1355" s="24">
        <f>IF($G1355="","",IFERROR(VLOOKUP($G1355,物料档案!$A$4:$P$1203,5,0),"※编码不在物料档案里"))</f>
        <v/>
      </c>
      <c r="K1355" s="23" t="n"/>
      <c r="L1355" s="31" t="n"/>
      <c r="M1355" s="24">
        <f>IF($G1355="","",IF($D1355="A国内","CNY","TZS"))</f>
        <v/>
      </c>
      <c r="N1355" s="28">
        <f>IF($G1355="","",IF($D1355="A国内",汇率,1))</f>
        <v/>
      </c>
      <c r="O1355" s="25">
        <f>IF($G1355="","",ROUND(N($K1355)*N($L1355),2))</f>
        <v/>
      </c>
      <c r="P1355" s="26">
        <f>IF($G1355="","",ROUND($O1355*$N1355,0))</f>
        <v/>
      </c>
      <c r="Q1355" s="26">
        <f>IF($G1355="","",SUMIFS($P$4:$P$2503,$E$4:$E$2503,$E1355,$Z$4:$Z$2503,"正常"))</f>
        <v/>
      </c>
      <c r="R1355" s="26">
        <f>IF($G1355="","",SUMIFS(费用台账!$I$4:$I$503,费用台账!$C$4:$C$503,$E1355,费用台账!$J$4:$J$503,"是",费用台账!$K$4:$K$503,"正常"))</f>
        <v/>
      </c>
      <c r="S1355" s="28">
        <f>IF($G1355="","",COUNTIFS($E$4:$E$2503,$E1355,$Z$4:$Z$2503,"正常",$Y$4:$Y$2503,"待补价"))</f>
        <v/>
      </c>
      <c r="T1355" s="26">
        <f>IF($G1355="","",SUMIFS($P$4:$P$2503,$E$4:$E$2503,$E1355,$Z$4:$Z$2503,"正常",$A$4:$A$2503,"&lt;="&amp;$A1355))</f>
        <v/>
      </c>
      <c r="U1355" s="26">
        <f>IF($G1355="","",IF(OR($S1355&gt;0,$Q1355=0,$R1355=0,$Z1355&lt;&gt;"正常"),0,ROUND($T1355/$Q1355*$R1355,0)-ROUND(($T1355-$P1355)/$Q1355*$R1355,0)))</f>
        <v/>
      </c>
      <c r="V1355" s="26">
        <f>IF($G1355="","",ROUND($P1355+$U1355,0))</f>
        <v/>
      </c>
      <c r="W1355" s="26">
        <f>IF($G1355="","",IF(N($K1355)=0,0,ROUND($V1355/$K1355,2)))</f>
        <v/>
      </c>
      <c r="X1355" s="17" t="n"/>
      <c r="Y1355" s="17" t="n"/>
      <c r="Z1355" s="17" t="n"/>
      <c r="AA1355" s="17" t="n"/>
      <c r="AB1355" s="17" t="n"/>
      <c r="AC1355" s="24">
        <f>IF($G1355="","",IF($H1355="※编码不在物料档案里","※物料编码不在档案里",IF(N($K1355)&lt;=0,"※入库数量要大于 0",IF(AND($C1355&lt;&gt;"",$C1355&lt;=结账锁),"※日期早于已结账截止日，不能再录",IF(AND($L1355=0,$X1355="正常"),"※没填单价，价格状态请选「待补价」",IF(AND($S1355&gt;0,$R1355&gt;0),"△本批有 "&amp;$S1355&amp;" 行没单价，整批运费先挂账没摊",IF(AND($B1355&lt;&gt;"",COUNTIF($B$4:$B$2503,$B1355)&gt;1),"※入库单号重复","")))))))</f>
        <v/>
      </c>
    </row>
    <row r="1356">
      <c r="A1356" s="24">
        <f>IF($G1356="","",COUNTA($G$4:$G1356))</f>
        <v/>
      </c>
      <c r="B1356" s="17" t="n"/>
      <c r="C1356" s="30" t="n"/>
      <c r="D1356" s="17" t="n"/>
      <c r="E1356" s="17" t="n"/>
      <c r="F1356" s="17" t="n"/>
      <c r="G1356" s="17" t="n"/>
      <c r="H1356" s="24">
        <f>IF($G1356="","",IFERROR(VLOOKUP($G1356,物料档案!$A$4:$P$1203,3,0),"※编码不在物料档案里"))</f>
        <v/>
      </c>
      <c r="I1356" s="24">
        <f>IF($G1356="","",IFERROR(VLOOKUP($G1356,物料档案!$A$4:$P$1203,4,0),"※编码不在物料档案里"))</f>
        <v/>
      </c>
      <c r="J1356" s="24">
        <f>IF($G1356="","",IFERROR(VLOOKUP($G1356,物料档案!$A$4:$P$1203,5,0),"※编码不在物料档案里"))</f>
        <v/>
      </c>
      <c r="K1356" s="23" t="n"/>
      <c r="L1356" s="31" t="n"/>
      <c r="M1356" s="24">
        <f>IF($G1356="","",IF($D1356="A国内","CNY","TZS"))</f>
        <v/>
      </c>
      <c r="N1356" s="28">
        <f>IF($G1356="","",IF($D1356="A国内",汇率,1))</f>
        <v/>
      </c>
      <c r="O1356" s="25">
        <f>IF($G1356="","",ROUND(N($K1356)*N($L1356),2))</f>
        <v/>
      </c>
      <c r="P1356" s="26">
        <f>IF($G1356="","",ROUND($O1356*$N1356,0))</f>
        <v/>
      </c>
      <c r="Q1356" s="26">
        <f>IF($G1356="","",SUMIFS($P$4:$P$2503,$E$4:$E$2503,$E1356,$Z$4:$Z$2503,"正常"))</f>
        <v/>
      </c>
      <c r="R1356" s="26">
        <f>IF($G1356="","",SUMIFS(费用台账!$I$4:$I$503,费用台账!$C$4:$C$503,$E1356,费用台账!$J$4:$J$503,"是",费用台账!$K$4:$K$503,"正常"))</f>
        <v/>
      </c>
      <c r="S1356" s="28">
        <f>IF($G1356="","",COUNTIFS($E$4:$E$2503,$E1356,$Z$4:$Z$2503,"正常",$Y$4:$Y$2503,"待补价"))</f>
        <v/>
      </c>
      <c r="T1356" s="26">
        <f>IF($G1356="","",SUMIFS($P$4:$P$2503,$E$4:$E$2503,$E1356,$Z$4:$Z$2503,"正常",$A$4:$A$2503,"&lt;="&amp;$A1356))</f>
        <v/>
      </c>
      <c r="U1356" s="26">
        <f>IF($G1356="","",IF(OR($S1356&gt;0,$Q1356=0,$R1356=0,$Z1356&lt;&gt;"正常"),0,ROUND($T1356/$Q1356*$R1356,0)-ROUND(($T1356-$P1356)/$Q1356*$R1356,0)))</f>
        <v/>
      </c>
      <c r="V1356" s="26">
        <f>IF($G1356="","",ROUND($P1356+$U1356,0))</f>
        <v/>
      </c>
      <c r="W1356" s="26">
        <f>IF($G1356="","",IF(N($K1356)=0,0,ROUND($V1356/$K1356,2)))</f>
        <v/>
      </c>
      <c r="X1356" s="17" t="n"/>
      <c r="Y1356" s="17" t="n"/>
      <c r="Z1356" s="17" t="n"/>
      <c r="AA1356" s="17" t="n"/>
      <c r="AB1356" s="17" t="n"/>
      <c r="AC1356" s="24">
        <f>IF($G1356="","",IF($H1356="※编码不在物料档案里","※物料编码不在档案里",IF(N($K1356)&lt;=0,"※入库数量要大于 0",IF(AND($C1356&lt;&gt;"",$C1356&lt;=结账锁),"※日期早于已结账截止日，不能再录",IF(AND($L1356=0,$X1356="正常"),"※没填单价，价格状态请选「待补价」",IF(AND($S1356&gt;0,$R1356&gt;0),"△本批有 "&amp;$S1356&amp;" 行没单价，整批运费先挂账没摊",IF(AND($B1356&lt;&gt;"",COUNTIF($B$4:$B$2503,$B1356)&gt;1),"※入库单号重复","")))))))</f>
        <v/>
      </c>
    </row>
    <row r="1357">
      <c r="A1357" s="24">
        <f>IF($G1357="","",COUNTA($G$4:$G1357))</f>
        <v/>
      </c>
      <c r="B1357" s="17" t="n"/>
      <c r="C1357" s="30" t="n"/>
      <c r="D1357" s="17" t="n"/>
      <c r="E1357" s="17" t="n"/>
      <c r="F1357" s="17" t="n"/>
      <c r="G1357" s="17" t="n"/>
      <c r="H1357" s="24">
        <f>IF($G1357="","",IFERROR(VLOOKUP($G1357,物料档案!$A$4:$P$1203,3,0),"※编码不在物料档案里"))</f>
        <v/>
      </c>
      <c r="I1357" s="24">
        <f>IF($G1357="","",IFERROR(VLOOKUP($G1357,物料档案!$A$4:$P$1203,4,0),"※编码不在物料档案里"))</f>
        <v/>
      </c>
      <c r="J1357" s="24">
        <f>IF($G1357="","",IFERROR(VLOOKUP($G1357,物料档案!$A$4:$P$1203,5,0),"※编码不在物料档案里"))</f>
        <v/>
      </c>
      <c r="K1357" s="23" t="n"/>
      <c r="L1357" s="31" t="n"/>
      <c r="M1357" s="24">
        <f>IF($G1357="","",IF($D1357="A国内","CNY","TZS"))</f>
        <v/>
      </c>
      <c r="N1357" s="28">
        <f>IF($G1357="","",IF($D1357="A国内",汇率,1))</f>
        <v/>
      </c>
      <c r="O1357" s="25">
        <f>IF($G1357="","",ROUND(N($K1357)*N($L1357),2))</f>
        <v/>
      </c>
      <c r="P1357" s="26">
        <f>IF($G1357="","",ROUND($O1357*$N1357,0))</f>
        <v/>
      </c>
      <c r="Q1357" s="26">
        <f>IF($G1357="","",SUMIFS($P$4:$P$2503,$E$4:$E$2503,$E1357,$Z$4:$Z$2503,"正常"))</f>
        <v/>
      </c>
      <c r="R1357" s="26">
        <f>IF($G1357="","",SUMIFS(费用台账!$I$4:$I$503,费用台账!$C$4:$C$503,$E1357,费用台账!$J$4:$J$503,"是",费用台账!$K$4:$K$503,"正常"))</f>
        <v/>
      </c>
      <c r="S1357" s="28">
        <f>IF($G1357="","",COUNTIFS($E$4:$E$2503,$E1357,$Z$4:$Z$2503,"正常",$Y$4:$Y$2503,"待补价"))</f>
        <v/>
      </c>
      <c r="T1357" s="26">
        <f>IF($G1357="","",SUMIFS($P$4:$P$2503,$E$4:$E$2503,$E1357,$Z$4:$Z$2503,"正常",$A$4:$A$2503,"&lt;="&amp;$A1357))</f>
        <v/>
      </c>
      <c r="U1357" s="26">
        <f>IF($G1357="","",IF(OR($S1357&gt;0,$Q1357=0,$R1357=0,$Z1357&lt;&gt;"正常"),0,ROUND($T1357/$Q1357*$R1357,0)-ROUND(($T1357-$P1357)/$Q1357*$R1357,0)))</f>
        <v/>
      </c>
      <c r="V1357" s="26">
        <f>IF($G1357="","",ROUND($P1357+$U1357,0))</f>
        <v/>
      </c>
      <c r="W1357" s="26">
        <f>IF($G1357="","",IF(N($K1357)=0,0,ROUND($V1357/$K1357,2)))</f>
        <v/>
      </c>
      <c r="X1357" s="17" t="n"/>
      <c r="Y1357" s="17" t="n"/>
      <c r="Z1357" s="17" t="n"/>
      <c r="AA1357" s="17" t="n"/>
      <c r="AB1357" s="17" t="n"/>
      <c r="AC1357" s="24">
        <f>IF($G1357="","",IF($H1357="※编码不在物料档案里","※物料编码不在档案里",IF(N($K1357)&lt;=0,"※入库数量要大于 0",IF(AND($C1357&lt;&gt;"",$C1357&lt;=结账锁),"※日期早于已结账截止日，不能再录",IF(AND($L1357=0,$X1357="正常"),"※没填单价，价格状态请选「待补价」",IF(AND($S1357&gt;0,$R1357&gt;0),"△本批有 "&amp;$S1357&amp;" 行没单价，整批运费先挂账没摊",IF(AND($B1357&lt;&gt;"",COUNTIF($B$4:$B$2503,$B1357)&gt;1),"※入库单号重复","")))))))</f>
        <v/>
      </c>
    </row>
    <row r="1358">
      <c r="A1358" s="24">
        <f>IF($G1358="","",COUNTA($G$4:$G1358))</f>
        <v/>
      </c>
      <c r="B1358" s="17" t="n"/>
      <c r="C1358" s="30" t="n"/>
      <c r="D1358" s="17" t="n"/>
      <c r="E1358" s="17" t="n"/>
      <c r="F1358" s="17" t="n"/>
      <c r="G1358" s="17" t="n"/>
      <c r="H1358" s="24">
        <f>IF($G1358="","",IFERROR(VLOOKUP($G1358,物料档案!$A$4:$P$1203,3,0),"※编码不在物料档案里"))</f>
        <v/>
      </c>
      <c r="I1358" s="24">
        <f>IF($G1358="","",IFERROR(VLOOKUP($G1358,物料档案!$A$4:$P$1203,4,0),"※编码不在物料档案里"))</f>
        <v/>
      </c>
      <c r="J1358" s="24">
        <f>IF($G1358="","",IFERROR(VLOOKUP($G1358,物料档案!$A$4:$P$1203,5,0),"※编码不在物料档案里"))</f>
        <v/>
      </c>
      <c r="K1358" s="23" t="n"/>
      <c r="L1358" s="31" t="n"/>
      <c r="M1358" s="24">
        <f>IF($G1358="","",IF($D1358="A国内","CNY","TZS"))</f>
        <v/>
      </c>
      <c r="N1358" s="28">
        <f>IF($G1358="","",IF($D1358="A国内",汇率,1))</f>
        <v/>
      </c>
      <c r="O1358" s="25">
        <f>IF($G1358="","",ROUND(N($K1358)*N($L1358),2))</f>
        <v/>
      </c>
      <c r="P1358" s="26">
        <f>IF($G1358="","",ROUND($O1358*$N1358,0))</f>
        <v/>
      </c>
      <c r="Q1358" s="26">
        <f>IF($G1358="","",SUMIFS($P$4:$P$2503,$E$4:$E$2503,$E1358,$Z$4:$Z$2503,"正常"))</f>
        <v/>
      </c>
      <c r="R1358" s="26">
        <f>IF($G1358="","",SUMIFS(费用台账!$I$4:$I$503,费用台账!$C$4:$C$503,$E1358,费用台账!$J$4:$J$503,"是",费用台账!$K$4:$K$503,"正常"))</f>
        <v/>
      </c>
      <c r="S1358" s="28">
        <f>IF($G1358="","",COUNTIFS($E$4:$E$2503,$E1358,$Z$4:$Z$2503,"正常",$Y$4:$Y$2503,"待补价"))</f>
        <v/>
      </c>
      <c r="T1358" s="26">
        <f>IF($G1358="","",SUMIFS($P$4:$P$2503,$E$4:$E$2503,$E1358,$Z$4:$Z$2503,"正常",$A$4:$A$2503,"&lt;="&amp;$A1358))</f>
        <v/>
      </c>
      <c r="U1358" s="26">
        <f>IF($G1358="","",IF(OR($S1358&gt;0,$Q1358=0,$R1358=0,$Z1358&lt;&gt;"正常"),0,ROUND($T1358/$Q1358*$R1358,0)-ROUND(($T1358-$P1358)/$Q1358*$R1358,0)))</f>
        <v/>
      </c>
      <c r="V1358" s="26">
        <f>IF($G1358="","",ROUND($P1358+$U1358,0))</f>
        <v/>
      </c>
      <c r="W1358" s="26">
        <f>IF($G1358="","",IF(N($K1358)=0,0,ROUND($V1358/$K1358,2)))</f>
        <v/>
      </c>
      <c r="X1358" s="17" t="n"/>
      <c r="Y1358" s="17" t="n"/>
      <c r="Z1358" s="17" t="n"/>
      <c r="AA1358" s="17" t="n"/>
      <c r="AB1358" s="17" t="n"/>
      <c r="AC1358" s="24">
        <f>IF($G1358="","",IF($H1358="※编码不在物料档案里","※物料编码不在档案里",IF(N($K1358)&lt;=0,"※入库数量要大于 0",IF(AND($C1358&lt;&gt;"",$C1358&lt;=结账锁),"※日期早于已结账截止日，不能再录",IF(AND($L1358=0,$X1358="正常"),"※没填单价，价格状态请选「待补价」",IF(AND($S1358&gt;0,$R1358&gt;0),"△本批有 "&amp;$S1358&amp;" 行没单价，整批运费先挂账没摊",IF(AND($B1358&lt;&gt;"",COUNTIF($B$4:$B$2503,$B1358)&gt;1),"※入库单号重复","")))))))</f>
        <v/>
      </c>
    </row>
    <row r="1359">
      <c r="A1359" s="24">
        <f>IF($G1359="","",COUNTA($G$4:$G1359))</f>
        <v/>
      </c>
      <c r="B1359" s="17" t="n"/>
      <c r="C1359" s="30" t="n"/>
      <c r="D1359" s="17" t="n"/>
      <c r="E1359" s="17" t="n"/>
      <c r="F1359" s="17" t="n"/>
      <c r="G1359" s="17" t="n"/>
      <c r="H1359" s="24">
        <f>IF($G1359="","",IFERROR(VLOOKUP($G1359,物料档案!$A$4:$P$1203,3,0),"※编码不在物料档案里"))</f>
        <v/>
      </c>
      <c r="I1359" s="24">
        <f>IF($G1359="","",IFERROR(VLOOKUP($G1359,物料档案!$A$4:$P$1203,4,0),"※编码不在物料档案里"))</f>
        <v/>
      </c>
      <c r="J1359" s="24">
        <f>IF($G1359="","",IFERROR(VLOOKUP($G1359,物料档案!$A$4:$P$1203,5,0),"※编码不在物料档案里"))</f>
        <v/>
      </c>
      <c r="K1359" s="23" t="n"/>
      <c r="L1359" s="31" t="n"/>
      <c r="M1359" s="24">
        <f>IF($G1359="","",IF($D1359="A国内","CNY","TZS"))</f>
        <v/>
      </c>
      <c r="N1359" s="28">
        <f>IF($G1359="","",IF($D1359="A国内",汇率,1))</f>
        <v/>
      </c>
      <c r="O1359" s="25">
        <f>IF($G1359="","",ROUND(N($K1359)*N($L1359),2))</f>
        <v/>
      </c>
      <c r="P1359" s="26">
        <f>IF($G1359="","",ROUND($O1359*$N1359,0))</f>
        <v/>
      </c>
      <c r="Q1359" s="26">
        <f>IF($G1359="","",SUMIFS($P$4:$P$2503,$E$4:$E$2503,$E1359,$Z$4:$Z$2503,"正常"))</f>
        <v/>
      </c>
      <c r="R1359" s="26">
        <f>IF($G1359="","",SUMIFS(费用台账!$I$4:$I$503,费用台账!$C$4:$C$503,$E1359,费用台账!$J$4:$J$503,"是",费用台账!$K$4:$K$503,"正常"))</f>
        <v/>
      </c>
      <c r="S1359" s="28">
        <f>IF($G1359="","",COUNTIFS($E$4:$E$2503,$E1359,$Z$4:$Z$2503,"正常",$Y$4:$Y$2503,"待补价"))</f>
        <v/>
      </c>
      <c r="T1359" s="26">
        <f>IF($G1359="","",SUMIFS($P$4:$P$2503,$E$4:$E$2503,$E1359,$Z$4:$Z$2503,"正常",$A$4:$A$2503,"&lt;="&amp;$A1359))</f>
        <v/>
      </c>
      <c r="U1359" s="26">
        <f>IF($G1359="","",IF(OR($S1359&gt;0,$Q1359=0,$R1359=0,$Z1359&lt;&gt;"正常"),0,ROUND($T1359/$Q1359*$R1359,0)-ROUND(($T1359-$P1359)/$Q1359*$R1359,0)))</f>
        <v/>
      </c>
      <c r="V1359" s="26">
        <f>IF($G1359="","",ROUND($P1359+$U1359,0))</f>
        <v/>
      </c>
      <c r="W1359" s="26">
        <f>IF($G1359="","",IF(N($K1359)=0,0,ROUND($V1359/$K1359,2)))</f>
        <v/>
      </c>
      <c r="X1359" s="17" t="n"/>
      <c r="Y1359" s="17" t="n"/>
      <c r="Z1359" s="17" t="n"/>
      <c r="AA1359" s="17" t="n"/>
      <c r="AB1359" s="17" t="n"/>
      <c r="AC1359" s="24">
        <f>IF($G1359="","",IF($H1359="※编码不在物料档案里","※物料编码不在档案里",IF(N($K1359)&lt;=0,"※入库数量要大于 0",IF(AND($C1359&lt;&gt;"",$C1359&lt;=结账锁),"※日期早于已结账截止日，不能再录",IF(AND($L1359=0,$X1359="正常"),"※没填单价，价格状态请选「待补价」",IF(AND($S1359&gt;0,$R1359&gt;0),"△本批有 "&amp;$S1359&amp;" 行没单价，整批运费先挂账没摊",IF(AND($B1359&lt;&gt;"",COUNTIF($B$4:$B$2503,$B1359)&gt;1),"※入库单号重复","")))))))</f>
        <v/>
      </c>
    </row>
    <row r="1360">
      <c r="A1360" s="24">
        <f>IF($G1360="","",COUNTA($G$4:$G1360))</f>
        <v/>
      </c>
      <c r="B1360" s="17" t="n"/>
      <c r="C1360" s="30" t="n"/>
      <c r="D1360" s="17" t="n"/>
      <c r="E1360" s="17" t="n"/>
      <c r="F1360" s="17" t="n"/>
      <c r="G1360" s="17" t="n"/>
      <c r="H1360" s="24">
        <f>IF($G1360="","",IFERROR(VLOOKUP($G1360,物料档案!$A$4:$P$1203,3,0),"※编码不在物料档案里"))</f>
        <v/>
      </c>
      <c r="I1360" s="24">
        <f>IF($G1360="","",IFERROR(VLOOKUP($G1360,物料档案!$A$4:$P$1203,4,0),"※编码不在物料档案里"))</f>
        <v/>
      </c>
      <c r="J1360" s="24">
        <f>IF($G1360="","",IFERROR(VLOOKUP($G1360,物料档案!$A$4:$P$1203,5,0),"※编码不在物料档案里"))</f>
        <v/>
      </c>
      <c r="K1360" s="23" t="n"/>
      <c r="L1360" s="31" t="n"/>
      <c r="M1360" s="24">
        <f>IF($G1360="","",IF($D1360="A国内","CNY","TZS"))</f>
        <v/>
      </c>
      <c r="N1360" s="28">
        <f>IF($G1360="","",IF($D1360="A国内",汇率,1))</f>
        <v/>
      </c>
      <c r="O1360" s="25">
        <f>IF($G1360="","",ROUND(N($K1360)*N($L1360),2))</f>
        <v/>
      </c>
      <c r="P1360" s="26">
        <f>IF($G1360="","",ROUND($O1360*$N1360,0))</f>
        <v/>
      </c>
      <c r="Q1360" s="26">
        <f>IF($G1360="","",SUMIFS($P$4:$P$2503,$E$4:$E$2503,$E1360,$Z$4:$Z$2503,"正常"))</f>
        <v/>
      </c>
      <c r="R1360" s="26">
        <f>IF($G1360="","",SUMIFS(费用台账!$I$4:$I$503,费用台账!$C$4:$C$503,$E1360,费用台账!$J$4:$J$503,"是",费用台账!$K$4:$K$503,"正常"))</f>
        <v/>
      </c>
      <c r="S1360" s="28">
        <f>IF($G1360="","",COUNTIFS($E$4:$E$2503,$E1360,$Z$4:$Z$2503,"正常",$Y$4:$Y$2503,"待补价"))</f>
        <v/>
      </c>
      <c r="T1360" s="26">
        <f>IF($G1360="","",SUMIFS($P$4:$P$2503,$E$4:$E$2503,$E1360,$Z$4:$Z$2503,"正常",$A$4:$A$2503,"&lt;="&amp;$A1360))</f>
        <v/>
      </c>
      <c r="U1360" s="26">
        <f>IF($G1360="","",IF(OR($S1360&gt;0,$Q1360=0,$R1360=0,$Z1360&lt;&gt;"正常"),0,ROUND($T1360/$Q1360*$R1360,0)-ROUND(($T1360-$P1360)/$Q1360*$R1360,0)))</f>
        <v/>
      </c>
      <c r="V1360" s="26">
        <f>IF($G1360="","",ROUND($P1360+$U1360,0))</f>
        <v/>
      </c>
      <c r="W1360" s="26">
        <f>IF($G1360="","",IF(N($K1360)=0,0,ROUND($V1360/$K1360,2)))</f>
        <v/>
      </c>
      <c r="X1360" s="17" t="n"/>
      <c r="Y1360" s="17" t="n"/>
      <c r="Z1360" s="17" t="n"/>
      <c r="AA1360" s="17" t="n"/>
      <c r="AB1360" s="17" t="n"/>
      <c r="AC1360" s="24">
        <f>IF($G1360="","",IF($H1360="※编码不在物料档案里","※物料编码不在档案里",IF(N($K1360)&lt;=0,"※入库数量要大于 0",IF(AND($C1360&lt;&gt;"",$C1360&lt;=结账锁),"※日期早于已结账截止日，不能再录",IF(AND($L1360=0,$X1360="正常"),"※没填单价，价格状态请选「待补价」",IF(AND($S1360&gt;0,$R1360&gt;0),"△本批有 "&amp;$S1360&amp;" 行没单价，整批运费先挂账没摊",IF(AND($B1360&lt;&gt;"",COUNTIF($B$4:$B$2503,$B1360)&gt;1),"※入库单号重复","")))))))</f>
        <v/>
      </c>
    </row>
    <row r="1361">
      <c r="A1361" s="24">
        <f>IF($G1361="","",COUNTA($G$4:$G1361))</f>
        <v/>
      </c>
      <c r="B1361" s="17" t="n"/>
      <c r="C1361" s="30" t="n"/>
      <c r="D1361" s="17" t="n"/>
      <c r="E1361" s="17" t="n"/>
      <c r="F1361" s="17" t="n"/>
      <c r="G1361" s="17" t="n"/>
      <c r="H1361" s="24">
        <f>IF($G1361="","",IFERROR(VLOOKUP($G1361,物料档案!$A$4:$P$1203,3,0),"※编码不在物料档案里"))</f>
        <v/>
      </c>
      <c r="I1361" s="24">
        <f>IF($G1361="","",IFERROR(VLOOKUP($G1361,物料档案!$A$4:$P$1203,4,0),"※编码不在物料档案里"))</f>
        <v/>
      </c>
      <c r="J1361" s="24">
        <f>IF($G1361="","",IFERROR(VLOOKUP($G1361,物料档案!$A$4:$P$1203,5,0),"※编码不在物料档案里"))</f>
        <v/>
      </c>
      <c r="K1361" s="23" t="n"/>
      <c r="L1361" s="31" t="n"/>
      <c r="M1361" s="24">
        <f>IF($G1361="","",IF($D1361="A国内","CNY","TZS"))</f>
        <v/>
      </c>
      <c r="N1361" s="28">
        <f>IF($G1361="","",IF($D1361="A国内",汇率,1))</f>
        <v/>
      </c>
      <c r="O1361" s="25">
        <f>IF($G1361="","",ROUND(N($K1361)*N($L1361),2))</f>
        <v/>
      </c>
      <c r="P1361" s="26">
        <f>IF($G1361="","",ROUND($O1361*$N1361,0))</f>
        <v/>
      </c>
      <c r="Q1361" s="26">
        <f>IF($G1361="","",SUMIFS($P$4:$P$2503,$E$4:$E$2503,$E1361,$Z$4:$Z$2503,"正常"))</f>
        <v/>
      </c>
      <c r="R1361" s="26">
        <f>IF($G1361="","",SUMIFS(费用台账!$I$4:$I$503,费用台账!$C$4:$C$503,$E1361,费用台账!$J$4:$J$503,"是",费用台账!$K$4:$K$503,"正常"))</f>
        <v/>
      </c>
      <c r="S1361" s="28">
        <f>IF($G1361="","",COUNTIFS($E$4:$E$2503,$E1361,$Z$4:$Z$2503,"正常",$Y$4:$Y$2503,"待补价"))</f>
        <v/>
      </c>
      <c r="T1361" s="26">
        <f>IF($G1361="","",SUMIFS($P$4:$P$2503,$E$4:$E$2503,$E1361,$Z$4:$Z$2503,"正常",$A$4:$A$2503,"&lt;="&amp;$A1361))</f>
        <v/>
      </c>
      <c r="U1361" s="26">
        <f>IF($G1361="","",IF(OR($S1361&gt;0,$Q1361=0,$R1361=0,$Z1361&lt;&gt;"正常"),0,ROUND($T1361/$Q1361*$R1361,0)-ROUND(($T1361-$P1361)/$Q1361*$R1361,0)))</f>
        <v/>
      </c>
      <c r="V1361" s="26">
        <f>IF($G1361="","",ROUND($P1361+$U1361,0))</f>
        <v/>
      </c>
      <c r="W1361" s="26">
        <f>IF($G1361="","",IF(N($K1361)=0,0,ROUND($V1361/$K1361,2)))</f>
        <v/>
      </c>
      <c r="X1361" s="17" t="n"/>
      <c r="Y1361" s="17" t="n"/>
      <c r="Z1361" s="17" t="n"/>
      <c r="AA1361" s="17" t="n"/>
      <c r="AB1361" s="17" t="n"/>
      <c r="AC1361" s="24">
        <f>IF($G1361="","",IF($H1361="※编码不在物料档案里","※物料编码不在档案里",IF(N($K1361)&lt;=0,"※入库数量要大于 0",IF(AND($C1361&lt;&gt;"",$C1361&lt;=结账锁),"※日期早于已结账截止日，不能再录",IF(AND($L1361=0,$X1361="正常"),"※没填单价，价格状态请选「待补价」",IF(AND($S1361&gt;0,$R1361&gt;0),"△本批有 "&amp;$S1361&amp;" 行没单价，整批运费先挂账没摊",IF(AND($B1361&lt;&gt;"",COUNTIF($B$4:$B$2503,$B1361)&gt;1),"※入库单号重复","")))))))</f>
        <v/>
      </c>
    </row>
    <row r="1362">
      <c r="A1362" s="24">
        <f>IF($G1362="","",COUNTA($G$4:$G1362))</f>
        <v/>
      </c>
      <c r="B1362" s="17" t="n"/>
      <c r="C1362" s="30" t="n"/>
      <c r="D1362" s="17" t="n"/>
      <c r="E1362" s="17" t="n"/>
      <c r="F1362" s="17" t="n"/>
      <c r="G1362" s="17" t="n"/>
      <c r="H1362" s="24">
        <f>IF($G1362="","",IFERROR(VLOOKUP($G1362,物料档案!$A$4:$P$1203,3,0),"※编码不在物料档案里"))</f>
        <v/>
      </c>
      <c r="I1362" s="24">
        <f>IF($G1362="","",IFERROR(VLOOKUP($G1362,物料档案!$A$4:$P$1203,4,0),"※编码不在物料档案里"))</f>
        <v/>
      </c>
      <c r="J1362" s="24">
        <f>IF($G1362="","",IFERROR(VLOOKUP($G1362,物料档案!$A$4:$P$1203,5,0),"※编码不在物料档案里"))</f>
        <v/>
      </c>
      <c r="K1362" s="23" t="n"/>
      <c r="L1362" s="31" t="n"/>
      <c r="M1362" s="24">
        <f>IF($G1362="","",IF($D1362="A国内","CNY","TZS"))</f>
        <v/>
      </c>
      <c r="N1362" s="28">
        <f>IF($G1362="","",IF($D1362="A国内",汇率,1))</f>
        <v/>
      </c>
      <c r="O1362" s="25">
        <f>IF($G1362="","",ROUND(N($K1362)*N($L1362),2))</f>
        <v/>
      </c>
      <c r="P1362" s="26">
        <f>IF($G1362="","",ROUND($O1362*$N1362,0))</f>
        <v/>
      </c>
      <c r="Q1362" s="26">
        <f>IF($G1362="","",SUMIFS($P$4:$P$2503,$E$4:$E$2503,$E1362,$Z$4:$Z$2503,"正常"))</f>
        <v/>
      </c>
      <c r="R1362" s="26">
        <f>IF($G1362="","",SUMIFS(费用台账!$I$4:$I$503,费用台账!$C$4:$C$503,$E1362,费用台账!$J$4:$J$503,"是",费用台账!$K$4:$K$503,"正常"))</f>
        <v/>
      </c>
      <c r="S1362" s="28">
        <f>IF($G1362="","",COUNTIFS($E$4:$E$2503,$E1362,$Z$4:$Z$2503,"正常",$Y$4:$Y$2503,"待补价"))</f>
        <v/>
      </c>
      <c r="T1362" s="26">
        <f>IF($G1362="","",SUMIFS($P$4:$P$2503,$E$4:$E$2503,$E1362,$Z$4:$Z$2503,"正常",$A$4:$A$2503,"&lt;="&amp;$A1362))</f>
        <v/>
      </c>
      <c r="U1362" s="26">
        <f>IF($G1362="","",IF(OR($S1362&gt;0,$Q1362=0,$R1362=0,$Z1362&lt;&gt;"正常"),0,ROUND($T1362/$Q1362*$R1362,0)-ROUND(($T1362-$P1362)/$Q1362*$R1362,0)))</f>
        <v/>
      </c>
      <c r="V1362" s="26">
        <f>IF($G1362="","",ROUND($P1362+$U1362,0))</f>
        <v/>
      </c>
      <c r="W1362" s="26">
        <f>IF($G1362="","",IF(N($K1362)=0,0,ROUND($V1362/$K1362,2)))</f>
        <v/>
      </c>
      <c r="X1362" s="17" t="n"/>
      <c r="Y1362" s="17" t="n"/>
      <c r="Z1362" s="17" t="n"/>
      <c r="AA1362" s="17" t="n"/>
      <c r="AB1362" s="17" t="n"/>
      <c r="AC1362" s="24">
        <f>IF($G1362="","",IF($H1362="※编码不在物料档案里","※物料编码不在档案里",IF(N($K1362)&lt;=0,"※入库数量要大于 0",IF(AND($C1362&lt;&gt;"",$C1362&lt;=结账锁),"※日期早于已结账截止日，不能再录",IF(AND($L1362=0,$X1362="正常"),"※没填单价，价格状态请选「待补价」",IF(AND($S1362&gt;0,$R1362&gt;0),"△本批有 "&amp;$S1362&amp;" 行没单价，整批运费先挂账没摊",IF(AND($B1362&lt;&gt;"",COUNTIF($B$4:$B$2503,$B1362)&gt;1),"※入库单号重复","")))))))</f>
        <v/>
      </c>
    </row>
    <row r="1363">
      <c r="A1363" s="24">
        <f>IF($G1363="","",COUNTA($G$4:$G1363))</f>
        <v/>
      </c>
      <c r="B1363" s="17" t="n"/>
      <c r="C1363" s="30" t="n"/>
      <c r="D1363" s="17" t="n"/>
      <c r="E1363" s="17" t="n"/>
      <c r="F1363" s="17" t="n"/>
      <c r="G1363" s="17" t="n"/>
      <c r="H1363" s="24">
        <f>IF($G1363="","",IFERROR(VLOOKUP($G1363,物料档案!$A$4:$P$1203,3,0),"※编码不在物料档案里"))</f>
        <v/>
      </c>
      <c r="I1363" s="24">
        <f>IF($G1363="","",IFERROR(VLOOKUP($G1363,物料档案!$A$4:$P$1203,4,0),"※编码不在物料档案里"))</f>
        <v/>
      </c>
      <c r="J1363" s="24">
        <f>IF($G1363="","",IFERROR(VLOOKUP($G1363,物料档案!$A$4:$P$1203,5,0),"※编码不在物料档案里"))</f>
        <v/>
      </c>
      <c r="K1363" s="23" t="n"/>
      <c r="L1363" s="31" t="n"/>
      <c r="M1363" s="24">
        <f>IF($G1363="","",IF($D1363="A国内","CNY","TZS"))</f>
        <v/>
      </c>
      <c r="N1363" s="28">
        <f>IF($G1363="","",IF($D1363="A国内",汇率,1))</f>
        <v/>
      </c>
      <c r="O1363" s="25">
        <f>IF($G1363="","",ROUND(N($K1363)*N($L1363),2))</f>
        <v/>
      </c>
      <c r="P1363" s="26">
        <f>IF($G1363="","",ROUND($O1363*$N1363,0))</f>
        <v/>
      </c>
      <c r="Q1363" s="26">
        <f>IF($G1363="","",SUMIFS($P$4:$P$2503,$E$4:$E$2503,$E1363,$Z$4:$Z$2503,"正常"))</f>
        <v/>
      </c>
      <c r="R1363" s="26">
        <f>IF($G1363="","",SUMIFS(费用台账!$I$4:$I$503,费用台账!$C$4:$C$503,$E1363,费用台账!$J$4:$J$503,"是",费用台账!$K$4:$K$503,"正常"))</f>
        <v/>
      </c>
      <c r="S1363" s="28">
        <f>IF($G1363="","",COUNTIFS($E$4:$E$2503,$E1363,$Z$4:$Z$2503,"正常",$Y$4:$Y$2503,"待补价"))</f>
        <v/>
      </c>
      <c r="T1363" s="26">
        <f>IF($G1363="","",SUMIFS($P$4:$P$2503,$E$4:$E$2503,$E1363,$Z$4:$Z$2503,"正常",$A$4:$A$2503,"&lt;="&amp;$A1363))</f>
        <v/>
      </c>
      <c r="U1363" s="26">
        <f>IF($G1363="","",IF(OR($S1363&gt;0,$Q1363=0,$R1363=0,$Z1363&lt;&gt;"正常"),0,ROUND($T1363/$Q1363*$R1363,0)-ROUND(($T1363-$P1363)/$Q1363*$R1363,0)))</f>
        <v/>
      </c>
      <c r="V1363" s="26">
        <f>IF($G1363="","",ROUND($P1363+$U1363,0))</f>
        <v/>
      </c>
      <c r="W1363" s="26">
        <f>IF($G1363="","",IF(N($K1363)=0,0,ROUND($V1363/$K1363,2)))</f>
        <v/>
      </c>
      <c r="X1363" s="17" t="n"/>
      <c r="Y1363" s="17" t="n"/>
      <c r="Z1363" s="17" t="n"/>
      <c r="AA1363" s="17" t="n"/>
      <c r="AB1363" s="17" t="n"/>
      <c r="AC1363" s="24">
        <f>IF($G1363="","",IF($H1363="※编码不在物料档案里","※物料编码不在档案里",IF(N($K1363)&lt;=0,"※入库数量要大于 0",IF(AND($C1363&lt;&gt;"",$C1363&lt;=结账锁),"※日期早于已结账截止日，不能再录",IF(AND($L1363=0,$X1363="正常"),"※没填单价，价格状态请选「待补价」",IF(AND($S1363&gt;0,$R1363&gt;0),"△本批有 "&amp;$S1363&amp;" 行没单价，整批运费先挂账没摊",IF(AND($B1363&lt;&gt;"",COUNTIF($B$4:$B$2503,$B1363)&gt;1),"※入库单号重复","")))))))</f>
        <v/>
      </c>
    </row>
    <row r="1364">
      <c r="A1364" s="24">
        <f>IF($G1364="","",COUNTA($G$4:$G1364))</f>
        <v/>
      </c>
      <c r="B1364" s="17" t="n"/>
      <c r="C1364" s="30" t="n"/>
      <c r="D1364" s="17" t="n"/>
      <c r="E1364" s="17" t="n"/>
      <c r="F1364" s="17" t="n"/>
      <c r="G1364" s="17" t="n"/>
      <c r="H1364" s="24">
        <f>IF($G1364="","",IFERROR(VLOOKUP($G1364,物料档案!$A$4:$P$1203,3,0),"※编码不在物料档案里"))</f>
        <v/>
      </c>
      <c r="I1364" s="24">
        <f>IF($G1364="","",IFERROR(VLOOKUP($G1364,物料档案!$A$4:$P$1203,4,0),"※编码不在物料档案里"))</f>
        <v/>
      </c>
      <c r="J1364" s="24">
        <f>IF($G1364="","",IFERROR(VLOOKUP($G1364,物料档案!$A$4:$P$1203,5,0),"※编码不在物料档案里"))</f>
        <v/>
      </c>
      <c r="K1364" s="23" t="n"/>
      <c r="L1364" s="31" t="n"/>
      <c r="M1364" s="24">
        <f>IF($G1364="","",IF($D1364="A国内","CNY","TZS"))</f>
        <v/>
      </c>
      <c r="N1364" s="28">
        <f>IF($G1364="","",IF($D1364="A国内",汇率,1))</f>
        <v/>
      </c>
      <c r="O1364" s="25">
        <f>IF($G1364="","",ROUND(N($K1364)*N($L1364),2))</f>
        <v/>
      </c>
      <c r="P1364" s="26">
        <f>IF($G1364="","",ROUND($O1364*$N1364,0))</f>
        <v/>
      </c>
      <c r="Q1364" s="26">
        <f>IF($G1364="","",SUMIFS($P$4:$P$2503,$E$4:$E$2503,$E1364,$Z$4:$Z$2503,"正常"))</f>
        <v/>
      </c>
      <c r="R1364" s="26">
        <f>IF($G1364="","",SUMIFS(费用台账!$I$4:$I$503,费用台账!$C$4:$C$503,$E1364,费用台账!$J$4:$J$503,"是",费用台账!$K$4:$K$503,"正常"))</f>
        <v/>
      </c>
      <c r="S1364" s="28">
        <f>IF($G1364="","",COUNTIFS($E$4:$E$2503,$E1364,$Z$4:$Z$2503,"正常",$Y$4:$Y$2503,"待补价"))</f>
        <v/>
      </c>
      <c r="T1364" s="26">
        <f>IF($G1364="","",SUMIFS($P$4:$P$2503,$E$4:$E$2503,$E1364,$Z$4:$Z$2503,"正常",$A$4:$A$2503,"&lt;="&amp;$A1364))</f>
        <v/>
      </c>
      <c r="U1364" s="26">
        <f>IF($G1364="","",IF(OR($S1364&gt;0,$Q1364=0,$R1364=0,$Z1364&lt;&gt;"正常"),0,ROUND($T1364/$Q1364*$R1364,0)-ROUND(($T1364-$P1364)/$Q1364*$R1364,0)))</f>
        <v/>
      </c>
      <c r="V1364" s="26">
        <f>IF($G1364="","",ROUND($P1364+$U1364,0))</f>
        <v/>
      </c>
      <c r="W1364" s="26">
        <f>IF($G1364="","",IF(N($K1364)=0,0,ROUND($V1364/$K1364,2)))</f>
        <v/>
      </c>
      <c r="X1364" s="17" t="n"/>
      <c r="Y1364" s="17" t="n"/>
      <c r="Z1364" s="17" t="n"/>
      <c r="AA1364" s="17" t="n"/>
      <c r="AB1364" s="17" t="n"/>
      <c r="AC1364" s="24">
        <f>IF($G1364="","",IF($H1364="※编码不在物料档案里","※物料编码不在档案里",IF(N($K1364)&lt;=0,"※入库数量要大于 0",IF(AND($C1364&lt;&gt;"",$C1364&lt;=结账锁),"※日期早于已结账截止日，不能再录",IF(AND($L1364=0,$X1364="正常"),"※没填单价，价格状态请选「待补价」",IF(AND($S1364&gt;0,$R1364&gt;0),"△本批有 "&amp;$S1364&amp;" 行没单价，整批运费先挂账没摊",IF(AND($B1364&lt;&gt;"",COUNTIF($B$4:$B$2503,$B1364)&gt;1),"※入库单号重复","")))))))</f>
        <v/>
      </c>
    </row>
    <row r="1365">
      <c r="A1365" s="24">
        <f>IF($G1365="","",COUNTA($G$4:$G1365))</f>
        <v/>
      </c>
      <c r="B1365" s="17" t="n"/>
      <c r="C1365" s="30" t="n"/>
      <c r="D1365" s="17" t="n"/>
      <c r="E1365" s="17" t="n"/>
      <c r="F1365" s="17" t="n"/>
      <c r="G1365" s="17" t="n"/>
      <c r="H1365" s="24">
        <f>IF($G1365="","",IFERROR(VLOOKUP($G1365,物料档案!$A$4:$P$1203,3,0),"※编码不在物料档案里"))</f>
        <v/>
      </c>
      <c r="I1365" s="24">
        <f>IF($G1365="","",IFERROR(VLOOKUP($G1365,物料档案!$A$4:$P$1203,4,0),"※编码不在物料档案里"))</f>
        <v/>
      </c>
      <c r="J1365" s="24">
        <f>IF($G1365="","",IFERROR(VLOOKUP($G1365,物料档案!$A$4:$P$1203,5,0),"※编码不在物料档案里"))</f>
        <v/>
      </c>
      <c r="K1365" s="23" t="n"/>
      <c r="L1365" s="31" t="n"/>
      <c r="M1365" s="24">
        <f>IF($G1365="","",IF($D1365="A国内","CNY","TZS"))</f>
        <v/>
      </c>
      <c r="N1365" s="28">
        <f>IF($G1365="","",IF($D1365="A国内",汇率,1))</f>
        <v/>
      </c>
      <c r="O1365" s="25">
        <f>IF($G1365="","",ROUND(N($K1365)*N($L1365),2))</f>
        <v/>
      </c>
      <c r="P1365" s="26">
        <f>IF($G1365="","",ROUND($O1365*$N1365,0))</f>
        <v/>
      </c>
      <c r="Q1365" s="26">
        <f>IF($G1365="","",SUMIFS($P$4:$P$2503,$E$4:$E$2503,$E1365,$Z$4:$Z$2503,"正常"))</f>
        <v/>
      </c>
      <c r="R1365" s="26">
        <f>IF($G1365="","",SUMIFS(费用台账!$I$4:$I$503,费用台账!$C$4:$C$503,$E1365,费用台账!$J$4:$J$503,"是",费用台账!$K$4:$K$503,"正常"))</f>
        <v/>
      </c>
      <c r="S1365" s="28">
        <f>IF($G1365="","",COUNTIFS($E$4:$E$2503,$E1365,$Z$4:$Z$2503,"正常",$Y$4:$Y$2503,"待补价"))</f>
        <v/>
      </c>
      <c r="T1365" s="26">
        <f>IF($G1365="","",SUMIFS($P$4:$P$2503,$E$4:$E$2503,$E1365,$Z$4:$Z$2503,"正常",$A$4:$A$2503,"&lt;="&amp;$A1365))</f>
        <v/>
      </c>
      <c r="U1365" s="26">
        <f>IF($G1365="","",IF(OR($S1365&gt;0,$Q1365=0,$R1365=0,$Z1365&lt;&gt;"正常"),0,ROUND($T1365/$Q1365*$R1365,0)-ROUND(($T1365-$P1365)/$Q1365*$R1365,0)))</f>
        <v/>
      </c>
      <c r="V1365" s="26">
        <f>IF($G1365="","",ROUND($P1365+$U1365,0))</f>
        <v/>
      </c>
      <c r="W1365" s="26">
        <f>IF($G1365="","",IF(N($K1365)=0,0,ROUND($V1365/$K1365,2)))</f>
        <v/>
      </c>
      <c r="X1365" s="17" t="n"/>
      <c r="Y1365" s="17" t="n"/>
      <c r="Z1365" s="17" t="n"/>
      <c r="AA1365" s="17" t="n"/>
      <c r="AB1365" s="17" t="n"/>
      <c r="AC1365" s="24">
        <f>IF($G1365="","",IF($H1365="※编码不在物料档案里","※物料编码不在档案里",IF(N($K1365)&lt;=0,"※入库数量要大于 0",IF(AND($C1365&lt;&gt;"",$C1365&lt;=结账锁),"※日期早于已结账截止日，不能再录",IF(AND($L1365=0,$X1365="正常"),"※没填单价，价格状态请选「待补价」",IF(AND($S1365&gt;0,$R1365&gt;0),"△本批有 "&amp;$S1365&amp;" 行没单价，整批运费先挂账没摊",IF(AND($B1365&lt;&gt;"",COUNTIF($B$4:$B$2503,$B1365)&gt;1),"※入库单号重复","")))))))</f>
        <v/>
      </c>
    </row>
    <row r="1366">
      <c r="A1366" s="24">
        <f>IF($G1366="","",COUNTA($G$4:$G1366))</f>
        <v/>
      </c>
      <c r="B1366" s="17" t="n"/>
      <c r="C1366" s="30" t="n"/>
      <c r="D1366" s="17" t="n"/>
      <c r="E1366" s="17" t="n"/>
      <c r="F1366" s="17" t="n"/>
      <c r="G1366" s="17" t="n"/>
      <c r="H1366" s="24">
        <f>IF($G1366="","",IFERROR(VLOOKUP($G1366,物料档案!$A$4:$P$1203,3,0),"※编码不在物料档案里"))</f>
        <v/>
      </c>
      <c r="I1366" s="24">
        <f>IF($G1366="","",IFERROR(VLOOKUP($G1366,物料档案!$A$4:$P$1203,4,0),"※编码不在物料档案里"))</f>
        <v/>
      </c>
      <c r="J1366" s="24">
        <f>IF($G1366="","",IFERROR(VLOOKUP($G1366,物料档案!$A$4:$P$1203,5,0),"※编码不在物料档案里"))</f>
        <v/>
      </c>
      <c r="K1366" s="23" t="n"/>
      <c r="L1366" s="31" t="n"/>
      <c r="M1366" s="24">
        <f>IF($G1366="","",IF($D1366="A国内","CNY","TZS"))</f>
        <v/>
      </c>
      <c r="N1366" s="28">
        <f>IF($G1366="","",IF($D1366="A国内",汇率,1))</f>
        <v/>
      </c>
      <c r="O1366" s="25">
        <f>IF($G1366="","",ROUND(N($K1366)*N($L1366),2))</f>
        <v/>
      </c>
      <c r="P1366" s="26">
        <f>IF($G1366="","",ROUND($O1366*$N1366,0))</f>
        <v/>
      </c>
      <c r="Q1366" s="26">
        <f>IF($G1366="","",SUMIFS($P$4:$P$2503,$E$4:$E$2503,$E1366,$Z$4:$Z$2503,"正常"))</f>
        <v/>
      </c>
      <c r="R1366" s="26">
        <f>IF($G1366="","",SUMIFS(费用台账!$I$4:$I$503,费用台账!$C$4:$C$503,$E1366,费用台账!$J$4:$J$503,"是",费用台账!$K$4:$K$503,"正常"))</f>
        <v/>
      </c>
      <c r="S1366" s="28">
        <f>IF($G1366="","",COUNTIFS($E$4:$E$2503,$E1366,$Z$4:$Z$2503,"正常",$Y$4:$Y$2503,"待补价"))</f>
        <v/>
      </c>
      <c r="T1366" s="26">
        <f>IF($G1366="","",SUMIFS($P$4:$P$2503,$E$4:$E$2503,$E1366,$Z$4:$Z$2503,"正常",$A$4:$A$2503,"&lt;="&amp;$A1366))</f>
        <v/>
      </c>
      <c r="U1366" s="26">
        <f>IF($G1366="","",IF(OR($S1366&gt;0,$Q1366=0,$R1366=0,$Z1366&lt;&gt;"正常"),0,ROUND($T1366/$Q1366*$R1366,0)-ROUND(($T1366-$P1366)/$Q1366*$R1366,0)))</f>
        <v/>
      </c>
      <c r="V1366" s="26">
        <f>IF($G1366="","",ROUND($P1366+$U1366,0))</f>
        <v/>
      </c>
      <c r="W1366" s="26">
        <f>IF($G1366="","",IF(N($K1366)=0,0,ROUND($V1366/$K1366,2)))</f>
        <v/>
      </c>
      <c r="X1366" s="17" t="n"/>
      <c r="Y1366" s="17" t="n"/>
      <c r="Z1366" s="17" t="n"/>
      <c r="AA1366" s="17" t="n"/>
      <c r="AB1366" s="17" t="n"/>
      <c r="AC1366" s="24">
        <f>IF($G1366="","",IF($H1366="※编码不在物料档案里","※物料编码不在档案里",IF(N($K1366)&lt;=0,"※入库数量要大于 0",IF(AND($C1366&lt;&gt;"",$C1366&lt;=结账锁),"※日期早于已结账截止日，不能再录",IF(AND($L1366=0,$X1366="正常"),"※没填单价，价格状态请选「待补价」",IF(AND($S1366&gt;0,$R1366&gt;0),"△本批有 "&amp;$S1366&amp;" 行没单价，整批运费先挂账没摊",IF(AND($B1366&lt;&gt;"",COUNTIF($B$4:$B$2503,$B1366)&gt;1),"※入库单号重复","")))))))</f>
        <v/>
      </c>
    </row>
    <row r="1367">
      <c r="A1367" s="24">
        <f>IF($G1367="","",COUNTA($G$4:$G1367))</f>
        <v/>
      </c>
      <c r="B1367" s="17" t="n"/>
      <c r="C1367" s="30" t="n"/>
      <c r="D1367" s="17" t="n"/>
      <c r="E1367" s="17" t="n"/>
      <c r="F1367" s="17" t="n"/>
      <c r="G1367" s="17" t="n"/>
      <c r="H1367" s="24">
        <f>IF($G1367="","",IFERROR(VLOOKUP($G1367,物料档案!$A$4:$P$1203,3,0),"※编码不在物料档案里"))</f>
        <v/>
      </c>
      <c r="I1367" s="24">
        <f>IF($G1367="","",IFERROR(VLOOKUP($G1367,物料档案!$A$4:$P$1203,4,0),"※编码不在物料档案里"))</f>
        <v/>
      </c>
      <c r="J1367" s="24">
        <f>IF($G1367="","",IFERROR(VLOOKUP($G1367,物料档案!$A$4:$P$1203,5,0),"※编码不在物料档案里"))</f>
        <v/>
      </c>
      <c r="K1367" s="23" t="n"/>
      <c r="L1367" s="31" t="n"/>
      <c r="M1367" s="24">
        <f>IF($G1367="","",IF($D1367="A国内","CNY","TZS"))</f>
        <v/>
      </c>
      <c r="N1367" s="28">
        <f>IF($G1367="","",IF($D1367="A国内",汇率,1))</f>
        <v/>
      </c>
      <c r="O1367" s="25">
        <f>IF($G1367="","",ROUND(N($K1367)*N($L1367),2))</f>
        <v/>
      </c>
      <c r="P1367" s="26">
        <f>IF($G1367="","",ROUND($O1367*$N1367,0))</f>
        <v/>
      </c>
      <c r="Q1367" s="26">
        <f>IF($G1367="","",SUMIFS($P$4:$P$2503,$E$4:$E$2503,$E1367,$Z$4:$Z$2503,"正常"))</f>
        <v/>
      </c>
      <c r="R1367" s="26">
        <f>IF($G1367="","",SUMIFS(费用台账!$I$4:$I$503,费用台账!$C$4:$C$503,$E1367,费用台账!$J$4:$J$503,"是",费用台账!$K$4:$K$503,"正常"))</f>
        <v/>
      </c>
      <c r="S1367" s="28">
        <f>IF($G1367="","",COUNTIFS($E$4:$E$2503,$E1367,$Z$4:$Z$2503,"正常",$Y$4:$Y$2503,"待补价"))</f>
        <v/>
      </c>
      <c r="T1367" s="26">
        <f>IF($G1367="","",SUMIFS($P$4:$P$2503,$E$4:$E$2503,$E1367,$Z$4:$Z$2503,"正常",$A$4:$A$2503,"&lt;="&amp;$A1367))</f>
        <v/>
      </c>
      <c r="U1367" s="26">
        <f>IF($G1367="","",IF(OR($S1367&gt;0,$Q1367=0,$R1367=0,$Z1367&lt;&gt;"正常"),0,ROUND($T1367/$Q1367*$R1367,0)-ROUND(($T1367-$P1367)/$Q1367*$R1367,0)))</f>
        <v/>
      </c>
      <c r="V1367" s="26">
        <f>IF($G1367="","",ROUND($P1367+$U1367,0))</f>
        <v/>
      </c>
      <c r="W1367" s="26">
        <f>IF($G1367="","",IF(N($K1367)=0,0,ROUND($V1367/$K1367,2)))</f>
        <v/>
      </c>
      <c r="X1367" s="17" t="n"/>
      <c r="Y1367" s="17" t="n"/>
      <c r="Z1367" s="17" t="n"/>
      <c r="AA1367" s="17" t="n"/>
      <c r="AB1367" s="17" t="n"/>
      <c r="AC1367" s="24">
        <f>IF($G1367="","",IF($H1367="※编码不在物料档案里","※物料编码不在档案里",IF(N($K1367)&lt;=0,"※入库数量要大于 0",IF(AND($C1367&lt;&gt;"",$C1367&lt;=结账锁),"※日期早于已结账截止日，不能再录",IF(AND($L1367=0,$X1367="正常"),"※没填单价，价格状态请选「待补价」",IF(AND($S1367&gt;0,$R1367&gt;0),"△本批有 "&amp;$S1367&amp;" 行没单价，整批运费先挂账没摊",IF(AND($B1367&lt;&gt;"",COUNTIF($B$4:$B$2503,$B1367)&gt;1),"※入库单号重复","")))))))</f>
        <v/>
      </c>
    </row>
    <row r="1368">
      <c r="A1368" s="24">
        <f>IF($G1368="","",COUNTA($G$4:$G1368))</f>
        <v/>
      </c>
      <c r="B1368" s="17" t="n"/>
      <c r="C1368" s="30" t="n"/>
      <c r="D1368" s="17" t="n"/>
      <c r="E1368" s="17" t="n"/>
      <c r="F1368" s="17" t="n"/>
      <c r="G1368" s="17" t="n"/>
      <c r="H1368" s="24">
        <f>IF($G1368="","",IFERROR(VLOOKUP($G1368,物料档案!$A$4:$P$1203,3,0),"※编码不在物料档案里"))</f>
        <v/>
      </c>
      <c r="I1368" s="24">
        <f>IF($G1368="","",IFERROR(VLOOKUP($G1368,物料档案!$A$4:$P$1203,4,0),"※编码不在物料档案里"))</f>
        <v/>
      </c>
      <c r="J1368" s="24">
        <f>IF($G1368="","",IFERROR(VLOOKUP($G1368,物料档案!$A$4:$P$1203,5,0),"※编码不在物料档案里"))</f>
        <v/>
      </c>
      <c r="K1368" s="23" t="n"/>
      <c r="L1368" s="31" t="n"/>
      <c r="M1368" s="24">
        <f>IF($G1368="","",IF($D1368="A国内","CNY","TZS"))</f>
        <v/>
      </c>
      <c r="N1368" s="28">
        <f>IF($G1368="","",IF($D1368="A国内",汇率,1))</f>
        <v/>
      </c>
      <c r="O1368" s="25">
        <f>IF($G1368="","",ROUND(N($K1368)*N($L1368),2))</f>
        <v/>
      </c>
      <c r="P1368" s="26">
        <f>IF($G1368="","",ROUND($O1368*$N1368,0))</f>
        <v/>
      </c>
      <c r="Q1368" s="26">
        <f>IF($G1368="","",SUMIFS($P$4:$P$2503,$E$4:$E$2503,$E1368,$Z$4:$Z$2503,"正常"))</f>
        <v/>
      </c>
      <c r="R1368" s="26">
        <f>IF($G1368="","",SUMIFS(费用台账!$I$4:$I$503,费用台账!$C$4:$C$503,$E1368,费用台账!$J$4:$J$503,"是",费用台账!$K$4:$K$503,"正常"))</f>
        <v/>
      </c>
      <c r="S1368" s="28">
        <f>IF($G1368="","",COUNTIFS($E$4:$E$2503,$E1368,$Z$4:$Z$2503,"正常",$Y$4:$Y$2503,"待补价"))</f>
        <v/>
      </c>
      <c r="T1368" s="26">
        <f>IF($G1368="","",SUMIFS($P$4:$P$2503,$E$4:$E$2503,$E1368,$Z$4:$Z$2503,"正常",$A$4:$A$2503,"&lt;="&amp;$A1368))</f>
        <v/>
      </c>
      <c r="U1368" s="26">
        <f>IF($G1368="","",IF(OR($S1368&gt;0,$Q1368=0,$R1368=0,$Z1368&lt;&gt;"正常"),0,ROUND($T1368/$Q1368*$R1368,0)-ROUND(($T1368-$P1368)/$Q1368*$R1368,0)))</f>
        <v/>
      </c>
      <c r="V1368" s="26">
        <f>IF($G1368="","",ROUND($P1368+$U1368,0))</f>
        <v/>
      </c>
      <c r="W1368" s="26">
        <f>IF($G1368="","",IF(N($K1368)=0,0,ROUND($V1368/$K1368,2)))</f>
        <v/>
      </c>
      <c r="X1368" s="17" t="n"/>
      <c r="Y1368" s="17" t="n"/>
      <c r="Z1368" s="17" t="n"/>
      <c r="AA1368" s="17" t="n"/>
      <c r="AB1368" s="17" t="n"/>
      <c r="AC1368" s="24">
        <f>IF($G1368="","",IF($H1368="※编码不在物料档案里","※物料编码不在档案里",IF(N($K1368)&lt;=0,"※入库数量要大于 0",IF(AND($C1368&lt;&gt;"",$C1368&lt;=结账锁),"※日期早于已结账截止日，不能再录",IF(AND($L1368=0,$X1368="正常"),"※没填单价，价格状态请选「待补价」",IF(AND($S1368&gt;0,$R1368&gt;0),"△本批有 "&amp;$S1368&amp;" 行没单价，整批运费先挂账没摊",IF(AND($B1368&lt;&gt;"",COUNTIF($B$4:$B$2503,$B1368)&gt;1),"※入库单号重复","")))))))</f>
        <v/>
      </c>
    </row>
    <row r="1369">
      <c r="A1369" s="24">
        <f>IF($G1369="","",COUNTA($G$4:$G1369))</f>
        <v/>
      </c>
      <c r="B1369" s="17" t="n"/>
      <c r="C1369" s="30" t="n"/>
      <c r="D1369" s="17" t="n"/>
      <c r="E1369" s="17" t="n"/>
      <c r="F1369" s="17" t="n"/>
      <c r="G1369" s="17" t="n"/>
      <c r="H1369" s="24">
        <f>IF($G1369="","",IFERROR(VLOOKUP($G1369,物料档案!$A$4:$P$1203,3,0),"※编码不在物料档案里"))</f>
        <v/>
      </c>
      <c r="I1369" s="24">
        <f>IF($G1369="","",IFERROR(VLOOKUP($G1369,物料档案!$A$4:$P$1203,4,0),"※编码不在物料档案里"))</f>
        <v/>
      </c>
      <c r="J1369" s="24">
        <f>IF($G1369="","",IFERROR(VLOOKUP($G1369,物料档案!$A$4:$P$1203,5,0),"※编码不在物料档案里"))</f>
        <v/>
      </c>
      <c r="K1369" s="23" t="n"/>
      <c r="L1369" s="31" t="n"/>
      <c r="M1369" s="24">
        <f>IF($G1369="","",IF($D1369="A国内","CNY","TZS"))</f>
        <v/>
      </c>
      <c r="N1369" s="28">
        <f>IF($G1369="","",IF($D1369="A国内",汇率,1))</f>
        <v/>
      </c>
      <c r="O1369" s="25">
        <f>IF($G1369="","",ROUND(N($K1369)*N($L1369),2))</f>
        <v/>
      </c>
      <c r="P1369" s="26">
        <f>IF($G1369="","",ROUND($O1369*$N1369,0))</f>
        <v/>
      </c>
      <c r="Q1369" s="26">
        <f>IF($G1369="","",SUMIFS($P$4:$P$2503,$E$4:$E$2503,$E1369,$Z$4:$Z$2503,"正常"))</f>
        <v/>
      </c>
      <c r="R1369" s="26">
        <f>IF($G1369="","",SUMIFS(费用台账!$I$4:$I$503,费用台账!$C$4:$C$503,$E1369,费用台账!$J$4:$J$503,"是",费用台账!$K$4:$K$503,"正常"))</f>
        <v/>
      </c>
      <c r="S1369" s="28">
        <f>IF($G1369="","",COUNTIFS($E$4:$E$2503,$E1369,$Z$4:$Z$2503,"正常",$Y$4:$Y$2503,"待补价"))</f>
        <v/>
      </c>
      <c r="T1369" s="26">
        <f>IF($G1369="","",SUMIFS($P$4:$P$2503,$E$4:$E$2503,$E1369,$Z$4:$Z$2503,"正常",$A$4:$A$2503,"&lt;="&amp;$A1369))</f>
        <v/>
      </c>
      <c r="U1369" s="26">
        <f>IF($G1369="","",IF(OR($S1369&gt;0,$Q1369=0,$R1369=0,$Z1369&lt;&gt;"正常"),0,ROUND($T1369/$Q1369*$R1369,0)-ROUND(($T1369-$P1369)/$Q1369*$R1369,0)))</f>
        <v/>
      </c>
      <c r="V1369" s="26">
        <f>IF($G1369="","",ROUND($P1369+$U1369,0))</f>
        <v/>
      </c>
      <c r="W1369" s="26">
        <f>IF($G1369="","",IF(N($K1369)=0,0,ROUND($V1369/$K1369,2)))</f>
        <v/>
      </c>
      <c r="X1369" s="17" t="n"/>
      <c r="Y1369" s="17" t="n"/>
      <c r="Z1369" s="17" t="n"/>
      <c r="AA1369" s="17" t="n"/>
      <c r="AB1369" s="17" t="n"/>
      <c r="AC1369" s="24">
        <f>IF($G1369="","",IF($H1369="※编码不在物料档案里","※物料编码不在档案里",IF(N($K1369)&lt;=0,"※入库数量要大于 0",IF(AND($C1369&lt;&gt;"",$C1369&lt;=结账锁),"※日期早于已结账截止日，不能再录",IF(AND($L1369=0,$X1369="正常"),"※没填单价，价格状态请选「待补价」",IF(AND($S1369&gt;0,$R1369&gt;0),"△本批有 "&amp;$S1369&amp;" 行没单价，整批运费先挂账没摊",IF(AND($B1369&lt;&gt;"",COUNTIF($B$4:$B$2503,$B1369)&gt;1),"※入库单号重复","")))))))</f>
        <v/>
      </c>
    </row>
    <row r="1370">
      <c r="A1370" s="24">
        <f>IF($G1370="","",COUNTA($G$4:$G1370))</f>
        <v/>
      </c>
      <c r="B1370" s="17" t="n"/>
      <c r="C1370" s="30" t="n"/>
      <c r="D1370" s="17" t="n"/>
      <c r="E1370" s="17" t="n"/>
      <c r="F1370" s="17" t="n"/>
      <c r="G1370" s="17" t="n"/>
      <c r="H1370" s="24">
        <f>IF($G1370="","",IFERROR(VLOOKUP($G1370,物料档案!$A$4:$P$1203,3,0),"※编码不在物料档案里"))</f>
        <v/>
      </c>
      <c r="I1370" s="24">
        <f>IF($G1370="","",IFERROR(VLOOKUP($G1370,物料档案!$A$4:$P$1203,4,0),"※编码不在物料档案里"))</f>
        <v/>
      </c>
      <c r="J1370" s="24">
        <f>IF($G1370="","",IFERROR(VLOOKUP($G1370,物料档案!$A$4:$P$1203,5,0),"※编码不在物料档案里"))</f>
        <v/>
      </c>
      <c r="K1370" s="23" t="n"/>
      <c r="L1370" s="31" t="n"/>
      <c r="M1370" s="24">
        <f>IF($G1370="","",IF($D1370="A国内","CNY","TZS"))</f>
        <v/>
      </c>
      <c r="N1370" s="28">
        <f>IF($G1370="","",IF($D1370="A国内",汇率,1))</f>
        <v/>
      </c>
      <c r="O1370" s="25">
        <f>IF($G1370="","",ROUND(N($K1370)*N($L1370),2))</f>
        <v/>
      </c>
      <c r="P1370" s="26">
        <f>IF($G1370="","",ROUND($O1370*$N1370,0))</f>
        <v/>
      </c>
      <c r="Q1370" s="26">
        <f>IF($G1370="","",SUMIFS($P$4:$P$2503,$E$4:$E$2503,$E1370,$Z$4:$Z$2503,"正常"))</f>
        <v/>
      </c>
      <c r="R1370" s="26">
        <f>IF($G1370="","",SUMIFS(费用台账!$I$4:$I$503,费用台账!$C$4:$C$503,$E1370,费用台账!$J$4:$J$503,"是",费用台账!$K$4:$K$503,"正常"))</f>
        <v/>
      </c>
      <c r="S1370" s="28">
        <f>IF($G1370="","",COUNTIFS($E$4:$E$2503,$E1370,$Z$4:$Z$2503,"正常",$Y$4:$Y$2503,"待补价"))</f>
        <v/>
      </c>
      <c r="T1370" s="26">
        <f>IF($G1370="","",SUMIFS($P$4:$P$2503,$E$4:$E$2503,$E1370,$Z$4:$Z$2503,"正常",$A$4:$A$2503,"&lt;="&amp;$A1370))</f>
        <v/>
      </c>
      <c r="U1370" s="26">
        <f>IF($G1370="","",IF(OR($S1370&gt;0,$Q1370=0,$R1370=0,$Z1370&lt;&gt;"正常"),0,ROUND($T1370/$Q1370*$R1370,0)-ROUND(($T1370-$P1370)/$Q1370*$R1370,0)))</f>
        <v/>
      </c>
      <c r="V1370" s="26">
        <f>IF($G1370="","",ROUND($P1370+$U1370,0))</f>
        <v/>
      </c>
      <c r="W1370" s="26">
        <f>IF($G1370="","",IF(N($K1370)=0,0,ROUND($V1370/$K1370,2)))</f>
        <v/>
      </c>
      <c r="X1370" s="17" t="n"/>
      <c r="Y1370" s="17" t="n"/>
      <c r="Z1370" s="17" t="n"/>
      <c r="AA1370" s="17" t="n"/>
      <c r="AB1370" s="17" t="n"/>
      <c r="AC1370" s="24">
        <f>IF($G1370="","",IF($H1370="※编码不在物料档案里","※物料编码不在档案里",IF(N($K1370)&lt;=0,"※入库数量要大于 0",IF(AND($C1370&lt;&gt;"",$C1370&lt;=结账锁),"※日期早于已结账截止日，不能再录",IF(AND($L1370=0,$X1370="正常"),"※没填单价，价格状态请选「待补价」",IF(AND($S1370&gt;0,$R1370&gt;0),"△本批有 "&amp;$S1370&amp;" 行没单价，整批运费先挂账没摊",IF(AND($B1370&lt;&gt;"",COUNTIF($B$4:$B$2503,$B1370)&gt;1),"※入库单号重复","")))))))</f>
        <v/>
      </c>
    </row>
    <row r="1371">
      <c r="A1371" s="24">
        <f>IF($G1371="","",COUNTA($G$4:$G1371))</f>
        <v/>
      </c>
      <c r="B1371" s="17" t="n"/>
      <c r="C1371" s="30" t="n"/>
      <c r="D1371" s="17" t="n"/>
      <c r="E1371" s="17" t="n"/>
      <c r="F1371" s="17" t="n"/>
      <c r="G1371" s="17" t="n"/>
      <c r="H1371" s="24">
        <f>IF($G1371="","",IFERROR(VLOOKUP($G1371,物料档案!$A$4:$P$1203,3,0),"※编码不在物料档案里"))</f>
        <v/>
      </c>
      <c r="I1371" s="24">
        <f>IF($G1371="","",IFERROR(VLOOKUP($G1371,物料档案!$A$4:$P$1203,4,0),"※编码不在物料档案里"))</f>
        <v/>
      </c>
      <c r="J1371" s="24">
        <f>IF($G1371="","",IFERROR(VLOOKUP($G1371,物料档案!$A$4:$P$1203,5,0),"※编码不在物料档案里"))</f>
        <v/>
      </c>
      <c r="K1371" s="23" t="n"/>
      <c r="L1371" s="31" t="n"/>
      <c r="M1371" s="24">
        <f>IF($G1371="","",IF($D1371="A国内","CNY","TZS"))</f>
        <v/>
      </c>
      <c r="N1371" s="28">
        <f>IF($G1371="","",IF($D1371="A国内",汇率,1))</f>
        <v/>
      </c>
      <c r="O1371" s="25">
        <f>IF($G1371="","",ROUND(N($K1371)*N($L1371),2))</f>
        <v/>
      </c>
      <c r="P1371" s="26">
        <f>IF($G1371="","",ROUND($O1371*$N1371,0))</f>
        <v/>
      </c>
      <c r="Q1371" s="26">
        <f>IF($G1371="","",SUMIFS($P$4:$P$2503,$E$4:$E$2503,$E1371,$Z$4:$Z$2503,"正常"))</f>
        <v/>
      </c>
      <c r="R1371" s="26">
        <f>IF($G1371="","",SUMIFS(费用台账!$I$4:$I$503,费用台账!$C$4:$C$503,$E1371,费用台账!$J$4:$J$503,"是",费用台账!$K$4:$K$503,"正常"))</f>
        <v/>
      </c>
      <c r="S1371" s="28">
        <f>IF($G1371="","",COUNTIFS($E$4:$E$2503,$E1371,$Z$4:$Z$2503,"正常",$Y$4:$Y$2503,"待补价"))</f>
        <v/>
      </c>
      <c r="T1371" s="26">
        <f>IF($G1371="","",SUMIFS($P$4:$P$2503,$E$4:$E$2503,$E1371,$Z$4:$Z$2503,"正常",$A$4:$A$2503,"&lt;="&amp;$A1371))</f>
        <v/>
      </c>
      <c r="U1371" s="26">
        <f>IF($G1371="","",IF(OR($S1371&gt;0,$Q1371=0,$R1371=0,$Z1371&lt;&gt;"正常"),0,ROUND($T1371/$Q1371*$R1371,0)-ROUND(($T1371-$P1371)/$Q1371*$R1371,0)))</f>
        <v/>
      </c>
      <c r="V1371" s="26">
        <f>IF($G1371="","",ROUND($P1371+$U1371,0))</f>
        <v/>
      </c>
      <c r="W1371" s="26">
        <f>IF($G1371="","",IF(N($K1371)=0,0,ROUND($V1371/$K1371,2)))</f>
        <v/>
      </c>
      <c r="X1371" s="17" t="n"/>
      <c r="Y1371" s="17" t="n"/>
      <c r="Z1371" s="17" t="n"/>
      <c r="AA1371" s="17" t="n"/>
      <c r="AB1371" s="17" t="n"/>
      <c r="AC1371" s="24">
        <f>IF($G1371="","",IF($H1371="※编码不在物料档案里","※物料编码不在档案里",IF(N($K1371)&lt;=0,"※入库数量要大于 0",IF(AND($C1371&lt;&gt;"",$C1371&lt;=结账锁),"※日期早于已结账截止日，不能再录",IF(AND($L1371=0,$X1371="正常"),"※没填单价，价格状态请选「待补价」",IF(AND($S1371&gt;0,$R1371&gt;0),"△本批有 "&amp;$S1371&amp;" 行没单价，整批运费先挂账没摊",IF(AND($B1371&lt;&gt;"",COUNTIF($B$4:$B$2503,$B1371)&gt;1),"※入库单号重复","")))))))</f>
        <v/>
      </c>
    </row>
    <row r="1372">
      <c r="A1372" s="24">
        <f>IF($G1372="","",COUNTA($G$4:$G1372))</f>
        <v/>
      </c>
      <c r="B1372" s="17" t="n"/>
      <c r="C1372" s="30" t="n"/>
      <c r="D1372" s="17" t="n"/>
      <c r="E1372" s="17" t="n"/>
      <c r="F1372" s="17" t="n"/>
      <c r="G1372" s="17" t="n"/>
      <c r="H1372" s="24">
        <f>IF($G1372="","",IFERROR(VLOOKUP($G1372,物料档案!$A$4:$P$1203,3,0),"※编码不在物料档案里"))</f>
        <v/>
      </c>
      <c r="I1372" s="24">
        <f>IF($G1372="","",IFERROR(VLOOKUP($G1372,物料档案!$A$4:$P$1203,4,0),"※编码不在物料档案里"))</f>
        <v/>
      </c>
      <c r="J1372" s="24">
        <f>IF($G1372="","",IFERROR(VLOOKUP($G1372,物料档案!$A$4:$P$1203,5,0),"※编码不在物料档案里"))</f>
        <v/>
      </c>
      <c r="K1372" s="23" t="n"/>
      <c r="L1372" s="31" t="n"/>
      <c r="M1372" s="24">
        <f>IF($G1372="","",IF($D1372="A国内","CNY","TZS"))</f>
        <v/>
      </c>
      <c r="N1372" s="28">
        <f>IF($G1372="","",IF($D1372="A国内",汇率,1))</f>
        <v/>
      </c>
      <c r="O1372" s="25">
        <f>IF($G1372="","",ROUND(N($K1372)*N($L1372),2))</f>
        <v/>
      </c>
      <c r="P1372" s="26">
        <f>IF($G1372="","",ROUND($O1372*$N1372,0))</f>
        <v/>
      </c>
      <c r="Q1372" s="26">
        <f>IF($G1372="","",SUMIFS($P$4:$P$2503,$E$4:$E$2503,$E1372,$Z$4:$Z$2503,"正常"))</f>
        <v/>
      </c>
      <c r="R1372" s="26">
        <f>IF($G1372="","",SUMIFS(费用台账!$I$4:$I$503,费用台账!$C$4:$C$503,$E1372,费用台账!$J$4:$J$503,"是",费用台账!$K$4:$K$503,"正常"))</f>
        <v/>
      </c>
      <c r="S1372" s="28">
        <f>IF($G1372="","",COUNTIFS($E$4:$E$2503,$E1372,$Z$4:$Z$2503,"正常",$Y$4:$Y$2503,"待补价"))</f>
        <v/>
      </c>
      <c r="T1372" s="26">
        <f>IF($G1372="","",SUMIFS($P$4:$P$2503,$E$4:$E$2503,$E1372,$Z$4:$Z$2503,"正常",$A$4:$A$2503,"&lt;="&amp;$A1372))</f>
        <v/>
      </c>
      <c r="U1372" s="26">
        <f>IF($G1372="","",IF(OR($S1372&gt;0,$Q1372=0,$R1372=0,$Z1372&lt;&gt;"正常"),0,ROUND($T1372/$Q1372*$R1372,0)-ROUND(($T1372-$P1372)/$Q1372*$R1372,0)))</f>
        <v/>
      </c>
      <c r="V1372" s="26">
        <f>IF($G1372="","",ROUND($P1372+$U1372,0))</f>
        <v/>
      </c>
      <c r="W1372" s="26">
        <f>IF($G1372="","",IF(N($K1372)=0,0,ROUND($V1372/$K1372,2)))</f>
        <v/>
      </c>
      <c r="X1372" s="17" t="n"/>
      <c r="Y1372" s="17" t="n"/>
      <c r="Z1372" s="17" t="n"/>
      <c r="AA1372" s="17" t="n"/>
      <c r="AB1372" s="17" t="n"/>
      <c r="AC1372" s="24">
        <f>IF($G1372="","",IF($H1372="※编码不在物料档案里","※物料编码不在档案里",IF(N($K1372)&lt;=0,"※入库数量要大于 0",IF(AND($C1372&lt;&gt;"",$C1372&lt;=结账锁),"※日期早于已结账截止日，不能再录",IF(AND($L1372=0,$X1372="正常"),"※没填单价，价格状态请选「待补价」",IF(AND($S1372&gt;0,$R1372&gt;0),"△本批有 "&amp;$S1372&amp;" 行没单价，整批运费先挂账没摊",IF(AND($B1372&lt;&gt;"",COUNTIF($B$4:$B$2503,$B1372)&gt;1),"※入库单号重复","")))))))</f>
        <v/>
      </c>
    </row>
    <row r="1373">
      <c r="A1373" s="24">
        <f>IF($G1373="","",COUNTA($G$4:$G1373))</f>
        <v/>
      </c>
      <c r="B1373" s="17" t="n"/>
      <c r="C1373" s="30" t="n"/>
      <c r="D1373" s="17" t="n"/>
      <c r="E1373" s="17" t="n"/>
      <c r="F1373" s="17" t="n"/>
      <c r="G1373" s="17" t="n"/>
      <c r="H1373" s="24">
        <f>IF($G1373="","",IFERROR(VLOOKUP($G1373,物料档案!$A$4:$P$1203,3,0),"※编码不在物料档案里"))</f>
        <v/>
      </c>
      <c r="I1373" s="24">
        <f>IF($G1373="","",IFERROR(VLOOKUP($G1373,物料档案!$A$4:$P$1203,4,0),"※编码不在物料档案里"))</f>
        <v/>
      </c>
      <c r="J1373" s="24">
        <f>IF($G1373="","",IFERROR(VLOOKUP($G1373,物料档案!$A$4:$P$1203,5,0),"※编码不在物料档案里"))</f>
        <v/>
      </c>
      <c r="K1373" s="23" t="n"/>
      <c r="L1373" s="31" t="n"/>
      <c r="M1373" s="24">
        <f>IF($G1373="","",IF($D1373="A国内","CNY","TZS"))</f>
        <v/>
      </c>
      <c r="N1373" s="28">
        <f>IF($G1373="","",IF($D1373="A国内",汇率,1))</f>
        <v/>
      </c>
      <c r="O1373" s="25">
        <f>IF($G1373="","",ROUND(N($K1373)*N($L1373),2))</f>
        <v/>
      </c>
      <c r="P1373" s="26">
        <f>IF($G1373="","",ROUND($O1373*$N1373,0))</f>
        <v/>
      </c>
      <c r="Q1373" s="26">
        <f>IF($G1373="","",SUMIFS($P$4:$P$2503,$E$4:$E$2503,$E1373,$Z$4:$Z$2503,"正常"))</f>
        <v/>
      </c>
      <c r="R1373" s="26">
        <f>IF($G1373="","",SUMIFS(费用台账!$I$4:$I$503,费用台账!$C$4:$C$503,$E1373,费用台账!$J$4:$J$503,"是",费用台账!$K$4:$K$503,"正常"))</f>
        <v/>
      </c>
      <c r="S1373" s="28">
        <f>IF($G1373="","",COUNTIFS($E$4:$E$2503,$E1373,$Z$4:$Z$2503,"正常",$Y$4:$Y$2503,"待补价"))</f>
        <v/>
      </c>
      <c r="T1373" s="26">
        <f>IF($G1373="","",SUMIFS($P$4:$P$2503,$E$4:$E$2503,$E1373,$Z$4:$Z$2503,"正常",$A$4:$A$2503,"&lt;="&amp;$A1373))</f>
        <v/>
      </c>
      <c r="U1373" s="26">
        <f>IF($G1373="","",IF(OR($S1373&gt;0,$Q1373=0,$R1373=0,$Z1373&lt;&gt;"正常"),0,ROUND($T1373/$Q1373*$R1373,0)-ROUND(($T1373-$P1373)/$Q1373*$R1373,0)))</f>
        <v/>
      </c>
      <c r="V1373" s="26">
        <f>IF($G1373="","",ROUND($P1373+$U1373,0))</f>
        <v/>
      </c>
      <c r="W1373" s="26">
        <f>IF($G1373="","",IF(N($K1373)=0,0,ROUND($V1373/$K1373,2)))</f>
        <v/>
      </c>
      <c r="X1373" s="17" t="n"/>
      <c r="Y1373" s="17" t="n"/>
      <c r="Z1373" s="17" t="n"/>
      <c r="AA1373" s="17" t="n"/>
      <c r="AB1373" s="17" t="n"/>
      <c r="AC1373" s="24">
        <f>IF($G1373="","",IF($H1373="※编码不在物料档案里","※物料编码不在档案里",IF(N($K1373)&lt;=0,"※入库数量要大于 0",IF(AND($C1373&lt;&gt;"",$C1373&lt;=结账锁),"※日期早于已结账截止日，不能再录",IF(AND($L1373=0,$X1373="正常"),"※没填单价，价格状态请选「待补价」",IF(AND($S1373&gt;0,$R1373&gt;0),"△本批有 "&amp;$S1373&amp;" 行没单价，整批运费先挂账没摊",IF(AND($B1373&lt;&gt;"",COUNTIF($B$4:$B$2503,$B1373)&gt;1),"※入库单号重复","")))))))</f>
        <v/>
      </c>
    </row>
    <row r="1374">
      <c r="A1374" s="24">
        <f>IF($G1374="","",COUNTA($G$4:$G1374))</f>
        <v/>
      </c>
      <c r="B1374" s="17" t="n"/>
      <c r="C1374" s="30" t="n"/>
      <c r="D1374" s="17" t="n"/>
      <c r="E1374" s="17" t="n"/>
      <c r="F1374" s="17" t="n"/>
      <c r="G1374" s="17" t="n"/>
      <c r="H1374" s="24">
        <f>IF($G1374="","",IFERROR(VLOOKUP($G1374,物料档案!$A$4:$P$1203,3,0),"※编码不在物料档案里"))</f>
        <v/>
      </c>
      <c r="I1374" s="24">
        <f>IF($G1374="","",IFERROR(VLOOKUP($G1374,物料档案!$A$4:$P$1203,4,0),"※编码不在物料档案里"))</f>
        <v/>
      </c>
      <c r="J1374" s="24">
        <f>IF($G1374="","",IFERROR(VLOOKUP($G1374,物料档案!$A$4:$P$1203,5,0),"※编码不在物料档案里"))</f>
        <v/>
      </c>
      <c r="K1374" s="23" t="n"/>
      <c r="L1374" s="31" t="n"/>
      <c r="M1374" s="24">
        <f>IF($G1374="","",IF($D1374="A国内","CNY","TZS"))</f>
        <v/>
      </c>
      <c r="N1374" s="28">
        <f>IF($G1374="","",IF($D1374="A国内",汇率,1))</f>
        <v/>
      </c>
      <c r="O1374" s="25">
        <f>IF($G1374="","",ROUND(N($K1374)*N($L1374),2))</f>
        <v/>
      </c>
      <c r="P1374" s="26">
        <f>IF($G1374="","",ROUND($O1374*$N1374,0))</f>
        <v/>
      </c>
      <c r="Q1374" s="26">
        <f>IF($G1374="","",SUMIFS($P$4:$P$2503,$E$4:$E$2503,$E1374,$Z$4:$Z$2503,"正常"))</f>
        <v/>
      </c>
      <c r="R1374" s="26">
        <f>IF($G1374="","",SUMIFS(费用台账!$I$4:$I$503,费用台账!$C$4:$C$503,$E1374,费用台账!$J$4:$J$503,"是",费用台账!$K$4:$K$503,"正常"))</f>
        <v/>
      </c>
      <c r="S1374" s="28">
        <f>IF($G1374="","",COUNTIFS($E$4:$E$2503,$E1374,$Z$4:$Z$2503,"正常",$Y$4:$Y$2503,"待补价"))</f>
        <v/>
      </c>
      <c r="T1374" s="26">
        <f>IF($G1374="","",SUMIFS($P$4:$P$2503,$E$4:$E$2503,$E1374,$Z$4:$Z$2503,"正常",$A$4:$A$2503,"&lt;="&amp;$A1374))</f>
        <v/>
      </c>
      <c r="U1374" s="26">
        <f>IF($G1374="","",IF(OR($S1374&gt;0,$Q1374=0,$R1374=0,$Z1374&lt;&gt;"正常"),0,ROUND($T1374/$Q1374*$R1374,0)-ROUND(($T1374-$P1374)/$Q1374*$R1374,0)))</f>
        <v/>
      </c>
      <c r="V1374" s="26">
        <f>IF($G1374="","",ROUND($P1374+$U1374,0))</f>
        <v/>
      </c>
      <c r="W1374" s="26">
        <f>IF($G1374="","",IF(N($K1374)=0,0,ROUND($V1374/$K1374,2)))</f>
        <v/>
      </c>
      <c r="X1374" s="17" t="n"/>
      <c r="Y1374" s="17" t="n"/>
      <c r="Z1374" s="17" t="n"/>
      <c r="AA1374" s="17" t="n"/>
      <c r="AB1374" s="17" t="n"/>
      <c r="AC1374" s="24">
        <f>IF($G1374="","",IF($H1374="※编码不在物料档案里","※物料编码不在档案里",IF(N($K1374)&lt;=0,"※入库数量要大于 0",IF(AND($C1374&lt;&gt;"",$C1374&lt;=结账锁),"※日期早于已结账截止日，不能再录",IF(AND($L1374=0,$X1374="正常"),"※没填单价，价格状态请选「待补价」",IF(AND($S1374&gt;0,$R1374&gt;0),"△本批有 "&amp;$S1374&amp;" 行没单价，整批运费先挂账没摊",IF(AND($B1374&lt;&gt;"",COUNTIF($B$4:$B$2503,$B1374)&gt;1),"※入库单号重复","")))))))</f>
        <v/>
      </c>
    </row>
    <row r="1375">
      <c r="A1375" s="24">
        <f>IF($G1375="","",COUNTA($G$4:$G1375))</f>
        <v/>
      </c>
      <c r="B1375" s="17" t="n"/>
      <c r="C1375" s="30" t="n"/>
      <c r="D1375" s="17" t="n"/>
      <c r="E1375" s="17" t="n"/>
      <c r="F1375" s="17" t="n"/>
      <c r="G1375" s="17" t="n"/>
      <c r="H1375" s="24">
        <f>IF($G1375="","",IFERROR(VLOOKUP($G1375,物料档案!$A$4:$P$1203,3,0),"※编码不在物料档案里"))</f>
        <v/>
      </c>
      <c r="I1375" s="24">
        <f>IF($G1375="","",IFERROR(VLOOKUP($G1375,物料档案!$A$4:$P$1203,4,0),"※编码不在物料档案里"))</f>
        <v/>
      </c>
      <c r="J1375" s="24">
        <f>IF($G1375="","",IFERROR(VLOOKUP($G1375,物料档案!$A$4:$P$1203,5,0),"※编码不在物料档案里"))</f>
        <v/>
      </c>
      <c r="K1375" s="23" t="n"/>
      <c r="L1375" s="31" t="n"/>
      <c r="M1375" s="24">
        <f>IF($G1375="","",IF($D1375="A国内","CNY","TZS"))</f>
        <v/>
      </c>
      <c r="N1375" s="28">
        <f>IF($G1375="","",IF($D1375="A国内",汇率,1))</f>
        <v/>
      </c>
      <c r="O1375" s="25">
        <f>IF($G1375="","",ROUND(N($K1375)*N($L1375),2))</f>
        <v/>
      </c>
      <c r="P1375" s="26">
        <f>IF($G1375="","",ROUND($O1375*$N1375,0))</f>
        <v/>
      </c>
      <c r="Q1375" s="26">
        <f>IF($G1375="","",SUMIFS($P$4:$P$2503,$E$4:$E$2503,$E1375,$Z$4:$Z$2503,"正常"))</f>
        <v/>
      </c>
      <c r="R1375" s="26">
        <f>IF($G1375="","",SUMIFS(费用台账!$I$4:$I$503,费用台账!$C$4:$C$503,$E1375,费用台账!$J$4:$J$503,"是",费用台账!$K$4:$K$503,"正常"))</f>
        <v/>
      </c>
      <c r="S1375" s="28">
        <f>IF($G1375="","",COUNTIFS($E$4:$E$2503,$E1375,$Z$4:$Z$2503,"正常",$Y$4:$Y$2503,"待补价"))</f>
        <v/>
      </c>
      <c r="T1375" s="26">
        <f>IF($G1375="","",SUMIFS($P$4:$P$2503,$E$4:$E$2503,$E1375,$Z$4:$Z$2503,"正常",$A$4:$A$2503,"&lt;="&amp;$A1375))</f>
        <v/>
      </c>
      <c r="U1375" s="26">
        <f>IF($G1375="","",IF(OR($S1375&gt;0,$Q1375=0,$R1375=0,$Z1375&lt;&gt;"正常"),0,ROUND($T1375/$Q1375*$R1375,0)-ROUND(($T1375-$P1375)/$Q1375*$R1375,0)))</f>
        <v/>
      </c>
      <c r="V1375" s="26">
        <f>IF($G1375="","",ROUND($P1375+$U1375,0))</f>
        <v/>
      </c>
      <c r="W1375" s="26">
        <f>IF($G1375="","",IF(N($K1375)=0,0,ROUND($V1375/$K1375,2)))</f>
        <v/>
      </c>
      <c r="X1375" s="17" t="n"/>
      <c r="Y1375" s="17" t="n"/>
      <c r="Z1375" s="17" t="n"/>
      <c r="AA1375" s="17" t="n"/>
      <c r="AB1375" s="17" t="n"/>
      <c r="AC1375" s="24">
        <f>IF($G1375="","",IF($H1375="※编码不在物料档案里","※物料编码不在档案里",IF(N($K1375)&lt;=0,"※入库数量要大于 0",IF(AND($C1375&lt;&gt;"",$C1375&lt;=结账锁),"※日期早于已结账截止日，不能再录",IF(AND($L1375=0,$X1375="正常"),"※没填单价，价格状态请选「待补价」",IF(AND($S1375&gt;0,$R1375&gt;0),"△本批有 "&amp;$S1375&amp;" 行没单价，整批运费先挂账没摊",IF(AND($B1375&lt;&gt;"",COUNTIF($B$4:$B$2503,$B1375)&gt;1),"※入库单号重复","")))))))</f>
        <v/>
      </c>
    </row>
    <row r="1376">
      <c r="A1376" s="24">
        <f>IF($G1376="","",COUNTA($G$4:$G1376))</f>
        <v/>
      </c>
      <c r="B1376" s="17" t="n"/>
      <c r="C1376" s="30" t="n"/>
      <c r="D1376" s="17" t="n"/>
      <c r="E1376" s="17" t="n"/>
      <c r="F1376" s="17" t="n"/>
      <c r="G1376" s="17" t="n"/>
      <c r="H1376" s="24">
        <f>IF($G1376="","",IFERROR(VLOOKUP($G1376,物料档案!$A$4:$P$1203,3,0),"※编码不在物料档案里"))</f>
        <v/>
      </c>
      <c r="I1376" s="24">
        <f>IF($G1376="","",IFERROR(VLOOKUP($G1376,物料档案!$A$4:$P$1203,4,0),"※编码不在物料档案里"))</f>
        <v/>
      </c>
      <c r="J1376" s="24">
        <f>IF($G1376="","",IFERROR(VLOOKUP($G1376,物料档案!$A$4:$P$1203,5,0),"※编码不在物料档案里"))</f>
        <v/>
      </c>
      <c r="K1376" s="23" t="n"/>
      <c r="L1376" s="31" t="n"/>
      <c r="M1376" s="24">
        <f>IF($G1376="","",IF($D1376="A国内","CNY","TZS"))</f>
        <v/>
      </c>
      <c r="N1376" s="28">
        <f>IF($G1376="","",IF($D1376="A国内",汇率,1))</f>
        <v/>
      </c>
      <c r="O1376" s="25">
        <f>IF($G1376="","",ROUND(N($K1376)*N($L1376),2))</f>
        <v/>
      </c>
      <c r="P1376" s="26">
        <f>IF($G1376="","",ROUND($O1376*$N1376,0))</f>
        <v/>
      </c>
      <c r="Q1376" s="26">
        <f>IF($G1376="","",SUMIFS($P$4:$P$2503,$E$4:$E$2503,$E1376,$Z$4:$Z$2503,"正常"))</f>
        <v/>
      </c>
      <c r="R1376" s="26">
        <f>IF($G1376="","",SUMIFS(费用台账!$I$4:$I$503,费用台账!$C$4:$C$503,$E1376,费用台账!$J$4:$J$503,"是",费用台账!$K$4:$K$503,"正常"))</f>
        <v/>
      </c>
      <c r="S1376" s="28">
        <f>IF($G1376="","",COUNTIFS($E$4:$E$2503,$E1376,$Z$4:$Z$2503,"正常",$Y$4:$Y$2503,"待补价"))</f>
        <v/>
      </c>
      <c r="T1376" s="26">
        <f>IF($G1376="","",SUMIFS($P$4:$P$2503,$E$4:$E$2503,$E1376,$Z$4:$Z$2503,"正常",$A$4:$A$2503,"&lt;="&amp;$A1376))</f>
        <v/>
      </c>
      <c r="U1376" s="26">
        <f>IF($G1376="","",IF(OR($S1376&gt;0,$Q1376=0,$R1376=0,$Z1376&lt;&gt;"正常"),0,ROUND($T1376/$Q1376*$R1376,0)-ROUND(($T1376-$P1376)/$Q1376*$R1376,0)))</f>
        <v/>
      </c>
      <c r="V1376" s="26">
        <f>IF($G1376="","",ROUND($P1376+$U1376,0))</f>
        <v/>
      </c>
      <c r="W1376" s="26">
        <f>IF($G1376="","",IF(N($K1376)=0,0,ROUND($V1376/$K1376,2)))</f>
        <v/>
      </c>
      <c r="X1376" s="17" t="n"/>
      <c r="Y1376" s="17" t="n"/>
      <c r="Z1376" s="17" t="n"/>
      <c r="AA1376" s="17" t="n"/>
      <c r="AB1376" s="17" t="n"/>
      <c r="AC1376" s="24">
        <f>IF($G1376="","",IF($H1376="※编码不在物料档案里","※物料编码不在档案里",IF(N($K1376)&lt;=0,"※入库数量要大于 0",IF(AND($C1376&lt;&gt;"",$C1376&lt;=结账锁),"※日期早于已结账截止日，不能再录",IF(AND($L1376=0,$X1376="正常"),"※没填单价，价格状态请选「待补价」",IF(AND($S1376&gt;0,$R1376&gt;0),"△本批有 "&amp;$S1376&amp;" 行没单价，整批运费先挂账没摊",IF(AND($B1376&lt;&gt;"",COUNTIF($B$4:$B$2503,$B1376)&gt;1),"※入库单号重复","")))))))</f>
        <v/>
      </c>
    </row>
    <row r="1377">
      <c r="A1377" s="24">
        <f>IF($G1377="","",COUNTA($G$4:$G1377))</f>
        <v/>
      </c>
      <c r="B1377" s="17" t="n"/>
      <c r="C1377" s="30" t="n"/>
      <c r="D1377" s="17" t="n"/>
      <c r="E1377" s="17" t="n"/>
      <c r="F1377" s="17" t="n"/>
      <c r="G1377" s="17" t="n"/>
      <c r="H1377" s="24">
        <f>IF($G1377="","",IFERROR(VLOOKUP($G1377,物料档案!$A$4:$P$1203,3,0),"※编码不在物料档案里"))</f>
        <v/>
      </c>
      <c r="I1377" s="24">
        <f>IF($G1377="","",IFERROR(VLOOKUP($G1377,物料档案!$A$4:$P$1203,4,0),"※编码不在物料档案里"))</f>
        <v/>
      </c>
      <c r="J1377" s="24">
        <f>IF($G1377="","",IFERROR(VLOOKUP($G1377,物料档案!$A$4:$P$1203,5,0),"※编码不在物料档案里"))</f>
        <v/>
      </c>
      <c r="K1377" s="23" t="n"/>
      <c r="L1377" s="31" t="n"/>
      <c r="M1377" s="24">
        <f>IF($G1377="","",IF($D1377="A国内","CNY","TZS"))</f>
        <v/>
      </c>
      <c r="N1377" s="28">
        <f>IF($G1377="","",IF($D1377="A国内",汇率,1))</f>
        <v/>
      </c>
      <c r="O1377" s="25">
        <f>IF($G1377="","",ROUND(N($K1377)*N($L1377),2))</f>
        <v/>
      </c>
      <c r="P1377" s="26">
        <f>IF($G1377="","",ROUND($O1377*$N1377,0))</f>
        <v/>
      </c>
      <c r="Q1377" s="26">
        <f>IF($G1377="","",SUMIFS($P$4:$P$2503,$E$4:$E$2503,$E1377,$Z$4:$Z$2503,"正常"))</f>
        <v/>
      </c>
      <c r="R1377" s="26">
        <f>IF($G1377="","",SUMIFS(费用台账!$I$4:$I$503,费用台账!$C$4:$C$503,$E1377,费用台账!$J$4:$J$503,"是",费用台账!$K$4:$K$503,"正常"))</f>
        <v/>
      </c>
      <c r="S1377" s="28">
        <f>IF($G1377="","",COUNTIFS($E$4:$E$2503,$E1377,$Z$4:$Z$2503,"正常",$Y$4:$Y$2503,"待补价"))</f>
        <v/>
      </c>
      <c r="T1377" s="26">
        <f>IF($G1377="","",SUMIFS($P$4:$P$2503,$E$4:$E$2503,$E1377,$Z$4:$Z$2503,"正常",$A$4:$A$2503,"&lt;="&amp;$A1377))</f>
        <v/>
      </c>
      <c r="U1377" s="26">
        <f>IF($G1377="","",IF(OR($S1377&gt;0,$Q1377=0,$R1377=0,$Z1377&lt;&gt;"正常"),0,ROUND($T1377/$Q1377*$R1377,0)-ROUND(($T1377-$P1377)/$Q1377*$R1377,0)))</f>
        <v/>
      </c>
      <c r="V1377" s="26">
        <f>IF($G1377="","",ROUND($P1377+$U1377,0))</f>
        <v/>
      </c>
      <c r="W1377" s="26">
        <f>IF($G1377="","",IF(N($K1377)=0,0,ROUND($V1377/$K1377,2)))</f>
        <v/>
      </c>
      <c r="X1377" s="17" t="n"/>
      <c r="Y1377" s="17" t="n"/>
      <c r="Z1377" s="17" t="n"/>
      <c r="AA1377" s="17" t="n"/>
      <c r="AB1377" s="17" t="n"/>
      <c r="AC1377" s="24">
        <f>IF($G1377="","",IF($H1377="※编码不在物料档案里","※物料编码不在档案里",IF(N($K1377)&lt;=0,"※入库数量要大于 0",IF(AND($C1377&lt;&gt;"",$C1377&lt;=结账锁),"※日期早于已结账截止日，不能再录",IF(AND($L1377=0,$X1377="正常"),"※没填单价，价格状态请选「待补价」",IF(AND($S1377&gt;0,$R1377&gt;0),"△本批有 "&amp;$S1377&amp;" 行没单价，整批运费先挂账没摊",IF(AND($B1377&lt;&gt;"",COUNTIF($B$4:$B$2503,$B1377)&gt;1),"※入库单号重复","")))))))</f>
        <v/>
      </c>
    </row>
    <row r="1378">
      <c r="A1378" s="24">
        <f>IF($G1378="","",COUNTA($G$4:$G1378))</f>
        <v/>
      </c>
      <c r="B1378" s="17" t="n"/>
      <c r="C1378" s="30" t="n"/>
      <c r="D1378" s="17" t="n"/>
      <c r="E1378" s="17" t="n"/>
      <c r="F1378" s="17" t="n"/>
      <c r="G1378" s="17" t="n"/>
      <c r="H1378" s="24">
        <f>IF($G1378="","",IFERROR(VLOOKUP($G1378,物料档案!$A$4:$P$1203,3,0),"※编码不在物料档案里"))</f>
        <v/>
      </c>
      <c r="I1378" s="24">
        <f>IF($G1378="","",IFERROR(VLOOKUP($G1378,物料档案!$A$4:$P$1203,4,0),"※编码不在物料档案里"))</f>
        <v/>
      </c>
      <c r="J1378" s="24">
        <f>IF($G1378="","",IFERROR(VLOOKUP($G1378,物料档案!$A$4:$P$1203,5,0),"※编码不在物料档案里"))</f>
        <v/>
      </c>
      <c r="K1378" s="23" t="n"/>
      <c r="L1378" s="31" t="n"/>
      <c r="M1378" s="24">
        <f>IF($G1378="","",IF($D1378="A国内","CNY","TZS"))</f>
        <v/>
      </c>
      <c r="N1378" s="28">
        <f>IF($G1378="","",IF($D1378="A国内",汇率,1))</f>
        <v/>
      </c>
      <c r="O1378" s="25">
        <f>IF($G1378="","",ROUND(N($K1378)*N($L1378),2))</f>
        <v/>
      </c>
      <c r="P1378" s="26">
        <f>IF($G1378="","",ROUND($O1378*$N1378,0))</f>
        <v/>
      </c>
      <c r="Q1378" s="26">
        <f>IF($G1378="","",SUMIFS($P$4:$P$2503,$E$4:$E$2503,$E1378,$Z$4:$Z$2503,"正常"))</f>
        <v/>
      </c>
      <c r="R1378" s="26">
        <f>IF($G1378="","",SUMIFS(费用台账!$I$4:$I$503,费用台账!$C$4:$C$503,$E1378,费用台账!$J$4:$J$503,"是",费用台账!$K$4:$K$503,"正常"))</f>
        <v/>
      </c>
      <c r="S1378" s="28">
        <f>IF($G1378="","",COUNTIFS($E$4:$E$2503,$E1378,$Z$4:$Z$2503,"正常",$Y$4:$Y$2503,"待补价"))</f>
        <v/>
      </c>
      <c r="T1378" s="26">
        <f>IF($G1378="","",SUMIFS($P$4:$P$2503,$E$4:$E$2503,$E1378,$Z$4:$Z$2503,"正常",$A$4:$A$2503,"&lt;="&amp;$A1378))</f>
        <v/>
      </c>
      <c r="U1378" s="26">
        <f>IF($G1378="","",IF(OR($S1378&gt;0,$Q1378=0,$R1378=0,$Z1378&lt;&gt;"正常"),0,ROUND($T1378/$Q1378*$R1378,0)-ROUND(($T1378-$P1378)/$Q1378*$R1378,0)))</f>
        <v/>
      </c>
      <c r="V1378" s="26">
        <f>IF($G1378="","",ROUND($P1378+$U1378,0))</f>
        <v/>
      </c>
      <c r="W1378" s="26">
        <f>IF($G1378="","",IF(N($K1378)=0,0,ROUND($V1378/$K1378,2)))</f>
        <v/>
      </c>
      <c r="X1378" s="17" t="n"/>
      <c r="Y1378" s="17" t="n"/>
      <c r="Z1378" s="17" t="n"/>
      <c r="AA1378" s="17" t="n"/>
      <c r="AB1378" s="17" t="n"/>
      <c r="AC1378" s="24">
        <f>IF($G1378="","",IF($H1378="※编码不在物料档案里","※物料编码不在档案里",IF(N($K1378)&lt;=0,"※入库数量要大于 0",IF(AND($C1378&lt;&gt;"",$C1378&lt;=结账锁),"※日期早于已结账截止日，不能再录",IF(AND($L1378=0,$X1378="正常"),"※没填单价，价格状态请选「待补价」",IF(AND($S1378&gt;0,$R1378&gt;0),"△本批有 "&amp;$S1378&amp;" 行没单价，整批运费先挂账没摊",IF(AND($B1378&lt;&gt;"",COUNTIF($B$4:$B$2503,$B1378)&gt;1),"※入库单号重复","")))))))</f>
        <v/>
      </c>
    </row>
    <row r="1379">
      <c r="A1379" s="24">
        <f>IF($G1379="","",COUNTA($G$4:$G1379))</f>
        <v/>
      </c>
      <c r="B1379" s="17" t="n"/>
      <c r="C1379" s="30" t="n"/>
      <c r="D1379" s="17" t="n"/>
      <c r="E1379" s="17" t="n"/>
      <c r="F1379" s="17" t="n"/>
      <c r="G1379" s="17" t="n"/>
      <c r="H1379" s="24">
        <f>IF($G1379="","",IFERROR(VLOOKUP($G1379,物料档案!$A$4:$P$1203,3,0),"※编码不在物料档案里"))</f>
        <v/>
      </c>
      <c r="I1379" s="24">
        <f>IF($G1379="","",IFERROR(VLOOKUP($G1379,物料档案!$A$4:$P$1203,4,0),"※编码不在物料档案里"))</f>
        <v/>
      </c>
      <c r="J1379" s="24">
        <f>IF($G1379="","",IFERROR(VLOOKUP($G1379,物料档案!$A$4:$P$1203,5,0),"※编码不在物料档案里"))</f>
        <v/>
      </c>
      <c r="K1379" s="23" t="n"/>
      <c r="L1379" s="31" t="n"/>
      <c r="M1379" s="24">
        <f>IF($G1379="","",IF($D1379="A国内","CNY","TZS"))</f>
        <v/>
      </c>
      <c r="N1379" s="28">
        <f>IF($G1379="","",IF($D1379="A国内",汇率,1))</f>
        <v/>
      </c>
      <c r="O1379" s="25">
        <f>IF($G1379="","",ROUND(N($K1379)*N($L1379),2))</f>
        <v/>
      </c>
      <c r="P1379" s="26">
        <f>IF($G1379="","",ROUND($O1379*$N1379,0))</f>
        <v/>
      </c>
      <c r="Q1379" s="26">
        <f>IF($G1379="","",SUMIFS($P$4:$P$2503,$E$4:$E$2503,$E1379,$Z$4:$Z$2503,"正常"))</f>
        <v/>
      </c>
      <c r="R1379" s="26">
        <f>IF($G1379="","",SUMIFS(费用台账!$I$4:$I$503,费用台账!$C$4:$C$503,$E1379,费用台账!$J$4:$J$503,"是",费用台账!$K$4:$K$503,"正常"))</f>
        <v/>
      </c>
      <c r="S1379" s="28">
        <f>IF($G1379="","",COUNTIFS($E$4:$E$2503,$E1379,$Z$4:$Z$2503,"正常",$Y$4:$Y$2503,"待补价"))</f>
        <v/>
      </c>
      <c r="T1379" s="26">
        <f>IF($G1379="","",SUMIFS($P$4:$P$2503,$E$4:$E$2503,$E1379,$Z$4:$Z$2503,"正常",$A$4:$A$2503,"&lt;="&amp;$A1379))</f>
        <v/>
      </c>
      <c r="U1379" s="26">
        <f>IF($G1379="","",IF(OR($S1379&gt;0,$Q1379=0,$R1379=0,$Z1379&lt;&gt;"正常"),0,ROUND($T1379/$Q1379*$R1379,0)-ROUND(($T1379-$P1379)/$Q1379*$R1379,0)))</f>
        <v/>
      </c>
      <c r="V1379" s="26">
        <f>IF($G1379="","",ROUND($P1379+$U1379,0))</f>
        <v/>
      </c>
      <c r="W1379" s="26">
        <f>IF($G1379="","",IF(N($K1379)=0,0,ROUND($V1379/$K1379,2)))</f>
        <v/>
      </c>
      <c r="X1379" s="17" t="n"/>
      <c r="Y1379" s="17" t="n"/>
      <c r="Z1379" s="17" t="n"/>
      <c r="AA1379" s="17" t="n"/>
      <c r="AB1379" s="17" t="n"/>
      <c r="AC1379" s="24">
        <f>IF($G1379="","",IF($H1379="※编码不在物料档案里","※物料编码不在档案里",IF(N($K1379)&lt;=0,"※入库数量要大于 0",IF(AND($C1379&lt;&gt;"",$C1379&lt;=结账锁),"※日期早于已结账截止日，不能再录",IF(AND($L1379=0,$X1379="正常"),"※没填单价，价格状态请选「待补价」",IF(AND($S1379&gt;0,$R1379&gt;0),"△本批有 "&amp;$S1379&amp;" 行没单价，整批运费先挂账没摊",IF(AND($B1379&lt;&gt;"",COUNTIF($B$4:$B$2503,$B1379)&gt;1),"※入库单号重复","")))))))</f>
        <v/>
      </c>
    </row>
    <row r="1380">
      <c r="A1380" s="24">
        <f>IF($G1380="","",COUNTA($G$4:$G1380))</f>
        <v/>
      </c>
      <c r="B1380" s="17" t="n"/>
      <c r="C1380" s="30" t="n"/>
      <c r="D1380" s="17" t="n"/>
      <c r="E1380" s="17" t="n"/>
      <c r="F1380" s="17" t="n"/>
      <c r="G1380" s="17" t="n"/>
      <c r="H1380" s="24">
        <f>IF($G1380="","",IFERROR(VLOOKUP($G1380,物料档案!$A$4:$P$1203,3,0),"※编码不在物料档案里"))</f>
        <v/>
      </c>
      <c r="I1380" s="24">
        <f>IF($G1380="","",IFERROR(VLOOKUP($G1380,物料档案!$A$4:$P$1203,4,0),"※编码不在物料档案里"))</f>
        <v/>
      </c>
      <c r="J1380" s="24">
        <f>IF($G1380="","",IFERROR(VLOOKUP($G1380,物料档案!$A$4:$P$1203,5,0),"※编码不在物料档案里"))</f>
        <v/>
      </c>
      <c r="K1380" s="23" t="n"/>
      <c r="L1380" s="31" t="n"/>
      <c r="M1380" s="24">
        <f>IF($G1380="","",IF($D1380="A国内","CNY","TZS"))</f>
        <v/>
      </c>
      <c r="N1380" s="28">
        <f>IF($G1380="","",IF($D1380="A国内",汇率,1))</f>
        <v/>
      </c>
      <c r="O1380" s="25">
        <f>IF($G1380="","",ROUND(N($K1380)*N($L1380),2))</f>
        <v/>
      </c>
      <c r="P1380" s="26">
        <f>IF($G1380="","",ROUND($O1380*$N1380,0))</f>
        <v/>
      </c>
      <c r="Q1380" s="26">
        <f>IF($G1380="","",SUMIFS($P$4:$P$2503,$E$4:$E$2503,$E1380,$Z$4:$Z$2503,"正常"))</f>
        <v/>
      </c>
      <c r="R1380" s="26">
        <f>IF($G1380="","",SUMIFS(费用台账!$I$4:$I$503,费用台账!$C$4:$C$503,$E1380,费用台账!$J$4:$J$503,"是",费用台账!$K$4:$K$503,"正常"))</f>
        <v/>
      </c>
      <c r="S1380" s="28">
        <f>IF($G1380="","",COUNTIFS($E$4:$E$2503,$E1380,$Z$4:$Z$2503,"正常",$Y$4:$Y$2503,"待补价"))</f>
        <v/>
      </c>
      <c r="T1380" s="26">
        <f>IF($G1380="","",SUMIFS($P$4:$P$2503,$E$4:$E$2503,$E1380,$Z$4:$Z$2503,"正常",$A$4:$A$2503,"&lt;="&amp;$A1380))</f>
        <v/>
      </c>
      <c r="U1380" s="26">
        <f>IF($G1380="","",IF(OR($S1380&gt;0,$Q1380=0,$R1380=0,$Z1380&lt;&gt;"正常"),0,ROUND($T1380/$Q1380*$R1380,0)-ROUND(($T1380-$P1380)/$Q1380*$R1380,0)))</f>
        <v/>
      </c>
      <c r="V1380" s="26">
        <f>IF($G1380="","",ROUND($P1380+$U1380,0))</f>
        <v/>
      </c>
      <c r="W1380" s="26">
        <f>IF($G1380="","",IF(N($K1380)=0,0,ROUND($V1380/$K1380,2)))</f>
        <v/>
      </c>
      <c r="X1380" s="17" t="n"/>
      <c r="Y1380" s="17" t="n"/>
      <c r="Z1380" s="17" t="n"/>
      <c r="AA1380" s="17" t="n"/>
      <c r="AB1380" s="17" t="n"/>
      <c r="AC1380" s="24">
        <f>IF($G1380="","",IF($H1380="※编码不在物料档案里","※物料编码不在档案里",IF(N($K1380)&lt;=0,"※入库数量要大于 0",IF(AND($C1380&lt;&gt;"",$C1380&lt;=结账锁),"※日期早于已结账截止日，不能再录",IF(AND($L1380=0,$X1380="正常"),"※没填单价，价格状态请选「待补价」",IF(AND($S1380&gt;0,$R1380&gt;0),"△本批有 "&amp;$S1380&amp;" 行没单价，整批运费先挂账没摊",IF(AND($B1380&lt;&gt;"",COUNTIF($B$4:$B$2503,$B1380)&gt;1),"※入库单号重复","")))))))</f>
        <v/>
      </c>
    </row>
    <row r="1381">
      <c r="A1381" s="24">
        <f>IF($G1381="","",COUNTA($G$4:$G1381))</f>
        <v/>
      </c>
      <c r="B1381" s="17" t="n"/>
      <c r="C1381" s="30" t="n"/>
      <c r="D1381" s="17" t="n"/>
      <c r="E1381" s="17" t="n"/>
      <c r="F1381" s="17" t="n"/>
      <c r="G1381" s="17" t="n"/>
      <c r="H1381" s="24">
        <f>IF($G1381="","",IFERROR(VLOOKUP($G1381,物料档案!$A$4:$P$1203,3,0),"※编码不在物料档案里"))</f>
        <v/>
      </c>
      <c r="I1381" s="24">
        <f>IF($G1381="","",IFERROR(VLOOKUP($G1381,物料档案!$A$4:$P$1203,4,0),"※编码不在物料档案里"))</f>
        <v/>
      </c>
      <c r="J1381" s="24">
        <f>IF($G1381="","",IFERROR(VLOOKUP($G1381,物料档案!$A$4:$P$1203,5,0),"※编码不在物料档案里"))</f>
        <v/>
      </c>
      <c r="K1381" s="23" t="n"/>
      <c r="L1381" s="31" t="n"/>
      <c r="M1381" s="24">
        <f>IF($G1381="","",IF($D1381="A国内","CNY","TZS"))</f>
        <v/>
      </c>
      <c r="N1381" s="28">
        <f>IF($G1381="","",IF($D1381="A国内",汇率,1))</f>
        <v/>
      </c>
      <c r="O1381" s="25">
        <f>IF($G1381="","",ROUND(N($K1381)*N($L1381),2))</f>
        <v/>
      </c>
      <c r="P1381" s="26">
        <f>IF($G1381="","",ROUND($O1381*$N1381,0))</f>
        <v/>
      </c>
      <c r="Q1381" s="26">
        <f>IF($G1381="","",SUMIFS($P$4:$P$2503,$E$4:$E$2503,$E1381,$Z$4:$Z$2503,"正常"))</f>
        <v/>
      </c>
      <c r="R1381" s="26">
        <f>IF($G1381="","",SUMIFS(费用台账!$I$4:$I$503,费用台账!$C$4:$C$503,$E1381,费用台账!$J$4:$J$503,"是",费用台账!$K$4:$K$503,"正常"))</f>
        <v/>
      </c>
      <c r="S1381" s="28">
        <f>IF($G1381="","",COUNTIFS($E$4:$E$2503,$E1381,$Z$4:$Z$2503,"正常",$Y$4:$Y$2503,"待补价"))</f>
        <v/>
      </c>
      <c r="T1381" s="26">
        <f>IF($G1381="","",SUMIFS($P$4:$P$2503,$E$4:$E$2503,$E1381,$Z$4:$Z$2503,"正常",$A$4:$A$2503,"&lt;="&amp;$A1381))</f>
        <v/>
      </c>
      <c r="U1381" s="26">
        <f>IF($G1381="","",IF(OR($S1381&gt;0,$Q1381=0,$R1381=0,$Z1381&lt;&gt;"正常"),0,ROUND($T1381/$Q1381*$R1381,0)-ROUND(($T1381-$P1381)/$Q1381*$R1381,0)))</f>
        <v/>
      </c>
      <c r="V1381" s="26">
        <f>IF($G1381="","",ROUND($P1381+$U1381,0))</f>
        <v/>
      </c>
      <c r="W1381" s="26">
        <f>IF($G1381="","",IF(N($K1381)=0,0,ROUND($V1381/$K1381,2)))</f>
        <v/>
      </c>
      <c r="X1381" s="17" t="n"/>
      <c r="Y1381" s="17" t="n"/>
      <c r="Z1381" s="17" t="n"/>
      <c r="AA1381" s="17" t="n"/>
      <c r="AB1381" s="17" t="n"/>
      <c r="AC1381" s="24">
        <f>IF($G1381="","",IF($H1381="※编码不在物料档案里","※物料编码不在档案里",IF(N($K1381)&lt;=0,"※入库数量要大于 0",IF(AND($C1381&lt;&gt;"",$C1381&lt;=结账锁),"※日期早于已结账截止日，不能再录",IF(AND($L1381=0,$X1381="正常"),"※没填单价，价格状态请选「待补价」",IF(AND($S1381&gt;0,$R1381&gt;0),"△本批有 "&amp;$S1381&amp;" 行没单价，整批运费先挂账没摊",IF(AND($B1381&lt;&gt;"",COUNTIF($B$4:$B$2503,$B1381)&gt;1),"※入库单号重复","")))))))</f>
        <v/>
      </c>
    </row>
    <row r="1382">
      <c r="A1382" s="24">
        <f>IF($G1382="","",COUNTA($G$4:$G1382))</f>
        <v/>
      </c>
      <c r="B1382" s="17" t="n"/>
      <c r="C1382" s="30" t="n"/>
      <c r="D1382" s="17" t="n"/>
      <c r="E1382" s="17" t="n"/>
      <c r="F1382" s="17" t="n"/>
      <c r="G1382" s="17" t="n"/>
      <c r="H1382" s="24">
        <f>IF($G1382="","",IFERROR(VLOOKUP($G1382,物料档案!$A$4:$P$1203,3,0),"※编码不在物料档案里"))</f>
        <v/>
      </c>
      <c r="I1382" s="24">
        <f>IF($G1382="","",IFERROR(VLOOKUP($G1382,物料档案!$A$4:$P$1203,4,0),"※编码不在物料档案里"))</f>
        <v/>
      </c>
      <c r="J1382" s="24">
        <f>IF($G1382="","",IFERROR(VLOOKUP($G1382,物料档案!$A$4:$P$1203,5,0),"※编码不在物料档案里"))</f>
        <v/>
      </c>
      <c r="K1382" s="23" t="n"/>
      <c r="L1382" s="31" t="n"/>
      <c r="M1382" s="24">
        <f>IF($G1382="","",IF($D1382="A国内","CNY","TZS"))</f>
        <v/>
      </c>
      <c r="N1382" s="28">
        <f>IF($G1382="","",IF($D1382="A国内",汇率,1))</f>
        <v/>
      </c>
      <c r="O1382" s="25">
        <f>IF($G1382="","",ROUND(N($K1382)*N($L1382),2))</f>
        <v/>
      </c>
      <c r="P1382" s="26">
        <f>IF($G1382="","",ROUND($O1382*$N1382,0))</f>
        <v/>
      </c>
      <c r="Q1382" s="26">
        <f>IF($G1382="","",SUMIFS($P$4:$P$2503,$E$4:$E$2503,$E1382,$Z$4:$Z$2503,"正常"))</f>
        <v/>
      </c>
      <c r="R1382" s="26">
        <f>IF($G1382="","",SUMIFS(费用台账!$I$4:$I$503,费用台账!$C$4:$C$503,$E1382,费用台账!$J$4:$J$503,"是",费用台账!$K$4:$K$503,"正常"))</f>
        <v/>
      </c>
      <c r="S1382" s="28">
        <f>IF($G1382="","",COUNTIFS($E$4:$E$2503,$E1382,$Z$4:$Z$2503,"正常",$Y$4:$Y$2503,"待补价"))</f>
        <v/>
      </c>
      <c r="T1382" s="26">
        <f>IF($G1382="","",SUMIFS($P$4:$P$2503,$E$4:$E$2503,$E1382,$Z$4:$Z$2503,"正常",$A$4:$A$2503,"&lt;="&amp;$A1382))</f>
        <v/>
      </c>
      <c r="U1382" s="26">
        <f>IF($G1382="","",IF(OR($S1382&gt;0,$Q1382=0,$R1382=0,$Z1382&lt;&gt;"正常"),0,ROUND($T1382/$Q1382*$R1382,0)-ROUND(($T1382-$P1382)/$Q1382*$R1382,0)))</f>
        <v/>
      </c>
      <c r="V1382" s="26">
        <f>IF($G1382="","",ROUND($P1382+$U1382,0))</f>
        <v/>
      </c>
      <c r="W1382" s="26">
        <f>IF($G1382="","",IF(N($K1382)=0,0,ROUND($V1382/$K1382,2)))</f>
        <v/>
      </c>
      <c r="X1382" s="17" t="n"/>
      <c r="Y1382" s="17" t="n"/>
      <c r="Z1382" s="17" t="n"/>
      <c r="AA1382" s="17" t="n"/>
      <c r="AB1382" s="17" t="n"/>
      <c r="AC1382" s="24">
        <f>IF($G1382="","",IF($H1382="※编码不在物料档案里","※物料编码不在档案里",IF(N($K1382)&lt;=0,"※入库数量要大于 0",IF(AND($C1382&lt;&gt;"",$C1382&lt;=结账锁),"※日期早于已结账截止日，不能再录",IF(AND($L1382=0,$X1382="正常"),"※没填单价，价格状态请选「待补价」",IF(AND($S1382&gt;0,$R1382&gt;0),"△本批有 "&amp;$S1382&amp;" 行没单价，整批运费先挂账没摊",IF(AND($B1382&lt;&gt;"",COUNTIF($B$4:$B$2503,$B1382)&gt;1),"※入库单号重复","")))))))</f>
        <v/>
      </c>
    </row>
    <row r="1383">
      <c r="A1383" s="24">
        <f>IF($G1383="","",COUNTA($G$4:$G1383))</f>
        <v/>
      </c>
      <c r="B1383" s="17" t="n"/>
      <c r="C1383" s="30" t="n"/>
      <c r="D1383" s="17" t="n"/>
      <c r="E1383" s="17" t="n"/>
      <c r="F1383" s="17" t="n"/>
      <c r="G1383" s="17" t="n"/>
      <c r="H1383" s="24">
        <f>IF($G1383="","",IFERROR(VLOOKUP($G1383,物料档案!$A$4:$P$1203,3,0),"※编码不在物料档案里"))</f>
        <v/>
      </c>
      <c r="I1383" s="24">
        <f>IF($G1383="","",IFERROR(VLOOKUP($G1383,物料档案!$A$4:$P$1203,4,0),"※编码不在物料档案里"))</f>
        <v/>
      </c>
      <c r="J1383" s="24">
        <f>IF($G1383="","",IFERROR(VLOOKUP($G1383,物料档案!$A$4:$P$1203,5,0),"※编码不在物料档案里"))</f>
        <v/>
      </c>
      <c r="K1383" s="23" t="n"/>
      <c r="L1383" s="31" t="n"/>
      <c r="M1383" s="24">
        <f>IF($G1383="","",IF($D1383="A国内","CNY","TZS"))</f>
        <v/>
      </c>
      <c r="N1383" s="28">
        <f>IF($G1383="","",IF($D1383="A国内",汇率,1))</f>
        <v/>
      </c>
      <c r="O1383" s="25">
        <f>IF($G1383="","",ROUND(N($K1383)*N($L1383),2))</f>
        <v/>
      </c>
      <c r="P1383" s="26">
        <f>IF($G1383="","",ROUND($O1383*$N1383,0))</f>
        <v/>
      </c>
      <c r="Q1383" s="26">
        <f>IF($G1383="","",SUMIFS($P$4:$P$2503,$E$4:$E$2503,$E1383,$Z$4:$Z$2503,"正常"))</f>
        <v/>
      </c>
      <c r="R1383" s="26">
        <f>IF($G1383="","",SUMIFS(费用台账!$I$4:$I$503,费用台账!$C$4:$C$503,$E1383,费用台账!$J$4:$J$503,"是",费用台账!$K$4:$K$503,"正常"))</f>
        <v/>
      </c>
      <c r="S1383" s="28">
        <f>IF($G1383="","",COUNTIFS($E$4:$E$2503,$E1383,$Z$4:$Z$2503,"正常",$Y$4:$Y$2503,"待补价"))</f>
        <v/>
      </c>
      <c r="T1383" s="26">
        <f>IF($G1383="","",SUMIFS($P$4:$P$2503,$E$4:$E$2503,$E1383,$Z$4:$Z$2503,"正常",$A$4:$A$2503,"&lt;="&amp;$A1383))</f>
        <v/>
      </c>
      <c r="U1383" s="26">
        <f>IF($G1383="","",IF(OR($S1383&gt;0,$Q1383=0,$R1383=0,$Z1383&lt;&gt;"正常"),0,ROUND($T1383/$Q1383*$R1383,0)-ROUND(($T1383-$P1383)/$Q1383*$R1383,0)))</f>
        <v/>
      </c>
      <c r="V1383" s="26">
        <f>IF($G1383="","",ROUND($P1383+$U1383,0))</f>
        <v/>
      </c>
      <c r="W1383" s="26">
        <f>IF($G1383="","",IF(N($K1383)=0,0,ROUND($V1383/$K1383,2)))</f>
        <v/>
      </c>
      <c r="X1383" s="17" t="n"/>
      <c r="Y1383" s="17" t="n"/>
      <c r="Z1383" s="17" t="n"/>
      <c r="AA1383" s="17" t="n"/>
      <c r="AB1383" s="17" t="n"/>
      <c r="AC1383" s="24">
        <f>IF($G1383="","",IF($H1383="※编码不在物料档案里","※物料编码不在档案里",IF(N($K1383)&lt;=0,"※入库数量要大于 0",IF(AND($C1383&lt;&gt;"",$C1383&lt;=结账锁),"※日期早于已结账截止日，不能再录",IF(AND($L1383=0,$X1383="正常"),"※没填单价，价格状态请选「待补价」",IF(AND($S1383&gt;0,$R1383&gt;0),"△本批有 "&amp;$S1383&amp;" 行没单价，整批运费先挂账没摊",IF(AND($B1383&lt;&gt;"",COUNTIF($B$4:$B$2503,$B1383)&gt;1),"※入库单号重复","")))))))</f>
        <v/>
      </c>
    </row>
    <row r="1384">
      <c r="A1384" s="24">
        <f>IF($G1384="","",COUNTA($G$4:$G1384))</f>
        <v/>
      </c>
      <c r="B1384" s="17" t="n"/>
      <c r="C1384" s="30" t="n"/>
      <c r="D1384" s="17" t="n"/>
      <c r="E1384" s="17" t="n"/>
      <c r="F1384" s="17" t="n"/>
      <c r="G1384" s="17" t="n"/>
      <c r="H1384" s="24">
        <f>IF($G1384="","",IFERROR(VLOOKUP($G1384,物料档案!$A$4:$P$1203,3,0),"※编码不在物料档案里"))</f>
        <v/>
      </c>
      <c r="I1384" s="24">
        <f>IF($G1384="","",IFERROR(VLOOKUP($G1384,物料档案!$A$4:$P$1203,4,0),"※编码不在物料档案里"))</f>
        <v/>
      </c>
      <c r="J1384" s="24">
        <f>IF($G1384="","",IFERROR(VLOOKUP($G1384,物料档案!$A$4:$P$1203,5,0),"※编码不在物料档案里"))</f>
        <v/>
      </c>
      <c r="K1384" s="23" t="n"/>
      <c r="L1384" s="31" t="n"/>
      <c r="M1384" s="24">
        <f>IF($G1384="","",IF($D1384="A国内","CNY","TZS"))</f>
        <v/>
      </c>
      <c r="N1384" s="28">
        <f>IF($G1384="","",IF($D1384="A国内",汇率,1))</f>
        <v/>
      </c>
      <c r="O1384" s="25">
        <f>IF($G1384="","",ROUND(N($K1384)*N($L1384),2))</f>
        <v/>
      </c>
      <c r="P1384" s="26">
        <f>IF($G1384="","",ROUND($O1384*$N1384,0))</f>
        <v/>
      </c>
      <c r="Q1384" s="26">
        <f>IF($G1384="","",SUMIFS($P$4:$P$2503,$E$4:$E$2503,$E1384,$Z$4:$Z$2503,"正常"))</f>
        <v/>
      </c>
      <c r="R1384" s="26">
        <f>IF($G1384="","",SUMIFS(费用台账!$I$4:$I$503,费用台账!$C$4:$C$503,$E1384,费用台账!$J$4:$J$503,"是",费用台账!$K$4:$K$503,"正常"))</f>
        <v/>
      </c>
      <c r="S1384" s="28">
        <f>IF($G1384="","",COUNTIFS($E$4:$E$2503,$E1384,$Z$4:$Z$2503,"正常",$Y$4:$Y$2503,"待补价"))</f>
        <v/>
      </c>
      <c r="T1384" s="26">
        <f>IF($G1384="","",SUMIFS($P$4:$P$2503,$E$4:$E$2503,$E1384,$Z$4:$Z$2503,"正常",$A$4:$A$2503,"&lt;="&amp;$A1384))</f>
        <v/>
      </c>
      <c r="U1384" s="26">
        <f>IF($G1384="","",IF(OR($S1384&gt;0,$Q1384=0,$R1384=0,$Z1384&lt;&gt;"正常"),0,ROUND($T1384/$Q1384*$R1384,0)-ROUND(($T1384-$P1384)/$Q1384*$R1384,0)))</f>
        <v/>
      </c>
      <c r="V1384" s="26">
        <f>IF($G1384="","",ROUND($P1384+$U1384,0))</f>
        <v/>
      </c>
      <c r="W1384" s="26">
        <f>IF($G1384="","",IF(N($K1384)=0,0,ROUND($V1384/$K1384,2)))</f>
        <v/>
      </c>
      <c r="X1384" s="17" t="n"/>
      <c r="Y1384" s="17" t="n"/>
      <c r="Z1384" s="17" t="n"/>
      <c r="AA1384" s="17" t="n"/>
      <c r="AB1384" s="17" t="n"/>
      <c r="AC1384" s="24">
        <f>IF($G1384="","",IF($H1384="※编码不在物料档案里","※物料编码不在档案里",IF(N($K1384)&lt;=0,"※入库数量要大于 0",IF(AND($C1384&lt;&gt;"",$C1384&lt;=结账锁),"※日期早于已结账截止日，不能再录",IF(AND($L1384=0,$X1384="正常"),"※没填单价，价格状态请选「待补价」",IF(AND($S1384&gt;0,$R1384&gt;0),"△本批有 "&amp;$S1384&amp;" 行没单价，整批运费先挂账没摊",IF(AND($B1384&lt;&gt;"",COUNTIF($B$4:$B$2503,$B1384)&gt;1),"※入库单号重复","")))))))</f>
        <v/>
      </c>
    </row>
    <row r="1385">
      <c r="A1385" s="24">
        <f>IF($G1385="","",COUNTA($G$4:$G1385))</f>
        <v/>
      </c>
      <c r="B1385" s="17" t="n"/>
      <c r="C1385" s="30" t="n"/>
      <c r="D1385" s="17" t="n"/>
      <c r="E1385" s="17" t="n"/>
      <c r="F1385" s="17" t="n"/>
      <c r="G1385" s="17" t="n"/>
      <c r="H1385" s="24">
        <f>IF($G1385="","",IFERROR(VLOOKUP($G1385,物料档案!$A$4:$P$1203,3,0),"※编码不在物料档案里"))</f>
        <v/>
      </c>
      <c r="I1385" s="24">
        <f>IF($G1385="","",IFERROR(VLOOKUP($G1385,物料档案!$A$4:$P$1203,4,0),"※编码不在物料档案里"))</f>
        <v/>
      </c>
      <c r="J1385" s="24">
        <f>IF($G1385="","",IFERROR(VLOOKUP($G1385,物料档案!$A$4:$P$1203,5,0),"※编码不在物料档案里"))</f>
        <v/>
      </c>
      <c r="K1385" s="23" t="n"/>
      <c r="L1385" s="31" t="n"/>
      <c r="M1385" s="24">
        <f>IF($G1385="","",IF($D1385="A国内","CNY","TZS"))</f>
        <v/>
      </c>
      <c r="N1385" s="28">
        <f>IF($G1385="","",IF($D1385="A国内",汇率,1))</f>
        <v/>
      </c>
      <c r="O1385" s="25">
        <f>IF($G1385="","",ROUND(N($K1385)*N($L1385),2))</f>
        <v/>
      </c>
      <c r="P1385" s="26">
        <f>IF($G1385="","",ROUND($O1385*$N1385,0))</f>
        <v/>
      </c>
      <c r="Q1385" s="26">
        <f>IF($G1385="","",SUMIFS($P$4:$P$2503,$E$4:$E$2503,$E1385,$Z$4:$Z$2503,"正常"))</f>
        <v/>
      </c>
      <c r="R1385" s="26">
        <f>IF($G1385="","",SUMIFS(费用台账!$I$4:$I$503,费用台账!$C$4:$C$503,$E1385,费用台账!$J$4:$J$503,"是",费用台账!$K$4:$K$503,"正常"))</f>
        <v/>
      </c>
      <c r="S1385" s="28">
        <f>IF($G1385="","",COUNTIFS($E$4:$E$2503,$E1385,$Z$4:$Z$2503,"正常",$Y$4:$Y$2503,"待补价"))</f>
        <v/>
      </c>
      <c r="T1385" s="26">
        <f>IF($G1385="","",SUMIFS($P$4:$P$2503,$E$4:$E$2503,$E1385,$Z$4:$Z$2503,"正常",$A$4:$A$2503,"&lt;="&amp;$A1385))</f>
        <v/>
      </c>
      <c r="U1385" s="26">
        <f>IF($G1385="","",IF(OR($S1385&gt;0,$Q1385=0,$R1385=0,$Z1385&lt;&gt;"正常"),0,ROUND($T1385/$Q1385*$R1385,0)-ROUND(($T1385-$P1385)/$Q1385*$R1385,0)))</f>
        <v/>
      </c>
      <c r="V1385" s="26">
        <f>IF($G1385="","",ROUND($P1385+$U1385,0))</f>
        <v/>
      </c>
      <c r="W1385" s="26">
        <f>IF($G1385="","",IF(N($K1385)=0,0,ROUND($V1385/$K1385,2)))</f>
        <v/>
      </c>
      <c r="X1385" s="17" t="n"/>
      <c r="Y1385" s="17" t="n"/>
      <c r="Z1385" s="17" t="n"/>
      <c r="AA1385" s="17" t="n"/>
      <c r="AB1385" s="17" t="n"/>
      <c r="AC1385" s="24">
        <f>IF($G1385="","",IF($H1385="※编码不在物料档案里","※物料编码不在档案里",IF(N($K1385)&lt;=0,"※入库数量要大于 0",IF(AND($C1385&lt;&gt;"",$C1385&lt;=结账锁),"※日期早于已结账截止日，不能再录",IF(AND($L1385=0,$X1385="正常"),"※没填单价，价格状态请选「待补价」",IF(AND($S1385&gt;0,$R1385&gt;0),"△本批有 "&amp;$S1385&amp;" 行没单价，整批运费先挂账没摊",IF(AND($B1385&lt;&gt;"",COUNTIF($B$4:$B$2503,$B1385)&gt;1),"※入库单号重复","")))))))</f>
        <v/>
      </c>
    </row>
    <row r="1386">
      <c r="A1386" s="24">
        <f>IF($G1386="","",COUNTA($G$4:$G1386))</f>
        <v/>
      </c>
      <c r="B1386" s="17" t="n"/>
      <c r="C1386" s="30" t="n"/>
      <c r="D1386" s="17" t="n"/>
      <c r="E1386" s="17" t="n"/>
      <c r="F1386" s="17" t="n"/>
      <c r="G1386" s="17" t="n"/>
      <c r="H1386" s="24">
        <f>IF($G1386="","",IFERROR(VLOOKUP($G1386,物料档案!$A$4:$P$1203,3,0),"※编码不在物料档案里"))</f>
        <v/>
      </c>
      <c r="I1386" s="24">
        <f>IF($G1386="","",IFERROR(VLOOKUP($G1386,物料档案!$A$4:$P$1203,4,0),"※编码不在物料档案里"))</f>
        <v/>
      </c>
      <c r="J1386" s="24">
        <f>IF($G1386="","",IFERROR(VLOOKUP($G1386,物料档案!$A$4:$P$1203,5,0),"※编码不在物料档案里"))</f>
        <v/>
      </c>
      <c r="K1386" s="23" t="n"/>
      <c r="L1386" s="31" t="n"/>
      <c r="M1386" s="24">
        <f>IF($G1386="","",IF($D1386="A国内","CNY","TZS"))</f>
        <v/>
      </c>
      <c r="N1386" s="28">
        <f>IF($G1386="","",IF($D1386="A国内",汇率,1))</f>
        <v/>
      </c>
      <c r="O1386" s="25">
        <f>IF($G1386="","",ROUND(N($K1386)*N($L1386),2))</f>
        <v/>
      </c>
      <c r="P1386" s="26">
        <f>IF($G1386="","",ROUND($O1386*$N1386,0))</f>
        <v/>
      </c>
      <c r="Q1386" s="26">
        <f>IF($G1386="","",SUMIFS($P$4:$P$2503,$E$4:$E$2503,$E1386,$Z$4:$Z$2503,"正常"))</f>
        <v/>
      </c>
      <c r="R1386" s="26">
        <f>IF($G1386="","",SUMIFS(费用台账!$I$4:$I$503,费用台账!$C$4:$C$503,$E1386,费用台账!$J$4:$J$503,"是",费用台账!$K$4:$K$503,"正常"))</f>
        <v/>
      </c>
      <c r="S1386" s="28">
        <f>IF($G1386="","",COUNTIFS($E$4:$E$2503,$E1386,$Z$4:$Z$2503,"正常",$Y$4:$Y$2503,"待补价"))</f>
        <v/>
      </c>
      <c r="T1386" s="26">
        <f>IF($G1386="","",SUMIFS($P$4:$P$2503,$E$4:$E$2503,$E1386,$Z$4:$Z$2503,"正常",$A$4:$A$2503,"&lt;="&amp;$A1386))</f>
        <v/>
      </c>
      <c r="U1386" s="26">
        <f>IF($G1386="","",IF(OR($S1386&gt;0,$Q1386=0,$R1386=0,$Z1386&lt;&gt;"正常"),0,ROUND($T1386/$Q1386*$R1386,0)-ROUND(($T1386-$P1386)/$Q1386*$R1386,0)))</f>
        <v/>
      </c>
      <c r="V1386" s="26">
        <f>IF($G1386="","",ROUND($P1386+$U1386,0))</f>
        <v/>
      </c>
      <c r="W1386" s="26">
        <f>IF($G1386="","",IF(N($K1386)=0,0,ROUND($V1386/$K1386,2)))</f>
        <v/>
      </c>
      <c r="X1386" s="17" t="n"/>
      <c r="Y1386" s="17" t="n"/>
      <c r="Z1386" s="17" t="n"/>
      <c r="AA1386" s="17" t="n"/>
      <c r="AB1386" s="17" t="n"/>
      <c r="AC1386" s="24">
        <f>IF($G1386="","",IF($H1386="※编码不在物料档案里","※物料编码不在档案里",IF(N($K1386)&lt;=0,"※入库数量要大于 0",IF(AND($C1386&lt;&gt;"",$C1386&lt;=结账锁),"※日期早于已结账截止日，不能再录",IF(AND($L1386=0,$X1386="正常"),"※没填单价，价格状态请选「待补价」",IF(AND($S1386&gt;0,$R1386&gt;0),"△本批有 "&amp;$S1386&amp;" 行没单价，整批运费先挂账没摊",IF(AND($B1386&lt;&gt;"",COUNTIF($B$4:$B$2503,$B1386)&gt;1),"※入库单号重复","")))))))</f>
        <v/>
      </c>
    </row>
    <row r="1387">
      <c r="A1387" s="24">
        <f>IF($G1387="","",COUNTA($G$4:$G1387))</f>
        <v/>
      </c>
      <c r="B1387" s="17" t="n"/>
      <c r="C1387" s="30" t="n"/>
      <c r="D1387" s="17" t="n"/>
      <c r="E1387" s="17" t="n"/>
      <c r="F1387" s="17" t="n"/>
      <c r="G1387" s="17" t="n"/>
      <c r="H1387" s="24">
        <f>IF($G1387="","",IFERROR(VLOOKUP($G1387,物料档案!$A$4:$P$1203,3,0),"※编码不在物料档案里"))</f>
        <v/>
      </c>
      <c r="I1387" s="24">
        <f>IF($G1387="","",IFERROR(VLOOKUP($G1387,物料档案!$A$4:$P$1203,4,0),"※编码不在物料档案里"))</f>
        <v/>
      </c>
      <c r="J1387" s="24">
        <f>IF($G1387="","",IFERROR(VLOOKUP($G1387,物料档案!$A$4:$P$1203,5,0),"※编码不在物料档案里"))</f>
        <v/>
      </c>
      <c r="K1387" s="23" t="n"/>
      <c r="L1387" s="31" t="n"/>
      <c r="M1387" s="24">
        <f>IF($G1387="","",IF($D1387="A国内","CNY","TZS"))</f>
        <v/>
      </c>
      <c r="N1387" s="28">
        <f>IF($G1387="","",IF($D1387="A国内",汇率,1))</f>
        <v/>
      </c>
      <c r="O1387" s="25">
        <f>IF($G1387="","",ROUND(N($K1387)*N($L1387),2))</f>
        <v/>
      </c>
      <c r="P1387" s="26">
        <f>IF($G1387="","",ROUND($O1387*$N1387,0))</f>
        <v/>
      </c>
      <c r="Q1387" s="26">
        <f>IF($G1387="","",SUMIFS($P$4:$P$2503,$E$4:$E$2503,$E1387,$Z$4:$Z$2503,"正常"))</f>
        <v/>
      </c>
      <c r="R1387" s="26">
        <f>IF($G1387="","",SUMIFS(费用台账!$I$4:$I$503,费用台账!$C$4:$C$503,$E1387,费用台账!$J$4:$J$503,"是",费用台账!$K$4:$K$503,"正常"))</f>
        <v/>
      </c>
      <c r="S1387" s="28">
        <f>IF($G1387="","",COUNTIFS($E$4:$E$2503,$E1387,$Z$4:$Z$2503,"正常",$Y$4:$Y$2503,"待补价"))</f>
        <v/>
      </c>
      <c r="T1387" s="26">
        <f>IF($G1387="","",SUMIFS($P$4:$P$2503,$E$4:$E$2503,$E1387,$Z$4:$Z$2503,"正常",$A$4:$A$2503,"&lt;="&amp;$A1387))</f>
        <v/>
      </c>
      <c r="U1387" s="26">
        <f>IF($G1387="","",IF(OR($S1387&gt;0,$Q1387=0,$R1387=0,$Z1387&lt;&gt;"正常"),0,ROUND($T1387/$Q1387*$R1387,0)-ROUND(($T1387-$P1387)/$Q1387*$R1387,0)))</f>
        <v/>
      </c>
      <c r="V1387" s="26">
        <f>IF($G1387="","",ROUND($P1387+$U1387,0))</f>
        <v/>
      </c>
      <c r="W1387" s="26">
        <f>IF($G1387="","",IF(N($K1387)=0,0,ROUND($V1387/$K1387,2)))</f>
        <v/>
      </c>
      <c r="X1387" s="17" t="n"/>
      <c r="Y1387" s="17" t="n"/>
      <c r="Z1387" s="17" t="n"/>
      <c r="AA1387" s="17" t="n"/>
      <c r="AB1387" s="17" t="n"/>
      <c r="AC1387" s="24">
        <f>IF($G1387="","",IF($H1387="※编码不在物料档案里","※物料编码不在档案里",IF(N($K1387)&lt;=0,"※入库数量要大于 0",IF(AND($C1387&lt;&gt;"",$C1387&lt;=结账锁),"※日期早于已结账截止日，不能再录",IF(AND($L1387=0,$X1387="正常"),"※没填单价，价格状态请选「待补价」",IF(AND($S1387&gt;0,$R1387&gt;0),"△本批有 "&amp;$S1387&amp;" 行没单价，整批运费先挂账没摊",IF(AND($B1387&lt;&gt;"",COUNTIF($B$4:$B$2503,$B1387)&gt;1),"※入库单号重复","")))))))</f>
        <v/>
      </c>
    </row>
    <row r="1388">
      <c r="A1388" s="24">
        <f>IF($G1388="","",COUNTA($G$4:$G1388))</f>
        <v/>
      </c>
      <c r="B1388" s="17" t="n"/>
      <c r="C1388" s="30" t="n"/>
      <c r="D1388" s="17" t="n"/>
      <c r="E1388" s="17" t="n"/>
      <c r="F1388" s="17" t="n"/>
      <c r="G1388" s="17" t="n"/>
      <c r="H1388" s="24">
        <f>IF($G1388="","",IFERROR(VLOOKUP($G1388,物料档案!$A$4:$P$1203,3,0),"※编码不在物料档案里"))</f>
        <v/>
      </c>
      <c r="I1388" s="24">
        <f>IF($G1388="","",IFERROR(VLOOKUP($G1388,物料档案!$A$4:$P$1203,4,0),"※编码不在物料档案里"))</f>
        <v/>
      </c>
      <c r="J1388" s="24">
        <f>IF($G1388="","",IFERROR(VLOOKUP($G1388,物料档案!$A$4:$P$1203,5,0),"※编码不在物料档案里"))</f>
        <v/>
      </c>
      <c r="K1388" s="23" t="n"/>
      <c r="L1388" s="31" t="n"/>
      <c r="M1388" s="24">
        <f>IF($G1388="","",IF($D1388="A国内","CNY","TZS"))</f>
        <v/>
      </c>
      <c r="N1388" s="28">
        <f>IF($G1388="","",IF($D1388="A国内",汇率,1))</f>
        <v/>
      </c>
      <c r="O1388" s="25">
        <f>IF($G1388="","",ROUND(N($K1388)*N($L1388),2))</f>
        <v/>
      </c>
      <c r="P1388" s="26">
        <f>IF($G1388="","",ROUND($O1388*$N1388,0))</f>
        <v/>
      </c>
      <c r="Q1388" s="26">
        <f>IF($G1388="","",SUMIFS($P$4:$P$2503,$E$4:$E$2503,$E1388,$Z$4:$Z$2503,"正常"))</f>
        <v/>
      </c>
      <c r="R1388" s="26">
        <f>IF($G1388="","",SUMIFS(费用台账!$I$4:$I$503,费用台账!$C$4:$C$503,$E1388,费用台账!$J$4:$J$503,"是",费用台账!$K$4:$K$503,"正常"))</f>
        <v/>
      </c>
      <c r="S1388" s="28">
        <f>IF($G1388="","",COUNTIFS($E$4:$E$2503,$E1388,$Z$4:$Z$2503,"正常",$Y$4:$Y$2503,"待补价"))</f>
        <v/>
      </c>
      <c r="T1388" s="26">
        <f>IF($G1388="","",SUMIFS($P$4:$P$2503,$E$4:$E$2503,$E1388,$Z$4:$Z$2503,"正常",$A$4:$A$2503,"&lt;="&amp;$A1388))</f>
        <v/>
      </c>
      <c r="U1388" s="26">
        <f>IF($G1388="","",IF(OR($S1388&gt;0,$Q1388=0,$R1388=0,$Z1388&lt;&gt;"正常"),0,ROUND($T1388/$Q1388*$R1388,0)-ROUND(($T1388-$P1388)/$Q1388*$R1388,0)))</f>
        <v/>
      </c>
      <c r="V1388" s="26">
        <f>IF($G1388="","",ROUND($P1388+$U1388,0))</f>
        <v/>
      </c>
      <c r="W1388" s="26">
        <f>IF($G1388="","",IF(N($K1388)=0,0,ROUND($V1388/$K1388,2)))</f>
        <v/>
      </c>
      <c r="X1388" s="17" t="n"/>
      <c r="Y1388" s="17" t="n"/>
      <c r="Z1388" s="17" t="n"/>
      <c r="AA1388" s="17" t="n"/>
      <c r="AB1388" s="17" t="n"/>
      <c r="AC1388" s="24">
        <f>IF($G1388="","",IF($H1388="※编码不在物料档案里","※物料编码不在档案里",IF(N($K1388)&lt;=0,"※入库数量要大于 0",IF(AND($C1388&lt;&gt;"",$C1388&lt;=结账锁),"※日期早于已结账截止日，不能再录",IF(AND($L1388=0,$X1388="正常"),"※没填单价，价格状态请选「待补价」",IF(AND($S1388&gt;0,$R1388&gt;0),"△本批有 "&amp;$S1388&amp;" 行没单价，整批运费先挂账没摊",IF(AND($B1388&lt;&gt;"",COUNTIF($B$4:$B$2503,$B1388)&gt;1),"※入库单号重复","")))))))</f>
        <v/>
      </c>
    </row>
    <row r="1389">
      <c r="A1389" s="24">
        <f>IF($G1389="","",COUNTA($G$4:$G1389))</f>
        <v/>
      </c>
      <c r="B1389" s="17" t="n"/>
      <c r="C1389" s="30" t="n"/>
      <c r="D1389" s="17" t="n"/>
      <c r="E1389" s="17" t="n"/>
      <c r="F1389" s="17" t="n"/>
      <c r="G1389" s="17" t="n"/>
      <c r="H1389" s="24">
        <f>IF($G1389="","",IFERROR(VLOOKUP($G1389,物料档案!$A$4:$P$1203,3,0),"※编码不在物料档案里"))</f>
        <v/>
      </c>
      <c r="I1389" s="24">
        <f>IF($G1389="","",IFERROR(VLOOKUP($G1389,物料档案!$A$4:$P$1203,4,0),"※编码不在物料档案里"))</f>
        <v/>
      </c>
      <c r="J1389" s="24">
        <f>IF($G1389="","",IFERROR(VLOOKUP($G1389,物料档案!$A$4:$P$1203,5,0),"※编码不在物料档案里"))</f>
        <v/>
      </c>
      <c r="K1389" s="23" t="n"/>
      <c r="L1389" s="31" t="n"/>
      <c r="M1389" s="24">
        <f>IF($G1389="","",IF($D1389="A国内","CNY","TZS"))</f>
        <v/>
      </c>
      <c r="N1389" s="28">
        <f>IF($G1389="","",IF($D1389="A国内",汇率,1))</f>
        <v/>
      </c>
      <c r="O1389" s="25">
        <f>IF($G1389="","",ROUND(N($K1389)*N($L1389),2))</f>
        <v/>
      </c>
      <c r="P1389" s="26">
        <f>IF($G1389="","",ROUND($O1389*$N1389,0))</f>
        <v/>
      </c>
      <c r="Q1389" s="26">
        <f>IF($G1389="","",SUMIFS($P$4:$P$2503,$E$4:$E$2503,$E1389,$Z$4:$Z$2503,"正常"))</f>
        <v/>
      </c>
      <c r="R1389" s="26">
        <f>IF($G1389="","",SUMIFS(费用台账!$I$4:$I$503,费用台账!$C$4:$C$503,$E1389,费用台账!$J$4:$J$503,"是",费用台账!$K$4:$K$503,"正常"))</f>
        <v/>
      </c>
      <c r="S1389" s="28">
        <f>IF($G1389="","",COUNTIFS($E$4:$E$2503,$E1389,$Z$4:$Z$2503,"正常",$Y$4:$Y$2503,"待补价"))</f>
        <v/>
      </c>
      <c r="T1389" s="26">
        <f>IF($G1389="","",SUMIFS($P$4:$P$2503,$E$4:$E$2503,$E1389,$Z$4:$Z$2503,"正常",$A$4:$A$2503,"&lt;="&amp;$A1389))</f>
        <v/>
      </c>
      <c r="U1389" s="26">
        <f>IF($G1389="","",IF(OR($S1389&gt;0,$Q1389=0,$R1389=0,$Z1389&lt;&gt;"正常"),0,ROUND($T1389/$Q1389*$R1389,0)-ROUND(($T1389-$P1389)/$Q1389*$R1389,0)))</f>
        <v/>
      </c>
      <c r="V1389" s="26">
        <f>IF($G1389="","",ROUND($P1389+$U1389,0))</f>
        <v/>
      </c>
      <c r="W1389" s="26">
        <f>IF($G1389="","",IF(N($K1389)=0,0,ROUND($V1389/$K1389,2)))</f>
        <v/>
      </c>
      <c r="X1389" s="17" t="n"/>
      <c r="Y1389" s="17" t="n"/>
      <c r="Z1389" s="17" t="n"/>
      <c r="AA1389" s="17" t="n"/>
      <c r="AB1389" s="17" t="n"/>
      <c r="AC1389" s="24">
        <f>IF($G1389="","",IF($H1389="※编码不在物料档案里","※物料编码不在档案里",IF(N($K1389)&lt;=0,"※入库数量要大于 0",IF(AND($C1389&lt;&gt;"",$C1389&lt;=结账锁),"※日期早于已结账截止日，不能再录",IF(AND($L1389=0,$X1389="正常"),"※没填单价，价格状态请选「待补价」",IF(AND($S1389&gt;0,$R1389&gt;0),"△本批有 "&amp;$S1389&amp;" 行没单价，整批运费先挂账没摊",IF(AND($B1389&lt;&gt;"",COUNTIF($B$4:$B$2503,$B1389)&gt;1),"※入库单号重复","")))))))</f>
        <v/>
      </c>
    </row>
    <row r="1390">
      <c r="A1390" s="24">
        <f>IF($G1390="","",COUNTA($G$4:$G1390))</f>
        <v/>
      </c>
      <c r="B1390" s="17" t="n"/>
      <c r="C1390" s="30" t="n"/>
      <c r="D1390" s="17" t="n"/>
      <c r="E1390" s="17" t="n"/>
      <c r="F1390" s="17" t="n"/>
      <c r="G1390" s="17" t="n"/>
      <c r="H1390" s="24">
        <f>IF($G1390="","",IFERROR(VLOOKUP($G1390,物料档案!$A$4:$P$1203,3,0),"※编码不在物料档案里"))</f>
        <v/>
      </c>
      <c r="I1390" s="24">
        <f>IF($G1390="","",IFERROR(VLOOKUP($G1390,物料档案!$A$4:$P$1203,4,0),"※编码不在物料档案里"))</f>
        <v/>
      </c>
      <c r="J1390" s="24">
        <f>IF($G1390="","",IFERROR(VLOOKUP($G1390,物料档案!$A$4:$P$1203,5,0),"※编码不在物料档案里"))</f>
        <v/>
      </c>
      <c r="K1390" s="23" t="n"/>
      <c r="L1390" s="31" t="n"/>
      <c r="M1390" s="24">
        <f>IF($G1390="","",IF($D1390="A国内","CNY","TZS"))</f>
        <v/>
      </c>
      <c r="N1390" s="28">
        <f>IF($G1390="","",IF($D1390="A国内",汇率,1))</f>
        <v/>
      </c>
      <c r="O1390" s="25">
        <f>IF($G1390="","",ROUND(N($K1390)*N($L1390),2))</f>
        <v/>
      </c>
      <c r="P1390" s="26">
        <f>IF($G1390="","",ROUND($O1390*$N1390,0))</f>
        <v/>
      </c>
      <c r="Q1390" s="26">
        <f>IF($G1390="","",SUMIFS($P$4:$P$2503,$E$4:$E$2503,$E1390,$Z$4:$Z$2503,"正常"))</f>
        <v/>
      </c>
      <c r="R1390" s="26">
        <f>IF($G1390="","",SUMIFS(费用台账!$I$4:$I$503,费用台账!$C$4:$C$503,$E1390,费用台账!$J$4:$J$503,"是",费用台账!$K$4:$K$503,"正常"))</f>
        <v/>
      </c>
      <c r="S1390" s="28">
        <f>IF($G1390="","",COUNTIFS($E$4:$E$2503,$E1390,$Z$4:$Z$2503,"正常",$Y$4:$Y$2503,"待补价"))</f>
        <v/>
      </c>
      <c r="T1390" s="26">
        <f>IF($G1390="","",SUMIFS($P$4:$P$2503,$E$4:$E$2503,$E1390,$Z$4:$Z$2503,"正常",$A$4:$A$2503,"&lt;="&amp;$A1390))</f>
        <v/>
      </c>
      <c r="U1390" s="26">
        <f>IF($G1390="","",IF(OR($S1390&gt;0,$Q1390=0,$R1390=0,$Z1390&lt;&gt;"正常"),0,ROUND($T1390/$Q1390*$R1390,0)-ROUND(($T1390-$P1390)/$Q1390*$R1390,0)))</f>
        <v/>
      </c>
      <c r="V1390" s="26">
        <f>IF($G1390="","",ROUND($P1390+$U1390,0))</f>
        <v/>
      </c>
      <c r="W1390" s="26">
        <f>IF($G1390="","",IF(N($K1390)=0,0,ROUND($V1390/$K1390,2)))</f>
        <v/>
      </c>
      <c r="X1390" s="17" t="n"/>
      <c r="Y1390" s="17" t="n"/>
      <c r="Z1390" s="17" t="n"/>
      <c r="AA1390" s="17" t="n"/>
      <c r="AB1390" s="17" t="n"/>
      <c r="AC1390" s="24">
        <f>IF($G1390="","",IF($H1390="※编码不在物料档案里","※物料编码不在档案里",IF(N($K1390)&lt;=0,"※入库数量要大于 0",IF(AND($C1390&lt;&gt;"",$C1390&lt;=结账锁),"※日期早于已结账截止日，不能再录",IF(AND($L1390=0,$X1390="正常"),"※没填单价，价格状态请选「待补价」",IF(AND($S1390&gt;0,$R1390&gt;0),"△本批有 "&amp;$S1390&amp;" 行没单价，整批运费先挂账没摊",IF(AND($B1390&lt;&gt;"",COUNTIF($B$4:$B$2503,$B1390)&gt;1),"※入库单号重复","")))))))</f>
        <v/>
      </c>
    </row>
    <row r="1391">
      <c r="A1391" s="24">
        <f>IF($G1391="","",COUNTA($G$4:$G1391))</f>
        <v/>
      </c>
      <c r="B1391" s="17" t="n"/>
      <c r="C1391" s="30" t="n"/>
      <c r="D1391" s="17" t="n"/>
      <c r="E1391" s="17" t="n"/>
      <c r="F1391" s="17" t="n"/>
      <c r="G1391" s="17" t="n"/>
      <c r="H1391" s="24">
        <f>IF($G1391="","",IFERROR(VLOOKUP($G1391,物料档案!$A$4:$P$1203,3,0),"※编码不在物料档案里"))</f>
        <v/>
      </c>
      <c r="I1391" s="24">
        <f>IF($G1391="","",IFERROR(VLOOKUP($G1391,物料档案!$A$4:$P$1203,4,0),"※编码不在物料档案里"))</f>
        <v/>
      </c>
      <c r="J1391" s="24">
        <f>IF($G1391="","",IFERROR(VLOOKUP($G1391,物料档案!$A$4:$P$1203,5,0),"※编码不在物料档案里"))</f>
        <v/>
      </c>
      <c r="K1391" s="23" t="n"/>
      <c r="L1391" s="31" t="n"/>
      <c r="M1391" s="24">
        <f>IF($G1391="","",IF($D1391="A国内","CNY","TZS"))</f>
        <v/>
      </c>
      <c r="N1391" s="28">
        <f>IF($G1391="","",IF($D1391="A国内",汇率,1))</f>
        <v/>
      </c>
      <c r="O1391" s="25">
        <f>IF($G1391="","",ROUND(N($K1391)*N($L1391),2))</f>
        <v/>
      </c>
      <c r="P1391" s="26">
        <f>IF($G1391="","",ROUND($O1391*$N1391,0))</f>
        <v/>
      </c>
      <c r="Q1391" s="26">
        <f>IF($G1391="","",SUMIFS($P$4:$P$2503,$E$4:$E$2503,$E1391,$Z$4:$Z$2503,"正常"))</f>
        <v/>
      </c>
      <c r="R1391" s="26">
        <f>IF($G1391="","",SUMIFS(费用台账!$I$4:$I$503,费用台账!$C$4:$C$503,$E1391,费用台账!$J$4:$J$503,"是",费用台账!$K$4:$K$503,"正常"))</f>
        <v/>
      </c>
      <c r="S1391" s="28">
        <f>IF($G1391="","",COUNTIFS($E$4:$E$2503,$E1391,$Z$4:$Z$2503,"正常",$Y$4:$Y$2503,"待补价"))</f>
        <v/>
      </c>
      <c r="T1391" s="26">
        <f>IF($G1391="","",SUMIFS($P$4:$P$2503,$E$4:$E$2503,$E1391,$Z$4:$Z$2503,"正常",$A$4:$A$2503,"&lt;="&amp;$A1391))</f>
        <v/>
      </c>
      <c r="U1391" s="26">
        <f>IF($G1391="","",IF(OR($S1391&gt;0,$Q1391=0,$R1391=0,$Z1391&lt;&gt;"正常"),0,ROUND($T1391/$Q1391*$R1391,0)-ROUND(($T1391-$P1391)/$Q1391*$R1391,0)))</f>
        <v/>
      </c>
      <c r="V1391" s="26">
        <f>IF($G1391="","",ROUND($P1391+$U1391,0))</f>
        <v/>
      </c>
      <c r="W1391" s="26">
        <f>IF($G1391="","",IF(N($K1391)=0,0,ROUND($V1391/$K1391,2)))</f>
        <v/>
      </c>
      <c r="X1391" s="17" t="n"/>
      <c r="Y1391" s="17" t="n"/>
      <c r="Z1391" s="17" t="n"/>
      <c r="AA1391" s="17" t="n"/>
      <c r="AB1391" s="17" t="n"/>
      <c r="AC1391" s="24">
        <f>IF($G1391="","",IF($H1391="※编码不在物料档案里","※物料编码不在档案里",IF(N($K1391)&lt;=0,"※入库数量要大于 0",IF(AND($C1391&lt;&gt;"",$C1391&lt;=结账锁),"※日期早于已结账截止日，不能再录",IF(AND($L1391=0,$X1391="正常"),"※没填单价，价格状态请选「待补价」",IF(AND($S1391&gt;0,$R1391&gt;0),"△本批有 "&amp;$S1391&amp;" 行没单价，整批运费先挂账没摊",IF(AND($B1391&lt;&gt;"",COUNTIF($B$4:$B$2503,$B1391)&gt;1),"※入库单号重复","")))))))</f>
        <v/>
      </c>
    </row>
    <row r="1392">
      <c r="A1392" s="24">
        <f>IF($G1392="","",COUNTA($G$4:$G1392))</f>
        <v/>
      </c>
      <c r="B1392" s="17" t="n"/>
      <c r="C1392" s="30" t="n"/>
      <c r="D1392" s="17" t="n"/>
      <c r="E1392" s="17" t="n"/>
      <c r="F1392" s="17" t="n"/>
      <c r="G1392" s="17" t="n"/>
      <c r="H1392" s="24">
        <f>IF($G1392="","",IFERROR(VLOOKUP($G1392,物料档案!$A$4:$P$1203,3,0),"※编码不在物料档案里"))</f>
        <v/>
      </c>
      <c r="I1392" s="24">
        <f>IF($G1392="","",IFERROR(VLOOKUP($G1392,物料档案!$A$4:$P$1203,4,0),"※编码不在物料档案里"))</f>
        <v/>
      </c>
      <c r="J1392" s="24">
        <f>IF($G1392="","",IFERROR(VLOOKUP($G1392,物料档案!$A$4:$P$1203,5,0),"※编码不在物料档案里"))</f>
        <v/>
      </c>
      <c r="K1392" s="23" t="n"/>
      <c r="L1392" s="31" t="n"/>
      <c r="M1392" s="24">
        <f>IF($G1392="","",IF($D1392="A国内","CNY","TZS"))</f>
        <v/>
      </c>
      <c r="N1392" s="28">
        <f>IF($G1392="","",IF($D1392="A国内",汇率,1))</f>
        <v/>
      </c>
      <c r="O1392" s="25">
        <f>IF($G1392="","",ROUND(N($K1392)*N($L1392),2))</f>
        <v/>
      </c>
      <c r="P1392" s="26">
        <f>IF($G1392="","",ROUND($O1392*$N1392,0))</f>
        <v/>
      </c>
      <c r="Q1392" s="26">
        <f>IF($G1392="","",SUMIFS($P$4:$P$2503,$E$4:$E$2503,$E1392,$Z$4:$Z$2503,"正常"))</f>
        <v/>
      </c>
      <c r="R1392" s="26">
        <f>IF($G1392="","",SUMIFS(费用台账!$I$4:$I$503,费用台账!$C$4:$C$503,$E1392,费用台账!$J$4:$J$503,"是",费用台账!$K$4:$K$503,"正常"))</f>
        <v/>
      </c>
      <c r="S1392" s="28">
        <f>IF($G1392="","",COUNTIFS($E$4:$E$2503,$E1392,$Z$4:$Z$2503,"正常",$Y$4:$Y$2503,"待补价"))</f>
        <v/>
      </c>
      <c r="T1392" s="26">
        <f>IF($G1392="","",SUMIFS($P$4:$P$2503,$E$4:$E$2503,$E1392,$Z$4:$Z$2503,"正常",$A$4:$A$2503,"&lt;="&amp;$A1392))</f>
        <v/>
      </c>
      <c r="U1392" s="26">
        <f>IF($G1392="","",IF(OR($S1392&gt;0,$Q1392=0,$R1392=0,$Z1392&lt;&gt;"正常"),0,ROUND($T1392/$Q1392*$R1392,0)-ROUND(($T1392-$P1392)/$Q1392*$R1392,0)))</f>
        <v/>
      </c>
      <c r="V1392" s="26">
        <f>IF($G1392="","",ROUND($P1392+$U1392,0))</f>
        <v/>
      </c>
      <c r="W1392" s="26">
        <f>IF($G1392="","",IF(N($K1392)=0,0,ROUND($V1392/$K1392,2)))</f>
        <v/>
      </c>
      <c r="X1392" s="17" t="n"/>
      <c r="Y1392" s="17" t="n"/>
      <c r="Z1392" s="17" t="n"/>
      <c r="AA1392" s="17" t="n"/>
      <c r="AB1392" s="17" t="n"/>
      <c r="AC1392" s="24">
        <f>IF($G1392="","",IF($H1392="※编码不在物料档案里","※物料编码不在档案里",IF(N($K1392)&lt;=0,"※入库数量要大于 0",IF(AND($C1392&lt;&gt;"",$C1392&lt;=结账锁),"※日期早于已结账截止日，不能再录",IF(AND($L1392=0,$X1392="正常"),"※没填单价，价格状态请选「待补价」",IF(AND($S1392&gt;0,$R1392&gt;0),"△本批有 "&amp;$S1392&amp;" 行没单价，整批运费先挂账没摊",IF(AND($B1392&lt;&gt;"",COUNTIF($B$4:$B$2503,$B1392)&gt;1),"※入库单号重复","")))))))</f>
        <v/>
      </c>
    </row>
    <row r="1393">
      <c r="A1393" s="24">
        <f>IF($G1393="","",COUNTA($G$4:$G1393))</f>
        <v/>
      </c>
      <c r="B1393" s="17" t="n"/>
      <c r="C1393" s="30" t="n"/>
      <c r="D1393" s="17" t="n"/>
      <c r="E1393" s="17" t="n"/>
      <c r="F1393" s="17" t="n"/>
      <c r="G1393" s="17" t="n"/>
      <c r="H1393" s="24">
        <f>IF($G1393="","",IFERROR(VLOOKUP($G1393,物料档案!$A$4:$P$1203,3,0),"※编码不在物料档案里"))</f>
        <v/>
      </c>
      <c r="I1393" s="24">
        <f>IF($G1393="","",IFERROR(VLOOKUP($G1393,物料档案!$A$4:$P$1203,4,0),"※编码不在物料档案里"))</f>
        <v/>
      </c>
      <c r="J1393" s="24">
        <f>IF($G1393="","",IFERROR(VLOOKUP($G1393,物料档案!$A$4:$P$1203,5,0),"※编码不在物料档案里"))</f>
        <v/>
      </c>
      <c r="K1393" s="23" t="n"/>
      <c r="L1393" s="31" t="n"/>
      <c r="M1393" s="24">
        <f>IF($G1393="","",IF($D1393="A国内","CNY","TZS"))</f>
        <v/>
      </c>
      <c r="N1393" s="28">
        <f>IF($G1393="","",IF($D1393="A国内",汇率,1))</f>
        <v/>
      </c>
      <c r="O1393" s="25">
        <f>IF($G1393="","",ROUND(N($K1393)*N($L1393),2))</f>
        <v/>
      </c>
      <c r="P1393" s="26">
        <f>IF($G1393="","",ROUND($O1393*$N1393,0))</f>
        <v/>
      </c>
      <c r="Q1393" s="26">
        <f>IF($G1393="","",SUMIFS($P$4:$P$2503,$E$4:$E$2503,$E1393,$Z$4:$Z$2503,"正常"))</f>
        <v/>
      </c>
      <c r="R1393" s="26">
        <f>IF($G1393="","",SUMIFS(费用台账!$I$4:$I$503,费用台账!$C$4:$C$503,$E1393,费用台账!$J$4:$J$503,"是",费用台账!$K$4:$K$503,"正常"))</f>
        <v/>
      </c>
      <c r="S1393" s="28">
        <f>IF($G1393="","",COUNTIFS($E$4:$E$2503,$E1393,$Z$4:$Z$2503,"正常",$Y$4:$Y$2503,"待补价"))</f>
        <v/>
      </c>
      <c r="T1393" s="26">
        <f>IF($G1393="","",SUMIFS($P$4:$P$2503,$E$4:$E$2503,$E1393,$Z$4:$Z$2503,"正常",$A$4:$A$2503,"&lt;="&amp;$A1393))</f>
        <v/>
      </c>
      <c r="U1393" s="26">
        <f>IF($G1393="","",IF(OR($S1393&gt;0,$Q1393=0,$R1393=0,$Z1393&lt;&gt;"正常"),0,ROUND($T1393/$Q1393*$R1393,0)-ROUND(($T1393-$P1393)/$Q1393*$R1393,0)))</f>
        <v/>
      </c>
      <c r="V1393" s="26">
        <f>IF($G1393="","",ROUND($P1393+$U1393,0))</f>
        <v/>
      </c>
      <c r="W1393" s="26">
        <f>IF($G1393="","",IF(N($K1393)=0,0,ROUND($V1393/$K1393,2)))</f>
        <v/>
      </c>
      <c r="X1393" s="17" t="n"/>
      <c r="Y1393" s="17" t="n"/>
      <c r="Z1393" s="17" t="n"/>
      <c r="AA1393" s="17" t="n"/>
      <c r="AB1393" s="17" t="n"/>
      <c r="AC1393" s="24">
        <f>IF($G1393="","",IF($H1393="※编码不在物料档案里","※物料编码不在档案里",IF(N($K1393)&lt;=0,"※入库数量要大于 0",IF(AND($C1393&lt;&gt;"",$C1393&lt;=结账锁),"※日期早于已结账截止日，不能再录",IF(AND($L1393=0,$X1393="正常"),"※没填单价，价格状态请选「待补价」",IF(AND($S1393&gt;0,$R1393&gt;0),"△本批有 "&amp;$S1393&amp;" 行没单价，整批运费先挂账没摊",IF(AND($B1393&lt;&gt;"",COUNTIF($B$4:$B$2503,$B1393)&gt;1),"※入库单号重复","")))))))</f>
        <v/>
      </c>
    </row>
    <row r="1394">
      <c r="A1394" s="24">
        <f>IF($G1394="","",COUNTA($G$4:$G1394))</f>
        <v/>
      </c>
      <c r="B1394" s="17" t="n"/>
      <c r="C1394" s="30" t="n"/>
      <c r="D1394" s="17" t="n"/>
      <c r="E1394" s="17" t="n"/>
      <c r="F1394" s="17" t="n"/>
      <c r="G1394" s="17" t="n"/>
      <c r="H1394" s="24">
        <f>IF($G1394="","",IFERROR(VLOOKUP($G1394,物料档案!$A$4:$P$1203,3,0),"※编码不在物料档案里"))</f>
        <v/>
      </c>
      <c r="I1394" s="24">
        <f>IF($G1394="","",IFERROR(VLOOKUP($G1394,物料档案!$A$4:$P$1203,4,0),"※编码不在物料档案里"))</f>
        <v/>
      </c>
      <c r="J1394" s="24">
        <f>IF($G1394="","",IFERROR(VLOOKUP($G1394,物料档案!$A$4:$P$1203,5,0),"※编码不在物料档案里"))</f>
        <v/>
      </c>
      <c r="K1394" s="23" t="n"/>
      <c r="L1394" s="31" t="n"/>
      <c r="M1394" s="24">
        <f>IF($G1394="","",IF($D1394="A国内","CNY","TZS"))</f>
        <v/>
      </c>
      <c r="N1394" s="28">
        <f>IF($G1394="","",IF($D1394="A国内",汇率,1))</f>
        <v/>
      </c>
      <c r="O1394" s="25">
        <f>IF($G1394="","",ROUND(N($K1394)*N($L1394),2))</f>
        <v/>
      </c>
      <c r="P1394" s="26">
        <f>IF($G1394="","",ROUND($O1394*$N1394,0))</f>
        <v/>
      </c>
      <c r="Q1394" s="26">
        <f>IF($G1394="","",SUMIFS($P$4:$P$2503,$E$4:$E$2503,$E1394,$Z$4:$Z$2503,"正常"))</f>
        <v/>
      </c>
      <c r="R1394" s="26">
        <f>IF($G1394="","",SUMIFS(费用台账!$I$4:$I$503,费用台账!$C$4:$C$503,$E1394,费用台账!$J$4:$J$503,"是",费用台账!$K$4:$K$503,"正常"))</f>
        <v/>
      </c>
      <c r="S1394" s="28">
        <f>IF($G1394="","",COUNTIFS($E$4:$E$2503,$E1394,$Z$4:$Z$2503,"正常",$Y$4:$Y$2503,"待补价"))</f>
        <v/>
      </c>
      <c r="T1394" s="26">
        <f>IF($G1394="","",SUMIFS($P$4:$P$2503,$E$4:$E$2503,$E1394,$Z$4:$Z$2503,"正常",$A$4:$A$2503,"&lt;="&amp;$A1394))</f>
        <v/>
      </c>
      <c r="U1394" s="26">
        <f>IF($G1394="","",IF(OR($S1394&gt;0,$Q1394=0,$R1394=0,$Z1394&lt;&gt;"正常"),0,ROUND($T1394/$Q1394*$R1394,0)-ROUND(($T1394-$P1394)/$Q1394*$R1394,0)))</f>
        <v/>
      </c>
      <c r="V1394" s="26">
        <f>IF($G1394="","",ROUND($P1394+$U1394,0))</f>
        <v/>
      </c>
      <c r="W1394" s="26">
        <f>IF($G1394="","",IF(N($K1394)=0,0,ROUND($V1394/$K1394,2)))</f>
        <v/>
      </c>
      <c r="X1394" s="17" t="n"/>
      <c r="Y1394" s="17" t="n"/>
      <c r="Z1394" s="17" t="n"/>
      <c r="AA1394" s="17" t="n"/>
      <c r="AB1394" s="17" t="n"/>
      <c r="AC1394" s="24">
        <f>IF($G1394="","",IF($H1394="※编码不在物料档案里","※物料编码不在档案里",IF(N($K1394)&lt;=0,"※入库数量要大于 0",IF(AND($C1394&lt;&gt;"",$C1394&lt;=结账锁),"※日期早于已结账截止日，不能再录",IF(AND($L1394=0,$X1394="正常"),"※没填单价，价格状态请选「待补价」",IF(AND($S1394&gt;0,$R1394&gt;0),"△本批有 "&amp;$S1394&amp;" 行没单价，整批运费先挂账没摊",IF(AND($B1394&lt;&gt;"",COUNTIF($B$4:$B$2503,$B1394)&gt;1),"※入库单号重复","")))))))</f>
        <v/>
      </c>
    </row>
    <row r="1395">
      <c r="A1395" s="24">
        <f>IF($G1395="","",COUNTA($G$4:$G1395))</f>
        <v/>
      </c>
      <c r="B1395" s="17" t="n"/>
      <c r="C1395" s="30" t="n"/>
      <c r="D1395" s="17" t="n"/>
      <c r="E1395" s="17" t="n"/>
      <c r="F1395" s="17" t="n"/>
      <c r="G1395" s="17" t="n"/>
      <c r="H1395" s="24">
        <f>IF($G1395="","",IFERROR(VLOOKUP($G1395,物料档案!$A$4:$P$1203,3,0),"※编码不在物料档案里"))</f>
        <v/>
      </c>
      <c r="I1395" s="24">
        <f>IF($G1395="","",IFERROR(VLOOKUP($G1395,物料档案!$A$4:$P$1203,4,0),"※编码不在物料档案里"))</f>
        <v/>
      </c>
      <c r="J1395" s="24">
        <f>IF($G1395="","",IFERROR(VLOOKUP($G1395,物料档案!$A$4:$P$1203,5,0),"※编码不在物料档案里"))</f>
        <v/>
      </c>
      <c r="K1395" s="23" t="n"/>
      <c r="L1395" s="31" t="n"/>
      <c r="M1395" s="24">
        <f>IF($G1395="","",IF($D1395="A国内","CNY","TZS"))</f>
        <v/>
      </c>
      <c r="N1395" s="28">
        <f>IF($G1395="","",IF($D1395="A国内",汇率,1))</f>
        <v/>
      </c>
      <c r="O1395" s="25">
        <f>IF($G1395="","",ROUND(N($K1395)*N($L1395),2))</f>
        <v/>
      </c>
      <c r="P1395" s="26">
        <f>IF($G1395="","",ROUND($O1395*$N1395,0))</f>
        <v/>
      </c>
      <c r="Q1395" s="26">
        <f>IF($G1395="","",SUMIFS($P$4:$P$2503,$E$4:$E$2503,$E1395,$Z$4:$Z$2503,"正常"))</f>
        <v/>
      </c>
      <c r="R1395" s="26">
        <f>IF($G1395="","",SUMIFS(费用台账!$I$4:$I$503,费用台账!$C$4:$C$503,$E1395,费用台账!$J$4:$J$503,"是",费用台账!$K$4:$K$503,"正常"))</f>
        <v/>
      </c>
      <c r="S1395" s="28">
        <f>IF($G1395="","",COUNTIFS($E$4:$E$2503,$E1395,$Z$4:$Z$2503,"正常",$Y$4:$Y$2503,"待补价"))</f>
        <v/>
      </c>
      <c r="T1395" s="26">
        <f>IF($G1395="","",SUMIFS($P$4:$P$2503,$E$4:$E$2503,$E1395,$Z$4:$Z$2503,"正常",$A$4:$A$2503,"&lt;="&amp;$A1395))</f>
        <v/>
      </c>
      <c r="U1395" s="26">
        <f>IF($G1395="","",IF(OR($S1395&gt;0,$Q1395=0,$R1395=0,$Z1395&lt;&gt;"正常"),0,ROUND($T1395/$Q1395*$R1395,0)-ROUND(($T1395-$P1395)/$Q1395*$R1395,0)))</f>
        <v/>
      </c>
      <c r="V1395" s="26">
        <f>IF($G1395="","",ROUND($P1395+$U1395,0))</f>
        <v/>
      </c>
      <c r="W1395" s="26">
        <f>IF($G1395="","",IF(N($K1395)=0,0,ROUND($V1395/$K1395,2)))</f>
        <v/>
      </c>
      <c r="X1395" s="17" t="n"/>
      <c r="Y1395" s="17" t="n"/>
      <c r="Z1395" s="17" t="n"/>
      <c r="AA1395" s="17" t="n"/>
      <c r="AB1395" s="17" t="n"/>
      <c r="AC1395" s="24">
        <f>IF($G1395="","",IF($H1395="※编码不在物料档案里","※物料编码不在档案里",IF(N($K1395)&lt;=0,"※入库数量要大于 0",IF(AND($C1395&lt;&gt;"",$C1395&lt;=结账锁),"※日期早于已结账截止日，不能再录",IF(AND($L1395=0,$X1395="正常"),"※没填单价，价格状态请选「待补价」",IF(AND($S1395&gt;0,$R1395&gt;0),"△本批有 "&amp;$S1395&amp;" 行没单价，整批运费先挂账没摊",IF(AND($B1395&lt;&gt;"",COUNTIF($B$4:$B$2503,$B1395)&gt;1),"※入库单号重复","")))))))</f>
        <v/>
      </c>
    </row>
    <row r="1396">
      <c r="A1396" s="24">
        <f>IF($G1396="","",COUNTA($G$4:$G1396))</f>
        <v/>
      </c>
      <c r="B1396" s="17" t="n"/>
      <c r="C1396" s="30" t="n"/>
      <c r="D1396" s="17" t="n"/>
      <c r="E1396" s="17" t="n"/>
      <c r="F1396" s="17" t="n"/>
      <c r="G1396" s="17" t="n"/>
      <c r="H1396" s="24">
        <f>IF($G1396="","",IFERROR(VLOOKUP($G1396,物料档案!$A$4:$P$1203,3,0),"※编码不在物料档案里"))</f>
        <v/>
      </c>
      <c r="I1396" s="24">
        <f>IF($G1396="","",IFERROR(VLOOKUP($G1396,物料档案!$A$4:$P$1203,4,0),"※编码不在物料档案里"))</f>
        <v/>
      </c>
      <c r="J1396" s="24">
        <f>IF($G1396="","",IFERROR(VLOOKUP($G1396,物料档案!$A$4:$P$1203,5,0),"※编码不在物料档案里"))</f>
        <v/>
      </c>
      <c r="K1396" s="23" t="n"/>
      <c r="L1396" s="31" t="n"/>
      <c r="M1396" s="24">
        <f>IF($G1396="","",IF($D1396="A国内","CNY","TZS"))</f>
        <v/>
      </c>
      <c r="N1396" s="28">
        <f>IF($G1396="","",IF($D1396="A国内",汇率,1))</f>
        <v/>
      </c>
      <c r="O1396" s="25">
        <f>IF($G1396="","",ROUND(N($K1396)*N($L1396),2))</f>
        <v/>
      </c>
      <c r="P1396" s="26">
        <f>IF($G1396="","",ROUND($O1396*$N1396,0))</f>
        <v/>
      </c>
      <c r="Q1396" s="26">
        <f>IF($G1396="","",SUMIFS($P$4:$P$2503,$E$4:$E$2503,$E1396,$Z$4:$Z$2503,"正常"))</f>
        <v/>
      </c>
      <c r="R1396" s="26">
        <f>IF($G1396="","",SUMIFS(费用台账!$I$4:$I$503,费用台账!$C$4:$C$503,$E1396,费用台账!$J$4:$J$503,"是",费用台账!$K$4:$K$503,"正常"))</f>
        <v/>
      </c>
      <c r="S1396" s="28">
        <f>IF($G1396="","",COUNTIFS($E$4:$E$2503,$E1396,$Z$4:$Z$2503,"正常",$Y$4:$Y$2503,"待补价"))</f>
        <v/>
      </c>
      <c r="T1396" s="26">
        <f>IF($G1396="","",SUMIFS($P$4:$P$2503,$E$4:$E$2503,$E1396,$Z$4:$Z$2503,"正常",$A$4:$A$2503,"&lt;="&amp;$A1396))</f>
        <v/>
      </c>
      <c r="U1396" s="26">
        <f>IF($G1396="","",IF(OR($S1396&gt;0,$Q1396=0,$R1396=0,$Z1396&lt;&gt;"正常"),0,ROUND($T1396/$Q1396*$R1396,0)-ROUND(($T1396-$P1396)/$Q1396*$R1396,0)))</f>
        <v/>
      </c>
      <c r="V1396" s="26">
        <f>IF($G1396="","",ROUND($P1396+$U1396,0))</f>
        <v/>
      </c>
      <c r="W1396" s="26">
        <f>IF($G1396="","",IF(N($K1396)=0,0,ROUND($V1396/$K1396,2)))</f>
        <v/>
      </c>
      <c r="X1396" s="17" t="n"/>
      <c r="Y1396" s="17" t="n"/>
      <c r="Z1396" s="17" t="n"/>
      <c r="AA1396" s="17" t="n"/>
      <c r="AB1396" s="17" t="n"/>
      <c r="AC1396" s="24">
        <f>IF($G1396="","",IF($H1396="※编码不在物料档案里","※物料编码不在档案里",IF(N($K1396)&lt;=0,"※入库数量要大于 0",IF(AND($C1396&lt;&gt;"",$C1396&lt;=结账锁),"※日期早于已结账截止日，不能再录",IF(AND($L1396=0,$X1396="正常"),"※没填单价，价格状态请选「待补价」",IF(AND($S1396&gt;0,$R1396&gt;0),"△本批有 "&amp;$S1396&amp;" 行没单价，整批运费先挂账没摊",IF(AND($B1396&lt;&gt;"",COUNTIF($B$4:$B$2503,$B1396)&gt;1),"※入库单号重复","")))))))</f>
        <v/>
      </c>
    </row>
    <row r="1397">
      <c r="A1397" s="24">
        <f>IF($G1397="","",COUNTA($G$4:$G1397))</f>
        <v/>
      </c>
      <c r="B1397" s="17" t="n"/>
      <c r="C1397" s="30" t="n"/>
      <c r="D1397" s="17" t="n"/>
      <c r="E1397" s="17" t="n"/>
      <c r="F1397" s="17" t="n"/>
      <c r="G1397" s="17" t="n"/>
      <c r="H1397" s="24">
        <f>IF($G1397="","",IFERROR(VLOOKUP($G1397,物料档案!$A$4:$P$1203,3,0),"※编码不在物料档案里"))</f>
        <v/>
      </c>
      <c r="I1397" s="24">
        <f>IF($G1397="","",IFERROR(VLOOKUP($G1397,物料档案!$A$4:$P$1203,4,0),"※编码不在物料档案里"))</f>
        <v/>
      </c>
      <c r="J1397" s="24">
        <f>IF($G1397="","",IFERROR(VLOOKUP($G1397,物料档案!$A$4:$P$1203,5,0),"※编码不在物料档案里"))</f>
        <v/>
      </c>
      <c r="K1397" s="23" t="n"/>
      <c r="L1397" s="31" t="n"/>
      <c r="M1397" s="24">
        <f>IF($G1397="","",IF($D1397="A国内","CNY","TZS"))</f>
        <v/>
      </c>
      <c r="N1397" s="28">
        <f>IF($G1397="","",IF($D1397="A国内",汇率,1))</f>
        <v/>
      </c>
      <c r="O1397" s="25">
        <f>IF($G1397="","",ROUND(N($K1397)*N($L1397),2))</f>
        <v/>
      </c>
      <c r="P1397" s="26">
        <f>IF($G1397="","",ROUND($O1397*$N1397,0))</f>
        <v/>
      </c>
      <c r="Q1397" s="26">
        <f>IF($G1397="","",SUMIFS($P$4:$P$2503,$E$4:$E$2503,$E1397,$Z$4:$Z$2503,"正常"))</f>
        <v/>
      </c>
      <c r="R1397" s="26">
        <f>IF($G1397="","",SUMIFS(费用台账!$I$4:$I$503,费用台账!$C$4:$C$503,$E1397,费用台账!$J$4:$J$503,"是",费用台账!$K$4:$K$503,"正常"))</f>
        <v/>
      </c>
      <c r="S1397" s="28">
        <f>IF($G1397="","",COUNTIFS($E$4:$E$2503,$E1397,$Z$4:$Z$2503,"正常",$Y$4:$Y$2503,"待补价"))</f>
        <v/>
      </c>
      <c r="T1397" s="26">
        <f>IF($G1397="","",SUMIFS($P$4:$P$2503,$E$4:$E$2503,$E1397,$Z$4:$Z$2503,"正常",$A$4:$A$2503,"&lt;="&amp;$A1397))</f>
        <v/>
      </c>
      <c r="U1397" s="26">
        <f>IF($G1397="","",IF(OR($S1397&gt;0,$Q1397=0,$R1397=0,$Z1397&lt;&gt;"正常"),0,ROUND($T1397/$Q1397*$R1397,0)-ROUND(($T1397-$P1397)/$Q1397*$R1397,0)))</f>
        <v/>
      </c>
      <c r="V1397" s="26">
        <f>IF($G1397="","",ROUND($P1397+$U1397,0))</f>
        <v/>
      </c>
      <c r="W1397" s="26">
        <f>IF($G1397="","",IF(N($K1397)=0,0,ROUND($V1397/$K1397,2)))</f>
        <v/>
      </c>
      <c r="X1397" s="17" t="n"/>
      <c r="Y1397" s="17" t="n"/>
      <c r="Z1397" s="17" t="n"/>
      <c r="AA1397" s="17" t="n"/>
      <c r="AB1397" s="17" t="n"/>
      <c r="AC1397" s="24">
        <f>IF($G1397="","",IF($H1397="※编码不在物料档案里","※物料编码不在档案里",IF(N($K1397)&lt;=0,"※入库数量要大于 0",IF(AND($C1397&lt;&gt;"",$C1397&lt;=结账锁),"※日期早于已结账截止日，不能再录",IF(AND($L1397=0,$X1397="正常"),"※没填单价，价格状态请选「待补价」",IF(AND($S1397&gt;0,$R1397&gt;0),"△本批有 "&amp;$S1397&amp;" 行没单价，整批运费先挂账没摊",IF(AND($B1397&lt;&gt;"",COUNTIF($B$4:$B$2503,$B1397)&gt;1),"※入库单号重复","")))))))</f>
        <v/>
      </c>
    </row>
    <row r="1398">
      <c r="A1398" s="24">
        <f>IF($G1398="","",COUNTA($G$4:$G1398))</f>
        <v/>
      </c>
      <c r="B1398" s="17" t="n"/>
      <c r="C1398" s="30" t="n"/>
      <c r="D1398" s="17" t="n"/>
      <c r="E1398" s="17" t="n"/>
      <c r="F1398" s="17" t="n"/>
      <c r="G1398" s="17" t="n"/>
      <c r="H1398" s="24">
        <f>IF($G1398="","",IFERROR(VLOOKUP($G1398,物料档案!$A$4:$P$1203,3,0),"※编码不在物料档案里"))</f>
        <v/>
      </c>
      <c r="I1398" s="24">
        <f>IF($G1398="","",IFERROR(VLOOKUP($G1398,物料档案!$A$4:$P$1203,4,0),"※编码不在物料档案里"))</f>
        <v/>
      </c>
      <c r="J1398" s="24">
        <f>IF($G1398="","",IFERROR(VLOOKUP($G1398,物料档案!$A$4:$P$1203,5,0),"※编码不在物料档案里"))</f>
        <v/>
      </c>
      <c r="K1398" s="23" t="n"/>
      <c r="L1398" s="31" t="n"/>
      <c r="M1398" s="24">
        <f>IF($G1398="","",IF($D1398="A国内","CNY","TZS"))</f>
        <v/>
      </c>
      <c r="N1398" s="28">
        <f>IF($G1398="","",IF($D1398="A国内",汇率,1))</f>
        <v/>
      </c>
      <c r="O1398" s="25">
        <f>IF($G1398="","",ROUND(N($K1398)*N($L1398),2))</f>
        <v/>
      </c>
      <c r="P1398" s="26">
        <f>IF($G1398="","",ROUND($O1398*$N1398,0))</f>
        <v/>
      </c>
      <c r="Q1398" s="26">
        <f>IF($G1398="","",SUMIFS($P$4:$P$2503,$E$4:$E$2503,$E1398,$Z$4:$Z$2503,"正常"))</f>
        <v/>
      </c>
      <c r="R1398" s="26">
        <f>IF($G1398="","",SUMIFS(费用台账!$I$4:$I$503,费用台账!$C$4:$C$503,$E1398,费用台账!$J$4:$J$503,"是",费用台账!$K$4:$K$503,"正常"))</f>
        <v/>
      </c>
      <c r="S1398" s="28">
        <f>IF($G1398="","",COUNTIFS($E$4:$E$2503,$E1398,$Z$4:$Z$2503,"正常",$Y$4:$Y$2503,"待补价"))</f>
        <v/>
      </c>
      <c r="T1398" s="26">
        <f>IF($G1398="","",SUMIFS($P$4:$P$2503,$E$4:$E$2503,$E1398,$Z$4:$Z$2503,"正常",$A$4:$A$2503,"&lt;="&amp;$A1398))</f>
        <v/>
      </c>
      <c r="U1398" s="26">
        <f>IF($G1398="","",IF(OR($S1398&gt;0,$Q1398=0,$R1398=0,$Z1398&lt;&gt;"正常"),0,ROUND($T1398/$Q1398*$R1398,0)-ROUND(($T1398-$P1398)/$Q1398*$R1398,0)))</f>
        <v/>
      </c>
      <c r="V1398" s="26">
        <f>IF($G1398="","",ROUND($P1398+$U1398,0))</f>
        <v/>
      </c>
      <c r="W1398" s="26">
        <f>IF($G1398="","",IF(N($K1398)=0,0,ROUND($V1398/$K1398,2)))</f>
        <v/>
      </c>
      <c r="X1398" s="17" t="n"/>
      <c r="Y1398" s="17" t="n"/>
      <c r="Z1398" s="17" t="n"/>
      <c r="AA1398" s="17" t="n"/>
      <c r="AB1398" s="17" t="n"/>
      <c r="AC1398" s="24">
        <f>IF($G1398="","",IF($H1398="※编码不在物料档案里","※物料编码不在档案里",IF(N($K1398)&lt;=0,"※入库数量要大于 0",IF(AND($C1398&lt;&gt;"",$C1398&lt;=结账锁),"※日期早于已结账截止日，不能再录",IF(AND($L1398=0,$X1398="正常"),"※没填单价，价格状态请选「待补价」",IF(AND($S1398&gt;0,$R1398&gt;0),"△本批有 "&amp;$S1398&amp;" 行没单价，整批运费先挂账没摊",IF(AND($B1398&lt;&gt;"",COUNTIF($B$4:$B$2503,$B1398)&gt;1),"※入库单号重复","")))))))</f>
        <v/>
      </c>
    </row>
    <row r="1399">
      <c r="A1399" s="24">
        <f>IF($G1399="","",COUNTA($G$4:$G1399))</f>
        <v/>
      </c>
      <c r="B1399" s="17" t="n"/>
      <c r="C1399" s="30" t="n"/>
      <c r="D1399" s="17" t="n"/>
      <c r="E1399" s="17" t="n"/>
      <c r="F1399" s="17" t="n"/>
      <c r="G1399" s="17" t="n"/>
      <c r="H1399" s="24">
        <f>IF($G1399="","",IFERROR(VLOOKUP($G1399,物料档案!$A$4:$P$1203,3,0),"※编码不在物料档案里"))</f>
        <v/>
      </c>
      <c r="I1399" s="24">
        <f>IF($G1399="","",IFERROR(VLOOKUP($G1399,物料档案!$A$4:$P$1203,4,0),"※编码不在物料档案里"))</f>
        <v/>
      </c>
      <c r="J1399" s="24">
        <f>IF($G1399="","",IFERROR(VLOOKUP($G1399,物料档案!$A$4:$P$1203,5,0),"※编码不在物料档案里"))</f>
        <v/>
      </c>
      <c r="K1399" s="23" t="n"/>
      <c r="L1399" s="31" t="n"/>
      <c r="M1399" s="24">
        <f>IF($G1399="","",IF($D1399="A国内","CNY","TZS"))</f>
        <v/>
      </c>
      <c r="N1399" s="28">
        <f>IF($G1399="","",IF($D1399="A国内",汇率,1))</f>
        <v/>
      </c>
      <c r="O1399" s="25">
        <f>IF($G1399="","",ROUND(N($K1399)*N($L1399),2))</f>
        <v/>
      </c>
      <c r="P1399" s="26">
        <f>IF($G1399="","",ROUND($O1399*$N1399,0))</f>
        <v/>
      </c>
      <c r="Q1399" s="26">
        <f>IF($G1399="","",SUMIFS($P$4:$P$2503,$E$4:$E$2503,$E1399,$Z$4:$Z$2503,"正常"))</f>
        <v/>
      </c>
      <c r="R1399" s="26">
        <f>IF($G1399="","",SUMIFS(费用台账!$I$4:$I$503,费用台账!$C$4:$C$503,$E1399,费用台账!$J$4:$J$503,"是",费用台账!$K$4:$K$503,"正常"))</f>
        <v/>
      </c>
      <c r="S1399" s="28">
        <f>IF($G1399="","",COUNTIFS($E$4:$E$2503,$E1399,$Z$4:$Z$2503,"正常",$Y$4:$Y$2503,"待补价"))</f>
        <v/>
      </c>
      <c r="T1399" s="26">
        <f>IF($G1399="","",SUMIFS($P$4:$P$2503,$E$4:$E$2503,$E1399,$Z$4:$Z$2503,"正常",$A$4:$A$2503,"&lt;="&amp;$A1399))</f>
        <v/>
      </c>
      <c r="U1399" s="26">
        <f>IF($G1399="","",IF(OR($S1399&gt;0,$Q1399=0,$R1399=0,$Z1399&lt;&gt;"正常"),0,ROUND($T1399/$Q1399*$R1399,0)-ROUND(($T1399-$P1399)/$Q1399*$R1399,0)))</f>
        <v/>
      </c>
      <c r="V1399" s="26">
        <f>IF($G1399="","",ROUND($P1399+$U1399,0))</f>
        <v/>
      </c>
      <c r="W1399" s="26">
        <f>IF($G1399="","",IF(N($K1399)=0,0,ROUND($V1399/$K1399,2)))</f>
        <v/>
      </c>
      <c r="X1399" s="17" t="n"/>
      <c r="Y1399" s="17" t="n"/>
      <c r="Z1399" s="17" t="n"/>
      <c r="AA1399" s="17" t="n"/>
      <c r="AB1399" s="17" t="n"/>
      <c r="AC1399" s="24">
        <f>IF($G1399="","",IF($H1399="※编码不在物料档案里","※物料编码不在档案里",IF(N($K1399)&lt;=0,"※入库数量要大于 0",IF(AND($C1399&lt;&gt;"",$C1399&lt;=结账锁),"※日期早于已结账截止日，不能再录",IF(AND($L1399=0,$X1399="正常"),"※没填单价，价格状态请选「待补价」",IF(AND($S1399&gt;0,$R1399&gt;0),"△本批有 "&amp;$S1399&amp;" 行没单价，整批运费先挂账没摊",IF(AND($B1399&lt;&gt;"",COUNTIF($B$4:$B$2503,$B1399)&gt;1),"※入库单号重复","")))))))</f>
        <v/>
      </c>
    </row>
    <row r="1400">
      <c r="A1400" s="24">
        <f>IF($G1400="","",COUNTA($G$4:$G1400))</f>
        <v/>
      </c>
      <c r="B1400" s="17" t="n"/>
      <c r="C1400" s="30" t="n"/>
      <c r="D1400" s="17" t="n"/>
      <c r="E1400" s="17" t="n"/>
      <c r="F1400" s="17" t="n"/>
      <c r="G1400" s="17" t="n"/>
      <c r="H1400" s="24">
        <f>IF($G1400="","",IFERROR(VLOOKUP($G1400,物料档案!$A$4:$P$1203,3,0),"※编码不在物料档案里"))</f>
        <v/>
      </c>
      <c r="I1400" s="24">
        <f>IF($G1400="","",IFERROR(VLOOKUP($G1400,物料档案!$A$4:$P$1203,4,0),"※编码不在物料档案里"))</f>
        <v/>
      </c>
      <c r="J1400" s="24">
        <f>IF($G1400="","",IFERROR(VLOOKUP($G1400,物料档案!$A$4:$P$1203,5,0),"※编码不在物料档案里"))</f>
        <v/>
      </c>
      <c r="K1400" s="23" t="n"/>
      <c r="L1400" s="31" t="n"/>
      <c r="M1400" s="24">
        <f>IF($G1400="","",IF($D1400="A国内","CNY","TZS"))</f>
        <v/>
      </c>
      <c r="N1400" s="28">
        <f>IF($G1400="","",IF($D1400="A国内",汇率,1))</f>
        <v/>
      </c>
      <c r="O1400" s="25">
        <f>IF($G1400="","",ROUND(N($K1400)*N($L1400),2))</f>
        <v/>
      </c>
      <c r="P1400" s="26">
        <f>IF($G1400="","",ROUND($O1400*$N1400,0))</f>
        <v/>
      </c>
      <c r="Q1400" s="26">
        <f>IF($G1400="","",SUMIFS($P$4:$P$2503,$E$4:$E$2503,$E1400,$Z$4:$Z$2503,"正常"))</f>
        <v/>
      </c>
      <c r="R1400" s="26">
        <f>IF($G1400="","",SUMIFS(费用台账!$I$4:$I$503,费用台账!$C$4:$C$503,$E1400,费用台账!$J$4:$J$503,"是",费用台账!$K$4:$K$503,"正常"))</f>
        <v/>
      </c>
      <c r="S1400" s="28">
        <f>IF($G1400="","",COUNTIFS($E$4:$E$2503,$E1400,$Z$4:$Z$2503,"正常",$Y$4:$Y$2503,"待补价"))</f>
        <v/>
      </c>
      <c r="T1400" s="26">
        <f>IF($G1400="","",SUMIFS($P$4:$P$2503,$E$4:$E$2503,$E1400,$Z$4:$Z$2503,"正常",$A$4:$A$2503,"&lt;="&amp;$A1400))</f>
        <v/>
      </c>
      <c r="U1400" s="26">
        <f>IF($G1400="","",IF(OR($S1400&gt;0,$Q1400=0,$R1400=0,$Z1400&lt;&gt;"正常"),0,ROUND($T1400/$Q1400*$R1400,0)-ROUND(($T1400-$P1400)/$Q1400*$R1400,0)))</f>
        <v/>
      </c>
      <c r="V1400" s="26">
        <f>IF($G1400="","",ROUND($P1400+$U1400,0))</f>
        <v/>
      </c>
      <c r="W1400" s="26">
        <f>IF($G1400="","",IF(N($K1400)=0,0,ROUND($V1400/$K1400,2)))</f>
        <v/>
      </c>
      <c r="X1400" s="17" t="n"/>
      <c r="Y1400" s="17" t="n"/>
      <c r="Z1400" s="17" t="n"/>
      <c r="AA1400" s="17" t="n"/>
      <c r="AB1400" s="17" t="n"/>
      <c r="AC1400" s="24">
        <f>IF($G1400="","",IF($H1400="※编码不在物料档案里","※物料编码不在档案里",IF(N($K1400)&lt;=0,"※入库数量要大于 0",IF(AND($C1400&lt;&gt;"",$C1400&lt;=结账锁),"※日期早于已结账截止日，不能再录",IF(AND($L1400=0,$X1400="正常"),"※没填单价，价格状态请选「待补价」",IF(AND($S1400&gt;0,$R1400&gt;0),"△本批有 "&amp;$S1400&amp;" 行没单价，整批运费先挂账没摊",IF(AND($B1400&lt;&gt;"",COUNTIF($B$4:$B$2503,$B1400)&gt;1),"※入库单号重复","")))))))</f>
        <v/>
      </c>
    </row>
    <row r="1401">
      <c r="A1401" s="24">
        <f>IF($G1401="","",COUNTA($G$4:$G1401))</f>
        <v/>
      </c>
      <c r="B1401" s="17" t="n"/>
      <c r="C1401" s="30" t="n"/>
      <c r="D1401" s="17" t="n"/>
      <c r="E1401" s="17" t="n"/>
      <c r="F1401" s="17" t="n"/>
      <c r="G1401" s="17" t="n"/>
      <c r="H1401" s="24">
        <f>IF($G1401="","",IFERROR(VLOOKUP($G1401,物料档案!$A$4:$P$1203,3,0),"※编码不在物料档案里"))</f>
        <v/>
      </c>
      <c r="I1401" s="24">
        <f>IF($G1401="","",IFERROR(VLOOKUP($G1401,物料档案!$A$4:$P$1203,4,0),"※编码不在物料档案里"))</f>
        <v/>
      </c>
      <c r="J1401" s="24">
        <f>IF($G1401="","",IFERROR(VLOOKUP($G1401,物料档案!$A$4:$P$1203,5,0),"※编码不在物料档案里"))</f>
        <v/>
      </c>
      <c r="K1401" s="23" t="n"/>
      <c r="L1401" s="31" t="n"/>
      <c r="M1401" s="24">
        <f>IF($G1401="","",IF($D1401="A国内","CNY","TZS"))</f>
        <v/>
      </c>
      <c r="N1401" s="28">
        <f>IF($G1401="","",IF($D1401="A国内",汇率,1))</f>
        <v/>
      </c>
      <c r="O1401" s="25">
        <f>IF($G1401="","",ROUND(N($K1401)*N($L1401),2))</f>
        <v/>
      </c>
      <c r="P1401" s="26">
        <f>IF($G1401="","",ROUND($O1401*$N1401,0))</f>
        <v/>
      </c>
      <c r="Q1401" s="26">
        <f>IF($G1401="","",SUMIFS($P$4:$P$2503,$E$4:$E$2503,$E1401,$Z$4:$Z$2503,"正常"))</f>
        <v/>
      </c>
      <c r="R1401" s="26">
        <f>IF($G1401="","",SUMIFS(费用台账!$I$4:$I$503,费用台账!$C$4:$C$503,$E1401,费用台账!$J$4:$J$503,"是",费用台账!$K$4:$K$503,"正常"))</f>
        <v/>
      </c>
      <c r="S1401" s="28">
        <f>IF($G1401="","",COUNTIFS($E$4:$E$2503,$E1401,$Z$4:$Z$2503,"正常",$Y$4:$Y$2503,"待补价"))</f>
        <v/>
      </c>
      <c r="T1401" s="26">
        <f>IF($G1401="","",SUMIFS($P$4:$P$2503,$E$4:$E$2503,$E1401,$Z$4:$Z$2503,"正常",$A$4:$A$2503,"&lt;="&amp;$A1401))</f>
        <v/>
      </c>
      <c r="U1401" s="26">
        <f>IF($G1401="","",IF(OR($S1401&gt;0,$Q1401=0,$R1401=0,$Z1401&lt;&gt;"正常"),0,ROUND($T1401/$Q1401*$R1401,0)-ROUND(($T1401-$P1401)/$Q1401*$R1401,0)))</f>
        <v/>
      </c>
      <c r="V1401" s="26">
        <f>IF($G1401="","",ROUND($P1401+$U1401,0))</f>
        <v/>
      </c>
      <c r="W1401" s="26">
        <f>IF($G1401="","",IF(N($K1401)=0,0,ROUND($V1401/$K1401,2)))</f>
        <v/>
      </c>
      <c r="X1401" s="17" t="n"/>
      <c r="Y1401" s="17" t="n"/>
      <c r="Z1401" s="17" t="n"/>
      <c r="AA1401" s="17" t="n"/>
      <c r="AB1401" s="17" t="n"/>
      <c r="AC1401" s="24">
        <f>IF($G1401="","",IF($H1401="※编码不在物料档案里","※物料编码不在档案里",IF(N($K1401)&lt;=0,"※入库数量要大于 0",IF(AND($C1401&lt;&gt;"",$C1401&lt;=结账锁),"※日期早于已结账截止日，不能再录",IF(AND($L1401=0,$X1401="正常"),"※没填单价，价格状态请选「待补价」",IF(AND($S1401&gt;0,$R1401&gt;0),"△本批有 "&amp;$S1401&amp;" 行没单价，整批运费先挂账没摊",IF(AND($B1401&lt;&gt;"",COUNTIF($B$4:$B$2503,$B1401)&gt;1),"※入库单号重复","")))))))</f>
        <v/>
      </c>
    </row>
    <row r="1402">
      <c r="A1402" s="24">
        <f>IF($G1402="","",COUNTA($G$4:$G1402))</f>
        <v/>
      </c>
      <c r="B1402" s="17" t="n"/>
      <c r="C1402" s="30" t="n"/>
      <c r="D1402" s="17" t="n"/>
      <c r="E1402" s="17" t="n"/>
      <c r="F1402" s="17" t="n"/>
      <c r="G1402" s="17" t="n"/>
      <c r="H1402" s="24">
        <f>IF($G1402="","",IFERROR(VLOOKUP($G1402,物料档案!$A$4:$P$1203,3,0),"※编码不在物料档案里"))</f>
        <v/>
      </c>
      <c r="I1402" s="24">
        <f>IF($G1402="","",IFERROR(VLOOKUP($G1402,物料档案!$A$4:$P$1203,4,0),"※编码不在物料档案里"))</f>
        <v/>
      </c>
      <c r="J1402" s="24">
        <f>IF($G1402="","",IFERROR(VLOOKUP($G1402,物料档案!$A$4:$P$1203,5,0),"※编码不在物料档案里"))</f>
        <v/>
      </c>
      <c r="K1402" s="23" t="n"/>
      <c r="L1402" s="31" t="n"/>
      <c r="M1402" s="24">
        <f>IF($G1402="","",IF($D1402="A国内","CNY","TZS"))</f>
        <v/>
      </c>
      <c r="N1402" s="28">
        <f>IF($G1402="","",IF($D1402="A国内",汇率,1))</f>
        <v/>
      </c>
      <c r="O1402" s="25">
        <f>IF($G1402="","",ROUND(N($K1402)*N($L1402),2))</f>
        <v/>
      </c>
      <c r="P1402" s="26">
        <f>IF($G1402="","",ROUND($O1402*$N1402,0))</f>
        <v/>
      </c>
      <c r="Q1402" s="26">
        <f>IF($G1402="","",SUMIFS($P$4:$P$2503,$E$4:$E$2503,$E1402,$Z$4:$Z$2503,"正常"))</f>
        <v/>
      </c>
      <c r="R1402" s="26">
        <f>IF($G1402="","",SUMIFS(费用台账!$I$4:$I$503,费用台账!$C$4:$C$503,$E1402,费用台账!$J$4:$J$503,"是",费用台账!$K$4:$K$503,"正常"))</f>
        <v/>
      </c>
      <c r="S1402" s="28">
        <f>IF($G1402="","",COUNTIFS($E$4:$E$2503,$E1402,$Z$4:$Z$2503,"正常",$Y$4:$Y$2503,"待补价"))</f>
        <v/>
      </c>
      <c r="T1402" s="26">
        <f>IF($G1402="","",SUMIFS($P$4:$P$2503,$E$4:$E$2503,$E1402,$Z$4:$Z$2503,"正常",$A$4:$A$2503,"&lt;="&amp;$A1402))</f>
        <v/>
      </c>
      <c r="U1402" s="26">
        <f>IF($G1402="","",IF(OR($S1402&gt;0,$Q1402=0,$R1402=0,$Z1402&lt;&gt;"正常"),0,ROUND($T1402/$Q1402*$R1402,0)-ROUND(($T1402-$P1402)/$Q1402*$R1402,0)))</f>
        <v/>
      </c>
      <c r="V1402" s="26">
        <f>IF($G1402="","",ROUND($P1402+$U1402,0))</f>
        <v/>
      </c>
      <c r="W1402" s="26">
        <f>IF($G1402="","",IF(N($K1402)=0,0,ROUND($V1402/$K1402,2)))</f>
        <v/>
      </c>
      <c r="X1402" s="17" t="n"/>
      <c r="Y1402" s="17" t="n"/>
      <c r="Z1402" s="17" t="n"/>
      <c r="AA1402" s="17" t="n"/>
      <c r="AB1402" s="17" t="n"/>
      <c r="AC1402" s="24">
        <f>IF($G1402="","",IF($H1402="※编码不在物料档案里","※物料编码不在档案里",IF(N($K1402)&lt;=0,"※入库数量要大于 0",IF(AND($C1402&lt;&gt;"",$C1402&lt;=结账锁),"※日期早于已结账截止日，不能再录",IF(AND($L1402=0,$X1402="正常"),"※没填单价，价格状态请选「待补价」",IF(AND($S1402&gt;0,$R1402&gt;0),"△本批有 "&amp;$S1402&amp;" 行没单价，整批运费先挂账没摊",IF(AND($B1402&lt;&gt;"",COUNTIF($B$4:$B$2503,$B1402)&gt;1),"※入库单号重复","")))))))</f>
        <v/>
      </c>
    </row>
    <row r="1403">
      <c r="A1403" s="24">
        <f>IF($G1403="","",COUNTA($G$4:$G1403))</f>
        <v/>
      </c>
      <c r="B1403" s="17" t="n"/>
      <c r="C1403" s="30" t="n"/>
      <c r="D1403" s="17" t="n"/>
      <c r="E1403" s="17" t="n"/>
      <c r="F1403" s="17" t="n"/>
      <c r="G1403" s="17" t="n"/>
      <c r="H1403" s="24">
        <f>IF($G1403="","",IFERROR(VLOOKUP($G1403,物料档案!$A$4:$P$1203,3,0),"※编码不在物料档案里"))</f>
        <v/>
      </c>
      <c r="I1403" s="24">
        <f>IF($G1403="","",IFERROR(VLOOKUP($G1403,物料档案!$A$4:$P$1203,4,0),"※编码不在物料档案里"))</f>
        <v/>
      </c>
      <c r="J1403" s="24">
        <f>IF($G1403="","",IFERROR(VLOOKUP($G1403,物料档案!$A$4:$P$1203,5,0),"※编码不在物料档案里"))</f>
        <v/>
      </c>
      <c r="K1403" s="23" t="n"/>
      <c r="L1403" s="31" t="n"/>
      <c r="M1403" s="24">
        <f>IF($G1403="","",IF($D1403="A国内","CNY","TZS"))</f>
        <v/>
      </c>
      <c r="N1403" s="28">
        <f>IF($G1403="","",IF($D1403="A国内",汇率,1))</f>
        <v/>
      </c>
      <c r="O1403" s="25">
        <f>IF($G1403="","",ROUND(N($K1403)*N($L1403),2))</f>
        <v/>
      </c>
      <c r="P1403" s="26">
        <f>IF($G1403="","",ROUND($O1403*$N1403,0))</f>
        <v/>
      </c>
      <c r="Q1403" s="26">
        <f>IF($G1403="","",SUMIFS($P$4:$P$2503,$E$4:$E$2503,$E1403,$Z$4:$Z$2503,"正常"))</f>
        <v/>
      </c>
      <c r="R1403" s="26">
        <f>IF($G1403="","",SUMIFS(费用台账!$I$4:$I$503,费用台账!$C$4:$C$503,$E1403,费用台账!$J$4:$J$503,"是",费用台账!$K$4:$K$503,"正常"))</f>
        <v/>
      </c>
      <c r="S1403" s="28">
        <f>IF($G1403="","",COUNTIFS($E$4:$E$2503,$E1403,$Z$4:$Z$2503,"正常",$Y$4:$Y$2503,"待补价"))</f>
        <v/>
      </c>
      <c r="T1403" s="26">
        <f>IF($G1403="","",SUMIFS($P$4:$P$2503,$E$4:$E$2503,$E1403,$Z$4:$Z$2503,"正常",$A$4:$A$2503,"&lt;="&amp;$A1403))</f>
        <v/>
      </c>
      <c r="U1403" s="26">
        <f>IF($G1403="","",IF(OR($S1403&gt;0,$Q1403=0,$R1403=0,$Z1403&lt;&gt;"正常"),0,ROUND($T1403/$Q1403*$R1403,0)-ROUND(($T1403-$P1403)/$Q1403*$R1403,0)))</f>
        <v/>
      </c>
      <c r="V1403" s="26">
        <f>IF($G1403="","",ROUND($P1403+$U1403,0))</f>
        <v/>
      </c>
      <c r="W1403" s="26">
        <f>IF($G1403="","",IF(N($K1403)=0,0,ROUND($V1403/$K1403,2)))</f>
        <v/>
      </c>
      <c r="X1403" s="17" t="n"/>
      <c r="Y1403" s="17" t="n"/>
      <c r="Z1403" s="17" t="n"/>
      <c r="AA1403" s="17" t="n"/>
      <c r="AB1403" s="17" t="n"/>
      <c r="AC1403" s="24">
        <f>IF($G1403="","",IF($H1403="※编码不在物料档案里","※物料编码不在档案里",IF(N($K1403)&lt;=0,"※入库数量要大于 0",IF(AND($C1403&lt;&gt;"",$C1403&lt;=结账锁),"※日期早于已结账截止日，不能再录",IF(AND($L1403=0,$X1403="正常"),"※没填单价，价格状态请选「待补价」",IF(AND($S1403&gt;0,$R1403&gt;0),"△本批有 "&amp;$S1403&amp;" 行没单价，整批运费先挂账没摊",IF(AND($B1403&lt;&gt;"",COUNTIF($B$4:$B$2503,$B1403)&gt;1),"※入库单号重复","")))))))</f>
        <v/>
      </c>
    </row>
    <row r="1404">
      <c r="A1404" s="24">
        <f>IF($G1404="","",COUNTA($G$4:$G1404))</f>
        <v/>
      </c>
      <c r="B1404" s="17" t="n"/>
      <c r="C1404" s="30" t="n"/>
      <c r="D1404" s="17" t="n"/>
      <c r="E1404" s="17" t="n"/>
      <c r="F1404" s="17" t="n"/>
      <c r="G1404" s="17" t="n"/>
      <c r="H1404" s="24">
        <f>IF($G1404="","",IFERROR(VLOOKUP($G1404,物料档案!$A$4:$P$1203,3,0),"※编码不在物料档案里"))</f>
        <v/>
      </c>
      <c r="I1404" s="24">
        <f>IF($G1404="","",IFERROR(VLOOKUP($G1404,物料档案!$A$4:$P$1203,4,0),"※编码不在物料档案里"))</f>
        <v/>
      </c>
      <c r="J1404" s="24">
        <f>IF($G1404="","",IFERROR(VLOOKUP($G1404,物料档案!$A$4:$P$1203,5,0),"※编码不在物料档案里"))</f>
        <v/>
      </c>
      <c r="K1404" s="23" t="n"/>
      <c r="L1404" s="31" t="n"/>
      <c r="M1404" s="24">
        <f>IF($G1404="","",IF($D1404="A国内","CNY","TZS"))</f>
        <v/>
      </c>
      <c r="N1404" s="28">
        <f>IF($G1404="","",IF($D1404="A国内",汇率,1))</f>
        <v/>
      </c>
      <c r="O1404" s="25">
        <f>IF($G1404="","",ROUND(N($K1404)*N($L1404),2))</f>
        <v/>
      </c>
      <c r="P1404" s="26">
        <f>IF($G1404="","",ROUND($O1404*$N1404,0))</f>
        <v/>
      </c>
      <c r="Q1404" s="26">
        <f>IF($G1404="","",SUMIFS($P$4:$P$2503,$E$4:$E$2503,$E1404,$Z$4:$Z$2503,"正常"))</f>
        <v/>
      </c>
      <c r="R1404" s="26">
        <f>IF($G1404="","",SUMIFS(费用台账!$I$4:$I$503,费用台账!$C$4:$C$503,$E1404,费用台账!$J$4:$J$503,"是",费用台账!$K$4:$K$503,"正常"))</f>
        <v/>
      </c>
      <c r="S1404" s="28">
        <f>IF($G1404="","",COUNTIFS($E$4:$E$2503,$E1404,$Z$4:$Z$2503,"正常",$Y$4:$Y$2503,"待补价"))</f>
        <v/>
      </c>
      <c r="T1404" s="26">
        <f>IF($G1404="","",SUMIFS($P$4:$P$2503,$E$4:$E$2503,$E1404,$Z$4:$Z$2503,"正常",$A$4:$A$2503,"&lt;="&amp;$A1404))</f>
        <v/>
      </c>
      <c r="U1404" s="26">
        <f>IF($G1404="","",IF(OR($S1404&gt;0,$Q1404=0,$R1404=0,$Z1404&lt;&gt;"正常"),0,ROUND($T1404/$Q1404*$R1404,0)-ROUND(($T1404-$P1404)/$Q1404*$R1404,0)))</f>
        <v/>
      </c>
      <c r="V1404" s="26">
        <f>IF($G1404="","",ROUND($P1404+$U1404,0))</f>
        <v/>
      </c>
      <c r="W1404" s="26">
        <f>IF($G1404="","",IF(N($K1404)=0,0,ROUND($V1404/$K1404,2)))</f>
        <v/>
      </c>
      <c r="X1404" s="17" t="n"/>
      <c r="Y1404" s="17" t="n"/>
      <c r="Z1404" s="17" t="n"/>
      <c r="AA1404" s="17" t="n"/>
      <c r="AB1404" s="17" t="n"/>
      <c r="AC1404" s="24">
        <f>IF($G1404="","",IF($H1404="※编码不在物料档案里","※物料编码不在档案里",IF(N($K1404)&lt;=0,"※入库数量要大于 0",IF(AND($C1404&lt;&gt;"",$C1404&lt;=结账锁),"※日期早于已结账截止日，不能再录",IF(AND($L1404=0,$X1404="正常"),"※没填单价，价格状态请选「待补价」",IF(AND($S1404&gt;0,$R1404&gt;0),"△本批有 "&amp;$S1404&amp;" 行没单价，整批运费先挂账没摊",IF(AND($B1404&lt;&gt;"",COUNTIF($B$4:$B$2503,$B1404)&gt;1),"※入库单号重复","")))))))</f>
        <v/>
      </c>
    </row>
    <row r="1405">
      <c r="A1405" s="24">
        <f>IF($G1405="","",COUNTA($G$4:$G1405))</f>
        <v/>
      </c>
      <c r="B1405" s="17" t="n"/>
      <c r="C1405" s="30" t="n"/>
      <c r="D1405" s="17" t="n"/>
      <c r="E1405" s="17" t="n"/>
      <c r="F1405" s="17" t="n"/>
      <c r="G1405" s="17" t="n"/>
      <c r="H1405" s="24">
        <f>IF($G1405="","",IFERROR(VLOOKUP($G1405,物料档案!$A$4:$P$1203,3,0),"※编码不在物料档案里"))</f>
        <v/>
      </c>
      <c r="I1405" s="24">
        <f>IF($G1405="","",IFERROR(VLOOKUP($G1405,物料档案!$A$4:$P$1203,4,0),"※编码不在物料档案里"))</f>
        <v/>
      </c>
      <c r="J1405" s="24">
        <f>IF($G1405="","",IFERROR(VLOOKUP($G1405,物料档案!$A$4:$P$1203,5,0),"※编码不在物料档案里"))</f>
        <v/>
      </c>
      <c r="K1405" s="23" t="n"/>
      <c r="L1405" s="31" t="n"/>
      <c r="M1405" s="24">
        <f>IF($G1405="","",IF($D1405="A国内","CNY","TZS"))</f>
        <v/>
      </c>
      <c r="N1405" s="28">
        <f>IF($G1405="","",IF($D1405="A国内",汇率,1))</f>
        <v/>
      </c>
      <c r="O1405" s="25">
        <f>IF($G1405="","",ROUND(N($K1405)*N($L1405),2))</f>
        <v/>
      </c>
      <c r="P1405" s="26">
        <f>IF($G1405="","",ROUND($O1405*$N1405,0))</f>
        <v/>
      </c>
      <c r="Q1405" s="26">
        <f>IF($G1405="","",SUMIFS($P$4:$P$2503,$E$4:$E$2503,$E1405,$Z$4:$Z$2503,"正常"))</f>
        <v/>
      </c>
      <c r="R1405" s="26">
        <f>IF($G1405="","",SUMIFS(费用台账!$I$4:$I$503,费用台账!$C$4:$C$503,$E1405,费用台账!$J$4:$J$503,"是",费用台账!$K$4:$K$503,"正常"))</f>
        <v/>
      </c>
      <c r="S1405" s="28">
        <f>IF($G1405="","",COUNTIFS($E$4:$E$2503,$E1405,$Z$4:$Z$2503,"正常",$Y$4:$Y$2503,"待补价"))</f>
        <v/>
      </c>
      <c r="T1405" s="26">
        <f>IF($G1405="","",SUMIFS($P$4:$P$2503,$E$4:$E$2503,$E1405,$Z$4:$Z$2503,"正常",$A$4:$A$2503,"&lt;="&amp;$A1405))</f>
        <v/>
      </c>
      <c r="U1405" s="26">
        <f>IF($G1405="","",IF(OR($S1405&gt;0,$Q1405=0,$R1405=0,$Z1405&lt;&gt;"正常"),0,ROUND($T1405/$Q1405*$R1405,0)-ROUND(($T1405-$P1405)/$Q1405*$R1405,0)))</f>
        <v/>
      </c>
      <c r="V1405" s="26">
        <f>IF($G1405="","",ROUND($P1405+$U1405,0))</f>
        <v/>
      </c>
      <c r="W1405" s="26">
        <f>IF($G1405="","",IF(N($K1405)=0,0,ROUND($V1405/$K1405,2)))</f>
        <v/>
      </c>
      <c r="X1405" s="17" t="n"/>
      <c r="Y1405" s="17" t="n"/>
      <c r="Z1405" s="17" t="n"/>
      <c r="AA1405" s="17" t="n"/>
      <c r="AB1405" s="17" t="n"/>
      <c r="AC1405" s="24">
        <f>IF($G1405="","",IF($H1405="※编码不在物料档案里","※物料编码不在档案里",IF(N($K1405)&lt;=0,"※入库数量要大于 0",IF(AND($C1405&lt;&gt;"",$C1405&lt;=结账锁),"※日期早于已结账截止日，不能再录",IF(AND($L1405=0,$X1405="正常"),"※没填单价，价格状态请选「待补价」",IF(AND($S1405&gt;0,$R1405&gt;0),"△本批有 "&amp;$S1405&amp;" 行没单价，整批运费先挂账没摊",IF(AND($B1405&lt;&gt;"",COUNTIF($B$4:$B$2503,$B1405)&gt;1),"※入库单号重复","")))))))</f>
        <v/>
      </c>
    </row>
    <row r="1406">
      <c r="A1406" s="24">
        <f>IF($G1406="","",COUNTA($G$4:$G1406))</f>
        <v/>
      </c>
      <c r="B1406" s="17" t="n"/>
      <c r="C1406" s="30" t="n"/>
      <c r="D1406" s="17" t="n"/>
      <c r="E1406" s="17" t="n"/>
      <c r="F1406" s="17" t="n"/>
      <c r="G1406" s="17" t="n"/>
      <c r="H1406" s="24">
        <f>IF($G1406="","",IFERROR(VLOOKUP($G1406,物料档案!$A$4:$P$1203,3,0),"※编码不在物料档案里"))</f>
        <v/>
      </c>
      <c r="I1406" s="24">
        <f>IF($G1406="","",IFERROR(VLOOKUP($G1406,物料档案!$A$4:$P$1203,4,0),"※编码不在物料档案里"))</f>
        <v/>
      </c>
      <c r="J1406" s="24">
        <f>IF($G1406="","",IFERROR(VLOOKUP($G1406,物料档案!$A$4:$P$1203,5,0),"※编码不在物料档案里"))</f>
        <v/>
      </c>
      <c r="K1406" s="23" t="n"/>
      <c r="L1406" s="31" t="n"/>
      <c r="M1406" s="24">
        <f>IF($G1406="","",IF($D1406="A国内","CNY","TZS"))</f>
        <v/>
      </c>
      <c r="N1406" s="28">
        <f>IF($G1406="","",IF($D1406="A国内",汇率,1))</f>
        <v/>
      </c>
      <c r="O1406" s="25">
        <f>IF($G1406="","",ROUND(N($K1406)*N($L1406),2))</f>
        <v/>
      </c>
      <c r="P1406" s="26">
        <f>IF($G1406="","",ROUND($O1406*$N1406,0))</f>
        <v/>
      </c>
      <c r="Q1406" s="26">
        <f>IF($G1406="","",SUMIFS($P$4:$P$2503,$E$4:$E$2503,$E1406,$Z$4:$Z$2503,"正常"))</f>
        <v/>
      </c>
      <c r="R1406" s="26">
        <f>IF($G1406="","",SUMIFS(费用台账!$I$4:$I$503,费用台账!$C$4:$C$503,$E1406,费用台账!$J$4:$J$503,"是",费用台账!$K$4:$K$503,"正常"))</f>
        <v/>
      </c>
      <c r="S1406" s="28">
        <f>IF($G1406="","",COUNTIFS($E$4:$E$2503,$E1406,$Z$4:$Z$2503,"正常",$Y$4:$Y$2503,"待补价"))</f>
        <v/>
      </c>
      <c r="T1406" s="26">
        <f>IF($G1406="","",SUMIFS($P$4:$P$2503,$E$4:$E$2503,$E1406,$Z$4:$Z$2503,"正常",$A$4:$A$2503,"&lt;="&amp;$A1406))</f>
        <v/>
      </c>
      <c r="U1406" s="26">
        <f>IF($G1406="","",IF(OR($S1406&gt;0,$Q1406=0,$R1406=0,$Z1406&lt;&gt;"正常"),0,ROUND($T1406/$Q1406*$R1406,0)-ROUND(($T1406-$P1406)/$Q1406*$R1406,0)))</f>
        <v/>
      </c>
      <c r="V1406" s="26">
        <f>IF($G1406="","",ROUND($P1406+$U1406,0))</f>
        <v/>
      </c>
      <c r="W1406" s="26">
        <f>IF($G1406="","",IF(N($K1406)=0,0,ROUND($V1406/$K1406,2)))</f>
        <v/>
      </c>
      <c r="X1406" s="17" t="n"/>
      <c r="Y1406" s="17" t="n"/>
      <c r="Z1406" s="17" t="n"/>
      <c r="AA1406" s="17" t="n"/>
      <c r="AB1406" s="17" t="n"/>
      <c r="AC1406" s="24">
        <f>IF($G1406="","",IF($H1406="※编码不在物料档案里","※物料编码不在档案里",IF(N($K1406)&lt;=0,"※入库数量要大于 0",IF(AND($C1406&lt;&gt;"",$C1406&lt;=结账锁),"※日期早于已结账截止日，不能再录",IF(AND($L1406=0,$X1406="正常"),"※没填单价，价格状态请选「待补价」",IF(AND($S1406&gt;0,$R1406&gt;0),"△本批有 "&amp;$S1406&amp;" 行没单价，整批运费先挂账没摊",IF(AND($B1406&lt;&gt;"",COUNTIF($B$4:$B$2503,$B1406)&gt;1),"※入库单号重复","")))))))</f>
        <v/>
      </c>
    </row>
    <row r="1407">
      <c r="A1407" s="24">
        <f>IF($G1407="","",COUNTA($G$4:$G1407))</f>
        <v/>
      </c>
      <c r="B1407" s="17" t="n"/>
      <c r="C1407" s="30" t="n"/>
      <c r="D1407" s="17" t="n"/>
      <c r="E1407" s="17" t="n"/>
      <c r="F1407" s="17" t="n"/>
      <c r="G1407" s="17" t="n"/>
      <c r="H1407" s="24">
        <f>IF($G1407="","",IFERROR(VLOOKUP($G1407,物料档案!$A$4:$P$1203,3,0),"※编码不在物料档案里"))</f>
        <v/>
      </c>
      <c r="I1407" s="24">
        <f>IF($G1407="","",IFERROR(VLOOKUP($G1407,物料档案!$A$4:$P$1203,4,0),"※编码不在物料档案里"))</f>
        <v/>
      </c>
      <c r="J1407" s="24">
        <f>IF($G1407="","",IFERROR(VLOOKUP($G1407,物料档案!$A$4:$P$1203,5,0),"※编码不在物料档案里"))</f>
        <v/>
      </c>
      <c r="K1407" s="23" t="n"/>
      <c r="L1407" s="31" t="n"/>
      <c r="M1407" s="24">
        <f>IF($G1407="","",IF($D1407="A国内","CNY","TZS"))</f>
        <v/>
      </c>
      <c r="N1407" s="28">
        <f>IF($G1407="","",IF($D1407="A国内",汇率,1))</f>
        <v/>
      </c>
      <c r="O1407" s="25">
        <f>IF($G1407="","",ROUND(N($K1407)*N($L1407),2))</f>
        <v/>
      </c>
      <c r="P1407" s="26">
        <f>IF($G1407="","",ROUND($O1407*$N1407,0))</f>
        <v/>
      </c>
      <c r="Q1407" s="26">
        <f>IF($G1407="","",SUMIFS($P$4:$P$2503,$E$4:$E$2503,$E1407,$Z$4:$Z$2503,"正常"))</f>
        <v/>
      </c>
      <c r="R1407" s="26">
        <f>IF($G1407="","",SUMIFS(费用台账!$I$4:$I$503,费用台账!$C$4:$C$503,$E1407,费用台账!$J$4:$J$503,"是",费用台账!$K$4:$K$503,"正常"))</f>
        <v/>
      </c>
      <c r="S1407" s="28">
        <f>IF($G1407="","",COUNTIFS($E$4:$E$2503,$E1407,$Z$4:$Z$2503,"正常",$Y$4:$Y$2503,"待补价"))</f>
        <v/>
      </c>
      <c r="T1407" s="26">
        <f>IF($G1407="","",SUMIFS($P$4:$P$2503,$E$4:$E$2503,$E1407,$Z$4:$Z$2503,"正常",$A$4:$A$2503,"&lt;="&amp;$A1407))</f>
        <v/>
      </c>
      <c r="U1407" s="26">
        <f>IF($G1407="","",IF(OR($S1407&gt;0,$Q1407=0,$R1407=0,$Z1407&lt;&gt;"正常"),0,ROUND($T1407/$Q1407*$R1407,0)-ROUND(($T1407-$P1407)/$Q1407*$R1407,0)))</f>
        <v/>
      </c>
      <c r="V1407" s="26">
        <f>IF($G1407="","",ROUND($P1407+$U1407,0))</f>
        <v/>
      </c>
      <c r="W1407" s="26">
        <f>IF($G1407="","",IF(N($K1407)=0,0,ROUND($V1407/$K1407,2)))</f>
        <v/>
      </c>
      <c r="X1407" s="17" t="n"/>
      <c r="Y1407" s="17" t="n"/>
      <c r="Z1407" s="17" t="n"/>
      <c r="AA1407" s="17" t="n"/>
      <c r="AB1407" s="17" t="n"/>
      <c r="AC1407" s="24">
        <f>IF($G1407="","",IF($H1407="※编码不在物料档案里","※物料编码不在档案里",IF(N($K1407)&lt;=0,"※入库数量要大于 0",IF(AND($C1407&lt;&gt;"",$C1407&lt;=结账锁),"※日期早于已结账截止日，不能再录",IF(AND($L1407=0,$X1407="正常"),"※没填单价，价格状态请选「待补价」",IF(AND($S1407&gt;0,$R1407&gt;0),"△本批有 "&amp;$S1407&amp;" 行没单价，整批运费先挂账没摊",IF(AND($B1407&lt;&gt;"",COUNTIF($B$4:$B$2503,$B1407)&gt;1),"※入库单号重复","")))))))</f>
        <v/>
      </c>
    </row>
    <row r="1408">
      <c r="A1408" s="24">
        <f>IF($G1408="","",COUNTA($G$4:$G1408))</f>
        <v/>
      </c>
      <c r="B1408" s="17" t="n"/>
      <c r="C1408" s="30" t="n"/>
      <c r="D1408" s="17" t="n"/>
      <c r="E1408" s="17" t="n"/>
      <c r="F1408" s="17" t="n"/>
      <c r="G1408" s="17" t="n"/>
      <c r="H1408" s="24">
        <f>IF($G1408="","",IFERROR(VLOOKUP($G1408,物料档案!$A$4:$P$1203,3,0),"※编码不在物料档案里"))</f>
        <v/>
      </c>
      <c r="I1408" s="24">
        <f>IF($G1408="","",IFERROR(VLOOKUP($G1408,物料档案!$A$4:$P$1203,4,0),"※编码不在物料档案里"))</f>
        <v/>
      </c>
      <c r="J1408" s="24">
        <f>IF($G1408="","",IFERROR(VLOOKUP($G1408,物料档案!$A$4:$P$1203,5,0),"※编码不在物料档案里"))</f>
        <v/>
      </c>
      <c r="K1408" s="23" t="n"/>
      <c r="L1408" s="31" t="n"/>
      <c r="M1408" s="24">
        <f>IF($G1408="","",IF($D1408="A国内","CNY","TZS"))</f>
        <v/>
      </c>
      <c r="N1408" s="28">
        <f>IF($G1408="","",IF($D1408="A国内",汇率,1))</f>
        <v/>
      </c>
      <c r="O1408" s="25">
        <f>IF($G1408="","",ROUND(N($K1408)*N($L1408),2))</f>
        <v/>
      </c>
      <c r="P1408" s="26">
        <f>IF($G1408="","",ROUND($O1408*$N1408,0))</f>
        <v/>
      </c>
      <c r="Q1408" s="26">
        <f>IF($G1408="","",SUMIFS($P$4:$P$2503,$E$4:$E$2503,$E1408,$Z$4:$Z$2503,"正常"))</f>
        <v/>
      </c>
      <c r="R1408" s="26">
        <f>IF($G1408="","",SUMIFS(费用台账!$I$4:$I$503,费用台账!$C$4:$C$503,$E1408,费用台账!$J$4:$J$503,"是",费用台账!$K$4:$K$503,"正常"))</f>
        <v/>
      </c>
      <c r="S1408" s="28">
        <f>IF($G1408="","",COUNTIFS($E$4:$E$2503,$E1408,$Z$4:$Z$2503,"正常",$Y$4:$Y$2503,"待补价"))</f>
        <v/>
      </c>
      <c r="T1408" s="26">
        <f>IF($G1408="","",SUMIFS($P$4:$P$2503,$E$4:$E$2503,$E1408,$Z$4:$Z$2503,"正常",$A$4:$A$2503,"&lt;="&amp;$A1408))</f>
        <v/>
      </c>
      <c r="U1408" s="26">
        <f>IF($G1408="","",IF(OR($S1408&gt;0,$Q1408=0,$R1408=0,$Z1408&lt;&gt;"正常"),0,ROUND($T1408/$Q1408*$R1408,0)-ROUND(($T1408-$P1408)/$Q1408*$R1408,0)))</f>
        <v/>
      </c>
      <c r="V1408" s="26">
        <f>IF($G1408="","",ROUND($P1408+$U1408,0))</f>
        <v/>
      </c>
      <c r="W1408" s="26">
        <f>IF($G1408="","",IF(N($K1408)=0,0,ROUND($V1408/$K1408,2)))</f>
        <v/>
      </c>
      <c r="X1408" s="17" t="n"/>
      <c r="Y1408" s="17" t="n"/>
      <c r="Z1408" s="17" t="n"/>
      <c r="AA1408" s="17" t="n"/>
      <c r="AB1408" s="17" t="n"/>
      <c r="AC1408" s="24">
        <f>IF($G1408="","",IF($H1408="※编码不在物料档案里","※物料编码不在档案里",IF(N($K1408)&lt;=0,"※入库数量要大于 0",IF(AND($C1408&lt;&gt;"",$C1408&lt;=结账锁),"※日期早于已结账截止日，不能再录",IF(AND($L1408=0,$X1408="正常"),"※没填单价，价格状态请选「待补价」",IF(AND($S1408&gt;0,$R1408&gt;0),"△本批有 "&amp;$S1408&amp;" 行没单价，整批运费先挂账没摊",IF(AND($B1408&lt;&gt;"",COUNTIF($B$4:$B$2503,$B1408)&gt;1),"※入库单号重复","")))))))</f>
        <v/>
      </c>
    </row>
    <row r="1409">
      <c r="A1409" s="24">
        <f>IF($G1409="","",COUNTA($G$4:$G1409))</f>
        <v/>
      </c>
      <c r="B1409" s="17" t="n"/>
      <c r="C1409" s="30" t="n"/>
      <c r="D1409" s="17" t="n"/>
      <c r="E1409" s="17" t="n"/>
      <c r="F1409" s="17" t="n"/>
      <c r="G1409" s="17" t="n"/>
      <c r="H1409" s="24">
        <f>IF($G1409="","",IFERROR(VLOOKUP($G1409,物料档案!$A$4:$P$1203,3,0),"※编码不在物料档案里"))</f>
        <v/>
      </c>
      <c r="I1409" s="24">
        <f>IF($G1409="","",IFERROR(VLOOKUP($G1409,物料档案!$A$4:$P$1203,4,0),"※编码不在物料档案里"))</f>
        <v/>
      </c>
      <c r="J1409" s="24">
        <f>IF($G1409="","",IFERROR(VLOOKUP($G1409,物料档案!$A$4:$P$1203,5,0),"※编码不在物料档案里"))</f>
        <v/>
      </c>
      <c r="K1409" s="23" t="n"/>
      <c r="L1409" s="31" t="n"/>
      <c r="M1409" s="24">
        <f>IF($G1409="","",IF($D1409="A国内","CNY","TZS"))</f>
        <v/>
      </c>
      <c r="N1409" s="28">
        <f>IF($G1409="","",IF($D1409="A国内",汇率,1))</f>
        <v/>
      </c>
      <c r="O1409" s="25">
        <f>IF($G1409="","",ROUND(N($K1409)*N($L1409),2))</f>
        <v/>
      </c>
      <c r="P1409" s="26">
        <f>IF($G1409="","",ROUND($O1409*$N1409,0))</f>
        <v/>
      </c>
      <c r="Q1409" s="26">
        <f>IF($G1409="","",SUMIFS($P$4:$P$2503,$E$4:$E$2503,$E1409,$Z$4:$Z$2503,"正常"))</f>
        <v/>
      </c>
      <c r="R1409" s="26">
        <f>IF($G1409="","",SUMIFS(费用台账!$I$4:$I$503,费用台账!$C$4:$C$503,$E1409,费用台账!$J$4:$J$503,"是",费用台账!$K$4:$K$503,"正常"))</f>
        <v/>
      </c>
      <c r="S1409" s="28">
        <f>IF($G1409="","",COUNTIFS($E$4:$E$2503,$E1409,$Z$4:$Z$2503,"正常",$Y$4:$Y$2503,"待补价"))</f>
        <v/>
      </c>
      <c r="T1409" s="26">
        <f>IF($G1409="","",SUMIFS($P$4:$P$2503,$E$4:$E$2503,$E1409,$Z$4:$Z$2503,"正常",$A$4:$A$2503,"&lt;="&amp;$A1409))</f>
        <v/>
      </c>
      <c r="U1409" s="26">
        <f>IF($G1409="","",IF(OR($S1409&gt;0,$Q1409=0,$R1409=0,$Z1409&lt;&gt;"正常"),0,ROUND($T1409/$Q1409*$R1409,0)-ROUND(($T1409-$P1409)/$Q1409*$R1409,0)))</f>
        <v/>
      </c>
      <c r="V1409" s="26">
        <f>IF($G1409="","",ROUND($P1409+$U1409,0))</f>
        <v/>
      </c>
      <c r="W1409" s="26">
        <f>IF($G1409="","",IF(N($K1409)=0,0,ROUND($V1409/$K1409,2)))</f>
        <v/>
      </c>
      <c r="X1409" s="17" t="n"/>
      <c r="Y1409" s="17" t="n"/>
      <c r="Z1409" s="17" t="n"/>
      <c r="AA1409" s="17" t="n"/>
      <c r="AB1409" s="17" t="n"/>
      <c r="AC1409" s="24">
        <f>IF($G1409="","",IF($H1409="※编码不在物料档案里","※物料编码不在档案里",IF(N($K1409)&lt;=0,"※入库数量要大于 0",IF(AND($C1409&lt;&gt;"",$C1409&lt;=结账锁),"※日期早于已结账截止日，不能再录",IF(AND($L1409=0,$X1409="正常"),"※没填单价，价格状态请选「待补价」",IF(AND($S1409&gt;0,$R1409&gt;0),"△本批有 "&amp;$S1409&amp;" 行没单价，整批运费先挂账没摊",IF(AND($B1409&lt;&gt;"",COUNTIF($B$4:$B$2503,$B1409)&gt;1),"※入库单号重复","")))))))</f>
        <v/>
      </c>
    </row>
    <row r="1410">
      <c r="A1410" s="24">
        <f>IF($G1410="","",COUNTA($G$4:$G1410))</f>
        <v/>
      </c>
      <c r="B1410" s="17" t="n"/>
      <c r="C1410" s="30" t="n"/>
      <c r="D1410" s="17" t="n"/>
      <c r="E1410" s="17" t="n"/>
      <c r="F1410" s="17" t="n"/>
      <c r="G1410" s="17" t="n"/>
      <c r="H1410" s="24">
        <f>IF($G1410="","",IFERROR(VLOOKUP($G1410,物料档案!$A$4:$P$1203,3,0),"※编码不在物料档案里"))</f>
        <v/>
      </c>
      <c r="I1410" s="24">
        <f>IF($G1410="","",IFERROR(VLOOKUP($G1410,物料档案!$A$4:$P$1203,4,0),"※编码不在物料档案里"))</f>
        <v/>
      </c>
      <c r="J1410" s="24">
        <f>IF($G1410="","",IFERROR(VLOOKUP($G1410,物料档案!$A$4:$P$1203,5,0),"※编码不在物料档案里"))</f>
        <v/>
      </c>
      <c r="K1410" s="23" t="n"/>
      <c r="L1410" s="31" t="n"/>
      <c r="M1410" s="24">
        <f>IF($G1410="","",IF($D1410="A国内","CNY","TZS"))</f>
        <v/>
      </c>
      <c r="N1410" s="28">
        <f>IF($G1410="","",IF($D1410="A国内",汇率,1))</f>
        <v/>
      </c>
      <c r="O1410" s="25">
        <f>IF($G1410="","",ROUND(N($K1410)*N($L1410),2))</f>
        <v/>
      </c>
      <c r="P1410" s="26">
        <f>IF($G1410="","",ROUND($O1410*$N1410,0))</f>
        <v/>
      </c>
      <c r="Q1410" s="26">
        <f>IF($G1410="","",SUMIFS($P$4:$P$2503,$E$4:$E$2503,$E1410,$Z$4:$Z$2503,"正常"))</f>
        <v/>
      </c>
      <c r="R1410" s="26">
        <f>IF($G1410="","",SUMIFS(费用台账!$I$4:$I$503,费用台账!$C$4:$C$503,$E1410,费用台账!$J$4:$J$503,"是",费用台账!$K$4:$K$503,"正常"))</f>
        <v/>
      </c>
      <c r="S1410" s="28">
        <f>IF($G1410="","",COUNTIFS($E$4:$E$2503,$E1410,$Z$4:$Z$2503,"正常",$Y$4:$Y$2503,"待补价"))</f>
        <v/>
      </c>
      <c r="T1410" s="26">
        <f>IF($G1410="","",SUMIFS($P$4:$P$2503,$E$4:$E$2503,$E1410,$Z$4:$Z$2503,"正常",$A$4:$A$2503,"&lt;="&amp;$A1410))</f>
        <v/>
      </c>
      <c r="U1410" s="26">
        <f>IF($G1410="","",IF(OR($S1410&gt;0,$Q1410=0,$R1410=0,$Z1410&lt;&gt;"正常"),0,ROUND($T1410/$Q1410*$R1410,0)-ROUND(($T1410-$P1410)/$Q1410*$R1410,0)))</f>
        <v/>
      </c>
      <c r="V1410" s="26">
        <f>IF($G1410="","",ROUND($P1410+$U1410,0))</f>
        <v/>
      </c>
      <c r="W1410" s="26">
        <f>IF($G1410="","",IF(N($K1410)=0,0,ROUND($V1410/$K1410,2)))</f>
        <v/>
      </c>
      <c r="X1410" s="17" t="n"/>
      <c r="Y1410" s="17" t="n"/>
      <c r="Z1410" s="17" t="n"/>
      <c r="AA1410" s="17" t="n"/>
      <c r="AB1410" s="17" t="n"/>
      <c r="AC1410" s="24">
        <f>IF($G1410="","",IF($H1410="※编码不在物料档案里","※物料编码不在档案里",IF(N($K1410)&lt;=0,"※入库数量要大于 0",IF(AND($C1410&lt;&gt;"",$C1410&lt;=结账锁),"※日期早于已结账截止日，不能再录",IF(AND($L1410=0,$X1410="正常"),"※没填单价，价格状态请选「待补价」",IF(AND($S1410&gt;0,$R1410&gt;0),"△本批有 "&amp;$S1410&amp;" 行没单价，整批运费先挂账没摊",IF(AND($B1410&lt;&gt;"",COUNTIF($B$4:$B$2503,$B1410)&gt;1),"※入库单号重复","")))))))</f>
        <v/>
      </c>
    </row>
    <row r="1411">
      <c r="A1411" s="24">
        <f>IF($G1411="","",COUNTA($G$4:$G1411))</f>
        <v/>
      </c>
      <c r="B1411" s="17" t="n"/>
      <c r="C1411" s="30" t="n"/>
      <c r="D1411" s="17" t="n"/>
      <c r="E1411" s="17" t="n"/>
      <c r="F1411" s="17" t="n"/>
      <c r="G1411" s="17" t="n"/>
      <c r="H1411" s="24">
        <f>IF($G1411="","",IFERROR(VLOOKUP($G1411,物料档案!$A$4:$P$1203,3,0),"※编码不在物料档案里"))</f>
        <v/>
      </c>
      <c r="I1411" s="24">
        <f>IF($G1411="","",IFERROR(VLOOKUP($G1411,物料档案!$A$4:$P$1203,4,0),"※编码不在物料档案里"))</f>
        <v/>
      </c>
      <c r="J1411" s="24">
        <f>IF($G1411="","",IFERROR(VLOOKUP($G1411,物料档案!$A$4:$P$1203,5,0),"※编码不在物料档案里"))</f>
        <v/>
      </c>
      <c r="K1411" s="23" t="n"/>
      <c r="L1411" s="31" t="n"/>
      <c r="M1411" s="24">
        <f>IF($G1411="","",IF($D1411="A国内","CNY","TZS"))</f>
        <v/>
      </c>
      <c r="N1411" s="28">
        <f>IF($G1411="","",IF($D1411="A国内",汇率,1))</f>
        <v/>
      </c>
      <c r="O1411" s="25">
        <f>IF($G1411="","",ROUND(N($K1411)*N($L1411),2))</f>
        <v/>
      </c>
      <c r="P1411" s="26">
        <f>IF($G1411="","",ROUND($O1411*$N1411,0))</f>
        <v/>
      </c>
      <c r="Q1411" s="26">
        <f>IF($G1411="","",SUMIFS($P$4:$P$2503,$E$4:$E$2503,$E1411,$Z$4:$Z$2503,"正常"))</f>
        <v/>
      </c>
      <c r="R1411" s="26">
        <f>IF($G1411="","",SUMIFS(费用台账!$I$4:$I$503,费用台账!$C$4:$C$503,$E1411,费用台账!$J$4:$J$503,"是",费用台账!$K$4:$K$503,"正常"))</f>
        <v/>
      </c>
      <c r="S1411" s="28">
        <f>IF($G1411="","",COUNTIFS($E$4:$E$2503,$E1411,$Z$4:$Z$2503,"正常",$Y$4:$Y$2503,"待补价"))</f>
        <v/>
      </c>
      <c r="T1411" s="26">
        <f>IF($G1411="","",SUMIFS($P$4:$P$2503,$E$4:$E$2503,$E1411,$Z$4:$Z$2503,"正常",$A$4:$A$2503,"&lt;="&amp;$A1411))</f>
        <v/>
      </c>
      <c r="U1411" s="26">
        <f>IF($G1411="","",IF(OR($S1411&gt;0,$Q1411=0,$R1411=0,$Z1411&lt;&gt;"正常"),0,ROUND($T1411/$Q1411*$R1411,0)-ROUND(($T1411-$P1411)/$Q1411*$R1411,0)))</f>
        <v/>
      </c>
      <c r="V1411" s="26">
        <f>IF($G1411="","",ROUND($P1411+$U1411,0))</f>
        <v/>
      </c>
      <c r="W1411" s="26">
        <f>IF($G1411="","",IF(N($K1411)=0,0,ROUND($V1411/$K1411,2)))</f>
        <v/>
      </c>
      <c r="X1411" s="17" t="n"/>
      <c r="Y1411" s="17" t="n"/>
      <c r="Z1411" s="17" t="n"/>
      <c r="AA1411" s="17" t="n"/>
      <c r="AB1411" s="17" t="n"/>
      <c r="AC1411" s="24">
        <f>IF($G1411="","",IF($H1411="※编码不在物料档案里","※物料编码不在档案里",IF(N($K1411)&lt;=0,"※入库数量要大于 0",IF(AND($C1411&lt;&gt;"",$C1411&lt;=结账锁),"※日期早于已结账截止日，不能再录",IF(AND($L1411=0,$X1411="正常"),"※没填单价，价格状态请选「待补价」",IF(AND($S1411&gt;0,$R1411&gt;0),"△本批有 "&amp;$S1411&amp;" 行没单价，整批运费先挂账没摊",IF(AND($B1411&lt;&gt;"",COUNTIF($B$4:$B$2503,$B1411)&gt;1),"※入库单号重复","")))))))</f>
        <v/>
      </c>
    </row>
    <row r="1412">
      <c r="A1412" s="24">
        <f>IF($G1412="","",COUNTA($G$4:$G1412))</f>
        <v/>
      </c>
      <c r="B1412" s="17" t="n"/>
      <c r="C1412" s="30" t="n"/>
      <c r="D1412" s="17" t="n"/>
      <c r="E1412" s="17" t="n"/>
      <c r="F1412" s="17" t="n"/>
      <c r="G1412" s="17" t="n"/>
      <c r="H1412" s="24">
        <f>IF($G1412="","",IFERROR(VLOOKUP($G1412,物料档案!$A$4:$P$1203,3,0),"※编码不在物料档案里"))</f>
        <v/>
      </c>
      <c r="I1412" s="24">
        <f>IF($G1412="","",IFERROR(VLOOKUP($G1412,物料档案!$A$4:$P$1203,4,0),"※编码不在物料档案里"))</f>
        <v/>
      </c>
      <c r="J1412" s="24">
        <f>IF($G1412="","",IFERROR(VLOOKUP($G1412,物料档案!$A$4:$P$1203,5,0),"※编码不在物料档案里"))</f>
        <v/>
      </c>
      <c r="K1412" s="23" t="n"/>
      <c r="L1412" s="31" t="n"/>
      <c r="M1412" s="24">
        <f>IF($G1412="","",IF($D1412="A国内","CNY","TZS"))</f>
        <v/>
      </c>
      <c r="N1412" s="28">
        <f>IF($G1412="","",IF($D1412="A国内",汇率,1))</f>
        <v/>
      </c>
      <c r="O1412" s="25">
        <f>IF($G1412="","",ROUND(N($K1412)*N($L1412),2))</f>
        <v/>
      </c>
      <c r="P1412" s="26">
        <f>IF($G1412="","",ROUND($O1412*$N1412,0))</f>
        <v/>
      </c>
      <c r="Q1412" s="26">
        <f>IF($G1412="","",SUMIFS($P$4:$P$2503,$E$4:$E$2503,$E1412,$Z$4:$Z$2503,"正常"))</f>
        <v/>
      </c>
      <c r="R1412" s="26">
        <f>IF($G1412="","",SUMIFS(费用台账!$I$4:$I$503,费用台账!$C$4:$C$503,$E1412,费用台账!$J$4:$J$503,"是",费用台账!$K$4:$K$503,"正常"))</f>
        <v/>
      </c>
      <c r="S1412" s="28">
        <f>IF($G1412="","",COUNTIFS($E$4:$E$2503,$E1412,$Z$4:$Z$2503,"正常",$Y$4:$Y$2503,"待补价"))</f>
        <v/>
      </c>
      <c r="T1412" s="26">
        <f>IF($G1412="","",SUMIFS($P$4:$P$2503,$E$4:$E$2503,$E1412,$Z$4:$Z$2503,"正常",$A$4:$A$2503,"&lt;="&amp;$A1412))</f>
        <v/>
      </c>
      <c r="U1412" s="26">
        <f>IF($G1412="","",IF(OR($S1412&gt;0,$Q1412=0,$R1412=0,$Z1412&lt;&gt;"正常"),0,ROUND($T1412/$Q1412*$R1412,0)-ROUND(($T1412-$P1412)/$Q1412*$R1412,0)))</f>
        <v/>
      </c>
      <c r="V1412" s="26">
        <f>IF($G1412="","",ROUND($P1412+$U1412,0))</f>
        <v/>
      </c>
      <c r="W1412" s="26">
        <f>IF($G1412="","",IF(N($K1412)=0,0,ROUND($V1412/$K1412,2)))</f>
        <v/>
      </c>
      <c r="X1412" s="17" t="n"/>
      <c r="Y1412" s="17" t="n"/>
      <c r="Z1412" s="17" t="n"/>
      <c r="AA1412" s="17" t="n"/>
      <c r="AB1412" s="17" t="n"/>
      <c r="AC1412" s="24">
        <f>IF($G1412="","",IF($H1412="※编码不在物料档案里","※物料编码不在档案里",IF(N($K1412)&lt;=0,"※入库数量要大于 0",IF(AND($C1412&lt;&gt;"",$C1412&lt;=结账锁),"※日期早于已结账截止日，不能再录",IF(AND($L1412=0,$X1412="正常"),"※没填单价，价格状态请选「待补价」",IF(AND($S1412&gt;0,$R1412&gt;0),"△本批有 "&amp;$S1412&amp;" 行没单价，整批运费先挂账没摊",IF(AND($B1412&lt;&gt;"",COUNTIF($B$4:$B$2503,$B1412)&gt;1),"※入库单号重复","")))))))</f>
        <v/>
      </c>
    </row>
    <row r="1413">
      <c r="A1413" s="24">
        <f>IF($G1413="","",COUNTA($G$4:$G1413))</f>
        <v/>
      </c>
      <c r="B1413" s="17" t="n"/>
      <c r="C1413" s="30" t="n"/>
      <c r="D1413" s="17" t="n"/>
      <c r="E1413" s="17" t="n"/>
      <c r="F1413" s="17" t="n"/>
      <c r="G1413" s="17" t="n"/>
      <c r="H1413" s="24">
        <f>IF($G1413="","",IFERROR(VLOOKUP($G1413,物料档案!$A$4:$P$1203,3,0),"※编码不在物料档案里"))</f>
        <v/>
      </c>
      <c r="I1413" s="24">
        <f>IF($G1413="","",IFERROR(VLOOKUP($G1413,物料档案!$A$4:$P$1203,4,0),"※编码不在物料档案里"))</f>
        <v/>
      </c>
      <c r="J1413" s="24">
        <f>IF($G1413="","",IFERROR(VLOOKUP($G1413,物料档案!$A$4:$P$1203,5,0),"※编码不在物料档案里"))</f>
        <v/>
      </c>
      <c r="K1413" s="23" t="n"/>
      <c r="L1413" s="31" t="n"/>
      <c r="M1413" s="24">
        <f>IF($G1413="","",IF($D1413="A国内","CNY","TZS"))</f>
        <v/>
      </c>
      <c r="N1413" s="28">
        <f>IF($G1413="","",IF($D1413="A国内",汇率,1))</f>
        <v/>
      </c>
      <c r="O1413" s="25">
        <f>IF($G1413="","",ROUND(N($K1413)*N($L1413),2))</f>
        <v/>
      </c>
      <c r="P1413" s="26">
        <f>IF($G1413="","",ROUND($O1413*$N1413,0))</f>
        <v/>
      </c>
      <c r="Q1413" s="26">
        <f>IF($G1413="","",SUMIFS($P$4:$P$2503,$E$4:$E$2503,$E1413,$Z$4:$Z$2503,"正常"))</f>
        <v/>
      </c>
      <c r="R1413" s="26">
        <f>IF($G1413="","",SUMIFS(费用台账!$I$4:$I$503,费用台账!$C$4:$C$503,$E1413,费用台账!$J$4:$J$503,"是",费用台账!$K$4:$K$503,"正常"))</f>
        <v/>
      </c>
      <c r="S1413" s="28">
        <f>IF($G1413="","",COUNTIFS($E$4:$E$2503,$E1413,$Z$4:$Z$2503,"正常",$Y$4:$Y$2503,"待补价"))</f>
        <v/>
      </c>
      <c r="T1413" s="26">
        <f>IF($G1413="","",SUMIFS($P$4:$P$2503,$E$4:$E$2503,$E1413,$Z$4:$Z$2503,"正常",$A$4:$A$2503,"&lt;="&amp;$A1413))</f>
        <v/>
      </c>
      <c r="U1413" s="26">
        <f>IF($G1413="","",IF(OR($S1413&gt;0,$Q1413=0,$R1413=0,$Z1413&lt;&gt;"正常"),0,ROUND($T1413/$Q1413*$R1413,0)-ROUND(($T1413-$P1413)/$Q1413*$R1413,0)))</f>
        <v/>
      </c>
      <c r="V1413" s="26">
        <f>IF($G1413="","",ROUND($P1413+$U1413,0))</f>
        <v/>
      </c>
      <c r="W1413" s="26">
        <f>IF($G1413="","",IF(N($K1413)=0,0,ROUND($V1413/$K1413,2)))</f>
        <v/>
      </c>
      <c r="X1413" s="17" t="n"/>
      <c r="Y1413" s="17" t="n"/>
      <c r="Z1413" s="17" t="n"/>
      <c r="AA1413" s="17" t="n"/>
      <c r="AB1413" s="17" t="n"/>
      <c r="AC1413" s="24">
        <f>IF($G1413="","",IF($H1413="※编码不在物料档案里","※物料编码不在档案里",IF(N($K1413)&lt;=0,"※入库数量要大于 0",IF(AND($C1413&lt;&gt;"",$C1413&lt;=结账锁),"※日期早于已结账截止日，不能再录",IF(AND($L1413=0,$X1413="正常"),"※没填单价，价格状态请选「待补价」",IF(AND($S1413&gt;0,$R1413&gt;0),"△本批有 "&amp;$S1413&amp;" 行没单价，整批运费先挂账没摊",IF(AND($B1413&lt;&gt;"",COUNTIF($B$4:$B$2503,$B1413)&gt;1),"※入库单号重复","")))))))</f>
        <v/>
      </c>
    </row>
    <row r="1414">
      <c r="A1414" s="24">
        <f>IF($G1414="","",COUNTA($G$4:$G1414))</f>
        <v/>
      </c>
      <c r="B1414" s="17" t="n"/>
      <c r="C1414" s="30" t="n"/>
      <c r="D1414" s="17" t="n"/>
      <c r="E1414" s="17" t="n"/>
      <c r="F1414" s="17" t="n"/>
      <c r="G1414" s="17" t="n"/>
      <c r="H1414" s="24">
        <f>IF($G1414="","",IFERROR(VLOOKUP($G1414,物料档案!$A$4:$P$1203,3,0),"※编码不在物料档案里"))</f>
        <v/>
      </c>
      <c r="I1414" s="24">
        <f>IF($G1414="","",IFERROR(VLOOKUP($G1414,物料档案!$A$4:$P$1203,4,0),"※编码不在物料档案里"))</f>
        <v/>
      </c>
      <c r="J1414" s="24">
        <f>IF($G1414="","",IFERROR(VLOOKUP($G1414,物料档案!$A$4:$P$1203,5,0),"※编码不在物料档案里"))</f>
        <v/>
      </c>
      <c r="K1414" s="23" t="n"/>
      <c r="L1414" s="31" t="n"/>
      <c r="M1414" s="24">
        <f>IF($G1414="","",IF($D1414="A国内","CNY","TZS"))</f>
        <v/>
      </c>
      <c r="N1414" s="28">
        <f>IF($G1414="","",IF($D1414="A国内",汇率,1))</f>
        <v/>
      </c>
      <c r="O1414" s="25">
        <f>IF($G1414="","",ROUND(N($K1414)*N($L1414),2))</f>
        <v/>
      </c>
      <c r="P1414" s="26">
        <f>IF($G1414="","",ROUND($O1414*$N1414,0))</f>
        <v/>
      </c>
      <c r="Q1414" s="26">
        <f>IF($G1414="","",SUMIFS($P$4:$P$2503,$E$4:$E$2503,$E1414,$Z$4:$Z$2503,"正常"))</f>
        <v/>
      </c>
      <c r="R1414" s="26">
        <f>IF($G1414="","",SUMIFS(费用台账!$I$4:$I$503,费用台账!$C$4:$C$503,$E1414,费用台账!$J$4:$J$503,"是",费用台账!$K$4:$K$503,"正常"))</f>
        <v/>
      </c>
      <c r="S1414" s="28">
        <f>IF($G1414="","",COUNTIFS($E$4:$E$2503,$E1414,$Z$4:$Z$2503,"正常",$Y$4:$Y$2503,"待补价"))</f>
        <v/>
      </c>
      <c r="T1414" s="26">
        <f>IF($G1414="","",SUMIFS($P$4:$P$2503,$E$4:$E$2503,$E1414,$Z$4:$Z$2503,"正常",$A$4:$A$2503,"&lt;="&amp;$A1414))</f>
        <v/>
      </c>
      <c r="U1414" s="26">
        <f>IF($G1414="","",IF(OR($S1414&gt;0,$Q1414=0,$R1414=0,$Z1414&lt;&gt;"正常"),0,ROUND($T1414/$Q1414*$R1414,0)-ROUND(($T1414-$P1414)/$Q1414*$R1414,0)))</f>
        <v/>
      </c>
      <c r="V1414" s="26">
        <f>IF($G1414="","",ROUND($P1414+$U1414,0))</f>
        <v/>
      </c>
      <c r="W1414" s="26">
        <f>IF($G1414="","",IF(N($K1414)=0,0,ROUND($V1414/$K1414,2)))</f>
        <v/>
      </c>
      <c r="X1414" s="17" t="n"/>
      <c r="Y1414" s="17" t="n"/>
      <c r="Z1414" s="17" t="n"/>
      <c r="AA1414" s="17" t="n"/>
      <c r="AB1414" s="17" t="n"/>
      <c r="AC1414" s="24">
        <f>IF($G1414="","",IF($H1414="※编码不在物料档案里","※物料编码不在档案里",IF(N($K1414)&lt;=0,"※入库数量要大于 0",IF(AND($C1414&lt;&gt;"",$C1414&lt;=结账锁),"※日期早于已结账截止日，不能再录",IF(AND($L1414=0,$X1414="正常"),"※没填单价，价格状态请选「待补价」",IF(AND($S1414&gt;0,$R1414&gt;0),"△本批有 "&amp;$S1414&amp;" 行没单价，整批运费先挂账没摊",IF(AND($B1414&lt;&gt;"",COUNTIF($B$4:$B$2503,$B1414)&gt;1),"※入库单号重复","")))))))</f>
        <v/>
      </c>
    </row>
    <row r="1415">
      <c r="A1415" s="24">
        <f>IF($G1415="","",COUNTA($G$4:$G1415))</f>
        <v/>
      </c>
      <c r="B1415" s="17" t="n"/>
      <c r="C1415" s="30" t="n"/>
      <c r="D1415" s="17" t="n"/>
      <c r="E1415" s="17" t="n"/>
      <c r="F1415" s="17" t="n"/>
      <c r="G1415" s="17" t="n"/>
      <c r="H1415" s="24">
        <f>IF($G1415="","",IFERROR(VLOOKUP($G1415,物料档案!$A$4:$P$1203,3,0),"※编码不在物料档案里"))</f>
        <v/>
      </c>
      <c r="I1415" s="24">
        <f>IF($G1415="","",IFERROR(VLOOKUP($G1415,物料档案!$A$4:$P$1203,4,0),"※编码不在物料档案里"))</f>
        <v/>
      </c>
      <c r="J1415" s="24">
        <f>IF($G1415="","",IFERROR(VLOOKUP($G1415,物料档案!$A$4:$P$1203,5,0),"※编码不在物料档案里"))</f>
        <v/>
      </c>
      <c r="K1415" s="23" t="n"/>
      <c r="L1415" s="31" t="n"/>
      <c r="M1415" s="24">
        <f>IF($G1415="","",IF($D1415="A国内","CNY","TZS"))</f>
        <v/>
      </c>
      <c r="N1415" s="28">
        <f>IF($G1415="","",IF($D1415="A国内",汇率,1))</f>
        <v/>
      </c>
      <c r="O1415" s="25">
        <f>IF($G1415="","",ROUND(N($K1415)*N($L1415),2))</f>
        <v/>
      </c>
      <c r="P1415" s="26">
        <f>IF($G1415="","",ROUND($O1415*$N1415,0))</f>
        <v/>
      </c>
      <c r="Q1415" s="26">
        <f>IF($G1415="","",SUMIFS($P$4:$P$2503,$E$4:$E$2503,$E1415,$Z$4:$Z$2503,"正常"))</f>
        <v/>
      </c>
      <c r="R1415" s="26">
        <f>IF($G1415="","",SUMIFS(费用台账!$I$4:$I$503,费用台账!$C$4:$C$503,$E1415,费用台账!$J$4:$J$503,"是",费用台账!$K$4:$K$503,"正常"))</f>
        <v/>
      </c>
      <c r="S1415" s="28">
        <f>IF($G1415="","",COUNTIFS($E$4:$E$2503,$E1415,$Z$4:$Z$2503,"正常",$Y$4:$Y$2503,"待补价"))</f>
        <v/>
      </c>
      <c r="T1415" s="26">
        <f>IF($G1415="","",SUMIFS($P$4:$P$2503,$E$4:$E$2503,$E1415,$Z$4:$Z$2503,"正常",$A$4:$A$2503,"&lt;="&amp;$A1415))</f>
        <v/>
      </c>
      <c r="U1415" s="26">
        <f>IF($G1415="","",IF(OR($S1415&gt;0,$Q1415=0,$R1415=0,$Z1415&lt;&gt;"正常"),0,ROUND($T1415/$Q1415*$R1415,0)-ROUND(($T1415-$P1415)/$Q1415*$R1415,0)))</f>
        <v/>
      </c>
      <c r="V1415" s="26">
        <f>IF($G1415="","",ROUND($P1415+$U1415,0))</f>
        <v/>
      </c>
      <c r="W1415" s="26">
        <f>IF($G1415="","",IF(N($K1415)=0,0,ROUND($V1415/$K1415,2)))</f>
        <v/>
      </c>
      <c r="X1415" s="17" t="n"/>
      <c r="Y1415" s="17" t="n"/>
      <c r="Z1415" s="17" t="n"/>
      <c r="AA1415" s="17" t="n"/>
      <c r="AB1415" s="17" t="n"/>
      <c r="AC1415" s="24">
        <f>IF($G1415="","",IF($H1415="※编码不在物料档案里","※物料编码不在档案里",IF(N($K1415)&lt;=0,"※入库数量要大于 0",IF(AND($C1415&lt;&gt;"",$C1415&lt;=结账锁),"※日期早于已结账截止日，不能再录",IF(AND($L1415=0,$X1415="正常"),"※没填单价，价格状态请选「待补价」",IF(AND($S1415&gt;0,$R1415&gt;0),"△本批有 "&amp;$S1415&amp;" 行没单价，整批运费先挂账没摊",IF(AND($B1415&lt;&gt;"",COUNTIF($B$4:$B$2503,$B1415)&gt;1),"※入库单号重复","")))))))</f>
        <v/>
      </c>
    </row>
    <row r="1416">
      <c r="A1416" s="24">
        <f>IF($G1416="","",COUNTA($G$4:$G1416))</f>
        <v/>
      </c>
      <c r="B1416" s="17" t="n"/>
      <c r="C1416" s="30" t="n"/>
      <c r="D1416" s="17" t="n"/>
      <c r="E1416" s="17" t="n"/>
      <c r="F1416" s="17" t="n"/>
      <c r="G1416" s="17" t="n"/>
      <c r="H1416" s="24">
        <f>IF($G1416="","",IFERROR(VLOOKUP($G1416,物料档案!$A$4:$P$1203,3,0),"※编码不在物料档案里"))</f>
        <v/>
      </c>
      <c r="I1416" s="24">
        <f>IF($G1416="","",IFERROR(VLOOKUP($G1416,物料档案!$A$4:$P$1203,4,0),"※编码不在物料档案里"))</f>
        <v/>
      </c>
      <c r="J1416" s="24">
        <f>IF($G1416="","",IFERROR(VLOOKUP($G1416,物料档案!$A$4:$P$1203,5,0),"※编码不在物料档案里"))</f>
        <v/>
      </c>
      <c r="K1416" s="23" t="n"/>
      <c r="L1416" s="31" t="n"/>
      <c r="M1416" s="24">
        <f>IF($G1416="","",IF($D1416="A国内","CNY","TZS"))</f>
        <v/>
      </c>
      <c r="N1416" s="28">
        <f>IF($G1416="","",IF($D1416="A国内",汇率,1))</f>
        <v/>
      </c>
      <c r="O1416" s="25">
        <f>IF($G1416="","",ROUND(N($K1416)*N($L1416),2))</f>
        <v/>
      </c>
      <c r="P1416" s="26">
        <f>IF($G1416="","",ROUND($O1416*$N1416,0))</f>
        <v/>
      </c>
      <c r="Q1416" s="26">
        <f>IF($G1416="","",SUMIFS($P$4:$P$2503,$E$4:$E$2503,$E1416,$Z$4:$Z$2503,"正常"))</f>
        <v/>
      </c>
      <c r="R1416" s="26">
        <f>IF($G1416="","",SUMIFS(费用台账!$I$4:$I$503,费用台账!$C$4:$C$503,$E1416,费用台账!$J$4:$J$503,"是",费用台账!$K$4:$K$503,"正常"))</f>
        <v/>
      </c>
      <c r="S1416" s="28">
        <f>IF($G1416="","",COUNTIFS($E$4:$E$2503,$E1416,$Z$4:$Z$2503,"正常",$Y$4:$Y$2503,"待补价"))</f>
        <v/>
      </c>
      <c r="T1416" s="26">
        <f>IF($G1416="","",SUMIFS($P$4:$P$2503,$E$4:$E$2503,$E1416,$Z$4:$Z$2503,"正常",$A$4:$A$2503,"&lt;="&amp;$A1416))</f>
        <v/>
      </c>
      <c r="U1416" s="26">
        <f>IF($G1416="","",IF(OR($S1416&gt;0,$Q1416=0,$R1416=0,$Z1416&lt;&gt;"正常"),0,ROUND($T1416/$Q1416*$R1416,0)-ROUND(($T1416-$P1416)/$Q1416*$R1416,0)))</f>
        <v/>
      </c>
      <c r="V1416" s="26">
        <f>IF($G1416="","",ROUND($P1416+$U1416,0))</f>
        <v/>
      </c>
      <c r="W1416" s="26">
        <f>IF($G1416="","",IF(N($K1416)=0,0,ROUND($V1416/$K1416,2)))</f>
        <v/>
      </c>
      <c r="X1416" s="17" t="n"/>
      <c r="Y1416" s="17" t="n"/>
      <c r="Z1416" s="17" t="n"/>
      <c r="AA1416" s="17" t="n"/>
      <c r="AB1416" s="17" t="n"/>
      <c r="AC1416" s="24">
        <f>IF($G1416="","",IF($H1416="※编码不在物料档案里","※物料编码不在档案里",IF(N($K1416)&lt;=0,"※入库数量要大于 0",IF(AND($C1416&lt;&gt;"",$C1416&lt;=结账锁),"※日期早于已结账截止日，不能再录",IF(AND($L1416=0,$X1416="正常"),"※没填单价，价格状态请选「待补价」",IF(AND($S1416&gt;0,$R1416&gt;0),"△本批有 "&amp;$S1416&amp;" 行没单价，整批运费先挂账没摊",IF(AND($B1416&lt;&gt;"",COUNTIF($B$4:$B$2503,$B1416)&gt;1),"※入库单号重复","")))))))</f>
        <v/>
      </c>
    </row>
    <row r="1417">
      <c r="A1417" s="24">
        <f>IF($G1417="","",COUNTA($G$4:$G1417))</f>
        <v/>
      </c>
      <c r="B1417" s="17" t="n"/>
      <c r="C1417" s="30" t="n"/>
      <c r="D1417" s="17" t="n"/>
      <c r="E1417" s="17" t="n"/>
      <c r="F1417" s="17" t="n"/>
      <c r="G1417" s="17" t="n"/>
      <c r="H1417" s="24">
        <f>IF($G1417="","",IFERROR(VLOOKUP($G1417,物料档案!$A$4:$P$1203,3,0),"※编码不在物料档案里"))</f>
        <v/>
      </c>
      <c r="I1417" s="24">
        <f>IF($G1417="","",IFERROR(VLOOKUP($G1417,物料档案!$A$4:$P$1203,4,0),"※编码不在物料档案里"))</f>
        <v/>
      </c>
      <c r="J1417" s="24">
        <f>IF($G1417="","",IFERROR(VLOOKUP($G1417,物料档案!$A$4:$P$1203,5,0),"※编码不在物料档案里"))</f>
        <v/>
      </c>
      <c r="K1417" s="23" t="n"/>
      <c r="L1417" s="31" t="n"/>
      <c r="M1417" s="24">
        <f>IF($G1417="","",IF($D1417="A国内","CNY","TZS"))</f>
        <v/>
      </c>
      <c r="N1417" s="28">
        <f>IF($G1417="","",IF($D1417="A国内",汇率,1))</f>
        <v/>
      </c>
      <c r="O1417" s="25">
        <f>IF($G1417="","",ROUND(N($K1417)*N($L1417),2))</f>
        <v/>
      </c>
      <c r="P1417" s="26">
        <f>IF($G1417="","",ROUND($O1417*$N1417,0))</f>
        <v/>
      </c>
      <c r="Q1417" s="26">
        <f>IF($G1417="","",SUMIFS($P$4:$P$2503,$E$4:$E$2503,$E1417,$Z$4:$Z$2503,"正常"))</f>
        <v/>
      </c>
      <c r="R1417" s="26">
        <f>IF($G1417="","",SUMIFS(费用台账!$I$4:$I$503,费用台账!$C$4:$C$503,$E1417,费用台账!$J$4:$J$503,"是",费用台账!$K$4:$K$503,"正常"))</f>
        <v/>
      </c>
      <c r="S1417" s="28">
        <f>IF($G1417="","",COUNTIFS($E$4:$E$2503,$E1417,$Z$4:$Z$2503,"正常",$Y$4:$Y$2503,"待补价"))</f>
        <v/>
      </c>
      <c r="T1417" s="26">
        <f>IF($G1417="","",SUMIFS($P$4:$P$2503,$E$4:$E$2503,$E1417,$Z$4:$Z$2503,"正常",$A$4:$A$2503,"&lt;="&amp;$A1417))</f>
        <v/>
      </c>
      <c r="U1417" s="26">
        <f>IF($G1417="","",IF(OR($S1417&gt;0,$Q1417=0,$R1417=0,$Z1417&lt;&gt;"正常"),0,ROUND($T1417/$Q1417*$R1417,0)-ROUND(($T1417-$P1417)/$Q1417*$R1417,0)))</f>
        <v/>
      </c>
      <c r="V1417" s="26">
        <f>IF($G1417="","",ROUND($P1417+$U1417,0))</f>
        <v/>
      </c>
      <c r="W1417" s="26">
        <f>IF($G1417="","",IF(N($K1417)=0,0,ROUND($V1417/$K1417,2)))</f>
        <v/>
      </c>
      <c r="X1417" s="17" t="n"/>
      <c r="Y1417" s="17" t="n"/>
      <c r="Z1417" s="17" t="n"/>
      <c r="AA1417" s="17" t="n"/>
      <c r="AB1417" s="17" t="n"/>
      <c r="AC1417" s="24">
        <f>IF($G1417="","",IF($H1417="※编码不在物料档案里","※物料编码不在档案里",IF(N($K1417)&lt;=0,"※入库数量要大于 0",IF(AND($C1417&lt;&gt;"",$C1417&lt;=结账锁),"※日期早于已结账截止日，不能再录",IF(AND($L1417=0,$X1417="正常"),"※没填单价，价格状态请选「待补价」",IF(AND($S1417&gt;0,$R1417&gt;0),"△本批有 "&amp;$S1417&amp;" 行没单价，整批运费先挂账没摊",IF(AND($B1417&lt;&gt;"",COUNTIF($B$4:$B$2503,$B1417)&gt;1),"※入库单号重复","")))))))</f>
        <v/>
      </c>
    </row>
    <row r="1418">
      <c r="A1418" s="24">
        <f>IF($G1418="","",COUNTA($G$4:$G1418))</f>
        <v/>
      </c>
      <c r="B1418" s="17" t="n"/>
      <c r="C1418" s="30" t="n"/>
      <c r="D1418" s="17" t="n"/>
      <c r="E1418" s="17" t="n"/>
      <c r="F1418" s="17" t="n"/>
      <c r="G1418" s="17" t="n"/>
      <c r="H1418" s="24">
        <f>IF($G1418="","",IFERROR(VLOOKUP($G1418,物料档案!$A$4:$P$1203,3,0),"※编码不在物料档案里"))</f>
        <v/>
      </c>
      <c r="I1418" s="24">
        <f>IF($G1418="","",IFERROR(VLOOKUP($G1418,物料档案!$A$4:$P$1203,4,0),"※编码不在物料档案里"))</f>
        <v/>
      </c>
      <c r="J1418" s="24">
        <f>IF($G1418="","",IFERROR(VLOOKUP($G1418,物料档案!$A$4:$P$1203,5,0),"※编码不在物料档案里"))</f>
        <v/>
      </c>
      <c r="K1418" s="23" t="n"/>
      <c r="L1418" s="31" t="n"/>
      <c r="M1418" s="24">
        <f>IF($G1418="","",IF($D1418="A国内","CNY","TZS"))</f>
        <v/>
      </c>
      <c r="N1418" s="28">
        <f>IF($G1418="","",IF($D1418="A国内",汇率,1))</f>
        <v/>
      </c>
      <c r="O1418" s="25">
        <f>IF($G1418="","",ROUND(N($K1418)*N($L1418),2))</f>
        <v/>
      </c>
      <c r="P1418" s="26">
        <f>IF($G1418="","",ROUND($O1418*$N1418,0))</f>
        <v/>
      </c>
      <c r="Q1418" s="26">
        <f>IF($G1418="","",SUMIFS($P$4:$P$2503,$E$4:$E$2503,$E1418,$Z$4:$Z$2503,"正常"))</f>
        <v/>
      </c>
      <c r="R1418" s="26">
        <f>IF($G1418="","",SUMIFS(费用台账!$I$4:$I$503,费用台账!$C$4:$C$503,$E1418,费用台账!$J$4:$J$503,"是",费用台账!$K$4:$K$503,"正常"))</f>
        <v/>
      </c>
      <c r="S1418" s="28">
        <f>IF($G1418="","",COUNTIFS($E$4:$E$2503,$E1418,$Z$4:$Z$2503,"正常",$Y$4:$Y$2503,"待补价"))</f>
        <v/>
      </c>
      <c r="T1418" s="26">
        <f>IF($G1418="","",SUMIFS($P$4:$P$2503,$E$4:$E$2503,$E1418,$Z$4:$Z$2503,"正常",$A$4:$A$2503,"&lt;="&amp;$A1418))</f>
        <v/>
      </c>
      <c r="U1418" s="26">
        <f>IF($G1418="","",IF(OR($S1418&gt;0,$Q1418=0,$R1418=0,$Z1418&lt;&gt;"正常"),0,ROUND($T1418/$Q1418*$R1418,0)-ROUND(($T1418-$P1418)/$Q1418*$R1418,0)))</f>
        <v/>
      </c>
      <c r="V1418" s="26">
        <f>IF($G1418="","",ROUND($P1418+$U1418,0))</f>
        <v/>
      </c>
      <c r="W1418" s="26">
        <f>IF($G1418="","",IF(N($K1418)=0,0,ROUND($V1418/$K1418,2)))</f>
        <v/>
      </c>
      <c r="X1418" s="17" t="n"/>
      <c r="Y1418" s="17" t="n"/>
      <c r="Z1418" s="17" t="n"/>
      <c r="AA1418" s="17" t="n"/>
      <c r="AB1418" s="17" t="n"/>
      <c r="AC1418" s="24">
        <f>IF($G1418="","",IF($H1418="※编码不在物料档案里","※物料编码不在档案里",IF(N($K1418)&lt;=0,"※入库数量要大于 0",IF(AND($C1418&lt;&gt;"",$C1418&lt;=结账锁),"※日期早于已结账截止日，不能再录",IF(AND($L1418=0,$X1418="正常"),"※没填单价，价格状态请选「待补价」",IF(AND($S1418&gt;0,$R1418&gt;0),"△本批有 "&amp;$S1418&amp;" 行没单价，整批运费先挂账没摊",IF(AND($B1418&lt;&gt;"",COUNTIF($B$4:$B$2503,$B1418)&gt;1),"※入库单号重复","")))))))</f>
        <v/>
      </c>
    </row>
    <row r="1419">
      <c r="A1419" s="24">
        <f>IF($G1419="","",COUNTA($G$4:$G1419))</f>
        <v/>
      </c>
      <c r="B1419" s="17" t="n"/>
      <c r="C1419" s="30" t="n"/>
      <c r="D1419" s="17" t="n"/>
      <c r="E1419" s="17" t="n"/>
      <c r="F1419" s="17" t="n"/>
      <c r="G1419" s="17" t="n"/>
      <c r="H1419" s="24">
        <f>IF($G1419="","",IFERROR(VLOOKUP($G1419,物料档案!$A$4:$P$1203,3,0),"※编码不在物料档案里"))</f>
        <v/>
      </c>
      <c r="I1419" s="24">
        <f>IF($G1419="","",IFERROR(VLOOKUP($G1419,物料档案!$A$4:$P$1203,4,0),"※编码不在物料档案里"))</f>
        <v/>
      </c>
      <c r="J1419" s="24">
        <f>IF($G1419="","",IFERROR(VLOOKUP($G1419,物料档案!$A$4:$P$1203,5,0),"※编码不在物料档案里"))</f>
        <v/>
      </c>
      <c r="K1419" s="23" t="n"/>
      <c r="L1419" s="31" t="n"/>
      <c r="M1419" s="24">
        <f>IF($G1419="","",IF($D1419="A国内","CNY","TZS"))</f>
        <v/>
      </c>
      <c r="N1419" s="28">
        <f>IF($G1419="","",IF($D1419="A国内",汇率,1))</f>
        <v/>
      </c>
      <c r="O1419" s="25">
        <f>IF($G1419="","",ROUND(N($K1419)*N($L1419),2))</f>
        <v/>
      </c>
      <c r="P1419" s="26">
        <f>IF($G1419="","",ROUND($O1419*$N1419,0))</f>
        <v/>
      </c>
      <c r="Q1419" s="26">
        <f>IF($G1419="","",SUMIFS($P$4:$P$2503,$E$4:$E$2503,$E1419,$Z$4:$Z$2503,"正常"))</f>
        <v/>
      </c>
      <c r="R1419" s="26">
        <f>IF($G1419="","",SUMIFS(费用台账!$I$4:$I$503,费用台账!$C$4:$C$503,$E1419,费用台账!$J$4:$J$503,"是",费用台账!$K$4:$K$503,"正常"))</f>
        <v/>
      </c>
      <c r="S1419" s="28">
        <f>IF($G1419="","",COUNTIFS($E$4:$E$2503,$E1419,$Z$4:$Z$2503,"正常",$Y$4:$Y$2503,"待补价"))</f>
        <v/>
      </c>
      <c r="T1419" s="26">
        <f>IF($G1419="","",SUMIFS($P$4:$P$2503,$E$4:$E$2503,$E1419,$Z$4:$Z$2503,"正常",$A$4:$A$2503,"&lt;="&amp;$A1419))</f>
        <v/>
      </c>
      <c r="U1419" s="26">
        <f>IF($G1419="","",IF(OR($S1419&gt;0,$Q1419=0,$R1419=0,$Z1419&lt;&gt;"正常"),0,ROUND($T1419/$Q1419*$R1419,0)-ROUND(($T1419-$P1419)/$Q1419*$R1419,0)))</f>
        <v/>
      </c>
      <c r="V1419" s="26">
        <f>IF($G1419="","",ROUND($P1419+$U1419,0))</f>
        <v/>
      </c>
      <c r="W1419" s="26">
        <f>IF($G1419="","",IF(N($K1419)=0,0,ROUND($V1419/$K1419,2)))</f>
        <v/>
      </c>
      <c r="X1419" s="17" t="n"/>
      <c r="Y1419" s="17" t="n"/>
      <c r="Z1419" s="17" t="n"/>
      <c r="AA1419" s="17" t="n"/>
      <c r="AB1419" s="17" t="n"/>
      <c r="AC1419" s="24">
        <f>IF($G1419="","",IF($H1419="※编码不在物料档案里","※物料编码不在档案里",IF(N($K1419)&lt;=0,"※入库数量要大于 0",IF(AND($C1419&lt;&gt;"",$C1419&lt;=结账锁),"※日期早于已结账截止日，不能再录",IF(AND($L1419=0,$X1419="正常"),"※没填单价，价格状态请选「待补价」",IF(AND($S1419&gt;0,$R1419&gt;0),"△本批有 "&amp;$S1419&amp;" 行没单价，整批运费先挂账没摊",IF(AND($B1419&lt;&gt;"",COUNTIF($B$4:$B$2503,$B1419)&gt;1),"※入库单号重复","")))))))</f>
        <v/>
      </c>
    </row>
    <row r="1420">
      <c r="A1420" s="24">
        <f>IF($G1420="","",COUNTA($G$4:$G1420))</f>
        <v/>
      </c>
      <c r="B1420" s="17" t="n"/>
      <c r="C1420" s="30" t="n"/>
      <c r="D1420" s="17" t="n"/>
      <c r="E1420" s="17" t="n"/>
      <c r="F1420" s="17" t="n"/>
      <c r="G1420" s="17" t="n"/>
      <c r="H1420" s="24">
        <f>IF($G1420="","",IFERROR(VLOOKUP($G1420,物料档案!$A$4:$P$1203,3,0),"※编码不在物料档案里"))</f>
        <v/>
      </c>
      <c r="I1420" s="24">
        <f>IF($G1420="","",IFERROR(VLOOKUP($G1420,物料档案!$A$4:$P$1203,4,0),"※编码不在物料档案里"))</f>
        <v/>
      </c>
      <c r="J1420" s="24">
        <f>IF($G1420="","",IFERROR(VLOOKUP($G1420,物料档案!$A$4:$P$1203,5,0),"※编码不在物料档案里"))</f>
        <v/>
      </c>
      <c r="K1420" s="23" t="n"/>
      <c r="L1420" s="31" t="n"/>
      <c r="M1420" s="24">
        <f>IF($G1420="","",IF($D1420="A国内","CNY","TZS"))</f>
        <v/>
      </c>
      <c r="N1420" s="28">
        <f>IF($G1420="","",IF($D1420="A国内",汇率,1))</f>
        <v/>
      </c>
      <c r="O1420" s="25">
        <f>IF($G1420="","",ROUND(N($K1420)*N($L1420),2))</f>
        <v/>
      </c>
      <c r="P1420" s="26">
        <f>IF($G1420="","",ROUND($O1420*$N1420,0))</f>
        <v/>
      </c>
      <c r="Q1420" s="26">
        <f>IF($G1420="","",SUMIFS($P$4:$P$2503,$E$4:$E$2503,$E1420,$Z$4:$Z$2503,"正常"))</f>
        <v/>
      </c>
      <c r="R1420" s="26">
        <f>IF($G1420="","",SUMIFS(费用台账!$I$4:$I$503,费用台账!$C$4:$C$503,$E1420,费用台账!$J$4:$J$503,"是",费用台账!$K$4:$K$503,"正常"))</f>
        <v/>
      </c>
      <c r="S1420" s="28">
        <f>IF($G1420="","",COUNTIFS($E$4:$E$2503,$E1420,$Z$4:$Z$2503,"正常",$Y$4:$Y$2503,"待补价"))</f>
        <v/>
      </c>
      <c r="T1420" s="26">
        <f>IF($G1420="","",SUMIFS($P$4:$P$2503,$E$4:$E$2503,$E1420,$Z$4:$Z$2503,"正常",$A$4:$A$2503,"&lt;="&amp;$A1420))</f>
        <v/>
      </c>
      <c r="U1420" s="26">
        <f>IF($G1420="","",IF(OR($S1420&gt;0,$Q1420=0,$R1420=0,$Z1420&lt;&gt;"正常"),0,ROUND($T1420/$Q1420*$R1420,0)-ROUND(($T1420-$P1420)/$Q1420*$R1420,0)))</f>
        <v/>
      </c>
      <c r="V1420" s="26">
        <f>IF($G1420="","",ROUND($P1420+$U1420,0))</f>
        <v/>
      </c>
      <c r="W1420" s="26">
        <f>IF($G1420="","",IF(N($K1420)=0,0,ROUND($V1420/$K1420,2)))</f>
        <v/>
      </c>
      <c r="X1420" s="17" t="n"/>
      <c r="Y1420" s="17" t="n"/>
      <c r="Z1420" s="17" t="n"/>
      <c r="AA1420" s="17" t="n"/>
      <c r="AB1420" s="17" t="n"/>
      <c r="AC1420" s="24">
        <f>IF($G1420="","",IF($H1420="※编码不在物料档案里","※物料编码不在档案里",IF(N($K1420)&lt;=0,"※入库数量要大于 0",IF(AND($C1420&lt;&gt;"",$C1420&lt;=结账锁),"※日期早于已结账截止日，不能再录",IF(AND($L1420=0,$X1420="正常"),"※没填单价，价格状态请选「待补价」",IF(AND($S1420&gt;0,$R1420&gt;0),"△本批有 "&amp;$S1420&amp;" 行没单价，整批运费先挂账没摊",IF(AND($B1420&lt;&gt;"",COUNTIF($B$4:$B$2503,$B1420)&gt;1),"※入库单号重复","")))))))</f>
        <v/>
      </c>
    </row>
    <row r="1421">
      <c r="A1421" s="24">
        <f>IF($G1421="","",COUNTA($G$4:$G1421))</f>
        <v/>
      </c>
      <c r="B1421" s="17" t="n"/>
      <c r="C1421" s="30" t="n"/>
      <c r="D1421" s="17" t="n"/>
      <c r="E1421" s="17" t="n"/>
      <c r="F1421" s="17" t="n"/>
      <c r="G1421" s="17" t="n"/>
      <c r="H1421" s="24">
        <f>IF($G1421="","",IFERROR(VLOOKUP($G1421,物料档案!$A$4:$P$1203,3,0),"※编码不在物料档案里"))</f>
        <v/>
      </c>
      <c r="I1421" s="24">
        <f>IF($G1421="","",IFERROR(VLOOKUP($G1421,物料档案!$A$4:$P$1203,4,0),"※编码不在物料档案里"))</f>
        <v/>
      </c>
      <c r="J1421" s="24">
        <f>IF($G1421="","",IFERROR(VLOOKUP($G1421,物料档案!$A$4:$P$1203,5,0),"※编码不在物料档案里"))</f>
        <v/>
      </c>
      <c r="K1421" s="23" t="n"/>
      <c r="L1421" s="31" t="n"/>
      <c r="M1421" s="24">
        <f>IF($G1421="","",IF($D1421="A国内","CNY","TZS"))</f>
        <v/>
      </c>
      <c r="N1421" s="28">
        <f>IF($G1421="","",IF($D1421="A国内",汇率,1))</f>
        <v/>
      </c>
      <c r="O1421" s="25">
        <f>IF($G1421="","",ROUND(N($K1421)*N($L1421),2))</f>
        <v/>
      </c>
      <c r="P1421" s="26">
        <f>IF($G1421="","",ROUND($O1421*$N1421,0))</f>
        <v/>
      </c>
      <c r="Q1421" s="26">
        <f>IF($G1421="","",SUMIFS($P$4:$P$2503,$E$4:$E$2503,$E1421,$Z$4:$Z$2503,"正常"))</f>
        <v/>
      </c>
      <c r="R1421" s="26">
        <f>IF($G1421="","",SUMIFS(费用台账!$I$4:$I$503,费用台账!$C$4:$C$503,$E1421,费用台账!$J$4:$J$503,"是",费用台账!$K$4:$K$503,"正常"))</f>
        <v/>
      </c>
      <c r="S1421" s="28">
        <f>IF($G1421="","",COUNTIFS($E$4:$E$2503,$E1421,$Z$4:$Z$2503,"正常",$Y$4:$Y$2503,"待补价"))</f>
        <v/>
      </c>
      <c r="T1421" s="26">
        <f>IF($G1421="","",SUMIFS($P$4:$P$2503,$E$4:$E$2503,$E1421,$Z$4:$Z$2503,"正常",$A$4:$A$2503,"&lt;="&amp;$A1421))</f>
        <v/>
      </c>
      <c r="U1421" s="26">
        <f>IF($G1421="","",IF(OR($S1421&gt;0,$Q1421=0,$R1421=0,$Z1421&lt;&gt;"正常"),0,ROUND($T1421/$Q1421*$R1421,0)-ROUND(($T1421-$P1421)/$Q1421*$R1421,0)))</f>
        <v/>
      </c>
      <c r="V1421" s="26">
        <f>IF($G1421="","",ROUND($P1421+$U1421,0))</f>
        <v/>
      </c>
      <c r="W1421" s="26">
        <f>IF($G1421="","",IF(N($K1421)=0,0,ROUND($V1421/$K1421,2)))</f>
        <v/>
      </c>
      <c r="X1421" s="17" t="n"/>
      <c r="Y1421" s="17" t="n"/>
      <c r="Z1421" s="17" t="n"/>
      <c r="AA1421" s="17" t="n"/>
      <c r="AB1421" s="17" t="n"/>
      <c r="AC1421" s="24">
        <f>IF($G1421="","",IF($H1421="※编码不在物料档案里","※物料编码不在档案里",IF(N($K1421)&lt;=0,"※入库数量要大于 0",IF(AND($C1421&lt;&gt;"",$C1421&lt;=结账锁),"※日期早于已结账截止日，不能再录",IF(AND($L1421=0,$X1421="正常"),"※没填单价，价格状态请选「待补价」",IF(AND($S1421&gt;0,$R1421&gt;0),"△本批有 "&amp;$S1421&amp;" 行没单价，整批运费先挂账没摊",IF(AND($B1421&lt;&gt;"",COUNTIF($B$4:$B$2503,$B1421)&gt;1),"※入库单号重复","")))))))</f>
        <v/>
      </c>
    </row>
    <row r="1422">
      <c r="A1422" s="24">
        <f>IF($G1422="","",COUNTA($G$4:$G1422))</f>
        <v/>
      </c>
      <c r="B1422" s="17" t="n"/>
      <c r="C1422" s="30" t="n"/>
      <c r="D1422" s="17" t="n"/>
      <c r="E1422" s="17" t="n"/>
      <c r="F1422" s="17" t="n"/>
      <c r="G1422" s="17" t="n"/>
      <c r="H1422" s="24">
        <f>IF($G1422="","",IFERROR(VLOOKUP($G1422,物料档案!$A$4:$P$1203,3,0),"※编码不在物料档案里"))</f>
        <v/>
      </c>
      <c r="I1422" s="24">
        <f>IF($G1422="","",IFERROR(VLOOKUP($G1422,物料档案!$A$4:$P$1203,4,0),"※编码不在物料档案里"))</f>
        <v/>
      </c>
      <c r="J1422" s="24">
        <f>IF($G1422="","",IFERROR(VLOOKUP($G1422,物料档案!$A$4:$P$1203,5,0),"※编码不在物料档案里"))</f>
        <v/>
      </c>
      <c r="K1422" s="23" t="n"/>
      <c r="L1422" s="31" t="n"/>
      <c r="M1422" s="24">
        <f>IF($G1422="","",IF($D1422="A国内","CNY","TZS"))</f>
        <v/>
      </c>
      <c r="N1422" s="28">
        <f>IF($G1422="","",IF($D1422="A国内",汇率,1))</f>
        <v/>
      </c>
      <c r="O1422" s="25">
        <f>IF($G1422="","",ROUND(N($K1422)*N($L1422),2))</f>
        <v/>
      </c>
      <c r="P1422" s="26">
        <f>IF($G1422="","",ROUND($O1422*$N1422,0))</f>
        <v/>
      </c>
      <c r="Q1422" s="26">
        <f>IF($G1422="","",SUMIFS($P$4:$P$2503,$E$4:$E$2503,$E1422,$Z$4:$Z$2503,"正常"))</f>
        <v/>
      </c>
      <c r="R1422" s="26">
        <f>IF($G1422="","",SUMIFS(费用台账!$I$4:$I$503,费用台账!$C$4:$C$503,$E1422,费用台账!$J$4:$J$503,"是",费用台账!$K$4:$K$503,"正常"))</f>
        <v/>
      </c>
      <c r="S1422" s="28">
        <f>IF($G1422="","",COUNTIFS($E$4:$E$2503,$E1422,$Z$4:$Z$2503,"正常",$Y$4:$Y$2503,"待补价"))</f>
        <v/>
      </c>
      <c r="T1422" s="26">
        <f>IF($G1422="","",SUMIFS($P$4:$P$2503,$E$4:$E$2503,$E1422,$Z$4:$Z$2503,"正常",$A$4:$A$2503,"&lt;="&amp;$A1422))</f>
        <v/>
      </c>
      <c r="U1422" s="26">
        <f>IF($G1422="","",IF(OR($S1422&gt;0,$Q1422=0,$R1422=0,$Z1422&lt;&gt;"正常"),0,ROUND($T1422/$Q1422*$R1422,0)-ROUND(($T1422-$P1422)/$Q1422*$R1422,0)))</f>
        <v/>
      </c>
      <c r="V1422" s="26">
        <f>IF($G1422="","",ROUND($P1422+$U1422,0))</f>
        <v/>
      </c>
      <c r="W1422" s="26">
        <f>IF($G1422="","",IF(N($K1422)=0,0,ROUND($V1422/$K1422,2)))</f>
        <v/>
      </c>
      <c r="X1422" s="17" t="n"/>
      <c r="Y1422" s="17" t="n"/>
      <c r="Z1422" s="17" t="n"/>
      <c r="AA1422" s="17" t="n"/>
      <c r="AB1422" s="17" t="n"/>
      <c r="AC1422" s="24">
        <f>IF($G1422="","",IF($H1422="※编码不在物料档案里","※物料编码不在档案里",IF(N($K1422)&lt;=0,"※入库数量要大于 0",IF(AND($C1422&lt;&gt;"",$C1422&lt;=结账锁),"※日期早于已结账截止日，不能再录",IF(AND($L1422=0,$X1422="正常"),"※没填单价，价格状态请选「待补价」",IF(AND($S1422&gt;0,$R1422&gt;0),"△本批有 "&amp;$S1422&amp;" 行没单价，整批运费先挂账没摊",IF(AND($B1422&lt;&gt;"",COUNTIF($B$4:$B$2503,$B1422)&gt;1),"※入库单号重复","")))))))</f>
        <v/>
      </c>
    </row>
    <row r="1423">
      <c r="A1423" s="24">
        <f>IF($G1423="","",COUNTA($G$4:$G1423))</f>
        <v/>
      </c>
      <c r="B1423" s="17" t="n"/>
      <c r="C1423" s="30" t="n"/>
      <c r="D1423" s="17" t="n"/>
      <c r="E1423" s="17" t="n"/>
      <c r="F1423" s="17" t="n"/>
      <c r="G1423" s="17" t="n"/>
      <c r="H1423" s="24">
        <f>IF($G1423="","",IFERROR(VLOOKUP($G1423,物料档案!$A$4:$P$1203,3,0),"※编码不在物料档案里"))</f>
        <v/>
      </c>
      <c r="I1423" s="24">
        <f>IF($G1423="","",IFERROR(VLOOKUP($G1423,物料档案!$A$4:$P$1203,4,0),"※编码不在物料档案里"))</f>
        <v/>
      </c>
      <c r="J1423" s="24">
        <f>IF($G1423="","",IFERROR(VLOOKUP($G1423,物料档案!$A$4:$P$1203,5,0),"※编码不在物料档案里"))</f>
        <v/>
      </c>
      <c r="K1423" s="23" t="n"/>
      <c r="L1423" s="31" t="n"/>
      <c r="M1423" s="24">
        <f>IF($G1423="","",IF($D1423="A国内","CNY","TZS"))</f>
        <v/>
      </c>
      <c r="N1423" s="28">
        <f>IF($G1423="","",IF($D1423="A国内",汇率,1))</f>
        <v/>
      </c>
      <c r="O1423" s="25">
        <f>IF($G1423="","",ROUND(N($K1423)*N($L1423),2))</f>
        <v/>
      </c>
      <c r="P1423" s="26">
        <f>IF($G1423="","",ROUND($O1423*$N1423,0))</f>
        <v/>
      </c>
      <c r="Q1423" s="26">
        <f>IF($G1423="","",SUMIFS($P$4:$P$2503,$E$4:$E$2503,$E1423,$Z$4:$Z$2503,"正常"))</f>
        <v/>
      </c>
      <c r="R1423" s="26">
        <f>IF($G1423="","",SUMIFS(费用台账!$I$4:$I$503,费用台账!$C$4:$C$503,$E1423,费用台账!$J$4:$J$503,"是",费用台账!$K$4:$K$503,"正常"))</f>
        <v/>
      </c>
      <c r="S1423" s="28">
        <f>IF($G1423="","",COUNTIFS($E$4:$E$2503,$E1423,$Z$4:$Z$2503,"正常",$Y$4:$Y$2503,"待补价"))</f>
        <v/>
      </c>
      <c r="T1423" s="26">
        <f>IF($G1423="","",SUMIFS($P$4:$P$2503,$E$4:$E$2503,$E1423,$Z$4:$Z$2503,"正常",$A$4:$A$2503,"&lt;="&amp;$A1423))</f>
        <v/>
      </c>
      <c r="U1423" s="26">
        <f>IF($G1423="","",IF(OR($S1423&gt;0,$Q1423=0,$R1423=0,$Z1423&lt;&gt;"正常"),0,ROUND($T1423/$Q1423*$R1423,0)-ROUND(($T1423-$P1423)/$Q1423*$R1423,0)))</f>
        <v/>
      </c>
      <c r="V1423" s="26">
        <f>IF($G1423="","",ROUND($P1423+$U1423,0))</f>
        <v/>
      </c>
      <c r="W1423" s="26">
        <f>IF($G1423="","",IF(N($K1423)=0,0,ROUND($V1423/$K1423,2)))</f>
        <v/>
      </c>
      <c r="X1423" s="17" t="n"/>
      <c r="Y1423" s="17" t="n"/>
      <c r="Z1423" s="17" t="n"/>
      <c r="AA1423" s="17" t="n"/>
      <c r="AB1423" s="17" t="n"/>
      <c r="AC1423" s="24">
        <f>IF($G1423="","",IF($H1423="※编码不在物料档案里","※物料编码不在档案里",IF(N($K1423)&lt;=0,"※入库数量要大于 0",IF(AND($C1423&lt;&gt;"",$C1423&lt;=结账锁),"※日期早于已结账截止日，不能再录",IF(AND($L1423=0,$X1423="正常"),"※没填单价，价格状态请选「待补价」",IF(AND($S1423&gt;0,$R1423&gt;0),"△本批有 "&amp;$S1423&amp;" 行没单价，整批运费先挂账没摊",IF(AND($B1423&lt;&gt;"",COUNTIF($B$4:$B$2503,$B1423)&gt;1),"※入库单号重复","")))))))</f>
        <v/>
      </c>
    </row>
    <row r="1424">
      <c r="A1424" s="24">
        <f>IF($G1424="","",COUNTA($G$4:$G1424))</f>
        <v/>
      </c>
      <c r="B1424" s="17" t="n"/>
      <c r="C1424" s="30" t="n"/>
      <c r="D1424" s="17" t="n"/>
      <c r="E1424" s="17" t="n"/>
      <c r="F1424" s="17" t="n"/>
      <c r="G1424" s="17" t="n"/>
      <c r="H1424" s="24">
        <f>IF($G1424="","",IFERROR(VLOOKUP($G1424,物料档案!$A$4:$P$1203,3,0),"※编码不在物料档案里"))</f>
        <v/>
      </c>
      <c r="I1424" s="24">
        <f>IF($G1424="","",IFERROR(VLOOKUP($G1424,物料档案!$A$4:$P$1203,4,0),"※编码不在物料档案里"))</f>
        <v/>
      </c>
      <c r="J1424" s="24">
        <f>IF($G1424="","",IFERROR(VLOOKUP($G1424,物料档案!$A$4:$P$1203,5,0),"※编码不在物料档案里"))</f>
        <v/>
      </c>
      <c r="K1424" s="23" t="n"/>
      <c r="L1424" s="31" t="n"/>
      <c r="M1424" s="24">
        <f>IF($G1424="","",IF($D1424="A国内","CNY","TZS"))</f>
        <v/>
      </c>
      <c r="N1424" s="28">
        <f>IF($G1424="","",IF($D1424="A国内",汇率,1))</f>
        <v/>
      </c>
      <c r="O1424" s="25">
        <f>IF($G1424="","",ROUND(N($K1424)*N($L1424),2))</f>
        <v/>
      </c>
      <c r="P1424" s="26">
        <f>IF($G1424="","",ROUND($O1424*$N1424,0))</f>
        <v/>
      </c>
      <c r="Q1424" s="26">
        <f>IF($G1424="","",SUMIFS($P$4:$P$2503,$E$4:$E$2503,$E1424,$Z$4:$Z$2503,"正常"))</f>
        <v/>
      </c>
      <c r="R1424" s="26">
        <f>IF($G1424="","",SUMIFS(费用台账!$I$4:$I$503,费用台账!$C$4:$C$503,$E1424,费用台账!$J$4:$J$503,"是",费用台账!$K$4:$K$503,"正常"))</f>
        <v/>
      </c>
      <c r="S1424" s="28">
        <f>IF($G1424="","",COUNTIFS($E$4:$E$2503,$E1424,$Z$4:$Z$2503,"正常",$Y$4:$Y$2503,"待补价"))</f>
        <v/>
      </c>
      <c r="T1424" s="26">
        <f>IF($G1424="","",SUMIFS($P$4:$P$2503,$E$4:$E$2503,$E1424,$Z$4:$Z$2503,"正常",$A$4:$A$2503,"&lt;="&amp;$A1424))</f>
        <v/>
      </c>
      <c r="U1424" s="26">
        <f>IF($G1424="","",IF(OR($S1424&gt;0,$Q1424=0,$R1424=0,$Z1424&lt;&gt;"正常"),0,ROUND($T1424/$Q1424*$R1424,0)-ROUND(($T1424-$P1424)/$Q1424*$R1424,0)))</f>
        <v/>
      </c>
      <c r="V1424" s="26">
        <f>IF($G1424="","",ROUND($P1424+$U1424,0))</f>
        <v/>
      </c>
      <c r="W1424" s="26">
        <f>IF($G1424="","",IF(N($K1424)=0,0,ROUND($V1424/$K1424,2)))</f>
        <v/>
      </c>
      <c r="X1424" s="17" t="n"/>
      <c r="Y1424" s="17" t="n"/>
      <c r="Z1424" s="17" t="n"/>
      <c r="AA1424" s="17" t="n"/>
      <c r="AB1424" s="17" t="n"/>
      <c r="AC1424" s="24">
        <f>IF($G1424="","",IF($H1424="※编码不在物料档案里","※物料编码不在档案里",IF(N($K1424)&lt;=0,"※入库数量要大于 0",IF(AND($C1424&lt;&gt;"",$C1424&lt;=结账锁),"※日期早于已结账截止日，不能再录",IF(AND($L1424=0,$X1424="正常"),"※没填单价，价格状态请选「待补价」",IF(AND($S1424&gt;0,$R1424&gt;0),"△本批有 "&amp;$S1424&amp;" 行没单价，整批运费先挂账没摊",IF(AND($B1424&lt;&gt;"",COUNTIF($B$4:$B$2503,$B1424)&gt;1),"※入库单号重复","")))))))</f>
        <v/>
      </c>
    </row>
    <row r="1425">
      <c r="A1425" s="24">
        <f>IF($G1425="","",COUNTA($G$4:$G1425))</f>
        <v/>
      </c>
      <c r="B1425" s="17" t="n"/>
      <c r="C1425" s="30" t="n"/>
      <c r="D1425" s="17" t="n"/>
      <c r="E1425" s="17" t="n"/>
      <c r="F1425" s="17" t="n"/>
      <c r="G1425" s="17" t="n"/>
      <c r="H1425" s="24">
        <f>IF($G1425="","",IFERROR(VLOOKUP($G1425,物料档案!$A$4:$P$1203,3,0),"※编码不在物料档案里"))</f>
        <v/>
      </c>
      <c r="I1425" s="24">
        <f>IF($G1425="","",IFERROR(VLOOKUP($G1425,物料档案!$A$4:$P$1203,4,0),"※编码不在物料档案里"))</f>
        <v/>
      </c>
      <c r="J1425" s="24">
        <f>IF($G1425="","",IFERROR(VLOOKUP($G1425,物料档案!$A$4:$P$1203,5,0),"※编码不在物料档案里"))</f>
        <v/>
      </c>
      <c r="K1425" s="23" t="n"/>
      <c r="L1425" s="31" t="n"/>
      <c r="M1425" s="24">
        <f>IF($G1425="","",IF($D1425="A国内","CNY","TZS"))</f>
        <v/>
      </c>
      <c r="N1425" s="28">
        <f>IF($G1425="","",IF($D1425="A国内",汇率,1))</f>
        <v/>
      </c>
      <c r="O1425" s="25">
        <f>IF($G1425="","",ROUND(N($K1425)*N($L1425),2))</f>
        <v/>
      </c>
      <c r="P1425" s="26">
        <f>IF($G1425="","",ROUND($O1425*$N1425,0))</f>
        <v/>
      </c>
      <c r="Q1425" s="26">
        <f>IF($G1425="","",SUMIFS($P$4:$P$2503,$E$4:$E$2503,$E1425,$Z$4:$Z$2503,"正常"))</f>
        <v/>
      </c>
      <c r="R1425" s="26">
        <f>IF($G1425="","",SUMIFS(费用台账!$I$4:$I$503,费用台账!$C$4:$C$503,$E1425,费用台账!$J$4:$J$503,"是",费用台账!$K$4:$K$503,"正常"))</f>
        <v/>
      </c>
      <c r="S1425" s="28">
        <f>IF($G1425="","",COUNTIFS($E$4:$E$2503,$E1425,$Z$4:$Z$2503,"正常",$Y$4:$Y$2503,"待补价"))</f>
        <v/>
      </c>
      <c r="T1425" s="26">
        <f>IF($G1425="","",SUMIFS($P$4:$P$2503,$E$4:$E$2503,$E1425,$Z$4:$Z$2503,"正常",$A$4:$A$2503,"&lt;="&amp;$A1425))</f>
        <v/>
      </c>
      <c r="U1425" s="26">
        <f>IF($G1425="","",IF(OR($S1425&gt;0,$Q1425=0,$R1425=0,$Z1425&lt;&gt;"正常"),0,ROUND($T1425/$Q1425*$R1425,0)-ROUND(($T1425-$P1425)/$Q1425*$R1425,0)))</f>
        <v/>
      </c>
      <c r="V1425" s="26">
        <f>IF($G1425="","",ROUND($P1425+$U1425,0))</f>
        <v/>
      </c>
      <c r="W1425" s="26">
        <f>IF($G1425="","",IF(N($K1425)=0,0,ROUND($V1425/$K1425,2)))</f>
        <v/>
      </c>
      <c r="X1425" s="17" t="n"/>
      <c r="Y1425" s="17" t="n"/>
      <c r="Z1425" s="17" t="n"/>
      <c r="AA1425" s="17" t="n"/>
      <c r="AB1425" s="17" t="n"/>
      <c r="AC1425" s="24">
        <f>IF($G1425="","",IF($H1425="※编码不在物料档案里","※物料编码不在档案里",IF(N($K1425)&lt;=0,"※入库数量要大于 0",IF(AND($C1425&lt;&gt;"",$C1425&lt;=结账锁),"※日期早于已结账截止日，不能再录",IF(AND($L1425=0,$X1425="正常"),"※没填单价，价格状态请选「待补价」",IF(AND($S1425&gt;0,$R1425&gt;0),"△本批有 "&amp;$S1425&amp;" 行没单价，整批运费先挂账没摊",IF(AND($B1425&lt;&gt;"",COUNTIF($B$4:$B$2503,$B1425)&gt;1),"※入库单号重复","")))))))</f>
        <v/>
      </c>
    </row>
    <row r="1426">
      <c r="A1426" s="24">
        <f>IF($G1426="","",COUNTA($G$4:$G1426))</f>
        <v/>
      </c>
      <c r="B1426" s="17" t="n"/>
      <c r="C1426" s="30" t="n"/>
      <c r="D1426" s="17" t="n"/>
      <c r="E1426" s="17" t="n"/>
      <c r="F1426" s="17" t="n"/>
      <c r="G1426" s="17" t="n"/>
      <c r="H1426" s="24">
        <f>IF($G1426="","",IFERROR(VLOOKUP($G1426,物料档案!$A$4:$P$1203,3,0),"※编码不在物料档案里"))</f>
        <v/>
      </c>
      <c r="I1426" s="24">
        <f>IF($G1426="","",IFERROR(VLOOKUP($G1426,物料档案!$A$4:$P$1203,4,0),"※编码不在物料档案里"))</f>
        <v/>
      </c>
      <c r="J1426" s="24">
        <f>IF($G1426="","",IFERROR(VLOOKUP($G1426,物料档案!$A$4:$P$1203,5,0),"※编码不在物料档案里"))</f>
        <v/>
      </c>
      <c r="K1426" s="23" t="n"/>
      <c r="L1426" s="31" t="n"/>
      <c r="M1426" s="24">
        <f>IF($G1426="","",IF($D1426="A国内","CNY","TZS"))</f>
        <v/>
      </c>
      <c r="N1426" s="28">
        <f>IF($G1426="","",IF($D1426="A国内",汇率,1))</f>
        <v/>
      </c>
      <c r="O1426" s="25">
        <f>IF($G1426="","",ROUND(N($K1426)*N($L1426),2))</f>
        <v/>
      </c>
      <c r="P1426" s="26">
        <f>IF($G1426="","",ROUND($O1426*$N1426,0))</f>
        <v/>
      </c>
      <c r="Q1426" s="26">
        <f>IF($G1426="","",SUMIFS($P$4:$P$2503,$E$4:$E$2503,$E1426,$Z$4:$Z$2503,"正常"))</f>
        <v/>
      </c>
      <c r="R1426" s="26">
        <f>IF($G1426="","",SUMIFS(费用台账!$I$4:$I$503,费用台账!$C$4:$C$503,$E1426,费用台账!$J$4:$J$503,"是",费用台账!$K$4:$K$503,"正常"))</f>
        <v/>
      </c>
      <c r="S1426" s="28">
        <f>IF($G1426="","",COUNTIFS($E$4:$E$2503,$E1426,$Z$4:$Z$2503,"正常",$Y$4:$Y$2503,"待补价"))</f>
        <v/>
      </c>
      <c r="T1426" s="26">
        <f>IF($G1426="","",SUMIFS($P$4:$P$2503,$E$4:$E$2503,$E1426,$Z$4:$Z$2503,"正常",$A$4:$A$2503,"&lt;="&amp;$A1426))</f>
        <v/>
      </c>
      <c r="U1426" s="26">
        <f>IF($G1426="","",IF(OR($S1426&gt;0,$Q1426=0,$R1426=0,$Z1426&lt;&gt;"正常"),0,ROUND($T1426/$Q1426*$R1426,0)-ROUND(($T1426-$P1426)/$Q1426*$R1426,0)))</f>
        <v/>
      </c>
      <c r="V1426" s="26">
        <f>IF($G1426="","",ROUND($P1426+$U1426,0))</f>
        <v/>
      </c>
      <c r="W1426" s="26">
        <f>IF($G1426="","",IF(N($K1426)=0,0,ROUND($V1426/$K1426,2)))</f>
        <v/>
      </c>
      <c r="X1426" s="17" t="n"/>
      <c r="Y1426" s="17" t="n"/>
      <c r="Z1426" s="17" t="n"/>
      <c r="AA1426" s="17" t="n"/>
      <c r="AB1426" s="17" t="n"/>
      <c r="AC1426" s="24">
        <f>IF($G1426="","",IF($H1426="※编码不在物料档案里","※物料编码不在档案里",IF(N($K1426)&lt;=0,"※入库数量要大于 0",IF(AND($C1426&lt;&gt;"",$C1426&lt;=结账锁),"※日期早于已结账截止日，不能再录",IF(AND($L1426=0,$X1426="正常"),"※没填单价，价格状态请选「待补价」",IF(AND($S1426&gt;0,$R1426&gt;0),"△本批有 "&amp;$S1426&amp;" 行没单价，整批运费先挂账没摊",IF(AND($B1426&lt;&gt;"",COUNTIF($B$4:$B$2503,$B1426)&gt;1),"※入库单号重复","")))))))</f>
        <v/>
      </c>
    </row>
    <row r="1427">
      <c r="A1427" s="24">
        <f>IF($G1427="","",COUNTA($G$4:$G1427))</f>
        <v/>
      </c>
      <c r="B1427" s="17" t="n"/>
      <c r="C1427" s="30" t="n"/>
      <c r="D1427" s="17" t="n"/>
      <c r="E1427" s="17" t="n"/>
      <c r="F1427" s="17" t="n"/>
      <c r="G1427" s="17" t="n"/>
      <c r="H1427" s="24">
        <f>IF($G1427="","",IFERROR(VLOOKUP($G1427,物料档案!$A$4:$P$1203,3,0),"※编码不在物料档案里"))</f>
        <v/>
      </c>
      <c r="I1427" s="24">
        <f>IF($G1427="","",IFERROR(VLOOKUP($G1427,物料档案!$A$4:$P$1203,4,0),"※编码不在物料档案里"))</f>
        <v/>
      </c>
      <c r="J1427" s="24">
        <f>IF($G1427="","",IFERROR(VLOOKUP($G1427,物料档案!$A$4:$P$1203,5,0),"※编码不在物料档案里"))</f>
        <v/>
      </c>
      <c r="K1427" s="23" t="n"/>
      <c r="L1427" s="31" t="n"/>
      <c r="M1427" s="24">
        <f>IF($G1427="","",IF($D1427="A国内","CNY","TZS"))</f>
        <v/>
      </c>
      <c r="N1427" s="28">
        <f>IF($G1427="","",IF($D1427="A国内",汇率,1))</f>
        <v/>
      </c>
      <c r="O1427" s="25">
        <f>IF($G1427="","",ROUND(N($K1427)*N($L1427),2))</f>
        <v/>
      </c>
      <c r="P1427" s="26">
        <f>IF($G1427="","",ROUND($O1427*$N1427,0))</f>
        <v/>
      </c>
      <c r="Q1427" s="26">
        <f>IF($G1427="","",SUMIFS($P$4:$P$2503,$E$4:$E$2503,$E1427,$Z$4:$Z$2503,"正常"))</f>
        <v/>
      </c>
      <c r="R1427" s="26">
        <f>IF($G1427="","",SUMIFS(费用台账!$I$4:$I$503,费用台账!$C$4:$C$503,$E1427,费用台账!$J$4:$J$503,"是",费用台账!$K$4:$K$503,"正常"))</f>
        <v/>
      </c>
      <c r="S1427" s="28">
        <f>IF($G1427="","",COUNTIFS($E$4:$E$2503,$E1427,$Z$4:$Z$2503,"正常",$Y$4:$Y$2503,"待补价"))</f>
        <v/>
      </c>
      <c r="T1427" s="26">
        <f>IF($G1427="","",SUMIFS($P$4:$P$2503,$E$4:$E$2503,$E1427,$Z$4:$Z$2503,"正常",$A$4:$A$2503,"&lt;="&amp;$A1427))</f>
        <v/>
      </c>
      <c r="U1427" s="26">
        <f>IF($G1427="","",IF(OR($S1427&gt;0,$Q1427=0,$R1427=0,$Z1427&lt;&gt;"正常"),0,ROUND($T1427/$Q1427*$R1427,0)-ROUND(($T1427-$P1427)/$Q1427*$R1427,0)))</f>
        <v/>
      </c>
      <c r="V1427" s="26">
        <f>IF($G1427="","",ROUND($P1427+$U1427,0))</f>
        <v/>
      </c>
      <c r="W1427" s="26">
        <f>IF($G1427="","",IF(N($K1427)=0,0,ROUND($V1427/$K1427,2)))</f>
        <v/>
      </c>
      <c r="X1427" s="17" t="n"/>
      <c r="Y1427" s="17" t="n"/>
      <c r="Z1427" s="17" t="n"/>
      <c r="AA1427" s="17" t="n"/>
      <c r="AB1427" s="17" t="n"/>
      <c r="AC1427" s="24">
        <f>IF($G1427="","",IF($H1427="※编码不在物料档案里","※物料编码不在档案里",IF(N($K1427)&lt;=0,"※入库数量要大于 0",IF(AND($C1427&lt;&gt;"",$C1427&lt;=结账锁),"※日期早于已结账截止日，不能再录",IF(AND($L1427=0,$X1427="正常"),"※没填单价，价格状态请选「待补价」",IF(AND($S1427&gt;0,$R1427&gt;0),"△本批有 "&amp;$S1427&amp;" 行没单价，整批运费先挂账没摊",IF(AND($B1427&lt;&gt;"",COUNTIF($B$4:$B$2503,$B1427)&gt;1),"※入库单号重复","")))))))</f>
        <v/>
      </c>
    </row>
    <row r="1428">
      <c r="A1428" s="24">
        <f>IF($G1428="","",COUNTA($G$4:$G1428))</f>
        <v/>
      </c>
      <c r="B1428" s="17" t="n"/>
      <c r="C1428" s="30" t="n"/>
      <c r="D1428" s="17" t="n"/>
      <c r="E1428" s="17" t="n"/>
      <c r="F1428" s="17" t="n"/>
      <c r="G1428" s="17" t="n"/>
      <c r="H1428" s="24">
        <f>IF($G1428="","",IFERROR(VLOOKUP($G1428,物料档案!$A$4:$P$1203,3,0),"※编码不在物料档案里"))</f>
        <v/>
      </c>
      <c r="I1428" s="24">
        <f>IF($G1428="","",IFERROR(VLOOKUP($G1428,物料档案!$A$4:$P$1203,4,0),"※编码不在物料档案里"))</f>
        <v/>
      </c>
      <c r="J1428" s="24">
        <f>IF($G1428="","",IFERROR(VLOOKUP($G1428,物料档案!$A$4:$P$1203,5,0),"※编码不在物料档案里"))</f>
        <v/>
      </c>
      <c r="K1428" s="23" t="n"/>
      <c r="L1428" s="31" t="n"/>
      <c r="M1428" s="24">
        <f>IF($G1428="","",IF($D1428="A国内","CNY","TZS"))</f>
        <v/>
      </c>
      <c r="N1428" s="28">
        <f>IF($G1428="","",IF($D1428="A国内",汇率,1))</f>
        <v/>
      </c>
      <c r="O1428" s="25">
        <f>IF($G1428="","",ROUND(N($K1428)*N($L1428),2))</f>
        <v/>
      </c>
      <c r="P1428" s="26">
        <f>IF($G1428="","",ROUND($O1428*$N1428,0))</f>
        <v/>
      </c>
      <c r="Q1428" s="26">
        <f>IF($G1428="","",SUMIFS($P$4:$P$2503,$E$4:$E$2503,$E1428,$Z$4:$Z$2503,"正常"))</f>
        <v/>
      </c>
      <c r="R1428" s="26">
        <f>IF($G1428="","",SUMIFS(费用台账!$I$4:$I$503,费用台账!$C$4:$C$503,$E1428,费用台账!$J$4:$J$503,"是",费用台账!$K$4:$K$503,"正常"))</f>
        <v/>
      </c>
      <c r="S1428" s="28">
        <f>IF($G1428="","",COUNTIFS($E$4:$E$2503,$E1428,$Z$4:$Z$2503,"正常",$Y$4:$Y$2503,"待补价"))</f>
        <v/>
      </c>
      <c r="T1428" s="26">
        <f>IF($G1428="","",SUMIFS($P$4:$P$2503,$E$4:$E$2503,$E1428,$Z$4:$Z$2503,"正常",$A$4:$A$2503,"&lt;="&amp;$A1428))</f>
        <v/>
      </c>
      <c r="U1428" s="26">
        <f>IF($G1428="","",IF(OR($S1428&gt;0,$Q1428=0,$R1428=0,$Z1428&lt;&gt;"正常"),0,ROUND($T1428/$Q1428*$R1428,0)-ROUND(($T1428-$P1428)/$Q1428*$R1428,0)))</f>
        <v/>
      </c>
      <c r="V1428" s="26">
        <f>IF($G1428="","",ROUND($P1428+$U1428,0))</f>
        <v/>
      </c>
      <c r="W1428" s="26">
        <f>IF($G1428="","",IF(N($K1428)=0,0,ROUND($V1428/$K1428,2)))</f>
        <v/>
      </c>
      <c r="X1428" s="17" t="n"/>
      <c r="Y1428" s="17" t="n"/>
      <c r="Z1428" s="17" t="n"/>
      <c r="AA1428" s="17" t="n"/>
      <c r="AB1428" s="17" t="n"/>
      <c r="AC1428" s="24">
        <f>IF($G1428="","",IF($H1428="※编码不在物料档案里","※物料编码不在档案里",IF(N($K1428)&lt;=0,"※入库数量要大于 0",IF(AND($C1428&lt;&gt;"",$C1428&lt;=结账锁),"※日期早于已结账截止日，不能再录",IF(AND($L1428=0,$X1428="正常"),"※没填单价，价格状态请选「待补价」",IF(AND($S1428&gt;0,$R1428&gt;0),"△本批有 "&amp;$S1428&amp;" 行没单价，整批运费先挂账没摊",IF(AND($B1428&lt;&gt;"",COUNTIF($B$4:$B$2503,$B1428)&gt;1),"※入库单号重复","")))))))</f>
        <v/>
      </c>
    </row>
    <row r="1429">
      <c r="A1429" s="24">
        <f>IF($G1429="","",COUNTA($G$4:$G1429))</f>
        <v/>
      </c>
      <c r="B1429" s="17" t="n"/>
      <c r="C1429" s="30" t="n"/>
      <c r="D1429" s="17" t="n"/>
      <c r="E1429" s="17" t="n"/>
      <c r="F1429" s="17" t="n"/>
      <c r="G1429" s="17" t="n"/>
      <c r="H1429" s="24">
        <f>IF($G1429="","",IFERROR(VLOOKUP($G1429,物料档案!$A$4:$P$1203,3,0),"※编码不在物料档案里"))</f>
        <v/>
      </c>
      <c r="I1429" s="24">
        <f>IF($G1429="","",IFERROR(VLOOKUP($G1429,物料档案!$A$4:$P$1203,4,0),"※编码不在物料档案里"))</f>
        <v/>
      </c>
      <c r="J1429" s="24">
        <f>IF($G1429="","",IFERROR(VLOOKUP($G1429,物料档案!$A$4:$P$1203,5,0),"※编码不在物料档案里"))</f>
        <v/>
      </c>
      <c r="K1429" s="23" t="n"/>
      <c r="L1429" s="31" t="n"/>
      <c r="M1429" s="24">
        <f>IF($G1429="","",IF($D1429="A国内","CNY","TZS"))</f>
        <v/>
      </c>
      <c r="N1429" s="28">
        <f>IF($G1429="","",IF($D1429="A国内",汇率,1))</f>
        <v/>
      </c>
      <c r="O1429" s="25">
        <f>IF($G1429="","",ROUND(N($K1429)*N($L1429),2))</f>
        <v/>
      </c>
      <c r="P1429" s="26">
        <f>IF($G1429="","",ROUND($O1429*$N1429,0))</f>
        <v/>
      </c>
      <c r="Q1429" s="26">
        <f>IF($G1429="","",SUMIFS($P$4:$P$2503,$E$4:$E$2503,$E1429,$Z$4:$Z$2503,"正常"))</f>
        <v/>
      </c>
      <c r="R1429" s="26">
        <f>IF($G1429="","",SUMIFS(费用台账!$I$4:$I$503,费用台账!$C$4:$C$503,$E1429,费用台账!$J$4:$J$503,"是",费用台账!$K$4:$K$503,"正常"))</f>
        <v/>
      </c>
      <c r="S1429" s="28">
        <f>IF($G1429="","",COUNTIFS($E$4:$E$2503,$E1429,$Z$4:$Z$2503,"正常",$Y$4:$Y$2503,"待补价"))</f>
        <v/>
      </c>
      <c r="T1429" s="26">
        <f>IF($G1429="","",SUMIFS($P$4:$P$2503,$E$4:$E$2503,$E1429,$Z$4:$Z$2503,"正常",$A$4:$A$2503,"&lt;="&amp;$A1429))</f>
        <v/>
      </c>
      <c r="U1429" s="26">
        <f>IF($G1429="","",IF(OR($S1429&gt;0,$Q1429=0,$R1429=0,$Z1429&lt;&gt;"正常"),0,ROUND($T1429/$Q1429*$R1429,0)-ROUND(($T1429-$P1429)/$Q1429*$R1429,0)))</f>
        <v/>
      </c>
      <c r="V1429" s="26">
        <f>IF($G1429="","",ROUND($P1429+$U1429,0))</f>
        <v/>
      </c>
      <c r="W1429" s="26">
        <f>IF($G1429="","",IF(N($K1429)=0,0,ROUND($V1429/$K1429,2)))</f>
        <v/>
      </c>
      <c r="X1429" s="17" t="n"/>
      <c r="Y1429" s="17" t="n"/>
      <c r="Z1429" s="17" t="n"/>
      <c r="AA1429" s="17" t="n"/>
      <c r="AB1429" s="17" t="n"/>
      <c r="AC1429" s="24">
        <f>IF($G1429="","",IF($H1429="※编码不在物料档案里","※物料编码不在档案里",IF(N($K1429)&lt;=0,"※入库数量要大于 0",IF(AND($C1429&lt;&gt;"",$C1429&lt;=结账锁),"※日期早于已结账截止日，不能再录",IF(AND($L1429=0,$X1429="正常"),"※没填单价，价格状态请选「待补价」",IF(AND($S1429&gt;0,$R1429&gt;0),"△本批有 "&amp;$S1429&amp;" 行没单价，整批运费先挂账没摊",IF(AND($B1429&lt;&gt;"",COUNTIF($B$4:$B$2503,$B1429)&gt;1),"※入库单号重复","")))))))</f>
        <v/>
      </c>
    </row>
    <row r="1430">
      <c r="A1430" s="24">
        <f>IF($G1430="","",COUNTA($G$4:$G1430))</f>
        <v/>
      </c>
      <c r="B1430" s="17" t="n"/>
      <c r="C1430" s="30" t="n"/>
      <c r="D1430" s="17" t="n"/>
      <c r="E1430" s="17" t="n"/>
      <c r="F1430" s="17" t="n"/>
      <c r="G1430" s="17" t="n"/>
      <c r="H1430" s="24">
        <f>IF($G1430="","",IFERROR(VLOOKUP($G1430,物料档案!$A$4:$P$1203,3,0),"※编码不在物料档案里"))</f>
        <v/>
      </c>
      <c r="I1430" s="24">
        <f>IF($G1430="","",IFERROR(VLOOKUP($G1430,物料档案!$A$4:$P$1203,4,0),"※编码不在物料档案里"))</f>
        <v/>
      </c>
      <c r="J1430" s="24">
        <f>IF($G1430="","",IFERROR(VLOOKUP($G1430,物料档案!$A$4:$P$1203,5,0),"※编码不在物料档案里"))</f>
        <v/>
      </c>
      <c r="K1430" s="23" t="n"/>
      <c r="L1430" s="31" t="n"/>
      <c r="M1430" s="24">
        <f>IF($G1430="","",IF($D1430="A国内","CNY","TZS"))</f>
        <v/>
      </c>
      <c r="N1430" s="28">
        <f>IF($G1430="","",IF($D1430="A国内",汇率,1))</f>
        <v/>
      </c>
      <c r="O1430" s="25">
        <f>IF($G1430="","",ROUND(N($K1430)*N($L1430),2))</f>
        <v/>
      </c>
      <c r="P1430" s="26">
        <f>IF($G1430="","",ROUND($O1430*$N1430,0))</f>
        <v/>
      </c>
      <c r="Q1430" s="26">
        <f>IF($G1430="","",SUMIFS($P$4:$P$2503,$E$4:$E$2503,$E1430,$Z$4:$Z$2503,"正常"))</f>
        <v/>
      </c>
      <c r="R1430" s="26">
        <f>IF($G1430="","",SUMIFS(费用台账!$I$4:$I$503,费用台账!$C$4:$C$503,$E1430,费用台账!$J$4:$J$503,"是",费用台账!$K$4:$K$503,"正常"))</f>
        <v/>
      </c>
      <c r="S1430" s="28">
        <f>IF($G1430="","",COUNTIFS($E$4:$E$2503,$E1430,$Z$4:$Z$2503,"正常",$Y$4:$Y$2503,"待补价"))</f>
        <v/>
      </c>
      <c r="T1430" s="26">
        <f>IF($G1430="","",SUMIFS($P$4:$P$2503,$E$4:$E$2503,$E1430,$Z$4:$Z$2503,"正常",$A$4:$A$2503,"&lt;="&amp;$A1430))</f>
        <v/>
      </c>
      <c r="U1430" s="26">
        <f>IF($G1430="","",IF(OR($S1430&gt;0,$Q1430=0,$R1430=0,$Z1430&lt;&gt;"正常"),0,ROUND($T1430/$Q1430*$R1430,0)-ROUND(($T1430-$P1430)/$Q1430*$R1430,0)))</f>
        <v/>
      </c>
      <c r="V1430" s="26">
        <f>IF($G1430="","",ROUND($P1430+$U1430,0))</f>
        <v/>
      </c>
      <c r="W1430" s="26">
        <f>IF($G1430="","",IF(N($K1430)=0,0,ROUND($V1430/$K1430,2)))</f>
        <v/>
      </c>
      <c r="X1430" s="17" t="n"/>
      <c r="Y1430" s="17" t="n"/>
      <c r="Z1430" s="17" t="n"/>
      <c r="AA1430" s="17" t="n"/>
      <c r="AB1430" s="17" t="n"/>
      <c r="AC1430" s="24">
        <f>IF($G1430="","",IF($H1430="※编码不在物料档案里","※物料编码不在档案里",IF(N($K1430)&lt;=0,"※入库数量要大于 0",IF(AND($C1430&lt;&gt;"",$C1430&lt;=结账锁),"※日期早于已结账截止日，不能再录",IF(AND($L1430=0,$X1430="正常"),"※没填单价，价格状态请选「待补价」",IF(AND($S1430&gt;0,$R1430&gt;0),"△本批有 "&amp;$S1430&amp;" 行没单价，整批运费先挂账没摊",IF(AND($B1430&lt;&gt;"",COUNTIF($B$4:$B$2503,$B1430)&gt;1),"※入库单号重复","")))))))</f>
        <v/>
      </c>
    </row>
    <row r="1431">
      <c r="A1431" s="24">
        <f>IF($G1431="","",COUNTA($G$4:$G1431))</f>
        <v/>
      </c>
      <c r="B1431" s="17" t="n"/>
      <c r="C1431" s="30" t="n"/>
      <c r="D1431" s="17" t="n"/>
      <c r="E1431" s="17" t="n"/>
      <c r="F1431" s="17" t="n"/>
      <c r="G1431" s="17" t="n"/>
      <c r="H1431" s="24">
        <f>IF($G1431="","",IFERROR(VLOOKUP($G1431,物料档案!$A$4:$P$1203,3,0),"※编码不在物料档案里"))</f>
        <v/>
      </c>
      <c r="I1431" s="24">
        <f>IF($G1431="","",IFERROR(VLOOKUP($G1431,物料档案!$A$4:$P$1203,4,0),"※编码不在物料档案里"))</f>
        <v/>
      </c>
      <c r="J1431" s="24">
        <f>IF($G1431="","",IFERROR(VLOOKUP($G1431,物料档案!$A$4:$P$1203,5,0),"※编码不在物料档案里"))</f>
        <v/>
      </c>
      <c r="K1431" s="23" t="n"/>
      <c r="L1431" s="31" t="n"/>
      <c r="M1431" s="24">
        <f>IF($G1431="","",IF($D1431="A国内","CNY","TZS"))</f>
        <v/>
      </c>
      <c r="N1431" s="28">
        <f>IF($G1431="","",IF($D1431="A国内",汇率,1))</f>
        <v/>
      </c>
      <c r="O1431" s="25">
        <f>IF($G1431="","",ROUND(N($K1431)*N($L1431),2))</f>
        <v/>
      </c>
      <c r="P1431" s="26">
        <f>IF($G1431="","",ROUND($O1431*$N1431,0))</f>
        <v/>
      </c>
      <c r="Q1431" s="26">
        <f>IF($G1431="","",SUMIFS($P$4:$P$2503,$E$4:$E$2503,$E1431,$Z$4:$Z$2503,"正常"))</f>
        <v/>
      </c>
      <c r="R1431" s="26">
        <f>IF($G1431="","",SUMIFS(费用台账!$I$4:$I$503,费用台账!$C$4:$C$503,$E1431,费用台账!$J$4:$J$503,"是",费用台账!$K$4:$K$503,"正常"))</f>
        <v/>
      </c>
      <c r="S1431" s="28">
        <f>IF($G1431="","",COUNTIFS($E$4:$E$2503,$E1431,$Z$4:$Z$2503,"正常",$Y$4:$Y$2503,"待补价"))</f>
        <v/>
      </c>
      <c r="T1431" s="26">
        <f>IF($G1431="","",SUMIFS($P$4:$P$2503,$E$4:$E$2503,$E1431,$Z$4:$Z$2503,"正常",$A$4:$A$2503,"&lt;="&amp;$A1431))</f>
        <v/>
      </c>
      <c r="U1431" s="26">
        <f>IF($G1431="","",IF(OR($S1431&gt;0,$Q1431=0,$R1431=0,$Z1431&lt;&gt;"正常"),0,ROUND($T1431/$Q1431*$R1431,0)-ROUND(($T1431-$P1431)/$Q1431*$R1431,0)))</f>
        <v/>
      </c>
      <c r="V1431" s="26">
        <f>IF($G1431="","",ROUND($P1431+$U1431,0))</f>
        <v/>
      </c>
      <c r="W1431" s="26">
        <f>IF($G1431="","",IF(N($K1431)=0,0,ROUND($V1431/$K1431,2)))</f>
        <v/>
      </c>
      <c r="X1431" s="17" t="n"/>
      <c r="Y1431" s="17" t="n"/>
      <c r="Z1431" s="17" t="n"/>
      <c r="AA1431" s="17" t="n"/>
      <c r="AB1431" s="17" t="n"/>
      <c r="AC1431" s="24">
        <f>IF($G1431="","",IF($H1431="※编码不在物料档案里","※物料编码不在档案里",IF(N($K1431)&lt;=0,"※入库数量要大于 0",IF(AND($C1431&lt;&gt;"",$C1431&lt;=结账锁),"※日期早于已结账截止日，不能再录",IF(AND($L1431=0,$X1431="正常"),"※没填单价，价格状态请选「待补价」",IF(AND($S1431&gt;0,$R1431&gt;0),"△本批有 "&amp;$S1431&amp;" 行没单价，整批运费先挂账没摊",IF(AND($B1431&lt;&gt;"",COUNTIF($B$4:$B$2503,$B1431)&gt;1),"※入库单号重复","")))))))</f>
        <v/>
      </c>
    </row>
    <row r="1432">
      <c r="A1432" s="24">
        <f>IF($G1432="","",COUNTA($G$4:$G1432))</f>
        <v/>
      </c>
      <c r="B1432" s="17" t="n"/>
      <c r="C1432" s="30" t="n"/>
      <c r="D1432" s="17" t="n"/>
      <c r="E1432" s="17" t="n"/>
      <c r="F1432" s="17" t="n"/>
      <c r="G1432" s="17" t="n"/>
      <c r="H1432" s="24">
        <f>IF($G1432="","",IFERROR(VLOOKUP($G1432,物料档案!$A$4:$P$1203,3,0),"※编码不在物料档案里"))</f>
        <v/>
      </c>
      <c r="I1432" s="24">
        <f>IF($G1432="","",IFERROR(VLOOKUP($G1432,物料档案!$A$4:$P$1203,4,0),"※编码不在物料档案里"))</f>
        <v/>
      </c>
      <c r="J1432" s="24">
        <f>IF($G1432="","",IFERROR(VLOOKUP($G1432,物料档案!$A$4:$P$1203,5,0),"※编码不在物料档案里"))</f>
        <v/>
      </c>
      <c r="K1432" s="23" t="n"/>
      <c r="L1432" s="31" t="n"/>
      <c r="M1432" s="24">
        <f>IF($G1432="","",IF($D1432="A国内","CNY","TZS"))</f>
        <v/>
      </c>
      <c r="N1432" s="28">
        <f>IF($G1432="","",IF($D1432="A国内",汇率,1))</f>
        <v/>
      </c>
      <c r="O1432" s="25">
        <f>IF($G1432="","",ROUND(N($K1432)*N($L1432),2))</f>
        <v/>
      </c>
      <c r="P1432" s="26">
        <f>IF($G1432="","",ROUND($O1432*$N1432,0))</f>
        <v/>
      </c>
      <c r="Q1432" s="26">
        <f>IF($G1432="","",SUMIFS($P$4:$P$2503,$E$4:$E$2503,$E1432,$Z$4:$Z$2503,"正常"))</f>
        <v/>
      </c>
      <c r="R1432" s="26">
        <f>IF($G1432="","",SUMIFS(费用台账!$I$4:$I$503,费用台账!$C$4:$C$503,$E1432,费用台账!$J$4:$J$503,"是",费用台账!$K$4:$K$503,"正常"))</f>
        <v/>
      </c>
      <c r="S1432" s="28">
        <f>IF($G1432="","",COUNTIFS($E$4:$E$2503,$E1432,$Z$4:$Z$2503,"正常",$Y$4:$Y$2503,"待补价"))</f>
        <v/>
      </c>
      <c r="T1432" s="26">
        <f>IF($G1432="","",SUMIFS($P$4:$P$2503,$E$4:$E$2503,$E1432,$Z$4:$Z$2503,"正常",$A$4:$A$2503,"&lt;="&amp;$A1432))</f>
        <v/>
      </c>
      <c r="U1432" s="26">
        <f>IF($G1432="","",IF(OR($S1432&gt;0,$Q1432=0,$R1432=0,$Z1432&lt;&gt;"正常"),0,ROUND($T1432/$Q1432*$R1432,0)-ROUND(($T1432-$P1432)/$Q1432*$R1432,0)))</f>
        <v/>
      </c>
      <c r="V1432" s="26">
        <f>IF($G1432="","",ROUND($P1432+$U1432,0))</f>
        <v/>
      </c>
      <c r="W1432" s="26">
        <f>IF($G1432="","",IF(N($K1432)=0,0,ROUND($V1432/$K1432,2)))</f>
        <v/>
      </c>
      <c r="X1432" s="17" t="n"/>
      <c r="Y1432" s="17" t="n"/>
      <c r="Z1432" s="17" t="n"/>
      <c r="AA1432" s="17" t="n"/>
      <c r="AB1432" s="17" t="n"/>
      <c r="AC1432" s="24">
        <f>IF($G1432="","",IF($H1432="※编码不在物料档案里","※物料编码不在档案里",IF(N($K1432)&lt;=0,"※入库数量要大于 0",IF(AND($C1432&lt;&gt;"",$C1432&lt;=结账锁),"※日期早于已结账截止日，不能再录",IF(AND($L1432=0,$X1432="正常"),"※没填单价，价格状态请选「待补价」",IF(AND($S1432&gt;0,$R1432&gt;0),"△本批有 "&amp;$S1432&amp;" 行没单价，整批运费先挂账没摊",IF(AND($B1432&lt;&gt;"",COUNTIF($B$4:$B$2503,$B1432)&gt;1),"※入库单号重复","")))))))</f>
        <v/>
      </c>
    </row>
    <row r="1433">
      <c r="A1433" s="24">
        <f>IF($G1433="","",COUNTA($G$4:$G1433))</f>
        <v/>
      </c>
      <c r="B1433" s="17" t="n"/>
      <c r="C1433" s="30" t="n"/>
      <c r="D1433" s="17" t="n"/>
      <c r="E1433" s="17" t="n"/>
      <c r="F1433" s="17" t="n"/>
      <c r="G1433" s="17" t="n"/>
      <c r="H1433" s="24">
        <f>IF($G1433="","",IFERROR(VLOOKUP($G1433,物料档案!$A$4:$P$1203,3,0),"※编码不在物料档案里"))</f>
        <v/>
      </c>
      <c r="I1433" s="24">
        <f>IF($G1433="","",IFERROR(VLOOKUP($G1433,物料档案!$A$4:$P$1203,4,0),"※编码不在物料档案里"))</f>
        <v/>
      </c>
      <c r="J1433" s="24">
        <f>IF($G1433="","",IFERROR(VLOOKUP($G1433,物料档案!$A$4:$P$1203,5,0),"※编码不在物料档案里"))</f>
        <v/>
      </c>
      <c r="K1433" s="23" t="n"/>
      <c r="L1433" s="31" t="n"/>
      <c r="M1433" s="24">
        <f>IF($G1433="","",IF($D1433="A国内","CNY","TZS"))</f>
        <v/>
      </c>
      <c r="N1433" s="28">
        <f>IF($G1433="","",IF($D1433="A国内",汇率,1))</f>
        <v/>
      </c>
      <c r="O1433" s="25">
        <f>IF($G1433="","",ROUND(N($K1433)*N($L1433),2))</f>
        <v/>
      </c>
      <c r="P1433" s="26">
        <f>IF($G1433="","",ROUND($O1433*$N1433,0))</f>
        <v/>
      </c>
      <c r="Q1433" s="26">
        <f>IF($G1433="","",SUMIFS($P$4:$P$2503,$E$4:$E$2503,$E1433,$Z$4:$Z$2503,"正常"))</f>
        <v/>
      </c>
      <c r="R1433" s="26">
        <f>IF($G1433="","",SUMIFS(费用台账!$I$4:$I$503,费用台账!$C$4:$C$503,$E1433,费用台账!$J$4:$J$503,"是",费用台账!$K$4:$K$503,"正常"))</f>
        <v/>
      </c>
      <c r="S1433" s="28">
        <f>IF($G1433="","",COUNTIFS($E$4:$E$2503,$E1433,$Z$4:$Z$2503,"正常",$Y$4:$Y$2503,"待补价"))</f>
        <v/>
      </c>
      <c r="T1433" s="26">
        <f>IF($G1433="","",SUMIFS($P$4:$P$2503,$E$4:$E$2503,$E1433,$Z$4:$Z$2503,"正常",$A$4:$A$2503,"&lt;="&amp;$A1433))</f>
        <v/>
      </c>
      <c r="U1433" s="26">
        <f>IF($G1433="","",IF(OR($S1433&gt;0,$Q1433=0,$R1433=0,$Z1433&lt;&gt;"正常"),0,ROUND($T1433/$Q1433*$R1433,0)-ROUND(($T1433-$P1433)/$Q1433*$R1433,0)))</f>
        <v/>
      </c>
      <c r="V1433" s="26">
        <f>IF($G1433="","",ROUND($P1433+$U1433,0))</f>
        <v/>
      </c>
      <c r="W1433" s="26">
        <f>IF($G1433="","",IF(N($K1433)=0,0,ROUND($V1433/$K1433,2)))</f>
        <v/>
      </c>
      <c r="X1433" s="17" t="n"/>
      <c r="Y1433" s="17" t="n"/>
      <c r="Z1433" s="17" t="n"/>
      <c r="AA1433" s="17" t="n"/>
      <c r="AB1433" s="17" t="n"/>
      <c r="AC1433" s="24">
        <f>IF($G1433="","",IF($H1433="※编码不在物料档案里","※物料编码不在档案里",IF(N($K1433)&lt;=0,"※入库数量要大于 0",IF(AND($C1433&lt;&gt;"",$C1433&lt;=结账锁),"※日期早于已结账截止日，不能再录",IF(AND($L1433=0,$X1433="正常"),"※没填单价，价格状态请选「待补价」",IF(AND($S1433&gt;0,$R1433&gt;0),"△本批有 "&amp;$S1433&amp;" 行没单价，整批运费先挂账没摊",IF(AND($B1433&lt;&gt;"",COUNTIF($B$4:$B$2503,$B1433)&gt;1),"※入库单号重复","")))))))</f>
        <v/>
      </c>
    </row>
    <row r="1434">
      <c r="A1434" s="24">
        <f>IF($G1434="","",COUNTA($G$4:$G1434))</f>
        <v/>
      </c>
      <c r="B1434" s="17" t="n"/>
      <c r="C1434" s="30" t="n"/>
      <c r="D1434" s="17" t="n"/>
      <c r="E1434" s="17" t="n"/>
      <c r="F1434" s="17" t="n"/>
      <c r="G1434" s="17" t="n"/>
      <c r="H1434" s="24">
        <f>IF($G1434="","",IFERROR(VLOOKUP($G1434,物料档案!$A$4:$P$1203,3,0),"※编码不在物料档案里"))</f>
        <v/>
      </c>
      <c r="I1434" s="24">
        <f>IF($G1434="","",IFERROR(VLOOKUP($G1434,物料档案!$A$4:$P$1203,4,0),"※编码不在物料档案里"))</f>
        <v/>
      </c>
      <c r="J1434" s="24">
        <f>IF($G1434="","",IFERROR(VLOOKUP($G1434,物料档案!$A$4:$P$1203,5,0),"※编码不在物料档案里"))</f>
        <v/>
      </c>
      <c r="K1434" s="23" t="n"/>
      <c r="L1434" s="31" t="n"/>
      <c r="M1434" s="24">
        <f>IF($G1434="","",IF($D1434="A国内","CNY","TZS"))</f>
        <v/>
      </c>
      <c r="N1434" s="28">
        <f>IF($G1434="","",IF($D1434="A国内",汇率,1))</f>
        <v/>
      </c>
      <c r="O1434" s="25">
        <f>IF($G1434="","",ROUND(N($K1434)*N($L1434),2))</f>
        <v/>
      </c>
      <c r="P1434" s="26">
        <f>IF($G1434="","",ROUND($O1434*$N1434,0))</f>
        <v/>
      </c>
      <c r="Q1434" s="26">
        <f>IF($G1434="","",SUMIFS($P$4:$P$2503,$E$4:$E$2503,$E1434,$Z$4:$Z$2503,"正常"))</f>
        <v/>
      </c>
      <c r="R1434" s="26">
        <f>IF($G1434="","",SUMIFS(费用台账!$I$4:$I$503,费用台账!$C$4:$C$503,$E1434,费用台账!$J$4:$J$503,"是",费用台账!$K$4:$K$503,"正常"))</f>
        <v/>
      </c>
      <c r="S1434" s="28">
        <f>IF($G1434="","",COUNTIFS($E$4:$E$2503,$E1434,$Z$4:$Z$2503,"正常",$Y$4:$Y$2503,"待补价"))</f>
        <v/>
      </c>
      <c r="T1434" s="26">
        <f>IF($G1434="","",SUMIFS($P$4:$P$2503,$E$4:$E$2503,$E1434,$Z$4:$Z$2503,"正常",$A$4:$A$2503,"&lt;="&amp;$A1434))</f>
        <v/>
      </c>
      <c r="U1434" s="26">
        <f>IF($G1434="","",IF(OR($S1434&gt;0,$Q1434=0,$R1434=0,$Z1434&lt;&gt;"正常"),0,ROUND($T1434/$Q1434*$R1434,0)-ROUND(($T1434-$P1434)/$Q1434*$R1434,0)))</f>
        <v/>
      </c>
      <c r="V1434" s="26">
        <f>IF($G1434="","",ROUND($P1434+$U1434,0))</f>
        <v/>
      </c>
      <c r="W1434" s="26">
        <f>IF($G1434="","",IF(N($K1434)=0,0,ROUND($V1434/$K1434,2)))</f>
        <v/>
      </c>
      <c r="X1434" s="17" t="n"/>
      <c r="Y1434" s="17" t="n"/>
      <c r="Z1434" s="17" t="n"/>
      <c r="AA1434" s="17" t="n"/>
      <c r="AB1434" s="17" t="n"/>
      <c r="AC1434" s="24">
        <f>IF($G1434="","",IF($H1434="※编码不在物料档案里","※物料编码不在档案里",IF(N($K1434)&lt;=0,"※入库数量要大于 0",IF(AND($C1434&lt;&gt;"",$C1434&lt;=结账锁),"※日期早于已结账截止日，不能再录",IF(AND($L1434=0,$X1434="正常"),"※没填单价，价格状态请选「待补价」",IF(AND($S1434&gt;0,$R1434&gt;0),"△本批有 "&amp;$S1434&amp;" 行没单价，整批运费先挂账没摊",IF(AND($B1434&lt;&gt;"",COUNTIF($B$4:$B$2503,$B1434)&gt;1),"※入库单号重复","")))))))</f>
        <v/>
      </c>
    </row>
    <row r="1435">
      <c r="A1435" s="24">
        <f>IF($G1435="","",COUNTA($G$4:$G1435))</f>
        <v/>
      </c>
      <c r="B1435" s="17" t="n"/>
      <c r="C1435" s="30" t="n"/>
      <c r="D1435" s="17" t="n"/>
      <c r="E1435" s="17" t="n"/>
      <c r="F1435" s="17" t="n"/>
      <c r="G1435" s="17" t="n"/>
      <c r="H1435" s="24">
        <f>IF($G1435="","",IFERROR(VLOOKUP($G1435,物料档案!$A$4:$P$1203,3,0),"※编码不在物料档案里"))</f>
        <v/>
      </c>
      <c r="I1435" s="24">
        <f>IF($G1435="","",IFERROR(VLOOKUP($G1435,物料档案!$A$4:$P$1203,4,0),"※编码不在物料档案里"))</f>
        <v/>
      </c>
      <c r="J1435" s="24">
        <f>IF($G1435="","",IFERROR(VLOOKUP($G1435,物料档案!$A$4:$P$1203,5,0),"※编码不在物料档案里"))</f>
        <v/>
      </c>
      <c r="K1435" s="23" t="n"/>
      <c r="L1435" s="31" t="n"/>
      <c r="M1435" s="24">
        <f>IF($G1435="","",IF($D1435="A国内","CNY","TZS"))</f>
        <v/>
      </c>
      <c r="N1435" s="28">
        <f>IF($G1435="","",IF($D1435="A国内",汇率,1))</f>
        <v/>
      </c>
      <c r="O1435" s="25">
        <f>IF($G1435="","",ROUND(N($K1435)*N($L1435),2))</f>
        <v/>
      </c>
      <c r="P1435" s="26">
        <f>IF($G1435="","",ROUND($O1435*$N1435,0))</f>
        <v/>
      </c>
      <c r="Q1435" s="26">
        <f>IF($G1435="","",SUMIFS($P$4:$P$2503,$E$4:$E$2503,$E1435,$Z$4:$Z$2503,"正常"))</f>
        <v/>
      </c>
      <c r="R1435" s="26">
        <f>IF($G1435="","",SUMIFS(费用台账!$I$4:$I$503,费用台账!$C$4:$C$503,$E1435,费用台账!$J$4:$J$503,"是",费用台账!$K$4:$K$503,"正常"))</f>
        <v/>
      </c>
      <c r="S1435" s="28">
        <f>IF($G1435="","",COUNTIFS($E$4:$E$2503,$E1435,$Z$4:$Z$2503,"正常",$Y$4:$Y$2503,"待补价"))</f>
        <v/>
      </c>
      <c r="T1435" s="26">
        <f>IF($G1435="","",SUMIFS($P$4:$P$2503,$E$4:$E$2503,$E1435,$Z$4:$Z$2503,"正常",$A$4:$A$2503,"&lt;="&amp;$A1435))</f>
        <v/>
      </c>
      <c r="U1435" s="26">
        <f>IF($G1435="","",IF(OR($S1435&gt;0,$Q1435=0,$R1435=0,$Z1435&lt;&gt;"正常"),0,ROUND($T1435/$Q1435*$R1435,0)-ROUND(($T1435-$P1435)/$Q1435*$R1435,0)))</f>
        <v/>
      </c>
      <c r="V1435" s="26">
        <f>IF($G1435="","",ROUND($P1435+$U1435,0))</f>
        <v/>
      </c>
      <c r="W1435" s="26">
        <f>IF($G1435="","",IF(N($K1435)=0,0,ROUND($V1435/$K1435,2)))</f>
        <v/>
      </c>
      <c r="X1435" s="17" t="n"/>
      <c r="Y1435" s="17" t="n"/>
      <c r="Z1435" s="17" t="n"/>
      <c r="AA1435" s="17" t="n"/>
      <c r="AB1435" s="17" t="n"/>
      <c r="AC1435" s="24">
        <f>IF($G1435="","",IF($H1435="※编码不在物料档案里","※物料编码不在档案里",IF(N($K1435)&lt;=0,"※入库数量要大于 0",IF(AND($C1435&lt;&gt;"",$C1435&lt;=结账锁),"※日期早于已结账截止日，不能再录",IF(AND($L1435=0,$X1435="正常"),"※没填单价，价格状态请选「待补价」",IF(AND($S1435&gt;0,$R1435&gt;0),"△本批有 "&amp;$S1435&amp;" 行没单价，整批运费先挂账没摊",IF(AND($B1435&lt;&gt;"",COUNTIF($B$4:$B$2503,$B1435)&gt;1),"※入库单号重复","")))))))</f>
        <v/>
      </c>
    </row>
    <row r="1436">
      <c r="A1436" s="24">
        <f>IF($G1436="","",COUNTA($G$4:$G1436))</f>
        <v/>
      </c>
      <c r="B1436" s="17" t="n"/>
      <c r="C1436" s="30" t="n"/>
      <c r="D1436" s="17" t="n"/>
      <c r="E1436" s="17" t="n"/>
      <c r="F1436" s="17" t="n"/>
      <c r="G1436" s="17" t="n"/>
      <c r="H1436" s="24">
        <f>IF($G1436="","",IFERROR(VLOOKUP($G1436,物料档案!$A$4:$P$1203,3,0),"※编码不在物料档案里"))</f>
        <v/>
      </c>
      <c r="I1436" s="24">
        <f>IF($G1436="","",IFERROR(VLOOKUP($G1436,物料档案!$A$4:$P$1203,4,0),"※编码不在物料档案里"))</f>
        <v/>
      </c>
      <c r="J1436" s="24">
        <f>IF($G1436="","",IFERROR(VLOOKUP($G1436,物料档案!$A$4:$P$1203,5,0),"※编码不在物料档案里"))</f>
        <v/>
      </c>
      <c r="K1436" s="23" t="n"/>
      <c r="L1436" s="31" t="n"/>
      <c r="M1436" s="24">
        <f>IF($G1436="","",IF($D1436="A国内","CNY","TZS"))</f>
        <v/>
      </c>
      <c r="N1436" s="28">
        <f>IF($G1436="","",IF($D1436="A国内",汇率,1))</f>
        <v/>
      </c>
      <c r="O1436" s="25">
        <f>IF($G1436="","",ROUND(N($K1436)*N($L1436),2))</f>
        <v/>
      </c>
      <c r="P1436" s="26">
        <f>IF($G1436="","",ROUND($O1436*$N1436,0))</f>
        <v/>
      </c>
      <c r="Q1436" s="26">
        <f>IF($G1436="","",SUMIFS($P$4:$P$2503,$E$4:$E$2503,$E1436,$Z$4:$Z$2503,"正常"))</f>
        <v/>
      </c>
      <c r="R1436" s="26">
        <f>IF($G1436="","",SUMIFS(费用台账!$I$4:$I$503,费用台账!$C$4:$C$503,$E1436,费用台账!$J$4:$J$503,"是",费用台账!$K$4:$K$503,"正常"))</f>
        <v/>
      </c>
      <c r="S1436" s="28">
        <f>IF($G1436="","",COUNTIFS($E$4:$E$2503,$E1436,$Z$4:$Z$2503,"正常",$Y$4:$Y$2503,"待补价"))</f>
        <v/>
      </c>
      <c r="T1436" s="26">
        <f>IF($G1436="","",SUMIFS($P$4:$P$2503,$E$4:$E$2503,$E1436,$Z$4:$Z$2503,"正常",$A$4:$A$2503,"&lt;="&amp;$A1436))</f>
        <v/>
      </c>
      <c r="U1436" s="26">
        <f>IF($G1436="","",IF(OR($S1436&gt;0,$Q1436=0,$R1436=0,$Z1436&lt;&gt;"正常"),0,ROUND($T1436/$Q1436*$R1436,0)-ROUND(($T1436-$P1436)/$Q1436*$R1436,0)))</f>
        <v/>
      </c>
      <c r="V1436" s="26">
        <f>IF($G1436="","",ROUND($P1436+$U1436,0))</f>
        <v/>
      </c>
      <c r="W1436" s="26">
        <f>IF($G1436="","",IF(N($K1436)=0,0,ROUND($V1436/$K1436,2)))</f>
        <v/>
      </c>
      <c r="X1436" s="17" t="n"/>
      <c r="Y1436" s="17" t="n"/>
      <c r="Z1436" s="17" t="n"/>
      <c r="AA1436" s="17" t="n"/>
      <c r="AB1436" s="17" t="n"/>
      <c r="AC1436" s="24">
        <f>IF($G1436="","",IF($H1436="※编码不在物料档案里","※物料编码不在档案里",IF(N($K1436)&lt;=0,"※入库数量要大于 0",IF(AND($C1436&lt;&gt;"",$C1436&lt;=结账锁),"※日期早于已结账截止日，不能再录",IF(AND($L1436=0,$X1436="正常"),"※没填单价，价格状态请选「待补价」",IF(AND($S1436&gt;0,$R1436&gt;0),"△本批有 "&amp;$S1436&amp;" 行没单价，整批运费先挂账没摊",IF(AND($B1436&lt;&gt;"",COUNTIF($B$4:$B$2503,$B1436)&gt;1),"※入库单号重复","")))))))</f>
        <v/>
      </c>
    </row>
    <row r="1437">
      <c r="A1437" s="24">
        <f>IF($G1437="","",COUNTA($G$4:$G1437))</f>
        <v/>
      </c>
      <c r="B1437" s="17" t="n"/>
      <c r="C1437" s="30" t="n"/>
      <c r="D1437" s="17" t="n"/>
      <c r="E1437" s="17" t="n"/>
      <c r="F1437" s="17" t="n"/>
      <c r="G1437" s="17" t="n"/>
      <c r="H1437" s="24">
        <f>IF($G1437="","",IFERROR(VLOOKUP($G1437,物料档案!$A$4:$P$1203,3,0),"※编码不在物料档案里"))</f>
        <v/>
      </c>
      <c r="I1437" s="24">
        <f>IF($G1437="","",IFERROR(VLOOKUP($G1437,物料档案!$A$4:$P$1203,4,0),"※编码不在物料档案里"))</f>
        <v/>
      </c>
      <c r="J1437" s="24">
        <f>IF($G1437="","",IFERROR(VLOOKUP($G1437,物料档案!$A$4:$P$1203,5,0),"※编码不在物料档案里"))</f>
        <v/>
      </c>
      <c r="K1437" s="23" t="n"/>
      <c r="L1437" s="31" t="n"/>
      <c r="M1437" s="24">
        <f>IF($G1437="","",IF($D1437="A国内","CNY","TZS"))</f>
        <v/>
      </c>
      <c r="N1437" s="28">
        <f>IF($G1437="","",IF($D1437="A国内",汇率,1))</f>
        <v/>
      </c>
      <c r="O1437" s="25">
        <f>IF($G1437="","",ROUND(N($K1437)*N($L1437),2))</f>
        <v/>
      </c>
      <c r="P1437" s="26">
        <f>IF($G1437="","",ROUND($O1437*$N1437,0))</f>
        <v/>
      </c>
      <c r="Q1437" s="26">
        <f>IF($G1437="","",SUMIFS($P$4:$P$2503,$E$4:$E$2503,$E1437,$Z$4:$Z$2503,"正常"))</f>
        <v/>
      </c>
      <c r="R1437" s="26">
        <f>IF($G1437="","",SUMIFS(费用台账!$I$4:$I$503,费用台账!$C$4:$C$503,$E1437,费用台账!$J$4:$J$503,"是",费用台账!$K$4:$K$503,"正常"))</f>
        <v/>
      </c>
      <c r="S1437" s="28">
        <f>IF($G1437="","",COUNTIFS($E$4:$E$2503,$E1437,$Z$4:$Z$2503,"正常",$Y$4:$Y$2503,"待补价"))</f>
        <v/>
      </c>
      <c r="T1437" s="26">
        <f>IF($G1437="","",SUMIFS($P$4:$P$2503,$E$4:$E$2503,$E1437,$Z$4:$Z$2503,"正常",$A$4:$A$2503,"&lt;="&amp;$A1437))</f>
        <v/>
      </c>
      <c r="U1437" s="26">
        <f>IF($G1437="","",IF(OR($S1437&gt;0,$Q1437=0,$R1437=0,$Z1437&lt;&gt;"正常"),0,ROUND($T1437/$Q1437*$R1437,0)-ROUND(($T1437-$P1437)/$Q1437*$R1437,0)))</f>
        <v/>
      </c>
      <c r="V1437" s="26">
        <f>IF($G1437="","",ROUND($P1437+$U1437,0))</f>
        <v/>
      </c>
      <c r="W1437" s="26">
        <f>IF($G1437="","",IF(N($K1437)=0,0,ROUND($V1437/$K1437,2)))</f>
        <v/>
      </c>
      <c r="X1437" s="17" t="n"/>
      <c r="Y1437" s="17" t="n"/>
      <c r="Z1437" s="17" t="n"/>
      <c r="AA1437" s="17" t="n"/>
      <c r="AB1437" s="17" t="n"/>
      <c r="AC1437" s="24">
        <f>IF($G1437="","",IF($H1437="※编码不在物料档案里","※物料编码不在档案里",IF(N($K1437)&lt;=0,"※入库数量要大于 0",IF(AND($C1437&lt;&gt;"",$C1437&lt;=结账锁),"※日期早于已结账截止日，不能再录",IF(AND($L1437=0,$X1437="正常"),"※没填单价，价格状态请选「待补价」",IF(AND($S1437&gt;0,$R1437&gt;0),"△本批有 "&amp;$S1437&amp;" 行没单价，整批运费先挂账没摊",IF(AND($B1437&lt;&gt;"",COUNTIF($B$4:$B$2503,$B1437)&gt;1),"※入库单号重复","")))))))</f>
        <v/>
      </c>
    </row>
    <row r="1438">
      <c r="A1438" s="24">
        <f>IF($G1438="","",COUNTA($G$4:$G1438))</f>
        <v/>
      </c>
      <c r="B1438" s="17" t="n"/>
      <c r="C1438" s="30" t="n"/>
      <c r="D1438" s="17" t="n"/>
      <c r="E1438" s="17" t="n"/>
      <c r="F1438" s="17" t="n"/>
      <c r="G1438" s="17" t="n"/>
      <c r="H1438" s="24">
        <f>IF($G1438="","",IFERROR(VLOOKUP($G1438,物料档案!$A$4:$P$1203,3,0),"※编码不在物料档案里"))</f>
        <v/>
      </c>
      <c r="I1438" s="24">
        <f>IF($G1438="","",IFERROR(VLOOKUP($G1438,物料档案!$A$4:$P$1203,4,0),"※编码不在物料档案里"))</f>
        <v/>
      </c>
      <c r="J1438" s="24">
        <f>IF($G1438="","",IFERROR(VLOOKUP($G1438,物料档案!$A$4:$P$1203,5,0),"※编码不在物料档案里"))</f>
        <v/>
      </c>
      <c r="K1438" s="23" t="n"/>
      <c r="L1438" s="31" t="n"/>
      <c r="M1438" s="24">
        <f>IF($G1438="","",IF($D1438="A国内","CNY","TZS"))</f>
        <v/>
      </c>
      <c r="N1438" s="28">
        <f>IF($G1438="","",IF($D1438="A国内",汇率,1))</f>
        <v/>
      </c>
      <c r="O1438" s="25">
        <f>IF($G1438="","",ROUND(N($K1438)*N($L1438),2))</f>
        <v/>
      </c>
      <c r="P1438" s="26">
        <f>IF($G1438="","",ROUND($O1438*$N1438,0))</f>
        <v/>
      </c>
      <c r="Q1438" s="26">
        <f>IF($G1438="","",SUMIFS($P$4:$P$2503,$E$4:$E$2503,$E1438,$Z$4:$Z$2503,"正常"))</f>
        <v/>
      </c>
      <c r="R1438" s="26">
        <f>IF($G1438="","",SUMIFS(费用台账!$I$4:$I$503,费用台账!$C$4:$C$503,$E1438,费用台账!$J$4:$J$503,"是",费用台账!$K$4:$K$503,"正常"))</f>
        <v/>
      </c>
      <c r="S1438" s="28">
        <f>IF($G1438="","",COUNTIFS($E$4:$E$2503,$E1438,$Z$4:$Z$2503,"正常",$Y$4:$Y$2503,"待补价"))</f>
        <v/>
      </c>
      <c r="T1438" s="26">
        <f>IF($G1438="","",SUMIFS($P$4:$P$2503,$E$4:$E$2503,$E1438,$Z$4:$Z$2503,"正常",$A$4:$A$2503,"&lt;="&amp;$A1438))</f>
        <v/>
      </c>
      <c r="U1438" s="26">
        <f>IF($G1438="","",IF(OR($S1438&gt;0,$Q1438=0,$R1438=0,$Z1438&lt;&gt;"正常"),0,ROUND($T1438/$Q1438*$R1438,0)-ROUND(($T1438-$P1438)/$Q1438*$R1438,0)))</f>
        <v/>
      </c>
      <c r="V1438" s="26">
        <f>IF($G1438="","",ROUND($P1438+$U1438,0))</f>
        <v/>
      </c>
      <c r="W1438" s="26">
        <f>IF($G1438="","",IF(N($K1438)=0,0,ROUND($V1438/$K1438,2)))</f>
        <v/>
      </c>
      <c r="X1438" s="17" t="n"/>
      <c r="Y1438" s="17" t="n"/>
      <c r="Z1438" s="17" t="n"/>
      <c r="AA1438" s="17" t="n"/>
      <c r="AB1438" s="17" t="n"/>
      <c r="AC1438" s="24">
        <f>IF($G1438="","",IF($H1438="※编码不在物料档案里","※物料编码不在档案里",IF(N($K1438)&lt;=0,"※入库数量要大于 0",IF(AND($C1438&lt;&gt;"",$C1438&lt;=结账锁),"※日期早于已结账截止日，不能再录",IF(AND($L1438=0,$X1438="正常"),"※没填单价，价格状态请选「待补价」",IF(AND($S1438&gt;0,$R1438&gt;0),"△本批有 "&amp;$S1438&amp;" 行没单价，整批运费先挂账没摊",IF(AND($B1438&lt;&gt;"",COUNTIF($B$4:$B$2503,$B1438)&gt;1),"※入库单号重复","")))))))</f>
        <v/>
      </c>
    </row>
    <row r="1439">
      <c r="A1439" s="24">
        <f>IF($G1439="","",COUNTA($G$4:$G1439))</f>
        <v/>
      </c>
      <c r="B1439" s="17" t="n"/>
      <c r="C1439" s="30" t="n"/>
      <c r="D1439" s="17" t="n"/>
      <c r="E1439" s="17" t="n"/>
      <c r="F1439" s="17" t="n"/>
      <c r="G1439" s="17" t="n"/>
      <c r="H1439" s="24">
        <f>IF($G1439="","",IFERROR(VLOOKUP($G1439,物料档案!$A$4:$P$1203,3,0),"※编码不在物料档案里"))</f>
        <v/>
      </c>
      <c r="I1439" s="24">
        <f>IF($G1439="","",IFERROR(VLOOKUP($G1439,物料档案!$A$4:$P$1203,4,0),"※编码不在物料档案里"))</f>
        <v/>
      </c>
      <c r="J1439" s="24">
        <f>IF($G1439="","",IFERROR(VLOOKUP($G1439,物料档案!$A$4:$P$1203,5,0),"※编码不在物料档案里"))</f>
        <v/>
      </c>
      <c r="K1439" s="23" t="n"/>
      <c r="L1439" s="31" t="n"/>
      <c r="M1439" s="24">
        <f>IF($G1439="","",IF($D1439="A国内","CNY","TZS"))</f>
        <v/>
      </c>
      <c r="N1439" s="28">
        <f>IF($G1439="","",IF($D1439="A国内",汇率,1))</f>
        <v/>
      </c>
      <c r="O1439" s="25">
        <f>IF($G1439="","",ROUND(N($K1439)*N($L1439),2))</f>
        <v/>
      </c>
      <c r="P1439" s="26">
        <f>IF($G1439="","",ROUND($O1439*$N1439,0))</f>
        <v/>
      </c>
      <c r="Q1439" s="26">
        <f>IF($G1439="","",SUMIFS($P$4:$P$2503,$E$4:$E$2503,$E1439,$Z$4:$Z$2503,"正常"))</f>
        <v/>
      </c>
      <c r="R1439" s="26">
        <f>IF($G1439="","",SUMIFS(费用台账!$I$4:$I$503,费用台账!$C$4:$C$503,$E1439,费用台账!$J$4:$J$503,"是",费用台账!$K$4:$K$503,"正常"))</f>
        <v/>
      </c>
      <c r="S1439" s="28">
        <f>IF($G1439="","",COUNTIFS($E$4:$E$2503,$E1439,$Z$4:$Z$2503,"正常",$Y$4:$Y$2503,"待补价"))</f>
        <v/>
      </c>
      <c r="T1439" s="26">
        <f>IF($G1439="","",SUMIFS($P$4:$P$2503,$E$4:$E$2503,$E1439,$Z$4:$Z$2503,"正常",$A$4:$A$2503,"&lt;="&amp;$A1439))</f>
        <v/>
      </c>
      <c r="U1439" s="26">
        <f>IF($G1439="","",IF(OR($S1439&gt;0,$Q1439=0,$R1439=0,$Z1439&lt;&gt;"正常"),0,ROUND($T1439/$Q1439*$R1439,0)-ROUND(($T1439-$P1439)/$Q1439*$R1439,0)))</f>
        <v/>
      </c>
      <c r="V1439" s="26">
        <f>IF($G1439="","",ROUND($P1439+$U1439,0))</f>
        <v/>
      </c>
      <c r="W1439" s="26">
        <f>IF($G1439="","",IF(N($K1439)=0,0,ROUND($V1439/$K1439,2)))</f>
        <v/>
      </c>
      <c r="X1439" s="17" t="n"/>
      <c r="Y1439" s="17" t="n"/>
      <c r="Z1439" s="17" t="n"/>
      <c r="AA1439" s="17" t="n"/>
      <c r="AB1439" s="17" t="n"/>
      <c r="AC1439" s="24">
        <f>IF($G1439="","",IF($H1439="※编码不在物料档案里","※物料编码不在档案里",IF(N($K1439)&lt;=0,"※入库数量要大于 0",IF(AND($C1439&lt;&gt;"",$C1439&lt;=结账锁),"※日期早于已结账截止日，不能再录",IF(AND($L1439=0,$X1439="正常"),"※没填单价，价格状态请选「待补价」",IF(AND($S1439&gt;0,$R1439&gt;0),"△本批有 "&amp;$S1439&amp;" 行没单价，整批运费先挂账没摊",IF(AND($B1439&lt;&gt;"",COUNTIF($B$4:$B$2503,$B1439)&gt;1),"※入库单号重复","")))))))</f>
        <v/>
      </c>
    </row>
    <row r="1440">
      <c r="A1440" s="24">
        <f>IF($G1440="","",COUNTA($G$4:$G1440))</f>
        <v/>
      </c>
      <c r="B1440" s="17" t="n"/>
      <c r="C1440" s="30" t="n"/>
      <c r="D1440" s="17" t="n"/>
      <c r="E1440" s="17" t="n"/>
      <c r="F1440" s="17" t="n"/>
      <c r="G1440" s="17" t="n"/>
      <c r="H1440" s="24">
        <f>IF($G1440="","",IFERROR(VLOOKUP($G1440,物料档案!$A$4:$P$1203,3,0),"※编码不在物料档案里"))</f>
        <v/>
      </c>
      <c r="I1440" s="24">
        <f>IF($G1440="","",IFERROR(VLOOKUP($G1440,物料档案!$A$4:$P$1203,4,0),"※编码不在物料档案里"))</f>
        <v/>
      </c>
      <c r="J1440" s="24">
        <f>IF($G1440="","",IFERROR(VLOOKUP($G1440,物料档案!$A$4:$P$1203,5,0),"※编码不在物料档案里"))</f>
        <v/>
      </c>
      <c r="K1440" s="23" t="n"/>
      <c r="L1440" s="31" t="n"/>
      <c r="M1440" s="24">
        <f>IF($G1440="","",IF($D1440="A国内","CNY","TZS"))</f>
        <v/>
      </c>
      <c r="N1440" s="28">
        <f>IF($G1440="","",IF($D1440="A国内",汇率,1))</f>
        <v/>
      </c>
      <c r="O1440" s="25">
        <f>IF($G1440="","",ROUND(N($K1440)*N($L1440),2))</f>
        <v/>
      </c>
      <c r="P1440" s="26">
        <f>IF($G1440="","",ROUND($O1440*$N1440,0))</f>
        <v/>
      </c>
      <c r="Q1440" s="26">
        <f>IF($G1440="","",SUMIFS($P$4:$P$2503,$E$4:$E$2503,$E1440,$Z$4:$Z$2503,"正常"))</f>
        <v/>
      </c>
      <c r="R1440" s="26">
        <f>IF($G1440="","",SUMIFS(费用台账!$I$4:$I$503,费用台账!$C$4:$C$503,$E1440,费用台账!$J$4:$J$503,"是",费用台账!$K$4:$K$503,"正常"))</f>
        <v/>
      </c>
      <c r="S1440" s="28">
        <f>IF($G1440="","",COUNTIFS($E$4:$E$2503,$E1440,$Z$4:$Z$2503,"正常",$Y$4:$Y$2503,"待补价"))</f>
        <v/>
      </c>
      <c r="T1440" s="26">
        <f>IF($G1440="","",SUMIFS($P$4:$P$2503,$E$4:$E$2503,$E1440,$Z$4:$Z$2503,"正常",$A$4:$A$2503,"&lt;="&amp;$A1440))</f>
        <v/>
      </c>
      <c r="U1440" s="26">
        <f>IF($G1440="","",IF(OR($S1440&gt;0,$Q1440=0,$R1440=0,$Z1440&lt;&gt;"正常"),0,ROUND($T1440/$Q1440*$R1440,0)-ROUND(($T1440-$P1440)/$Q1440*$R1440,0)))</f>
        <v/>
      </c>
      <c r="V1440" s="26">
        <f>IF($G1440="","",ROUND($P1440+$U1440,0))</f>
        <v/>
      </c>
      <c r="W1440" s="26">
        <f>IF($G1440="","",IF(N($K1440)=0,0,ROUND($V1440/$K1440,2)))</f>
        <v/>
      </c>
      <c r="X1440" s="17" t="n"/>
      <c r="Y1440" s="17" t="n"/>
      <c r="Z1440" s="17" t="n"/>
      <c r="AA1440" s="17" t="n"/>
      <c r="AB1440" s="17" t="n"/>
      <c r="AC1440" s="24">
        <f>IF($G1440="","",IF($H1440="※编码不在物料档案里","※物料编码不在档案里",IF(N($K1440)&lt;=0,"※入库数量要大于 0",IF(AND($C1440&lt;&gt;"",$C1440&lt;=结账锁),"※日期早于已结账截止日，不能再录",IF(AND($L1440=0,$X1440="正常"),"※没填单价，价格状态请选「待补价」",IF(AND($S1440&gt;0,$R1440&gt;0),"△本批有 "&amp;$S1440&amp;" 行没单价，整批运费先挂账没摊",IF(AND($B1440&lt;&gt;"",COUNTIF($B$4:$B$2503,$B1440)&gt;1),"※入库单号重复","")))))))</f>
        <v/>
      </c>
    </row>
    <row r="1441">
      <c r="A1441" s="24">
        <f>IF($G1441="","",COUNTA($G$4:$G1441))</f>
        <v/>
      </c>
      <c r="B1441" s="17" t="n"/>
      <c r="C1441" s="30" t="n"/>
      <c r="D1441" s="17" t="n"/>
      <c r="E1441" s="17" t="n"/>
      <c r="F1441" s="17" t="n"/>
      <c r="G1441" s="17" t="n"/>
      <c r="H1441" s="24">
        <f>IF($G1441="","",IFERROR(VLOOKUP($G1441,物料档案!$A$4:$P$1203,3,0),"※编码不在物料档案里"))</f>
        <v/>
      </c>
      <c r="I1441" s="24">
        <f>IF($G1441="","",IFERROR(VLOOKUP($G1441,物料档案!$A$4:$P$1203,4,0),"※编码不在物料档案里"))</f>
        <v/>
      </c>
      <c r="J1441" s="24">
        <f>IF($G1441="","",IFERROR(VLOOKUP($G1441,物料档案!$A$4:$P$1203,5,0),"※编码不在物料档案里"))</f>
        <v/>
      </c>
      <c r="K1441" s="23" t="n"/>
      <c r="L1441" s="31" t="n"/>
      <c r="M1441" s="24">
        <f>IF($G1441="","",IF($D1441="A国内","CNY","TZS"))</f>
        <v/>
      </c>
      <c r="N1441" s="28">
        <f>IF($G1441="","",IF($D1441="A国内",汇率,1))</f>
        <v/>
      </c>
      <c r="O1441" s="25">
        <f>IF($G1441="","",ROUND(N($K1441)*N($L1441),2))</f>
        <v/>
      </c>
      <c r="P1441" s="26">
        <f>IF($G1441="","",ROUND($O1441*$N1441,0))</f>
        <v/>
      </c>
      <c r="Q1441" s="26">
        <f>IF($G1441="","",SUMIFS($P$4:$P$2503,$E$4:$E$2503,$E1441,$Z$4:$Z$2503,"正常"))</f>
        <v/>
      </c>
      <c r="R1441" s="26">
        <f>IF($G1441="","",SUMIFS(费用台账!$I$4:$I$503,费用台账!$C$4:$C$503,$E1441,费用台账!$J$4:$J$503,"是",费用台账!$K$4:$K$503,"正常"))</f>
        <v/>
      </c>
      <c r="S1441" s="28">
        <f>IF($G1441="","",COUNTIFS($E$4:$E$2503,$E1441,$Z$4:$Z$2503,"正常",$Y$4:$Y$2503,"待补价"))</f>
        <v/>
      </c>
      <c r="T1441" s="26">
        <f>IF($G1441="","",SUMIFS($P$4:$P$2503,$E$4:$E$2503,$E1441,$Z$4:$Z$2503,"正常",$A$4:$A$2503,"&lt;="&amp;$A1441))</f>
        <v/>
      </c>
      <c r="U1441" s="26">
        <f>IF($G1441="","",IF(OR($S1441&gt;0,$Q1441=0,$R1441=0,$Z1441&lt;&gt;"正常"),0,ROUND($T1441/$Q1441*$R1441,0)-ROUND(($T1441-$P1441)/$Q1441*$R1441,0)))</f>
        <v/>
      </c>
      <c r="V1441" s="26">
        <f>IF($G1441="","",ROUND($P1441+$U1441,0))</f>
        <v/>
      </c>
      <c r="W1441" s="26">
        <f>IF($G1441="","",IF(N($K1441)=0,0,ROUND($V1441/$K1441,2)))</f>
        <v/>
      </c>
      <c r="X1441" s="17" t="n"/>
      <c r="Y1441" s="17" t="n"/>
      <c r="Z1441" s="17" t="n"/>
      <c r="AA1441" s="17" t="n"/>
      <c r="AB1441" s="17" t="n"/>
      <c r="AC1441" s="24">
        <f>IF($G1441="","",IF($H1441="※编码不在物料档案里","※物料编码不在档案里",IF(N($K1441)&lt;=0,"※入库数量要大于 0",IF(AND($C1441&lt;&gt;"",$C1441&lt;=结账锁),"※日期早于已结账截止日，不能再录",IF(AND($L1441=0,$X1441="正常"),"※没填单价，价格状态请选「待补价」",IF(AND($S1441&gt;0,$R1441&gt;0),"△本批有 "&amp;$S1441&amp;" 行没单价，整批运费先挂账没摊",IF(AND($B1441&lt;&gt;"",COUNTIF($B$4:$B$2503,$B1441)&gt;1),"※入库单号重复","")))))))</f>
        <v/>
      </c>
    </row>
    <row r="1442">
      <c r="A1442" s="24">
        <f>IF($G1442="","",COUNTA($G$4:$G1442))</f>
        <v/>
      </c>
      <c r="B1442" s="17" t="n"/>
      <c r="C1442" s="30" t="n"/>
      <c r="D1442" s="17" t="n"/>
      <c r="E1442" s="17" t="n"/>
      <c r="F1442" s="17" t="n"/>
      <c r="G1442" s="17" t="n"/>
      <c r="H1442" s="24">
        <f>IF($G1442="","",IFERROR(VLOOKUP($G1442,物料档案!$A$4:$P$1203,3,0),"※编码不在物料档案里"))</f>
        <v/>
      </c>
      <c r="I1442" s="24">
        <f>IF($G1442="","",IFERROR(VLOOKUP($G1442,物料档案!$A$4:$P$1203,4,0),"※编码不在物料档案里"))</f>
        <v/>
      </c>
      <c r="J1442" s="24">
        <f>IF($G1442="","",IFERROR(VLOOKUP($G1442,物料档案!$A$4:$P$1203,5,0),"※编码不在物料档案里"))</f>
        <v/>
      </c>
      <c r="K1442" s="23" t="n"/>
      <c r="L1442" s="31" t="n"/>
      <c r="M1442" s="24">
        <f>IF($G1442="","",IF($D1442="A国内","CNY","TZS"))</f>
        <v/>
      </c>
      <c r="N1442" s="28">
        <f>IF($G1442="","",IF($D1442="A国内",汇率,1))</f>
        <v/>
      </c>
      <c r="O1442" s="25">
        <f>IF($G1442="","",ROUND(N($K1442)*N($L1442),2))</f>
        <v/>
      </c>
      <c r="P1442" s="26">
        <f>IF($G1442="","",ROUND($O1442*$N1442,0))</f>
        <v/>
      </c>
      <c r="Q1442" s="26">
        <f>IF($G1442="","",SUMIFS($P$4:$P$2503,$E$4:$E$2503,$E1442,$Z$4:$Z$2503,"正常"))</f>
        <v/>
      </c>
      <c r="R1442" s="26">
        <f>IF($G1442="","",SUMIFS(费用台账!$I$4:$I$503,费用台账!$C$4:$C$503,$E1442,费用台账!$J$4:$J$503,"是",费用台账!$K$4:$K$503,"正常"))</f>
        <v/>
      </c>
      <c r="S1442" s="28">
        <f>IF($G1442="","",COUNTIFS($E$4:$E$2503,$E1442,$Z$4:$Z$2503,"正常",$Y$4:$Y$2503,"待补价"))</f>
        <v/>
      </c>
      <c r="T1442" s="26">
        <f>IF($G1442="","",SUMIFS($P$4:$P$2503,$E$4:$E$2503,$E1442,$Z$4:$Z$2503,"正常",$A$4:$A$2503,"&lt;="&amp;$A1442))</f>
        <v/>
      </c>
      <c r="U1442" s="26">
        <f>IF($G1442="","",IF(OR($S1442&gt;0,$Q1442=0,$R1442=0,$Z1442&lt;&gt;"正常"),0,ROUND($T1442/$Q1442*$R1442,0)-ROUND(($T1442-$P1442)/$Q1442*$R1442,0)))</f>
        <v/>
      </c>
      <c r="V1442" s="26">
        <f>IF($G1442="","",ROUND($P1442+$U1442,0))</f>
        <v/>
      </c>
      <c r="W1442" s="26">
        <f>IF($G1442="","",IF(N($K1442)=0,0,ROUND($V1442/$K1442,2)))</f>
        <v/>
      </c>
      <c r="X1442" s="17" t="n"/>
      <c r="Y1442" s="17" t="n"/>
      <c r="Z1442" s="17" t="n"/>
      <c r="AA1442" s="17" t="n"/>
      <c r="AB1442" s="17" t="n"/>
      <c r="AC1442" s="24">
        <f>IF($G1442="","",IF($H1442="※编码不在物料档案里","※物料编码不在档案里",IF(N($K1442)&lt;=0,"※入库数量要大于 0",IF(AND($C1442&lt;&gt;"",$C1442&lt;=结账锁),"※日期早于已结账截止日，不能再录",IF(AND($L1442=0,$X1442="正常"),"※没填单价，价格状态请选「待补价」",IF(AND($S1442&gt;0,$R1442&gt;0),"△本批有 "&amp;$S1442&amp;" 行没单价，整批运费先挂账没摊",IF(AND($B1442&lt;&gt;"",COUNTIF($B$4:$B$2503,$B1442)&gt;1),"※入库单号重复","")))))))</f>
        <v/>
      </c>
    </row>
    <row r="1443">
      <c r="A1443" s="24">
        <f>IF($G1443="","",COUNTA($G$4:$G1443))</f>
        <v/>
      </c>
      <c r="B1443" s="17" t="n"/>
      <c r="C1443" s="30" t="n"/>
      <c r="D1443" s="17" t="n"/>
      <c r="E1443" s="17" t="n"/>
      <c r="F1443" s="17" t="n"/>
      <c r="G1443" s="17" t="n"/>
      <c r="H1443" s="24">
        <f>IF($G1443="","",IFERROR(VLOOKUP($G1443,物料档案!$A$4:$P$1203,3,0),"※编码不在物料档案里"))</f>
        <v/>
      </c>
      <c r="I1443" s="24">
        <f>IF($G1443="","",IFERROR(VLOOKUP($G1443,物料档案!$A$4:$P$1203,4,0),"※编码不在物料档案里"))</f>
        <v/>
      </c>
      <c r="J1443" s="24">
        <f>IF($G1443="","",IFERROR(VLOOKUP($G1443,物料档案!$A$4:$P$1203,5,0),"※编码不在物料档案里"))</f>
        <v/>
      </c>
      <c r="K1443" s="23" t="n"/>
      <c r="L1443" s="31" t="n"/>
      <c r="M1443" s="24">
        <f>IF($G1443="","",IF($D1443="A国内","CNY","TZS"))</f>
        <v/>
      </c>
      <c r="N1443" s="28">
        <f>IF($G1443="","",IF($D1443="A国内",汇率,1))</f>
        <v/>
      </c>
      <c r="O1443" s="25">
        <f>IF($G1443="","",ROUND(N($K1443)*N($L1443),2))</f>
        <v/>
      </c>
      <c r="P1443" s="26">
        <f>IF($G1443="","",ROUND($O1443*$N1443,0))</f>
        <v/>
      </c>
      <c r="Q1443" s="26">
        <f>IF($G1443="","",SUMIFS($P$4:$P$2503,$E$4:$E$2503,$E1443,$Z$4:$Z$2503,"正常"))</f>
        <v/>
      </c>
      <c r="R1443" s="26">
        <f>IF($G1443="","",SUMIFS(费用台账!$I$4:$I$503,费用台账!$C$4:$C$503,$E1443,费用台账!$J$4:$J$503,"是",费用台账!$K$4:$K$503,"正常"))</f>
        <v/>
      </c>
      <c r="S1443" s="28">
        <f>IF($G1443="","",COUNTIFS($E$4:$E$2503,$E1443,$Z$4:$Z$2503,"正常",$Y$4:$Y$2503,"待补价"))</f>
        <v/>
      </c>
      <c r="T1443" s="26">
        <f>IF($G1443="","",SUMIFS($P$4:$P$2503,$E$4:$E$2503,$E1443,$Z$4:$Z$2503,"正常",$A$4:$A$2503,"&lt;="&amp;$A1443))</f>
        <v/>
      </c>
      <c r="U1443" s="26">
        <f>IF($G1443="","",IF(OR($S1443&gt;0,$Q1443=0,$R1443=0,$Z1443&lt;&gt;"正常"),0,ROUND($T1443/$Q1443*$R1443,0)-ROUND(($T1443-$P1443)/$Q1443*$R1443,0)))</f>
        <v/>
      </c>
      <c r="V1443" s="26">
        <f>IF($G1443="","",ROUND($P1443+$U1443,0))</f>
        <v/>
      </c>
      <c r="W1443" s="26">
        <f>IF($G1443="","",IF(N($K1443)=0,0,ROUND($V1443/$K1443,2)))</f>
        <v/>
      </c>
      <c r="X1443" s="17" t="n"/>
      <c r="Y1443" s="17" t="n"/>
      <c r="Z1443" s="17" t="n"/>
      <c r="AA1443" s="17" t="n"/>
      <c r="AB1443" s="17" t="n"/>
      <c r="AC1443" s="24">
        <f>IF($G1443="","",IF($H1443="※编码不在物料档案里","※物料编码不在档案里",IF(N($K1443)&lt;=0,"※入库数量要大于 0",IF(AND($C1443&lt;&gt;"",$C1443&lt;=结账锁),"※日期早于已结账截止日，不能再录",IF(AND($L1443=0,$X1443="正常"),"※没填单价，价格状态请选「待补价」",IF(AND($S1443&gt;0,$R1443&gt;0),"△本批有 "&amp;$S1443&amp;" 行没单价，整批运费先挂账没摊",IF(AND($B1443&lt;&gt;"",COUNTIF($B$4:$B$2503,$B1443)&gt;1),"※入库单号重复","")))))))</f>
        <v/>
      </c>
    </row>
    <row r="1444">
      <c r="A1444" s="24">
        <f>IF($G1444="","",COUNTA($G$4:$G1444))</f>
        <v/>
      </c>
      <c r="B1444" s="17" t="n"/>
      <c r="C1444" s="30" t="n"/>
      <c r="D1444" s="17" t="n"/>
      <c r="E1444" s="17" t="n"/>
      <c r="F1444" s="17" t="n"/>
      <c r="G1444" s="17" t="n"/>
      <c r="H1444" s="24">
        <f>IF($G1444="","",IFERROR(VLOOKUP($G1444,物料档案!$A$4:$P$1203,3,0),"※编码不在物料档案里"))</f>
        <v/>
      </c>
      <c r="I1444" s="24">
        <f>IF($G1444="","",IFERROR(VLOOKUP($G1444,物料档案!$A$4:$P$1203,4,0),"※编码不在物料档案里"))</f>
        <v/>
      </c>
      <c r="J1444" s="24">
        <f>IF($G1444="","",IFERROR(VLOOKUP($G1444,物料档案!$A$4:$P$1203,5,0),"※编码不在物料档案里"))</f>
        <v/>
      </c>
      <c r="K1444" s="23" t="n"/>
      <c r="L1444" s="31" t="n"/>
      <c r="M1444" s="24">
        <f>IF($G1444="","",IF($D1444="A国内","CNY","TZS"))</f>
        <v/>
      </c>
      <c r="N1444" s="28">
        <f>IF($G1444="","",IF($D1444="A国内",汇率,1))</f>
        <v/>
      </c>
      <c r="O1444" s="25">
        <f>IF($G1444="","",ROUND(N($K1444)*N($L1444),2))</f>
        <v/>
      </c>
      <c r="P1444" s="26">
        <f>IF($G1444="","",ROUND($O1444*$N1444,0))</f>
        <v/>
      </c>
      <c r="Q1444" s="26">
        <f>IF($G1444="","",SUMIFS($P$4:$P$2503,$E$4:$E$2503,$E1444,$Z$4:$Z$2503,"正常"))</f>
        <v/>
      </c>
      <c r="R1444" s="26">
        <f>IF($G1444="","",SUMIFS(费用台账!$I$4:$I$503,费用台账!$C$4:$C$503,$E1444,费用台账!$J$4:$J$503,"是",费用台账!$K$4:$K$503,"正常"))</f>
        <v/>
      </c>
      <c r="S1444" s="28">
        <f>IF($G1444="","",COUNTIFS($E$4:$E$2503,$E1444,$Z$4:$Z$2503,"正常",$Y$4:$Y$2503,"待补价"))</f>
        <v/>
      </c>
      <c r="T1444" s="26">
        <f>IF($G1444="","",SUMIFS($P$4:$P$2503,$E$4:$E$2503,$E1444,$Z$4:$Z$2503,"正常",$A$4:$A$2503,"&lt;="&amp;$A1444))</f>
        <v/>
      </c>
      <c r="U1444" s="26">
        <f>IF($G1444="","",IF(OR($S1444&gt;0,$Q1444=0,$R1444=0,$Z1444&lt;&gt;"正常"),0,ROUND($T1444/$Q1444*$R1444,0)-ROUND(($T1444-$P1444)/$Q1444*$R1444,0)))</f>
        <v/>
      </c>
      <c r="V1444" s="26">
        <f>IF($G1444="","",ROUND($P1444+$U1444,0))</f>
        <v/>
      </c>
      <c r="W1444" s="26">
        <f>IF($G1444="","",IF(N($K1444)=0,0,ROUND($V1444/$K1444,2)))</f>
        <v/>
      </c>
      <c r="X1444" s="17" t="n"/>
      <c r="Y1444" s="17" t="n"/>
      <c r="Z1444" s="17" t="n"/>
      <c r="AA1444" s="17" t="n"/>
      <c r="AB1444" s="17" t="n"/>
      <c r="AC1444" s="24">
        <f>IF($G1444="","",IF($H1444="※编码不在物料档案里","※物料编码不在档案里",IF(N($K1444)&lt;=0,"※入库数量要大于 0",IF(AND($C1444&lt;&gt;"",$C1444&lt;=结账锁),"※日期早于已结账截止日，不能再录",IF(AND($L1444=0,$X1444="正常"),"※没填单价，价格状态请选「待补价」",IF(AND($S1444&gt;0,$R1444&gt;0),"△本批有 "&amp;$S1444&amp;" 行没单价，整批运费先挂账没摊",IF(AND($B1444&lt;&gt;"",COUNTIF($B$4:$B$2503,$B1444)&gt;1),"※入库单号重复","")))))))</f>
        <v/>
      </c>
    </row>
    <row r="1445">
      <c r="A1445" s="24">
        <f>IF($G1445="","",COUNTA($G$4:$G1445))</f>
        <v/>
      </c>
      <c r="B1445" s="17" t="n"/>
      <c r="C1445" s="30" t="n"/>
      <c r="D1445" s="17" t="n"/>
      <c r="E1445" s="17" t="n"/>
      <c r="F1445" s="17" t="n"/>
      <c r="G1445" s="17" t="n"/>
      <c r="H1445" s="24">
        <f>IF($G1445="","",IFERROR(VLOOKUP($G1445,物料档案!$A$4:$P$1203,3,0),"※编码不在物料档案里"))</f>
        <v/>
      </c>
      <c r="I1445" s="24">
        <f>IF($G1445="","",IFERROR(VLOOKUP($G1445,物料档案!$A$4:$P$1203,4,0),"※编码不在物料档案里"))</f>
        <v/>
      </c>
      <c r="J1445" s="24">
        <f>IF($G1445="","",IFERROR(VLOOKUP($G1445,物料档案!$A$4:$P$1203,5,0),"※编码不在物料档案里"))</f>
        <v/>
      </c>
      <c r="K1445" s="23" t="n"/>
      <c r="L1445" s="31" t="n"/>
      <c r="M1445" s="24">
        <f>IF($G1445="","",IF($D1445="A国内","CNY","TZS"))</f>
        <v/>
      </c>
      <c r="N1445" s="28">
        <f>IF($G1445="","",IF($D1445="A国内",汇率,1))</f>
        <v/>
      </c>
      <c r="O1445" s="25">
        <f>IF($G1445="","",ROUND(N($K1445)*N($L1445),2))</f>
        <v/>
      </c>
      <c r="P1445" s="26">
        <f>IF($G1445="","",ROUND($O1445*$N1445,0))</f>
        <v/>
      </c>
      <c r="Q1445" s="26">
        <f>IF($G1445="","",SUMIFS($P$4:$P$2503,$E$4:$E$2503,$E1445,$Z$4:$Z$2503,"正常"))</f>
        <v/>
      </c>
      <c r="R1445" s="26">
        <f>IF($G1445="","",SUMIFS(费用台账!$I$4:$I$503,费用台账!$C$4:$C$503,$E1445,费用台账!$J$4:$J$503,"是",费用台账!$K$4:$K$503,"正常"))</f>
        <v/>
      </c>
      <c r="S1445" s="28">
        <f>IF($G1445="","",COUNTIFS($E$4:$E$2503,$E1445,$Z$4:$Z$2503,"正常",$Y$4:$Y$2503,"待补价"))</f>
        <v/>
      </c>
      <c r="T1445" s="26">
        <f>IF($G1445="","",SUMIFS($P$4:$P$2503,$E$4:$E$2503,$E1445,$Z$4:$Z$2503,"正常",$A$4:$A$2503,"&lt;="&amp;$A1445))</f>
        <v/>
      </c>
      <c r="U1445" s="26">
        <f>IF($G1445="","",IF(OR($S1445&gt;0,$Q1445=0,$R1445=0,$Z1445&lt;&gt;"正常"),0,ROUND($T1445/$Q1445*$R1445,0)-ROUND(($T1445-$P1445)/$Q1445*$R1445,0)))</f>
        <v/>
      </c>
      <c r="V1445" s="26">
        <f>IF($G1445="","",ROUND($P1445+$U1445,0))</f>
        <v/>
      </c>
      <c r="W1445" s="26">
        <f>IF($G1445="","",IF(N($K1445)=0,0,ROUND($V1445/$K1445,2)))</f>
        <v/>
      </c>
      <c r="X1445" s="17" t="n"/>
      <c r="Y1445" s="17" t="n"/>
      <c r="Z1445" s="17" t="n"/>
      <c r="AA1445" s="17" t="n"/>
      <c r="AB1445" s="17" t="n"/>
      <c r="AC1445" s="24">
        <f>IF($G1445="","",IF($H1445="※编码不在物料档案里","※物料编码不在档案里",IF(N($K1445)&lt;=0,"※入库数量要大于 0",IF(AND($C1445&lt;&gt;"",$C1445&lt;=结账锁),"※日期早于已结账截止日，不能再录",IF(AND($L1445=0,$X1445="正常"),"※没填单价，价格状态请选「待补价」",IF(AND($S1445&gt;0,$R1445&gt;0),"△本批有 "&amp;$S1445&amp;" 行没单价，整批运费先挂账没摊",IF(AND($B1445&lt;&gt;"",COUNTIF($B$4:$B$2503,$B1445)&gt;1),"※入库单号重复","")))))))</f>
        <v/>
      </c>
    </row>
    <row r="1446">
      <c r="A1446" s="24">
        <f>IF($G1446="","",COUNTA($G$4:$G1446))</f>
        <v/>
      </c>
      <c r="B1446" s="17" t="n"/>
      <c r="C1446" s="30" t="n"/>
      <c r="D1446" s="17" t="n"/>
      <c r="E1446" s="17" t="n"/>
      <c r="F1446" s="17" t="n"/>
      <c r="G1446" s="17" t="n"/>
      <c r="H1446" s="24">
        <f>IF($G1446="","",IFERROR(VLOOKUP($G1446,物料档案!$A$4:$P$1203,3,0),"※编码不在物料档案里"))</f>
        <v/>
      </c>
      <c r="I1446" s="24">
        <f>IF($G1446="","",IFERROR(VLOOKUP($G1446,物料档案!$A$4:$P$1203,4,0),"※编码不在物料档案里"))</f>
        <v/>
      </c>
      <c r="J1446" s="24">
        <f>IF($G1446="","",IFERROR(VLOOKUP($G1446,物料档案!$A$4:$P$1203,5,0),"※编码不在物料档案里"))</f>
        <v/>
      </c>
      <c r="K1446" s="23" t="n"/>
      <c r="L1446" s="31" t="n"/>
      <c r="M1446" s="24">
        <f>IF($G1446="","",IF($D1446="A国内","CNY","TZS"))</f>
        <v/>
      </c>
      <c r="N1446" s="28">
        <f>IF($G1446="","",IF($D1446="A国内",汇率,1))</f>
        <v/>
      </c>
      <c r="O1446" s="25">
        <f>IF($G1446="","",ROUND(N($K1446)*N($L1446),2))</f>
        <v/>
      </c>
      <c r="P1446" s="26">
        <f>IF($G1446="","",ROUND($O1446*$N1446,0))</f>
        <v/>
      </c>
      <c r="Q1446" s="26">
        <f>IF($G1446="","",SUMIFS($P$4:$P$2503,$E$4:$E$2503,$E1446,$Z$4:$Z$2503,"正常"))</f>
        <v/>
      </c>
      <c r="R1446" s="26">
        <f>IF($G1446="","",SUMIFS(费用台账!$I$4:$I$503,费用台账!$C$4:$C$503,$E1446,费用台账!$J$4:$J$503,"是",费用台账!$K$4:$K$503,"正常"))</f>
        <v/>
      </c>
      <c r="S1446" s="28">
        <f>IF($G1446="","",COUNTIFS($E$4:$E$2503,$E1446,$Z$4:$Z$2503,"正常",$Y$4:$Y$2503,"待补价"))</f>
        <v/>
      </c>
      <c r="T1446" s="26">
        <f>IF($G1446="","",SUMIFS($P$4:$P$2503,$E$4:$E$2503,$E1446,$Z$4:$Z$2503,"正常",$A$4:$A$2503,"&lt;="&amp;$A1446))</f>
        <v/>
      </c>
      <c r="U1446" s="26">
        <f>IF($G1446="","",IF(OR($S1446&gt;0,$Q1446=0,$R1446=0,$Z1446&lt;&gt;"正常"),0,ROUND($T1446/$Q1446*$R1446,0)-ROUND(($T1446-$P1446)/$Q1446*$R1446,0)))</f>
        <v/>
      </c>
      <c r="V1446" s="26">
        <f>IF($G1446="","",ROUND($P1446+$U1446,0))</f>
        <v/>
      </c>
      <c r="W1446" s="26">
        <f>IF($G1446="","",IF(N($K1446)=0,0,ROUND($V1446/$K1446,2)))</f>
        <v/>
      </c>
      <c r="X1446" s="17" t="n"/>
      <c r="Y1446" s="17" t="n"/>
      <c r="Z1446" s="17" t="n"/>
      <c r="AA1446" s="17" t="n"/>
      <c r="AB1446" s="17" t="n"/>
      <c r="AC1446" s="24">
        <f>IF($G1446="","",IF($H1446="※编码不在物料档案里","※物料编码不在档案里",IF(N($K1446)&lt;=0,"※入库数量要大于 0",IF(AND($C1446&lt;&gt;"",$C1446&lt;=结账锁),"※日期早于已结账截止日，不能再录",IF(AND($L1446=0,$X1446="正常"),"※没填单价，价格状态请选「待补价」",IF(AND($S1446&gt;0,$R1446&gt;0),"△本批有 "&amp;$S1446&amp;" 行没单价，整批运费先挂账没摊",IF(AND($B1446&lt;&gt;"",COUNTIF($B$4:$B$2503,$B1446)&gt;1),"※入库单号重复","")))))))</f>
        <v/>
      </c>
    </row>
    <row r="1447">
      <c r="A1447" s="24">
        <f>IF($G1447="","",COUNTA($G$4:$G1447))</f>
        <v/>
      </c>
      <c r="B1447" s="17" t="n"/>
      <c r="C1447" s="30" t="n"/>
      <c r="D1447" s="17" t="n"/>
      <c r="E1447" s="17" t="n"/>
      <c r="F1447" s="17" t="n"/>
      <c r="G1447" s="17" t="n"/>
      <c r="H1447" s="24">
        <f>IF($G1447="","",IFERROR(VLOOKUP($G1447,物料档案!$A$4:$P$1203,3,0),"※编码不在物料档案里"))</f>
        <v/>
      </c>
      <c r="I1447" s="24">
        <f>IF($G1447="","",IFERROR(VLOOKUP($G1447,物料档案!$A$4:$P$1203,4,0),"※编码不在物料档案里"))</f>
        <v/>
      </c>
      <c r="J1447" s="24">
        <f>IF($G1447="","",IFERROR(VLOOKUP($G1447,物料档案!$A$4:$P$1203,5,0),"※编码不在物料档案里"))</f>
        <v/>
      </c>
      <c r="K1447" s="23" t="n"/>
      <c r="L1447" s="31" t="n"/>
      <c r="M1447" s="24">
        <f>IF($G1447="","",IF($D1447="A国内","CNY","TZS"))</f>
        <v/>
      </c>
      <c r="N1447" s="28">
        <f>IF($G1447="","",IF($D1447="A国内",汇率,1))</f>
        <v/>
      </c>
      <c r="O1447" s="25">
        <f>IF($G1447="","",ROUND(N($K1447)*N($L1447),2))</f>
        <v/>
      </c>
      <c r="P1447" s="26">
        <f>IF($G1447="","",ROUND($O1447*$N1447,0))</f>
        <v/>
      </c>
      <c r="Q1447" s="26">
        <f>IF($G1447="","",SUMIFS($P$4:$P$2503,$E$4:$E$2503,$E1447,$Z$4:$Z$2503,"正常"))</f>
        <v/>
      </c>
      <c r="R1447" s="26">
        <f>IF($G1447="","",SUMIFS(费用台账!$I$4:$I$503,费用台账!$C$4:$C$503,$E1447,费用台账!$J$4:$J$503,"是",费用台账!$K$4:$K$503,"正常"))</f>
        <v/>
      </c>
      <c r="S1447" s="28">
        <f>IF($G1447="","",COUNTIFS($E$4:$E$2503,$E1447,$Z$4:$Z$2503,"正常",$Y$4:$Y$2503,"待补价"))</f>
        <v/>
      </c>
      <c r="T1447" s="26">
        <f>IF($G1447="","",SUMIFS($P$4:$P$2503,$E$4:$E$2503,$E1447,$Z$4:$Z$2503,"正常",$A$4:$A$2503,"&lt;="&amp;$A1447))</f>
        <v/>
      </c>
      <c r="U1447" s="26">
        <f>IF($G1447="","",IF(OR($S1447&gt;0,$Q1447=0,$R1447=0,$Z1447&lt;&gt;"正常"),0,ROUND($T1447/$Q1447*$R1447,0)-ROUND(($T1447-$P1447)/$Q1447*$R1447,0)))</f>
        <v/>
      </c>
      <c r="V1447" s="26">
        <f>IF($G1447="","",ROUND($P1447+$U1447,0))</f>
        <v/>
      </c>
      <c r="W1447" s="26">
        <f>IF($G1447="","",IF(N($K1447)=0,0,ROUND($V1447/$K1447,2)))</f>
        <v/>
      </c>
      <c r="X1447" s="17" t="n"/>
      <c r="Y1447" s="17" t="n"/>
      <c r="Z1447" s="17" t="n"/>
      <c r="AA1447" s="17" t="n"/>
      <c r="AB1447" s="17" t="n"/>
      <c r="AC1447" s="24">
        <f>IF($G1447="","",IF($H1447="※编码不在物料档案里","※物料编码不在档案里",IF(N($K1447)&lt;=0,"※入库数量要大于 0",IF(AND($C1447&lt;&gt;"",$C1447&lt;=结账锁),"※日期早于已结账截止日，不能再录",IF(AND($L1447=0,$X1447="正常"),"※没填单价，价格状态请选「待补价」",IF(AND($S1447&gt;0,$R1447&gt;0),"△本批有 "&amp;$S1447&amp;" 行没单价，整批运费先挂账没摊",IF(AND($B1447&lt;&gt;"",COUNTIF($B$4:$B$2503,$B1447)&gt;1),"※入库单号重复","")))))))</f>
        <v/>
      </c>
    </row>
    <row r="1448">
      <c r="A1448" s="24">
        <f>IF($G1448="","",COUNTA($G$4:$G1448))</f>
        <v/>
      </c>
      <c r="B1448" s="17" t="n"/>
      <c r="C1448" s="30" t="n"/>
      <c r="D1448" s="17" t="n"/>
      <c r="E1448" s="17" t="n"/>
      <c r="F1448" s="17" t="n"/>
      <c r="G1448" s="17" t="n"/>
      <c r="H1448" s="24">
        <f>IF($G1448="","",IFERROR(VLOOKUP($G1448,物料档案!$A$4:$P$1203,3,0),"※编码不在物料档案里"))</f>
        <v/>
      </c>
      <c r="I1448" s="24">
        <f>IF($G1448="","",IFERROR(VLOOKUP($G1448,物料档案!$A$4:$P$1203,4,0),"※编码不在物料档案里"))</f>
        <v/>
      </c>
      <c r="J1448" s="24">
        <f>IF($G1448="","",IFERROR(VLOOKUP($G1448,物料档案!$A$4:$P$1203,5,0),"※编码不在物料档案里"))</f>
        <v/>
      </c>
      <c r="K1448" s="23" t="n"/>
      <c r="L1448" s="31" t="n"/>
      <c r="M1448" s="24">
        <f>IF($G1448="","",IF($D1448="A国内","CNY","TZS"))</f>
        <v/>
      </c>
      <c r="N1448" s="28">
        <f>IF($G1448="","",IF($D1448="A国内",汇率,1))</f>
        <v/>
      </c>
      <c r="O1448" s="25">
        <f>IF($G1448="","",ROUND(N($K1448)*N($L1448),2))</f>
        <v/>
      </c>
      <c r="P1448" s="26">
        <f>IF($G1448="","",ROUND($O1448*$N1448,0))</f>
        <v/>
      </c>
      <c r="Q1448" s="26">
        <f>IF($G1448="","",SUMIFS($P$4:$P$2503,$E$4:$E$2503,$E1448,$Z$4:$Z$2503,"正常"))</f>
        <v/>
      </c>
      <c r="R1448" s="26">
        <f>IF($G1448="","",SUMIFS(费用台账!$I$4:$I$503,费用台账!$C$4:$C$503,$E1448,费用台账!$J$4:$J$503,"是",费用台账!$K$4:$K$503,"正常"))</f>
        <v/>
      </c>
      <c r="S1448" s="28">
        <f>IF($G1448="","",COUNTIFS($E$4:$E$2503,$E1448,$Z$4:$Z$2503,"正常",$Y$4:$Y$2503,"待补价"))</f>
        <v/>
      </c>
      <c r="T1448" s="26">
        <f>IF($G1448="","",SUMIFS($P$4:$P$2503,$E$4:$E$2503,$E1448,$Z$4:$Z$2503,"正常",$A$4:$A$2503,"&lt;="&amp;$A1448))</f>
        <v/>
      </c>
      <c r="U1448" s="26">
        <f>IF($G1448="","",IF(OR($S1448&gt;0,$Q1448=0,$R1448=0,$Z1448&lt;&gt;"正常"),0,ROUND($T1448/$Q1448*$R1448,0)-ROUND(($T1448-$P1448)/$Q1448*$R1448,0)))</f>
        <v/>
      </c>
      <c r="V1448" s="26">
        <f>IF($G1448="","",ROUND($P1448+$U1448,0))</f>
        <v/>
      </c>
      <c r="W1448" s="26">
        <f>IF($G1448="","",IF(N($K1448)=0,0,ROUND($V1448/$K1448,2)))</f>
        <v/>
      </c>
      <c r="X1448" s="17" t="n"/>
      <c r="Y1448" s="17" t="n"/>
      <c r="Z1448" s="17" t="n"/>
      <c r="AA1448" s="17" t="n"/>
      <c r="AB1448" s="17" t="n"/>
      <c r="AC1448" s="24">
        <f>IF($G1448="","",IF($H1448="※编码不在物料档案里","※物料编码不在档案里",IF(N($K1448)&lt;=0,"※入库数量要大于 0",IF(AND($C1448&lt;&gt;"",$C1448&lt;=结账锁),"※日期早于已结账截止日，不能再录",IF(AND($L1448=0,$X1448="正常"),"※没填单价，价格状态请选「待补价」",IF(AND($S1448&gt;0,$R1448&gt;0),"△本批有 "&amp;$S1448&amp;" 行没单价，整批运费先挂账没摊",IF(AND($B1448&lt;&gt;"",COUNTIF($B$4:$B$2503,$B1448)&gt;1),"※入库单号重复","")))))))</f>
        <v/>
      </c>
    </row>
    <row r="1449">
      <c r="A1449" s="24">
        <f>IF($G1449="","",COUNTA($G$4:$G1449))</f>
        <v/>
      </c>
      <c r="B1449" s="17" t="n"/>
      <c r="C1449" s="30" t="n"/>
      <c r="D1449" s="17" t="n"/>
      <c r="E1449" s="17" t="n"/>
      <c r="F1449" s="17" t="n"/>
      <c r="G1449" s="17" t="n"/>
      <c r="H1449" s="24">
        <f>IF($G1449="","",IFERROR(VLOOKUP($G1449,物料档案!$A$4:$P$1203,3,0),"※编码不在物料档案里"))</f>
        <v/>
      </c>
      <c r="I1449" s="24">
        <f>IF($G1449="","",IFERROR(VLOOKUP($G1449,物料档案!$A$4:$P$1203,4,0),"※编码不在物料档案里"))</f>
        <v/>
      </c>
      <c r="J1449" s="24">
        <f>IF($G1449="","",IFERROR(VLOOKUP($G1449,物料档案!$A$4:$P$1203,5,0),"※编码不在物料档案里"))</f>
        <v/>
      </c>
      <c r="K1449" s="23" t="n"/>
      <c r="L1449" s="31" t="n"/>
      <c r="M1449" s="24">
        <f>IF($G1449="","",IF($D1449="A国内","CNY","TZS"))</f>
        <v/>
      </c>
      <c r="N1449" s="28">
        <f>IF($G1449="","",IF($D1449="A国内",汇率,1))</f>
        <v/>
      </c>
      <c r="O1449" s="25">
        <f>IF($G1449="","",ROUND(N($K1449)*N($L1449),2))</f>
        <v/>
      </c>
      <c r="P1449" s="26">
        <f>IF($G1449="","",ROUND($O1449*$N1449,0))</f>
        <v/>
      </c>
      <c r="Q1449" s="26">
        <f>IF($G1449="","",SUMIFS($P$4:$P$2503,$E$4:$E$2503,$E1449,$Z$4:$Z$2503,"正常"))</f>
        <v/>
      </c>
      <c r="R1449" s="26">
        <f>IF($G1449="","",SUMIFS(费用台账!$I$4:$I$503,费用台账!$C$4:$C$503,$E1449,费用台账!$J$4:$J$503,"是",费用台账!$K$4:$K$503,"正常"))</f>
        <v/>
      </c>
      <c r="S1449" s="28">
        <f>IF($G1449="","",COUNTIFS($E$4:$E$2503,$E1449,$Z$4:$Z$2503,"正常",$Y$4:$Y$2503,"待补价"))</f>
        <v/>
      </c>
      <c r="T1449" s="26">
        <f>IF($G1449="","",SUMIFS($P$4:$P$2503,$E$4:$E$2503,$E1449,$Z$4:$Z$2503,"正常",$A$4:$A$2503,"&lt;="&amp;$A1449))</f>
        <v/>
      </c>
      <c r="U1449" s="26">
        <f>IF($G1449="","",IF(OR($S1449&gt;0,$Q1449=0,$R1449=0,$Z1449&lt;&gt;"正常"),0,ROUND($T1449/$Q1449*$R1449,0)-ROUND(($T1449-$P1449)/$Q1449*$R1449,0)))</f>
        <v/>
      </c>
      <c r="V1449" s="26">
        <f>IF($G1449="","",ROUND($P1449+$U1449,0))</f>
        <v/>
      </c>
      <c r="W1449" s="26">
        <f>IF($G1449="","",IF(N($K1449)=0,0,ROUND($V1449/$K1449,2)))</f>
        <v/>
      </c>
      <c r="X1449" s="17" t="n"/>
      <c r="Y1449" s="17" t="n"/>
      <c r="Z1449" s="17" t="n"/>
      <c r="AA1449" s="17" t="n"/>
      <c r="AB1449" s="17" t="n"/>
      <c r="AC1449" s="24">
        <f>IF($G1449="","",IF($H1449="※编码不在物料档案里","※物料编码不在档案里",IF(N($K1449)&lt;=0,"※入库数量要大于 0",IF(AND($C1449&lt;&gt;"",$C1449&lt;=结账锁),"※日期早于已结账截止日，不能再录",IF(AND($L1449=0,$X1449="正常"),"※没填单价，价格状态请选「待补价」",IF(AND($S1449&gt;0,$R1449&gt;0),"△本批有 "&amp;$S1449&amp;" 行没单价，整批运费先挂账没摊",IF(AND($B1449&lt;&gt;"",COUNTIF($B$4:$B$2503,$B1449)&gt;1),"※入库单号重复","")))))))</f>
        <v/>
      </c>
    </row>
    <row r="1450">
      <c r="A1450" s="24">
        <f>IF($G1450="","",COUNTA($G$4:$G1450))</f>
        <v/>
      </c>
      <c r="B1450" s="17" t="n"/>
      <c r="C1450" s="30" t="n"/>
      <c r="D1450" s="17" t="n"/>
      <c r="E1450" s="17" t="n"/>
      <c r="F1450" s="17" t="n"/>
      <c r="G1450" s="17" t="n"/>
      <c r="H1450" s="24">
        <f>IF($G1450="","",IFERROR(VLOOKUP($G1450,物料档案!$A$4:$P$1203,3,0),"※编码不在物料档案里"))</f>
        <v/>
      </c>
      <c r="I1450" s="24">
        <f>IF($G1450="","",IFERROR(VLOOKUP($G1450,物料档案!$A$4:$P$1203,4,0),"※编码不在物料档案里"))</f>
        <v/>
      </c>
      <c r="J1450" s="24">
        <f>IF($G1450="","",IFERROR(VLOOKUP($G1450,物料档案!$A$4:$P$1203,5,0),"※编码不在物料档案里"))</f>
        <v/>
      </c>
      <c r="K1450" s="23" t="n"/>
      <c r="L1450" s="31" t="n"/>
      <c r="M1450" s="24">
        <f>IF($G1450="","",IF($D1450="A国内","CNY","TZS"))</f>
        <v/>
      </c>
      <c r="N1450" s="28">
        <f>IF($G1450="","",IF($D1450="A国内",汇率,1))</f>
        <v/>
      </c>
      <c r="O1450" s="25">
        <f>IF($G1450="","",ROUND(N($K1450)*N($L1450),2))</f>
        <v/>
      </c>
      <c r="P1450" s="26">
        <f>IF($G1450="","",ROUND($O1450*$N1450,0))</f>
        <v/>
      </c>
      <c r="Q1450" s="26">
        <f>IF($G1450="","",SUMIFS($P$4:$P$2503,$E$4:$E$2503,$E1450,$Z$4:$Z$2503,"正常"))</f>
        <v/>
      </c>
      <c r="R1450" s="26">
        <f>IF($G1450="","",SUMIFS(费用台账!$I$4:$I$503,费用台账!$C$4:$C$503,$E1450,费用台账!$J$4:$J$503,"是",费用台账!$K$4:$K$503,"正常"))</f>
        <v/>
      </c>
      <c r="S1450" s="28">
        <f>IF($G1450="","",COUNTIFS($E$4:$E$2503,$E1450,$Z$4:$Z$2503,"正常",$Y$4:$Y$2503,"待补价"))</f>
        <v/>
      </c>
      <c r="T1450" s="26">
        <f>IF($G1450="","",SUMIFS($P$4:$P$2503,$E$4:$E$2503,$E1450,$Z$4:$Z$2503,"正常",$A$4:$A$2503,"&lt;="&amp;$A1450))</f>
        <v/>
      </c>
      <c r="U1450" s="26">
        <f>IF($G1450="","",IF(OR($S1450&gt;0,$Q1450=0,$R1450=0,$Z1450&lt;&gt;"正常"),0,ROUND($T1450/$Q1450*$R1450,0)-ROUND(($T1450-$P1450)/$Q1450*$R1450,0)))</f>
        <v/>
      </c>
      <c r="V1450" s="26">
        <f>IF($G1450="","",ROUND($P1450+$U1450,0))</f>
        <v/>
      </c>
      <c r="W1450" s="26">
        <f>IF($G1450="","",IF(N($K1450)=0,0,ROUND($V1450/$K1450,2)))</f>
        <v/>
      </c>
      <c r="X1450" s="17" t="n"/>
      <c r="Y1450" s="17" t="n"/>
      <c r="Z1450" s="17" t="n"/>
      <c r="AA1450" s="17" t="n"/>
      <c r="AB1450" s="17" t="n"/>
      <c r="AC1450" s="24">
        <f>IF($G1450="","",IF($H1450="※编码不在物料档案里","※物料编码不在档案里",IF(N($K1450)&lt;=0,"※入库数量要大于 0",IF(AND($C1450&lt;&gt;"",$C1450&lt;=结账锁),"※日期早于已结账截止日，不能再录",IF(AND($L1450=0,$X1450="正常"),"※没填单价，价格状态请选「待补价」",IF(AND($S1450&gt;0,$R1450&gt;0),"△本批有 "&amp;$S1450&amp;" 行没单价，整批运费先挂账没摊",IF(AND($B1450&lt;&gt;"",COUNTIF($B$4:$B$2503,$B1450)&gt;1),"※入库单号重复","")))))))</f>
        <v/>
      </c>
    </row>
    <row r="1451">
      <c r="A1451" s="24">
        <f>IF($G1451="","",COUNTA($G$4:$G1451))</f>
        <v/>
      </c>
      <c r="B1451" s="17" t="n"/>
      <c r="C1451" s="30" t="n"/>
      <c r="D1451" s="17" t="n"/>
      <c r="E1451" s="17" t="n"/>
      <c r="F1451" s="17" t="n"/>
      <c r="G1451" s="17" t="n"/>
      <c r="H1451" s="24">
        <f>IF($G1451="","",IFERROR(VLOOKUP($G1451,物料档案!$A$4:$P$1203,3,0),"※编码不在物料档案里"))</f>
        <v/>
      </c>
      <c r="I1451" s="24">
        <f>IF($G1451="","",IFERROR(VLOOKUP($G1451,物料档案!$A$4:$P$1203,4,0),"※编码不在物料档案里"))</f>
        <v/>
      </c>
      <c r="J1451" s="24">
        <f>IF($G1451="","",IFERROR(VLOOKUP($G1451,物料档案!$A$4:$P$1203,5,0),"※编码不在物料档案里"))</f>
        <v/>
      </c>
      <c r="K1451" s="23" t="n"/>
      <c r="L1451" s="31" t="n"/>
      <c r="M1451" s="24">
        <f>IF($G1451="","",IF($D1451="A国内","CNY","TZS"))</f>
        <v/>
      </c>
      <c r="N1451" s="28">
        <f>IF($G1451="","",IF($D1451="A国内",汇率,1))</f>
        <v/>
      </c>
      <c r="O1451" s="25">
        <f>IF($G1451="","",ROUND(N($K1451)*N($L1451),2))</f>
        <v/>
      </c>
      <c r="P1451" s="26">
        <f>IF($G1451="","",ROUND($O1451*$N1451,0))</f>
        <v/>
      </c>
      <c r="Q1451" s="26">
        <f>IF($G1451="","",SUMIFS($P$4:$P$2503,$E$4:$E$2503,$E1451,$Z$4:$Z$2503,"正常"))</f>
        <v/>
      </c>
      <c r="R1451" s="26">
        <f>IF($G1451="","",SUMIFS(费用台账!$I$4:$I$503,费用台账!$C$4:$C$503,$E1451,费用台账!$J$4:$J$503,"是",费用台账!$K$4:$K$503,"正常"))</f>
        <v/>
      </c>
      <c r="S1451" s="28">
        <f>IF($G1451="","",COUNTIFS($E$4:$E$2503,$E1451,$Z$4:$Z$2503,"正常",$Y$4:$Y$2503,"待补价"))</f>
        <v/>
      </c>
      <c r="T1451" s="26">
        <f>IF($G1451="","",SUMIFS($P$4:$P$2503,$E$4:$E$2503,$E1451,$Z$4:$Z$2503,"正常",$A$4:$A$2503,"&lt;="&amp;$A1451))</f>
        <v/>
      </c>
      <c r="U1451" s="26">
        <f>IF($G1451="","",IF(OR($S1451&gt;0,$Q1451=0,$R1451=0,$Z1451&lt;&gt;"正常"),0,ROUND($T1451/$Q1451*$R1451,0)-ROUND(($T1451-$P1451)/$Q1451*$R1451,0)))</f>
        <v/>
      </c>
      <c r="V1451" s="26">
        <f>IF($G1451="","",ROUND($P1451+$U1451,0))</f>
        <v/>
      </c>
      <c r="W1451" s="26">
        <f>IF($G1451="","",IF(N($K1451)=0,0,ROUND($V1451/$K1451,2)))</f>
        <v/>
      </c>
      <c r="X1451" s="17" t="n"/>
      <c r="Y1451" s="17" t="n"/>
      <c r="Z1451" s="17" t="n"/>
      <c r="AA1451" s="17" t="n"/>
      <c r="AB1451" s="17" t="n"/>
      <c r="AC1451" s="24">
        <f>IF($G1451="","",IF($H1451="※编码不在物料档案里","※物料编码不在档案里",IF(N($K1451)&lt;=0,"※入库数量要大于 0",IF(AND($C1451&lt;&gt;"",$C1451&lt;=结账锁),"※日期早于已结账截止日，不能再录",IF(AND($L1451=0,$X1451="正常"),"※没填单价，价格状态请选「待补价」",IF(AND($S1451&gt;0,$R1451&gt;0),"△本批有 "&amp;$S1451&amp;" 行没单价，整批运费先挂账没摊",IF(AND($B1451&lt;&gt;"",COUNTIF($B$4:$B$2503,$B1451)&gt;1),"※入库单号重复","")))))))</f>
        <v/>
      </c>
    </row>
    <row r="1452">
      <c r="A1452" s="24">
        <f>IF($G1452="","",COUNTA($G$4:$G1452))</f>
        <v/>
      </c>
      <c r="B1452" s="17" t="n"/>
      <c r="C1452" s="30" t="n"/>
      <c r="D1452" s="17" t="n"/>
      <c r="E1452" s="17" t="n"/>
      <c r="F1452" s="17" t="n"/>
      <c r="G1452" s="17" t="n"/>
      <c r="H1452" s="24">
        <f>IF($G1452="","",IFERROR(VLOOKUP($G1452,物料档案!$A$4:$P$1203,3,0),"※编码不在物料档案里"))</f>
        <v/>
      </c>
      <c r="I1452" s="24">
        <f>IF($G1452="","",IFERROR(VLOOKUP($G1452,物料档案!$A$4:$P$1203,4,0),"※编码不在物料档案里"))</f>
        <v/>
      </c>
      <c r="J1452" s="24">
        <f>IF($G1452="","",IFERROR(VLOOKUP($G1452,物料档案!$A$4:$P$1203,5,0),"※编码不在物料档案里"))</f>
        <v/>
      </c>
      <c r="K1452" s="23" t="n"/>
      <c r="L1452" s="31" t="n"/>
      <c r="M1452" s="24">
        <f>IF($G1452="","",IF($D1452="A国内","CNY","TZS"))</f>
        <v/>
      </c>
      <c r="N1452" s="28">
        <f>IF($G1452="","",IF($D1452="A国内",汇率,1))</f>
        <v/>
      </c>
      <c r="O1452" s="25">
        <f>IF($G1452="","",ROUND(N($K1452)*N($L1452),2))</f>
        <v/>
      </c>
      <c r="P1452" s="26">
        <f>IF($G1452="","",ROUND($O1452*$N1452,0))</f>
        <v/>
      </c>
      <c r="Q1452" s="26">
        <f>IF($G1452="","",SUMIFS($P$4:$P$2503,$E$4:$E$2503,$E1452,$Z$4:$Z$2503,"正常"))</f>
        <v/>
      </c>
      <c r="R1452" s="26">
        <f>IF($G1452="","",SUMIFS(费用台账!$I$4:$I$503,费用台账!$C$4:$C$503,$E1452,费用台账!$J$4:$J$503,"是",费用台账!$K$4:$K$503,"正常"))</f>
        <v/>
      </c>
      <c r="S1452" s="28">
        <f>IF($G1452="","",COUNTIFS($E$4:$E$2503,$E1452,$Z$4:$Z$2503,"正常",$Y$4:$Y$2503,"待补价"))</f>
        <v/>
      </c>
      <c r="T1452" s="26">
        <f>IF($G1452="","",SUMIFS($P$4:$P$2503,$E$4:$E$2503,$E1452,$Z$4:$Z$2503,"正常",$A$4:$A$2503,"&lt;="&amp;$A1452))</f>
        <v/>
      </c>
      <c r="U1452" s="26">
        <f>IF($G1452="","",IF(OR($S1452&gt;0,$Q1452=0,$R1452=0,$Z1452&lt;&gt;"正常"),0,ROUND($T1452/$Q1452*$R1452,0)-ROUND(($T1452-$P1452)/$Q1452*$R1452,0)))</f>
        <v/>
      </c>
      <c r="V1452" s="26">
        <f>IF($G1452="","",ROUND($P1452+$U1452,0))</f>
        <v/>
      </c>
      <c r="W1452" s="26">
        <f>IF($G1452="","",IF(N($K1452)=0,0,ROUND($V1452/$K1452,2)))</f>
        <v/>
      </c>
      <c r="X1452" s="17" t="n"/>
      <c r="Y1452" s="17" t="n"/>
      <c r="Z1452" s="17" t="n"/>
      <c r="AA1452" s="17" t="n"/>
      <c r="AB1452" s="17" t="n"/>
      <c r="AC1452" s="24">
        <f>IF($G1452="","",IF($H1452="※编码不在物料档案里","※物料编码不在档案里",IF(N($K1452)&lt;=0,"※入库数量要大于 0",IF(AND($C1452&lt;&gt;"",$C1452&lt;=结账锁),"※日期早于已结账截止日，不能再录",IF(AND($L1452=0,$X1452="正常"),"※没填单价，价格状态请选「待补价」",IF(AND($S1452&gt;0,$R1452&gt;0),"△本批有 "&amp;$S1452&amp;" 行没单价，整批运费先挂账没摊",IF(AND($B1452&lt;&gt;"",COUNTIF($B$4:$B$2503,$B1452)&gt;1),"※入库单号重复","")))))))</f>
        <v/>
      </c>
    </row>
    <row r="1453">
      <c r="A1453" s="24">
        <f>IF($G1453="","",COUNTA($G$4:$G1453))</f>
        <v/>
      </c>
      <c r="B1453" s="17" t="n"/>
      <c r="C1453" s="30" t="n"/>
      <c r="D1453" s="17" t="n"/>
      <c r="E1453" s="17" t="n"/>
      <c r="F1453" s="17" t="n"/>
      <c r="G1453" s="17" t="n"/>
      <c r="H1453" s="24">
        <f>IF($G1453="","",IFERROR(VLOOKUP($G1453,物料档案!$A$4:$P$1203,3,0),"※编码不在物料档案里"))</f>
        <v/>
      </c>
      <c r="I1453" s="24">
        <f>IF($G1453="","",IFERROR(VLOOKUP($G1453,物料档案!$A$4:$P$1203,4,0),"※编码不在物料档案里"))</f>
        <v/>
      </c>
      <c r="J1453" s="24">
        <f>IF($G1453="","",IFERROR(VLOOKUP($G1453,物料档案!$A$4:$P$1203,5,0),"※编码不在物料档案里"))</f>
        <v/>
      </c>
      <c r="K1453" s="23" t="n"/>
      <c r="L1453" s="31" t="n"/>
      <c r="M1453" s="24">
        <f>IF($G1453="","",IF($D1453="A国内","CNY","TZS"))</f>
        <v/>
      </c>
      <c r="N1453" s="28">
        <f>IF($G1453="","",IF($D1453="A国内",汇率,1))</f>
        <v/>
      </c>
      <c r="O1453" s="25">
        <f>IF($G1453="","",ROUND(N($K1453)*N($L1453),2))</f>
        <v/>
      </c>
      <c r="P1453" s="26">
        <f>IF($G1453="","",ROUND($O1453*$N1453,0))</f>
        <v/>
      </c>
      <c r="Q1453" s="26">
        <f>IF($G1453="","",SUMIFS($P$4:$P$2503,$E$4:$E$2503,$E1453,$Z$4:$Z$2503,"正常"))</f>
        <v/>
      </c>
      <c r="R1453" s="26">
        <f>IF($G1453="","",SUMIFS(费用台账!$I$4:$I$503,费用台账!$C$4:$C$503,$E1453,费用台账!$J$4:$J$503,"是",费用台账!$K$4:$K$503,"正常"))</f>
        <v/>
      </c>
      <c r="S1453" s="28">
        <f>IF($G1453="","",COUNTIFS($E$4:$E$2503,$E1453,$Z$4:$Z$2503,"正常",$Y$4:$Y$2503,"待补价"))</f>
        <v/>
      </c>
      <c r="T1453" s="26">
        <f>IF($G1453="","",SUMIFS($P$4:$P$2503,$E$4:$E$2503,$E1453,$Z$4:$Z$2503,"正常",$A$4:$A$2503,"&lt;="&amp;$A1453))</f>
        <v/>
      </c>
      <c r="U1453" s="26">
        <f>IF($G1453="","",IF(OR($S1453&gt;0,$Q1453=0,$R1453=0,$Z1453&lt;&gt;"正常"),0,ROUND($T1453/$Q1453*$R1453,0)-ROUND(($T1453-$P1453)/$Q1453*$R1453,0)))</f>
        <v/>
      </c>
      <c r="V1453" s="26">
        <f>IF($G1453="","",ROUND($P1453+$U1453,0))</f>
        <v/>
      </c>
      <c r="W1453" s="26">
        <f>IF($G1453="","",IF(N($K1453)=0,0,ROUND($V1453/$K1453,2)))</f>
        <v/>
      </c>
      <c r="X1453" s="17" t="n"/>
      <c r="Y1453" s="17" t="n"/>
      <c r="Z1453" s="17" t="n"/>
      <c r="AA1453" s="17" t="n"/>
      <c r="AB1453" s="17" t="n"/>
      <c r="AC1453" s="24">
        <f>IF($G1453="","",IF($H1453="※编码不在物料档案里","※物料编码不在档案里",IF(N($K1453)&lt;=0,"※入库数量要大于 0",IF(AND($C1453&lt;&gt;"",$C1453&lt;=结账锁),"※日期早于已结账截止日，不能再录",IF(AND($L1453=0,$X1453="正常"),"※没填单价，价格状态请选「待补价」",IF(AND($S1453&gt;0,$R1453&gt;0),"△本批有 "&amp;$S1453&amp;" 行没单价，整批运费先挂账没摊",IF(AND($B1453&lt;&gt;"",COUNTIF($B$4:$B$2503,$B1453)&gt;1),"※入库单号重复","")))))))</f>
        <v/>
      </c>
    </row>
    <row r="1454">
      <c r="A1454" s="24">
        <f>IF($G1454="","",COUNTA($G$4:$G1454))</f>
        <v/>
      </c>
      <c r="B1454" s="17" t="n"/>
      <c r="C1454" s="30" t="n"/>
      <c r="D1454" s="17" t="n"/>
      <c r="E1454" s="17" t="n"/>
      <c r="F1454" s="17" t="n"/>
      <c r="G1454" s="17" t="n"/>
      <c r="H1454" s="24">
        <f>IF($G1454="","",IFERROR(VLOOKUP($G1454,物料档案!$A$4:$P$1203,3,0),"※编码不在物料档案里"))</f>
        <v/>
      </c>
      <c r="I1454" s="24">
        <f>IF($G1454="","",IFERROR(VLOOKUP($G1454,物料档案!$A$4:$P$1203,4,0),"※编码不在物料档案里"))</f>
        <v/>
      </c>
      <c r="J1454" s="24">
        <f>IF($G1454="","",IFERROR(VLOOKUP($G1454,物料档案!$A$4:$P$1203,5,0),"※编码不在物料档案里"))</f>
        <v/>
      </c>
      <c r="K1454" s="23" t="n"/>
      <c r="L1454" s="31" t="n"/>
      <c r="M1454" s="24">
        <f>IF($G1454="","",IF($D1454="A国内","CNY","TZS"))</f>
        <v/>
      </c>
      <c r="N1454" s="28">
        <f>IF($G1454="","",IF($D1454="A国内",汇率,1))</f>
        <v/>
      </c>
      <c r="O1454" s="25">
        <f>IF($G1454="","",ROUND(N($K1454)*N($L1454),2))</f>
        <v/>
      </c>
      <c r="P1454" s="26">
        <f>IF($G1454="","",ROUND($O1454*$N1454,0))</f>
        <v/>
      </c>
      <c r="Q1454" s="26">
        <f>IF($G1454="","",SUMIFS($P$4:$P$2503,$E$4:$E$2503,$E1454,$Z$4:$Z$2503,"正常"))</f>
        <v/>
      </c>
      <c r="R1454" s="26">
        <f>IF($G1454="","",SUMIFS(费用台账!$I$4:$I$503,费用台账!$C$4:$C$503,$E1454,费用台账!$J$4:$J$503,"是",费用台账!$K$4:$K$503,"正常"))</f>
        <v/>
      </c>
      <c r="S1454" s="28">
        <f>IF($G1454="","",COUNTIFS($E$4:$E$2503,$E1454,$Z$4:$Z$2503,"正常",$Y$4:$Y$2503,"待补价"))</f>
        <v/>
      </c>
      <c r="T1454" s="26">
        <f>IF($G1454="","",SUMIFS($P$4:$P$2503,$E$4:$E$2503,$E1454,$Z$4:$Z$2503,"正常",$A$4:$A$2503,"&lt;="&amp;$A1454))</f>
        <v/>
      </c>
      <c r="U1454" s="26">
        <f>IF($G1454="","",IF(OR($S1454&gt;0,$Q1454=0,$R1454=0,$Z1454&lt;&gt;"正常"),0,ROUND($T1454/$Q1454*$R1454,0)-ROUND(($T1454-$P1454)/$Q1454*$R1454,0)))</f>
        <v/>
      </c>
      <c r="V1454" s="26">
        <f>IF($G1454="","",ROUND($P1454+$U1454,0))</f>
        <v/>
      </c>
      <c r="W1454" s="26">
        <f>IF($G1454="","",IF(N($K1454)=0,0,ROUND($V1454/$K1454,2)))</f>
        <v/>
      </c>
      <c r="X1454" s="17" t="n"/>
      <c r="Y1454" s="17" t="n"/>
      <c r="Z1454" s="17" t="n"/>
      <c r="AA1454" s="17" t="n"/>
      <c r="AB1454" s="17" t="n"/>
      <c r="AC1454" s="24">
        <f>IF($G1454="","",IF($H1454="※编码不在物料档案里","※物料编码不在档案里",IF(N($K1454)&lt;=0,"※入库数量要大于 0",IF(AND($C1454&lt;&gt;"",$C1454&lt;=结账锁),"※日期早于已结账截止日，不能再录",IF(AND($L1454=0,$X1454="正常"),"※没填单价，价格状态请选「待补价」",IF(AND($S1454&gt;0,$R1454&gt;0),"△本批有 "&amp;$S1454&amp;" 行没单价，整批运费先挂账没摊",IF(AND($B1454&lt;&gt;"",COUNTIF($B$4:$B$2503,$B1454)&gt;1),"※入库单号重复","")))))))</f>
        <v/>
      </c>
    </row>
    <row r="1455">
      <c r="A1455" s="24">
        <f>IF($G1455="","",COUNTA($G$4:$G1455))</f>
        <v/>
      </c>
      <c r="B1455" s="17" t="n"/>
      <c r="C1455" s="30" t="n"/>
      <c r="D1455" s="17" t="n"/>
      <c r="E1455" s="17" t="n"/>
      <c r="F1455" s="17" t="n"/>
      <c r="G1455" s="17" t="n"/>
      <c r="H1455" s="24">
        <f>IF($G1455="","",IFERROR(VLOOKUP($G1455,物料档案!$A$4:$P$1203,3,0),"※编码不在物料档案里"))</f>
        <v/>
      </c>
      <c r="I1455" s="24">
        <f>IF($G1455="","",IFERROR(VLOOKUP($G1455,物料档案!$A$4:$P$1203,4,0),"※编码不在物料档案里"))</f>
        <v/>
      </c>
      <c r="J1455" s="24">
        <f>IF($G1455="","",IFERROR(VLOOKUP($G1455,物料档案!$A$4:$P$1203,5,0),"※编码不在物料档案里"))</f>
        <v/>
      </c>
      <c r="K1455" s="23" t="n"/>
      <c r="L1455" s="31" t="n"/>
      <c r="M1455" s="24">
        <f>IF($G1455="","",IF($D1455="A国内","CNY","TZS"))</f>
        <v/>
      </c>
      <c r="N1455" s="28">
        <f>IF($G1455="","",IF($D1455="A国内",汇率,1))</f>
        <v/>
      </c>
      <c r="O1455" s="25">
        <f>IF($G1455="","",ROUND(N($K1455)*N($L1455),2))</f>
        <v/>
      </c>
      <c r="P1455" s="26">
        <f>IF($G1455="","",ROUND($O1455*$N1455,0))</f>
        <v/>
      </c>
      <c r="Q1455" s="26">
        <f>IF($G1455="","",SUMIFS($P$4:$P$2503,$E$4:$E$2503,$E1455,$Z$4:$Z$2503,"正常"))</f>
        <v/>
      </c>
      <c r="R1455" s="26">
        <f>IF($G1455="","",SUMIFS(费用台账!$I$4:$I$503,费用台账!$C$4:$C$503,$E1455,费用台账!$J$4:$J$503,"是",费用台账!$K$4:$K$503,"正常"))</f>
        <v/>
      </c>
      <c r="S1455" s="28">
        <f>IF($G1455="","",COUNTIFS($E$4:$E$2503,$E1455,$Z$4:$Z$2503,"正常",$Y$4:$Y$2503,"待补价"))</f>
        <v/>
      </c>
      <c r="T1455" s="26">
        <f>IF($G1455="","",SUMIFS($P$4:$P$2503,$E$4:$E$2503,$E1455,$Z$4:$Z$2503,"正常",$A$4:$A$2503,"&lt;="&amp;$A1455))</f>
        <v/>
      </c>
      <c r="U1455" s="26">
        <f>IF($G1455="","",IF(OR($S1455&gt;0,$Q1455=0,$R1455=0,$Z1455&lt;&gt;"正常"),0,ROUND($T1455/$Q1455*$R1455,0)-ROUND(($T1455-$P1455)/$Q1455*$R1455,0)))</f>
        <v/>
      </c>
      <c r="V1455" s="26">
        <f>IF($G1455="","",ROUND($P1455+$U1455,0))</f>
        <v/>
      </c>
      <c r="W1455" s="26">
        <f>IF($G1455="","",IF(N($K1455)=0,0,ROUND($V1455/$K1455,2)))</f>
        <v/>
      </c>
      <c r="X1455" s="17" t="n"/>
      <c r="Y1455" s="17" t="n"/>
      <c r="Z1455" s="17" t="n"/>
      <c r="AA1455" s="17" t="n"/>
      <c r="AB1455" s="17" t="n"/>
      <c r="AC1455" s="24">
        <f>IF($G1455="","",IF($H1455="※编码不在物料档案里","※物料编码不在档案里",IF(N($K1455)&lt;=0,"※入库数量要大于 0",IF(AND($C1455&lt;&gt;"",$C1455&lt;=结账锁),"※日期早于已结账截止日，不能再录",IF(AND($L1455=0,$X1455="正常"),"※没填单价，价格状态请选「待补价」",IF(AND($S1455&gt;0,$R1455&gt;0),"△本批有 "&amp;$S1455&amp;" 行没单价，整批运费先挂账没摊",IF(AND($B1455&lt;&gt;"",COUNTIF($B$4:$B$2503,$B1455)&gt;1),"※入库单号重复","")))))))</f>
        <v/>
      </c>
    </row>
    <row r="1456">
      <c r="A1456" s="24">
        <f>IF($G1456="","",COUNTA($G$4:$G1456))</f>
        <v/>
      </c>
      <c r="B1456" s="17" t="n"/>
      <c r="C1456" s="30" t="n"/>
      <c r="D1456" s="17" t="n"/>
      <c r="E1456" s="17" t="n"/>
      <c r="F1456" s="17" t="n"/>
      <c r="G1456" s="17" t="n"/>
      <c r="H1456" s="24">
        <f>IF($G1456="","",IFERROR(VLOOKUP($G1456,物料档案!$A$4:$P$1203,3,0),"※编码不在物料档案里"))</f>
        <v/>
      </c>
      <c r="I1456" s="24">
        <f>IF($G1456="","",IFERROR(VLOOKUP($G1456,物料档案!$A$4:$P$1203,4,0),"※编码不在物料档案里"))</f>
        <v/>
      </c>
      <c r="J1456" s="24">
        <f>IF($G1456="","",IFERROR(VLOOKUP($G1456,物料档案!$A$4:$P$1203,5,0),"※编码不在物料档案里"))</f>
        <v/>
      </c>
      <c r="K1456" s="23" t="n"/>
      <c r="L1456" s="31" t="n"/>
      <c r="M1456" s="24">
        <f>IF($G1456="","",IF($D1456="A国内","CNY","TZS"))</f>
        <v/>
      </c>
      <c r="N1456" s="28">
        <f>IF($G1456="","",IF($D1456="A国内",汇率,1))</f>
        <v/>
      </c>
      <c r="O1456" s="25">
        <f>IF($G1456="","",ROUND(N($K1456)*N($L1456),2))</f>
        <v/>
      </c>
      <c r="P1456" s="26">
        <f>IF($G1456="","",ROUND($O1456*$N1456,0))</f>
        <v/>
      </c>
      <c r="Q1456" s="26">
        <f>IF($G1456="","",SUMIFS($P$4:$P$2503,$E$4:$E$2503,$E1456,$Z$4:$Z$2503,"正常"))</f>
        <v/>
      </c>
      <c r="R1456" s="26">
        <f>IF($G1456="","",SUMIFS(费用台账!$I$4:$I$503,费用台账!$C$4:$C$503,$E1456,费用台账!$J$4:$J$503,"是",费用台账!$K$4:$K$503,"正常"))</f>
        <v/>
      </c>
      <c r="S1456" s="28">
        <f>IF($G1456="","",COUNTIFS($E$4:$E$2503,$E1456,$Z$4:$Z$2503,"正常",$Y$4:$Y$2503,"待补价"))</f>
        <v/>
      </c>
      <c r="T1456" s="26">
        <f>IF($G1456="","",SUMIFS($P$4:$P$2503,$E$4:$E$2503,$E1456,$Z$4:$Z$2503,"正常",$A$4:$A$2503,"&lt;="&amp;$A1456))</f>
        <v/>
      </c>
      <c r="U1456" s="26">
        <f>IF($G1456="","",IF(OR($S1456&gt;0,$Q1456=0,$R1456=0,$Z1456&lt;&gt;"正常"),0,ROUND($T1456/$Q1456*$R1456,0)-ROUND(($T1456-$P1456)/$Q1456*$R1456,0)))</f>
        <v/>
      </c>
      <c r="V1456" s="26">
        <f>IF($G1456="","",ROUND($P1456+$U1456,0))</f>
        <v/>
      </c>
      <c r="W1456" s="26">
        <f>IF($G1456="","",IF(N($K1456)=0,0,ROUND($V1456/$K1456,2)))</f>
        <v/>
      </c>
      <c r="X1456" s="17" t="n"/>
      <c r="Y1456" s="17" t="n"/>
      <c r="Z1456" s="17" t="n"/>
      <c r="AA1456" s="17" t="n"/>
      <c r="AB1456" s="17" t="n"/>
      <c r="AC1456" s="24">
        <f>IF($G1456="","",IF($H1456="※编码不在物料档案里","※物料编码不在档案里",IF(N($K1456)&lt;=0,"※入库数量要大于 0",IF(AND($C1456&lt;&gt;"",$C1456&lt;=结账锁),"※日期早于已结账截止日，不能再录",IF(AND($L1456=0,$X1456="正常"),"※没填单价，价格状态请选「待补价」",IF(AND($S1456&gt;0,$R1456&gt;0),"△本批有 "&amp;$S1456&amp;" 行没单价，整批运费先挂账没摊",IF(AND($B1456&lt;&gt;"",COUNTIF($B$4:$B$2503,$B1456)&gt;1),"※入库单号重复","")))))))</f>
        <v/>
      </c>
    </row>
    <row r="1457">
      <c r="A1457" s="24">
        <f>IF($G1457="","",COUNTA($G$4:$G1457))</f>
        <v/>
      </c>
      <c r="B1457" s="17" t="n"/>
      <c r="C1457" s="30" t="n"/>
      <c r="D1457" s="17" t="n"/>
      <c r="E1457" s="17" t="n"/>
      <c r="F1457" s="17" t="n"/>
      <c r="G1457" s="17" t="n"/>
      <c r="H1457" s="24">
        <f>IF($G1457="","",IFERROR(VLOOKUP($G1457,物料档案!$A$4:$P$1203,3,0),"※编码不在物料档案里"))</f>
        <v/>
      </c>
      <c r="I1457" s="24">
        <f>IF($G1457="","",IFERROR(VLOOKUP($G1457,物料档案!$A$4:$P$1203,4,0),"※编码不在物料档案里"))</f>
        <v/>
      </c>
      <c r="J1457" s="24">
        <f>IF($G1457="","",IFERROR(VLOOKUP($G1457,物料档案!$A$4:$P$1203,5,0),"※编码不在物料档案里"))</f>
        <v/>
      </c>
      <c r="K1457" s="23" t="n"/>
      <c r="L1457" s="31" t="n"/>
      <c r="M1457" s="24">
        <f>IF($G1457="","",IF($D1457="A国内","CNY","TZS"))</f>
        <v/>
      </c>
      <c r="N1457" s="28">
        <f>IF($G1457="","",IF($D1457="A国内",汇率,1))</f>
        <v/>
      </c>
      <c r="O1457" s="25">
        <f>IF($G1457="","",ROUND(N($K1457)*N($L1457),2))</f>
        <v/>
      </c>
      <c r="P1457" s="26">
        <f>IF($G1457="","",ROUND($O1457*$N1457,0))</f>
        <v/>
      </c>
      <c r="Q1457" s="26">
        <f>IF($G1457="","",SUMIFS($P$4:$P$2503,$E$4:$E$2503,$E1457,$Z$4:$Z$2503,"正常"))</f>
        <v/>
      </c>
      <c r="R1457" s="26">
        <f>IF($G1457="","",SUMIFS(费用台账!$I$4:$I$503,费用台账!$C$4:$C$503,$E1457,费用台账!$J$4:$J$503,"是",费用台账!$K$4:$K$503,"正常"))</f>
        <v/>
      </c>
      <c r="S1457" s="28">
        <f>IF($G1457="","",COUNTIFS($E$4:$E$2503,$E1457,$Z$4:$Z$2503,"正常",$Y$4:$Y$2503,"待补价"))</f>
        <v/>
      </c>
      <c r="T1457" s="26">
        <f>IF($G1457="","",SUMIFS($P$4:$P$2503,$E$4:$E$2503,$E1457,$Z$4:$Z$2503,"正常",$A$4:$A$2503,"&lt;="&amp;$A1457))</f>
        <v/>
      </c>
      <c r="U1457" s="26">
        <f>IF($G1457="","",IF(OR($S1457&gt;0,$Q1457=0,$R1457=0,$Z1457&lt;&gt;"正常"),0,ROUND($T1457/$Q1457*$R1457,0)-ROUND(($T1457-$P1457)/$Q1457*$R1457,0)))</f>
        <v/>
      </c>
      <c r="V1457" s="26">
        <f>IF($G1457="","",ROUND($P1457+$U1457,0))</f>
        <v/>
      </c>
      <c r="W1457" s="26">
        <f>IF($G1457="","",IF(N($K1457)=0,0,ROUND($V1457/$K1457,2)))</f>
        <v/>
      </c>
      <c r="X1457" s="17" t="n"/>
      <c r="Y1457" s="17" t="n"/>
      <c r="Z1457" s="17" t="n"/>
      <c r="AA1457" s="17" t="n"/>
      <c r="AB1457" s="17" t="n"/>
      <c r="AC1457" s="24">
        <f>IF($G1457="","",IF($H1457="※编码不在物料档案里","※物料编码不在档案里",IF(N($K1457)&lt;=0,"※入库数量要大于 0",IF(AND($C1457&lt;&gt;"",$C1457&lt;=结账锁),"※日期早于已结账截止日，不能再录",IF(AND($L1457=0,$X1457="正常"),"※没填单价，价格状态请选「待补价」",IF(AND($S1457&gt;0,$R1457&gt;0),"△本批有 "&amp;$S1457&amp;" 行没单价，整批运费先挂账没摊",IF(AND($B1457&lt;&gt;"",COUNTIF($B$4:$B$2503,$B1457)&gt;1),"※入库单号重复","")))))))</f>
        <v/>
      </c>
    </row>
    <row r="1458">
      <c r="A1458" s="24">
        <f>IF($G1458="","",COUNTA($G$4:$G1458))</f>
        <v/>
      </c>
      <c r="B1458" s="17" t="n"/>
      <c r="C1458" s="30" t="n"/>
      <c r="D1458" s="17" t="n"/>
      <c r="E1458" s="17" t="n"/>
      <c r="F1458" s="17" t="n"/>
      <c r="G1458" s="17" t="n"/>
      <c r="H1458" s="24">
        <f>IF($G1458="","",IFERROR(VLOOKUP($G1458,物料档案!$A$4:$P$1203,3,0),"※编码不在物料档案里"))</f>
        <v/>
      </c>
      <c r="I1458" s="24">
        <f>IF($G1458="","",IFERROR(VLOOKUP($G1458,物料档案!$A$4:$P$1203,4,0),"※编码不在物料档案里"))</f>
        <v/>
      </c>
      <c r="J1458" s="24">
        <f>IF($G1458="","",IFERROR(VLOOKUP($G1458,物料档案!$A$4:$P$1203,5,0),"※编码不在物料档案里"))</f>
        <v/>
      </c>
      <c r="K1458" s="23" t="n"/>
      <c r="L1458" s="31" t="n"/>
      <c r="M1458" s="24">
        <f>IF($G1458="","",IF($D1458="A国内","CNY","TZS"))</f>
        <v/>
      </c>
      <c r="N1458" s="28">
        <f>IF($G1458="","",IF($D1458="A国内",汇率,1))</f>
        <v/>
      </c>
      <c r="O1458" s="25">
        <f>IF($G1458="","",ROUND(N($K1458)*N($L1458),2))</f>
        <v/>
      </c>
      <c r="P1458" s="26">
        <f>IF($G1458="","",ROUND($O1458*$N1458,0))</f>
        <v/>
      </c>
      <c r="Q1458" s="26">
        <f>IF($G1458="","",SUMIFS($P$4:$P$2503,$E$4:$E$2503,$E1458,$Z$4:$Z$2503,"正常"))</f>
        <v/>
      </c>
      <c r="R1458" s="26">
        <f>IF($G1458="","",SUMIFS(费用台账!$I$4:$I$503,费用台账!$C$4:$C$503,$E1458,费用台账!$J$4:$J$503,"是",费用台账!$K$4:$K$503,"正常"))</f>
        <v/>
      </c>
      <c r="S1458" s="28">
        <f>IF($G1458="","",COUNTIFS($E$4:$E$2503,$E1458,$Z$4:$Z$2503,"正常",$Y$4:$Y$2503,"待补价"))</f>
        <v/>
      </c>
      <c r="T1458" s="26">
        <f>IF($G1458="","",SUMIFS($P$4:$P$2503,$E$4:$E$2503,$E1458,$Z$4:$Z$2503,"正常",$A$4:$A$2503,"&lt;="&amp;$A1458))</f>
        <v/>
      </c>
      <c r="U1458" s="26">
        <f>IF($G1458="","",IF(OR($S1458&gt;0,$Q1458=0,$R1458=0,$Z1458&lt;&gt;"正常"),0,ROUND($T1458/$Q1458*$R1458,0)-ROUND(($T1458-$P1458)/$Q1458*$R1458,0)))</f>
        <v/>
      </c>
      <c r="V1458" s="26">
        <f>IF($G1458="","",ROUND($P1458+$U1458,0))</f>
        <v/>
      </c>
      <c r="W1458" s="26">
        <f>IF($G1458="","",IF(N($K1458)=0,0,ROUND($V1458/$K1458,2)))</f>
        <v/>
      </c>
      <c r="X1458" s="17" t="n"/>
      <c r="Y1458" s="17" t="n"/>
      <c r="Z1458" s="17" t="n"/>
      <c r="AA1458" s="17" t="n"/>
      <c r="AB1458" s="17" t="n"/>
      <c r="AC1458" s="24">
        <f>IF($G1458="","",IF($H1458="※编码不在物料档案里","※物料编码不在档案里",IF(N($K1458)&lt;=0,"※入库数量要大于 0",IF(AND($C1458&lt;&gt;"",$C1458&lt;=结账锁),"※日期早于已结账截止日，不能再录",IF(AND($L1458=0,$X1458="正常"),"※没填单价，价格状态请选「待补价」",IF(AND($S1458&gt;0,$R1458&gt;0),"△本批有 "&amp;$S1458&amp;" 行没单价，整批运费先挂账没摊",IF(AND($B1458&lt;&gt;"",COUNTIF($B$4:$B$2503,$B1458)&gt;1),"※入库单号重复","")))))))</f>
        <v/>
      </c>
    </row>
    <row r="1459">
      <c r="A1459" s="24">
        <f>IF($G1459="","",COUNTA($G$4:$G1459))</f>
        <v/>
      </c>
      <c r="B1459" s="17" t="n"/>
      <c r="C1459" s="30" t="n"/>
      <c r="D1459" s="17" t="n"/>
      <c r="E1459" s="17" t="n"/>
      <c r="F1459" s="17" t="n"/>
      <c r="G1459" s="17" t="n"/>
      <c r="H1459" s="24">
        <f>IF($G1459="","",IFERROR(VLOOKUP($G1459,物料档案!$A$4:$P$1203,3,0),"※编码不在物料档案里"))</f>
        <v/>
      </c>
      <c r="I1459" s="24">
        <f>IF($G1459="","",IFERROR(VLOOKUP($G1459,物料档案!$A$4:$P$1203,4,0),"※编码不在物料档案里"))</f>
        <v/>
      </c>
      <c r="J1459" s="24">
        <f>IF($G1459="","",IFERROR(VLOOKUP($G1459,物料档案!$A$4:$P$1203,5,0),"※编码不在物料档案里"))</f>
        <v/>
      </c>
      <c r="K1459" s="23" t="n"/>
      <c r="L1459" s="31" t="n"/>
      <c r="M1459" s="24">
        <f>IF($G1459="","",IF($D1459="A国内","CNY","TZS"))</f>
        <v/>
      </c>
      <c r="N1459" s="28">
        <f>IF($G1459="","",IF($D1459="A国内",汇率,1))</f>
        <v/>
      </c>
      <c r="O1459" s="25">
        <f>IF($G1459="","",ROUND(N($K1459)*N($L1459),2))</f>
        <v/>
      </c>
      <c r="P1459" s="26">
        <f>IF($G1459="","",ROUND($O1459*$N1459,0))</f>
        <v/>
      </c>
      <c r="Q1459" s="26">
        <f>IF($G1459="","",SUMIFS($P$4:$P$2503,$E$4:$E$2503,$E1459,$Z$4:$Z$2503,"正常"))</f>
        <v/>
      </c>
      <c r="R1459" s="26">
        <f>IF($G1459="","",SUMIFS(费用台账!$I$4:$I$503,费用台账!$C$4:$C$503,$E1459,费用台账!$J$4:$J$503,"是",费用台账!$K$4:$K$503,"正常"))</f>
        <v/>
      </c>
      <c r="S1459" s="28">
        <f>IF($G1459="","",COUNTIFS($E$4:$E$2503,$E1459,$Z$4:$Z$2503,"正常",$Y$4:$Y$2503,"待补价"))</f>
        <v/>
      </c>
      <c r="T1459" s="26">
        <f>IF($G1459="","",SUMIFS($P$4:$P$2503,$E$4:$E$2503,$E1459,$Z$4:$Z$2503,"正常",$A$4:$A$2503,"&lt;="&amp;$A1459))</f>
        <v/>
      </c>
      <c r="U1459" s="26">
        <f>IF($G1459="","",IF(OR($S1459&gt;0,$Q1459=0,$R1459=0,$Z1459&lt;&gt;"正常"),0,ROUND($T1459/$Q1459*$R1459,0)-ROUND(($T1459-$P1459)/$Q1459*$R1459,0)))</f>
        <v/>
      </c>
      <c r="V1459" s="26">
        <f>IF($G1459="","",ROUND($P1459+$U1459,0))</f>
        <v/>
      </c>
      <c r="W1459" s="26">
        <f>IF($G1459="","",IF(N($K1459)=0,0,ROUND($V1459/$K1459,2)))</f>
        <v/>
      </c>
      <c r="X1459" s="17" t="n"/>
      <c r="Y1459" s="17" t="n"/>
      <c r="Z1459" s="17" t="n"/>
      <c r="AA1459" s="17" t="n"/>
      <c r="AB1459" s="17" t="n"/>
      <c r="AC1459" s="24">
        <f>IF($G1459="","",IF($H1459="※编码不在物料档案里","※物料编码不在档案里",IF(N($K1459)&lt;=0,"※入库数量要大于 0",IF(AND($C1459&lt;&gt;"",$C1459&lt;=结账锁),"※日期早于已结账截止日，不能再录",IF(AND($L1459=0,$X1459="正常"),"※没填单价，价格状态请选「待补价」",IF(AND($S1459&gt;0,$R1459&gt;0),"△本批有 "&amp;$S1459&amp;" 行没单价，整批运费先挂账没摊",IF(AND($B1459&lt;&gt;"",COUNTIF($B$4:$B$2503,$B1459)&gt;1),"※入库单号重复","")))))))</f>
        <v/>
      </c>
    </row>
    <row r="1460">
      <c r="A1460" s="24">
        <f>IF($G1460="","",COUNTA($G$4:$G1460))</f>
        <v/>
      </c>
      <c r="B1460" s="17" t="n"/>
      <c r="C1460" s="30" t="n"/>
      <c r="D1460" s="17" t="n"/>
      <c r="E1460" s="17" t="n"/>
      <c r="F1460" s="17" t="n"/>
      <c r="G1460" s="17" t="n"/>
      <c r="H1460" s="24">
        <f>IF($G1460="","",IFERROR(VLOOKUP($G1460,物料档案!$A$4:$P$1203,3,0),"※编码不在物料档案里"))</f>
        <v/>
      </c>
      <c r="I1460" s="24">
        <f>IF($G1460="","",IFERROR(VLOOKUP($G1460,物料档案!$A$4:$P$1203,4,0),"※编码不在物料档案里"))</f>
        <v/>
      </c>
      <c r="J1460" s="24">
        <f>IF($G1460="","",IFERROR(VLOOKUP($G1460,物料档案!$A$4:$P$1203,5,0),"※编码不在物料档案里"))</f>
        <v/>
      </c>
      <c r="K1460" s="23" t="n"/>
      <c r="L1460" s="31" t="n"/>
      <c r="M1460" s="24">
        <f>IF($G1460="","",IF($D1460="A国内","CNY","TZS"))</f>
        <v/>
      </c>
      <c r="N1460" s="28">
        <f>IF($G1460="","",IF($D1460="A国内",汇率,1))</f>
        <v/>
      </c>
      <c r="O1460" s="25">
        <f>IF($G1460="","",ROUND(N($K1460)*N($L1460),2))</f>
        <v/>
      </c>
      <c r="P1460" s="26">
        <f>IF($G1460="","",ROUND($O1460*$N1460,0))</f>
        <v/>
      </c>
      <c r="Q1460" s="26">
        <f>IF($G1460="","",SUMIFS($P$4:$P$2503,$E$4:$E$2503,$E1460,$Z$4:$Z$2503,"正常"))</f>
        <v/>
      </c>
      <c r="R1460" s="26">
        <f>IF($G1460="","",SUMIFS(费用台账!$I$4:$I$503,费用台账!$C$4:$C$503,$E1460,费用台账!$J$4:$J$503,"是",费用台账!$K$4:$K$503,"正常"))</f>
        <v/>
      </c>
      <c r="S1460" s="28">
        <f>IF($G1460="","",COUNTIFS($E$4:$E$2503,$E1460,$Z$4:$Z$2503,"正常",$Y$4:$Y$2503,"待补价"))</f>
        <v/>
      </c>
      <c r="T1460" s="26">
        <f>IF($G1460="","",SUMIFS($P$4:$P$2503,$E$4:$E$2503,$E1460,$Z$4:$Z$2503,"正常",$A$4:$A$2503,"&lt;="&amp;$A1460))</f>
        <v/>
      </c>
      <c r="U1460" s="26">
        <f>IF($G1460="","",IF(OR($S1460&gt;0,$Q1460=0,$R1460=0,$Z1460&lt;&gt;"正常"),0,ROUND($T1460/$Q1460*$R1460,0)-ROUND(($T1460-$P1460)/$Q1460*$R1460,0)))</f>
        <v/>
      </c>
      <c r="V1460" s="26">
        <f>IF($G1460="","",ROUND($P1460+$U1460,0))</f>
        <v/>
      </c>
      <c r="W1460" s="26">
        <f>IF($G1460="","",IF(N($K1460)=0,0,ROUND($V1460/$K1460,2)))</f>
        <v/>
      </c>
      <c r="X1460" s="17" t="n"/>
      <c r="Y1460" s="17" t="n"/>
      <c r="Z1460" s="17" t="n"/>
      <c r="AA1460" s="17" t="n"/>
      <c r="AB1460" s="17" t="n"/>
      <c r="AC1460" s="24">
        <f>IF($G1460="","",IF($H1460="※编码不在物料档案里","※物料编码不在档案里",IF(N($K1460)&lt;=0,"※入库数量要大于 0",IF(AND($C1460&lt;&gt;"",$C1460&lt;=结账锁),"※日期早于已结账截止日，不能再录",IF(AND($L1460=0,$X1460="正常"),"※没填单价，价格状态请选「待补价」",IF(AND($S1460&gt;0,$R1460&gt;0),"△本批有 "&amp;$S1460&amp;" 行没单价，整批运费先挂账没摊",IF(AND($B1460&lt;&gt;"",COUNTIF($B$4:$B$2503,$B1460)&gt;1),"※入库单号重复","")))))))</f>
        <v/>
      </c>
    </row>
    <row r="1461">
      <c r="A1461" s="24">
        <f>IF($G1461="","",COUNTA($G$4:$G1461))</f>
        <v/>
      </c>
      <c r="B1461" s="17" t="n"/>
      <c r="C1461" s="30" t="n"/>
      <c r="D1461" s="17" t="n"/>
      <c r="E1461" s="17" t="n"/>
      <c r="F1461" s="17" t="n"/>
      <c r="G1461" s="17" t="n"/>
      <c r="H1461" s="24">
        <f>IF($G1461="","",IFERROR(VLOOKUP($G1461,物料档案!$A$4:$P$1203,3,0),"※编码不在物料档案里"))</f>
        <v/>
      </c>
      <c r="I1461" s="24">
        <f>IF($G1461="","",IFERROR(VLOOKUP($G1461,物料档案!$A$4:$P$1203,4,0),"※编码不在物料档案里"))</f>
        <v/>
      </c>
      <c r="J1461" s="24">
        <f>IF($G1461="","",IFERROR(VLOOKUP($G1461,物料档案!$A$4:$P$1203,5,0),"※编码不在物料档案里"))</f>
        <v/>
      </c>
      <c r="K1461" s="23" t="n"/>
      <c r="L1461" s="31" t="n"/>
      <c r="M1461" s="24">
        <f>IF($G1461="","",IF($D1461="A国内","CNY","TZS"))</f>
        <v/>
      </c>
      <c r="N1461" s="28">
        <f>IF($G1461="","",IF($D1461="A国内",汇率,1))</f>
        <v/>
      </c>
      <c r="O1461" s="25">
        <f>IF($G1461="","",ROUND(N($K1461)*N($L1461),2))</f>
        <v/>
      </c>
      <c r="P1461" s="26">
        <f>IF($G1461="","",ROUND($O1461*$N1461,0))</f>
        <v/>
      </c>
      <c r="Q1461" s="26">
        <f>IF($G1461="","",SUMIFS($P$4:$P$2503,$E$4:$E$2503,$E1461,$Z$4:$Z$2503,"正常"))</f>
        <v/>
      </c>
      <c r="R1461" s="26">
        <f>IF($G1461="","",SUMIFS(费用台账!$I$4:$I$503,费用台账!$C$4:$C$503,$E1461,费用台账!$J$4:$J$503,"是",费用台账!$K$4:$K$503,"正常"))</f>
        <v/>
      </c>
      <c r="S1461" s="28">
        <f>IF($G1461="","",COUNTIFS($E$4:$E$2503,$E1461,$Z$4:$Z$2503,"正常",$Y$4:$Y$2503,"待补价"))</f>
        <v/>
      </c>
      <c r="T1461" s="26">
        <f>IF($G1461="","",SUMIFS($P$4:$P$2503,$E$4:$E$2503,$E1461,$Z$4:$Z$2503,"正常",$A$4:$A$2503,"&lt;="&amp;$A1461))</f>
        <v/>
      </c>
      <c r="U1461" s="26">
        <f>IF($G1461="","",IF(OR($S1461&gt;0,$Q1461=0,$R1461=0,$Z1461&lt;&gt;"正常"),0,ROUND($T1461/$Q1461*$R1461,0)-ROUND(($T1461-$P1461)/$Q1461*$R1461,0)))</f>
        <v/>
      </c>
      <c r="V1461" s="26">
        <f>IF($G1461="","",ROUND($P1461+$U1461,0))</f>
        <v/>
      </c>
      <c r="W1461" s="26">
        <f>IF($G1461="","",IF(N($K1461)=0,0,ROUND($V1461/$K1461,2)))</f>
        <v/>
      </c>
      <c r="X1461" s="17" t="n"/>
      <c r="Y1461" s="17" t="n"/>
      <c r="Z1461" s="17" t="n"/>
      <c r="AA1461" s="17" t="n"/>
      <c r="AB1461" s="17" t="n"/>
      <c r="AC1461" s="24">
        <f>IF($G1461="","",IF($H1461="※编码不在物料档案里","※物料编码不在档案里",IF(N($K1461)&lt;=0,"※入库数量要大于 0",IF(AND($C1461&lt;&gt;"",$C1461&lt;=结账锁),"※日期早于已结账截止日，不能再录",IF(AND($L1461=0,$X1461="正常"),"※没填单价，价格状态请选「待补价」",IF(AND($S1461&gt;0,$R1461&gt;0),"△本批有 "&amp;$S1461&amp;" 行没单价，整批运费先挂账没摊",IF(AND($B1461&lt;&gt;"",COUNTIF($B$4:$B$2503,$B1461)&gt;1),"※入库单号重复","")))))))</f>
        <v/>
      </c>
    </row>
    <row r="1462">
      <c r="A1462" s="24">
        <f>IF($G1462="","",COUNTA($G$4:$G1462))</f>
        <v/>
      </c>
      <c r="B1462" s="17" t="n"/>
      <c r="C1462" s="30" t="n"/>
      <c r="D1462" s="17" t="n"/>
      <c r="E1462" s="17" t="n"/>
      <c r="F1462" s="17" t="n"/>
      <c r="G1462" s="17" t="n"/>
      <c r="H1462" s="24">
        <f>IF($G1462="","",IFERROR(VLOOKUP($G1462,物料档案!$A$4:$P$1203,3,0),"※编码不在物料档案里"))</f>
        <v/>
      </c>
      <c r="I1462" s="24">
        <f>IF($G1462="","",IFERROR(VLOOKUP($G1462,物料档案!$A$4:$P$1203,4,0),"※编码不在物料档案里"))</f>
        <v/>
      </c>
      <c r="J1462" s="24">
        <f>IF($G1462="","",IFERROR(VLOOKUP($G1462,物料档案!$A$4:$P$1203,5,0),"※编码不在物料档案里"))</f>
        <v/>
      </c>
      <c r="K1462" s="23" t="n"/>
      <c r="L1462" s="31" t="n"/>
      <c r="M1462" s="24">
        <f>IF($G1462="","",IF($D1462="A国内","CNY","TZS"))</f>
        <v/>
      </c>
      <c r="N1462" s="28">
        <f>IF($G1462="","",IF($D1462="A国内",汇率,1))</f>
        <v/>
      </c>
      <c r="O1462" s="25">
        <f>IF($G1462="","",ROUND(N($K1462)*N($L1462),2))</f>
        <v/>
      </c>
      <c r="P1462" s="26">
        <f>IF($G1462="","",ROUND($O1462*$N1462,0))</f>
        <v/>
      </c>
      <c r="Q1462" s="26">
        <f>IF($G1462="","",SUMIFS($P$4:$P$2503,$E$4:$E$2503,$E1462,$Z$4:$Z$2503,"正常"))</f>
        <v/>
      </c>
      <c r="R1462" s="26">
        <f>IF($G1462="","",SUMIFS(费用台账!$I$4:$I$503,费用台账!$C$4:$C$503,$E1462,费用台账!$J$4:$J$503,"是",费用台账!$K$4:$K$503,"正常"))</f>
        <v/>
      </c>
      <c r="S1462" s="28">
        <f>IF($G1462="","",COUNTIFS($E$4:$E$2503,$E1462,$Z$4:$Z$2503,"正常",$Y$4:$Y$2503,"待补价"))</f>
        <v/>
      </c>
      <c r="T1462" s="26">
        <f>IF($G1462="","",SUMIFS($P$4:$P$2503,$E$4:$E$2503,$E1462,$Z$4:$Z$2503,"正常",$A$4:$A$2503,"&lt;="&amp;$A1462))</f>
        <v/>
      </c>
      <c r="U1462" s="26">
        <f>IF($G1462="","",IF(OR($S1462&gt;0,$Q1462=0,$R1462=0,$Z1462&lt;&gt;"正常"),0,ROUND($T1462/$Q1462*$R1462,0)-ROUND(($T1462-$P1462)/$Q1462*$R1462,0)))</f>
        <v/>
      </c>
      <c r="V1462" s="26">
        <f>IF($G1462="","",ROUND($P1462+$U1462,0))</f>
        <v/>
      </c>
      <c r="W1462" s="26">
        <f>IF($G1462="","",IF(N($K1462)=0,0,ROUND($V1462/$K1462,2)))</f>
        <v/>
      </c>
      <c r="X1462" s="17" t="n"/>
      <c r="Y1462" s="17" t="n"/>
      <c r="Z1462" s="17" t="n"/>
      <c r="AA1462" s="17" t="n"/>
      <c r="AB1462" s="17" t="n"/>
      <c r="AC1462" s="24">
        <f>IF($G1462="","",IF($H1462="※编码不在物料档案里","※物料编码不在档案里",IF(N($K1462)&lt;=0,"※入库数量要大于 0",IF(AND($C1462&lt;&gt;"",$C1462&lt;=结账锁),"※日期早于已结账截止日，不能再录",IF(AND($L1462=0,$X1462="正常"),"※没填单价，价格状态请选「待补价」",IF(AND($S1462&gt;0,$R1462&gt;0),"△本批有 "&amp;$S1462&amp;" 行没单价，整批运费先挂账没摊",IF(AND($B1462&lt;&gt;"",COUNTIF($B$4:$B$2503,$B1462)&gt;1),"※入库单号重复","")))))))</f>
        <v/>
      </c>
    </row>
    <row r="1463">
      <c r="A1463" s="24">
        <f>IF($G1463="","",COUNTA($G$4:$G1463))</f>
        <v/>
      </c>
      <c r="B1463" s="17" t="n"/>
      <c r="C1463" s="30" t="n"/>
      <c r="D1463" s="17" t="n"/>
      <c r="E1463" s="17" t="n"/>
      <c r="F1463" s="17" t="n"/>
      <c r="G1463" s="17" t="n"/>
      <c r="H1463" s="24">
        <f>IF($G1463="","",IFERROR(VLOOKUP($G1463,物料档案!$A$4:$P$1203,3,0),"※编码不在物料档案里"))</f>
        <v/>
      </c>
      <c r="I1463" s="24">
        <f>IF($G1463="","",IFERROR(VLOOKUP($G1463,物料档案!$A$4:$P$1203,4,0),"※编码不在物料档案里"))</f>
        <v/>
      </c>
      <c r="J1463" s="24">
        <f>IF($G1463="","",IFERROR(VLOOKUP($G1463,物料档案!$A$4:$P$1203,5,0),"※编码不在物料档案里"))</f>
        <v/>
      </c>
      <c r="K1463" s="23" t="n"/>
      <c r="L1463" s="31" t="n"/>
      <c r="M1463" s="24">
        <f>IF($G1463="","",IF($D1463="A国内","CNY","TZS"))</f>
        <v/>
      </c>
      <c r="N1463" s="28">
        <f>IF($G1463="","",IF($D1463="A国内",汇率,1))</f>
        <v/>
      </c>
      <c r="O1463" s="25">
        <f>IF($G1463="","",ROUND(N($K1463)*N($L1463),2))</f>
        <v/>
      </c>
      <c r="P1463" s="26">
        <f>IF($G1463="","",ROUND($O1463*$N1463,0))</f>
        <v/>
      </c>
      <c r="Q1463" s="26">
        <f>IF($G1463="","",SUMIFS($P$4:$P$2503,$E$4:$E$2503,$E1463,$Z$4:$Z$2503,"正常"))</f>
        <v/>
      </c>
      <c r="R1463" s="26">
        <f>IF($G1463="","",SUMIFS(费用台账!$I$4:$I$503,费用台账!$C$4:$C$503,$E1463,费用台账!$J$4:$J$503,"是",费用台账!$K$4:$K$503,"正常"))</f>
        <v/>
      </c>
      <c r="S1463" s="28">
        <f>IF($G1463="","",COUNTIFS($E$4:$E$2503,$E1463,$Z$4:$Z$2503,"正常",$Y$4:$Y$2503,"待补价"))</f>
        <v/>
      </c>
      <c r="T1463" s="26">
        <f>IF($G1463="","",SUMIFS($P$4:$P$2503,$E$4:$E$2503,$E1463,$Z$4:$Z$2503,"正常",$A$4:$A$2503,"&lt;="&amp;$A1463))</f>
        <v/>
      </c>
      <c r="U1463" s="26">
        <f>IF($G1463="","",IF(OR($S1463&gt;0,$Q1463=0,$R1463=0,$Z1463&lt;&gt;"正常"),0,ROUND($T1463/$Q1463*$R1463,0)-ROUND(($T1463-$P1463)/$Q1463*$R1463,0)))</f>
        <v/>
      </c>
      <c r="V1463" s="26">
        <f>IF($G1463="","",ROUND($P1463+$U1463,0))</f>
        <v/>
      </c>
      <c r="W1463" s="26">
        <f>IF($G1463="","",IF(N($K1463)=0,0,ROUND($V1463/$K1463,2)))</f>
        <v/>
      </c>
      <c r="X1463" s="17" t="n"/>
      <c r="Y1463" s="17" t="n"/>
      <c r="Z1463" s="17" t="n"/>
      <c r="AA1463" s="17" t="n"/>
      <c r="AB1463" s="17" t="n"/>
      <c r="AC1463" s="24">
        <f>IF($G1463="","",IF($H1463="※编码不在物料档案里","※物料编码不在档案里",IF(N($K1463)&lt;=0,"※入库数量要大于 0",IF(AND($C1463&lt;&gt;"",$C1463&lt;=结账锁),"※日期早于已结账截止日，不能再录",IF(AND($L1463=0,$X1463="正常"),"※没填单价，价格状态请选「待补价」",IF(AND($S1463&gt;0,$R1463&gt;0),"△本批有 "&amp;$S1463&amp;" 行没单价，整批运费先挂账没摊",IF(AND($B1463&lt;&gt;"",COUNTIF($B$4:$B$2503,$B1463)&gt;1),"※入库单号重复","")))))))</f>
        <v/>
      </c>
    </row>
    <row r="1464">
      <c r="A1464" s="24">
        <f>IF($G1464="","",COUNTA($G$4:$G1464))</f>
        <v/>
      </c>
      <c r="B1464" s="17" t="n"/>
      <c r="C1464" s="30" t="n"/>
      <c r="D1464" s="17" t="n"/>
      <c r="E1464" s="17" t="n"/>
      <c r="F1464" s="17" t="n"/>
      <c r="G1464" s="17" t="n"/>
      <c r="H1464" s="24">
        <f>IF($G1464="","",IFERROR(VLOOKUP($G1464,物料档案!$A$4:$P$1203,3,0),"※编码不在物料档案里"))</f>
        <v/>
      </c>
      <c r="I1464" s="24">
        <f>IF($G1464="","",IFERROR(VLOOKUP($G1464,物料档案!$A$4:$P$1203,4,0),"※编码不在物料档案里"))</f>
        <v/>
      </c>
      <c r="J1464" s="24">
        <f>IF($G1464="","",IFERROR(VLOOKUP($G1464,物料档案!$A$4:$P$1203,5,0),"※编码不在物料档案里"))</f>
        <v/>
      </c>
      <c r="K1464" s="23" t="n"/>
      <c r="L1464" s="31" t="n"/>
      <c r="M1464" s="24">
        <f>IF($G1464="","",IF($D1464="A国内","CNY","TZS"))</f>
        <v/>
      </c>
      <c r="N1464" s="28">
        <f>IF($G1464="","",IF($D1464="A国内",汇率,1))</f>
        <v/>
      </c>
      <c r="O1464" s="25">
        <f>IF($G1464="","",ROUND(N($K1464)*N($L1464),2))</f>
        <v/>
      </c>
      <c r="P1464" s="26">
        <f>IF($G1464="","",ROUND($O1464*$N1464,0))</f>
        <v/>
      </c>
      <c r="Q1464" s="26">
        <f>IF($G1464="","",SUMIFS($P$4:$P$2503,$E$4:$E$2503,$E1464,$Z$4:$Z$2503,"正常"))</f>
        <v/>
      </c>
      <c r="R1464" s="26">
        <f>IF($G1464="","",SUMIFS(费用台账!$I$4:$I$503,费用台账!$C$4:$C$503,$E1464,费用台账!$J$4:$J$503,"是",费用台账!$K$4:$K$503,"正常"))</f>
        <v/>
      </c>
      <c r="S1464" s="28">
        <f>IF($G1464="","",COUNTIFS($E$4:$E$2503,$E1464,$Z$4:$Z$2503,"正常",$Y$4:$Y$2503,"待补价"))</f>
        <v/>
      </c>
      <c r="T1464" s="26">
        <f>IF($G1464="","",SUMIFS($P$4:$P$2503,$E$4:$E$2503,$E1464,$Z$4:$Z$2503,"正常",$A$4:$A$2503,"&lt;="&amp;$A1464))</f>
        <v/>
      </c>
      <c r="U1464" s="26">
        <f>IF($G1464="","",IF(OR($S1464&gt;0,$Q1464=0,$R1464=0,$Z1464&lt;&gt;"正常"),0,ROUND($T1464/$Q1464*$R1464,0)-ROUND(($T1464-$P1464)/$Q1464*$R1464,0)))</f>
        <v/>
      </c>
      <c r="V1464" s="26">
        <f>IF($G1464="","",ROUND($P1464+$U1464,0))</f>
        <v/>
      </c>
      <c r="W1464" s="26">
        <f>IF($G1464="","",IF(N($K1464)=0,0,ROUND($V1464/$K1464,2)))</f>
        <v/>
      </c>
      <c r="X1464" s="17" t="n"/>
      <c r="Y1464" s="17" t="n"/>
      <c r="Z1464" s="17" t="n"/>
      <c r="AA1464" s="17" t="n"/>
      <c r="AB1464" s="17" t="n"/>
      <c r="AC1464" s="24">
        <f>IF($G1464="","",IF($H1464="※编码不在物料档案里","※物料编码不在档案里",IF(N($K1464)&lt;=0,"※入库数量要大于 0",IF(AND($C1464&lt;&gt;"",$C1464&lt;=结账锁),"※日期早于已结账截止日，不能再录",IF(AND($L1464=0,$X1464="正常"),"※没填单价，价格状态请选「待补价」",IF(AND($S1464&gt;0,$R1464&gt;0),"△本批有 "&amp;$S1464&amp;" 行没单价，整批运费先挂账没摊",IF(AND($B1464&lt;&gt;"",COUNTIF($B$4:$B$2503,$B1464)&gt;1),"※入库单号重复","")))))))</f>
        <v/>
      </c>
    </row>
    <row r="1465">
      <c r="A1465" s="24">
        <f>IF($G1465="","",COUNTA($G$4:$G1465))</f>
        <v/>
      </c>
      <c r="B1465" s="17" t="n"/>
      <c r="C1465" s="30" t="n"/>
      <c r="D1465" s="17" t="n"/>
      <c r="E1465" s="17" t="n"/>
      <c r="F1465" s="17" t="n"/>
      <c r="G1465" s="17" t="n"/>
      <c r="H1465" s="24">
        <f>IF($G1465="","",IFERROR(VLOOKUP($G1465,物料档案!$A$4:$P$1203,3,0),"※编码不在物料档案里"))</f>
        <v/>
      </c>
      <c r="I1465" s="24">
        <f>IF($G1465="","",IFERROR(VLOOKUP($G1465,物料档案!$A$4:$P$1203,4,0),"※编码不在物料档案里"))</f>
        <v/>
      </c>
      <c r="J1465" s="24">
        <f>IF($G1465="","",IFERROR(VLOOKUP($G1465,物料档案!$A$4:$P$1203,5,0),"※编码不在物料档案里"))</f>
        <v/>
      </c>
      <c r="K1465" s="23" t="n"/>
      <c r="L1465" s="31" t="n"/>
      <c r="M1465" s="24">
        <f>IF($G1465="","",IF($D1465="A国内","CNY","TZS"))</f>
        <v/>
      </c>
      <c r="N1465" s="28">
        <f>IF($G1465="","",IF($D1465="A国内",汇率,1))</f>
        <v/>
      </c>
      <c r="O1465" s="25">
        <f>IF($G1465="","",ROUND(N($K1465)*N($L1465),2))</f>
        <v/>
      </c>
      <c r="P1465" s="26">
        <f>IF($G1465="","",ROUND($O1465*$N1465,0))</f>
        <v/>
      </c>
      <c r="Q1465" s="26">
        <f>IF($G1465="","",SUMIFS($P$4:$P$2503,$E$4:$E$2503,$E1465,$Z$4:$Z$2503,"正常"))</f>
        <v/>
      </c>
      <c r="R1465" s="26">
        <f>IF($G1465="","",SUMIFS(费用台账!$I$4:$I$503,费用台账!$C$4:$C$503,$E1465,费用台账!$J$4:$J$503,"是",费用台账!$K$4:$K$503,"正常"))</f>
        <v/>
      </c>
      <c r="S1465" s="28">
        <f>IF($G1465="","",COUNTIFS($E$4:$E$2503,$E1465,$Z$4:$Z$2503,"正常",$Y$4:$Y$2503,"待补价"))</f>
        <v/>
      </c>
      <c r="T1465" s="26">
        <f>IF($G1465="","",SUMIFS($P$4:$P$2503,$E$4:$E$2503,$E1465,$Z$4:$Z$2503,"正常",$A$4:$A$2503,"&lt;="&amp;$A1465))</f>
        <v/>
      </c>
      <c r="U1465" s="26">
        <f>IF($G1465="","",IF(OR($S1465&gt;0,$Q1465=0,$R1465=0,$Z1465&lt;&gt;"正常"),0,ROUND($T1465/$Q1465*$R1465,0)-ROUND(($T1465-$P1465)/$Q1465*$R1465,0)))</f>
        <v/>
      </c>
      <c r="V1465" s="26">
        <f>IF($G1465="","",ROUND($P1465+$U1465,0))</f>
        <v/>
      </c>
      <c r="W1465" s="26">
        <f>IF($G1465="","",IF(N($K1465)=0,0,ROUND($V1465/$K1465,2)))</f>
        <v/>
      </c>
      <c r="X1465" s="17" t="n"/>
      <c r="Y1465" s="17" t="n"/>
      <c r="Z1465" s="17" t="n"/>
      <c r="AA1465" s="17" t="n"/>
      <c r="AB1465" s="17" t="n"/>
      <c r="AC1465" s="24">
        <f>IF($G1465="","",IF($H1465="※编码不在物料档案里","※物料编码不在档案里",IF(N($K1465)&lt;=0,"※入库数量要大于 0",IF(AND($C1465&lt;&gt;"",$C1465&lt;=结账锁),"※日期早于已结账截止日，不能再录",IF(AND($L1465=0,$X1465="正常"),"※没填单价，价格状态请选「待补价」",IF(AND($S1465&gt;0,$R1465&gt;0),"△本批有 "&amp;$S1465&amp;" 行没单价，整批运费先挂账没摊",IF(AND($B1465&lt;&gt;"",COUNTIF($B$4:$B$2503,$B1465)&gt;1),"※入库单号重复","")))))))</f>
        <v/>
      </c>
    </row>
    <row r="1466">
      <c r="A1466" s="24">
        <f>IF($G1466="","",COUNTA($G$4:$G1466))</f>
        <v/>
      </c>
      <c r="B1466" s="17" t="n"/>
      <c r="C1466" s="30" t="n"/>
      <c r="D1466" s="17" t="n"/>
      <c r="E1466" s="17" t="n"/>
      <c r="F1466" s="17" t="n"/>
      <c r="G1466" s="17" t="n"/>
      <c r="H1466" s="24">
        <f>IF($G1466="","",IFERROR(VLOOKUP($G1466,物料档案!$A$4:$P$1203,3,0),"※编码不在物料档案里"))</f>
        <v/>
      </c>
      <c r="I1466" s="24">
        <f>IF($G1466="","",IFERROR(VLOOKUP($G1466,物料档案!$A$4:$P$1203,4,0),"※编码不在物料档案里"))</f>
        <v/>
      </c>
      <c r="J1466" s="24">
        <f>IF($G1466="","",IFERROR(VLOOKUP($G1466,物料档案!$A$4:$P$1203,5,0),"※编码不在物料档案里"))</f>
        <v/>
      </c>
      <c r="K1466" s="23" t="n"/>
      <c r="L1466" s="31" t="n"/>
      <c r="M1466" s="24">
        <f>IF($G1466="","",IF($D1466="A国内","CNY","TZS"))</f>
        <v/>
      </c>
      <c r="N1466" s="28">
        <f>IF($G1466="","",IF($D1466="A国内",汇率,1))</f>
        <v/>
      </c>
      <c r="O1466" s="25">
        <f>IF($G1466="","",ROUND(N($K1466)*N($L1466),2))</f>
        <v/>
      </c>
      <c r="P1466" s="26">
        <f>IF($G1466="","",ROUND($O1466*$N1466,0))</f>
        <v/>
      </c>
      <c r="Q1466" s="26">
        <f>IF($G1466="","",SUMIFS($P$4:$P$2503,$E$4:$E$2503,$E1466,$Z$4:$Z$2503,"正常"))</f>
        <v/>
      </c>
      <c r="R1466" s="26">
        <f>IF($G1466="","",SUMIFS(费用台账!$I$4:$I$503,费用台账!$C$4:$C$503,$E1466,费用台账!$J$4:$J$503,"是",费用台账!$K$4:$K$503,"正常"))</f>
        <v/>
      </c>
      <c r="S1466" s="28">
        <f>IF($G1466="","",COUNTIFS($E$4:$E$2503,$E1466,$Z$4:$Z$2503,"正常",$Y$4:$Y$2503,"待补价"))</f>
        <v/>
      </c>
      <c r="T1466" s="26">
        <f>IF($G1466="","",SUMIFS($P$4:$P$2503,$E$4:$E$2503,$E1466,$Z$4:$Z$2503,"正常",$A$4:$A$2503,"&lt;="&amp;$A1466))</f>
        <v/>
      </c>
      <c r="U1466" s="26">
        <f>IF($G1466="","",IF(OR($S1466&gt;0,$Q1466=0,$R1466=0,$Z1466&lt;&gt;"正常"),0,ROUND($T1466/$Q1466*$R1466,0)-ROUND(($T1466-$P1466)/$Q1466*$R1466,0)))</f>
        <v/>
      </c>
      <c r="V1466" s="26">
        <f>IF($G1466="","",ROUND($P1466+$U1466,0))</f>
        <v/>
      </c>
      <c r="W1466" s="26">
        <f>IF($G1466="","",IF(N($K1466)=0,0,ROUND($V1466/$K1466,2)))</f>
        <v/>
      </c>
      <c r="X1466" s="17" t="n"/>
      <c r="Y1466" s="17" t="n"/>
      <c r="Z1466" s="17" t="n"/>
      <c r="AA1466" s="17" t="n"/>
      <c r="AB1466" s="17" t="n"/>
      <c r="AC1466" s="24">
        <f>IF($G1466="","",IF($H1466="※编码不在物料档案里","※物料编码不在档案里",IF(N($K1466)&lt;=0,"※入库数量要大于 0",IF(AND($C1466&lt;&gt;"",$C1466&lt;=结账锁),"※日期早于已结账截止日，不能再录",IF(AND($L1466=0,$X1466="正常"),"※没填单价，价格状态请选「待补价」",IF(AND($S1466&gt;0,$R1466&gt;0),"△本批有 "&amp;$S1466&amp;" 行没单价，整批运费先挂账没摊",IF(AND($B1466&lt;&gt;"",COUNTIF($B$4:$B$2503,$B1466)&gt;1),"※入库单号重复","")))))))</f>
        <v/>
      </c>
    </row>
    <row r="1467">
      <c r="A1467" s="24">
        <f>IF($G1467="","",COUNTA($G$4:$G1467))</f>
        <v/>
      </c>
      <c r="B1467" s="17" t="n"/>
      <c r="C1467" s="30" t="n"/>
      <c r="D1467" s="17" t="n"/>
      <c r="E1467" s="17" t="n"/>
      <c r="F1467" s="17" t="n"/>
      <c r="G1467" s="17" t="n"/>
      <c r="H1467" s="24">
        <f>IF($G1467="","",IFERROR(VLOOKUP($G1467,物料档案!$A$4:$P$1203,3,0),"※编码不在物料档案里"))</f>
        <v/>
      </c>
      <c r="I1467" s="24">
        <f>IF($G1467="","",IFERROR(VLOOKUP($G1467,物料档案!$A$4:$P$1203,4,0),"※编码不在物料档案里"))</f>
        <v/>
      </c>
      <c r="J1467" s="24">
        <f>IF($G1467="","",IFERROR(VLOOKUP($G1467,物料档案!$A$4:$P$1203,5,0),"※编码不在物料档案里"))</f>
        <v/>
      </c>
      <c r="K1467" s="23" t="n"/>
      <c r="L1467" s="31" t="n"/>
      <c r="M1467" s="24">
        <f>IF($G1467="","",IF($D1467="A国内","CNY","TZS"))</f>
        <v/>
      </c>
      <c r="N1467" s="28">
        <f>IF($G1467="","",IF($D1467="A国内",汇率,1))</f>
        <v/>
      </c>
      <c r="O1467" s="25">
        <f>IF($G1467="","",ROUND(N($K1467)*N($L1467),2))</f>
        <v/>
      </c>
      <c r="P1467" s="26">
        <f>IF($G1467="","",ROUND($O1467*$N1467,0))</f>
        <v/>
      </c>
      <c r="Q1467" s="26">
        <f>IF($G1467="","",SUMIFS($P$4:$P$2503,$E$4:$E$2503,$E1467,$Z$4:$Z$2503,"正常"))</f>
        <v/>
      </c>
      <c r="R1467" s="26">
        <f>IF($G1467="","",SUMIFS(费用台账!$I$4:$I$503,费用台账!$C$4:$C$503,$E1467,费用台账!$J$4:$J$503,"是",费用台账!$K$4:$K$503,"正常"))</f>
        <v/>
      </c>
      <c r="S1467" s="28">
        <f>IF($G1467="","",COUNTIFS($E$4:$E$2503,$E1467,$Z$4:$Z$2503,"正常",$Y$4:$Y$2503,"待补价"))</f>
        <v/>
      </c>
      <c r="T1467" s="26">
        <f>IF($G1467="","",SUMIFS($P$4:$P$2503,$E$4:$E$2503,$E1467,$Z$4:$Z$2503,"正常",$A$4:$A$2503,"&lt;="&amp;$A1467))</f>
        <v/>
      </c>
      <c r="U1467" s="26">
        <f>IF($G1467="","",IF(OR($S1467&gt;0,$Q1467=0,$R1467=0,$Z1467&lt;&gt;"正常"),0,ROUND($T1467/$Q1467*$R1467,0)-ROUND(($T1467-$P1467)/$Q1467*$R1467,0)))</f>
        <v/>
      </c>
      <c r="V1467" s="26">
        <f>IF($G1467="","",ROUND($P1467+$U1467,0))</f>
        <v/>
      </c>
      <c r="W1467" s="26">
        <f>IF($G1467="","",IF(N($K1467)=0,0,ROUND($V1467/$K1467,2)))</f>
        <v/>
      </c>
      <c r="X1467" s="17" t="n"/>
      <c r="Y1467" s="17" t="n"/>
      <c r="Z1467" s="17" t="n"/>
      <c r="AA1467" s="17" t="n"/>
      <c r="AB1467" s="17" t="n"/>
      <c r="AC1467" s="24">
        <f>IF($G1467="","",IF($H1467="※编码不在物料档案里","※物料编码不在档案里",IF(N($K1467)&lt;=0,"※入库数量要大于 0",IF(AND($C1467&lt;&gt;"",$C1467&lt;=结账锁),"※日期早于已结账截止日，不能再录",IF(AND($L1467=0,$X1467="正常"),"※没填单价，价格状态请选「待补价」",IF(AND($S1467&gt;0,$R1467&gt;0),"△本批有 "&amp;$S1467&amp;" 行没单价，整批运费先挂账没摊",IF(AND($B1467&lt;&gt;"",COUNTIF($B$4:$B$2503,$B1467)&gt;1),"※入库单号重复","")))))))</f>
        <v/>
      </c>
    </row>
    <row r="1468">
      <c r="A1468" s="24">
        <f>IF($G1468="","",COUNTA($G$4:$G1468))</f>
        <v/>
      </c>
      <c r="B1468" s="17" t="n"/>
      <c r="C1468" s="30" t="n"/>
      <c r="D1468" s="17" t="n"/>
      <c r="E1468" s="17" t="n"/>
      <c r="F1468" s="17" t="n"/>
      <c r="G1468" s="17" t="n"/>
      <c r="H1468" s="24">
        <f>IF($G1468="","",IFERROR(VLOOKUP($G1468,物料档案!$A$4:$P$1203,3,0),"※编码不在物料档案里"))</f>
        <v/>
      </c>
      <c r="I1468" s="24">
        <f>IF($G1468="","",IFERROR(VLOOKUP($G1468,物料档案!$A$4:$P$1203,4,0),"※编码不在物料档案里"))</f>
        <v/>
      </c>
      <c r="J1468" s="24">
        <f>IF($G1468="","",IFERROR(VLOOKUP($G1468,物料档案!$A$4:$P$1203,5,0),"※编码不在物料档案里"))</f>
        <v/>
      </c>
      <c r="K1468" s="23" t="n"/>
      <c r="L1468" s="31" t="n"/>
      <c r="M1468" s="24">
        <f>IF($G1468="","",IF($D1468="A国内","CNY","TZS"))</f>
        <v/>
      </c>
      <c r="N1468" s="28">
        <f>IF($G1468="","",IF($D1468="A国内",汇率,1))</f>
        <v/>
      </c>
      <c r="O1468" s="25">
        <f>IF($G1468="","",ROUND(N($K1468)*N($L1468),2))</f>
        <v/>
      </c>
      <c r="P1468" s="26">
        <f>IF($G1468="","",ROUND($O1468*$N1468,0))</f>
        <v/>
      </c>
      <c r="Q1468" s="26">
        <f>IF($G1468="","",SUMIFS($P$4:$P$2503,$E$4:$E$2503,$E1468,$Z$4:$Z$2503,"正常"))</f>
        <v/>
      </c>
      <c r="R1468" s="26">
        <f>IF($G1468="","",SUMIFS(费用台账!$I$4:$I$503,费用台账!$C$4:$C$503,$E1468,费用台账!$J$4:$J$503,"是",费用台账!$K$4:$K$503,"正常"))</f>
        <v/>
      </c>
      <c r="S1468" s="28">
        <f>IF($G1468="","",COUNTIFS($E$4:$E$2503,$E1468,$Z$4:$Z$2503,"正常",$Y$4:$Y$2503,"待补价"))</f>
        <v/>
      </c>
      <c r="T1468" s="26">
        <f>IF($G1468="","",SUMIFS($P$4:$P$2503,$E$4:$E$2503,$E1468,$Z$4:$Z$2503,"正常",$A$4:$A$2503,"&lt;="&amp;$A1468))</f>
        <v/>
      </c>
      <c r="U1468" s="26">
        <f>IF($G1468="","",IF(OR($S1468&gt;0,$Q1468=0,$R1468=0,$Z1468&lt;&gt;"正常"),0,ROUND($T1468/$Q1468*$R1468,0)-ROUND(($T1468-$P1468)/$Q1468*$R1468,0)))</f>
        <v/>
      </c>
      <c r="V1468" s="26">
        <f>IF($G1468="","",ROUND($P1468+$U1468,0))</f>
        <v/>
      </c>
      <c r="W1468" s="26">
        <f>IF($G1468="","",IF(N($K1468)=0,0,ROUND($V1468/$K1468,2)))</f>
        <v/>
      </c>
      <c r="X1468" s="17" t="n"/>
      <c r="Y1468" s="17" t="n"/>
      <c r="Z1468" s="17" t="n"/>
      <c r="AA1468" s="17" t="n"/>
      <c r="AB1468" s="17" t="n"/>
      <c r="AC1468" s="24">
        <f>IF($G1468="","",IF($H1468="※编码不在物料档案里","※物料编码不在档案里",IF(N($K1468)&lt;=0,"※入库数量要大于 0",IF(AND($C1468&lt;&gt;"",$C1468&lt;=结账锁),"※日期早于已结账截止日，不能再录",IF(AND($L1468=0,$X1468="正常"),"※没填单价，价格状态请选「待补价」",IF(AND($S1468&gt;0,$R1468&gt;0),"△本批有 "&amp;$S1468&amp;" 行没单价，整批运费先挂账没摊",IF(AND($B1468&lt;&gt;"",COUNTIF($B$4:$B$2503,$B1468)&gt;1),"※入库单号重复","")))))))</f>
        <v/>
      </c>
    </row>
    <row r="1469">
      <c r="A1469" s="24">
        <f>IF($G1469="","",COUNTA($G$4:$G1469))</f>
        <v/>
      </c>
      <c r="B1469" s="17" t="n"/>
      <c r="C1469" s="30" t="n"/>
      <c r="D1469" s="17" t="n"/>
      <c r="E1469" s="17" t="n"/>
      <c r="F1469" s="17" t="n"/>
      <c r="G1469" s="17" t="n"/>
      <c r="H1469" s="24">
        <f>IF($G1469="","",IFERROR(VLOOKUP($G1469,物料档案!$A$4:$P$1203,3,0),"※编码不在物料档案里"))</f>
        <v/>
      </c>
      <c r="I1469" s="24">
        <f>IF($G1469="","",IFERROR(VLOOKUP($G1469,物料档案!$A$4:$P$1203,4,0),"※编码不在物料档案里"))</f>
        <v/>
      </c>
      <c r="J1469" s="24">
        <f>IF($G1469="","",IFERROR(VLOOKUP($G1469,物料档案!$A$4:$P$1203,5,0),"※编码不在物料档案里"))</f>
        <v/>
      </c>
      <c r="K1469" s="23" t="n"/>
      <c r="L1469" s="31" t="n"/>
      <c r="M1469" s="24">
        <f>IF($G1469="","",IF($D1469="A国内","CNY","TZS"))</f>
        <v/>
      </c>
      <c r="N1469" s="28">
        <f>IF($G1469="","",IF($D1469="A国内",汇率,1))</f>
        <v/>
      </c>
      <c r="O1469" s="25">
        <f>IF($G1469="","",ROUND(N($K1469)*N($L1469),2))</f>
        <v/>
      </c>
      <c r="P1469" s="26">
        <f>IF($G1469="","",ROUND($O1469*$N1469,0))</f>
        <v/>
      </c>
      <c r="Q1469" s="26">
        <f>IF($G1469="","",SUMIFS($P$4:$P$2503,$E$4:$E$2503,$E1469,$Z$4:$Z$2503,"正常"))</f>
        <v/>
      </c>
      <c r="R1469" s="26">
        <f>IF($G1469="","",SUMIFS(费用台账!$I$4:$I$503,费用台账!$C$4:$C$503,$E1469,费用台账!$J$4:$J$503,"是",费用台账!$K$4:$K$503,"正常"))</f>
        <v/>
      </c>
      <c r="S1469" s="28">
        <f>IF($G1469="","",COUNTIFS($E$4:$E$2503,$E1469,$Z$4:$Z$2503,"正常",$Y$4:$Y$2503,"待补价"))</f>
        <v/>
      </c>
      <c r="T1469" s="26">
        <f>IF($G1469="","",SUMIFS($P$4:$P$2503,$E$4:$E$2503,$E1469,$Z$4:$Z$2503,"正常",$A$4:$A$2503,"&lt;="&amp;$A1469))</f>
        <v/>
      </c>
      <c r="U1469" s="26">
        <f>IF($G1469="","",IF(OR($S1469&gt;0,$Q1469=0,$R1469=0,$Z1469&lt;&gt;"正常"),0,ROUND($T1469/$Q1469*$R1469,0)-ROUND(($T1469-$P1469)/$Q1469*$R1469,0)))</f>
        <v/>
      </c>
      <c r="V1469" s="26">
        <f>IF($G1469="","",ROUND($P1469+$U1469,0))</f>
        <v/>
      </c>
      <c r="W1469" s="26">
        <f>IF($G1469="","",IF(N($K1469)=0,0,ROUND($V1469/$K1469,2)))</f>
        <v/>
      </c>
      <c r="X1469" s="17" t="n"/>
      <c r="Y1469" s="17" t="n"/>
      <c r="Z1469" s="17" t="n"/>
      <c r="AA1469" s="17" t="n"/>
      <c r="AB1469" s="17" t="n"/>
      <c r="AC1469" s="24">
        <f>IF($G1469="","",IF($H1469="※编码不在物料档案里","※物料编码不在档案里",IF(N($K1469)&lt;=0,"※入库数量要大于 0",IF(AND($C1469&lt;&gt;"",$C1469&lt;=结账锁),"※日期早于已结账截止日，不能再录",IF(AND($L1469=0,$X1469="正常"),"※没填单价，价格状态请选「待补价」",IF(AND($S1469&gt;0,$R1469&gt;0),"△本批有 "&amp;$S1469&amp;" 行没单价，整批运费先挂账没摊",IF(AND($B1469&lt;&gt;"",COUNTIF($B$4:$B$2503,$B1469)&gt;1),"※入库单号重复","")))))))</f>
        <v/>
      </c>
    </row>
    <row r="1470">
      <c r="A1470" s="24">
        <f>IF($G1470="","",COUNTA($G$4:$G1470))</f>
        <v/>
      </c>
      <c r="B1470" s="17" t="n"/>
      <c r="C1470" s="30" t="n"/>
      <c r="D1470" s="17" t="n"/>
      <c r="E1470" s="17" t="n"/>
      <c r="F1470" s="17" t="n"/>
      <c r="G1470" s="17" t="n"/>
      <c r="H1470" s="24">
        <f>IF($G1470="","",IFERROR(VLOOKUP($G1470,物料档案!$A$4:$P$1203,3,0),"※编码不在物料档案里"))</f>
        <v/>
      </c>
      <c r="I1470" s="24">
        <f>IF($G1470="","",IFERROR(VLOOKUP($G1470,物料档案!$A$4:$P$1203,4,0),"※编码不在物料档案里"))</f>
        <v/>
      </c>
      <c r="J1470" s="24">
        <f>IF($G1470="","",IFERROR(VLOOKUP($G1470,物料档案!$A$4:$P$1203,5,0),"※编码不在物料档案里"))</f>
        <v/>
      </c>
      <c r="K1470" s="23" t="n"/>
      <c r="L1470" s="31" t="n"/>
      <c r="M1470" s="24">
        <f>IF($G1470="","",IF($D1470="A国内","CNY","TZS"))</f>
        <v/>
      </c>
      <c r="N1470" s="28">
        <f>IF($G1470="","",IF($D1470="A国内",汇率,1))</f>
        <v/>
      </c>
      <c r="O1470" s="25">
        <f>IF($G1470="","",ROUND(N($K1470)*N($L1470),2))</f>
        <v/>
      </c>
      <c r="P1470" s="26">
        <f>IF($G1470="","",ROUND($O1470*$N1470,0))</f>
        <v/>
      </c>
      <c r="Q1470" s="26">
        <f>IF($G1470="","",SUMIFS($P$4:$P$2503,$E$4:$E$2503,$E1470,$Z$4:$Z$2503,"正常"))</f>
        <v/>
      </c>
      <c r="R1470" s="26">
        <f>IF($G1470="","",SUMIFS(费用台账!$I$4:$I$503,费用台账!$C$4:$C$503,$E1470,费用台账!$J$4:$J$503,"是",费用台账!$K$4:$K$503,"正常"))</f>
        <v/>
      </c>
      <c r="S1470" s="28">
        <f>IF($G1470="","",COUNTIFS($E$4:$E$2503,$E1470,$Z$4:$Z$2503,"正常",$Y$4:$Y$2503,"待补价"))</f>
        <v/>
      </c>
      <c r="T1470" s="26">
        <f>IF($G1470="","",SUMIFS($P$4:$P$2503,$E$4:$E$2503,$E1470,$Z$4:$Z$2503,"正常",$A$4:$A$2503,"&lt;="&amp;$A1470))</f>
        <v/>
      </c>
      <c r="U1470" s="26">
        <f>IF($G1470="","",IF(OR($S1470&gt;0,$Q1470=0,$R1470=0,$Z1470&lt;&gt;"正常"),0,ROUND($T1470/$Q1470*$R1470,0)-ROUND(($T1470-$P1470)/$Q1470*$R1470,0)))</f>
        <v/>
      </c>
      <c r="V1470" s="26">
        <f>IF($G1470="","",ROUND($P1470+$U1470,0))</f>
        <v/>
      </c>
      <c r="W1470" s="26">
        <f>IF($G1470="","",IF(N($K1470)=0,0,ROUND($V1470/$K1470,2)))</f>
        <v/>
      </c>
      <c r="X1470" s="17" t="n"/>
      <c r="Y1470" s="17" t="n"/>
      <c r="Z1470" s="17" t="n"/>
      <c r="AA1470" s="17" t="n"/>
      <c r="AB1470" s="17" t="n"/>
      <c r="AC1470" s="24">
        <f>IF($G1470="","",IF($H1470="※编码不在物料档案里","※物料编码不在档案里",IF(N($K1470)&lt;=0,"※入库数量要大于 0",IF(AND($C1470&lt;&gt;"",$C1470&lt;=结账锁),"※日期早于已结账截止日，不能再录",IF(AND($L1470=0,$X1470="正常"),"※没填单价，价格状态请选「待补价」",IF(AND($S1470&gt;0,$R1470&gt;0),"△本批有 "&amp;$S1470&amp;" 行没单价，整批运费先挂账没摊",IF(AND($B1470&lt;&gt;"",COUNTIF($B$4:$B$2503,$B1470)&gt;1),"※入库单号重复","")))))))</f>
        <v/>
      </c>
    </row>
    <row r="1471">
      <c r="A1471" s="24">
        <f>IF($G1471="","",COUNTA($G$4:$G1471))</f>
        <v/>
      </c>
      <c r="B1471" s="17" t="n"/>
      <c r="C1471" s="30" t="n"/>
      <c r="D1471" s="17" t="n"/>
      <c r="E1471" s="17" t="n"/>
      <c r="F1471" s="17" t="n"/>
      <c r="G1471" s="17" t="n"/>
      <c r="H1471" s="24">
        <f>IF($G1471="","",IFERROR(VLOOKUP($G1471,物料档案!$A$4:$P$1203,3,0),"※编码不在物料档案里"))</f>
        <v/>
      </c>
      <c r="I1471" s="24">
        <f>IF($G1471="","",IFERROR(VLOOKUP($G1471,物料档案!$A$4:$P$1203,4,0),"※编码不在物料档案里"))</f>
        <v/>
      </c>
      <c r="J1471" s="24">
        <f>IF($G1471="","",IFERROR(VLOOKUP($G1471,物料档案!$A$4:$P$1203,5,0),"※编码不在物料档案里"))</f>
        <v/>
      </c>
      <c r="K1471" s="23" t="n"/>
      <c r="L1471" s="31" t="n"/>
      <c r="M1471" s="24">
        <f>IF($G1471="","",IF($D1471="A国内","CNY","TZS"))</f>
        <v/>
      </c>
      <c r="N1471" s="28">
        <f>IF($G1471="","",IF($D1471="A国内",汇率,1))</f>
        <v/>
      </c>
      <c r="O1471" s="25">
        <f>IF($G1471="","",ROUND(N($K1471)*N($L1471),2))</f>
        <v/>
      </c>
      <c r="P1471" s="26">
        <f>IF($G1471="","",ROUND($O1471*$N1471,0))</f>
        <v/>
      </c>
      <c r="Q1471" s="26">
        <f>IF($G1471="","",SUMIFS($P$4:$P$2503,$E$4:$E$2503,$E1471,$Z$4:$Z$2503,"正常"))</f>
        <v/>
      </c>
      <c r="R1471" s="26">
        <f>IF($G1471="","",SUMIFS(费用台账!$I$4:$I$503,费用台账!$C$4:$C$503,$E1471,费用台账!$J$4:$J$503,"是",费用台账!$K$4:$K$503,"正常"))</f>
        <v/>
      </c>
      <c r="S1471" s="28">
        <f>IF($G1471="","",COUNTIFS($E$4:$E$2503,$E1471,$Z$4:$Z$2503,"正常",$Y$4:$Y$2503,"待补价"))</f>
        <v/>
      </c>
      <c r="T1471" s="26">
        <f>IF($G1471="","",SUMIFS($P$4:$P$2503,$E$4:$E$2503,$E1471,$Z$4:$Z$2503,"正常",$A$4:$A$2503,"&lt;="&amp;$A1471))</f>
        <v/>
      </c>
      <c r="U1471" s="26">
        <f>IF($G1471="","",IF(OR($S1471&gt;0,$Q1471=0,$R1471=0,$Z1471&lt;&gt;"正常"),0,ROUND($T1471/$Q1471*$R1471,0)-ROUND(($T1471-$P1471)/$Q1471*$R1471,0)))</f>
        <v/>
      </c>
      <c r="V1471" s="26">
        <f>IF($G1471="","",ROUND($P1471+$U1471,0))</f>
        <v/>
      </c>
      <c r="W1471" s="26">
        <f>IF($G1471="","",IF(N($K1471)=0,0,ROUND($V1471/$K1471,2)))</f>
        <v/>
      </c>
      <c r="X1471" s="17" t="n"/>
      <c r="Y1471" s="17" t="n"/>
      <c r="Z1471" s="17" t="n"/>
      <c r="AA1471" s="17" t="n"/>
      <c r="AB1471" s="17" t="n"/>
      <c r="AC1471" s="24">
        <f>IF($G1471="","",IF($H1471="※编码不在物料档案里","※物料编码不在档案里",IF(N($K1471)&lt;=0,"※入库数量要大于 0",IF(AND($C1471&lt;&gt;"",$C1471&lt;=结账锁),"※日期早于已结账截止日，不能再录",IF(AND($L1471=0,$X1471="正常"),"※没填单价，价格状态请选「待补价」",IF(AND($S1471&gt;0,$R1471&gt;0),"△本批有 "&amp;$S1471&amp;" 行没单价，整批运费先挂账没摊",IF(AND($B1471&lt;&gt;"",COUNTIF($B$4:$B$2503,$B1471)&gt;1),"※入库单号重复","")))))))</f>
        <v/>
      </c>
    </row>
    <row r="1472">
      <c r="A1472" s="24">
        <f>IF($G1472="","",COUNTA($G$4:$G1472))</f>
        <v/>
      </c>
      <c r="B1472" s="17" t="n"/>
      <c r="C1472" s="30" t="n"/>
      <c r="D1472" s="17" t="n"/>
      <c r="E1472" s="17" t="n"/>
      <c r="F1472" s="17" t="n"/>
      <c r="G1472" s="17" t="n"/>
      <c r="H1472" s="24">
        <f>IF($G1472="","",IFERROR(VLOOKUP($G1472,物料档案!$A$4:$P$1203,3,0),"※编码不在物料档案里"))</f>
        <v/>
      </c>
      <c r="I1472" s="24">
        <f>IF($G1472="","",IFERROR(VLOOKUP($G1472,物料档案!$A$4:$P$1203,4,0),"※编码不在物料档案里"))</f>
        <v/>
      </c>
      <c r="J1472" s="24">
        <f>IF($G1472="","",IFERROR(VLOOKUP($G1472,物料档案!$A$4:$P$1203,5,0),"※编码不在物料档案里"))</f>
        <v/>
      </c>
      <c r="K1472" s="23" t="n"/>
      <c r="L1472" s="31" t="n"/>
      <c r="M1472" s="24">
        <f>IF($G1472="","",IF($D1472="A国内","CNY","TZS"))</f>
        <v/>
      </c>
      <c r="N1472" s="28">
        <f>IF($G1472="","",IF($D1472="A国内",汇率,1))</f>
        <v/>
      </c>
      <c r="O1472" s="25">
        <f>IF($G1472="","",ROUND(N($K1472)*N($L1472),2))</f>
        <v/>
      </c>
      <c r="P1472" s="26">
        <f>IF($G1472="","",ROUND($O1472*$N1472,0))</f>
        <v/>
      </c>
      <c r="Q1472" s="26">
        <f>IF($G1472="","",SUMIFS($P$4:$P$2503,$E$4:$E$2503,$E1472,$Z$4:$Z$2503,"正常"))</f>
        <v/>
      </c>
      <c r="R1472" s="26">
        <f>IF($G1472="","",SUMIFS(费用台账!$I$4:$I$503,费用台账!$C$4:$C$503,$E1472,费用台账!$J$4:$J$503,"是",费用台账!$K$4:$K$503,"正常"))</f>
        <v/>
      </c>
      <c r="S1472" s="28">
        <f>IF($G1472="","",COUNTIFS($E$4:$E$2503,$E1472,$Z$4:$Z$2503,"正常",$Y$4:$Y$2503,"待补价"))</f>
        <v/>
      </c>
      <c r="T1472" s="26">
        <f>IF($G1472="","",SUMIFS($P$4:$P$2503,$E$4:$E$2503,$E1472,$Z$4:$Z$2503,"正常",$A$4:$A$2503,"&lt;="&amp;$A1472))</f>
        <v/>
      </c>
      <c r="U1472" s="26">
        <f>IF($G1472="","",IF(OR($S1472&gt;0,$Q1472=0,$R1472=0,$Z1472&lt;&gt;"正常"),0,ROUND($T1472/$Q1472*$R1472,0)-ROUND(($T1472-$P1472)/$Q1472*$R1472,0)))</f>
        <v/>
      </c>
      <c r="V1472" s="26">
        <f>IF($G1472="","",ROUND($P1472+$U1472,0))</f>
        <v/>
      </c>
      <c r="W1472" s="26">
        <f>IF($G1472="","",IF(N($K1472)=0,0,ROUND($V1472/$K1472,2)))</f>
        <v/>
      </c>
      <c r="X1472" s="17" t="n"/>
      <c r="Y1472" s="17" t="n"/>
      <c r="Z1472" s="17" t="n"/>
      <c r="AA1472" s="17" t="n"/>
      <c r="AB1472" s="17" t="n"/>
      <c r="AC1472" s="24">
        <f>IF($G1472="","",IF($H1472="※编码不在物料档案里","※物料编码不在档案里",IF(N($K1472)&lt;=0,"※入库数量要大于 0",IF(AND($C1472&lt;&gt;"",$C1472&lt;=结账锁),"※日期早于已结账截止日，不能再录",IF(AND($L1472=0,$X1472="正常"),"※没填单价，价格状态请选「待补价」",IF(AND($S1472&gt;0,$R1472&gt;0),"△本批有 "&amp;$S1472&amp;" 行没单价，整批运费先挂账没摊",IF(AND($B1472&lt;&gt;"",COUNTIF($B$4:$B$2503,$B1472)&gt;1),"※入库单号重复","")))))))</f>
        <v/>
      </c>
    </row>
    <row r="1473">
      <c r="A1473" s="24">
        <f>IF($G1473="","",COUNTA($G$4:$G1473))</f>
        <v/>
      </c>
      <c r="B1473" s="17" t="n"/>
      <c r="C1473" s="30" t="n"/>
      <c r="D1473" s="17" t="n"/>
      <c r="E1473" s="17" t="n"/>
      <c r="F1473" s="17" t="n"/>
      <c r="G1473" s="17" t="n"/>
      <c r="H1473" s="24">
        <f>IF($G1473="","",IFERROR(VLOOKUP($G1473,物料档案!$A$4:$P$1203,3,0),"※编码不在物料档案里"))</f>
        <v/>
      </c>
      <c r="I1473" s="24">
        <f>IF($G1473="","",IFERROR(VLOOKUP($G1473,物料档案!$A$4:$P$1203,4,0),"※编码不在物料档案里"))</f>
        <v/>
      </c>
      <c r="J1473" s="24">
        <f>IF($G1473="","",IFERROR(VLOOKUP($G1473,物料档案!$A$4:$P$1203,5,0),"※编码不在物料档案里"))</f>
        <v/>
      </c>
      <c r="K1473" s="23" t="n"/>
      <c r="L1473" s="31" t="n"/>
      <c r="M1473" s="24">
        <f>IF($G1473="","",IF($D1473="A国内","CNY","TZS"))</f>
        <v/>
      </c>
      <c r="N1473" s="28">
        <f>IF($G1473="","",IF($D1473="A国内",汇率,1))</f>
        <v/>
      </c>
      <c r="O1473" s="25">
        <f>IF($G1473="","",ROUND(N($K1473)*N($L1473),2))</f>
        <v/>
      </c>
      <c r="P1473" s="26">
        <f>IF($G1473="","",ROUND($O1473*$N1473,0))</f>
        <v/>
      </c>
      <c r="Q1473" s="26">
        <f>IF($G1473="","",SUMIFS($P$4:$P$2503,$E$4:$E$2503,$E1473,$Z$4:$Z$2503,"正常"))</f>
        <v/>
      </c>
      <c r="R1473" s="26">
        <f>IF($G1473="","",SUMIFS(费用台账!$I$4:$I$503,费用台账!$C$4:$C$503,$E1473,费用台账!$J$4:$J$503,"是",费用台账!$K$4:$K$503,"正常"))</f>
        <v/>
      </c>
      <c r="S1473" s="28">
        <f>IF($G1473="","",COUNTIFS($E$4:$E$2503,$E1473,$Z$4:$Z$2503,"正常",$Y$4:$Y$2503,"待补价"))</f>
        <v/>
      </c>
      <c r="T1473" s="26">
        <f>IF($G1473="","",SUMIFS($P$4:$P$2503,$E$4:$E$2503,$E1473,$Z$4:$Z$2503,"正常",$A$4:$A$2503,"&lt;="&amp;$A1473))</f>
        <v/>
      </c>
      <c r="U1473" s="26">
        <f>IF($G1473="","",IF(OR($S1473&gt;0,$Q1473=0,$R1473=0,$Z1473&lt;&gt;"正常"),0,ROUND($T1473/$Q1473*$R1473,0)-ROUND(($T1473-$P1473)/$Q1473*$R1473,0)))</f>
        <v/>
      </c>
      <c r="V1473" s="26">
        <f>IF($G1473="","",ROUND($P1473+$U1473,0))</f>
        <v/>
      </c>
      <c r="W1473" s="26">
        <f>IF($G1473="","",IF(N($K1473)=0,0,ROUND($V1473/$K1473,2)))</f>
        <v/>
      </c>
      <c r="X1473" s="17" t="n"/>
      <c r="Y1473" s="17" t="n"/>
      <c r="Z1473" s="17" t="n"/>
      <c r="AA1473" s="17" t="n"/>
      <c r="AB1473" s="17" t="n"/>
      <c r="AC1473" s="24">
        <f>IF($G1473="","",IF($H1473="※编码不在物料档案里","※物料编码不在档案里",IF(N($K1473)&lt;=0,"※入库数量要大于 0",IF(AND($C1473&lt;&gt;"",$C1473&lt;=结账锁),"※日期早于已结账截止日，不能再录",IF(AND($L1473=0,$X1473="正常"),"※没填单价，价格状态请选「待补价」",IF(AND($S1473&gt;0,$R1473&gt;0),"△本批有 "&amp;$S1473&amp;" 行没单价，整批运费先挂账没摊",IF(AND($B1473&lt;&gt;"",COUNTIF($B$4:$B$2503,$B1473)&gt;1),"※入库单号重复","")))))))</f>
        <v/>
      </c>
    </row>
    <row r="1474">
      <c r="A1474" s="24">
        <f>IF($G1474="","",COUNTA($G$4:$G1474))</f>
        <v/>
      </c>
      <c r="B1474" s="17" t="n"/>
      <c r="C1474" s="30" t="n"/>
      <c r="D1474" s="17" t="n"/>
      <c r="E1474" s="17" t="n"/>
      <c r="F1474" s="17" t="n"/>
      <c r="G1474" s="17" t="n"/>
      <c r="H1474" s="24">
        <f>IF($G1474="","",IFERROR(VLOOKUP($G1474,物料档案!$A$4:$P$1203,3,0),"※编码不在物料档案里"))</f>
        <v/>
      </c>
      <c r="I1474" s="24">
        <f>IF($G1474="","",IFERROR(VLOOKUP($G1474,物料档案!$A$4:$P$1203,4,0),"※编码不在物料档案里"))</f>
        <v/>
      </c>
      <c r="J1474" s="24">
        <f>IF($G1474="","",IFERROR(VLOOKUP($G1474,物料档案!$A$4:$P$1203,5,0),"※编码不在物料档案里"))</f>
        <v/>
      </c>
      <c r="K1474" s="23" t="n"/>
      <c r="L1474" s="31" t="n"/>
      <c r="M1474" s="24">
        <f>IF($G1474="","",IF($D1474="A国内","CNY","TZS"))</f>
        <v/>
      </c>
      <c r="N1474" s="28">
        <f>IF($G1474="","",IF($D1474="A国内",汇率,1))</f>
        <v/>
      </c>
      <c r="O1474" s="25">
        <f>IF($G1474="","",ROUND(N($K1474)*N($L1474),2))</f>
        <v/>
      </c>
      <c r="P1474" s="26">
        <f>IF($G1474="","",ROUND($O1474*$N1474,0))</f>
        <v/>
      </c>
      <c r="Q1474" s="26">
        <f>IF($G1474="","",SUMIFS($P$4:$P$2503,$E$4:$E$2503,$E1474,$Z$4:$Z$2503,"正常"))</f>
        <v/>
      </c>
      <c r="R1474" s="26">
        <f>IF($G1474="","",SUMIFS(费用台账!$I$4:$I$503,费用台账!$C$4:$C$503,$E1474,费用台账!$J$4:$J$503,"是",费用台账!$K$4:$K$503,"正常"))</f>
        <v/>
      </c>
      <c r="S1474" s="28">
        <f>IF($G1474="","",COUNTIFS($E$4:$E$2503,$E1474,$Z$4:$Z$2503,"正常",$Y$4:$Y$2503,"待补价"))</f>
        <v/>
      </c>
      <c r="T1474" s="26">
        <f>IF($G1474="","",SUMIFS($P$4:$P$2503,$E$4:$E$2503,$E1474,$Z$4:$Z$2503,"正常",$A$4:$A$2503,"&lt;="&amp;$A1474))</f>
        <v/>
      </c>
      <c r="U1474" s="26">
        <f>IF($G1474="","",IF(OR($S1474&gt;0,$Q1474=0,$R1474=0,$Z1474&lt;&gt;"正常"),0,ROUND($T1474/$Q1474*$R1474,0)-ROUND(($T1474-$P1474)/$Q1474*$R1474,0)))</f>
        <v/>
      </c>
      <c r="V1474" s="26">
        <f>IF($G1474="","",ROUND($P1474+$U1474,0))</f>
        <v/>
      </c>
      <c r="W1474" s="26">
        <f>IF($G1474="","",IF(N($K1474)=0,0,ROUND($V1474/$K1474,2)))</f>
        <v/>
      </c>
      <c r="X1474" s="17" t="n"/>
      <c r="Y1474" s="17" t="n"/>
      <c r="Z1474" s="17" t="n"/>
      <c r="AA1474" s="17" t="n"/>
      <c r="AB1474" s="17" t="n"/>
      <c r="AC1474" s="24">
        <f>IF($G1474="","",IF($H1474="※编码不在物料档案里","※物料编码不在档案里",IF(N($K1474)&lt;=0,"※入库数量要大于 0",IF(AND($C1474&lt;&gt;"",$C1474&lt;=结账锁),"※日期早于已结账截止日，不能再录",IF(AND($L1474=0,$X1474="正常"),"※没填单价，价格状态请选「待补价」",IF(AND($S1474&gt;0,$R1474&gt;0),"△本批有 "&amp;$S1474&amp;" 行没单价，整批运费先挂账没摊",IF(AND($B1474&lt;&gt;"",COUNTIF($B$4:$B$2503,$B1474)&gt;1),"※入库单号重复","")))))))</f>
        <v/>
      </c>
    </row>
    <row r="1475">
      <c r="A1475" s="24">
        <f>IF($G1475="","",COUNTA($G$4:$G1475))</f>
        <v/>
      </c>
      <c r="B1475" s="17" t="n"/>
      <c r="C1475" s="30" t="n"/>
      <c r="D1475" s="17" t="n"/>
      <c r="E1475" s="17" t="n"/>
      <c r="F1475" s="17" t="n"/>
      <c r="G1475" s="17" t="n"/>
      <c r="H1475" s="24">
        <f>IF($G1475="","",IFERROR(VLOOKUP($G1475,物料档案!$A$4:$P$1203,3,0),"※编码不在物料档案里"))</f>
        <v/>
      </c>
      <c r="I1475" s="24">
        <f>IF($G1475="","",IFERROR(VLOOKUP($G1475,物料档案!$A$4:$P$1203,4,0),"※编码不在物料档案里"))</f>
        <v/>
      </c>
      <c r="J1475" s="24">
        <f>IF($G1475="","",IFERROR(VLOOKUP($G1475,物料档案!$A$4:$P$1203,5,0),"※编码不在物料档案里"))</f>
        <v/>
      </c>
      <c r="K1475" s="23" t="n"/>
      <c r="L1475" s="31" t="n"/>
      <c r="M1475" s="24">
        <f>IF($G1475="","",IF($D1475="A国内","CNY","TZS"))</f>
        <v/>
      </c>
      <c r="N1475" s="28">
        <f>IF($G1475="","",IF($D1475="A国内",汇率,1))</f>
        <v/>
      </c>
      <c r="O1475" s="25">
        <f>IF($G1475="","",ROUND(N($K1475)*N($L1475),2))</f>
        <v/>
      </c>
      <c r="P1475" s="26">
        <f>IF($G1475="","",ROUND($O1475*$N1475,0))</f>
        <v/>
      </c>
      <c r="Q1475" s="26">
        <f>IF($G1475="","",SUMIFS($P$4:$P$2503,$E$4:$E$2503,$E1475,$Z$4:$Z$2503,"正常"))</f>
        <v/>
      </c>
      <c r="R1475" s="26">
        <f>IF($G1475="","",SUMIFS(费用台账!$I$4:$I$503,费用台账!$C$4:$C$503,$E1475,费用台账!$J$4:$J$503,"是",费用台账!$K$4:$K$503,"正常"))</f>
        <v/>
      </c>
      <c r="S1475" s="28">
        <f>IF($G1475="","",COUNTIFS($E$4:$E$2503,$E1475,$Z$4:$Z$2503,"正常",$Y$4:$Y$2503,"待补价"))</f>
        <v/>
      </c>
      <c r="T1475" s="26">
        <f>IF($G1475="","",SUMIFS($P$4:$P$2503,$E$4:$E$2503,$E1475,$Z$4:$Z$2503,"正常",$A$4:$A$2503,"&lt;="&amp;$A1475))</f>
        <v/>
      </c>
      <c r="U1475" s="26">
        <f>IF($G1475="","",IF(OR($S1475&gt;0,$Q1475=0,$R1475=0,$Z1475&lt;&gt;"正常"),0,ROUND($T1475/$Q1475*$R1475,0)-ROUND(($T1475-$P1475)/$Q1475*$R1475,0)))</f>
        <v/>
      </c>
      <c r="V1475" s="26">
        <f>IF($G1475="","",ROUND($P1475+$U1475,0))</f>
        <v/>
      </c>
      <c r="W1475" s="26">
        <f>IF($G1475="","",IF(N($K1475)=0,0,ROUND($V1475/$K1475,2)))</f>
        <v/>
      </c>
      <c r="X1475" s="17" t="n"/>
      <c r="Y1475" s="17" t="n"/>
      <c r="Z1475" s="17" t="n"/>
      <c r="AA1475" s="17" t="n"/>
      <c r="AB1475" s="17" t="n"/>
      <c r="AC1475" s="24">
        <f>IF($G1475="","",IF($H1475="※编码不在物料档案里","※物料编码不在档案里",IF(N($K1475)&lt;=0,"※入库数量要大于 0",IF(AND($C1475&lt;&gt;"",$C1475&lt;=结账锁),"※日期早于已结账截止日，不能再录",IF(AND($L1475=0,$X1475="正常"),"※没填单价，价格状态请选「待补价」",IF(AND($S1475&gt;0,$R1475&gt;0),"△本批有 "&amp;$S1475&amp;" 行没单价，整批运费先挂账没摊",IF(AND($B1475&lt;&gt;"",COUNTIF($B$4:$B$2503,$B1475)&gt;1),"※入库单号重复","")))))))</f>
        <v/>
      </c>
    </row>
    <row r="1476">
      <c r="A1476" s="24">
        <f>IF($G1476="","",COUNTA($G$4:$G1476))</f>
        <v/>
      </c>
      <c r="B1476" s="17" t="n"/>
      <c r="C1476" s="30" t="n"/>
      <c r="D1476" s="17" t="n"/>
      <c r="E1476" s="17" t="n"/>
      <c r="F1476" s="17" t="n"/>
      <c r="G1476" s="17" t="n"/>
      <c r="H1476" s="24">
        <f>IF($G1476="","",IFERROR(VLOOKUP($G1476,物料档案!$A$4:$P$1203,3,0),"※编码不在物料档案里"))</f>
        <v/>
      </c>
      <c r="I1476" s="24">
        <f>IF($G1476="","",IFERROR(VLOOKUP($G1476,物料档案!$A$4:$P$1203,4,0),"※编码不在物料档案里"))</f>
        <v/>
      </c>
      <c r="J1476" s="24">
        <f>IF($G1476="","",IFERROR(VLOOKUP($G1476,物料档案!$A$4:$P$1203,5,0),"※编码不在物料档案里"))</f>
        <v/>
      </c>
      <c r="K1476" s="23" t="n"/>
      <c r="L1476" s="31" t="n"/>
      <c r="M1476" s="24">
        <f>IF($G1476="","",IF($D1476="A国内","CNY","TZS"))</f>
        <v/>
      </c>
      <c r="N1476" s="28">
        <f>IF($G1476="","",IF($D1476="A国内",汇率,1))</f>
        <v/>
      </c>
      <c r="O1476" s="25">
        <f>IF($G1476="","",ROUND(N($K1476)*N($L1476),2))</f>
        <v/>
      </c>
      <c r="P1476" s="26">
        <f>IF($G1476="","",ROUND($O1476*$N1476,0))</f>
        <v/>
      </c>
      <c r="Q1476" s="26">
        <f>IF($G1476="","",SUMIFS($P$4:$P$2503,$E$4:$E$2503,$E1476,$Z$4:$Z$2503,"正常"))</f>
        <v/>
      </c>
      <c r="R1476" s="26">
        <f>IF($G1476="","",SUMIFS(费用台账!$I$4:$I$503,费用台账!$C$4:$C$503,$E1476,费用台账!$J$4:$J$503,"是",费用台账!$K$4:$K$503,"正常"))</f>
        <v/>
      </c>
      <c r="S1476" s="28">
        <f>IF($G1476="","",COUNTIFS($E$4:$E$2503,$E1476,$Z$4:$Z$2503,"正常",$Y$4:$Y$2503,"待补价"))</f>
        <v/>
      </c>
      <c r="T1476" s="26">
        <f>IF($G1476="","",SUMIFS($P$4:$P$2503,$E$4:$E$2503,$E1476,$Z$4:$Z$2503,"正常",$A$4:$A$2503,"&lt;="&amp;$A1476))</f>
        <v/>
      </c>
      <c r="U1476" s="26">
        <f>IF($G1476="","",IF(OR($S1476&gt;0,$Q1476=0,$R1476=0,$Z1476&lt;&gt;"正常"),0,ROUND($T1476/$Q1476*$R1476,0)-ROUND(($T1476-$P1476)/$Q1476*$R1476,0)))</f>
        <v/>
      </c>
      <c r="V1476" s="26">
        <f>IF($G1476="","",ROUND($P1476+$U1476,0))</f>
        <v/>
      </c>
      <c r="W1476" s="26">
        <f>IF($G1476="","",IF(N($K1476)=0,0,ROUND($V1476/$K1476,2)))</f>
        <v/>
      </c>
      <c r="X1476" s="17" t="n"/>
      <c r="Y1476" s="17" t="n"/>
      <c r="Z1476" s="17" t="n"/>
      <c r="AA1476" s="17" t="n"/>
      <c r="AB1476" s="17" t="n"/>
      <c r="AC1476" s="24">
        <f>IF($G1476="","",IF($H1476="※编码不在物料档案里","※物料编码不在档案里",IF(N($K1476)&lt;=0,"※入库数量要大于 0",IF(AND($C1476&lt;&gt;"",$C1476&lt;=结账锁),"※日期早于已结账截止日，不能再录",IF(AND($L1476=0,$X1476="正常"),"※没填单价，价格状态请选「待补价」",IF(AND($S1476&gt;0,$R1476&gt;0),"△本批有 "&amp;$S1476&amp;" 行没单价，整批运费先挂账没摊",IF(AND($B1476&lt;&gt;"",COUNTIF($B$4:$B$2503,$B1476)&gt;1),"※入库单号重复","")))))))</f>
        <v/>
      </c>
    </row>
    <row r="1477">
      <c r="A1477" s="24">
        <f>IF($G1477="","",COUNTA($G$4:$G1477))</f>
        <v/>
      </c>
      <c r="B1477" s="17" t="n"/>
      <c r="C1477" s="30" t="n"/>
      <c r="D1477" s="17" t="n"/>
      <c r="E1477" s="17" t="n"/>
      <c r="F1477" s="17" t="n"/>
      <c r="G1477" s="17" t="n"/>
      <c r="H1477" s="24">
        <f>IF($G1477="","",IFERROR(VLOOKUP($G1477,物料档案!$A$4:$P$1203,3,0),"※编码不在物料档案里"))</f>
        <v/>
      </c>
      <c r="I1477" s="24">
        <f>IF($G1477="","",IFERROR(VLOOKUP($G1477,物料档案!$A$4:$P$1203,4,0),"※编码不在物料档案里"))</f>
        <v/>
      </c>
      <c r="J1477" s="24">
        <f>IF($G1477="","",IFERROR(VLOOKUP($G1477,物料档案!$A$4:$P$1203,5,0),"※编码不在物料档案里"))</f>
        <v/>
      </c>
      <c r="K1477" s="23" t="n"/>
      <c r="L1477" s="31" t="n"/>
      <c r="M1477" s="24">
        <f>IF($G1477="","",IF($D1477="A国内","CNY","TZS"))</f>
        <v/>
      </c>
      <c r="N1477" s="28">
        <f>IF($G1477="","",IF($D1477="A国内",汇率,1))</f>
        <v/>
      </c>
      <c r="O1477" s="25">
        <f>IF($G1477="","",ROUND(N($K1477)*N($L1477),2))</f>
        <v/>
      </c>
      <c r="P1477" s="26">
        <f>IF($G1477="","",ROUND($O1477*$N1477,0))</f>
        <v/>
      </c>
      <c r="Q1477" s="26">
        <f>IF($G1477="","",SUMIFS($P$4:$P$2503,$E$4:$E$2503,$E1477,$Z$4:$Z$2503,"正常"))</f>
        <v/>
      </c>
      <c r="R1477" s="26">
        <f>IF($G1477="","",SUMIFS(费用台账!$I$4:$I$503,费用台账!$C$4:$C$503,$E1477,费用台账!$J$4:$J$503,"是",费用台账!$K$4:$K$503,"正常"))</f>
        <v/>
      </c>
      <c r="S1477" s="28">
        <f>IF($G1477="","",COUNTIFS($E$4:$E$2503,$E1477,$Z$4:$Z$2503,"正常",$Y$4:$Y$2503,"待补价"))</f>
        <v/>
      </c>
      <c r="T1477" s="26">
        <f>IF($G1477="","",SUMIFS($P$4:$P$2503,$E$4:$E$2503,$E1477,$Z$4:$Z$2503,"正常",$A$4:$A$2503,"&lt;="&amp;$A1477))</f>
        <v/>
      </c>
      <c r="U1477" s="26">
        <f>IF($G1477="","",IF(OR($S1477&gt;0,$Q1477=0,$R1477=0,$Z1477&lt;&gt;"正常"),0,ROUND($T1477/$Q1477*$R1477,0)-ROUND(($T1477-$P1477)/$Q1477*$R1477,0)))</f>
        <v/>
      </c>
      <c r="V1477" s="26">
        <f>IF($G1477="","",ROUND($P1477+$U1477,0))</f>
        <v/>
      </c>
      <c r="W1477" s="26">
        <f>IF($G1477="","",IF(N($K1477)=0,0,ROUND($V1477/$K1477,2)))</f>
        <v/>
      </c>
      <c r="X1477" s="17" t="n"/>
      <c r="Y1477" s="17" t="n"/>
      <c r="Z1477" s="17" t="n"/>
      <c r="AA1477" s="17" t="n"/>
      <c r="AB1477" s="17" t="n"/>
      <c r="AC1477" s="24">
        <f>IF($G1477="","",IF($H1477="※编码不在物料档案里","※物料编码不在档案里",IF(N($K1477)&lt;=0,"※入库数量要大于 0",IF(AND($C1477&lt;&gt;"",$C1477&lt;=结账锁),"※日期早于已结账截止日，不能再录",IF(AND($L1477=0,$X1477="正常"),"※没填单价，价格状态请选「待补价」",IF(AND($S1477&gt;0,$R1477&gt;0),"△本批有 "&amp;$S1477&amp;" 行没单价，整批运费先挂账没摊",IF(AND($B1477&lt;&gt;"",COUNTIF($B$4:$B$2503,$B1477)&gt;1),"※入库单号重复","")))))))</f>
        <v/>
      </c>
    </row>
    <row r="1478">
      <c r="A1478" s="24">
        <f>IF($G1478="","",COUNTA($G$4:$G1478))</f>
        <v/>
      </c>
      <c r="B1478" s="17" t="n"/>
      <c r="C1478" s="30" t="n"/>
      <c r="D1478" s="17" t="n"/>
      <c r="E1478" s="17" t="n"/>
      <c r="F1478" s="17" t="n"/>
      <c r="G1478" s="17" t="n"/>
      <c r="H1478" s="24">
        <f>IF($G1478="","",IFERROR(VLOOKUP($G1478,物料档案!$A$4:$P$1203,3,0),"※编码不在物料档案里"))</f>
        <v/>
      </c>
      <c r="I1478" s="24">
        <f>IF($G1478="","",IFERROR(VLOOKUP($G1478,物料档案!$A$4:$P$1203,4,0),"※编码不在物料档案里"))</f>
        <v/>
      </c>
      <c r="J1478" s="24">
        <f>IF($G1478="","",IFERROR(VLOOKUP($G1478,物料档案!$A$4:$P$1203,5,0),"※编码不在物料档案里"))</f>
        <v/>
      </c>
      <c r="K1478" s="23" t="n"/>
      <c r="L1478" s="31" t="n"/>
      <c r="M1478" s="24">
        <f>IF($G1478="","",IF($D1478="A国内","CNY","TZS"))</f>
        <v/>
      </c>
      <c r="N1478" s="28">
        <f>IF($G1478="","",IF($D1478="A国内",汇率,1))</f>
        <v/>
      </c>
      <c r="O1478" s="25">
        <f>IF($G1478="","",ROUND(N($K1478)*N($L1478),2))</f>
        <v/>
      </c>
      <c r="P1478" s="26">
        <f>IF($G1478="","",ROUND($O1478*$N1478,0))</f>
        <v/>
      </c>
      <c r="Q1478" s="26">
        <f>IF($G1478="","",SUMIFS($P$4:$P$2503,$E$4:$E$2503,$E1478,$Z$4:$Z$2503,"正常"))</f>
        <v/>
      </c>
      <c r="R1478" s="26">
        <f>IF($G1478="","",SUMIFS(费用台账!$I$4:$I$503,费用台账!$C$4:$C$503,$E1478,费用台账!$J$4:$J$503,"是",费用台账!$K$4:$K$503,"正常"))</f>
        <v/>
      </c>
      <c r="S1478" s="28">
        <f>IF($G1478="","",COUNTIFS($E$4:$E$2503,$E1478,$Z$4:$Z$2503,"正常",$Y$4:$Y$2503,"待补价"))</f>
        <v/>
      </c>
      <c r="T1478" s="26">
        <f>IF($G1478="","",SUMIFS($P$4:$P$2503,$E$4:$E$2503,$E1478,$Z$4:$Z$2503,"正常",$A$4:$A$2503,"&lt;="&amp;$A1478))</f>
        <v/>
      </c>
      <c r="U1478" s="26">
        <f>IF($G1478="","",IF(OR($S1478&gt;0,$Q1478=0,$R1478=0,$Z1478&lt;&gt;"正常"),0,ROUND($T1478/$Q1478*$R1478,0)-ROUND(($T1478-$P1478)/$Q1478*$R1478,0)))</f>
        <v/>
      </c>
      <c r="V1478" s="26">
        <f>IF($G1478="","",ROUND($P1478+$U1478,0))</f>
        <v/>
      </c>
      <c r="W1478" s="26">
        <f>IF($G1478="","",IF(N($K1478)=0,0,ROUND($V1478/$K1478,2)))</f>
        <v/>
      </c>
      <c r="X1478" s="17" t="n"/>
      <c r="Y1478" s="17" t="n"/>
      <c r="Z1478" s="17" t="n"/>
      <c r="AA1478" s="17" t="n"/>
      <c r="AB1478" s="17" t="n"/>
      <c r="AC1478" s="24">
        <f>IF($G1478="","",IF($H1478="※编码不在物料档案里","※物料编码不在档案里",IF(N($K1478)&lt;=0,"※入库数量要大于 0",IF(AND($C1478&lt;&gt;"",$C1478&lt;=结账锁),"※日期早于已结账截止日，不能再录",IF(AND($L1478=0,$X1478="正常"),"※没填单价，价格状态请选「待补价」",IF(AND($S1478&gt;0,$R1478&gt;0),"△本批有 "&amp;$S1478&amp;" 行没单价，整批运费先挂账没摊",IF(AND($B1478&lt;&gt;"",COUNTIF($B$4:$B$2503,$B1478)&gt;1),"※入库单号重复","")))))))</f>
        <v/>
      </c>
    </row>
    <row r="1479">
      <c r="A1479" s="24">
        <f>IF($G1479="","",COUNTA($G$4:$G1479))</f>
        <v/>
      </c>
      <c r="B1479" s="17" t="n"/>
      <c r="C1479" s="30" t="n"/>
      <c r="D1479" s="17" t="n"/>
      <c r="E1479" s="17" t="n"/>
      <c r="F1479" s="17" t="n"/>
      <c r="G1479" s="17" t="n"/>
      <c r="H1479" s="24">
        <f>IF($G1479="","",IFERROR(VLOOKUP($G1479,物料档案!$A$4:$P$1203,3,0),"※编码不在物料档案里"))</f>
        <v/>
      </c>
      <c r="I1479" s="24">
        <f>IF($G1479="","",IFERROR(VLOOKUP($G1479,物料档案!$A$4:$P$1203,4,0),"※编码不在物料档案里"))</f>
        <v/>
      </c>
      <c r="J1479" s="24">
        <f>IF($G1479="","",IFERROR(VLOOKUP($G1479,物料档案!$A$4:$P$1203,5,0),"※编码不在物料档案里"))</f>
        <v/>
      </c>
      <c r="K1479" s="23" t="n"/>
      <c r="L1479" s="31" t="n"/>
      <c r="M1479" s="24">
        <f>IF($G1479="","",IF($D1479="A国内","CNY","TZS"))</f>
        <v/>
      </c>
      <c r="N1479" s="28">
        <f>IF($G1479="","",IF($D1479="A国内",汇率,1))</f>
        <v/>
      </c>
      <c r="O1479" s="25">
        <f>IF($G1479="","",ROUND(N($K1479)*N($L1479),2))</f>
        <v/>
      </c>
      <c r="P1479" s="26">
        <f>IF($G1479="","",ROUND($O1479*$N1479,0))</f>
        <v/>
      </c>
      <c r="Q1479" s="26">
        <f>IF($G1479="","",SUMIFS($P$4:$P$2503,$E$4:$E$2503,$E1479,$Z$4:$Z$2503,"正常"))</f>
        <v/>
      </c>
      <c r="R1479" s="26">
        <f>IF($G1479="","",SUMIFS(费用台账!$I$4:$I$503,费用台账!$C$4:$C$503,$E1479,费用台账!$J$4:$J$503,"是",费用台账!$K$4:$K$503,"正常"))</f>
        <v/>
      </c>
      <c r="S1479" s="28">
        <f>IF($G1479="","",COUNTIFS($E$4:$E$2503,$E1479,$Z$4:$Z$2503,"正常",$Y$4:$Y$2503,"待补价"))</f>
        <v/>
      </c>
      <c r="T1479" s="26">
        <f>IF($G1479="","",SUMIFS($P$4:$P$2503,$E$4:$E$2503,$E1479,$Z$4:$Z$2503,"正常",$A$4:$A$2503,"&lt;="&amp;$A1479))</f>
        <v/>
      </c>
      <c r="U1479" s="26">
        <f>IF($G1479="","",IF(OR($S1479&gt;0,$Q1479=0,$R1479=0,$Z1479&lt;&gt;"正常"),0,ROUND($T1479/$Q1479*$R1479,0)-ROUND(($T1479-$P1479)/$Q1479*$R1479,0)))</f>
        <v/>
      </c>
      <c r="V1479" s="26">
        <f>IF($G1479="","",ROUND($P1479+$U1479,0))</f>
        <v/>
      </c>
      <c r="W1479" s="26">
        <f>IF($G1479="","",IF(N($K1479)=0,0,ROUND($V1479/$K1479,2)))</f>
        <v/>
      </c>
      <c r="X1479" s="17" t="n"/>
      <c r="Y1479" s="17" t="n"/>
      <c r="Z1479" s="17" t="n"/>
      <c r="AA1479" s="17" t="n"/>
      <c r="AB1479" s="17" t="n"/>
      <c r="AC1479" s="24">
        <f>IF($G1479="","",IF($H1479="※编码不在物料档案里","※物料编码不在档案里",IF(N($K1479)&lt;=0,"※入库数量要大于 0",IF(AND($C1479&lt;&gt;"",$C1479&lt;=结账锁),"※日期早于已结账截止日，不能再录",IF(AND($L1479=0,$X1479="正常"),"※没填单价，价格状态请选「待补价」",IF(AND($S1479&gt;0,$R1479&gt;0),"△本批有 "&amp;$S1479&amp;" 行没单价，整批运费先挂账没摊",IF(AND($B1479&lt;&gt;"",COUNTIF($B$4:$B$2503,$B1479)&gt;1),"※入库单号重复","")))))))</f>
        <v/>
      </c>
    </row>
    <row r="1480">
      <c r="A1480" s="24">
        <f>IF($G1480="","",COUNTA($G$4:$G1480))</f>
        <v/>
      </c>
      <c r="B1480" s="17" t="n"/>
      <c r="C1480" s="30" t="n"/>
      <c r="D1480" s="17" t="n"/>
      <c r="E1480" s="17" t="n"/>
      <c r="F1480" s="17" t="n"/>
      <c r="G1480" s="17" t="n"/>
      <c r="H1480" s="24">
        <f>IF($G1480="","",IFERROR(VLOOKUP($G1480,物料档案!$A$4:$P$1203,3,0),"※编码不在物料档案里"))</f>
        <v/>
      </c>
      <c r="I1480" s="24">
        <f>IF($G1480="","",IFERROR(VLOOKUP($G1480,物料档案!$A$4:$P$1203,4,0),"※编码不在物料档案里"))</f>
        <v/>
      </c>
      <c r="J1480" s="24">
        <f>IF($G1480="","",IFERROR(VLOOKUP($G1480,物料档案!$A$4:$P$1203,5,0),"※编码不在物料档案里"))</f>
        <v/>
      </c>
      <c r="K1480" s="23" t="n"/>
      <c r="L1480" s="31" t="n"/>
      <c r="M1480" s="24">
        <f>IF($G1480="","",IF($D1480="A国内","CNY","TZS"))</f>
        <v/>
      </c>
      <c r="N1480" s="28">
        <f>IF($G1480="","",IF($D1480="A国内",汇率,1))</f>
        <v/>
      </c>
      <c r="O1480" s="25">
        <f>IF($G1480="","",ROUND(N($K1480)*N($L1480),2))</f>
        <v/>
      </c>
      <c r="P1480" s="26">
        <f>IF($G1480="","",ROUND($O1480*$N1480,0))</f>
        <v/>
      </c>
      <c r="Q1480" s="26">
        <f>IF($G1480="","",SUMIFS($P$4:$P$2503,$E$4:$E$2503,$E1480,$Z$4:$Z$2503,"正常"))</f>
        <v/>
      </c>
      <c r="R1480" s="26">
        <f>IF($G1480="","",SUMIFS(费用台账!$I$4:$I$503,费用台账!$C$4:$C$503,$E1480,费用台账!$J$4:$J$503,"是",费用台账!$K$4:$K$503,"正常"))</f>
        <v/>
      </c>
      <c r="S1480" s="28">
        <f>IF($G1480="","",COUNTIFS($E$4:$E$2503,$E1480,$Z$4:$Z$2503,"正常",$Y$4:$Y$2503,"待补价"))</f>
        <v/>
      </c>
      <c r="T1480" s="26">
        <f>IF($G1480="","",SUMIFS($P$4:$P$2503,$E$4:$E$2503,$E1480,$Z$4:$Z$2503,"正常",$A$4:$A$2503,"&lt;="&amp;$A1480))</f>
        <v/>
      </c>
      <c r="U1480" s="26">
        <f>IF($G1480="","",IF(OR($S1480&gt;0,$Q1480=0,$R1480=0,$Z1480&lt;&gt;"正常"),0,ROUND($T1480/$Q1480*$R1480,0)-ROUND(($T1480-$P1480)/$Q1480*$R1480,0)))</f>
        <v/>
      </c>
      <c r="V1480" s="26">
        <f>IF($G1480="","",ROUND($P1480+$U1480,0))</f>
        <v/>
      </c>
      <c r="W1480" s="26">
        <f>IF($G1480="","",IF(N($K1480)=0,0,ROUND($V1480/$K1480,2)))</f>
        <v/>
      </c>
      <c r="X1480" s="17" t="n"/>
      <c r="Y1480" s="17" t="n"/>
      <c r="Z1480" s="17" t="n"/>
      <c r="AA1480" s="17" t="n"/>
      <c r="AB1480" s="17" t="n"/>
      <c r="AC1480" s="24">
        <f>IF($G1480="","",IF($H1480="※编码不在物料档案里","※物料编码不在档案里",IF(N($K1480)&lt;=0,"※入库数量要大于 0",IF(AND($C1480&lt;&gt;"",$C1480&lt;=结账锁),"※日期早于已结账截止日，不能再录",IF(AND($L1480=0,$X1480="正常"),"※没填单价，价格状态请选「待补价」",IF(AND($S1480&gt;0,$R1480&gt;0),"△本批有 "&amp;$S1480&amp;" 行没单价，整批运费先挂账没摊",IF(AND($B1480&lt;&gt;"",COUNTIF($B$4:$B$2503,$B1480)&gt;1),"※入库单号重复","")))))))</f>
        <v/>
      </c>
    </row>
    <row r="1481">
      <c r="A1481" s="24">
        <f>IF($G1481="","",COUNTA($G$4:$G1481))</f>
        <v/>
      </c>
      <c r="B1481" s="17" t="n"/>
      <c r="C1481" s="30" t="n"/>
      <c r="D1481" s="17" t="n"/>
      <c r="E1481" s="17" t="n"/>
      <c r="F1481" s="17" t="n"/>
      <c r="G1481" s="17" t="n"/>
      <c r="H1481" s="24">
        <f>IF($G1481="","",IFERROR(VLOOKUP($G1481,物料档案!$A$4:$P$1203,3,0),"※编码不在物料档案里"))</f>
        <v/>
      </c>
      <c r="I1481" s="24">
        <f>IF($G1481="","",IFERROR(VLOOKUP($G1481,物料档案!$A$4:$P$1203,4,0),"※编码不在物料档案里"))</f>
        <v/>
      </c>
      <c r="J1481" s="24">
        <f>IF($G1481="","",IFERROR(VLOOKUP($G1481,物料档案!$A$4:$P$1203,5,0),"※编码不在物料档案里"))</f>
        <v/>
      </c>
      <c r="K1481" s="23" t="n"/>
      <c r="L1481" s="31" t="n"/>
      <c r="M1481" s="24">
        <f>IF($G1481="","",IF($D1481="A国内","CNY","TZS"))</f>
        <v/>
      </c>
      <c r="N1481" s="28">
        <f>IF($G1481="","",IF($D1481="A国内",汇率,1))</f>
        <v/>
      </c>
      <c r="O1481" s="25">
        <f>IF($G1481="","",ROUND(N($K1481)*N($L1481),2))</f>
        <v/>
      </c>
      <c r="P1481" s="26">
        <f>IF($G1481="","",ROUND($O1481*$N1481,0))</f>
        <v/>
      </c>
      <c r="Q1481" s="26">
        <f>IF($G1481="","",SUMIFS($P$4:$P$2503,$E$4:$E$2503,$E1481,$Z$4:$Z$2503,"正常"))</f>
        <v/>
      </c>
      <c r="R1481" s="26">
        <f>IF($G1481="","",SUMIFS(费用台账!$I$4:$I$503,费用台账!$C$4:$C$503,$E1481,费用台账!$J$4:$J$503,"是",费用台账!$K$4:$K$503,"正常"))</f>
        <v/>
      </c>
      <c r="S1481" s="28">
        <f>IF($G1481="","",COUNTIFS($E$4:$E$2503,$E1481,$Z$4:$Z$2503,"正常",$Y$4:$Y$2503,"待补价"))</f>
        <v/>
      </c>
      <c r="T1481" s="26">
        <f>IF($G1481="","",SUMIFS($P$4:$P$2503,$E$4:$E$2503,$E1481,$Z$4:$Z$2503,"正常",$A$4:$A$2503,"&lt;="&amp;$A1481))</f>
        <v/>
      </c>
      <c r="U1481" s="26">
        <f>IF($G1481="","",IF(OR($S1481&gt;0,$Q1481=0,$R1481=0,$Z1481&lt;&gt;"正常"),0,ROUND($T1481/$Q1481*$R1481,0)-ROUND(($T1481-$P1481)/$Q1481*$R1481,0)))</f>
        <v/>
      </c>
      <c r="V1481" s="26">
        <f>IF($G1481="","",ROUND($P1481+$U1481,0))</f>
        <v/>
      </c>
      <c r="W1481" s="26">
        <f>IF($G1481="","",IF(N($K1481)=0,0,ROUND($V1481/$K1481,2)))</f>
        <v/>
      </c>
      <c r="X1481" s="17" t="n"/>
      <c r="Y1481" s="17" t="n"/>
      <c r="Z1481" s="17" t="n"/>
      <c r="AA1481" s="17" t="n"/>
      <c r="AB1481" s="17" t="n"/>
      <c r="AC1481" s="24">
        <f>IF($G1481="","",IF($H1481="※编码不在物料档案里","※物料编码不在档案里",IF(N($K1481)&lt;=0,"※入库数量要大于 0",IF(AND($C1481&lt;&gt;"",$C1481&lt;=结账锁),"※日期早于已结账截止日，不能再录",IF(AND($L1481=0,$X1481="正常"),"※没填单价，价格状态请选「待补价」",IF(AND($S1481&gt;0,$R1481&gt;0),"△本批有 "&amp;$S1481&amp;" 行没单价，整批运费先挂账没摊",IF(AND($B1481&lt;&gt;"",COUNTIF($B$4:$B$2503,$B1481)&gt;1),"※入库单号重复","")))))))</f>
        <v/>
      </c>
    </row>
    <row r="1482">
      <c r="A1482" s="24">
        <f>IF($G1482="","",COUNTA($G$4:$G1482))</f>
        <v/>
      </c>
      <c r="B1482" s="17" t="n"/>
      <c r="C1482" s="30" t="n"/>
      <c r="D1482" s="17" t="n"/>
      <c r="E1482" s="17" t="n"/>
      <c r="F1482" s="17" t="n"/>
      <c r="G1482" s="17" t="n"/>
      <c r="H1482" s="24">
        <f>IF($G1482="","",IFERROR(VLOOKUP($G1482,物料档案!$A$4:$P$1203,3,0),"※编码不在物料档案里"))</f>
        <v/>
      </c>
      <c r="I1482" s="24">
        <f>IF($G1482="","",IFERROR(VLOOKUP($G1482,物料档案!$A$4:$P$1203,4,0),"※编码不在物料档案里"))</f>
        <v/>
      </c>
      <c r="J1482" s="24">
        <f>IF($G1482="","",IFERROR(VLOOKUP($G1482,物料档案!$A$4:$P$1203,5,0),"※编码不在物料档案里"))</f>
        <v/>
      </c>
      <c r="K1482" s="23" t="n"/>
      <c r="L1482" s="31" t="n"/>
      <c r="M1482" s="24">
        <f>IF($G1482="","",IF($D1482="A国内","CNY","TZS"))</f>
        <v/>
      </c>
      <c r="N1482" s="28">
        <f>IF($G1482="","",IF($D1482="A国内",汇率,1))</f>
        <v/>
      </c>
      <c r="O1482" s="25">
        <f>IF($G1482="","",ROUND(N($K1482)*N($L1482),2))</f>
        <v/>
      </c>
      <c r="P1482" s="26">
        <f>IF($G1482="","",ROUND($O1482*$N1482,0))</f>
        <v/>
      </c>
      <c r="Q1482" s="26">
        <f>IF($G1482="","",SUMIFS($P$4:$P$2503,$E$4:$E$2503,$E1482,$Z$4:$Z$2503,"正常"))</f>
        <v/>
      </c>
      <c r="R1482" s="26">
        <f>IF($G1482="","",SUMIFS(费用台账!$I$4:$I$503,费用台账!$C$4:$C$503,$E1482,费用台账!$J$4:$J$503,"是",费用台账!$K$4:$K$503,"正常"))</f>
        <v/>
      </c>
      <c r="S1482" s="28">
        <f>IF($G1482="","",COUNTIFS($E$4:$E$2503,$E1482,$Z$4:$Z$2503,"正常",$Y$4:$Y$2503,"待补价"))</f>
        <v/>
      </c>
      <c r="T1482" s="26">
        <f>IF($G1482="","",SUMIFS($P$4:$P$2503,$E$4:$E$2503,$E1482,$Z$4:$Z$2503,"正常",$A$4:$A$2503,"&lt;="&amp;$A1482))</f>
        <v/>
      </c>
      <c r="U1482" s="26">
        <f>IF($G1482="","",IF(OR($S1482&gt;0,$Q1482=0,$R1482=0,$Z1482&lt;&gt;"正常"),0,ROUND($T1482/$Q1482*$R1482,0)-ROUND(($T1482-$P1482)/$Q1482*$R1482,0)))</f>
        <v/>
      </c>
      <c r="V1482" s="26">
        <f>IF($G1482="","",ROUND($P1482+$U1482,0))</f>
        <v/>
      </c>
      <c r="W1482" s="26">
        <f>IF($G1482="","",IF(N($K1482)=0,0,ROUND($V1482/$K1482,2)))</f>
        <v/>
      </c>
      <c r="X1482" s="17" t="n"/>
      <c r="Y1482" s="17" t="n"/>
      <c r="Z1482" s="17" t="n"/>
      <c r="AA1482" s="17" t="n"/>
      <c r="AB1482" s="17" t="n"/>
      <c r="AC1482" s="24">
        <f>IF($G1482="","",IF($H1482="※编码不在物料档案里","※物料编码不在档案里",IF(N($K1482)&lt;=0,"※入库数量要大于 0",IF(AND($C1482&lt;&gt;"",$C1482&lt;=结账锁),"※日期早于已结账截止日，不能再录",IF(AND($L1482=0,$X1482="正常"),"※没填单价，价格状态请选「待补价」",IF(AND($S1482&gt;0,$R1482&gt;0),"△本批有 "&amp;$S1482&amp;" 行没单价，整批运费先挂账没摊",IF(AND($B1482&lt;&gt;"",COUNTIF($B$4:$B$2503,$B1482)&gt;1),"※入库单号重复","")))))))</f>
        <v/>
      </c>
    </row>
    <row r="1483">
      <c r="A1483" s="24">
        <f>IF($G1483="","",COUNTA($G$4:$G1483))</f>
        <v/>
      </c>
      <c r="B1483" s="17" t="n"/>
      <c r="C1483" s="30" t="n"/>
      <c r="D1483" s="17" t="n"/>
      <c r="E1483" s="17" t="n"/>
      <c r="F1483" s="17" t="n"/>
      <c r="G1483" s="17" t="n"/>
      <c r="H1483" s="24">
        <f>IF($G1483="","",IFERROR(VLOOKUP($G1483,物料档案!$A$4:$P$1203,3,0),"※编码不在物料档案里"))</f>
        <v/>
      </c>
      <c r="I1483" s="24">
        <f>IF($G1483="","",IFERROR(VLOOKUP($G1483,物料档案!$A$4:$P$1203,4,0),"※编码不在物料档案里"))</f>
        <v/>
      </c>
      <c r="J1483" s="24">
        <f>IF($G1483="","",IFERROR(VLOOKUP($G1483,物料档案!$A$4:$P$1203,5,0),"※编码不在物料档案里"))</f>
        <v/>
      </c>
      <c r="K1483" s="23" t="n"/>
      <c r="L1483" s="31" t="n"/>
      <c r="M1483" s="24">
        <f>IF($G1483="","",IF($D1483="A国内","CNY","TZS"))</f>
        <v/>
      </c>
      <c r="N1483" s="28">
        <f>IF($G1483="","",IF($D1483="A国内",汇率,1))</f>
        <v/>
      </c>
      <c r="O1483" s="25">
        <f>IF($G1483="","",ROUND(N($K1483)*N($L1483),2))</f>
        <v/>
      </c>
      <c r="P1483" s="26">
        <f>IF($G1483="","",ROUND($O1483*$N1483,0))</f>
        <v/>
      </c>
      <c r="Q1483" s="26">
        <f>IF($G1483="","",SUMIFS($P$4:$P$2503,$E$4:$E$2503,$E1483,$Z$4:$Z$2503,"正常"))</f>
        <v/>
      </c>
      <c r="R1483" s="26">
        <f>IF($G1483="","",SUMIFS(费用台账!$I$4:$I$503,费用台账!$C$4:$C$503,$E1483,费用台账!$J$4:$J$503,"是",费用台账!$K$4:$K$503,"正常"))</f>
        <v/>
      </c>
      <c r="S1483" s="28">
        <f>IF($G1483="","",COUNTIFS($E$4:$E$2503,$E1483,$Z$4:$Z$2503,"正常",$Y$4:$Y$2503,"待补价"))</f>
        <v/>
      </c>
      <c r="T1483" s="26">
        <f>IF($G1483="","",SUMIFS($P$4:$P$2503,$E$4:$E$2503,$E1483,$Z$4:$Z$2503,"正常",$A$4:$A$2503,"&lt;="&amp;$A1483))</f>
        <v/>
      </c>
      <c r="U1483" s="26">
        <f>IF($G1483="","",IF(OR($S1483&gt;0,$Q1483=0,$R1483=0,$Z1483&lt;&gt;"正常"),0,ROUND($T1483/$Q1483*$R1483,0)-ROUND(($T1483-$P1483)/$Q1483*$R1483,0)))</f>
        <v/>
      </c>
      <c r="V1483" s="26">
        <f>IF($G1483="","",ROUND($P1483+$U1483,0))</f>
        <v/>
      </c>
      <c r="W1483" s="26">
        <f>IF($G1483="","",IF(N($K1483)=0,0,ROUND($V1483/$K1483,2)))</f>
        <v/>
      </c>
      <c r="X1483" s="17" t="n"/>
      <c r="Y1483" s="17" t="n"/>
      <c r="Z1483" s="17" t="n"/>
      <c r="AA1483" s="17" t="n"/>
      <c r="AB1483" s="17" t="n"/>
      <c r="AC1483" s="24">
        <f>IF($G1483="","",IF($H1483="※编码不在物料档案里","※物料编码不在档案里",IF(N($K1483)&lt;=0,"※入库数量要大于 0",IF(AND($C1483&lt;&gt;"",$C1483&lt;=结账锁),"※日期早于已结账截止日，不能再录",IF(AND($L1483=0,$X1483="正常"),"※没填单价，价格状态请选「待补价」",IF(AND($S1483&gt;0,$R1483&gt;0),"△本批有 "&amp;$S1483&amp;" 行没单价，整批运费先挂账没摊",IF(AND($B1483&lt;&gt;"",COUNTIF($B$4:$B$2503,$B1483)&gt;1),"※入库单号重复","")))))))</f>
        <v/>
      </c>
    </row>
    <row r="1484">
      <c r="A1484" s="24">
        <f>IF($G1484="","",COUNTA($G$4:$G1484))</f>
        <v/>
      </c>
      <c r="B1484" s="17" t="n"/>
      <c r="C1484" s="30" t="n"/>
      <c r="D1484" s="17" t="n"/>
      <c r="E1484" s="17" t="n"/>
      <c r="F1484" s="17" t="n"/>
      <c r="G1484" s="17" t="n"/>
      <c r="H1484" s="24">
        <f>IF($G1484="","",IFERROR(VLOOKUP($G1484,物料档案!$A$4:$P$1203,3,0),"※编码不在物料档案里"))</f>
        <v/>
      </c>
      <c r="I1484" s="24">
        <f>IF($G1484="","",IFERROR(VLOOKUP($G1484,物料档案!$A$4:$P$1203,4,0),"※编码不在物料档案里"))</f>
        <v/>
      </c>
      <c r="J1484" s="24">
        <f>IF($G1484="","",IFERROR(VLOOKUP($G1484,物料档案!$A$4:$P$1203,5,0),"※编码不在物料档案里"))</f>
        <v/>
      </c>
      <c r="K1484" s="23" t="n"/>
      <c r="L1484" s="31" t="n"/>
      <c r="M1484" s="24">
        <f>IF($G1484="","",IF($D1484="A国内","CNY","TZS"))</f>
        <v/>
      </c>
      <c r="N1484" s="28">
        <f>IF($G1484="","",IF($D1484="A国内",汇率,1))</f>
        <v/>
      </c>
      <c r="O1484" s="25">
        <f>IF($G1484="","",ROUND(N($K1484)*N($L1484),2))</f>
        <v/>
      </c>
      <c r="P1484" s="26">
        <f>IF($G1484="","",ROUND($O1484*$N1484,0))</f>
        <v/>
      </c>
      <c r="Q1484" s="26">
        <f>IF($G1484="","",SUMIFS($P$4:$P$2503,$E$4:$E$2503,$E1484,$Z$4:$Z$2503,"正常"))</f>
        <v/>
      </c>
      <c r="R1484" s="26">
        <f>IF($G1484="","",SUMIFS(费用台账!$I$4:$I$503,费用台账!$C$4:$C$503,$E1484,费用台账!$J$4:$J$503,"是",费用台账!$K$4:$K$503,"正常"))</f>
        <v/>
      </c>
      <c r="S1484" s="28">
        <f>IF($G1484="","",COUNTIFS($E$4:$E$2503,$E1484,$Z$4:$Z$2503,"正常",$Y$4:$Y$2503,"待补价"))</f>
        <v/>
      </c>
      <c r="T1484" s="26">
        <f>IF($G1484="","",SUMIFS($P$4:$P$2503,$E$4:$E$2503,$E1484,$Z$4:$Z$2503,"正常",$A$4:$A$2503,"&lt;="&amp;$A1484))</f>
        <v/>
      </c>
      <c r="U1484" s="26">
        <f>IF($G1484="","",IF(OR($S1484&gt;0,$Q1484=0,$R1484=0,$Z1484&lt;&gt;"正常"),0,ROUND($T1484/$Q1484*$R1484,0)-ROUND(($T1484-$P1484)/$Q1484*$R1484,0)))</f>
        <v/>
      </c>
      <c r="V1484" s="26">
        <f>IF($G1484="","",ROUND($P1484+$U1484,0))</f>
        <v/>
      </c>
      <c r="W1484" s="26">
        <f>IF($G1484="","",IF(N($K1484)=0,0,ROUND($V1484/$K1484,2)))</f>
        <v/>
      </c>
      <c r="X1484" s="17" t="n"/>
      <c r="Y1484" s="17" t="n"/>
      <c r="Z1484" s="17" t="n"/>
      <c r="AA1484" s="17" t="n"/>
      <c r="AB1484" s="17" t="n"/>
      <c r="AC1484" s="24">
        <f>IF($G1484="","",IF($H1484="※编码不在物料档案里","※物料编码不在档案里",IF(N($K1484)&lt;=0,"※入库数量要大于 0",IF(AND($C1484&lt;&gt;"",$C1484&lt;=结账锁),"※日期早于已结账截止日，不能再录",IF(AND($L1484=0,$X1484="正常"),"※没填单价，价格状态请选「待补价」",IF(AND($S1484&gt;0,$R1484&gt;0),"△本批有 "&amp;$S1484&amp;" 行没单价，整批运费先挂账没摊",IF(AND($B1484&lt;&gt;"",COUNTIF($B$4:$B$2503,$B1484)&gt;1),"※入库单号重复","")))))))</f>
        <v/>
      </c>
    </row>
    <row r="1485">
      <c r="A1485" s="24">
        <f>IF($G1485="","",COUNTA($G$4:$G1485))</f>
        <v/>
      </c>
      <c r="B1485" s="17" t="n"/>
      <c r="C1485" s="30" t="n"/>
      <c r="D1485" s="17" t="n"/>
      <c r="E1485" s="17" t="n"/>
      <c r="F1485" s="17" t="n"/>
      <c r="G1485" s="17" t="n"/>
      <c r="H1485" s="24">
        <f>IF($G1485="","",IFERROR(VLOOKUP($G1485,物料档案!$A$4:$P$1203,3,0),"※编码不在物料档案里"))</f>
        <v/>
      </c>
      <c r="I1485" s="24">
        <f>IF($G1485="","",IFERROR(VLOOKUP($G1485,物料档案!$A$4:$P$1203,4,0),"※编码不在物料档案里"))</f>
        <v/>
      </c>
      <c r="J1485" s="24">
        <f>IF($G1485="","",IFERROR(VLOOKUP($G1485,物料档案!$A$4:$P$1203,5,0),"※编码不在物料档案里"))</f>
        <v/>
      </c>
      <c r="K1485" s="23" t="n"/>
      <c r="L1485" s="31" t="n"/>
      <c r="M1485" s="24">
        <f>IF($G1485="","",IF($D1485="A国内","CNY","TZS"))</f>
        <v/>
      </c>
      <c r="N1485" s="28">
        <f>IF($G1485="","",IF($D1485="A国内",汇率,1))</f>
        <v/>
      </c>
      <c r="O1485" s="25">
        <f>IF($G1485="","",ROUND(N($K1485)*N($L1485),2))</f>
        <v/>
      </c>
      <c r="P1485" s="26">
        <f>IF($G1485="","",ROUND($O1485*$N1485,0))</f>
        <v/>
      </c>
      <c r="Q1485" s="26">
        <f>IF($G1485="","",SUMIFS($P$4:$P$2503,$E$4:$E$2503,$E1485,$Z$4:$Z$2503,"正常"))</f>
        <v/>
      </c>
      <c r="R1485" s="26">
        <f>IF($G1485="","",SUMIFS(费用台账!$I$4:$I$503,费用台账!$C$4:$C$503,$E1485,费用台账!$J$4:$J$503,"是",费用台账!$K$4:$K$503,"正常"))</f>
        <v/>
      </c>
      <c r="S1485" s="28">
        <f>IF($G1485="","",COUNTIFS($E$4:$E$2503,$E1485,$Z$4:$Z$2503,"正常",$Y$4:$Y$2503,"待补价"))</f>
        <v/>
      </c>
      <c r="T1485" s="26">
        <f>IF($G1485="","",SUMIFS($P$4:$P$2503,$E$4:$E$2503,$E1485,$Z$4:$Z$2503,"正常",$A$4:$A$2503,"&lt;="&amp;$A1485))</f>
        <v/>
      </c>
      <c r="U1485" s="26">
        <f>IF($G1485="","",IF(OR($S1485&gt;0,$Q1485=0,$R1485=0,$Z1485&lt;&gt;"正常"),0,ROUND($T1485/$Q1485*$R1485,0)-ROUND(($T1485-$P1485)/$Q1485*$R1485,0)))</f>
        <v/>
      </c>
      <c r="V1485" s="26">
        <f>IF($G1485="","",ROUND($P1485+$U1485,0))</f>
        <v/>
      </c>
      <c r="W1485" s="26">
        <f>IF($G1485="","",IF(N($K1485)=0,0,ROUND($V1485/$K1485,2)))</f>
        <v/>
      </c>
      <c r="X1485" s="17" t="n"/>
      <c r="Y1485" s="17" t="n"/>
      <c r="Z1485" s="17" t="n"/>
      <c r="AA1485" s="17" t="n"/>
      <c r="AB1485" s="17" t="n"/>
      <c r="AC1485" s="24">
        <f>IF($G1485="","",IF($H1485="※编码不在物料档案里","※物料编码不在档案里",IF(N($K1485)&lt;=0,"※入库数量要大于 0",IF(AND($C1485&lt;&gt;"",$C1485&lt;=结账锁),"※日期早于已结账截止日，不能再录",IF(AND($L1485=0,$X1485="正常"),"※没填单价，价格状态请选「待补价」",IF(AND($S1485&gt;0,$R1485&gt;0),"△本批有 "&amp;$S1485&amp;" 行没单价，整批运费先挂账没摊",IF(AND($B1485&lt;&gt;"",COUNTIF($B$4:$B$2503,$B1485)&gt;1),"※入库单号重复","")))))))</f>
        <v/>
      </c>
    </row>
    <row r="1486">
      <c r="A1486" s="24">
        <f>IF($G1486="","",COUNTA($G$4:$G1486))</f>
        <v/>
      </c>
      <c r="B1486" s="17" t="n"/>
      <c r="C1486" s="30" t="n"/>
      <c r="D1486" s="17" t="n"/>
      <c r="E1486" s="17" t="n"/>
      <c r="F1486" s="17" t="n"/>
      <c r="G1486" s="17" t="n"/>
      <c r="H1486" s="24">
        <f>IF($G1486="","",IFERROR(VLOOKUP($G1486,物料档案!$A$4:$P$1203,3,0),"※编码不在物料档案里"))</f>
        <v/>
      </c>
      <c r="I1486" s="24">
        <f>IF($G1486="","",IFERROR(VLOOKUP($G1486,物料档案!$A$4:$P$1203,4,0),"※编码不在物料档案里"))</f>
        <v/>
      </c>
      <c r="J1486" s="24">
        <f>IF($G1486="","",IFERROR(VLOOKUP($G1486,物料档案!$A$4:$P$1203,5,0),"※编码不在物料档案里"))</f>
        <v/>
      </c>
      <c r="K1486" s="23" t="n"/>
      <c r="L1486" s="31" t="n"/>
      <c r="M1486" s="24">
        <f>IF($G1486="","",IF($D1486="A国内","CNY","TZS"))</f>
        <v/>
      </c>
      <c r="N1486" s="28">
        <f>IF($G1486="","",IF($D1486="A国内",汇率,1))</f>
        <v/>
      </c>
      <c r="O1486" s="25">
        <f>IF($G1486="","",ROUND(N($K1486)*N($L1486),2))</f>
        <v/>
      </c>
      <c r="P1486" s="26">
        <f>IF($G1486="","",ROUND($O1486*$N1486,0))</f>
        <v/>
      </c>
      <c r="Q1486" s="26">
        <f>IF($G1486="","",SUMIFS($P$4:$P$2503,$E$4:$E$2503,$E1486,$Z$4:$Z$2503,"正常"))</f>
        <v/>
      </c>
      <c r="R1486" s="26">
        <f>IF($G1486="","",SUMIFS(费用台账!$I$4:$I$503,费用台账!$C$4:$C$503,$E1486,费用台账!$J$4:$J$503,"是",费用台账!$K$4:$K$503,"正常"))</f>
        <v/>
      </c>
      <c r="S1486" s="28">
        <f>IF($G1486="","",COUNTIFS($E$4:$E$2503,$E1486,$Z$4:$Z$2503,"正常",$Y$4:$Y$2503,"待补价"))</f>
        <v/>
      </c>
      <c r="T1486" s="26">
        <f>IF($G1486="","",SUMIFS($P$4:$P$2503,$E$4:$E$2503,$E1486,$Z$4:$Z$2503,"正常",$A$4:$A$2503,"&lt;="&amp;$A1486))</f>
        <v/>
      </c>
      <c r="U1486" s="26">
        <f>IF($G1486="","",IF(OR($S1486&gt;0,$Q1486=0,$R1486=0,$Z1486&lt;&gt;"正常"),0,ROUND($T1486/$Q1486*$R1486,0)-ROUND(($T1486-$P1486)/$Q1486*$R1486,0)))</f>
        <v/>
      </c>
      <c r="V1486" s="26">
        <f>IF($G1486="","",ROUND($P1486+$U1486,0))</f>
        <v/>
      </c>
      <c r="W1486" s="26">
        <f>IF($G1486="","",IF(N($K1486)=0,0,ROUND($V1486/$K1486,2)))</f>
        <v/>
      </c>
      <c r="X1486" s="17" t="n"/>
      <c r="Y1486" s="17" t="n"/>
      <c r="Z1486" s="17" t="n"/>
      <c r="AA1486" s="17" t="n"/>
      <c r="AB1486" s="17" t="n"/>
      <c r="AC1486" s="24">
        <f>IF($G1486="","",IF($H1486="※编码不在物料档案里","※物料编码不在档案里",IF(N($K1486)&lt;=0,"※入库数量要大于 0",IF(AND($C1486&lt;&gt;"",$C1486&lt;=结账锁),"※日期早于已结账截止日，不能再录",IF(AND($L1486=0,$X1486="正常"),"※没填单价，价格状态请选「待补价」",IF(AND($S1486&gt;0,$R1486&gt;0),"△本批有 "&amp;$S1486&amp;" 行没单价，整批运费先挂账没摊",IF(AND($B1486&lt;&gt;"",COUNTIF($B$4:$B$2503,$B1486)&gt;1),"※入库单号重复","")))))))</f>
        <v/>
      </c>
    </row>
    <row r="1487">
      <c r="A1487" s="24">
        <f>IF($G1487="","",COUNTA($G$4:$G1487))</f>
        <v/>
      </c>
      <c r="B1487" s="17" t="n"/>
      <c r="C1487" s="30" t="n"/>
      <c r="D1487" s="17" t="n"/>
      <c r="E1487" s="17" t="n"/>
      <c r="F1487" s="17" t="n"/>
      <c r="G1487" s="17" t="n"/>
      <c r="H1487" s="24">
        <f>IF($G1487="","",IFERROR(VLOOKUP($G1487,物料档案!$A$4:$P$1203,3,0),"※编码不在物料档案里"))</f>
        <v/>
      </c>
      <c r="I1487" s="24">
        <f>IF($G1487="","",IFERROR(VLOOKUP($G1487,物料档案!$A$4:$P$1203,4,0),"※编码不在物料档案里"))</f>
        <v/>
      </c>
      <c r="J1487" s="24">
        <f>IF($G1487="","",IFERROR(VLOOKUP($G1487,物料档案!$A$4:$P$1203,5,0),"※编码不在物料档案里"))</f>
        <v/>
      </c>
      <c r="K1487" s="23" t="n"/>
      <c r="L1487" s="31" t="n"/>
      <c r="M1487" s="24">
        <f>IF($G1487="","",IF($D1487="A国内","CNY","TZS"))</f>
        <v/>
      </c>
      <c r="N1487" s="28">
        <f>IF($G1487="","",IF($D1487="A国内",汇率,1))</f>
        <v/>
      </c>
      <c r="O1487" s="25">
        <f>IF($G1487="","",ROUND(N($K1487)*N($L1487),2))</f>
        <v/>
      </c>
      <c r="P1487" s="26">
        <f>IF($G1487="","",ROUND($O1487*$N1487,0))</f>
        <v/>
      </c>
      <c r="Q1487" s="26">
        <f>IF($G1487="","",SUMIFS($P$4:$P$2503,$E$4:$E$2503,$E1487,$Z$4:$Z$2503,"正常"))</f>
        <v/>
      </c>
      <c r="R1487" s="26">
        <f>IF($G1487="","",SUMIFS(费用台账!$I$4:$I$503,费用台账!$C$4:$C$503,$E1487,费用台账!$J$4:$J$503,"是",费用台账!$K$4:$K$503,"正常"))</f>
        <v/>
      </c>
      <c r="S1487" s="28">
        <f>IF($G1487="","",COUNTIFS($E$4:$E$2503,$E1487,$Z$4:$Z$2503,"正常",$Y$4:$Y$2503,"待补价"))</f>
        <v/>
      </c>
      <c r="T1487" s="26">
        <f>IF($G1487="","",SUMIFS($P$4:$P$2503,$E$4:$E$2503,$E1487,$Z$4:$Z$2503,"正常",$A$4:$A$2503,"&lt;="&amp;$A1487))</f>
        <v/>
      </c>
      <c r="U1487" s="26">
        <f>IF($G1487="","",IF(OR($S1487&gt;0,$Q1487=0,$R1487=0,$Z1487&lt;&gt;"正常"),0,ROUND($T1487/$Q1487*$R1487,0)-ROUND(($T1487-$P1487)/$Q1487*$R1487,0)))</f>
        <v/>
      </c>
      <c r="V1487" s="26">
        <f>IF($G1487="","",ROUND($P1487+$U1487,0))</f>
        <v/>
      </c>
      <c r="W1487" s="26">
        <f>IF($G1487="","",IF(N($K1487)=0,0,ROUND($V1487/$K1487,2)))</f>
        <v/>
      </c>
      <c r="X1487" s="17" t="n"/>
      <c r="Y1487" s="17" t="n"/>
      <c r="Z1487" s="17" t="n"/>
      <c r="AA1487" s="17" t="n"/>
      <c r="AB1487" s="17" t="n"/>
      <c r="AC1487" s="24">
        <f>IF($G1487="","",IF($H1487="※编码不在物料档案里","※物料编码不在档案里",IF(N($K1487)&lt;=0,"※入库数量要大于 0",IF(AND($C1487&lt;&gt;"",$C1487&lt;=结账锁),"※日期早于已结账截止日，不能再录",IF(AND($L1487=0,$X1487="正常"),"※没填单价，价格状态请选「待补价」",IF(AND($S1487&gt;0,$R1487&gt;0),"△本批有 "&amp;$S1487&amp;" 行没单价，整批运费先挂账没摊",IF(AND($B1487&lt;&gt;"",COUNTIF($B$4:$B$2503,$B1487)&gt;1),"※入库单号重复","")))))))</f>
        <v/>
      </c>
    </row>
    <row r="1488">
      <c r="A1488" s="24">
        <f>IF($G1488="","",COUNTA($G$4:$G1488))</f>
        <v/>
      </c>
      <c r="B1488" s="17" t="n"/>
      <c r="C1488" s="30" t="n"/>
      <c r="D1488" s="17" t="n"/>
      <c r="E1488" s="17" t="n"/>
      <c r="F1488" s="17" t="n"/>
      <c r="G1488" s="17" t="n"/>
      <c r="H1488" s="24">
        <f>IF($G1488="","",IFERROR(VLOOKUP($G1488,物料档案!$A$4:$P$1203,3,0),"※编码不在物料档案里"))</f>
        <v/>
      </c>
      <c r="I1488" s="24">
        <f>IF($G1488="","",IFERROR(VLOOKUP($G1488,物料档案!$A$4:$P$1203,4,0),"※编码不在物料档案里"))</f>
        <v/>
      </c>
      <c r="J1488" s="24">
        <f>IF($G1488="","",IFERROR(VLOOKUP($G1488,物料档案!$A$4:$P$1203,5,0),"※编码不在物料档案里"))</f>
        <v/>
      </c>
      <c r="K1488" s="23" t="n"/>
      <c r="L1488" s="31" t="n"/>
      <c r="M1488" s="24">
        <f>IF($G1488="","",IF($D1488="A国内","CNY","TZS"))</f>
        <v/>
      </c>
      <c r="N1488" s="28">
        <f>IF($G1488="","",IF($D1488="A国内",汇率,1))</f>
        <v/>
      </c>
      <c r="O1488" s="25">
        <f>IF($G1488="","",ROUND(N($K1488)*N($L1488),2))</f>
        <v/>
      </c>
      <c r="P1488" s="26">
        <f>IF($G1488="","",ROUND($O1488*$N1488,0))</f>
        <v/>
      </c>
      <c r="Q1488" s="26">
        <f>IF($G1488="","",SUMIFS($P$4:$P$2503,$E$4:$E$2503,$E1488,$Z$4:$Z$2503,"正常"))</f>
        <v/>
      </c>
      <c r="R1488" s="26">
        <f>IF($G1488="","",SUMIFS(费用台账!$I$4:$I$503,费用台账!$C$4:$C$503,$E1488,费用台账!$J$4:$J$503,"是",费用台账!$K$4:$K$503,"正常"))</f>
        <v/>
      </c>
      <c r="S1488" s="28">
        <f>IF($G1488="","",COUNTIFS($E$4:$E$2503,$E1488,$Z$4:$Z$2503,"正常",$Y$4:$Y$2503,"待补价"))</f>
        <v/>
      </c>
      <c r="T1488" s="26">
        <f>IF($G1488="","",SUMIFS($P$4:$P$2503,$E$4:$E$2503,$E1488,$Z$4:$Z$2503,"正常",$A$4:$A$2503,"&lt;="&amp;$A1488))</f>
        <v/>
      </c>
      <c r="U1488" s="26">
        <f>IF($G1488="","",IF(OR($S1488&gt;0,$Q1488=0,$R1488=0,$Z1488&lt;&gt;"正常"),0,ROUND($T1488/$Q1488*$R1488,0)-ROUND(($T1488-$P1488)/$Q1488*$R1488,0)))</f>
        <v/>
      </c>
      <c r="V1488" s="26">
        <f>IF($G1488="","",ROUND($P1488+$U1488,0))</f>
        <v/>
      </c>
      <c r="W1488" s="26">
        <f>IF($G1488="","",IF(N($K1488)=0,0,ROUND($V1488/$K1488,2)))</f>
        <v/>
      </c>
      <c r="X1488" s="17" t="n"/>
      <c r="Y1488" s="17" t="n"/>
      <c r="Z1488" s="17" t="n"/>
      <c r="AA1488" s="17" t="n"/>
      <c r="AB1488" s="17" t="n"/>
      <c r="AC1488" s="24">
        <f>IF($G1488="","",IF($H1488="※编码不在物料档案里","※物料编码不在档案里",IF(N($K1488)&lt;=0,"※入库数量要大于 0",IF(AND($C1488&lt;&gt;"",$C1488&lt;=结账锁),"※日期早于已结账截止日，不能再录",IF(AND($L1488=0,$X1488="正常"),"※没填单价，价格状态请选「待补价」",IF(AND($S1488&gt;0,$R1488&gt;0),"△本批有 "&amp;$S1488&amp;" 行没单价，整批运费先挂账没摊",IF(AND($B1488&lt;&gt;"",COUNTIF($B$4:$B$2503,$B1488)&gt;1),"※入库单号重复","")))))))</f>
        <v/>
      </c>
    </row>
    <row r="1489">
      <c r="A1489" s="24">
        <f>IF($G1489="","",COUNTA($G$4:$G1489))</f>
        <v/>
      </c>
      <c r="B1489" s="17" t="n"/>
      <c r="C1489" s="30" t="n"/>
      <c r="D1489" s="17" t="n"/>
      <c r="E1489" s="17" t="n"/>
      <c r="F1489" s="17" t="n"/>
      <c r="G1489" s="17" t="n"/>
      <c r="H1489" s="24">
        <f>IF($G1489="","",IFERROR(VLOOKUP($G1489,物料档案!$A$4:$P$1203,3,0),"※编码不在物料档案里"))</f>
        <v/>
      </c>
      <c r="I1489" s="24">
        <f>IF($G1489="","",IFERROR(VLOOKUP($G1489,物料档案!$A$4:$P$1203,4,0),"※编码不在物料档案里"))</f>
        <v/>
      </c>
      <c r="J1489" s="24">
        <f>IF($G1489="","",IFERROR(VLOOKUP($G1489,物料档案!$A$4:$P$1203,5,0),"※编码不在物料档案里"))</f>
        <v/>
      </c>
      <c r="K1489" s="23" t="n"/>
      <c r="L1489" s="31" t="n"/>
      <c r="M1489" s="24">
        <f>IF($G1489="","",IF($D1489="A国内","CNY","TZS"))</f>
        <v/>
      </c>
      <c r="N1489" s="28">
        <f>IF($G1489="","",IF($D1489="A国内",汇率,1))</f>
        <v/>
      </c>
      <c r="O1489" s="25">
        <f>IF($G1489="","",ROUND(N($K1489)*N($L1489),2))</f>
        <v/>
      </c>
      <c r="P1489" s="26">
        <f>IF($G1489="","",ROUND($O1489*$N1489,0))</f>
        <v/>
      </c>
      <c r="Q1489" s="26">
        <f>IF($G1489="","",SUMIFS($P$4:$P$2503,$E$4:$E$2503,$E1489,$Z$4:$Z$2503,"正常"))</f>
        <v/>
      </c>
      <c r="R1489" s="26">
        <f>IF($G1489="","",SUMIFS(费用台账!$I$4:$I$503,费用台账!$C$4:$C$503,$E1489,费用台账!$J$4:$J$503,"是",费用台账!$K$4:$K$503,"正常"))</f>
        <v/>
      </c>
      <c r="S1489" s="28">
        <f>IF($G1489="","",COUNTIFS($E$4:$E$2503,$E1489,$Z$4:$Z$2503,"正常",$Y$4:$Y$2503,"待补价"))</f>
        <v/>
      </c>
      <c r="T1489" s="26">
        <f>IF($G1489="","",SUMIFS($P$4:$P$2503,$E$4:$E$2503,$E1489,$Z$4:$Z$2503,"正常",$A$4:$A$2503,"&lt;="&amp;$A1489))</f>
        <v/>
      </c>
      <c r="U1489" s="26">
        <f>IF($G1489="","",IF(OR($S1489&gt;0,$Q1489=0,$R1489=0,$Z1489&lt;&gt;"正常"),0,ROUND($T1489/$Q1489*$R1489,0)-ROUND(($T1489-$P1489)/$Q1489*$R1489,0)))</f>
        <v/>
      </c>
      <c r="V1489" s="26">
        <f>IF($G1489="","",ROUND($P1489+$U1489,0))</f>
        <v/>
      </c>
      <c r="W1489" s="26">
        <f>IF($G1489="","",IF(N($K1489)=0,0,ROUND($V1489/$K1489,2)))</f>
        <v/>
      </c>
      <c r="X1489" s="17" t="n"/>
      <c r="Y1489" s="17" t="n"/>
      <c r="Z1489" s="17" t="n"/>
      <c r="AA1489" s="17" t="n"/>
      <c r="AB1489" s="17" t="n"/>
      <c r="AC1489" s="24">
        <f>IF($G1489="","",IF($H1489="※编码不在物料档案里","※物料编码不在档案里",IF(N($K1489)&lt;=0,"※入库数量要大于 0",IF(AND($C1489&lt;&gt;"",$C1489&lt;=结账锁),"※日期早于已结账截止日，不能再录",IF(AND($L1489=0,$X1489="正常"),"※没填单价，价格状态请选「待补价」",IF(AND($S1489&gt;0,$R1489&gt;0),"△本批有 "&amp;$S1489&amp;" 行没单价，整批运费先挂账没摊",IF(AND($B1489&lt;&gt;"",COUNTIF($B$4:$B$2503,$B1489)&gt;1),"※入库单号重复","")))))))</f>
        <v/>
      </c>
    </row>
    <row r="1490">
      <c r="A1490" s="24">
        <f>IF($G1490="","",COUNTA($G$4:$G1490))</f>
        <v/>
      </c>
      <c r="B1490" s="17" t="n"/>
      <c r="C1490" s="30" t="n"/>
      <c r="D1490" s="17" t="n"/>
      <c r="E1490" s="17" t="n"/>
      <c r="F1490" s="17" t="n"/>
      <c r="G1490" s="17" t="n"/>
      <c r="H1490" s="24">
        <f>IF($G1490="","",IFERROR(VLOOKUP($G1490,物料档案!$A$4:$P$1203,3,0),"※编码不在物料档案里"))</f>
        <v/>
      </c>
      <c r="I1490" s="24">
        <f>IF($G1490="","",IFERROR(VLOOKUP($G1490,物料档案!$A$4:$P$1203,4,0),"※编码不在物料档案里"))</f>
        <v/>
      </c>
      <c r="J1490" s="24">
        <f>IF($G1490="","",IFERROR(VLOOKUP($G1490,物料档案!$A$4:$P$1203,5,0),"※编码不在物料档案里"))</f>
        <v/>
      </c>
      <c r="K1490" s="23" t="n"/>
      <c r="L1490" s="31" t="n"/>
      <c r="M1490" s="24">
        <f>IF($G1490="","",IF($D1490="A国内","CNY","TZS"))</f>
        <v/>
      </c>
      <c r="N1490" s="28">
        <f>IF($G1490="","",IF($D1490="A国内",汇率,1))</f>
        <v/>
      </c>
      <c r="O1490" s="25">
        <f>IF($G1490="","",ROUND(N($K1490)*N($L1490),2))</f>
        <v/>
      </c>
      <c r="P1490" s="26">
        <f>IF($G1490="","",ROUND($O1490*$N1490,0))</f>
        <v/>
      </c>
      <c r="Q1490" s="26">
        <f>IF($G1490="","",SUMIFS($P$4:$P$2503,$E$4:$E$2503,$E1490,$Z$4:$Z$2503,"正常"))</f>
        <v/>
      </c>
      <c r="R1490" s="26">
        <f>IF($G1490="","",SUMIFS(费用台账!$I$4:$I$503,费用台账!$C$4:$C$503,$E1490,费用台账!$J$4:$J$503,"是",费用台账!$K$4:$K$503,"正常"))</f>
        <v/>
      </c>
      <c r="S1490" s="28">
        <f>IF($G1490="","",COUNTIFS($E$4:$E$2503,$E1490,$Z$4:$Z$2503,"正常",$Y$4:$Y$2503,"待补价"))</f>
        <v/>
      </c>
      <c r="T1490" s="26">
        <f>IF($G1490="","",SUMIFS($P$4:$P$2503,$E$4:$E$2503,$E1490,$Z$4:$Z$2503,"正常",$A$4:$A$2503,"&lt;="&amp;$A1490))</f>
        <v/>
      </c>
      <c r="U1490" s="26">
        <f>IF($G1490="","",IF(OR($S1490&gt;0,$Q1490=0,$R1490=0,$Z1490&lt;&gt;"正常"),0,ROUND($T1490/$Q1490*$R1490,0)-ROUND(($T1490-$P1490)/$Q1490*$R1490,0)))</f>
        <v/>
      </c>
      <c r="V1490" s="26">
        <f>IF($G1490="","",ROUND($P1490+$U1490,0))</f>
        <v/>
      </c>
      <c r="W1490" s="26">
        <f>IF($G1490="","",IF(N($K1490)=0,0,ROUND($V1490/$K1490,2)))</f>
        <v/>
      </c>
      <c r="X1490" s="17" t="n"/>
      <c r="Y1490" s="17" t="n"/>
      <c r="Z1490" s="17" t="n"/>
      <c r="AA1490" s="17" t="n"/>
      <c r="AB1490" s="17" t="n"/>
      <c r="AC1490" s="24">
        <f>IF($G1490="","",IF($H1490="※编码不在物料档案里","※物料编码不在档案里",IF(N($K1490)&lt;=0,"※入库数量要大于 0",IF(AND($C1490&lt;&gt;"",$C1490&lt;=结账锁),"※日期早于已结账截止日，不能再录",IF(AND($L1490=0,$X1490="正常"),"※没填单价，价格状态请选「待补价」",IF(AND($S1490&gt;0,$R1490&gt;0),"△本批有 "&amp;$S1490&amp;" 行没单价，整批运费先挂账没摊",IF(AND($B1490&lt;&gt;"",COUNTIF($B$4:$B$2503,$B1490)&gt;1),"※入库单号重复","")))))))</f>
        <v/>
      </c>
    </row>
    <row r="1491">
      <c r="A1491" s="24">
        <f>IF($G1491="","",COUNTA($G$4:$G1491))</f>
        <v/>
      </c>
      <c r="B1491" s="17" t="n"/>
      <c r="C1491" s="30" t="n"/>
      <c r="D1491" s="17" t="n"/>
      <c r="E1491" s="17" t="n"/>
      <c r="F1491" s="17" t="n"/>
      <c r="G1491" s="17" t="n"/>
      <c r="H1491" s="24">
        <f>IF($G1491="","",IFERROR(VLOOKUP($G1491,物料档案!$A$4:$P$1203,3,0),"※编码不在物料档案里"))</f>
        <v/>
      </c>
      <c r="I1491" s="24">
        <f>IF($G1491="","",IFERROR(VLOOKUP($G1491,物料档案!$A$4:$P$1203,4,0),"※编码不在物料档案里"))</f>
        <v/>
      </c>
      <c r="J1491" s="24">
        <f>IF($G1491="","",IFERROR(VLOOKUP($G1491,物料档案!$A$4:$P$1203,5,0),"※编码不在物料档案里"))</f>
        <v/>
      </c>
      <c r="K1491" s="23" t="n"/>
      <c r="L1491" s="31" t="n"/>
      <c r="M1491" s="24">
        <f>IF($G1491="","",IF($D1491="A国内","CNY","TZS"))</f>
        <v/>
      </c>
      <c r="N1491" s="28">
        <f>IF($G1491="","",IF($D1491="A国内",汇率,1))</f>
        <v/>
      </c>
      <c r="O1491" s="25">
        <f>IF($G1491="","",ROUND(N($K1491)*N($L1491),2))</f>
        <v/>
      </c>
      <c r="P1491" s="26">
        <f>IF($G1491="","",ROUND($O1491*$N1491,0))</f>
        <v/>
      </c>
      <c r="Q1491" s="26">
        <f>IF($G1491="","",SUMIFS($P$4:$P$2503,$E$4:$E$2503,$E1491,$Z$4:$Z$2503,"正常"))</f>
        <v/>
      </c>
      <c r="R1491" s="26">
        <f>IF($G1491="","",SUMIFS(费用台账!$I$4:$I$503,费用台账!$C$4:$C$503,$E1491,费用台账!$J$4:$J$503,"是",费用台账!$K$4:$K$503,"正常"))</f>
        <v/>
      </c>
      <c r="S1491" s="28">
        <f>IF($G1491="","",COUNTIFS($E$4:$E$2503,$E1491,$Z$4:$Z$2503,"正常",$Y$4:$Y$2503,"待补价"))</f>
        <v/>
      </c>
      <c r="T1491" s="26">
        <f>IF($G1491="","",SUMIFS($P$4:$P$2503,$E$4:$E$2503,$E1491,$Z$4:$Z$2503,"正常",$A$4:$A$2503,"&lt;="&amp;$A1491))</f>
        <v/>
      </c>
      <c r="U1491" s="26">
        <f>IF($G1491="","",IF(OR($S1491&gt;0,$Q1491=0,$R1491=0,$Z1491&lt;&gt;"正常"),0,ROUND($T1491/$Q1491*$R1491,0)-ROUND(($T1491-$P1491)/$Q1491*$R1491,0)))</f>
        <v/>
      </c>
      <c r="V1491" s="26">
        <f>IF($G1491="","",ROUND($P1491+$U1491,0))</f>
        <v/>
      </c>
      <c r="W1491" s="26">
        <f>IF($G1491="","",IF(N($K1491)=0,0,ROUND($V1491/$K1491,2)))</f>
        <v/>
      </c>
      <c r="X1491" s="17" t="n"/>
      <c r="Y1491" s="17" t="n"/>
      <c r="Z1491" s="17" t="n"/>
      <c r="AA1491" s="17" t="n"/>
      <c r="AB1491" s="17" t="n"/>
      <c r="AC1491" s="24">
        <f>IF($G1491="","",IF($H1491="※编码不在物料档案里","※物料编码不在档案里",IF(N($K1491)&lt;=0,"※入库数量要大于 0",IF(AND($C1491&lt;&gt;"",$C1491&lt;=结账锁),"※日期早于已结账截止日，不能再录",IF(AND($L1491=0,$X1491="正常"),"※没填单价，价格状态请选「待补价」",IF(AND($S1491&gt;0,$R1491&gt;0),"△本批有 "&amp;$S1491&amp;" 行没单价，整批运费先挂账没摊",IF(AND($B1491&lt;&gt;"",COUNTIF($B$4:$B$2503,$B1491)&gt;1),"※入库单号重复","")))))))</f>
        <v/>
      </c>
    </row>
    <row r="1492">
      <c r="A1492" s="24">
        <f>IF($G1492="","",COUNTA($G$4:$G1492))</f>
        <v/>
      </c>
      <c r="B1492" s="17" t="n"/>
      <c r="C1492" s="30" t="n"/>
      <c r="D1492" s="17" t="n"/>
      <c r="E1492" s="17" t="n"/>
      <c r="F1492" s="17" t="n"/>
      <c r="G1492" s="17" t="n"/>
      <c r="H1492" s="24">
        <f>IF($G1492="","",IFERROR(VLOOKUP($G1492,物料档案!$A$4:$P$1203,3,0),"※编码不在物料档案里"))</f>
        <v/>
      </c>
      <c r="I1492" s="24">
        <f>IF($G1492="","",IFERROR(VLOOKUP($G1492,物料档案!$A$4:$P$1203,4,0),"※编码不在物料档案里"))</f>
        <v/>
      </c>
      <c r="J1492" s="24">
        <f>IF($G1492="","",IFERROR(VLOOKUP($G1492,物料档案!$A$4:$P$1203,5,0),"※编码不在物料档案里"))</f>
        <v/>
      </c>
      <c r="K1492" s="23" t="n"/>
      <c r="L1492" s="31" t="n"/>
      <c r="M1492" s="24">
        <f>IF($G1492="","",IF($D1492="A国内","CNY","TZS"))</f>
        <v/>
      </c>
      <c r="N1492" s="28">
        <f>IF($G1492="","",IF($D1492="A国内",汇率,1))</f>
        <v/>
      </c>
      <c r="O1492" s="25">
        <f>IF($G1492="","",ROUND(N($K1492)*N($L1492),2))</f>
        <v/>
      </c>
      <c r="P1492" s="26">
        <f>IF($G1492="","",ROUND($O1492*$N1492,0))</f>
        <v/>
      </c>
      <c r="Q1492" s="26">
        <f>IF($G1492="","",SUMIFS($P$4:$P$2503,$E$4:$E$2503,$E1492,$Z$4:$Z$2503,"正常"))</f>
        <v/>
      </c>
      <c r="R1492" s="26">
        <f>IF($G1492="","",SUMIFS(费用台账!$I$4:$I$503,费用台账!$C$4:$C$503,$E1492,费用台账!$J$4:$J$503,"是",费用台账!$K$4:$K$503,"正常"))</f>
        <v/>
      </c>
      <c r="S1492" s="28">
        <f>IF($G1492="","",COUNTIFS($E$4:$E$2503,$E1492,$Z$4:$Z$2503,"正常",$Y$4:$Y$2503,"待补价"))</f>
        <v/>
      </c>
      <c r="T1492" s="26">
        <f>IF($G1492="","",SUMIFS($P$4:$P$2503,$E$4:$E$2503,$E1492,$Z$4:$Z$2503,"正常",$A$4:$A$2503,"&lt;="&amp;$A1492))</f>
        <v/>
      </c>
      <c r="U1492" s="26">
        <f>IF($G1492="","",IF(OR($S1492&gt;0,$Q1492=0,$R1492=0,$Z1492&lt;&gt;"正常"),0,ROUND($T1492/$Q1492*$R1492,0)-ROUND(($T1492-$P1492)/$Q1492*$R1492,0)))</f>
        <v/>
      </c>
      <c r="V1492" s="26">
        <f>IF($G1492="","",ROUND($P1492+$U1492,0))</f>
        <v/>
      </c>
      <c r="W1492" s="26">
        <f>IF($G1492="","",IF(N($K1492)=0,0,ROUND($V1492/$K1492,2)))</f>
        <v/>
      </c>
      <c r="X1492" s="17" t="n"/>
      <c r="Y1492" s="17" t="n"/>
      <c r="Z1492" s="17" t="n"/>
      <c r="AA1492" s="17" t="n"/>
      <c r="AB1492" s="17" t="n"/>
      <c r="AC1492" s="24">
        <f>IF($G1492="","",IF($H1492="※编码不在物料档案里","※物料编码不在档案里",IF(N($K1492)&lt;=0,"※入库数量要大于 0",IF(AND($C1492&lt;&gt;"",$C1492&lt;=结账锁),"※日期早于已结账截止日，不能再录",IF(AND($L1492=0,$X1492="正常"),"※没填单价，价格状态请选「待补价」",IF(AND($S1492&gt;0,$R1492&gt;0),"△本批有 "&amp;$S1492&amp;" 行没单价，整批运费先挂账没摊",IF(AND($B1492&lt;&gt;"",COUNTIF($B$4:$B$2503,$B1492)&gt;1),"※入库单号重复","")))))))</f>
        <v/>
      </c>
    </row>
    <row r="1493">
      <c r="A1493" s="24">
        <f>IF($G1493="","",COUNTA($G$4:$G1493))</f>
        <v/>
      </c>
      <c r="B1493" s="17" t="n"/>
      <c r="C1493" s="30" t="n"/>
      <c r="D1493" s="17" t="n"/>
      <c r="E1493" s="17" t="n"/>
      <c r="F1493" s="17" t="n"/>
      <c r="G1493" s="17" t="n"/>
      <c r="H1493" s="24">
        <f>IF($G1493="","",IFERROR(VLOOKUP($G1493,物料档案!$A$4:$P$1203,3,0),"※编码不在物料档案里"))</f>
        <v/>
      </c>
      <c r="I1493" s="24">
        <f>IF($G1493="","",IFERROR(VLOOKUP($G1493,物料档案!$A$4:$P$1203,4,0),"※编码不在物料档案里"))</f>
        <v/>
      </c>
      <c r="J1493" s="24">
        <f>IF($G1493="","",IFERROR(VLOOKUP($G1493,物料档案!$A$4:$P$1203,5,0),"※编码不在物料档案里"))</f>
        <v/>
      </c>
      <c r="K1493" s="23" t="n"/>
      <c r="L1493" s="31" t="n"/>
      <c r="M1493" s="24">
        <f>IF($G1493="","",IF($D1493="A国内","CNY","TZS"))</f>
        <v/>
      </c>
      <c r="N1493" s="28">
        <f>IF($G1493="","",IF($D1493="A国内",汇率,1))</f>
        <v/>
      </c>
      <c r="O1493" s="25">
        <f>IF($G1493="","",ROUND(N($K1493)*N($L1493),2))</f>
        <v/>
      </c>
      <c r="P1493" s="26">
        <f>IF($G1493="","",ROUND($O1493*$N1493,0))</f>
        <v/>
      </c>
      <c r="Q1493" s="26">
        <f>IF($G1493="","",SUMIFS($P$4:$P$2503,$E$4:$E$2503,$E1493,$Z$4:$Z$2503,"正常"))</f>
        <v/>
      </c>
      <c r="R1493" s="26">
        <f>IF($G1493="","",SUMIFS(费用台账!$I$4:$I$503,费用台账!$C$4:$C$503,$E1493,费用台账!$J$4:$J$503,"是",费用台账!$K$4:$K$503,"正常"))</f>
        <v/>
      </c>
      <c r="S1493" s="28">
        <f>IF($G1493="","",COUNTIFS($E$4:$E$2503,$E1493,$Z$4:$Z$2503,"正常",$Y$4:$Y$2503,"待补价"))</f>
        <v/>
      </c>
      <c r="T1493" s="26">
        <f>IF($G1493="","",SUMIFS($P$4:$P$2503,$E$4:$E$2503,$E1493,$Z$4:$Z$2503,"正常",$A$4:$A$2503,"&lt;="&amp;$A1493))</f>
        <v/>
      </c>
      <c r="U1493" s="26">
        <f>IF($G1493="","",IF(OR($S1493&gt;0,$Q1493=0,$R1493=0,$Z1493&lt;&gt;"正常"),0,ROUND($T1493/$Q1493*$R1493,0)-ROUND(($T1493-$P1493)/$Q1493*$R1493,0)))</f>
        <v/>
      </c>
      <c r="V1493" s="26">
        <f>IF($G1493="","",ROUND($P1493+$U1493,0))</f>
        <v/>
      </c>
      <c r="W1493" s="26">
        <f>IF($G1493="","",IF(N($K1493)=0,0,ROUND($V1493/$K1493,2)))</f>
        <v/>
      </c>
      <c r="X1493" s="17" t="n"/>
      <c r="Y1493" s="17" t="n"/>
      <c r="Z1493" s="17" t="n"/>
      <c r="AA1493" s="17" t="n"/>
      <c r="AB1493" s="17" t="n"/>
      <c r="AC1493" s="24">
        <f>IF($G1493="","",IF($H1493="※编码不在物料档案里","※物料编码不在档案里",IF(N($K1493)&lt;=0,"※入库数量要大于 0",IF(AND($C1493&lt;&gt;"",$C1493&lt;=结账锁),"※日期早于已结账截止日，不能再录",IF(AND($L1493=0,$X1493="正常"),"※没填单价，价格状态请选「待补价」",IF(AND($S1493&gt;0,$R1493&gt;0),"△本批有 "&amp;$S1493&amp;" 行没单价，整批运费先挂账没摊",IF(AND($B1493&lt;&gt;"",COUNTIF($B$4:$B$2503,$B1493)&gt;1),"※入库单号重复","")))))))</f>
        <v/>
      </c>
    </row>
    <row r="1494">
      <c r="A1494" s="24">
        <f>IF($G1494="","",COUNTA($G$4:$G1494))</f>
        <v/>
      </c>
      <c r="B1494" s="17" t="n"/>
      <c r="C1494" s="30" t="n"/>
      <c r="D1494" s="17" t="n"/>
      <c r="E1494" s="17" t="n"/>
      <c r="F1494" s="17" t="n"/>
      <c r="G1494" s="17" t="n"/>
      <c r="H1494" s="24">
        <f>IF($G1494="","",IFERROR(VLOOKUP($G1494,物料档案!$A$4:$P$1203,3,0),"※编码不在物料档案里"))</f>
        <v/>
      </c>
      <c r="I1494" s="24">
        <f>IF($G1494="","",IFERROR(VLOOKUP($G1494,物料档案!$A$4:$P$1203,4,0),"※编码不在物料档案里"))</f>
        <v/>
      </c>
      <c r="J1494" s="24">
        <f>IF($G1494="","",IFERROR(VLOOKUP($G1494,物料档案!$A$4:$P$1203,5,0),"※编码不在物料档案里"))</f>
        <v/>
      </c>
      <c r="K1494" s="23" t="n"/>
      <c r="L1494" s="31" t="n"/>
      <c r="M1494" s="24">
        <f>IF($G1494="","",IF($D1494="A国内","CNY","TZS"))</f>
        <v/>
      </c>
      <c r="N1494" s="28">
        <f>IF($G1494="","",IF($D1494="A国内",汇率,1))</f>
        <v/>
      </c>
      <c r="O1494" s="25">
        <f>IF($G1494="","",ROUND(N($K1494)*N($L1494),2))</f>
        <v/>
      </c>
      <c r="P1494" s="26">
        <f>IF($G1494="","",ROUND($O1494*$N1494,0))</f>
        <v/>
      </c>
      <c r="Q1494" s="26">
        <f>IF($G1494="","",SUMIFS($P$4:$P$2503,$E$4:$E$2503,$E1494,$Z$4:$Z$2503,"正常"))</f>
        <v/>
      </c>
      <c r="R1494" s="26">
        <f>IF($G1494="","",SUMIFS(费用台账!$I$4:$I$503,费用台账!$C$4:$C$503,$E1494,费用台账!$J$4:$J$503,"是",费用台账!$K$4:$K$503,"正常"))</f>
        <v/>
      </c>
      <c r="S1494" s="28">
        <f>IF($G1494="","",COUNTIFS($E$4:$E$2503,$E1494,$Z$4:$Z$2503,"正常",$Y$4:$Y$2503,"待补价"))</f>
        <v/>
      </c>
      <c r="T1494" s="26">
        <f>IF($G1494="","",SUMIFS($P$4:$P$2503,$E$4:$E$2503,$E1494,$Z$4:$Z$2503,"正常",$A$4:$A$2503,"&lt;="&amp;$A1494))</f>
        <v/>
      </c>
      <c r="U1494" s="26">
        <f>IF($G1494="","",IF(OR($S1494&gt;0,$Q1494=0,$R1494=0,$Z1494&lt;&gt;"正常"),0,ROUND($T1494/$Q1494*$R1494,0)-ROUND(($T1494-$P1494)/$Q1494*$R1494,0)))</f>
        <v/>
      </c>
      <c r="V1494" s="26">
        <f>IF($G1494="","",ROUND($P1494+$U1494,0))</f>
        <v/>
      </c>
      <c r="W1494" s="26">
        <f>IF($G1494="","",IF(N($K1494)=0,0,ROUND($V1494/$K1494,2)))</f>
        <v/>
      </c>
      <c r="X1494" s="17" t="n"/>
      <c r="Y1494" s="17" t="n"/>
      <c r="Z1494" s="17" t="n"/>
      <c r="AA1494" s="17" t="n"/>
      <c r="AB1494" s="17" t="n"/>
      <c r="AC1494" s="24">
        <f>IF($G1494="","",IF($H1494="※编码不在物料档案里","※物料编码不在档案里",IF(N($K1494)&lt;=0,"※入库数量要大于 0",IF(AND($C1494&lt;&gt;"",$C1494&lt;=结账锁),"※日期早于已结账截止日，不能再录",IF(AND($L1494=0,$X1494="正常"),"※没填单价，价格状态请选「待补价」",IF(AND($S1494&gt;0,$R1494&gt;0),"△本批有 "&amp;$S1494&amp;" 行没单价，整批运费先挂账没摊",IF(AND($B1494&lt;&gt;"",COUNTIF($B$4:$B$2503,$B1494)&gt;1),"※入库单号重复","")))))))</f>
        <v/>
      </c>
    </row>
    <row r="1495">
      <c r="A1495" s="24">
        <f>IF($G1495="","",COUNTA($G$4:$G1495))</f>
        <v/>
      </c>
      <c r="B1495" s="17" t="n"/>
      <c r="C1495" s="30" t="n"/>
      <c r="D1495" s="17" t="n"/>
      <c r="E1495" s="17" t="n"/>
      <c r="F1495" s="17" t="n"/>
      <c r="G1495" s="17" t="n"/>
      <c r="H1495" s="24">
        <f>IF($G1495="","",IFERROR(VLOOKUP($G1495,物料档案!$A$4:$P$1203,3,0),"※编码不在物料档案里"))</f>
        <v/>
      </c>
      <c r="I1495" s="24">
        <f>IF($G1495="","",IFERROR(VLOOKUP($G1495,物料档案!$A$4:$P$1203,4,0),"※编码不在物料档案里"))</f>
        <v/>
      </c>
      <c r="J1495" s="24">
        <f>IF($G1495="","",IFERROR(VLOOKUP($G1495,物料档案!$A$4:$P$1203,5,0),"※编码不在物料档案里"))</f>
        <v/>
      </c>
      <c r="K1495" s="23" t="n"/>
      <c r="L1495" s="31" t="n"/>
      <c r="M1495" s="24">
        <f>IF($G1495="","",IF($D1495="A国内","CNY","TZS"))</f>
        <v/>
      </c>
      <c r="N1495" s="28">
        <f>IF($G1495="","",IF($D1495="A国内",汇率,1))</f>
        <v/>
      </c>
      <c r="O1495" s="25">
        <f>IF($G1495="","",ROUND(N($K1495)*N($L1495),2))</f>
        <v/>
      </c>
      <c r="P1495" s="26">
        <f>IF($G1495="","",ROUND($O1495*$N1495,0))</f>
        <v/>
      </c>
      <c r="Q1495" s="26">
        <f>IF($G1495="","",SUMIFS($P$4:$P$2503,$E$4:$E$2503,$E1495,$Z$4:$Z$2503,"正常"))</f>
        <v/>
      </c>
      <c r="R1495" s="26">
        <f>IF($G1495="","",SUMIFS(费用台账!$I$4:$I$503,费用台账!$C$4:$C$503,$E1495,费用台账!$J$4:$J$503,"是",费用台账!$K$4:$K$503,"正常"))</f>
        <v/>
      </c>
      <c r="S1495" s="28">
        <f>IF($G1495="","",COUNTIFS($E$4:$E$2503,$E1495,$Z$4:$Z$2503,"正常",$Y$4:$Y$2503,"待补价"))</f>
        <v/>
      </c>
      <c r="T1495" s="26">
        <f>IF($G1495="","",SUMIFS($P$4:$P$2503,$E$4:$E$2503,$E1495,$Z$4:$Z$2503,"正常",$A$4:$A$2503,"&lt;="&amp;$A1495))</f>
        <v/>
      </c>
      <c r="U1495" s="26">
        <f>IF($G1495="","",IF(OR($S1495&gt;0,$Q1495=0,$R1495=0,$Z1495&lt;&gt;"正常"),0,ROUND($T1495/$Q1495*$R1495,0)-ROUND(($T1495-$P1495)/$Q1495*$R1495,0)))</f>
        <v/>
      </c>
      <c r="V1495" s="26">
        <f>IF($G1495="","",ROUND($P1495+$U1495,0))</f>
        <v/>
      </c>
      <c r="W1495" s="26">
        <f>IF($G1495="","",IF(N($K1495)=0,0,ROUND($V1495/$K1495,2)))</f>
        <v/>
      </c>
      <c r="X1495" s="17" t="n"/>
      <c r="Y1495" s="17" t="n"/>
      <c r="Z1495" s="17" t="n"/>
      <c r="AA1495" s="17" t="n"/>
      <c r="AB1495" s="17" t="n"/>
      <c r="AC1495" s="24">
        <f>IF($G1495="","",IF($H1495="※编码不在物料档案里","※物料编码不在档案里",IF(N($K1495)&lt;=0,"※入库数量要大于 0",IF(AND($C1495&lt;&gt;"",$C1495&lt;=结账锁),"※日期早于已结账截止日，不能再录",IF(AND($L1495=0,$X1495="正常"),"※没填单价，价格状态请选「待补价」",IF(AND($S1495&gt;0,$R1495&gt;0),"△本批有 "&amp;$S1495&amp;" 行没单价，整批运费先挂账没摊",IF(AND($B1495&lt;&gt;"",COUNTIF($B$4:$B$2503,$B1495)&gt;1),"※入库单号重复","")))))))</f>
        <v/>
      </c>
    </row>
    <row r="1496">
      <c r="A1496" s="24">
        <f>IF($G1496="","",COUNTA($G$4:$G1496))</f>
        <v/>
      </c>
      <c r="B1496" s="17" t="n"/>
      <c r="C1496" s="30" t="n"/>
      <c r="D1496" s="17" t="n"/>
      <c r="E1496" s="17" t="n"/>
      <c r="F1496" s="17" t="n"/>
      <c r="G1496" s="17" t="n"/>
      <c r="H1496" s="24">
        <f>IF($G1496="","",IFERROR(VLOOKUP($G1496,物料档案!$A$4:$P$1203,3,0),"※编码不在物料档案里"))</f>
        <v/>
      </c>
      <c r="I1496" s="24">
        <f>IF($G1496="","",IFERROR(VLOOKUP($G1496,物料档案!$A$4:$P$1203,4,0),"※编码不在物料档案里"))</f>
        <v/>
      </c>
      <c r="J1496" s="24">
        <f>IF($G1496="","",IFERROR(VLOOKUP($G1496,物料档案!$A$4:$P$1203,5,0),"※编码不在物料档案里"))</f>
        <v/>
      </c>
      <c r="K1496" s="23" t="n"/>
      <c r="L1496" s="31" t="n"/>
      <c r="M1496" s="24">
        <f>IF($G1496="","",IF($D1496="A国内","CNY","TZS"))</f>
        <v/>
      </c>
      <c r="N1496" s="28">
        <f>IF($G1496="","",IF($D1496="A国内",汇率,1))</f>
        <v/>
      </c>
      <c r="O1496" s="25">
        <f>IF($G1496="","",ROUND(N($K1496)*N($L1496),2))</f>
        <v/>
      </c>
      <c r="P1496" s="26">
        <f>IF($G1496="","",ROUND($O1496*$N1496,0))</f>
        <v/>
      </c>
      <c r="Q1496" s="26">
        <f>IF($G1496="","",SUMIFS($P$4:$P$2503,$E$4:$E$2503,$E1496,$Z$4:$Z$2503,"正常"))</f>
        <v/>
      </c>
      <c r="R1496" s="26">
        <f>IF($G1496="","",SUMIFS(费用台账!$I$4:$I$503,费用台账!$C$4:$C$503,$E1496,费用台账!$J$4:$J$503,"是",费用台账!$K$4:$K$503,"正常"))</f>
        <v/>
      </c>
      <c r="S1496" s="28">
        <f>IF($G1496="","",COUNTIFS($E$4:$E$2503,$E1496,$Z$4:$Z$2503,"正常",$Y$4:$Y$2503,"待补价"))</f>
        <v/>
      </c>
      <c r="T1496" s="26">
        <f>IF($G1496="","",SUMIFS($P$4:$P$2503,$E$4:$E$2503,$E1496,$Z$4:$Z$2503,"正常",$A$4:$A$2503,"&lt;="&amp;$A1496))</f>
        <v/>
      </c>
      <c r="U1496" s="26">
        <f>IF($G1496="","",IF(OR($S1496&gt;0,$Q1496=0,$R1496=0,$Z1496&lt;&gt;"正常"),0,ROUND($T1496/$Q1496*$R1496,0)-ROUND(($T1496-$P1496)/$Q1496*$R1496,0)))</f>
        <v/>
      </c>
      <c r="V1496" s="26">
        <f>IF($G1496="","",ROUND($P1496+$U1496,0))</f>
        <v/>
      </c>
      <c r="W1496" s="26">
        <f>IF($G1496="","",IF(N($K1496)=0,0,ROUND($V1496/$K1496,2)))</f>
        <v/>
      </c>
      <c r="X1496" s="17" t="n"/>
      <c r="Y1496" s="17" t="n"/>
      <c r="Z1496" s="17" t="n"/>
      <c r="AA1496" s="17" t="n"/>
      <c r="AB1496" s="17" t="n"/>
      <c r="AC1496" s="24">
        <f>IF($G1496="","",IF($H1496="※编码不在物料档案里","※物料编码不在档案里",IF(N($K1496)&lt;=0,"※入库数量要大于 0",IF(AND($C1496&lt;&gt;"",$C1496&lt;=结账锁),"※日期早于已结账截止日，不能再录",IF(AND($L1496=0,$X1496="正常"),"※没填单价，价格状态请选「待补价」",IF(AND($S1496&gt;0,$R1496&gt;0),"△本批有 "&amp;$S1496&amp;" 行没单价，整批运费先挂账没摊",IF(AND($B1496&lt;&gt;"",COUNTIF($B$4:$B$2503,$B1496)&gt;1),"※入库单号重复","")))))))</f>
        <v/>
      </c>
    </row>
    <row r="1497">
      <c r="A1497" s="24">
        <f>IF($G1497="","",COUNTA($G$4:$G1497))</f>
        <v/>
      </c>
      <c r="B1497" s="17" t="n"/>
      <c r="C1497" s="30" t="n"/>
      <c r="D1497" s="17" t="n"/>
      <c r="E1497" s="17" t="n"/>
      <c r="F1497" s="17" t="n"/>
      <c r="G1497" s="17" t="n"/>
      <c r="H1497" s="24">
        <f>IF($G1497="","",IFERROR(VLOOKUP($G1497,物料档案!$A$4:$P$1203,3,0),"※编码不在物料档案里"))</f>
        <v/>
      </c>
      <c r="I1497" s="24">
        <f>IF($G1497="","",IFERROR(VLOOKUP($G1497,物料档案!$A$4:$P$1203,4,0),"※编码不在物料档案里"))</f>
        <v/>
      </c>
      <c r="J1497" s="24">
        <f>IF($G1497="","",IFERROR(VLOOKUP($G1497,物料档案!$A$4:$P$1203,5,0),"※编码不在物料档案里"))</f>
        <v/>
      </c>
      <c r="K1497" s="23" t="n"/>
      <c r="L1497" s="31" t="n"/>
      <c r="M1497" s="24">
        <f>IF($G1497="","",IF($D1497="A国内","CNY","TZS"))</f>
        <v/>
      </c>
      <c r="N1497" s="28">
        <f>IF($G1497="","",IF($D1497="A国内",汇率,1))</f>
        <v/>
      </c>
      <c r="O1497" s="25">
        <f>IF($G1497="","",ROUND(N($K1497)*N($L1497),2))</f>
        <v/>
      </c>
      <c r="P1497" s="26">
        <f>IF($G1497="","",ROUND($O1497*$N1497,0))</f>
        <v/>
      </c>
      <c r="Q1497" s="26">
        <f>IF($G1497="","",SUMIFS($P$4:$P$2503,$E$4:$E$2503,$E1497,$Z$4:$Z$2503,"正常"))</f>
        <v/>
      </c>
      <c r="R1497" s="26">
        <f>IF($G1497="","",SUMIFS(费用台账!$I$4:$I$503,费用台账!$C$4:$C$503,$E1497,费用台账!$J$4:$J$503,"是",费用台账!$K$4:$K$503,"正常"))</f>
        <v/>
      </c>
      <c r="S1497" s="28">
        <f>IF($G1497="","",COUNTIFS($E$4:$E$2503,$E1497,$Z$4:$Z$2503,"正常",$Y$4:$Y$2503,"待补价"))</f>
        <v/>
      </c>
      <c r="T1497" s="26">
        <f>IF($G1497="","",SUMIFS($P$4:$P$2503,$E$4:$E$2503,$E1497,$Z$4:$Z$2503,"正常",$A$4:$A$2503,"&lt;="&amp;$A1497))</f>
        <v/>
      </c>
      <c r="U1497" s="26">
        <f>IF($G1497="","",IF(OR($S1497&gt;0,$Q1497=0,$R1497=0,$Z1497&lt;&gt;"正常"),0,ROUND($T1497/$Q1497*$R1497,0)-ROUND(($T1497-$P1497)/$Q1497*$R1497,0)))</f>
        <v/>
      </c>
      <c r="V1497" s="26">
        <f>IF($G1497="","",ROUND($P1497+$U1497,0))</f>
        <v/>
      </c>
      <c r="W1497" s="26">
        <f>IF($G1497="","",IF(N($K1497)=0,0,ROUND($V1497/$K1497,2)))</f>
        <v/>
      </c>
      <c r="X1497" s="17" t="n"/>
      <c r="Y1497" s="17" t="n"/>
      <c r="Z1497" s="17" t="n"/>
      <c r="AA1497" s="17" t="n"/>
      <c r="AB1497" s="17" t="n"/>
      <c r="AC1497" s="24">
        <f>IF($G1497="","",IF($H1497="※编码不在物料档案里","※物料编码不在档案里",IF(N($K1497)&lt;=0,"※入库数量要大于 0",IF(AND($C1497&lt;&gt;"",$C1497&lt;=结账锁),"※日期早于已结账截止日，不能再录",IF(AND($L1497=0,$X1497="正常"),"※没填单价，价格状态请选「待补价」",IF(AND($S1497&gt;0,$R1497&gt;0),"△本批有 "&amp;$S1497&amp;" 行没单价，整批运费先挂账没摊",IF(AND($B1497&lt;&gt;"",COUNTIF($B$4:$B$2503,$B1497)&gt;1),"※入库单号重复","")))))))</f>
        <v/>
      </c>
    </row>
    <row r="1498">
      <c r="A1498" s="24">
        <f>IF($G1498="","",COUNTA($G$4:$G1498))</f>
        <v/>
      </c>
      <c r="B1498" s="17" t="n"/>
      <c r="C1498" s="30" t="n"/>
      <c r="D1498" s="17" t="n"/>
      <c r="E1498" s="17" t="n"/>
      <c r="F1498" s="17" t="n"/>
      <c r="G1498" s="17" t="n"/>
      <c r="H1498" s="24">
        <f>IF($G1498="","",IFERROR(VLOOKUP($G1498,物料档案!$A$4:$P$1203,3,0),"※编码不在物料档案里"))</f>
        <v/>
      </c>
      <c r="I1498" s="24">
        <f>IF($G1498="","",IFERROR(VLOOKUP($G1498,物料档案!$A$4:$P$1203,4,0),"※编码不在物料档案里"))</f>
        <v/>
      </c>
      <c r="J1498" s="24">
        <f>IF($G1498="","",IFERROR(VLOOKUP($G1498,物料档案!$A$4:$P$1203,5,0),"※编码不在物料档案里"))</f>
        <v/>
      </c>
      <c r="K1498" s="23" t="n"/>
      <c r="L1498" s="31" t="n"/>
      <c r="M1498" s="24">
        <f>IF($G1498="","",IF($D1498="A国内","CNY","TZS"))</f>
        <v/>
      </c>
      <c r="N1498" s="28">
        <f>IF($G1498="","",IF($D1498="A国内",汇率,1))</f>
        <v/>
      </c>
      <c r="O1498" s="25">
        <f>IF($G1498="","",ROUND(N($K1498)*N($L1498),2))</f>
        <v/>
      </c>
      <c r="P1498" s="26">
        <f>IF($G1498="","",ROUND($O1498*$N1498,0))</f>
        <v/>
      </c>
      <c r="Q1498" s="26">
        <f>IF($G1498="","",SUMIFS($P$4:$P$2503,$E$4:$E$2503,$E1498,$Z$4:$Z$2503,"正常"))</f>
        <v/>
      </c>
      <c r="R1498" s="26">
        <f>IF($G1498="","",SUMIFS(费用台账!$I$4:$I$503,费用台账!$C$4:$C$503,$E1498,费用台账!$J$4:$J$503,"是",费用台账!$K$4:$K$503,"正常"))</f>
        <v/>
      </c>
      <c r="S1498" s="28">
        <f>IF($G1498="","",COUNTIFS($E$4:$E$2503,$E1498,$Z$4:$Z$2503,"正常",$Y$4:$Y$2503,"待补价"))</f>
        <v/>
      </c>
      <c r="T1498" s="26">
        <f>IF($G1498="","",SUMIFS($P$4:$P$2503,$E$4:$E$2503,$E1498,$Z$4:$Z$2503,"正常",$A$4:$A$2503,"&lt;="&amp;$A1498))</f>
        <v/>
      </c>
      <c r="U1498" s="26">
        <f>IF($G1498="","",IF(OR($S1498&gt;0,$Q1498=0,$R1498=0,$Z1498&lt;&gt;"正常"),0,ROUND($T1498/$Q1498*$R1498,0)-ROUND(($T1498-$P1498)/$Q1498*$R1498,0)))</f>
        <v/>
      </c>
      <c r="V1498" s="26">
        <f>IF($G1498="","",ROUND($P1498+$U1498,0))</f>
        <v/>
      </c>
      <c r="W1498" s="26">
        <f>IF($G1498="","",IF(N($K1498)=0,0,ROUND($V1498/$K1498,2)))</f>
        <v/>
      </c>
      <c r="X1498" s="17" t="n"/>
      <c r="Y1498" s="17" t="n"/>
      <c r="Z1498" s="17" t="n"/>
      <c r="AA1498" s="17" t="n"/>
      <c r="AB1498" s="17" t="n"/>
      <c r="AC1498" s="24">
        <f>IF($G1498="","",IF($H1498="※编码不在物料档案里","※物料编码不在档案里",IF(N($K1498)&lt;=0,"※入库数量要大于 0",IF(AND($C1498&lt;&gt;"",$C1498&lt;=结账锁),"※日期早于已结账截止日，不能再录",IF(AND($L1498=0,$X1498="正常"),"※没填单价，价格状态请选「待补价」",IF(AND($S1498&gt;0,$R1498&gt;0),"△本批有 "&amp;$S1498&amp;" 行没单价，整批运费先挂账没摊",IF(AND($B1498&lt;&gt;"",COUNTIF($B$4:$B$2503,$B1498)&gt;1),"※入库单号重复","")))))))</f>
        <v/>
      </c>
    </row>
    <row r="1499">
      <c r="A1499" s="24">
        <f>IF($G1499="","",COUNTA($G$4:$G1499))</f>
        <v/>
      </c>
      <c r="B1499" s="17" t="n"/>
      <c r="C1499" s="30" t="n"/>
      <c r="D1499" s="17" t="n"/>
      <c r="E1499" s="17" t="n"/>
      <c r="F1499" s="17" t="n"/>
      <c r="G1499" s="17" t="n"/>
      <c r="H1499" s="24">
        <f>IF($G1499="","",IFERROR(VLOOKUP($G1499,物料档案!$A$4:$P$1203,3,0),"※编码不在物料档案里"))</f>
        <v/>
      </c>
      <c r="I1499" s="24">
        <f>IF($G1499="","",IFERROR(VLOOKUP($G1499,物料档案!$A$4:$P$1203,4,0),"※编码不在物料档案里"))</f>
        <v/>
      </c>
      <c r="J1499" s="24">
        <f>IF($G1499="","",IFERROR(VLOOKUP($G1499,物料档案!$A$4:$P$1203,5,0),"※编码不在物料档案里"))</f>
        <v/>
      </c>
      <c r="K1499" s="23" t="n"/>
      <c r="L1499" s="31" t="n"/>
      <c r="M1499" s="24">
        <f>IF($G1499="","",IF($D1499="A国内","CNY","TZS"))</f>
        <v/>
      </c>
      <c r="N1499" s="28">
        <f>IF($G1499="","",IF($D1499="A国内",汇率,1))</f>
        <v/>
      </c>
      <c r="O1499" s="25">
        <f>IF($G1499="","",ROUND(N($K1499)*N($L1499),2))</f>
        <v/>
      </c>
      <c r="P1499" s="26">
        <f>IF($G1499="","",ROUND($O1499*$N1499,0))</f>
        <v/>
      </c>
      <c r="Q1499" s="26">
        <f>IF($G1499="","",SUMIFS($P$4:$P$2503,$E$4:$E$2503,$E1499,$Z$4:$Z$2503,"正常"))</f>
        <v/>
      </c>
      <c r="R1499" s="26">
        <f>IF($G1499="","",SUMIFS(费用台账!$I$4:$I$503,费用台账!$C$4:$C$503,$E1499,费用台账!$J$4:$J$503,"是",费用台账!$K$4:$K$503,"正常"))</f>
        <v/>
      </c>
      <c r="S1499" s="28">
        <f>IF($G1499="","",COUNTIFS($E$4:$E$2503,$E1499,$Z$4:$Z$2503,"正常",$Y$4:$Y$2503,"待补价"))</f>
        <v/>
      </c>
      <c r="T1499" s="26">
        <f>IF($G1499="","",SUMIFS($P$4:$P$2503,$E$4:$E$2503,$E1499,$Z$4:$Z$2503,"正常",$A$4:$A$2503,"&lt;="&amp;$A1499))</f>
        <v/>
      </c>
      <c r="U1499" s="26">
        <f>IF($G1499="","",IF(OR($S1499&gt;0,$Q1499=0,$R1499=0,$Z1499&lt;&gt;"正常"),0,ROUND($T1499/$Q1499*$R1499,0)-ROUND(($T1499-$P1499)/$Q1499*$R1499,0)))</f>
        <v/>
      </c>
      <c r="V1499" s="26">
        <f>IF($G1499="","",ROUND($P1499+$U1499,0))</f>
        <v/>
      </c>
      <c r="W1499" s="26">
        <f>IF($G1499="","",IF(N($K1499)=0,0,ROUND($V1499/$K1499,2)))</f>
        <v/>
      </c>
      <c r="X1499" s="17" t="n"/>
      <c r="Y1499" s="17" t="n"/>
      <c r="Z1499" s="17" t="n"/>
      <c r="AA1499" s="17" t="n"/>
      <c r="AB1499" s="17" t="n"/>
      <c r="AC1499" s="24">
        <f>IF($G1499="","",IF($H1499="※编码不在物料档案里","※物料编码不在档案里",IF(N($K1499)&lt;=0,"※入库数量要大于 0",IF(AND($C1499&lt;&gt;"",$C1499&lt;=结账锁),"※日期早于已结账截止日，不能再录",IF(AND($L1499=0,$X1499="正常"),"※没填单价，价格状态请选「待补价」",IF(AND($S1499&gt;0,$R1499&gt;0),"△本批有 "&amp;$S1499&amp;" 行没单价，整批运费先挂账没摊",IF(AND($B1499&lt;&gt;"",COUNTIF($B$4:$B$2503,$B1499)&gt;1),"※入库单号重复","")))))))</f>
        <v/>
      </c>
    </row>
    <row r="1500">
      <c r="A1500" s="24">
        <f>IF($G1500="","",COUNTA($G$4:$G1500))</f>
        <v/>
      </c>
      <c r="B1500" s="17" t="n"/>
      <c r="C1500" s="30" t="n"/>
      <c r="D1500" s="17" t="n"/>
      <c r="E1500" s="17" t="n"/>
      <c r="F1500" s="17" t="n"/>
      <c r="G1500" s="17" t="n"/>
      <c r="H1500" s="24">
        <f>IF($G1500="","",IFERROR(VLOOKUP($G1500,物料档案!$A$4:$P$1203,3,0),"※编码不在物料档案里"))</f>
        <v/>
      </c>
      <c r="I1500" s="24">
        <f>IF($G1500="","",IFERROR(VLOOKUP($G1500,物料档案!$A$4:$P$1203,4,0),"※编码不在物料档案里"))</f>
        <v/>
      </c>
      <c r="J1500" s="24">
        <f>IF($G1500="","",IFERROR(VLOOKUP($G1500,物料档案!$A$4:$P$1203,5,0),"※编码不在物料档案里"))</f>
        <v/>
      </c>
      <c r="K1500" s="23" t="n"/>
      <c r="L1500" s="31" t="n"/>
      <c r="M1500" s="24">
        <f>IF($G1500="","",IF($D1500="A国内","CNY","TZS"))</f>
        <v/>
      </c>
      <c r="N1500" s="28">
        <f>IF($G1500="","",IF($D1500="A国内",汇率,1))</f>
        <v/>
      </c>
      <c r="O1500" s="25">
        <f>IF($G1500="","",ROUND(N($K1500)*N($L1500),2))</f>
        <v/>
      </c>
      <c r="P1500" s="26">
        <f>IF($G1500="","",ROUND($O1500*$N1500,0))</f>
        <v/>
      </c>
      <c r="Q1500" s="26">
        <f>IF($G1500="","",SUMIFS($P$4:$P$2503,$E$4:$E$2503,$E1500,$Z$4:$Z$2503,"正常"))</f>
        <v/>
      </c>
      <c r="R1500" s="26">
        <f>IF($G1500="","",SUMIFS(费用台账!$I$4:$I$503,费用台账!$C$4:$C$503,$E1500,费用台账!$J$4:$J$503,"是",费用台账!$K$4:$K$503,"正常"))</f>
        <v/>
      </c>
      <c r="S1500" s="28">
        <f>IF($G1500="","",COUNTIFS($E$4:$E$2503,$E1500,$Z$4:$Z$2503,"正常",$Y$4:$Y$2503,"待补价"))</f>
        <v/>
      </c>
      <c r="T1500" s="26">
        <f>IF($G1500="","",SUMIFS($P$4:$P$2503,$E$4:$E$2503,$E1500,$Z$4:$Z$2503,"正常",$A$4:$A$2503,"&lt;="&amp;$A1500))</f>
        <v/>
      </c>
      <c r="U1500" s="26">
        <f>IF($G1500="","",IF(OR($S1500&gt;0,$Q1500=0,$R1500=0,$Z1500&lt;&gt;"正常"),0,ROUND($T1500/$Q1500*$R1500,0)-ROUND(($T1500-$P1500)/$Q1500*$R1500,0)))</f>
        <v/>
      </c>
      <c r="V1500" s="26">
        <f>IF($G1500="","",ROUND($P1500+$U1500,0))</f>
        <v/>
      </c>
      <c r="W1500" s="26">
        <f>IF($G1500="","",IF(N($K1500)=0,0,ROUND($V1500/$K1500,2)))</f>
        <v/>
      </c>
      <c r="X1500" s="17" t="n"/>
      <c r="Y1500" s="17" t="n"/>
      <c r="Z1500" s="17" t="n"/>
      <c r="AA1500" s="17" t="n"/>
      <c r="AB1500" s="17" t="n"/>
      <c r="AC1500" s="24">
        <f>IF($G1500="","",IF($H1500="※编码不在物料档案里","※物料编码不在档案里",IF(N($K1500)&lt;=0,"※入库数量要大于 0",IF(AND($C1500&lt;&gt;"",$C1500&lt;=结账锁),"※日期早于已结账截止日，不能再录",IF(AND($L1500=0,$X1500="正常"),"※没填单价，价格状态请选「待补价」",IF(AND($S1500&gt;0,$R1500&gt;0),"△本批有 "&amp;$S1500&amp;" 行没单价，整批运费先挂账没摊",IF(AND($B1500&lt;&gt;"",COUNTIF($B$4:$B$2503,$B1500)&gt;1),"※入库单号重复","")))))))</f>
        <v/>
      </c>
    </row>
    <row r="1501">
      <c r="A1501" s="24">
        <f>IF($G1501="","",COUNTA($G$4:$G1501))</f>
        <v/>
      </c>
      <c r="B1501" s="17" t="n"/>
      <c r="C1501" s="30" t="n"/>
      <c r="D1501" s="17" t="n"/>
      <c r="E1501" s="17" t="n"/>
      <c r="F1501" s="17" t="n"/>
      <c r="G1501" s="17" t="n"/>
      <c r="H1501" s="24">
        <f>IF($G1501="","",IFERROR(VLOOKUP($G1501,物料档案!$A$4:$P$1203,3,0),"※编码不在物料档案里"))</f>
        <v/>
      </c>
      <c r="I1501" s="24">
        <f>IF($G1501="","",IFERROR(VLOOKUP($G1501,物料档案!$A$4:$P$1203,4,0),"※编码不在物料档案里"))</f>
        <v/>
      </c>
      <c r="J1501" s="24">
        <f>IF($G1501="","",IFERROR(VLOOKUP($G1501,物料档案!$A$4:$P$1203,5,0),"※编码不在物料档案里"))</f>
        <v/>
      </c>
      <c r="K1501" s="23" t="n"/>
      <c r="L1501" s="31" t="n"/>
      <c r="M1501" s="24">
        <f>IF($G1501="","",IF($D1501="A国内","CNY","TZS"))</f>
        <v/>
      </c>
      <c r="N1501" s="28">
        <f>IF($G1501="","",IF($D1501="A国内",汇率,1))</f>
        <v/>
      </c>
      <c r="O1501" s="25">
        <f>IF($G1501="","",ROUND(N($K1501)*N($L1501),2))</f>
        <v/>
      </c>
      <c r="P1501" s="26">
        <f>IF($G1501="","",ROUND($O1501*$N1501,0))</f>
        <v/>
      </c>
      <c r="Q1501" s="26">
        <f>IF($G1501="","",SUMIFS($P$4:$P$2503,$E$4:$E$2503,$E1501,$Z$4:$Z$2503,"正常"))</f>
        <v/>
      </c>
      <c r="R1501" s="26">
        <f>IF($G1501="","",SUMIFS(费用台账!$I$4:$I$503,费用台账!$C$4:$C$503,$E1501,费用台账!$J$4:$J$503,"是",费用台账!$K$4:$K$503,"正常"))</f>
        <v/>
      </c>
      <c r="S1501" s="28">
        <f>IF($G1501="","",COUNTIFS($E$4:$E$2503,$E1501,$Z$4:$Z$2503,"正常",$Y$4:$Y$2503,"待补价"))</f>
        <v/>
      </c>
      <c r="T1501" s="26">
        <f>IF($G1501="","",SUMIFS($P$4:$P$2503,$E$4:$E$2503,$E1501,$Z$4:$Z$2503,"正常",$A$4:$A$2503,"&lt;="&amp;$A1501))</f>
        <v/>
      </c>
      <c r="U1501" s="26">
        <f>IF($G1501="","",IF(OR($S1501&gt;0,$Q1501=0,$R1501=0,$Z1501&lt;&gt;"正常"),0,ROUND($T1501/$Q1501*$R1501,0)-ROUND(($T1501-$P1501)/$Q1501*$R1501,0)))</f>
        <v/>
      </c>
      <c r="V1501" s="26">
        <f>IF($G1501="","",ROUND($P1501+$U1501,0))</f>
        <v/>
      </c>
      <c r="W1501" s="26">
        <f>IF($G1501="","",IF(N($K1501)=0,0,ROUND($V1501/$K1501,2)))</f>
        <v/>
      </c>
      <c r="X1501" s="17" t="n"/>
      <c r="Y1501" s="17" t="n"/>
      <c r="Z1501" s="17" t="n"/>
      <c r="AA1501" s="17" t="n"/>
      <c r="AB1501" s="17" t="n"/>
      <c r="AC1501" s="24">
        <f>IF($G1501="","",IF($H1501="※编码不在物料档案里","※物料编码不在档案里",IF(N($K1501)&lt;=0,"※入库数量要大于 0",IF(AND($C1501&lt;&gt;"",$C1501&lt;=结账锁),"※日期早于已结账截止日，不能再录",IF(AND($L1501=0,$X1501="正常"),"※没填单价，价格状态请选「待补价」",IF(AND($S1501&gt;0,$R1501&gt;0),"△本批有 "&amp;$S1501&amp;" 行没单价，整批运费先挂账没摊",IF(AND($B1501&lt;&gt;"",COUNTIF($B$4:$B$2503,$B1501)&gt;1),"※入库单号重复","")))))))</f>
        <v/>
      </c>
    </row>
    <row r="1502">
      <c r="A1502" s="24">
        <f>IF($G1502="","",COUNTA($G$4:$G1502))</f>
        <v/>
      </c>
      <c r="B1502" s="17" t="n"/>
      <c r="C1502" s="30" t="n"/>
      <c r="D1502" s="17" t="n"/>
      <c r="E1502" s="17" t="n"/>
      <c r="F1502" s="17" t="n"/>
      <c r="G1502" s="17" t="n"/>
      <c r="H1502" s="24">
        <f>IF($G1502="","",IFERROR(VLOOKUP($G1502,物料档案!$A$4:$P$1203,3,0),"※编码不在物料档案里"))</f>
        <v/>
      </c>
      <c r="I1502" s="24">
        <f>IF($G1502="","",IFERROR(VLOOKUP($G1502,物料档案!$A$4:$P$1203,4,0),"※编码不在物料档案里"))</f>
        <v/>
      </c>
      <c r="J1502" s="24">
        <f>IF($G1502="","",IFERROR(VLOOKUP($G1502,物料档案!$A$4:$P$1203,5,0),"※编码不在物料档案里"))</f>
        <v/>
      </c>
      <c r="K1502" s="23" t="n"/>
      <c r="L1502" s="31" t="n"/>
      <c r="M1502" s="24">
        <f>IF($G1502="","",IF($D1502="A国内","CNY","TZS"))</f>
        <v/>
      </c>
      <c r="N1502" s="28">
        <f>IF($G1502="","",IF($D1502="A国内",汇率,1))</f>
        <v/>
      </c>
      <c r="O1502" s="25">
        <f>IF($G1502="","",ROUND(N($K1502)*N($L1502),2))</f>
        <v/>
      </c>
      <c r="P1502" s="26">
        <f>IF($G1502="","",ROUND($O1502*$N1502,0))</f>
        <v/>
      </c>
      <c r="Q1502" s="26">
        <f>IF($G1502="","",SUMIFS($P$4:$P$2503,$E$4:$E$2503,$E1502,$Z$4:$Z$2503,"正常"))</f>
        <v/>
      </c>
      <c r="R1502" s="26">
        <f>IF($G1502="","",SUMIFS(费用台账!$I$4:$I$503,费用台账!$C$4:$C$503,$E1502,费用台账!$J$4:$J$503,"是",费用台账!$K$4:$K$503,"正常"))</f>
        <v/>
      </c>
      <c r="S1502" s="28">
        <f>IF($G1502="","",COUNTIFS($E$4:$E$2503,$E1502,$Z$4:$Z$2503,"正常",$Y$4:$Y$2503,"待补价"))</f>
        <v/>
      </c>
      <c r="T1502" s="26">
        <f>IF($G1502="","",SUMIFS($P$4:$P$2503,$E$4:$E$2503,$E1502,$Z$4:$Z$2503,"正常",$A$4:$A$2503,"&lt;="&amp;$A1502))</f>
        <v/>
      </c>
      <c r="U1502" s="26">
        <f>IF($G1502="","",IF(OR($S1502&gt;0,$Q1502=0,$R1502=0,$Z1502&lt;&gt;"正常"),0,ROUND($T1502/$Q1502*$R1502,0)-ROUND(($T1502-$P1502)/$Q1502*$R1502,0)))</f>
        <v/>
      </c>
      <c r="V1502" s="26">
        <f>IF($G1502="","",ROUND($P1502+$U1502,0))</f>
        <v/>
      </c>
      <c r="W1502" s="26">
        <f>IF($G1502="","",IF(N($K1502)=0,0,ROUND($V1502/$K1502,2)))</f>
        <v/>
      </c>
      <c r="X1502" s="17" t="n"/>
      <c r="Y1502" s="17" t="n"/>
      <c r="Z1502" s="17" t="n"/>
      <c r="AA1502" s="17" t="n"/>
      <c r="AB1502" s="17" t="n"/>
      <c r="AC1502" s="24">
        <f>IF($G1502="","",IF($H1502="※编码不在物料档案里","※物料编码不在档案里",IF(N($K1502)&lt;=0,"※入库数量要大于 0",IF(AND($C1502&lt;&gt;"",$C1502&lt;=结账锁),"※日期早于已结账截止日，不能再录",IF(AND($L1502=0,$X1502="正常"),"※没填单价，价格状态请选「待补价」",IF(AND($S1502&gt;0,$R1502&gt;0),"△本批有 "&amp;$S1502&amp;" 行没单价，整批运费先挂账没摊",IF(AND($B1502&lt;&gt;"",COUNTIF($B$4:$B$2503,$B1502)&gt;1),"※入库单号重复","")))))))</f>
        <v/>
      </c>
    </row>
    <row r="1503">
      <c r="A1503" s="24">
        <f>IF($G1503="","",COUNTA($G$4:$G1503))</f>
        <v/>
      </c>
      <c r="B1503" s="17" t="n"/>
      <c r="C1503" s="30" t="n"/>
      <c r="D1503" s="17" t="n"/>
      <c r="E1503" s="17" t="n"/>
      <c r="F1503" s="17" t="n"/>
      <c r="G1503" s="17" t="n"/>
      <c r="H1503" s="24">
        <f>IF($G1503="","",IFERROR(VLOOKUP($G1503,物料档案!$A$4:$P$1203,3,0),"※编码不在物料档案里"))</f>
        <v/>
      </c>
      <c r="I1503" s="24">
        <f>IF($G1503="","",IFERROR(VLOOKUP($G1503,物料档案!$A$4:$P$1203,4,0),"※编码不在物料档案里"))</f>
        <v/>
      </c>
      <c r="J1503" s="24">
        <f>IF($G1503="","",IFERROR(VLOOKUP($G1503,物料档案!$A$4:$P$1203,5,0),"※编码不在物料档案里"))</f>
        <v/>
      </c>
      <c r="K1503" s="23" t="n"/>
      <c r="L1503" s="31" t="n"/>
      <c r="M1503" s="24">
        <f>IF($G1503="","",IF($D1503="A国内","CNY","TZS"))</f>
        <v/>
      </c>
      <c r="N1503" s="28">
        <f>IF($G1503="","",IF($D1503="A国内",汇率,1))</f>
        <v/>
      </c>
      <c r="O1503" s="25">
        <f>IF($G1503="","",ROUND(N($K1503)*N($L1503),2))</f>
        <v/>
      </c>
      <c r="P1503" s="26">
        <f>IF($G1503="","",ROUND($O1503*$N1503,0))</f>
        <v/>
      </c>
      <c r="Q1503" s="26">
        <f>IF($G1503="","",SUMIFS($P$4:$P$2503,$E$4:$E$2503,$E1503,$Z$4:$Z$2503,"正常"))</f>
        <v/>
      </c>
      <c r="R1503" s="26">
        <f>IF($G1503="","",SUMIFS(费用台账!$I$4:$I$503,费用台账!$C$4:$C$503,$E1503,费用台账!$J$4:$J$503,"是",费用台账!$K$4:$K$503,"正常"))</f>
        <v/>
      </c>
      <c r="S1503" s="28">
        <f>IF($G1503="","",COUNTIFS($E$4:$E$2503,$E1503,$Z$4:$Z$2503,"正常",$Y$4:$Y$2503,"待补价"))</f>
        <v/>
      </c>
      <c r="T1503" s="26">
        <f>IF($G1503="","",SUMIFS($P$4:$P$2503,$E$4:$E$2503,$E1503,$Z$4:$Z$2503,"正常",$A$4:$A$2503,"&lt;="&amp;$A1503))</f>
        <v/>
      </c>
      <c r="U1503" s="26">
        <f>IF($G1503="","",IF(OR($S1503&gt;0,$Q1503=0,$R1503=0,$Z1503&lt;&gt;"正常"),0,ROUND($T1503/$Q1503*$R1503,0)-ROUND(($T1503-$P1503)/$Q1503*$R1503,0)))</f>
        <v/>
      </c>
      <c r="V1503" s="26">
        <f>IF($G1503="","",ROUND($P1503+$U1503,0))</f>
        <v/>
      </c>
      <c r="W1503" s="26">
        <f>IF($G1503="","",IF(N($K1503)=0,0,ROUND($V1503/$K1503,2)))</f>
        <v/>
      </c>
      <c r="X1503" s="17" t="n"/>
      <c r="Y1503" s="17" t="n"/>
      <c r="Z1503" s="17" t="n"/>
      <c r="AA1503" s="17" t="n"/>
      <c r="AB1503" s="17" t="n"/>
      <c r="AC1503" s="24">
        <f>IF($G1503="","",IF($H1503="※编码不在物料档案里","※物料编码不在档案里",IF(N($K1503)&lt;=0,"※入库数量要大于 0",IF(AND($C1503&lt;&gt;"",$C1503&lt;=结账锁),"※日期早于已结账截止日，不能再录",IF(AND($L1503=0,$X1503="正常"),"※没填单价，价格状态请选「待补价」",IF(AND($S1503&gt;0,$R1503&gt;0),"△本批有 "&amp;$S1503&amp;" 行没单价，整批运费先挂账没摊",IF(AND($B1503&lt;&gt;"",COUNTIF($B$4:$B$2503,$B1503)&gt;1),"※入库单号重复","")))))))</f>
        <v/>
      </c>
    </row>
    <row r="1504">
      <c r="A1504" s="24">
        <f>IF($G1504="","",COUNTA($G$4:$G1504))</f>
        <v/>
      </c>
      <c r="B1504" s="17" t="n"/>
      <c r="C1504" s="30" t="n"/>
      <c r="D1504" s="17" t="n"/>
      <c r="E1504" s="17" t="n"/>
      <c r="F1504" s="17" t="n"/>
      <c r="G1504" s="17" t="n"/>
      <c r="H1504" s="24">
        <f>IF($G1504="","",IFERROR(VLOOKUP($G1504,物料档案!$A$4:$P$1203,3,0),"※编码不在物料档案里"))</f>
        <v/>
      </c>
      <c r="I1504" s="24">
        <f>IF($G1504="","",IFERROR(VLOOKUP($G1504,物料档案!$A$4:$P$1203,4,0),"※编码不在物料档案里"))</f>
        <v/>
      </c>
      <c r="J1504" s="24">
        <f>IF($G1504="","",IFERROR(VLOOKUP($G1504,物料档案!$A$4:$P$1203,5,0),"※编码不在物料档案里"))</f>
        <v/>
      </c>
      <c r="K1504" s="23" t="n"/>
      <c r="L1504" s="31" t="n"/>
      <c r="M1504" s="24">
        <f>IF($G1504="","",IF($D1504="A国内","CNY","TZS"))</f>
        <v/>
      </c>
      <c r="N1504" s="28">
        <f>IF($G1504="","",IF($D1504="A国内",汇率,1))</f>
        <v/>
      </c>
      <c r="O1504" s="25">
        <f>IF($G1504="","",ROUND(N($K1504)*N($L1504),2))</f>
        <v/>
      </c>
      <c r="P1504" s="26">
        <f>IF($G1504="","",ROUND($O1504*$N1504,0))</f>
        <v/>
      </c>
      <c r="Q1504" s="26">
        <f>IF($G1504="","",SUMIFS($P$4:$P$2503,$E$4:$E$2503,$E1504,$Z$4:$Z$2503,"正常"))</f>
        <v/>
      </c>
      <c r="R1504" s="26">
        <f>IF($G1504="","",SUMIFS(费用台账!$I$4:$I$503,费用台账!$C$4:$C$503,$E1504,费用台账!$J$4:$J$503,"是",费用台账!$K$4:$K$503,"正常"))</f>
        <v/>
      </c>
      <c r="S1504" s="28">
        <f>IF($G1504="","",COUNTIFS($E$4:$E$2503,$E1504,$Z$4:$Z$2503,"正常",$Y$4:$Y$2503,"待补价"))</f>
        <v/>
      </c>
      <c r="T1504" s="26">
        <f>IF($G1504="","",SUMIFS($P$4:$P$2503,$E$4:$E$2503,$E1504,$Z$4:$Z$2503,"正常",$A$4:$A$2503,"&lt;="&amp;$A1504))</f>
        <v/>
      </c>
      <c r="U1504" s="26">
        <f>IF($G1504="","",IF(OR($S1504&gt;0,$Q1504=0,$R1504=0,$Z1504&lt;&gt;"正常"),0,ROUND($T1504/$Q1504*$R1504,0)-ROUND(($T1504-$P1504)/$Q1504*$R1504,0)))</f>
        <v/>
      </c>
      <c r="V1504" s="26">
        <f>IF($G1504="","",ROUND($P1504+$U1504,0))</f>
        <v/>
      </c>
      <c r="W1504" s="26">
        <f>IF($G1504="","",IF(N($K1504)=0,0,ROUND($V1504/$K1504,2)))</f>
        <v/>
      </c>
      <c r="X1504" s="17" t="n"/>
      <c r="Y1504" s="17" t="n"/>
      <c r="Z1504" s="17" t="n"/>
      <c r="AA1504" s="17" t="n"/>
      <c r="AB1504" s="17" t="n"/>
      <c r="AC1504" s="24">
        <f>IF($G1504="","",IF($H1504="※编码不在物料档案里","※物料编码不在档案里",IF(N($K1504)&lt;=0,"※入库数量要大于 0",IF(AND($C1504&lt;&gt;"",$C1504&lt;=结账锁),"※日期早于已结账截止日，不能再录",IF(AND($L1504=0,$X1504="正常"),"※没填单价，价格状态请选「待补价」",IF(AND($S1504&gt;0,$R1504&gt;0),"△本批有 "&amp;$S1504&amp;" 行没单价，整批运费先挂账没摊",IF(AND($B1504&lt;&gt;"",COUNTIF($B$4:$B$2503,$B1504)&gt;1),"※入库单号重复","")))))))</f>
        <v/>
      </c>
    </row>
    <row r="1505">
      <c r="A1505" s="24">
        <f>IF($G1505="","",COUNTA($G$4:$G1505))</f>
        <v/>
      </c>
      <c r="B1505" s="17" t="n"/>
      <c r="C1505" s="30" t="n"/>
      <c r="D1505" s="17" t="n"/>
      <c r="E1505" s="17" t="n"/>
      <c r="F1505" s="17" t="n"/>
      <c r="G1505" s="17" t="n"/>
      <c r="H1505" s="24">
        <f>IF($G1505="","",IFERROR(VLOOKUP($G1505,物料档案!$A$4:$P$1203,3,0),"※编码不在物料档案里"))</f>
        <v/>
      </c>
      <c r="I1505" s="24">
        <f>IF($G1505="","",IFERROR(VLOOKUP($G1505,物料档案!$A$4:$P$1203,4,0),"※编码不在物料档案里"))</f>
        <v/>
      </c>
      <c r="J1505" s="24">
        <f>IF($G1505="","",IFERROR(VLOOKUP($G1505,物料档案!$A$4:$P$1203,5,0),"※编码不在物料档案里"))</f>
        <v/>
      </c>
      <c r="K1505" s="23" t="n"/>
      <c r="L1505" s="31" t="n"/>
      <c r="M1505" s="24">
        <f>IF($G1505="","",IF($D1505="A国内","CNY","TZS"))</f>
        <v/>
      </c>
      <c r="N1505" s="28">
        <f>IF($G1505="","",IF($D1505="A国内",汇率,1))</f>
        <v/>
      </c>
      <c r="O1505" s="25">
        <f>IF($G1505="","",ROUND(N($K1505)*N($L1505),2))</f>
        <v/>
      </c>
      <c r="P1505" s="26">
        <f>IF($G1505="","",ROUND($O1505*$N1505,0))</f>
        <v/>
      </c>
      <c r="Q1505" s="26">
        <f>IF($G1505="","",SUMIFS($P$4:$P$2503,$E$4:$E$2503,$E1505,$Z$4:$Z$2503,"正常"))</f>
        <v/>
      </c>
      <c r="R1505" s="26">
        <f>IF($G1505="","",SUMIFS(费用台账!$I$4:$I$503,费用台账!$C$4:$C$503,$E1505,费用台账!$J$4:$J$503,"是",费用台账!$K$4:$K$503,"正常"))</f>
        <v/>
      </c>
      <c r="S1505" s="28">
        <f>IF($G1505="","",COUNTIFS($E$4:$E$2503,$E1505,$Z$4:$Z$2503,"正常",$Y$4:$Y$2503,"待补价"))</f>
        <v/>
      </c>
      <c r="T1505" s="26">
        <f>IF($G1505="","",SUMIFS($P$4:$P$2503,$E$4:$E$2503,$E1505,$Z$4:$Z$2503,"正常",$A$4:$A$2503,"&lt;="&amp;$A1505))</f>
        <v/>
      </c>
      <c r="U1505" s="26">
        <f>IF($G1505="","",IF(OR($S1505&gt;0,$Q1505=0,$R1505=0,$Z1505&lt;&gt;"正常"),0,ROUND($T1505/$Q1505*$R1505,0)-ROUND(($T1505-$P1505)/$Q1505*$R1505,0)))</f>
        <v/>
      </c>
      <c r="V1505" s="26">
        <f>IF($G1505="","",ROUND($P1505+$U1505,0))</f>
        <v/>
      </c>
      <c r="W1505" s="26">
        <f>IF($G1505="","",IF(N($K1505)=0,0,ROUND($V1505/$K1505,2)))</f>
        <v/>
      </c>
      <c r="X1505" s="17" t="n"/>
      <c r="Y1505" s="17" t="n"/>
      <c r="Z1505" s="17" t="n"/>
      <c r="AA1505" s="17" t="n"/>
      <c r="AB1505" s="17" t="n"/>
      <c r="AC1505" s="24">
        <f>IF($G1505="","",IF($H1505="※编码不在物料档案里","※物料编码不在档案里",IF(N($K1505)&lt;=0,"※入库数量要大于 0",IF(AND($C1505&lt;&gt;"",$C1505&lt;=结账锁),"※日期早于已结账截止日，不能再录",IF(AND($L1505=0,$X1505="正常"),"※没填单价，价格状态请选「待补价」",IF(AND($S1505&gt;0,$R1505&gt;0),"△本批有 "&amp;$S1505&amp;" 行没单价，整批运费先挂账没摊",IF(AND($B1505&lt;&gt;"",COUNTIF($B$4:$B$2503,$B1505)&gt;1),"※入库单号重复","")))))))</f>
        <v/>
      </c>
    </row>
    <row r="1506">
      <c r="A1506" s="24">
        <f>IF($G1506="","",COUNTA($G$4:$G1506))</f>
        <v/>
      </c>
      <c r="B1506" s="17" t="n"/>
      <c r="C1506" s="30" t="n"/>
      <c r="D1506" s="17" t="n"/>
      <c r="E1506" s="17" t="n"/>
      <c r="F1506" s="17" t="n"/>
      <c r="G1506" s="17" t="n"/>
      <c r="H1506" s="24">
        <f>IF($G1506="","",IFERROR(VLOOKUP($G1506,物料档案!$A$4:$P$1203,3,0),"※编码不在物料档案里"))</f>
        <v/>
      </c>
      <c r="I1506" s="24">
        <f>IF($G1506="","",IFERROR(VLOOKUP($G1506,物料档案!$A$4:$P$1203,4,0),"※编码不在物料档案里"))</f>
        <v/>
      </c>
      <c r="J1506" s="24">
        <f>IF($G1506="","",IFERROR(VLOOKUP($G1506,物料档案!$A$4:$P$1203,5,0),"※编码不在物料档案里"))</f>
        <v/>
      </c>
      <c r="K1506" s="23" t="n"/>
      <c r="L1506" s="31" t="n"/>
      <c r="M1506" s="24">
        <f>IF($G1506="","",IF($D1506="A国内","CNY","TZS"))</f>
        <v/>
      </c>
      <c r="N1506" s="28">
        <f>IF($G1506="","",IF($D1506="A国内",汇率,1))</f>
        <v/>
      </c>
      <c r="O1506" s="25">
        <f>IF($G1506="","",ROUND(N($K1506)*N($L1506),2))</f>
        <v/>
      </c>
      <c r="P1506" s="26">
        <f>IF($G1506="","",ROUND($O1506*$N1506,0))</f>
        <v/>
      </c>
      <c r="Q1506" s="26">
        <f>IF($G1506="","",SUMIFS($P$4:$P$2503,$E$4:$E$2503,$E1506,$Z$4:$Z$2503,"正常"))</f>
        <v/>
      </c>
      <c r="R1506" s="26">
        <f>IF($G1506="","",SUMIFS(费用台账!$I$4:$I$503,费用台账!$C$4:$C$503,$E1506,费用台账!$J$4:$J$503,"是",费用台账!$K$4:$K$503,"正常"))</f>
        <v/>
      </c>
      <c r="S1506" s="28">
        <f>IF($G1506="","",COUNTIFS($E$4:$E$2503,$E1506,$Z$4:$Z$2503,"正常",$Y$4:$Y$2503,"待补价"))</f>
        <v/>
      </c>
      <c r="T1506" s="26">
        <f>IF($G1506="","",SUMIFS($P$4:$P$2503,$E$4:$E$2503,$E1506,$Z$4:$Z$2503,"正常",$A$4:$A$2503,"&lt;="&amp;$A1506))</f>
        <v/>
      </c>
      <c r="U1506" s="26">
        <f>IF($G1506="","",IF(OR($S1506&gt;0,$Q1506=0,$R1506=0,$Z1506&lt;&gt;"正常"),0,ROUND($T1506/$Q1506*$R1506,0)-ROUND(($T1506-$P1506)/$Q1506*$R1506,0)))</f>
        <v/>
      </c>
      <c r="V1506" s="26">
        <f>IF($G1506="","",ROUND($P1506+$U1506,0))</f>
        <v/>
      </c>
      <c r="W1506" s="26">
        <f>IF($G1506="","",IF(N($K1506)=0,0,ROUND($V1506/$K1506,2)))</f>
        <v/>
      </c>
      <c r="X1506" s="17" t="n"/>
      <c r="Y1506" s="17" t="n"/>
      <c r="Z1506" s="17" t="n"/>
      <c r="AA1506" s="17" t="n"/>
      <c r="AB1506" s="17" t="n"/>
      <c r="AC1506" s="24">
        <f>IF($G1506="","",IF($H1506="※编码不在物料档案里","※物料编码不在档案里",IF(N($K1506)&lt;=0,"※入库数量要大于 0",IF(AND($C1506&lt;&gt;"",$C1506&lt;=结账锁),"※日期早于已结账截止日，不能再录",IF(AND($L1506=0,$X1506="正常"),"※没填单价，价格状态请选「待补价」",IF(AND($S1506&gt;0,$R1506&gt;0),"△本批有 "&amp;$S1506&amp;" 行没单价，整批运费先挂账没摊",IF(AND($B1506&lt;&gt;"",COUNTIF($B$4:$B$2503,$B1506)&gt;1),"※入库单号重复","")))))))</f>
        <v/>
      </c>
    </row>
    <row r="1507">
      <c r="A1507" s="24">
        <f>IF($G1507="","",COUNTA($G$4:$G1507))</f>
        <v/>
      </c>
      <c r="B1507" s="17" t="n"/>
      <c r="C1507" s="30" t="n"/>
      <c r="D1507" s="17" t="n"/>
      <c r="E1507" s="17" t="n"/>
      <c r="F1507" s="17" t="n"/>
      <c r="G1507" s="17" t="n"/>
      <c r="H1507" s="24">
        <f>IF($G1507="","",IFERROR(VLOOKUP($G1507,物料档案!$A$4:$P$1203,3,0),"※编码不在物料档案里"))</f>
        <v/>
      </c>
      <c r="I1507" s="24">
        <f>IF($G1507="","",IFERROR(VLOOKUP($G1507,物料档案!$A$4:$P$1203,4,0),"※编码不在物料档案里"))</f>
        <v/>
      </c>
      <c r="J1507" s="24">
        <f>IF($G1507="","",IFERROR(VLOOKUP($G1507,物料档案!$A$4:$P$1203,5,0),"※编码不在物料档案里"))</f>
        <v/>
      </c>
      <c r="K1507" s="23" t="n"/>
      <c r="L1507" s="31" t="n"/>
      <c r="M1507" s="24">
        <f>IF($G1507="","",IF($D1507="A国内","CNY","TZS"))</f>
        <v/>
      </c>
      <c r="N1507" s="28">
        <f>IF($G1507="","",IF($D1507="A国内",汇率,1))</f>
        <v/>
      </c>
      <c r="O1507" s="25">
        <f>IF($G1507="","",ROUND(N($K1507)*N($L1507),2))</f>
        <v/>
      </c>
      <c r="P1507" s="26">
        <f>IF($G1507="","",ROUND($O1507*$N1507,0))</f>
        <v/>
      </c>
      <c r="Q1507" s="26">
        <f>IF($G1507="","",SUMIFS($P$4:$P$2503,$E$4:$E$2503,$E1507,$Z$4:$Z$2503,"正常"))</f>
        <v/>
      </c>
      <c r="R1507" s="26">
        <f>IF($G1507="","",SUMIFS(费用台账!$I$4:$I$503,费用台账!$C$4:$C$503,$E1507,费用台账!$J$4:$J$503,"是",费用台账!$K$4:$K$503,"正常"))</f>
        <v/>
      </c>
      <c r="S1507" s="28">
        <f>IF($G1507="","",COUNTIFS($E$4:$E$2503,$E1507,$Z$4:$Z$2503,"正常",$Y$4:$Y$2503,"待补价"))</f>
        <v/>
      </c>
      <c r="T1507" s="26">
        <f>IF($G1507="","",SUMIFS($P$4:$P$2503,$E$4:$E$2503,$E1507,$Z$4:$Z$2503,"正常",$A$4:$A$2503,"&lt;="&amp;$A1507))</f>
        <v/>
      </c>
      <c r="U1507" s="26">
        <f>IF($G1507="","",IF(OR($S1507&gt;0,$Q1507=0,$R1507=0,$Z1507&lt;&gt;"正常"),0,ROUND($T1507/$Q1507*$R1507,0)-ROUND(($T1507-$P1507)/$Q1507*$R1507,0)))</f>
        <v/>
      </c>
      <c r="V1507" s="26">
        <f>IF($G1507="","",ROUND($P1507+$U1507,0))</f>
        <v/>
      </c>
      <c r="W1507" s="26">
        <f>IF($G1507="","",IF(N($K1507)=0,0,ROUND($V1507/$K1507,2)))</f>
        <v/>
      </c>
      <c r="X1507" s="17" t="n"/>
      <c r="Y1507" s="17" t="n"/>
      <c r="Z1507" s="17" t="n"/>
      <c r="AA1507" s="17" t="n"/>
      <c r="AB1507" s="17" t="n"/>
      <c r="AC1507" s="24">
        <f>IF($G1507="","",IF($H1507="※编码不在物料档案里","※物料编码不在档案里",IF(N($K1507)&lt;=0,"※入库数量要大于 0",IF(AND($C1507&lt;&gt;"",$C1507&lt;=结账锁),"※日期早于已结账截止日，不能再录",IF(AND($L1507=0,$X1507="正常"),"※没填单价，价格状态请选「待补价」",IF(AND($S1507&gt;0,$R1507&gt;0),"△本批有 "&amp;$S1507&amp;" 行没单价，整批运费先挂账没摊",IF(AND($B1507&lt;&gt;"",COUNTIF($B$4:$B$2503,$B1507)&gt;1),"※入库单号重复","")))))))</f>
        <v/>
      </c>
    </row>
    <row r="1508">
      <c r="A1508" s="24">
        <f>IF($G1508="","",COUNTA($G$4:$G1508))</f>
        <v/>
      </c>
      <c r="B1508" s="17" t="n"/>
      <c r="C1508" s="30" t="n"/>
      <c r="D1508" s="17" t="n"/>
      <c r="E1508" s="17" t="n"/>
      <c r="F1508" s="17" t="n"/>
      <c r="G1508" s="17" t="n"/>
      <c r="H1508" s="24">
        <f>IF($G1508="","",IFERROR(VLOOKUP($G1508,物料档案!$A$4:$P$1203,3,0),"※编码不在物料档案里"))</f>
        <v/>
      </c>
      <c r="I1508" s="24">
        <f>IF($G1508="","",IFERROR(VLOOKUP($G1508,物料档案!$A$4:$P$1203,4,0),"※编码不在物料档案里"))</f>
        <v/>
      </c>
      <c r="J1508" s="24">
        <f>IF($G1508="","",IFERROR(VLOOKUP($G1508,物料档案!$A$4:$P$1203,5,0),"※编码不在物料档案里"))</f>
        <v/>
      </c>
      <c r="K1508" s="23" t="n"/>
      <c r="L1508" s="31" t="n"/>
      <c r="M1508" s="24">
        <f>IF($G1508="","",IF($D1508="A国内","CNY","TZS"))</f>
        <v/>
      </c>
      <c r="N1508" s="28">
        <f>IF($G1508="","",IF($D1508="A国内",汇率,1))</f>
        <v/>
      </c>
      <c r="O1508" s="25">
        <f>IF($G1508="","",ROUND(N($K1508)*N($L1508),2))</f>
        <v/>
      </c>
      <c r="P1508" s="26">
        <f>IF($G1508="","",ROUND($O1508*$N1508,0))</f>
        <v/>
      </c>
      <c r="Q1508" s="26">
        <f>IF($G1508="","",SUMIFS($P$4:$P$2503,$E$4:$E$2503,$E1508,$Z$4:$Z$2503,"正常"))</f>
        <v/>
      </c>
      <c r="R1508" s="26">
        <f>IF($G1508="","",SUMIFS(费用台账!$I$4:$I$503,费用台账!$C$4:$C$503,$E1508,费用台账!$J$4:$J$503,"是",费用台账!$K$4:$K$503,"正常"))</f>
        <v/>
      </c>
      <c r="S1508" s="28">
        <f>IF($G1508="","",COUNTIFS($E$4:$E$2503,$E1508,$Z$4:$Z$2503,"正常",$Y$4:$Y$2503,"待补价"))</f>
        <v/>
      </c>
      <c r="T1508" s="26">
        <f>IF($G1508="","",SUMIFS($P$4:$P$2503,$E$4:$E$2503,$E1508,$Z$4:$Z$2503,"正常",$A$4:$A$2503,"&lt;="&amp;$A1508))</f>
        <v/>
      </c>
      <c r="U1508" s="26">
        <f>IF($G1508="","",IF(OR($S1508&gt;0,$Q1508=0,$R1508=0,$Z1508&lt;&gt;"正常"),0,ROUND($T1508/$Q1508*$R1508,0)-ROUND(($T1508-$P1508)/$Q1508*$R1508,0)))</f>
        <v/>
      </c>
      <c r="V1508" s="26">
        <f>IF($G1508="","",ROUND($P1508+$U1508,0))</f>
        <v/>
      </c>
      <c r="W1508" s="26">
        <f>IF($G1508="","",IF(N($K1508)=0,0,ROUND($V1508/$K1508,2)))</f>
        <v/>
      </c>
      <c r="X1508" s="17" t="n"/>
      <c r="Y1508" s="17" t="n"/>
      <c r="Z1508" s="17" t="n"/>
      <c r="AA1508" s="17" t="n"/>
      <c r="AB1508" s="17" t="n"/>
      <c r="AC1508" s="24">
        <f>IF($G1508="","",IF($H1508="※编码不在物料档案里","※物料编码不在档案里",IF(N($K1508)&lt;=0,"※入库数量要大于 0",IF(AND($C1508&lt;&gt;"",$C1508&lt;=结账锁),"※日期早于已结账截止日，不能再录",IF(AND($L1508=0,$X1508="正常"),"※没填单价，价格状态请选「待补价」",IF(AND($S1508&gt;0,$R1508&gt;0),"△本批有 "&amp;$S1508&amp;" 行没单价，整批运费先挂账没摊",IF(AND($B1508&lt;&gt;"",COUNTIF($B$4:$B$2503,$B1508)&gt;1),"※入库单号重复","")))))))</f>
        <v/>
      </c>
    </row>
    <row r="1509">
      <c r="A1509" s="24">
        <f>IF($G1509="","",COUNTA($G$4:$G1509))</f>
        <v/>
      </c>
      <c r="B1509" s="17" t="n"/>
      <c r="C1509" s="30" t="n"/>
      <c r="D1509" s="17" t="n"/>
      <c r="E1509" s="17" t="n"/>
      <c r="F1509" s="17" t="n"/>
      <c r="G1509" s="17" t="n"/>
      <c r="H1509" s="24">
        <f>IF($G1509="","",IFERROR(VLOOKUP($G1509,物料档案!$A$4:$P$1203,3,0),"※编码不在物料档案里"))</f>
        <v/>
      </c>
      <c r="I1509" s="24">
        <f>IF($G1509="","",IFERROR(VLOOKUP($G1509,物料档案!$A$4:$P$1203,4,0),"※编码不在物料档案里"))</f>
        <v/>
      </c>
      <c r="J1509" s="24">
        <f>IF($G1509="","",IFERROR(VLOOKUP($G1509,物料档案!$A$4:$P$1203,5,0),"※编码不在物料档案里"))</f>
        <v/>
      </c>
      <c r="K1509" s="23" t="n"/>
      <c r="L1509" s="31" t="n"/>
      <c r="M1509" s="24">
        <f>IF($G1509="","",IF($D1509="A国内","CNY","TZS"))</f>
        <v/>
      </c>
      <c r="N1509" s="28">
        <f>IF($G1509="","",IF($D1509="A国内",汇率,1))</f>
        <v/>
      </c>
      <c r="O1509" s="25">
        <f>IF($G1509="","",ROUND(N($K1509)*N($L1509),2))</f>
        <v/>
      </c>
      <c r="P1509" s="26">
        <f>IF($G1509="","",ROUND($O1509*$N1509,0))</f>
        <v/>
      </c>
      <c r="Q1509" s="26">
        <f>IF($G1509="","",SUMIFS($P$4:$P$2503,$E$4:$E$2503,$E1509,$Z$4:$Z$2503,"正常"))</f>
        <v/>
      </c>
      <c r="R1509" s="26">
        <f>IF($G1509="","",SUMIFS(费用台账!$I$4:$I$503,费用台账!$C$4:$C$503,$E1509,费用台账!$J$4:$J$503,"是",费用台账!$K$4:$K$503,"正常"))</f>
        <v/>
      </c>
      <c r="S1509" s="28">
        <f>IF($G1509="","",COUNTIFS($E$4:$E$2503,$E1509,$Z$4:$Z$2503,"正常",$Y$4:$Y$2503,"待补价"))</f>
        <v/>
      </c>
      <c r="T1509" s="26">
        <f>IF($G1509="","",SUMIFS($P$4:$P$2503,$E$4:$E$2503,$E1509,$Z$4:$Z$2503,"正常",$A$4:$A$2503,"&lt;="&amp;$A1509))</f>
        <v/>
      </c>
      <c r="U1509" s="26">
        <f>IF($G1509="","",IF(OR($S1509&gt;0,$Q1509=0,$R1509=0,$Z1509&lt;&gt;"正常"),0,ROUND($T1509/$Q1509*$R1509,0)-ROUND(($T1509-$P1509)/$Q1509*$R1509,0)))</f>
        <v/>
      </c>
      <c r="V1509" s="26">
        <f>IF($G1509="","",ROUND($P1509+$U1509,0))</f>
        <v/>
      </c>
      <c r="W1509" s="26">
        <f>IF($G1509="","",IF(N($K1509)=0,0,ROUND($V1509/$K1509,2)))</f>
        <v/>
      </c>
      <c r="X1509" s="17" t="n"/>
      <c r="Y1509" s="17" t="n"/>
      <c r="Z1509" s="17" t="n"/>
      <c r="AA1509" s="17" t="n"/>
      <c r="AB1509" s="17" t="n"/>
      <c r="AC1509" s="24">
        <f>IF($G1509="","",IF($H1509="※编码不在物料档案里","※物料编码不在档案里",IF(N($K1509)&lt;=0,"※入库数量要大于 0",IF(AND($C1509&lt;&gt;"",$C1509&lt;=结账锁),"※日期早于已结账截止日，不能再录",IF(AND($L1509=0,$X1509="正常"),"※没填单价，价格状态请选「待补价」",IF(AND($S1509&gt;0,$R1509&gt;0),"△本批有 "&amp;$S1509&amp;" 行没单价，整批运费先挂账没摊",IF(AND($B1509&lt;&gt;"",COUNTIF($B$4:$B$2503,$B1509)&gt;1),"※入库单号重复","")))))))</f>
        <v/>
      </c>
    </row>
    <row r="1510">
      <c r="A1510" s="24">
        <f>IF($G1510="","",COUNTA($G$4:$G1510))</f>
        <v/>
      </c>
      <c r="B1510" s="17" t="n"/>
      <c r="C1510" s="30" t="n"/>
      <c r="D1510" s="17" t="n"/>
      <c r="E1510" s="17" t="n"/>
      <c r="F1510" s="17" t="n"/>
      <c r="G1510" s="17" t="n"/>
      <c r="H1510" s="24">
        <f>IF($G1510="","",IFERROR(VLOOKUP($G1510,物料档案!$A$4:$P$1203,3,0),"※编码不在物料档案里"))</f>
        <v/>
      </c>
      <c r="I1510" s="24">
        <f>IF($G1510="","",IFERROR(VLOOKUP($G1510,物料档案!$A$4:$P$1203,4,0),"※编码不在物料档案里"))</f>
        <v/>
      </c>
      <c r="J1510" s="24">
        <f>IF($G1510="","",IFERROR(VLOOKUP($G1510,物料档案!$A$4:$P$1203,5,0),"※编码不在物料档案里"))</f>
        <v/>
      </c>
      <c r="K1510" s="23" t="n"/>
      <c r="L1510" s="31" t="n"/>
      <c r="M1510" s="24">
        <f>IF($G1510="","",IF($D1510="A国内","CNY","TZS"))</f>
        <v/>
      </c>
      <c r="N1510" s="28">
        <f>IF($G1510="","",IF($D1510="A国内",汇率,1))</f>
        <v/>
      </c>
      <c r="O1510" s="25">
        <f>IF($G1510="","",ROUND(N($K1510)*N($L1510),2))</f>
        <v/>
      </c>
      <c r="P1510" s="26">
        <f>IF($G1510="","",ROUND($O1510*$N1510,0))</f>
        <v/>
      </c>
      <c r="Q1510" s="26">
        <f>IF($G1510="","",SUMIFS($P$4:$P$2503,$E$4:$E$2503,$E1510,$Z$4:$Z$2503,"正常"))</f>
        <v/>
      </c>
      <c r="R1510" s="26">
        <f>IF($G1510="","",SUMIFS(费用台账!$I$4:$I$503,费用台账!$C$4:$C$503,$E1510,费用台账!$J$4:$J$503,"是",费用台账!$K$4:$K$503,"正常"))</f>
        <v/>
      </c>
      <c r="S1510" s="28">
        <f>IF($G1510="","",COUNTIFS($E$4:$E$2503,$E1510,$Z$4:$Z$2503,"正常",$Y$4:$Y$2503,"待补价"))</f>
        <v/>
      </c>
      <c r="T1510" s="26">
        <f>IF($G1510="","",SUMIFS($P$4:$P$2503,$E$4:$E$2503,$E1510,$Z$4:$Z$2503,"正常",$A$4:$A$2503,"&lt;="&amp;$A1510))</f>
        <v/>
      </c>
      <c r="U1510" s="26">
        <f>IF($G1510="","",IF(OR($S1510&gt;0,$Q1510=0,$R1510=0,$Z1510&lt;&gt;"正常"),0,ROUND($T1510/$Q1510*$R1510,0)-ROUND(($T1510-$P1510)/$Q1510*$R1510,0)))</f>
        <v/>
      </c>
      <c r="V1510" s="26">
        <f>IF($G1510="","",ROUND($P1510+$U1510,0))</f>
        <v/>
      </c>
      <c r="W1510" s="26">
        <f>IF($G1510="","",IF(N($K1510)=0,0,ROUND($V1510/$K1510,2)))</f>
        <v/>
      </c>
      <c r="X1510" s="17" t="n"/>
      <c r="Y1510" s="17" t="n"/>
      <c r="Z1510" s="17" t="n"/>
      <c r="AA1510" s="17" t="n"/>
      <c r="AB1510" s="17" t="n"/>
      <c r="AC1510" s="24">
        <f>IF($G1510="","",IF($H1510="※编码不在物料档案里","※物料编码不在档案里",IF(N($K1510)&lt;=0,"※入库数量要大于 0",IF(AND($C1510&lt;&gt;"",$C1510&lt;=结账锁),"※日期早于已结账截止日，不能再录",IF(AND($L1510=0,$X1510="正常"),"※没填单价，价格状态请选「待补价」",IF(AND($S1510&gt;0,$R1510&gt;0),"△本批有 "&amp;$S1510&amp;" 行没单价，整批运费先挂账没摊",IF(AND($B1510&lt;&gt;"",COUNTIF($B$4:$B$2503,$B1510)&gt;1),"※入库单号重复","")))))))</f>
        <v/>
      </c>
    </row>
    <row r="1511">
      <c r="A1511" s="24">
        <f>IF($G1511="","",COUNTA($G$4:$G1511))</f>
        <v/>
      </c>
      <c r="B1511" s="17" t="n"/>
      <c r="C1511" s="30" t="n"/>
      <c r="D1511" s="17" t="n"/>
      <c r="E1511" s="17" t="n"/>
      <c r="F1511" s="17" t="n"/>
      <c r="G1511" s="17" t="n"/>
      <c r="H1511" s="24">
        <f>IF($G1511="","",IFERROR(VLOOKUP($G1511,物料档案!$A$4:$P$1203,3,0),"※编码不在物料档案里"))</f>
        <v/>
      </c>
      <c r="I1511" s="24">
        <f>IF($G1511="","",IFERROR(VLOOKUP($G1511,物料档案!$A$4:$P$1203,4,0),"※编码不在物料档案里"))</f>
        <v/>
      </c>
      <c r="J1511" s="24">
        <f>IF($G1511="","",IFERROR(VLOOKUP($G1511,物料档案!$A$4:$P$1203,5,0),"※编码不在物料档案里"))</f>
        <v/>
      </c>
      <c r="K1511" s="23" t="n"/>
      <c r="L1511" s="31" t="n"/>
      <c r="M1511" s="24">
        <f>IF($G1511="","",IF($D1511="A国内","CNY","TZS"))</f>
        <v/>
      </c>
      <c r="N1511" s="28">
        <f>IF($G1511="","",IF($D1511="A国内",汇率,1))</f>
        <v/>
      </c>
      <c r="O1511" s="25">
        <f>IF($G1511="","",ROUND(N($K1511)*N($L1511),2))</f>
        <v/>
      </c>
      <c r="P1511" s="26">
        <f>IF($G1511="","",ROUND($O1511*$N1511,0))</f>
        <v/>
      </c>
      <c r="Q1511" s="26">
        <f>IF($G1511="","",SUMIFS($P$4:$P$2503,$E$4:$E$2503,$E1511,$Z$4:$Z$2503,"正常"))</f>
        <v/>
      </c>
      <c r="R1511" s="26">
        <f>IF($G1511="","",SUMIFS(费用台账!$I$4:$I$503,费用台账!$C$4:$C$503,$E1511,费用台账!$J$4:$J$503,"是",费用台账!$K$4:$K$503,"正常"))</f>
        <v/>
      </c>
      <c r="S1511" s="28">
        <f>IF($G1511="","",COUNTIFS($E$4:$E$2503,$E1511,$Z$4:$Z$2503,"正常",$Y$4:$Y$2503,"待补价"))</f>
        <v/>
      </c>
      <c r="T1511" s="26">
        <f>IF($G1511="","",SUMIFS($P$4:$P$2503,$E$4:$E$2503,$E1511,$Z$4:$Z$2503,"正常",$A$4:$A$2503,"&lt;="&amp;$A1511))</f>
        <v/>
      </c>
      <c r="U1511" s="26">
        <f>IF($G1511="","",IF(OR($S1511&gt;0,$Q1511=0,$R1511=0,$Z1511&lt;&gt;"正常"),0,ROUND($T1511/$Q1511*$R1511,0)-ROUND(($T1511-$P1511)/$Q1511*$R1511,0)))</f>
        <v/>
      </c>
      <c r="V1511" s="26">
        <f>IF($G1511="","",ROUND($P1511+$U1511,0))</f>
        <v/>
      </c>
      <c r="W1511" s="26">
        <f>IF($G1511="","",IF(N($K1511)=0,0,ROUND($V1511/$K1511,2)))</f>
        <v/>
      </c>
      <c r="X1511" s="17" t="n"/>
      <c r="Y1511" s="17" t="n"/>
      <c r="Z1511" s="17" t="n"/>
      <c r="AA1511" s="17" t="n"/>
      <c r="AB1511" s="17" t="n"/>
      <c r="AC1511" s="24">
        <f>IF($G1511="","",IF($H1511="※编码不在物料档案里","※物料编码不在档案里",IF(N($K1511)&lt;=0,"※入库数量要大于 0",IF(AND($C1511&lt;&gt;"",$C1511&lt;=结账锁),"※日期早于已结账截止日，不能再录",IF(AND($L1511=0,$X1511="正常"),"※没填单价，价格状态请选「待补价」",IF(AND($S1511&gt;0,$R1511&gt;0),"△本批有 "&amp;$S1511&amp;" 行没单价，整批运费先挂账没摊",IF(AND($B1511&lt;&gt;"",COUNTIF($B$4:$B$2503,$B1511)&gt;1),"※入库单号重复","")))))))</f>
        <v/>
      </c>
    </row>
    <row r="1512">
      <c r="A1512" s="24">
        <f>IF($G1512="","",COUNTA($G$4:$G1512))</f>
        <v/>
      </c>
      <c r="B1512" s="17" t="n"/>
      <c r="C1512" s="30" t="n"/>
      <c r="D1512" s="17" t="n"/>
      <c r="E1512" s="17" t="n"/>
      <c r="F1512" s="17" t="n"/>
      <c r="G1512" s="17" t="n"/>
      <c r="H1512" s="24">
        <f>IF($G1512="","",IFERROR(VLOOKUP($G1512,物料档案!$A$4:$P$1203,3,0),"※编码不在物料档案里"))</f>
        <v/>
      </c>
      <c r="I1512" s="24">
        <f>IF($G1512="","",IFERROR(VLOOKUP($G1512,物料档案!$A$4:$P$1203,4,0),"※编码不在物料档案里"))</f>
        <v/>
      </c>
      <c r="J1512" s="24">
        <f>IF($G1512="","",IFERROR(VLOOKUP($G1512,物料档案!$A$4:$P$1203,5,0),"※编码不在物料档案里"))</f>
        <v/>
      </c>
      <c r="K1512" s="23" t="n"/>
      <c r="L1512" s="31" t="n"/>
      <c r="M1512" s="24">
        <f>IF($G1512="","",IF($D1512="A国内","CNY","TZS"))</f>
        <v/>
      </c>
      <c r="N1512" s="28">
        <f>IF($G1512="","",IF($D1512="A国内",汇率,1))</f>
        <v/>
      </c>
      <c r="O1512" s="25">
        <f>IF($G1512="","",ROUND(N($K1512)*N($L1512),2))</f>
        <v/>
      </c>
      <c r="P1512" s="26">
        <f>IF($G1512="","",ROUND($O1512*$N1512,0))</f>
        <v/>
      </c>
      <c r="Q1512" s="26">
        <f>IF($G1512="","",SUMIFS($P$4:$P$2503,$E$4:$E$2503,$E1512,$Z$4:$Z$2503,"正常"))</f>
        <v/>
      </c>
      <c r="R1512" s="26">
        <f>IF($G1512="","",SUMIFS(费用台账!$I$4:$I$503,费用台账!$C$4:$C$503,$E1512,费用台账!$J$4:$J$503,"是",费用台账!$K$4:$K$503,"正常"))</f>
        <v/>
      </c>
      <c r="S1512" s="28">
        <f>IF($G1512="","",COUNTIFS($E$4:$E$2503,$E1512,$Z$4:$Z$2503,"正常",$Y$4:$Y$2503,"待补价"))</f>
        <v/>
      </c>
      <c r="T1512" s="26">
        <f>IF($G1512="","",SUMIFS($P$4:$P$2503,$E$4:$E$2503,$E1512,$Z$4:$Z$2503,"正常",$A$4:$A$2503,"&lt;="&amp;$A1512))</f>
        <v/>
      </c>
      <c r="U1512" s="26">
        <f>IF($G1512="","",IF(OR($S1512&gt;0,$Q1512=0,$R1512=0,$Z1512&lt;&gt;"正常"),0,ROUND($T1512/$Q1512*$R1512,0)-ROUND(($T1512-$P1512)/$Q1512*$R1512,0)))</f>
        <v/>
      </c>
      <c r="V1512" s="26">
        <f>IF($G1512="","",ROUND($P1512+$U1512,0))</f>
        <v/>
      </c>
      <c r="W1512" s="26">
        <f>IF($G1512="","",IF(N($K1512)=0,0,ROUND($V1512/$K1512,2)))</f>
        <v/>
      </c>
      <c r="X1512" s="17" t="n"/>
      <c r="Y1512" s="17" t="n"/>
      <c r="Z1512" s="17" t="n"/>
      <c r="AA1512" s="17" t="n"/>
      <c r="AB1512" s="17" t="n"/>
      <c r="AC1512" s="24">
        <f>IF($G1512="","",IF($H1512="※编码不在物料档案里","※物料编码不在档案里",IF(N($K1512)&lt;=0,"※入库数量要大于 0",IF(AND($C1512&lt;&gt;"",$C1512&lt;=结账锁),"※日期早于已结账截止日，不能再录",IF(AND($L1512=0,$X1512="正常"),"※没填单价，价格状态请选「待补价」",IF(AND($S1512&gt;0,$R1512&gt;0),"△本批有 "&amp;$S1512&amp;" 行没单价，整批运费先挂账没摊",IF(AND($B1512&lt;&gt;"",COUNTIF($B$4:$B$2503,$B1512)&gt;1),"※入库单号重复","")))))))</f>
        <v/>
      </c>
    </row>
    <row r="1513">
      <c r="A1513" s="24">
        <f>IF($G1513="","",COUNTA($G$4:$G1513))</f>
        <v/>
      </c>
      <c r="B1513" s="17" t="n"/>
      <c r="C1513" s="30" t="n"/>
      <c r="D1513" s="17" t="n"/>
      <c r="E1513" s="17" t="n"/>
      <c r="F1513" s="17" t="n"/>
      <c r="G1513" s="17" t="n"/>
      <c r="H1513" s="24">
        <f>IF($G1513="","",IFERROR(VLOOKUP($G1513,物料档案!$A$4:$P$1203,3,0),"※编码不在物料档案里"))</f>
        <v/>
      </c>
      <c r="I1513" s="24">
        <f>IF($G1513="","",IFERROR(VLOOKUP($G1513,物料档案!$A$4:$P$1203,4,0),"※编码不在物料档案里"))</f>
        <v/>
      </c>
      <c r="J1513" s="24">
        <f>IF($G1513="","",IFERROR(VLOOKUP($G1513,物料档案!$A$4:$P$1203,5,0),"※编码不在物料档案里"))</f>
        <v/>
      </c>
      <c r="K1513" s="23" t="n"/>
      <c r="L1513" s="31" t="n"/>
      <c r="M1513" s="24">
        <f>IF($G1513="","",IF($D1513="A国内","CNY","TZS"))</f>
        <v/>
      </c>
      <c r="N1513" s="28">
        <f>IF($G1513="","",IF($D1513="A国内",汇率,1))</f>
        <v/>
      </c>
      <c r="O1513" s="25">
        <f>IF($G1513="","",ROUND(N($K1513)*N($L1513),2))</f>
        <v/>
      </c>
      <c r="P1513" s="26">
        <f>IF($G1513="","",ROUND($O1513*$N1513,0))</f>
        <v/>
      </c>
      <c r="Q1513" s="26">
        <f>IF($G1513="","",SUMIFS($P$4:$P$2503,$E$4:$E$2503,$E1513,$Z$4:$Z$2503,"正常"))</f>
        <v/>
      </c>
      <c r="R1513" s="26">
        <f>IF($G1513="","",SUMIFS(费用台账!$I$4:$I$503,费用台账!$C$4:$C$503,$E1513,费用台账!$J$4:$J$503,"是",费用台账!$K$4:$K$503,"正常"))</f>
        <v/>
      </c>
      <c r="S1513" s="28">
        <f>IF($G1513="","",COUNTIFS($E$4:$E$2503,$E1513,$Z$4:$Z$2503,"正常",$Y$4:$Y$2503,"待补价"))</f>
        <v/>
      </c>
      <c r="T1513" s="26">
        <f>IF($G1513="","",SUMIFS($P$4:$P$2503,$E$4:$E$2503,$E1513,$Z$4:$Z$2503,"正常",$A$4:$A$2503,"&lt;="&amp;$A1513))</f>
        <v/>
      </c>
      <c r="U1513" s="26">
        <f>IF($G1513="","",IF(OR($S1513&gt;0,$Q1513=0,$R1513=0,$Z1513&lt;&gt;"正常"),0,ROUND($T1513/$Q1513*$R1513,0)-ROUND(($T1513-$P1513)/$Q1513*$R1513,0)))</f>
        <v/>
      </c>
      <c r="V1513" s="26">
        <f>IF($G1513="","",ROUND($P1513+$U1513,0))</f>
        <v/>
      </c>
      <c r="W1513" s="26">
        <f>IF($G1513="","",IF(N($K1513)=0,0,ROUND($V1513/$K1513,2)))</f>
        <v/>
      </c>
      <c r="X1513" s="17" t="n"/>
      <c r="Y1513" s="17" t="n"/>
      <c r="Z1513" s="17" t="n"/>
      <c r="AA1513" s="17" t="n"/>
      <c r="AB1513" s="17" t="n"/>
      <c r="AC1513" s="24">
        <f>IF($G1513="","",IF($H1513="※编码不在物料档案里","※物料编码不在档案里",IF(N($K1513)&lt;=0,"※入库数量要大于 0",IF(AND($C1513&lt;&gt;"",$C1513&lt;=结账锁),"※日期早于已结账截止日，不能再录",IF(AND($L1513=0,$X1513="正常"),"※没填单价，价格状态请选「待补价」",IF(AND($S1513&gt;0,$R1513&gt;0),"△本批有 "&amp;$S1513&amp;" 行没单价，整批运费先挂账没摊",IF(AND($B1513&lt;&gt;"",COUNTIF($B$4:$B$2503,$B1513)&gt;1),"※入库单号重复","")))))))</f>
        <v/>
      </c>
    </row>
    <row r="1514">
      <c r="A1514" s="24">
        <f>IF($G1514="","",COUNTA($G$4:$G1514))</f>
        <v/>
      </c>
      <c r="B1514" s="17" t="n"/>
      <c r="C1514" s="30" t="n"/>
      <c r="D1514" s="17" t="n"/>
      <c r="E1514" s="17" t="n"/>
      <c r="F1514" s="17" t="n"/>
      <c r="G1514" s="17" t="n"/>
      <c r="H1514" s="24">
        <f>IF($G1514="","",IFERROR(VLOOKUP($G1514,物料档案!$A$4:$P$1203,3,0),"※编码不在物料档案里"))</f>
        <v/>
      </c>
      <c r="I1514" s="24">
        <f>IF($G1514="","",IFERROR(VLOOKUP($G1514,物料档案!$A$4:$P$1203,4,0),"※编码不在物料档案里"))</f>
        <v/>
      </c>
      <c r="J1514" s="24">
        <f>IF($G1514="","",IFERROR(VLOOKUP($G1514,物料档案!$A$4:$P$1203,5,0),"※编码不在物料档案里"))</f>
        <v/>
      </c>
      <c r="K1514" s="23" t="n"/>
      <c r="L1514" s="31" t="n"/>
      <c r="M1514" s="24">
        <f>IF($G1514="","",IF($D1514="A国内","CNY","TZS"))</f>
        <v/>
      </c>
      <c r="N1514" s="28">
        <f>IF($G1514="","",IF($D1514="A国内",汇率,1))</f>
        <v/>
      </c>
      <c r="O1514" s="25">
        <f>IF($G1514="","",ROUND(N($K1514)*N($L1514),2))</f>
        <v/>
      </c>
      <c r="P1514" s="26">
        <f>IF($G1514="","",ROUND($O1514*$N1514,0))</f>
        <v/>
      </c>
      <c r="Q1514" s="26">
        <f>IF($G1514="","",SUMIFS($P$4:$P$2503,$E$4:$E$2503,$E1514,$Z$4:$Z$2503,"正常"))</f>
        <v/>
      </c>
      <c r="R1514" s="26">
        <f>IF($G1514="","",SUMIFS(费用台账!$I$4:$I$503,费用台账!$C$4:$C$503,$E1514,费用台账!$J$4:$J$503,"是",费用台账!$K$4:$K$503,"正常"))</f>
        <v/>
      </c>
      <c r="S1514" s="28">
        <f>IF($G1514="","",COUNTIFS($E$4:$E$2503,$E1514,$Z$4:$Z$2503,"正常",$Y$4:$Y$2503,"待补价"))</f>
        <v/>
      </c>
      <c r="T1514" s="26">
        <f>IF($G1514="","",SUMIFS($P$4:$P$2503,$E$4:$E$2503,$E1514,$Z$4:$Z$2503,"正常",$A$4:$A$2503,"&lt;="&amp;$A1514))</f>
        <v/>
      </c>
      <c r="U1514" s="26">
        <f>IF($G1514="","",IF(OR($S1514&gt;0,$Q1514=0,$R1514=0,$Z1514&lt;&gt;"正常"),0,ROUND($T1514/$Q1514*$R1514,0)-ROUND(($T1514-$P1514)/$Q1514*$R1514,0)))</f>
        <v/>
      </c>
      <c r="V1514" s="26">
        <f>IF($G1514="","",ROUND($P1514+$U1514,0))</f>
        <v/>
      </c>
      <c r="W1514" s="26">
        <f>IF($G1514="","",IF(N($K1514)=0,0,ROUND($V1514/$K1514,2)))</f>
        <v/>
      </c>
      <c r="X1514" s="17" t="n"/>
      <c r="Y1514" s="17" t="n"/>
      <c r="Z1514" s="17" t="n"/>
      <c r="AA1514" s="17" t="n"/>
      <c r="AB1514" s="17" t="n"/>
      <c r="AC1514" s="24">
        <f>IF($G1514="","",IF($H1514="※编码不在物料档案里","※物料编码不在档案里",IF(N($K1514)&lt;=0,"※入库数量要大于 0",IF(AND($C1514&lt;&gt;"",$C1514&lt;=结账锁),"※日期早于已结账截止日，不能再录",IF(AND($L1514=0,$X1514="正常"),"※没填单价，价格状态请选「待补价」",IF(AND($S1514&gt;0,$R1514&gt;0),"△本批有 "&amp;$S1514&amp;" 行没单价，整批运费先挂账没摊",IF(AND($B1514&lt;&gt;"",COUNTIF($B$4:$B$2503,$B1514)&gt;1),"※入库单号重复","")))))))</f>
        <v/>
      </c>
    </row>
    <row r="1515">
      <c r="A1515" s="24">
        <f>IF($G1515="","",COUNTA($G$4:$G1515))</f>
        <v/>
      </c>
      <c r="B1515" s="17" t="n"/>
      <c r="C1515" s="30" t="n"/>
      <c r="D1515" s="17" t="n"/>
      <c r="E1515" s="17" t="n"/>
      <c r="F1515" s="17" t="n"/>
      <c r="G1515" s="17" t="n"/>
      <c r="H1515" s="24">
        <f>IF($G1515="","",IFERROR(VLOOKUP($G1515,物料档案!$A$4:$P$1203,3,0),"※编码不在物料档案里"))</f>
        <v/>
      </c>
      <c r="I1515" s="24">
        <f>IF($G1515="","",IFERROR(VLOOKUP($G1515,物料档案!$A$4:$P$1203,4,0),"※编码不在物料档案里"))</f>
        <v/>
      </c>
      <c r="J1515" s="24">
        <f>IF($G1515="","",IFERROR(VLOOKUP($G1515,物料档案!$A$4:$P$1203,5,0),"※编码不在物料档案里"))</f>
        <v/>
      </c>
      <c r="K1515" s="23" t="n"/>
      <c r="L1515" s="31" t="n"/>
      <c r="M1515" s="24">
        <f>IF($G1515="","",IF($D1515="A国内","CNY","TZS"))</f>
        <v/>
      </c>
      <c r="N1515" s="28">
        <f>IF($G1515="","",IF($D1515="A国内",汇率,1))</f>
        <v/>
      </c>
      <c r="O1515" s="25">
        <f>IF($G1515="","",ROUND(N($K1515)*N($L1515),2))</f>
        <v/>
      </c>
      <c r="P1515" s="26">
        <f>IF($G1515="","",ROUND($O1515*$N1515,0))</f>
        <v/>
      </c>
      <c r="Q1515" s="26">
        <f>IF($G1515="","",SUMIFS($P$4:$P$2503,$E$4:$E$2503,$E1515,$Z$4:$Z$2503,"正常"))</f>
        <v/>
      </c>
      <c r="R1515" s="26">
        <f>IF($G1515="","",SUMIFS(费用台账!$I$4:$I$503,费用台账!$C$4:$C$503,$E1515,费用台账!$J$4:$J$503,"是",费用台账!$K$4:$K$503,"正常"))</f>
        <v/>
      </c>
      <c r="S1515" s="28">
        <f>IF($G1515="","",COUNTIFS($E$4:$E$2503,$E1515,$Z$4:$Z$2503,"正常",$Y$4:$Y$2503,"待补价"))</f>
        <v/>
      </c>
      <c r="T1515" s="26">
        <f>IF($G1515="","",SUMIFS($P$4:$P$2503,$E$4:$E$2503,$E1515,$Z$4:$Z$2503,"正常",$A$4:$A$2503,"&lt;="&amp;$A1515))</f>
        <v/>
      </c>
      <c r="U1515" s="26">
        <f>IF($G1515="","",IF(OR($S1515&gt;0,$Q1515=0,$R1515=0,$Z1515&lt;&gt;"正常"),0,ROUND($T1515/$Q1515*$R1515,0)-ROUND(($T1515-$P1515)/$Q1515*$R1515,0)))</f>
        <v/>
      </c>
      <c r="V1515" s="26">
        <f>IF($G1515="","",ROUND($P1515+$U1515,0))</f>
        <v/>
      </c>
      <c r="W1515" s="26">
        <f>IF($G1515="","",IF(N($K1515)=0,0,ROUND($V1515/$K1515,2)))</f>
        <v/>
      </c>
      <c r="X1515" s="17" t="n"/>
      <c r="Y1515" s="17" t="n"/>
      <c r="Z1515" s="17" t="n"/>
      <c r="AA1515" s="17" t="n"/>
      <c r="AB1515" s="17" t="n"/>
      <c r="AC1515" s="24">
        <f>IF($G1515="","",IF($H1515="※编码不在物料档案里","※物料编码不在档案里",IF(N($K1515)&lt;=0,"※入库数量要大于 0",IF(AND($C1515&lt;&gt;"",$C1515&lt;=结账锁),"※日期早于已结账截止日，不能再录",IF(AND($L1515=0,$X1515="正常"),"※没填单价，价格状态请选「待补价」",IF(AND($S1515&gt;0,$R1515&gt;0),"△本批有 "&amp;$S1515&amp;" 行没单价，整批运费先挂账没摊",IF(AND($B1515&lt;&gt;"",COUNTIF($B$4:$B$2503,$B1515)&gt;1),"※入库单号重复","")))))))</f>
        <v/>
      </c>
    </row>
    <row r="1516">
      <c r="A1516" s="24">
        <f>IF($G1516="","",COUNTA($G$4:$G1516))</f>
        <v/>
      </c>
      <c r="B1516" s="17" t="n"/>
      <c r="C1516" s="30" t="n"/>
      <c r="D1516" s="17" t="n"/>
      <c r="E1516" s="17" t="n"/>
      <c r="F1516" s="17" t="n"/>
      <c r="G1516" s="17" t="n"/>
      <c r="H1516" s="24">
        <f>IF($G1516="","",IFERROR(VLOOKUP($G1516,物料档案!$A$4:$P$1203,3,0),"※编码不在物料档案里"))</f>
        <v/>
      </c>
      <c r="I1516" s="24">
        <f>IF($G1516="","",IFERROR(VLOOKUP($G1516,物料档案!$A$4:$P$1203,4,0),"※编码不在物料档案里"))</f>
        <v/>
      </c>
      <c r="J1516" s="24">
        <f>IF($G1516="","",IFERROR(VLOOKUP($G1516,物料档案!$A$4:$P$1203,5,0),"※编码不在物料档案里"))</f>
        <v/>
      </c>
      <c r="K1516" s="23" t="n"/>
      <c r="L1516" s="31" t="n"/>
      <c r="M1516" s="24">
        <f>IF($G1516="","",IF($D1516="A国内","CNY","TZS"))</f>
        <v/>
      </c>
      <c r="N1516" s="28">
        <f>IF($G1516="","",IF($D1516="A国内",汇率,1))</f>
        <v/>
      </c>
      <c r="O1516" s="25">
        <f>IF($G1516="","",ROUND(N($K1516)*N($L1516),2))</f>
        <v/>
      </c>
      <c r="P1516" s="26">
        <f>IF($G1516="","",ROUND($O1516*$N1516,0))</f>
        <v/>
      </c>
      <c r="Q1516" s="26">
        <f>IF($G1516="","",SUMIFS($P$4:$P$2503,$E$4:$E$2503,$E1516,$Z$4:$Z$2503,"正常"))</f>
        <v/>
      </c>
      <c r="R1516" s="26">
        <f>IF($G1516="","",SUMIFS(费用台账!$I$4:$I$503,费用台账!$C$4:$C$503,$E1516,费用台账!$J$4:$J$503,"是",费用台账!$K$4:$K$503,"正常"))</f>
        <v/>
      </c>
      <c r="S1516" s="28">
        <f>IF($G1516="","",COUNTIFS($E$4:$E$2503,$E1516,$Z$4:$Z$2503,"正常",$Y$4:$Y$2503,"待补价"))</f>
        <v/>
      </c>
      <c r="T1516" s="26">
        <f>IF($G1516="","",SUMIFS($P$4:$P$2503,$E$4:$E$2503,$E1516,$Z$4:$Z$2503,"正常",$A$4:$A$2503,"&lt;="&amp;$A1516))</f>
        <v/>
      </c>
      <c r="U1516" s="26">
        <f>IF($G1516="","",IF(OR($S1516&gt;0,$Q1516=0,$R1516=0,$Z1516&lt;&gt;"正常"),0,ROUND($T1516/$Q1516*$R1516,0)-ROUND(($T1516-$P1516)/$Q1516*$R1516,0)))</f>
        <v/>
      </c>
      <c r="V1516" s="26">
        <f>IF($G1516="","",ROUND($P1516+$U1516,0))</f>
        <v/>
      </c>
      <c r="W1516" s="26">
        <f>IF($G1516="","",IF(N($K1516)=0,0,ROUND($V1516/$K1516,2)))</f>
        <v/>
      </c>
      <c r="X1516" s="17" t="n"/>
      <c r="Y1516" s="17" t="n"/>
      <c r="Z1516" s="17" t="n"/>
      <c r="AA1516" s="17" t="n"/>
      <c r="AB1516" s="17" t="n"/>
      <c r="AC1516" s="24">
        <f>IF($G1516="","",IF($H1516="※编码不在物料档案里","※物料编码不在档案里",IF(N($K1516)&lt;=0,"※入库数量要大于 0",IF(AND($C1516&lt;&gt;"",$C1516&lt;=结账锁),"※日期早于已结账截止日，不能再录",IF(AND($L1516=0,$X1516="正常"),"※没填单价，价格状态请选「待补价」",IF(AND($S1516&gt;0,$R1516&gt;0),"△本批有 "&amp;$S1516&amp;" 行没单价，整批运费先挂账没摊",IF(AND($B1516&lt;&gt;"",COUNTIF($B$4:$B$2503,$B1516)&gt;1),"※入库单号重复","")))))))</f>
        <v/>
      </c>
    </row>
    <row r="1517">
      <c r="A1517" s="24">
        <f>IF($G1517="","",COUNTA($G$4:$G1517))</f>
        <v/>
      </c>
      <c r="B1517" s="17" t="n"/>
      <c r="C1517" s="30" t="n"/>
      <c r="D1517" s="17" t="n"/>
      <c r="E1517" s="17" t="n"/>
      <c r="F1517" s="17" t="n"/>
      <c r="G1517" s="17" t="n"/>
      <c r="H1517" s="24">
        <f>IF($G1517="","",IFERROR(VLOOKUP($G1517,物料档案!$A$4:$P$1203,3,0),"※编码不在物料档案里"))</f>
        <v/>
      </c>
      <c r="I1517" s="24">
        <f>IF($G1517="","",IFERROR(VLOOKUP($G1517,物料档案!$A$4:$P$1203,4,0),"※编码不在物料档案里"))</f>
        <v/>
      </c>
      <c r="J1517" s="24">
        <f>IF($G1517="","",IFERROR(VLOOKUP($G1517,物料档案!$A$4:$P$1203,5,0),"※编码不在物料档案里"))</f>
        <v/>
      </c>
      <c r="K1517" s="23" t="n"/>
      <c r="L1517" s="31" t="n"/>
      <c r="M1517" s="24">
        <f>IF($G1517="","",IF($D1517="A国内","CNY","TZS"))</f>
        <v/>
      </c>
      <c r="N1517" s="28">
        <f>IF($G1517="","",IF($D1517="A国内",汇率,1))</f>
        <v/>
      </c>
      <c r="O1517" s="25">
        <f>IF($G1517="","",ROUND(N($K1517)*N($L1517),2))</f>
        <v/>
      </c>
      <c r="P1517" s="26">
        <f>IF($G1517="","",ROUND($O1517*$N1517,0))</f>
        <v/>
      </c>
      <c r="Q1517" s="26">
        <f>IF($G1517="","",SUMIFS($P$4:$P$2503,$E$4:$E$2503,$E1517,$Z$4:$Z$2503,"正常"))</f>
        <v/>
      </c>
      <c r="R1517" s="26">
        <f>IF($G1517="","",SUMIFS(费用台账!$I$4:$I$503,费用台账!$C$4:$C$503,$E1517,费用台账!$J$4:$J$503,"是",费用台账!$K$4:$K$503,"正常"))</f>
        <v/>
      </c>
      <c r="S1517" s="28">
        <f>IF($G1517="","",COUNTIFS($E$4:$E$2503,$E1517,$Z$4:$Z$2503,"正常",$Y$4:$Y$2503,"待补价"))</f>
        <v/>
      </c>
      <c r="T1517" s="26">
        <f>IF($G1517="","",SUMIFS($P$4:$P$2503,$E$4:$E$2503,$E1517,$Z$4:$Z$2503,"正常",$A$4:$A$2503,"&lt;="&amp;$A1517))</f>
        <v/>
      </c>
      <c r="U1517" s="26">
        <f>IF($G1517="","",IF(OR($S1517&gt;0,$Q1517=0,$R1517=0,$Z1517&lt;&gt;"正常"),0,ROUND($T1517/$Q1517*$R1517,0)-ROUND(($T1517-$P1517)/$Q1517*$R1517,0)))</f>
        <v/>
      </c>
      <c r="V1517" s="26">
        <f>IF($G1517="","",ROUND($P1517+$U1517,0))</f>
        <v/>
      </c>
      <c r="W1517" s="26">
        <f>IF($G1517="","",IF(N($K1517)=0,0,ROUND($V1517/$K1517,2)))</f>
        <v/>
      </c>
      <c r="X1517" s="17" t="n"/>
      <c r="Y1517" s="17" t="n"/>
      <c r="Z1517" s="17" t="n"/>
      <c r="AA1517" s="17" t="n"/>
      <c r="AB1517" s="17" t="n"/>
      <c r="AC1517" s="24">
        <f>IF($G1517="","",IF($H1517="※编码不在物料档案里","※物料编码不在档案里",IF(N($K1517)&lt;=0,"※入库数量要大于 0",IF(AND($C1517&lt;&gt;"",$C1517&lt;=结账锁),"※日期早于已结账截止日，不能再录",IF(AND($L1517=0,$X1517="正常"),"※没填单价，价格状态请选「待补价」",IF(AND($S1517&gt;0,$R1517&gt;0),"△本批有 "&amp;$S1517&amp;" 行没单价，整批运费先挂账没摊",IF(AND($B1517&lt;&gt;"",COUNTIF($B$4:$B$2503,$B1517)&gt;1),"※入库单号重复","")))))))</f>
        <v/>
      </c>
    </row>
    <row r="1518">
      <c r="A1518" s="24">
        <f>IF($G1518="","",COUNTA($G$4:$G1518))</f>
        <v/>
      </c>
      <c r="B1518" s="17" t="n"/>
      <c r="C1518" s="30" t="n"/>
      <c r="D1518" s="17" t="n"/>
      <c r="E1518" s="17" t="n"/>
      <c r="F1518" s="17" t="n"/>
      <c r="G1518" s="17" t="n"/>
      <c r="H1518" s="24">
        <f>IF($G1518="","",IFERROR(VLOOKUP($G1518,物料档案!$A$4:$P$1203,3,0),"※编码不在物料档案里"))</f>
        <v/>
      </c>
      <c r="I1518" s="24">
        <f>IF($G1518="","",IFERROR(VLOOKUP($G1518,物料档案!$A$4:$P$1203,4,0),"※编码不在物料档案里"))</f>
        <v/>
      </c>
      <c r="J1518" s="24">
        <f>IF($G1518="","",IFERROR(VLOOKUP($G1518,物料档案!$A$4:$P$1203,5,0),"※编码不在物料档案里"))</f>
        <v/>
      </c>
      <c r="K1518" s="23" t="n"/>
      <c r="L1518" s="31" t="n"/>
      <c r="M1518" s="24">
        <f>IF($G1518="","",IF($D1518="A国内","CNY","TZS"))</f>
        <v/>
      </c>
      <c r="N1518" s="28">
        <f>IF($G1518="","",IF($D1518="A国内",汇率,1))</f>
        <v/>
      </c>
      <c r="O1518" s="25">
        <f>IF($G1518="","",ROUND(N($K1518)*N($L1518),2))</f>
        <v/>
      </c>
      <c r="P1518" s="26">
        <f>IF($G1518="","",ROUND($O1518*$N1518,0))</f>
        <v/>
      </c>
      <c r="Q1518" s="26">
        <f>IF($G1518="","",SUMIFS($P$4:$P$2503,$E$4:$E$2503,$E1518,$Z$4:$Z$2503,"正常"))</f>
        <v/>
      </c>
      <c r="R1518" s="26">
        <f>IF($G1518="","",SUMIFS(费用台账!$I$4:$I$503,费用台账!$C$4:$C$503,$E1518,费用台账!$J$4:$J$503,"是",费用台账!$K$4:$K$503,"正常"))</f>
        <v/>
      </c>
      <c r="S1518" s="28">
        <f>IF($G1518="","",COUNTIFS($E$4:$E$2503,$E1518,$Z$4:$Z$2503,"正常",$Y$4:$Y$2503,"待补价"))</f>
        <v/>
      </c>
      <c r="T1518" s="26">
        <f>IF($G1518="","",SUMIFS($P$4:$P$2503,$E$4:$E$2503,$E1518,$Z$4:$Z$2503,"正常",$A$4:$A$2503,"&lt;="&amp;$A1518))</f>
        <v/>
      </c>
      <c r="U1518" s="26">
        <f>IF($G1518="","",IF(OR($S1518&gt;0,$Q1518=0,$R1518=0,$Z1518&lt;&gt;"正常"),0,ROUND($T1518/$Q1518*$R1518,0)-ROUND(($T1518-$P1518)/$Q1518*$R1518,0)))</f>
        <v/>
      </c>
      <c r="V1518" s="26">
        <f>IF($G1518="","",ROUND($P1518+$U1518,0))</f>
        <v/>
      </c>
      <c r="W1518" s="26">
        <f>IF($G1518="","",IF(N($K1518)=0,0,ROUND($V1518/$K1518,2)))</f>
        <v/>
      </c>
      <c r="X1518" s="17" t="n"/>
      <c r="Y1518" s="17" t="n"/>
      <c r="Z1518" s="17" t="n"/>
      <c r="AA1518" s="17" t="n"/>
      <c r="AB1518" s="17" t="n"/>
      <c r="AC1518" s="24">
        <f>IF($G1518="","",IF($H1518="※编码不在物料档案里","※物料编码不在档案里",IF(N($K1518)&lt;=0,"※入库数量要大于 0",IF(AND($C1518&lt;&gt;"",$C1518&lt;=结账锁),"※日期早于已结账截止日，不能再录",IF(AND($L1518=0,$X1518="正常"),"※没填单价，价格状态请选「待补价」",IF(AND($S1518&gt;0,$R1518&gt;0),"△本批有 "&amp;$S1518&amp;" 行没单价，整批运费先挂账没摊",IF(AND($B1518&lt;&gt;"",COUNTIF($B$4:$B$2503,$B1518)&gt;1),"※入库单号重复","")))))))</f>
        <v/>
      </c>
    </row>
    <row r="1519">
      <c r="A1519" s="24">
        <f>IF($G1519="","",COUNTA($G$4:$G1519))</f>
        <v/>
      </c>
      <c r="B1519" s="17" t="n"/>
      <c r="C1519" s="30" t="n"/>
      <c r="D1519" s="17" t="n"/>
      <c r="E1519" s="17" t="n"/>
      <c r="F1519" s="17" t="n"/>
      <c r="G1519" s="17" t="n"/>
      <c r="H1519" s="24">
        <f>IF($G1519="","",IFERROR(VLOOKUP($G1519,物料档案!$A$4:$P$1203,3,0),"※编码不在物料档案里"))</f>
        <v/>
      </c>
      <c r="I1519" s="24">
        <f>IF($G1519="","",IFERROR(VLOOKUP($G1519,物料档案!$A$4:$P$1203,4,0),"※编码不在物料档案里"))</f>
        <v/>
      </c>
      <c r="J1519" s="24">
        <f>IF($G1519="","",IFERROR(VLOOKUP($G1519,物料档案!$A$4:$P$1203,5,0),"※编码不在物料档案里"))</f>
        <v/>
      </c>
      <c r="K1519" s="23" t="n"/>
      <c r="L1519" s="31" t="n"/>
      <c r="M1519" s="24">
        <f>IF($G1519="","",IF($D1519="A国内","CNY","TZS"))</f>
        <v/>
      </c>
      <c r="N1519" s="28">
        <f>IF($G1519="","",IF($D1519="A国内",汇率,1))</f>
        <v/>
      </c>
      <c r="O1519" s="25">
        <f>IF($G1519="","",ROUND(N($K1519)*N($L1519),2))</f>
        <v/>
      </c>
      <c r="P1519" s="26">
        <f>IF($G1519="","",ROUND($O1519*$N1519,0))</f>
        <v/>
      </c>
      <c r="Q1519" s="26">
        <f>IF($G1519="","",SUMIFS($P$4:$P$2503,$E$4:$E$2503,$E1519,$Z$4:$Z$2503,"正常"))</f>
        <v/>
      </c>
      <c r="R1519" s="26">
        <f>IF($G1519="","",SUMIFS(费用台账!$I$4:$I$503,费用台账!$C$4:$C$503,$E1519,费用台账!$J$4:$J$503,"是",费用台账!$K$4:$K$503,"正常"))</f>
        <v/>
      </c>
      <c r="S1519" s="28">
        <f>IF($G1519="","",COUNTIFS($E$4:$E$2503,$E1519,$Z$4:$Z$2503,"正常",$Y$4:$Y$2503,"待补价"))</f>
        <v/>
      </c>
      <c r="T1519" s="26">
        <f>IF($G1519="","",SUMIFS($P$4:$P$2503,$E$4:$E$2503,$E1519,$Z$4:$Z$2503,"正常",$A$4:$A$2503,"&lt;="&amp;$A1519))</f>
        <v/>
      </c>
      <c r="U1519" s="26">
        <f>IF($G1519="","",IF(OR($S1519&gt;0,$Q1519=0,$R1519=0,$Z1519&lt;&gt;"正常"),0,ROUND($T1519/$Q1519*$R1519,0)-ROUND(($T1519-$P1519)/$Q1519*$R1519,0)))</f>
        <v/>
      </c>
      <c r="V1519" s="26">
        <f>IF($G1519="","",ROUND($P1519+$U1519,0))</f>
        <v/>
      </c>
      <c r="W1519" s="26">
        <f>IF($G1519="","",IF(N($K1519)=0,0,ROUND($V1519/$K1519,2)))</f>
        <v/>
      </c>
      <c r="X1519" s="17" t="n"/>
      <c r="Y1519" s="17" t="n"/>
      <c r="Z1519" s="17" t="n"/>
      <c r="AA1519" s="17" t="n"/>
      <c r="AB1519" s="17" t="n"/>
      <c r="AC1519" s="24">
        <f>IF($G1519="","",IF($H1519="※编码不在物料档案里","※物料编码不在档案里",IF(N($K1519)&lt;=0,"※入库数量要大于 0",IF(AND($C1519&lt;&gt;"",$C1519&lt;=结账锁),"※日期早于已结账截止日，不能再录",IF(AND($L1519=0,$X1519="正常"),"※没填单价，价格状态请选「待补价」",IF(AND($S1519&gt;0,$R1519&gt;0),"△本批有 "&amp;$S1519&amp;" 行没单价，整批运费先挂账没摊",IF(AND($B1519&lt;&gt;"",COUNTIF($B$4:$B$2503,$B1519)&gt;1),"※入库单号重复","")))))))</f>
        <v/>
      </c>
    </row>
    <row r="1520">
      <c r="A1520" s="24">
        <f>IF($G1520="","",COUNTA($G$4:$G1520))</f>
        <v/>
      </c>
      <c r="B1520" s="17" t="n"/>
      <c r="C1520" s="30" t="n"/>
      <c r="D1520" s="17" t="n"/>
      <c r="E1520" s="17" t="n"/>
      <c r="F1520" s="17" t="n"/>
      <c r="G1520" s="17" t="n"/>
      <c r="H1520" s="24">
        <f>IF($G1520="","",IFERROR(VLOOKUP($G1520,物料档案!$A$4:$P$1203,3,0),"※编码不在物料档案里"))</f>
        <v/>
      </c>
      <c r="I1520" s="24">
        <f>IF($G1520="","",IFERROR(VLOOKUP($G1520,物料档案!$A$4:$P$1203,4,0),"※编码不在物料档案里"))</f>
        <v/>
      </c>
      <c r="J1520" s="24">
        <f>IF($G1520="","",IFERROR(VLOOKUP($G1520,物料档案!$A$4:$P$1203,5,0),"※编码不在物料档案里"))</f>
        <v/>
      </c>
      <c r="K1520" s="23" t="n"/>
      <c r="L1520" s="31" t="n"/>
      <c r="M1520" s="24">
        <f>IF($G1520="","",IF($D1520="A国内","CNY","TZS"))</f>
        <v/>
      </c>
      <c r="N1520" s="28">
        <f>IF($G1520="","",IF($D1520="A国内",汇率,1))</f>
        <v/>
      </c>
      <c r="O1520" s="25">
        <f>IF($G1520="","",ROUND(N($K1520)*N($L1520),2))</f>
        <v/>
      </c>
      <c r="P1520" s="26">
        <f>IF($G1520="","",ROUND($O1520*$N1520,0))</f>
        <v/>
      </c>
      <c r="Q1520" s="26">
        <f>IF($G1520="","",SUMIFS($P$4:$P$2503,$E$4:$E$2503,$E1520,$Z$4:$Z$2503,"正常"))</f>
        <v/>
      </c>
      <c r="R1520" s="26">
        <f>IF($G1520="","",SUMIFS(费用台账!$I$4:$I$503,费用台账!$C$4:$C$503,$E1520,费用台账!$J$4:$J$503,"是",费用台账!$K$4:$K$503,"正常"))</f>
        <v/>
      </c>
      <c r="S1520" s="28">
        <f>IF($G1520="","",COUNTIFS($E$4:$E$2503,$E1520,$Z$4:$Z$2503,"正常",$Y$4:$Y$2503,"待补价"))</f>
        <v/>
      </c>
      <c r="T1520" s="26">
        <f>IF($G1520="","",SUMIFS($P$4:$P$2503,$E$4:$E$2503,$E1520,$Z$4:$Z$2503,"正常",$A$4:$A$2503,"&lt;="&amp;$A1520))</f>
        <v/>
      </c>
      <c r="U1520" s="26">
        <f>IF($G1520="","",IF(OR($S1520&gt;0,$Q1520=0,$R1520=0,$Z1520&lt;&gt;"正常"),0,ROUND($T1520/$Q1520*$R1520,0)-ROUND(($T1520-$P1520)/$Q1520*$R1520,0)))</f>
        <v/>
      </c>
      <c r="V1520" s="26">
        <f>IF($G1520="","",ROUND($P1520+$U1520,0))</f>
        <v/>
      </c>
      <c r="W1520" s="26">
        <f>IF($G1520="","",IF(N($K1520)=0,0,ROUND($V1520/$K1520,2)))</f>
        <v/>
      </c>
      <c r="X1520" s="17" t="n"/>
      <c r="Y1520" s="17" t="n"/>
      <c r="Z1520" s="17" t="n"/>
      <c r="AA1520" s="17" t="n"/>
      <c r="AB1520" s="17" t="n"/>
      <c r="AC1520" s="24">
        <f>IF($G1520="","",IF($H1520="※编码不在物料档案里","※物料编码不在档案里",IF(N($K1520)&lt;=0,"※入库数量要大于 0",IF(AND($C1520&lt;&gt;"",$C1520&lt;=结账锁),"※日期早于已结账截止日，不能再录",IF(AND($L1520=0,$X1520="正常"),"※没填单价，价格状态请选「待补价」",IF(AND($S1520&gt;0,$R1520&gt;0),"△本批有 "&amp;$S1520&amp;" 行没单价，整批运费先挂账没摊",IF(AND($B1520&lt;&gt;"",COUNTIF($B$4:$B$2503,$B1520)&gt;1),"※入库单号重复","")))))))</f>
        <v/>
      </c>
    </row>
    <row r="1521">
      <c r="A1521" s="24">
        <f>IF($G1521="","",COUNTA($G$4:$G1521))</f>
        <v/>
      </c>
      <c r="B1521" s="17" t="n"/>
      <c r="C1521" s="30" t="n"/>
      <c r="D1521" s="17" t="n"/>
      <c r="E1521" s="17" t="n"/>
      <c r="F1521" s="17" t="n"/>
      <c r="G1521" s="17" t="n"/>
      <c r="H1521" s="24">
        <f>IF($G1521="","",IFERROR(VLOOKUP($G1521,物料档案!$A$4:$P$1203,3,0),"※编码不在物料档案里"))</f>
        <v/>
      </c>
      <c r="I1521" s="24">
        <f>IF($G1521="","",IFERROR(VLOOKUP($G1521,物料档案!$A$4:$P$1203,4,0),"※编码不在物料档案里"))</f>
        <v/>
      </c>
      <c r="J1521" s="24">
        <f>IF($G1521="","",IFERROR(VLOOKUP($G1521,物料档案!$A$4:$P$1203,5,0),"※编码不在物料档案里"))</f>
        <v/>
      </c>
      <c r="K1521" s="23" t="n"/>
      <c r="L1521" s="31" t="n"/>
      <c r="M1521" s="24">
        <f>IF($G1521="","",IF($D1521="A国内","CNY","TZS"))</f>
        <v/>
      </c>
      <c r="N1521" s="28">
        <f>IF($G1521="","",IF($D1521="A国内",汇率,1))</f>
        <v/>
      </c>
      <c r="O1521" s="25">
        <f>IF($G1521="","",ROUND(N($K1521)*N($L1521),2))</f>
        <v/>
      </c>
      <c r="P1521" s="26">
        <f>IF($G1521="","",ROUND($O1521*$N1521,0))</f>
        <v/>
      </c>
      <c r="Q1521" s="26">
        <f>IF($G1521="","",SUMIFS($P$4:$P$2503,$E$4:$E$2503,$E1521,$Z$4:$Z$2503,"正常"))</f>
        <v/>
      </c>
      <c r="R1521" s="26">
        <f>IF($G1521="","",SUMIFS(费用台账!$I$4:$I$503,费用台账!$C$4:$C$503,$E1521,费用台账!$J$4:$J$503,"是",费用台账!$K$4:$K$503,"正常"))</f>
        <v/>
      </c>
      <c r="S1521" s="28">
        <f>IF($G1521="","",COUNTIFS($E$4:$E$2503,$E1521,$Z$4:$Z$2503,"正常",$Y$4:$Y$2503,"待补价"))</f>
        <v/>
      </c>
      <c r="T1521" s="26">
        <f>IF($G1521="","",SUMIFS($P$4:$P$2503,$E$4:$E$2503,$E1521,$Z$4:$Z$2503,"正常",$A$4:$A$2503,"&lt;="&amp;$A1521))</f>
        <v/>
      </c>
      <c r="U1521" s="26">
        <f>IF($G1521="","",IF(OR($S1521&gt;0,$Q1521=0,$R1521=0,$Z1521&lt;&gt;"正常"),0,ROUND($T1521/$Q1521*$R1521,0)-ROUND(($T1521-$P1521)/$Q1521*$R1521,0)))</f>
        <v/>
      </c>
      <c r="V1521" s="26">
        <f>IF($G1521="","",ROUND($P1521+$U1521,0))</f>
        <v/>
      </c>
      <c r="W1521" s="26">
        <f>IF($G1521="","",IF(N($K1521)=0,0,ROUND($V1521/$K1521,2)))</f>
        <v/>
      </c>
      <c r="X1521" s="17" t="n"/>
      <c r="Y1521" s="17" t="n"/>
      <c r="Z1521" s="17" t="n"/>
      <c r="AA1521" s="17" t="n"/>
      <c r="AB1521" s="17" t="n"/>
      <c r="AC1521" s="24">
        <f>IF($G1521="","",IF($H1521="※编码不在物料档案里","※物料编码不在档案里",IF(N($K1521)&lt;=0,"※入库数量要大于 0",IF(AND($C1521&lt;&gt;"",$C1521&lt;=结账锁),"※日期早于已结账截止日，不能再录",IF(AND($L1521=0,$X1521="正常"),"※没填单价，价格状态请选「待补价」",IF(AND($S1521&gt;0,$R1521&gt;0),"△本批有 "&amp;$S1521&amp;" 行没单价，整批运费先挂账没摊",IF(AND($B1521&lt;&gt;"",COUNTIF($B$4:$B$2503,$B1521)&gt;1),"※入库单号重复","")))))))</f>
        <v/>
      </c>
    </row>
    <row r="1522">
      <c r="A1522" s="24">
        <f>IF($G1522="","",COUNTA($G$4:$G1522))</f>
        <v/>
      </c>
      <c r="B1522" s="17" t="n"/>
      <c r="C1522" s="30" t="n"/>
      <c r="D1522" s="17" t="n"/>
      <c r="E1522" s="17" t="n"/>
      <c r="F1522" s="17" t="n"/>
      <c r="G1522" s="17" t="n"/>
      <c r="H1522" s="24">
        <f>IF($G1522="","",IFERROR(VLOOKUP($G1522,物料档案!$A$4:$P$1203,3,0),"※编码不在物料档案里"))</f>
        <v/>
      </c>
      <c r="I1522" s="24">
        <f>IF($G1522="","",IFERROR(VLOOKUP($G1522,物料档案!$A$4:$P$1203,4,0),"※编码不在物料档案里"))</f>
        <v/>
      </c>
      <c r="J1522" s="24">
        <f>IF($G1522="","",IFERROR(VLOOKUP($G1522,物料档案!$A$4:$P$1203,5,0),"※编码不在物料档案里"))</f>
        <v/>
      </c>
      <c r="K1522" s="23" t="n"/>
      <c r="L1522" s="31" t="n"/>
      <c r="M1522" s="24">
        <f>IF($G1522="","",IF($D1522="A国内","CNY","TZS"))</f>
        <v/>
      </c>
      <c r="N1522" s="28">
        <f>IF($G1522="","",IF($D1522="A国内",汇率,1))</f>
        <v/>
      </c>
      <c r="O1522" s="25">
        <f>IF($G1522="","",ROUND(N($K1522)*N($L1522),2))</f>
        <v/>
      </c>
      <c r="P1522" s="26">
        <f>IF($G1522="","",ROUND($O1522*$N1522,0))</f>
        <v/>
      </c>
      <c r="Q1522" s="26">
        <f>IF($G1522="","",SUMIFS($P$4:$P$2503,$E$4:$E$2503,$E1522,$Z$4:$Z$2503,"正常"))</f>
        <v/>
      </c>
      <c r="R1522" s="26">
        <f>IF($G1522="","",SUMIFS(费用台账!$I$4:$I$503,费用台账!$C$4:$C$503,$E1522,费用台账!$J$4:$J$503,"是",费用台账!$K$4:$K$503,"正常"))</f>
        <v/>
      </c>
      <c r="S1522" s="28">
        <f>IF($G1522="","",COUNTIFS($E$4:$E$2503,$E1522,$Z$4:$Z$2503,"正常",$Y$4:$Y$2503,"待补价"))</f>
        <v/>
      </c>
      <c r="T1522" s="26">
        <f>IF($G1522="","",SUMIFS($P$4:$P$2503,$E$4:$E$2503,$E1522,$Z$4:$Z$2503,"正常",$A$4:$A$2503,"&lt;="&amp;$A1522))</f>
        <v/>
      </c>
      <c r="U1522" s="26">
        <f>IF($G1522="","",IF(OR($S1522&gt;0,$Q1522=0,$R1522=0,$Z1522&lt;&gt;"正常"),0,ROUND($T1522/$Q1522*$R1522,0)-ROUND(($T1522-$P1522)/$Q1522*$R1522,0)))</f>
        <v/>
      </c>
      <c r="V1522" s="26">
        <f>IF($G1522="","",ROUND($P1522+$U1522,0))</f>
        <v/>
      </c>
      <c r="W1522" s="26">
        <f>IF($G1522="","",IF(N($K1522)=0,0,ROUND($V1522/$K1522,2)))</f>
        <v/>
      </c>
      <c r="X1522" s="17" t="n"/>
      <c r="Y1522" s="17" t="n"/>
      <c r="Z1522" s="17" t="n"/>
      <c r="AA1522" s="17" t="n"/>
      <c r="AB1522" s="17" t="n"/>
      <c r="AC1522" s="24">
        <f>IF($G1522="","",IF($H1522="※编码不在物料档案里","※物料编码不在档案里",IF(N($K1522)&lt;=0,"※入库数量要大于 0",IF(AND($C1522&lt;&gt;"",$C1522&lt;=结账锁),"※日期早于已结账截止日，不能再录",IF(AND($L1522=0,$X1522="正常"),"※没填单价，价格状态请选「待补价」",IF(AND($S1522&gt;0,$R1522&gt;0),"△本批有 "&amp;$S1522&amp;" 行没单价，整批运费先挂账没摊",IF(AND($B1522&lt;&gt;"",COUNTIF($B$4:$B$2503,$B1522)&gt;1),"※入库单号重复","")))))))</f>
        <v/>
      </c>
    </row>
    <row r="1523">
      <c r="A1523" s="24">
        <f>IF($G1523="","",COUNTA($G$4:$G1523))</f>
        <v/>
      </c>
      <c r="B1523" s="17" t="n"/>
      <c r="C1523" s="30" t="n"/>
      <c r="D1523" s="17" t="n"/>
      <c r="E1523" s="17" t="n"/>
      <c r="F1523" s="17" t="n"/>
      <c r="G1523" s="17" t="n"/>
      <c r="H1523" s="24">
        <f>IF($G1523="","",IFERROR(VLOOKUP($G1523,物料档案!$A$4:$P$1203,3,0),"※编码不在物料档案里"))</f>
        <v/>
      </c>
      <c r="I1523" s="24">
        <f>IF($G1523="","",IFERROR(VLOOKUP($G1523,物料档案!$A$4:$P$1203,4,0),"※编码不在物料档案里"))</f>
        <v/>
      </c>
      <c r="J1523" s="24">
        <f>IF($G1523="","",IFERROR(VLOOKUP($G1523,物料档案!$A$4:$P$1203,5,0),"※编码不在物料档案里"))</f>
        <v/>
      </c>
      <c r="K1523" s="23" t="n"/>
      <c r="L1523" s="31" t="n"/>
      <c r="M1523" s="24">
        <f>IF($G1523="","",IF($D1523="A国内","CNY","TZS"))</f>
        <v/>
      </c>
      <c r="N1523" s="28">
        <f>IF($G1523="","",IF($D1523="A国内",汇率,1))</f>
        <v/>
      </c>
      <c r="O1523" s="25">
        <f>IF($G1523="","",ROUND(N($K1523)*N($L1523),2))</f>
        <v/>
      </c>
      <c r="P1523" s="26">
        <f>IF($G1523="","",ROUND($O1523*$N1523,0))</f>
        <v/>
      </c>
      <c r="Q1523" s="26">
        <f>IF($G1523="","",SUMIFS($P$4:$P$2503,$E$4:$E$2503,$E1523,$Z$4:$Z$2503,"正常"))</f>
        <v/>
      </c>
      <c r="R1523" s="26">
        <f>IF($G1523="","",SUMIFS(费用台账!$I$4:$I$503,费用台账!$C$4:$C$503,$E1523,费用台账!$J$4:$J$503,"是",费用台账!$K$4:$K$503,"正常"))</f>
        <v/>
      </c>
      <c r="S1523" s="28">
        <f>IF($G1523="","",COUNTIFS($E$4:$E$2503,$E1523,$Z$4:$Z$2503,"正常",$Y$4:$Y$2503,"待补价"))</f>
        <v/>
      </c>
      <c r="T1523" s="26">
        <f>IF($G1523="","",SUMIFS($P$4:$P$2503,$E$4:$E$2503,$E1523,$Z$4:$Z$2503,"正常",$A$4:$A$2503,"&lt;="&amp;$A1523))</f>
        <v/>
      </c>
      <c r="U1523" s="26">
        <f>IF($G1523="","",IF(OR($S1523&gt;0,$Q1523=0,$R1523=0,$Z1523&lt;&gt;"正常"),0,ROUND($T1523/$Q1523*$R1523,0)-ROUND(($T1523-$P1523)/$Q1523*$R1523,0)))</f>
        <v/>
      </c>
      <c r="V1523" s="26">
        <f>IF($G1523="","",ROUND($P1523+$U1523,0))</f>
        <v/>
      </c>
      <c r="W1523" s="26">
        <f>IF($G1523="","",IF(N($K1523)=0,0,ROUND($V1523/$K1523,2)))</f>
        <v/>
      </c>
      <c r="X1523" s="17" t="n"/>
      <c r="Y1523" s="17" t="n"/>
      <c r="Z1523" s="17" t="n"/>
      <c r="AA1523" s="17" t="n"/>
      <c r="AB1523" s="17" t="n"/>
      <c r="AC1523" s="24">
        <f>IF($G1523="","",IF($H1523="※编码不在物料档案里","※物料编码不在档案里",IF(N($K1523)&lt;=0,"※入库数量要大于 0",IF(AND($C1523&lt;&gt;"",$C1523&lt;=结账锁),"※日期早于已结账截止日，不能再录",IF(AND($L1523=0,$X1523="正常"),"※没填单价，价格状态请选「待补价」",IF(AND($S1523&gt;0,$R1523&gt;0),"△本批有 "&amp;$S1523&amp;" 行没单价，整批运费先挂账没摊",IF(AND($B1523&lt;&gt;"",COUNTIF($B$4:$B$2503,$B1523)&gt;1),"※入库单号重复","")))))))</f>
        <v/>
      </c>
    </row>
    <row r="1524">
      <c r="A1524" s="24">
        <f>IF($G1524="","",COUNTA($G$4:$G1524))</f>
        <v/>
      </c>
      <c r="B1524" s="17" t="n"/>
      <c r="C1524" s="30" t="n"/>
      <c r="D1524" s="17" t="n"/>
      <c r="E1524" s="17" t="n"/>
      <c r="F1524" s="17" t="n"/>
      <c r="G1524" s="17" t="n"/>
      <c r="H1524" s="24">
        <f>IF($G1524="","",IFERROR(VLOOKUP($G1524,物料档案!$A$4:$P$1203,3,0),"※编码不在物料档案里"))</f>
        <v/>
      </c>
      <c r="I1524" s="24">
        <f>IF($G1524="","",IFERROR(VLOOKUP($G1524,物料档案!$A$4:$P$1203,4,0),"※编码不在物料档案里"))</f>
        <v/>
      </c>
      <c r="J1524" s="24">
        <f>IF($G1524="","",IFERROR(VLOOKUP($G1524,物料档案!$A$4:$P$1203,5,0),"※编码不在物料档案里"))</f>
        <v/>
      </c>
      <c r="K1524" s="23" t="n"/>
      <c r="L1524" s="31" t="n"/>
      <c r="M1524" s="24">
        <f>IF($G1524="","",IF($D1524="A国内","CNY","TZS"))</f>
        <v/>
      </c>
      <c r="N1524" s="28">
        <f>IF($G1524="","",IF($D1524="A国内",汇率,1))</f>
        <v/>
      </c>
      <c r="O1524" s="25">
        <f>IF($G1524="","",ROUND(N($K1524)*N($L1524),2))</f>
        <v/>
      </c>
      <c r="P1524" s="26">
        <f>IF($G1524="","",ROUND($O1524*$N1524,0))</f>
        <v/>
      </c>
      <c r="Q1524" s="26">
        <f>IF($G1524="","",SUMIFS($P$4:$P$2503,$E$4:$E$2503,$E1524,$Z$4:$Z$2503,"正常"))</f>
        <v/>
      </c>
      <c r="R1524" s="26">
        <f>IF($G1524="","",SUMIFS(费用台账!$I$4:$I$503,费用台账!$C$4:$C$503,$E1524,费用台账!$J$4:$J$503,"是",费用台账!$K$4:$K$503,"正常"))</f>
        <v/>
      </c>
      <c r="S1524" s="28">
        <f>IF($G1524="","",COUNTIFS($E$4:$E$2503,$E1524,$Z$4:$Z$2503,"正常",$Y$4:$Y$2503,"待补价"))</f>
        <v/>
      </c>
      <c r="T1524" s="26">
        <f>IF($G1524="","",SUMIFS($P$4:$P$2503,$E$4:$E$2503,$E1524,$Z$4:$Z$2503,"正常",$A$4:$A$2503,"&lt;="&amp;$A1524))</f>
        <v/>
      </c>
      <c r="U1524" s="26">
        <f>IF($G1524="","",IF(OR($S1524&gt;0,$Q1524=0,$R1524=0,$Z1524&lt;&gt;"正常"),0,ROUND($T1524/$Q1524*$R1524,0)-ROUND(($T1524-$P1524)/$Q1524*$R1524,0)))</f>
        <v/>
      </c>
      <c r="V1524" s="26">
        <f>IF($G1524="","",ROUND($P1524+$U1524,0))</f>
        <v/>
      </c>
      <c r="W1524" s="26">
        <f>IF($G1524="","",IF(N($K1524)=0,0,ROUND($V1524/$K1524,2)))</f>
        <v/>
      </c>
      <c r="X1524" s="17" t="n"/>
      <c r="Y1524" s="17" t="n"/>
      <c r="Z1524" s="17" t="n"/>
      <c r="AA1524" s="17" t="n"/>
      <c r="AB1524" s="17" t="n"/>
      <c r="AC1524" s="24">
        <f>IF($G1524="","",IF($H1524="※编码不在物料档案里","※物料编码不在档案里",IF(N($K1524)&lt;=0,"※入库数量要大于 0",IF(AND($C1524&lt;&gt;"",$C1524&lt;=结账锁),"※日期早于已结账截止日，不能再录",IF(AND($L1524=0,$X1524="正常"),"※没填单价，价格状态请选「待补价」",IF(AND($S1524&gt;0,$R1524&gt;0),"△本批有 "&amp;$S1524&amp;" 行没单价，整批运费先挂账没摊",IF(AND($B1524&lt;&gt;"",COUNTIF($B$4:$B$2503,$B1524)&gt;1),"※入库单号重复","")))))))</f>
        <v/>
      </c>
    </row>
    <row r="1525">
      <c r="A1525" s="24">
        <f>IF($G1525="","",COUNTA($G$4:$G1525))</f>
        <v/>
      </c>
      <c r="B1525" s="17" t="n"/>
      <c r="C1525" s="30" t="n"/>
      <c r="D1525" s="17" t="n"/>
      <c r="E1525" s="17" t="n"/>
      <c r="F1525" s="17" t="n"/>
      <c r="G1525" s="17" t="n"/>
      <c r="H1525" s="24">
        <f>IF($G1525="","",IFERROR(VLOOKUP($G1525,物料档案!$A$4:$P$1203,3,0),"※编码不在物料档案里"))</f>
        <v/>
      </c>
      <c r="I1525" s="24">
        <f>IF($G1525="","",IFERROR(VLOOKUP($G1525,物料档案!$A$4:$P$1203,4,0),"※编码不在物料档案里"))</f>
        <v/>
      </c>
      <c r="J1525" s="24">
        <f>IF($G1525="","",IFERROR(VLOOKUP($G1525,物料档案!$A$4:$P$1203,5,0),"※编码不在物料档案里"))</f>
        <v/>
      </c>
      <c r="K1525" s="23" t="n"/>
      <c r="L1525" s="31" t="n"/>
      <c r="M1525" s="24">
        <f>IF($G1525="","",IF($D1525="A国内","CNY","TZS"))</f>
        <v/>
      </c>
      <c r="N1525" s="28">
        <f>IF($G1525="","",IF($D1525="A国内",汇率,1))</f>
        <v/>
      </c>
      <c r="O1525" s="25">
        <f>IF($G1525="","",ROUND(N($K1525)*N($L1525),2))</f>
        <v/>
      </c>
      <c r="P1525" s="26">
        <f>IF($G1525="","",ROUND($O1525*$N1525,0))</f>
        <v/>
      </c>
      <c r="Q1525" s="26">
        <f>IF($G1525="","",SUMIFS($P$4:$P$2503,$E$4:$E$2503,$E1525,$Z$4:$Z$2503,"正常"))</f>
        <v/>
      </c>
      <c r="R1525" s="26">
        <f>IF($G1525="","",SUMIFS(费用台账!$I$4:$I$503,费用台账!$C$4:$C$503,$E1525,费用台账!$J$4:$J$503,"是",费用台账!$K$4:$K$503,"正常"))</f>
        <v/>
      </c>
      <c r="S1525" s="28">
        <f>IF($G1525="","",COUNTIFS($E$4:$E$2503,$E1525,$Z$4:$Z$2503,"正常",$Y$4:$Y$2503,"待补价"))</f>
        <v/>
      </c>
      <c r="T1525" s="26">
        <f>IF($G1525="","",SUMIFS($P$4:$P$2503,$E$4:$E$2503,$E1525,$Z$4:$Z$2503,"正常",$A$4:$A$2503,"&lt;="&amp;$A1525))</f>
        <v/>
      </c>
      <c r="U1525" s="26">
        <f>IF($G1525="","",IF(OR($S1525&gt;0,$Q1525=0,$R1525=0,$Z1525&lt;&gt;"正常"),0,ROUND($T1525/$Q1525*$R1525,0)-ROUND(($T1525-$P1525)/$Q1525*$R1525,0)))</f>
        <v/>
      </c>
      <c r="V1525" s="26">
        <f>IF($G1525="","",ROUND($P1525+$U1525,0))</f>
        <v/>
      </c>
      <c r="W1525" s="26">
        <f>IF($G1525="","",IF(N($K1525)=0,0,ROUND($V1525/$K1525,2)))</f>
        <v/>
      </c>
      <c r="X1525" s="17" t="n"/>
      <c r="Y1525" s="17" t="n"/>
      <c r="Z1525" s="17" t="n"/>
      <c r="AA1525" s="17" t="n"/>
      <c r="AB1525" s="17" t="n"/>
      <c r="AC1525" s="24">
        <f>IF($G1525="","",IF($H1525="※编码不在物料档案里","※物料编码不在档案里",IF(N($K1525)&lt;=0,"※入库数量要大于 0",IF(AND($C1525&lt;&gt;"",$C1525&lt;=结账锁),"※日期早于已结账截止日，不能再录",IF(AND($L1525=0,$X1525="正常"),"※没填单价，价格状态请选「待补价」",IF(AND($S1525&gt;0,$R1525&gt;0),"△本批有 "&amp;$S1525&amp;" 行没单价，整批运费先挂账没摊",IF(AND($B1525&lt;&gt;"",COUNTIF($B$4:$B$2503,$B1525)&gt;1),"※入库单号重复","")))))))</f>
        <v/>
      </c>
    </row>
    <row r="1526">
      <c r="A1526" s="24">
        <f>IF($G1526="","",COUNTA($G$4:$G1526))</f>
        <v/>
      </c>
      <c r="B1526" s="17" t="n"/>
      <c r="C1526" s="30" t="n"/>
      <c r="D1526" s="17" t="n"/>
      <c r="E1526" s="17" t="n"/>
      <c r="F1526" s="17" t="n"/>
      <c r="G1526" s="17" t="n"/>
      <c r="H1526" s="24">
        <f>IF($G1526="","",IFERROR(VLOOKUP($G1526,物料档案!$A$4:$P$1203,3,0),"※编码不在物料档案里"))</f>
        <v/>
      </c>
      <c r="I1526" s="24">
        <f>IF($G1526="","",IFERROR(VLOOKUP($G1526,物料档案!$A$4:$P$1203,4,0),"※编码不在物料档案里"))</f>
        <v/>
      </c>
      <c r="J1526" s="24">
        <f>IF($G1526="","",IFERROR(VLOOKUP($G1526,物料档案!$A$4:$P$1203,5,0),"※编码不在物料档案里"))</f>
        <v/>
      </c>
      <c r="K1526" s="23" t="n"/>
      <c r="L1526" s="31" t="n"/>
      <c r="M1526" s="24">
        <f>IF($G1526="","",IF($D1526="A国内","CNY","TZS"))</f>
        <v/>
      </c>
      <c r="N1526" s="28">
        <f>IF($G1526="","",IF($D1526="A国内",汇率,1))</f>
        <v/>
      </c>
      <c r="O1526" s="25">
        <f>IF($G1526="","",ROUND(N($K1526)*N($L1526),2))</f>
        <v/>
      </c>
      <c r="P1526" s="26">
        <f>IF($G1526="","",ROUND($O1526*$N1526,0))</f>
        <v/>
      </c>
      <c r="Q1526" s="26">
        <f>IF($G1526="","",SUMIFS($P$4:$P$2503,$E$4:$E$2503,$E1526,$Z$4:$Z$2503,"正常"))</f>
        <v/>
      </c>
      <c r="R1526" s="26">
        <f>IF($G1526="","",SUMIFS(费用台账!$I$4:$I$503,费用台账!$C$4:$C$503,$E1526,费用台账!$J$4:$J$503,"是",费用台账!$K$4:$K$503,"正常"))</f>
        <v/>
      </c>
      <c r="S1526" s="28">
        <f>IF($G1526="","",COUNTIFS($E$4:$E$2503,$E1526,$Z$4:$Z$2503,"正常",$Y$4:$Y$2503,"待补价"))</f>
        <v/>
      </c>
      <c r="T1526" s="26">
        <f>IF($G1526="","",SUMIFS($P$4:$P$2503,$E$4:$E$2503,$E1526,$Z$4:$Z$2503,"正常",$A$4:$A$2503,"&lt;="&amp;$A1526))</f>
        <v/>
      </c>
      <c r="U1526" s="26">
        <f>IF($G1526="","",IF(OR($S1526&gt;0,$Q1526=0,$R1526=0,$Z1526&lt;&gt;"正常"),0,ROUND($T1526/$Q1526*$R1526,0)-ROUND(($T1526-$P1526)/$Q1526*$R1526,0)))</f>
        <v/>
      </c>
      <c r="V1526" s="26">
        <f>IF($G1526="","",ROUND($P1526+$U1526,0))</f>
        <v/>
      </c>
      <c r="W1526" s="26">
        <f>IF($G1526="","",IF(N($K1526)=0,0,ROUND($V1526/$K1526,2)))</f>
        <v/>
      </c>
      <c r="X1526" s="17" t="n"/>
      <c r="Y1526" s="17" t="n"/>
      <c r="Z1526" s="17" t="n"/>
      <c r="AA1526" s="17" t="n"/>
      <c r="AB1526" s="17" t="n"/>
      <c r="AC1526" s="24">
        <f>IF($G1526="","",IF($H1526="※编码不在物料档案里","※物料编码不在档案里",IF(N($K1526)&lt;=0,"※入库数量要大于 0",IF(AND($C1526&lt;&gt;"",$C1526&lt;=结账锁),"※日期早于已结账截止日，不能再录",IF(AND($L1526=0,$X1526="正常"),"※没填单价，价格状态请选「待补价」",IF(AND($S1526&gt;0,$R1526&gt;0),"△本批有 "&amp;$S1526&amp;" 行没单价，整批运费先挂账没摊",IF(AND($B1526&lt;&gt;"",COUNTIF($B$4:$B$2503,$B1526)&gt;1),"※入库单号重复","")))))))</f>
        <v/>
      </c>
    </row>
    <row r="1527">
      <c r="A1527" s="24">
        <f>IF($G1527="","",COUNTA($G$4:$G1527))</f>
        <v/>
      </c>
      <c r="B1527" s="17" t="n"/>
      <c r="C1527" s="30" t="n"/>
      <c r="D1527" s="17" t="n"/>
      <c r="E1527" s="17" t="n"/>
      <c r="F1527" s="17" t="n"/>
      <c r="G1527" s="17" t="n"/>
      <c r="H1527" s="24">
        <f>IF($G1527="","",IFERROR(VLOOKUP($G1527,物料档案!$A$4:$P$1203,3,0),"※编码不在物料档案里"))</f>
        <v/>
      </c>
      <c r="I1527" s="24">
        <f>IF($G1527="","",IFERROR(VLOOKUP($G1527,物料档案!$A$4:$P$1203,4,0),"※编码不在物料档案里"))</f>
        <v/>
      </c>
      <c r="J1527" s="24">
        <f>IF($G1527="","",IFERROR(VLOOKUP($G1527,物料档案!$A$4:$P$1203,5,0),"※编码不在物料档案里"))</f>
        <v/>
      </c>
      <c r="K1527" s="23" t="n"/>
      <c r="L1527" s="31" t="n"/>
      <c r="M1527" s="24">
        <f>IF($G1527="","",IF($D1527="A国内","CNY","TZS"))</f>
        <v/>
      </c>
      <c r="N1527" s="28">
        <f>IF($G1527="","",IF($D1527="A国内",汇率,1))</f>
        <v/>
      </c>
      <c r="O1527" s="25">
        <f>IF($G1527="","",ROUND(N($K1527)*N($L1527),2))</f>
        <v/>
      </c>
      <c r="P1527" s="26">
        <f>IF($G1527="","",ROUND($O1527*$N1527,0))</f>
        <v/>
      </c>
      <c r="Q1527" s="26">
        <f>IF($G1527="","",SUMIFS($P$4:$P$2503,$E$4:$E$2503,$E1527,$Z$4:$Z$2503,"正常"))</f>
        <v/>
      </c>
      <c r="R1527" s="26">
        <f>IF($G1527="","",SUMIFS(费用台账!$I$4:$I$503,费用台账!$C$4:$C$503,$E1527,费用台账!$J$4:$J$503,"是",费用台账!$K$4:$K$503,"正常"))</f>
        <v/>
      </c>
      <c r="S1527" s="28">
        <f>IF($G1527="","",COUNTIFS($E$4:$E$2503,$E1527,$Z$4:$Z$2503,"正常",$Y$4:$Y$2503,"待补价"))</f>
        <v/>
      </c>
      <c r="T1527" s="26">
        <f>IF($G1527="","",SUMIFS($P$4:$P$2503,$E$4:$E$2503,$E1527,$Z$4:$Z$2503,"正常",$A$4:$A$2503,"&lt;="&amp;$A1527))</f>
        <v/>
      </c>
      <c r="U1527" s="26">
        <f>IF($G1527="","",IF(OR($S1527&gt;0,$Q1527=0,$R1527=0,$Z1527&lt;&gt;"正常"),0,ROUND($T1527/$Q1527*$R1527,0)-ROUND(($T1527-$P1527)/$Q1527*$R1527,0)))</f>
        <v/>
      </c>
      <c r="V1527" s="26">
        <f>IF($G1527="","",ROUND($P1527+$U1527,0))</f>
        <v/>
      </c>
      <c r="W1527" s="26">
        <f>IF($G1527="","",IF(N($K1527)=0,0,ROUND($V1527/$K1527,2)))</f>
        <v/>
      </c>
      <c r="X1527" s="17" t="n"/>
      <c r="Y1527" s="17" t="n"/>
      <c r="Z1527" s="17" t="n"/>
      <c r="AA1527" s="17" t="n"/>
      <c r="AB1527" s="17" t="n"/>
      <c r="AC1527" s="24">
        <f>IF($G1527="","",IF($H1527="※编码不在物料档案里","※物料编码不在档案里",IF(N($K1527)&lt;=0,"※入库数量要大于 0",IF(AND($C1527&lt;&gt;"",$C1527&lt;=结账锁),"※日期早于已结账截止日，不能再录",IF(AND($L1527=0,$X1527="正常"),"※没填单价，价格状态请选「待补价」",IF(AND($S1527&gt;0,$R1527&gt;0),"△本批有 "&amp;$S1527&amp;" 行没单价，整批运费先挂账没摊",IF(AND($B1527&lt;&gt;"",COUNTIF($B$4:$B$2503,$B1527)&gt;1),"※入库单号重复","")))))))</f>
        <v/>
      </c>
    </row>
    <row r="1528">
      <c r="A1528" s="24">
        <f>IF($G1528="","",COUNTA($G$4:$G1528))</f>
        <v/>
      </c>
      <c r="B1528" s="17" t="n"/>
      <c r="C1528" s="30" t="n"/>
      <c r="D1528" s="17" t="n"/>
      <c r="E1528" s="17" t="n"/>
      <c r="F1528" s="17" t="n"/>
      <c r="G1528" s="17" t="n"/>
      <c r="H1528" s="24">
        <f>IF($G1528="","",IFERROR(VLOOKUP($G1528,物料档案!$A$4:$P$1203,3,0),"※编码不在物料档案里"))</f>
        <v/>
      </c>
      <c r="I1528" s="24">
        <f>IF($G1528="","",IFERROR(VLOOKUP($G1528,物料档案!$A$4:$P$1203,4,0),"※编码不在物料档案里"))</f>
        <v/>
      </c>
      <c r="J1528" s="24">
        <f>IF($G1528="","",IFERROR(VLOOKUP($G1528,物料档案!$A$4:$P$1203,5,0),"※编码不在物料档案里"))</f>
        <v/>
      </c>
      <c r="K1528" s="23" t="n"/>
      <c r="L1528" s="31" t="n"/>
      <c r="M1528" s="24">
        <f>IF($G1528="","",IF($D1528="A国内","CNY","TZS"))</f>
        <v/>
      </c>
      <c r="N1528" s="28">
        <f>IF($G1528="","",IF($D1528="A国内",汇率,1))</f>
        <v/>
      </c>
      <c r="O1528" s="25">
        <f>IF($G1528="","",ROUND(N($K1528)*N($L1528),2))</f>
        <v/>
      </c>
      <c r="P1528" s="26">
        <f>IF($G1528="","",ROUND($O1528*$N1528,0))</f>
        <v/>
      </c>
      <c r="Q1528" s="26">
        <f>IF($G1528="","",SUMIFS($P$4:$P$2503,$E$4:$E$2503,$E1528,$Z$4:$Z$2503,"正常"))</f>
        <v/>
      </c>
      <c r="R1528" s="26">
        <f>IF($G1528="","",SUMIFS(费用台账!$I$4:$I$503,费用台账!$C$4:$C$503,$E1528,费用台账!$J$4:$J$503,"是",费用台账!$K$4:$K$503,"正常"))</f>
        <v/>
      </c>
      <c r="S1528" s="28">
        <f>IF($G1528="","",COUNTIFS($E$4:$E$2503,$E1528,$Z$4:$Z$2503,"正常",$Y$4:$Y$2503,"待补价"))</f>
        <v/>
      </c>
      <c r="T1528" s="26">
        <f>IF($G1528="","",SUMIFS($P$4:$P$2503,$E$4:$E$2503,$E1528,$Z$4:$Z$2503,"正常",$A$4:$A$2503,"&lt;="&amp;$A1528))</f>
        <v/>
      </c>
      <c r="U1528" s="26">
        <f>IF($G1528="","",IF(OR($S1528&gt;0,$Q1528=0,$R1528=0,$Z1528&lt;&gt;"正常"),0,ROUND($T1528/$Q1528*$R1528,0)-ROUND(($T1528-$P1528)/$Q1528*$R1528,0)))</f>
        <v/>
      </c>
      <c r="V1528" s="26">
        <f>IF($G1528="","",ROUND($P1528+$U1528,0))</f>
        <v/>
      </c>
      <c r="W1528" s="26">
        <f>IF($G1528="","",IF(N($K1528)=0,0,ROUND($V1528/$K1528,2)))</f>
        <v/>
      </c>
      <c r="X1528" s="17" t="n"/>
      <c r="Y1528" s="17" t="n"/>
      <c r="Z1528" s="17" t="n"/>
      <c r="AA1528" s="17" t="n"/>
      <c r="AB1528" s="17" t="n"/>
      <c r="AC1528" s="24">
        <f>IF($G1528="","",IF($H1528="※编码不在物料档案里","※物料编码不在档案里",IF(N($K1528)&lt;=0,"※入库数量要大于 0",IF(AND($C1528&lt;&gt;"",$C1528&lt;=结账锁),"※日期早于已结账截止日，不能再录",IF(AND($L1528=0,$X1528="正常"),"※没填单价，价格状态请选「待补价」",IF(AND($S1528&gt;0,$R1528&gt;0),"△本批有 "&amp;$S1528&amp;" 行没单价，整批运费先挂账没摊",IF(AND($B1528&lt;&gt;"",COUNTIF($B$4:$B$2503,$B1528)&gt;1),"※入库单号重复","")))))))</f>
        <v/>
      </c>
    </row>
    <row r="1529">
      <c r="A1529" s="24">
        <f>IF($G1529="","",COUNTA($G$4:$G1529))</f>
        <v/>
      </c>
      <c r="B1529" s="17" t="n"/>
      <c r="C1529" s="30" t="n"/>
      <c r="D1529" s="17" t="n"/>
      <c r="E1529" s="17" t="n"/>
      <c r="F1529" s="17" t="n"/>
      <c r="G1529" s="17" t="n"/>
      <c r="H1529" s="24">
        <f>IF($G1529="","",IFERROR(VLOOKUP($G1529,物料档案!$A$4:$P$1203,3,0),"※编码不在物料档案里"))</f>
        <v/>
      </c>
      <c r="I1529" s="24">
        <f>IF($G1529="","",IFERROR(VLOOKUP($G1529,物料档案!$A$4:$P$1203,4,0),"※编码不在物料档案里"))</f>
        <v/>
      </c>
      <c r="J1529" s="24">
        <f>IF($G1529="","",IFERROR(VLOOKUP($G1529,物料档案!$A$4:$P$1203,5,0),"※编码不在物料档案里"))</f>
        <v/>
      </c>
      <c r="K1529" s="23" t="n"/>
      <c r="L1529" s="31" t="n"/>
      <c r="M1529" s="24">
        <f>IF($G1529="","",IF($D1529="A国内","CNY","TZS"))</f>
        <v/>
      </c>
      <c r="N1529" s="28">
        <f>IF($G1529="","",IF($D1529="A国内",汇率,1))</f>
        <v/>
      </c>
      <c r="O1529" s="25">
        <f>IF($G1529="","",ROUND(N($K1529)*N($L1529),2))</f>
        <v/>
      </c>
      <c r="P1529" s="26">
        <f>IF($G1529="","",ROUND($O1529*$N1529,0))</f>
        <v/>
      </c>
      <c r="Q1529" s="26">
        <f>IF($G1529="","",SUMIFS($P$4:$P$2503,$E$4:$E$2503,$E1529,$Z$4:$Z$2503,"正常"))</f>
        <v/>
      </c>
      <c r="R1529" s="26">
        <f>IF($G1529="","",SUMIFS(费用台账!$I$4:$I$503,费用台账!$C$4:$C$503,$E1529,费用台账!$J$4:$J$503,"是",费用台账!$K$4:$K$503,"正常"))</f>
        <v/>
      </c>
      <c r="S1529" s="28">
        <f>IF($G1529="","",COUNTIFS($E$4:$E$2503,$E1529,$Z$4:$Z$2503,"正常",$Y$4:$Y$2503,"待补价"))</f>
        <v/>
      </c>
      <c r="T1529" s="26">
        <f>IF($G1529="","",SUMIFS($P$4:$P$2503,$E$4:$E$2503,$E1529,$Z$4:$Z$2503,"正常",$A$4:$A$2503,"&lt;="&amp;$A1529))</f>
        <v/>
      </c>
      <c r="U1529" s="26">
        <f>IF($G1529="","",IF(OR($S1529&gt;0,$Q1529=0,$R1529=0,$Z1529&lt;&gt;"正常"),0,ROUND($T1529/$Q1529*$R1529,0)-ROUND(($T1529-$P1529)/$Q1529*$R1529,0)))</f>
        <v/>
      </c>
      <c r="V1529" s="26">
        <f>IF($G1529="","",ROUND($P1529+$U1529,0))</f>
        <v/>
      </c>
      <c r="W1529" s="26">
        <f>IF($G1529="","",IF(N($K1529)=0,0,ROUND($V1529/$K1529,2)))</f>
        <v/>
      </c>
      <c r="X1529" s="17" t="n"/>
      <c r="Y1529" s="17" t="n"/>
      <c r="Z1529" s="17" t="n"/>
      <c r="AA1529" s="17" t="n"/>
      <c r="AB1529" s="17" t="n"/>
      <c r="AC1529" s="24">
        <f>IF($G1529="","",IF($H1529="※编码不在物料档案里","※物料编码不在档案里",IF(N($K1529)&lt;=0,"※入库数量要大于 0",IF(AND($C1529&lt;&gt;"",$C1529&lt;=结账锁),"※日期早于已结账截止日，不能再录",IF(AND($L1529=0,$X1529="正常"),"※没填单价，价格状态请选「待补价」",IF(AND($S1529&gt;0,$R1529&gt;0),"△本批有 "&amp;$S1529&amp;" 行没单价，整批运费先挂账没摊",IF(AND($B1529&lt;&gt;"",COUNTIF($B$4:$B$2503,$B1529)&gt;1),"※入库单号重复","")))))))</f>
        <v/>
      </c>
    </row>
    <row r="1530">
      <c r="A1530" s="24">
        <f>IF($G1530="","",COUNTA($G$4:$G1530))</f>
        <v/>
      </c>
      <c r="B1530" s="17" t="n"/>
      <c r="C1530" s="30" t="n"/>
      <c r="D1530" s="17" t="n"/>
      <c r="E1530" s="17" t="n"/>
      <c r="F1530" s="17" t="n"/>
      <c r="G1530" s="17" t="n"/>
      <c r="H1530" s="24">
        <f>IF($G1530="","",IFERROR(VLOOKUP($G1530,物料档案!$A$4:$P$1203,3,0),"※编码不在物料档案里"))</f>
        <v/>
      </c>
      <c r="I1530" s="24">
        <f>IF($G1530="","",IFERROR(VLOOKUP($G1530,物料档案!$A$4:$P$1203,4,0),"※编码不在物料档案里"))</f>
        <v/>
      </c>
      <c r="J1530" s="24">
        <f>IF($G1530="","",IFERROR(VLOOKUP($G1530,物料档案!$A$4:$P$1203,5,0),"※编码不在物料档案里"))</f>
        <v/>
      </c>
      <c r="K1530" s="23" t="n"/>
      <c r="L1530" s="31" t="n"/>
      <c r="M1530" s="24">
        <f>IF($G1530="","",IF($D1530="A国内","CNY","TZS"))</f>
        <v/>
      </c>
      <c r="N1530" s="28">
        <f>IF($G1530="","",IF($D1530="A国内",汇率,1))</f>
        <v/>
      </c>
      <c r="O1530" s="25">
        <f>IF($G1530="","",ROUND(N($K1530)*N($L1530),2))</f>
        <v/>
      </c>
      <c r="P1530" s="26">
        <f>IF($G1530="","",ROUND($O1530*$N1530,0))</f>
        <v/>
      </c>
      <c r="Q1530" s="26">
        <f>IF($G1530="","",SUMIFS($P$4:$P$2503,$E$4:$E$2503,$E1530,$Z$4:$Z$2503,"正常"))</f>
        <v/>
      </c>
      <c r="R1530" s="26">
        <f>IF($G1530="","",SUMIFS(费用台账!$I$4:$I$503,费用台账!$C$4:$C$503,$E1530,费用台账!$J$4:$J$503,"是",费用台账!$K$4:$K$503,"正常"))</f>
        <v/>
      </c>
      <c r="S1530" s="28">
        <f>IF($G1530="","",COUNTIFS($E$4:$E$2503,$E1530,$Z$4:$Z$2503,"正常",$Y$4:$Y$2503,"待补价"))</f>
        <v/>
      </c>
      <c r="T1530" s="26">
        <f>IF($G1530="","",SUMIFS($P$4:$P$2503,$E$4:$E$2503,$E1530,$Z$4:$Z$2503,"正常",$A$4:$A$2503,"&lt;="&amp;$A1530))</f>
        <v/>
      </c>
      <c r="U1530" s="26">
        <f>IF($G1530="","",IF(OR($S1530&gt;0,$Q1530=0,$R1530=0,$Z1530&lt;&gt;"正常"),0,ROUND($T1530/$Q1530*$R1530,0)-ROUND(($T1530-$P1530)/$Q1530*$R1530,0)))</f>
        <v/>
      </c>
      <c r="V1530" s="26">
        <f>IF($G1530="","",ROUND($P1530+$U1530,0))</f>
        <v/>
      </c>
      <c r="W1530" s="26">
        <f>IF($G1530="","",IF(N($K1530)=0,0,ROUND($V1530/$K1530,2)))</f>
        <v/>
      </c>
      <c r="X1530" s="17" t="n"/>
      <c r="Y1530" s="17" t="n"/>
      <c r="Z1530" s="17" t="n"/>
      <c r="AA1530" s="17" t="n"/>
      <c r="AB1530" s="17" t="n"/>
      <c r="AC1530" s="24">
        <f>IF($G1530="","",IF($H1530="※编码不在物料档案里","※物料编码不在档案里",IF(N($K1530)&lt;=0,"※入库数量要大于 0",IF(AND($C1530&lt;&gt;"",$C1530&lt;=结账锁),"※日期早于已结账截止日，不能再录",IF(AND($L1530=0,$X1530="正常"),"※没填单价，价格状态请选「待补价」",IF(AND($S1530&gt;0,$R1530&gt;0),"△本批有 "&amp;$S1530&amp;" 行没单价，整批运费先挂账没摊",IF(AND($B1530&lt;&gt;"",COUNTIF($B$4:$B$2503,$B1530)&gt;1),"※入库单号重复","")))))))</f>
        <v/>
      </c>
    </row>
    <row r="1531">
      <c r="A1531" s="24">
        <f>IF($G1531="","",COUNTA($G$4:$G1531))</f>
        <v/>
      </c>
      <c r="B1531" s="17" t="n"/>
      <c r="C1531" s="30" t="n"/>
      <c r="D1531" s="17" t="n"/>
      <c r="E1531" s="17" t="n"/>
      <c r="F1531" s="17" t="n"/>
      <c r="G1531" s="17" t="n"/>
      <c r="H1531" s="24">
        <f>IF($G1531="","",IFERROR(VLOOKUP($G1531,物料档案!$A$4:$P$1203,3,0),"※编码不在物料档案里"))</f>
        <v/>
      </c>
      <c r="I1531" s="24">
        <f>IF($G1531="","",IFERROR(VLOOKUP($G1531,物料档案!$A$4:$P$1203,4,0),"※编码不在物料档案里"))</f>
        <v/>
      </c>
      <c r="J1531" s="24">
        <f>IF($G1531="","",IFERROR(VLOOKUP($G1531,物料档案!$A$4:$P$1203,5,0),"※编码不在物料档案里"))</f>
        <v/>
      </c>
      <c r="K1531" s="23" t="n"/>
      <c r="L1531" s="31" t="n"/>
      <c r="M1531" s="24">
        <f>IF($G1531="","",IF($D1531="A国内","CNY","TZS"))</f>
        <v/>
      </c>
      <c r="N1531" s="28">
        <f>IF($G1531="","",IF($D1531="A国内",汇率,1))</f>
        <v/>
      </c>
      <c r="O1531" s="25">
        <f>IF($G1531="","",ROUND(N($K1531)*N($L1531),2))</f>
        <v/>
      </c>
      <c r="P1531" s="26">
        <f>IF($G1531="","",ROUND($O1531*$N1531,0))</f>
        <v/>
      </c>
      <c r="Q1531" s="26">
        <f>IF($G1531="","",SUMIFS($P$4:$P$2503,$E$4:$E$2503,$E1531,$Z$4:$Z$2503,"正常"))</f>
        <v/>
      </c>
      <c r="R1531" s="26">
        <f>IF($G1531="","",SUMIFS(费用台账!$I$4:$I$503,费用台账!$C$4:$C$503,$E1531,费用台账!$J$4:$J$503,"是",费用台账!$K$4:$K$503,"正常"))</f>
        <v/>
      </c>
      <c r="S1531" s="28">
        <f>IF($G1531="","",COUNTIFS($E$4:$E$2503,$E1531,$Z$4:$Z$2503,"正常",$Y$4:$Y$2503,"待补价"))</f>
        <v/>
      </c>
      <c r="T1531" s="26">
        <f>IF($G1531="","",SUMIFS($P$4:$P$2503,$E$4:$E$2503,$E1531,$Z$4:$Z$2503,"正常",$A$4:$A$2503,"&lt;="&amp;$A1531))</f>
        <v/>
      </c>
      <c r="U1531" s="26">
        <f>IF($G1531="","",IF(OR($S1531&gt;0,$Q1531=0,$R1531=0,$Z1531&lt;&gt;"正常"),0,ROUND($T1531/$Q1531*$R1531,0)-ROUND(($T1531-$P1531)/$Q1531*$R1531,0)))</f>
        <v/>
      </c>
      <c r="V1531" s="26">
        <f>IF($G1531="","",ROUND($P1531+$U1531,0))</f>
        <v/>
      </c>
      <c r="W1531" s="26">
        <f>IF($G1531="","",IF(N($K1531)=0,0,ROUND($V1531/$K1531,2)))</f>
        <v/>
      </c>
      <c r="X1531" s="17" t="n"/>
      <c r="Y1531" s="17" t="n"/>
      <c r="Z1531" s="17" t="n"/>
      <c r="AA1531" s="17" t="n"/>
      <c r="AB1531" s="17" t="n"/>
      <c r="AC1531" s="24">
        <f>IF($G1531="","",IF($H1531="※编码不在物料档案里","※物料编码不在档案里",IF(N($K1531)&lt;=0,"※入库数量要大于 0",IF(AND($C1531&lt;&gt;"",$C1531&lt;=结账锁),"※日期早于已结账截止日，不能再录",IF(AND($L1531=0,$X1531="正常"),"※没填单价，价格状态请选「待补价」",IF(AND($S1531&gt;0,$R1531&gt;0),"△本批有 "&amp;$S1531&amp;" 行没单价，整批运费先挂账没摊",IF(AND($B1531&lt;&gt;"",COUNTIF($B$4:$B$2503,$B1531)&gt;1),"※入库单号重复","")))))))</f>
        <v/>
      </c>
    </row>
    <row r="1532">
      <c r="A1532" s="24">
        <f>IF($G1532="","",COUNTA($G$4:$G1532))</f>
        <v/>
      </c>
      <c r="B1532" s="17" t="n"/>
      <c r="C1532" s="30" t="n"/>
      <c r="D1532" s="17" t="n"/>
      <c r="E1532" s="17" t="n"/>
      <c r="F1532" s="17" t="n"/>
      <c r="G1532" s="17" t="n"/>
      <c r="H1532" s="24">
        <f>IF($G1532="","",IFERROR(VLOOKUP($G1532,物料档案!$A$4:$P$1203,3,0),"※编码不在物料档案里"))</f>
        <v/>
      </c>
      <c r="I1532" s="24">
        <f>IF($G1532="","",IFERROR(VLOOKUP($G1532,物料档案!$A$4:$P$1203,4,0),"※编码不在物料档案里"))</f>
        <v/>
      </c>
      <c r="J1532" s="24">
        <f>IF($G1532="","",IFERROR(VLOOKUP($G1532,物料档案!$A$4:$P$1203,5,0),"※编码不在物料档案里"))</f>
        <v/>
      </c>
      <c r="K1532" s="23" t="n"/>
      <c r="L1532" s="31" t="n"/>
      <c r="M1532" s="24">
        <f>IF($G1532="","",IF($D1532="A国内","CNY","TZS"))</f>
        <v/>
      </c>
      <c r="N1532" s="28">
        <f>IF($G1532="","",IF($D1532="A国内",汇率,1))</f>
        <v/>
      </c>
      <c r="O1532" s="25">
        <f>IF($G1532="","",ROUND(N($K1532)*N($L1532),2))</f>
        <v/>
      </c>
      <c r="P1532" s="26">
        <f>IF($G1532="","",ROUND($O1532*$N1532,0))</f>
        <v/>
      </c>
      <c r="Q1532" s="26">
        <f>IF($G1532="","",SUMIFS($P$4:$P$2503,$E$4:$E$2503,$E1532,$Z$4:$Z$2503,"正常"))</f>
        <v/>
      </c>
      <c r="R1532" s="26">
        <f>IF($G1532="","",SUMIFS(费用台账!$I$4:$I$503,费用台账!$C$4:$C$503,$E1532,费用台账!$J$4:$J$503,"是",费用台账!$K$4:$K$503,"正常"))</f>
        <v/>
      </c>
      <c r="S1532" s="28">
        <f>IF($G1532="","",COUNTIFS($E$4:$E$2503,$E1532,$Z$4:$Z$2503,"正常",$Y$4:$Y$2503,"待补价"))</f>
        <v/>
      </c>
      <c r="T1532" s="26">
        <f>IF($G1532="","",SUMIFS($P$4:$P$2503,$E$4:$E$2503,$E1532,$Z$4:$Z$2503,"正常",$A$4:$A$2503,"&lt;="&amp;$A1532))</f>
        <v/>
      </c>
      <c r="U1532" s="26">
        <f>IF($G1532="","",IF(OR($S1532&gt;0,$Q1532=0,$R1532=0,$Z1532&lt;&gt;"正常"),0,ROUND($T1532/$Q1532*$R1532,0)-ROUND(($T1532-$P1532)/$Q1532*$R1532,0)))</f>
        <v/>
      </c>
      <c r="V1532" s="26">
        <f>IF($G1532="","",ROUND($P1532+$U1532,0))</f>
        <v/>
      </c>
      <c r="W1532" s="26">
        <f>IF($G1532="","",IF(N($K1532)=0,0,ROUND($V1532/$K1532,2)))</f>
        <v/>
      </c>
      <c r="X1532" s="17" t="n"/>
      <c r="Y1532" s="17" t="n"/>
      <c r="Z1532" s="17" t="n"/>
      <c r="AA1532" s="17" t="n"/>
      <c r="AB1532" s="17" t="n"/>
      <c r="AC1532" s="24">
        <f>IF($G1532="","",IF($H1532="※编码不在物料档案里","※物料编码不在档案里",IF(N($K1532)&lt;=0,"※入库数量要大于 0",IF(AND($C1532&lt;&gt;"",$C1532&lt;=结账锁),"※日期早于已结账截止日，不能再录",IF(AND($L1532=0,$X1532="正常"),"※没填单价，价格状态请选「待补价」",IF(AND($S1532&gt;0,$R1532&gt;0),"△本批有 "&amp;$S1532&amp;" 行没单价，整批运费先挂账没摊",IF(AND($B1532&lt;&gt;"",COUNTIF($B$4:$B$2503,$B1532)&gt;1),"※入库单号重复","")))))))</f>
        <v/>
      </c>
    </row>
    <row r="1533">
      <c r="A1533" s="24">
        <f>IF($G1533="","",COUNTA($G$4:$G1533))</f>
        <v/>
      </c>
      <c r="B1533" s="17" t="n"/>
      <c r="C1533" s="30" t="n"/>
      <c r="D1533" s="17" t="n"/>
      <c r="E1533" s="17" t="n"/>
      <c r="F1533" s="17" t="n"/>
      <c r="G1533" s="17" t="n"/>
      <c r="H1533" s="24">
        <f>IF($G1533="","",IFERROR(VLOOKUP($G1533,物料档案!$A$4:$P$1203,3,0),"※编码不在物料档案里"))</f>
        <v/>
      </c>
      <c r="I1533" s="24">
        <f>IF($G1533="","",IFERROR(VLOOKUP($G1533,物料档案!$A$4:$P$1203,4,0),"※编码不在物料档案里"))</f>
        <v/>
      </c>
      <c r="J1533" s="24">
        <f>IF($G1533="","",IFERROR(VLOOKUP($G1533,物料档案!$A$4:$P$1203,5,0),"※编码不在物料档案里"))</f>
        <v/>
      </c>
      <c r="K1533" s="23" t="n"/>
      <c r="L1533" s="31" t="n"/>
      <c r="M1533" s="24">
        <f>IF($G1533="","",IF($D1533="A国内","CNY","TZS"))</f>
        <v/>
      </c>
      <c r="N1533" s="28">
        <f>IF($G1533="","",IF($D1533="A国内",汇率,1))</f>
        <v/>
      </c>
      <c r="O1533" s="25">
        <f>IF($G1533="","",ROUND(N($K1533)*N($L1533),2))</f>
        <v/>
      </c>
      <c r="P1533" s="26">
        <f>IF($G1533="","",ROUND($O1533*$N1533,0))</f>
        <v/>
      </c>
      <c r="Q1533" s="26">
        <f>IF($G1533="","",SUMIFS($P$4:$P$2503,$E$4:$E$2503,$E1533,$Z$4:$Z$2503,"正常"))</f>
        <v/>
      </c>
      <c r="R1533" s="26">
        <f>IF($G1533="","",SUMIFS(费用台账!$I$4:$I$503,费用台账!$C$4:$C$503,$E1533,费用台账!$J$4:$J$503,"是",费用台账!$K$4:$K$503,"正常"))</f>
        <v/>
      </c>
      <c r="S1533" s="28">
        <f>IF($G1533="","",COUNTIFS($E$4:$E$2503,$E1533,$Z$4:$Z$2503,"正常",$Y$4:$Y$2503,"待补价"))</f>
        <v/>
      </c>
      <c r="T1533" s="26">
        <f>IF($G1533="","",SUMIFS($P$4:$P$2503,$E$4:$E$2503,$E1533,$Z$4:$Z$2503,"正常",$A$4:$A$2503,"&lt;="&amp;$A1533))</f>
        <v/>
      </c>
      <c r="U1533" s="26">
        <f>IF($G1533="","",IF(OR($S1533&gt;0,$Q1533=0,$R1533=0,$Z1533&lt;&gt;"正常"),0,ROUND($T1533/$Q1533*$R1533,0)-ROUND(($T1533-$P1533)/$Q1533*$R1533,0)))</f>
        <v/>
      </c>
      <c r="V1533" s="26">
        <f>IF($G1533="","",ROUND($P1533+$U1533,0))</f>
        <v/>
      </c>
      <c r="W1533" s="26">
        <f>IF($G1533="","",IF(N($K1533)=0,0,ROUND($V1533/$K1533,2)))</f>
        <v/>
      </c>
      <c r="X1533" s="17" t="n"/>
      <c r="Y1533" s="17" t="n"/>
      <c r="Z1533" s="17" t="n"/>
      <c r="AA1533" s="17" t="n"/>
      <c r="AB1533" s="17" t="n"/>
      <c r="AC1533" s="24">
        <f>IF($G1533="","",IF($H1533="※编码不在物料档案里","※物料编码不在档案里",IF(N($K1533)&lt;=0,"※入库数量要大于 0",IF(AND($C1533&lt;&gt;"",$C1533&lt;=结账锁),"※日期早于已结账截止日，不能再录",IF(AND($L1533=0,$X1533="正常"),"※没填单价，价格状态请选「待补价」",IF(AND($S1533&gt;0,$R1533&gt;0),"△本批有 "&amp;$S1533&amp;" 行没单价，整批运费先挂账没摊",IF(AND($B1533&lt;&gt;"",COUNTIF($B$4:$B$2503,$B1533)&gt;1),"※入库单号重复","")))))))</f>
        <v/>
      </c>
    </row>
    <row r="1534">
      <c r="A1534" s="24">
        <f>IF($G1534="","",COUNTA($G$4:$G1534))</f>
        <v/>
      </c>
      <c r="B1534" s="17" t="n"/>
      <c r="C1534" s="30" t="n"/>
      <c r="D1534" s="17" t="n"/>
      <c r="E1534" s="17" t="n"/>
      <c r="F1534" s="17" t="n"/>
      <c r="G1534" s="17" t="n"/>
      <c r="H1534" s="24">
        <f>IF($G1534="","",IFERROR(VLOOKUP($G1534,物料档案!$A$4:$P$1203,3,0),"※编码不在物料档案里"))</f>
        <v/>
      </c>
      <c r="I1534" s="24">
        <f>IF($G1534="","",IFERROR(VLOOKUP($G1534,物料档案!$A$4:$P$1203,4,0),"※编码不在物料档案里"))</f>
        <v/>
      </c>
      <c r="J1534" s="24">
        <f>IF($G1534="","",IFERROR(VLOOKUP($G1534,物料档案!$A$4:$P$1203,5,0),"※编码不在物料档案里"))</f>
        <v/>
      </c>
      <c r="K1534" s="23" t="n"/>
      <c r="L1534" s="31" t="n"/>
      <c r="M1534" s="24">
        <f>IF($G1534="","",IF($D1534="A国内","CNY","TZS"))</f>
        <v/>
      </c>
      <c r="N1534" s="28">
        <f>IF($G1534="","",IF($D1534="A国内",汇率,1))</f>
        <v/>
      </c>
      <c r="O1534" s="25">
        <f>IF($G1534="","",ROUND(N($K1534)*N($L1534),2))</f>
        <v/>
      </c>
      <c r="P1534" s="26">
        <f>IF($G1534="","",ROUND($O1534*$N1534,0))</f>
        <v/>
      </c>
      <c r="Q1534" s="26">
        <f>IF($G1534="","",SUMIFS($P$4:$P$2503,$E$4:$E$2503,$E1534,$Z$4:$Z$2503,"正常"))</f>
        <v/>
      </c>
      <c r="R1534" s="26">
        <f>IF($G1534="","",SUMIFS(费用台账!$I$4:$I$503,费用台账!$C$4:$C$503,$E1534,费用台账!$J$4:$J$503,"是",费用台账!$K$4:$K$503,"正常"))</f>
        <v/>
      </c>
      <c r="S1534" s="28">
        <f>IF($G1534="","",COUNTIFS($E$4:$E$2503,$E1534,$Z$4:$Z$2503,"正常",$Y$4:$Y$2503,"待补价"))</f>
        <v/>
      </c>
      <c r="T1534" s="26">
        <f>IF($G1534="","",SUMIFS($P$4:$P$2503,$E$4:$E$2503,$E1534,$Z$4:$Z$2503,"正常",$A$4:$A$2503,"&lt;="&amp;$A1534))</f>
        <v/>
      </c>
      <c r="U1534" s="26">
        <f>IF($G1534="","",IF(OR($S1534&gt;0,$Q1534=0,$R1534=0,$Z1534&lt;&gt;"正常"),0,ROUND($T1534/$Q1534*$R1534,0)-ROUND(($T1534-$P1534)/$Q1534*$R1534,0)))</f>
        <v/>
      </c>
      <c r="V1534" s="26">
        <f>IF($G1534="","",ROUND($P1534+$U1534,0))</f>
        <v/>
      </c>
      <c r="W1534" s="26">
        <f>IF($G1534="","",IF(N($K1534)=0,0,ROUND($V1534/$K1534,2)))</f>
        <v/>
      </c>
      <c r="X1534" s="17" t="n"/>
      <c r="Y1534" s="17" t="n"/>
      <c r="Z1534" s="17" t="n"/>
      <c r="AA1534" s="17" t="n"/>
      <c r="AB1534" s="17" t="n"/>
      <c r="AC1534" s="24">
        <f>IF($G1534="","",IF($H1534="※编码不在物料档案里","※物料编码不在档案里",IF(N($K1534)&lt;=0,"※入库数量要大于 0",IF(AND($C1534&lt;&gt;"",$C1534&lt;=结账锁),"※日期早于已结账截止日，不能再录",IF(AND($L1534=0,$X1534="正常"),"※没填单价，价格状态请选「待补价」",IF(AND($S1534&gt;0,$R1534&gt;0),"△本批有 "&amp;$S1534&amp;" 行没单价，整批运费先挂账没摊",IF(AND($B1534&lt;&gt;"",COUNTIF($B$4:$B$2503,$B1534)&gt;1),"※入库单号重复","")))))))</f>
        <v/>
      </c>
    </row>
    <row r="1535">
      <c r="A1535" s="24">
        <f>IF($G1535="","",COUNTA($G$4:$G1535))</f>
        <v/>
      </c>
      <c r="B1535" s="17" t="n"/>
      <c r="C1535" s="30" t="n"/>
      <c r="D1535" s="17" t="n"/>
      <c r="E1535" s="17" t="n"/>
      <c r="F1535" s="17" t="n"/>
      <c r="G1535" s="17" t="n"/>
      <c r="H1535" s="24">
        <f>IF($G1535="","",IFERROR(VLOOKUP($G1535,物料档案!$A$4:$P$1203,3,0),"※编码不在物料档案里"))</f>
        <v/>
      </c>
      <c r="I1535" s="24">
        <f>IF($G1535="","",IFERROR(VLOOKUP($G1535,物料档案!$A$4:$P$1203,4,0),"※编码不在物料档案里"))</f>
        <v/>
      </c>
      <c r="J1535" s="24">
        <f>IF($G1535="","",IFERROR(VLOOKUP($G1535,物料档案!$A$4:$P$1203,5,0),"※编码不在物料档案里"))</f>
        <v/>
      </c>
      <c r="K1535" s="23" t="n"/>
      <c r="L1535" s="31" t="n"/>
      <c r="M1535" s="24">
        <f>IF($G1535="","",IF($D1535="A国内","CNY","TZS"))</f>
        <v/>
      </c>
      <c r="N1535" s="28">
        <f>IF($G1535="","",IF($D1535="A国内",汇率,1))</f>
        <v/>
      </c>
      <c r="O1535" s="25">
        <f>IF($G1535="","",ROUND(N($K1535)*N($L1535),2))</f>
        <v/>
      </c>
      <c r="P1535" s="26">
        <f>IF($G1535="","",ROUND($O1535*$N1535,0))</f>
        <v/>
      </c>
      <c r="Q1535" s="26">
        <f>IF($G1535="","",SUMIFS($P$4:$P$2503,$E$4:$E$2503,$E1535,$Z$4:$Z$2503,"正常"))</f>
        <v/>
      </c>
      <c r="R1535" s="26">
        <f>IF($G1535="","",SUMIFS(费用台账!$I$4:$I$503,费用台账!$C$4:$C$503,$E1535,费用台账!$J$4:$J$503,"是",费用台账!$K$4:$K$503,"正常"))</f>
        <v/>
      </c>
      <c r="S1535" s="28">
        <f>IF($G1535="","",COUNTIFS($E$4:$E$2503,$E1535,$Z$4:$Z$2503,"正常",$Y$4:$Y$2503,"待补价"))</f>
        <v/>
      </c>
      <c r="T1535" s="26">
        <f>IF($G1535="","",SUMIFS($P$4:$P$2503,$E$4:$E$2503,$E1535,$Z$4:$Z$2503,"正常",$A$4:$A$2503,"&lt;="&amp;$A1535))</f>
        <v/>
      </c>
      <c r="U1535" s="26">
        <f>IF($G1535="","",IF(OR($S1535&gt;0,$Q1535=0,$R1535=0,$Z1535&lt;&gt;"正常"),0,ROUND($T1535/$Q1535*$R1535,0)-ROUND(($T1535-$P1535)/$Q1535*$R1535,0)))</f>
        <v/>
      </c>
      <c r="V1535" s="26">
        <f>IF($G1535="","",ROUND($P1535+$U1535,0))</f>
        <v/>
      </c>
      <c r="W1535" s="26">
        <f>IF($G1535="","",IF(N($K1535)=0,0,ROUND($V1535/$K1535,2)))</f>
        <v/>
      </c>
      <c r="X1535" s="17" t="n"/>
      <c r="Y1535" s="17" t="n"/>
      <c r="Z1535" s="17" t="n"/>
      <c r="AA1535" s="17" t="n"/>
      <c r="AB1535" s="17" t="n"/>
      <c r="AC1535" s="24">
        <f>IF($G1535="","",IF($H1535="※编码不在物料档案里","※物料编码不在档案里",IF(N($K1535)&lt;=0,"※入库数量要大于 0",IF(AND($C1535&lt;&gt;"",$C1535&lt;=结账锁),"※日期早于已结账截止日，不能再录",IF(AND($L1535=0,$X1535="正常"),"※没填单价，价格状态请选「待补价」",IF(AND($S1535&gt;0,$R1535&gt;0),"△本批有 "&amp;$S1535&amp;" 行没单价，整批运费先挂账没摊",IF(AND($B1535&lt;&gt;"",COUNTIF($B$4:$B$2503,$B1535)&gt;1),"※入库单号重复","")))))))</f>
        <v/>
      </c>
    </row>
    <row r="1536">
      <c r="A1536" s="24">
        <f>IF($G1536="","",COUNTA($G$4:$G1536))</f>
        <v/>
      </c>
      <c r="B1536" s="17" t="n"/>
      <c r="C1536" s="30" t="n"/>
      <c r="D1536" s="17" t="n"/>
      <c r="E1536" s="17" t="n"/>
      <c r="F1536" s="17" t="n"/>
      <c r="G1536" s="17" t="n"/>
      <c r="H1536" s="24">
        <f>IF($G1536="","",IFERROR(VLOOKUP($G1536,物料档案!$A$4:$P$1203,3,0),"※编码不在物料档案里"))</f>
        <v/>
      </c>
      <c r="I1536" s="24">
        <f>IF($G1536="","",IFERROR(VLOOKUP($G1536,物料档案!$A$4:$P$1203,4,0),"※编码不在物料档案里"))</f>
        <v/>
      </c>
      <c r="J1536" s="24">
        <f>IF($G1536="","",IFERROR(VLOOKUP($G1536,物料档案!$A$4:$P$1203,5,0),"※编码不在物料档案里"))</f>
        <v/>
      </c>
      <c r="K1536" s="23" t="n"/>
      <c r="L1536" s="31" t="n"/>
      <c r="M1536" s="24">
        <f>IF($G1536="","",IF($D1536="A国内","CNY","TZS"))</f>
        <v/>
      </c>
      <c r="N1536" s="28">
        <f>IF($G1536="","",IF($D1536="A国内",汇率,1))</f>
        <v/>
      </c>
      <c r="O1536" s="25">
        <f>IF($G1536="","",ROUND(N($K1536)*N($L1536),2))</f>
        <v/>
      </c>
      <c r="P1536" s="26">
        <f>IF($G1536="","",ROUND($O1536*$N1536,0))</f>
        <v/>
      </c>
      <c r="Q1536" s="26">
        <f>IF($G1536="","",SUMIFS($P$4:$P$2503,$E$4:$E$2503,$E1536,$Z$4:$Z$2503,"正常"))</f>
        <v/>
      </c>
      <c r="R1536" s="26">
        <f>IF($G1536="","",SUMIFS(费用台账!$I$4:$I$503,费用台账!$C$4:$C$503,$E1536,费用台账!$J$4:$J$503,"是",费用台账!$K$4:$K$503,"正常"))</f>
        <v/>
      </c>
      <c r="S1536" s="28">
        <f>IF($G1536="","",COUNTIFS($E$4:$E$2503,$E1536,$Z$4:$Z$2503,"正常",$Y$4:$Y$2503,"待补价"))</f>
        <v/>
      </c>
      <c r="T1536" s="26">
        <f>IF($G1536="","",SUMIFS($P$4:$P$2503,$E$4:$E$2503,$E1536,$Z$4:$Z$2503,"正常",$A$4:$A$2503,"&lt;="&amp;$A1536))</f>
        <v/>
      </c>
      <c r="U1536" s="26">
        <f>IF($G1536="","",IF(OR($S1536&gt;0,$Q1536=0,$R1536=0,$Z1536&lt;&gt;"正常"),0,ROUND($T1536/$Q1536*$R1536,0)-ROUND(($T1536-$P1536)/$Q1536*$R1536,0)))</f>
        <v/>
      </c>
      <c r="V1536" s="26">
        <f>IF($G1536="","",ROUND($P1536+$U1536,0))</f>
        <v/>
      </c>
      <c r="W1536" s="26">
        <f>IF($G1536="","",IF(N($K1536)=0,0,ROUND($V1536/$K1536,2)))</f>
        <v/>
      </c>
      <c r="X1536" s="17" t="n"/>
      <c r="Y1536" s="17" t="n"/>
      <c r="Z1536" s="17" t="n"/>
      <c r="AA1536" s="17" t="n"/>
      <c r="AB1536" s="17" t="n"/>
      <c r="AC1536" s="24">
        <f>IF($G1536="","",IF($H1536="※编码不在物料档案里","※物料编码不在档案里",IF(N($K1536)&lt;=0,"※入库数量要大于 0",IF(AND($C1536&lt;&gt;"",$C1536&lt;=结账锁),"※日期早于已结账截止日，不能再录",IF(AND($L1536=0,$X1536="正常"),"※没填单价，价格状态请选「待补价」",IF(AND($S1536&gt;0,$R1536&gt;0),"△本批有 "&amp;$S1536&amp;" 行没单价，整批运费先挂账没摊",IF(AND($B1536&lt;&gt;"",COUNTIF($B$4:$B$2503,$B1536)&gt;1),"※入库单号重复","")))))))</f>
        <v/>
      </c>
    </row>
    <row r="1537">
      <c r="A1537" s="24">
        <f>IF($G1537="","",COUNTA($G$4:$G1537))</f>
        <v/>
      </c>
      <c r="B1537" s="17" t="n"/>
      <c r="C1537" s="30" t="n"/>
      <c r="D1537" s="17" t="n"/>
      <c r="E1537" s="17" t="n"/>
      <c r="F1537" s="17" t="n"/>
      <c r="G1537" s="17" t="n"/>
      <c r="H1537" s="24">
        <f>IF($G1537="","",IFERROR(VLOOKUP($G1537,物料档案!$A$4:$P$1203,3,0),"※编码不在物料档案里"))</f>
        <v/>
      </c>
      <c r="I1537" s="24">
        <f>IF($G1537="","",IFERROR(VLOOKUP($G1537,物料档案!$A$4:$P$1203,4,0),"※编码不在物料档案里"))</f>
        <v/>
      </c>
      <c r="J1537" s="24">
        <f>IF($G1537="","",IFERROR(VLOOKUP($G1537,物料档案!$A$4:$P$1203,5,0),"※编码不在物料档案里"))</f>
        <v/>
      </c>
      <c r="K1537" s="23" t="n"/>
      <c r="L1537" s="31" t="n"/>
      <c r="M1537" s="24">
        <f>IF($G1537="","",IF($D1537="A国内","CNY","TZS"))</f>
        <v/>
      </c>
      <c r="N1537" s="28">
        <f>IF($G1537="","",IF($D1537="A国内",汇率,1))</f>
        <v/>
      </c>
      <c r="O1537" s="25">
        <f>IF($G1537="","",ROUND(N($K1537)*N($L1537),2))</f>
        <v/>
      </c>
      <c r="P1537" s="26">
        <f>IF($G1537="","",ROUND($O1537*$N1537,0))</f>
        <v/>
      </c>
      <c r="Q1537" s="26">
        <f>IF($G1537="","",SUMIFS($P$4:$P$2503,$E$4:$E$2503,$E1537,$Z$4:$Z$2503,"正常"))</f>
        <v/>
      </c>
      <c r="R1537" s="26">
        <f>IF($G1537="","",SUMIFS(费用台账!$I$4:$I$503,费用台账!$C$4:$C$503,$E1537,费用台账!$J$4:$J$503,"是",费用台账!$K$4:$K$503,"正常"))</f>
        <v/>
      </c>
      <c r="S1537" s="28">
        <f>IF($G1537="","",COUNTIFS($E$4:$E$2503,$E1537,$Z$4:$Z$2503,"正常",$Y$4:$Y$2503,"待补价"))</f>
        <v/>
      </c>
      <c r="T1537" s="26">
        <f>IF($G1537="","",SUMIFS($P$4:$P$2503,$E$4:$E$2503,$E1537,$Z$4:$Z$2503,"正常",$A$4:$A$2503,"&lt;="&amp;$A1537))</f>
        <v/>
      </c>
      <c r="U1537" s="26">
        <f>IF($G1537="","",IF(OR($S1537&gt;0,$Q1537=0,$R1537=0,$Z1537&lt;&gt;"正常"),0,ROUND($T1537/$Q1537*$R1537,0)-ROUND(($T1537-$P1537)/$Q1537*$R1537,0)))</f>
        <v/>
      </c>
      <c r="V1537" s="26">
        <f>IF($G1537="","",ROUND($P1537+$U1537,0))</f>
        <v/>
      </c>
      <c r="W1537" s="26">
        <f>IF($G1537="","",IF(N($K1537)=0,0,ROUND($V1537/$K1537,2)))</f>
        <v/>
      </c>
      <c r="X1537" s="17" t="n"/>
      <c r="Y1537" s="17" t="n"/>
      <c r="Z1537" s="17" t="n"/>
      <c r="AA1537" s="17" t="n"/>
      <c r="AB1537" s="17" t="n"/>
      <c r="AC1537" s="24">
        <f>IF($G1537="","",IF($H1537="※编码不在物料档案里","※物料编码不在档案里",IF(N($K1537)&lt;=0,"※入库数量要大于 0",IF(AND($C1537&lt;&gt;"",$C1537&lt;=结账锁),"※日期早于已结账截止日，不能再录",IF(AND($L1537=0,$X1537="正常"),"※没填单价，价格状态请选「待补价」",IF(AND($S1537&gt;0,$R1537&gt;0),"△本批有 "&amp;$S1537&amp;" 行没单价，整批运费先挂账没摊",IF(AND($B1537&lt;&gt;"",COUNTIF($B$4:$B$2503,$B1537)&gt;1),"※入库单号重复","")))))))</f>
        <v/>
      </c>
    </row>
    <row r="1538">
      <c r="A1538" s="24">
        <f>IF($G1538="","",COUNTA($G$4:$G1538))</f>
        <v/>
      </c>
      <c r="B1538" s="17" t="n"/>
      <c r="C1538" s="30" t="n"/>
      <c r="D1538" s="17" t="n"/>
      <c r="E1538" s="17" t="n"/>
      <c r="F1538" s="17" t="n"/>
      <c r="G1538" s="17" t="n"/>
      <c r="H1538" s="24">
        <f>IF($G1538="","",IFERROR(VLOOKUP($G1538,物料档案!$A$4:$P$1203,3,0),"※编码不在物料档案里"))</f>
        <v/>
      </c>
      <c r="I1538" s="24">
        <f>IF($G1538="","",IFERROR(VLOOKUP($G1538,物料档案!$A$4:$P$1203,4,0),"※编码不在物料档案里"))</f>
        <v/>
      </c>
      <c r="J1538" s="24">
        <f>IF($G1538="","",IFERROR(VLOOKUP($G1538,物料档案!$A$4:$P$1203,5,0),"※编码不在物料档案里"))</f>
        <v/>
      </c>
      <c r="K1538" s="23" t="n"/>
      <c r="L1538" s="31" t="n"/>
      <c r="M1538" s="24">
        <f>IF($G1538="","",IF($D1538="A国内","CNY","TZS"))</f>
        <v/>
      </c>
      <c r="N1538" s="28">
        <f>IF($G1538="","",IF($D1538="A国内",汇率,1))</f>
        <v/>
      </c>
      <c r="O1538" s="25">
        <f>IF($G1538="","",ROUND(N($K1538)*N($L1538),2))</f>
        <v/>
      </c>
      <c r="P1538" s="26">
        <f>IF($G1538="","",ROUND($O1538*$N1538,0))</f>
        <v/>
      </c>
      <c r="Q1538" s="26">
        <f>IF($G1538="","",SUMIFS($P$4:$P$2503,$E$4:$E$2503,$E1538,$Z$4:$Z$2503,"正常"))</f>
        <v/>
      </c>
      <c r="R1538" s="26">
        <f>IF($G1538="","",SUMIFS(费用台账!$I$4:$I$503,费用台账!$C$4:$C$503,$E1538,费用台账!$J$4:$J$503,"是",费用台账!$K$4:$K$503,"正常"))</f>
        <v/>
      </c>
      <c r="S1538" s="28">
        <f>IF($G1538="","",COUNTIFS($E$4:$E$2503,$E1538,$Z$4:$Z$2503,"正常",$Y$4:$Y$2503,"待补价"))</f>
        <v/>
      </c>
      <c r="T1538" s="26">
        <f>IF($G1538="","",SUMIFS($P$4:$P$2503,$E$4:$E$2503,$E1538,$Z$4:$Z$2503,"正常",$A$4:$A$2503,"&lt;="&amp;$A1538))</f>
        <v/>
      </c>
      <c r="U1538" s="26">
        <f>IF($G1538="","",IF(OR($S1538&gt;0,$Q1538=0,$R1538=0,$Z1538&lt;&gt;"正常"),0,ROUND($T1538/$Q1538*$R1538,0)-ROUND(($T1538-$P1538)/$Q1538*$R1538,0)))</f>
        <v/>
      </c>
      <c r="V1538" s="26">
        <f>IF($G1538="","",ROUND($P1538+$U1538,0))</f>
        <v/>
      </c>
      <c r="W1538" s="26">
        <f>IF($G1538="","",IF(N($K1538)=0,0,ROUND($V1538/$K1538,2)))</f>
        <v/>
      </c>
      <c r="X1538" s="17" t="n"/>
      <c r="Y1538" s="17" t="n"/>
      <c r="Z1538" s="17" t="n"/>
      <c r="AA1538" s="17" t="n"/>
      <c r="AB1538" s="17" t="n"/>
      <c r="AC1538" s="24">
        <f>IF($G1538="","",IF($H1538="※编码不在物料档案里","※物料编码不在档案里",IF(N($K1538)&lt;=0,"※入库数量要大于 0",IF(AND($C1538&lt;&gt;"",$C1538&lt;=结账锁),"※日期早于已结账截止日，不能再录",IF(AND($L1538=0,$X1538="正常"),"※没填单价，价格状态请选「待补价」",IF(AND($S1538&gt;0,$R1538&gt;0),"△本批有 "&amp;$S1538&amp;" 行没单价，整批运费先挂账没摊",IF(AND($B1538&lt;&gt;"",COUNTIF($B$4:$B$2503,$B1538)&gt;1),"※入库单号重复","")))))))</f>
        <v/>
      </c>
    </row>
    <row r="1539">
      <c r="A1539" s="24">
        <f>IF($G1539="","",COUNTA($G$4:$G1539))</f>
        <v/>
      </c>
      <c r="B1539" s="17" t="n"/>
      <c r="C1539" s="30" t="n"/>
      <c r="D1539" s="17" t="n"/>
      <c r="E1539" s="17" t="n"/>
      <c r="F1539" s="17" t="n"/>
      <c r="G1539" s="17" t="n"/>
      <c r="H1539" s="24">
        <f>IF($G1539="","",IFERROR(VLOOKUP($G1539,物料档案!$A$4:$P$1203,3,0),"※编码不在物料档案里"))</f>
        <v/>
      </c>
      <c r="I1539" s="24">
        <f>IF($G1539="","",IFERROR(VLOOKUP($G1539,物料档案!$A$4:$P$1203,4,0),"※编码不在物料档案里"))</f>
        <v/>
      </c>
      <c r="J1539" s="24">
        <f>IF($G1539="","",IFERROR(VLOOKUP($G1539,物料档案!$A$4:$P$1203,5,0),"※编码不在物料档案里"))</f>
        <v/>
      </c>
      <c r="K1539" s="23" t="n"/>
      <c r="L1539" s="31" t="n"/>
      <c r="M1539" s="24">
        <f>IF($G1539="","",IF($D1539="A国内","CNY","TZS"))</f>
        <v/>
      </c>
      <c r="N1539" s="28">
        <f>IF($G1539="","",IF($D1539="A国内",汇率,1))</f>
        <v/>
      </c>
      <c r="O1539" s="25">
        <f>IF($G1539="","",ROUND(N($K1539)*N($L1539),2))</f>
        <v/>
      </c>
      <c r="P1539" s="26">
        <f>IF($G1539="","",ROUND($O1539*$N1539,0))</f>
        <v/>
      </c>
      <c r="Q1539" s="26">
        <f>IF($G1539="","",SUMIFS($P$4:$P$2503,$E$4:$E$2503,$E1539,$Z$4:$Z$2503,"正常"))</f>
        <v/>
      </c>
      <c r="R1539" s="26">
        <f>IF($G1539="","",SUMIFS(费用台账!$I$4:$I$503,费用台账!$C$4:$C$503,$E1539,费用台账!$J$4:$J$503,"是",费用台账!$K$4:$K$503,"正常"))</f>
        <v/>
      </c>
      <c r="S1539" s="28">
        <f>IF($G1539="","",COUNTIFS($E$4:$E$2503,$E1539,$Z$4:$Z$2503,"正常",$Y$4:$Y$2503,"待补价"))</f>
        <v/>
      </c>
      <c r="T1539" s="26">
        <f>IF($G1539="","",SUMIFS($P$4:$P$2503,$E$4:$E$2503,$E1539,$Z$4:$Z$2503,"正常",$A$4:$A$2503,"&lt;="&amp;$A1539))</f>
        <v/>
      </c>
      <c r="U1539" s="26">
        <f>IF($G1539="","",IF(OR($S1539&gt;0,$Q1539=0,$R1539=0,$Z1539&lt;&gt;"正常"),0,ROUND($T1539/$Q1539*$R1539,0)-ROUND(($T1539-$P1539)/$Q1539*$R1539,0)))</f>
        <v/>
      </c>
      <c r="V1539" s="26">
        <f>IF($G1539="","",ROUND($P1539+$U1539,0))</f>
        <v/>
      </c>
      <c r="W1539" s="26">
        <f>IF($G1539="","",IF(N($K1539)=0,0,ROUND($V1539/$K1539,2)))</f>
        <v/>
      </c>
      <c r="X1539" s="17" t="n"/>
      <c r="Y1539" s="17" t="n"/>
      <c r="Z1539" s="17" t="n"/>
      <c r="AA1539" s="17" t="n"/>
      <c r="AB1539" s="17" t="n"/>
      <c r="AC1539" s="24">
        <f>IF($G1539="","",IF($H1539="※编码不在物料档案里","※物料编码不在档案里",IF(N($K1539)&lt;=0,"※入库数量要大于 0",IF(AND($C1539&lt;&gt;"",$C1539&lt;=结账锁),"※日期早于已结账截止日，不能再录",IF(AND($L1539=0,$X1539="正常"),"※没填单价，价格状态请选「待补价」",IF(AND($S1539&gt;0,$R1539&gt;0),"△本批有 "&amp;$S1539&amp;" 行没单价，整批运费先挂账没摊",IF(AND($B1539&lt;&gt;"",COUNTIF($B$4:$B$2503,$B1539)&gt;1),"※入库单号重复","")))))))</f>
        <v/>
      </c>
    </row>
    <row r="1540">
      <c r="A1540" s="24">
        <f>IF($G1540="","",COUNTA($G$4:$G1540))</f>
        <v/>
      </c>
      <c r="B1540" s="17" t="n"/>
      <c r="C1540" s="30" t="n"/>
      <c r="D1540" s="17" t="n"/>
      <c r="E1540" s="17" t="n"/>
      <c r="F1540" s="17" t="n"/>
      <c r="G1540" s="17" t="n"/>
      <c r="H1540" s="24">
        <f>IF($G1540="","",IFERROR(VLOOKUP($G1540,物料档案!$A$4:$P$1203,3,0),"※编码不在物料档案里"))</f>
        <v/>
      </c>
      <c r="I1540" s="24">
        <f>IF($G1540="","",IFERROR(VLOOKUP($G1540,物料档案!$A$4:$P$1203,4,0),"※编码不在物料档案里"))</f>
        <v/>
      </c>
      <c r="J1540" s="24">
        <f>IF($G1540="","",IFERROR(VLOOKUP($G1540,物料档案!$A$4:$P$1203,5,0),"※编码不在物料档案里"))</f>
        <v/>
      </c>
      <c r="K1540" s="23" t="n"/>
      <c r="L1540" s="31" t="n"/>
      <c r="M1540" s="24">
        <f>IF($G1540="","",IF($D1540="A国内","CNY","TZS"))</f>
        <v/>
      </c>
      <c r="N1540" s="28">
        <f>IF($G1540="","",IF($D1540="A国内",汇率,1))</f>
        <v/>
      </c>
      <c r="O1540" s="25">
        <f>IF($G1540="","",ROUND(N($K1540)*N($L1540),2))</f>
        <v/>
      </c>
      <c r="P1540" s="26">
        <f>IF($G1540="","",ROUND($O1540*$N1540,0))</f>
        <v/>
      </c>
      <c r="Q1540" s="26">
        <f>IF($G1540="","",SUMIFS($P$4:$P$2503,$E$4:$E$2503,$E1540,$Z$4:$Z$2503,"正常"))</f>
        <v/>
      </c>
      <c r="R1540" s="26">
        <f>IF($G1540="","",SUMIFS(费用台账!$I$4:$I$503,费用台账!$C$4:$C$503,$E1540,费用台账!$J$4:$J$503,"是",费用台账!$K$4:$K$503,"正常"))</f>
        <v/>
      </c>
      <c r="S1540" s="28">
        <f>IF($G1540="","",COUNTIFS($E$4:$E$2503,$E1540,$Z$4:$Z$2503,"正常",$Y$4:$Y$2503,"待补价"))</f>
        <v/>
      </c>
      <c r="T1540" s="26">
        <f>IF($G1540="","",SUMIFS($P$4:$P$2503,$E$4:$E$2503,$E1540,$Z$4:$Z$2503,"正常",$A$4:$A$2503,"&lt;="&amp;$A1540))</f>
        <v/>
      </c>
      <c r="U1540" s="26">
        <f>IF($G1540="","",IF(OR($S1540&gt;0,$Q1540=0,$R1540=0,$Z1540&lt;&gt;"正常"),0,ROUND($T1540/$Q1540*$R1540,0)-ROUND(($T1540-$P1540)/$Q1540*$R1540,0)))</f>
        <v/>
      </c>
      <c r="V1540" s="26">
        <f>IF($G1540="","",ROUND($P1540+$U1540,0))</f>
        <v/>
      </c>
      <c r="W1540" s="26">
        <f>IF($G1540="","",IF(N($K1540)=0,0,ROUND($V1540/$K1540,2)))</f>
        <v/>
      </c>
      <c r="X1540" s="17" t="n"/>
      <c r="Y1540" s="17" t="n"/>
      <c r="Z1540" s="17" t="n"/>
      <c r="AA1540" s="17" t="n"/>
      <c r="AB1540" s="17" t="n"/>
      <c r="AC1540" s="24">
        <f>IF($G1540="","",IF($H1540="※编码不在物料档案里","※物料编码不在档案里",IF(N($K1540)&lt;=0,"※入库数量要大于 0",IF(AND($C1540&lt;&gt;"",$C1540&lt;=结账锁),"※日期早于已结账截止日，不能再录",IF(AND($L1540=0,$X1540="正常"),"※没填单价，价格状态请选「待补价」",IF(AND($S1540&gt;0,$R1540&gt;0),"△本批有 "&amp;$S1540&amp;" 行没单价，整批运费先挂账没摊",IF(AND($B1540&lt;&gt;"",COUNTIF($B$4:$B$2503,$B1540)&gt;1),"※入库单号重复","")))))))</f>
        <v/>
      </c>
    </row>
    <row r="1541">
      <c r="A1541" s="24">
        <f>IF($G1541="","",COUNTA($G$4:$G1541))</f>
        <v/>
      </c>
      <c r="B1541" s="17" t="n"/>
      <c r="C1541" s="30" t="n"/>
      <c r="D1541" s="17" t="n"/>
      <c r="E1541" s="17" t="n"/>
      <c r="F1541" s="17" t="n"/>
      <c r="G1541" s="17" t="n"/>
      <c r="H1541" s="24">
        <f>IF($G1541="","",IFERROR(VLOOKUP($G1541,物料档案!$A$4:$P$1203,3,0),"※编码不在物料档案里"))</f>
        <v/>
      </c>
      <c r="I1541" s="24">
        <f>IF($G1541="","",IFERROR(VLOOKUP($G1541,物料档案!$A$4:$P$1203,4,0),"※编码不在物料档案里"))</f>
        <v/>
      </c>
      <c r="J1541" s="24">
        <f>IF($G1541="","",IFERROR(VLOOKUP($G1541,物料档案!$A$4:$P$1203,5,0),"※编码不在物料档案里"))</f>
        <v/>
      </c>
      <c r="K1541" s="23" t="n"/>
      <c r="L1541" s="31" t="n"/>
      <c r="M1541" s="24">
        <f>IF($G1541="","",IF($D1541="A国内","CNY","TZS"))</f>
        <v/>
      </c>
      <c r="N1541" s="28">
        <f>IF($G1541="","",IF($D1541="A国内",汇率,1))</f>
        <v/>
      </c>
      <c r="O1541" s="25">
        <f>IF($G1541="","",ROUND(N($K1541)*N($L1541),2))</f>
        <v/>
      </c>
      <c r="P1541" s="26">
        <f>IF($G1541="","",ROUND($O1541*$N1541,0))</f>
        <v/>
      </c>
      <c r="Q1541" s="26">
        <f>IF($G1541="","",SUMIFS($P$4:$P$2503,$E$4:$E$2503,$E1541,$Z$4:$Z$2503,"正常"))</f>
        <v/>
      </c>
      <c r="R1541" s="26">
        <f>IF($G1541="","",SUMIFS(费用台账!$I$4:$I$503,费用台账!$C$4:$C$503,$E1541,费用台账!$J$4:$J$503,"是",费用台账!$K$4:$K$503,"正常"))</f>
        <v/>
      </c>
      <c r="S1541" s="28">
        <f>IF($G1541="","",COUNTIFS($E$4:$E$2503,$E1541,$Z$4:$Z$2503,"正常",$Y$4:$Y$2503,"待补价"))</f>
        <v/>
      </c>
      <c r="T1541" s="26">
        <f>IF($G1541="","",SUMIFS($P$4:$P$2503,$E$4:$E$2503,$E1541,$Z$4:$Z$2503,"正常",$A$4:$A$2503,"&lt;="&amp;$A1541))</f>
        <v/>
      </c>
      <c r="U1541" s="26">
        <f>IF($G1541="","",IF(OR($S1541&gt;0,$Q1541=0,$R1541=0,$Z1541&lt;&gt;"正常"),0,ROUND($T1541/$Q1541*$R1541,0)-ROUND(($T1541-$P1541)/$Q1541*$R1541,0)))</f>
        <v/>
      </c>
      <c r="V1541" s="26">
        <f>IF($G1541="","",ROUND($P1541+$U1541,0))</f>
        <v/>
      </c>
      <c r="W1541" s="26">
        <f>IF($G1541="","",IF(N($K1541)=0,0,ROUND($V1541/$K1541,2)))</f>
        <v/>
      </c>
      <c r="X1541" s="17" t="n"/>
      <c r="Y1541" s="17" t="n"/>
      <c r="Z1541" s="17" t="n"/>
      <c r="AA1541" s="17" t="n"/>
      <c r="AB1541" s="17" t="n"/>
      <c r="AC1541" s="24">
        <f>IF($G1541="","",IF($H1541="※编码不在物料档案里","※物料编码不在档案里",IF(N($K1541)&lt;=0,"※入库数量要大于 0",IF(AND($C1541&lt;&gt;"",$C1541&lt;=结账锁),"※日期早于已结账截止日，不能再录",IF(AND($L1541=0,$X1541="正常"),"※没填单价，价格状态请选「待补价」",IF(AND($S1541&gt;0,$R1541&gt;0),"△本批有 "&amp;$S1541&amp;" 行没单价，整批运费先挂账没摊",IF(AND($B1541&lt;&gt;"",COUNTIF($B$4:$B$2503,$B1541)&gt;1),"※入库单号重复","")))))))</f>
        <v/>
      </c>
    </row>
    <row r="1542">
      <c r="A1542" s="24">
        <f>IF($G1542="","",COUNTA($G$4:$G1542))</f>
        <v/>
      </c>
      <c r="B1542" s="17" t="n"/>
      <c r="C1542" s="30" t="n"/>
      <c r="D1542" s="17" t="n"/>
      <c r="E1542" s="17" t="n"/>
      <c r="F1542" s="17" t="n"/>
      <c r="G1542" s="17" t="n"/>
      <c r="H1542" s="24">
        <f>IF($G1542="","",IFERROR(VLOOKUP($G1542,物料档案!$A$4:$P$1203,3,0),"※编码不在物料档案里"))</f>
        <v/>
      </c>
      <c r="I1542" s="24">
        <f>IF($G1542="","",IFERROR(VLOOKUP($G1542,物料档案!$A$4:$P$1203,4,0),"※编码不在物料档案里"))</f>
        <v/>
      </c>
      <c r="J1542" s="24">
        <f>IF($G1542="","",IFERROR(VLOOKUP($G1542,物料档案!$A$4:$P$1203,5,0),"※编码不在物料档案里"))</f>
        <v/>
      </c>
      <c r="K1542" s="23" t="n"/>
      <c r="L1542" s="31" t="n"/>
      <c r="M1542" s="24">
        <f>IF($G1542="","",IF($D1542="A国内","CNY","TZS"))</f>
        <v/>
      </c>
      <c r="N1542" s="28">
        <f>IF($G1542="","",IF($D1542="A国内",汇率,1))</f>
        <v/>
      </c>
      <c r="O1542" s="25">
        <f>IF($G1542="","",ROUND(N($K1542)*N($L1542),2))</f>
        <v/>
      </c>
      <c r="P1542" s="26">
        <f>IF($G1542="","",ROUND($O1542*$N1542,0))</f>
        <v/>
      </c>
      <c r="Q1542" s="26">
        <f>IF($G1542="","",SUMIFS($P$4:$P$2503,$E$4:$E$2503,$E1542,$Z$4:$Z$2503,"正常"))</f>
        <v/>
      </c>
      <c r="R1542" s="26">
        <f>IF($G1542="","",SUMIFS(费用台账!$I$4:$I$503,费用台账!$C$4:$C$503,$E1542,费用台账!$J$4:$J$503,"是",费用台账!$K$4:$K$503,"正常"))</f>
        <v/>
      </c>
      <c r="S1542" s="28">
        <f>IF($G1542="","",COUNTIFS($E$4:$E$2503,$E1542,$Z$4:$Z$2503,"正常",$Y$4:$Y$2503,"待补价"))</f>
        <v/>
      </c>
      <c r="T1542" s="26">
        <f>IF($G1542="","",SUMIFS($P$4:$P$2503,$E$4:$E$2503,$E1542,$Z$4:$Z$2503,"正常",$A$4:$A$2503,"&lt;="&amp;$A1542))</f>
        <v/>
      </c>
      <c r="U1542" s="26">
        <f>IF($G1542="","",IF(OR($S1542&gt;0,$Q1542=0,$R1542=0,$Z1542&lt;&gt;"正常"),0,ROUND($T1542/$Q1542*$R1542,0)-ROUND(($T1542-$P1542)/$Q1542*$R1542,0)))</f>
        <v/>
      </c>
      <c r="V1542" s="26">
        <f>IF($G1542="","",ROUND($P1542+$U1542,0))</f>
        <v/>
      </c>
      <c r="W1542" s="26">
        <f>IF($G1542="","",IF(N($K1542)=0,0,ROUND($V1542/$K1542,2)))</f>
        <v/>
      </c>
      <c r="X1542" s="17" t="n"/>
      <c r="Y1542" s="17" t="n"/>
      <c r="Z1542" s="17" t="n"/>
      <c r="AA1542" s="17" t="n"/>
      <c r="AB1542" s="17" t="n"/>
      <c r="AC1542" s="24">
        <f>IF($G1542="","",IF($H1542="※编码不在物料档案里","※物料编码不在档案里",IF(N($K1542)&lt;=0,"※入库数量要大于 0",IF(AND($C1542&lt;&gt;"",$C1542&lt;=结账锁),"※日期早于已结账截止日，不能再录",IF(AND($L1542=0,$X1542="正常"),"※没填单价，价格状态请选「待补价」",IF(AND($S1542&gt;0,$R1542&gt;0),"△本批有 "&amp;$S1542&amp;" 行没单价，整批运费先挂账没摊",IF(AND($B1542&lt;&gt;"",COUNTIF($B$4:$B$2503,$B1542)&gt;1),"※入库单号重复","")))))))</f>
        <v/>
      </c>
    </row>
    <row r="1543">
      <c r="A1543" s="24">
        <f>IF($G1543="","",COUNTA($G$4:$G1543))</f>
        <v/>
      </c>
      <c r="B1543" s="17" t="n"/>
      <c r="C1543" s="30" t="n"/>
      <c r="D1543" s="17" t="n"/>
      <c r="E1543" s="17" t="n"/>
      <c r="F1543" s="17" t="n"/>
      <c r="G1543" s="17" t="n"/>
      <c r="H1543" s="24">
        <f>IF($G1543="","",IFERROR(VLOOKUP($G1543,物料档案!$A$4:$P$1203,3,0),"※编码不在物料档案里"))</f>
        <v/>
      </c>
      <c r="I1543" s="24">
        <f>IF($G1543="","",IFERROR(VLOOKUP($G1543,物料档案!$A$4:$P$1203,4,0),"※编码不在物料档案里"))</f>
        <v/>
      </c>
      <c r="J1543" s="24">
        <f>IF($G1543="","",IFERROR(VLOOKUP($G1543,物料档案!$A$4:$P$1203,5,0),"※编码不在物料档案里"))</f>
        <v/>
      </c>
      <c r="K1543" s="23" t="n"/>
      <c r="L1543" s="31" t="n"/>
      <c r="M1543" s="24">
        <f>IF($G1543="","",IF($D1543="A国内","CNY","TZS"))</f>
        <v/>
      </c>
      <c r="N1543" s="28">
        <f>IF($G1543="","",IF($D1543="A国内",汇率,1))</f>
        <v/>
      </c>
      <c r="O1543" s="25">
        <f>IF($G1543="","",ROUND(N($K1543)*N($L1543),2))</f>
        <v/>
      </c>
      <c r="P1543" s="26">
        <f>IF($G1543="","",ROUND($O1543*$N1543,0))</f>
        <v/>
      </c>
      <c r="Q1543" s="26">
        <f>IF($G1543="","",SUMIFS($P$4:$P$2503,$E$4:$E$2503,$E1543,$Z$4:$Z$2503,"正常"))</f>
        <v/>
      </c>
      <c r="R1543" s="26">
        <f>IF($G1543="","",SUMIFS(费用台账!$I$4:$I$503,费用台账!$C$4:$C$503,$E1543,费用台账!$J$4:$J$503,"是",费用台账!$K$4:$K$503,"正常"))</f>
        <v/>
      </c>
      <c r="S1543" s="28">
        <f>IF($G1543="","",COUNTIFS($E$4:$E$2503,$E1543,$Z$4:$Z$2503,"正常",$Y$4:$Y$2503,"待补价"))</f>
        <v/>
      </c>
      <c r="T1543" s="26">
        <f>IF($G1543="","",SUMIFS($P$4:$P$2503,$E$4:$E$2503,$E1543,$Z$4:$Z$2503,"正常",$A$4:$A$2503,"&lt;="&amp;$A1543))</f>
        <v/>
      </c>
      <c r="U1543" s="26">
        <f>IF($G1543="","",IF(OR($S1543&gt;0,$Q1543=0,$R1543=0,$Z1543&lt;&gt;"正常"),0,ROUND($T1543/$Q1543*$R1543,0)-ROUND(($T1543-$P1543)/$Q1543*$R1543,0)))</f>
        <v/>
      </c>
      <c r="V1543" s="26">
        <f>IF($G1543="","",ROUND($P1543+$U1543,0))</f>
        <v/>
      </c>
      <c r="W1543" s="26">
        <f>IF($G1543="","",IF(N($K1543)=0,0,ROUND($V1543/$K1543,2)))</f>
        <v/>
      </c>
      <c r="X1543" s="17" t="n"/>
      <c r="Y1543" s="17" t="n"/>
      <c r="Z1543" s="17" t="n"/>
      <c r="AA1543" s="17" t="n"/>
      <c r="AB1543" s="17" t="n"/>
      <c r="AC1543" s="24">
        <f>IF($G1543="","",IF($H1543="※编码不在物料档案里","※物料编码不在档案里",IF(N($K1543)&lt;=0,"※入库数量要大于 0",IF(AND($C1543&lt;&gt;"",$C1543&lt;=结账锁),"※日期早于已结账截止日，不能再录",IF(AND($L1543=0,$X1543="正常"),"※没填单价，价格状态请选「待补价」",IF(AND($S1543&gt;0,$R1543&gt;0),"△本批有 "&amp;$S1543&amp;" 行没单价，整批运费先挂账没摊",IF(AND($B1543&lt;&gt;"",COUNTIF($B$4:$B$2503,$B1543)&gt;1),"※入库单号重复","")))))))</f>
        <v/>
      </c>
    </row>
    <row r="1544">
      <c r="A1544" s="24">
        <f>IF($G1544="","",COUNTA($G$4:$G1544))</f>
        <v/>
      </c>
      <c r="B1544" s="17" t="n"/>
      <c r="C1544" s="30" t="n"/>
      <c r="D1544" s="17" t="n"/>
      <c r="E1544" s="17" t="n"/>
      <c r="F1544" s="17" t="n"/>
      <c r="G1544" s="17" t="n"/>
      <c r="H1544" s="24">
        <f>IF($G1544="","",IFERROR(VLOOKUP($G1544,物料档案!$A$4:$P$1203,3,0),"※编码不在物料档案里"))</f>
        <v/>
      </c>
      <c r="I1544" s="24">
        <f>IF($G1544="","",IFERROR(VLOOKUP($G1544,物料档案!$A$4:$P$1203,4,0),"※编码不在物料档案里"))</f>
        <v/>
      </c>
      <c r="J1544" s="24">
        <f>IF($G1544="","",IFERROR(VLOOKUP($G1544,物料档案!$A$4:$P$1203,5,0),"※编码不在物料档案里"))</f>
        <v/>
      </c>
      <c r="K1544" s="23" t="n"/>
      <c r="L1544" s="31" t="n"/>
      <c r="M1544" s="24">
        <f>IF($G1544="","",IF($D1544="A国内","CNY","TZS"))</f>
        <v/>
      </c>
      <c r="N1544" s="28">
        <f>IF($G1544="","",IF($D1544="A国内",汇率,1))</f>
        <v/>
      </c>
      <c r="O1544" s="25">
        <f>IF($G1544="","",ROUND(N($K1544)*N($L1544),2))</f>
        <v/>
      </c>
      <c r="P1544" s="26">
        <f>IF($G1544="","",ROUND($O1544*$N1544,0))</f>
        <v/>
      </c>
      <c r="Q1544" s="26">
        <f>IF($G1544="","",SUMIFS($P$4:$P$2503,$E$4:$E$2503,$E1544,$Z$4:$Z$2503,"正常"))</f>
        <v/>
      </c>
      <c r="R1544" s="26">
        <f>IF($G1544="","",SUMIFS(费用台账!$I$4:$I$503,费用台账!$C$4:$C$503,$E1544,费用台账!$J$4:$J$503,"是",费用台账!$K$4:$K$503,"正常"))</f>
        <v/>
      </c>
      <c r="S1544" s="28">
        <f>IF($G1544="","",COUNTIFS($E$4:$E$2503,$E1544,$Z$4:$Z$2503,"正常",$Y$4:$Y$2503,"待补价"))</f>
        <v/>
      </c>
      <c r="T1544" s="26">
        <f>IF($G1544="","",SUMIFS($P$4:$P$2503,$E$4:$E$2503,$E1544,$Z$4:$Z$2503,"正常",$A$4:$A$2503,"&lt;="&amp;$A1544))</f>
        <v/>
      </c>
      <c r="U1544" s="26">
        <f>IF($G1544="","",IF(OR($S1544&gt;0,$Q1544=0,$R1544=0,$Z1544&lt;&gt;"正常"),0,ROUND($T1544/$Q1544*$R1544,0)-ROUND(($T1544-$P1544)/$Q1544*$R1544,0)))</f>
        <v/>
      </c>
      <c r="V1544" s="26">
        <f>IF($G1544="","",ROUND($P1544+$U1544,0))</f>
        <v/>
      </c>
      <c r="W1544" s="26">
        <f>IF($G1544="","",IF(N($K1544)=0,0,ROUND($V1544/$K1544,2)))</f>
        <v/>
      </c>
      <c r="X1544" s="17" t="n"/>
      <c r="Y1544" s="17" t="n"/>
      <c r="Z1544" s="17" t="n"/>
      <c r="AA1544" s="17" t="n"/>
      <c r="AB1544" s="17" t="n"/>
      <c r="AC1544" s="24">
        <f>IF($G1544="","",IF($H1544="※编码不在物料档案里","※物料编码不在档案里",IF(N($K1544)&lt;=0,"※入库数量要大于 0",IF(AND($C1544&lt;&gt;"",$C1544&lt;=结账锁),"※日期早于已结账截止日，不能再录",IF(AND($L1544=0,$X1544="正常"),"※没填单价，价格状态请选「待补价」",IF(AND($S1544&gt;0,$R1544&gt;0),"△本批有 "&amp;$S1544&amp;" 行没单价，整批运费先挂账没摊",IF(AND($B1544&lt;&gt;"",COUNTIF($B$4:$B$2503,$B1544)&gt;1),"※入库单号重复","")))))))</f>
        <v/>
      </c>
    </row>
    <row r="1545">
      <c r="A1545" s="24">
        <f>IF($G1545="","",COUNTA($G$4:$G1545))</f>
        <v/>
      </c>
      <c r="B1545" s="17" t="n"/>
      <c r="C1545" s="30" t="n"/>
      <c r="D1545" s="17" t="n"/>
      <c r="E1545" s="17" t="n"/>
      <c r="F1545" s="17" t="n"/>
      <c r="G1545" s="17" t="n"/>
      <c r="H1545" s="24">
        <f>IF($G1545="","",IFERROR(VLOOKUP($G1545,物料档案!$A$4:$P$1203,3,0),"※编码不在物料档案里"))</f>
        <v/>
      </c>
      <c r="I1545" s="24">
        <f>IF($G1545="","",IFERROR(VLOOKUP($G1545,物料档案!$A$4:$P$1203,4,0),"※编码不在物料档案里"))</f>
        <v/>
      </c>
      <c r="J1545" s="24">
        <f>IF($G1545="","",IFERROR(VLOOKUP($G1545,物料档案!$A$4:$P$1203,5,0),"※编码不在物料档案里"))</f>
        <v/>
      </c>
      <c r="K1545" s="23" t="n"/>
      <c r="L1545" s="31" t="n"/>
      <c r="M1545" s="24">
        <f>IF($G1545="","",IF($D1545="A国内","CNY","TZS"))</f>
        <v/>
      </c>
      <c r="N1545" s="28">
        <f>IF($G1545="","",IF($D1545="A国内",汇率,1))</f>
        <v/>
      </c>
      <c r="O1545" s="25">
        <f>IF($G1545="","",ROUND(N($K1545)*N($L1545),2))</f>
        <v/>
      </c>
      <c r="P1545" s="26">
        <f>IF($G1545="","",ROUND($O1545*$N1545,0))</f>
        <v/>
      </c>
      <c r="Q1545" s="26">
        <f>IF($G1545="","",SUMIFS($P$4:$P$2503,$E$4:$E$2503,$E1545,$Z$4:$Z$2503,"正常"))</f>
        <v/>
      </c>
      <c r="R1545" s="26">
        <f>IF($G1545="","",SUMIFS(费用台账!$I$4:$I$503,费用台账!$C$4:$C$503,$E1545,费用台账!$J$4:$J$503,"是",费用台账!$K$4:$K$503,"正常"))</f>
        <v/>
      </c>
      <c r="S1545" s="28">
        <f>IF($G1545="","",COUNTIFS($E$4:$E$2503,$E1545,$Z$4:$Z$2503,"正常",$Y$4:$Y$2503,"待补价"))</f>
        <v/>
      </c>
      <c r="T1545" s="26">
        <f>IF($G1545="","",SUMIFS($P$4:$P$2503,$E$4:$E$2503,$E1545,$Z$4:$Z$2503,"正常",$A$4:$A$2503,"&lt;="&amp;$A1545))</f>
        <v/>
      </c>
      <c r="U1545" s="26">
        <f>IF($G1545="","",IF(OR($S1545&gt;0,$Q1545=0,$R1545=0,$Z1545&lt;&gt;"正常"),0,ROUND($T1545/$Q1545*$R1545,0)-ROUND(($T1545-$P1545)/$Q1545*$R1545,0)))</f>
        <v/>
      </c>
      <c r="V1545" s="26">
        <f>IF($G1545="","",ROUND($P1545+$U1545,0))</f>
        <v/>
      </c>
      <c r="W1545" s="26">
        <f>IF($G1545="","",IF(N($K1545)=0,0,ROUND($V1545/$K1545,2)))</f>
        <v/>
      </c>
      <c r="X1545" s="17" t="n"/>
      <c r="Y1545" s="17" t="n"/>
      <c r="Z1545" s="17" t="n"/>
      <c r="AA1545" s="17" t="n"/>
      <c r="AB1545" s="17" t="n"/>
      <c r="AC1545" s="24">
        <f>IF($G1545="","",IF($H1545="※编码不在物料档案里","※物料编码不在档案里",IF(N($K1545)&lt;=0,"※入库数量要大于 0",IF(AND($C1545&lt;&gt;"",$C1545&lt;=结账锁),"※日期早于已结账截止日，不能再录",IF(AND($L1545=0,$X1545="正常"),"※没填单价，价格状态请选「待补价」",IF(AND($S1545&gt;0,$R1545&gt;0),"△本批有 "&amp;$S1545&amp;" 行没单价，整批运费先挂账没摊",IF(AND($B1545&lt;&gt;"",COUNTIF($B$4:$B$2503,$B1545)&gt;1),"※入库单号重复","")))))))</f>
        <v/>
      </c>
    </row>
    <row r="1546">
      <c r="A1546" s="24">
        <f>IF($G1546="","",COUNTA($G$4:$G1546))</f>
        <v/>
      </c>
      <c r="B1546" s="17" t="n"/>
      <c r="C1546" s="30" t="n"/>
      <c r="D1546" s="17" t="n"/>
      <c r="E1546" s="17" t="n"/>
      <c r="F1546" s="17" t="n"/>
      <c r="G1546" s="17" t="n"/>
      <c r="H1546" s="24">
        <f>IF($G1546="","",IFERROR(VLOOKUP($G1546,物料档案!$A$4:$P$1203,3,0),"※编码不在物料档案里"))</f>
        <v/>
      </c>
      <c r="I1546" s="24">
        <f>IF($G1546="","",IFERROR(VLOOKUP($G1546,物料档案!$A$4:$P$1203,4,0),"※编码不在物料档案里"))</f>
        <v/>
      </c>
      <c r="J1546" s="24">
        <f>IF($G1546="","",IFERROR(VLOOKUP($G1546,物料档案!$A$4:$P$1203,5,0),"※编码不在物料档案里"))</f>
        <v/>
      </c>
      <c r="K1546" s="23" t="n"/>
      <c r="L1546" s="31" t="n"/>
      <c r="M1546" s="24">
        <f>IF($G1546="","",IF($D1546="A国内","CNY","TZS"))</f>
        <v/>
      </c>
      <c r="N1546" s="28">
        <f>IF($G1546="","",IF($D1546="A国内",汇率,1))</f>
        <v/>
      </c>
      <c r="O1546" s="25">
        <f>IF($G1546="","",ROUND(N($K1546)*N($L1546),2))</f>
        <v/>
      </c>
      <c r="P1546" s="26">
        <f>IF($G1546="","",ROUND($O1546*$N1546,0))</f>
        <v/>
      </c>
      <c r="Q1546" s="26">
        <f>IF($G1546="","",SUMIFS($P$4:$P$2503,$E$4:$E$2503,$E1546,$Z$4:$Z$2503,"正常"))</f>
        <v/>
      </c>
      <c r="R1546" s="26">
        <f>IF($G1546="","",SUMIFS(费用台账!$I$4:$I$503,费用台账!$C$4:$C$503,$E1546,费用台账!$J$4:$J$503,"是",费用台账!$K$4:$K$503,"正常"))</f>
        <v/>
      </c>
      <c r="S1546" s="28">
        <f>IF($G1546="","",COUNTIFS($E$4:$E$2503,$E1546,$Z$4:$Z$2503,"正常",$Y$4:$Y$2503,"待补价"))</f>
        <v/>
      </c>
      <c r="T1546" s="26">
        <f>IF($G1546="","",SUMIFS($P$4:$P$2503,$E$4:$E$2503,$E1546,$Z$4:$Z$2503,"正常",$A$4:$A$2503,"&lt;="&amp;$A1546))</f>
        <v/>
      </c>
      <c r="U1546" s="26">
        <f>IF($G1546="","",IF(OR($S1546&gt;0,$Q1546=0,$R1546=0,$Z1546&lt;&gt;"正常"),0,ROUND($T1546/$Q1546*$R1546,0)-ROUND(($T1546-$P1546)/$Q1546*$R1546,0)))</f>
        <v/>
      </c>
      <c r="V1546" s="26">
        <f>IF($G1546="","",ROUND($P1546+$U1546,0))</f>
        <v/>
      </c>
      <c r="W1546" s="26">
        <f>IF($G1546="","",IF(N($K1546)=0,0,ROUND($V1546/$K1546,2)))</f>
        <v/>
      </c>
      <c r="X1546" s="17" t="n"/>
      <c r="Y1546" s="17" t="n"/>
      <c r="Z1546" s="17" t="n"/>
      <c r="AA1546" s="17" t="n"/>
      <c r="AB1546" s="17" t="n"/>
      <c r="AC1546" s="24">
        <f>IF($G1546="","",IF($H1546="※编码不在物料档案里","※物料编码不在档案里",IF(N($K1546)&lt;=0,"※入库数量要大于 0",IF(AND($C1546&lt;&gt;"",$C1546&lt;=结账锁),"※日期早于已结账截止日，不能再录",IF(AND($L1546=0,$X1546="正常"),"※没填单价，价格状态请选「待补价」",IF(AND($S1546&gt;0,$R1546&gt;0),"△本批有 "&amp;$S1546&amp;" 行没单价，整批运费先挂账没摊",IF(AND($B1546&lt;&gt;"",COUNTIF($B$4:$B$2503,$B1546)&gt;1),"※入库单号重复","")))))))</f>
        <v/>
      </c>
    </row>
    <row r="1547">
      <c r="A1547" s="24">
        <f>IF($G1547="","",COUNTA($G$4:$G1547))</f>
        <v/>
      </c>
      <c r="B1547" s="17" t="n"/>
      <c r="C1547" s="30" t="n"/>
      <c r="D1547" s="17" t="n"/>
      <c r="E1547" s="17" t="n"/>
      <c r="F1547" s="17" t="n"/>
      <c r="G1547" s="17" t="n"/>
      <c r="H1547" s="24">
        <f>IF($G1547="","",IFERROR(VLOOKUP($G1547,物料档案!$A$4:$P$1203,3,0),"※编码不在物料档案里"))</f>
        <v/>
      </c>
      <c r="I1547" s="24">
        <f>IF($G1547="","",IFERROR(VLOOKUP($G1547,物料档案!$A$4:$P$1203,4,0),"※编码不在物料档案里"))</f>
        <v/>
      </c>
      <c r="J1547" s="24">
        <f>IF($G1547="","",IFERROR(VLOOKUP($G1547,物料档案!$A$4:$P$1203,5,0),"※编码不在物料档案里"))</f>
        <v/>
      </c>
      <c r="K1547" s="23" t="n"/>
      <c r="L1547" s="31" t="n"/>
      <c r="M1547" s="24">
        <f>IF($G1547="","",IF($D1547="A国内","CNY","TZS"))</f>
        <v/>
      </c>
      <c r="N1547" s="28">
        <f>IF($G1547="","",IF($D1547="A国内",汇率,1))</f>
        <v/>
      </c>
      <c r="O1547" s="25">
        <f>IF($G1547="","",ROUND(N($K1547)*N($L1547),2))</f>
        <v/>
      </c>
      <c r="P1547" s="26">
        <f>IF($G1547="","",ROUND($O1547*$N1547,0))</f>
        <v/>
      </c>
      <c r="Q1547" s="26">
        <f>IF($G1547="","",SUMIFS($P$4:$P$2503,$E$4:$E$2503,$E1547,$Z$4:$Z$2503,"正常"))</f>
        <v/>
      </c>
      <c r="R1547" s="26">
        <f>IF($G1547="","",SUMIFS(费用台账!$I$4:$I$503,费用台账!$C$4:$C$503,$E1547,费用台账!$J$4:$J$503,"是",费用台账!$K$4:$K$503,"正常"))</f>
        <v/>
      </c>
      <c r="S1547" s="28">
        <f>IF($G1547="","",COUNTIFS($E$4:$E$2503,$E1547,$Z$4:$Z$2503,"正常",$Y$4:$Y$2503,"待补价"))</f>
        <v/>
      </c>
      <c r="T1547" s="26">
        <f>IF($G1547="","",SUMIFS($P$4:$P$2503,$E$4:$E$2503,$E1547,$Z$4:$Z$2503,"正常",$A$4:$A$2503,"&lt;="&amp;$A1547))</f>
        <v/>
      </c>
      <c r="U1547" s="26">
        <f>IF($G1547="","",IF(OR($S1547&gt;0,$Q1547=0,$R1547=0,$Z1547&lt;&gt;"正常"),0,ROUND($T1547/$Q1547*$R1547,0)-ROUND(($T1547-$P1547)/$Q1547*$R1547,0)))</f>
        <v/>
      </c>
      <c r="V1547" s="26">
        <f>IF($G1547="","",ROUND($P1547+$U1547,0))</f>
        <v/>
      </c>
      <c r="W1547" s="26">
        <f>IF($G1547="","",IF(N($K1547)=0,0,ROUND($V1547/$K1547,2)))</f>
        <v/>
      </c>
      <c r="X1547" s="17" t="n"/>
      <c r="Y1547" s="17" t="n"/>
      <c r="Z1547" s="17" t="n"/>
      <c r="AA1547" s="17" t="n"/>
      <c r="AB1547" s="17" t="n"/>
      <c r="AC1547" s="24">
        <f>IF($G1547="","",IF($H1547="※编码不在物料档案里","※物料编码不在档案里",IF(N($K1547)&lt;=0,"※入库数量要大于 0",IF(AND($C1547&lt;&gt;"",$C1547&lt;=结账锁),"※日期早于已结账截止日，不能再录",IF(AND($L1547=0,$X1547="正常"),"※没填单价，价格状态请选「待补价」",IF(AND($S1547&gt;0,$R1547&gt;0),"△本批有 "&amp;$S1547&amp;" 行没单价，整批运费先挂账没摊",IF(AND($B1547&lt;&gt;"",COUNTIF($B$4:$B$2503,$B1547)&gt;1),"※入库单号重复","")))))))</f>
        <v/>
      </c>
    </row>
    <row r="1548">
      <c r="A1548" s="24">
        <f>IF($G1548="","",COUNTA($G$4:$G1548))</f>
        <v/>
      </c>
      <c r="B1548" s="17" t="n"/>
      <c r="C1548" s="30" t="n"/>
      <c r="D1548" s="17" t="n"/>
      <c r="E1548" s="17" t="n"/>
      <c r="F1548" s="17" t="n"/>
      <c r="G1548" s="17" t="n"/>
      <c r="H1548" s="24">
        <f>IF($G1548="","",IFERROR(VLOOKUP($G1548,物料档案!$A$4:$P$1203,3,0),"※编码不在物料档案里"))</f>
        <v/>
      </c>
      <c r="I1548" s="24">
        <f>IF($G1548="","",IFERROR(VLOOKUP($G1548,物料档案!$A$4:$P$1203,4,0),"※编码不在物料档案里"))</f>
        <v/>
      </c>
      <c r="J1548" s="24">
        <f>IF($G1548="","",IFERROR(VLOOKUP($G1548,物料档案!$A$4:$P$1203,5,0),"※编码不在物料档案里"))</f>
        <v/>
      </c>
      <c r="K1548" s="23" t="n"/>
      <c r="L1548" s="31" t="n"/>
      <c r="M1548" s="24">
        <f>IF($G1548="","",IF($D1548="A国内","CNY","TZS"))</f>
        <v/>
      </c>
      <c r="N1548" s="28">
        <f>IF($G1548="","",IF($D1548="A国内",汇率,1))</f>
        <v/>
      </c>
      <c r="O1548" s="25">
        <f>IF($G1548="","",ROUND(N($K1548)*N($L1548),2))</f>
        <v/>
      </c>
      <c r="P1548" s="26">
        <f>IF($G1548="","",ROUND($O1548*$N1548,0))</f>
        <v/>
      </c>
      <c r="Q1548" s="26">
        <f>IF($G1548="","",SUMIFS($P$4:$P$2503,$E$4:$E$2503,$E1548,$Z$4:$Z$2503,"正常"))</f>
        <v/>
      </c>
      <c r="R1548" s="26">
        <f>IF($G1548="","",SUMIFS(费用台账!$I$4:$I$503,费用台账!$C$4:$C$503,$E1548,费用台账!$J$4:$J$503,"是",费用台账!$K$4:$K$503,"正常"))</f>
        <v/>
      </c>
      <c r="S1548" s="28">
        <f>IF($G1548="","",COUNTIFS($E$4:$E$2503,$E1548,$Z$4:$Z$2503,"正常",$Y$4:$Y$2503,"待补价"))</f>
        <v/>
      </c>
      <c r="T1548" s="26">
        <f>IF($G1548="","",SUMIFS($P$4:$P$2503,$E$4:$E$2503,$E1548,$Z$4:$Z$2503,"正常",$A$4:$A$2503,"&lt;="&amp;$A1548))</f>
        <v/>
      </c>
      <c r="U1548" s="26">
        <f>IF($G1548="","",IF(OR($S1548&gt;0,$Q1548=0,$R1548=0,$Z1548&lt;&gt;"正常"),0,ROUND($T1548/$Q1548*$R1548,0)-ROUND(($T1548-$P1548)/$Q1548*$R1548,0)))</f>
        <v/>
      </c>
      <c r="V1548" s="26">
        <f>IF($G1548="","",ROUND($P1548+$U1548,0))</f>
        <v/>
      </c>
      <c r="W1548" s="26">
        <f>IF($G1548="","",IF(N($K1548)=0,0,ROUND($V1548/$K1548,2)))</f>
        <v/>
      </c>
      <c r="X1548" s="17" t="n"/>
      <c r="Y1548" s="17" t="n"/>
      <c r="Z1548" s="17" t="n"/>
      <c r="AA1548" s="17" t="n"/>
      <c r="AB1548" s="17" t="n"/>
      <c r="AC1548" s="24">
        <f>IF($G1548="","",IF($H1548="※编码不在物料档案里","※物料编码不在档案里",IF(N($K1548)&lt;=0,"※入库数量要大于 0",IF(AND($C1548&lt;&gt;"",$C1548&lt;=结账锁),"※日期早于已结账截止日，不能再录",IF(AND($L1548=0,$X1548="正常"),"※没填单价，价格状态请选「待补价」",IF(AND($S1548&gt;0,$R1548&gt;0),"△本批有 "&amp;$S1548&amp;" 行没单价，整批运费先挂账没摊",IF(AND($B1548&lt;&gt;"",COUNTIF($B$4:$B$2503,$B1548)&gt;1),"※入库单号重复","")))))))</f>
        <v/>
      </c>
    </row>
    <row r="1549">
      <c r="A1549" s="24">
        <f>IF($G1549="","",COUNTA($G$4:$G1549))</f>
        <v/>
      </c>
      <c r="B1549" s="17" t="n"/>
      <c r="C1549" s="30" t="n"/>
      <c r="D1549" s="17" t="n"/>
      <c r="E1549" s="17" t="n"/>
      <c r="F1549" s="17" t="n"/>
      <c r="G1549" s="17" t="n"/>
      <c r="H1549" s="24">
        <f>IF($G1549="","",IFERROR(VLOOKUP($G1549,物料档案!$A$4:$P$1203,3,0),"※编码不在物料档案里"))</f>
        <v/>
      </c>
      <c r="I1549" s="24">
        <f>IF($G1549="","",IFERROR(VLOOKUP($G1549,物料档案!$A$4:$P$1203,4,0),"※编码不在物料档案里"))</f>
        <v/>
      </c>
      <c r="J1549" s="24">
        <f>IF($G1549="","",IFERROR(VLOOKUP($G1549,物料档案!$A$4:$P$1203,5,0),"※编码不在物料档案里"))</f>
        <v/>
      </c>
      <c r="K1549" s="23" t="n"/>
      <c r="L1549" s="31" t="n"/>
      <c r="M1549" s="24">
        <f>IF($G1549="","",IF($D1549="A国内","CNY","TZS"))</f>
        <v/>
      </c>
      <c r="N1549" s="28">
        <f>IF($G1549="","",IF($D1549="A国内",汇率,1))</f>
        <v/>
      </c>
      <c r="O1549" s="25">
        <f>IF($G1549="","",ROUND(N($K1549)*N($L1549),2))</f>
        <v/>
      </c>
      <c r="P1549" s="26">
        <f>IF($G1549="","",ROUND($O1549*$N1549,0))</f>
        <v/>
      </c>
      <c r="Q1549" s="26">
        <f>IF($G1549="","",SUMIFS($P$4:$P$2503,$E$4:$E$2503,$E1549,$Z$4:$Z$2503,"正常"))</f>
        <v/>
      </c>
      <c r="R1549" s="26">
        <f>IF($G1549="","",SUMIFS(费用台账!$I$4:$I$503,费用台账!$C$4:$C$503,$E1549,费用台账!$J$4:$J$503,"是",费用台账!$K$4:$K$503,"正常"))</f>
        <v/>
      </c>
      <c r="S1549" s="28">
        <f>IF($G1549="","",COUNTIFS($E$4:$E$2503,$E1549,$Z$4:$Z$2503,"正常",$Y$4:$Y$2503,"待补价"))</f>
        <v/>
      </c>
      <c r="T1549" s="26">
        <f>IF($G1549="","",SUMIFS($P$4:$P$2503,$E$4:$E$2503,$E1549,$Z$4:$Z$2503,"正常",$A$4:$A$2503,"&lt;="&amp;$A1549))</f>
        <v/>
      </c>
      <c r="U1549" s="26">
        <f>IF($G1549="","",IF(OR($S1549&gt;0,$Q1549=0,$R1549=0,$Z1549&lt;&gt;"正常"),0,ROUND($T1549/$Q1549*$R1549,0)-ROUND(($T1549-$P1549)/$Q1549*$R1549,0)))</f>
        <v/>
      </c>
      <c r="V1549" s="26">
        <f>IF($G1549="","",ROUND($P1549+$U1549,0))</f>
        <v/>
      </c>
      <c r="W1549" s="26">
        <f>IF($G1549="","",IF(N($K1549)=0,0,ROUND($V1549/$K1549,2)))</f>
        <v/>
      </c>
      <c r="X1549" s="17" t="n"/>
      <c r="Y1549" s="17" t="n"/>
      <c r="Z1549" s="17" t="n"/>
      <c r="AA1549" s="17" t="n"/>
      <c r="AB1549" s="17" t="n"/>
      <c r="AC1549" s="24">
        <f>IF($G1549="","",IF($H1549="※编码不在物料档案里","※物料编码不在档案里",IF(N($K1549)&lt;=0,"※入库数量要大于 0",IF(AND($C1549&lt;&gt;"",$C1549&lt;=结账锁),"※日期早于已结账截止日，不能再录",IF(AND($L1549=0,$X1549="正常"),"※没填单价，价格状态请选「待补价」",IF(AND($S1549&gt;0,$R1549&gt;0),"△本批有 "&amp;$S1549&amp;" 行没单价，整批运费先挂账没摊",IF(AND($B1549&lt;&gt;"",COUNTIF($B$4:$B$2503,$B1549)&gt;1),"※入库单号重复","")))))))</f>
        <v/>
      </c>
    </row>
    <row r="1550">
      <c r="A1550" s="24">
        <f>IF($G1550="","",COUNTA($G$4:$G1550))</f>
        <v/>
      </c>
      <c r="B1550" s="17" t="n"/>
      <c r="C1550" s="30" t="n"/>
      <c r="D1550" s="17" t="n"/>
      <c r="E1550" s="17" t="n"/>
      <c r="F1550" s="17" t="n"/>
      <c r="G1550" s="17" t="n"/>
      <c r="H1550" s="24">
        <f>IF($G1550="","",IFERROR(VLOOKUP($G1550,物料档案!$A$4:$P$1203,3,0),"※编码不在物料档案里"))</f>
        <v/>
      </c>
      <c r="I1550" s="24">
        <f>IF($G1550="","",IFERROR(VLOOKUP($G1550,物料档案!$A$4:$P$1203,4,0),"※编码不在物料档案里"))</f>
        <v/>
      </c>
      <c r="J1550" s="24">
        <f>IF($G1550="","",IFERROR(VLOOKUP($G1550,物料档案!$A$4:$P$1203,5,0),"※编码不在物料档案里"))</f>
        <v/>
      </c>
      <c r="K1550" s="23" t="n"/>
      <c r="L1550" s="31" t="n"/>
      <c r="M1550" s="24">
        <f>IF($G1550="","",IF($D1550="A国内","CNY","TZS"))</f>
        <v/>
      </c>
      <c r="N1550" s="28">
        <f>IF($G1550="","",IF($D1550="A国内",汇率,1))</f>
        <v/>
      </c>
      <c r="O1550" s="25">
        <f>IF($G1550="","",ROUND(N($K1550)*N($L1550),2))</f>
        <v/>
      </c>
      <c r="P1550" s="26">
        <f>IF($G1550="","",ROUND($O1550*$N1550,0))</f>
        <v/>
      </c>
      <c r="Q1550" s="26">
        <f>IF($G1550="","",SUMIFS($P$4:$P$2503,$E$4:$E$2503,$E1550,$Z$4:$Z$2503,"正常"))</f>
        <v/>
      </c>
      <c r="R1550" s="26">
        <f>IF($G1550="","",SUMIFS(费用台账!$I$4:$I$503,费用台账!$C$4:$C$503,$E1550,费用台账!$J$4:$J$503,"是",费用台账!$K$4:$K$503,"正常"))</f>
        <v/>
      </c>
      <c r="S1550" s="28">
        <f>IF($G1550="","",COUNTIFS($E$4:$E$2503,$E1550,$Z$4:$Z$2503,"正常",$Y$4:$Y$2503,"待补价"))</f>
        <v/>
      </c>
      <c r="T1550" s="26">
        <f>IF($G1550="","",SUMIFS($P$4:$P$2503,$E$4:$E$2503,$E1550,$Z$4:$Z$2503,"正常",$A$4:$A$2503,"&lt;="&amp;$A1550))</f>
        <v/>
      </c>
      <c r="U1550" s="26">
        <f>IF($G1550="","",IF(OR($S1550&gt;0,$Q1550=0,$R1550=0,$Z1550&lt;&gt;"正常"),0,ROUND($T1550/$Q1550*$R1550,0)-ROUND(($T1550-$P1550)/$Q1550*$R1550,0)))</f>
        <v/>
      </c>
      <c r="V1550" s="26">
        <f>IF($G1550="","",ROUND($P1550+$U1550,0))</f>
        <v/>
      </c>
      <c r="W1550" s="26">
        <f>IF($G1550="","",IF(N($K1550)=0,0,ROUND($V1550/$K1550,2)))</f>
        <v/>
      </c>
      <c r="X1550" s="17" t="n"/>
      <c r="Y1550" s="17" t="n"/>
      <c r="Z1550" s="17" t="n"/>
      <c r="AA1550" s="17" t="n"/>
      <c r="AB1550" s="17" t="n"/>
      <c r="AC1550" s="24">
        <f>IF($G1550="","",IF($H1550="※编码不在物料档案里","※物料编码不在档案里",IF(N($K1550)&lt;=0,"※入库数量要大于 0",IF(AND($C1550&lt;&gt;"",$C1550&lt;=结账锁),"※日期早于已结账截止日，不能再录",IF(AND($L1550=0,$X1550="正常"),"※没填单价，价格状态请选「待补价」",IF(AND($S1550&gt;0,$R1550&gt;0),"△本批有 "&amp;$S1550&amp;" 行没单价，整批运费先挂账没摊",IF(AND($B1550&lt;&gt;"",COUNTIF($B$4:$B$2503,$B1550)&gt;1),"※入库单号重复","")))))))</f>
        <v/>
      </c>
    </row>
    <row r="1551">
      <c r="A1551" s="24">
        <f>IF($G1551="","",COUNTA($G$4:$G1551))</f>
        <v/>
      </c>
      <c r="B1551" s="17" t="n"/>
      <c r="C1551" s="30" t="n"/>
      <c r="D1551" s="17" t="n"/>
      <c r="E1551" s="17" t="n"/>
      <c r="F1551" s="17" t="n"/>
      <c r="G1551" s="17" t="n"/>
      <c r="H1551" s="24">
        <f>IF($G1551="","",IFERROR(VLOOKUP($G1551,物料档案!$A$4:$P$1203,3,0),"※编码不在物料档案里"))</f>
        <v/>
      </c>
      <c r="I1551" s="24">
        <f>IF($G1551="","",IFERROR(VLOOKUP($G1551,物料档案!$A$4:$P$1203,4,0),"※编码不在物料档案里"))</f>
        <v/>
      </c>
      <c r="J1551" s="24">
        <f>IF($G1551="","",IFERROR(VLOOKUP($G1551,物料档案!$A$4:$P$1203,5,0),"※编码不在物料档案里"))</f>
        <v/>
      </c>
      <c r="K1551" s="23" t="n"/>
      <c r="L1551" s="31" t="n"/>
      <c r="M1551" s="24">
        <f>IF($G1551="","",IF($D1551="A国内","CNY","TZS"))</f>
        <v/>
      </c>
      <c r="N1551" s="28">
        <f>IF($G1551="","",IF($D1551="A国内",汇率,1))</f>
        <v/>
      </c>
      <c r="O1551" s="25">
        <f>IF($G1551="","",ROUND(N($K1551)*N($L1551),2))</f>
        <v/>
      </c>
      <c r="P1551" s="26">
        <f>IF($G1551="","",ROUND($O1551*$N1551,0))</f>
        <v/>
      </c>
      <c r="Q1551" s="26">
        <f>IF($G1551="","",SUMIFS($P$4:$P$2503,$E$4:$E$2503,$E1551,$Z$4:$Z$2503,"正常"))</f>
        <v/>
      </c>
      <c r="R1551" s="26">
        <f>IF($G1551="","",SUMIFS(费用台账!$I$4:$I$503,费用台账!$C$4:$C$503,$E1551,费用台账!$J$4:$J$503,"是",费用台账!$K$4:$K$503,"正常"))</f>
        <v/>
      </c>
      <c r="S1551" s="28">
        <f>IF($G1551="","",COUNTIFS($E$4:$E$2503,$E1551,$Z$4:$Z$2503,"正常",$Y$4:$Y$2503,"待补价"))</f>
        <v/>
      </c>
      <c r="T1551" s="26">
        <f>IF($G1551="","",SUMIFS($P$4:$P$2503,$E$4:$E$2503,$E1551,$Z$4:$Z$2503,"正常",$A$4:$A$2503,"&lt;="&amp;$A1551))</f>
        <v/>
      </c>
      <c r="U1551" s="26">
        <f>IF($G1551="","",IF(OR($S1551&gt;0,$Q1551=0,$R1551=0,$Z1551&lt;&gt;"正常"),0,ROUND($T1551/$Q1551*$R1551,0)-ROUND(($T1551-$P1551)/$Q1551*$R1551,0)))</f>
        <v/>
      </c>
      <c r="V1551" s="26">
        <f>IF($G1551="","",ROUND($P1551+$U1551,0))</f>
        <v/>
      </c>
      <c r="W1551" s="26">
        <f>IF($G1551="","",IF(N($K1551)=0,0,ROUND($V1551/$K1551,2)))</f>
        <v/>
      </c>
      <c r="X1551" s="17" t="n"/>
      <c r="Y1551" s="17" t="n"/>
      <c r="Z1551" s="17" t="n"/>
      <c r="AA1551" s="17" t="n"/>
      <c r="AB1551" s="17" t="n"/>
      <c r="AC1551" s="24">
        <f>IF($G1551="","",IF($H1551="※编码不在物料档案里","※物料编码不在档案里",IF(N($K1551)&lt;=0,"※入库数量要大于 0",IF(AND($C1551&lt;&gt;"",$C1551&lt;=结账锁),"※日期早于已结账截止日，不能再录",IF(AND($L1551=0,$X1551="正常"),"※没填单价，价格状态请选「待补价」",IF(AND($S1551&gt;0,$R1551&gt;0),"△本批有 "&amp;$S1551&amp;" 行没单价，整批运费先挂账没摊",IF(AND($B1551&lt;&gt;"",COUNTIF($B$4:$B$2503,$B1551)&gt;1),"※入库单号重复","")))))))</f>
        <v/>
      </c>
    </row>
    <row r="1552">
      <c r="A1552" s="24">
        <f>IF($G1552="","",COUNTA($G$4:$G1552))</f>
        <v/>
      </c>
      <c r="B1552" s="17" t="n"/>
      <c r="C1552" s="30" t="n"/>
      <c r="D1552" s="17" t="n"/>
      <c r="E1552" s="17" t="n"/>
      <c r="F1552" s="17" t="n"/>
      <c r="G1552" s="17" t="n"/>
      <c r="H1552" s="24">
        <f>IF($G1552="","",IFERROR(VLOOKUP($G1552,物料档案!$A$4:$P$1203,3,0),"※编码不在物料档案里"))</f>
        <v/>
      </c>
      <c r="I1552" s="24">
        <f>IF($G1552="","",IFERROR(VLOOKUP($G1552,物料档案!$A$4:$P$1203,4,0),"※编码不在物料档案里"))</f>
        <v/>
      </c>
      <c r="J1552" s="24">
        <f>IF($G1552="","",IFERROR(VLOOKUP($G1552,物料档案!$A$4:$P$1203,5,0),"※编码不在物料档案里"))</f>
        <v/>
      </c>
      <c r="K1552" s="23" t="n"/>
      <c r="L1552" s="31" t="n"/>
      <c r="M1552" s="24">
        <f>IF($G1552="","",IF($D1552="A国内","CNY","TZS"))</f>
        <v/>
      </c>
      <c r="N1552" s="28">
        <f>IF($G1552="","",IF($D1552="A国内",汇率,1))</f>
        <v/>
      </c>
      <c r="O1552" s="25">
        <f>IF($G1552="","",ROUND(N($K1552)*N($L1552),2))</f>
        <v/>
      </c>
      <c r="P1552" s="26">
        <f>IF($G1552="","",ROUND($O1552*$N1552,0))</f>
        <v/>
      </c>
      <c r="Q1552" s="26">
        <f>IF($G1552="","",SUMIFS($P$4:$P$2503,$E$4:$E$2503,$E1552,$Z$4:$Z$2503,"正常"))</f>
        <v/>
      </c>
      <c r="R1552" s="26">
        <f>IF($G1552="","",SUMIFS(费用台账!$I$4:$I$503,费用台账!$C$4:$C$503,$E1552,费用台账!$J$4:$J$503,"是",费用台账!$K$4:$K$503,"正常"))</f>
        <v/>
      </c>
      <c r="S1552" s="28">
        <f>IF($G1552="","",COUNTIFS($E$4:$E$2503,$E1552,$Z$4:$Z$2503,"正常",$Y$4:$Y$2503,"待补价"))</f>
        <v/>
      </c>
      <c r="T1552" s="26">
        <f>IF($G1552="","",SUMIFS($P$4:$P$2503,$E$4:$E$2503,$E1552,$Z$4:$Z$2503,"正常",$A$4:$A$2503,"&lt;="&amp;$A1552))</f>
        <v/>
      </c>
      <c r="U1552" s="26">
        <f>IF($G1552="","",IF(OR($S1552&gt;0,$Q1552=0,$R1552=0,$Z1552&lt;&gt;"正常"),0,ROUND($T1552/$Q1552*$R1552,0)-ROUND(($T1552-$P1552)/$Q1552*$R1552,0)))</f>
        <v/>
      </c>
      <c r="V1552" s="26">
        <f>IF($G1552="","",ROUND($P1552+$U1552,0))</f>
        <v/>
      </c>
      <c r="W1552" s="26">
        <f>IF($G1552="","",IF(N($K1552)=0,0,ROUND($V1552/$K1552,2)))</f>
        <v/>
      </c>
      <c r="X1552" s="17" t="n"/>
      <c r="Y1552" s="17" t="n"/>
      <c r="Z1552" s="17" t="n"/>
      <c r="AA1552" s="17" t="n"/>
      <c r="AB1552" s="17" t="n"/>
      <c r="AC1552" s="24">
        <f>IF($G1552="","",IF($H1552="※编码不在物料档案里","※物料编码不在档案里",IF(N($K1552)&lt;=0,"※入库数量要大于 0",IF(AND($C1552&lt;&gt;"",$C1552&lt;=结账锁),"※日期早于已结账截止日，不能再录",IF(AND($L1552=0,$X1552="正常"),"※没填单价，价格状态请选「待补价」",IF(AND($S1552&gt;0,$R1552&gt;0),"△本批有 "&amp;$S1552&amp;" 行没单价，整批运费先挂账没摊",IF(AND($B1552&lt;&gt;"",COUNTIF($B$4:$B$2503,$B1552)&gt;1),"※入库单号重复","")))))))</f>
        <v/>
      </c>
    </row>
    <row r="1553">
      <c r="A1553" s="24">
        <f>IF($G1553="","",COUNTA($G$4:$G1553))</f>
        <v/>
      </c>
      <c r="B1553" s="17" t="n"/>
      <c r="C1553" s="30" t="n"/>
      <c r="D1553" s="17" t="n"/>
      <c r="E1553" s="17" t="n"/>
      <c r="F1553" s="17" t="n"/>
      <c r="G1553" s="17" t="n"/>
      <c r="H1553" s="24">
        <f>IF($G1553="","",IFERROR(VLOOKUP($G1553,物料档案!$A$4:$P$1203,3,0),"※编码不在物料档案里"))</f>
        <v/>
      </c>
      <c r="I1553" s="24">
        <f>IF($G1553="","",IFERROR(VLOOKUP($G1553,物料档案!$A$4:$P$1203,4,0),"※编码不在物料档案里"))</f>
        <v/>
      </c>
      <c r="J1553" s="24">
        <f>IF($G1553="","",IFERROR(VLOOKUP($G1553,物料档案!$A$4:$P$1203,5,0),"※编码不在物料档案里"))</f>
        <v/>
      </c>
      <c r="K1553" s="23" t="n"/>
      <c r="L1553" s="31" t="n"/>
      <c r="M1553" s="24">
        <f>IF($G1553="","",IF($D1553="A国内","CNY","TZS"))</f>
        <v/>
      </c>
      <c r="N1553" s="28">
        <f>IF($G1553="","",IF($D1553="A国内",汇率,1))</f>
        <v/>
      </c>
      <c r="O1553" s="25">
        <f>IF($G1553="","",ROUND(N($K1553)*N($L1553),2))</f>
        <v/>
      </c>
      <c r="P1553" s="26">
        <f>IF($G1553="","",ROUND($O1553*$N1553,0))</f>
        <v/>
      </c>
      <c r="Q1553" s="26">
        <f>IF($G1553="","",SUMIFS($P$4:$P$2503,$E$4:$E$2503,$E1553,$Z$4:$Z$2503,"正常"))</f>
        <v/>
      </c>
      <c r="R1553" s="26">
        <f>IF($G1553="","",SUMIFS(费用台账!$I$4:$I$503,费用台账!$C$4:$C$503,$E1553,费用台账!$J$4:$J$503,"是",费用台账!$K$4:$K$503,"正常"))</f>
        <v/>
      </c>
      <c r="S1553" s="28">
        <f>IF($G1553="","",COUNTIFS($E$4:$E$2503,$E1553,$Z$4:$Z$2503,"正常",$Y$4:$Y$2503,"待补价"))</f>
        <v/>
      </c>
      <c r="T1553" s="26">
        <f>IF($G1553="","",SUMIFS($P$4:$P$2503,$E$4:$E$2503,$E1553,$Z$4:$Z$2503,"正常",$A$4:$A$2503,"&lt;="&amp;$A1553))</f>
        <v/>
      </c>
      <c r="U1553" s="26">
        <f>IF($G1553="","",IF(OR($S1553&gt;0,$Q1553=0,$R1553=0,$Z1553&lt;&gt;"正常"),0,ROUND($T1553/$Q1553*$R1553,0)-ROUND(($T1553-$P1553)/$Q1553*$R1553,0)))</f>
        <v/>
      </c>
      <c r="V1553" s="26">
        <f>IF($G1553="","",ROUND($P1553+$U1553,0))</f>
        <v/>
      </c>
      <c r="W1553" s="26">
        <f>IF($G1553="","",IF(N($K1553)=0,0,ROUND($V1553/$K1553,2)))</f>
        <v/>
      </c>
      <c r="X1553" s="17" t="n"/>
      <c r="Y1553" s="17" t="n"/>
      <c r="Z1553" s="17" t="n"/>
      <c r="AA1553" s="17" t="n"/>
      <c r="AB1553" s="17" t="n"/>
      <c r="AC1553" s="24">
        <f>IF($G1553="","",IF($H1553="※编码不在物料档案里","※物料编码不在档案里",IF(N($K1553)&lt;=0,"※入库数量要大于 0",IF(AND($C1553&lt;&gt;"",$C1553&lt;=结账锁),"※日期早于已结账截止日，不能再录",IF(AND($L1553=0,$X1553="正常"),"※没填单价，价格状态请选「待补价」",IF(AND($S1553&gt;0,$R1553&gt;0),"△本批有 "&amp;$S1553&amp;" 行没单价，整批运费先挂账没摊",IF(AND($B1553&lt;&gt;"",COUNTIF($B$4:$B$2503,$B1553)&gt;1),"※入库单号重复","")))))))</f>
        <v/>
      </c>
    </row>
    <row r="1554">
      <c r="A1554" s="24">
        <f>IF($G1554="","",COUNTA($G$4:$G1554))</f>
        <v/>
      </c>
      <c r="B1554" s="17" t="n"/>
      <c r="C1554" s="30" t="n"/>
      <c r="D1554" s="17" t="n"/>
      <c r="E1554" s="17" t="n"/>
      <c r="F1554" s="17" t="n"/>
      <c r="G1554" s="17" t="n"/>
      <c r="H1554" s="24">
        <f>IF($G1554="","",IFERROR(VLOOKUP($G1554,物料档案!$A$4:$P$1203,3,0),"※编码不在物料档案里"))</f>
        <v/>
      </c>
      <c r="I1554" s="24">
        <f>IF($G1554="","",IFERROR(VLOOKUP($G1554,物料档案!$A$4:$P$1203,4,0),"※编码不在物料档案里"))</f>
        <v/>
      </c>
      <c r="J1554" s="24">
        <f>IF($G1554="","",IFERROR(VLOOKUP($G1554,物料档案!$A$4:$P$1203,5,0),"※编码不在物料档案里"))</f>
        <v/>
      </c>
      <c r="K1554" s="23" t="n"/>
      <c r="L1554" s="31" t="n"/>
      <c r="M1554" s="24">
        <f>IF($G1554="","",IF($D1554="A国内","CNY","TZS"))</f>
        <v/>
      </c>
      <c r="N1554" s="28">
        <f>IF($G1554="","",IF($D1554="A国内",汇率,1))</f>
        <v/>
      </c>
      <c r="O1554" s="25">
        <f>IF($G1554="","",ROUND(N($K1554)*N($L1554),2))</f>
        <v/>
      </c>
      <c r="P1554" s="26">
        <f>IF($G1554="","",ROUND($O1554*$N1554,0))</f>
        <v/>
      </c>
      <c r="Q1554" s="26">
        <f>IF($G1554="","",SUMIFS($P$4:$P$2503,$E$4:$E$2503,$E1554,$Z$4:$Z$2503,"正常"))</f>
        <v/>
      </c>
      <c r="R1554" s="26">
        <f>IF($G1554="","",SUMIFS(费用台账!$I$4:$I$503,费用台账!$C$4:$C$503,$E1554,费用台账!$J$4:$J$503,"是",费用台账!$K$4:$K$503,"正常"))</f>
        <v/>
      </c>
      <c r="S1554" s="28">
        <f>IF($G1554="","",COUNTIFS($E$4:$E$2503,$E1554,$Z$4:$Z$2503,"正常",$Y$4:$Y$2503,"待补价"))</f>
        <v/>
      </c>
      <c r="T1554" s="26">
        <f>IF($G1554="","",SUMIFS($P$4:$P$2503,$E$4:$E$2503,$E1554,$Z$4:$Z$2503,"正常",$A$4:$A$2503,"&lt;="&amp;$A1554))</f>
        <v/>
      </c>
      <c r="U1554" s="26">
        <f>IF($G1554="","",IF(OR($S1554&gt;0,$Q1554=0,$R1554=0,$Z1554&lt;&gt;"正常"),0,ROUND($T1554/$Q1554*$R1554,0)-ROUND(($T1554-$P1554)/$Q1554*$R1554,0)))</f>
        <v/>
      </c>
      <c r="V1554" s="26">
        <f>IF($G1554="","",ROUND($P1554+$U1554,0))</f>
        <v/>
      </c>
      <c r="W1554" s="26">
        <f>IF($G1554="","",IF(N($K1554)=0,0,ROUND($V1554/$K1554,2)))</f>
        <v/>
      </c>
      <c r="X1554" s="17" t="n"/>
      <c r="Y1554" s="17" t="n"/>
      <c r="Z1554" s="17" t="n"/>
      <c r="AA1554" s="17" t="n"/>
      <c r="AB1554" s="17" t="n"/>
      <c r="AC1554" s="24">
        <f>IF($G1554="","",IF($H1554="※编码不在物料档案里","※物料编码不在档案里",IF(N($K1554)&lt;=0,"※入库数量要大于 0",IF(AND($C1554&lt;&gt;"",$C1554&lt;=结账锁),"※日期早于已结账截止日，不能再录",IF(AND($L1554=0,$X1554="正常"),"※没填单价，价格状态请选「待补价」",IF(AND($S1554&gt;0,$R1554&gt;0),"△本批有 "&amp;$S1554&amp;" 行没单价，整批运费先挂账没摊",IF(AND($B1554&lt;&gt;"",COUNTIF($B$4:$B$2503,$B1554)&gt;1),"※入库单号重复","")))))))</f>
        <v/>
      </c>
    </row>
    <row r="1555">
      <c r="A1555" s="24">
        <f>IF($G1555="","",COUNTA($G$4:$G1555))</f>
        <v/>
      </c>
      <c r="B1555" s="17" t="n"/>
      <c r="C1555" s="30" t="n"/>
      <c r="D1555" s="17" t="n"/>
      <c r="E1555" s="17" t="n"/>
      <c r="F1555" s="17" t="n"/>
      <c r="G1555" s="17" t="n"/>
      <c r="H1555" s="24">
        <f>IF($G1555="","",IFERROR(VLOOKUP($G1555,物料档案!$A$4:$P$1203,3,0),"※编码不在物料档案里"))</f>
        <v/>
      </c>
      <c r="I1555" s="24">
        <f>IF($G1555="","",IFERROR(VLOOKUP($G1555,物料档案!$A$4:$P$1203,4,0),"※编码不在物料档案里"))</f>
        <v/>
      </c>
      <c r="J1555" s="24">
        <f>IF($G1555="","",IFERROR(VLOOKUP($G1555,物料档案!$A$4:$P$1203,5,0),"※编码不在物料档案里"))</f>
        <v/>
      </c>
      <c r="K1555" s="23" t="n"/>
      <c r="L1555" s="31" t="n"/>
      <c r="M1555" s="24">
        <f>IF($G1555="","",IF($D1555="A国内","CNY","TZS"))</f>
        <v/>
      </c>
      <c r="N1555" s="28">
        <f>IF($G1555="","",IF($D1555="A国内",汇率,1))</f>
        <v/>
      </c>
      <c r="O1555" s="25">
        <f>IF($G1555="","",ROUND(N($K1555)*N($L1555),2))</f>
        <v/>
      </c>
      <c r="P1555" s="26">
        <f>IF($G1555="","",ROUND($O1555*$N1555,0))</f>
        <v/>
      </c>
      <c r="Q1555" s="26">
        <f>IF($G1555="","",SUMIFS($P$4:$P$2503,$E$4:$E$2503,$E1555,$Z$4:$Z$2503,"正常"))</f>
        <v/>
      </c>
      <c r="R1555" s="26">
        <f>IF($G1555="","",SUMIFS(费用台账!$I$4:$I$503,费用台账!$C$4:$C$503,$E1555,费用台账!$J$4:$J$503,"是",费用台账!$K$4:$K$503,"正常"))</f>
        <v/>
      </c>
      <c r="S1555" s="28">
        <f>IF($G1555="","",COUNTIFS($E$4:$E$2503,$E1555,$Z$4:$Z$2503,"正常",$Y$4:$Y$2503,"待补价"))</f>
        <v/>
      </c>
      <c r="T1555" s="26">
        <f>IF($G1555="","",SUMIFS($P$4:$P$2503,$E$4:$E$2503,$E1555,$Z$4:$Z$2503,"正常",$A$4:$A$2503,"&lt;="&amp;$A1555))</f>
        <v/>
      </c>
      <c r="U1555" s="26">
        <f>IF($G1555="","",IF(OR($S1555&gt;0,$Q1555=0,$R1555=0,$Z1555&lt;&gt;"正常"),0,ROUND($T1555/$Q1555*$R1555,0)-ROUND(($T1555-$P1555)/$Q1555*$R1555,0)))</f>
        <v/>
      </c>
      <c r="V1555" s="26">
        <f>IF($G1555="","",ROUND($P1555+$U1555,0))</f>
        <v/>
      </c>
      <c r="W1555" s="26">
        <f>IF($G1555="","",IF(N($K1555)=0,0,ROUND($V1555/$K1555,2)))</f>
        <v/>
      </c>
      <c r="X1555" s="17" t="n"/>
      <c r="Y1555" s="17" t="n"/>
      <c r="Z1555" s="17" t="n"/>
      <c r="AA1555" s="17" t="n"/>
      <c r="AB1555" s="17" t="n"/>
      <c r="AC1555" s="24">
        <f>IF($G1555="","",IF($H1555="※编码不在物料档案里","※物料编码不在档案里",IF(N($K1555)&lt;=0,"※入库数量要大于 0",IF(AND($C1555&lt;&gt;"",$C1555&lt;=结账锁),"※日期早于已结账截止日，不能再录",IF(AND($L1555=0,$X1555="正常"),"※没填单价，价格状态请选「待补价」",IF(AND($S1555&gt;0,$R1555&gt;0),"△本批有 "&amp;$S1555&amp;" 行没单价，整批运费先挂账没摊",IF(AND($B1555&lt;&gt;"",COUNTIF($B$4:$B$2503,$B1555)&gt;1),"※入库单号重复","")))))))</f>
        <v/>
      </c>
    </row>
    <row r="1556">
      <c r="A1556" s="24">
        <f>IF($G1556="","",COUNTA($G$4:$G1556))</f>
        <v/>
      </c>
      <c r="B1556" s="17" t="n"/>
      <c r="C1556" s="30" t="n"/>
      <c r="D1556" s="17" t="n"/>
      <c r="E1556" s="17" t="n"/>
      <c r="F1556" s="17" t="n"/>
      <c r="G1556" s="17" t="n"/>
      <c r="H1556" s="24">
        <f>IF($G1556="","",IFERROR(VLOOKUP($G1556,物料档案!$A$4:$P$1203,3,0),"※编码不在物料档案里"))</f>
        <v/>
      </c>
      <c r="I1556" s="24">
        <f>IF($G1556="","",IFERROR(VLOOKUP($G1556,物料档案!$A$4:$P$1203,4,0),"※编码不在物料档案里"))</f>
        <v/>
      </c>
      <c r="J1556" s="24">
        <f>IF($G1556="","",IFERROR(VLOOKUP($G1556,物料档案!$A$4:$P$1203,5,0),"※编码不在物料档案里"))</f>
        <v/>
      </c>
      <c r="K1556" s="23" t="n"/>
      <c r="L1556" s="31" t="n"/>
      <c r="M1556" s="24">
        <f>IF($G1556="","",IF($D1556="A国内","CNY","TZS"))</f>
        <v/>
      </c>
      <c r="N1556" s="28">
        <f>IF($G1556="","",IF($D1556="A国内",汇率,1))</f>
        <v/>
      </c>
      <c r="O1556" s="25">
        <f>IF($G1556="","",ROUND(N($K1556)*N($L1556),2))</f>
        <v/>
      </c>
      <c r="P1556" s="26">
        <f>IF($G1556="","",ROUND($O1556*$N1556,0))</f>
        <v/>
      </c>
      <c r="Q1556" s="26">
        <f>IF($G1556="","",SUMIFS($P$4:$P$2503,$E$4:$E$2503,$E1556,$Z$4:$Z$2503,"正常"))</f>
        <v/>
      </c>
      <c r="R1556" s="26">
        <f>IF($G1556="","",SUMIFS(费用台账!$I$4:$I$503,费用台账!$C$4:$C$503,$E1556,费用台账!$J$4:$J$503,"是",费用台账!$K$4:$K$503,"正常"))</f>
        <v/>
      </c>
      <c r="S1556" s="28">
        <f>IF($G1556="","",COUNTIFS($E$4:$E$2503,$E1556,$Z$4:$Z$2503,"正常",$Y$4:$Y$2503,"待补价"))</f>
        <v/>
      </c>
      <c r="T1556" s="26">
        <f>IF($G1556="","",SUMIFS($P$4:$P$2503,$E$4:$E$2503,$E1556,$Z$4:$Z$2503,"正常",$A$4:$A$2503,"&lt;="&amp;$A1556))</f>
        <v/>
      </c>
      <c r="U1556" s="26">
        <f>IF($G1556="","",IF(OR($S1556&gt;0,$Q1556=0,$R1556=0,$Z1556&lt;&gt;"正常"),0,ROUND($T1556/$Q1556*$R1556,0)-ROUND(($T1556-$P1556)/$Q1556*$R1556,0)))</f>
        <v/>
      </c>
      <c r="V1556" s="26">
        <f>IF($G1556="","",ROUND($P1556+$U1556,0))</f>
        <v/>
      </c>
      <c r="W1556" s="26">
        <f>IF($G1556="","",IF(N($K1556)=0,0,ROUND($V1556/$K1556,2)))</f>
        <v/>
      </c>
      <c r="X1556" s="17" t="n"/>
      <c r="Y1556" s="17" t="n"/>
      <c r="Z1556" s="17" t="n"/>
      <c r="AA1556" s="17" t="n"/>
      <c r="AB1556" s="17" t="n"/>
      <c r="AC1556" s="24">
        <f>IF($G1556="","",IF($H1556="※编码不在物料档案里","※物料编码不在档案里",IF(N($K1556)&lt;=0,"※入库数量要大于 0",IF(AND($C1556&lt;&gt;"",$C1556&lt;=结账锁),"※日期早于已结账截止日，不能再录",IF(AND($L1556=0,$X1556="正常"),"※没填单价，价格状态请选「待补价」",IF(AND($S1556&gt;0,$R1556&gt;0),"△本批有 "&amp;$S1556&amp;" 行没单价，整批运费先挂账没摊",IF(AND($B1556&lt;&gt;"",COUNTIF($B$4:$B$2503,$B1556)&gt;1),"※入库单号重复","")))))))</f>
        <v/>
      </c>
    </row>
    <row r="1557">
      <c r="A1557" s="24">
        <f>IF($G1557="","",COUNTA($G$4:$G1557))</f>
        <v/>
      </c>
      <c r="B1557" s="17" t="n"/>
      <c r="C1557" s="30" t="n"/>
      <c r="D1557" s="17" t="n"/>
      <c r="E1557" s="17" t="n"/>
      <c r="F1557" s="17" t="n"/>
      <c r="G1557" s="17" t="n"/>
      <c r="H1557" s="24">
        <f>IF($G1557="","",IFERROR(VLOOKUP($G1557,物料档案!$A$4:$P$1203,3,0),"※编码不在物料档案里"))</f>
        <v/>
      </c>
      <c r="I1557" s="24">
        <f>IF($G1557="","",IFERROR(VLOOKUP($G1557,物料档案!$A$4:$P$1203,4,0),"※编码不在物料档案里"))</f>
        <v/>
      </c>
      <c r="J1557" s="24">
        <f>IF($G1557="","",IFERROR(VLOOKUP($G1557,物料档案!$A$4:$P$1203,5,0),"※编码不在物料档案里"))</f>
        <v/>
      </c>
      <c r="K1557" s="23" t="n"/>
      <c r="L1557" s="31" t="n"/>
      <c r="M1557" s="24">
        <f>IF($G1557="","",IF($D1557="A国内","CNY","TZS"))</f>
        <v/>
      </c>
      <c r="N1557" s="28">
        <f>IF($G1557="","",IF($D1557="A国内",汇率,1))</f>
        <v/>
      </c>
      <c r="O1557" s="25">
        <f>IF($G1557="","",ROUND(N($K1557)*N($L1557),2))</f>
        <v/>
      </c>
      <c r="P1557" s="26">
        <f>IF($G1557="","",ROUND($O1557*$N1557,0))</f>
        <v/>
      </c>
      <c r="Q1557" s="26">
        <f>IF($G1557="","",SUMIFS($P$4:$P$2503,$E$4:$E$2503,$E1557,$Z$4:$Z$2503,"正常"))</f>
        <v/>
      </c>
      <c r="R1557" s="26">
        <f>IF($G1557="","",SUMIFS(费用台账!$I$4:$I$503,费用台账!$C$4:$C$503,$E1557,费用台账!$J$4:$J$503,"是",费用台账!$K$4:$K$503,"正常"))</f>
        <v/>
      </c>
      <c r="S1557" s="28">
        <f>IF($G1557="","",COUNTIFS($E$4:$E$2503,$E1557,$Z$4:$Z$2503,"正常",$Y$4:$Y$2503,"待补价"))</f>
        <v/>
      </c>
      <c r="T1557" s="26">
        <f>IF($G1557="","",SUMIFS($P$4:$P$2503,$E$4:$E$2503,$E1557,$Z$4:$Z$2503,"正常",$A$4:$A$2503,"&lt;="&amp;$A1557))</f>
        <v/>
      </c>
      <c r="U1557" s="26">
        <f>IF($G1557="","",IF(OR($S1557&gt;0,$Q1557=0,$R1557=0,$Z1557&lt;&gt;"正常"),0,ROUND($T1557/$Q1557*$R1557,0)-ROUND(($T1557-$P1557)/$Q1557*$R1557,0)))</f>
        <v/>
      </c>
      <c r="V1557" s="26">
        <f>IF($G1557="","",ROUND($P1557+$U1557,0))</f>
        <v/>
      </c>
      <c r="W1557" s="26">
        <f>IF($G1557="","",IF(N($K1557)=0,0,ROUND($V1557/$K1557,2)))</f>
        <v/>
      </c>
      <c r="X1557" s="17" t="n"/>
      <c r="Y1557" s="17" t="n"/>
      <c r="Z1557" s="17" t="n"/>
      <c r="AA1557" s="17" t="n"/>
      <c r="AB1557" s="17" t="n"/>
      <c r="AC1557" s="24">
        <f>IF($G1557="","",IF($H1557="※编码不在物料档案里","※物料编码不在档案里",IF(N($K1557)&lt;=0,"※入库数量要大于 0",IF(AND($C1557&lt;&gt;"",$C1557&lt;=结账锁),"※日期早于已结账截止日，不能再录",IF(AND($L1557=0,$X1557="正常"),"※没填单价，价格状态请选「待补价」",IF(AND($S1557&gt;0,$R1557&gt;0),"△本批有 "&amp;$S1557&amp;" 行没单价，整批运费先挂账没摊",IF(AND($B1557&lt;&gt;"",COUNTIF($B$4:$B$2503,$B1557)&gt;1),"※入库单号重复","")))))))</f>
        <v/>
      </c>
    </row>
    <row r="1558">
      <c r="A1558" s="24">
        <f>IF($G1558="","",COUNTA($G$4:$G1558))</f>
        <v/>
      </c>
      <c r="B1558" s="17" t="n"/>
      <c r="C1558" s="30" t="n"/>
      <c r="D1558" s="17" t="n"/>
      <c r="E1558" s="17" t="n"/>
      <c r="F1558" s="17" t="n"/>
      <c r="G1558" s="17" t="n"/>
      <c r="H1558" s="24">
        <f>IF($G1558="","",IFERROR(VLOOKUP($G1558,物料档案!$A$4:$P$1203,3,0),"※编码不在物料档案里"))</f>
        <v/>
      </c>
      <c r="I1558" s="24">
        <f>IF($G1558="","",IFERROR(VLOOKUP($G1558,物料档案!$A$4:$P$1203,4,0),"※编码不在物料档案里"))</f>
        <v/>
      </c>
      <c r="J1558" s="24">
        <f>IF($G1558="","",IFERROR(VLOOKUP($G1558,物料档案!$A$4:$P$1203,5,0),"※编码不在物料档案里"))</f>
        <v/>
      </c>
      <c r="K1558" s="23" t="n"/>
      <c r="L1558" s="31" t="n"/>
      <c r="M1558" s="24">
        <f>IF($G1558="","",IF($D1558="A国内","CNY","TZS"))</f>
        <v/>
      </c>
      <c r="N1558" s="28">
        <f>IF($G1558="","",IF($D1558="A国内",汇率,1))</f>
        <v/>
      </c>
      <c r="O1558" s="25">
        <f>IF($G1558="","",ROUND(N($K1558)*N($L1558),2))</f>
        <v/>
      </c>
      <c r="P1558" s="26">
        <f>IF($G1558="","",ROUND($O1558*$N1558,0))</f>
        <v/>
      </c>
      <c r="Q1558" s="26">
        <f>IF($G1558="","",SUMIFS($P$4:$P$2503,$E$4:$E$2503,$E1558,$Z$4:$Z$2503,"正常"))</f>
        <v/>
      </c>
      <c r="R1558" s="26">
        <f>IF($G1558="","",SUMIFS(费用台账!$I$4:$I$503,费用台账!$C$4:$C$503,$E1558,费用台账!$J$4:$J$503,"是",费用台账!$K$4:$K$503,"正常"))</f>
        <v/>
      </c>
      <c r="S1558" s="28">
        <f>IF($G1558="","",COUNTIFS($E$4:$E$2503,$E1558,$Z$4:$Z$2503,"正常",$Y$4:$Y$2503,"待补价"))</f>
        <v/>
      </c>
      <c r="T1558" s="26">
        <f>IF($G1558="","",SUMIFS($P$4:$P$2503,$E$4:$E$2503,$E1558,$Z$4:$Z$2503,"正常",$A$4:$A$2503,"&lt;="&amp;$A1558))</f>
        <v/>
      </c>
      <c r="U1558" s="26">
        <f>IF($G1558="","",IF(OR($S1558&gt;0,$Q1558=0,$R1558=0,$Z1558&lt;&gt;"正常"),0,ROUND($T1558/$Q1558*$R1558,0)-ROUND(($T1558-$P1558)/$Q1558*$R1558,0)))</f>
        <v/>
      </c>
      <c r="V1558" s="26">
        <f>IF($G1558="","",ROUND($P1558+$U1558,0))</f>
        <v/>
      </c>
      <c r="W1558" s="26">
        <f>IF($G1558="","",IF(N($K1558)=0,0,ROUND($V1558/$K1558,2)))</f>
        <v/>
      </c>
      <c r="X1558" s="17" t="n"/>
      <c r="Y1558" s="17" t="n"/>
      <c r="Z1558" s="17" t="n"/>
      <c r="AA1558" s="17" t="n"/>
      <c r="AB1558" s="17" t="n"/>
      <c r="AC1558" s="24">
        <f>IF($G1558="","",IF($H1558="※编码不在物料档案里","※物料编码不在档案里",IF(N($K1558)&lt;=0,"※入库数量要大于 0",IF(AND($C1558&lt;&gt;"",$C1558&lt;=结账锁),"※日期早于已结账截止日，不能再录",IF(AND($L1558=0,$X1558="正常"),"※没填单价，价格状态请选「待补价」",IF(AND($S1558&gt;0,$R1558&gt;0),"△本批有 "&amp;$S1558&amp;" 行没单价，整批运费先挂账没摊",IF(AND($B1558&lt;&gt;"",COUNTIF($B$4:$B$2503,$B1558)&gt;1),"※入库单号重复","")))))))</f>
        <v/>
      </c>
    </row>
    <row r="1559">
      <c r="A1559" s="24">
        <f>IF($G1559="","",COUNTA($G$4:$G1559))</f>
        <v/>
      </c>
      <c r="B1559" s="17" t="n"/>
      <c r="C1559" s="30" t="n"/>
      <c r="D1559" s="17" t="n"/>
      <c r="E1559" s="17" t="n"/>
      <c r="F1559" s="17" t="n"/>
      <c r="G1559" s="17" t="n"/>
      <c r="H1559" s="24">
        <f>IF($G1559="","",IFERROR(VLOOKUP($G1559,物料档案!$A$4:$P$1203,3,0),"※编码不在物料档案里"))</f>
        <v/>
      </c>
      <c r="I1559" s="24">
        <f>IF($G1559="","",IFERROR(VLOOKUP($G1559,物料档案!$A$4:$P$1203,4,0),"※编码不在物料档案里"))</f>
        <v/>
      </c>
      <c r="J1559" s="24">
        <f>IF($G1559="","",IFERROR(VLOOKUP($G1559,物料档案!$A$4:$P$1203,5,0),"※编码不在物料档案里"))</f>
        <v/>
      </c>
      <c r="K1559" s="23" t="n"/>
      <c r="L1559" s="31" t="n"/>
      <c r="M1559" s="24">
        <f>IF($G1559="","",IF($D1559="A国内","CNY","TZS"))</f>
        <v/>
      </c>
      <c r="N1559" s="28">
        <f>IF($G1559="","",IF($D1559="A国内",汇率,1))</f>
        <v/>
      </c>
      <c r="O1559" s="25">
        <f>IF($G1559="","",ROUND(N($K1559)*N($L1559),2))</f>
        <v/>
      </c>
      <c r="P1559" s="26">
        <f>IF($G1559="","",ROUND($O1559*$N1559,0))</f>
        <v/>
      </c>
      <c r="Q1559" s="26">
        <f>IF($G1559="","",SUMIFS($P$4:$P$2503,$E$4:$E$2503,$E1559,$Z$4:$Z$2503,"正常"))</f>
        <v/>
      </c>
      <c r="R1559" s="26">
        <f>IF($G1559="","",SUMIFS(费用台账!$I$4:$I$503,费用台账!$C$4:$C$503,$E1559,费用台账!$J$4:$J$503,"是",费用台账!$K$4:$K$503,"正常"))</f>
        <v/>
      </c>
      <c r="S1559" s="28">
        <f>IF($G1559="","",COUNTIFS($E$4:$E$2503,$E1559,$Z$4:$Z$2503,"正常",$Y$4:$Y$2503,"待补价"))</f>
        <v/>
      </c>
      <c r="T1559" s="26">
        <f>IF($G1559="","",SUMIFS($P$4:$P$2503,$E$4:$E$2503,$E1559,$Z$4:$Z$2503,"正常",$A$4:$A$2503,"&lt;="&amp;$A1559))</f>
        <v/>
      </c>
      <c r="U1559" s="26">
        <f>IF($G1559="","",IF(OR($S1559&gt;0,$Q1559=0,$R1559=0,$Z1559&lt;&gt;"正常"),0,ROUND($T1559/$Q1559*$R1559,0)-ROUND(($T1559-$P1559)/$Q1559*$R1559,0)))</f>
        <v/>
      </c>
      <c r="V1559" s="26">
        <f>IF($G1559="","",ROUND($P1559+$U1559,0))</f>
        <v/>
      </c>
      <c r="W1559" s="26">
        <f>IF($G1559="","",IF(N($K1559)=0,0,ROUND($V1559/$K1559,2)))</f>
        <v/>
      </c>
      <c r="X1559" s="17" t="n"/>
      <c r="Y1559" s="17" t="n"/>
      <c r="Z1559" s="17" t="n"/>
      <c r="AA1559" s="17" t="n"/>
      <c r="AB1559" s="17" t="n"/>
      <c r="AC1559" s="24">
        <f>IF($G1559="","",IF($H1559="※编码不在物料档案里","※物料编码不在档案里",IF(N($K1559)&lt;=0,"※入库数量要大于 0",IF(AND($C1559&lt;&gt;"",$C1559&lt;=结账锁),"※日期早于已结账截止日，不能再录",IF(AND($L1559=0,$X1559="正常"),"※没填单价，价格状态请选「待补价」",IF(AND($S1559&gt;0,$R1559&gt;0),"△本批有 "&amp;$S1559&amp;" 行没单价，整批运费先挂账没摊",IF(AND($B1559&lt;&gt;"",COUNTIF($B$4:$B$2503,$B1559)&gt;1),"※入库单号重复","")))))))</f>
        <v/>
      </c>
    </row>
    <row r="1560">
      <c r="A1560" s="24">
        <f>IF($G1560="","",COUNTA($G$4:$G1560))</f>
        <v/>
      </c>
      <c r="B1560" s="17" t="n"/>
      <c r="C1560" s="30" t="n"/>
      <c r="D1560" s="17" t="n"/>
      <c r="E1560" s="17" t="n"/>
      <c r="F1560" s="17" t="n"/>
      <c r="G1560" s="17" t="n"/>
      <c r="H1560" s="24">
        <f>IF($G1560="","",IFERROR(VLOOKUP($G1560,物料档案!$A$4:$P$1203,3,0),"※编码不在物料档案里"))</f>
        <v/>
      </c>
      <c r="I1560" s="24">
        <f>IF($G1560="","",IFERROR(VLOOKUP($G1560,物料档案!$A$4:$P$1203,4,0),"※编码不在物料档案里"))</f>
        <v/>
      </c>
      <c r="J1560" s="24">
        <f>IF($G1560="","",IFERROR(VLOOKUP($G1560,物料档案!$A$4:$P$1203,5,0),"※编码不在物料档案里"))</f>
        <v/>
      </c>
      <c r="K1560" s="23" t="n"/>
      <c r="L1560" s="31" t="n"/>
      <c r="M1560" s="24">
        <f>IF($G1560="","",IF($D1560="A国内","CNY","TZS"))</f>
        <v/>
      </c>
      <c r="N1560" s="28">
        <f>IF($G1560="","",IF($D1560="A国内",汇率,1))</f>
        <v/>
      </c>
      <c r="O1560" s="25">
        <f>IF($G1560="","",ROUND(N($K1560)*N($L1560),2))</f>
        <v/>
      </c>
      <c r="P1560" s="26">
        <f>IF($G1560="","",ROUND($O1560*$N1560,0))</f>
        <v/>
      </c>
      <c r="Q1560" s="26">
        <f>IF($G1560="","",SUMIFS($P$4:$P$2503,$E$4:$E$2503,$E1560,$Z$4:$Z$2503,"正常"))</f>
        <v/>
      </c>
      <c r="R1560" s="26">
        <f>IF($G1560="","",SUMIFS(费用台账!$I$4:$I$503,费用台账!$C$4:$C$503,$E1560,费用台账!$J$4:$J$503,"是",费用台账!$K$4:$K$503,"正常"))</f>
        <v/>
      </c>
      <c r="S1560" s="28">
        <f>IF($G1560="","",COUNTIFS($E$4:$E$2503,$E1560,$Z$4:$Z$2503,"正常",$Y$4:$Y$2503,"待补价"))</f>
        <v/>
      </c>
      <c r="T1560" s="26">
        <f>IF($G1560="","",SUMIFS($P$4:$P$2503,$E$4:$E$2503,$E1560,$Z$4:$Z$2503,"正常",$A$4:$A$2503,"&lt;="&amp;$A1560))</f>
        <v/>
      </c>
      <c r="U1560" s="26">
        <f>IF($G1560="","",IF(OR($S1560&gt;0,$Q1560=0,$R1560=0,$Z1560&lt;&gt;"正常"),0,ROUND($T1560/$Q1560*$R1560,0)-ROUND(($T1560-$P1560)/$Q1560*$R1560,0)))</f>
        <v/>
      </c>
      <c r="V1560" s="26">
        <f>IF($G1560="","",ROUND($P1560+$U1560,0))</f>
        <v/>
      </c>
      <c r="W1560" s="26">
        <f>IF($G1560="","",IF(N($K1560)=0,0,ROUND($V1560/$K1560,2)))</f>
        <v/>
      </c>
      <c r="X1560" s="17" t="n"/>
      <c r="Y1560" s="17" t="n"/>
      <c r="Z1560" s="17" t="n"/>
      <c r="AA1560" s="17" t="n"/>
      <c r="AB1560" s="17" t="n"/>
      <c r="AC1560" s="24">
        <f>IF($G1560="","",IF($H1560="※编码不在物料档案里","※物料编码不在档案里",IF(N($K1560)&lt;=0,"※入库数量要大于 0",IF(AND($C1560&lt;&gt;"",$C1560&lt;=结账锁),"※日期早于已结账截止日，不能再录",IF(AND($L1560=0,$X1560="正常"),"※没填单价，价格状态请选「待补价」",IF(AND($S1560&gt;0,$R1560&gt;0),"△本批有 "&amp;$S1560&amp;" 行没单价，整批运费先挂账没摊",IF(AND($B1560&lt;&gt;"",COUNTIF($B$4:$B$2503,$B1560)&gt;1),"※入库单号重复","")))))))</f>
        <v/>
      </c>
    </row>
    <row r="1561">
      <c r="A1561" s="24">
        <f>IF($G1561="","",COUNTA($G$4:$G1561))</f>
        <v/>
      </c>
      <c r="B1561" s="17" t="n"/>
      <c r="C1561" s="30" t="n"/>
      <c r="D1561" s="17" t="n"/>
      <c r="E1561" s="17" t="n"/>
      <c r="F1561" s="17" t="n"/>
      <c r="G1561" s="17" t="n"/>
      <c r="H1561" s="24">
        <f>IF($G1561="","",IFERROR(VLOOKUP($G1561,物料档案!$A$4:$P$1203,3,0),"※编码不在物料档案里"))</f>
        <v/>
      </c>
      <c r="I1561" s="24">
        <f>IF($G1561="","",IFERROR(VLOOKUP($G1561,物料档案!$A$4:$P$1203,4,0),"※编码不在物料档案里"))</f>
        <v/>
      </c>
      <c r="J1561" s="24">
        <f>IF($G1561="","",IFERROR(VLOOKUP($G1561,物料档案!$A$4:$P$1203,5,0),"※编码不在物料档案里"))</f>
        <v/>
      </c>
      <c r="K1561" s="23" t="n"/>
      <c r="L1561" s="31" t="n"/>
      <c r="M1561" s="24">
        <f>IF($G1561="","",IF($D1561="A国内","CNY","TZS"))</f>
        <v/>
      </c>
      <c r="N1561" s="28">
        <f>IF($G1561="","",IF($D1561="A国内",汇率,1))</f>
        <v/>
      </c>
      <c r="O1561" s="25">
        <f>IF($G1561="","",ROUND(N($K1561)*N($L1561),2))</f>
        <v/>
      </c>
      <c r="P1561" s="26">
        <f>IF($G1561="","",ROUND($O1561*$N1561,0))</f>
        <v/>
      </c>
      <c r="Q1561" s="26">
        <f>IF($G1561="","",SUMIFS($P$4:$P$2503,$E$4:$E$2503,$E1561,$Z$4:$Z$2503,"正常"))</f>
        <v/>
      </c>
      <c r="R1561" s="26">
        <f>IF($G1561="","",SUMIFS(费用台账!$I$4:$I$503,费用台账!$C$4:$C$503,$E1561,费用台账!$J$4:$J$503,"是",费用台账!$K$4:$K$503,"正常"))</f>
        <v/>
      </c>
      <c r="S1561" s="28">
        <f>IF($G1561="","",COUNTIFS($E$4:$E$2503,$E1561,$Z$4:$Z$2503,"正常",$Y$4:$Y$2503,"待补价"))</f>
        <v/>
      </c>
      <c r="T1561" s="26">
        <f>IF($G1561="","",SUMIFS($P$4:$P$2503,$E$4:$E$2503,$E1561,$Z$4:$Z$2503,"正常",$A$4:$A$2503,"&lt;="&amp;$A1561))</f>
        <v/>
      </c>
      <c r="U1561" s="26">
        <f>IF($G1561="","",IF(OR($S1561&gt;0,$Q1561=0,$R1561=0,$Z1561&lt;&gt;"正常"),0,ROUND($T1561/$Q1561*$R1561,0)-ROUND(($T1561-$P1561)/$Q1561*$R1561,0)))</f>
        <v/>
      </c>
      <c r="V1561" s="26">
        <f>IF($G1561="","",ROUND($P1561+$U1561,0))</f>
        <v/>
      </c>
      <c r="W1561" s="26">
        <f>IF($G1561="","",IF(N($K1561)=0,0,ROUND($V1561/$K1561,2)))</f>
        <v/>
      </c>
      <c r="X1561" s="17" t="n"/>
      <c r="Y1561" s="17" t="n"/>
      <c r="Z1561" s="17" t="n"/>
      <c r="AA1561" s="17" t="n"/>
      <c r="AB1561" s="17" t="n"/>
      <c r="AC1561" s="24">
        <f>IF($G1561="","",IF($H1561="※编码不在物料档案里","※物料编码不在档案里",IF(N($K1561)&lt;=0,"※入库数量要大于 0",IF(AND($C1561&lt;&gt;"",$C1561&lt;=结账锁),"※日期早于已结账截止日，不能再录",IF(AND($L1561=0,$X1561="正常"),"※没填单价，价格状态请选「待补价」",IF(AND($S1561&gt;0,$R1561&gt;0),"△本批有 "&amp;$S1561&amp;" 行没单价，整批运费先挂账没摊",IF(AND($B1561&lt;&gt;"",COUNTIF($B$4:$B$2503,$B1561)&gt;1),"※入库单号重复","")))))))</f>
        <v/>
      </c>
    </row>
    <row r="1562">
      <c r="A1562" s="24">
        <f>IF($G1562="","",COUNTA($G$4:$G1562))</f>
        <v/>
      </c>
      <c r="B1562" s="17" t="n"/>
      <c r="C1562" s="30" t="n"/>
      <c r="D1562" s="17" t="n"/>
      <c r="E1562" s="17" t="n"/>
      <c r="F1562" s="17" t="n"/>
      <c r="G1562" s="17" t="n"/>
      <c r="H1562" s="24">
        <f>IF($G1562="","",IFERROR(VLOOKUP($G1562,物料档案!$A$4:$P$1203,3,0),"※编码不在物料档案里"))</f>
        <v/>
      </c>
      <c r="I1562" s="24">
        <f>IF($G1562="","",IFERROR(VLOOKUP($G1562,物料档案!$A$4:$P$1203,4,0),"※编码不在物料档案里"))</f>
        <v/>
      </c>
      <c r="J1562" s="24">
        <f>IF($G1562="","",IFERROR(VLOOKUP($G1562,物料档案!$A$4:$P$1203,5,0),"※编码不在物料档案里"))</f>
        <v/>
      </c>
      <c r="K1562" s="23" t="n"/>
      <c r="L1562" s="31" t="n"/>
      <c r="M1562" s="24">
        <f>IF($G1562="","",IF($D1562="A国内","CNY","TZS"))</f>
        <v/>
      </c>
      <c r="N1562" s="28">
        <f>IF($G1562="","",IF($D1562="A国内",汇率,1))</f>
        <v/>
      </c>
      <c r="O1562" s="25">
        <f>IF($G1562="","",ROUND(N($K1562)*N($L1562),2))</f>
        <v/>
      </c>
      <c r="P1562" s="26">
        <f>IF($G1562="","",ROUND($O1562*$N1562,0))</f>
        <v/>
      </c>
      <c r="Q1562" s="26">
        <f>IF($G1562="","",SUMIFS($P$4:$P$2503,$E$4:$E$2503,$E1562,$Z$4:$Z$2503,"正常"))</f>
        <v/>
      </c>
      <c r="R1562" s="26">
        <f>IF($G1562="","",SUMIFS(费用台账!$I$4:$I$503,费用台账!$C$4:$C$503,$E1562,费用台账!$J$4:$J$503,"是",费用台账!$K$4:$K$503,"正常"))</f>
        <v/>
      </c>
      <c r="S1562" s="28">
        <f>IF($G1562="","",COUNTIFS($E$4:$E$2503,$E1562,$Z$4:$Z$2503,"正常",$Y$4:$Y$2503,"待补价"))</f>
        <v/>
      </c>
      <c r="T1562" s="26">
        <f>IF($G1562="","",SUMIFS($P$4:$P$2503,$E$4:$E$2503,$E1562,$Z$4:$Z$2503,"正常",$A$4:$A$2503,"&lt;="&amp;$A1562))</f>
        <v/>
      </c>
      <c r="U1562" s="26">
        <f>IF($G1562="","",IF(OR($S1562&gt;0,$Q1562=0,$R1562=0,$Z1562&lt;&gt;"正常"),0,ROUND($T1562/$Q1562*$R1562,0)-ROUND(($T1562-$P1562)/$Q1562*$R1562,0)))</f>
        <v/>
      </c>
      <c r="V1562" s="26">
        <f>IF($G1562="","",ROUND($P1562+$U1562,0))</f>
        <v/>
      </c>
      <c r="W1562" s="26">
        <f>IF($G1562="","",IF(N($K1562)=0,0,ROUND($V1562/$K1562,2)))</f>
        <v/>
      </c>
      <c r="X1562" s="17" t="n"/>
      <c r="Y1562" s="17" t="n"/>
      <c r="Z1562" s="17" t="n"/>
      <c r="AA1562" s="17" t="n"/>
      <c r="AB1562" s="17" t="n"/>
      <c r="AC1562" s="24">
        <f>IF($G1562="","",IF($H1562="※编码不在物料档案里","※物料编码不在档案里",IF(N($K1562)&lt;=0,"※入库数量要大于 0",IF(AND($C1562&lt;&gt;"",$C1562&lt;=结账锁),"※日期早于已结账截止日，不能再录",IF(AND($L1562=0,$X1562="正常"),"※没填单价，价格状态请选「待补价」",IF(AND($S1562&gt;0,$R1562&gt;0),"△本批有 "&amp;$S1562&amp;" 行没单价，整批运费先挂账没摊",IF(AND($B1562&lt;&gt;"",COUNTIF($B$4:$B$2503,$B1562)&gt;1),"※入库单号重复","")))))))</f>
        <v/>
      </c>
    </row>
    <row r="1563">
      <c r="A1563" s="24">
        <f>IF($G1563="","",COUNTA($G$4:$G1563))</f>
        <v/>
      </c>
      <c r="B1563" s="17" t="n"/>
      <c r="C1563" s="30" t="n"/>
      <c r="D1563" s="17" t="n"/>
      <c r="E1563" s="17" t="n"/>
      <c r="F1563" s="17" t="n"/>
      <c r="G1563" s="17" t="n"/>
      <c r="H1563" s="24">
        <f>IF($G1563="","",IFERROR(VLOOKUP($G1563,物料档案!$A$4:$P$1203,3,0),"※编码不在物料档案里"))</f>
        <v/>
      </c>
      <c r="I1563" s="24">
        <f>IF($G1563="","",IFERROR(VLOOKUP($G1563,物料档案!$A$4:$P$1203,4,0),"※编码不在物料档案里"))</f>
        <v/>
      </c>
      <c r="J1563" s="24">
        <f>IF($G1563="","",IFERROR(VLOOKUP($G1563,物料档案!$A$4:$P$1203,5,0),"※编码不在物料档案里"))</f>
        <v/>
      </c>
      <c r="K1563" s="23" t="n"/>
      <c r="L1563" s="31" t="n"/>
      <c r="M1563" s="24">
        <f>IF($G1563="","",IF($D1563="A国内","CNY","TZS"))</f>
        <v/>
      </c>
      <c r="N1563" s="28">
        <f>IF($G1563="","",IF($D1563="A国内",汇率,1))</f>
        <v/>
      </c>
      <c r="O1563" s="25">
        <f>IF($G1563="","",ROUND(N($K1563)*N($L1563),2))</f>
        <v/>
      </c>
      <c r="P1563" s="26">
        <f>IF($G1563="","",ROUND($O1563*$N1563,0))</f>
        <v/>
      </c>
      <c r="Q1563" s="26">
        <f>IF($G1563="","",SUMIFS($P$4:$P$2503,$E$4:$E$2503,$E1563,$Z$4:$Z$2503,"正常"))</f>
        <v/>
      </c>
      <c r="R1563" s="26">
        <f>IF($G1563="","",SUMIFS(费用台账!$I$4:$I$503,费用台账!$C$4:$C$503,$E1563,费用台账!$J$4:$J$503,"是",费用台账!$K$4:$K$503,"正常"))</f>
        <v/>
      </c>
      <c r="S1563" s="28">
        <f>IF($G1563="","",COUNTIFS($E$4:$E$2503,$E1563,$Z$4:$Z$2503,"正常",$Y$4:$Y$2503,"待补价"))</f>
        <v/>
      </c>
      <c r="T1563" s="26">
        <f>IF($G1563="","",SUMIFS($P$4:$P$2503,$E$4:$E$2503,$E1563,$Z$4:$Z$2503,"正常",$A$4:$A$2503,"&lt;="&amp;$A1563))</f>
        <v/>
      </c>
      <c r="U1563" s="26">
        <f>IF($G1563="","",IF(OR($S1563&gt;0,$Q1563=0,$R1563=0,$Z1563&lt;&gt;"正常"),0,ROUND($T1563/$Q1563*$R1563,0)-ROUND(($T1563-$P1563)/$Q1563*$R1563,0)))</f>
        <v/>
      </c>
      <c r="V1563" s="26">
        <f>IF($G1563="","",ROUND($P1563+$U1563,0))</f>
        <v/>
      </c>
      <c r="W1563" s="26">
        <f>IF($G1563="","",IF(N($K1563)=0,0,ROUND($V1563/$K1563,2)))</f>
        <v/>
      </c>
      <c r="X1563" s="17" t="n"/>
      <c r="Y1563" s="17" t="n"/>
      <c r="Z1563" s="17" t="n"/>
      <c r="AA1563" s="17" t="n"/>
      <c r="AB1563" s="17" t="n"/>
      <c r="AC1563" s="24">
        <f>IF($G1563="","",IF($H1563="※编码不在物料档案里","※物料编码不在档案里",IF(N($K1563)&lt;=0,"※入库数量要大于 0",IF(AND($C1563&lt;&gt;"",$C1563&lt;=结账锁),"※日期早于已结账截止日，不能再录",IF(AND($L1563=0,$X1563="正常"),"※没填单价，价格状态请选「待补价」",IF(AND($S1563&gt;0,$R1563&gt;0),"△本批有 "&amp;$S1563&amp;" 行没单价，整批运费先挂账没摊",IF(AND($B1563&lt;&gt;"",COUNTIF($B$4:$B$2503,$B1563)&gt;1),"※入库单号重复","")))))))</f>
        <v/>
      </c>
    </row>
    <row r="1564">
      <c r="A1564" s="24">
        <f>IF($G1564="","",COUNTA($G$4:$G1564))</f>
        <v/>
      </c>
      <c r="B1564" s="17" t="n"/>
      <c r="C1564" s="30" t="n"/>
      <c r="D1564" s="17" t="n"/>
      <c r="E1564" s="17" t="n"/>
      <c r="F1564" s="17" t="n"/>
      <c r="G1564" s="17" t="n"/>
      <c r="H1564" s="24">
        <f>IF($G1564="","",IFERROR(VLOOKUP($G1564,物料档案!$A$4:$P$1203,3,0),"※编码不在物料档案里"))</f>
        <v/>
      </c>
      <c r="I1564" s="24">
        <f>IF($G1564="","",IFERROR(VLOOKUP($G1564,物料档案!$A$4:$P$1203,4,0),"※编码不在物料档案里"))</f>
        <v/>
      </c>
      <c r="J1564" s="24">
        <f>IF($G1564="","",IFERROR(VLOOKUP($G1564,物料档案!$A$4:$P$1203,5,0),"※编码不在物料档案里"))</f>
        <v/>
      </c>
      <c r="K1564" s="23" t="n"/>
      <c r="L1564" s="31" t="n"/>
      <c r="M1564" s="24">
        <f>IF($G1564="","",IF($D1564="A国内","CNY","TZS"))</f>
        <v/>
      </c>
      <c r="N1564" s="28">
        <f>IF($G1564="","",IF($D1564="A国内",汇率,1))</f>
        <v/>
      </c>
      <c r="O1564" s="25">
        <f>IF($G1564="","",ROUND(N($K1564)*N($L1564),2))</f>
        <v/>
      </c>
      <c r="P1564" s="26">
        <f>IF($G1564="","",ROUND($O1564*$N1564,0))</f>
        <v/>
      </c>
      <c r="Q1564" s="26">
        <f>IF($G1564="","",SUMIFS($P$4:$P$2503,$E$4:$E$2503,$E1564,$Z$4:$Z$2503,"正常"))</f>
        <v/>
      </c>
      <c r="R1564" s="26">
        <f>IF($G1564="","",SUMIFS(费用台账!$I$4:$I$503,费用台账!$C$4:$C$503,$E1564,费用台账!$J$4:$J$503,"是",费用台账!$K$4:$K$503,"正常"))</f>
        <v/>
      </c>
      <c r="S1564" s="28">
        <f>IF($G1564="","",COUNTIFS($E$4:$E$2503,$E1564,$Z$4:$Z$2503,"正常",$Y$4:$Y$2503,"待补价"))</f>
        <v/>
      </c>
      <c r="T1564" s="26">
        <f>IF($G1564="","",SUMIFS($P$4:$P$2503,$E$4:$E$2503,$E1564,$Z$4:$Z$2503,"正常",$A$4:$A$2503,"&lt;="&amp;$A1564))</f>
        <v/>
      </c>
      <c r="U1564" s="26">
        <f>IF($G1564="","",IF(OR($S1564&gt;0,$Q1564=0,$R1564=0,$Z1564&lt;&gt;"正常"),0,ROUND($T1564/$Q1564*$R1564,0)-ROUND(($T1564-$P1564)/$Q1564*$R1564,0)))</f>
        <v/>
      </c>
      <c r="V1564" s="26">
        <f>IF($G1564="","",ROUND($P1564+$U1564,0))</f>
        <v/>
      </c>
      <c r="W1564" s="26">
        <f>IF($G1564="","",IF(N($K1564)=0,0,ROUND($V1564/$K1564,2)))</f>
        <v/>
      </c>
      <c r="X1564" s="17" t="n"/>
      <c r="Y1564" s="17" t="n"/>
      <c r="Z1564" s="17" t="n"/>
      <c r="AA1564" s="17" t="n"/>
      <c r="AB1564" s="17" t="n"/>
      <c r="AC1564" s="24">
        <f>IF($G1564="","",IF($H1564="※编码不在物料档案里","※物料编码不在档案里",IF(N($K1564)&lt;=0,"※入库数量要大于 0",IF(AND($C1564&lt;&gt;"",$C1564&lt;=结账锁),"※日期早于已结账截止日，不能再录",IF(AND($L1564=0,$X1564="正常"),"※没填单价，价格状态请选「待补价」",IF(AND($S1564&gt;0,$R1564&gt;0),"△本批有 "&amp;$S1564&amp;" 行没单价，整批运费先挂账没摊",IF(AND($B1564&lt;&gt;"",COUNTIF($B$4:$B$2503,$B1564)&gt;1),"※入库单号重复","")))))))</f>
        <v/>
      </c>
    </row>
    <row r="1565">
      <c r="A1565" s="24">
        <f>IF($G1565="","",COUNTA($G$4:$G1565))</f>
        <v/>
      </c>
      <c r="B1565" s="17" t="n"/>
      <c r="C1565" s="30" t="n"/>
      <c r="D1565" s="17" t="n"/>
      <c r="E1565" s="17" t="n"/>
      <c r="F1565" s="17" t="n"/>
      <c r="G1565" s="17" t="n"/>
      <c r="H1565" s="24">
        <f>IF($G1565="","",IFERROR(VLOOKUP($G1565,物料档案!$A$4:$P$1203,3,0),"※编码不在物料档案里"))</f>
        <v/>
      </c>
      <c r="I1565" s="24">
        <f>IF($G1565="","",IFERROR(VLOOKUP($G1565,物料档案!$A$4:$P$1203,4,0),"※编码不在物料档案里"))</f>
        <v/>
      </c>
      <c r="J1565" s="24">
        <f>IF($G1565="","",IFERROR(VLOOKUP($G1565,物料档案!$A$4:$P$1203,5,0),"※编码不在物料档案里"))</f>
        <v/>
      </c>
      <c r="K1565" s="23" t="n"/>
      <c r="L1565" s="31" t="n"/>
      <c r="M1565" s="24">
        <f>IF($G1565="","",IF($D1565="A国内","CNY","TZS"))</f>
        <v/>
      </c>
      <c r="N1565" s="28">
        <f>IF($G1565="","",IF($D1565="A国内",汇率,1))</f>
        <v/>
      </c>
      <c r="O1565" s="25">
        <f>IF($G1565="","",ROUND(N($K1565)*N($L1565),2))</f>
        <v/>
      </c>
      <c r="P1565" s="26">
        <f>IF($G1565="","",ROUND($O1565*$N1565,0))</f>
        <v/>
      </c>
      <c r="Q1565" s="26">
        <f>IF($G1565="","",SUMIFS($P$4:$P$2503,$E$4:$E$2503,$E1565,$Z$4:$Z$2503,"正常"))</f>
        <v/>
      </c>
      <c r="R1565" s="26">
        <f>IF($G1565="","",SUMIFS(费用台账!$I$4:$I$503,费用台账!$C$4:$C$503,$E1565,费用台账!$J$4:$J$503,"是",费用台账!$K$4:$K$503,"正常"))</f>
        <v/>
      </c>
      <c r="S1565" s="28">
        <f>IF($G1565="","",COUNTIFS($E$4:$E$2503,$E1565,$Z$4:$Z$2503,"正常",$Y$4:$Y$2503,"待补价"))</f>
        <v/>
      </c>
      <c r="T1565" s="26">
        <f>IF($G1565="","",SUMIFS($P$4:$P$2503,$E$4:$E$2503,$E1565,$Z$4:$Z$2503,"正常",$A$4:$A$2503,"&lt;="&amp;$A1565))</f>
        <v/>
      </c>
      <c r="U1565" s="26">
        <f>IF($G1565="","",IF(OR($S1565&gt;0,$Q1565=0,$R1565=0,$Z1565&lt;&gt;"正常"),0,ROUND($T1565/$Q1565*$R1565,0)-ROUND(($T1565-$P1565)/$Q1565*$R1565,0)))</f>
        <v/>
      </c>
      <c r="V1565" s="26">
        <f>IF($G1565="","",ROUND($P1565+$U1565,0))</f>
        <v/>
      </c>
      <c r="W1565" s="26">
        <f>IF($G1565="","",IF(N($K1565)=0,0,ROUND($V1565/$K1565,2)))</f>
        <v/>
      </c>
      <c r="X1565" s="17" t="n"/>
      <c r="Y1565" s="17" t="n"/>
      <c r="Z1565" s="17" t="n"/>
      <c r="AA1565" s="17" t="n"/>
      <c r="AB1565" s="17" t="n"/>
      <c r="AC1565" s="24">
        <f>IF($G1565="","",IF($H1565="※编码不在物料档案里","※物料编码不在档案里",IF(N($K1565)&lt;=0,"※入库数量要大于 0",IF(AND($C1565&lt;&gt;"",$C1565&lt;=结账锁),"※日期早于已结账截止日，不能再录",IF(AND($L1565=0,$X1565="正常"),"※没填单价，价格状态请选「待补价」",IF(AND($S1565&gt;0,$R1565&gt;0),"△本批有 "&amp;$S1565&amp;" 行没单价，整批运费先挂账没摊",IF(AND($B1565&lt;&gt;"",COUNTIF($B$4:$B$2503,$B1565)&gt;1),"※入库单号重复","")))))))</f>
        <v/>
      </c>
    </row>
    <row r="1566">
      <c r="A1566" s="24">
        <f>IF($G1566="","",COUNTA($G$4:$G1566))</f>
        <v/>
      </c>
      <c r="B1566" s="17" t="n"/>
      <c r="C1566" s="30" t="n"/>
      <c r="D1566" s="17" t="n"/>
      <c r="E1566" s="17" t="n"/>
      <c r="F1566" s="17" t="n"/>
      <c r="G1566" s="17" t="n"/>
      <c r="H1566" s="24">
        <f>IF($G1566="","",IFERROR(VLOOKUP($G1566,物料档案!$A$4:$P$1203,3,0),"※编码不在物料档案里"))</f>
        <v/>
      </c>
      <c r="I1566" s="24">
        <f>IF($G1566="","",IFERROR(VLOOKUP($G1566,物料档案!$A$4:$P$1203,4,0),"※编码不在物料档案里"))</f>
        <v/>
      </c>
      <c r="J1566" s="24">
        <f>IF($G1566="","",IFERROR(VLOOKUP($G1566,物料档案!$A$4:$P$1203,5,0),"※编码不在物料档案里"))</f>
        <v/>
      </c>
      <c r="K1566" s="23" t="n"/>
      <c r="L1566" s="31" t="n"/>
      <c r="M1566" s="24">
        <f>IF($G1566="","",IF($D1566="A国内","CNY","TZS"))</f>
        <v/>
      </c>
      <c r="N1566" s="28">
        <f>IF($G1566="","",IF($D1566="A国内",汇率,1))</f>
        <v/>
      </c>
      <c r="O1566" s="25">
        <f>IF($G1566="","",ROUND(N($K1566)*N($L1566),2))</f>
        <v/>
      </c>
      <c r="P1566" s="26">
        <f>IF($G1566="","",ROUND($O1566*$N1566,0))</f>
        <v/>
      </c>
      <c r="Q1566" s="26">
        <f>IF($G1566="","",SUMIFS($P$4:$P$2503,$E$4:$E$2503,$E1566,$Z$4:$Z$2503,"正常"))</f>
        <v/>
      </c>
      <c r="R1566" s="26">
        <f>IF($G1566="","",SUMIFS(费用台账!$I$4:$I$503,费用台账!$C$4:$C$503,$E1566,费用台账!$J$4:$J$503,"是",费用台账!$K$4:$K$503,"正常"))</f>
        <v/>
      </c>
      <c r="S1566" s="28">
        <f>IF($G1566="","",COUNTIFS($E$4:$E$2503,$E1566,$Z$4:$Z$2503,"正常",$Y$4:$Y$2503,"待补价"))</f>
        <v/>
      </c>
      <c r="T1566" s="26">
        <f>IF($G1566="","",SUMIFS($P$4:$P$2503,$E$4:$E$2503,$E1566,$Z$4:$Z$2503,"正常",$A$4:$A$2503,"&lt;="&amp;$A1566))</f>
        <v/>
      </c>
      <c r="U1566" s="26">
        <f>IF($G1566="","",IF(OR($S1566&gt;0,$Q1566=0,$R1566=0,$Z1566&lt;&gt;"正常"),0,ROUND($T1566/$Q1566*$R1566,0)-ROUND(($T1566-$P1566)/$Q1566*$R1566,0)))</f>
        <v/>
      </c>
      <c r="V1566" s="26">
        <f>IF($G1566="","",ROUND($P1566+$U1566,0))</f>
        <v/>
      </c>
      <c r="W1566" s="26">
        <f>IF($G1566="","",IF(N($K1566)=0,0,ROUND($V1566/$K1566,2)))</f>
        <v/>
      </c>
      <c r="X1566" s="17" t="n"/>
      <c r="Y1566" s="17" t="n"/>
      <c r="Z1566" s="17" t="n"/>
      <c r="AA1566" s="17" t="n"/>
      <c r="AB1566" s="17" t="n"/>
      <c r="AC1566" s="24">
        <f>IF($G1566="","",IF($H1566="※编码不在物料档案里","※物料编码不在档案里",IF(N($K1566)&lt;=0,"※入库数量要大于 0",IF(AND($C1566&lt;&gt;"",$C1566&lt;=结账锁),"※日期早于已结账截止日，不能再录",IF(AND($L1566=0,$X1566="正常"),"※没填单价，价格状态请选「待补价」",IF(AND($S1566&gt;0,$R1566&gt;0),"△本批有 "&amp;$S1566&amp;" 行没单价，整批运费先挂账没摊",IF(AND($B1566&lt;&gt;"",COUNTIF($B$4:$B$2503,$B1566)&gt;1),"※入库单号重复","")))))))</f>
        <v/>
      </c>
    </row>
    <row r="1567">
      <c r="A1567" s="24">
        <f>IF($G1567="","",COUNTA($G$4:$G1567))</f>
        <v/>
      </c>
      <c r="B1567" s="17" t="n"/>
      <c r="C1567" s="30" t="n"/>
      <c r="D1567" s="17" t="n"/>
      <c r="E1567" s="17" t="n"/>
      <c r="F1567" s="17" t="n"/>
      <c r="G1567" s="17" t="n"/>
      <c r="H1567" s="24">
        <f>IF($G1567="","",IFERROR(VLOOKUP($G1567,物料档案!$A$4:$P$1203,3,0),"※编码不在物料档案里"))</f>
        <v/>
      </c>
      <c r="I1567" s="24">
        <f>IF($G1567="","",IFERROR(VLOOKUP($G1567,物料档案!$A$4:$P$1203,4,0),"※编码不在物料档案里"))</f>
        <v/>
      </c>
      <c r="J1567" s="24">
        <f>IF($G1567="","",IFERROR(VLOOKUP($G1567,物料档案!$A$4:$P$1203,5,0),"※编码不在物料档案里"))</f>
        <v/>
      </c>
      <c r="K1567" s="23" t="n"/>
      <c r="L1567" s="31" t="n"/>
      <c r="M1567" s="24">
        <f>IF($G1567="","",IF($D1567="A国内","CNY","TZS"))</f>
        <v/>
      </c>
      <c r="N1567" s="28">
        <f>IF($G1567="","",IF($D1567="A国内",汇率,1))</f>
        <v/>
      </c>
      <c r="O1567" s="25">
        <f>IF($G1567="","",ROUND(N($K1567)*N($L1567),2))</f>
        <v/>
      </c>
      <c r="P1567" s="26">
        <f>IF($G1567="","",ROUND($O1567*$N1567,0))</f>
        <v/>
      </c>
      <c r="Q1567" s="26">
        <f>IF($G1567="","",SUMIFS($P$4:$P$2503,$E$4:$E$2503,$E1567,$Z$4:$Z$2503,"正常"))</f>
        <v/>
      </c>
      <c r="R1567" s="26">
        <f>IF($G1567="","",SUMIFS(费用台账!$I$4:$I$503,费用台账!$C$4:$C$503,$E1567,费用台账!$J$4:$J$503,"是",费用台账!$K$4:$K$503,"正常"))</f>
        <v/>
      </c>
      <c r="S1567" s="28">
        <f>IF($G1567="","",COUNTIFS($E$4:$E$2503,$E1567,$Z$4:$Z$2503,"正常",$Y$4:$Y$2503,"待补价"))</f>
        <v/>
      </c>
      <c r="T1567" s="26">
        <f>IF($G1567="","",SUMIFS($P$4:$P$2503,$E$4:$E$2503,$E1567,$Z$4:$Z$2503,"正常",$A$4:$A$2503,"&lt;="&amp;$A1567))</f>
        <v/>
      </c>
      <c r="U1567" s="26">
        <f>IF($G1567="","",IF(OR($S1567&gt;0,$Q1567=0,$R1567=0,$Z1567&lt;&gt;"正常"),0,ROUND($T1567/$Q1567*$R1567,0)-ROUND(($T1567-$P1567)/$Q1567*$R1567,0)))</f>
        <v/>
      </c>
      <c r="V1567" s="26">
        <f>IF($G1567="","",ROUND($P1567+$U1567,0))</f>
        <v/>
      </c>
      <c r="W1567" s="26">
        <f>IF($G1567="","",IF(N($K1567)=0,0,ROUND($V1567/$K1567,2)))</f>
        <v/>
      </c>
      <c r="X1567" s="17" t="n"/>
      <c r="Y1567" s="17" t="n"/>
      <c r="Z1567" s="17" t="n"/>
      <c r="AA1567" s="17" t="n"/>
      <c r="AB1567" s="17" t="n"/>
      <c r="AC1567" s="24">
        <f>IF($G1567="","",IF($H1567="※编码不在物料档案里","※物料编码不在档案里",IF(N($K1567)&lt;=0,"※入库数量要大于 0",IF(AND($C1567&lt;&gt;"",$C1567&lt;=结账锁),"※日期早于已结账截止日，不能再录",IF(AND($L1567=0,$X1567="正常"),"※没填单价，价格状态请选「待补价」",IF(AND($S1567&gt;0,$R1567&gt;0),"△本批有 "&amp;$S1567&amp;" 行没单价，整批运费先挂账没摊",IF(AND($B1567&lt;&gt;"",COUNTIF($B$4:$B$2503,$B1567)&gt;1),"※入库单号重复","")))))))</f>
        <v/>
      </c>
    </row>
    <row r="1568">
      <c r="A1568" s="24">
        <f>IF($G1568="","",COUNTA($G$4:$G1568))</f>
        <v/>
      </c>
      <c r="B1568" s="17" t="n"/>
      <c r="C1568" s="30" t="n"/>
      <c r="D1568" s="17" t="n"/>
      <c r="E1568" s="17" t="n"/>
      <c r="F1568" s="17" t="n"/>
      <c r="G1568" s="17" t="n"/>
      <c r="H1568" s="24">
        <f>IF($G1568="","",IFERROR(VLOOKUP($G1568,物料档案!$A$4:$P$1203,3,0),"※编码不在物料档案里"))</f>
        <v/>
      </c>
      <c r="I1568" s="24">
        <f>IF($G1568="","",IFERROR(VLOOKUP($G1568,物料档案!$A$4:$P$1203,4,0),"※编码不在物料档案里"))</f>
        <v/>
      </c>
      <c r="J1568" s="24">
        <f>IF($G1568="","",IFERROR(VLOOKUP($G1568,物料档案!$A$4:$P$1203,5,0),"※编码不在物料档案里"))</f>
        <v/>
      </c>
      <c r="K1568" s="23" t="n"/>
      <c r="L1568" s="31" t="n"/>
      <c r="M1568" s="24">
        <f>IF($G1568="","",IF($D1568="A国内","CNY","TZS"))</f>
        <v/>
      </c>
      <c r="N1568" s="28">
        <f>IF($G1568="","",IF($D1568="A国内",汇率,1))</f>
        <v/>
      </c>
      <c r="O1568" s="25">
        <f>IF($G1568="","",ROUND(N($K1568)*N($L1568),2))</f>
        <v/>
      </c>
      <c r="P1568" s="26">
        <f>IF($G1568="","",ROUND($O1568*$N1568,0))</f>
        <v/>
      </c>
      <c r="Q1568" s="26">
        <f>IF($G1568="","",SUMIFS($P$4:$P$2503,$E$4:$E$2503,$E1568,$Z$4:$Z$2503,"正常"))</f>
        <v/>
      </c>
      <c r="R1568" s="26">
        <f>IF($G1568="","",SUMIFS(费用台账!$I$4:$I$503,费用台账!$C$4:$C$503,$E1568,费用台账!$J$4:$J$503,"是",费用台账!$K$4:$K$503,"正常"))</f>
        <v/>
      </c>
      <c r="S1568" s="28">
        <f>IF($G1568="","",COUNTIFS($E$4:$E$2503,$E1568,$Z$4:$Z$2503,"正常",$Y$4:$Y$2503,"待补价"))</f>
        <v/>
      </c>
      <c r="T1568" s="26">
        <f>IF($G1568="","",SUMIFS($P$4:$P$2503,$E$4:$E$2503,$E1568,$Z$4:$Z$2503,"正常",$A$4:$A$2503,"&lt;="&amp;$A1568))</f>
        <v/>
      </c>
      <c r="U1568" s="26">
        <f>IF($G1568="","",IF(OR($S1568&gt;0,$Q1568=0,$R1568=0,$Z1568&lt;&gt;"正常"),0,ROUND($T1568/$Q1568*$R1568,0)-ROUND(($T1568-$P1568)/$Q1568*$R1568,0)))</f>
        <v/>
      </c>
      <c r="V1568" s="26">
        <f>IF($G1568="","",ROUND($P1568+$U1568,0))</f>
        <v/>
      </c>
      <c r="W1568" s="26">
        <f>IF($G1568="","",IF(N($K1568)=0,0,ROUND($V1568/$K1568,2)))</f>
        <v/>
      </c>
      <c r="X1568" s="17" t="n"/>
      <c r="Y1568" s="17" t="n"/>
      <c r="Z1568" s="17" t="n"/>
      <c r="AA1568" s="17" t="n"/>
      <c r="AB1568" s="17" t="n"/>
      <c r="AC1568" s="24">
        <f>IF($G1568="","",IF($H1568="※编码不在物料档案里","※物料编码不在档案里",IF(N($K1568)&lt;=0,"※入库数量要大于 0",IF(AND($C1568&lt;&gt;"",$C1568&lt;=结账锁),"※日期早于已结账截止日，不能再录",IF(AND($L1568=0,$X1568="正常"),"※没填单价，价格状态请选「待补价」",IF(AND($S1568&gt;0,$R1568&gt;0),"△本批有 "&amp;$S1568&amp;" 行没单价，整批运费先挂账没摊",IF(AND($B1568&lt;&gt;"",COUNTIF($B$4:$B$2503,$B1568)&gt;1),"※入库单号重复","")))))))</f>
        <v/>
      </c>
    </row>
    <row r="1569">
      <c r="A1569" s="24">
        <f>IF($G1569="","",COUNTA($G$4:$G1569))</f>
        <v/>
      </c>
      <c r="B1569" s="17" t="n"/>
      <c r="C1569" s="30" t="n"/>
      <c r="D1569" s="17" t="n"/>
      <c r="E1569" s="17" t="n"/>
      <c r="F1569" s="17" t="n"/>
      <c r="G1569" s="17" t="n"/>
      <c r="H1569" s="24">
        <f>IF($G1569="","",IFERROR(VLOOKUP($G1569,物料档案!$A$4:$P$1203,3,0),"※编码不在物料档案里"))</f>
        <v/>
      </c>
      <c r="I1569" s="24">
        <f>IF($G1569="","",IFERROR(VLOOKUP($G1569,物料档案!$A$4:$P$1203,4,0),"※编码不在物料档案里"))</f>
        <v/>
      </c>
      <c r="J1569" s="24">
        <f>IF($G1569="","",IFERROR(VLOOKUP($G1569,物料档案!$A$4:$P$1203,5,0),"※编码不在物料档案里"))</f>
        <v/>
      </c>
      <c r="K1569" s="23" t="n"/>
      <c r="L1569" s="31" t="n"/>
      <c r="M1569" s="24">
        <f>IF($G1569="","",IF($D1569="A国内","CNY","TZS"))</f>
        <v/>
      </c>
      <c r="N1569" s="28">
        <f>IF($G1569="","",IF($D1569="A国内",汇率,1))</f>
        <v/>
      </c>
      <c r="O1569" s="25">
        <f>IF($G1569="","",ROUND(N($K1569)*N($L1569),2))</f>
        <v/>
      </c>
      <c r="P1569" s="26">
        <f>IF($G1569="","",ROUND($O1569*$N1569,0))</f>
        <v/>
      </c>
      <c r="Q1569" s="26">
        <f>IF($G1569="","",SUMIFS($P$4:$P$2503,$E$4:$E$2503,$E1569,$Z$4:$Z$2503,"正常"))</f>
        <v/>
      </c>
      <c r="R1569" s="26">
        <f>IF($G1569="","",SUMIFS(费用台账!$I$4:$I$503,费用台账!$C$4:$C$503,$E1569,费用台账!$J$4:$J$503,"是",费用台账!$K$4:$K$503,"正常"))</f>
        <v/>
      </c>
      <c r="S1569" s="28">
        <f>IF($G1569="","",COUNTIFS($E$4:$E$2503,$E1569,$Z$4:$Z$2503,"正常",$Y$4:$Y$2503,"待补价"))</f>
        <v/>
      </c>
      <c r="T1569" s="26">
        <f>IF($G1569="","",SUMIFS($P$4:$P$2503,$E$4:$E$2503,$E1569,$Z$4:$Z$2503,"正常",$A$4:$A$2503,"&lt;="&amp;$A1569))</f>
        <v/>
      </c>
      <c r="U1569" s="26">
        <f>IF($G1569="","",IF(OR($S1569&gt;0,$Q1569=0,$R1569=0,$Z1569&lt;&gt;"正常"),0,ROUND($T1569/$Q1569*$R1569,0)-ROUND(($T1569-$P1569)/$Q1569*$R1569,0)))</f>
        <v/>
      </c>
      <c r="V1569" s="26">
        <f>IF($G1569="","",ROUND($P1569+$U1569,0))</f>
        <v/>
      </c>
      <c r="W1569" s="26">
        <f>IF($G1569="","",IF(N($K1569)=0,0,ROUND($V1569/$K1569,2)))</f>
        <v/>
      </c>
      <c r="X1569" s="17" t="n"/>
      <c r="Y1569" s="17" t="n"/>
      <c r="Z1569" s="17" t="n"/>
      <c r="AA1569" s="17" t="n"/>
      <c r="AB1569" s="17" t="n"/>
      <c r="AC1569" s="24">
        <f>IF($G1569="","",IF($H1569="※编码不在物料档案里","※物料编码不在档案里",IF(N($K1569)&lt;=0,"※入库数量要大于 0",IF(AND($C1569&lt;&gt;"",$C1569&lt;=结账锁),"※日期早于已结账截止日，不能再录",IF(AND($L1569=0,$X1569="正常"),"※没填单价，价格状态请选「待补价」",IF(AND($S1569&gt;0,$R1569&gt;0),"△本批有 "&amp;$S1569&amp;" 行没单价，整批运费先挂账没摊",IF(AND($B1569&lt;&gt;"",COUNTIF($B$4:$B$2503,$B1569)&gt;1),"※入库单号重复","")))))))</f>
        <v/>
      </c>
    </row>
    <row r="1570">
      <c r="A1570" s="24">
        <f>IF($G1570="","",COUNTA($G$4:$G1570))</f>
        <v/>
      </c>
      <c r="B1570" s="17" t="n"/>
      <c r="C1570" s="30" t="n"/>
      <c r="D1570" s="17" t="n"/>
      <c r="E1570" s="17" t="n"/>
      <c r="F1570" s="17" t="n"/>
      <c r="G1570" s="17" t="n"/>
      <c r="H1570" s="24">
        <f>IF($G1570="","",IFERROR(VLOOKUP($G1570,物料档案!$A$4:$P$1203,3,0),"※编码不在物料档案里"))</f>
        <v/>
      </c>
      <c r="I1570" s="24">
        <f>IF($G1570="","",IFERROR(VLOOKUP($G1570,物料档案!$A$4:$P$1203,4,0),"※编码不在物料档案里"))</f>
        <v/>
      </c>
      <c r="J1570" s="24">
        <f>IF($G1570="","",IFERROR(VLOOKUP($G1570,物料档案!$A$4:$P$1203,5,0),"※编码不在物料档案里"))</f>
        <v/>
      </c>
      <c r="K1570" s="23" t="n"/>
      <c r="L1570" s="31" t="n"/>
      <c r="M1570" s="24">
        <f>IF($G1570="","",IF($D1570="A国内","CNY","TZS"))</f>
        <v/>
      </c>
      <c r="N1570" s="28">
        <f>IF($G1570="","",IF($D1570="A国内",汇率,1))</f>
        <v/>
      </c>
      <c r="O1570" s="25">
        <f>IF($G1570="","",ROUND(N($K1570)*N($L1570),2))</f>
        <v/>
      </c>
      <c r="P1570" s="26">
        <f>IF($G1570="","",ROUND($O1570*$N1570,0))</f>
        <v/>
      </c>
      <c r="Q1570" s="26">
        <f>IF($G1570="","",SUMIFS($P$4:$P$2503,$E$4:$E$2503,$E1570,$Z$4:$Z$2503,"正常"))</f>
        <v/>
      </c>
      <c r="R1570" s="26">
        <f>IF($G1570="","",SUMIFS(费用台账!$I$4:$I$503,费用台账!$C$4:$C$503,$E1570,费用台账!$J$4:$J$503,"是",费用台账!$K$4:$K$503,"正常"))</f>
        <v/>
      </c>
      <c r="S1570" s="28">
        <f>IF($G1570="","",COUNTIFS($E$4:$E$2503,$E1570,$Z$4:$Z$2503,"正常",$Y$4:$Y$2503,"待补价"))</f>
        <v/>
      </c>
      <c r="T1570" s="26">
        <f>IF($G1570="","",SUMIFS($P$4:$P$2503,$E$4:$E$2503,$E1570,$Z$4:$Z$2503,"正常",$A$4:$A$2503,"&lt;="&amp;$A1570))</f>
        <v/>
      </c>
      <c r="U1570" s="26">
        <f>IF($G1570="","",IF(OR($S1570&gt;0,$Q1570=0,$R1570=0,$Z1570&lt;&gt;"正常"),0,ROUND($T1570/$Q1570*$R1570,0)-ROUND(($T1570-$P1570)/$Q1570*$R1570,0)))</f>
        <v/>
      </c>
      <c r="V1570" s="26">
        <f>IF($G1570="","",ROUND($P1570+$U1570,0))</f>
        <v/>
      </c>
      <c r="W1570" s="26">
        <f>IF($G1570="","",IF(N($K1570)=0,0,ROUND($V1570/$K1570,2)))</f>
        <v/>
      </c>
      <c r="X1570" s="17" t="n"/>
      <c r="Y1570" s="17" t="n"/>
      <c r="Z1570" s="17" t="n"/>
      <c r="AA1570" s="17" t="n"/>
      <c r="AB1570" s="17" t="n"/>
      <c r="AC1570" s="24">
        <f>IF($G1570="","",IF($H1570="※编码不在物料档案里","※物料编码不在档案里",IF(N($K1570)&lt;=0,"※入库数量要大于 0",IF(AND($C1570&lt;&gt;"",$C1570&lt;=结账锁),"※日期早于已结账截止日，不能再录",IF(AND($L1570=0,$X1570="正常"),"※没填单价，价格状态请选「待补价」",IF(AND($S1570&gt;0,$R1570&gt;0),"△本批有 "&amp;$S1570&amp;" 行没单价，整批运费先挂账没摊",IF(AND($B1570&lt;&gt;"",COUNTIF($B$4:$B$2503,$B1570)&gt;1),"※入库单号重复","")))))))</f>
        <v/>
      </c>
    </row>
    <row r="1571">
      <c r="A1571" s="24">
        <f>IF($G1571="","",COUNTA($G$4:$G1571))</f>
        <v/>
      </c>
      <c r="B1571" s="17" t="n"/>
      <c r="C1571" s="30" t="n"/>
      <c r="D1571" s="17" t="n"/>
      <c r="E1571" s="17" t="n"/>
      <c r="F1571" s="17" t="n"/>
      <c r="G1571" s="17" t="n"/>
      <c r="H1571" s="24">
        <f>IF($G1571="","",IFERROR(VLOOKUP($G1571,物料档案!$A$4:$P$1203,3,0),"※编码不在物料档案里"))</f>
        <v/>
      </c>
      <c r="I1571" s="24">
        <f>IF($G1571="","",IFERROR(VLOOKUP($G1571,物料档案!$A$4:$P$1203,4,0),"※编码不在物料档案里"))</f>
        <v/>
      </c>
      <c r="J1571" s="24">
        <f>IF($G1571="","",IFERROR(VLOOKUP($G1571,物料档案!$A$4:$P$1203,5,0),"※编码不在物料档案里"))</f>
        <v/>
      </c>
      <c r="K1571" s="23" t="n"/>
      <c r="L1571" s="31" t="n"/>
      <c r="M1571" s="24">
        <f>IF($G1571="","",IF($D1571="A国内","CNY","TZS"))</f>
        <v/>
      </c>
      <c r="N1571" s="28">
        <f>IF($G1571="","",IF($D1571="A国内",汇率,1))</f>
        <v/>
      </c>
      <c r="O1571" s="25">
        <f>IF($G1571="","",ROUND(N($K1571)*N($L1571),2))</f>
        <v/>
      </c>
      <c r="P1571" s="26">
        <f>IF($G1571="","",ROUND($O1571*$N1571,0))</f>
        <v/>
      </c>
      <c r="Q1571" s="26">
        <f>IF($G1571="","",SUMIFS($P$4:$P$2503,$E$4:$E$2503,$E1571,$Z$4:$Z$2503,"正常"))</f>
        <v/>
      </c>
      <c r="R1571" s="26">
        <f>IF($G1571="","",SUMIFS(费用台账!$I$4:$I$503,费用台账!$C$4:$C$503,$E1571,费用台账!$J$4:$J$503,"是",费用台账!$K$4:$K$503,"正常"))</f>
        <v/>
      </c>
      <c r="S1571" s="28">
        <f>IF($G1571="","",COUNTIFS($E$4:$E$2503,$E1571,$Z$4:$Z$2503,"正常",$Y$4:$Y$2503,"待补价"))</f>
        <v/>
      </c>
      <c r="T1571" s="26">
        <f>IF($G1571="","",SUMIFS($P$4:$P$2503,$E$4:$E$2503,$E1571,$Z$4:$Z$2503,"正常",$A$4:$A$2503,"&lt;="&amp;$A1571))</f>
        <v/>
      </c>
      <c r="U1571" s="26">
        <f>IF($G1571="","",IF(OR($S1571&gt;0,$Q1571=0,$R1571=0,$Z1571&lt;&gt;"正常"),0,ROUND($T1571/$Q1571*$R1571,0)-ROUND(($T1571-$P1571)/$Q1571*$R1571,0)))</f>
        <v/>
      </c>
      <c r="V1571" s="26">
        <f>IF($G1571="","",ROUND($P1571+$U1571,0))</f>
        <v/>
      </c>
      <c r="W1571" s="26">
        <f>IF($G1571="","",IF(N($K1571)=0,0,ROUND($V1571/$K1571,2)))</f>
        <v/>
      </c>
      <c r="X1571" s="17" t="n"/>
      <c r="Y1571" s="17" t="n"/>
      <c r="Z1571" s="17" t="n"/>
      <c r="AA1571" s="17" t="n"/>
      <c r="AB1571" s="17" t="n"/>
      <c r="AC1571" s="24">
        <f>IF($G1571="","",IF($H1571="※编码不在物料档案里","※物料编码不在档案里",IF(N($K1571)&lt;=0,"※入库数量要大于 0",IF(AND($C1571&lt;&gt;"",$C1571&lt;=结账锁),"※日期早于已结账截止日，不能再录",IF(AND($L1571=0,$X1571="正常"),"※没填单价，价格状态请选「待补价」",IF(AND($S1571&gt;0,$R1571&gt;0),"△本批有 "&amp;$S1571&amp;" 行没单价，整批运费先挂账没摊",IF(AND($B1571&lt;&gt;"",COUNTIF($B$4:$B$2503,$B1571)&gt;1),"※入库单号重复","")))))))</f>
        <v/>
      </c>
    </row>
    <row r="1572">
      <c r="A1572" s="24">
        <f>IF($G1572="","",COUNTA($G$4:$G1572))</f>
        <v/>
      </c>
      <c r="B1572" s="17" t="n"/>
      <c r="C1572" s="30" t="n"/>
      <c r="D1572" s="17" t="n"/>
      <c r="E1572" s="17" t="n"/>
      <c r="F1572" s="17" t="n"/>
      <c r="G1572" s="17" t="n"/>
      <c r="H1572" s="24">
        <f>IF($G1572="","",IFERROR(VLOOKUP($G1572,物料档案!$A$4:$P$1203,3,0),"※编码不在物料档案里"))</f>
        <v/>
      </c>
      <c r="I1572" s="24">
        <f>IF($G1572="","",IFERROR(VLOOKUP($G1572,物料档案!$A$4:$P$1203,4,0),"※编码不在物料档案里"))</f>
        <v/>
      </c>
      <c r="J1572" s="24">
        <f>IF($G1572="","",IFERROR(VLOOKUP($G1572,物料档案!$A$4:$P$1203,5,0),"※编码不在物料档案里"))</f>
        <v/>
      </c>
      <c r="K1572" s="23" t="n"/>
      <c r="L1572" s="31" t="n"/>
      <c r="M1572" s="24">
        <f>IF($G1572="","",IF($D1572="A国内","CNY","TZS"))</f>
        <v/>
      </c>
      <c r="N1572" s="28">
        <f>IF($G1572="","",IF($D1572="A国内",汇率,1))</f>
        <v/>
      </c>
      <c r="O1572" s="25">
        <f>IF($G1572="","",ROUND(N($K1572)*N($L1572),2))</f>
        <v/>
      </c>
      <c r="P1572" s="26">
        <f>IF($G1572="","",ROUND($O1572*$N1572,0))</f>
        <v/>
      </c>
      <c r="Q1572" s="26">
        <f>IF($G1572="","",SUMIFS($P$4:$P$2503,$E$4:$E$2503,$E1572,$Z$4:$Z$2503,"正常"))</f>
        <v/>
      </c>
      <c r="R1572" s="26">
        <f>IF($G1572="","",SUMIFS(费用台账!$I$4:$I$503,费用台账!$C$4:$C$503,$E1572,费用台账!$J$4:$J$503,"是",费用台账!$K$4:$K$503,"正常"))</f>
        <v/>
      </c>
      <c r="S1572" s="28">
        <f>IF($G1572="","",COUNTIFS($E$4:$E$2503,$E1572,$Z$4:$Z$2503,"正常",$Y$4:$Y$2503,"待补价"))</f>
        <v/>
      </c>
      <c r="T1572" s="26">
        <f>IF($G1572="","",SUMIFS($P$4:$P$2503,$E$4:$E$2503,$E1572,$Z$4:$Z$2503,"正常",$A$4:$A$2503,"&lt;="&amp;$A1572))</f>
        <v/>
      </c>
      <c r="U1572" s="26">
        <f>IF($G1572="","",IF(OR($S1572&gt;0,$Q1572=0,$R1572=0,$Z1572&lt;&gt;"正常"),0,ROUND($T1572/$Q1572*$R1572,0)-ROUND(($T1572-$P1572)/$Q1572*$R1572,0)))</f>
        <v/>
      </c>
      <c r="V1572" s="26">
        <f>IF($G1572="","",ROUND($P1572+$U1572,0))</f>
        <v/>
      </c>
      <c r="W1572" s="26">
        <f>IF($G1572="","",IF(N($K1572)=0,0,ROUND($V1572/$K1572,2)))</f>
        <v/>
      </c>
      <c r="X1572" s="17" t="n"/>
      <c r="Y1572" s="17" t="n"/>
      <c r="Z1572" s="17" t="n"/>
      <c r="AA1572" s="17" t="n"/>
      <c r="AB1572" s="17" t="n"/>
      <c r="AC1572" s="24">
        <f>IF($G1572="","",IF($H1572="※编码不在物料档案里","※物料编码不在档案里",IF(N($K1572)&lt;=0,"※入库数量要大于 0",IF(AND($C1572&lt;&gt;"",$C1572&lt;=结账锁),"※日期早于已结账截止日，不能再录",IF(AND($L1572=0,$X1572="正常"),"※没填单价，价格状态请选「待补价」",IF(AND($S1572&gt;0,$R1572&gt;0),"△本批有 "&amp;$S1572&amp;" 行没单价，整批运费先挂账没摊",IF(AND($B1572&lt;&gt;"",COUNTIF($B$4:$B$2503,$B1572)&gt;1),"※入库单号重复","")))))))</f>
        <v/>
      </c>
    </row>
    <row r="1573">
      <c r="A1573" s="24">
        <f>IF($G1573="","",COUNTA($G$4:$G1573))</f>
        <v/>
      </c>
      <c r="B1573" s="17" t="n"/>
      <c r="C1573" s="30" t="n"/>
      <c r="D1573" s="17" t="n"/>
      <c r="E1573" s="17" t="n"/>
      <c r="F1573" s="17" t="n"/>
      <c r="G1573" s="17" t="n"/>
      <c r="H1573" s="24">
        <f>IF($G1573="","",IFERROR(VLOOKUP($G1573,物料档案!$A$4:$P$1203,3,0),"※编码不在物料档案里"))</f>
        <v/>
      </c>
      <c r="I1573" s="24">
        <f>IF($G1573="","",IFERROR(VLOOKUP($G1573,物料档案!$A$4:$P$1203,4,0),"※编码不在物料档案里"))</f>
        <v/>
      </c>
      <c r="J1573" s="24">
        <f>IF($G1573="","",IFERROR(VLOOKUP($G1573,物料档案!$A$4:$P$1203,5,0),"※编码不在物料档案里"))</f>
        <v/>
      </c>
      <c r="K1573" s="23" t="n"/>
      <c r="L1573" s="31" t="n"/>
      <c r="M1573" s="24">
        <f>IF($G1573="","",IF($D1573="A国内","CNY","TZS"))</f>
        <v/>
      </c>
      <c r="N1573" s="28">
        <f>IF($G1573="","",IF($D1573="A国内",汇率,1))</f>
        <v/>
      </c>
      <c r="O1573" s="25">
        <f>IF($G1573="","",ROUND(N($K1573)*N($L1573),2))</f>
        <v/>
      </c>
      <c r="P1573" s="26">
        <f>IF($G1573="","",ROUND($O1573*$N1573,0))</f>
        <v/>
      </c>
      <c r="Q1573" s="26">
        <f>IF($G1573="","",SUMIFS($P$4:$P$2503,$E$4:$E$2503,$E1573,$Z$4:$Z$2503,"正常"))</f>
        <v/>
      </c>
      <c r="R1573" s="26">
        <f>IF($G1573="","",SUMIFS(费用台账!$I$4:$I$503,费用台账!$C$4:$C$503,$E1573,费用台账!$J$4:$J$503,"是",费用台账!$K$4:$K$503,"正常"))</f>
        <v/>
      </c>
      <c r="S1573" s="28">
        <f>IF($G1573="","",COUNTIFS($E$4:$E$2503,$E1573,$Z$4:$Z$2503,"正常",$Y$4:$Y$2503,"待补价"))</f>
        <v/>
      </c>
      <c r="T1573" s="26">
        <f>IF($G1573="","",SUMIFS($P$4:$P$2503,$E$4:$E$2503,$E1573,$Z$4:$Z$2503,"正常",$A$4:$A$2503,"&lt;="&amp;$A1573))</f>
        <v/>
      </c>
      <c r="U1573" s="26">
        <f>IF($G1573="","",IF(OR($S1573&gt;0,$Q1573=0,$R1573=0,$Z1573&lt;&gt;"正常"),0,ROUND($T1573/$Q1573*$R1573,0)-ROUND(($T1573-$P1573)/$Q1573*$R1573,0)))</f>
        <v/>
      </c>
      <c r="V1573" s="26">
        <f>IF($G1573="","",ROUND($P1573+$U1573,0))</f>
        <v/>
      </c>
      <c r="W1573" s="26">
        <f>IF($G1573="","",IF(N($K1573)=0,0,ROUND($V1573/$K1573,2)))</f>
        <v/>
      </c>
      <c r="X1573" s="17" t="n"/>
      <c r="Y1573" s="17" t="n"/>
      <c r="Z1573" s="17" t="n"/>
      <c r="AA1573" s="17" t="n"/>
      <c r="AB1573" s="17" t="n"/>
      <c r="AC1573" s="24">
        <f>IF($G1573="","",IF($H1573="※编码不在物料档案里","※物料编码不在档案里",IF(N($K1573)&lt;=0,"※入库数量要大于 0",IF(AND($C1573&lt;&gt;"",$C1573&lt;=结账锁),"※日期早于已结账截止日，不能再录",IF(AND($L1573=0,$X1573="正常"),"※没填单价，价格状态请选「待补价」",IF(AND($S1573&gt;0,$R1573&gt;0),"△本批有 "&amp;$S1573&amp;" 行没单价，整批运费先挂账没摊",IF(AND($B1573&lt;&gt;"",COUNTIF($B$4:$B$2503,$B1573)&gt;1),"※入库单号重复","")))))))</f>
        <v/>
      </c>
    </row>
    <row r="1574">
      <c r="A1574" s="24">
        <f>IF($G1574="","",COUNTA($G$4:$G1574))</f>
        <v/>
      </c>
      <c r="B1574" s="17" t="n"/>
      <c r="C1574" s="30" t="n"/>
      <c r="D1574" s="17" t="n"/>
      <c r="E1574" s="17" t="n"/>
      <c r="F1574" s="17" t="n"/>
      <c r="G1574" s="17" t="n"/>
      <c r="H1574" s="24">
        <f>IF($G1574="","",IFERROR(VLOOKUP($G1574,物料档案!$A$4:$P$1203,3,0),"※编码不在物料档案里"))</f>
        <v/>
      </c>
      <c r="I1574" s="24">
        <f>IF($G1574="","",IFERROR(VLOOKUP($G1574,物料档案!$A$4:$P$1203,4,0),"※编码不在物料档案里"))</f>
        <v/>
      </c>
      <c r="J1574" s="24">
        <f>IF($G1574="","",IFERROR(VLOOKUP($G1574,物料档案!$A$4:$P$1203,5,0),"※编码不在物料档案里"))</f>
        <v/>
      </c>
      <c r="K1574" s="23" t="n"/>
      <c r="L1574" s="31" t="n"/>
      <c r="M1574" s="24">
        <f>IF($G1574="","",IF($D1574="A国内","CNY","TZS"))</f>
        <v/>
      </c>
      <c r="N1574" s="28">
        <f>IF($G1574="","",IF($D1574="A国内",汇率,1))</f>
        <v/>
      </c>
      <c r="O1574" s="25">
        <f>IF($G1574="","",ROUND(N($K1574)*N($L1574),2))</f>
        <v/>
      </c>
      <c r="P1574" s="26">
        <f>IF($G1574="","",ROUND($O1574*$N1574,0))</f>
        <v/>
      </c>
      <c r="Q1574" s="26">
        <f>IF($G1574="","",SUMIFS($P$4:$P$2503,$E$4:$E$2503,$E1574,$Z$4:$Z$2503,"正常"))</f>
        <v/>
      </c>
      <c r="R1574" s="26">
        <f>IF($G1574="","",SUMIFS(费用台账!$I$4:$I$503,费用台账!$C$4:$C$503,$E1574,费用台账!$J$4:$J$503,"是",费用台账!$K$4:$K$503,"正常"))</f>
        <v/>
      </c>
      <c r="S1574" s="28">
        <f>IF($G1574="","",COUNTIFS($E$4:$E$2503,$E1574,$Z$4:$Z$2503,"正常",$Y$4:$Y$2503,"待补价"))</f>
        <v/>
      </c>
      <c r="T1574" s="26">
        <f>IF($G1574="","",SUMIFS($P$4:$P$2503,$E$4:$E$2503,$E1574,$Z$4:$Z$2503,"正常",$A$4:$A$2503,"&lt;="&amp;$A1574))</f>
        <v/>
      </c>
      <c r="U1574" s="26">
        <f>IF($G1574="","",IF(OR($S1574&gt;0,$Q1574=0,$R1574=0,$Z1574&lt;&gt;"正常"),0,ROUND($T1574/$Q1574*$R1574,0)-ROUND(($T1574-$P1574)/$Q1574*$R1574,0)))</f>
        <v/>
      </c>
      <c r="V1574" s="26">
        <f>IF($G1574="","",ROUND($P1574+$U1574,0))</f>
        <v/>
      </c>
      <c r="W1574" s="26">
        <f>IF($G1574="","",IF(N($K1574)=0,0,ROUND($V1574/$K1574,2)))</f>
        <v/>
      </c>
      <c r="X1574" s="17" t="n"/>
      <c r="Y1574" s="17" t="n"/>
      <c r="Z1574" s="17" t="n"/>
      <c r="AA1574" s="17" t="n"/>
      <c r="AB1574" s="17" t="n"/>
      <c r="AC1574" s="24">
        <f>IF($G1574="","",IF($H1574="※编码不在物料档案里","※物料编码不在档案里",IF(N($K1574)&lt;=0,"※入库数量要大于 0",IF(AND($C1574&lt;&gt;"",$C1574&lt;=结账锁),"※日期早于已结账截止日，不能再录",IF(AND($L1574=0,$X1574="正常"),"※没填单价，价格状态请选「待补价」",IF(AND($S1574&gt;0,$R1574&gt;0),"△本批有 "&amp;$S1574&amp;" 行没单价，整批运费先挂账没摊",IF(AND($B1574&lt;&gt;"",COUNTIF($B$4:$B$2503,$B1574)&gt;1),"※入库单号重复","")))))))</f>
        <v/>
      </c>
    </row>
    <row r="1575">
      <c r="A1575" s="24">
        <f>IF($G1575="","",COUNTA($G$4:$G1575))</f>
        <v/>
      </c>
      <c r="B1575" s="17" t="n"/>
      <c r="C1575" s="30" t="n"/>
      <c r="D1575" s="17" t="n"/>
      <c r="E1575" s="17" t="n"/>
      <c r="F1575" s="17" t="n"/>
      <c r="G1575" s="17" t="n"/>
      <c r="H1575" s="24">
        <f>IF($G1575="","",IFERROR(VLOOKUP($G1575,物料档案!$A$4:$P$1203,3,0),"※编码不在物料档案里"))</f>
        <v/>
      </c>
      <c r="I1575" s="24">
        <f>IF($G1575="","",IFERROR(VLOOKUP($G1575,物料档案!$A$4:$P$1203,4,0),"※编码不在物料档案里"))</f>
        <v/>
      </c>
      <c r="J1575" s="24">
        <f>IF($G1575="","",IFERROR(VLOOKUP($G1575,物料档案!$A$4:$P$1203,5,0),"※编码不在物料档案里"))</f>
        <v/>
      </c>
      <c r="K1575" s="23" t="n"/>
      <c r="L1575" s="31" t="n"/>
      <c r="M1575" s="24">
        <f>IF($G1575="","",IF($D1575="A国内","CNY","TZS"))</f>
        <v/>
      </c>
      <c r="N1575" s="28">
        <f>IF($G1575="","",IF($D1575="A国内",汇率,1))</f>
        <v/>
      </c>
      <c r="O1575" s="25">
        <f>IF($G1575="","",ROUND(N($K1575)*N($L1575),2))</f>
        <v/>
      </c>
      <c r="P1575" s="26">
        <f>IF($G1575="","",ROUND($O1575*$N1575,0))</f>
        <v/>
      </c>
      <c r="Q1575" s="26">
        <f>IF($G1575="","",SUMIFS($P$4:$P$2503,$E$4:$E$2503,$E1575,$Z$4:$Z$2503,"正常"))</f>
        <v/>
      </c>
      <c r="R1575" s="26">
        <f>IF($G1575="","",SUMIFS(费用台账!$I$4:$I$503,费用台账!$C$4:$C$503,$E1575,费用台账!$J$4:$J$503,"是",费用台账!$K$4:$K$503,"正常"))</f>
        <v/>
      </c>
      <c r="S1575" s="28">
        <f>IF($G1575="","",COUNTIFS($E$4:$E$2503,$E1575,$Z$4:$Z$2503,"正常",$Y$4:$Y$2503,"待补价"))</f>
        <v/>
      </c>
      <c r="T1575" s="26">
        <f>IF($G1575="","",SUMIFS($P$4:$P$2503,$E$4:$E$2503,$E1575,$Z$4:$Z$2503,"正常",$A$4:$A$2503,"&lt;="&amp;$A1575))</f>
        <v/>
      </c>
      <c r="U1575" s="26">
        <f>IF($G1575="","",IF(OR($S1575&gt;0,$Q1575=0,$R1575=0,$Z1575&lt;&gt;"正常"),0,ROUND($T1575/$Q1575*$R1575,0)-ROUND(($T1575-$P1575)/$Q1575*$R1575,0)))</f>
        <v/>
      </c>
      <c r="V1575" s="26">
        <f>IF($G1575="","",ROUND($P1575+$U1575,0))</f>
        <v/>
      </c>
      <c r="W1575" s="26">
        <f>IF($G1575="","",IF(N($K1575)=0,0,ROUND($V1575/$K1575,2)))</f>
        <v/>
      </c>
      <c r="X1575" s="17" t="n"/>
      <c r="Y1575" s="17" t="n"/>
      <c r="Z1575" s="17" t="n"/>
      <c r="AA1575" s="17" t="n"/>
      <c r="AB1575" s="17" t="n"/>
      <c r="AC1575" s="24">
        <f>IF($G1575="","",IF($H1575="※编码不在物料档案里","※物料编码不在档案里",IF(N($K1575)&lt;=0,"※入库数量要大于 0",IF(AND($C1575&lt;&gt;"",$C1575&lt;=结账锁),"※日期早于已结账截止日，不能再录",IF(AND($L1575=0,$X1575="正常"),"※没填单价，价格状态请选「待补价」",IF(AND($S1575&gt;0,$R1575&gt;0),"△本批有 "&amp;$S1575&amp;" 行没单价，整批运费先挂账没摊",IF(AND($B1575&lt;&gt;"",COUNTIF($B$4:$B$2503,$B1575)&gt;1),"※入库单号重复","")))))))</f>
        <v/>
      </c>
    </row>
    <row r="1576">
      <c r="A1576" s="24">
        <f>IF($G1576="","",COUNTA($G$4:$G1576))</f>
        <v/>
      </c>
      <c r="B1576" s="17" t="n"/>
      <c r="C1576" s="30" t="n"/>
      <c r="D1576" s="17" t="n"/>
      <c r="E1576" s="17" t="n"/>
      <c r="F1576" s="17" t="n"/>
      <c r="G1576" s="17" t="n"/>
      <c r="H1576" s="24">
        <f>IF($G1576="","",IFERROR(VLOOKUP($G1576,物料档案!$A$4:$P$1203,3,0),"※编码不在物料档案里"))</f>
        <v/>
      </c>
      <c r="I1576" s="24">
        <f>IF($G1576="","",IFERROR(VLOOKUP($G1576,物料档案!$A$4:$P$1203,4,0),"※编码不在物料档案里"))</f>
        <v/>
      </c>
      <c r="J1576" s="24">
        <f>IF($G1576="","",IFERROR(VLOOKUP($G1576,物料档案!$A$4:$P$1203,5,0),"※编码不在物料档案里"))</f>
        <v/>
      </c>
      <c r="K1576" s="23" t="n"/>
      <c r="L1576" s="31" t="n"/>
      <c r="M1576" s="24">
        <f>IF($G1576="","",IF($D1576="A国内","CNY","TZS"))</f>
        <v/>
      </c>
      <c r="N1576" s="28">
        <f>IF($G1576="","",IF($D1576="A国内",汇率,1))</f>
        <v/>
      </c>
      <c r="O1576" s="25">
        <f>IF($G1576="","",ROUND(N($K1576)*N($L1576),2))</f>
        <v/>
      </c>
      <c r="P1576" s="26">
        <f>IF($G1576="","",ROUND($O1576*$N1576,0))</f>
        <v/>
      </c>
      <c r="Q1576" s="26">
        <f>IF($G1576="","",SUMIFS($P$4:$P$2503,$E$4:$E$2503,$E1576,$Z$4:$Z$2503,"正常"))</f>
        <v/>
      </c>
      <c r="R1576" s="26">
        <f>IF($G1576="","",SUMIFS(费用台账!$I$4:$I$503,费用台账!$C$4:$C$503,$E1576,费用台账!$J$4:$J$503,"是",费用台账!$K$4:$K$503,"正常"))</f>
        <v/>
      </c>
      <c r="S1576" s="28">
        <f>IF($G1576="","",COUNTIFS($E$4:$E$2503,$E1576,$Z$4:$Z$2503,"正常",$Y$4:$Y$2503,"待补价"))</f>
        <v/>
      </c>
      <c r="T1576" s="26">
        <f>IF($G1576="","",SUMIFS($P$4:$P$2503,$E$4:$E$2503,$E1576,$Z$4:$Z$2503,"正常",$A$4:$A$2503,"&lt;="&amp;$A1576))</f>
        <v/>
      </c>
      <c r="U1576" s="26">
        <f>IF($G1576="","",IF(OR($S1576&gt;0,$Q1576=0,$R1576=0,$Z1576&lt;&gt;"正常"),0,ROUND($T1576/$Q1576*$R1576,0)-ROUND(($T1576-$P1576)/$Q1576*$R1576,0)))</f>
        <v/>
      </c>
      <c r="V1576" s="26">
        <f>IF($G1576="","",ROUND($P1576+$U1576,0))</f>
        <v/>
      </c>
      <c r="W1576" s="26">
        <f>IF($G1576="","",IF(N($K1576)=0,0,ROUND($V1576/$K1576,2)))</f>
        <v/>
      </c>
      <c r="X1576" s="17" t="n"/>
      <c r="Y1576" s="17" t="n"/>
      <c r="Z1576" s="17" t="n"/>
      <c r="AA1576" s="17" t="n"/>
      <c r="AB1576" s="17" t="n"/>
      <c r="AC1576" s="24">
        <f>IF($G1576="","",IF($H1576="※编码不在物料档案里","※物料编码不在档案里",IF(N($K1576)&lt;=0,"※入库数量要大于 0",IF(AND($C1576&lt;&gt;"",$C1576&lt;=结账锁),"※日期早于已结账截止日，不能再录",IF(AND($L1576=0,$X1576="正常"),"※没填单价，价格状态请选「待补价」",IF(AND($S1576&gt;0,$R1576&gt;0),"△本批有 "&amp;$S1576&amp;" 行没单价，整批运费先挂账没摊",IF(AND($B1576&lt;&gt;"",COUNTIF($B$4:$B$2503,$B1576)&gt;1),"※入库单号重复","")))))))</f>
        <v/>
      </c>
    </row>
    <row r="1577">
      <c r="A1577" s="24">
        <f>IF($G1577="","",COUNTA($G$4:$G1577))</f>
        <v/>
      </c>
      <c r="B1577" s="17" t="n"/>
      <c r="C1577" s="30" t="n"/>
      <c r="D1577" s="17" t="n"/>
      <c r="E1577" s="17" t="n"/>
      <c r="F1577" s="17" t="n"/>
      <c r="G1577" s="17" t="n"/>
      <c r="H1577" s="24">
        <f>IF($G1577="","",IFERROR(VLOOKUP($G1577,物料档案!$A$4:$P$1203,3,0),"※编码不在物料档案里"))</f>
        <v/>
      </c>
      <c r="I1577" s="24">
        <f>IF($G1577="","",IFERROR(VLOOKUP($G1577,物料档案!$A$4:$P$1203,4,0),"※编码不在物料档案里"))</f>
        <v/>
      </c>
      <c r="J1577" s="24">
        <f>IF($G1577="","",IFERROR(VLOOKUP($G1577,物料档案!$A$4:$P$1203,5,0),"※编码不在物料档案里"))</f>
        <v/>
      </c>
      <c r="K1577" s="23" t="n"/>
      <c r="L1577" s="31" t="n"/>
      <c r="M1577" s="24">
        <f>IF($G1577="","",IF($D1577="A国内","CNY","TZS"))</f>
        <v/>
      </c>
      <c r="N1577" s="28">
        <f>IF($G1577="","",IF($D1577="A国内",汇率,1))</f>
        <v/>
      </c>
      <c r="O1577" s="25">
        <f>IF($G1577="","",ROUND(N($K1577)*N($L1577),2))</f>
        <v/>
      </c>
      <c r="P1577" s="26">
        <f>IF($G1577="","",ROUND($O1577*$N1577,0))</f>
        <v/>
      </c>
      <c r="Q1577" s="26">
        <f>IF($G1577="","",SUMIFS($P$4:$P$2503,$E$4:$E$2503,$E1577,$Z$4:$Z$2503,"正常"))</f>
        <v/>
      </c>
      <c r="R1577" s="26">
        <f>IF($G1577="","",SUMIFS(费用台账!$I$4:$I$503,费用台账!$C$4:$C$503,$E1577,费用台账!$J$4:$J$503,"是",费用台账!$K$4:$K$503,"正常"))</f>
        <v/>
      </c>
      <c r="S1577" s="28">
        <f>IF($G1577="","",COUNTIFS($E$4:$E$2503,$E1577,$Z$4:$Z$2503,"正常",$Y$4:$Y$2503,"待补价"))</f>
        <v/>
      </c>
      <c r="T1577" s="26">
        <f>IF($G1577="","",SUMIFS($P$4:$P$2503,$E$4:$E$2503,$E1577,$Z$4:$Z$2503,"正常",$A$4:$A$2503,"&lt;="&amp;$A1577))</f>
        <v/>
      </c>
      <c r="U1577" s="26">
        <f>IF($G1577="","",IF(OR($S1577&gt;0,$Q1577=0,$R1577=0,$Z1577&lt;&gt;"正常"),0,ROUND($T1577/$Q1577*$R1577,0)-ROUND(($T1577-$P1577)/$Q1577*$R1577,0)))</f>
        <v/>
      </c>
      <c r="V1577" s="26">
        <f>IF($G1577="","",ROUND($P1577+$U1577,0))</f>
        <v/>
      </c>
      <c r="W1577" s="26">
        <f>IF($G1577="","",IF(N($K1577)=0,0,ROUND($V1577/$K1577,2)))</f>
        <v/>
      </c>
      <c r="X1577" s="17" t="n"/>
      <c r="Y1577" s="17" t="n"/>
      <c r="Z1577" s="17" t="n"/>
      <c r="AA1577" s="17" t="n"/>
      <c r="AB1577" s="17" t="n"/>
      <c r="AC1577" s="24">
        <f>IF($G1577="","",IF($H1577="※编码不在物料档案里","※物料编码不在档案里",IF(N($K1577)&lt;=0,"※入库数量要大于 0",IF(AND($C1577&lt;&gt;"",$C1577&lt;=结账锁),"※日期早于已结账截止日，不能再录",IF(AND($L1577=0,$X1577="正常"),"※没填单价，价格状态请选「待补价」",IF(AND($S1577&gt;0,$R1577&gt;0),"△本批有 "&amp;$S1577&amp;" 行没单价，整批运费先挂账没摊",IF(AND($B1577&lt;&gt;"",COUNTIF($B$4:$B$2503,$B1577)&gt;1),"※入库单号重复","")))))))</f>
        <v/>
      </c>
    </row>
    <row r="1578">
      <c r="A1578" s="24">
        <f>IF($G1578="","",COUNTA($G$4:$G1578))</f>
        <v/>
      </c>
      <c r="B1578" s="17" t="n"/>
      <c r="C1578" s="30" t="n"/>
      <c r="D1578" s="17" t="n"/>
      <c r="E1578" s="17" t="n"/>
      <c r="F1578" s="17" t="n"/>
      <c r="G1578" s="17" t="n"/>
      <c r="H1578" s="24">
        <f>IF($G1578="","",IFERROR(VLOOKUP($G1578,物料档案!$A$4:$P$1203,3,0),"※编码不在物料档案里"))</f>
        <v/>
      </c>
      <c r="I1578" s="24">
        <f>IF($G1578="","",IFERROR(VLOOKUP($G1578,物料档案!$A$4:$P$1203,4,0),"※编码不在物料档案里"))</f>
        <v/>
      </c>
      <c r="J1578" s="24">
        <f>IF($G1578="","",IFERROR(VLOOKUP($G1578,物料档案!$A$4:$P$1203,5,0),"※编码不在物料档案里"))</f>
        <v/>
      </c>
      <c r="K1578" s="23" t="n"/>
      <c r="L1578" s="31" t="n"/>
      <c r="M1578" s="24">
        <f>IF($G1578="","",IF($D1578="A国内","CNY","TZS"))</f>
        <v/>
      </c>
      <c r="N1578" s="28">
        <f>IF($G1578="","",IF($D1578="A国内",汇率,1))</f>
        <v/>
      </c>
      <c r="O1578" s="25">
        <f>IF($G1578="","",ROUND(N($K1578)*N($L1578),2))</f>
        <v/>
      </c>
      <c r="P1578" s="26">
        <f>IF($G1578="","",ROUND($O1578*$N1578,0))</f>
        <v/>
      </c>
      <c r="Q1578" s="26">
        <f>IF($G1578="","",SUMIFS($P$4:$P$2503,$E$4:$E$2503,$E1578,$Z$4:$Z$2503,"正常"))</f>
        <v/>
      </c>
      <c r="R1578" s="26">
        <f>IF($G1578="","",SUMIFS(费用台账!$I$4:$I$503,费用台账!$C$4:$C$503,$E1578,费用台账!$J$4:$J$503,"是",费用台账!$K$4:$K$503,"正常"))</f>
        <v/>
      </c>
      <c r="S1578" s="28">
        <f>IF($G1578="","",COUNTIFS($E$4:$E$2503,$E1578,$Z$4:$Z$2503,"正常",$Y$4:$Y$2503,"待补价"))</f>
        <v/>
      </c>
      <c r="T1578" s="26">
        <f>IF($G1578="","",SUMIFS($P$4:$P$2503,$E$4:$E$2503,$E1578,$Z$4:$Z$2503,"正常",$A$4:$A$2503,"&lt;="&amp;$A1578))</f>
        <v/>
      </c>
      <c r="U1578" s="26">
        <f>IF($G1578="","",IF(OR($S1578&gt;0,$Q1578=0,$R1578=0,$Z1578&lt;&gt;"正常"),0,ROUND($T1578/$Q1578*$R1578,0)-ROUND(($T1578-$P1578)/$Q1578*$R1578,0)))</f>
        <v/>
      </c>
      <c r="V1578" s="26">
        <f>IF($G1578="","",ROUND($P1578+$U1578,0))</f>
        <v/>
      </c>
      <c r="W1578" s="26">
        <f>IF($G1578="","",IF(N($K1578)=0,0,ROUND($V1578/$K1578,2)))</f>
        <v/>
      </c>
      <c r="X1578" s="17" t="n"/>
      <c r="Y1578" s="17" t="n"/>
      <c r="Z1578" s="17" t="n"/>
      <c r="AA1578" s="17" t="n"/>
      <c r="AB1578" s="17" t="n"/>
      <c r="AC1578" s="24">
        <f>IF($G1578="","",IF($H1578="※编码不在物料档案里","※物料编码不在档案里",IF(N($K1578)&lt;=0,"※入库数量要大于 0",IF(AND($C1578&lt;&gt;"",$C1578&lt;=结账锁),"※日期早于已结账截止日，不能再录",IF(AND($L1578=0,$X1578="正常"),"※没填单价，价格状态请选「待补价」",IF(AND($S1578&gt;0,$R1578&gt;0),"△本批有 "&amp;$S1578&amp;" 行没单价，整批运费先挂账没摊",IF(AND($B1578&lt;&gt;"",COUNTIF($B$4:$B$2503,$B1578)&gt;1),"※入库单号重复","")))))))</f>
        <v/>
      </c>
    </row>
    <row r="1579">
      <c r="A1579" s="24">
        <f>IF($G1579="","",COUNTA($G$4:$G1579))</f>
        <v/>
      </c>
      <c r="B1579" s="17" t="n"/>
      <c r="C1579" s="30" t="n"/>
      <c r="D1579" s="17" t="n"/>
      <c r="E1579" s="17" t="n"/>
      <c r="F1579" s="17" t="n"/>
      <c r="G1579" s="17" t="n"/>
      <c r="H1579" s="24">
        <f>IF($G1579="","",IFERROR(VLOOKUP($G1579,物料档案!$A$4:$P$1203,3,0),"※编码不在物料档案里"))</f>
        <v/>
      </c>
      <c r="I1579" s="24">
        <f>IF($G1579="","",IFERROR(VLOOKUP($G1579,物料档案!$A$4:$P$1203,4,0),"※编码不在物料档案里"))</f>
        <v/>
      </c>
      <c r="J1579" s="24">
        <f>IF($G1579="","",IFERROR(VLOOKUP($G1579,物料档案!$A$4:$P$1203,5,0),"※编码不在物料档案里"))</f>
        <v/>
      </c>
      <c r="K1579" s="23" t="n"/>
      <c r="L1579" s="31" t="n"/>
      <c r="M1579" s="24">
        <f>IF($G1579="","",IF($D1579="A国内","CNY","TZS"))</f>
        <v/>
      </c>
      <c r="N1579" s="28">
        <f>IF($G1579="","",IF($D1579="A国内",汇率,1))</f>
        <v/>
      </c>
      <c r="O1579" s="25">
        <f>IF($G1579="","",ROUND(N($K1579)*N($L1579),2))</f>
        <v/>
      </c>
      <c r="P1579" s="26">
        <f>IF($G1579="","",ROUND($O1579*$N1579,0))</f>
        <v/>
      </c>
      <c r="Q1579" s="26">
        <f>IF($G1579="","",SUMIFS($P$4:$P$2503,$E$4:$E$2503,$E1579,$Z$4:$Z$2503,"正常"))</f>
        <v/>
      </c>
      <c r="R1579" s="26">
        <f>IF($G1579="","",SUMIFS(费用台账!$I$4:$I$503,费用台账!$C$4:$C$503,$E1579,费用台账!$J$4:$J$503,"是",费用台账!$K$4:$K$503,"正常"))</f>
        <v/>
      </c>
      <c r="S1579" s="28">
        <f>IF($G1579="","",COUNTIFS($E$4:$E$2503,$E1579,$Z$4:$Z$2503,"正常",$Y$4:$Y$2503,"待补价"))</f>
        <v/>
      </c>
      <c r="T1579" s="26">
        <f>IF($G1579="","",SUMIFS($P$4:$P$2503,$E$4:$E$2503,$E1579,$Z$4:$Z$2503,"正常",$A$4:$A$2503,"&lt;="&amp;$A1579))</f>
        <v/>
      </c>
      <c r="U1579" s="26">
        <f>IF($G1579="","",IF(OR($S1579&gt;0,$Q1579=0,$R1579=0,$Z1579&lt;&gt;"正常"),0,ROUND($T1579/$Q1579*$R1579,0)-ROUND(($T1579-$P1579)/$Q1579*$R1579,0)))</f>
        <v/>
      </c>
      <c r="V1579" s="26">
        <f>IF($G1579="","",ROUND($P1579+$U1579,0))</f>
        <v/>
      </c>
      <c r="W1579" s="26">
        <f>IF($G1579="","",IF(N($K1579)=0,0,ROUND($V1579/$K1579,2)))</f>
        <v/>
      </c>
      <c r="X1579" s="17" t="n"/>
      <c r="Y1579" s="17" t="n"/>
      <c r="Z1579" s="17" t="n"/>
      <c r="AA1579" s="17" t="n"/>
      <c r="AB1579" s="17" t="n"/>
      <c r="AC1579" s="24">
        <f>IF($G1579="","",IF($H1579="※编码不在物料档案里","※物料编码不在档案里",IF(N($K1579)&lt;=0,"※入库数量要大于 0",IF(AND($C1579&lt;&gt;"",$C1579&lt;=结账锁),"※日期早于已结账截止日，不能再录",IF(AND($L1579=0,$X1579="正常"),"※没填单价，价格状态请选「待补价」",IF(AND($S1579&gt;0,$R1579&gt;0),"△本批有 "&amp;$S1579&amp;" 行没单价，整批运费先挂账没摊",IF(AND($B1579&lt;&gt;"",COUNTIF($B$4:$B$2503,$B1579)&gt;1),"※入库单号重复","")))))))</f>
        <v/>
      </c>
    </row>
    <row r="1580">
      <c r="A1580" s="24">
        <f>IF($G1580="","",COUNTA($G$4:$G1580))</f>
        <v/>
      </c>
      <c r="B1580" s="17" t="n"/>
      <c r="C1580" s="30" t="n"/>
      <c r="D1580" s="17" t="n"/>
      <c r="E1580" s="17" t="n"/>
      <c r="F1580" s="17" t="n"/>
      <c r="G1580" s="17" t="n"/>
      <c r="H1580" s="24">
        <f>IF($G1580="","",IFERROR(VLOOKUP($G1580,物料档案!$A$4:$P$1203,3,0),"※编码不在物料档案里"))</f>
        <v/>
      </c>
      <c r="I1580" s="24">
        <f>IF($G1580="","",IFERROR(VLOOKUP($G1580,物料档案!$A$4:$P$1203,4,0),"※编码不在物料档案里"))</f>
        <v/>
      </c>
      <c r="J1580" s="24">
        <f>IF($G1580="","",IFERROR(VLOOKUP($G1580,物料档案!$A$4:$P$1203,5,0),"※编码不在物料档案里"))</f>
        <v/>
      </c>
      <c r="K1580" s="23" t="n"/>
      <c r="L1580" s="31" t="n"/>
      <c r="M1580" s="24">
        <f>IF($G1580="","",IF($D1580="A国内","CNY","TZS"))</f>
        <v/>
      </c>
      <c r="N1580" s="28">
        <f>IF($G1580="","",IF($D1580="A国内",汇率,1))</f>
        <v/>
      </c>
      <c r="O1580" s="25">
        <f>IF($G1580="","",ROUND(N($K1580)*N($L1580),2))</f>
        <v/>
      </c>
      <c r="P1580" s="26">
        <f>IF($G1580="","",ROUND($O1580*$N1580,0))</f>
        <v/>
      </c>
      <c r="Q1580" s="26">
        <f>IF($G1580="","",SUMIFS($P$4:$P$2503,$E$4:$E$2503,$E1580,$Z$4:$Z$2503,"正常"))</f>
        <v/>
      </c>
      <c r="R1580" s="26">
        <f>IF($G1580="","",SUMIFS(费用台账!$I$4:$I$503,费用台账!$C$4:$C$503,$E1580,费用台账!$J$4:$J$503,"是",费用台账!$K$4:$K$503,"正常"))</f>
        <v/>
      </c>
      <c r="S1580" s="28">
        <f>IF($G1580="","",COUNTIFS($E$4:$E$2503,$E1580,$Z$4:$Z$2503,"正常",$Y$4:$Y$2503,"待补价"))</f>
        <v/>
      </c>
      <c r="T1580" s="26">
        <f>IF($G1580="","",SUMIFS($P$4:$P$2503,$E$4:$E$2503,$E1580,$Z$4:$Z$2503,"正常",$A$4:$A$2503,"&lt;="&amp;$A1580))</f>
        <v/>
      </c>
      <c r="U1580" s="26">
        <f>IF($G1580="","",IF(OR($S1580&gt;0,$Q1580=0,$R1580=0,$Z1580&lt;&gt;"正常"),0,ROUND($T1580/$Q1580*$R1580,0)-ROUND(($T1580-$P1580)/$Q1580*$R1580,0)))</f>
        <v/>
      </c>
      <c r="V1580" s="26">
        <f>IF($G1580="","",ROUND($P1580+$U1580,0))</f>
        <v/>
      </c>
      <c r="W1580" s="26">
        <f>IF($G1580="","",IF(N($K1580)=0,0,ROUND($V1580/$K1580,2)))</f>
        <v/>
      </c>
      <c r="X1580" s="17" t="n"/>
      <c r="Y1580" s="17" t="n"/>
      <c r="Z1580" s="17" t="n"/>
      <c r="AA1580" s="17" t="n"/>
      <c r="AB1580" s="17" t="n"/>
      <c r="AC1580" s="24">
        <f>IF($G1580="","",IF($H1580="※编码不在物料档案里","※物料编码不在档案里",IF(N($K1580)&lt;=0,"※入库数量要大于 0",IF(AND($C1580&lt;&gt;"",$C1580&lt;=结账锁),"※日期早于已结账截止日，不能再录",IF(AND($L1580=0,$X1580="正常"),"※没填单价，价格状态请选「待补价」",IF(AND($S1580&gt;0,$R1580&gt;0),"△本批有 "&amp;$S1580&amp;" 行没单价，整批运费先挂账没摊",IF(AND($B1580&lt;&gt;"",COUNTIF($B$4:$B$2503,$B1580)&gt;1),"※入库单号重复","")))))))</f>
        <v/>
      </c>
    </row>
    <row r="1581">
      <c r="A1581" s="24">
        <f>IF($G1581="","",COUNTA($G$4:$G1581))</f>
        <v/>
      </c>
      <c r="B1581" s="17" t="n"/>
      <c r="C1581" s="30" t="n"/>
      <c r="D1581" s="17" t="n"/>
      <c r="E1581" s="17" t="n"/>
      <c r="F1581" s="17" t="n"/>
      <c r="G1581" s="17" t="n"/>
      <c r="H1581" s="24">
        <f>IF($G1581="","",IFERROR(VLOOKUP($G1581,物料档案!$A$4:$P$1203,3,0),"※编码不在物料档案里"))</f>
        <v/>
      </c>
      <c r="I1581" s="24">
        <f>IF($G1581="","",IFERROR(VLOOKUP($G1581,物料档案!$A$4:$P$1203,4,0),"※编码不在物料档案里"))</f>
        <v/>
      </c>
      <c r="J1581" s="24">
        <f>IF($G1581="","",IFERROR(VLOOKUP($G1581,物料档案!$A$4:$P$1203,5,0),"※编码不在物料档案里"))</f>
        <v/>
      </c>
      <c r="K1581" s="23" t="n"/>
      <c r="L1581" s="31" t="n"/>
      <c r="M1581" s="24">
        <f>IF($G1581="","",IF($D1581="A国内","CNY","TZS"))</f>
        <v/>
      </c>
      <c r="N1581" s="28">
        <f>IF($G1581="","",IF($D1581="A国内",汇率,1))</f>
        <v/>
      </c>
      <c r="O1581" s="25">
        <f>IF($G1581="","",ROUND(N($K1581)*N($L1581),2))</f>
        <v/>
      </c>
      <c r="P1581" s="26">
        <f>IF($G1581="","",ROUND($O1581*$N1581,0))</f>
        <v/>
      </c>
      <c r="Q1581" s="26">
        <f>IF($G1581="","",SUMIFS($P$4:$P$2503,$E$4:$E$2503,$E1581,$Z$4:$Z$2503,"正常"))</f>
        <v/>
      </c>
      <c r="R1581" s="26">
        <f>IF($G1581="","",SUMIFS(费用台账!$I$4:$I$503,费用台账!$C$4:$C$503,$E1581,费用台账!$J$4:$J$503,"是",费用台账!$K$4:$K$503,"正常"))</f>
        <v/>
      </c>
      <c r="S1581" s="28">
        <f>IF($G1581="","",COUNTIFS($E$4:$E$2503,$E1581,$Z$4:$Z$2503,"正常",$Y$4:$Y$2503,"待补价"))</f>
        <v/>
      </c>
      <c r="T1581" s="26">
        <f>IF($G1581="","",SUMIFS($P$4:$P$2503,$E$4:$E$2503,$E1581,$Z$4:$Z$2503,"正常",$A$4:$A$2503,"&lt;="&amp;$A1581))</f>
        <v/>
      </c>
      <c r="U1581" s="26">
        <f>IF($G1581="","",IF(OR($S1581&gt;0,$Q1581=0,$R1581=0,$Z1581&lt;&gt;"正常"),0,ROUND($T1581/$Q1581*$R1581,0)-ROUND(($T1581-$P1581)/$Q1581*$R1581,0)))</f>
        <v/>
      </c>
      <c r="V1581" s="26">
        <f>IF($G1581="","",ROUND($P1581+$U1581,0))</f>
        <v/>
      </c>
      <c r="W1581" s="26">
        <f>IF($G1581="","",IF(N($K1581)=0,0,ROUND($V1581/$K1581,2)))</f>
        <v/>
      </c>
      <c r="X1581" s="17" t="n"/>
      <c r="Y1581" s="17" t="n"/>
      <c r="Z1581" s="17" t="n"/>
      <c r="AA1581" s="17" t="n"/>
      <c r="AB1581" s="17" t="n"/>
      <c r="AC1581" s="24">
        <f>IF($G1581="","",IF($H1581="※编码不在物料档案里","※物料编码不在档案里",IF(N($K1581)&lt;=0,"※入库数量要大于 0",IF(AND($C1581&lt;&gt;"",$C1581&lt;=结账锁),"※日期早于已结账截止日，不能再录",IF(AND($L1581=0,$X1581="正常"),"※没填单价，价格状态请选「待补价」",IF(AND($S1581&gt;0,$R1581&gt;0),"△本批有 "&amp;$S1581&amp;" 行没单价，整批运费先挂账没摊",IF(AND($B1581&lt;&gt;"",COUNTIF($B$4:$B$2503,$B1581)&gt;1),"※入库单号重复","")))))))</f>
        <v/>
      </c>
    </row>
    <row r="1582">
      <c r="A1582" s="24">
        <f>IF($G1582="","",COUNTA($G$4:$G1582))</f>
        <v/>
      </c>
      <c r="B1582" s="17" t="n"/>
      <c r="C1582" s="30" t="n"/>
      <c r="D1582" s="17" t="n"/>
      <c r="E1582" s="17" t="n"/>
      <c r="F1582" s="17" t="n"/>
      <c r="G1582" s="17" t="n"/>
      <c r="H1582" s="24">
        <f>IF($G1582="","",IFERROR(VLOOKUP($G1582,物料档案!$A$4:$P$1203,3,0),"※编码不在物料档案里"))</f>
        <v/>
      </c>
      <c r="I1582" s="24">
        <f>IF($G1582="","",IFERROR(VLOOKUP($G1582,物料档案!$A$4:$P$1203,4,0),"※编码不在物料档案里"))</f>
        <v/>
      </c>
      <c r="J1582" s="24">
        <f>IF($G1582="","",IFERROR(VLOOKUP($G1582,物料档案!$A$4:$P$1203,5,0),"※编码不在物料档案里"))</f>
        <v/>
      </c>
      <c r="K1582" s="23" t="n"/>
      <c r="L1582" s="31" t="n"/>
      <c r="M1582" s="24">
        <f>IF($G1582="","",IF($D1582="A国内","CNY","TZS"))</f>
        <v/>
      </c>
      <c r="N1582" s="28">
        <f>IF($G1582="","",IF($D1582="A国内",汇率,1))</f>
        <v/>
      </c>
      <c r="O1582" s="25">
        <f>IF($G1582="","",ROUND(N($K1582)*N($L1582),2))</f>
        <v/>
      </c>
      <c r="P1582" s="26">
        <f>IF($G1582="","",ROUND($O1582*$N1582,0))</f>
        <v/>
      </c>
      <c r="Q1582" s="26">
        <f>IF($G1582="","",SUMIFS($P$4:$P$2503,$E$4:$E$2503,$E1582,$Z$4:$Z$2503,"正常"))</f>
        <v/>
      </c>
      <c r="R1582" s="26">
        <f>IF($G1582="","",SUMIFS(费用台账!$I$4:$I$503,费用台账!$C$4:$C$503,$E1582,费用台账!$J$4:$J$503,"是",费用台账!$K$4:$K$503,"正常"))</f>
        <v/>
      </c>
      <c r="S1582" s="28">
        <f>IF($G1582="","",COUNTIFS($E$4:$E$2503,$E1582,$Z$4:$Z$2503,"正常",$Y$4:$Y$2503,"待补价"))</f>
        <v/>
      </c>
      <c r="T1582" s="26">
        <f>IF($G1582="","",SUMIFS($P$4:$P$2503,$E$4:$E$2503,$E1582,$Z$4:$Z$2503,"正常",$A$4:$A$2503,"&lt;="&amp;$A1582))</f>
        <v/>
      </c>
      <c r="U1582" s="26">
        <f>IF($G1582="","",IF(OR($S1582&gt;0,$Q1582=0,$R1582=0,$Z1582&lt;&gt;"正常"),0,ROUND($T1582/$Q1582*$R1582,0)-ROUND(($T1582-$P1582)/$Q1582*$R1582,0)))</f>
        <v/>
      </c>
      <c r="V1582" s="26">
        <f>IF($G1582="","",ROUND($P1582+$U1582,0))</f>
        <v/>
      </c>
      <c r="W1582" s="26">
        <f>IF($G1582="","",IF(N($K1582)=0,0,ROUND($V1582/$K1582,2)))</f>
        <v/>
      </c>
      <c r="X1582" s="17" t="n"/>
      <c r="Y1582" s="17" t="n"/>
      <c r="Z1582" s="17" t="n"/>
      <c r="AA1582" s="17" t="n"/>
      <c r="AB1582" s="17" t="n"/>
      <c r="AC1582" s="24">
        <f>IF($G1582="","",IF($H1582="※编码不在物料档案里","※物料编码不在档案里",IF(N($K1582)&lt;=0,"※入库数量要大于 0",IF(AND($C1582&lt;&gt;"",$C1582&lt;=结账锁),"※日期早于已结账截止日，不能再录",IF(AND($L1582=0,$X1582="正常"),"※没填单价，价格状态请选「待补价」",IF(AND($S1582&gt;0,$R1582&gt;0),"△本批有 "&amp;$S1582&amp;" 行没单价，整批运费先挂账没摊",IF(AND($B1582&lt;&gt;"",COUNTIF($B$4:$B$2503,$B1582)&gt;1),"※入库单号重复","")))))))</f>
        <v/>
      </c>
    </row>
    <row r="1583">
      <c r="A1583" s="24">
        <f>IF($G1583="","",COUNTA($G$4:$G1583))</f>
        <v/>
      </c>
      <c r="B1583" s="17" t="n"/>
      <c r="C1583" s="30" t="n"/>
      <c r="D1583" s="17" t="n"/>
      <c r="E1583" s="17" t="n"/>
      <c r="F1583" s="17" t="n"/>
      <c r="G1583" s="17" t="n"/>
      <c r="H1583" s="24">
        <f>IF($G1583="","",IFERROR(VLOOKUP($G1583,物料档案!$A$4:$P$1203,3,0),"※编码不在物料档案里"))</f>
        <v/>
      </c>
      <c r="I1583" s="24">
        <f>IF($G1583="","",IFERROR(VLOOKUP($G1583,物料档案!$A$4:$P$1203,4,0),"※编码不在物料档案里"))</f>
        <v/>
      </c>
      <c r="J1583" s="24">
        <f>IF($G1583="","",IFERROR(VLOOKUP($G1583,物料档案!$A$4:$P$1203,5,0),"※编码不在物料档案里"))</f>
        <v/>
      </c>
      <c r="K1583" s="23" t="n"/>
      <c r="L1583" s="31" t="n"/>
      <c r="M1583" s="24">
        <f>IF($G1583="","",IF($D1583="A国内","CNY","TZS"))</f>
        <v/>
      </c>
      <c r="N1583" s="28">
        <f>IF($G1583="","",IF($D1583="A国内",汇率,1))</f>
        <v/>
      </c>
      <c r="O1583" s="25">
        <f>IF($G1583="","",ROUND(N($K1583)*N($L1583),2))</f>
        <v/>
      </c>
      <c r="P1583" s="26">
        <f>IF($G1583="","",ROUND($O1583*$N1583,0))</f>
        <v/>
      </c>
      <c r="Q1583" s="26">
        <f>IF($G1583="","",SUMIFS($P$4:$P$2503,$E$4:$E$2503,$E1583,$Z$4:$Z$2503,"正常"))</f>
        <v/>
      </c>
      <c r="R1583" s="26">
        <f>IF($G1583="","",SUMIFS(费用台账!$I$4:$I$503,费用台账!$C$4:$C$503,$E1583,费用台账!$J$4:$J$503,"是",费用台账!$K$4:$K$503,"正常"))</f>
        <v/>
      </c>
      <c r="S1583" s="28">
        <f>IF($G1583="","",COUNTIFS($E$4:$E$2503,$E1583,$Z$4:$Z$2503,"正常",$Y$4:$Y$2503,"待补价"))</f>
        <v/>
      </c>
      <c r="T1583" s="26">
        <f>IF($G1583="","",SUMIFS($P$4:$P$2503,$E$4:$E$2503,$E1583,$Z$4:$Z$2503,"正常",$A$4:$A$2503,"&lt;="&amp;$A1583))</f>
        <v/>
      </c>
      <c r="U1583" s="26">
        <f>IF($G1583="","",IF(OR($S1583&gt;0,$Q1583=0,$R1583=0,$Z1583&lt;&gt;"正常"),0,ROUND($T1583/$Q1583*$R1583,0)-ROUND(($T1583-$P1583)/$Q1583*$R1583,0)))</f>
        <v/>
      </c>
      <c r="V1583" s="26">
        <f>IF($G1583="","",ROUND($P1583+$U1583,0))</f>
        <v/>
      </c>
      <c r="W1583" s="26">
        <f>IF($G1583="","",IF(N($K1583)=0,0,ROUND($V1583/$K1583,2)))</f>
        <v/>
      </c>
      <c r="X1583" s="17" t="n"/>
      <c r="Y1583" s="17" t="n"/>
      <c r="Z1583" s="17" t="n"/>
      <c r="AA1583" s="17" t="n"/>
      <c r="AB1583" s="17" t="n"/>
      <c r="AC1583" s="24">
        <f>IF($G1583="","",IF($H1583="※编码不在物料档案里","※物料编码不在档案里",IF(N($K1583)&lt;=0,"※入库数量要大于 0",IF(AND($C1583&lt;&gt;"",$C1583&lt;=结账锁),"※日期早于已结账截止日，不能再录",IF(AND($L1583=0,$X1583="正常"),"※没填单价，价格状态请选「待补价」",IF(AND($S1583&gt;0,$R1583&gt;0),"△本批有 "&amp;$S1583&amp;" 行没单价，整批运费先挂账没摊",IF(AND($B1583&lt;&gt;"",COUNTIF($B$4:$B$2503,$B1583)&gt;1),"※入库单号重复","")))))))</f>
        <v/>
      </c>
    </row>
    <row r="1584">
      <c r="A1584" s="24">
        <f>IF($G1584="","",COUNTA($G$4:$G1584))</f>
        <v/>
      </c>
      <c r="B1584" s="17" t="n"/>
      <c r="C1584" s="30" t="n"/>
      <c r="D1584" s="17" t="n"/>
      <c r="E1584" s="17" t="n"/>
      <c r="F1584" s="17" t="n"/>
      <c r="G1584" s="17" t="n"/>
      <c r="H1584" s="24">
        <f>IF($G1584="","",IFERROR(VLOOKUP($G1584,物料档案!$A$4:$P$1203,3,0),"※编码不在物料档案里"))</f>
        <v/>
      </c>
      <c r="I1584" s="24">
        <f>IF($G1584="","",IFERROR(VLOOKUP($G1584,物料档案!$A$4:$P$1203,4,0),"※编码不在物料档案里"))</f>
        <v/>
      </c>
      <c r="J1584" s="24">
        <f>IF($G1584="","",IFERROR(VLOOKUP($G1584,物料档案!$A$4:$P$1203,5,0),"※编码不在物料档案里"))</f>
        <v/>
      </c>
      <c r="K1584" s="23" t="n"/>
      <c r="L1584" s="31" t="n"/>
      <c r="M1584" s="24">
        <f>IF($G1584="","",IF($D1584="A国内","CNY","TZS"))</f>
        <v/>
      </c>
      <c r="N1584" s="28">
        <f>IF($G1584="","",IF($D1584="A国内",汇率,1))</f>
        <v/>
      </c>
      <c r="O1584" s="25">
        <f>IF($G1584="","",ROUND(N($K1584)*N($L1584),2))</f>
        <v/>
      </c>
      <c r="P1584" s="26">
        <f>IF($G1584="","",ROUND($O1584*$N1584,0))</f>
        <v/>
      </c>
      <c r="Q1584" s="26">
        <f>IF($G1584="","",SUMIFS($P$4:$P$2503,$E$4:$E$2503,$E1584,$Z$4:$Z$2503,"正常"))</f>
        <v/>
      </c>
      <c r="R1584" s="26">
        <f>IF($G1584="","",SUMIFS(费用台账!$I$4:$I$503,费用台账!$C$4:$C$503,$E1584,费用台账!$J$4:$J$503,"是",费用台账!$K$4:$K$503,"正常"))</f>
        <v/>
      </c>
      <c r="S1584" s="28">
        <f>IF($G1584="","",COUNTIFS($E$4:$E$2503,$E1584,$Z$4:$Z$2503,"正常",$Y$4:$Y$2503,"待补价"))</f>
        <v/>
      </c>
      <c r="T1584" s="26">
        <f>IF($G1584="","",SUMIFS($P$4:$P$2503,$E$4:$E$2503,$E1584,$Z$4:$Z$2503,"正常",$A$4:$A$2503,"&lt;="&amp;$A1584))</f>
        <v/>
      </c>
      <c r="U1584" s="26">
        <f>IF($G1584="","",IF(OR($S1584&gt;0,$Q1584=0,$R1584=0,$Z1584&lt;&gt;"正常"),0,ROUND($T1584/$Q1584*$R1584,0)-ROUND(($T1584-$P1584)/$Q1584*$R1584,0)))</f>
        <v/>
      </c>
      <c r="V1584" s="26">
        <f>IF($G1584="","",ROUND($P1584+$U1584,0))</f>
        <v/>
      </c>
      <c r="W1584" s="26">
        <f>IF($G1584="","",IF(N($K1584)=0,0,ROUND($V1584/$K1584,2)))</f>
        <v/>
      </c>
      <c r="X1584" s="17" t="n"/>
      <c r="Y1584" s="17" t="n"/>
      <c r="Z1584" s="17" t="n"/>
      <c r="AA1584" s="17" t="n"/>
      <c r="AB1584" s="17" t="n"/>
      <c r="AC1584" s="24">
        <f>IF($G1584="","",IF($H1584="※编码不在物料档案里","※物料编码不在档案里",IF(N($K1584)&lt;=0,"※入库数量要大于 0",IF(AND($C1584&lt;&gt;"",$C1584&lt;=结账锁),"※日期早于已结账截止日，不能再录",IF(AND($L1584=0,$X1584="正常"),"※没填单价，价格状态请选「待补价」",IF(AND($S1584&gt;0,$R1584&gt;0),"△本批有 "&amp;$S1584&amp;" 行没单价，整批运费先挂账没摊",IF(AND($B1584&lt;&gt;"",COUNTIF($B$4:$B$2503,$B1584)&gt;1),"※入库单号重复","")))))))</f>
        <v/>
      </c>
    </row>
    <row r="1585">
      <c r="A1585" s="24">
        <f>IF($G1585="","",COUNTA($G$4:$G1585))</f>
        <v/>
      </c>
      <c r="B1585" s="17" t="n"/>
      <c r="C1585" s="30" t="n"/>
      <c r="D1585" s="17" t="n"/>
      <c r="E1585" s="17" t="n"/>
      <c r="F1585" s="17" t="n"/>
      <c r="G1585" s="17" t="n"/>
      <c r="H1585" s="24">
        <f>IF($G1585="","",IFERROR(VLOOKUP($G1585,物料档案!$A$4:$P$1203,3,0),"※编码不在物料档案里"))</f>
        <v/>
      </c>
      <c r="I1585" s="24">
        <f>IF($G1585="","",IFERROR(VLOOKUP($G1585,物料档案!$A$4:$P$1203,4,0),"※编码不在物料档案里"))</f>
        <v/>
      </c>
      <c r="J1585" s="24">
        <f>IF($G1585="","",IFERROR(VLOOKUP($G1585,物料档案!$A$4:$P$1203,5,0),"※编码不在物料档案里"))</f>
        <v/>
      </c>
      <c r="K1585" s="23" t="n"/>
      <c r="L1585" s="31" t="n"/>
      <c r="M1585" s="24">
        <f>IF($G1585="","",IF($D1585="A国内","CNY","TZS"))</f>
        <v/>
      </c>
      <c r="N1585" s="28">
        <f>IF($G1585="","",IF($D1585="A国内",汇率,1))</f>
        <v/>
      </c>
      <c r="O1585" s="25">
        <f>IF($G1585="","",ROUND(N($K1585)*N($L1585),2))</f>
        <v/>
      </c>
      <c r="P1585" s="26">
        <f>IF($G1585="","",ROUND($O1585*$N1585,0))</f>
        <v/>
      </c>
      <c r="Q1585" s="26">
        <f>IF($G1585="","",SUMIFS($P$4:$P$2503,$E$4:$E$2503,$E1585,$Z$4:$Z$2503,"正常"))</f>
        <v/>
      </c>
      <c r="R1585" s="26">
        <f>IF($G1585="","",SUMIFS(费用台账!$I$4:$I$503,费用台账!$C$4:$C$503,$E1585,费用台账!$J$4:$J$503,"是",费用台账!$K$4:$K$503,"正常"))</f>
        <v/>
      </c>
      <c r="S1585" s="28">
        <f>IF($G1585="","",COUNTIFS($E$4:$E$2503,$E1585,$Z$4:$Z$2503,"正常",$Y$4:$Y$2503,"待补价"))</f>
        <v/>
      </c>
      <c r="T1585" s="26">
        <f>IF($G1585="","",SUMIFS($P$4:$P$2503,$E$4:$E$2503,$E1585,$Z$4:$Z$2503,"正常",$A$4:$A$2503,"&lt;="&amp;$A1585))</f>
        <v/>
      </c>
      <c r="U1585" s="26">
        <f>IF($G1585="","",IF(OR($S1585&gt;0,$Q1585=0,$R1585=0,$Z1585&lt;&gt;"正常"),0,ROUND($T1585/$Q1585*$R1585,0)-ROUND(($T1585-$P1585)/$Q1585*$R1585,0)))</f>
        <v/>
      </c>
      <c r="V1585" s="26">
        <f>IF($G1585="","",ROUND($P1585+$U1585,0))</f>
        <v/>
      </c>
      <c r="W1585" s="26">
        <f>IF($G1585="","",IF(N($K1585)=0,0,ROUND($V1585/$K1585,2)))</f>
        <v/>
      </c>
      <c r="X1585" s="17" t="n"/>
      <c r="Y1585" s="17" t="n"/>
      <c r="Z1585" s="17" t="n"/>
      <c r="AA1585" s="17" t="n"/>
      <c r="AB1585" s="17" t="n"/>
      <c r="AC1585" s="24">
        <f>IF($G1585="","",IF($H1585="※编码不在物料档案里","※物料编码不在档案里",IF(N($K1585)&lt;=0,"※入库数量要大于 0",IF(AND($C1585&lt;&gt;"",$C1585&lt;=结账锁),"※日期早于已结账截止日，不能再录",IF(AND($L1585=0,$X1585="正常"),"※没填单价，价格状态请选「待补价」",IF(AND($S1585&gt;0,$R1585&gt;0),"△本批有 "&amp;$S1585&amp;" 行没单价，整批运费先挂账没摊",IF(AND($B1585&lt;&gt;"",COUNTIF($B$4:$B$2503,$B1585)&gt;1),"※入库单号重复","")))))))</f>
        <v/>
      </c>
    </row>
    <row r="1586">
      <c r="A1586" s="24">
        <f>IF($G1586="","",COUNTA($G$4:$G1586))</f>
        <v/>
      </c>
      <c r="B1586" s="17" t="n"/>
      <c r="C1586" s="30" t="n"/>
      <c r="D1586" s="17" t="n"/>
      <c r="E1586" s="17" t="n"/>
      <c r="F1586" s="17" t="n"/>
      <c r="G1586" s="17" t="n"/>
      <c r="H1586" s="24">
        <f>IF($G1586="","",IFERROR(VLOOKUP($G1586,物料档案!$A$4:$P$1203,3,0),"※编码不在物料档案里"))</f>
        <v/>
      </c>
      <c r="I1586" s="24">
        <f>IF($G1586="","",IFERROR(VLOOKUP($G1586,物料档案!$A$4:$P$1203,4,0),"※编码不在物料档案里"))</f>
        <v/>
      </c>
      <c r="J1586" s="24">
        <f>IF($G1586="","",IFERROR(VLOOKUP($G1586,物料档案!$A$4:$P$1203,5,0),"※编码不在物料档案里"))</f>
        <v/>
      </c>
      <c r="K1586" s="23" t="n"/>
      <c r="L1586" s="31" t="n"/>
      <c r="M1586" s="24">
        <f>IF($G1586="","",IF($D1586="A国内","CNY","TZS"))</f>
        <v/>
      </c>
      <c r="N1586" s="28">
        <f>IF($G1586="","",IF($D1586="A国内",汇率,1))</f>
        <v/>
      </c>
      <c r="O1586" s="25">
        <f>IF($G1586="","",ROUND(N($K1586)*N($L1586),2))</f>
        <v/>
      </c>
      <c r="P1586" s="26">
        <f>IF($G1586="","",ROUND($O1586*$N1586,0))</f>
        <v/>
      </c>
      <c r="Q1586" s="26">
        <f>IF($G1586="","",SUMIFS($P$4:$P$2503,$E$4:$E$2503,$E1586,$Z$4:$Z$2503,"正常"))</f>
        <v/>
      </c>
      <c r="R1586" s="26">
        <f>IF($G1586="","",SUMIFS(费用台账!$I$4:$I$503,费用台账!$C$4:$C$503,$E1586,费用台账!$J$4:$J$503,"是",费用台账!$K$4:$K$503,"正常"))</f>
        <v/>
      </c>
      <c r="S1586" s="28">
        <f>IF($G1586="","",COUNTIFS($E$4:$E$2503,$E1586,$Z$4:$Z$2503,"正常",$Y$4:$Y$2503,"待补价"))</f>
        <v/>
      </c>
      <c r="T1586" s="26">
        <f>IF($G1586="","",SUMIFS($P$4:$P$2503,$E$4:$E$2503,$E1586,$Z$4:$Z$2503,"正常",$A$4:$A$2503,"&lt;="&amp;$A1586))</f>
        <v/>
      </c>
      <c r="U1586" s="26">
        <f>IF($G1586="","",IF(OR($S1586&gt;0,$Q1586=0,$R1586=0,$Z1586&lt;&gt;"正常"),0,ROUND($T1586/$Q1586*$R1586,0)-ROUND(($T1586-$P1586)/$Q1586*$R1586,0)))</f>
        <v/>
      </c>
      <c r="V1586" s="26">
        <f>IF($G1586="","",ROUND($P1586+$U1586,0))</f>
        <v/>
      </c>
      <c r="W1586" s="26">
        <f>IF($G1586="","",IF(N($K1586)=0,0,ROUND($V1586/$K1586,2)))</f>
        <v/>
      </c>
      <c r="X1586" s="17" t="n"/>
      <c r="Y1586" s="17" t="n"/>
      <c r="Z1586" s="17" t="n"/>
      <c r="AA1586" s="17" t="n"/>
      <c r="AB1586" s="17" t="n"/>
      <c r="AC1586" s="24">
        <f>IF($G1586="","",IF($H1586="※编码不在物料档案里","※物料编码不在档案里",IF(N($K1586)&lt;=0,"※入库数量要大于 0",IF(AND($C1586&lt;&gt;"",$C1586&lt;=结账锁),"※日期早于已结账截止日，不能再录",IF(AND($L1586=0,$X1586="正常"),"※没填单价，价格状态请选「待补价」",IF(AND($S1586&gt;0,$R1586&gt;0),"△本批有 "&amp;$S1586&amp;" 行没单价，整批运费先挂账没摊",IF(AND($B1586&lt;&gt;"",COUNTIF($B$4:$B$2503,$B1586)&gt;1),"※入库单号重复","")))))))</f>
        <v/>
      </c>
    </row>
    <row r="1587">
      <c r="A1587" s="24">
        <f>IF($G1587="","",COUNTA($G$4:$G1587))</f>
        <v/>
      </c>
      <c r="B1587" s="17" t="n"/>
      <c r="C1587" s="30" t="n"/>
      <c r="D1587" s="17" t="n"/>
      <c r="E1587" s="17" t="n"/>
      <c r="F1587" s="17" t="n"/>
      <c r="G1587" s="17" t="n"/>
      <c r="H1587" s="24">
        <f>IF($G1587="","",IFERROR(VLOOKUP($G1587,物料档案!$A$4:$P$1203,3,0),"※编码不在物料档案里"))</f>
        <v/>
      </c>
      <c r="I1587" s="24">
        <f>IF($G1587="","",IFERROR(VLOOKUP($G1587,物料档案!$A$4:$P$1203,4,0),"※编码不在物料档案里"))</f>
        <v/>
      </c>
      <c r="J1587" s="24">
        <f>IF($G1587="","",IFERROR(VLOOKUP($G1587,物料档案!$A$4:$P$1203,5,0),"※编码不在物料档案里"))</f>
        <v/>
      </c>
      <c r="K1587" s="23" t="n"/>
      <c r="L1587" s="31" t="n"/>
      <c r="M1587" s="24">
        <f>IF($G1587="","",IF($D1587="A国内","CNY","TZS"))</f>
        <v/>
      </c>
      <c r="N1587" s="28">
        <f>IF($G1587="","",IF($D1587="A国内",汇率,1))</f>
        <v/>
      </c>
      <c r="O1587" s="25">
        <f>IF($G1587="","",ROUND(N($K1587)*N($L1587),2))</f>
        <v/>
      </c>
      <c r="P1587" s="26">
        <f>IF($G1587="","",ROUND($O1587*$N1587,0))</f>
        <v/>
      </c>
      <c r="Q1587" s="26">
        <f>IF($G1587="","",SUMIFS($P$4:$P$2503,$E$4:$E$2503,$E1587,$Z$4:$Z$2503,"正常"))</f>
        <v/>
      </c>
      <c r="R1587" s="26">
        <f>IF($G1587="","",SUMIFS(费用台账!$I$4:$I$503,费用台账!$C$4:$C$503,$E1587,费用台账!$J$4:$J$503,"是",费用台账!$K$4:$K$503,"正常"))</f>
        <v/>
      </c>
      <c r="S1587" s="28">
        <f>IF($G1587="","",COUNTIFS($E$4:$E$2503,$E1587,$Z$4:$Z$2503,"正常",$Y$4:$Y$2503,"待补价"))</f>
        <v/>
      </c>
      <c r="T1587" s="26">
        <f>IF($G1587="","",SUMIFS($P$4:$P$2503,$E$4:$E$2503,$E1587,$Z$4:$Z$2503,"正常",$A$4:$A$2503,"&lt;="&amp;$A1587))</f>
        <v/>
      </c>
      <c r="U1587" s="26">
        <f>IF($G1587="","",IF(OR($S1587&gt;0,$Q1587=0,$R1587=0,$Z1587&lt;&gt;"正常"),0,ROUND($T1587/$Q1587*$R1587,0)-ROUND(($T1587-$P1587)/$Q1587*$R1587,0)))</f>
        <v/>
      </c>
      <c r="V1587" s="26">
        <f>IF($G1587="","",ROUND($P1587+$U1587,0))</f>
        <v/>
      </c>
      <c r="W1587" s="26">
        <f>IF($G1587="","",IF(N($K1587)=0,0,ROUND($V1587/$K1587,2)))</f>
        <v/>
      </c>
      <c r="X1587" s="17" t="n"/>
      <c r="Y1587" s="17" t="n"/>
      <c r="Z1587" s="17" t="n"/>
      <c r="AA1587" s="17" t="n"/>
      <c r="AB1587" s="17" t="n"/>
      <c r="AC1587" s="24">
        <f>IF($G1587="","",IF($H1587="※编码不在物料档案里","※物料编码不在档案里",IF(N($K1587)&lt;=0,"※入库数量要大于 0",IF(AND($C1587&lt;&gt;"",$C1587&lt;=结账锁),"※日期早于已结账截止日，不能再录",IF(AND($L1587=0,$X1587="正常"),"※没填单价，价格状态请选「待补价」",IF(AND($S1587&gt;0,$R1587&gt;0),"△本批有 "&amp;$S1587&amp;" 行没单价，整批运费先挂账没摊",IF(AND($B1587&lt;&gt;"",COUNTIF($B$4:$B$2503,$B1587)&gt;1),"※入库单号重复","")))))))</f>
        <v/>
      </c>
    </row>
    <row r="1588">
      <c r="A1588" s="24">
        <f>IF($G1588="","",COUNTA($G$4:$G1588))</f>
        <v/>
      </c>
      <c r="B1588" s="17" t="n"/>
      <c r="C1588" s="30" t="n"/>
      <c r="D1588" s="17" t="n"/>
      <c r="E1588" s="17" t="n"/>
      <c r="F1588" s="17" t="n"/>
      <c r="G1588" s="17" t="n"/>
      <c r="H1588" s="24">
        <f>IF($G1588="","",IFERROR(VLOOKUP($G1588,物料档案!$A$4:$P$1203,3,0),"※编码不在物料档案里"))</f>
        <v/>
      </c>
      <c r="I1588" s="24">
        <f>IF($G1588="","",IFERROR(VLOOKUP($G1588,物料档案!$A$4:$P$1203,4,0),"※编码不在物料档案里"))</f>
        <v/>
      </c>
      <c r="J1588" s="24">
        <f>IF($G1588="","",IFERROR(VLOOKUP($G1588,物料档案!$A$4:$P$1203,5,0),"※编码不在物料档案里"))</f>
        <v/>
      </c>
      <c r="K1588" s="23" t="n"/>
      <c r="L1588" s="31" t="n"/>
      <c r="M1588" s="24">
        <f>IF($G1588="","",IF($D1588="A国内","CNY","TZS"))</f>
        <v/>
      </c>
      <c r="N1588" s="28">
        <f>IF($G1588="","",IF($D1588="A国内",汇率,1))</f>
        <v/>
      </c>
      <c r="O1588" s="25">
        <f>IF($G1588="","",ROUND(N($K1588)*N($L1588),2))</f>
        <v/>
      </c>
      <c r="P1588" s="26">
        <f>IF($G1588="","",ROUND($O1588*$N1588,0))</f>
        <v/>
      </c>
      <c r="Q1588" s="26">
        <f>IF($G1588="","",SUMIFS($P$4:$P$2503,$E$4:$E$2503,$E1588,$Z$4:$Z$2503,"正常"))</f>
        <v/>
      </c>
      <c r="R1588" s="26">
        <f>IF($G1588="","",SUMIFS(费用台账!$I$4:$I$503,费用台账!$C$4:$C$503,$E1588,费用台账!$J$4:$J$503,"是",费用台账!$K$4:$K$503,"正常"))</f>
        <v/>
      </c>
      <c r="S1588" s="28">
        <f>IF($G1588="","",COUNTIFS($E$4:$E$2503,$E1588,$Z$4:$Z$2503,"正常",$Y$4:$Y$2503,"待补价"))</f>
        <v/>
      </c>
      <c r="T1588" s="26">
        <f>IF($G1588="","",SUMIFS($P$4:$P$2503,$E$4:$E$2503,$E1588,$Z$4:$Z$2503,"正常",$A$4:$A$2503,"&lt;="&amp;$A1588))</f>
        <v/>
      </c>
      <c r="U1588" s="26">
        <f>IF($G1588="","",IF(OR($S1588&gt;0,$Q1588=0,$R1588=0,$Z1588&lt;&gt;"正常"),0,ROUND($T1588/$Q1588*$R1588,0)-ROUND(($T1588-$P1588)/$Q1588*$R1588,0)))</f>
        <v/>
      </c>
      <c r="V1588" s="26">
        <f>IF($G1588="","",ROUND($P1588+$U1588,0))</f>
        <v/>
      </c>
      <c r="W1588" s="26">
        <f>IF($G1588="","",IF(N($K1588)=0,0,ROUND($V1588/$K1588,2)))</f>
        <v/>
      </c>
      <c r="X1588" s="17" t="n"/>
      <c r="Y1588" s="17" t="n"/>
      <c r="Z1588" s="17" t="n"/>
      <c r="AA1588" s="17" t="n"/>
      <c r="AB1588" s="17" t="n"/>
      <c r="AC1588" s="24">
        <f>IF($G1588="","",IF($H1588="※编码不在物料档案里","※物料编码不在档案里",IF(N($K1588)&lt;=0,"※入库数量要大于 0",IF(AND($C1588&lt;&gt;"",$C1588&lt;=结账锁),"※日期早于已结账截止日，不能再录",IF(AND($L1588=0,$X1588="正常"),"※没填单价，价格状态请选「待补价」",IF(AND($S1588&gt;0,$R1588&gt;0),"△本批有 "&amp;$S1588&amp;" 行没单价，整批运费先挂账没摊",IF(AND($B1588&lt;&gt;"",COUNTIF($B$4:$B$2503,$B1588)&gt;1),"※入库单号重复","")))))))</f>
        <v/>
      </c>
    </row>
    <row r="1589">
      <c r="A1589" s="24">
        <f>IF($G1589="","",COUNTA($G$4:$G1589))</f>
        <v/>
      </c>
      <c r="B1589" s="17" t="n"/>
      <c r="C1589" s="30" t="n"/>
      <c r="D1589" s="17" t="n"/>
      <c r="E1589" s="17" t="n"/>
      <c r="F1589" s="17" t="n"/>
      <c r="G1589" s="17" t="n"/>
      <c r="H1589" s="24">
        <f>IF($G1589="","",IFERROR(VLOOKUP($G1589,物料档案!$A$4:$P$1203,3,0),"※编码不在物料档案里"))</f>
        <v/>
      </c>
      <c r="I1589" s="24">
        <f>IF($G1589="","",IFERROR(VLOOKUP($G1589,物料档案!$A$4:$P$1203,4,0),"※编码不在物料档案里"))</f>
        <v/>
      </c>
      <c r="J1589" s="24">
        <f>IF($G1589="","",IFERROR(VLOOKUP($G1589,物料档案!$A$4:$P$1203,5,0),"※编码不在物料档案里"))</f>
        <v/>
      </c>
      <c r="K1589" s="23" t="n"/>
      <c r="L1589" s="31" t="n"/>
      <c r="M1589" s="24">
        <f>IF($G1589="","",IF($D1589="A国内","CNY","TZS"))</f>
        <v/>
      </c>
      <c r="N1589" s="28">
        <f>IF($G1589="","",IF($D1589="A国内",汇率,1))</f>
        <v/>
      </c>
      <c r="O1589" s="25">
        <f>IF($G1589="","",ROUND(N($K1589)*N($L1589),2))</f>
        <v/>
      </c>
      <c r="P1589" s="26">
        <f>IF($G1589="","",ROUND($O1589*$N1589,0))</f>
        <v/>
      </c>
      <c r="Q1589" s="26">
        <f>IF($G1589="","",SUMIFS($P$4:$P$2503,$E$4:$E$2503,$E1589,$Z$4:$Z$2503,"正常"))</f>
        <v/>
      </c>
      <c r="R1589" s="26">
        <f>IF($G1589="","",SUMIFS(费用台账!$I$4:$I$503,费用台账!$C$4:$C$503,$E1589,费用台账!$J$4:$J$503,"是",费用台账!$K$4:$K$503,"正常"))</f>
        <v/>
      </c>
      <c r="S1589" s="28">
        <f>IF($G1589="","",COUNTIFS($E$4:$E$2503,$E1589,$Z$4:$Z$2503,"正常",$Y$4:$Y$2503,"待补价"))</f>
        <v/>
      </c>
      <c r="T1589" s="26">
        <f>IF($G1589="","",SUMIFS($P$4:$P$2503,$E$4:$E$2503,$E1589,$Z$4:$Z$2503,"正常",$A$4:$A$2503,"&lt;="&amp;$A1589))</f>
        <v/>
      </c>
      <c r="U1589" s="26">
        <f>IF($G1589="","",IF(OR($S1589&gt;0,$Q1589=0,$R1589=0,$Z1589&lt;&gt;"正常"),0,ROUND($T1589/$Q1589*$R1589,0)-ROUND(($T1589-$P1589)/$Q1589*$R1589,0)))</f>
        <v/>
      </c>
      <c r="V1589" s="26">
        <f>IF($G1589="","",ROUND($P1589+$U1589,0))</f>
        <v/>
      </c>
      <c r="W1589" s="26">
        <f>IF($G1589="","",IF(N($K1589)=0,0,ROUND($V1589/$K1589,2)))</f>
        <v/>
      </c>
      <c r="X1589" s="17" t="n"/>
      <c r="Y1589" s="17" t="n"/>
      <c r="Z1589" s="17" t="n"/>
      <c r="AA1589" s="17" t="n"/>
      <c r="AB1589" s="17" t="n"/>
      <c r="AC1589" s="24">
        <f>IF($G1589="","",IF($H1589="※编码不在物料档案里","※物料编码不在档案里",IF(N($K1589)&lt;=0,"※入库数量要大于 0",IF(AND($C1589&lt;&gt;"",$C1589&lt;=结账锁),"※日期早于已结账截止日，不能再录",IF(AND($L1589=0,$X1589="正常"),"※没填单价，价格状态请选「待补价」",IF(AND($S1589&gt;0,$R1589&gt;0),"△本批有 "&amp;$S1589&amp;" 行没单价，整批运费先挂账没摊",IF(AND($B1589&lt;&gt;"",COUNTIF($B$4:$B$2503,$B1589)&gt;1),"※入库单号重复","")))))))</f>
        <v/>
      </c>
    </row>
    <row r="1590">
      <c r="A1590" s="24">
        <f>IF($G1590="","",COUNTA($G$4:$G1590))</f>
        <v/>
      </c>
      <c r="B1590" s="17" t="n"/>
      <c r="C1590" s="30" t="n"/>
      <c r="D1590" s="17" t="n"/>
      <c r="E1590" s="17" t="n"/>
      <c r="F1590" s="17" t="n"/>
      <c r="G1590" s="17" t="n"/>
      <c r="H1590" s="24">
        <f>IF($G1590="","",IFERROR(VLOOKUP($G1590,物料档案!$A$4:$P$1203,3,0),"※编码不在物料档案里"))</f>
        <v/>
      </c>
      <c r="I1590" s="24">
        <f>IF($G1590="","",IFERROR(VLOOKUP($G1590,物料档案!$A$4:$P$1203,4,0),"※编码不在物料档案里"))</f>
        <v/>
      </c>
      <c r="J1590" s="24">
        <f>IF($G1590="","",IFERROR(VLOOKUP($G1590,物料档案!$A$4:$P$1203,5,0),"※编码不在物料档案里"))</f>
        <v/>
      </c>
      <c r="K1590" s="23" t="n"/>
      <c r="L1590" s="31" t="n"/>
      <c r="M1590" s="24">
        <f>IF($G1590="","",IF($D1590="A国内","CNY","TZS"))</f>
        <v/>
      </c>
      <c r="N1590" s="28">
        <f>IF($G1590="","",IF($D1590="A国内",汇率,1))</f>
        <v/>
      </c>
      <c r="O1590" s="25">
        <f>IF($G1590="","",ROUND(N($K1590)*N($L1590),2))</f>
        <v/>
      </c>
      <c r="P1590" s="26">
        <f>IF($G1590="","",ROUND($O1590*$N1590,0))</f>
        <v/>
      </c>
      <c r="Q1590" s="26">
        <f>IF($G1590="","",SUMIFS($P$4:$P$2503,$E$4:$E$2503,$E1590,$Z$4:$Z$2503,"正常"))</f>
        <v/>
      </c>
      <c r="R1590" s="26">
        <f>IF($G1590="","",SUMIFS(费用台账!$I$4:$I$503,费用台账!$C$4:$C$503,$E1590,费用台账!$J$4:$J$503,"是",费用台账!$K$4:$K$503,"正常"))</f>
        <v/>
      </c>
      <c r="S1590" s="28">
        <f>IF($G1590="","",COUNTIFS($E$4:$E$2503,$E1590,$Z$4:$Z$2503,"正常",$Y$4:$Y$2503,"待补价"))</f>
        <v/>
      </c>
      <c r="T1590" s="26">
        <f>IF($G1590="","",SUMIFS($P$4:$P$2503,$E$4:$E$2503,$E1590,$Z$4:$Z$2503,"正常",$A$4:$A$2503,"&lt;="&amp;$A1590))</f>
        <v/>
      </c>
      <c r="U1590" s="26">
        <f>IF($G1590="","",IF(OR($S1590&gt;0,$Q1590=0,$R1590=0,$Z1590&lt;&gt;"正常"),0,ROUND($T1590/$Q1590*$R1590,0)-ROUND(($T1590-$P1590)/$Q1590*$R1590,0)))</f>
        <v/>
      </c>
      <c r="V1590" s="26">
        <f>IF($G1590="","",ROUND($P1590+$U1590,0))</f>
        <v/>
      </c>
      <c r="W1590" s="26">
        <f>IF($G1590="","",IF(N($K1590)=0,0,ROUND($V1590/$K1590,2)))</f>
        <v/>
      </c>
      <c r="X1590" s="17" t="n"/>
      <c r="Y1590" s="17" t="n"/>
      <c r="Z1590" s="17" t="n"/>
      <c r="AA1590" s="17" t="n"/>
      <c r="AB1590" s="17" t="n"/>
      <c r="AC1590" s="24">
        <f>IF($G1590="","",IF($H1590="※编码不在物料档案里","※物料编码不在档案里",IF(N($K1590)&lt;=0,"※入库数量要大于 0",IF(AND($C1590&lt;&gt;"",$C1590&lt;=结账锁),"※日期早于已结账截止日，不能再录",IF(AND($L1590=0,$X1590="正常"),"※没填单价，价格状态请选「待补价」",IF(AND($S1590&gt;0,$R1590&gt;0),"△本批有 "&amp;$S1590&amp;" 行没单价，整批运费先挂账没摊",IF(AND($B1590&lt;&gt;"",COUNTIF($B$4:$B$2503,$B1590)&gt;1),"※入库单号重复","")))))))</f>
        <v/>
      </c>
    </row>
    <row r="1591">
      <c r="A1591" s="24">
        <f>IF($G1591="","",COUNTA($G$4:$G1591))</f>
        <v/>
      </c>
      <c r="B1591" s="17" t="n"/>
      <c r="C1591" s="30" t="n"/>
      <c r="D1591" s="17" t="n"/>
      <c r="E1591" s="17" t="n"/>
      <c r="F1591" s="17" t="n"/>
      <c r="G1591" s="17" t="n"/>
      <c r="H1591" s="24">
        <f>IF($G1591="","",IFERROR(VLOOKUP($G1591,物料档案!$A$4:$P$1203,3,0),"※编码不在物料档案里"))</f>
        <v/>
      </c>
      <c r="I1591" s="24">
        <f>IF($G1591="","",IFERROR(VLOOKUP($G1591,物料档案!$A$4:$P$1203,4,0),"※编码不在物料档案里"))</f>
        <v/>
      </c>
      <c r="J1591" s="24">
        <f>IF($G1591="","",IFERROR(VLOOKUP($G1591,物料档案!$A$4:$P$1203,5,0),"※编码不在物料档案里"))</f>
        <v/>
      </c>
      <c r="K1591" s="23" t="n"/>
      <c r="L1591" s="31" t="n"/>
      <c r="M1591" s="24">
        <f>IF($G1591="","",IF($D1591="A国内","CNY","TZS"))</f>
        <v/>
      </c>
      <c r="N1591" s="28">
        <f>IF($G1591="","",IF($D1591="A国内",汇率,1))</f>
        <v/>
      </c>
      <c r="O1591" s="25">
        <f>IF($G1591="","",ROUND(N($K1591)*N($L1591),2))</f>
        <v/>
      </c>
      <c r="P1591" s="26">
        <f>IF($G1591="","",ROUND($O1591*$N1591,0))</f>
        <v/>
      </c>
      <c r="Q1591" s="26">
        <f>IF($G1591="","",SUMIFS($P$4:$P$2503,$E$4:$E$2503,$E1591,$Z$4:$Z$2503,"正常"))</f>
        <v/>
      </c>
      <c r="R1591" s="26">
        <f>IF($G1591="","",SUMIFS(费用台账!$I$4:$I$503,费用台账!$C$4:$C$503,$E1591,费用台账!$J$4:$J$503,"是",费用台账!$K$4:$K$503,"正常"))</f>
        <v/>
      </c>
      <c r="S1591" s="28">
        <f>IF($G1591="","",COUNTIFS($E$4:$E$2503,$E1591,$Z$4:$Z$2503,"正常",$Y$4:$Y$2503,"待补价"))</f>
        <v/>
      </c>
      <c r="T1591" s="26">
        <f>IF($G1591="","",SUMIFS($P$4:$P$2503,$E$4:$E$2503,$E1591,$Z$4:$Z$2503,"正常",$A$4:$A$2503,"&lt;="&amp;$A1591))</f>
        <v/>
      </c>
      <c r="U1591" s="26">
        <f>IF($G1591="","",IF(OR($S1591&gt;0,$Q1591=0,$R1591=0,$Z1591&lt;&gt;"正常"),0,ROUND($T1591/$Q1591*$R1591,0)-ROUND(($T1591-$P1591)/$Q1591*$R1591,0)))</f>
        <v/>
      </c>
      <c r="V1591" s="26">
        <f>IF($G1591="","",ROUND($P1591+$U1591,0))</f>
        <v/>
      </c>
      <c r="W1591" s="26">
        <f>IF($G1591="","",IF(N($K1591)=0,0,ROUND($V1591/$K1591,2)))</f>
        <v/>
      </c>
      <c r="X1591" s="17" t="n"/>
      <c r="Y1591" s="17" t="n"/>
      <c r="Z1591" s="17" t="n"/>
      <c r="AA1591" s="17" t="n"/>
      <c r="AB1591" s="17" t="n"/>
      <c r="AC1591" s="24">
        <f>IF($G1591="","",IF($H1591="※编码不在物料档案里","※物料编码不在档案里",IF(N($K1591)&lt;=0,"※入库数量要大于 0",IF(AND($C1591&lt;&gt;"",$C1591&lt;=结账锁),"※日期早于已结账截止日，不能再录",IF(AND($L1591=0,$X1591="正常"),"※没填单价，价格状态请选「待补价」",IF(AND($S1591&gt;0,$R1591&gt;0),"△本批有 "&amp;$S1591&amp;" 行没单价，整批运费先挂账没摊",IF(AND($B1591&lt;&gt;"",COUNTIF($B$4:$B$2503,$B1591)&gt;1),"※入库单号重复","")))))))</f>
        <v/>
      </c>
    </row>
    <row r="1592">
      <c r="A1592" s="24">
        <f>IF($G1592="","",COUNTA($G$4:$G1592))</f>
        <v/>
      </c>
      <c r="B1592" s="17" t="n"/>
      <c r="C1592" s="30" t="n"/>
      <c r="D1592" s="17" t="n"/>
      <c r="E1592" s="17" t="n"/>
      <c r="F1592" s="17" t="n"/>
      <c r="G1592" s="17" t="n"/>
      <c r="H1592" s="24">
        <f>IF($G1592="","",IFERROR(VLOOKUP($G1592,物料档案!$A$4:$P$1203,3,0),"※编码不在物料档案里"))</f>
        <v/>
      </c>
      <c r="I1592" s="24">
        <f>IF($G1592="","",IFERROR(VLOOKUP($G1592,物料档案!$A$4:$P$1203,4,0),"※编码不在物料档案里"))</f>
        <v/>
      </c>
      <c r="J1592" s="24">
        <f>IF($G1592="","",IFERROR(VLOOKUP($G1592,物料档案!$A$4:$P$1203,5,0),"※编码不在物料档案里"))</f>
        <v/>
      </c>
      <c r="K1592" s="23" t="n"/>
      <c r="L1592" s="31" t="n"/>
      <c r="M1592" s="24">
        <f>IF($G1592="","",IF($D1592="A国内","CNY","TZS"))</f>
        <v/>
      </c>
      <c r="N1592" s="28">
        <f>IF($G1592="","",IF($D1592="A国内",汇率,1))</f>
        <v/>
      </c>
      <c r="O1592" s="25">
        <f>IF($G1592="","",ROUND(N($K1592)*N($L1592),2))</f>
        <v/>
      </c>
      <c r="P1592" s="26">
        <f>IF($G1592="","",ROUND($O1592*$N1592,0))</f>
        <v/>
      </c>
      <c r="Q1592" s="26">
        <f>IF($G1592="","",SUMIFS($P$4:$P$2503,$E$4:$E$2503,$E1592,$Z$4:$Z$2503,"正常"))</f>
        <v/>
      </c>
      <c r="R1592" s="26">
        <f>IF($G1592="","",SUMIFS(费用台账!$I$4:$I$503,费用台账!$C$4:$C$503,$E1592,费用台账!$J$4:$J$503,"是",费用台账!$K$4:$K$503,"正常"))</f>
        <v/>
      </c>
      <c r="S1592" s="28">
        <f>IF($G1592="","",COUNTIFS($E$4:$E$2503,$E1592,$Z$4:$Z$2503,"正常",$Y$4:$Y$2503,"待补价"))</f>
        <v/>
      </c>
      <c r="T1592" s="26">
        <f>IF($G1592="","",SUMIFS($P$4:$P$2503,$E$4:$E$2503,$E1592,$Z$4:$Z$2503,"正常",$A$4:$A$2503,"&lt;="&amp;$A1592))</f>
        <v/>
      </c>
      <c r="U1592" s="26">
        <f>IF($G1592="","",IF(OR($S1592&gt;0,$Q1592=0,$R1592=0,$Z1592&lt;&gt;"正常"),0,ROUND($T1592/$Q1592*$R1592,0)-ROUND(($T1592-$P1592)/$Q1592*$R1592,0)))</f>
        <v/>
      </c>
      <c r="V1592" s="26">
        <f>IF($G1592="","",ROUND($P1592+$U1592,0))</f>
        <v/>
      </c>
      <c r="W1592" s="26">
        <f>IF($G1592="","",IF(N($K1592)=0,0,ROUND($V1592/$K1592,2)))</f>
        <v/>
      </c>
      <c r="X1592" s="17" t="n"/>
      <c r="Y1592" s="17" t="n"/>
      <c r="Z1592" s="17" t="n"/>
      <c r="AA1592" s="17" t="n"/>
      <c r="AB1592" s="17" t="n"/>
      <c r="AC1592" s="24">
        <f>IF($G1592="","",IF($H1592="※编码不在物料档案里","※物料编码不在档案里",IF(N($K1592)&lt;=0,"※入库数量要大于 0",IF(AND($C1592&lt;&gt;"",$C1592&lt;=结账锁),"※日期早于已结账截止日，不能再录",IF(AND($L1592=0,$X1592="正常"),"※没填单价，价格状态请选「待补价」",IF(AND($S1592&gt;0,$R1592&gt;0),"△本批有 "&amp;$S1592&amp;" 行没单价，整批运费先挂账没摊",IF(AND($B1592&lt;&gt;"",COUNTIF($B$4:$B$2503,$B1592)&gt;1),"※入库单号重复","")))))))</f>
        <v/>
      </c>
    </row>
    <row r="1593">
      <c r="A1593" s="24">
        <f>IF($G1593="","",COUNTA($G$4:$G1593))</f>
        <v/>
      </c>
      <c r="B1593" s="17" t="n"/>
      <c r="C1593" s="30" t="n"/>
      <c r="D1593" s="17" t="n"/>
      <c r="E1593" s="17" t="n"/>
      <c r="F1593" s="17" t="n"/>
      <c r="G1593" s="17" t="n"/>
      <c r="H1593" s="24">
        <f>IF($G1593="","",IFERROR(VLOOKUP($G1593,物料档案!$A$4:$P$1203,3,0),"※编码不在物料档案里"))</f>
        <v/>
      </c>
      <c r="I1593" s="24">
        <f>IF($G1593="","",IFERROR(VLOOKUP($G1593,物料档案!$A$4:$P$1203,4,0),"※编码不在物料档案里"))</f>
        <v/>
      </c>
      <c r="J1593" s="24">
        <f>IF($G1593="","",IFERROR(VLOOKUP($G1593,物料档案!$A$4:$P$1203,5,0),"※编码不在物料档案里"))</f>
        <v/>
      </c>
      <c r="K1593" s="23" t="n"/>
      <c r="L1593" s="31" t="n"/>
      <c r="M1593" s="24">
        <f>IF($G1593="","",IF($D1593="A国内","CNY","TZS"))</f>
        <v/>
      </c>
      <c r="N1593" s="28">
        <f>IF($G1593="","",IF($D1593="A国内",汇率,1))</f>
        <v/>
      </c>
      <c r="O1593" s="25">
        <f>IF($G1593="","",ROUND(N($K1593)*N($L1593),2))</f>
        <v/>
      </c>
      <c r="P1593" s="26">
        <f>IF($G1593="","",ROUND($O1593*$N1593,0))</f>
        <v/>
      </c>
      <c r="Q1593" s="26">
        <f>IF($G1593="","",SUMIFS($P$4:$P$2503,$E$4:$E$2503,$E1593,$Z$4:$Z$2503,"正常"))</f>
        <v/>
      </c>
      <c r="R1593" s="26">
        <f>IF($G1593="","",SUMIFS(费用台账!$I$4:$I$503,费用台账!$C$4:$C$503,$E1593,费用台账!$J$4:$J$503,"是",费用台账!$K$4:$K$503,"正常"))</f>
        <v/>
      </c>
      <c r="S1593" s="28">
        <f>IF($G1593="","",COUNTIFS($E$4:$E$2503,$E1593,$Z$4:$Z$2503,"正常",$Y$4:$Y$2503,"待补价"))</f>
        <v/>
      </c>
      <c r="T1593" s="26">
        <f>IF($G1593="","",SUMIFS($P$4:$P$2503,$E$4:$E$2503,$E1593,$Z$4:$Z$2503,"正常",$A$4:$A$2503,"&lt;="&amp;$A1593))</f>
        <v/>
      </c>
      <c r="U1593" s="26">
        <f>IF($G1593="","",IF(OR($S1593&gt;0,$Q1593=0,$R1593=0,$Z1593&lt;&gt;"正常"),0,ROUND($T1593/$Q1593*$R1593,0)-ROUND(($T1593-$P1593)/$Q1593*$R1593,0)))</f>
        <v/>
      </c>
      <c r="V1593" s="26">
        <f>IF($G1593="","",ROUND($P1593+$U1593,0))</f>
        <v/>
      </c>
      <c r="W1593" s="26">
        <f>IF($G1593="","",IF(N($K1593)=0,0,ROUND($V1593/$K1593,2)))</f>
        <v/>
      </c>
      <c r="X1593" s="17" t="n"/>
      <c r="Y1593" s="17" t="n"/>
      <c r="Z1593" s="17" t="n"/>
      <c r="AA1593" s="17" t="n"/>
      <c r="AB1593" s="17" t="n"/>
      <c r="AC1593" s="24">
        <f>IF($G1593="","",IF($H1593="※编码不在物料档案里","※物料编码不在档案里",IF(N($K1593)&lt;=0,"※入库数量要大于 0",IF(AND($C1593&lt;&gt;"",$C1593&lt;=结账锁),"※日期早于已结账截止日，不能再录",IF(AND($L1593=0,$X1593="正常"),"※没填单价，价格状态请选「待补价」",IF(AND($S1593&gt;0,$R1593&gt;0),"△本批有 "&amp;$S1593&amp;" 行没单价，整批运费先挂账没摊",IF(AND($B1593&lt;&gt;"",COUNTIF($B$4:$B$2503,$B1593)&gt;1),"※入库单号重复","")))))))</f>
        <v/>
      </c>
    </row>
    <row r="1594">
      <c r="A1594" s="24">
        <f>IF($G1594="","",COUNTA($G$4:$G1594))</f>
        <v/>
      </c>
      <c r="B1594" s="17" t="n"/>
      <c r="C1594" s="30" t="n"/>
      <c r="D1594" s="17" t="n"/>
      <c r="E1594" s="17" t="n"/>
      <c r="F1594" s="17" t="n"/>
      <c r="G1594" s="17" t="n"/>
      <c r="H1594" s="24">
        <f>IF($G1594="","",IFERROR(VLOOKUP($G1594,物料档案!$A$4:$P$1203,3,0),"※编码不在物料档案里"))</f>
        <v/>
      </c>
      <c r="I1594" s="24">
        <f>IF($G1594="","",IFERROR(VLOOKUP($G1594,物料档案!$A$4:$P$1203,4,0),"※编码不在物料档案里"))</f>
        <v/>
      </c>
      <c r="J1594" s="24">
        <f>IF($G1594="","",IFERROR(VLOOKUP($G1594,物料档案!$A$4:$P$1203,5,0),"※编码不在物料档案里"))</f>
        <v/>
      </c>
      <c r="K1594" s="23" t="n"/>
      <c r="L1594" s="31" t="n"/>
      <c r="M1594" s="24">
        <f>IF($G1594="","",IF($D1594="A国内","CNY","TZS"))</f>
        <v/>
      </c>
      <c r="N1594" s="28">
        <f>IF($G1594="","",IF($D1594="A国内",汇率,1))</f>
        <v/>
      </c>
      <c r="O1594" s="25">
        <f>IF($G1594="","",ROUND(N($K1594)*N($L1594),2))</f>
        <v/>
      </c>
      <c r="P1594" s="26">
        <f>IF($G1594="","",ROUND($O1594*$N1594,0))</f>
        <v/>
      </c>
      <c r="Q1594" s="26">
        <f>IF($G1594="","",SUMIFS($P$4:$P$2503,$E$4:$E$2503,$E1594,$Z$4:$Z$2503,"正常"))</f>
        <v/>
      </c>
      <c r="R1594" s="26">
        <f>IF($G1594="","",SUMIFS(费用台账!$I$4:$I$503,费用台账!$C$4:$C$503,$E1594,费用台账!$J$4:$J$503,"是",费用台账!$K$4:$K$503,"正常"))</f>
        <v/>
      </c>
      <c r="S1594" s="28">
        <f>IF($G1594="","",COUNTIFS($E$4:$E$2503,$E1594,$Z$4:$Z$2503,"正常",$Y$4:$Y$2503,"待补价"))</f>
        <v/>
      </c>
      <c r="T1594" s="26">
        <f>IF($G1594="","",SUMIFS($P$4:$P$2503,$E$4:$E$2503,$E1594,$Z$4:$Z$2503,"正常",$A$4:$A$2503,"&lt;="&amp;$A1594))</f>
        <v/>
      </c>
      <c r="U1594" s="26">
        <f>IF($G1594="","",IF(OR($S1594&gt;0,$Q1594=0,$R1594=0,$Z1594&lt;&gt;"正常"),0,ROUND($T1594/$Q1594*$R1594,0)-ROUND(($T1594-$P1594)/$Q1594*$R1594,0)))</f>
        <v/>
      </c>
      <c r="V1594" s="26">
        <f>IF($G1594="","",ROUND($P1594+$U1594,0))</f>
        <v/>
      </c>
      <c r="W1594" s="26">
        <f>IF($G1594="","",IF(N($K1594)=0,0,ROUND($V1594/$K1594,2)))</f>
        <v/>
      </c>
      <c r="X1594" s="17" t="n"/>
      <c r="Y1594" s="17" t="n"/>
      <c r="Z1594" s="17" t="n"/>
      <c r="AA1594" s="17" t="n"/>
      <c r="AB1594" s="17" t="n"/>
      <c r="AC1594" s="24">
        <f>IF($G1594="","",IF($H1594="※编码不在物料档案里","※物料编码不在档案里",IF(N($K1594)&lt;=0,"※入库数量要大于 0",IF(AND($C1594&lt;&gt;"",$C1594&lt;=结账锁),"※日期早于已结账截止日，不能再录",IF(AND($L1594=0,$X1594="正常"),"※没填单价，价格状态请选「待补价」",IF(AND($S1594&gt;0,$R1594&gt;0),"△本批有 "&amp;$S1594&amp;" 行没单价，整批运费先挂账没摊",IF(AND($B1594&lt;&gt;"",COUNTIF($B$4:$B$2503,$B1594)&gt;1),"※入库单号重复","")))))))</f>
        <v/>
      </c>
    </row>
    <row r="1595">
      <c r="A1595" s="24">
        <f>IF($G1595="","",COUNTA($G$4:$G1595))</f>
        <v/>
      </c>
      <c r="B1595" s="17" t="n"/>
      <c r="C1595" s="30" t="n"/>
      <c r="D1595" s="17" t="n"/>
      <c r="E1595" s="17" t="n"/>
      <c r="F1595" s="17" t="n"/>
      <c r="G1595" s="17" t="n"/>
      <c r="H1595" s="24">
        <f>IF($G1595="","",IFERROR(VLOOKUP($G1595,物料档案!$A$4:$P$1203,3,0),"※编码不在物料档案里"))</f>
        <v/>
      </c>
      <c r="I1595" s="24">
        <f>IF($G1595="","",IFERROR(VLOOKUP($G1595,物料档案!$A$4:$P$1203,4,0),"※编码不在物料档案里"))</f>
        <v/>
      </c>
      <c r="J1595" s="24">
        <f>IF($G1595="","",IFERROR(VLOOKUP($G1595,物料档案!$A$4:$P$1203,5,0),"※编码不在物料档案里"))</f>
        <v/>
      </c>
      <c r="K1595" s="23" t="n"/>
      <c r="L1595" s="31" t="n"/>
      <c r="M1595" s="24">
        <f>IF($G1595="","",IF($D1595="A国内","CNY","TZS"))</f>
        <v/>
      </c>
      <c r="N1595" s="28">
        <f>IF($G1595="","",IF($D1595="A国内",汇率,1))</f>
        <v/>
      </c>
      <c r="O1595" s="25">
        <f>IF($G1595="","",ROUND(N($K1595)*N($L1595),2))</f>
        <v/>
      </c>
      <c r="P1595" s="26">
        <f>IF($G1595="","",ROUND($O1595*$N1595,0))</f>
        <v/>
      </c>
      <c r="Q1595" s="26">
        <f>IF($G1595="","",SUMIFS($P$4:$P$2503,$E$4:$E$2503,$E1595,$Z$4:$Z$2503,"正常"))</f>
        <v/>
      </c>
      <c r="R1595" s="26">
        <f>IF($G1595="","",SUMIFS(费用台账!$I$4:$I$503,费用台账!$C$4:$C$503,$E1595,费用台账!$J$4:$J$503,"是",费用台账!$K$4:$K$503,"正常"))</f>
        <v/>
      </c>
      <c r="S1595" s="28">
        <f>IF($G1595="","",COUNTIFS($E$4:$E$2503,$E1595,$Z$4:$Z$2503,"正常",$Y$4:$Y$2503,"待补价"))</f>
        <v/>
      </c>
      <c r="T1595" s="26">
        <f>IF($G1595="","",SUMIFS($P$4:$P$2503,$E$4:$E$2503,$E1595,$Z$4:$Z$2503,"正常",$A$4:$A$2503,"&lt;="&amp;$A1595))</f>
        <v/>
      </c>
      <c r="U1595" s="26">
        <f>IF($G1595="","",IF(OR($S1595&gt;0,$Q1595=0,$R1595=0,$Z1595&lt;&gt;"正常"),0,ROUND($T1595/$Q1595*$R1595,0)-ROUND(($T1595-$P1595)/$Q1595*$R1595,0)))</f>
        <v/>
      </c>
      <c r="V1595" s="26">
        <f>IF($G1595="","",ROUND($P1595+$U1595,0))</f>
        <v/>
      </c>
      <c r="W1595" s="26">
        <f>IF($G1595="","",IF(N($K1595)=0,0,ROUND($V1595/$K1595,2)))</f>
        <v/>
      </c>
      <c r="X1595" s="17" t="n"/>
      <c r="Y1595" s="17" t="n"/>
      <c r="Z1595" s="17" t="n"/>
      <c r="AA1595" s="17" t="n"/>
      <c r="AB1595" s="17" t="n"/>
      <c r="AC1595" s="24">
        <f>IF($G1595="","",IF($H1595="※编码不在物料档案里","※物料编码不在档案里",IF(N($K1595)&lt;=0,"※入库数量要大于 0",IF(AND($C1595&lt;&gt;"",$C1595&lt;=结账锁),"※日期早于已结账截止日，不能再录",IF(AND($L1595=0,$X1595="正常"),"※没填单价，价格状态请选「待补价」",IF(AND($S1595&gt;0,$R1595&gt;0),"△本批有 "&amp;$S1595&amp;" 行没单价，整批运费先挂账没摊",IF(AND($B1595&lt;&gt;"",COUNTIF($B$4:$B$2503,$B1595)&gt;1),"※入库单号重复","")))))))</f>
        <v/>
      </c>
    </row>
    <row r="1596">
      <c r="A1596" s="24">
        <f>IF($G1596="","",COUNTA($G$4:$G1596))</f>
        <v/>
      </c>
      <c r="B1596" s="17" t="n"/>
      <c r="C1596" s="30" t="n"/>
      <c r="D1596" s="17" t="n"/>
      <c r="E1596" s="17" t="n"/>
      <c r="F1596" s="17" t="n"/>
      <c r="G1596" s="17" t="n"/>
      <c r="H1596" s="24">
        <f>IF($G1596="","",IFERROR(VLOOKUP($G1596,物料档案!$A$4:$P$1203,3,0),"※编码不在物料档案里"))</f>
        <v/>
      </c>
      <c r="I1596" s="24">
        <f>IF($G1596="","",IFERROR(VLOOKUP($G1596,物料档案!$A$4:$P$1203,4,0),"※编码不在物料档案里"))</f>
        <v/>
      </c>
      <c r="J1596" s="24">
        <f>IF($G1596="","",IFERROR(VLOOKUP($G1596,物料档案!$A$4:$P$1203,5,0),"※编码不在物料档案里"))</f>
        <v/>
      </c>
      <c r="K1596" s="23" t="n"/>
      <c r="L1596" s="31" t="n"/>
      <c r="M1596" s="24">
        <f>IF($G1596="","",IF($D1596="A国内","CNY","TZS"))</f>
        <v/>
      </c>
      <c r="N1596" s="28">
        <f>IF($G1596="","",IF($D1596="A国内",汇率,1))</f>
        <v/>
      </c>
      <c r="O1596" s="25">
        <f>IF($G1596="","",ROUND(N($K1596)*N($L1596),2))</f>
        <v/>
      </c>
      <c r="P1596" s="26">
        <f>IF($G1596="","",ROUND($O1596*$N1596,0))</f>
        <v/>
      </c>
      <c r="Q1596" s="26">
        <f>IF($G1596="","",SUMIFS($P$4:$P$2503,$E$4:$E$2503,$E1596,$Z$4:$Z$2503,"正常"))</f>
        <v/>
      </c>
      <c r="R1596" s="26">
        <f>IF($G1596="","",SUMIFS(费用台账!$I$4:$I$503,费用台账!$C$4:$C$503,$E1596,费用台账!$J$4:$J$503,"是",费用台账!$K$4:$K$503,"正常"))</f>
        <v/>
      </c>
      <c r="S1596" s="28">
        <f>IF($G1596="","",COUNTIFS($E$4:$E$2503,$E1596,$Z$4:$Z$2503,"正常",$Y$4:$Y$2503,"待补价"))</f>
        <v/>
      </c>
      <c r="T1596" s="26">
        <f>IF($G1596="","",SUMIFS($P$4:$P$2503,$E$4:$E$2503,$E1596,$Z$4:$Z$2503,"正常",$A$4:$A$2503,"&lt;="&amp;$A1596))</f>
        <v/>
      </c>
      <c r="U1596" s="26">
        <f>IF($G1596="","",IF(OR($S1596&gt;0,$Q1596=0,$R1596=0,$Z1596&lt;&gt;"正常"),0,ROUND($T1596/$Q1596*$R1596,0)-ROUND(($T1596-$P1596)/$Q1596*$R1596,0)))</f>
        <v/>
      </c>
      <c r="V1596" s="26">
        <f>IF($G1596="","",ROUND($P1596+$U1596,0))</f>
        <v/>
      </c>
      <c r="W1596" s="26">
        <f>IF($G1596="","",IF(N($K1596)=0,0,ROUND($V1596/$K1596,2)))</f>
        <v/>
      </c>
      <c r="X1596" s="17" t="n"/>
      <c r="Y1596" s="17" t="n"/>
      <c r="Z1596" s="17" t="n"/>
      <c r="AA1596" s="17" t="n"/>
      <c r="AB1596" s="17" t="n"/>
      <c r="AC1596" s="24">
        <f>IF($G1596="","",IF($H1596="※编码不在物料档案里","※物料编码不在档案里",IF(N($K1596)&lt;=0,"※入库数量要大于 0",IF(AND($C1596&lt;&gt;"",$C1596&lt;=结账锁),"※日期早于已结账截止日，不能再录",IF(AND($L1596=0,$X1596="正常"),"※没填单价，价格状态请选「待补价」",IF(AND($S1596&gt;0,$R1596&gt;0),"△本批有 "&amp;$S1596&amp;" 行没单价，整批运费先挂账没摊",IF(AND($B1596&lt;&gt;"",COUNTIF($B$4:$B$2503,$B1596)&gt;1),"※入库单号重复","")))))))</f>
        <v/>
      </c>
    </row>
    <row r="1597">
      <c r="A1597" s="24">
        <f>IF($G1597="","",COUNTA($G$4:$G1597))</f>
        <v/>
      </c>
      <c r="B1597" s="17" t="n"/>
      <c r="C1597" s="30" t="n"/>
      <c r="D1597" s="17" t="n"/>
      <c r="E1597" s="17" t="n"/>
      <c r="F1597" s="17" t="n"/>
      <c r="G1597" s="17" t="n"/>
      <c r="H1597" s="24">
        <f>IF($G1597="","",IFERROR(VLOOKUP($G1597,物料档案!$A$4:$P$1203,3,0),"※编码不在物料档案里"))</f>
        <v/>
      </c>
      <c r="I1597" s="24">
        <f>IF($G1597="","",IFERROR(VLOOKUP($G1597,物料档案!$A$4:$P$1203,4,0),"※编码不在物料档案里"))</f>
        <v/>
      </c>
      <c r="J1597" s="24">
        <f>IF($G1597="","",IFERROR(VLOOKUP($G1597,物料档案!$A$4:$P$1203,5,0),"※编码不在物料档案里"))</f>
        <v/>
      </c>
      <c r="K1597" s="23" t="n"/>
      <c r="L1597" s="31" t="n"/>
      <c r="M1597" s="24">
        <f>IF($G1597="","",IF($D1597="A国内","CNY","TZS"))</f>
        <v/>
      </c>
      <c r="N1597" s="28">
        <f>IF($G1597="","",IF($D1597="A国内",汇率,1))</f>
        <v/>
      </c>
      <c r="O1597" s="25">
        <f>IF($G1597="","",ROUND(N($K1597)*N($L1597),2))</f>
        <v/>
      </c>
      <c r="P1597" s="26">
        <f>IF($G1597="","",ROUND($O1597*$N1597,0))</f>
        <v/>
      </c>
      <c r="Q1597" s="26">
        <f>IF($G1597="","",SUMIFS($P$4:$P$2503,$E$4:$E$2503,$E1597,$Z$4:$Z$2503,"正常"))</f>
        <v/>
      </c>
      <c r="R1597" s="26">
        <f>IF($G1597="","",SUMIFS(费用台账!$I$4:$I$503,费用台账!$C$4:$C$503,$E1597,费用台账!$J$4:$J$503,"是",费用台账!$K$4:$K$503,"正常"))</f>
        <v/>
      </c>
      <c r="S1597" s="28">
        <f>IF($G1597="","",COUNTIFS($E$4:$E$2503,$E1597,$Z$4:$Z$2503,"正常",$Y$4:$Y$2503,"待补价"))</f>
        <v/>
      </c>
      <c r="T1597" s="26">
        <f>IF($G1597="","",SUMIFS($P$4:$P$2503,$E$4:$E$2503,$E1597,$Z$4:$Z$2503,"正常",$A$4:$A$2503,"&lt;="&amp;$A1597))</f>
        <v/>
      </c>
      <c r="U1597" s="26">
        <f>IF($G1597="","",IF(OR($S1597&gt;0,$Q1597=0,$R1597=0,$Z1597&lt;&gt;"正常"),0,ROUND($T1597/$Q1597*$R1597,0)-ROUND(($T1597-$P1597)/$Q1597*$R1597,0)))</f>
        <v/>
      </c>
      <c r="V1597" s="26">
        <f>IF($G1597="","",ROUND($P1597+$U1597,0))</f>
        <v/>
      </c>
      <c r="W1597" s="26">
        <f>IF($G1597="","",IF(N($K1597)=0,0,ROUND($V1597/$K1597,2)))</f>
        <v/>
      </c>
      <c r="X1597" s="17" t="n"/>
      <c r="Y1597" s="17" t="n"/>
      <c r="Z1597" s="17" t="n"/>
      <c r="AA1597" s="17" t="n"/>
      <c r="AB1597" s="17" t="n"/>
      <c r="AC1597" s="24">
        <f>IF($G1597="","",IF($H1597="※编码不在物料档案里","※物料编码不在档案里",IF(N($K1597)&lt;=0,"※入库数量要大于 0",IF(AND($C1597&lt;&gt;"",$C1597&lt;=结账锁),"※日期早于已结账截止日，不能再录",IF(AND($L1597=0,$X1597="正常"),"※没填单价，价格状态请选「待补价」",IF(AND($S1597&gt;0,$R1597&gt;0),"△本批有 "&amp;$S1597&amp;" 行没单价，整批运费先挂账没摊",IF(AND($B1597&lt;&gt;"",COUNTIF($B$4:$B$2503,$B1597)&gt;1),"※入库单号重复","")))))))</f>
        <v/>
      </c>
    </row>
    <row r="1598">
      <c r="A1598" s="24">
        <f>IF($G1598="","",COUNTA($G$4:$G1598))</f>
        <v/>
      </c>
      <c r="B1598" s="17" t="n"/>
      <c r="C1598" s="30" t="n"/>
      <c r="D1598" s="17" t="n"/>
      <c r="E1598" s="17" t="n"/>
      <c r="F1598" s="17" t="n"/>
      <c r="G1598" s="17" t="n"/>
      <c r="H1598" s="24">
        <f>IF($G1598="","",IFERROR(VLOOKUP($G1598,物料档案!$A$4:$P$1203,3,0),"※编码不在物料档案里"))</f>
        <v/>
      </c>
      <c r="I1598" s="24">
        <f>IF($G1598="","",IFERROR(VLOOKUP($G1598,物料档案!$A$4:$P$1203,4,0),"※编码不在物料档案里"))</f>
        <v/>
      </c>
      <c r="J1598" s="24">
        <f>IF($G1598="","",IFERROR(VLOOKUP($G1598,物料档案!$A$4:$P$1203,5,0),"※编码不在物料档案里"))</f>
        <v/>
      </c>
      <c r="K1598" s="23" t="n"/>
      <c r="L1598" s="31" t="n"/>
      <c r="M1598" s="24">
        <f>IF($G1598="","",IF($D1598="A国内","CNY","TZS"))</f>
        <v/>
      </c>
      <c r="N1598" s="28">
        <f>IF($G1598="","",IF($D1598="A国内",汇率,1))</f>
        <v/>
      </c>
      <c r="O1598" s="25">
        <f>IF($G1598="","",ROUND(N($K1598)*N($L1598),2))</f>
        <v/>
      </c>
      <c r="P1598" s="26">
        <f>IF($G1598="","",ROUND($O1598*$N1598,0))</f>
        <v/>
      </c>
      <c r="Q1598" s="26">
        <f>IF($G1598="","",SUMIFS($P$4:$P$2503,$E$4:$E$2503,$E1598,$Z$4:$Z$2503,"正常"))</f>
        <v/>
      </c>
      <c r="R1598" s="26">
        <f>IF($G1598="","",SUMIFS(费用台账!$I$4:$I$503,费用台账!$C$4:$C$503,$E1598,费用台账!$J$4:$J$503,"是",费用台账!$K$4:$K$503,"正常"))</f>
        <v/>
      </c>
      <c r="S1598" s="28">
        <f>IF($G1598="","",COUNTIFS($E$4:$E$2503,$E1598,$Z$4:$Z$2503,"正常",$Y$4:$Y$2503,"待补价"))</f>
        <v/>
      </c>
      <c r="T1598" s="26">
        <f>IF($G1598="","",SUMIFS($P$4:$P$2503,$E$4:$E$2503,$E1598,$Z$4:$Z$2503,"正常",$A$4:$A$2503,"&lt;="&amp;$A1598))</f>
        <v/>
      </c>
      <c r="U1598" s="26">
        <f>IF($G1598="","",IF(OR($S1598&gt;0,$Q1598=0,$R1598=0,$Z1598&lt;&gt;"正常"),0,ROUND($T1598/$Q1598*$R1598,0)-ROUND(($T1598-$P1598)/$Q1598*$R1598,0)))</f>
        <v/>
      </c>
      <c r="V1598" s="26">
        <f>IF($G1598="","",ROUND($P1598+$U1598,0))</f>
        <v/>
      </c>
      <c r="W1598" s="26">
        <f>IF($G1598="","",IF(N($K1598)=0,0,ROUND($V1598/$K1598,2)))</f>
        <v/>
      </c>
      <c r="X1598" s="17" t="n"/>
      <c r="Y1598" s="17" t="n"/>
      <c r="Z1598" s="17" t="n"/>
      <c r="AA1598" s="17" t="n"/>
      <c r="AB1598" s="17" t="n"/>
      <c r="AC1598" s="24">
        <f>IF($G1598="","",IF($H1598="※编码不在物料档案里","※物料编码不在档案里",IF(N($K1598)&lt;=0,"※入库数量要大于 0",IF(AND($C1598&lt;&gt;"",$C1598&lt;=结账锁),"※日期早于已结账截止日，不能再录",IF(AND($L1598=0,$X1598="正常"),"※没填单价，价格状态请选「待补价」",IF(AND($S1598&gt;0,$R1598&gt;0),"△本批有 "&amp;$S1598&amp;" 行没单价，整批运费先挂账没摊",IF(AND($B1598&lt;&gt;"",COUNTIF($B$4:$B$2503,$B1598)&gt;1),"※入库单号重复","")))))))</f>
        <v/>
      </c>
    </row>
    <row r="1599">
      <c r="A1599" s="24">
        <f>IF($G1599="","",COUNTA($G$4:$G1599))</f>
        <v/>
      </c>
      <c r="B1599" s="17" t="n"/>
      <c r="C1599" s="30" t="n"/>
      <c r="D1599" s="17" t="n"/>
      <c r="E1599" s="17" t="n"/>
      <c r="F1599" s="17" t="n"/>
      <c r="G1599" s="17" t="n"/>
      <c r="H1599" s="24">
        <f>IF($G1599="","",IFERROR(VLOOKUP($G1599,物料档案!$A$4:$P$1203,3,0),"※编码不在物料档案里"))</f>
        <v/>
      </c>
      <c r="I1599" s="24">
        <f>IF($G1599="","",IFERROR(VLOOKUP($G1599,物料档案!$A$4:$P$1203,4,0),"※编码不在物料档案里"))</f>
        <v/>
      </c>
      <c r="J1599" s="24">
        <f>IF($G1599="","",IFERROR(VLOOKUP($G1599,物料档案!$A$4:$P$1203,5,0),"※编码不在物料档案里"))</f>
        <v/>
      </c>
      <c r="K1599" s="23" t="n"/>
      <c r="L1599" s="31" t="n"/>
      <c r="M1599" s="24">
        <f>IF($G1599="","",IF($D1599="A国内","CNY","TZS"))</f>
        <v/>
      </c>
      <c r="N1599" s="28">
        <f>IF($G1599="","",IF($D1599="A国内",汇率,1))</f>
        <v/>
      </c>
      <c r="O1599" s="25">
        <f>IF($G1599="","",ROUND(N($K1599)*N($L1599),2))</f>
        <v/>
      </c>
      <c r="P1599" s="26">
        <f>IF($G1599="","",ROUND($O1599*$N1599,0))</f>
        <v/>
      </c>
      <c r="Q1599" s="26">
        <f>IF($G1599="","",SUMIFS($P$4:$P$2503,$E$4:$E$2503,$E1599,$Z$4:$Z$2503,"正常"))</f>
        <v/>
      </c>
      <c r="R1599" s="26">
        <f>IF($G1599="","",SUMIFS(费用台账!$I$4:$I$503,费用台账!$C$4:$C$503,$E1599,费用台账!$J$4:$J$503,"是",费用台账!$K$4:$K$503,"正常"))</f>
        <v/>
      </c>
      <c r="S1599" s="28">
        <f>IF($G1599="","",COUNTIFS($E$4:$E$2503,$E1599,$Z$4:$Z$2503,"正常",$Y$4:$Y$2503,"待补价"))</f>
        <v/>
      </c>
      <c r="T1599" s="26">
        <f>IF($G1599="","",SUMIFS($P$4:$P$2503,$E$4:$E$2503,$E1599,$Z$4:$Z$2503,"正常",$A$4:$A$2503,"&lt;="&amp;$A1599))</f>
        <v/>
      </c>
      <c r="U1599" s="26">
        <f>IF($G1599="","",IF(OR($S1599&gt;0,$Q1599=0,$R1599=0,$Z1599&lt;&gt;"正常"),0,ROUND($T1599/$Q1599*$R1599,0)-ROUND(($T1599-$P1599)/$Q1599*$R1599,0)))</f>
        <v/>
      </c>
      <c r="V1599" s="26">
        <f>IF($G1599="","",ROUND($P1599+$U1599,0))</f>
        <v/>
      </c>
      <c r="W1599" s="26">
        <f>IF($G1599="","",IF(N($K1599)=0,0,ROUND($V1599/$K1599,2)))</f>
        <v/>
      </c>
      <c r="X1599" s="17" t="n"/>
      <c r="Y1599" s="17" t="n"/>
      <c r="Z1599" s="17" t="n"/>
      <c r="AA1599" s="17" t="n"/>
      <c r="AB1599" s="17" t="n"/>
      <c r="AC1599" s="24">
        <f>IF($G1599="","",IF($H1599="※编码不在物料档案里","※物料编码不在档案里",IF(N($K1599)&lt;=0,"※入库数量要大于 0",IF(AND($C1599&lt;&gt;"",$C1599&lt;=结账锁),"※日期早于已结账截止日，不能再录",IF(AND($L1599=0,$X1599="正常"),"※没填单价，价格状态请选「待补价」",IF(AND($S1599&gt;0,$R1599&gt;0),"△本批有 "&amp;$S1599&amp;" 行没单价，整批运费先挂账没摊",IF(AND($B1599&lt;&gt;"",COUNTIF($B$4:$B$2503,$B1599)&gt;1),"※入库单号重复","")))))))</f>
        <v/>
      </c>
    </row>
    <row r="1600">
      <c r="A1600" s="24">
        <f>IF($G1600="","",COUNTA($G$4:$G1600))</f>
        <v/>
      </c>
      <c r="B1600" s="17" t="n"/>
      <c r="C1600" s="30" t="n"/>
      <c r="D1600" s="17" t="n"/>
      <c r="E1600" s="17" t="n"/>
      <c r="F1600" s="17" t="n"/>
      <c r="G1600" s="17" t="n"/>
      <c r="H1600" s="24">
        <f>IF($G1600="","",IFERROR(VLOOKUP($G1600,物料档案!$A$4:$P$1203,3,0),"※编码不在物料档案里"))</f>
        <v/>
      </c>
      <c r="I1600" s="24">
        <f>IF($G1600="","",IFERROR(VLOOKUP($G1600,物料档案!$A$4:$P$1203,4,0),"※编码不在物料档案里"))</f>
        <v/>
      </c>
      <c r="J1600" s="24">
        <f>IF($G1600="","",IFERROR(VLOOKUP($G1600,物料档案!$A$4:$P$1203,5,0),"※编码不在物料档案里"))</f>
        <v/>
      </c>
      <c r="K1600" s="23" t="n"/>
      <c r="L1600" s="31" t="n"/>
      <c r="M1600" s="24">
        <f>IF($G1600="","",IF($D1600="A国内","CNY","TZS"))</f>
        <v/>
      </c>
      <c r="N1600" s="28">
        <f>IF($G1600="","",IF($D1600="A国内",汇率,1))</f>
        <v/>
      </c>
      <c r="O1600" s="25">
        <f>IF($G1600="","",ROUND(N($K1600)*N($L1600),2))</f>
        <v/>
      </c>
      <c r="P1600" s="26">
        <f>IF($G1600="","",ROUND($O1600*$N1600,0))</f>
        <v/>
      </c>
      <c r="Q1600" s="26">
        <f>IF($G1600="","",SUMIFS($P$4:$P$2503,$E$4:$E$2503,$E1600,$Z$4:$Z$2503,"正常"))</f>
        <v/>
      </c>
      <c r="R1600" s="26">
        <f>IF($G1600="","",SUMIFS(费用台账!$I$4:$I$503,费用台账!$C$4:$C$503,$E1600,费用台账!$J$4:$J$503,"是",费用台账!$K$4:$K$503,"正常"))</f>
        <v/>
      </c>
      <c r="S1600" s="28">
        <f>IF($G1600="","",COUNTIFS($E$4:$E$2503,$E1600,$Z$4:$Z$2503,"正常",$Y$4:$Y$2503,"待补价"))</f>
        <v/>
      </c>
      <c r="T1600" s="26">
        <f>IF($G1600="","",SUMIFS($P$4:$P$2503,$E$4:$E$2503,$E1600,$Z$4:$Z$2503,"正常",$A$4:$A$2503,"&lt;="&amp;$A1600))</f>
        <v/>
      </c>
      <c r="U1600" s="26">
        <f>IF($G1600="","",IF(OR($S1600&gt;0,$Q1600=0,$R1600=0,$Z1600&lt;&gt;"正常"),0,ROUND($T1600/$Q1600*$R1600,0)-ROUND(($T1600-$P1600)/$Q1600*$R1600,0)))</f>
        <v/>
      </c>
      <c r="V1600" s="26">
        <f>IF($G1600="","",ROUND($P1600+$U1600,0))</f>
        <v/>
      </c>
      <c r="W1600" s="26">
        <f>IF($G1600="","",IF(N($K1600)=0,0,ROUND($V1600/$K1600,2)))</f>
        <v/>
      </c>
      <c r="X1600" s="17" t="n"/>
      <c r="Y1600" s="17" t="n"/>
      <c r="Z1600" s="17" t="n"/>
      <c r="AA1600" s="17" t="n"/>
      <c r="AB1600" s="17" t="n"/>
      <c r="AC1600" s="24">
        <f>IF($G1600="","",IF($H1600="※编码不在物料档案里","※物料编码不在档案里",IF(N($K1600)&lt;=0,"※入库数量要大于 0",IF(AND($C1600&lt;&gt;"",$C1600&lt;=结账锁),"※日期早于已结账截止日，不能再录",IF(AND($L1600=0,$X1600="正常"),"※没填单价，价格状态请选「待补价」",IF(AND($S1600&gt;0,$R1600&gt;0),"△本批有 "&amp;$S1600&amp;" 行没单价，整批运费先挂账没摊",IF(AND($B1600&lt;&gt;"",COUNTIF($B$4:$B$2503,$B1600)&gt;1),"※入库单号重复","")))))))</f>
        <v/>
      </c>
    </row>
    <row r="1601">
      <c r="A1601" s="24">
        <f>IF($G1601="","",COUNTA($G$4:$G1601))</f>
        <v/>
      </c>
      <c r="B1601" s="17" t="n"/>
      <c r="C1601" s="30" t="n"/>
      <c r="D1601" s="17" t="n"/>
      <c r="E1601" s="17" t="n"/>
      <c r="F1601" s="17" t="n"/>
      <c r="G1601" s="17" t="n"/>
      <c r="H1601" s="24">
        <f>IF($G1601="","",IFERROR(VLOOKUP($G1601,物料档案!$A$4:$P$1203,3,0),"※编码不在物料档案里"))</f>
        <v/>
      </c>
      <c r="I1601" s="24">
        <f>IF($G1601="","",IFERROR(VLOOKUP($G1601,物料档案!$A$4:$P$1203,4,0),"※编码不在物料档案里"))</f>
        <v/>
      </c>
      <c r="J1601" s="24">
        <f>IF($G1601="","",IFERROR(VLOOKUP($G1601,物料档案!$A$4:$P$1203,5,0),"※编码不在物料档案里"))</f>
        <v/>
      </c>
      <c r="K1601" s="23" t="n"/>
      <c r="L1601" s="31" t="n"/>
      <c r="M1601" s="24">
        <f>IF($G1601="","",IF($D1601="A国内","CNY","TZS"))</f>
        <v/>
      </c>
      <c r="N1601" s="28">
        <f>IF($G1601="","",IF($D1601="A国内",汇率,1))</f>
        <v/>
      </c>
      <c r="O1601" s="25">
        <f>IF($G1601="","",ROUND(N($K1601)*N($L1601),2))</f>
        <v/>
      </c>
      <c r="P1601" s="26">
        <f>IF($G1601="","",ROUND($O1601*$N1601,0))</f>
        <v/>
      </c>
      <c r="Q1601" s="26">
        <f>IF($G1601="","",SUMIFS($P$4:$P$2503,$E$4:$E$2503,$E1601,$Z$4:$Z$2503,"正常"))</f>
        <v/>
      </c>
      <c r="R1601" s="26">
        <f>IF($G1601="","",SUMIFS(费用台账!$I$4:$I$503,费用台账!$C$4:$C$503,$E1601,费用台账!$J$4:$J$503,"是",费用台账!$K$4:$K$503,"正常"))</f>
        <v/>
      </c>
      <c r="S1601" s="28">
        <f>IF($G1601="","",COUNTIFS($E$4:$E$2503,$E1601,$Z$4:$Z$2503,"正常",$Y$4:$Y$2503,"待补价"))</f>
        <v/>
      </c>
      <c r="T1601" s="26">
        <f>IF($G1601="","",SUMIFS($P$4:$P$2503,$E$4:$E$2503,$E1601,$Z$4:$Z$2503,"正常",$A$4:$A$2503,"&lt;="&amp;$A1601))</f>
        <v/>
      </c>
      <c r="U1601" s="26">
        <f>IF($G1601="","",IF(OR($S1601&gt;0,$Q1601=0,$R1601=0,$Z1601&lt;&gt;"正常"),0,ROUND($T1601/$Q1601*$R1601,0)-ROUND(($T1601-$P1601)/$Q1601*$R1601,0)))</f>
        <v/>
      </c>
      <c r="V1601" s="26">
        <f>IF($G1601="","",ROUND($P1601+$U1601,0))</f>
        <v/>
      </c>
      <c r="W1601" s="26">
        <f>IF($G1601="","",IF(N($K1601)=0,0,ROUND($V1601/$K1601,2)))</f>
        <v/>
      </c>
      <c r="X1601" s="17" t="n"/>
      <c r="Y1601" s="17" t="n"/>
      <c r="Z1601" s="17" t="n"/>
      <c r="AA1601" s="17" t="n"/>
      <c r="AB1601" s="17" t="n"/>
      <c r="AC1601" s="24">
        <f>IF($G1601="","",IF($H1601="※编码不在物料档案里","※物料编码不在档案里",IF(N($K1601)&lt;=0,"※入库数量要大于 0",IF(AND($C1601&lt;&gt;"",$C1601&lt;=结账锁),"※日期早于已结账截止日，不能再录",IF(AND($L1601=0,$X1601="正常"),"※没填单价，价格状态请选「待补价」",IF(AND($S1601&gt;0,$R1601&gt;0),"△本批有 "&amp;$S1601&amp;" 行没单价，整批运费先挂账没摊",IF(AND($B1601&lt;&gt;"",COUNTIF($B$4:$B$2503,$B1601)&gt;1),"※入库单号重复","")))))))</f>
        <v/>
      </c>
    </row>
    <row r="1602">
      <c r="A1602" s="24">
        <f>IF($G1602="","",COUNTA($G$4:$G1602))</f>
        <v/>
      </c>
      <c r="B1602" s="17" t="n"/>
      <c r="C1602" s="30" t="n"/>
      <c r="D1602" s="17" t="n"/>
      <c r="E1602" s="17" t="n"/>
      <c r="F1602" s="17" t="n"/>
      <c r="G1602" s="17" t="n"/>
      <c r="H1602" s="24">
        <f>IF($G1602="","",IFERROR(VLOOKUP($G1602,物料档案!$A$4:$P$1203,3,0),"※编码不在物料档案里"))</f>
        <v/>
      </c>
      <c r="I1602" s="24">
        <f>IF($G1602="","",IFERROR(VLOOKUP($G1602,物料档案!$A$4:$P$1203,4,0),"※编码不在物料档案里"))</f>
        <v/>
      </c>
      <c r="J1602" s="24">
        <f>IF($G1602="","",IFERROR(VLOOKUP($G1602,物料档案!$A$4:$P$1203,5,0),"※编码不在物料档案里"))</f>
        <v/>
      </c>
      <c r="K1602" s="23" t="n"/>
      <c r="L1602" s="31" t="n"/>
      <c r="M1602" s="24">
        <f>IF($G1602="","",IF($D1602="A国内","CNY","TZS"))</f>
        <v/>
      </c>
      <c r="N1602" s="28">
        <f>IF($G1602="","",IF($D1602="A国内",汇率,1))</f>
        <v/>
      </c>
      <c r="O1602" s="25">
        <f>IF($G1602="","",ROUND(N($K1602)*N($L1602),2))</f>
        <v/>
      </c>
      <c r="P1602" s="26">
        <f>IF($G1602="","",ROUND($O1602*$N1602,0))</f>
        <v/>
      </c>
      <c r="Q1602" s="26">
        <f>IF($G1602="","",SUMIFS($P$4:$P$2503,$E$4:$E$2503,$E1602,$Z$4:$Z$2503,"正常"))</f>
        <v/>
      </c>
      <c r="R1602" s="26">
        <f>IF($G1602="","",SUMIFS(费用台账!$I$4:$I$503,费用台账!$C$4:$C$503,$E1602,费用台账!$J$4:$J$503,"是",费用台账!$K$4:$K$503,"正常"))</f>
        <v/>
      </c>
      <c r="S1602" s="28">
        <f>IF($G1602="","",COUNTIFS($E$4:$E$2503,$E1602,$Z$4:$Z$2503,"正常",$Y$4:$Y$2503,"待补价"))</f>
        <v/>
      </c>
      <c r="T1602" s="26">
        <f>IF($G1602="","",SUMIFS($P$4:$P$2503,$E$4:$E$2503,$E1602,$Z$4:$Z$2503,"正常",$A$4:$A$2503,"&lt;="&amp;$A1602))</f>
        <v/>
      </c>
      <c r="U1602" s="26">
        <f>IF($G1602="","",IF(OR($S1602&gt;0,$Q1602=0,$R1602=0,$Z1602&lt;&gt;"正常"),0,ROUND($T1602/$Q1602*$R1602,0)-ROUND(($T1602-$P1602)/$Q1602*$R1602,0)))</f>
        <v/>
      </c>
      <c r="V1602" s="26">
        <f>IF($G1602="","",ROUND($P1602+$U1602,0))</f>
        <v/>
      </c>
      <c r="W1602" s="26">
        <f>IF($G1602="","",IF(N($K1602)=0,0,ROUND($V1602/$K1602,2)))</f>
        <v/>
      </c>
      <c r="X1602" s="17" t="n"/>
      <c r="Y1602" s="17" t="n"/>
      <c r="Z1602" s="17" t="n"/>
      <c r="AA1602" s="17" t="n"/>
      <c r="AB1602" s="17" t="n"/>
      <c r="AC1602" s="24">
        <f>IF($G1602="","",IF($H1602="※编码不在物料档案里","※物料编码不在档案里",IF(N($K1602)&lt;=0,"※入库数量要大于 0",IF(AND($C1602&lt;&gt;"",$C1602&lt;=结账锁),"※日期早于已结账截止日，不能再录",IF(AND($L1602=0,$X1602="正常"),"※没填单价，价格状态请选「待补价」",IF(AND($S1602&gt;0,$R1602&gt;0),"△本批有 "&amp;$S1602&amp;" 行没单价，整批运费先挂账没摊",IF(AND($B1602&lt;&gt;"",COUNTIF($B$4:$B$2503,$B1602)&gt;1),"※入库单号重复","")))))))</f>
        <v/>
      </c>
    </row>
    <row r="1603">
      <c r="A1603" s="24">
        <f>IF($G1603="","",COUNTA($G$4:$G1603))</f>
        <v/>
      </c>
      <c r="B1603" s="17" t="n"/>
      <c r="C1603" s="30" t="n"/>
      <c r="D1603" s="17" t="n"/>
      <c r="E1603" s="17" t="n"/>
      <c r="F1603" s="17" t="n"/>
      <c r="G1603" s="17" t="n"/>
      <c r="H1603" s="24">
        <f>IF($G1603="","",IFERROR(VLOOKUP($G1603,物料档案!$A$4:$P$1203,3,0),"※编码不在物料档案里"))</f>
        <v/>
      </c>
      <c r="I1603" s="24">
        <f>IF($G1603="","",IFERROR(VLOOKUP($G1603,物料档案!$A$4:$P$1203,4,0),"※编码不在物料档案里"))</f>
        <v/>
      </c>
      <c r="J1603" s="24">
        <f>IF($G1603="","",IFERROR(VLOOKUP($G1603,物料档案!$A$4:$P$1203,5,0),"※编码不在物料档案里"))</f>
        <v/>
      </c>
      <c r="K1603" s="23" t="n"/>
      <c r="L1603" s="31" t="n"/>
      <c r="M1603" s="24">
        <f>IF($G1603="","",IF($D1603="A国内","CNY","TZS"))</f>
        <v/>
      </c>
      <c r="N1603" s="28">
        <f>IF($G1603="","",IF($D1603="A国内",汇率,1))</f>
        <v/>
      </c>
      <c r="O1603" s="25">
        <f>IF($G1603="","",ROUND(N($K1603)*N($L1603),2))</f>
        <v/>
      </c>
      <c r="P1603" s="26">
        <f>IF($G1603="","",ROUND($O1603*$N1603,0))</f>
        <v/>
      </c>
      <c r="Q1603" s="26">
        <f>IF($G1603="","",SUMIFS($P$4:$P$2503,$E$4:$E$2503,$E1603,$Z$4:$Z$2503,"正常"))</f>
        <v/>
      </c>
      <c r="R1603" s="26">
        <f>IF($G1603="","",SUMIFS(费用台账!$I$4:$I$503,费用台账!$C$4:$C$503,$E1603,费用台账!$J$4:$J$503,"是",费用台账!$K$4:$K$503,"正常"))</f>
        <v/>
      </c>
      <c r="S1603" s="28">
        <f>IF($G1603="","",COUNTIFS($E$4:$E$2503,$E1603,$Z$4:$Z$2503,"正常",$Y$4:$Y$2503,"待补价"))</f>
        <v/>
      </c>
      <c r="T1603" s="26">
        <f>IF($G1603="","",SUMIFS($P$4:$P$2503,$E$4:$E$2503,$E1603,$Z$4:$Z$2503,"正常",$A$4:$A$2503,"&lt;="&amp;$A1603))</f>
        <v/>
      </c>
      <c r="U1603" s="26">
        <f>IF($G1603="","",IF(OR($S1603&gt;0,$Q1603=0,$R1603=0,$Z1603&lt;&gt;"正常"),0,ROUND($T1603/$Q1603*$R1603,0)-ROUND(($T1603-$P1603)/$Q1603*$R1603,0)))</f>
        <v/>
      </c>
      <c r="V1603" s="26">
        <f>IF($G1603="","",ROUND($P1603+$U1603,0))</f>
        <v/>
      </c>
      <c r="W1603" s="26">
        <f>IF($G1603="","",IF(N($K1603)=0,0,ROUND($V1603/$K1603,2)))</f>
        <v/>
      </c>
      <c r="X1603" s="17" t="n"/>
      <c r="Y1603" s="17" t="n"/>
      <c r="Z1603" s="17" t="n"/>
      <c r="AA1603" s="17" t="n"/>
      <c r="AB1603" s="17" t="n"/>
      <c r="AC1603" s="24">
        <f>IF($G1603="","",IF($H1603="※编码不在物料档案里","※物料编码不在档案里",IF(N($K1603)&lt;=0,"※入库数量要大于 0",IF(AND($C1603&lt;&gt;"",$C1603&lt;=结账锁),"※日期早于已结账截止日，不能再录",IF(AND($L1603=0,$X1603="正常"),"※没填单价，价格状态请选「待补价」",IF(AND($S1603&gt;0,$R1603&gt;0),"△本批有 "&amp;$S1603&amp;" 行没单价，整批运费先挂账没摊",IF(AND($B1603&lt;&gt;"",COUNTIF($B$4:$B$2503,$B1603)&gt;1),"※入库单号重复","")))))))</f>
        <v/>
      </c>
    </row>
    <row r="1604">
      <c r="A1604" s="24">
        <f>IF($G1604="","",COUNTA($G$4:$G1604))</f>
        <v/>
      </c>
      <c r="B1604" s="17" t="n"/>
      <c r="C1604" s="30" t="n"/>
      <c r="D1604" s="17" t="n"/>
      <c r="E1604" s="17" t="n"/>
      <c r="F1604" s="17" t="n"/>
      <c r="G1604" s="17" t="n"/>
      <c r="H1604" s="24">
        <f>IF($G1604="","",IFERROR(VLOOKUP($G1604,物料档案!$A$4:$P$1203,3,0),"※编码不在物料档案里"))</f>
        <v/>
      </c>
      <c r="I1604" s="24">
        <f>IF($G1604="","",IFERROR(VLOOKUP($G1604,物料档案!$A$4:$P$1203,4,0),"※编码不在物料档案里"))</f>
        <v/>
      </c>
      <c r="J1604" s="24">
        <f>IF($G1604="","",IFERROR(VLOOKUP($G1604,物料档案!$A$4:$P$1203,5,0),"※编码不在物料档案里"))</f>
        <v/>
      </c>
      <c r="K1604" s="23" t="n"/>
      <c r="L1604" s="31" t="n"/>
      <c r="M1604" s="24">
        <f>IF($G1604="","",IF($D1604="A国内","CNY","TZS"))</f>
        <v/>
      </c>
      <c r="N1604" s="28">
        <f>IF($G1604="","",IF($D1604="A国内",汇率,1))</f>
        <v/>
      </c>
      <c r="O1604" s="25">
        <f>IF($G1604="","",ROUND(N($K1604)*N($L1604),2))</f>
        <v/>
      </c>
      <c r="P1604" s="26">
        <f>IF($G1604="","",ROUND($O1604*$N1604,0))</f>
        <v/>
      </c>
      <c r="Q1604" s="26">
        <f>IF($G1604="","",SUMIFS($P$4:$P$2503,$E$4:$E$2503,$E1604,$Z$4:$Z$2503,"正常"))</f>
        <v/>
      </c>
      <c r="R1604" s="26">
        <f>IF($G1604="","",SUMIFS(费用台账!$I$4:$I$503,费用台账!$C$4:$C$503,$E1604,费用台账!$J$4:$J$503,"是",费用台账!$K$4:$K$503,"正常"))</f>
        <v/>
      </c>
      <c r="S1604" s="28">
        <f>IF($G1604="","",COUNTIFS($E$4:$E$2503,$E1604,$Z$4:$Z$2503,"正常",$Y$4:$Y$2503,"待补价"))</f>
        <v/>
      </c>
      <c r="T1604" s="26">
        <f>IF($G1604="","",SUMIFS($P$4:$P$2503,$E$4:$E$2503,$E1604,$Z$4:$Z$2503,"正常",$A$4:$A$2503,"&lt;="&amp;$A1604))</f>
        <v/>
      </c>
      <c r="U1604" s="26">
        <f>IF($G1604="","",IF(OR($S1604&gt;0,$Q1604=0,$R1604=0,$Z1604&lt;&gt;"正常"),0,ROUND($T1604/$Q1604*$R1604,0)-ROUND(($T1604-$P1604)/$Q1604*$R1604,0)))</f>
        <v/>
      </c>
      <c r="V1604" s="26">
        <f>IF($G1604="","",ROUND($P1604+$U1604,0))</f>
        <v/>
      </c>
      <c r="W1604" s="26">
        <f>IF($G1604="","",IF(N($K1604)=0,0,ROUND($V1604/$K1604,2)))</f>
        <v/>
      </c>
      <c r="X1604" s="17" t="n"/>
      <c r="Y1604" s="17" t="n"/>
      <c r="Z1604" s="17" t="n"/>
      <c r="AA1604" s="17" t="n"/>
      <c r="AB1604" s="17" t="n"/>
      <c r="AC1604" s="24">
        <f>IF($G1604="","",IF($H1604="※编码不在物料档案里","※物料编码不在档案里",IF(N($K1604)&lt;=0,"※入库数量要大于 0",IF(AND($C1604&lt;&gt;"",$C1604&lt;=结账锁),"※日期早于已结账截止日，不能再录",IF(AND($L1604=0,$X1604="正常"),"※没填单价，价格状态请选「待补价」",IF(AND($S1604&gt;0,$R1604&gt;0),"△本批有 "&amp;$S1604&amp;" 行没单价，整批运费先挂账没摊",IF(AND($B1604&lt;&gt;"",COUNTIF($B$4:$B$2503,$B1604)&gt;1),"※入库单号重复","")))))))</f>
        <v/>
      </c>
    </row>
    <row r="1605">
      <c r="A1605" s="24">
        <f>IF($G1605="","",COUNTA($G$4:$G1605))</f>
        <v/>
      </c>
      <c r="B1605" s="17" t="n"/>
      <c r="C1605" s="30" t="n"/>
      <c r="D1605" s="17" t="n"/>
      <c r="E1605" s="17" t="n"/>
      <c r="F1605" s="17" t="n"/>
      <c r="G1605" s="17" t="n"/>
      <c r="H1605" s="24">
        <f>IF($G1605="","",IFERROR(VLOOKUP($G1605,物料档案!$A$4:$P$1203,3,0),"※编码不在物料档案里"))</f>
        <v/>
      </c>
      <c r="I1605" s="24">
        <f>IF($G1605="","",IFERROR(VLOOKUP($G1605,物料档案!$A$4:$P$1203,4,0),"※编码不在物料档案里"))</f>
        <v/>
      </c>
      <c r="J1605" s="24">
        <f>IF($G1605="","",IFERROR(VLOOKUP($G1605,物料档案!$A$4:$P$1203,5,0),"※编码不在物料档案里"))</f>
        <v/>
      </c>
      <c r="K1605" s="23" t="n"/>
      <c r="L1605" s="31" t="n"/>
      <c r="M1605" s="24">
        <f>IF($G1605="","",IF($D1605="A国内","CNY","TZS"))</f>
        <v/>
      </c>
      <c r="N1605" s="28">
        <f>IF($G1605="","",IF($D1605="A国内",汇率,1))</f>
        <v/>
      </c>
      <c r="O1605" s="25">
        <f>IF($G1605="","",ROUND(N($K1605)*N($L1605),2))</f>
        <v/>
      </c>
      <c r="P1605" s="26">
        <f>IF($G1605="","",ROUND($O1605*$N1605,0))</f>
        <v/>
      </c>
      <c r="Q1605" s="26">
        <f>IF($G1605="","",SUMIFS($P$4:$P$2503,$E$4:$E$2503,$E1605,$Z$4:$Z$2503,"正常"))</f>
        <v/>
      </c>
      <c r="R1605" s="26">
        <f>IF($G1605="","",SUMIFS(费用台账!$I$4:$I$503,费用台账!$C$4:$C$503,$E1605,费用台账!$J$4:$J$503,"是",费用台账!$K$4:$K$503,"正常"))</f>
        <v/>
      </c>
      <c r="S1605" s="28">
        <f>IF($G1605="","",COUNTIFS($E$4:$E$2503,$E1605,$Z$4:$Z$2503,"正常",$Y$4:$Y$2503,"待补价"))</f>
        <v/>
      </c>
      <c r="T1605" s="26">
        <f>IF($G1605="","",SUMIFS($P$4:$P$2503,$E$4:$E$2503,$E1605,$Z$4:$Z$2503,"正常",$A$4:$A$2503,"&lt;="&amp;$A1605))</f>
        <v/>
      </c>
      <c r="U1605" s="26">
        <f>IF($G1605="","",IF(OR($S1605&gt;0,$Q1605=0,$R1605=0,$Z1605&lt;&gt;"正常"),0,ROUND($T1605/$Q1605*$R1605,0)-ROUND(($T1605-$P1605)/$Q1605*$R1605,0)))</f>
        <v/>
      </c>
      <c r="V1605" s="26">
        <f>IF($G1605="","",ROUND($P1605+$U1605,0))</f>
        <v/>
      </c>
      <c r="W1605" s="26">
        <f>IF($G1605="","",IF(N($K1605)=0,0,ROUND($V1605/$K1605,2)))</f>
        <v/>
      </c>
      <c r="X1605" s="17" t="n"/>
      <c r="Y1605" s="17" t="n"/>
      <c r="Z1605" s="17" t="n"/>
      <c r="AA1605" s="17" t="n"/>
      <c r="AB1605" s="17" t="n"/>
      <c r="AC1605" s="24">
        <f>IF($G1605="","",IF($H1605="※编码不在物料档案里","※物料编码不在档案里",IF(N($K1605)&lt;=0,"※入库数量要大于 0",IF(AND($C1605&lt;&gt;"",$C1605&lt;=结账锁),"※日期早于已结账截止日，不能再录",IF(AND($L1605=0,$X1605="正常"),"※没填单价，价格状态请选「待补价」",IF(AND($S1605&gt;0,$R1605&gt;0),"△本批有 "&amp;$S1605&amp;" 行没单价，整批运费先挂账没摊",IF(AND($B1605&lt;&gt;"",COUNTIF($B$4:$B$2503,$B1605)&gt;1),"※入库单号重复","")))))))</f>
        <v/>
      </c>
    </row>
    <row r="1606">
      <c r="A1606" s="24">
        <f>IF($G1606="","",COUNTA($G$4:$G1606))</f>
        <v/>
      </c>
      <c r="B1606" s="17" t="n"/>
      <c r="C1606" s="30" t="n"/>
      <c r="D1606" s="17" t="n"/>
      <c r="E1606" s="17" t="n"/>
      <c r="F1606" s="17" t="n"/>
      <c r="G1606" s="17" t="n"/>
      <c r="H1606" s="24">
        <f>IF($G1606="","",IFERROR(VLOOKUP($G1606,物料档案!$A$4:$P$1203,3,0),"※编码不在物料档案里"))</f>
        <v/>
      </c>
      <c r="I1606" s="24">
        <f>IF($G1606="","",IFERROR(VLOOKUP($G1606,物料档案!$A$4:$P$1203,4,0),"※编码不在物料档案里"))</f>
        <v/>
      </c>
      <c r="J1606" s="24">
        <f>IF($G1606="","",IFERROR(VLOOKUP($G1606,物料档案!$A$4:$P$1203,5,0),"※编码不在物料档案里"))</f>
        <v/>
      </c>
      <c r="K1606" s="23" t="n"/>
      <c r="L1606" s="31" t="n"/>
      <c r="M1606" s="24">
        <f>IF($G1606="","",IF($D1606="A国内","CNY","TZS"))</f>
        <v/>
      </c>
      <c r="N1606" s="28">
        <f>IF($G1606="","",IF($D1606="A国内",汇率,1))</f>
        <v/>
      </c>
      <c r="O1606" s="25">
        <f>IF($G1606="","",ROUND(N($K1606)*N($L1606),2))</f>
        <v/>
      </c>
      <c r="P1606" s="26">
        <f>IF($G1606="","",ROUND($O1606*$N1606,0))</f>
        <v/>
      </c>
      <c r="Q1606" s="26">
        <f>IF($G1606="","",SUMIFS($P$4:$P$2503,$E$4:$E$2503,$E1606,$Z$4:$Z$2503,"正常"))</f>
        <v/>
      </c>
      <c r="R1606" s="26">
        <f>IF($G1606="","",SUMIFS(费用台账!$I$4:$I$503,费用台账!$C$4:$C$503,$E1606,费用台账!$J$4:$J$503,"是",费用台账!$K$4:$K$503,"正常"))</f>
        <v/>
      </c>
      <c r="S1606" s="28">
        <f>IF($G1606="","",COUNTIFS($E$4:$E$2503,$E1606,$Z$4:$Z$2503,"正常",$Y$4:$Y$2503,"待补价"))</f>
        <v/>
      </c>
      <c r="T1606" s="26">
        <f>IF($G1606="","",SUMIFS($P$4:$P$2503,$E$4:$E$2503,$E1606,$Z$4:$Z$2503,"正常",$A$4:$A$2503,"&lt;="&amp;$A1606))</f>
        <v/>
      </c>
      <c r="U1606" s="26">
        <f>IF($G1606="","",IF(OR($S1606&gt;0,$Q1606=0,$R1606=0,$Z1606&lt;&gt;"正常"),0,ROUND($T1606/$Q1606*$R1606,0)-ROUND(($T1606-$P1606)/$Q1606*$R1606,0)))</f>
        <v/>
      </c>
      <c r="V1606" s="26">
        <f>IF($G1606="","",ROUND($P1606+$U1606,0))</f>
        <v/>
      </c>
      <c r="W1606" s="26">
        <f>IF($G1606="","",IF(N($K1606)=0,0,ROUND($V1606/$K1606,2)))</f>
        <v/>
      </c>
      <c r="X1606" s="17" t="n"/>
      <c r="Y1606" s="17" t="n"/>
      <c r="Z1606" s="17" t="n"/>
      <c r="AA1606" s="17" t="n"/>
      <c r="AB1606" s="17" t="n"/>
      <c r="AC1606" s="24">
        <f>IF($G1606="","",IF($H1606="※编码不在物料档案里","※物料编码不在档案里",IF(N($K1606)&lt;=0,"※入库数量要大于 0",IF(AND($C1606&lt;&gt;"",$C1606&lt;=结账锁),"※日期早于已结账截止日，不能再录",IF(AND($L1606=0,$X1606="正常"),"※没填单价，价格状态请选「待补价」",IF(AND($S1606&gt;0,$R1606&gt;0),"△本批有 "&amp;$S1606&amp;" 行没单价，整批运费先挂账没摊",IF(AND($B1606&lt;&gt;"",COUNTIF($B$4:$B$2503,$B1606)&gt;1),"※入库单号重复","")))))))</f>
        <v/>
      </c>
    </row>
    <row r="1607">
      <c r="A1607" s="24">
        <f>IF($G1607="","",COUNTA($G$4:$G1607))</f>
        <v/>
      </c>
      <c r="B1607" s="17" t="n"/>
      <c r="C1607" s="30" t="n"/>
      <c r="D1607" s="17" t="n"/>
      <c r="E1607" s="17" t="n"/>
      <c r="F1607" s="17" t="n"/>
      <c r="G1607" s="17" t="n"/>
      <c r="H1607" s="24">
        <f>IF($G1607="","",IFERROR(VLOOKUP($G1607,物料档案!$A$4:$P$1203,3,0),"※编码不在物料档案里"))</f>
        <v/>
      </c>
      <c r="I1607" s="24">
        <f>IF($G1607="","",IFERROR(VLOOKUP($G1607,物料档案!$A$4:$P$1203,4,0),"※编码不在物料档案里"))</f>
        <v/>
      </c>
      <c r="J1607" s="24">
        <f>IF($G1607="","",IFERROR(VLOOKUP($G1607,物料档案!$A$4:$P$1203,5,0),"※编码不在物料档案里"))</f>
        <v/>
      </c>
      <c r="K1607" s="23" t="n"/>
      <c r="L1607" s="31" t="n"/>
      <c r="M1607" s="24">
        <f>IF($G1607="","",IF($D1607="A国内","CNY","TZS"))</f>
        <v/>
      </c>
      <c r="N1607" s="28">
        <f>IF($G1607="","",IF($D1607="A国内",汇率,1))</f>
        <v/>
      </c>
      <c r="O1607" s="25">
        <f>IF($G1607="","",ROUND(N($K1607)*N($L1607),2))</f>
        <v/>
      </c>
      <c r="P1607" s="26">
        <f>IF($G1607="","",ROUND($O1607*$N1607,0))</f>
        <v/>
      </c>
      <c r="Q1607" s="26">
        <f>IF($G1607="","",SUMIFS($P$4:$P$2503,$E$4:$E$2503,$E1607,$Z$4:$Z$2503,"正常"))</f>
        <v/>
      </c>
      <c r="R1607" s="26">
        <f>IF($G1607="","",SUMIFS(费用台账!$I$4:$I$503,费用台账!$C$4:$C$503,$E1607,费用台账!$J$4:$J$503,"是",费用台账!$K$4:$K$503,"正常"))</f>
        <v/>
      </c>
      <c r="S1607" s="28">
        <f>IF($G1607="","",COUNTIFS($E$4:$E$2503,$E1607,$Z$4:$Z$2503,"正常",$Y$4:$Y$2503,"待补价"))</f>
        <v/>
      </c>
      <c r="T1607" s="26">
        <f>IF($G1607="","",SUMIFS($P$4:$P$2503,$E$4:$E$2503,$E1607,$Z$4:$Z$2503,"正常",$A$4:$A$2503,"&lt;="&amp;$A1607))</f>
        <v/>
      </c>
      <c r="U1607" s="26">
        <f>IF($G1607="","",IF(OR($S1607&gt;0,$Q1607=0,$R1607=0,$Z1607&lt;&gt;"正常"),0,ROUND($T1607/$Q1607*$R1607,0)-ROUND(($T1607-$P1607)/$Q1607*$R1607,0)))</f>
        <v/>
      </c>
      <c r="V1607" s="26">
        <f>IF($G1607="","",ROUND($P1607+$U1607,0))</f>
        <v/>
      </c>
      <c r="W1607" s="26">
        <f>IF($G1607="","",IF(N($K1607)=0,0,ROUND($V1607/$K1607,2)))</f>
        <v/>
      </c>
      <c r="X1607" s="17" t="n"/>
      <c r="Y1607" s="17" t="n"/>
      <c r="Z1607" s="17" t="n"/>
      <c r="AA1607" s="17" t="n"/>
      <c r="AB1607" s="17" t="n"/>
      <c r="AC1607" s="24">
        <f>IF($G1607="","",IF($H1607="※编码不在物料档案里","※物料编码不在档案里",IF(N($K1607)&lt;=0,"※入库数量要大于 0",IF(AND($C1607&lt;&gt;"",$C1607&lt;=结账锁),"※日期早于已结账截止日，不能再录",IF(AND($L1607=0,$X1607="正常"),"※没填单价，价格状态请选「待补价」",IF(AND($S1607&gt;0,$R1607&gt;0),"△本批有 "&amp;$S1607&amp;" 行没单价，整批运费先挂账没摊",IF(AND($B1607&lt;&gt;"",COUNTIF($B$4:$B$2503,$B1607)&gt;1),"※入库单号重复","")))))))</f>
        <v/>
      </c>
    </row>
    <row r="1608">
      <c r="A1608" s="24">
        <f>IF($G1608="","",COUNTA($G$4:$G1608))</f>
        <v/>
      </c>
      <c r="B1608" s="17" t="n"/>
      <c r="C1608" s="30" t="n"/>
      <c r="D1608" s="17" t="n"/>
      <c r="E1608" s="17" t="n"/>
      <c r="F1608" s="17" t="n"/>
      <c r="G1608" s="17" t="n"/>
      <c r="H1608" s="24">
        <f>IF($G1608="","",IFERROR(VLOOKUP($G1608,物料档案!$A$4:$P$1203,3,0),"※编码不在物料档案里"))</f>
        <v/>
      </c>
      <c r="I1608" s="24">
        <f>IF($G1608="","",IFERROR(VLOOKUP($G1608,物料档案!$A$4:$P$1203,4,0),"※编码不在物料档案里"))</f>
        <v/>
      </c>
      <c r="J1608" s="24">
        <f>IF($G1608="","",IFERROR(VLOOKUP($G1608,物料档案!$A$4:$P$1203,5,0),"※编码不在物料档案里"))</f>
        <v/>
      </c>
      <c r="K1608" s="23" t="n"/>
      <c r="L1608" s="31" t="n"/>
      <c r="M1608" s="24">
        <f>IF($G1608="","",IF($D1608="A国内","CNY","TZS"))</f>
        <v/>
      </c>
      <c r="N1608" s="28">
        <f>IF($G1608="","",IF($D1608="A国内",汇率,1))</f>
        <v/>
      </c>
      <c r="O1608" s="25">
        <f>IF($G1608="","",ROUND(N($K1608)*N($L1608),2))</f>
        <v/>
      </c>
      <c r="P1608" s="26">
        <f>IF($G1608="","",ROUND($O1608*$N1608,0))</f>
        <v/>
      </c>
      <c r="Q1608" s="26">
        <f>IF($G1608="","",SUMIFS($P$4:$P$2503,$E$4:$E$2503,$E1608,$Z$4:$Z$2503,"正常"))</f>
        <v/>
      </c>
      <c r="R1608" s="26">
        <f>IF($G1608="","",SUMIFS(费用台账!$I$4:$I$503,费用台账!$C$4:$C$503,$E1608,费用台账!$J$4:$J$503,"是",费用台账!$K$4:$K$503,"正常"))</f>
        <v/>
      </c>
      <c r="S1608" s="28">
        <f>IF($G1608="","",COUNTIFS($E$4:$E$2503,$E1608,$Z$4:$Z$2503,"正常",$Y$4:$Y$2503,"待补价"))</f>
        <v/>
      </c>
      <c r="T1608" s="26">
        <f>IF($G1608="","",SUMIFS($P$4:$P$2503,$E$4:$E$2503,$E1608,$Z$4:$Z$2503,"正常",$A$4:$A$2503,"&lt;="&amp;$A1608))</f>
        <v/>
      </c>
      <c r="U1608" s="26">
        <f>IF($G1608="","",IF(OR($S1608&gt;0,$Q1608=0,$R1608=0,$Z1608&lt;&gt;"正常"),0,ROUND($T1608/$Q1608*$R1608,0)-ROUND(($T1608-$P1608)/$Q1608*$R1608,0)))</f>
        <v/>
      </c>
      <c r="V1608" s="26">
        <f>IF($G1608="","",ROUND($P1608+$U1608,0))</f>
        <v/>
      </c>
      <c r="W1608" s="26">
        <f>IF($G1608="","",IF(N($K1608)=0,0,ROUND($V1608/$K1608,2)))</f>
        <v/>
      </c>
      <c r="X1608" s="17" t="n"/>
      <c r="Y1608" s="17" t="n"/>
      <c r="Z1608" s="17" t="n"/>
      <c r="AA1608" s="17" t="n"/>
      <c r="AB1608" s="17" t="n"/>
      <c r="AC1608" s="24">
        <f>IF($G1608="","",IF($H1608="※编码不在物料档案里","※物料编码不在档案里",IF(N($K1608)&lt;=0,"※入库数量要大于 0",IF(AND($C1608&lt;&gt;"",$C1608&lt;=结账锁),"※日期早于已结账截止日，不能再录",IF(AND($L1608=0,$X1608="正常"),"※没填单价，价格状态请选「待补价」",IF(AND($S1608&gt;0,$R1608&gt;0),"△本批有 "&amp;$S1608&amp;" 行没单价，整批运费先挂账没摊",IF(AND($B1608&lt;&gt;"",COUNTIF($B$4:$B$2503,$B1608)&gt;1),"※入库单号重复","")))))))</f>
        <v/>
      </c>
    </row>
    <row r="1609">
      <c r="A1609" s="24">
        <f>IF($G1609="","",COUNTA($G$4:$G1609))</f>
        <v/>
      </c>
      <c r="B1609" s="17" t="n"/>
      <c r="C1609" s="30" t="n"/>
      <c r="D1609" s="17" t="n"/>
      <c r="E1609" s="17" t="n"/>
      <c r="F1609" s="17" t="n"/>
      <c r="G1609" s="17" t="n"/>
      <c r="H1609" s="24">
        <f>IF($G1609="","",IFERROR(VLOOKUP($G1609,物料档案!$A$4:$P$1203,3,0),"※编码不在物料档案里"))</f>
        <v/>
      </c>
      <c r="I1609" s="24">
        <f>IF($G1609="","",IFERROR(VLOOKUP($G1609,物料档案!$A$4:$P$1203,4,0),"※编码不在物料档案里"))</f>
        <v/>
      </c>
      <c r="J1609" s="24">
        <f>IF($G1609="","",IFERROR(VLOOKUP($G1609,物料档案!$A$4:$P$1203,5,0),"※编码不在物料档案里"))</f>
        <v/>
      </c>
      <c r="K1609" s="23" t="n"/>
      <c r="L1609" s="31" t="n"/>
      <c r="M1609" s="24">
        <f>IF($G1609="","",IF($D1609="A国内","CNY","TZS"))</f>
        <v/>
      </c>
      <c r="N1609" s="28">
        <f>IF($G1609="","",IF($D1609="A国内",汇率,1))</f>
        <v/>
      </c>
      <c r="O1609" s="25">
        <f>IF($G1609="","",ROUND(N($K1609)*N($L1609),2))</f>
        <v/>
      </c>
      <c r="P1609" s="26">
        <f>IF($G1609="","",ROUND($O1609*$N1609,0))</f>
        <v/>
      </c>
      <c r="Q1609" s="26">
        <f>IF($G1609="","",SUMIFS($P$4:$P$2503,$E$4:$E$2503,$E1609,$Z$4:$Z$2503,"正常"))</f>
        <v/>
      </c>
      <c r="R1609" s="26">
        <f>IF($G1609="","",SUMIFS(费用台账!$I$4:$I$503,费用台账!$C$4:$C$503,$E1609,费用台账!$J$4:$J$503,"是",费用台账!$K$4:$K$503,"正常"))</f>
        <v/>
      </c>
      <c r="S1609" s="28">
        <f>IF($G1609="","",COUNTIFS($E$4:$E$2503,$E1609,$Z$4:$Z$2503,"正常",$Y$4:$Y$2503,"待补价"))</f>
        <v/>
      </c>
      <c r="T1609" s="26">
        <f>IF($G1609="","",SUMIFS($P$4:$P$2503,$E$4:$E$2503,$E1609,$Z$4:$Z$2503,"正常",$A$4:$A$2503,"&lt;="&amp;$A1609))</f>
        <v/>
      </c>
      <c r="U1609" s="26">
        <f>IF($G1609="","",IF(OR($S1609&gt;0,$Q1609=0,$R1609=0,$Z1609&lt;&gt;"正常"),0,ROUND($T1609/$Q1609*$R1609,0)-ROUND(($T1609-$P1609)/$Q1609*$R1609,0)))</f>
        <v/>
      </c>
      <c r="V1609" s="26">
        <f>IF($G1609="","",ROUND($P1609+$U1609,0))</f>
        <v/>
      </c>
      <c r="W1609" s="26">
        <f>IF($G1609="","",IF(N($K1609)=0,0,ROUND($V1609/$K1609,2)))</f>
        <v/>
      </c>
      <c r="X1609" s="17" t="n"/>
      <c r="Y1609" s="17" t="n"/>
      <c r="Z1609" s="17" t="n"/>
      <c r="AA1609" s="17" t="n"/>
      <c r="AB1609" s="17" t="n"/>
      <c r="AC1609" s="24">
        <f>IF($G1609="","",IF($H1609="※编码不在物料档案里","※物料编码不在档案里",IF(N($K1609)&lt;=0,"※入库数量要大于 0",IF(AND($C1609&lt;&gt;"",$C1609&lt;=结账锁),"※日期早于已结账截止日，不能再录",IF(AND($L1609=0,$X1609="正常"),"※没填单价，价格状态请选「待补价」",IF(AND($S1609&gt;0,$R1609&gt;0),"△本批有 "&amp;$S1609&amp;" 行没单价，整批运费先挂账没摊",IF(AND($B1609&lt;&gt;"",COUNTIF($B$4:$B$2503,$B1609)&gt;1),"※入库单号重复","")))))))</f>
        <v/>
      </c>
    </row>
    <row r="1610">
      <c r="A1610" s="24">
        <f>IF($G1610="","",COUNTA($G$4:$G1610))</f>
        <v/>
      </c>
      <c r="B1610" s="17" t="n"/>
      <c r="C1610" s="30" t="n"/>
      <c r="D1610" s="17" t="n"/>
      <c r="E1610" s="17" t="n"/>
      <c r="F1610" s="17" t="n"/>
      <c r="G1610" s="17" t="n"/>
      <c r="H1610" s="24">
        <f>IF($G1610="","",IFERROR(VLOOKUP($G1610,物料档案!$A$4:$P$1203,3,0),"※编码不在物料档案里"))</f>
        <v/>
      </c>
      <c r="I1610" s="24">
        <f>IF($G1610="","",IFERROR(VLOOKUP($G1610,物料档案!$A$4:$P$1203,4,0),"※编码不在物料档案里"))</f>
        <v/>
      </c>
      <c r="J1610" s="24">
        <f>IF($G1610="","",IFERROR(VLOOKUP($G1610,物料档案!$A$4:$P$1203,5,0),"※编码不在物料档案里"))</f>
        <v/>
      </c>
      <c r="K1610" s="23" t="n"/>
      <c r="L1610" s="31" t="n"/>
      <c r="M1610" s="24">
        <f>IF($G1610="","",IF($D1610="A国内","CNY","TZS"))</f>
        <v/>
      </c>
      <c r="N1610" s="28">
        <f>IF($G1610="","",IF($D1610="A国内",汇率,1))</f>
        <v/>
      </c>
      <c r="O1610" s="25">
        <f>IF($G1610="","",ROUND(N($K1610)*N($L1610),2))</f>
        <v/>
      </c>
      <c r="P1610" s="26">
        <f>IF($G1610="","",ROUND($O1610*$N1610,0))</f>
        <v/>
      </c>
      <c r="Q1610" s="26">
        <f>IF($G1610="","",SUMIFS($P$4:$P$2503,$E$4:$E$2503,$E1610,$Z$4:$Z$2503,"正常"))</f>
        <v/>
      </c>
      <c r="R1610" s="26">
        <f>IF($G1610="","",SUMIFS(费用台账!$I$4:$I$503,费用台账!$C$4:$C$503,$E1610,费用台账!$J$4:$J$503,"是",费用台账!$K$4:$K$503,"正常"))</f>
        <v/>
      </c>
      <c r="S1610" s="28">
        <f>IF($G1610="","",COUNTIFS($E$4:$E$2503,$E1610,$Z$4:$Z$2503,"正常",$Y$4:$Y$2503,"待补价"))</f>
        <v/>
      </c>
      <c r="T1610" s="26">
        <f>IF($G1610="","",SUMIFS($P$4:$P$2503,$E$4:$E$2503,$E1610,$Z$4:$Z$2503,"正常",$A$4:$A$2503,"&lt;="&amp;$A1610))</f>
        <v/>
      </c>
      <c r="U1610" s="26">
        <f>IF($G1610="","",IF(OR($S1610&gt;0,$Q1610=0,$R1610=0,$Z1610&lt;&gt;"正常"),0,ROUND($T1610/$Q1610*$R1610,0)-ROUND(($T1610-$P1610)/$Q1610*$R1610,0)))</f>
        <v/>
      </c>
      <c r="V1610" s="26">
        <f>IF($G1610="","",ROUND($P1610+$U1610,0))</f>
        <v/>
      </c>
      <c r="W1610" s="26">
        <f>IF($G1610="","",IF(N($K1610)=0,0,ROUND($V1610/$K1610,2)))</f>
        <v/>
      </c>
      <c r="X1610" s="17" t="n"/>
      <c r="Y1610" s="17" t="n"/>
      <c r="Z1610" s="17" t="n"/>
      <c r="AA1610" s="17" t="n"/>
      <c r="AB1610" s="17" t="n"/>
      <c r="AC1610" s="24">
        <f>IF($G1610="","",IF($H1610="※编码不在物料档案里","※物料编码不在档案里",IF(N($K1610)&lt;=0,"※入库数量要大于 0",IF(AND($C1610&lt;&gt;"",$C1610&lt;=结账锁),"※日期早于已结账截止日，不能再录",IF(AND($L1610=0,$X1610="正常"),"※没填单价，价格状态请选「待补价」",IF(AND($S1610&gt;0,$R1610&gt;0),"△本批有 "&amp;$S1610&amp;" 行没单价，整批运费先挂账没摊",IF(AND($B1610&lt;&gt;"",COUNTIF($B$4:$B$2503,$B1610)&gt;1),"※入库单号重复","")))))))</f>
        <v/>
      </c>
    </row>
    <row r="1611">
      <c r="A1611" s="24">
        <f>IF($G1611="","",COUNTA($G$4:$G1611))</f>
        <v/>
      </c>
      <c r="B1611" s="17" t="n"/>
      <c r="C1611" s="30" t="n"/>
      <c r="D1611" s="17" t="n"/>
      <c r="E1611" s="17" t="n"/>
      <c r="F1611" s="17" t="n"/>
      <c r="G1611" s="17" t="n"/>
      <c r="H1611" s="24">
        <f>IF($G1611="","",IFERROR(VLOOKUP($G1611,物料档案!$A$4:$P$1203,3,0),"※编码不在物料档案里"))</f>
        <v/>
      </c>
      <c r="I1611" s="24">
        <f>IF($G1611="","",IFERROR(VLOOKUP($G1611,物料档案!$A$4:$P$1203,4,0),"※编码不在物料档案里"))</f>
        <v/>
      </c>
      <c r="J1611" s="24">
        <f>IF($G1611="","",IFERROR(VLOOKUP($G1611,物料档案!$A$4:$P$1203,5,0),"※编码不在物料档案里"))</f>
        <v/>
      </c>
      <c r="K1611" s="23" t="n"/>
      <c r="L1611" s="31" t="n"/>
      <c r="M1611" s="24">
        <f>IF($G1611="","",IF($D1611="A国内","CNY","TZS"))</f>
        <v/>
      </c>
      <c r="N1611" s="28">
        <f>IF($G1611="","",IF($D1611="A国内",汇率,1))</f>
        <v/>
      </c>
      <c r="O1611" s="25">
        <f>IF($G1611="","",ROUND(N($K1611)*N($L1611),2))</f>
        <v/>
      </c>
      <c r="P1611" s="26">
        <f>IF($G1611="","",ROUND($O1611*$N1611,0))</f>
        <v/>
      </c>
      <c r="Q1611" s="26">
        <f>IF($G1611="","",SUMIFS($P$4:$P$2503,$E$4:$E$2503,$E1611,$Z$4:$Z$2503,"正常"))</f>
        <v/>
      </c>
      <c r="R1611" s="26">
        <f>IF($G1611="","",SUMIFS(费用台账!$I$4:$I$503,费用台账!$C$4:$C$503,$E1611,费用台账!$J$4:$J$503,"是",费用台账!$K$4:$K$503,"正常"))</f>
        <v/>
      </c>
      <c r="S1611" s="28">
        <f>IF($G1611="","",COUNTIFS($E$4:$E$2503,$E1611,$Z$4:$Z$2503,"正常",$Y$4:$Y$2503,"待补价"))</f>
        <v/>
      </c>
      <c r="T1611" s="26">
        <f>IF($G1611="","",SUMIFS($P$4:$P$2503,$E$4:$E$2503,$E1611,$Z$4:$Z$2503,"正常",$A$4:$A$2503,"&lt;="&amp;$A1611))</f>
        <v/>
      </c>
      <c r="U1611" s="26">
        <f>IF($G1611="","",IF(OR($S1611&gt;0,$Q1611=0,$R1611=0,$Z1611&lt;&gt;"正常"),0,ROUND($T1611/$Q1611*$R1611,0)-ROUND(($T1611-$P1611)/$Q1611*$R1611,0)))</f>
        <v/>
      </c>
      <c r="V1611" s="26">
        <f>IF($G1611="","",ROUND($P1611+$U1611,0))</f>
        <v/>
      </c>
      <c r="W1611" s="26">
        <f>IF($G1611="","",IF(N($K1611)=0,0,ROUND($V1611/$K1611,2)))</f>
        <v/>
      </c>
      <c r="X1611" s="17" t="n"/>
      <c r="Y1611" s="17" t="n"/>
      <c r="Z1611" s="17" t="n"/>
      <c r="AA1611" s="17" t="n"/>
      <c r="AB1611" s="17" t="n"/>
      <c r="AC1611" s="24">
        <f>IF($G1611="","",IF($H1611="※编码不在物料档案里","※物料编码不在档案里",IF(N($K1611)&lt;=0,"※入库数量要大于 0",IF(AND($C1611&lt;&gt;"",$C1611&lt;=结账锁),"※日期早于已结账截止日，不能再录",IF(AND($L1611=0,$X1611="正常"),"※没填单价，价格状态请选「待补价」",IF(AND($S1611&gt;0,$R1611&gt;0),"△本批有 "&amp;$S1611&amp;" 行没单价，整批运费先挂账没摊",IF(AND($B1611&lt;&gt;"",COUNTIF($B$4:$B$2503,$B1611)&gt;1),"※入库单号重复","")))))))</f>
        <v/>
      </c>
    </row>
    <row r="1612">
      <c r="A1612" s="24">
        <f>IF($G1612="","",COUNTA($G$4:$G1612))</f>
        <v/>
      </c>
      <c r="B1612" s="17" t="n"/>
      <c r="C1612" s="30" t="n"/>
      <c r="D1612" s="17" t="n"/>
      <c r="E1612" s="17" t="n"/>
      <c r="F1612" s="17" t="n"/>
      <c r="G1612" s="17" t="n"/>
      <c r="H1612" s="24">
        <f>IF($G1612="","",IFERROR(VLOOKUP($G1612,物料档案!$A$4:$P$1203,3,0),"※编码不在物料档案里"))</f>
        <v/>
      </c>
      <c r="I1612" s="24">
        <f>IF($G1612="","",IFERROR(VLOOKUP($G1612,物料档案!$A$4:$P$1203,4,0),"※编码不在物料档案里"))</f>
        <v/>
      </c>
      <c r="J1612" s="24">
        <f>IF($G1612="","",IFERROR(VLOOKUP($G1612,物料档案!$A$4:$P$1203,5,0),"※编码不在物料档案里"))</f>
        <v/>
      </c>
      <c r="K1612" s="23" t="n"/>
      <c r="L1612" s="31" t="n"/>
      <c r="M1612" s="24">
        <f>IF($G1612="","",IF($D1612="A国内","CNY","TZS"))</f>
        <v/>
      </c>
      <c r="N1612" s="28">
        <f>IF($G1612="","",IF($D1612="A国内",汇率,1))</f>
        <v/>
      </c>
      <c r="O1612" s="25">
        <f>IF($G1612="","",ROUND(N($K1612)*N($L1612),2))</f>
        <v/>
      </c>
      <c r="P1612" s="26">
        <f>IF($G1612="","",ROUND($O1612*$N1612,0))</f>
        <v/>
      </c>
      <c r="Q1612" s="26">
        <f>IF($G1612="","",SUMIFS($P$4:$P$2503,$E$4:$E$2503,$E1612,$Z$4:$Z$2503,"正常"))</f>
        <v/>
      </c>
      <c r="R1612" s="26">
        <f>IF($G1612="","",SUMIFS(费用台账!$I$4:$I$503,费用台账!$C$4:$C$503,$E1612,费用台账!$J$4:$J$503,"是",费用台账!$K$4:$K$503,"正常"))</f>
        <v/>
      </c>
      <c r="S1612" s="28">
        <f>IF($G1612="","",COUNTIFS($E$4:$E$2503,$E1612,$Z$4:$Z$2503,"正常",$Y$4:$Y$2503,"待补价"))</f>
        <v/>
      </c>
      <c r="T1612" s="26">
        <f>IF($G1612="","",SUMIFS($P$4:$P$2503,$E$4:$E$2503,$E1612,$Z$4:$Z$2503,"正常",$A$4:$A$2503,"&lt;="&amp;$A1612))</f>
        <v/>
      </c>
      <c r="U1612" s="26">
        <f>IF($G1612="","",IF(OR($S1612&gt;0,$Q1612=0,$R1612=0,$Z1612&lt;&gt;"正常"),0,ROUND($T1612/$Q1612*$R1612,0)-ROUND(($T1612-$P1612)/$Q1612*$R1612,0)))</f>
        <v/>
      </c>
      <c r="V1612" s="26">
        <f>IF($G1612="","",ROUND($P1612+$U1612,0))</f>
        <v/>
      </c>
      <c r="W1612" s="26">
        <f>IF($G1612="","",IF(N($K1612)=0,0,ROUND($V1612/$K1612,2)))</f>
        <v/>
      </c>
      <c r="X1612" s="17" t="n"/>
      <c r="Y1612" s="17" t="n"/>
      <c r="Z1612" s="17" t="n"/>
      <c r="AA1612" s="17" t="n"/>
      <c r="AB1612" s="17" t="n"/>
      <c r="AC1612" s="24">
        <f>IF($G1612="","",IF($H1612="※编码不在物料档案里","※物料编码不在档案里",IF(N($K1612)&lt;=0,"※入库数量要大于 0",IF(AND($C1612&lt;&gt;"",$C1612&lt;=结账锁),"※日期早于已结账截止日，不能再录",IF(AND($L1612=0,$X1612="正常"),"※没填单价，价格状态请选「待补价」",IF(AND($S1612&gt;0,$R1612&gt;0),"△本批有 "&amp;$S1612&amp;" 行没单价，整批运费先挂账没摊",IF(AND($B1612&lt;&gt;"",COUNTIF($B$4:$B$2503,$B1612)&gt;1),"※入库单号重复","")))))))</f>
        <v/>
      </c>
    </row>
    <row r="1613">
      <c r="A1613" s="24">
        <f>IF($G1613="","",COUNTA($G$4:$G1613))</f>
        <v/>
      </c>
      <c r="B1613" s="17" t="n"/>
      <c r="C1613" s="30" t="n"/>
      <c r="D1613" s="17" t="n"/>
      <c r="E1613" s="17" t="n"/>
      <c r="F1613" s="17" t="n"/>
      <c r="G1613" s="17" t="n"/>
      <c r="H1613" s="24">
        <f>IF($G1613="","",IFERROR(VLOOKUP($G1613,物料档案!$A$4:$P$1203,3,0),"※编码不在物料档案里"))</f>
        <v/>
      </c>
      <c r="I1613" s="24">
        <f>IF($G1613="","",IFERROR(VLOOKUP($G1613,物料档案!$A$4:$P$1203,4,0),"※编码不在物料档案里"))</f>
        <v/>
      </c>
      <c r="J1613" s="24">
        <f>IF($G1613="","",IFERROR(VLOOKUP($G1613,物料档案!$A$4:$P$1203,5,0),"※编码不在物料档案里"))</f>
        <v/>
      </c>
      <c r="K1613" s="23" t="n"/>
      <c r="L1613" s="31" t="n"/>
      <c r="M1613" s="24">
        <f>IF($G1613="","",IF($D1613="A国内","CNY","TZS"))</f>
        <v/>
      </c>
      <c r="N1613" s="28">
        <f>IF($G1613="","",IF($D1613="A国内",汇率,1))</f>
        <v/>
      </c>
      <c r="O1613" s="25">
        <f>IF($G1613="","",ROUND(N($K1613)*N($L1613),2))</f>
        <v/>
      </c>
      <c r="P1613" s="26">
        <f>IF($G1613="","",ROUND($O1613*$N1613,0))</f>
        <v/>
      </c>
      <c r="Q1613" s="26">
        <f>IF($G1613="","",SUMIFS($P$4:$P$2503,$E$4:$E$2503,$E1613,$Z$4:$Z$2503,"正常"))</f>
        <v/>
      </c>
      <c r="R1613" s="26">
        <f>IF($G1613="","",SUMIFS(费用台账!$I$4:$I$503,费用台账!$C$4:$C$503,$E1613,费用台账!$J$4:$J$503,"是",费用台账!$K$4:$K$503,"正常"))</f>
        <v/>
      </c>
      <c r="S1613" s="28">
        <f>IF($G1613="","",COUNTIFS($E$4:$E$2503,$E1613,$Z$4:$Z$2503,"正常",$Y$4:$Y$2503,"待补价"))</f>
        <v/>
      </c>
      <c r="T1613" s="26">
        <f>IF($G1613="","",SUMIFS($P$4:$P$2503,$E$4:$E$2503,$E1613,$Z$4:$Z$2503,"正常",$A$4:$A$2503,"&lt;="&amp;$A1613))</f>
        <v/>
      </c>
      <c r="U1613" s="26">
        <f>IF($G1613="","",IF(OR($S1613&gt;0,$Q1613=0,$R1613=0,$Z1613&lt;&gt;"正常"),0,ROUND($T1613/$Q1613*$R1613,0)-ROUND(($T1613-$P1613)/$Q1613*$R1613,0)))</f>
        <v/>
      </c>
      <c r="V1613" s="26">
        <f>IF($G1613="","",ROUND($P1613+$U1613,0))</f>
        <v/>
      </c>
      <c r="W1613" s="26">
        <f>IF($G1613="","",IF(N($K1613)=0,0,ROUND($V1613/$K1613,2)))</f>
        <v/>
      </c>
      <c r="X1613" s="17" t="n"/>
      <c r="Y1613" s="17" t="n"/>
      <c r="Z1613" s="17" t="n"/>
      <c r="AA1613" s="17" t="n"/>
      <c r="AB1613" s="17" t="n"/>
      <c r="AC1613" s="24">
        <f>IF($G1613="","",IF($H1613="※编码不在物料档案里","※物料编码不在档案里",IF(N($K1613)&lt;=0,"※入库数量要大于 0",IF(AND($C1613&lt;&gt;"",$C1613&lt;=结账锁),"※日期早于已结账截止日，不能再录",IF(AND($L1613=0,$X1613="正常"),"※没填单价，价格状态请选「待补价」",IF(AND($S1613&gt;0,$R1613&gt;0),"△本批有 "&amp;$S1613&amp;" 行没单价，整批运费先挂账没摊",IF(AND($B1613&lt;&gt;"",COUNTIF($B$4:$B$2503,$B1613)&gt;1),"※入库单号重复","")))))))</f>
        <v/>
      </c>
    </row>
    <row r="1614">
      <c r="A1614" s="24">
        <f>IF($G1614="","",COUNTA($G$4:$G1614))</f>
        <v/>
      </c>
      <c r="B1614" s="17" t="n"/>
      <c r="C1614" s="30" t="n"/>
      <c r="D1614" s="17" t="n"/>
      <c r="E1614" s="17" t="n"/>
      <c r="F1614" s="17" t="n"/>
      <c r="G1614" s="17" t="n"/>
      <c r="H1614" s="24">
        <f>IF($G1614="","",IFERROR(VLOOKUP($G1614,物料档案!$A$4:$P$1203,3,0),"※编码不在物料档案里"))</f>
        <v/>
      </c>
      <c r="I1614" s="24">
        <f>IF($G1614="","",IFERROR(VLOOKUP($G1614,物料档案!$A$4:$P$1203,4,0),"※编码不在物料档案里"))</f>
        <v/>
      </c>
      <c r="J1614" s="24">
        <f>IF($G1614="","",IFERROR(VLOOKUP($G1614,物料档案!$A$4:$P$1203,5,0),"※编码不在物料档案里"))</f>
        <v/>
      </c>
      <c r="K1614" s="23" t="n"/>
      <c r="L1614" s="31" t="n"/>
      <c r="M1614" s="24">
        <f>IF($G1614="","",IF($D1614="A国内","CNY","TZS"))</f>
        <v/>
      </c>
      <c r="N1614" s="28">
        <f>IF($G1614="","",IF($D1614="A国内",汇率,1))</f>
        <v/>
      </c>
      <c r="O1614" s="25">
        <f>IF($G1614="","",ROUND(N($K1614)*N($L1614),2))</f>
        <v/>
      </c>
      <c r="P1614" s="26">
        <f>IF($G1614="","",ROUND($O1614*$N1614,0))</f>
        <v/>
      </c>
      <c r="Q1614" s="26">
        <f>IF($G1614="","",SUMIFS($P$4:$P$2503,$E$4:$E$2503,$E1614,$Z$4:$Z$2503,"正常"))</f>
        <v/>
      </c>
      <c r="R1614" s="26">
        <f>IF($G1614="","",SUMIFS(费用台账!$I$4:$I$503,费用台账!$C$4:$C$503,$E1614,费用台账!$J$4:$J$503,"是",费用台账!$K$4:$K$503,"正常"))</f>
        <v/>
      </c>
      <c r="S1614" s="28">
        <f>IF($G1614="","",COUNTIFS($E$4:$E$2503,$E1614,$Z$4:$Z$2503,"正常",$Y$4:$Y$2503,"待补价"))</f>
        <v/>
      </c>
      <c r="T1614" s="26">
        <f>IF($G1614="","",SUMIFS($P$4:$P$2503,$E$4:$E$2503,$E1614,$Z$4:$Z$2503,"正常",$A$4:$A$2503,"&lt;="&amp;$A1614))</f>
        <v/>
      </c>
      <c r="U1614" s="26">
        <f>IF($G1614="","",IF(OR($S1614&gt;0,$Q1614=0,$R1614=0,$Z1614&lt;&gt;"正常"),0,ROUND($T1614/$Q1614*$R1614,0)-ROUND(($T1614-$P1614)/$Q1614*$R1614,0)))</f>
        <v/>
      </c>
      <c r="V1614" s="26">
        <f>IF($G1614="","",ROUND($P1614+$U1614,0))</f>
        <v/>
      </c>
      <c r="W1614" s="26">
        <f>IF($G1614="","",IF(N($K1614)=0,0,ROUND($V1614/$K1614,2)))</f>
        <v/>
      </c>
      <c r="X1614" s="17" t="n"/>
      <c r="Y1614" s="17" t="n"/>
      <c r="Z1614" s="17" t="n"/>
      <c r="AA1614" s="17" t="n"/>
      <c r="AB1614" s="17" t="n"/>
      <c r="AC1614" s="24">
        <f>IF($G1614="","",IF($H1614="※编码不在物料档案里","※物料编码不在档案里",IF(N($K1614)&lt;=0,"※入库数量要大于 0",IF(AND($C1614&lt;&gt;"",$C1614&lt;=结账锁),"※日期早于已结账截止日，不能再录",IF(AND($L1614=0,$X1614="正常"),"※没填单价，价格状态请选「待补价」",IF(AND($S1614&gt;0,$R1614&gt;0),"△本批有 "&amp;$S1614&amp;" 行没单价，整批运费先挂账没摊",IF(AND($B1614&lt;&gt;"",COUNTIF($B$4:$B$2503,$B1614)&gt;1),"※入库单号重复","")))))))</f>
        <v/>
      </c>
    </row>
    <row r="1615">
      <c r="A1615" s="24">
        <f>IF($G1615="","",COUNTA($G$4:$G1615))</f>
        <v/>
      </c>
      <c r="B1615" s="17" t="n"/>
      <c r="C1615" s="30" t="n"/>
      <c r="D1615" s="17" t="n"/>
      <c r="E1615" s="17" t="n"/>
      <c r="F1615" s="17" t="n"/>
      <c r="G1615" s="17" t="n"/>
      <c r="H1615" s="24">
        <f>IF($G1615="","",IFERROR(VLOOKUP($G1615,物料档案!$A$4:$P$1203,3,0),"※编码不在物料档案里"))</f>
        <v/>
      </c>
      <c r="I1615" s="24">
        <f>IF($G1615="","",IFERROR(VLOOKUP($G1615,物料档案!$A$4:$P$1203,4,0),"※编码不在物料档案里"))</f>
        <v/>
      </c>
      <c r="J1615" s="24">
        <f>IF($G1615="","",IFERROR(VLOOKUP($G1615,物料档案!$A$4:$P$1203,5,0),"※编码不在物料档案里"))</f>
        <v/>
      </c>
      <c r="K1615" s="23" t="n"/>
      <c r="L1615" s="31" t="n"/>
      <c r="M1615" s="24">
        <f>IF($G1615="","",IF($D1615="A国内","CNY","TZS"))</f>
        <v/>
      </c>
      <c r="N1615" s="28">
        <f>IF($G1615="","",IF($D1615="A国内",汇率,1))</f>
        <v/>
      </c>
      <c r="O1615" s="25">
        <f>IF($G1615="","",ROUND(N($K1615)*N($L1615),2))</f>
        <v/>
      </c>
      <c r="P1615" s="26">
        <f>IF($G1615="","",ROUND($O1615*$N1615,0))</f>
        <v/>
      </c>
      <c r="Q1615" s="26">
        <f>IF($G1615="","",SUMIFS($P$4:$P$2503,$E$4:$E$2503,$E1615,$Z$4:$Z$2503,"正常"))</f>
        <v/>
      </c>
      <c r="R1615" s="26">
        <f>IF($G1615="","",SUMIFS(费用台账!$I$4:$I$503,费用台账!$C$4:$C$503,$E1615,费用台账!$J$4:$J$503,"是",费用台账!$K$4:$K$503,"正常"))</f>
        <v/>
      </c>
      <c r="S1615" s="28">
        <f>IF($G1615="","",COUNTIFS($E$4:$E$2503,$E1615,$Z$4:$Z$2503,"正常",$Y$4:$Y$2503,"待补价"))</f>
        <v/>
      </c>
      <c r="T1615" s="26">
        <f>IF($G1615="","",SUMIFS($P$4:$P$2503,$E$4:$E$2503,$E1615,$Z$4:$Z$2503,"正常",$A$4:$A$2503,"&lt;="&amp;$A1615))</f>
        <v/>
      </c>
      <c r="U1615" s="26">
        <f>IF($G1615="","",IF(OR($S1615&gt;0,$Q1615=0,$R1615=0,$Z1615&lt;&gt;"正常"),0,ROUND($T1615/$Q1615*$R1615,0)-ROUND(($T1615-$P1615)/$Q1615*$R1615,0)))</f>
        <v/>
      </c>
      <c r="V1615" s="26">
        <f>IF($G1615="","",ROUND($P1615+$U1615,0))</f>
        <v/>
      </c>
      <c r="W1615" s="26">
        <f>IF($G1615="","",IF(N($K1615)=0,0,ROUND($V1615/$K1615,2)))</f>
        <v/>
      </c>
      <c r="X1615" s="17" t="n"/>
      <c r="Y1615" s="17" t="n"/>
      <c r="Z1615" s="17" t="n"/>
      <c r="AA1615" s="17" t="n"/>
      <c r="AB1615" s="17" t="n"/>
      <c r="AC1615" s="24">
        <f>IF($G1615="","",IF($H1615="※编码不在物料档案里","※物料编码不在档案里",IF(N($K1615)&lt;=0,"※入库数量要大于 0",IF(AND($C1615&lt;&gt;"",$C1615&lt;=结账锁),"※日期早于已结账截止日，不能再录",IF(AND($L1615=0,$X1615="正常"),"※没填单价，价格状态请选「待补价」",IF(AND($S1615&gt;0,$R1615&gt;0),"△本批有 "&amp;$S1615&amp;" 行没单价，整批运费先挂账没摊",IF(AND($B1615&lt;&gt;"",COUNTIF($B$4:$B$2503,$B1615)&gt;1),"※入库单号重复","")))))))</f>
        <v/>
      </c>
    </row>
    <row r="1616">
      <c r="A1616" s="24">
        <f>IF($G1616="","",COUNTA($G$4:$G1616))</f>
        <v/>
      </c>
      <c r="B1616" s="17" t="n"/>
      <c r="C1616" s="30" t="n"/>
      <c r="D1616" s="17" t="n"/>
      <c r="E1616" s="17" t="n"/>
      <c r="F1616" s="17" t="n"/>
      <c r="G1616" s="17" t="n"/>
      <c r="H1616" s="24">
        <f>IF($G1616="","",IFERROR(VLOOKUP($G1616,物料档案!$A$4:$P$1203,3,0),"※编码不在物料档案里"))</f>
        <v/>
      </c>
      <c r="I1616" s="24">
        <f>IF($G1616="","",IFERROR(VLOOKUP($G1616,物料档案!$A$4:$P$1203,4,0),"※编码不在物料档案里"))</f>
        <v/>
      </c>
      <c r="J1616" s="24">
        <f>IF($G1616="","",IFERROR(VLOOKUP($G1616,物料档案!$A$4:$P$1203,5,0),"※编码不在物料档案里"))</f>
        <v/>
      </c>
      <c r="K1616" s="23" t="n"/>
      <c r="L1616" s="31" t="n"/>
      <c r="M1616" s="24">
        <f>IF($G1616="","",IF($D1616="A国内","CNY","TZS"))</f>
        <v/>
      </c>
      <c r="N1616" s="28">
        <f>IF($G1616="","",IF($D1616="A国内",汇率,1))</f>
        <v/>
      </c>
      <c r="O1616" s="25">
        <f>IF($G1616="","",ROUND(N($K1616)*N($L1616),2))</f>
        <v/>
      </c>
      <c r="P1616" s="26">
        <f>IF($G1616="","",ROUND($O1616*$N1616,0))</f>
        <v/>
      </c>
      <c r="Q1616" s="26">
        <f>IF($G1616="","",SUMIFS($P$4:$P$2503,$E$4:$E$2503,$E1616,$Z$4:$Z$2503,"正常"))</f>
        <v/>
      </c>
      <c r="R1616" s="26">
        <f>IF($G1616="","",SUMIFS(费用台账!$I$4:$I$503,费用台账!$C$4:$C$503,$E1616,费用台账!$J$4:$J$503,"是",费用台账!$K$4:$K$503,"正常"))</f>
        <v/>
      </c>
      <c r="S1616" s="28">
        <f>IF($G1616="","",COUNTIFS($E$4:$E$2503,$E1616,$Z$4:$Z$2503,"正常",$Y$4:$Y$2503,"待补价"))</f>
        <v/>
      </c>
      <c r="T1616" s="26">
        <f>IF($G1616="","",SUMIFS($P$4:$P$2503,$E$4:$E$2503,$E1616,$Z$4:$Z$2503,"正常",$A$4:$A$2503,"&lt;="&amp;$A1616))</f>
        <v/>
      </c>
      <c r="U1616" s="26">
        <f>IF($G1616="","",IF(OR($S1616&gt;0,$Q1616=0,$R1616=0,$Z1616&lt;&gt;"正常"),0,ROUND($T1616/$Q1616*$R1616,0)-ROUND(($T1616-$P1616)/$Q1616*$R1616,0)))</f>
        <v/>
      </c>
      <c r="V1616" s="26">
        <f>IF($G1616="","",ROUND($P1616+$U1616,0))</f>
        <v/>
      </c>
      <c r="W1616" s="26">
        <f>IF($G1616="","",IF(N($K1616)=0,0,ROUND($V1616/$K1616,2)))</f>
        <v/>
      </c>
      <c r="X1616" s="17" t="n"/>
      <c r="Y1616" s="17" t="n"/>
      <c r="Z1616" s="17" t="n"/>
      <c r="AA1616" s="17" t="n"/>
      <c r="AB1616" s="17" t="n"/>
      <c r="AC1616" s="24">
        <f>IF($G1616="","",IF($H1616="※编码不在物料档案里","※物料编码不在档案里",IF(N($K1616)&lt;=0,"※入库数量要大于 0",IF(AND($C1616&lt;&gt;"",$C1616&lt;=结账锁),"※日期早于已结账截止日，不能再录",IF(AND($L1616=0,$X1616="正常"),"※没填单价，价格状态请选「待补价」",IF(AND($S1616&gt;0,$R1616&gt;0),"△本批有 "&amp;$S1616&amp;" 行没单价，整批运费先挂账没摊",IF(AND($B1616&lt;&gt;"",COUNTIF($B$4:$B$2503,$B1616)&gt;1),"※入库单号重复","")))))))</f>
        <v/>
      </c>
    </row>
    <row r="1617">
      <c r="A1617" s="24">
        <f>IF($G1617="","",COUNTA($G$4:$G1617))</f>
        <v/>
      </c>
      <c r="B1617" s="17" t="n"/>
      <c r="C1617" s="30" t="n"/>
      <c r="D1617" s="17" t="n"/>
      <c r="E1617" s="17" t="n"/>
      <c r="F1617" s="17" t="n"/>
      <c r="G1617" s="17" t="n"/>
      <c r="H1617" s="24">
        <f>IF($G1617="","",IFERROR(VLOOKUP($G1617,物料档案!$A$4:$P$1203,3,0),"※编码不在物料档案里"))</f>
        <v/>
      </c>
      <c r="I1617" s="24">
        <f>IF($G1617="","",IFERROR(VLOOKUP($G1617,物料档案!$A$4:$P$1203,4,0),"※编码不在物料档案里"))</f>
        <v/>
      </c>
      <c r="J1617" s="24">
        <f>IF($G1617="","",IFERROR(VLOOKUP($G1617,物料档案!$A$4:$P$1203,5,0),"※编码不在物料档案里"))</f>
        <v/>
      </c>
      <c r="K1617" s="23" t="n"/>
      <c r="L1617" s="31" t="n"/>
      <c r="M1617" s="24">
        <f>IF($G1617="","",IF($D1617="A国内","CNY","TZS"))</f>
        <v/>
      </c>
      <c r="N1617" s="28">
        <f>IF($G1617="","",IF($D1617="A国内",汇率,1))</f>
        <v/>
      </c>
      <c r="O1617" s="25">
        <f>IF($G1617="","",ROUND(N($K1617)*N($L1617),2))</f>
        <v/>
      </c>
      <c r="P1617" s="26">
        <f>IF($G1617="","",ROUND($O1617*$N1617,0))</f>
        <v/>
      </c>
      <c r="Q1617" s="26">
        <f>IF($G1617="","",SUMIFS($P$4:$P$2503,$E$4:$E$2503,$E1617,$Z$4:$Z$2503,"正常"))</f>
        <v/>
      </c>
      <c r="R1617" s="26">
        <f>IF($G1617="","",SUMIFS(费用台账!$I$4:$I$503,费用台账!$C$4:$C$503,$E1617,费用台账!$J$4:$J$503,"是",费用台账!$K$4:$K$503,"正常"))</f>
        <v/>
      </c>
      <c r="S1617" s="28">
        <f>IF($G1617="","",COUNTIFS($E$4:$E$2503,$E1617,$Z$4:$Z$2503,"正常",$Y$4:$Y$2503,"待补价"))</f>
        <v/>
      </c>
      <c r="T1617" s="26">
        <f>IF($G1617="","",SUMIFS($P$4:$P$2503,$E$4:$E$2503,$E1617,$Z$4:$Z$2503,"正常",$A$4:$A$2503,"&lt;="&amp;$A1617))</f>
        <v/>
      </c>
      <c r="U1617" s="26">
        <f>IF($G1617="","",IF(OR($S1617&gt;0,$Q1617=0,$R1617=0,$Z1617&lt;&gt;"正常"),0,ROUND($T1617/$Q1617*$R1617,0)-ROUND(($T1617-$P1617)/$Q1617*$R1617,0)))</f>
        <v/>
      </c>
      <c r="V1617" s="26">
        <f>IF($G1617="","",ROUND($P1617+$U1617,0))</f>
        <v/>
      </c>
      <c r="W1617" s="26">
        <f>IF($G1617="","",IF(N($K1617)=0,0,ROUND($V1617/$K1617,2)))</f>
        <v/>
      </c>
      <c r="X1617" s="17" t="n"/>
      <c r="Y1617" s="17" t="n"/>
      <c r="Z1617" s="17" t="n"/>
      <c r="AA1617" s="17" t="n"/>
      <c r="AB1617" s="17" t="n"/>
      <c r="AC1617" s="24">
        <f>IF($G1617="","",IF($H1617="※编码不在物料档案里","※物料编码不在档案里",IF(N($K1617)&lt;=0,"※入库数量要大于 0",IF(AND($C1617&lt;&gt;"",$C1617&lt;=结账锁),"※日期早于已结账截止日，不能再录",IF(AND($L1617=0,$X1617="正常"),"※没填单价，价格状态请选「待补价」",IF(AND($S1617&gt;0,$R1617&gt;0),"△本批有 "&amp;$S1617&amp;" 行没单价，整批运费先挂账没摊",IF(AND($B1617&lt;&gt;"",COUNTIF($B$4:$B$2503,$B1617)&gt;1),"※入库单号重复","")))))))</f>
        <v/>
      </c>
    </row>
    <row r="1618">
      <c r="A1618" s="24">
        <f>IF($G1618="","",COUNTA($G$4:$G1618))</f>
        <v/>
      </c>
      <c r="B1618" s="17" t="n"/>
      <c r="C1618" s="30" t="n"/>
      <c r="D1618" s="17" t="n"/>
      <c r="E1618" s="17" t="n"/>
      <c r="F1618" s="17" t="n"/>
      <c r="G1618" s="17" t="n"/>
      <c r="H1618" s="24">
        <f>IF($G1618="","",IFERROR(VLOOKUP($G1618,物料档案!$A$4:$P$1203,3,0),"※编码不在物料档案里"))</f>
        <v/>
      </c>
      <c r="I1618" s="24">
        <f>IF($G1618="","",IFERROR(VLOOKUP($G1618,物料档案!$A$4:$P$1203,4,0),"※编码不在物料档案里"))</f>
        <v/>
      </c>
      <c r="J1618" s="24">
        <f>IF($G1618="","",IFERROR(VLOOKUP($G1618,物料档案!$A$4:$P$1203,5,0),"※编码不在物料档案里"))</f>
        <v/>
      </c>
      <c r="K1618" s="23" t="n"/>
      <c r="L1618" s="31" t="n"/>
      <c r="M1618" s="24">
        <f>IF($G1618="","",IF($D1618="A国内","CNY","TZS"))</f>
        <v/>
      </c>
      <c r="N1618" s="28">
        <f>IF($G1618="","",IF($D1618="A国内",汇率,1))</f>
        <v/>
      </c>
      <c r="O1618" s="25">
        <f>IF($G1618="","",ROUND(N($K1618)*N($L1618),2))</f>
        <v/>
      </c>
      <c r="P1618" s="26">
        <f>IF($G1618="","",ROUND($O1618*$N1618,0))</f>
        <v/>
      </c>
      <c r="Q1618" s="26">
        <f>IF($G1618="","",SUMIFS($P$4:$P$2503,$E$4:$E$2503,$E1618,$Z$4:$Z$2503,"正常"))</f>
        <v/>
      </c>
      <c r="R1618" s="26">
        <f>IF($G1618="","",SUMIFS(费用台账!$I$4:$I$503,费用台账!$C$4:$C$503,$E1618,费用台账!$J$4:$J$503,"是",费用台账!$K$4:$K$503,"正常"))</f>
        <v/>
      </c>
      <c r="S1618" s="28">
        <f>IF($G1618="","",COUNTIFS($E$4:$E$2503,$E1618,$Z$4:$Z$2503,"正常",$Y$4:$Y$2503,"待补价"))</f>
        <v/>
      </c>
      <c r="T1618" s="26">
        <f>IF($G1618="","",SUMIFS($P$4:$P$2503,$E$4:$E$2503,$E1618,$Z$4:$Z$2503,"正常",$A$4:$A$2503,"&lt;="&amp;$A1618))</f>
        <v/>
      </c>
      <c r="U1618" s="26">
        <f>IF($G1618="","",IF(OR($S1618&gt;0,$Q1618=0,$R1618=0,$Z1618&lt;&gt;"正常"),0,ROUND($T1618/$Q1618*$R1618,0)-ROUND(($T1618-$P1618)/$Q1618*$R1618,0)))</f>
        <v/>
      </c>
      <c r="V1618" s="26">
        <f>IF($G1618="","",ROUND($P1618+$U1618,0))</f>
        <v/>
      </c>
      <c r="W1618" s="26">
        <f>IF($G1618="","",IF(N($K1618)=0,0,ROUND($V1618/$K1618,2)))</f>
        <v/>
      </c>
      <c r="X1618" s="17" t="n"/>
      <c r="Y1618" s="17" t="n"/>
      <c r="Z1618" s="17" t="n"/>
      <c r="AA1618" s="17" t="n"/>
      <c r="AB1618" s="17" t="n"/>
      <c r="AC1618" s="24">
        <f>IF($G1618="","",IF($H1618="※编码不在物料档案里","※物料编码不在档案里",IF(N($K1618)&lt;=0,"※入库数量要大于 0",IF(AND($C1618&lt;&gt;"",$C1618&lt;=结账锁),"※日期早于已结账截止日，不能再录",IF(AND($L1618=0,$X1618="正常"),"※没填单价，价格状态请选「待补价」",IF(AND($S1618&gt;0,$R1618&gt;0),"△本批有 "&amp;$S1618&amp;" 行没单价，整批运费先挂账没摊",IF(AND($B1618&lt;&gt;"",COUNTIF($B$4:$B$2503,$B1618)&gt;1),"※入库单号重复","")))))))</f>
        <v/>
      </c>
    </row>
    <row r="1619">
      <c r="A1619" s="24">
        <f>IF($G1619="","",COUNTA($G$4:$G1619))</f>
        <v/>
      </c>
      <c r="B1619" s="17" t="n"/>
      <c r="C1619" s="30" t="n"/>
      <c r="D1619" s="17" t="n"/>
      <c r="E1619" s="17" t="n"/>
      <c r="F1619" s="17" t="n"/>
      <c r="G1619" s="17" t="n"/>
      <c r="H1619" s="24">
        <f>IF($G1619="","",IFERROR(VLOOKUP($G1619,物料档案!$A$4:$P$1203,3,0),"※编码不在物料档案里"))</f>
        <v/>
      </c>
      <c r="I1619" s="24">
        <f>IF($G1619="","",IFERROR(VLOOKUP($G1619,物料档案!$A$4:$P$1203,4,0),"※编码不在物料档案里"))</f>
        <v/>
      </c>
      <c r="J1619" s="24">
        <f>IF($G1619="","",IFERROR(VLOOKUP($G1619,物料档案!$A$4:$P$1203,5,0),"※编码不在物料档案里"))</f>
        <v/>
      </c>
      <c r="K1619" s="23" t="n"/>
      <c r="L1619" s="31" t="n"/>
      <c r="M1619" s="24">
        <f>IF($G1619="","",IF($D1619="A国内","CNY","TZS"))</f>
        <v/>
      </c>
      <c r="N1619" s="28">
        <f>IF($G1619="","",IF($D1619="A国内",汇率,1))</f>
        <v/>
      </c>
      <c r="O1619" s="25">
        <f>IF($G1619="","",ROUND(N($K1619)*N($L1619),2))</f>
        <v/>
      </c>
      <c r="P1619" s="26">
        <f>IF($G1619="","",ROUND($O1619*$N1619,0))</f>
        <v/>
      </c>
      <c r="Q1619" s="26">
        <f>IF($G1619="","",SUMIFS($P$4:$P$2503,$E$4:$E$2503,$E1619,$Z$4:$Z$2503,"正常"))</f>
        <v/>
      </c>
      <c r="R1619" s="26">
        <f>IF($G1619="","",SUMIFS(费用台账!$I$4:$I$503,费用台账!$C$4:$C$503,$E1619,费用台账!$J$4:$J$503,"是",费用台账!$K$4:$K$503,"正常"))</f>
        <v/>
      </c>
      <c r="S1619" s="28">
        <f>IF($G1619="","",COUNTIFS($E$4:$E$2503,$E1619,$Z$4:$Z$2503,"正常",$Y$4:$Y$2503,"待补价"))</f>
        <v/>
      </c>
      <c r="T1619" s="26">
        <f>IF($G1619="","",SUMIFS($P$4:$P$2503,$E$4:$E$2503,$E1619,$Z$4:$Z$2503,"正常",$A$4:$A$2503,"&lt;="&amp;$A1619))</f>
        <v/>
      </c>
      <c r="U1619" s="26">
        <f>IF($G1619="","",IF(OR($S1619&gt;0,$Q1619=0,$R1619=0,$Z1619&lt;&gt;"正常"),0,ROUND($T1619/$Q1619*$R1619,0)-ROUND(($T1619-$P1619)/$Q1619*$R1619,0)))</f>
        <v/>
      </c>
      <c r="V1619" s="26">
        <f>IF($G1619="","",ROUND($P1619+$U1619,0))</f>
        <v/>
      </c>
      <c r="W1619" s="26">
        <f>IF($G1619="","",IF(N($K1619)=0,0,ROUND($V1619/$K1619,2)))</f>
        <v/>
      </c>
      <c r="X1619" s="17" t="n"/>
      <c r="Y1619" s="17" t="n"/>
      <c r="Z1619" s="17" t="n"/>
      <c r="AA1619" s="17" t="n"/>
      <c r="AB1619" s="17" t="n"/>
      <c r="AC1619" s="24">
        <f>IF($G1619="","",IF($H1619="※编码不在物料档案里","※物料编码不在档案里",IF(N($K1619)&lt;=0,"※入库数量要大于 0",IF(AND($C1619&lt;&gt;"",$C1619&lt;=结账锁),"※日期早于已结账截止日，不能再录",IF(AND($L1619=0,$X1619="正常"),"※没填单价，价格状态请选「待补价」",IF(AND($S1619&gt;0,$R1619&gt;0),"△本批有 "&amp;$S1619&amp;" 行没单价，整批运费先挂账没摊",IF(AND($B1619&lt;&gt;"",COUNTIF($B$4:$B$2503,$B1619)&gt;1),"※入库单号重复","")))))))</f>
        <v/>
      </c>
    </row>
    <row r="1620">
      <c r="A1620" s="24">
        <f>IF($G1620="","",COUNTA($G$4:$G1620))</f>
        <v/>
      </c>
      <c r="B1620" s="17" t="n"/>
      <c r="C1620" s="30" t="n"/>
      <c r="D1620" s="17" t="n"/>
      <c r="E1620" s="17" t="n"/>
      <c r="F1620" s="17" t="n"/>
      <c r="G1620" s="17" t="n"/>
      <c r="H1620" s="24">
        <f>IF($G1620="","",IFERROR(VLOOKUP($G1620,物料档案!$A$4:$P$1203,3,0),"※编码不在物料档案里"))</f>
        <v/>
      </c>
      <c r="I1620" s="24">
        <f>IF($G1620="","",IFERROR(VLOOKUP($G1620,物料档案!$A$4:$P$1203,4,0),"※编码不在物料档案里"))</f>
        <v/>
      </c>
      <c r="J1620" s="24">
        <f>IF($G1620="","",IFERROR(VLOOKUP($G1620,物料档案!$A$4:$P$1203,5,0),"※编码不在物料档案里"))</f>
        <v/>
      </c>
      <c r="K1620" s="23" t="n"/>
      <c r="L1620" s="31" t="n"/>
      <c r="M1620" s="24">
        <f>IF($G1620="","",IF($D1620="A国内","CNY","TZS"))</f>
        <v/>
      </c>
      <c r="N1620" s="28">
        <f>IF($G1620="","",IF($D1620="A国内",汇率,1))</f>
        <v/>
      </c>
      <c r="O1620" s="25">
        <f>IF($G1620="","",ROUND(N($K1620)*N($L1620),2))</f>
        <v/>
      </c>
      <c r="P1620" s="26">
        <f>IF($G1620="","",ROUND($O1620*$N1620,0))</f>
        <v/>
      </c>
      <c r="Q1620" s="26">
        <f>IF($G1620="","",SUMIFS($P$4:$P$2503,$E$4:$E$2503,$E1620,$Z$4:$Z$2503,"正常"))</f>
        <v/>
      </c>
      <c r="R1620" s="26">
        <f>IF($G1620="","",SUMIFS(费用台账!$I$4:$I$503,费用台账!$C$4:$C$503,$E1620,费用台账!$J$4:$J$503,"是",费用台账!$K$4:$K$503,"正常"))</f>
        <v/>
      </c>
      <c r="S1620" s="28">
        <f>IF($G1620="","",COUNTIFS($E$4:$E$2503,$E1620,$Z$4:$Z$2503,"正常",$Y$4:$Y$2503,"待补价"))</f>
        <v/>
      </c>
      <c r="T1620" s="26">
        <f>IF($G1620="","",SUMIFS($P$4:$P$2503,$E$4:$E$2503,$E1620,$Z$4:$Z$2503,"正常",$A$4:$A$2503,"&lt;="&amp;$A1620))</f>
        <v/>
      </c>
      <c r="U1620" s="26">
        <f>IF($G1620="","",IF(OR($S1620&gt;0,$Q1620=0,$R1620=0,$Z1620&lt;&gt;"正常"),0,ROUND($T1620/$Q1620*$R1620,0)-ROUND(($T1620-$P1620)/$Q1620*$R1620,0)))</f>
        <v/>
      </c>
      <c r="V1620" s="26">
        <f>IF($G1620="","",ROUND($P1620+$U1620,0))</f>
        <v/>
      </c>
      <c r="W1620" s="26">
        <f>IF($G1620="","",IF(N($K1620)=0,0,ROUND($V1620/$K1620,2)))</f>
        <v/>
      </c>
      <c r="X1620" s="17" t="n"/>
      <c r="Y1620" s="17" t="n"/>
      <c r="Z1620" s="17" t="n"/>
      <c r="AA1620" s="17" t="n"/>
      <c r="AB1620" s="17" t="n"/>
      <c r="AC1620" s="24">
        <f>IF($G1620="","",IF($H1620="※编码不在物料档案里","※物料编码不在档案里",IF(N($K1620)&lt;=0,"※入库数量要大于 0",IF(AND($C1620&lt;&gt;"",$C1620&lt;=结账锁),"※日期早于已结账截止日，不能再录",IF(AND($L1620=0,$X1620="正常"),"※没填单价，价格状态请选「待补价」",IF(AND($S1620&gt;0,$R1620&gt;0),"△本批有 "&amp;$S1620&amp;" 行没单价，整批运费先挂账没摊",IF(AND($B1620&lt;&gt;"",COUNTIF($B$4:$B$2503,$B1620)&gt;1),"※入库单号重复","")))))))</f>
        <v/>
      </c>
    </row>
    <row r="1621">
      <c r="A1621" s="24">
        <f>IF($G1621="","",COUNTA($G$4:$G1621))</f>
        <v/>
      </c>
      <c r="B1621" s="17" t="n"/>
      <c r="C1621" s="30" t="n"/>
      <c r="D1621" s="17" t="n"/>
      <c r="E1621" s="17" t="n"/>
      <c r="F1621" s="17" t="n"/>
      <c r="G1621" s="17" t="n"/>
      <c r="H1621" s="24">
        <f>IF($G1621="","",IFERROR(VLOOKUP($G1621,物料档案!$A$4:$P$1203,3,0),"※编码不在物料档案里"))</f>
        <v/>
      </c>
      <c r="I1621" s="24">
        <f>IF($G1621="","",IFERROR(VLOOKUP($G1621,物料档案!$A$4:$P$1203,4,0),"※编码不在物料档案里"))</f>
        <v/>
      </c>
      <c r="J1621" s="24">
        <f>IF($G1621="","",IFERROR(VLOOKUP($G1621,物料档案!$A$4:$P$1203,5,0),"※编码不在物料档案里"))</f>
        <v/>
      </c>
      <c r="K1621" s="23" t="n"/>
      <c r="L1621" s="31" t="n"/>
      <c r="M1621" s="24">
        <f>IF($G1621="","",IF($D1621="A国内","CNY","TZS"))</f>
        <v/>
      </c>
      <c r="N1621" s="28">
        <f>IF($G1621="","",IF($D1621="A国内",汇率,1))</f>
        <v/>
      </c>
      <c r="O1621" s="25">
        <f>IF($G1621="","",ROUND(N($K1621)*N($L1621),2))</f>
        <v/>
      </c>
      <c r="P1621" s="26">
        <f>IF($G1621="","",ROUND($O1621*$N1621,0))</f>
        <v/>
      </c>
      <c r="Q1621" s="26">
        <f>IF($G1621="","",SUMIFS($P$4:$P$2503,$E$4:$E$2503,$E1621,$Z$4:$Z$2503,"正常"))</f>
        <v/>
      </c>
      <c r="R1621" s="26">
        <f>IF($G1621="","",SUMIFS(费用台账!$I$4:$I$503,费用台账!$C$4:$C$503,$E1621,费用台账!$J$4:$J$503,"是",费用台账!$K$4:$K$503,"正常"))</f>
        <v/>
      </c>
      <c r="S1621" s="28">
        <f>IF($G1621="","",COUNTIFS($E$4:$E$2503,$E1621,$Z$4:$Z$2503,"正常",$Y$4:$Y$2503,"待补价"))</f>
        <v/>
      </c>
      <c r="T1621" s="26">
        <f>IF($G1621="","",SUMIFS($P$4:$P$2503,$E$4:$E$2503,$E1621,$Z$4:$Z$2503,"正常",$A$4:$A$2503,"&lt;="&amp;$A1621))</f>
        <v/>
      </c>
      <c r="U1621" s="26">
        <f>IF($G1621="","",IF(OR($S1621&gt;0,$Q1621=0,$R1621=0,$Z1621&lt;&gt;"正常"),0,ROUND($T1621/$Q1621*$R1621,0)-ROUND(($T1621-$P1621)/$Q1621*$R1621,0)))</f>
        <v/>
      </c>
      <c r="V1621" s="26">
        <f>IF($G1621="","",ROUND($P1621+$U1621,0))</f>
        <v/>
      </c>
      <c r="W1621" s="26">
        <f>IF($G1621="","",IF(N($K1621)=0,0,ROUND($V1621/$K1621,2)))</f>
        <v/>
      </c>
      <c r="X1621" s="17" t="n"/>
      <c r="Y1621" s="17" t="n"/>
      <c r="Z1621" s="17" t="n"/>
      <c r="AA1621" s="17" t="n"/>
      <c r="AB1621" s="17" t="n"/>
      <c r="AC1621" s="24">
        <f>IF($G1621="","",IF($H1621="※编码不在物料档案里","※物料编码不在档案里",IF(N($K1621)&lt;=0,"※入库数量要大于 0",IF(AND($C1621&lt;&gt;"",$C1621&lt;=结账锁),"※日期早于已结账截止日，不能再录",IF(AND($L1621=0,$X1621="正常"),"※没填单价，价格状态请选「待补价」",IF(AND($S1621&gt;0,$R1621&gt;0),"△本批有 "&amp;$S1621&amp;" 行没单价，整批运费先挂账没摊",IF(AND($B1621&lt;&gt;"",COUNTIF($B$4:$B$2503,$B1621)&gt;1),"※入库单号重复","")))))))</f>
        <v/>
      </c>
    </row>
    <row r="1622">
      <c r="A1622" s="24">
        <f>IF($G1622="","",COUNTA($G$4:$G1622))</f>
        <v/>
      </c>
      <c r="B1622" s="17" t="n"/>
      <c r="C1622" s="30" t="n"/>
      <c r="D1622" s="17" t="n"/>
      <c r="E1622" s="17" t="n"/>
      <c r="F1622" s="17" t="n"/>
      <c r="G1622" s="17" t="n"/>
      <c r="H1622" s="24">
        <f>IF($G1622="","",IFERROR(VLOOKUP($G1622,物料档案!$A$4:$P$1203,3,0),"※编码不在物料档案里"))</f>
        <v/>
      </c>
      <c r="I1622" s="24">
        <f>IF($G1622="","",IFERROR(VLOOKUP($G1622,物料档案!$A$4:$P$1203,4,0),"※编码不在物料档案里"))</f>
        <v/>
      </c>
      <c r="J1622" s="24">
        <f>IF($G1622="","",IFERROR(VLOOKUP($G1622,物料档案!$A$4:$P$1203,5,0),"※编码不在物料档案里"))</f>
        <v/>
      </c>
      <c r="K1622" s="23" t="n"/>
      <c r="L1622" s="31" t="n"/>
      <c r="M1622" s="24">
        <f>IF($G1622="","",IF($D1622="A国内","CNY","TZS"))</f>
        <v/>
      </c>
      <c r="N1622" s="28">
        <f>IF($G1622="","",IF($D1622="A国内",汇率,1))</f>
        <v/>
      </c>
      <c r="O1622" s="25">
        <f>IF($G1622="","",ROUND(N($K1622)*N($L1622),2))</f>
        <v/>
      </c>
      <c r="P1622" s="26">
        <f>IF($G1622="","",ROUND($O1622*$N1622,0))</f>
        <v/>
      </c>
      <c r="Q1622" s="26">
        <f>IF($G1622="","",SUMIFS($P$4:$P$2503,$E$4:$E$2503,$E1622,$Z$4:$Z$2503,"正常"))</f>
        <v/>
      </c>
      <c r="R1622" s="26">
        <f>IF($G1622="","",SUMIFS(费用台账!$I$4:$I$503,费用台账!$C$4:$C$503,$E1622,费用台账!$J$4:$J$503,"是",费用台账!$K$4:$K$503,"正常"))</f>
        <v/>
      </c>
      <c r="S1622" s="28">
        <f>IF($G1622="","",COUNTIFS($E$4:$E$2503,$E1622,$Z$4:$Z$2503,"正常",$Y$4:$Y$2503,"待补价"))</f>
        <v/>
      </c>
      <c r="T1622" s="26">
        <f>IF($G1622="","",SUMIFS($P$4:$P$2503,$E$4:$E$2503,$E1622,$Z$4:$Z$2503,"正常",$A$4:$A$2503,"&lt;="&amp;$A1622))</f>
        <v/>
      </c>
      <c r="U1622" s="26">
        <f>IF($G1622="","",IF(OR($S1622&gt;0,$Q1622=0,$R1622=0,$Z1622&lt;&gt;"正常"),0,ROUND($T1622/$Q1622*$R1622,0)-ROUND(($T1622-$P1622)/$Q1622*$R1622,0)))</f>
        <v/>
      </c>
      <c r="V1622" s="26">
        <f>IF($G1622="","",ROUND($P1622+$U1622,0))</f>
        <v/>
      </c>
      <c r="W1622" s="26">
        <f>IF($G1622="","",IF(N($K1622)=0,0,ROUND($V1622/$K1622,2)))</f>
        <v/>
      </c>
      <c r="X1622" s="17" t="n"/>
      <c r="Y1622" s="17" t="n"/>
      <c r="Z1622" s="17" t="n"/>
      <c r="AA1622" s="17" t="n"/>
      <c r="AB1622" s="17" t="n"/>
      <c r="AC1622" s="24">
        <f>IF($G1622="","",IF($H1622="※编码不在物料档案里","※物料编码不在档案里",IF(N($K1622)&lt;=0,"※入库数量要大于 0",IF(AND($C1622&lt;&gt;"",$C1622&lt;=结账锁),"※日期早于已结账截止日，不能再录",IF(AND($L1622=0,$X1622="正常"),"※没填单价，价格状态请选「待补价」",IF(AND($S1622&gt;0,$R1622&gt;0),"△本批有 "&amp;$S1622&amp;" 行没单价，整批运费先挂账没摊",IF(AND($B1622&lt;&gt;"",COUNTIF($B$4:$B$2503,$B1622)&gt;1),"※入库单号重复","")))))))</f>
        <v/>
      </c>
    </row>
    <row r="1623">
      <c r="A1623" s="24">
        <f>IF($G1623="","",COUNTA($G$4:$G1623))</f>
        <v/>
      </c>
      <c r="B1623" s="17" t="n"/>
      <c r="C1623" s="30" t="n"/>
      <c r="D1623" s="17" t="n"/>
      <c r="E1623" s="17" t="n"/>
      <c r="F1623" s="17" t="n"/>
      <c r="G1623" s="17" t="n"/>
      <c r="H1623" s="24">
        <f>IF($G1623="","",IFERROR(VLOOKUP($G1623,物料档案!$A$4:$P$1203,3,0),"※编码不在物料档案里"))</f>
        <v/>
      </c>
      <c r="I1623" s="24">
        <f>IF($G1623="","",IFERROR(VLOOKUP($G1623,物料档案!$A$4:$P$1203,4,0),"※编码不在物料档案里"))</f>
        <v/>
      </c>
      <c r="J1623" s="24">
        <f>IF($G1623="","",IFERROR(VLOOKUP($G1623,物料档案!$A$4:$P$1203,5,0),"※编码不在物料档案里"))</f>
        <v/>
      </c>
      <c r="K1623" s="23" t="n"/>
      <c r="L1623" s="31" t="n"/>
      <c r="M1623" s="24">
        <f>IF($G1623="","",IF($D1623="A国内","CNY","TZS"))</f>
        <v/>
      </c>
      <c r="N1623" s="28">
        <f>IF($G1623="","",IF($D1623="A国内",汇率,1))</f>
        <v/>
      </c>
      <c r="O1623" s="25">
        <f>IF($G1623="","",ROUND(N($K1623)*N($L1623),2))</f>
        <v/>
      </c>
      <c r="P1623" s="26">
        <f>IF($G1623="","",ROUND($O1623*$N1623,0))</f>
        <v/>
      </c>
      <c r="Q1623" s="26">
        <f>IF($G1623="","",SUMIFS($P$4:$P$2503,$E$4:$E$2503,$E1623,$Z$4:$Z$2503,"正常"))</f>
        <v/>
      </c>
      <c r="R1623" s="26">
        <f>IF($G1623="","",SUMIFS(费用台账!$I$4:$I$503,费用台账!$C$4:$C$503,$E1623,费用台账!$J$4:$J$503,"是",费用台账!$K$4:$K$503,"正常"))</f>
        <v/>
      </c>
      <c r="S1623" s="28">
        <f>IF($G1623="","",COUNTIFS($E$4:$E$2503,$E1623,$Z$4:$Z$2503,"正常",$Y$4:$Y$2503,"待补价"))</f>
        <v/>
      </c>
      <c r="T1623" s="26">
        <f>IF($G1623="","",SUMIFS($P$4:$P$2503,$E$4:$E$2503,$E1623,$Z$4:$Z$2503,"正常",$A$4:$A$2503,"&lt;="&amp;$A1623))</f>
        <v/>
      </c>
      <c r="U1623" s="26">
        <f>IF($G1623="","",IF(OR($S1623&gt;0,$Q1623=0,$R1623=0,$Z1623&lt;&gt;"正常"),0,ROUND($T1623/$Q1623*$R1623,0)-ROUND(($T1623-$P1623)/$Q1623*$R1623,0)))</f>
        <v/>
      </c>
      <c r="V1623" s="26">
        <f>IF($G1623="","",ROUND($P1623+$U1623,0))</f>
        <v/>
      </c>
      <c r="W1623" s="26">
        <f>IF($G1623="","",IF(N($K1623)=0,0,ROUND($V1623/$K1623,2)))</f>
        <v/>
      </c>
      <c r="X1623" s="17" t="n"/>
      <c r="Y1623" s="17" t="n"/>
      <c r="Z1623" s="17" t="n"/>
      <c r="AA1623" s="17" t="n"/>
      <c r="AB1623" s="17" t="n"/>
      <c r="AC1623" s="24">
        <f>IF($G1623="","",IF($H1623="※编码不在物料档案里","※物料编码不在档案里",IF(N($K1623)&lt;=0,"※入库数量要大于 0",IF(AND($C1623&lt;&gt;"",$C1623&lt;=结账锁),"※日期早于已结账截止日，不能再录",IF(AND($L1623=0,$X1623="正常"),"※没填单价，价格状态请选「待补价」",IF(AND($S1623&gt;0,$R1623&gt;0),"△本批有 "&amp;$S1623&amp;" 行没单价，整批运费先挂账没摊",IF(AND($B1623&lt;&gt;"",COUNTIF($B$4:$B$2503,$B1623)&gt;1),"※入库单号重复","")))))))</f>
        <v/>
      </c>
    </row>
    <row r="1624">
      <c r="A1624" s="24">
        <f>IF($G1624="","",COUNTA($G$4:$G1624))</f>
        <v/>
      </c>
      <c r="B1624" s="17" t="n"/>
      <c r="C1624" s="30" t="n"/>
      <c r="D1624" s="17" t="n"/>
      <c r="E1624" s="17" t="n"/>
      <c r="F1624" s="17" t="n"/>
      <c r="G1624" s="17" t="n"/>
      <c r="H1624" s="24">
        <f>IF($G1624="","",IFERROR(VLOOKUP($G1624,物料档案!$A$4:$P$1203,3,0),"※编码不在物料档案里"))</f>
        <v/>
      </c>
      <c r="I1624" s="24">
        <f>IF($G1624="","",IFERROR(VLOOKUP($G1624,物料档案!$A$4:$P$1203,4,0),"※编码不在物料档案里"))</f>
        <v/>
      </c>
      <c r="J1624" s="24">
        <f>IF($G1624="","",IFERROR(VLOOKUP($G1624,物料档案!$A$4:$P$1203,5,0),"※编码不在物料档案里"))</f>
        <v/>
      </c>
      <c r="K1624" s="23" t="n"/>
      <c r="L1624" s="31" t="n"/>
      <c r="M1624" s="24">
        <f>IF($G1624="","",IF($D1624="A国内","CNY","TZS"))</f>
        <v/>
      </c>
      <c r="N1624" s="28">
        <f>IF($G1624="","",IF($D1624="A国内",汇率,1))</f>
        <v/>
      </c>
      <c r="O1624" s="25">
        <f>IF($G1624="","",ROUND(N($K1624)*N($L1624),2))</f>
        <v/>
      </c>
      <c r="P1624" s="26">
        <f>IF($G1624="","",ROUND($O1624*$N1624,0))</f>
        <v/>
      </c>
      <c r="Q1624" s="26">
        <f>IF($G1624="","",SUMIFS($P$4:$P$2503,$E$4:$E$2503,$E1624,$Z$4:$Z$2503,"正常"))</f>
        <v/>
      </c>
      <c r="R1624" s="26">
        <f>IF($G1624="","",SUMIFS(费用台账!$I$4:$I$503,费用台账!$C$4:$C$503,$E1624,费用台账!$J$4:$J$503,"是",费用台账!$K$4:$K$503,"正常"))</f>
        <v/>
      </c>
      <c r="S1624" s="28">
        <f>IF($G1624="","",COUNTIFS($E$4:$E$2503,$E1624,$Z$4:$Z$2503,"正常",$Y$4:$Y$2503,"待补价"))</f>
        <v/>
      </c>
      <c r="T1624" s="26">
        <f>IF($G1624="","",SUMIFS($P$4:$P$2503,$E$4:$E$2503,$E1624,$Z$4:$Z$2503,"正常",$A$4:$A$2503,"&lt;="&amp;$A1624))</f>
        <v/>
      </c>
      <c r="U1624" s="26">
        <f>IF($G1624="","",IF(OR($S1624&gt;0,$Q1624=0,$R1624=0,$Z1624&lt;&gt;"正常"),0,ROUND($T1624/$Q1624*$R1624,0)-ROUND(($T1624-$P1624)/$Q1624*$R1624,0)))</f>
        <v/>
      </c>
      <c r="V1624" s="26">
        <f>IF($G1624="","",ROUND($P1624+$U1624,0))</f>
        <v/>
      </c>
      <c r="W1624" s="26">
        <f>IF($G1624="","",IF(N($K1624)=0,0,ROUND($V1624/$K1624,2)))</f>
        <v/>
      </c>
      <c r="X1624" s="17" t="n"/>
      <c r="Y1624" s="17" t="n"/>
      <c r="Z1624" s="17" t="n"/>
      <c r="AA1624" s="17" t="n"/>
      <c r="AB1624" s="17" t="n"/>
      <c r="AC1624" s="24">
        <f>IF($G1624="","",IF($H1624="※编码不在物料档案里","※物料编码不在档案里",IF(N($K1624)&lt;=0,"※入库数量要大于 0",IF(AND($C1624&lt;&gt;"",$C1624&lt;=结账锁),"※日期早于已结账截止日，不能再录",IF(AND($L1624=0,$X1624="正常"),"※没填单价，价格状态请选「待补价」",IF(AND($S1624&gt;0,$R1624&gt;0),"△本批有 "&amp;$S1624&amp;" 行没单价，整批运费先挂账没摊",IF(AND($B1624&lt;&gt;"",COUNTIF($B$4:$B$2503,$B1624)&gt;1),"※入库单号重复","")))))))</f>
        <v/>
      </c>
    </row>
    <row r="1625">
      <c r="A1625" s="24">
        <f>IF($G1625="","",COUNTA($G$4:$G1625))</f>
        <v/>
      </c>
      <c r="B1625" s="17" t="n"/>
      <c r="C1625" s="30" t="n"/>
      <c r="D1625" s="17" t="n"/>
      <c r="E1625" s="17" t="n"/>
      <c r="F1625" s="17" t="n"/>
      <c r="G1625" s="17" t="n"/>
      <c r="H1625" s="24">
        <f>IF($G1625="","",IFERROR(VLOOKUP($G1625,物料档案!$A$4:$P$1203,3,0),"※编码不在物料档案里"))</f>
        <v/>
      </c>
      <c r="I1625" s="24">
        <f>IF($G1625="","",IFERROR(VLOOKUP($G1625,物料档案!$A$4:$P$1203,4,0),"※编码不在物料档案里"))</f>
        <v/>
      </c>
      <c r="J1625" s="24">
        <f>IF($G1625="","",IFERROR(VLOOKUP($G1625,物料档案!$A$4:$P$1203,5,0),"※编码不在物料档案里"))</f>
        <v/>
      </c>
      <c r="K1625" s="23" t="n"/>
      <c r="L1625" s="31" t="n"/>
      <c r="M1625" s="24">
        <f>IF($G1625="","",IF($D1625="A国内","CNY","TZS"))</f>
        <v/>
      </c>
      <c r="N1625" s="28">
        <f>IF($G1625="","",IF($D1625="A国内",汇率,1))</f>
        <v/>
      </c>
      <c r="O1625" s="25">
        <f>IF($G1625="","",ROUND(N($K1625)*N($L1625),2))</f>
        <v/>
      </c>
      <c r="P1625" s="26">
        <f>IF($G1625="","",ROUND($O1625*$N1625,0))</f>
        <v/>
      </c>
      <c r="Q1625" s="26">
        <f>IF($G1625="","",SUMIFS($P$4:$P$2503,$E$4:$E$2503,$E1625,$Z$4:$Z$2503,"正常"))</f>
        <v/>
      </c>
      <c r="R1625" s="26">
        <f>IF($G1625="","",SUMIFS(费用台账!$I$4:$I$503,费用台账!$C$4:$C$503,$E1625,费用台账!$J$4:$J$503,"是",费用台账!$K$4:$K$503,"正常"))</f>
        <v/>
      </c>
      <c r="S1625" s="28">
        <f>IF($G1625="","",COUNTIFS($E$4:$E$2503,$E1625,$Z$4:$Z$2503,"正常",$Y$4:$Y$2503,"待补价"))</f>
        <v/>
      </c>
      <c r="T1625" s="26">
        <f>IF($G1625="","",SUMIFS($P$4:$P$2503,$E$4:$E$2503,$E1625,$Z$4:$Z$2503,"正常",$A$4:$A$2503,"&lt;="&amp;$A1625))</f>
        <v/>
      </c>
      <c r="U1625" s="26">
        <f>IF($G1625="","",IF(OR($S1625&gt;0,$Q1625=0,$R1625=0,$Z1625&lt;&gt;"正常"),0,ROUND($T1625/$Q1625*$R1625,0)-ROUND(($T1625-$P1625)/$Q1625*$R1625,0)))</f>
        <v/>
      </c>
      <c r="V1625" s="26">
        <f>IF($G1625="","",ROUND($P1625+$U1625,0))</f>
        <v/>
      </c>
      <c r="W1625" s="26">
        <f>IF($G1625="","",IF(N($K1625)=0,0,ROUND($V1625/$K1625,2)))</f>
        <v/>
      </c>
      <c r="X1625" s="17" t="n"/>
      <c r="Y1625" s="17" t="n"/>
      <c r="Z1625" s="17" t="n"/>
      <c r="AA1625" s="17" t="n"/>
      <c r="AB1625" s="17" t="n"/>
      <c r="AC1625" s="24">
        <f>IF($G1625="","",IF($H1625="※编码不在物料档案里","※物料编码不在档案里",IF(N($K1625)&lt;=0,"※入库数量要大于 0",IF(AND($C1625&lt;&gt;"",$C1625&lt;=结账锁),"※日期早于已结账截止日，不能再录",IF(AND($L1625=0,$X1625="正常"),"※没填单价，价格状态请选「待补价」",IF(AND($S1625&gt;0,$R1625&gt;0),"△本批有 "&amp;$S1625&amp;" 行没单价，整批运费先挂账没摊",IF(AND($B1625&lt;&gt;"",COUNTIF($B$4:$B$2503,$B1625)&gt;1),"※入库单号重复","")))))))</f>
        <v/>
      </c>
    </row>
    <row r="1626">
      <c r="A1626" s="24">
        <f>IF($G1626="","",COUNTA($G$4:$G1626))</f>
        <v/>
      </c>
      <c r="B1626" s="17" t="n"/>
      <c r="C1626" s="30" t="n"/>
      <c r="D1626" s="17" t="n"/>
      <c r="E1626" s="17" t="n"/>
      <c r="F1626" s="17" t="n"/>
      <c r="G1626" s="17" t="n"/>
      <c r="H1626" s="24">
        <f>IF($G1626="","",IFERROR(VLOOKUP($G1626,物料档案!$A$4:$P$1203,3,0),"※编码不在物料档案里"))</f>
        <v/>
      </c>
      <c r="I1626" s="24">
        <f>IF($G1626="","",IFERROR(VLOOKUP($G1626,物料档案!$A$4:$P$1203,4,0),"※编码不在物料档案里"))</f>
        <v/>
      </c>
      <c r="J1626" s="24">
        <f>IF($G1626="","",IFERROR(VLOOKUP($G1626,物料档案!$A$4:$P$1203,5,0),"※编码不在物料档案里"))</f>
        <v/>
      </c>
      <c r="K1626" s="23" t="n"/>
      <c r="L1626" s="31" t="n"/>
      <c r="M1626" s="24">
        <f>IF($G1626="","",IF($D1626="A国内","CNY","TZS"))</f>
        <v/>
      </c>
      <c r="N1626" s="28">
        <f>IF($G1626="","",IF($D1626="A国内",汇率,1))</f>
        <v/>
      </c>
      <c r="O1626" s="25">
        <f>IF($G1626="","",ROUND(N($K1626)*N($L1626),2))</f>
        <v/>
      </c>
      <c r="P1626" s="26">
        <f>IF($G1626="","",ROUND($O1626*$N1626,0))</f>
        <v/>
      </c>
      <c r="Q1626" s="26">
        <f>IF($G1626="","",SUMIFS($P$4:$P$2503,$E$4:$E$2503,$E1626,$Z$4:$Z$2503,"正常"))</f>
        <v/>
      </c>
      <c r="R1626" s="26">
        <f>IF($G1626="","",SUMIFS(费用台账!$I$4:$I$503,费用台账!$C$4:$C$503,$E1626,费用台账!$J$4:$J$503,"是",费用台账!$K$4:$K$503,"正常"))</f>
        <v/>
      </c>
      <c r="S1626" s="28">
        <f>IF($G1626="","",COUNTIFS($E$4:$E$2503,$E1626,$Z$4:$Z$2503,"正常",$Y$4:$Y$2503,"待补价"))</f>
        <v/>
      </c>
      <c r="T1626" s="26">
        <f>IF($G1626="","",SUMIFS($P$4:$P$2503,$E$4:$E$2503,$E1626,$Z$4:$Z$2503,"正常",$A$4:$A$2503,"&lt;="&amp;$A1626))</f>
        <v/>
      </c>
      <c r="U1626" s="26">
        <f>IF($G1626="","",IF(OR($S1626&gt;0,$Q1626=0,$R1626=0,$Z1626&lt;&gt;"正常"),0,ROUND($T1626/$Q1626*$R1626,0)-ROUND(($T1626-$P1626)/$Q1626*$R1626,0)))</f>
        <v/>
      </c>
      <c r="V1626" s="26">
        <f>IF($G1626="","",ROUND($P1626+$U1626,0))</f>
        <v/>
      </c>
      <c r="W1626" s="26">
        <f>IF($G1626="","",IF(N($K1626)=0,0,ROUND($V1626/$K1626,2)))</f>
        <v/>
      </c>
      <c r="X1626" s="17" t="n"/>
      <c r="Y1626" s="17" t="n"/>
      <c r="Z1626" s="17" t="n"/>
      <c r="AA1626" s="17" t="n"/>
      <c r="AB1626" s="17" t="n"/>
      <c r="AC1626" s="24">
        <f>IF($G1626="","",IF($H1626="※编码不在物料档案里","※物料编码不在档案里",IF(N($K1626)&lt;=0,"※入库数量要大于 0",IF(AND($C1626&lt;&gt;"",$C1626&lt;=结账锁),"※日期早于已结账截止日，不能再录",IF(AND($L1626=0,$X1626="正常"),"※没填单价，价格状态请选「待补价」",IF(AND($S1626&gt;0,$R1626&gt;0),"△本批有 "&amp;$S1626&amp;" 行没单价，整批运费先挂账没摊",IF(AND($B1626&lt;&gt;"",COUNTIF($B$4:$B$2503,$B1626)&gt;1),"※入库单号重复","")))))))</f>
        <v/>
      </c>
    </row>
    <row r="1627">
      <c r="A1627" s="24">
        <f>IF($G1627="","",COUNTA($G$4:$G1627))</f>
        <v/>
      </c>
      <c r="B1627" s="17" t="n"/>
      <c r="C1627" s="30" t="n"/>
      <c r="D1627" s="17" t="n"/>
      <c r="E1627" s="17" t="n"/>
      <c r="F1627" s="17" t="n"/>
      <c r="G1627" s="17" t="n"/>
      <c r="H1627" s="24">
        <f>IF($G1627="","",IFERROR(VLOOKUP($G1627,物料档案!$A$4:$P$1203,3,0),"※编码不在物料档案里"))</f>
        <v/>
      </c>
      <c r="I1627" s="24">
        <f>IF($G1627="","",IFERROR(VLOOKUP($G1627,物料档案!$A$4:$P$1203,4,0),"※编码不在物料档案里"))</f>
        <v/>
      </c>
      <c r="J1627" s="24">
        <f>IF($G1627="","",IFERROR(VLOOKUP($G1627,物料档案!$A$4:$P$1203,5,0),"※编码不在物料档案里"))</f>
        <v/>
      </c>
      <c r="K1627" s="23" t="n"/>
      <c r="L1627" s="31" t="n"/>
      <c r="M1627" s="24">
        <f>IF($G1627="","",IF($D1627="A国内","CNY","TZS"))</f>
        <v/>
      </c>
      <c r="N1627" s="28">
        <f>IF($G1627="","",IF($D1627="A国内",汇率,1))</f>
        <v/>
      </c>
      <c r="O1627" s="25">
        <f>IF($G1627="","",ROUND(N($K1627)*N($L1627),2))</f>
        <v/>
      </c>
      <c r="P1627" s="26">
        <f>IF($G1627="","",ROUND($O1627*$N1627,0))</f>
        <v/>
      </c>
      <c r="Q1627" s="26">
        <f>IF($G1627="","",SUMIFS($P$4:$P$2503,$E$4:$E$2503,$E1627,$Z$4:$Z$2503,"正常"))</f>
        <v/>
      </c>
      <c r="R1627" s="26">
        <f>IF($G1627="","",SUMIFS(费用台账!$I$4:$I$503,费用台账!$C$4:$C$503,$E1627,费用台账!$J$4:$J$503,"是",费用台账!$K$4:$K$503,"正常"))</f>
        <v/>
      </c>
      <c r="S1627" s="28">
        <f>IF($G1627="","",COUNTIFS($E$4:$E$2503,$E1627,$Z$4:$Z$2503,"正常",$Y$4:$Y$2503,"待补价"))</f>
        <v/>
      </c>
      <c r="T1627" s="26">
        <f>IF($G1627="","",SUMIFS($P$4:$P$2503,$E$4:$E$2503,$E1627,$Z$4:$Z$2503,"正常",$A$4:$A$2503,"&lt;="&amp;$A1627))</f>
        <v/>
      </c>
      <c r="U1627" s="26">
        <f>IF($G1627="","",IF(OR($S1627&gt;0,$Q1627=0,$R1627=0,$Z1627&lt;&gt;"正常"),0,ROUND($T1627/$Q1627*$R1627,0)-ROUND(($T1627-$P1627)/$Q1627*$R1627,0)))</f>
        <v/>
      </c>
      <c r="V1627" s="26">
        <f>IF($G1627="","",ROUND($P1627+$U1627,0))</f>
        <v/>
      </c>
      <c r="W1627" s="26">
        <f>IF($G1627="","",IF(N($K1627)=0,0,ROUND($V1627/$K1627,2)))</f>
        <v/>
      </c>
      <c r="X1627" s="17" t="n"/>
      <c r="Y1627" s="17" t="n"/>
      <c r="Z1627" s="17" t="n"/>
      <c r="AA1627" s="17" t="n"/>
      <c r="AB1627" s="17" t="n"/>
      <c r="AC1627" s="24">
        <f>IF($G1627="","",IF($H1627="※编码不在物料档案里","※物料编码不在档案里",IF(N($K1627)&lt;=0,"※入库数量要大于 0",IF(AND($C1627&lt;&gt;"",$C1627&lt;=结账锁),"※日期早于已结账截止日，不能再录",IF(AND($L1627=0,$X1627="正常"),"※没填单价，价格状态请选「待补价」",IF(AND($S1627&gt;0,$R1627&gt;0),"△本批有 "&amp;$S1627&amp;" 行没单价，整批运费先挂账没摊",IF(AND($B1627&lt;&gt;"",COUNTIF($B$4:$B$2503,$B1627)&gt;1),"※入库单号重复","")))))))</f>
        <v/>
      </c>
    </row>
    <row r="1628">
      <c r="A1628" s="24">
        <f>IF($G1628="","",COUNTA($G$4:$G1628))</f>
        <v/>
      </c>
      <c r="B1628" s="17" t="n"/>
      <c r="C1628" s="30" t="n"/>
      <c r="D1628" s="17" t="n"/>
      <c r="E1628" s="17" t="n"/>
      <c r="F1628" s="17" t="n"/>
      <c r="G1628" s="17" t="n"/>
      <c r="H1628" s="24">
        <f>IF($G1628="","",IFERROR(VLOOKUP($G1628,物料档案!$A$4:$P$1203,3,0),"※编码不在物料档案里"))</f>
        <v/>
      </c>
      <c r="I1628" s="24">
        <f>IF($G1628="","",IFERROR(VLOOKUP($G1628,物料档案!$A$4:$P$1203,4,0),"※编码不在物料档案里"))</f>
        <v/>
      </c>
      <c r="J1628" s="24">
        <f>IF($G1628="","",IFERROR(VLOOKUP($G1628,物料档案!$A$4:$P$1203,5,0),"※编码不在物料档案里"))</f>
        <v/>
      </c>
      <c r="K1628" s="23" t="n"/>
      <c r="L1628" s="31" t="n"/>
      <c r="M1628" s="24">
        <f>IF($G1628="","",IF($D1628="A国内","CNY","TZS"))</f>
        <v/>
      </c>
      <c r="N1628" s="28">
        <f>IF($G1628="","",IF($D1628="A国内",汇率,1))</f>
        <v/>
      </c>
      <c r="O1628" s="25">
        <f>IF($G1628="","",ROUND(N($K1628)*N($L1628),2))</f>
        <v/>
      </c>
      <c r="P1628" s="26">
        <f>IF($G1628="","",ROUND($O1628*$N1628,0))</f>
        <v/>
      </c>
      <c r="Q1628" s="26">
        <f>IF($G1628="","",SUMIFS($P$4:$P$2503,$E$4:$E$2503,$E1628,$Z$4:$Z$2503,"正常"))</f>
        <v/>
      </c>
      <c r="R1628" s="26">
        <f>IF($G1628="","",SUMIFS(费用台账!$I$4:$I$503,费用台账!$C$4:$C$503,$E1628,费用台账!$J$4:$J$503,"是",费用台账!$K$4:$K$503,"正常"))</f>
        <v/>
      </c>
      <c r="S1628" s="28">
        <f>IF($G1628="","",COUNTIFS($E$4:$E$2503,$E1628,$Z$4:$Z$2503,"正常",$Y$4:$Y$2503,"待补价"))</f>
        <v/>
      </c>
      <c r="T1628" s="26">
        <f>IF($G1628="","",SUMIFS($P$4:$P$2503,$E$4:$E$2503,$E1628,$Z$4:$Z$2503,"正常",$A$4:$A$2503,"&lt;="&amp;$A1628))</f>
        <v/>
      </c>
      <c r="U1628" s="26">
        <f>IF($G1628="","",IF(OR($S1628&gt;0,$Q1628=0,$R1628=0,$Z1628&lt;&gt;"正常"),0,ROUND($T1628/$Q1628*$R1628,0)-ROUND(($T1628-$P1628)/$Q1628*$R1628,0)))</f>
        <v/>
      </c>
      <c r="V1628" s="26">
        <f>IF($G1628="","",ROUND($P1628+$U1628,0))</f>
        <v/>
      </c>
      <c r="W1628" s="26">
        <f>IF($G1628="","",IF(N($K1628)=0,0,ROUND($V1628/$K1628,2)))</f>
        <v/>
      </c>
      <c r="X1628" s="17" t="n"/>
      <c r="Y1628" s="17" t="n"/>
      <c r="Z1628" s="17" t="n"/>
      <c r="AA1628" s="17" t="n"/>
      <c r="AB1628" s="17" t="n"/>
      <c r="AC1628" s="24">
        <f>IF($G1628="","",IF($H1628="※编码不在物料档案里","※物料编码不在档案里",IF(N($K1628)&lt;=0,"※入库数量要大于 0",IF(AND($C1628&lt;&gt;"",$C1628&lt;=结账锁),"※日期早于已结账截止日，不能再录",IF(AND($L1628=0,$X1628="正常"),"※没填单价，价格状态请选「待补价」",IF(AND($S1628&gt;0,$R1628&gt;0),"△本批有 "&amp;$S1628&amp;" 行没单价，整批运费先挂账没摊",IF(AND($B1628&lt;&gt;"",COUNTIF($B$4:$B$2503,$B1628)&gt;1),"※入库单号重复","")))))))</f>
        <v/>
      </c>
    </row>
    <row r="1629">
      <c r="A1629" s="24">
        <f>IF($G1629="","",COUNTA($G$4:$G1629))</f>
        <v/>
      </c>
      <c r="B1629" s="17" t="n"/>
      <c r="C1629" s="30" t="n"/>
      <c r="D1629" s="17" t="n"/>
      <c r="E1629" s="17" t="n"/>
      <c r="F1629" s="17" t="n"/>
      <c r="G1629" s="17" t="n"/>
      <c r="H1629" s="24">
        <f>IF($G1629="","",IFERROR(VLOOKUP($G1629,物料档案!$A$4:$P$1203,3,0),"※编码不在物料档案里"))</f>
        <v/>
      </c>
      <c r="I1629" s="24">
        <f>IF($G1629="","",IFERROR(VLOOKUP($G1629,物料档案!$A$4:$P$1203,4,0),"※编码不在物料档案里"))</f>
        <v/>
      </c>
      <c r="J1629" s="24">
        <f>IF($G1629="","",IFERROR(VLOOKUP($G1629,物料档案!$A$4:$P$1203,5,0),"※编码不在物料档案里"))</f>
        <v/>
      </c>
      <c r="K1629" s="23" t="n"/>
      <c r="L1629" s="31" t="n"/>
      <c r="M1629" s="24">
        <f>IF($G1629="","",IF($D1629="A国内","CNY","TZS"))</f>
        <v/>
      </c>
      <c r="N1629" s="28">
        <f>IF($G1629="","",IF($D1629="A国内",汇率,1))</f>
        <v/>
      </c>
      <c r="O1629" s="25">
        <f>IF($G1629="","",ROUND(N($K1629)*N($L1629),2))</f>
        <v/>
      </c>
      <c r="P1629" s="26">
        <f>IF($G1629="","",ROUND($O1629*$N1629,0))</f>
        <v/>
      </c>
      <c r="Q1629" s="26">
        <f>IF($G1629="","",SUMIFS($P$4:$P$2503,$E$4:$E$2503,$E1629,$Z$4:$Z$2503,"正常"))</f>
        <v/>
      </c>
      <c r="R1629" s="26">
        <f>IF($G1629="","",SUMIFS(费用台账!$I$4:$I$503,费用台账!$C$4:$C$503,$E1629,费用台账!$J$4:$J$503,"是",费用台账!$K$4:$K$503,"正常"))</f>
        <v/>
      </c>
      <c r="S1629" s="28">
        <f>IF($G1629="","",COUNTIFS($E$4:$E$2503,$E1629,$Z$4:$Z$2503,"正常",$Y$4:$Y$2503,"待补价"))</f>
        <v/>
      </c>
      <c r="T1629" s="26">
        <f>IF($G1629="","",SUMIFS($P$4:$P$2503,$E$4:$E$2503,$E1629,$Z$4:$Z$2503,"正常",$A$4:$A$2503,"&lt;="&amp;$A1629))</f>
        <v/>
      </c>
      <c r="U1629" s="26">
        <f>IF($G1629="","",IF(OR($S1629&gt;0,$Q1629=0,$R1629=0,$Z1629&lt;&gt;"正常"),0,ROUND($T1629/$Q1629*$R1629,0)-ROUND(($T1629-$P1629)/$Q1629*$R1629,0)))</f>
        <v/>
      </c>
      <c r="V1629" s="26">
        <f>IF($G1629="","",ROUND($P1629+$U1629,0))</f>
        <v/>
      </c>
      <c r="W1629" s="26">
        <f>IF($G1629="","",IF(N($K1629)=0,0,ROUND($V1629/$K1629,2)))</f>
        <v/>
      </c>
      <c r="X1629" s="17" t="n"/>
      <c r="Y1629" s="17" t="n"/>
      <c r="Z1629" s="17" t="n"/>
      <c r="AA1629" s="17" t="n"/>
      <c r="AB1629" s="17" t="n"/>
      <c r="AC1629" s="24">
        <f>IF($G1629="","",IF($H1629="※编码不在物料档案里","※物料编码不在档案里",IF(N($K1629)&lt;=0,"※入库数量要大于 0",IF(AND($C1629&lt;&gt;"",$C1629&lt;=结账锁),"※日期早于已结账截止日，不能再录",IF(AND($L1629=0,$X1629="正常"),"※没填单价，价格状态请选「待补价」",IF(AND($S1629&gt;0,$R1629&gt;0),"△本批有 "&amp;$S1629&amp;" 行没单价，整批运费先挂账没摊",IF(AND($B1629&lt;&gt;"",COUNTIF($B$4:$B$2503,$B1629)&gt;1),"※入库单号重复","")))))))</f>
        <v/>
      </c>
    </row>
    <row r="1630">
      <c r="A1630" s="24">
        <f>IF($G1630="","",COUNTA($G$4:$G1630))</f>
        <v/>
      </c>
      <c r="B1630" s="17" t="n"/>
      <c r="C1630" s="30" t="n"/>
      <c r="D1630" s="17" t="n"/>
      <c r="E1630" s="17" t="n"/>
      <c r="F1630" s="17" t="n"/>
      <c r="G1630" s="17" t="n"/>
      <c r="H1630" s="24">
        <f>IF($G1630="","",IFERROR(VLOOKUP($G1630,物料档案!$A$4:$P$1203,3,0),"※编码不在物料档案里"))</f>
        <v/>
      </c>
      <c r="I1630" s="24">
        <f>IF($G1630="","",IFERROR(VLOOKUP($G1630,物料档案!$A$4:$P$1203,4,0),"※编码不在物料档案里"))</f>
        <v/>
      </c>
      <c r="J1630" s="24">
        <f>IF($G1630="","",IFERROR(VLOOKUP($G1630,物料档案!$A$4:$P$1203,5,0),"※编码不在物料档案里"))</f>
        <v/>
      </c>
      <c r="K1630" s="23" t="n"/>
      <c r="L1630" s="31" t="n"/>
      <c r="M1630" s="24">
        <f>IF($G1630="","",IF($D1630="A国内","CNY","TZS"))</f>
        <v/>
      </c>
      <c r="N1630" s="28">
        <f>IF($G1630="","",IF($D1630="A国内",汇率,1))</f>
        <v/>
      </c>
      <c r="O1630" s="25">
        <f>IF($G1630="","",ROUND(N($K1630)*N($L1630),2))</f>
        <v/>
      </c>
      <c r="P1630" s="26">
        <f>IF($G1630="","",ROUND($O1630*$N1630,0))</f>
        <v/>
      </c>
      <c r="Q1630" s="26">
        <f>IF($G1630="","",SUMIFS($P$4:$P$2503,$E$4:$E$2503,$E1630,$Z$4:$Z$2503,"正常"))</f>
        <v/>
      </c>
      <c r="R1630" s="26">
        <f>IF($G1630="","",SUMIFS(费用台账!$I$4:$I$503,费用台账!$C$4:$C$503,$E1630,费用台账!$J$4:$J$503,"是",费用台账!$K$4:$K$503,"正常"))</f>
        <v/>
      </c>
      <c r="S1630" s="28">
        <f>IF($G1630="","",COUNTIFS($E$4:$E$2503,$E1630,$Z$4:$Z$2503,"正常",$Y$4:$Y$2503,"待补价"))</f>
        <v/>
      </c>
      <c r="T1630" s="26">
        <f>IF($G1630="","",SUMIFS($P$4:$P$2503,$E$4:$E$2503,$E1630,$Z$4:$Z$2503,"正常",$A$4:$A$2503,"&lt;="&amp;$A1630))</f>
        <v/>
      </c>
      <c r="U1630" s="26">
        <f>IF($G1630="","",IF(OR($S1630&gt;0,$Q1630=0,$R1630=0,$Z1630&lt;&gt;"正常"),0,ROUND($T1630/$Q1630*$R1630,0)-ROUND(($T1630-$P1630)/$Q1630*$R1630,0)))</f>
        <v/>
      </c>
      <c r="V1630" s="26">
        <f>IF($G1630="","",ROUND($P1630+$U1630,0))</f>
        <v/>
      </c>
      <c r="W1630" s="26">
        <f>IF($G1630="","",IF(N($K1630)=0,0,ROUND($V1630/$K1630,2)))</f>
        <v/>
      </c>
      <c r="X1630" s="17" t="n"/>
      <c r="Y1630" s="17" t="n"/>
      <c r="Z1630" s="17" t="n"/>
      <c r="AA1630" s="17" t="n"/>
      <c r="AB1630" s="17" t="n"/>
      <c r="AC1630" s="24">
        <f>IF($G1630="","",IF($H1630="※编码不在物料档案里","※物料编码不在档案里",IF(N($K1630)&lt;=0,"※入库数量要大于 0",IF(AND($C1630&lt;&gt;"",$C1630&lt;=结账锁),"※日期早于已结账截止日，不能再录",IF(AND($L1630=0,$X1630="正常"),"※没填单价，价格状态请选「待补价」",IF(AND($S1630&gt;0,$R1630&gt;0),"△本批有 "&amp;$S1630&amp;" 行没单价，整批运费先挂账没摊",IF(AND($B1630&lt;&gt;"",COUNTIF($B$4:$B$2503,$B1630)&gt;1),"※入库单号重复","")))))))</f>
        <v/>
      </c>
    </row>
    <row r="1631">
      <c r="A1631" s="24">
        <f>IF($G1631="","",COUNTA($G$4:$G1631))</f>
        <v/>
      </c>
      <c r="B1631" s="17" t="n"/>
      <c r="C1631" s="30" t="n"/>
      <c r="D1631" s="17" t="n"/>
      <c r="E1631" s="17" t="n"/>
      <c r="F1631" s="17" t="n"/>
      <c r="G1631" s="17" t="n"/>
      <c r="H1631" s="24">
        <f>IF($G1631="","",IFERROR(VLOOKUP($G1631,物料档案!$A$4:$P$1203,3,0),"※编码不在物料档案里"))</f>
        <v/>
      </c>
      <c r="I1631" s="24">
        <f>IF($G1631="","",IFERROR(VLOOKUP($G1631,物料档案!$A$4:$P$1203,4,0),"※编码不在物料档案里"))</f>
        <v/>
      </c>
      <c r="J1631" s="24">
        <f>IF($G1631="","",IFERROR(VLOOKUP($G1631,物料档案!$A$4:$P$1203,5,0),"※编码不在物料档案里"))</f>
        <v/>
      </c>
      <c r="K1631" s="23" t="n"/>
      <c r="L1631" s="31" t="n"/>
      <c r="M1631" s="24">
        <f>IF($G1631="","",IF($D1631="A国内","CNY","TZS"))</f>
        <v/>
      </c>
      <c r="N1631" s="28">
        <f>IF($G1631="","",IF($D1631="A国内",汇率,1))</f>
        <v/>
      </c>
      <c r="O1631" s="25">
        <f>IF($G1631="","",ROUND(N($K1631)*N($L1631),2))</f>
        <v/>
      </c>
      <c r="P1631" s="26">
        <f>IF($G1631="","",ROUND($O1631*$N1631,0))</f>
        <v/>
      </c>
      <c r="Q1631" s="26">
        <f>IF($G1631="","",SUMIFS($P$4:$P$2503,$E$4:$E$2503,$E1631,$Z$4:$Z$2503,"正常"))</f>
        <v/>
      </c>
      <c r="R1631" s="26">
        <f>IF($G1631="","",SUMIFS(费用台账!$I$4:$I$503,费用台账!$C$4:$C$503,$E1631,费用台账!$J$4:$J$503,"是",费用台账!$K$4:$K$503,"正常"))</f>
        <v/>
      </c>
      <c r="S1631" s="28">
        <f>IF($G1631="","",COUNTIFS($E$4:$E$2503,$E1631,$Z$4:$Z$2503,"正常",$Y$4:$Y$2503,"待补价"))</f>
        <v/>
      </c>
      <c r="T1631" s="26">
        <f>IF($G1631="","",SUMIFS($P$4:$P$2503,$E$4:$E$2503,$E1631,$Z$4:$Z$2503,"正常",$A$4:$A$2503,"&lt;="&amp;$A1631))</f>
        <v/>
      </c>
      <c r="U1631" s="26">
        <f>IF($G1631="","",IF(OR($S1631&gt;0,$Q1631=0,$R1631=0,$Z1631&lt;&gt;"正常"),0,ROUND($T1631/$Q1631*$R1631,0)-ROUND(($T1631-$P1631)/$Q1631*$R1631,0)))</f>
        <v/>
      </c>
      <c r="V1631" s="26">
        <f>IF($G1631="","",ROUND($P1631+$U1631,0))</f>
        <v/>
      </c>
      <c r="W1631" s="26">
        <f>IF($G1631="","",IF(N($K1631)=0,0,ROUND($V1631/$K1631,2)))</f>
        <v/>
      </c>
      <c r="X1631" s="17" t="n"/>
      <c r="Y1631" s="17" t="n"/>
      <c r="Z1631" s="17" t="n"/>
      <c r="AA1631" s="17" t="n"/>
      <c r="AB1631" s="17" t="n"/>
      <c r="AC1631" s="24">
        <f>IF($G1631="","",IF($H1631="※编码不在物料档案里","※物料编码不在档案里",IF(N($K1631)&lt;=0,"※入库数量要大于 0",IF(AND($C1631&lt;&gt;"",$C1631&lt;=结账锁),"※日期早于已结账截止日，不能再录",IF(AND($L1631=0,$X1631="正常"),"※没填单价，价格状态请选「待补价」",IF(AND($S1631&gt;0,$R1631&gt;0),"△本批有 "&amp;$S1631&amp;" 行没单价，整批运费先挂账没摊",IF(AND($B1631&lt;&gt;"",COUNTIF($B$4:$B$2503,$B1631)&gt;1),"※入库单号重复","")))))))</f>
        <v/>
      </c>
    </row>
    <row r="1632">
      <c r="A1632" s="24">
        <f>IF($G1632="","",COUNTA($G$4:$G1632))</f>
        <v/>
      </c>
      <c r="B1632" s="17" t="n"/>
      <c r="C1632" s="30" t="n"/>
      <c r="D1632" s="17" t="n"/>
      <c r="E1632" s="17" t="n"/>
      <c r="F1632" s="17" t="n"/>
      <c r="G1632" s="17" t="n"/>
      <c r="H1632" s="24">
        <f>IF($G1632="","",IFERROR(VLOOKUP($G1632,物料档案!$A$4:$P$1203,3,0),"※编码不在物料档案里"))</f>
        <v/>
      </c>
      <c r="I1632" s="24">
        <f>IF($G1632="","",IFERROR(VLOOKUP($G1632,物料档案!$A$4:$P$1203,4,0),"※编码不在物料档案里"))</f>
        <v/>
      </c>
      <c r="J1632" s="24">
        <f>IF($G1632="","",IFERROR(VLOOKUP($G1632,物料档案!$A$4:$P$1203,5,0),"※编码不在物料档案里"))</f>
        <v/>
      </c>
      <c r="K1632" s="23" t="n"/>
      <c r="L1632" s="31" t="n"/>
      <c r="M1632" s="24">
        <f>IF($G1632="","",IF($D1632="A国内","CNY","TZS"))</f>
        <v/>
      </c>
      <c r="N1632" s="28">
        <f>IF($G1632="","",IF($D1632="A国内",汇率,1))</f>
        <v/>
      </c>
      <c r="O1632" s="25">
        <f>IF($G1632="","",ROUND(N($K1632)*N($L1632),2))</f>
        <v/>
      </c>
      <c r="P1632" s="26">
        <f>IF($G1632="","",ROUND($O1632*$N1632,0))</f>
        <v/>
      </c>
      <c r="Q1632" s="26">
        <f>IF($G1632="","",SUMIFS($P$4:$P$2503,$E$4:$E$2503,$E1632,$Z$4:$Z$2503,"正常"))</f>
        <v/>
      </c>
      <c r="R1632" s="26">
        <f>IF($G1632="","",SUMIFS(费用台账!$I$4:$I$503,费用台账!$C$4:$C$503,$E1632,费用台账!$J$4:$J$503,"是",费用台账!$K$4:$K$503,"正常"))</f>
        <v/>
      </c>
      <c r="S1632" s="28">
        <f>IF($G1632="","",COUNTIFS($E$4:$E$2503,$E1632,$Z$4:$Z$2503,"正常",$Y$4:$Y$2503,"待补价"))</f>
        <v/>
      </c>
      <c r="T1632" s="26">
        <f>IF($G1632="","",SUMIFS($P$4:$P$2503,$E$4:$E$2503,$E1632,$Z$4:$Z$2503,"正常",$A$4:$A$2503,"&lt;="&amp;$A1632))</f>
        <v/>
      </c>
      <c r="U1632" s="26">
        <f>IF($G1632="","",IF(OR($S1632&gt;0,$Q1632=0,$R1632=0,$Z1632&lt;&gt;"正常"),0,ROUND($T1632/$Q1632*$R1632,0)-ROUND(($T1632-$P1632)/$Q1632*$R1632,0)))</f>
        <v/>
      </c>
      <c r="V1632" s="26">
        <f>IF($G1632="","",ROUND($P1632+$U1632,0))</f>
        <v/>
      </c>
      <c r="W1632" s="26">
        <f>IF($G1632="","",IF(N($K1632)=0,0,ROUND($V1632/$K1632,2)))</f>
        <v/>
      </c>
      <c r="X1632" s="17" t="n"/>
      <c r="Y1632" s="17" t="n"/>
      <c r="Z1632" s="17" t="n"/>
      <c r="AA1632" s="17" t="n"/>
      <c r="AB1632" s="17" t="n"/>
      <c r="AC1632" s="24">
        <f>IF($G1632="","",IF($H1632="※编码不在物料档案里","※物料编码不在档案里",IF(N($K1632)&lt;=0,"※入库数量要大于 0",IF(AND($C1632&lt;&gt;"",$C1632&lt;=结账锁),"※日期早于已结账截止日，不能再录",IF(AND($L1632=0,$X1632="正常"),"※没填单价，价格状态请选「待补价」",IF(AND($S1632&gt;0,$R1632&gt;0),"△本批有 "&amp;$S1632&amp;" 行没单价，整批运费先挂账没摊",IF(AND($B1632&lt;&gt;"",COUNTIF($B$4:$B$2503,$B1632)&gt;1),"※入库单号重复","")))))))</f>
        <v/>
      </c>
    </row>
    <row r="1633">
      <c r="A1633" s="24">
        <f>IF($G1633="","",COUNTA($G$4:$G1633))</f>
        <v/>
      </c>
      <c r="B1633" s="17" t="n"/>
      <c r="C1633" s="30" t="n"/>
      <c r="D1633" s="17" t="n"/>
      <c r="E1633" s="17" t="n"/>
      <c r="F1633" s="17" t="n"/>
      <c r="G1633" s="17" t="n"/>
      <c r="H1633" s="24">
        <f>IF($G1633="","",IFERROR(VLOOKUP($G1633,物料档案!$A$4:$P$1203,3,0),"※编码不在物料档案里"))</f>
        <v/>
      </c>
      <c r="I1633" s="24">
        <f>IF($G1633="","",IFERROR(VLOOKUP($G1633,物料档案!$A$4:$P$1203,4,0),"※编码不在物料档案里"))</f>
        <v/>
      </c>
      <c r="J1633" s="24">
        <f>IF($G1633="","",IFERROR(VLOOKUP($G1633,物料档案!$A$4:$P$1203,5,0),"※编码不在物料档案里"))</f>
        <v/>
      </c>
      <c r="K1633" s="23" t="n"/>
      <c r="L1633" s="31" t="n"/>
      <c r="M1633" s="24">
        <f>IF($G1633="","",IF($D1633="A国内","CNY","TZS"))</f>
        <v/>
      </c>
      <c r="N1633" s="28">
        <f>IF($G1633="","",IF($D1633="A国内",汇率,1))</f>
        <v/>
      </c>
      <c r="O1633" s="25">
        <f>IF($G1633="","",ROUND(N($K1633)*N($L1633),2))</f>
        <v/>
      </c>
      <c r="P1633" s="26">
        <f>IF($G1633="","",ROUND($O1633*$N1633,0))</f>
        <v/>
      </c>
      <c r="Q1633" s="26">
        <f>IF($G1633="","",SUMIFS($P$4:$P$2503,$E$4:$E$2503,$E1633,$Z$4:$Z$2503,"正常"))</f>
        <v/>
      </c>
      <c r="R1633" s="26">
        <f>IF($G1633="","",SUMIFS(费用台账!$I$4:$I$503,费用台账!$C$4:$C$503,$E1633,费用台账!$J$4:$J$503,"是",费用台账!$K$4:$K$503,"正常"))</f>
        <v/>
      </c>
      <c r="S1633" s="28">
        <f>IF($G1633="","",COUNTIFS($E$4:$E$2503,$E1633,$Z$4:$Z$2503,"正常",$Y$4:$Y$2503,"待补价"))</f>
        <v/>
      </c>
      <c r="T1633" s="26">
        <f>IF($G1633="","",SUMIFS($P$4:$P$2503,$E$4:$E$2503,$E1633,$Z$4:$Z$2503,"正常",$A$4:$A$2503,"&lt;="&amp;$A1633))</f>
        <v/>
      </c>
      <c r="U1633" s="26">
        <f>IF($G1633="","",IF(OR($S1633&gt;0,$Q1633=0,$R1633=0,$Z1633&lt;&gt;"正常"),0,ROUND($T1633/$Q1633*$R1633,0)-ROUND(($T1633-$P1633)/$Q1633*$R1633,0)))</f>
        <v/>
      </c>
      <c r="V1633" s="26">
        <f>IF($G1633="","",ROUND($P1633+$U1633,0))</f>
        <v/>
      </c>
      <c r="W1633" s="26">
        <f>IF($G1633="","",IF(N($K1633)=0,0,ROUND($V1633/$K1633,2)))</f>
        <v/>
      </c>
      <c r="X1633" s="17" t="n"/>
      <c r="Y1633" s="17" t="n"/>
      <c r="Z1633" s="17" t="n"/>
      <c r="AA1633" s="17" t="n"/>
      <c r="AB1633" s="17" t="n"/>
      <c r="AC1633" s="24">
        <f>IF($G1633="","",IF($H1633="※编码不在物料档案里","※物料编码不在档案里",IF(N($K1633)&lt;=0,"※入库数量要大于 0",IF(AND($C1633&lt;&gt;"",$C1633&lt;=结账锁),"※日期早于已结账截止日，不能再录",IF(AND($L1633=0,$X1633="正常"),"※没填单价，价格状态请选「待补价」",IF(AND($S1633&gt;0,$R1633&gt;0),"△本批有 "&amp;$S1633&amp;" 行没单价，整批运费先挂账没摊",IF(AND($B1633&lt;&gt;"",COUNTIF($B$4:$B$2503,$B1633)&gt;1),"※入库单号重复","")))))))</f>
        <v/>
      </c>
    </row>
    <row r="1634">
      <c r="A1634" s="24">
        <f>IF($G1634="","",COUNTA($G$4:$G1634))</f>
        <v/>
      </c>
      <c r="B1634" s="17" t="n"/>
      <c r="C1634" s="30" t="n"/>
      <c r="D1634" s="17" t="n"/>
      <c r="E1634" s="17" t="n"/>
      <c r="F1634" s="17" t="n"/>
      <c r="G1634" s="17" t="n"/>
      <c r="H1634" s="24">
        <f>IF($G1634="","",IFERROR(VLOOKUP($G1634,物料档案!$A$4:$P$1203,3,0),"※编码不在物料档案里"))</f>
        <v/>
      </c>
      <c r="I1634" s="24">
        <f>IF($G1634="","",IFERROR(VLOOKUP($G1634,物料档案!$A$4:$P$1203,4,0),"※编码不在物料档案里"))</f>
        <v/>
      </c>
      <c r="J1634" s="24">
        <f>IF($G1634="","",IFERROR(VLOOKUP($G1634,物料档案!$A$4:$P$1203,5,0),"※编码不在物料档案里"))</f>
        <v/>
      </c>
      <c r="K1634" s="23" t="n"/>
      <c r="L1634" s="31" t="n"/>
      <c r="M1634" s="24">
        <f>IF($G1634="","",IF($D1634="A国内","CNY","TZS"))</f>
        <v/>
      </c>
      <c r="N1634" s="28">
        <f>IF($G1634="","",IF($D1634="A国内",汇率,1))</f>
        <v/>
      </c>
      <c r="O1634" s="25">
        <f>IF($G1634="","",ROUND(N($K1634)*N($L1634),2))</f>
        <v/>
      </c>
      <c r="P1634" s="26">
        <f>IF($G1634="","",ROUND($O1634*$N1634,0))</f>
        <v/>
      </c>
      <c r="Q1634" s="26">
        <f>IF($G1634="","",SUMIFS($P$4:$P$2503,$E$4:$E$2503,$E1634,$Z$4:$Z$2503,"正常"))</f>
        <v/>
      </c>
      <c r="R1634" s="26">
        <f>IF($G1634="","",SUMIFS(费用台账!$I$4:$I$503,费用台账!$C$4:$C$503,$E1634,费用台账!$J$4:$J$503,"是",费用台账!$K$4:$K$503,"正常"))</f>
        <v/>
      </c>
      <c r="S1634" s="28">
        <f>IF($G1634="","",COUNTIFS($E$4:$E$2503,$E1634,$Z$4:$Z$2503,"正常",$Y$4:$Y$2503,"待补价"))</f>
        <v/>
      </c>
      <c r="T1634" s="26">
        <f>IF($G1634="","",SUMIFS($P$4:$P$2503,$E$4:$E$2503,$E1634,$Z$4:$Z$2503,"正常",$A$4:$A$2503,"&lt;="&amp;$A1634))</f>
        <v/>
      </c>
      <c r="U1634" s="26">
        <f>IF($G1634="","",IF(OR($S1634&gt;0,$Q1634=0,$R1634=0,$Z1634&lt;&gt;"正常"),0,ROUND($T1634/$Q1634*$R1634,0)-ROUND(($T1634-$P1634)/$Q1634*$R1634,0)))</f>
        <v/>
      </c>
      <c r="V1634" s="26">
        <f>IF($G1634="","",ROUND($P1634+$U1634,0))</f>
        <v/>
      </c>
      <c r="W1634" s="26">
        <f>IF($G1634="","",IF(N($K1634)=0,0,ROUND($V1634/$K1634,2)))</f>
        <v/>
      </c>
      <c r="X1634" s="17" t="n"/>
      <c r="Y1634" s="17" t="n"/>
      <c r="Z1634" s="17" t="n"/>
      <c r="AA1634" s="17" t="n"/>
      <c r="AB1634" s="17" t="n"/>
      <c r="AC1634" s="24">
        <f>IF($G1634="","",IF($H1634="※编码不在物料档案里","※物料编码不在档案里",IF(N($K1634)&lt;=0,"※入库数量要大于 0",IF(AND($C1634&lt;&gt;"",$C1634&lt;=结账锁),"※日期早于已结账截止日，不能再录",IF(AND($L1634=0,$X1634="正常"),"※没填单价，价格状态请选「待补价」",IF(AND($S1634&gt;0,$R1634&gt;0),"△本批有 "&amp;$S1634&amp;" 行没单价，整批运费先挂账没摊",IF(AND($B1634&lt;&gt;"",COUNTIF($B$4:$B$2503,$B1634)&gt;1),"※入库单号重复","")))))))</f>
        <v/>
      </c>
    </row>
    <row r="1635">
      <c r="A1635" s="24">
        <f>IF($G1635="","",COUNTA($G$4:$G1635))</f>
        <v/>
      </c>
      <c r="B1635" s="17" t="n"/>
      <c r="C1635" s="30" t="n"/>
      <c r="D1635" s="17" t="n"/>
      <c r="E1635" s="17" t="n"/>
      <c r="F1635" s="17" t="n"/>
      <c r="G1635" s="17" t="n"/>
      <c r="H1635" s="24">
        <f>IF($G1635="","",IFERROR(VLOOKUP($G1635,物料档案!$A$4:$P$1203,3,0),"※编码不在物料档案里"))</f>
        <v/>
      </c>
      <c r="I1635" s="24">
        <f>IF($G1635="","",IFERROR(VLOOKUP($G1635,物料档案!$A$4:$P$1203,4,0),"※编码不在物料档案里"))</f>
        <v/>
      </c>
      <c r="J1635" s="24">
        <f>IF($G1635="","",IFERROR(VLOOKUP($G1635,物料档案!$A$4:$P$1203,5,0),"※编码不在物料档案里"))</f>
        <v/>
      </c>
      <c r="K1635" s="23" t="n"/>
      <c r="L1635" s="31" t="n"/>
      <c r="M1635" s="24">
        <f>IF($G1635="","",IF($D1635="A国内","CNY","TZS"))</f>
        <v/>
      </c>
      <c r="N1635" s="28">
        <f>IF($G1635="","",IF($D1635="A国内",汇率,1))</f>
        <v/>
      </c>
      <c r="O1635" s="25">
        <f>IF($G1635="","",ROUND(N($K1635)*N($L1635),2))</f>
        <v/>
      </c>
      <c r="P1635" s="26">
        <f>IF($G1635="","",ROUND($O1635*$N1635,0))</f>
        <v/>
      </c>
      <c r="Q1635" s="26">
        <f>IF($G1635="","",SUMIFS($P$4:$P$2503,$E$4:$E$2503,$E1635,$Z$4:$Z$2503,"正常"))</f>
        <v/>
      </c>
      <c r="R1635" s="26">
        <f>IF($G1635="","",SUMIFS(费用台账!$I$4:$I$503,费用台账!$C$4:$C$503,$E1635,费用台账!$J$4:$J$503,"是",费用台账!$K$4:$K$503,"正常"))</f>
        <v/>
      </c>
      <c r="S1635" s="28">
        <f>IF($G1635="","",COUNTIFS($E$4:$E$2503,$E1635,$Z$4:$Z$2503,"正常",$Y$4:$Y$2503,"待补价"))</f>
        <v/>
      </c>
      <c r="T1635" s="26">
        <f>IF($G1635="","",SUMIFS($P$4:$P$2503,$E$4:$E$2503,$E1635,$Z$4:$Z$2503,"正常",$A$4:$A$2503,"&lt;="&amp;$A1635))</f>
        <v/>
      </c>
      <c r="U1635" s="26">
        <f>IF($G1635="","",IF(OR($S1635&gt;0,$Q1635=0,$R1635=0,$Z1635&lt;&gt;"正常"),0,ROUND($T1635/$Q1635*$R1635,0)-ROUND(($T1635-$P1635)/$Q1635*$R1635,0)))</f>
        <v/>
      </c>
      <c r="V1635" s="26">
        <f>IF($G1635="","",ROUND($P1635+$U1635,0))</f>
        <v/>
      </c>
      <c r="W1635" s="26">
        <f>IF($G1635="","",IF(N($K1635)=0,0,ROUND($V1635/$K1635,2)))</f>
        <v/>
      </c>
      <c r="X1635" s="17" t="n"/>
      <c r="Y1635" s="17" t="n"/>
      <c r="Z1635" s="17" t="n"/>
      <c r="AA1635" s="17" t="n"/>
      <c r="AB1635" s="17" t="n"/>
      <c r="AC1635" s="24">
        <f>IF($G1635="","",IF($H1635="※编码不在物料档案里","※物料编码不在档案里",IF(N($K1635)&lt;=0,"※入库数量要大于 0",IF(AND($C1635&lt;&gt;"",$C1635&lt;=结账锁),"※日期早于已结账截止日，不能再录",IF(AND($L1635=0,$X1635="正常"),"※没填单价，价格状态请选「待补价」",IF(AND($S1635&gt;0,$R1635&gt;0),"△本批有 "&amp;$S1635&amp;" 行没单价，整批运费先挂账没摊",IF(AND($B1635&lt;&gt;"",COUNTIF($B$4:$B$2503,$B1635)&gt;1),"※入库单号重复","")))))))</f>
        <v/>
      </c>
    </row>
    <row r="1636">
      <c r="A1636" s="24">
        <f>IF($G1636="","",COUNTA($G$4:$G1636))</f>
        <v/>
      </c>
      <c r="B1636" s="17" t="n"/>
      <c r="C1636" s="30" t="n"/>
      <c r="D1636" s="17" t="n"/>
      <c r="E1636" s="17" t="n"/>
      <c r="F1636" s="17" t="n"/>
      <c r="G1636" s="17" t="n"/>
      <c r="H1636" s="24">
        <f>IF($G1636="","",IFERROR(VLOOKUP($G1636,物料档案!$A$4:$P$1203,3,0),"※编码不在物料档案里"))</f>
        <v/>
      </c>
      <c r="I1636" s="24">
        <f>IF($G1636="","",IFERROR(VLOOKUP($G1636,物料档案!$A$4:$P$1203,4,0),"※编码不在物料档案里"))</f>
        <v/>
      </c>
      <c r="J1636" s="24">
        <f>IF($G1636="","",IFERROR(VLOOKUP($G1636,物料档案!$A$4:$P$1203,5,0),"※编码不在物料档案里"))</f>
        <v/>
      </c>
      <c r="K1636" s="23" t="n"/>
      <c r="L1636" s="31" t="n"/>
      <c r="M1636" s="24">
        <f>IF($G1636="","",IF($D1636="A国内","CNY","TZS"))</f>
        <v/>
      </c>
      <c r="N1636" s="28">
        <f>IF($G1636="","",IF($D1636="A国内",汇率,1))</f>
        <v/>
      </c>
      <c r="O1636" s="25">
        <f>IF($G1636="","",ROUND(N($K1636)*N($L1636),2))</f>
        <v/>
      </c>
      <c r="P1636" s="26">
        <f>IF($G1636="","",ROUND($O1636*$N1636,0))</f>
        <v/>
      </c>
      <c r="Q1636" s="26">
        <f>IF($G1636="","",SUMIFS($P$4:$P$2503,$E$4:$E$2503,$E1636,$Z$4:$Z$2503,"正常"))</f>
        <v/>
      </c>
      <c r="R1636" s="26">
        <f>IF($G1636="","",SUMIFS(费用台账!$I$4:$I$503,费用台账!$C$4:$C$503,$E1636,费用台账!$J$4:$J$503,"是",费用台账!$K$4:$K$503,"正常"))</f>
        <v/>
      </c>
      <c r="S1636" s="28">
        <f>IF($G1636="","",COUNTIFS($E$4:$E$2503,$E1636,$Z$4:$Z$2503,"正常",$Y$4:$Y$2503,"待补价"))</f>
        <v/>
      </c>
      <c r="T1636" s="26">
        <f>IF($G1636="","",SUMIFS($P$4:$P$2503,$E$4:$E$2503,$E1636,$Z$4:$Z$2503,"正常",$A$4:$A$2503,"&lt;="&amp;$A1636))</f>
        <v/>
      </c>
      <c r="U1636" s="26">
        <f>IF($G1636="","",IF(OR($S1636&gt;0,$Q1636=0,$R1636=0,$Z1636&lt;&gt;"正常"),0,ROUND($T1636/$Q1636*$R1636,0)-ROUND(($T1636-$P1636)/$Q1636*$R1636,0)))</f>
        <v/>
      </c>
      <c r="V1636" s="26">
        <f>IF($G1636="","",ROUND($P1636+$U1636,0))</f>
        <v/>
      </c>
      <c r="W1636" s="26">
        <f>IF($G1636="","",IF(N($K1636)=0,0,ROUND($V1636/$K1636,2)))</f>
        <v/>
      </c>
      <c r="X1636" s="17" t="n"/>
      <c r="Y1636" s="17" t="n"/>
      <c r="Z1636" s="17" t="n"/>
      <c r="AA1636" s="17" t="n"/>
      <c r="AB1636" s="17" t="n"/>
      <c r="AC1636" s="24">
        <f>IF($G1636="","",IF($H1636="※编码不在物料档案里","※物料编码不在档案里",IF(N($K1636)&lt;=0,"※入库数量要大于 0",IF(AND($C1636&lt;&gt;"",$C1636&lt;=结账锁),"※日期早于已结账截止日，不能再录",IF(AND($L1636=0,$X1636="正常"),"※没填单价，价格状态请选「待补价」",IF(AND($S1636&gt;0,$R1636&gt;0),"△本批有 "&amp;$S1636&amp;" 行没单价，整批运费先挂账没摊",IF(AND($B1636&lt;&gt;"",COUNTIF($B$4:$B$2503,$B1636)&gt;1),"※入库单号重复","")))))))</f>
        <v/>
      </c>
    </row>
    <row r="1637">
      <c r="A1637" s="24">
        <f>IF($G1637="","",COUNTA($G$4:$G1637))</f>
        <v/>
      </c>
      <c r="B1637" s="17" t="n"/>
      <c r="C1637" s="30" t="n"/>
      <c r="D1637" s="17" t="n"/>
      <c r="E1637" s="17" t="n"/>
      <c r="F1637" s="17" t="n"/>
      <c r="G1637" s="17" t="n"/>
      <c r="H1637" s="24">
        <f>IF($G1637="","",IFERROR(VLOOKUP($G1637,物料档案!$A$4:$P$1203,3,0),"※编码不在物料档案里"))</f>
        <v/>
      </c>
      <c r="I1637" s="24">
        <f>IF($G1637="","",IFERROR(VLOOKUP($G1637,物料档案!$A$4:$P$1203,4,0),"※编码不在物料档案里"))</f>
        <v/>
      </c>
      <c r="J1637" s="24">
        <f>IF($G1637="","",IFERROR(VLOOKUP($G1637,物料档案!$A$4:$P$1203,5,0),"※编码不在物料档案里"))</f>
        <v/>
      </c>
      <c r="K1637" s="23" t="n"/>
      <c r="L1637" s="31" t="n"/>
      <c r="M1637" s="24">
        <f>IF($G1637="","",IF($D1637="A国内","CNY","TZS"))</f>
        <v/>
      </c>
      <c r="N1637" s="28">
        <f>IF($G1637="","",IF($D1637="A国内",汇率,1))</f>
        <v/>
      </c>
      <c r="O1637" s="25">
        <f>IF($G1637="","",ROUND(N($K1637)*N($L1637),2))</f>
        <v/>
      </c>
      <c r="P1637" s="26">
        <f>IF($G1637="","",ROUND($O1637*$N1637,0))</f>
        <v/>
      </c>
      <c r="Q1637" s="26">
        <f>IF($G1637="","",SUMIFS($P$4:$P$2503,$E$4:$E$2503,$E1637,$Z$4:$Z$2503,"正常"))</f>
        <v/>
      </c>
      <c r="R1637" s="26">
        <f>IF($G1637="","",SUMIFS(费用台账!$I$4:$I$503,费用台账!$C$4:$C$503,$E1637,费用台账!$J$4:$J$503,"是",费用台账!$K$4:$K$503,"正常"))</f>
        <v/>
      </c>
      <c r="S1637" s="28">
        <f>IF($G1637="","",COUNTIFS($E$4:$E$2503,$E1637,$Z$4:$Z$2503,"正常",$Y$4:$Y$2503,"待补价"))</f>
        <v/>
      </c>
      <c r="T1637" s="26">
        <f>IF($G1637="","",SUMIFS($P$4:$P$2503,$E$4:$E$2503,$E1637,$Z$4:$Z$2503,"正常",$A$4:$A$2503,"&lt;="&amp;$A1637))</f>
        <v/>
      </c>
      <c r="U1637" s="26">
        <f>IF($G1637="","",IF(OR($S1637&gt;0,$Q1637=0,$R1637=0,$Z1637&lt;&gt;"正常"),0,ROUND($T1637/$Q1637*$R1637,0)-ROUND(($T1637-$P1637)/$Q1637*$R1637,0)))</f>
        <v/>
      </c>
      <c r="V1637" s="26">
        <f>IF($G1637="","",ROUND($P1637+$U1637,0))</f>
        <v/>
      </c>
      <c r="W1637" s="26">
        <f>IF($G1637="","",IF(N($K1637)=0,0,ROUND($V1637/$K1637,2)))</f>
        <v/>
      </c>
      <c r="X1637" s="17" t="n"/>
      <c r="Y1637" s="17" t="n"/>
      <c r="Z1637" s="17" t="n"/>
      <c r="AA1637" s="17" t="n"/>
      <c r="AB1637" s="17" t="n"/>
      <c r="AC1637" s="24">
        <f>IF($G1637="","",IF($H1637="※编码不在物料档案里","※物料编码不在档案里",IF(N($K1637)&lt;=0,"※入库数量要大于 0",IF(AND($C1637&lt;&gt;"",$C1637&lt;=结账锁),"※日期早于已结账截止日，不能再录",IF(AND($L1637=0,$X1637="正常"),"※没填单价，价格状态请选「待补价」",IF(AND($S1637&gt;0,$R1637&gt;0),"△本批有 "&amp;$S1637&amp;" 行没单价，整批运费先挂账没摊",IF(AND($B1637&lt;&gt;"",COUNTIF($B$4:$B$2503,$B1637)&gt;1),"※入库单号重复","")))))))</f>
        <v/>
      </c>
    </row>
    <row r="1638">
      <c r="A1638" s="24">
        <f>IF($G1638="","",COUNTA($G$4:$G1638))</f>
        <v/>
      </c>
      <c r="B1638" s="17" t="n"/>
      <c r="C1638" s="30" t="n"/>
      <c r="D1638" s="17" t="n"/>
      <c r="E1638" s="17" t="n"/>
      <c r="F1638" s="17" t="n"/>
      <c r="G1638" s="17" t="n"/>
      <c r="H1638" s="24">
        <f>IF($G1638="","",IFERROR(VLOOKUP($G1638,物料档案!$A$4:$P$1203,3,0),"※编码不在物料档案里"))</f>
        <v/>
      </c>
      <c r="I1638" s="24">
        <f>IF($G1638="","",IFERROR(VLOOKUP($G1638,物料档案!$A$4:$P$1203,4,0),"※编码不在物料档案里"))</f>
        <v/>
      </c>
      <c r="J1638" s="24">
        <f>IF($G1638="","",IFERROR(VLOOKUP($G1638,物料档案!$A$4:$P$1203,5,0),"※编码不在物料档案里"))</f>
        <v/>
      </c>
      <c r="K1638" s="23" t="n"/>
      <c r="L1638" s="31" t="n"/>
      <c r="M1638" s="24">
        <f>IF($G1638="","",IF($D1638="A国内","CNY","TZS"))</f>
        <v/>
      </c>
      <c r="N1638" s="28">
        <f>IF($G1638="","",IF($D1638="A国内",汇率,1))</f>
        <v/>
      </c>
      <c r="O1638" s="25">
        <f>IF($G1638="","",ROUND(N($K1638)*N($L1638),2))</f>
        <v/>
      </c>
      <c r="P1638" s="26">
        <f>IF($G1638="","",ROUND($O1638*$N1638,0))</f>
        <v/>
      </c>
      <c r="Q1638" s="26">
        <f>IF($G1638="","",SUMIFS($P$4:$P$2503,$E$4:$E$2503,$E1638,$Z$4:$Z$2503,"正常"))</f>
        <v/>
      </c>
      <c r="R1638" s="26">
        <f>IF($G1638="","",SUMIFS(费用台账!$I$4:$I$503,费用台账!$C$4:$C$503,$E1638,费用台账!$J$4:$J$503,"是",费用台账!$K$4:$K$503,"正常"))</f>
        <v/>
      </c>
      <c r="S1638" s="28">
        <f>IF($G1638="","",COUNTIFS($E$4:$E$2503,$E1638,$Z$4:$Z$2503,"正常",$Y$4:$Y$2503,"待补价"))</f>
        <v/>
      </c>
      <c r="T1638" s="26">
        <f>IF($G1638="","",SUMIFS($P$4:$P$2503,$E$4:$E$2503,$E1638,$Z$4:$Z$2503,"正常",$A$4:$A$2503,"&lt;="&amp;$A1638))</f>
        <v/>
      </c>
      <c r="U1638" s="26">
        <f>IF($G1638="","",IF(OR($S1638&gt;0,$Q1638=0,$R1638=0,$Z1638&lt;&gt;"正常"),0,ROUND($T1638/$Q1638*$R1638,0)-ROUND(($T1638-$P1638)/$Q1638*$R1638,0)))</f>
        <v/>
      </c>
      <c r="V1638" s="26">
        <f>IF($G1638="","",ROUND($P1638+$U1638,0))</f>
        <v/>
      </c>
      <c r="W1638" s="26">
        <f>IF($G1638="","",IF(N($K1638)=0,0,ROUND($V1638/$K1638,2)))</f>
        <v/>
      </c>
      <c r="X1638" s="17" t="n"/>
      <c r="Y1638" s="17" t="n"/>
      <c r="Z1638" s="17" t="n"/>
      <c r="AA1638" s="17" t="n"/>
      <c r="AB1638" s="17" t="n"/>
      <c r="AC1638" s="24">
        <f>IF($G1638="","",IF($H1638="※编码不在物料档案里","※物料编码不在档案里",IF(N($K1638)&lt;=0,"※入库数量要大于 0",IF(AND($C1638&lt;&gt;"",$C1638&lt;=结账锁),"※日期早于已结账截止日，不能再录",IF(AND($L1638=0,$X1638="正常"),"※没填单价，价格状态请选「待补价」",IF(AND($S1638&gt;0,$R1638&gt;0),"△本批有 "&amp;$S1638&amp;" 行没单价，整批运费先挂账没摊",IF(AND($B1638&lt;&gt;"",COUNTIF($B$4:$B$2503,$B1638)&gt;1),"※入库单号重复","")))))))</f>
        <v/>
      </c>
    </row>
    <row r="1639">
      <c r="A1639" s="24">
        <f>IF($G1639="","",COUNTA($G$4:$G1639))</f>
        <v/>
      </c>
      <c r="B1639" s="17" t="n"/>
      <c r="C1639" s="30" t="n"/>
      <c r="D1639" s="17" t="n"/>
      <c r="E1639" s="17" t="n"/>
      <c r="F1639" s="17" t="n"/>
      <c r="G1639" s="17" t="n"/>
      <c r="H1639" s="24">
        <f>IF($G1639="","",IFERROR(VLOOKUP($G1639,物料档案!$A$4:$P$1203,3,0),"※编码不在物料档案里"))</f>
        <v/>
      </c>
      <c r="I1639" s="24">
        <f>IF($G1639="","",IFERROR(VLOOKUP($G1639,物料档案!$A$4:$P$1203,4,0),"※编码不在物料档案里"))</f>
        <v/>
      </c>
      <c r="J1639" s="24">
        <f>IF($G1639="","",IFERROR(VLOOKUP($G1639,物料档案!$A$4:$P$1203,5,0),"※编码不在物料档案里"))</f>
        <v/>
      </c>
      <c r="K1639" s="23" t="n"/>
      <c r="L1639" s="31" t="n"/>
      <c r="M1639" s="24">
        <f>IF($G1639="","",IF($D1639="A国内","CNY","TZS"))</f>
        <v/>
      </c>
      <c r="N1639" s="28">
        <f>IF($G1639="","",IF($D1639="A国内",汇率,1))</f>
        <v/>
      </c>
      <c r="O1639" s="25">
        <f>IF($G1639="","",ROUND(N($K1639)*N($L1639),2))</f>
        <v/>
      </c>
      <c r="P1639" s="26">
        <f>IF($G1639="","",ROUND($O1639*$N1639,0))</f>
        <v/>
      </c>
      <c r="Q1639" s="26">
        <f>IF($G1639="","",SUMIFS($P$4:$P$2503,$E$4:$E$2503,$E1639,$Z$4:$Z$2503,"正常"))</f>
        <v/>
      </c>
      <c r="R1639" s="26">
        <f>IF($G1639="","",SUMIFS(费用台账!$I$4:$I$503,费用台账!$C$4:$C$503,$E1639,费用台账!$J$4:$J$503,"是",费用台账!$K$4:$K$503,"正常"))</f>
        <v/>
      </c>
      <c r="S1639" s="28">
        <f>IF($G1639="","",COUNTIFS($E$4:$E$2503,$E1639,$Z$4:$Z$2503,"正常",$Y$4:$Y$2503,"待补价"))</f>
        <v/>
      </c>
      <c r="T1639" s="26">
        <f>IF($G1639="","",SUMIFS($P$4:$P$2503,$E$4:$E$2503,$E1639,$Z$4:$Z$2503,"正常",$A$4:$A$2503,"&lt;="&amp;$A1639))</f>
        <v/>
      </c>
      <c r="U1639" s="26">
        <f>IF($G1639="","",IF(OR($S1639&gt;0,$Q1639=0,$R1639=0,$Z1639&lt;&gt;"正常"),0,ROUND($T1639/$Q1639*$R1639,0)-ROUND(($T1639-$P1639)/$Q1639*$R1639,0)))</f>
        <v/>
      </c>
      <c r="V1639" s="26">
        <f>IF($G1639="","",ROUND($P1639+$U1639,0))</f>
        <v/>
      </c>
      <c r="W1639" s="26">
        <f>IF($G1639="","",IF(N($K1639)=0,0,ROUND($V1639/$K1639,2)))</f>
        <v/>
      </c>
      <c r="X1639" s="17" t="n"/>
      <c r="Y1639" s="17" t="n"/>
      <c r="Z1639" s="17" t="n"/>
      <c r="AA1639" s="17" t="n"/>
      <c r="AB1639" s="17" t="n"/>
      <c r="AC1639" s="24">
        <f>IF($G1639="","",IF($H1639="※编码不在物料档案里","※物料编码不在档案里",IF(N($K1639)&lt;=0,"※入库数量要大于 0",IF(AND($C1639&lt;&gt;"",$C1639&lt;=结账锁),"※日期早于已结账截止日，不能再录",IF(AND($L1639=0,$X1639="正常"),"※没填单价，价格状态请选「待补价」",IF(AND($S1639&gt;0,$R1639&gt;0),"△本批有 "&amp;$S1639&amp;" 行没单价，整批运费先挂账没摊",IF(AND($B1639&lt;&gt;"",COUNTIF($B$4:$B$2503,$B1639)&gt;1),"※入库单号重复","")))))))</f>
        <v/>
      </c>
    </row>
    <row r="1640">
      <c r="A1640" s="24">
        <f>IF($G1640="","",COUNTA($G$4:$G1640))</f>
        <v/>
      </c>
      <c r="B1640" s="17" t="n"/>
      <c r="C1640" s="30" t="n"/>
      <c r="D1640" s="17" t="n"/>
      <c r="E1640" s="17" t="n"/>
      <c r="F1640" s="17" t="n"/>
      <c r="G1640" s="17" t="n"/>
      <c r="H1640" s="24">
        <f>IF($G1640="","",IFERROR(VLOOKUP($G1640,物料档案!$A$4:$P$1203,3,0),"※编码不在物料档案里"))</f>
        <v/>
      </c>
      <c r="I1640" s="24">
        <f>IF($G1640="","",IFERROR(VLOOKUP($G1640,物料档案!$A$4:$P$1203,4,0),"※编码不在物料档案里"))</f>
        <v/>
      </c>
      <c r="J1640" s="24">
        <f>IF($G1640="","",IFERROR(VLOOKUP($G1640,物料档案!$A$4:$P$1203,5,0),"※编码不在物料档案里"))</f>
        <v/>
      </c>
      <c r="K1640" s="23" t="n"/>
      <c r="L1640" s="31" t="n"/>
      <c r="M1640" s="24">
        <f>IF($G1640="","",IF($D1640="A国内","CNY","TZS"))</f>
        <v/>
      </c>
      <c r="N1640" s="28">
        <f>IF($G1640="","",IF($D1640="A国内",汇率,1))</f>
        <v/>
      </c>
      <c r="O1640" s="25">
        <f>IF($G1640="","",ROUND(N($K1640)*N($L1640),2))</f>
        <v/>
      </c>
      <c r="P1640" s="26">
        <f>IF($G1640="","",ROUND($O1640*$N1640,0))</f>
        <v/>
      </c>
      <c r="Q1640" s="26">
        <f>IF($G1640="","",SUMIFS($P$4:$P$2503,$E$4:$E$2503,$E1640,$Z$4:$Z$2503,"正常"))</f>
        <v/>
      </c>
      <c r="R1640" s="26">
        <f>IF($G1640="","",SUMIFS(费用台账!$I$4:$I$503,费用台账!$C$4:$C$503,$E1640,费用台账!$J$4:$J$503,"是",费用台账!$K$4:$K$503,"正常"))</f>
        <v/>
      </c>
      <c r="S1640" s="28">
        <f>IF($G1640="","",COUNTIFS($E$4:$E$2503,$E1640,$Z$4:$Z$2503,"正常",$Y$4:$Y$2503,"待补价"))</f>
        <v/>
      </c>
      <c r="T1640" s="26">
        <f>IF($G1640="","",SUMIFS($P$4:$P$2503,$E$4:$E$2503,$E1640,$Z$4:$Z$2503,"正常",$A$4:$A$2503,"&lt;="&amp;$A1640))</f>
        <v/>
      </c>
      <c r="U1640" s="26">
        <f>IF($G1640="","",IF(OR($S1640&gt;0,$Q1640=0,$R1640=0,$Z1640&lt;&gt;"正常"),0,ROUND($T1640/$Q1640*$R1640,0)-ROUND(($T1640-$P1640)/$Q1640*$R1640,0)))</f>
        <v/>
      </c>
      <c r="V1640" s="26">
        <f>IF($G1640="","",ROUND($P1640+$U1640,0))</f>
        <v/>
      </c>
      <c r="W1640" s="26">
        <f>IF($G1640="","",IF(N($K1640)=0,0,ROUND($V1640/$K1640,2)))</f>
        <v/>
      </c>
      <c r="X1640" s="17" t="n"/>
      <c r="Y1640" s="17" t="n"/>
      <c r="Z1640" s="17" t="n"/>
      <c r="AA1640" s="17" t="n"/>
      <c r="AB1640" s="17" t="n"/>
      <c r="AC1640" s="24">
        <f>IF($G1640="","",IF($H1640="※编码不在物料档案里","※物料编码不在档案里",IF(N($K1640)&lt;=0,"※入库数量要大于 0",IF(AND($C1640&lt;&gt;"",$C1640&lt;=结账锁),"※日期早于已结账截止日，不能再录",IF(AND($L1640=0,$X1640="正常"),"※没填单价，价格状态请选「待补价」",IF(AND($S1640&gt;0,$R1640&gt;0),"△本批有 "&amp;$S1640&amp;" 行没单价，整批运费先挂账没摊",IF(AND($B1640&lt;&gt;"",COUNTIF($B$4:$B$2503,$B1640)&gt;1),"※入库单号重复","")))))))</f>
        <v/>
      </c>
    </row>
    <row r="1641">
      <c r="A1641" s="24">
        <f>IF($G1641="","",COUNTA($G$4:$G1641))</f>
        <v/>
      </c>
      <c r="B1641" s="17" t="n"/>
      <c r="C1641" s="30" t="n"/>
      <c r="D1641" s="17" t="n"/>
      <c r="E1641" s="17" t="n"/>
      <c r="F1641" s="17" t="n"/>
      <c r="G1641" s="17" t="n"/>
      <c r="H1641" s="24">
        <f>IF($G1641="","",IFERROR(VLOOKUP($G1641,物料档案!$A$4:$P$1203,3,0),"※编码不在物料档案里"))</f>
        <v/>
      </c>
      <c r="I1641" s="24">
        <f>IF($G1641="","",IFERROR(VLOOKUP($G1641,物料档案!$A$4:$P$1203,4,0),"※编码不在物料档案里"))</f>
        <v/>
      </c>
      <c r="J1641" s="24">
        <f>IF($G1641="","",IFERROR(VLOOKUP($G1641,物料档案!$A$4:$P$1203,5,0),"※编码不在物料档案里"))</f>
        <v/>
      </c>
      <c r="K1641" s="23" t="n"/>
      <c r="L1641" s="31" t="n"/>
      <c r="M1641" s="24">
        <f>IF($G1641="","",IF($D1641="A国内","CNY","TZS"))</f>
        <v/>
      </c>
      <c r="N1641" s="28">
        <f>IF($G1641="","",IF($D1641="A国内",汇率,1))</f>
        <v/>
      </c>
      <c r="O1641" s="25">
        <f>IF($G1641="","",ROUND(N($K1641)*N($L1641),2))</f>
        <v/>
      </c>
      <c r="P1641" s="26">
        <f>IF($G1641="","",ROUND($O1641*$N1641,0))</f>
        <v/>
      </c>
      <c r="Q1641" s="26">
        <f>IF($G1641="","",SUMIFS($P$4:$P$2503,$E$4:$E$2503,$E1641,$Z$4:$Z$2503,"正常"))</f>
        <v/>
      </c>
      <c r="R1641" s="26">
        <f>IF($G1641="","",SUMIFS(费用台账!$I$4:$I$503,费用台账!$C$4:$C$503,$E1641,费用台账!$J$4:$J$503,"是",费用台账!$K$4:$K$503,"正常"))</f>
        <v/>
      </c>
      <c r="S1641" s="28">
        <f>IF($G1641="","",COUNTIFS($E$4:$E$2503,$E1641,$Z$4:$Z$2503,"正常",$Y$4:$Y$2503,"待补价"))</f>
        <v/>
      </c>
      <c r="T1641" s="26">
        <f>IF($G1641="","",SUMIFS($P$4:$P$2503,$E$4:$E$2503,$E1641,$Z$4:$Z$2503,"正常",$A$4:$A$2503,"&lt;="&amp;$A1641))</f>
        <v/>
      </c>
      <c r="U1641" s="26">
        <f>IF($G1641="","",IF(OR($S1641&gt;0,$Q1641=0,$R1641=0,$Z1641&lt;&gt;"正常"),0,ROUND($T1641/$Q1641*$R1641,0)-ROUND(($T1641-$P1641)/$Q1641*$R1641,0)))</f>
        <v/>
      </c>
      <c r="V1641" s="26">
        <f>IF($G1641="","",ROUND($P1641+$U1641,0))</f>
        <v/>
      </c>
      <c r="W1641" s="26">
        <f>IF($G1641="","",IF(N($K1641)=0,0,ROUND($V1641/$K1641,2)))</f>
        <v/>
      </c>
      <c r="X1641" s="17" t="n"/>
      <c r="Y1641" s="17" t="n"/>
      <c r="Z1641" s="17" t="n"/>
      <c r="AA1641" s="17" t="n"/>
      <c r="AB1641" s="17" t="n"/>
      <c r="AC1641" s="24">
        <f>IF($G1641="","",IF($H1641="※编码不在物料档案里","※物料编码不在档案里",IF(N($K1641)&lt;=0,"※入库数量要大于 0",IF(AND($C1641&lt;&gt;"",$C1641&lt;=结账锁),"※日期早于已结账截止日，不能再录",IF(AND($L1641=0,$X1641="正常"),"※没填单价，价格状态请选「待补价」",IF(AND($S1641&gt;0,$R1641&gt;0),"△本批有 "&amp;$S1641&amp;" 行没单价，整批运费先挂账没摊",IF(AND($B1641&lt;&gt;"",COUNTIF($B$4:$B$2503,$B1641)&gt;1),"※入库单号重复","")))))))</f>
        <v/>
      </c>
    </row>
    <row r="1642">
      <c r="A1642" s="24">
        <f>IF($G1642="","",COUNTA($G$4:$G1642))</f>
        <v/>
      </c>
      <c r="B1642" s="17" t="n"/>
      <c r="C1642" s="30" t="n"/>
      <c r="D1642" s="17" t="n"/>
      <c r="E1642" s="17" t="n"/>
      <c r="F1642" s="17" t="n"/>
      <c r="G1642" s="17" t="n"/>
      <c r="H1642" s="24">
        <f>IF($G1642="","",IFERROR(VLOOKUP($G1642,物料档案!$A$4:$P$1203,3,0),"※编码不在物料档案里"))</f>
        <v/>
      </c>
      <c r="I1642" s="24">
        <f>IF($G1642="","",IFERROR(VLOOKUP($G1642,物料档案!$A$4:$P$1203,4,0),"※编码不在物料档案里"))</f>
        <v/>
      </c>
      <c r="J1642" s="24">
        <f>IF($G1642="","",IFERROR(VLOOKUP($G1642,物料档案!$A$4:$P$1203,5,0),"※编码不在物料档案里"))</f>
        <v/>
      </c>
      <c r="K1642" s="23" t="n"/>
      <c r="L1642" s="31" t="n"/>
      <c r="M1642" s="24">
        <f>IF($G1642="","",IF($D1642="A国内","CNY","TZS"))</f>
        <v/>
      </c>
      <c r="N1642" s="28">
        <f>IF($G1642="","",IF($D1642="A国内",汇率,1))</f>
        <v/>
      </c>
      <c r="O1642" s="25">
        <f>IF($G1642="","",ROUND(N($K1642)*N($L1642),2))</f>
        <v/>
      </c>
      <c r="P1642" s="26">
        <f>IF($G1642="","",ROUND($O1642*$N1642,0))</f>
        <v/>
      </c>
      <c r="Q1642" s="26">
        <f>IF($G1642="","",SUMIFS($P$4:$P$2503,$E$4:$E$2503,$E1642,$Z$4:$Z$2503,"正常"))</f>
        <v/>
      </c>
      <c r="R1642" s="26">
        <f>IF($G1642="","",SUMIFS(费用台账!$I$4:$I$503,费用台账!$C$4:$C$503,$E1642,费用台账!$J$4:$J$503,"是",费用台账!$K$4:$K$503,"正常"))</f>
        <v/>
      </c>
      <c r="S1642" s="28">
        <f>IF($G1642="","",COUNTIFS($E$4:$E$2503,$E1642,$Z$4:$Z$2503,"正常",$Y$4:$Y$2503,"待补价"))</f>
        <v/>
      </c>
      <c r="T1642" s="26">
        <f>IF($G1642="","",SUMIFS($P$4:$P$2503,$E$4:$E$2503,$E1642,$Z$4:$Z$2503,"正常",$A$4:$A$2503,"&lt;="&amp;$A1642))</f>
        <v/>
      </c>
      <c r="U1642" s="26">
        <f>IF($G1642="","",IF(OR($S1642&gt;0,$Q1642=0,$R1642=0,$Z1642&lt;&gt;"正常"),0,ROUND($T1642/$Q1642*$R1642,0)-ROUND(($T1642-$P1642)/$Q1642*$R1642,0)))</f>
        <v/>
      </c>
      <c r="V1642" s="26">
        <f>IF($G1642="","",ROUND($P1642+$U1642,0))</f>
        <v/>
      </c>
      <c r="W1642" s="26">
        <f>IF($G1642="","",IF(N($K1642)=0,0,ROUND($V1642/$K1642,2)))</f>
        <v/>
      </c>
      <c r="X1642" s="17" t="n"/>
      <c r="Y1642" s="17" t="n"/>
      <c r="Z1642" s="17" t="n"/>
      <c r="AA1642" s="17" t="n"/>
      <c r="AB1642" s="17" t="n"/>
      <c r="AC1642" s="24">
        <f>IF($G1642="","",IF($H1642="※编码不在物料档案里","※物料编码不在档案里",IF(N($K1642)&lt;=0,"※入库数量要大于 0",IF(AND($C1642&lt;&gt;"",$C1642&lt;=结账锁),"※日期早于已结账截止日，不能再录",IF(AND($L1642=0,$X1642="正常"),"※没填单价，价格状态请选「待补价」",IF(AND($S1642&gt;0,$R1642&gt;0),"△本批有 "&amp;$S1642&amp;" 行没单价，整批运费先挂账没摊",IF(AND($B1642&lt;&gt;"",COUNTIF($B$4:$B$2503,$B1642)&gt;1),"※入库单号重复","")))))))</f>
        <v/>
      </c>
    </row>
    <row r="1643">
      <c r="A1643" s="24">
        <f>IF($G1643="","",COUNTA($G$4:$G1643))</f>
        <v/>
      </c>
      <c r="B1643" s="17" t="n"/>
      <c r="C1643" s="30" t="n"/>
      <c r="D1643" s="17" t="n"/>
      <c r="E1643" s="17" t="n"/>
      <c r="F1643" s="17" t="n"/>
      <c r="G1643" s="17" t="n"/>
      <c r="H1643" s="24">
        <f>IF($G1643="","",IFERROR(VLOOKUP($G1643,物料档案!$A$4:$P$1203,3,0),"※编码不在物料档案里"))</f>
        <v/>
      </c>
      <c r="I1643" s="24">
        <f>IF($G1643="","",IFERROR(VLOOKUP($G1643,物料档案!$A$4:$P$1203,4,0),"※编码不在物料档案里"))</f>
        <v/>
      </c>
      <c r="J1643" s="24">
        <f>IF($G1643="","",IFERROR(VLOOKUP($G1643,物料档案!$A$4:$P$1203,5,0),"※编码不在物料档案里"))</f>
        <v/>
      </c>
      <c r="K1643" s="23" t="n"/>
      <c r="L1643" s="31" t="n"/>
      <c r="M1643" s="24">
        <f>IF($G1643="","",IF($D1643="A国内","CNY","TZS"))</f>
        <v/>
      </c>
      <c r="N1643" s="28">
        <f>IF($G1643="","",IF($D1643="A国内",汇率,1))</f>
        <v/>
      </c>
      <c r="O1643" s="25">
        <f>IF($G1643="","",ROUND(N($K1643)*N($L1643),2))</f>
        <v/>
      </c>
      <c r="P1643" s="26">
        <f>IF($G1643="","",ROUND($O1643*$N1643,0))</f>
        <v/>
      </c>
      <c r="Q1643" s="26">
        <f>IF($G1643="","",SUMIFS($P$4:$P$2503,$E$4:$E$2503,$E1643,$Z$4:$Z$2503,"正常"))</f>
        <v/>
      </c>
      <c r="R1643" s="26">
        <f>IF($G1643="","",SUMIFS(费用台账!$I$4:$I$503,费用台账!$C$4:$C$503,$E1643,费用台账!$J$4:$J$503,"是",费用台账!$K$4:$K$503,"正常"))</f>
        <v/>
      </c>
      <c r="S1643" s="28">
        <f>IF($G1643="","",COUNTIFS($E$4:$E$2503,$E1643,$Z$4:$Z$2503,"正常",$Y$4:$Y$2503,"待补价"))</f>
        <v/>
      </c>
      <c r="T1643" s="26">
        <f>IF($G1643="","",SUMIFS($P$4:$P$2503,$E$4:$E$2503,$E1643,$Z$4:$Z$2503,"正常",$A$4:$A$2503,"&lt;="&amp;$A1643))</f>
        <v/>
      </c>
      <c r="U1643" s="26">
        <f>IF($G1643="","",IF(OR($S1643&gt;0,$Q1643=0,$R1643=0,$Z1643&lt;&gt;"正常"),0,ROUND($T1643/$Q1643*$R1643,0)-ROUND(($T1643-$P1643)/$Q1643*$R1643,0)))</f>
        <v/>
      </c>
      <c r="V1643" s="26">
        <f>IF($G1643="","",ROUND($P1643+$U1643,0))</f>
        <v/>
      </c>
      <c r="W1643" s="26">
        <f>IF($G1643="","",IF(N($K1643)=0,0,ROUND($V1643/$K1643,2)))</f>
        <v/>
      </c>
      <c r="X1643" s="17" t="n"/>
      <c r="Y1643" s="17" t="n"/>
      <c r="Z1643" s="17" t="n"/>
      <c r="AA1643" s="17" t="n"/>
      <c r="AB1643" s="17" t="n"/>
      <c r="AC1643" s="24">
        <f>IF($G1643="","",IF($H1643="※编码不在物料档案里","※物料编码不在档案里",IF(N($K1643)&lt;=0,"※入库数量要大于 0",IF(AND($C1643&lt;&gt;"",$C1643&lt;=结账锁),"※日期早于已结账截止日，不能再录",IF(AND($L1643=0,$X1643="正常"),"※没填单价，价格状态请选「待补价」",IF(AND($S1643&gt;0,$R1643&gt;0),"△本批有 "&amp;$S1643&amp;" 行没单价，整批运费先挂账没摊",IF(AND($B1643&lt;&gt;"",COUNTIF($B$4:$B$2503,$B1643)&gt;1),"※入库单号重复","")))))))</f>
        <v/>
      </c>
    </row>
    <row r="1644">
      <c r="A1644" s="24">
        <f>IF($G1644="","",COUNTA($G$4:$G1644))</f>
        <v/>
      </c>
      <c r="B1644" s="17" t="n"/>
      <c r="C1644" s="30" t="n"/>
      <c r="D1644" s="17" t="n"/>
      <c r="E1644" s="17" t="n"/>
      <c r="F1644" s="17" t="n"/>
      <c r="G1644" s="17" t="n"/>
      <c r="H1644" s="24">
        <f>IF($G1644="","",IFERROR(VLOOKUP($G1644,物料档案!$A$4:$P$1203,3,0),"※编码不在物料档案里"))</f>
        <v/>
      </c>
      <c r="I1644" s="24">
        <f>IF($G1644="","",IFERROR(VLOOKUP($G1644,物料档案!$A$4:$P$1203,4,0),"※编码不在物料档案里"))</f>
        <v/>
      </c>
      <c r="J1644" s="24">
        <f>IF($G1644="","",IFERROR(VLOOKUP($G1644,物料档案!$A$4:$P$1203,5,0),"※编码不在物料档案里"))</f>
        <v/>
      </c>
      <c r="K1644" s="23" t="n"/>
      <c r="L1644" s="31" t="n"/>
      <c r="M1644" s="24">
        <f>IF($G1644="","",IF($D1644="A国内","CNY","TZS"))</f>
        <v/>
      </c>
      <c r="N1644" s="28">
        <f>IF($G1644="","",IF($D1644="A国内",汇率,1))</f>
        <v/>
      </c>
      <c r="O1644" s="25">
        <f>IF($G1644="","",ROUND(N($K1644)*N($L1644),2))</f>
        <v/>
      </c>
      <c r="P1644" s="26">
        <f>IF($G1644="","",ROUND($O1644*$N1644,0))</f>
        <v/>
      </c>
      <c r="Q1644" s="26">
        <f>IF($G1644="","",SUMIFS($P$4:$P$2503,$E$4:$E$2503,$E1644,$Z$4:$Z$2503,"正常"))</f>
        <v/>
      </c>
      <c r="R1644" s="26">
        <f>IF($G1644="","",SUMIFS(费用台账!$I$4:$I$503,费用台账!$C$4:$C$503,$E1644,费用台账!$J$4:$J$503,"是",费用台账!$K$4:$K$503,"正常"))</f>
        <v/>
      </c>
      <c r="S1644" s="28">
        <f>IF($G1644="","",COUNTIFS($E$4:$E$2503,$E1644,$Z$4:$Z$2503,"正常",$Y$4:$Y$2503,"待补价"))</f>
        <v/>
      </c>
      <c r="T1644" s="26">
        <f>IF($G1644="","",SUMIFS($P$4:$P$2503,$E$4:$E$2503,$E1644,$Z$4:$Z$2503,"正常",$A$4:$A$2503,"&lt;="&amp;$A1644))</f>
        <v/>
      </c>
      <c r="U1644" s="26">
        <f>IF($G1644="","",IF(OR($S1644&gt;0,$Q1644=0,$R1644=0,$Z1644&lt;&gt;"正常"),0,ROUND($T1644/$Q1644*$R1644,0)-ROUND(($T1644-$P1644)/$Q1644*$R1644,0)))</f>
        <v/>
      </c>
      <c r="V1644" s="26">
        <f>IF($G1644="","",ROUND($P1644+$U1644,0))</f>
        <v/>
      </c>
      <c r="W1644" s="26">
        <f>IF($G1644="","",IF(N($K1644)=0,0,ROUND($V1644/$K1644,2)))</f>
        <v/>
      </c>
      <c r="X1644" s="17" t="n"/>
      <c r="Y1644" s="17" t="n"/>
      <c r="Z1644" s="17" t="n"/>
      <c r="AA1644" s="17" t="n"/>
      <c r="AB1644" s="17" t="n"/>
      <c r="AC1644" s="24">
        <f>IF($G1644="","",IF($H1644="※编码不在物料档案里","※物料编码不在档案里",IF(N($K1644)&lt;=0,"※入库数量要大于 0",IF(AND($C1644&lt;&gt;"",$C1644&lt;=结账锁),"※日期早于已结账截止日，不能再录",IF(AND($L1644=0,$X1644="正常"),"※没填单价，价格状态请选「待补价」",IF(AND($S1644&gt;0,$R1644&gt;0),"△本批有 "&amp;$S1644&amp;" 行没单价，整批运费先挂账没摊",IF(AND($B1644&lt;&gt;"",COUNTIF($B$4:$B$2503,$B1644)&gt;1),"※入库单号重复","")))))))</f>
        <v/>
      </c>
    </row>
    <row r="1645">
      <c r="A1645" s="24">
        <f>IF($G1645="","",COUNTA($G$4:$G1645))</f>
        <v/>
      </c>
      <c r="B1645" s="17" t="n"/>
      <c r="C1645" s="30" t="n"/>
      <c r="D1645" s="17" t="n"/>
      <c r="E1645" s="17" t="n"/>
      <c r="F1645" s="17" t="n"/>
      <c r="G1645" s="17" t="n"/>
      <c r="H1645" s="24">
        <f>IF($G1645="","",IFERROR(VLOOKUP($G1645,物料档案!$A$4:$P$1203,3,0),"※编码不在物料档案里"))</f>
        <v/>
      </c>
      <c r="I1645" s="24">
        <f>IF($G1645="","",IFERROR(VLOOKUP($G1645,物料档案!$A$4:$P$1203,4,0),"※编码不在物料档案里"))</f>
        <v/>
      </c>
      <c r="J1645" s="24">
        <f>IF($G1645="","",IFERROR(VLOOKUP($G1645,物料档案!$A$4:$P$1203,5,0),"※编码不在物料档案里"))</f>
        <v/>
      </c>
      <c r="K1645" s="23" t="n"/>
      <c r="L1645" s="31" t="n"/>
      <c r="M1645" s="24">
        <f>IF($G1645="","",IF($D1645="A国内","CNY","TZS"))</f>
        <v/>
      </c>
      <c r="N1645" s="28">
        <f>IF($G1645="","",IF($D1645="A国内",汇率,1))</f>
        <v/>
      </c>
      <c r="O1645" s="25">
        <f>IF($G1645="","",ROUND(N($K1645)*N($L1645),2))</f>
        <v/>
      </c>
      <c r="P1645" s="26">
        <f>IF($G1645="","",ROUND($O1645*$N1645,0))</f>
        <v/>
      </c>
      <c r="Q1645" s="26">
        <f>IF($G1645="","",SUMIFS($P$4:$P$2503,$E$4:$E$2503,$E1645,$Z$4:$Z$2503,"正常"))</f>
        <v/>
      </c>
      <c r="R1645" s="26">
        <f>IF($G1645="","",SUMIFS(费用台账!$I$4:$I$503,费用台账!$C$4:$C$503,$E1645,费用台账!$J$4:$J$503,"是",费用台账!$K$4:$K$503,"正常"))</f>
        <v/>
      </c>
      <c r="S1645" s="28">
        <f>IF($G1645="","",COUNTIFS($E$4:$E$2503,$E1645,$Z$4:$Z$2503,"正常",$Y$4:$Y$2503,"待补价"))</f>
        <v/>
      </c>
      <c r="T1645" s="26">
        <f>IF($G1645="","",SUMIFS($P$4:$P$2503,$E$4:$E$2503,$E1645,$Z$4:$Z$2503,"正常",$A$4:$A$2503,"&lt;="&amp;$A1645))</f>
        <v/>
      </c>
      <c r="U1645" s="26">
        <f>IF($G1645="","",IF(OR($S1645&gt;0,$Q1645=0,$R1645=0,$Z1645&lt;&gt;"正常"),0,ROUND($T1645/$Q1645*$R1645,0)-ROUND(($T1645-$P1645)/$Q1645*$R1645,0)))</f>
        <v/>
      </c>
      <c r="V1645" s="26">
        <f>IF($G1645="","",ROUND($P1645+$U1645,0))</f>
        <v/>
      </c>
      <c r="W1645" s="26">
        <f>IF($G1645="","",IF(N($K1645)=0,0,ROUND($V1645/$K1645,2)))</f>
        <v/>
      </c>
      <c r="X1645" s="17" t="n"/>
      <c r="Y1645" s="17" t="n"/>
      <c r="Z1645" s="17" t="n"/>
      <c r="AA1645" s="17" t="n"/>
      <c r="AB1645" s="17" t="n"/>
      <c r="AC1645" s="24">
        <f>IF($G1645="","",IF($H1645="※编码不在物料档案里","※物料编码不在档案里",IF(N($K1645)&lt;=0,"※入库数量要大于 0",IF(AND($C1645&lt;&gt;"",$C1645&lt;=结账锁),"※日期早于已结账截止日，不能再录",IF(AND($L1645=0,$X1645="正常"),"※没填单价，价格状态请选「待补价」",IF(AND($S1645&gt;0,$R1645&gt;0),"△本批有 "&amp;$S1645&amp;" 行没单价，整批运费先挂账没摊",IF(AND($B1645&lt;&gt;"",COUNTIF($B$4:$B$2503,$B1645)&gt;1),"※入库单号重复","")))))))</f>
        <v/>
      </c>
    </row>
    <row r="1646">
      <c r="A1646" s="24">
        <f>IF($G1646="","",COUNTA($G$4:$G1646))</f>
        <v/>
      </c>
      <c r="B1646" s="17" t="n"/>
      <c r="C1646" s="30" t="n"/>
      <c r="D1646" s="17" t="n"/>
      <c r="E1646" s="17" t="n"/>
      <c r="F1646" s="17" t="n"/>
      <c r="G1646" s="17" t="n"/>
      <c r="H1646" s="24">
        <f>IF($G1646="","",IFERROR(VLOOKUP($G1646,物料档案!$A$4:$P$1203,3,0),"※编码不在物料档案里"))</f>
        <v/>
      </c>
      <c r="I1646" s="24">
        <f>IF($G1646="","",IFERROR(VLOOKUP($G1646,物料档案!$A$4:$P$1203,4,0),"※编码不在物料档案里"))</f>
        <v/>
      </c>
      <c r="J1646" s="24">
        <f>IF($G1646="","",IFERROR(VLOOKUP($G1646,物料档案!$A$4:$P$1203,5,0),"※编码不在物料档案里"))</f>
        <v/>
      </c>
      <c r="K1646" s="23" t="n"/>
      <c r="L1646" s="31" t="n"/>
      <c r="M1646" s="24">
        <f>IF($G1646="","",IF($D1646="A国内","CNY","TZS"))</f>
        <v/>
      </c>
      <c r="N1646" s="28">
        <f>IF($G1646="","",IF($D1646="A国内",汇率,1))</f>
        <v/>
      </c>
      <c r="O1646" s="25">
        <f>IF($G1646="","",ROUND(N($K1646)*N($L1646),2))</f>
        <v/>
      </c>
      <c r="P1646" s="26">
        <f>IF($G1646="","",ROUND($O1646*$N1646,0))</f>
        <v/>
      </c>
      <c r="Q1646" s="26">
        <f>IF($G1646="","",SUMIFS($P$4:$P$2503,$E$4:$E$2503,$E1646,$Z$4:$Z$2503,"正常"))</f>
        <v/>
      </c>
      <c r="R1646" s="26">
        <f>IF($G1646="","",SUMIFS(费用台账!$I$4:$I$503,费用台账!$C$4:$C$503,$E1646,费用台账!$J$4:$J$503,"是",费用台账!$K$4:$K$503,"正常"))</f>
        <v/>
      </c>
      <c r="S1646" s="28">
        <f>IF($G1646="","",COUNTIFS($E$4:$E$2503,$E1646,$Z$4:$Z$2503,"正常",$Y$4:$Y$2503,"待补价"))</f>
        <v/>
      </c>
      <c r="T1646" s="26">
        <f>IF($G1646="","",SUMIFS($P$4:$P$2503,$E$4:$E$2503,$E1646,$Z$4:$Z$2503,"正常",$A$4:$A$2503,"&lt;="&amp;$A1646))</f>
        <v/>
      </c>
      <c r="U1646" s="26">
        <f>IF($G1646="","",IF(OR($S1646&gt;0,$Q1646=0,$R1646=0,$Z1646&lt;&gt;"正常"),0,ROUND($T1646/$Q1646*$R1646,0)-ROUND(($T1646-$P1646)/$Q1646*$R1646,0)))</f>
        <v/>
      </c>
      <c r="V1646" s="26">
        <f>IF($G1646="","",ROUND($P1646+$U1646,0))</f>
        <v/>
      </c>
      <c r="W1646" s="26">
        <f>IF($G1646="","",IF(N($K1646)=0,0,ROUND($V1646/$K1646,2)))</f>
        <v/>
      </c>
      <c r="X1646" s="17" t="n"/>
      <c r="Y1646" s="17" t="n"/>
      <c r="Z1646" s="17" t="n"/>
      <c r="AA1646" s="17" t="n"/>
      <c r="AB1646" s="17" t="n"/>
      <c r="AC1646" s="24">
        <f>IF($G1646="","",IF($H1646="※编码不在物料档案里","※物料编码不在档案里",IF(N($K1646)&lt;=0,"※入库数量要大于 0",IF(AND($C1646&lt;&gt;"",$C1646&lt;=结账锁),"※日期早于已结账截止日，不能再录",IF(AND($L1646=0,$X1646="正常"),"※没填单价，价格状态请选「待补价」",IF(AND($S1646&gt;0,$R1646&gt;0),"△本批有 "&amp;$S1646&amp;" 行没单价，整批运费先挂账没摊",IF(AND($B1646&lt;&gt;"",COUNTIF($B$4:$B$2503,$B1646)&gt;1),"※入库单号重复","")))))))</f>
        <v/>
      </c>
    </row>
    <row r="1647">
      <c r="A1647" s="24">
        <f>IF($G1647="","",COUNTA($G$4:$G1647))</f>
        <v/>
      </c>
      <c r="B1647" s="17" t="n"/>
      <c r="C1647" s="30" t="n"/>
      <c r="D1647" s="17" t="n"/>
      <c r="E1647" s="17" t="n"/>
      <c r="F1647" s="17" t="n"/>
      <c r="G1647" s="17" t="n"/>
      <c r="H1647" s="24">
        <f>IF($G1647="","",IFERROR(VLOOKUP($G1647,物料档案!$A$4:$P$1203,3,0),"※编码不在物料档案里"))</f>
        <v/>
      </c>
      <c r="I1647" s="24">
        <f>IF($G1647="","",IFERROR(VLOOKUP($G1647,物料档案!$A$4:$P$1203,4,0),"※编码不在物料档案里"))</f>
        <v/>
      </c>
      <c r="J1647" s="24">
        <f>IF($G1647="","",IFERROR(VLOOKUP($G1647,物料档案!$A$4:$P$1203,5,0),"※编码不在物料档案里"))</f>
        <v/>
      </c>
      <c r="K1647" s="23" t="n"/>
      <c r="L1647" s="31" t="n"/>
      <c r="M1647" s="24">
        <f>IF($G1647="","",IF($D1647="A国内","CNY","TZS"))</f>
        <v/>
      </c>
      <c r="N1647" s="28">
        <f>IF($G1647="","",IF($D1647="A国内",汇率,1))</f>
        <v/>
      </c>
      <c r="O1647" s="25">
        <f>IF($G1647="","",ROUND(N($K1647)*N($L1647),2))</f>
        <v/>
      </c>
      <c r="P1647" s="26">
        <f>IF($G1647="","",ROUND($O1647*$N1647,0))</f>
        <v/>
      </c>
      <c r="Q1647" s="26">
        <f>IF($G1647="","",SUMIFS($P$4:$P$2503,$E$4:$E$2503,$E1647,$Z$4:$Z$2503,"正常"))</f>
        <v/>
      </c>
      <c r="R1647" s="26">
        <f>IF($G1647="","",SUMIFS(费用台账!$I$4:$I$503,费用台账!$C$4:$C$503,$E1647,费用台账!$J$4:$J$503,"是",费用台账!$K$4:$K$503,"正常"))</f>
        <v/>
      </c>
      <c r="S1647" s="28">
        <f>IF($G1647="","",COUNTIFS($E$4:$E$2503,$E1647,$Z$4:$Z$2503,"正常",$Y$4:$Y$2503,"待补价"))</f>
        <v/>
      </c>
      <c r="T1647" s="26">
        <f>IF($G1647="","",SUMIFS($P$4:$P$2503,$E$4:$E$2503,$E1647,$Z$4:$Z$2503,"正常",$A$4:$A$2503,"&lt;="&amp;$A1647))</f>
        <v/>
      </c>
      <c r="U1647" s="26">
        <f>IF($G1647="","",IF(OR($S1647&gt;0,$Q1647=0,$R1647=0,$Z1647&lt;&gt;"正常"),0,ROUND($T1647/$Q1647*$R1647,0)-ROUND(($T1647-$P1647)/$Q1647*$R1647,0)))</f>
        <v/>
      </c>
      <c r="V1647" s="26">
        <f>IF($G1647="","",ROUND($P1647+$U1647,0))</f>
        <v/>
      </c>
      <c r="W1647" s="26">
        <f>IF($G1647="","",IF(N($K1647)=0,0,ROUND($V1647/$K1647,2)))</f>
        <v/>
      </c>
      <c r="X1647" s="17" t="n"/>
      <c r="Y1647" s="17" t="n"/>
      <c r="Z1647" s="17" t="n"/>
      <c r="AA1647" s="17" t="n"/>
      <c r="AB1647" s="17" t="n"/>
      <c r="AC1647" s="24">
        <f>IF($G1647="","",IF($H1647="※编码不在物料档案里","※物料编码不在档案里",IF(N($K1647)&lt;=0,"※入库数量要大于 0",IF(AND($C1647&lt;&gt;"",$C1647&lt;=结账锁),"※日期早于已结账截止日，不能再录",IF(AND($L1647=0,$X1647="正常"),"※没填单价，价格状态请选「待补价」",IF(AND($S1647&gt;0,$R1647&gt;0),"△本批有 "&amp;$S1647&amp;" 行没单价，整批运费先挂账没摊",IF(AND($B1647&lt;&gt;"",COUNTIF($B$4:$B$2503,$B1647)&gt;1),"※入库单号重复","")))))))</f>
        <v/>
      </c>
    </row>
    <row r="1648">
      <c r="A1648" s="24">
        <f>IF($G1648="","",COUNTA($G$4:$G1648))</f>
        <v/>
      </c>
      <c r="B1648" s="17" t="n"/>
      <c r="C1648" s="30" t="n"/>
      <c r="D1648" s="17" t="n"/>
      <c r="E1648" s="17" t="n"/>
      <c r="F1648" s="17" t="n"/>
      <c r="G1648" s="17" t="n"/>
      <c r="H1648" s="24">
        <f>IF($G1648="","",IFERROR(VLOOKUP($G1648,物料档案!$A$4:$P$1203,3,0),"※编码不在物料档案里"))</f>
        <v/>
      </c>
      <c r="I1648" s="24">
        <f>IF($G1648="","",IFERROR(VLOOKUP($G1648,物料档案!$A$4:$P$1203,4,0),"※编码不在物料档案里"))</f>
        <v/>
      </c>
      <c r="J1648" s="24">
        <f>IF($G1648="","",IFERROR(VLOOKUP($G1648,物料档案!$A$4:$P$1203,5,0),"※编码不在物料档案里"))</f>
        <v/>
      </c>
      <c r="K1648" s="23" t="n"/>
      <c r="L1648" s="31" t="n"/>
      <c r="M1648" s="24">
        <f>IF($G1648="","",IF($D1648="A国内","CNY","TZS"))</f>
        <v/>
      </c>
      <c r="N1648" s="28">
        <f>IF($G1648="","",IF($D1648="A国内",汇率,1))</f>
        <v/>
      </c>
      <c r="O1648" s="25">
        <f>IF($G1648="","",ROUND(N($K1648)*N($L1648),2))</f>
        <v/>
      </c>
      <c r="P1648" s="26">
        <f>IF($G1648="","",ROUND($O1648*$N1648,0))</f>
        <v/>
      </c>
      <c r="Q1648" s="26">
        <f>IF($G1648="","",SUMIFS($P$4:$P$2503,$E$4:$E$2503,$E1648,$Z$4:$Z$2503,"正常"))</f>
        <v/>
      </c>
      <c r="R1648" s="26">
        <f>IF($G1648="","",SUMIFS(费用台账!$I$4:$I$503,费用台账!$C$4:$C$503,$E1648,费用台账!$J$4:$J$503,"是",费用台账!$K$4:$K$503,"正常"))</f>
        <v/>
      </c>
      <c r="S1648" s="28">
        <f>IF($G1648="","",COUNTIFS($E$4:$E$2503,$E1648,$Z$4:$Z$2503,"正常",$Y$4:$Y$2503,"待补价"))</f>
        <v/>
      </c>
      <c r="T1648" s="26">
        <f>IF($G1648="","",SUMIFS($P$4:$P$2503,$E$4:$E$2503,$E1648,$Z$4:$Z$2503,"正常",$A$4:$A$2503,"&lt;="&amp;$A1648))</f>
        <v/>
      </c>
      <c r="U1648" s="26">
        <f>IF($G1648="","",IF(OR($S1648&gt;0,$Q1648=0,$R1648=0,$Z1648&lt;&gt;"正常"),0,ROUND($T1648/$Q1648*$R1648,0)-ROUND(($T1648-$P1648)/$Q1648*$R1648,0)))</f>
        <v/>
      </c>
      <c r="V1648" s="26">
        <f>IF($G1648="","",ROUND($P1648+$U1648,0))</f>
        <v/>
      </c>
      <c r="W1648" s="26">
        <f>IF($G1648="","",IF(N($K1648)=0,0,ROUND($V1648/$K1648,2)))</f>
        <v/>
      </c>
      <c r="X1648" s="17" t="n"/>
      <c r="Y1648" s="17" t="n"/>
      <c r="Z1648" s="17" t="n"/>
      <c r="AA1648" s="17" t="n"/>
      <c r="AB1648" s="17" t="n"/>
      <c r="AC1648" s="24">
        <f>IF($G1648="","",IF($H1648="※编码不在物料档案里","※物料编码不在档案里",IF(N($K1648)&lt;=0,"※入库数量要大于 0",IF(AND($C1648&lt;&gt;"",$C1648&lt;=结账锁),"※日期早于已结账截止日，不能再录",IF(AND($L1648=0,$X1648="正常"),"※没填单价，价格状态请选「待补价」",IF(AND($S1648&gt;0,$R1648&gt;0),"△本批有 "&amp;$S1648&amp;" 行没单价，整批运费先挂账没摊",IF(AND($B1648&lt;&gt;"",COUNTIF($B$4:$B$2503,$B1648)&gt;1),"※入库单号重复","")))))))</f>
        <v/>
      </c>
    </row>
    <row r="1649">
      <c r="A1649" s="24">
        <f>IF($G1649="","",COUNTA($G$4:$G1649))</f>
        <v/>
      </c>
      <c r="B1649" s="17" t="n"/>
      <c r="C1649" s="30" t="n"/>
      <c r="D1649" s="17" t="n"/>
      <c r="E1649" s="17" t="n"/>
      <c r="F1649" s="17" t="n"/>
      <c r="G1649" s="17" t="n"/>
      <c r="H1649" s="24">
        <f>IF($G1649="","",IFERROR(VLOOKUP($G1649,物料档案!$A$4:$P$1203,3,0),"※编码不在物料档案里"))</f>
        <v/>
      </c>
      <c r="I1649" s="24">
        <f>IF($G1649="","",IFERROR(VLOOKUP($G1649,物料档案!$A$4:$P$1203,4,0),"※编码不在物料档案里"))</f>
        <v/>
      </c>
      <c r="J1649" s="24">
        <f>IF($G1649="","",IFERROR(VLOOKUP($G1649,物料档案!$A$4:$P$1203,5,0),"※编码不在物料档案里"))</f>
        <v/>
      </c>
      <c r="K1649" s="23" t="n"/>
      <c r="L1649" s="31" t="n"/>
      <c r="M1649" s="24">
        <f>IF($G1649="","",IF($D1649="A国内","CNY","TZS"))</f>
        <v/>
      </c>
      <c r="N1649" s="28">
        <f>IF($G1649="","",IF($D1649="A国内",汇率,1))</f>
        <v/>
      </c>
      <c r="O1649" s="25">
        <f>IF($G1649="","",ROUND(N($K1649)*N($L1649),2))</f>
        <v/>
      </c>
      <c r="P1649" s="26">
        <f>IF($G1649="","",ROUND($O1649*$N1649,0))</f>
        <v/>
      </c>
      <c r="Q1649" s="26">
        <f>IF($G1649="","",SUMIFS($P$4:$P$2503,$E$4:$E$2503,$E1649,$Z$4:$Z$2503,"正常"))</f>
        <v/>
      </c>
      <c r="R1649" s="26">
        <f>IF($G1649="","",SUMIFS(费用台账!$I$4:$I$503,费用台账!$C$4:$C$503,$E1649,费用台账!$J$4:$J$503,"是",费用台账!$K$4:$K$503,"正常"))</f>
        <v/>
      </c>
      <c r="S1649" s="28">
        <f>IF($G1649="","",COUNTIFS($E$4:$E$2503,$E1649,$Z$4:$Z$2503,"正常",$Y$4:$Y$2503,"待补价"))</f>
        <v/>
      </c>
      <c r="T1649" s="26">
        <f>IF($G1649="","",SUMIFS($P$4:$P$2503,$E$4:$E$2503,$E1649,$Z$4:$Z$2503,"正常",$A$4:$A$2503,"&lt;="&amp;$A1649))</f>
        <v/>
      </c>
      <c r="U1649" s="26">
        <f>IF($G1649="","",IF(OR($S1649&gt;0,$Q1649=0,$R1649=0,$Z1649&lt;&gt;"正常"),0,ROUND($T1649/$Q1649*$R1649,0)-ROUND(($T1649-$P1649)/$Q1649*$R1649,0)))</f>
        <v/>
      </c>
      <c r="V1649" s="26">
        <f>IF($G1649="","",ROUND($P1649+$U1649,0))</f>
        <v/>
      </c>
      <c r="W1649" s="26">
        <f>IF($G1649="","",IF(N($K1649)=0,0,ROUND($V1649/$K1649,2)))</f>
        <v/>
      </c>
      <c r="X1649" s="17" t="n"/>
      <c r="Y1649" s="17" t="n"/>
      <c r="Z1649" s="17" t="n"/>
      <c r="AA1649" s="17" t="n"/>
      <c r="AB1649" s="17" t="n"/>
      <c r="AC1649" s="24">
        <f>IF($G1649="","",IF($H1649="※编码不在物料档案里","※物料编码不在档案里",IF(N($K1649)&lt;=0,"※入库数量要大于 0",IF(AND($C1649&lt;&gt;"",$C1649&lt;=结账锁),"※日期早于已结账截止日，不能再录",IF(AND($L1649=0,$X1649="正常"),"※没填单价，价格状态请选「待补价」",IF(AND($S1649&gt;0,$R1649&gt;0),"△本批有 "&amp;$S1649&amp;" 行没单价，整批运费先挂账没摊",IF(AND($B1649&lt;&gt;"",COUNTIF($B$4:$B$2503,$B1649)&gt;1),"※入库单号重复","")))))))</f>
        <v/>
      </c>
    </row>
    <row r="1650">
      <c r="A1650" s="24">
        <f>IF($G1650="","",COUNTA($G$4:$G1650))</f>
        <v/>
      </c>
      <c r="B1650" s="17" t="n"/>
      <c r="C1650" s="30" t="n"/>
      <c r="D1650" s="17" t="n"/>
      <c r="E1650" s="17" t="n"/>
      <c r="F1650" s="17" t="n"/>
      <c r="G1650" s="17" t="n"/>
      <c r="H1650" s="24">
        <f>IF($G1650="","",IFERROR(VLOOKUP($G1650,物料档案!$A$4:$P$1203,3,0),"※编码不在物料档案里"))</f>
        <v/>
      </c>
      <c r="I1650" s="24">
        <f>IF($G1650="","",IFERROR(VLOOKUP($G1650,物料档案!$A$4:$P$1203,4,0),"※编码不在物料档案里"))</f>
        <v/>
      </c>
      <c r="J1650" s="24">
        <f>IF($G1650="","",IFERROR(VLOOKUP($G1650,物料档案!$A$4:$P$1203,5,0),"※编码不在物料档案里"))</f>
        <v/>
      </c>
      <c r="K1650" s="23" t="n"/>
      <c r="L1650" s="31" t="n"/>
      <c r="M1650" s="24">
        <f>IF($G1650="","",IF($D1650="A国内","CNY","TZS"))</f>
        <v/>
      </c>
      <c r="N1650" s="28">
        <f>IF($G1650="","",IF($D1650="A国内",汇率,1))</f>
        <v/>
      </c>
      <c r="O1650" s="25">
        <f>IF($G1650="","",ROUND(N($K1650)*N($L1650),2))</f>
        <v/>
      </c>
      <c r="P1650" s="26">
        <f>IF($G1650="","",ROUND($O1650*$N1650,0))</f>
        <v/>
      </c>
      <c r="Q1650" s="26">
        <f>IF($G1650="","",SUMIFS($P$4:$P$2503,$E$4:$E$2503,$E1650,$Z$4:$Z$2503,"正常"))</f>
        <v/>
      </c>
      <c r="R1650" s="26">
        <f>IF($G1650="","",SUMIFS(费用台账!$I$4:$I$503,费用台账!$C$4:$C$503,$E1650,费用台账!$J$4:$J$503,"是",费用台账!$K$4:$K$503,"正常"))</f>
        <v/>
      </c>
      <c r="S1650" s="28">
        <f>IF($G1650="","",COUNTIFS($E$4:$E$2503,$E1650,$Z$4:$Z$2503,"正常",$Y$4:$Y$2503,"待补价"))</f>
        <v/>
      </c>
      <c r="T1650" s="26">
        <f>IF($G1650="","",SUMIFS($P$4:$P$2503,$E$4:$E$2503,$E1650,$Z$4:$Z$2503,"正常",$A$4:$A$2503,"&lt;="&amp;$A1650))</f>
        <v/>
      </c>
      <c r="U1650" s="26">
        <f>IF($G1650="","",IF(OR($S1650&gt;0,$Q1650=0,$R1650=0,$Z1650&lt;&gt;"正常"),0,ROUND($T1650/$Q1650*$R1650,0)-ROUND(($T1650-$P1650)/$Q1650*$R1650,0)))</f>
        <v/>
      </c>
      <c r="V1650" s="26">
        <f>IF($G1650="","",ROUND($P1650+$U1650,0))</f>
        <v/>
      </c>
      <c r="W1650" s="26">
        <f>IF($G1650="","",IF(N($K1650)=0,0,ROUND($V1650/$K1650,2)))</f>
        <v/>
      </c>
      <c r="X1650" s="17" t="n"/>
      <c r="Y1650" s="17" t="n"/>
      <c r="Z1650" s="17" t="n"/>
      <c r="AA1650" s="17" t="n"/>
      <c r="AB1650" s="17" t="n"/>
      <c r="AC1650" s="24">
        <f>IF($G1650="","",IF($H1650="※编码不在物料档案里","※物料编码不在档案里",IF(N($K1650)&lt;=0,"※入库数量要大于 0",IF(AND($C1650&lt;&gt;"",$C1650&lt;=结账锁),"※日期早于已结账截止日，不能再录",IF(AND($L1650=0,$X1650="正常"),"※没填单价，价格状态请选「待补价」",IF(AND($S1650&gt;0,$R1650&gt;0),"△本批有 "&amp;$S1650&amp;" 行没单价，整批运费先挂账没摊",IF(AND($B1650&lt;&gt;"",COUNTIF($B$4:$B$2503,$B1650)&gt;1),"※入库单号重复","")))))))</f>
        <v/>
      </c>
    </row>
    <row r="1651">
      <c r="A1651" s="24">
        <f>IF($G1651="","",COUNTA($G$4:$G1651))</f>
        <v/>
      </c>
      <c r="B1651" s="17" t="n"/>
      <c r="C1651" s="30" t="n"/>
      <c r="D1651" s="17" t="n"/>
      <c r="E1651" s="17" t="n"/>
      <c r="F1651" s="17" t="n"/>
      <c r="G1651" s="17" t="n"/>
      <c r="H1651" s="24">
        <f>IF($G1651="","",IFERROR(VLOOKUP($G1651,物料档案!$A$4:$P$1203,3,0),"※编码不在物料档案里"))</f>
        <v/>
      </c>
      <c r="I1651" s="24">
        <f>IF($G1651="","",IFERROR(VLOOKUP($G1651,物料档案!$A$4:$P$1203,4,0),"※编码不在物料档案里"))</f>
        <v/>
      </c>
      <c r="J1651" s="24">
        <f>IF($G1651="","",IFERROR(VLOOKUP($G1651,物料档案!$A$4:$P$1203,5,0),"※编码不在物料档案里"))</f>
        <v/>
      </c>
      <c r="K1651" s="23" t="n"/>
      <c r="L1651" s="31" t="n"/>
      <c r="M1651" s="24">
        <f>IF($G1651="","",IF($D1651="A国内","CNY","TZS"))</f>
        <v/>
      </c>
      <c r="N1651" s="28">
        <f>IF($G1651="","",IF($D1651="A国内",汇率,1))</f>
        <v/>
      </c>
      <c r="O1651" s="25">
        <f>IF($G1651="","",ROUND(N($K1651)*N($L1651),2))</f>
        <v/>
      </c>
      <c r="P1651" s="26">
        <f>IF($G1651="","",ROUND($O1651*$N1651,0))</f>
        <v/>
      </c>
      <c r="Q1651" s="26">
        <f>IF($G1651="","",SUMIFS($P$4:$P$2503,$E$4:$E$2503,$E1651,$Z$4:$Z$2503,"正常"))</f>
        <v/>
      </c>
      <c r="R1651" s="26">
        <f>IF($G1651="","",SUMIFS(费用台账!$I$4:$I$503,费用台账!$C$4:$C$503,$E1651,费用台账!$J$4:$J$503,"是",费用台账!$K$4:$K$503,"正常"))</f>
        <v/>
      </c>
      <c r="S1651" s="28">
        <f>IF($G1651="","",COUNTIFS($E$4:$E$2503,$E1651,$Z$4:$Z$2503,"正常",$Y$4:$Y$2503,"待补价"))</f>
        <v/>
      </c>
      <c r="T1651" s="26">
        <f>IF($G1651="","",SUMIFS($P$4:$P$2503,$E$4:$E$2503,$E1651,$Z$4:$Z$2503,"正常",$A$4:$A$2503,"&lt;="&amp;$A1651))</f>
        <v/>
      </c>
      <c r="U1651" s="26">
        <f>IF($G1651="","",IF(OR($S1651&gt;0,$Q1651=0,$R1651=0,$Z1651&lt;&gt;"正常"),0,ROUND($T1651/$Q1651*$R1651,0)-ROUND(($T1651-$P1651)/$Q1651*$R1651,0)))</f>
        <v/>
      </c>
      <c r="V1651" s="26">
        <f>IF($G1651="","",ROUND($P1651+$U1651,0))</f>
        <v/>
      </c>
      <c r="W1651" s="26">
        <f>IF($G1651="","",IF(N($K1651)=0,0,ROUND($V1651/$K1651,2)))</f>
        <v/>
      </c>
      <c r="X1651" s="17" t="n"/>
      <c r="Y1651" s="17" t="n"/>
      <c r="Z1651" s="17" t="n"/>
      <c r="AA1651" s="17" t="n"/>
      <c r="AB1651" s="17" t="n"/>
      <c r="AC1651" s="24">
        <f>IF($G1651="","",IF($H1651="※编码不在物料档案里","※物料编码不在档案里",IF(N($K1651)&lt;=0,"※入库数量要大于 0",IF(AND($C1651&lt;&gt;"",$C1651&lt;=结账锁),"※日期早于已结账截止日，不能再录",IF(AND($L1651=0,$X1651="正常"),"※没填单价，价格状态请选「待补价」",IF(AND($S1651&gt;0,$R1651&gt;0),"△本批有 "&amp;$S1651&amp;" 行没单价，整批运费先挂账没摊",IF(AND($B1651&lt;&gt;"",COUNTIF($B$4:$B$2503,$B1651)&gt;1),"※入库单号重复","")))))))</f>
        <v/>
      </c>
    </row>
    <row r="1652">
      <c r="A1652" s="24">
        <f>IF($G1652="","",COUNTA($G$4:$G1652))</f>
        <v/>
      </c>
      <c r="B1652" s="17" t="n"/>
      <c r="C1652" s="30" t="n"/>
      <c r="D1652" s="17" t="n"/>
      <c r="E1652" s="17" t="n"/>
      <c r="F1652" s="17" t="n"/>
      <c r="G1652" s="17" t="n"/>
      <c r="H1652" s="24">
        <f>IF($G1652="","",IFERROR(VLOOKUP($G1652,物料档案!$A$4:$P$1203,3,0),"※编码不在物料档案里"))</f>
        <v/>
      </c>
      <c r="I1652" s="24">
        <f>IF($G1652="","",IFERROR(VLOOKUP($G1652,物料档案!$A$4:$P$1203,4,0),"※编码不在物料档案里"))</f>
        <v/>
      </c>
      <c r="J1652" s="24">
        <f>IF($G1652="","",IFERROR(VLOOKUP($G1652,物料档案!$A$4:$P$1203,5,0),"※编码不在物料档案里"))</f>
        <v/>
      </c>
      <c r="K1652" s="23" t="n"/>
      <c r="L1652" s="31" t="n"/>
      <c r="M1652" s="24">
        <f>IF($G1652="","",IF($D1652="A国内","CNY","TZS"))</f>
        <v/>
      </c>
      <c r="N1652" s="28">
        <f>IF($G1652="","",IF($D1652="A国内",汇率,1))</f>
        <v/>
      </c>
      <c r="O1652" s="25">
        <f>IF($G1652="","",ROUND(N($K1652)*N($L1652),2))</f>
        <v/>
      </c>
      <c r="P1652" s="26">
        <f>IF($G1652="","",ROUND($O1652*$N1652,0))</f>
        <v/>
      </c>
      <c r="Q1652" s="26">
        <f>IF($G1652="","",SUMIFS($P$4:$P$2503,$E$4:$E$2503,$E1652,$Z$4:$Z$2503,"正常"))</f>
        <v/>
      </c>
      <c r="R1652" s="26">
        <f>IF($G1652="","",SUMIFS(费用台账!$I$4:$I$503,费用台账!$C$4:$C$503,$E1652,费用台账!$J$4:$J$503,"是",费用台账!$K$4:$K$503,"正常"))</f>
        <v/>
      </c>
      <c r="S1652" s="28">
        <f>IF($G1652="","",COUNTIFS($E$4:$E$2503,$E1652,$Z$4:$Z$2503,"正常",$Y$4:$Y$2503,"待补价"))</f>
        <v/>
      </c>
      <c r="T1652" s="26">
        <f>IF($G1652="","",SUMIFS($P$4:$P$2503,$E$4:$E$2503,$E1652,$Z$4:$Z$2503,"正常",$A$4:$A$2503,"&lt;="&amp;$A1652))</f>
        <v/>
      </c>
      <c r="U1652" s="26">
        <f>IF($G1652="","",IF(OR($S1652&gt;0,$Q1652=0,$R1652=0,$Z1652&lt;&gt;"正常"),0,ROUND($T1652/$Q1652*$R1652,0)-ROUND(($T1652-$P1652)/$Q1652*$R1652,0)))</f>
        <v/>
      </c>
      <c r="V1652" s="26">
        <f>IF($G1652="","",ROUND($P1652+$U1652,0))</f>
        <v/>
      </c>
      <c r="W1652" s="26">
        <f>IF($G1652="","",IF(N($K1652)=0,0,ROUND($V1652/$K1652,2)))</f>
        <v/>
      </c>
      <c r="X1652" s="17" t="n"/>
      <c r="Y1652" s="17" t="n"/>
      <c r="Z1652" s="17" t="n"/>
      <c r="AA1652" s="17" t="n"/>
      <c r="AB1652" s="17" t="n"/>
      <c r="AC1652" s="24">
        <f>IF($G1652="","",IF($H1652="※编码不在物料档案里","※物料编码不在档案里",IF(N($K1652)&lt;=0,"※入库数量要大于 0",IF(AND($C1652&lt;&gt;"",$C1652&lt;=结账锁),"※日期早于已结账截止日，不能再录",IF(AND($L1652=0,$X1652="正常"),"※没填单价，价格状态请选「待补价」",IF(AND($S1652&gt;0,$R1652&gt;0),"△本批有 "&amp;$S1652&amp;" 行没单价，整批运费先挂账没摊",IF(AND($B1652&lt;&gt;"",COUNTIF($B$4:$B$2503,$B1652)&gt;1),"※入库单号重复","")))))))</f>
        <v/>
      </c>
    </row>
    <row r="1653">
      <c r="A1653" s="24">
        <f>IF($G1653="","",COUNTA($G$4:$G1653))</f>
        <v/>
      </c>
      <c r="B1653" s="17" t="n"/>
      <c r="C1653" s="30" t="n"/>
      <c r="D1653" s="17" t="n"/>
      <c r="E1653" s="17" t="n"/>
      <c r="F1653" s="17" t="n"/>
      <c r="G1653" s="17" t="n"/>
      <c r="H1653" s="24">
        <f>IF($G1653="","",IFERROR(VLOOKUP($G1653,物料档案!$A$4:$P$1203,3,0),"※编码不在物料档案里"))</f>
        <v/>
      </c>
      <c r="I1653" s="24">
        <f>IF($G1653="","",IFERROR(VLOOKUP($G1653,物料档案!$A$4:$P$1203,4,0),"※编码不在物料档案里"))</f>
        <v/>
      </c>
      <c r="J1653" s="24">
        <f>IF($G1653="","",IFERROR(VLOOKUP($G1653,物料档案!$A$4:$P$1203,5,0),"※编码不在物料档案里"))</f>
        <v/>
      </c>
      <c r="K1653" s="23" t="n"/>
      <c r="L1653" s="31" t="n"/>
      <c r="M1653" s="24">
        <f>IF($G1653="","",IF($D1653="A国内","CNY","TZS"))</f>
        <v/>
      </c>
      <c r="N1653" s="28">
        <f>IF($G1653="","",IF($D1653="A国内",汇率,1))</f>
        <v/>
      </c>
      <c r="O1653" s="25">
        <f>IF($G1653="","",ROUND(N($K1653)*N($L1653),2))</f>
        <v/>
      </c>
      <c r="P1653" s="26">
        <f>IF($G1653="","",ROUND($O1653*$N1653,0))</f>
        <v/>
      </c>
      <c r="Q1653" s="26">
        <f>IF($G1653="","",SUMIFS($P$4:$P$2503,$E$4:$E$2503,$E1653,$Z$4:$Z$2503,"正常"))</f>
        <v/>
      </c>
      <c r="R1653" s="26">
        <f>IF($G1653="","",SUMIFS(费用台账!$I$4:$I$503,费用台账!$C$4:$C$503,$E1653,费用台账!$J$4:$J$503,"是",费用台账!$K$4:$K$503,"正常"))</f>
        <v/>
      </c>
      <c r="S1653" s="28">
        <f>IF($G1653="","",COUNTIFS($E$4:$E$2503,$E1653,$Z$4:$Z$2503,"正常",$Y$4:$Y$2503,"待补价"))</f>
        <v/>
      </c>
      <c r="T1653" s="26">
        <f>IF($G1653="","",SUMIFS($P$4:$P$2503,$E$4:$E$2503,$E1653,$Z$4:$Z$2503,"正常",$A$4:$A$2503,"&lt;="&amp;$A1653))</f>
        <v/>
      </c>
      <c r="U1653" s="26">
        <f>IF($G1653="","",IF(OR($S1653&gt;0,$Q1653=0,$R1653=0,$Z1653&lt;&gt;"正常"),0,ROUND($T1653/$Q1653*$R1653,0)-ROUND(($T1653-$P1653)/$Q1653*$R1653,0)))</f>
        <v/>
      </c>
      <c r="V1653" s="26">
        <f>IF($G1653="","",ROUND($P1653+$U1653,0))</f>
        <v/>
      </c>
      <c r="W1653" s="26">
        <f>IF($G1653="","",IF(N($K1653)=0,0,ROUND($V1653/$K1653,2)))</f>
        <v/>
      </c>
      <c r="X1653" s="17" t="n"/>
      <c r="Y1653" s="17" t="n"/>
      <c r="Z1653" s="17" t="n"/>
      <c r="AA1653" s="17" t="n"/>
      <c r="AB1653" s="17" t="n"/>
      <c r="AC1653" s="24">
        <f>IF($G1653="","",IF($H1653="※编码不在物料档案里","※物料编码不在档案里",IF(N($K1653)&lt;=0,"※入库数量要大于 0",IF(AND($C1653&lt;&gt;"",$C1653&lt;=结账锁),"※日期早于已结账截止日，不能再录",IF(AND($L1653=0,$X1653="正常"),"※没填单价，价格状态请选「待补价」",IF(AND($S1653&gt;0,$R1653&gt;0),"△本批有 "&amp;$S1653&amp;" 行没单价，整批运费先挂账没摊",IF(AND($B1653&lt;&gt;"",COUNTIF($B$4:$B$2503,$B1653)&gt;1),"※入库单号重复","")))))))</f>
        <v/>
      </c>
    </row>
    <row r="1654">
      <c r="A1654" s="24">
        <f>IF($G1654="","",COUNTA($G$4:$G1654))</f>
        <v/>
      </c>
      <c r="B1654" s="17" t="n"/>
      <c r="C1654" s="30" t="n"/>
      <c r="D1654" s="17" t="n"/>
      <c r="E1654" s="17" t="n"/>
      <c r="F1654" s="17" t="n"/>
      <c r="G1654" s="17" t="n"/>
      <c r="H1654" s="24">
        <f>IF($G1654="","",IFERROR(VLOOKUP($G1654,物料档案!$A$4:$P$1203,3,0),"※编码不在物料档案里"))</f>
        <v/>
      </c>
      <c r="I1654" s="24">
        <f>IF($G1654="","",IFERROR(VLOOKUP($G1654,物料档案!$A$4:$P$1203,4,0),"※编码不在物料档案里"))</f>
        <v/>
      </c>
      <c r="J1654" s="24">
        <f>IF($G1654="","",IFERROR(VLOOKUP($G1654,物料档案!$A$4:$P$1203,5,0),"※编码不在物料档案里"))</f>
        <v/>
      </c>
      <c r="K1654" s="23" t="n"/>
      <c r="L1654" s="31" t="n"/>
      <c r="M1654" s="24">
        <f>IF($G1654="","",IF($D1654="A国内","CNY","TZS"))</f>
        <v/>
      </c>
      <c r="N1654" s="28">
        <f>IF($G1654="","",IF($D1654="A国内",汇率,1))</f>
        <v/>
      </c>
      <c r="O1654" s="25">
        <f>IF($G1654="","",ROUND(N($K1654)*N($L1654),2))</f>
        <v/>
      </c>
      <c r="P1654" s="26">
        <f>IF($G1654="","",ROUND($O1654*$N1654,0))</f>
        <v/>
      </c>
      <c r="Q1654" s="26">
        <f>IF($G1654="","",SUMIFS($P$4:$P$2503,$E$4:$E$2503,$E1654,$Z$4:$Z$2503,"正常"))</f>
        <v/>
      </c>
      <c r="R1654" s="26">
        <f>IF($G1654="","",SUMIFS(费用台账!$I$4:$I$503,费用台账!$C$4:$C$503,$E1654,费用台账!$J$4:$J$503,"是",费用台账!$K$4:$K$503,"正常"))</f>
        <v/>
      </c>
      <c r="S1654" s="28">
        <f>IF($G1654="","",COUNTIFS($E$4:$E$2503,$E1654,$Z$4:$Z$2503,"正常",$Y$4:$Y$2503,"待补价"))</f>
        <v/>
      </c>
      <c r="T1654" s="26">
        <f>IF($G1654="","",SUMIFS($P$4:$P$2503,$E$4:$E$2503,$E1654,$Z$4:$Z$2503,"正常",$A$4:$A$2503,"&lt;="&amp;$A1654))</f>
        <v/>
      </c>
      <c r="U1654" s="26">
        <f>IF($G1654="","",IF(OR($S1654&gt;0,$Q1654=0,$R1654=0,$Z1654&lt;&gt;"正常"),0,ROUND($T1654/$Q1654*$R1654,0)-ROUND(($T1654-$P1654)/$Q1654*$R1654,0)))</f>
        <v/>
      </c>
      <c r="V1654" s="26">
        <f>IF($G1654="","",ROUND($P1654+$U1654,0))</f>
        <v/>
      </c>
      <c r="W1654" s="26">
        <f>IF($G1654="","",IF(N($K1654)=0,0,ROUND($V1654/$K1654,2)))</f>
        <v/>
      </c>
      <c r="X1654" s="17" t="n"/>
      <c r="Y1654" s="17" t="n"/>
      <c r="Z1654" s="17" t="n"/>
      <c r="AA1654" s="17" t="n"/>
      <c r="AB1654" s="17" t="n"/>
      <c r="AC1654" s="24">
        <f>IF($G1654="","",IF($H1654="※编码不在物料档案里","※物料编码不在档案里",IF(N($K1654)&lt;=0,"※入库数量要大于 0",IF(AND($C1654&lt;&gt;"",$C1654&lt;=结账锁),"※日期早于已结账截止日，不能再录",IF(AND($L1654=0,$X1654="正常"),"※没填单价，价格状态请选「待补价」",IF(AND($S1654&gt;0,$R1654&gt;0),"△本批有 "&amp;$S1654&amp;" 行没单价，整批运费先挂账没摊",IF(AND($B1654&lt;&gt;"",COUNTIF($B$4:$B$2503,$B1654)&gt;1),"※入库单号重复","")))))))</f>
        <v/>
      </c>
    </row>
    <row r="1655">
      <c r="A1655" s="24">
        <f>IF($G1655="","",COUNTA($G$4:$G1655))</f>
        <v/>
      </c>
      <c r="B1655" s="17" t="n"/>
      <c r="C1655" s="30" t="n"/>
      <c r="D1655" s="17" t="n"/>
      <c r="E1655" s="17" t="n"/>
      <c r="F1655" s="17" t="n"/>
      <c r="G1655" s="17" t="n"/>
      <c r="H1655" s="24">
        <f>IF($G1655="","",IFERROR(VLOOKUP($G1655,物料档案!$A$4:$P$1203,3,0),"※编码不在物料档案里"))</f>
        <v/>
      </c>
      <c r="I1655" s="24">
        <f>IF($G1655="","",IFERROR(VLOOKUP($G1655,物料档案!$A$4:$P$1203,4,0),"※编码不在物料档案里"))</f>
        <v/>
      </c>
      <c r="J1655" s="24">
        <f>IF($G1655="","",IFERROR(VLOOKUP($G1655,物料档案!$A$4:$P$1203,5,0),"※编码不在物料档案里"))</f>
        <v/>
      </c>
      <c r="K1655" s="23" t="n"/>
      <c r="L1655" s="31" t="n"/>
      <c r="M1655" s="24">
        <f>IF($G1655="","",IF($D1655="A国内","CNY","TZS"))</f>
        <v/>
      </c>
      <c r="N1655" s="28">
        <f>IF($G1655="","",IF($D1655="A国内",汇率,1))</f>
        <v/>
      </c>
      <c r="O1655" s="25">
        <f>IF($G1655="","",ROUND(N($K1655)*N($L1655),2))</f>
        <v/>
      </c>
      <c r="P1655" s="26">
        <f>IF($G1655="","",ROUND($O1655*$N1655,0))</f>
        <v/>
      </c>
      <c r="Q1655" s="26">
        <f>IF($G1655="","",SUMIFS($P$4:$P$2503,$E$4:$E$2503,$E1655,$Z$4:$Z$2503,"正常"))</f>
        <v/>
      </c>
      <c r="R1655" s="26">
        <f>IF($G1655="","",SUMIFS(费用台账!$I$4:$I$503,费用台账!$C$4:$C$503,$E1655,费用台账!$J$4:$J$503,"是",费用台账!$K$4:$K$503,"正常"))</f>
        <v/>
      </c>
      <c r="S1655" s="28">
        <f>IF($G1655="","",COUNTIFS($E$4:$E$2503,$E1655,$Z$4:$Z$2503,"正常",$Y$4:$Y$2503,"待补价"))</f>
        <v/>
      </c>
      <c r="T1655" s="26">
        <f>IF($G1655="","",SUMIFS($P$4:$P$2503,$E$4:$E$2503,$E1655,$Z$4:$Z$2503,"正常",$A$4:$A$2503,"&lt;="&amp;$A1655))</f>
        <v/>
      </c>
      <c r="U1655" s="26">
        <f>IF($G1655="","",IF(OR($S1655&gt;0,$Q1655=0,$R1655=0,$Z1655&lt;&gt;"正常"),0,ROUND($T1655/$Q1655*$R1655,0)-ROUND(($T1655-$P1655)/$Q1655*$R1655,0)))</f>
        <v/>
      </c>
      <c r="V1655" s="26">
        <f>IF($G1655="","",ROUND($P1655+$U1655,0))</f>
        <v/>
      </c>
      <c r="W1655" s="26">
        <f>IF($G1655="","",IF(N($K1655)=0,0,ROUND($V1655/$K1655,2)))</f>
        <v/>
      </c>
      <c r="X1655" s="17" t="n"/>
      <c r="Y1655" s="17" t="n"/>
      <c r="Z1655" s="17" t="n"/>
      <c r="AA1655" s="17" t="n"/>
      <c r="AB1655" s="17" t="n"/>
      <c r="AC1655" s="24">
        <f>IF($G1655="","",IF($H1655="※编码不在物料档案里","※物料编码不在档案里",IF(N($K1655)&lt;=0,"※入库数量要大于 0",IF(AND($C1655&lt;&gt;"",$C1655&lt;=结账锁),"※日期早于已结账截止日，不能再录",IF(AND($L1655=0,$X1655="正常"),"※没填单价，价格状态请选「待补价」",IF(AND($S1655&gt;0,$R1655&gt;0),"△本批有 "&amp;$S1655&amp;" 行没单价，整批运费先挂账没摊",IF(AND($B1655&lt;&gt;"",COUNTIF($B$4:$B$2503,$B1655)&gt;1),"※入库单号重复","")))))))</f>
        <v/>
      </c>
    </row>
    <row r="1656">
      <c r="A1656" s="24">
        <f>IF($G1656="","",COUNTA($G$4:$G1656))</f>
        <v/>
      </c>
      <c r="B1656" s="17" t="n"/>
      <c r="C1656" s="30" t="n"/>
      <c r="D1656" s="17" t="n"/>
      <c r="E1656" s="17" t="n"/>
      <c r="F1656" s="17" t="n"/>
      <c r="G1656" s="17" t="n"/>
      <c r="H1656" s="24">
        <f>IF($G1656="","",IFERROR(VLOOKUP($G1656,物料档案!$A$4:$P$1203,3,0),"※编码不在物料档案里"))</f>
        <v/>
      </c>
      <c r="I1656" s="24">
        <f>IF($G1656="","",IFERROR(VLOOKUP($G1656,物料档案!$A$4:$P$1203,4,0),"※编码不在物料档案里"))</f>
        <v/>
      </c>
      <c r="J1656" s="24">
        <f>IF($G1656="","",IFERROR(VLOOKUP($G1656,物料档案!$A$4:$P$1203,5,0),"※编码不在物料档案里"))</f>
        <v/>
      </c>
      <c r="K1656" s="23" t="n"/>
      <c r="L1656" s="31" t="n"/>
      <c r="M1656" s="24">
        <f>IF($G1656="","",IF($D1656="A国内","CNY","TZS"))</f>
        <v/>
      </c>
      <c r="N1656" s="28">
        <f>IF($G1656="","",IF($D1656="A国内",汇率,1))</f>
        <v/>
      </c>
      <c r="O1656" s="25">
        <f>IF($G1656="","",ROUND(N($K1656)*N($L1656),2))</f>
        <v/>
      </c>
      <c r="P1656" s="26">
        <f>IF($G1656="","",ROUND($O1656*$N1656,0))</f>
        <v/>
      </c>
      <c r="Q1656" s="26">
        <f>IF($G1656="","",SUMIFS($P$4:$P$2503,$E$4:$E$2503,$E1656,$Z$4:$Z$2503,"正常"))</f>
        <v/>
      </c>
      <c r="R1656" s="26">
        <f>IF($G1656="","",SUMIFS(费用台账!$I$4:$I$503,费用台账!$C$4:$C$503,$E1656,费用台账!$J$4:$J$503,"是",费用台账!$K$4:$K$503,"正常"))</f>
        <v/>
      </c>
      <c r="S1656" s="28">
        <f>IF($G1656="","",COUNTIFS($E$4:$E$2503,$E1656,$Z$4:$Z$2503,"正常",$Y$4:$Y$2503,"待补价"))</f>
        <v/>
      </c>
      <c r="T1656" s="26">
        <f>IF($G1656="","",SUMIFS($P$4:$P$2503,$E$4:$E$2503,$E1656,$Z$4:$Z$2503,"正常",$A$4:$A$2503,"&lt;="&amp;$A1656))</f>
        <v/>
      </c>
      <c r="U1656" s="26">
        <f>IF($G1656="","",IF(OR($S1656&gt;0,$Q1656=0,$R1656=0,$Z1656&lt;&gt;"正常"),0,ROUND($T1656/$Q1656*$R1656,0)-ROUND(($T1656-$P1656)/$Q1656*$R1656,0)))</f>
        <v/>
      </c>
      <c r="V1656" s="26">
        <f>IF($G1656="","",ROUND($P1656+$U1656,0))</f>
        <v/>
      </c>
      <c r="W1656" s="26">
        <f>IF($G1656="","",IF(N($K1656)=0,0,ROUND($V1656/$K1656,2)))</f>
        <v/>
      </c>
      <c r="X1656" s="17" t="n"/>
      <c r="Y1656" s="17" t="n"/>
      <c r="Z1656" s="17" t="n"/>
      <c r="AA1656" s="17" t="n"/>
      <c r="AB1656" s="17" t="n"/>
      <c r="AC1656" s="24">
        <f>IF($G1656="","",IF($H1656="※编码不在物料档案里","※物料编码不在档案里",IF(N($K1656)&lt;=0,"※入库数量要大于 0",IF(AND($C1656&lt;&gt;"",$C1656&lt;=结账锁),"※日期早于已结账截止日，不能再录",IF(AND($L1656=0,$X1656="正常"),"※没填单价，价格状态请选「待补价」",IF(AND($S1656&gt;0,$R1656&gt;0),"△本批有 "&amp;$S1656&amp;" 行没单价，整批运费先挂账没摊",IF(AND($B1656&lt;&gt;"",COUNTIF($B$4:$B$2503,$B1656)&gt;1),"※入库单号重复","")))))))</f>
        <v/>
      </c>
    </row>
    <row r="1657">
      <c r="A1657" s="24">
        <f>IF($G1657="","",COUNTA($G$4:$G1657))</f>
        <v/>
      </c>
      <c r="B1657" s="17" t="n"/>
      <c r="C1657" s="30" t="n"/>
      <c r="D1657" s="17" t="n"/>
      <c r="E1657" s="17" t="n"/>
      <c r="F1657" s="17" t="n"/>
      <c r="G1657" s="17" t="n"/>
      <c r="H1657" s="24">
        <f>IF($G1657="","",IFERROR(VLOOKUP($G1657,物料档案!$A$4:$P$1203,3,0),"※编码不在物料档案里"))</f>
        <v/>
      </c>
      <c r="I1657" s="24">
        <f>IF($G1657="","",IFERROR(VLOOKUP($G1657,物料档案!$A$4:$P$1203,4,0),"※编码不在物料档案里"))</f>
        <v/>
      </c>
      <c r="J1657" s="24">
        <f>IF($G1657="","",IFERROR(VLOOKUP($G1657,物料档案!$A$4:$P$1203,5,0),"※编码不在物料档案里"))</f>
        <v/>
      </c>
      <c r="K1657" s="23" t="n"/>
      <c r="L1657" s="31" t="n"/>
      <c r="M1657" s="24">
        <f>IF($G1657="","",IF($D1657="A国内","CNY","TZS"))</f>
        <v/>
      </c>
      <c r="N1657" s="28">
        <f>IF($G1657="","",IF($D1657="A国内",汇率,1))</f>
        <v/>
      </c>
      <c r="O1657" s="25">
        <f>IF($G1657="","",ROUND(N($K1657)*N($L1657),2))</f>
        <v/>
      </c>
      <c r="P1657" s="26">
        <f>IF($G1657="","",ROUND($O1657*$N1657,0))</f>
        <v/>
      </c>
      <c r="Q1657" s="26">
        <f>IF($G1657="","",SUMIFS($P$4:$P$2503,$E$4:$E$2503,$E1657,$Z$4:$Z$2503,"正常"))</f>
        <v/>
      </c>
      <c r="R1657" s="26">
        <f>IF($G1657="","",SUMIFS(费用台账!$I$4:$I$503,费用台账!$C$4:$C$503,$E1657,费用台账!$J$4:$J$503,"是",费用台账!$K$4:$K$503,"正常"))</f>
        <v/>
      </c>
      <c r="S1657" s="28">
        <f>IF($G1657="","",COUNTIFS($E$4:$E$2503,$E1657,$Z$4:$Z$2503,"正常",$Y$4:$Y$2503,"待补价"))</f>
        <v/>
      </c>
      <c r="T1657" s="26">
        <f>IF($G1657="","",SUMIFS($P$4:$P$2503,$E$4:$E$2503,$E1657,$Z$4:$Z$2503,"正常",$A$4:$A$2503,"&lt;="&amp;$A1657))</f>
        <v/>
      </c>
      <c r="U1657" s="26">
        <f>IF($G1657="","",IF(OR($S1657&gt;0,$Q1657=0,$R1657=0,$Z1657&lt;&gt;"正常"),0,ROUND($T1657/$Q1657*$R1657,0)-ROUND(($T1657-$P1657)/$Q1657*$R1657,0)))</f>
        <v/>
      </c>
      <c r="V1657" s="26">
        <f>IF($G1657="","",ROUND($P1657+$U1657,0))</f>
        <v/>
      </c>
      <c r="W1657" s="26">
        <f>IF($G1657="","",IF(N($K1657)=0,0,ROUND($V1657/$K1657,2)))</f>
        <v/>
      </c>
      <c r="X1657" s="17" t="n"/>
      <c r="Y1657" s="17" t="n"/>
      <c r="Z1657" s="17" t="n"/>
      <c r="AA1657" s="17" t="n"/>
      <c r="AB1657" s="17" t="n"/>
      <c r="AC1657" s="24">
        <f>IF($G1657="","",IF($H1657="※编码不在物料档案里","※物料编码不在档案里",IF(N($K1657)&lt;=0,"※入库数量要大于 0",IF(AND($C1657&lt;&gt;"",$C1657&lt;=结账锁),"※日期早于已结账截止日，不能再录",IF(AND($L1657=0,$X1657="正常"),"※没填单价，价格状态请选「待补价」",IF(AND($S1657&gt;0,$R1657&gt;0),"△本批有 "&amp;$S1657&amp;" 行没单价，整批运费先挂账没摊",IF(AND($B1657&lt;&gt;"",COUNTIF($B$4:$B$2503,$B1657)&gt;1),"※入库单号重复","")))))))</f>
        <v/>
      </c>
    </row>
    <row r="1658">
      <c r="A1658" s="24">
        <f>IF($G1658="","",COUNTA($G$4:$G1658))</f>
        <v/>
      </c>
      <c r="B1658" s="17" t="n"/>
      <c r="C1658" s="30" t="n"/>
      <c r="D1658" s="17" t="n"/>
      <c r="E1658" s="17" t="n"/>
      <c r="F1658" s="17" t="n"/>
      <c r="G1658" s="17" t="n"/>
      <c r="H1658" s="24">
        <f>IF($G1658="","",IFERROR(VLOOKUP($G1658,物料档案!$A$4:$P$1203,3,0),"※编码不在物料档案里"))</f>
        <v/>
      </c>
      <c r="I1658" s="24">
        <f>IF($G1658="","",IFERROR(VLOOKUP($G1658,物料档案!$A$4:$P$1203,4,0),"※编码不在物料档案里"))</f>
        <v/>
      </c>
      <c r="J1658" s="24">
        <f>IF($G1658="","",IFERROR(VLOOKUP($G1658,物料档案!$A$4:$P$1203,5,0),"※编码不在物料档案里"))</f>
        <v/>
      </c>
      <c r="K1658" s="23" t="n"/>
      <c r="L1658" s="31" t="n"/>
      <c r="M1658" s="24">
        <f>IF($G1658="","",IF($D1658="A国内","CNY","TZS"))</f>
        <v/>
      </c>
      <c r="N1658" s="28">
        <f>IF($G1658="","",IF($D1658="A国内",汇率,1))</f>
        <v/>
      </c>
      <c r="O1658" s="25">
        <f>IF($G1658="","",ROUND(N($K1658)*N($L1658),2))</f>
        <v/>
      </c>
      <c r="P1658" s="26">
        <f>IF($G1658="","",ROUND($O1658*$N1658,0))</f>
        <v/>
      </c>
      <c r="Q1658" s="26">
        <f>IF($G1658="","",SUMIFS($P$4:$P$2503,$E$4:$E$2503,$E1658,$Z$4:$Z$2503,"正常"))</f>
        <v/>
      </c>
      <c r="R1658" s="26">
        <f>IF($G1658="","",SUMIFS(费用台账!$I$4:$I$503,费用台账!$C$4:$C$503,$E1658,费用台账!$J$4:$J$503,"是",费用台账!$K$4:$K$503,"正常"))</f>
        <v/>
      </c>
      <c r="S1658" s="28">
        <f>IF($G1658="","",COUNTIFS($E$4:$E$2503,$E1658,$Z$4:$Z$2503,"正常",$Y$4:$Y$2503,"待补价"))</f>
        <v/>
      </c>
      <c r="T1658" s="26">
        <f>IF($G1658="","",SUMIFS($P$4:$P$2503,$E$4:$E$2503,$E1658,$Z$4:$Z$2503,"正常",$A$4:$A$2503,"&lt;="&amp;$A1658))</f>
        <v/>
      </c>
      <c r="U1658" s="26">
        <f>IF($G1658="","",IF(OR($S1658&gt;0,$Q1658=0,$R1658=0,$Z1658&lt;&gt;"正常"),0,ROUND($T1658/$Q1658*$R1658,0)-ROUND(($T1658-$P1658)/$Q1658*$R1658,0)))</f>
        <v/>
      </c>
      <c r="V1658" s="26">
        <f>IF($G1658="","",ROUND($P1658+$U1658,0))</f>
        <v/>
      </c>
      <c r="W1658" s="26">
        <f>IF($G1658="","",IF(N($K1658)=0,0,ROUND($V1658/$K1658,2)))</f>
        <v/>
      </c>
      <c r="X1658" s="17" t="n"/>
      <c r="Y1658" s="17" t="n"/>
      <c r="Z1658" s="17" t="n"/>
      <c r="AA1658" s="17" t="n"/>
      <c r="AB1658" s="17" t="n"/>
      <c r="AC1658" s="24">
        <f>IF($G1658="","",IF($H1658="※编码不在物料档案里","※物料编码不在档案里",IF(N($K1658)&lt;=0,"※入库数量要大于 0",IF(AND($C1658&lt;&gt;"",$C1658&lt;=结账锁),"※日期早于已结账截止日，不能再录",IF(AND($L1658=0,$X1658="正常"),"※没填单价，价格状态请选「待补价」",IF(AND($S1658&gt;0,$R1658&gt;0),"△本批有 "&amp;$S1658&amp;" 行没单价，整批运费先挂账没摊",IF(AND($B1658&lt;&gt;"",COUNTIF($B$4:$B$2503,$B1658)&gt;1),"※入库单号重复","")))))))</f>
        <v/>
      </c>
    </row>
    <row r="1659">
      <c r="A1659" s="24">
        <f>IF($G1659="","",COUNTA($G$4:$G1659))</f>
        <v/>
      </c>
      <c r="B1659" s="17" t="n"/>
      <c r="C1659" s="30" t="n"/>
      <c r="D1659" s="17" t="n"/>
      <c r="E1659" s="17" t="n"/>
      <c r="F1659" s="17" t="n"/>
      <c r="G1659" s="17" t="n"/>
      <c r="H1659" s="24">
        <f>IF($G1659="","",IFERROR(VLOOKUP($G1659,物料档案!$A$4:$P$1203,3,0),"※编码不在物料档案里"))</f>
        <v/>
      </c>
      <c r="I1659" s="24">
        <f>IF($G1659="","",IFERROR(VLOOKUP($G1659,物料档案!$A$4:$P$1203,4,0),"※编码不在物料档案里"))</f>
        <v/>
      </c>
      <c r="J1659" s="24">
        <f>IF($G1659="","",IFERROR(VLOOKUP($G1659,物料档案!$A$4:$P$1203,5,0),"※编码不在物料档案里"))</f>
        <v/>
      </c>
      <c r="K1659" s="23" t="n"/>
      <c r="L1659" s="31" t="n"/>
      <c r="M1659" s="24">
        <f>IF($G1659="","",IF($D1659="A国内","CNY","TZS"))</f>
        <v/>
      </c>
      <c r="N1659" s="28">
        <f>IF($G1659="","",IF($D1659="A国内",汇率,1))</f>
        <v/>
      </c>
      <c r="O1659" s="25">
        <f>IF($G1659="","",ROUND(N($K1659)*N($L1659),2))</f>
        <v/>
      </c>
      <c r="P1659" s="26">
        <f>IF($G1659="","",ROUND($O1659*$N1659,0))</f>
        <v/>
      </c>
      <c r="Q1659" s="26">
        <f>IF($G1659="","",SUMIFS($P$4:$P$2503,$E$4:$E$2503,$E1659,$Z$4:$Z$2503,"正常"))</f>
        <v/>
      </c>
      <c r="R1659" s="26">
        <f>IF($G1659="","",SUMIFS(费用台账!$I$4:$I$503,费用台账!$C$4:$C$503,$E1659,费用台账!$J$4:$J$503,"是",费用台账!$K$4:$K$503,"正常"))</f>
        <v/>
      </c>
      <c r="S1659" s="28">
        <f>IF($G1659="","",COUNTIFS($E$4:$E$2503,$E1659,$Z$4:$Z$2503,"正常",$Y$4:$Y$2503,"待补价"))</f>
        <v/>
      </c>
      <c r="T1659" s="26">
        <f>IF($G1659="","",SUMIFS($P$4:$P$2503,$E$4:$E$2503,$E1659,$Z$4:$Z$2503,"正常",$A$4:$A$2503,"&lt;="&amp;$A1659))</f>
        <v/>
      </c>
      <c r="U1659" s="26">
        <f>IF($G1659="","",IF(OR($S1659&gt;0,$Q1659=0,$R1659=0,$Z1659&lt;&gt;"正常"),0,ROUND($T1659/$Q1659*$R1659,0)-ROUND(($T1659-$P1659)/$Q1659*$R1659,0)))</f>
        <v/>
      </c>
      <c r="V1659" s="26">
        <f>IF($G1659="","",ROUND($P1659+$U1659,0))</f>
        <v/>
      </c>
      <c r="W1659" s="26">
        <f>IF($G1659="","",IF(N($K1659)=0,0,ROUND($V1659/$K1659,2)))</f>
        <v/>
      </c>
      <c r="X1659" s="17" t="n"/>
      <c r="Y1659" s="17" t="n"/>
      <c r="Z1659" s="17" t="n"/>
      <c r="AA1659" s="17" t="n"/>
      <c r="AB1659" s="17" t="n"/>
      <c r="AC1659" s="24">
        <f>IF($G1659="","",IF($H1659="※编码不在物料档案里","※物料编码不在档案里",IF(N($K1659)&lt;=0,"※入库数量要大于 0",IF(AND($C1659&lt;&gt;"",$C1659&lt;=结账锁),"※日期早于已结账截止日，不能再录",IF(AND($L1659=0,$X1659="正常"),"※没填单价，价格状态请选「待补价」",IF(AND($S1659&gt;0,$R1659&gt;0),"△本批有 "&amp;$S1659&amp;" 行没单价，整批运费先挂账没摊",IF(AND($B1659&lt;&gt;"",COUNTIF($B$4:$B$2503,$B1659)&gt;1),"※入库单号重复","")))))))</f>
        <v/>
      </c>
    </row>
    <row r="1660">
      <c r="A1660" s="24">
        <f>IF($G1660="","",COUNTA($G$4:$G1660))</f>
        <v/>
      </c>
      <c r="B1660" s="17" t="n"/>
      <c r="C1660" s="30" t="n"/>
      <c r="D1660" s="17" t="n"/>
      <c r="E1660" s="17" t="n"/>
      <c r="F1660" s="17" t="n"/>
      <c r="G1660" s="17" t="n"/>
      <c r="H1660" s="24">
        <f>IF($G1660="","",IFERROR(VLOOKUP($G1660,物料档案!$A$4:$P$1203,3,0),"※编码不在物料档案里"))</f>
        <v/>
      </c>
      <c r="I1660" s="24">
        <f>IF($G1660="","",IFERROR(VLOOKUP($G1660,物料档案!$A$4:$P$1203,4,0),"※编码不在物料档案里"))</f>
        <v/>
      </c>
      <c r="J1660" s="24">
        <f>IF($G1660="","",IFERROR(VLOOKUP($G1660,物料档案!$A$4:$P$1203,5,0),"※编码不在物料档案里"))</f>
        <v/>
      </c>
      <c r="K1660" s="23" t="n"/>
      <c r="L1660" s="31" t="n"/>
      <c r="M1660" s="24">
        <f>IF($G1660="","",IF($D1660="A国内","CNY","TZS"))</f>
        <v/>
      </c>
      <c r="N1660" s="28">
        <f>IF($G1660="","",IF($D1660="A国内",汇率,1))</f>
        <v/>
      </c>
      <c r="O1660" s="25">
        <f>IF($G1660="","",ROUND(N($K1660)*N($L1660),2))</f>
        <v/>
      </c>
      <c r="P1660" s="26">
        <f>IF($G1660="","",ROUND($O1660*$N1660,0))</f>
        <v/>
      </c>
      <c r="Q1660" s="26">
        <f>IF($G1660="","",SUMIFS($P$4:$P$2503,$E$4:$E$2503,$E1660,$Z$4:$Z$2503,"正常"))</f>
        <v/>
      </c>
      <c r="R1660" s="26">
        <f>IF($G1660="","",SUMIFS(费用台账!$I$4:$I$503,费用台账!$C$4:$C$503,$E1660,费用台账!$J$4:$J$503,"是",费用台账!$K$4:$K$503,"正常"))</f>
        <v/>
      </c>
      <c r="S1660" s="28">
        <f>IF($G1660="","",COUNTIFS($E$4:$E$2503,$E1660,$Z$4:$Z$2503,"正常",$Y$4:$Y$2503,"待补价"))</f>
        <v/>
      </c>
      <c r="T1660" s="26">
        <f>IF($G1660="","",SUMIFS($P$4:$P$2503,$E$4:$E$2503,$E1660,$Z$4:$Z$2503,"正常",$A$4:$A$2503,"&lt;="&amp;$A1660))</f>
        <v/>
      </c>
      <c r="U1660" s="26">
        <f>IF($G1660="","",IF(OR($S1660&gt;0,$Q1660=0,$R1660=0,$Z1660&lt;&gt;"正常"),0,ROUND($T1660/$Q1660*$R1660,0)-ROUND(($T1660-$P1660)/$Q1660*$R1660,0)))</f>
        <v/>
      </c>
      <c r="V1660" s="26">
        <f>IF($G1660="","",ROUND($P1660+$U1660,0))</f>
        <v/>
      </c>
      <c r="W1660" s="26">
        <f>IF($G1660="","",IF(N($K1660)=0,0,ROUND($V1660/$K1660,2)))</f>
        <v/>
      </c>
      <c r="X1660" s="17" t="n"/>
      <c r="Y1660" s="17" t="n"/>
      <c r="Z1660" s="17" t="n"/>
      <c r="AA1660" s="17" t="n"/>
      <c r="AB1660" s="17" t="n"/>
      <c r="AC1660" s="24">
        <f>IF($G1660="","",IF($H1660="※编码不在物料档案里","※物料编码不在档案里",IF(N($K1660)&lt;=0,"※入库数量要大于 0",IF(AND($C1660&lt;&gt;"",$C1660&lt;=结账锁),"※日期早于已结账截止日，不能再录",IF(AND($L1660=0,$X1660="正常"),"※没填单价，价格状态请选「待补价」",IF(AND($S1660&gt;0,$R1660&gt;0),"△本批有 "&amp;$S1660&amp;" 行没单价，整批运费先挂账没摊",IF(AND($B1660&lt;&gt;"",COUNTIF($B$4:$B$2503,$B1660)&gt;1),"※入库单号重复","")))))))</f>
        <v/>
      </c>
    </row>
    <row r="1661">
      <c r="A1661" s="24">
        <f>IF($G1661="","",COUNTA($G$4:$G1661))</f>
        <v/>
      </c>
      <c r="B1661" s="17" t="n"/>
      <c r="C1661" s="30" t="n"/>
      <c r="D1661" s="17" t="n"/>
      <c r="E1661" s="17" t="n"/>
      <c r="F1661" s="17" t="n"/>
      <c r="G1661" s="17" t="n"/>
      <c r="H1661" s="24">
        <f>IF($G1661="","",IFERROR(VLOOKUP($G1661,物料档案!$A$4:$P$1203,3,0),"※编码不在物料档案里"))</f>
        <v/>
      </c>
      <c r="I1661" s="24">
        <f>IF($G1661="","",IFERROR(VLOOKUP($G1661,物料档案!$A$4:$P$1203,4,0),"※编码不在物料档案里"))</f>
        <v/>
      </c>
      <c r="J1661" s="24">
        <f>IF($G1661="","",IFERROR(VLOOKUP($G1661,物料档案!$A$4:$P$1203,5,0),"※编码不在物料档案里"))</f>
        <v/>
      </c>
      <c r="K1661" s="23" t="n"/>
      <c r="L1661" s="31" t="n"/>
      <c r="M1661" s="24">
        <f>IF($G1661="","",IF($D1661="A国内","CNY","TZS"))</f>
        <v/>
      </c>
      <c r="N1661" s="28">
        <f>IF($G1661="","",IF($D1661="A国内",汇率,1))</f>
        <v/>
      </c>
      <c r="O1661" s="25">
        <f>IF($G1661="","",ROUND(N($K1661)*N($L1661),2))</f>
        <v/>
      </c>
      <c r="P1661" s="26">
        <f>IF($G1661="","",ROUND($O1661*$N1661,0))</f>
        <v/>
      </c>
      <c r="Q1661" s="26">
        <f>IF($G1661="","",SUMIFS($P$4:$P$2503,$E$4:$E$2503,$E1661,$Z$4:$Z$2503,"正常"))</f>
        <v/>
      </c>
      <c r="R1661" s="26">
        <f>IF($G1661="","",SUMIFS(费用台账!$I$4:$I$503,费用台账!$C$4:$C$503,$E1661,费用台账!$J$4:$J$503,"是",费用台账!$K$4:$K$503,"正常"))</f>
        <v/>
      </c>
      <c r="S1661" s="28">
        <f>IF($G1661="","",COUNTIFS($E$4:$E$2503,$E1661,$Z$4:$Z$2503,"正常",$Y$4:$Y$2503,"待补价"))</f>
        <v/>
      </c>
      <c r="T1661" s="26">
        <f>IF($G1661="","",SUMIFS($P$4:$P$2503,$E$4:$E$2503,$E1661,$Z$4:$Z$2503,"正常",$A$4:$A$2503,"&lt;="&amp;$A1661))</f>
        <v/>
      </c>
      <c r="U1661" s="26">
        <f>IF($G1661="","",IF(OR($S1661&gt;0,$Q1661=0,$R1661=0,$Z1661&lt;&gt;"正常"),0,ROUND($T1661/$Q1661*$R1661,0)-ROUND(($T1661-$P1661)/$Q1661*$R1661,0)))</f>
        <v/>
      </c>
      <c r="V1661" s="26">
        <f>IF($G1661="","",ROUND($P1661+$U1661,0))</f>
        <v/>
      </c>
      <c r="W1661" s="26">
        <f>IF($G1661="","",IF(N($K1661)=0,0,ROUND($V1661/$K1661,2)))</f>
        <v/>
      </c>
      <c r="X1661" s="17" t="n"/>
      <c r="Y1661" s="17" t="n"/>
      <c r="Z1661" s="17" t="n"/>
      <c r="AA1661" s="17" t="n"/>
      <c r="AB1661" s="17" t="n"/>
      <c r="AC1661" s="24">
        <f>IF($G1661="","",IF($H1661="※编码不在物料档案里","※物料编码不在档案里",IF(N($K1661)&lt;=0,"※入库数量要大于 0",IF(AND($C1661&lt;&gt;"",$C1661&lt;=结账锁),"※日期早于已结账截止日，不能再录",IF(AND($L1661=0,$X1661="正常"),"※没填单价，价格状态请选「待补价」",IF(AND($S1661&gt;0,$R1661&gt;0),"△本批有 "&amp;$S1661&amp;" 行没单价，整批运费先挂账没摊",IF(AND($B1661&lt;&gt;"",COUNTIF($B$4:$B$2503,$B1661)&gt;1),"※入库单号重复","")))))))</f>
        <v/>
      </c>
    </row>
    <row r="1662">
      <c r="A1662" s="24">
        <f>IF($G1662="","",COUNTA($G$4:$G1662))</f>
        <v/>
      </c>
      <c r="B1662" s="17" t="n"/>
      <c r="C1662" s="30" t="n"/>
      <c r="D1662" s="17" t="n"/>
      <c r="E1662" s="17" t="n"/>
      <c r="F1662" s="17" t="n"/>
      <c r="G1662" s="17" t="n"/>
      <c r="H1662" s="24">
        <f>IF($G1662="","",IFERROR(VLOOKUP($G1662,物料档案!$A$4:$P$1203,3,0),"※编码不在物料档案里"))</f>
        <v/>
      </c>
      <c r="I1662" s="24">
        <f>IF($G1662="","",IFERROR(VLOOKUP($G1662,物料档案!$A$4:$P$1203,4,0),"※编码不在物料档案里"))</f>
        <v/>
      </c>
      <c r="J1662" s="24">
        <f>IF($G1662="","",IFERROR(VLOOKUP($G1662,物料档案!$A$4:$P$1203,5,0),"※编码不在物料档案里"))</f>
        <v/>
      </c>
      <c r="K1662" s="23" t="n"/>
      <c r="L1662" s="31" t="n"/>
      <c r="M1662" s="24">
        <f>IF($G1662="","",IF($D1662="A国内","CNY","TZS"))</f>
        <v/>
      </c>
      <c r="N1662" s="28">
        <f>IF($G1662="","",IF($D1662="A国内",汇率,1))</f>
        <v/>
      </c>
      <c r="O1662" s="25">
        <f>IF($G1662="","",ROUND(N($K1662)*N($L1662),2))</f>
        <v/>
      </c>
      <c r="P1662" s="26">
        <f>IF($G1662="","",ROUND($O1662*$N1662,0))</f>
        <v/>
      </c>
      <c r="Q1662" s="26">
        <f>IF($G1662="","",SUMIFS($P$4:$P$2503,$E$4:$E$2503,$E1662,$Z$4:$Z$2503,"正常"))</f>
        <v/>
      </c>
      <c r="R1662" s="26">
        <f>IF($G1662="","",SUMIFS(费用台账!$I$4:$I$503,费用台账!$C$4:$C$503,$E1662,费用台账!$J$4:$J$503,"是",费用台账!$K$4:$K$503,"正常"))</f>
        <v/>
      </c>
      <c r="S1662" s="28">
        <f>IF($G1662="","",COUNTIFS($E$4:$E$2503,$E1662,$Z$4:$Z$2503,"正常",$Y$4:$Y$2503,"待补价"))</f>
        <v/>
      </c>
      <c r="T1662" s="26">
        <f>IF($G1662="","",SUMIFS($P$4:$P$2503,$E$4:$E$2503,$E1662,$Z$4:$Z$2503,"正常",$A$4:$A$2503,"&lt;="&amp;$A1662))</f>
        <v/>
      </c>
      <c r="U1662" s="26">
        <f>IF($G1662="","",IF(OR($S1662&gt;0,$Q1662=0,$R1662=0,$Z1662&lt;&gt;"正常"),0,ROUND($T1662/$Q1662*$R1662,0)-ROUND(($T1662-$P1662)/$Q1662*$R1662,0)))</f>
        <v/>
      </c>
      <c r="V1662" s="26">
        <f>IF($G1662="","",ROUND($P1662+$U1662,0))</f>
        <v/>
      </c>
      <c r="W1662" s="26">
        <f>IF($G1662="","",IF(N($K1662)=0,0,ROUND($V1662/$K1662,2)))</f>
        <v/>
      </c>
      <c r="X1662" s="17" t="n"/>
      <c r="Y1662" s="17" t="n"/>
      <c r="Z1662" s="17" t="n"/>
      <c r="AA1662" s="17" t="n"/>
      <c r="AB1662" s="17" t="n"/>
      <c r="AC1662" s="24">
        <f>IF($G1662="","",IF($H1662="※编码不在物料档案里","※物料编码不在档案里",IF(N($K1662)&lt;=0,"※入库数量要大于 0",IF(AND($C1662&lt;&gt;"",$C1662&lt;=结账锁),"※日期早于已结账截止日，不能再录",IF(AND($L1662=0,$X1662="正常"),"※没填单价，价格状态请选「待补价」",IF(AND($S1662&gt;0,$R1662&gt;0),"△本批有 "&amp;$S1662&amp;" 行没单价，整批运费先挂账没摊",IF(AND($B1662&lt;&gt;"",COUNTIF($B$4:$B$2503,$B1662)&gt;1),"※入库单号重复","")))))))</f>
        <v/>
      </c>
    </row>
    <row r="1663">
      <c r="A1663" s="24">
        <f>IF($G1663="","",COUNTA($G$4:$G1663))</f>
        <v/>
      </c>
      <c r="B1663" s="17" t="n"/>
      <c r="C1663" s="30" t="n"/>
      <c r="D1663" s="17" t="n"/>
      <c r="E1663" s="17" t="n"/>
      <c r="F1663" s="17" t="n"/>
      <c r="G1663" s="17" t="n"/>
      <c r="H1663" s="24">
        <f>IF($G1663="","",IFERROR(VLOOKUP($G1663,物料档案!$A$4:$P$1203,3,0),"※编码不在物料档案里"))</f>
        <v/>
      </c>
      <c r="I1663" s="24">
        <f>IF($G1663="","",IFERROR(VLOOKUP($G1663,物料档案!$A$4:$P$1203,4,0),"※编码不在物料档案里"))</f>
        <v/>
      </c>
      <c r="J1663" s="24">
        <f>IF($G1663="","",IFERROR(VLOOKUP($G1663,物料档案!$A$4:$P$1203,5,0),"※编码不在物料档案里"))</f>
        <v/>
      </c>
      <c r="K1663" s="23" t="n"/>
      <c r="L1663" s="31" t="n"/>
      <c r="M1663" s="24">
        <f>IF($G1663="","",IF($D1663="A国内","CNY","TZS"))</f>
        <v/>
      </c>
      <c r="N1663" s="28">
        <f>IF($G1663="","",IF($D1663="A国内",汇率,1))</f>
        <v/>
      </c>
      <c r="O1663" s="25">
        <f>IF($G1663="","",ROUND(N($K1663)*N($L1663),2))</f>
        <v/>
      </c>
      <c r="P1663" s="26">
        <f>IF($G1663="","",ROUND($O1663*$N1663,0))</f>
        <v/>
      </c>
      <c r="Q1663" s="26">
        <f>IF($G1663="","",SUMIFS($P$4:$P$2503,$E$4:$E$2503,$E1663,$Z$4:$Z$2503,"正常"))</f>
        <v/>
      </c>
      <c r="R1663" s="26">
        <f>IF($G1663="","",SUMIFS(费用台账!$I$4:$I$503,费用台账!$C$4:$C$503,$E1663,费用台账!$J$4:$J$503,"是",费用台账!$K$4:$K$503,"正常"))</f>
        <v/>
      </c>
      <c r="S1663" s="28">
        <f>IF($G1663="","",COUNTIFS($E$4:$E$2503,$E1663,$Z$4:$Z$2503,"正常",$Y$4:$Y$2503,"待补价"))</f>
        <v/>
      </c>
      <c r="T1663" s="26">
        <f>IF($G1663="","",SUMIFS($P$4:$P$2503,$E$4:$E$2503,$E1663,$Z$4:$Z$2503,"正常",$A$4:$A$2503,"&lt;="&amp;$A1663))</f>
        <v/>
      </c>
      <c r="U1663" s="26">
        <f>IF($G1663="","",IF(OR($S1663&gt;0,$Q1663=0,$R1663=0,$Z1663&lt;&gt;"正常"),0,ROUND($T1663/$Q1663*$R1663,0)-ROUND(($T1663-$P1663)/$Q1663*$R1663,0)))</f>
        <v/>
      </c>
      <c r="V1663" s="26">
        <f>IF($G1663="","",ROUND($P1663+$U1663,0))</f>
        <v/>
      </c>
      <c r="W1663" s="26">
        <f>IF($G1663="","",IF(N($K1663)=0,0,ROUND($V1663/$K1663,2)))</f>
        <v/>
      </c>
      <c r="X1663" s="17" t="n"/>
      <c r="Y1663" s="17" t="n"/>
      <c r="Z1663" s="17" t="n"/>
      <c r="AA1663" s="17" t="n"/>
      <c r="AB1663" s="17" t="n"/>
      <c r="AC1663" s="24">
        <f>IF($G1663="","",IF($H1663="※编码不在物料档案里","※物料编码不在档案里",IF(N($K1663)&lt;=0,"※入库数量要大于 0",IF(AND($C1663&lt;&gt;"",$C1663&lt;=结账锁),"※日期早于已结账截止日，不能再录",IF(AND($L1663=0,$X1663="正常"),"※没填单价，价格状态请选「待补价」",IF(AND($S1663&gt;0,$R1663&gt;0),"△本批有 "&amp;$S1663&amp;" 行没单价，整批运费先挂账没摊",IF(AND($B1663&lt;&gt;"",COUNTIF($B$4:$B$2503,$B1663)&gt;1),"※入库单号重复","")))))))</f>
        <v/>
      </c>
    </row>
    <row r="1664">
      <c r="A1664" s="24">
        <f>IF($G1664="","",COUNTA($G$4:$G1664))</f>
        <v/>
      </c>
      <c r="B1664" s="17" t="n"/>
      <c r="C1664" s="30" t="n"/>
      <c r="D1664" s="17" t="n"/>
      <c r="E1664" s="17" t="n"/>
      <c r="F1664" s="17" t="n"/>
      <c r="G1664" s="17" t="n"/>
      <c r="H1664" s="24">
        <f>IF($G1664="","",IFERROR(VLOOKUP($G1664,物料档案!$A$4:$P$1203,3,0),"※编码不在物料档案里"))</f>
        <v/>
      </c>
      <c r="I1664" s="24">
        <f>IF($G1664="","",IFERROR(VLOOKUP($G1664,物料档案!$A$4:$P$1203,4,0),"※编码不在物料档案里"))</f>
        <v/>
      </c>
      <c r="J1664" s="24">
        <f>IF($G1664="","",IFERROR(VLOOKUP($G1664,物料档案!$A$4:$P$1203,5,0),"※编码不在物料档案里"))</f>
        <v/>
      </c>
      <c r="K1664" s="23" t="n"/>
      <c r="L1664" s="31" t="n"/>
      <c r="M1664" s="24">
        <f>IF($G1664="","",IF($D1664="A国内","CNY","TZS"))</f>
        <v/>
      </c>
      <c r="N1664" s="28">
        <f>IF($G1664="","",IF($D1664="A国内",汇率,1))</f>
        <v/>
      </c>
      <c r="O1664" s="25">
        <f>IF($G1664="","",ROUND(N($K1664)*N($L1664),2))</f>
        <v/>
      </c>
      <c r="P1664" s="26">
        <f>IF($G1664="","",ROUND($O1664*$N1664,0))</f>
        <v/>
      </c>
      <c r="Q1664" s="26">
        <f>IF($G1664="","",SUMIFS($P$4:$P$2503,$E$4:$E$2503,$E1664,$Z$4:$Z$2503,"正常"))</f>
        <v/>
      </c>
      <c r="R1664" s="26">
        <f>IF($G1664="","",SUMIFS(费用台账!$I$4:$I$503,费用台账!$C$4:$C$503,$E1664,费用台账!$J$4:$J$503,"是",费用台账!$K$4:$K$503,"正常"))</f>
        <v/>
      </c>
      <c r="S1664" s="28">
        <f>IF($G1664="","",COUNTIFS($E$4:$E$2503,$E1664,$Z$4:$Z$2503,"正常",$Y$4:$Y$2503,"待补价"))</f>
        <v/>
      </c>
      <c r="T1664" s="26">
        <f>IF($G1664="","",SUMIFS($P$4:$P$2503,$E$4:$E$2503,$E1664,$Z$4:$Z$2503,"正常",$A$4:$A$2503,"&lt;="&amp;$A1664))</f>
        <v/>
      </c>
      <c r="U1664" s="26">
        <f>IF($G1664="","",IF(OR($S1664&gt;0,$Q1664=0,$R1664=0,$Z1664&lt;&gt;"正常"),0,ROUND($T1664/$Q1664*$R1664,0)-ROUND(($T1664-$P1664)/$Q1664*$R1664,0)))</f>
        <v/>
      </c>
      <c r="V1664" s="26">
        <f>IF($G1664="","",ROUND($P1664+$U1664,0))</f>
        <v/>
      </c>
      <c r="W1664" s="26">
        <f>IF($G1664="","",IF(N($K1664)=0,0,ROUND($V1664/$K1664,2)))</f>
        <v/>
      </c>
      <c r="X1664" s="17" t="n"/>
      <c r="Y1664" s="17" t="n"/>
      <c r="Z1664" s="17" t="n"/>
      <c r="AA1664" s="17" t="n"/>
      <c r="AB1664" s="17" t="n"/>
      <c r="AC1664" s="24">
        <f>IF($G1664="","",IF($H1664="※编码不在物料档案里","※物料编码不在档案里",IF(N($K1664)&lt;=0,"※入库数量要大于 0",IF(AND($C1664&lt;&gt;"",$C1664&lt;=结账锁),"※日期早于已结账截止日，不能再录",IF(AND($L1664=0,$X1664="正常"),"※没填单价，价格状态请选「待补价」",IF(AND($S1664&gt;0,$R1664&gt;0),"△本批有 "&amp;$S1664&amp;" 行没单价，整批运费先挂账没摊",IF(AND($B1664&lt;&gt;"",COUNTIF($B$4:$B$2503,$B1664)&gt;1),"※入库单号重复","")))))))</f>
        <v/>
      </c>
    </row>
    <row r="1665">
      <c r="A1665" s="24">
        <f>IF($G1665="","",COUNTA($G$4:$G1665))</f>
        <v/>
      </c>
      <c r="B1665" s="17" t="n"/>
      <c r="C1665" s="30" t="n"/>
      <c r="D1665" s="17" t="n"/>
      <c r="E1665" s="17" t="n"/>
      <c r="F1665" s="17" t="n"/>
      <c r="G1665" s="17" t="n"/>
      <c r="H1665" s="24">
        <f>IF($G1665="","",IFERROR(VLOOKUP($G1665,物料档案!$A$4:$P$1203,3,0),"※编码不在物料档案里"))</f>
        <v/>
      </c>
      <c r="I1665" s="24">
        <f>IF($G1665="","",IFERROR(VLOOKUP($G1665,物料档案!$A$4:$P$1203,4,0),"※编码不在物料档案里"))</f>
        <v/>
      </c>
      <c r="J1665" s="24">
        <f>IF($G1665="","",IFERROR(VLOOKUP($G1665,物料档案!$A$4:$P$1203,5,0),"※编码不在物料档案里"))</f>
        <v/>
      </c>
      <c r="K1665" s="23" t="n"/>
      <c r="L1665" s="31" t="n"/>
      <c r="M1665" s="24">
        <f>IF($G1665="","",IF($D1665="A国内","CNY","TZS"))</f>
        <v/>
      </c>
      <c r="N1665" s="28">
        <f>IF($G1665="","",IF($D1665="A国内",汇率,1))</f>
        <v/>
      </c>
      <c r="O1665" s="25">
        <f>IF($G1665="","",ROUND(N($K1665)*N($L1665),2))</f>
        <v/>
      </c>
      <c r="P1665" s="26">
        <f>IF($G1665="","",ROUND($O1665*$N1665,0))</f>
        <v/>
      </c>
      <c r="Q1665" s="26">
        <f>IF($G1665="","",SUMIFS($P$4:$P$2503,$E$4:$E$2503,$E1665,$Z$4:$Z$2503,"正常"))</f>
        <v/>
      </c>
      <c r="R1665" s="26">
        <f>IF($G1665="","",SUMIFS(费用台账!$I$4:$I$503,费用台账!$C$4:$C$503,$E1665,费用台账!$J$4:$J$503,"是",费用台账!$K$4:$K$503,"正常"))</f>
        <v/>
      </c>
      <c r="S1665" s="28">
        <f>IF($G1665="","",COUNTIFS($E$4:$E$2503,$E1665,$Z$4:$Z$2503,"正常",$Y$4:$Y$2503,"待补价"))</f>
        <v/>
      </c>
      <c r="T1665" s="26">
        <f>IF($G1665="","",SUMIFS($P$4:$P$2503,$E$4:$E$2503,$E1665,$Z$4:$Z$2503,"正常",$A$4:$A$2503,"&lt;="&amp;$A1665))</f>
        <v/>
      </c>
      <c r="U1665" s="26">
        <f>IF($G1665="","",IF(OR($S1665&gt;0,$Q1665=0,$R1665=0,$Z1665&lt;&gt;"正常"),0,ROUND($T1665/$Q1665*$R1665,0)-ROUND(($T1665-$P1665)/$Q1665*$R1665,0)))</f>
        <v/>
      </c>
      <c r="V1665" s="26">
        <f>IF($G1665="","",ROUND($P1665+$U1665,0))</f>
        <v/>
      </c>
      <c r="W1665" s="26">
        <f>IF($G1665="","",IF(N($K1665)=0,0,ROUND($V1665/$K1665,2)))</f>
        <v/>
      </c>
      <c r="X1665" s="17" t="n"/>
      <c r="Y1665" s="17" t="n"/>
      <c r="Z1665" s="17" t="n"/>
      <c r="AA1665" s="17" t="n"/>
      <c r="AB1665" s="17" t="n"/>
      <c r="AC1665" s="24">
        <f>IF($G1665="","",IF($H1665="※编码不在物料档案里","※物料编码不在档案里",IF(N($K1665)&lt;=0,"※入库数量要大于 0",IF(AND($C1665&lt;&gt;"",$C1665&lt;=结账锁),"※日期早于已结账截止日，不能再录",IF(AND($L1665=0,$X1665="正常"),"※没填单价，价格状态请选「待补价」",IF(AND($S1665&gt;0,$R1665&gt;0),"△本批有 "&amp;$S1665&amp;" 行没单价，整批运费先挂账没摊",IF(AND($B1665&lt;&gt;"",COUNTIF($B$4:$B$2503,$B1665)&gt;1),"※入库单号重复","")))))))</f>
        <v/>
      </c>
    </row>
    <row r="1666">
      <c r="A1666" s="24">
        <f>IF($G1666="","",COUNTA($G$4:$G1666))</f>
        <v/>
      </c>
      <c r="B1666" s="17" t="n"/>
      <c r="C1666" s="30" t="n"/>
      <c r="D1666" s="17" t="n"/>
      <c r="E1666" s="17" t="n"/>
      <c r="F1666" s="17" t="n"/>
      <c r="G1666" s="17" t="n"/>
      <c r="H1666" s="24">
        <f>IF($G1666="","",IFERROR(VLOOKUP($G1666,物料档案!$A$4:$P$1203,3,0),"※编码不在物料档案里"))</f>
        <v/>
      </c>
      <c r="I1666" s="24">
        <f>IF($G1666="","",IFERROR(VLOOKUP($G1666,物料档案!$A$4:$P$1203,4,0),"※编码不在物料档案里"))</f>
        <v/>
      </c>
      <c r="J1666" s="24">
        <f>IF($G1666="","",IFERROR(VLOOKUP($G1666,物料档案!$A$4:$P$1203,5,0),"※编码不在物料档案里"))</f>
        <v/>
      </c>
      <c r="K1666" s="23" t="n"/>
      <c r="L1666" s="31" t="n"/>
      <c r="M1666" s="24">
        <f>IF($G1666="","",IF($D1666="A国内","CNY","TZS"))</f>
        <v/>
      </c>
      <c r="N1666" s="28">
        <f>IF($G1666="","",IF($D1666="A国内",汇率,1))</f>
        <v/>
      </c>
      <c r="O1666" s="25">
        <f>IF($G1666="","",ROUND(N($K1666)*N($L1666),2))</f>
        <v/>
      </c>
      <c r="P1666" s="26">
        <f>IF($G1666="","",ROUND($O1666*$N1666,0))</f>
        <v/>
      </c>
      <c r="Q1666" s="26">
        <f>IF($G1666="","",SUMIFS($P$4:$P$2503,$E$4:$E$2503,$E1666,$Z$4:$Z$2503,"正常"))</f>
        <v/>
      </c>
      <c r="R1666" s="26">
        <f>IF($G1666="","",SUMIFS(费用台账!$I$4:$I$503,费用台账!$C$4:$C$503,$E1666,费用台账!$J$4:$J$503,"是",费用台账!$K$4:$K$503,"正常"))</f>
        <v/>
      </c>
      <c r="S1666" s="28">
        <f>IF($G1666="","",COUNTIFS($E$4:$E$2503,$E1666,$Z$4:$Z$2503,"正常",$Y$4:$Y$2503,"待补价"))</f>
        <v/>
      </c>
      <c r="T1666" s="26">
        <f>IF($G1666="","",SUMIFS($P$4:$P$2503,$E$4:$E$2503,$E1666,$Z$4:$Z$2503,"正常",$A$4:$A$2503,"&lt;="&amp;$A1666))</f>
        <v/>
      </c>
      <c r="U1666" s="26">
        <f>IF($G1666="","",IF(OR($S1666&gt;0,$Q1666=0,$R1666=0,$Z1666&lt;&gt;"正常"),0,ROUND($T1666/$Q1666*$R1666,0)-ROUND(($T1666-$P1666)/$Q1666*$R1666,0)))</f>
        <v/>
      </c>
      <c r="V1666" s="26">
        <f>IF($G1666="","",ROUND($P1666+$U1666,0))</f>
        <v/>
      </c>
      <c r="W1666" s="26">
        <f>IF($G1666="","",IF(N($K1666)=0,0,ROUND($V1666/$K1666,2)))</f>
        <v/>
      </c>
      <c r="X1666" s="17" t="n"/>
      <c r="Y1666" s="17" t="n"/>
      <c r="Z1666" s="17" t="n"/>
      <c r="AA1666" s="17" t="n"/>
      <c r="AB1666" s="17" t="n"/>
      <c r="AC1666" s="24">
        <f>IF($G1666="","",IF($H1666="※编码不在物料档案里","※物料编码不在档案里",IF(N($K1666)&lt;=0,"※入库数量要大于 0",IF(AND($C1666&lt;&gt;"",$C1666&lt;=结账锁),"※日期早于已结账截止日，不能再录",IF(AND($L1666=0,$X1666="正常"),"※没填单价，价格状态请选「待补价」",IF(AND($S1666&gt;0,$R1666&gt;0),"△本批有 "&amp;$S1666&amp;" 行没单价，整批运费先挂账没摊",IF(AND($B1666&lt;&gt;"",COUNTIF($B$4:$B$2503,$B1666)&gt;1),"※入库单号重复","")))))))</f>
        <v/>
      </c>
    </row>
    <row r="1667">
      <c r="A1667" s="24">
        <f>IF($G1667="","",COUNTA($G$4:$G1667))</f>
        <v/>
      </c>
      <c r="B1667" s="17" t="n"/>
      <c r="C1667" s="30" t="n"/>
      <c r="D1667" s="17" t="n"/>
      <c r="E1667" s="17" t="n"/>
      <c r="F1667" s="17" t="n"/>
      <c r="G1667" s="17" t="n"/>
      <c r="H1667" s="24">
        <f>IF($G1667="","",IFERROR(VLOOKUP($G1667,物料档案!$A$4:$P$1203,3,0),"※编码不在物料档案里"))</f>
        <v/>
      </c>
      <c r="I1667" s="24">
        <f>IF($G1667="","",IFERROR(VLOOKUP($G1667,物料档案!$A$4:$P$1203,4,0),"※编码不在物料档案里"))</f>
        <v/>
      </c>
      <c r="J1667" s="24">
        <f>IF($G1667="","",IFERROR(VLOOKUP($G1667,物料档案!$A$4:$P$1203,5,0),"※编码不在物料档案里"))</f>
        <v/>
      </c>
      <c r="K1667" s="23" t="n"/>
      <c r="L1667" s="31" t="n"/>
      <c r="M1667" s="24">
        <f>IF($G1667="","",IF($D1667="A国内","CNY","TZS"))</f>
        <v/>
      </c>
      <c r="N1667" s="28">
        <f>IF($G1667="","",IF($D1667="A国内",汇率,1))</f>
        <v/>
      </c>
      <c r="O1667" s="25">
        <f>IF($G1667="","",ROUND(N($K1667)*N($L1667),2))</f>
        <v/>
      </c>
      <c r="P1667" s="26">
        <f>IF($G1667="","",ROUND($O1667*$N1667,0))</f>
        <v/>
      </c>
      <c r="Q1667" s="26">
        <f>IF($G1667="","",SUMIFS($P$4:$P$2503,$E$4:$E$2503,$E1667,$Z$4:$Z$2503,"正常"))</f>
        <v/>
      </c>
      <c r="R1667" s="26">
        <f>IF($G1667="","",SUMIFS(费用台账!$I$4:$I$503,费用台账!$C$4:$C$503,$E1667,费用台账!$J$4:$J$503,"是",费用台账!$K$4:$K$503,"正常"))</f>
        <v/>
      </c>
      <c r="S1667" s="28">
        <f>IF($G1667="","",COUNTIFS($E$4:$E$2503,$E1667,$Z$4:$Z$2503,"正常",$Y$4:$Y$2503,"待补价"))</f>
        <v/>
      </c>
      <c r="T1667" s="26">
        <f>IF($G1667="","",SUMIFS($P$4:$P$2503,$E$4:$E$2503,$E1667,$Z$4:$Z$2503,"正常",$A$4:$A$2503,"&lt;="&amp;$A1667))</f>
        <v/>
      </c>
      <c r="U1667" s="26">
        <f>IF($G1667="","",IF(OR($S1667&gt;0,$Q1667=0,$R1667=0,$Z1667&lt;&gt;"正常"),0,ROUND($T1667/$Q1667*$R1667,0)-ROUND(($T1667-$P1667)/$Q1667*$R1667,0)))</f>
        <v/>
      </c>
      <c r="V1667" s="26">
        <f>IF($G1667="","",ROUND($P1667+$U1667,0))</f>
        <v/>
      </c>
      <c r="W1667" s="26">
        <f>IF($G1667="","",IF(N($K1667)=0,0,ROUND($V1667/$K1667,2)))</f>
        <v/>
      </c>
      <c r="X1667" s="17" t="n"/>
      <c r="Y1667" s="17" t="n"/>
      <c r="Z1667" s="17" t="n"/>
      <c r="AA1667" s="17" t="n"/>
      <c r="AB1667" s="17" t="n"/>
      <c r="AC1667" s="24">
        <f>IF($G1667="","",IF($H1667="※编码不在物料档案里","※物料编码不在档案里",IF(N($K1667)&lt;=0,"※入库数量要大于 0",IF(AND($C1667&lt;&gt;"",$C1667&lt;=结账锁),"※日期早于已结账截止日，不能再录",IF(AND($L1667=0,$X1667="正常"),"※没填单价，价格状态请选「待补价」",IF(AND($S1667&gt;0,$R1667&gt;0),"△本批有 "&amp;$S1667&amp;" 行没单价，整批运费先挂账没摊",IF(AND($B1667&lt;&gt;"",COUNTIF($B$4:$B$2503,$B1667)&gt;1),"※入库单号重复","")))))))</f>
        <v/>
      </c>
    </row>
    <row r="1668">
      <c r="A1668" s="24">
        <f>IF($G1668="","",COUNTA($G$4:$G1668))</f>
        <v/>
      </c>
      <c r="B1668" s="17" t="n"/>
      <c r="C1668" s="30" t="n"/>
      <c r="D1668" s="17" t="n"/>
      <c r="E1668" s="17" t="n"/>
      <c r="F1668" s="17" t="n"/>
      <c r="G1668" s="17" t="n"/>
      <c r="H1668" s="24">
        <f>IF($G1668="","",IFERROR(VLOOKUP($G1668,物料档案!$A$4:$P$1203,3,0),"※编码不在物料档案里"))</f>
        <v/>
      </c>
      <c r="I1668" s="24">
        <f>IF($G1668="","",IFERROR(VLOOKUP($G1668,物料档案!$A$4:$P$1203,4,0),"※编码不在物料档案里"))</f>
        <v/>
      </c>
      <c r="J1668" s="24">
        <f>IF($G1668="","",IFERROR(VLOOKUP($G1668,物料档案!$A$4:$P$1203,5,0),"※编码不在物料档案里"))</f>
        <v/>
      </c>
      <c r="K1668" s="23" t="n"/>
      <c r="L1668" s="31" t="n"/>
      <c r="M1668" s="24">
        <f>IF($G1668="","",IF($D1668="A国内","CNY","TZS"))</f>
        <v/>
      </c>
      <c r="N1668" s="28">
        <f>IF($G1668="","",IF($D1668="A国内",汇率,1))</f>
        <v/>
      </c>
      <c r="O1668" s="25">
        <f>IF($G1668="","",ROUND(N($K1668)*N($L1668),2))</f>
        <v/>
      </c>
      <c r="P1668" s="26">
        <f>IF($G1668="","",ROUND($O1668*$N1668,0))</f>
        <v/>
      </c>
      <c r="Q1668" s="26">
        <f>IF($G1668="","",SUMIFS($P$4:$P$2503,$E$4:$E$2503,$E1668,$Z$4:$Z$2503,"正常"))</f>
        <v/>
      </c>
      <c r="R1668" s="26">
        <f>IF($G1668="","",SUMIFS(费用台账!$I$4:$I$503,费用台账!$C$4:$C$503,$E1668,费用台账!$J$4:$J$503,"是",费用台账!$K$4:$K$503,"正常"))</f>
        <v/>
      </c>
      <c r="S1668" s="28">
        <f>IF($G1668="","",COUNTIFS($E$4:$E$2503,$E1668,$Z$4:$Z$2503,"正常",$Y$4:$Y$2503,"待补价"))</f>
        <v/>
      </c>
      <c r="T1668" s="26">
        <f>IF($G1668="","",SUMIFS($P$4:$P$2503,$E$4:$E$2503,$E1668,$Z$4:$Z$2503,"正常",$A$4:$A$2503,"&lt;="&amp;$A1668))</f>
        <v/>
      </c>
      <c r="U1668" s="26">
        <f>IF($G1668="","",IF(OR($S1668&gt;0,$Q1668=0,$R1668=0,$Z1668&lt;&gt;"正常"),0,ROUND($T1668/$Q1668*$R1668,0)-ROUND(($T1668-$P1668)/$Q1668*$R1668,0)))</f>
        <v/>
      </c>
      <c r="V1668" s="26">
        <f>IF($G1668="","",ROUND($P1668+$U1668,0))</f>
        <v/>
      </c>
      <c r="W1668" s="26">
        <f>IF($G1668="","",IF(N($K1668)=0,0,ROUND($V1668/$K1668,2)))</f>
        <v/>
      </c>
      <c r="X1668" s="17" t="n"/>
      <c r="Y1668" s="17" t="n"/>
      <c r="Z1668" s="17" t="n"/>
      <c r="AA1668" s="17" t="n"/>
      <c r="AB1668" s="17" t="n"/>
      <c r="AC1668" s="24">
        <f>IF($G1668="","",IF($H1668="※编码不在物料档案里","※物料编码不在档案里",IF(N($K1668)&lt;=0,"※入库数量要大于 0",IF(AND($C1668&lt;&gt;"",$C1668&lt;=结账锁),"※日期早于已结账截止日，不能再录",IF(AND($L1668=0,$X1668="正常"),"※没填单价，价格状态请选「待补价」",IF(AND($S1668&gt;0,$R1668&gt;0),"△本批有 "&amp;$S1668&amp;" 行没单价，整批运费先挂账没摊",IF(AND($B1668&lt;&gt;"",COUNTIF($B$4:$B$2503,$B1668)&gt;1),"※入库单号重复","")))))))</f>
        <v/>
      </c>
    </row>
    <row r="1669">
      <c r="A1669" s="24">
        <f>IF($G1669="","",COUNTA($G$4:$G1669))</f>
        <v/>
      </c>
      <c r="B1669" s="17" t="n"/>
      <c r="C1669" s="30" t="n"/>
      <c r="D1669" s="17" t="n"/>
      <c r="E1669" s="17" t="n"/>
      <c r="F1669" s="17" t="n"/>
      <c r="G1669" s="17" t="n"/>
      <c r="H1669" s="24">
        <f>IF($G1669="","",IFERROR(VLOOKUP($G1669,物料档案!$A$4:$P$1203,3,0),"※编码不在物料档案里"))</f>
        <v/>
      </c>
      <c r="I1669" s="24">
        <f>IF($G1669="","",IFERROR(VLOOKUP($G1669,物料档案!$A$4:$P$1203,4,0),"※编码不在物料档案里"))</f>
        <v/>
      </c>
      <c r="J1669" s="24">
        <f>IF($G1669="","",IFERROR(VLOOKUP($G1669,物料档案!$A$4:$P$1203,5,0),"※编码不在物料档案里"))</f>
        <v/>
      </c>
      <c r="K1669" s="23" t="n"/>
      <c r="L1669" s="31" t="n"/>
      <c r="M1669" s="24">
        <f>IF($G1669="","",IF($D1669="A国内","CNY","TZS"))</f>
        <v/>
      </c>
      <c r="N1669" s="28">
        <f>IF($G1669="","",IF($D1669="A国内",汇率,1))</f>
        <v/>
      </c>
      <c r="O1669" s="25">
        <f>IF($G1669="","",ROUND(N($K1669)*N($L1669),2))</f>
        <v/>
      </c>
      <c r="P1669" s="26">
        <f>IF($G1669="","",ROUND($O1669*$N1669,0))</f>
        <v/>
      </c>
      <c r="Q1669" s="26">
        <f>IF($G1669="","",SUMIFS($P$4:$P$2503,$E$4:$E$2503,$E1669,$Z$4:$Z$2503,"正常"))</f>
        <v/>
      </c>
      <c r="R1669" s="26">
        <f>IF($G1669="","",SUMIFS(费用台账!$I$4:$I$503,费用台账!$C$4:$C$503,$E1669,费用台账!$J$4:$J$503,"是",费用台账!$K$4:$K$503,"正常"))</f>
        <v/>
      </c>
      <c r="S1669" s="28">
        <f>IF($G1669="","",COUNTIFS($E$4:$E$2503,$E1669,$Z$4:$Z$2503,"正常",$Y$4:$Y$2503,"待补价"))</f>
        <v/>
      </c>
      <c r="T1669" s="26">
        <f>IF($G1669="","",SUMIFS($P$4:$P$2503,$E$4:$E$2503,$E1669,$Z$4:$Z$2503,"正常",$A$4:$A$2503,"&lt;="&amp;$A1669))</f>
        <v/>
      </c>
      <c r="U1669" s="26">
        <f>IF($G1669="","",IF(OR($S1669&gt;0,$Q1669=0,$R1669=0,$Z1669&lt;&gt;"正常"),0,ROUND($T1669/$Q1669*$R1669,0)-ROUND(($T1669-$P1669)/$Q1669*$R1669,0)))</f>
        <v/>
      </c>
      <c r="V1669" s="26">
        <f>IF($G1669="","",ROUND($P1669+$U1669,0))</f>
        <v/>
      </c>
      <c r="W1669" s="26">
        <f>IF($G1669="","",IF(N($K1669)=0,0,ROUND($V1669/$K1669,2)))</f>
        <v/>
      </c>
      <c r="X1669" s="17" t="n"/>
      <c r="Y1669" s="17" t="n"/>
      <c r="Z1669" s="17" t="n"/>
      <c r="AA1669" s="17" t="n"/>
      <c r="AB1669" s="17" t="n"/>
      <c r="AC1669" s="24">
        <f>IF($G1669="","",IF($H1669="※编码不在物料档案里","※物料编码不在档案里",IF(N($K1669)&lt;=0,"※入库数量要大于 0",IF(AND($C1669&lt;&gt;"",$C1669&lt;=结账锁),"※日期早于已结账截止日，不能再录",IF(AND($L1669=0,$X1669="正常"),"※没填单价，价格状态请选「待补价」",IF(AND($S1669&gt;0,$R1669&gt;0),"△本批有 "&amp;$S1669&amp;" 行没单价，整批运费先挂账没摊",IF(AND($B1669&lt;&gt;"",COUNTIF($B$4:$B$2503,$B1669)&gt;1),"※入库单号重复","")))))))</f>
        <v/>
      </c>
    </row>
    <row r="1670">
      <c r="A1670" s="24">
        <f>IF($G1670="","",COUNTA($G$4:$G1670))</f>
        <v/>
      </c>
      <c r="B1670" s="17" t="n"/>
      <c r="C1670" s="30" t="n"/>
      <c r="D1670" s="17" t="n"/>
      <c r="E1670" s="17" t="n"/>
      <c r="F1670" s="17" t="n"/>
      <c r="G1670" s="17" t="n"/>
      <c r="H1670" s="24">
        <f>IF($G1670="","",IFERROR(VLOOKUP($G1670,物料档案!$A$4:$P$1203,3,0),"※编码不在物料档案里"))</f>
        <v/>
      </c>
      <c r="I1670" s="24">
        <f>IF($G1670="","",IFERROR(VLOOKUP($G1670,物料档案!$A$4:$P$1203,4,0),"※编码不在物料档案里"))</f>
        <v/>
      </c>
      <c r="J1670" s="24">
        <f>IF($G1670="","",IFERROR(VLOOKUP($G1670,物料档案!$A$4:$P$1203,5,0),"※编码不在物料档案里"))</f>
        <v/>
      </c>
      <c r="K1670" s="23" t="n"/>
      <c r="L1670" s="31" t="n"/>
      <c r="M1670" s="24">
        <f>IF($G1670="","",IF($D1670="A国内","CNY","TZS"))</f>
        <v/>
      </c>
      <c r="N1670" s="28">
        <f>IF($G1670="","",IF($D1670="A国内",汇率,1))</f>
        <v/>
      </c>
      <c r="O1670" s="25">
        <f>IF($G1670="","",ROUND(N($K1670)*N($L1670),2))</f>
        <v/>
      </c>
      <c r="P1670" s="26">
        <f>IF($G1670="","",ROUND($O1670*$N1670,0))</f>
        <v/>
      </c>
      <c r="Q1670" s="26">
        <f>IF($G1670="","",SUMIFS($P$4:$P$2503,$E$4:$E$2503,$E1670,$Z$4:$Z$2503,"正常"))</f>
        <v/>
      </c>
      <c r="R1670" s="26">
        <f>IF($G1670="","",SUMIFS(费用台账!$I$4:$I$503,费用台账!$C$4:$C$503,$E1670,费用台账!$J$4:$J$503,"是",费用台账!$K$4:$K$503,"正常"))</f>
        <v/>
      </c>
      <c r="S1670" s="28">
        <f>IF($G1670="","",COUNTIFS($E$4:$E$2503,$E1670,$Z$4:$Z$2503,"正常",$Y$4:$Y$2503,"待补价"))</f>
        <v/>
      </c>
      <c r="T1670" s="26">
        <f>IF($G1670="","",SUMIFS($P$4:$P$2503,$E$4:$E$2503,$E1670,$Z$4:$Z$2503,"正常",$A$4:$A$2503,"&lt;="&amp;$A1670))</f>
        <v/>
      </c>
      <c r="U1670" s="26">
        <f>IF($G1670="","",IF(OR($S1670&gt;0,$Q1670=0,$R1670=0,$Z1670&lt;&gt;"正常"),0,ROUND($T1670/$Q1670*$R1670,0)-ROUND(($T1670-$P1670)/$Q1670*$R1670,0)))</f>
        <v/>
      </c>
      <c r="V1670" s="26">
        <f>IF($G1670="","",ROUND($P1670+$U1670,0))</f>
        <v/>
      </c>
      <c r="W1670" s="26">
        <f>IF($G1670="","",IF(N($K1670)=0,0,ROUND($V1670/$K1670,2)))</f>
        <v/>
      </c>
      <c r="X1670" s="17" t="n"/>
      <c r="Y1670" s="17" t="n"/>
      <c r="Z1670" s="17" t="n"/>
      <c r="AA1670" s="17" t="n"/>
      <c r="AB1670" s="17" t="n"/>
      <c r="AC1670" s="24">
        <f>IF($G1670="","",IF($H1670="※编码不在物料档案里","※物料编码不在档案里",IF(N($K1670)&lt;=0,"※入库数量要大于 0",IF(AND($C1670&lt;&gt;"",$C1670&lt;=结账锁),"※日期早于已结账截止日，不能再录",IF(AND($L1670=0,$X1670="正常"),"※没填单价，价格状态请选「待补价」",IF(AND($S1670&gt;0,$R1670&gt;0),"△本批有 "&amp;$S1670&amp;" 行没单价，整批运费先挂账没摊",IF(AND($B1670&lt;&gt;"",COUNTIF($B$4:$B$2503,$B1670)&gt;1),"※入库单号重复","")))))))</f>
        <v/>
      </c>
    </row>
    <row r="1671">
      <c r="A1671" s="24">
        <f>IF($G1671="","",COUNTA($G$4:$G1671))</f>
        <v/>
      </c>
      <c r="B1671" s="17" t="n"/>
      <c r="C1671" s="30" t="n"/>
      <c r="D1671" s="17" t="n"/>
      <c r="E1671" s="17" t="n"/>
      <c r="F1671" s="17" t="n"/>
      <c r="G1671" s="17" t="n"/>
      <c r="H1671" s="24">
        <f>IF($G1671="","",IFERROR(VLOOKUP($G1671,物料档案!$A$4:$P$1203,3,0),"※编码不在物料档案里"))</f>
        <v/>
      </c>
      <c r="I1671" s="24">
        <f>IF($G1671="","",IFERROR(VLOOKUP($G1671,物料档案!$A$4:$P$1203,4,0),"※编码不在物料档案里"))</f>
        <v/>
      </c>
      <c r="J1671" s="24">
        <f>IF($G1671="","",IFERROR(VLOOKUP($G1671,物料档案!$A$4:$P$1203,5,0),"※编码不在物料档案里"))</f>
        <v/>
      </c>
      <c r="K1671" s="23" t="n"/>
      <c r="L1671" s="31" t="n"/>
      <c r="M1671" s="24">
        <f>IF($G1671="","",IF($D1671="A国内","CNY","TZS"))</f>
        <v/>
      </c>
      <c r="N1671" s="28">
        <f>IF($G1671="","",IF($D1671="A国内",汇率,1))</f>
        <v/>
      </c>
      <c r="O1671" s="25">
        <f>IF($G1671="","",ROUND(N($K1671)*N($L1671),2))</f>
        <v/>
      </c>
      <c r="P1671" s="26">
        <f>IF($G1671="","",ROUND($O1671*$N1671,0))</f>
        <v/>
      </c>
      <c r="Q1671" s="26">
        <f>IF($G1671="","",SUMIFS($P$4:$P$2503,$E$4:$E$2503,$E1671,$Z$4:$Z$2503,"正常"))</f>
        <v/>
      </c>
      <c r="R1671" s="26">
        <f>IF($G1671="","",SUMIFS(费用台账!$I$4:$I$503,费用台账!$C$4:$C$503,$E1671,费用台账!$J$4:$J$503,"是",费用台账!$K$4:$K$503,"正常"))</f>
        <v/>
      </c>
      <c r="S1671" s="28">
        <f>IF($G1671="","",COUNTIFS($E$4:$E$2503,$E1671,$Z$4:$Z$2503,"正常",$Y$4:$Y$2503,"待补价"))</f>
        <v/>
      </c>
      <c r="T1671" s="26">
        <f>IF($G1671="","",SUMIFS($P$4:$P$2503,$E$4:$E$2503,$E1671,$Z$4:$Z$2503,"正常",$A$4:$A$2503,"&lt;="&amp;$A1671))</f>
        <v/>
      </c>
      <c r="U1671" s="26">
        <f>IF($G1671="","",IF(OR($S1671&gt;0,$Q1671=0,$R1671=0,$Z1671&lt;&gt;"正常"),0,ROUND($T1671/$Q1671*$R1671,0)-ROUND(($T1671-$P1671)/$Q1671*$R1671,0)))</f>
        <v/>
      </c>
      <c r="V1671" s="26">
        <f>IF($G1671="","",ROUND($P1671+$U1671,0))</f>
        <v/>
      </c>
      <c r="W1671" s="26">
        <f>IF($G1671="","",IF(N($K1671)=0,0,ROUND($V1671/$K1671,2)))</f>
        <v/>
      </c>
      <c r="X1671" s="17" t="n"/>
      <c r="Y1671" s="17" t="n"/>
      <c r="Z1671" s="17" t="n"/>
      <c r="AA1671" s="17" t="n"/>
      <c r="AB1671" s="17" t="n"/>
      <c r="AC1671" s="24">
        <f>IF($G1671="","",IF($H1671="※编码不在物料档案里","※物料编码不在档案里",IF(N($K1671)&lt;=0,"※入库数量要大于 0",IF(AND($C1671&lt;&gt;"",$C1671&lt;=结账锁),"※日期早于已结账截止日，不能再录",IF(AND($L1671=0,$X1671="正常"),"※没填单价，价格状态请选「待补价」",IF(AND($S1671&gt;0,$R1671&gt;0),"△本批有 "&amp;$S1671&amp;" 行没单价，整批运费先挂账没摊",IF(AND($B1671&lt;&gt;"",COUNTIF($B$4:$B$2503,$B1671)&gt;1),"※入库单号重复","")))))))</f>
        <v/>
      </c>
    </row>
    <row r="1672">
      <c r="A1672" s="24">
        <f>IF($G1672="","",COUNTA($G$4:$G1672))</f>
        <v/>
      </c>
      <c r="B1672" s="17" t="n"/>
      <c r="C1672" s="30" t="n"/>
      <c r="D1672" s="17" t="n"/>
      <c r="E1672" s="17" t="n"/>
      <c r="F1672" s="17" t="n"/>
      <c r="G1672" s="17" t="n"/>
      <c r="H1672" s="24">
        <f>IF($G1672="","",IFERROR(VLOOKUP($G1672,物料档案!$A$4:$P$1203,3,0),"※编码不在物料档案里"))</f>
        <v/>
      </c>
      <c r="I1672" s="24">
        <f>IF($G1672="","",IFERROR(VLOOKUP($G1672,物料档案!$A$4:$P$1203,4,0),"※编码不在物料档案里"))</f>
        <v/>
      </c>
      <c r="J1672" s="24">
        <f>IF($G1672="","",IFERROR(VLOOKUP($G1672,物料档案!$A$4:$P$1203,5,0),"※编码不在物料档案里"))</f>
        <v/>
      </c>
      <c r="K1672" s="23" t="n"/>
      <c r="L1672" s="31" t="n"/>
      <c r="M1672" s="24">
        <f>IF($G1672="","",IF($D1672="A国内","CNY","TZS"))</f>
        <v/>
      </c>
      <c r="N1672" s="28">
        <f>IF($G1672="","",IF($D1672="A国内",汇率,1))</f>
        <v/>
      </c>
      <c r="O1672" s="25">
        <f>IF($G1672="","",ROUND(N($K1672)*N($L1672),2))</f>
        <v/>
      </c>
      <c r="P1672" s="26">
        <f>IF($G1672="","",ROUND($O1672*$N1672,0))</f>
        <v/>
      </c>
      <c r="Q1672" s="26">
        <f>IF($G1672="","",SUMIFS($P$4:$P$2503,$E$4:$E$2503,$E1672,$Z$4:$Z$2503,"正常"))</f>
        <v/>
      </c>
      <c r="R1672" s="26">
        <f>IF($G1672="","",SUMIFS(费用台账!$I$4:$I$503,费用台账!$C$4:$C$503,$E1672,费用台账!$J$4:$J$503,"是",费用台账!$K$4:$K$503,"正常"))</f>
        <v/>
      </c>
      <c r="S1672" s="28">
        <f>IF($G1672="","",COUNTIFS($E$4:$E$2503,$E1672,$Z$4:$Z$2503,"正常",$Y$4:$Y$2503,"待补价"))</f>
        <v/>
      </c>
      <c r="T1672" s="26">
        <f>IF($G1672="","",SUMIFS($P$4:$P$2503,$E$4:$E$2503,$E1672,$Z$4:$Z$2503,"正常",$A$4:$A$2503,"&lt;="&amp;$A1672))</f>
        <v/>
      </c>
      <c r="U1672" s="26">
        <f>IF($G1672="","",IF(OR($S1672&gt;0,$Q1672=0,$R1672=0,$Z1672&lt;&gt;"正常"),0,ROUND($T1672/$Q1672*$R1672,0)-ROUND(($T1672-$P1672)/$Q1672*$R1672,0)))</f>
        <v/>
      </c>
      <c r="V1672" s="26">
        <f>IF($G1672="","",ROUND($P1672+$U1672,0))</f>
        <v/>
      </c>
      <c r="W1672" s="26">
        <f>IF($G1672="","",IF(N($K1672)=0,0,ROUND($V1672/$K1672,2)))</f>
        <v/>
      </c>
      <c r="X1672" s="17" t="n"/>
      <c r="Y1672" s="17" t="n"/>
      <c r="Z1672" s="17" t="n"/>
      <c r="AA1672" s="17" t="n"/>
      <c r="AB1672" s="17" t="n"/>
      <c r="AC1672" s="24">
        <f>IF($G1672="","",IF($H1672="※编码不在物料档案里","※物料编码不在档案里",IF(N($K1672)&lt;=0,"※入库数量要大于 0",IF(AND($C1672&lt;&gt;"",$C1672&lt;=结账锁),"※日期早于已结账截止日，不能再录",IF(AND($L1672=0,$X1672="正常"),"※没填单价，价格状态请选「待补价」",IF(AND($S1672&gt;0,$R1672&gt;0),"△本批有 "&amp;$S1672&amp;" 行没单价，整批运费先挂账没摊",IF(AND($B1672&lt;&gt;"",COUNTIF($B$4:$B$2503,$B1672)&gt;1),"※入库单号重复","")))))))</f>
        <v/>
      </c>
    </row>
    <row r="1673">
      <c r="A1673" s="24">
        <f>IF($G1673="","",COUNTA($G$4:$G1673))</f>
        <v/>
      </c>
      <c r="B1673" s="17" t="n"/>
      <c r="C1673" s="30" t="n"/>
      <c r="D1673" s="17" t="n"/>
      <c r="E1673" s="17" t="n"/>
      <c r="F1673" s="17" t="n"/>
      <c r="G1673" s="17" t="n"/>
      <c r="H1673" s="24">
        <f>IF($G1673="","",IFERROR(VLOOKUP($G1673,物料档案!$A$4:$P$1203,3,0),"※编码不在物料档案里"))</f>
        <v/>
      </c>
      <c r="I1673" s="24">
        <f>IF($G1673="","",IFERROR(VLOOKUP($G1673,物料档案!$A$4:$P$1203,4,0),"※编码不在物料档案里"))</f>
        <v/>
      </c>
      <c r="J1673" s="24">
        <f>IF($G1673="","",IFERROR(VLOOKUP($G1673,物料档案!$A$4:$P$1203,5,0),"※编码不在物料档案里"))</f>
        <v/>
      </c>
      <c r="K1673" s="23" t="n"/>
      <c r="L1673" s="31" t="n"/>
      <c r="M1673" s="24">
        <f>IF($G1673="","",IF($D1673="A国内","CNY","TZS"))</f>
        <v/>
      </c>
      <c r="N1673" s="28">
        <f>IF($G1673="","",IF($D1673="A国内",汇率,1))</f>
        <v/>
      </c>
      <c r="O1673" s="25">
        <f>IF($G1673="","",ROUND(N($K1673)*N($L1673),2))</f>
        <v/>
      </c>
      <c r="P1673" s="26">
        <f>IF($G1673="","",ROUND($O1673*$N1673,0))</f>
        <v/>
      </c>
      <c r="Q1673" s="26">
        <f>IF($G1673="","",SUMIFS($P$4:$P$2503,$E$4:$E$2503,$E1673,$Z$4:$Z$2503,"正常"))</f>
        <v/>
      </c>
      <c r="R1673" s="26">
        <f>IF($G1673="","",SUMIFS(费用台账!$I$4:$I$503,费用台账!$C$4:$C$503,$E1673,费用台账!$J$4:$J$503,"是",费用台账!$K$4:$K$503,"正常"))</f>
        <v/>
      </c>
      <c r="S1673" s="28">
        <f>IF($G1673="","",COUNTIFS($E$4:$E$2503,$E1673,$Z$4:$Z$2503,"正常",$Y$4:$Y$2503,"待补价"))</f>
        <v/>
      </c>
      <c r="T1673" s="26">
        <f>IF($G1673="","",SUMIFS($P$4:$P$2503,$E$4:$E$2503,$E1673,$Z$4:$Z$2503,"正常",$A$4:$A$2503,"&lt;="&amp;$A1673))</f>
        <v/>
      </c>
      <c r="U1673" s="26">
        <f>IF($G1673="","",IF(OR($S1673&gt;0,$Q1673=0,$R1673=0,$Z1673&lt;&gt;"正常"),0,ROUND($T1673/$Q1673*$R1673,0)-ROUND(($T1673-$P1673)/$Q1673*$R1673,0)))</f>
        <v/>
      </c>
      <c r="V1673" s="26">
        <f>IF($G1673="","",ROUND($P1673+$U1673,0))</f>
        <v/>
      </c>
      <c r="W1673" s="26">
        <f>IF($G1673="","",IF(N($K1673)=0,0,ROUND($V1673/$K1673,2)))</f>
        <v/>
      </c>
      <c r="X1673" s="17" t="n"/>
      <c r="Y1673" s="17" t="n"/>
      <c r="Z1673" s="17" t="n"/>
      <c r="AA1673" s="17" t="n"/>
      <c r="AB1673" s="17" t="n"/>
      <c r="AC1673" s="24">
        <f>IF($G1673="","",IF($H1673="※编码不在物料档案里","※物料编码不在档案里",IF(N($K1673)&lt;=0,"※入库数量要大于 0",IF(AND($C1673&lt;&gt;"",$C1673&lt;=结账锁),"※日期早于已结账截止日，不能再录",IF(AND($L1673=0,$X1673="正常"),"※没填单价，价格状态请选「待补价」",IF(AND($S1673&gt;0,$R1673&gt;0),"△本批有 "&amp;$S1673&amp;" 行没单价，整批运费先挂账没摊",IF(AND($B1673&lt;&gt;"",COUNTIF($B$4:$B$2503,$B1673)&gt;1),"※入库单号重复","")))))))</f>
        <v/>
      </c>
    </row>
    <row r="1674">
      <c r="A1674" s="24">
        <f>IF($G1674="","",COUNTA($G$4:$G1674))</f>
        <v/>
      </c>
      <c r="B1674" s="17" t="n"/>
      <c r="C1674" s="30" t="n"/>
      <c r="D1674" s="17" t="n"/>
      <c r="E1674" s="17" t="n"/>
      <c r="F1674" s="17" t="n"/>
      <c r="G1674" s="17" t="n"/>
      <c r="H1674" s="24">
        <f>IF($G1674="","",IFERROR(VLOOKUP($G1674,物料档案!$A$4:$P$1203,3,0),"※编码不在物料档案里"))</f>
        <v/>
      </c>
      <c r="I1674" s="24">
        <f>IF($G1674="","",IFERROR(VLOOKUP($G1674,物料档案!$A$4:$P$1203,4,0),"※编码不在物料档案里"))</f>
        <v/>
      </c>
      <c r="J1674" s="24">
        <f>IF($G1674="","",IFERROR(VLOOKUP($G1674,物料档案!$A$4:$P$1203,5,0),"※编码不在物料档案里"))</f>
        <v/>
      </c>
      <c r="K1674" s="23" t="n"/>
      <c r="L1674" s="31" t="n"/>
      <c r="M1674" s="24">
        <f>IF($G1674="","",IF($D1674="A国内","CNY","TZS"))</f>
        <v/>
      </c>
      <c r="N1674" s="28">
        <f>IF($G1674="","",IF($D1674="A国内",汇率,1))</f>
        <v/>
      </c>
      <c r="O1674" s="25">
        <f>IF($G1674="","",ROUND(N($K1674)*N($L1674),2))</f>
        <v/>
      </c>
      <c r="P1674" s="26">
        <f>IF($G1674="","",ROUND($O1674*$N1674,0))</f>
        <v/>
      </c>
      <c r="Q1674" s="26">
        <f>IF($G1674="","",SUMIFS($P$4:$P$2503,$E$4:$E$2503,$E1674,$Z$4:$Z$2503,"正常"))</f>
        <v/>
      </c>
      <c r="R1674" s="26">
        <f>IF($G1674="","",SUMIFS(费用台账!$I$4:$I$503,费用台账!$C$4:$C$503,$E1674,费用台账!$J$4:$J$503,"是",费用台账!$K$4:$K$503,"正常"))</f>
        <v/>
      </c>
      <c r="S1674" s="28">
        <f>IF($G1674="","",COUNTIFS($E$4:$E$2503,$E1674,$Z$4:$Z$2503,"正常",$Y$4:$Y$2503,"待补价"))</f>
        <v/>
      </c>
      <c r="T1674" s="26">
        <f>IF($G1674="","",SUMIFS($P$4:$P$2503,$E$4:$E$2503,$E1674,$Z$4:$Z$2503,"正常",$A$4:$A$2503,"&lt;="&amp;$A1674))</f>
        <v/>
      </c>
      <c r="U1674" s="26">
        <f>IF($G1674="","",IF(OR($S1674&gt;0,$Q1674=0,$R1674=0,$Z1674&lt;&gt;"正常"),0,ROUND($T1674/$Q1674*$R1674,0)-ROUND(($T1674-$P1674)/$Q1674*$R1674,0)))</f>
        <v/>
      </c>
      <c r="V1674" s="26">
        <f>IF($G1674="","",ROUND($P1674+$U1674,0))</f>
        <v/>
      </c>
      <c r="W1674" s="26">
        <f>IF($G1674="","",IF(N($K1674)=0,0,ROUND($V1674/$K1674,2)))</f>
        <v/>
      </c>
      <c r="X1674" s="17" t="n"/>
      <c r="Y1674" s="17" t="n"/>
      <c r="Z1674" s="17" t="n"/>
      <c r="AA1674" s="17" t="n"/>
      <c r="AB1674" s="17" t="n"/>
      <c r="AC1674" s="24">
        <f>IF($G1674="","",IF($H1674="※编码不在物料档案里","※物料编码不在档案里",IF(N($K1674)&lt;=0,"※入库数量要大于 0",IF(AND($C1674&lt;&gt;"",$C1674&lt;=结账锁),"※日期早于已结账截止日，不能再录",IF(AND($L1674=0,$X1674="正常"),"※没填单价，价格状态请选「待补价」",IF(AND($S1674&gt;0,$R1674&gt;0),"△本批有 "&amp;$S1674&amp;" 行没单价，整批运费先挂账没摊",IF(AND($B1674&lt;&gt;"",COUNTIF($B$4:$B$2503,$B1674)&gt;1),"※入库单号重复","")))))))</f>
        <v/>
      </c>
    </row>
    <row r="1675">
      <c r="A1675" s="24">
        <f>IF($G1675="","",COUNTA($G$4:$G1675))</f>
        <v/>
      </c>
      <c r="B1675" s="17" t="n"/>
      <c r="C1675" s="30" t="n"/>
      <c r="D1675" s="17" t="n"/>
      <c r="E1675" s="17" t="n"/>
      <c r="F1675" s="17" t="n"/>
      <c r="G1675" s="17" t="n"/>
      <c r="H1675" s="24">
        <f>IF($G1675="","",IFERROR(VLOOKUP($G1675,物料档案!$A$4:$P$1203,3,0),"※编码不在物料档案里"))</f>
        <v/>
      </c>
      <c r="I1675" s="24">
        <f>IF($G1675="","",IFERROR(VLOOKUP($G1675,物料档案!$A$4:$P$1203,4,0),"※编码不在物料档案里"))</f>
        <v/>
      </c>
      <c r="J1675" s="24">
        <f>IF($G1675="","",IFERROR(VLOOKUP($G1675,物料档案!$A$4:$P$1203,5,0),"※编码不在物料档案里"))</f>
        <v/>
      </c>
      <c r="K1675" s="23" t="n"/>
      <c r="L1675" s="31" t="n"/>
      <c r="M1675" s="24">
        <f>IF($G1675="","",IF($D1675="A国内","CNY","TZS"))</f>
        <v/>
      </c>
      <c r="N1675" s="28">
        <f>IF($G1675="","",IF($D1675="A国内",汇率,1))</f>
        <v/>
      </c>
      <c r="O1675" s="25">
        <f>IF($G1675="","",ROUND(N($K1675)*N($L1675),2))</f>
        <v/>
      </c>
      <c r="P1675" s="26">
        <f>IF($G1675="","",ROUND($O1675*$N1675,0))</f>
        <v/>
      </c>
      <c r="Q1675" s="26">
        <f>IF($G1675="","",SUMIFS($P$4:$P$2503,$E$4:$E$2503,$E1675,$Z$4:$Z$2503,"正常"))</f>
        <v/>
      </c>
      <c r="R1675" s="26">
        <f>IF($G1675="","",SUMIFS(费用台账!$I$4:$I$503,费用台账!$C$4:$C$503,$E1675,费用台账!$J$4:$J$503,"是",费用台账!$K$4:$K$503,"正常"))</f>
        <v/>
      </c>
      <c r="S1675" s="28">
        <f>IF($G1675="","",COUNTIFS($E$4:$E$2503,$E1675,$Z$4:$Z$2503,"正常",$Y$4:$Y$2503,"待补价"))</f>
        <v/>
      </c>
      <c r="T1675" s="26">
        <f>IF($G1675="","",SUMIFS($P$4:$P$2503,$E$4:$E$2503,$E1675,$Z$4:$Z$2503,"正常",$A$4:$A$2503,"&lt;="&amp;$A1675))</f>
        <v/>
      </c>
      <c r="U1675" s="26">
        <f>IF($G1675="","",IF(OR($S1675&gt;0,$Q1675=0,$R1675=0,$Z1675&lt;&gt;"正常"),0,ROUND($T1675/$Q1675*$R1675,0)-ROUND(($T1675-$P1675)/$Q1675*$R1675,0)))</f>
        <v/>
      </c>
      <c r="V1675" s="26">
        <f>IF($G1675="","",ROUND($P1675+$U1675,0))</f>
        <v/>
      </c>
      <c r="W1675" s="26">
        <f>IF($G1675="","",IF(N($K1675)=0,0,ROUND($V1675/$K1675,2)))</f>
        <v/>
      </c>
      <c r="X1675" s="17" t="n"/>
      <c r="Y1675" s="17" t="n"/>
      <c r="Z1675" s="17" t="n"/>
      <c r="AA1675" s="17" t="n"/>
      <c r="AB1675" s="17" t="n"/>
      <c r="AC1675" s="24">
        <f>IF($G1675="","",IF($H1675="※编码不在物料档案里","※物料编码不在档案里",IF(N($K1675)&lt;=0,"※入库数量要大于 0",IF(AND($C1675&lt;&gt;"",$C1675&lt;=结账锁),"※日期早于已结账截止日，不能再录",IF(AND($L1675=0,$X1675="正常"),"※没填单价，价格状态请选「待补价」",IF(AND($S1675&gt;0,$R1675&gt;0),"△本批有 "&amp;$S1675&amp;" 行没单价，整批运费先挂账没摊",IF(AND($B1675&lt;&gt;"",COUNTIF($B$4:$B$2503,$B1675)&gt;1),"※入库单号重复","")))))))</f>
        <v/>
      </c>
    </row>
    <row r="1676">
      <c r="A1676" s="24">
        <f>IF($G1676="","",COUNTA($G$4:$G1676))</f>
        <v/>
      </c>
      <c r="B1676" s="17" t="n"/>
      <c r="C1676" s="30" t="n"/>
      <c r="D1676" s="17" t="n"/>
      <c r="E1676" s="17" t="n"/>
      <c r="F1676" s="17" t="n"/>
      <c r="G1676" s="17" t="n"/>
      <c r="H1676" s="24">
        <f>IF($G1676="","",IFERROR(VLOOKUP($G1676,物料档案!$A$4:$P$1203,3,0),"※编码不在物料档案里"))</f>
        <v/>
      </c>
      <c r="I1676" s="24">
        <f>IF($G1676="","",IFERROR(VLOOKUP($G1676,物料档案!$A$4:$P$1203,4,0),"※编码不在物料档案里"))</f>
        <v/>
      </c>
      <c r="J1676" s="24">
        <f>IF($G1676="","",IFERROR(VLOOKUP($G1676,物料档案!$A$4:$P$1203,5,0),"※编码不在物料档案里"))</f>
        <v/>
      </c>
      <c r="K1676" s="23" t="n"/>
      <c r="L1676" s="31" t="n"/>
      <c r="M1676" s="24">
        <f>IF($G1676="","",IF($D1676="A国内","CNY","TZS"))</f>
        <v/>
      </c>
      <c r="N1676" s="28">
        <f>IF($G1676="","",IF($D1676="A国内",汇率,1))</f>
        <v/>
      </c>
      <c r="O1676" s="25">
        <f>IF($G1676="","",ROUND(N($K1676)*N($L1676),2))</f>
        <v/>
      </c>
      <c r="P1676" s="26">
        <f>IF($G1676="","",ROUND($O1676*$N1676,0))</f>
        <v/>
      </c>
      <c r="Q1676" s="26">
        <f>IF($G1676="","",SUMIFS($P$4:$P$2503,$E$4:$E$2503,$E1676,$Z$4:$Z$2503,"正常"))</f>
        <v/>
      </c>
      <c r="R1676" s="26">
        <f>IF($G1676="","",SUMIFS(费用台账!$I$4:$I$503,费用台账!$C$4:$C$503,$E1676,费用台账!$J$4:$J$503,"是",费用台账!$K$4:$K$503,"正常"))</f>
        <v/>
      </c>
      <c r="S1676" s="28">
        <f>IF($G1676="","",COUNTIFS($E$4:$E$2503,$E1676,$Z$4:$Z$2503,"正常",$Y$4:$Y$2503,"待补价"))</f>
        <v/>
      </c>
      <c r="T1676" s="26">
        <f>IF($G1676="","",SUMIFS($P$4:$P$2503,$E$4:$E$2503,$E1676,$Z$4:$Z$2503,"正常",$A$4:$A$2503,"&lt;="&amp;$A1676))</f>
        <v/>
      </c>
      <c r="U1676" s="26">
        <f>IF($G1676="","",IF(OR($S1676&gt;0,$Q1676=0,$R1676=0,$Z1676&lt;&gt;"正常"),0,ROUND($T1676/$Q1676*$R1676,0)-ROUND(($T1676-$P1676)/$Q1676*$R1676,0)))</f>
        <v/>
      </c>
      <c r="V1676" s="26">
        <f>IF($G1676="","",ROUND($P1676+$U1676,0))</f>
        <v/>
      </c>
      <c r="W1676" s="26">
        <f>IF($G1676="","",IF(N($K1676)=0,0,ROUND($V1676/$K1676,2)))</f>
        <v/>
      </c>
      <c r="X1676" s="17" t="n"/>
      <c r="Y1676" s="17" t="n"/>
      <c r="Z1676" s="17" t="n"/>
      <c r="AA1676" s="17" t="n"/>
      <c r="AB1676" s="17" t="n"/>
      <c r="AC1676" s="24">
        <f>IF($G1676="","",IF($H1676="※编码不在物料档案里","※物料编码不在档案里",IF(N($K1676)&lt;=0,"※入库数量要大于 0",IF(AND($C1676&lt;&gt;"",$C1676&lt;=结账锁),"※日期早于已结账截止日，不能再录",IF(AND($L1676=0,$X1676="正常"),"※没填单价，价格状态请选「待补价」",IF(AND($S1676&gt;0,$R1676&gt;0),"△本批有 "&amp;$S1676&amp;" 行没单价，整批运费先挂账没摊",IF(AND($B1676&lt;&gt;"",COUNTIF($B$4:$B$2503,$B1676)&gt;1),"※入库单号重复","")))))))</f>
        <v/>
      </c>
    </row>
    <row r="1677">
      <c r="A1677" s="24">
        <f>IF($G1677="","",COUNTA($G$4:$G1677))</f>
        <v/>
      </c>
      <c r="B1677" s="17" t="n"/>
      <c r="C1677" s="30" t="n"/>
      <c r="D1677" s="17" t="n"/>
      <c r="E1677" s="17" t="n"/>
      <c r="F1677" s="17" t="n"/>
      <c r="G1677" s="17" t="n"/>
      <c r="H1677" s="24">
        <f>IF($G1677="","",IFERROR(VLOOKUP($G1677,物料档案!$A$4:$P$1203,3,0),"※编码不在物料档案里"))</f>
        <v/>
      </c>
      <c r="I1677" s="24">
        <f>IF($G1677="","",IFERROR(VLOOKUP($G1677,物料档案!$A$4:$P$1203,4,0),"※编码不在物料档案里"))</f>
        <v/>
      </c>
      <c r="J1677" s="24">
        <f>IF($G1677="","",IFERROR(VLOOKUP($G1677,物料档案!$A$4:$P$1203,5,0),"※编码不在物料档案里"))</f>
        <v/>
      </c>
      <c r="K1677" s="23" t="n"/>
      <c r="L1677" s="31" t="n"/>
      <c r="M1677" s="24">
        <f>IF($G1677="","",IF($D1677="A国内","CNY","TZS"))</f>
        <v/>
      </c>
      <c r="N1677" s="28">
        <f>IF($G1677="","",IF($D1677="A国内",汇率,1))</f>
        <v/>
      </c>
      <c r="O1677" s="25">
        <f>IF($G1677="","",ROUND(N($K1677)*N($L1677),2))</f>
        <v/>
      </c>
      <c r="P1677" s="26">
        <f>IF($G1677="","",ROUND($O1677*$N1677,0))</f>
        <v/>
      </c>
      <c r="Q1677" s="26">
        <f>IF($G1677="","",SUMIFS($P$4:$P$2503,$E$4:$E$2503,$E1677,$Z$4:$Z$2503,"正常"))</f>
        <v/>
      </c>
      <c r="R1677" s="26">
        <f>IF($G1677="","",SUMIFS(费用台账!$I$4:$I$503,费用台账!$C$4:$C$503,$E1677,费用台账!$J$4:$J$503,"是",费用台账!$K$4:$K$503,"正常"))</f>
        <v/>
      </c>
      <c r="S1677" s="28">
        <f>IF($G1677="","",COUNTIFS($E$4:$E$2503,$E1677,$Z$4:$Z$2503,"正常",$Y$4:$Y$2503,"待补价"))</f>
        <v/>
      </c>
      <c r="T1677" s="26">
        <f>IF($G1677="","",SUMIFS($P$4:$P$2503,$E$4:$E$2503,$E1677,$Z$4:$Z$2503,"正常",$A$4:$A$2503,"&lt;="&amp;$A1677))</f>
        <v/>
      </c>
      <c r="U1677" s="26">
        <f>IF($G1677="","",IF(OR($S1677&gt;0,$Q1677=0,$R1677=0,$Z1677&lt;&gt;"正常"),0,ROUND($T1677/$Q1677*$R1677,0)-ROUND(($T1677-$P1677)/$Q1677*$R1677,0)))</f>
        <v/>
      </c>
      <c r="V1677" s="26">
        <f>IF($G1677="","",ROUND($P1677+$U1677,0))</f>
        <v/>
      </c>
      <c r="W1677" s="26">
        <f>IF($G1677="","",IF(N($K1677)=0,0,ROUND($V1677/$K1677,2)))</f>
        <v/>
      </c>
      <c r="X1677" s="17" t="n"/>
      <c r="Y1677" s="17" t="n"/>
      <c r="Z1677" s="17" t="n"/>
      <c r="AA1677" s="17" t="n"/>
      <c r="AB1677" s="17" t="n"/>
      <c r="AC1677" s="24">
        <f>IF($G1677="","",IF($H1677="※编码不在物料档案里","※物料编码不在档案里",IF(N($K1677)&lt;=0,"※入库数量要大于 0",IF(AND($C1677&lt;&gt;"",$C1677&lt;=结账锁),"※日期早于已结账截止日，不能再录",IF(AND($L1677=0,$X1677="正常"),"※没填单价，价格状态请选「待补价」",IF(AND($S1677&gt;0,$R1677&gt;0),"△本批有 "&amp;$S1677&amp;" 行没单价，整批运费先挂账没摊",IF(AND($B1677&lt;&gt;"",COUNTIF($B$4:$B$2503,$B1677)&gt;1),"※入库单号重复","")))))))</f>
        <v/>
      </c>
    </row>
    <row r="1678">
      <c r="A1678" s="24">
        <f>IF($G1678="","",COUNTA($G$4:$G1678))</f>
        <v/>
      </c>
      <c r="B1678" s="17" t="n"/>
      <c r="C1678" s="30" t="n"/>
      <c r="D1678" s="17" t="n"/>
      <c r="E1678" s="17" t="n"/>
      <c r="F1678" s="17" t="n"/>
      <c r="G1678" s="17" t="n"/>
      <c r="H1678" s="24">
        <f>IF($G1678="","",IFERROR(VLOOKUP($G1678,物料档案!$A$4:$P$1203,3,0),"※编码不在物料档案里"))</f>
        <v/>
      </c>
      <c r="I1678" s="24">
        <f>IF($G1678="","",IFERROR(VLOOKUP($G1678,物料档案!$A$4:$P$1203,4,0),"※编码不在物料档案里"))</f>
        <v/>
      </c>
      <c r="J1678" s="24">
        <f>IF($G1678="","",IFERROR(VLOOKUP($G1678,物料档案!$A$4:$P$1203,5,0),"※编码不在物料档案里"))</f>
        <v/>
      </c>
      <c r="K1678" s="23" t="n"/>
      <c r="L1678" s="31" t="n"/>
      <c r="M1678" s="24">
        <f>IF($G1678="","",IF($D1678="A国内","CNY","TZS"))</f>
        <v/>
      </c>
      <c r="N1678" s="28">
        <f>IF($G1678="","",IF($D1678="A国内",汇率,1))</f>
        <v/>
      </c>
      <c r="O1678" s="25">
        <f>IF($G1678="","",ROUND(N($K1678)*N($L1678),2))</f>
        <v/>
      </c>
      <c r="P1678" s="26">
        <f>IF($G1678="","",ROUND($O1678*$N1678,0))</f>
        <v/>
      </c>
      <c r="Q1678" s="26">
        <f>IF($G1678="","",SUMIFS($P$4:$P$2503,$E$4:$E$2503,$E1678,$Z$4:$Z$2503,"正常"))</f>
        <v/>
      </c>
      <c r="R1678" s="26">
        <f>IF($G1678="","",SUMIFS(费用台账!$I$4:$I$503,费用台账!$C$4:$C$503,$E1678,费用台账!$J$4:$J$503,"是",费用台账!$K$4:$K$503,"正常"))</f>
        <v/>
      </c>
      <c r="S1678" s="28">
        <f>IF($G1678="","",COUNTIFS($E$4:$E$2503,$E1678,$Z$4:$Z$2503,"正常",$Y$4:$Y$2503,"待补价"))</f>
        <v/>
      </c>
      <c r="T1678" s="26">
        <f>IF($G1678="","",SUMIFS($P$4:$P$2503,$E$4:$E$2503,$E1678,$Z$4:$Z$2503,"正常",$A$4:$A$2503,"&lt;="&amp;$A1678))</f>
        <v/>
      </c>
      <c r="U1678" s="26">
        <f>IF($G1678="","",IF(OR($S1678&gt;0,$Q1678=0,$R1678=0,$Z1678&lt;&gt;"正常"),0,ROUND($T1678/$Q1678*$R1678,0)-ROUND(($T1678-$P1678)/$Q1678*$R1678,0)))</f>
        <v/>
      </c>
      <c r="V1678" s="26">
        <f>IF($G1678="","",ROUND($P1678+$U1678,0))</f>
        <v/>
      </c>
      <c r="W1678" s="26">
        <f>IF($G1678="","",IF(N($K1678)=0,0,ROUND($V1678/$K1678,2)))</f>
        <v/>
      </c>
      <c r="X1678" s="17" t="n"/>
      <c r="Y1678" s="17" t="n"/>
      <c r="Z1678" s="17" t="n"/>
      <c r="AA1678" s="17" t="n"/>
      <c r="AB1678" s="17" t="n"/>
      <c r="AC1678" s="24">
        <f>IF($G1678="","",IF($H1678="※编码不在物料档案里","※物料编码不在档案里",IF(N($K1678)&lt;=0,"※入库数量要大于 0",IF(AND($C1678&lt;&gt;"",$C1678&lt;=结账锁),"※日期早于已结账截止日，不能再录",IF(AND($L1678=0,$X1678="正常"),"※没填单价，价格状态请选「待补价」",IF(AND($S1678&gt;0,$R1678&gt;0),"△本批有 "&amp;$S1678&amp;" 行没单价，整批运费先挂账没摊",IF(AND($B1678&lt;&gt;"",COUNTIF($B$4:$B$2503,$B1678)&gt;1),"※入库单号重复","")))))))</f>
        <v/>
      </c>
    </row>
    <row r="1679">
      <c r="A1679" s="24">
        <f>IF($G1679="","",COUNTA($G$4:$G1679))</f>
        <v/>
      </c>
      <c r="B1679" s="17" t="n"/>
      <c r="C1679" s="30" t="n"/>
      <c r="D1679" s="17" t="n"/>
      <c r="E1679" s="17" t="n"/>
      <c r="F1679" s="17" t="n"/>
      <c r="G1679" s="17" t="n"/>
      <c r="H1679" s="24">
        <f>IF($G1679="","",IFERROR(VLOOKUP($G1679,物料档案!$A$4:$P$1203,3,0),"※编码不在物料档案里"))</f>
        <v/>
      </c>
      <c r="I1679" s="24">
        <f>IF($G1679="","",IFERROR(VLOOKUP($G1679,物料档案!$A$4:$P$1203,4,0),"※编码不在物料档案里"))</f>
        <v/>
      </c>
      <c r="J1679" s="24">
        <f>IF($G1679="","",IFERROR(VLOOKUP($G1679,物料档案!$A$4:$P$1203,5,0),"※编码不在物料档案里"))</f>
        <v/>
      </c>
      <c r="K1679" s="23" t="n"/>
      <c r="L1679" s="31" t="n"/>
      <c r="M1679" s="24">
        <f>IF($G1679="","",IF($D1679="A国内","CNY","TZS"))</f>
        <v/>
      </c>
      <c r="N1679" s="28">
        <f>IF($G1679="","",IF($D1679="A国内",汇率,1))</f>
        <v/>
      </c>
      <c r="O1679" s="25">
        <f>IF($G1679="","",ROUND(N($K1679)*N($L1679),2))</f>
        <v/>
      </c>
      <c r="P1679" s="26">
        <f>IF($G1679="","",ROUND($O1679*$N1679,0))</f>
        <v/>
      </c>
      <c r="Q1679" s="26">
        <f>IF($G1679="","",SUMIFS($P$4:$P$2503,$E$4:$E$2503,$E1679,$Z$4:$Z$2503,"正常"))</f>
        <v/>
      </c>
      <c r="R1679" s="26">
        <f>IF($G1679="","",SUMIFS(费用台账!$I$4:$I$503,费用台账!$C$4:$C$503,$E1679,费用台账!$J$4:$J$503,"是",费用台账!$K$4:$K$503,"正常"))</f>
        <v/>
      </c>
      <c r="S1679" s="28">
        <f>IF($G1679="","",COUNTIFS($E$4:$E$2503,$E1679,$Z$4:$Z$2503,"正常",$Y$4:$Y$2503,"待补价"))</f>
        <v/>
      </c>
      <c r="T1679" s="26">
        <f>IF($G1679="","",SUMIFS($P$4:$P$2503,$E$4:$E$2503,$E1679,$Z$4:$Z$2503,"正常",$A$4:$A$2503,"&lt;="&amp;$A1679))</f>
        <v/>
      </c>
      <c r="U1679" s="26">
        <f>IF($G1679="","",IF(OR($S1679&gt;0,$Q1679=0,$R1679=0,$Z1679&lt;&gt;"正常"),0,ROUND($T1679/$Q1679*$R1679,0)-ROUND(($T1679-$P1679)/$Q1679*$R1679,0)))</f>
        <v/>
      </c>
      <c r="V1679" s="26">
        <f>IF($G1679="","",ROUND($P1679+$U1679,0))</f>
        <v/>
      </c>
      <c r="W1679" s="26">
        <f>IF($G1679="","",IF(N($K1679)=0,0,ROUND($V1679/$K1679,2)))</f>
        <v/>
      </c>
      <c r="X1679" s="17" t="n"/>
      <c r="Y1679" s="17" t="n"/>
      <c r="Z1679" s="17" t="n"/>
      <c r="AA1679" s="17" t="n"/>
      <c r="AB1679" s="17" t="n"/>
      <c r="AC1679" s="24">
        <f>IF($G1679="","",IF($H1679="※编码不在物料档案里","※物料编码不在档案里",IF(N($K1679)&lt;=0,"※入库数量要大于 0",IF(AND($C1679&lt;&gt;"",$C1679&lt;=结账锁),"※日期早于已结账截止日，不能再录",IF(AND($L1679=0,$X1679="正常"),"※没填单价，价格状态请选「待补价」",IF(AND($S1679&gt;0,$R1679&gt;0),"△本批有 "&amp;$S1679&amp;" 行没单价，整批运费先挂账没摊",IF(AND($B1679&lt;&gt;"",COUNTIF($B$4:$B$2503,$B1679)&gt;1),"※入库单号重复","")))))))</f>
        <v/>
      </c>
    </row>
    <row r="1680">
      <c r="A1680" s="24">
        <f>IF($G1680="","",COUNTA($G$4:$G1680))</f>
        <v/>
      </c>
      <c r="B1680" s="17" t="n"/>
      <c r="C1680" s="30" t="n"/>
      <c r="D1680" s="17" t="n"/>
      <c r="E1680" s="17" t="n"/>
      <c r="F1680" s="17" t="n"/>
      <c r="G1680" s="17" t="n"/>
      <c r="H1680" s="24">
        <f>IF($G1680="","",IFERROR(VLOOKUP($G1680,物料档案!$A$4:$P$1203,3,0),"※编码不在物料档案里"))</f>
        <v/>
      </c>
      <c r="I1680" s="24">
        <f>IF($G1680="","",IFERROR(VLOOKUP($G1680,物料档案!$A$4:$P$1203,4,0),"※编码不在物料档案里"))</f>
        <v/>
      </c>
      <c r="J1680" s="24">
        <f>IF($G1680="","",IFERROR(VLOOKUP($G1680,物料档案!$A$4:$P$1203,5,0),"※编码不在物料档案里"))</f>
        <v/>
      </c>
      <c r="K1680" s="23" t="n"/>
      <c r="L1680" s="31" t="n"/>
      <c r="M1680" s="24">
        <f>IF($G1680="","",IF($D1680="A国内","CNY","TZS"))</f>
        <v/>
      </c>
      <c r="N1680" s="28">
        <f>IF($G1680="","",IF($D1680="A国内",汇率,1))</f>
        <v/>
      </c>
      <c r="O1680" s="25">
        <f>IF($G1680="","",ROUND(N($K1680)*N($L1680),2))</f>
        <v/>
      </c>
      <c r="P1680" s="26">
        <f>IF($G1680="","",ROUND($O1680*$N1680,0))</f>
        <v/>
      </c>
      <c r="Q1680" s="26">
        <f>IF($G1680="","",SUMIFS($P$4:$P$2503,$E$4:$E$2503,$E1680,$Z$4:$Z$2503,"正常"))</f>
        <v/>
      </c>
      <c r="R1680" s="26">
        <f>IF($G1680="","",SUMIFS(费用台账!$I$4:$I$503,费用台账!$C$4:$C$503,$E1680,费用台账!$J$4:$J$503,"是",费用台账!$K$4:$K$503,"正常"))</f>
        <v/>
      </c>
      <c r="S1680" s="28">
        <f>IF($G1680="","",COUNTIFS($E$4:$E$2503,$E1680,$Z$4:$Z$2503,"正常",$Y$4:$Y$2503,"待补价"))</f>
        <v/>
      </c>
      <c r="T1680" s="26">
        <f>IF($G1680="","",SUMIFS($P$4:$P$2503,$E$4:$E$2503,$E1680,$Z$4:$Z$2503,"正常",$A$4:$A$2503,"&lt;="&amp;$A1680))</f>
        <v/>
      </c>
      <c r="U1680" s="26">
        <f>IF($G1680="","",IF(OR($S1680&gt;0,$Q1680=0,$R1680=0,$Z1680&lt;&gt;"正常"),0,ROUND($T1680/$Q1680*$R1680,0)-ROUND(($T1680-$P1680)/$Q1680*$R1680,0)))</f>
        <v/>
      </c>
      <c r="V1680" s="26">
        <f>IF($G1680="","",ROUND($P1680+$U1680,0))</f>
        <v/>
      </c>
      <c r="W1680" s="26">
        <f>IF($G1680="","",IF(N($K1680)=0,0,ROUND($V1680/$K1680,2)))</f>
        <v/>
      </c>
      <c r="X1680" s="17" t="n"/>
      <c r="Y1680" s="17" t="n"/>
      <c r="Z1680" s="17" t="n"/>
      <c r="AA1680" s="17" t="n"/>
      <c r="AB1680" s="17" t="n"/>
      <c r="AC1680" s="24">
        <f>IF($G1680="","",IF($H1680="※编码不在物料档案里","※物料编码不在档案里",IF(N($K1680)&lt;=0,"※入库数量要大于 0",IF(AND($C1680&lt;&gt;"",$C1680&lt;=结账锁),"※日期早于已结账截止日，不能再录",IF(AND($L1680=0,$X1680="正常"),"※没填单价，价格状态请选「待补价」",IF(AND($S1680&gt;0,$R1680&gt;0),"△本批有 "&amp;$S1680&amp;" 行没单价，整批运费先挂账没摊",IF(AND($B1680&lt;&gt;"",COUNTIF($B$4:$B$2503,$B1680)&gt;1),"※入库单号重复","")))))))</f>
        <v/>
      </c>
    </row>
    <row r="1681">
      <c r="A1681" s="24">
        <f>IF($G1681="","",COUNTA($G$4:$G1681))</f>
        <v/>
      </c>
      <c r="B1681" s="17" t="n"/>
      <c r="C1681" s="30" t="n"/>
      <c r="D1681" s="17" t="n"/>
      <c r="E1681" s="17" t="n"/>
      <c r="F1681" s="17" t="n"/>
      <c r="G1681" s="17" t="n"/>
      <c r="H1681" s="24">
        <f>IF($G1681="","",IFERROR(VLOOKUP($G1681,物料档案!$A$4:$P$1203,3,0),"※编码不在物料档案里"))</f>
        <v/>
      </c>
      <c r="I1681" s="24">
        <f>IF($G1681="","",IFERROR(VLOOKUP($G1681,物料档案!$A$4:$P$1203,4,0),"※编码不在物料档案里"))</f>
        <v/>
      </c>
      <c r="J1681" s="24">
        <f>IF($G1681="","",IFERROR(VLOOKUP($G1681,物料档案!$A$4:$P$1203,5,0),"※编码不在物料档案里"))</f>
        <v/>
      </c>
      <c r="K1681" s="23" t="n"/>
      <c r="L1681" s="31" t="n"/>
      <c r="M1681" s="24">
        <f>IF($G1681="","",IF($D1681="A国内","CNY","TZS"))</f>
        <v/>
      </c>
      <c r="N1681" s="28">
        <f>IF($G1681="","",IF($D1681="A国内",汇率,1))</f>
        <v/>
      </c>
      <c r="O1681" s="25">
        <f>IF($G1681="","",ROUND(N($K1681)*N($L1681),2))</f>
        <v/>
      </c>
      <c r="P1681" s="26">
        <f>IF($G1681="","",ROUND($O1681*$N1681,0))</f>
        <v/>
      </c>
      <c r="Q1681" s="26">
        <f>IF($G1681="","",SUMIFS($P$4:$P$2503,$E$4:$E$2503,$E1681,$Z$4:$Z$2503,"正常"))</f>
        <v/>
      </c>
      <c r="R1681" s="26">
        <f>IF($G1681="","",SUMIFS(费用台账!$I$4:$I$503,费用台账!$C$4:$C$503,$E1681,费用台账!$J$4:$J$503,"是",费用台账!$K$4:$K$503,"正常"))</f>
        <v/>
      </c>
      <c r="S1681" s="28">
        <f>IF($G1681="","",COUNTIFS($E$4:$E$2503,$E1681,$Z$4:$Z$2503,"正常",$Y$4:$Y$2503,"待补价"))</f>
        <v/>
      </c>
      <c r="T1681" s="26">
        <f>IF($G1681="","",SUMIFS($P$4:$P$2503,$E$4:$E$2503,$E1681,$Z$4:$Z$2503,"正常",$A$4:$A$2503,"&lt;="&amp;$A1681))</f>
        <v/>
      </c>
      <c r="U1681" s="26">
        <f>IF($G1681="","",IF(OR($S1681&gt;0,$Q1681=0,$R1681=0,$Z1681&lt;&gt;"正常"),0,ROUND($T1681/$Q1681*$R1681,0)-ROUND(($T1681-$P1681)/$Q1681*$R1681,0)))</f>
        <v/>
      </c>
      <c r="V1681" s="26">
        <f>IF($G1681="","",ROUND($P1681+$U1681,0))</f>
        <v/>
      </c>
      <c r="W1681" s="26">
        <f>IF($G1681="","",IF(N($K1681)=0,0,ROUND($V1681/$K1681,2)))</f>
        <v/>
      </c>
      <c r="X1681" s="17" t="n"/>
      <c r="Y1681" s="17" t="n"/>
      <c r="Z1681" s="17" t="n"/>
      <c r="AA1681" s="17" t="n"/>
      <c r="AB1681" s="17" t="n"/>
      <c r="AC1681" s="24">
        <f>IF($G1681="","",IF($H1681="※编码不在物料档案里","※物料编码不在档案里",IF(N($K1681)&lt;=0,"※入库数量要大于 0",IF(AND($C1681&lt;&gt;"",$C1681&lt;=结账锁),"※日期早于已结账截止日，不能再录",IF(AND($L1681=0,$X1681="正常"),"※没填单价，价格状态请选「待补价」",IF(AND($S1681&gt;0,$R1681&gt;0),"△本批有 "&amp;$S1681&amp;" 行没单价，整批运费先挂账没摊",IF(AND($B1681&lt;&gt;"",COUNTIF($B$4:$B$2503,$B1681)&gt;1),"※入库单号重复","")))))))</f>
        <v/>
      </c>
    </row>
    <row r="1682">
      <c r="A1682" s="24">
        <f>IF($G1682="","",COUNTA($G$4:$G1682))</f>
        <v/>
      </c>
      <c r="B1682" s="17" t="n"/>
      <c r="C1682" s="30" t="n"/>
      <c r="D1682" s="17" t="n"/>
      <c r="E1682" s="17" t="n"/>
      <c r="F1682" s="17" t="n"/>
      <c r="G1682" s="17" t="n"/>
      <c r="H1682" s="24">
        <f>IF($G1682="","",IFERROR(VLOOKUP($G1682,物料档案!$A$4:$P$1203,3,0),"※编码不在物料档案里"))</f>
        <v/>
      </c>
      <c r="I1682" s="24">
        <f>IF($G1682="","",IFERROR(VLOOKUP($G1682,物料档案!$A$4:$P$1203,4,0),"※编码不在物料档案里"))</f>
        <v/>
      </c>
      <c r="J1682" s="24">
        <f>IF($G1682="","",IFERROR(VLOOKUP($G1682,物料档案!$A$4:$P$1203,5,0),"※编码不在物料档案里"))</f>
        <v/>
      </c>
      <c r="K1682" s="23" t="n"/>
      <c r="L1682" s="31" t="n"/>
      <c r="M1682" s="24">
        <f>IF($G1682="","",IF($D1682="A国内","CNY","TZS"))</f>
        <v/>
      </c>
      <c r="N1682" s="28">
        <f>IF($G1682="","",IF($D1682="A国内",汇率,1))</f>
        <v/>
      </c>
      <c r="O1682" s="25">
        <f>IF($G1682="","",ROUND(N($K1682)*N($L1682),2))</f>
        <v/>
      </c>
      <c r="P1682" s="26">
        <f>IF($G1682="","",ROUND($O1682*$N1682,0))</f>
        <v/>
      </c>
      <c r="Q1682" s="26">
        <f>IF($G1682="","",SUMIFS($P$4:$P$2503,$E$4:$E$2503,$E1682,$Z$4:$Z$2503,"正常"))</f>
        <v/>
      </c>
      <c r="R1682" s="26">
        <f>IF($G1682="","",SUMIFS(费用台账!$I$4:$I$503,费用台账!$C$4:$C$503,$E1682,费用台账!$J$4:$J$503,"是",费用台账!$K$4:$K$503,"正常"))</f>
        <v/>
      </c>
      <c r="S1682" s="28">
        <f>IF($G1682="","",COUNTIFS($E$4:$E$2503,$E1682,$Z$4:$Z$2503,"正常",$Y$4:$Y$2503,"待补价"))</f>
        <v/>
      </c>
      <c r="T1682" s="26">
        <f>IF($G1682="","",SUMIFS($P$4:$P$2503,$E$4:$E$2503,$E1682,$Z$4:$Z$2503,"正常",$A$4:$A$2503,"&lt;="&amp;$A1682))</f>
        <v/>
      </c>
      <c r="U1682" s="26">
        <f>IF($G1682="","",IF(OR($S1682&gt;0,$Q1682=0,$R1682=0,$Z1682&lt;&gt;"正常"),0,ROUND($T1682/$Q1682*$R1682,0)-ROUND(($T1682-$P1682)/$Q1682*$R1682,0)))</f>
        <v/>
      </c>
      <c r="V1682" s="26">
        <f>IF($G1682="","",ROUND($P1682+$U1682,0))</f>
        <v/>
      </c>
      <c r="W1682" s="26">
        <f>IF($G1682="","",IF(N($K1682)=0,0,ROUND($V1682/$K1682,2)))</f>
        <v/>
      </c>
      <c r="X1682" s="17" t="n"/>
      <c r="Y1682" s="17" t="n"/>
      <c r="Z1682" s="17" t="n"/>
      <c r="AA1682" s="17" t="n"/>
      <c r="AB1682" s="17" t="n"/>
      <c r="AC1682" s="24">
        <f>IF($G1682="","",IF($H1682="※编码不在物料档案里","※物料编码不在档案里",IF(N($K1682)&lt;=0,"※入库数量要大于 0",IF(AND($C1682&lt;&gt;"",$C1682&lt;=结账锁),"※日期早于已结账截止日，不能再录",IF(AND($L1682=0,$X1682="正常"),"※没填单价，价格状态请选「待补价」",IF(AND($S1682&gt;0,$R1682&gt;0),"△本批有 "&amp;$S1682&amp;" 行没单价，整批运费先挂账没摊",IF(AND($B1682&lt;&gt;"",COUNTIF($B$4:$B$2503,$B1682)&gt;1),"※入库单号重复","")))))))</f>
        <v/>
      </c>
    </row>
    <row r="1683">
      <c r="A1683" s="24">
        <f>IF($G1683="","",COUNTA($G$4:$G1683))</f>
        <v/>
      </c>
      <c r="B1683" s="17" t="n"/>
      <c r="C1683" s="30" t="n"/>
      <c r="D1683" s="17" t="n"/>
      <c r="E1683" s="17" t="n"/>
      <c r="F1683" s="17" t="n"/>
      <c r="G1683" s="17" t="n"/>
      <c r="H1683" s="24">
        <f>IF($G1683="","",IFERROR(VLOOKUP($G1683,物料档案!$A$4:$P$1203,3,0),"※编码不在物料档案里"))</f>
        <v/>
      </c>
      <c r="I1683" s="24">
        <f>IF($G1683="","",IFERROR(VLOOKUP($G1683,物料档案!$A$4:$P$1203,4,0),"※编码不在物料档案里"))</f>
        <v/>
      </c>
      <c r="J1683" s="24">
        <f>IF($G1683="","",IFERROR(VLOOKUP($G1683,物料档案!$A$4:$P$1203,5,0),"※编码不在物料档案里"))</f>
        <v/>
      </c>
      <c r="K1683" s="23" t="n"/>
      <c r="L1683" s="31" t="n"/>
      <c r="M1683" s="24">
        <f>IF($G1683="","",IF($D1683="A国内","CNY","TZS"))</f>
        <v/>
      </c>
      <c r="N1683" s="28">
        <f>IF($G1683="","",IF($D1683="A国内",汇率,1))</f>
        <v/>
      </c>
      <c r="O1683" s="25">
        <f>IF($G1683="","",ROUND(N($K1683)*N($L1683),2))</f>
        <v/>
      </c>
      <c r="P1683" s="26">
        <f>IF($G1683="","",ROUND($O1683*$N1683,0))</f>
        <v/>
      </c>
      <c r="Q1683" s="26">
        <f>IF($G1683="","",SUMIFS($P$4:$P$2503,$E$4:$E$2503,$E1683,$Z$4:$Z$2503,"正常"))</f>
        <v/>
      </c>
      <c r="R1683" s="26">
        <f>IF($G1683="","",SUMIFS(费用台账!$I$4:$I$503,费用台账!$C$4:$C$503,$E1683,费用台账!$J$4:$J$503,"是",费用台账!$K$4:$K$503,"正常"))</f>
        <v/>
      </c>
      <c r="S1683" s="28">
        <f>IF($G1683="","",COUNTIFS($E$4:$E$2503,$E1683,$Z$4:$Z$2503,"正常",$Y$4:$Y$2503,"待补价"))</f>
        <v/>
      </c>
      <c r="T1683" s="26">
        <f>IF($G1683="","",SUMIFS($P$4:$P$2503,$E$4:$E$2503,$E1683,$Z$4:$Z$2503,"正常",$A$4:$A$2503,"&lt;="&amp;$A1683))</f>
        <v/>
      </c>
      <c r="U1683" s="26">
        <f>IF($G1683="","",IF(OR($S1683&gt;0,$Q1683=0,$R1683=0,$Z1683&lt;&gt;"正常"),0,ROUND($T1683/$Q1683*$R1683,0)-ROUND(($T1683-$P1683)/$Q1683*$R1683,0)))</f>
        <v/>
      </c>
      <c r="V1683" s="26">
        <f>IF($G1683="","",ROUND($P1683+$U1683,0))</f>
        <v/>
      </c>
      <c r="W1683" s="26">
        <f>IF($G1683="","",IF(N($K1683)=0,0,ROUND($V1683/$K1683,2)))</f>
        <v/>
      </c>
      <c r="X1683" s="17" t="n"/>
      <c r="Y1683" s="17" t="n"/>
      <c r="Z1683" s="17" t="n"/>
      <c r="AA1683" s="17" t="n"/>
      <c r="AB1683" s="17" t="n"/>
      <c r="AC1683" s="24">
        <f>IF($G1683="","",IF($H1683="※编码不在物料档案里","※物料编码不在档案里",IF(N($K1683)&lt;=0,"※入库数量要大于 0",IF(AND($C1683&lt;&gt;"",$C1683&lt;=结账锁),"※日期早于已结账截止日，不能再录",IF(AND($L1683=0,$X1683="正常"),"※没填单价，价格状态请选「待补价」",IF(AND($S1683&gt;0,$R1683&gt;0),"△本批有 "&amp;$S1683&amp;" 行没单价，整批运费先挂账没摊",IF(AND($B1683&lt;&gt;"",COUNTIF($B$4:$B$2503,$B1683)&gt;1),"※入库单号重复","")))))))</f>
        <v/>
      </c>
    </row>
    <row r="1684">
      <c r="A1684" s="24">
        <f>IF($G1684="","",COUNTA($G$4:$G1684))</f>
        <v/>
      </c>
      <c r="B1684" s="17" t="n"/>
      <c r="C1684" s="30" t="n"/>
      <c r="D1684" s="17" t="n"/>
      <c r="E1684" s="17" t="n"/>
      <c r="F1684" s="17" t="n"/>
      <c r="G1684" s="17" t="n"/>
      <c r="H1684" s="24">
        <f>IF($G1684="","",IFERROR(VLOOKUP($G1684,物料档案!$A$4:$P$1203,3,0),"※编码不在物料档案里"))</f>
        <v/>
      </c>
      <c r="I1684" s="24">
        <f>IF($G1684="","",IFERROR(VLOOKUP($G1684,物料档案!$A$4:$P$1203,4,0),"※编码不在物料档案里"))</f>
        <v/>
      </c>
      <c r="J1684" s="24">
        <f>IF($G1684="","",IFERROR(VLOOKUP($G1684,物料档案!$A$4:$P$1203,5,0),"※编码不在物料档案里"))</f>
        <v/>
      </c>
      <c r="K1684" s="23" t="n"/>
      <c r="L1684" s="31" t="n"/>
      <c r="M1684" s="24">
        <f>IF($G1684="","",IF($D1684="A国内","CNY","TZS"))</f>
        <v/>
      </c>
      <c r="N1684" s="28">
        <f>IF($G1684="","",IF($D1684="A国内",汇率,1))</f>
        <v/>
      </c>
      <c r="O1684" s="25">
        <f>IF($G1684="","",ROUND(N($K1684)*N($L1684),2))</f>
        <v/>
      </c>
      <c r="P1684" s="26">
        <f>IF($G1684="","",ROUND($O1684*$N1684,0))</f>
        <v/>
      </c>
      <c r="Q1684" s="26">
        <f>IF($G1684="","",SUMIFS($P$4:$P$2503,$E$4:$E$2503,$E1684,$Z$4:$Z$2503,"正常"))</f>
        <v/>
      </c>
      <c r="R1684" s="26">
        <f>IF($G1684="","",SUMIFS(费用台账!$I$4:$I$503,费用台账!$C$4:$C$503,$E1684,费用台账!$J$4:$J$503,"是",费用台账!$K$4:$K$503,"正常"))</f>
        <v/>
      </c>
      <c r="S1684" s="28">
        <f>IF($G1684="","",COUNTIFS($E$4:$E$2503,$E1684,$Z$4:$Z$2503,"正常",$Y$4:$Y$2503,"待补价"))</f>
        <v/>
      </c>
      <c r="T1684" s="26">
        <f>IF($G1684="","",SUMIFS($P$4:$P$2503,$E$4:$E$2503,$E1684,$Z$4:$Z$2503,"正常",$A$4:$A$2503,"&lt;="&amp;$A1684))</f>
        <v/>
      </c>
      <c r="U1684" s="26">
        <f>IF($G1684="","",IF(OR($S1684&gt;0,$Q1684=0,$R1684=0,$Z1684&lt;&gt;"正常"),0,ROUND($T1684/$Q1684*$R1684,0)-ROUND(($T1684-$P1684)/$Q1684*$R1684,0)))</f>
        <v/>
      </c>
      <c r="V1684" s="26">
        <f>IF($G1684="","",ROUND($P1684+$U1684,0))</f>
        <v/>
      </c>
      <c r="W1684" s="26">
        <f>IF($G1684="","",IF(N($K1684)=0,0,ROUND($V1684/$K1684,2)))</f>
        <v/>
      </c>
      <c r="X1684" s="17" t="n"/>
      <c r="Y1684" s="17" t="n"/>
      <c r="Z1684" s="17" t="n"/>
      <c r="AA1684" s="17" t="n"/>
      <c r="AB1684" s="17" t="n"/>
      <c r="AC1684" s="24">
        <f>IF($G1684="","",IF($H1684="※编码不在物料档案里","※物料编码不在档案里",IF(N($K1684)&lt;=0,"※入库数量要大于 0",IF(AND($C1684&lt;&gt;"",$C1684&lt;=结账锁),"※日期早于已结账截止日，不能再录",IF(AND($L1684=0,$X1684="正常"),"※没填单价，价格状态请选「待补价」",IF(AND($S1684&gt;0,$R1684&gt;0),"△本批有 "&amp;$S1684&amp;" 行没单价，整批运费先挂账没摊",IF(AND($B1684&lt;&gt;"",COUNTIF($B$4:$B$2503,$B1684)&gt;1),"※入库单号重复","")))))))</f>
        <v/>
      </c>
    </row>
    <row r="1685">
      <c r="A1685" s="24">
        <f>IF($G1685="","",COUNTA($G$4:$G1685))</f>
        <v/>
      </c>
      <c r="B1685" s="17" t="n"/>
      <c r="C1685" s="30" t="n"/>
      <c r="D1685" s="17" t="n"/>
      <c r="E1685" s="17" t="n"/>
      <c r="F1685" s="17" t="n"/>
      <c r="G1685" s="17" t="n"/>
      <c r="H1685" s="24">
        <f>IF($G1685="","",IFERROR(VLOOKUP($G1685,物料档案!$A$4:$P$1203,3,0),"※编码不在物料档案里"))</f>
        <v/>
      </c>
      <c r="I1685" s="24">
        <f>IF($G1685="","",IFERROR(VLOOKUP($G1685,物料档案!$A$4:$P$1203,4,0),"※编码不在物料档案里"))</f>
        <v/>
      </c>
      <c r="J1685" s="24">
        <f>IF($G1685="","",IFERROR(VLOOKUP($G1685,物料档案!$A$4:$P$1203,5,0),"※编码不在物料档案里"))</f>
        <v/>
      </c>
      <c r="K1685" s="23" t="n"/>
      <c r="L1685" s="31" t="n"/>
      <c r="M1685" s="24">
        <f>IF($G1685="","",IF($D1685="A国内","CNY","TZS"))</f>
        <v/>
      </c>
      <c r="N1685" s="28">
        <f>IF($G1685="","",IF($D1685="A国内",汇率,1))</f>
        <v/>
      </c>
      <c r="O1685" s="25">
        <f>IF($G1685="","",ROUND(N($K1685)*N($L1685),2))</f>
        <v/>
      </c>
      <c r="P1685" s="26">
        <f>IF($G1685="","",ROUND($O1685*$N1685,0))</f>
        <v/>
      </c>
      <c r="Q1685" s="26">
        <f>IF($G1685="","",SUMIFS($P$4:$P$2503,$E$4:$E$2503,$E1685,$Z$4:$Z$2503,"正常"))</f>
        <v/>
      </c>
      <c r="R1685" s="26">
        <f>IF($G1685="","",SUMIFS(费用台账!$I$4:$I$503,费用台账!$C$4:$C$503,$E1685,费用台账!$J$4:$J$503,"是",费用台账!$K$4:$K$503,"正常"))</f>
        <v/>
      </c>
      <c r="S1685" s="28">
        <f>IF($G1685="","",COUNTIFS($E$4:$E$2503,$E1685,$Z$4:$Z$2503,"正常",$Y$4:$Y$2503,"待补价"))</f>
        <v/>
      </c>
      <c r="T1685" s="26">
        <f>IF($G1685="","",SUMIFS($P$4:$P$2503,$E$4:$E$2503,$E1685,$Z$4:$Z$2503,"正常",$A$4:$A$2503,"&lt;="&amp;$A1685))</f>
        <v/>
      </c>
      <c r="U1685" s="26">
        <f>IF($G1685="","",IF(OR($S1685&gt;0,$Q1685=0,$R1685=0,$Z1685&lt;&gt;"正常"),0,ROUND($T1685/$Q1685*$R1685,0)-ROUND(($T1685-$P1685)/$Q1685*$R1685,0)))</f>
        <v/>
      </c>
      <c r="V1685" s="26">
        <f>IF($G1685="","",ROUND($P1685+$U1685,0))</f>
        <v/>
      </c>
      <c r="W1685" s="26">
        <f>IF($G1685="","",IF(N($K1685)=0,0,ROUND($V1685/$K1685,2)))</f>
        <v/>
      </c>
      <c r="X1685" s="17" t="n"/>
      <c r="Y1685" s="17" t="n"/>
      <c r="Z1685" s="17" t="n"/>
      <c r="AA1685" s="17" t="n"/>
      <c r="AB1685" s="17" t="n"/>
      <c r="AC1685" s="24">
        <f>IF($G1685="","",IF($H1685="※编码不在物料档案里","※物料编码不在档案里",IF(N($K1685)&lt;=0,"※入库数量要大于 0",IF(AND($C1685&lt;&gt;"",$C1685&lt;=结账锁),"※日期早于已结账截止日，不能再录",IF(AND($L1685=0,$X1685="正常"),"※没填单价，价格状态请选「待补价」",IF(AND($S1685&gt;0,$R1685&gt;0),"△本批有 "&amp;$S1685&amp;" 行没单价，整批运费先挂账没摊",IF(AND($B1685&lt;&gt;"",COUNTIF($B$4:$B$2503,$B1685)&gt;1),"※入库单号重复","")))))))</f>
        <v/>
      </c>
    </row>
    <row r="1686">
      <c r="A1686" s="24">
        <f>IF($G1686="","",COUNTA($G$4:$G1686))</f>
        <v/>
      </c>
      <c r="B1686" s="17" t="n"/>
      <c r="C1686" s="30" t="n"/>
      <c r="D1686" s="17" t="n"/>
      <c r="E1686" s="17" t="n"/>
      <c r="F1686" s="17" t="n"/>
      <c r="G1686" s="17" t="n"/>
      <c r="H1686" s="24">
        <f>IF($G1686="","",IFERROR(VLOOKUP($G1686,物料档案!$A$4:$P$1203,3,0),"※编码不在物料档案里"))</f>
        <v/>
      </c>
      <c r="I1686" s="24">
        <f>IF($G1686="","",IFERROR(VLOOKUP($G1686,物料档案!$A$4:$P$1203,4,0),"※编码不在物料档案里"))</f>
        <v/>
      </c>
      <c r="J1686" s="24">
        <f>IF($G1686="","",IFERROR(VLOOKUP($G1686,物料档案!$A$4:$P$1203,5,0),"※编码不在物料档案里"))</f>
        <v/>
      </c>
      <c r="K1686" s="23" t="n"/>
      <c r="L1686" s="31" t="n"/>
      <c r="M1686" s="24">
        <f>IF($G1686="","",IF($D1686="A国内","CNY","TZS"))</f>
        <v/>
      </c>
      <c r="N1686" s="28">
        <f>IF($G1686="","",IF($D1686="A国内",汇率,1))</f>
        <v/>
      </c>
      <c r="O1686" s="25">
        <f>IF($G1686="","",ROUND(N($K1686)*N($L1686),2))</f>
        <v/>
      </c>
      <c r="P1686" s="26">
        <f>IF($G1686="","",ROUND($O1686*$N1686,0))</f>
        <v/>
      </c>
      <c r="Q1686" s="26">
        <f>IF($G1686="","",SUMIFS($P$4:$P$2503,$E$4:$E$2503,$E1686,$Z$4:$Z$2503,"正常"))</f>
        <v/>
      </c>
      <c r="R1686" s="26">
        <f>IF($G1686="","",SUMIFS(费用台账!$I$4:$I$503,费用台账!$C$4:$C$503,$E1686,费用台账!$J$4:$J$503,"是",费用台账!$K$4:$K$503,"正常"))</f>
        <v/>
      </c>
      <c r="S1686" s="28">
        <f>IF($G1686="","",COUNTIFS($E$4:$E$2503,$E1686,$Z$4:$Z$2503,"正常",$Y$4:$Y$2503,"待补价"))</f>
        <v/>
      </c>
      <c r="T1686" s="26">
        <f>IF($G1686="","",SUMIFS($P$4:$P$2503,$E$4:$E$2503,$E1686,$Z$4:$Z$2503,"正常",$A$4:$A$2503,"&lt;="&amp;$A1686))</f>
        <v/>
      </c>
      <c r="U1686" s="26">
        <f>IF($G1686="","",IF(OR($S1686&gt;0,$Q1686=0,$R1686=0,$Z1686&lt;&gt;"正常"),0,ROUND($T1686/$Q1686*$R1686,0)-ROUND(($T1686-$P1686)/$Q1686*$R1686,0)))</f>
        <v/>
      </c>
      <c r="V1686" s="26">
        <f>IF($G1686="","",ROUND($P1686+$U1686,0))</f>
        <v/>
      </c>
      <c r="W1686" s="26">
        <f>IF($G1686="","",IF(N($K1686)=0,0,ROUND($V1686/$K1686,2)))</f>
        <v/>
      </c>
      <c r="X1686" s="17" t="n"/>
      <c r="Y1686" s="17" t="n"/>
      <c r="Z1686" s="17" t="n"/>
      <c r="AA1686" s="17" t="n"/>
      <c r="AB1686" s="17" t="n"/>
      <c r="AC1686" s="24">
        <f>IF($G1686="","",IF($H1686="※编码不在物料档案里","※物料编码不在档案里",IF(N($K1686)&lt;=0,"※入库数量要大于 0",IF(AND($C1686&lt;&gt;"",$C1686&lt;=结账锁),"※日期早于已结账截止日，不能再录",IF(AND($L1686=0,$X1686="正常"),"※没填单价，价格状态请选「待补价」",IF(AND($S1686&gt;0,$R1686&gt;0),"△本批有 "&amp;$S1686&amp;" 行没单价，整批运费先挂账没摊",IF(AND($B1686&lt;&gt;"",COUNTIF($B$4:$B$2503,$B1686)&gt;1),"※入库单号重复","")))))))</f>
        <v/>
      </c>
    </row>
    <row r="1687">
      <c r="A1687" s="24">
        <f>IF($G1687="","",COUNTA($G$4:$G1687))</f>
        <v/>
      </c>
      <c r="B1687" s="17" t="n"/>
      <c r="C1687" s="30" t="n"/>
      <c r="D1687" s="17" t="n"/>
      <c r="E1687" s="17" t="n"/>
      <c r="F1687" s="17" t="n"/>
      <c r="G1687" s="17" t="n"/>
      <c r="H1687" s="24">
        <f>IF($G1687="","",IFERROR(VLOOKUP($G1687,物料档案!$A$4:$P$1203,3,0),"※编码不在物料档案里"))</f>
        <v/>
      </c>
      <c r="I1687" s="24">
        <f>IF($G1687="","",IFERROR(VLOOKUP($G1687,物料档案!$A$4:$P$1203,4,0),"※编码不在物料档案里"))</f>
        <v/>
      </c>
      <c r="J1687" s="24">
        <f>IF($G1687="","",IFERROR(VLOOKUP($G1687,物料档案!$A$4:$P$1203,5,0),"※编码不在物料档案里"))</f>
        <v/>
      </c>
      <c r="K1687" s="23" t="n"/>
      <c r="L1687" s="31" t="n"/>
      <c r="M1687" s="24">
        <f>IF($G1687="","",IF($D1687="A国内","CNY","TZS"))</f>
        <v/>
      </c>
      <c r="N1687" s="28">
        <f>IF($G1687="","",IF($D1687="A国内",汇率,1))</f>
        <v/>
      </c>
      <c r="O1687" s="25">
        <f>IF($G1687="","",ROUND(N($K1687)*N($L1687),2))</f>
        <v/>
      </c>
      <c r="P1687" s="26">
        <f>IF($G1687="","",ROUND($O1687*$N1687,0))</f>
        <v/>
      </c>
      <c r="Q1687" s="26">
        <f>IF($G1687="","",SUMIFS($P$4:$P$2503,$E$4:$E$2503,$E1687,$Z$4:$Z$2503,"正常"))</f>
        <v/>
      </c>
      <c r="R1687" s="26">
        <f>IF($G1687="","",SUMIFS(费用台账!$I$4:$I$503,费用台账!$C$4:$C$503,$E1687,费用台账!$J$4:$J$503,"是",费用台账!$K$4:$K$503,"正常"))</f>
        <v/>
      </c>
      <c r="S1687" s="28">
        <f>IF($G1687="","",COUNTIFS($E$4:$E$2503,$E1687,$Z$4:$Z$2503,"正常",$Y$4:$Y$2503,"待补价"))</f>
        <v/>
      </c>
      <c r="T1687" s="26">
        <f>IF($G1687="","",SUMIFS($P$4:$P$2503,$E$4:$E$2503,$E1687,$Z$4:$Z$2503,"正常",$A$4:$A$2503,"&lt;="&amp;$A1687))</f>
        <v/>
      </c>
      <c r="U1687" s="26">
        <f>IF($G1687="","",IF(OR($S1687&gt;0,$Q1687=0,$R1687=0,$Z1687&lt;&gt;"正常"),0,ROUND($T1687/$Q1687*$R1687,0)-ROUND(($T1687-$P1687)/$Q1687*$R1687,0)))</f>
        <v/>
      </c>
      <c r="V1687" s="26">
        <f>IF($G1687="","",ROUND($P1687+$U1687,0))</f>
        <v/>
      </c>
      <c r="W1687" s="26">
        <f>IF($G1687="","",IF(N($K1687)=0,0,ROUND($V1687/$K1687,2)))</f>
        <v/>
      </c>
      <c r="X1687" s="17" t="n"/>
      <c r="Y1687" s="17" t="n"/>
      <c r="Z1687" s="17" t="n"/>
      <c r="AA1687" s="17" t="n"/>
      <c r="AB1687" s="17" t="n"/>
      <c r="AC1687" s="24">
        <f>IF($G1687="","",IF($H1687="※编码不在物料档案里","※物料编码不在档案里",IF(N($K1687)&lt;=0,"※入库数量要大于 0",IF(AND($C1687&lt;&gt;"",$C1687&lt;=结账锁),"※日期早于已结账截止日，不能再录",IF(AND($L1687=0,$X1687="正常"),"※没填单价，价格状态请选「待补价」",IF(AND($S1687&gt;0,$R1687&gt;0),"△本批有 "&amp;$S1687&amp;" 行没单价，整批运费先挂账没摊",IF(AND($B1687&lt;&gt;"",COUNTIF($B$4:$B$2503,$B1687)&gt;1),"※入库单号重复","")))))))</f>
        <v/>
      </c>
    </row>
    <row r="1688">
      <c r="A1688" s="24">
        <f>IF($G1688="","",COUNTA($G$4:$G1688))</f>
        <v/>
      </c>
      <c r="B1688" s="17" t="n"/>
      <c r="C1688" s="30" t="n"/>
      <c r="D1688" s="17" t="n"/>
      <c r="E1688" s="17" t="n"/>
      <c r="F1688" s="17" t="n"/>
      <c r="G1688" s="17" t="n"/>
      <c r="H1688" s="24">
        <f>IF($G1688="","",IFERROR(VLOOKUP($G1688,物料档案!$A$4:$P$1203,3,0),"※编码不在物料档案里"))</f>
        <v/>
      </c>
      <c r="I1688" s="24">
        <f>IF($G1688="","",IFERROR(VLOOKUP($G1688,物料档案!$A$4:$P$1203,4,0),"※编码不在物料档案里"))</f>
        <v/>
      </c>
      <c r="J1688" s="24">
        <f>IF($G1688="","",IFERROR(VLOOKUP($G1688,物料档案!$A$4:$P$1203,5,0),"※编码不在物料档案里"))</f>
        <v/>
      </c>
      <c r="K1688" s="23" t="n"/>
      <c r="L1688" s="31" t="n"/>
      <c r="M1688" s="24">
        <f>IF($G1688="","",IF($D1688="A国内","CNY","TZS"))</f>
        <v/>
      </c>
      <c r="N1688" s="28">
        <f>IF($G1688="","",IF($D1688="A国内",汇率,1))</f>
        <v/>
      </c>
      <c r="O1688" s="25">
        <f>IF($G1688="","",ROUND(N($K1688)*N($L1688),2))</f>
        <v/>
      </c>
      <c r="P1688" s="26">
        <f>IF($G1688="","",ROUND($O1688*$N1688,0))</f>
        <v/>
      </c>
      <c r="Q1688" s="26">
        <f>IF($G1688="","",SUMIFS($P$4:$P$2503,$E$4:$E$2503,$E1688,$Z$4:$Z$2503,"正常"))</f>
        <v/>
      </c>
      <c r="R1688" s="26">
        <f>IF($G1688="","",SUMIFS(费用台账!$I$4:$I$503,费用台账!$C$4:$C$503,$E1688,费用台账!$J$4:$J$503,"是",费用台账!$K$4:$K$503,"正常"))</f>
        <v/>
      </c>
      <c r="S1688" s="28">
        <f>IF($G1688="","",COUNTIFS($E$4:$E$2503,$E1688,$Z$4:$Z$2503,"正常",$Y$4:$Y$2503,"待补价"))</f>
        <v/>
      </c>
      <c r="T1688" s="26">
        <f>IF($G1688="","",SUMIFS($P$4:$P$2503,$E$4:$E$2503,$E1688,$Z$4:$Z$2503,"正常",$A$4:$A$2503,"&lt;="&amp;$A1688))</f>
        <v/>
      </c>
      <c r="U1688" s="26">
        <f>IF($G1688="","",IF(OR($S1688&gt;0,$Q1688=0,$R1688=0,$Z1688&lt;&gt;"正常"),0,ROUND($T1688/$Q1688*$R1688,0)-ROUND(($T1688-$P1688)/$Q1688*$R1688,0)))</f>
        <v/>
      </c>
      <c r="V1688" s="26">
        <f>IF($G1688="","",ROUND($P1688+$U1688,0))</f>
        <v/>
      </c>
      <c r="W1688" s="26">
        <f>IF($G1688="","",IF(N($K1688)=0,0,ROUND($V1688/$K1688,2)))</f>
        <v/>
      </c>
      <c r="X1688" s="17" t="n"/>
      <c r="Y1688" s="17" t="n"/>
      <c r="Z1688" s="17" t="n"/>
      <c r="AA1688" s="17" t="n"/>
      <c r="AB1688" s="17" t="n"/>
      <c r="AC1688" s="24">
        <f>IF($G1688="","",IF($H1688="※编码不在物料档案里","※物料编码不在档案里",IF(N($K1688)&lt;=0,"※入库数量要大于 0",IF(AND($C1688&lt;&gt;"",$C1688&lt;=结账锁),"※日期早于已结账截止日，不能再录",IF(AND($L1688=0,$X1688="正常"),"※没填单价，价格状态请选「待补价」",IF(AND($S1688&gt;0,$R1688&gt;0),"△本批有 "&amp;$S1688&amp;" 行没单价，整批运费先挂账没摊",IF(AND($B1688&lt;&gt;"",COUNTIF($B$4:$B$2503,$B1688)&gt;1),"※入库单号重复","")))))))</f>
        <v/>
      </c>
    </row>
    <row r="1689">
      <c r="A1689" s="24">
        <f>IF($G1689="","",COUNTA($G$4:$G1689))</f>
        <v/>
      </c>
      <c r="B1689" s="17" t="n"/>
      <c r="C1689" s="30" t="n"/>
      <c r="D1689" s="17" t="n"/>
      <c r="E1689" s="17" t="n"/>
      <c r="F1689" s="17" t="n"/>
      <c r="G1689" s="17" t="n"/>
      <c r="H1689" s="24">
        <f>IF($G1689="","",IFERROR(VLOOKUP($G1689,物料档案!$A$4:$P$1203,3,0),"※编码不在物料档案里"))</f>
        <v/>
      </c>
      <c r="I1689" s="24">
        <f>IF($G1689="","",IFERROR(VLOOKUP($G1689,物料档案!$A$4:$P$1203,4,0),"※编码不在物料档案里"))</f>
        <v/>
      </c>
      <c r="J1689" s="24">
        <f>IF($G1689="","",IFERROR(VLOOKUP($G1689,物料档案!$A$4:$P$1203,5,0),"※编码不在物料档案里"))</f>
        <v/>
      </c>
      <c r="K1689" s="23" t="n"/>
      <c r="L1689" s="31" t="n"/>
      <c r="M1689" s="24">
        <f>IF($G1689="","",IF($D1689="A国内","CNY","TZS"))</f>
        <v/>
      </c>
      <c r="N1689" s="28">
        <f>IF($G1689="","",IF($D1689="A国内",汇率,1))</f>
        <v/>
      </c>
      <c r="O1689" s="25">
        <f>IF($G1689="","",ROUND(N($K1689)*N($L1689),2))</f>
        <v/>
      </c>
      <c r="P1689" s="26">
        <f>IF($G1689="","",ROUND($O1689*$N1689,0))</f>
        <v/>
      </c>
      <c r="Q1689" s="26">
        <f>IF($G1689="","",SUMIFS($P$4:$P$2503,$E$4:$E$2503,$E1689,$Z$4:$Z$2503,"正常"))</f>
        <v/>
      </c>
      <c r="R1689" s="26">
        <f>IF($G1689="","",SUMIFS(费用台账!$I$4:$I$503,费用台账!$C$4:$C$503,$E1689,费用台账!$J$4:$J$503,"是",费用台账!$K$4:$K$503,"正常"))</f>
        <v/>
      </c>
      <c r="S1689" s="28">
        <f>IF($G1689="","",COUNTIFS($E$4:$E$2503,$E1689,$Z$4:$Z$2503,"正常",$Y$4:$Y$2503,"待补价"))</f>
        <v/>
      </c>
      <c r="T1689" s="26">
        <f>IF($G1689="","",SUMIFS($P$4:$P$2503,$E$4:$E$2503,$E1689,$Z$4:$Z$2503,"正常",$A$4:$A$2503,"&lt;="&amp;$A1689))</f>
        <v/>
      </c>
      <c r="U1689" s="26">
        <f>IF($G1689="","",IF(OR($S1689&gt;0,$Q1689=0,$R1689=0,$Z1689&lt;&gt;"正常"),0,ROUND($T1689/$Q1689*$R1689,0)-ROUND(($T1689-$P1689)/$Q1689*$R1689,0)))</f>
        <v/>
      </c>
      <c r="V1689" s="26">
        <f>IF($G1689="","",ROUND($P1689+$U1689,0))</f>
        <v/>
      </c>
      <c r="W1689" s="26">
        <f>IF($G1689="","",IF(N($K1689)=0,0,ROUND($V1689/$K1689,2)))</f>
        <v/>
      </c>
      <c r="X1689" s="17" t="n"/>
      <c r="Y1689" s="17" t="n"/>
      <c r="Z1689" s="17" t="n"/>
      <c r="AA1689" s="17" t="n"/>
      <c r="AB1689" s="17" t="n"/>
      <c r="AC1689" s="24">
        <f>IF($G1689="","",IF($H1689="※编码不在物料档案里","※物料编码不在档案里",IF(N($K1689)&lt;=0,"※入库数量要大于 0",IF(AND($C1689&lt;&gt;"",$C1689&lt;=结账锁),"※日期早于已结账截止日，不能再录",IF(AND($L1689=0,$X1689="正常"),"※没填单价，价格状态请选「待补价」",IF(AND($S1689&gt;0,$R1689&gt;0),"△本批有 "&amp;$S1689&amp;" 行没单价，整批运费先挂账没摊",IF(AND($B1689&lt;&gt;"",COUNTIF($B$4:$B$2503,$B1689)&gt;1),"※入库单号重复","")))))))</f>
        <v/>
      </c>
    </row>
    <row r="1690">
      <c r="A1690" s="24">
        <f>IF($G1690="","",COUNTA($G$4:$G1690))</f>
        <v/>
      </c>
      <c r="B1690" s="17" t="n"/>
      <c r="C1690" s="30" t="n"/>
      <c r="D1690" s="17" t="n"/>
      <c r="E1690" s="17" t="n"/>
      <c r="F1690" s="17" t="n"/>
      <c r="G1690" s="17" t="n"/>
      <c r="H1690" s="24">
        <f>IF($G1690="","",IFERROR(VLOOKUP($G1690,物料档案!$A$4:$P$1203,3,0),"※编码不在物料档案里"))</f>
        <v/>
      </c>
      <c r="I1690" s="24">
        <f>IF($G1690="","",IFERROR(VLOOKUP($G1690,物料档案!$A$4:$P$1203,4,0),"※编码不在物料档案里"))</f>
        <v/>
      </c>
      <c r="J1690" s="24">
        <f>IF($G1690="","",IFERROR(VLOOKUP($G1690,物料档案!$A$4:$P$1203,5,0),"※编码不在物料档案里"))</f>
        <v/>
      </c>
      <c r="K1690" s="23" t="n"/>
      <c r="L1690" s="31" t="n"/>
      <c r="M1690" s="24">
        <f>IF($G1690="","",IF($D1690="A国内","CNY","TZS"))</f>
        <v/>
      </c>
      <c r="N1690" s="28">
        <f>IF($G1690="","",IF($D1690="A国内",汇率,1))</f>
        <v/>
      </c>
      <c r="O1690" s="25">
        <f>IF($G1690="","",ROUND(N($K1690)*N($L1690),2))</f>
        <v/>
      </c>
      <c r="P1690" s="26">
        <f>IF($G1690="","",ROUND($O1690*$N1690,0))</f>
        <v/>
      </c>
      <c r="Q1690" s="26">
        <f>IF($G1690="","",SUMIFS($P$4:$P$2503,$E$4:$E$2503,$E1690,$Z$4:$Z$2503,"正常"))</f>
        <v/>
      </c>
      <c r="R1690" s="26">
        <f>IF($G1690="","",SUMIFS(费用台账!$I$4:$I$503,费用台账!$C$4:$C$503,$E1690,费用台账!$J$4:$J$503,"是",费用台账!$K$4:$K$503,"正常"))</f>
        <v/>
      </c>
      <c r="S1690" s="28">
        <f>IF($G1690="","",COUNTIFS($E$4:$E$2503,$E1690,$Z$4:$Z$2503,"正常",$Y$4:$Y$2503,"待补价"))</f>
        <v/>
      </c>
      <c r="T1690" s="26">
        <f>IF($G1690="","",SUMIFS($P$4:$P$2503,$E$4:$E$2503,$E1690,$Z$4:$Z$2503,"正常",$A$4:$A$2503,"&lt;="&amp;$A1690))</f>
        <v/>
      </c>
      <c r="U1690" s="26">
        <f>IF($G1690="","",IF(OR($S1690&gt;0,$Q1690=0,$R1690=0,$Z1690&lt;&gt;"正常"),0,ROUND($T1690/$Q1690*$R1690,0)-ROUND(($T1690-$P1690)/$Q1690*$R1690,0)))</f>
        <v/>
      </c>
      <c r="V1690" s="26">
        <f>IF($G1690="","",ROUND($P1690+$U1690,0))</f>
        <v/>
      </c>
      <c r="W1690" s="26">
        <f>IF($G1690="","",IF(N($K1690)=0,0,ROUND($V1690/$K1690,2)))</f>
        <v/>
      </c>
      <c r="X1690" s="17" t="n"/>
      <c r="Y1690" s="17" t="n"/>
      <c r="Z1690" s="17" t="n"/>
      <c r="AA1690" s="17" t="n"/>
      <c r="AB1690" s="17" t="n"/>
      <c r="AC1690" s="24">
        <f>IF($G1690="","",IF($H1690="※编码不在物料档案里","※物料编码不在档案里",IF(N($K1690)&lt;=0,"※入库数量要大于 0",IF(AND($C1690&lt;&gt;"",$C1690&lt;=结账锁),"※日期早于已结账截止日，不能再录",IF(AND($L1690=0,$X1690="正常"),"※没填单价，价格状态请选「待补价」",IF(AND($S1690&gt;0,$R1690&gt;0),"△本批有 "&amp;$S1690&amp;" 行没单价，整批运费先挂账没摊",IF(AND($B1690&lt;&gt;"",COUNTIF($B$4:$B$2503,$B1690)&gt;1),"※入库单号重复","")))))))</f>
        <v/>
      </c>
    </row>
    <row r="1691">
      <c r="A1691" s="24">
        <f>IF($G1691="","",COUNTA($G$4:$G1691))</f>
        <v/>
      </c>
      <c r="B1691" s="17" t="n"/>
      <c r="C1691" s="30" t="n"/>
      <c r="D1691" s="17" t="n"/>
      <c r="E1691" s="17" t="n"/>
      <c r="F1691" s="17" t="n"/>
      <c r="G1691" s="17" t="n"/>
      <c r="H1691" s="24">
        <f>IF($G1691="","",IFERROR(VLOOKUP($G1691,物料档案!$A$4:$P$1203,3,0),"※编码不在物料档案里"))</f>
        <v/>
      </c>
      <c r="I1691" s="24">
        <f>IF($G1691="","",IFERROR(VLOOKUP($G1691,物料档案!$A$4:$P$1203,4,0),"※编码不在物料档案里"))</f>
        <v/>
      </c>
      <c r="J1691" s="24">
        <f>IF($G1691="","",IFERROR(VLOOKUP($G1691,物料档案!$A$4:$P$1203,5,0),"※编码不在物料档案里"))</f>
        <v/>
      </c>
      <c r="K1691" s="23" t="n"/>
      <c r="L1691" s="31" t="n"/>
      <c r="M1691" s="24">
        <f>IF($G1691="","",IF($D1691="A国内","CNY","TZS"))</f>
        <v/>
      </c>
      <c r="N1691" s="28">
        <f>IF($G1691="","",IF($D1691="A国内",汇率,1))</f>
        <v/>
      </c>
      <c r="O1691" s="25">
        <f>IF($G1691="","",ROUND(N($K1691)*N($L1691),2))</f>
        <v/>
      </c>
      <c r="P1691" s="26">
        <f>IF($G1691="","",ROUND($O1691*$N1691,0))</f>
        <v/>
      </c>
      <c r="Q1691" s="26">
        <f>IF($G1691="","",SUMIFS($P$4:$P$2503,$E$4:$E$2503,$E1691,$Z$4:$Z$2503,"正常"))</f>
        <v/>
      </c>
      <c r="R1691" s="26">
        <f>IF($G1691="","",SUMIFS(费用台账!$I$4:$I$503,费用台账!$C$4:$C$503,$E1691,费用台账!$J$4:$J$503,"是",费用台账!$K$4:$K$503,"正常"))</f>
        <v/>
      </c>
      <c r="S1691" s="28">
        <f>IF($G1691="","",COUNTIFS($E$4:$E$2503,$E1691,$Z$4:$Z$2503,"正常",$Y$4:$Y$2503,"待补价"))</f>
        <v/>
      </c>
      <c r="T1691" s="26">
        <f>IF($G1691="","",SUMIFS($P$4:$P$2503,$E$4:$E$2503,$E1691,$Z$4:$Z$2503,"正常",$A$4:$A$2503,"&lt;="&amp;$A1691))</f>
        <v/>
      </c>
      <c r="U1691" s="26">
        <f>IF($G1691="","",IF(OR($S1691&gt;0,$Q1691=0,$R1691=0,$Z1691&lt;&gt;"正常"),0,ROUND($T1691/$Q1691*$R1691,0)-ROUND(($T1691-$P1691)/$Q1691*$R1691,0)))</f>
        <v/>
      </c>
      <c r="V1691" s="26">
        <f>IF($G1691="","",ROUND($P1691+$U1691,0))</f>
        <v/>
      </c>
      <c r="W1691" s="26">
        <f>IF($G1691="","",IF(N($K1691)=0,0,ROUND($V1691/$K1691,2)))</f>
        <v/>
      </c>
      <c r="X1691" s="17" t="n"/>
      <c r="Y1691" s="17" t="n"/>
      <c r="Z1691" s="17" t="n"/>
      <c r="AA1691" s="17" t="n"/>
      <c r="AB1691" s="17" t="n"/>
      <c r="AC1691" s="24">
        <f>IF($G1691="","",IF($H1691="※编码不在物料档案里","※物料编码不在档案里",IF(N($K1691)&lt;=0,"※入库数量要大于 0",IF(AND($C1691&lt;&gt;"",$C1691&lt;=结账锁),"※日期早于已结账截止日，不能再录",IF(AND($L1691=0,$X1691="正常"),"※没填单价，价格状态请选「待补价」",IF(AND($S1691&gt;0,$R1691&gt;0),"△本批有 "&amp;$S1691&amp;" 行没单价，整批运费先挂账没摊",IF(AND($B1691&lt;&gt;"",COUNTIF($B$4:$B$2503,$B1691)&gt;1),"※入库单号重复","")))))))</f>
        <v/>
      </c>
    </row>
    <row r="1692">
      <c r="A1692" s="24">
        <f>IF($G1692="","",COUNTA($G$4:$G1692))</f>
        <v/>
      </c>
      <c r="B1692" s="17" t="n"/>
      <c r="C1692" s="30" t="n"/>
      <c r="D1692" s="17" t="n"/>
      <c r="E1692" s="17" t="n"/>
      <c r="F1692" s="17" t="n"/>
      <c r="G1692" s="17" t="n"/>
      <c r="H1692" s="24">
        <f>IF($G1692="","",IFERROR(VLOOKUP($G1692,物料档案!$A$4:$P$1203,3,0),"※编码不在物料档案里"))</f>
        <v/>
      </c>
      <c r="I1692" s="24">
        <f>IF($G1692="","",IFERROR(VLOOKUP($G1692,物料档案!$A$4:$P$1203,4,0),"※编码不在物料档案里"))</f>
        <v/>
      </c>
      <c r="J1692" s="24">
        <f>IF($G1692="","",IFERROR(VLOOKUP($G1692,物料档案!$A$4:$P$1203,5,0),"※编码不在物料档案里"))</f>
        <v/>
      </c>
      <c r="K1692" s="23" t="n"/>
      <c r="L1692" s="31" t="n"/>
      <c r="M1692" s="24">
        <f>IF($G1692="","",IF($D1692="A国内","CNY","TZS"))</f>
        <v/>
      </c>
      <c r="N1692" s="28">
        <f>IF($G1692="","",IF($D1692="A国内",汇率,1))</f>
        <v/>
      </c>
      <c r="O1692" s="25">
        <f>IF($G1692="","",ROUND(N($K1692)*N($L1692),2))</f>
        <v/>
      </c>
      <c r="P1692" s="26">
        <f>IF($G1692="","",ROUND($O1692*$N1692,0))</f>
        <v/>
      </c>
      <c r="Q1692" s="26">
        <f>IF($G1692="","",SUMIFS($P$4:$P$2503,$E$4:$E$2503,$E1692,$Z$4:$Z$2503,"正常"))</f>
        <v/>
      </c>
      <c r="R1692" s="26">
        <f>IF($G1692="","",SUMIFS(费用台账!$I$4:$I$503,费用台账!$C$4:$C$503,$E1692,费用台账!$J$4:$J$503,"是",费用台账!$K$4:$K$503,"正常"))</f>
        <v/>
      </c>
      <c r="S1692" s="28">
        <f>IF($G1692="","",COUNTIFS($E$4:$E$2503,$E1692,$Z$4:$Z$2503,"正常",$Y$4:$Y$2503,"待补价"))</f>
        <v/>
      </c>
      <c r="T1692" s="26">
        <f>IF($G1692="","",SUMIFS($P$4:$P$2503,$E$4:$E$2503,$E1692,$Z$4:$Z$2503,"正常",$A$4:$A$2503,"&lt;="&amp;$A1692))</f>
        <v/>
      </c>
      <c r="U1692" s="26">
        <f>IF($G1692="","",IF(OR($S1692&gt;0,$Q1692=0,$R1692=0,$Z1692&lt;&gt;"正常"),0,ROUND($T1692/$Q1692*$R1692,0)-ROUND(($T1692-$P1692)/$Q1692*$R1692,0)))</f>
        <v/>
      </c>
      <c r="V1692" s="26">
        <f>IF($G1692="","",ROUND($P1692+$U1692,0))</f>
        <v/>
      </c>
      <c r="W1692" s="26">
        <f>IF($G1692="","",IF(N($K1692)=0,0,ROUND($V1692/$K1692,2)))</f>
        <v/>
      </c>
      <c r="X1692" s="17" t="n"/>
      <c r="Y1692" s="17" t="n"/>
      <c r="Z1692" s="17" t="n"/>
      <c r="AA1692" s="17" t="n"/>
      <c r="AB1692" s="17" t="n"/>
      <c r="AC1692" s="24">
        <f>IF($G1692="","",IF($H1692="※编码不在物料档案里","※物料编码不在档案里",IF(N($K1692)&lt;=0,"※入库数量要大于 0",IF(AND($C1692&lt;&gt;"",$C1692&lt;=结账锁),"※日期早于已结账截止日，不能再录",IF(AND($L1692=0,$X1692="正常"),"※没填单价，价格状态请选「待补价」",IF(AND($S1692&gt;0,$R1692&gt;0),"△本批有 "&amp;$S1692&amp;" 行没单价，整批运费先挂账没摊",IF(AND($B1692&lt;&gt;"",COUNTIF($B$4:$B$2503,$B1692)&gt;1),"※入库单号重复","")))))))</f>
        <v/>
      </c>
    </row>
    <row r="1693">
      <c r="A1693" s="24">
        <f>IF($G1693="","",COUNTA($G$4:$G1693))</f>
        <v/>
      </c>
      <c r="B1693" s="17" t="n"/>
      <c r="C1693" s="30" t="n"/>
      <c r="D1693" s="17" t="n"/>
      <c r="E1693" s="17" t="n"/>
      <c r="F1693" s="17" t="n"/>
      <c r="G1693" s="17" t="n"/>
      <c r="H1693" s="24">
        <f>IF($G1693="","",IFERROR(VLOOKUP($G1693,物料档案!$A$4:$P$1203,3,0),"※编码不在物料档案里"))</f>
        <v/>
      </c>
      <c r="I1693" s="24">
        <f>IF($G1693="","",IFERROR(VLOOKUP($G1693,物料档案!$A$4:$P$1203,4,0),"※编码不在物料档案里"))</f>
        <v/>
      </c>
      <c r="J1693" s="24">
        <f>IF($G1693="","",IFERROR(VLOOKUP($G1693,物料档案!$A$4:$P$1203,5,0),"※编码不在物料档案里"))</f>
        <v/>
      </c>
      <c r="K1693" s="23" t="n"/>
      <c r="L1693" s="31" t="n"/>
      <c r="M1693" s="24">
        <f>IF($G1693="","",IF($D1693="A国内","CNY","TZS"))</f>
        <v/>
      </c>
      <c r="N1693" s="28">
        <f>IF($G1693="","",IF($D1693="A国内",汇率,1))</f>
        <v/>
      </c>
      <c r="O1693" s="25">
        <f>IF($G1693="","",ROUND(N($K1693)*N($L1693),2))</f>
        <v/>
      </c>
      <c r="P1693" s="26">
        <f>IF($G1693="","",ROUND($O1693*$N1693,0))</f>
        <v/>
      </c>
      <c r="Q1693" s="26">
        <f>IF($G1693="","",SUMIFS($P$4:$P$2503,$E$4:$E$2503,$E1693,$Z$4:$Z$2503,"正常"))</f>
        <v/>
      </c>
      <c r="R1693" s="26">
        <f>IF($G1693="","",SUMIFS(费用台账!$I$4:$I$503,费用台账!$C$4:$C$503,$E1693,费用台账!$J$4:$J$503,"是",费用台账!$K$4:$K$503,"正常"))</f>
        <v/>
      </c>
      <c r="S1693" s="28">
        <f>IF($G1693="","",COUNTIFS($E$4:$E$2503,$E1693,$Z$4:$Z$2503,"正常",$Y$4:$Y$2503,"待补价"))</f>
        <v/>
      </c>
      <c r="T1693" s="26">
        <f>IF($G1693="","",SUMIFS($P$4:$P$2503,$E$4:$E$2503,$E1693,$Z$4:$Z$2503,"正常",$A$4:$A$2503,"&lt;="&amp;$A1693))</f>
        <v/>
      </c>
      <c r="U1693" s="26">
        <f>IF($G1693="","",IF(OR($S1693&gt;0,$Q1693=0,$R1693=0,$Z1693&lt;&gt;"正常"),0,ROUND($T1693/$Q1693*$R1693,0)-ROUND(($T1693-$P1693)/$Q1693*$R1693,0)))</f>
        <v/>
      </c>
      <c r="V1693" s="26">
        <f>IF($G1693="","",ROUND($P1693+$U1693,0))</f>
        <v/>
      </c>
      <c r="W1693" s="26">
        <f>IF($G1693="","",IF(N($K1693)=0,0,ROUND($V1693/$K1693,2)))</f>
        <v/>
      </c>
      <c r="X1693" s="17" t="n"/>
      <c r="Y1693" s="17" t="n"/>
      <c r="Z1693" s="17" t="n"/>
      <c r="AA1693" s="17" t="n"/>
      <c r="AB1693" s="17" t="n"/>
      <c r="AC1693" s="24">
        <f>IF($G1693="","",IF($H1693="※编码不在物料档案里","※物料编码不在档案里",IF(N($K1693)&lt;=0,"※入库数量要大于 0",IF(AND($C1693&lt;&gt;"",$C1693&lt;=结账锁),"※日期早于已结账截止日，不能再录",IF(AND($L1693=0,$X1693="正常"),"※没填单价，价格状态请选「待补价」",IF(AND($S1693&gt;0,$R1693&gt;0),"△本批有 "&amp;$S1693&amp;" 行没单价，整批运费先挂账没摊",IF(AND($B1693&lt;&gt;"",COUNTIF($B$4:$B$2503,$B1693)&gt;1),"※入库单号重复","")))))))</f>
        <v/>
      </c>
    </row>
    <row r="1694">
      <c r="A1694" s="24">
        <f>IF($G1694="","",COUNTA($G$4:$G1694))</f>
        <v/>
      </c>
      <c r="B1694" s="17" t="n"/>
      <c r="C1694" s="30" t="n"/>
      <c r="D1694" s="17" t="n"/>
      <c r="E1694" s="17" t="n"/>
      <c r="F1694" s="17" t="n"/>
      <c r="G1694" s="17" t="n"/>
      <c r="H1694" s="24">
        <f>IF($G1694="","",IFERROR(VLOOKUP($G1694,物料档案!$A$4:$P$1203,3,0),"※编码不在物料档案里"))</f>
        <v/>
      </c>
      <c r="I1694" s="24">
        <f>IF($G1694="","",IFERROR(VLOOKUP($G1694,物料档案!$A$4:$P$1203,4,0),"※编码不在物料档案里"))</f>
        <v/>
      </c>
      <c r="J1694" s="24">
        <f>IF($G1694="","",IFERROR(VLOOKUP($G1694,物料档案!$A$4:$P$1203,5,0),"※编码不在物料档案里"))</f>
        <v/>
      </c>
      <c r="K1694" s="23" t="n"/>
      <c r="L1694" s="31" t="n"/>
      <c r="M1694" s="24">
        <f>IF($G1694="","",IF($D1694="A国内","CNY","TZS"))</f>
        <v/>
      </c>
      <c r="N1694" s="28">
        <f>IF($G1694="","",IF($D1694="A国内",汇率,1))</f>
        <v/>
      </c>
      <c r="O1694" s="25">
        <f>IF($G1694="","",ROUND(N($K1694)*N($L1694),2))</f>
        <v/>
      </c>
      <c r="P1694" s="26">
        <f>IF($G1694="","",ROUND($O1694*$N1694,0))</f>
        <v/>
      </c>
      <c r="Q1694" s="26">
        <f>IF($G1694="","",SUMIFS($P$4:$P$2503,$E$4:$E$2503,$E1694,$Z$4:$Z$2503,"正常"))</f>
        <v/>
      </c>
      <c r="R1694" s="26">
        <f>IF($G1694="","",SUMIFS(费用台账!$I$4:$I$503,费用台账!$C$4:$C$503,$E1694,费用台账!$J$4:$J$503,"是",费用台账!$K$4:$K$503,"正常"))</f>
        <v/>
      </c>
      <c r="S1694" s="28">
        <f>IF($G1694="","",COUNTIFS($E$4:$E$2503,$E1694,$Z$4:$Z$2503,"正常",$Y$4:$Y$2503,"待补价"))</f>
        <v/>
      </c>
      <c r="T1694" s="26">
        <f>IF($G1694="","",SUMIFS($P$4:$P$2503,$E$4:$E$2503,$E1694,$Z$4:$Z$2503,"正常",$A$4:$A$2503,"&lt;="&amp;$A1694))</f>
        <v/>
      </c>
      <c r="U1694" s="26">
        <f>IF($G1694="","",IF(OR($S1694&gt;0,$Q1694=0,$R1694=0,$Z1694&lt;&gt;"正常"),0,ROUND($T1694/$Q1694*$R1694,0)-ROUND(($T1694-$P1694)/$Q1694*$R1694,0)))</f>
        <v/>
      </c>
      <c r="V1694" s="26">
        <f>IF($G1694="","",ROUND($P1694+$U1694,0))</f>
        <v/>
      </c>
      <c r="W1694" s="26">
        <f>IF($G1694="","",IF(N($K1694)=0,0,ROUND($V1694/$K1694,2)))</f>
        <v/>
      </c>
      <c r="X1694" s="17" t="n"/>
      <c r="Y1694" s="17" t="n"/>
      <c r="Z1694" s="17" t="n"/>
      <c r="AA1694" s="17" t="n"/>
      <c r="AB1694" s="17" t="n"/>
      <c r="AC1694" s="24">
        <f>IF($G1694="","",IF($H1694="※编码不在物料档案里","※物料编码不在档案里",IF(N($K1694)&lt;=0,"※入库数量要大于 0",IF(AND($C1694&lt;&gt;"",$C1694&lt;=结账锁),"※日期早于已结账截止日，不能再录",IF(AND($L1694=0,$X1694="正常"),"※没填单价，价格状态请选「待补价」",IF(AND($S1694&gt;0,$R1694&gt;0),"△本批有 "&amp;$S1694&amp;" 行没单价，整批运费先挂账没摊",IF(AND($B1694&lt;&gt;"",COUNTIF($B$4:$B$2503,$B1694)&gt;1),"※入库单号重复","")))))))</f>
        <v/>
      </c>
    </row>
    <row r="1695">
      <c r="A1695" s="24">
        <f>IF($G1695="","",COUNTA($G$4:$G1695))</f>
        <v/>
      </c>
      <c r="B1695" s="17" t="n"/>
      <c r="C1695" s="30" t="n"/>
      <c r="D1695" s="17" t="n"/>
      <c r="E1695" s="17" t="n"/>
      <c r="F1695" s="17" t="n"/>
      <c r="G1695" s="17" t="n"/>
      <c r="H1695" s="24">
        <f>IF($G1695="","",IFERROR(VLOOKUP($G1695,物料档案!$A$4:$P$1203,3,0),"※编码不在物料档案里"))</f>
        <v/>
      </c>
      <c r="I1695" s="24">
        <f>IF($G1695="","",IFERROR(VLOOKUP($G1695,物料档案!$A$4:$P$1203,4,0),"※编码不在物料档案里"))</f>
        <v/>
      </c>
      <c r="J1695" s="24">
        <f>IF($G1695="","",IFERROR(VLOOKUP($G1695,物料档案!$A$4:$P$1203,5,0),"※编码不在物料档案里"))</f>
        <v/>
      </c>
      <c r="K1695" s="23" t="n"/>
      <c r="L1695" s="31" t="n"/>
      <c r="M1695" s="24">
        <f>IF($G1695="","",IF($D1695="A国内","CNY","TZS"))</f>
        <v/>
      </c>
      <c r="N1695" s="28">
        <f>IF($G1695="","",IF($D1695="A国内",汇率,1))</f>
        <v/>
      </c>
      <c r="O1695" s="25">
        <f>IF($G1695="","",ROUND(N($K1695)*N($L1695),2))</f>
        <v/>
      </c>
      <c r="P1695" s="26">
        <f>IF($G1695="","",ROUND($O1695*$N1695,0))</f>
        <v/>
      </c>
      <c r="Q1695" s="26">
        <f>IF($G1695="","",SUMIFS($P$4:$P$2503,$E$4:$E$2503,$E1695,$Z$4:$Z$2503,"正常"))</f>
        <v/>
      </c>
      <c r="R1695" s="26">
        <f>IF($G1695="","",SUMIFS(费用台账!$I$4:$I$503,费用台账!$C$4:$C$503,$E1695,费用台账!$J$4:$J$503,"是",费用台账!$K$4:$K$503,"正常"))</f>
        <v/>
      </c>
      <c r="S1695" s="28">
        <f>IF($G1695="","",COUNTIFS($E$4:$E$2503,$E1695,$Z$4:$Z$2503,"正常",$Y$4:$Y$2503,"待补价"))</f>
        <v/>
      </c>
      <c r="T1695" s="26">
        <f>IF($G1695="","",SUMIFS($P$4:$P$2503,$E$4:$E$2503,$E1695,$Z$4:$Z$2503,"正常",$A$4:$A$2503,"&lt;="&amp;$A1695))</f>
        <v/>
      </c>
      <c r="U1695" s="26">
        <f>IF($G1695="","",IF(OR($S1695&gt;0,$Q1695=0,$R1695=0,$Z1695&lt;&gt;"正常"),0,ROUND($T1695/$Q1695*$R1695,0)-ROUND(($T1695-$P1695)/$Q1695*$R1695,0)))</f>
        <v/>
      </c>
      <c r="V1695" s="26">
        <f>IF($G1695="","",ROUND($P1695+$U1695,0))</f>
        <v/>
      </c>
      <c r="W1695" s="26">
        <f>IF($G1695="","",IF(N($K1695)=0,0,ROUND($V1695/$K1695,2)))</f>
        <v/>
      </c>
      <c r="X1695" s="17" t="n"/>
      <c r="Y1695" s="17" t="n"/>
      <c r="Z1695" s="17" t="n"/>
      <c r="AA1695" s="17" t="n"/>
      <c r="AB1695" s="17" t="n"/>
      <c r="AC1695" s="24">
        <f>IF($G1695="","",IF($H1695="※编码不在物料档案里","※物料编码不在档案里",IF(N($K1695)&lt;=0,"※入库数量要大于 0",IF(AND($C1695&lt;&gt;"",$C1695&lt;=结账锁),"※日期早于已结账截止日，不能再录",IF(AND($L1695=0,$X1695="正常"),"※没填单价，价格状态请选「待补价」",IF(AND($S1695&gt;0,$R1695&gt;0),"△本批有 "&amp;$S1695&amp;" 行没单价，整批运费先挂账没摊",IF(AND($B1695&lt;&gt;"",COUNTIF($B$4:$B$2503,$B1695)&gt;1),"※入库单号重复","")))))))</f>
        <v/>
      </c>
    </row>
    <row r="1696">
      <c r="A1696" s="24">
        <f>IF($G1696="","",COUNTA($G$4:$G1696))</f>
        <v/>
      </c>
      <c r="B1696" s="17" t="n"/>
      <c r="C1696" s="30" t="n"/>
      <c r="D1696" s="17" t="n"/>
      <c r="E1696" s="17" t="n"/>
      <c r="F1696" s="17" t="n"/>
      <c r="G1696" s="17" t="n"/>
      <c r="H1696" s="24">
        <f>IF($G1696="","",IFERROR(VLOOKUP($G1696,物料档案!$A$4:$P$1203,3,0),"※编码不在物料档案里"))</f>
        <v/>
      </c>
      <c r="I1696" s="24">
        <f>IF($G1696="","",IFERROR(VLOOKUP($G1696,物料档案!$A$4:$P$1203,4,0),"※编码不在物料档案里"))</f>
        <v/>
      </c>
      <c r="J1696" s="24">
        <f>IF($G1696="","",IFERROR(VLOOKUP($G1696,物料档案!$A$4:$P$1203,5,0),"※编码不在物料档案里"))</f>
        <v/>
      </c>
      <c r="K1696" s="23" t="n"/>
      <c r="L1696" s="31" t="n"/>
      <c r="M1696" s="24">
        <f>IF($G1696="","",IF($D1696="A国内","CNY","TZS"))</f>
        <v/>
      </c>
      <c r="N1696" s="28">
        <f>IF($G1696="","",IF($D1696="A国内",汇率,1))</f>
        <v/>
      </c>
      <c r="O1696" s="25">
        <f>IF($G1696="","",ROUND(N($K1696)*N($L1696),2))</f>
        <v/>
      </c>
      <c r="P1696" s="26">
        <f>IF($G1696="","",ROUND($O1696*$N1696,0))</f>
        <v/>
      </c>
      <c r="Q1696" s="26">
        <f>IF($G1696="","",SUMIFS($P$4:$P$2503,$E$4:$E$2503,$E1696,$Z$4:$Z$2503,"正常"))</f>
        <v/>
      </c>
      <c r="R1696" s="26">
        <f>IF($G1696="","",SUMIFS(费用台账!$I$4:$I$503,费用台账!$C$4:$C$503,$E1696,费用台账!$J$4:$J$503,"是",费用台账!$K$4:$K$503,"正常"))</f>
        <v/>
      </c>
      <c r="S1696" s="28">
        <f>IF($G1696="","",COUNTIFS($E$4:$E$2503,$E1696,$Z$4:$Z$2503,"正常",$Y$4:$Y$2503,"待补价"))</f>
        <v/>
      </c>
      <c r="T1696" s="26">
        <f>IF($G1696="","",SUMIFS($P$4:$P$2503,$E$4:$E$2503,$E1696,$Z$4:$Z$2503,"正常",$A$4:$A$2503,"&lt;="&amp;$A1696))</f>
        <v/>
      </c>
      <c r="U1696" s="26">
        <f>IF($G1696="","",IF(OR($S1696&gt;0,$Q1696=0,$R1696=0,$Z1696&lt;&gt;"正常"),0,ROUND($T1696/$Q1696*$R1696,0)-ROUND(($T1696-$P1696)/$Q1696*$R1696,0)))</f>
        <v/>
      </c>
      <c r="V1696" s="26">
        <f>IF($G1696="","",ROUND($P1696+$U1696,0))</f>
        <v/>
      </c>
      <c r="W1696" s="26">
        <f>IF($G1696="","",IF(N($K1696)=0,0,ROUND($V1696/$K1696,2)))</f>
        <v/>
      </c>
      <c r="X1696" s="17" t="n"/>
      <c r="Y1696" s="17" t="n"/>
      <c r="Z1696" s="17" t="n"/>
      <c r="AA1696" s="17" t="n"/>
      <c r="AB1696" s="17" t="n"/>
      <c r="AC1696" s="24">
        <f>IF($G1696="","",IF($H1696="※编码不在物料档案里","※物料编码不在档案里",IF(N($K1696)&lt;=0,"※入库数量要大于 0",IF(AND($C1696&lt;&gt;"",$C1696&lt;=结账锁),"※日期早于已结账截止日，不能再录",IF(AND($L1696=0,$X1696="正常"),"※没填单价，价格状态请选「待补价」",IF(AND($S1696&gt;0,$R1696&gt;0),"△本批有 "&amp;$S1696&amp;" 行没单价，整批运费先挂账没摊",IF(AND($B1696&lt;&gt;"",COUNTIF($B$4:$B$2503,$B1696)&gt;1),"※入库单号重复","")))))))</f>
        <v/>
      </c>
    </row>
    <row r="1697">
      <c r="A1697" s="24">
        <f>IF($G1697="","",COUNTA($G$4:$G1697))</f>
        <v/>
      </c>
      <c r="B1697" s="17" t="n"/>
      <c r="C1697" s="30" t="n"/>
      <c r="D1697" s="17" t="n"/>
      <c r="E1697" s="17" t="n"/>
      <c r="F1697" s="17" t="n"/>
      <c r="G1697" s="17" t="n"/>
      <c r="H1697" s="24">
        <f>IF($G1697="","",IFERROR(VLOOKUP($G1697,物料档案!$A$4:$P$1203,3,0),"※编码不在物料档案里"))</f>
        <v/>
      </c>
      <c r="I1697" s="24">
        <f>IF($G1697="","",IFERROR(VLOOKUP($G1697,物料档案!$A$4:$P$1203,4,0),"※编码不在物料档案里"))</f>
        <v/>
      </c>
      <c r="J1697" s="24">
        <f>IF($G1697="","",IFERROR(VLOOKUP($G1697,物料档案!$A$4:$P$1203,5,0),"※编码不在物料档案里"))</f>
        <v/>
      </c>
      <c r="K1697" s="23" t="n"/>
      <c r="L1697" s="31" t="n"/>
      <c r="M1697" s="24">
        <f>IF($G1697="","",IF($D1697="A国内","CNY","TZS"))</f>
        <v/>
      </c>
      <c r="N1697" s="28">
        <f>IF($G1697="","",IF($D1697="A国内",汇率,1))</f>
        <v/>
      </c>
      <c r="O1697" s="25">
        <f>IF($G1697="","",ROUND(N($K1697)*N($L1697),2))</f>
        <v/>
      </c>
      <c r="P1697" s="26">
        <f>IF($G1697="","",ROUND($O1697*$N1697,0))</f>
        <v/>
      </c>
      <c r="Q1697" s="26">
        <f>IF($G1697="","",SUMIFS($P$4:$P$2503,$E$4:$E$2503,$E1697,$Z$4:$Z$2503,"正常"))</f>
        <v/>
      </c>
      <c r="R1697" s="26">
        <f>IF($G1697="","",SUMIFS(费用台账!$I$4:$I$503,费用台账!$C$4:$C$503,$E1697,费用台账!$J$4:$J$503,"是",费用台账!$K$4:$K$503,"正常"))</f>
        <v/>
      </c>
      <c r="S1697" s="28">
        <f>IF($G1697="","",COUNTIFS($E$4:$E$2503,$E1697,$Z$4:$Z$2503,"正常",$Y$4:$Y$2503,"待补价"))</f>
        <v/>
      </c>
      <c r="T1697" s="26">
        <f>IF($G1697="","",SUMIFS($P$4:$P$2503,$E$4:$E$2503,$E1697,$Z$4:$Z$2503,"正常",$A$4:$A$2503,"&lt;="&amp;$A1697))</f>
        <v/>
      </c>
      <c r="U1697" s="26">
        <f>IF($G1697="","",IF(OR($S1697&gt;0,$Q1697=0,$R1697=0,$Z1697&lt;&gt;"正常"),0,ROUND($T1697/$Q1697*$R1697,0)-ROUND(($T1697-$P1697)/$Q1697*$R1697,0)))</f>
        <v/>
      </c>
      <c r="V1697" s="26">
        <f>IF($G1697="","",ROUND($P1697+$U1697,0))</f>
        <v/>
      </c>
      <c r="W1697" s="26">
        <f>IF($G1697="","",IF(N($K1697)=0,0,ROUND($V1697/$K1697,2)))</f>
        <v/>
      </c>
      <c r="X1697" s="17" t="n"/>
      <c r="Y1697" s="17" t="n"/>
      <c r="Z1697" s="17" t="n"/>
      <c r="AA1697" s="17" t="n"/>
      <c r="AB1697" s="17" t="n"/>
      <c r="AC1697" s="24">
        <f>IF($G1697="","",IF($H1697="※编码不在物料档案里","※物料编码不在档案里",IF(N($K1697)&lt;=0,"※入库数量要大于 0",IF(AND($C1697&lt;&gt;"",$C1697&lt;=结账锁),"※日期早于已结账截止日，不能再录",IF(AND($L1697=0,$X1697="正常"),"※没填单价，价格状态请选「待补价」",IF(AND($S1697&gt;0,$R1697&gt;0),"△本批有 "&amp;$S1697&amp;" 行没单价，整批运费先挂账没摊",IF(AND($B1697&lt;&gt;"",COUNTIF($B$4:$B$2503,$B1697)&gt;1),"※入库单号重复","")))))))</f>
        <v/>
      </c>
    </row>
    <row r="1698">
      <c r="A1698" s="24">
        <f>IF($G1698="","",COUNTA($G$4:$G1698))</f>
        <v/>
      </c>
      <c r="B1698" s="17" t="n"/>
      <c r="C1698" s="30" t="n"/>
      <c r="D1698" s="17" t="n"/>
      <c r="E1698" s="17" t="n"/>
      <c r="F1698" s="17" t="n"/>
      <c r="G1698" s="17" t="n"/>
      <c r="H1698" s="24">
        <f>IF($G1698="","",IFERROR(VLOOKUP($G1698,物料档案!$A$4:$P$1203,3,0),"※编码不在物料档案里"))</f>
        <v/>
      </c>
      <c r="I1698" s="24">
        <f>IF($G1698="","",IFERROR(VLOOKUP($G1698,物料档案!$A$4:$P$1203,4,0),"※编码不在物料档案里"))</f>
        <v/>
      </c>
      <c r="J1698" s="24">
        <f>IF($G1698="","",IFERROR(VLOOKUP($G1698,物料档案!$A$4:$P$1203,5,0),"※编码不在物料档案里"))</f>
        <v/>
      </c>
      <c r="K1698" s="23" t="n"/>
      <c r="L1698" s="31" t="n"/>
      <c r="M1698" s="24">
        <f>IF($G1698="","",IF($D1698="A国内","CNY","TZS"))</f>
        <v/>
      </c>
      <c r="N1698" s="28">
        <f>IF($G1698="","",IF($D1698="A国内",汇率,1))</f>
        <v/>
      </c>
      <c r="O1698" s="25">
        <f>IF($G1698="","",ROUND(N($K1698)*N($L1698),2))</f>
        <v/>
      </c>
      <c r="P1698" s="26">
        <f>IF($G1698="","",ROUND($O1698*$N1698,0))</f>
        <v/>
      </c>
      <c r="Q1698" s="26">
        <f>IF($G1698="","",SUMIFS($P$4:$P$2503,$E$4:$E$2503,$E1698,$Z$4:$Z$2503,"正常"))</f>
        <v/>
      </c>
      <c r="R1698" s="26">
        <f>IF($G1698="","",SUMIFS(费用台账!$I$4:$I$503,费用台账!$C$4:$C$503,$E1698,费用台账!$J$4:$J$503,"是",费用台账!$K$4:$K$503,"正常"))</f>
        <v/>
      </c>
      <c r="S1698" s="28">
        <f>IF($G1698="","",COUNTIFS($E$4:$E$2503,$E1698,$Z$4:$Z$2503,"正常",$Y$4:$Y$2503,"待补价"))</f>
        <v/>
      </c>
      <c r="T1698" s="26">
        <f>IF($G1698="","",SUMIFS($P$4:$P$2503,$E$4:$E$2503,$E1698,$Z$4:$Z$2503,"正常",$A$4:$A$2503,"&lt;="&amp;$A1698))</f>
        <v/>
      </c>
      <c r="U1698" s="26">
        <f>IF($G1698="","",IF(OR($S1698&gt;0,$Q1698=0,$R1698=0,$Z1698&lt;&gt;"正常"),0,ROUND($T1698/$Q1698*$R1698,0)-ROUND(($T1698-$P1698)/$Q1698*$R1698,0)))</f>
        <v/>
      </c>
      <c r="V1698" s="26">
        <f>IF($G1698="","",ROUND($P1698+$U1698,0))</f>
        <v/>
      </c>
      <c r="W1698" s="26">
        <f>IF($G1698="","",IF(N($K1698)=0,0,ROUND($V1698/$K1698,2)))</f>
        <v/>
      </c>
      <c r="X1698" s="17" t="n"/>
      <c r="Y1698" s="17" t="n"/>
      <c r="Z1698" s="17" t="n"/>
      <c r="AA1698" s="17" t="n"/>
      <c r="AB1698" s="17" t="n"/>
      <c r="AC1698" s="24">
        <f>IF($G1698="","",IF($H1698="※编码不在物料档案里","※物料编码不在档案里",IF(N($K1698)&lt;=0,"※入库数量要大于 0",IF(AND($C1698&lt;&gt;"",$C1698&lt;=结账锁),"※日期早于已结账截止日，不能再录",IF(AND($L1698=0,$X1698="正常"),"※没填单价，价格状态请选「待补价」",IF(AND($S1698&gt;0,$R1698&gt;0),"△本批有 "&amp;$S1698&amp;" 行没单价，整批运费先挂账没摊",IF(AND($B1698&lt;&gt;"",COUNTIF($B$4:$B$2503,$B1698)&gt;1),"※入库单号重复","")))))))</f>
        <v/>
      </c>
    </row>
    <row r="1699">
      <c r="A1699" s="24">
        <f>IF($G1699="","",COUNTA($G$4:$G1699))</f>
        <v/>
      </c>
      <c r="B1699" s="17" t="n"/>
      <c r="C1699" s="30" t="n"/>
      <c r="D1699" s="17" t="n"/>
      <c r="E1699" s="17" t="n"/>
      <c r="F1699" s="17" t="n"/>
      <c r="G1699" s="17" t="n"/>
      <c r="H1699" s="24">
        <f>IF($G1699="","",IFERROR(VLOOKUP($G1699,物料档案!$A$4:$P$1203,3,0),"※编码不在物料档案里"))</f>
        <v/>
      </c>
      <c r="I1699" s="24">
        <f>IF($G1699="","",IFERROR(VLOOKUP($G1699,物料档案!$A$4:$P$1203,4,0),"※编码不在物料档案里"))</f>
        <v/>
      </c>
      <c r="J1699" s="24">
        <f>IF($G1699="","",IFERROR(VLOOKUP($G1699,物料档案!$A$4:$P$1203,5,0),"※编码不在物料档案里"))</f>
        <v/>
      </c>
      <c r="K1699" s="23" t="n"/>
      <c r="L1699" s="31" t="n"/>
      <c r="M1699" s="24">
        <f>IF($G1699="","",IF($D1699="A国内","CNY","TZS"))</f>
        <v/>
      </c>
      <c r="N1699" s="28">
        <f>IF($G1699="","",IF($D1699="A国内",汇率,1))</f>
        <v/>
      </c>
      <c r="O1699" s="25">
        <f>IF($G1699="","",ROUND(N($K1699)*N($L1699),2))</f>
        <v/>
      </c>
      <c r="P1699" s="26">
        <f>IF($G1699="","",ROUND($O1699*$N1699,0))</f>
        <v/>
      </c>
      <c r="Q1699" s="26">
        <f>IF($G1699="","",SUMIFS($P$4:$P$2503,$E$4:$E$2503,$E1699,$Z$4:$Z$2503,"正常"))</f>
        <v/>
      </c>
      <c r="R1699" s="26">
        <f>IF($G1699="","",SUMIFS(费用台账!$I$4:$I$503,费用台账!$C$4:$C$503,$E1699,费用台账!$J$4:$J$503,"是",费用台账!$K$4:$K$503,"正常"))</f>
        <v/>
      </c>
      <c r="S1699" s="28">
        <f>IF($G1699="","",COUNTIFS($E$4:$E$2503,$E1699,$Z$4:$Z$2503,"正常",$Y$4:$Y$2503,"待补价"))</f>
        <v/>
      </c>
      <c r="T1699" s="26">
        <f>IF($G1699="","",SUMIFS($P$4:$P$2503,$E$4:$E$2503,$E1699,$Z$4:$Z$2503,"正常",$A$4:$A$2503,"&lt;="&amp;$A1699))</f>
        <v/>
      </c>
      <c r="U1699" s="26">
        <f>IF($G1699="","",IF(OR($S1699&gt;0,$Q1699=0,$R1699=0,$Z1699&lt;&gt;"正常"),0,ROUND($T1699/$Q1699*$R1699,0)-ROUND(($T1699-$P1699)/$Q1699*$R1699,0)))</f>
        <v/>
      </c>
      <c r="V1699" s="26">
        <f>IF($G1699="","",ROUND($P1699+$U1699,0))</f>
        <v/>
      </c>
      <c r="W1699" s="26">
        <f>IF($G1699="","",IF(N($K1699)=0,0,ROUND($V1699/$K1699,2)))</f>
        <v/>
      </c>
      <c r="X1699" s="17" t="n"/>
      <c r="Y1699" s="17" t="n"/>
      <c r="Z1699" s="17" t="n"/>
      <c r="AA1699" s="17" t="n"/>
      <c r="AB1699" s="17" t="n"/>
      <c r="AC1699" s="24">
        <f>IF($G1699="","",IF($H1699="※编码不在物料档案里","※物料编码不在档案里",IF(N($K1699)&lt;=0,"※入库数量要大于 0",IF(AND($C1699&lt;&gt;"",$C1699&lt;=结账锁),"※日期早于已结账截止日，不能再录",IF(AND($L1699=0,$X1699="正常"),"※没填单价，价格状态请选「待补价」",IF(AND($S1699&gt;0,$R1699&gt;0),"△本批有 "&amp;$S1699&amp;" 行没单价，整批运费先挂账没摊",IF(AND($B1699&lt;&gt;"",COUNTIF($B$4:$B$2503,$B1699)&gt;1),"※入库单号重复","")))))))</f>
        <v/>
      </c>
    </row>
    <row r="1700">
      <c r="A1700" s="24">
        <f>IF($G1700="","",COUNTA($G$4:$G1700))</f>
        <v/>
      </c>
      <c r="B1700" s="17" t="n"/>
      <c r="C1700" s="30" t="n"/>
      <c r="D1700" s="17" t="n"/>
      <c r="E1700" s="17" t="n"/>
      <c r="F1700" s="17" t="n"/>
      <c r="G1700" s="17" t="n"/>
      <c r="H1700" s="24">
        <f>IF($G1700="","",IFERROR(VLOOKUP($G1700,物料档案!$A$4:$P$1203,3,0),"※编码不在物料档案里"))</f>
        <v/>
      </c>
      <c r="I1700" s="24">
        <f>IF($G1700="","",IFERROR(VLOOKUP($G1700,物料档案!$A$4:$P$1203,4,0),"※编码不在物料档案里"))</f>
        <v/>
      </c>
      <c r="J1700" s="24">
        <f>IF($G1700="","",IFERROR(VLOOKUP($G1700,物料档案!$A$4:$P$1203,5,0),"※编码不在物料档案里"))</f>
        <v/>
      </c>
      <c r="K1700" s="23" t="n"/>
      <c r="L1700" s="31" t="n"/>
      <c r="M1700" s="24">
        <f>IF($G1700="","",IF($D1700="A国内","CNY","TZS"))</f>
        <v/>
      </c>
      <c r="N1700" s="28">
        <f>IF($G1700="","",IF($D1700="A国内",汇率,1))</f>
        <v/>
      </c>
      <c r="O1700" s="25">
        <f>IF($G1700="","",ROUND(N($K1700)*N($L1700),2))</f>
        <v/>
      </c>
      <c r="P1700" s="26">
        <f>IF($G1700="","",ROUND($O1700*$N1700,0))</f>
        <v/>
      </c>
      <c r="Q1700" s="26">
        <f>IF($G1700="","",SUMIFS($P$4:$P$2503,$E$4:$E$2503,$E1700,$Z$4:$Z$2503,"正常"))</f>
        <v/>
      </c>
      <c r="R1700" s="26">
        <f>IF($G1700="","",SUMIFS(费用台账!$I$4:$I$503,费用台账!$C$4:$C$503,$E1700,费用台账!$J$4:$J$503,"是",费用台账!$K$4:$K$503,"正常"))</f>
        <v/>
      </c>
      <c r="S1700" s="28">
        <f>IF($G1700="","",COUNTIFS($E$4:$E$2503,$E1700,$Z$4:$Z$2503,"正常",$Y$4:$Y$2503,"待补价"))</f>
        <v/>
      </c>
      <c r="T1700" s="26">
        <f>IF($G1700="","",SUMIFS($P$4:$P$2503,$E$4:$E$2503,$E1700,$Z$4:$Z$2503,"正常",$A$4:$A$2503,"&lt;="&amp;$A1700))</f>
        <v/>
      </c>
      <c r="U1700" s="26">
        <f>IF($G1700="","",IF(OR($S1700&gt;0,$Q1700=0,$R1700=0,$Z1700&lt;&gt;"正常"),0,ROUND($T1700/$Q1700*$R1700,0)-ROUND(($T1700-$P1700)/$Q1700*$R1700,0)))</f>
        <v/>
      </c>
      <c r="V1700" s="26">
        <f>IF($G1700="","",ROUND($P1700+$U1700,0))</f>
        <v/>
      </c>
      <c r="W1700" s="26">
        <f>IF($G1700="","",IF(N($K1700)=0,0,ROUND($V1700/$K1700,2)))</f>
        <v/>
      </c>
      <c r="X1700" s="17" t="n"/>
      <c r="Y1700" s="17" t="n"/>
      <c r="Z1700" s="17" t="n"/>
      <c r="AA1700" s="17" t="n"/>
      <c r="AB1700" s="17" t="n"/>
      <c r="AC1700" s="24">
        <f>IF($G1700="","",IF($H1700="※编码不在物料档案里","※物料编码不在档案里",IF(N($K1700)&lt;=0,"※入库数量要大于 0",IF(AND($C1700&lt;&gt;"",$C1700&lt;=结账锁),"※日期早于已结账截止日，不能再录",IF(AND($L1700=0,$X1700="正常"),"※没填单价，价格状态请选「待补价」",IF(AND($S1700&gt;0,$R1700&gt;0),"△本批有 "&amp;$S1700&amp;" 行没单价，整批运费先挂账没摊",IF(AND($B1700&lt;&gt;"",COUNTIF($B$4:$B$2503,$B1700)&gt;1),"※入库单号重复","")))))))</f>
        <v/>
      </c>
    </row>
    <row r="1701">
      <c r="A1701" s="24">
        <f>IF($G1701="","",COUNTA($G$4:$G1701))</f>
        <v/>
      </c>
      <c r="B1701" s="17" t="n"/>
      <c r="C1701" s="30" t="n"/>
      <c r="D1701" s="17" t="n"/>
      <c r="E1701" s="17" t="n"/>
      <c r="F1701" s="17" t="n"/>
      <c r="G1701" s="17" t="n"/>
      <c r="H1701" s="24">
        <f>IF($G1701="","",IFERROR(VLOOKUP($G1701,物料档案!$A$4:$P$1203,3,0),"※编码不在物料档案里"))</f>
        <v/>
      </c>
      <c r="I1701" s="24">
        <f>IF($G1701="","",IFERROR(VLOOKUP($G1701,物料档案!$A$4:$P$1203,4,0),"※编码不在物料档案里"))</f>
        <v/>
      </c>
      <c r="J1701" s="24">
        <f>IF($G1701="","",IFERROR(VLOOKUP($G1701,物料档案!$A$4:$P$1203,5,0),"※编码不在物料档案里"))</f>
        <v/>
      </c>
      <c r="K1701" s="23" t="n"/>
      <c r="L1701" s="31" t="n"/>
      <c r="M1701" s="24">
        <f>IF($G1701="","",IF($D1701="A国内","CNY","TZS"))</f>
        <v/>
      </c>
      <c r="N1701" s="28">
        <f>IF($G1701="","",IF($D1701="A国内",汇率,1))</f>
        <v/>
      </c>
      <c r="O1701" s="25">
        <f>IF($G1701="","",ROUND(N($K1701)*N($L1701),2))</f>
        <v/>
      </c>
      <c r="P1701" s="26">
        <f>IF($G1701="","",ROUND($O1701*$N1701,0))</f>
        <v/>
      </c>
      <c r="Q1701" s="26">
        <f>IF($G1701="","",SUMIFS($P$4:$P$2503,$E$4:$E$2503,$E1701,$Z$4:$Z$2503,"正常"))</f>
        <v/>
      </c>
      <c r="R1701" s="26">
        <f>IF($G1701="","",SUMIFS(费用台账!$I$4:$I$503,费用台账!$C$4:$C$503,$E1701,费用台账!$J$4:$J$503,"是",费用台账!$K$4:$K$503,"正常"))</f>
        <v/>
      </c>
      <c r="S1701" s="28">
        <f>IF($G1701="","",COUNTIFS($E$4:$E$2503,$E1701,$Z$4:$Z$2503,"正常",$Y$4:$Y$2503,"待补价"))</f>
        <v/>
      </c>
      <c r="T1701" s="26">
        <f>IF($G1701="","",SUMIFS($P$4:$P$2503,$E$4:$E$2503,$E1701,$Z$4:$Z$2503,"正常",$A$4:$A$2503,"&lt;="&amp;$A1701))</f>
        <v/>
      </c>
      <c r="U1701" s="26">
        <f>IF($G1701="","",IF(OR($S1701&gt;0,$Q1701=0,$R1701=0,$Z1701&lt;&gt;"正常"),0,ROUND($T1701/$Q1701*$R1701,0)-ROUND(($T1701-$P1701)/$Q1701*$R1701,0)))</f>
        <v/>
      </c>
      <c r="V1701" s="26">
        <f>IF($G1701="","",ROUND($P1701+$U1701,0))</f>
        <v/>
      </c>
      <c r="W1701" s="26">
        <f>IF($G1701="","",IF(N($K1701)=0,0,ROUND($V1701/$K1701,2)))</f>
        <v/>
      </c>
      <c r="X1701" s="17" t="n"/>
      <c r="Y1701" s="17" t="n"/>
      <c r="Z1701" s="17" t="n"/>
      <c r="AA1701" s="17" t="n"/>
      <c r="AB1701" s="17" t="n"/>
      <c r="AC1701" s="24">
        <f>IF($G1701="","",IF($H1701="※编码不在物料档案里","※物料编码不在档案里",IF(N($K1701)&lt;=0,"※入库数量要大于 0",IF(AND($C1701&lt;&gt;"",$C1701&lt;=结账锁),"※日期早于已结账截止日，不能再录",IF(AND($L1701=0,$X1701="正常"),"※没填单价，价格状态请选「待补价」",IF(AND($S1701&gt;0,$R1701&gt;0),"△本批有 "&amp;$S1701&amp;" 行没单价，整批运费先挂账没摊",IF(AND($B1701&lt;&gt;"",COUNTIF($B$4:$B$2503,$B1701)&gt;1),"※入库单号重复","")))))))</f>
        <v/>
      </c>
    </row>
    <row r="1702">
      <c r="A1702" s="24">
        <f>IF($G1702="","",COUNTA($G$4:$G1702))</f>
        <v/>
      </c>
      <c r="B1702" s="17" t="n"/>
      <c r="C1702" s="30" t="n"/>
      <c r="D1702" s="17" t="n"/>
      <c r="E1702" s="17" t="n"/>
      <c r="F1702" s="17" t="n"/>
      <c r="G1702" s="17" t="n"/>
      <c r="H1702" s="24">
        <f>IF($G1702="","",IFERROR(VLOOKUP($G1702,物料档案!$A$4:$P$1203,3,0),"※编码不在物料档案里"))</f>
        <v/>
      </c>
      <c r="I1702" s="24">
        <f>IF($G1702="","",IFERROR(VLOOKUP($G1702,物料档案!$A$4:$P$1203,4,0),"※编码不在物料档案里"))</f>
        <v/>
      </c>
      <c r="J1702" s="24">
        <f>IF($G1702="","",IFERROR(VLOOKUP($G1702,物料档案!$A$4:$P$1203,5,0),"※编码不在物料档案里"))</f>
        <v/>
      </c>
      <c r="K1702" s="23" t="n"/>
      <c r="L1702" s="31" t="n"/>
      <c r="M1702" s="24">
        <f>IF($G1702="","",IF($D1702="A国内","CNY","TZS"))</f>
        <v/>
      </c>
      <c r="N1702" s="28">
        <f>IF($G1702="","",IF($D1702="A国内",汇率,1))</f>
        <v/>
      </c>
      <c r="O1702" s="25">
        <f>IF($G1702="","",ROUND(N($K1702)*N($L1702),2))</f>
        <v/>
      </c>
      <c r="P1702" s="26">
        <f>IF($G1702="","",ROUND($O1702*$N1702,0))</f>
        <v/>
      </c>
      <c r="Q1702" s="26">
        <f>IF($G1702="","",SUMIFS($P$4:$P$2503,$E$4:$E$2503,$E1702,$Z$4:$Z$2503,"正常"))</f>
        <v/>
      </c>
      <c r="R1702" s="26">
        <f>IF($G1702="","",SUMIFS(费用台账!$I$4:$I$503,费用台账!$C$4:$C$503,$E1702,费用台账!$J$4:$J$503,"是",费用台账!$K$4:$K$503,"正常"))</f>
        <v/>
      </c>
      <c r="S1702" s="28">
        <f>IF($G1702="","",COUNTIFS($E$4:$E$2503,$E1702,$Z$4:$Z$2503,"正常",$Y$4:$Y$2503,"待补价"))</f>
        <v/>
      </c>
      <c r="T1702" s="26">
        <f>IF($G1702="","",SUMIFS($P$4:$P$2503,$E$4:$E$2503,$E1702,$Z$4:$Z$2503,"正常",$A$4:$A$2503,"&lt;="&amp;$A1702))</f>
        <v/>
      </c>
      <c r="U1702" s="26">
        <f>IF($G1702="","",IF(OR($S1702&gt;0,$Q1702=0,$R1702=0,$Z1702&lt;&gt;"正常"),0,ROUND($T1702/$Q1702*$R1702,0)-ROUND(($T1702-$P1702)/$Q1702*$R1702,0)))</f>
        <v/>
      </c>
      <c r="V1702" s="26">
        <f>IF($G1702="","",ROUND($P1702+$U1702,0))</f>
        <v/>
      </c>
      <c r="W1702" s="26">
        <f>IF($G1702="","",IF(N($K1702)=0,0,ROUND($V1702/$K1702,2)))</f>
        <v/>
      </c>
      <c r="X1702" s="17" t="n"/>
      <c r="Y1702" s="17" t="n"/>
      <c r="Z1702" s="17" t="n"/>
      <c r="AA1702" s="17" t="n"/>
      <c r="AB1702" s="17" t="n"/>
      <c r="AC1702" s="24">
        <f>IF($G1702="","",IF($H1702="※编码不在物料档案里","※物料编码不在档案里",IF(N($K1702)&lt;=0,"※入库数量要大于 0",IF(AND($C1702&lt;&gt;"",$C1702&lt;=结账锁),"※日期早于已结账截止日，不能再录",IF(AND($L1702=0,$X1702="正常"),"※没填单价，价格状态请选「待补价」",IF(AND($S1702&gt;0,$R1702&gt;0),"△本批有 "&amp;$S1702&amp;" 行没单价，整批运费先挂账没摊",IF(AND($B1702&lt;&gt;"",COUNTIF($B$4:$B$2503,$B1702)&gt;1),"※入库单号重复","")))))))</f>
        <v/>
      </c>
    </row>
    <row r="1703">
      <c r="A1703" s="24">
        <f>IF($G1703="","",COUNTA($G$4:$G1703))</f>
        <v/>
      </c>
      <c r="B1703" s="17" t="n"/>
      <c r="C1703" s="30" t="n"/>
      <c r="D1703" s="17" t="n"/>
      <c r="E1703" s="17" t="n"/>
      <c r="F1703" s="17" t="n"/>
      <c r="G1703" s="17" t="n"/>
      <c r="H1703" s="24">
        <f>IF($G1703="","",IFERROR(VLOOKUP($G1703,物料档案!$A$4:$P$1203,3,0),"※编码不在物料档案里"))</f>
        <v/>
      </c>
      <c r="I1703" s="24">
        <f>IF($G1703="","",IFERROR(VLOOKUP($G1703,物料档案!$A$4:$P$1203,4,0),"※编码不在物料档案里"))</f>
        <v/>
      </c>
      <c r="J1703" s="24">
        <f>IF($G1703="","",IFERROR(VLOOKUP($G1703,物料档案!$A$4:$P$1203,5,0),"※编码不在物料档案里"))</f>
        <v/>
      </c>
      <c r="K1703" s="23" t="n"/>
      <c r="L1703" s="31" t="n"/>
      <c r="M1703" s="24">
        <f>IF($G1703="","",IF($D1703="A国内","CNY","TZS"))</f>
        <v/>
      </c>
      <c r="N1703" s="28">
        <f>IF($G1703="","",IF($D1703="A国内",汇率,1))</f>
        <v/>
      </c>
      <c r="O1703" s="25">
        <f>IF($G1703="","",ROUND(N($K1703)*N($L1703),2))</f>
        <v/>
      </c>
      <c r="P1703" s="26">
        <f>IF($G1703="","",ROUND($O1703*$N1703,0))</f>
        <v/>
      </c>
      <c r="Q1703" s="26">
        <f>IF($G1703="","",SUMIFS($P$4:$P$2503,$E$4:$E$2503,$E1703,$Z$4:$Z$2503,"正常"))</f>
        <v/>
      </c>
      <c r="R1703" s="26">
        <f>IF($G1703="","",SUMIFS(费用台账!$I$4:$I$503,费用台账!$C$4:$C$503,$E1703,费用台账!$J$4:$J$503,"是",费用台账!$K$4:$K$503,"正常"))</f>
        <v/>
      </c>
      <c r="S1703" s="28">
        <f>IF($G1703="","",COUNTIFS($E$4:$E$2503,$E1703,$Z$4:$Z$2503,"正常",$Y$4:$Y$2503,"待补价"))</f>
        <v/>
      </c>
      <c r="T1703" s="26">
        <f>IF($G1703="","",SUMIFS($P$4:$P$2503,$E$4:$E$2503,$E1703,$Z$4:$Z$2503,"正常",$A$4:$A$2503,"&lt;="&amp;$A1703))</f>
        <v/>
      </c>
      <c r="U1703" s="26">
        <f>IF($G1703="","",IF(OR($S1703&gt;0,$Q1703=0,$R1703=0,$Z1703&lt;&gt;"正常"),0,ROUND($T1703/$Q1703*$R1703,0)-ROUND(($T1703-$P1703)/$Q1703*$R1703,0)))</f>
        <v/>
      </c>
      <c r="V1703" s="26">
        <f>IF($G1703="","",ROUND($P1703+$U1703,0))</f>
        <v/>
      </c>
      <c r="W1703" s="26">
        <f>IF($G1703="","",IF(N($K1703)=0,0,ROUND($V1703/$K1703,2)))</f>
        <v/>
      </c>
      <c r="X1703" s="17" t="n"/>
      <c r="Y1703" s="17" t="n"/>
      <c r="Z1703" s="17" t="n"/>
      <c r="AA1703" s="17" t="n"/>
      <c r="AB1703" s="17" t="n"/>
      <c r="AC1703" s="24">
        <f>IF($G1703="","",IF($H1703="※编码不在物料档案里","※物料编码不在档案里",IF(N($K1703)&lt;=0,"※入库数量要大于 0",IF(AND($C1703&lt;&gt;"",$C1703&lt;=结账锁),"※日期早于已结账截止日，不能再录",IF(AND($L1703=0,$X1703="正常"),"※没填单价，价格状态请选「待补价」",IF(AND($S1703&gt;0,$R1703&gt;0),"△本批有 "&amp;$S1703&amp;" 行没单价，整批运费先挂账没摊",IF(AND($B1703&lt;&gt;"",COUNTIF($B$4:$B$2503,$B1703)&gt;1),"※入库单号重复","")))))))</f>
        <v/>
      </c>
    </row>
    <row r="1704">
      <c r="A1704" s="24">
        <f>IF($G1704="","",COUNTA($G$4:$G1704))</f>
        <v/>
      </c>
      <c r="B1704" s="17" t="n"/>
      <c r="C1704" s="30" t="n"/>
      <c r="D1704" s="17" t="n"/>
      <c r="E1704" s="17" t="n"/>
      <c r="F1704" s="17" t="n"/>
      <c r="G1704" s="17" t="n"/>
      <c r="H1704" s="24">
        <f>IF($G1704="","",IFERROR(VLOOKUP($G1704,物料档案!$A$4:$P$1203,3,0),"※编码不在物料档案里"))</f>
        <v/>
      </c>
      <c r="I1704" s="24">
        <f>IF($G1704="","",IFERROR(VLOOKUP($G1704,物料档案!$A$4:$P$1203,4,0),"※编码不在物料档案里"))</f>
        <v/>
      </c>
      <c r="J1704" s="24">
        <f>IF($G1704="","",IFERROR(VLOOKUP($G1704,物料档案!$A$4:$P$1203,5,0),"※编码不在物料档案里"))</f>
        <v/>
      </c>
      <c r="K1704" s="23" t="n"/>
      <c r="L1704" s="31" t="n"/>
      <c r="M1704" s="24">
        <f>IF($G1704="","",IF($D1704="A国内","CNY","TZS"))</f>
        <v/>
      </c>
      <c r="N1704" s="28">
        <f>IF($G1704="","",IF($D1704="A国内",汇率,1))</f>
        <v/>
      </c>
      <c r="O1704" s="25">
        <f>IF($G1704="","",ROUND(N($K1704)*N($L1704),2))</f>
        <v/>
      </c>
      <c r="P1704" s="26">
        <f>IF($G1704="","",ROUND($O1704*$N1704,0))</f>
        <v/>
      </c>
      <c r="Q1704" s="26">
        <f>IF($G1704="","",SUMIFS($P$4:$P$2503,$E$4:$E$2503,$E1704,$Z$4:$Z$2503,"正常"))</f>
        <v/>
      </c>
      <c r="R1704" s="26">
        <f>IF($G1704="","",SUMIFS(费用台账!$I$4:$I$503,费用台账!$C$4:$C$503,$E1704,费用台账!$J$4:$J$503,"是",费用台账!$K$4:$K$503,"正常"))</f>
        <v/>
      </c>
      <c r="S1704" s="28">
        <f>IF($G1704="","",COUNTIFS($E$4:$E$2503,$E1704,$Z$4:$Z$2503,"正常",$Y$4:$Y$2503,"待补价"))</f>
        <v/>
      </c>
      <c r="T1704" s="26">
        <f>IF($G1704="","",SUMIFS($P$4:$P$2503,$E$4:$E$2503,$E1704,$Z$4:$Z$2503,"正常",$A$4:$A$2503,"&lt;="&amp;$A1704))</f>
        <v/>
      </c>
      <c r="U1704" s="26">
        <f>IF($G1704="","",IF(OR($S1704&gt;0,$Q1704=0,$R1704=0,$Z1704&lt;&gt;"正常"),0,ROUND($T1704/$Q1704*$R1704,0)-ROUND(($T1704-$P1704)/$Q1704*$R1704,0)))</f>
        <v/>
      </c>
      <c r="V1704" s="26">
        <f>IF($G1704="","",ROUND($P1704+$U1704,0))</f>
        <v/>
      </c>
      <c r="W1704" s="26">
        <f>IF($G1704="","",IF(N($K1704)=0,0,ROUND($V1704/$K1704,2)))</f>
        <v/>
      </c>
      <c r="X1704" s="17" t="n"/>
      <c r="Y1704" s="17" t="n"/>
      <c r="Z1704" s="17" t="n"/>
      <c r="AA1704" s="17" t="n"/>
      <c r="AB1704" s="17" t="n"/>
      <c r="AC1704" s="24">
        <f>IF($G1704="","",IF($H1704="※编码不在物料档案里","※物料编码不在档案里",IF(N($K1704)&lt;=0,"※入库数量要大于 0",IF(AND($C1704&lt;&gt;"",$C1704&lt;=结账锁),"※日期早于已结账截止日，不能再录",IF(AND($L1704=0,$X1704="正常"),"※没填单价，价格状态请选「待补价」",IF(AND($S1704&gt;0,$R1704&gt;0),"△本批有 "&amp;$S1704&amp;" 行没单价，整批运费先挂账没摊",IF(AND($B1704&lt;&gt;"",COUNTIF($B$4:$B$2503,$B1704)&gt;1),"※入库单号重复","")))))))</f>
        <v/>
      </c>
    </row>
    <row r="1705">
      <c r="A1705" s="24">
        <f>IF($G1705="","",COUNTA($G$4:$G1705))</f>
        <v/>
      </c>
      <c r="B1705" s="17" t="n"/>
      <c r="C1705" s="30" t="n"/>
      <c r="D1705" s="17" t="n"/>
      <c r="E1705" s="17" t="n"/>
      <c r="F1705" s="17" t="n"/>
      <c r="G1705" s="17" t="n"/>
      <c r="H1705" s="24">
        <f>IF($G1705="","",IFERROR(VLOOKUP($G1705,物料档案!$A$4:$P$1203,3,0),"※编码不在物料档案里"))</f>
        <v/>
      </c>
      <c r="I1705" s="24">
        <f>IF($G1705="","",IFERROR(VLOOKUP($G1705,物料档案!$A$4:$P$1203,4,0),"※编码不在物料档案里"))</f>
        <v/>
      </c>
      <c r="J1705" s="24">
        <f>IF($G1705="","",IFERROR(VLOOKUP($G1705,物料档案!$A$4:$P$1203,5,0),"※编码不在物料档案里"))</f>
        <v/>
      </c>
      <c r="K1705" s="23" t="n"/>
      <c r="L1705" s="31" t="n"/>
      <c r="M1705" s="24">
        <f>IF($G1705="","",IF($D1705="A国内","CNY","TZS"))</f>
        <v/>
      </c>
      <c r="N1705" s="28">
        <f>IF($G1705="","",IF($D1705="A国内",汇率,1))</f>
        <v/>
      </c>
      <c r="O1705" s="25">
        <f>IF($G1705="","",ROUND(N($K1705)*N($L1705),2))</f>
        <v/>
      </c>
      <c r="P1705" s="26">
        <f>IF($G1705="","",ROUND($O1705*$N1705,0))</f>
        <v/>
      </c>
      <c r="Q1705" s="26">
        <f>IF($G1705="","",SUMIFS($P$4:$P$2503,$E$4:$E$2503,$E1705,$Z$4:$Z$2503,"正常"))</f>
        <v/>
      </c>
      <c r="R1705" s="26">
        <f>IF($G1705="","",SUMIFS(费用台账!$I$4:$I$503,费用台账!$C$4:$C$503,$E1705,费用台账!$J$4:$J$503,"是",费用台账!$K$4:$K$503,"正常"))</f>
        <v/>
      </c>
      <c r="S1705" s="28">
        <f>IF($G1705="","",COUNTIFS($E$4:$E$2503,$E1705,$Z$4:$Z$2503,"正常",$Y$4:$Y$2503,"待补价"))</f>
        <v/>
      </c>
      <c r="T1705" s="26">
        <f>IF($G1705="","",SUMIFS($P$4:$P$2503,$E$4:$E$2503,$E1705,$Z$4:$Z$2503,"正常",$A$4:$A$2503,"&lt;="&amp;$A1705))</f>
        <v/>
      </c>
      <c r="U1705" s="26">
        <f>IF($G1705="","",IF(OR($S1705&gt;0,$Q1705=0,$R1705=0,$Z1705&lt;&gt;"正常"),0,ROUND($T1705/$Q1705*$R1705,0)-ROUND(($T1705-$P1705)/$Q1705*$R1705,0)))</f>
        <v/>
      </c>
      <c r="V1705" s="26">
        <f>IF($G1705="","",ROUND($P1705+$U1705,0))</f>
        <v/>
      </c>
      <c r="W1705" s="26">
        <f>IF($G1705="","",IF(N($K1705)=0,0,ROUND($V1705/$K1705,2)))</f>
        <v/>
      </c>
      <c r="X1705" s="17" t="n"/>
      <c r="Y1705" s="17" t="n"/>
      <c r="Z1705" s="17" t="n"/>
      <c r="AA1705" s="17" t="n"/>
      <c r="AB1705" s="17" t="n"/>
      <c r="AC1705" s="24">
        <f>IF($G1705="","",IF($H1705="※编码不在物料档案里","※物料编码不在档案里",IF(N($K1705)&lt;=0,"※入库数量要大于 0",IF(AND($C1705&lt;&gt;"",$C1705&lt;=结账锁),"※日期早于已结账截止日，不能再录",IF(AND($L1705=0,$X1705="正常"),"※没填单价，价格状态请选「待补价」",IF(AND($S1705&gt;0,$R1705&gt;0),"△本批有 "&amp;$S1705&amp;" 行没单价，整批运费先挂账没摊",IF(AND($B1705&lt;&gt;"",COUNTIF($B$4:$B$2503,$B1705)&gt;1),"※入库单号重复","")))))))</f>
        <v/>
      </c>
    </row>
    <row r="1706">
      <c r="A1706" s="24">
        <f>IF($G1706="","",COUNTA($G$4:$G1706))</f>
        <v/>
      </c>
      <c r="B1706" s="17" t="n"/>
      <c r="C1706" s="30" t="n"/>
      <c r="D1706" s="17" t="n"/>
      <c r="E1706" s="17" t="n"/>
      <c r="F1706" s="17" t="n"/>
      <c r="G1706" s="17" t="n"/>
      <c r="H1706" s="24">
        <f>IF($G1706="","",IFERROR(VLOOKUP($G1706,物料档案!$A$4:$P$1203,3,0),"※编码不在物料档案里"))</f>
        <v/>
      </c>
      <c r="I1706" s="24">
        <f>IF($G1706="","",IFERROR(VLOOKUP($G1706,物料档案!$A$4:$P$1203,4,0),"※编码不在物料档案里"))</f>
        <v/>
      </c>
      <c r="J1706" s="24">
        <f>IF($G1706="","",IFERROR(VLOOKUP($G1706,物料档案!$A$4:$P$1203,5,0),"※编码不在物料档案里"))</f>
        <v/>
      </c>
      <c r="K1706" s="23" t="n"/>
      <c r="L1706" s="31" t="n"/>
      <c r="M1706" s="24">
        <f>IF($G1706="","",IF($D1706="A国内","CNY","TZS"))</f>
        <v/>
      </c>
      <c r="N1706" s="28">
        <f>IF($G1706="","",IF($D1706="A国内",汇率,1))</f>
        <v/>
      </c>
      <c r="O1706" s="25">
        <f>IF($G1706="","",ROUND(N($K1706)*N($L1706),2))</f>
        <v/>
      </c>
      <c r="P1706" s="26">
        <f>IF($G1706="","",ROUND($O1706*$N1706,0))</f>
        <v/>
      </c>
      <c r="Q1706" s="26">
        <f>IF($G1706="","",SUMIFS($P$4:$P$2503,$E$4:$E$2503,$E1706,$Z$4:$Z$2503,"正常"))</f>
        <v/>
      </c>
      <c r="R1706" s="26">
        <f>IF($G1706="","",SUMIFS(费用台账!$I$4:$I$503,费用台账!$C$4:$C$503,$E1706,费用台账!$J$4:$J$503,"是",费用台账!$K$4:$K$503,"正常"))</f>
        <v/>
      </c>
      <c r="S1706" s="28">
        <f>IF($G1706="","",COUNTIFS($E$4:$E$2503,$E1706,$Z$4:$Z$2503,"正常",$Y$4:$Y$2503,"待补价"))</f>
        <v/>
      </c>
      <c r="T1706" s="26">
        <f>IF($G1706="","",SUMIFS($P$4:$P$2503,$E$4:$E$2503,$E1706,$Z$4:$Z$2503,"正常",$A$4:$A$2503,"&lt;="&amp;$A1706))</f>
        <v/>
      </c>
      <c r="U1706" s="26">
        <f>IF($G1706="","",IF(OR($S1706&gt;0,$Q1706=0,$R1706=0,$Z1706&lt;&gt;"正常"),0,ROUND($T1706/$Q1706*$R1706,0)-ROUND(($T1706-$P1706)/$Q1706*$R1706,0)))</f>
        <v/>
      </c>
      <c r="V1706" s="26">
        <f>IF($G1706="","",ROUND($P1706+$U1706,0))</f>
        <v/>
      </c>
      <c r="W1706" s="26">
        <f>IF($G1706="","",IF(N($K1706)=0,0,ROUND($V1706/$K1706,2)))</f>
        <v/>
      </c>
      <c r="X1706" s="17" t="n"/>
      <c r="Y1706" s="17" t="n"/>
      <c r="Z1706" s="17" t="n"/>
      <c r="AA1706" s="17" t="n"/>
      <c r="AB1706" s="17" t="n"/>
      <c r="AC1706" s="24">
        <f>IF($G1706="","",IF($H1706="※编码不在物料档案里","※物料编码不在档案里",IF(N($K1706)&lt;=0,"※入库数量要大于 0",IF(AND($C1706&lt;&gt;"",$C1706&lt;=结账锁),"※日期早于已结账截止日，不能再录",IF(AND($L1706=0,$X1706="正常"),"※没填单价，价格状态请选「待补价」",IF(AND($S1706&gt;0,$R1706&gt;0),"△本批有 "&amp;$S1706&amp;" 行没单价，整批运费先挂账没摊",IF(AND($B1706&lt;&gt;"",COUNTIF($B$4:$B$2503,$B1706)&gt;1),"※入库单号重复","")))))))</f>
        <v/>
      </c>
    </row>
    <row r="1707">
      <c r="A1707" s="24">
        <f>IF($G1707="","",COUNTA($G$4:$G1707))</f>
        <v/>
      </c>
      <c r="B1707" s="17" t="n"/>
      <c r="C1707" s="30" t="n"/>
      <c r="D1707" s="17" t="n"/>
      <c r="E1707" s="17" t="n"/>
      <c r="F1707" s="17" t="n"/>
      <c r="G1707" s="17" t="n"/>
      <c r="H1707" s="24">
        <f>IF($G1707="","",IFERROR(VLOOKUP($G1707,物料档案!$A$4:$P$1203,3,0),"※编码不在物料档案里"))</f>
        <v/>
      </c>
      <c r="I1707" s="24">
        <f>IF($G1707="","",IFERROR(VLOOKUP($G1707,物料档案!$A$4:$P$1203,4,0),"※编码不在物料档案里"))</f>
        <v/>
      </c>
      <c r="J1707" s="24">
        <f>IF($G1707="","",IFERROR(VLOOKUP($G1707,物料档案!$A$4:$P$1203,5,0),"※编码不在物料档案里"))</f>
        <v/>
      </c>
      <c r="K1707" s="23" t="n"/>
      <c r="L1707" s="31" t="n"/>
      <c r="M1707" s="24">
        <f>IF($G1707="","",IF($D1707="A国内","CNY","TZS"))</f>
        <v/>
      </c>
      <c r="N1707" s="28">
        <f>IF($G1707="","",IF($D1707="A国内",汇率,1))</f>
        <v/>
      </c>
      <c r="O1707" s="25">
        <f>IF($G1707="","",ROUND(N($K1707)*N($L1707),2))</f>
        <v/>
      </c>
      <c r="P1707" s="26">
        <f>IF($G1707="","",ROUND($O1707*$N1707,0))</f>
        <v/>
      </c>
      <c r="Q1707" s="26">
        <f>IF($G1707="","",SUMIFS($P$4:$P$2503,$E$4:$E$2503,$E1707,$Z$4:$Z$2503,"正常"))</f>
        <v/>
      </c>
      <c r="R1707" s="26">
        <f>IF($G1707="","",SUMIFS(费用台账!$I$4:$I$503,费用台账!$C$4:$C$503,$E1707,费用台账!$J$4:$J$503,"是",费用台账!$K$4:$K$503,"正常"))</f>
        <v/>
      </c>
      <c r="S1707" s="28">
        <f>IF($G1707="","",COUNTIFS($E$4:$E$2503,$E1707,$Z$4:$Z$2503,"正常",$Y$4:$Y$2503,"待补价"))</f>
        <v/>
      </c>
      <c r="T1707" s="26">
        <f>IF($G1707="","",SUMIFS($P$4:$P$2503,$E$4:$E$2503,$E1707,$Z$4:$Z$2503,"正常",$A$4:$A$2503,"&lt;="&amp;$A1707))</f>
        <v/>
      </c>
      <c r="U1707" s="26">
        <f>IF($G1707="","",IF(OR($S1707&gt;0,$Q1707=0,$R1707=0,$Z1707&lt;&gt;"正常"),0,ROUND($T1707/$Q1707*$R1707,0)-ROUND(($T1707-$P1707)/$Q1707*$R1707,0)))</f>
        <v/>
      </c>
      <c r="V1707" s="26">
        <f>IF($G1707="","",ROUND($P1707+$U1707,0))</f>
        <v/>
      </c>
      <c r="W1707" s="26">
        <f>IF($G1707="","",IF(N($K1707)=0,0,ROUND($V1707/$K1707,2)))</f>
        <v/>
      </c>
      <c r="X1707" s="17" t="n"/>
      <c r="Y1707" s="17" t="n"/>
      <c r="Z1707" s="17" t="n"/>
      <c r="AA1707" s="17" t="n"/>
      <c r="AB1707" s="17" t="n"/>
      <c r="AC1707" s="24">
        <f>IF($G1707="","",IF($H1707="※编码不在物料档案里","※物料编码不在档案里",IF(N($K1707)&lt;=0,"※入库数量要大于 0",IF(AND($C1707&lt;&gt;"",$C1707&lt;=结账锁),"※日期早于已结账截止日，不能再录",IF(AND($L1707=0,$X1707="正常"),"※没填单价，价格状态请选「待补价」",IF(AND($S1707&gt;0,$R1707&gt;0),"△本批有 "&amp;$S1707&amp;" 行没单价，整批运费先挂账没摊",IF(AND($B1707&lt;&gt;"",COUNTIF($B$4:$B$2503,$B1707)&gt;1),"※入库单号重复","")))))))</f>
        <v/>
      </c>
    </row>
    <row r="1708">
      <c r="A1708" s="24">
        <f>IF($G1708="","",COUNTA($G$4:$G1708))</f>
        <v/>
      </c>
      <c r="B1708" s="17" t="n"/>
      <c r="C1708" s="30" t="n"/>
      <c r="D1708" s="17" t="n"/>
      <c r="E1708" s="17" t="n"/>
      <c r="F1708" s="17" t="n"/>
      <c r="G1708" s="17" t="n"/>
      <c r="H1708" s="24">
        <f>IF($G1708="","",IFERROR(VLOOKUP($G1708,物料档案!$A$4:$P$1203,3,0),"※编码不在物料档案里"))</f>
        <v/>
      </c>
      <c r="I1708" s="24">
        <f>IF($G1708="","",IFERROR(VLOOKUP($G1708,物料档案!$A$4:$P$1203,4,0),"※编码不在物料档案里"))</f>
        <v/>
      </c>
      <c r="J1708" s="24">
        <f>IF($G1708="","",IFERROR(VLOOKUP($G1708,物料档案!$A$4:$P$1203,5,0),"※编码不在物料档案里"))</f>
        <v/>
      </c>
      <c r="K1708" s="23" t="n"/>
      <c r="L1708" s="31" t="n"/>
      <c r="M1708" s="24">
        <f>IF($G1708="","",IF($D1708="A国内","CNY","TZS"))</f>
        <v/>
      </c>
      <c r="N1708" s="28">
        <f>IF($G1708="","",IF($D1708="A国内",汇率,1))</f>
        <v/>
      </c>
      <c r="O1708" s="25">
        <f>IF($G1708="","",ROUND(N($K1708)*N($L1708),2))</f>
        <v/>
      </c>
      <c r="P1708" s="26">
        <f>IF($G1708="","",ROUND($O1708*$N1708,0))</f>
        <v/>
      </c>
      <c r="Q1708" s="26">
        <f>IF($G1708="","",SUMIFS($P$4:$P$2503,$E$4:$E$2503,$E1708,$Z$4:$Z$2503,"正常"))</f>
        <v/>
      </c>
      <c r="R1708" s="26">
        <f>IF($G1708="","",SUMIFS(费用台账!$I$4:$I$503,费用台账!$C$4:$C$503,$E1708,费用台账!$J$4:$J$503,"是",费用台账!$K$4:$K$503,"正常"))</f>
        <v/>
      </c>
      <c r="S1708" s="28">
        <f>IF($G1708="","",COUNTIFS($E$4:$E$2503,$E1708,$Z$4:$Z$2503,"正常",$Y$4:$Y$2503,"待补价"))</f>
        <v/>
      </c>
      <c r="T1708" s="26">
        <f>IF($G1708="","",SUMIFS($P$4:$P$2503,$E$4:$E$2503,$E1708,$Z$4:$Z$2503,"正常",$A$4:$A$2503,"&lt;="&amp;$A1708))</f>
        <v/>
      </c>
      <c r="U1708" s="26">
        <f>IF($G1708="","",IF(OR($S1708&gt;0,$Q1708=0,$R1708=0,$Z1708&lt;&gt;"正常"),0,ROUND($T1708/$Q1708*$R1708,0)-ROUND(($T1708-$P1708)/$Q1708*$R1708,0)))</f>
        <v/>
      </c>
      <c r="V1708" s="26">
        <f>IF($G1708="","",ROUND($P1708+$U1708,0))</f>
        <v/>
      </c>
      <c r="W1708" s="26">
        <f>IF($G1708="","",IF(N($K1708)=0,0,ROUND($V1708/$K1708,2)))</f>
        <v/>
      </c>
      <c r="X1708" s="17" t="n"/>
      <c r="Y1708" s="17" t="n"/>
      <c r="Z1708" s="17" t="n"/>
      <c r="AA1708" s="17" t="n"/>
      <c r="AB1708" s="17" t="n"/>
      <c r="AC1708" s="24">
        <f>IF($G1708="","",IF($H1708="※编码不在物料档案里","※物料编码不在档案里",IF(N($K1708)&lt;=0,"※入库数量要大于 0",IF(AND($C1708&lt;&gt;"",$C1708&lt;=结账锁),"※日期早于已结账截止日，不能再录",IF(AND($L1708=0,$X1708="正常"),"※没填单价，价格状态请选「待补价」",IF(AND($S1708&gt;0,$R1708&gt;0),"△本批有 "&amp;$S1708&amp;" 行没单价，整批运费先挂账没摊",IF(AND($B1708&lt;&gt;"",COUNTIF($B$4:$B$2503,$B1708)&gt;1),"※入库单号重复","")))))))</f>
        <v/>
      </c>
    </row>
    <row r="1709">
      <c r="A1709" s="24">
        <f>IF($G1709="","",COUNTA($G$4:$G1709))</f>
        <v/>
      </c>
      <c r="B1709" s="17" t="n"/>
      <c r="C1709" s="30" t="n"/>
      <c r="D1709" s="17" t="n"/>
      <c r="E1709" s="17" t="n"/>
      <c r="F1709" s="17" t="n"/>
      <c r="G1709" s="17" t="n"/>
      <c r="H1709" s="24">
        <f>IF($G1709="","",IFERROR(VLOOKUP($G1709,物料档案!$A$4:$P$1203,3,0),"※编码不在物料档案里"))</f>
        <v/>
      </c>
      <c r="I1709" s="24">
        <f>IF($G1709="","",IFERROR(VLOOKUP($G1709,物料档案!$A$4:$P$1203,4,0),"※编码不在物料档案里"))</f>
        <v/>
      </c>
      <c r="J1709" s="24">
        <f>IF($G1709="","",IFERROR(VLOOKUP($G1709,物料档案!$A$4:$P$1203,5,0),"※编码不在物料档案里"))</f>
        <v/>
      </c>
      <c r="K1709" s="23" t="n"/>
      <c r="L1709" s="31" t="n"/>
      <c r="M1709" s="24">
        <f>IF($G1709="","",IF($D1709="A国内","CNY","TZS"))</f>
        <v/>
      </c>
      <c r="N1709" s="28">
        <f>IF($G1709="","",IF($D1709="A国内",汇率,1))</f>
        <v/>
      </c>
      <c r="O1709" s="25">
        <f>IF($G1709="","",ROUND(N($K1709)*N($L1709),2))</f>
        <v/>
      </c>
      <c r="P1709" s="26">
        <f>IF($G1709="","",ROUND($O1709*$N1709,0))</f>
        <v/>
      </c>
      <c r="Q1709" s="26">
        <f>IF($G1709="","",SUMIFS($P$4:$P$2503,$E$4:$E$2503,$E1709,$Z$4:$Z$2503,"正常"))</f>
        <v/>
      </c>
      <c r="R1709" s="26">
        <f>IF($G1709="","",SUMIFS(费用台账!$I$4:$I$503,费用台账!$C$4:$C$503,$E1709,费用台账!$J$4:$J$503,"是",费用台账!$K$4:$K$503,"正常"))</f>
        <v/>
      </c>
      <c r="S1709" s="28">
        <f>IF($G1709="","",COUNTIFS($E$4:$E$2503,$E1709,$Z$4:$Z$2503,"正常",$Y$4:$Y$2503,"待补价"))</f>
        <v/>
      </c>
      <c r="T1709" s="26">
        <f>IF($G1709="","",SUMIFS($P$4:$P$2503,$E$4:$E$2503,$E1709,$Z$4:$Z$2503,"正常",$A$4:$A$2503,"&lt;="&amp;$A1709))</f>
        <v/>
      </c>
      <c r="U1709" s="26">
        <f>IF($G1709="","",IF(OR($S1709&gt;0,$Q1709=0,$R1709=0,$Z1709&lt;&gt;"正常"),0,ROUND($T1709/$Q1709*$R1709,0)-ROUND(($T1709-$P1709)/$Q1709*$R1709,0)))</f>
        <v/>
      </c>
      <c r="V1709" s="26">
        <f>IF($G1709="","",ROUND($P1709+$U1709,0))</f>
        <v/>
      </c>
      <c r="W1709" s="26">
        <f>IF($G1709="","",IF(N($K1709)=0,0,ROUND($V1709/$K1709,2)))</f>
        <v/>
      </c>
      <c r="X1709" s="17" t="n"/>
      <c r="Y1709" s="17" t="n"/>
      <c r="Z1709" s="17" t="n"/>
      <c r="AA1709" s="17" t="n"/>
      <c r="AB1709" s="17" t="n"/>
      <c r="AC1709" s="24">
        <f>IF($G1709="","",IF($H1709="※编码不在物料档案里","※物料编码不在档案里",IF(N($K1709)&lt;=0,"※入库数量要大于 0",IF(AND($C1709&lt;&gt;"",$C1709&lt;=结账锁),"※日期早于已结账截止日，不能再录",IF(AND($L1709=0,$X1709="正常"),"※没填单价，价格状态请选「待补价」",IF(AND($S1709&gt;0,$R1709&gt;0),"△本批有 "&amp;$S1709&amp;" 行没单价，整批运费先挂账没摊",IF(AND($B1709&lt;&gt;"",COUNTIF($B$4:$B$2503,$B1709)&gt;1),"※入库单号重复","")))))))</f>
        <v/>
      </c>
    </row>
    <row r="1710">
      <c r="A1710" s="24">
        <f>IF($G1710="","",COUNTA($G$4:$G1710))</f>
        <v/>
      </c>
      <c r="B1710" s="17" t="n"/>
      <c r="C1710" s="30" t="n"/>
      <c r="D1710" s="17" t="n"/>
      <c r="E1710" s="17" t="n"/>
      <c r="F1710" s="17" t="n"/>
      <c r="G1710" s="17" t="n"/>
      <c r="H1710" s="24">
        <f>IF($G1710="","",IFERROR(VLOOKUP($G1710,物料档案!$A$4:$P$1203,3,0),"※编码不在物料档案里"))</f>
        <v/>
      </c>
      <c r="I1710" s="24">
        <f>IF($G1710="","",IFERROR(VLOOKUP($G1710,物料档案!$A$4:$P$1203,4,0),"※编码不在物料档案里"))</f>
        <v/>
      </c>
      <c r="J1710" s="24">
        <f>IF($G1710="","",IFERROR(VLOOKUP($G1710,物料档案!$A$4:$P$1203,5,0),"※编码不在物料档案里"))</f>
        <v/>
      </c>
      <c r="K1710" s="23" t="n"/>
      <c r="L1710" s="31" t="n"/>
      <c r="M1710" s="24">
        <f>IF($G1710="","",IF($D1710="A国内","CNY","TZS"))</f>
        <v/>
      </c>
      <c r="N1710" s="28">
        <f>IF($G1710="","",IF($D1710="A国内",汇率,1))</f>
        <v/>
      </c>
      <c r="O1710" s="25">
        <f>IF($G1710="","",ROUND(N($K1710)*N($L1710),2))</f>
        <v/>
      </c>
      <c r="P1710" s="26">
        <f>IF($G1710="","",ROUND($O1710*$N1710,0))</f>
        <v/>
      </c>
      <c r="Q1710" s="26">
        <f>IF($G1710="","",SUMIFS($P$4:$P$2503,$E$4:$E$2503,$E1710,$Z$4:$Z$2503,"正常"))</f>
        <v/>
      </c>
      <c r="R1710" s="26">
        <f>IF($G1710="","",SUMIFS(费用台账!$I$4:$I$503,费用台账!$C$4:$C$503,$E1710,费用台账!$J$4:$J$503,"是",费用台账!$K$4:$K$503,"正常"))</f>
        <v/>
      </c>
      <c r="S1710" s="28">
        <f>IF($G1710="","",COUNTIFS($E$4:$E$2503,$E1710,$Z$4:$Z$2503,"正常",$Y$4:$Y$2503,"待补价"))</f>
        <v/>
      </c>
      <c r="T1710" s="26">
        <f>IF($G1710="","",SUMIFS($P$4:$P$2503,$E$4:$E$2503,$E1710,$Z$4:$Z$2503,"正常",$A$4:$A$2503,"&lt;="&amp;$A1710))</f>
        <v/>
      </c>
      <c r="U1710" s="26">
        <f>IF($G1710="","",IF(OR($S1710&gt;0,$Q1710=0,$R1710=0,$Z1710&lt;&gt;"正常"),0,ROUND($T1710/$Q1710*$R1710,0)-ROUND(($T1710-$P1710)/$Q1710*$R1710,0)))</f>
        <v/>
      </c>
      <c r="V1710" s="26">
        <f>IF($G1710="","",ROUND($P1710+$U1710,0))</f>
        <v/>
      </c>
      <c r="W1710" s="26">
        <f>IF($G1710="","",IF(N($K1710)=0,0,ROUND($V1710/$K1710,2)))</f>
        <v/>
      </c>
      <c r="X1710" s="17" t="n"/>
      <c r="Y1710" s="17" t="n"/>
      <c r="Z1710" s="17" t="n"/>
      <c r="AA1710" s="17" t="n"/>
      <c r="AB1710" s="17" t="n"/>
      <c r="AC1710" s="24">
        <f>IF($G1710="","",IF($H1710="※编码不在物料档案里","※物料编码不在档案里",IF(N($K1710)&lt;=0,"※入库数量要大于 0",IF(AND($C1710&lt;&gt;"",$C1710&lt;=结账锁),"※日期早于已结账截止日，不能再录",IF(AND($L1710=0,$X1710="正常"),"※没填单价，价格状态请选「待补价」",IF(AND($S1710&gt;0,$R1710&gt;0),"△本批有 "&amp;$S1710&amp;" 行没单价，整批运费先挂账没摊",IF(AND($B1710&lt;&gt;"",COUNTIF($B$4:$B$2503,$B1710)&gt;1),"※入库单号重复","")))))))</f>
        <v/>
      </c>
    </row>
    <row r="1711">
      <c r="A1711" s="24">
        <f>IF($G1711="","",COUNTA($G$4:$G1711))</f>
        <v/>
      </c>
      <c r="B1711" s="17" t="n"/>
      <c r="C1711" s="30" t="n"/>
      <c r="D1711" s="17" t="n"/>
      <c r="E1711" s="17" t="n"/>
      <c r="F1711" s="17" t="n"/>
      <c r="G1711" s="17" t="n"/>
      <c r="H1711" s="24">
        <f>IF($G1711="","",IFERROR(VLOOKUP($G1711,物料档案!$A$4:$P$1203,3,0),"※编码不在物料档案里"))</f>
        <v/>
      </c>
      <c r="I1711" s="24">
        <f>IF($G1711="","",IFERROR(VLOOKUP($G1711,物料档案!$A$4:$P$1203,4,0),"※编码不在物料档案里"))</f>
        <v/>
      </c>
      <c r="J1711" s="24">
        <f>IF($G1711="","",IFERROR(VLOOKUP($G1711,物料档案!$A$4:$P$1203,5,0),"※编码不在物料档案里"))</f>
        <v/>
      </c>
      <c r="K1711" s="23" t="n"/>
      <c r="L1711" s="31" t="n"/>
      <c r="M1711" s="24">
        <f>IF($G1711="","",IF($D1711="A国内","CNY","TZS"))</f>
        <v/>
      </c>
      <c r="N1711" s="28">
        <f>IF($G1711="","",IF($D1711="A国内",汇率,1))</f>
        <v/>
      </c>
      <c r="O1711" s="25">
        <f>IF($G1711="","",ROUND(N($K1711)*N($L1711),2))</f>
        <v/>
      </c>
      <c r="P1711" s="26">
        <f>IF($G1711="","",ROUND($O1711*$N1711,0))</f>
        <v/>
      </c>
      <c r="Q1711" s="26">
        <f>IF($G1711="","",SUMIFS($P$4:$P$2503,$E$4:$E$2503,$E1711,$Z$4:$Z$2503,"正常"))</f>
        <v/>
      </c>
      <c r="R1711" s="26">
        <f>IF($G1711="","",SUMIFS(费用台账!$I$4:$I$503,费用台账!$C$4:$C$503,$E1711,费用台账!$J$4:$J$503,"是",费用台账!$K$4:$K$503,"正常"))</f>
        <v/>
      </c>
      <c r="S1711" s="28">
        <f>IF($G1711="","",COUNTIFS($E$4:$E$2503,$E1711,$Z$4:$Z$2503,"正常",$Y$4:$Y$2503,"待补价"))</f>
        <v/>
      </c>
      <c r="T1711" s="26">
        <f>IF($G1711="","",SUMIFS($P$4:$P$2503,$E$4:$E$2503,$E1711,$Z$4:$Z$2503,"正常",$A$4:$A$2503,"&lt;="&amp;$A1711))</f>
        <v/>
      </c>
      <c r="U1711" s="26">
        <f>IF($G1711="","",IF(OR($S1711&gt;0,$Q1711=0,$R1711=0,$Z1711&lt;&gt;"正常"),0,ROUND($T1711/$Q1711*$R1711,0)-ROUND(($T1711-$P1711)/$Q1711*$R1711,0)))</f>
        <v/>
      </c>
      <c r="V1711" s="26">
        <f>IF($G1711="","",ROUND($P1711+$U1711,0))</f>
        <v/>
      </c>
      <c r="W1711" s="26">
        <f>IF($G1711="","",IF(N($K1711)=0,0,ROUND($V1711/$K1711,2)))</f>
        <v/>
      </c>
      <c r="X1711" s="17" t="n"/>
      <c r="Y1711" s="17" t="n"/>
      <c r="Z1711" s="17" t="n"/>
      <c r="AA1711" s="17" t="n"/>
      <c r="AB1711" s="17" t="n"/>
      <c r="AC1711" s="24">
        <f>IF($G1711="","",IF($H1711="※编码不在物料档案里","※物料编码不在档案里",IF(N($K1711)&lt;=0,"※入库数量要大于 0",IF(AND($C1711&lt;&gt;"",$C1711&lt;=结账锁),"※日期早于已结账截止日，不能再录",IF(AND($L1711=0,$X1711="正常"),"※没填单价，价格状态请选「待补价」",IF(AND($S1711&gt;0,$R1711&gt;0),"△本批有 "&amp;$S1711&amp;" 行没单价，整批运费先挂账没摊",IF(AND($B1711&lt;&gt;"",COUNTIF($B$4:$B$2503,$B1711)&gt;1),"※入库单号重复","")))))))</f>
        <v/>
      </c>
    </row>
    <row r="1712">
      <c r="A1712" s="24">
        <f>IF($G1712="","",COUNTA($G$4:$G1712))</f>
        <v/>
      </c>
      <c r="B1712" s="17" t="n"/>
      <c r="C1712" s="30" t="n"/>
      <c r="D1712" s="17" t="n"/>
      <c r="E1712" s="17" t="n"/>
      <c r="F1712" s="17" t="n"/>
      <c r="G1712" s="17" t="n"/>
      <c r="H1712" s="24">
        <f>IF($G1712="","",IFERROR(VLOOKUP($G1712,物料档案!$A$4:$P$1203,3,0),"※编码不在物料档案里"))</f>
        <v/>
      </c>
      <c r="I1712" s="24">
        <f>IF($G1712="","",IFERROR(VLOOKUP($G1712,物料档案!$A$4:$P$1203,4,0),"※编码不在物料档案里"))</f>
        <v/>
      </c>
      <c r="J1712" s="24">
        <f>IF($G1712="","",IFERROR(VLOOKUP($G1712,物料档案!$A$4:$P$1203,5,0),"※编码不在物料档案里"))</f>
        <v/>
      </c>
      <c r="K1712" s="23" t="n"/>
      <c r="L1712" s="31" t="n"/>
      <c r="M1712" s="24">
        <f>IF($G1712="","",IF($D1712="A国内","CNY","TZS"))</f>
        <v/>
      </c>
      <c r="N1712" s="28">
        <f>IF($G1712="","",IF($D1712="A国内",汇率,1))</f>
        <v/>
      </c>
      <c r="O1712" s="25">
        <f>IF($G1712="","",ROUND(N($K1712)*N($L1712),2))</f>
        <v/>
      </c>
      <c r="P1712" s="26">
        <f>IF($G1712="","",ROUND($O1712*$N1712,0))</f>
        <v/>
      </c>
      <c r="Q1712" s="26">
        <f>IF($G1712="","",SUMIFS($P$4:$P$2503,$E$4:$E$2503,$E1712,$Z$4:$Z$2503,"正常"))</f>
        <v/>
      </c>
      <c r="R1712" s="26">
        <f>IF($G1712="","",SUMIFS(费用台账!$I$4:$I$503,费用台账!$C$4:$C$503,$E1712,费用台账!$J$4:$J$503,"是",费用台账!$K$4:$K$503,"正常"))</f>
        <v/>
      </c>
      <c r="S1712" s="28">
        <f>IF($G1712="","",COUNTIFS($E$4:$E$2503,$E1712,$Z$4:$Z$2503,"正常",$Y$4:$Y$2503,"待补价"))</f>
        <v/>
      </c>
      <c r="T1712" s="26">
        <f>IF($G1712="","",SUMIFS($P$4:$P$2503,$E$4:$E$2503,$E1712,$Z$4:$Z$2503,"正常",$A$4:$A$2503,"&lt;="&amp;$A1712))</f>
        <v/>
      </c>
      <c r="U1712" s="26">
        <f>IF($G1712="","",IF(OR($S1712&gt;0,$Q1712=0,$R1712=0,$Z1712&lt;&gt;"正常"),0,ROUND($T1712/$Q1712*$R1712,0)-ROUND(($T1712-$P1712)/$Q1712*$R1712,0)))</f>
        <v/>
      </c>
      <c r="V1712" s="26">
        <f>IF($G1712="","",ROUND($P1712+$U1712,0))</f>
        <v/>
      </c>
      <c r="W1712" s="26">
        <f>IF($G1712="","",IF(N($K1712)=0,0,ROUND($V1712/$K1712,2)))</f>
        <v/>
      </c>
      <c r="X1712" s="17" t="n"/>
      <c r="Y1712" s="17" t="n"/>
      <c r="Z1712" s="17" t="n"/>
      <c r="AA1712" s="17" t="n"/>
      <c r="AB1712" s="17" t="n"/>
      <c r="AC1712" s="24">
        <f>IF($G1712="","",IF($H1712="※编码不在物料档案里","※物料编码不在档案里",IF(N($K1712)&lt;=0,"※入库数量要大于 0",IF(AND($C1712&lt;&gt;"",$C1712&lt;=结账锁),"※日期早于已结账截止日，不能再录",IF(AND($L1712=0,$X1712="正常"),"※没填单价，价格状态请选「待补价」",IF(AND($S1712&gt;0,$R1712&gt;0),"△本批有 "&amp;$S1712&amp;" 行没单价，整批运费先挂账没摊",IF(AND($B1712&lt;&gt;"",COUNTIF($B$4:$B$2503,$B1712)&gt;1),"※入库单号重复","")))))))</f>
        <v/>
      </c>
    </row>
    <row r="1713">
      <c r="A1713" s="24">
        <f>IF($G1713="","",COUNTA($G$4:$G1713))</f>
        <v/>
      </c>
      <c r="B1713" s="17" t="n"/>
      <c r="C1713" s="30" t="n"/>
      <c r="D1713" s="17" t="n"/>
      <c r="E1713" s="17" t="n"/>
      <c r="F1713" s="17" t="n"/>
      <c r="G1713" s="17" t="n"/>
      <c r="H1713" s="24">
        <f>IF($G1713="","",IFERROR(VLOOKUP($G1713,物料档案!$A$4:$P$1203,3,0),"※编码不在物料档案里"))</f>
        <v/>
      </c>
      <c r="I1713" s="24">
        <f>IF($G1713="","",IFERROR(VLOOKUP($G1713,物料档案!$A$4:$P$1203,4,0),"※编码不在物料档案里"))</f>
        <v/>
      </c>
      <c r="J1713" s="24">
        <f>IF($G1713="","",IFERROR(VLOOKUP($G1713,物料档案!$A$4:$P$1203,5,0),"※编码不在物料档案里"))</f>
        <v/>
      </c>
      <c r="K1713" s="23" t="n"/>
      <c r="L1713" s="31" t="n"/>
      <c r="M1713" s="24">
        <f>IF($G1713="","",IF($D1713="A国内","CNY","TZS"))</f>
        <v/>
      </c>
      <c r="N1713" s="28">
        <f>IF($G1713="","",IF($D1713="A国内",汇率,1))</f>
        <v/>
      </c>
      <c r="O1713" s="25">
        <f>IF($G1713="","",ROUND(N($K1713)*N($L1713),2))</f>
        <v/>
      </c>
      <c r="P1713" s="26">
        <f>IF($G1713="","",ROUND($O1713*$N1713,0))</f>
        <v/>
      </c>
      <c r="Q1713" s="26">
        <f>IF($G1713="","",SUMIFS($P$4:$P$2503,$E$4:$E$2503,$E1713,$Z$4:$Z$2503,"正常"))</f>
        <v/>
      </c>
      <c r="R1713" s="26">
        <f>IF($G1713="","",SUMIFS(费用台账!$I$4:$I$503,费用台账!$C$4:$C$503,$E1713,费用台账!$J$4:$J$503,"是",费用台账!$K$4:$K$503,"正常"))</f>
        <v/>
      </c>
      <c r="S1713" s="28">
        <f>IF($G1713="","",COUNTIFS($E$4:$E$2503,$E1713,$Z$4:$Z$2503,"正常",$Y$4:$Y$2503,"待补价"))</f>
        <v/>
      </c>
      <c r="T1713" s="26">
        <f>IF($G1713="","",SUMIFS($P$4:$P$2503,$E$4:$E$2503,$E1713,$Z$4:$Z$2503,"正常",$A$4:$A$2503,"&lt;="&amp;$A1713))</f>
        <v/>
      </c>
      <c r="U1713" s="26">
        <f>IF($G1713="","",IF(OR($S1713&gt;0,$Q1713=0,$R1713=0,$Z1713&lt;&gt;"正常"),0,ROUND($T1713/$Q1713*$R1713,0)-ROUND(($T1713-$P1713)/$Q1713*$R1713,0)))</f>
        <v/>
      </c>
      <c r="V1713" s="26">
        <f>IF($G1713="","",ROUND($P1713+$U1713,0))</f>
        <v/>
      </c>
      <c r="W1713" s="26">
        <f>IF($G1713="","",IF(N($K1713)=0,0,ROUND($V1713/$K1713,2)))</f>
        <v/>
      </c>
      <c r="X1713" s="17" t="n"/>
      <c r="Y1713" s="17" t="n"/>
      <c r="Z1713" s="17" t="n"/>
      <c r="AA1713" s="17" t="n"/>
      <c r="AB1713" s="17" t="n"/>
      <c r="AC1713" s="24">
        <f>IF($G1713="","",IF($H1713="※编码不在物料档案里","※物料编码不在档案里",IF(N($K1713)&lt;=0,"※入库数量要大于 0",IF(AND($C1713&lt;&gt;"",$C1713&lt;=结账锁),"※日期早于已结账截止日，不能再录",IF(AND($L1713=0,$X1713="正常"),"※没填单价，价格状态请选「待补价」",IF(AND($S1713&gt;0,$R1713&gt;0),"△本批有 "&amp;$S1713&amp;" 行没单价，整批运费先挂账没摊",IF(AND($B1713&lt;&gt;"",COUNTIF($B$4:$B$2503,$B1713)&gt;1),"※入库单号重复","")))))))</f>
        <v/>
      </c>
    </row>
    <row r="1714">
      <c r="A1714" s="24">
        <f>IF($G1714="","",COUNTA($G$4:$G1714))</f>
        <v/>
      </c>
      <c r="B1714" s="17" t="n"/>
      <c r="C1714" s="30" t="n"/>
      <c r="D1714" s="17" t="n"/>
      <c r="E1714" s="17" t="n"/>
      <c r="F1714" s="17" t="n"/>
      <c r="G1714" s="17" t="n"/>
      <c r="H1714" s="24">
        <f>IF($G1714="","",IFERROR(VLOOKUP($G1714,物料档案!$A$4:$P$1203,3,0),"※编码不在物料档案里"))</f>
        <v/>
      </c>
      <c r="I1714" s="24">
        <f>IF($G1714="","",IFERROR(VLOOKUP($G1714,物料档案!$A$4:$P$1203,4,0),"※编码不在物料档案里"))</f>
        <v/>
      </c>
      <c r="J1714" s="24">
        <f>IF($G1714="","",IFERROR(VLOOKUP($G1714,物料档案!$A$4:$P$1203,5,0),"※编码不在物料档案里"))</f>
        <v/>
      </c>
      <c r="K1714" s="23" t="n"/>
      <c r="L1714" s="31" t="n"/>
      <c r="M1714" s="24">
        <f>IF($G1714="","",IF($D1714="A国内","CNY","TZS"))</f>
        <v/>
      </c>
      <c r="N1714" s="28">
        <f>IF($G1714="","",IF($D1714="A国内",汇率,1))</f>
        <v/>
      </c>
      <c r="O1714" s="25">
        <f>IF($G1714="","",ROUND(N($K1714)*N($L1714),2))</f>
        <v/>
      </c>
      <c r="P1714" s="26">
        <f>IF($G1714="","",ROUND($O1714*$N1714,0))</f>
        <v/>
      </c>
      <c r="Q1714" s="26">
        <f>IF($G1714="","",SUMIFS($P$4:$P$2503,$E$4:$E$2503,$E1714,$Z$4:$Z$2503,"正常"))</f>
        <v/>
      </c>
      <c r="R1714" s="26">
        <f>IF($G1714="","",SUMIFS(费用台账!$I$4:$I$503,费用台账!$C$4:$C$503,$E1714,费用台账!$J$4:$J$503,"是",费用台账!$K$4:$K$503,"正常"))</f>
        <v/>
      </c>
      <c r="S1714" s="28">
        <f>IF($G1714="","",COUNTIFS($E$4:$E$2503,$E1714,$Z$4:$Z$2503,"正常",$Y$4:$Y$2503,"待补价"))</f>
        <v/>
      </c>
      <c r="T1714" s="26">
        <f>IF($G1714="","",SUMIFS($P$4:$P$2503,$E$4:$E$2503,$E1714,$Z$4:$Z$2503,"正常",$A$4:$A$2503,"&lt;="&amp;$A1714))</f>
        <v/>
      </c>
      <c r="U1714" s="26">
        <f>IF($G1714="","",IF(OR($S1714&gt;0,$Q1714=0,$R1714=0,$Z1714&lt;&gt;"正常"),0,ROUND($T1714/$Q1714*$R1714,0)-ROUND(($T1714-$P1714)/$Q1714*$R1714,0)))</f>
        <v/>
      </c>
      <c r="V1714" s="26">
        <f>IF($G1714="","",ROUND($P1714+$U1714,0))</f>
        <v/>
      </c>
      <c r="W1714" s="26">
        <f>IF($G1714="","",IF(N($K1714)=0,0,ROUND($V1714/$K1714,2)))</f>
        <v/>
      </c>
      <c r="X1714" s="17" t="n"/>
      <c r="Y1714" s="17" t="n"/>
      <c r="Z1714" s="17" t="n"/>
      <c r="AA1714" s="17" t="n"/>
      <c r="AB1714" s="17" t="n"/>
      <c r="AC1714" s="24">
        <f>IF($G1714="","",IF($H1714="※编码不在物料档案里","※物料编码不在档案里",IF(N($K1714)&lt;=0,"※入库数量要大于 0",IF(AND($C1714&lt;&gt;"",$C1714&lt;=结账锁),"※日期早于已结账截止日，不能再录",IF(AND($L1714=0,$X1714="正常"),"※没填单价，价格状态请选「待补价」",IF(AND($S1714&gt;0,$R1714&gt;0),"△本批有 "&amp;$S1714&amp;" 行没单价，整批运费先挂账没摊",IF(AND($B1714&lt;&gt;"",COUNTIF($B$4:$B$2503,$B1714)&gt;1),"※入库单号重复","")))))))</f>
        <v/>
      </c>
    </row>
    <row r="1715">
      <c r="A1715" s="24">
        <f>IF($G1715="","",COUNTA($G$4:$G1715))</f>
        <v/>
      </c>
      <c r="B1715" s="17" t="n"/>
      <c r="C1715" s="30" t="n"/>
      <c r="D1715" s="17" t="n"/>
      <c r="E1715" s="17" t="n"/>
      <c r="F1715" s="17" t="n"/>
      <c r="G1715" s="17" t="n"/>
      <c r="H1715" s="24">
        <f>IF($G1715="","",IFERROR(VLOOKUP($G1715,物料档案!$A$4:$P$1203,3,0),"※编码不在物料档案里"))</f>
        <v/>
      </c>
      <c r="I1715" s="24">
        <f>IF($G1715="","",IFERROR(VLOOKUP($G1715,物料档案!$A$4:$P$1203,4,0),"※编码不在物料档案里"))</f>
        <v/>
      </c>
      <c r="J1715" s="24">
        <f>IF($G1715="","",IFERROR(VLOOKUP($G1715,物料档案!$A$4:$P$1203,5,0),"※编码不在物料档案里"))</f>
        <v/>
      </c>
      <c r="K1715" s="23" t="n"/>
      <c r="L1715" s="31" t="n"/>
      <c r="M1715" s="24">
        <f>IF($G1715="","",IF($D1715="A国内","CNY","TZS"))</f>
        <v/>
      </c>
      <c r="N1715" s="28">
        <f>IF($G1715="","",IF($D1715="A国内",汇率,1))</f>
        <v/>
      </c>
      <c r="O1715" s="25">
        <f>IF($G1715="","",ROUND(N($K1715)*N($L1715),2))</f>
        <v/>
      </c>
      <c r="P1715" s="26">
        <f>IF($G1715="","",ROUND($O1715*$N1715,0))</f>
        <v/>
      </c>
      <c r="Q1715" s="26">
        <f>IF($G1715="","",SUMIFS($P$4:$P$2503,$E$4:$E$2503,$E1715,$Z$4:$Z$2503,"正常"))</f>
        <v/>
      </c>
      <c r="R1715" s="26">
        <f>IF($G1715="","",SUMIFS(费用台账!$I$4:$I$503,费用台账!$C$4:$C$503,$E1715,费用台账!$J$4:$J$503,"是",费用台账!$K$4:$K$503,"正常"))</f>
        <v/>
      </c>
      <c r="S1715" s="28">
        <f>IF($G1715="","",COUNTIFS($E$4:$E$2503,$E1715,$Z$4:$Z$2503,"正常",$Y$4:$Y$2503,"待补价"))</f>
        <v/>
      </c>
      <c r="T1715" s="26">
        <f>IF($G1715="","",SUMIFS($P$4:$P$2503,$E$4:$E$2503,$E1715,$Z$4:$Z$2503,"正常",$A$4:$A$2503,"&lt;="&amp;$A1715))</f>
        <v/>
      </c>
      <c r="U1715" s="26">
        <f>IF($G1715="","",IF(OR($S1715&gt;0,$Q1715=0,$R1715=0,$Z1715&lt;&gt;"正常"),0,ROUND($T1715/$Q1715*$R1715,0)-ROUND(($T1715-$P1715)/$Q1715*$R1715,0)))</f>
        <v/>
      </c>
      <c r="V1715" s="26">
        <f>IF($G1715="","",ROUND($P1715+$U1715,0))</f>
        <v/>
      </c>
      <c r="W1715" s="26">
        <f>IF($G1715="","",IF(N($K1715)=0,0,ROUND($V1715/$K1715,2)))</f>
        <v/>
      </c>
      <c r="X1715" s="17" t="n"/>
      <c r="Y1715" s="17" t="n"/>
      <c r="Z1715" s="17" t="n"/>
      <c r="AA1715" s="17" t="n"/>
      <c r="AB1715" s="17" t="n"/>
      <c r="AC1715" s="24">
        <f>IF($G1715="","",IF($H1715="※编码不在物料档案里","※物料编码不在档案里",IF(N($K1715)&lt;=0,"※入库数量要大于 0",IF(AND($C1715&lt;&gt;"",$C1715&lt;=结账锁),"※日期早于已结账截止日，不能再录",IF(AND($L1715=0,$X1715="正常"),"※没填单价，价格状态请选「待补价」",IF(AND($S1715&gt;0,$R1715&gt;0),"△本批有 "&amp;$S1715&amp;" 行没单价，整批运费先挂账没摊",IF(AND($B1715&lt;&gt;"",COUNTIF($B$4:$B$2503,$B1715)&gt;1),"※入库单号重复","")))))))</f>
        <v/>
      </c>
    </row>
    <row r="1716">
      <c r="A1716" s="24">
        <f>IF($G1716="","",COUNTA($G$4:$G1716))</f>
        <v/>
      </c>
      <c r="B1716" s="17" t="n"/>
      <c r="C1716" s="30" t="n"/>
      <c r="D1716" s="17" t="n"/>
      <c r="E1716" s="17" t="n"/>
      <c r="F1716" s="17" t="n"/>
      <c r="G1716" s="17" t="n"/>
      <c r="H1716" s="24">
        <f>IF($G1716="","",IFERROR(VLOOKUP($G1716,物料档案!$A$4:$P$1203,3,0),"※编码不在物料档案里"))</f>
        <v/>
      </c>
      <c r="I1716" s="24">
        <f>IF($G1716="","",IFERROR(VLOOKUP($G1716,物料档案!$A$4:$P$1203,4,0),"※编码不在物料档案里"))</f>
        <v/>
      </c>
      <c r="J1716" s="24">
        <f>IF($G1716="","",IFERROR(VLOOKUP($G1716,物料档案!$A$4:$P$1203,5,0),"※编码不在物料档案里"))</f>
        <v/>
      </c>
      <c r="K1716" s="23" t="n"/>
      <c r="L1716" s="31" t="n"/>
      <c r="M1716" s="24">
        <f>IF($G1716="","",IF($D1716="A国内","CNY","TZS"))</f>
        <v/>
      </c>
      <c r="N1716" s="28">
        <f>IF($G1716="","",IF($D1716="A国内",汇率,1))</f>
        <v/>
      </c>
      <c r="O1716" s="25">
        <f>IF($G1716="","",ROUND(N($K1716)*N($L1716),2))</f>
        <v/>
      </c>
      <c r="P1716" s="26">
        <f>IF($G1716="","",ROUND($O1716*$N1716,0))</f>
        <v/>
      </c>
      <c r="Q1716" s="26">
        <f>IF($G1716="","",SUMIFS($P$4:$P$2503,$E$4:$E$2503,$E1716,$Z$4:$Z$2503,"正常"))</f>
        <v/>
      </c>
      <c r="R1716" s="26">
        <f>IF($G1716="","",SUMIFS(费用台账!$I$4:$I$503,费用台账!$C$4:$C$503,$E1716,费用台账!$J$4:$J$503,"是",费用台账!$K$4:$K$503,"正常"))</f>
        <v/>
      </c>
      <c r="S1716" s="28">
        <f>IF($G1716="","",COUNTIFS($E$4:$E$2503,$E1716,$Z$4:$Z$2503,"正常",$Y$4:$Y$2503,"待补价"))</f>
        <v/>
      </c>
      <c r="T1716" s="26">
        <f>IF($G1716="","",SUMIFS($P$4:$P$2503,$E$4:$E$2503,$E1716,$Z$4:$Z$2503,"正常",$A$4:$A$2503,"&lt;="&amp;$A1716))</f>
        <v/>
      </c>
      <c r="U1716" s="26">
        <f>IF($G1716="","",IF(OR($S1716&gt;0,$Q1716=0,$R1716=0,$Z1716&lt;&gt;"正常"),0,ROUND($T1716/$Q1716*$R1716,0)-ROUND(($T1716-$P1716)/$Q1716*$R1716,0)))</f>
        <v/>
      </c>
      <c r="V1716" s="26">
        <f>IF($G1716="","",ROUND($P1716+$U1716,0))</f>
        <v/>
      </c>
      <c r="W1716" s="26">
        <f>IF($G1716="","",IF(N($K1716)=0,0,ROUND($V1716/$K1716,2)))</f>
        <v/>
      </c>
      <c r="X1716" s="17" t="n"/>
      <c r="Y1716" s="17" t="n"/>
      <c r="Z1716" s="17" t="n"/>
      <c r="AA1716" s="17" t="n"/>
      <c r="AB1716" s="17" t="n"/>
      <c r="AC1716" s="24">
        <f>IF($G1716="","",IF($H1716="※编码不在物料档案里","※物料编码不在档案里",IF(N($K1716)&lt;=0,"※入库数量要大于 0",IF(AND($C1716&lt;&gt;"",$C1716&lt;=结账锁),"※日期早于已结账截止日，不能再录",IF(AND($L1716=0,$X1716="正常"),"※没填单价，价格状态请选「待补价」",IF(AND($S1716&gt;0,$R1716&gt;0),"△本批有 "&amp;$S1716&amp;" 行没单价，整批运费先挂账没摊",IF(AND($B1716&lt;&gt;"",COUNTIF($B$4:$B$2503,$B1716)&gt;1),"※入库单号重复","")))))))</f>
        <v/>
      </c>
    </row>
    <row r="1717">
      <c r="A1717" s="24">
        <f>IF($G1717="","",COUNTA($G$4:$G1717))</f>
        <v/>
      </c>
      <c r="B1717" s="17" t="n"/>
      <c r="C1717" s="30" t="n"/>
      <c r="D1717" s="17" t="n"/>
      <c r="E1717" s="17" t="n"/>
      <c r="F1717" s="17" t="n"/>
      <c r="G1717" s="17" t="n"/>
      <c r="H1717" s="24">
        <f>IF($G1717="","",IFERROR(VLOOKUP($G1717,物料档案!$A$4:$P$1203,3,0),"※编码不在物料档案里"))</f>
        <v/>
      </c>
      <c r="I1717" s="24">
        <f>IF($G1717="","",IFERROR(VLOOKUP($G1717,物料档案!$A$4:$P$1203,4,0),"※编码不在物料档案里"))</f>
        <v/>
      </c>
      <c r="J1717" s="24">
        <f>IF($G1717="","",IFERROR(VLOOKUP($G1717,物料档案!$A$4:$P$1203,5,0),"※编码不在物料档案里"))</f>
        <v/>
      </c>
      <c r="K1717" s="23" t="n"/>
      <c r="L1717" s="31" t="n"/>
      <c r="M1717" s="24">
        <f>IF($G1717="","",IF($D1717="A国内","CNY","TZS"))</f>
        <v/>
      </c>
      <c r="N1717" s="28">
        <f>IF($G1717="","",IF($D1717="A国内",汇率,1))</f>
        <v/>
      </c>
      <c r="O1717" s="25">
        <f>IF($G1717="","",ROUND(N($K1717)*N($L1717),2))</f>
        <v/>
      </c>
      <c r="P1717" s="26">
        <f>IF($G1717="","",ROUND($O1717*$N1717,0))</f>
        <v/>
      </c>
      <c r="Q1717" s="26">
        <f>IF($G1717="","",SUMIFS($P$4:$P$2503,$E$4:$E$2503,$E1717,$Z$4:$Z$2503,"正常"))</f>
        <v/>
      </c>
      <c r="R1717" s="26">
        <f>IF($G1717="","",SUMIFS(费用台账!$I$4:$I$503,费用台账!$C$4:$C$503,$E1717,费用台账!$J$4:$J$503,"是",费用台账!$K$4:$K$503,"正常"))</f>
        <v/>
      </c>
      <c r="S1717" s="28">
        <f>IF($G1717="","",COUNTIFS($E$4:$E$2503,$E1717,$Z$4:$Z$2503,"正常",$Y$4:$Y$2503,"待补价"))</f>
        <v/>
      </c>
      <c r="T1717" s="26">
        <f>IF($G1717="","",SUMIFS($P$4:$P$2503,$E$4:$E$2503,$E1717,$Z$4:$Z$2503,"正常",$A$4:$A$2503,"&lt;="&amp;$A1717))</f>
        <v/>
      </c>
      <c r="U1717" s="26">
        <f>IF($G1717="","",IF(OR($S1717&gt;0,$Q1717=0,$R1717=0,$Z1717&lt;&gt;"正常"),0,ROUND($T1717/$Q1717*$R1717,0)-ROUND(($T1717-$P1717)/$Q1717*$R1717,0)))</f>
        <v/>
      </c>
      <c r="V1717" s="26">
        <f>IF($G1717="","",ROUND($P1717+$U1717,0))</f>
        <v/>
      </c>
      <c r="W1717" s="26">
        <f>IF($G1717="","",IF(N($K1717)=0,0,ROUND($V1717/$K1717,2)))</f>
        <v/>
      </c>
      <c r="X1717" s="17" t="n"/>
      <c r="Y1717" s="17" t="n"/>
      <c r="Z1717" s="17" t="n"/>
      <c r="AA1717" s="17" t="n"/>
      <c r="AB1717" s="17" t="n"/>
      <c r="AC1717" s="24">
        <f>IF($G1717="","",IF($H1717="※编码不在物料档案里","※物料编码不在档案里",IF(N($K1717)&lt;=0,"※入库数量要大于 0",IF(AND($C1717&lt;&gt;"",$C1717&lt;=结账锁),"※日期早于已结账截止日，不能再录",IF(AND($L1717=0,$X1717="正常"),"※没填单价，价格状态请选「待补价」",IF(AND($S1717&gt;0,$R1717&gt;0),"△本批有 "&amp;$S1717&amp;" 行没单价，整批运费先挂账没摊",IF(AND($B1717&lt;&gt;"",COUNTIF($B$4:$B$2503,$B1717)&gt;1),"※入库单号重复","")))))))</f>
        <v/>
      </c>
    </row>
    <row r="1718">
      <c r="A1718" s="24">
        <f>IF($G1718="","",COUNTA($G$4:$G1718))</f>
        <v/>
      </c>
      <c r="B1718" s="17" t="n"/>
      <c r="C1718" s="30" t="n"/>
      <c r="D1718" s="17" t="n"/>
      <c r="E1718" s="17" t="n"/>
      <c r="F1718" s="17" t="n"/>
      <c r="G1718" s="17" t="n"/>
      <c r="H1718" s="24">
        <f>IF($G1718="","",IFERROR(VLOOKUP($G1718,物料档案!$A$4:$P$1203,3,0),"※编码不在物料档案里"))</f>
        <v/>
      </c>
      <c r="I1718" s="24">
        <f>IF($G1718="","",IFERROR(VLOOKUP($G1718,物料档案!$A$4:$P$1203,4,0),"※编码不在物料档案里"))</f>
        <v/>
      </c>
      <c r="J1718" s="24">
        <f>IF($G1718="","",IFERROR(VLOOKUP($G1718,物料档案!$A$4:$P$1203,5,0),"※编码不在物料档案里"))</f>
        <v/>
      </c>
      <c r="K1718" s="23" t="n"/>
      <c r="L1718" s="31" t="n"/>
      <c r="M1718" s="24">
        <f>IF($G1718="","",IF($D1718="A国内","CNY","TZS"))</f>
        <v/>
      </c>
      <c r="N1718" s="28">
        <f>IF($G1718="","",IF($D1718="A国内",汇率,1))</f>
        <v/>
      </c>
      <c r="O1718" s="25">
        <f>IF($G1718="","",ROUND(N($K1718)*N($L1718),2))</f>
        <v/>
      </c>
      <c r="P1718" s="26">
        <f>IF($G1718="","",ROUND($O1718*$N1718,0))</f>
        <v/>
      </c>
      <c r="Q1718" s="26">
        <f>IF($G1718="","",SUMIFS($P$4:$P$2503,$E$4:$E$2503,$E1718,$Z$4:$Z$2503,"正常"))</f>
        <v/>
      </c>
      <c r="R1718" s="26">
        <f>IF($G1718="","",SUMIFS(费用台账!$I$4:$I$503,费用台账!$C$4:$C$503,$E1718,费用台账!$J$4:$J$503,"是",费用台账!$K$4:$K$503,"正常"))</f>
        <v/>
      </c>
      <c r="S1718" s="28">
        <f>IF($G1718="","",COUNTIFS($E$4:$E$2503,$E1718,$Z$4:$Z$2503,"正常",$Y$4:$Y$2503,"待补价"))</f>
        <v/>
      </c>
      <c r="T1718" s="26">
        <f>IF($G1718="","",SUMIFS($P$4:$P$2503,$E$4:$E$2503,$E1718,$Z$4:$Z$2503,"正常",$A$4:$A$2503,"&lt;="&amp;$A1718))</f>
        <v/>
      </c>
      <c r="U1718" s="26">
        <f>IF($G1718="","",IF(OR($S1718&gt;0,$Q1718=0,$R1718=0,$Z1718&lt;&gt;"正常"),0,ROUND($T1718/$Q1718*$R1718,0)-ROUND(($T1718-$P1718)/$Q1718*$R1718,0)))</f>
        <v/>
      </c>
      <c r="V1718" s="26">
        <f>IF($G1718="","",ROUND($P1718+$U1718,0))</f>
        <v/>
      </c>
      <c r="W1718" s="26">
        <f>IF($G1718="","",IF(N($K1718)=0,0,ROUND($V1718/$K1718,2)))</f>
        <v/>
      </c>
      <c r="X1718" s="17" t="n"/>
      <c r="Y1718" s="17" t="n"/>
      <c r="Z1718" s="17" t="n"/>
      <c r="AA1718" s="17" t="n"/>
      <c r="AB1718" s="17" t="n"/>
      <c r="AC1718" s="24">
        <f>IF($G1718="","",IF($H1718="※编码不在物料档案里","※物料编码不在档案里",IF(N($K1718)&lt;=0,"※入库数量要大于 0",IF(AND($C1718&lt;&gt;"",$C1718&lt;=结账锁),"※日期早于已结账截止日，不能再录",IF(AND($L1718=0,$X1718="正常"),"※没填单价，价格状态请选「待补价」",IF(AND($S1718&gt;0,$R1718&gt;0),"△本批有 "&amp;$S1718&amp;" 行没单价，整批运费先挂账没摊",IF(AND($B1718&lt;&gt;"",COUNTIF($B$4:$B$2503,$B1718)&gt;1),"※入库单号重复","")))))))</f>
        <v/>
      </c>
    </row>
    <row r="1719">
      <c r="A1719" s="24">
        <f>IF($G1719="","",COUNTA($G$4:$G1719))</f>
        <v/>
      </c>
      <c r="B1719" s="17" t="n"/>
      <c r="C1719" s="30" t="n"/>
      <c r="D1719" s="17" t="n"/>
      <c r="E1719" s="17" t="n"/>
      <c r="F1719" s="17" t="n"/>
      <c r="G1719" s="17" t="n"/>
      <c r="H1719" s="24">
        <f>IF($G1719="","",IFERROR(VLOOKUP($G1719,物料档案!$A$4:$P$1203,3,0),"※编码不在物料档案里"))</f>
        <v/>
      </c>
      <c r="I1719" s="24">
        <f>IF($G1719="","",IFERROR(VLOOKUP($G1719,物料档案!$A$4:$P$1203,4,0),"※编码不在物料档案里"))</f>
        <v/>
      </c>
      <c r="J1719" s="24">
        <f>IF($G1719="","",IFERROR(VLOOKUP($G1719,物料档案!$A$4:$P$1203,5,0),"※编码不在物料档案里"))</f>
        <v/>
      </c>
      <c r="K1719" s="23" t="n"/>
      <c r="L1719" s="31" t="n"/>
      <c r="M1719" s="24">
        <f>IF($G1719="","",IF($D1719="A国内","CNY","TZS"))</f>
        <v/>
      </c>
      <c r="N1719" s="28">
        <f>IF($G1719="","",IF($D1719="A国内",汇率,1))</f>
        <v/>
      </c>
      <c r="O1719" s="25">
        <f>IF($G1719="","",ROUND(N($K1719)*N($L1719),2))</f>
        <v/>
      </c>
      <c r="P1719" s="26">
        <f>IF($G1719="","",ROUND($O1719*$N1719,0))</f>
        <v/>
      </c>
      <c r="Q1719" s="26">
        <f>IF($G1719="","",SUMIFS($P$4:$P$2503,$E$4:$E$2503,$E1719,$Z$4:$Z$2503,"正常"))</f>
        <v/>
      </c>
      <c r="R1719" s="26">
        <f>IF($G1719="","",SUMIFS(费用台账!$I$4:$I$503,费用台账!$C$4:$C$503,$E1719,费用台账!$J$4:$J$503,"是",费用台账!$K$4:$K$503,"正常"))</f>
        <v/>
      </c>
      <c r="S1719" s="28">
        <f>IF($G1719="","",COUNTIFS($E$4:$E$2503,$E1719,$Z$4:$Z$2503,"正常",$Y$4:$Y$2503,"待补价"))</f>
        <v/>
      </c>
      <c r="T1719" s="26">
        <f>IF($G1719="","",SUMIFS($P$4:$P$2503,$E$4:$E$2503,$E1719,$Z$4:$Z$2503,"正常",$A$4:$A$2503,"&lt;="&amp;$A1719))</f>
        <v/>
      </c>
      <c r="U1719" s="26">
        <f>IF($G1719="","",IF(OR($S1719&gt;0,$Q1719=0,$R1719=0,$Z1719&lt;&gt;"正常"),0,ROUND($T1719/$Q1719*$R1719,0)-ROUND(($T1719-$P1719)/$Q1719*$R1719,0)))</f>
        <v/>
      </c>
      <c r="V1719" s="26">
        <f>IF($G1719="","",ROUND($P1719+$U1719,0))</f>
        <v/>
      </c>
      <c r="W1719" s="26">
        <f>IF($G1719="","",IF(N($K1719)=0,0,ROUND($V1719/$K1719,2)))</f>
        <v/>
      </c>
      <c r="X1719" s="17" t="n"/>
      <c r="Y1719" s="17" t="n"/>
      <c r="Z1719" s="17" t="n"/>
      <c r="AA1719" s="17" t="n"/>
      <c r="AB1719" s="17" t="n"/>
      <c r="AC1719" s="24">
        <f>IF($G1719="","",IF($H1719="※编码不在物料档案里","※物料编码不在档案里",IF(N($K1719)&lt;=0,"※入库数量要大于 0",IF(AND($C1719&lt;&gt;"",$C1719&lt;=结账锁),"※日期早于已结账截止日，不能再录",IF(AND($L1719=0,$X1719="正常"),"※没填单价，价格状态请选「待补价」",IF(AND($S1719&gt;0,$R1719&gt;0),"△本批有 "&amp;$S1719&amp;" 行没单价，整批运费先挂账没摊",IF(AND($B1719&lt;&gt;"",COUNTIF($B$4:$B$2503,$B1719)&gt;1),"※入库单号重复","")))))))</f>
        <v/>
      </c>
    </row>
    <row r="1720">
      <c r="A1720" s="24">
        <f>IF($G1720="","",COUNTA($G$4:$G1720))</f>
        <v/>
      </c>
      <c r="B1720" s="17" t="n"/>
      <c r="C1720" s="30" t="n"/>
      <c r="D1720" s="17" t="n"/>
      <c r="E1720" s="17" t="n"/>
      <c r="F1720" s="17" t="n"/>
      <c r="G1720" s="17" t="n"/>
      <c r="H1720" s="24">
        <f>IF($G1720="","",IFERROR(VLOOKUP($G1720,物料档案!$A$4:$P$1203,3,0),"※编码不在物料档案里"))</f>
        <v/>
      </c>
      <c r="I1720" s="24">
        <f>IF($G1720="","",IFERROR(VLOOKUP($G1720,物料档案!$A$4:$P$1203,4,0),"※编码不在物料档案里"))</f>
        <v/>
      </c>
      <c r="J1720" s="24">
        <f>IF($G1720="","",IFERROR(VLOOKUP($G1720,物料档案!$A$4:$P$1203,5,0),"※编码不在物料档案里"))</f>
        <v/>
      </c>
      <c r="K1720" s="23" t="n"/>
      <c r="L1720" s="31" t="n"/>
      <c r="M1720" s="24">
        <f>IF($G1720="","",IF($D1720="A国内","CNY","TZS"))</f>
        <v/>
      </c>
      <c r="N1720" s="28">
        <f>IF($G1720="","",IF($D1720="A国内",汇率,1))</f>
        <v/>
      </c>
      <c r="O1720" s="25">
        <f>IF($G1720="","",ROUND(N($K1720)*N($L1720),2))</f>
        <v/>
      </c>
      <c r="P1720" s="26">
        <f>IF($G1720="","",ROUND($O1720*$N1720,0))</f>
        <v/>
      </c>
      <c r="Q1720" s="26">
        <f>IF($G1720="","",SUMIFS($P$4:$P$2503,$E$4:$E$2503,$E1720,$Z$4:$Z$2503,"正常"))</f>
        <v/>
      </c>
      <c r="R1720" s="26">
        <f>IF($G1720="","",SUMIFS(费用台账!$I$4:$I$503,费用台账!$C$4:$C$503,$E1720,费用台账!$J$4:$J$503,"是",费用台账!$K$4:$K$503,"正常"))</f>
        <v/>
      </c>
      <c r="S1720" s="28">
        <f>IF($G1720="","",COUNTIFS($E$4:$E$2503,$E1720,$Z$4:$Z$2503,"正常",$Y$4:$Y$2503,"待补价"))</f>
        <v/>
      </c>
      <c r="T1720" s="26">
        <f>IF($G1720="","",SUMIFS($P$4:$P$2503,$E$4:$E$2503,$E1720,$Z$4:$Z$2503,"正常",$A$4:$A$2503,"&lt;="&amp;$A1720))</f>
        <v/>
      </c>
      <c r="U1720" s="26">
        <f>IF($G1720="","",IF(OR($S1720&gt;0,$Q1720=0,$R1720=0,$Z1720&lt;&gt;"正常"),0,ROUND($T1720/$Q1720*$R1720,0)-ROUND(($T1720-$P1720)/$Q1720*$R1720,0)))</f>
        <v/>
      </c>
      <c r="V1720" s="26">
        <f>IF($G1720="","",ROUND($P1720+$U1720,0))</f>
        <v/>
      </c>
      <c r="W1720" s="26">
        <f>IF($G1720="","",IF(N($K1720)=0,0,ROUND($V1720/$K1720,2)))</f>
        <v/>
      </c>
      <c r="X1720" s="17" t="n"/>
      <c r="Y1720" s="17" t="n"/>
      <c r="Z1720" s="17" t="n"/>
      <c r="AA1720" s="17" t="n"/>
      <c r="AB1720" s="17" t="n"/>
      <c r="AC1720" s="24">
        <f>IF($G1720="","",IF($H1720="※编码不在物料档案里","※物料编码不在档案里",IF(N($K1720)&lt;=0,"※入库数量要大于 0",IF(AND($C1720&lt;&gt;"",$C1720&lt;=结账锁),"※日期早于已结账截止日，不能再录",IF(AND($L1720=0,$X1720="正常"),"※没填单价，价格状态请选「待补价」",IF(AND($S1720&gt;0,$R1720&gt;0),"△本批有 "&amp;$S1720&amp;" 行没单价，整批运费先挂账没摊",IF(AND($B1720&lt;&gt;"",COUNTIF($B$4:$B$2503,$B1720)&gt;1),"※入库单号重复","")))))))</f>
        <v/>
      </c>
    </row>
    <row r="1721">
      <c r="A1721" s="24">
        <f>IF($G1721="","",COUNTA($G$4:$G1721))</f>
        <v/>
      </c>
      <c r="B1721" s="17" t="n"/>
      <c r="C1721" s="30" t="n"/>
      <c r="D1721" s="17" t="n"/>
      <c r="E1721" s="17" t="n"/>
      <c r="F1721" s="17" t="n"/>
      <c r="G1721" s="17" t="n"/>
      <c r="H1721" s="24">
        <f>IF($G1721="","",IFERROR(VLOOKUP($G1721,物料档案!$A$4:$P$1203,3,0),"※编码不在物料档案里"))</f>
        <v/>
      </c>
      <c r="I1721" s="24">
        <f>IF($G1721="","",IFERROR(VLOOKUP($G1721,物料档案!$A$4:$P$1203,4,0),"※编码不在物料档案里"))</f>
        <v/>
      </c>
      <c r="J1721" s="24">
        <f>IF($G1721="","",IFERROR(VLOOKUP($G1721,物料档案!$A$4:$P$1203,5,0),"※编码不在物料档案里"))</f>
        <v/>
      </c>
      <c r="K1721" s="23" t="n"/>
      <c r="L1721" s="31" t="n"/>
      <c r="M1721" s="24">
        <f>IF($G1721="","",IF($D1721="A国内","CNY","TZS"))</f>
        <v/>
      </c>
      <c r="N1721" s="28">
        <f>IF($G1721="","",IF($D1721="A国内",汇率,1))</f>
        <v/>
      </c>
      <c r="O1721" s="25">
        <f>IF($G1721="","",ROUND(N($K1721)*N($L1721),2))</f>
        <v/>
      </c>
      <c r="P1721" s="26">
        <f>IF($G1721="","",ROUND($O1721*$N1721,0))</f>
        <v/>
      </c>
      <c r="Q1721" s="26">
        <f>IF($G1721="","",SUMIFS($P$4:$P$2503,$E$4:$E$2503,$E1721,$Z$4:$Z$2503,"正常"))</f>
        <v/>
      </c>
      <c r="R1721" s="26">
        <f>IF($G1721="","",SUMIFS(费用台账!$I$4:$I$503,费用台账!$C$4:$C$503,$E1721,费用台账!$J$4:$J$503,"是",费用台账!$K$4:$K$503,"正常"))</f>
        <v/>
      </c>
      <c r="S1721" s="28">
        <f>IF($G1721="","",COUNTIFS($E$4:$E$2503,$E1721,$Z$4:$Z$2503,"正常",$Y$4:$Y$2503,"待补价"))</f>
        <v/>
      </c>
      <c r="T1721" s="26">
        <f>IF($G1721="","",SUMIFS($P$4:$P$2503,$E$4:$E$2503,$E1721,$Z$4:$Z$2503,"正常",$A$4:$A$2503,"&lt;="&amp;$A1721))</f>
        <v/>
      </c>
      <c r="U1721" s="26">
        <f>IF($G1721="","",IF(OR($S1721&gt;0,$Q1721=0,$R1721=0,$Z1721&lt;&gt;"正常"),0,ROUND($T1721/$Q1721*$R1721,0)-ROUND(($T1721-$P1721)/$Q1721*$R1721,0)))</f>
        <v/>
      </c>
      <c r="V1721" s="26">
        <f>IF($G1721="","",ROUND($P1721+$U1721,0))</f>
        <v/>
      </c>
      <c r="W1721" s="26">
        <f>IF($G1721="","",IF(N($K1721)=0,0,ROUND($V1721/$K1721,2)))</f>
        <v/>
      </c>
      <c r="X1721" s="17" t="n"/>
      <c r="Y1721" s="17" t="n"/>
      <c r="Z1721" s="17" t="n"/>
      <c r="AA1721" s="17" t="n"/>
      <c r="AB1721" s="17" t="n"/>
      <c r="AC1721" s="24">
        <f>IF($G1721="","",IF($H1721="※编码不在物料档案里","※物料编码不在档案里",IF(N($K1721)&lt;=0,"※入库数量要大于 0",IF(AND($C1721&lt;&gt;"",$C1721&lt;=结账锁),"※日期早于已结账截止日，不能再录",IF(AND($L1721=0,$X1721="正常"),"※没填单价，价格状态请选「待补价」",IF(AND($S1721&gt;0,$R1721&gt;0),"△本批有 "&amp;$S1721&amp;" 行没单价，整批运费先挂账没摊",IF(AND($B1721&lt;&gt;"",COUNTIF($B$4:$B$2503,$B1721)&gt;1),"※入库单号重复","")))))))</f>
        <v/>
      </c>
    </row>
    <row r="1722">
      <c r="A1722" s="24">
        <f>IF($G1722="","",COUNTA($G$4:$G1722))</f>
        <v/>
      </c>
      <c r="B1722" s="17" t="n"/>
      <c r="C1722" s="30" t="n"/>
      <c r="D1722" s="17" t="n"/>
      <c r="E1722" s="17" t="n"/>
      <c r="F1722" s="17" t="n"/>
      <c r="G1722" s="17" t="n"/>
      <c r="H1722" s="24">
        <f>IF($G1722="","",IFERROR(VLOOKUP($G1722,物料档案!$A$4:$P$1203,3,0),"※编码不在物料档案里"))</f>
        <v/>
      </c>
      <c r="I1722" s="24">
        <f>IF($G1722="","",IFERROR(VLOOKUP($G1722,物料档案!$A$4:$P$1203,4,0),"※编码不在物料档案里"))</f>
        <v/>
      </c>
      <c r="J1722" s="24">
        <f>IF($G1722="","",IFERROR(VLOOKUP($G1722,物料档案!$A$4:$P$1203,5,0),"※编码不在物料档案里"))</f>
        <v/>
      </c>
      <c r="K1722" s="23" t="n"/>
      <c r="L1722" s="31" t="n"/>
      <c r="M1722" s="24">
        <f>IF($G1722="","",IF($D1722="A国内","CNY","TZS"))</f>
        <v/>
      </c>
      <c r="N1722" s="28">
        <f>IF($G1722="","",IF($D1722="A国内",汇率,1))</f>
        <v/>
      </c>
      <c r="O1722" s="25">
        <f>IF($G1722="","",ROUND(N($K1722)*N($L1722),2))</f>
        <v/>
      </c>
      <c r="P1722" s="26">
        <f>IF($G1722="","",ROUND($O1722*$N1722,0))</f>
        <v/>
      </c>
      <c r="Q1722" s="26">
        <f>IF($G1722="","",SUMIFS($P$4:$P$2503,$E$4:$E$2503,$E1722,$Z$4:$Z$2503,"正常"))</f>
        <v/>
      </c>
      <c r="R1722" s="26">
        <f>IF($G1722="","",SUMIFS(费用台账!$I$4:$I$503,费用台账!$C$4:$C$503,$E1722,费用台账!$J$4:$J$503,"是",费用台账!$K$4:$K$503,"正常"))</f>
        <v/>
      </c>
      <c r="S1722" s="28">
        <f>IF($G1722="","",COUNTIFS($E$4:$E$2503,$E1722,$Z$4:$Z$2503,"正常",$Y$4:$Y$2503,"待补价"))</f>
        <v/>
      </c>
      <c r="T1722" s="26">
        <f>IF($G1722="","",SUMIFS($P$4:$P$2503,$E$4:$E$2503,$E1722,$Z$4:$Z$2503,"正常",$A$4:$A$2503,"&lt;="&amp;$A1722))</f>
        <v/>
      </c>
      <c r="U1722" s="26">
        <f>IF($G1722="","",IF(OR($S1722&gt;0,$Q1722=0,$R1722=0,$Z1722&lt;&gt;"正常"),0,ROUND($T1722/$Q1722*$R1722,0)-ROUND(($T1722-$P1722)/$Q1722*$R1722,0)))</f>
        <v/>
      </c>
      <c r="V1722" s="26">
        <f>IF($G1722="","",ROUND($P1722+$U1722,0))</f>
        <v/>
      </c>
      <c r="W1722" s="26">
        <f>IF($G1722="","",IF(N($K1722)=0,0,ROUND($V1722/$K1722,2)))</f>
        <v/>
      </c>
      <c r="X1722" s="17" t="n"/>
      <c r="Y1722" s="17" t="n"/>
      <c r="Z1722" s="17" t="n"/>
      <c r="AA1722" s="17" t="n"/>
      <c r="AB1722" s="17" t="n"/>
      <c r="AC1722" s="24">
        <f>IF($G1722="","",IF($H1722="※编码不在物料档案里","※物料编码不在档案里",IF(N($K1722)&lt;=0,"※入库数量要大于 0",IF(AND($C1722&lt;&gt;"",$C1722&lt;=结账锁),"※日期早于已结账截止日，不能再录",IF(AND($L1722=0,$X1722="正常"),"※没填单价，价格状态请选「待补价」",IF(AND($S1722&gt;0,$R1722&gt;0),"△本批有 "&amp;$S1722&amp;" 行没单价，整批运费先挂账没摊",IF(AND($B1722&lt;&gt;"",COUNTIF($B$4:$B$2503,$B1722)&gt;1),"※入库单号重复","")))))))</f>
        <v/>
      </c>
    </row>
    <row r="1723">
      <c r="A1723" s="24">
        <f>IF($G1723="","",COUNTA($G$4:$G1723))</f>
        <v/>
      </c>
      <c r="B1723" s="17" t="n"/>
      <c r="C1723" s="30" t="n"/>
      <c r="D1723" s="17" t="n"/>
      <c r="E1723" s="17" t="n"/>
      <c r="F1723" s="17" t="n"/>
      <c r="G1723" s="17" t="n"/>
      <c r="H1723" s="24">
        <f>IF($G1723="","",IFERROR(VLOOKUP($G1723,物料档案!$A$4:$P$1203,3,0),"※编码不在物料档案里"))</f>
        <v/>
      </c>
      <c r="I1723" s="24">
        <f>IF($G1723="","",IFERROR(VLOOKUP($G1723,物料档案!$A$4:$P$1203,4,0),"※编码不在物料档案里"))</f>
        <v/>
      </c>
      <c r="J1723" s="24">
        <f>IF($G1723="","",IFERROR(VLOOKUP($G1723,物料档案!$A$4:$P$1203,5,0),"※编码不在物料档案里"))</f>
        <v/>
      </c>
      <c r="K1723" s="23" t="n"/>
      <c r="L1723" s="31" t="n"/>
      <c r="M1723" s="24">
        <f>IF($G1723="","",IF($D1723="A国内","CNY","TZS"))</f>
        <v/>
      </c>
      <c r="N1723" s="28">
        <f>IF($G1723="","",IF($D1723="A国内",汇率,1))</f>
        <v/>
      </c>
      <c r="O1723" s="25">
        <f>IF($G1723="","",ROUND(N($K1723)*N($L1723),2))</f>
        <v/>
      </c>
      <c r="P1723" s="26">
        <f>IF($G1723="","",ROUND($O1723*$N1723,0))</f>
        <v/>
      </c>
      <c r="Q1723" s="26">
        <f>IF($G1723="","",SUMIFS($P$4:$P$2503,$E$4:$E$2503,$E1723,$Z$4:$Z$2503,"正常"))</f>
        <v/>
      </c>
      <c r="R1723" s="26">
        <f>IF($G1723="","",SUMIFS(费用台账!$I$4:$I$503,费用台账!$C$4:$C$503,$E1723,费用台账!$J$4:$J$503,"是",费用台账!$K$4:$K$503,"正常"))</f>
        <v/>
      </c>
      <c r="S1723" s="28">
        <f>IF($G1723="","",COUNTIFS($E$4:$E$2503,$E1723,$Z$4:$Z$2503,"正常",$Y$4:$Y$2503,"待补价"))</f>
        <v/>
      </c>
      <c r="T1723" s="26">
        <f>IF($G1723="","",SUMIFS($P$4:$P$2503,$E$4:$E$2503,$E1723,$Z$4:$Z$2503,"正常",$A$4:$A$2503,"&lt;="&amp;$A1723))</f>
        <v/>
      </c>
      <c r="U1723" s="26">
        <f>IF($G1723="","",IF(OR($S1723&gt;0,$Q1723=0,$R1723=0,$Z1723&lt;&gt;"正常"),0,ROUND($T1723/$Q1723*$R1723,0)-ROUND(($T1723-$P1723)/$Q1723*$R1723,0)))</f>
        <v/>
      </c>
      <c r="V1723" s="26">
        <f>IF($G1723="","",ROUND($P1723+$U1723,0))</f>
        <v/>
      </c>
      <c r="W1723" s="26">
        <f>IF($G1723="","",IF(N($K1723)=0,0,ROUND($V1723/$K1723,2)))</f>
        <v/>
      </c>
      <c r="X1723" s="17" t="n"/>
      <c r="Y1723" s="17" t="n"/>
      <c r="Z1723" s="17" t="n"/>
      <c r="AA1723" s="17" t="n"/>
      <c r="AB1723" s="17" t="n"/>
      <c r="AC1723" s="24">
        <f>IF($G1723="","",IF($H1723="※编码不在物料档案里","※物料编码不在档案里",IF(N($K1723)&lt;=0,"※入库数量要大于 0",IF(AND($C1723&lt;&gt;"",$C1723&lt;=结账锁),"※日期早于已结账截止日，不能再录",IF(AND($L1723=0,$X1723="正常"),"※没填单价，价格状态请选「待补价」",IF(AND($S1723&gt;0,$R1723&gt;0),"△本批有 "&amp;$S1723&amp;" 行没单价，整批运费先挂账没摊",IF(AND($B1723&lt;&gt;"",COUNTIF($B$4:$B$2503,$B1723)&gt;1),"※入库单号重复","")))))))</f>
        <v/>
      </c>
    </row>
    <row r="1724">
      <c r="A1724" s="24">
        <f>IF($G1724="","",COUNTA($G$4:$G1724))</f>
        <v/>
      </c>
      <c r="B1724" s="17" t="n"/>
      <c r="C1724" s="30" t="n"/>
      <c r="D1724" s="17" t="n"/>
      <c r="E1724" s="17" t="n"/>
      <c r="F1724" s="17" t="n"/>
      <c r="G1724" s="17" t="n"/>
      <c r="H1724" s="24">
        <f>IF($G1724="","",IFERROR(VLOOKUP($G1724,物料档案!$A$4:$P$1203,3,0),"※编码不在物料档案里"))</f>
        <v/>
      </c>
      <c r="I1724" s="24">
        <f>IF($G1724="","",IFERROR(VLOOKUP($G1724,物料档案!$A$4:$P$1203,4,0),"※编码不在物料档案里"))</f>
        <v/>
      </c>
      <c r="J1724" s="24">
        <f>IF($G1724="","",IFERROR(VLOOKUP($G1724,物料档案!$A$4:$P$1203,5,0),"※编码不在物料档案里"))</f>
        <v/>
      </c>
      <c r="K1724" s="23" t="n"/>
      <c r="L1724" s="31" t="n"/>
      <c r="M1724" s="24">
        <f>IF($G1724="","",IF($D1724="A国内","CNY","TZS"))</f>
        <v/>
      </c>
      <c r="N1724" s="28">
        <f>IF($G1724="","",IF($D1724="A国内",汇率,1))</f>
        <v/>
      </c>
      <c r="O1724" s="25">
        <f>IF($G1724="","",ROUND(N($K1724)*N($L1724),2))</f>
        <v/>
      </c>
      <c r="P1724" s="26">
        <f>IF($G1724="","",ROUND($O1724*$N1724,0))</f>
        <v/>
      </c>
      <c r="Q1724" s="26">
        <f>IF($G1724="","",SUMIFS($P$4:$P$2503,$E$4:$E$2503,$E1724,$Z$4:$Z$2503,"正常"))</f>
        <v/>
      </c>
      <c r="R1724" s="26">
        <f>IF($G1724="","",SUMIFS(费用台账!$I$4:$I$503,费用台账!$C$4:$C$503,$E1724,费用台账!$J$4:$J$503,"是",费用台账!$K$4:$K$503,"正常"))</f>
        <v/>
      </c>
      <c r="S1724" s="28">
        <f>IF($G1724="","",COUNTIFS($E$4:$E$2503,$E1724,$Z$4:$Z$2503,"正常",$Y$4:$Y$2503,"待补价"))</f>
        <v/>
      </c>
      <c r="T1724" s="26">
        <f>IF($G1724="","",SUMIFS($P$4:$P$2503,$E$4:$E$2503,$E1724,$Z$4:$Z$2503,"正常",$A$4:$A$2503,"&lt;="&amp;$A1724))</f>
        <v/>
      </c>
      <c r="U1724" s="26">
        <f>IF($G1724="","",IF(OR($S1724&gt;0,$Q1724=0,$R1724=0,$Z1724&lt;&gt;"正常"),0,ROUND($T1724/$Q1724*$R1724,0)-ROUND(($T1724-$P1724)/$Q1724*$R1724,0)))</f>
        <v/>
      </c>
      <c r="V1724" s="26">
        <f>IF($G1724="","",ROUND($P1724+$U1724,0))</f>
        <v/>
      </c>
      <c r="W1724" s="26">
        <f>IF($G1724="","",IF(N($K1724)=0,0,ROUND($V1724/$K1724,2)))</f>
        <v/>
      </c>
      <c r="X1724" s="17" t="n"/>
      <c r="Y1724" s="17" t="n"/>
      <c r="Z1724" s="17" t="n"/>
      <c r="AA1724" s="17" t="n"/>
      <c r="AB1724" s="17" t="n"/>
      <c r="AC1724" s="24">
        <f>IF($G1724="","",IF($H1724="※编码不在物料档案里","※物料编码不在档案里",IF(N($K1724)&lt;=0,"※入库数量要大于 0",IF(AND($C1724&lt;&gt;"",$C1724&lt;=结账锁),"※日期早于已结账截止日，不能再录",IF(AND($L1724=0,$X1724="正常"),"※没填单价，价格状态请选「待补价」",IF(AND($S1724&gt;0,$R1724&gt;0),"△本批有 "&amp;$S1724&amp;" 行没单价，整批运费先挂账没摊",IF(AND($B1724&lt;&gt;"",COUNTIF($B$4:$B$2503,$B1724)&gt;1),"※入库单号重复","")))))))</f>
        <v/>
      </c>
    </row>
    <row r="1725">
      <c r="A1725" s="24">
        <f>IF($G1725="","",COUNTA($G$4:$G1725))</f>
        <v/>
      </c>
      <c r="B1725" s="17" t="n"/>
      <c r="C1725" s="30" t="n"/>
      <c r="D1725" s="17" t="n"/>
      <c r="E1725" s="17" t="n"/>
      <c r="F1725" s="17" t="n"/>
      <c r="G1725" s="17" t="n"/>
      <c r="H1725" s="24">
        <f>IF($G1725="","",IFERROR(VLOOKUP($G1725,物料档案!$A$4:$P$1203,3,0),"※编码不在物料档案里"))</f>
        <v/>
      </c>
      <c r="I1725" s="24">
        <f>IF($G1725="","",IFERROR(VLOOKUP($G1725,物料档案!$A$4:$P$1203,4,0),"※编码不在物料档案里"))</f>
        <v/>
      </c>
      <c r="J1725" s="24">
        <f>IF($G1725="","",IFERROR(VLOOKUP($G1725,物料档案!$A$4:$P$1203,5,0),"※编码不在物料档案里"))</f>
        <v/>
      </c>
      <c r="K1725" s="23" t="n"/>
      <c r="L1725" s="31" t="n"/>
      <c r="M1725" s="24">
        <f>IF($G1725="","",IF($D1725="A国内","CNY","TZS"))</f>
        <v/>
      </c>
      <c r="N1725" s="28">
        <f>IF($G1725="","",IF($D1725="A国内",汇率,1))</f>
        <v/>
      </c>
      <c r="O1725" s="25">
        <f>IF($G1725="","",ROUND(N($K1725)*N($L1725),2))</f>
        <v/>
      </c>
      <c r="P1725" s="26">
        <f>IF($G1725="","",ROUND($O1725*$N1725,0))</f>
        <v/>
      </c>
      <c r="Q1725" s="26">
        <f>IF($G1725="","",SUMIFS($P$4:$P$2503,$E$4:$E$2503,$E1725,$Z$4:$Z$2503,"正常"))</f>
        <v/>
      </c>
      <c r="R1725" s="26">
        <f>IF($G1725="","",SUMIFS(费用台账!$I$4:$I$503,费用台账!$C$4:$C$503,$E1725,费用台账!$J$4:$J$503,"是",费用台账!$K$4:$K$503,"正常"))</f>
        <v/>
      </c>
      <c r="S1725" s="28">
        <f>IF($G1725="","",COUNTIFS($E$4:$E$2503,$E1725,$Z$4:$Z$2503,"正常",$Y$4:$Y$2503,"待补价"))</f>
        <v/>
      </c>
      <c r="T1725" s="26">
        <f>IF($G1725="","",SUMIFS($P$4:$P$2503,$E$4:$E$2503,$E1725,$Z$4:$Z$2503,"正常",$A$4:$A$2503,"&lt;="&amp;$A1725))</f>
        <v/>
      </c>
      <c r="U1725" s="26">
        <f>IF($G1725="","",IF(OR($S1725&gt;0,$Q1725=0,$R1725=0,$Z1725&lt;&gt;"正常"),0,ROUND($T1725/$Q1725*$R1725,0)-ROUND(($T1725-$P1725)/$Q1725*$R1725,0)))</f>
        <v/>
      </c>
      <c r="V1725" s="26">
        <f>IF($G1725="","",ROUND($P1725+$U1725,0))</f>
        <v/>
      </c>
      <c r="W1725" s="26">
        <f>IF($G1725="","",IF(N($K1725)=0,0,ROUND($V1725/$K1725,2)))</f>
        <v/>
      </c>
      <c r="X1725" s="17" t="n"/>
      <c r="Y1725" s="17" t="n"/>
      <c r="Z1725" s="17" t="n"/>
      <c r="AA1725" s="17" t="n"/>
      <c r="AB1725" s="17" t="n"/>
      <c r="AC1725" s="24">
        <f>IF($G1725="","",IF($H1725="※编码不在物料档案里","※物料编码不在档案里",IF(N($K1725)&lt;=0,"※入库数量要大于 0",IF(AND($C1725&lt;&gt;"",$C1725&lt;=结账锁),"※日期早于已结账截止日，不能再录",IF(AND($L1725=0,$X1725="正常"),"※没填单价，价格状态请选「待补价」",IF(AND($S1725&gt;0,$R1725&gt;0),"△本批有 "&amp;$S1725&amp;" 行没单价，整批运费先挂账没摊",IF(AND($B1725&lt;&gt;"",COUNTIF($B$4:$B$2503,$B1725)&gt;1),"※入库单号重复","")))))))</f>
        <v/>
      </c>
    </row>
    <row r="1726">
      <c r="A1726" s="24">
        <f>IF($G1726="","",COUNTA($G$4:$G1726))</f>
        <v/>
      </c>
      <c r="B1726" s="17" t="n"/>
      <c r="C1726" s="30" t="n"/>
      <c r="D1726" s="17" t="n"/>
      <c r="E1726" s="17" t="n"/>
      <c r="F1726" s="17" t="n"/>
      <c r="G1726" s="17" t="n"/>
      <c r="H1726" s="24">
        <f>IF($G1726="","",IFERROR(VLOOKUP($G1726,物料档案!$A$4:$P$1203,3,0),"※编码不在物料档案里"))</f>
        <v/>
      </c>
      <c r="I1726" s="24">
        <f>IF($G1726="","",IFERROR(VLOOKUP($G1726,物料档案!$A$4:$P$1203,4,0),"※编码不在物料档案里"))</f>
        <v/>
      </c>
      <c r="J1726" s="24">
        <f>IF($G1726="","",IFERROR(VLOOKUP($G1726,物料档案!$A$4:$P$1203,5,0),"※编码不在物料档案里"))</f>
        <v/>
      </c>
      <c r="K1726" s="23" t="n"/>
      <c r="L1726" s="31" t="n"/>
      <c r="M1726" s="24">
        <f>IF($G1726="","",IF($D1726="A国内","CNY","TZS"))</f>
        <v/>
      </c>
      <c r="N1726" s="28">
        <f>IF($G1726="","",IF($D1726="A国内",汇率,1))</f>
        <v/>
      </c>
      <c r="O1726" s="25">
        <f>IF($G1726="","",ROUND(N($K1726)*N($L1726),2))</f>
        <v/>
      </c>
      <c r="P1726" s="26">
        <f>IF($G1726="","",ROUND($O1726*$N1726,0))</f>
        <v/>
      </c>
      <c r="Q1726" s="26">
        <f>IF($G1726="","",SUMIFS($P$4:$P$2503,$E$4:$E$2503,$E1726,$Z$4:$Z$2503,"正常"))</f>
        <v/>
      </c>
      <c r="R1726" s="26">
        <f>IF($G1726="","",SUMIFS(费用台账!$I$4:$I$503,费用台账!$C$4:$C$503,$E1726,费用台账!$J$4:$J$503,"是",费用台账!$K$4:$K$503,"正常"))</f>
        <v/>
      </c>
      <c r="S1726" s="28">
        <f>IF($G1726="","",COUNTIFS($E$4:$E$2503,$E1726,$Z$4:$Z$2503,"正常",$Y$4:$Y$2503,"待补价"))</f>
        <v/>
      </c>
      <c r="T1726" s="26">
        <f>IF($G1726="","",SUMIFS($P$4:$P$2503,$E$4:$E$2503,$E1726,$Z$4:$Z$2503,"正常",$A$4:$A$2503,"&lt;="&amp;$A1726))</f>
        <v/>
      </c>
      <c r="U1726" s="26">
        <f>IF($G1726="","",IF(OR($S1726&gt;0,$Q1726=0,$R1726=0,$Z1726&lt;&gt;"正常"),0,ROUND($T1726/$Q1726*$R1726,0)-ROUND(($T1726-$P1726)/$Q1726*$R1726,0)))</f>
        <v/>
      </c>
      <c r="V1726" s="26">
        <f>IF($G1726="","",ROUND($P1726+$U1726,0))</f>
        <v/>
      </c>
      <c r="W1726" s="26">
        <f>IF($G1726="","",IF(N($K1726)=0,0,ROUND($V1726/$K1726,2)))</f>
        <v/>
      </c>
      <c r="X1726" s="17" t="n"/>
      <c r="Y1726" s="17" t="n"/>
      <c r="Z1726" s="17" t="n"/>
      <c r="AA1726" s="17" t="n"/>
      <c r="AB1726" s="17" t="n"/>
      <c r="AC1726" s="24">
        <f>IF($G1726="","",IF($H1726="※编码不在物料档案里","※物料编码不在档案里",IF(N($K1726)&lt;=0,"※入库数量要大于 0",IF(AND($C1726&lt;&gt;"",$C1726&lt;=结账锁),"※日期早于已结账截止日，不能再录",IF(AND($L1726=0,$X1726="正常"),"※没填单价，价格状态请选「待补价」",IF(AND($S1726&gt;0,$R1726&gt;0),"△本批有 "&amp;$S1726&amp;" 行没单价，整批运费先挂账没摊",IF(AND($B1726&lt;&gt;"",COUNTIF($B$4:$B$2503,$B1726)&gt;1),"※入库单号重复","")))))))</f>
        <v/>
      </c>
    </row>
    <row r="1727">
      <c r="A1727" s="24">
        <f>IF($G1727="","",COUNTA($G$4:$G1727))</f>
        <v/>
      </c>
      <c r="B1727" s="17" t="n"/>
      <c r="C1727" s="30" t="n"/>
      <c r="D1727" s="17" t="n"/>
      <c r="E1727" s="17" t="n"/>
      <c r="F1727" s="17" t="n"/>
      <c r="G1727" s="17" t="n"/>
      <c r="H1727" s="24">
        <f>IF($G1727="","",IFERROR(VLOOKUP($G1727,物料档案!$A$4:$P$1203,3,0),"※编码不在物料档案里"))</f>
        <v/>
      </c>
      <c r="I1727" s="24">
        <f>IF($G1727="","",IFERROR(VLOOKUP($G1727,物料档案!$A$4:$P$1203,4,0),"※编码不在物料档案里"))</f>
        <v/>
      </c>
      <c r="J1727" s="24">
        <f>IF($G1727="","",IFERROR(VLOOKUP($G1727,物料档案!$A$4:$P$1203,5,0),"※编码不在物料档案里"))</f>
        <v/>
      </c>
      <c r="K1727" s="23" t="n"/>
      <c r="L1727" s="31" t="n"/>
      <c r="M1727" s="24">
        <f>IF($G1727="","",IF($D1727="A国内","CNY","TZS"))</f>
        <v/>
      </c>
      <c r="N1727" s="28">
        <f>IF($G1727="","",IF($D1727="A国内",汇率,1))</f>
        <v/>
      </c>
      <c r="O1727" s="25">
        <f>IF($G1727="","",ROUND(N($K1727)*N($L1727),2))</f>
        <v/>
      </c>
      <c r="P1727" s="26">
        <f>IF($G1727="","",ROUND($O1727*$N1727,0))</f>
        <v/>
      </c>
      <c r="Q1727" s="26">
        <f>IF($G1727="","",SUMIFS($P$4:$P$2503,$E$4:$E$2503,$E1727,$Z$4:$Z$2503,"正常"))</f>
        <v/>
      </c>
      <c r="R1727" s="26">
        <f>IF($G1727="","",SUMIFS(费用台账!$I$4:$I$503,费用台账!$C$4:$C$503,$E1727,费用台账!$J$4:$J$503,"是",费用台账!$K$4:$K$503,"正常"))</f>
        <v/>
      </c>
      <c r="S1727" s="28">
        <f>IF($G1727="","",COUNTIFS($E$4:$E$2503,$E1727,$Z$4:$Z$2503,"正常",$Y$4:$Y$2503,"待补价"))</f>
        <v/>
      </c>
      <c r="T1727" s="26">
        <f>IF($G1727="","",SUMIFS($P$4:$P$2503,$E$4:$E$2503,$E1727,$Z$4:$Z$2503,"正常",$A$4:$A$2503,"&lt;="&amp;$A1727))</f>
        <v/>
      </c>
      <c r="U1727" s="26">
        <f>IF($G1727="","",IF(OR($S1727&gt;0,$Q1727=0,$R1727=0,$Z1727&lt;&gt;"正常"),0,ROUND($T1727/$Q1727*$R1727,0)-ROUND(($T1727-$P1727)/$Q1727*$R1727,0)))</f>
        <v/>
      </c>
      <c r="V1727" s="26">
        <f>IF($G1727="","",ROUND($P1727+$U1727,0))</f>
        <v/>
      </c>
      <c r="W1727" s="26">
        <f>IF($G1727="","",IF(N($K1727)=0,0,ROUND($V1727/$K1727,2)))</f>
        <v/>
      </c>
      <c r="X1727" s="17" t="n"/>
      <c r="Y1727" s="17" t="n"/>
      <c r="Z1727" s="17" t="n"/>
      <c r="AA1727" s="17" t="n"/>
      <c r="AB1727" s="17" t="n"/>
      <c r="AC1727" s="24">
        <f>IF($G1727="","",IF($H1727="※编码不在物料档案里","※物料编码不在档案里",IF(N($K1727)&lt;=0,"※入库数量要大于 0",IF(AND($C1727&lt;&gt;"",$C1727&lt;=结账锁),"※日期早于已结账截止日，不能再录",IF(AND($L1727=0,$X1727="正常"),"※没填单价，价格状态请选「待补价」",IF(AND($S1727&gt;0,$R1727&gt;0),"△本批有 "&amp;$S1727&amp;" 行没单价，整批运费先挂账没摊",IF(AND($B1727&lt;&gt;"",COUNTIF($B$4:$B$2503,$B1727)&gt;1),"※入库单号重复","")))))))</f>
        <v/>
      </c>
    </row>
    <row r="1728">
      <c r="A1728" s="24">
        <f>IF($G1728="","",COUNTA($G$4:$G1728))</f>
        <v/>
      </c>
      <c r="B1728" s="17" t="n"/>
      <c r="C1728" s="30" t="n"/>
      <c r="D1728" s="17" t="n"/>
      <c r="E1728" s="17" t="n"/>
      <c r="F1728" s="17" t="n"/>
      <c r="G1728" s="17" t="n"/>
      <c r="H1728" s="24">
        <f>IF($G1728="","",IFERROR(VLOOKUP($G1728,物料档案!$A$4:$P$1203,3,0),"※编码不在物料档案里"))</f>
        <v/>
      </c>
      <c r="I1728" s="24">
        <f>IF($G1728="","",IFERROR(VLOOKUP($G1728,物料档案!$A$4:$P$1203,4,0),"※编码不在物料档案里"))</f>
        <v/>
      </c>
      <c r="J1728" s="24">
        <f>IF($G1728="","",IFERROR(VLOOKUP($G1728,物料档案!$A$4:$P$1203,5,0),"※编码不在物料档案里"))</f>
        <v/>
      </c>
      <c r="K1728" s="23" t="n"/>
      <c r="L1728" s="31" t="n"/>
      <c r="M1728" s="24">
        <f>IF($G1728="","",IF($D1728="A国内","CNY","TZS"))</f>
        <v/>
      </c>
      <c r="N1728" s="28">
        <f>IF($G1728="","",IF($D1728="A国内",汇率,1))</f>
        <v/>
      </c>
      <c r="O1728" s="25">
        <f>IF($G1728="","",ROUND(N($K1728)*N($L1728),2))</f>
        <v/>
      </c>
      <c r="P1728" s="26">
        <f>IF($G1728="","",ROUND($O1728*$N1728,0))</f>
        <v/>
      </c>
      <c r="Q1728" s="26">
        <f>IF($G1728="","",SUMIFS($P$4:$P$2503,$E$4:$E$2503,$E1728,$Z$4:$Z$2503,"正常"))</f>
        <v/>
      </c>
      <c r="R1728" s="26">
        <f>IF($G1728="","",SUMIFS(费用台账!$I$4:$I$503,费用台账!$C$4:$C$503,$E1728,费用台账!$J$4:$J$503,"是",费用台账!$K$4:$K$503,"正常"))</f>
        <v/>
      </c>
      <c r="S1728" s="28">
        <f>IF($G1728="","",COUNTIFS($E$4:$E$2503,$E1728,$Z$4:$Z$2503,"正常",$Y$4:$Y$2503,"待补价"))</f>
        <v/>
      </c>
      <c r="T1728" s="26">
        <f>IF($G1728="","",SUMIFS($P$4:$P$2503,$E$4:$E$2503,$E1728,$Z$4:$Z$2503,"正常",$A$4:$A$2503,"&lt;="&amp;$A1728))</f>
        <v/>
      </c>
      <c r="U1728" s="26">
        <f>IF($G1728="","",IF(OR($S1728&gt;0,$Q1728=0,$R1728=0,$Z1728&lt;&gt;"正常"),0,ROUND($T1728/$Q1728*$R1728,0)-ROUND(($T1728-$P1728)/$Q1728*$R1728,0)))</f>
        <v/>
      </c>
      <c r="V1728" s="26">
        <f>IF($G1728="","",ROUND($P1728+$U1728,0))</f>
        <v/>
      </c>
      <c r="W1728" s="26">
        <f>IF($G1728="","",IF(N($K1728)=0,0,ROUND($V1728/$K1728,2)))</f>
        <v/>
      </c>
      <c r="X1728" s="17" t="n"/>
      <c r="Y1728" s="17" t="n"/>
      <c r="Z1728" s="17" t="n"/>
      <c r="AA1728" s="17" t="n"/>
      <c r="AB1728" s="17" t="n"/>
      <c r="AC1728" s="24">
        <f>IF($G1728="","",IF($H1728="※编码不在物料档案里","※物料编码不在档案里",IF(N($K1728)&lt;=0,"※入库数量要大于 0",IF(AND($C1728&lt;&gt;"",$C1728&lt;=结账锁),"※日期早于已结账截止日，不能再录",IF(AND($L1728=0,$X1728="正常"),"※没填单价，价格状态请选「待补价」",IF(AND($S1728&gt;0,$R1728&gt;0),"△本批有 "&amp;$S1728&amp;" 行没单价，整批运费先挂账没摊",IF(AND($B1728&lt;&gt;"",COUNTIF($B$4:$B$2503,$B1728)&gt;1),"※入库单号重复","")))))))</f>
        <v/>
      </c>
    </row>
    <row r="1729">
      <c r="A1729" s="24">
        <f>IF($G1729="","",COUNTA($G$4:$G1729))</f>
        <v/>
      </c>
      <c r="B1729" s="17" t="n"/>
      <c r="C1729" s="30" t="n"/>
      <c r="D1729" s="17" t="n"/>
      <c r="E1729" s="17" t="n"/>
      <c r="F1729" s="17" t="n"/>
      <c r="G1729" s="17" t="n"/>
      <c r="H1729" s="24">
        <f>IF($G1729="","",IFERROR(VLOOKUP($G1729,物料档案!$A$4:$P$1203,3,0),"※编码不在物料档案里"))</f>
        <v/>
      </c>
      <c r="I1729" s="24">
        <f>IF($G1729="","",IFERROR(VLOOKUP($G1729,物料档案!$A$4:$P$1203,4,0),"※编码不在物料档案里"))</f>
        <v/>
      </c>
      <c r="J1729" s="24">
        <f>IF($G1729="","",IFERROR(VLOOKUP($G1729,物料档案!$A$4:$P$1203,5,0),"※编码不在物料档案里"))</f>
        <v/>
      </c>
      <c r="K1729" s="23" t="n"/>
      <c r="L1729" s="31" t="n"/>
      <c r="M1729" s="24">
        <f>IF($G1729="","",IF($D1729="A国内","CNY","TZS"))</f>
        <v/>
      </c>
      <c r="N1729" s="28">
        <f>IF($G1729="","",IF($D1729="A国内",汇率,1))</f>
        <v/>
      </c>
      <c r="O1729" s="25">
        <f>IF($G1729="","",ROUND(N($K1729)*N($L1729),2))</f>
        <v/>
      </c>
      <c r="P1729" s="26">
        <f>IF($G1729="","",ROUND($O1729*$N1729,0))</f>
        <v/>
      </c>
      <c r="Q1729" s="26">
        <f>IF($G1729="","",SUMIFS($P$4:$P$2503,$E$4:$E$2503,$E1729,$Z$4:$Z$2503,"正常"))</f>
        <v/>
      </c>
      <c r="R1729" s="26">
        <f>IF($G1729="","",SUMIFS(费用台账!$I$4:$I$503,费用台账!$C$4:$C$503,$E1729,费用台账!$J$4:$J$503,"是",费用台账!$K$4:$K$503,"正常"))</f>
        <v/>
      </c>
      <c r="S1729" s="28">
        <f>IF($G1729="","",COUNTIFS($E$4:$E$2503,$E1729,$Z$4:$Z$2503,"正常",$Y$4:$Y$2503,"待补价"))</f>
        <v/>
      </c>
      <c r="T1729" s="26">
        <f>IF($G1729="","",SUMIFS($P$4:$P$2503,$E$4:$E$2503,$E1729,$Z$4:$Z$2503,"正常",$A$4:$A$2503,"&lt;="&amp;$A1729))</f>
        <v/>
      </c>
      <c r="U1729" s="26">
        <f>IF($G1729="","",IF(OR($S1729&gt;0,$Q1729=0,$R1729=0,$Z1729&lt;&gt;"正常"),0,ROUND($T1729/$Q1729*$R1729,0)-ROUND(($T1729-$P1729)/$Q1729*$R1729,0)))</f>
        <v/>
      </c>
      <c r="V1729" s="26">
        <f>IF($G1729="","",ROUND($P1729+$U1729,0))</f>
        <v/>
      </c>
      <c r="W1729" s="26">
        <f>IF($G1729="","",IF(N($K1729)=0,0,ROUND($V1729/$K1729,2)))</f>
        <v/>
      </c>
      <c r="X1729" s="17" t="n"/>
      <c r="Y1729" s="17" t="n"/>
      <c r="Z1729" s="17" t="n"/>
      <c r="AA1729" s="17" t="n"/>
      <c r="AB1729" s="17" t="n"/>
      <c r="AC1729" s="24">
        <f>IF($G1729="","",IF($H1729="※编码不在物料档案里","※物料编码不在档案里",IF(N($K1729)&lt;=0,"※入库数量要大于 0",IF(AND($C1729&lt;&gt;"",$C1729&lt;=结账锁),"※日期早于已结账截止日，不能再录",IF(AND($L1729=0,$X1729="正常"),"※没填单价，价格状态请选「待补价」",IF(AND($S1729&gt;0,$R1729&gt;0),"△本批有 "&amp;$S1729&amp;" 行没单价，整批运费先挂账没摊",IF(AND($B1729&lt;&gt;"",COUNTIF($B$4:$B$2503,$B1729)&gt;1),"※入库单号重复","")))))))</f>
        <v/>
      </c>
    </row>
    <row r="1730">
      <c r="A1730" s="24">
        <f>IF($G1730="","",COUNTA($G$4:$G1730))</f>
        <v/>
      </c>
      <c r="B1730" s="17" t="n"/>
      <c r="C1730" s="30" t="n"/>
      <c r="D1730" s="17" t="n"/>
      <c r="E1730" s="17" t="n"/>
      <c r="F1730" s="17" t="n"/>
      <c r="G1730" s="17" t="n"/>
      <c r="H1730" s="24">
        <f>IF($G1730="","",IFERROR(VLOOKUP($G1730,物料档案!$A$4:$P$1203,3,0),"※编码不在物料档案里"))</f>
        <v/>
      </c>
      <c r="I1730" s="24">
        <f>IF($G1730="","",IFERROR(VLOOKUP($G1730,物料档案!$A$4:$P$1203,4,0),"※编码不在物料档案里"))</f>
        <v/>
      </c>
      <c r="J1730" s="24">
        <f>IF($G1730="","",IFERROR(VLOOKUP($G1730,物料档案!$A$4:$P$1203,5,0),"※编码不在物料档案里"))</f>
        <v/>
      </c>
      <c r="K1730" s="23" t="n"/>
      <c r="L1730" s="31" t="n"/>
      <c r="M1730" s="24">
        <f>IF($G1730="","",IF($D1730="A国内","CNY","TZS"))</f>
        <v/>
      </c>
      <c r="N1730" s="28">
        <f>IF($G1730="","",IF($D1730="A国内",汇率,1))</f>
        <v/>
      </c>
      <c r="O1730" s="25">
        <f>IF($G1730="","",ROUND(N($K1730)*N($L1730),2))</f>
        <v/>
      </c>
      <c r="P1730" s="26">
        <f>IF($G1730="","",ROUND($O1730*$N1730,0))</f>
        <v/>
      </c>
      <c r="Q1730" s="26">
        <f>IF($G1730="","",SUMIFS($P$4:$P$2503,$E$4:$E$2503,$E1730,$Z$4:$Z$2503,"正常"))</f>
        <v/>
      </c>
      <c r="R1730" s="26">
        <f>IF($G1730="","",SUMIFS(费用台账!$I$4:$I$503,费用台账!$C$4:$C$503,$E1730,费用台账!$J$4:$J$503,"是",费用台账!$K$4:$K$503,"正常"))</f>
        <v/>
      </c>
      <c r="S1730" s="28">
        <f>IF($G1730="","",COUNTIFS($E$4:$E$2503,$E1730,$Z$4:$Z$2503,"正常",$Y$4:$Y$2503,"待补价"))</f>
        <v/>
      </c>
      <c r="T1730" s="26">
        <f>IF($G1730="","",SUMIFS($P$4:$P$2503,$E$4:$E$2503,$E1730,$Z$4:$Z$2503,"正常",$A$4:$A$2503,"&lt;="&amp;$A1730))</f>
        <v/>
      </c>
      <c r="U1730" s="26">
        <f>IF($G1730="","",IF(OR($S1730&gt;0,$Q1730=0,$R1730=0,$Z1730&lt;&gt;"正常"),0,ROUND($T1730/$Q1730*$R1730,0)-ROUND(($T1730-$P1730)/$Q1730*$R1730,0)))</f>
        <v/>
      </c>
      <c r="V1730" s="26">
        <f>IF($G1730="","",ROUND($P1730+$U1730,0))</f>
        <v/>
      </c>
      <c r="W1730" s="26">
        <f>IF($G1730="","",IF(N($K1730)=0,0,ROUND($V1730/$K1730,2)))</f>
        <v/>
      </c>
      <c r="X1730" s="17" t="n"/>
      <c r="Y1730" s="17" t="n"/>
      <c r="Z1730" s="17" t="n"/>
      <c r="AA1730" s="17" t="n"/>
      <c r="AB1730" s="17" t="n"/>
      <c r="AC1730" s="24">
        <f>IF($G1730="","",IF($H1730="※编码不在物料档案里","※物料编码不在档案里",IF(N($K1730)&lt;=0,"※入库数量要大于 0",IF(AND($C1730&lt;&gt;"",$C1730&lt;=结账锁),"※日期早于已结账截止日，不能再录",IF(AND($L1730=0,$X1730="正常"),"※没填单价，价格状态请选「待补价」",IF(AND($S1730&gt;0,$R1730&gt;0),"△本批有 "&amp;$S1730&amp;" 行没单价，整批运费先挂账没摊",IF(AND($B1730&lt;&gt;"",COUNTIF($B$4:$B$2503,$B1730)&gt;1),"※入库单号重复","")))))))</f>
        <v/>
      </c>
    </row>
    <row r="1731">
      <c r="A1731" s="24">
        <f>IF($G1731="","",COUNTA($G$4:$G1731))</f>
        <v/>
      </c>
      <c r="B1731" s="17" t="n"/>
      <c r="C1731" s="30" t="n"/>
      <c r="D1731" s="17" t="n"/>
      <c r="E1731" s="17" t="n"/>
      <c r="F1731" s="17" t="n"/>
      <c r="G1731" s="17" t="n"/>
      <c r="H1731" s="24">
        <f>IF($G1731="","",IFERROR(VLOOKUP($G1731,物料档案!$A$4:$P$1203,3,0),"※编码不在物料档案里"))</f>
        <v/>
      </c>
      <c r="I1731" s="24">
        <f>IF($G1731="","",IFERROR(VLOOKUP($G1731,物料档案!$A$4:$P$1203,4,0),"※编码不在物料档案里"))</f>
        <v/>
      </c>
      <c r="J1731" s="24">
        <f>IF($G1731="","",IFERROR(VLOOKUP($G1731,物料档案!$A$4:$P$1203,5,0),"※编码不在物料档案里"))</f>
        <v/>
      </c>
      <c r="K1731" s="23" t="n"/>
      <c r="L1731" s="31" t="n"/>
      <c r="M1731" s="24">
        <f>IF($G1731="","",IF($D1731="A国内","CNY","TZS"))</f>
        <v/>
      </c>
      <c r="N1731" s="28">
        <f>IF($G1731="","",IF($D1731="A国内",汇率,1))</f>
        <v/>
      </c>
      <c r="O1731" s="25">
        <f>IF($G1731="","",ROUND(N($K1731)*N($L1731),2))</f>
        <v/>
      </c>
      <c r="P1731" s="26">
        <f>IF($G1731="","",ROUND($O1731*$N1731,0))</f>
        <v/>
      </c>
      <c r="Q1731" s="26">
        <f>IF($G1731="","",SUMIFS($P$4:$P$2503,$E$4:$E$2503,$E1731,$Z$4:$Z$2503,"正常"))</f>
        <v/>
      </c>
      <c r="R1731" s="26">
        <f>IF($G1731="","",SUMIFS(费用台账!$I$4:$I$503,费用台账!$C$4:$C$503,$E1731,费用台账!$J$4:$J$503,"是",费用台账!$K$4:$K$503,"正常"))</f>
        <v/>
      </c>
      <c r="S1731" s="28">
        <f>IF($G1731="","",COUNTIFS($E$4:$E$2503,$E1731,$Z$4:$Z$2503,"正常",$Y$4:$Y$2503,"待补价"))</f>
        <v/>
      </c>
      <c r="T1731" s="26">
        <f>IF($G1731="","",SUMIFS($P$4:$P$2503,$E$4:$E$2503,$E1731,$Z$4:$Z$2503,"正常",$A$4:$A$2503,"&lt;="&amp;$A1731))</f>
        <v/>
      </c>
      <c r="U1731" s="26">
        <f>IF($G1731="","",IF(OR($S1731&gt;0,$Q1731=0,$R1731=0,$Z1731&lt;&gt;"正常"),0,ROUND($T1731/$Q1731*$R1731,0)-ROUND(($T1731-$P1731)/$Q1731*$R1731,0)))</f>
        <v/>
      </c>
      <c r="V1731" s="26">
        <f>IF($G1731="","",ROUND($P1731+$U1731,0))</f>
        <v/>
      </c>
      <c r="W1731" s="26">
        <f>IF($G1731="","",IF(N($K1731)=0,0,ROUND($V1731/$K1731,2)))</f>
        <v/>
      </c>
      <c r="X1731" s="17" t="n"/>
      <c r="Y1731" s="17" t="n"/>
      <c r="Z1731" s="17" t="n"/>
      <c r="AA1731" s="17" t="n"/>
      <c r="AB1731" s="17" t="n"/>
      <c r="AC1731" s="24">
        <f>IF($G1731="","",IF($H1731="※编码不在物料档案里","※物料编码不在档案里",IF(N($K1731)&lt;=0,"※入库数量要大于 0",IF(AND($C1731&lt;&gt;"",$C1731&lt;=结账锁),"※日期早于已结账截止日，不能再录",IF(AND($L1731=0,$X1731="正常"),"※没填单价，价格状态请选「待补价」",IF(AND($S1731&gt;0,$R1731&gt;0),"△本批有 "&amp;$S1731&amp;" 行没单价，整批运费先挂账没摊",IF(AND($B1731&lt;&gt;"",COUNTIF($B$4:$B$2503,$B1731)&gt;1),"※入库单号重复","")))))))</f>
        <v/>
      </c>
    </row>
    <row r="1732">
      <c r="A1732" s="24">
        <f>IF($G1732="","",COUNTA($G$4:$G1732))</f>
        <v/>
      </c>
      <c r="B1732" s="17" t="n"/>
      <c r="C1732" s="30" t="n"/>
      <c r="D1732" s="17" t="n"/>
      <c r="E1732" s="17" t="n"/>
      <c r="F1732" s="17" t="n"/>
      <c r="G1732" s="17" t="n"/>
      <c r="H1732" s="24">
        <f>IF($G1732="","",IFERROR(VLOOKUP($G1732,物料档案!$A$4:$P$1203,3,0),"※编码不在物料档案里"))</f>
        <v/>
      </c>
      <c r="I1732" s="24">
        <f>IF($G1732="","",IFERROR(VLOOKUP($G1732,物料档案!$A$4:$P$1203,4,0),"※编码不在物料档案里"))</f>
        <v/>
      </c>
      <c r="J1732" s="24">
        <f>IF($G1732="","",IFERROR(VLOOKUP($G1732,物料档案!$A$4:$P$1203,5,0),"※编码不在物料档案里"))</f>
        <v/>
      </c>
      <c r="K1732" s="23" t="n"/>
      <c r="L1732" s="31" t="n"/>
      <c r="M1732" s="24">
        <f>IF($G1732="","",IF($D1732="A国内","CNY","TZS"))</f>
        <v/>
      </c>
      <c r="N1732" s="28">
        <f>IF($G1732="","",IF($D1732="A国内",汇率,1))</f>
        <v/>
      </c>
      <c r="O1732" s="25">
        <f>IF($G1732="","",ROUND(N($K1732)*N($L1732),2))</f>
        <v/>
      </c>
      <c r="P1732" s="26">
        <f>IF($G1732="","",ROUND($O1732*$N1732,0))</f>
        <v/>
      </c>
      <c r="Q1732" s="26">
        <f>IF($G1732="","",SUMIFS($P$4:$P$2503,$E$4:$E$2503,$E1732,$Z$4:$Z$2503,"正常"))</f>
        <v/>
      </c>
      <c r="R1732" s="26">
        <f>IF($G1732="","",SUMIFS(费用台账!$I$4:$I$503,费用台账!$C$4:$C$503,$E1732,费用台账!$J$4:$J$503,"是",费用台账!$K$4:$K$503,"正常"))</f>
        <v/>
      </c>
      <c r="S1732" s="28">
        <f>IF($G1732="","",COUNTIFS($E$4:$E$2503,$E1732,$Z$4:$Z$2503,"正常",$Y$4:$Y$2503,"待补价"))</f>
        <v/>
      </c>
      <c r="T1732" s="26">
        <f>IF($G1732="","",SUMIFS($P$4:$P$2503,$E$4:$E$2503,$E1732,$Z$4:$Z$2503,"正常",$A$4:$A$2503,"&lt;="&amp;$A1732))</f>
        <v/>
      </c>
      <c r="U1732" s="26">
        <f>IF($G1732="","",IF(OR($S1732&gt;0,$Q1732=0,$R1732=0,$Z1732&lt;&gt;"正常"),0,ROUND($T1732/$Q1732*$R1732,0)-ROUND(($T1732-$P1732)/$Q1732*$R1732,0)))</f>
        <v/>
      </c>
      <c r="V1732" s="26">
        <f>IF($G1732="","",ROUND($P1732+$U1732,0))</f>
        <v/>
      </c>
      <c r="W1732" s="26">
        <f>IF($G1732="","",IF(N($K1732)=0,0,ROUND($V1732/$K1732,2)))</f>
        <v/>
      </c>
      <c r="X1732" s="17" t="n"/>
      <c r="Y1732" s="17" t="n"/>
      <c r="Z1732" s="17" t="n"/>
      <c r="AA1732" s="17" t="n"/>
      <c r="AB1732" s="17" t="n"/>
      <c r="AC1732" s="24">
        <f>IF($G1732="","",IF($H1732="※编码不在物料档案里","※物料编码不在档案里",IF(N($K1732)&lt;=0,"※入库数量要大于 0",IF(AND($C1732&lt;&gt;"",$C1732&lt;=结账锁),"※日期早于已结账截止日，不能再录",IF(AND($L1732=0,$X1732="正常"),"※没填单价，价格状态请选「待补价」",IF(AND($S1732&gt;0,$R1732&gt;0),"△本批有 "&amp;$S1732&amp;" 行没单价，整批运费先挂账没摊",IF(AND($B1732&lt;&gt;"",COUNTIF($B$4:$B$2503,$B1732)&gt;1),"※入库单号重复","")))))))</f>
        <v/>
      </c>
    </row>
    <row r="1733">
      <c r="A1733" s="24">
        <f>IF($G1733="","",COUNTA($G$4:$G1733))</f>
        <v/>
      </c>
      <c r="B1733" s="17" t="n"/>
      <c r="C1733" s="30" t="n"/>
      <c r="D1733" s="17" t="n"/>
      <c r="E1733" s="17" t="n"/>
      <c r="F1733" s="17" t="n"/>
      <c r="G1733" s="17" t="n"/>
      <c r="H1733" s="24">
        <f>IF($G1733="","",IFERROR(VLOOKUP($G1733,物料档案!$A$4:$P$1203,3,0),"※编码不在物料档案里"))</f>
        <v/>
      </c>
      <c r="I1733" s="24">
        <f>IF($G1733="","",IFERROR(VLOOKUP($G1733,物料档案!$A$4:$P$1203,4,0),"※编码不在物料档案里"))</f>
        <v/>
      </c>
      <c r="J1733" s="24">
        <f>IF($G1733="","",IFERROR(VLOOKUP($G1733,物料档案!$A$4:$P$1203,5,0),"※编码不在物料档案里"))</f>
        <v/>
      </c>
      <c r="K1733" s="23" t="n"/>
      <c r="L1733" s="31" t="n"/>
      <c r="M1733" s="24">
        <f>IF($G1733="","",IF($D1733="A国内","CNY","TZS"))</f>
        <v/>
      </c>
      <c r="N1733" s="28">
        <f>IF($G1733="","",IF($D1733="A国内",汇率,1))</f>
        <v/>
      </c>
      <c r="O1733" s="25">
        <f>IF($G1733="","",ROUND(N($K1733)*N($L1733),2))</f>
        <v/>
      </c>
      <c r="P1733" s="26">
        <f>IF($G1733="","",ROUND($O1733*$N1733,0))</f>
        <v/>
      </c>
      <c r="Q1733" s="26">
        <f>IF($G1733="","",SUMIFS($P$4:$P$2503,$E$4:$E$2503,$E1733,$Z$4:$Z$2503,"正常"))</f>
        <v/>
      </c>
      <c r="R1733" s="26">
        <f>IF($G1733="","",SUMIFS(费用台账!$I$4:$I$503,费用台账!$C$4:$C$503,$E1733,费用台账!$J$4:$J$503,"是",费用台账!$K$4:$K$503,"正常"))</f>
        <v/>
      </c>
      <c r="S1733" s="28">
        <f>IF($G1733="","",COUNTIFS($E$4:$E$2503,$E1733,$Z$4:$Z$2503,"正常",$Y$4:$Y$2503,"待补价"))</f>
        <v/>
      </c>
      <c r="T1733" s="26">
        <f>IF($G1733="","",SUMIFS($P$4:$P$2503,$E$4:$E$2503,$E1733,$Z$4:$Z$2503,"正常",$A$4:$A$2503,"&lt;="&amp;$A1733))</f>
        <v/>
      </c>
      <c r="U1733" s="26">
        <f>IF($G1733="","",IF(OR($S1733&gt;0,$Q1733=0,$R1733=0,$Z1733&lt;&gt;"正常"),0,ROUND($T1733/$Q1733*$R1733,0)-ROUND(($T1733-$P1733)/$Q1733*$R1733,0)))</f>
        <v/>
      </c>
      <c r="V1733" s="26">
        <f>IF($G1733="","",ROUND($P1733+$U1733,0))</f>
        <v/>
      </c>
      <c r="W1733" s="26">
        <f>IF($G1733="","",IF(N($K1733)=0,0,ROUND($V1733/$K1733,2)))</f>
        <v/>
      </c>
      <c r="X1733" s="17" t="n"/>
      <c r="Y1733" s="17" t="n"/>
      <c r="Z1733" s="17" t="n"/>
      <c r="AA1733" s="17" t="n"/>
      <c r="AB1733" s="17" t="n"/>
      <c r="AC1733" s="24">
        <f>IF($G1733="","",IF($H1733="※编码不在物料档案里","※物料编码不在档案里",IF(N($K1733)&lt;=0,"※入库数量要大于 0",IF(AND($C1733&lt;&gt;"",$C1733&lt;=结账锁),"※日期早于已结账截止日，不能再录",IF(AND($L1733=0,$X1733="正常"),"※没填单价，价格状态请选「待补价」",IF(AND($S1733&gt;0,$R1733&gt;0),"△本批有 "&amp;$S1733&amp;" 行没单价，整批运费先挂账没摊",IF(AND($B1733&lt;&gt;"",COUNTIF($B$4:$B$2503,$B1733)&gt;1),"※入库单号重复","")))))))</f>
        <v/>
      </c>
    </row>
    <row r="1734">
      <c r="A1734" s="24">
        <f>IF($G1734="","",COUNTA($G$4:$G1734))</f>
        <v/>
      </c>
      <c r="B1734" s="17" t="n"/>
      <c r="C1734" s="30" t="n"/>
      <c r="D1734" s="17" t="n"/>
      <c r="E1734" s="17" t="n"/>
      <c r="F1734" s="17" t="n"/>
      <c r="G1734" s="17" t="n"/>
      <c r="H1734" s="24">
        <f>IF($G1734="","",IFERROR(VLOOKUP($G1734,物料档案!$A$4:$P$1203,3,0),"※编码不在物料档案里"))</f>
        <v/>
      </c>
      <c r="I1734" s="24">
        <f>IF($G1734="","",IFERROR(VLOOKUP($G1734,物料档案!$A$4:$P$1203,4,0),"※编码不在物料档案里"))</f>
        <v/>
      </c>
      <c r="J1734" s="24">
        <f>IF($G1734="","",IFERROR(VLOOKUP($G1734,物料档案!$A$4:$P$1203,5,0),"※编码不在物料档案里"))</f>
        <v/>
      </c>
      <c r="K1734" s="23" t="n"/>
      <c r="L1734" s="31" t="n"/>
      <c r="M1734" s="24">
        <f>IF($G1734="","",IF($D1734="A国内","CNY","TZS"))</f>
        <v/>
      </c>
      <c r="N1734" s="28">
        <f>IF($G1734="","",IF($D1734="A国内",汇率,1))</f>
        <v/>
      </c>
      <c r="O1734" s="25">
        <f>IF($G1734="","",ROUND(N($K1734)*N($L1734),2))</f>
        <v/>
      </c>
      <c r="P1734" s="26">
        <f>IF($G1734="","",ROUND($O1734*$N1734,0))</f>
        <v/>
      </c>
      <c r="Q1734" s="26">
        <f>IF($G1734="","",SUMIFS($P$4:$P$2503,$E$4:$E$2503,$E1734,$Z$4:$Z$2503,"正常"))</f>
        <v/>
      </c>
      <c r="R1734" s="26">
        <f>IF($G1734="","",SUMIFS(费用台账!$I$4:$I$503,费用台账!$C$4:$C$503,$E1734,费用台账!$J$4:$J$503,"是",费用台账!$K$4:$K$503,"正常"))</f>
        <v/>
      </c>
      <c r="S1734" s="28">
        <f>IF($G1734="","",COUNTIFS($E$4:$E$2503,$E1734,$Z$4:$Z$2503,"正常",$Y$4:$Y$2503,"待补价"))</f>
        <v/>
      </c>
      <c r="T1734" s="26">
        <f>IF($G1734="","",SUMIFS($P$4:$P$2503,$E$4:$E$2503,$E1734,$Z$4:$Z$2503,"正常",$A$4:$A$2503,"&lt;="&amp;$A1734))</f>
        <v/>
      </c>
      <c r="U1734" s="26">
        <f>IF($G1734="","",IF(OR($S1734&gt;0,$Q1734=0,$R1734=0,$Z1734&lt;&gt;"正常"),0,ROUND($T1734/$Q1734*$R1734,0)-ROUND(($T1734-$P1734)/$Q1734*$R1734,0)))</f>
        <v/>
      </c>
      <c r="V1734" s="26">
        <f>IF($G1734="","",ROUND($P1734+$U1734,0))</f>
        <v/>
      </c>
      <c r="W1734" s="26">
        <f>IF($G1734="","",IF(N($K1734)=0,0,ROUND($V1734/$K1734,2)))</f>
        <v/>
      </c>
      <c r="X1734" s="17" t="n"/>
      <c r="Y1734" s="17" t="n"/>
      <c r="Z1734" s="17" t="n"/>
      <c r="AA1734" s="17" t="n"/>
      <c r="AB1734" s="17" t="n"/>
      <c r="AC1734" s="24">
        <f>IF($G1734="","",IF($H1734="※编码不在物料档案里","※物料编码不在档案里",IF(N($K1734)&lt;=0,"※入库数量要大于 0",IF(AND($C1734&lt;&gt;"",$C1734&lt;=结账锁),"※日期早于已结账截止日，不能再录",IF(AND($L1734=0,$X1734="正常"),"※没填单价，价格状态请选「待补价」",IF(AND($S1734&gt;0,$R1734&gt;0),"△本批有 "&amp;$S1734&amp;" 行没单价，整批运费先挂账没摊",IF(AND($B1734&lt;&gt;"",COUNTIF($B$4:$B$2503,$B1734)&gt;1),"※入库单号重复","")))))))</f>
        <v/>
      </c>
    </row>
    <row r="1735">
      <c r="A1735" s="24">
        <f>IF($G1735="","",COUNTA($G$4:$G1735))</f>
        <v/>
      </c>
      <c r="B1735" s="17" t="n"/>
      <c r="C1735" s="30" t="n"/>
      <c r="D1735" s="17" t="n"/>
      <c r="E1735" s="17" t="n"/>
      <c r="F1735" s="17" t="n"/>
      <c r="G1735" s="17" t="n"/>
      <c r="H1735" s="24">
        <f>IF($G1735="","",IFERROR(VLOOKUP($G1735,物料档案!$A$4:$P$1203,3,0),"※编码不在物料档案里"))</f>
        <v/>
      </c>
      <c r="I1735" s="24">
        <f>IF($G1735="","",IFERROR(VLOOKUP($G1735,物料档案!$A$4:$P$1203,4,0),"※编码不在物料档案里"))</f>
        <v/>
      </c>
      <c r="J1735" s="24">
        <f>IF($G1735="","",IFERROR(VLOOKUP($G1735,物料档案!$A$4:$P$1203,5,0),"※编码不在物料档案里"))</f>
        <v/>
      </c>
      <c r="K1735" s="23" t="n"/>
      <c r="L1735" s="31" t="n"/>
      <c r="M1735" s="24">
        <f>IF($G1735="","",IF($D1735="A国内","CNY","TZS"))</f>
        <v/>
      </c>
      <c r="N1735" s="28">
        <f>IF($G1735="","",IF($D1735="A国内",汇率,1))</f>
        <v/>
      </c>
      <c r="O1735" s="25">
        <f>IF($G1735="","",ROUND(N($K1735)*N($L1735),2))</f>
        <v/>
      </c>
      <c r="P1735" s="26">
        <f>IF($G1735="","",ROUND($O1735*$N1735,0))</f>
        <v/>
      </c>
      <c r="Q1735" s="26">
        <f>IF($G1735="","",SUMIFS($P$4:$P$2503,$E$4:$E$2503,$E1735,$Z$4:$Z$2503,"正常"))</f>
        <v/>
      </c>
      <c r="R1735" s="26">
        <f>IF($G1735="","",SUMIFS(费用台账!$I$4:$I$503,费用台账!$C$4:$C$503,$E1735,费用台账!$J$4:$J$503,"是",费用台账!$K$4:$K$503,"正常"))</f>
        <v/>
      </c>
      <c r="S1735" s="28">
        <f>IF($G1735="","",COUNTIFS($E$4:$E$2503,$E1735,$Z$4:$Z$2503,"正常",$Y$4:$Y$2503,"待补价"))</f>
        <v/>
      </c>
      <c r="T1735" s="26">
        <f>IF($G1735="","",SUMIFS($P$4:$P$2503,$E$4:$E$2503,$E1735,$Z$4:$Z$2503,"正常",$A$4:$A$2503,"&lt;="&amp;$A1735))</f>
        <v/>
      </c>
      <c r="U1735" s="26">
        <f>IF($G1735="","",IF(OR($S1735&gt;0,$Q1735=0,$R1735=0,$Z1735&lt;&gt;"正常"),0,ROUND($T1735/$Q1735*$R1735,0)-ROUND(($T1735-$P1735)/$Q1735*$R1735,0)))</f>
        <v/>
      </c>
      <c r="V1735" s="26">
        <f>IF($G1735="","",ROUND($P1735+$U1735,0))</f>
        <v/>
      </c>
      <c r="W1735" s="26">
        <f>IF($G1735="","",IF(N($K1735)=0,0,ROUND($V1735/$K1735,2)))</f>
        <v/>
      </c>
      <c r="X1735" s="17" t="n"/>
      <c r="Y1735" s="17" t="n"/>
      <c r="Z1735" s="17" t="n"/>
      <c r="AA1735" s="17" t="n"/>
      <c r="AB1735" s="17" t="n"/>
      <c r="AC1735" s="24">
        <f>IF($G1735="","",IF($H1735="※编码不在物料档案里","※物料编码不在档案里",IF(N($K1735)&lt;=0,"※入库数量要大于 0",IF(AND($C1735&lt;&gt;"",$C1735&lt;=结账锁),"※日期早于已结账截止日，不能再录",IF(AND($L1735=0,$X1735="正常"),"※没填单价，价格状态请选「待补价」",IF(AND($S1735&gt;0,$R1735&gt;0),"△本批有 "&amp;$S1735&amp;" 行没单价，整批运费先挂账没摊",IF(AND($B1735&lt;&gt;"",COUNTIF($B$4:$B$2503,$B1735)&gt;1),"※入库单号重复","")))))))</f>
        <v/>
      </c>
    </row>
    <row r="1736">
      <c r="A1736" s="24">
        <f>IF($G1736="","",COUNTA($G$4:$G1736))</f>
        <v/>
      </c>
      <c r="B1736" s="17" t="n"/>
      <c r="C1736" s="30" t="n"/>
      <c r="D1736" s="17" t="n"/>
      <c r="E1736" s="17" t="n"/>
      <c r="F1736" s="17" t="n"/>
      <c r="G1736" s="17" t="n"/>
      <c r="H1736" s="24">
        <f>IF($G1736="","",IFERROR(VLOOKUP($G1736,物料档案!$A$4:$P$1203,3,0),"※编码不在物料档案里"))</f>
        <v/>
      </c>
      <c r="I1736" s="24">
        <f>IF($G1736="","",IFERROR(VLOOKUP($G1736,物料档案!$A$4:$P$1203,4,0),"※编码不在物料档案里"))</f>
        <v/>
      </c>
      <c r="J1736" s="24">
        <f>IF($G1736="","",IFERROR(VLOOKUP($G1736,物料档案!$A$4:$P$1203,5,0),"※编码不在物料档案里"))</f>
        <v/>
      </c>
      <c r="K1736" s="23" t="n"/>
      <c r="L1736" s="31" t="n"/>
      <c r="M1736" s="24">
        <f>IF($G1736="","",IF($D1736="A国内","CNY","TZS"))</f>
        <v/>
      </c>
      <c r="N1736" s="28">
        <f>IF($G1736="","",IF($D1736="A国内",汇率,1))</f>
        <v/>
      </c>
      <c r="O1736" s="25">
        <f>IF($G1736="","",ROUND(N($K1736)*N($L1736),2))</f>
        <v/>
      </c>
      <c r="P1736" s="26">
        <f>IF($G1736="","",ROUND($O1736*$N1736,0))</f>
        <v/>
      </c>
      <c r="Q1736" s="26">
        <f>IF($G1736="","",SUMIFS($P$4:$P$2503,$E$4:$E$2503,$E1736,$Z$4:$Z$2503,"正常"))</f>
        <v/>
      </c>
      <c r="R1736" s="26">
        <f>IF($G1736="","",SUMIFS(费用台账!$I$4:$I$503,费用台账!$C$4:$C$503,$E1736,费用台账!$J$4:$J$503,"是",费用台账!$K$4:$K$503,"正常"))</f>
        <v/>
      </c>
      <c r="S1736" s="28">
        <f>IF($G1736="","",COUNTIFS($E$4:$E$2503,$E1736,$Z$4:$Z$2503,"正常",$Y$4:$Y$2503,"待补价"))</f>
        <v/>
      </c>
      <c r="T1736" s="26">
        <f>IF($G1736="","",SUMIFS($P$4:$P$2503,$E$4:$E$2503,$E1736,$Z$4:$Z$2503,"正常",$A$4:$A$2503,"&lt;="&amp;$A1736))</f>
        <v/>
      </c>
      <c r="U1736" s="26">
        <f>IF($G1736="","",IF(OR($S1736&gt;0,$Q1736=0,$R1736=0,$Z1736&lt;&gt;"正常"),0,ROUND($T1736/$Q1736*$R1736,0)-ROUND(($T1736-$P1736)/$Q1736*$R1736,0)))</f>
        <v/>
      </c>
      <c r="V1736" s="26">
        <f>IF($G1736="","",ROUND($P1736+$U1736,0))</f>
        <v/>
      </c>
      <c r="W1736" s="26">
        <f>IF($G1736="","",IF(N($K1736)=0,0,ROUND($V1736/$K1736,2)))</f>
        <v/>
      </c>
      <c r="X1736" s="17" t="n"/>
      <c r="Y1736" s="17" t="n"/>
      <c r="Z1736" s="17" t="n"/>
      <c r="AA1736" s="17" t="n"/>
      <c r="AB1736" s="17" t="n"/>
      <c r="AC1736" s="24">
        <f>IF($G1736="","",IF($H1736="※编码不在物料档案里","※物料编码不在档案里",IF(N($K1736)&lt;=0,"※入库数量要大于 0",IF(AND($C1736&lt;&gt;"",$C1736&lt;=结账锁),"※日期早于已结账截止日，不能再录",IF(AND($L1736=0,$X1736="正常"),"※没填单价，价格状态请选「待补价」",IF(AND($S1736&gt;0,$R1736&gt;0),"△本批有 "&amp;$S1736&amp;" 行没单价，整批运费先挂账没摊",IF(AND($B1736&lt;&gt;"",COUNTIF($B$4:$B$2503,$B1736)&gt;1),"※入库单号重复","")))))))</f>
        <v/>
      </c>
    </row>
    <row r="1737">
      <c r="A1737" s="24">
        <f>IF($G1737="","",COUNTA($G$4:$G1737))</f>
        <v/>
      </c>
      <c r="B1737" s="17" t="n"/>
      <c r="C1737" s="30" t="n"/>
      <c r="D1737" s="17" t="n"/>
      <c r="E1737" s="17" t="n"/>
      <c r="F1737" s="17" t="n"/>
      <c r="G1737" s="17" t="n"/>
      <c r="H1737" s="24">
        <f>IF($G1737="","",IFERROR(VLOOKUP($G1737,物料档案!$A$4:$P$1203,3,0),"※编码不在物料档案里"))</f>
        <v/>
      </c>
      <c r="I1737" s="24">
        <f>IF($G1737="","",IFERROR(VLOOKUP($G1737,物料档案!$A$4:$P$1203,4,0),"※编码不在物料档案里"))</f>
        <v/>
      </c>
      <c r="J1737" s="24">
        <f>IF($G1737="","",IFERROR(VLOOKUP($G1737,物料档案!$A$4:$P$1203,5,0),"※编码不在物料档案里"))</f>
        <v/>
      </c>
      <c r="K1737" s="23" t="n"/>
      <c r="L1737" s="31" t="n"/>
      <c r="M1737" s="24">
        <f>IF($G1737="","",IF($D1737="A国内","CNY","TZS"))</f>
        <v/>
      </c>
      <c r="N1737" s="28">
        <f>IF($G1737="","",IF($D1737="A国内",汇率,1))</f>
        <v/>
      </c>
      <c r="O1737" s="25">
        <f>IF($G1737="","",ROUND(N($K1737)*N($L1737),2))</f>
        <v/>
      </c>
      <c r="P1737" s="26">
        <f>IF($G1737="","",ROUND($O1737*$N1737,0))</f>
        <v/>
      </c>
      <c r="Q1737" s="26">
        <f>IF($G1737="","",SUMIFS($P$4:$P$2503,$E$4:$E$2503,$E1737,$Z$4:$Z$2503,"正常"))</f>
        <v/>
      </c>
      <c r="R1737" s="26">
        <f>IF($G1737="","",SUMIFS(费用台账!$I$4:$I$503,费用台账!$C$4:$C$503,$E1737,费用台账!$J$4:$J$503,"是",费用台账!$K$4:$K$503,"正常"))</f>
        <v/>
      </c>
      <c r="S1737" s="28">
        <f>IF($G1737="","",COUNTIFS($E$4:$E$2503,$E1737,$Z$4:$Z$2503,"正常",$Y$4:$Y$2503,"待补价"))</f>
        <v/>
      </c>
      <c r="T1737" s="26">
        <f>IF($G1737="","",SUMIFS($P$4:$P$2503,$E$4:$E$2503,$E1737,$Z$4:$Z$2503,"正常",$A$4:$A$2503,"&lt;="&amp;$A1737))</f>
        <v/>
      </c>
      <c r="U1737" s="26">
        <f>IF($G1737="","",IF(OR($S1737&gt;0,$Q1737=0,$R1737=0,$Z1737&lt;&gt;"正常"),0,ROUND($T1737/$Q1737*$R1737,0)-ROUND(($T1737-$P1737)/$Q1737*$R1737,0)))</f>
        <v/>
      </c>
      <c r="V1737" s="26">
        <f>IF($G1737="","",ROUND($P1737+$U1737,0))</f>
        <v/>
      </c>
      <c r="W1737" s="26">
        <f>IF($G1737="","",IF(N($K1737)=0,0,ROUND($V1737/$K1737,2)))</f>
        <v/>
      </c>
      <c r="X1737" s="17" t="n"/>
      <c r="Y1737" s="17" t="n"/>
      <c r="Z1737" s="17" t="n"/>
      <c r="AA1737" s="17" t="n"/>
      <c r="AB1737" s="17" t="n"/>
      <c r="AC1737" s="24">
        <f>IF($G1737="","",IF($H1737="※编码不在物料档案里","※物料编码不在档案里",IF(N($K1737)&lt;=0,"※入库数量要大于 0",IF(AND($C1737&lt;&gt;"",$C1737&lt;=结账锁),"※日期早于已结账截止日，不能再录",IF(AND($L1737=0,$X1737="正常"),"※没填单价，价格状态请选「待补价」",IF(AND($S1737&gt;0,$R1737&gt;0),"△本批有 "&amp;$S1737&amp;" 行没单价，整批运费先挂账没摊",IF(AND($B1737&lt;&gt;"",COUNTIF($B$4:$B$2503,$B1737)&gt;1),"※入库单号重复","")))))))</f>
        <v/>
      </c>
    </row>
    <row r="1738">
      <c r="A1738" s="24">
        <f>IF($G1738="","",COUNTA($G$4:$G1738))</f>
        <v/>
      </c>
      <c r="B1738" s="17" t="n"/>
      <c r="C1738" s="30" t="n"/>
      <c r="D1738" s="17" t="n"/>
      <c r="E1738" s="17" t="n"/>
      <c r="F1738" s="17" t="n"/>
      <c r="G1738" s="17" t="n"/>
      <c r="H1738" s="24">
        <f>IF($G1738="","",IFERROR(VLOOKUP($G1738,物料档案!$A$4:$P$1203,3,0),"※编码不在物料档案里"))</f>
        <v/>
      </c>
      <c r="I1738" s="24">
        <f>IF($G1738="","",IFERROR(VLOOKUP($G1738,物料档案!$A$4:$P$1203,4,0),"※编码不在物料档案里"))</f>
        <v/>
      </c>
      <c r="J1738" s="24">
        <f>IF($G1738="","",IFERROR(VLOOKUP($G1738,物料档案!$A$4:$P$1203,5,0),"※编码不在物料档案里"))</f>
        <v/>
      </c>
      <c r="K1738" s="23" t="n"/>
      <c r="L1738" s="31" t="n"/>
      <c r="M1738" s="24">
        <f>IF($G1738="","",IF($D1738="A国内","CNY","TZS"))</f>
        <v/>
      </c>
      <c r="N1738" s="28">
        <f>IF($G1738="","",IF($D1738="A国内",汇率,1))</f>
        <v/>
      </c>
      <c r="O1738" s="25">
        <f>IF($G1738="","",ROUND(N($K1738)*N($L1738),2))</f>
        <v/>
      </c>
      <c r="P1738" s="26">
        <f>IF($G1738="","",ROUND($O1738*$N1738,0))</f>
        <v/>
      </c>
      <c r="Q1738" s="26">
        <f>IF($G1738="","",SUMIFS($P$4:$P$2503,$E$4:$E$2503,$E1738,$Z$4:$Z$2503,"正常"))</f>
        <v/>
      </c>
      <c r="R1738" s="26">
        <f>IF($G1738="","",SUMIFS(费用台账!$I$4:$I$503,费用台账!$C$4:$C$503,$E1738,费用台账!$J$4:$J$503,"是",费用台账!$K$4:$K$503,"正常"))</f>
        <v/>
      </c>
      <c r="S1738" s="28">
        <f>IF($G1738="","",COUNTIFS($E$4:$E$2503,$E1738,$Z$4:$Z$2503,"正常",$Y$4:$Y$2503,"待补价"))</f>
        <v/>
      </c>
      <c r="T1738" s="26">
        <f>IF($G1738="","",SUMIFS($P$4:$P$2503,$E$4:$E$2503,$E1738,$Z$4:$Z$2503,"正常",$A$4:$A$2503,"&lt;="&amp;$A1738))</f>
        <v/>
      </c>
      <c r="U1738" s="26">
        <f>IF($G1738="","",IF(OR($S1738&gt;0,$Q1738=0,$R1738=0,$Z1738&lt;&gt;"正常"),0,ROUND($T1738/$Q1738*$R1738,0)-ROUND(($T1738-$P1738)/$Q1738*$R1738,0)))</f>
        <v/>
      </c>
      <c r="V1738" s="26">
        <f>IF($G1738="","",ROUND($P1738+$U1738,0))</f>
        <v/>
      </c>
      <c r="W1738" s="26">
        <f>IF($G1738="","",IF(N($K1738)=0,0,ROUND($V1738/$K1738,2)))</f>
        <v/>
      </c>
      <c r="X1738" s="17" t="n"/>
      <c r="Y1738" s="17" t="n"/>
      <c r="Z1738" s="17" t="n"/>
      <c r="AA1738" s="17" t="n"/>
      <c r="AB1738" s="17" t="n"/>
      <c r="AC1738" s="24">
        <f>IF($G1738="","",IF($H1738="※编码不在物料档案里","※物料编码不在档案里",IF(N($K1738)&lt;=0,"※入库数量要大于 0",IF(AND($C1738&lt;&gt;"",$C1738&lt;=结账锁),"※日期早于已结账截止日，不能再录",IF(AND($L1738=0,$X1738="正常"),"※没填单价，价格状态请选「待补价」",IF(AND($S1738&gt;0,$R1738&gt;0),"△本批有 "&amp;$S1738&amp;" 行没单价，整批运费先挂账没摊",IF(AND($B1738&lt;&gt;"",COUNTIF($B$4:$B$2503,$B1738)&gt;1),"※入库单号重复","")))))))</f>
        <v/>
      </c>
    </row>
    <row r="1739">
      <c r="A1739" s="24">
        <f>IF($G1739="","",COUNTA($G$4:$G1739))</f>
        <v/>
      </c>
      <c r="B1739" s="17" t="n"/>
      <c r="C1739" s="30" t="n"/>
      <c r="D1739" s="17" t="n"/>
      <c r="E1739" s="17" t="n"/>
      <c r="F1739" s="17" t="n"/>
      <c r="G1739" s="17" t="n"/>
      <c r="H1739" s="24">
        <f>IF($G1739="","",IFERROR(VLOOKUP($G1739,物料档案!$A$4:$P$1203,3,0),"※编码不在物料档案里"))</f>
        <v/>
      </c>
      <c r="I1739" s="24">
        <f>IF($G1739="","",IFERROR(VLOOKUP($G1739,物料档案!$A$4:$P$1203,4,0),"※编码不在物料档案里"))</f>
        <v/>
      </c>
      <c r="J1739" s="24">
        <f>IF($G1739="","",IFERROR(VLOOKUP($G1739,物料档案!$A$4:$P$1203,5,0),"※编码不在物料档案里"))</f>
        <v/>
      </c>
      <c r="K1739" s="23" t="n"/>
      <c r="L1739" s="31" t="n"/>
      <c r="M1739" s="24">
        <f>IF($G1739="","",IF($D1739="A国内","CNY","TZS"))</f>
        <v/>
      </c>
      <c r="N1739" s="28">
        <f>IF($G1739="","",IF($D1739="A国内",汇率,1))</f>
        <v/>
      </c>
      <c r="O1739" s="25">
        <f>IF($G1739="","",ROUND(N($K1739)*N($L1739),2))</f>
        <v/>
      </c>
      <c r="P1739" s="26">
        <f>IF($G1739="","",ROUND($O1739*$N1739,0))</f>
        <v/>
      </c>
      <c r="Q1739" s="26">
        <f>IF($G1739="","",SUMIFS($P$4:$P$2503,$E$4:$E$2503,$E1739,$Z$4:$Z$2503,"正常"))</f>
        <v/>
      </c>
      <c r="R1739" s="26">
        <f>IF($G1739="","",SUMIFS(费用台账!$I$4:$I$503,费用台账!$C$4:$C$503,$E1739,费用台账!$J$4:$J$503,"是",费用台账!$K$4:$K$503,"正常"))</f>
        <v/>
      </c>
      <c r="S1739" s="28">
        <f>IF($G1739="","",COUNTIFS($E$4:$E$2503,$E1739,$Z$4:$Z$2503,"正常",$Y$4:$Y$2503,"待补价"))</f>
        <v/>
      </c>
      <c r="T1739" s="26">
        <f>IF($G1739="","",SUMIFS($P$4:$P$2503,$E$4:$E$2503,$E1739,$Z$4:$Z$2503,"正常",$A$4:$A$2503,"&lt;="&amp;$A1739))</f>
        <v/>
      </c>
      <c r="U1739" s="26">
        <f>IF($G1739="","",IF(OR($S1739&gt;0,$Q1739=0,$R1739=0,$Z1739&lt;&gt;"正常"),0,ROUND($T1739/$Q1739*$R1739,0)-ROUND(($T1739-$P1739)/$Q1739*$R1739,0)))</f>
        <v/>
      </c>
      <c r="V1739" s="26">
        <f>IF($G1739="","",ROUND($P1739+$U1739,0))</f>
        <v/>
      </c>
      <c r="W1739" s="26">
        <f>IF($G1739="","",IF(N($K1739)=0,0,ROUND($V1739/$K1739,2)))</f>
        <v/>
      </c>
      <c r="X1739" s="17" t="n"/>
      <c r="Y1739" s="17" t="n"/>
      <c r="Z1739" s="17" t="n"/>
      <c r="AA1739" s="17" t="n"/>
      <c r="AB1739" s="17" t="n"/>
      <c r="AC1739" s="24">
        <f>IF($G1739="","",IF($H1739="※编码不在物料档案里","※物料编码不在档案里",IF(N($K1739)&lt;=0,"※入库数量要大于 0",IF(AND($C1739&lt;&gt;"",$C1739&lt;=结账锁),"※日期早于已结账截止日，不能再录",IF(AND($L1739=0,$X1739="正常"),"※没填单价，价格状态请选「待补价」",IF(AND($S1739&gt;0,$R1739&gt;0),"△本批有 "&amp;$S1739&amp;" 行没单价，整批运费先挂账没摊",IF(AND($B1739&lt;&gt;"",COUNTIF($B$4:$B$2503,$B1739)&gt;1),"※入库单号重复","")))))))</f>
        <v/>
      </c>
    </row>
    <row r="1740">
      <c r="A1740" s="24">
        <f>IF($G1740="","",COUNTA($G$4:$G1740))</f>
        <v/>
      </c>
      <c r="B1740" s="17" t="n"/>
      <c r="C1740" s="30" t="n"/>
      <c r="D1740" s="17" t="n"/>
      <c r="E1740" s="17" t="n"/>
      <c r="F1740" s="17" t="n"/>
      <c r="G1740" s="17" t="n"/>
      <c r="H1740" s="24">
        <f>IF($G1740="","",IFERROR(VLOOKUP($G1740,物料档案!$A$4:$P$1203,3,0),"※编码不在物料档案里"))</f>
        <v/>
      </c>
      <c r="I1740" s="24">
        <f>IF($G1740="","",IFERROR(VLOOKUP($G1740,物料档案!$A$4:$P$1203,4,0),"※编码不在物料档案里"))</f>
        <v/>
      </c>
      <c r="J1740" s="24">
        <f>IF($G1740="","",IFERROR(VLOOKUP($G1740,物料档案!$A$4:$P$1203,5,0),"※编码不在物料档案里"))</f>
        <v/>
      </c>
      <c r="K1740" s="23" t="n"/>
      <c r="L1740" s="31" t="n"/>
      <c r="M1740" s="24">
        <f>IF($G1740="","",IF($D1740="A国内","CNY","TZS"))</f>
        <v/>
      </c>
      <c r="N1740" s="28">
        <f>IF($G1740="","",IF($D1740="A国内",汇率,1))</f>
        <v/>
      </c>
      <c r="O1740" s="25">
        <f>IF($G1740="","",ROUND(N($K1740)*N($L1740),2))</f>
        <v/>
      </c>
      <c r="P1740" s="26">
        <f>IF($G1740="","",ROUND($O1740*$N1740,0))</f>
        <v/>
      </c>
      <c r="Q1740" s="26">
        <f>IF($G1740="","",SUMIFS($P$4:$P$2503,$E$4:$E$2503,$E1740,$Z$4:$Z$2503,"正常"))</f>
        <v/>
      </c>
      <c r="R1740" s="26">
        <f>IF($G1740="","",SUMIFS(费用台账!$I$4:$I$503,费用台账!$C$4:$C$503,$E1740,费用台账!$J$4:$J$503,"是",费用台账!$K$4:$K$503,"正常"))</f>
        <v/>
      </c>
      <c r="S1740" s="28">
        <f>IF($G1740="","",COUNTIFS($E$4:$E$2503,$E1740,$Z$4:$Z$2503,"正常",$Y$4:$Y$2503,"待补价"))</f>
        <v/>
      </c>
      <c r="T1740" s="26">
        <f>IF($G1740="","",SUMIFS($P$4:$P$2503,$E$4:$E$2503,$E1740,$Z$4:$Z$2503,"正常",$A$4:$A$2503,"&lt;="&amp;$A1740))</f>
        <v/>
      </c>
      <c r="U1740" s="26">
        <f>IF($G1740="","",IF(OR($S1740&gt;0,$Q1740=0,$R1740=0,$Z1740&lt;&gt;"正常"),0,ROUND($T1740/$Q1740*$R1740,0)-ROUND(($T1740-$P1740)/$Q1740*$R1740,0)))</f>
        <v/>
      </c>
      <c r="V1740" s="26">
        <f>IF($G1740="","",ROUND($P1740+$U1740,0))</f>
        <v/>
      </c>
      <c r="W1740" s="26">
        <f>IF($G1740="","",IF(N($K1740)=0,0,ROUND($V1740/$K1740,2)))</f>
        <v/>
      </c>
      <c r="X1740" s="17" t="n"/>
      <c r="Y1740" s="17" t="n"/>
      <c r="Z1740" s="17" t="n"/>
      <c r="AA1740" s="17" t="n"/>
      <c r="AB1740" s="17" t="n"/>
      <c r="AC1740" s="24">
        <f>IF($G1740="","",IF($H1740="※编码不在物料档案里","※物料编码不在档案里",IF(N($K1740)&lt;=0,"※入库数量要大于 0",IF(AND($C1740&lt;&gt;"",$C1740&lt;=结账锁),"※日期早于已结账截止日，不能再录",IF(AND($L1740=0,$X1740="正常"),"※没填单价，价格状态请选「待补价」",IF(AND($S1740&gt;0,$R1740&gt;0),"△本批有 "&amp;$S1740&amp;" 行没单价，整批运费先挂账没摊",IF(AND($B1740&lt;&gt;"",COUNTIF($B$4:$B$2503,$B1740)&gt;1),"※入库单号重复","")))))))</f>
        <v/>
      </c>
    </row>
    <row r="1741">
      <c r="A1741" s="24">
        <f>IF($G1741="","",COUNTA($G$4:$G1741))</f>
        <v/>
      </c>
      <c r="B1741" s="17" t="n"/>
      <c r="C1741" s="30" t="n"/>
      <c r="D1741" s="17" t="n"/>
      <c r="E1741" s="17" t="n"/>
      <c r="F1741" s="17" t="n"/>
      <c r="G1741" s="17" t="n"/>
      <c r="H1741" s="24">
        <f>IF($G1741="","",IFERROR(VLOOKUP($G1741,物料档案!$A$4:$P$1203,3,0),"※编码不在物料档案里"))</f>
        <v/>
      </c>
      <c r="I1741" s="24">
        <f>IF($G1741="","",IFERROR(VLOOKUP($G1741,物料档案!$A$4:$P$1203,4,0),"※编码不在物料档案里"))</f>
        <v/>
      </c>
      <c r="J1741" s="24">
        <f>IF($G1741="","",IFERROR(VLOOKUP($G1741,物料档案!$A$4:$P$1203,5,0),"※编码不在物料档案里"))</f>
        <v/>
      </c>
      <c r="K1741" s="23" t="n"/>
      <c r="L1741" s="31" t="n"/>
      <c r="M1741" s="24">
        <f>IF($G1741="","",IF($D1741="A国内","CNY","TZS"))</f>
        <v/>
      </c>
      <c r="N1741" s="28">
        <f>IF($G1741="","",IF($D1741="A国内",汇率,1))</f>
        <v/>
      </c>
      <c r="O1741" s="25">
        <f>IF($G1741="","",ROUND(N($K1741)*N($L1741),2))</f>
        <v/>
      </c>
      <c r="P1741" s="26">
        <f>IF($G1741="","",ROUND($O1741*$N1741,0))</f>
        <v/>
      </c>
      <c r="Q1741" s="26">
        <f>IF($G1741="","",SUMIFS($P$4:$P$2503,$E$4:$E$2503,$E1741,$Z$4:$Z$2503,"正常"))</f>
        <v/>
      </c>
      <c r="R1741" s="26">
        <f>IF($G1741="","",SUMIFS(费用台账!$I$4:$I$503,费用台账!$C$4:$C$503,$E1741,费用台账!$J$4:$J$503,"是",费用台账!$K$4:$K$503,"正常"))</f>
        <v/>
      </c>
      <c r="S1741" s="28">
        <f>IF($G1741="","",COUNTIFS($E$4:$E$2503,$E1741,$Z$4:$Z$2503,"正常",$Y$4:$Y$2503,"待补价"))</f>
        <v/>
      </c>
      <c r="T1741" s="26">
        <f>IF($G1741="","",SUMIFS($P$4:$P$2503,$E$4:$E$2503,$E1741,$Z$4:$Z$2503,"正常",$A$4:$A$2503,"&lt;="&amp;$A1741))</f>
        <v/>
      </c>
      <c r="U1741" s="26">
        <f>IF($G1741="","",IF(OR($S1741&gt;0,$Q1741=0,$R1741=0,$Z1741&lt;&gt;"正常"),0,ROUND($T1741/$Q1741*$R1741,0)-ROUND(($T1741-$P1741)/$Q1741*$R1741,0)))</f>
        <v/>
      </c>
      <c r="V1741" s="26">
        <f>IF($G1741="","",ROUND($P1741+$U1741,0))</f>
        <v/>
      </c>
      <c r="W1741" s="26">
        <f>IF($G1741="","",IF(N($K1741)=0,0,ROUND($V1741/$K1741,2)))</f>
        <v/>
      </c>
      <c r="X1741" s="17" t="n"/>
      <c r="Y1741" s="17" t="n"/>
      <c r="Z1741" s="17" t="n"/>
      <c r="AA1741" s="17" t="n"/>
      <c r="AB1741" s="17" t="n"/>
      <c r="AC1741" s="24">
        <f>IF($G1741="","",IF($H1741="※编码不在物料档案里","※物料编码不在档案里",IF(N($K1741)&lt;=0,"※入库数量要大于 0",IF(AND($C1741&lt;&gt;"",$C1741&lt;=结账锁),"※日期早于已结账截止日，不能再录",IF(AND($L1741=0,$X1741="正常"),"※没填单价，价格状态请选「待补价」",IF(AND($S1741&gt;0,$R1741&gt;0),"△本批有 "&amp;$S1741&amp;" 行没单价，整批运费先挂账没摊",IF(AND($B1741&lt;&gt;"",COUNTIF($B$4:$B$2503,$B1741)&gt;1),"※入库单号重复","")))))))</f>
        <v/>
      </c>
    </row>
    <row r="1742">
      <c r="A1742" s="24">
        <f>IF($G1742="","",COUNTA($G$4:$G1742))</f>
        <v/>
      </c>
      <c r="B1742" s="17" t="n"/>
      <c r="C1742" s="30" t="n"/>
      <c r="D1742" s="17" t="n"/>
      <c r="E1742" s="17" t="n"/>
      <c r="F1742" s="17" t="n"/>
      <c r="G1742" s="17" t="n"/>
      <c r="H1742" s="24">
        <f>IF($G1742="","",IFERROR(VLOOKUP($G1742,物料档案!$A$4:$P$1203,3,0),"※编码不在物料档案里"))</f>
        <v/>
      </c>
      <c r="I1742" s="24">
        <f>IF($G1742="","",IFERROR(VLOOKUP($G1742,物料档案!$A$4:$P$1203,4,0),"※编码不在物料档案里"))</f>
        <v/>
      </c>
      <c r="J1742" s="24">
        <f>IF($G1742="","",IFERROR(VLOOKUP($G1742,物料档案!$A$4:$P$1203,5,0),"※编码不在物料档案里"))</f>
        <v/>
      </c>
      <c r="K1742" s="23" t="n"/>
      <c r="L1742" s="31" t="n"/>
      <c r="M1742" s="24">
        <f>IF($G1742="","",IF($D1742="A国内","CNY","TZS"))</f>
        <v/>
      </c>
      <c r="N1742" s="28">
        <f>IF($G1742="","",IF($D1742="A国内",汇率,1))</f>
        <v/>
      </c>
      <c r="O1742" s="25">
        <f>IF($G1742="","",ROUND(N($K1742)*N($L1742),2))</f>
        <v/>
      </c>
      <c r="P1742" s="26">
        <f>IF($G1742="","",ROUND($O1742*$N1742,0))</f>
        <v/>
      </c>
      <c r="Q1742" s="26">
        <f>IF($G1742="","",SUMIFS($P$4:$P$2503,$E$4:$E$2503,$E1742,$Z$4:$Z$2503,"正常"))</f>
        <v/>
      </c>
      <c r="R1742" s="26">
        <f>IF($G1742="","",SUMIFS(费用台账!$I$4:$I$503,费用台账!$C$4:$C$503,$E1742,费用台账!$J$4:$J$503,"是",费用台账!$K$4:$K$503,"正常"))</f>
        <v/>
      </c>
      <c r="S1742" s="28">
        <f>IF($G1742="","",COUNTIFS($E$4:$E$2503,$E1742,$Z$4:$Z$2503,"正常",$Y$4:$Y$2503,"待补价"))</f>
        <v/>
      </c>
      <c r="T1742" s="26">
        <f>IF($G1742="","",SUMIFS($P$4:$P$2503,$E$4:$E$2503,$E1742,$Z$4:$Z$2503,"正常",$A$4:$A$2503,"&lt;="&amp;$A1742))</f>
        <v/>
      </c>
      <c r="U1742" s="26">
        <f>IF($G1742="","",IF(OR($S1742&gt;0,$Q1742=0,$R1742=0,$Z1742&lt;&gt;"正常"),0,ROUND($T1742/$Q1742*$R1742,0)-ROUND(($T1742-$P1742)/$Q1742*$R1742,0)))</f>
        <v/>
      </c>
      <c r="V1742" s="26">
        <f>IF($G1742="","",ROUND($P1742+$U1742,0))</f>
        <v/>
      </c>
      <c r="W1742" s="26">
        <f>IF($G1742="","",IF(N($K1742)=0,0,ROUND($V1742/$K1742,2)))</f>
        <v/>
      </c>
      <c r="X1742" s="17" t="n"/>
      <c r="Y1742" s="17" t="n"/>
      <c r="Z1742" s="17" t="n"/>
      <c r="AA1742" s="17" t="n"/>
      <c r="AB1742" s="17" t="n"/>
      <c r="AC1742" s="24">
        <f>IF($G1742="","",IF($H1742="※编码不在物料档案里","※物料编码不在档案里",IF(N($K1742)&lt;=0,"※入库数量要大于 0",IF(AND($C1742&lt;&gt;"",$C1742&lt;=结账锁),"※日期早于已结账截止日，不能再录",IF(AND($L1742=0,$X1742="正常"),"※没填单价，价格状态请选「待补价」",IF(AND($S1742&gt;0,$R1742&gt;0),"△本批有 "&amp;$S1742&amp;" 行没单价，整批运费先挂账没摊",IF(AND($B1742&lt;&gt;"",COUNTIF($B$4:$B$2503,$B1742)&gt;1),"※入库单号重复","")))))))</f>
        <v/>
      </c>
    </row>
    <row r="1743">
      <c r="A1743" s="24">
        <f>IF($G1743="","",COUNTA($G$4:$G1743))</f>
        <v/>
      </c>
      <c r="B1743" s="17" t="n"/>
      <c r="C1743" s="30" t="n"/>
      <c r="D1743" s="17" t="n"/>
      <c r="E1743" s="17" t="n"/>
      <c r="F1743" s="17" t="n"/>
      <c r="G1743" s="17" t="n"/>
      <c r="H1743" s="24">
        <f>IF($G1743="","",IFERROR(VLOOKUP($G1743,物料档案!$A$4:$P$1203,3,0),"※编码不在物料档案里"))</f>
        <v/>
      </c>
      <c r="I1743" s="24">
        <f>IF($G1743="","",IFERROR(VLOOKUP($G1743,物料档案!$A$4:$P$1203,4,0),"※编码不在物料档案里"))</f>
        <v/>
      </c>
      <c r="J1743" s="24">
        <f>IF($G1743="","",IFERROR(VLOOKUP($G1743,物料档案!$A$4:$P$1203,5,0),"※编码不在物料档案里"))</f>
        <v/>
      </c>
      <c r="K1743" s="23" t="n"/>
      <c r="L1743" s="31" t="n"/>
      <c r="M1743" s="24">
        <f>IF($G1743="","",IF($D1743="A国内","CNY","TZS"))</f>
        <v/>
      </c>
      <c r="N1743" s="28">
        <f>IF($G1743="","",IF($D1743="A国内",汇率,1))</f>
        <v/>
      </c>
      <c r="O1743" s="25">
        <f>IF($G1743="","",ROUND(N($K1743)*N($L1743),2))</f>
        <v/>
      </c>
      <c r="P1743" s="26">
        <f>IF($G1743="","",ROUND($O1743*$N1743,0))</f>
        <v/>
      </c>
      <c r="Q1743" s="26">
        <f>IF($G1743="","",SUMIFS($P$4:$P$2503,$E$4:$E$2503,$E1743,$Z$4:$Z$2503,"正常"))</f>
        <v/>
      </c>
      <c r="R1743" s="26">
        <f>IF($G1743="","",SUMIFS(费用台账!$I$4:$I$503,费用台账!$C$4:$C$503,$E1743,费用台账!$J$4:$J$503,"是",费用台账!$K$4:$K$503,"正常"))</f>
        <v/>
      </c>
      <c r="S1743" s="28">
        <f>IF($G1743="","",COUNTIFS($E$4:$E$2503,$E1743,$Z$4:$Z$2503,"正常",$Y$4:$Y$2503,"待补价"))</f>
        <v/>
      </c>
      <c r="T1743" s="26">
        <f>IF($G1743="","",SUMIFS($P$4:$P$2503,$E$4:$E$2503,$E1743,$Z$4:$Z$2503,"正常",$A$4:$A$2503,"&lt;="&amp;$A1743))</f>
        <v/>
      </c>
      <c r="U1743" s="26">
        <f>IF($G1743="","",IF(OR($S1743&gt;0,$Q1743=0,$R1743=0,$Z1743&lt;&gt;"正常"),0,ROUND($T1743/$Q1743*$R1743,0)-ROUND(($T1743-$P1743)/$Q1743*$R1743,0)))</f>
        <v/>
      </c>
      <c r="V1743" s="26">
        <f>IF($G1743="","",ROUND($P1743+$U1743,0))</f>
        <v/>
      </c>
      <c r="W1743" s="26">
        <f>IF($G1743="","",IF(N($K1743)=0,0,ROUND($V1743/$K1743,2)))</f>
        <v/>
      </c>
      <c r="X1743" s="17" t="n"/>
      <c r="Y1743" s="17" t="n"/>
      <c r="Z1743" s="17" t="n"/>
      <c r="AA1743" s="17" t="n"/>
      <c r="AB1743" s="17" t="n"/>
      <c r="AC1743" s="24">
        <f>IF($G1743="","",IF($H1743="※编码不在物料档案里","※物料编码不在档案里",IF(N($K1743)&lt;=0,"※入库数量要大于 0",IF(AND($C1743&lt;&gt;"",$C1743&lt;=结账锁),"※日期早于已结账截止日，不能再录",IF(AND($L1743=0,$X1743="正常"),"※没填单价，价格状态请选「待补价」",IF(AND($S1743&gt;0,$R1743&gt;0),"△本批有 "&amp;$S1743&amp;" 行没单价，整批运费先挂账没摊",IF(AND($B1743&lt;&gt;"",COUNTIF($B$4:$B$2503,$B1743)&gt;1),"※入库单号重复","")))))))</f>
        <v/>
      </c>
    </row>
    <row r="1744">
      <c r="A1744" s="24">
        <f>IF($G1744="","",COUNTA($G$4:$G1744))</f>
        <v/>
      </c>
      <c r="B1744" s="17" t="n"/>
      <c r="C1744" s="30" t="n"/>
      <c r="D1744" s="17" t="n"/>
      <c r="E1744" s="17" t="n"/>
      <c r="F1744" s="17" t="n"/>
      <c r="G1744" s="17" t="n"/>
      <c r="H1744" s="24">
        <f>IF($G1744="","",IFERROR(VLOOKUP($G1744,物料档案!$A$4:$P$1203,3,0),"※编码不在物料档案里"))</f>
        <v/>
      </c>
      <c r="I1744" s="24">
        <f>IF($G1744="","",IFERROR(VLOOKUP($G1744,物料档案!$A$4:$P$1203,4,0),"※编码不在物料档案里"))</f>
        <v/>
      </c>
      <c r="J1744" s="24">
        <f>IF($G1744="","",IFERROR(VLOOKUP($G1744,物料档案!$A$4:$P$1203,5,0),"※编码不在物料档案里"))</f>
        <v/>
      </c>
      <c r="K1744" s="23" t="n"/>
      <c r="L1744" s="31" t="n"/>
      <c r="M1744" s="24">
        <f>IF($G1744="","",IF($D1744="A国内","CNY","TZS"))</f>
        <v/>
      </c>
      <c r="N1744" s="28">
        <f>IF($G1744="","",IF($D1744="A国内",汇率,1))</f>
        <v/>
      </c>
      <c r="O1744" s="25">
        <f>IF($G1744="","",ROUND(N($K1744)*N($L1744),2))</f>
        <v/>
      </c>
      <c r="P1744" s="26">
        <f>IF($G1744="","",ROUND($O1744*$N1744,0))</f>
        <v/>
      </c>
      <c r="Q1744" s="26">
        <f>IF($G1744="","",SUMIFS($P$4:$P$2503,$E$4:$E$2503,$E1744,$Z$4:$Z$2503,"正常"))</f>
        <v/>
      </c>
      <c r="R1744" s="26">
        <f>IF($G1744="","",SUMIFS(费用台账!$I$4:$I$503,费用台账!$C$4:$C$503,$E1744,费用台账!$J$4:$J$503,"是",费用台账!$K$4:$K$503,"正常"))</f>
        <v/>
      </c>
      <c r="S1744" s="28">
        <f>IF($G1744="","",COUNTIFS($E$4:$E$2503,$E1744,$Z$4:$Z$2503,"正常",$Y$4:$Y$2503,"待补价"))</f>
        <v/>
      </c>
      <c r="T1744" s="26">
        <f>IF($G1744="","",SUMIFS($P$4:$P$2503,$E$4:$E$2503,$E1744,$Z$4:$Z$2503,"正常",$A$4:$A$2503,"&lt;="&amp;$A1744))</f>
        <v/>
      </c>
      <c r="U1744" s="26">
        <f>IF($G1744="","",IF(OR($S1744&gt;0,$Q1744=0,$R1744=0,$Z1744&lt;&gt;"正常"),0,ROUND($T1744/$Q1744*$R1744,0)-ROUND(($T1744-$P1744)/$Q1744*$R1744,0)))</f>
        <v/>
      </c>
      <c r="V1744" s="26">
        <f>IF($G1744="","",ROUND($P1744+$U1744,0))</f>
        <v/>
      </c>
      <c r="W1744" s="26">
        <f>IF($G1744="","",IF(N($K1744)=0,0,ROUND($V1744/$K1744,2)))</f>
        <v/>
      </c>
      <c r="X1744" s="17" t="n"/>
      <c r="Y1744" s="17" t="n"/>
      <c r="Z1744" s="17" t="n"/>
      <c r="AA1744" s="17" t="n"/>
      <c r="AB1744" s="17" t="n"/>
      <c r="AC1744" s="24">
        <f>IF($G1744="","",IF($H1744="※编码不在物料档案里","※物料编码不在档案里",IF(N($K1744)&lt;=0,"※入库数量要大于 0",IF(AND($C1744&lt;&gt;"",$C1744&lt;=结账锁),"※日期早于已结账截止日，不能再录",IF(AND($L1744=0,$X1744="正常"),"※没填单价，价格状态请选「待补价」",IF(AND($S1744&gt;0,$R1744&gt;0),"△本批有 "&amp;$S1744&amp;" 行没单价，整批运费先挂账没摊",IF(AND($B1744&lt;&gt;"",COUNTIF($B$4:$B$2503,$B1744)&gt;1),"※入库单号重复","")))))))</f>
        <v/>
      </c>
    </row>
    <row r="1745">
      <c r="A1745" s="24">
        <f>IF($G1745="","",COUNTA($G$4:$G1745))</f>
        <v/>
      </c>
      <c r="B1745" s="17" t="n"/>
      <c r="C1745" s="30" t="n"/>
      <c r="D1745" s="17" t="n"/>
      <c r="E1745" s="17" t="n"/>
      <c r="F1745" s="17" t="n"/>
      <c r="G1745" s="17" t="n"/>
      <c r="H1745" s="24">
        <f>IF($G1745="","",IFERROR(VLOOKUP($G1745,物料档案!$A$4:$P$1203,3,0),"※编码不在物料档案里"))</f>
        <v/>
      </c>
      <c r="I1745" s="24">
        <f>IF($G1745="","",IFERROR(VLOOKUP($G1745,物料档案!$A$4:$P$1203,4,0),"※编码不在物料档案里"))</f>
        <v/>
      </c>
      <c r="J1745" s="24">
        <f>IF($G1745="","",IFERROR(VLOOKUP($G1745,物料档案!$A$4:$P$1203,5,0),"※编码不在物料档案里"))</f>
        <v/>
      </c>
      <c r="K1745" s="23" t="n"/>
      <c r="L1745" s="31" t="n"/>
      <c r="M1745" s="24">
        <f>IF($G1745="","",IF($D1745="A国内","CNY","TZS"))</f>
        <v/>
      </c>
      <c r="N1745" s="28">
        <f>IF($G1745="","",IF($D1745="A国内",汇率,1))</f>
        <v/>
      </c>
      <c r="O1745" s="25">
        <f>IF($G1745="","",ROUND(N($K1745)*N($L1745),2))</f>
        <v/>
      </c>
      <c r="P1745" s="26">
        <f>IF($G1745="","",ROUND($O1745*$N1745,0))</f>
        <v/>
      </c>
      <c r="Q1745" s="26">
        <f>IF($G1745="","",SUMIFS($P$4:$P$2503,$E$4:$E$2503,$E1745,$Z$4:$Z$2503,"正常"))</f>
        <v/>
      </c>
      <c r="R1745" s="26">
        <f>IF($G1745="","",SUMIFS(费用台账!$I$4:$I$503,费用台账!$C$4:$C$503,$E1745,费用台账!$J$4:$J$503,"是",费用台账!$K$4:$K$503,"正常"))</f>
        <v/>
      </c>
      <c r="S1745" s="28">
        <f>IF($G1745="","",COUNTIFS($E$4:$E$2503,$E1745,$Z$4:$Z$2503,"正常",$Y$4:$Y$2503,"待补价"))</f>
        <v/>
      </c>
      <c r="T1745" s="26">
        <f>IF($G1745="","",SUMIFS($P$4:$P$2503,$E$4:$E$2503,$E1745,$Z$4:$Z$2503,"正常",$A$4:$A$2503,"&lt;="&amp;$A1745))</f>
        <v/>
      </c>
      <c r="U1745" s="26">
        <f>IF($G1745="","",IF(OR($S1745&gt;0,$Q1745=0,$R1745=0,$Z1745&lt;&gt;"正常"),0,ROUND($T1745/$Q1745*$R1745,0)-ROUND(($T1745-$P1745)/$Q1745*$R1745,0)))</f>
        <v/>
      </c>
      <c r="V1745" s="26">
        <f>IF($G1745="","",ROUND($P1745+$U1745,0))</f>
        <v/>
      </c>
      <c r="W1745" s="26">
        <f>IF($G1745="","",IF(N($K1745)=0,0,ROUND($V1745/$K1745,2)))</f>
        <v/>
      </c>
      <c r="X1745" s="17" t="n"/>
      <c r="Y1745" s="17" t="n"/>
      <c r="Z1745" s="17" t="n"/>
      <c r="AA1745" s="17" t="n"/>
      <c r="AB1745" s="17" t="n"/>
      <c r="AC1745" s="24">
        <f>IF($G1745="","",IF($H1745="※编码不在物料档案里","※物料编码不在档案里",IF(N($K1745)&lt;=0,"※入库数量要大于 0",IF(AND($C1745&lt;&gt;"",$C1745&lt;=结账锁),"※日期早于已结账截止日，不能再录",IF(AND($L1745=0,$X1745="正常"),"※没填单价，价格状态请选「待补价」",IF(AND($S1745&gt;0,$R1745&gt;0),"△本批有 "&amp;$S1745&amp;" 行没单价，整批运费先挂账没摊",IF(AND($B1745&lt;&gt;"",COUNTIF($B$4:$B$2503,$B1745)&gt;1),"※入库单号重复","")))))))</f>
        <v/>
      </c>
    </row>
    <row r="1746">
      <c r="A1746" s="24">
        <f>IF($G1746="","",COUNTA($G$4:$G1746))</f>
        <v/>
      </c>
      <c r="B1746" s="17" t="n"/>
      <c r="C1746" s="30" t="n"/>
      <c r="D1746" s="17" t="n"/>
      <c r="E1746" s="17" t="n"/>
      <c r="F1746" s="17" t="n"/>
      <c r="G1746" s="17" t="n"/>
      <c r="H1746" s="24">
        <f>IF($G1746="","",IFERROR(VLOOKUP($G1746,物料档案!$A$4:$P$1203,3,0),"※编码不在物料档案里"))</f>
        <v/>
      </c>
      <c r="I1746" s="24">
        <f>IF($G1746="","",IFERROR(VLOOKUP($G1746,物料档案!$A$4:$P$1203,4,0),"※编码不在物料档案里"))</f>
        <v/>
      </c>
      <c r="J1746" s="24">
        <f>IF($G1746="","",IFERROR(VLOOKUP($G1746,物料档案!$A$4:$P$1203,5,0),"※编码不在物料档案里"))</f>
        <v/>
      </c>
      <c r="K1746" s="23" t="n"/>
      <c r="L1746" s="31" t="n"/>
      <c r="M1746" s="24">
        <f>IF($G1746="","",IF($D1746="A国内","CNY","TZS"))</f>
        <v/>
      </c>
      <c r="N1746" s="28">
        <f>IF($G1746="","",IF($D1746="A国内",汇率,1))</f>
        <v/>
      </c>
      <c r="O1746" s="25">
        <f>IF($G1746="","",ROUND(N($K1746)*N($L1746),2))</f>
        <v/>
      </c>
      <c r="P1746" s="26">
        <f>IF($G1746="","",ROUND($O1746*$N1746,0))</f>
        <v/>
      </c>
      <c r="Q1746" s="26">
        <f>IF($G1746="","",SUMIFS($P$4:$P$2503,$E$4:$E$2503,$E1746,$Z$4:$Z$2503,"正常"))</f>
        <v/>
      </c>
      <c r="R1746" s="26">
        <f>IF($G1746="","",SUMIFS(费用台账!$I$4:$I$503,费用台账!$C$4:$C$503,$E1746,费用台账!$J$4:$J$503,"是",费用台账!$K$4:$K$503,"正常"))</f>
        <v/>
      </c>
      <c r="S1746" s="28">
        <f>IF($G1746="","",COUNTIFS($E$4:$E$2503,$E1746,$Z$4:$Z$2503,"正常",$Y$4:$Y$2503,"待补价"))</f>
        <v/>
      </c>
      <c r="T1746" s="26">
        <f>IF($G1746="","",SUMIFS($P$4:$P$2503,$E$4:$E$2503,$E1746,$Z$4:$Z$2503,"正常",$A$4:$A$2503,"&lt;="&amp;$A1746))</f>
        <v/>
      </c>
      <c r="U1746" s="26">
        <f>IF($G1746="","",IF(OR($S1746&gt;0,$Q1746=0,$R1746=0,$Z1746&lt;&gt;"正常"),0,ROUND($T1746/$Q1746*$R1746,0)-ROUND(($T1746-$P1746)/$Q1746*$R1746,0)))</f>
        <v/>
      </c>
      <c r="V1746" s="26">
        <f>IF($G1746="","",ROUND($P1746+$U1746,0))</f>
        <v/>
      </c>
      <c r="W1746" s="26">
        <f>IF($G1746="","",IF(N($K1746)=0,0,ROUND($V1746/$K1746,2)))</f>
        <v/>
      </c>
      <c r="X1746" s="17" t="n"/>
      <c r="Y1746" s="17" t="n"/>
      <c r="Z1746" s="17" t="n"/>
      <c r="AA1746" s="17" t="n"/>
      <c r="AB1746" s="17" t="n"/>
      <c r="AC1746" s="24">
        <f>IF($G1746="","",IF($H1746="※编码不在物料档案里","※物料编码不在档案里",IF(N($K1746)&lt;=0,"※入库数量要大于 0",IF(AND($C1746&lt;&gt;"",$C1746&lt;=结账锁),"※日期早于已结账截止日，不能再录",IF(AND($L1746=0,$X1746="正常"),"※没填单价，价格状态请选「待补价」",IF(AND($S1746&gt;0,$R1746&gt;0),"△本批有 "&amp;$S1746&amp;" 行没单价，整批运费先挂账没摊",IF(AND($B1746&lt;&gt;"",COUNTIF($B$4:$B$2503,$B1746)&gt;1),"※入库单号重复","")))))))</f>
        <v/>
      </c>
    </row>
    <row r="1747">
      <c r="A1747" s="24">
        <f>IF($G1747="","",COUNTA($G$4:$G1747))</f>
        <v/>
      </c>
      <c r="B1747" s="17" t="n"/>
      <c r="C1747" s="30" t="n"/>
      <c r="D1747" s="17" t="n"/>
      <c r="E1747" s="17" t="n"/>
      <c r="F1747" s="17" t="n"/>
      <c r="G1747" s="17" t="n"/>
      <c r="H1747" s="24">
        <f>IF($G1747="","",IFERROR(VLOOKUP($G1747,物料档案!$A$4:$P$1203,3,0),"※编码不在物料档案里"))</f>
        <v/>
      </c>
      <c r="I1747" s="24">
        <f>IF($G1747="","",IFERROR(VLOOKUP($G1747,物料档案!$A$4:$P$1203,4,0),"※编码不在物料档案里"))</f>
        <v/>
      </c>
      <c r="J1747" s="24">
        <f>IF($G1747="","",IFERROR(VLOOKUP($G1747,物料档案!$A$4:$P$1203,5,0),"※编码不在物料档案里"))</f>
        <v/>
      </c>
      <c r="K1747" s="23" t="n"/>
      <c r="L1747" s="31" t="n"/>
      <c r="M1747" s="24">
        <f>IF($G1747="","",IF($D1747="A国内","CNY","TZS"))</f>
        <v/>
      </c>
      <c r="N1747" s="28">
        <f>IF($G1747="","",IF($D1747="A国内",汇率,1))</f>
        <v/>
      </c>
      <c r="O1747" s="25">
        <f>IF($G1747="","",ROUND(N($K1747)*N($L1747),2))</f>
        <v/>
      </c>
      <c r="P1747" s="26">
        <f>IF($G1747="","",ROUND($O1747*$N1747,0))</f>
        <v/>
      </c>
      <c r="Q1747" s="26">
        <f>IF($G1747="","",SUMIFS($P$4:$P$2503,$E$4:$E$2503,$E1747,$Z$4:$Z$2503,"正常"))</f>
        <v/>
      </c>
      <c r="R1747" s="26">
        <f>IF($G1747="","",SUMIFS(费用台账!$I$4:$I$503,费用台账!$C$4:$C$503,$E1747,费用台账!$J$4:$J$503,"是",费用台账!$K$4:$K$503,"正常"))</f>
        <v/>
      </c>
      <c r="S1747" s="28">
        <f>IF($G1747="","",COUNTIFS($E$4:$E$2503,$E1747,$Z$4:$Z$2503,"正常",$Y$4:$Y$2503,"待补价"))</f>
        <v/>
      </c>
      <c r="T1747" s="26">
        <f>IF($G1747="","",SUMIFS($P$4:$P$2503,$E$4:$E$2503,$E1747,$Z$4:$Z$2503,"正常",$A$4:$A$2503,"&lt;="&amp;$A1747))</f>
        <v/>
      </c>
      <c r="U1747" s="26">
        <f>IF($G1747="","",IF(OR($S1747&gt;0,$Q1747=0,$R1747=0,$Z1747&lt;&gt;"正常"),0,ROUND($T1747/$Q1747*$R1747,0)-ROUND(($T1747-$P1747)/$Q1747*$R1747,0)))</f>
        <v/>
      </c>
      <c r="V1747" s="26">
        <f>IF($G1747="","",ROUND($P1747+$U1747,0))</f>
        <v/>
      </c>
      <c r="W1747" s="26">
        <f>IF($G1747="","",IF(N($K1747)=0,0,ROUND($V1747/$K1747,2)))</f>
        <v/>
      </c>
      <c r="X1747" s="17" t="n"/>
      <c r="Y1747" s="17" t="n"/>
      <c r="Z1747" s="17" t="n"/>
      <c r="AA1747" s="17" t="n"/>
      <c r="AB1747" s="17" t="n"/>
      <c r="AC1747" s="24">
        <f>IF($G1747="","",IF($H1747="※编码不在物料档案里","※物料编码不在档案里",IF(N($K1747)&lt;=0,"※入库数量要大于 0",IF(AND($C1747&lt;&gt;"",$C1747&lt;=结账锁),"※日期早于已结账截止日，不能再录",IF(AND($L1747=0,$X1747="正常"),"※没填单价，价格状态请选「待补价」",IF(AND($S1747&gt;0,$R1747&gt;0),"△本批有 "&amp;$S1747&amp;" 行没单价，整批运费先挂账没摊",IF(AND($B1747&lt;&gt;"",COUNTIF($B$4:$B$2503,$B1747)&gt;1),"※入库单号重复","")))))))</f>
        <v/>
      </c>
    </row>
    <row r="1748">
      <c r="A1748" s="24">
        <f>IF($G1748="","",COUNTA($G$4:$G1748))</f>
        <v/>
      </c>
      <c r="B1748" s="17" t="n"/>
      <c r="C1748" s="30" t="n"/>
      <c r="D1748" s="17" t="n"/>
      <c r="E1748" s="17" t="n"/>
      <c r="F1748" s="17" t="n"/>
      <c r="G1748" s="17" t="n"/>
      <c r="H1748" s="24">
        <f>IF($G1748="","",IFERROR(VLOOKUP($G1748,物料档案!$A$4:$P$1203,3,0),"※编码不在物料档案里"))</f>
        <v/>
      </c>
      <c r="I1748" s="24">
        <f>IF($G1748="","",IFERROR(VLOOKUP($G1748,物料档案!$A$4:$P$1203,4,0),"※编码不在物料档案里"))</f>
        <v/>
      </c>
      <c r="J1748" s="24">
        <f>IF($G1748="","",IFERROR(VLOOKUP($G1748,物料档案!$A$4:$P$1203,5,0),"※编码不在物料档案里"))</f>
        <v/>
      </c>
      <c r="K1748" s="23" t="n"/>
      <c r="L1748" s="31" t="n"/>
      <c r="M1748" s="24">
        <f>IF($G1748="","",IF($D1748="A国内","CNY","TZS"))</f>
        <v/>
      </c>
      <c r="N1748" s="28">
        <f>IF($G1748="","",IF($D1748="A国内",汇率,1))</f>
        <v/>
      </c>
      <c r="O1748" s="25">
        <f>IF($G1748="","",ROUND(N($K1748)*N($L1748),2))</f>
        <v/>
      </c>
      <c r="P1748" s="26">
        <f>IF($G1748="","",ROUND($O1748*$N1748,0))</f>
        <v/>
      </c>
      <c r="Q1748" s="26">
        <f>IF($G1748="","",SUMIFS($P$4:$P$2503,$E$4:$E$2503,$E1748,$Z$4:$Z$2503,"正常"))</f>
        <v/>
      </c>
      <c r="R1748" s="26">
        <f>IF($G1748="","",SUMIFS(费用台账!$I$4:$I$503,费用台账!$C$4:$C$503,$E1748,费用台账!$J$4:$J$503,"是",费用台账!$K$4:$K$503,"正常"))</f>
        <v/>
      </c>
      <c r="S1748" s="28">
        <f>IF($G1748="","",COUNTIFS($E$4:$E$2503,$E1748,$Z$4:$Z$2503,"正常",$Y$4:$Y$2503,"待补价"))</f>
        <v/>
      </c>
      <c r="T1748" s="26">
        <f>IF($G1748="","",SUMIFS($P$4:$P$2503,$E$4:$E$2503,$E1748,$Z$4:$Z$2503,"正常",$A$4:$A$2503,"&lt;="&amp;$A1748))</f>
        <v/>
      </c>
      <c r="U1748" s="26">
        <f>IF($G1748="","",IF(OR($S1748&gt;0,$Q1748=0,$R1748=0,$Z1748&lt;&gt;"正常"),0,ROUND($T1748/$Q1748*$R1748,0)-ROUND(($T1748-$P1748)/$Q1748*$R1748,0)))</f>
        <v/>
      </c>
      <c r="V1748" s="26">
        <f>IF($G1748="","",ROUND($P1748+$U1748,0))</f>
        <v/>
      </c>
      <c r="W1748" s="26">
        <f>IF($G1748="","",IF(N($K1748)=0,0,ROUND($V1748/$K1748,2)))</f>
        <v/>
      </c>
      <c r="X1748" s="17" t="n"/>
      <c r="Y1748" s="17" t="n"/>
      <c r="Z1748" s="17" t="n"/>
      <c r="AA1748" s="17" t="n"/>
      <c r="AB1748" s="17" t="n"/>
      <c r="AC1748" s="24">
        <f>IF($G1748="","",IF($H1748="※编码不在物料档案里","※物料编码不在档案里",IF(N($K1748)&lt;=0,"※入库数量要大于 0",IF(AND($C1748&lt;&gt;"",$C1748&lt;=结账锁),"※日期早于已结账截止日，不能再录",IF(AND($L1748=0,$X1748="正常"),"※没填单价，价格状态请选「待补价」",IF(AND($S1748&gt;0,$R1748&gt;0),"△本批有 "&amp;$S1748&amp;" 行没单价，整批运费先挂账没摊",IF(AND($B1748&lt;&gt;"",COUNTIF($B$4:$B$2503,$B1748)&gt;1),"※入库单号重复","")))))))</f>
        <v/>
      </c>
    </row>
    <row r="1749">
      <c r="A1749" s="24">
        <f>IF($G1749="","",COUNTA($G$4:$G1749))</f>
        <v/>
      </c>
      <c r="B1749" s="17" t="n"/>
      <c r="C1749" s="30" t="n"/>
      <c r="D1749" s="17" t="n"/>
      <c r="E1749" s="17" t="n"/>
      <c r="F1749" s="17" t="n"/>
      <c r="G1749" s="17" t="n"/>
      <c r="H1749" s="24">
        <f>IF($G1749="","",IFERROR(VLOOKUP($G1749,物料档案!$A$4:$P$1203,3,0),"※编码不在物料档案里"))</f>
        <v/>
      </c>
      <c r="I1749" s="24">
        <f>IF($G1749="","",IFERROR(VLOOKUP($G1749,物料档案!$A$4:$P$1203,4,0),"※编码不在物料档案里"))</f>
        <v/>
      </c>
      <c r="J1749" s="24">
        <f>IF($G1749="","",IFERROR(VLOOKUP($G1749,物料档案!$A$4:$P$1203,5,0),"※编码不在物料档案里"))</f>
        <v/>
      </c>
      <c r="K1749" s="23" t="n"/>
      <c r="L1749" s="31" t="n"/>
      <c r="M1749" s="24">
        <f>IF($G1749="","",IF($D1749="A国内","CNY","TZS"))</f>
        <v/>
      </c>
      <c r="N1749" s="28">
        <f>IF($G1749="","",IF($D1749="A国内",汇率,1))</f>
        <v/>
      </c>
      <c r="O1749" s="25">
        <f>IF($G1749="","",ROUND(N($K1749)*N($L1749),2))</f>
        <v/>
      </c>
      <c r="P1749" s="26">
        <f>IF($G1749="","",ROUND($O1749*$N1749,0))</f>
        <v/>
      </c>
      <c r="Q1749" s="26">
        <f>IF($G1749="","",SUMIFS($P$4:$P$2503,$E$4:$E$2503,$E1749,$Z$4:$Z$2503,"正常"))</f>
        <v/>
      </c>
      <c r="R1749" s="26">
        <f>IF($G1749="","",SUMIFS(费用台账!$I$4:$I$503,费用台账!$C$4:$C$503,$E1749,费用台账!$J$4:$J$503,"是",费用台账!$K$4:$K$503,"正常"))</f>
        <v/>
      </c>
      <c r="S1749" s="28">
        <f>IF($G1749="","",COUNTIFS($E$4:$E$2503,$E1749,$Z$4:$Z$2503,"正常",$Y$4:$Y$2503,"待补价"))</f>
        <v/>
      </c>
      <c r="T1749" s="26">
        <f>IF($G1749="","",SUMIFS($P$4:$P$2503,$E$4:$E$2503,$E1749,$Z$4:$Z$2503,"正常",$A$4:$A$2503,"&lt;="&amp;$A1749))</f>
        <v/>
      </c>
      <c r="U1749" s="26">
        <f>IF($G1749="","",IF(OR($S1749&gt;0,$Q1749=0,$R1749=0,$Z1749&lt;&gt;"正常"),0,ROUND($T1749/$Q1749*$R1749,0)-ROUND(($T1749-$P1749)/$Q1749*$R1749,0)))</f>
        <v/>
      </c>
      <c r="V1749" s="26">
        <f>IF($G1749="","",ROUND($P1749+$U1749,0))</f>
        <v/>
      </c>
      <c r="W1749" s="26">
        <f>IF($G1749="","",IF(N($K1749)=0,0,ROUND($V1749/$K1749,2)))</f>
        <v/>
      </c>
      <c r="X1749" s="17" t="n"/>
      <c r="Y1749" s="17" t="n"/>
      <c r="Z1749" s="17" t="n"/>
      <c r="AA1749" s="17" t="n"/>
      <c r="AB1749" s="17" t="n"/>
      <c r="AC1749" s="24">
        <f>IF($G1749="","",IF($H1749="※编码不在物料档案里","※物料编码不在档案里",IF(N($K1749)&lt;=0,"※入库数量要大于 0",IF(AND($C1749&lt;&gt;"",$C1749&lt;=结账锁),"※日期早于已结账截止日，不能再录",IF(AND($L1749=0,$X1749="正常"),"※没填单价，价格状态请选「待补价」",IF(AND($S1749&gt;0,$R1749&gt;0),"△本批有 "&amp;$S1749&amp;" 行没单价，整批运费先挂账没摊",IF(AND($B1749&lt;&gt;"",COUNTIF($B$4:$B$2503,$B1749)&gt;1),"※入库单号重复","")))))))</f>
        <v/>
      </c>
    </row>
    <row r="1750">
      <c r="A1750" s="24">
        <f>IF($G1750="","",COUNTA($G$4:$G1750))</f>
        <v/>
      </c>
      <c r="B1750" s="17" t="n"/>
      <c r="C1750" s="30" t="n"/>
      <c r="D1750" s="17" t="n"/>
      <c r="E1750" s="17" t="n"/>
      <c r="F1750" s="17" t="n"/>
      <c r="G1750" s="17" t="n"/>
      <c r="H1750" s="24">
        <f>IF($G1750="","",IFERROR(VLOOKUP($G1750,物料档案!$A$4:$P$1203,3,0),"※编码不在物料档案里"))</f>
        <v/>
      </c>
      <c r="I1750" s="24">
        <f>IF($G1750="","",IFERROR(VLOOKUP($G1750,物料档案!$A$4:$P$1203,4,0),"※编码不在物料档案里"))</f>
        <v/>
      </c>
      <c r="J1750" s="24">
        <f>IF($G1750="","",IFERROR(VLOOKUP($G1750,物料档案!$A$4:$P$1203,5,0),"※编码不在物料档案里"))</f>
        <v/>
      </c>
      <c r="K1750" s="23" t="n"/>
      <c r="L1750" s="31" t="n"/>
      <c r="M1750" s="24">
        <f>IF($G1750="","",IF($D1750="A国内","CNY","TZS"))</f>
        <v/>
      </c>
      <c r="N1750" s="28">
        <f>IF($G1750="","",IF($D1750="A国内",汇率,1))</f>
        <v/>
      </c>
      <c r="O1750" s="25">
        <f>IF($G1750="","",ROUND(N($K1750)*N($L1750),2))</f>
        <v/>
      </c>
      <c r="P1750" s="26">
        <f>IF($G1750="","",ROUND($O1750*$N1750,0))</f>
        <v/>
      </c>
      <c r="Q1750" s="26">
        <f>IF($G1750="","",SUMIFS($P$4:$P$2503,$E$4:$E$2503,$E1750,$Z$4:$Z$2503,"正常"))</f>
        <v/>
      </c>
      <c r="R1750" s="26">
        <f>IF($G1750="","",SUMIFS(费用台账!$I$4:$I$503,费用台账!$C$4:$C$503,$E1750,费用台账!$J$4:$J$503,"是",费用台账!$K$4:$K$503,"正常"))</f>
        <v/>
      </c>
      <c r="S1750" s="28">
        <f>IF($G1750="","",COUNTIFS($E$4:$E$2503,$E1750,$Z$4:$Z$2503,"正常",$Y$4:$Y$2503,"待补价"))</f>
        <v/>
      </c>
      <c r="T1750" s="26">
        <f>IF($G1750="","",SUMIFS($P$4:$P$2503,$E$4:$E$2503,$E1750,$Z$4:$Z$2503,"正常",$A$4:$A$2503,"&lt;="&amp;$A1750))</f>
        <v/>
      </c>
      <c r="U1750" s="26">
        <f>IF($G1750="","",IF(OR($S1750&gt;0,$Q1750=0,$R1750=0,$Z1750&lt;&gt;"正常"),0,ROUND($T1750/$Q1750*$R1750,0)-ROUND(($T1750-$P1750)/$Q1750*$R1750,0)))</f>
        <v/>
      </c>
      <c r="V1750" s="26">
        <f>IF($G1750="","",ROUND($P1750+$U1750,0))</f>
        <v/>
      </c>
      <c r="W1750" s="26">
        <f>IF($G1750="","",IF(N($K1750)=0,0,ROUND($V1750/$K1750,2)))</f>
        <v/>
      </c>
      <c r="X1750" s="17" t="n"/>
      <c r="Y1750" s="17" t="n"/>
      <c r="Z1750" s="17" t="n"/>
      <c r="AA1750" s="17" t="n"/>
      <c r="AB1750" s="17" t="n"/>
      <c r="AC1750" s="24">
        <f>IF($G1750="","",IF($H1750="※编码不在物料档案里","※物料编码不在档案里",IF(N($K1750)&lt;=0,"※入库数量要大于 0",IF(AND($C1750&lt;&gt;"",$C1750&lt;=结账锁),"※日期早于已结账截止日，不能再录",IF(AND($L1750=0,$X1750="正常"),"※没填单价，价格状态请选「待补价」",IF(AND($S1750&gt;0,$R1750&gt;0),"△本批有 "&amp;$S1750&amp;" 行没单价，整批运费先挂账没摊",IF(AND($B1750&lt;&gt;"",COUNTIF($B$4:$B$2503,$B1750)&gt;1),"※入库单号重复","")))))))</f>
        <v/>
      </c>
    </row>
    <row r="1751">
      <c r="A1751" s="24">
        <f>IF($G1751="","",COUNTA($G$4:$G1751))</f>
        <v/>
      </c>
      <c r="B1751" s="17" t="n"/>
      <c r="C1751" s="30" t="n"/>
      <c r="D1751" s="17" t="n"/>
      <c r="E1751" s="17" t="n"/>
      <c r="F1751" s="17" t="n"/>
      <c r="G1751" s="17" t="n"/>
      <c r="H1751" s="24">
        <f>IF($G1751="","",IFERROR(VLOOKUP($G1751,物料档案!$A$4:$P$1203,3,0),"※编码不在物料档案里"))</f>
        <v/>
      </c>
      <c r="I1751" s="24">
        <f>IF($G1751="","",IFERROR(VLOOKUP($G1751,物料档案!$A$4:$P$1203,4,0),"※编码不在物料档案里"))</f>
        <v/>
      </c>
      <c r="J1751" s="24">
        <f>IF($G1751="","",IFERROR(VLOOKUP($G1751,物料档案!$A$4:$P$1203,5,0),"※编码不在物料档案里"))</f>
        <v/>
      </c>
      <c r="K1751" s="23" t="n"/>
      <c r="L1751" s="31" t="n"/>
      <c r="M1751" s="24">
        <f>IF($G1751="","",IF($D1751="A国内","CNY","TZS"))</f>
        <v/>
      </c>
      <c r="N1751" s="28">
        <f>IF($G1751="","",IF($D1751="A国内",汇率,1))</f>
        <v/>
      </c>
      <c r="O1751" s="25">
        <f>IF($G1751="","",ROUND(N($K1751)*N($L1751),2))</f>
        <v/>
      </c>
      <c r="P1751" s="26">
        <f>IF($G1751="","",ROUND($O1751*$N1751,0))</f>
        <v/>
      </c>
      <c r="Q1751" s="26">
        <f>IF($G1751="","",SUMIFS($P$4:$P$2503,$E$4:$E$2503,$E1751,$Z$4:$Z$2503,"正常"))</f>
        <v/>
      </c>
      <c r="R1751" s="26">
        <f>IF($G1751="","",SUMIFS(费用台账!$I$4:$I$503,费用台账!$C$4:$C$503,$E1751,费用台账!$J$4:$J$503,"是",费用台账!$K$4:$K$503,"正常"))</f>
        <v/>
      </c>
      <c r="S1751" s="28">
        <f>IF($G1751="","",COUNTIFS($E$4:$E$2503,$E1751,$Z$4:$Z$2503,"正常",$Y$4:$Y$2503,"待补价"))</f>
        <v/>
      </c>
      <c r="T1751" s="26">
        <f>IF($G1751="","",SUMIFS($P$4:$P$2503,$E$4:$E$2503,$E1751,$Z$4:$Z$2503,"正常",$A$4:$A$2503,"&lt;="&amp;$A1751))</f>
        <v/>
      </c>
      <c r="U1751" s="26">
        <f>IF($G1751="","",IF(OR($S1751&gt;0,$Q1751=0,$R1751=0,$Z1751&lt;&gt;"正常"),0,ROUND($T1751/$Q1751*$R1751,0)-ROUND(($T1751-$P1751)/$Q1751*$R1751,0)))</f>
        <v/>
      </c>
      <c r="V1751" s="26">
        <f>IF($G1751="","",ROUND($P1751+$U1751,0))</f>
        <v/>
      </c>
      <c r="W1751" s="26">
        <f>IF($G1751="","",IF(N($K1751)=0,0,ROUND($V1751/$K1751,2)))</f>
        <v/>
      </c>
      <c r="X1751" s="17" t="n"/>
      <c r="Y1751" s="17" t="n"/>
      <c r="Z1751" s="17" t="n"/>
      <c r="AA1751" s="17" t="n"/>
      <c r="AB1751" s="17" t="n"/>
      <c r="AC1751" s="24">
        <f>IF($G1751="","",IF($H1751="※编码不在物料档案里","※物料编码不在档案里",IF(N($K1751)&lt;=0,"※入库数量要大于 0",IF(AND($C1751&lt;&gt;"",$C1751&lt;=结账锁),"※日期早于已结账截止日，不能再录",IF(AND($L1751=0,$X1751="正常"),"※没填单价，价格状态请选「待补价」",IF(AND($S1751&gt;0,$R1751&gt;0),"△本批有 "&amp;$S1751&amp;" 行没单价，整批运费先挂账没摊",IF(AND($B1751&lt;&gt;"",COUNTIF($B$4:$B$2503,$B1751)&gt;1),"※入库单号重复","")))))))</f>
        <v/>
      </c>
    </row>
    <row r="1752">
      <c r="A1752" s="24">
        <f>IF($G1752="","",COUNTA($G$4:$G1752))</f>
        <v/>
      </c>
      <c r="B1752" s="17" t="n"/>
      <c r="C1752" s="30" t="n"/>
      <c r="D1752" s="17" t="n"/>
      <c r="E1752" s="17" t="n"/>
      <c r="F1752" s="17" t="n"/>
      <c r="G1752" s="17" t="n"/>
      <c r="H1752" s="24">
        <f>IF($G1752="","",IFERROR(VLOOKUP($G1752,物料档案!$A$4:$P$1203,3,0),"※编码不在物料档案里"))</f>
        <v/>
      </c>
      <c r="I1752" s="24">
        <f>IF($G1752="","",IFERROR(VLOOKUP($G1752,物料档案!$A$4:$P$1203,4,0),"※编码不在物料档案里"))</f>
        <v/>
      </c>
      <c r="J1752" s="24">
        <f>IF($G1752="","",IFERROR(VLOOKUP($G1752,物料档案!$A$4:$P$1203,5,0),"※编码不在物料档案里"))</f>
        <v/>
      </c>
      <c r="K1752" s="23" t="n"/>
      <c r="L1752" s="31" t="n"/>
      <c r="M1752" s="24">
        <f>IF($G1752="","",IF($D1752="A国内","CNY","TZS"))</f>
        <v/>
      </c>
      <c r="N1752" s="28">
        <f>IF($G1752="","",IF($D1752="A国内",汇率,1))</f>
        <v/>
      </c>
      <c r="O1752" s="25">
        <f>IF($G1752="","",ROUND(N($K1752)*N($L1752),2))</f>
        <v/>
      </c>
      <c r="P1752" s="26">
        <f>IF($G1752="","",ROUND($O1752*$N1752,0))</f>
        <v/>
      </c>
      <c r="Q1752" s="26">
        <f>IF($G1752="","",SUMIFS($P$4:$P$2503,$E$4:$E$2503,$E1752,$Z$4:$Z$2503,"正常"))</f>
        <v/>
      </c>
      <c r="R1752" s="26">
        <f>IF($G1752="","",SUMIFS(费用台账!$I$4:$I$503,费用台账!$C$4:$C$503,$E1752,费用台账!$J$4:$J$503,"是",费用台账!$K$4:$K$503,"正常"))</f>
        <v/>
      </c>
      <c r="S1752" s="28">
        <f>IF($G1752="","",COUNTIFS($E$4:$E$2503,$E1752,$Z$4:$Z$2503,"正常",$Y$4:$Y$2503,"待补价"))</f>
        <v/>
      </c>
      <c r="T1752" s="26">
        <f>IF($G1752="","",SUMIFS($P$4:$P$2503,$E$4:$E$2503,$E1752,$Z$4:$Z$2503,"正常",$A$4:$A$2503,"&lt;="&amp;$A1752))</f>
        <v/>
      </c>
      <c r="U1752" s="26">
        <f>IF($G1752="","",IF(OR($S1752&gt;0,$Q1752=0,$R1752=0,$Z1752&lt;&gt;"正常"),0,ROUND($T1752/$Q1752*$R1752,0)-ROUND(($T1752-$P1752)/$Q1752*$R1752,0)))</f>
        <v/>
      </c>
      <c r="V1752" s="26">
        <f>IF($G1752="","",ROUND($P1752+$U1752,0))</f>
        <v/>
      </c>
      <c r="W1752" s="26">
        <f>IF($G1752="","",IF(N($K1752)=0,0,ROUND($V1752/$K1752,2)))</f>
        <v/>
      </c>
      <c r="X1752" s="17" t="n"/>
      <c r="Y1752" s="17" t="n"/>
      <c r="Z1752" s="17" t="n"/>
      <c r="AA1752" s="17" t="n"/>
      <c r="AB1752" s="17" t="n"/>
      <c r="AC1752" s="24">
        <f>IF($G1752="","",IF($H1752="※编码不在物料档案里","※物料编码不在档案里",IF(N($K1752)&lt;=0,"※入库数量要大于 0",IF(AND($C1752&lt;&gt;"",$C1752&lt;=结账锁),"※日期早于已结账截止日，不能再录",IF(AND($L1752=0,$X1752="正常"),"※没填单价，价格状态请选「待补价」",IF(AND($S1752&gt;0,$R1752&gt;0),"△本批有 "&amp;$S1752&amp;" 行没单价，整批运费先挂账没摊",IF(AND($B1752&lt;&gt;"",COUNTIF($B$4:$B$2503,$B1752)&gt;1),"※入库单号重复","")))))))</f>
        <v/>
      </c>
    </row>
    <row r="1753">
      <c r="A1753" s="24">
        <f>IF($G1753="","",COUNTA($G$4:$G1753))</f>
        <v/>
      </c>
      <c r="B1753" s="17" t="n"/>
      <c r="C1753" s="30" t="n"/>
      <c r="D1753" s="17" t="n"/>
      <c r="E1753" s="17" t="n"/>
      <c r="F1753" s="17" t="n"/>
      <c r="G1753" s="17" t="n"/>
      <c r="H1753" s="24">
        <f>IF($G1753="","",IFERROR(VLOOKUP($G1753,物料档案!$A$4:$P$1203,3,0),"※编码不在物料档案里"))</f>
        <v/>
      </c>
      <c r="I1753" s="24">
        <f>IF($G1753="","",IFERROR(VLOOKUP($G1753,物料档案!$A$4:$P$1203,4,0),"※编码不在物料档案里"))</f>
        <v/>
      </c>
      <c r="J1753" s="24">
        <f>IF($G1753="","",IFERROR(VLOOKUP($G1753,物料档案!$A$4:$P$1203,5,0),"※编码不在物料档案里"))</f>
        <v/>
      </c>
      <c r="K1753" s="23" t="n"/>
      <c r="L1753" s="31" t="n"/>
      <c r="M1753" s="24">
        <f>IF($G1753="","",IF($D1753="A国内","CNY","TZS"))</f>
        <v/>
      </c>
      <c r="N1753" s="28">
        <f>IF($G1753="","",IF($D1753="A国内",汇率,1))</f>
        <v/>
      </c>
      <c r="O1753" s="25">
        <f>IF($G1753="","",ROUND(N($K1753)*N($L1753),2))</f>
        <v/>
      </c>
      <c r="P1753" s="26">
        <f>IF($G1753="","",ROUND($O1753*$N1753,0))</f>
        <v/>
      </c>
      <c r="Q1753" s="26">
        <f>IF($G1753="","",SUMIFS($P$4:$P$2503,$E$4:$E$2503,$E1753,$Z$4:$Z$2503,"正常"))</f>
        <v/>
      </c>
      <c r="R1753" s="26">
        <f>IF($G1753="","",SUMIFS(费用台账!$I$4:$I$503,费用台账!$C$4:$C$503,$E1753,费用台账!$J$4:$J$503,"是",费用台账!$K$4:$K$503,"正常"))</f>
        <v/>
      </c>
      <c r="S1753" s="28">
        <f>IF($G1753="","",COUNTIFS($E$4:$E$2503,$E1753,$Z$4:$Z$2503,"正常",$Y$4:$Y$2503,"待补价"))</f>
        <v/>
      </c>
      <c r="T1753" s="26">
        <f>IF($G1753="","",SUMIFS($P$4:$P$2503,$E$4:$E$2503,$E1753,$Z$4:$Z$2503,"正常",$A$4:$A$2503,"&lt;="&amp;$A1753))</f>
        <v/>
      </c>
      <c r="U1753" s="26">
        <f>IF($G1753="","",IF(OR($S1753&gt;0,$Q1753=0,$R1753=0,$Z1753&lt;&gt;"正常"),0,ROUND($T1753/$Q1753*$R1753,0)-ROUND(($T1753-$P1753)/$Q1753*$R1753,0)))</f>
        <v/>
      </c>
      <c r="V1753" s="26">
        <f>IF($G1753="","",ROUND($P1753+$U1753,0))</f>
        <v/>
      </c>
      <c r="W1753" s="26">
        <f>IF($G1753="","",IF(N($K1753)=0,0,ROUND($V1753/$K1753,2)))</f>
        <v/>
      </c>
      <c r="X1753" s="17" t="n"/>
      <c r="Y1753" s="17" t="n"/>
      <c r="Z1753" s="17" t="n"/>
      <c r="AA1753" s="17" t="n"/>
      <c r="AB1753" s="17" t="n"/>
      <c r="AC1753" s="24">
        <f>IF($G1753="","",IF($H1753="※编码不在物料档案里","※物料编码不在档案里",IF(N($K1753)&lt;=0,"※入库数量要大于 0",IF(AND($C1753&lt;&gt;"",$C1753&lt;=结账锁),"※日期早于已结账截止日，不能再录",IF(AND($L1753=0,$X1753="正常"),"※没填单价，价格状态请选「待补价」",IF(AND($S1753&gt;0,$R1753&gt;0),"△本批有 "&amp;$S1753&amp;" 行没单价，整批运费先挂账没摊",IF(AND($B1753&lt;&gt;"",COUNTIF($B$4:$B$2503,$B1753)&gt;1),"※入库单号重复","")))))))</f>
        <v/>
      </c>
    </row>
    <row r="1754">
      <c r="A1754" s="24">
        <f>IF($G1754="","",COUNTA($G$4:$G1754))</f>
        <v/>
      </c>
      <c r="B1754" s="17" t="n"/>
      <c r="C1754" s="30" t="n"/>
      <c r="D1754" s="17" t="n"/>
      <c r="E1754" s="17" t="n"/>
      <c r="F1754" s="17" t="n"/>
      <c r="G1754" s="17" t="n"/>
      <c r="H1754" s="24">
        <f>IF($G1754="","",IFERROR(VLOOKUP($G1754,物料档案!$A$4:$P$1203,3,0),"※编码不在物料档案里"))</f>
        <v/>
      </c>
      <c r="I1754" s="24">
        <f>IF($G1754="","",IFERROR(VLOOKUP($G1754,物料档案!$A$4:$P$1203,4,0),"※编码不在物料档案里"))</f>
        <v/>
      </c>
      <c r="J1754" s="24">
        <f>IF($G1754="","",IFERROR(VLOOKUP($G1754,物料档案!$A$4:$P$1203,5,0),"※编码不在物料档案里"))</f>
        <v/>
      </c>
      <c r="K1754" s="23" t="n"/>
      <c r="L1754" s="31" t="n"/>
      <c r="M1754" s="24">
        <f>IF($G1754="","",IF($D1754="A国内","CNY","TZS"))</f>
        <v/>
      </c>
      <c r="N1754" s="28">
        <f>IF($G1754="","",IF($D1754="A国内",汇率,1))</f>
        <v/>
      </c>
      <c r="O1754" s="25">
        <f>IF($G1754="","",ROUND(N($K1754)*N($L1754),2))</f>
        <v/>
      </c>
      <c r="P1754" s="26">
        <f>IF($G1754="","",ROUND($O1754*$N1754,0))</f>
        <v/>
      </c>
      <c r="Q1754" s="26">
        <f>IF($G1754="","",SUMIFS($P$4:$P$2503,$E$4:$E$2503,$E1754,$Z$4:$Z$2503,"正常"))</f>
        <v/>
      </c>
      <c r="R1754" s="26">
        <f>IF($G1754="","",SUMIFS(费用台账!$I$4:$I$503,费用台账!$C$4:$C$503,$E1754,费用台账!$J$4:$J$503,"是",费用台账!$K$4:$K$503,"正常"))</f>
        <v/>
      </c>
      <c r="S1754" s="28">
        <f>IF($G1754="","",COUNTIFS($E$4:$E$2503,$E1754,$Z$4:$Z$2503,"正常",$Y$4:$Y$2503,"待补价"))</f>
        <v/>
      </c>
      <c r="T1754" s="26">
        <f>IF($G1754="","",SUMIFS($P$4:$P$2503,$E$4:$E$2503,$E1754,$Z$4:$Z$2503,"正常",$A$4:$A$2503,"&lt;="&amp;$A1754))</f>
        <v/>
      </c>
      <c r="U1754" s="26">
        <f>IF($G1754="","",IF(OR($S1754&gt;0,$Q1754=0,$R1754=0,$Z1754&lt;&gt;"正常"),0,ROUND($T1754/$Q1754*$R1754,0)-ROUND(($T1754-$P1754)/$Q1754*$R1754,0)))</f>
        <v/>
      </c>
      <c r="V1754" s="26">
        <f>IF($G1754="","",ROUND($P1754+$U1754,0))</f>
        <v/>
      </c>
      <c r="W1754" s="26">
        <f>IF($G1754="","",IF(N($K1754)=0,0,ROUND($V1754/$K1754,2)))</f>
        <v/>
      </c>
      <c r="X1754" s="17" t="n"/>
      <c r="Y1754" s="17" t="n"/>
      <c r="Z1754" s="17" t="n"/>
      <c r="AA1754" s="17" t="n"/>
      <c r="AB1754" s="17" t="n"/>
      <c r="AC1754" s="24">
        <f>IF($G1754="","",IF($H1754="※编码不在物料档案里","※物料编码不在档案里",IF(N($K1754)&lt;=0,"※入库数量要大于 0",IF(AND($C1754&lt;&gt;"",$C1754&lt;=结账锁),"※日期早于已结账截止日，不能再录",IF(AND($L1754=0,$X1754="正常"),"※没填单价，价格状态请选「待补价」",IF(AND($S1754&gt;0,$R1754&gt;0),"△本批有 "&amp;$S1754&amp;" 行没单价，整批运费先挂账没摊",IF(AND($B1754&lt;&gt;"",COUNTIF($B$4:$B$2503,$B1754)&gt;1),"※入库单号重复","")))))))</f>
        <v/>
      </c>
    </row>
    <row r="1755">
      <c r="A1755" s="24">
        <f>IF($G1755="","",COUNTA($G$4:$G1755))</f>
        <v/>
      </c>
      <c r="B1755" s="17" t="n"/>
      <c r="C1755" s="30" t="n"/>
      <c r="D1755" s="17" t="n"/>
      <c r="E1755" s="17" t="n"/>
      <c r="F1755" s="17" t="n"/>
      <c r="G1755" s="17" t="n"/>
      <c r="H1755" s="24">
        <f>IF($G1755="","",IFERROR(VLOOKUP($G1755,物料档案!$A$4:$P$1203,3,0),"※编码不在物料档案里"))</f>
        <v/>
      </c>
      <c r="I1755" s="24">
        <f>IF($G1755="","",IFERROR(VLOOKUP($G1755,物料档案!$A$4:$P$1203,4,0),"※编码不在物料档案里"))</f>
        <v/>
      </c>
      <c r="J1755" s="24">
        <f>IF($G1755="","",IFERROR(VLOOKUP($G1755,物料档案!$A$4:$P$1203,5,0),"※编码不在物料档案里"))</f>
        <v/>
      </c>
      <c r="K1755" s="23" t="n"/>
      <c r="L1755" s="31" t="n"/>
      <c r="M1755" s="24">
        <f>IF($G1755="","",IF($D1755="A国内","CNY","TZS"))</f>
        <v/>
      </c>
      <c r="N1755" s="28">
        <f>IF($G1755="","",IF($D1755="A国内",汇率,1))</f>
        <v/>
      </c>
      <c r="O1755" s="25">
        <f>IF($G1755="","",ROUND(N($K1755)*N($L1755),2))</f>
        <v/>
      </c>
      <c r="P1755" s="26">
        <f>IF($G1755="","",ROUND($O1755*$N1755,0))</f>
        <v/>
      </c>
      <c r="Q1755" s="26">
        <f>IF($G1755="","",SUMIFS($P$4:$P$2503,$E$4:$E$2503,$E1755,$Z$4:$Z$2503,"正常"))</f>
        <v/>
      </c>
      <c r="R1755" s="26">
        <f>IF($G1755="","",SUMIFS(费用台账!$I$4:$I$503,费用台账!$C$4:$C$503,$E1755,费用台账!$J$4:$J$503,"是",费用台账!$K$4:$K$503,"正常"))</f>
        <v/>
      </c>
      <c r="S1755" s="28">
        <f>IF($G1755="","",COUNTIFS($E$4:$E$2503,$E1755,$Z$4:$Z$2503,"正常",$Y$4:$Y$2503,"待补价"))</f>
        <v/>
      </c>
      <c r="T1755" s="26">
        <f>IF($G1755="","",SUMIFS($P$4:$P$2503,$E$4:$E$2503,$E1755,$Z$4:$Z$2503,"正常",$A$4:$A$2503,"&lt;="&amp;$A1755))</f>
        <v/>
      </c>
      <c r="U1755" s="26">
        <f>IF($G1755="","",IF(OR($S1755&gt;0,$Q1755=0,$R1755=0,$Z1755&lt;&gt;"正常"),0,ROUND($T1755/$Q1755*$R1755,0)-ROUND(($T1755-$P1755)/$Q1755*$R1755,0)))</f>
        <v/>
      </c>
      <c r="V1755" s="26">
        <f>IF($G1755="","",ROUND($P1755+$U1755,0))</f>
        <v/>
      </c>
      <c r="W1755" s="26">
        <f>IF($G1755="","",IF(N($K1755)=0,0,ROUND($V1755/$K1755,2)))</f>
        <v/>
      </c>
      <c r="X1755" s="17" t="n"/>
      <c r="Y1755" s="17" t="n"/>
      <c r="Z1755" s="17" t="n"/>
      <c r="AA1755" s="17" t="n"/>
      <c r="AB1755" s="17" t="n"/>
      <c r="AC1755" s="24">
        <f>IF($G1755="","",IF($H1755="※编码不在物料档案里","※物料编码不在档案里",IF(N($K1755)&lt;=0,"※入库数量要大于 0",IF(AND($C1755&lt;&gt;"",$C1755&lt;=结账锁),"※日期早于已结账截止日，不能再录",IF(AND($L1755=0,$X1755="正常"),"※没填单价，价格状态请选「待补价」",IF(AND($S1755&gt;0,$R1755&gt;0),"△本批有 "&amp;$S1755&amp;" 行没单价，整批运费先挂账没摊",IF(AND($B1755&lt;&gt;"",COUNTIF($B$4:$B$2503,$B1755)&gt;1),"※入库单号重复","")))))))</f>
        <v/>
      </c>
    </row>
    <row r="1756">
      <c r="A1756" s="24">
        <f>IF($G1756="","",COUNTA($G$4:$G1756))</f>
        <v/>
      </c>
      <c r="B1756" s="17" t="n"/>
      <c r="C1756" s="30" t="n"/>
      <c r="D1756" s="17" t="n"/>
      <c r="E1756" s="17" t="n"/>
      <c r="F1756" s="17" t="n"/>
      <c r="G1756" s="17" t="n"/>
      <c r="H1756" s="24">
        <f>IF($G1756="","",IFERROR(VLOOKUP($G1756,物料档案!$A$4:$P$1203,3,0),"※编码不在物料档案里"))</f>
        <v/>
      </c>
      <c r="I1756" s="24">
        <f>IF($G1756="","",IFERROR(VLOOKUP($G1756,物料档案!$A$4:$P$1203,4,0),"※编码不在物料档案里"))</f>
        <v/>
      </c>
      <c r="J1756" s="24">
        <f>IF($G1756="","",IFERROR(VLOOKUP($G1756,物料档案!$A$4:$P$1203,5,0),"※编码不在物料档案里"))</f>
        <v/>
      </c>
      <c r="K1756" s="23" t="n"/>
      <c r="L1756" s="31" t="n"/>
      <c r="M1756" s="24">
        <f>IF($G1756="","",IF($D1756="A国内","CNY","TZS"))</f>
        <v/>
      </c>
      <c r="N1756" s="28">
        <f>IF($G1756="","",IF($D1756="A国内",汇率,1))</f>
        <v/>
      </c>
      <c r="O1756" s="25">
        <f>IF($G1756="","",ROUND(N($K1756)*N($L1756),2))</f>
        <v/>
      </c>
      <c r="P1756" s="26">
        <f>IF($G1756="","",ROUND($O1756*$N1756,0))</f>
        <v/>
      </c>
      <c r="Q1756" s="26">
        <f>IF($G1756="","",SUMIFS($P$4:$P$2503,$E$4:$E$2503,$E1756,$Z$4:$Z$2503,"正常"))</f>
        <v/>
      </c>
      <c r="R1756" s="26">
        <f>IF($G1756="","",SUMIFS(费用台账!$I$4:$I$503,费用台账!$C$4:$C$503,$E1756,费用台账!$J$4:$J$503,"是",费用台账!$K$4:$K$503,"正常"))</f>
        <v/>
      </c>
      <c r="S1756" s="28">
        <f>IF($G1756="","",COUNTIFS($E$4:$E$2503,$E1756,$Z$4:$Z$2503,"正常",$Y$4:$Y$2503,"待补价"))</f>
        <v/>
      </c>
      <c r="T1756" s="26">
        <f>IF($G1756="","",SUMIFS($P$4:$P$2503,$E$4:$E$2503,$E1756,$Z$4:$Z$2503,"正常",$A$4:$A$2503,"&lt;="&amp;$A1756))</f>
        <v/>
      </c>
      <c r="U1756" s="26">
        <f>IF($G1756="","",IF(OR($S1756&gt;0,$Q1756=0,$R1756=0,$Z1756&lt;&gt;"正常"),0,ROUND($T1756/$Q1756*$R1756,0)-ROUND(($T1756-$P1756)/$Q1756*$R1756,0)))</f>
        <v/>
      </c>
      <c r="V1756" s="26">
        <f>IF($G1756="","",ROUND($P1756+$U1756,0))</f>
        <v/>
      </c>
      <c r="W1756" s="26">
        <f>IF($G1756="","",IF(N($K1756)=0,0,ROUND($V1756/$K1756,2)))</f>
        <v/>
      </c>
      <c r="X1756" s="17" t="n"/>
      <c r="Y1756" s="17" t="n"/>
      <c r="Z1756" s="17" t="n"/>
      <c r="AA1756" s="17" t="n"/>
      <c r="AB1756" s="17" t="n"/>
      <c r="AC1756" s="24">
        <f>IF($G1756="","",IF($H1756="※编码不在物料档案里","※物料编码不在档案里",IF(N($K1756)&lt;=0,"※入库数量要大于 0",IF(AND($C1756&lt;&gt;"",$C1756&lt;=结账锁),"※日期早于已结账截止日，不能再录",IF(AND($L1756=0,$X1756="正常"),"※没填单价，价格状态请选「待补价」",IF(AND($S1756&gt;0,$R1756&gt;0),"△本批有 "&amp;$S1756&amp;" 行没单价，整批运费先挂账没摊",IF(AND($B1756&lt;&gt;"",COUNTIF($B$4:$B$2503,$B1756)&gt;1),"※入库单号重复","")))))))</f>
        <v/>
      </c>
    </row>
    <row r="1757">
      <c r="A1757" s="24">
        <f>IF($G1757="","",COUNTA($G$4:$G1757))</f>
        <v/>
      </c>
      <c r="B1757" s="17" t="n"/>
      <c r="C1757" s="30" t="n"/>
      <c r="D1757" s="17" t="n"/>
      <c r="E1757" s="17" t="n"/>
      <c r="F1757" s="17" t="n"/>
      <c r="G1757" s="17" t="n"/>
      <c r="H1757" s="24">
        <f>IF($G1757="","",IFERROR(VLOOKUP($G1757,物料档案!$A$4:$P$1203,3,0),"※编码不在物料档案里"))</f>
        <v/>
      </c>
      <c r="I1757" s="24">
        <f>IF($G1757="","",IFERROR(VLOOKUP($G1757,物料档案!$A$4:$P$1203,4,0),"※编码不在物料档案里"))</f>
        <v/>
      </c>
      <c r="J1757" s="24">
        <f>IF($G1757="","",IFERROR(VLOOKUP($G1757,物料档案!$A$4:$P$1203,5,0),"※编码不在物料档案里"))</f>
        <v/>
      </c>
      <c r="K1757" s="23" t="n"/>
      <c r="L1757" s="31" t="n"/>
      <c r="M1757" s="24">
        <f>IF($G1757="","",IF($D1757="A国内","CNY","TZS"))</f>
        <v/>
      </c>
      <c r="N1757" s="28">
        <f>IF($G1757="","",IF($D1757="A国内",汇率,1))</f>
        <v/>
      </c>
      <c r="O1757" s="25">
        <f>IF($G1757="","",ROUND(N($K1757)*N($L1757),2))</f>
        <v/>
      </c>
      <c r="P1757" s="26">
        <f>IF($G1757="","",ROUND($O1757*$N1757,0))</f>
        <v/>
      </c>
      <c r="Q1757" s="26">
        <f>IF($G1757="","",SUMIFS($P$4:$P$2503,$E$4:$E$2503,$E1757,$Z$4:$Z$2503,"正常"))</f>
        <v/>
      </c>
      <c r="R1757" s="26">
        <f>IF($G1757="","",SUMIFS(费用台账!$I$4:$I$503,费用台账!$C$4:$C$503,$E1757,费用台账!$J$4:$J$503,"是",费用台账!$K$4:$K$503,"正常"))</f>
        <v/>
      </c>
      <c r="S1757" s="28">
        <f>IF($G1757="","",COUNTIFS($E$4:$E$2503,$E1757,$Z$4:$Z$2503,"正常",$Y$4:$Y$2503,"待补价"))</f>
        <v/>
      </c>
      <c r="T1757" s="26">
        <f>IF($G1757="","",SUMIFS($P$4:$P$2503,$E$4:$E$2503,$E1757,$Z$4:$Z$2503,"正常",$A$4:$A$2503,"&lt;="&amp;$A1757))</f>
        <v/>
      </c>
      <c r="U1757" s="26">
        <f>IF($G1757="","",IF(OR($S1757&gt;0,$Q1757=0,$R1757=0,$Z1757&lt;&gt;"正常"),0,ROUND($T1757/$Q1757*$R1757,0)-ROUND(($T1757-$P1757)/$Q1757*$R1757,0)))</f>
        <v/>
      </c>
      <c r="V1757" s="26">
        <f>IF($G1757="","",ROUND($P1757+$U1757,0))</f>
        <v/>
      </c>
      <c r="W1757" s="26">
        <f>IF($G1757="","",IF(N($K1757)=0,0,ROUND($V1757/$K1757,2)))</f>
        <v/>
      </c>
      <c r="X1757" s="17" t="n"/>
      <c r="Y1757" s="17" t="n"/>
      <c r="Z1757" s="17" t="n"/>
      <c r="AA1757" s="17" t="n"/>
      <c r="AB1757" s="17" t="n"/>
      <c r="AC1757" s="24">
        <f>IF($G1757="","",IF($H1757="※编码不在物料档案里","※物料编码不在档案里",IF(N($K1757)&lt;=0,"※入库数量要大于 0",IF(AND($C1757&lt;&gt;"",$C1757&lt;=结账锁),"※日期早于已结账截止日，不能再录",IF(AND($L1757=0,$X1757="正常"),"※没填单价，价格状态请选「待补价」",IF(AND($S1757&gt;0,$R1757&gt;0),"△本批有 "&amp;$S1757&amp;" 行没单价，整批运费先挂账没摊",IF(AND($B1757&lt;&gt;"",COUNTIF($B$4:$B$2503,$B1757)&gt;1),"※入库单号重复","")))))))</f>
        <v/>
      </c>
    </row>
    <row r="1758">
      <c r="A1758" s="24">
        <f>IF($G1758="","",COUNTA($G$4:$G1758))</f>
        <v/>
      </c>
      <c r="B1758" s="17" t="n"/>
      <c r="C1758" s="30" t="n"/>
      <c r="D1758" s="17" t="n"/>
      <c r="E1758" s="17" t="n"/>
      <c r="F1758" s="17" t="n"/>
      <c r="G1758" s="17" t="n"/>
      <c r="H1758" s="24">
        <f>IF($G1758="","",IFERROR(VLOOKUP($G1758,物料档案!$A$4:$P$1203,3,0),"※编码不在物料档案里"))</f>
        <v/>
      </c>
      <c r="I1758" s="24">
        <f>IF($G1758="","",IFERROR(VLOOKUP($G1758,物料档案!$A$4:$P$1203,4,0),"※编码不在物料档案里"))</f>
        <v/>
      </c>
      <c r="J1758" s="24">
        <f>IF($G1758="","",IFERROR(VLOOKUP($G1758,物料档案!$A$4:$P$1203,5,0),"※编码不在物料档案里"))</f>
        <v/>
      </c>
      <c r="K1758" s="23" t="n"/>
      <c r="L1758" s="31" t="n"/>
      <c r="M1758" s="24">
        <f>IF($G1758="","",IF($D1758="A国内","CNY","TZS"))</f>
        <v/>
      </c>
      <c r="N1758" s="28">
        <f>IF($G1758="","",IF($D1758="A国内",汇率,1))</f>
        <v/>
      </c>
      <c r="O1758" s="25">
        <f>IF($G1758="","",ROUND(N($K1758)*N($L1758),2))</f>
        <v/>
      </c>
      <c r="P1758" s="26">
        <f>IF($G1758="","",ROUND($O1758*$N1758,0))</f>
        <v/>
      </c>
      <c r="Q1758" s="26">
        <f>IF($G1758="","",SUMIFS($P$4:$P$2503,$E$4:$E$2503,$E1758,$Z$4:$Z$2503,"正常"))</f>
        <v/>
      </c>
      <c r="R1758" s="26">
        <f>IF($G1758="","",SUMIFS(费用台账!$I$4:$I$503,费用台账!$C$4:$C$503,$E1758,费用台账!$J$4:$J$503,"是",费用台账!$K$4:$K$503,"正常"))</f>
        <v/>
      </c>
      <c r="S1758" s="28">
        <f>IF($G1758="","",COUNTIFS($E$4:$E$2503,$E1758,$Z$4:$Z$2503,"正常",$Y$4:$Y$2503,"待补价"))</f>
        <v/>
      </c>
      <c r="T1758" s="26">
        <f>IF($G1758="","",SUMIFS($P$4:$P$2503,$E$4:$E$2503,$E1758,$Z$4:$Z$2503,"正常",$A$4:$A$2503,"&lt;="&amp;$A1758))</f>
        <v/>
      </c>
      <c r="U1758" s="26">
        <f>IF($G1758="","",IF(OR($S1758&gt;0,$Q1758=0,$R1758=0,$Z1758&lt;&gt;"正常"),0,ROUND($T1758/$Q1758*$R1758,0)-ROUND(($T1758-$P1758)/$Q1758*$R1758,0)))</f>
        <v/>
      </c>
      <c r="V1758" s="26">
        <f>IF($G1758="","",ROUND($P1758+$U1758,0))</f>
        <v/>
      </c>
      <c r="W1758" s="26">
        <f>IF($G1758="","",IF(N($K1758)=0,0,ROUND($V1758/$K1758,2)))</f>
        <v/>
      </c>
      <c r="X1758" s="17" t="n"/>
      <c r="Y1758" s="17" t="n"/>
      <c r="Z1758" s="17" t="n"/>
      <c r="AA1758" s="17" t="n"/>
      <c r="AB1758" s="17" t="n"/>
      <c r="AC1758" s="24">
        <f>IF($G1758="","",IF($H1758="※编码不在物料档案里","※物料编码不在档案里",IF(N($K1758)&lt;=0,"※入库数量要大于 0",IF(AND($C1758&lt;&gt;"",$C1758&lt;=结账锁),"※日期早于已结账截止日，不能再录",IF(AND($L1758=0,$X1758="正常"),"※没填单价，价格状态请选「待补价」",IF(AND($S1758&gt;0,$R1758&gt;0),"△本批有 "&amp;$S1758&amp;" 行没单价，整批运费先挂账没摊",IF(AND($B1758&lt;&gt;"",COUNTIF($B$4:$B$2503,$B1758)&gt;1),"※入库单号重复","")))))))</f>
        <v/>
      </c>
    </row>
    <row r="1759">
      <c r="A1759" s="24">
        <f>IF($G1759="","",COUNTA($G$4:$G1759))</f>
        <v/>
      </c>
      <c r="B1759" s="17" t="n"/>
      <c r="C1759" s="30" t="n"/>
      <c r="D1759" s="17" t="n"/>
      <c r="E1759" s="17" t="n"/>
      <c r="F1759" s="17" t="n"/>
      <c r="G1759" s="17" t="n"/>
      <c r="H1759" s="24">
        <f>IF($G1759="","",IFERROR(VLOOKUP($G1759,物料档案!$A$4:$P$1203,3,0),"※编码不在物料档案里"))</f>
        <v/>
      </c>
      <c r="I1759" s="24">
        <f>IF($G1759="","",IFERROR(VLOOKUP($G1759,物料档案!$A$4:$P$1203,4,0),"※编码不在物料档案里"))</f>
        <v/>
      </c>
      <c r="J1759" s="24">
        <f>IF($G1759="","",IFERROR(VLOOKUP($G1759,物料档案!$A$4:$P$1203,5,0),"※编码不在物料档案里"))</f>
        <v/>
      </c>
      <c r="K1759" s="23" t="n"/>
      <c r="L1759" s="31" t="n"/>
      <c r="M1759" s="24">
        <f>IF($G1759="","",IF($D1759="A国内","CNY","TZS"))</f>
        <v/>
      </c>
      <c r="N1759" s="28">
        <f>IF($G1759="","",IF($D1759="A国内",汇率,1))</f>
        <v/>
      </c>
      <c r="O1759" s="25">
        <f>IF($G1759="","",ROUND(N($K1759)*N($L1759),2))</f>
        <v/>
      </c>
      <c r="P1759" s="26">
        <f>IF($G1759="","",ROUND($O1759*$N1759,0))</f>
        <v/>
      </c>
      <c r="Q1759" s="26">
        <f>IF($G1759="","",SUMIFS($P$4:$P$2503,$E$4:$E$2503,$E1759,$Z$4:$Z$2503,"正常"))</f>
        <v/>
      </c>
      <c r="R1759" s="26">
        <f>IF($G1759="","",SUMIFS(费用台账!$I$4:$I$503,费用台账!$C$4:$C$503,$E1759,费用台账!$J$4:$J$503,"是",费用台账!$K$4:$K$503,"正常"))</f>
        <v/>
      </c>
      <c r="S1759" s="28">
        <f>IF($G1759="","",COUNTIFS($E$4:$E$2503,$E1759,$Z$4:$Z$2503,"正常",$Y$4:$Y$2503,"待补价"))</f>
        <v/>
      </c>
      <c r="T1759" s="26">
        <f>IF($G1759="","",SUMIFS($P$4:$P$2503,$E$4:$E$2503,$E1759,$Z$4:$Z$2503,"正常",$A$4:$A$2503,"&lt;="&amp;$A1759))</f>
        <v/>
      </c>
      <c r="U1759" s="26">
        <f>IF($G1759="","",IF(OR($S1759&gt;0,$Q1759=0,$R1759=0,$Z1759&lt;&gt;"正常"),0,ROUND($T1759/$Q1759*$R1759,0)-ROUND(($T1759-$P1759)/$Q1759*$R1759,0)))</f>
        <v/>
      </c>
      <c r="V1759" s="26">
        <f>IF($G1759="","",ROUND($P1759+$U1759,0))</f>
        <v/>
      </c>
      <c r="W1759" s="26">
        <f>IF($G1759="","",IF(N($K1759)=0,0,ROUND($V1759/$K1759,2)))</f>
        <v/>
      </c>
      <c r="X1759" s="17" t="n"/>
      <c r="Y1759" s="17" t="n"/>
      <c r="Z1759" s="17" t="n"/>
      <c r="AA1759" s="17" t="n"/>
      <c r="AB1759" s="17" t="n"/>
      <c r="AC1759" s="24">
        <f>IF($G1759="","",IF($H1759="※编码不在物料档案里","※物料编码不在档案里",IF(N($K1759)&lt;=0,"※入库数量要大于 0",IF(AND($C1759&lt;&gt;"",$C1759&lt;=结账锁),"※日期早于已结账截止日，不能再录",IF(AND($L1759=0,$X1759="正常"),"※没填单价，价格状态请选「待补价」",IF(AND($S1759&gt;0,$R1759&gt;0),"△本批有 "&amp;$S1759&amp;" 行没单价，整批运费先挂账没摊",IF(AND($B1759&lt;&gt;"",COUNTIF($B$4:$B$2503,$B1759)&gt;1),"※入库单号重复","")))))))</f>
        <v/>
      </c>
    </row>
    <row r="1760">
      <c r="A1760" s="24">
        <f>IF($G1760="","",COUNTA($G$4:$G1760))</f>
        <v/>
      </c>
      <c r="B1760" s="17" t="n"/>
      <c r="C1760" s="30" t="n"/>
      <c r="D1760" s="17" t="n"/>
      <c r="E1760" s="17" t="n"/>
      <c r="F1760" s="17" t="n"/>
      <c r="G1760" s="17" t="n"/>
      <c r="H1760" s="24">
        <f>IF($G1760="","",IFERROR(VLOOKUP($G1760,物料档案!$A$4:$P$1203,3,0),"※编码不在物料档案里"))</f>
        <v/>
      </c>
      <c r="I1760" s="24">
        <f>IF($G1760="","",IFERROR(VLOOKUP($G1760,物料档案!$A$4:$P$1203,4,0),"※编码不在物料档案里"))</f>
        <v/>
      </c>
      <c r="J1760" s="24">
        <f>IF($G1760="","",IFERROR(VLOOKUP($G1760,物料档案!$A$4:$P$1203,5,0),"※编码不在物料档案里"))</f>
        <v/>
      </c>
      <c r="K1760" s="23" t="n"/>
      <c r="L1760" s="31" t="n"/>
      <c r="M1760" s="24">
        <f>IF($G1760="","",IF($D1760="A国内","CNY","TZS"))</f>
        <v/>
      </c>
      <c r="N1760" s="28">
        <f>IF($G1760="","",IF($D1760="A国内",汇率,1))</f>
        <v/>
      </c>
      <c r="O1760" s="25">
        <f>IF($G1760="","",ROUND(N($K1760)*N($L1760),2))</f>
        <v/>
      </c>
      <c r="P1760" s="26">
        <f>IF($G1760="","",ROUND($O1760*$N1760,0))</f>
        <v/>
      </c>
      <c r="Q1760" s="26">
        <f>IF($G1760="","",SUMIFS($P$4:$P$2503,$E$4:$E$2503,$E1760,$Z$4:$Z$2503,"正常"))</f>
        <v/>
      </c>
      <c r="R1760" s="26">
        <f>IF($G1760="","",SUMIFS(费用台账!$I$4:$I$503,费用台账!$C$4:$C$503,$E1760,费用台账!$J$4:$J$503,"是",费用台账!$K$4:$K$503,"正常"))</f>
        <v/>
      </c>
      <c r="S1760" s="28">
        <f>IF($G1760="","",COUNTIFS($E$4:$E$2503,$E1760,$Z$4:$Z$2503,"正常",$Y$4:$Y$2503,"待补价"))</f>
        <v/>
      </c>
      <c r="T1760" s="26">
        <f>IF($G1760="","",SUMIFS($P$4:$P$2503,$E$4:$E$2503,$E1760,$Z$4:$Z$2503,"正常",$A$4:$A$2503,"&lt;="&amp;$A1760))</f>
        <v/>
      </c>
      <c r="U1760" s="26">
        <f>IF($G1760="","",IF(OR($S1760&gt;0,$Q1760=0,$R1760=0,$Z1760&lt;&gt;"正常"),0,ROUND($T1760/$Q1760*$R1760,0)-ROUND(($T1760-$P1760)/$Q1760*$R1760,0)))</f>
        <v/>
      </c>
      <c r="V1760" s="26">
        <f>IF($G1760="","",ROUND($P1760+$U1760,0))</f>
        <v/>
      </c>
      <c r="W1760" s="26">
        <f>IF($G1760="","",IF(N($K1760)=0,0,ROUND($V1760/$K1760,2)))</f>
        <v/>
      </c>
      <c r="X1760" s="17" t="n"/>
      <c r="Y1760" s="17" t="n"/>
      <c r="Z1760" s="17" t="n"/>
      <c r="AA1760" s="17" t="n"/>
      <c r="AB1760" s="17" t="n"/>
      <c r="AC1760" s="24">
        <f>IF($G1760="","",IF($H1760="※编码不在物料档案里","※物料编码不在档案里",IF(N($K1760)&lt;=0,"※入库数量要大于 0",IF(AND($C1760&lt;&gt;"",$C1760&lt;=结账锁),"※日期早于已结账截止日，不能再录",IF(AND($L1760=0,$X1760="正常"),"※没填单价，价格状态请选「待补价」",IF(AND($S1760&gt;0,$R1760&gt;0),"△本批有 "&amp;$S1760&amp;" 行没单价，整批运费先挂账没摊",IF(AND($B1760&lt;&gt;"",COUNTIF($B$4:$B$2503,$B1760)&gt;1),"※入库单号重复","")))))))</f>
        <v/>
      </c>
    </row>
    <row r="1761">
      <c r="A1761" s="24">
        <f>IF($G1761="","",COUNTA($G$4:$G1761))</f>
        <v/>
      </c>
      <c r="B1761" s="17" t="n"/>
      <c r="C1761" s="30" t="n"/>
      <c r="D1761" s="17" t="n"/>
      <c r="E1761" s="17" t="n"/>
      <c r="F1761" s="17" t="n"/>
      <c r="G1761" s="17" t="n"/>
      <c r="H1761" s="24">
        <f>IF($G1761="","",IFERROR(VLOOKUP($G1761,物料档案!$A$4:$P$1203,3,0),"※编码不在物料档案里"))</f>
        <v/>
      </c>
      <c r="I1761" s="24">
        <f>IF($G1761="","",IFERROR(VLOOKUP($G1761,物料档案!$A$4:$P$1203,4,0),"※编码不在物料档案里"))</f>
        <v/>
      </c>
      <c r="J1761" s="24">
        <f>IF($G1761="","",IFERROR(VLOOKUP($G1761,物料档案!$A$4:$P$1203,5,0),"※编码不在物料档案里"))</f>
        <v/>
      </c>
      <c r="K1761" s="23" t="n"/>
      <c r="L1761" s="31" t="n"/>
      <c r="M1761" s="24">
        <f>IF($G1761="","",IF($D1761="A国内","CNY","TZS"))</f>
        <v/>
      </c>
      <c r="N1761" s="28">
        <f>IF($G1761="","",IF($D1761="A国内",汇率,1))</f>
        <v/>
      </c>
      <c r="O1761" s="25">
        <f>IF($G1761="","",ROUND(N($K1761)*N($L1761),2))</f>
        <v/>
      </c>
      <c r="P1761" s="26">
        <f>IF($G1761="","",ROUND($O1761*$N1761,0))</f>
        <v/>
      </c>
      <c r="Q1761" s="26">
        <f>IF($G1761="","",SUMIFS($P$4:$P$2503,$E$4:$E$2503,$E1761,$Z$4:$Z$2503,"正常"))</f>
        <v/>
      </c>
      <c r="R1761" s="26">
        <f>IF($G1761="","",SUMIFS(费用台账!$I$4:$I$503,费用台账!$C$4:$C$503,$E1761,费用台账!$J$4:$J$503,"是",费用台账!$K$4:$K$503,"正常"))</f>
        <v/>
      </c>
      <c r="S1761" s="28">
        <f>IF($G1761="","",COUNTIFS($E$4:$E$2503,$E1761,$Z$4:$Z$2503,"正常",$Y$4:$Y$2503,"待补价"))</f>
        <v/>
      </c>
      <c r="T1761" s="26">
        <f>IF($G1761="","",SUMIFS($P$4:$P$2503,$E$4:$E$2503,$E1761,$Z$4:$Z$2503,"正常",$A$4:$A$2503,"&lt;="&amp;$A1761))</f>
        <v/>
      </c>
      <c r="U1761" s="26">
        <f>IF($G1761="","",IF(OR($S1761&gt;0,$Q1761=0,$R1761=0,$Z1761&lt;&gt;"正常"),0,ROUND($T1761/$Q1761*$R1761,0)-ROUND(($T1761-$P1761)/$Q1761*$R1761,0)))</f>
        <v/>
      </c>
      <c r="V1761" s="26">
        <f>IF($G1761="","",ROUND($P1761+$U1761,0))</f>
        <v/>
      </c>
      <c r="W1761" s="26">
        <f>IF($G1761="","",IF(N($K1761)=0,0,ROUND($V1761/$K1761,2)))</f>
        <v/>
      </c>
      <c r="X1761" s="17" t="n"/>
      <c r="Y1761" s="17" t="n"/>
      <c r="Z1761" s="17" t="n"/>
      <c r="AA1761" s="17" t="n"/>
      <c r="AB1761" s="17" t="n"/>
      <c r="AC1761" s="24">
        <f>IF($G1761="","",IF($H1761="※编码不在物料档案里","※物料编码不在档案里",IF(N($K1761)&lt;=0,"※入库数量要大于 0",IF(AND($C1761&lt;&gt;"",$C1761&lt;=结账锁),"※日期早于已结账截止日，不能再录",IF(AND($L1761=0,$X1761="正常"),"※没填单价，价格状态请选「待补价」",IF(AND($S1761&gt;0,$R1761&gt;0),"△本批有 "&amp;$S1761&amp;" 行没单价，整批运费先挂账没摊",IF(AND($B1761&lt;&gt;"",COUNTIF($B$4:$B$2503,$B1761)&gt;1),"※入库单号重复","")))))))</f>
        <v/>
      </c>
    </row>
    <row r="1762">
      <c r="A1762" s="24">
        <f>IF($G1762="","",COUNTA($G$4:$G1762))</f>
        <v/>
      </c>
      <c r="B1762" s="17" t="n"/>
      <c r="C1762" s="30" t="n"/>
      <c r="D1762" s="17" t="n"/>
      <c r="E1762" s="17" t="n"/>
      <c r="F1762" s="17" t="n"/>
      <c r="G1762" s="17" t="n"/>
      <c r="H1762" s="24">
        <f>IF($G1762="","",IFERROR(VLOOKUP($G1762,物料档案!$A$4:$P$1203,3,0),"※编码不在物料档案里"))</f>
        <v/>
      </c>
      <c r="I1762" s="24">
        <f>IF($G1762="","",IFERROR(VLOOKUP($G1762,物料档案!$A$4:$P$1203,4,0),"※编码不在物料档案里"))</f>
        <v/>
      </c>
      <c r="J1762" s="24">
        <f>IF($G1762="","",IFERROR(VLOOKUP($G1762,物料档案!$A$4:$P$1203,5,0),"※编码不在物料档案里"))</f>
        <v/>
      </c>
      <c r="K1762" s="23" t="n"/>
      <c r="L1762" s="31" t="n"/>
      <c r="M1762" s="24">
        <f>IF($G1762="","",IF($D1762="A国内","CNY","TZS"))</f>
        <v/>
      </c>
      <c r="N1762" s="28">
        <f>IF($G1762="","",IF($D1762="A国内",汇率,1))</f>
        <v/>
      </c>
      <c r="O1762" s="25">
        <f>IF($G1762="","",ROUND(N($K1762)*N($L1762),2))</f>
        <v/>
      </c>
      <c r="P1762" s="26">
        <f>IF($G1762="","",ROUND($O1762*$N1762,0))</f>
        <v/>
      </c>
      <c r="Q1762" s="26">
        <f>IF($G1762="","",SUMIFS($P$4:$P$2503,$E$4:$E$2503,$E1762,$Z$4:$Z$2503,"正常"))</f>
        <v/>
      </c>
      <c r="R1762" s="26">
        <f>IF($G1762="","",SUMIFS(费用台账!$I$4:$I$503,费用台账!$C$4:$C$503,$E1762,费用台账!$J$4:$J$503,"是",费用台账!$K$4:$K$503,"正常"))</f>
        <v/>
      </c>
      <c r="S1762" s="28">
        <f>IF($G1762="","",COUNTIFS($E$4:$E$2503,$E1762,$Z$4:$Z$2503,"正常",$Y$4:$Y$2503,"待补价"))</f>
        <v/>
      </c>
      <c r="T1762" s="26">
        <f>IF($G1762="","",SUMIFS($P$4:$P$2503,$E$4:$E$2503,$E1762,$Z$4:$Z$2503,"正常",$A$4:$A$2503,"&lt;="&amp;$A1762))</f>
        <v/>
      </c>
      <c r="U1762" s="26">
        <f>IF($G1762="","",IF(OR($S1762&gt;0,$Q1762=0,$R1762=0,$Z1762&lt;&gt;"正常"),0,ROUND($T1762/$Q1762*$R1762,0)-ROUND(($T1762-$P1762)/$Q1762*$R1762,0)))</f>
        <v/>
      </c>
      <c r="V1762" s="26">
        <f>IF($G1762="","",ROUND($P1762+$U1762,0))</f>
        <v/>
      </c>
      <c r="W1762" s="26">
        <f>IF($G1762="","",IF(N($K1762)=0,0,ROUND($V1762/$K1762,2)))</f>
        <v/>
      </c>
      <c r="X1762" s="17" t="n"/>
      <c r="Y1762" s="17" t="n"/>
      <c r="Z1762" s="17" t="n"/>
      <c r="AA1762" s="17" t="n"/>
      <c r="AB1762" s="17" t="n"/>
      <c r="AC1762" s="24">
        <f>IF($G1762="","",IF($H1762="※编码不在物料档案里","※物料编码不在档案里",IF(N($K1762)&lt;=0,"※入库数量要大于 0",IF(AND($C1762&lt;&gt;"",$C1762&lt;=结账锁),"※日期早于已结账截止日，不能再录",IF(AND($L1762=0,$X1762="正常"),"※没填单价，价格状态请选「待补价」",IF(AND($S1762&gt;0,$R1762&gt;0),"△本批有 "&amp;$S1762&amp;" 行没单价，整批运费先挂账没摊",IF(AND($B1762&lt;&gt;"",COUNTIF($B$4:$B$2503,$B1762)&gt;1),"※入库单号重复","")))))))</f>
        <v/>
      </c>
    </row>
    <row r="1763">
      <c r="A1763" s="24">
        <f>IF($G1763="","",COUNTA($G$4:$G1763))</f>
        <v/>
      </c>
      <c r="B1763" s="17" t="n"/>
      <c r="C1763" s="30" t="n"/>
      <c r="D1763" s="17" t="n"/>
      <c r="E1763" s="17" t="n"/>
      <c r="F1763" s="17" t="n"/>
      <c r="G1763" s="17" t="n"/>
      <c r="H1763" s="24">
        <f>IF($G1763="","",IFERROR(VLOOKUP($G1763,物料档案!$A$4:$P$1203,3,0),"※编码不在物料档案里"))</f>
        <v/>
      </c>
      <c r="I1763" s="24">
        <f>IF($G1763="","",IFERROR(VLOOKUP($G1763,物料档案!$A$4:$P$1203,4,0),"※编码不在物料档案里"))</f>
        <v/>
      </c>
      <c r="J1763" s="24">
        <f>IF($G1763="","",IFERROR(VLOOKUP($G1763,物料档案!$A$4:$P$1203,5,0),"※编码不在物料档案里"))</f>
        <v/>
      </c>
      <c r="K1763" s="23" t="n"/>
      <c r="L1763" s="31" t="n"/>
      <c r="M1763" s="24">
        <f>IF($G1763="","",IF($D1763="A国内","CNY","TZS"))</f>
        <v/>
      </c>
      <c r="N1763" s="28">
        <f>IF($G1763="","",IF($D1763="A国内",汇率,1))</f>
        <v/>
      </c>
      <c r="O1763" s="25">
        <f>IF($G1763="","",ROUND(N($K1763)*N($L1763),2))</f>
        <v/>
      </c>
      <c r="P1763" s="26">
        <f>IF($G1763="","",ROUND($O1763*$N1763,0))</f>
        <v/>
      </c>
      <c r="Q1763" s="26">
        <f>IF($G1763="","",SUMIFS($P$4:$P$2503,$E$4:$E$2503,$E1763,$Z$4:$Z$2503,"正常"))</f>
        <v/>
      </c>
      <c r="R1763" s="26">
        <f>IF($G1763="","",SUMIFS(费用台账!$I$4:$I$503,费用台账!$C$4:$C$503,$E1763,费用台账!$J$4:$J$503,"是",费用台账!$K$4:$K$503,"正常"))</f>
        <v/>
      </c>
      <c r="S1763" s="28">
        <f>IF($G1763="","",COUNTIFS($E$4:$E$2503,$E1763,$Z$4:$Z$2503,"正常",$Y$4:$Y$2503,"待补价"))</f>
        <v/>
      </c>
      <c r="T1763" s="26">
        <f>IF($G1763="","",SUMIFS($P$4:$P$2503,$E$4:$E$2503,$E1763,$Z$4:$Z$2503,"正常",$A$4:$A$2503,"&lt;="&amp;$A1763))</f>
        <v/>
      </c>
      <c r="U1763" s="26">
        <f>IF($G1763="","",IF(OR($S1763&gt;0,$Q1763=0,$R1763=0,$Z1763&lt;&gt;"正常"),0,ROUND($T1763/$Q1763*$R1763,0)-ROUND(($T1763-$P1763)/$Q1763*$R1763,0)))</f>
        <v/>
      </c>
      <c r="V1763" s="26">
        <f>IF($G1763="","",ROUND($P1763+$U1763,0))</f>
        <v/>
      </c>
      <c r="W1763" s="26">
        <f>IF($G1763="","",IF(N($K1763)=0,0,ROUND($V1763/$K1763,2)))</f>
        <v/>
      </c>
      <c r="X1763" s="17" t="n"/>
      <c r="Y1763" s="17" t="n"/>
      <c r="Z1763" s="17" t="n"/>
      <c r="AA1763" s="17" t="n"/>
      <c r="AB1763" s="17" t="n"/>
      <c r="AC1763" s="24">
        <f>IF($G1763="","",IF($H1763="※编码不在物料档案里","※物料编码不在档案里",IF(N($K1763)&lt;=0,"※入库数量要大于 0",IF(AND($C1763&lt;&gt;"",$C1763&lt;=结账锁),"※日期早于已结账截止日，不能再录",IF(AND($L1763=0,$X1763="正常"),"※没填单价，价格状态请选「待补价」",IF(AND($S1763&gt;0,$R1763&gt;0),"△本批有 "&amp;$S1763&amp;" 行没单价，整批运费先挂账没摊",IF(AND($B1763&lt;&gt;"",COUNTIF($B$4:$B$2503,$B1763)&gt;1),"※入库单号重复","")))))))</f>
        <v/>
      </c>
    </row>
    <row r="1764">
      <c r="A1764" s="24">
        <f>IF($G1764="","",COUNTA($G$4:$G1764))</f>
        <v/>
      </c>
      <c r="B1764" s="17" t="n"/>
      <c r="C1764" s="30" t="n"/>
      <c r="D1764" s="17" t="n"/>
      <c r="E1764" s="17" t="n"/>
      <c r="F1764" s="17" t="n"/>
      <c r="G1764" s="17" t="n"/>
      <c r="H1764" s="24">
        <f>IF($G1764="","",IFERROR(VLOOKUP($G1764,物料档案!$A$4:$P$1203,3,0),"※编码不在物料档案里"))</f>
        <v/>
      </c>
      <c r="I1764" s="24">
        <f>IF($G1764="","",IFERROR(VLOOKUP($G1764,物料档案!$A$4:$P$1203,4,0),"※编码不在物料档案里"))</f>
        <v/>
      </c>
      <c r="J1764" s="24">
        <f>IF($G1764="","",IFERROR(VLOOKUP($G1764,物料档案!$A$4:$P$1203,5,0),"※编码不在物料档案里"))</f>
        <v/>
      </c>
      <c r="K1764" s="23" t="n"/>
      <c r="L1764" s="31" t="n"/>
      <c r="M1764" s="24">
        <f>IF($G1764="","",IF($D1764="A国内","CNY","TZS"))</f>
        <v/>
      </c>
      <c r="N1764" s="28">
        <f>IF($G1764="","",IF($D1764="A国内",汇率,1))</f>
        <v/>
      </c>
      <c r="O1764" s="25">
        <f>IF($G1764="","",ROUND(N($K1764)*N($L1764),2))</f>
        <v/>
      </c>
      <c r="P1764" s="26">
        <f>IF($G1764="","",ROUND($O1764*$N1764,0))</f>
        <v/>
      </c>
      <c r="Q1764" s="26">
        <f>IF($G1764="","",SUMIFS($P$4:$P$2503,$E$4:$E$2503,$E1764,$Z$4:$Z$2503,"正常"))</f>
        <v/>
      </c>
      <c r="R1764" s="26">
        <f>IF($G1764="","",SUMIFS(费用台账!$I$4:$I$503,费用台账!$C$4:$C$503,$E1764,费用台账!$J$4:$J$503,"是",费用台账!$K$4:$K$503,"正常"))</f>
        <v/>
      </c>
      <c r="S1764" s="28">
        <f>IF($G1764="","",COUNTIFS($E$4:$E$2503,$E1764,$Z$4:$Z$2503,"正常",$Y$4:$Y$2503,"待补价"))</f>
        <v/>
      </c>
      <c r="T1764" s="26">
        <f>IF($G1764="","",SUMIFS($P$4:$P$2503,$E$4:$E$2503,$E1764,$Z$4:$Z$2503,"正常",$A$4:$A$2503,"&lt;="&amp;$A1764))</f>
        <v/>
      </c>
      <c r="U1764" s="26">
        <f>IF($G1764="","",IF(OR($S1764&gt;0,$Q1764=0,$R1764=0,$Z1764&lt;&gt;"正常"),0,ROUND($T1764/$Q1764*$R1764,0)-ROUND(($T1764-$P1764)/$Q1764*$R1764,0)))</f>
        <v/>
      </c>
      <c r="V1764" s="26">
        <f>IF($G1764="","",ROUND($P1764+$U1764,0))</f>
        <v/>
      </c>
      <c r="W1764" s="26">
        <f>IF($G1764="","",IF(N($K1764)=0,0,ROUND($V1764/$K1764,2)))</f>
        <v/>
      </c>
      <c r="X1764" s="17" t="n"/>
      <c r="Y1764" s="17" t="n"/>
      <c r="Z1764" s="17" t="n"/>
      <c r="AA1764" s="17" t="n"/>
      <c r="AB1764" s="17" t="n"/>
      <c r="AC1764" s="24">
        <f>IF($G1764="","",IF($H1764="※编码不在物料档案里","※物料编码不在档案里",IF(N($K1764)&lt;=0,"※入库数量要大于 0",IF(AND($C1764&lt;&gt;"",$C1764&lt;=结账锁),"※日期早于已结账截止日，不能再录",IF(AND($L1764=0,$X1764="正常"),"※没填单价，价格状态请选「待补价」",IF(AND($S1764&gt;0,$R1764&gt;0),"△本批有 "&amp;$S1764&amp;" 行没单价，整批运费先挂账没摊",IF(AND($B1764&lt;&gt;"",COUNTIF($B$4:$B$2503,$B1764)&gt;1),"※入库单号重复","")))))))</f>
        <v/>
      </c>
    </row>
    <row r="1765">
      <c r="A1765" s="24">
        <f>IF($G1765="","",COUNTA($G$4:$G1765))</f>
        <v/>
      </c>
      <c r="B1765" s="17" t="n"/>
      <c r="C1765" s="30" t="n"/>
      <c r="D1765" s="17" t="n"/>
      <c r="E1765" s="17" t="n"/>
      <c r="F1765" s="17" t="n"/>
      <c r="G1765" s="17" t="n"/>
      <c r="H1765" s="24">
        <f>IF($G1765="","",IFERROR(VLOOKUP($G1765,物料档案!$A$4:$P$1203,3,0),"※编码不在物料档案里"))</f>
        <v/>
      </c>
      <c r="I1765" s="24">
        <f>IF($G1765="","",IFERROR(VLOOKUP($G1765,物料档案!$A$4:$P$1203,4,0),"※编码不在物料档案里"))</f>
        <v/>
      </c>
      <c r="J1765" s="24">
        <f>IF($G1765="","",IFERROR(VLOOKUP($G1765,物料档案!$A$4:$P$1203,5,0),"※编码不在物料档案里"))</f>
        <v/>
      </c>
      <c r="K1765" s="23" t="n"/>
      <c r="L1765" s="31" t="n"/>
      <c r="M1765" s="24">
        <f>IF($G1765="","",IF($D1765="A国内","CNY","TZS"))</f>
        <v/>
      </c>
      <c r="N1765" s="28">
        <f>IF($G1765="","",IF($D1765="A国内",汇率,1))</f>
        <v/>
      </c>
      <c r="O1765" s="25">
        <f>IF($G1765="","",ROUND(N($K1765)*N($L1765),2))</f>
        <v/>
      </c>
      <c r="P1765" s="26">
        <f>IF($G1765="","",ROUND($O1765*$N1765,0))</f>
        <v/>
      </c>
      <c r="Q1765" s="26">
        <f>IF($G1765="","",SUMIFS($P$4:$P$2503,$E$4:$E$2503,$E1765,$Z$4:$Z$2503,"正常"))</f>
        <v/>
      </c>
      <c r="R1765" s="26">
        <f>IF($G1765="","",SUMIFS(费用台账!$I$4:$I$503,费用台账!$C$4:$C$503,$E1765,费用台账!$J$4:$J$503,"是",费用台账!$K$4:$K$503,"正常"))</f>
        <v/>
      </c>
      <c r="S1765" s="28">
        <f>IF($G1765="","",COUNTIFS($E$4:$E$2503,$E1765,$Z$4:$Z$2503,"正常",$Y$4:$Y$2503,"待补价"))</f>
        <v/>
      </c>
      <c r="T1765" s="26">
        <f>IF($G1765="","",SUMIFS($P$4:$P$2503,$E$4:$E$2503,$E1765,$Z$4:$Z$2503,"正常",$A$4:$A$2503,"&lt;="&amp;$A1765))</f>
        <v/>
      </c>
      <c r="U1765" s="26">
        <f>IF($G1765="","",IF(OR($S1765&gt;0,$Q1765=0,$R1765=0,$Z1765&lt;&gt;"正常"),0,ROUND($T1765/$Q1765*$R1765,0)-ROUND(($T1765-$P1765)/$Q1765*$R1765,0)))</f>
        <v/>
      </c>
      <c r="V1765" s="26">
        <f>IF($G1765="","",ROUND($P1765+$U1765,0))</f>
        <v/>
      </c>
      <c r="W1765" s="26">
        <f>IF($G1765="","",IF(N($K1765)=0,0,ROUND($V1765/$K1765,2)))</f>
        <v/>
      </c>
      <c r="X1765" s="17" t="n"/>
      <c r="Y1765" s="17" t="n"/>
      <c r="Z1765" s="17" t="n"/>
      <c r="AA1765" s="17" t="n"/>
      <c r="AB1765" s="17" t="n"/>
      <c r="AC1765" s="24">
        <f>IF($G1765="","",IF($H1765="※编码不在物料档案里","※物料编码不在档案里",IF(N($K1765)&lt;=0,"※入库数量要大于 0",IF(AND($C1765&lt;&gt;"",$C1765&lt;=结账锁),"※日期早于已结账截止日，不能再录",IF(AND($L1765=0,$X1765="正常"),"※没填单价，价格状态请选「待补价」",IF(AND($S1765&gt;0,$R1765&gt;0),"△本批有 "&amp;$S1765&amp;" 行没单价，整批运费先挂账没摊",IF(AND($B1765&lt;&gt;"",COUNTIF($B$4:$B$2503,$B1765)&gt;1),"※入库单号重复","")))))))</f>
        <v/>
      </c>
    </row>
    <row r="1766">
      <c r="A1766" s="24">
        <f>IF($G1766="","",COUNTA($G$4:$G1766))</f>
        <v/>
      </c>
      <c r="B1766" s="17" t="n"/>
      <c r="C1766" s="30" t="n"/>
      <c r="D1766" s="17" t="n"/>
      <c r="E1766" s="17" t="n"/>
      <c r="F1766" s="17" t="n"/>
      <c r="G1766" s="17" t="n"/>
      <c r="H1766" s="24">
        <f>IF($G1766="","",IFERROR(VLOOKUP($G1766,物料档案!$A$4:$P$1203,3,0),"※编码不在物料档案里"))</f>
        <v/>
      </c>
      <c r="I1766" s="24">
        <f>IF($G1766="","",IFERROR(VLOOKUP($G1766,物料档案!$A$4:$P$1203,4,0),"※编码不在物料档案里"))</f>
        <v/>
      </c>
      <c r="J1766" s="24">
        <f>IF($G1766="","",IFERROR(VLOOKUP($G1766,物料档案!$A$4:$P$1203,5,0),"※编码不在物料档案里"))</f>
        <v/>
      </c>
      <c r="K1766" s="23" t="n"/>
      <c r="L1766" s="31" t="n"/>
      <c r="M1766" s="24">
        <f>IF($G1766="","",IF($D1766="A国内","CNY","TZS"))</f>
        <v/>
      </c>
      <c r="N1766" s="28">
        <f>IF($G1766="","",IF($D1766="A国内",汇率,1))</f>
        <v/>
      </c>
      <c r="O1766" s="25">
        <f>IF($G1766="","",ROUND(N($K1766)*N($L1766),2))</f>
        <v/>
      </c>
      <c r="P1766" s="26">
        <f>IF($G1766="","",ROUND($O1766*$N1766,0))</f>
        <v/>
      </c>
      <c r="Q1766" s="26">
        <f>IF($G1766="","",SUMIFS($P$4:$P$2503,$E$4:$E$2503,$E1766,$Z$4:$Z$2503,"正常"))</f>
        <v/>
      </c>
      <c r="R1766" s="26">
        <f>IF($G1766="","",SUMIFS(费用台账!$I$4:$I$503,费用台账!$C$4:$C$503,$E1766,费用台账!$J$4:$J$503,"是",费用台账!$K$4:$K$503,"正常"))</f>
        <v/>
      </c>
      <c r="S1766" s="28">
        <f>IF($G1766="","",COUNTIFS($E$4:$E$2503,$E1766,$Z$4:$Z$2503,"正常",$Y$4:$Y$2503,"待补价"))</f>
        <v/>
      </c>
      <c r="T1766" s="26">
        <f>IF($G1766="","",SUMIFS($P$4:$P$2503,$E$4:$E$2503,$E1766,$Z$4:$Z$2503,"正常",$A$4:$A$2503,"&lt;="&amp;$A1766))</f>
        <v/>
      </c>
      <c r="U1766" s="26">
        <f>IF($G1766="","",IF(OR($S1766&gt;0,$Q1766=0,$R1766=0,$Z1766&lt;&gt;"正常"),0,ROUND($T1766/$Q1766*$R1766,0)-ROUND(($T1766-$P1766)/$Q1766*$R1766,0)))</f>
        <v/>
      </c>
      <c r="V1766" s="26">
        <f>IF($G1766="","",ROUND($P1766+$U1766,0))</f>
        <v/>
      </c>
      <c r="W1766" s="26">
        <f>IF($G1766="","",IF(N($K1766)=0,0,ROUND($V1766/$K1766,2)))</f>
        <v/>
      </c>
      <c r="X1766" s="17" t="n"/>
      <c r="Y1766" s="17" t="n"/>
      <c r="Z1766" s="17" t="n"/>
      <c r="AA1766" s="17" t="n"/>
      <c r="AB1766" s="17" t="n"/>
      <c r="AC1766" s="24">
        <f>IF($G1766="","",IF($H1766="※编码不在物料档案里","※物料编码不在档案里",IF(N($K1766)&lt;=0,"※入库数量要大于 0",IF(AND($C1766&lt;&gt;"",$C1766&lt;=结账锁),"※日期早于已结账截止日，不能再录",IF(AND($L1766=0,$X1766="正常"),"※没填单价，价格状态请选「待补价」",IF(AND($S1766&gt;0,$R1766&gt;0),"△本批有 "&amp;$S1766&amp;" 行没单价，整批运费先挂账没摊",IF(AND($B1766&lt;&gt;"",COUNTIF($B$4:$B$2503,$B1766)&gt;1),"※入库单号重复","")))))))</f>
        <v/>
      </c>
    </row>
    <row r="1767">
      <c r="A1767" s="24">
        <f>IF($G1767="","",COUNTA($G$4:$G1767))</f>
        <v/>
      </c>
      <c r="B1767" s="17" t="n"/>
      <c r="C1767" s="30" t="n"/>
      <c r="D1767" s="17" t="n"/>
      <c r="E1767" s="17" t="n"/>
      <c r="F1767" s="17" t="n"/>
      <c r="G1767" s="17" t="n"/>
      <c r="H1767" s="24">
        <f>IF($G1767="","",IFERROR(VLOOKUP($G1767,物料档案!$A$4:$P$1203,3,0),"※编码不在物料档案里"))</f>
        <v/>
      </c>
      <c r="I1767" s="24">
        <f>IF($G1767="","",IFERROR(VLOOKUP($G1767,物料档案!$A$4:$P$1203,4,0),"※编码不在物料档案里"))</f>
        <v/>
      </c>
      <c r="J1767" s="24">
        <f>IF($G1767="","",IFERROR(VLOOKUP($G1767,物料档案!$A$4:$P$1203,5,0),"※编码不在物料档案里"))</f>
        <v/>
      </c>
      <c r="K1767" s="23" t="n"/>
      <c r="L1767" s="31" t="n"/>
      <c r="M1767" s="24">
        <f>IF($G1767="","",IF($D1767="A国内","CNY","TZS"))</f>
        <v/>
      </c>
      <c r="N1767" s="28">
        <f>IF($G1767="","",IF($D1767="A国内",汇率,1))</f>
        <v/>
      </c>
      <c r="O1767" s="25">
        <f>IF($G1767="","",ROUND(N($K1767)*N($L1767),2))</f>
        <v/>
      </c>
      <c r="P1767" s="26">
        <f>IF($G1767="","",ROUND($O1767*$N1767,0))</f>
        <v/>
      </c>
      <c r="Q1767" s="26">
        <f>IF($G1767="","",SUMIFS($P$4:$P$2503,$E$4:$E$2503,$E1767,$Z$4:$Z$2503,"正常"))</f>
        <v/>
      </c>
      <c r="R1767" s="26">
        <f>IF($G1767="","",SUMIFS(费用台账!$I$4:$I$503,费用台账!$C$4:$C$503,$E1767,费用台账!$J$4:$J$503,"是",费用台账!$K$4:$K$503,"正常"))</f>
        <v/>
      </c>
      <c r="S1767" s="28">
        <f>IF($G1767="","",COUNTIFS($E$4:$E$2503,$E1767,$Z$4:$Z$2503,"正常",$Y$4:$Y$2503,"待补价"))</f>
        <v/>
      </c>
      <c r="T1767" s="26">
        <f>IF($G1767="","",SUMIFS($P$4:$P$2503,$E$4:$E$2503,$E1767,$Z$4:$Z$2503,"正常",$A$4:$A$2503,"&lt;="&amp;$A1767))</f>
        <v/>
      </c>
      <c r="U1767" s="26">
        <f>IF($G1767="","",IF(OR($S1767&gt;0,$Q1767=0,$R1767=0,$Z1767&lt;&gt;"正常"),0,ROUND($T1767/$Q1767*$R1767,0)-ROUND(($T1767-$P1767)/$Q1767*$R1767,0)))</f>
        <v/>
      </c>
      <c r="V1767" s="26">
        <f>IF($G1767="","",ROUND($P1767+$U1767,0))</f>
        <v/>
      </c>
      <c r="W1767" s="26">
        <f>IF($G1767="","",IF(N($K1767)=0,0,ROUND($V1767/$K1767,2)))</f>
        <v/>
      </c>
      <c r="X1767" s="17" t="n"/>
      <c r="Y1767" s="17" t="n"/>
      <c r="Z1767" s="17" t="n"/>
      <c r="AA1767" s="17" t="n"/>
      <c r="AB1767" s="17" t="n"/>
      <c r="AC1767" s="24">
        <f>IF($G1767="","",IF($H1767="※编码不在物料档案里","※物料编码不在档案里",IF(N($K1767)&lt;=0,"※入库数量要大于 0",IF(AND($C1767&lt;&gt;"",$C1767&lt;=结账锁),"※日期早于已结账截止日，不能再录",IF(AND($L1767=0,$X1767="正常"),"※没填单价，价格状态请选「待补价」",IF(AND($S1767&gt;0,$R1767&gt;0),"△本批有 "&amp;$S1767&amp;" 行没单价，整批运费先挂账没摊",IF(AND($B1767&lt;&gt;"",COUNTIF($B$4:$B$2503,$B1767)&gt;1),"※入库单号重复","")))))))</f>
        <v/>
      </c>
    </row>
    <row r="1768">
      <c r="A1768" s="24">
        <f>IF($G1768="","",COUNTA($G$4:$G1768))</f>
        <v/>
      </c>
      <c r="B1768" s="17" t="n"/>
      <c r="C1768" s="30" t="n"/>
      <c r="D1768" s="17" t="n"/>
      <c r="E1768" s="17" t="n"/>
      <c r="F1768" s="17" t="n"/>
      <c r="G1768" s="17" t="n"/>
      <c r="H1768" s="24">
        <f>IF($G1768="","",IFERROR(VLOOKUP($G1768,物料档案!$A$4:$P$1203,3,0),"※编码不在物料档案里"))</f>
        <v/>
      </c>
      <c r="I1768" s="24">
        <f>IF($G1768="","",IFERROR(VLOOKUP($G1768,物料档案!$A$4:$P$1203,4,0),"※编码不在物料档案里"))</f>
        <v/>
      </c>
      <c r="J1768" s="24">
        <f>IF($G1768="","",IFERROR(VLOOKUP($G1768,物料档案!$A$4:$P$1203,5,0),"※编码不在物料档案里"))</f>
        <v/>
      </c>
      <c r="K1768" s="23" t="n"/>
      <c r="L1768" s="31" t="n"/>
      <c r="M1768" s="24">
        <f>IF($G1768="","",IF($D1768="A国内","CNY","TZS"))</f>
        <v/>
      </c>
      <c r="N1768" s="28">
        <f>IF($G1768="","",IF($D1768="A国内",汇率,1))</f>
        <v/>
      </c>
      <c r="O1768" s="25">
        <f>IF($G1768="","",ROUND(N($K1768)*N($L1768),2))</f>
        <v/>
      </c>
      <c r="P1768" s="26">
        <f>IF($G1768="","",ROUND($O1768*$N1768,0))</f>
        <v/>
      </c>
      <c r="Q1768" s="26">
        <f>IF($G1768="","",SUMIFS($P$4:$P$2503,$E$4:$E$2503,$E1768,$Z$4:$Z$2503,"正常"))</f>
        <v/>
      </c>
      <c r="R1768" s="26">
        <f>IF($G1768="","",SUMIFS(费用台账!$I$4:$I$503,费用台账!$C$4:$C$503,$E1768,费用台账!$J$4:$J$503,"是",费用台账!$K$4:$K$503,"正常"))</f>
        <v/>
      </c>
      <c r="S1768" s="28">
        <f>IF($G1768="","",COUNTIFS($E$4:$E$2503,$E1768,$Z$4:$Z$2503,"正常",$Y$4:$Y$2503,"待补价"))</f>
        <v/>
      </c>
      <c r="T1768" s="26">
        <f>IF($G1768="","",SUMIFS($P$4:$P$2503,$E$4:$E$2503,$E1768,$Z$4:$Z$2503,"正常",$A$4:$A$2503,"&lt;="&amp;$A1768))</f>
        <v/>
      </c>
      <c r="U1768" s="26">
        <f>IF($G1768="","",IF(OR($S1768&gt;0,$Q1768=0,$R1768=0,$Z1768&lt;&gt;"正常"),0,ROUND($T1768/$Q1768*$R1768,0)-ROUND(($T1768-$P1768)/$Q1768*$R1768,0)))</f>
        <v/>
      </c>
      <c r="V1768" s="26">
        <f>IF($G1768="","",ROUND($P1768+$U1768,0))</f>
        <v/>
      </c>
      <c r="W1768" s="26">
        <f>IF($G1768="","",IF(N($K1768)=0,0,ROUND($V1768/$K1768,2)))</f>
        <v/>
      </c>
      <c r="X1768" s="17" t="n"/>
      <c r="Y1768" s="17" t="n"/>
      <c r="Z1768" s="17" t="n"/>
      <c r="AA1768" s="17" t="n"/>
      <c r="AB1768" s="17" t="n"/>
      <c r="AC1768" s="24">
        <f>IF($G1768="","",IF($H1768="※编码不在物料档案里","※物料编码不在档案里",IF(N($K1768)&lt;=0,"※入库数量要大于 0",IF(AND($C1768&lt;&gt;"",$C1768&lt;=结账锁),"※日期早于已结账截止日，不能再录",IF(AND($L1768=0,$X1768="正常"),"※没填单价，价格状态请选「待补价」",IF(AND($S1768&gt;0,$R1768&gt;0),"△本批有 "&amp;$S1768&amp;" 行没单价，整批运费先挂账没摊",IF(AND($B1768&lt;&gt;"",COUNTIF($B$4:$B$2503,$B1768)&gt;1),"※入库单号重复","")))))))</f>
        <v/>
      </c>
    </row>
    <row r="1769">
      <c r="A1769" s="24">
        <f>IF($G1769="","",COUNTA($G$4:$G1769))</f>
        <v/>
      </c>
      <c r="B1769" s="17" t="n"/>
      <c r="C1769" s="30" t="n"/>
      <c r="D1769" s="17" t="n"/>
      <c r="E1769" s="17" t="n"/>
      <c r="F1769" s="17" t="n"/>
      <c r="G1769" s="17" t="n"/>
      <c r="H1769" s="24">
        <f>IF($G1769="","",IFERROR(VLOOKUP($G1769,物料档案!$A$4:$P$1203,3,0),"※编码不在物料档案里"))</f>
        <v/>
      </c>
      <c r="I1769" s="24">
        <f>IF($G1769="","",IFERROR(VLOOKUP($G1769,物料档案!$A$4:$P$1203,4,0),"※编码不在物料档案里"))</f>
        <v/>
      </c>
      <c r="J1769" s="24">
        <f>IF($G1769="","",IFERROR(VLOOKUP($G1769,物料档案!$A$4:$P$1203,5,0),"※编码不在物料档案里"))</f>
        <v/>
      </c>
      <c r="K1769" s="23" t="n"/>
      <c r="L1769" s="31" t="n"/>
      <c r="M1769" s="24">
        <f>IF($G1769="","",IF($D1769="A国内","CNY","TZS"))</f>
        <v/>
      </c>
      <c r="N1769" s="28">
        <f>IF($G1769="","",IF($D1769="A国内",汇率,1))</f>
        <v/>
      </c>
      <c r="O1769" s="25">
        <f>IF($G1769="","",ROUND(N($K1769)*N($L1769),2))</f>
        <v/>
      </c>
      <c r="P1769" s="26">
        <f>IF($G1769="","",ROUND($O1769*$N1769,0))</f>
        <v/>
      </c>
      <c r="Q1769" s="26">
        <f>IF($G1769="","",SUMIFS($P$4:$P$2503,$E$4:$E$2503,$E1769,$Z$4:$Z$2503,"正常"))</f>
        <v/>
      </c>
      <c r="R1769" s="26">
        <f>IF($G1769="","",SUMIFS(费用台账!$I$4:$I$503,费用台账!$C$4:$C$503,$E1769,费用台账!$J$4:$J$503,"是",费用台账!$K$4:$K$503,"正常"))</f>
        <v/>
      </c>
      <c r="S1769" s="28">
        <f>IF($G1769="","",COUNTIFS($E$4:$E$2503,$E1769,$Z$4:$Z$2503,"正常",$Y$4:$Y$2503,"待补价"))</f>
        <v/>
      </c>
      <c r="T1769" s="26">
        <f>IF($G1769="","",SUMIFS($P$4:$P$2503,$E$4:$E$2503,$E1769,$Z$4:$Z$2503,"正常",$A$4:$A$2503,"&lt;="&amp;$A1769))</f>
        <v/>
      </c>
      <c r="U1769" s="26">
        <f>IF($G1769="","",IF(OR($S1769&gt;0,$Q1769=0,$R1769=0,$Z1769&lt;&gt;"正常"),0,ROUND($T1769/$Q1769*$R1769,0)-ROUND(($T1769-$P1769)/$Q1769*$R1769,0)))</f>
        <v/>
      </c>
      <c r="V1769" s="26">
        <f>IF($G1769="","",ROUND($P1769+$U1769,0))</f>
        <v/>
      </c>
      <c r="W1769" s="26">
        <f>IF($G1769="","",IF(N($K1769)=0,0,ROUND($V1769/$K1769,2)))</f>
        <v/>
      </c>
      <c r="X1769" s="17" t="n"/>
      <c r="Y1769" s="17" t="n"/>
      <c r="Z1769" s="17" t="n"/>
      <c r="AA1769" s="17" t="n"/>
      <c r="AB1769" s="17" t="n"/>
      <c r="AC1769" s="24">
        <f>IF($G1769="","",IF($H1769="※编码不在物料档案里","※物料编码不在档案里",IF(N($K1769)&lt;=0,"※入库数量要大于 0",IF(AND($C1769&lt;&gt;"",$C1769&lt;=结账锁),"※日期早于已结账截止日，不能再录",IF(AND($L1769=0,$X1769="正常"),"※没填单价，价格状态请选「待补价」",IF(AND($S1769&gt;0,$R1769&gt;0),"△本批有 "&amp;$S1769&amp;" 行没单价，整批运费先挂账没摊",IF(AND($B1769&lt;&gt;"",COUNTIF($B$4:$B$2503,$B1769)&gt;1),"※入库单号重复","")))))))</f>
        <v/>
      </c>
    </row>
    <row r="1770">
      <c r="A1770" s="24">
        <f>IF($G1770="","",COUNTA($G$4:$G1770))</f>
        <v/>
      </c>
      <c r="B1770" s="17" t="n"/>
      <c r="C1770" s="30" t="n"/>
      <c r="D1770" s="17" t="n"/>
      <c r="E1770" s="17" t="n"/>
      <c r="F1770" s="17" t="n"/>
      <c r="G1770" s="17" t="n"/>
      <c r="H1770" s="24">
        <f>IF($G1770="","",IFERROR(VLOOKUP($G1770,物料档案!$A$4:$P$1203,3,0),"※编码不在物料档案里"))</f>
        <v/>
      </c>
      <c r="I1770" s="24">
        <f>IF($G1770="","",IFERROR(VLOOKUP($G1770,物料档案!$A$4:$P$1203,4,0),"※编码不在物料档案里"))</f>
        <v/>
      </c>
      <c r="J1770" s="24">
        <f>IF($G1770="","",IFERROR(VLOOKUP($G1770,物料档案!$A$4:$P$1203,5,0),"※编码不在物料档案里"))</f>
        <v/>
      </c>
      <c r="K1770" s="23" t="n"/>
      <c r="L1770" s="31" t="n"/>
      <c r="M1770" s="24">
        <f>IF($G1770="","",IF($D1770="A国内","CNY","TZS"))</f>
        <v/>
      </c>
      <c r="N1770" s="28">
        <f>IF($G1770="","",IF($D1770="A国内",汇率,1))</f>
        <v/>
      </c>
      <c r="O1770" s="25">
        <f>IF($G1770="","",ROUND(N($K1770)*N($L1770),2))</f>
        <v/>
      </c>
      <c r="P1770" s="26">
        <f>IF($G1770="","",ROUND($O1770*$N1770,0))</f>
        <v/>
      </c>
      <c r="Q1770" s="26">
        <f>IF($G1770="","",SUMIFS($P$4:$P$2503,$E$4:$E$2503,$E1770,$Z$4:$Z$2503,"正常"))</f>
        <v/>
      </c>
      <c r="R1770" s="26">
        <f>IF($G1770="","",SUMIFS(费用台账!$I$4:$I$503,费用台账!$C$4:$C$503,$E1770,费用台账!$J$4:$J$503,"是",费用台账!$K$4:$K$503,"正常"))</f>
        <v/>
      </c>
      <c r="S1770" s="28">
        <f>IF($G1770="","",COUNTIFS($E$4:$E$2503,$E1770,$Z$4:$Z$2503,"正常",$Y$4:$Y$2503,"待补价"))</f>
        <v/>
      </c>
      <c r="T1770" s="26">
        <f>IF($G1770="","",SUMIFS($P$4:$P$2503,$E$4:$E$2503,$E1770,$Z$4:$Z$2503,"正常",$A$4:$A$2503,"&lt;="&amp;$A1770))</f>
        <v/>
      </c>
      <c r="U1770" s="26">
        <f>IF($G1770="","",IF(OR($S1770&gt;0,$Q1770=0,$R1770=0,$Z1770&lt;&gt;"正常"),0,ROUND($T1770/$Q1770*$R1770,0)-ROUND(($T1770-$P1770)/$Q1770*$R1770,0)))</f>
        <v/>
      </c>
      <c r="V1770" s="26">
        <f>IF($G1770="","",ROUND($P1770+$U1770,0))</f>
        <v/>
      </c>
      <c r="W1770" s="26">
        <f>IF($G1770="","",IF(N($K1770)=0,0,ROUND($V1770/$K1770,2)))</f>
        <v/>
      </c>
      <c r="X1770" s="17" t="n"/>
      <c r="Y1770" s="17" t="n"/>
      <c r="Z1770" s="17" t="n"/>
      <c r="AA1770" s="17" t="n"/>
      <c r="AB1770" s="17" t="n"/>
      <c r="AC1770" s="24">
        <f>IF($G1770="","",IF($H1770="※编码不在物料档案里","※物料编码不在档案里",IF(N($K1770)&lt;=0,"※入库数量要大于 0",IF(AND($C1770&lt;&gt;"",$C1770&lt;=结账锁),"※日期早于已结账截止日，不能再录",IF(AND($L1770=0,$X1770="正常"),"※没填单价，价格状态请选「待补价」",IF(AND($S1770&gt;0,$R1770&gt;0),"△本批有 "&amp;$S1770&amp;" 行没单价，整批运费先挂账没摊",IF(AND($B1770&lt;&gt;"",COUNTIF($B$4:$B$2503,$B1770)&gt;1),"※入库单号重复","")))))))</f>
        <v/>
      </c>
    </row>
    <row r="1771">
      <c r="A1771" s="24">
        <f>IF($G1771="","",COUNTA($G$4:$G1771))</f>
        <v/>
      </c>
      <c r="B1771" s="17" t="n"/>
      <c r="C1771" s="30" t="n"/>
      <c r="D1771" s="17" t="n"/>
      <c r="E1771" s="17" t="n"/>
      <c r="F1771" s="17" t="n"/>
      <c r="G1771" s="17" t="n"/>
      <c r="H1771" s="24">
        <f>IF($G1771="","",IFERROR(VLOOKUP($G1771,物料档案!$A$4:$P$1203,3,0),"※编码不在物料档案里"))</f>
        <v/>
      </c>
      <c r="I1771" s="24">
        <f>IF($G1771="","",IFERROR(VLOOKUP($G1771,物料档案!$A$4:$P$1203,4,0),"※编码不在物料档案里"))</f>
        <v/>
      </c>
      <c r="J1771" s="24">
        <f>IF($G1771="","",IFERROR(VLOOKUP($G1771,物料档案!$A$4:$P$1203,5,0),"※编码不在物料档案里"))</f>
        <v/>
      </c>
      <c r="K1771" s="23" t="n"/>
      <c r="L1771" s="31" t="n"/>
      <c r="M1771" s="24">
        <f>IF($G1771="","",IF($D1771="A国内","CNY","TZS"))</f>
        <v/>
      </c>
      <c r="N1771" s="28">
        <f>IF($G1771="","",IF($D1771="A国内",汇率,1))</f>
        <v/>
      </c>
      <c r="O1771" s="25">
        <f>IF($G1771="","",ROUND(N($K1771)*N($L1771),2))</f>
        <v/>
      </c>
      <c r="P1771" s="26">
        <f>IF($G1771="","",ROUND($O1771*$N1771,0))</f>
        <v/>
      </c>
      <c r="Q1771" s="26">
        <f>IF($G1771="","",SUMIFS($P$4:$P$2503,$E$4:$E$2503,$E1771,$Z$4:$Z$2503,"正常"))</f>
        <v/>
      </c>
      <c r="R1771" s="26">
        <f>IF($G1771="","",SUMIFS(费用台账!$I$4:$I$503,费用台账!$C$4:$C$503,$E1771,费用台账!$J$4:$J$503,"是",费用台账!$K$4:$K$503,"正常"))</f>
        <v/>
      </c>
      <c r="S1771" s="28">
        <f>IF($G1771="","",COUNTIFS($E$4:$E$2503,$E1771,$Z$4:$Z$2503,"正常",$Y$4:$Y$2503,"待补价"))</f>
        <v/>
      </c>
      <c r="T1771" s="26">
        <f>IF($G1771="","",SUMIFS($P$4:$P$2503,$E$4:$E$2503,$E1771,$Z$4:$Z$2503,"正常",$A$4:$A$2503,"&lt;="&amp;$A1771))</f>
        <v/>
      </c>
      <c r="U1771" s="26">
        <f>IF($G1771="","",IF(OR($S1771&gt;0,$Q1771=0,$R1771=0,$Z1771&lt;&gt;"正常"),0,ROUND($T1771/$Q1771*$R1771,0)-ROUND(($T1771-$P1771)/$Q1771*$R1771,0)))</f>
        <v/>
      </c>
      <c r="V1771" s="26">
        <f>IF($G1771="","",ROUND($P1771+$U1771,0))</f>
        <v/>
      </c>
      <c r="W1771" s="26">
        <f>IF($G1771="","",IF(N($K1771)=0,0,ROUND($V1771/$K1771,2)))</f>
        <v/>
      </c>
      <c r="X1771" s="17" t="n"/>
      <c r="Y1771" s="17" t="n"/>
      <c r="Z1771" s="17" t="n"/>
      <c r="AA1771" s="17" t="n"/>
      <c r="AB1771" s="17" t="n"/>
      <c r="AC1771" s="24">
        <f>IF($G1771="","",IF($H1771="※编码不在物料档案里","※物料编码不在档案里",IF(N($K1771)&lt;=0,"※入库数量要大于 0",IF(AND($C1771&lt;&gt;"",$C1771&lt;=结账锁),"※日期早于已结账截止日，不能再录",IF(AND($L1771=0,$X1771="正常"),"※没填单价，价格状态请选「待补价」",IF(AND($S1771&gt;0,$R1771&gt;0),"△本批有 "&amp;$S1771&amp;" 行没单价，整批运费先挂账没摊",IF(AND($B1771&lt;&gt;"",COUNTIF($B$4:$B$2503,$B1771)&gt;1),"※入库单号重复","")))))))</f>
        <v/>
      </c>
    </row>
    <row r="1772">
      <c r="A1772" s="24">
        <f>IF($G1772="","",COUNTA($G$4:$G1772))</f>
        <v/>
      </c>
      <c r="B1772" s="17" t="n"/>
      <c r="C1772" s="30" t="n"/>
      <c r="D1772" s="17" t="n"/>
      <c r="E1772" s="17" t="n"/>
      <c r="F1772" s="17" t="n"/>
      <c r="G1772" s="17" t="n"/>
      <c r="H1772" s="24">
        <f>IF($G1772="","",IFERROR(VLOOKUP($G1772,物料档案!$A$4:$P$1203,3,0),"※编码不在物料档案里"))</f>
        <v/>
      </c>
      <c r="I1772" s="24">
        <f>IF($G1772="","",IFERROR(VLOOKUP($G1772,物料档案!$A$4:$P$1203,4,0),"※编码不在物料档案里"))</f>
        <v/>
      </c>
      <c r="J1772" s="24">
        <f>IF($G1772="","",IFERROR(VLOOKUP($G1772,物料档案!$A$4:$P$1203,5,0),"※编码不在物料档案里"))</f>
        <v/>
      </c>
      <c r="K1772" s="23" t="n"/>
      <c r="L1772" s="31" t="n"/>
      <c r="M1772" s="24">
        <f>IF($G1772="","",IF($D1772="A国内","CNY","TZS"))</f>
        <v/>
      </c>
      <c r="N1772" s="28">
        <f>IF($G1772="","",IF($D1772="A国内",汇率,1))</f>
        <v/>
      </c>
      <c r="O1772" s="25">
        <f>IF($G1772="","",ROUND(N($K1772)*N($L1772),2))</f>
        <v/>
      </c>
      <c r="P1772" s="26">
        <f>IF($G1772="","",ROUND($O1772*$N1772,0))</f>
        <v/>
      </c>
      <c r="Q1772" s="26">
        <f>IF($G1772="","",SUMIFS($P$4:$P$2503,$E$4:$E$2503,$E1772,$Z$4:$Z$2503,"正常"))</f>
        <v/>
      </c>
      <c r="R1772" s="26">
        <f>IF($G1772="","",SUMIFS(费用台账!$I$4:$I$503,费用台账!$C$4:$C$503,$E1772,费用台账!$J$4:$J$503,"是",费用台账!$K$4:$K$503,"正常"))</f>
        <v/>
      </c>
      <c r="S1772" s="28">
        <f>IF($G1772="","",COUNTIFS($E$4:$E$2503,$E1772,$Z$4:$Z$2503,"正常",$Y$4:$Y$2503,"待补价"))</f>
        <v/>
      </c>
      <c r="T1772" s="26">
        <f>IF($G1772="","",SUMIFS($P$4:$P$2503,$E$4:$E$2503,$E1772,$Z$4:$Z$2503,"正常",$A$4:$A$2503,"&lt;="&amp;$A1772))</f>
        <v/>
      </c>
      <c r="U1772" s="26">
        <f>IF($G1772="","",IF(OR($S1772&gt;0,$Q1772=0,$R1772=0,$Z1772&lt;&gt;"正常"),0,ROUND($T1772/$Q1772*$R1772,0)-ROUND(($T1772-$P1772)/$Q1772*$R1772,0)))</f>
        <v/>
      </c>
      <c r="V1772" s="26">
        <f>IF($G1772="","",ROUND($P1772+$U1772,0))</f>
        <v/>
      </c>
      <c r="W1772" s="26">
        <f>IF($G1772="","",IF(N($K1772)=0,0,ROUND($V1772/$K1772,2)))</f>
        <v/>
      </c>
      <c r="X1772" s="17" t="n"/>
      <c r="Y1772" s="17" t="n"/>
      <c r="Z1772" s="17" t="n"/>
      <c r="AA1772" s="17" t="n"/>
      <c r="AB1772" s="17" t="n"/>
      <c r="AC1772" s="24">
        <f>IF($G1772="","",IF($H1772="※编码不在物料档案里","※物料编码不在档案里",IF(N($K1772)&lt;=0,"※入库数量要大于 0",IF(AND($C1772&lt;&gt;"",$C1772&lt;=结账锁),"※日期早于已结账截止日，不能再录",IF(AND($L1772=0,$X1772="正常"),"※没填单价，价格状态请选「待补价」",IF(AND($S1772&gt;0,$R1772&gt;0),"△本批有 "&amp;$S1772&amp;" 行没单价，整批运费先挂账没摊",IF(AND($B1772&lt;&gt;"",COUNTIF($B$4:$B$2503,$B1772)&gt;1),"※入库单号重复","")))))))</f>
        <v/>
      </c>
    </row>
    <row r="1773">
      <c r="A1773" s="24">
        <f>IF($G1773="","",COUNTA($G$4:$G1773))</f>
        <v/>
      </c>
      <c r="B1773" s="17" t="n"/>
      <c r="C1773" s="30" t="n"/>
      <c r="D1773" s="17" t="n"/>
      <c r="E1773" s="17" t="n"/>
      <c r="F1773" s="17" t="n"/>
      <c r="G1773" s="17" t="n"/>
      <c r="H1773" s="24">
        <f>IF($G1773="","",IFERROR(VLOOKUP($G1773,物料档案!$A$4:$P$1203,3,0),"※编码不在物料档案里"))</f>
        <v/>
      </c>
      <c r="I1773" s="24">
        <f>IF($G1773="","",IFERROR(VLOOKUP($G1773,物料档案!$A$4:$P$1203,4,0),"※编码不在物料档案里"))</f>
        <v/>
      </c>
      <c r="J1773" s="24">
        <f>IF($G1773="","",IFERROR(VLOOKUP($G1773,物料档案!$A$4:$P$1203,5,0),"※编码不在物料档案里"))</f>
        <v/>
      </c>
      <c r="K1773" s="23" t="n"/>
      <c r="L1773" s="31" t="n"/>
      <c r="M1773" s="24">
        <f>IF($G1773="","",IF($D1773="A国内","CNY","TZS"))</f>
        <v/>
      </c>
      <c r="N1773" s="28">
        <f>IF($G1773="","",IF($D1773="A国内",汇率,1))</f>
        <v/>
      </c>
      <c r="O1773" s="25">
        <f>IF($G1773="","",ROUND(N($K1773)*N($L1773),2))</f>
        <v/>
      </c>
      <c r="P1773" s="26">
        <f>IF($G1773="","",ROUND($O1773*$N1773,0))</f>
        <v/>
      </c>
      <c r="Q1773" s="26">
        <f>IF($G1773="","",SUMIFS($P$4:$P$2503,$E$4:$E$2503,$E1773,$Z$4:$Z$2503,"正常"))</f>
        <v/>
      </c>
      <c r="R1773" s="26">
        <f>IF($G1773="","",SUMIFS(费用台账!$I$4:$I$503,费用台账!$C$4:$C$503,$E1773,费用台账!$J$4:$J$503,"是",费用台账!$K$4:$K$503,"正常"))</f>
        <v/>
      </c>
      <c r="S1773" s="28">
        <f>IF($G1773="","",COUNTIFS($E$4:$E$2503,$E1773,$Z$4:$Z$2503,"正常",$Y$4:$Y$2503,"待补价"))</f>
        <v/>
      </c>
      <c r="T1773" s="26">
        <f>IF($G1773="","",SUMIFS($P$4:$P$2503,$E$4:$E$2503,$E1773,$Z$4:$Z$2503,"正常",$A$4:$A$2503,"&lt;="&amp;$A1773))</f>
        <v/>
      </c>
      <c r="U1773" s="26">
        <f>IF($G1773="","",IF(OR($S1773&gt;0,$Q1773=0,$R1773=0,$Z1773&lt;&gt;"正常"),0,ROUND($T1773/$Q1773*$R1773,0)-ROUND(($T1773-$P1773)/$Q1773*$R1773,0)))</f>
        <v/>
      </c>
      <c r="V1773" s="26">
        <f>IF($G1773="","",ROUND($P1773+$U1773,0))</f>
        <v/>
      </c>
      <c r="W1773" s="26">
        <f>IF($G1773="","",IF(N($K1773)=0,0,ROUND($V1773/$K1773,2)))</f>
        <v/>
      </c>
      <c r="X1773" s="17" t="n"/>
      <c r="Y1773" s="17" t="n"/>
      <c r="Z1773" s="17" t="n"/>
      <c r="AA1773" s="17" t="n"/>
      <c r="AB1773" s="17" t="n"/>
      <c r="AC1773" s="24">
        <f>IF($G1773="","",IF($H1773="※编码不在物料档案里","※物料编码不在档案里",IF(N($K1773)&lt;=0,"※入库数量要大于 0",IF(AND($C1773&lt;&gt;"",$C1773&lt;=结账锁),"※日期早于已结账截止日，不能再录",IF(AND($L1773=0,$X1773="正常"),"※没填单价，价格状态请选「待补价」",IF(AND($S1773&gt;0,$R1773&gt;0),"△本批有 "&amp;$S1773&amp;" 行没单价，整批运费先挂账没摊",IF(AND($B1773&lt;&gt;"",COUNTIF($B$4:$B$2503,$B1773)&gt;1),"※入库单号重复","")))))))</f>
        <v/>
      </c>
    </row>
    <row r="1774">
      <c r="A1774" s="24">
        <f>IF($G1774="","",COUNTA($G$4:$G1774))</f>
        <v/>
      </c>
      <c r="B1774" s="17" t="n"/>
      <c r="C1774" s="30" t="n"/>
      <c r="D1774" s="17" t="n"/>
      <c r="E1774" s="17" t="n"/>
      <c r="F1774" s="17" t="n"/>
      <c r="G1774" s="17" t="n"/>
      <c r="H1774" s="24">
        <f>IF($G1774="","",IFERROR(VLOOKUP($G1774,物料档案!$A$4:$P$1203,3,0),"※编码不在物料档案里"))</f>
        <v/>
      </c>
      <c r="I1774" s="24">
        <f>IF($G1774="","",IFERROR(VLOOKUP($G1774,物料档案!$A$4:$P$1203,4,0),"※编码不在物料档案里"))</f>
        <v/>
      </c>
      <c r="J1774" s="24">
        <f>IF($G1774="","",IFERROR(VLOOKUP($G1774,物料档案!$A$4:$P$1203,5,0),"※编码不在物料档案里"))</f>
        <v/>
      </c>
      <c r="K1774" s="23" t="n"/>
      <c r="L1774" s="31" t="n"/>
      <c r="M1774" s="24">
        <f>IF($G1774="","",IF($D1774="A国内","CNY","TZS"))</f>
        <v/>
      </c>
      <c r="N1774" s="28">
        <f>IF($G1774="","",IF($D1774="A国内",汇率,1))</f>
        <v/>
      </c>
      <c r="O1774" s="25">
        <f>IF($G1774="","",ROUND(N($K1774)*N($L1774),2))</f>
        <v/>
      </c>
      <c r="P1774" s="26">
        <f>IF($G1774="","",ROUND($O1774*$N1774,0))</f>
        <v/>
      </c>
      <c r="Q1774" s="26">
        <f>IF($G1774="","",SUMIFS($P$4:$P$2503,$E$4:$E$2503,$E1774,$Z$4:$Z$2503,"正常"))</f>
        <v/>
      </c>
      <c r="R1774" s="26">
        <f>IF($G1774="","",SUMIFS(费用台账!$I$4:$I$503,费用台账!$C$4:$C$503,$E1774,费用台账!$J$4:$J$503,"是",费用台账!$K$4:$K$503,"正常"))</f>
        <v/>
      </c>
      <c r="S1774" s="28">
        <f>IF($G1774="","",COUNTIFS($E$4:$E$2503,$E1774,$Z$4:$Z$2503,"正常",$Y$4:$Y$2503,"待补价"))</f>
        <v/>
      </c>
      <c r="T1774" s="26">
        <f>IF($G1774="","",SUMIFS($P$4:$P$2503,$E$4:$E$2503,$E1774,$Z$4:$Z$2503,"正常",$A$4:$A$2503,"&lt;="&amp;$A1774))</f>
        <v/>
      </c>
      <c r="U1774" s="26">
        <f>IF($G1774="","",IF(OR($S1774&gt;0,$Q1774=0,$R1774=0,$Z1774&lt;&gt;"正常"),0,ROUND($T1774/$Q1774*$R1774,0)-ROUND(($T1774-$P1774)/$Q1774*$R1774,0)))</f>
        <v/>
      </c>
      <c r="V1774" s="26">
        <f>IF($G1774="","",ROUND($P1774+$U1774,0))</f>
        <v/>
      </c>
      <c r="W1774" s="26">
        <f>IF($G1774="","",IF(N($K1774)=0,0,ROUND($V1774/$K1774,2)))</f>
        <v/>
      </c>
      <c r="X1774" s="17" t="n"/>
      <c r="Y1774" s="17" t="n"/>
      <c r="Z1774" s="17" t="n"/>
      <c r="AA1774" s="17" t="n"/>
      <c r="AB1774" s="17" t="n"/>
      <c r="AC1774" s="24">
        <f>IF($G1774="","",IF($H1774="※编码不在物料档案里","※物料编码不在档案里",IF(N($K1774)&lt;=0,"※入库数量要大于 0",IF(AND($C1774&lt;&gt;"",$C1774&lt;=结账锁),"※日期早于已结账截止日，不能再录",IF(AND($L1774=0,$X1774="正常"),"※没填单价，价格状态请选「待补价」",IF(AND($S1774&gt;0,$R1774&gt;0),"△本批有 "&amp;$S1774&amp;" 行没单价，整批运费先挂账没摊",IF(AND($B1774&lt;&gt;"",COUNTIF($B$4:$B$2503,$B1774)&gt;1),"※入库单号重复","")))))))</f>
        <v/>
      </c>
    </row>
    <row r="1775">
      <c r="A1775" s="24">
        <f>IF($G1775="","",COUNTA($G$4:$G1775))</f>
        <v/>
      </c>
      <c r="B1775" s="17" t="n"/>
      <c r="C1775" s="30" t="n"/>
      <c r="D1775" s="17" t="n"/>
      <c r="E1775" s="17" t="n"/>
      <c r="F1775" s="17" t="n"/>
      <c r="G1775" s="17" t="n"/>
      <c r="H1775" s="24">
        <f>IF($G1775="","",IFERROR(VLOOKUP($G1775,物料档案!$A$4:$P$1203,3,0),"※编码不在物料档案里"))</f>
        <v/>
      </c>
      <c r="I1775" s="24">
        <f>IF($G1775="","",IFERROR(VLOOKUP($G1775,物料档案!$A$4:$P$1203,4,0),"※编码不在物料档案里"))</f>
        <v/>
      </c>
      <c r="J1775" s="24">
        <f>IF($G1775="","",IFERROR(VLOOKUP($G1775,物料档案!$A$4:$P$1203,5,0),"※编码不在物料档案里"))</f>
        <v/>
      </c>
      <c r="K1775" s="23" t="n"/>
      <c r="L1775" s="31" t="n"/>
      <c r="M1775" s="24">
        <f>IF($G1775="","",IF($D1775="A国内","CNY","TZS"))</f>
        <v/>
      </c>
      <c r="N1775" s="28">
        <f>IF($G1775="","",IF($D1775="A国内",汇率,1))</f>
        <v/>
      </c>
      <c r="O1775" s="25">
        <f>IF($G1775="","",ROUND(N($K1775)*N($L1775),2))</f>
        <v/>
      </c>
      <c r="P1775" s="26">
        <f>IF($G1775="","",ROUND($O1775*$N1775,0))</f>
        <v/>
      </c>
      <c r="Q1775" s="26">
        <f>IF($G1775="","",SUMIFS($P$4:$P$2503,$E$4:$E$2503,$E1775,$Z$4:$Z$2503,"正常"))</f>
        <v/>
      </c>
      <c r="R1775" s="26">
        <f>IF($G1775="","",SUMIFS(费用台账!$I$4:$I$503,费用台账!$C$4:$C$503,$E1775,费用台账!$J$4:$J$503,"是",费用台账!$K$4:$K$503,"正常"))</f>
        <v/>
      </c>
      <c r="S1775" s="28">
        <f>IF($G1775="","",COUNTIFS($E$4:$E$2503,$E1775,$Z$4:$Z$2503,"正常",$Y$4:$Y$2503,"待补价"))</f>
        <v/>
      </c>
      <c r="T1775" s="26">
        <f>IF($G1775="","",SUMIFS($P$4:$P$2503,$E$4:$E$2503,$E1775,$Z$4:$Z$2503,"正常",$A$4:$A$2503,"&lt;="&amp;$A1775))</f>
        <v/>
      </c>
      <c r="U1775" s="26">
        <f>IF($G1775="","",IF(OR($S1775&gt;0,$Q1775=0,$R1775=0,$Z1775&lt;&gt;"正常"),0,ROUND($T1775/$Q1775*$R1775,0)-ROUND(($T1775-$P1775)/$Q1775*$R1775,0)))</f>
        <v/>
      </c>
      <c r="V1775" s="26">
        <f>IF($G1775="","",ROUND($P1775+$U1775,0))</f>
        <v/>
      </c>
      <c r="W1775" s="26">
        <f>IF($G1775="","",IF(N($K1775)=0,0,ROUND($V1775/$K1775,2)))</f>
        <v/>
      </c>
      <c r="X1775" s="17" t="n"/>
      <c r="Y1775" s="17" t="n"/>
      <c r="Z1775" s="17" t="n"/>
      <c r="AA1775" s="17" t="n"/>
      <c r="AB1775" s="17" t="n"/>
      <c r="AC1775" s="24">
        <f>IF($G1775="","",IF($H1775="※编码不在物料档案里","※物料编码不在档案里",IF(N($K1775)&lt;=0,"※入库数量要大于 0",IF(AND($C1775&lt;&gt;"",$C1775&lt;=结账锁),"※日期早于已结账截止日，不能再录",IF(AND($L1775=0,$X1775="正常"),"※没填单价，价格状态请选「待补价」",IF(AND($S1775&gt;0,$R1775&gt;0),"△本批有 "&amp;$S1775&amp;" 行没单价，整批运费先挂账没摊",IF(AND($B1775&lt;&gt;"",COUNTIF($B$4:$B$2503,$B1775)&gt;1),"※入库单号重复","")))))))</f>
        <v/>
      </c>
    </row>
    <row r="1776">
      <c r="A1776" s="24">
        <f>IF($G1776="","",COUNTA($G$4:$G1776))</f>
        <v/>
      </c>
      <c r="B1776" s="17" t="n"/>
      <c r="C1776" s="30" t="n"/>
      <c r="D1776" s="17" t="n"/>
      <c r="E1776" s="17" t="n"/>
      <c r="F1776" s="17" t="n"/>
      <c r="G1776" s="17" t="n"/>
      <c r="H1776" s="24">
        <f>IF($G1776="","",IFERROR(VLOOKUP($G1776,物料档案!$A$4:$P$1203,3,0),"※编码不在物料档案里"))</f>
        <v/>
      </c>
      <c r="I1776" s="24">
        <f>IF($G1776="","",IFERROR(VLOOKUP($G1776,物料档案!$A$4:$P$1203,4,0),"※编码不在物料档案里"))</f>
        <v/>
      </c>
      <c r="J1776" s="24">
        <f>IF($G1776="","",IFERROR(VLOOKUP($G1776,物料档案!$A$4:$P$1203,5,0),"※编码不在物料档案里"))</f>
        <v/>
      </c>
      <c r="K1776" s="23" t="n"/>
      <c r="L1776" s="31" t="n"/>
      <c r="M1776" s="24">
        <f>IF($G1776="","",IF($D1776="A国内","CNY","TZS"))</f>
        <v/>
      </c>
      <c r="N1776" s="28">
        <f>IF($G1776="","",IF($D1776="A国内",汇率,1))</f>
        <v/>
      </c>
      <c r="O1776" s="25">
        <f>IF($G1776="","",ROUND(N($K1776)*N($L1776),2))</f>
        <v/>
      </c>
      <c r="P1776" s="26">
        <f>IF($G1776="","",ROUND($O1776*$N1776,0))</f>
        <v/>
      </c>
      <c r="Q1776" s="26">
        <f>IF($G1776="","",SUMIFS($P$4:$P$2503,$E$4:$E$2503,$E1776,$Z$4:$Z$2503,"正常"))</f>
        <v/>
      </c>
      <c r="R1776" s="26">
        <f>IF($G1776="","",SUMIFS(费用台账!$I$4:$I$503,费用台账!$C$4:$C$503,$E1776,费用台账!$J$4:$J$503,"是",费用台账!$K$4:$K$503,"正常"))</f>
        <v/>
      </c>
      <c r="S1776" s="28">
        <f>IF($G1776="","",COUNTIFS($E$4:$E$2503,$E1776,$Z$4:$Z$2503,"正常",$Y$4:$Y$2503,"待补价"))</f>
        <v/>
      </c>
      <c r="T1776" s="26">
        <f>IF($G1776="","",SUMIFS($P$4:$P$2503,$E$4:$E$2503,$E1776,$Z$4:$Z$2503,"正常",$A$4:$A$2503,"&lt;="&amp;$A1776))</f>
        <v/>
      </c>
      <c r="U1776" s="26">
        <f>IF($G1776="","",IF(OR($S1776&gt;0,$Q1776=0,$R1776=0,$Z1776&lt;&gt;"正常"),0,ROUND($T1776/$Q1776*$R1776,0)-ROUND(($T1776-$P1776)/$Q1776*$R1776,0)))</f>
        <v/>
      </c>
      <c r="V1776" s="26">
        <f>IF($G1776="","",ROUND($P1776+$U1776,0))</f>
        <v/>
      </c>
      <c r="W1776" s="26">
        <f>IF($G1776="","",IF(N($K1776)=0,0,ROUND($V1776/$K1776,2)))</f>
        <v/>
      </c>
      <c r="X1776" s="17" t="n"/>
      <c r="Y1776" s="17" t="n"/>
      <c r="Z1776" s="17" t="n"/>
      <c r="AA1776" s="17" t="n"/>
      <c r="AB1776" s="17" t="n"/>
      <c r="AC1776" s="24">
        <f>IF($G1776="","",IF($H1776="※编码不在物料档案里","※物料编码不在档案里",IF(N($K1776)&lt;=0,"※入库数量要大于 0",IF(AND($C1776&lt;&gt;"",$C1776&lt;=结账锁),"※日期早于已结账截止日，不能再录",IF(AND($L1776=0,$X1776="正常"),"※没填单价，价格状态请选「待补价」",IF(AND($S1776&gt;0,$R1776&gt;0),"△本批有 "&amp;$S1776&amp;" 行没单价，整批运费先挂账没摊",IF(AND($B1776&lt;&gt;"",COUNTIF($B$4:$B$2503,$B1776)&gt;1),"※入库单号重复","")))))))</f>
        <v/>
      </c>
    </row>
    <row r="1777">
      <c r="A1777" s="24">
        <f>IF($G1777="","",COUNTA($G$4:$G1777))</f>
        <v/>
      </c>
      <c r="B1777" s="17" t="n"/>
      <c r="C1777" s="30" t="n"/>
      <c r="D1777" s="17" t="n"/>
      <c r="E1777" s="17" t="n"/>
      <c r="F1777" s="17" t="n"/>
      <c r="G1777" s="17" t="n"/>
      <c r="H1777" s="24">
        <f>IF($G1777="","",IFERROR(VLOOKUP($G1777,物料档案!$A$4:$P$1203,3,0),"※编码不在物料档案里"))</f>
        <v/>
      </c>
      <c r="I1777" s="24">
        <f>IF($G1777="","",IFERROR(VLOOKUP($G1777,物料档案!$A$4:$P$1203,4,0),"※编码不在物料档案里"))</f>
        <v/>
      </c>
      <c r="J1777" s="24">
        <f>IF($G1777="","",IFERROR(VLOOKUP($G1777,物料档案!$A$4:$P$1203,5,0),"※编码不在物料档案里"))</f>
        <v/>
      </c>
      <c r="K1777" s="23" t="n"/>
      <c r="L1777" s="31" t="n"/>
      <c r="M1777" s="24">
        <f>IF($G1777="","",IF($D1777="A国内","CNY","TZS"))</f>
        <v/>
      </c>
      <c r="N1777" s="28">
        <f>IF($G1777="","",IF($D1777="A国内",汇率,1))</f>
        <v/>
      </c>
      <c r="O1777" s="25">
        <f>IF($G1777="","",ROUND(N($K1777)*N($L1777),2))</f>
        <v/>
      </c>
      <c r="P1777" s="26">
        <f>IF($G1777="","",ROUND($O1777*$N1777,0))</f>
        <v/>
      </c>
      <c r="Q1777" s="26">
        <f>IF($G1777="","",SUMIFS($P$4:$P$2503,$E$4:$E$2503,$E1777,$Z$4:$Z$2503,"正常"))</f>
        <v/>
      </c>
      <c r="R1777" s="26">
        <f>IF($G1777="","",SUMIFS(费用台账!$I$4:$I$503,费用台账!$C$4:$C$503,$E1777,费用台账!$J$4:$J$503,"是",费用台账!$K$4:$K$503,"正常"))</f>
        <v/>
      </c>
      <c r="S1777" s="28">
        <f>IF($G1777="","",COUNTIFS($E$4:$E$2503,$E1777,$Z$4:$Z$2503,"正常",$Y$4:$Y$2503,"待补价"))</f>
        <v/>
      </c>
      <c r="T1777" s="26">
        <f>IF($G1777="","",SUMIFS($P$4:$P$2503,$E$4:$E$2503,$E1777,$Z$4:$Z$2503,"正常",$A$4:$A$2503,"&lt;="&amp;$A1777))</f>
        <v/>
      </c>
      <c r="U1777" s="26">
        <f>IF($G1777="","",IF(OR($S1777&gt;0,$Q1777=0,$R1777=0,$Z1777&lt;&gt;"正常"),0,ROUND($T1777/$Q1777*$R1777,0)-ROUND(($T1777-$P1777)/$Q1777*$R1777,0)))</f>
        <v/>
      </c>
      <c r="V1777" s="26">
        <f>IF($G1777="","",ROUND($P1777+$U1777,0))</f>
        <v/>
      </c>
      <c r="W1777" s="26">
        <f>IF($G1777="","",IF(N($K1777)=0,0,ROUND($V1777/$K1777,2)))</f>
        <v/>
      </c>
      <c r="X1777" s="17" t="n"/>
      <c r="Y1777" s="17" t="n"/>
      <c r="Z1777" s="17" t="n"/>
      <c r="AA1777" s="17" t="n"/>
      <c r="AB1777" s="17" t="n"/>
      <c r="AC1777" s="24">
        <f>IF($G1777="","",IF($H1777="※编码不在物料档案里","※物料编码不在档案里",IF(N($K1777)&lt;=0,"※入库数量要大于 0",IF(AND($C1777&lt;&gt;"",$C1777&lt;=结账锁),"※日期早于已结账截止日，不能再录",IF(AND($L1777=0,$X1777="正常"),"※没填单价，价格状态请选「待补价」",IF(AND($S1777&gt;0,$R1777&gt;0),"△本批有 "&amp;$S1777&amp;" 行没单价，整批运费先挂账没摊",IF(AND($B1777&lt;&gt;"",COUNTIF($B$4:$B$2503,$B1777)&gt;1),"※入库单号重复","")))))))</f>
        <v/>
      </c>
    </row>
    <row r="1778">
      <c r="A1778" s="24">
        <f>IF($G1778="","",COUNTA($G$4:$G1778))</f>
        <v/>
      </c>
      <c r="B1778" s="17" t="n"/>
      <c r="C1778" s="30" t="n"/>
      <c r="D1778" s="17" t="n"/>
      <c r="E1778" s="17" t="n"/>
      <c r="F1778" s="17" t="n"/>
      <c r="G1778" s="17" t="n"/>
      <c r="H1778" s="24">
        <f>IF($G1778="","",IFERROR(VLOOKUP($G1778,物料档案!$A$4:$P$1203,3,0),"※编码不在物料档案里"))</f>
        <v/>
      </c>
      <c r="I1778" s="24">
        <f>IF($G1778="","",IFERROR(VLOOKUP($G1778,物料档案!$A$4:$P$1203,4,0),"※编码不在物料档案里"))</f>
        <v/>
      </c>
      <c r="J1778" s="24">
        <f>IF($G1778="","",IFERROR(VLOOKUP($G1778,物料档案!$A$4:$P$1203,5,0),"※编码不在物料档案里"))</f>
        <v/>
      </c>
      <c r="K1778" s="23" t="n"/>
      <c r="L1778" s="31" t="n"/>
      <c r="M1778" s="24">
        <f>IF($G1778="","",IF($D1778="A国内","CNY","TZS"))</f>
        <v/>
      </c>
      <c r="N1778" s="28">
        <f>IF($G1778="","",IF($D1778="A国内",汇率,1))</f>
        <v/>
      </c>
      <c r="O1778" s="25">
        <f>IF($G1778="","",ROUND(N($K1778)*N($L1778),2))</f>
        <v/>
      </c>
      <c r="P1778" s="26">
        <f>IF($G1778="","",ROUND($O1778*$N1778,0))</f>
        <v/>
      </c>
      <c r="Q1778" s="26">
        <f>IF($G1778="","",SUMIFS($P$4:$P$2503,$E$4:$E$2503,$E1778,$Z$4:$Z$2503,"正常"))</f>
        <v/>
      </c>
      <c r="R1778" s="26">
        <f>IF($G1778="","",SUMIFS(费用台账!$I$4:$I$503,费用台账!$C$4:$C$503,$E1778,费用台账!$J$4:$J$503,"是",费用台账!$K$4:$K$503,"正常"))</f>
        <v/>
      </c>
      <c r="S1778" s="28">
        <f>IF($G1778="","",COUNTIFS($E$4:$E$2503,$E1778,$Z$4:$Z$2503,"正常",$Y$4:$Y$2503,"待补价"))</f>
        <v/>
      </c>
      <c r="T1778" s="26">
        <f>IF($G1778="","",SUMIFS($P$4:$P$2503,$E$4:$E$2503,$E1778,$Z$4:$Z$2503,"正常",$A$4:$A$2503,"&lt;="&amp;$A1778))</f>
        <v/>
      </c>
      <c r="U1778" s="26">
        <f>IF($G1778="","",IF(OR($S1778&gt;0,$Q1778=0,$R1778=0,$Z1778&lt;&gt;"正常"),0,ROUND($T1778/$Q1778*$R1778,0)-ROUND(($T1778-$P1778)/$Q1778*$R1778,0)))</f>
        <v/>
      </c>
      <c r="V1778" s="26">
        <f>IF($G1778="","",ROUND($P1778+$U1778,0))</f>
        <v/>
      </c>
      <c r="W1778" s="26">
        <f>IF($G1778="","",IF(N($K1778)=0,0,ROUND($V1778/$K1778,2)))</f>
        <v/>
      </c>
      <c r="X1778" s="17" t="n"/>
      <c r="Y1778" s="17" t="n"/>
      <c r="Z1778" s="17" t="n"/>
      <c r="AA1778" s="17" t="n"/>
      <c r="AB1778" s="17" t="n"/>
      <c r="AC1778" s="24">
        <f>IF($G1778="","",IF($H1778="※编码不在物料档案里","※物料编码不在档案里",IF(N($K1778)&lt;=0,"※入库数量要大于 0",IF(AND($C1778&lt;&gt;"",$C1778&lt;=结账锁),"※日期早于已结账截止日，不能再录",IF(AND($L1778=0,$X1778="正常"),"※没填单价，价格状态请选「待补价」",IF(AND($S1778&gt;0,$R1778&gt;0),"△本批有 "&amp;$S1778&amp;" 行没单价，整批运费先挂账没摊",IF(AND($B1778&lt;&gt;"",COUNTIF($B$4:$B$2503,$B1778)&gt;1),"※入库单号重复","")))))))</f>
        <v/>
      </c>
    </row>
    <row r="1779">
      <c r="A1779" s="24">
        <f>IF($G1779="","",COUNTA($G$4:$G1779))</f>
        <v/>
      </c>
      <c r="B1779" s="17" t="n"/>
      <c r="C1779" s="30" t="n"/>
      <c r="D1779" s="17" t="n"/>
      <c r="E1779" s="17" t="n"/>
      <c r="F1779" s="17" t="n"/>
      <c r="G1779" s="17" t="n"/>
      <c r="H1779" s="24">
        <f>IF($G1779="","",IFERROR(VLOOKUP($G1779,物料档案!$A$4:$P$1203,3,0),"※编码不在物料档案里"))</f>
        <v/>
      </c>
      <c r="I1779" s="24">
        <f>IF($G1779="","",IFERROR(VLOOKUP($G1779,物料档案!$A$4:$P$1203,4,0),"※编码不在物料档案里"))</f>
        <v/>
      </c>
      <c r="J1779" s="24">
        <f>IF($G1779="","",IFERROR(VLOOKUP($G1779,物料档案!$A$4:$P$1203,5,0),"※编码不在物料档案里"))</f>
        <v/>
      </c>
      <c r="K1779" s="23" t="n"/>
      <c r="L1779" s="31" t="n"/>
      <c r="M1779" s="24">
        <f>IF($G1779="","",IF($D1779="A国内","CNY","TZS"))</f>
        <v/>
      </c>
      <c r="N1779" s="28">
        <f>IF($G1779="","",IF($D1779="A国内",汇率,1))</f>
        <v/>
      </c>
      <c r="O1779" s="25">
        <f>IF($G1779="","",ROUND(N($K1779)*N($L1779),2))</f>
        <v/>
      </c>
      <c r="P1779" s="26">
        <f>IF($G1779="","",ROUND($O1779*$N1779,0))</f>
        <v/>
      </c>
      <c r="Q1779" s="26">
        <f>IF($G1779="","",SUMIFS($P$4:$P$2503,$E$4:$E$2503,$E1779,$Z$4:$Z$2503,"正常"))</f>
        <v/>
      </c>
      <c r="R1779" s="26">
        <f>IF($G1779="","",SUMIFS(费用台账!$I$4:$I$503,费用台账!$C$4:$C$503,$E1779,费用台账!$J$4:$J$503,"是",费用台账!$K$4:$K$503,"正常"))</f>
        <v/>
      </c>
      <c r="S1779" s="28">
        <f>IF($G1779="","",COUNTIFS($E$4:$E$2503,$E1779,$Z$4:$Z$2503,"正常",$Y$4:$Y$2503,"待补价"))</f>
        <v/>
      </c>
      <c r="T1779" s="26">
        <f>IF($G1779="","",SUMIFS($P$4:$P$2503,$E$4:$E$2503,$E1779,$Z$4:$Z$2503,"正常",$A$4:$A$2503,"&lt;="&amp;$A1779))</f>
        <v/>
      </c>
      <c r="U1779" s="26">
        <f>IF($G1779="","",IF(OR($S1779&gt;0,$Q1779=0,$R1779=0,$Z1779&lt;&gt;"正常"),0,ROUND($T1779/$Q1779*$R1779,0)-ROUND(($T1779-$P1779)/$Q1779*$R1779,0)))</f>
        <v/>
      </c>
      <c r="V1779" s="26">
        <f>IF($G1779="","",ROUND($P1779+$U1779,0))</f>
        <v/>
      </c>
      <c r="W1779" s="26">
        <f>IF($G1779="","",IF(N($K1779)=0,0,ROUND($V1779/$K1779,2)))</f>
        <v/>
      </c>
      <c r="X1779" s="17" t="n"/>
      <c r="Y1779" s="17" t="n"/>
      <c r="Z1779" s="17" t="n"/>
      <c r="AA1779" s="17" t="n"/>
      <c r="AB1779" s="17" t="n"/>
      <c r="AC1779" s="24">
        <f>IF($G1779="","",IF($H1779="※编码不在物料档案里","※物料编码不在档案里",IF(N($K1779)&lt;=0,"※入库数量要大于 0",IF(AND($C1779&lt;&gt;"",$C1779&lt;=结账锁),"※日期早于已结账截止日，不能再录",IF(AND($L1779=0,$X1779="正常"),"※没填单价，价格状态请选「待补价」",IF(AND($S1779&gt;0,$R1779&gt;0),"△本批有 "&amp;$S1779&amp;" 行没单价，整批运费先挂账没摊",IF(AND($B1779&lt;&gt;"",COUNTIF($B$4:$B$2503,$B1779)&gt;1),"※入库单号重复","")))))))</f>
        <v/>
      </c>
    </row>
    <row r="1780">
      <c r="A1780" s="24">
        <f>IF($G1780="","",COUNTA($G$4:$G1780))</f>
        <v/>
      </c>
      <c r="B1780" s="17" t="n"/>
      <c r="C1780" s="30" t="n"/>
      <c r="D1780" s="17" t="n"/>
      <c r="E1780" s="17" t="n"/>
      <c r="F1780" s="17" t="n"/>
      <c r="G1780" s="17" t="n"/>
      <c r="H1780" s="24">
        <f>IF($G1780="","",IFERROR(VLOOKUP($G1780,物料档案!$A$4:$P$1203,3,0),"※编码不在物料档案里"))</f>
        <v/>
      </c>
      <c r="I1780" s="24">
        <f>IF($G1780="","",IFERROR(VLOOKUP($G1780,物料档案!$A$4:$P$1203,4,0),"※编码不在物料档案里"))</f>
        <v/>
      </c>
      <c r="J1780" s="24">
        <f>IF($G1780="","",IFERROR(VLOOKUP($G1780,物料档案!$A$4:$P$1203,5,0),"※编码不在物料档案里"))</f>
        <v/>
      </c>
      <c r="K1780" s="23" t="n"/>
      <c r="L1780" s="31" t="n"/>
      <c r="M1780" s="24">
        <f>IF($G1780="","",IF($D1780="A国内","CNY","TZS"))</f>
        <v/>
      </c>
      <c r="N1780" s="28">
        <f>IF($G1780="","",IF($D1780="A国内",汇率,1))</f>
        <v/>
      </c>
      <c r="O1780" s="25">
        <f>IF($G1780="","",ROUND(N($K1780)*N($L1780),2))</f>
        <v/>
      </c>
      <c r="P1780" s="26">
        <f>IF($G1780="","",ROUND($O1780*$N1780,0))</f>
        <v/>
      </c>
      <c r="Q1780" s="26">
        <f>IF($G1780="","",SUMIFS($P$4:$P$2503,$E$4:$E$2503,$E1780,$Z$4:$Z$2503,"正常"))</f>
        <v/>
      </c>
      <c r="R1780" s="26">
        <f>IF($G1780="","",SUMIFS(费用台账!$I$4:$I$503,费用台账!$C$4:$C$503,$E1780,费用台账!$J$4:$J$503,"是",费用台账!$K$4:$K$503,"正常"))</f>
        <v/>
      </c>
      <c r="S1780" s="28">
        <f>IF($G1780="","",COUNTIFS($E$4:$E$2503,$E1780,$Z$4:$Z$2503,"正常",$Y$4:$Y$2503,"待补价"))</f>
        <v/>
      </c>
      <c r="T1780" s="26">
        <f>IF($G1780="","",SUMIFS($P$4:$P$2503,$E$4:$E$2503,$E1780,$Z$4:$Z$2503,"正常",$A$4:$A$2503,"&lt;="&amp;$A1780))</f>
        <v/>
      </c>
      <c r="U1780" s="26">
        <f>IF($G1780="","",IF(OR($S1780&gt;0,$Q1780=0,$R1780=0,$Z1780&lt;&gt;"正常"),0,ROUND($T1780/$Q1780*$R1780,0)-ROUND(($T1780-$P1780)/$Q1780*$R1780,0)))</f>
        <v/>
      </c>
      <c r="V1780" s="26">
        <f>IF($G1780="","",ROUND($P1780+$U1780,0))</f>
        <v/>
      </c>
      <c r="W1780" s="26">
        <f>IF($G1780="","",IF(N($K1780)=0,0,ROUND($V1780/$K1780,2)))</f>
        <v/>
      </c>
      <c r="X1780" s="17" t="n"/>
      <c r="Y1780" s="17" t="n"/>
      <c r="Z1780" s="17" t="n"/>
      <c r="AA1780" s="17" t="n"/>
      <c r="AB1780" s="17" t="n"/>
      <c r="AC1780" s="24">
        <f>IF($G1780="","",IF($H1780="※编码不在物料档案里","※物料编码不在档案里",IF(N($K1780)&lt;=0,"※入库数量要大于 0",IF(AND($C1780&lt;&gt;"",$C1780&lt;=结账锁),"※日期早于已结账截止日，不能再录",IF(AND($L1780=0,$X1780="正常"),"※没填单价，价格状态请选「待补价」",IF(AND($S1780&gt;0,$R1780&gt;0),"△本批有 "&amp;$S1780&amp;" 行没单价，整批运费先挂账没摊",IF(AND($B1780&lt;&gt;"",COUNTIF($B$4:$B$2503,$B1780)&gt;1),"※入库单号重复","")))))))</f>
        <v/>
      </c>
    </row>
    <row r="1781">
      <c r="A1781" s="24">
        <f>IF($G1781="","",COUNTA($G$4:$G1781))</f>
        <v/>
      </c>
      <c r="B1781" s="17" t="n"/>
      <c r="C1781" s="30" t="n"/>
      <c r="D1781" s="17" t="n"/>
      <c r="E1781" s="17" t="n"/>
      <c r="F1781" s="17" t="n"/>
      <c r="G1781" s="17" t="n"/>
      <c r="H1781" s="24">
        <f>IF($G1781="","",IFERROR(VLOOKUP($G1781,物料档案!$A$4:$P$1203,3,0),"※编码不在物料档案里"))</f>
        <v/>
      </c>
      <c r="I1781" s="24">
        <f>IF($G1781="","",IFERROR(VLOOKUP($G1781,物料档案!$A$4:$P$1203,4,0),"※编码不在物料档案里"))</f>
        <v/>
      </c>
      <c r="J1781" s="24">
        <f>IF($G1781="","",IFERROR(VLOOKUP($G1781,物料档案!$A$4:$P$1203,5,0),"※编码不在物料档案里"))</f>
        <v/>
      </c>
      <c r="K1781" s="23" t="n"/>
      <c r="L1781" s="31" t="n"/>
      <c r="M1781" s="24">
        <f>IF($G1781="","",IF($D1781="A国内","CNY","TZS"))</f>
        <v/>
      </c>
      <c r="N1781" s="28">
        <f>IF($G1781="","",IF($D1781="A国内",汇率,1))</f>
        <v/>
      </c>
      <c r="O1781" s="25">
        <f>IF($G1781="","",ROUND(N($K1781)*N($L1781),2))</f>
        <v/>
      </c>
      <c r="P1781" s="26">
        <f>IF($G1781="","",ROUND($O1781*$N1781,0))</f>
        <v/>
      </c>
      <c r="Q1781" s="26">
        <f>IF($G1781="","",SUMIFS($P$4:$P$2503,$E$4:$E$2503,$E1781,$Z$4:$Z$2503,"正常"))</f>
        <v/>
      </c>
      <c r="R1781" s="26">
        <f>IF($G1781="","",SUMIFS(费用台账!$I$4:$I$503,费用台账!$C$4:$C$503,$E1781,费用台账!$J$4:$J$503,"是",费用台账!$K$4:$K$503,"正常"))</f>
        <v/>
      </c>
      <c r="S1781" s="28">
        <f>IF($G1781="","",COUNTIFS($E$4:$E$2503,$E1781,$Z$4:$Z$2503,"正常",$Y$4:$Y$2503,"待补价"))</f>
        <v/>
      </c>
      <c r="T1781" s="26">
        <f>IF($G1781="","",SUMIFS($P$4:$P$2503,$E$4:$E$2503,$E1781,$Z$4:$Z$2503,"正常",$A$4:$A$2503,"&lt;="&amp;$A1781))</f>
        <v/>
      </c>
      <c r="U1781" s="26">
        <f>IF($G1781="","",IF(OR($S1781&gt;0,$Q1781=0,$R1781=0,$Z1781&lt;&gt;"正常"),0,ROUND($T1781/$Q1781*$R1781,0)-ROUND(($T1781-$P1781)/$Q1781*$R1781,0)))</f>
        <v/>
      </c>
      <c r="V1781" s="26">
        <f>IF($G1781="","",ROUND($P1781+$U1781,0))</f>
        <v/>
      </c>
      <c r="W1781" s="26">
        <f>IF($G1781="","",IF(N($K1781)=0,0,ROUND($V1781/$K1781,2)))</f>
        <v/>
      </c>
      <c r="X1781" s="17" t="n"/>
      <c r="Y1781" s="17" t="n"/>
      <c r="Z1781" s="17" t="n"/>
      <c r="AA1781" s="17" t="n"/>
      <c r="AB1781" s="17" t="n"/>
      <c r="AC1781" s="24">
        <f>IF($G1781="","",IF($H1781="※编码不在物料档案里","※物料编码不在档案里",IF(N($K1781)&lt;=0,"※入库数量要大于 0",IF(AND($C1781&lt;&gt;"",$C1781&lt;=结账锁),"※日期早于已结账截止日，不能再录",IF(AND($L1781=0,$X1781="正常"),"※没填单价，价格状态请选「待补价」",IF(AND($S1781&gt;0,$R1781&gt;0),"△本批有 "&amp;$S1781&amp;" 行没单价，整批运费先挂账没摊",IF(AND($B1781&lt;&gt;"",COUNTIF($B$4:$B$2503,$B1781)&gt;1),"※入库单号重复","")))))))</f>
        <v/>
      </c>
    </row>
    <row r="1782">
      <c r="A1782" s="24">
        <f>IF($G1782="","",COUNTA($G$4:$G1782))</f>
        <v/>
      </c>
      <c r="B1782" s="17" t="n"/>
      <c r="C1782" s="30" t="n"/>
      <c r="D1782" s="17" t="n"/>
      <c r="E1782" s="17" t="n"/>
      <c r="F1782" s="17" t="n"/>
      <c r="G1782" s="17" t="n"/>
      <c r="H1782" s="24">
        <f>IF($G1782="","",IFERROR(VLOOKUP($G1782,物料档案!$A$4:$P$1203,3,0),"※编码不在物料档案里"))</f>
        <v/>
      </c>
      <c r="I1782" s="24">
        <f>IF($G1782="","",IFERROR(VLOOKUP($G1782,物料档案!$A$4:$P$1203,4,0),"※编码不在物料档案里"))</f>
        <v/>
      </c>
      <c r="J1782" s="24">
        <f>IF($G1782="","",IFERROR(VLOOKUP($G1782,物料档案!$A$4:$P$1203,5,0),"※编码不在物料档案里"))</f>
        <v/>
      </c>
      <c r="K1782" s="23" t="n"/>
      <c r="L1782" s="31" t="n"/>
      <c r="M1782" s="24">
        <f>IF($G1782="","",IF($D1782="A国内","CNY","TZS"))</f>
        <v/>
      </c>
      <c r="N1782" s="28">
        <f>IF($G1782="","",IF($D1782="A国内",汇率,1))</f>
        <v/>
      </c>
      <c r="O1782" s="25">
        <f>IF($G1782="","",ROUND(N($K1782)*N($L1782),2))</f>
        <v/>
      </c>
      <c r="P1782" s="26">
        <f>IF($G1782="","",ROUND($O1782*$N1782,0))</f>
        <v/>
      </c>
      <c r="Q1782" s="26">
        <f>IF($G1782="","",SUMIFS($P$4:$P$2503,$E$4:$E$2503,$E1782,$Z$4:$Z$2503,"正常"))</f>
        <v/>
      </c>
      <c r="R1782" s="26">
        <f>IF($G1782="","",SUMIFS(费用台账!$I$4:$I$503,费用台账!$C$4:$C$503,$E1782,费用台账!$J$4:$J$503,"是",费用台账!$K$4:$K$503,"正常"))</f>
        <v/>
      </c>
      <c r="S1782" s="28">
        <f>IF($G1782="","",COUNTIFS($E$4:$E$2503,$E1782,$Z$4:$Z$2503,"正常",$Y$4:$Y$2503,"待补价"))</f>
        <v/>
      </c>
      <c r="T1782" s="26">
        <f>IF($G1782="","",SUMIFS($P$4:$P$2503,$E$4:$E$2503,$E1782,$Z$4:$Z$2503,"正常",$A$4:$A$2503,"&lt;="&amp;$A1782))</f>
        <v/>
      </c>
      <c r="U1782" s="26">
        <f>IF($G1782="","",IF(OR($S1782&gt;0,$Q1782=0,$R1782=0,$Z1782&lt;&gt;"正常"),0,ROUND($T1782/$Q1782*$R1782,0)-ROUND(($T1782-$P1782)/$Q1782*$R1782,0)))</f>
        <v/>
      </c>
      <c r="V1782" s="26">
        <f>IF($G1782="","",ROUND($P1782+$U1782,0))</f>
        <v/>
      </c>
      <c r="W1782" s="26">
        <f>IF($G1782="","",IF(N($K1782)=0,0,ROUND($V1782/$K1782,2)))</f>
        <v/>
      </c>
      <c r="X1782" s="17" t="n"/>
      <c r="Y1782" s="17" t="n"/>
      <c r="Z1782" s="17" t="n"/>
      <c r="AA1782" s="17" t="n"/>
      <c r="AB1782" s="17" t="n"/>
      <c r="AC1782" s="24">
        <f>IF($G1782="","",IF($H1782="※编码不在物料档案里","※物料编码不在档案里",IF(N($K1782)&lt;=0,"※入库数量要大于 0",IF(AND($C1782&lt;&gt;"",$C1782&lt;=结账锁),"※日期早于已结账截止日，不能再录",IF(AND($L1782=0,$X1782="正常"),"※没填单价，价格状态请选「待补价」",IF(AND($S1782&gt;0,$R1782&gt;0),"△本批有 "&amp;$S1782&amp;" 行没单价，整批运费先挂账没摊",IF(AND($B1782&lt;&gt;"",COUNTIF($B$4:$B$2503,$B1782)&gt;1),"※入库单号重复","")))))))</f>
        <v/>
      </c>
    </row>
    <row r="1783">
      <c r="A1783" s="24">
        <f>IF($G1783="","",COUNTA($G$4:$G1783))</f>
        <v/>
      </c>
      <c r="B1783" s="17" t="n"/>
      <c r="C1783" s="30" t="n"/>
      <c r="D1783" s="17" t="n"/>
      <c r="E1783" s="17" t="n"/>
      <c r="F1783" s="17" t="n"/>
      <c r="G1783" s="17" t="n"/>
      <c r="H1783" s="24">
        <f>IF($G1783="","",IFERROR(VLOOKUP($G1783,物料档案!$A$4:$P$1203,3,0),"※编码不在物料档案里"))</f>
        <v/>
      </c>
      <c r="I1783" s="24">
        <f>IF($G1783="","",IFERROR(VLOOKUP($G1783,物料档案!$A$4:$P$1203,4,0),"※编码不在物料档案里"))</f>
        <v/>
      </c>
      <c r="J1783" s="24">
        <f>IF($G1783="","",IFERROR(VLOOKUP($G1783,物料档案!$A$4:$P$1203,5,0),"※编码不在物料档案里"))</f>
        <v/>
      </c>
      <c r="K1783" s="23" t="n"/>
      <c r="L1783" s="31" t="n"/>
      <c r="M1783" s="24">
        <f>IF($G1783="","",IF($D1783="A国内","CNY","TZS"))</f>
        <v/>
      </c>
      <c r="N1783" s="28">
        <f>IF($G1783="","",IF($D1783="A国内",汇率,1))</f>
        <v/>
      </c>
      <c r="O1783" s="25">
        <f>IF($G1783="","",ROUND(N($K1783)*N($L1783),2))</f>
        <v/>
      </c>
      <c r="P1783" s="26">
        <f>IF($G1783="","",ROUND($O1783*$N1783,0))</f>
        <v/>
      </c>
      <c r="Q1783" s="26">
        <f>IF($G1783="","",SUMIFS($P$4:$P$2503,$E$4:$E$2503,$E1783,$Z$4:$Z$2503,"正常"))</f>
        <v/>
      </c>
      <c r="R1783" s="26">
        <f>IF($G1783="","",SUMIFS(费用台账!$I$4:$I$503,费用台账!$C$4:$C$503,$E1783,费用台账!$J$4:$J$503,"是",费用台账!$K$4:$K$503,"正常"))</f>
        <v/>
      </c>
      <c r="S1783" s="28">
        <f>IF($G1783="","",COUNTIFS($E$4:$E$2503,$E1783,$Z$4:$Z$2503,"正常",$Y$4:$Y$2503,"待补价"))</f>
        <v/>
      </c>
      <c r="T1783" s="26">
        <f>IF($G1783="","",SUMIFS($P$4:$P$2503,$E$4:$E$2503,$E1783,$Z$4:$Z$2503,"正常",$A$4:$A$2503,"&lt;="&amp;$A1783))</f>
        <v/>
      </c>
      <c r="U1783" s="26">
        <f>IF($G1783="","",IF(OR($S1783&gt;0,$Q1783=0,$R1783=0,$Z1783&lt;&gt;"正常"),0,ROUND($T1783/$Q1783*$R1783,0)-ROUND(($T1783-$P1783)/$Q1783*$R1783,0)))</f>
        <v/>
      </c>
      <c r="V1783" s="26">
        <f>IF($G1783="","",ROUND($P1783+$U1783,0))</f>
        <v/>
      </c>
      <c r="W1783" s="26">
        <f>IF($G1783="","",IF(N($K1783)=0,0,ROUND($V1783/$K1783,2)))</f>
        <v/>
      </c>
      <c r="X1783" s="17" t="n"/>
      <c r="Y1783" s="17" t="n"/>
      <c r="Z1783" s="17" t="n"/>
      <c r="AA1783" s="17" t="n"/>
      <c r="AB1783" s="17" t="n"/>
      <c r="AC1783" s="24">
        <f>IF($G1783="","",IF($H1783="※编码不在物料档案里","※物料编码不在档案里",IF(N($K1783)&lt;=0,"※入库数量要大于 0",IF(AND($C1783&lt;&gt;"",$C1783&lt;=结账锁),"※日期早于已结账截止日，不能再录",IF(AND($L1783=0,$X1783="正常"),"※没填单价，价格状态请选「待补价」",IF(AND($S1783&gt;0,$R1783&gt;0),"△本批有 "&amp;$S1783&amp;" 行没单价，整批运费先挂账没摊",IF(AND($B1783&lt;&gt;"",COUNTIF($B$4:$B$2503,$B1783)&gt;1),"※入库单号重复","")))))))</f>
        <v/>
      </c>
    </row>
    <row r="1784">
      <c r="A1784" s="24">
        <f>IF($G1784="","",COUNTA($G$4:$G1784))</f>
        <v/>
      </c>
      <c r="B1784" s="17" t="n"/>
      <c r="C1784" s="30" t="n"/>
      <c r="D1784" s="17" t="n"/>
      <c r="E1784" s="17" t="n"/>
      <c r="F1784" s="17" t="n"/>
      <c r="G1784" s="17" t="n"/>
      <c r="H1784" s="24">
        <f>IF($G1784="","",IFERROR(VLOOKUP($G1784,物料档案!$A$4:$P$1203,3,0),"※编码不在物料档案里"))</f>
        <v/>
      </c>
      <c r="I1784" s="24">
        <f>IF($G1784="","",IFERROR(VLOOKUP($G1784,物料档案!$A$4:$P$1203,4,0),"※编码不在物料档案里"))</f>
        <v/>
      </c>
      <c r="J1784" s="24">
        <f>IF($G1784="","",IFERROR(VLOOKUP($G1784,物料档案!$A$4:$P$1203,5,0),"※编码不在物料档案里"))</f>
        <v/>
      </c>
      <c r="K1784" s="23" t="n"/>
      <c r="L1784" s="31" t="n"/>
      <c r="M1784" s="24">
        <f>IF($G1784="","",IF($D1784="A国内","CNY","TZS"))</f>
        <v/>
      </c>
      <c r="N1784" s="28">
        <f>IF($G1784="","",IF($D1784="A国内",汇率,1))</f>
        <v/>
      </c>
      <c r="O1784" s="25">
        <f>IF($G1784="","",ROUND(N($K1784)*N($L1784),2))</f>
        <v/>
      </c>
      <c r="P1784" s="26">
        <f>IF($G1784="","",ROUND($O1784*$N1784,0))</f>
        <v/>
      </c>
      <c r="Q1784" s="26">
        <f>IF($G1784="","",SUMIFS($P$4:$P$2503,$E$4:$E$2503,$E1784,$Z$4:$Z$2503,"正常"))</f>
        <v/>
      </c>
      <c r="R1784" s="26">
        <f>IF($G1784="","",SUMIFS(费用台账!$I$4:$I$503,费用台账!$C$4:$C$503,$E1784,费用台账!$J$4:$J$503,"是",费用台账!$K$4:$K$503,"正常"))</f>
        <v/>
      </c>
      <c r="S1784" s="28">
        <f>IF($G1784="","",COUNTIFS($E$4:$E$2503,$E1784,$Z$4:$Z$2503,"正常",$Y$4:$Y$2503,"待补价"))</f>
        <v/>
      </c>
      <c r="T1784" s="26">
        <f>IF($G1784="","",SUMIFS($P$4:$P$2503,$E$4:$E$2503,$E1784,$Z$4:$Z$2503,"正常",$A$4:$A$2503,"&lt;="&amp;$A1784))</f>
        <v/>
      </c>
      <c r="U1784" s="26">
        <f>IF($G1784="","",IF(OR($S1784&gt;0,$Q1784=0,$R1784=0,$Z1784&lt;&gt;"正常"),0,ROUND($T1784/$Q1784*$R1784,0)-ROUND(($T1784-$P1784)/$Q1784*$R1784,0)))</f>
        <v/>
      </c>
      <c r="V1784" s="26">
        <f>IF($G1784="","",ROUND($P1784+$U1784,0))</f>
        <v/>
      </c>
      <c r="W1784" s="26">
        <f>IF($G1784="","",IF(N($K1784)=0,0,ROUND($V1784/$K1784,2)))</f>
        <v/>
      </c>
      <c r="X1784" s="17" t="n"/>
      <c r="Y1784" s="17" t="n"/>
      <c r="Z1784" s="17" t="n"/>
      <c r="AA1784" s="17" t="n"/>
      <c r="AB1784" s="17" t="n"/>
      <c r="AC1784" s="24">
        <f>IF($G1784="","",IF($H1784="※编码不在物料档案里","※物料编码不在档案里",IF(N($K1784)&lt;=0,"※入库数量要大于 0",IF(AND($C1784&lt;&gt;"",$C1784&lt;=结账锁),"※日期早于已结账截止日，不能再录",IF(AND($L1784=0,$X1784="正常"),"※没填单价，价格状态请选「待补价」",IF(AND($S1784&gt;0,$R1784&gt;0),"△本批有 "&amp;$S1784&amp;" 行没单价，整批运费先挂账没摊",IF(AND($B1784&lt;&gt;"",COUNTIF($B$4:$B$2503,$B1784)&gt;1),"※入库单号重复","")))))))</f>
        <v/>
      </c>
    </row>
    <row r="1785">
      <c r="A1785" s="24">
        <f>IF($G1785="","",COUNTA($G$4:$G1785))</f>
        <v/>
      </c>
      <c r="B1785" s="17" t="n"/>
      <c r="C1785" s="30" t="n"/>
      <c r="D1785" s="17" t="n"/>
      <c r="E1785" s="17" t="n"/>
      <c r="F1785" s="17" t="n"/>
      <c r="G1785" s="17" t="n"/>
      <c r="H1785" s="24">
        <f>IF($G1785="","",IFERROR(VLOOKUP($G1785,物料档案!$A$4:$P$1203,3,0),"※编码不在物料档案里"))</f>
        <v/>
      </c>
      <c r="I1785" s="24">
        <f>IF($G1785="","",IFERROR(VLOOKUP($G1785,物料档案!$A$4:$P$1203,4,0),"※编码不在物料档案里"))</f>
        <v/>
      </c>
      <c r="J1785" s="24">
        <f>IF($G1785="","",IFERROR(VLOOKUP($G1785,物料档案!$A$4:$P$1203,5,0),"※编码不在物料档案里"))</f>
        <v/>
      </c>
      <c r="K1785" s="23" t="n"/>
      <c r="L1785" s="31" t="n"/>
      <c r="M1785" s="24">
        <f>IF($G1785="","",IF($D1785="A国内","CNY","TZS"))</f>
        <v/>
      </c>
      <c r="N1785" s="28">
        <f>IF($G1785="","",IF($D1785="A国内",汇率,1))</f>
        <v/>
      </c>
      <c r="O1785" s="25">
        <f>IF($G1785="","",ROUND(N($K1785)*N($L1785),2))</f>
        <v/>
      </c>
      <c r="P1785" s="26">
        <f>IF($G1785="","",ROUND($O1785*$N1785,0))</f>
        <v/>
      </c>
      <c r="Q1785" s="26">
        <f>IF($G1785="","",SUMIFS($P$4:$P$2503,$E$4:$E$2503,$E1785,$Z$4:$Z$2503,"正常"))</f>
        <v/>
      </c>
      <c r="R1785" s="26">
        <f>IF($G1785="","",SUMIFS(费用台账!$I$4:$I$503,费用台账!$C$4:$C$503,$E1785,费用台账!$J$4:$J$503,"是",费用台账!$K$4:$K$503,"正常"))</f>
        <v/>
      </c>
      <c r="S1785" s="28">
        <f>IF($G1785="","",COUNTIFS($E$4:$E$2503,$E1785,$Z$4:$Z$2503,"正常",$Y$4:$Y$2503,"待补价"))</f>
        <v/>
      </c>
      <c r="T1785" s="26">
        <f>IF($G1785="","",SUMIFS($P$4:$P$2503,$E$4:$E$2503,$E1785,$Z$4:$Z$2503,"正常",$A$4:$A$2503,"&lt;="&amp;$A1785))</f>
        <v/>
      </c>
      <c r="U1785" s="26">
        <f>IF($G1785="","",IF(OR($S1785&gt;0,$Q1785=0,$R1785=0,$Z1785&lt;&gt;"正常"),0,ROUND($T1785/$Q1785*$R1785,0)-ROUND(($T1785-$P1785)/$Q1785*$R1785,0)))</f>
        <v/>
      </c>
      <c r="V1785" s="26">
        <f>IF($G1785="","",ROUND($P1785+$U1785,0))</f>
        <v/>
      </c>
      <c r="W1785" s="26">
        <f>IF($G1785="","",IF(N($K1785)=0,0,ROUND($V1785/$K1785,2)))</f>
        <v/>
      </c>
      <c r="X1785" s="17" t="n"/>
      <c r="Y1785" s="17" t="n"/>
      <c r="Z1785" s="17" t="n"/>
      <c r="AA1785" s="17" t="n"/>
      <c r="AB1785" s="17" t="n"/>
      <c r="AC1785" s="24">
        <f>IF($G1785="","",IF($H1785="※编码不在物料档案里","※物料编码不在档案里",IF(N($K1785)&lt;=0,"※入库数量要大于 0",IF(AND($C1785&lt;&gt;"",$C1785&lt;=结账锁),"※日期早于已结账截止日，不能再录",IF(AND($L1785=0,$X1785="正常"),"※没填单价，价格状态请选「待补价」",IF(AND($S1785&gt;0,$R1785&gt;0),"△本批有 "&amp;$S1785&amp;" 行没单价，整批运费先挂账没摊",IF(AND($B1785&lt;&gt;"",COUNTIF($B$4:$B$2503,$B1785)&gt;1),"※入库单号重复","")))))))</f>
        <v/>
      </c>
    </row>
    <row r="1786">
      <c r="A1786" s="24">
        <f>IF($G1786="","",COUNTA($G$4:$G1786))</f>
        <v/>
      </c>
      <c r="B1786" s="17" t="n"/>
      <c r="C1786" s="30" t="n"/>
      <c r="D1786" s="17" t="n"/>
      <c r="E1786" s="17" t="n"/>
      <c r="F1786" s="17" t="n"/>
      <c r="G1786" s="17" t="n"/>
      <c r="H1786" s="24">
        <f>IF($G1786="","",IFERROR(VLOOKUP($G1786,物料档案!$A$4:$P$1203,3,0),"※编码不在物料档案里"))</f>
        <v/>
      </c>
      <c r="I1786" s="24">
        <f>IF($G1786="","",IFERROR(VLOOKUP($G1786,物料档案!$A$4:$P$1203,4,0),"※编码不在物料档案里"))</f>
        <v/>
      </c>
      <c r="J1786" s="24">
        <f>IF($G1786="","",IFERROR(VLOOKUP($G1786,物料档案!$A$4:$P$1203,5,0),"※编码不在物料档案里"))</f>
        <v/>
      </c>
      <c r="K1786" s="23" t="n"/>
      <c r="L1786" s="31" t="n"/>
      <c r="M1786" s="24">
        <f>IF($G1786="","",IF($D1786="A国内","CNY","TZS"))</f>
        <v/>
      </c>
      <c r="N1786" s="28">
        <f>IF($G1786="","",IF($D1786="A国内",汇率,1))</f>
        <v/>
      </c>
      <c r="O1786" s="25">
        <f>IF($G1786="","",ROUND(N($K1786)*N($L1786),2))</f>
        <v/>
      </c>
      <c r="P1786" s="26">
        <f>IF($G1786="","",ROUND($O1786*$N1786,0))</f>
        <v/>
      </c>
      <c r="Q1786" s="26">
        <f>IF($G1786="","",SUMIFS($P$4:$P$2503,$E$4:$E$2503,$E1786,$Z$4:$Z$2503,"正常"))</f>
        <v/>
      </c>
      <c r="R1786" s="26">
        <f>IF($G1786="","",SUMIFS(费用台账!$I$4:$I$503,费用台账!$C$4:$C$503,$E1786,费用台账!$J$4:$J$503,"是",费用台账!$K$4:$K$503,"正常"))</f>
        <v/>
      </c>
      <c r="S1786" s="28">
        <f>IF($G1786="","",COUNTIFS($E$4:$E$2503,$E1786,$Z$4:$Z$2503,"正常",$Y$4:$Y$2503,"待补价"))</f>
        <v/>
      </c>
      <c r="T1786" s="26">
        <f>IF($G1786="","",SUMIFS($P$4:$P$2503,$E$4:$E$2503,$E1786,$Z$4:$Z$2503,"正常",$A$4:$A$2503,"&lt;="&amp;$A1786))</f>
        <v/>
      </c>
      <c r="U1786" s="26">
        <f>IF($G1786="","",IF(OR($S1786&gt;0,$Q1786=0,$R1786=0,$Z1786&lt;&gt;"正常"),0,ROUND($T1786/$Q1786*$R1786,0)-ROUND(($T1786-$P1786)/$Q1786*$R1786,0)))</f>
        <v/>
      </c>
      <c r="V1786" s="26">
        <f>IF($G1786="","",ROUND($P1786+$U1786,0))</f>
        <v/>
      </c>
      <c r="W1786" s="26">
        <f>IF($G1786="","",IF(N($K1786)=0,0,ROUND($V1786/$K1786,2)))</f>
        <v/>
      </c>
      <c r="X1786" s="17" t="n"/>
      <c r="Y1786" s="17" t="n"/>
      <c r="Z1786" s="17" t="n"/>
      <c r="AA1786" s="17" t="n"/>
      <c r="AB1786" s="17" t="n"/>
      <c r="AC1786" s="24">
        <f>IF($G1786="","",IF($H1786="※编码不在物料档案里","※物料编码不在档案里",IF(N($K1786)&lt;=0,"※入库数量要大于 0",IF(AND($C1786&lt;&gt;"",$C1786&lt;=结账锁),"※日期早于已结账截止日，不能再录",IF(AND($L1786=0,$X1786="正常"),"※没填单价，价格状态请选「待补价」",IF(AND($S1786&gt;0,$R1786&gt;0),"△本批有 "&amp;$S1786&amp;" 行没单价，整批运费先挂账没摊",IF(AND($B1786&lt;&gt;"",COUNTIF($B$4:$B$2503,$B1786)&gt;1),"※入库单号重复","")))))))</f>
        <v/>
      </c>
    </row>
    <row r="1787">
      <c r="A1787" s="24">
        <f>IF($G1787="","",COUNTA($G$4:$G1787))</f>
        <v/>
      </c>
      <c r="B1787" s="17" t="n"/>
      <c r="C1787" s="30" t="n"/>
      <c r="D1787" s="17" t="n"/>
      <c r="E1787" s="17" t="n"/>
      <c r="F1787" s="17" t="n"/>
      <c r="G1787" s="17" t="n"/>
      <c r="H1787" s="24">
        <f>IF($G1787="","",IFERROR(VLOOKUP($G1787,物料档案!$A$4:$P$1203,3,0),"※编码不在物料档案里"))</f>
        <v/>
      </c>
      <c r="I1787" s="24">
        <f>IF($G1787="","",IFERROR(VLOOKUP($G1787,物料档案!$A$4:$P$1203,4,0),"※编码不在物料档案里"))</f>
        <v/>
      </c>
      <c r="J1787" s="24">
        <f>IF($G1787="","",IFERROR(VLOOKUP($G1787,物料档案!$A$4:$P$1203,5,0),"※编码不在物料档案里"))</f>
        <v/>
      </c>
      <c r="K1787" s="23" t="n"/>
      <c r="L1787" s="31" t="n"/>
      <c r="M1787" s="24">
        <f>IF($G1787="","",IF($D1787="A国内","CNY","TZS"))</f>
        <v/>
      </c>
      <c r="N1787" s="28">
        <f>IF($G1787="","",IF($D1787="A国内",汇率,1))</f>
        <v/>
      </c>
      <c r="O1787" s="25">
        <f>IF($G1787="","",ROUND(N($K1787)*N($L1787),2))</f>
        <v/>
      </c>
      <c r="P1787" s="26">
        <f>IF($G1787="","",ROUND($O1787*$N1787,0))</f>
        <v/>
      </c>
      <c r="Q1787" s="26">
        <f>IF($G1787="","",SUMIFS($P$4:$P$2503,$E$4:$E$2503,$E1787,$Z$4:$Z$2503,"正常"))</f>
        <v/>
      </c>
      <c r="R1787" s="26">
        <f>IF($G1787="","",SUMIFS(费用台账!$I$4:$I$503,费用台账!$C$4:$C$503,$E1787,费用台账!$J$4:$J$503,"是",费用台账!$K$4:$K$503,"正常"))</f>
        <v/>
      </c>
      <c r="S1787" s="28">
        <f>IF($G1787="","",COUNTIFS($E$4:$E$2503,$E1787,$Z$4:$Z$2503,"正常",$Y$4:$Y$2503,"待补价"))</f>
        <v/>
      </c>
      <c r="T1787" s="26">
        <f>IF($G1787="","",SUMIFS($P$4:$P$2503,$E$4:$E$2503,$E1787,$Z$4:$Z$2503,"正常",$A$4:$A$2503,"&lt;="&amp;$A1787))</f>
        <v/>
      </c>
      <c r="U1787" s="26">
        <f>IF($G1787="","",IF(OR($S1787&gt;0,$Q1787=0,$R1787=0,$Z1787&lt;&gt;"正常"),0,ROUND($T1787/$Q1787*$R1787,0)-ROUND(($T1787-$P1787)/$Q1787*$R1787,0)))</f>
        <v/>
      </c>
      <c r="V1787" s="26">
        <f>IF($G1787="","",ROUND($P1787+$U1787,0))</f>
        <v/>
      </c>
      <c r="W1787" s="26">
        <f>IF($G1787="","",IF(N($K1787)=0,0,ROUND($V1787/$K1787,2)))</f>
        <v/>
      </c>
      <c r="X1787" s="17" t="n"/>
      <c r="Y1787" s="17" t="n"/>
      <c r="Z1787" s="17" t="n"/>
      <c r="AA1787" s="17" t="n"/>
      <c r="AB1787" s="17" t="n"/>
      <c r="AC1787" s="24">
        <f>IF($G1787="","",IF($H1787="※编码不在物料档案里","※物料编码不在档案里",IF(N($K1787)&lt;=0,"※入库数量要大于 0",IF(AND($C1787&lt;&gt;"",$C1787&lt;=结账锁),"※日期早于已结账截止日，不能再录",IF(AND($L1787=0,$X1787="正常"),"※没填单价，价格状态请选「待补价」",IF(AND($S1787&gt;0,$R1787&gt;0),"△本批有 "&amp;$S1787&amp;" 行没单价，整批运费先挂账没摊",IF(AND($B1787&lt;&gt;"",COUNTIF($B$4:$B$2503,$B1787)&gt;1),"※入库单号重复","")))))))</f>
        <v/>
      </c>
    </row>
    <row r="1788">
      <c r="A1788" s="24">
        <f>IF($G1788="","",COUNTA($G$4:$G1788))</f>
        <v/>
      </c>
      <c r="B1788" s="17" t="n"/>
      <c r="C1788" s="30" t="n"/>
      <c r="D1788" s="17" t="n"/>
      <c r="E1788" s="17" t="n"/>
      <c r="F1788" s="17" t="n"/>
      <c r="G1788" s="17" t="n"/>
      <c r="H1788" s="24">
        <f>IF($G1788="","",IFERROR(VLOOKUP($G1788,物料档案!$A$4:$P$1203,3,0),"※编码不在物料档案里"))</f>
        <v/>
      </c>
      <c r="I1788" s="24">
        <f>IF($G1788="","",IFERROR(VLOOKUP($G1788,物料档案!$A$4:$P$1203,4,0),"※编码不在物料档案里"))</f>
        <v/>
      </c>
      <c r="J1788" s="24">
        <f>IF($G1788="","",IFERROR(VLOOKUP($G1788,物料档案!$A$4:$P$1203,5,0),"※编码不在物料档案里"))</f>
        <v/>
      </c>
      <c r="K1788" s="23" t="n"/>
      <c r="L1788" s="31" t="n"/>
      <c r="M1788" s="24">
        <f>IF($G1788="","",IF($D1788="A国内","CNY","TZS"))</f>
        <v/>
      </c>
      <c r="N1788" s="28">
        <f>IF($G1788="","",IF($D1788="A国内",汇率,1))</f>
        <v/>
      </c>
      <c r="O1788" s="25">
        <f>IF($G1788="","",ROUND(N($K1788)*N($L1788),2))</f>
        <v/>
      </c>
      <c r="P1788" s="26">
        <f>IF($G1788="","",ROUND($O1788*$N1788,0))</f>
        <v/>
      </c>
      <c r="Q1788" s="26">
        <f>IF($G1788="","",SUMIFS($P$4:$P$2503,$E$4:$E$2503,$E1788,$Z$4:$Z$2503,"正常"))</f>
        <v/>
      </c>
      <c r="R1788" s="26">
        <f>IF($G1788="","",SUMIFS(费用台账!$I$4:$I$503,费用台账!$C$4:$C$503,$E1788,费用台账!$J$4:$J$503,"是",费用台账!$K$4:$K$503,"正常"))</f>
        <v/>
      </c>
      <c r="S1788" s="28">
        <f>IF($G1788="","",COUNTIFS($E$4:$E$2503,$E1788,$Z$4:$Z$2503,"正常",$Y$4:$Y$2503,"待补价"))</f>
        <v/>
      </c>
      <c r="T1788" s="26">
        <f>IF($G1788="","",SUMIFS($P$4:$P$2503,$E$4:$E$2503,$E1788,$Z$4:$Z$2503,"正常",$A$4:$A$2503,"&lt;="&amp;$A1788))</f>
        <v/>
      </c>
      <c r="U1788" s="26">
        <f>IF($G1788="","",IF(OR($S1788&gt;0,$Q1788=0,$R1788=0,$Z1788&lt;&gt;"正常"),0,ROUND($T1788/$Q1788*$R1788,0)-ROUND(($T1788-$P1788)/$Q1788*$R1788,0)))</f>
        <v/>
      </c>
      <c r="V1788" s="26">
        <f>IF($G1788="","",ROUND($P1788+$U1788,0))</f>
        <v/>
      </c>
      <c r="W1788" s="26">
        <f>IF($G1788="","",IF(N($K1788)=0,0,ROUND($V1788/$K1788,2)))</f>
        <v/>
      </c>
      <c r="X1788" s="17" t="n"/>
      <c r="Y1788" s="17" t="n"/>
      <c r="Z1788" s="17" t="n"/>
      <c r="AA1788" s="17" t="n"/>
      <c r="AB1788" s="17" t="n"/>
      <c r="AC1788" s="24">
        <f>IF($G1788="","",IF($H1788="※编码不在物料档案里","※物料编码不在档案里",IF(N($K1788)&lt;=0,"※入库数量要大于 0",IF(AND($C1788&lt;&gt;"",$C1788&lt;=结账锁),"※日期早于已结账截止日，不能再录",IF(AND($L1788=0,$X1788="正常"),"※没填单价，价格状态请选「待补价」",IF(AND($S1788&gt;0,$R1788&gt;0),"△本批有 "&amp;$S1788&amp;" 行没单价，整批运费先挂账没摊",IF(AND($B1788&lt;&gt;"",COUNTIF($B$4:$B$2503,$B1788)&gt;1),"※入库单号重复","")))))))</f>
        <v/>
      </c>
    </row>
    <row r="1789">
      <c r="A1789" s="24">
        <f>IF($G1789="","",COUNTA($G$4:$G1789))</f>
        <v/>
      </c>
      <c r="B1789" s="17" t="n"/>
      <c r="C1789" s="30" t="n"/>
      <c r="D1789" s="17" t="n"/>
      <c r="E1789" s="17" t="n"/>
      <c r="F1789" s="17" t="n"/>
      <c r="G1789" s="17" t="n"/>
      <c r="H1789" s="24">
        <f>IF($G1789="","",IFERROR(VLOOKUP($G1789,物料档案!$A$4:$P$1203,3,0),"※编码不在物料档案里"))</f>
        <v/>
      </c>
      <c r="I1789" s="24">
        <f>IF($G1789="","",IFERROR(VLOOKUP($G1789,物料档案!$A$4:$P$1203,4,0),"※编码不在物料档案里"))</f>
        <v/>
      </c>
      <c r="J1789" s="24">
        <f>IF($G1789="","",IFERROR(VLOOKUP($G1789,物料档案!$A$4:$P$1203,5,0),"※编码不在物料档案里"))</f>
        <v/>
      </c>
      <c r="K1789" s="23" t="n"/>
      <c r="L1789" s="31" t="n"/>
      <c r="M1789" s="24">
        <f>IF($G1789="","",IF($D1789="A国内","CNY","TZS"))</f>
        <v/>
      </c>
      <c r="N1789" s="28">
        <f>IF($G1789="","",IF($D1789="A国内",汇率,1))</f>
        <v/>
      </c>
      <c r="O1789" s="25">
        <f>IF($G1789="","",ROUND(N($K1789)*N($L1789),2))</f>
        <v/>
      </c>
      <c r="P1789" s="26">
        <f>IF($G1789="","",ROUND($O1789*$N1789,0))</f>
        <v/>
      </c>
      <c r="Q1789" s="26">
        <f>IF($G1789="","",SUMIFS($P$4:$P$2503,$E$4:$E$2503,$E1789,$Z$4:$Z$2503,"正常"))</f>
        <v/>
      </c>
      <c r="R1789" s="26">
        <f>IF($G1789="","",SUMIFS(费用台账!$I$4:$I$503,费用台账!$C$4:$C$503,$E1789,费用台账!$J$4:$J$503,"是",费用台账!$K$4:$K$503,"正常"))</f>
        <v/>
      </c>
      <c r="S1789" s="28">
        <f>IF($G1789="","",COUNTIFS($E$4:$E$2503,$E1789,$Z$4:$Z$2503,"正常",$Y$4:$Y$2503,"待补价"))</f>
        <v/>
      </c>
      <c r="T1789" s="26">
        <f>IF($G1789="","",SUMIFS($P$4:$P$2503,$E$4:$E$2503,$E1789,$Z$4:$Z$2503,"正常",$A$4:$A$2503,"&lt;="&amp;$A1789))</f>
        <v/>
      </c>
      <c r="U1789" s="26">
        <f>IF($G1789="","",IF(OR($S1789&gt;0,$Q1789=0,$R1789=0,$Z1789&lt;&gt;"正常"),0,ROUND($T1789/$Q1789*$R1789,0)-ROUND(($T1789-$P1789)/$Q1789*$R1789,0)))</f>
        <v/>
      </c>
      <c r="V1789" s="26">
        <f>IF($G1789="","",ROUND($P1789+$U1789,0))</f>
        <v/>
      </c>
      <c r="W1789" s="26">
        <f>IF($G1789="","",IF(N($K1789)=0,0,ROUND($V1789/$K1789,2)))</f>
        <v/>
      </c>
      <c r="X1789" s="17" t="n"/>
      <c r="Y1789" s="17" t="n"/>
      <c r="Z1789" s="17" t="n"/>
      <c r="AA1789" s="17" t="n"/>
      <c r="AB1789" s="17" t="n"/>
      <c r="AC1789" s="24">
        <f>IF($G1789="","",IF($H1789="※编码不在物料档案里","※物料编码不在档案里",IF(N($K1789)&lt;=0,"※入库数量要大于 0",IF(AND($C1789&lt;&gt;"",$C1789&lt;=结账锁),"※日期早于已结账截止日，不能再录",IF(AND($L1789=0,$X1789="正常"),"※没填单价，价格状态请选「待补价」",IF(AND($S1789&gt;0,$R1789&gt;0),"△本批有 "&amp;$S1789&amp;" 行没单价，整批运费先挂账没摊",IF(AND($B1789&lt;&gt;"",COUNTIF($B$4:$B$2503,$B1789)&gt;1),"※入库单号重复","")))))))</f>
        <v/>
      </c>
    </row>
    <row r="1790">
      <c r="A1790" s="24">
        <f>IF($G1790="","",COUNTA($G$4:$G1790))</f>
        <v/>
      </c>
      <c r="B1790" s="17" t="n"/>
      <c r="C1790" s="30" t="n"/>
      <c r="D1790" s="17" t="n"/>
      <c r="E1790" s="17" t="n"/>
      <c r="F1790" s="17" t="n"/>
      <c r="G1790" s="17" t="n"/>
      <c r="H1790" s="24">
        <f>IF($G1790="","",IFERROR(VLOOKUP($G1790,物料档案!$A$4:$P$1203,3,0),"※编码不在物料档案里"))</f>
        <v/>
      </c>
      <c r="I1790" s="24">
        <f>IF($G1790="","",IFERROR(VLOOKUP($G1790,物料档案!$A$4:$P$1203,4,0),"※编码不在物料档案里"))</f>
        <v/>
      </c>
      <c r="J1790" s="24">
        <f>IF($G1790="","",IFERROR(VLOOKUP($G1790,物料档案!$A$4:$P$1203,5,0),"※编码不在物料档案里"))</f>
        <v/>
      </c>
      <c r="K1790" s="23" t="n"/>
      <c r="L1790" s="31" t="n"/>
      <c r="M1790" s="24">
        <f>IF($G1790="","",IF($D1790="A国内","CNY","TZS"))</f>
        <v/>
      </c>
      <c r="N1790" s="28">
        <f>IF($G1790="","",IF($D1790="A国内",汇率,1))</f>
        <v/>
      </c>
      <c r="O1790" s="25">
        <f>IF($G1790="","",ROUND(N($K1790)*N($L1790),2))</f>
        <v/>
      </c>
      <c r="P1790" s="26">
        <f>IF($G1790="","",ROUND($O1790*$N1790,0))</f>
        <v/>
      </c>
      <c r="Q1790" s="26">
        <f>IF($G1790="","",SUMIFS($P$4:$P$2503,$E$4:$E$2503,$E1790,$Z$4:$Z$2503,"正常"))</f>
        <v/>
      </c>
      <c r="R1790" s="26">
        <f>IF($G1790="","",SUMIFS(费用台账!$I$4:$I$503,费用台账!$C$4:$C$503,$E1790,费用台账!$J$4:$J$503,"是",费用台账!$K$4:$K$503,"正常"))</f>
        <v/>
      </c>
      <c r="S1790" s="28">
        <f>IF($G1790="","",COUNTIFS($E$4:$E$2503,$E1790,$Z$4:$Z$2503,"正常",$Y$4:$Y$2503,"待补价"))</f>
        <v/>
      </c>
      <c r="T1790" s="26">
        <f>IF($G1790="","",SUMIFS($P$4:$P$2503,$E$4:$E$2503,$E1790,$Z$4:$Z$2503,"正常",$A$4:$A$2503,"&lt;="&amp;$A1790))</f>
        <v/>
      </c>
      <c r="U1790" s="26">
        <f>IF($G1790="","",IF(OR($S1790&gt;0,$Q1790=0,$R1790=0,$Z1790&lt;&gt;"正常"),0,ROUND($T1790/$Q1790*$R1790,0)-ROUND(($T1790-$P1790)/$Q1790*$R1790,0)))</f>
        <v/>
      </c>
      <c r="V1790" s="26">
        <f>IF($G1790="","",ROUND($P1790+$U1790,0))</f>
        <v/>
      </c>
      <c r="W1790" s="26">
        <f>IF($G1790="","",IF(N($K1790)=0,0,ROUND($V1790/$K1790,2)))</f>
        <v/>
      </c>
      <c r="X1790" s="17" t="n"/>
      <c r="Y1790" s="17" t="n"/>
      <c r="Z1790" s="17" t="n"/>
      <c r="AA1790" s="17" t="n"/>
      <c r="AB1790" s="17" t="n"/>
      <c r="AC1790" s="24">
        <f>IF($G1790="","",IF($H1790="※编码不在物料档案里","※物料编码不在档案里",IF(N($K1790)&lt;=0,"※入库数量要大于 0",IF(AND($C1790&lt;&gt;"",$C1790&lt;=结账锁),"※日期早于已结账截止日，不能再录",IF(AND($L1790=0,$X1790="正常"),"※没填单价，价格状态请选「待补价」",IF(AND($S1790&gt;0,$R1790&gt;0),"△本批有 "&amp;$S1790&amp;" 行没单价，整批运费先挂账没摊",IF(AND($B1790&lt;&gt;"",COUNTIF($B$4:$B$2503,$B1790)&gt;1),"※入库单号重复","")))))))</f>
        <v/>
      </c>
    </row>
    <row r="1791">
      <c r="A1791" s="24">
        <f>IF($G1791="","",COUNTA($G$4:$G1791))</f>
        <v/>
      </c>
      <c r="B1791" s="17" t="n"/>
      <c r="C1791" s="30" t="n"/>
      <c r="D1791" s="17" t="n"/>
      <c r="E1791" s="17" t="n"/>
      <c r="F1791" s="17" t="n"/>
      <c r="G1791" s="17" t="n"/>
      <c r="H1791" s="24">
        <f>IF($G1791="","",IFERROR(VLOOKUP($G1791,物料档案!$A$4:$P$1203,3,0),"※编码不在物料档案里"))</f>
        <v/>
      </c>
      <c r="I1791" s="24">
        <f>IF($G1791="","",IFERROR(VLOOKUP($G1791,物料档案!$A$4:$P$1203,4,0),"※编码不在物料档案里"))</f>
        <v/>
      </c>
      <c r="J1791" s="24">
        <f>IF($G1791="","",IFERROR(VLOOKUP($G1791,物料档案!$A$4:$P$1203,5,0),"※编码不在物料档案里"))</f>
        <v/>
      </c>
      <c r="K1791" s="23" t="n"/>
      <c r="L1791" s="31" t="n"/>
      <c r="M1791" s="24">
        <f>IF($G1791="","",IF($D1791="A国内","CNY","TZS"))</f>
        <v/>
      </c>
      <c r="N1791" s="28">
        <f>IF($G1791="","",IF($D1791="A国内",汇率,1))</f>
        <v/>
      </c>
      <c r="O1791" s="25">
        <f>IF($G1791="","",ROUND(N($K1791)*N($L1791),2))</f>
        <v/>
      </c>
      <c r="P1791" s="26">
        <f>IF($G1791="","",ROUND($O1791*$N1791,0))</f>
        <v/>
      </c>
      <c r="Q1791" s="26">
        <f>IF($G1791="","",SUMIFS($P$4:$P$2503,$E$4:$E$2503,$E1791,$Z$4:$Z$2503,"正常"))</f>
        <v/>
      </c>
      <c r="R1791" s="26">
        <f>IF($G1791="","",SUMIFS(费用台账!$I$4:$I$503,费用台账!$C$4:$C$503,$E1791,费用台账!$J$4:$J$503,"是",费用台账!$K$4:$K$503,"正常"))</f>
        <v/>
      </c>
      <c r="S1791" s="28">
        <f>IF($G1791="","",COUNTIFS($E$4:$E$2503,$E1791,$Z$4:$Z$2503,"正常",$Y$4:$Y$2503,"待补价"))</f>
        <v/>
      </c>
      <c r="T1791" s="26">
        <f>IF($G1791="","",SUMIFS($P$4:$P$2503,$E$4:$E$2503,$E1791,$Z$4:$Z$2503,"正常",$A$4:$A$2503,"&lt;="&amp;$A1791))</f>
        <v/>
      </c>
      <c r="U1791" s="26">
        <f>IF($G1791="","",IF(OR($S1791&gt;0,$Q1791=0,$R1791=0,$Z1791&lt;&gt;"正常"),0,ROUND($T1791/$Q1791*$R1791,0)-ROUND(($T1791-$P1791)/$Q1791*$R1791,0)))</f>
        <v/>
      </c>
      <c r="V1791" s="26">
        <f>IF($G1791="","",ROUND($P1791+$U1791,0))</f>
        <v/>
      </c>
      <c r="W1791" s="26">
        <f>IF($G1791="","",IF(N($K1791)=0,0,ROUND($V1791/$K1791,2)))</f>
        <v/>
      </c>
      <c r="X1791" s="17" t="n"/>
      <c r="Y1791" s="17" t="n"/>
      <c r="Z1791" s="17" t="n"/>
      <c r="AA1791" s="17" t="n"/>
      <c r="AB1791" s="17" t="n"/>
      <c r="AC1791" s="24">
        <f>IF($G1791="","",IF($H1791="※编码不在物料档案里","※物料编码不在档案里",IF(N($K1791)&lt;=0,"※入库数量要大于 0",IF(AND($C1791&lt;&gt;"",$C1791&lt;=结账锁),"※日期早于已结账截止日，不能再录",IF(AND($L1791=0,$X1791="正常"),"※没填单价，价格状态请选「待补价」",IF(AND($S1791&gt;0,$R1791&gt;0),"△本批有 "&amp;$S1791&amp;" 行没单价，整批运费先挂账没摊",IF(AND($B1791&lt;&gt;"",COUNTIF($B$4:$B$2503,$B1791)&gt;1),"※入库单号重复","")))))))</f>
        <v/>
      </c>
    </row>
    <row r="1792">
      <c r="A1792" s="24">
        <f>IF($G1792="","",COUNTA($G$4:$G1792))</f>
        <v/>
      </c>
      <c r="B1792" s="17" t="n"/>
      <c r="C1792" s="30" t="n"/>
      <c r="D1792" s="17" t="n"/>
      <c r="E1792" s="17" t="n"/>
      <c r="F1792" s="17" t="n"/>
      <c r="G1792" s="17" t="n"/>
      <c r="H1792" s="24">
        <f>IF($G1792="","",IFERROR(VLOOKUP($G1792,物料档案!$A$4:$P$1203,3,0),"※编码不在物料档案里"))</f>
        <v/>
      </c>
      <c r="I1792" s="24">
        <f>IF($G1792="","",IFERROR(VLOOKUP($G1792,物料档案!$A$4:$P$1203,4,0),"※编码不在物料档案里"))</f>
        <v/>
      </c>
      <c r="J1792" s="24">
        <f>IF($G1792="","",IFERROR(VLOOKUP($G1792,物料档案!$A$4:$P$1203,5,0),"※编码不在物料档案里"))</f>
        <v/>
      </c>
      <c r="K1792" s="23" t="n"/>
      <c r="L1792" s="31" t="n"/>
      <c r="M1792" s="24">
        <f>IF($G1792="","",IF($D1792="A国内","CNY","TZS"))</f>
        <v/>
      </c>
      <c r="N1792" s="28">
        <f>IF($G1792="","",IF($D1792="A国内",汇率,1))</f>
        <v/>
      </c>
      <c r="O1792" s="25">
        <f>IF($G1792="","",ROUND(N($K1792)*N($L1792),2))</f>
        <v/>
      </c>
      <c r="P1792" s="26">
        <f>IF($G1792="","",ROUND($O1792*$N1792,0))</f>
        <v/>
      </c>
      <c r="Q1792" s="26">
        <f>IF($G1792="","",SUMIFS($P$4:$P$2503,$E$4:$E$2503,$E1792,$Z$4:$Z$2503,"正常"))</f>
        <v/>
      </c>
      <c r="R1792" s="26">
        <f>IF($G1792="","",SUMIFS(费用台账!$I$4:$I$503,费用台账!$C$4:$C$503,$E1792,费用台账!$J$4:$J$503,"是",费用台账!$K$4:$K$503,"正常"))</f>
        <v/>
      </c>
      <c r="S1792" s="28">
        <f>IF($G1792="","",COUNTIFS($E$4:$E$2503,$E1792,$Z$4:$Z$2503,"正常",$Y$4:$Y$2503,"待补价"))</f>
        <v/>
      </c>
      <c r="T1792" s="26">
        <f>IF($G1792="","",SUMIFS($P$4:$P$2503,$E$4:$E$2503,$E1792,$Z$4:$Z$2503,"正常",$A$4:$A$2503,"&lt;="&amp;$A1792))</f>
        <v/>
      </c>
      <c r="U1792" s="26">
        <f>IF($G1792="","",IF(OR($S1792&gt;0,$Q1792=0,$R1792=0,$Z1792&lt;&gt;"正常"),0,ROUND($T1792/$Q1792*$R1792,0)-ROUND(($T1792-$P1792)/$Q1792*$R1792,0)))</f>
        <v/>
      </c>
      <c r="V1792" s="26">
        <f>IF($G1792="","",ROUND($P1792+$U1792,0))</f>
        <v/>
      </c>
      <c r="W1792" s="26">
        <f>IF($G1792="","",IF(N($K1792)=0,0,ROUND($V1792/$K1792,2)))</f>
        <v/>
      </c>
      <c r="X1792" s="17" t="n"/>
      <c r="Y1792" s="17" t="n"/>
      <c r="Z1792" s="17" t="n"/>
      <c r="AA1792" s="17" t="n"/>
      <c r="AB1792" s="17" t="n"/>
      <c r="AC1792" s="24">
        <f>IF($G1792="","",IF($H1792="※编码不在物料档案里","※物料编码不在档案里",IF(N($K1792)&lt;=0,"※入库数量要大于 0",IF(AND($C1792&lt;&gt;"",$C1792&lt;=结账锁),"※日期早于已结账截止日，不能再录",IF(AND($L1792=0,$X1792="正常"),"※没填单价，价格状态请选「待补价」",IF(AND($S1792&gt;0,$R1792&gt;0),"△本批有 "&amp;$S1792&amp;" 行没单价，整批运费先挂账没摊",IF(AND($B1792&lt;&gt;"",COUNTIF($B$4:$B$2503,$B1792)&gt;1),"※入库单号重复","")))))))</f>
        <v/>
      </c>
    </row>
    <row r="1793">
      <c r="A1793" s="24">
        <f>IF($G1793="","",COUNTA($G$4:$G1793))</f>
        <v/>
      </c>
      <c r="B1793" s="17" t="n"/>
      <c r="C1793" s="30" t="n"/>
      <c r="D1793" s="17" t="n"/>
      <c r="E1793" s="17" t="n"/>
      <c r="F1793" s="17" t="n"/>
      <c r="G1793" s="17" t="n"/>
      <c r="H1793" s="24">
        <f>IF($G1793="","",IFERROR(VLOOKUP($G1793,物料档案!$A$4:$P$1203,3,0),"※编码不在物料档案里"))</f>
        <v/>
      </c>
      <c r="I1793" s="24">
        <f>IF($G1793="","",IFERROR(VLOOKUP($G1793,物料档案!$A$4:$P$1203,4,0),"※编码不在物料档案里"))</f>
        <v/>
      </c>
      <c r="J1793" s="24">
        <f>IF($G1793="","",IFERROR(VLOOKUP($G1793,物料档案!$A$4:$P$1203,5,0),"※编码不在物料档案里"))</f>
        <v/>
      </c>
      <c r="K1793" s="23" t="n"/>
      <c r="L1793" s="31" t="n"/>
      <c r="M1793" s="24">
        <f>IF($G1793="","",IF($D1793="A国内","CNY","TZS"))</f>
        <v/>
      </c>
      <c r="N1793" s="28">
        <f>IF($G1793="","",IF($D1793="A国内",汇率,1))</f>
        <v/>
      </c>
      <c r="O1793" s="25">
        <f>IF($G1793="","",ROUND(N($K1793)*N($L1793),2))</f>
        <v/>
      </c>
      <c r="P1793" s="26">
        <f>IF($G1793="","",ROUND($O1793*$N1793,0))</f>
        <v/>
      </c>
      <c r="Q1793" s="26">
        <f>IF($G1793="","",SUMIFS($P$4:$P$2503,$E$4:$E$2503,$E1793,$Z$4:$Z$2503,"正常"))</f>
        <v/>
      </c>
      <c r="R1793" s="26">
        <f>IF($G1793="","",SUMIFS(费用台账!$I$4:$I$503,费用台账!$C$4:$C$503,$E1793,费用台账!$J$4:$J$503,"是",费用台账!$K$4:$K$503,"正常"))</f>
        <v/>
      </c>
      <c r="S1793" s="28">
        <f>IF($G1793="","",COUNTIFS($E$4:$E$2503,$E1793,$Z$4:$Z$2503,"正常",$Y$4:$Y$2503,"待补价"))</f>
        <v/>
      </c>
      <c r="T1793" s="26">
        <f>IF($G1793="","",SUMIFS($P$4:$P$2503,$E$4:$E$2503,$E1793,$Z$4:$Z$2503,"正常",$A$4:$A$2503,"&lt;="&amp;$A1793))</f>
        <v/>
      </c>
      <c r="U1793" s="26">
        <f>IF($G1793="","",IF(OR($S1793&gt;0,$Q1793=0,$R1793=0,$Z1793&lt;&gt;"正常"),0,ROUND($T1793/$Q1793*$R1793,0)-ROUND(($T1793-$P1793)/$Q1793*$R1793,0)))</f>
        <v/>
      </c>
      <c r="V1793" s="26">
        <f>IF($G1793="","",ROUND($P1793+$U1793,0))</f>
        <v/>
      </c>
      <c r="W1793" s="26">
        <f>IF($G1793="","",IF(N($K1793)=0,0,ROUND($V1793/$K1793,2)))</f>
        <v/>
      </c>
      <c r="X1793" s="17" t="n"/>
      <c r="Y1793" s="17" t="n"/>
      <c r="Z1793" s="17" t="n"/>
      <c r="AA1793" s="17" t="n"/>
      <c r="AB1793" s="17" t="n"/>
      <c r="AC1793" s="24">
        <f>IF($G1793="","",IF($H1793="※编码不在物料档案里","※物料编码不在档案里",IF(N($K1793)&lt;=0,"※入库数量要大于 0",IF(AND($C1793&lt;&gt;"",$C1793&lt;=结账锁),"※日期早于已结账截止日，不能再录",IF(AND($L1793=0,$X1793="正常"),"※没填单价，价格状态请选「待补价」",IF(AND($S1793&gt;0,$R1793&gt;0),"△本批有 "&amp;$S1793&amp;" 行没单价，整批运费先挂账没摊",IF(AND($B1793&lt;&gt;"",COUNTIF($B$4:$B$2503,$B1793)&gt;1),"※入库单号重复","")))))))</f>
        <v/>
      </c>
    </row>
    <row r="1794">
      <c r="A1794" s="24">
        <f>IF($G1794="","",COUNTA($G$4:$G1794))</f>
        <v/>
      </c>
      <c r="B1794" s="17" t="n"/>
      <c r="C1794" s="30" t="n"/>
      <c r="D1794" s="17" t="n"/>
      <c r="E1794" s="17" t="n"/>
      <c r="F1794" s="17" t="n"/>
      <c r="G1794" s="17" t="n"/>
      <c r="H1794" s="24">
        <f>IF($G1794="","",IFERROR(VLOOKUP($G1794,物料档案!$A$4:$P$1203,3,0),"※编码不在物料档案里"))</f>
        <v/>
      </c>
      <c r="I1794" s="24">
        <f>IF($G1794="","",IFERROR(VLOOKUP($G1794,物料档案!$A$4:$P$1203,4,0),"※编码不在物料档案里"))</f>
        <v/>
      </c>
      <c r="J1794" s="24">
        <f>IF($G1794="","",IFERROR(VLOOKUP($G1794,物料档案!$A$4:$P$1203,5,0),"※编码不在物料档案里"))</f>
        <v/>
      </c>
      <c r="K1794" s="23" t="n"/>
      <c r="L1794" s="31" t="n"/>
      <c r="M1794" s="24">
        <f>IF($G1794="","",IF($D1794="A国内","CNY","TZS"))</f>
        <v/>
      </c>
      <c r="N1794" s="28">
        <f>IF($G1794="","",IF($D1794="A国内",汇率,1))</f>
        <v/>
      </c>
      <c r="O1794" s="25">
        <f>IF($G1794="","",ROUND(N($K1794)*N($L1794),2))</f>
        <v/>
      </c>
      <c r="P1794" s="26">
        <f>IF($G1794="","",ROUND($O1794*$N1794,0))</f>
        <v/>
      </c>
      <c r="Q1794" s="26">
        <f>IF($G1794="","",SUMIFS($P$4:$P$2503,$E$4:$E$2503,$E1794,$Z$4:$Z$2503,"正常"))</f>
        <v/>
      </c>
      <c r="R1794" s="26">
        <f>IF($G1794="","",SUMIFS(费用台账!$I$4:$I$503,费用台账!$C$4:$C$503,$E1794,费用台账!$J$4:$J$503,"是",费用台账!$K$4:$K$503,"正常"))</f>
        <v/>
      </c>
      <c r="S1794" s="28">
        <f>IF($G1794="","",COUNTIFS($E$4:$E$2503,$E1794,$Z$4:$Z$2503,"正常",$Y$4:$Y$2503,"待补价"))</f>
        <v/>
      </c>
      <c r="T1794" s="26">
        <f>IF($G1794="","",SUMIFS($P$4:$P$2503,$E$4:$E$2503,$E1794,$Z$4:$Z$2503,"正常",$A$4:$A$2503,"&lt;="&amp;$A1794))</f>
        <v/>
      </c>
      <c r="U1794" s="26">
        <f>IF($G1794="","",IF(OR($S1794&gt;0,$Q1794=0,$R1794=0,$Z1794&lt;&gt;"正常"),0,ROUND($T1794/$Q1794*$R1794,0)-ROUND(($T1794-$P1794)/$Q1794*$R1794,0)))</f>
        <v/>
      </c>
      <c r="V1794" s="26">
        <f>IF($G1794="","",ROUND($P1794+$U1794,0))</f>
        <v/>
      </c>
      <c r="W1794" s="26">
        <f>IF($G1794="","",IF(N($K1794)=0,0,ROUND($V1794/$K1794,2)))</f>
        <v/>
      </c>
      <c r="X1794" s="17" t="n"/>
      <c r="Y1794" s="17" t="n"/>
      <c r="Z1794" s="17" t="n"/>
      <c r="AA1794" s="17" t="n"/>
      <c r="AB1794" s="17" t="n"/>
      <c r="AC1794" s="24">
        <f>IF($G1794="","",IF($H1794="※编码不在物料档案里","※物料编码不在档案里",IF(N($K1794)&lt;=0,"※入库数量要大于 0",IF(AND($C1794&lt;&gt;"",$C1794&lt;=结账锁),"※日期早于已结账截止日，不能再录",IF(AND($L1794=0,$X1794="正常"),"※没填单价，价格状态请选「待补价」",IF(AND($S1794&gt;0,$R1794&gt;0),"△本批有 "&amp;$S1794&amp;" 行没单价，整批运费先挂账没摊",IF(AND($B1794&lt;&gt;"",COUNTIF($B$4:$B$2503,$B1794)&gt;1),"※入库单号重复","")))))))</f>
        <v/>
      </c>
    </row>
    <row r="1795">
      <c r="A1795" s="24">
        <f>IF($G1795="","",COUNTA($G$4:$G1795))</f>
        <v/>
      </c>
      <c r="B1795" s="17" t="n"/>
      <c r="C1795" s="30" t="n"/>
      <c r="D1795" s="17" t="n"/>
      <c r="E1795" s="17" t="n"/>
      <c r="F1795" s="17" t="n"/>
      <c r="G1795" s="17" t="n"/>
      <c r="H1795" s="24">
        <f>IF($G1795="","",IFERROR(VLOOKUP($G1795,物料档案!$A$4:$P$1203,3,0),"※编码不在物料档案里"))</f>
        <v/>
      </c>
      <c r="I1795" s="24">
        <f>IF($G1795="","",IFERROR(VLOOKUP($G1795,物料档案!$A$4:$P$1203,4,0),"※编码不在物料档案里"))</f>
        <v/>
      </c>
      <c r="J1795" s="24">
        <f>IF($G1795="","",IFERROR(VLOOKUP($G1795,物料档案!$A$4:$P$1203,5,0),"※编码不在物料档案里"))</f>
        <v/>
      </c>
      <c r="K1795" s="23" t="n"/>
      <c r="L1795" s="31" t="n"/>
      <c r="M1795" s="24">
        <f>IF($G1795="","",IF($D1795="A国内","CNY","TZS"))</f>
        <v/>
      </c>
      <c r="N1795" s="28">
        <f>IF($G1795="","",IF($D1795="A国内",汇率,1))</f>
        <v/>
      </c>
      <c r="O1795" s="25">
        <f>IF($G1795="","",ROUND(N($K1795)*N($L1795),2))</f>
        <v/>
      </c>
      <c r="P1795" s="26">
        <f>IF($G1795="","",ROUND($O1795*$N1795,0))</f>
        <v/>
      </c>
      <c r="Q1795" s="26">
        <f>IF($G1795="","",SUMIFS($P$4:$P$2503,$E$4:$E$2503,$E1795,$Z$4:$Z$2503,"正常"))</f>
        <v/>
      </c>
      <c r="R1795" s="26">
        <f>IF($G1795="","",SUMIFS(费用台账!$I$4:$I$503,费用台账!$C$4:$C$503,$E1795,费用台账!$J$4:$J$503,"是",费用台账!$K$4:$K$503,"正常"))</f>
        <v/>
      </c>
      <c r="S1795" s="28">
        <f>IF($G1795="","",COUNTIFS($E$4:$E$2503,$E1795,$Z$4:$Z$2503,"正常",$Y$4:$Y$2503,"待补价"))</f>
        <v/>
      </c>
      <c r="T1795" s="26">
        <f>IF($G1795="","",SUMIFS($P$4:$P$2503,$E$4:$E$2503,$E1795,$Z$4:$Z$2503,"正常",$A$4:$A$2503,"&lt;="&amp;$A1795))</f>
        <v/>
      </c>
      <c r="U1795" s="26">
        <f>IF($G1795="","",IF(OR($S1795&gt;0,$Q1795=0,$R1795=0,$Z1795&lt;&gt;"正常"),0,ROUND($T1795/$Q1795*$R1795,0)-ROUND(($T1795-$P1795)/$Q1795*$R1795,0)))</f>
        <v/>
      </c>
      <c r="V1795" s="26">
        <f>IF($G1795="","",ROUND($P1795+$U1795,0))</f>
        <v/>
      </c>
      <c r="W1795" s="26">
        <f>IF($G1795="","",IF(N($K1795)=0,0,ROUND($V1795/$K1795,2)))</f>
        <v/>
      </c>
      <c r="X1795" s="17" t="n"/>
      <c r="Y1795" s="17" t="n"/>
      <c r="Z1795" s="17" t="n"/>
      <c r="AA1795" s="17" t="n"/>
      <c r="AB1795" s="17" t="n"/>
      <c r="AC1795" s="24">
        <f>IF($G1795="","",IF($H1795="※编码不在物料档案里","※物料编码不在档案里",IF(N($K1795)&lt;=0,"※入库数量要大于 0",IF(AND($C1795&lt;&gt;"",$C1795&lt;=结账锁),"※日期早于已结账截止日，不能再录",IF(AND($L1795=0,$X1795="正常"),"※没填单价，价格状态请选「待补价」",IF(AND($S1795&gt;0,$R1795&gt;0),"△本批有 "&amp;$S1795&amp;" 行没单价，整批运费先挂账没摊",IF(AND($B1795&lt;&gt;"",COUNTIF($B$4:$B$2503,$B1795)&gt;1),"※入库单号重复","")))))))</f>
        <v/>
      </c>
    </row>
    <row r="1796">
      <c r="A1796" s="24">
        <f>IF($G1796="","",COUNTA($G$4:$G1796))</f>
        <v/>
      </c>
      <c r="B1796" s="17" t="n"/>
      <c r="C1796" s="30" t="n"/>
      <c r="D1796" s="17" t="n"/>
      <c r="E1796" s="17" t="n"/>
      <c r="F1796" s="17" t="n"/>
      <c r="G1796" s="17" t="n"/>
      <c r="H1796" s="24">
        <f>IF($G1796="","",IFERROR(VLOOKUP($G1796,物料档案!$A$4:$P$1203,3,0),"※编码不在物料档案里"))</f>
        <v/>
      </c>
      <c r="I1796" s="24">
        <f>IF($G1796="","",IFERROR(VLOOKUP($G1796,物料档案!$A$4:$P$1203,4,0),"※编码不在物料档案里"))</f>
        <v/>
      </c>
      <c r="J1796" s="24">
        <f>IF($G1796="","",IFERROR(VLOOKUP($G1796,物料档案!$A$4:$P$1203,5,0),"※编码不在物料档案里"))</f>
        <v/>
      </c>
      <c r="K1796" s="23" t="n"/>
      <c r="L1796" s="31" t="n"/>
      <c r="M1796" s="24">
        <f>IF($G1796="","",IF($D1796="A国内","CNY","TZS"))</f>
        <v/>
      </c>
      <c r="N1796" s="28">
        <f>IF($G1796="","",IF($D1796="A国内",汇率,1))</f>
        <v/>
      </c>
      <c r="O1796" s="25">
        <f>IF($G1796="","",ROUND(N($K1796)*N($L1796),2))</f>
        <v/>
      </c>
      <c r="P1796" s="26">
        <f>IF($G1796="","",ROUND($O1796*$N1796,0))</f>
        <v/>
      </c>
      <c r="Q1796" s="26">
        <f>IF($G1796="","",SUMIFS($P$4:$P$2503,$E$4:$E$2503,$E1796,$Z$4:$Z$2503,"正常"))</f>
        <v/>
      </c>
      <c r="R1796" s="26">
        <f>IF($G1796="","",SUMIFS(费用台账!$I$4:$I$503,费用台账!$C$4:$C$503,$E1796,费用台账!$J$4:$J$503,"是",费用台账!$K$4:$K$503,"正常"))</f>
        <v/>
      </c>
      <c r="S1796" s="28">
        <f>IF($G1796="","",COUNTIFS($E$4:$E$2503,$E1796,$Z$4:$Z$2503,"正常",$Y$4:$Y$2503,"待补价"))</f>
        <v/>
      </c>
      <c r="T1796" s="26">
        <f>IF($G1796="","",SUMIFS($P$4:$P$2503,$E$4:$E$2503,$E1796,$Z$4:$Z$2503,"正常",$A$4:$A$2503,"&lt;="&amp;$A1796))</f>
        <v/>
      </c>
      <c r="U1796" s="26">
        <f>IF($G1796="","",IF(OR($S1796&gt;0,$Q1796=0,$R1796=0,$Z1796&lt;&gt;"正常"),0,ROUND($T1796/$Q1796*$R1796,0)-ROUND(($T1796-$P1796)/$Q1796*$R1796,0)))</f>
        <v/>
      </c>
      <c r="V1796" s="26">
        <f>IF($G1796="","",ROUND($P1796+$U1796,0))</f>
        <v/>
      </c>
      <c r="W1796" s="26">
        <f>IF($G1796="","",IF(N($K1796)=0,0,ROUND($V1796/$K1796,2)))</f>
        <v/>
      </c>
      <c r="X1796" s="17" t="n"/>
      <c r="Y1796" s="17" t="n"/>
      <c r="Z1796" s="17" t="n"/>
      <c r="AA1796" s="17" t="n"/>
      <c r="AB1796" s="17" t="n"/>
      <c r="AC1796" s="24">
        <f>IF($G1796="","",IF($H1796="※编码不在物料档案里","※物料编码不在档案里",IF(N($K1796)&lt;=0,"※入库数量要大于 0",IF(AND($C1796&lt;&gt;"",$C1796&lt;=结账锁),"※日期早于已结账截止日，不能再录",IF(AND($L1796=0,$X1796="正常"),"※没填单价，价格状态请选「待补价」",IF(AND($S1796&gt;0,$R1796&gt;0),"△本批有 "&amp;$S1796&amp;" 行没单价，整批运费先挂账没摊",IF(AND($B1796&lt;&gt;"",COUNTIF($B$4:$B$2503,$B1796)&gt;1),"※入库单号重复","")))))))</f>
        <v/>
      </c>
    </row>
    <row r="1797">
      <c r="A1797" s="24">
        <f>IF($G1797="","",COUNTA($G$4:$G1797))</f>
        <v/>
      </c>
      <c r="B1797" s="17" t="n"/>
      <c r="C1797" s="30" t="n"/>
      <c r="D1797" s="17" t="n"/>
      <c r="E1797" s="17" t="n"/>
      <c r="F1797" s="17" t="n"/>
      <c r="G1797" s="17" t="n"/>
      <c r="H1797" s="24">
        <f>IF($G1797="","",IFERROR(VLOOKUP($G1797,物料档案!$A$4:$P$1203,3,0),"※编码不在物料档案里"))</f>
        <v/>
      </c>
      <c r="I1797" s="24">
        <f>IF($G1797="","",IFERROR(VLOOKUP($G1797,物料档案!$A$4:$P$1203,4,0),"※编码不在物料档案里"))</f>
        <v/>
      </c>
      <c r="J1797" s="24">
        <f>IF($G1797="","",IFERROR(VLOOKUP($G1797,物料档案!$A$4:$P$1203,5,0),"※编码不在物料档案里"))</f>
        <v/>
      </c>
      <c r="K1797" s="23" t="n"/>
      <c r="L1797" s="31" t="n"/>
      <c r="M1797" s="24">
        <f>IF($G1797="","",IF($D1797="A国内","CNY","TZS"))</f>
        <v/>
      </c>
      <c r="N1797" s="28">
        <f>IF($G1797="","",IF($D1797="A国内",汇率,1))</f>
        <v/>
      </c>
      <c r="O1797" s="25">
        <f>IF($G1797="","",ROUND(N($K1797)*N($L1797),2))</f>
        <v/>
      </c>
      <c r="P1797" s="26">
        <f>IF($G1797="","",ROUND($O1797*$N1797,0))</f>
        <v/>
      </c>
      <c r="Q1797" s="26">
        <f>IF($G1797="","",SUMIFS($P$4:$P$2503,$E$4:$E$2503,$E1797,$Z$4:$Z$2503,"正常"))</f>
        <v/>
      </c>
      <c r="R1797" s="26">
        <f>IF($G1797="","",SUMIFS(费用台账!$I$4:$I$503,费用台账!$C$4:$C$503,$E1797,费用台账!$J$4:$J$503,"是",费用台账!$K$4:$K$503,"正常"))</f>
        <v/>
      </c>
      <c r="S1797" s="28">
        <f>IF($G1797="","",COUNTIFS($E$4:$E$2503,$E1797,$Z$4:$Z$2503,"正常",$Y$4:$Y$2503,"待补价"))</f>
        <v/>
      </c>
      <c r="T1797" s="26">
        <f>IF($G1797="","",SUMIFS($P$4:$P$2503,$E$4:$E$2503,$E1797,$Z$4:$Z$2503,"正常",$A$4:$A$2503,"&lt;="&amp;$A1797))</f>
        <v/>
      </c>
      <c r="U1797" s="26">
        <f>IF($G1797="","",IF(OR($S1797&gt;0,$Q1797=0,$R1797=0,$Z1797&lt;&gt;"正常"),0,ROUND($T1797/$Q1797*$R1797,0)-ROUND(($T1797-$P1797)/$Q1797*$R1797,0)))</f>
        <v/>
      </c>
      <c r="V1797" s="26">
        <f>IF($G1797="","",ROUND($P1797+$U1797,0))</f>
        <v/>
      </c>
      <c r="W1797" s="26">
        <f>IF($G1797="","",IF(N($K1797)=0,0,ROUND($V1797/$K1797,2)))</f>
        <v/>
      </c>
      <c r="X1797" s="17" t="n"/>
      <c r="Y1797" s="17" t="n"/>
      <c r="Z1797" s="17" t="n"/>
      <c r="AA1797" s="17" t="n"/>
      <c r="AB1797" s="17" t="n"/>
      <c r="AC1797" s="24">
        <f>IF($G1797="","",IF($H1797="※编码不在物料档案里","※物料编码不在档案里",IF(N($K1797)&lt;=0,"※入库数量要大于 0",IF(AND($C1797&lt;&gt;"",$C1797&lt;=结账锁),"※日期早于已结账截止日，不能再录",IF(AND($L1797=0,$X1797="正常"),"※没填单价，价格状态请选「待补价」",IF(AND($S1797&gt;0,$R1797&gt;0),"△本批有 "&amp;$S1797&amp;" 行没单价，整批运费先挂账没摊",IF(AND($B1797&lt;&gt;"",COUNTIF($B$4:$B$2503,$B1797)&gt;1),"※入库单号重复","")))))))</f>
        <v/>
      </c>
    </row>
    <row r="1798">
      <c r="A1798" s="24">
        <f>IF($G1798="","",COUNTA($G$4:$G1798))</f>
        <v/>
      </c>
      <c r="B1798" s="17" t="n"/>
      <c r="C1798" s="30" t="n"/>
      <c r="D1798" s="17" t="n"/>
      <c r="E1798" s="17" t="n"/>
      <c r="F1798" s="17" t="n"/>
      <c r="G1798" s="17" t="n"/>
      <c r="H1798" s="24">
        <f>IF($G1798="","",IFERROR(VLOOKUP($G1798,物料档案!$A$4:$P$1203,3,0),"※编码不在物料档案里"))</f>
        <v/>
      </c>
      <c r="I1798" s="24">
        <f>IF($G1798="","",IFERROR(VLOOKUP($G1798,物料档案!$A$4:$P$1203,4,0),"※编码不在物料档案里"))</f>
        <v/>
      </c>
      <c r="J1798" s="24">
        <f>IF($G1798="","",IFERROR(VLOOKUP($G1798,物料档案!$A$4:$P$1203,5,0),"※编码不在物料档案里"))</f>
        <v/>
      </c>
      <c r="K1798" s="23" t="n"/>
      <c r="L1798" s="31" t="n"/>
      <c r="M1798" s="24">
        <f>IF($G1798="","",IF($D1798="A国内","CNY","TZS"))</f>
        <v/>
      </c>
      <c r="N1798" s="28">
        <f>IF($G1798="","",IF($D1798="A国内",汇率,1))</f>
        <v/>
      </c>
      <c r="O1798" s="25">
        <f>IF($G1798="","",ROUND(N($K1798)*N($L1798),2))</f>
        <v/>
      </c>
      <c r="P1798" s="26">
        <f>IF($G1798="","",ROUND($O1798*$N1798,0))</f>
        <v/>
      </c>
      <c r="Q1798" s="26">
        <f>IF($G1798="","",SUMIFS($P$4:$P$2503,$E$4:$E$2503,$E1798,$Z$4:$Z$2503,"正常"))</f>
        <v/>
      </c>
      <c r="R1798" s="26">
        <f>IF($G1798="","",SUMIFS(费用台账!$I$4:$I$503,费用台账!$C$4:$C$503,$E1798,费用台账!$J$4:$J$503,"是",费用台账!$K$4:$K$503,"正常"))</f>
        <v/>
      </c>
      <c r="S1798" s="28">
        <f>IF($G1798="","",COUNTIFS($E$4:$E$2503,$E1798,$Z$4:$Z$2503,"正常",$Y$4:$Y$2503,"待补价"))</f>
        <v/>
      </c>
      <c r="T1798" s="26">
        <f>IF($G1798="","",SUMIFS($P$4:$P$2503,$E$4:$E$2503,$E1798,$Z$4:$Z$2503,"正常",$A$4:$A$2503,"&lt;="&amp;$A1798))</f>
        <v/>
      </c>
      <c r="U1798" s="26">
        <f>IF($G1798="","",IF(OR($S1798&gt;0,$Q1798=0,$R1798=0,$Z1798&lt;&gt;"正常"),0,ROUND($T1798/$Q1798*$R1798,0)-ROUND(($T1798-$P1798)/$Q1798*$R1798,0)))</f>
        <v/>
      </c>
      <c r="V1798" s="26">
        <f>IF($G1798="","",ROUND($P1798+$U1798,0))</f>
        <v/>
      </c>
      <c r="W1798" s="26">
        <f>IF($G1798="","",IF(N($K1798)=0,0,ROUND($V1798/$K1798,2)))</f>
        <v/>
      </c>
      <c r="X1798" s="17" t="n"/>
      <c r="Y1798" s="17" t="n"/>
      <c r="Z1798" s="17" t="n"/>
      <c r="AA1798" s="17" t="n"/>
      <c r="AB1798" s="17" t="n"/>
      <c r="AC1798" s="24">
        <f>IF($G1798="","",IF($H1798="※编码不在物料档案里","※物料编码不在档案里",IF(N($K1798)&lt;=0,"※入库数量要大于 0",IF(AND($C1798&lt;&gt;"",$C1798&lt;=结账锁),"※日期早于已结账截止日，不能再录",IF(AND($L1798=0,$X1798="正常"),"※没填单价，价格状态请选「待补价」",IF(AND($S1798&gt;0,$R1798&gt;0),"△本批有 "&amp;$S1798&amp;" 行没单价，整批运费先挂账没摊",IF(AND($B1798&lt;&gt;"",COUNTIF($B$4:$B$2503,$B1798)&gt;1),"※入库单号重复","")))))))</f>
        <v/>
      </c>
    </row>
    <row r="1799">
      <c r="A1799" s="24">
        <f>IF($G1799="","",COUNTA($G$4:$G1799))</f>
        <v/>
      </c>
      <c r="B1799" s="17" t="n"/>
      <c r="C1799" s="30" t="n"/>
      <c r="D1799" s="17" t="n"/>
      <c r="E1799" s="17" t="n"/>
      <c r="F1799" s="17" t="n"/>
      <c r="G1799" s="17" t="n"/>
      <c r="H1799" s="24">
        <f>IF($G1799="","",IFERROR(VLOOKUP($G1799,物料档案!$A$4:$P$1203,3,0),"※编码不在物料档案里"))</f>
        <v/>
      </c>
      <c r="I1799" s="24">
        <f>IF($G1799="","",IFERROR(VLOOKUP($G1799,物料档案!$A$4:$P$1203,4,0),"※编码不在物料档案里"))</f>
        <v/>
      </c>
      <c r="J1799" s="24">
        <f>IF($G1799="","",IFERROR(VLOOKUP($G1799,物料档案!$A$4:$P$1203,5,0),"※编码不在物料档案里"))</f>
        <v/>
      </c>
      <c r="K1799" s="23" t="n"/>
      <c r="L1799" s="31" t="n"/>
      <c r="M1799" s="24">
        <f>IF($G1799="","",IF($D1799="A国内","CNY","TZS"))</f>
        <v/>
      </c>
      <c r="N1799" s="28">
        <f>IF($G1799="","",IF($D1799="A国内",汇率,1))</f>
        <v/>
      </c>
      <c r="O1799" s="25">
        <f>IF($G1799="","",ROUND(N($K1799)*N($L1799),2))</f>
        <v/>
      </c>
      <c r="P1799" s="26">
        <f>IF($G1799="","",ROUND($O1799*$N1799,0))</f>
        <v/>
      </c>
      <c r="Q1799" s="26">
        <f>IF($G1799="","",SUMIFS($P$4:$P$2503,$E$4:$E$2503,$E1799,$Z$4:$Z$2503,"正常"))</f>
        <v/>
      </c>
      <c r="R1799" s="26">
        <f>IF($G1799="","",SUMIFS(费用台账!$I$4:$I$503,费用台账!$C$4:$C$503,$E1799,费用台账!$J$4:$J$503,"是",费用台账!$K$4:$K$503,"正常"))</f>
        <v/>
      </c>
      <c r="S1799" s="28">
        <f>IF($G1799="","",COUNTIFS($E$4:$E$2503,$E1799,$Z$4:$Z$2503,"正常",$Y$4:$Y$2503,"待补价"))</f>
        <v/>
      </c>
      <c r="T1799" s="26">
        <f>IF($G1799="","",SUMIFS($P$4:$P$2503,$E$4:$E$2503,$E1799,$Z$4:$Z$2503,"正常",$A$4:$A$2503,"&lt;="&amp;$A1799))</f>
        <v/>
      </c>
      <c r="U1799" s="26">
        <f>IF($G1799="","",IF(OR($S1799&gt;0,$Q1799=0,$R1799=0,$Z1799&lt;&gt;"正常"),0,ROUND($T1799/$Q1799*$R1799,0)-ROUND(($T1799-$P1799)/$Q1799*$R1799,0)))</f>
        <v/>
      </c>
      <c r="V1799" s="26">
        <f>IF($G1799="","",ROUND($P1799+$U1799,0))</f>
        <v/>
      </c>
      <c r="W1799" s="26">
        <f>IF($G1799="","",IF(N($K1799)=0,0,ROUND($V1799/$K1799,2)))</f>
        <v/>
      </c>
      <c r="X1799" s="17" t="n"/>
      <c r="Y1799" s="17" t="n"/>
      <c r="Z1799" s="17" t="n"/>
      <c r="AA1799" s="17" t="n"/>
      <c r="AB1799" s="17" t="n"/>
      <c r="AC1799" s="24">
        <f>IF($G1799="","",IF($H1799="※编码不在物料档案里","※物料编码不在档案里",IF(N($K1799)&lt;=0,"※入库数量要大于 0",IF(AND($C1799&lt;&gt;"",$C1799&lt;=结账锁),"※日期早于已结账截止日，不能再录",IF(AND($L1799=0,$X1799="正常"),"※没填单价，价格状态请选「待补价」",IF(AND($S1799&gt;0,$R1799&gt;0),"△本批有 "&amp;$S1799&amp;" 行没单价，整批运费先挂账没摊",IF(AND($B1799&lt;&gt;"",COUNTIF($B$4:$B$2503,$B1799)&gt;1),"※入库单号重复","")))))))</f>
        <v/>
      </c>
    </row>
    <row r="1800">
      <c r="A1800" s="24">
        <f>IF($G1800="","",COUNTA($G$4:$G1800))</f>
        <v/>
      </c>
      <c r="B1800" s="17" t="n"/>
      <c r="C1800" s="30" t="n"/>
      <c r="D1800" s="17" t="n"/>
      <c r="E1800" s="17" t="n"/>
      <c r="F1800" s="17" t="n"/>
      <c r="G1800" s="17" t="n"/>
      <c r="H1800" s="24">
        <f>IF($G1800="","",IFERROR(VLOOKUP($G1800,物料档案!$A$4:$P$1203,3,0),"※编码不在物料档案里"))</f>
        <v/>
      </c>
      <c r="I1800" s="24">
        <f>IF($G1800="","",IFERROR(VLOOKUP($G1800,物料档案!$A$4:$P$1203,4,0),"※编码不在物料档案里"))</f>
        <v/>
      </c>
      <c r="J1800" s="24">
        <f>IF($G1800="","",IFERROR(VLOOKUP($G1800,物料档案!$A$4:$P$1203,5,0),"※编码不在物料档案里"))</f>
        <v/>
      </c>
      <c r="K1800" s="23" t="n"/>
      <c r="L1800" s="31" t="n"/>
      <c r="M1800" s="24">
        <f>IF($G1800="","",IF($D1800="A国内","CNY","TZS"))</f>
        <v/>
      </c>
      <c r="N1800" s="28">
        <f>IF($G1800="","",IF($D1800="A国内",汇率,1))</f>
        <v/>
      </c>
      <c r="O1800" s="25">
        <f>IF($G1800="","",ROUND(N($K1800)*N($L1800),2))</f>
        <v/>
      </c>
      <c r="P1800" s="26">
        <f>IF($G1800="","",ROUND($O1800*$N1800,0))</f>
        <v/>
      </c>
      <c r="Q1800" s="26">
        <f>IF($G1800="","",SUMIFS($P$4:$P$2503,$E$4:$E$2503,$E1800,$Z$4:$Z$2503,"正常"))</f>
        <v/>
      </c>
      <c r="R1800" s="26">
        <f>IF($G1800="","",SUMIFS(费用台账!$I$4:$I$503,费用台账!$C$4:$C$503,$E1800,费用台账!$J$4:$J$503,"是",费用台账!$K$4:$K$503,"正常"))</f>
        <v/>
      </c>
      <c r="S1800" s="28">
        <f>IF($G1800="","",COUNTIFS($E$4:$E$2503,$E1800,$Z$4:$Z$2503,"正常",$Y$4:$Y$2503,"待补价"))</f>
        <v/>
      </c>
      <c r="T1800" s="26">
        <f>IF($G1800="","",SUMIFS($P$4:$P$2503,$E$4:$E$2503,$E1800,$Z$4:$Z$2503,"正常",$A$4:$A$2503,"&lt;="&amp;$A1800))</f>
        <v/>
      </c>
      <c r="U1800" s="26">
        <f>IF($G1800="","",IF(OR($S1800&gt;0,$Q1800=0,$R1800=0,$Z1800&lt;&gt;"正常"),0,ROUND($T1800/$Q1800*$R1800,0)-ROUND(($T1800-$P1800)/$Q1800*$R1800,0)))</f>
        <v/>
      </c>
      <c r="V1800" s="26">
        <f>IF($G1800="","",ROUND($P1800+$U1800,0))</f>
        <v/>
      </c>
      <c r="W1800" s="26">
        <f>IF($G1800="","",IF(N($K1800)=0,0,ROUND($V1800/$K1800,2)))</f>
        <v/>
      </c>
      <c r="X1800" s="17" t="n"/>
      <c r="Y1800" s="17" t="n"/>
      <c r="Z1800" s="17" t="n"/>
      <c r="AA1800" s="17" t="n"/>
      <c r="AB1800" s="17" t="n"/>
      <c r="AC1800" s="24">
        <f>IF($G1800="","",IF($H1800="※编码不在物料档案里","※物料编码不在档案里",IF(N($K1800)&lt;=0,"※入库数量要大于 0",IF(AND($C1800&lt;&gt;"",$C1800&lt;=结账锁),"※日期早于已结账截止日，不能再录",IF(AND($L1800=0,$X1800="正常"),"※没填单价，价格状态请选「待补价」",IF(AND($S1800&gt;0,$R1800&gt;0),"△本批有 "&amp;$S1800&amp;" 行没单价，整批运费先挂账没摊",IF(AND($B1800&lt;&gt;"",COUNTIF($B$4:$B$2503,$B1800)&gt;1),"※入库单号重复","")))))))</f>
        <v/>
      </c>
    </row>
    <row r="1801">
      <c r="A1801" s="24">
        <f>IF($G1801="","",COUNTA($G$4:$G1801))</f>
        <v/>
      </c>
      <c r="B1801" s="17" t="n"/>
      <c r="C1801" s="30" t="n"/>
      <c r="D1801" s="17" t="n"/>
      <c r="E1801" s="17" t="n"/>
      <c r="F1801" s="17" t="n"/>
      <c r="G1801" s="17" t="n"/>
      <c r="H1801" s="24">
        <f>IF($G1801="","",IFERROR(VLOOKUP($G1801,物料档案!$A$4:$P$1203,3,0),"※编码不在物料档案里"))</f>
        <v/>
      </c>
      <c r="I1801" s="24">
        <f>IF($G1801="","",IFERROR(VLOOKUP($G1801,物料档案!$A$4:$P$1203,4,0),"※编码不在物料档案里"))</f>
        <v/>
      </c>
      <c r="J1801" s="24">
        <f>IF($G1801="","",IFERROR(VLOOKUP($G1801,物料档案!$A$4:$P$1203,5,0),"※编码不在物料档案里"))</f>
        <v/>
      </c>
      <c r="K1801" s="23" t="n"/>
      <c r="L1801" s="31" t="n"/>
      <c r="M1801" s="24">
        <f>IF($G1801="","",IF($D1801="A国内","CNY","TZS"))</f>
        <v/>
      </c>
      <c r="N1801" s="28">
        <f>IF($G1801="","",IF($D1801="A国内",汇率,1))</f>
        <v/>
      </c>
      <c r="O1801" s="25">
        <f>IF($G1801="","",ROUND(N($K1801)*N($L1801),2))</f>
        <v/>
      </c>
      <c r="P1801" s="26">
        <f>IF($G1801="","",ROUND($O1801*$N1801,0))</f>
        <v/>
      </c>
      <c r="Q1801" s="26">
        <f>IF($G1801="","",SUMIFS($P$4:$P$2503,$E$4:$E$2503,$E1801,$Z$4:$Z$2503,"正常"))</f>
        <v/>
      </c>
      <c r="R1801" s="26">
        <f>IF($G1801="","",SUMIFS(费用台账!$I$4:$I$503,费用台账!$C$4:$C$503,$E1801,费用台账!$J$4:$J$503,"是",费用台账!$K$4:$K$503,"正常"))</f>
        <v/>
      </c>
      <c r="S1801" s="28">
        <f>IF($G1801="","",COUNTIFS($E$4:$E$2503,$E1801,$Z$4:$Z$2503,"正常",$Y$4:$Y$2503,"待补价"))</f>
        <v/>
      </c>
      <c r="T1801" s="26">
        <f>IF($G1801="","",SUMIFS($P$4:$P$2503,$E$4:$E$2503,$E1801,$Z$4:$Z$2503,"正常",$A$4:$A$2503,"&lt;="&amp;$A1801))</f>
        <v/>
      </c>
      <c r="U1801" s="26">
        <f>IF($G1801="","",IF(OR($S1801&gt;0,$Q1801=0,$R1801=0,$Z1801&lt;&gt;"正常"),0,ROUND($T1801/$Q1801*$R1801,0)-ROUND(($T1801-$P1801)/$Q1801*$R1801,0)))</f>
        <v/>
      </c>
      <c r="V1801" s="26">
        <f>IF($G1801="","",ROUND($P1801+$U1801,0))</f>
        <v/>
      </c>
      <c r="W1801" s="26">
        <f>IF($G1801="","",IF(N($K1801)=0,0,ROUND($V1801/$K1801,2)))</f>
        <v/>
      </c>
      <c r="X1801" s="17" t="n"/>
      <c r="Y1801" s="17" t="n"/>
      <c r="Z1801" s="17" t="n"/>
      <c r="AA1801" s="17" t="n"/>
      <c r="AB1801" s="17" t="n"/>
      <c r="AC1801" s="24">
        <f>IF($G1801="","",IF($H1801="※编码不在物料档案里","※物料编码不在档案里",IF(N($K1801)&lt;=0,"※入库数量要大于 0",IF(AND($C1801&lt;&gt;"",$C1801&lt;=结账锁),"※日期早于已结账截止日，不能再录",IF(AND($L1801=0,$X1801="正常"),"※没填单价，价格状态请选「待补价」",IF(AND($S1801&gt;0,$R1801&gt;0),"△本批有 "&amp;$S1801&amp;" 行没单价，整批运费先挂账没摊",IF(AND($B1801&lt;&gt;"",COUNTIF($B$4:$B$2503,$B1801)&gt;1),"※入库单号重复","")))))))</f>
        <v/>
      </c>
    </row>
    <row r="1802">
      <c r="A1802" s="24">
        <f>IF($G1802="","",COUNTA($G$4:$G1802))</f>
        <v/>
      </c>
      <c r="B1802" s="17" t="n"/>
      <c r="C1802" s="30" t="n"/>
      <c r="D1802" s="17" t="n"/>
      <c r="E1802" s="17" t="n"/>
      <c r="F1802" s="17" t="n"/>
      <c r="G1802" s="17" t="n"/>
      <c r="H1802" s="24">
        <f>IF($G1802="","",IFERROR(VLOOKUP($G1802,物料档案!$A$4:$P$1203,3,0),"※编码不在物料档案里"))</f>
        <v/>
      </c>
      <c r="I1802" s="24">
        <f>IF($G1802="","",IFERROR(VLOOKUP($G1802,物料档案!$A$4:$P$1203,4,0),"※编码不在物料档案里"))</f>
        <v/>
      </c>
      <c r="J1802" s="24">
        <f>IF($G1802="","",IFERROR(VLOOKUP($G1802,物料档案!$A$4:$P$1203,5,0),"※编码不在物料档案里"))</f>
        <v/>
      </c>
      <c r="K1802" s="23" t="n"/>
      <c r="L1802" s="31" t="n"/>
      <c r="M1802" s="24">
        <f>IF($G1802="","",IF($D1802="A国内","CNY","TZS"))</f>
        <v/>
      </c>
      <c r="N1802" s="28">
        <f>IF($G1802="","",IF($D1802="A国内",汇率,1))</f>
        <v/>
      </c>
      <c r="O1802" s="25">
        <f>IF($G1802="","",ROUND(N($K1802)*N($L1802),2))</f>
        <v/>
      </c>
      <c r="P1802" s="26">
        <f>IF($G1802="","",ROUND($O1802*$N1802,0))</f>
        <v/>
      </c>
      <c r="Q1802" s="26">
        <f>IF($G1802="","",SUMIFS($P$4:$P$2503,$E$4:$E$2503,$E1802,$Z$4:$Z$2503,"正常"))</f>
        <v/>
      </c>
      <c r="R1802" s="26">
        <f>IF($G1802="","",SUMIFS(费用台账!$I$4:$I$503,费用台账!$C$4:$C$503,$E1802,费用台账!$J$4:$J$503,"是",费用台账!$K$4:$K$503,"正常"))</f>
        <v/>
      </c>
      <c r="S1802" s="28">
        <f>IF($G1802="","",COUNTIFS($E$4:$E$2503,$E1802,$Z$4:$Z$2503,"正常",$Y$4:$Y$2503,"待补价"))</f>
        <v/>
      </c>
      <c r="T1802" s="26">
        <f>IF($G1802="","",SUMIFS($P$4:$P$2503,$E$4:$E$2503,$E1802,$Z$4:$Z$2503,"正常",$A$4:$A$2503,"&lt;="&amp;$A1802))</f>
        <v/>
      </c>
      <c r="U1802" s="26">
        <f>IF($G1802="","",IF(OR($S1802&gt;0,$Q1802=0,$R1802=0,$Z1802&lt;&gt;"正常"),0,ROUND($T1802/$Q1802*$R1802,0)-ROUND(($T1802-$P1802)/$Q1802*$R1802,0)))</f>
        <v/>
      </c>
      <c r="V1802" s="26">
        <f>IF($G1802="","",ROUND($P1802+$U1802,0))</f>
        <v/>
      </c>
      <c r="W1802" s="26">
        <f>IF($G1802="","",IF(N($K1802)=0,0,ROUND($V1802/$K1802,2)))</f>
        <v/>
      </c>
      <c r="X1802" s="17" t="n"/>
      <c r="Y1802" s="17" t="n"/>
      <c r="Z1802" s="17" t="n"/>
      <c r="AA1802" s="17" t="n"/>
      <c r="AB1802" s="17" t="n"/>
      <c r="AC1802" s="24">
        <f>IF($G1802="","",IF($H1802="※编码不在物料档案里","※物料编码不在档案里",IF(N($K1802)&lt;=0,"※入库数量要大于 0",IF(AND($C1802&lt;&gt;"",$C1802&lt;=结账锁),"※日期早于已结账截止日，不能再录",IF(AND($L1802=0,$X1802="正常"),"※没填单价，价格状态请选「待补价」",IF(AND($S1802&gt;0,$R1802&gt;0),"△本批有 "&amp;$S1802&amp;" 行没单价，整批运费先挂账没摊",IF(AND($B1802&lt;&gt;"",COUNTIF($B$4:$B$2503,$B1802)&gt;1),"※入库单号重复","")))))))</f>
        <v/>
      </c>
    </row>
    <row r="1803">
      <c r="A1803" s="24">
        <f>IF($G1803="","",COUNTA($G$4:$G1803))</f>
        <v/>
      </c>
      <c r="B1803" s="17" t="n"/>
      <c r="C1803" s="30" t="n"/>
      <c r="D1803" s="17" t="n"/>
      <c r="E1803" s="17" t="n"/>
      <c r="F1803" s="17" t="n"/>
      <c r="G1803" s="17" t="n"/>
      <c r="H1803" s="24">
        <f>IF($G1803="","",IFERROR(VLOOKUP($G1803,物料档案!$A$4:$P$1203,3,0),"※编码不在物料档案里"))</f>
        <v/>
      </c>
      <c r="I1803" s="24">
        <f>IF($G1803="","",IFERROR(VLOOKUP($G1803,物料档案!$A$4:$P$1203,4,0),"※编码不在物料档案里"))</f>
        <v/>
      </c>
      <c r="J1803" s="24">
        <f>IF($G1803="","",IFERROR(VLOOKUP($G1803,物料档案!$A$4:$P$1203,5,0),"※编码不在物料档案里"))</f>
        <v/>
      </c>
      <c r="K1803" s="23" t="n"/>
      <c r="L1803" s="31" t="n"/>
      <c r="M1803" s="24">
        <f>IF($G1803="","",IF($D1803="A国内","CNY","TZS"))</f>
        <v/>
      </c>
      <c r="N1803" s="28">
        <f>IF($G1803="","",IF($D1803="A国内",汇率,1))</f>
        <v/>
      </c>
      <c r="O1803" s="25">
        <f>IF($G1803="","",ROUND(N($K1803)*N($L1803),2))</f>
        <v/>
      </c>
      <c r="P1803" s="26">
        <f>IF($G1803="","",ROUND($O1803*$N1803,0))</f>
        <v/>
      </c>
      <c r="Q1803" s="26">
        <f>IF($G1803="","",SUMIFS($P$4:$P$2503,$E$4:$E$2503,$E1803,$Z$4:$Z$2503,"正常"))</f>
        <v/>
      </c>
      <c r="R1803" s="26">
        <f>IF($G1803="","",SUMIFS(费用台账!$I$4:$I$503,费用台账!$C$4:$C$503,$E1803,费用台账!$J$4:$J$503,"是",费用台账!$K$4:$K$503,"正常"))</f>
        <v/>
      </c>
      <c r="S1803" s="28">
        <f>IF($G1803="","",COUNTIFS($E$4:$E$2503,$E1803,$Z$4:$Z$2503,"正常",$Y$4:$Y$2503,"待补价"))</f>
        <v/>
      </c>
      <c r="T1803" s="26">
        <f>IF($G1803="","",SUMIFS($P$4:$P$2503,$E$4:$E$2503,$E1803,$Z$4:$Z$2503,"正常",$A$4:$A$2503,"&lt;="&amp;$A1803))</f>
        <v/>
      </c>
      <c r="U1803" s="26">
        <f>IF($G1803="","",IF(OR($S1803&gt;0,$Q1803=0,$R1803=0,$Z1803&lt;&gt;"正常"),0,ROUND($T1803/$Q1803*$R1803,0)-ROUND(($T1803-$P1803)/$Q1803*$R1803,0)))</f>
        <v/>
      </c>
      <c r="V1803" s="26">
        <f>IF($G1803="","",ROUND($P1803+$U1803,0))</f>
        <v/>
      </c>
      <c r="W1803" s="26">
        <f>IF($G1803="","",IF(N($K1803)=0,0,ROUND($V1803/$K1803,2)))</f>
        <v/>
      </c>
      <c r="X1803" s="17" t="n"/>
      <c r="Y1803" s="17" t="n"/>
      <c r="Z1803" s="17" t="n"/>
      <c r="AA1803" s="17" t="n"/>
      <c r="AB1803" s="17" t="n"/>
      <c r="AC1803" s="24">
        <f>IF($G1803="","",IF($H1803="※编码不在物料档案里","※物料编码不在档案里",IF(N($K1803)&lt;=0,"※入库数量要大于 0",IF(AND($C1803&lt;&gt;"",$C1803&lt;=结账锁),"※日期早于已结账截止日，不能再录",IF(AND($L1803=0,$X1803="正常"),"※没填单价，价格状态请选「待补价」",IF(AND($S1803&gt;0,$R1803&gt;0),"△本批有 "&amp;$S1803&amp;" 行没单价，整批运费先挂账没摊",IF(AND($B1803&lt;&gt;"",COUNTIF($B$4:$B$2503,$B1803)&gt;1),"※入库单号重复","")))))))</f>
        <v/>
      </c>
    </row>
    <row r="1804">
      <c r="A1804" s="24">
        <f>IF($G1804="","",COUNTA($G$4:$G1804))</f>
        <v/>
      </c>
      <c r="B1804" s="17" t="n"/>
      <c r="C1804" s="30" t="n"/>
      <c r="D1804" s="17" t="n"/>
      <c r="E1804" s="17" t="n"/>
      <c r="F1804" s="17" t="n"/>
      <c r="G1804" s="17" t="n"/>
      <c r="H1804" s="24">
        <f>IF($G1804="","",IFERROR(VLOOKUP($G1804,物料档案!$A$4:$P$1203,3,0),"※编码不在物料档案里"))</f>
        <v/>
      </c>
      <c r="I1804" s="24">
        <f>IF($G1804="","",IFERROR(VLOOKUP($G1804,物料档案!$A$4:$P$1203,4,0),"※编码不在物料档案里"))</f>
        <v/>
      </c>
      <c r="J1804" s="24">
        <f>IF($G1804="","",IFERROR(VLOOKUP($G1804,物料档案!$A$4:$P$1203,5,0),"※编码不在物料档案里"))</f>
        <v/>
      </c>
      <c r="K1804" s="23" t="n"/>
      <c r="L1804" s="31" t="n"/>
      <c r="M1804" s="24">
        <f>IF($G1804="","",IF($D1804="A国内","CNY","TZS"))</f>
        <v/>
      </c>
      <c r="N1804" s="28">
        <f>IF($G1804="","",IF($D1804="A国内",汇率,1))</f>
        <v/>
      </c>
      <c r="O1804" s="25">
        <f>IF($G1804="","",ROUND(N($K1804)*N($L1804),2))</f>
        <v/>
      </c>
      <c r="P1804" s="26">
        <f>IF($G1804="","",ROUND($O1804*$N1804,0))</f>
        <v/>
      </c>
      <c r="Q1804" s="26">
        <f>IF($G1804="","",SUMIFS($P$4:$P$2503,$E$4:$E$2503,$E1804,$Z$4:$Z$2503,"正常"))</f>
        <v/>
      </c>
      <c r="R1804" s="26">
        <f>IF($G1804="","",SUMIFS(费用台账!$I$4:$I$503,费用台账!$C$4:$C$503,$E1804,费用台账!$J$4:$J$503,"是",费用台账!$K$4:$K$503,"正常"))</f>
        <v/>
      </c>
      <c r="S1804" s="28">
        <f>IF($G1804="","",COUNTIFS($E$4:$E$2503,$E1804,$Z$4:$Z$2503,"正常",$Y$4:$Y$2503,"待补价"))</f>
        <v/>
      </c>
      <c r="T1804" s="26">
        <f>IF($G1804="","",SUMIFS($P$4:$P$2503,$E$4:$E$2503,$E1804,$Z$4:$Z$2503,"正常",$A$4:$A$2503,"&lt;="&amp;$A1804))</f>
        <v/>
      </c>
      <c r="U1804" s="26">
        <f>IF($G1804="","",IF(OR($S1804&gt;0,$Q1804=0,$R1804=0,$Z1804&lt;&gt;"正常"),0,ROUND($T1804/$Q1804*$R1804,0)-ROUND(($T1804-$P1804)/$Q1804*$R1804,0)))</f>
        <v/>
      </c>
      <c r="V1804" s="26">
        <f>IF($G1804="","",ROUND($P1804+$U1804,0))</f>
        <v/>
      </c>
      <c r="W1804" s="26">
        <f>IF($G1804="","",IF(N($K1804)=0,0,ROUND($V1804/$K1804,2)))</f>
        <v/>
      </c>
      <c r="X1804" s="17" t="n"/>
      <c r="Y1804" s="17" t="n"/>
      <c r="Z1804" s="17" t="n"/>
      <c r="AA1804" s="17" t="n"/>
      <c r="AB1804" s="17" t="n"/>
      <c r="AC1804" s="24">
        <f>IF($G1804="","",IF($H1804="※编码不在物料档案里","※物料编码不在档案里",IF(N($K1804)&lt;=0,"※入库数量要大于 0",IF(AND($C1804&lt;&gt;"",$C1804&lt;=结账锁),"※日期早于已结账截止日，不能再录",IF(AND($L1804=0,$X1804="正常"),"※没填单价，价格状态请选「待补价」",IF(AND($S1804&gt;0,$R1804&gt;0),"△本批有 "&amp;$S1804&amp;" 行没单价，整批运费先挂账没摊",IF(AND($B1804&lt;&gt;"",COUNTIF($B$4:$B$2503,$B1804)&gt;1),"※入库单号重复","")))))))</f>
        <v/>
      </c>
    </row>
    <row r="1805">
      <c r="A1805" s="24">
        <f>IF($G1805="","",COUNTA($G$4:$G1805))</f>
        <v/>
      </c>
      <c r="B1805" s="17" t="n"/>
      <c r="C1805" s="30" t="n"/>
      <c r="D1805" s="17" t="n"/>
      <c r="E1805" s="17" t="n"/>
      <c r="F1805" s="17" t="n"/>
      <c r="G1805" s="17" t="n"/>
      <c r="H1805" s="24">
        <f>IF($G1805="","",IFERROR(VLOOKUP($G1805,物料档案!$A$4:$P$1203,3,0),"※编码不在物料档案里"))</f>
        <v/>
      </c>
      <c r="I1805" s="24">
        <f>IF($G1805="","",IFERROR(VLOOKUP($G1805,物料档案!$A$4:$P$1203,4,0),"※编码不在物料档案里"))</f>
        <v/>
      </c>
      <c r="J1805" s="24">
        <f>IF($G1805="","",IFERROR(VLOOKUP($G1805,物料档案!$A$4:$P$1203,5,0),"※编码不在物料档案里"))</f>
        <v/>
      </c>
      <c r="K1805" s="23" t="n"/>
      <c r="L1805" s="31" t="n"/>
      <c r="M1805" s="24">
        <f>IF($G1805="","",IF($D1805="A国内","CNY","TZS"))</f>
        <v/>
      </c>
      <c r="N1805" s="28">
        <f>IF($G1805="","",IF($D1805="A国内",汇率,1))</f>
        <v/>
      </c>
      <c r="O1805" s="25">
        <f>IF($G1805="","",ROUND(N($K1805)*N($L1805),2))</f>
        <v/>
      </c>
      <c r="P1805" s="26">
        <f>IF($G1805="","",ROUND($O1805*$N1805,0))</f>
        <v/>
      </c>
      <c r="Q1805" s="26">
        <f>IF($G1805="","",SUMIFS($P$4:$P$2503,$E$4:$E$2503,$E1805,$Z$4:$Z$2503,"正常"))</f>
        <v/>
      </c>
      <c r="R1805" s="26">
        <f>IF($G1805="","",SUMIFS(费用台账!$I$4:$I$503,费用台账!$C$4:$C$503,$E1805,费用台账!$J$4:$J$503,"是",费用台账!$K$4:$K$503,"正常"))</f>
        <v/>
      </c>
      <c r="S1805" s="28">
        <f>IF($G1805="","",COUNTIFS($E$4:$E$2503,$E1805,$Z$4:$Z$2503,"正常",$Y$4:$Y$2503,"待补价"))</f>
        <v/>
      </c>
      <c r="T1805" s="26">
        <f>IF($G1805="","",SUMIFS($P$4:$P$2503,$E$4:$E$2503,$E1805,$Z$4:$Z$2503,"正常",$A$4:$A$2503,"&lt;="&amp;$A1805))</f>
        <v/>
      </c>
      <c r="U1805" s="26">
        <f>IF($G1805="","",IF(OR($S1805&gt;0,$Q1805=0,$R1805=0,$Z1805&lt;&gt;"正常"),0,ROUND($T1805/$Q1805*$R1805,0)-ROUND(($T1805-$P1805)/$Q1805*$R1805,0)))</f>
        <v/>
      </c>
      <c r="V1805" s="26">
        <f>IF($G1805="","",ROUND($P1805+$U1805,0))</f>
        <v/>
      </c>
      <c r="W1805" s="26">
        <f>IF($G1805="","",IF(N($K1805)=0,0,ROUND($V1805/$K1805,2)))</f>
        <v/>
      </c>
      <c r="X1805" s="17" t="n"/>
      <c r="Y1805" s="17" t="n"/>
      <c r="Z1805" s="17" t="n"/>
      <c r="AA1805" s="17" t="n"/>
      <c r="AB1805" s="17" t="n"/>
      <c r="AC1805" s="24">
        <f>IF($G1805="","",IF($H1805="※编码不在物料档案里","※物料编码不在档案里",IF(N($K1805)&lt;=0,"※入库数量要大于 0",IF(AND($C1805&lt;&gt;"",$C1805&lt;=结账锁),"※日期早于已结账截止日，不能再录",IF(AND($L1805=0,$X1805="正常"),"※没填单价，价格状态请选「待补价」",IF(AND($S1805&gt;0,$R1805&gt;0),"△本批有 "&amp;$S1805&amp;" 行没单价，整批运费先挂账没摊",IF(AND($B1805&lt;&gt;"",COUNTIF($B$4:$B$2503,$B1805)&gt;1),"※入库单号重复","")))))))</f>
        <v/>
      </c>
    </row>
    <row r="1806">
      <c r="A1806" s="24">
        <f>IF($G1806="","",COUNTA($G$4:$G1806))</f>
        <v/>
      </c>
      <c r="B1806" s="17" t="n"/>
      <c r="C1806" s="30" t="n"/>
      <c r="D1806" s="17" t="n"/>
      <c r="E1806" s="17" t="n"/>
      <c r="F1806" s="17" t="n"/>
      <c r="G1806" s="17" t="n"/>
      <c r="H1806" s="24">
        <f>IF($G1806="","",IFERROR(VLOOKUP($G1806,物料档案!$A$4:$P$1203,3,0),"※编码不在物料档案里"))</f>
        <v/>
      </c>
      <c r="I1806" s="24">
        <f>IF($G1806="","",IFERROR(VLOOKUP($G1806,物料档案!$A$4:$P$1203,4,0),"※编码不在物料档案里"))</f>
        <v/>
      </c>
      <c r="J1806" s="24">
        <f>IF($G1806="","",IFERROR(VLOOKUP($G1806,物料档案!$A$4:$P$1203,5,0),"※编码不在物料档案里"))</f>
        <v/>
      </c>
      <c r="K1806" s="23" t="n"/>
      <c r="L1806" s="31" t="n"/>
      <c r="M1806" s="24">
        <f>IF($G1806="","",IF($D1806="A国内","CNY","TZS"))</f>
        <v/>
      </c>
      <c r="N1806" s="28">
        <f>IF($G1806="","",IF($D1806="A国内",汇率,1))</f>
        <v/>
      </c>
      <c r="O1806" s="25">
        <f>IF($G1806="","",ROUND(N($K1806)*N($L1806),2))</f>
        <v/>
      </c>
      <c r="P1806" s="26">
        <f>IF($G1806="","",ROUND($O1806*$N1806,0))</f>
        <v/>
      </c>
      <c r="Q1806" s="26">
        <f>IF($G1806="","",SUMIFS($P$4:$P$2503,$E$4:$E$2503,$E1806,$Z$4:$Z$2503,"正常"))</f>
        <v/>
      </c>
      <c r="R1806" s="26">
        <f>IF($G1806="","",SUMIFS(费用台账!$I$4:$I$503,费用台账!$C$4:$C$503,$E1806,费用台账!$J$4:$J$503,"是",费用台账!$K$4:$K$503,"正常"))</f>
        <v/>
      </c>
      <c r="S1806" s="28">
        <f>IF($G1806="","",COUNTIFS($E$4:$E$2503,$E1806,$Z$4:$Z$2503,"正常",$Y$4:$Y$2503,"待补价"))</f>
        <v/>
      </c>
      <c r="T1806" s="26">
        <f>IF($G1806="","",SUMIFS($P$4:$P$2503,$E$4:$E$2503,$E1806,$Z$4:$Z$2503,"正常",$A$4:$A$2503,"&lt;="&amp;$A1806))</f>
        <v/>
      </c>
      <c r="U1806" s="26">
        <f>IF($G1806="","",IF(OR($S1806&gt;0,$Q1806=0,$R1806=0,$Z1806&lt;&gt;"正常"),0,ROUND($T1806/$Q1806*$R1806,0)-ROUND(($T1806-$P1806)/$Q1806*$R1806,0)))</f>
        <v/>
      </c>
      <c r="V1806" s="26">
        <f>IF($G1806="","",ROUND($P1806+$U1806,0))</f>
        <v/>
      </c>
      <c r="W1806" s="26">
        <f>IF($G1806="","",IF(N($K1806)=0,0,ROUND($V1806/$K1806,2)))</f>
        <v/>
      </c>
      <c r="X1806" s="17" t="n"/>
      <c r="Y1806" s="17" t="n"/>
      <c r="Z1806" s="17" t="n"/>
      <c r="AA1806" s="17" t="n"/>
      <c r="AB1806" s="17" t="n"/>
      <c r="AC1806" s="24">
        <f>IF($G1806="","",IF($H1806="※编码不在物料档案里","※物料编码不在档案里",IF(N($K1806)&lt;=0,"※入库数量要大于 0",IF(AND($C1806&lt;&gt;"",$C1806&lt;=结账锁),"※日期早于已结账截止日，不能再录",IF(AND($L1806=0,$X1806="正常"),"※没填单价，价格状态请选「待补价」",IF(AND($S1806&gt;0,$R1806&gt;0),"△本批有 "&amp;$S1806&amp;" 行没单价，整批运费先挂账没摊",IF(AND($B1806&lt;&gt;"",COUNTIF($B$4:$B$2503,$B1806)&gt;1),"※入库单号重复","")))))))</f>
        <v/>
      </c>
    </row>
    <row r="1807">
      <c r="A1807" s="24">
        <f>IF($G1807="","",COUNTA($G$4:$G1807))</f>
        <v/>
      </c>
      <c r="B1807" s="17" t="n"/>
      <c r="C1807" s="30" t="n"/>
      <c r="D1807" s="17" t="n"/>
      <c r="E1807" s="17" t="n"/>
      <c r="F1807" s="17" t="n"/>
      <c r="G1807" s="17" t="n"/>
      <c r="H1807" s="24">
        <f>IF($G1807="","",IFERROR(VLOOKUP($G1807,物料档案!$A$4:$P$1203,3,0),"※编码不在物料档案里"))</f>
        <v/>
      </c>
      <c r="I1807" s="24">
        <f>IF($G1807="","",IFERROR(VLOOKUP($G1807,物料档案!$A$4:$P$1203,4,0),"※编码不在物料档案里"))</f>
        <v/>
      </c>
      <c r="J1807" s="24">
        <f>IF($G1807="","",IFERROR(VLOOKUP($G1807,物料档案!$A$4:$P$1203,5,0),"※编码不在物料档案里"))</f>
        <v/>
      </c>
      <c r="K1807" s="23" t="n"/>
      <c r="L1807" s="31" t="n"/>
      <c r="M1807" s="24">
        <f>IF($G1807="","",IF($D1807="A国内","CNY","TZS"))</f>
        <v/>
      </c>
      <c r="N1807" s="28">
        <f>IF($G1807="","",IF($D1807="A国内",汇率,1))</f>
        <v/>
      </c>
      <c r="O1807" s="25">
        <f>IF($G1807="","",ROUND(N($K1807)*N($L1807),2))</f>
        <v/>
      </c>
      <c r="P1807" s="26">
        <f>IF($G1807="","",ROUND($O1807*$N1807,0))</f>
        <v/>
      </c>
      <c r="Q1807" s="26">
        <f>IF($G1807="","",SUMIFS($P$4:$P$2503,$E$4:$E$2503,$E1807,$Z$4:$Z$2503,"正常"))</f>
        <v/>
      </c>
      <c r="R1807" s="26">
        <f>IF($G1807="","",SUMIFS(费用台账!$I$4:$I$503,费用台账!$C$4:$C$503,$E1807,费用台账!$J$4:$J$503,"是",费用台账!$K$4:$K$503,"正常"))</f>
        <v/>
      </c>
      <c r="S1807" s="28">
        <f>IF($G1807="","",COUNTIFS($E$4:$E$2503,$E1807,$Z$4:$Z$2503,"正常",$Y$4:$Y$2503,"待补价"))</f>
        <v/>
      </c>
      <c r="T1807" s="26">
        <f>IF($G1807="","",SUMIFS($P$4:$P$2503,$E$4:$E$2503,$E1807,$Z$4:$Z$2503,"正常",$A$4:$A$2503,"&lt;="&amp;$A1807))</f>
        <v/>
      </c>
      <c r="U1807" s="26">
        <f>IF($G1807="","",IF(OR($S1807&gt;0,$Q1807=0,$R1807=0,$Z1807&lt;&gt;"正常"),0,ROUND($T1807/$Q1807*$R1807,0)-ROUND(($T1807-$P1807)/$Q1807*$R1807,0)))</f>
        <v/>
      </c>
      <c r="V1807" s="26">
        <f>IF($G1807="","",ROUND($P1807+$U1807,0))</f>
        <v/>
      </c>
      <c r="W1807" s="26">
        <f>IF($G1807="","",IF(N($K1807)=0,0,ROUND($V1807/$K1807,2)))</f>
        <v/>
      </c>
      <c r="X1807" s="17" t="n"/>
      <c r="Y1807" s="17" t="n"/>
      <c r="Z1807" s="17" t="n"/>
      <c r="AA1807" s="17" t="n"/>
      <c r="AB1807" s="17" t="n"/>
      <c r="AC1807" s="24">
        <f>IF($G1807="","",IF($H1807="※编码不在物料档案里","※物料编码不在档案里",IF(N($K1807)&lt;=0,"※入库数量要大于 0",IF(AND($C1807&lt;&gt;"",$C1807&lt;=结账锁),"※日期早于已结账截止日，不能再录",IF(AND($L1807=0,$X1807="正常"),"※没填单价，价格状态请选「待补价」",IF(AND($S1807&gt;0,$R1807&gt;0),"△本批有 "&amp;$S1807&amp;" 行没单价，整批运费先挂账没摊",IF(AND($B1807&lt;&gt;"",COUNTIF($B$4:$B$2503,$B1807)&gt;1),"※入库单号重复","")))))))</f>
        <v/>
      </c>
    </row>
    <row r="1808">
      <c r="A1808" s="24">
        <f>IF($G1808="","",COUNTA($G$4:$G1808))</f>
        <v/>
      </c>
      <c r="B1808" s="17" t="n"/>
      <c r="C1808" s="30" t="n"/>
      <c r="D1808" s="17" t="n"/>
      <c r="E1808" s="17" t="n"/>
      <c r="F1808" s="17" t="n"/>
      <c r="G1808" s="17" t="n"/>
      <c r="H1808" s="24">
        <f>IF($G1808="","",IFERROR(VLOOKUP($G1808,物料档案!$A$4:$P$1203,3,0),"※编码不在物料档案里"))</f>
        <v/>
      </c>
      <c r="I1808" s="24">
        <f>IF($G1808="","",IFERROR(VLOOKUP($G1808,物料档案!$A$4:$P$1203,4,0),"※编码不在物料档案里"))</f>
        <v/>
      </c>
      <c r="J1808" s="24">
        <f>IF($G1808="","",IFERROR(VLOOKUP($G1808,物料档案!$A$4:$P$1203,5,0),"※编码不在物料档案里"))</f>
        <v/>
      </c>
      <c r="K1808" s="23" t="n"/>
      <c r="L1808" s="31" t="n"/>
      <c r="M1808" s="24">
        <f>IF($G1808="","",IF($D1808="A国内","CNY","TZS"))</f>
        <v/>
      </c>
      <c r="N1808" s="28">
        <f>IF($G1808="","",IF($D1808="A国内",汇率,1))</f>
        <v/>
      </c>
      <c r="O1808" s="25">
        <f>IF($G1808="","",ROUND(N($K1808)*N($L1808),2))</f>
        <v/>
      </c>
      <c r="P1808" s="26">
        <f>IF($G1808="","",ROUND($O1808*$N1808,0))</f>
        <v/>
      </c>
      <c r="Q1808" s="26">
        <f>IF($G1808="","",SUMIFS($P$4:$P$2503,$E$4:$E$2503,$E1808,$Z$4:$Z$2503,"正常"))</f>
        <v/>
      </c>
      <c r="R1808" s="26">
        <f>IF($G1808="","",SUMIFS(费用台账!$I$4:$I$503,费用台账!$C$4:$C$503,$E1808,费用台账!$J$4:$J$503,"是",费用台账!$K$4:$K$503,"正常"))</f>
        <v/>
      </c>
      <c r="S1808" s="28">
        <f>IF($G1808="","",COUNTIFS($E$4:$E$2503,$E1808,$Z$4:$Z$2503,"正常",$Y$4:$Y$2503,"待补价"))</f>
        <v/>
      </c>
      <c r="T1808" s="26">
        <f>IF($G1808="","",SUMIFS($P$4:$P$2503,$E$4:$E$2503,$E1808,$Z$4:$Z$2503,"正常",$A$4:$A$2503,"&lt;="&amp;$A1808))</f>
        <v/>
      </c>
      <c r="U1808" s="26">
        <f>IF($G1808="","",IF(OR($S1808&gt;0,$Q1808=0,$R1808=0,$Z1808&lt;&gt;"正常"),0,ROUND($T1808/$Q1808*$R1808,0)-ROUND(($T1808-$P1808)/$Q1808*$R1808,0)))</f>
        <v/>
      </c>
      <c r="V1808" s="26">
        <f>IF($G1808="","",ROUND($P1808+$U1808,0))</f>
        <v/>
      </c>
      <c r="W1808" s="26">
        <f>IF($G1808="","",IF(N($K1808)=0,0,ROUND($V1808/$K1808,2)))</f>
        <v/>
      </c>
      <c r="X1808" s="17" t="n"/>
      <c r="Y1808" s="17" t="n"/>
      <c r="Z1808" s="17" t="n"/>
      <c r="AA1808" s="17" t="n"/>
      <c r="AB1808" s="17" t="n"/>
      <c r="AC1808" s="24">
        <f>IF($G1808="","",IF($H1808="※编码不在物料档案里","※物料编码不在档案里",IF(N($K1808)&lt;=0,"※入库数量要大于 0",IF(AND($C1808&lt;&gt;"",$C1808&lt;=结账锁),"※日期早于已结账截止日，不能再录",IF(AND($L1808=0,$X1808="正常"),"※没填单价，价格状态请选「待补价」",IF(AND($S1808&gt;0,$R1808&gt;0),"△本批有 "&amp;$S1808&amp;" 行没单价，整批运费先挂账没摊",IF(AND($B1808&lt;&gt;"",COUNTIF($B$4:$B$2503,$B1808)&gt;1),"※入库单号重复","")))))))</f>
        <v/>
      </c>
    </row>
    <row r="1809">
      <c r="A1809" s="24">
        <f>IF($G1809="","",COUNTA($G$4:$G1809))</f>
        <v/>
      </c>
      <c r="B1809" s="17" t="n"/>
      <c r="C1809" s="30" t="n"/>
      <c r="D1809" s="17" t="n"/>
      <c r="E1809" s="17" t="n"/>
      <c r="F1809" s="17" t="n"/>
      <c r="G1809" s="17" t="n"/>
      <c r="H1809" s="24">
        <f>IF($G1809="","",IFERROR(VLOOKUP($G1809,物料档案!$A$4:$P$1203,3,0),"※编码不在物料档案里"))</f>
        <v/>
      </c>
      <c r="I1809" s="24">
        <f>IF($G1809="","",IFERROR(VLOOKUP($G1809,物料档案!$A$4:$P$1203,4,0),"※编码不在物料档案里"))</f>
        <v/>
      </c>
      <c r="J1809" s="24">
        <f>IF($G1809="","",IFERROR(VLOOKUP($G1809,物料档案!$A$4:$P$1203,5,0),"※编码不在物料档案里"))</f>
        <v/>
      </c>
      <c r="K1809" s="23" t="n"/>
      <c r="L1809" s="31" t="n"/>
      <c r="M1809" s="24">
        <f>IF($G1809="","",IF($D1809="A国内","CNY","TZS"))</f>
        <v/>
      </c>
      <c r="N1809" s="28">
        <f>IF($G1809="","",IF($D1809="A国内",汇率,1))</f>
        <v/>
      </c>
      <c r="O1809" s="25">
        <f>IF($G1809="","",ROUND(N($K1809)*N($L1809),2))</f>
        <v/>
      </c>
      <c r="P1809" s="26">
        <f>IF($G1809="","",ROUND($O1809*$N1809,0))</f>
        <v/>
      </c>
      <c r="Q1809" s="26">
        <f>IF($G1809="","",SUMIFS($P$4:$P$2503,$E$4:$E$2503,$E1809,$Z$4:$Z$2503,"正常"))</f>
        <v/>
      </c>
      <c r="R1809" s="26">
        <f>IF($G1809="","",SUMIFS(费用台账!$I$4:$I$503,费用台账!$C$4:$C$503,$E1809,费用台账!$J$4:$J$503,"是",费用台账!$K$4:$K$503,"正常"))</f>
        <v/>
      </c>
      <c r="S1809" s="28">
        <f>IF($G1809="","",COUNTIFS($E$4:$E$2503,$E1809,$Z$4:$Z$2503,"正常",$Y$4:$Y$2503,"待补价"))</f>
        <v/>
      </c>
      <c r="T1809" s="26">
        <f>IF($G1809="","",SUMIFS($P$4:$P$2503,$E$4:$E$2503,$E1809,$Z$4:$Z$2503,"正常",$A$4:$A$2503,"&lt;="&amp;$A1809))</f>
        <v/>
      </c>
      <c r="U1809" s="26">
        <f>IF($G1809="","",IF(OR($S1809&gt;0,$Q1809=0,$R1809=0,$Z1809&lt;&gt;"正常"),0,ROUND($T1809/$Q1809*$R1809,0)-ROUND(($T1809-$P1809)/$Q1809*$R1809,0)))</f>
        <v/>
      </c>
      <c r="V1809" s="26">
        <f>IF($G1809="","",ROUND($P1809+$U1809,0))</f>
        <v/>
      </c>
      <c r="W1809" s="26">
        <f>IF($G1809="","",IF(N($K1809)=0,0,ROUND($V1809/$K1809,2)))</f>
        <v/>
      </c>
      <c r="X1809" s="17" t="n"/>
      <c r="Y1809" s="17" t="n"/>
      <c r="Z1809" s="17" t="n"/>
      <c r="AA1809" s="17" t="n"/>
      <c r="AB1809" s="17" t="n"/>
      <c r="AC1809" s="24">
        <f>IF($G1809="","",IF($H1809="※编码不在物料档案里","※物料编码不在档案里",IF(N($K1809)&lt;=0,"※入库数量要大于 0",IF(AND($C1809&lt;&gt;"",$C1809&lt;=结账锁),"※日期早于已结账截止日，不能再录",IF(AND($L1809=0,$X1809="正常"),"※没填单价，价格状态请选「待补价」",IF(AND($S1809&gt;0,$R1809&gt;0),"△本批有 "&amp;$S1809&amp;" 行没单价，整批运费先挂账没摊",IF(AND($B1809&lt;&gt;"",COUNTIF($B$4:$B$2503,$B1809)&gt;1),"※入库单号重复","")))))))</f>
        <v/>
      </c>
    </row>
    <row r="1810">
      <c r="A1810" s="24">
        <f>IF($G1810="","",COUNTA($G$4:$G1810))</f>
        <v/>
      </c>
      <c r="B1810" s="17" t="n"/>
      <c r="C1810" s="30" t="n"/>
      <c r="D1810" s="17" t="n"/>
      <c r="E1810" s="17" t="n"/>
      <c r="F1810" s="17" t="n"/>
      <c r="G1810" s="17" t="n"/>
      <c r="H1810" s="24">
        <f>IF($G1810="","",IFERROR(VLOOKUP($G1810,物料档案!$A$4:$P$1203,3,0),"※编码不在物料档案里"))</f>
        <v/>
      </c>
      <c r="I1810" s="24">
        <f>IF($G1810="","",IFERROR(VLOOKUP($G1810,物料档案!$A$4:$P$1203,4,0),"※编码不在物料档案里"))</f>
        <v/>
      </c>
      <c r="J1810" s="24">
        <f>IF($G1810="","",IFERROR(VLOOKUP($G1810,物料档案!$A$4:$P$1203,5,0),"※编码不在物料档案里"))</f>
        <v/>
      </c>
      <c r="K1810" s="23" t="n"/>
      <c r="L1810" s="31" t="n"/>
      <c r="M1810" s="24">
        <f>IF($G1810="","",IF($D1810="A国内","CNY","TZS"))</f>
        <v/>
      </c>
      <c r="N1810" s="28">
        <f>IF($G1810="","",IF($D1810="A国内",汇率,1))</f>
        <v/>
      </c>
      <c r="O1810" s="25">
        <f>IF($G1810="","",ROUND(N($K1810)*N($L1810),2))</f>
        <v/>
      </c>
      <c r="P1810" s="26">
        <f>IF($G1810="","",ROUND($O1810*$N1810,0))</f>
        <v/>
      </c>
      <c r="Q1810" s="26">
        <f>IF($G1810="","",SUMIFS($P$4:$P$2503,$E$4:$E$2503,$E1810,$Z$4:$Z$2503,"正常"))</f>
        <v/>
      </c>
      <c r="R1810" s="26">
        <f>IF($G1810="","",SUMIFS(费用台账!$I$4:$I$503,费用台账!$C$4:$C$503,$E1810,费用台账!$J$4:$J$503,"是",费用台账!$K$4:$K$503,"正常"))</f>
        <v/>
      </c>
      <c r="S1810" s="28">
        <f>IF($G1810="","",COUNTIFS($E$4:$E$2503,$E1810,$Z$4:$Z$2503,"正常",$Y$4:$Y$2503,"待补价"))</f>
        <v/>
      </c>
      <c r="T1810" s="26">
        <f>IF($G1810="","",SUMIFS($P$4:$P$2503,$E$4:$E$2503,$E1810,$Z$4:$Z$2503,"正常",$A$4:$A$2503,"&lt;="&amp;$A1810))</f>
        <v/>
      </c>
      <c r="U1810" s="26">
        <f>IF($G1810="","",IF(OR($S1810&gt;0,$Q1810=0,$R1810=0,$Z1810&lt;&gt;"正常"),0,ROUND($T1810/$Q1810*$R1810,0)-ROUND(($T1810-$P1810)/$Q1810*$R1810,0)))</f>
        <v/>
      </c>
      <c r="V1810" s="26">
        <f>IF($G1810="","",ROUND($P1810+$U1810,0))</f>
        <v/>
      </c>
      <c r="W1810" s="26">
        <f>IF($G1810="","",IF(N($K1810)=0,0,ROUND($V1810/$K1810,2)))</f>
        <v/>
      </c>
      <c r="X1810" s="17" t="n"/>
      <c r="Y1810" s="17" t="n"/>
      <c r="Z1810" s="17" t="n"/>
      <c r="AA1810" s="17" t="n"/>
      <c r="AB1810" s="17" t="n"/>
      <c r="AC1810" s="24">
        <f>IF($G1810="","",IF($H1810="※编码不在物料档案里","※物料编码不在档案里",IF(N($K1810)&lt;=0,"※入库数量要大于 0",IF(AND($C1810&lt;&gt;"",$C1810&lt;=结账锁),"※日期早于已结账截止日，不能再录",IF(AND($L1810=0,$X1810="正常"),"※没填单价，价格状态请选「待补价」",IF(AND($S1810&gt;0,$R1810&gt;0),"△本批有 "&amp;$S1810&amp;" 行没单价，整批运费先挂账没摊",IF(AND($B1810&lt;&gt;"",COUNTIF($B$4:$B$2503,$B1810)&gt;1),"※入库单号重复","")))))))</f>
        <v/>
      </c>
    </row>
    <row r="1811">
      <c r="A1811" s="24">
        <f>IF($G1811="","",COUNTA($G$4:$G1811))</f>
        <v/>
      </c>
      <c r="B1811" s="17" t="n"/>
      <c r="C1811" s="30" t="n"/>
      <c r="D1811" s="17" t="n"/>
      <c r="E1811" s="17" t="n"/>
      <c r="F1811" s="17" t="n"/>
      <c r="G1811" s="17" t="n"/>
      <c r="H1811" s="24">
        <f>IF($G1811="","",IFERROR(VLOOKUP($G1811,物料档案!$A$4:$P$1203,3,0),"※编码不在物料档案里"))</f>
        <v/>
      </c>
      <c r="I1811" s="24">
        <f>IF($G1811="","",IFERROR(VLOOKUP($G1811,物料档案!$A$4:$P$1203,4,0),"※编码不在物料档案里"))</f>
        <v/>
      </c>
      <c r="J1811" s="24">
        <f>IF($G1811="","",IFERROR(VLOOKUP($G1811,物料档案!$A$4:$P$1203,5,0),"※编码不在物料档案里"))</f>
        <v/>
      </c>
      <c r="K1811" s="23" t="n"/>
      <c r="L1811" s="31" t="n"/>
      <c r="M1811" s="24">
        <f>IF($G1811="","",IF($D1811="A国内","CNY","TZS"))</f>
        <v/>
      </c>
      <c r="N1811" s="28">
        <f>IF($G1811="","",IF($D1811="A国内",汇率,1))</f>
        <v/>
      </c>
      <c r="O1811" s="25">
        <f>IF($G1811="","",ROUND(N($K1811)*N($L1811),2))</f>
        <v/>
      </c>
      <c r="P1811" s="26">
        <f>IF($G1811="","",ROUND($O1811*$N1811,0))</f>
        <v/>
      </c>
      <c r="Q1811" s="26">
        <f>IF($G1811="","",SUMIFS($P$4:$P$2503,$E$4:$E$2503,$E1811,$Z$4:$Z$2503,"正常"))</f>
        <v/>
      </c>
      <c r="R1811" s="26">
        <f>IF($G1811="","",SUMIFS(费用台账!$I$4:$I$503,费用台账!$C$4:$C$503,$E1811,费用台账!$J$4:$J$503,"是",费用台账!$K$4:$K$503,"正常"))</f>
        <v/>
      </c>
      <c r="S1811" s="28">
        <f>IF($G1811="","",COUNTIFS($E$4:$E$2503,$E1811,$Z$4:$Z$2503,"正常",$Y$4:$Y$2503,"待补价"))</f>
        <v/>
      </c>
      <c r="T1811" s="26">
        <f>IF($G1811="","",SUMIFS($P$4:$P$2503,$E$4:$E$2503,$E1811,$Z$4:$Z$2503,"正常",$A$4:$A$2503,"&lt;="&amp;$A1811))</f>
        <v/>
      </c>
      <c r="U1811" s="26">
        <f>IF($G1811="","",IF(OR($S1811&gt;0,$Q1811=0,$R1811=0,$Z1811&lt;&gt;"正常"),0,ROUND($T1811/$Q1811*$R1811,0)-ROUND(($T1811-$P1811)/$Q1811*$R1811,0)))</f>
        <v/>
      </c>
      <c r="V1811" s="26">
        <f>IF($G1811="","",ROUND($P1811+$U1811,0))</f>
        <v/>
      </c>
      <c r="W1811" s="26">
        <f>IF($G1811="","",IF(N($K1811)=0,0,ROUND($V1811/$K1811,2)))</f>
        <v/>
      </c>
      <c r="X1811" s="17" t="n"/>
      <c r="Y1811" s="17" t="n"/>
      <c r="Z1811" s="17" t="n"/>
      <c r="AA1811" s="17" t="n"/>
      <c r="AB1811" s="17" t="n"/>
      <c r="AC1811" s="24">
        <f>IF($G1811="","",IF($H1811="※编码不在物料档案里","※物料编码不在档案里",IF(N($K1811)&lt;=0,"※入库数量要大于 0",IF(AND($C1811&lt;&gt;"",$C1811&lt;=结账锁),"※日期早于已结账截止日，不能再录",IF(AND($L1811=0,$X1811="正常"),"※没填单价，价格状态请选「待补价」",IF(AND($S1811&gt;0,$R1811&gt;0),"△本批有 "&amp;$S1811&amp;" 行没单价，整批运费先挂账没摊",IF(AND($B1811&lt;&gt;"",COUNTIF($B$4:$B$2503,$B1811)&gt;1),"※入库单号重复","")))))))</f>
        <v/>
      </c>
    </row>
    <row r="1812">
      <c r="A1812" s="24">
        <f>IF($G1812="","",COUNTA($G$4:$G1812))</f>
        <v/>
      </c>
      <c r="B1812" s="17" t="n"/>
      <c r="C1812" s="30" t="n"/>
      <c r="D1812" s="17" t="n"/>
      <c r="E1812" s="17" t="n"/>
      <c r="F1812" s="17" t="n"/>
      <c r="G1812" s="17" t="n"/>
      <c r="H1812" s="24">
        <f>IF($G1812="","",IFERROR(VLOOKUP($G1812,物料档案!$A$4:$P$1203,3,0),"※编码不在物料档案里"))</f>
        <v/>
      </c>
      <c r="I1812" s="24">
        <f>IF($G1812="","",IFERROR(VLOOKUP($G1812,物料档案!$A$4:$P$1203,4,0),"※编码不在物料档案里"))</f>
        <v/>
      </c>
      <c r="J1812" s="24">
        <f>IF($G1812="","",IFERROR(VLOOKUP($G1812,物料档案!$A$4:$P$1203,5,0),"※编码不在物料档案里"))</f>
        <v/>
      </c>
      <c r="K1812" s="23" t="n"/>
      <c r="L1812" s="31" t="n"/>
      <c r="M1812" s="24">
        <f>IF($G1812="","",IF($D1812="A国内","CNY","TZS"))</f>
        <v/>
      </c>
      <c r="N1812" s="28">
        <f>IF($G1812="","",IF($D1812="A国内",汇率,1))</f>
        <v/>
      </c>
      <c r="O1812" s="25">
        <f>IF($G1812="","",ROUND(N($K1812)*N($L1812),2))</f>
        <v/>
      </c>
      <c r="P1812" s="26">
        <f>IF($G1812="","",ROUND($O1812*$N1812,0))</f>
        <v/>
      </c>
      <c r="Q1812" s="26">
        <f>IF($G1812="","",SUMIFS($P$4:$P$2503,$E$4:$E$2503,$E1812,$Z$4:$Z$2503,"正常"))</f>
        <v/>
      </c>
      <c r="R1812" s="26">
        <f>IF($G1812="","",SUMIFS(费用台账!$I$4:$I$503,费用台账!$C$4:$C$503,$E1812,费用台账!$J$4:$J$503,"是",费用台账!$K$4:$K$503,"正常"))</f>
        <v/>
      </c>
      <c r="S1812" s="28">
        <f>IF($G1812="","",COUNTIFS($E$4:$E$2503,$E1812,$Z$4:$Z$2503,"正常",$Y$4:$Y$2503,"待补价"))</f>
        <v/>
      </c>
      <c r="T1812" s="26">
        <f>IF($G1812="","",SUMIFS($P$4:$P$2503,$E$4:$E$2503,$E1812,$Z$4:$Z$2503,"正常",$A$4:$A$2503,"&lt;="&amp;$A1812))</f>
        <v/>
      </c>
      <c r="U1812" s="26">
        <f>IF($G1812="","",IF(OR($S1812&gt;0,$Q1812=0,$R1812=0,$Z1812&lt;&gt;"正常"),0,ROUND($T1812/$Q1812*$R1812,0)-ROUND(($T1812-$P1812)/$Q1812*$R1812,0)))</f>
        <v/>
      </c>
      <c r="V1812" s="26">
        <f>IF($G1812="","",ROUND($P1812+$U1812,0))</f>
        <v/>
      </c>
      <c r="W1812" s="26">
        <f>IF($G1812="","",IF(N($K1812)=0,0,ROUND($V1812/$K1812,2)))</f>
        <v/>
      </c>
      <c r="X1812" s="17" t="n"/>
      <c r="Y1812" s="17" t="n"/>
      <c r="Z1812" s="17" t="n"/>
      <c r="AA1812" s="17" t="n"/>
      <c r="AB1812" s="17" t="n"/>
      <c r="AC1812" s="24">
        <f>IF($G1812="","",IF($H1812="※编码不在物料档案里","※物料编码不在档案里",IF(N($K1812)&lt;=0,"※入库数量要大于 0",IF(AND($C1812&lt;&gt;"",$C1812&lt;=结账锁),"※日期早于已结账截止日，不能再录",IF(AND($L1812=0,$X1812="正常"),"※没填单价，价格状态请选「待补价」",IF(AND($S1812&gt;0,$R1812&gt;0),"△本批有 "&amp;$S1812&amp;" 行没单价，整批运费先挂账没摊",IF(AND($B1812&lt;&gt;"",COUNTIF($B$4:$B$2503,$B1812)&gt;1),"※入库单号重复","")))))))</f>
        <v/>
      </c>
    </row>
    <row r="1813">
      <c r="A1813" s="24">
        <f>IF($G1813="","",COUNTA($G$4:$G1813))</f>
        <v/>
      </c>
      <c r="B1813" s="17" t="n"/>
      <c r="C1813" s="30" t="n"/>
      <c r="D1813" s="17" t="n"/>
      <c r="E1813" s="17" t="n"/>
      <c r="F1813" s="17" t="n"/>
      <c r="G1813" s="17" t="n"/>
      <c r="H1813" s="24">
        <f>IF($G1813="","",IFERROR(VLOOKUP($G1813,物料档案!$A$4:$P$1203,3,0),"※编码不在物料档案里"))</f>
        <v/>
      </c>
      <c r="I1813" s="24">
        <f>IF($G1813="","",IFERROR(VLOOKUP($G1813,物料档案!$A$4:$P$1203,4,0),"※编码不在物料档案里"))</f>
        <v/>
      </c>
      <c r="J1813" s="24">
        <f>IF($G1813="","",IFERROR(VLOOKUP($G1813,物料档案!$A$4:$P$1203,5,0),"※编码不在物料档案里"))</f>
        <v/>
      </c>
      <c r="K1813" s="23" t="n"/>
      <c r="L1813" s="31" t="n"/>
      <c r="M1813" s="24">
        <f>IF($G1813="","",IF($D1813="A国内","CNY","TZS"))</f>
        <v/>
      </c>
      <c r="N1813" s="28">
        <f>IF($G1813="","",IF($D1813="A国内",汇率,1))</f>
        <v/>
      </c>
      <c r="O1813" s="25">
        <f>IF($G1813="","",ROUND(N($K1813)*N($L1813),2))</f>
        <v/>
      </c>
      <c r="P1813" s="26">
        <f>IF($G1813="","",ROUND($O1813*$N1813,0))</f>
        <v/>
      </c>
      <c r="Q1813" s="26">
        <f>IF($G1813="","",SUMIFS($P$4:$P$2503,$E$4:$E$2503,$E1813,$Z$4:$Z$2503,"正常"))</f>
        <v/>
      </c>
      <c r="R1813" s="26">
        <f>IF($G1813="","",SUMIFS(费用台账!$I$4:$I$503,费用台账!$C$4:$C$503,$E1813,费用台账!$J$4:$J$503,"是",费用台账!$K$4:$K$503,"正常"))</f>
        <v/>
      </c>
      <c r="S1813" s="28">
        <f>IF($G1813="","",COUNTIFS($E$4:$E$2503,$E1813,$Z$4:$Z$2503,"正常",$Y$4:$Y$2503,"待补价"))</f>
        <v/>
      </c>
      <c r="T1813" s="26">
        <f>IF($G1813="","",SUMIFS($P$4:$P$2503,$E$4:$E$2503,$E1813,$Z$4:$Z$2503,"正常",$A$4:$A$2503,"&lt;="&amp;$A1813))</f>
        <v/>
      </c>
      <c r="U1813" s="26">
        <f>IF($G1813="","",IF(OR($S1813&gt;0,$Q1813=0,$R1813=0,$Z1813&lt;&gt;"正常"),0,ROUND($T1813/$Q1813*$R1813,0)-ROUND(($T1813-$P1813)/$Q1813*$R1813,0)))</f>
        <v/>
      </c>
      <c r="V1813" s="26">
        <f>IF($G1813="","",ROUND($P1813+$U1813,0))</f>
        <v/>
      </c>
      <c r="W1813" s="26">
        <f>IF($G1813="","",IF(N($K1813)=0,0,ROUND($V1813/$K1813,2)))</f>
        <v/>
      </c>
      <c r="X1813" s="17" t="n"/>
      <c r="Y1813" s="17" t="n"/>
      <c r="Z1813" s="17" t="n"/>
      <c r="AA1813" s="17" t="n"/>
      <c r="AB1813" s="17" t="n"/>
      <c r="AC1813" s="24">
        <f>IF($G1813="","",IF($H1813="※编码不在物料档案里","※物料编码不在档案里",IF(N($K1813)&lt;=0,"※入库数量要大于 0",IF(AND($C1813&lt;&gt;"",$C1813&lt;=结账锁),"※日期早于已结账截止日，不能再录",IF(AND($L1813=0,$X1813="正常"),"※没填单价，价格状态请选「待补价」",IF(AND($S1813&gt;0,$R1813&gt;0),"△本批有 "&amp;$S1813&amp;" 行没单价，整批运费先挂账没摊",IF(AND($B1813&lt;&gt;"",COUNTIF($B$4:$B$2503,$B1813)&gt;1),"※入库单号重复","")))))))</f>
        <v/>
      </c>
    </row>
    <row r="1814">
      <c r="A1814" s="24">
        <f>IF($G1814="","",COUNTA($G$4:$G1814))</f>
        <v/>
      </c>
      <c r="B1814" s="17" t="n"/>
      <c r="C1814" s="30" t="n"/>
      <c r="D1814" s="17" t="n"/>
      <c r="E1814" s="17" t="n"/>
      <c r="F1814" s="17" t="n"/>
      <c r="G1814" s="17" t="n"/>
      <c r="H1814" s="24">
        <f>IF($G1814="","",IFERROR(VLOOKUP($G1814,物料档案!$A$4:$P$1203,3,0),"※编码不在物料档案里"))</f>
        <v/>
      </c>
      <c r="I1814" s="24">
        <f>IF($G1814="","",IFERROR(VLOOKUP($G1814,物料档案!$A$4:$P$1203,4,0),"※编码不在物料档案里"))</f>
        <v/>
      </c>
      <c r="J1814" s="24">
        <f>IF($G1814="","",IFERROR(VLOOKUP($G1814,物料档案!$A$4:$P$1203,5,0),"※编码不在物料档案里"))</f>
        <v/>
      </c>
      <c r="K1814" s="23" t="n"/>
      <c r="L1814" s="31" t="n"/>
      <c r="M1814" s="24">
        <f>IF($G1814="","",IF($D1814="A国内","CNY","TZS"))</f>
        <v/>
      </c>
      <c r="N1814" s="28">
        <f>IF($G1814="","",IF($D1814="A国内",汇率,1))</f>
        <v/>
      </c>
      <c r="O1814" s="25">
        <f>IF($G1814="","",ROUND(N($K1814)*N($L1814),2))</f>
        <v/>
      </c>
      <c r="P1814" s="26">
        <f>IF($G1814="","",ROUND($O1814*$N1814,0))</f>
        <v/>
      </c>
      <c r="Q1814" s="26">
        <f>IF($G1814="","",SUMIFS($P$4:$P$2503,$E$4:$E$2503,$E1814,$Z$4:$Z$2503,"正常"))</f>
        <v/>
      </c>
      <c r="R1814" s="26">
        <f>IF($G1814="","",SUMIFS(费用台账!$I$4:$I$503,费用台账!$C$4:$C$503,$E1814,费用台账!$J$4:$J$503,"是",费用台账!$K$4:$K$503,"正常"))</f>
        <v/>
      </c>
      <c r="S1814" s="28">
        <f>IF($G1814="","",COUNTIFS($E$4:$E$2503,$E1814,$Z$4:$Z$2503,"正常",$Y$4:$Y$2503,"待补价"))</f>
        <v/>
      </c>
      <c r="T1814" s="26">
        <f>IF($G1814="","",SUMIFS($P$4:$P$2503,$E$4:$E$2503,$E1814,$Z$4:$Z$2503,"正常",$A$4:$A$2503,"&lt;="&amp;$A1814))</f>
        <v/>
      </c>
      <c r="U1814" s="26">
        <f>IF($G1814="","",IF(OR($S1814&gt;0,$Q1814=0,$R1814=0,$Z1814&lt;&gt;"正常"),0,ROUND($T1814/$Q1814*$R1814,0)-ROUND(($T1814-$P1814)/$Q1814*$R1814,0)))</f>
        <v/>
      </c>
      <c r="V1814" s="26">
        <f>IF($G1814="","",ROUND($P1814+$U1814,0))</f>
        <v/>
      </c>
      <c r="W1814" s="26">
        <f>IF($G1814="","",IF(N($K1814)=0,0,ROUND($V1814/$K1814,2)))</f>
        <v/>
      </c>
      <c r="X1814" s="17" t="n"/>
      <c r="Y1814" s="17" t="n"/>
      <c r="Z1814" s="17" t="n"/>
      <c r="AA1814" s="17" t="n"/>
      <c r="AB1814" s="17" t="n"/>
      <c r="AC1814" s="24">
        <f>IF($G1814="","",IF($H1814="※编码不在物料档案里","※物料编码不在档案里",IF(N($K1814)&lt;=0,"※入库数量要大于 0",IF(AND($C1814&lt;&gt;"",$C1814&lt;=结账锁),"※日期早于已结账截止日，不能再录",IF(AND($L1814=0,$X1814="正常"),"※没填单价，价格状态请选「待补价」",IF(AND($S1814&gt;0,$R1814&gt;0),"△本批有 "&amp;$S1814&amp;" 行没单价，整批运费先挂账没摊",IF(AND($B1814&lt;&gt;"",COUNTIF($B$4:$B$2503,$B1814)&gt;1),"※入库单号重复","")))))))</f>
        <v/>
      </c>
    </row>
    <row r="1815">
      <c r="A1815" s="24">
        <f>IF($G1815="","",COUNTA($G$4:$G1815))</f>
        <v/>
      </c>
      <c r="B1815" s="17" t="n"/>
      <c r="C1815" s="30" t="n"/>
      <c r="D1815" s="17" t="n"/>
      <c r="E1815" s="17" t="n"/>
      <c r="F1815" s="17" t="n"/>
      <c r="G1815" s="17" t="n"/>
      <c r="H1815" s="24">
        <f>IF($G1815="","",IFERROR(VLOOKUP($G1815,物料档案!$A$4:$P$1203,3,0),"※编码不在物料档案里"))</f>
        <v/>
      </c>
      <c r="I1815" s="24">
        <f>IF($G1815="","",IFERROR(VLOOKUP($G1815,物料档案!$A$4:$P$1203,4,0),"※编码不在物料档案里"))</f>
        <v/>
      </c>
      <c r="J1815" s="24">
        <f>IF($G1815="","",IFERROR(VLOOKUP($G1815,物料档案!$A$4:$P$1203,5,0),"※编码不在物料档案里"))</f>
        <v/>
      </c>
      <c r="K1815" s="23" t="n"/>
      <c r="L1815" s="31" t="n"/>
      <c r="M1815" s="24">
        <f>IF($G1815="","",IF($D1815="A国内","CNY","TZS"))</f>
        <v/>
      </c>
      <c r="N1815" s="28">
        <f>IF($G1815="","",IF($D1815="A国内",汇率,1))</f>
        <v/>
      </c>
      <c r="O1815" s="25">
        <f>IF($G1815="","",ROUND(N($K1815)*N($L1815),2))</f>
        <v/>
      </c>
      <c r="P1815" s="26">
        <f>IF($G1815="","",ROUND($O1815*$N1815,0))</f>
        <v/>
      </c>
      <c r="Q1815" s="26">
        <f>IF($G1815="","",SUMIFS($P$4:$P$2503,$E$4:$E$2503,$E1815,$Z$4:$Z$2503,"正常"))</f>
        <v/>
      </c>
      <c r="R1815" s="26">
        <f>IF($G1815="","",SUMIFS(费用台账!$I$4:$I$503,费用台账!$C$4:$C$503,$E1815,费用台账!$J$4:$J$503,"是",费用台账!$K$4:$K$503,"正常"))</f>
        <v/>
      </c>
      <c r="S1815" s="28">
        <f>IF($G1815="","",COUNTIFS($E$4:$E$2503,$E1815,$Z$4:$Z$2503,"正常",$Y$4:$Y$2503,"待补价"))</f>
        <v/>
      </c>
      <c r="T1815" s="26">
        <f>IF($G1815="","",SUMIFS($P$4:$P$2503,$E$4:$E$2503,$E1815,$Z$4:$Z$2503,"正常",$A$4:$A$2503,"&lt;="&amp;$A1815))</f>
        <v/>
      </c>
      <c r="U1815" s="26">
        <f>IF($G1815="","",IF(OR($S1815&gt;0,$Q1815=0,$R1815=0,$Z1815&lt;&gt;"正常"),0,ROUND($T1815/$Q1815*$R1815,0)-ROUND(($T1815-$P1815)/$Q1815*$R1815,0)))</f>
        <v/>
      </c>
      <c r="V1815" s="26">
        <f>IF($G1815="","",ROUND($P1815+$U1815,0))</f>
        <v/>
      </c>
      <c r="W1815" s="26">
        <f>IF($G1815="","",IF(N($K1815)=0,0,ROUND($V1815/$K1815,2)))</f>
        <v/>
      </c>
      <c r="X1815" s="17" t="n"/>
      <c r="Y1815" s="17" t="n"/>
      <c r="Z1815" s="17" t="n"/>
      <c r="AA1815" s="17" t="n"/>
      <c r="AB1815" s="17" t="n"/>
      <c r="AC1815" s="24">
        <f>IF($G1815="","",IF($H1815="※编码不在物料档案里","※物料编码不在档案里",IF(N($K1815)&lt;=0,"※入库数量要大于 0",IF(AND($C1815&lt;&gt;"",$C1815&lt;=结账锁),"※日期早于已结账截止日，不能再录",IF(AND($L1815=0,$X1815="正常"),"※没填单价，价格状态请选「待补价」",IF(AND($S1815&gt;0,$R1815&gt;0),"△本批有 "&amp;$S1815&amp;" 行没单价，整批运费先挂账没摊",IF(AND($B1815&lt;&gt;"",COUNTIF($B$4:$B$2503,$B1815)&gt;1),"※入库单号重复","")))))))</f>
        <v/>
      </c>
    </row>
    <row r="1816">
      <c r="A1816" s="24">
        <f>IF($G1816="","",COUNTA($G$4:$G1816))</f>
        <v/>
      </c>
      <c r="B1816" s="17" t="n"/>
      <c r="C1816" s="30" t="n"/>
      <c r="D1816" s="17" t="n"/>
      <c r="E1816" s="17" t="n"/>
      <c r="F1816" s="17" t="n"/>
      <c r="G1816" s="17" t="n"/>
      <c r="H1816" s="24">
        <f>IF($G1816="","",IFERROR(VLOOKUP($G1816,物料档案!$A$4:$P$1203,3,0),"※编码不在物料档案里"))</f>
        <v/>
      </c>
      <c r="I1816" s="24">
        <f>IF($G1816="","",IFERROR(VLOOKUP($G1816,物料档案!$A$4:$P$1203,4,0),"※编码不在物料档案里"))</f>
        <v/>
      </c>
      <c r="J1816" s="24">
        <f>IF($G1816="","",IFERROR(VLOOKUP($G1816,物料档案!$A$4:$P$1203,5,0),"※编码不在物料档案里"))</f>
        <v/>
      </c>
      <c r="K1816" s="23" t="n"/>
      <c r="L1816" s="31" t="n"/>
      <c r="M1816" s="24">
        <f>IF($G1816="","",IF($D1816="A国内","CNY","TZS"))</f>
        <v/>
      </c>
      <c r="N1816" s="28">
        <f>IF($G1816="","",IF($D1816="A国内",汇率,1))</f>
        <v/>
      </c>
      <c r="O1816" s="25">
        <f>IF($G1816="","",ROUND(N($K1816)*N($L1816),2))</f>
        <v/>
      </c>
      <c r="P1816" s="26">
        <f>IF($G1816="","",ROUND($O1816*$N1816,0))</f>
        <v/>
      </c>
      <c r="Q1816" s="26">
        <f>IF($G1816="","",SUMIFS($P$4:$P$2503,$E$4:$E$2503,$E1816,$Z$4:$Z$2503,"正常"))</f>
        <v/>
      </c>
      <c r="R1816" s="26">
        <f>IF($G1816="","",SUMIFS(费用台账!$I$4:$I$503,费用台账!$C$4:$C$503,$E1816,费用台账!$J$4:$J$503,"是",费用台账!$K$4:$K$503,"正常"))</f>
        <v/>
      </c>
      <c r="S1816" s="28">
        <f>IF($G1816="","",COUNTIFS($E$4:$E$2503,$E1816,$Z$4:$Z$2503,"正常",$Y$4:$Y$2503,"待补价"))</f>
        <v/>
      </c>
      <c r="T1816" s="26">
        <f>IF($G1816="","",SUMIFS($P$4:$P$2503,$E$4:$E$2503,$E1816,$Z$4:$Z$2503,"正常",$A$4:$A$2503,"&lt;="&amp;$A1816))</f>
        <v/>
      </c>
      <c r="U1816" s="26">
        <f>IF($G1816="","",IF(OR($S1816&gt;0,$Q1816=0,$R1816=0,$Z1816&lt;&gt;"正常"),0,ROUND($T1816/$Q1816*$R1816,0)-ROUND(($T1816-$P1816)/$Q1816*$R1816,0)))</f>
        <v/>
      </c>
      <c r="V1816" s="26">
        <f>IF($G1816="","",ROUND($P1816+$U1816,0))</f>
        <v/>
      </c>
      <c r="W1816" s="26">
        <f>IF($G1816="","",IF(N($K1816)=0,0,ROUND($V1816/$K1816,2)))</f>
        <v/>
      </c>
      <c r="X1816" s="17" t="n"/>
      <c r="Y1816" s="17" t="n"/>
      <c r="Z1816" s="17" t="n"/>
      <c r="AA1816" s="17" t="n"/>
      <c r="AB1816" s="17" t="n"/>
      <c r="AC1816" s="24">
        <f>IF($G1816="","",IF($H1816="※编码不在物料档案里","※物料编码不在档案里",IF(N($K1816)&lt;=0,"※入库数量要大于 0",IF(AND($C1816&lt;&gt;"",$C1816&lt;=结账锁),"※日期早于已结账截止日，不能再录",IF(AND($L1816=0,$X1816="正常"),"※没填单价，价格状态请选「待补价」",IF(AND($S1816&gt;0,$R1816&gt;0),"△本批有 "&amp;$S1816&amp;" 行没单价，整批运费先挂账没摊",IF(AND($B1816&lt;&gt;"",COUNTIF($B$4:$B$2503,$B1816)&gt;1),"※入库单号重复","")))))))</f>
        <v/>
      </c>
    </row>
    <row r="1817">
      <c r="A1817" s="24">
        <f>IF($G1817="","",COUNTA($G$4:$G1817))</f>
        <v/>
      </c>
      <c r="B1817" s="17" t="n"/>
      <c r="C1817" s="30" t="n"/>
      <c r="D1817" s="17" t="n"/>
      <c r="E1817" s="17" t="n"/>
      <c r="F1817" s="17" t="n"/>
      <c r="G1817" s="17" t="n"/>
      <c r="H1817" s="24">
        <f>IF($G1817="","",IFERROR(VLOOKUP($G1817,物料档案!$A$4:$P$1203,3,0),"※编码不在物料档案里"))</f>
        <v/>
      </c>
      <c r="I1817" s="24">
        <f>IF($G1817="","",IFERROR(VLOOKUP($G1817,物料档案!$A$4:$P$1203,4,0),"※编码不在物料档案里"))</f>
        <v/>
      </c>
      <c r="J1817" s="24">
        <f>IF($G1817="","",IFERROR(VLOOKUP($G1817,物料档案!$A$4:$P$1203,5,0),"※编码不在物料档案里"))</f>
        <v/>
      </c>
      <c r="K1817" s="23" t="n"/>
      <c r="L1817" s="31" t="n"/>
      <c r="M1817" s="24">
        <f>IF($G1817="","",IF($D1817="A国内","CNY","TZS"))</f>
        <v/>
      </c>
      <c r="N1817" s="28">
        <f>IF($G1817="","",IF($D1817="A国内",汇率,1))</f>
        <v/>
      </c>
      <c r="O1817" s="25">
        <f>IF($G1817="","",ROUND(N($K1817)*N($L1817),2))</f>
        <v/>
      </c>
      <c r="P1817" s="26">
        <f>IF($G1817="","",ROUND($O1817*$N1817,0))</f>
        <v/>
      </c>
      <c r="Q1817" s="26">
        <f>IF($G1817="","",SUMIFS($P$4:$P$2503,$E$4:$E$2503,$E1817,$Z$4:$Z$2503,"正常"))</f>
        <v/>
      </c>
      <c r="R1817" s="26">
        <f>IF($G1817="","",SUMIFS(费用台账!$I$4:$I$503,费用台账!$C$4:$C$503,$E1817,费用台账!$J$4:$J$503,"是",费用台账!$K$4:$K$503,"正常"))</f>
        <v/>
      </c>
      <c r="S1817" s="28">
        <f>IF($G1817="","",COUNTIFS($E$4:$E$2503,$E1817,$Z$4:$Z$2503,"正常",$Y$4:$Y$2503,"待补价"))</f>
        <v/>
      </c>
      <c r="T1817" s="26">
        <f>IF($G1817="","",SUMIFS($P$4:$P$2503,$E$4:$E$2503,$E1817,$Z$4:$Z$2503,"正常",$A$4:$A$2503,"&lt;="&amp;$A1817))</f>
        <v/>
      </c>
      <c r="U1817" s="26">
        <f>IF($G1817="","",IF(OR($S1817&gt;0,$Q1817=0,$R1817=0,$Z1817&lt;&gt;"正常"),0,ROUND($T1817/$Q1817*$R1817,0)-ROUND(($T1817-$P1817)/$Q1817*$R1817,0)))</f>
        <v/>
      </c>
      <c r="V1817" s="26">
        <f>IF($G1817="","",ROUND($P1817+$U1817,0))</f>
        <v/>
      </c>
      <c r="W1817" s="26">
        <f>IF($G1817="","",IF(N($K1817)=0,0,ROUND($V1817/$K1817,2)))</f>
        <v/>
      </c>
      <c r="X1817" s="17" t="n"/>
      <c r="Y1817" s="17" t="n"/>
      <c r="Z1817" s="17" t="n"/>
      <c r="AA1817" s="17" t="n"/>
      <c r="AB1817" s="17" t="n"/>
      <c r="AC1817" s="24">
        <f>IF($G1817="","",IF($H1817="※编码不在物料档案里","※物料编码不在档案里",IF(N($K1817)&lt;=0,"※入库数量要大于 0",IF(AND($C1817&lt;&gt;"",$C1817&lt;=结账锁),"※日期早于已结账截止日，不能再录",IF(AND($L1817=0,$X1817="正常"),"※没填单价，价格状态请选「待补价」",IF(AND($S1817&gt;0,$R1817&gt;0),"△本批有 "&amp;$S1817&amp;" 行没单价，整批运费先挂账没摊",IF(AND($B1817&lt;&gt;"",COUNTIF($B$4:$B$2503,$B1817)&gt;1),"※入库单号重复","")))))))</f>
        <v/>
      </c>
    </row>
    <row r="1818">
      <c r="A1818" s="24">
        <f>IF($G1818="","",COUNTA($G$4:$G1818))</f>
        <v/>
      </c>
      <c r="B1818" s="17" t="n"/>
      <c r="C1818" s="30" t="n"/>
      <c r="D1818" s="17" t="n"/>
      <c r="E1818" s="17" t="n"/>
      <c r="F1818" s="17" t="n"/>
      <c r="G1818" s="17" t="n"/>
      <c r="H1818" s="24">
        <f>IF($G1818="","",IFERROR(VLOOKUP($G1818,物料档案!$A$4:$P$1203,3,0),"※编码不在物料档案里"))</f>
        <v/>
      </c>
      <c r="I1818" s="24">
        <f>IF($G1818="","",IFERROR(VLOOKUP($G1818,物料档案!$A$4:$P$1203,4,0),"※编码不在物料档案里"))</f>
        <v/>
      </c>
      <c r="J1818" s="24">
        <f>IF($G1818="","",IFERROR(VLOOKUP($G1818,物料档案!$A$4:$P$1203,5,0),"※编码不在物料档案里"))</f>
        <v/>
      </c>
      <c r="K1818" s="23" t="n"/>
      <c r="L1818" s="31" t="n"/>
      <c r="M1818" s="24">
        <f>IF($G1818="","",IF($D1818="A国内","CNY","TZS"))</f>
        <v/>
      </c>
      <c r="N1818" s="28">
        <f>IF($G1818="","",IF($D1818="A国内",汇率,1))</f>
        <v/>
      </c>
      <c r="O1818" s="25">
        <f>IF($G1818="","",ROUND(N($K1818)*N($L1818),2))</f>
        <v/>
      </c>
      <c r="P1818" s="26">
        <f>IF($G1818="","",ROUND($O1818*$N1818,0))</f>
        <v/>
      </c>
      <c r="Q1818" s="26">
        <f>IF($G1818="","",SUMIFS($P$4:$P$2503,$E$4:$E$2503,$E1818,$Z$4:$Z$2503,"正常"))</f>
        <v/>
      </c>
      <c r="R1818" s="26">
        <f>IF($G1818="","",SUMIFS(费用台账!$I$4:$I$503,费用台账!$C$4:$C$503,$E1818,费用台账!$J$4:$J$503,"是",费用台账!$K$4:$K$503,"正常"))</f>
        <v/>
      </c>
      <c r="S1818" s="28">
        <f>IF($G1818="","",COUNTIFS($E$4:$E$2503,$E1818,$Z$4:$Z$2503,"正常",$Y$4:$Y$2503,"待补价"))</f>
        <v/>
      </c>
      <c r="T1818" s="26">
        <f>IF($G1818="","",SUMIFS($P$4:$P$2503,$E$4:$E$2503,$E1818,$Z$4:$Z$2503,"正常",$A$4:$A$2503,"&lt;="&amp;$A1818))</f>
        <v/>
      </c>
      <c r="U1818" s="26">
        <f>IF($G1818="","",IF(OR($S1818&gt;0,$Q1818=0,$R1818=0,$Z1818&lt;&gt;"正常"),0,ROUND($T1818/$Q1818*$R1818,0)-ROUND(($T1818-$P1818)/$Q1818*$R1818,0)))</f>
        <v/>
      </c>
      <c r="V1818" s="26">
        <f>IF($G1818="","",ROUND($P1818+$U1818,0))</f>
        <v/>
      </c>
      <c r="W1818" s="26">
        <f>IF($G1818="","",IF(N($K1818)=0,0,ROUND($V1818/$K1818,2)))</f>
        <v/>
      </c>
      <c r="X1818" s="17" t="n"/>
      <c r="Y1818" s="17" t="n"/>
      <c r="Z1818" s="17" t="n"/>
      <c r="AA1818" s="17" t="n"/>
      <c r="AB1818" s="17" t="n"/>
      <c r="AC1818" s="24">
        <f>IF($G1818="","",IF($H1818="※编码不在物料档案里","※物料编码不在档案里",IF(N($K1818)&lt;=0,"※入库数量要大于 0",IF(AND($C1818&lt;&gt;"",$C1818&lt;=结账锁),"※日期早于已结账截止日，不能再录",IF(AND($L1818=0,$X1818="正常"),"※没填单价，价格状态请选「待补价」",IF(AND($S1818&gt;0,$R1818&gt;0),"△本批有 "&amp;$S1818&amp;" 行没单价，整批运费先挂账没摊",IF(AND($B1818&lt;&gt;"",COUNTIF($B$4:$B$2503,$B1818)&gt;1),"※入库单号重复","")))))))</f>
        <v/>
      </c>
    </row>
    <row r="1819">
      <c r="A1819" s="24">
        <f>IF($G1819="","",COUNTA($G$4:$G1819))</f>
        <v/>
      </c>
      <c r="B1819" s="17" t="n"/>
      <c r="C1819" s="30" t="n"/>
      <c r="D1819" s="17" t="n"/>
      <c r="E1819" s="17" t="n"/>
      <c r="F1819" s="17" t="n"/>
      <c r="G1819" s="17" t="n"/>
      <c r="H1819" s="24">
        <f>IF($G1819="","",IFERROR(VLOOKUP($G1819,物料档案!$A$4:$P$1203,3,0),"※编码不在物料档案里"))</f>
        <v/>
      </c>
      <c r="I1819" s="24">
        <f>IF($G1819="","",IFERROR(VLOOKUP($G1819,物料档案!$A$4:$P$1203,4,0),"※编码不在物料档案里"))</f>
        <v/>
      </c>
      <c r="J1819" s="24">
        <f>IF($G1819="","",IFERROR(VLOOKUP($G1819,物料档案!$A$4:$P$1203,5,0),"※编码不在物料档案里"))</f>
        <v/>
      </c>
      <c r="K1819" s="23" t="n"/>
      <c r="L1819" s="31" t="n"/>
      <c r="M1819" s="24">
        <f>IF($G1819="","",IF($D1819="A国内","CNY","TZS"))</f>
        <v/>
      </c>
      <c r="N1819" s="28">
        <f>IF($G1819="","",IF($D1819="A国内",汇率,1))</f>
        <v/>
      </c>
      <c r="O1819" s="25">
        <f>IF($G1819="","",ROUND(N($K1819)*N($L1819),2))</f>
        <v/>
      </c>
      <c r="P1819" s="26">
        <f>IF($G1819="","",ROUND($O1819*$N1819,0))</f>
        <v/>
      </c>
      <c r="Q1819" s="26">
        <f>IF($G1819="","",SUMIFS($P$4:$P$2503,$E$4:$E$2503,$E1819,$Z$4:$Z$2503,"正常"))</f>
        <v/>
      </c>
      <c r="R1819" s="26">
        <f>IF($G1819="","",SUMIFS(费用台账!$I$4:$I$503,费用台账!$C$4:$C$503,$E1819,费用台账!$J$4:$J$503,"是",费用台账!$K$4:$K$503,"正常"))</f>
        <v/>
      </c>
      <c r="S1819" s="28">
        <f>IF($G1819="","",COUNTIFS($E$4:$E$2503,$E1819,$Z$4:$Z$2503,"正常",$Y$4:$Y$2503,"待补价"))</f>
        <v/>
      </c>
      <c r="T1819" s="26">
        <f>IF($G1819="","",SUMIFS($P$4:$P$2503,$E$4:$E$2503,$E1819,$Z$4:$Z$2503,"正常",$A$4:$A$2503,"&lt;="&amp;$A1819))</f>
        <v/>
      </c>
      <c r="U1819" s="26">
        <f>IF($G1819="","",IF(OR($S1819&gt;0,$Q1819=0,$R1819=0,$Z1819&lt;&gt;"正常"),0,ROUND($T1819/$Q1819*$R1819,0)-ROUND(($T1819-$P1819)/$Q1819*$R1819,0)))</f>
        <v/>
      </c>
      <c r="V1819" s="26">
        <f>IF($G1819="","",ROUND($P1819+$U1819,0))</f>
        <v/>
      </c>
      <c r="W1819" s="26">
        <f>IF($G1819="","",IF(N($K1819)=0,0,ROUND($V1819/$K1819,2)))</f>
        <v/>
      </c>
      <c r="X1819" s="17" t="n"/>
      <c r="Y1819" s="17" t="n"/>
      <c r="Z1819" s="17" t="n"/>
      <c r="AA1819" s="17" t="n"/>
      <c r="AB1819" s="17" t="n"/>
      <c r="AC1819" s="24">
        <f>IF($G1819="","",IF($H1819="※编码不在物料档案里","※物料编码不在档案里",IF(N($K1819)&lt;=0,"※入库数量要大于 0",IF(AND($C1819&lt;&gt;"",$C1819&lt;=结账锁),"※日期早于已结账截止日，不能再录",IF(AND($L1819=0,$X1819="正常"),"※没填单价，价格状态请选「待补价」",IF(AND($S1819&gt;0,$R1819&gt;0),"△本批有 "&amp;$S1819&amp;" 行没单价，整批运费先挂账没摊",IF(AND($B1819&lt;&gt;"",COUNTIF($B$4:$B$2503,$B1819)&gt;1),"※入库单号重复","")))))))</f>
        <v/>
      </c>
    </row>
    <row r="1820">
      <c r="A1820" s="24">
        <f>IF($G1820="","",COUNTA($G$4:$G1820))</f>
        <v/>
      </c>
      <c r="B1820" s="17" t="n"/>
      <c r="C1820" s="30" t="n"/>
      <c r="D1820" s="17" t="n"/>
      <c r="E1820" s="17" t="n"/>
      <c r="F1820" s="17" t="n"/>
      <c r="G1820" s="17" t="n"/>
      <c r="H1820" s="24">
        <f>IF($G1820="","",IFERROR(VLOOKUP($G1820,物料档案!$A$4:$P$1203,3,0),"※编码不在物料档案里"))</f>
        <v/>
      </c>
      <c r="I1820" s="24">
        <f>IF($G1820="","",IFERROR(VLOOKUP($G1820,物料档案!$A$4:$P$1203,4,0),"※编码不在物料档案里"))</f>
        <v/>
      </c>
      <c r="J1820" s="24">
        <f>IF($G1820="","",IFERROR(VLOOKUP($G1820,物料档案!$A$4:$P$1203,5,0),"※编码不在物料档案里"))</f>
        <v/>
      </c>
      <c r="K1820" s="23" t="n"/>
      <c r="L1820" s="31" t="n"/>
      <c r="M1820" s="24">
        <f>IF($G1820="","",IF($D1820="A国内","CNY","TZS"))</f>
        <v/>
      </c>
      <c r="N1820" s="28">
        <f>IF($G1820="","",IF($D1820="A国内",汇率,1))</f>
        <v/>
      </c>
      <c r="O1820" s="25">
        <f>IF($G1820="","",ROUND(N($K1820)*N($L1820),2))</f>
        <v/>
      </c>
      <c r="P1820" s="26">
        <f>IF($G1820="","",ROUND($O1820*$N1820,0))</f>
        <v/>
      </c>
      <c r="Q1820" s="26">
        <f>IF($G1820="","",SUMIFS($P$4:$P$2503,$E$4:$E$2503,$E1820,$Z$4:$Z$2503,"正常"))</f>
        <v/>
      </c>
      <c r="R1820" s="26">
        <f>IF($G1820="","",SUMIFS(费用台账!$I$4:$I$503,费用台账!$C$4:$C$503,$E1820,费用台账!$J$4:$J$503,"是",费用台账!$K$4:$K$503,"正常"))</f>
        <v/>
      </c>
      <c r="S1820" s="28">
        <f>IF($G1820="","",COUNTIFS($E$4:$E$2503,$E1820,$Z$4:$Z$2503,"正常",$Y$4:$Y$2503,"待补价"))</f>
        <v/>
      </c>
      <c r="T1820" s="26">
        <f>IF($G1820="","",SUMIFS($P$4:$P$2503,$E$4:$E$2503,$E1820,$Z$4:$Z$2503,"正常",$A$4:$A$2503,"&lt;="&amp;$A1820))</f>
        <v/>
      </c>
      <c r="U1820" s="26">
        <f>IF($G1820="","",IF(OR($S1820&gt;0,$Q1820=0,$R1820=0,$Z1820&lt;&gt;"正常"),0,ROUND($T1820/$Q1820*$R1820,0)-ROUND(($T1820-$P1820)/$Q1820*$R1820,0)))</f>
        <v/>
      </c>
      <c r="V1820" s="26">
        <f>IF($G1820="","",ROUND($P1820+$U1820,0))</f>
        <v/>
      </c>
      <c r="W1820" s="26">
        <f>IF($G1820="","",IF(N($K1820)=0,0,ROUND($V1820/$K1820,2)))</f>
        <v/>
      </c>
      <c r="X1820" s="17" t="n"/>
      <c r="Y1820" s="17" t="n"/>
      <c r="Z1820" s="17" t="n"/>
      <c r="AA1820" s="17" t="n"/>
      <c r="AB1820" s="17" t="n"/>
      <c r="AC1820" s="24">
        <f>IF($G1820="","",IF($H1820="※编码不在物料档案里","※物料编码不在档案里",IF(N($K1820)&lt;=0,"※入库数量要大于 0",IF(AND($C1820&lt;&gt;"",$C1820&lt;=结账锁),"※日期早于已结账截止日，不能再录",IF(AND($L1820=0,$X1820="正常"),"※没填单价，价格状态请选「待补价」",IF(AND($S1820&gt;0,$R1820&gt;0),"△本批有 "&amp;$S1820&amp;" 行没单价，整批运费先挂账没摊",IF(AND($B1820&lt;&gt;"",COUNTIF($B$4:$B$2503,$B1820)&gt;1),"※入库单号重复","")))))))</f>
        <v/>
      </c>
    </row>
    <row r="1821">
      <c r="A1821" s="24">
        <f>IF($G1821="","",COUNTA($G$4:$G1821))</f>
        <v/>
      </c>
      <c r="B1821" s="17" t="n"/>
      <c r="C1821" s="30" t="n"/>
      <c r="D1821" s="17" t="n"/>
      <c r="E1821" s="17" t="n"/>
      <c r="F1821" s="17" t="n"/>
      <c r="G1821" s="17" t="n"/>
      <c r="H1821" s="24">
        <f>IF($G1821="","",IFERROR(VLOOKUP($G1821,物料档案!$A$4:$P$1203,3,0),"※编码不在物料档案里"))</f>
        <v/>
      </c>
      <c r="I1821" s="24">
        <f>IF($G1821="","",IFERROR(VLOOKUP($G1821,物料档案!$A$4:$P$1203,4,0),"※编码不在物料档案里"))</f>
        <v/>
      </c>
      <c r="J1821" s="24">
        <f>IF($G1821="","",IFERROR(VLOOKUP($G1821,物料档案!$A$4:$P$1203,5,0),"※编码不在物料档案里"))</f>
        <v/>
      </c>
      <c r="K1821" s="23" t="n"/>
      <c r="L1821" s="31" t="n"/>
      <c r="M1821" s="24">
        <f>IF($G1821="","",IF($D1821="A国内","CNY","TZS"))</f>
        <v/>
      </c>
      <c r="N1821" s="28">
        <f>IF($G1821="","",IF($D1821="A国内",汇率,1))</f>
        <v/>
      </c>
      <c r="O1821" s="25">
        <f>IF($G1821="","",ROUND(N($K1821)*N($L1821),2))</f>
        <v/>
      </c>
      <c r="P1821" s="26">
        <f>IF($G1821="","",ROUND($O1821*$N1821,0))</f>
        <v/>
      </c>
      <c r="Q1821" s="26">
        <f>IF($G1821="","",SUMIFS($P$4:$P$2503,$E$4:$E$2503,$E1821,$Z$4:$Z$2503,"正常"))</f>
        <v/>
      </c>
      <c r="R1821" s="26">
        <f>IF($G1821="","",SUMIFS(费用台账!$I$4:$I$503,费用台账!$C$4:$C$503,$E1821,费用台账!$J$4:$J$503,"是",费用台账!$K$4:$K$503,"正常"))</f>
        <v/>
      </c>
      <c r="S1821" s="28">
        <f>IF($G1821="","",COUNTIFS($E$4:$E$2503,$E1821,$Z$4:$Z$2503,"正常",$Y$4:$Y$2503,"待补价"))</f>
        <v/>
      </c>
      <c r="T1821" s="26">
        <f>IF($G1821="","",SUMIFS($P$4:$P$2503,$E$4:$E$2503,$E1821,$Z$4:$Z$2503,"正常",$A$4:$A$2503,"&lt;="&amp;$A1821))</f>
        <v/>
      </c>
      <c r="U1821" s="26">
        <f>IF($G1821="","",IF(OR($S1821&gt;0,$Q1821=0,$R1821=0,$Z1821&lt;&gt;"正常"),0,ROUND($T1821/$Q1821*$R1821,0)-ROUND(($T1821-$P1821)/$Q1821*$R1821,0)))</f>
        <v/>
      </c>
      <c r="V1821" s="26">
        <f>IF($G1821="","",ROUND($P1821+$U1821,0))</f>
        <v/>
      </c>
      <c r="W1821" s="26">
        <f>IF($G1821="","",IF(N($K1821)=0,0,ROUND($V1821/$K1821,2)))</f>
        <v/>
      </c>
      <c r="X1821" s="17" t="n"/>
      <c r="Y1821" s="17" t="n"/>
      <c r="Z1821" s="17" t="n"/>
      <c r="AA1821" s="17" t="n"/>
      <c r="AB1821" s="17" t="n"/>
      <c r="AC1821" s="24">
        <f>IF($G1821="","",IF($H1821="※编码不在物料档案里","※物料编码不在档案里",IF(N($K1821)&lt;=0,"※入库数量要大于 0",IF(AND($C1821&lt;&gt;"",$C1821&lt;=结账锁),"※日期早于已结账截止日，不能再录",IF(AND($L1821=0,$X1821="正常"),"※没填单价，价格状态请选「待补价」",IF(AND($S1821&gt;0,$R1821&gt;0),"△本批有 "&amp;$S1821&amp;" 行没单价，整批运费先挂账没摊",IF(AND($B1821&lt;&gt;"",COUNTIF($B$4:$B$2503,$B1821)&gt;1),"※入库单号重复","")))))))</f>
        <v/>
      </c>
    </row>
    <row r="1822">
      <c r="A1822" s="24">
        <f>IF($G1822="","",COUNTA($G$4:$G1822))</f>
        <v/>
      </c>
      <c r="B1822" s="17" t="n"/>
      <c r="C1822" s="30" t="n"/>
      <c r="D1822" s="17" t="n"/>
      <c r="E1822" s="17" t="n"/>
      <c r="F1822" s="17" t="n"/>
      <c r="G1822" s="17" t="n"/>
      <c r="H1822" s="24">
        <f>IF($G1822="","",IFERROR(VLOOKUP($G1822,物料档案!$A$4:$P$1203,3,0),"※编码不在物料档案里"))</f>
        <v/>
      </c>
      <c r="I1822" s="24">
        <f>IF($G1822="","",IFERROR(VLOOKUP($G1822,物料档案!$A$4:$P$1203,4,0),"※编码不在物料档案里"))</f>
        <v/>
      </c>
      <c r="J1822" s="24">
        <f>IF($G1822="","",IFERROR(VLOOKUP($G1822,物料档案!$A$4:$P$1203,5,0),"※编码不在物料档案里"))</f>
        <v/>
      </c>
      <c r="K1822" s="23" t="n"/>
      <c r="L1822" s="31" t="n"/>
      <c r="M1822" s="24">
        <f>IF($G1822="","",IF($D1822="A国内","CNY","TZS"))</f>
        <v/>
      </c>
      <c r="N1822" s="28">
        <f>IF($G1822="","",IF($D1822="A国内",汇率,1))</f>
        <v/>
      </c>
      <c r="O1822" s="25">
        <f>IF($G1822="","",ROUND(N($K1822)*N($L1822),2))</f>
        <v/>
      </c>
      <c r="P1822" s="26">
        <f>IF($G1822="","",ROUND($O1822*$N1822,0))</f>
        <v/>
      </c>
      <c r="Q1822" s="26">
        <f>IF($G1822="","",SUMIFS($P$4:$P$2503,$E$4:$E$2503,$E1822,$Z$4:$Z$2503,"正常"))</f>
        <v/>
      </c>
      <c r="R1822" s="26">
        <f>IF($G1822="","",SUMIFS(费用台账!$I$4:$I$503,费用台账!$C$4:$C$503,$E1822,费用台账!$J$4:$J$503,"是",费用台账!$K$4:$K$503,"正常"))</f>
        <v/>
      </c>
      <c r="S1822" s="28">
        <f>IF($G1822="","",COUNTIFS($E$4:$E$2503,$E1822,$Z$4:$Z$2503,"正常",$Y$4:$Y$2503,"待补价"))</f>
        <v/>
      </c>
      <c r="T1822" s="26">
        <f>IF($G1822="","",SUMIFS($P$4:$P$2503,$E$4:$E$2503,$E1822,$Z$4:$Z$2503,"正常",$A$4:$A$2503,"&lt;="&amp;$A1822))</f>
        <v/>
      </c>
      <c r="U1822" s="26">
        <f>IF($G1822="","",IF(OR($S1822&gt;0,$Q1822=0,$R1822=0,$Z1822&lt;&gt;"正常"),0,ROUND($T1822/$Q1822*$R1822,0)-ROUND(($T1822-$P1822)/$Q1822*$R1822,0)))</f>
        <v/>
      </c>
      <c r="V1822" s="26">
        <f>IF($G1822="","",ROUND($P1822+$U1822,0))</f>
        <v/>
      </c>
      <c r="W1822" s="26">
        <f>IF($G1822="","",IF(N($K1822)=0,0,ROUND($V1822/$K1822,2)))</f>
        <v/>
      </c>
      <c r="X1822" s="17" t="n"/>
      <c r="Y1822" s="17" t="n"/>
      <c r="Z1822" s="17" t="n"/>
      <c r="AA1822" s="17" t="n"/>
      <c r="AB1822" s="17" t="n"/>
      <c r="AC1822" s="24">
        <f>IF($G1822="","",IF($H1822="※编码不在物料档案里","※物料编码不在档案里",IF(N($K1822)&lt;=0,"※入库数量要大于 0",IF(AND($C1822&lt;&gt;"",$C1822&lt;=结账锁),"※日期早于已结账截止日，不能再录",IF(AND($L1822=0,$X1822="正常"),"※没填单价，价格状态请选「待补价」",IF(AND($S1822&gt;0,$R1822&gt;0),"△本批有 "&amp;$S1822&amp;" 行没单价，整批运费先挂账没摊",IF(AND($B1822&lt;&gt;"",COUNTIF($B$4:$B$2503,$B1822)&gt;1),"※入库单号重复","")))))))</f>
        <v/>
      </c>
    </row>
    <row r="1823">
      <c r="A1823" s="24">
        <f>IF($G1823="","",COUNTA($G$4:$G1823))</f>
        <v/>
      </c>
      <c r="B1823" s="17" t="n"/>
      <c r="C1823" s="30" t="n"/>
      <c r="D1823" s="17" t="n"/>
      <c r="E1823" s="17" t="n"/>
      <c r="F1823" s="17" t="n"/>
      <c r="G1823" s="17" t="n"/>
      <c r="H1823" s="24">
        <f>IF($G1823="","",IFERROR(VLOOKUP($G1823,物料档案!$A$4:$P$1203,3,0),"※编码不在物料档案里"))</f>
        <v/>
      </c>
      <c r="I1823" s="24">
        <f>IF($G1823="","",IFERROR(VLOOKUP($G1823,物料档案!$A$4:$P$1203,4,0),"※编码不在物料档案里"))</f>
        <v/>
      </c>
      <c r="J1823" s="24">
        <f>IF($G1823="","",IFERROR(VLOOKUP($G1823,物料档案!$A$4:$P$1203,5,0),"※编码不在物料档案里"))</f>
        <v/>
      </c>
      <c r="K1823" s="23" t="n"/>
      <c r="L1823" s="31" t="n"/>
      <c r="M1823" s="24">
        <f>IF($G1823="","",IF($D1823="A国内","CNY","TZS"))</f>
        <v/>
      </c>
      <c r="N1823" s="28">
        <f>IF($G1823="","",IF($D1823="A国内",汇率,1))</f>
        <v/>
      </c>
      <c r="O1823" s="25">
        <f>IF($G1823="","",ROUND(N($K1823)*N($L1823),2))</f>
        <v/>
      </c>
      <c r="P1823" s="26">
        <f>IF($G1823="","",ROUND($O1823*$N1823,0))</f>
        <v/>
      </c>
      <c r="Q1823" s="26">
        <f>IF($G1823="","",SUMIFS($P$4:$P$2503,$E$4:$E$2503,$E1823,$Z$4:$Z$2503,"正常"))</f>
        <v/>
      </c>
      <c r="R1823" s="26">
        <f>IF($G1823="","",SUMIFS(费用台账!$I$4:$I$503,费用台账!$C$4:$C$503,$E1823,费用台账!$J$4:$J$503,"是",费用台账!$K$4:$K$503,"正常"))</f>
        <v/>
      </c>
      <c r="S1823" s="28">
        <f>IF($G1823="","",COUNTIFS($E$4:$E$2503,$E1823,$Z$4:$Z$2503,"正常",$Y$4:$Y$2503,"待补价"))</f>
        <v/>
      </c>
      <c r="T1823" s="26">
        <f>IF($G1823="","",SUMIFS($P$4:$P$2503,$E$4:$E$2503,$E1823,$Z$4:$Z$2503,"正常",$A$4:$A$2503,"&lt;="&amp;$A1823))</f>
        <v/>
      </c>
      <c r="U1823" s="26">
        <f>IF($G1823="","",IF(OR($S1823&gt;0,$Q1823=0,$R1823=0,$Z1823&lt;&gt;"正常"),0,ROUND($T1823/$Q1823*$R1823,0)-ROUND(($T1823-$P1823)/$Q1823*$R1823,0)))</f>
        <v/>
      </c>
      <c r="V1823" s="26">
        <f>IF($G1823="","",ROUND($P1823+$U1823,0))</f>
        <v/>
      </c>
      <c r="W1823" s="26">
        <f>IF($G1823="","",IF(N($K1823)=0,0,ROUND($V1823/$K1823,2)))</f>
        <v/>
      </c>
      <c r="X1823" s="17" t="n"/>
      <c r="Y1823" s="17" t="n"/>
      <c r="Z1823" s="17" t="n"/>
      <c r="AA1823" s="17" t="n"/>
      <c r="AB1823" s="17" t="n"/>
      <c r="AC1823" s="24">
        <f>IF($G1823="","",IF($H1823="※编码不在物料档案里","※物料编码不在档案里",IF(N($K1823)&lt;=0,"※入库数量要大于 0",IF(AND($C1823&lt;&gt;"",$C1823&lt;=结账锁),"※日期早于已结账截止日，不能再录",IF(AND($L1823=0,$X1823="正常"),"※没填单价，价格状态请选「待补价」",IF(AND($S1823&gt;0,$R1823&gt;0),"△本批有 "&amp;$S1823&amp;" 行没单价，整批运费先挂账没摊",IF(AND($B1823&lt;&gt;"",COUNTIF($B$4:$B$2503,$B1823)&gt;1),"※入库单号重复","")))))))</f>
        <v/>
      </c>
    </row>
    <row r="1824">
      <c r="A1824" s="24">
        <f>IF($G1824="","",COUNTA($G$4:$G1824))</f>
        <v/>
      </c>
      <c r="B1824" s="17" t="n"/>
      <c r="C1824" s="30" t="n"/>
      <c r="D1824" s="17" t="n"/>
      <c r="E1824" s="17" t="n"/>
      <c r="F1824" s="17" t="n"/>
      <c r="G1824" s="17" t="n"/>
      <c r="H1824" s="24">
        <f>IF($G1824="","",IFERROR(VLOOKUP($G1824,物料档案!$A$4:$P$1203,3,0),"※编码不在物料档案里"))</f>
        <v/>
      </c>
      <c r="I1824" s="24">
        <f>IF($G1824="","",IFERROR(VLOOKUP($G1824,物料档案!$A$4:$P$1203,4,0),"※编码不在物料档案里"))</f>
        <v/>
      </c>
      <c r="J1824" s="24">
        <f>IF($G1824="","",IFERROR(VLOOKUP($G1824,物料档案!$A$4:$P$1203,5,0),"※编码不在物料档案里"))</f>
        <v/>
      </c>
      <c r="K1824" s="23" t="n"/>
      <c r="L1824" s="31" t="n"/>
      <c r="M1824" s="24">
        <f>IF($G1824="","",IF($D1824="A国内","CNY","TZS"))</f>
        <v/>
      </c>
      <c r="N1824" s="28">
        <f>IF($G1824="","",IF($D1824="A国内",汇率,1))</f>
        <v/>
      </c>
      <c r="O1824" s="25">
        <f>IF($G1824="","",ROUND(N($K1824)*N($L1824),2))</f>
        <v/>
      </c>
      <c r="P1824" s="26">
        <f>IF($G1824="","",ROUND($O1824*$N1824,0))</f>
        <v/>
      </c>
      <c r="Q1824" s="26">
        <f>IF($G1824="","",SUMIFS($P$4:$P$2503,$E$4:$E$2503,$E1824,$Z$4:$Z$2503,"正常"))</f>
        <v/>
      </c>
      <c r="R1824" s="26">
        <f>IF($G1824="","",SUMIFS(费用台账!$I$4:$I$503,费用台账!$C$4:$C$503,$E1824,费用台账!$J$4:$J$503,"是",费用台账!$K$4:$K$503,"正常"))</f>
        <v/>
      </c>
      <c r="S1824" s="28">
        <f>IF($G1824="","",COUNTIFS($E$4:$E$2503,$E1824,$Z$4:$Z$2503,"正常",$Y$4:$Y$2503,"待补价"))</f>
        <v/>
      </c>
      <c r="T1824" s="26">
        <f>IF($G1824="","",SUMIFS($P$4:$P$2503,$E$4:$E$2503,$E1824,$Z$4:$Z$2503,"正常",$A$4:$A$2503,"&lt;="&amp;$A1824))</f>
        <v/>
      </c>
      <c r="U1824" s="26">
        <f>IF($G1824="","",IF(OR($S1824&gt;0,$Q1824=0,$R1824=0,$Z1824&lt;&gt;"正常"),0,ROUND($T1824/$Q1824*$R1824,0)-ROUND(($T1824-$P1824)/$Q1824*$R1824,0)))</f>
        <v/>
      </c>
      <c r="V1824" s="26">
        <f>IF($G1824="","",ROUND($P1824+$U1824,0))</f>
        <v/>
      </c>
      <c r="W1824" s="26">
        <f>IF($G1824="","",IF(N($K1824)=0,0,ROUND($V1824/$K1824,2)))</f>
        <v/>
      </c>
      <c r="X1824" s="17" t="n"/>
      <c r="Y1824" s="17" t="n"/>
      <c r="Z1824" s="17" t="n"/>
      <c r="AA1824" s="17" t="n"/>
      <c r="AB1824" s="17" t="n"/>
      <c r="AC1824" s="24">
        <f>IF($G1824="","",IF($H1824="※编码不在物料档案里","※物料编码不在档案里",IF(N($K1824)&lt;=0,"※入库数量要大于 0",IF(AND($C1824&lt;&gt;"",$C1824&lt;=结账锁),"※日期早于已结账截止日，不能再录",IF(AND($L1824=0,$X1824="正常"),"※没填单价，价格状态请选「待补价」",IF(AND($S1824&gt;0,$R1824&gt;0),"△本批有 "&amp;$S1824&amp;" 行没单价，整批运费先挂账没摊",IF(AND($B1824&lt;&gt;"",COUNTIF($B$4:$B$2503,$B1824)&gt;1),"※入库单号重复","")))))))</f>
        <v/>
      </c>
    </row>
    <row r="1825">
      <c r="A1825" s="24">
        <f>IF($G1825="","",COUNTA($G$4:$G1825))</f>
        <v/>
      </c>
      <c r="B1825" s="17" t="n"/>
      <c r="C1825" s="30" t="n"/>
      <c r="D1825" s="17" t="n"/>
      <c r="E1825" s="17" t="n"/>
      <c r="F1825" s="17" t="n"/>
      <c r="G1825" s="17" t="n"/>
      <c r="H1825" s="24">
        <f>IF($G1825="","",IFERROR(VLOOKUP($G1825,物料档案!$A$4:$P$1203,3,0),"※编码不在物料档案里"))</f>
        <v/>
      </c>
      <c r="I1825" s="24">
        <f>IF($G1825="","",IFERROR(VLOOKUP($G1825,物料档案!$A$4:$P$1203,4,0),"※编码不在物料档案里"))</f>
        <v/>
      </c>
      <c r="J1825" s="24">
        <f>IF($G1825="","",IFERROR(VLOOKUP($G1825,物料档案!$A$4:$P$1203,5,0),"※编码不在物料档案里"))</f>
        <v/>
      </c>
      <c r="K1825" s="23" t="n"/>
      <c r="L1825" s="31" t="n"/>
      <c r="M1825" s="24">
        <f>IF($G1825="","",IF($D1825="A国内","CNY","TZS"))</f>
        <v/>
      </c>
      <c r="N1825" s="28">
        <f>IF($G1825="","",IF($D1825="A国内",汇率,1))</f>
        <v/>
      </c>
      <c r="O1825" s="25">
        <f>IF($G1825="","",ROUND(N($K1825)*N($L1825),2))</f>
        <v/>
      </c>
      <c r="P1825" s="26">
        <f>IF($G1825="","",ROUND($O1825*$N1825,0))</f>
        <v/>
      </c>
      <c r="Q1825" s="26">
        <f>IF($G1825="","",SUMIFS($P$4:$P$2503,$E$4:$E$2503,$E1825,$Z$4:$Z$2503,"正常"))</f>
        <v/>
      </c>
      <c r="R1825" s="26">
        <f>IF($G1825="","",SUMIFS(费用台账!$I$4:$I$503,费用台账!$C$4:$C$503,$E1825,费用台账!$J$4:$J$503,"是",费用台账!$K$4:$K$503,"正常"))</f>
        <v/>
      </c>
      <c r="S1825" s="28">
        <f>IF($G1825="","",COUNTIFS($E$4:$E$2503,$E1825,$Z$4:$Z$2503,"正常",$Y$4:$Y$2503,"待补价"))</f>
        <v/>
      </c>
      <c r="T1825" s="26">
        <f>IF($G1825="","",SUMIFS($P$4:$P$2503,$E$4:$E$2503,$E1825,$Z$4:$Z$2503,"正常",$A$4:$A$2503,"&lt;="&amp;$A1825))</f>
        <v/>
      </c>
      <c r="U1825" s="26">
        <f>IF($G1825="","",IF(OR($S1825&gt;0,$Q1825=0,$R1825=0,$Z1825&lt;&gt;"正常"),0,ROUND($T1825/$Q1825*$R1825,0)-ROUND(($T1825-$P1825)/$Q1825*$R1825,0)))</f>
        <v/>
      </c>
      <c r="V1825" s="26">
        <f>IF($G1825="","",ROUND($P1825+$U1825,0))</f>
        <v/>
      </c>
      <c r="W1825" s="26">
        <f>IF($G1825="","",IF(N($K1825)=0,0,ROUND($V1825/$K1825,2)))</f>
        <v/>
      </c>
      <c r="X1825" s="17" t="n"/>
      <c r="Y1825" s="17" t="n"/>
      <c r="Z1825" s="17" t="n"/>
      <c r="AA1825" s="17" t="n"/>
      <c r="AB1825" s="17" t="n"/>
      <c r="AC1825" s="24">
        <f>IF($G1825="","",IF($H1825="※编码不在物料档案里","※物料编码不在档案里",IF(N($K1825)&lt;=0,"※入库数量要大于 0",IF(AND($C1825&lt;&gt;"",$C1825&lt;=结账锁),"※日期早于已结账截止日，不能再录",IF(AND($L1825=0,$X1825="正常"),"※没填单价，价格状态请选「待补价」",IF(AND($S1825&gt;0,$R1825&gt;0),"△本批有 "&amp;$S1825&amp;" 行没单价，整批运费先挂账没摊",IF(AND($B1825&lt;&gt;"",COUNTIF($B$4:$B$2503,$B1825)&gt;1),"※入库单号重复","")))))))</f>
        <v/>
      </c>
    </row>
    <row r="1826">
      <c r="A1826" s="24">
        <f>IF($G1826="","",COUNTA($G$4:$G1826))</f>
        <v/>
      </c>
      <c r="B1826" s="17" t="n"/>
      <c r="C1826" s="30" t="n"/>
      <c r="D1826" s="17" t="n"/>
      <c r="E1826" s="17" t="n"/>
      <c r="F1826" s="17" t="n"/>
      <c r="G1826" s="17" t="n"/>
      <c r="H1826" s="24">
        <f>IF($G1826="","",IFERROR(VLOOKUP($G1826,物料档案!$A$4:$P$1203,3,0),"※编码不在物料档案里"))</f>
        <v/>
      </c>
      <c r="I1826" s="24">
        <f>IF($G1826="","",IFERROR(VLOOKUP($G1826,物料档案!$A$4:$P$1203,4,0),"※编码不在物料档案里"))</f>
        <v/>
      </c>
      <c r="J1826" s="24">
        <f>IF($G1826="","",IFERROR(VLOOKUP($G1826,物料档案!$A$4:$P$1203,5,0),"※编码不在物料档案里"))</f>
        <v/>
      </c>
      <c r="K1826" s="23" t="n"/>
      <c r="L1826" s="31" t="n"/>
      <c r="M1826" s="24">
        <f>IF($G1826="","",IF($D1826="A国内","CNY","TZS"))</f>
        <v/>
      </c>
      <c r="N1826" s="28">
        <f>IF($G1826="","",IF($D1826="A国内",汇率,1))</f>
        <v/>
      </c>
      <c r="O1826" s="25">
        <f>IF($G1826="","",ROUND(N($K1826)*N($L1826),2))</f>
        <v/>
      </c>
      <c r="P1826" s="26">
        <f>IF($G1826="","",ROUND($O1826*$N1826,0))</f>
        <v/>
      </c>
      <c r="Q1826" s="26">
        <f>IF($G1826="","",SUMIFS($P$4:$P$2503,$E$4:$E$2503,$E1826,$Z$4:$Z$2503,"正常"))</f>
        <v/>
      </c>
      <c r="R1826" s="26">
        <f>IF($G1826="","",SUMIFS(费用台账!$I$4:$I$503,费用台账!$C$4:$C$503,$E1826,费用台账!$J$4:$J$503,"是",费用台账!$K$4:$K$503,"正常"))</f>
        <v/>
      </c>
      <c r="S1826" s="28">
        <f>IF($G1826="","",COUNTIFS($E$4:$E$2503,$E1826,$Z$4:$Z$2503,"正常",$Y$4:$Y$2503,"待补价"))</f>
        <v/>
      </c>
      <c r="T1826" s="26">
        <f>IF($G1826="","",SUMIFS($P$4:$P$2503,$E$4:$E$2503,$E1826,$Z$4:$Z$2503,"正常",$A$4:$A$2503,"&lt;="&amp;$A1826))</f>
        <v/>
      </c>
      <c r="U1826" s="26">
        <f>IF($G1826="","",IF(OR($S1826&gt;0,$Q1826=0,$R1826=0,$Z1826&lt;&gt;"正常"),0,ROUND($T1826/$Q1826*$R1826,0)-ROUND(($T1826-$P1826)/$Q1826*$R1826,0)))</f>
        <v/>
      </c>
      <c r="V1826" s="26">
        <f>IF($G1826="","",ROUND($P1826+$U1826,0))</f>
        <v/>
      </c>
      <c r="W1826" s="26">
        <f>IF($G1826="","",IF(N($K1826)=0,0,ROUND($V1826/$K1826,2)))</f>
        <v/>
      </c>
      <c r="X1826" s="17" t="n"/>
      <c r="Y1826" s="17" t="n"/>
      <c r="Z1826" s="17" t="n"/>
      <c r="AA1826" s="17" t="n"/>
      <c r="AB1826" s="17" t="n"/>
      <c r="AC1826" s="24">
        <f>IF($G1826="","",IF($H1826="※编码不在物料档案里","※物料编码不在档案里",IF(N($K1826)&lt;=0,"※入库数量要大于 0",IF(AND($C1826&lt;&gt;"",$C1826&lt;=结账锁),"※日期早于已结账截止日，不能再录",IF(AND($L1826=0,$X1826="正常"),"※没填单价，价格状态请选「待补价」",IF(AND($S1826&gt;0,$R1826&gt;0),"△本批有 "&amp;$S1826&amp;" 行没单价，整批运费先挂账没摊",IF(AND($B1826&lt;&gt;"",COUNTIF($B$4:$B$2503,$B1826)&gt;1),"※入库单号重复","")))))))</f>
        <v/>
      </c>
    </row>
    <row r="1827">
      <c r="A1827" s="24">
        <f>IF($G1827="","",COUNTA($G$4:$G1827))</f>
        <v/>
      </c>
      <c r="B1827" s="17" t="n"/>
      <c r="C1827" s="30" t="n"/>
      <c r="D1827" s="17" t="n"/>
      <c r="E1827" s="17" t="n"/>
      <c r="F1827" s="17" t="n"/>
      <c r="G1827" s="17" t="n"/>
      <c r="H1827" s="24">
        <f>IF($G1827="","",IFERROR(VLOOKUP($G1827,物料档案!$A$4:$P$1203,3,0),"※编码不在物料档案里"))</f>
        <v/>
      </c>
      <c r="I1827" s="24">
        <f>IF($G1827="","",IFERROR(VLOOKUP($G1827,物料档案!$A$4:$P$1203,4,0),"※编码不在物料档案里"))</f>
        <v/>
      </c>
      <c r="J1827" s="24">
        <f>IF($G1827="","",IFERROR(VLOOKUP($G1827,物料档案!$A$4:$P$1203,5,0),"※编码不在物料档案里"))</f>
        <v/>
      </c>
      <c r="K1827" s="23" t="n"/>
      <c r="L1827" s="31" t="n"/>
      <c r="M1827" s="24">
        <f>IF($G1827="","",IF($D1827="A国内","CNY","TZS"))</f>
        <v/>
      </c>
      <c r="N1827" s="28">
        <f>IF($G1827="","",IF($D1827="A国内",汇率,1))</f>
        <v/>
      </c>
      <c r="O1827" s="25">
        <f>IF($G1827="","",ROUND(N($K1827)*N($L1827),2))</f>
        <v/>
      </c>
      <c r="P1827" s="26">
        <f>IF($G1827="","",ROUND($O1827*$N1827,0))</f>
        <v/>
      </c>
      <c r="Q1827" s="26">
        <f>IF($G1827="","",SUMIFS($P$4:$P$2503,$E$4:$E$2503,$E1827,$Z$4:$Z$2503,"正常"))</f>
        <v/>
      </c>
      <c r="R1827" s="26">
        <f>IF($G1827="","",SUMIFS(费用台账!$I$4:$I$503,费用台账!$C$4:$C$503,$E1827,费用台账!$J$4:$J$503,"是",费用台账!$K$4:$K$503,"正常"))</f>
        <v/>
      </c>
      <c r="S1827" s="28">
        <f>IF($G1827="","",COUNTIFS($E$4:$E$2503,$E1827,$Z$4:$Z$2503,"正常",$Y$4:$Y$2503,"待补价"))</f>
        <v/>
      </c>
      <c r="T1827" s="26">
        <f>IF($G1827="","",SUMIFS($P$4:$P$2503,$E$4:$E$2503,$E1827,$Z$4:$Z$2503,"正常",$A$4:$A$2503,"&lt;="&amp;$A1827))</f>
        <v/>
      </c>
      <c r="U1827" s="26">
        <f>IF($G1827="","",IF(OR($S1827&gt;0,$Q1827=0,$R1827=0,$Z1827&lt;&gt;"正常"),0,ROUND($T1827/$Q1827*$R1827,0)-ROUND(($T1827-$P1827)/$Q1827*$R1827,0)))</f>
        <v/>
      </c>
      <c r="V1827" s="26">
        <f>IF($G1827="","",ROUND($P1827+$U1827,0))</f>
        <v/>
      </c>
      <c r="W1827" s="26">
        <f>IF($G1827="","",IF(N($K1827)=0,0,ROUND($V1827/$K1827,2)))</f>
        <v/>
      </c>
      <c r="X1827" s="17" t="n"/>
      <c r="Y1827" s="17" t="n"/>
      <c r="Z1827" s="17" t="n"/>
      <c r="AA1827" s="17" t="n"/>
      <c r="AB1827" s="17" t="n"/>
      <c r="AC1827" s="24">
        <f>IF($G1827="","",IF($H1827="※编码不在物料档案里","※物料编码不在档案里",IF(N($K1827)&lt;=0,"※入库数量要大于 0",IF(AND($C1827&lt;&gt;"",$C1827&lt;=结账锁),"※日期早于已结账截止日，不能再录",IF(AND($L1827=0,$X1827="正常"),"※没填单价，价格状态请选「待补价」",IF(AND($S1827&gt;0,$R1827&gt;0),"△本批有 "&amp;$S1827&amp;" 行没单价，整批运费先挂账没摊",IF(AND($B1827&lt;&gt;"",COUNTIF($B$4:$B$2503,$B1827)&gt;1),"※入库单号重复","")))))))</f>
        <v/>
      </c>
    </row>
    <row r="1828">
      <c r="A1828" s="24">
        <f>IF($G1828="","",COUNTA($G$4:$G1828))</f>
        <v/>
      </c>
      <c r="B1828" s="17" t="n"/>
      <c r="C1828" s="30" t="n"/>
      <c r="D1828" s="17" t="n"/>
      <c r="E1828" s="17" t="n"/>
      <c r="F1828" s="17" t="n"/>
      <c r="G1828" s="17" t="n"/>
      <c r="H1828" s="24">
        <f>IF($G1828="","",IFERROR(VLOOKUP($G1828,物料档案!$A$4:$P$1203,3,0),"※编码不在物料档案里"))</f>
        <v/>
      </c>
      <c r="I1828" s="24">
        <f>IF($G1828="","",IFERROR(VLOOKUP($G1828,物料档案!$A$4:$P$1203,4,0),"※编码不在物料档案里"))</f>
        <v/>
      </c>
      <c r="J1828" s="24">
        <f>IF($G1828="","",IFERROR(VLOOKUP($G1828,物料档案!$A$4:$P$1203,5,0),"※编码不在物料档案里"))</f>
        <v/>
      </c>
      <c r="K1828" s="23" t="n"/>
      <c r="L1828" s="31" t="n"/>
      <c r="M1828" s="24">
        <f>IF($G1828="","",IF($D1828="A国内","CNY","TZS"))</f>
        <v/>
      </c>
      <c r="N1828" s="28">
        <f>IF($G1828="","",IF($D1828="A国内",汇率,1))</f>
        <v/>
      </c>
      <c r="O1828" s="25">
        <f>IF($G1828="","",ROUND(N($K1828)*N($L1828),2))</f>
        <v/>
      </c>
      <c r="P1828" s="26">
        <f>IF($G1828="","",ROUND($O1828*$N1828,0))</f>
        <v/>
      </c>
      <c r="Q1828" s="26">
        <f>IF($G1828="","",SUMIFS($P$4:$P$2503,$E$4:$E$2503,$E1828,$Z$4:$Z$2503,"正常"))</f>
        <v/>
      </c>
      <c r="R1828" s="26">
        <f>IF($G1828="","",SUMIFS(费用台账!$I$4:$I$503,费用台账!$C$4:$C$503,$E1828,费用台账!$J$4:$J$503,"是",费用台账!$K$4:$K$503,"正常"))</f>
        <v/>
      </c>
      <c r="S1828" s="28">
        <f>IF($G1828="","",COUNTIFS($E$4:$E$2503,$E1828,$Z$4:$Z$2503,"正常",$Y$4:$Y$2503,"待补价"))</f>
        <v/>
      </c>
      <c r="T1828" s="26">
        <f>IF($G1828="","",SUMIFS($P$4:$P$2503,$E$4:$E$2503,$E1828,$Z$4:$Z$2503,"正常",$A$4:$A$2503,"&lt;="&amp;$A1828))</f>
        <v/>
      </c>
      <c r="U1828" s="26">
        <f>IF($G1828="","",IF(OR($S1828&gt;0,$Q1828=0,$R1828=0,$Z1828&lt;&gt;"正常"),0,ROUND($T1828/$Q1828*$R1828,0)-ROUND(($T1828-$P1828)/$Q1828*$R1828,0)))</f>
        <v/>
      </c>
      <c r="V1828" s="26">
        <f>IF($G1828="","",ROUND($P1828+$U1828,0))</f>
        <v/>
      </c>
      <c r="W1828" s="26">
        <f>IF($G1828="","",IF(N($K1828)=0,0,ROUND($V1828/$K1828,2)))</f>
        <v/>
      </c>
      <c r="X1828" s="17" t="n"/>
      <c r="Y1828" s="17" t="n"/>
      <c r="Z1828" s="17" t="n"/>
      <c r="AA1828" s="17" t="n"/>
      <c r="AB1828" s="17" t="n"/>
      <c r="AC1828" s="24">
        <f>IF($G1828="","",IF($H1828="※编码不在物料档案里","※物料编码不在档案里",IF(N($K1828)&lt;=0,"※入库数量要大于 0",IF(AND($C1828&lt;&gt;"",$C1828&lt;=结账锁),"※日期早于已结账截止日，不能再录",IF(AND($L1828=0,$X1828="正常"),"※没填单价，价格状态请选「待补价」",IF(AND($S1828&gt;0,$R1828&gt;0),"△本批有 "&amp;$S1828&amp;" 行没单价，整批运费先挂账没摊",IF(AND($B1828&lt;&gt;"",COUNTIF($B$4:$B$2503,$B1828)&gt;1),"※入库单号重复","")))))))</f>
        <v/>
      </c>
    </row>
    <row r="1829">
      <c r="A1829" s="24">
        <f>IF($G1829="","",COUNTA($G$4:$G1829))</f>
        <v/>
      </c>
      <c r="B1829" s="17" t="n"/>
      <c r="C1829" s="30" t="n"/>
      <c r="D1829" s="17" t="n"/>
      <c r="E1829" s="17" t="n"/>
      <c r="F1829" s="17" t="n"/>
      <c r="G1829" s="17" t="n"/>
      <c r="H1829" s="24">
        <f>IF($G1829="","",IFERROR(VLOOKUP($G1829,物料档案!$A$4:$P$1203,3,0),"※编码不在物料档案里"))</f>
        <v/>
      </c>
      <c r="I1829" s="24">
        <f>IF($G1829="","",IFERROR(VLOOKUP($G1829,物料档案!$A$4:$P$1203,4,0),"※编码不在物料档案里"))</f>
        <v/>
      </c>
      <c r="J1829" s="24">
        <f>IF($G1829="","",IFERROR(VLOOKUP($G1829,物料档案!$A$4:$P$1203,5,0),"※编码不在物料档案里"))</f>
        <v/>
      </c>
      <c r="K1829" s="23" t="n"/>
      <c r="L1829" s="31" t="n"/>
      <c r="M1829" s="24">
        <f>IF($G1829="","",IF($D1829="A国内","CNY","TZS"))</f>
        <v/>
      </c>
      <c r="N1829" s="28">
        <f>IF($G1829="","",IF($D1829="A国内",汇率,1))</f>
        <v/>
      </c>
      <c r="O1829" s="25">
        <f>IF($G1829="","",ROUND(N($K1829)*N($L1829),2))</f>
        <v/>
      </c>
      <c r="P1829" s="26">
        <f>IF($G1829="","",ROUND($O1829*$N1829,0))</f>
        <v/>
      </c>
      <c r="Q1829" s="26">
        <f>IF($G1829="","",SUMIFS($P$4:$P$2503,$E$4:$E$2503,$E1829,$Z$4:$Z$2503,"正常"))</f>
        <v/>
      </c>
      <c r="R1829" s="26">
        <f>IF($G1829="","",SUMIFS(费用台账!$I$4:$I$503,费用台账!$C$4:$C$503,$E1829,费用台账!$J$4:$J$503,"是",费用台账!$K$4:$K$503,"正常"))</f>
        <v/>
      </c>
      <c r="S1829" s="28">
        <f>IF($G1829="","",COUNTIFS($E$4:$E$2503,$E1829,$Z$4:$Z$2503,"正常",$Y$4:$Y$2503,"待补价"))</f>
        <v/>
      </c>
      <c r="T1829" s="26">
        <f>IF($G1829="","",SUMIFS($P$4:$P$2503,$E$4:$E$2503,$E1829,$Z$4:$Z$2503,"正常",$A$4:$A$2503,"&lt;="&amp;$A1829))</f>
        <v/>
      </c>
      <c r="U1829" s="26">
        <f>IF($G1829="","",IF(OR($S1829&gt;0,$Q1829=0,$R1829=0,$Z1829&lt;&gt;"正常"),0,ROUND($T1829/$Q1829*$R1829,0)-ROUND(($T1829-$P1829)/$Q1829*$R1829,0)))</f>
        <v/>
      </c>
      <c r="V1829" s="26">
        <f>IF($G1829="","",ROUND($P1829+$U1829,0))</f>
        <v/>
      </c>
      <c r="W1829" s="26">
        <f>IF($G1829="","",IF(N($K1829)=0,0,ROUND($V1829/$K1829,2)))</f>
        <v/>
      </c>
      <c r="X1829" s="17" t="n"/>
      <c r="Y1829" s="17" t="n"/>
      <c r="Z1829" s="17" t="n"/>
      <c r="AA1829" s="17" t="n"/>
      <c r="AB1829" s="17" t="n"/>
      <c r="AC1829" s="24">
        <f>IF($G1829="","",IF($H1829="※编码不在物料档案里","※物料编码不在档案里",IF(N($K1829)&lt;=0,"※入库数量要大于 0",IF(AND($C1829&lt;&gt;"",$C1829&lt;=结账锁),"※日期早于已结账截止日，不能再录",IF(AND($L1829=0,$X1829="正常"),"※没填单价，价格状态请选「待补价」",IF(AND($S1829&gt;0,$R1829&gt;0),"△本批有 "&amp;$S1829&amp;" 行没单价，整批运费先挂账没摊",IF(AND($B1829&lt;&gt;"",COUNTIF($B$4:$B$2503,$B1829)&gt;1),"※入库单号重复","")))))))</f>
        <v/>
      </c>
    </row>
    <row r="1830">
      <c r="A1830" s="24">
        <f>IF($G1830="","",COUNTA($G$4:$G1830))</f>
        <v/>
      </c>
      <c r="B1830" s="17" t="n"/>
      <c r="C1830" s="30" t="n"/>
      <c r="D1830" s="17" t="n"/>
      <c r="E1830" s="17" t="n"/>
      <c r="F1830" s="17" t="n"/>
      <c r="G1830" s="17" t="n"/>
      <c r="H1830" s="24">
        <f>IF($G1830="","",IFERROR(VLOOKUP($G1830,物料档案!$A$4:$P$1203,3,0),"※编码不在物料档案里"))</f>
        <v/>
      </c>
      <c r="I1830" s="24">
        <f>IF($G1830="","",IFERROR(VLOOKUP($G1830,物料档案!$A$4:$P$1203,4,0),"※编码不在物料档案里"))</f>
        <v/>
      </c>
      <c r="J1830" s="24">
        <f>IF($G1830="","",IFERROR(VLOOKUP($G1830,物料档案!$A$4:$P$1203,5,0),"※编码不在物料档案里"))</f>
        <v/>
      </c>
      <c r="K1830" s="23" t="n"/>
      <c r="L1830" s="31" t="n"/>
      <c r="M1830" s="24">
        <f>IF($G1830="","",IF($D1830="A国内","CNY","TZS"))</f>
        <v/>
      </c>
      <c r="N1830" s="28">
        <f>IF($G1830="","",IF($D1830="A国内",汇率,1))</f>
        <v/>
      </c>
      <c r="O1830" s="25">
        <f>IF($G1830="","",ROUND(N($K1830)*N($L1830),2))</f>
        <v/>
      </c>
      <c r="P1830" s="26">
        <f>IF($G1830="","",ROUND($O1830*$N1830,0))</f>
        <v/>
      </c>
      <c r="Q1830" s="26">
        <f>IF($G1830="","",SUMIFS($P$4:$P$2503,$E$4:$E$2503,$E1830,$Z$4:$Z$2503,"正常"))</f>
        <v/>
      </c>
      <c r="R1830" s="26">
        <f>IF($G1830="","",SUMIFS(费用台账!$I$4:$I$503,费用台账!$C$4:$C$503,$E1830,费用台账!$J$4:$J$503,"是",费用台账!$K$4:$K$503,"正常"))</f>
        <v/>
      </c>
      <c r="S1830" s="28">
        <f>IF($G1830="","",COUNTIFS($E$4:$E$2503,$E1830,$Z$4:$Z$2503,"正常",$Y$4:$Y$2503,"待补价"))</f>
        <v/>
      </c>
      <c r="T1830" s="26">
        <f>IF($G1830="","",SUMIFS($P$4:$P$2503,$E$4:$E$2503,$E1830,$Z$4:$Z$2503,"正常",$A$4:$A$2503,"&lt;="&amp;$A1830))</f>
        <v/>
      </c>
      <c r="U1830" s="26">
        <f>IF($G1830="","",IF(OR($S1830&gt;0,$Q1830=0,$R1830=0,$Z1830&lt;&gt;"正常"),0,ROUND($T1830/$Q1830*$R1830,0)-ROUND(($T1830-$P1830)/$Q1830*$R1830,0)))</f>
        <v/>
      </c>
      <c r="V1830" s="26">
        <f>IF($G1830="","",ROUND($P1830+$U1830,0))</f>
        <v/>
      </c>
      <c r="W1830" s="26">
        <f>IF($G1830="","",IF(N($K1830)=0,0,ROUND($V1830/$K1830,2)))</f>
        <v/>
      </c>
      <c r="X1830" s="17" t="n"/>
      <c r="Y1830" s="17" t="n"/>
      <c r="Z1830" s="17" t="n"/>
      <c r="AA1830" s="17" t="n"/>
      <c r="AB1830" s="17" t="n"/>
      <c r="AC1830" s="24">
        <f>IF($G1830="","",IF($H1830="※编码不在物料档案里","※物料编码不在档案里",IF(N($K1830)&lt;=0,"※入库数量要大于 0",IF(AND($C1830&lt;&gt;"",$C1830&lt;=结账锁),"※日期早于已结账截止日，不能再录",IF(AND($L1830=0,$X1830="正常"),"※没填单价，价格状态请选「待补价」",IF(AND($S1830&gt;0,$R1830&gt;0),"△本批有 "&amp;$S1830&amp;" 行没单价，整批运费先挂账没摊",IF(AND($B1830&lt;&gt;"",COUNTIF($B$4:$B$2503,$B1830)&gt;1),"※入库单号重复","")))))))</f>
        <v/>
      </c>
    </row>
    <row r="1831">
      <c r="A1831" s="24">
        <f>IF($G1831="","",COUNTA($G$4:$G1831))</f>
        <v/>
      </c>
      <c r="B1831" s="17" t="n"/>
      <c r="C1831" s="30" t="n"/>
      <c r="D1831" s="17" t="n"/>
      <c r="E1831" s="17" t="n"/>
      <c r="F1831" s="17" t="n"/>
      <c r="G1831" s="17" t="n"/>
      <c r="H1831" s="24">
        <f>IF($G1831="","",IFERROR(VLOOKUP($G1831,物料档案!$A$4:$P$1203,3,0),"※编码不在物料档案里"))</f>
        <v/>
      </c>
      <c r="I1831" s="24">
        <f>IF($G1831="","",IFERROR(VLOOKUP($G1831,物料档案!$A$4:$P$1203,4,0),"※编码不在物料档案里"))</f>
        <v/>
      </c>
      <c r="J1831" s="24">
        <f>IF($G1831="","",IFERROR(VLOOKUP($G1831,物料档案!$A$4:$P$1203,5,0),"※编码不在物料档案里"))</f>
        <v/>
      </c>
      <c r="K1831" s="23" t="n"/>
      <c r="L1831" s="31" t="n"/>
      <c r="M1831" s="24">
        <f>IF($G1831="","",IF($D1831="A国内","CNY","TZS"))</f>
        <v/>
      </c>
      <c r="N1831" s="28">
        <f>IF($G1831="","",IF($D1831="A国内",汇率,1))</f>
        <v/>
      </c>
      <c r="O1831" s="25">
        <f>IF($G1831="","",ROUND(N($K1831)*N($L1831),2))</f>
        <v/>
      </c>
      <c r="P1831" s="26">
        <f>IF($G1831="","",ROUND($O1831*$N1831,0))</f>
        <v/>
      </c>
      <c r="Q1831" s="26">
        <f>IF($G1831="","",SUMIFS($P$4:$P$2503,$E$4:$E$2503,$E1831,$Z$4:$Z$2503,"正常"))</f>
        <v/>
      </c>
      <c r="R1831" s="26">
        <f>IF($G1831="","",SUMIFS(费用台账!$I$4:$I$503,费用台账!$C$4:$C$503,$E1831,费用台账!$J$4:$J$503,"是",费用台账!$K$4:$K$503,"正常"))</f>
        <v/>
      </c>
      <c r="S1831" s="28">
        <f>IF($G1831="","",COUNTIFS($E$4:$E$2503,$E1831,$Z$4:$Z$2503,"正常",$Y$4:$Y$2503,"待补价"))</f>
        <v/>
      </c>
      <c r="T1831" s="26">
        <f>IF($G1831="","",SUMIFS($P$4:$P$2503,$E$4:$E$2503,$E1831,$Z$4:$Z$2503,"正常",$A$4:$A$2503,"&lt;="&amp;$A1831))</f>
        <v/>
      </c>
      <c r="U1831" s="26">
        <f>IF($G1831="","",IF(OR($S1831&gt;0,$Q1831=0,$R1831=0,$Z1831&lt;&gt;"正常"),0,ROUND($T1831/$Q1831*$R1831,0)-ROUND(($T1831-$P1831)/$Q1831*$R1831,0)))</f>
        <v/>
      </c>
      <c r="V1831" s="26">
        <f>IF($G1831="","",ROUND($P1831+$U1831,0))</f>
        <v/>
      </c>
      <c r="W1831" s="26">
        <f>IF($G1831="","",IF(N($K1831)=0,0,ROUND($V1831/$K1831,2)))</f>
        <v/>
      </c>
      <c r="X1831" s="17" t="n"/>
      <c r="Y1831" s="17" t="n"/>
      <c r="Z1831" s="17" t="n"/>
      <c r="AA1831" s="17" t="n"/>
      <c r="AB1831" s="17" t="n"/>
      <c r="AC1831" s="24">
        <f>IF($G1831="","",IF($H1831="※编码不在物料档案里","※物料编码不在档案里",IF(N($K1831)&lt;=0,"※入库数量要大于 0",IF(AND($C1831&lt;&gt;"",$C1831&lt;=结账锁),"※日期早于已结账截止日，不能再录",IF(AND($L1831=0,$X1831="正常"),"※没填单价，价格状态请选「待补价」",IF(AND($S1831&gt;0,$R1831&gt;0),"△本批有 "&amp;$S1831&amp;" 行没单价，整批运费先挂账没摊",IF(AND($B1831&lt;&gt;"",COUNTIF($B$4:$B$2503,$B1831)&gt;1),"※入库单号重复","")))))))</f>
        <v/>
      </c>
    </row>
    <row r="1832">
      <c r="A1832" s="24">
        <f>IF($G1832="","",COUNTA($G$4:$G1832))</f>
        <v/>
      </c>
      <c r="B1832" s="17" t="n"/>
      <c r="C1832" s="30" t="n"/>
      <c r="D1832" s="17" t="n"/>
      <c r="E1832" s="17" t="n"/>
      <c r="F1832" s="17" t="n"/>
      <c r="G1832" s="17" t="n"/>
      <c r="H1832" s="24">
        <f>IF($G1832="","",IFERROR(VLOOKUP($G1832,物料档案!$A$4:$P$1203,3,0),"※编码不在物料档案里"))</f>
        <v/>
      </c>
      <c r="I1832" s="24">
        <f>IF($G1832="","",IFERROR(VLOOKUP($G1832,物料档案!$A$4:$P$1203,4,0),"※编码不在物料档案里"))</f>
        <v/>
      </c>
      <c r="J1832" s="24">
        <f>IF($G1832="","",IFERROR(VLOOKUP($G1832,物料档案!$A$4:$P$1203,5,0),"※编码不在物料档案里"))</f>
        <v/>
      </c>
      <c r="K1832" s="23" t="n"/>
      <c r="L1832" s="31" t="n"/>
      <c r="M1832" s="24">
        <f>IF($G1832="","",IF($D1832="A国内","CNY","TZS"))</f>
        <v/>
      </c>
      <c r="N1832" s="28">
        <f>IF($G1832="","",IF($D1832="A国内",汇率,1))</f>
        <v/>
      </c>
      <c r="O1832" s="25">
        <f>IF($G1832="","",ROUND(N($K1832)*N($L1832),2))</f>
        <v/>
      </c>
      <c r="P1832" s="26">
        <f>IF($G1832="","",ROUND($O1832*$N1832,0))</f>
        <v/>
      </c>
      <c r="Q1832" s="26">
        <f>IF($G1832="","",SUMIFS($P$4:$P$2503,$E$4:$E$2503,$E1832,$Z$4:$Z$2503,"正常"))</f>
        <v/>
      </c>
      <c r="R1832" s="26">
        <f>IF($G1832="","",SUMIFS(费用台账!$I$4:$I$503,费用台账!$C$4:$C$503,$E1832,费用台账!$J$4:$J$503,"是",费用台账!$K$4:$K$503,"正常"))</f>
        <v/>
      </c>
      <c r="S1832" s="28">
        <f>IF($G1832="","",COUNTIFS($E$4:$E$2503,$E1832,$Z$4:$Z$2503,"正常",$Y$4:$Y$2503,"待补价"))</f>
        <v/>
      </c>
      <c r="T1832" s="26">
        <f>IF($G1832="","",SUMIFS($P$4:$P$2503,$E$4:$E$2503,$E1832,$Z$4:$Z$2503,"正常",$A$4:$A$2503,"&lt;="&amp;$A1832))</f>
        <v/>
      </c>
      <c r="U1832" s="26">
        <f>IF($G1832="","",IF(OR($S1832&gt;0,$Q1832=0,$R1832=0,$Z1832&lt;&gt;"正常"),0,ROUND($T1832/$Q1832*$R1832,0)-ROUND(($T1832-$P1832)/$Q1832*$R1832,0)))</f>
        <v/>
      </c>
      <c r="V1832" s="26">
        <f>IF($G1832="","",ROUND($P1832+$U1832,0))</f>
        <v/>
      </c>
      <c r="W1832" s="26">
        <f>IF($G1832="","",IF(N($K1832)=0,0,ROUND($V1832/$K1832,2)))</f>
        <v/>
      </c>
      <c r="X1832" s="17" t="n"/>
      <c r="Y1832" s="17" t="n"/>
      <c r="Z1832" s="17" t="n"/>
      <c r="AA1832" s="17" t="n"/>
      <c r="AB1832" s="17" t="n"/>
      <c r="AC1832" s="24">
        <f>IF($G1832="","",IF($H1832="※编码不在物料档案里","※物料编码不在档案里",IF(N($K1832)&lt;=0,"※入库数量要大于 0",IF(AND($C1832&lt;&gt;"",$C1832&lt;=结账锁),"※日期早于已结账截止日，不能再录",IF(AND($L1832=0,$X1832="正常"),"※没填单价，价格状态请选「待补价」",IF(AND($S1832&gt;0,$R1832&gt;0),"△本批有 "&amp;$S1832&amp;" 行没单价，整批运费先挂账没摊",IF(AND($B1832&lt;&gt;"",COUNTIF($B$4:$B$2503,$B1832)&gt;1),"※入库单号重复","")))))))</f>
        <v/>
      </c>
    </row>
    <row r="1833">
      <c r="A1833" s="24">
        <f>IF($G1833="","",COUNTA($G$4:$G1833))</f>
        <v/>
      </c>
      <c r="B1833" s="17" t="n"/>
      <c r="C1833" s="30" t="n"/>
      <c r="D1833" s="17" t="n"/>
      <c r="E1833" s="17" t="n"/>
      <c r="F1833" s="17" t="n"/>
      <c r="G1833" s="17" t="n"/>
      <c r="H1833" s="24">
        <f>IF($G1833="","",IFERROR(VLOOKUP($G1833,物料档案!$A$4:$P$1203,3,0),"※编码不在物料档案里"))</f>
        <v/>
      </c>
      <c r="I1833" s="24">
        <f>IF($G1833="","",IFERROR(VLOOKUP($G1833,物料档案!$A$4:$P$1203,4,0),"※编码不在物料档案里"))</f>
        <v/>
      </c>
      <c r="J1833" s="24">
        <f>IF($G1833="","",IFERROR(VLOOKUP($G1833,物料档案!$A$4:$P$1203,5,0),"※编码不在物料档案里"))</f>
        <v/>
      </c>
      <c r="K1833" s="23" t="n"/>
      <c r="L1833" s="31" t="n"/>
      <c r="M1833" s="24">
        <f>IF($G1833="","",IF($D1833="A国内","CNY","TZS"))</f>
        <v/>
      </c>
      <c r="N1833" s="28">
        <f>IF($G1833="","",IF($D1833="A国内",汇率,1))</f>
        <v/>
      </c>
      <c r="O1833" s="25">
        <f>IF($G1833="","",ROUND(N($K1833)*N($L1833),2))</f>
        <v/>
      </c>
      <c r="P1833" s="26">
        <f>IF($G1833="","",ROUND($O1833*$N1833,0))</f>
        <v/>
      </c>
      <c r="Q1833" s="26">
        <f>IF($G1833="","",SUMIFS($P$4:$P$2503,$E$4:$E$2503,$E1833,$Z$4:$Z$2503,"正常"))</f>
        <v/>
      </c>
      <c r="R1833" s="26">
        <f>IF($G1833="","",SUMIFS(费用台账!$I$4:$I$503,费用台账!$C$4:$C$503,$E1833,费用台账!$J$4:$J$503,"是",费用台账!$K$4:$K$503,"正常"))</f>
        <v/>
      </c>
      <c r="S1833" s="28">
        <f>IF($G1833="","",COUNTIFS($E$4:$E$2503,$E1833,$Z$4:$Z$2503,"正常",$Y$4:$Y$2503,"待补价"))</f>
        <v/>
      </c>
      <c r="T1833" s="26">
        <f>IF($G1833="","",SUMIFS($P$4:$P$2503,$E$4:$E$2503,$E1833,$Z$4:$Z$2503,"正常",$A$4:$A$2503,"&lt;="&amp;$A1833))</f>
        <v/>
      </c>
      <c r="U1833" s="26">
        <f>IF($G1833="","",IF(OR($S1833&gt;0,$Q1833=0,$R1833=0,$Z1833&lt;&gt;"正常"),0,ROUND($T1833/$Q1833*$R1833,0)-ROUND(($T1833-$P1833)/$Q1833*$R1833,0)))</f>
        <v/>
      </c>
      <c r="V1833" s="26">
        <f>IF($G1833="","",ROUND($P1833+$U1833,0))</f>
        <v/>
      </c>
      <c r="W1833" s="26">
        <f>IF($G1833="","",IF(N($K1833)=0,0,ROUND($V1833/$K1833,2)))</f>
        <v/>
      </c>
      <c r="X1833" s="17" t="n"/>
      <c r="Y1833" s="17" t="n"/>
      <c r="Z1833" s="17" t="n"/>
      <c r="AA1833" s="17" t="n"/>
      <c r="AB1833" s="17" t="n"/>
      <c r="AC1833" s="24">
        <f>IF($G1833="","",IF($H1833="※编码不在物料档案里","※物料编码不在档案里",IF(N($K1833)&lt;=0,"※入库数量要大于 0",IF(AND($C1833&lt;&gt;"",$C1833&lt;=结账锁),"※日期早于已结账截止日，不能再录",IF(AND($L1833=0,$X1833="正常"),"※没填单价，价格状态请选「待补价」",IF(AND($S1833&gt;0,$R1833&gt;0),"△本批有 "&amp;$S1833&amp;" 行没单价，整批运费先挂账没摊",IF(AND($B1833&lt;&gt;"",COUNTIF($B$4:$B$2503,$B1833)&gt;1),"※入库单号重复","")))))))</f>
        <v/>
      </c>
    </row>
    <row r="1834">
      <c r="A1834" s="24">
        <f>IF($G1834="","",COUNTA($G$4:$G1834))</f>
        <v/>
      </c>
      <c r="B1834" s="17" t="n"/>
      <c r="C1834" s="30" t="n"/>
      <c r="D1834" s="17" t="n"/>
      <c r="E1834" s="17" t="n"/>
      <c r="F1834" s="17" t="n"/>
      <c r="G1834" s="17" t="n"/>
      <c r="H1834" s="24">
        <f>IF($G1834="","",IFERROR(VLOOKUP($G1834,物料档案!$A$4:$P$1203,3,0),"※编码不在物料档案里"))</f>
        <v/>
      </c>
      <c r="I1834" s="24">
        <f>IF($G1834="","",IFERROR(VLOOKUP($G1834,物料档案!$A$4:$P$1203,4,0),"※编码不在物料档案里"))</f>
        <v/>
      </c>
      <c r="J1834" s="24">
        <f>IF($G1834="","",IFERROR(VLOOKUP($G1834,物料档案!$A$4:$P$1203,5,0),"※编码不在物料档案里"))</f>
        <v/>
      </c>
      <c r="K1834" s="23" t="n"/>
      <c r="L1834" s="31" t="n"/>
      <c r="M1834" s="24">
        <f>IF($G1834="","",IF($D1834="A国内","CNY","TZS"))</f>
        <v/>
      </c>
      <c r="N1834" s="28">
        <f>IF($G1834="","",IF($D1834="A国内",汇率,1))</f>
        <v/>
      </c>
      <c r="O1834" s="25">
        <f>IF($G1834="","",ROUND(N($K1834)*N($L1834),2))</f>
        <v/>
      </c>
      <c r="P1834" s="26">
        <f>IF($G1834="","",ROUND($O1834*$N1834,0))</f>
        <v/>
      </c>
      <c r="Q1834" s="26">
        <f>IF($G1834="","",SUMIFS($P$4:$P$2503,$E$4:$E$2503,$E1834,$Z$4:$Z$2503,"正常"))</f>
        <v/>
      </c>
      <c r="R1834" s="26">
        <f>IF($G1834="","",SUMIFS(费用台账!$I$4:$I$503,费用台账!$C$4:$C$503,$E1834,费用台账!$J$4:$J$503,"是",费用台账!$K$4:$K$503,"正常"))</f>
        <v/>
      </c>
      <c r="S1834" s="28">
        <f>IF($G1834="","",COUNTIFS($E$4:$E$2503,$E1834,$Z$4:$Z$2503,"正常",$Y$4:$Y$2503,"待补价"))</f>
        <v/>
      </c>
      <c r="T1834" s="26">
        <f>IF($G1834="","",SUMIFS($P$4:$P$2503,$E$4:$E$2503,$E1834,$Z$4:$Z$2503,"正常",$A$4:$A$2503,"&lt;="&amp;$A1834))</f>
        <v/>
      </c>
      <c r="U1834" s="26">
        <f>IF($G1834="","",IF(OR($S1834&gt;0,$Q1834=0,$R1834=0,$Z1834&lt;&gt;"正常"),0,ROUND($T1834/$Q1834*$R1834,0)-ROUND(($T1834-$P1834)/$Q1834*$R1834,0)))</f>
        <v/>
      </c>
      <c r="V1834" s="26">
        <f>IF($G1834="","",ROUND($P1834+$U1834,0))</f>
        <v/>
      </c>
      <c r="W1834" s="26">
        <f>IF($G1834="","",IF(N($K1834)=0,0,ROUND($V1834/$K1834,2)))</f>
        <v/>
      </c>
      <c r="X1834" s="17" t="n"/>
      <c r="Y1834" s="17" t="n"/>
      <c r="Z1834" s="17" t="n"/>
      <c r="AA1834" s="17" t="n"/>
      <c r="AB1834" s="17" t="n"/>
      <c r="AC1834" s="24">
        <f>IF($G1834="","",IF($H1834="※编码不在物料档案里","※物料编码不在档案里",IF(N($K1834)&lt;=0,"※入库数量要大于 0",IF(AND($C1834&lt;&gt;"",$C1834&lt;=结账锁),"※日期早于已结账截止日，不能再录",IF(AND($L1834=0,$X1834="正常"),"※没填单价，价格状态请选「待补价」",IF(AND($S1834&gt;0,$R1834&gt;0),"△本批有 "&amp;$S1834&amp;" 行没单价，整批运费先挂账没摊",IF(AND($B1834&lt;&gt;"",COUNTIF($B$4:$B$2503,$B1834)&gt;1),"※入库单号重复","")))))))</f>
        <v/>
      </c>
    </row>
    <row r="1835">
      <c r="A1835" s="24">
        <f>IF($G1835="","",COUNTA($G$4:$G1835))</f>
        <v/>
      </c>
      <c r="B1835" s="17" t="n"/>
      <c r="C1835" s="30" t="n"/>
      <c r="D1835" s="17" t="n"/>
      <c r="E1835" s="17" t="n"/>
      <c r="F1835" s="17" t="n"/>
      <c r="G1835" s="17" t="n"/>
      <c r="H1835" s="24">
        <f>IF($G1835="","",IFERROR(VLOOKUP($G1835,物料档案!$A$4:$P$1203,3,0),"※编码不在物料档案里"))</f>
        <v/>
      </c>
      <c r="I1835" s="24">
        <f>IF($G1835="","",IFERROR(VLOOKUP($G1835,物料档案!$A$4:$P$1203,4,0),"※编码不在物料档案里"))</f>
        <v/>
      </c>
      <c r="J1835" s="24">
        <f>IF($G1835="","",IFERROR(VLOOKUP($G1835,物料档案!$A$4:$P$1203,5,0),"※编码不在物料档案里"))</f>
        <v/>
      </c>
      <c r="K1835" s="23" t="n"/>
      <c r="L1835" s="31" t="n"/>
      <c r="M1835" s="24">
        <f>IF($G1835="","",IF($D1835="A国内","CNY","TZS"))</f>
        <v/>
      </c>
      <c r="N1835" s="28">
        <f>IF($G1835="","",IF($D1835="A国内",汇率,1))</f>
        <v/>
      </c>
      <c r="O1835" s="25">
        <f>IF($G1835="","",ROUND(N($K1835)*N($L1835),2))</f>
        <v/>
      </c>
      <c r="P1835" s="26">
        <f>IF($G1835="","",ROUND($O1835*$N1835,0))</f>
        <v/>
      </c>
      <c r="Q1835" s="26">
        <f>IF($G1835="","",SUMIFS($P$4:$P$2503,$E$4:$E$2503,$E1835,$Z$4:$Z$2503,"正常"))</f>
        <v/>
      </c>
      <c r="R1835" s="26">
        <f>IF($G1835="","",SUMIFS(费用台账!$I$4:$I$503,费用台账!$C$4:$C$503,$E1835,费用台账!$J$4:$J$503,"是",费用台账!$K$4:$K$503,"正常"))</f>
        <v/>
      </c>
      <c r="S1835" s="28">
        <f>IF($G1835="","",COUNTIFS($E$4:$E$2503,$E1835,$Z$4:$Z$2503,"正常",$Y$4:$Y$2503,"待补价"))</f>
        <v/>
      </c>
      <c r="T1835" s="26">
        <f>IF($G1835="","",SUMIFS($P$4:$P$2503,$E$4:$E$2503,$E1835,$Z$4:$Z$2503,"正常",$A$4:$A$2503,"&lt;="&amp;$A1835))</f>
        <v/>
      </c>
      <c r="U1835" s="26">
        <f>IF($G1835="","",IF(OR($S1835&gt;0,$Q1835=0,$R1835=0,$Z1835&lt;&gt;"正常"),0,ROUND($T1835/$Q1835*$R1835,0)-ROUND(($T1835-$P1835)/$Q1835*$R1835,0)))</f>
        <v/>
      </c>
      <c r="V1835" s="26">
        <f>IF($G1835="","",ROUND($P1835+$U1835,0))</f>
        <v/>
      </c>
      <c r="W1835" s="26">
        <f>IF($G1835="","",IF(N($K1835)=0,0,ROUND($V1835/$K1835,2)))</f>
        <v/>
      </c>
      <c r="X1835" s="17" t="n"/>
      <c r="Y1835" s="17" t="n"/>
      <c r="Z1835" s="17" t="n"/>
      <c r="AA1835" s="17" t="n"/>
      <c r="AB1835" s="17" t="n"/>
      <c r="AC1835" s="24">
        <f>IF($G1835="","",IF($H1835="※编码不在物料档案里","※物料编码不在档案里",IF(N($K1835)&lt;=0,"※入库数量要大于 0",IF(AND($C1835&lt;&gt;"",$C1835&lt;=结账锁),"※日期早于已结账截止日，不能再录",IF(AND($L1835=0,$X1835="正常"),"※没填单价，价格状态请选「待补价」",IF(AND($S1835&gt;0,$R1835&gt;0),"△本批有 "&amp;$S1835&amp;" 行没单价，整批运费先挂账没摊",IF(AND($B1835&lt;&gt;"",COUNTIF($B$4:$B$2503,$B1835)&gt;1),"※入库单号重复","")))))))</f>
        <v/>
      </c>
    </row>
    <row r="1836">
      <c r="A1836" s="24">
        <f>IF($G1836="","",COUNTA($G$4:$G1836))</f>
        <v/>
      </c>
      <c r="B1836" s="17" t="n"/>
      <c r="C1836" s="30" t="n"/>
      <c r="D1836" s="17" t="n"/>
      <c r="E1836" s="17" t="n"/>
      <c r="F1836" s="17" t="n"/>
      <c r="G1836" s="17" t="n"/>
      <c r="H1836" s="24">
        <f>IF($G1836="","",IFERROR(VLOOKUP($G1836,物料档案!$A$4:$P$1203,3,0),"※编码不在物料档案里"))</f>
        <v/>
      </c>
      <c r="I1836" s="24">
        <f>IF($G1836="","",IFERROR(VLOOKUP($G1836,物料档案!$A$4:$P$1203,4,0),"※编码不在物料档案里"))</f>
        <v/>
      </c>
      <c r="J1836" s="24">
        <f>IF($G1836="","",IFERROR(VLOOKUP($G1836,物料档案!$A$4:$P$1203,5,0),"※编码不在物料档案里"))</f>
        <v/>
      </c>
      <c r="K1836" s="23" t="n"/>
      <c r="L1836" s="31" t="n"/>
      <c r="M1836" s="24">
        <f>IF($G1836="","",IF($D1836="A国内","CNY","TZS"))</f>
        <v/>
      </c>
      <c r="N1836" s="28">
        <f>IF($G1836="","",IF($D1836="A国内",汇率,1))</f>
        <v/>
      </c>
      <c r="O1836" s="25">
        <f>IF($G1836="","",ROUND(N($K1836)*N($L1836),2))</f>
        <v/>
      </c>
      <c r="P1836" s="26">
        <f>IF($G1836="","",ROUND($O1836*$N1836,0))</f>
        <v/>
      </c>
      <c r="Q1836" s="26">
        <f>IF($G1836="","",SUMIFS($P$4:$P$2503,$E$4:$E$2503,$E1836,$Z$4:$Z$2503,"正常"))</f>
        <v/>
      </c>
      <c r="R1836" s="26">
        <f>IF($G1836="","",SUMIFS(费用台账!$I$4:$I$503,费用台账!$C$4:$C$503,$E1836,费用台账!$J$4:$J$503,"是",费用台账!$K$4:$K$503,"正常"))</f>
        <v/>
      </c>
      <c r="S1836" s="28">
        <f>IF($G1836="","",COUNTIFS($E$4:$E$2503,$E1836,$Z$4:$Z$2503,"正常",$Y$4:$Y$2503,"待补价"))</f>
        <v/>
      </c>
      <c r="T1836" s="26">
        <f>IF($G1836="","",SUMIFS($P$4:$P$2503,$E$4:$E$2503,$E1836,$Z$4:$Z$2503,"正常",$A$4:$A$2503,"&lt;="&amp;$A1836))</f>
        <v/>
      </c>
      <c r="U1836" s="26">
        <f>IF($G1836="","",IF(OR($S1836&gt;0,$Q1836=0,$R1836=0,$Z1836&lt;&gt;"正常"),0,ROUND($T1836/$Q1836*$R1836,0)-ROUND(($T1836-$P1836)/$Q1836*$R1836,0)))</f>
        <v/>
      </c>
      <c r="V1836" s="26">
        <f>IF($G1836="","",ROUND($P1836+$U1836,0))</f>
        <v/>
      </c>
      <c r="W1836" s="26">
        <f>IF($G1836="","",IF(N($K1836)=0,0,ROUND($V1836/$K1836,2)))</f>
        <v/>
      </c>
      <c r="X1836" s="17" t="n"/>
      <c r="Y1836" s="17" t="n"/>
      <c r="Z1836" s="17" t="n"/>
      <c r="AA1836" s="17" t="n"/>
      <c r="AB1836" s="17" t="n"/>
      <c r="AC1836" s="24">
        <f>IF($G1836="","",IF($H1836="※编码不在物料档案里","※物料编码不在档案里",IF(N($K1836)&lt;=0,"※入库数量要大于 0",IF(AND($C1836&lt;&gt;"",$C1836&lt;=结账锁),"※日期早于已结账截止日，不能再录",IF(AND($L1836=0,$X1836="正常"),"※没填单价，价格状态请选「待补价」",IF(AND($S1836&gt;0,$R1836&gt;0),"△本批有 "&amp;$S1836&amp;" 行没单价，整批运费先挂账没摊",IF(AND($B1836&lt;&gt;"",COUNTIF($B$4:$B$2503,$B1836)&gt;1),"※入库单号重复","")))))))</f>
        <v/>
      </c>
    </row>
    <row r="1837">
      <c r="A1837" s="24">
        <f>IF($G1837="","",COUNTA($G$4:$G1837))</f>
        <v/>
      </c>
      <c r="B1837" s="17" t="n"/>
      <c r="C1837" s="30" t="n"/>
      <c r="D1837" s="17" t="n"/>
      <c r="E1837" s="17" t="n"/>
      <c r="F1837" s="17" t="n"/>
      <c r="G1837" s="17" t="n"/>
      <c r="H1837" s="24">
        <f>IF($G1837="","",IFERROR(VLOOKUP($G1837,物料档案!$A$4:$P$1203,3,0),"※编码不在物料档案里"))</f>
        <v/>
      </c>
      <c r="I1837" s="24">
        <f>IF($G1837="","",IFERROR(VLOOKUP($G1837,物料档案!$A$4:$P$1203,4,0),"※编码不在物料档案里"))</f>
        <v/>
      </c>
      <c r="J1837" s="24">
        <f>IF($G1837="","",IFERROR(VLOOKUP($G1837,物料档案!$A$4:$P$1203,5,0),"※编码不在物料档案里"))</f>
        <v/>
      </c>
      <c r="K1837" s="23" t="n"/>
      <c r="L1837" s="31" t="n"/>
      <c r="M1837" s="24">
        <f>IF($G1837="","",IF($D1837="A国内","CNY","TZS"))</f>
        <v/>
      </c>
      <c r="N1837" s="28">
        <f>IF($G1837="","",IF($D1837="A国内",汇率,1))</f>
        <v/>
      </c>
      <c r="O1837" s="25">
        <f>IF($G1837="","",ROUND(N($K1837)*N($L1837),2))</f>
        <v/>
      </c>
      <c r="P1837" s="26">
        <f>IF($G1837="","",ROUND($O1837*$N1837,0))</f>
        <v/>
      </c>
      <c r="Q1837" s="26">
        <f>IF($G1837="","",SUMIFS($P$4:$P$2503,$E$4:$E$2503,$E1837,$Z$4:$Z$2503,"正常"))</f>
        <v/>
      </c>
      <c r="R1837" s="26">
        <f>IF($G1837="","",SUMIFS(费用台账!$I$4:$I$503,费用台账!$C$4:$C$503,$E1837,费用台账!$J$4:$J$503,"是",费用台账!$K$4:$K$503,"正常"))</f>
        <v/>
      </c>
      <c r="S1837" s="28">
        <f>IF($G1837="","",COUNTIFS($E$4:$E$2503,$E1837,$Z$4:$Z$2503,"正常",$Y$4:$Y$2503,"待补价"))</f>
        <v/>
      </c>
      <c r="T1837" s="26">
        <f>IF($G1837="","",SUMIFS($P$4:$P$2503,$E$4:$E$2503,$E1837,$Z$4:$Z$2503,"正常",$A$4:$A$2503,"&lt;="&amp;$A1837))</f>
        <v/>
      </c>
      <c r="U1837" s="26">
        <f>IF($G1837="","",IF(OR($S1837&gt;0,$Q1837=0,$R1837=0,$Z1837&lt;&gt;"正常"),0,ROUND($T1837/$Q1837*$R1837,0)-ROUND(($T1837-$P1837)/$Q1837*$R1837,0)))</f>
        <v/>
      </c>
      <c r="V1837" s="26">
        <f>IF($G1837="","",ROUND($P1837+$U1837,0))</f>
        <v/>
      </c>
      <c r="W1837" s="26">
        <f>IF($G1837="","",IF(N($K1837)=0,0,ROUND($V1837/$K1837,2)))</f>
        <v/>
      </c>
      <c r="X1837" s="17" t="n"/>
      <c r="Y1837" s="17" t="n"/>
      <c r="Z1837" s="17" t="n"/>
      <c r="AA1837" s="17" t="n"/>
      <c r="AB1837" s="17" t="n"/>
      <c r="AC1837" s="24">
        <f>IF($G1837="","",IF($H1837="※编码不在物料档案里","※物料编码不在档案里",IF(N($K1837)&lt;=0,"※入库数量要大于 0",IF(AND($C1837&lt;&gt;"",$C1837&lt;=结账锁),"※日期早于已结账截止日，不能再录",IF(AND($L1837=0,$X1837="正常"),"※没填单价，价格状态请选「待补价」",IF(AND($S1837&gt;0,$R1837&gt;0),"△本批有 "&amp;$S1837&amp;" 行没单价，整批运费先挂账没摊",IF(AND($B1837&lt;&gt;"",COUNTIF($B$4:$B$2503,$B1837)&gt;1),"※入库单号重复","")))))))</f>
        <v/>
      </c>
    </row>
    <row r="1838">
      <c r="A1838" s="24">
        <f>IF($G1838="","",COUNTA($G$4:$G1838))</f>
        <v/>
      </c>
      <c r="B1838" s="17" t="n"/>
      <c r="C1838" s="30" t="n"/>
      <c r="D1838" s="17" t="n"/>
      <c r="E1838" s="17" t="n"/>
      <c r="F1838" s="17" t="n"/>
      <c r="G1838" s="17" t="n"/>
      <c r="H1838" s="24">
        <f>IF($G1838="","",IFERROR(VLOOKUP($G1838,物料档案!$A$4:$P$1203,3,0),"※编码不在物料档案里"))</f>
        <v/>
      </c>
      <c r="I1838" s="24">
        <f>IF($G1838="","",IFERROR(VLOOKUP($G1838,物料档案!$A$4:$P$1203,4,0),"※编码不在物料档案里"))</f>
        <v/>
      </c>
      <c r="J1838" s="24">
        <f>IF($G1838="","",IFERROR(VLOOKUP($G1838,物料档案!$A$4:$P$1203,5,0),"※编码不在物料档案里"))</f>
        <v/>
      </c>
      <c r="K1838" s="23" t="n"/>
      <c r="L1838" s="31" t="n"/>
      <c r="M1838" s="24">
        <f>IF($G1838="","",IF($D1838="A国内","CNY","TZS"))</f>
        <v/>
      </c>
      <c r="N1838" s="28">
        <f>IF($G1838="","",IF($D1838="A国内",汇率,1))</f>
        <v/>
      </c>
      <c r="O1838" s="25">
        <f>IF($G1838="","",ROUND(N($K1838)*N($L1838),2))</f>
        <v/>
      </c>
      <c r="P1838" s="26">
        <f>IF($G1838="","",ROUND($O1838*$N1838,0))</f>
        <v/>
      </c>
      <c r="Q1838" s="26">
        <f>IF($G1838="","",SUMIFS($P$4:$P$2503,$E$4:$E$2503,$E1838,$Z$4:$Z$2503,"正常"))</f>
        <v/>
      </c>
      <c r="R1838" s="26">
        <f>IF($G1838="","",SUMIFS(费用台账!$I$4:$I$503,费用台账!$C$4:$C$503,$E1838,费用台账!$J$4:$J$503,"是",费用台账!$K$4:$K$503,"正常"))</f>
        <v/>
      </c>
      <c r="S1838" s="28">
        <f>IF($G1838="","",COUNTIFS($E$4:$E$2503,$E1838,$Z$4:$Z$2503,"正常",$Y$4:$Y$2503,"待补价"))</f>
        <v/>
      </c>
      <c r="T1838" s="26">
        <f>IF($G1838="","",SUMIFS($P$4:$P$2503,$E$4:$E$2503,$E1838,$Z$4:$Z$2503,"正常",$A$4:$A$2503,"&lt;="&amp;$A1838))</f>
        <v/>
      </c>
      <c r="U1838" s="26">
        <f>IF($G1838="","",IF(OR($S1838&gt;0,$Q1838=0,$R1838=0,$Z1838&lt;&gt;"正常"),0,ROUND($T1838/$Q1838*$R1838,0)-ROUND(($T1838-$P1838)/$Q1838*$R1838,0)))</f>
        <v/>
      </c>
      <c r="V1838" s="26">
        <f>IF($G1838="","",ROUND($P1838+$U1838,0))</f>
        <v/>
      </c>
      <c r="W1838" s="26">
        <f>IF($G1838="","",IF(N($K1838)=0,0,ROUND($V1838/$K1838,2)))</f>
        <v/>
      </c>
      <c r="X1838" s="17" t="n"/>
      <c r="Y1838" s="17" t="n"/>
      <c r="Z1838" s="17" t="n"/>
      <c r="AA1838" s="17" t="n"/>
      <c r="AB1838" s="17" t="n"/>
      <c r="AC1838" s="24">
        <f>IF($G1838="","",IF($H1838="※编码不在物料档案里","※物料编码不在档案里",IF(N($K1838)&lt;=0,"※入库数量要大于 0",IF(AND($C1838&lt;&gt;"",$C1838&lt;=结账锁),"※日期早于已结账截止日，不能再录",IF(AND($L1838=0,$X1838="正常"),"※没填单价，价格状态请选「待补价」",IF(AND($S1838&gt;0,$R1838&gt;0),"△本批有 "&amp;$S1838&amp;" 行没单价，整批运费先挂账没摊",IF(AND($B1838&lt;&gt;"",COUNTIF($B$4:$B$2503,$B1838)&gt;1),"※入库单号重复","")))))))</f>
        <v/>
      </c>
    </row>
    <row r="1839">
      <c r="A1839" s="24">
        <f>IF($G1839="","",COUNTA($G$4:$G1839))</f>
        <v/>
      </c>
      <c r="B1839" s="17" t="n"/>
      <c r="C1839" s="30" t="n"/>
      <c r="D1839" s="17" t="n"/>
      <c r="E1839" s="17" t="n"/>
      <c r="F1839" s="17" t="n"/>
      <c r="G1839" s="17" t="n"/>
      <c r="H1839" s="24">
        <f>IF($G1839="","",IFERROR(VLOOKUP($G1839,物料档案!$A$4:$P$1203,3,0),"※编码不在物料档案里"))</f>
        <v/>
      </c>
      <c r="I1839" s="24">
        <f>IF($G1839="","",IFERROR(VLOOKUP($G1839,物料档案!$A$4:$P$1203,4,0),"※编码不在物料档案里"))</f>
        <v/>
      </c>
      <c r="J1839" s="24">
        <f>IF($G1839="","",IFERROR(VLOOKUP($G1839,物料档案!$A$4:$P$1203,5,0),"※编码不在物料档案里"))</f>
        <v/>
      </c>
      <c r="K1839" s="23" t="n"/>
      <c r="L1839" s="31" t="n"/>
      <c r="M1839" s="24">
        <f>IF($G1839="","",IF($D1839="A国内","CNY","TZS"))</f>
        <v/>
      </c>
      <c r="N1839" s="28">
        <f>IF($G1839="","",IF($D1839="A国内",汇率,1))</f>
        <v/>
      </c>
      <c r="O1839" s="25">
        <f>IF($G1839="","",ROUND(N($K1839)*N($L1839),2))</f>
        <v/>
      </c>
      <c r="P1839" s="26">
        <f>IF($G1839="","",ROUND($O1839*$N1839,0))</f>
        <v/>
      </c>
      <c r="Q1839" s="26">
        <f>IF($G1839="","",SUMIFS($P$4:$P$2503,$E$4:$E$2503,$E1839,$Z$4:$Z$2503,"正常"))</f>
        <v/>
      </c>
      <c r="R1839" s="26">
        <f>IF($G1839="","",SUMIFS(费用台账!$I$4:$I$503,费用台账!$C$4:$C$503,$E1839,费用台账!$J$4:$J$503,"是",费用台账!$K$4:$K$503,"正常"))</f>
        <v/>
      </c>
      <c r="S1839" s="28">
        <f>IF($G1839="","",COUNTIFS($E$4:$E$2503,$E1839,$Z$4:$Z$2503,"正常",$Y$4:$Y$2503,"待补价"))</f>
        <v/>
      </c>
      <c r="T1839" s="26">
        <f>IF($G1839="","",SUMIFS($P$4:$P$2503,$E$4:$E$2503,$E1839,$Z$4:$Z$2503,"正常",$A$4:$A$2503,"&lt;="&amp;$A1839))</f>
        <v/>
      </c>
      <c r="U1839" s="26">
        <f>IF($G1839="","",IF(OR($S1839&gt;0,$Q1839=0,$R1839=0,$Z1839&lt;&gt;"正常"),0,ROUND($T1839/$Q1839*$R1839,0)-ROUND(($T1839-$P1839)/$Q1839*$R1839,0)))</f>
        <v/>
      </c>
      <c r="V1839" s="26">
        <f>IF($G1839="","",ROUND($P1839+$U1839,0))</f>
        <v/>
      </c>
      <c r="W1839" s="26">
        <f>IF($G1839="","",IF(N($K1839)=0,0,ROUND($V1839/$K1839,2)))</f>
        <v/>
      </c>
      <c r="X1839" s="17" t="n"/>
      <c r="Y1839" s="17" t="n"/>
      <c r="Z1839" s="17" t="n"/>
      <c r="AA1839" s="17" t="n"/>
      <c r="AB1839" s="17" t="n"/>
      <c r="AC1839" s="24">
        <f>IF($G1839="","",IF($H1839="※编码不在物料档案里","※物料编码不在档案里",IF(N($K1839)&lt;=0,"※入库数量要大于 0",IF(AND($C1839&lt;&gt;"",$C1839&lt;=结账锁),"※日期早于已结账截止日，不能再录",IF(AND($L1839=0,$X1839="正常"),"※没填单价，价格状态请选「待补价」",IF(AND($S1839&gt;0,$R1839&gt;0),"△本批有 "&amp;$S1839&amp;" 行没单价，整批运费先挂账没摊",IF(AND($B1839&lt;&gt;"",COUNTIF($B$4:$B$2503,$B1839)&gt;1),"※入库单号重复","")))))))</f>
        <v/>
      </c>
    </row>
    <row r="1840">
      <c r="A1840" s="24">
        <f>IF($G1840="","",COUNTA($G$4:$G1840))</f>
        <v/>
      </c>
      <c r="B1840" s="17" t="n"/>
      <c r="C1840" s="30" t="n"/>
      <c r="D1840" s="17" t="n"/>
      <c r="E1840" s="17" t="n"/>
      <c r="F1840" s="17" t="n"/>
      <c r="G1840" s="17" t="n"/>
      <c r="H1840" s="24">
        <f>IF($G1840="","",IFERROR(VLOOKUP($G1840,物料档案!$A$4:$P$1203,3,0),"※编码不在物料档案里"))</f>
        <v/>
      </c>
      <c r="I1840" s="24">
        <f>IF($G1840="","",IFERROR(VLOOKUP($G1840,物料档案!$A$4:$P$1203,4,0),"※编码不在物料档案里"))</f>
        <v/>
      </c>
      <c r="J1840" s="24">
        <f>IF($G1840="","",IFERROR(VLOOKUP($G1840,物料档案!$A$4:$P$1203,5,0),"※编码不在物料档案里"))</f>
        <v/>
      </c>
      <c r="K1840" s="23" t="n"/>
      <c r="L1840" s="31" t="n"/>
      <c r="M1840" s="24">
        <f>IF($G1840="","",IF($D1840="A国内","CNY","TZS"))</f>
        <v/>
      </c>
      <c r="N1840" s="28">
        <f>IF($G1840="","",IF($D1840="A国内",汇率,1))</f>
        <v/>
      </c>
      <c r="O1840" s="25">
        <f>IF($G1840="","",ROUND(N($K1840)*N($L1840),2))</f>
        <v/>
      </c>
      <c r="P1840" s="26">
        <f>IF($G1840="","",ROUND($O1840*$N1840,0))</f>
        <v/>
      </c>
      <c r="Q1840" s="26">
        <f>IF($G1840="","",SUMIFS($P$4:$P$2503,$E$4:$E$2503,$E1840,$Z$4:$Z$2503,"正常"))</f>
        <v/>
      </c>
      <c r="R1840" s="26">
        <f>IF($G1840="","",SUMIFS(费用台账!$I$4:$I$503,费用台账!$C$4:$C$503,$E1840,费用台账!$J$4:$J$503,"是",费用台账!$K$4:$K$503,"正常"))</f>
        <v/>
      </c>
      <c r="S1840" s="28">
        <f>IF($G1840="","",COUNTIFS($E$4:$E$2503,$E1840,$Z$4:$Z$2503,"正常",$Y$4:$Y$2503,"待补价"))</f>
        <v/>
      </c>
      <c r="T1840" s="26">
        <f>IF($G1840="","",SUMIFS($P$4:$P$2503,$E$4:$E$2503,$E1840,$Z$4:$Z$2503,"正常",$A$4:$A$2503,"&lt;="&amp;$A1840))</f>
        <v/>
      </c>
      <c r="U1840" s="26">
        <f>IF($G1840="","",IF(OR($S1840&gt;0,$Q1840=0,$R1840=0,$Z1840&lt;&gt;"正常"),0,ROUND($T1840/$Q1840*$R1840,0)-ROUND(($T1840-$P1840)/$Q1840*$R1840,0)))</f>
        <v/>
      </c>
      <c r="V1840" s="26">
        <f>IF($G1840="","",ROUND($P1840+$U1840,0))</f>
        <v/>
      </c>
      <c r="W1840" s="26">
        <f>IF($G1840="","",IF(N($K1840)=0,0,ROUND($V1840/$K1840,2)))</f>
        <v/>
      </c>
      <c r="X1840" s="17" t="n"/>
      <c r="Y1840" s="17" t="n"/>
      <c r="Z1840" s="17" t="n"/>
      <c r="AA1840" s="17" t="n"/>
      <c r="AB1840" s="17" t="n"/>
      <c r="AC1840" s="24">
        <f>IF($G1840="","",IF($H1840="※编码不在物料档案里","※物料编码不在档案里",IF(N($K1840)&lt;=0,"※入库数量要大于 0",IF(AND($C1840&lt;&gt;"",$C1840&lt;=结账锁),"※日期早于已结账截止日，不能再录",IF(AND($L1840=0,$X1840="正常"),"※没填单价，价格状态请选「待补价」",IF(AND($S1840&gt;0,$R1840&gt;0),"△本批有 "&amp;$S1840&amp;" 行没单价，整批运费先挂账没摊",IF(AND($B1840&lt;&gt;"",COUNTIF($B$4:$B$2503,$B1840)&gt;1),"※入库单号重复","")))))))</f>
        <v/>
      </c>
    </row>
    <row r="1841">
      <c r="A1841" s="24">
        <f>IF($G1841="","",COUNTA($G$4:$G1841))</f>
        <v/>
      </c>
      <c r="B1841" s="17" t="n"/>
      <c r="C1841" s="30" t="n"/>
      <c r="D1841" s="17" t="n"/>
      <c r="E1841" s="17" t="n"/>
      <c r="F1841" s="17" t="n"/>
      <c r="G1841" s="17" t="n"/>
      <c r="H1841" s="24">
        <f>IF($G1841="","",IFERROR(VLOOKUP($G1841,物料档案!$A$4:$P$1203,3,0),"※编码不在物料档案里"))</f>
        <v/>
      </c>
      <c r="I1841" s="24">
        <f>IF($G1841="","",IFERROR(VLOOKUP($G1841,物料档案!$A$4:$P$1203,4,0),"※编码不在物料档案里"))</f>
        <v/>
      </c>
      <c r="J1841" s="24">
        <f>IF($G1841="","",IFERROR(VLOOKUP($G1841,物料档案!$A$4:$P$1203,5,0),"※编码不在物料档案里"))</f>
        <v/>
      </c>
      <c r="K1841" s="23" t="n"/>
      <c r="L1841" s="31" t="n"/>
      <c r="M1841" s="24">
        <f>IF($G1841="","",IF($D1841="A国内","CNY","TZS"))</f>
        <v/>
      </c>
      <c r="N1841" s="28">
        <f>IF($G1841="","",IF($D1841="A国内",汇率,1))</f>
        <v/>
      </c>
      <c r="O1841" s="25">
        <f>IF($G1841="","",ROUND(N($K1841)*N($L1841),2))</f>
        <v/>
      </c>
      <c r="P1841" s="26">
        <f>IF($G1841="","",ROUND($O1841*$N1841,0))</f>
        <v/>
      </c>
      <c r="Q1841" s="26">
        <f>IF($G1841="","",SUMIFS($P$4:$P$2503,$E$4:$E$2503,$E1841,$Z$4:$Z$2503,"正常"))</f>
        <v/>
      </c>
      <c r="R1841" s="26">
        <f>IF($G1841="","",SUMIFS(费用台账!$I$4:$I$503,费用台账!$C$4:$C$503,$E1841,费用台账!$J$4:$J$503,"是",费用台账!$K$4:$K$503,"正常"))</f>
        <v/>
      </c>
      <c r="S1841" s="28">
        <f>IF($G1841="","",COUNTIFS($E$4:$E$2503,$E1841,$Z$4:$Z$2503,"正常",$Y$4:$Y$2503,"待补价"))</f>
        <v/>
      </c>
      <c r="T1841" s="26">
        <f>IF($G1841="","",SUMIFS($P$4:$P$2503,$E$4:$E$2503,$E1841,$Z$4:$Z$2503,"正常",$A$4:$A$2503,"&lt;="&amp;$A1841))</f>
        <v/>
      </c>
      <c r="U1841" s="26">
        <f>IF($G1841="","",IF(OR($S1841&gt;0,$Q1841=0,$R1841=0,$Z1841&lt;&gt;"正常"),0,ROUND($T1841/$Q1841*$R1841,0)-ROUND(($T1841-$P1841)/$Q1841*$R1841,0)))</f>
        <v/>
      </c>
      <c r="V1841" s="26">
        <f>IF($G1841="","",ROUND($P1841+$U1841,0))</f>
        <v/>
      </c>
      <c r="W1841" s="26">
        <f>IF($G1841="","",IF(N($K1841)=0,0,ROUND($V1841/$K1841,2)))</f>
        <v/>
      </c>
      <c r="X1841" s="17" t="n"/>
      <c r="Y1841" s="17" t="n"/>
      <c r="Z1841" s="17" t="n"/>
      <c r="AA1841" s="17" t="n"/>
      <c r="AB1841" s="17" t="n"/>
      <c r="AC1841" s="24">
        <f>IF($G1841="","",IF($H1841="※编码不在物料档案里","※物料编码不在档案里",IF(N($K1841)&lt;=0,"※入库数量要大于 0",IF(AND($C1841&lt;&gt;"",$C1841&lt;=结账锁),"※日期早于已结账截止日，不能再录",IF(AND($L1841=0,$X1841="正常"),"※没填单价，价格状态请选「待补价」",IF(AND($S1841&gt;0,$R1841&gt;0),"△本批有 "&amp;$S1841&amp;" 行没单价，整批运费先挂账没摊",IF(AND($B1841&lt;&gt;"",COUNTIF($B$4:$B$2503,$B1841)&gt;1),"※入库单号重复","")))))))</f>
        <v/>
      </c>
    </row>
    <row r="1842">
      <c r="A1842" s="24">
        <f>IF($G1842="","",COUNTA($G$4:$G1842))</f>
        <v/>
      </c>
      <c r="B1842" s="17" t="n"/>
      <c r="C1842" s="30" t="n"/>
      <c r="D1842" s="17" t="n"/>
      <c r="E1842" s="17" t="n"/>
      <c r="F1842" s="17" t="n"/>
      <c r="G1842" s="17" t="n"/>
      <c r="H1842" s="24">
        <f>IF($G1842="","",IFERROR(VLOOKUP($G1842,物料档案!$A$4:$P$1203,3,0),"※编码不在物料档案里"))</f>
        <v/>
      </c>
      <c r="I1842" s="24">
        <f>IF($G1842="","",IFERROR(VLOOKUP($G1842,物料档案!$A$4:$P$1203,4,0),"※编码不在物料档案里"))</f>
        <v/>
      </c>
      <c r="J1842" s="24">
        <f>IF($G1842="","",IFERROR(VLOOKUP($G1842,物料档案!$A$4:$P$1203,5,0),"※编码不在物料档案里"))</f>
        <v/>
      </c>
      <c r="K1842" s="23" t="n"/>
      <c r="L1842" s="31" t="n"/>
      <c r="M1842" s="24">
        <f>IF($G1842="","",IF($D1842="A国内","CNY","TZS"))</f>
        <v/>
      </c>
      <c r="N1842" s="28">
        <f>IF($G1842="","",IF($D1842="A国内",汇率,1))</f>
        <v/>
      </c>
      <c r="O1842" s="25">
        <f>IF($G1842="","",ROUND(N($K1842)*N($L1842),2))</f>
        <v/>
      </c>
      <c r="P1842" s="26">
        <f>IF($G1842="","",ROUND($O1842*$N1842,0))</f>
        <v/>
      </c>
      <c r="Q1842" s="26">
        <f>IF($G1842="","",SUMIFS($P$4:$P$2503,$E$4:$E$2503,$E1842,$Z$4:$Z$2503,"正常"))</f>
        <v/>
      </c>
      <c r="R1842" s="26">
        <f>IF($G1842="","",SUMIFS(费用台账!$I$4:$I$503,费用台账!$C$4:$C$503,$E1842,费用台账!$J$4:$J$503,"是",费用台账!$K$4:$K$503,"正常"))</f>
        <v/>
      </c>
      <c r="S1842" s="28">
        <f>IF($G1842="","",COUNTIFS($E$4:$E$2503,$E1842,$Z$4:$Z$2503,"正常",$Y$4:$Y$2503,"待补价"))</f>
        <v/>
      </c>
      <c r="T1842" s="26">
        <f>IF($G1842="","",SUMIFS($P$4:$P$2503,$E$4:$E$2503,$E1842,$Z$4:$Z$2503,"正常",$A$4:$A$2503,"&lt;="&amp;$A1842))</f>
        <v/>
      </c>
      <c r="U1842" s="26">
        <f>IF($G1842="","",IF(OR($S1842&gt;0,$Q1842=0,$R1842=0,$Z1842&lt;&gt;"正常"),0,ROUND($T1842/$Q1842*$R1842,0)-ROUND(($T1842-$P1842)/$Q1842*$R1842,0)))</f>
        <v/>
      </c>
      <c r="V1842" s="26">
        <f>IF($G1842="","",ROUND($P1842+$U1842,0))</f>
        <v/>
      </c>
      <c r="W1842" s="26">
        <f>IF($G1842="","",IF(N($K1842)=0,0,ROUND($V1842/$K1842,2)))</f>
        <v/>
      </c>
      <c r="X1842" s="17" t="n"/>
      <c r="Y1842" s="17" t="n"/>
      <c r="Z1842" s="17" t="n"/>
      <c r="AA1842" s="17" t="n"/>
      <c r="AB1842" s="17" t="n"/>
      <c r="AC1842" s="24">
        <f>IF($G1842="","",IF($H1842="※编码不在物料档案里","※物料编码不在档案里",IF(N($K1842)&lt;=0,"※入库数量要大于 0",IF(AND($C1842&lt;&gt;"",$C1842&lt;=结账锁),"※日期早于已结账截止日，不能再录",IF(AND($L1842=0,$X1842="正常"),"※没填单价，价格状态请选「待补价」",IF(AND($S1842&gt;0,$R1842&gt;0),"△本批有 "&amp;$S1842&amp;" 行没单价，整批运费先挂账没摊",IF(AND($B1842&lt;&gt;"",COUNTIF($B$4:$B$2503,$B1842)&gt;1),"※入库单号重复","")))))))</f>
        <v/>
      </c>
    </row>
    <row r="1843">
      <c r="A1843" s="24">
        <f>IF($G1843="","",COUNTA($G$4:$G1843))</f>
        <v/>
      </c>
      <c r="B1843" s="17" t="n"/>
      <c r="C1843" s="30" t="n"/>
      <c r="D1843" s="17" t="n"/>
      <c r="E1843" s="17" t="n"/>
      <c r="F1843" s="17" t="n"/>
      <c r="G1843" s="17" t="n"/>
      <c r="H1843" s="24">
        <f>IF($G1843="","",IFERROR(VLOOKUP($G1843,物料档案!$A$4:$P$1203,3,0),"※编码不在物料档案里"))</f>
        <v/>
      </c>
      <c r="I1843" s="24">
        <f>IF($G1843="","",IFERROR(VLOOKUP($G1843,物料档案!$A$4:$P$1203,4,0),"※编码不在物料档案里"))</f>
        <v/>
      </c>
      <c r="J1843" s="24">
        <f>IF($G1843="","",IFERROR(VLOOKUP($G1843,物料档案!$A$4:$P$1203,5,0),"※编码不在物料档案里"))</f>
        <v/>
      </c>
      <c r="K1843" s="23" t="n"/>
      <c r="L1843" s="31" t="n"/>
      <c r="M1843" s="24">
        <f>IF($G1843="","",IF($D1843="A国内","CNY","TZS"))</f>
        <v/>
      </c>
      <c r="N1843" s="28">
        <f>IF($G1843="","",IF($D1843="A国内",汇率,1))</f>
        <v/>
      </c>
      <c r="O1843" s="25">
        <f>IF($G1843="","",ROUND(N($K1843)*N($L1843),2))</f>
        <v/>
      </c>
      <c r="P1843" s="26">
        <f>IF($G1843="","",ROUND($O1843*$N1843,0))</f>
        <v/>
      </c>
      <c r="Q1843" s="26">
        <f>IF($G1843="","",SUMIFS($P$4:$P$2503,$E$4:$E$2503,$E1843,$Z$4:$Z$2503,"正常"))</f>
        <v/>
      </c>
      <c r="R1843" s="26">
        <f>IF($G1843="","",SUMIFS(费用台账!$I$4:$I$503,费用台账!$C$4:$C$503,$E1843,费用台账!$J$4:$J$503,"是",费用台账!$K$4:$K$503,"正常"))</f>
        <v/>
      </c>
      <c r="S1843" s="28">
        <f>IF($G1843="","",COUNTIFS($E$4:$E$2503,$E1843,$Z$4:$Z$2503,"正常",$Y$4:$Y$2503,"待补价"))</f>
        <v/>
      </c>
      <c r="T1843" s="26">
        <f>IF($G1843="","",SUMIFS($P$4:$P$2503,$E$4:$E$2503,$E1843,$Z$4:$Z$2503,"正常",$A$4:$A$2503,"&lt;="&amp;$A1843))</f>
        <v/>
      </c>
      <c r="U1843" s="26">
        <f>IF($G1843="","",IF(OR($S1843&gt;0,$Q1843=0,$R1843=0,$Z1843&lt;&gt;"正常"),0,ROUND($T1843/$Q1843*$R1843,0)-ROUND(($T1843-$P1843)/$Q1843*$R1843,0)))</f>
        <v/>
      </c>
      <c r="V1843" s="26">
        <f>IF($G1843="","",ROUND($P1843+$U1843,0))</f>
        <v/>
      </c>
      <c r="W1843" s="26">
        <f>IF($G1843="","",IF(N($K1843)=0,0,ROUND($V1843/$K1843,2)))</f>
        <v/>
      </c>
      <c r="X1843" s="17" t="n"/>
      <c r="Y1843" s="17" t="n"/>
      <c r="Z1843" s="17" t="n"/>
      <c r="AA1843" s="17" t="n"/>
      <c r="AB1843" s="17" t="n"/>
      <c r="AC1843" s="24">
        <f>IF($G1843="","",IF($H1843="※编码不在物料档案里","※物料编码不在档案里",IF(N($K1843)&lt;=0,"※入库数量要大于 0",IF(AND($C1843&lt;&gt;"",$C1843&lt;=结账锁),"※日期早于已结账截止日，不能再录",IF(AND($L1843=0,$X1843="正常"),"※没填单价，价格状态请选「待补价」",IF(AND($S1843&gt;0,$R1843&gt;0),"△本批有 "&amp;$S1843&amp;" 行没单价，整批运费先挂账没摊",IF(AND($B1843&lt;&gt;"",COUNTIF($B$4:$B$2503,$B1843)&gt;1),"※入库单号重复","")))))))</f>
        <v/>
      </c>
    </row>
    <row r="1844">
      <c r="A1844" s="24">
        <f>IF($G1844="","",COUNTA($G$4:$G1844))</f>
        <v/>
      </c>
      <c r="B1844" s="17" t="n"/>
      <c r="C1844" s="30" t="n"/>
      <c r="D1844" s="17" t="n"/>
      <c r="E1844" s="17" t="n"/>
      <c r="F1844" s="17" t="n"/>
      <c r="G1844" s="17" t="n"/>
      <c r="H1844" s="24">
        <f>IF($G1844="","",IFERROR(VLOOKUP($G1844,物料档案!$A$4:$P$1203,3,0),"※编码不在物料档案里"))</f>
        <v/>
      </c>
      <c r="I1844" s="24">
        <f>IF($G1844="","",IFERROR(VLOOKUP($G1844,物料档案!$A$4:$P$1203,4,0),"※编码不在物料档案里"))</f>
        <v/>
      </c>
      <c r="J1844" s="24">
        <f>IF($G1844="","",IFERROR(VLOOKUP($G1844,物料档案!$A$4:$P$1203,5,0),"※编码不在物料档案里"))</f>
        <v/>
      </c>
      <c r="K1844" s="23" t="n"/>
      <c r="L1844" s="31" t="n"/>
      <c r="M1844" s="24">
        <f>IF($G1844="","",IF($D1844="A国内","CNY","TZS"))</f>
        <v/>
      </c>
      <c r="N1844" s="28">
        <f>IF($G1844="","",IF($D1844="A国内",汇率,1))</f>
        <v/>
      </c>
      <c r="O1844" s="25">
        <f>IF($G1844="","",ROUND(N($K1844)*N($L1844),2))</f>
        <v/>
      </c>
      <c r="P1844" s="26">
        <f>IF($G1844="","",ROUND($O1844*$N1844,0))</f>
        <v/>
      </c>
      <c r="Q1844" s="26">
        <f>IF($G1844="","",SUMIFS($P$4:$P$2503,$E$4:$E$2503,$E1844,$Z$4:$Z$2503,"正常"))</f>
        <v/>
      </c>
      <c r="R1844" s="26">
        <f>IF($G1844="","",SUMIFS(费用台账!$I$4:$I$503,费用台账!$C$4:$C$503,$E1844,费用台账!$J$4:$J$503,"是",费用台账!$K$4:$K$503,"正常"))</f>
        <v/>
      </c>
      <c r="S1844" s="28">
        <f>IF($G1844="","",COUNTIFS($E$4:$E$2503,$E1844,$Z$4:$Z$2503,"正常",$Y$4:$Y$2503,"待补价"))</f>
        <v/>
      </c>
      <c r="T1844" s="26">
        <f>IF($G1844="","",SUMIFS($P$4:$P$2503,$E$4:$E$2503,$E1844,$Z$4:$Z$2503,"正常",$A$4:$A$2503,"&lt;="&amp;$A1844))</f>
        <v/>
      </c>
      <c r="U1844" s="26">
        <f>IF($G1844="","",IF(OR($S1844&gt;0,$Q1844=0,$R1844=0,$Z1844&lt;&gt;"正常"),0,ROUND($T1844/$Q1844*$R1844,0)-ROUND(($T1844-$P1844)/$Q1844*$R1844,0)))</f>
        <v/>
      </c>
      <c r="V1844" s="26">
        <f>IF($G1844="","",ROUND($P1844+$U1844,0))</f>
        <v/>
      </c>
      <c r="W1844" s="26">
        <f>IF($G1844="","",IF(N($K1844)=0,0,ROUND($V1844/$K1844,2)))</f>
        <v/>
      </c>
      <c r="X1844" s="17" t="n"/>
      <c r="Y1844" s="17" t="n"/>
      <c r="Z1844" s="17" t="n"/>
      <c r="AA1844" s="17" t="n"/>
      <c r="AB1844" s="17" t="n"/>
      <c r="AC1844" s="24">
        <f>IF($G1844="","",IF($H1844="※编码不在物料档案里","※物料编码不在档案里",IF(N($K1844)&lt;=0,"※入库数量要大于 0",IF(AND($C1844&lt;&gt;"",$C1844&lt;=结账锁),"※日期早于已结账截止日，不能再录",IF(AND($L1844=0,$X1844="正常"),"※没填单价，价格状态请选「待补价」",IF(AND($S1844&gt;0,$R1844&gt;0),"△本批有 "&amp;$S1844&amp;" 行没单价，整批运费先挂账没摊",IF(AND($B1844&lt;&gt;"",COUNTIF($B$4:$B$2503,$B1844)&gt;1),"※入库单号重复","")))))))</f>
        <v/>
      </c>
    </row>
    <row r="1845">
      <c r="A1845" s="24">
        <f>IF($G1845="","",COUNTA($G$4:$G1845))</f>
        <v/>
      </c>
      <c r="B1845" s="17" t="n"/>
      <c r="C1845" s="30" t="n"/>
      <c r="D1845" s="17" t="n"/>
      <c r="E1845" s="17" t="n"/>
      <c r="F1845" s="17" t="n"/>
      <c r="G1845" s="17" t="n"/>
      <c r="H1845" s="24">
        <f>IF($G1845="","",IFERROR(VLOOKUP($G1845,物料档案!$A$4:$P$1203,3,0),"※编码不在物料档案里"))</f>
        <v/>
      </c>
      <c r="I1845" s="24">
        <f>IF($G1845="","",IFERROR(VLOOKUP($G1845,物料档案!$A$4:$P$1203,4,0),"※编码不在物料档案里"))</f>
        <v/>
      </c>
      <c r="J1845" s="24">
        <f>IF($G1845="","",IFERROR(VLOOKUP($G1845,物料档案!$A$4:$P$1203,5,0),"※编码不在物料档案里"))</f>
        <v/>
      </c>
      <c r="K1845" s="23" t="n"/>
      <c r="L1845" s="31" t="n"/>
      <c r="M1845" s="24">
        <f>IF($G1845="","",IF($D1845="A国内","CNY","TZS"))</f>
        <v/>
      </c>
      <c r="N1845" s="28">
        <f>IF($G1845="","",IF($D1845="A国内",汇率,1))</f>
        <v/>
      </c>
      <c r="O1845" s="25">
        <f>IF($G1845="","",ROUND(N($K1845)*N($L1845),2))</f>
        <v/>
      </c>
      <c r="P1845" s="26">
        <f>IF($G1845="","",ROUND($O1845*$N1845,0))</f>
        <v/>
      </c>
      <c r="Q1845" s="26">
        <f>IF($G1845="","",SUMIFS($P$4:$P$2503,$E$4:$E$2503,$E1845,$Z$4:$Z$2503,"正常"))</f>
        <v/>
      </c>
      <c r="R1845" s="26">
        <f>IF($G1845="","",SUMIFS(费用台账!$I$4:$I$503,费用台账!$C$4:$C$503,$E1845,费用台账!$J$4:$J$503,"是",费用台账!$K$4:$K$503,"正常"))</f>
        <v/>
      </c>
      <c r="S1845" s="28">
        <f>IF($G1845="","",COUNTIFS($E$4:$E$2503,$E1845,$Z$4:$Z$2503,"正常",$Y$4:$Y$2503,"待补价"))</f>
        <v/>
      </c>
      <c r="T1845" s="26">
        <f>IF($G1845="","",SUMIFS($P$4:$P$2503,$E$4:$E$2503,$E1845,$Z$4:$Z$2503,"正常",$A$4:$A$2503,"&lt;="&amp;$A1845))</f>
        <v/>
      </c>
      <c r="U1845" s="26">
        <f>IF($G1845="","",IF(OR($S1845&gt;0,$Q1845=0,$R1845=0,$Z1845&lt;&gt;"正常"),0,ROUND($T1845/$Q1845*$R1845,0)-ROUND(($T1845-$P1845)/$Q1845*$R1845,0)))</f>
        <v/>
      </c>
      <c r="V1845" s="26">
        <f>IF($G1845="","",ROUND($P1845+$U1845,0))</f>
        <v/>
      </c>
      <c r="W1845" s="26">
        <f>IF($G1845="","",IF(N($K1845)=0,0,ROUND($V1845/$K1845,2)))</f>
        <v/>
      </c>
      <c r="X1845" s="17" t="n"/>
      <c r="Y1845" s="17" t="n"/>
      <c r="Z1845" s="17" t="n"/>
      <c r="AA1845" s="17" t="n"/>
      <c r="AB1845" s="17" t="n"/>
      <c r="AC1845" s="24">
        <f>IF($G1845="","",IF($H1845="※编码不在物料档案里","※物料编码不在档案里",IF(N($K1845)&lt;=0,"※入库数量要大于 0",IF(AND($C1845&lt;&gt;"",$C1845&lt;=结账锁),"※日期早于已结账截止日，不能再录",IF(AND($L1845=0,$X1845="正常"),"※没填单价，价格状态请选「待补价」",IF(AND($S1845&gt;0,$R1845&gt;0),"△本批有 "&amp;$S1845&amp;" 行没单价，整批运费先挂账没摊",IF(AND($B1845&lt;&gt;"",COUNTIF($B$4:$B$2503,$B1845)&gt;1),"※入库单号重复","")))))))</f>
        <v/>
      </c>
    </row>
    <row r="1846">
      <c r="A1846" s="24">
        <f>IF($G1846="","",COUNTA($G$4:$G1846))</f>
        <v/>
      </c>
      <c r="B1846" s="17" t="n"/>
      <c r="C1846" s="30" t="n"/>
      <c r="D1846" s="17" t="n"/>
      <c r="E1846" s="17" t="n"/>
      <c r="F1846" s="17" t="n"/>
      <c r="G1846" s="17" t="n"/>
      <c r="H1846" s="24">
        <f>IF($G1846="","",IFERROR(VLOOKUP($G1846,物料档案!$A$4:$P$1203,3,0),"※编码不在物料档案里"))</f>
        <v/>
      </c>
      <c r="I1846" s="24">
        <f>IF($G1846="","",IFERROR(VLOOKUP($G1846,物料档案!$A$4:$P$1203,4,0),"※编码不在物料档案里"))</f>
        <v/>
      </c>
      <c r="J1846" s="24">
        <f>IF($G1846="","",IFERROR(VLOOKUP($G1846,物料档案!$A$4:$P$1203,5,0),"※编码不在物料档案里"))</f>
        <v/>
      </c>
      <c r="K1846" s="23" t="n"/>
      <c r="L1846" s="31" t="n"/>
      <c r="M1846" s="24">
        <f>IF($G1846="","",IF($D1846="A国内","CNY","TZS"))</f>
        <v/>
      </c>
      <c r="N1846" s="28">
        <f>IF($G1846="","",IF($D1846="A国内",汇率,1))</f>
        <v/>
      </c>
      <c r="O1846" s="25">
        <f>IF($G1846="","",ROUND(N($K1846)*N($L1846),2))</f>
        <v/>
      </c>
      <c r="P1846" s="26">
        <f>IF($G1846="","",ROUND($O1846*$N1846,0))</f>
        <v/>
      </c>
      <c r="Q1846" s="26">
        <f>IF($G1846="","",SUMIFS($P$4:$P$2503,$E$4:$E$2503,$E1846,$Z$4:$Z$2503,"正常"))</f>
        <v/>
      </c>
      <c r="R1846" s="26">
        <f>IF($G1846="","",SUMIFS(费用台账!$I$4:$I$503,费用台账!$C$4:$C$503,$E1846,费用台账!$J$4:$J$503,"是",费用台账!$K$4:$K$503,"正常"))</f>
        <v/>
      </c>
      <c r="S1846" s="28">
        <f>IF($G1846="","",COUNTIFS($E$4:$E$2503,$E1846,$Z$4:$Z$2503,"正常",$Y$4:$Y$2503,"待补价"))</f>
        <v/>
      </c>
      <c r="T1846" s="26">
        <f>IF($G1846="","",SUMIFS($P$4:$P$2503,$E$4:$E$2503,$E1846,$Z$4:$Z$2503,"正常",$A$4:$A$2503,"&lt;="&amp;$A1846))</f>
        <v/>
      </c>
      <c r="U1846" s="26">
        <f>IF($G1846="","",IF(OR($S1846&gt;0,$Q1846=0,$R1846=0,$Z1846&lt;&gt;"正常"),0,ROUND($T1846/$Q1846*$R1846,0)-ROUND(($T1846-$P1846)/$Q1846*$R1846,0)))</f>
        <v/>
      </c>
      <c r="V1846" s="26">
        <f>IF($G1846="","",ROUND($P1846+$U1846,0))</f>
        <v/>
      </c>
      <c r="W1846" s="26">
        <f>IF($G1846="","",IF(N($K1846)=0,0,ROUND($V1846/$K1846,2)))</f>
        <v/>
      </c>
      <c r="X1846" s="17" t="n"/>
      <c r="Y1846" s="17" t="n"/>
      <c r="Z1846" s="17" t="n"/>
      <c r="AA1846" s="17" t="n"/>
      <c r="AB1846" s="17" t="n"/>
      <c r="AC1846" s="24">
        <f>IF($G1846="","",IF($H1846="※编码不在物料档案里","※物料编码不在档案里",IF(N($K1846)&lt;=0,"※入库数量要大于 0",IF(AND($C1846&lt;&gt;"",$C1846&lt;=结账锁),"※日期早于已结账截止日，不能再录",IF(AND($L1846=0,$X1846="正常"),"※没填单价，价格状态请选「待补价」",IF(AND($S1846&gt;0,$R1846&gt;0),"△本批有 "&amp;$S1846&amp;" 行没单价，整批运费先挂账没摊",IF(AND($B1846&lt;&gt;"",COUNTIF($B$4:$B$2503,$B1846)&gt;1),"※入库单号重复","")))))))</f>
        <v/>
      </c>
    </row>
    <row r="1847">
      <c r="A1847" s="24">
        <f>IF($G1847="","",COUNTA($G$4:$G1847))</f>
        <v/>
      </c>
      <c r="B1847" s="17" t="n"/>
      <c r="C1847" s="30" t="n"/>
      <c r="D1847" s="17" t="n"/>
      <c r="E1847" s="17" t="n"/>
      <c r="F1847" s="17" t="n"/>
      <c r="G1847" s="17" t="n"/>
      <c r="H1847" s="24">
        <f>IF($G1847="","",IFERROR(VLOOKUP($G1847,物料档案!$A$4:$P$1203,3,0),"※编码不在物料档案里"))</f>
        <v/>
      </c>
      <c r="I1847" s="24">
        <f>IF($G1847="","",IFERROR(VLOOKUP($G1847,物料档案!$A$4:$P$1203,4,0),"※编码不在物料档案里"))</f>
        <v/>
      </c>
      <c r="J1847" s="24">
        <f>IF($G1847="","",IFERROR(VLOOKUP($G1847,物料档案!$A$4:$P$1203,5,0),"※编码不在物料档案里"))</f>
        <v/>
      </c>
      <c r="K1847" s="23" t="n"/>
      <c r="L1847" s="31" t="n"/>
      <c r="M1847" s="24">
        <f>IF($G1847="","",IF($D1847="A国内","CNY","TZS"))</f>
        <v/>
      </c>
      <c r="N1847" s="28">
        <f>IF($G1847="","",IF($D1847="A国内",汇率,1))</f>
        <v/>
      </c>
      <c r="O1847" s="25">
        <f>IF($G1847="","",ROUND(N($K1847)*N($L1847),2))</f>
        <v/>
      </c>
      <c r="P1847" s="26">
        <f>IF($G1847="","",ROUND($O1847*$N1847,0))</f>
        <v/>
      </c>
      <c r="Q1847" s="26">
        <f>IF($G1847="","",SUMIFS($P$4:$P$2503,$E$4:$E$2503,$E1847,$Z$4:$Z$2503,"正常"))</f>
        <v/>
      </c>
      <c r="R1847" s="26">
        <f>IF($G1847="","",SUMIFS(费用台账!$I$4:$I$503,费用台账!$C$4:$C$503,$E1847,费用台账!$J$4:$J$503,"是",费用台账!$K$4:$K$503,"正常"))</f>
        <v/>
      </c>
      <c r="S1847" s="28">
        <f>IF($G1847="","",COUNTIFS($E$4:$E$2503,$E1847,$Z$4:$Z$2503,"正常",$Y$4:$Y$2503,"待补价"))</f>
        <v/>
      </c>
      <c r="T1847" s="26">
        <f>IF($G1847="","",SUMIFS($P$4:$P$2503,$E$4:$E$2503,$E1847,$Z$4:$Z$2503,"正常",$A$4:$A$2503,"&lt;="&amp;$A1847))</f>
        <v/>
      </c>
      <c r="U1847" s="26">
        <f>IF($G1847="","",IF(OR($S1847&gt;0,$Q1847=0,$R1847=0,$Z1847&lt;&gt;"正常"),0,ROUND($T1847/$Q1847*$R1847,0)-ROUND(($T1847-$P1847)/$Q1847*$R1847,0)))</f>
        <v/>
      </c>
      <c r="V1847" s="26">
        <f>IF($G1847="","",ROUND($P1847+$U1847,0))</f>
        <v/>
      </c>
      <c r="W1847" s="26">
        <f>IF($G1847="","",IF(N($K1847)=0,0,ROUND($V1847/$K1847,2)))</f>
        <v/>
      </c>
      <c r="X1847" s="17" t="n"/>
      <c r="Y1847" s="17" t="n"/>
      <c r="Z1847" s="17" t="n"/>
      <c r="AA1847" s="17" t="n"/>
      <c r="AB1847" s="17" t="n"/>
      <c r="AC1847" s="24">
        <f>IF($G1847="","",IF($H1847="※编码不在物料档案里","※物料编码不在档案里",IF(N($K1847)&lt;=0,"※入库数量要大于 0",IF(AND($C1847&lt;&gt;"",$C1847&lt;=结账锁),"※日期早于已结账截止日，不能再录",IF(AND($L1847=0,$X1847="正常"),"※没填单价，价格状态请选「待补价」",IF(AND($S1847&gt;0,$R1847&gt;0),"△本批有 "&amp;$S1847&amp;" 行没单价，整批运费先挂账没摊",IF(AND($B1847&lt;&gt;"",COUNTIF($B$4:$B$2503,$B1847)&gt;1),"※入库单号重复","")))))))</f>
        <v/>
      </c>
    </row>
    <row r="1848">
      <c r="A1848" s="24">
        <f>IF($G1848="","",COUNTA($G$4:$G1848))</f>
        <v/>
      </c>
      <c r="B1848" s="17" t="n"/>
      <c r="C1848" s="30" t="n"/>
      <c r="D1848" s="17" t="n"/>
      <c r="E1848" s="17" t="n"/>
      <c r="F1848" s="17" t="n"/>
      <c r="G1848" s="17" t="n"/>
      <c r="H1848" s="24">
        <f>IF($G1848="","",IFERROR(VLOOKUP($G1848,物料档案!$A$4:$P$1203,3,0),"※编码不在物料档案里"))</f>
        <v/>
      </c>
      <c r="I1848" s="24">
        <f>IF($G1848="","",IFERROR(VLOOKUP($G1848,物料档案!$A$4:$P$1203,4,0),"※编码不在物料档案里"))</f>
        <v/>
      </c>
      <c r="J1848" s="24">
        <f>IF($G1848="","",IFERROR(VLOOKUP($G1848,物料档案!$A$4:$P$1203,5,0),"※编码不在物料档案里"))</f>
        <v/>
      </c>
      <c r="K1848" s="23" t="n"/>
      <c r="L1848" s="31" t="n"/>
      <c r="M1848" s="24">
        <f>IF($G1848="","",IF($D1848="A国内","CNY","TZS"))</f>
        <v/>
      </c>
      <c r="N1848" s="28">
        <f>IF($G1848="","",IF($D1848="A国内",汇率,1))</f>
        <v/>
      </c>
      <c r="O1848" s="25">
        <f>IF($G1848="","",ROUND(N($K1848)*N($L1848),2))</f>
        <v/>
      </c>
      <c r="P1848" s="26">
        <f>IF($G1848="","",ROUND($O1848*$N1848,0))</f>
        <v/>
      </c>
      <c r="Q1848" s="26">
        <f>IF($G1848="","",SUMIFS($P$4:$P$2503,$E$4:$E$2503,$E1848,$Z$4:$Z$2503,"正常"))</f>
        <v/>
      </c>
      <c r="R1848" s="26">
        <f>IF($G1848="","",SUMIFS(费用台账!$I$4:$I$503,费用台账!$C$4:$C$503,$E1848,费用台账!$J$4:$J$503,"是",费用台账!$K$4:$K$503,"正常"))</f>
        <v/>
      </c>
      <c r="S1848" s="28">
        <f>IF($G1848="","",COUNTIFS($E$4:$E$2503,$E1848,$Z$4:$Z$2503,"正常",$Y$4:$Y$2503,"待补价"))</f>
        <v/>
      </c>
      <c r="T1848" s="26">
        <f>IF($G1848="","",SUMIFS($P$4:$P$2503,$E$4:$E$2503,$E1848,$Z$4:$Z$2503,"正常",$A$4:$A$2503,"&lt;="&amp;$A1848))</f>
        <v/>
      </c>
      <c r="U1848" s="26">
        <f>IF($G1848="","",IF(OR($S1848&gt;0,$Q1848=0,$R1848=0,$Z1848&lt;&gt;"正常"),0,ROUND($T1848/$Q1848*$R1848,0)-ROUND(($T1848-$P1848)/$Q1848*$R1848,0)))</f>
        <v/>
      </c>
      <c r="V1848" s="26">
        <f>IF($G1848="","",ROUND($P1848+$U1848,0))</f>
        <v/>
      </c>
      <c r="W1848" s="26">
        <f>IF($G1848="","",IF(N($K1848)=0,0,ROUND($V1848/$K1848,2)))</f>
        <v/>
      </c>
      <c r="X1848" s="17" t="n"/>
      <c r="Y1848" s="17" t="n"/>
      <c r="Z1848" s="17" t="n"/>
      <c r="AA1848" s="17" t="n"/>
      <c r="AB1848" s="17" t="n"/>
      <c r="AC1848" s="24">
        <f>IF($G1848="","",IF($H1848="※编码不在物料档案里","※物料编码不在档案里",IF(N($K1848)&lt;=0,"※入库数量要大于 0",IF(AND($C1848&lt;&gt;"",$C1848&lt;=结账锁),"※日期早于已结账截止日，不能再录",IF(AND($L1848=0,$X1848="正常"),"※没填单价，价格状态请选「待补价」",IF(AND($S1848&gt;0,$R1848&gt;0),"△本批有 "&amp;$S1848&amp;" 行没单价，整批运费先挂账没摊",IF(AND($B1848&lt;&gt;"",COUNTIF($B$4:$B$2503,$B1848)&gt;1),"※入库单号重复","")))))))</f>
        <v/>
      </c>
    </row>
    <row r="1849">
      <c r="A1849" s="24">
        <f>IF($G1849="","",COUNTA($G$4:$G1849))</f>
        <v/>
      </c>
      <c r="B1849" s="17" t="n"/>
      <c r="C1849" s="30" t="n"/>
      <c r="D1849" s="17" t="n"/>
      <c r="E1849" s="17" t="n"/>
      <c r="F1849" s="17" t="n"/>
      <c r="G1849" s="17" t="n"/>
      <c r="H1849" s="24">
        <f>IF($G1849="","",IFERROR(VLOOKUP($G1849,物料档案!$A$4:$P$1203,3,0),"※编码不在物料档案里"))</f>
        <v/>
      </c>
      <c r="I1849" s="24">
        <f>IF($G1849="","",IFERROR(VLOOKUP($G1849,物料档案!$A$4:$P$1203,4,0),"※编码不在物料档案里"))</f>
        <v/>
      </c>
      <c r="J1849" s="24">
        <f>IF($G1849="","",IFERROR(VLOOKUP($G1849,物料档案!$A$4:$P$1203,5,0),"※编码不在物料档案里"))</f>
        <v/>
      </c>
      <c r="K1849" s="23" t="n"/>
      <c r="L1849" s="31" t="n"/>
      <c r="M1849" s="24">
        <f>IF($G1849="","",IF($D1849="A国内","CNY","TZS"))</f>
        <v/>
      </c>
      <c r="N1849" s="28">
        <f>IF($G1849="","",IF($D1849="A国内",汇率,1))</f>
        <v/>
      </c>
      <c r="O1849" s="25">
        <f>IF($G1849="","",ROUND(N($K1849)*N($L1849),2))</f>
        <v/>
      </c>
      <c r="P1849" s="26">
        <f>IF($G1849="","",ROUND($O1849*$N1849,0))</f>
        <v/>
      </c>
      <c r="Q1849" s="26">
        <f>IF($G1849="","",SUMIFS($P$4:$P$2503,$E$4:$E$2503,$E1849,$Z$4:$Z$2503,"正常"))</f>
        <v/>
      </c>
      <c r="R1849" s="26">
        <f>IF($G1849="","",SUMIFS(费用台账!$I$4:$I$503,费用台账!$C$4:$C$503,$E1849,费用台账!$J$4:$J$503,"是",费用台账!$K$4:$K$503,"正常"))</f>
        <v/>
      </c>
      <c r="S1849" s="28">
        <f>IF($G1849="","",COUNTIFS($E$4:$E$2503,$E1849,$Z$4:$Z$2503,"正常",$Y$4:$Y$2503,"待补价"))</f>
        <v/>
      </c>
      <c r="T1849" s="26">
        <f>IF($G1849="","",SUMIFS($P$4:$P$2503,$E$4:$E$2503,$E1849,$Z$4:$Z$2503,"正常",$A$4:$A$2503,"&lt;="&amp;$A1849))</f>
        <v/>
      </c>
      <c r="U1849" s="26">
        <f>IF($G1849="","",IF(OR($S1849&gt;0,$Q1849=0,$R1849=0,$Z1849&lt;&gt;"正常"),0,ROUND($T1849/$Q1849*$R1849,0)-ROUND(($T1849-$P1849)/$Q1849*$R1849,0)))</f>
        <v/>
      </c>
      <c r="V1849" s="26">
        <f>IF($G1849="","",ROUND($P1849+$U1849,0))</f>
        <v/>
      </c>
      <c r="W1849" s="26">
        <f>IF($G1849="","",IF(N($K1849)=0,0,ROUND($V1849/$K1849,2)))</f>
        <v/>
      </c>
      <c r="X1849" s="17" t="n"/>
      <c r="Y1849" s="17" t="n"/>
      <c r="Z1849" s="17" t="n"/>
      <c r="AA1849" s="17" t="n"/>
      <c r="AB1849" s="17" t="n"/>
      <c r="AC1849" s="24">
        <f>IF($G1849="","",IF($H1849="※编码不在物料档案里","※物料编码不在档案里",IF(N($K1849)&lt;=0,"※入库数量要大于 0",IF(AND($C1849&lt;&gt;"",$C1849&lt;=结账锁),"※日期早于已结账截止日，不能再录",IF(AND($L1849=0,$X1849="正常"),"※没填单价，价格状态请选「待补价」",IF(AND($S1849&gt;0,$R1849&gt;0),"△本批有 "&amp;$S1849&amp;" 行没单价，整批运费先挂账没摊",IF(AND($B1849&lt;&gt;"",COUNTIF($B$4:$B$2503,$B1849)&gt;1),"※入库单号重复","")))))))</f>
        <v/>
      </c>
    </row>
    <row r="1850">
      <c r="A1850" s="24">
        <f>IF($G1850="","",COUNTA($G$4:$G1850))</f>
        <v/>
      </c>
      <c r="B1850" s="17" t="n"/>
      <c r="C1850" s="30" t="n"/>
      <c r="D1850" s="17" t="n"/>
      <c r="E1850" s="17" t="n"/>
      <c r="F1850" s="17" t="n"/>
      <c r="G1850" s="17" t="n"/>
      <c r="H1850" s="24">
        <f>IF($G1850="","",IFERROR(VLOOKUP($G1850,物料档案!$A$4:$P$1203,3,0),"※编码不在物料档案里"))</f>
        <v/>
      </c>
      <c r="I1850" s="24">
        <f>IF($G1850="","",IFERROR(VLOOKUP($G1850,物料档案!$A$4:$P$1203,4,0),"※编码不在物料档案里"))</f>
        <v/>
      </c>
      <c r="J1850" s="24">
        <f>IF($G1850="","",IFERROR(VLOOKUP($G1850,物料档案!$A$4:$P$1203,5,0),"※编码不在物料档案里"))</f>
        <v/>
      </c>
      <c r="K1850" s="23" t="n"/>
      <c r="L1850" s="31" t="n"/>
      <c r="M1850" s="24">
        <f>IF($G1850="","",IF($D1850="A国内","CNY","TZS"))</f>
        <v/>
      </c>
      <c r="N1850" s="28">
        <f>IF($G1850="","",IF($D1850="A国内",汇率,1))</f>
        <v/>
      </c>
      <c r="O1850" s="25">
        <f>IF($G1850="","",ROUND(N($K1850)*N($L1850),2))</f>
        <v/>
      </c>
      <c r="P1850" s="26">
        <f>IF($G1850="","",ROUND($O1850*$N1850,0))</f>
        <v/>
      </c>
      <c r="Q1850" s="26">
        <f>IF($G1850="","",SUMIFS($P$4:$P$2503,$E$4:$E$2503,$E1850,$Z$4:$Z$2503,"正常"))</f>
        <v/>
      </c>
      <c r="R1850" s="26">
        <f>IF($G1850="","",SUMIFS(费用台账!$I$4:$I$503,费用台账!$C$4:$C$503,$E1850,费用台账!$J$4:$J$503,"是",费用台账!$K$4:$K$503,"正常"))</f>
        <v/>
      </c>
      <c r="S1850" s="28">
        <f>IF($G1850="","",COUNTIFS($E$4:$E$2503,$E1850,$Z$4:$Z$2503,"正常",$Y$4:$Y$2503,"待补价"))</f>
        <v/>
      </c>
      <c r="T1850" s="26">
        <f>IF($G1850="","",SUMIFS($P$4:$P$2503,$E$4:$E$2503,$E1850,$Z$4:$Z$2503,"正常",$A$4:$A$2503,"&lt;="&amp;$A1850))</f>
        <v/>
      </c>
      <c r="U1850" s="26">
        <f>IF($G1850="","",IF(OR($S1850&gt;0,$Q1850=0,$R1850=0,$Z1850&lt;&gt;"正常"),0,ROUND($T1850/$Q1850*$R1850,0)-ROUND(($T1850-$P1850)/$Q1850*$R1850,0)))</f>
        <v/>
      </c>
      <c r="V1850" s="26">
        <f>IF($G1850="","",ROUND($P1850+$U1850,0))</f>
        <v/>
      </c>
      <c r="W1850" s="26">
        <f>IF($G1850="","",IF(N($K1850)=0,0,ROUND($V1850/$K1850,2)))</f>
        <v/>
      </c>
      <c r="X1850" s="17" t="n"/>
      <c r="Y1850" s="17" t="n"/>
      <c r="Z1850" s="17" t="n"/>
      <c r="AA1850" s="17" t="n"/>
      <c r="AB1850" s="17" t="n"/>
      <c r="AC1850" s="24">
        <f>IF($G1850="","",IF($H1850="※编码不在物料档案里","※物料编码不在档案里",IF(N($K1850)&lt;=0,"※入库数量要大于 0",IF(AND($C1850&lt;&gt;"",$C1850&lt;=结账锁),"※日期早于已结账截止日，不能再录",IF(AND($L1850=0,$X1850="正常"),"※没填单价，价格状态请选「待补价」",IF(AND($S1850&gt;0,$R1850&gt;0),"△本批有 "&amp;$S1850&amp;" 行没单价，整批运费先挂账没摊",IF(AND($B1850&lt;&gt;"",COUNTIF($B$4:$B$2503,$B1850)&gt;1),"※入库单号重复","")))))))</f>
        <v/>
      </c>
    </row>
    <row r="1851">
      <c r="A1851" s="24">
        <f>IF($G1851="","",COUNTA($G$4:$G1851))</f>
        <v/>
      </c>
      <c r="B1851" s="17" t="n"/>
      <c r="C1851" s="30" t="n"/>
      <c r="D1851" s="17" t="n"/>
      <c r="E1851" s="17" t="n"/>
      <c r="F1851" s="17" t="n"/>
      <c r="G1851" s="17" t="n"/>
      <c r="H1851" s="24">
        <f>IF($G1851="","",IFERROR(VLOOKUP($G1851,物料档案!$A$4:$P$1203,3,0),"※编码不在物料档案里"))</f>
        <v/>
      </c>
      <c r="I1851" s="24">
        <f>IF($G1851="","",IFERROR(VLOOKUP($G1851,物料档案!$A$4:$P$1203,4,0),"※编码不在物料档案里"))</f>
        <v/>
      </c>
      <c r="J1851" s="24">
        <f>IF($G1851="","",IFERROR(VLOOKUP($G1851,物料档案!$A$4:$P$1203,5,0),"※编码不在物料档案里"))</f>
        <v/>
      </c>
      <c r="K1851" s="23" t="n"/>
      <c r="L1851" s="31" t="n"/>
      <c r="M1851" s="24">
        <f>IF($G1851="","",IF($D1851="A国内","CNY","TZS"))</f>
        <v/>
      </c>
      <c r="N1851" s="28">
        <f>IF($G1851="","",IF($D1851="A国内",汇率,1))</f>
        <v/>
      </c>
      <c r="O1851" s="25">
        <f>IF($G1851="","",ROUND(N($K1851)*N($L1851),2))</f>
        <v/>
      </c>
      <c r="P1851" s="26">
        <f>IF($G1851="","",ROUND($O1851*$N1851,0))</f>
        <v/>
      </c>
      <c r="Q1851" s="26">
        <f>IF($G1851="","",SUMIFS($P$4:$P$2503,$E$4:$E$2503,$E1851,$Z$4:$Z$2503,"正常"))</f>
        <v/>
      </c>
      <c r="R1851" s="26">
        <f>IF($G1851="","",SUMIFS(费用台账!$I$4:$I$503,费用台账!$C$4:$C$503,$E1851,费用台账!$J$4:$J$503,"是",费用台账!$K$4:$K$503,"正常"))</f>
        <v/>
      </c>
      <c r="S1851" s="28">
        <f>IF($G1851="","",COUNTIFS($E$4:$E$2503,$E1851,$Z$4:$Z$2503,"正常",$Y$4:$Y$2503,"待补价"))</f>
        <v/>
      </c>
      <c r="T1851" s="26">
        <f>IF($G1851="","",SUMIFS($P$4:$P$2503,$E$4:$E$2503,$E1851,$Z$4:$Z$2503,"正常",$A$4:$A$2503,"&lt;="&amp;$A1851))</f>
        <v/>
      </c>
      <c r="U1851" s="26">
        <f>IF($G1851="","",IF(OR($S1851&gt;0,$Q1851=0,$R1851=0,$Z1851&lt;&gt;"正常"),0,ROUND($T1851/$Q1851*$R1851,0)-ROUND(($T1851-$P1851)/$Q1851*$R1851,0)))</f>
        <v/>
      </c>
      <c r="V1851" s="26">
        <f>IF($G1851="","",ROUND($P1851+$U1851,0))</f>
        <v/>
      </c>
      <c r="W1851" s="26">
        <f>IF($G1851="","",IF(N($K1851)=0,0,ROUND($V1851/$K1851,2)))</f>
        <v/>
      </c>
      <c r="X1851" s="17" t="n"/>
      <c r="Y1851" s="17" t="n"/>
      <c r="Z1851" s="17" t="n"/>
      <c r="AA1851" s="17" t="n"/>
      <c r="AB1851" s="17" t="n"/>
      <c r="AC1851" s="24">
        <f>IF($G1851="","",IF($H1851="※编码不在物料档案里","※物料编码不在档案里",IF(N($K1851)&lt;=0,"※入库数量要大于 0",IF(AND($C1851&lt;&gt;"",$C1851&lt;=结账锁),"※日期早于已结账截止日，不能再录",IF(AND($L1851=0,$X1851="正常"),"※没填单价，价格状态请选「待补价」",IF(AND($S1851&gt;0,$R1851&gt;0),"△本批有 "&amp;$S1851&amp;" 行没单价，整批运费先挂账没摊",IF(AND($B1851&lt;&gt;"",COUNTIF($B$4:$B$2503,$B1851)&gt;1),"※入库单号重复","")))))))</f>
        <v/>
      </c>
    </row>
    <row r="1852">
      <c r="A1852" s="24">
        <f>IF($G1852="","",COUNTA($G$4:$G1852))</f>
        <v/>
      </c>
      <c r="B1852" s="17" t="n"/>
      <c r="C1852" s="30" t="n"/>
      <c r="D1852" s="17" t="n"/>
      <c r="E1852" s="17" t="n"/>
      <c r="F1852" s="17" t="n"/>
      <c r="G1852" s="17" t="n"/>
      <c r="H1852" s="24">
        <f>IF($G1852="","",IFERROR(VLOOKUP($G1852,物料档案!$A$4:$P$1203,3,0),"※编码不在物料档案里"))</f>
        <v/>
      </c>
      <c r="I1852" s="24">
        <f>IF($G1852="","",IFERROR(VLOOKUP($G1852,物料档案!$A$4:$P$1203,4,0),"※编码不在物料档案里"))</f>
        <v/>
      </c>
      <c r="J1852" s="24">
        <f>IF($G1852="","",IFERROR(VLOOKUP($G1852,物料档案!$A$4:$P$1203,5,0),"※编码不在物料档案里"))</f>
        <v/>
      </c>
      <c r="K1852" s="23" t="n"/>
      <c r="L1852" s="31" t="n"/>
      <c r="M1852" s="24">
        <f>IF($G1852="","",IF($D1852="A国内","CNY","TZS"))</f>
        <v/>
      </c>
      <c r="N1852" s="28">
        <f>IF($G1852="","",IF($D1852="A国内",汇率,1))</f>
        <v/>
      </c>
      <c r="O1852" s="25">
        <f>IF($G1852="","",ROUND(N($K1852)*N($L1852),2))</f>
        <v/>
      </c>
      <c r="P1852" s="26">
        <f>IF($G1852="","",ROUND($O1852*$N1852,0))</f>
        <v/>
      </c>
      <c r="Q1852" s="26">
        <f>IF($G1852="","",SUMIFS($P$4:$P$2503,$E$4:$E$2503,$E1852,$Z$4:$Z$2503,"正常"))</f>
        <v/>
      </c>
      <c r="R1852" s="26">
        <f>IF($G1852="","",SUMIFS(费用台账!$I$4:$I$503,费用台账!$C$4:$C$503,$E1852,费用台账!$J$4:$J$503,"是",费用台账!$K$4:$K$503,"正常"))</f>
        <v/>
      </c>
      <c r="S1852" s="28">
        <f>IF($G1852="","",COUNTIFS($E$4:$E$2503,$E1852,$Z$4:$Z$2503,"正常",$Y$4:$Y$2503,"待补价"))</f>
        <v/>
      </c>
      <c r="T1852" s="26">
        <f>IF($G1852="","",SUMIFS($P$4:$P$2503,$E$4:$E$2503,$E1852,$Z$4:$Z$2503,"正常",$A$4:$A$2503,"&lt;="&amp;$A1852))</f>
        <v/>
      </c>
      <c r="U1852" s="26">
        <f>IF($G1852="","",IF(OR($S1852&gt;0,$Q1852=0,$R1852=0,$Z1852&lt;&gt;"正常"),0,ROUND($T1852/$Q1852*$R1852,0)-ROUND(($T1852-$P1852)/$Q1852*$R1852,0)))</f>
        <v/>
      </c>
      <c r="V1852" s="26">
        <f>IF($G1852="","",ROUND($P1852+$U1852,0))</f>
        <v/>
      </c>
      <c r="W1852" s="26">
        <f>IF($G1852="","",IF(N($K1852)=0,0,ROUND($V1852/$K1852,2)))</f>
        <v/>
      </c>
      <c r="X1852" s="17" t="n"/>
      <c r="Y1852" s="17" t="n"/>
      <c r="Z1852" s="17" t="n"/>
      <c r="AA1852" s="17" t="n"/>
      <c r="AB1852" s="17" t="n"/>
      <c r="AC1852" s="24">
        <f>IF($G1852="","",IF($H1852="※编码不在物料档案里","※物料编码不在档案里",IF(N($K1852)&lt;=0,"※入库数量要大于 0",IF(AND($C1852&lt;&gt;"",$C1852&lt;=结账锁),"※日期早于已结账截止日，不能再录",IF(AND($L1852=0,$X1852="正常"),"※没填单价，价格状态请选「待补价」",IF(AND($S1852&gt;0,$R1852&gt;0),"△本批有 "&amp;$S1852&amp;" 行没单价，整批运费先挂账没摊",IF(AND($B1852&lt;&gt;"",COUNTIF($B$4:$B$2503,$B1852)&gt;1),"※入库单号重复","")))))))</f>
        <v/>
      </c>
    </row>
    <row r="1853">
      <c r="A1853" s="24">
        <f>IF($G1853="","",COUNTA($G$4:$G1853))</f>
        <v/>
      </c>
      <c r="B1853" s="17" t="n"/>
      <c r="C1853" s="30" t="n"/>
      <c r="D1853" s="17" t="n"/>
      <c r="E1853" s="17" t="n"/>
      <c r="F1853" s="17" t="n"/>
      <c r="G1853" s="17" t="n"/>
      <c r="H1853" s="24">
        <f>IF($G1853="","",IFERROR(VLOOKUP($G1853,物料档案!$A$4:$P$1203,3,0),"※编码不在物料档案里"))</f>
        <v/>
      </c>
      <c r="I1853" s="24">
        <f>IF($G1853="","",IFERROR(VLOOKUP($G1853,物料档案!$A$4:$P$1203,4,0),"※编码不在物料档案里"))</f>
        <v/>
      </c>
      <c r="J1853" s="24">
        <f>IF($G1853="","",IFERROR(VLOOKUP($G1853,物料档案!$A$4:$P$1203,5,0),"※编码不在物料档案里"))</f>
        <v/>
      </c>
      <c r="K1853" s="23" t="n"/>
      <c r="L1853" s="31" t="n"/>
      <c r="M1853" s="24">
        <f>IF($G1853="","",IF($D1853="A国内","CNY","TZS"))</f>
        <v/>
      </c>
      <c r="N1853" s="28">
        <f>IF($G1853="","",IF($D1853="A国内",汇率,1))</f>
        <v/>
      </c>
      <c r="O1853" s="25">
        <f>IF($G1853="","",ROUND(N($K1853)*N($L1853),2))</f>
        <v/>
      </c>
      <c r="P1853" s="26">
        <f>IF($G1853="","",ROUND($O1853*$N1853,0))</f>
        <v/>
      </c>
      <c r="Q1853" s="26">
        <f>IF($G1853="","",SUMIFS($P$4:$P$2503,$E$4:$E$2503,$E1853,$Z$4:$Z$2503,"正常"))</f>
        <v/>
      </c>
      <c r="R1853" s="26">
        <f>IF($G1853="","",SUMIFS(费用台账!$I$4:$I$503,费用台账!$C$4:$C$503,$E1853,费用台账!$J$4:$J$503,"是",费用台账!$K$4:$K$503,"正常"))</f>
        <v/>
      </c>
      <c r="S1853" s="28">
        <f>IF($G1853="","",COUNTIFS($E$4:$E$2503,$E1853,$Z$4:$Z$2503,"正常",$Y$4:$Y$2503,"待补价"))</f>
        <v/>
      </c>
      <c r="T1853" s="26">
        <f>IF($G1853="","",SUMIFS($P$4:$P$2503,$E$4:$E$2503,$E1853,$Z$4:$Z$2503,"正常",$A$4:$A$2503,"&lt;="&amp;$A1853))</f>
        <v/>
      </c>
      <c r="U1853" s="26">
        <f>IF($G1853="","",IF(OR($S1853&gt;0,$Q1853=0,$R1853=0,$Z1853&lt;&gt;"正常"),0,ROUND($T1853/$Q1853*$R1853,0)-ROUND(($T1853-$P1853)/$Q1853*$R1853,0)))</f>
        <v/>
      </c>
      <c r="V1853" s="26">
        <f>IF($G1853="","",ROUND($P1853+$U1853,0))</f>
        <v/>
      </c>
      <c r="W1853" s="26">
        <f>IF($G1853="","",IF(N($K1853)=0,0,ROUND($V1853/$K1853,2)))</f>
        <v/>
      </c>
      <c r="X1853" s="17" t="n"/>
      <c r="Y1853" s="17" t="n"/>
      <c r="Z1853" s="17" t="n"/>
      <c r="AA1853" s="17" t="n"/>
      <c r="AB1853" s="17" t="n"/>
      <c r="AC1853" s="24">
        <f>IF($G1853="","",IF($H1853="※编码不在物料档案里","※物料编码不在档案里",IF(N($K1853)&lt;=0,"※入库数量要大于 0",IF(AND($C1853&lt;&gt;"",$C1853&lt;=结账锁),"※日期早于已结账截止日，不能再录",IF(AND($L1853=0,$X1853="正常"),"※没填单价，价格状态请选「待补价」",IF(AND($S1853&gt;0,$R1853&gt;0),"△本批有 "&amp;$S1853&amp;" 行没单价，整批运费先挂账没摊",IF(AND($B1853&lt;&gt;"",COUNTIF($B$4:$B$2503,$B1853)&gt;1),"※入库单号重复","")))))))</f>
        <v/>
      </c>
    </row>
    <row r="1854">
      <c r="A1854" s="24">
        <f>IF($G1854="","",COUNTA($G$4:$G1854))</f>
        <v/>
      </c>
      <c r="B1854" s="17" t="n"/>
      <c r="C1854" s="30" t="n"/>
      <c r="D1854" s="17" t="n"/>
      <c r="E1854" s="17" t="n"/>
      <c r="F1854" s="17" t="n"/>
      <c r="G1854" s="17" t="n"/>
      <c r="H1854" s="24">
        <f>IF($G1854="","",IFERROR(VLOOKUP($G1854,物料档案!$A$4:$P$1203,3,0),"※编码不在物料档案里"))</f>
        <v/>
      </c>
      <c r="I1854" s="24">
        <f>IF($G1854="","",IFERROR(VLOOKUP($G1854,物料档案!$A$4:$P$1203,4,0),"※编码不在物料档案里"))</f>
        <v/>
      </c>
      <c r="J1854" s="24">
        <f>IF($G1854="","",IFERROR(VLOOKUP($G1854,物料档案!$A$4:$P$1203,5,0),"※编码不在物料档案里"))</f>
        <v/>
      </c>
      <c r="K1854" s="23" t="n"/>
      <c r="L1854" s="31" t="n"/>
      <c r="M1854" s="24">
        <f>IF($G1854="","",IF($D1854="A国内","CNY","TZS"))</f>
        <v/>
      </c>
      <c r="N1854" s="28">
        <f>IF($G1854="","",IF($D1854="A国内",汇率,1))</f>
        <v/>
      </c>
      <c r="O1854" s="25">
        <f>IF($G1854="","",ROUND(N($K1854)*N($L1854),2))</f>
        <v/>
      </c>
      <c r="P1854" s="26">
        <f>IF($G1854="","",ROUND($O1854*$N1854,0))</f>
        <v/>
      </c>
      <c r="Q1854" s="26">
        <f>IF($G1854="","",SUMIFS($P$4:$P$2503,$E$4:$E$2503,$E1854,$Z$4:$Z$2503,"正常"))</f>
        <v/>
      </c>
      <c r="R1854" s="26">
        <f>IF($G1854="","",SUMIFS(费用台账!$I$4:$I$503,费用台账!$C$4:$C$503,$E1854,费用台账!$J$4:$J$503,"是",费用台账!$K$4:$K$503,"正常"))</f>
        <v/>
      </c>
      <c r="S1854" s="28">
        <f>IF($G1854="","",COUNTIFS($E$4:$E$2503,$E1854,$Z$4:$Z$2503,"正常",$Y$4:$Y$2503,"待补价"))</f>
        <v/>
      </c>
      <c r="T1854" s="26">
        <f>IF($G1854="","",SUMIFS($P$4:$P$2503,$E$4:$E$2503,$E1854,$Z$4:$Z$2503,"正常",$A$4:$A$2503,"&lt;="&amp;$A1854))</f>
        <v/>
      </c>
      <c r="U1854" s="26">
        <f>IF($G1854="","",IF(OR($S1854&gt;0,$Q1854=0,$R1854=0,$Z1854&lt;&gt;"正常"),0,ROUND($T1854/$Q1854*$R1854,0)-ROUND(($T1854-$P1854)/$Q1854*$R1854,0)))</f>
        <v/>
      </c>
      <c r="V1854" s="26">
        <f>IF($G1854="","",ROUND($P1854+$U1854,0))</f>
        <v/>
      </c>
      <c r="W1854" s="26">
        <f>IF($G1854="","",IF(N($K1854)=0,0,ROUND($V1854/$K1854,2)))</f>
        <v/>
      </c>
      <c r="X1854" s="17" t="n"/>
      <c r="Y1854" s="17" t="n"/>
      <c r="Z1854" s="17" t="n"/>
      <c r="AA1854" s="17" t="n"/>
      <c r="AB1854" s="17" t="n"/>
      <c r="AC1854" s="24">
        <f>IF($G1854="","",IF($H1854="※编码不在物料档案里","※物料编码不在档案里",IF(N($K1854)&lt;=0,"※入库数量要大于 0",IF(AND($C1854&lt;&gt;"",$C1854&lt;=结账锁),"※日期早于已结账截止日，不能再录",IF(AND($L1854=0,$X1854="正常"),"※没填单价，价格状态请选「待补价」",IF(AND($S1854&gt;0,$R1854&gt;0),"△本批有 "&amp;$S1854&amp;" 行没单价，整批运费先挂账没摊",IF(AND($B1854&lt;&gt;"",COUNTIF($B$4:$B$2503,$B1854)&gt;1),"※入库单号重复","")))))))</f>
        <v/>
      </c>
    </row>
    <row r="1855">
      <c r="A1855" s="24">
        <f>IF($G1855="","",COUNTA($G$4:$G1855))</f>
        <v/>
      </c>
      <c r="B1855" s="17" t="n"/>
      <c r="C1855" s="30" t="n"/>
      <c r="D1855" s="17" t="n"/>
      <c r="E1855" s="17" t="n"/>
      <c r="F1855" s="17" t="n"/>
      <c r="G1855" s="17" t="n"/>
      <c r="H1855" s="24">
        <f>IF($G1855="","",IFERROR(VLOOKUP($G1855,物料档案!$A$4:$P$1203,3,0),"※编码不在物料档案里"))</f>
        <v/>
      </c>
      <c r="I1855" s="24">
        <f>IF($G1855="","",IFERROR(VLOOKUP($G1855,物料档案!$A$4:$P$1203,4,0),"※编码不在物料档案里"))</f>
        <v/>
      </c>
      <c r="J1855" s="24">
        <f>IF($G1855="","",IFERROR(VLOOKUP($G1855,物料档案!$A$4:$P$1203,5,0),"※编码不在物料档案里"))</f>
        <v/>
      </c>
      <c r="K1855" s="23" t="n"/>
      <c r="L1855" s="31" t="n"/>
      <c r="M1855" s="24">
        <f>IF($G1855="","",IF($D1855="A国内","CNY","TZS"))</f>
        <v/>
      </c>
      <c r="N1855" s="28">
        <f>IF($G1855="","",IF($D1855="A国内",汇率,1))</f>
        <v/>
      </c>
      <c r="O1855" s="25">
        <f>IF($G1855="","",ROUND(N($K1855)*N($L1855),2))</f>
        <v/>
      </c>
      <c r="P1855" s="26">
        <f>IF($G1855="","",ROUND($O1855*$N1855,0))</f>
        <v/>
      </c>
      <c r="Q1855" s="26">
        <f>IF($G1855="","",SUMIFS($P$4:$P$2503,$E$4:$E$2503,$E1855,$Z$4:$Z$2503,"正常"))</f>
        <v/>
      </c>
      <c r="R1855" s="26">
        <f>IF($G1855="","",SUMIFS(费用台账!$I$4:$I$503,费用台账!$C$4:$C$503,$E1855,费用台账!$J$4:$J$503,"是",费用台账!$K$4:$K$503,"正常"))</f>
        <v/>
      </c>
      <c r="S1855" s="28">
        <f>IF($G1855="","",COUNTIFS($E$4:$E$2503,$E1855,$Z$4:$Z$2503,"正常",$Y$4:$Y$2503,"待补价"))</f>
        <v/>
      </c>
      <c r="T1855" s="26">
        <f>IF($G1855="","",SUMIFS($P$4:$P$2503,$E$4:$E$2503,$E1855,$Z$4:$Z$2503,"正常",$A$4:$A$2503,"&lt;="&amp;$A1855))</f>
        <v/>
      </c>
      <c r="U1855" s="26">
        <f>IF($G1855="","",IF(OR($S1855&gt;0,$Q1855=0,$R1855=0,$Z1855&lt;&gt;"正常"),0,ROUND($T1855/$Q1855*$R1855,0)-ROUND(($T1855-$P1855)/$Q1855*$R1855,0)))</f>
        <v/>
      </c>
      <c r="V1855" s="26">
        <f>IF($G1855="","",ROUND($P1855+$U1855,0))</f>
        <v/>
      </c>
      <c r="W1855" s="26">
        <f>IF($G1855="","",IF(N($K1855)=0,0,ROUND($V1855/$K1855,2)))</f>
        <v/>
      </c>
      <c r="X1855" s="17" t="n"/>
      <c r="Y1855" s="17" t="n"/>
      <c r="Z1855" s="17" t="n"/>
      <c r="AA1855" s="17" t="n"/>
      <c r="AB1855" s="17" t="n"/>
      <c r="AC1855" s="24">
        <f>IF($G1855="","",IF($H1855="※编码不在物料档案里","※物料编码不在档案里",IF(N($K1855)&lt;=0,"※入库数量要大于 0",IF(AND($C1855&lt;&gt;"",$C1855&lt;=结账锁),"※日期早于已结账截止日，不能再录",IF(AND($L1855=0,$X1855="正常"),"※没填单价，价格状态请选「待补价」",IF(AND($S1855&gt;0,$R1855&gt;0),"△本批有 "&amp;$S1855&amp;" 行没单价，整批运费先挂账没摊",IF(AND($B1855&lt;&gt;"",COUNTIF($B$4:$B$2503,$B1855)&gt;1),"※入库单号重复","")))))))</f>
        <v/>
      </c>
    </row>
    <row r="1856">
      <c r="A1856" s="24">
        <f>IF($G1856="","",COUNTA($G$4:$G1856))</f>
        <v/>
      </c>
      <c r="B1856" s="17" t="n"/>
      <c r="C1856" s="30" t="n"/>
      <c r="D1856" s="17" t="n"/>
      <c r="E1856" s="17" t="n"/>
      <c r="F1856" s="17" t="n"/>
      <c r="G1856" s="17" t="n"/>
      <c r="H1856" s="24">
        <f>IF($G1856="","",IFERROR(VLOOKUP($G1856,物料档案!$A$4:$P$1203,3,0),"※编码不在物料档案里"))</f>
        <v/>
      </c>
      <c r="I1856" s="24">
        <f>IF($G1856="","",IFERROR(VLOOKUP($G1856,物料档案!$A$4:$P$1203,4,0),"※编码不在物料档案里"))</f>
        <v/>
      </c>
      <c r="J1856" s="24">
        <f>IF($G1856="","",IFERROR(VLOOKUP($G1856,物料档案!$A$4:$P$1203,5,0),"※编码不在物料档案里"))</f>
        <v/>
      </c>
      <c r="K1856" s="23" t="n"/>
      <c r="L1856" s="31" t="n"/>
      <c r="M1856" s="24">
        <f>IF($G1856="","",IF($D1856="A国内","CNY","TZS"))</f>
        <v/>
      </c>
      <c r="N1856" s="28">
        <f>IF($G1856="","",IF($D1856="A国内",汇率,1))</f>
        <v/>
      </c>
      <c r="O1856" s="25">
        <f>IF($G1856="","",ROUND(N($K1856)*N($L1856),2))</f>
        <v/>
      </c>
      <c r="P1856" s="26">
        <f>IF($G1856="","",ROUND($O1856*$N1856,0))</f>
        <v/>
      </c>
      <c r="Q1856" s="26">
        <f>IF($G1856="","",SUMIFS($P$4:$P$2503,$E$4:$E$2503,$E1856,$Z$4:$Z$2503,"正常"))</f>
        <v/>
      </c>
      <c r="R1856" s="26">
        <f>IF($G1856="","",SUMIFS(费用台账!$I$4:$I$503,费用台账!$C$4:$C$503,$E1856,费用台账!$J$4:$J$503,"是",费用台账!$K$4:$K$503,"正常"))</f>
        <v/>
      </c>
      <c r="S1856" s="28">
        <f>IF($G1856="","",COUNTIFS($E$4:$E$2503,$E1856,$Z$4:$Z$2503,"正常",$Y$4:$Y$2503,"待补价"))</f>
        <v/>
      </c>
      <c r="T1856" s="26">
        <f>IF($G1856="","",SUMIFS($P$4:$P$2503,$E$4:$E$2503,$E1856,$Z$4:$Z$2503,"正常",$A$4:$A$2503,"&lt;="&amp;$A1856))</f>
        <v/>
      </c>
      <c r="U1856" s="26">
        <f>IF($G1856="","",IF(OR($S1856&gt;0,$Q1856=0,$R1856=0,$Z1856&lt;&gt;"正常"),0,ROUND($T1856/$Q1856*$R1856,0)-ROUND(($T1856-$P1856)/$Q1856*$R1856,0)))</f>
        <v/>
      </c>
      <c r="V1856" s="26">
        <f>IF($G1856="","",ROUND($P1856+$U1856,0))</f>
        <v/>
      </c>
      <c r="W1856" s="26">
        <f>IF($G1856="","",IF(N($K1856)=0,0,ROUND($V1856/$K1856,2)))</f>
        <v/>
      </c>
      <c r="X1856" s="17" t="n"/>
      <c r="Y1856" s="17" t="n"/>
      <c r="Z1856" s="17" t="n"/>
      <c r="AA1856" s="17" t="n"/>
      <c r="AB1856" s="17" t="n"/>
      <c r="AC1856" s="24">
        <f>IF($G1856="","",IF($H1856="※编码不在物料档案里","※物料编码不在档案里",IF(N($K1856)&lt;=0,"※入库数量要大于 0",IF(AND($C1856&lt;&gt;"",$C1856&lt;=结账锁),"※日期早于已结账截止日，不能再录",IF(AND($L1856=0,$X1856="正常"),"※没填单价，价格状态请选「待补价」",IF(AND($S1856&gt;0,$R1856&gt;0),"△本批有 "&amp;$S1856&amp;" 行没单价，整批运费先挂账没摊",IF(AND($B1856&lt;&gt;"",COUNTIF($B$4:$B$2503,$B1856)&gt;1),"※入库单号重复","")))))))</f>
        <v/>
      </c>
    </row>
    <row r="1857">
      <c r="A1857" s="24">
        <f>IF($G1857="","",COUNTA($G$4:$G1857))</f>
        <v/>
      </c>
      <c r="B1857" s="17" t="n"/>
      <c r="C1857" s="30" t="n"/>
      <c r="D1857" s="17" t="n"/>
      <c r="E1857" s="17" t="n"/>
      <c r="F1857" s="17" t="n"/>
      <c r="G1857" s="17" t="n"/>
      <c r="H1857" s="24">
        <f>IF($G1857="","",IFERROR(VLOOKUP($G1857,物料档案!$A$4:$P$1203,3,0),"※编码不在物料档案里"))</f>
        <v/>
      </c>
      <c r="I1857" s="24">
        <f>IF($G1857="","",IFERROR(VLOOKUP($G1857,物料档案!$A$4:$P$1203,4,0),"※编码不在物料档案里"))</f>
        <v/>
      </c>
      <c r="J1857" s="24">
        <f>IF($G1857="","",IFERROR(VLOOKUP($G1857,物料档案!$A$4:$P$1203,5,0),"※编码不在物料档案里"))</f>
        <v/>
      </c>
      <c r="K1857" s="23" t="n"/>
      <c r="L1857" s="31" t="n"/>
      <c r="M1857" s="24">
        <f>IF($G1857="","",IF($D1857="A国内","CNY","TZS"))</f>
        <v/>
      </c>
      <c r="N1857" s="28">
        <f>IF($G1857="","",IF($D1857="A国内",汇率,1))</f>
        <v/>
      </c>
      <c r="O1857" s="25">
        <f>IF($G1857="","",ROUND(N($K1857)*N($L1857),2))</f>
        <v/>
      </c>
      <c r="P1857" s="26">
        <f>IF($G1857="","",ROUND($O1857*$N1857,0))</f>
        <v/>
      </c>
      <c r="Q1857" s="26">
        <f>IF($G1857="","",SUMIFS($P$4:$P$2503,$E$4:$E$2503,$E1857,$Z$4:$Z$2503,"正常"))</f>
        <v/>
      </c>
      <c r="R1857" s="26">
        <f>IF($G1857="","",SUMIFS(费用台账!$I$4:$I$503,费用台账!$C$4:$C$503,$E1857,费用台账!$J$4:$J$503,"是",费用台账!$K$4:$K$503,"正常"))</f>
        <v/>
      </c>
      <c r="S1857" s="28">
        <f>IF($G1857="","",COUNTIFS($E$4:$E$2503,$E1857,$Z$4:$Z$2503,"正常",$Y$4:$Y$2503,"待补价"))</f>
        <v/>
      </c>
      <c r="T1857" s="26">
        <f>IF($G1857="","",SUMIFS($P$4:$P$2503,$E$4:$E$2503,$E1857,$Z$4:$Z$2503,"正常",$A$4:$A$2503,"&lt;="&amp;$A1857))</f>
        <v/>
      </c>
      <c r="U1857" s="26">
        <f>IF($G1857="","",IF(OR($S1857&gt;0,$Q1857=0,$R1857=0,$Z1857&lt;&gt;"正常"),0,ROUND($T1857/$Q1857*$R1857,0)-ROUND(($T1857-$P1857)/$Q1857*$R1857,0)))</f>
        <v/>
      </c>
      <c r="V1857" s="26">
        <f>IF($G1857="","",ROUND($P1857+$U1857,0))</f>
        <v/>
      </c>
      <c r="W1857" s="26">
        <f>IF($G1857="","",IF(N($K1857)=0,0,ROUND($V1857/$K1857,2)))</f>
        <v/>
      </c>
      <c r="X1857" s="17" t="n"/>
      <c r="Y1857" s="17" t="n"/>
      <c r="Z1857" s="17" t="n"/>
      <c r="AA1857" s="17" t="n"/>
      <c r="AB1857" s="17" t="n"/>
      <c r="AC1857" s="24">
        <f>IF($G1857="","",IF($H1857="※编码不在物料档案里","※物料编码不在档案里",IF(N($K1857)&lt;=0,"※入库数量要大于 0",IF(AND($C1857&lt;&gt;"",$C1857&lt;=结账锁),"※日期早于已结账截止日，不能再录",IF(AND($L1857=0,$X1857="正常"),"※没填单价，价格状态请选「待补价」",IF(AND($S1857&gt;0,$R1857&gt;0),"△本批有 "&amp;$S1857&amp;" 行没单价，整批运费先挂账没摊",IF(AND($B1857&lt;&gt;"",COUNTIF($B$4:$B$2503,$B1857)&gt;1),"※入库单号重复","")))))))</f>
        <v/>
      </c>
    </row>
    <row r="1858">
      <c r="A1858" s="24">
        <f>IF($G1858="","",COUNTA($G$4:$G1858))</f>
        <v/>
      </c>
      <c r="B1858" s="17" t="n"/>
      <c r="C1858" s="30" t="n"/>
      <c r="D1858" s="17" t="n"/>
      <c r="E1858" s="17" t="n"/>
      <c r="F1858" s="17" t="n"/>
      <c r="G1858" s="17" t="n"/>
      <c r="H1858" s="24">
        <f>IF($G1858="","",IFERROR(VLOOKUP($G1858,物料档案!$A$4:$P$1203,3,0),"※编码不在物料档案里"))</f>
        <v/>
      </c>
      <c r="I1858" s="24">
        <f>IF($G1858="","",IFERROR(VLOOKUP($G1858,物料档案!$A$4:$P$1203,4,0),"※编码不在物料档案里"))</f>
        <v/>
      </c>
      <c r="J1858" s="24">
        <f>IF($G1858="","",IFERROR(VLOOKUP($G1858,物料档案!$A$4:$P$1203,5,0),"※编码不在物料档案里"))</f>
        <v/>
      </c>
      <c r="K1858" s="23" t="n"/>
      <c r="L1858" s="31" t="n"/>
      <c r="M1858" s="24">
        <f>IF($G1858="","",IF($D1858="A国内","CNY","TZS"))</f>
        <v/>
      </c>
      <c r="N1858" s="28">
        <f>IF($G1858="","",IF($D1858="A国内",汇率,1))</f>
        <v/>
      </c>
      <c r="O1858" s="25">
        <f>IF($G1858="","",ROUND(N($K1858)*N($L1858),2))</f>
        <v/>
      </c>
      <c r="P1858" s="26">
        <f>IF($G1858="","",ROUND($O1858*$N1858,0))</f>
        <v/>
      </c>
      <c r="Q1858" s="26">
        <f>IF($G1858="","",SUMIFS($P$4:$P$2503,$E$4:$E$2503,$E1858,$Z$4:$Z$2503,"正常"))</f>
        <v/>
      </c>
      <c r="R1858" s="26">
        <f>IF($G1858="","",SUMIFS(费用台账!$I$4:$I$503,费用台账!$C$4:$C$503,$E1858,费用台账!$J$4:$J$503,"是",费用台账!$K$4:$K$503,"正常"))</f>
        <v/>
      </c>
      <c r="S1858" s="28">
        <f>IF($G1858="","",COUNTIFS($E$4:$E$2503,$E1858,$Z$4:$Z$2503,"正常",$Y$4:$Y$2503,"待补价"))</f>
        <v/>
      </c>
      <c r="T1858" s="26">
        <f>IF($G1858="","",SUMIFS($P$4:$P$2503,$E$4:$E$2503,$E1858,$Z$4:$Z$2503,"正常",$A$4:$A$2503,"&lt;="&amp;$A1858))</f>
        <v/>
      </c>
      <c r="U1858" s="26">
        <f>IF($G1858="","",IF(OR($S1858&gt;0,$Q1858=0,$R1858=0,$Z1858&lt;&gt;"正常"),0,ROUND($T1858/$Q1858*$R1858,0)-ROUND(($T1858-$P1858)/$Q1858*$R1858,0)))</f>
        <v/>
      </c>
      <c r="V1858" s="26">
        <f>IF($G1858="","",ROUND($P1858+$U1858,0))</f>
        <v/>
      </c>
      <c r="W1858" s="26">
        <f>IF($G1858="","",IF(N($K1858)=0,0,ROUND($V1858/$K1858,2)))</f>
        <v/>
      </c>
      <c r="X1858" s="17" t="n"/>
      <c r="Y1858" s="17" t="n"/>
      <c r="Z1858" s="17" t="n"/>
      <c r="AA1858" s="17" t="n"/>
      <c r="AB1858" s="17" t="n"/>
      <c r="AC1858" s="24">
        <f>IF($G1858="","",IF($H1858="※编码不在物料档案里","※物料编码不在档案里",IF(N($K1858)&lt;=0,"※入库数量要大于 0",IF(AND($C1858&lt;&gt;"",$C1858&lt;=结账锁),"※日期早于已结账截止日，不能再录",IF(AND($L1858=0,$X1858="正常"),"※没填单价，价格状态请选「待补价」",IF(AND($S1858&gt;0,$R1858&gt;0),"△本批有 "&amp;$S1858&amp;" 行没单价，整批运费先挂账没摊",IF(AND($B1858&lt;&gt;"",COUNTIF($B$4:$B$2503,$B1858)&gt;1),"※入库单号重复","")))))))</f>
        <v/>
      </c>
    </row>
    <row r="1859">
      <c r="A1859" s="24">
        <f>IF($G1859="","",COUNTA($G$4:$G1859))</f>
        <v/>
      </c>
      <c r="B1859" s="17" t="n"/>
      <c r="C1859" s="30" t="n"/>
      <c r="D1859" s="17" t="n"/>
      <c r="E1859" s="17" t="n"/>
      <c r="F1859" s="17" t="n"/>
      <c r="G1859" s="17" t="n"/>
      <c r="H1859" s="24">
        <f>IF($G1859="","",IFERROR(VLOOKUP($G1859,物料档案!$A$4:$P$1203,3,0),"※编码不在物料档案里"))</f>
        <v/>
      </c>
      <c r="I1859" s="24">
        <f>IF($G1859="","",IFERROR(VLOOKUP($G1859,物料档案!$A$4:$P$1203,4,0),"※编码不在物料档案里"))</f>
        <v/>
      </c>
      <c r="J1859" s="24">
        <f>IF($G1859="","",IFERROR(VLOOKUP($G1859,物料档案!$A$4:$P$1203,5,0),"※编码不在物料档案里"))</f>
        <v/>
      </c>
      <c r="K1859" s="23" t="n"/>
      <c r="L1859" s="31" t="n"/>
      <c r="M1859" s="24">
        <f>IF($G1859="","",IF($D1859="A国内","CNY","TZS"))</f>
        <v/>
      </c>
      <c r="N1859" s="28">
        <f>IF($G1859="","",IF($D1859="A国内",汇率,1))</f>
        <v/>
      </c>
      <c r="O1859" s="25">
        <f>IF($G1859="","",ROUND(N($K1859)*N($L1859),2))</f>
        <v/>
      </c>
      <c r="P1859" s="26">
        <f>IF($G1859="","",ROUND($O1859*$N1859,0))</f>
        <v/>
      </c>
      <c r="Q1859" s="26">
        <f>IF($G1859="","",SUMIFS($P$4:$P$2503,$E$4:$E$2503,$E1859,$Z$4:$Z$2503,"正常"))</f>
        <v/>
      </c>
      <c r="R1859" s="26">
        <f>IF($G1859="","",SUMIFS(费用台账!$I$4:$I$503,费用台账!$C$4:$C$503,$E1859,费用台账!$J$4:$J$503,"是",费用台账!$K$4:$K$503,"正常"))</f>
        <v/>
      </c>
      <c r="S1859" s="28">
        <f>IF($G1859="","",COUNTIFS($E$4:$E$2503,$E1859,$Z$4:$Z$2503,"正常",$Y$4:$Y$2503,"待补价"))</f>
        <v/>
      </c>
      <c r="T1859" s="26">
        <f>IF($G1859="","",SUMIFS($P$4:$P$2503,$E$4:$E$2503,$E1859,$Z$4:$Z$2503,"正常",$A$4:$A$2503,"&lt;="&amp;$A1859))</f>
        <v/>
      </c>
      <c r="U1859" s="26">
        <f>IF($G1859="","",IF(OR($S1859&gt;0,$Q1859=0,$R1859=0,$Z1859&lt;&gt;"正常"),0,ROUND($T1859/$Q1859*$R1859,0)-ROUND(($T1859-$P1859)/$Q1859*$R1859,0)))</f>
        <v/>
      </c>
      <c r="V1859" s="26">
        <f>IF($G1859="","",ROUND($P1859+$U1859,0))</f>
        <v/>
      </c>
      <c r="W1859" s="26">
        <f>IF($G1859="","",IF(N($K1859)=0,0,ROUND($V1859/$K1859,2)))</f>
        <v/>
      </c>
      <c r="X1859" s="17" t="n"/>
      <c r="Y1859" s="17" t="n"/>
      <c r="Z1859" s="17" t="n"/>
      <c r="AA1859" s="17" t="n"/>
      <c r="AB1859" s="17" t="n"/>
      <c r="AC1859" s="24">
        <f>IF($G1859="","",IF($H1859="※编码不在物料档案里","※物料编码不在档案里",IF(N($K1859)&lt;=0,"※入库数量要大于 0",IF(AND($C1859&lt;&gt;"",$C1859&lt;=结账锁),"※日期早于已结账截止日，不能再录",IF(AND($L1859=0,$X1859="正常"),"※没填单价，价格状态请选「待补价」",IF(AND($S1859&gt;0,$R1859&gt;0),"△本批有 "&amp;$S1859&amp;" 行没单价，整批运费先挂账没摊",IF(AND($B1859&lt;&gt;"",COUNTIF($B$4:$B$2503,$B1859)&gt;1),"※入库单号重复","")))))))</f>
        <v/>
      </c>
    </row>
    <row r="1860">
      <c r="A1860" s="24">
        <f>IF($G1860="","",COUNTA($G$4:$G1860))</f>
        <v/>
      </c>
      <c r="B1860" s="17" t="n"/>
      <c r="C1860" s="30" t="n"/>
      <c r="D1860" s="17" t="n"/>
      <c r="E1860" s="17" t="n"/>
      <c r="F1860" s="17" t="n"/>
      <c r="G1860" s="17" t="n"/>
      <c r="H1860" s="24">
        <f>IF($G1860="","",IFERROR(VLOOKUP($G1860,物料档案!$A$4:$P$1203,3,0),"※编码不在物料档案里"))</f>
        <v/>
      </c>
      <c r="I1860" s="24">
        <f>IF($G1860="","",IFERROR(VLOOKUP($G1860,物料档案!$A$4:$P$1203,4,0),"※编码不在物料档案里"))</f>
        <v/>
      </c>
      <c r="J1860" s="24">
        <f>IF($G1860="","",IFERROR(VLOOKUP($G1860,物料档案!$A$4:$P$1203,5,0),"※编码不在物料档案里"))</f>
        <v/>
      </c>
      <c r="K1860" s="23" t="n"/>
      <c r="L1860" s="31" t="n"/>
      <c r="M1860" s="24">
        <f>IF($G1860="","",IF($D1860="A国内","CNY","TZS"))</f>
        <v/>
      </c>
      <c r="N1860" s="28">
        <f>IF($G1860="","",IF($D1860="A国内",汇率,1))</f>
        <v/>
      </c>
      <c r="O1860" s="25">
        <f>IF($G1860="","",ROUND(N($K1860)*N($L1860),2))</f>
        <v/>
      </c>
      <c r="P1860" s="26">
        <f>IF($G1860="","",ROUND($O1860*$N1860,0))</f>
        <v/>
      </c>
      <c r="Q1860" s="26">
        <f>IF($G1860="","",SUMIFS($P$4:$P$2503,$E$4:$E$2503,$E1860,$Z$4:$Z$2503,"正常"))</f>
        <v/>
      </c>
      <c r="R1860" s="26">
        <f>IF($G1860="","",SUMIFS(费用台账!$I$4:$I$503,费用台账!$C$4:$C$503,$E1860,费用台账!$J$4:$J$503,"是",费用台账!$K$4:$K$503,"正常"))</f>
        <v/>
      </c>
      <c r="S1860" s="28">
        <f>IF($G1860="","",COUNTIFS($E$4:$E$2503,$E1860,$Z$4:$Z$2503,"正常",$Y$4:$Y$2503,"待补价"))</f>
        <v/>
      </c>
      <c r="T1860" s="26">
        <f>IF($G1860="","",SUMIFS($P$4:$P$2503,$E$4:$E$2503,$E1860,$Z$4:$Z$2503,"正常",$A$4:$A$2503,"&lt;="&amp;$A1860))</f>
        <v/>
      </c>
      <c r="U1860" s="26">
        <f>IF($G1860="","",IF(OR($S1860&gt;0,$Q1860=0,$R1860=0,$Z1860&lt;&gt;"正常"),0,ROUND($T1860/$Q1860*$R1860,0)-ROUND(($T1860-$P1860)/$Q1860*$R1860,0)))</f>
        <v/>
      </c>
      <c r="V1860" s="26">
        <f>IF($G1860="","",ROUND($P1860+$U1860,0))</f>
        <v/>
      </c>
      <c r="W1860" s="26">
        <f>IF($G1860="","",IF(N($K1860)=0,0,ROUND($V1860/$K1860,2)))</f>
        <v/>
      </c>
      <c r="X1860" s="17" t="n"/>
      <c r="Y1860" s="17" t="n"/>
      <c r="Z1860" s="17" t="n"/>
      <c r="AA1860" s="17" t="n"/>
      <c r="AB1860" s="17" t="n"/>
      <c r="AC1860" s="24">
        <f>IF($G1860="","",IF($H1860="※编码不在物料档案里","※物料编码不在档案里",IF(N($K1860)&lt;=0,"※入库数量要大于 0",IF(AND($C1860&lt;&gt;"",$C1860&lt;=结账锁),"※日期早于已结账截止日，不能再录",IF(AND($L1860=0,$X1860="正常"),"※没填单价，价格状态请选「待补价」",IF(AND($S1860&gt;0,$R1860&gt;0),"△本批有 "&amp;$S1860&amp;" 行没单价，整批运费先挂账没摊",IF(AND($B1860&lt;&gt;"",COUNTIF($B$4:$B$2503,$B1860)&gt;1),"※入库单号重复","")))))))</f>
        <v/>
      </c>
    </row>
    <row r="1861">
      <c r="A1861" s="24">
        <f>IF($G1861="","",COUNTA($G$4:$G1861))</f>
        <v/>
      </c>
      <c r="B1861" s="17" t="n"/>
      <c r="C1861" s="30" t="n"/>
      <c r="D1861" s="17" t="n"/>
      <c r="E1861" s="17" t="n"/>
      <c r="F1861" s="17" t="n"/>
      <c r="G1861" s="17" t="n"/>
      <c r="H1861" s="24">
        <f>IF($G1861="","",IFERROR(VLOOKUP($G1861,物料档案!$A$4:$P$1203,3,0),"※编码不在物料档案里"))</f>
        <v/>
      </c>
      <c r="I1861" s="24">
        <f>IF($G1861="","",IFERROR(VLOOKUP($G1861,物料档案!$A$4:$P$1203,4,0),"※编码不在物料档案里"))</f>
        <v/>
      </c>
      <c r="J1861" s="24">
        <f>IF($G1861="","",IFERROR(VLOOKUP($G1861,物料档案!$A$4:$P$1203,5,0),"※编码不在物料档案里"))</f>
        <v/>
      </c>
      <c r="K1861" s="23" t="n"/>
      <c r="L1861" s="31" t="n"/>
      <c r="M1861" s="24">
        <f>IF($G1861="","",IF($D1861="A国内","CNY","TZS"))</f>
        <v/>
      </c>
      <c r="N1861" s="28">
        <f>IF($G1861="","",IF($D1861="A国内",汇率,1))</f>
        <v/>
      </c>
      <c r="O1861" s="25">
        <f>IF($G1861="","",ROUND(N($K1861)*N($L1861),2))</f>
        <v/>
      </c>
      <c r="P1861" s="26">
        <f>IF($G1861="","",ROUND($O1861*$N1861,0))</f>
        <v/>
      </c>
      <c r="Q1861" s="26">
        <f>IF($G1861="","",SUMIFS($P$4:$P$2503,$E$4:$E$2503,$E1861,$Z$4:$Z$2503,"正常"))</f>
        <v/>
      </c>
      <c r="R1861" s="26">
        <f>IF($G1861="","",SUMIFS(费用台账!$I$4:$I$503,费用台账!$C$4:$C$503,$E1861,费用台账!$J$4:$J$503,"是",费用台账!$K$4:$K$503,"正常"))</f>
        <v/>
      </c>
      <c r="S1861" s="28">
        <f>IF($G1861="","",COUNTIFS($E$4:$E$2503,$E1861,$Z$4:$Z$2503,"正常",$Y$4:$Y$2503,"待补价"))</f>
        <v/>
      </c>
      <c r="T1861" s="26">
        <f>IF($G1861="","",SUMIFS($P$4:$P$2503,$E$4:$E$2503,$E1861,$Z$4:$Z$2503,"正常",$A$4:$A$2503,"&lt;="&amp;$A1861))</f>
        <v/>
      </c>
      <c r="U1861" s="26">
        <f>IF($G1861="","",IF(OR($S1861&gt;0,$Q1861=0,$R1861=0,$Z1861&lt;&gt;"正常"),0,ROUND($T1861/$Q1861*$R1861,0)-ROUND(($T1861-$P1861)/$Q1861*$R1861,0)))</f>
        <v/>
      </c>
      <c r="V1861" s="26">
        <f>IF($G1861="","",ROUND($P1861+$U1861,0))</f>
        <v/>
      </c>
      <c r="W1861" s="26">
        <f>IF($G1861="","",IF(N($K1861)=0,0,ROUND($V1861/$K1861,2)))</f>
        <v/>
      </c>
      <c r="X1861" s="17" t="n"/>
      <c r="Y1861" s="17" t="n"/>
      <c r="Z1861" s="17" t="n"/>
      <c r="AA1861" s="17" t="n"/>
      <c r="AB1861" s="17" t="n"/>
      <c r="AC1861" s="24">
        <f>IF($G1861="","",IF($H1861="※编码不在物料档案里","※物料编码不在档案里",IF(N($K1861)&lt;=0,"※入库数量要大于 0",IF(AND($C1861&lt;&gt;"",$C1861&lt;=结账锁),"※日期早于已结账截止日，不能再录",IF(AND($L1861=0,$X1861="正常"),"※没填单价，价格状态请选「待补价」",IF(AND($S1861&gt;0,$R1861&gt;0),"△本批有 "&amp;$S1861&amp;" 行没单价，整批运费先挂账没摊",IF(AND($B1861&lt;&gt;"",COUNTIF($B$4:$B$2503,$B1861)&gt;1),"※入库单号重复","")))))))</f>
        <v/>
      </c>
    </row>
    <row r="1862">
      <c r="A1862" s="24">
        <f>IF($G1862="","",COUNTA($G$4:$G1862))</f>
        <v/>
      </c>
      <c r="B1862" s="17" t="n"/>
      <c r="C1862" s="30" t="n"/>
      <c r="D1862" s="17" t="n"/>
      <c r="E1862" s="17" t="n"/>
      <c r="F1862" s="17" t="n"/>
      <c r="G1862" s="17" t="n"/>
      <c r="H1862" s="24">
        <f>IF($G1862="","",IFERROR(VLOOKUP($G1862,物料档案!$A$4:$P$1203,3,0),"※编码不在物料档案里"))</f>
        <v/>
      </c>
      <c r="I1862" s="24">
        <f>IF($G1862="","",IFERROR(VLOOKUP($G1862,物料档案!$A$4:$P$1203,4,0),"※编码不在物料档案里"))</f>
        <v/>
      </c>
      <c r="J1862" s="24">
        <f>IF($G1862="","",IFERROR(VLOOKUP($G1862,物料档案!$A$4:$P$1203,5,0),"※编码不在物料档案里"))</f>
        <v/>
      </c>
      <c r="K1862" s="23" t="n"/>
      <c r="L1862" s="31" t="n"/>
      <c r="M1862" s="24">
        <f>IF($G1862="","",IF($D1862="A国内","CNY","TZS"))</f>
        <v/>
      </c>
      <c r="N1862" s="28">
        <f>IF($G1862="","",IF($D1862="A国内",汇率,1))</f>
        <v/>
      </c>
      <c r="O1862" s="25">
        <f>IF($G1862="","",ROUND(N($K1862)*N($L1862),2))</f>
        <v/>
      </c>
      <c r="P1862" s="26">
        <f>IF($G1862="","",ROUND($O1862*$N1862,0))</f>
        <v/>
      </c>
      <c r="Q1862" s="26">
        <f>IF($G1862="","",SUMIFS($P$4:$P$2503,$E$4:$E$2503,$E1862,$Z$4:$Z$2503,"正常"))</f>
        <v/>
      </c>
      <c r="R1862" s="26">
        <f>IF($G1862="","",SUMIFS(费用台账!$I$4:$I$503,费用台账!$C$4:$C$503,$E1862,费用台账!$J$4:$J$503,"是",费用台账!$K$4:$K$503,"正常"))</f>
        <v/>
      </c>
      <c r="S1862" s="28">
        <f>IF($G1862="","",COUNTIFS($E$4:$E$2503,$E1862,$Z$4:$Z$2503,"正常",$Y$4:$Y$2503,"待补价"))</f>
        <v/>
      </c>
      <c r="T1862" s="26">
        <f>IF($G1862="","",SUMIFS($P$4:$P$2503,$E$4:$E$2503,$E1862,$Z$4:$Z$2503,"正常",$A$4:$A$2503,"&lt;="&amp;$A1862))</f>
        <v/>
      </c>
      <c r="U1862" s="26">
        <f>IF($G1862="","",IF(OR($S1862&gt;0,$Q1862=0,$R1862=0,$Z1862&lt;&gt;"正常"),0,ROUND($T1862/$Q1862*$R1862,0)-ROUND(($T1862-$P1862)/$Q1862*$R1862,0)))</f>
        <v/>
      </c>
      <c r="V1862" s="26">
        <f>IF($G1862="","",ROUND($P1862+$U1862,0))</f>
        <v/>
      </c>
      <c r="W1862" s="26">
        <f>IF($G1862="","",IF(N($K1862)=0,0,ROUND($V1862/$K1862,2)))</f>
        <v/>
      </c>
      <c r="X1862" s="17" t="n"/>
      <c r="Y1862" s="17" t="n"/>
      <c r="Z1862" s="17" t="n"/>
      <c r="AA1862" s="17" t="n"/>
      <c r="AB1862" s="17" t="n"/>
      <c r="AC1862" s="24">
        <f>IF($G1862="","",IF($H1862="※编码不在物料档案里","※物料编码不在档案里",IF(N($K1862)&lt;=0,"※入库数量要大于 0",IF(AND($C1862&lt;&gt;"",$C1862&lt;=结账锁),"※日期早于已结账截止日，不能再录",IF(AND($L1862=0,$X1862="正常"),"※没填单价，价格状态请选「待补价」",IF(AND($S1862&gt;0,$R1862&gt;0),"△本批有 "&amp;$S1862&amp;" 行没单价，整批运费先挂账没摊",IF(AND($B1862&lt;&gt;"",COUNTIF($B$4:$B$2503,$B1862)&gt;1),"※入库单号重复","")))))))</f>
        <v/>
      </c>
    </row>
    <row r="1863">
      <c r="A1863" s="24">
        <f>IF($G1863="","",COUNTA($G$4:$G1863))</f>
        <v/>
      </c>
      <c r="B1863" s="17" t="n"/>
      <c r="C1863" s="30" t="n"/>
      <c r="D1863" s="17" t="n"/>
      <c r="E1863" s="17" t="n"/>
      <c r="F1863" s="17" t="n"/>
      <c r="G1863" s="17" t="n"/>
      <c r="H1863" s="24">
        <f>IF($G1863="","",IFERROR(VLOOKUP($G1863,物料档案!$A$4:$P$1203,3,0),"※编码不在物料档案里"))</f>
        <v/>
      </c>
      <c r="I1863" s="24">
        <f>IF($G1863="","",IFERROR(VLOOKUP($G1863,物料档案!$A$4:$P$1203,4,0),"※编码不在物料档案里"))</f>
        <v/>
      </c>
      <c r="J1863" s="24">
        <f>IF($G1863="","",IFERROR(VLOOKUP($G1863,物料档案!$A$4:$P$1203,5,0),"※编码不在物料档案里"))</f>
        <v/>
      </c>
      <c r="K1863" s="23" t="n"/>
      <c r="L1863" s="31" t="n"/>
      <c r="M1863" s="24">
        <f>IF($G1863="","",IF($D1863="A国内","CNY","TZS"))</f>
        <v/>
      </c>
      <c r="N1863" s="28">
        <f>IF($G1863="","",IF($D1863="A国内",汇率,1))</f>
        <v/>
      </c>
      <c r="O1863" s="25">
        <f>IF($G1863="","",ROUND(N($K1863)*N($L1863),2))</f>
        <v/>
      </c>
      <c r="P1863" s="26">
        <f>IF($G1863="","",ROUND($O1863*$N1863,0))</f>
        <v/>
      </c>
      <c r="Q1863" s="26">
        <f>IF($G1863="","",SUMIFS($P$4:$P$2503,$E$4:$E$2503,$E1863,$Z$4:$Z$2503,"正常"))</f>
        <v/>
      </c>
      <c r="R1863" s="26">
        <f>IF($G1863="","",SUMIFS(费用台账!$I$4:$I$503,费用台账!$C$4:$C$503,$E1863,费用台账!$J$4:$J$503,"是",费用台账!$K$4:$K$503,"正常"))</f>
        <v/>
      </c>
      <c r="S1863" s="28">
        <f>IF($G1863="","",COUNTIFS($E$4:$E$2503,$E1863,$Z$4:$Z$2503,"正常",$Y$4:$Y$2503,"待补价"))</f>
        <v/>
      </c>
      <c r="T1863" s="26">
        <f>IF($G1863="","",SUMIFS($P$4:$P$2503,$E$4:$E$2503,$E1863,$Z$4:$Z$2503,"正常",$A$4:$A$2503,"&lt;="&amp;$A1863))</f>
        <v/>
      </c>
      <c r="U1863" s="26">
        <f>IF($G1863="","",IF(OR($S1863&gt;0,$Q1863=0,$R1863=0,$Z1863&lt;&gt;"正常"),0,ROUND($T1863/$Q1863*$R1863,0)-ROUND(($T1863-$P1863)/$Q1863*$R1863,0)))</f>
        <v/>
      </c>
      <c r="V1863" s="26">
        <f>IF($G1863="","",ROUND($P1863+$U1863,0))</f>
        <v/>
      </c>
      <c r="W1863" s="26">
        <f>IF($G1863="","",IF(N($K1863)=0,0,ROUND($V1863/$K1863,2)))</f>
        <v/>
      </c>
      <c r="X1863" s="17" t="n"/>
      <c r="Y1863" s="17" t="n"/>
      <c r="Z1863" s="17" t="n"/>
      <c r="AA1863" s="17" t="n"/>
      <c r="AB1863" s="17" t="n"/>
      <c r="AC1863" s="24">
        <f>IF($G1863="","",IF($H1863="※编码不在物料档案里","※物料编码不在档案里",IF(N($K1863)&lt;=0,"※入库数量要大于 0",IF(AND($C1863&lt;&gt;"",$C1863&lt;=结账锁),"※日期早于已结账截止日，不能再录",IF(AND($L1863=0,$X1863="正常"),"※没填单价，价格状态请选「待补价」",IF(AND($S1863&gt;0,$R1863&gt;0),"△本批有 "&amp;$S1863&amp;" 行没单价，整批运费先挂账没摊",IF(AND($B1863&lt;&gt;"",COUNTIF($B$4:$B$2503,$B1863)&gt;1),"※入库单号重复","")))))))</f>
        <v/>
      </c>
    </row>
    <row r="1864">
      <c r="A1864" s="24">
        <f>IF($G1864="","",COUNTA($G$4:$G1864))</f>
        <v/>
      </c>
      <c r="B1864" s="17" t="n"/>
      <c r="C1864" s="30" t="n"/>
      <c r="D1864" s="17" t="n"/>
      <c r="E1864" s="17" t="n"/>
      <c r="F1864" s="17" t="n"/>
      <c r="G1864" s="17" t="n"/>
      <c r="H1864" s="24">
        <f>IF($G1864="","",IFERROR(VLOOKUP($G1864,物料档案!$A$4:$P$1203,3,0),"※编码不在物料档案里"))</f>
        <v/>
      </c>
      <c r="I1864" s="24">
        <f>IF($G1864="","",IFERROR(VLOOKUP($G1864,物料档案!$A$4:$P$1203,4,0),"※编码不在物料档案里"))</f>
        <v/>
      </c>
      <c r="J1864" s="24">
        <f>IF($G1864="","",IFERROR(VLOOKUP($G1864,物料档案!$A$4:$P$1203,5,0),"※编码不在物料档案里"))</f>
        <v/>
      </c>
      <c r="K1864" s="23" t="n"/>
      <c r="L1864" s="31" t="n"/>
      <c r="M1864" s="24">
        <f>IF($G1864="","",IF($D1864="A国内","CNY","TZS"))</f>
        <v/>
      </c>
      <c r="N1864" s="28">
        <f>IF($G1864="","",IF($D1864="A国内",汇率,1))</f>
        <v/>
      </c>
      <c r="O1864" s="25">
        <f>IF($G1864="","",ROUND(N($K1864)*N($L1864),2))</f>
        <v/>
      </c>
      <c r="P1864" s="26">
        <f>IF($G1864="","",ROUND($O1864*$N1864,0))</f>
        <v/>
      </c>
      <c r="Q1864" s="26">
        <f>IF($G1864="","",SUMIFS($P$4:$P$2503,$E$4:$E$2503,$E1864,$Z$4:$Z$2503,"正常"))</f>
        <v/>
      </c>
      <c r="R1864" s="26">
        <f>IF($G1864="","",SUMIFS(费用台账!$I$4:$I$503,费用台账!$C$4:$C$503,$E1864,费用台账!$J$4:$J$503,"是",费用台账!$K$4:$K$503,"正常"))</f>
        <v/>
      </c>
      <c r="S1864" s="28">
        <f>IF($G1864="","",COUNTIFS($E$4:$E$2503,$E1864,$Z$4:$Z$2503,"正常",$Y$4:$Y$2503,"待补价"))</f>
        <v/>
      </c>
      <c r="T1864" s="26">
        <f>IF($G1864="","",SUMIFS($P$4:$P$2503,$E$4:$E$2503,$E1864,$Z$4:$Z$2503,"正常",$A$4:$A$2503,"&lt;="&amp;$A1864))</f>
        <v/>
      </c>
      <c r="U1864" s="26">
        <f>IF($G1864="","",IF(OR($S1864&gt;0,$Q1864=0,$R1864=0,$Z1864&lt;&gt;"正常"),0,ROUND($T1864/$Q1864*$R1864,0)-ROUND(($T1864-$P1864)/$Q1864*$R1864,0)))</f>
        <v/>
      </c>
      <c r="V1864" s="26">
        <f>IF($G1864="","",ROUND($P1864+$U1864,0))</f>
        <v/>
      </c>
      <c r="W1864" s="26">
        <f>IF($G1864="","",IF(N($K1864)=0,0,ROUND($V1864/$K1864,2)))</f>
        <v/>
      </c>
      <c r="X1864" s="17" t="n"/>
      <c r="Y1864" s="17" t="n"/>
      <c r="Z1864" s="17" t="n"/>
      <c r="AA1864" s="17" t="n"/>
      <c r="AB1864" s="17" t="n"/>
      <c r="AC1864" s="24">
        <f>IF($G1864="","",IF($H1864="※编码不在物料档案里","※物料编码不在档案里",IF(N($K1864)&lt;=0,"※入库数量要大于 0",IF(AND($C1864&lt;&gt;"",$C1864&lt;=结账锁),"※日期早于已结账截止日，不能再录",IF(AND($L1864=0,$X1864="正常"),"※没填单价，价格状态请选「待补价」",IF(AND($S1864&gt;0,$R1864&gt;0),"△本批有 "&amp;$S1864&amp;" 行没单价，整批运费先挂账没摊",IF(AND($B1864&lt;&gt;"",COUNTIF($B$4:$B$2503,$B1864)&gt;1),"※入库单号重复","")))))))</f>
        <v/>
      </c>
    </row>
    <row r="1865">
      <c r="A1865" s="24">
        <f>IF($G1865="","",COUNTA($G$4:$G1865))</f>
        <v/>
      </c>
      <c r="B1865" s="17" t="n"/>
      <c r="C1865" s="30" t="n"/>
      <c r="D1865" s="17" t="n"/>
      <c r="E1865" s="17" t="n"/>
      <c r="F1865" s="17" t="n"/>
      <c r="G1865" s="17" t="n"/>
      <c r="H1865" s="24">
        <f>IF($G1865="","",IFERROR(VLOOKUP($G1865,物料档案!$A$4:$P$1203,3,0),"※编码不在物料档案里"))</f>
        <v/>
      </c>
      <c r="I1865" s="24">
        <f>IF($G1865="","",IFERROR(VLOOKUP($G1865,物料档案!$A$4:$P$1203,4,0),"※编码不在物料档案里"))</f>
        <v/>
      </c>
      <c r="J1865" s="24">
        <f>IF($G1865="","",IFERROR(VLOOKUP($G1865,物料档案!$A$4:$P$1203,5,0),"※编码不在物料档案里"))</f>
        <v/>
      </c>
      <c r="K1865" s="23" t="n"/>
      <c r="L1865" s="31" t="n"/>
      <c r="M1865" s="24">
        <f>IF($G1865="","",IF($D1865="A国内","CNY","TZS"))</f>
        <v/>
      </c>
      <c r="N1865" s="28">
        <f>IF($G1865="","",IF($D1865="A国内",汇率,1))</f>
        <v/>
      </c>
      <c r="O1865" s="25">
        <f>IF($G1865="","",ROUND(N($K1865)*N($L1865),2))</f>
        <v/>
      </c>
      <c r="P1865" s="26">
        <f>IF($G1865="","",ROUND($O1865*$N1865,0))</f>
        <v/>
      </c>
      <c r="Q1865" s="26">
        <f>IF($G1865="","",SUMIFS($P$4:$P$2503,$E$4:$E$2503,$E1865,$Z$4:$Z$2503,"正常"))</f>
        <v/>
      </c>
      <c r="R1865" s="26">
        <f>IF($G1865="","",SUMIFS(费用台账!$I$4:$I$503,费用台账!$C$4:$C$503,$E1865,费用台账!$J$4:$J$503,"是",费用台账!$K$4:$K$503,"正常"))</f>
        <v/>
      </c>
      <c r="S1865" s="28">
        <f>IF($G1865="","",COUNTIFS($E$4:$E$2503,$E1865,$Z$4:$Z$2503,"正常",$Y$4:$Y$2503,"待补价"))</f>
        <v/>
      </c>
      <c r="T1865" s="26">
        <f>IF($G1865="","",SUMIFS($P$4:$P$2503,$E$4:$E$2503,$E1865,$Z$4:$Z$2503,"正常",$A$4:$A$2503,"&lt;="&amp;$A1865))</f>
        <v/>
      </c>
      <c r="U1865" s="26">
        <f>IF($G1865="","",IF(OR($S1865&gt;0,$Q1865=0,$R1865=0,$Z1865&lt;&gt;"正常"),0,ROUND($T1865/$Q1865*$R1865,0)-ROUND(($T1865-$P1865)/$Q1865*$R1865,0)))</f>
        <v/>
      </c>
      <c r="V1865" s="26">
        <f>IF($G1865="","",ROUND($P1865+$U1865,0))</f>
        <v/>
      </c>
      <c r="W1865" s="26">
        <f>IF($G1865="","",IF(N($K1865)=0,0,ROUND($V1865/$K1865,2)))</f>
        <v/>
      </c>
      <c r="X1865" s="17" t="n"/>
      <c r="Y1865" s="17" t="n"/>
      <c r="Z1865" s="17" t="n"/>
      <c r="AA1865" s="17" t="n"/>
      <c r="AB1865" s="17" t="n"/>
      <c r="AC1865" s="24">
        <f>IF($G1865="","",IF($H1865="※编码不在物料档案里","※物料编码不在档案里",IF(N($K1865)&lt;=0,"※入库数量要大于 0",IF(AND($C1865&lt;&gt;"",$C1865&lt;=结账锁),"※日期早于已结账截止日，不能再录",IF(AND($L1865=0,$X1865="正常"),"※没填单价，价格状态请选「待补价」",IF(AND($S1865&gt;0,$R1865&gt;0),"△本批有 "&amp;$S1865&amp;" 行没单价，整批运费先挂账没摊",IF(AND($B1865&lt;&gt;"",COUNTIF($B$4:$B$2503,$B1865)&gt;1),"※入库单号重复","")))))))</f>
        <v/>
      </c>
    </row>
    <row r="1866">
      <c r="A1866" s="24">
        <f>IF($G1866="","",COUNTA($G$4:$G1866))</f>
        <v/>
      </c>
      <c r="B1866" s="17" t="n"/>
      <c r="C1866" s="30" t="n"/>
      <c r="D1866" s="17" t="n"/>
      <c r="E1866" s="17" t="n"/>
      <c r="F1866" s="17" t="n"/>
      <c r="G1866" s="17" t="n"/>
      <c r="H1866" s="24">
        <f>IF($G1866="","",IFERROR(VLOOKUP($G1866,物料档案!$A$4:$P$1203,3,0),"※编码不在物料档案里"))</f>
        <v/>
      </c>
      <c r="I1866" s="24">
        <f>IF($G1866="","",IFERROR(VLOOKUP($G1866,物料档案!$A$4:$P$1203,4,0),"※编码不在物料档案里"))</f>
        <v/>
      </c>
      <c r="J1866" s="24">
        <f>IF($G1866="","",IFERROR(VLOOKUP($G1866,物料档案!$A$4:$P$1203,5,0),"※编码不在物料档案里"))</f>
        <v/>
      </c>
      <c r="K1866" s="23" t="n"/>
      <c r="L1866" s="31" t="n"/>
      <c r="M1866" s="24">
        <f>IF($G1866="","",IF($D1866="A国内","CNY","TZS"))</f>
        <v/>
      </c>
      <c r="N1866" s="28">
        <f>IF($G1866="","",IF($D1866="A国内",汇率,1))</f>
        <v/>
      </c>
      <c r="O1866" s="25">
        <f>IF($G1866="","",ROUND(N($K1866)*N($L1866),2))</f>
        <v/>
      </c>
      <c r="P1866" s="26">
        <f>IF($G1866="","",ROUND($O1866*$N1866,0))</f>
        <v/>
      </c>
      <c r="Q1866" s="26">
        <f>IF($G1866="","",SUMIFS($P$4:$P$2503,$E$4:$E$2503,$E1866,$Z$4:$Z$2503,"正常"))</f>
        <v/>
      </c>
      <c r="R1866" s="26">
        <f>IF($G1866="","",SUMIFS(费用台账!$I$4:$I$503,费用台账!$C$4:$C$503,$E1866,费用台账!$J$4:$J$503,"是",费用台账!$K$4:$K$503,"正常"))</f>
        <v/>
      </c>
      <c r="S1866" s="28">
        <f>IF($G1866="","",COUNTIFS($E$4:$E$2503,$E1866,$Z$4:$Z$2503,"正常",$Y$4:$Y$2503,"待补价"))</f>
        <v/>
      </c>
      <c r="T1866" s="26">
        <f>IF($G1866="","",SUMIFS($P$4:$P$2503,$E$4:$E$2503,$E1866,$Z$4:$Z$2503,"正常",$A$4:$A$2503,"&lt;="&amp;$A1866))</f>
        <v/>
      </c>
      <c r="U1866" s="26">
        <f>IF($G1866="","",IF(OR($S1866&gt;0,$Q1866=0,$R1866=0,$Z1866&lt;&gt;"正常"),0,ROUND($T1866/$Q1866*$R1866,0)-ROUND(($T1866-$P1866)/$Q1866*$R1866,0)))</f>
        <v/>
      </c>
      <c r="V1866" s="26">
        <f>IF($G1866="","",ROUND($P1866+$U1866,0))</f>
        <v/>
      </c>
      <c r="W1866" s="26">
        <f>IF($G1866="","",IF(N($K1866)=0,0,ROUND($V1866/$K1866,2)))</f>
        <v/>
      </c>
      <c r="X1866" s="17" t="n"/>
      <c r="Y1866" s="17" t="n"/>
      <c r="Z1866" s="17" t="n"/>
      <c r="AA1866" s="17" t="n"/>
      <c r="AB1866" s="17" t="n"/>
      <c r="AC1866" s="24">
        <f>IF($G1866="","",IF($H1866="※编码不在物料档案里","※物料编码不在档案里",IF(N($K1866)&lt;=0,"※入库数量要大于 0",IF(AND($C1866&lt;&gt;"",$C1866&lt;=结账锁),"※日期早于已结账截止日，不能再录",IF(AND($L1866=0,$X1866="正常"),"※没填单价，价格状态请选「待补价」",IF(AND($S1866&gt;0,$R1866&gt;0),"△本批有 "&amp;$S1866&amp;" 行没单价，整批运费先挂账没摊",IF(AND($B1866&lt;&gt;"",COUNTIF($B$4:$B$2503,$B1866)&gt;1),"※入库单号重复","")))))))</f>
        <v/>
      </c>
    </row>
    <row r="1867">
      <c r="A1867" s="24">
        <f>IF($G1867="","",COUNTA($G$4:$G1867))</f>
        <v/>
      </c>
      <c r="B1867" s="17" t="n"/>
      <c r="C1867" s="30" t="n"/>
      <c r="D1867" s="17" t="n"/>
      <c r="E1867" s="17" t="n"/>
      <c r="F1867" s="17" t="n"/>
      <c r="G1867" s="17" t="n"/>
      <c r="H1867" s="24">
        <f>IF($G1867="","",IFERROR(VLOOKUP($G1867,物料档案!$A$4:$P$1203,3,0),"※编码不在物料档案里"))</f>
        <v/>
      </c>
      <c r="I1867" s="24">
        <f>IF($G1867="","",IFERROR(VLOOKUP($G1867,物料档案!$A$4:$P$1203,4,0),"※编码不在物料档案里"))</f>
        <v/>
      </c>
      <c r="J1867" s="24">
        <f>IF($G1867="","",IFERROR(VLOOKUP($G1867,物料档案!$A$4:$P$1203,5,0),"※编码不在物料档案里"))</f>
        <v/>
      </c>
      <c r="K1867" s="23" t="n"/>
      <c r="L1867" s="31" t="n"/>
      <c r="M1867" s="24">
        <f>IF($G1867="","",IF($D1867="A国内","CNY","TZS"))</f>
        <v/>
      </c>
      <c r="N1867" s="28">
        <f>IF($G1867="","",IF($D1867="A国内",汇率,1))</f>
        <v/>
      </c>
      <c r="O1867" s="25">
        <f>IF($G1867="","",ROUND(N($K1867)*N($L1867),2))</f>
        <v/>
      </c>
      <c r="P1867" s="26">
        <f>IF($G1867="","",ROUND($O1867*$N1867,0))</f>
        <v/>
      </c>
      <c r="Q1867" s="26">
        <f>IF($G1867="","",SUMIFS($P$4:$P$2503,$E$4:$E$2503,$E1867,$Z$4:$Z$2503,"正常"))</f>
        <v/>
      </c>
      <c r="R1867" s="26">
        <f>IF($G1867="","",SUMIFS(费用台账!$I$4:$I$503,费用台账!$C$4:$C$503,$E1867,费用台账!$J$4:$J$503,"是",费用台账!$K$4:$K$503,"正常"))</f>
        <v/>
      </c>
      <c r="S1867" s="28">
        <f>IF($G1867="","",COUNTIFS($E$4:$E$2503,$E1867,$Z$4:$Z$2503,"正常",$Y$4:$Y$2503,"待补价"))</f>
        <v/>
      </c>
      <c r="T1867" s="26">
        <f>IF($G1867="","",SUMIFS($P$4:$P$2503,$E$4:$E$2503,$E1867,$Z$4:$Z$2503,"正常",$A$4:$A$2503,"&lt;="&amp;$A1867))</f>
        <v/>
      </c>
      <c r="U1867" s="26">
        <f>IF($G1867="","",IF(OR($S1867&gt;0,$Q1867=0,$R1867=0,$Z1867&lt;&gt;"正常"),0,ROUND($T1867/$Q1867*$R1867,0)-ROUND(($T1867-$P1867)/$Q1867*$R1867,0)))</f>
        <v/>
      </c>
      <c r="V1867" s="26">
        <f>IF($G1867="","",ROUND($P1867+$U1867,0))</f>
        <v/>
      </c>
      <c r="W1867" s="26">
        <f>IF($G1867="","",IF(N($K1867)=0,0,ROUND($V1867/$K1867,2)))</f>
        <v/>
      </c>
      <c r="X1867" s="17" t="n"/>
      <c r="Y1867" s="17" t="n"/>
      <c r="Z1867" s="17" t="n"/>
      <c r="AA1867" s="17" t="n"/>
      <c r="AB1867" s="17" t="n"/>
      <c r="AC1867" s="24">
        <f>IF($G1867="","",IF($H1867="※编码不在物料档案里","※物料编码不在档案里",IF(N($K1867)&lt;=0,"※入库数量要大于 0",IF(AND($C1867&lt;&gt;"",$C1867&lt;=结账锁),"※日期早于已结账截止日，不能再录",IF(AND($L1867=0,$X1867="正常"),"※没填单价，价格状态请选「待补价」",IF(AND($S1867&gt;0,$R1867&gt;0),"△本批有 "&amp;$S1867&amp;" 行没单价，整批运费先挂账没摊",IF(AND($B1867&lt;&gt;"",COUNTIF($B$4:$B$2503,$B1867)&gt;1),"※入库单号重复","")))))))</f>
        <v/>
      </c>
    </row>
    <row r="1868">
      <c r="A1868" s="24">
        <f>IF($G1868="","",COUNTA($G$4:$G1868))</f>
        <v/>
      </c>
      <c r="B1868" s="17" t="n"/>
      <c r="C1868" s="30" t="n"/>
      <c r="D1868" s="17" t="n"/>
      <c r="E1868" s="17" t="n"/>
      <c r="F1868" s="17" t="n"/>
      <c r="G1868" s="17" t="n"/>
      <c r="H1868" s="24">
        <f>IF($G1868="","",IFERROR(VLOOKUP($G1868,物料档案!$A$4:$P$1203,3,0),"※编码不在物料档案里"))</f>
        <v/>
      </c>
      <c r="I1868" s="24">
        <f>IF($G1868="","",IFERROR(VLOOKUP($G1868,物料档案!$A$4:$P$1203,4,0),"※编码不在物料档案里"))</f>
        <v/>
      </c>
      <c r="J1868" s="24">
        <f>IF($G1868="","",IFERROR(VLOOKUP($G1868,物料档案!$A$4:$P$1203,5,0),"※编码不在物料档案里"))</f>
        <v/>
      </c>
      <c r="K1868" s="23" t="n"/>
      <c r="L1868" s="31" t="n"/>
      <c r="M1868" s="24">
        <f>IF($G1868="","",IF($D1868="A国内","CNY","TZS"))</f>
        <v/>
      </c>
      <c r="N1868" s="28">
        <f>IF($G1868="","",IF($D1868="A国内",汇率,1))</f>
        <v/>
      </c>
      <c r="O1868" s="25">
        <f>IF($G1868="","",ROUND(N($K1868)*N($L1868),2))</f>
        <v/>
      </c>
      <c r="P1868" s="26">
        <f>IF($G1868="","",ROUND($O1868*$N1868,0))</f>
        <v/>
      </c>
      <c r="Q1868" s="26">
        <f>IF($G1868="","",SUMIFS($P$4:$P$2503,$E$4:$E$2503,$E1868,$Z$4:$Z$2503,"正常"))</f>
        <v/>
      </c>
      <c r="R1868" s="26">
        <f>IF($G1868="","",SUMIFS(费用台账!$I$4:$I$503,费用台账!$C$4:$C$503,$E1868,费用台账!$J$4:$J$503,"是",费用台账!$K$4:$K$503,"正常"))</f>
        <v/>
      </c>
      <c r="S1868" s="28">
        <f>IF($G1868="","",COUNTIFS($E$4:$E$2503,$E1868,$Z$4:$Z$2503,"正常",$Y$4:$Y$2503,"待补价"))</f>
        <v/>
      </c>
      <c r="T1868" s="26">
        <f>IF($G1868="","",SUMIFS($P$4:$P$2503,$E$4:$E$2503,$E1868,$Z$4:$Z$2503,"正常",$A$4:$A$2503,"&lt;="&amp;$A1868))</f>
        <v/>
      </c>
      <c r="U1868" s="26">
        <f>IF($G1868="","",IF(OR($S1868&gt;0,$Q1868=0,$R1868=0,$Z1868&lt;&gt;"正常"),0,ROUND($T1868/$Q1868*$R1868,0)-ROUND(($T1868-$P1868)/$Q1868*$R1868,0)))</f>
        <v/>
      </c>
      <c r="V1868" s="26">
        <f>IF($G1868="","",ROUND($P1868+$U1868,0))</f>
        <v/>
      </c>
      <c r="W1868" s="26">
        <f>IF($G1868="","",IF(N($K1868)=0,0,ROUND($V1868/$K1868,2)))</f>
        <v/>
      </c>
      <c r="X1868" s="17" t="n"/>
      <c r="Y1868" s="17" t="n"/>
      <c r="Z1868" s="17" t="n"/>
      <c r="AA1868" s="17" t="n"/>
      <c r="AB1868" s="17" t="n"/>
      <c r="AC1868" s="24">
        <f>IF($G1868="","",IF($H1868="※编码不在物料档案里","※物料编码不在档案里",IF(N($K1868)&lt;=0,"※入库数量要大于 0",IF(AND($C1868&lt;&gt;"",$C1868&lt;=结账锁),"※日期早于已结账截止日，不能再录",IF(AND($L1868=0,$X1868="正常"),"※没填单价，价格状态请选「待补价」",IF(AND($S1868&gt;0,$R1868&gt;0),"△本批有 "&amp;$S1868&amp;" 行没单价，整批运费先挂账没摊",IF(AND($B1868&lt;&gt;"",COUNTIF($B$4:$B$2503,$B1868)&gt;1),"※入库单号重复","")))))))</f>
        <v/>
      </c>
    </row>
    <row r="1869">
      <c r="A1869" s="24">
        <f>IF($G1869="","",COUNTA($G$4:$G1869))</f>
        <v/>
      </c>
      <c r="B1869" s="17" t="n"/>
      <c r="C1869" s="30" t="n"/>
      <c r="D1869" s="17" t="n"/>
      <c r="E1869" s="17" t="n"/>
      <c r="F1869" s="17" t="n"/>
      <c r="G1869" s="17" t="n"/>
      <c r="H1869" s="24">
        <f>IF($G1869="","",IFERROR(VLOOKUP($G1869,物料档案!$A$4:$P$1203,3,0),"※编码不在物料档案里"))</f>
        <v/>
      </c>
      <c r="I1869" s="24">
        <f>IF($G1869="","",IFERROR(VLOOKUP($G1869,物料档案!$A$4:$P$1203,4,0),"※编码不在物料档案里"))</f>
        <v/>
      </c>
      <c r="J1869" s="24">
        <f>IF($G1869="","",IFERROR(VLOOKUP($G1869,物料档案!$A$4:$P$1203,5,0),"※编码不在物料档案里"))</f>
        <v/>
      </c>
      <c r="K1869" s="23" t="n"/>
      <c r="L1869" s="31" t="n"/>
      <c r="M1869" s="24">
        <f>IF($G1869="","",IF($D1869="A国内","CNY","TZS"))</f>
        <v/>
      </c>
      <c r="N1869" s="28">
        <f>IF($G1869="","",IF($D1869="A国内",汇率,1))</f>
        <v/>
      </c>
      <c r="O1869" s="25">
        <f>IF($G1869="","",ROUND(N($K1869)*N($L1869),2))</f>
        <v/>
      </c>
      <c r="P1869" s="26">
        <f>IF($G1869="","",ROUND($O1869*$N1869,0))</f>
        <v/>
      </c>
      <c r="Q1869" s="26">
        <f>IF($G1869="","",SUMIFS($P$4:$P$2503,$E$4:$E$2503,$E1869,$Z$4:$Z$2503,"正常"))</f>
        <v/>
      </c>
      <c r="R1869" s="26">
        <f>IF($G1869="","",SUMIFS(费用台账!$I$4:$I$503,费用台账!$C$4:$C$503,$E1869,费用台账!$J$4:$J$503,"是",费用台账!$K$4:$K$503,"正常"))</f>
        <v/>
      </c>
      <c r="S1869" s="28">
        <f>IF($G1869="","",COUNTIFS($E$4:$E$2503,$E1869,$Z$4:$Z$2503,"正常",$Y$4:$Y$2503,"待补价"))</f>
        <v/>
      </c>
      <c r="T1869" s="26">
        <f>IF($G1869="","",SUMIFS($P$4:$P$2503,$E$4:$E$2503,$E1869,$Z$4:$Z$2503,"正常",$A$4:$A$2503,"&lt;="&amp;$A1869))</f>
        <v/>
      </c>
      <c r="U1869" s="26">
        <f>IF($G1869="","",IF(OR($S1869&gt;0,$Q1869=0,$R1869=0,$Z1869&lt;&gt;"正常"),0,ROUND($T1869/$Q1869*$R1869,0)-ROUND(($T1869-$P1869)/$Q1869*$R1869,0)))</f>
        <v/>
      </c>
      <c r="V1869" s="26">
        <f>IF($G1869="","",ROUND($P1869+$U1869,0))</f>
        <v/>
      </c>
      <c r="W1869" s="26">
        <f>IF($G1869="","",IF(N($K1869)=0,0,ROUND($V1869/$K1869,2)))</f>
        <v/>
      </c>
      <c r="X1869" s="17" t="n"/>
      <c r="Y1869" s="17" t="n"/>
      <c r="Z1869" s="17" t="n"/>
      <c r="AA1869" s="17" t="n"/>
      <c r="AB1869" s="17" t="n"/>
      <c r="AC1869" s="24">
        <f>IF($G1869="","",IF($H1869="※编码不在物料档案里","※物料编码不在档案里",IF(N($K1869)&lt;=0,"※入库数量要大于 0",IF(AND($C1869&lt;&gt;"",$C1869&lt;=结账锁),"※日期早于已结账截止日，不能再录",IF(AND($L1869=0,$X1869="正常"),"※没填单价，价格状态请选「待补价」",IF(AND($S1869&gt;0,$R1869&gt;0),"△本批有 "&amp;$S1869&amp;" 行没单价，整批运费先挂账没摊",IF(AND($B1869&lt;&gt;"",COUNTIF($B$4:$B$2503,$B1869)&gt;1),"※入库单号重复","")))))))</f>
        <v/>
      </c>
    </row>
    <row r="1870">
      <c r="A1870" s="24">
        <f>IF($G1870="","",COUNTA($G$4:$G1870))</f>
        <v/>
      </c>
      <c r="B1870" s="17" t="n"/>
      <c r="C1870" s="30" t="n"/>
      <c r="D1870" s="17" t="n"/>
      <c r="E1870" s="17" t="n"/>
      <c r="F1870" s="17" t="n"/>
      <c r="G1870" s="17" t="n"/>
      <c r="H1870" s="24">
        <f>IF($G1870="","",IFERROR(VLOOKUP($G1870,物料档案!$A$4:$P$1203,3,0),"※编码不在物料档案里"))</f>
        <v/>
      </c>
      <c r="I1870" s="24">
        <f>IF($G1870="","",IFERROR(VLOOKUP($G1870,物料档案!$A$4:$P$1203,4,0),"※编码不在物料档案里"))</f>
        <v/>
      </c>
      <c r="J1870" s="24">
        <f>IF($G1870="","",IFERROR(VLOOKUP($G1870,物料档案!$A$4:$P$1203,5,0),"※编码不在物料档案里"))</f>
        <v/>
      </c>
      <c r="K1870" s="23" t="n"/>
      <c r="L1870" s="31" t="n"/>
      <c r="M1870" s="24">
        <f>IF($G1870="","",IF($D1870="A国内","CNY","TZS"))</f>
        <v/>
      </c>
      <c r="N1870" s="28">
        <f>IF($G1870="","",IF($D1870="A国内",汇率,1))</f>
        <v/>
      </c>
      <c r="O1870" s="25">
        <f>IF($G1870="","",ROUND(N($K1870)*N($L1870),2))</f>
        <v/>
      </c>
      <c r="P1870" s="26">
        <f>IF($G1870="","",ROUND($O1870*$N1870,0))</f>
        <v/>
      </c>
      <c r="Q1870" s="26">
        <f>IF($G1870="","",SUMIFS($P$4:$P$2503,$E$4:$E$2503,$E1870,$Z$4:$Z$2503,"正常"))</f>
        <v/>
      </c>
      <c r="R1870" s="26">
        <f>IF($G1870="","",SUMIFS(费用台账!$I$4:$I$503,费用台账!$C$4:$C$503,$E1870,费用台账!$J$4:$J$503,"是",费用台账!$K$4:$K$503,"正常"))</f>
        <v/>
      </c>
      <c r="S1870" s="28">
        <f>IF($G1870="","",COUNTIFS($E$4:$E$2503,$E1870,$Z$4:$Z$2503,"正常",$Y$4:$Y$2503,"待补价"))</f>
        <v/>
      </c>
      <c r="T1870" s="26">
        <f>IF($G1870="","",SUMIFS($P$4:$P$2503,$E$4:$E$2503,$E1870,$Z$4:$Z$2503,"正常",$A$4:$A$2503,"&lt;="&amp;$A1870))</f>
        <v/>
      </c>
      <c r="U1870" s="26">
        <f>IF($G1870="","",IF(OR($S1870&gt;0,$Q1870=0,$R1870=0,$Z1870&lt;&gt;"正常"),0,ROUND($T1870/$Q1870*$R1870,0)-ROUND(($T1870-$P1870)/$Q1870*$R1870,0)))</f>
        <v/>
      </c>
      <c r="V1870" s="26">
        <f>IF($G1870="","",ROUND($P1870+$U1870,0))</f>
        <v/>
      </c>
      <c r="W1870" s="26">
        <f>IF($G1870="","",IF(N($K1870)=0,0,ROUND($V1870/$K1870,2)))</f>
        <v/>
      </c>
      <c r="X1870" s="17" t="n"/>
      <c r="Y1870" s="17" t="n"/>
      <c r="Z1870" s="17" t="n"/>
      <c r="AA1870" s="17" t="n"/>
      <c r="AB1870" s="17" t="n"/>
      <c r="AC1870" s="24">
        <f>IF($G1870="","",IF($H1870="※编码不在物料档案里","※物料编码不在档案里",IF(N($K1870)&lt;=0,"※入库数量要大于 0",IF(AND($C1870&lt;&gt;"",$C1870&lt;=结账锁),"※日期早于已结账截止日，不能再录",IF(AND($L1870=0,$X1870="正常"),"※没填单价，价格状态请选「待补价」",IF(AND($S1870&gt;0,$R1870&gt;0),"△本批有 "&amp;$S1870&amp;" 行没单价，整批运费先挂账没摊",IF(AND($B1870&lt;&gt;"",COUNTIF($B$4:$B$2503,$B1870)&gt;1),"※入库单号重复","")))))))</f>
        <v/>
      </c>
    </row>
    <row r="1871">
      <c r="A1871" s="24">
        <f>IF($G1871="","",COUNTA($G$4:$G1871))</f>
        <v/>
      </c>
      <c r="B1871" s="17" t="n"/>
      <c r="C1871" s="30" t="n"/>
      <c r="D1871" s="17" t="n"/>
      <c r="E1871" s="17" t="n"/>
      <c r="F1871" s="17" t="n"/>
      <c r="G1871" s="17" t="n"/>
      <c r="H1871" s="24">
        <f>IF($G1871="","",IFERROR(VLOOKUP($G1871,物料档案!$A$4:$P$1203,3,0),"※编码不在物料档案里"))</f>
        <v/>
      </c>
      <c r="I1871" s="24">
        <f>IF($G1871="","",IFERROR(VLOOKUP($G1871,物料档案!$A$4:$P$1203,4,0),"※编码不在物料档案里"))</f>
        <v/>
      </c>
      <c r="J1871" s="24">
        <f>IF($G1871="","",IFERROR(VLOOKUP($G1871,物料档案!$A$4:$P$1203,5,0),"※编码不在物料档案里"))</f>
        <v/>
      </c>
      <c r="K1871" s="23" t="n"/>
      <c r="L1871" s="31" t="n"/>
      <c r="M1871" s="24">
        <f>IF($G1871="","",IF($D1871="A国内","CNY","TZS"))</f>
        <v/>
      </c>
      <c r="N1871" s="28">
        <f>IF($G1871="","",IF($D1871="A国内",汇率,1))</f>
        <v/>
      </c>
      <c r="O1871" s="25">
        <f>IF($G1871="","",ROUND(N($K1871)*N($L1871),2))</f>
        <v/>
      </c>
      <c r="P1871" s="26">
        <f>IF($G1871="","",ROUND($O1871*$N1871,0))</f>
        <v/>
      </c>
      <c r="Q1871" s="26">
        <f>IF($G1871="","",SUMIFS($P$4:$P$2503,$E$4:$E$2503,$E1871,$Z$4:$Z$2503,"正常"))</f>
        <v/>
      </c>
      <c r="R1871" s="26">
        <f>IF($G1871="","",SUMIFS(费用台账!$I$4:$I$503,费用台账!$C$4:$C$503,$E1871,费用台账!$J$4:$J$503,"是",费用台账!$K$4:$K$503,"正常"))</f>
        <v/>
      </c>
      <c r="S1871" s="28">
        <f>IF($G1871="","",COUNTIFS($E$4:$E$2503,$E1871,$Z$4:$Z$2503,"正常",$Y$4:$Y$2503,"待补价"))</f>
        <v/>
      </c>
      <c r="T1871" s="26">
        <f>IF($G1871="","",SUMIFS($P$4:$P$2503,$E$4:$E$2503,$E1871,$Z$4:$Z$2503,"正常",$A$4:$A$2503,"&lt;="&amp;$A1871))</f>
        <v/>
      </c>
      <c r="U1871" s="26">
        <f>IF($G1871="","",IF(OR($S1871&gt;0,$Q1871=0,$R1871=0,$Z1871&lt;&gt;"正常"),0,ROUND($T1871/$Q1871*$R1871,0)-ROUND(($T1871-$P1871)/$Q1871*$R1871,0)))</f>
        <v/>
      </c>
      <c r="V1871" s="26">
        <f>IF($G1871="","",ROUND($P1871+$U1871,0))</f>
        <v/>
      </c>
      <c r="W1871" s="26">
        <f>IF($G1871="","",IF(N($K1871)=0,0,ROUND($V1871/$K1871,2)))</f>
        <v/>
      </c>
      <c r="X1871" s="17" t="n"/>
      <c r="Y1871" s="17" t="n"/>
      <c r="Z1871" s="17" t="n"/>
      <c r="AA1871" s="17" t="n"/>
      <c r="AB1871" s="17" t="n"/>
      <c r="AC1871" s="24">
        <f>IF($G1871="","",IF($H1871="※编码不在物料档案里","※物料编码不在档案里",IF(N($K1871)&lt;=0,"※入库数量要大于 0",IF(AND($C1871&lt;&gt;"",$C1871&lt;=结账锁),"※日期早于已结账截止日，不能再录",IF(AND($L1871=0,$X1871="正常"),"※没填单价，价格状态请选「待补价」",IF(AND($S1871&gt;0,$R1871&gt;0),"△本批有 "&amp;$S1871&amp;" 行没单价，整批运费先挂账没摊",IF(AND($B1871&lt;&gt;"",COUNTIF($B$4:$B$2503,$B1871)&gt;1),"※入库单号重复","")))))))</f>
        <v/>
      </c>
    </row>
    <row r="1872">
      <c r="A1872" s="24">
        <f>IF($G1872="","",COUNTA($G$4:$G1872))</f>
        <v/>
      </c>
      <c r="B1872" s="17" t="n"/>
      <c r="C1872" s="30" t="n"/>
      <c r="D1872" s="17" t="n"/>
      <c r="E1872" s="17" t="n"/>
      <c r="F1872" s="17" t="n"/>
      <c r="G1872" s="17" t="n"/>
      <c r="H1872" s="24">
        <f>IF($G1872="","",IFERROR(VLOOKUP($G1872,物料档案!$A$4:$P$1203,3,0),"※编码不在物料档案里"))</f>
        <v/>
      </c>
      <c r="I1872" s="24">
        <f>IF($G1872="","",IFERROR(VLOOKUP($G1872,物料档案!$A$4:$P$1203,4,0),"※编码不在物料档案里"))</f>
        <v/>
      </c>
      <c r="J1872" s="24">
        <f>IF($G1872="","",IFERROR(VLOOKUP($G1872,物料档案!$A$4:$P$1203,5,0),"※编码不在物料档案里"))</f>
        <v/>
      </c>
      <c r="K1872" s="23" t="n"/>
      <c r="L1872" s="31" t="n"/>
      <c r="M1872" s="24">
        <f>IF($G1872="","",IF($D1872="A国内","CNY","TZS"))</f>
        <v/>
      </c>
      <c r="N1872" s="28">
        <f>IF($G1872="","",IF($D1872="A国内",汇率,1))</f>
        <v/>
      </c>
      <c r="O1872" s="25">
        <f>IF($G1872="","",ROUND(N($K1872)*N($L1872),2))</f>
        <v/>
      </c>
      <c r="P1872" s="26">
        <f>IF($G1872="","",ROUND($O1872*$N1872,0))</f>
        <v/>
      </c>
      <c r="Q1872" s="26">
        <f>IF($G1872="","",SUMIFS($P$4:$P$2503,$E$4:$E$2503,$E1872,$Z$4:$Z$2503,"正常"))</f>
        <v/>
      </c>
      <c r="R1872" s="26">
        <f>IF($G1872="","",SUMIFS(费用台账!$I$4:$I$503,费用台账!$C$4:$C$503,$E1872,费用台账!$J$4:$J$503,"是",费用台账!$K$4:$K$503,"正常"))</f>
        <v/>
      </c>
      <c r="S1872" s="28">
        <f>IF($G1872="","",COUNTIFS($E$4:$E$2503,$E1872,$Z$4:$Z$2503,"正常",$Y$4:$Y$2503,"待补价"))</f>
        <v/>
      </c>
      <c r="T1872" s="26">
        <f>IF($G1872="","",SUMIFS($P$4:$P$2503,$E$4:$E$2503,$E1872,$Z$4:$Z$2503,"正常",$A$4:$A$2503,"&lt;="&amp;$A1872))</f>
        <v/>
      </c>
      <c r="U1872" s="26">
        <f>IF($G1872="","",IF(OR($S1872&gt;0,$Q1872=0,$R1872=0,$Z1872&lt;&gt;"正常"),0,ROUND($T1872/$Q1872*$R1872,0)-ROUND(($T1872-$P1872)/$Q1872*$R1872,0)))</f>
        <v/>
      </c>
      <c r="V1872" s="26">
        <f>IF($G1872="","",ROUND($P1872+$U1872,0))</f>
        <v/>
      </c>
      <c r="W1872" s="26">
        <f>IF($G1872="","",IF(N($K1872)=0,0,ROUND($V1872/$K1872,2)))</f>
        <v/>
      </c>
      <c r="X1872" s="17" t="n"/>
      <c r="Y1872" s="17" t="n"/>
      <c r="Z1872" s="17" t="n"/>
      <c r="AA1872" s="17" t="n"/>
      <c r="AB1872" s="17" t="n"/>
      <c r="AC1872" s="24">
        <f>IF($G1872="","",IF($H1872="※编码不在物料档案里","※物料编码不在档案里",IF(N($K1872)&lt;=0,"※入库数量要大于 0",IF(AND($C1872&lt;&gt;"",$C1872&lt;=结账锁),"※日期早于已结账截止日，不能再录",IF(AND($L1872=0,$X1872="正常"),"※没填单价，价格状态请选「待补价」",IF(AND($S1872&gt;0,$R1872&gt;0),"△本批有 "&amp;$S1872&amp;" 行没单价，整批运费先挂账没摊",IF(AND($B1872&lt;&gt;"",COUNTIF($B$4:$B$2503,$B1872)&gt;1),"※入库单号重复","")))))))</f>
        <v/>
      </c>
    </row>
    <row r="1873">
      <c r="A1873" s="24">
        <f>IF($G1873="","",COUNTA($G$4:$G1873))</f>
        <v/>
      </c>
      <c r="B1873" s="17" t="n"/>
      <c r="C1873" s="30" t="n"/>
      <c r="D1873" s="17" t="n"/>
      <c r="E1873" s="17" t="n"/>
      <c r="F1873" s="17" t="n"/>
      <c r="G1873" s="17" t="n"/>
      <c r="H1873" s="24">
        <f>IF($G1873="","",IFERROR(VLOOKUP($G1873,物料档案!$A$4:$P$1203,3,0),"※编码不在物料档案里"))</f>
        <v/>
      </c>
      <c r="I1873" s="24">
        <f>IF($G1873="","",IFERROR(VLOOKUP($G1873,物料档案!$A$4:$P$1203,4,0),"※编码不在物料档案里"))</f>
        <v/>
      </c>
      <c r="J1873" s="24">
        <f>IF($G1873="","",IFERROR(VLOOKUP($G1873,物料档案!$A$4:$P$1203,5,0),"※编码不在物料档案里"))</f>
        <v/>
      </c>
      <c r="K1873" s="23" t="n"/>
      <c r="L1873" s="31" t="n"/>
      <c r="M1873" s="24">
        <f>IF($G1873="","",IF($D1873="A国内","CNY","TZS"))</f>
        <v/>
      </c>
      <c r="N1873" s="28">
        <f>IF($G1873="","",IF($D1873="A国内",汇率,1))</f>
        <v/>
      </c>
      <c r="O1873" s="25">
        <f>IF($G1873="","",ROUND(N($K1873)*N($L1873),2))</f>
        <v/>
      </c>
      <c r="P1873" s="26">
        <f>IF($G1873="","",ROUND($O1873*$N1873,0))</f>
        <v/>
      </c>
      <c r="Q1873" s="26">
        <f>IF($G1873="","",SUMIFS($P$4:$P$2503,$E$4:$E$2503,$E1873,$Z$4:$Z$2503,"正常"))</f>
        <v/>
      </c>
      <c r="R1873" s="26">
        <f>IF($G1873="","",SUMIFS(费用台账!$I$4:$I$503,费用台账!$C$4:$C$503,$E1873,费用台账!$J$4:$J$503,"是",费用台账!$K$4:$K$503,"正常"))</f>
        <v/>
      </c>
      <c r="S1873" s="28">
        <f>IF($G1873="","",COUNTIFS($E$4:$E$2503,$E1873,$Z$4:$Z$2503,"正常",$Y$4:$Y$2503,"待补价"))</f>
        <v/>
      </c>
      <c r="T1873" s="26">
        <f>IF($G1873="","",SUMIFS($P$4:$P$2503,$E$4:$E$2503,$E1873,$Z$4:$Z$2503,"正常",$A$4:$A$2503,"&lt;="&amp;$A1873))</f>
        <v/>
      </c>
      <c r="U1873" s="26">
        <f>IF($G1873="","",IF(OR($S1873&gt;0,$Q1873=0,$R1873=0,$Z1873&lt;&gt;"正常"),0,ROUND($T1873/$Q1873*$R1873,0)-ROUND(($T1873-$P1873)/$Q1873*$R1873,0)))</f>
        <v/>
      </c>
      <c r="V1873" s="26">
        <f>IF($G1873="","",ROUND($P1873+$U1873,0))</f>
        <v/>
      </c>
      <c r="W1873" s="26">
        <f>IF($G1873="","",IF(N($K1873)=0,0,ROUND($V1873/$K1873,2)))</f>
        <v/>
      </c>
      <c r="X1873" s="17" t="n"/>
      <c r="Y1873" s="17" t="n"/>
      <c r="Z1873" s="17" t="n"/>
      <c r="AA1873" s="17" t="n"/>
      <c r="AB1873" s="17" t="n"/>
      <c r="AC1873" s="24">
        <f>IF($G1873="","",IF($H1873="※编码不在物料档案里","※物料编码不在档案里",IF(N($K1873)&lt;=0,"※入库数量要大于 0",IF(AND($C1873&lt;&gt;"",$C1873&lt;=结账锁),"※日期早于已结账截止日，不能再录",IF(AND($L1873=0,$X1873="正常"),"※没填单价，价格状态请选「待补价」",IF(AND($S1873&gt;0,$R1873&gt;0),"△本批有 "&amp;$S1873&amp;" 行没单价，整批运费先挂账没摊",IF(AND($B1873&lt;&gt;"",COUNTIF($B$4:$B$2503,$B1873)&gt;1),"※入库单号重复","")))))))</f>
        <v/>
      </c>
    </row>
    <row r="1874">
      <c r="A1874" s="24">
        <f>IF($G1874="","",COUNTA($G$4:$G1874))</f>
        <v/>
      </c>
      <c r="B1874" s="17" t="n"/>
      <c r="C1874" s="30" t="n"/>
      <c r="D1874" s="17" t="n"/>
      <c r="E1874" s="17" t="n"/>
      <c r="F1874" s="17" t="n"/>
      <c r="G1874" s="17" t="n"/>
      <c r="H1874" s="24">
        <f>IF($G1874="","",IFERROR(VLOOKUP($G1874,物料档案!$A$4:$P$1203,3,0),"※编码不在物料档案里"))</f>
        <v/>
      </c>
      <c r="I1874" s="24">
        <f>IF($G1874="","",IFERROR(VLOOKUP($G1874,物料档案!$A$4:$P$1203,4,0),"※编码不在物料档案里"))</f>
        <v/>
      </c>
      <c r="J1874" s="24">
        <f>IF($G1874="","",IFERROR(VLOOKUP($G1874,物料档案!$A$4:$P$1203,5,0),"※编码不在物料档案里"))</f>
        <v/>
      </c>
      <c r="K1874" s="23" t="n"/>
      <c r="L1874" s="31" t="n"/>
      <c r="M1874" s="24">
        <f>IF($G1874="","",IF($D1874="A国内","CNY","TZS"))</f>
        <v/>
      </c>
      <c r="N1874" s="28">
        <f>IF($G1874="","",IF($D1874="A国内",汇率,1))</f>
        <v/>
      </c>
      <c r="O1874" s="25">
        <f>IF($G1874="","",ROUND(N($K1874)*N($L1874),2))</f>
        <v/>
      </c>
      <c r="P1874" s="26">
        <f>IF($G1874="","",ROUND($O1874*$N1874,0))</f>
        <v/>
      </c>
      <c r="Q1874" s="26">
        <f>IF($G1874="","",SUMIFS($P$4:$P$2503,$E$4:$E$2503,$E1874,$Z$4:$Z$2503,"正常"))</f>
        <v/>
      </c>
      <c r="R1874" s="26">
        <f>IF($G1874="","",SUMIFS(费用台账!$I$4:$I$503,费用台账!$C$4:$C$503,$E1874,费用台账!$J$4:$J$503,"是",费用台账!$K$4:$K$503,"正常"))</f>
        <v/>
      </c>
      <c r="S1874" s="28">
        <f>IF($G1874="","",COUNTIFS($E$4:$E$2503,$E1874,$Z$4:$Z$2503,"正常",$Y$4:$Y$2503,"待补价"))</f>
        <v/>
      </c>
      <c r="T1874" s="26">
        <f>IF($G1874="","",SUMIFS($P$4:$P$2503,$E$4:$E$2503,$E1874,$Z$4:$Z$2503,"正常",$A$4:$A$2503,"&lt;="&amp;$A1874))</f>
        <v/>
      </c>
      <c r="U1874" s="26">
        <f>IF($G1874="","",IF(OR($S1874&gt;0,$Q1874=0,$R1874=0,$Z1874&lt;&gt;"正常"),0,ROUND($T1874/$Q1874*$R1874,0)-ROUND(($T1874-$P1874)/$Q1874*$R1874,0)))</f>
        <v/>
      </c>
      <c r="V1874" s="26">
        <f>IF($G1874="","",ROUND($P1874+$U1874,0))</f>
        <v/>
      </c>
      <c r="W1874" s="26">
        <f>IF($G1874="","",IF(N($K1874)=0,0,ROUND($V1874/$K1874,2)))</f>
        <v/>
      </c>
      <c r="X1874" s="17" t="n"/>
      <c r="Y1874" s="17" t="n"/>
      <c r="Z1874" s="17" t="n"/>
      <c r="AA1874" s="17" t="n"/>
      <c r="AB1874" s="17" t="n"/>
      <c r="AC1874" s="24">
        <f>IF($G1874="","",IF($H1874="※编码不在物料档案里","※物料编码不在档案里",IF(N($K1874)&lt;=0,"※入库数量要大于 0",IF(AND($C1874&lt;&gt;"",$C1874&lt;=结账锁),"※日期早于已结账截止日，不能再录",IF(AND($L1874=0,$X1874="正常"),"※没填单价，价格状态请选「待补价」",IF(AND($S1874&gt;0,$R1874&gt;0),"△本批有 "&amp;$S1874&amp;" 行没单价，整批运费先挂账没摊",IF(AND($B1874&lt;&gt;"",COUNTIF($B$4:$B$2503,$B1874)&gt;1),"※入库单号重复","")))))))</f>
        <v/>
      </c>
    </row>
    <row r="1875">
      <c r="A1875" s="24">
        <f>IF($G1875="","",COUNTA($G$4:$G1875))</f>
        <v/>
      </c>
      <c r="B1875" s="17" t="n"/>
      <c r="C1875" s="30" t="n"/>
      <c r="D1875" s="17" t="n"/>
      <c r="E1875" s="17" t="n"/>
      <c r="F1875" s="17" t="n"/>
      <c r="G1875" s="17" t="n"/>
      <c r="H1875" s="24">
        <f>IF($G1875="","",IFERROR(VLOOKUP($G1875,物料档案!$A$4:$P$1203,3,0),"※编码不在物料档案里"))</f>
        <v/>
      </c>
      <c r="I1875" s="24">
        <f>IF($G1875="","",IFERROR(VLOOKUP($G1875,物料档案!$A$4:$P$1203,4,0),"※编码不在物料档案里"))</f>
        <v/>
      </c>
      <c r="J1875" s="24">
        <f>IF($G1875="","",IFERROR(VLOOKUP($G1875,物料档案!$A$4:$P$1203,5,0),"※编码不在物料档案里"))</f>
        <v/>
      </c>
      <c r="K1875" s="23" t="n"/>
      <c r="L1875" s="31" t="n"/>
      <c r="M1875" s="24">
        <f>IF($G1875="","",IF($D1875="A国内","CNY","TZS"))</f>
        <v/>
      </c>
      <c r="N1875" s="28">
        <f>IF($G1875="","",IF($D1875="A国内",汇率,1))</f>
        <v/>
      </c>
      <c r="O1875" s="25">
        <f>IF($G1875="","",ROUND(N($K1875)*N($L1875),2))</f>
        <v/>
      </c>
      <c r="P1875" s="26">
        <f>IF($G1875="","",ROUND($O1875*$N1875,0))</f>
        <v/>
      </c>
      <c r="Q1875" s="26">
        <f>IF($G1875="","",SUMIFS($P$4:$P$2503,$E$4:$E$2503,$E1875,$Z$4:$Z$2503,"正常"))</f>
        <v/>
      </c>
      <c r="R1875" s="26">
        <f>IF($G1875="","",SUMIFS(费用台账!$I$4:$I$503,费用台账!$C$4:$C$503,$E1875,费用台账!$J$4:$J$503,"是",费用台账!$K$4:$K$503,"正常"))</f>
        <v/>
      </c>
      <c r="S1875" s="28">
        <f>IF($G1875="","",COUNTIFS($E$4:$E$2503,$E1875,$Z$4:$Z$2503,"正常",$Y$4:$Y$2503,"待补价"))</f>
        <v/>
      </c>
      <c r="T1875" s="26">
        <f>IF($G1875="","",SUMIFS($P$4:$P$2503,$E$4:$E$2503,$E1875,$Z$4:$Z$2503,"正常",$A$4:$A$2503,"&lt;="&amp;$A1875))</f>
        <v/>
      </c>
      <c r="U1875" s="26">
        <f>IF($G1875="","",IF(OR($S1875&gt;0,$Q1875=0,$R1875=0,$Z1875&lt;&gt;"正常"),0,ROUND($T1875/$Q1875*$R1875,0)-ROUND(($T1875-$P1875)/$Q1875*$R1875,0)))</f>
        <v/>
      </c>
      <c r="V1875" s="26">
        <f>IF($G1875="","",ROUND($P1875+$U1875,0))</f>
        <v/>
      </c>
      <c r="W1875" s="26">
        <f>IF($G1875="","",IF(N($K1875)=0,0,ROUND($V1875/$K1875,2)))</f>
        <v/>
      </c>
      <c r="X1875" s="17" t="n"/>
      <c r="Y1875" s="17" t="n"/>
      <c r="Z1875" s="17" t="n"/>
      <c r="AA1875" s="17" t="n"/>
      <c r="AB1875" s="17" t="n"/>
      <c r="AC1875" s="24">
        <f>IF($G1875="","",IF($H1875="※编码不在物料档案里","※物料编码不在档案里",IF(N($K1875)&lt;=0,"※入库数量要大于 0",IF(AND($C1875&lt;&gt;"",$C1875&lt;=结账锁),"※日期早于已结账截止日，不能再录",IF(AND($L1875=0,$X1875="正常"),"※没填单价，价格状态请选「待补价」",IF(AND($S1875&gt;0,$R1875&gt;0),"△本批有 "&amp;$S1875&amp;" 行没单价，整批运费先挂账没摊",IF(AND($B1875&lt;&gt;"",COUNTIF($B$4:$B$2503,$B1875)&gt;1),"※入库单号重复","")))))))</f>
        <v/>
      </c>
    </row>
    <row r="1876">
      <c r="A1876" s="24">
        <f>IF($G1876="","",COUNTA($G$4:$G1876))</f>
        <v/>
      </c>
      <c r="B1876" s="17" t="n"/>
      <c r="C1876" s="30" t="n"/>
      <c r="D1876" s="17" t="n"/>
      <c r="E1876" s="17" t="n"/>
      <c r="F1876" s="17" t="n"/>
      <c r="G1876" s="17" t="n"/>
      <c r="H1876" s="24">
        <f>IF($G1876="","",IFERROR(VLOOKUP($G1876,物料档案!$A$4:$P$1203,3,0),"※编码不在物料档案里"))</f>
        <v/>
      </c>
      <c r="I1876" s="24">
        <f>IF($G1876="","",IFERROR(VLOOKUP($G1876,物料档案!$A$4:$P$1203,4,0),"※编码不在物料档案里"))</f>
        <v/>
      </c>
      <c r="J1876" s="24">
        <f>IF($G1876="","",IFERROR(VLOOKUP($G1876,物料档案!$A$4:$P$1203,5,0),"※编码不在物料档案里"))</f>
        <v/>
      </c>
      <c r="K1876" s="23" t="n"/>
      <c r="L1876" s="31" t="n"/>
      <c r="M1876" s="24">
        <f>IF($G1876="","",IF($D1876="A国内","CNY","TZS"))</f>
        <v/>
      </c>
      <c r="N1876" s="28">
        <f>IF($G1876="","",IF($D1876="A国内",汇率,1))</f>
        <v/>
      </c>
      <c r="O1876" s="25">
        <f>IF($G1876="","",ROUND(N($K1876)*N($L1876),2))</f>
        <v/>
      </c>
      <c r="P1876" s="26">
        <f>IF($G1876="","",ROUND($O1876*$N1876,0))</f>
        <v/>
      </c>
      <c r="Q1876" s="26">
        <f>IF($G1876="","",SUMIFS($P$4:$P$2503,$E$4:$E$2503,$E1876,$Z$4:$Z$2503,"正常"))</f>
        <v/>
      </c>
      <c r="R1876" s="26">
        <f>IF($G1876="","",SUMIFS(费用台账!$I$4:$I$503,费用台账!$C$4:$C$503,$E1876,费用台账!$J$4:$J$503,"是",费用台账!$K$4:$K$503,"正常"))</f>
        <v/>
      </c>
      <c r="S1876" s="28">
        <f>IF($G1876="","",COUNTIFS($E$4:$E$2503,$E1876,$Z$4:$Z$2503,"正常",$Y$4:$Y$2503,"待补价"))</f>
        <v/>
      </c>
      <c r="T1876" s="26">
        <f>IF($G1876="","",SUMIFS($P$4:$P$2503,$E$4:$E$2503,$E1876,$Z$4:$Z$2503,"正常",$A$4:$A$2503,"&lt;="&amp;$A1876))</f>
        <v/>
      </c>
      <c r="U1876" s="26">
        <f>IF($G1876="","",IF(OR($S1876&gt;0,$Q1876=0,$R1876=0,$Z1876&lt;&gt;"正常"),0,ROUND($T1876/$Q1876*$R1876,0)-ROUND(($T1876-$P1876)/$Q1876*$R1876,0)))</f>
        <v/>
      </c>
      <c r="V1876" s="26">
        <f>IF($G1876="","",ROUND($P1876+$U1876,0))</f>
        <v/>
      </c>
      <c r="W1876" s="26">
        <f>IF($G1876="","",IF(N($K1876)=0,0,ROUND($V1876/$K1876,2)))</f>
        <v/>
      </c>
      <c r="X1876" s="17" t="n"/>
      <c r="Y1876" s="17" t="n"/>
      <c r="Z1876" s="17" t="n"/>
      <c r="AA1876" s="17" t="n"/>
      <c r="AB1876" s="17" t="n"/>
      <c r="AC1876" s="24">
        <f>IF($G1876="","",IF($H1876="※编码不在物料档案里","※物料编码不在档案里",IF(N($K1876)&lt;=0,"※入库数量要大于 0",IF(AND($C1876&lt;&gt;"",$C1876&lt;=结账锁),"※日期早于已结账截止日，不能再录",IF(AND($L1876=0,$X1876="正常"),"※没填单价，价格状态请选「待补价」",IF(AND($S1876&gt;0,$R1876&gt;0),"△本批有 "&amp;$S1876&amp;" 行没单价，整批运费先挂账没摊",IF(AND($B1876&lt;&gt;"",COUNTIF($B$4:$B$2503,$B1876)&gt;1),"※入库单号重复","")))))))</f>
        <v/>
      </c>
    </row>
    <row r="1877">
      <c r="A1877" s="24">
        <f>IF($G1877="","",COUNTA($G$4:$G1877))</f>
        <v/>
      </c>
      <c r="B1877" s="17" t="n"/>
      <c r="C1877" s="30" t="n"/>
      <c r="D1877" s="17" t="n"/>
      <c r="E1877" s="17" t="n"/>
      <c r="F1877" s="17" t="n"/>
      <c r="G1877" s="17" t="n"/>
      <c r="H1877" s="24">
        <f>IF($G1877="","",IFERROR(VLOOKUP($G1877,物料档案!$A$4:$P$1203,3,0),"※编码不在物料档案里"))</f>
        <v/>
      </c>
      <c r="I1877" s="24">
        <f>IF($G1877="","",IFERROR(VLOOKUP($G1877,物料档案!$A$4:$P$1203,4,0),"※编码不在物料档案里"))</f>
        <v/>
      </c>
      <c r="J1877" s="24">
        <f>IF($G1877="","",IFERROR(VLOOKUP($G1877,物料档案!$A$4:$P$1203,5,0),"※编码不在物料档案里"))</f>
        <v/>
      </c>
      <c r="K1877" s="23" t="n"/>
      <c r="L1877" s="31" t="n"/>
      <c r="M1877" s="24">
        <f>IF($G1877="","",IF($D1877="A国内","CNY","TZS"))</f>
        <v/>
      </c>
      <c r="N1877" s="28">
        <f>IF($G1877="","",IF($D1877="A国内",汇率,1))</f>
        <v/>
      </c>
      <c r="O1877" s="25">
        <f>IF($G1877="","",ROUND(N($K1877)*N($L1877),2))</f>
        <v/>
      </c>
      <c r="P1877" s="26">
        <f>IF($G1877="","",ROUND($O1877*$N1877,0))</f>
        <v/>
      </c>
      <c r="Q1877" s="26">
        <f>IF($G1877="","",SUMIFS($P$4:$P$2503,$E$4:$E$2503,$E1877,$Z$4:$Z$2503,"正常"))</f>
        <v/>
      </c>
      <c r="R1877" s="26">
        <f>IF($G1877="","",SUMIFS(费用台账!$I$4:$I$503,费用台账!$C$4:$C$503,$E1877,费用台账!$J$4:$J$503,"是",费用台账!$K$4:$K$503,"正常"))</f>
        <v/>
      </c>
      <c r="S1877" s="28">
        <f>IF($G1877="","",COUNTIFS($E$4:$E$2503,$E1877,$Z$4:$Z$2503,"正常",$Y$4:$Y$2503,"待补价"))</f>
        <v/>
      </c>
      <c r="T1877" s="26">
        <f>IF($G1877="","",SUMIFS($P$4:$P$2503,$E$4:$E$2503,$E1877,$Z$4:$Z$2503,"正常",$A$4:$A$2503,"&lt;="&amp;$A1877))</f>
        <v/>
      </c>
      <c r="U1877" s="26">
        <f>IF($G1877="","",IF(OR($S1877&gt;0,$Q1877=0,$R1877=0,$Z1877&lt;&gt;"正常"),0,ROUND($T1877/$Q1877*$R1877,0)-ROUND(($T1877-$P1877)/$Q1877*$R1877,0)))</f>
        <v/>
      </c>
      <c r="V1877" s="26">
        <f>IF($G1877="","",ROUND($P1877+$U1877,0))</f>
        <v/>
      </c>
      <c r="W1877" s="26">
        <f>IF($G1877="","",IF(N($K1877)=0,0,ROUND($V1877/$K1877,2)))</f>
        <v/>
      </c>
      <c r="X1877" s="17" t="n"/>
      <c r="Y1877" s="17" t="n"/>
      <c r="Z1877" s="17" t="n"/>
      <c r="AA1877" s="17" t="n"/>
      <c r="AB1877" s="17" t="n"/>
      <c r="AC1877" s="24">
        <f>IF($G1877="","",IF($H1877="※编码不在物料档案里","※物料编码不在档案里",IF(N($K1877)&lt;=0,"※入库数量要大于 0",IF(AND($C1877&lt;&gt;"",$C1877&lt;=结账锁),"※日期早于已结账截止日，不能再录",IF(AND($L1877=0,$X1877="正常"),"※没填单价，价格状态请选「待补价」",IF(AND($S1877&gt;0,$R1877&gt;0),"△本批有 "&amp;$S1877&amp;" 行没单价，整批运费先挂账没摊",IF(AND($B1877&lt;&gt;"",COUNTIF($B$4:$B$2503,$B1877)&gt;1),"※入库单号重复","")))))))</f>
        <v/>
      </c>
    </row>
    <row r="1878">
      <c r="A1878" s="24">
        <f>IF($G1878="","",COUNTA($G$4:$G1878))</f>
        <v/>
      </c>
      <c r="B1878" s="17" t="n"/>
      <c r="C1878" s="30" t="n"/>
      <c r="D1878" s="17" t="n"/>
      <c r="E1878" s="17" t="n"/>
      <c r="F1878" s="17" t="n"/>
      <c r="G1878" s="17" t="n"/>
      <c r="H1878" s="24">
        <f>IF($G1878="","",IFERROR(VLOOKUP($G1878,物料档案!$A$4:$P$1203,3,0),"※编码不在物料档案里"))</f>
        <v/>
      </c>
      <c r="I1878" s="24">
        <f>IF($G1878="","",IFERROR(VLOOKUP($G1878,物料档案!$A$4:$P$1203,4,0),"※编码不在物料档案里"))</f>
        <v/>
      </c>
      <c r="J1878" s="24">
        <f>IF($G1878="","",IFERROR(VLOOKUP($G1878,物料档案!$A$4:$P$1203,5,0),"※编码不在物料档案里"))</f>
        <v/>
      </c>
      <c r="K1878" s="23" t="n"/>
      <c r="L1878" s="31" t="n"/>
      <c r="M1878" s="24">
        <f>IF($G1878="","",IF($D1878="A国内","CNY","TZS"))</f>
        <v/>
      </c>
      <c r="N1878" s="28">
        <f>IF($G1878="","",IF($D1878="A国内",汇率,1))</f>
        <v/>
      </c>
      <c r="O1878" s="25">
        <f>IF($G1878="","",ROUND(N($K1878)*N($L1878),2))</f>
        <v/>
      </c>
      <c r="P1878" s="26">
        <f>IF($G1878="","",ROUND($O1878*$N1878,0))</f>
        <v/>
      </c>
      <c r="Q1878" s="26">
        <f>IF($G1878="","",SUMIFS($P$4:$P$2503,$E$4:$E$2503,$E1878,$Z$4:$Z$2503,"正常"))</f>
        <v/>
      </c>
      <c r="R1878" s="26">
        <f>IF($G1878="","",SUMIFS(费用台账!$I$4:$I$503,费用台账!$C$4:$C$503,$E1878,费用台账!$J$4:$J$503,"是",费用台账!$K$4:$K$503,"正常"))</f>
        <v/>
      </c>
      <c r="S1878" s="28">
        <f>IF($G1878="","",COUNTIFS($E$4:$E$2503,$E1878,$Z$4:$Z$2503,"正常",$Y$4:$Y$2503,"待补价"))</f>
        <v/>
      </c>
      <c r="T1878" s="26">
        <f>IF($G1878="","",SUMIFS($P$4:$P$2503,$E$4:$E$2503,$E1878,$Z$4:$Z$2503,"正常",$A$4:$A$2503,"&lt;="&amp;$A1878))</f>
        <v/>
      </c>
      <c r="U1878" s="26">
        <f>IF($G1878="","",IF(OR($S1878&gt;0,$Q1878=0,$R1878=0,$Z1878&lt;&gt;"正常"),0,ROUND($T1878/$Q1878*$R1878,0)-ROUND(($T1878-$P1878)/$Q1878*$R1878,0)))</f>
        <v/>
      </c>
      <c r="V1878" s="26">
        <f>IF($G1878="","",ROUND($P1878+$U1878,0))</f>
        <v/>
      </c>
      <c r="W1878" s="26">
        <f>IF($G1878="","",IF(N($K1878)=0,0,ROUND($V1878/$K1878,2)))</f>
        <v/>
      </c>
      <c r="X1878" s="17" t="n"/>
      <c r="Y1878" s="17" t="n"/>
      <c r="Z1878" s="17" t="n"/>
      <c r="AA1878" s="17" t="n"/>
      <c r="AB1878" s="17" t="n"/>
      <c r="AC1878" s="24">
        <f>IF($G1878="","",IF($H1878="※编码不在物料档案里","※物料编码不在档案里",IF(N($K1878)&lt;=0,"※入库数量要大于 0",IF(AND($C1878&lt;&gt;"",$C1878&lt;=结账锁),"※日期早于已结账截止日，不能再录",IF(AND($L1878=0,$X1878="正常"),"※没填单价，价格状态请选「待补价」",IF(AND($S1878&gt;0,$R1878&gt;0),"△本批有 "&amp;$S1878&amp;" 行没单价，整批运费先挂账没摊",IF(AND($B1878&lt;&gt;"",COUNTIF($B$4:$B$2503,$B1878)&gt;1),"※入库单号重复","")))))))</f>
        <v/>
      </c>
    </row>
    <row r="1879">
      <c r="A1879" s="24">
        <f>IF($G1879="","",COUNTA($G$4:$G1879))</f>
        <v/>
      </c>
      <c r="B1879" s="17" t="n"/>
      <c r="C1879" s="30" t="n"/>
      <c r="D1879" s="17" t="n"/>
      <c r="E1879" s="17" t="n"/>
      <c r="F1879" s="17" t="n"/>
      <c r="G1879" s="17" t="n"/>
      <c r="H1879" s="24">
        <f>IF($G1879="","",IFERROR(VLOOKUP($G1879,物料档案!$A$4:$P$1203,3,0),"※编码不在物料档案里"))</f>
        <v/>
      </c>
      <c r="I1879" s="24">
        <f>IF($G1879="","",IFERROR(VLOOKUP($G1879,物料档案!$A$4:$P$1203,4,0),"※编码不在物料档案里"))</f>
        <v/>
      </c>
      <c r="J1879" s="24">
        <f>IF($G1879="","",IFERROR(VLOOKUP($G1879,物料档案!$A$4:$P$1203,5,0),"※编码不在物料档案里"))</f>
        <v/>
      </c>
      <c r="K1879" s="23" t="n"/>
      <c r="L1879" s="31" t="n"/>
      <c r="M1879" s="24">
        <f>IF($G1879="","",IF($D1879="A国内","CNY","TZS"))</f>
        <v/>
      </c>
      <c r="N1879" s="28">
        <f>IF($G1879="","",IF($D1879="A国内",汇率,1))</f>
        <v/>
      </c>
      <c r="O1879" s="25">
        <f>IF($G1879="","",ROUND(N($K1879)*N($L1879),2))</f>
        <v/>
      </c>
      <c r="P1879" s="26">
        <f>IF($G1879="","",ROUND($O1879*$N1879,0))</f>
        <v/>
      </c>
      <c r="Q1879" s="26">
        <f>IF($G1879="","",SUMIFS($P$4:$P$2503,$E$4:$E$2503,$E1879,$Z$4:$Z$2503,"正常"))</f>
        <v/>
      </c>
      <c r="R1879" s="26">
        <f>IF($G1879="","",SUMIFS(费用台账!$I$4:$I$503,费用台账!$C$4:$C$503,$E1879,费用台账!$J$4:$J$503,"是",费用台账!$K$4:$K$503,"正常"))</f>
        <v/>
      </c>
      <c r="S1879" s="28">
        <f>IF($G1879="","",COUNTIFS($E$4:$E$2503,$E1879,$Z$4:$Z$2503,"正常",$Y$4:$Y$2503,"待补价"))</f>
        <v/>
      </c>
      <c r="T1879" s="26">
        <f>IF($G1879="","",SUMIFS($P$4:$P$2503,$E$4:$E$2503,$E1879,$Z$4:$Z$2503,"正常",$A$4:$A$2503,"&lt;="&amp;$A1879))</f>
        <v/>
      </c>
      <c r="U1879" s="26">
        <f>IF($G1879="","",IF(OR($S1879&gt;0,$Q1879=0,$R1879=0,$Z1879&lt;&gt;"正常"),0,ROUND($T1879/$Q1879*$R1879,0)-ROUND(($T1879-$P1879)/$Q1879*$R1879,0)))</f>
        <v/>
      </c>
      <c r="V1879" s="26">
        <f>IF($G1879="","",ROUND($P1879+$U1879,0))</f>
        <v/>
      </c>
      <c r="W1879" s="26">
        <f>IF($G1879="","",IF(N($K1879)=0,0,ROUND($V1879/$K1879,2)))</f>
        <v/>
      </c>
      <c r="X1879" s="17" t="n"/>
      <c r="Y1879" s="17" t="n"/>
      <c r="Z1879" s="17" t="n"/>
      <c r="AA1879" s="17" t="n"/>
      <c r="AB1879" s="17" t="n"/>
      <c r="AC1879" s="24">
        <f>IF($G1879="","",IF($H1879="※编码不在物料档案里","※物料编码不在档案里",IF(N($K1879)&lt;=0,"※入库数量要大于 0",IF(AND($C1879&lt;&gt;"",$C1879&lt;=结账锁),"※日期早于已结账截止日，不能再录",IF(AND($L1879=0,$X1879="正常"),"※没填单价，价格状态请选「待补价」",IF(AND($S1879&gt;0,$R1879&gt;0),"△本批有 "&amp;$S1879&amp;" 行没单价，整批运费先挂账没摊",IF(AND($B1879&lt;&gt;"",COUNTIF($B$4:$B$2503,$B1879)&gt;1),"※入库单号重复","")))))))</f>
        <v/>
      </c>
    </row>
    <row r="1880">
      <c r="A1880" s="24">
        <f>IF($G1880="","",COUNTA($G$4:$G1880))</f>
        <v/>
      </c>
      <c r="B1880" s="17" t="n"/>
      <c r="C1880" s="30" t="n"/>
      <c r="D1880" s="17" t="n"/>
      <c r="E1880" s="17" t="n"/>
      <c r="F1880" s="17" t="n"/>
      <c r="G1880" s="17" t="n"/>
      <c r="H1880" s="24">
        <f>IF($G1880="","",IFERROR(VLOOKUP($G1880,物料档案!$A$4:$P$1203,3,0),"※编码不在物料档案里"))</f>
        <v/>
      </c>
      <c r="I1880" s="24">
        <f>IF($G1880="","",IFERROR(VLOOKUP($G1880,物料档案!$A$4:$P$1203,4,0),"※编码不在物料档案里"))</f>
        <v/>
      </c>
      <c r="J1880" s="24">
        <f>IF($G1880="","",IFERROR(VLOOKUP($G1880,物料档案!$A$4:$P$1203,5,0),"※编码不在物料档案里"))</f>
        <v/>
      </c>
      <c r="K1880" s="23" t="n"/>
      <c r="L1880" s="31" t="n"/>
      <c r="M1880" s="24">
        <f>IF($G1880="","",IF($D1880="A国内","CNY","TZS"))</f>
        <v/>
      </c>
      <c r="N1880" s="28">
        <f>IF($G1880="","",IF($D1880="A国内",汇率,1))</f>
        <v/>
      </c>
      <c r="O1880" s="25">
        <f>IF($G1880="","",ROUND(N($K1880)*N($L1880),2))</f>
        <v/>
      </c>
      <c r="P1880" s="26">
        <f>IF($G1880="","",ROUND($O1880*$N1880,0))</f>
        <v/>
      </c>
      <c r="Q1880" s="26">
        <f>IF($G1880="","",SUMIFS($P$4:$P$2503,$E$4:$E$2503,$E1880,$Z$4:$Z$2503,"正常"))</f>
        <v/>
      </c>
      <c r="R1880" s="26">
        <f>IF($G1880="","",SUMIFS(费用台账!$I$4:$I$503,费用台账!$C$4:$C$503,$E1880,费用台账!$J$4:$J$503,"是",费用台账!$K$4:$K$503,"正常"))</f>
        <v/>
      </c>
      <c r="S1880" s="28">
        <f>IF($G1880="","",COUNTIFS($E$4:$E$2503,$E1880,$Z$4:$Z$2503,"正常",$Y$4:$Y$2503,"待补价"))</f>
        <v/>
      </c>
      <c r="T1880" s="26">
        <f>IF($G1880="","",SUMIFS($P$4:$P$2503,$E$4:$E$2503,$E1880,$Z$4:$Z$2503,"正常",$A$4:$A$2503,"&lt;="&amp;$A1880))</f>
        <v/>
      </c>
      <c r="U1880" s="26">
        <f>IF($G1880="","",IF(OR($S1880&gt;0,$Q1880=0,$R1880=0,$Z1880&lt;&gt;"正常"),0,ROUND($T1880/$Q1880*$R1880,0)-ROUND(($T1880-$P1880)/$Q1880*$R1880,0)))</f>
        <v/>
      </c>
      <c r="V1880" s="26">
        <f>IF($G1880="","",ROUND($P1880+$U1880,0))</f>
        <v/>
      </c>
      <c r="W1880" s="26">
        <f>IF($G1880="","",IF(N($K1880)=0,0,ROUND($V1880/$K1880,2)))</f>
        <v/>
      </c>
      <c r="X1880" s="17" t="n"/>
      <c r="Y1880" s="17" t="n"/>
      <c r="Z1880" s="17" t="n"/>
      <c r="AA1880" s="17" t="n"/>
      <c r="AB1880" s="17" t="n"/>
      <c r="AC1880" s="24">
        <f>IF($G1880="","",IF($H1880="※编码不在物料档案里","※物料编码不在档案里",IF(N($K1880)&lt;=0,"※入库数量要大于 0",IF(AND($C1880&lt;&gt;"",$C1880&lt;=结账锁),"※日期早于已结账截止日，不能再录",IF(AND($L1880=0,$X1880="正常"),"※没填单价，价格状态请选「待补价」",IF(AND($S1880&gt;0,$R1880&gt;0),"△本批有 "&amp;$S1880&amp;" 行没单价，整批运费先挂账没摊",IF(AND($B1880&lt;&gt;"",COUNTIF($B$4:$B$2503,$B1880)&gt;1),"※入库单号重复","")))))))</f>
        <v/>
      </c>
    </row>
    <row r="1881">
      <c r="A1881" s="24">
        <f>IF($G1881="","",COUNTA($G$4:$G1881))</f>
        <v/>
      </c>
      <c r="B1881" s="17" t="n"/>
      <c r="C1881" s="30" t="n"/>
      <c r="D1881" s="17" t="n"/>
      <c r="E1881" s="17" t="n"/>
      <c r="F1881" s="17" t="n"/>
      <c r="G1881" s="17" t="n"/>
      <c r="H1881" s="24">
        <f>IF($G1881="","",IFERROR(VLOOKUP($G1881,物料档案!$A$4:$P$1203,3,0),"※编码不在物料档案里"))</f>
        <v/>
      </c>
      <c r="I1881" s="24">
        <f>IF($G1881="","",IFERROR(VLOOKUP($G1881,物料档案!$A$4:$P$1203,4,0),"※编码不在物料档案里"))</f>
        <v/>
      </c>
      <c r="J1881" s="24">
        <f>IF($G1881="","",IFERROR(VLOOKUP($G1881,物料档案!$A$4:$P$1203,5,0),"※编码不在物料档案里"))</f>
        <v/>
      </c>
      <c r="K1881" s="23" t="n"/>
      <c r="L1881" s="31" t="n"/>
      <c r="M1881" s="24">
        <f>IF($G1881="","",IF($D1881="A国内","CNY","TZS"))</f>
        <v/>
      </c>
      <c r="N1881" s="28">
        <f>IF($G1881="","",IF($D1881="A国内",汇率,1))</f>
        <v/>
      </c>
      <c r="O1881" s="25">
        <f>IF($G1881="","",ROUND(N($K1881)*N($L1881),2))</f>
        <v/>
      </c>
      <c r="P1881" s="26">
        <f>IF($G1881="","",ROUND($O1881*$N1881,0))</f>
        <v/>
      </c>
      <c r="Q1881" s="26">
        <f>IF($G1881="","",SUMIFS($P$4:$P$2503,$E$4:$E$2503,$E1881,$Z$4:$Z$2503,"正常"))</f>
        <v/>
      </c>
      <c r="R1881" s="26">
        <f>IF($G1881="","",SUMIFS(费用台账!$I$4:$I$503,费用台账!$C$4:$C$503,$E1881,费用台账!$J$4:$J$503,"是",费用台账!$K$4:$K$503,"正常"))</f>
        <v/>
      </c>
      <c r="S1881" s="28">
        <f>IF($G1881="","",COUNTIFS($E$4:$E$2503,$E1881,$Z$4:$Z$2503,"正常",$Y$4:$Y$2503,"待补价"))</f>
        <v/>
      </c>
      <c r="T1881" s="26">
        <f>IF($G1881="","",SUMIFS($P$4:$P$2503,$E$4:$E$2503,$E1881,$Z$4:$Z$2503,"正常",$A$4:$A$2503,"&lt;="&amp;$A1881))</f>
        <v/>
      </c>
      <c r="U1881" s="26">
        <f>IF($G1881="","",IF(OR($S1881&gt;0,$Q1881=0,$R1881=0,$Z1881&lt;&gt;"正常"),0,ROUND($T1881/$Q1881*$R1881,0)-ROUND(($T1881-$P1881)/$Q1881*$R1881,0)))</f>
        <v/>
      </c>
      <c r="V1881" s="26">
        <f>IF($G1881="","",ROUND($P1881+$U1881,0))</f>
        <v/>
      </c>
      <c r="W1881" s="26">
        <f>IF($G1881="","",IF(N($K1881)=0,0,ROUND($V1881/$K1881,2)))</f>
        <v/>
      </c>
      <c r="X1881" s="17" t="n"/>
      <c r="Y1881" s="17" t="n"/>
      <c r="Z1881" s="17" t="n"/>
      <c r="AA1881" s="17" t="n"/>
      <c r="AB1881" s="17" t="n"/>
      <c r="AC1881" s="24">
        <f>IF($G1881="","",IF($H1881="※编码不在物料档案里","※物料编码不在档案里",IF(N($K1881)&lt;=0,"※入库数量要大于 0",IF(AND($C1881&lt;&gt;"",$C1881&lt;=结账锁),"※日期早于已结账截止日，不能再录",IF(AND($L1881=0,$X1881="正常"),"※没填单价，价格状态请选「待补价」",IF(AND($S1881&gt;0,$R1881&gt;0),"△本批有 "&amp;$S1881&amp;" 行没单价，整批运费先挂账没摊",IF(AND($B1881&lt;&gt;"",COUNTIF($B$4:$B$2503,$B1881)&gt;1),"※入库单号重复","")))))))</f>
        <v/>
      </c>
    </row>
    <row r="1882">
      <c r="A1882" s="24">
        <f>IF($G1882="","",COUNTA($G$4:$G1882))</f>
        <v/>
      </c>
      <c r="B1882" s="17" t="n"/>
      <c r="C1882" s="30" t="n"/>
      <c r="D1882" s="17" t="n"/>
      <c r="E1882" s="17" t="n"/>
      <c r="F1882" s="17" t="n"/>
      <c r="G1882" s="17" t="n"/>
      <c r="H1882" s="24">
        <f>IF($G1882="","",IFERROR(VLOOKUP($G1882,物料档案!$A$4:$P$1203,3,0),"※编码不在物料档案里"))</f>
        <v/>
      </c>
      <c r="I1882" s="24">
        <f>IF($G1882="","",IFERROR(VLOOKUP($G1882,物料档案!$A$4:$P$1203,4,0),"※编码不在物料档案里"))</f>
        <v/>
      </c>
      <c r="J1882" s="24">
        <f>IF($G1882="","",IFERROR(VLOOKUP($G1882,物料档案!$A$4:$P$1203,5,0),"※编码不在物料档案里"))</f>
        <v/>
      </c>
      <c r="K1882" s="23" t="n"/>
      <c r="L1882" s="31" t="n"/>
      <c r="M1882" s="24">
        <f>IF($G1882="","",IF($D1882="A国内","CNY","TZS"))</f>
        <v/>
      </c>
      <c r="N1882" s="28">
        <f>IF($G1882="","",IF($D1882="A国内",汇率,1))</f>
        <v/>
      </c>
      <c r="O1882" s="25">
        <f>IF($G1882="","",ROUND(N($K1882)*N($L1882),2))</f>
        <v/>
      </c>
      <c r="P1882" s="26">
        <f>IF($G1882="","",ROUND($O1882*$N1882,0))</f>
        <v/>
      </c>
      <c r="Q1882" s="26">
        <f>IF($G1882="","",SUMIFS($P$4:$P$2503,$E$4:$E$2503,$E1882,$Z$4:$Z$2503,"正常"))</f>
        <v/>
      </c>
      <c r="R1882" s="26">
        <f>IF($G1882="","",SUMIFS(费用台账!$I$4:$I$503,费用台账!$C$4:$C$503,$E1882,费用台账!$J$4:$J$503,"是",费用台账!$K$4:$K$503,"正常"))</f>
        <v/>
      </c>
      <c r="S1882" s="28">
        <f>IF($G1882="","",COUNTIFS($E$4:$E$2503,$E1882,$Z$4:$Z$2503,"正常",$Y$4:$Y$2503,"待补价"))</f>
        <v/>
      </c>
      <c r="T1882" s="26">
        <f>IF($G1882="","",SUMIFS($P$4:$P$2503,$E$4:$E$2503,$E1882,$Z$4:$Z$2503,"正常",$A$4:$A$2503,"&lt;="&amp;$A1882))</f>
        <v/>
      </c>
      <c r="U1882" s="26">
        <f>IF($G1882="","",IF(OR($S1882&gt;0,$Q1882=0,$R1882=0,$Z1882&lt;&gt;"正常"),0,ROUND($T1882/$Q1882*$R1882,0)-ROUND(($T1882-$P1882)/$Q1882*$R1882,0)))</f>
        <v/>
      </c>
      <c r="V1882" s="26">
        <f>IF($G1882="","",ROUND($P1882+$U1882,0))</f>
        <v/>
      </c>
      <c r="W1882" s="26">
        <f>IF($G1882="","",IF(N($K1882)=0,0,ROUND($V1882/$K1882,2)))</f>
        <v/>
      </c>
      <c r="X1882" s="17" t="n"/>
      <c r="Y1882" s="17" t="n"/>
      <c r="Z1882" s="17" t="n"/>
      <c r="AA1882" s="17" t="n"/>
      <c r="AB1882" s="17" t="n"/>
      <c r="AC1882" s="24">
        <f>IF($G1882="","",IF($H1882="※编码不在物料档案里","※物料编码不在档案里",IF(N($K1882)&lt;=0,"※入库数量要大于 0",IF(AND($C1882&lt;&gt;"",$C1882&lt;=结账锁),"※日期早于已结账截止日，不能再录",IF(AND($L1882=0,$X1882="正常"),"※没填单价，价格状态请选「待补价」",IF(AND($S1882&gt;0,$R1882&gt;0),"△本批有 "&amp;$S1882&amp;" 行没单价，整批运费先挂账没摊",IF(AND($B1882&lt;&gt;"",COUNTIF($B$4:$B$2503,$B1882)&gt;1),"※入库单号重复","")))))))</f>
        <v/>
      </c>
    </row>
    <row r="1883">
      <c r="A1883" s="24">
        <f>IF($G1883="","",COUNTA($G$4:$G1883))</f>
        <v/>
      </c>
      <c r="B1883" s="17" t="n"/>
      <c r="C1883" s="30" t="n"/>
      <c r="D1883" s="17" t="n"/>
      <c r="E1883" s="17" t="n"/>
      <c r="F1883" s="17" t="n"/>
      <c r="G1883" s="17" t="n"/>
      <c r="H1883" s="24">
        <f>IF($G1883="","",IFERROR(VLOOKUP($G1883,物料档案!$A$4:$P$1203,3,0),"※编码不在物料档案里"))</f>
        <v/>
      </c>
      <c r="I1883" s="24">
        <f>IF($G1883="","",IFERROR(VLOOKUP($G1883,物料档案!$A$4:$P$1203,4,0),"※编码不在物料档案里"))</f>
        <v/>
      </c>
      <c r="J1883" s="24">
        <f>IF($G1883="","",IFERROR(VLOOKUP($G1883,物料档案!$A$4:$P$1203,5,0),"※编码不在物料档案里"))</f>
        <v/>
      </c>
      <c r="K1883" s="23" t="n"/>
      <c r="L1883" s="31" t="n"/>
      <c r="M1883" s="24">
        <f>IF($G1883="","",IF($D1883="A国内","CNY","TZS"))</f>
        <v/>
      </c>
      <c r="N1883" s="28">
        <f>IF($G1883="","",IF($D1883="A国内",汇率,1))</f>
        <v/>
      </c>
      <c r="O1883" s="25">
        <f>IF($G1883="","",ROUND(N($K1883)*N($L1883),2))</f>
        <v/>
      </c>
      <c r="P1883" s="26">
        <f>IF($G1883="","",ROUND($O1883*$N1883,0))</f>
        <v/>
      </c>
      <c r="Q1883" s="26">
        <f>IF($G1883="","",SUMIFS($P$4:$P$2503,$E$4:$E$2503,$E1883,$Z$4:$Z$2503,"正常"))</f>
        <v/>
      </c>
      <c r="R1883" s="26">
        <f>IF($G1883="","",SUMIFS(费用台账!$I$4:$I$503,费用台账!$C$4:$C$503,$E1883,费用台账!$J$4:$J$503,"是",费用台账!$K$4:$K$503,"正常"))</f>
        <v/>
      </c>
      <c r="S1883" s="28">
        <f>IF($G1883="","",COUNTIFS($E$4:$E$2503,$E1883,$Z$4:$Z$2503,"正常",$Y$4:$Y$2503,"待补价"))</f>
        <v/>
      </c>
      <c r="T1883" s="26">
        <f>IF($G1883="","",SUMIFS($P$4:$P$2503,$E$4:$E$2503,$E1883,$Z$4:$Z$2503,"正常",$A$4:$A$2503,"&lt;="&amp;$A1883))</f>
        <v/>
      </c>
      <c r="U1883" s="26">
        <f>IF($G1883="","",IF(OR($S1883&gt;0,$Q1883=0,$R1883=0,$Z1883&lt;&gt;"正常"),0,ROUND($T1883/$Q1883*$R1883,0)-ROUND(($T1883-$P1883)/$Q1883*$R1883,0)))</f>
        <v/>
      </c>
      <c r="V1883" s="26">
        <f>IF($G1883="","",ROUND($P1883+$U1883,0))</f>
        <v/>
      </c>
      <c r="W1883" s="26">
        <f>IF($G1883="","",IF(N($K1883)=0,0,ROUND($V1883/$K1883,2)))</f>
        <v/>
      </c>
      <c r="X1883" s="17" t="n"/>
      <c r="Y1883" s="17" t="n"/>
      <c r="Z1883" s="17" t="n"/>
      <c r="AA1883" s="17" t="n"/>
      <c r="AB1883" s="17" t="n"/>
      <c r="AC1883" s="24">
        <f>IF($G1883="","",IF($H1883="※编码不在物料档案里","※物料编码不在档案里",IF(N($K1883)&lt;=0,"※入库数量要大于 0",IF(AND($C1883&lt;&gt;"",$C1883&lt;=结账锁),"※日期早于已结账截止日，不能再录",IF(AND($L1883=0,$X1883="正常"),"※没填单价，价格状态请选「待补价」",IF(AND($S1883&gt;0,$R1883&gt;0),"△本批有 "&amp;$S1883&amp;" 行没单价，整批运费先挂账没摊",IF(AND($B1883&lt;&gt;"",COUNTIF($B$4:$B$2503,$B1883)&gt;1),"※入库单号重复","")))))))</f>
        <v/>
      </c>
    </row>
    <row r="1884">
      <c r="A1884" s="24">
        <f>IF($G1884="","",COUNTA($G$4:$G1884))</f>
        <v/>
      </c>
      <c r="B1884" s="17" t="n"/>
      <c r="C1884" s="30" t="n"/>
      <c r="D1884" s="17" t="n"/>
      <c r="E1884" s="17" t="n"/>
      <c r="F1884" s="17" t="n"/>
      <c r="G1884" s="17" t="n"/>
      <c r="H1884" s="24">
        <f>IF($G1884="","",IFERROR(VLOOKUP($G1884,物料档案!$A$4:$P$1203,3,0),"※编码不在物料档案里"))</f>
        <v/>
      </c>
      <c r="I1884" s="24">
        <f>IF($G1884="","",IFERROR(VLOOKUP($G1884,物料档案!$A$4:$P$1203,4,0),"※编码不在物料档案里"))</f>
        <v/>
      </c>
      <c r="J1884" s="24">
        <f>IF($G1884="","",IFERROR(VLOOKUP($G1884,物料档案!$A$4:$P$1203,5,0),"※编码不在物料档案里"))</f>
        <v/>
      </c>
      <c r="K1884" s="23" t="n"/>
      <c r="L1884" s="31" t="n"/>
      <c r="M1884" s="24">
        <f>IF($G1884="","",IF($D1884="A国内","CNY","TZS"))</f>
        <v/>
      </c>
      <c r="N1884" s="28">
        <f>IF($G1884="","",IF($D1884="A国内",汇率,1))</f>
        <v/>
      </c>
      <c r="O1884" s="25">
        <f>IF($G1884="","",ROUND(N($K1884)*N($L1884),2))</f>
        <v/>
      </c>
      <c r="P1884" s="26">
        <f>IF($G1884="","",ROUND($O1884*$N1884,0))</f>
        <v/>
      </c>
      <c r="Q1884" s="26">
        <f>IF($G1884="","",SUMIFS($P$4:$P$2503,$E$4:$E$2503,$E1884,$Z$4:$Z$2503,"正常"))</f>
        <v/>
      </c>
      <c r="R1884" s="26">
        <f>IF($G1884="","",SUMIFS(费用台账!$I$4:$I$503,费用台账!$C$4:$C$503,$E1884,费用台账!$J$4:$J$503,"是",费用台账!$K$4:$K$503,"正常"))</f>
        <v/>
      </c>
      <c r="S1884" s="28">
        <f>IF($G1884="","",COUNTIFS($E$4:$E$2503,$E1884,$Z$4:$Z$2503,"正常",$Y$4:$Y$2503,"待补价"))</f>
        <v/>
      </c>
      <c r="T1884" s="26">
        <f>IF($G1884="","",SUMIFS($P$4:$P$2503,$E$4:$E$2503,$E1884,$Z$4:$Z$2503,"正常",$A$4:$A$2503,"&lt;="&amp;$A1884))</f>
        <v/>
      </c>
      <c r="U1884" s="26">
        <f>IF($G1884="","",IF(OR($S1884&gt;0,$Q1884=0,$R1884=0,$Z1884&lt;&gt;"正常"),0,ROUND($T1884/$Q1884*$R1884,0)-ROUND(($T1884-$P1884)/$Q1884*$R1884,0)))</f>
        <v/>
      </c>
      <c r="V1884" s="26">
        <f>IF($G1884="","",ROUND($P1884+$U1884,0))</f>
        <v/>
      </c>
      <c r="W1884" s="26">
        <f>IF($G1884="","",IF(N($K1884)=0,0,ROUND($V1884/$K1884,2)))</f>
        <v/>
      </c>
      <c r="X1884" s="17" t="n"/>
      <c r="Y1884" s="17" t="n"/>
      <c r="Z1884" s="17" t="n"/>
      <c r="AA1884" s="17" t="n"/>
      <c r="AB1884" s="17" t="n"/>
      <c r="AC1884" s="24">
        <f>IF($G1884="","",IF($H1884="※编码不在物料档案里","※物料编码不在档案里",IF(N($K1884)&lt;=0,"※入库数量要大于 0",IF(AND($C1884&lt;&gt;"",$C1884&lt;=结账锁),"※日期早于已结账截止日，不能再录",IF(AND($L1884=0,$X1884="正常"),"※没填单价，价格状态请选「待补价」",IF(AND($S1884&gt;0,$R1884&gt;0),"△本批有 "&amp;$S1884&amp;" 行没单价，整批运费先挂账没摊",IF(AND($B1884&lt;&gt;"",COUNTIF($B$4:$B$2503,$B1884)&gt;1),"※入库单号重复","")))))))</f>
        <v/>
      </c>
    </row>
    <row r="1885">
      <c r="A1885" s="24">
        <f>IF($G1885="","",COUNTA($G$4:$G1885))</f>
        <v/>
      </c>
      <c r="B1885" s="17" t="n"/>
      <c r="C1885" s="30" t="n"/>
      <c r="D1885" s="17" t="n"/>
      <c r="E1885" s="17" t="n"/>
      <c r="F1885" s="17" t="n"/>
      <c r="G1885" s="17" t="n"/>
      <c r="H1885" s="24">
        <f>IF($G1885="","",IFERROR(VLOOKUP($G1885,物料档案!$A$4:$P$1203,3,0),"※编码不在物料档案里"))</f>
        <v/>
      </c>
      <c r="I1885" s="24">
        <f>IF($G1885="","",IFERROR(VLOOKUP($G1885,物料档案!$A$4:$P$1203,4,0),"※编码不在物料档案里"))</f>
        <v/>
      </c>
      <c r="J1885" s="24">
        <f>IF($G1885="","",IFERROR(VLOOKUP($G1885,物料档案!$A$4:$P$1203,5,0),"※编码不在物料档案里"))</f>
        <v/>
      </c>
      <c r="K1885" s="23" t="n"/>
      <c r="L1885" s="31" t="n"/>
      <c r="M1885" s="24">
        <f>IF($G1885="","",IF($D1885="A国内","CNY","TZS"))</f>
        <v/>
      </c>
      <c r="N1885" s="28">
        <f>IF($G1885="","",IF($D1885="A国内",汇率,1))</f>
        <v/>
      </c>
      <c r="O1885" s="25">
        <f>IF($G1885="","",ROUND(N($K1885)*N($L1885),2))</f>
        <v/>
      </c>
      <c r="P1885" s="26">
        <f>IF($G1885="","",ROUND($O1885*$N1885,0))</f>
        <v/>
      </c>
      <c r="Q1885" s="26">
        <f>IF($G1885="","",SUMIFS($P$4:$P$2503,$E$4:$E$2503,$E1885,$Z$4:$Z$2503,"正常"))</f>
        <v/>
      </c>
      <c r="R1885" s="26">
        <f>IF($G1885="","",SUMIFS(费用台账!$I$4:$I$503,费用台账!$C$4:$C$503,$E1885,费用台账!$J$4:$J$503,"是",费用台账!$K$4:$K$503,"正常"))</f>
        <v/>
      </c>
      <c r="S1885" s="28">
        <f>IF($G1885="","",COUNTIFS($E$4:$E$2503,$E1885,$Z$4:$Z$2503,"正常",$Y$4:$Y$2503,"待补价"))</f>
        <v/>
      </c>
      <c r="T1885" s="26">
        <f>IF($G1885="","",SUMIFS($P$4:$P$2503,$E$4:$E$2503,$E1885,$Z$4:$Z$2503,"正常",$A$4:$A$2503,"&lt;="&amp;$A1885))</f>
        <v/>
      </c>
      <c r="U1885" s="26">
        <f>IF($G1885="","",IF(OR($S1885&gt;0,$Q1885=0,$R1885=0,$Z1885&lt;&gt;"正常"),0,ROUND($T1885/$Q1885*$R1885,0)-ROUND(($T1885-$P1885)/$Q1885*$R1885,0)))</f>
        <v/>
      </c>
      <c r="V1885" s="26">
        <f>IF($G1885="","",ROUND($P1885+$U1885,0))</f>
        <v/>
      </c>
      <c r="W1885" s="26">
        <f>IF($G1885="","",IF(N($K1885)=0,0,ROUND($V1885/$K1885,2)))</f>
        <v/>
      </c>
      <c r="X1885" s="17" t="n"/>
      <c r="Y1885" s="17" t="n"/>
      <c r="Z1885" s="17" t="n"/>
      <c r="AA1885" s="17" t="n"/>
      <c r="AB1885" s="17" t="n"/>
      <c r="AC1885" s="24">
        <f>IF($G1885="","",IF($H1885="※编码不在物料档案里","※物料编码不在档案里",IF(N($K1885)&lt;=0,"※入库数量要大于 0",IF(AND($C1885&lt;&gt;"",$C1885&lt;=结账锁),"※日期早于已结账截止日，不能再录",IF(AND($L1885=0,$X1885="正常"),"※没填单价，价格状态请选「待补价」",IF(AND($S1885&gt;0,$R1885&gt;0),"△本批有 "&amp;$S1885&amp;" 行没单价，整批运费先挂账没摊",IF(AND($B1885&lt;&gt;"",COUNTIF($B$4:$B$2503,$B1885)&gt;1),"※入库单号重复","")))))))</f>
        <v/>
      </c>
    </row>
    <row r="1886">
      <c r="A1886" s="24">
        <f>IF($G1886="","",COUNTA($G$4:$G1886))</f>
        <v/>
      </c>
      <c r="B1886" s="17" t="n"/>
      <c r="C1886" s="30" t="n"/>
      <c r="D1886" s="17" t="n"/>
      <c r="E1886" s="17" t="n"/>
      <c r="F1886" s="17" t="n"/>
      <c r="G1886" s="17" t="n"/>
      <c r="H1886" s="24">
        <f>IF($G1886="","",IFERROR(VLOOKUP($G1886,物料档案!$A$4:$P$1203,3,0),"※编码不在物料档案里"))</f>
        <v/>
      </c>
      <c r="I1886" s="24">
        <f>IF($G1886="","",IFERROR(VLOOKUP($G1886,物料档案!$A$4:$P$1203,4,0),"※编码不在物料档案里"))</f>
        <v/>
      </c>
      <c r="J1886" s="24">
        <f>IF($G1886="","",IFERROR(VLOOKUP($G1886,物料档案!$A$4:$P$1203,5,0),"※编码不在物料档案里"))</f>
        <v/>
      </c>
      <c r="K1886" s="23" t="n"/>
      <c r="L1886" s="31" t="n"/>
      <c r="M1886" s="24">
        <f>IF($G1886="","",IF($D1886="A国内","CNY","TZS"))</f>
        <v/>
      </c>
      <c r="N1886" s="28">
        <f>IF($G1886="","",IF($D1886="A国内",汇率,1))</f>
        <v/>
      </c>
      <c r="O1886" s="25">
        <f>IF($G1886="","",ROUND(N($K1886)*N($L1886),2))</f>
        <v/>
      </c>
      <c r="P1886" s="26">
        <f>IF($G1886="","",ROUND($O1886*$N1886,0))</f>
        <v/>
      </c>
      <c r="Q1886" s="26">
        <f>IF($G1886="","",SUMIFS($P$4:$P$2503,$E$4:$E$2503,$E1886,$Z$4:$Z$2503,"正常"))</f>
        <v/>
      </c>
      <c r="R1886" s="26">
        <f>IF($G1886="","",SUMIFS(费用台账!$I$4:$I$503,费用台账!$C$4:$C$503,$E1886,费用台账!$J$4:$J$503,"是",费用台账!$K$4:$K$503,"正常"))</f>
        <v/>
      </c>
      <c r="S1886" s="28">
        <f>IF($G1886="","",COUNTIFS($E$4:$E$2503,$E1886,$Z$4:$Z$2503,"正常",$Y$4:$Y$2503,"待补价"))</f>
        <v/>
      </c>
      <c r="T1886" s="26">
        <f>IF($G1886="","",SUMIFS($P$4:$P$2503,$E$4:$E$2503,$E1886,$Z$4:$Z$2503,"正常",$A$4:$A$2503,"&lt;="&amp;$A1886))</f>
        <v/>
      </c>
      <c r="U1886" s="26">
        <f>IF($G1886="","",IF(OR($S1886&gt;0,$Q1886=0,$R1886=0,$Z1886&lt;&gt;"正常"),0,ROUND($T1886/$Q1886*$R1886,0)-ROUND(($T1886-$P1886)/$Q1886*$R1886,0)))</f>
        <v/>
      </c>
      <c r="V1886" s="26">
        <f>IF($G1886="","",ROUND($P1886+$U1886,0))</f>
        <v/>
      </c>
      <c r="W1886" s="26">
        <f>IF($G1886="","",IF(N($K1886)=0,0,ROUND($V1886/$K1886,2)))</f>
        <v/>
      </c>
      <c r="X1886" s="17" t="n"/>
      <c r="Y1886" s="17" t="n"/>
      <c r="Z1886" s="17" t="n"/>
      <c r="AA1886" s="17" t="n"/>
      <c r="AB1886" s="17" t="n"/>
      <c r="AC1886" s="24">
        <f>IF($G1886="","",IF($H1886="※编码不在物料档案里","※物料编码不在档案里",IF(N($K1886)&lt;=0,"※入库数量要大于 0",IF(AND($C1886&lt;&gt;"",$C1886&lt;=结账锁),"※日期早于已结账截止日，不能再录",IF(AND($L1886=0,$X1886="正常"),"※没填单价，价格状态请选「待补价」",IF(AND($S1886&gt;0,$R1886&gt;0),"△本批有 "&amp;$S1886&amp;" 行没单价，整批运费先挂账没摊",IF(AND($B1886&lt;&gt;"",COUNTIF($B$4:$B$2503,$B1886)&gt;1),"※入库单号重复","")))))))</f>
        <v/>
      </c>
    </row>
    <row r="1887">
      <c r="A1887" s="24">
        <f>IF($G1887="","",COUNTA($G$4:$G1887))</f>
        <v/>
      </c>
      <c r="B1887" s="17" t="n"/>
      <c r="C1887" s="30" t="n"/>
      <c r="D1887" s="17" t="n"/>
      <c r="E1887" s="17" t="n"/>
      <c r="F1887" s="17" t="n"/>
      <c r="G1887" s="17" t="n"/>
      <c r="H1887" s="24">
        <f>IF($G1887="","",IFERROR(VLOOKUP($G1887,物料档案!$A$4:$P$1203,3,0),"※编码不在物料档案里"))</f>
        <v/>
      </c>
      <c r="I1887" s="24">
        <f>IF($G1887="","",IFERROR(VLOOKUP($G1887,物料档案!$A$4:$P$1203,4,0),"※编码不在物料档案里"))</f>
        <v/>
      </c>
      <c r="J1887" s="24">
        <f>IF($G1887="","",IFERROR(VLOOKUP($G1887,物料档案!$A$4:$P$1203,5,0),"※编码不在物料档案里"))</f>
        <v/>
      </c>
      <c r="K1887" s="23" t="n"/>
      <c r="L1887" s="31" t="n"/>
      <c r="M1887" s="24">
        <f>IF($G1887="","",IF($D1887="A国内","CNY","TZS"))</f>
        <v/>
      </c>
      <c r="N1887" s="28">
        <f>IF($G1887="","",IF($D1887="A国内",汇率,1))</f>
        <v/>
      </c>
      <c r="O1887" s="25">
        <f>IF($G1887="","",ROUND(N($K1887)*N($L1887),2))</f>
        <v/>
      </c>
      <c r="P1887" s="26">
        <f>IF($G1887="","",ROUND($O1887*$N1887,0))</f>
        <v/>
      </c>
      <c r="Q1887" s="26">
        <f>IF($G1887="","",SUMIFS($P$4:$P$2503,$E$4:$E$2503,$E1887,$Z$4:$Z$2503,"正常"))</f>
        <v/>
      </c>
      <c r="R1887" s="26">
        <f>IF($G1887="","",SUMIFS(费用台账!$I$4:$I$503,费用台账!$C$4:$C$503,$E1887,费用台账!$J$4:$J$503,"是",费用台账!$K$4:$K$503,"正常"))</f>
        <v/>
      </c>
      <c r="S1887" s="28">
        <f>IF($G1887="","",COUNTIFS($E$4:$E$2503,$E1887,$Z$4:$Z$2503,"正常",$Y$4:$Y$2503,"待补价"))</f>
        <v/>
      </c>
      <c r="T1887" s="26">
        <f>IF($G1887="","",SUMIFS($P$4:$P$2503,$E$4:$E$2503,$E1887,$Z$4:$Z$2503,"正常",$A$4:$A$2503,"&lt;="&amp;$A1887))</f>
        <v/>
      </c>
      <c r="U1887" s="26">
        <f>IF($G1887="","",IF(OR($S1887&gt;0,$Q1887=0,$R1887=0,$Z1887&lt;&gt;"正常"),0,ROUND($T1887/$Q1887*$R1887,0)-ROUND(($T1887-$P1887)/$Q1887*$R1887,0)))</f>
        <v/>
      </c>
      <c r="V1887" s="26">
        <f>IF($G1887="","",ROUND($P1887+$U1887,0))</f>
        <v/>
      </c>
      <c r="W1887" s="26">
        <f>IF($G1887="","",IF(N($K1887)=0,0,ROUND($V1887/$K1887,2)))</f>
        <v/>
      </c>
      <c r="X1887" s="17" t="n"/>
      <c r="Y1887" s="17" t="n"/>
      <c r="Z1887" s="17" t="n"/>
      <c r="AA1887" s="17" t="n"/>
      <c r="AB1887" s="17" t="n"/>
      <c r="AC1887" s="24">
        <f>IF($G1887="","",IF($H1887="※编码不在物料档案里","※物料编码不在档案里",IF(N($K1887)&lt;=0,"※入库数量要大于 0",IF(AND($C1887&lt;&gt;"",$C1887&lt;=结账锁),"※日期早于已结账截止日，不能再录",IF(AND($L1887=0,$X1887="正常"),"※没填单价，价格状态请选「待补价」",IF(AND($S1887&gt;0,$R1887&gt;0),"△本批有 "&amp;$S1887&amp;" 行没单价，整批运费先挂账没摊",IF(AND($B1887&lt;&gt;"",COUNTIF($B$4:$B$2503,$B1887)&gt;1),"※入库单号重复","")))))))</f>
        <v/>
      </c>
    </row>
    <row r="1888">
      <c r="A1888" s="24">
        <f>IF($G1888="","",COUNTA($G$4:$G1888))</f>
        <v/>
      </c>
      <c r="B1888" s="17" t="n"/>
      <c r="C1888" s="30" t="n"/>
      <c r="D1888" s="17" t="n"/>
      <c r="E1888" s="17" t="n"/>
      <c r="F1888" s="17" t="n"/>
      <c r="G1888" s="17" t="n"/>
      <c r="H1888" s="24">
        <f>IF($G1888="","",IFERROR(VLOOKUP($G1888,物料档案!$A$4:$P$1203,3,0),"※编码不在物料档案里"))</f>
        <v/>
      </c>
      <c r="I1888" s="24">
        <f>IF($G1888="","",IFERROR(VLOOKUP($G1888,物料档案!$A$4:$P$1203,4,0),"※编码不在物料档案里"))</f>
        <v/>
      </c>
      <c r="J1888" s="24">
        <f>IF($G1888="","",IFERROR(VLOOKUP($G1888,物料档案!$A$4:$P$1203,5,0),"※编码不在物料档案里"))</f>
        <v/>
      </c>
      <c r="K1888" s="23" t="n"/>
      <c r="L1888" s="31" t="n"/>
      <c r="M1888" s="24">
        <f>IF($G1888="","",IF($D1888="A国内","CNY","TZS"))</f>
        <v/>
      </c>
      <c r="N1888" s="28">
        <f>IF($G1888="","",IF($D1888="A国内",汇率,1))</f>
        <v/>
      </c>
      <c r="O1888" s="25">
        <f>IF($G1888="","",ROUND(N($K1888)*N($L1888),2))</f>
        <v/>
      </c>
      <c r="P1888" s="26">
        <f>IF($G1888="","",ROUND($O1888*$N1888,0))</f>
        <v/>
      </c>
      <c r="Q1888" s="26">
        <f>IF($G1888="","",SUMIFS($P$4:$P$2503,$E$4:$E$2503,$E1888,$Z$4:$Z$2503,"正常"))</f>
        <v/>
      </c>
      <c r="R1888" s="26">
        <f>IF($G1888="","",SUMIFS(费用台账!$I$4:$I$503,费用台账!$C$4:$C$503,$E1888,费用台账!$J$4:$J$503,"是",费用台账!$K$4:$K$503,"正常"))</f>
        <v/>
      </c>
      <c r="S1888" s="28">
        <f>IF($G1888="","",COUNTIFS($E$4:$E$2503,$E1888,$Z$4:$Z$2503,"正常",$Y$4:$Y$2503,"待补价"))</f>
        <v/>
      </c>
      <c r="T1888" s="26">
        <f>IF($G1888="","",SUMIFS($P$4:$P$2503,$E$4:$E$2503,$E1888,$Z$4:$Z$2503,"正常",$A$4:$A$2503,"&lt;="&amp;$A1888))</f>
        <v/>
      </c>
      <c r="U1888" s="26">
        <f>IF($G1888="","",IF(OR($S1888&gt;0,$Q1888=0,$R1888=0,$Z1888&lt;&gt;"正常"),0,ROUND($T1888/$Q1888*$R1888,0)-ROUND(($T1888-$P1888)/$Q1888*$R1888,0)))</f>
        <v/>
      </c>
      <c r="V1888" s="26">
        <f>IF($G1888="","",ROUND($P1888+$U1888,0))</f>
        <v/>
      </c>
      <c r="W1888" s="26">
        <f>IF($G1888="","",IF(N($K1888)=0,0,ROUND($V1888/$K1888,2)))</f>
        <v/>
      </c>
      <c r="X1888" s="17" t="n"/>
      <c r="Y1888" s="17" t="n"/>
      <c r="Z1888" s="17" t="n"/>
      <c r="AA1888" s="17" t="n"/>
      <c r="AB1888" s="17" t="n"/>
      <c r="AC1888" s="24">
        <f>IF($G1888="","",IF($H1888="※编码不在物料档案里","※物料编码不在档案里",IF(N($K1888)&lt;=0,"※入库数量要大于 0",IF(AND($C1888&lt;&gt;"",$C1888&lt;=结账锁),"※日期早于已结账截止日，不能再录",IF(AND($L1888=0,$X1888="正常"),"※没填单价，价格状态请选「待补价」",IF(AND($S1888&gt;0,$R1888&gt;0),"△本批有 "&amp;$S1888&amp;" 行没单价，整批运费先挂账没摊",IF(AND($B1888&lt;&gt;"",COUNTIF($B$4:$B$2503,$B1888)&gt;1),"※入库单号重复","")))))))</f>
        <v/>
      </c>
    </row>
    <row r="1889">
      <c r="A1889" s="24">
        <f>IF($G1889="","",COUNTA($G$4:$G1889))</f>
        <v/>
      </c>
      <c r="B1889" s="17" t="n"/>
      <c r="C1889" s="30" t="n"/>
      <c r="D1889" s="17" t="n"/>
      <c r="E1889" s="17" t="n"/>
      <c r="F1889" s="17" t="n"/>
      <c r="G1889" s="17" t="n"/>
      <c r="H1889" s="24">
        <f>IF($G1889="","",IFERROR(VLOOKUP($G1889,物料档案!$A$4:$P$1203,3,0),"※编码不在物料档案里"))</f>
        <v/>
      </c>
      <c r="I1889" s="24">
        <f>IF($G1889="","",IFERROR(VLOOKUP($G1889,物料档案!$A$4:$P$1203,4,0),"※编码不在物料档案里"))</f>
        <v/>
      </c>
      <c r="J1889" s="24">
        <f>IF($G1889="","",IFERROR(VLOOKUP($G1889,物料档案!$A$4:$P$1203,5,0),"※编码不在物料档案里"))</f>
        <v/>
      </c>
      <c r="K1889" s="23" t="n"/>
      <c r="L1889" s="31" t="n"/>
      <c r="M1889" s="24">
        <f>IF($G1889="","",IF($D1889="A国内","CNY","TZS"))</f>
        <v/>
      </c>
      <c r="N1889" s="28">
        <f>IF($G1889="","",IF($D1889="A国内",汇率,1))</f>
        <v/>
      </c>
      <c r="O1889" s="25">
        <f>IF($G1889="","",ROUND(N($K1889)*N($L1889),2))</f>
        <v/>
      </c>
      <c r="P1889" s="26">
        <f>IF($G1889="","",ROUND($O1889*$N1889,0))</f>
        <v/>
      </c>
      <c r="Q1889" s="26">
        <f>IF($G1889="","",SUMIFS($P$4:$P$2503,$E$4:$E$2503,$E1889,$Z$4:$Z$2503,"正常"))</f>
        <v/>
      </c>
      <c r="R1889" s="26">
        <f>IF($G1889="","",SUMIFS(费用台账!$I$4:$I$503,费用台账!$C$4:$C$503,$E1889,费用台账!$J$4:$J$503,"是",费用台账!$K$4:$K$503,"正常"))</f>
        <v/>
      </c>
      <c r="S1889" s="28">
        <f>IF($G1889="","",COUNTIFS($E$4:$E$2503,$E1889,$Z$4:$Z$2503,"正常",$Y$4:$Y$2503,"待补价"))</f>
        <v/>
      </c>
      <c r="T1889" s="26">
        <f>IF($G1889="","",SUMIFS($P$4:$P$2503,$E$4:$E$2503,$E1889,$Z$4:$Z$2503,"正常",$A$4:$A$2503,"&lt;="&amp;$A1889))</f>
        <v/>
      </c>
      <c r="U1889" s="26">
        <f>IF($G1889="","",IF(OR($S1889&gt;0,$Q1889=0,$R1889=0,$Z1889&lt;&gt;"正常"),0,ROUND($T1889/$Q1889*$R1889,0)-ROUND(($T1889-$P1889)/$Q1889*$R1889,0)))</f>
        <v/>
      </c>
      <c r="V1889" s="26">
        <f>IF($G1889="","",ROUND($P1889+$U1889,0))</f>
        <v/>
      </c>
      <c r="W1889" s="26">
        <f>IF($G1889="","",IF(N($K1889)=0,0,ROUND($V1889/$K1889,2)))</f>
        <v/>
      </c>
      <c r="X1889" s="17" t="n"/>
      <c r="Y1889" s="17" t="n"/>
      <c r="Z1889" s="17" t="n"/>
      <c r="AA1889" s="17" t="n"/>
      <c r="AB1889" s="17" t="n"/>
      <c r="AC1889" s="24">
        <f>IF($G1889="","",IF($H1889="※编码不在物料档案里","※物料编码不在档案里",IF(N($K1889)&lt;=0,"※入库数量要大于 0",IF(AND($C1889&lt;&gt;"",$C1889&lt;=结账锁),"※日期早于已结账截止日，不能再录",IF(AND($L1889=0,$X1889="正常"),"※没填单价，价格状态请选「待补价」",IF(AND($S1889&gt;0,$R1889&gt;0),"△本批有 "&amp;$S1889&amp;" 行没单价，整批运费先挂账没摊",IF(AND($B1889&lt;&gt;"",COUNTIF($B$4:$B$2503,$B1889)&gt;1),"※入库单号重复","")))))))</f>
        <v/>
      </c>
    </row>
    <row r="1890">
      <c r="A1890" s="24">
        <f>IF($G1890="","",COUNTA($G$4:$G1890))</f>
        <v/>
      </c>
      <c r="B1890" s="17" t="n"/>
      <c r="C1890" s="30" t="n"/>
      <c r="D1890" s="17" t="n"/>
      <c r="E1890" s="17" t="n"/>
      <c r="F1890" s="17" t="n"/>
      <c r="G1890" s="17" t="n"/>
      <c r="H1890" s="24">
        <f>IF($G1890="","",IFERROR(VLOOKUP($G1890,物料档案!$A$4:$P$1203,3,0),"※编码不在物料档案里"))</f>
        <v/>
      </c>
      <c r="I1890" s="24">
        <f>IF($G1890="","",IFERROR(VLOOKUP($G1890,物料档案!$A$4:$P$1203,4,0),"※编码不在物料档案里"))</f>
        <v/>
      </c>
      <c r="J1890" s="24">
        <f>IF($G1890="","",IFERROR(VLOOKUP($G1890,物料档案!$A$4:$P$1203,5,0),"※编码不在物料档案里"))</f>
        <v/>
      </c>
      <c r="K1890" s="23" t="n"/>
      <c r="L1890" s="31" t="n"/>
      <c r="M1890" s="24">
        <f>IF($G1890="","",IF($D1890="A国内","CNY","TZS"))</f>
        <v/>
      </c>
      <c r="N1890" s="28">
        <f>IF($G1890="","",IF($D1890="A国内",汇率,1))</f>
        <v/>
      </c>
      <c r="O1890" s="25">
        <f>IF($G1890="","",ROUND(N($K1890)*N($L1890),2))</f>
        <v/>
      </c>
      <c r="P1890" s="26">
        <f>IF($G1890="","",ROUND($O1890*$N1890,0))</f>
        <v/>
      </c>
      <c r="Q1890" s="26">
        <f>IF($G1890="","",SUMIFS($P$4:$P$2503,$E$4:$E$2503,$E1890,$Z$4:$Z$2503,"正常"))</f>
        <v/>
      </c>
      <c r="R1890" s="26">
        <f>IF($G1890="","",SUMIFS(费用台账!$I$4:$I$503,费用台账!$C$4:$C$503,$E1890,费用台账!$J$4:$J$503,"是",费用台账!$K$4:$K$503,"正常"))</f>
        <v/>
      </c>
      <c r="S1890" s="28">
        <f>IF($G1890="","",COUNTIFS($E$4:$E$2503,$E1890,$Z$4:$Z$2503,"正常",$Y$4:$Y$2503,"待补价"))</f>
        <v/>
      </c>
      <c r="T1890" s="26">
        <f>IF($G1890="","",SUMIFS($P$4:$P$2503,$E$4:$E$2503,$E1890,$Z$4:$Z$2503,"正常",$A$4:$A$2503,"&lt;="&amp;$A1890))</f>
        <v/>
      </c>
      <c r="U1890" s="26">
        <f>IF($G1890="","",IF(OR($S1890&gt;0,$Q1890=0,$R1890=0,$Z1890&lt;&gt;"正常"),0,ROUND($T1890/$Q1890*$R1890,0)-ROUND(($T1890-$P1890)/$Q1890*$R1890,0)))</f>
        <v/>
      </c>
      <c r="V1890" s="26">
        <f>IF($G1890="","",ROUND($P1890+$U1890,0))</f>
        <v/>
      </c>
      <c r="W1890" s="26">
        <f>IF($G1890="","",IF(N($K1890)=0,0,ROUND($V1890/$K1890,2)))</f>
        <v/>
      </c>
      <c r="X1890" s="17" t="n"/>
      <c r="Y1890" s="17" t="n"/>
      <c r="Z1890" s="17" t="n"/>
      <c r="AA1890" s="17" t="n"/>
      <c r="AB1890" s="17" t="n"/>
      <c r="AC1890" s="24">
        <f>IF($G1890="","",IF($H1890="※编码不在物料档案里","※物料编码不在档案里",IF(N($K1890)&lt;=0,"※入库数量要大于 0",IF(AND($C1890&lt;&gt;"",$C1890&lt;=结账锁),"※日期早于已结账截止日，不能再录",IF(AND($L1890=0,$X1890="正常"),"※没填单价，价格状态请选「待补价」",IF(AND($S1890&gt;0,$R1890&gt;0),"△本批有 "&amp;$S1890&amp;" 行没单价，整批运费先挂账没摊",IF(AND($B1890&lt;&gt;"",COUNTIF($B$4:$B$2503,$B1890)&gt;1),"※入库单号重复","")))))))</f>
        <v/>
      </c>
    </row>
    <row r="1891">
      <c r="A1891" s="24">
        <f>IF($G1891="","",COUNTA($G$4:$G1891))</f>
        <v/>
      </c>
      <c r="B1891" s="17" t="n"/>
      <c r="C1891" s="30" t="n"/>
      <c r="D1891" s="17" t="n"/>
      <c r="E1891" s="17" t="n"/>
      <c r="F1891" s="17" t="n"/>
      <c r="G1891" s="17" t="n"/>
      <c r="H1891" s="24">
        <f>IF($G1891="","",IFERROR(VLOOKUP($G1891,物料档案!$A$4:$P$1203,3,0),"※编码不在物料档案里"))</f>
        <v/>
      </c>
      <c r="I1891" s="24">
        <f>IF($G1891="","",IFERROR(VLOOKUP($G1891,物料档案!$A$4:$P$1203,4,0),"※编码不在物料档案里"))</f>
        <v/>
      </c>
      <c r="J1891" s="24">
        <f>IF($G1891="","",IFERROR(VLOOKUP($G1891,物料档案!$A$4:$P$1203,5,0),"※编码不在物料档案里"))</f>
        <v/>
      </c>
      <c r="K1891" s="23" t="n"/>
      <c r="L1891" s="31" t="n"/>
      <c r="M1891" s="24">
        <f>IF($G1891="","",IF($D1891="A国内","CNY","TZS"))</f>
        <v/>
      </c>
      <c r="N1891" s="28">
        <f>IF($G1891="","",IF($D1891="A国内",汇率,1))</f>
        <v/>
      </c>
      <c r="O1891" s="25">
        <f>IF($G1891="","",ROUND(N($K1891)*N($L1891),2))</f>
        <v/>
      </c>
      <c r="P1891" s="26">
        <f>IF($G1891="","",ROUND($O1891*$N1891,0))</f>
        <v/>
      </c>
      <c r="Q1891" s="26">
        <f>IF($G1891="","",SUMIFS($P$4:$P$2503,$E$4:$E$2503,$E1891,$Z$4:$Z$2503,"正常"))</f>
        <v/>
      </c>
      <c r="R1891" s="26">
        <f>IF($G1891="","",SUMIFS(费用台账!$I$4:$I$503,费用台账!$C$4:$C$503,$E1891,费用台账!$J$4:$J$503,"是",费用台账!$K$4:$K$503,"正常"))</f>
        <v/>
      </c>
      <c r="S1891" s="28">
        <f>IF($G1891="","",COUNTIFS($E$4:$E$2503,$E1891,$Z$4:$Z$2503,"正常",$Y$4:$Y$2503,"待补价"))</f>
        <v/>
      </c>
      <c r="T1891" s="26">
        <f>IF($G1891="","",SUMIFS($P$4:$P$2503,$E$4:$E$2503,$E1891,$Z$4:$Z$2503,"正常",$A$4:$A$2503,"&lt;="&amp;$A1891))</f>
        <v/>
      </c>
      <c r="U1891" s="26">
        <f>IF($G1891="","",IF(OR($S1891&gt;0,$Q1891=0,$R1891=0,$Z1891&lt;&gt;"正常"),0,ROUND($T1891/$Q1891*$R1891,0)-ROUND(($T1891-$P1891)/$Q1891*$R1891,0)))</f>
        <v/>
      </c>
      <c r="V1891" s="26">
        <f>IF($G1891="","",ROUND($P1891+$U1891,0))</f>
        <v/>
      </c>
      <c r="W1891" s="26">
        <f>IF($G1891="","",IF(N($K1891)=0,0,ROUND($V1891/$K1891,2)))</f>
        <v/>
      </c>
      <c r="X1891" s="17" t="n"/>
      <c r="Y1891" s="17" t="n"/>
      <c r="Z1891" s="17" t="n"/>
      <c r="AA1891" s="17" t="n"/>
      <c r="AB1891" s="17" t="n"/>
      <c r="AC1891" s="24">
        <f>IF($G1891="","",IF($H1891="※编码不在物料档案里","※物料编码不在档案里",IF(N($K1891)&lt;=0,"※入库数量要大于 0",IF(AND($C1891&lt;&gt;"",$C1891&lt;=结账锁),"※日期早于已结账截止日，不能再录",IF(AND($L1891=0,$X1891="正常"),"※没填单价，价格状态请选「待补价」",IF(AND($S1891&gt;0,$R1891&gt;0),"△本批有 "&amp;$S1891&amp;" 行没单价，整批运费先挂账没摊",IF(AND($B1891&lt;&gt;"",COUNTIF($B$4:$B$2503,$B1891)&gt;1),"※入库单号重复","")))))))</f>
        <v/>
      </c>
    </row>
    <row r="1892">
      <c r="A1892" s="24">
        <f>IF($G1892="","",COUNTA($G$4:$G1892))</f>
        <v/>
      </c>
      <c r="B1892" s="17" t="n"/>
      <c r="C1892" s="30" t="n"/>
      <c r="D1892" s="17" t="n"/>
      <c r="E1892" s="17" t="n"/>
      <c r="F1892" s="17" t="n"/>
      <c r="G1892" s="17" t="n"/>
      <c r="H1892" s="24">
        <f>IF($G1892="","",IFERROR(VLOOKUP($G1892,物料档案!$A$4:$P$1203,3,0),"※编码不在物料档案里"))</f>
        <v/>
      </c>
      <c r="I1892" s="24">
        <f>IF($G1892="","",IFERROR(VLOOKUP($G1892,物料档案!$A$4:$P$1203,4,0),"※编码不在物料档案里"))</f>
        <v/>
      </c>
      <c r="J1892" s="24">
        <f>IF($G1892="","",IFERROR(VLOOKUP($G1892,物料档案!$A$4:$P$1203,5,0),"※编码不在物料档案里"))</f>
        <v/>
      </c>
      <c r="K1892" s="23" t="n"/>
      <c r="L1892" s="31" t="n"/>
      <c r="M1892" s="24">
        <f>IF($G1892="","",IF($D1892="A国内","CNY","TZS"))</f>
        <v/>
      </c>
      <c r="N1892" s="28">
        <f>IF($G1892="","",IF($D1892="A国内",汇率,1))</f>
        <v/>
      </c>
      <c r="O1892" s="25">
        <f>IF($G1892="","",ROUND(N($K1892)*N($L1892),2))</f>
        <v/>
      </c>
      <c r="P1892" s="26">
        <f>IF($G1892="","",ROUND($O1892*$N1892,0))</f>
        <v/>
      </c>
      <c r="Q1892" s="26">
        <f>IF($G1892="","",SUMIFS($P$4:$P$2503,$E$4:$E$2503,$E1892,$Z$4:$Z$2503,"正常"))</f>
        <v/>
      </c>
      <c r="R1892" s="26">
        <f>IF($G1892="","",SUMIFS(费用台账!$I$4:$I$503,费用台账!$C$4:$C$503,$E1892,费用台账!$J$4:$J$503,"是",费用台账!$K$4:$K$503,"正常"))</f>
        <v/>
      </c>
      <c r="S1892" s="28">
        <f>IF($G1892="","",COUNTIFS($E$4:$E$2503,$E1892,$Z$4:$Z$2503,"正常",$Y$4:$Y$2503,"待补价"))</f>
        <v/>
      </c>
      <c r="T1892" s="26">
        <f>IF($G1892="","",SUMIFS($P$4:$P$2503,$E$4:$E$2503,$E1892,$Z$4:$Z$2503,"正常",$A$4:$A$2503,"&lt;="&amp;$A1892))</f>
        <v/>
      </c>
      <c r="U1892" s="26">
        <f>IF($G1892="","",IF(OR($S1892&gt;0,$Q1892=0,$R1892=0,$Z1892&lt;&gt;"正常"),0,ROUND($T1892/$Q1892*$R1892,0)-ROUND(($T1892-$P1892)/$Q1892*$R1892,0)))</f>
        <v/>
      </c>
      <c r="V1892" s="26">
        <f>IF($G1892="","",ROUND($P1892+$U1892,0))</f>
        <v/>
      </c>
      <c r="W1892" s="26">
        <f>IF($G1892="","",IF(N($K1892)=0,0,ROUND($V1892/$K1892,2)))</f>
        <v/>
      </c>
      <c r="X1892" s="17" t="n"/>
      <c r="Y1892" s="17" t="n"/>
      <c r="Z1892" s="17" t="n"/>
      <c r="AA1892" s="17" t="n"/>
      <c r="AB1892" s="17" t="n"/>
      <c r="AC1892" s="24">
        <f>IF($G1892="","",IF($H1892="※编码不在物料档案里","※物料编码不在档案里",IF(N($K1892)&lt;=0,"※入库数量要大于 0",IF(AND($C1892&lt;&gt;"",$C1892&lt;=结账锁),"※日期早于已结账截止日，不能再录",IF(AND($L1892=0,$X1892="正常"),"※没填单价，价格状态请选「待补价」",IF(AND($S1892&gt;0,$R1892&gt;0),"△本批有 "&amp;$S1892&amp;" 行没单价，整批运费先挂账没摊",IF(AND($B1892&lt;&gt;"",COUNTIF($B$4:$B$2503,$B1892)&gt;1),"※入库单号重复","")))))))</f>
        <v/>
      </c>
    </row>
    <row r="1893">
      <c r="A1893" s="24">
        <f>IF($G1893="","",COUNTA($G$4:$G1893))</f>
        <v/>
      </c>
      <c r="B1893" s="17" t="n"/>
      <c r="C1893" s="30" t="n"/>
      <c r="D1893" s="17" t="n"/>
      <c r="E1893" s="17" t="n"/>
      <c r="F1893" s="17" t="n"/>
      <c r="G1893" s="17" t="n"/>
      <c r="H1893" s="24">
        <f>IF($G1893="","",IFERROR(VLOOKUP($G1893,物料档案!$A$4:$P$1203,3,0),"※编码不在物料档案里"))</f>
        <v/>
      </c>
      <c r="I1893" s="24">
        <f>IF($G1893="","",IFERROR(VLOOKUP($G1893,物料档案!$A$4:$P$1203,4,0),"※编码不在物料档案里"))</f>
        <v/>
      </c>
      <c r="J1893" s="24">
        <f>IF($G1893="","",IFERROR(VLOOKUP($G1893,物料档案!$A$4:$P$1203,5,0),"※编码不在物料档案里"))</f>
        <v/>
      </c>
      <c r="K1893" s="23" t="n"/>
      <c r="L1893" s="31" t="n"/>
      <c r="M1893" s="24">
        <f>IF($G1893="","",IF($D1893="A国内","CNY","TZS"))</f>
        <v/>
      </c>
      <c r="N1893" s="28">
        <f>IF($G1893="","",IF($D1893="A国内",汇率,1))</f>
        <v/>
      </c>
      <c r="O1893" s="25">
        <f>IF($G1893="","",ROUND(N($K1893)*N($L1893),2))</f>
        <v/>
      </c>
      <c r="P1893" s="26">
        <f>IF($G1893="","",ROUND($O1893*$N1893,0))</f>
        <v/>
      </c>
      <c r="Q1893" s="26">
        <f>IF($G1893="","",SUMIFS($P$4:$P$2503,$E$4:$E$2503,$E1893,$Z$4:$Z$2503,"正常"))</f>
        <v/>
      </c>
      <c r="R1893" s="26">
        <f>IF($G1893="","",SUMIFS(费用台账!$I$4:$I$503,费用台账!$C$4:$C$503,$E1893,费用台账!$J$4:$J$503,"是",费用台账!$K$4:$K$503,"正常"))</f>
        <v/>
      </c>
      <c r="S1893" s="28">
        <f>IF($G1893="","",COUNTIFS($E$4:$E$2503,$E1893,$Z$4:$Z$2503,"正常",$Y$4:$Y$2503,"待补价"))</f>
        <v/>
      </c>
      <c r="T1893" s="26">
        <f>IF($G1893="","",SUMIFS($P$4:$P$2503,$E$4:$E$2503,$E1893,$Z$4:$Z$2503,"正常",$A$4:$A$2503,"&lt;="&amp;$A1893))</f>
        <v/>
      </c>
      <c r="U1893" s="26">
        <f>IF($G1893="","",IF(OR($S1893&gt;0,$Q1893=0,$R1893=0,$Z1893&lt;&gt;"正常"),0,ROUND($T1893/$Q1893*$R1893,0)-ROUND(($T1893-$P1893)/$Q1893*$R1893,0)))</f>
        <v/>
      </c>
      <c r="V1893" s="26">
        <f>IF($G1893="","",ROUND($P1893+$U1893,0))</f>
        <v/>
      </c>
      <c r="W1893" s="26">
        <f>IF($G1893="","",IF(N($K1893)=0,0,ROUND($V1893/$K1893,2)))</f>
        <v/>
      </c>
      <c r="X1893" s="17" t="n"/>
      <c r="Y1893" s="17" t="n"/>
      <c r="Z1893" s="17" t="n"/>
      <c r="AA1893" s="17" t="n"/>
      <c r="AB1893" s="17" t="n"/>
      <c r="AC1893" s="24">
        <f>IF($G1893="","",IF($H1893="※编码不在物料档案里","※物料编码不在档案里",IF(N($K1893)&lt;=0,"※入库数量要大于 0",IF(AND($C1893&lt;&gt;"",$C1893&lt;=结账锁),"※日期早于已结账截止日，不能再录",IF(AND($L1893=0,$X1893="正常"),"※没填单价，价格状态请选「待补价」",IF(AND($S1893&gt;0,$R1893&gt;0),"△本批有 "&amp;$S1893&amp;" 行没单价，整批运费先挂账没摊",IF(AND($B1893&lt;&gt;"",COUNTIF($B$4:$B$2503,$B1893)&gt;1),"※入库单号重复","")))))))</f>
        <v/>
      </c>
    </row>
    <row r="1894">
      <c r="A1894" s="24">
        <f>IF($G1894="","",COUNTA($G$4:$G1894))</f>
        <v/>
      </c>
      <c r="B1894" s="17" t="n"/>
      <c r="C1894" s="30" t="n"/>
      <c r="D1894" s="17" t="n"/>
      <c r="E1894" s="17" t="n"/>
      <c r="F1894" s="17" t="n"/>
      <c r="G1894" s="17" t="n"/>
      <c r="H1894" s="24">
        <f>IF($G1894="","",IFERROR(VLOOKUP($G1894,物料档案!$A$4:$P$1203,3,0),"※编码不在物料档案里"))</f>
        <v/>
      </c>
      <c r="I1894" s="24">
        <f>IF($G1894="","",IFERROR(VLOOKUP($G1894,物料档案!$A$4:$P$1203,4,0),"※编码不在物料档案里"))</f>
        <v/>
      </c>
      <c r="J1894" s="24">
        <f>IF($G1894="","",IFERROR(VLOOKUP($G1894,物料档案!$A$4:$P$1203,5,0),"※编码不在物料档案里"))</f>
        <v/>
      </c>
      <c r="K1894" s="23" t="n"/>
      <c r="L1894" s="31" t="n"/>
      <c r="M1894" s="24">
        <f>IF($G1894="","",IF($D1894="A国内","CNY","TZS"))</f>
        <v/>
      </c>
      <c r="N1894" s="28">
        <f>IF($G1894="","",IF($D1894="A国内",汇率,1))</f>
        <v/>
      </c>
      <c r="O1894" s="25">
        <f>IF($G1894="","",ROUND(N($K1894)*N($L1894),2))</f>
        <v/>
      </c>
      <c r="P1894" s="26">
        <f>IF($G1894="","",ROUND($O1894*$N1894,0))</f>
        <v/>
      </c>
      <c r="Q1894" s="26">
        <f>IF($G1894="","",SUMIFS($P$4:$P$2503,$E$4:$E$2503,$E1894,$Z$4:$Z$2503,"正常"))</f>
        <v/>
      </c>
      <c r="R1894" s="26">
        <f>IF($G1894="","",SUMIFS(费用台账!$I$4:$I$503,费用台账!$C$4:$C$503,$E1894,费用台账!$J$4:$J$503,"是",费用台账!$K$4:$K$503,"正常"))</f>
        <v/>
      </c>
      <c r="S1894" s="28">
        <f>IF($G1894="","",COUNTIFS($E$4:$E$2503,$E1894,$Z$4:$Z$2503,"正常",$Y$4:$Y$2503,"待补价"))</f>
        <v/>
      </c>
      <c r="T1894" s="26">
        <f>IF($G1894="","",SUMIFS($P$4:$P$2503,$E$4:$E$2503,$E1894,$Z$4:$Z$2503,"正常",$A$4:$A$2503,"&lt;="&amp;$A1894))</f>
        <v/>
      </c>
      <c r="U1894" s="26">
        <f>IF($G1894="","",IF(OR($S1894&gt;0,$Q1894=0,$R1894=0,$Z1894&lt;&gt;"正常"),0,ROUND($T1894/$Q1894*$R1894,0)-ROUND(($T1894-$P1894)/$Q1894*$R1894,0)))</f>
        <v/>
      </c>
      <c r="V1894" s="26">
        <f>IF($G1894="","",ROUND($P1894+$U1894,0))</f>
        <v/>
      </c>
      <c r="W1894" s="26">
        <f>IF($G1894="","",IF(N($K1894)=0,0,ROUND($V1894/$K1894,2)))</f>
        <v/>
      </c>
      <c r="X1894" s="17" t="n"/>
      <c r="Y1894" s="17" t="n"/>
      <c r="Z1894" s="17" t="n"/>
      <c r="AA1894" s="17" t="n"/>
      <c r="AB1894" s="17" t="n"/>
      <c r="AC1894" s="24">
        <f>IF($G1894="","",IF($H1894="※编码不在物料档案里","※物料编码不在档案里",IF(N($K1894)&lt;=0,"※入库数量要大于 0",IF(AND($C1894&lt;&gt;"",$C1894&lt;=结账锁),"※日期早于已结账截止日，不能再录",IF(AND($L1894=0,$X1894="正常"),"※没填单价，价格状态请选「待补价」",IF(AND($S1894&gt;0,$R1894&gt;0),"△本批有 "&amp;$S1894&amp;" 行没单价，整批运费先挂账没摊",IF(AND($B1894&lt;&gt;"",COUNTIF($B$4:$B$2503,$B1894)&gt;1),"※入库单号重复","")))))))</f>
        <v/>
      </c>
    </row>
    <row r="1895">
      <c r="A1895" s="24">
        <f>IF($G1895="","",COUNTA($G$4:$G1895))</f>
        <v/>
      </c>
      <c r="B1895" s="17" t="n"/>
      <c r="C1895" s="30" t="n"/>
      <c r="D1895" s="17" t="n"/>
      <c r="E1895" s="17" t="n"/>
      <c r="F1895" s="17" t="n"/>
      <c r="G1895" s="17" t="n"/>
      <c r="H1895" s="24">
        <f>IF($G1895="","",IFERROR(VLOOKUP($G1895,物料档案!$A$4:$P$1203,3,0),"※编码不在物料档案里"))</f>
        <v/>
      </c>
      <c r="I1895" s="24">
        <f>IF($G1895="","",IFERROR(VLOOKUP($G1895,物料档案!$A$4:$P$1203,4,0),"※编码不在物料档案里"))</f>
        <v/>
      </c>
      <c r="J1895" s="24">
        <f>IF($G1895="","",IFERROR(VLOOKUP($G1895,物料档案!$A$4:$P$1203,5,0),"※编码不在物料档案里"))</f>
        <v/>
      </c>
      <c r="K1895" s="23" t="n"/>
      <c r="L1895" s="31" t="n"/>
      <c r="M1895" s="24">
        <f>IF($G1895="","",IF($D1895="A国内","CNY","TZS"))</f>
        <v/>
      </c>
      <c r="N1895" s="28">
        <f>IF($G1895="","",IF($D1895="A国内",汇率,1))</f>
        <v/>
      </c>
      <c r="O1895" s="25">
        <f>IF($G1895="","",ROUND(N($K1895)*N($L1895),2))</f>
        <v/>
      </c>
      <c r="P1895" s="26">
        <f>IF($G1895="","",ROUND($O1895*$N1895,0))</f>
        <v/>
      </c>
      <c r="Q1895" s="26">
        <f>IF($G1895="","",SUMIFS($P$4:$P$2503,$E$4:$E$2503,$E1895,$Z$4:$Z$2503,"正常"))</f>
        <v/>
      </c>
      <c r="R1895" s="26">
        <f>IF($G1895="","",SUMIFS(费用台账!$I$4:$I$503,费用台账!$C$4:$C$503,$E1895,费用台账!$J$4:$J$503,"是",费用台账!$K$4:$K$503,"正常"))</f>
        <v/>
      </c>
      <c r="S1895" s="28">
        <f>IF($G1895="","",COUNTIFS($E$4:$E$2503,$E1895,$Z$4:$Z$2503,"正常",$Y$4:$Y$2503,"待补价"))</f>
        <v/>
      </c>
      <c r="T1895" s="26">
        <f>IF($G1895="","",SUMIFS($P$4:$P$2503,$E$4:$E$2503,$E1895,$Z$4:$Z$2503,"正常",$A$4:$A$2503,"&lt;="&amp;$A1895))</f>
        <v/>
      </c>
      <c r="U1895" s="26">
        <f>IF($G1895="","",IF(OR($S1895&gt;0,$Q1895=0,$R1895=0,$Z1895&lt;&gt;"正常"),0,ROUND($T1895/$Q1895*$R1895,0)-ROUND(($T1895-$P1895)/$Q1895*$R1895,0)))</f>
        <v/>
      </c>
      <c r="V1895" s="26">
        <f>IF($G1895="","",ROUND($P1895+$U1895,0))</f>
        <v/>
      </c>
      <c r="W1895" s="26">
        <f>IF($G1895="","",IF(N($K1895)=0,0,ROUND($V1895/$K1895,2)))</f>
        <v/>
      </c>
      <c r="X1895" s="17" t="n"/>
      <c r="Y1895" s="17" t="n"/>
      <c r="Z1895" s="17" t="n"/>
      <c r="AA1895" s="17" t="n"/>
      <c r="AB1895" s="17" t="n"/>
      <c r="AC1895" s="24">
        <f>IF($G1895="","",IF($H1895="※编码不在物料档案里","※物料编码不在档案里",IF(N($K1895)&lt;=0,"※入库数量要大于 0",IF(AND($C1895&lt;&gt;"",$C1895&lt;=结账锁),"※日期早于已结账截止日，不能再录",IF(AND($L1895=0,$X1895="正常"),"※没填单价，价格状态请选「待补价」",IF(AND($S1895&gt;0,$R1895&gt;0),"△本批有 "&amp;$S1895&amp;" 行没单价，整批运费先挂账没摊",IF(AND($B1895&lt;&gt;"",COUNTIF($B$4:$B$2503,$B1895)&gt;1),"※入库单号重复","")))))))</f>
        <v/>
      </c>
    </row>
    <row r="1896">
      <c r="A1896" s="24">
        <f>IF($G1896="","",COUNTA($G$4:$G1896))</f>
        <v/>
      </c>
      <c r="B1896" s="17" t="n"/>
      <c r="C1896" s="30" t="n"/>
      <c r="D1896" s="17" t="n"/>
      <c r="E1896" s="17" t="n"/>
      <c r="F1896" s="17" t="n"/>
      <c r="G1896" s="17" t="n"/>
      <c r="H1896" s="24">
        <f>IF($G1896="","",IFERROR(VLOOKUP($G1896,物料档案!$A$4:$P$1203,3,0),"※编码不在物料档案里"))</f>
        <v/>
      </c>
      <c r="I1896" s="24">
        <f>IF($G1896="","",IFERROR(VLOOKUP($G1896,物料档案!$A$4:$P$1203,4,0),"※编码不在物料档案里"))</f>
        <v/>
      </c>
      <c r="J1896" s="24">
        <f>IF($G1896="","",IFERROR(VLOOKUP($G1896,物料档案!$A$4:$P$1203,5,0),"※编码不在物料档案里"))</f>
        <v/>
      </c>
      <c r="K1896" s="23" t="n"/>
      <c r="L1896" s="31" t="n"/>
      <c r="M1896" s="24">
        <f>IF($G1896="","",IF($D1896="A国内","CNY","TZS"))</f>
        <v/>
      </c>
      <c r="N1896" s="28">
        <f>IF($G1896="","",IF($D1896="A国内",汇率,1))</f>
        <v/>
      </c>
      <c r="O1896" s="25">
        <f>IF($G1896="","",ROUND(N($K1896)*N($L1896),2))</f>
        <v/>
      </c>
      <c r="P1896" s="26">
        <f>IF($G1896="","",ROUND($O1896*$N1896,0))</f>
        <v/>
      </c>
      <c r="Q1896" s="26">
        <f>IF($G1896="","",SUMIFS($P$4:$P$2503,$E$4:$E$2503,$E1896,$Z$4:$Z$2503,"正常"))</f>
        <v/>
      </c>
      <c r="R1896" s="26">
        <f>IF($G1896="","",SUMIFS(费用台账!$I$4:$I$503,费用台账!$C$4:$C$503,$E1896,费用台账!$J$4:$J$503,"是",费用台账!$K$4:$K$503,"正常"))</f>
        <v/>
      </c>
      <c r="S1896" s="28">
        <f>IF($G1896="","",COUNTIFS($E$4:$E$2503,$E1896,$Z$4:$Z$2503,"正常",$Y$4:$Y$2503,"待补价"))</f>
        <v/>
      </c>
      <c r="T1896" s="26">
        <f>IF($G1896="","",SUMIFS($P$4:$P$2503,$E$4:$E$2503,$E1896,$Z$4:$Z$2503,"正常",$A$4:$A$2503,"&lt;="&amp;$A1896))</f>
        <v/>
      </c>
      <c r="U1896" s="26">
        <f>IF($G1896="","",IF(OR($S1896&gt;0,$Q1896=0,$R1896=0,$Z1896&lt;&gt;"正常"),0,ROUND($T1896/$Q1896*$R1896,0)-ROUND(($T1896-$P1896)/$Q1896*$R1896,0)))</f>
        <v/>
      </c>
      <c r="V1896" s="26">
        <f>IF($G1896="","",ROUND($P1896+$U1896,0))</f>
        <v/>
      </c>
      <c r="W1896" s="26">
        <f>IF($G1896="","",IF(N($K1896)=0,0,ROUND($V1896/$K1896,2)))</f>
        <v/>
      </c>
      <c r="X1896" s="17" t="n"/>
      <c r="Y1896" s="17" t="n"/>
      <c r="Z1896" s="17" t="n"/>
      <c r="AA1896" s="17" t="n"/>
      <c r="AB1896" s="17" t="n"/>
      <c r="AC1896" s="24">
        <f>IF($G1896="","",IF($H1896="※编码不在物料档案里","※物料编码不在档案里",IF(N($K1896)&lt;=0,"※入库数量要大于 0",IF(AND($C1896&lt;&gt;"",$C1896&lt;=结账锁),"※日期早于已结账截止日，不能再录",IF(AND($L1896=0,$X1896="正常"),"※没填单价，价格状态请选「待补价」",IF(AND($S1896&gt;0,$R1896&gt;0),"△本批有 "&amp;$S1896&amp;" 行没单价，整批运费先挂账没摊",IF(AND($B1896&lt;&gt;"",COUNTIF($B$4:$B$2503,$B1896)&gt;1),"※入库单号重复","")))))))</f>
        <v/>
      </c>
    </row>
    <row r="1897">
      <c r="A1897" s="24">
        <f>IF($G1897="","",COUNTA($G$4:$G1897))</f>
        <v/>
      </c>
      <c r="B1897" s="17" t="n"/>
      <c r="C1897" s="30" t="n"/>
      <c r="D1897" s="17" t="n"/>
      <c r="E1897" s="17" t="n"/>
      <c r="F1897" s="17" t="n"/>
      <c r="G1897" s="17" t="n"/>
      <c r="H1897" s="24">
        <f>IF($G1897="","",IFERROR(VLOOKUP($G1897,物料档案!$A$4:$P$1203,3,0),"※编码不在物料档案里"))</f>
        <v/>
      </c>
      <c r="I1897" s="24">
        <f>IF($G1897="","",IFERROR(VLOOKUP($G1897,物料档案!$A$4:$P$1203,4,0),"※编码不在物料档案里"))</f>
        <v/>
      </c>
      <c r="J1897" s="24">
        <f>IF($G1897="","",IFERROR(VLOOKUP($G1897,物料档案!$A$4:$P$1203,5,0),"※编码不在物料档案里"))</f>
        <v/>
      </c>
      <c r="K1897" s="23" t="n"/>
      <c r="L1897" s="31" t="n"/>
      <c r="M1897" s="24">
        <f>IF($G1897="","",IF($D1897="A国内","CNY","TZS"))</f>
        <v/>
      </c>
      <c r="N1897" s="28">
        <f>IF($G1897="","",IF($D1897="A国内",汇率,1))</f>
        <v/>
      </c>
      <c r="O1897" s="25">
        <f>IF($G1897="","",ROUND(N($K1897)*N($L1897),2))</f>
        <v/>
      </c>
      <c r="P1897" s="26">
        <f>IF($G1897="","",ROUND($O1897*$N1897,0))</f>
        <v/>
      </c>
      <c r="Q1897" s="26">
        <f>IF($G1897="","",SUMIFS($P$4:$P$2503,$E$4:$E$2503,$E1897,$Z$4:$Z$2503,"正常"))</f>
        <v/>
      </c>
      <c r="R1897" s="26">
        <f>IF($G1897="","",SUMIFS(费用台账!$I$4:$I$503,费用台账!$C$4:$C$503,$E1897,费用台账!$J$4:$J$503,"是",费用台账!$K$4:$K$503,"正常"))</f>
        <v/>
      </c>
      <c r="S1897" s="28">
        <f>IF($G1897="","",COUNTIFS($E$4:$E$2503,$E1897,$Z$4:$Z$2503,"正常",$Y$4:$Y$2503,"待补价"))</f>
        <v/>
      </c>
      <c r="T1897" s="26">
        <f>IF($G1897="","",SUMIFS($P$4:$P$2503,$E$4:$E$2503,$E1897,$Z$4:$Z$2503,"正常",$A$4:$A$2503,"&lt;="&amp;$A1897))</f>
        <v/>
      </c>
      <c r="U1897" s="26">
        <f>IF($G1897="","",IF(OR($S1897&gt;0,$Q1897=0,$R1897=0,$Z1897&lt;&gt;"正常"),0,ROUND($T1897/$Q1897*$R1897,0)-ROUND(($T1897-$P1897)/$Q1897*$R1897,0)))</f>
        <v/>
      </c>
      <c r="V1897" s="26">
        <f>IF($G1897="","",ROUND($P1897+$U1897,0))</f>
        <v/>
      </c>
      <c r="W1897" s="26">
        <f>IF($G1897="","",IF(N($K1897)=0,0,ROUND($V1897/$K1897,2)))</f>
        <v/>
      </c>
      <c r="X1897" s="17" t="n"/>
      <c r="Y1897" s="17" t="n"/>
      <c r="Z1897" s="17" t="n"/>
      <c r="AA1897" s="17" t="n"/>
      <c r="AB1897" s="17" t="n"/>
      <c r="AC1897" s="24">
        <f>IF($G1897="","",IF($H1897="※编码不在物料档案里","※物料编码不在档案里",IF(N($K1897)&lt;=0,"※入库数量要大于 0",IF(AND($C1897&lt;&gt;"",$C1897&lt;=结账锁),"※日期早于已结账截止日，不能再录",IF(AND($L1897=0,$X1897="正常"),"※没填单价，价格状态请选「待补价」",IF(AND($S1897&gt;0,$R1897&gt;0),"△本批有 "&amp;$S1897&amp;" 行没单价，整批运费先挂账没摊",IF(AND($B1897&lt;&gt;"",COUNTIF($B$4:$B$2503,$B1897)&gt;1),"※入库单号重复","")))))))</f>
        <v/>
      </c>
    </row>
    <row r="1898">
      <c r="A1898" s="24">
        <f>IF($G1898="","",COUNTA($G$4:$G1898))</f>
        <v/>
      </c>
      <c r="B1898" s="17" t="n"/>
      <c r="C1898" s="30" t="n"/>
      <c r="D1898" s="17" t="n"/>
      <c r="E1898" s="17" t="n"/>
      <c r="F1898" s="17" t="n"/>
      <c r="G1898" s="17" t="n"/>
      <c r="H1898" s="24">
        <f>IF($G1898="","",IFERROR(VLOOKUP($G1898,物料档案!$A$4:$P$1203,3,0),"※编码不在物料档案里"))</f>
        <v/>
      </c>
      <c r="I1898" s="24">
        <f>IF($G1898="","",IFERROR(VLOOKUP($G1898,物料档案!$A$4:$P$1203,4,0),"※编码不在物料档案里"))</f>
        <v/>
      </c>
      <c r="J1898" s="24">
        <f>IF($G1898="","",IFERROR(VLOOKUP($G1898,物料档案!$A$4:$P$1203,5,0),"※编码不在物料档案里"))</f>
        <v/>
      </c>
      <c r="K1898" s="23" t="n"/>
      <c r="L1898" s="31" t="n"/>
      <c r="M1898" s="24">
        <f>IF($G1898="","",IF($D1898="A国内","CNY","TZS"))</f>
        <v/>
      </c>
      <c r="N1898" s="28">
        <f>IF($G1898="","",IF($D1898="A国内",汇率,1))</f>
        <v/>
      </c>
      <c r="O1898" s="25">
        <f>IF($G1898="","",ROUND(N($K1898)*N($L1898),2))</f>
        <v/>
      </c>
      <c r="P1898" s="26">
        <f>IF($G1898="","",ROUND($O1898*$N1898,0))</f>
        <v/>
      </c>
      <c r="Q1898" s="26">
        <f>IF($G1898="","",SUMIFS($P$4:$P$2503,$E$4:$E$2503,$E1898,$Z$4:$Z$2503,"正常"))</f>
        <v/>
      </c>
      <c r="R1898" s="26">
        <f>IF($G1898="","",SUMIFS(费用台账!$I$4:$I$503,费用台账!$C$4:$C$503,$E1898,费用台账!$J$4:$J$503,"是",费用台账!$K$4:$K$503,"正常"))</f>
        <v/>
      </c>
      <c r="S1898" s="28">
        <f>IF($G1898="","",COUNTIFS($E$4:$E$2503,$E1898,$Z$4:$Z$2503,"正常",$Y$4:$Y$2503,"待补价"))</f>
        <v/>
      </c>
      <c r="T1898" s="26">
        <f>IF($G1898="","",SUMIFS($P$4:$P$2503,$E$4:$E$2503,$E1898,$Z$4:$Z$2503,"正常",$A$4:$A$2503,"&lt;="&amp;$A1898))</f>
        <v/>
      </c>
      <c r="U1898" s="26">
        <f>IF($G1898="","",IF(OR($S1898&gt;0,$Q1898=0,$R1898=0,$Z1898&lt;&gt;"正常"),0,ROUND($T1898/$Q1898*$R1898,0)-ROUND(($T1898-$P1898)/$Q1898*$R1898,0)))</f>
        <v/>
      </c>
      <c r="V1898" s="26">
        <f>IF($G1898="","",ROUND($P1898+$U1898,0))</f>
        <v/>
      </c>
      <c r="W1898" s="26">
        <f>IF($G1898="","",IF(N($K1898)=0,0,ROUND($V1898/$K1898,2)))</f>
        <v/>
      </c>
      <c r="X1898" s="17" t="n"/>
      <c r="Y1898" s="17" t="n"/>
      <c r="Z1898" s="17" t="n"/>
      <c r="AA1898" s="17" t="n"/>
      <c r="AB1898" s="17" t="n"/>
      <c r="AC1898" s="24">
        <f>IF($G1898="","",IF($H1898="※编码不在物料档案里","※物料编码不在档案里",IF(N($K1898)&lt;=0,"※入库数量要大于 0",IF(AND($C1898&lt;&gt;"",$C1898&lt;=结账锁),"※日期早于已结账截止日，不能再录",IF(AND($L1898=0,$X1898="正常"),"※没填单价，价格状态请选「待补价」",IF(AND($S1898&gt;0,$R1898&gt;0),"△本批有 "&amp;$S1898&amp;" 行没单价，整批运费先挂账没摊",IF(AND($B1898&lt;&gt;"",COUNTIF($B$4:$B$2503,$B1898)&gt;1),"※入库单号重复","")))))))</f>
        <v/>
      </c>
    </row>
    <row r="1899">
      <c r="A1899" s="24">
        <f>IF($G1899="","",COUNTA($G$4:$G1899))</f>
        <v/>
      </c>
      <c r="B1899" s="17" t="n"/>
      <c r="C1899" s="30" t="n"/>
      <c r="D1899" s="17" t="n"/>
      <c r="E1899" s="17" t="n"/>
      <c r="F1899" s="17" t="n"/>
      <c r="G1899" s="17" t="n"/>
      <c r="H1899" s="24">
        <f>IF($G1899="","",IFERROR(VLOOKUP($G1899,物料档案!$A$4:$P$1203,3,0),"※编码不在物料档案里"))</f>
        <v/>
      </c>
      <c r="I1899" s="24">
        <f>IF($G1899="","",IFERROR(VLOOKUP($G1899,物料档案!$A$4:$P$1203,4,0),"※编码不在物料档案里"))</f>
        <v/>
      </c>
      <c r="J1899" s="24">
        <f>IF($G1899="","",IFERROR(VLOOKUP($G1899,物料档案!$A$4:$P$1203,5,0),"※编码不在物料档案里"))</f>
        <v/>
      </c>
      <c r="K1899" s="23" t="n"/>
      <c r="L1899" s="31" t="n"/>
      <c r="M1899" s="24">
        <f>IF($G1899="","",IF($D1899="A国内","CNY","TZS"))</f>
        <v/>
      </c>
      <c r="N1899" s="28">
        <f>IF($G1899="","",IF($D1899="A国内",汇率,1))</f>
        <v/>
      </c>
      <c r="O1899" s="25">
        <f>IF($G1899="","",ROUND(N($K1899)*N($L1899),2))</f>
        <v/>
      </c>
      <c r="P1899" s="26">
        <f>IF($G1899="","",ROUND($O1899*$N1899,0))</f>
        <v/>
      </c>
      <c r="Q1899" s="26">
        <f>IF($G1899="","",SUMIFS($P$4:$P$2503,$E$4:$E$2503,$E1899,$Z$4:$Z$2503,"正常"))</f>
        <v/>
      </c>
      <c r="R1899" s="26">
        <f>IF($G1899="","",SUMIFS(费用台账!$I$4:$I$503,费用台账!$C$4:$C$503,$E1899,费用台账!$J$4:$J$503,"是",费用台账!$K$4:$K$503,"正常"))</f>
        <v/>
      </c>
      <c r="S1899" s="28">
        <f>IF($G1899="","",COUNTIFS($E$4:$E$2503,$E1899,$Z$4:$Z$2503,"正常",$Y$4:$Y$2503,"待补价"))</f>
        <v/>
      </c>
      <c r="T1899" s="26">
        <f>IF($G1899="","",SUMIFS($P$4:$P$2503,$E$4:$E$2503,$E1899,$Z$4:$Z$2503,"正常",$A$4:$A$2503,"&lt;="&amp;$A1899))</f>
        <v/>
      </c>
      <c r="U1899" s="26">
        <f>IF($G1899="","",IF(OR($S1899&gt;0,$Q1899=0,$R1899=0,$Z1899&lt;&gt;"正常"),0,ROUND($T1899/$Q1899*$R1899,0)-ROUND(($T1899-$P1899)/$Q1899*$R1899,0)))</f>
        <v/>
      </c>
      <c r="V1899" s="26">
        <f>IF($G1899="","",ROUND($P1899+$U1899,0))</f>
        <v/>
      </c>
      <c r="W1899" s="26">
        <f>IF($G1899="","",IF(N($K1899)=0,0,ROUND($V1899/$K1899,2)))</f>
        <v/>
      </c>
      <c r="X1899" s="17" t="n"/>
      <c r="Y1899" s="17" t="n"/>
      <c r="Z1899" s="17" t="n"/>
      <c r="AA1899" s="17" t="n"/>
      <c r="AB1899" s="17" t="n"/>
      <c r="AC1899" s="24">
        <f>IF($G1899="","",IF($H1899="※编码不在物料档案里","※物料编码不在档案里",IF(N($K1899)&lt;=0,"※入库数量要大于 0",IF(AND($C1899&lt;&gt;"",$C1899&lt;=结账锁),"※日期早于已结账截止日，不能再录",IF(AND($L1899=0,$X1899="正常"),"※没填单价，价格状态请选「待补价」",IF(AND($S1899&gt;0,$R1899&gt;0),"△本批有 "&amp;$S1899&amp;" 行没单价，整批运费先挂账没摊",IF(AND($B1899&lt;&gt;"",COUNTIF($B$4:$B$2503,$B1899)&gt;1),"※入库单号重复","")))))))</f>
        <v/>
      </c>
    </row>
    <row r="1900">
      <c r="A1900" s="24">
        <f>IF($G1900="","",COUNTA($G$4:$G1900))</f>
        <v/>
      </c>
      <c r="B1900" s="17" t="n"/>
      <c r="C1900" s="30" t="n"/>
      <c r="D1900" s="17" t="n"/>
      <c r="E1900" s="17" t="n"/>
      <c r="F1900" s="17" t="n"/>
      <c r="G1900" s="17" t="n"/>
      <c r="H1900" s="24">
        <f>IF($G1900="","",IFERROR(VLOOKUP($G1900,物料档案!$A$4:$P$1203,3,0),"※编码不在物料档案里"))</f>
        <v/>
      </c>
      <c r="I1900" s="24">
        <f>IF($G1900="","",IFERROR(VLOOKUP($G1900,物料档案!$A$4:$P$1203,4,0),"※编码不在物料档案里"))</f>
        <v/>
      </c>
      <c r="J1900" s="24">
        <f>IF($G1900="","",IFERROR(VLOOKUP($G1900,物料档案!$A$4:$P$1203,5,0),"※编码不在物料档案里"))</f>
        <v/>
      </c>
      <c r="K1900" s="23" t="n"/>
      <c r="L1900" s="31" t="n"/>
      <c r="M1900" s="24">
        <f>IF($G1900="","",IF($D1900="A国内","CNY","TZS"))</f>
        <v/>
      </c>
      <c r="N1900" s="28">
        <f>IF($G1900="","",IF($D1900="A国内",汇率,1))</f>
        <v/>
      </c>
      <c r="O1900" s="25">
        <f>IF($G1900="","",ROUND(N($K1900)*N($L1900),2))</f>
        <v/>
      </c>
      <c r="P1900" s="26">
        <f>IF($G1900="","",ROUND($O1900*$N1900,0))</f>
        <v/>
      </c>
      <c r="Q1900" s="26">
        <f>IF($G1900="","",SUMIFS($P$4:$P$2503,$E$4:$E$2503,$E1900,$Z$4:$Z$2503,"正常"))</f>
        <v/>
      </c>
      <c r="R1900" s="26">
        <f>IF($G1900="","",SUMIFS(费用台账!$I$4:$I$503,费用台账!$C$4:$C$503,$E1900,费用台账!$J$4:$J$503,"是",费用台账!$K$4:$K$503,"正常"))</f>
        <v/>
      </c>
      <c r="S1900" s="28">
        <f>IF($G1900="","",COUNTIFS($E$4:$E$2503,$E1900,$Z$4:$Z$2503,"正常",$Y$4:$Y$2503,"待补价"))</f>
        <v/>
      </c>
      <c r="T1900" s="26">
        <f>IF($G1900="","",SUMIFS($P$4:$P$2503,$E$4:$E$2503,$E1900,$Z$4:$Z$2503,"正常",$A$4:$A$2503,"&lt;="&amp;$A1900))</f>
        <v/>
      </c>
      <c r="U1900" s="26">
        <f>IF($G1900="","",IF(OR($S1900&gt;0,$Q1900=0,$R1900=0,$Z1900&lt;&gt;"正常"),0,ROUND($T1900/$Q1900*$R1900,0)-ROUND(($T1900-$P1900)/$Q1900*$R1900,0)))</f>
        <v/>
      </c>
      <c r="V1900" s="26">
        <f>IF($G1900="","",ROUND($P1900+$U1900,0))</f>
        <v/>
      </c>
      <c r="W1900" s="26">
        <f>IF($G1900="","",IF(N($K1900)=0,0,ROUND($V1900/$K1900,2)))</f>
        <v/>
      </c>
      <c r="X1900" s="17" t="n"/>
      <c r="Y1900" s="17" t="n"/>
      <c r="Z1900" s="17" t="n"/>
      <c r="AA1900" s="17" t="n"/>
      <c r="AB1900" s="17" t="n"/>
      <c r="AC1900" s="24">
        <f>IF($G1900="","",IF($H1900="※编码不在物料档案里","※物料编码不在档案里",IF(N($K1900)&lt;=0,"※入库数量要大于 0",IF(AND($C1900&lt;&gt;"",$C1900&lt;=结账锁),"※日期早于已结账截止日，不能再录",IF(AND($L1900=0,$X1900="正常"),"※没填单价，价格状态请选「待补价」",IF(AND($S1900&gt;0,$R1900&gt;0),"△本批有 "&amp;$S1900&amp;" 行没单价，整批运费先挂账没摊",IF(AND($B1900&lt;&gt;"",COUNTIF($B$4:$B$2503,$B1900)&gt;1),"※入库单号重复","")))))))</f>
        <v/>
      </c>
    </row>
    <row r="1901">
      <c r="A1901" s="24">
        <f>IF($G1901="","",COUNTA($G$4:$G1901))</f>
        <v/>
      </c>
      <c r="B1901" s="17" t="n"/>
      <c r="C1901" s="30" t="n"/>
      <c r="D1901" s="17" t="n"/>
      <c r="E1901" s="17" t="n"/>
      <c r="F1901" s="17" t="n"/>
      <c r="G1901" s="17" t="n"/>
      <c r="H1901" s="24">
        <f>IF($G1901="","",IFERROR(VLOOKUP($G1901,物料档案!$A$4:$P$1203,3,0),"※编码不在物料档案里"))</f>
        <v/>
      </c>
      <c r="I1901" s="24">
        <f>IF($G1901="","",IFERROR(VLOOKUP($G1901,物料档案!$A$4:$P$1203,4,0),"※编码不在物料档案里"))</f>
        <v/>
      </c>
      <c r="J1901" s="24">
        <f>IF($G1901="","",IFERROR(VLOOKUP($G1901,物料档案!$A$4:$P$1203,5,0),"※编码不在物料档案里"))</f>
        <v/>
      </c>
      <c r="K1901" s="23" t="n"/>
      <c r="L1901" s="31" t="n"/>
      <c r="M1901" s="24">
        <f>IF($G1901="","",IF($D1901="A国内","CNY","TZS"))</f>
        <v/>
      </c>
      <c r="N1901" s="28">
        <f>IF($G1901="","",IF($D1901="A国内",汇率,1))</f>
        <v/>
      </c>
      <c r="O1901" s="25">
        <f>IF($G1901="","",ROUND(N($K1901)*N($L1901),2))</f>
        <v/>
      </c>
      <c r="P1901" s="26">
        <f>IF($G1901="","",ROUND($O1901*$N1901,0))</f>
        <v/>
      </c>
      <c r="Q1901" s="26">
        <f>IF($G1901="","",SUMIFS($P$4:$P$2503,$E$4:$E$2503,$E1901,$Z$4:$Z$2503,"正常"))</f>
        <v/>
      </c>
      <c r="R1901" s="26">
        <f>IF($G1901="","",SUMIFS(费用台账!$I$4:$I$503,费用台账!$C$4:$C$503,$E1901,费用台账!$J$4:$J$503,"是",费用台账!$K$4:$K$503,"正常"))</f>
        <v/>
      </c>
      <c r="S1901" s="28">
        <f>IF($G1901="","",COUNTIFS($E$4:$E$2503,$E1901,$Z$4:$Z$2503,"正常",$Y$4:$Y$2503,"待补价"))</f>
        <v/>
      </c>
      <c r="T1901" s="26">
        <f>IF($G1901="","",SUMIFS($P$4:$P$2503,$E$4:$E$2503,$E1901,$Z$4:$Z$2503,"正常",$A$4:$A$2503,"&lt;="&amp;$A1901))</f>
        <v/>
      </c>
      <c r="U1901" s="26">
        <f>IF($G1901="","",IF(OR($S1901&gt;0,$Q1901=0,$R1901=0,$Z1901&lt;&gt;"正常"),0,ROUND($T1901/$Q1901*$R1901,0)-ROUND(($T1901-$P1901)/$Q1901*$R1901,0)))</f>
        <v/>
      </c>
      <c r="V1901" s="26">
        <f>IF($G1901="","",ROUND($P1901+$U1901,0))</f>
        <v/>
      </c>
      <c r="W1901" s="26">
        <f>IF($G1901="","",IF(N($K1901)=0,0,ROUND($V1901/$K1901,2)))</f>
        <v/>
      </c>
      <c r="X1901" s="17" t="n"/>
      <c r="Y1901" s="17" t="n"/>
      <c r="Z1901" s="17" t="n"/>
      <c r="AA1901" s="17" t="n"/>
      <c r="AB1901" s="17" t="n"/>
      <c r="AC1901" s="24">
        <f>IF($G1901="","",IF($H1901="※编码不在物料档案里","※物料编码不在档案里",IF(N($K1901)&lt;=0,"※入库数量要大于 0",IF(AND($C1901&lt;&gt;"",$C1901&lt;=结账锁),"※日期早于已结账截止日，不能再录",IF(AND($L1901=0,$X1901="正常"),"※没填单价，价格状态请选「待补价」",IF(AND($S1901&gt;0,$R1901&gt;0),"△本批有 "&amp;$S1901&amp;" 行没单价，整批运费先挂账没摊",IF(AND($B1901&lt;&gt;"",COUNTIF($B$4:$B$2503,$B1901)&gt;1),"※入库单号重复","")))))))</f>
        <v/>
      </c>
    </row>
    <row r="1902">
      <c r="A1902" s="24">
        <f>IF($G1902="","",COUNTA($G$4:$G1902))</f>
        <v/>
      </c>
      <c r="B1902" s="17" t="n"/>
      <c r="C1902" s="30" t="n"/>
      <c r="D1902" s="17" t="n"/>
      <c r="E1902" s="17" t="n"/>
      <c r="F1902" s="17" t="n"/>
      <c r="G1902" s="17" t="n"/>
      <c r="H1902" s="24">
        <f>IF($G1902="","",IFERROR(VLOOKUP($G1902,物料档案!$A$4:$P$1203,3,0),"※编码不在物料档案里"))</f>
        <v/>
      </c>
      <c r="I1902" s="24">
        <f>IF($G1902="","",IFERROR(VLOOKUP($G1902,物料档案!$A$4:$P$1203,4,0),"※编码不在物料档案里"))</f>
        <v/>
      </c>
      <c r="J1902" s="24">
        <f>IF($G1902="","",IFERROR(VLOOKUP($G1902,物料档案!$A$4:$P$1203,5,0),"※编码不在物料档案里"))</f>
        <v/>
      </c>
      <c r="K1902" s="23" t="n"/>
      <c r="L1902" s="31" t="n"/>
      <c r="M1902" s="24">
        <f>IF($G1902="","",IF($D1902="A国内","CNY","TZS"))</f>
        <v/>
      </c>
      <c r="N1902" s="28">
        <f>IF($G1902="","",IF($D1902="A国内",汇率,1))</f>
        <v/>
      </c>
      <c r="O1902" s="25">
        <f>IF($G1902="","",ROUND(N($K1902)*N($L1902),2))</f>
        <v/>
      </c>
      <c r="P1902" s="26">
        <f>IF($G1902="","",ROUND($O1902*$N1902,0))</f>
        <v/>
      </c>
      <c r="Q1902" s="26">
        <f>IF($G1902="","",SUMIFS($P$4:$P$2503,$E$4:$E$2503,$E1902,$Z$4:$Z$2503,"正常"))</f>
        <v/>
      </c>
      <c r="R1902" s="26">
        <f>IF($G1902="","",SUMIFS(费用台账!$I$4:$I$503,费用台账!$C$4:$C$503,$E1902,费用台账!$J$4:$J$503,"是",费用台账!$K$4:$K$503,"正常"))</f>
        <v/>
      </c>
      <c r="S1902" s="28">
        <f>IF($G1902="","",COUNTIFS($E$4:$E$2503,$E1902,$Z$4:$Z$2503,"正常",$Y$4:$Y$2503,"待补价"))</f>
        <v/>
      </c>
      <c r="T1902" s="26">
        <f>IF($G1902="","",SUMIFS($P$4:$P$2503,$E$4:$E$2503,$E1902,$Z$4:$Z$2503,"正常",$A$4:$A$2503,"&lt;="&amp;$A1902))</f>
        <v/>
      </c>
      <c r="U1902" s="26">
        <f>IF($G1902="","",IF(OR($S1902&gt;0,$Q1902=0,$R1902=0,$Z1902&lt;&gt;"正常"),0,ROUND($T1902/$Q1902*$R1902,0)-ROUND(($T1902-$P1902)/$Q1902*$R1902,0)))</f>
        <v/>
      </c>
      <c r="V1902" s="26">
        <f>IF($G1902="","",ROUND($P1902+$U1902,0))</f>
        <v/>
      </c>
      <c r="W1902" s="26">
        <f>IF($G1902="","",IF(N($K1902)=0,0,ROUND($V1902/$K1902,2)))</f>
        <v/>
      </c>
      <c r="X1902" s="17" t="n"/>
      <c r="Y1902" s="17" t="n"/>
      <c r="Z1902" s="17" t="n"/>
      <c r="AA1902" s="17" t="n"/>
      <c r="AB1902" s="17" t="n"/>
      <c r="AC1902" s="24">
        <f>IF($G1902="","",IF($H1902="※编码不在物料档案里","※物料编码不在档案里",IF(N($K1902)&lt;=0,"※入库数量要大于 0",IF(AND($C1902&lt;&gt;"",$C1902&lt;=结账锁),"※日期早于已结账截止日，不能再录",IF(AND($L1902=0,$X1902="正常"),"※没填单价，价格状态请选「待补价」",IF(AND($S1902&gt;0,$R1902&gt;0),"△本批有 "&amp;$S1902&amp;" 行没单价，整批运费先挂账没摊",IF(AND($B1902&lt;&gt;"",COUNTIF($B$4:$B$2503,$B1902)&gt;1),"※入库单号重复","")))))))</f>
        <v/>
      </c>
    </row>
    <row r="1903">
      <c r="A1903" s="24">
        <f>IF($G1903="","",COUNTA($G$4:$G1903))</f>
        <v/>
      </c>
      <c r="B1903" s="17" t="n"/>
      <c r="C1903" s="30" t="n"/>
      <c r="D1903" s="17" t="n"/>
      <c r="E1903" s="17" t="n"/>
      <c r="F1903" s="17" t="n"/>
      <c r="G1903" s="17" t="n"/>
      <c r="H1903" s="24">
        <f>IF($G1903="","",IFERROR(VLOOKUP($G1903,物料档案!$A$4:$P$1203,3,0),"※编码不在物料档案里"))</f>
        <v/>
      </c>
      <c r="I1903" s="24">
        <f>IF($G1903="","",IFERROR(VLOOKUP($G1903,物料档案!$A$4:$P$1203,4,0),"※编码不在物料档案里"))</f>
        <v/>
      </c>
      <c r="J1903" s="24">
        <f>IF($G1903="","",IFERROR(VLOOKUP($G1903,物料档案!$A$4:$P$1203,5,0),"※编码不在物料档案里"))</f>
        <v/>
      </c>
      <c r="K1903" s="23" t="n"/>
      <c r="L1903" s="31" t="n"/>
      <c r="M1903" s="24">
        <f>IF($G1903="","",IF($D1903="A国内","CNY","TZS"))</f>
        <v/>
      </c>
      <c r="N1903" s="28">
        <f>IF($G1903="","",IF($D1903="A国内",汇率,1))</f>
        <v/>
      </c>
      <c r="O1903" s="25">
        <f>IF($G1903="","",ROUND(N($K1903)*N($L1903),2))</f>
        <v/>
      </c>
      <c r="P1903" s="26">
        <f>IF($G1903="","",ROUND($O1903*$N1903,0))</f>
        <v/>
      </c>
      <c r="Q1903" s="26">
        <f>IF($G1903="","",SUMIFS($P$4:$P$2503,$E$4:$E$2503,$E1903,$Z$4:$Z$2503,"正常"))</f>
        <v/>
      </c>
      <c r="R1903" s="26">
        <f>IF($G1903="","",SUMIFS(费用台账!$I$4:$I$503,费用台账!$C$4:$C$503,$E1903,费用台账!$J$4:$J$503,"是",费用台账!$K$4:$K$503,"正常"))</f>
        <v/>
      </c>
      <c r="S1903" s="28">
        <f>IF($G1903="","",COUNTIFS($E$4:$E$2503,$E1903,$Z$4:$Z$2503,"正常",$Y$4:$Y$2503,"待补价"))</f>
        <v/>
      </c>
      <c r="T1903" s="26">
        <f>IF($G1903="","",SUMIFS($P$4:$P$2503,$E$4:$E$2503,$E1903,$Z$4:$Z$2503,"正常",$A$4:$A$2503,"&lt;="&amp;$A1903))</f>
        <v/>
      </c>
      <c r="U1903" s="26">
        <f>IF($G1903="","",IF(OR($S1903&gt;0,$Q1903=0,$R1903=0,$Z1903&lt;&gt;"正常"),0,ROUND($T1903/$Q1903*$R1903,0)-ROUND(($T1903-$P1903)/$Q1903*$R1903,0)))</f>
        <v/>
      </c>
      <c r="V1903" s="26">
        <f>IF($G1903="","",ROUND($P1903+$U1903,0))</f>
        <v/>
      </c>
      <c r="W1903" s="26">
        <f>IF($G1903="","",IF(N($K1903)=0,0,ROUND($V1903/$K1903,2)))</f>
        <v/>
      </c>
      <c r="X1903" s="17" t="n"/>
      <c r="Y1903" s="17" t="n"/>
      <c r="Z1903" s="17" t="n"/>
      <c r="AA1903" s="17" t="n"/>
      <c r="AB1903" s="17" t="n"/>
      <c r="AC1903" s="24">
        <f>IF($G1903="","",IF($H1903="※编码不在物料档案里","※物料编码不在档案里",IF(N($K1903)&lt;=0,"※入库数量要大于 0",IF(AND($C1903&lt;&gt;"",$C1903&lt;=结账锁),"※日期早于已结账截止日，不能再录",IF(AND($L1903=0,$X1903="正常"),"※没填单价，价格状态请选「待补价」",IF(AND($S1903&gt;0,$R1903&gt;0),"△本批有 "&amp;$S1903&amp;" 行没单价，整批运费先挂账没摊",IF(AND($B1903&lt;&gt;"",COUNTIF($B$4:$B$2503,$B1903)&gt;1),"※入库单号重复","")))))))</f>
        <v/>
      </c>
    </row>
    <row r="1904">
      <c r="A1904" s="24">
        <f>IF($G1904="","",COUNTA($G$4:$G1904))</f>
        <v/>
      </c>
      <c r="B1904" s="17" t="n"/>
      <c r="C1904" s="30" t="n"/>
      <c r="D1904" s="17" t="n"/>
      <c r="E1904" s="17" t="n"/>
      <c r="F1904" s="17" t="n"/>
      <c r="G1904" s="17" t="n"/>
      <c r="H1904" s="24">
        <f>IF($G1904="","",IFERROR(VLOOKUP($G1904,物料档案!$A$4:$P$1203,3,0),"※编码不在物料档案里"))</f>
        <v/>
      </c>
      <c r="I1904" s="24">
        <f>IF($G1904="","",IFERROR(VLOOKUP($G1904,物料档案!$A$4:$P$1203,4,0),"※编码不在物料档案里"))</f>
        <v/>
      </c>
      <c r="J1904" s="24">
        <f>IF($G1904="","",IFERROR(VLOOKUP($G1904,物料档案!$A$4:$P$1203,5,0),"※编码不在物料档案里"))</f>
        <v/>
      </c>
      <c r="K1904" s="23" t="n"/>
      <c r="L1904" s="31" t="n"/>
      <c r="M1904" s="24">
        <f>IF($G1904="","",IF($D1904="A国内","CNY","TZS"))</f>
        <v/>
      </c>
      <c r="N1904" s="28">
        <f>IF($G1904="","",IF($D1904="A国内",汇率,1))</f>
        <v/>
      </c>
      <c r="O1904" s="25">
        <f>IF($G1904="","",ROUND(N($K1904)*N($L1904),2))</f>
        <v/>
      </c>
      <c r="P1904" s="26">
        <f>IF($G1904="","",ROUND($O1904*$N1904,0))</f>
        <v/>
      </c>
      <c r="Q1904" s="26">
        <f>IF($G1904="","",SUMIFS($P$4:$P$2503,$E$4:$E$2503,$E1904,$Z$4:$Z$2503,"正常"))</f>
        <v/>
      </c>
      <c r="R1904" s="26">
        <f>IF($G1904="","",SUMIFS(费用台账!$I$4:$I$503,费用台账!$C$4:$C$503,$E1904,费用台账!$J$4:$J$503,"是",费用台账!$K$4:$K$503,"正常"))</f>
        <v/>
      </c>
      <c r="S1904" s="28">
        <f>IF($G1904="","",COUNTIFS($E$4:$E$2503,$E1904,$Z$4:$Z$2503,"正常",$Y$4:$Y$2503,"待补价"))</f>
        <v/>
      </c>
      <c r="T1904" s="26">
        <f>IF($G1904="","",SUMIFS($P$4:$P$2503,$E$4:$E$2503,$E1904,$Z$4:$Z$2503,"正常",$A$4:$A$2503,"&lt;="&amp;$A1904))</f>
        <v/>
      </c>
      <c r="U1904" s="26">
        <f>IF($G1904="","",IF(OR($S1904&gt;0,$Q1904=0,$R1904=0,$Z1904&lt;&gt;"正常"),0,ROUND($T1904/$Q1904*$R1904,0)-ROUND(($T1904-$P1904)/$Q1904*$R1904,0)))</f>
        <v/>
      </c>
      <c r="V1904" s="26">
        <f>IF($G1904="","",ROUND($P1904+$U1904,0))</f>
        <v/>
      </c>
      <c r="W1904" s="26">
        <f>IF($G1904="","",IF(N($K1904)=0,0,ROUND($V1904/$K1904,2)))</f>
        <v/>
      </c>
      <c r="X1904" s="17" t="n"/>
      <c r="Y1904" s="17" t="n"/>
      <c r="Z1904" s="17" t="n"/>
      <c r="AA1904" s="17" t="n"/>
      <c r="AB1904" s="17" t="n"/>
      <c r="AC1904" s="24">
        <f>IF($G1904="","",IF($H1904="※编码不在物料档案里","※物料编码不在档案里",IF(N($K1904)&lt;=0,"※入库数量要大于 0",IF(AND($C1904&lt;&gt;"",$C1904&lt;=结账锁),"※日期早于已结账截止日，不能再录",IF(AND($L1904=0,$X1904="正常"),"※没填单价，价格状态请选「待补价」",IF(AND($S1904&gt;0,$R1904&gt;0),"△本批有 "&amp;$S1904&amp;" 行没单价，整批运费先挂账没摊",IF(AND($B1904&lt;&gt;"",COUNTIF($B$4:$B$2503,$B1904)&gt;1),"※入库单号重复","")))))))</f>
        <v/>
      </c>
    </row>
    <row r="1905">
      <c r="A1905" s="24">
        <f>IF($G1905="","",COUNTA($G$4:$G1905))</f>
        <v/>
      </c>
      <c r="B1905" s="17" t="n"/>
      <c r="C1905" s="30" t="n"/>
      <c r="D1905" s="17" t="n"/>
      <c r="E1905" s="17" t="n"/>
      <c r="F1905" s="17" t="n"/>
      <c r="G1905" s="17" t="n"/>
      <c r="H1905" s="24">
        <f>IF($G1905="","",IFERROR(VLOOKUP($G1905,物料档案!$A$4:$P$1203,3,0),"※编码不在物料档案里"))</f>
        <v/>
      </c>
      <c r="I1905" s="24">
        <f>IF($G1905="","",IFERROR(VLOOKUP($G1905,物料档案!$A$4:$P$1203,4,0),"※编码不在物料档案里"))</f>
        <v/>
      </c>
      <c r="J1905" s="24">
        <f>IF($G1905="","",IFERROR(VLOOKUP($G1905,物料档案!$A$4:$P$1203,5,0),"※编码不在物料档案里"))</f>
        <v/>
      </c>
      <c r="K1905" s="23" t="n"/>
      <c r="L1905" s="31" t="n"/>
      <c r="M1905" s="24">
        <f>IF($G1905="","",IF($D1905="A国内","CNY","TZS"))</f>
        <v/>
      </c>
      <c r="N1905" s="28">
        <f>IF($G1905="","",IF($D1905="A国内",汇率,1))</f>
        <v/>
      </c>
      <c r="O1905" s="25">
        <f>IF($G1905="","",ROUND(N($K1905)*N($L1905),2))</f>
        <v/>
      </c>
      <c r="P1905" s="26">
        <f>IF($G1905="","",ROUND($O1905*$N1905,0))</f>
        <v/>
      </c>
      <c r="Q1905" s="26">
        <f>IF($G1905="","",SUMIFS($P$4:$P$2503,$E$4:$E$2503,$E1905,$Z$4:$Z$2503,"正常"))</f>
        <v/>
      </c>
      <c r="R1905" s="26">
        <f>IF($G1905="","",SUMIFS(费用台账!$I$4:$I$503,费用台账!$C$4:$C$503,$E1905,费用台账!$J$4:$J$503,"是",费用台账!$K$4:$K$503,"正常"))</f>
        <v/>
      </c>
      <c r="S1905" s="28">
        <f>IF($G1905="","",COUNTIFS($E$4:$E$2503,$E1905,$Z$4:$Z$2503,"正常",$Y$4:$Y$2503,"待补价"))</f>
        <v/>
      </c>
      <c r="T1905" s="26">
        <f>IF($G1905="","",SUMIFS($P$4:$P$2503,$E$4:$E$2503,$E1905,$Z$4:$Z$2503,"正常",$A$4:$A$2503,"&lt;="&amp;$A1905))</f>
        <v/>
      </c>
      <c r="U1905" s="26">
        <f>IF($G1905="","",IF(OR($S1905&gt;0,$Q1905=0,$R1905=0,$Z1905&lt;&gt;"正常"),0,ROUND($T1905/$Q1905*$R1905,0)-ROUND(($T1905-$P1905)/$Q1905*$R1905,0)))</f>
        <v/>
      </c>
      <c r="V1905" s="26">
        <f>IF($G1905="","",ROUND($P1905+$U1905,0))</f>
        <v/>
      </c>
      <c r="W1905" s="26">
        <f>IF($G1905="","",IF(N($K1905)=0,0,ROUND($V1905/$K1905,2)))</f>
        <v/>
      </c>
      <c r="X1905" s="17" t="n"/>
      <c r="Y1905" s="17" t="n"/>
      <c r="Z1905" s="17" t="n"/>
      <c r="AA1905" s="17" t="n"/>
      <c r="AB1905" s="17" t="n"/>
      <c r="AC1905" s="24">
        <f>IF($G1905="","",IF($H1905="※编码不在物料档案里","※物料编码不在档案里",IF(N($K1905)&lt;=0,"※入库数量要大于 0",IF(AND($C1905&lt;&gt;"",$C1905&lt;=结账锁),"※日期早于已结账截止日，不能再录",IF(AND($L1905=0,$X1905="正常"),"※没填单价，价格状态请选「待补价」",IF(AND($S1905&gt;0,$R1905&gt;0),"△本批有 "&amp;$S1905&amp;" 行没单价，整批运费先挂账没摊",IF(AND($B1905&lt;&gt;"",COUNTIF($B$4:$B$2503,$B1905)&gt;1),"※入库单号重复","")))))))</f>
        <v/>
      </c>
    </row>
    <row r="1906">
      <c r="A1906" s="24">
        <f>IF($G1906="","",COUNTA($G$4:$G1906))</f>
        <v/>
      </c>
      <c r="B1906" s="17" t="n"/>
      <c r="C1906" s="30" t="n"/>
      <c r="D1906" s="17" t="n"/>
      <c r="E1906" s="17" t="n"/>
      <c r="F1906" s="17" t="n"/>
      <c r="G1906" s="17" t="n"/>
      <c r="H1906" s="24">
        <f>IF($G1906="","",IFERROR(VLOOKUP($G1906,物料档案!$A$4:$P$1203,3,0),"※编码不在物料档案里"))</f>
        <v/>
      </c>
      <c r="I1906" s="24">
        <f>IF($G1906="","",IFERROR(VLOOKUP($G1906,物料档案!$A$4:$P$1203,4,0),"※编码不在物料档案里"))</f>
        <v/>
      </c>
      <c r="J1906" s="24">
        <f>IF($G1906="","",IFERROR(VLOOKUP($G1906,物料档案!$A$4:$P$1203,5,0),"※编码不在物料档案里"))</f>
        <v/>
      </c>
      <c r="K1906" s="23" t="n"/>
      <c r="L1906" s="31" t="n"/>
      <c r="M1906" s="24">
        <f>IF($G1906="","",IF($D1906="A国内","CNY","TZS"))</f>
        <v/>
      </c>
      <c r="N1906" s="28">
        <f>IF($G1906="","",IF($D1906="A国内",汇率,1))</f>
        <v/>
      </c>
      <c r="O1906" s="25">
        <f>IF($G1906="","",ROUND(N($K1906)*N($L1906),2))</f>
        <v/>
      </c>
      <c r="P1906" s="26">
        <f>IF($G1906="","",ROUND($O1906*$N1906,0))</f>
        <v/>
      </c>
      <c r="Q1906" s="26">
        <f>IF($G1906="","",SUMIFS($P$4:$P$2503,$E$4:$E$2503,$E1906,$Z$4:$Z$2503,"正常"))</f>
        <v/>
      </c>
      <c r="R1906" s="26">
        <f>IF($G1906="","",SUMIFS(费用台账!$I$4:$I$503,费用台账!$C$4:$C$503,$E1906,费用台账!$J$4:$J$503,"是",费用台账!$K$4:$K$503,"正常"))</f>
        <v/>
      </c>
      <c r="S1906" s="28">
        <f>IF($G1906="","",COUNTIFS($E$4:$E$2503,$E1906,$Z$4:$Z$2503,"正常",$Y$4:$Y$2503,"待补价"))</f>
        <v/>
      </c>
      <c r="T1906" s="26">
        <f>IF($G1906="","",SUMIFS($P$4:$P$2503,$E$4:$E$2503,$E1906,$Z$4:$Z$2503,"正常",$A$4:$A$2503,"&lt;="&amp;$A1906))</f>
        <v/>
      </c>
      <c r="U1906" s="26">
        <f>IF($G1906="","",IF(OR($S1906&gt;0,$Q1906=0,$R1906=0,$Z1906&lt;&gt;"正常"),0,ROUND($T1906/$Q1906*$R1906,0)-ROUND(($T1906-$P1906)/$Q1906*$R1906,0)))</f>
        <v/>
      </c>
      <c r="V1906" s="26">
        <f>IF($G1906="","",ROUND($P1906+$U1906,0))</f>
        <v/>
      </c>
      <c r="W1906" s="26">
        <f>IF($G1906="","",IF(N($K1906)=0,0,ROUND($V1906/$K1906,2)))</f>
        <v/>
      </c>
      <c r="X1906" s="17" t="n"/>
      <c r="Y1906" s="17" t="n"/>
      <c r="Z1906" s="17" t="n"/>
      <c r="AA1906" s="17" t="n"/>
      <c r="AB1906" s="17" t="n"/>
      <c r="AC1906" s="24">
        <f>IF($G1906="","",IF($H1906="※编码不在物料档案里","※物料编码不在档案里",IF(N($K1906)&lt;=0,"※入库数量要大于 0",IF(AND($C1906&lt;&gt;"",$C1906&lt;=结账锁),"※日期早于已结账截止日，不能再录",IF(AND($L1906=0,$X1906="正常"),"※没填单价，价格状态请选「待补价」",IF(AND($S1906&gt;0,$R1906&gt;0),"△本批有 "&amp;$S1906&amp;" 行没单价，整批运费先挂账没摊",IF(AND($B1906&lt;&gt;"",COUNTIF($B$4:$B$2503,$B1906)&gt;1),"※入库单号重复","")))))))</f>
        <v/>
      </c>
    </row>
    <row r="1907">
      <c r="A1907" s="24">
        <f>IF($G1907="","",COUNTA($G$4:$G1907))</f>
        <v/>
      </c>
      <c r="B1907" s="17" t="n"/>
      <c r="C1907" s="30" t="n"/>
      <c r="D1907" s="17" t="n"/>
      <c r="E1907" s="17" t="n"/>
      <c r="F1907" s="17" t="n"/>
      <c r="G1907" s="17" t="n"/>
      <c r="H1907" s="24">
        <f>IF($G1907="","",IFERROR(VLOOKUP($G1907,物料档案!$A$4:$P$1203,3,0),"※编码不在物料档案里"))</f>
        <v/>
      </c>
      <c r="I1907" s="24">
        <f>IF($G1907="","",IFERROR(VLOOKUP($G1907,物料档案!$A$4:$P$1203,4,0),"※编码不在物料档案里"))</f>
        <v/>
      </c>
      <c r="J1907" s="24">
        <f>IF($G1907="","",IFERROR(VLOOKUP($G1907,物料档案!$A$4:$P$1203,5,0),"※编码不在物料档案里"))</f>
        <v/>
      </c>
      <c r="K1907" s="23" t="n"/>
      <c r="L1907" s="31" t="n"/>
      <c r="M1907" s="24">
        <f>IF($G1907="","",IF($D1907="A国内","CNY","TZS"))</f>
        <v/>
      </c>
      <c r="N1907" s="28">
        <f>IF($G1907="","",IF($D1907="A国内",汇率,1))</f>
        <v/>
      </c>
      <c r="O1907" s="25">
        <f>IF($G1907="","",ROUND(N($K1907)*N($L1907),2))</f>
        <v/>
      </c>
      <c r="P1907" s="26">
        <f>IF($G1907="","",ROUND($O1907*$N1907,0))</f>
        <v/>
      </c>
      <c r="Q1907" s="26">
        <f>IF($G1907="","",SUMIFS($P$4:$P$2503,$E$4:$E$2503,$E1907,$Z$4:$Z$2503,"正常"))</f>
        <v/>
      </c>
      <c r="R1907" s="26">
        <f>IF($G1907="","",SUMIFS(费用台账!$I$4:$I$503,费用台账!$C$4:$C$503,$E1907,费用台账!$J$4:$J$503,"是",费用台账!$K$4:$K$503,"正常"))</f>
        <v/>
      </c>
      <c r="S1907" s="28">
        <f>IF($G1907="","",COUNTIFS($E$4:$E$2503,$E1907,$Z$4:$Z$2503,"正常",$Y$4:$Y$2503,"待补价"))</f>
        <v/>
      </c>
      <c r="T1907" s="26">
        <f>IF($G1907="","",SUMIFS($P$4:$P$2503,$E$4:$E$2503,$E1907,$Z$4:$Z$2503,"正常",$A$4:$A$2503,"&lt;="&amp;$A1907))</f>
        <v/>
      </c>
      <c r="U1907" s="26">
        <f>IF($G1907="","",IF(OR($S1907&gt;0,$Q1907=0,$R1907=0,$Z1907&lt;&gt;"正常"),0,ROUND($T1907/$Q1907*$R1907,0)-ROUND(($T1907-$P1907)/$Q1907*$R1907,0)))</f>
        <v/>
      </c>
      <c r="V1907" s="26">
        <f>IF($G1907="","",ROUND($P1907+$U1907,0))</f>
        <v/>
      </c>
      <c r="W1907" s="26">
        <f>IF($G1907="","",IF(N($K1907)=0,0,ROUND($V1907/$K1907,2)))</f>
        <v/>
      </c>
      <c r="X1907" s="17" t="n"/>
      <c r="Y1907" s="17" t="n"/>
      <c r="Z1907" s="17" t="n"/>
      <c r="AA1907" s="17" t="n"/>
      <c r="AB1907" s="17" t="n"/>
      <c r="AC1907" s="24">
        <f>IF($G1907="","",IF($H1907="※编码不在物料档案里","※物料编码不在档案里",IF(N($K1907)&lt;=0,"※入库数量要大于 0",IF(AND($C1907&lt;&gt;"",$C1907&lt;=结账锁),"※日期早于已结账截止日，不能再录",IF(AND($L1907=0,$X1907="正常"),"※没填单价，价格状态请选「待补价」",IF(AND($S1907&gt;0,$R1907&gt;0),"△本批有 "&amp;$S1907&amp;" 行没单价，整批运费先挂账没摊",IF(AND($B1907&lt;&gt;"",COUNTIF($B$4:$B$2503,$B1907)&gt;1),"※入库单号重复","")))))))</f>
        <v/>
      </c>
    </row>
    <row r="1908">
      <c r="A1908" s="24">
        <f>IF($G1908="","",COUNTA($G$4:$G1908))</f>
        <v/>
      </c>
      <c r="B1908" s="17" t="n"/>
      <c r="C1908" s="30" t="n"/>
      <c r="D1908" s="17" t="n"/>
      <c r="E1908" s="17" t="n"/>
      <c r="F1908" s="17" t="n"/>
      <c r="G1908" s="17" t="n"/>
      <c r="H1908" s="24">
        <f>IF($G1908="","",IFERROR(VLOOKUP($G1908,物料档案!$A$4:$P$1203,3,0),"※编码不在物料档案里"))</f>
        <v/>
      </c>
      <c r="I1908" s="24">
        <f>IF($G1908="","",IFERROR(VLOOKUP($G1908,物料档案!$A$4:$P$1203,4,0),"※编码不在物料档案里"))</f>
        <v/>
      </c>
      <c r="J1908" s="24">
        <f>IF($G1908="","",IFERROR(VLOOKUP($G1908,物料档案!$A$4:$P$1203,5,0),"※编码不在物料档案里"))</f>
        <v/>
      </c>
      <c r="K1908" s="23" t="n"/>
      <c r="L1908" s="31" t="n"/>
      <c r="M1908" s="24">
        <f>IF($G1908="","",IF($D1908="A国内","CNY","TZS"))</f>
        <v/>
      </c>
      <c r="N1908" s="28">
        <f>IF($G1908="","",IF($D1908="A国内",汇率,1))</f>
        <v/>
      </c>
      <c r="O1908" s="25">
        <f>IF($G1908="","",ROUND(N($K1908)*N($L1908),2))</f>
        <v/>
      </c>
      <c r="P1908" s="26">
        <f>IF($G1908="","",ROUND($O1908*$N1908,0))</f>
        <v/>
      </c>
      <c r="Q1908" s="26">
        <f>IF($G1908="","",SUMIFS($P$4:$P$2503,$E$4:$E$2503,$E1908,$Z$4:$Z$2503,"正常"))</f>
        <v/>
      </c>
      <c r="R1908" s="26">
        <f>IF($G1908="","",SUMIFS(费用台账!$I$4:$I$503,费用台账!$C$4:$C$503,$E1908,费用台账!$J$4:$J$503,"是",费用台账!$K$4:$K$503,"正常"))</f>
        <v/>
      </c>
      <c r="S1908" s="28">
        <f>IF($G1908="","",COUNTIFS($E$4:$E$2503,$E1908,$Z$4:$Z$2503,"正常",$Y$4:$Y$2503,"待补价"))</f>
        <v/>
      </c>
      <c r="T1908" s="26">
        <f>IF($G1908="","",SUMIFS($P$4:$P$2503,$E$4:$E$2503,$E1908,$Z$4:$Z$2503,"正常",$A$4:$A$2503,"&lt;="&amp;$A1908))</f>
        <v/>
      </c>
      <c r="U1908" s="26">
        <f>IF($G1908="","",IF(OR($S1908&gt;0,$Q1908=0,$R1908=0,$Z1908&lt;&gt;"正常"),0,ROUND($T1908/$Q1908*$R1908,0)-ROUND(($T1908-$P1908)/$Q1908*$R1908,0)))</f>
        <v/>
      </c>
      <c r="V1908" s="26">
        <f>IF($G1908="","",ROUND($P1908+$U1908,0))</f>
        <v/>
      </c>
      <c r="W1908" s="26">
        <f>IF($G1908="","",IF(N($K1908)=0,0,ROUND($V1908/$K1908,2)))</f>
        <v/>
      </c>
      <c r="X1908" s="17" t="n"/>
      <c r="Y1908" s="17" t="n"/>
      <c r="Z1908" s="17" t="n"/>
      <c r="AA1908" s="17" t="n"/>
      <c r="AB1908" s="17" t="n"/>
      <c r="AC1908" s="24">
        <f>IF($G1908="","",IF($H1908="※编码不在物料档案里","※物料编码不在档案里",IF(N($K1908)&lt;=0,"※入库数量要大于 0",IF(AND($C1908&lt;&gt;"",$C1908&lt;=结账锁),"※日期早于已结账截止日，不能再录",IF(AND($L1908=0,$X1908="正常"),"※没填单价，价格状态请选「待补价」",IF(AND($S1908&gt;0,$R1908&gt;0),"△本批有 "&amp;$S1908&amp;" 行没单价，整批运费先挂账没摊",IF(AND($B1908&lt;&gt;"",COUNTIF($B$4:$B$2503,$B1908)&gt;1),"※入库单号重复","")))))))</f>
        <v/>
      </c>
    </row>
    <row r="1909">
      <c r="A1909" s="24">
        <f>IF($G1909="","",COUNTA($G$4:$G1909))</f>
        <v/>
      </c>
      <c r="B1909" s="17" t="n"/>
      <c r="C1909" s="30" t="n"/>
      <c r="D1909" s="17" t="n"/>
      <c r="E1909" s="17" t="n"/>
      <c r="F1909" s="17" t="n"/>
      <c r="G1909" s="17" t="n"/>
      <c r="H1909" s="24">
        <f>IF($G1909="","",IFERROR(VLOOKUP($G1909,物料档案!$A$4:$P$1203,3,0),"※编码不在物料档案里"))</f>
        <v/>
      </c>
      <c r="I1909" s="24">
        <f>IF($G1909="","",IFERROR(VLOOKUP($G1909,物料档案!$A$4:$P$1203,4,0),"※编码不在物料档案里"))</f>
        <v/>
      </c>
      <c r="J1909" s="24">
        <f>IF($G1909="","",IFERROR(VLOOKUP($G1909,物料档案!$A$4:$P$1203,5,0),"※编码不在物料档案里"))</f>
        <v/>
      </c>
      <c r="K1909" s="23" t="n"/>
      <c r="L1909" s="31" t="n"/>
      <c r="M1909" s="24">
        <f>IF($G1909="","",IF($D1909="A国内","CNY","TZS"))</f>
        <v/>
      </c>
      <c r="N1909" s="28">
        <f>IF($G1909="","",IF($D1909="A国内",汇率,1))</f>
        <v/>
      </c>
      <c r="O1909" s="25">
        <f>IF($G1909="","",ROUND(N($K1909)*N($L1909),2))</f>
        <v/>
      </c>
      <c r="P1909" s="26">
        <f>IF($G1909="","",ROUND($O1909*$N1909,0))</f>
        <v/>
      </c>
      <c r="Q1909" s="26">
        <f>IF($G1909="","",SUMIFS($P$4:$P$2503,$E$4:$E$2503,$E1909,$Z$4:$Z$2503,"正常"))</f>
        <v/>
      </c>
      <c r="R1909" s="26">
        <f>IF($G1909="","",SUMIFS(费用台账!$I$4:$I$503,费用台账!$C$4:$C$503,$E1909,费用台账!$J$4:$J$503,"是",费用台账!$K$4:$K$503,"正常"))</f>
        <v/>
      </c>
      <c r="S1909" s="28">
        <f>IF($G1909="","",COUNTIFS($E$4:$E$2503,$E1909,$Z$4:$Z$2503,"正常",$Y$4:$Y$2503,"待补价"))</f>
        <v/>
      </c>
      <c r="T1909" s="26">
        <f>IF($G1909="","",SUMIFS($P$4:$P$2503,$E$4:$E$2503,$E1909,$Z$4:$Z$2503,"正常",$A$4:$A$2503,"&lt;="&amp;$A1909))</f>
        <v/>
      </c>
      <c r="U1909" s="26">
        <f>IF($G1909="","",IF(OR($S1909&gt;0,$Q1909=0,$R1909=0,$Z1909&lt;&gt;"正常"),0,ROUND($T1909/$Q1909*$R1909,0)-ROUND(($T1909-$P1909)/$Q1909*$R1909,0)))</f>
        <v/>
      </c>
      <c r="V1909" s="26">
        <f>IF($G1909="","",ROUND($P1909+$U1909,0))</f>
        <v/>
      </c>
      <c r="W1909" s="26">
        <f>IF($G1909="","",IF(N($K1909)=0,0,ROUND($V1909/$K1909,2)))</f>
        <v/>
      </c>
      <c r="X1909" s="17" t="n"/>
      <c r="Y1909" s="17" t="n"/>
      <c r="Z1909" s="17" t="n"/>
      <c r="AA1909" s="17" t="n"/>
      <c r="AB1909" s="17" t="n"/>
      <c r="AC1909" s="24">
        <f>IF($G1909="","",IF($H1909="※编码不在物料档案里","※物料编码不在档案里",IF(N($K1909)&lt;=0,"※入库数量要大于 0",IF(AND($C1909&lt;&gt;"",$C1909&lt;=结账锁),"※日期早于已结账截止日，不能再录",IF(AND($L1909=0,$X1909="正常"),"※没填单价，价格状态请选「待补价」",IF(AND($S1909&gt;0,$R1909&gt;0),"△本批有 "&amp;$S1909&amp;" 行没单价，整批运费先挂账没摊",IF(AND($B1909&lt;&gt;"",COUNTIF($B$4:$B$2503,$B1909)&gt;1),"※入库单号重复","")))))))</f>
        <v/>
      </c>
    </row>
    <row r="1910">
      <c r="A1910" s="24">
        <f>IF($G1910="","",COUNTA($G$4:$G1910))</f>
        <v/>
      </c>
      <c r="B1910" s="17" t="n"/>
      <c r="C1910" s="30" t="n"/>
      <c r="D1910" s="17" t="n"/>
      <c r="E1910" s="17" t="n"/>
      <c r="F1910" s="17" t="n"/>
      <c r="G1910" s="17" t="n"/>
      <c r="H1910" s="24">
        <f>IF($G1910="","",IFERROR(VLOOKUP($G1910,物料档案!$A$4:$P$1203,3,0),"※编码不在物料档案里"))</f>
        <v/>
      </c>
      <c r="I1910" s="24">
        <f>IF($G1910="","",IFERROR(VLOOKUP($G1910,物料档案!$A$4:$P$1203,4,0),"※编码不在物料档案里"))</f>
        <v/>
      </c>
      <c r="J1910" s="24">
        <f>IF($G1910="","",IFERROR(VLOOKUP($G1910,物料档案!$A$4:$P$1203,5,0),"※编码不在物料档案里"))</f>
        <v/>
      </c>
      <c r="K1910" s="23" t="n"/>
      <c r="L1910" s="31" t="n"/>
      <c r="M1910" s="24">
        <f>IF($G1910="","",IF($D1910="A国内","CNY","TZS"))</f>
        <v/>
      </c>
      <c r="N1910" s="28">
        <f>IF($G1910="","",IF($D1910="A国内",汇率,1))</f>
        <v/>
      </c>
      <c r="O1910" s="25">
        <f>IF($G1910="","",ROUND(N($K1910)*N($L1910),2))</f>
        <v/>
      </c>
      <c r="P1910" s="26">
        <f>IF($G1910="","",ROUND($O1910*$N1910,0))</f>
        <v/>
      </c>
      <c r="Q1910" s="26">
        <f>IF($G1910="","",SUMIFS($P$4:$P$2503,$E$4:$E$2503,$E1910,$Z$4:$Z$2503,"正常"))</f>
        <v/>
      </c>
      <c r="R1910" s="26">
        <f>IF($G1910="","",SUMIFS(费用台账!$I$4:$I$503,费用台账!$C$4:$C$503,$E1910,费用台账!$J$4:$J$503,"是",费用台账!$K$4:$K$503,"正常"))</f>
        <v/>
      </c>
      <c r="S1910" s="28">
        <f>IF($G1910="","",COUNTIFS($E$4:$E$2503,$E1910,$Z$4:$Z$2503,"正常",$Y$4:$Y$2503,"待补价"))</f>
        <v/>
      </c>
      <c r="T1910" s="26">
        <f>IF($G1910="","",SUMIFS($P$4:$P$2503,$E$4:$E$2503,$E1910,$Z$4:$Z$2503,"正常",$A$4:$A$2503,"&lt;="&amp;$A1910))</f>
        <v/>
      </c>
      <c r="U1910" s="26">
        <f>IF($G1910="","",IF(OR($S1910&gt;0,$Q1910=0,$R1910=0,$Z1910&lt;&gt;"正常"),0,ROUND($T1910/$Q1910*$R1910,0)-ROUND(($T1910-$P1910)/$Q1910*$R1910,0)))</f>
        <v/>
      </c>
      <c r="V1910" s="26">
        <f>IF($G1910="","",ROUND($P1910+$U1910,0))</f>
        <v/>
      </c>
      <c r="W1910" s="26">
        <f>IF($G1910="","",IF(N($K1910)=0,0,ROUND($V1910/$K1910,2)))</f>
        <v/>
      </c>
      <c r="X1910" s="17" t="n"/>
      <c r="Y1910" s="17" t="n"/>
      <c r="Z1910" s="17" t="n"/>
      <c r="AA1910" s="17" t="n"/>
      <c r="AB1910" s="17" t="n"/>
      <c r="AC1910" s="24">
        <f>IF($G1910="","",IF($H1910="※编码不在物料档案里","※物料编码不在档案里",IF(N($K1910)&lt;=0,"※入库数量要大于 0",IF(AND($C1910&lt;&gt;"",$C1910&lt;=结账锁),"※日期早于已结账截止日，不能再录",IF(AND($L1910=0,$X1910="正常"),"※没填单价，价格状态请选「待补价」",IF(AND($S1910&gt;0,$R1910&gt;0),"△本批有 "&amp;$S1910&amp;" 行没单价，整批运费先挂账没摊",IF(AND($B1910&lt;&gt;"",COUNTIF($B$4:$B$2503,$B1910)&gt;1),"※入库单号重复","")))))))</f>
        <v/>
      </c>
    </row>
    <row r="1911">
      <c r="A1911" s="24">
        <f>IF($G1911="","",COUNTA($G$4:$G1911))</f>
        <v/>
      </c>
      <c r="B1911" s="17" t="n"/>
      <c r="C1911" s="30" t="n"/>
      <c r="D1911" s="17" t="n"/>
      <c r="E1911" s="17" t="n"/>
      <c r="F1911" s="17" t="n"/>
      <c r="G1911" s="17" t="n"/>
      <c r="H1911" s="24">
        <f>IF($G1911="","",IFERROR(VLOOKUP($G1911,物料档案!$A$4:$P$1203,3,0),"※编码不在物料档案里"))</f>
        <v/>
      </c>
      <c r="I1911" s="24">
        <f>IF($G1911="","",IFERROR(VLOOKUP($G1911,物料档案!$A$4:$P$1203,4,0),"※编码不在物料档案里"))</f>
        <v/>
      </c>
      <c r="J1911" s="24">
        <f>IF($G1911="","",IFERROR(VLOOKUP($G1911,物料档案!$A$4:$P$1203,5,0),"※编码不在物料档案里"))</f>
        <v/>
      </c>
      <c r="K1911" s="23" t="n"/>
      <c r="L1911" s="31" t="n"/>
      <c r="M1911" s="24">
        <f>IF($G1911="","",IF($D1911="A国内","CNY","TZS"))</f>
        <v/>
      </c>
      <c r="N1911" s="28">
        <f>IF($G1911="","",IF($D1911="A国内",汇率,1))</f>
        <v/>
      </c>
      <c r="O1911" s="25">
        <f>IF($G1911="","",ROUND(N($K1911)*N($L1911),2))</f>
        <v/>
      </c>
      <c r="P1911" s="26">
        <f>IF($G1911="","",ROUND($O1911*$N1911,0))</f>
        <v/>
      </c>
      <c r="Q1911" s="26">
        <f>IF($G1911="","",SUMIFS($P$4:$P$2503,$E$4:$E$2503,$E1911,$Z$4:$Z$2503,"正常"))</f>
        <v/>
      </c>
      <c r="R1911" s="26">
        <f>IF($G1911="","",SUMIFS(费用台账!$I$4:$I$503,费用台账!$C$4:$C$503,$E1911,费用台账!$J$4:$J$503,"是",费用台账!$K$4:$K$503,"正常"))</f>
        <v/>
      </c>
      <c r="S1911" s="28">
        <f>IF($G1911="","",COUNTIFS($E$4:$E$2503,$E1911,$Z$4:$Z$2503,"正常",$Y$4:$Y$2503,"待补价"))</f>
        <v/>
      </c>
      <c r="T1911" s="26">
        <f>IF($G1911="","",SUMIFS($P$4:$P$2503,$E$4:$E$2503,$E1911,$Z$4:$Z$2503,"正常",$A$4:$A$2503,"&lt;="&amp;$A1911))</f>
        <v/>
      </c>
      <c r="U1911" s="26">
        <f>IF($G1911="","",IF(OR($S1911&gt;0,$Q1911=0,$R1911=0,$Z1911&lt;&gt;"正常"),0,ROUND($T1911/$Q1911*$R1911,0)-ROUND(($T1911-$P1911)/$Q1911*$R1911,0)))</f>
        <v/>
      </c>
      <c r="V1911" s="26">
        <f>IF($G1911="","",ROUND($P1911+$U1911,0))</f>
        <v/>
      </c>
      <c r="W1911" s="26">
        <f>IF($G1911="","",IF(N($K1911)=0,0,ROUND($V1911/$K1911,2)))</f>
        <v/>
      </c>
      <c r="X1911" s="17" t="n"/>
      <c r="Y1911" s="17" t="n"/>
      <c r="Z1911" s="17" t="n"/>
      <c r="AA1911" s="17" t="n"/>
      <c r="AB1911" s="17" t="n"/>
      <c r="AC1911" s="24">
        <f>IF($G1911="","",IF($H1911="※编码不在物料档案里","※物料编码不在档案里",IF(N($K1911)&lt;=0,"※入库数量要大于 0",IF(AND($C1911&lt;&gt;"",$C1911&lt;=结账锁),"※日期早于已结账截止日，不能再录",IF(AND($L1911=0,$X1911="正常"),"※没填单价，价格状态请选「待补价」",IF(AND($S1911&gt;0,$R1911&gt;0),"△本批有 "&amp;$S1911&amp;" 行没单价，整批运费先挂账没摊",IF(AND($B1911&lt;&gt;"",COUNTIF($B$4:$B$2503,$B1911)&gt;1),"※入库单号重复","")))))))</f>
        <v/>
      </c>
    </row>
    <row r="1912">
      <c r="A1912" s="24">
        <f>IF($G1912="","",COUNTA($G$4:$G1912))</f>
        <v/>
      </c>
      <c r="B1912" s="17" t="n"/>
      <c r="C1912" s="30" t="n"/>
      <c r="D1912" s="17" t="n"/>
      <c r="E1912" s="17" t="n"/>
      <c r="F1912" s="17" t="n"/>
      <c r="G1912" s="17" t="n"/>
      <c r="H1912" s="24">
        <f>IF($G1912="","",IFERROR(VLOOKUP($G1912,物料档案!$A$4:$P$1203,3,0),"※编码不在物料档案里"))</f>
        <v/>
      </c>
      <c r="I1912" s="24">
        <f>IF($G1912="","",IFERROR(VLOOKUP($G1912,物料档案!$A$4:$P$1203,4,0),"※编码不在物料档案里"))</f>
        <v/>
      </c>
      <c r="J1912" s="24">
        <f>IF($G1912="","",IFERROR(VLOOKUP($G1912,物料档案!$A$4:$P$1203,5,0),"※编码不在物料档案里"))</f>
        <v/>
      </c>
      <c r="K1912" s="23" t="n"/>
      <c r="L1912" s="31" t="n"/>
      <c r="M1912" s="24">
        <f>IF($G1912="","",IF($D1912="A国内","CNY","TZS"))</f>
        <v/>
      </c>
      <c r="N1912" s="28">
        <f>IF($G1912="","",IF($D1912="A国内",汇率,1))</f>
        <v/>
      </c>
      <c r="O1912" s="25">
        <f>IF($G1912="","",ROUND(N($K1912)*N($L1912),2))</f>
        <v/>
      </c>
      <c r="P1912" s="26">
        <f>IF($G1912="","",ROUND($O1912*$N1912,0))</f>
        <v/>
      </c>
      <c r="Q1912" s="26">
        <f>IF($G1912="","",SUMIFS($P$4:$P$2503,$E$4:$E$2503,$E1912,$Z$4:$Z$2503,"正常"))</f>
        <v/>
      </c>
      <c r="R1912" s="26">
        <f>IF($G1912="","",SUMIFS(费用台账!$I$4:$I$503,费用台账!$C$4:$C$503,$E1912,费用台账!$J$4:$J$503,"是",费用台账!$K$4:$K$503,"正常"))</f>
        <v/>
      </c>
      <c r="S1912" s="28">
        <f>IF($G1912="","",COUNTIFS($E$4:$E$2503,$E1912,$Z$4:$Z$2503,"正常",$Y$4:$Y$2503,"待补价"))</f>
        <v/>
      </c>
      <c r="T1912" s="26">
        <f>IF($G1912="","",SUMIFS($P$4:$P$2503,$E$4:$E$2503,$E1912,$Z$4:$Z$2503,"正常",$A$4:$A$2503,"&lt;="&amp;$A1912))</f>
        <v/>
      </c>
      <c r="U1912" s="26">
        <f>IF($G1912="","",IF(OR($S1912&gt;0,$Q1912=0,$R1912=0,$Z1912&lt;&gt;"正常"),0,ROUND($T1912/$Q1912*$R1912,0)-ROUND(($T1912-$P1912)/$Q1912*$R1912,0)))</f>
        <v/>
      </c>
      <c r="V1912" s="26">
        <f>IF($G1912="","",ROUND($P1912+$U1912,0))</f>
        <v/>
      </c>
      <c r="W1912" s="26">
        <f>IF($G1912="","",IF(N($K1912)=0,0,ROUND($V1912/$K1912,2)))</f>
        <v/>
      </c>
      <c r="X1912" s="17" t="n"/>
      <c r="Y1912" s="17" t="n"/>
      <c r="Z1912" s="17" t="n"/>
      <c r="AA1912" s="17" t="n"/>
      <c r="AB1912" s="17" t="n"/>
      <c r="AC1912" s="24">
        <f>IF($G1912="","",IF($H1912="※编码不在物料档案里","※物料编码不在档案里",IF(N($K1912)&lt;=0,"※入库数量要大于 0",IF(AND($C1912&lt;&gt;"",$C1912&lt;=结账锁),"※日期早于已结账截止日，不能再录",IF(AND($L1912=0,$X1912="正常"),"※没填单价，价格状态请选「待补价」",IF(AND($S1912&gt;0,$R1912&gt;0),"△本批有 "&amp;$S1912&amp;" 行没单价，整批运费先挂账没摊",IF(AND($B1912&lt;&gt;"",COUNTIF($B$4:$B$2503,$B1912)&gt;1),"※入库单号重复","")))))))</f>
        <v/>
      </c>
    </row>
    <row r="1913">
      <c r="A1913" s="24">
        <f>IF($G1913="","",COUNTA($G$4:$G1913))</f>
        <v/>
      </c>
      <c r="B1913" s="17" t="n"/>
      <c r="C1913" s="30" t="n"/>
      <c r="D1913" s="17" t="n"/>
      <c r="E1913" s="17" t="n"/>
      <c r="F1913" s="17" t="n"/>
      <c r="G1913" s="17" t="n"/>
      <c r="H1913" s="24">
        <f>IF($G1913="","",IFERROR(VLOOKUP($G1913,物料档案!$A$4:$P$1203,3,0),"※编码不在物料档案里"))</f>
        <v/>
      </c>
      <c r="I1913" s="24">
        <f>IF($G1913="","",IFERROR(VLOOKUP($G1913,物料档案!$A$4:$P$1203,4,0),"※编码不在物料档案里"))</f>
        <v/>
      </c>
      <c r="J1913" s="24">
        <f>IF($G1913="","",IFERROR(VLOOKUP($G1913,物料档案!$A$4:$P$1203,5,0),"※编码不在物料档案里"))</f>
        <v/>
      </c>
      <c r="K1913" s="23" t="n"/>
      <c r="L1913" s="31" t="n"/>
      <c r="M1913" s="24">
        <f>IF($G1913="","",IF($D1913="A国内","CNY","TZS"))</f>
        <v/>
      </c>
      <c r="N1913" s="28">
        <f>IF($G1913="","",IF($D1913="A国内",汇率,1))</f>
        <v/>
      </c>
      <c r="O1913" s="25">
        <f>IF($G1913="","",ROUND(N($K1913)*N($L1913),2))</f>
        <v/>
      </c>
      <c r="P1913" s="26">
        <f>IF($G1913="","",ROUND($O1913*$N1913,0))</f>
        <v/>
      </c>
      <c r="Q1913" s="26">
        <f>IF($G1913="","",SUMIFS($P$4:$P$2503,$E$4:$E$2503,$E1913,$Z$4:$Z$2503,"正常"))</f>
        <v/>
      </c>
      <c r="R1913" s="26">
        <f>IF($G1913="","",SUMIFS(费用台账!$I$4:$I$503,费用台账!$C$4:$C$503,$E1913,费用台账!$J$4:$J$503,"是",费用台账!$K$4:$K$503,"正常"))</f>
        <v/>
      </c>
      <c r="S1913" s="28">
        <f>IF($G1913="","",COUNTIFS($E$4:$E$2503,$E1913,$Z$4:$Z$2503,"正常",$Y$4:$Y$2503,"待补价"))</f>
        <v/>
      </c>
      <c r="T1913" s="26">
        <f>IF($G1913="","",SUMIFS($P$4:$P$2503,$E$4:$E$2503,$E1913,$Z$4:$Z$2503,"正常",$A$4:$A$2503,"&lt;="&amp;$A1913))</f>
        <v/>
      </c>
      <c r="U1913" s="26">
        <f>IF($G1913="","",IF(OR($S1913&gt;0,$Q1913=0,$R1913=0,$Z1913&lt;&gt;"正常"),0,ROUND($T1913/$Q1913*$R1913,0)-ROUND(($T1913-$P1913)/$Q1913*$R1913,0)))</f>
        <v/>
      </c>
      <c r="V1913" s="26">
        <f>IF($G1913="","",ROUND($P1913+$U1913,0))</f>
        <v/>
      </c>
      <c r="W1913" s="26">
        <f>IF($G1913="","",IF(N($K1913)=0,0,ROUND($V1913/$K1913,2)))</f>
        <v/>
      </c>
      <c r="X1913" s="17" t="n"/>
      <c r="Y1913" s="17" t="n"/>
      <c r="Z1913" s="17" t="n"/>
      <c r="AA1913" s="17" t="n"/>
      <c r="AB1913" s="17" t="n"/>
      <c r="AC1913" s="24">
        <f>IF($G1913="","",IF($H1913="※编码不在物料档案里","※物料编码不在档案里",IF(N($K1913)&lt;=0,"※入库数量要大于 0",IF(AND($C1913&lt;&gt;"",$C1913&lt;=结账锁),"※日期早于已结账截止日，不能再录",IF(AND($L1913=0,$X1913="正常"),"※没填单价，价格状态请选「待补价」",IF(AND($S1913&gt;0,$R1913&gt;0),"△本批有 "&amp;$S1913&amp;" 行没单价，整批运费先挂账没摊",IF(AND($B1913&lt;&gt;"",COUNTIF($B$4:$B$2503,$B1913)&gt;1),"※入库单号重复","")))))))</f>
        <v/>
      </c>
    </row>
    <row r="1914">
      <c r="A1914" s="24">
        <f>IF($G1914="","",COUNTA($G$4:$G1914))</f>
        <v/>
      </c>
      <c r="B1914" s="17" t="n"/>
      <c r="C1914" s="30" t="n"/>
      <c r="D1914" s="17" t="n"/>
      <c r="E1914" s="17" t="n"/>
      <c r="F1914" s="17" t="n"/>
      <c r="G1914" s="17" t="n"/>
      <c r="H1914" s="24">
        <f>IF($G1914="","",IFERROR(VLOOKUP($G1914,物料档案!$A$4:$P$1203,3,0),"※编码不在物料档案里"))</f>
        <v/>
      </c>
      <c r="I1914" s="24">
        <f>IF($G1914="","",IFERROR(VLOOKUP($G1914,物料档案!$A$4:$P$1203,4,0),"※编码不在物料档案里"))</f>
        <v/>
      </c>
      <c r="J1914" s="24">
        <f>IF($G1914="","",IFERROR(VLOOKUP($G1914,物料档案!$A$4:$P$1203,5,0),"※编码不在物料档案里"))</f>
        <v/>
      </c>
      <c r="K1914" s="23" t="n"/>
      <c r="L1914" s="31" t="n"/>
      <c r="M1914" s="24">
        <f>IF($G1914="","",IF($D1914="A国内","CNY","TZS"))</f>
        <v/>
      </c>
      <c r="N1914" s="28">
        <f>IF($G1914="","",IF($D1914="A国内",汇率,1))</f>
        <v/>
      </c>
      <c r="O1914" s="25">
        <f>IF($G1914="","",ROUND(N($K1914)*N($L1914),2))</f>
        <v/>
      </c>
      <c r="P1914" s="26">
        <f>IF($G1914="","",ROUND($O1914*$N1914,0))</f>
        <v/>
      </c>
      <c r="Q1914" s="26">
        <f>IF($G1914="","",SUMIFS($P$4:$P$2503,$E$4:$E$2503,$E1914,$Z$4:$Z$2503,"正常"))</f>
        <v/>
      </c>
      <c r="R1914" s="26">
        <f>IF($G1914="","",SUMIFS(费用台账!$I$4:$I$503,费用台账!$C$4:$C$503,$E1914,费用台账!$J$4:$J$503,"是",费用台账!$K$4:$K$503,"正常"))</f>
        <v/>
      </c>
      <c r="S1914" s="28">
        <f>IF($G1914="","",COUNTIFS($E$4:$E$2503,$E1914,$Z$4:$Z$2503,"正常",$Y$4:$Y$2503,"待补价"))</f>
        <v/>
      </c>
      <c r="T1914" s="26">
        <f>IF($G1914="","",SUMIFS($P$4:$P$2503,$E$4:$E$2503,$E1914,$Z$4:$Z$2503,"正常",$A$4:$A$2503,"&lt;="&amp;$A1914))</f>
        <v/>
      </c>
      <c r="U1914" s="26">
        <f>IF($G1914="","",IF(OR($S1914&gt;0,$Q1914=0,$R1914=0,$Z1914&lt;&gt;"正常"),0,ROUND($T1914/$Q1914*$R1914,0)-ROUND(($T1914-$P1914)/$Q1914*$R1914,0)))</f>
        <v/>
      </c>
      <c r="V1914" s="26">
        <f>IF($G1914="","",ROUND($P1914+$U1914,0))</f>
        <v/>
      </c>
      <c r="W1914" s="26">
        <f>IF($G1914="","",IF(N($K1914)=0,0,ROUND($V1914/$K1914,2)))</f>
        <v/>
      </c>
      <c r="X1914" s="17" t="n"/>
      <c r="Y1914" s="17" t="n"/>
      <c r="Z1914" s="17" t="n"/>
      <c r="AA1914" s="17" t="n"/>
      <c r="AB1914" s="17" t="n"/>
      <c r="AC1914" s="24">
        <f>IF($G1914="","",IF($H1914="※编码不在物料档案里","※物料编码不在档案里",IF(N($K1914)&lt;=0,"※入库数量要大于 0",IF(AND($C1914&lt;&gt;"",$C1914&lt;=结账锁),"※日期早于已结账截止日，不能再录",IF(AND($L1914=0,$X1914="正常"),"※没填单价，价格状态请选「待补价」",IF(AND($S1914&gt;0,$R1914&gt;0),"△本批有 "&amp;$S1914&amp;" 行没单价，整批运费先挂账没摊",IF(AND($B1914&lt;&gt;"",COUNTIF($B$4:$B$2503,$B1914)&gt;1),"※入库单号重复","")))))))</f>
        <v/>
      </c>
    </row>
    <row r="1915">
      <c r="A1915" s="24">
        <f>IF($G1915="","",COUNTA($G$4:$G1915))</f>
        <v/>
      </c>
      <c r="B1915" s="17" t="n"/>
      <c r="C1915" s="30" t="n"/>
      <c r="D1915" s="17" t="n"/>
      <c r="E1915" s="17" t="n"/>
      <c r="F1915" s="17" t="n"/>
      <c r="G1915" s="17" t="n"/>
      <c r="H1915" s="24">
        <f>IF($G1915="","",IFERROR(VLOOKUP($G1915,物料档案!$A$4:$P$1203,3,0),"※编码不在物料档案里"))</f>
        <v/>
      </c>
      <c r="I1915" s="24">
        <f>IF($G1915="","",IFERROR(VLOOKUP($G1915,物料档案!$A$4:$P$1203,4,0),"※编码不在物料档案里"))</f>
        <v/>
      </c>
      <c r="J1915" s="24">
        <f>IF($G1915="","",IFERROR(VLOOKUP($G1915,物料档案!$A$4:$P$1203,5,0),"※编码不在物料档案里"))</f>
        <v/>
      </c>
      <c r="K1915" s="23" t="n"/>
      <c r="L1915" s="31" t="n"/>
      <c r="M1915" s="24">
        <f>IF($G1915="","",IF($D1915="A国内","CNY","TZS"))</f>
        <v/>
      </c>
      <c r="N1915" s="28">
        <f>IF($G1915="","",IF($D1915="A国内",汇率,1))</f>
        <v/>
      </c>
      <c r="O1915" s="25">
        <f>IF($G1915="","",ROUND(N($K1915)*N($L1915),2))</f>
        <v/>
      </c>
      <c r="P1915" s="26">
        <f>IF($G1915="","",ROUND($O1915*$N1915,0))</f>
        <v/>
      </c>
      <c r="Q1915" s="26">
        <f>IF($G1915="","",SUMIFS($P$4:$P$2503,$E$4:$E$2503,$E1915,$Z$4:$Z$2503,"正常"))</f>
        <v/>
      </c>
      <c r="R1915" s="26">
        <f>IF($G1915="","",SUMIFS(费用台账!$I$4:$I$503,费用台账!$C$4:$C$503,$E1915,费用台账!$J$4:$J$503,"是",费用台账!$K$4:$K$503,"正常"))</f>
        <v/>
      </c>
      <c r="S1915" s="28">
        <f>IF($G1915="","",COUNTIFS($E$4:$E$2503,$E1915,$Z$4:$Z$2503,"正常",$Y$4:$Y$2503,"待补价"))</f>
        <v/>
      </c>
      <c r="T1915" s="26">
        <f>IF($G1915="","",SUMIFS($P$4:$P$2503,$E$4:$E$2503,$E1915,$Z$4:$Z$2503,"正常",$A$4:$A$2503,"&lt;="&amp;$A1915))</f>
        <v/>
      </c>
      <c r="U1915" s="26">
        <f>IF($G1915="","",IF(OR($S1915&gt;0,$Q1915=0,$R1915=0,$Z1915&lt;&gt;"正常"),0,ROUND($T1915/$Q1915*$R1915,0)-ROUND(($T1915-$P1915)/$Q1915*$R1915,0)))</f>
        <v/>
      </c>
      <c r="V1915" s="26">
        <f>IF($G1915="","",ROUND($P1915+$U1915,0))</f>
        <v/>
      </c>
      <c r="W1915" s="26">
        <f>IF($G1915="","",IF(N($K1915)=0,0,ROUND($V1915/$K1915,2)))</f>
        <v/>
      </c>
      <c r="X1915" s="17" t="n"/>
      <c r="Y1915" s="17" t="n"/>
      <c r="Z1915" s="17" t="n"/>
      <c r="AA1915" s="17" t="n"/>
      <c r="AB1915" s="17" t="n"/>
      <c r="AC1915" s="24">
        <f>IF($G1915="","",IF($H1915="※编码不在物料档案里","※物料编码不在档案里",IF(N($K1915)&lt;=0,"※入库数量要大于 0",IF(AND($C1915&lt;&gt;"",$C1915&lt;=结账锁),"※日期早于已结账截止日，不能再录",IF(AND($L1915=0,$X1915="正常"),"※没填单价，价格状态请选「待补价」",IF(AND($S1915&gt;0,$R1915&gt;0),"△本批有 "&amp;$S1915&amp;" 行没单价，整批运费先挂账没摊",IF(AND($B1915&lt;&gt;"",COUNTIF($B$4:$B$2503,$B1915)&gt;1),"※入库单号重复","")))))))</f>
        <v/>
      </c>
    </row>
    <row r="1916">
      <c r="A1916" s="24">
        <f>IF($G1916="","",COUNTA($G$4:$G1916))</f>
        <v/>
      </c>
      <c r="B1916" s="17" t="n"/>
      <c r="C1916" s="30" t="n"/>
      <c r="D1916" s="17" t="n"/>
      <c r="E1916" s="17" t="n"/>
      <c r="F1916" s="17" t="n"/>
      <c r="G1916" s="17" t="n"/>
      <c r="H1916" s="24">
        <f>IF($G1916="","",IFERROR(VLOOKUP($G1916,物料档案!$A$4:$P$1203,3,0),"※编码不在物料档案里"))</f>
        <v/>
      </c>
      <c r="I1916" s="24">
        <f>IF($G1916="","",IFERROR(VLOOKUP($G1916,物料档案!$A$4:$P$1203,4,0),"※编码不在物料档案里"))</f>
        <v/>
      </c>
      <c r="J1916" s="24">
        <f>IF($G1916="","",IFERROR(VLOOKUP($G1916,物料档案!$A$4:$P$1203,5,0),"※编码不在物料档案里"))</f>
        <v/>
      </c>
      <c r="K1916" s="23" t="n"/>
      <c r="L1916" s="31" t="n"/>
      <c r="M1916" s="24">
        <f>IF($G1916="","",IF($D1916="A国内","CNY","TZS"))</f>
        <v/>
      </c>
      <c r="N1916" s="28">
        <f>IF($G1916="","",IF($D1916="A国内",汇率,1))</f>
        <v/>
      </c>
      <c r="O1916" s="25">
        <f>IF($G1916="","",ROUND(N($K1916)*N($L1916),2))</f>
        <v/>
      </c>
      <c r="P1916" s="26">
        <f>IF($G1916="","",ROUND($O1916*$N1916,0))</f>
        <v/>
      </c>
      <c r="Q1916" s="26">
        <f>IF($G1916="","",SUMIFS($P$4:$P$2503,$E$4:$E$2503,$E1916,$Z$4:$Z$2503,"正常"))</f>
        <v/>
      </c>
      <c r="R1916" s="26">
        <f>IF($G1916="","",SUMIFS(费用台账!$I$4:$I$503,费用台账!$C$4:$C$503,$E1916,费用台账!$J$4:$J$503,"是",费用台账!$K$4:$K$503,"正常"))</f>
        <v/>
      </c>
      <c r="S1916" s="28">
        <f>IF($G1916="","",COUNTIFS($E$4:$E$2503,$E1916,$Z$4:$Z$2503,"正常",$Y$4:$Y$2503,"待补价"))</f>
        <v/>
      </c>
      <c r="T1916" s="26">
        <f>IF($G1916="","",SUMIFS($P$4:$P$2503,$E$4:$E$2503,$E1916,$Z$4:$Z$2503,"正常",$A$4:$A$2503,"&lt;="&amp;$A1916))</f>
        <v/>
      </c>
      <c r="U1916" s="26">
        <f>IF($G1916="","",IF(OR($S1916&gt;0,$Q1916=0,$R1916=0,$Z1916&lt;&gt;"正常"),0,ROUND($T1916/$Q1916*$R1916,0)-ROUND(($T1916-$P1916)/$Q1916*$R1916,0)))</f>
        <v/>
      </c>
      <c r="V1916" s="26">
        <f>IF($G1916="","",ROUND($P1916+$U1916,0))</f>
        <v/>
      </c>
      <c r="W1916" s="26">
        <f>IF($G1916="","",IF(N($K1916)=0,0,ROUND($V1916/$K1916,2)))</f>
        <v/>
      </c>
      <c r="X1916" s="17" t="n"/>
      <c r="Y1916" s="17" t="n"/>
      <c r="Z1916" s="17" t="n"/>
      <c r="AA1916" s="17" t="n"/>
      <c r="AB1916" s="17" t="n"/>
      <c r="AC1916" s="24">
        <f>IF($G1916="","",IF($H1916="※编码不在物料档案里","※物料编码不在档案里",IF(N($K1916)&lt;=0,"※入库数量要大于 0",IF(AND($C1916&lt;&gt;"",$C1916&lt;=结账锁),"※日期早于已结账截止日，不能再录",IF(AND($L1916=0,$X1916="正常"),"※没填单价，价格状态请选「待补价」",IF(AND($S1916&gt;0,$R1916&gt;0),"△本批有 "&amp;$S1916&amp;" 行没单价，整批运费先挂账没摊",IF(AND($B1916&lt;&gt;"",COUNTIF($B$4:$B$2503,$B1916)&gt;1),"※入库单号重复","")))))))</f>
        <v/>
      </c>
    </row>
    <row r="1917">
      <c r="A1917" s="24">
        <f>IF($G1917="","",COUNTA($G$4:$G1917))</f>
        <v/>
      </c>
      <c r="B1917" s="17" t="n"/>
      <c r="C1917" s="30" t="n"/>
      <c r="D1917" s="17" t="n"/>
      <c r="E1917" s="17" t="n"/>
      <c r="F1917" s="17" t="n"/>
      <c r="G1917" s="17" t="n"/>
      <c r="H1917" s="24">
        <f>IF($G1917="","",IFERROR(VLOOKUP($G1917,物料档案!$A$4:$P$1203,3,0),"※编码不在物料档案里"))</f>
        <v/>
      </c>
      <c r="I1917" s="24">
        <f>IF($G1917="","",IFERROR(VLOOKUP($G1917,物料档案!$A$4:$P$1203,4,0),"※编码不在物料档案里"))</f>
        <v/>
      </c>
      <c r="J1917" s="24">
        <f>IF($G1917="","",IFERROR(VLOOKUP($G1917,物料档案!$A$4:$P$1203,5,0),"※编码不在物料档案里"))</f>
        <v/>
      </c>
      <c r="K1917" s="23" t="n"/>
      <c r="L1917" s="31" t="n"/>
      <c r="M1917" s="24">
        <f>IF($G1917="","",IF($D1917="A国内","CNY","TZS"))</f>
        <v/>
      </c>
      <c r="N1917" s="28">
        <f>IF($G1917="","",IF($D1917="A国内",汇率,1))</f>
        <v/>
      </c>
      <c r="O1917" s="25">
        <f>IF($G1917="","",ROUND(N($K1917)*N($L1917),2))</f>
        <v/>
      </c>
      <c r="P1917" s="26">
        <f>IF($G1917="","",ROUND($O1917*$N1917,0))</f>
        <v/>
      </c>
      <c r="Q1917" s="26">
        <f>IF($G1917="","",SUMIFS($P$4:$P$2503,$E$4:$E$2503,$E1917,$Z$4:$Z$2503,"正常"))</f>
        <v/>
      </c>
      <c r="R1917" s="26">
        <f>IF($G1917="","",SUMIFS(费用台账!$I$4:$I$503,费用台账!$C$4:$C$503,$E1917,费用台账!$J$4:$J$503,"是",费用台账!$K$4:$K$503,"正常"))</f>
        <v/>
      </c>
      <c r="S1917" s="28">
        <f>IF($G1917="","",COUNTIFS($E$4:$E$2503,$E1917,$Z$4:$Z$2503,"正常",$Y$4:$Y$2503,"待补价"))</f>
        <v/>
      </c>
      <c r="T1917" s="26">
        <f>IF($G1917="","",SUMIFS($P$4:$P$2503,$E$4:$E$2503,$E1917,$Z$4:$Z$2503,"正常",$A$4:$A$2503,"&lt;="&amp;$A1917))</f>
        <v/>
      </c>
      <c r="U1917" s="26">
        <f>IF($G1917="","",IF(OR($S1917&gt;0,$Q1917=0,$R1917=0,$Z1917&lt;&gt;"正常"),0,ROUND($T1917/$Q1917*$R1917,0)-ROUND(($T1917-$P1917)/$Q1917*$R1917,0)))</f>
        <v/>
      </c>
      <c r="V1917" s="26">
        <f>IF($G1917="","",ROUND($P1917+$U1917,0))</f>
        <v/>
      </c>
      <c r="W1917" s="26">
        <f>IF($G1917="","",IF(N($K1917)=0,0,ROUND($V1917/$K1917,2)))</f>
        <v/>
      </c>
      <c r="X1917" s="17" t="n"/>
      <c r="Y1917" s="17" t="n"/>
      <c r="Z1917" s="17" t="n"/>
      <c r="AA1917" s="17" t="n"/>
      <c r="AB1917" s="17" t="n"/>
      <c r="AC1917" s="24">
        <f>IF($G1917="","",IF($H1917="※编码不在物料档案里","※物料编码不在档案里",IF(N($K1917)&lt;=0,"※入库数量要大于 0",IF(AND($C1917&lt;&gt;"",$C1917&lt;=结账锁),"※日期早于已结账截止日，不能再录",IF(AND($L1917=0,$X1917="正常"),"※没填单价，价格状态请选「待补价」",IF(AND($S1917&gt;0,$R1917&gt;0),"△本批有 "&amp;$S1917&amp;" 行没单价，整批运费先挂账没摊",IF(AND($B1917&lt;&gt;"",COUNTIF($B$4:$B$2503,$B1917)&gt;1),"※入库单号重复","")))))))</f>
        <v/>
      </c>
    </row>
    <row r="1918">
      <c r="A1918" s="24">
        <f>IF($G1918="","",COUNTA($G$4:$G1918))</f>
        <v/>
      </c>
      <c r="B1918" s="17" t="n"/>
      <c r="C1918" s="30" t="n"/>
      <c r="D1918" s="17" t="n"/>
      <c r="E1918" s="17" t="n"/>
      <c r="F1918" s="17" t="n"/>
      <c r="G1918" s="17" t="n"/>
      <c r="H1918" s="24">
        <f>IF($G1918="","",IFERROR(VLOOKUP($G1918,物料档案!$A$4:$P$1203,3,0),"※编码不在物料档案里"))</f>
        <v/>
      </c>
      <c r="I1918" s="24">
        <f>IF($G1918="","",IFERROR(VLOOKUP($G1918,物料档案!$A$4:$P$1203,4,0),"※编码不在物料档案里"))</f>
        <v/>
      </c>
      <c r="J1918" s="24">
        <f>IF($G1918="","",IFERROR(VLOOKUP($G1918,物料档案!$A$4:$P$1203,5,0),"※编码不在物料档案里"))</f>
        <v/>
      </c>
      <c r="K1918" s="23" t="n"/>
      <c r="L1918" s="31" t="n"/>
      <c r="M1918" s="24">
        <f>IF($G1918="","",IF($D1918="A国内","CNY","TZS"))</f>
        <v/>
      </c>
      <c r="N1918" s="28">
        <f>IF($G1918="","",IF($D1918="A国内",汇率,1))</f>
        <v/>
      </c>
      <c r="O1918" s="25">
        <f>IF($G1918="","",ROUND(N($K1918)*N($L1918),2))</f>
        <v/>
      </c>
      <c r="P1918" s="26">
        <f>IF($G1918="","",ROUND($O1918*$N1918,0))</f>
        <v/>
      </c>
      <c r="Q1918" s="26">
        <f>IF($G1918="","",SUMIFS($P$4:$P$2503,$E$4:$E$2503,$E1918,$Z$4:$Z$2503,"正常"))</f>
        <v/>
      </c>
      <c r="R1918" s="26">
        <f>IF($G1918="","",SUMIFS(费用台账!$I$4:$I$503,费用台账!$C$4:$C$503,$E1918,费用台账!$J$4:$J$503,"是",费用台账!$K$4:$K$503,"正常"))</f>
        <v/>
      </c>
      <c r="S1918" s="28">
        <f>IF($G1918="","",COUNTIFS($E$4:$E$2503,$E1918,$Z$4:$Z$2503,"正常",$Y$4:$Y$2503,"待补价"))</f>
        <v/>
      </c>
      <c r="T1918" s="26">
        <f>IF($G1918="","",SUMIFS($P$4:$P$2503,$E$4:$E$2503,$E1918,$Z$4:$Z$2503,"正常",$A$4:$A$2503,"&lt;="&amp;$A1918))</f>
        <v/>
      </c>
      <c r="U1918" s="26">
        <f>IF($G1918="","",IF(OR($S1918&gt;0,$Q1918=0,$R1918=0,$Z1918&lt;&gt;"正常"),0,ROUND($T1918/$Q1918*$R1918,0)-ROUND(($T1918-$P1918)/$Q1918*$R1918,0)))</f>
        <v/>
      </c>
      <c r="V1918" s="26">
        <f>IF($G1918="","",ROUND($P1918+$U1918,0))</f>
        <v/>
      </c>
      <c r="W1918" s="26">
        <f>IF($G1918="","",IF(N($K1918)=0,0,ROUND($V1918/$K1918,2)))</f>
        <v/>
      </c>
      <c r="X1918" s="17" t="n"/>
      <c r="Y1918" s="17" t="n"/>
      <c r="Z1918" s="17" t="n"/>
      <c r="AA1918" s="17" t="n"/>
      <c r="AB1918" s="17" t="n"/>
      <c r="AC1918" s="24">
        <f>IF($G1918="","",IF($H1918="※编码不在物料档案里","※物料编码不在档案里",IF(N($K1918)&lt;=0,"※入库数量要大于 0",IF(AND($C1918&lt;&gt;"",$C1918&lt;=结账锁),"※日期早于已结账截止日，不能再录",IF(AND($L1918=0,$X1918="正常"),"※没填单价，价格状态请选「待补价」",IF(AND($S1918&gt;0,$R1918&gt;0),"△本批有 "&amp;$S1918&amp;" 行没单价，整批运费先挂账没摊",IF(AND($B1918&lt;&gt;"",COUNTIF($B$4:$B$2503,$B1918)&gt;1),"※入库单号重复","")))))))</f>
        <v/>
      </c>
    </row>
    <row r="1919">
      <c r="A1919" s="24">
        <f>IF($G1919="","",COUNTA($G$4:$G1919))</f>
        <v/>
      </c>
      <c r="B1919" s="17" t="n"/>
      <c r="C1919" s="30" t="n"/>
      <c r="D1919" s="17" t="n"/>
      <c r="E1919" s="17" t="n"/>
      <c r="F1919" s="17" t="n"/>
      <c r="G1919" s="17" t="n"/>
      <c r="H1919" s="24">
        <f>IF($G1919="","",IFERROR(VLOOKUP($G1919,物料档案!$A$4:$P$1203,3,0),"※编码不在物料档案里"))</f>
        <v/>
      </c>
      <c r="I1919" s="24">
        <f>IF($G1919="","",IFERROR(VLOOKUP($G1919,物料档案!$A$4:$P$1203,4,0),"※编码不在物料档案里"))</f>
        <v/>
      </c>
      <c r="J1919" s="24">
        <f>IF($G1919="","",IFERROR(VLOOKUP($G1919,物料档案!$A$4:$P$1203,5,0),"※编码不在物料档案里"))</f>
        <v/>
      </c>
      <c r="K1919" s="23" t="n"/>
      <c r="L1919" s="31" t="n"/>
      <c r="M1919" s="24">
        <f>IF($G1919="","",IF($D1919="A国内","CNY","TZS"))</f>
        <v/>
      </c>
      <c r="N1919" s="28">
        <f>IF($G1919="","",IF($D1919="A国内",汇率,1))</f>
        <v/>
      </c>
      <c r="O1919" s="25">
        <f>IF($G1919="","",ROUND(N($K1919)*N($L1919),2))</f>
        <v/>
      </c>
      <c r="P1919" s="26">
        <f>IF($G1919="","",ROUND($O1919*$N1919,0))</f>
        <v/>
      </c>
      <c r="Q1919" s="26">
        <f>IF($G1919="","",SUMIFS($P$4:$P$2503,$E$4:$E$2503,$E1919,$Z$4:$Z$2503,"正常"))</f>
        <v/>
      </c>
      <c r="R1919" s="26">
        <f>IF($G1919="","",SUMIFS(费用台账!$I$4:$I$503,费用台账!$C$4:$C$503,$E1919,费用台账!$J$4:$J$503,"是",费用台账!$K$4:$K$503,"正常"))</f>
        <v/>
      </c>
      <c r="S1919" s="28">
        <f>IF($G1919="","",COUNTIFS($E$4:$E$2503,$E1919,$Z$4:$Z$2503,"正常",$Y$4:$Y$2503,"待补价"))</f>
        <v/>
      </c>
      <c r="T1919" s="26">
        <f>IF($G1919="","",SUMIFS($P$4:$P$2503,$E$4:$E$2503,$E1919,$Z$4:$Z$2503,"正常",$A$4:$A$2503,"&lt;="&amp;$A1919))</f>
        <v/>
      </c>
      <c r="U1919" s="26">
        <f>IF($G1919="","",IF(OR($S1919&gt;0,$Q1919=0,$R1919=0,$Z1919&lt;&gt;"正常"),0,ROUND($T1919/$Q1919*$R1919,0)-ROUND(($T1919-$P1919)/$Q1919*$R1919,0)))</f>
        <v/>
      </c>
      <c r="V1919" s="26">
        <f>IF($G1919="","",ROUND($P1919+$U1919,0))</f>
        <v/>
      </c>
      <c r="W1919" s="26">
        <f>IF($G1919="","",IF(N($K1919)=0,0,ROUND($V1919/$K1919,2)))</f>
        <v/>
      </c>
      <c r="X1919" s="17" t="n"/>
      <c r="Y1919" s="17" t="n"/>
      <c r="Z1919" s="17" t="n"/>
      <c r="AA1919" s="17" t="n"/>
      <c r="AB1919" s="17" t="n"/>
      <c r="AC1919" s="24">
        <f>IF($G1919="","",IF($H1919="※编码不在物料档案里","※物料编码不在档案里",IF(N($K1919)&lt;=0,"※入库数量要大于 0",IF(AND($C1919&lt;&gt;"",$C1919&lt;=结账锁),"※日期早于已结账截止日，不能再录",IF(AND($L1919=0,$X1919="正常"),"※没填单价，价格状态请选「待补价」",IF(AND($S1919&gt;0,$R1919&gt;0),"△本批有 "&amp;$S1919&amp;" 行没单价，整批运费先挂账没摊",IF(AND($B1919&lt;&gt;"",COUNTIF($B$4:$B$2503,$B1919)&gt;1),"※入库单号重复","")))))))</f>
        <v/>
      </c>
    </row>
    <row r="1920">
      <c r="A1920" s="24">
        <f>IF($G1920="","",COUNTA($G$4:$G1920))</f>
        <v/>
      </c>
      <c r="B1920" s="17" t="n"/>
      <c r="C1920" s="30" t="n"/>
      <c r="D1920" s="17" t="n"/>
      <c r="E1920" s="17" t="n"/>
      <c r="F1920" s="17" t="n"/>
      <c r="G1920" s="17" t="n"/>
      <c r="H1920" s="24">
        <f>IF($G1920="","",IFERROR(VLOOKUP($G1920,物料档案!$A$4:$P$1203,3,0),"※编码不在物料档案里"))</f>
        <v/>
      </c>
      <c r="I1920" s="24">
        <f>IF($G1920="","",IFERROR(VLOOKUP($G1920,物料档案!$A$4:$P$1203,4,0),"※编码不在物料档案里"))</f>
        <v/>
      </c>
      <c r="J1920" s="24">
        <f>IF($G1920="","",IFERROR(VLOOKUP($G1920,物料档案!$A$4:$P$1203,5,0),"※编码不在物料档案里"))</f>
        <v/>
      </c>
      <c r="K1920" s="23" t="n"/>
      <c r="L1920" s="31" t="n"/>
      <c r="M1920" s="24">
        <f>IF($G1920="","",IF($D1920="A国内","CNY","TZS"))</f>
        <v/>
      </c>
      <c r="N1920" s="28">
        <f>IF($G1920="","",IF($D1920="A国内",汇率,1))</f>
        <v/>
      </c>
      <c r="O1920" s="25">
        <f>IF($G1920="","",ROUND(N($K1920)*N($L1920),2))</f>
        <v/>
      </c>
      <c r="P1920" s="26">
        <f>IF($G1920="","",ROUND($O1920*$N1920,0))</f>
        <v/>
      </c>
      <c r="Q1920" s="26">
        <f>IF($G1920="","",SUMIFS($P$4:$P$2503,$E$4:$E$2503,$E1920,$Z$4:$Z$2503,"正常"))</f>
        <v/>
      </c>
      <c r="R1920" s="26">
        <f>IF($G1920="","",SUMIFS(费用台账!$I$4:$I$503,费用台账!$C$4:$C$503,$E1920,费用台账!$J$4:$J$503,"是",费用台账!$K$4:$K$503,"正常"))</f>
        <v/>
      </c>
      <c r="S1920" s="28">
        <f>IF($G1920="","",COUNTIFS($E$4:$E$2503,$E1920,$Z$4:$Z$2503,"正常",$Y$4:$Y$2503,"待补价"))</f>
        <v/>
      </c>
      <c r="T1920" s="26">
        <f>IF($G1920="","",SUMIFS($P$4:$P$2503,$E$4:$E$2503,$E1920,$Z$4:$Z$2503,"正常",$A$4:$A$2503,"&lt;="&amp;$A1920))</f>
        <v/>
      </c>
      <c r="U1920" s="26">
        <f>IF($G1920="","",IF(OR($S1920&gt;0,$Q1920=0,$R1920=0,$Z1920&lt;&gt;"正常"),0,ROUND($T1920/$Q1920*$R1920,0)-ROUND(($T1920-$P1920)/$Q1920*$R1920,0)))</f>
        <v/>
      </c>
      <c r="V1920" s="26">
        <f>IF($G1920="","",ROUND($P1920+$U1920,0))</f>
        <v/>
      </c>
      <c r="W1920" s="26">
        <f>IF($G1920="","",IF(N($K1920)=0,0,ROUND($V1920/$K1920,2)))</f>
        <v/>
      </c>
      <c r="X1920" s="17" t="n"/>
      <c r="Y1920" s="17" t="n"/>
      <c r="Z1920" s="17" t="n"/>
      <c r="AA1920" s="17" t="n"/>
      <c r="AB1920" s="17" t="n"/>
      <c r="AC1920" s="24">
        <f>IF($G1920="","",IF($H1920="※编码不在物料档案里","※物料编码不在档案里",IF(N($K1920)&lt;=0,"※入库数量要大于 0",IF(AND($C1920&lt;&gt;"",$C1920&lt;=结账锁),"※日期早于已结账截止日，不能再录",IF(AND($L1920=0,$X1920="正常"),"※没填单价，价格状态请选「待补价」",IF(AND($S1920&gt;0,$R1920&gt;0),"△本批有 "&amp;$S1920&amp;" 行没单价，整批运费先挂账没摊",IF(AND($B1920&lt;&gt;"",COUNTIF($B$4:$B$2503,$B1920)&gt;1),"※入库单号重复","")))))))</f>
        <v/>
      </c>
    </row>
    <row r="1921">
      <c r="A1921" s="24">
        <f>IF($G1921="","",COUNTA($G$4:$G1921))</f>
        <v/>
      </c>
      <c r="B1921" s="17" t="n"/>
      <c r="C1921" s="30" t="n"/>
      <c r="D1921" s="17" t="n"/>
      <c r="E1921" s="17" t="n"/>
      <c r="F1921" s="17" t="n"/>
      <c r="G1921" s="17" t="n"/>
      <c r="H1921" s="24">
        <f>IF($G1921="","",IFERROR(VLOOKUP($G1921,物料档案!$A$4:$P$1203,3,0),"※编码不在物料档案里"))</f>
        <v/>
      </c>
      <c r="I1921" s="24">
        <f>IF($G1921="","",IFERROR(VLOOKUP($G1921,物料档案!$A$4:$P$1203,4,0),"※编码不在物料档案里"))</f>
        <v/>
      </c>
      <c r="J1921" s="24">
        <f>IF($G1921="","",IFERROR(VLOOKUP($G1921,物料档案!$A$4:$P$1203,5,0),"※编码不在物料档案里"))</f>
        <v/>
      </c>
      <c r="K1921" s="23" t="n"/>
      <c r="L1921" s="31" t="n"/>
      <c r="M1921" s="24">
        <f>IF($G1921="","",IF($D1921="A国内","CNY","TZS"))</f>
        <v/>
      </c>
      <c r="N1921" s="28">
        <f>IF($G1921="","",IF($D1921="A国内",汇率,1))</f>
        <v/>
      </c>
      <c r="O1921" s="25">
        <f>IF($G1921="","",ROUND(N($K1921)*N($L1921),2))</f>
        <v/>
      </c>
      <c r="P1921" s="26">
        <f>IF($G1921="","",ROUND($O1921*$N1921,0))</f>
        <v/>
      </c>
      <c r="Q1921" s="26">
        <f>IF($G1921="","",SUMIFS($P$4:$P$2503,$E$4:$E$2503,$E1921,$Z$4:$Z$2503,"正常"))</f>
        <v/>
      </c>
      <c r="R1921" s="26">
        <f>IF($G1921="","",SUMIFS(费用台账!$I$4:$I$503,费用台账!$C$4:$C$503,$E1921,费用台账!$J$4:$J$503,"是",费用台账!$K$4:$K$503,"正常"))</f>
        <v/>
      </c>
      <c r="S1921" s="28">
        <f>IF($G1921="","",COUNTIFS($E$4:$E$2503,$E1921,$Z$4:$Z$2503,"正常",$Y$4:$Y$2503,"待补价"))</f>
        <v/>
      </c>
      <c r="T1921" s="26">
        <f>IF($G1921="","",SUMIFS($P$4:$P$2503,$E$4:$E$2503,$E1921,$Z$4:$Z$2503,"正常",$A$4:$A$2503,"&lt;="&amp;$A1921))</f>
        <v/>
      </c>
      <c r="U1921" s="26">
        <f>IF($G1921="","",IF(OR($S1921&gt;0,$Q1921=0,$R1921=0,$Z1921&lt;&gt;"正常"),0,ROUND($T1921/$Q1921*$R1921,0)-ROUND(($T1921-$P1921)/$Q1921*$R1921,0)))</f>
        <v/>
      </c>
      <c r="V1921" s="26">
        <f>IF($G1921="","",ROUND($P1921+$U1921,0))</f>
        <v/>
      </c>
      <c r="W1921" s="26">
        <f>IF($G1921="","",IF(N($K1921)=0,0,ROUND($V1921/$K1921,2)))</f>
        <v/>
      </c>
      <c r="X1921" s="17" t="n"/>
      <c r="Y1921" s="17" t="n"/>
      <c r="Z1921" s="17" t="n"/>
      <c r="AA1921" s="17" t="n"/>
      <c r="AB1921" s="17" t="n"/>
      <c r="AC1921" s="24">
        <f>IF($G1921="","",IF($H1921="※编码不在物料档案里","※物料编码不在档案里",IF(N($K1921)&lt;=0,"※入库数量要大于 0",IF(AND($C1921&lt;&gt;"",$C1921&lt;=结账锁),"※日期早于已结账截止日，不能再录",IF(AND($L1921=0,$X1921="正常"),"※没填单价，价格状态请选「待补价」",IF(AND($S1921&gt;0,$R1921&gt;0),"△本批有 "&amp;$S1921&amp;" 行没单价，整批运费先挂账没摊",IF(AND($B1921&lt;&gt;"",COUNTIF($B$4:$B$2503,$B1921)&gt;1),"※入库单号重复","")))))))</f>
        <v/>
      </c>
    </row>
    <row r="1922">
      <c r="A1922" s="24">
        <f>IF($G1922="","",COUNTA($G$4:$G1922))</f>
        <v/>
      </c>
      <c r="B1922" s="17" t="n"/>
      <c r="C1922" s="30" t="n"/>
      <c r="D1922" s="17" t="n"/>
      <c r="E1922" s="17" t="n"/>
      <c r="F1922" s="17" t="n"/>
      <c r="G1922" s="17" t="n"/>
      <c r="H1922" s="24">
        <f>IF($G1922="","",IFERROR(VLOOKUP($G1922,物料档案!$A$4:$P$1203,3,0),"※编码不在物料档案里"))</f>
        <v/>
      </c>
      <c r="I1922" s="24">
        <f>IF($G1922="","",IFERROR(VLOOKUP($G1922,物料档案!$A$4:$P$1203,4,0),"※编码不在物料档案里"))</f>
        <v/>
      </c>
      <c r="J1922" s="24">
        <f>IF($G1922="","",IFERROR(VLOOKUP($G1922,物料档案!$A$4:$P$1203,5,0),"※编码不在物料档案里"))</f>
        <v/>
      </c>
      <c r="K1922" s="23" t="n"/>
      <c r="L1922" s="31" t="n"/>
      <c r="M1922" s="24">
        <f>IF($G1922="","",IF($D1922="A国内","CNY","TZS"))</f>
        <v/>
      </c>
      <c r="N1922" s="28">
        <f>IF($G1922="","",IF($D1922="A国内",汇率,1))</f>
        <v/>
      </c>
      <c r="O1922" s="25">
        <f>IF($G1922="","",ROUND(N($K1922)*N($L1922),2))</f>
        <v/>
      </c>
      <c r="P1922" s="26">
        <f>IF($G1922="","",ROUND($O1922*$N1922,0))</f>
        <v/>
      </c>
      <c r="Q1922" s="26">
        <f>IF($G1922="","",SUMIFS($P$4:$P$2503,$E$4:$E$2503,$E1922,$Z$4:$Z$2503,"正常"))</f>
        <v/>
      </c>
      <c r="R1922" s="26">
        <f>IF($G1922="","",SUMIFS(费用台账!$I$4:$I$503,费用台账!$C$4:$C$503,$E1922,费用台账!$J$4:$J$503,"是",费用台账!$K$4:$K$503,"正常"))</f>
        <v/>
      </c>
      <c r="S1922" s="28">
        <f>IF($G1922="","",COUNTIFS($E$4:$E$2503,$E1922,$Z$4:$Z$2503,"正常",$Y$4:$Y$2503,"待补价"))</f>
        <v/>
      </c>
      <c r="T1922" s="26">
        <f>IF($G1922="","",SUMIFS($P$4:$P$2503,$E$4:$E$2503,$E1922,$Z$4:$Z$2503,"正常",$A$4:$A$2503,"&lt;="&amp;$A1922))</f>
        <v/>
      </c>
      <c r="U1922" s="26">
        <f>IF($G1922="","",IF(OR($S1922&gt;0,$Q1922=0,$R1922=0,$Z1922&lt;&gt;"正常"),0,ROUND($T1922/$Q1922*$R1922,0)-ROUND(($T1922-$P1922)/$Q1922*$R1922,0)))</f>
        <v/>
      </c>
      <c r="V1922" s="26">
        <f>IF($G1922="","",ROUND($P1922+$U1922,0))</f>
        <v/>
      </c>
      <c r="W1922" s="26">
        <f>IF($G1922="","",IF(N($K1922)=0,0,ROUND($V1922/$K1922,2)))</f>
        <v/>
      </c>
      <c r="X1922" s="17" t="n"/>
      <c r="Y1922" s="17" t="n"/>
      <c r="Z1922" s="17" t="n"/>
      <c r="AA1922" s="17" t="n"/>
      <c r="AB1922" s="17" t="n"/>
      <c r="AC1922" s="24">
        <f>IF($G1922="","",IF($H1922="※编码不在物料档案里","※物料编码不在档案里",IF(N($K1922)&lt;=0,"※入库数量要大于 0",IF(AND($C1922&lt;&gt;"",$C1922&lt;=结账锁),"※日期早于已结账截止日，不能再录",IF(AND($L1922=0,$X1922="正常"),"※没填单价，价格状态请选「待补价」",IF(AND($S1922&gt;0,$R1922&gt;0),"△本批有 "&amp;$S1922&amp;" 行没单价，整批运费先挂账没摊",IF(AND($B1922&lt;&gt;"",COUNTIF($B$4:$B$2503,$B1922)&gt;1),"※入库单号重复","")))))))</f>
        <v/>
      </c>
    </row>
    <row r="1923">
      <c r="A1923" s="24">
        <f>IF($G1923="","",COUNTA($G$4:$G1923))</f>
        <v/>
      </c>
      <c r="B1923" s="17" t="n"/>
      <c r="C1923" s="30" t="n"/>
      <c r="D1923" s="17" t="n"/>
      <c r="E1923" s="17" t="n"/>
      <c r="F1923" s="17" t="n"/>
      <c r="G1923" s="17" t="n"/>
      <c r="H1923" s="24">
        <f>IF($G1923="","",IFERROR(VLOOKUP($G1923,物料档案!$A$4:$P$1203,3,0),"※编码不在物料档案里"))</f>
        <v/>
      </c>
      <c r="I1923" s="24">
        <f>IF($G1923="","",IFERROR(VLOOKUP($G1923,物料档案!$A$4:$P$1203,4,0),"※编码不在物料档案里"))</f>
        <v/>
      </c>
      <c r="J1923" s="24">
        <f>IF($G1923="","",IFERROR(VLOOKUP($G1923,物料档案!$A$4:$P$1203,5,0),"※编码不在物料档案里"))</f>
        <v/>
      </c>
      <c r="K1923" s="23" t="n"/>
      <c r="L1923" s="31" t="n"/>
      <c r="M1923" s="24">
        <f>IF($G1923="","",IF($D1923="A国内","CNY","TZS"))</f>
        <v/>
      </c>
      <c r="N1923" s="28">
        <f>IF($G1923="","",IF($D1923="A国内",汇率,1))</f>
        <v/>
      </c>
      <c r="O1923" s="25">
        <f>IF($G1923="","",ROUND(N($K1923)*N($L1923),2))</f>
        <v/>
      </c>
      <c r="P1923" s="26">
        <f>IF($G1923="","",ROUND($O1923*$N1923,0))</f>
        <v/>
      </c>
      <c r="Q1923" s="26">
        <f>IF($G1923="","",SUMIFS($P$4:$P$2503,$E$4:$E$2503,$E1923,$Z$4:$Z$2503,"正常"))</f>
        <v/>
      </c>
      <c r="R1923" s="26">
        <f>IF($G1923="","",SUMIFS(费用台账!$I$4:$I$503,费用台账!$C$4:$C$503,$E1923,费用台账!$J$4:$J$503,"是",费用台账!$K$4:$K$503,"正常"))</f>
        <v/>
      </c>
      <c r="S1923" s="28">
        <f>IF($G1923="","",COUNTIFS($E$4:$E$2503,$E1923,$Z$4:$Z$2503,"正常",$Y$4:$Y$2503,"待补价"))</f>
        <v/>
      </c>
      <c r="T1923" s="26">
        <f>IF($G1923="","",SUMIFS($P$4:$P$2503,$E$4:$E$2503,$E1923,$Z$4:$Z$2503,"正常",$A$4:$A$2503,"&lt;="&amp;$A1923))</f>
        <v/>
      </c>
      <c r="U1923" s="26">
        <f>IF($G1923="","",IF(OR($S1923&gt;0,$Q1923=0,$R1923=0,$Z1923&lt;&gt;"正常"),0,ROUND($T1923/$Q1923*$R1923,0)-ROUND(($T1923-$P1923)/$Q1923*$R1923,0)))</f>
        <v/>
      </c>
      <c r="V1923" s="26">
        <f>IF($G1923="","",ROUND($P1923+$U1923,0))</f>
        <v/>
      </c>
      <c r="W1923" s="26">
        <f>IF($G1923="","",IF(N($K1923)=0,0,ROUND($V1923/$K1923,2)))</f>
        <v/>
      </c>
      <c r="X1923" s="17" t="n"/>
      <c r="Y1923" s="17" t="n"/>
      <c r="Z1923" s="17" t="n"/>
      <c r="AA1923" s="17" t="n"/>
      <c r="AB1923" s="17" t="n"/>
      <c r="AC1923" s="24">
        <f>IF($G1923="","",IF($H1923="※编码不在物料档案里","※物料编码不在档案里",IF(N($K1923)&lt;=0,"※入库数量要大于 0",IF(AND($C1923&lt;&gt;"",$C1923&lt;=结账锁),"※日期早于已结账截止日，不能再录",IF(AND($L1923=0,$X1923="正常"),"※没填单价，价格状态请选「待补价」",IF(AND($S1923&gt;0,$R1923&gt;0),"△本批有 "&amp;$S1923&amp;" 行没单价，整批运费先挂账没摊",IF(AND($B1923&lt;&gt;"",COUNTIF($B$4:$B$2503,$B1923)&gt;1),"※入库单号重复","")))))))</f>
        <v/>
      </c>
    </row>
    <row r="1924">
      <c r="A1924" s="24">
        <f>IF($G1924="","",COUNTA($G$4:$G1924))</f>
        <v/>
      </c>
      <c r="B1924" s="17" t="n"/>
      <c r="C1924" s="30" t="n"/>
      <c r="D1924" s="17" t="n"/>
      <c r="E1924" s="17" t="n"/>
      <c r="F1924" s="17" t="n"/>
      <c r="G1924" s="17" t="n"/>
      <c r="H1924" s="24">
        <f>IF($G1924="","",IFERROR(VLOOKUP($G1924,物料档案!$A$4:$P$1203,3,0),"※编码不在物料档案里"))</f>
        <v/>
      </c>
      <c r="I1924" s="24">
        <f>IF($G1924="","",IFERROR(VLOOKUP($G1924,物料档案!$A$4:$P$1203,4,0),"※编码不在物料档案里"))</f>
        <v/>
      </c>
      <c r="J1924" s="24">
        <f>IF($G1924="","",IFERROR(VLOOKUP($G1924,物料档案!$A$4:$P$1203,5,0),"※编码不在物料档案里"))</f>
        <v/>
      </c>
      <c r="K1924" s="23" t="n"/>
      <c r="L1924" s="31" t="n"/>
      <c r="M1924" s="24">
        <f>IF($G1924="","",IF($D1924="A国内","CNY","TZS"))</f>
        <v/>
      </c>
      <c r="N1924" s="28">
        <f>IF($G1924="","",IF($D1924="A国内",汇率,1))</f>
        <v/>
      </c>
      <c r="O1924" s="25">
        <f>IF($G1924="","",ROUND(N($K1924)*N($L1924),2))</f>
        <v/>
      </c>
      <c r="P1924" s="26">
        <f>IF($G1924="","",ROUND($O1924*$N1924,0))</f>
        <v/>
      </c>
      <c r="Q1924" s="26">
        <f>IF($G1924="","",SUMIFS($P$4:$P$2503,$E$4:$E$2503,$E1924,$Z$4:$Z$2503,"正常"))</f>
        <v/>
      </c>
      <c r="R1924" s="26">
        <f>IF($G1924="","",SUMIFS(费用台账!$I$4:$I$503,费用台账!$C$4:$C$503,$E1924,费用台账!$J$4:$J$503,"是",费用台账!$K$4:$K$503,"正常"))</f>
        <v/>
      </c>
      <c r="S1924" s="28">
        <f>IF($G1924="","",COUNTIFS($E$4:$E$2503,$E1924,$Z$4:$Z$2503,"正常",$Y$4:$Y$2503,"待补价"))</f>
        <v/>
      </c>
      <c r="T1924" s="26">
        <f>IF($G1924="","",SUMIFS($P$4:$P$2503,$E$4:$E$2503,$E1924,$Z$4:$Z$2503,"正常",$A$4:$A$2503,"&lt;="&amp;$A1924))</f>
        <v/>
      </c>
      <c r="U1924" s="26">
        <f>IF($G1924="","",IF(OR($S1924&gt;0,$Q1924=0,$R1924=0,$Z1924&lt;&gt;"正常"),0,ROUND($T1924/$Q1924*$R1924,0)-ROUND(($T1924-$P1924)/$Q1924*$R1924,0)))</f>
        <v/>
      </c>
      <c r="V1924" s="26">
        <f>IF($G1924="","",ROUND($P1924+$U1924,0))</f>
        <v/>
      </c>
      <c r="W1924" s="26">
        <f>IF($G1924="","",IF(N($K1924)=0,0,ROUND($V1924/$K1924,2)))</f>
        <v/>
      </c>
      <c r="X1924" s="17" t="n"/>
      <c r="Y1924" s="17" t="n"/>
      <c r="Z1924" s="17" t="n"/>
      <c r="AA1924" s="17" t="n"/>
      <c r="AB1924" s="17" t="n"/>
      <c r="AC1924" s="24">
        <f>IF($G1924="","",IF($H1924="※编码不在物料档案里","※物料编码不在档案里",IF(N($K1924)&lt;=0,"※入库数量要大于 0",IF(AND($C1924&lt;&gt;"",$C1924&lt;=结账锁),"※日期早于已结账截止日，不能再录",IF(AND($L1924=0,$X1924="正常"),"※没填单价，价格状态请选「待补价」",IF(AND($S1924&gt;0,$R1924&gt;0),"△本批有 "&amp;$S1924&amp;" 行没单价，整批运费先挂账没摊",IF(AND($B1924&lt;&gt;"",COUNTIF($B$4:$B$2503,$B1924)&gt;1),"※入库单号重复","")))))))</f>
        <v/>
      </c>
    </row>
    <row r="1925">
      <c r="A1925" s="24">
        <f>IF($G1925="","",COUNTA($G$4:$G1925))</f>
        <v/>
      </c>
      <c r="B1925" s="17" t="n"/>
      <c r="C1925" s="30" t="n"/>
      <c r="D1925" s="17" t="n"/>
      <c r="E1925" s="17" t="n"/>
      <c r="F1925" s="17" t="n"/>
      <c r="G1925" s="17" t="n"/>
      <c r="H1925" s="24">
        <f>IF($G1925="","",IFERROR(VLOOKUP($G1925,物料档案!$A$4:$P$1203,3,0),"※编码不在物料档案里"))</f>
        <v/>
      </c>
      <c r="I1925" s="24">
        <f>IF($G1925="","",IFERROR(VLOOKUP($G1925,物料档案!$A$4:$P$1203,4,0),"※编码不在物料档案里"))</f>
        <v/>
      </c>
      <c r="J1925" s="24">
        <f>IF($G1925="","",IFERROR(VLOOKUP($G1925,物料档案!$A$4:$P$1203,5,0),"※编码不在物料档案里"))</f>
        <v/>
      </c>
      <c r="K1925" s="23" t="n"/>
      <c r="L1925" s="31" t="n"/>
      <c r="M1925" s="24">
        <f>IF($G1925="","",IF($D1925="A国内","CNY","TZS"))</f>
        <v/>
      </c>
      <c r="N1925" s="28">
        <f>IF($G1925="","",IF($D1925="A国内",汇率,1))</f>
        <v/>
      </c>
      <c r="O1925" s="25">
        <f>IF($G1925="","",ROUND(N($K1925)*N($L1925),2))</f>
        <v/>
      </c>
      <c r="P1925" s="26">
        <f>IF($G1925="","",ROUND($O1925*$N1925,0))</f>
        <v/>
      </c>
      <c r="Q1925" s="26">
        <f>IF($G1925="","",SUMIFS($P$4:$P$2503,$E$4:$E$2503,$E1925,$Z$4:$Z$2503,"正常"))</f>
        <v/>
      </c>
      <c r="R1925" s="26">
        <f>IF($G1925="","",SUMIFS(费用台账!$I$4:$I$503,费用台账!$C$4:$C$503,$E1925,费用台账!$J$4:$J$503,"是",费用台账!$K$4:$K$503,"正常"))</f>
        <v/>
      </c>
      <c r="S1925" s="28">
        <f>IF($G1925="","",COUNTIFS($E$4:$E$2503,$E1925,$Z$4:$Z$2503,"正常",$Y$4:$Y$2503,"待补价"))</f>
        <v/>
      </c>
      <c r="T1925" s="26">
        <f>IF($G1925="","",SUMIFS($P$4:$P$2503,$E$4:$E$2503,$E1925,$Z$4:$Z$2503,"正常",$A$4:$A$2503,"&lt;="&amp;$A1925))</f>
        <v/>
      </c>
      <c r="U1925" s="26">
        <f>IF($G1925="","",IF(OR($S1925&gt;0,$Q1925=0,$R1925=0,$Z1925&lt;&gt;"正常"),0,ROUND($T1925/$Q1925*$R1925,0)-ROUND(($T1925-$P1925)/$Q1925*$R1925,0)))</f>
        <v/>
      </c>
      <c r="V1925" s="26">
        <f>IF($G1925="","",ROUND($P1925+$U1925,0))</f>
        <v/>
      </c>
      <c r="W1925" s="26">
        <f>IF($G1925="","",IF(N($K1925)=0,0,ROUND($V1925/$K1925,2)))</f>
        <v/>
      </c>
      <c r="X1925" s="17" t="n"/>
      <c r="Y1925" s="17" t="n"/>
      <c r="Z1925" s="17" t="n"/>
      <c r="AA1925" s="17" t="n"/>
      <c r="AB1925" s="17" t="n"/>
      <c r="AC1925" s="24">
        <f>IF($G1925="","",IF($H1925="※编码不在物料档案里","※物料编码不在档案里",IF(N($K1925)&lt;=0,"※入库数量要大于 0",IF(AND($C1925&lt;&gt;"",$C1925&lt;=结账锁),"※日期早于已结账截止日，不能再录",IF(AND($L1925=0,$X1925="正常"),"※没填单价，价格状态请选「待补价」",IF(AND($S1925&gt;0,$R1925&gt;0),"△本批有 "&amp;$S1925&amp;" 行没单价，整批运费先挂账没摊",IF(AND($B1925&lt;&gt;"",COUNTIF($B$4:$B$2503,$B1925)&gt;1),"※入库单号重复","")))))))</f>
        <v/>
      </c>
    </row>
    <row r="1926">
      <c r="A1926" s="24">
        <f>IF($G1926="","",COUNTA($G$4:$G1926))</f>
        <v/>
      </c>
      <c r="B1926" s="17" t="n"/>
      <c r="C1926" s="30" t="n"/>
      <c r="D1926" s="17" t="n"/>
      <c r="E1926" s="17" t="n"/>
      <c r="F1926" s="17" t="n"/>
      <c r="G1926" s="17" t="n"/>
      <c r="H1926" s="24">
        <f>IF($G1926="","",IFERROR(VLOOKUP($G1926,物料档案!$A$4:$P$1203,3,0),"※编码不在物料档案里"))</f>
        <v/>
      </c>
      <c r="I1926" s="24">
        <f>IF($G1926="","",IFERROR(VLOOKUP($G1926,物料档案!$A$4:$P$1203,4,0),"※编码不在物料档案里"))</f>
        <v/>
      </c>
      <c r="J1926" s="24">
        <f>IF($G1926="","",IFERROR(VLOOKUP($G1926,物料档案!$A$4:$P$1203,5,0),"※编码不在物料档案里"))</f>
        <v/>
      </c>
      <c r="K1926" s="23" t="n"/>
      <c r="L1926" s="31" t="n"/>
      <c r="M1926" s="24">
        <f>IF($G1926="","",IF($D1926="A国内","CNY","TZS"))</f>
        <v/>
      </c>
      <c r="N1926" s="28">
        <f>IF($G1926="","",IF($D1926="A国内",汇率,1))</f>
        <v/>
      </c>
      <c r="O1926" s="25">
        <f>IF($G1926="","",ROUND(N($K1926)*N($L1926),2))</f>
        <v/>
      </c>
      <c r="P1926" s="26">
        <f>IF($G1926="","",ROUND($O1926*$N1926,0))</f>
        <v/>
      </c>
      <c r="Q1926" s="26">
        <f>IF($G1926="","",SUMIFS($P$4:$P$2503,$E$4:$E$2503,$E1926,$Z$4:$Z$2503,"正常"))</f>
        <v/>
      </c>
      <c r="R1926" s="26">
        <f>IF($G1926="","",SUMIFS(费用台账!$I$4:$I$503,费用台账!$C$4:$C$503,$E1926,费用台账!$J$4:$J$503,"是",费用台账!$K$4:$K$503,"正常"))</f>
        <v/>
      </c>
      <c r="S1926" s="28">
        <f>IF($G1926="","",COUNTIFS($E$4:$E$2503,$E1926,$Z$4:$Z$2503,"正常",$Y$4:$Y$2503,"待补价"))</f>
        <v/>
      </c>
      <c r="T1926" s="26">
        <f>IF($G1926="","",SUMIFS($P$4:$P$2503,$E$4:$E$2503,$E1926,$Z$4:$Z$2503,"正常",$A$4:$A$2503,"&lt;="&amp;$A1926))</f>
        <v/>
      </c>
      <c r="U1926" s="26">
        <f>IF($G1926="","",IF(OR($S1926&gt;0,$Q1926=0,$R1926=0,$Z1926&lt;&gt;"正常"),0,ROUND($T1926/$Q1926*$R1926,0)-ROUND(($T1926-$P1926)/$Q1926*$R1926,0)))</f>
        <v/>
      </c>
      <c r="V1926" s="26">
        <f>IF($G1926="","",ROUND($P1926+$U1926,0))</f>
        <v/>
      </c>
      <c r="W1926" s="26">
        <f>IF($G1926="","",IF(N($K1926)=0,0,ROUND($V1926/$K1926,2)))</f>
        <v/>
      </c>
      <c r="X1926" s="17" t="n"/>
      <c r="Y1926" s="17" t="n"/>
      <c r="Z1926" s="17" t="n"/>
      <c r="AA1926" s="17" t="n"/>
      <c r="AB1926" s="17" t="n"/>
      <c r="AC1926" s="24">
        <f>IF($G1926="","",IF($H1926="※编码不在物料档案里","※物料编码不在档案里",IF(N($K1926)&lt;=0,"※入库数量要大于 0",IF(AND($C1926&lt;&gt;"",$C1926&lt;=结账锁),"※日期早于已结账截止日，不能再录",IF(AND($L1926=0,$X1926="正常"),"※没填单价，价格状态请选「待补价」",IF(AND($S1926&gt;0,$R1926&gt;0),"△本批有 "&amp;$S1926&amp;" 行没单价，整批运费先挂账没摊",IF(AND($B1926&lt;&gt;"",COUNTIF($B$4:$B$2503,$B1926)&gt;1),"※入库单号重复","")))))))</f>
        <v/>
      </c>
    </row>
    <row r="1927">
      <c r="A1927" s="24">
        <f>IF($G1927="","",COUNTA($G$4:$G1927))</f>
        <v/>
      </c>
      <c r="B1927" s="17" t="n"/>
      <c r="C1927" s="30" t="n"/>
      <c r="D1927" s="17" t="n"/>
      <c r="E1927" s="17" t="n"/>
      <c r="F1927" s="17" t="n"/>
      <c r="G1927" s="17" t="n"/>
      <c r="H1927" s="24">
        <f>IF($G1927="","",IFERROR(VLOOKUP($G1927,物料档案!$A$4:$P$1203,3,0),"※编码不在物料档案里"))</f>
        <v/>
      </c>
      <c r="I1927" s="24">
        <f>IF($G1927="","",IFERROR(VLOOKUP($G1927,物料档案!$A$4:$P$1203,4,0),"※编码不在物料档案里"))</f>
        <v/>
      </c>
      <c r="J1927" s="24">
        <f>IF($G1927="","",IFERROR(VLOOKUP($G1927,物料档案!$A$4:$P$1203,5,0),"※编码不在物料档案里"))</f>
        <v/>
      </c>
      <c r="K1927" s="23" t="n"/>
      <c r="L1927" s="31" t="n"/>
      <c r="M1927" s="24">
        <f>IF($G1927="","",IF($D1927="A国内","CNY","TZS"))</f>
        <v/>
      </c>
      <c r="N1927" s="28">
        <f>IF($G1927="","",IF($D1927="A国内",汇率,1))</f>
        <v/>
      </c>
      <c r="O1927" s="25">
        <f>IF($G1927="","",ROUND(N($K1927)*N($L1927),2))</f>
        <v/>
      </c>
      <c r="P1927" s="26">
        <f>IF($G1927="","",ROUND($O1927*$N1927,0))</f>
        <v/>
      </c>
      <c r="Q1927" s="26">
        <f>IF($G1927="","",SUMIFS($P$4:$P$2503,$E$4:$E$2503,$E1927,$Z$4:$Z$2503,"正常"))</f>
        <v/>
      </c>
      <c r="R1927" s="26">
        <f>IF($G1927="","",SUMIFS(费用台账!$I$4:$I$503,费用台账!$C$4:$C$503,$E1927,费用台账!$J$4:$J$503,"是",费用台账!$K$4:$K$503,"正常"))</f>
        <v/>
      </c>
      <c r="S1927" s="28">
        <f>IF($G1927="","",COUNTIFS($E$4:$E$2503,$E1927,$Z$4:$Z$2503,"正常",$Y$4:$Y$2503,"待补价"))</f>
        <v/>
      </c>
      <c r="T1927" s="26">
        <f>IF($G1927="","",SUMIFS($P$4:$P$2503,$E$4:$E$2503,$E1927,$Z$4:$Z$2503,"正常",$A$4:$A$2503,"&lt;="&amp;$A1927))</f>
        <v/>
      </c>
      <c r="U1927" s="26">
        <f>IF($G1927="","",IF(OR($S1927&gt;0,$Q1927=0,$R1927=0,$Z1927&lt;&gt;"正常"),0,ROUND($T1927/$Q1927*$R1927,0)-ROUND(($T1927-$P1927)/$Q1927*$R1927,0)))</f>
        <v/>
      </c>
      <c r="V1927" s="26">
        <f>IF($G1927="","",ROUND($P1927+$U1927,0))</f>
        <v/>
      </c>
      <c r="W1927" s="26">
        <f>IF($G1927="","",IF(N($K1927)=0,0,ROUND($V1927/$K1927,2)))</f>
        <v/>
      </c>
      <c r="X1927" s="17" t="n"/>
      <c r="Y1927" s="17" t="n"/>
      <c r="Z1927" s="17" t="n"/>
      <c r="AA1927" s="17" t="n"/>
      <c r="AB1927" s="17" t="n"/>
      <c r="AC1927" s="24">
        <f>IF($G1927="","",IF($H1927="※编码不在物料档案里","※物料编码不在档案里",IF(N($K1927)&lt;=0,"※入库数量要大于 0",IF(AND($C1927&lt;&gt;"",$C1927&lt;=结账锁),"※日期早于已结账截止日，不能再录",IF(AND($L1927=0,$X1927="正常"),"※没填单价，价格状态请选「待补价」",IF(AND($S1927&gt;0,$R1927&gt;0),"△本批有 "&amp;$S1927&amp;" 行没单价，整批运费先挂账没摊",IF(AND($B1927&lt;&gt;"",COUNTIF($B$4:$B$2503,$B1927)&gt;1),"※入库单号重复","")))))))</f>
        <v/>
      </c>
    </row>
    <row r="1928">
      <c r="A1928" s="24">
        <f>IF($G1928="","",COUNTA($G$4:$G1928))</f>
        <v/>
      </c>
      <c r="B1928" s="17" t="n"/>
      <c r="C1928" s="30" t="n"/>
      <c r="D1928" s="17" t="n"/>
      <c r="E1928" s="17" t="n"/>
      <c r="F1928" s="17" t="n"/>
      <c r="G1928" s="17" t="n"/>
      <c r="H1928" s="24">
        <f>IF($G1928="","",IFERROR(VLOOKUP($G1928,物料档案!$A$4:$P$1203,3,0),"※编码不在物料档案里"))</f>
        <v/>
      </c>
      <c r="I1928" s="24">
        <f>IF($G1928="","",IFERROR(VLOOKUP($G1928,物料档案!$A$4:$P$1203,4,0),"※编码不在物料档案里"))</f>
        <v/>
      </c>
      <c r="J1928" s="24">
        <f>IF($G1928="","",IFERROR(VLOOKUP($G1928,物料档案!$A$4:$P$1203,5,0),"※编码不在物料档案里"))</f>
        <v/>
      </c>
      <c r="K1928" s="23" t="n"/>
      <c r="L1928" s="31" t="n"/>
      <c r="M1928" s="24">
        <f>IF($G1928="","",IF($D1928="A国内","CNY","TZS"))</f>
        <v/>
      </c>
      <c r="N1928" s="28">
        <f>IF($G1928="","",IF($D1928="A国内",汇率,1))</f>
        <v/>
      </c>
      <c r="O1928" s="25">
        <f>IF($G1928="","",ROUND(N($K1928)*N($L1928),2))</f>
        <v/>
      </c>
      <c r="P1928" s="26">
        <f>IF($G1928="","",ROUND($O1928*$N1928,0))</f>
        <v/>
      </c>
      <c r="Q1928" s="26">
        <f>IF($G1928="","",SUMIFS($P$4:$P$2503,$E$4:$E$2503,$E1928,$Z$4:$Z$2503,"正常"))</f>
        <v/>
      </c>
      <c r="R1928" s="26">
        <f>IF($G1928="","",SUMIFS(费用台账!$I$4:$I$503,费用台账!$C$4:$C$503,$E1928,费用台账!$J$4:$J$503,"是",费用台账!$K$4:$K$503,"正常"))</f>
        <v/>
      </c>
      <c r="S1928" s="28">
        <f>IF($G1928="","",COUNTIFS($E$4:$E$2503,$E1928,$Z$4:$Z$2503,"正常",$Y$4:$Y$2503,"待补价"))</f>
        <v/>
      </c>
      <c r="T1928" s="26">
        <f>IF($G1928="","",SUMIFS($P$4:$P$2503,$E$4:$E$2503,$E1928,$Z$4:$Z$2503,"正常",$A$4:$A$2503,"&lt;="&amp;$A1928))</f>
        <v/>
      </c>
      <c r="U1928" s="26">
        <f>IF($G1928="","",IF(OR($S1928&gt;0,$Q1928=0,$R1928=0,$Z1928&lt;&gt;"正常"),0,ROUND($T1928/$Q1928*$R1928,0)-ROUND(($T1928-$P1928)/$Q1928*$R1928,0)))</f>
        <v/>
      </c>
      <c r="V1928" s="26">
        <f>IF($G1928="","",ROUND($P1928+$U1928,0))</f>
        <v/>
      </c>
      <c r="W1928" s="26">
        <f>IF($G1928="","",IF(N($K1928)=0,0,ROUND($V1928/$K1928,2)))</f>
        <v/>
      </c>
      <c r="X1928" s="17" t="n"/>
      <c r="Y1928" s="17" t="n"/>
      <c r="Z1928" s="17" t="n"/>
      <c r="AA1928" s="17" t="n"/>
      <c r="AB1928" s="17" t="n"/>
      <c r="AC1928" s="24">
        <f>IF($G1928="","",IF($H1928="※编码不在物料档案里","※物料编码不在档案里",IF(N($K1928)&lt;=0,"※入库数量要大于 0",IF(AND($C1928&lt;&gt;"",$C1928&lt;=结账锁),"※日期早于已结账截止日，不能再录",IF(AND($L1928=0,$X1928="正常"),"※没填单价，价格状态请选「待补价」",IF(AND($S1928&gt;0,$R1928&gt;0),"△本批有 "&amp;$S1928&amp;" 行没单价，整批运费先挂账没摊",IF(AND($B1928&lt;&gt;"",COUNTIF($B$4:$B$2503,$B1928)&gt;1),"※入库单号重复","")))))))</f>
        <v/>
      </c>
    </row>
    <row r="1929">
      <c r="A1929" s="24">
        <f>IF($G1929="","",COUNTA($G$4:$G1929))</f>
        <v/>
      </c>
      <c r="B1929" s="17" t="n"/>
      <c r="C1929" s="30" t="n"/>
      <c r="D1929" s="17" t="n"/>
      <c r="E1929" s="17" t="n"/>
      <c r="F1929" s="17" t="n"/>
      <c r="G1929" s="17" t="n"/>
      <c r="H1929" s="24">
        <f>IF($G1929="","",IFERROR(VLOOKUP($G1929,物料档案!$A$4:$P$1203,3,0),"※编码不在物料档案里"))</f>
        <v/>
      </c>
      <c r="I1929" s="24">
        <f>IF($G1929="","",IFERROR(VLOOKUP($G1929,物料档案!$A$4:$P$1203,4,0),"※编码不在物料档案里"))</f>
        <v/>
      </c>
      <c r="J1929" s="24">
        <f>IF($G1929="","",IFERROR(VLOOKUP($G1929,物料档案!$A$4:$P$1203,5,0),"※编码不在物料档案里"))</f>
        <v/>
      </c>
      <c r="K1929" s="23" t="n"/>
      <c r="L1929" s="31" t="n"/>
      <c r="M1929" s="24">
        <f>IF($G1929="","",IF($D1929="A国内","CNY","TZS"))</f>
        <v/>
      </c>
      <c r="N1929" s="28">
        <f>IF($G1929="","",IF($D1929="A国内",汇率,1))</f>
        <v/>
      </c>
      <c r="O1929" s="25">
        <f>IF($G1929="","",ROUND(N($K1929)*N($L1929),2))</f>
        <v/>
      </c>
      <c r="P1929" s="26">
        <f>IF($G1929="","",ROUND($O1929*$N1929,0))</f>
        <v/>
      </c>
      <c r="Q1929" s="26">
        <f>IF($G1929="","",SUMIFS($P$4:$P$2503,$E$4:$E$2503,$E1929,$Z$4:$Z$2503,"正常"))</f>
        <v/>
      </c>
      <c r="R1929" s="26">
        <f>IF($G1929="","",SUMIFS(费用台账!$I$4:$I$503,费用台账!$C$4:$C$503,$E1929,费用台账!$J$4:$J$503,"是",费用台账!$K$4:$K$503,"正常"))</f>
        <v/>
      </c>
      <c r="S1929" s="28">
        <f>IF($G1929="","",COUNTIFS($E$4:$E$2503,$E1929,$Z$4:$Z$2503,"正常",$Y$4:$Y$2503,"待补价"))</f>
        <v/>
      </c>
      <c r="T1929" s="26">
        <f>IF($G1929="","",SUMIFS($P$4:$P$2503,$E$4:$E$2503,$E1929,$Z$4:$Z$2503,"正常",$A$4:$A$2503,"&lt;="&amp;$A1929))</f>
        <v/>
      </c>
      <c r="U1929" s="26">
        <f>IF($G1929="","",IF(OR($S1929&gt;0,$Q1929=0,$R1929=0,$Z1929&lt;&gt;"正常"),0,ROUND($T1929/$Q1929*$R1929,0)-ROUND(($T1929-$P1929)/$Q1929*$R1929,0)))</f>
        <v/>
      </c>
      <c r="V1929" s="26">
        <f>IF($G1929="","",ROUND($P1929+$U1929,0))</f>
        <v/>
      </c>
      <c r="W1929" s="26">
        <f>IF($G1929="","",IF(N($K1929)=0,0,ROUND($V1929/$K1929,2)))</f>
        <v/>
      </c>
      <c r="X1929" s="17" t="n"/>
      <c r="Y1929" s="17" t="n"/>
      <c r="Z1929" s="17" t="n"/>
      <c r="AA1929" s="17" t="n"/>
      <c r="AB1929" s="17" t="n"/>
      <c r="AC1929" s="24">
        <f>IF($G1929="","",IF($H1929="※编码不在物料档案里","※物料编码不在档案里",IF(N($K1929)&lt;=0,"※入库数量要大于 0",IF(AND($C1929&lt;&gt;"",$C1929&lt;=结账锁),"※日期早于已结账截止日，不能再录",IF(AND($L1929=0,$X1929="正常"),"※没填单价，价格状态请选「待补价」",IF(AND($S1929&gt;0,$R1929&gt;0),"△本批有 "&amp;$S1929&amp;" 行没单价，整批运费先挂账没摊",IF(AND($B1929&lt;&gt;"",COUNTIF($B$4:$B$2503,$B1929)&gt;1),"※入库单号重复","")))))))</f>
        <v/>
      </c>
    </row>
    <row r="1930">
      <c r="A1930" s="24">
        <f>IF($G1930="","",COUNTA($G$4:$G1930))</f>
        <v/>
      </c>
      <c r="B1930" s="17" t="n"/>
      <c r="C1930" s="30" t="n"/>
      <c r="D1930" s="17" t="n"/>
      <c r="E1930" s="17" t="n"/>
      <c r="F1930" s="17" t="n"/>
      <c r="G1930" s="17" t="n"/>
      <c r="H1930" s="24">
        <f>IF($G1930="","",IFERROR(VLOOKUP($G1930,物料档案!$A$4:$P$1203,3,0),"※编码不在物料档案里"))</f>
        <v/>
      </c>
      <c r="I1930" s="24">
        <f>IF($G1930="","",IFERROR(VLOOKUP($G1930,物料档案!$A$4:$P$1203,4,0),"※编码不在物料档案里"))</f>
        <v/>
      </c>
      <c r="J1930" s="24">
        <f>IF($G1930="","",IFERROR(VLOOKUP($G1930,物料档案!$A$4:$P$1203,5,0),"※编码不在物料档案里"))</f>
        <v/>
      </c>
      <c r="K1930" s="23" t="n"/>
      <c r="L1930" s="31" t="n"/>
      <c r="M1930" s="24">
        <f>IF($G1930="","",IF($D1930="A国内","CNY","TZS"))</f>
        <v/>
      </c>
      <c r="N1930" s="28">
        <f>IF($G1930="","",IF($D1930="A国内",汇率,1))</f>
        <v/>
      </c>
      <c r="O1930" s="25">
        <f>IF($G1930="","",ROUND(N($K1930)*N($L1930),2))</f>
        <v/>
      </c>
      <c r="P1930" s="26">
        <f>IF($G1930="","",ROUND($O1930*$N1930,0))</f>
        <v/>
      </c>
      <c r="Q1930" s="26">
        <f>IF($G1930="","",SUMIFS($P$4:$P$2503,$E$4:$E$2503,$E1930,$Z$4:$Z$2503,"正常"))</f>
        <v/>
      </c>
      <c r="R1930" s="26">
        <f>IF($G1930="","",SUMIFS(费用台账!$I$4:$I$503,费用台账!$C$4:$C$503,$E1930,费用台账!$J$4:$J$503,"是",费用台账!$K$4:$K$503,"正常"))</f>
        <v/>
      </c>
      <c r="S1930" s="28">
        <f>IF($G1930="","",COUNTIFS($E$4:$E$2503,$E1930,$Z$4:$Z$2503,"正常",$Y$4:$Y$2503,"待补价"))</f>
        <v/>
      </c>
      <c r="T1930" s="26">
        <f>IF($G1930="","",SUMIFS($P$4:$P$2503,$E$4:$E$2503,$E1930,$Z$4:$Z$2503,"正常",$A$4:$A$2503,"&lt;="&amp;$A1930))</f>
        <v/>
      </c>
      <c r="U1930" s="26">
        <f>IF($G1930="","",IF(OR($S1930&gt;0,$Q1930=0,$R1930=0,$Z1930&lt;&gt;"正常"),0,ROUND($T1930/$Q1930*$R1930,0)-ROUND(($T1930-$P1930)/$Q1930*$R1930,0)))</f>
        <v/>
      </c>
      <c r="V1930" s="26">
        <f>IF($G1930="","",ROUND($P1930+$U1930,0))</f>
        <v/>
      </c>
      <c r="W1930" s="26">
        <f>IF($G1930="","",IF(N($K1930)=0,0,ROUND($V1930/$K1930,2)))</f>
        <v/>
      </c>
      <c r="X1930" s="17" t="n"/>
      <c r="Y1930" s="17" t="n"/>
      <c r="Z1930" s="17" t="n"/>
      <c r="AA1930" s="17" t="n"/>
      <c r="AB1930" s="17" t="n"/>
      <c r="AC1930" s="24">
        <f>IF($G1930="","",IF($H1930="※编码不在物料档案里","※物料编码不在档案里",IF(N($K1930)&lt;=0,"※入库数量要大于 0",IF(AND($C1930&lt;&gt;"",$C1930&lt;=结账锁),"※日期早于已结账截止日，不能再录",IF(AND($L1930=0,$X1930="正常"),"※没填单价，价格状态请选「待补价」",IF(AND($S1930&gt;0,$R1930&gt;0),"△本批有 "&amp;$S1930&amp;" 行没单价，整批运费先挂账没摊",IF(AND($B1930&lt;&gt;"",COUNTIF($B$4:$B$2503,$B1930)&gt;1),"※入库单号重复","")))))))</f>
        <v/>
      </c>
    </row>
    <row r="1931">
      <c r="A1931" s="24">
        <f>IF($G1931="","",COUNTA($G$4:$G1931))</f>
        <v/>
      </c>
      <c r="B1931" s="17" t="n"/>
      <c r="C1931" s="30" t="n"/>
      <c r="D1931" s="17" t="n"/>
      <c r="E1931" s="17" t="n"/>
      <c r="F1931" s="17" t="n"/>
      <c r="G1931" s="17" t="n"/>
      <c r="H1931" s="24">
        <f>IF($G1931="","",IFERROR(VLOOKUP($G1931,物料档案!$A$4:$P$1203,3,0),"※编码不在物料档案里"))</f>
        <v/>
      </c>
      <c r="I1931" s="24">
        <f>IF($G1931="","",IFERROR(VLOOKUP($G1931,物料档案!$A$4:$P$1203,4,0),"※编码不在物料档案里"))</f>
        <v/>
      </c>
      <c r="J1931" s="24">
        <f>IF($G1931="","",IFERROR(VLOOKUP($G1931,物料档案!$A$4:$P$1203,5,0),"※编码不在物料档案里"))</f>
        <v/>
      </c>
      <c r="K1931" s="23" t="n"/>
      <c r="L1931" s="31" t="n"/>
      <c r="M1931" s="24">
        <f>IF($G1931="","",IF($D1931="A国内","CNY","TZS"))</f>
        <v/>
      </c>
      <c r="N1931" s="28">
        <f>IF($G1931="","",IF($D1931="A国内",汇率,1))</f>
        <v/>
      </c>
      <c r="O1931" s="25">
        <f>IF($G1931="","",ROUND(N($K1931)*N($L1931),2))</f>
        <v/>
      </c>
      <c r="P1931" s="26">
        <f>IF($G1931="","",ROUND($O1931*$N1931,0))</f>
        <v/>
      </c>
      <c r="Q1931" s="26">
        <f>IF($G1931="","",SUMIFS($P$4:$P$2503,$E$4:$E$2503,$E1931,$Z$4:$Z$2503,"正常"))</f>
        <v/>
      </c>
      <c r="R1931" s="26">
        <f>IF($G1931="","",SUMIFS(费用台账!$I$4:$I$503,费用台账!$C$4:$C$503,$E1931,费用台账!$J$4:$J$503,"是",费用台账!$K$4:$K$503,"正常"))</f>
        <v/>
      </c>
      <c r="S1931" s="28">
        <f>IF($G1931="","",COUNTIFS($E$4:$E$2503,$E1931,$Z$4:$Z$2503,"正常",$Y$4:$Y$2503,"待补价"))</f>
        <v/>
      </c>
      <c r="T1931" s="26">
        <f>IF($G1931="","",SUMIFS($P$4:$P$2503,$E$4:$E$2503,$E1931,$Z$4:$Z$2503,"正常",$A$4:$A$2503,"&lt;="&amp;$A1931))</f>
        <v/>
      </c>
      <c r="U1931" s="26">
        <f>IF($G1931="","",IF(OR($S1931&gt;0,$Q1931=0,$R1931=0,$Z1931&lt;&gt;"正常"),0,ROUND($T1931/$Q1931*$R1931,0)-ROUND(($T1931-$P1931)/$Q1931*$R1931,0)))</f>
        <v/>
      </c>
      <c r="V1931" s="26">
        <f>IF($G1931="","",ROUND($P1931+$U1931,0))</f>
        <v/>
      </c>
      <c r="W1931" s="26">
        <f>IF($G1931="","",IF(N($K1931)=0,0,ROUND($V1931/$K1931,2)))</f>
        <v/>
      </c>
      <c r="X1931" s="17" t="n"/>
      <c r="Y1931" s="17" t="n"/>
      <c r="Z1931" s="17" t="n"/>
      <c r="AA1931" s="17" t="n"/>
      <c r="AB1931" s="17" t="n"/>
      <c r="AC1931" s="24">
        <f>IF($G1931="","",IF($H1931="※编码不在物料档案里","※物料编码不在档案里",IF(N($K1931)&lt;=0,"※入库数量要大于 0",IF(AND($C1931&lt;&gt;"",$C1931&lt;=结账锁),"※日期早于已结账截止日，不能再录",IF(AND($L1931=0,$X1931="正常"),"※没填单价，价格状态请选「待补价」",IF(AND($S1931&gt;0,$R1931&gt;0),"△本批有 "&amp;$S1931&amp;" 行没单价，整批运费先挂账没摊",IF(AND($B1931&lt;&gt;"",COUNTIF($B$4:$B$2503,$B1931)&gt;1),"※入库单号重复","")))))))</f>
        <v/>
      </c>
    </row>
    <row r="1932">
      <c r="A1932" s="24">
        <f>IF($G1932="","",COUNTA($G$4:$G1932))</f>
        <v/>
      </c>
      <c r="B1932" s="17" t="n"/>
      <c r="C1932" s="30" t="n"/>
      <c r="D1932" s="17" t="n"/>
      <c r="E1932" s="17" t="n"/>
      <c r="F1932" s="17" t="n"/>
      <c r="G1932" s="17" t="n"/>
      <c r="H1932" s="24">
        <f>IF($G1932="","",IFERROR(VLOOKUP($G1932,物料档案!$A$4:$P$1203,3,0),"※编码不在物料档案里"))</f>
        <v/>
      </c>
      <c r="I1932" s="24">
        <f>IF($G1932="","",IFERROR(VLOOKUP($G1932,物料档案!$A$4:$P$1203,4,0),"※编码不在物料档案里"))</f>
        <v/>
      </c>
      <c r="J1932" s="24">
        <f>IF($G1932="","",IFERROR(VLOOKUP($G1932,物料档案!$A$4:$P$1203,5,0),"※编码不在物料档案里"))</f>
        <v/>
      </c>
      <c r="K1932" s="23" t="n"/>
      <c r="L1932" s="31" t="n"/>
      <c r="M1932" s="24">
        <f>IF($G1932="","",IF($D1932="A国内","CNY","TZS"))</f>
        <v/>
      </c>
      <c r="N1932" s="28">
        <f>IF($G1932="","",IF($D1932="A国内",汇率,1))</f>
        <v/>
      </c>
      <c r="O1932" s="25">
        <f>IF($G1932="","",ROUND(N($K1932)*N($L1932),2))</f>
        <v/>
      </c>
      <c r="P1932" s="26">
        <f>IF($G1932="","",ROUND($O1932*$N1932,0))</f>
        <v/>
      </c>
      <c r="Q1932" s="26">
        <f>IF($G1932="","",SUMIFS($P$4:$P$2503,$E$4:$E$2503,$E1932,$Z$4:$Z$2503,"正常"))</f>
        <v/>
      </c>
      <c r="R1932" s="26">
        <f>IF($G1932="","",SUMIFS(费用台账!$I$4:$I$503,费用台账!$C$4:$C$503,$E1932,费用台账!$J$4:$J$503,"是",费用台账!$K$4:$K$503,"正常"))</f>
        <v/>
      </c>
      <c r="S1932" s="28">
        <f>IF($G1932="","",COUNTIFS($E$4:$E$2503,$E1932,$Z$4:$Z$2503,"正常",$Y$4:$Y$2503,"待补价"))</f>
        <v/>
      </c>
      <c r="T1932" s="26">
        <f>IF($G1932="","",SUMIFS($P$4:$P$2503,$E$4:$E$2503,$E1932,$Z$4:$Z$2503,"正常",$A$4:$A$2503,"&lt;="&amp;$A1932))</f>
        <v/>
      </c>
      <c r="U1932" s="26">
        <f>IF($G1932="","",IF(OR($S1932&gt;0,$Q1932=0,$R1932=0,$Z1932&lt;&gt;"正常"),0,ROUND($T1932/$Q1932*$R1932,0)-ROUND(($T1932-$P1932)/$Q1932*$R1932,0)))</f>
        <v/>
      </c>
      <c r="V1932" s="26">
        <f>IF($G1932="","",ROUND($P1932+$U1932,0))</f>
        <v/>
      </c>
      <c r="W1932" s="26">
        <f>IF($G1932="","",IF(N($K1932)=0,0,ROUND($V1932/$K1932,2)))</f>
        <v/>
      </c>
      <c r="X1932" s="17" t="n"/>
      <c r="Y1932" s="17" t="n"/>
      <c r="Z1932" s="17" t="n"/>
      <c r="AA1932" s="17" t="n"/>
      <c r="AB1932" s="17" t="n"/>
      <c r="AC1932" s="24">
        <f>IF($G1932="","",IF($H1932="※编码不在物料档案里","※物料编码不在档案里",IF(N($K1932)&lt;=0,"※入库数量要大于 0",IF(AND($C1932&lt;&gt;"",$C1932&lt;=结账锁),"※日期早于已结账截止日，不能再录",IF(AND($L1932=0,$X1932="正常"),"※没填单价，价格状态请选「待补价」",IF(AND($S1932&gt;0,$R1932&gt;0),"△本批有 "&amp;$S1932&amp;" 行没单价，整批运费先挂账没摊",IF(AND($B1932&lt;&gt;"",COUNTIF($B$4:$B$2503,$B1932)&gt;1),"※入库单号重复","")))))))</f>
        <v/>
      </c>
    </row>
    <row r="1933">
      <c r="A1933" s="24">
        <f>IF($G1933="","",COUNTA($G$4:$G1933))</f>
        <v/>
      </c>
      <c r="B1933" s="17" t="n"/>
      <c r="C1933" s="30" t="n"/>
      <c r="D1933" s="17" t="n"/>
      <c r="E1933" s="17" t="n"/>
      <c r="F1933" s="17" t="n"/>
      <c r="G1933" s="17" t="n"/>
      <c r="H1933" s="24">
        <f>IF($G1933="","",IFERROR(VLOOKUP($G1933,物料档案!$A$4:$P$1203,3,0),"※编码不在物料档案里"))</f>
        <v/>
      </c>
      <c r="I1933" s="24">
        <f>IF($G1933="","",IFERROR(VLOOKUP($G1933,物料档案!$A$4:$P$1203,4,0),"※编码不在物料档案里"))</f>
        <v/>
      </c>
      <c r="J1933" s="24">
        <f>IF($G1933="","",IFERROR(VLOOKUP($G1933,物料档案!$A$4:$P$1203,5,0),"※编码不在物料档案里"))</f>
        <v/>
      </c>
      <c r="K1933" s="23" t="n"/>
      <c r="L1933" s="31" t="n"/>
      <c r="M1933" s="24">
        <f>IF($G1933="","",IF($D1933="A国内","CNY","TZS"))</f>
        <v/>
      </c>
      <c r="N1933" s="28">
        <f>IF($G1933="","",IF($D1933="A国内",汇率,1))</f>
        <v/>
      </c>
      <c r="O1933" s="25">
        <f>IF($G1933="","",ROUND(N($K1933)*N($L1933),2))</f>
        <v/>
      </c>
      <c r="P1933" s="26">
        <f>IF($G1933="","",ROUND($O1933*$N1933,0))</f>
        <v/>
      </c>
      <c r="Q1933" s="26">
        <f>IF($G1933="","",SUMIFS($P$4:$P$2503,$E$4:$E$2503,$E1933,$Z$4:$Z$2503,"正常"))</f>
        <v/>
      </c>
      <c r="R1933" s="26">
        <f>IF($G1933="","",SUMIFS(费用台账!$I$4:$I$503,费用台账!$C$4:$C$503,$E1933,费用台账!$J$4:$J$503,"是",费用台账!$K$4:$K$503,"正常"))</f>
        <v/>
      </c>
      <c r="S1933" s="28">
        <f>IF($G1933="","",COUNTIFS($E$4:$E$2503,$E1933,$Z$4:$Z$2503,"正常",$Y$4:$Y$2503,"待补价"))</f>
        <v/>
      </c>
      <c r="T1933" s="26">
        <f>IF($G1933="","",SUMIFS($P$4:$P$2503,$E$4:$E$2503,$E1933,$Z$4:$Z$2503,"正常",$A$4:$A$2503,"&lt;="&amp;$A1933))</f>
        <v/>
      </c>
      <c r="U1933" s="26">
        <f>IF($G1933="","",IF(OR($S1933&gt;0,$Q1933=0,$R1933=0,$Z1933&lt;&gt;"正常"),0,ROUND($T1933/$Q1933*$R1933,0)-ROUND(($T1933-$P1933)/$Q1933*$R1933,0)))</f>
        <v/>
      </c>
      <c r="V1933" s="26">
        <f>IF($G1933="","",ROUND($P1933+$U1933,0))</f>
        <v/>
      </c>
      <c r="W1933" s="26">
        <f>IF($G1933="","",IF(N($K1933)=0,0,ROUND($V1933/$K1933,2)))</f>
        <v/>
      </c>
      <c r="X1933" s="17" t="n"/>
      <c r="Y1933" s="17" t="n"/>
      <c r="Z1933" s="17" t="n"/>
      <c r="AA1933" s="17" t="n"/>
      <c r="AB1933" s="17" t="n"/>
      <c r="AC1933" s="24">
        <f>IF($G1933="","",IF($H1933="※编码不在物料档案里","※物料编码不在档案里",IF(N($K1933)&lt;=0,"※入库数量要大于 0",IF(AND($C1933&lt;&gt;"",$C1933&lt;=结账锁),"※日期早于已结账截止日，不能再录",IF(AND($L1933=0,$X1933="正常"),"※没填单价，价格状态请选「待补价」",IF(AND($S1933&gt;0,$R1933&gt;0),"△本批有 "&amp;$S1933&amp;" 行没单价，整批运费先挂账没摊",IF(AND($B1933&lt;&gt;"",COUNTIF($B$4:$B$2503,$B1933)&gt;1),"※入库单号重复","")))))))</f>
        <v/>
      </c>
    </row>
    <row r="1934">
      <c r="A1934" s="24">
        <f>IF($G1934="","",COUNTA($G$4:$G1934))</f>
        <v/>
      </c>
      <c r="B1934" s="17" t="n"/>
      <c r="C1934" s="30" t="n"/>
      <c r="D1934" s="17" t="n"/>
      <c r="E1934" s="17" t="n"/>
      <c r="F1934" s="17" t="n"/>
      <c r="G1934" s="17" t="n"/>
      <c r="H1934" s="24">
        <f>IF($G1934="","",IFERROR(VLOOKUP($G1934,物料档案!$A$4:$P$1203,3,0),"※编码不在物料档案里"))</f>
        <v/>
      </c>
      <c r="I1934" s="24">
        <f>IF($G1934="","",IFERROR(VLOOKUP($G1934,物料档案!$A$4:$P$1203,4,0),"※编码不在物料档案里"))</f>
        <v/>
      </c>
      <c r="J1934" s="24">
        <f>IF($G1934="","",IFERROR(VLOOKUP($G1934,物料档案!$A$4:$P$1203,5,0),"※编码不在物料档案里"))</f>
        <v/>
      </c>
      <c r="K1934" s="23" t="n"/>
      <c r="L1934" s="31" t="n"/>
      <c r="M1934" s="24">
        <f>IF($G1934="","",IF($D1934="A国内","CNY","TZS"))</f>
        <v/>
      </c>
      <c r="N1934" s="28">
        <f>IF($G1934="","",IF($D1934="A国内",汇率,1))</f>
        <v/>
      </c>
      <c r="O1934" s="25">
        <f>IF($G1934="","",ROUND(N($K1934)*N($L1934),2))</f>
        <v/>
      </c>
      <c r="P1934" s="26">
        <f>IF($G1934="","",ROUND($O1934*$N1934,0))</f>
        <v/>
      </c>
      <c r="Q1934" s="26">
        <f>IF($G1934="","",SUMIFS($P$4:$P$2503,$E$4:$E$2503,$E1934,$Z$4:$Z$2503,"正常"))</f>
        <v/>
      </c>
      <c r="R1934" s="26">
        <f>IF($G1934="","",SUMIFS(费用台账!$I$4:$I$503,费用台账!$C$4:$C$503,$E1934,费用台账!$J$4:$J$503,"是",费用台账!$K$4:$K$503,"正常"))</f>
        <v/>
      </c>
      <c r="S1934" s="28">
        <f>IF($G1934="","",COUNTIFS($E$4:$E$2503,$E1934,$Z$4:$Z$2503,"正常",$Y$4:$Y$2503,"待补价"))</f>
        <v/>
      </c>
      <c r="T1934" s="26">
        <f>IF($G1934="","",SUMIFS($P$4:$P$2503,$E$4:$E$2503,$E1934,$Z$4:$Z$2503,"正常",$A$4:$A$2503,"&lt;="&amp;$A1934))</f>
        <v/>
      </c>
      <c r="U1934" s="26">
        <f>IF($G1934="","",IF(OR($S1934&gt;0,$Q1934=0,$R1934=0,$Z1934&lt;&gt;"正常"),0,ROUND($T1934/$Q1934*$R1934,0)-ROUND(($T1934-$P1934)/$Q1934*$R1934,0)))</f>
        <v/>
      </c>
      <c r="V1934" s="26">
        <f>IF($G1934="","",ROUND($P1934+$U1934,0))</f>
        <v/>
      </c>
      <c r="W1934" s="26">
        <f>IF($G1934="","",IF(N($K1934)=0,0,ROUND($V1934/$K1934,2)))</f>
        <v/>
      </c>
      <c r="X1934" s="17" t="n"/>
      <c r="Y1934" s="17" t="n"/>
      <c r="Z1934" s="17" t="n"/>
      <c r="AA1934" s="17" t="n"/>
      <c r="AB1934" s="17" t="n"/>
      <c r="AC1934" s="24">
        <f>IF($G1934="","",IF($H1934="※编码不在物料档案里","※物料编码不在档案里",IF(N($K1934)&lt;=0,"※入库数量要大于 0",IF(AND($C1934&lt;&gt;"",$C1934&lt;=结账锁),"※日期早于已结账截止日，不能再录",IF(AND($L1934=0,$X1934="正常"),"※没填单价，价格状态请选「待补价」",IF(AND($S1934&gt;0,$R1934&gt;0),"△本批有 "&amp;$S1934&amp;" 行没单价，整批运费先挂账没摊",IF(AND($B1934&lt;&gt;"",COUNTIF($B$4:$B$2503,$B1934)&gt;1),"※入库单号重复","")))))))</f>
        <v/>
      </c>
    </row>
    <row r="1935">
      <c r="A1935" s="24">
        <f>IF($G1935="","",COUNTA($G$4:$G1935))</f>
        <v/>
      </c>
      <c r="B1935" s="17" t="n"/>
      <c r="C1935" s="30" t="n"/>
      <c r="D1935" s="17" t="n"/>
      <c r="E1935" s="17" t="n"/>
      <c r="F1935" s="17" t="n"/>
      <c r="G1935" s="17" t="n"/>
      <c r="H1935" s="24">
        <f>IF($G1935="","",IFERROR(VLOOKUP($G1935,物料档案!$A$4:$P$1203,3,0),"※编码不在物料档案里"))</f>
        <v/>
      </c>
      <c r="I1935" s="24">
        <f>IF($G1935="","",IFERROR(VLOOKUP($G1935,物料档案!$A$4:$P$1203,4,0),"※编码不在物料档案里"))</f>
        <v/>
      </c>
      <c r="J1935" s="24">
        <f>IF($G1935="","",IFERROR(VLOOKUP($G1935,物料档案!$A$4:$P$1203,5,0),"※编码不在物料档案里"))</f>
        <v/>
      </c>
      <c r="K1935" s="23" t="n"/>
      <c r="L1935" s="31" t="n"/>
      <c r="M1935" s="24">
        <f>IF($G1935="","",IF($D1935="A国内","CNY","TZS"))</f>
        <v/>
      </c>
      <c r="N1935" s="28">
        <f>IF($G1935="","",IF($D1935="A国内",汇率,1))</f>
        <v/>
      </c>
      <c r="O1935" s="25">
        <f>IF($G1935="","",ROUND(N($K1935)*N($L1935),2))</f>
        <v/>
      </c>
      <c r="P1935" s="26">
        <f>IF($G1935="","",ROUND($O1935*$N1935,0))</f>
        <v/>
      </c>
      <c r="Q1935" s="26">
        <f>IF($G1935="","",SUMIFS($P$4:$P$2503,$E$4:$E$2503,$E1935,$Z$4:$Z$2503,"正常"))</f>
        <v/>
      </c>
      <c r="R1935" s="26">
        <f>IF($G1935="","",SUMIFS(费用台账!$I$4:$I$503,费用台账!$C$4:$C$503,$E1935,费用台账!$J$4:$J$503,"是",费用台账!$K$4:$K$503,"正常"))</f>
        <v/>
      </c>
      <c r="S1935" s="28">
        <f>IF($G1935="","",COUNTIFS($E$4:$E$2503,$E1935,$Z$4:$Z$2503,"正常",$Y$4:$Y$2503,"待补价"))</f>
        <v/>
      </c>
      <c r="T1935" s="26">
        <f>IF($G1935="","",SUMIFS($P$4:$P$2503,$E$4:$E$2503,$E1935,$Z$4:$Z$2503,"正常",$A$4:$A$2503,"&lt;="&amp;$A1935))</f>
        <v/>
      </c>
      <c r="U1935" s="26">
        <f>IF($G1935="","",IF(OR($S1935&gt;0,$Q1935=0,$R1935=0,$Z1935&lt;&gt;"正常"),0,ROUND($T1935/$Q1935*$R1935,0)-ROUND(($T1935-$P1935)/$Q1935*$R1935,0)))</f>
        <v/>
      </c>
      <c r="V1935" s="26">
        <f>IF($G1935="","",ROUND($P1935+$U1935,0))</f>
        <v/>
      </c>
      <c r="W1935" s="26">
        <f>IF($G1935="","",IF(N($K1935)=0,0,ROUND($V1935/$K1935,2)))</f>
        <v/>
      </c>
      <c r="X1935" s="17" t="n"/>
      <c r="Y1935" s="17" t="n"/>
      <c r="Z1935" s="17" t="n"/>
      <c r="AA1935" s="17" t="n"/>
      <c r="AB1935" s="17" t="n"/>
      <c r="AC1935" s="24">
        <f>IF($G1935="","",IF($H1935="※编码不在物料档案里","※物料编码不在档案里",IF(N($K1935)&lt;=0,"※入库数量要大于 0",IF(AND($C1935&lt;&gt;"",$C1935&lt;=结账锁),"※日期早于已结账截止日，不能再录",IF(AND($L1935=0,$X1935="正常"),"※没填单价，价格状态请选「待补价」",IF(AND($S1935&gt;0,$R1935&gt;0),"△本批有 "&amp;$S1935&amp;" 行没单价，整批运费先挂账没摊",IF(AND($B1935&lt;&gt;"",COUNTIF($B$4:$B$2503,$B1935)&gt;1),"※入库单号重复","")))))))</f>
        <v/>
      </c>
    </row>
    <row r="1936">
      <c r="A1936" s="24">
        <f>IF($G1936="","",COUNTA($G$4:$G1936))</f>
        <v/>
      </c>
      <c r="B1936" s="17" t="n"/>
      <c r="C1936" s="30" t="n"/>
      <c r="D1936" s="17" t="n"/>
      <c r="E1936" s="17" t="n"/>
      <c r="F1936" s="17" t="n"/>
      <c r="G1936" s="17" t="n"/>
      <c r="H1936" s="24">
        <f>IF($G1936="","",IFERROR(VLOOKUP($G1936,物料档案!$A$4:$P$1203,3,0),"※编码不在物料档案里"))</f>
        <v/>
      </c>
      <c r="I1936" s="24">
        <f>IF($G1936="","",IFERROR(VLOOKUP($G1936,物料档案!$A$4:$P$1203,4,0),"※编码不在物料档案里"))</f>
        <v/>
      </c>
      <c r="J1936" s="24">
        <f>IF($G1936="","",IFERROR(VLOOKUP($G1936,物料档案!$A$4:$P$1203,5,0),"※编码不在物料档案里"))</f>
        <v/>
      </c>
      <c r="K1936" s="23" t="n"/>
      <c r="L1936" s="31" t="n"/>
      <c r="M1936" s="24">
        <f>IF($G1936="","",IF($D1936="A国内","CNY","TZS"))</f>
        <v/>
      </c>
      <c r="N1936" s="28">
        <f>IF($G1936="","",IF($D1936="A国内",汇率,1))</f>
        <v/>
      </c>
      <c r="O1936" s="25">
        <f>IF($G1936="","",ROUND(N($K1936)*N($L1936),2))</f>
        <v/>
      </c>
      <c r="P1936" s="26">
        <f>IF($G1936="","",ROUND($O1936*$N1936,0))</f>
        <v/>
      </c>
      <c r="Q1936" s="26">
        <f>IF($G1936="","",SUMIFS($P$4:$P$2503,$E$4:$E$2503,$E1936,$Z$4:$Z$2503,"正常"))</f>
        <v/>
      </c>
      <c r="R1936" s="26">
        <f>IF($G1936="","",SUMIFS(费用台账!$I$4:$I$503,费用台账!$C$4:$C$503,$E1936,费用台账!$J$4:$J$503,"是",费用台账!$K$4:$K$503,"正常"))</f>
        <v/>
      </c>
      <c r="S1936" s="28">
        <f>IF($G1936="","",COUNTIFS($E$4:$E$2503,$E1936,$Z$4:$Z$2503,"正常",$Y$4:$Y$2503,"待补价"))</f>
        <v/>
      </c>
      <c r="T1936" s="26">
        <f>IF($G1936="","",SUMIFS($P$4:$P$2503,$E$4:$E$2503,$E1936,$Z$4:$Z$2503,"正常",$A$4:$A$2503,"&lt;="&amp;$A1936))</f>
        <v/>
      </c>
      <c r="U1936" s="26">
        <f>IF($G1936="","",IF(OR($S1936&gt;0,$Q1936=0,$R1936=0,$Z1936&lt;&gt;"正常"),0,ROUND($T1936/$Q1936*$R1936,0)-ROUND(($T1936-$P1936)/$Q1936*$R1936,0)))</f>
        <v/>
      </c>
      <c r="V1936" s="26">
        <f>IF($G1936="","",ROUND($P1936+$U1936,0))</f>
        <v/>
      </c>
      <c r="W1936" s="26">
        <f>IF($G1936="","",IF(N($K1936)=0,0,ROUND($V1936/$K1936,2)))</f>
        <v/>
      </c>
      <c r="X1936" s="17" t="n"/>
      <c r="Y1936" s="17" t="n"/>
      <c r="Z1936" s="17" t="n"/>
      <c r="AA1936" s="17" t="n"/>
      <c r="AB1936" s="17" t="n"/>
      <c r="AC1936" s="24">
        <f>IF($G1936="","",IF($H1936="※编码不在物料档案里","※物料编码不在档案里",IF(N($K1936)&lt;=0,"※入库数量要大于 0",IF(AND($C1936&lt;&gt;"",$C1936&lt;=结账锁),"※日期早于已结账截止日，不能再录",IF(AND($L1936=0,$X1936="正常"),"※没填单价，价格状态请选「待补价」",IF(AND($S1936&gt;0,$R1936&gt;0),"△本批有 "&amp;$S1936&amp;" 行没单价，整批运费先挂账没摊",IF(AND($B1936&lt;&gt;"",COUNTIF($B$4:$B$2503,$B1936)&gt;1),"※入库单号重复","")))))))</f>
        <v/>
      </c>
    </row>
    <row r="1937">
      <c r="A1937" s="24">
        <f>IF($G1937="","",COUNTA($G$4:$G1937))</f>
        <v/>
      </c>
      <c r="B1937" s="17" t="n"/>
      <c r="C1937" s="30" t="n"/>
      <c r="D1937" s="17" t="n"/>
      <c r="E1937" s="17" t="n"/>
      <c r="F1937" s="17" t="n"/>
      <c r="G1937" s="17" t="n"/>
      <c r="H1937" s="24">
        <f>IF($G1937="","",IFERROR(VLOOKUP($G1937,物料档案!$A$4:$P$1203,3,0),"※编码不在物料档案里"))</f>
        <v/>
      </c>
      <c r="I1937" s="24">
        <f>IF($G1937="","",IFERROR(VLOOKUP($G1937,物料档案!$A$4:$P$1203,4,0),"※编码不在物料档案里"))</f>
        <v/>
      </c>
      <c r="J1937" s="24">
        <f>IF($G1937="","",IFERROR(VLOOKUP($G1937,物料档案!$A$4:$P$1203,5,0),"※编码不在物料档案里"))</f>
        <v/>
      </c>
      <c r="K1937" s="23" t="n"/>
      <c r="L1937" s="31" t="n"/>
      <c r="M1937" s="24">
        <f>IF($G1937="","",IF($D1937="A国内","CNY","TZS"))</f>
        <v/>
      </c>
      <c r="N1937" s="28">
        <f>IF($G1937="","",IF($D1937="A国内",汇率,1))</f>
        <v/>
      </c>
      <c r="O1937" s="25">
        <f>IF($G1937="","",ROUND(N($K1937)*N($L1937),2))</f>
        <v/>
      </c>
      <c r="P1937" s="26">
        <f>IF($G1937="","",ROUND($O1937*$N1937,0))</f>
        <v/>
      </c>
      <c r="Q1937" s="26">
        <f>IF($G1937="","",SUMIFS($P$4:$P$2503,$E$4:$E$2503,$E1937,$Z$4:$Z$2503,"正常"))</f>
        <v/>
      </c>
      <c r="R1937" s="26">
        <f>IF($G1937="","",SUMIFS(费用台账!$I$4:$I$503,费用台账!$C$4:$C$503,$E1937,费用台账!$J$4:$J$503,"是",费用台账!$K$4:$K$503,"正常"))</f>
        <v/>
      </c>
      <c r="S1937" s="28">
        <f>IF($G1937="","",COUNTIFS($E$4:$E$2503,$E1937,$Z$4:$Z$2503,"正常",$Y$4:$Y$2503,"待补价"))</f>
        <v/>
      </c>
      <c r="T1937" s="26">
        <f>IF($G1937="","",SUMIFS($P$4:$P$2503,$E$4:$E$2503,$E1937,$Z$4:$Z$2503,"正常",$A$4:$A$2503,"&lt;="&amp;$A1937))</f>
        <v/>
      </c>
      <c r="U1937" s="26">
        <f>IF($G1937="","",IF(OR($S1937&gt;0,$Q1937=0,$R1937=0,$Z1937&lt;&gt;"正常"),0,ROUND($T1937/$Q1937*$R1937,0)-ROUND(($T1937-$P1937)/$Q1937*$R1937,0)))</f>
        <v/>
      </c>
      <c r="V1937" s="26">
        <f>IF($G1937="","",ROUND($P1937+$U1937,0))</f>
        <v/>
      </c>
      <c r="W1937" s="26">
        <f>IF($G1937="","",IF(N($K1937)=0,0,ROUND($V1937/$K1937,2)))</f>
        <v/>
      </c>
      <c r="X1937" s="17" t="n"/>
      <c r="Y1937" s="17" t="n"/>
      <c r="Z1937" s="17" t="n"/>
      <c r="AA1937" s="17" t="n"/>
      <c r="AB1937" s="17" t="n"/>
      <c r="AC1937" s="24">
        <f>IF($G1937="","",IF($H1937="※编码不在物料档案里","※物料编码不在档案里",IF(N($K1937)&lt;=0,"※入库数量要大于 0",IF(AND($C1937&lt;&gt;"",$C1937&lt;=结账锁),"※日期早于已结账截止日，不能再录",IF(AND($L1937=0,$X1937="正常"),"※没填单价，价格状态请选「待补价」",IF(AND($S1937&gt;0,$R1937&gt;0),"△本批有 "&amp;$S1937&amp;" 行没单价，整批运费先挂账没摊",IF(AND($B1937&lt;&gt;"",COUNTIF($B$4:$B$2503,$B1937)&gt;1),"※入库单号重复","")))))))</f>
        <v/>
      </c>
    </row>
    <row r="1938">
      <c r="A1938" s="24">
        <f>IF($G1938="","",COUNTA($G$4:$G1938))</f>
        <v/>
      </c>
      <c r="B1938" s="17" t="n"/>
      <c r="C1938" s="30" t="n"/>
      <c r="D1938" s="17" t="n"/>
      <c r="E1938" s="17" t="n"/>
      <c r="F1938" s="17" t="n"/>
      <c r="G1938" s="17" t="n"/>
      <c r="H1938" s="24">
        <f>IF($G1938="","",IFERROR(VLOOKUP($G1938,物料档案!$A$4:$P$1203,3,0),"※编码不在物料档案里"))</f>
        <v/>
      </c>
      <c r="I1938" s="24">
        <f>IF($G1938="","",IFERROR(VLOOKUP($G1938,物料档案!$A$4:$P$1203,4,0),"※编码不在物料档案里"))</f>
        <v/>
      </c>
      <c r="J1938" s="24">
        <f>IF($G1938="","",IFERROR(VLOOKUP($G1938,物料档案!$A$4:$P$1203,5,0),"※编码不在物料档案里"))</f>
        <v/>
      </c>
      <c r="K1938" s="23" t="n"/>
      <c r="L1938" s="31" t="n"/>
      <c r="M1938" s="24">
        <f>IF($G1938="","",IF($D1938="A国内","CNY","TZS"))</f>
        <v/>
      </c>
      <c r="N1938" s="28">
        <f>IF($G1938="","",IF($D1938="A国内",汇率,1))</f>
        <v/>
      </c>
      <c r="O1938" s="25">
        <f>IF($G1938="","",ROUND(N($K1938)*N($L1938),2))</f>
        <v/>
      </c>
      <c r="P1938" s="26">
        <f>IF($G1938="","",ROUND($O1938*$N1938,0))</f>
        <v/>
      </c>
      <c r="Q1938" s="26">
        <f>IF($G1938="","",SUMIFS($P$4:$P$2503,$E$4:$E$2503,$E1938,$Z$4:$Z$2503,"正常"))</f>
        <v/>
      </c>
      <c r="R1938" s="26">
        <f>IF($G1938="","",SUMIFS(费用台账!$I$4:$I$503,费用台账!$C$4:$C$503,$E1938,费用台账!$J$4:$J$503,"是",费用台账!$K$4:$K$503,"正常"))</f>
        <v/>
      </c>
      <c r="S1938" s="28">
        <f>IF($G1938="","",COUNTIFS($E$4:$E$2503,$E1938,$Z$4:$Z$2503,"正常",$Y$4:$Y$2503,"待补价"))</f>
        <v/>
      </c>
      <c r="T1938" s="26">
        <f>IF($G1938="","",SUMIFS($P$4:$P$2503,$E$4:$E$2503,$E1938,$Z$4:$Z$2503,"正常",$A$4:$A$2503,"&lt;="&amp;$A1938))</f>
        <v/>
      </c>
      <c r="U1938" s="26">
        <f>IF($G1938="","",IF(OR($S1938&gt;0,$Q1938=0,$R1938=0,$Z1938&lt;&gt;"正常"),0,ROUND($T1938/$Q1938*$R1938,0)-ROUND(($T1938-$P1938)/$Q1938*$R1938,0)))</f>
        <v/>
      </c>
      <c r="V1938" s="26">
        <f>IF($G1938="","",ROUND($P1938+$U1938,0))</f>
        <v/>
      </c>
      <c r="W1938" s="26">
        <f>IF($G1938="","",IF(N($K1938)=0,0,ROUND($V1938/$K1938,2)))</f>
        <v/>
      </c>
      <c r="X1938" s="17" t="n"/>
      <c r="Y1938" s="17" t="n"/>
      <c r="Z1938" s="17" t="n"/>
      <c r="AA1938" s="17" t="n"/>
      <c r="AB1938" s="17" t="n"/>
      <c r="AC1938" s="24">
        <f>IF($G1938="","",IF($H1938="※编码不在物料档案里","※物料编码不在档案里",IF(N($K1938)&lt;=0,"※入库数量要大于 0",IF(AND($C1938&lt;&gt;"",$C1938&lt;=结账锁),"※日期早于已结账截止日，不能再录",IF(AND($L1938=0,$X1938="正常"),"※没填单价，价格状态请选「待补价」",IF(AND($S1938&gt;0,$R1938&gt;0),"△本批有 "&amp;$S1938&amp;" 行没单价，整批运费先挂账没摊",IF(AND($B1938&lt;&gt;"",COUNTIF($B$4:$B$2503,$B1938)&gt;1),"※入库单号重复","")))))))</f>
        <v/>
      </c>
    </row>
    <row r="1939">
      <c r="A1939" s="24">
        <f>IF($G1939="","",COUNTA($G$4:$G1939))</f>
        <v/>
      </c>
      <c r="B1939" s="17" t="n"/>
      <c r="C1939" s="30" t="n"/>
      <c r="D1939" s="17" t="n"/>
      <c r="E1939" s="17" t="n"/>
      <c r="F1939" s="17" t="n"/>
      <c r="G1939" s="17" t="n"/>
      <c r="H1939" s="24">
        <f>IF($G1939="","",IFERROR(VLOOKUP($G1939,物料档案!$A$4:$P$1203,3,0),"※编码不在物料档案里"))</f>
        <v/>
      </c>
      <c r="I1939" s="24">
        <f>IF($G1939="","",IFERROR(VLOOKUP($G1939,物料档案!$A$4:$P$1203,4,0),"※编码不在物料档案里"))</f>
        <v/>
      </c>
      <c r="J1939" s="24">
        <f>IF($G1939="","",IFERROR(VLOOKUP($G1939,物料档案!$A$4:$P$1203,5,0),"※编码不在物料档案里"))</f>
        <v/>
      </c>
      <c r="K1939" s="23" t="n"/>
      <c r="L1939" s="31" t="n"/>
      <c r="M1939" s="24">
        <f>IF($G1939="","",IF($D1939="A国内","CNY","TZS"))</f>
        <v/>
      </c>
      <c r="N1939" s="28">
        <f>IF($G1939="","",IF($D1939="A国内",汇率,1))</f>
        <v/>
      </c>
      <c r="O1939" s="25">
        <f>IF($G1939="","",ROUND(N($K1939)*N($L1939),2))</f>
        <v/>
      </c>
      <c r="P1939" s="26">
        <f>IF($G1939="","",ROUND($O1939*$N1939,0))</f>
        <v/>
      </c>
      <c r="Q1939" s="26">
        <f>IF($G1939="","",SUMIFS($P$4:$P$2503,$E$4:$E$2503,$E1939,$Z$4:$Z$2503,"正常"))</f>
        <v/>
      </c>
      <c r="R1939" s="26">
        <f>IF($G1939="","",SUMIFS(费用台账!$I$4:$I$503,费用台账!$C$4:$C$503,$E1939,费用台账!$J$4:$J$503,"是",费用台账!$K$4:$K$503,"正常"))</f>
        <v/>
      </c>
      <c r="S1939" s="28">
        <f>IF($G1939="","",COUNTIFS($E$4:$E$2503,$E1939,$Z$4:$Z$2503,"正常",$Y$4:$Y$2503,"待补价"))</f>
        <v/>
      </c>
      <c r="T1939" s="26">
        <f>IF($G1939="","",SUMIFS($P$4:$P$2503,$E$4:$E$2503,$E1939,$Z$4:$Z$2503,"正常",$A$4:$A$2503,"&lt;="&amp;$A1939))</f>
        <v/>
      </c>
      <c r="U1939" s="26">
        <f>IF($G1939="","",IF(OR($S1939&gt;0,$Q1939=0,$R1939=0,$Z1939&lt;&gt;"正常"),0,ROUND($T1939/$Q1939*$R1939,0)-ROUND(($T1939-$P1939)/$Q1939*$R1939,0)))</f>
        <v/>
      </c>
      <c r="V1939" s="26">
        <f>IF($G1939="","",ROUND($P1939+$U1939,0))</f>
        <v/>
      </c>
      <c r="W1939" s="26">
        <f>IF($G1939="","",IF(N($K1939)=0,0,ROUND($V1939/$K1939,2)))</f>
        <v/>
      </c>
      <c r="X1939" s="17" t="n"/>
      <c r="Y1939" s="17" t="n"/>
      <c r="Z1939" s="17" t="n"/>
      <c r="AA1939" s="17" t="n"/>
      <c r="AB1939" s="17" t="n"/>
      <c r="AC1939" s="24">
        <f>IF($G1939="","",IF($H1939="※编码不在物料档案里","※物料编码不在档案里",IF(N($K1939)&lt;=0,"※入库数量要大于 0",IF(AND($C1939&lt;&gt;"",$C1939&lt;=结账锁),"※日期早于已结账截止日，不能再录",IF(AND($L1939=0,$X1939="正常"),"※没填单价，价格状态请选「待补价」",IF(AND($S1939&gt;0,$R1939&gt;0),"△本批有 "&amp;$S1939&amp;" 行没单价，整批运费先挂账没摊",IF(AND($B1939&lt;&gt;"",COUNTIF($B$4:$B$2503,$B1939)&gt;1),"※入库单号重复","")))))))</f>
        <v/>
      </c>
    </row>
    <row r="1940">
      <c r="A1940" s="24">
        <f>IF($G1940="","",COUNTA($G$4:$G1940))</f>
        <v/>
      </c>
      <c r="B1940" s="17" t="n"/>
      <c r="C1940" s="30" t="n"/>
      <c r="D1940" s="17" t="n"/>
      <c r="E1940" s="17" t="n"/>
      <c r="F1940" s="17" t="n"/>
      <c r="G1940" s="17" t="n"/>
      <c r="H1940" s="24">
        <f>IF($G1940="","",IFERROR(VLOOKUP($G1940,物料档案!$A$4:$P$1203,3,0),"※编码不在物料档案里"))</f>
        <v/>
      </c>
      <c r="I1940" s="24">
        <f>IF($G1940="","",IFERROR(VLOOKUP($G1940,物料档案!$A$4:$P$1203,4,0),"※编码不在物料档案里"))</f>
        <v/>
      </c>
      <c r="J1940" s="24">
        <f>IF($G1940="","",IFERROR(VLOOKUP($G1940,物料档案!$A$4:$P$1203,5,0),"※编码不在物料档案里"))</f>
        <v/>
      </c>
      <c r="K1940" s="23" t="n"/>
      <c r="L1940" s="31" t="n"/>
      <c r="M1940" s="24">
        <f>IF($G1940="","",IF($D1940="A国内","CNY","TZS"))</f>
        <v/>
      </c>
      <c r="N1940" s="28">
        <f>IF($G1940="","",IF($D1940="A国内",汇率,1))</f>
        <v/>
      </c>
      <c r="O1940" s="25">
        <f>IF($G1940="","",ROUND(N($K1940)*N($L1940),2))</f>
        <v/>
      </c>
      <c r="P1940" s="26">
        <f>IF($G1940="","",ROUND($O1940*$N1940,0))</f>
        <v/>
      </c>
      <c r="Q1940" s="26">
        <f>IF($G1940="","",SUMIFS($P$4:$P$2503,$E$4:$E$2503,$E1940,$Z$4:$Z$2503,"正常"))</f>
        <v/>
      </c>
      <c r="R1940" s="26">
        <f>IF($G1940="","",SUMIFS(费用台账!$I$4:$I$503,费用台账!$C$4:$C$503,$E1940,费用台账!$J$4:$J$503,"是",费用台账!$K$4:$K$503,"正常"))</f>
        <v/>
      </c>
      <c r="S1940" s="28">
        <f>IF($G1940="","",COUNTIFS($E$4:$E$2503,$E1940,$Z$4:$Z$2503,"正常",$Y$4:$Y$2503,"待补价"))</f>
        <v/>
      </c>
      <c r="T1940" s="26">
        <f>IF($G1940="","",SUMIFS($P$4:$P$2503,$E$4:$E$2503,$E1940,$Z$4:$Z$2503,"正常",$A$4:$A$2503,"&lt;="&amp;$A1940))</f>
        <v/>
      </c>
      <c r="U1940" s="26">
        <f>IF($G1940="","",IF(OR($S1940&gt;0,$Q1940=0,$R1940=0,$Z1940&lt;&gt;"正常"),0,ROUND($T1940/$Q1940*$R1940,0)-ROUND(($T1940-$P1940)/$Q1940*$R1940,0)))</f>
        <v/>
      </c>
      <c r="V1940" s="26">
        <f>IF($G1940="","",ROUND($P1940+$U1940,0))</f>
        <v/>
      </c>
      <c r="W1940" s="26">
        <f>IF($G1940="","",IF(N($K1940)=0,0,ROUND($V1940/$K1940,2)))</f>
        <v/>
      </c>
      <c r="X1940" s="17" t="n"/>
      <c r="Y1940" s="17" t="n"/>
      <c r="Z1940" s="17" t="n"/>
      <c r="AA1940" s="17" t="n"/>
      <c r="AB1940" s="17" t="n"/>
      <c r="AC1940" s="24">
        <f>IF($G1940="","",IF($H1940="※编码不在物料档案里","※物料编码不在档案里",IF(N($K1940)&lt;=0,"※入库数量要大于 0",IF(AND($C1940&lt;&gt;"",$C1940&lt;=结账锁),"※日期早于已结账截止日，不能再录",IF(AND($L1940=0,$X1940="正常"),"※没填单价，价格状态请选「待补价」",IF(AND($S1940&gt;0,$R1940&gt;0),"△本批有 "&amp;$S1940&amp;" 行没单价，整批运费先挂账没摊",IF(AND($B1940&lt;&gt;"",COUNTIF($B$4:$B$2503,$B1940)&gt;1),"※入库单号重复","")))))))</f>
        <v/>
      </c>
    </row>
    <row r="1941">
      <c r="A1941" s="24">
        <f>IF($G1941="","",COUNTA($G$4:$G1941))</f>
        <v/>
      </c>
      <c r="B1941" s="17" t="n"/>
      <c r="C1941" s="30" t="n"/>
      <c r="D1941" s="17" t="n"/>
      <c r="E1941" s="17" t="n"/>
      <c r="F1941" s="17" t="n"/>
      <c r="G1941" s="17" t="n"/>
      <c r="H1941" s="24">
        <f>IF($G1941="","",IFERROR(VLOOKUP($G1941,物料档案!$A$4:$P$1203,3,0),"※编码不在物料档案里"))</f>
        <v/>
      </c>
      <c r="I1941" s="24">
        <f>IF($G1941="","",IFERROR(VLOOKUP($G1941,物料档案!$A$4:$P$1203,4,0),"※编码不在物料档案里"))</f>
        <v/>
      </c>
      <c r="J1941" s="24">
        <f>IF($G1941="","",IFERROR(VLOOKUP($G1941,物料档案!$A$4:$P$1203,5,0),"※编码不在物料档案里"))</f>
        <v/>
      </c>
      <c r="K1941" s="23" t="n"/>
      <c r="L1941" s="31" t="n"/>
      <c r="M1941" s="24">
        <f>IF($G1941="","",IF($D1941="A国内","CNY","TZS"))</f>
        <v/>
      </c>
      <c r="N1941" s="28">
        <f>IF($G1941="","",IF($D1941="A国内",汇率,1))</f>
        <v/>
      </c>
      <c r="O1941" s="25">
        <f>IF($G1941="","",ROUND(N($K1941)*N($L1941),2))</f>
        <v/>
      </c>
      <c r="P1941" s="26">
        <f>IF($G1941="","",ROUND($O1941*$N1941,0))</f>
        <v/>
      </c>
      <c r="Q1941" s="26">
        <f>IF($G1941="","",SUMIFS($P$4:$P$2503,$E$4:$E$2503,$E1941,$Z$4:$Z$2503,"正常"))</f>
        <v/>
      </c>
      <c r="R1941" s="26">
        <f>IF($G1941="","",SUMIFS(费用台账!$I$4:$I$503,费用台账!$C$4:$C$503,$E1941,费用台账!$J$4:$J$503,"是",费用台账!$K$4:$K$503,"正常"))</f>
        <v/>
      </c>
      <c r="S1941" s="28">
        <f>IF($G1941="","",COUNTIFS($E$4:$E$2503,$E1941,$Z$4:$Z$2503,"正常",$Y$4:$Y$2503,"待补价"))</f>
        <v/>
      </c>
      <c r="T1941" s="26">
        <f>IF($G1941="","",SUMIFS($P$4:$P$2503,$E$4:$E$2503,$E1941,$Z$4:$Z$2503,"正常",$A$4:$A$2503,"&lt;="&amp;$A1941))</f>
        <v/>
      </c>
      <c r="U1941" s="26">
        <f>IF($G1941="","",IF(OR($S1941&gt;0,$Q1941=0,$R1941=0,$Z1941&lt;&gt;"正常"),0,ROUND($T1941/$Q1941*$R1941,0)-ROUND(($T1941-$P1941)/$Q1941*$R1941,0)))</f>
        <v/>
      </c>
      <c r="V1941" s="26">
        <f>IF($G1941="","",ROUND($P1941+$U1941,0))</f>
        <v/>
      </c>
      <c r="W1941" s="26">
        <f>IF($G1941="","",IF(N($K1941)=0,0,ROUND($V1941/$K1941,2)))</f>
        <v/>
      </c>
      <c r="X1941" s="17" t="n"/>
      <c r="Y1941" s="17" t="n"/>
      <c r="Z1941" s="17" t="n"/>
      <c r="AA1941" s="17" t="n"/>
      <c r="AB1941" s="17" t="n"/>
      <c r="AC1941" s="24">
        <f>IF($G1941="","",IF($H1941="※编码不在物料档案里","※物料编码不在档案里",IF(N($K1941)&lt;=0,"※入库数量要大于 0",IF(AND($C1941&lt;&gt;"",$C1941&lt;=结账锁),"※日期早于已结账截止日，不能再录",IF(AND($L1941=0,$X1941="正常"),"※没填单价，价格状态请选「待补价」",IF(AND($S1941&gt;0,$R1941&gt;0),"△本批有 "&amp;$S1941&amp;" 行没单价，整批运费先挂账没摊",IF(AND($B1941&lt;&gt;"",COUNTIF($B$4:$B$2503,$B1941)&gt;1),"※入库单号重复","")))))))</f>
        <v/>
      </c>
    </row>
    <row r="1942">
      <c r="A1942" s="24">
        <f>IF($G1942="","",COUNTA($G$4:$G1942))</f>
        <v/>
      </c>
      <c r="B1942" s="17" t="n"/>
      <c r="C1942" s="30" t="n"/>
      <c r="D1942" s="17" t="n"/>
      <c r="E1942" s="17" t="n"/>
      <c r="F1942" s="17" t="n"/>
      <c r="G1942" s="17" t="n"/>
      <c r="H1942" s="24">
        <f>IF($G1942="","",IFERROR(VLOOKUP($G1942,物料档案!$A$4:$P$1203,3,0),"※编码不在物料档案里"))</f>
        <v/>
      </c>
      <c r="I1942" s="24">
        <f>IF($G1942="","",IFERROR(VLOOKUP($G1942,物料档案!$A$4:$P$1203,4,0),"※编码不在物料档案里"))</f>
        <v/>
      </c>
      <c r="J1942" s="24">
        <f>IF($G1942="","",IFERROR(VLOOKUP($G1942,物料档案!$A$4:$P$1203,5,0),"※编码不在物料档案里"))</f>
        <v/>
      </c>
      <c r="K1942" s="23" t="n"/>
      <c r="L1942" s="31" t="n"/>
      <c r="M1942" s="24">
        <f>IF($G1942="","",IF($D1942="A国内","CNY","TZS"))</f>
        <v/>
      </c>
      <c r="N1942" s="28">
        <f>IF($G1942="","",IF($D1942="A国内",汇率,1))</f>
        <v/>
      </c>
      <c r="O1942" s="25">
        <f>IF($G1942="","",ROUND(N($K1942)*N($L1942),2))</f>
        <v/>
      </c>
      <c r="P1942" s="26">
        <f>IF($G1942="","",ROUND($O1942*$N1942,0))</f>
        <v/>
      </c>
      <c r="Q1942" s="26">
        <f>IF($G1942="","",SUMIFS($P$4:$P$2503,$E$4:$E$2503,$E1942,$Z$4:$Z$2503,"正常"))</f>
        <v/>
      </c>
      <c r="R1942" s="26">
        <f>IF($G1942="","",SUMIFS(费用台账!$I$4:$I$503,费用台账!$C$4:$C$503,$E1942,费用台账!$J$4:$J$503,"是",费用台账!$K$4:$K$503,"正常"))</f>
        <v/>
      </c>
      <c r="S1942" s="28">
        <f>IF($G1942="","",COUNTIFS($E$4:$E$2503,$E1942,$Z$4:$Z$2503,"正常",$Y$4:$Y$2503,"待补价"))</f>
        <v/>
      </c>
      <c r="T1942" s="26">
        <f>IF($G1942="","",SUMIFS($P$4:$P$2503,$E$4:$E$2503,$E1942,$Z$4:$Z$2503,"正常",$A$4:$A$2503,"&lt;="&amp;$A1942))</f>
        <v/>
      </c>
      <c r="U1942" s="26">
        <f>IF($G1942="","",IF(OR($S1942&gt;0,$Q1942=0,$R1942=0,$Z1942&lt;&gt;"正常"),0,ROUND($T1942/$Q1942*$R1942,0)-ROUND(($T1942-$P1942)/$Q1942*$R1942,0)))</f>
        <v/>
      </c>
      <c r="V1942" s="26">
        <f>IF($G1942="","",ROUND($P1942+$U1942,0))</f>
        <v/>
      </c>
      <c r="W1942" s="26">
        <f>IF($G1942="","",IF(N($K1942)=0,0,ROUND($V1942/$K1942,2)))</f>
        <v/>
      </c>
      <c r="X1942" s="17" t="n"/>
      <c r="Y1942" s="17" t="n"/>
      <c r="Z1942" s="17" t="n"/>
      <c r="AA1942" s="17" t="n"/>
      <c r="AB1942" s="17" t="n"/>
      <c r="AC1942" s="24">
        <f>IF($G1942="","",IF($H1942="※编码不在物料档案里","※物料编码不在档案里",IF(N($K1942)&lt;=0,"※入库数量要大于 0",IF(AND($C1942&lt;&gt;"",$C1942&lt;=结账锁),"※日期早于已结账截止日，不能再录",IF(AND($L1942=0,$X1942="正常"),"※没填单价，价格状态请选「待补价」",IF(AND($S1942&gt;0,$R1942&gt;0),"△本批有 "&amp;$S1942&amp;" 行没单价，整批运费先挂账没摊",IF(AND($B1942&lt;&gt;"",COUNTIF($B$4:$B$2503,$B1942)&gt;1),"※入库单号重复","")))))))</f>
        <v/>
      </c>
    </row>
    <row r="1943">
      <c r="A1943" s="24">
        <f>IF($G1943="","",COUNTA($G$4:$G1943))</f>
        <v/>
      </c>
      <c r="B1943" s="17" t="n"/>
      <c r="C1943" s="30" t="n"/>
      <c r="D1943" s="17" t="n"/>
      <c r="E1943" s="17" t="n"/>
      <c r="F1943" s="17" t="n"/>
      <c r="G1943" s="17" t="n"/>
      <c r="H1943" s="24">
        <f>IF($G1943="","",IFERROR(VLOOKUP($G1943,物料档案!$A$4:$P$1203,3,0),"※编码不在物料档案里"))</f>
        <v/>
      </c>
      <c r="I1943" s="24">
        <f>IF($G1943="","",IFERROR(VLOOKUP($G1943,物料档案!$A$4:$P$1203,4,0),"※编码不在物料档案里"))</f>
        <v/>
      </c>
      <c r="J1943" s="24">
        <f>IF($G1943="","",IFERROR(VLOOKUP($G1943,物料档案!$A$4:$P$1203,5,0),"※编码不在物料档案里"))</f>
        <v/>
      </c>
      <c r="K1943" s="23" t="n"/>
      <c r="L1943" s="31" t="n"/>
      <c r="M1943" s="24">
        <f>IF($G1943="","",IF($D1943="A国内","CNY","TZS"))</f>
        <v/>
      </c>
      <c r="N1943" s="28">
        <f>IF($G1943="","",IF($D1943="A国内",汇率,1))</f>
        <v/>
      </c>
      <c r="O1943" s="25">
        <f>IF($G1943="","",ROUND(N($K1943)*N($L1943),2))</f>
        <v/>
      </c>
      <c r="P1943" s="26">
        <f>IF($G1943="","",ROUND($O1943*$N1943,0))</f>
        <v/>
      </c>
      <c r="Q1943" s="26">
        <f>IF($G1943="","",SUMIFS($P$4:$P$2503,$E$4:$E$2503,$E1943,$Z$4:$Z$2503,"正常"))</f>
        <v/>
      </c>
      <c r="R1943" s="26">
        <f>IF($G1943="","",SUMIFS(费用台账!$I$4:$I$503,费用台账!$C$4:$C$503,$E1943,费用台账!$J$4:$J$503,"是",费用台账!$K$4:$K$503,"正常"))</f>
        <v/>
      </c>
      <c r="S1943" s="28">
        <f>IF($G1943="","",COUNTIFS($E$4:$E$2503,$E1943,$Z$4:$Z$2503,"正常",$Y$4:$Y$2503,"待补价"))</f>
        <v/>
      </c>
      <c r="T1943" s="26">
        <f>IF($G1943="","",SUMIFS($P$4:$P$2503,$E$4:$E$2503,$E1943,$Z$4:$Z$2503,"正常",$A$4:$A$2503,"&lt;="&amp;$A1943))</f>
        <v/>
      </c>
      <c r="U1943" s="26">
        <f>IF($G1943="","",IF(OR($S1943&gt;0,$Q1943=0,$R1943=0,$Z1943&lt;&gt;"正常"),0,ROUND($T1943/$Q1943*$R1943,0)-ROUND(($T1943-$P1943)/$Q1943*$R1943,0)))</f>
        <v/>
      </c>
      <c r="V1943" s="26">
        <f>IF($G1943="","",ROUND($P1943+$U1943,0))</f>
        <v/>
      </c>
      <c r="W1943" s="26">
        <f>IF($G1943="","",IF(N($K1943)=0,0,ROUND($V1943/$K1943,2)))</f>
        <v/>
      </c>
      <c r="X1943" s="17" t="n"/>
      <c r="Y1943" s="17" t="n"/>
      <c r="Z1943" s="17" t="n"/>
      <c r="AA1943" s="17" t="n"/>
      <c r="AB1943" s="17" t="n"/>
      <c r="AC1943" s="24">
        <f>IF($G1943="","",IF($H1943="※编码不在物料档案里","※物料编码不在档案里",IF(N($K1943)&lt;=0,"※入库数量要大于 0",IF(AND($C1943&lt;&gt;"",$C1943&lt;=结账锁),"※日期早于已结账截止日，不能再录",IF(AND($L1943=0,$X1943="正常"),"※没填单价，价格状态请选「待补价」",IF(AND($S1943&gt;0,$R1943&gt;0),"△本批有 "&amp;$S1943&amp;" 行没单价，整批运费先挂账没摊",IF(AND($B1943&lt;&gt;"",COUNTIF($B$4:$B$2503,$B1943)&gt;1),"※入库单号重复","")))))))</f>
        <v/>
      </c>
    </row>
    <row r="1944">
      <c r="A1944" s="24">
        <f>IF($G1944="","",COUNTA($G$4:$G1944))</f>
        <v/>
      </c>
      <c r="B1944" s="17" t="n"/>
      <c r="C1944" s="30" t="n"/>
      <c r="D1944" s="17" t="n"/>
      <c r="E1944" s="17" t="n"/>
      <c r="F1944" s="17" t="n"/>
      <c r="G1944" s="17" t="n"/>
      <c r="H1944" s="24">
        <f>IF($G1944="","",IFERROR(VLOOKUP($G1944,物料档案!$A$4:$P$1203,3,0),"※编码不在物料档案里"))</f>
        <v/>
      </c>
      <c r="I1944" s="24">
        <f>IF($G1944="","",IFERROR(VLOOKUP($G1944,物料档案!$A$4:$P$1203,4,0),"※编码不在物料档案里"))</f>
        <v/>
      </c>
      <c r="J1944" s="24">
        <f>IF($G1944="","",IFERROR(VLOOKUP($G1944,物料档案!$A$4:$P$1203,5,0),"※编码不在物料档案里"))</f>
        <v/>
      </c>
      <c r="K1944" s="23" t="n"/>
      <c r="L1944" s="31" t="n"/>
      <c r="M1944" s="24">
        <f>IF($G1944="","",IF($D1944="A国内","CNY","TZS"))</f>
        <v/>
      </c>
      <c r="N1944" s="28">
        <f>IF($G1944="","",IF($D1944="A国内",汇率,1))</f>
        <v/>
      </c>
      <c r="O1944" s="25">
        <f>IF($G1944="","",ROUND(N($K1944)*N($L1944),2))</f>
        <v/>
      </c>
      <c r="P1944" s="26">
        <f>IF($G1944="","",ROUND($O1944*$N1944,0))</f>
        <v/>
      </c>
      <c r="Q1944" s="26">
        <f>IF($G1944="","",SUMIFS($P$4:$P$2503,$E$4:$E$2503,$E1944,$Z$4:$Z$2503,"正常"))</f>
        <v/>
      </c>
      <c r="R1944" s="26">
        <f>IF($G1944="","",SUMIFS(费用台账!$I$4:$I$503,费用台账!$C$4:$C$503,$E1944,费用台账!$J$4:$J$503,"是",费用台账!$K$4:$K$503,"正常"))</f>
        <v/>
      </c>
      <c r="S1944" s="28">
        <f>IF($G1944="","",COUNTIFS($E$4:$E$2503,$E1944,$Z$4:$Z$2503,"正常",$Y$4:$Y$2503,"待补价"))</f>
        <v/>
      </c>
      <c r="T1944" s="26">
        <f>IF($G1944="","",SUMIFS($P$4:$P$2503,$E$4:$E$2503,$E1944,$Z$4:$Z$2503,"正常",$A$4:$A$2503,"&lt;="&amp;$A1944))</f>
        <v/>
      </c>
      <c r="U1944" s="26">
        <f>IF($G1944="","",IF(OR($S1944&gt;0,$Q1944=0,$R1944=0,$Z1944&lt;&gt;"正常"),0,ROUND($T1944/$Q1944*$R1944,0)-ROUND(($T1944-$P1944)/$Q1944*$R1944,0)))</f>
        <v/>
      </c>
      <c r="V1944" s="26">
        <f>IF($G1944="","",ROUND($P1944+$U1944,0))</f>
        <v/>
      </c>
      <c r="W1944" s="26">
        <f>IF($G1944="","",IF(N($K1944)=0,0,ROUND($V1944/$K1944,2)))</f>
        <v/>
      </c>
      <c r="X1944" s="17" t="n"/>
      <c r="Y1944" s="17" t="n"/>
      <c r="Z1944" s="17" t="n"/>
      <c r="AA1944" s="17" t="n"/>
      <c r="AB1944" s="17" t="n"/>
      <c r="AC1944" s="24">
        <f>IF($G1944="","",IF($H1944="※编码不在物料档案里","※物料编码不在档案里",IF(N($K1944)&lt;=0,"※入库数量要大于 0",IF(AND($C1944&lt;&gt;"",$C1944&lt;=结账锁),"※日期早于已结账截止日，不能再录",IF(AND($L1944=0,$X1944="正常"),"※没填单价，价格状态请选「待补价」",IF(AND($S1944&gt;0,$R1944&gt;0),"△本批有 "&amp;$S1944&amp;" 行没单价，整批运费先挂账没摊",IF(AND($B1944&lt;&gt;"",COUNTIF($B$4:$B$2503,$B1944)&gt;1),"※入库单号重复","")))))))</f>
        <v/>
      </c>
    </row>
    <row r="1945">
      <c r="A1945" s="24">
        <f>IF($G1945="","",COUNTA($G$4:$G1945))</f>
        <v/>
      </c>
      <c r="B1945" s="17" t="n"/>
      <c r="C1945" s="30" t="n"/>
      <c r="D1945" s="17" t="n"/>
      <c r="E1945" s="17" t="n"/>
      <c r="F1945" s="17" t="n"/>
      <c r="G1945" s="17" t="n"/>
      <c r="H1945" s="24">
        <f>IF($G1945="","",IFERROR(VLOOKUP($G1945,物料档案!$A$4:$P$1203,3,0),"※编码不在物料档案里"))</f>
        <v/>
      </c>
      <c r="I1945" s="24">
        <f>IF($G1945="","",IFERROR(VLOOKUP($G1945,物料档案!$A$4:$P$1203,4,0),"※编码不在物料档案里"))</f>
        <v/>
      </c>
      <c r="J1945" s="24">
        <f>IF($G1945="","",IFERROR(VLOOKUP($G1945,物料档案!$A$4:$P$1203,5,0),"※编码不在物料档案里"))</f>
        <v/>
      </c>
      <c r="K1945" s="23" t="n"/>
      <c r="L1945" s="31" t="n"/>
      <c r="M1945" s="24">
        <f>IF($G1945="","",IF($D1945="A国内","CNY","TZS"))</f>
        <v/>
      </c>
      <c r="N1945" s="28">
        <f>IF($G1945="","",IF($D1945="A国内",汇率,1))</f>
        <v/>
      </c>
      <c r="O1945" s="25">
        <f>IF($G1945="","",ROUND(N($K1945)*N($L1945),2))</f>
        <v/>
      </c>
      <c r="P1945" s="26">
        <f>IF($G1945="","",ROUND($O1945*$N1945,0))</f>
        <v/>
      </c>
      <c r="Q1945" s="26">
        <f>IF($G1945="","",SUMIFS($P$4:$P$2503,$E$4:$E$2503,$E1945,$Z$4:$Z$2503,"正常"))</f>
        <v/>
      </c>
      <c r="R1945" s="26">
        <f>IF($G1945="","",SUMIFS(费用台账!$I$4:$I$503,费用台账!$C$4:$C$503,$E1945,费用台账!$J$4:$J$503,"是",费用台账!$K$4:$K$503,"正常"))</f>
        <v/>
      </c>
      <c r="S1945" s="28">
        <f>IF($G1945="","",COUNTIFS($E$4:$E$2503,$E1945,$Z$4:$Z$2503,"正常",$Y$4:$Y$2503,"待补价"))</f>
        <v/>
      </c>
      <c r="T1945" s="26">
        <f>IF($G1945="","",SUMIFS($P$4:$P$2503,$E$4:$E$2503,$E1945,$Z$4:$Z$2503,"正常",$A$4:$A$2503,"&lt;="&amp;$A1945))</f>
        <v/>
      </c>
      <c r="U1945" s="26">
        <f>IF($G1945="","",IF(OR($S1945&gt;0,$Q1945=0,$R1945=0,$Z1945&lt;&gt;"正常"),0,ROUND($T1945/$Q1945*$R1945,0)-ROUND(($T1945-$P1945)/$Q1945*$R1945,0)))</f>
        <v/>
      </c>
      <c r="V1945" s="26">
        <f>IF($G1945="","",ROUND($P1945+$U1945,0))</f>
        <v/>
      </c>
      <c r="W1945" s="26">
        <f>IF($G1945="","",IF(N($K1945)=0,0,ROUND($V1945/$K1945,2)))</f>
        <v/>
      </c>
      <c r="X1945" s="17" t="n"/>
      <c r="Y1945" s="17" t="n"/>
      <c r="Z1945" s="17" t="n"/>
      <c r="AA1945" s="17" t="n"/>
      <c r="AB1945" s="17" t="n"/>
      <c r="AC1945" s="24">
        <f>IF($G1945="","",IF($H1945="※编码不在物料档案里","※物料编码不在档案里",IF(N($K1945)&lt;=0,"※入库数量要大于 0",IF(AND($C1945&lt;&gt;"",$C1945&lt;=结账锁),"※日期早于已结账截止日，不能再录",IF(AND($L1945=0,$X1945="正常"),"※没填单价，价格状态请选「待补价」",IF(AND($S1945&gt;0,$R1945&gt;0),"△本批有 "&amp;$S1945&amp;" 行没单价，整批运费先挂账没摊",IF(AND($B1945&lt;&gt;"",COUNTIF($B$4:$B$2503,$B1945)&gt;1),"※入库单号重复","")))))))</f>
        <v/>
      </c>
    </row>
    <row r="1946">
      <c r="A1946" s="24">
        <f>IF($G1946="","",COUNTA($G$4:$G1946))</f>
        <v/>
      </c>
      <c r="B1946" s="17" t="n"/>
      <c r="C1946" s="30" t="n"/>
      <c r="D1946" s="17" t="n"/>
      <c r="E1946" s="17" t="n"/>
      <c r="F1946" s="17" t="n"/>
      <c r="G1946" s="17" t="n"/>
      <c r="H1946" s="24">
        <f>IF($G1946="","",IFERROR(VLOOKUP($G1946,物料档案!$A$4:$P$1203,3,0),"※编码不在物料档案里"))</f>
        <v/>
      </c>
      <c r="I1946" s="24">
        <f>IF($G1946="","",IFERROR(VLOOKUP($G1946,物料档案!$A$4:$P$1203,4,0),"※编码不在物料档案里"))</f>
        <v/>
      </c>
      <c r="J1946" s="24">
        <f>IF($G1946="","",IFERROR(VLOOKUP($G1946,物料档案!$A$4:$P$1203,5,0),"※编码不在物料档案里"))</f>
        <v/>
      </c>
      <c r="K1946" s="23" t="n"/>
      <c r="L1946" s="31" t="n"/>
      <c r="M1946" s="24">
        <f>IF($G1946="","",IF($D1946="A国内","CNY","TZS"))</f>
        <v/>
      </c>
      <c r="N1946" s="28">
        <f>IF($G1946="","",IF($D1946="A国内",汇率,1))</f>
        <v/>
      </c>
      <c r="O1946" s="25">
        <f>IF($G1946="","",ROUND(N($K1946)*N($L1946),2))</f>
        <v/>
      </c>
      <c r="P1946" s="26">
        <f>IF($G1946="","",ROUND($O1946*$N1946,0))</f>
        <v/>
      </c>
      <c r="Q1946" s="26">
        <f>IF($G1946="","",SUMIFS($P$4:$P$2503,$E$4:$E$2503,$E1946,$Z$4:$Z$2503,"正常"))</f>
        <v/>
      </c>
      <c r="R1946" s="26">
        <f>IF($G1946="","",SUMIFS(费用台账!$I$4:$I$503,费用台账!$C$4:$C$503,$E1946,费用台账!$J$4:$J$503,"是",费用台账!$K$4:$K$503,"正常"))</f>
        <v/>
      </c>
      <c r="S1946" s="28">
        <f>IF($G1946="","",COUNTIFS($E$4:$E$2503,$E1946,$Z$4:$Z$2503,"正常",$Y$4:$Y$2503,"待补价"))</f>
        <v/>
      </c>
      <c r="T1946" s="26">
        <f>IF($G1946="","",SUMIFS($P$4:$P$2503,$E$4:$E$2503,$E1946,$Z$4:$Z$2503,"正常",$A$4:$A$2503,"&lt;="&amp;$A1946))</f>
        <v/>
      </c>
      <c r="U1946" s="26">
        <f>IF($G1946="","",IF(OR($S1946&gt;0,$Q1946=0,$R1946=0,$Z1946&lt;&gt;"正常"),0,ROUND($T1946/$Q1946*$R1946,0)-ROUND(($T1946-$P1946)/$Q1946*$R1946,0)))</f>
        <v/>
      </c>
      <c r="V1946" s="26">
        <f>IF($G1946="","",ROUND($P1946+$U1946,0))</f>
        <v/>
      </c>
      <c r="W1946" s="26">
        <f>IF($G1946="","",IF(N($K1946)=0,0,ROUND($V1946/$K1946,2)))</f>
        <v/>
      </c>
      <c r="X1946" s="17" t="n"/>
      <c r="Y1946" s="17" t="n"/>
      <c r="Z1946" s="17" t="n"/>
      <c r="AA1946" s="17" t="n"/>
      <c r="AB1946" s="17" t="n"/>
      <c r="AC1946" s="24">
        <f>IF($G1946="","",IF($H1946="※编码不在物料档案里","※物料编码不在档案里",IF(N($K1946)&lt;=0,"※入库数量要大于 0",IF(AND($C1946&lt;&gt;"",$C1946&lt;=结账锁),"※日期早于已结账截止日，不能再录",IF(AND($L1946=0,$X1946="正常"),"※没填单价，价格状态请选「待补价」",IF(AND($S1946&gt;0,$R1946&gt;0),"△本批有 "&amp;$S1946&amp;" 行没单价，整批运费先挂账没摊",IF(AND($B1946&lt;&gt;"",COUNTIF($B$4:$B$2503,$B1946)&gt;1),"※入库单号重复","")))))))</f>
        <v/>
      </c>
    </row>
    <row r="1947">
      <c r="A1947" s="24">
        <f>IF($G1947="","",COUNTA($G$4:$G1947))</f>
        <v/>
      </c>
      <c r="B1947" s="17" t="n"/>
      <c r="C1947" s="30" t="n"/>
      <c r="D1947" s="17" t="n"/>
      <c r="E1947" s="17" t="n"/>
      <c r="F1947" s="17" t="n"/>
      <c r="G1947" s="17" t="n"/>
      <c r="H1947" s="24">
        <f>IF($G1947="","",IFERROR(VLOOKUP($G1947,物料档案!$A$4:$P$1203,3,0),"※编码不在物料档案里"))</f>
        <v/>
      </c>
      <c r="I1947" s="24">
        <f>IF($G1947="","",IFERROR(VLOOKUP($G1947,物料档案!$A$4:$P$1203,4,0),"※编码不在物料档案里"))</f>
        <v/>
      </c>
      <c r="J1947" s="24">
        <f>IF($G1947="","",IFERROR(VLOOKUP($G1947,物料档案!$A$4:$P$1203,5,0),"※编码不在物料档案里"))</f>
        <v/>
      </c>
      <c r="K1947" s="23" t="n"/>
      <c r="L1947" s="31" t="n"/>
      <c r="M1947" s="24">
        <f>IF($G1947="","",IF($D1947="A国内","CNY","TZS"))</f>
        <v/>
      </c>
      <c r="N1947" s="28">
        <f>IF($G1947="","",IF($D1947="A国内",汇率,1))</f>
        <v/>
      </c>
      <c r="O1947" s="25">
        <f>IF($G1947="","",ROUND(N($K1947)*N($L1947),2))</f>
        <v/>
      </c>
      <c r="P1947" s="26">
        <f>IF($G1947="","",ROUND($O1947*$N1947,0))</f>
        <v/>
      </c>
      <c r="Q1947" s="26">
        <f>IF($G1947="","",SUMIFS($P$4:$P$2503,$E$4:$E$2503,$E1947,$Z$4:$Z$2503,"正常"))</f>
        <v/>
      </c>
      <c r="R1947" s="26">
        <f>IF($G1947="","",SUMIFS(费用台账!$I$4:$I$503,费用台账!$C$4:$C$503,$E1947,费用台账!$J$4:$J$503,"是",费用台账!$K$4:$K$503,"正常"))</f>
        <v/>
      </c>
      <c r="S1947" s="28">
        <f>IF($G1947="","",COUNTIFS($E$4:$E$2503,$E1947,$Z$4:$Z$2503,"正常",$Y$4:$Y$2503,"待补价"))</f>
        <v/>
      </c>
      <c r="T1947" s="26">
        <f>IF($G1947="","",SUMIFS($P$4:$P$2503,$E$4:$E$2503,$E1947,$Z$4:$Z$2503,"正常",$A$4:$A$2503,"&lt;="&amp;$A1947))</f>
        <v/>
      </c>
      <c r="U1947" s="26">
        <f>IF($G1947="","",IF(OR($S1947&gt;0,$Q1947=0,$R1947=0,$Z1947&lt;&gt;"正常"),0,ROUND($T1947/$Q1947*$R1947,0)-ROUND(($T1947-$P1947)/$Q1947*$R1947,0)))</f>
        <v/>
      </c>
      <c r="V1947" s="26">
        <f>IF($G1947="","",ROUND($P1947+$U1947,0))</f>
        <v/>
      </c>
      <c r="W1947" s="26">
        <f>IF($G1947="","",IF(N($K1947)=0,0,ROUND($V1947/$K1947,2)))</f>
        <v/>
      </c>
      <c r="X1947" s="17" t="n"/>
      <c r="Y1947" s="17" t="n"/>
      <c r="Z1947" s="17" t="n"/>
      <c r="AA1947" s="17" t="n"/>
      <c r="AB1947" s="17" t="n"/>
      <c r="AC1947" s="24">
        <f>IF($G1947="","",IF($H1947="※编码不在物料档案里","※物料编码不在档案里",IF(N($K1947)&lt;=0,"※入库数量要大于 0",IF(AND($C1947&lt;&gt;"",$C1947&lt;=结账锁),"※日期早于已结账截止日，不能再录",IF(AND($L1947=0,$X1947="正常"),"※没填单价，价格状态请选「待补价」",IF(AND($S1947&gt;0,$R1947&gt;0),"△本批有 "&amp;$S1947&amp;" 行没单价，整批运费先挂账没摊",IF(AND($B1947&lt;&gt;"",COUNTIF($B$4:$B$2503,$B1947)&gt;1),"※入库单号重复","")))))))</f>
        <v/>
      </c>
    </row>
    <row r="1948">
      <c r="A1948" s="24">
        <f>IF($G1948="","",COUNTA($G$4:$G1948))</f>
        <v/>
      </c>
      <c r="B1948" s="17" t="n"/>
      <c r="C1948" s="30" t="n"/>
      <c r="D1948" s="17" t="n"/>
      <c r="E1948" s="17" t="n"/>
      <c r="F1948" s="17" t="n"/>
      <c r="G1948" s="17" t="n"/>
      <c r="H1948" s="24">
        <f>IF($G1948="","",IFERROR(VLOOKUP($G1948,物料档案!$A$4:$P$1203,3,0),"※编码不在物料档案里"))</f>
        <v/>
      </c>
      <c r="I1948" s="24">
        <f>IF($G1948="","",IFERROR(VLOOKUP($G1948,物料档案!$A$4:$P$1203,4,0),"※编码不在物料档案里"))</f>
        <v/>
      </c>
      <c r="J1948" s="24">
        <f>IF($G1948="","",IFERROR(VLOOKUP($G1948,物料档案!$A$4:$P$1203,5,0),"※编码不在物料档案里"))</f>
        <v/>
      </c>
      <c r="K1948" s="23" t="n"/>
      <c r="L1948" s="31" t="n"/>
      <c r="M1948" s="24">
        <f>IF($G1948="","",IF($D1948="A国内","CNY","TZS"))</f>
        <v/>
      </c>
      <c r="N1948" s="28">
        <f>IF($G1948="","",IF($D1948="A国内",汇率,1))</f>
        <v/>
      </c>
      <c r="O1948" s="25">
        <f>IF($G1948="","",ROUND(N($K1948)*N($L1948),2))</f>
        <v/>
      </c>
      <c r="P1948" s="26">
        <f>IF($G1948="","",ROUND($O1948*$N1948,0))</f>
        <v/>
      </c>
      <c r="Q1948" s="26">
        <f>IF($G1948="","",SUMIFS($P$4:$P$2503,$E$4:$E$2503,$E1948,$Z$4:$Z$2503,"正常"))</f>
        <v/>
      </c>
      <c r="R1948" s="26">
        <f>IF($G1948="","",SUMIFS(费用台账!$I$4:$I$503,费用台账!$C$4:$C$503,$E1948,费用台账!$J$4:$J$503,"是",费用台账!$K$4:$K$503,"正常"))</f>
        <v/>
      </c>
      <c r="S1948" s="28">
        <f>IF($G1948="","",COUNTIFS($E$4:$E$2503,$E1948,$Z$4:$Z$2503,"正常",$Y$4:$Y$2503,"待补价"))</f>
        <v/>
      </c>
      <c r="T1948" s="26">
        <f>IF($G1948="","",SUMIFS($P$4:$P$2503,$E$4:$E$2503,$E1948,$Z$4:$Z$2503,"正常",$A$4:$A$2503,"&lt;="&amp;$A1948))</f>
        <v/>
      </c>
      <c r="U1948" s="26">
        <f>IF($G1948="","",IF(OR($S1948&gt;0,$Q1948=0,$R1948=0,$Z1948&lt;&gt;"正常"),0,ROUND($T1948/$Q1948*$R1948,0)-ROUND(($T1948-$P1948)/$Q1948*$R1948,0)))</f>
        <v/>
      </c>
      <c r="V1948" s="26">
        <f>IF($G1948="","",ROUND($P1948+$U1948,0))</f>
        <v/>
      </c>
      <c r="W1948" s="26">
        <f>IF($G1948="","",IF(N($K1948)=0,0,ROUND($V1948/$K1948,2)))</f>
        <v/>
      </c>
      <c r="X1948" s="17" t="n"/>
      <c r="Y1948" s="17" t="n"/>
      <c r="Z1948" s="17" t="n"/>
      <c r="AA1948" s="17" t="n"/>
      <c r="AB1948" s="17" t="n"/>
      <c r="AC1948" s="24">
        <f>IF($G1948="","",IF($H1948="※编码不在物料档案里","※物料编码不在档案里",IF(N($K1948)&lt;=0,"※入库数量要大于 0",IF(AND($C1948&lt;&gt;"",$C1948&lt;=结账锁),"※日期早于已结账截止日，不能再录",IF(AND($L1948=0,$X1948="正常"),"※没填单价，价格状态请选「待补价」",IF(AND($S1948&gt;0,$R1948&gt;0),"△本批有 "&amp;$S1948&amp;" 行没单价，整批运费先挂账没摊",IF(AND($B1948&lt;&gt;"",COUNTIF($B$4:$B$2503,$B1948)&gt;1),"※入库单号重复","")))))))</f>
        <v/>
      </c>
    </row>
    <row r="1949">
      <c r="A1949" s="24">
        <f>IF($G1949="","",COUNTA($G$4:$G1949))</f>
        <v/>
      </c>
      <c r="B1949" s="17" t="n"/>
      <c r="C1949" s="30" t="n"/>
      <c r="D1949" s="17" t="n"/>
      <c r="E1949" s="17" t="n"/>
      <c r="F1949" s="17" t="n"/>
      <c r="G1949" s="17" t="n"/>
      <c r="H1949" s="24">
        <f>IF($G1949="","",IFERROR(VLOOKUP($G1949,物料档案!$A$4:$P$1203,3,0),"※编码不在物料档案里"))</f>
        <v/>
      </c>
      <c r="I1949" s="24">
        <f>IF($G1949="","",IFERROR(VLOOKUP($G1949,物料档案!$A$4:$P$1203,4,0),"※编码不在物料档案里"))</f>
        <v/>
      </c>
      <c r="J1949" s="24">
        <f>IF($G1949="","",IFERROR(VLOOKUP($G1949,物料档案!$A$4:$P$1203,5,0),"※编码不在物料档案里"))</f>
        <v/>
      </c>
      <c r="K1949" s="23" t="n"/>
      <c r="L1949" s="31" t="n"/>
      <c r="M1949" s="24">
        <f>IF($G1949="","",IF($D1949="A国内","CNY","TZS"))</f>
        <v/>
      </c>
      <c r="N1949" s="28">
        <f>IF($G1949="","",IF($D1949="A国内",汇率,1))</f>
        <v/>
      </c>
      <c r="O1949" s="25">
        <f>IF($G1949="","",ROUND(N($K1949)*N($L1949),2))</f>
        <v/>
      </c>
      <c r="P1949" s="26">
        <f>IF($G1949="","",ROUND($O1949*$N1949,0))</f>
        <v/>
      </c>
      <c r="Q1949" s="26">
        <f>IF($G1949="","",SUMIFS($P$4:$P$2503,$E$4:$E$2503,$E1949,$Z$4:$Z$2503,"正常"))</f>
        <v/>
      </c>
      <c r="R1949" s="26">
        <f>IF($G1949="","",SUMIFS(费用台账!$I$4:$I$503,费用台账!$C$4:$C$503,$E1949,费用台账!$J$4:$J$503,"是",费用台账!$K$4:$K$503,"正常"))</f>
        <v/>
      </c>
      <c r="S1949" s="28">
        <f>IF($G1949="","",COUNTIFS($E$4:$E$2503,$E1949,$Z$4:$Z$2503,"正常",$Y$4:$Y$2503,"待补价"))</f>
        <v/>
      </c>
      <c r="T1949" s="26">
        <f>IF($G1949="","",SUMIFS($P$4:$P$2503,$E$4:$E$2503,$E1949,$Z$4:$Z$2503,"正常",$A$4:$A$2503,"&lt;="&amp;$A1949))</f>
        <v/>
      </c>
      <c r="U1949" s="26">
        <f>IF($G1949="","",IF(OR($S1949&gt;0,$Q1949=0,$R1949=0,$Z1949&lt;&gt;"正常"),0,ROUND($T1949/$Q1949*$R1949,0)-ROUND(($T1949-$P1949)/$Q1949*$R1949,0)))</f>
        <v/>
      </c>
      <c r="V1949" s="26">
        <f>IF($G1949="","",ROUND($P1949+$U1949,0))</f>
        <v/>
      </c>
      <c r="W1949" s="26">
        <f>IF($G1949="","",IF(N($K1949)=0,0,ROUND($V1949/$K1949,2)))</f>
        <v/>
      </c>
      <c r="X1949" s="17" t="n"/>
      <c r="Y1949" s="17" t="n"/>
      <c r="Z1949" s="17" t="n"/>
      <c r="AA1949" s="17" t="n"/>
      <c r="AB1949" s="17" t="n"/>
      <c r="AC1949" s="24">
        <f>IF($G1949="","",IF($H1949="※编码不在物料档案里","※物料编码不在档案里",IF(N($K1949)&lt;=0,"※入库数量要大于 0",IF(AND($C1949&lt;&gt;"",$C1949&lt;=结账锁),"※日期早于已结账截止日，不能再录",IF(AND($L1949=0,$X1949="正常"),"※没填单价，价格状态请选「待补价」",IF(AND($S1949&gt;0,$R1949&gt;0),"△本批有 "&amp;$S1949&amp;" 行没单价，整批运费先挂账没摊",IF(AND($B1949&lt;&gt;"",COUNTIF($B$4:$B$2503,$B1949)&gt;1),"※入库单号重复","")))))))</f>
        <v/>
      </c>
    </row>
    <row r="1950">
      <c r="A1950" s="24">
        <f>IF($G1950="","",COUNTA($G$4:$G1950))</f>
        <v/>
      </c>
      <c r="B1950" s="17" t="n"/>
      <c r="C1950" s="30" t="n"/>
      <c r="D1950" s="17" t="n"/>
      <c r="E1950" s="17" t="n"/>
      <c r="F1950" s="17" t="n"/>
      <c r="G1950" s="17" t="n"/>
      <c r="H1950" s="24">
        <f>IF($G1950="","",IFERROR(VLOOKUP($G1950,物料档案!$A$4:$P$1203,3,0),"※编码不在物料档案里"))</f>
        <v/>
      </c>
      <c r="I1950" s="24">
        <f>IF($G1950="","",IFERROR(VLOOKUP($G1950,物料档案!$A$4:$P$1203,4,0),"※编码不在物料档案里"))</f>
        <v/>
      </c>
      <c r="J1950" s="24">
        <f>IF($G1950="","",IFERROR(VLOOKUP($G1950,物料档案!$A$4:$P$1203,5,0),"※编码不在物料档案里"))</f>
        <v/>
      </c>
      <c r="K1950" s="23" t="n"/>
      <c r="L1950" s="31" t="n"/>
      <c r="M1950" s="24">
        <f>IF($G1950="","",IF($D1950="A国内","CNY","TZS"))</f>
        <v/>
      </c>
      <c r="N1950" s="28">
        <f>IF($G1950="","",IF($D1950="A国内",汇率,1))</f>
        <v/>
      </c>
      <c r="O1950" s="25">
        <f>IF($G1950="","",ROUND(N($K1950)*N($L1950),2))</f>
        <v/>
      </c>
      <c r="P1950" s="26">
        <f>IF($G1950="","",ROUND($O1950*$N1950,0))</f>
        <v/>
      </c>
      <c r="Q1950" s="26">
        <f>IF($G1950="","",SUMIFS($P$4:$P$2503,$E$4:$E$2503,$E1950,$Z$4:$Z$2503,"正常"))</f>
        <v/>
      </c>
      <c r="R1950" s="26">
        <f>IF($G1950="","",SUMIFS(费用台账!$I$4:$I$503,费用台账!$C$4:$C$503,$E1950,费用台账!$J$4:$J$503,"是",费用台账!$K$4:$K$503,"正常"))</f>
        <v/>
      </c>
      <c r="S1950" s="28">
        <f>IF($G1950="","",COUNTIFS($E$4:$E$2503,$E1950,$Z$4:$Z$2503,"正常",$Y$4:$Y$2503,"待补价"))</f>
        <v/>
      </c>
      <c r="T1950" s="26">
        <f>IF($G1950="","",SUMIFS($P$4:$P$2503,$E$4:$E$2503,$E1950,$Z$4:$Z$2503,"正常",$A$4:$A$2503,"&lt;="&amp;$A1950))</f>
        <v/>
      </c>
      <c r="U1950" s="26">
        <f>IF($G1950="","",IF(OR($S1950&gt;0,$Q1950=0,$R1950=0,$Z1950&lt;&gt;"正常"),0,ROUND($T1950/$Q1950*$R1950,0)-ROUND(($T1950-$P1950)/$Q1950*$R1950,0)))</f>
        <v/>
      </c>
      <c r="V1950" s="26">
        <f>IF($G1950="","",ROUND($P1950+$U1950,0))</f>
        <v/>
      </c>
      <c r="W1950" s="26">
        <f>IF($G1950="","",IF(N($K1950)=0,0,ROUND($V1950/$K1950,2)))</f>
        <v/>
      </c>
      <c r="X1950" s="17" t="n"/>
      <c r="Y1950" s="17" t="n"/>
      <c r="Z1950" s="17" t="n"/>
      <c r="AA1950" s="17" t="n"/>
      <c r="AB1950" s="17" t="n"/>
      <c r="AC1950" s="24">
        <f>IF($G1950="","",IF($H1950="※编码不在物料档案里","※物料编码不在档案里",IF(N($K1950)&lt;=0,"※入库数量要大于 0",IF(AND($C1950&lt;&gt;"",$C1950&lt;=结账锁),"※日期早于已结账截止日，不能再录",IF(AND($L1950=0,$X1950="正常"),"※没填单价，价格状态请选「待补价」",IF(AND($S1950&gt;0,$R1950&gt;0),"△本批有 "&amp;$S1950&amp;" 行没单价，整批运费先挂账没摊",IF(AND($B1950&lt;&gt;"",COUNTIF($B$4:$B$2503,$B1950)&gt;1),"※入库单号重复","")))))))</f>
        <v/>
      </c>
    </row>
    <row r="1951">
      <c r="A1951" s="24">
        <f>IF($G1951="","",COUNTA($G$4:$G1951))</f>
        <v/>
      </c>
      <c r="B1951" s="17" t="n"/>
      <c r="C1951" s="30" t="n"/>
      <c r="D1951" s="17" t="n"/>
      <c r="E1951" s="17" t="n"/>
      <c r="F1951" s="17" t="n"/>
      <c r="G1951" s="17" t="n"/>
      <c r="H1951" s="24">
        <f>IF($G1951="","",IFERROR(VLOOKUP($G1951,物料档案!$A$4:$P$1203,3,0),"※编码不在物料档案里"))</f>
        <v/>
      </c>
      <c r="I1951" s="24">
        <f>IF($G1951="","",IFERROR(VLOOKUP($G1951,物料档案!$A$4:$P$1203,4,0),"※编码不在物料档案里"))</f>
        <v/>
      </c>
      <c r="J1951" s="24">
        <f>IF($G1951="","",IFERROR(VLOOKUP($G1951,物料档案!$A$4:$P$1203,5,0),"※编码不在物料档案里"))</f>
        <v/>
      </c>
      <c r="K1951" s="23" t="n"/>
      <c r="L1951" s="31" t="n"/>
      <c r="M1951" s="24">
        <f>IF($G1951="","",IF($D1951="A国内","CNY","TZS"))</f>
        <v/>
      </c>
      <c r="N1951" s="28">
        <f>IF($G1951="","",IF($D1951="A国内",汇率,1))</f>
        <v/>
      </c>
      <c r="O1951" s="25">
        <f>IF($G1951="","",ROUND(N($K1951)*N($L1951),2))</f>
        <v/>
      </c>
      <c r="P1951" s="26">
        <f>IF($G1951="","",ROUND($O1951*$N1951,0))</f>
        <v/>
      </c>
      <c r="Q1951" s="26">
        <f>IF($G1951="","",SUMIFS($P$4:$P$2503,$E$4:$E$2503,$E1951,$Z$4:$Z$2503,"正常"))</f>
        <v/>
      </c>
      <c r="R1951" s="26">
        <f>IF($G1951="","",SUMIFS(费用台账!$I$4:$I$503,费用台账!$C$4:$C$503,$E1951,费用台账!$J$4:$J$503,"是",费用台账!$K$4:$K$503,"正常"))</f>
        <v/>
      </c>
      <c r="S1951" s="28">
        <f>IF($G1951="","",COUNTIFS($E$4:$E$2503,$E1951,$Z$4:$Z$2503,"正常",$Y$4:$Y$2503,"待补价"))</f>
        <v/>
      </c>
      <c r="T1951" s="26">
        <f>IF($G1951="","",SUMIFS($P$4:$P$2503,$E$4:$E$2503,$E1951,$Z$4:$Z$2503,"正常",$A$4:$A$2503,"&lt;="&amp;$A1951))</f>
        <v/>
      </c>
      <c r="U1951" s="26">
        <f>IF($G1951="","",IF(OR($S1951&gt;0,$Q1951=0,$R1951=0,$Z1951&lt;&gt;"正常"),0,ROUND($T1951/$Q1951*$R1951,0)-ROUND(($T1951-$P1951)/$Q1951*$R1951,0)))</f>
        <v/>
      </c>
      <c r="V1951" s="26">
        <f>IF($G1951="","",ROUND($P1951+$U1951,0))</f>
        <v/>
      </c>
      <c r="W1951" s="26">
        <f>IF($G1951="","",IF(N($K1951)=0,0,ROUND($V1951/$K1951,2)))</f>
        <v/>
      </c>
      <c r="X1951" s="17" t="n"/>
      <c r="Y1951" s="17" t="n"/>
      <c r="Z1951" s="17" t="n"/>
      <c r="AA1951" s="17" t="n"/>
      <c r="AB1951" s="17" t="n"/>
      <c r="AC1951" s="24">
        <f>IF($G1951="","",IF($H1951="※编码不在物料档案里","※物料编码不在档案里",IF(N($K1951)&lt;=0,"※入库数量要大于 0",IF(AND($C1951&lt;&gt;"",$C1951&lt;=结账锁),"※日期早于已结账截止日，不能再录",IF(AND($L1951=0,$X1951="正常"),"※没填单价，价格状态请选「待补价」",IF(AND($S1951&gt;0,$R1951&gt;0),"△本批有 "&amp;$S1951&amp;" 行没单价，整批运费先挂账没摊",IF(AND($B1951&lt;&gt;"",COUNTIF($B$4:$B$2503,$B1951)&gt;1),"※入库单号重复","")))))))</f>
        <v/>
      </c>
    </row>
    <row r="1952">
      <c r="A1952" s="24">
        <f>IF($G1952="","",COUNTA($G$4:$G1952))</f>
        <v/>
      </c>
      <c r="B1952" s="17" t="n"/>
      <c r="C1952" s="30" t="n"/>
      <c r="D1952" s="17" t="n"/>
      <c r="E1952" s="17" t="n"/>
      <c r="F1952" s="17" t="n"/>
      <c r="G1952" s="17" t="n"/>
      <c r="H1952" s="24">
        <f>IF($G1952="","",IFERROR(VLOOKUP($G1952,物料档案!$A$4:$P$1203,3,0),"※编码不在物料档案里"))</f>
        <v/>
      </c>
      <c r="I1952" s="24">
        <f>IF($G1952="","",IFERROR(VLOOKUP($G1952,物料档案!$A$4:$P$1203,4,0),"※编码不在物料档案里"))</f>
        <v/>
      </c>
      <c r="J1952" s="24">
        <f>IF($G1952="","",IFERROR(VLOOKUP($G1952,物料档案!$A$4:$P$1203,5,0),"※编码不在物料档案里"))</f>
        <v/>
      </c>
      <c r="K1952" s="23" t="n"/>
      <c r="L1952" s="31" t="n"/>
      <c r="M1952" s="24">
        <f>IF($G1952="","",IF($D1952="A国内","CNY","TZS"))</f>
        <v/>
      </c>
      <c r="N1952" s="28">
        <f>IF($G1952="","",IF($D1952="A国内",汇率,1))</f>
        <v/>
      </c>
      <c r="O1952" s="25">
        <f>IF($G1952="","",ROUND(N($K1952)*N($L1952),2))</f>
        <v/>
      </c>
      <c r="P1952" s="26">
        <f>IF($G1952="","",ROUND($O1952*$N1952,0))</f>
        <v/>
      </c>
      <c r="Q1952" s="26">
        <f>IF($G1952="","",SUMIFS($P$4:$P$2503,$E$4:$E$2503,$E1952,$Z$4:$Z$2503,"正常"))</f>
        <v/>
      </c>
      <c r="R1952" s="26">
        <f>IF($G1952="","",SUMIFS(费用台账!$I$4:$I$503,费用台账!$C$4:$C$503,$E1952,费用台账!$J$4:$J$503,"是",费用台账!$K$4:$K$503,"正常"))</f>
        <v/>
      </c>
      <c r="S1952" s="28">
        <f>IF($G1952="","",COUNTIFS($E$4:$E$2503,$E1952,$Z$4:$Z$2503,"正常",$Y$4:$Y$2503,"待补价"))</f>
        <v/>
      </c>
      <c r="T1952" s="26">
        <f>IF($G1952="","",SUMIFS($P$4:$P$2503,$E$4:$E$2503,$E1952,$Z$4:$Z$2503,"正常",$A$4:$A$2503,"&lt;="&amp;$A1952))</f>
        <v/>
      </c>
      <c r="U1952" s="26">
        <f>IF($G1952="","",IF(OR($S1952&gt;0,$Q1952=0,$R1952=0,$Z1952&lt;&gt;"正常"),0,ROUND($T1952/$Q1952*$R1952,0)-ROUND(($T1952-$P1952)/$Q1952*$R1952,0)))</f>
        <v/>
      </c>
      <c r="V1952" s="26">
        <f>IF($G1952="","",ROUND($P1952+$U1952,0))</f>
        <v/>
      </c>
      <c r="W1952" s="26">
        <f>IF($G1952="","",IF(N($K1952)=0,0,ROUND($V1952/$K1952,2)))</f>
        <v/>
      </c>
      <c r="X1952" s="17" t="n"/>
      <c r="Y1952" s="17" t="n"/>
      <c r="Z1952" s="17" t="n"/>
      <c r="AA1952" s="17" t="n"/>
      <c r="AB1952" s="17" t="n"/>
      <c r="AC1952" s="24">
        <f>IF($G1952="","",IF($H1952="※编码不在物料档案里","※物料编码不在档案里",IF(N($K1952)&lt;=0,"※入库数量要大于 0",IF(AND($C1952&lt;&gt;"",$C1952&lt;=结账锁),"※日期早于已结账截止日，不能再录",IF(AND($L1952=0,$X1952="正常"),"※没填单价，价格状态请选「待补价」",IF(AND($S1952&gt;0,$R1952&gt;0),"△本批有 "&amp;$S1952&amp;" 行没单价，整批运费先挂账没摊",IF(AND($B1952&lt;&gt;"",COUNTIF($B$4:$B$2503,$B1952)&gt;1),"※入库单号重复","")))))))</f>
        <v/>
      </c>
    </row>
    <row r="1953">
      <c r="A1953" s="24">
        <f>IF($G1953="","",COUNTA($G$4:$G1953))</f>
        <v/>
      </c>
      <c r="B1953" s="17" t="n"/>
      <c r="C1953" s="30" t="n"/>
      <c r="D1953" s="17" t="n"/>
      <c r="E1953" s="17" t="n"/>
      <c r="F1953" s="17" t="n"/>
      <c r="G1953" s="17" t="n"/>
      <c r="H1953" s="24">
        <f>IF($G1953="","",IFERROR(VLOOKUP($G1953,物料档案!$A$4:$P$1203,3,0),"※编码不在物料档案里"))</f>
        <v/>
      </c>
      <c r="I1953" s="24">
        <f>IF($G1953="","",IFERROR(VLOOKUP($G1953,物料档案!$A$4:$P$1203,4,0),"※编码不在物料档案里"))</f>
        <v/>
      </c>
      <c r="J1953" s="24">
        <f>IF($G1953="","",IFERROR(VLOOKUP($G1953,物料档案!$A$4:$P$1203,5,0),"※编码不在物料档案里"))</f>
        <v/>
      </c>
      <c r="K1953" s="23" t="n"/>
      <c r="L1953" s="31" t="n"/>
      <c r="M1953" s="24">
        <f>IF($G1953="","",IF($D1953="A国内","CNY","TZS"))</f>
        <v/>
      </c>
      <c r="N1953" s="28">
        <f>IF($G1953="","",IF($D1953="A国内",汇率,1))</f>
        <v/>
      </c>
      <c r="O1953" s="25">
        <f>IF($G1953="","",ROUND(N($K1953)*N($L1953),2))</f>
        <v/>
      </c>
      <c r="P1953" s="26">
        <f>IF($G1953="","",ROUND($O1953*$N1953,0))</f>
        <v/>
      </c>
      <c r="Q1953" s="26">
        <f>IF($G1953="","",SUMIFS($P$4:$P$2503,$E$4:$E$2503,$E1953,$Z$4:$Z$2503,"正常"))</f>
        <v/>
      </c>
      <c r="R1953" s="26">
        <f>IF($G1953="","",SUMIFS(费用台账!$I$4:$I$503,费用台账!$C$4:$C$503,$E1953,费用台账!$J$4:$J$503,"是",费用台账!$K$4:$K$503,"正常"))</f>
        <v/>
      </c>
      <c r="S1953" s="28">
        <f>IF($G1953="","",COUNTIFS($E$4:$E$2503,$E1953,$Z$4:$Z$2503,"正常",$Y$4:$Y$2503,"待补价"))</f>
        <v/>
      </c>
      <c r="T1953" s="26">
        <f>IF($G1953="","",SUMIFS($P$4:$P$2503,$E$4:$E$2503,$E1953,$Z$4:$Z$2503,"正常",$A$4:$A$2503,"&lt;="&amp;$A1953))</f>
        <v/>
      </c>
      <c r="U1953" s="26">
        <f>IF($G1953="","",IF(OR($S1953&gt;0,$Q1953=0,$R1953=0,$Z1953&lt;&gt;"正常"),0,ROUND($T1953/$Q1953*$R1953,0)-ROUND(($T1953-$P1953)/$Q1953*$R1953,0)))</f>
        <v/>
      </c>
      <c r="V1953" s="26">
        <f>IF($G1953="","",ROUND($P1953+$U1953,0))</f>
        <v/>
      </c>
      <c r="W1953" s="26">
        <f>IF($G1953="","",IF(N($K1953)=0,0,ROUND($V1953/$K1953,2)))</f>
        <v/>
      </c>
      <c r="X1953" s="17" t="n"/>
      <c r="Y1953" s="17" t="n"/>
      <c r="Z1953" s="17" t="n"/>
      <c r="AA1953" s="17" t="n"/>
      <c r="AB1953" s="17" t="n"/>
      <c r="AC1953" s="24">
        <f>IF($G1953="","",IF($H1953="※编码不在物料档案里","※物料编码不在档案里",IF(N($K1953)&lt;=0,"※入库数量要大于 0",IF(AND($C1953&lt;&gt;"",$C1953&lt;=结账锁),"※日期早于已结账截止日，不能再录",IF(AND($L1953=0,$X1953="正常"),"※没填单价，价格状态请选「待补价」",IF(AND($S1953&gt;0,$R1953&gt;0),"△本批有 "&amp;$S1953&amp;" 行没单价，整批运费先挂账没摊",IF(AND($B1953&lt;&gt;"",COUNTIF($B$4:$B$2503,$B1953)&gt;1),"※入库单号重复","")))))))</f>
        <v/>
      </c>
    </row>
    <row r="1954">
      <c r="A1954" s="24">
        <f>IF($G1954="","",COUNTA($G$4:$G1954))</f>
        <v/>
      </c>
      <c r="B1954" s="17" t="n"/>
      <c r="C1954" s="30" t="n"/>
      <c r="D1954" s="17" t="n"/>
      <c r="E1954" s="17" t="n"/>
      <c r="F1954" s="17" t="n"/>
      <c r="G1954" s="17" t="n"/>
      <c r="H1954" s="24">
        <f>IF($G1954="","",IFERROR(VLOOKUP($G1954,物料档案!$A$4:$P$1203,3,0),"※编码不在物料档案里"))</f>
        <v/>
      </c>
      <c r="I1954" s="24">
        <f>IF($G1954="","",IFERROR(VLOOKUP($G1954,物料档案!$A$4:$P$1203,4,0),"※编码不在物料档案里"))</f>
        <v/>
      </c>
      <c r="J1954" s="24">
        <f>IF($G1954="","",IFERROR(VLOOKUP($G1954,物料档案!$A$4:$P$1203,5,0),"※编码不在物料档案里"))</f>
        <v/>
      </c>
      <c r="K1954" s="23" t="n"/>
      <c r="L1954" s="31" t="n"/>
      <c r="M1954" s="24">
        <f>IF($G1954="","",IF($D1954="A国内","CNY","TZS"))</f>
        <v/>
      </c>
      <c r="N1954" s="28">
        <f>IF($G1954="","",IF($D1954="A国内",汇率,1))</f>
        <v/>
      </c>
      <c r="O1954" s="25">
        <f>IF($G1954="","",ROUND(N($K1954)*N($L1954),2))</f>
        <v/>
      </c>
      <c r="P1954" s="26">
        <f>IF($G1954="","",ROUND($O1954*$N1954,0))</f>
        <v/>
      </c>
      <c r="Q1954" s="26">
        <f>IF($G1954="","",SUMIFS($P$4:$P$2503,$E$4:$E$2503,$E1954,$Z$4:$Z$2503,"正常"))</f>
        <v/>
      </c>
      <c r="R1954" s="26">
        <f>IF($G1954="","",SUMIFS(费用台账!$I$4:$I$503,费用台账!$C$4:$C$503,$E1954,费用台账!$J$4:$J$503,"是",费用台账!$K$4:$K$503,"正常"))</f>
        <v/>
      </c>
      <c r="S1954" s="28">
        <f>IF($G1954="","",COUNTIFS($E$4:$E$2503,$E1954,$Z$4:$Z$2503,"正常",$Y$4:$Y$2503,"待补价"))</f>
        <v/>
      </c>
      <c r="T1954" s="26">
        <f>IF($G1954="","",SUMIFS($P$4:$P$2503,$E$4:$E$2503,$E1954,$Z$4:$Z$2503,"正常",$A$4:$A$2503,"&lt;="&amp;$A1954))</f>
        <v/>
      </c>
      <c r="U1954" s="26">
        <f>IF($G1954="","",IF(OR($S1954&gt;0,$Q1954=0,$R1954=0,$Z1954&lt;&gt;"正常"),0,ROUND($T1954/$Q1954*$R1954,0)-ROUND(($T1954-$P1954)/$Q1954*$R1954,0)))</f>
        <v/>
      </c>
      <c r="V1954" s="26">
        <f>IF($G1954="","",ROUND($P1954+$U1954,0))</f>
        <v/>
      </c>
      <c r="W1954" s="26">
        <f>IF($G1954="","",IF(N($K1954)=0,0,ROUND($V1954/$K1954,2)))</f>
        <v/>
      </c>
      <c r="X1954" s="17" t="n"/>
      <c r="Y1954" s="17" t="n"/>
      <c r="Z1954" s="17" t="n"/>
      <c r="AA1954" s="17" t="n"/>
      <c r="AB1954" s="17" t="n"/>
      <c r="AC1954" s="24">
        <f>IF($G1954="","",IF($H1954="※编码不在物料档案里","※物料编码不在档案里",IF(N($K1954)&lt;=0,"※入库数量要大于 0",IF(AND($C1954&lt;&gt;"",$C1954&lt;=结账锁),"※日期早于已结账截止日，不能再录",IF(AND($L1954=0,$X1954="正常"),"※没填单价，价格状态请选「待补价」",IF(AND($S1954&gt;0,$R1954&gt;0),"△本批有 "&amp;$S1954&amp;" 行没单价，整批运费先挂账没摊",IF(AND($B1954&lt;&gt;"",COUNTIF($B$4:$B$2503,$B1954)&gt;1),"※入库单号重复","")))))))</f>
        <v/>
      </c>
    </row>
    <row r="1955">
      <c r="A1955" s="24">
        <f>IF($G1955="","",COUNTA($G$4:$G1955))</f>
        <v/>
      </c>
      <c r="B1955" s="17" t="n"/>
      <c r="C1955" s="30" t="n"/>
      <c r="D1955" s="17" t="n"/>
      <c r="E1955" s="17" t="n"/>
      <c r="F1955" s="17" t="n"/>
      <c r="G1955" s="17" t="n"/>
      <c r="H1955" s="24">
        <f>IF($G1955="","",IFERROR(VLOOKUP($G1955,物料档案!$A$4:$P$1203,3,0),"※编码不在物料档案里"))</f>
        <v/>
      </c>
      <c r="I1955" s="24">
        <f>IF($G1955="","",IFERROR(VLOOKUP($G1955,物料档案!$A$4:$P$1203,4,0),"※编码不在物料档案里"))</f>
        <v/>
      </c>
      <c r="J1955" s="24">
        <f>IF($G1955="","",IFERROR(VLOOKUP($G1955,物料档案!$A$4:$P$1203,5,0),"※编码不在物料档案里"))</f>
        <v/>
      </c>
      <c r="K1955" s="23" t="n"/>
      <c r="L1955" s="31" t="n"/>
      <c r="M1955" s="24">
        <f>IF($G1955="","",IF($D1955="A国内","CNY","TZS"))</f>
        <v/>
      </c>
      <c r="N1955" s="28">
        <f>IF($G1955="","",IF($D1955="A国内",汇率,1))</f>
        <v/>
      </c>
      <c r="O1955" s="25">
        <f>IF($G1955="","",ROUND(N($K1955)*N($L1955),2))</f>
        <v/>
      </c>
      <c r="P1955" s="26">
        <f>IF($G1955="","",ROUND($O1955*$N1955,0))</f>
        <v/>
      </c>
      <c r="Q1955" s="26">
        <f>IF($G1955="","",SUMIFS($P$4:$P$2503,$E$4:$E$2503,$E1955,$Z$4:$Z$2503,"正常"))</f>
        <v/>
      </c>
      <c r="R1955" s="26">
        <f>IF($G1955="","",SUMIFS(费用台账!$I$4:$I$503,费用台账!$C$4:$C$503,$E1955,费用台账!$J$4:$J$503,"是",费用台账!$K$4:$K$503,"正常"))</f>
        <v/>
      </c>
      <c r="S1955" s="28">
        <f>IF($G1955="","",COUNTIFS($E$4:$E$2503,$E1955,$Z$4:$Z$2503,"正常",$Y$4:$Y$2503,"待补价"))</f>
        <v/>
      </c>
      <c r="T1955" s="26">
        <f>IF($G1955="","",SUMIFS($P$4:$P$2503,$E$4:$E$2503,$E1955,$Z$4:$Z$2503,"正常",$A$4:$A$2503,"&lt;="&amp;$A1955))</f>
        <v/>
      </c>
      <c r="U1955" s="26">
        <f>IF($G1955="","",IF(OR($S1955&gt;0,$Q1955=0,$R1955=0,$Z1955&lt;&gt;"正常"),0,ROUND($T1955/$Q1955*$R1955,0)-ROUND(($T1955-$P1955)/$Q1955*$R1955,0)))</f>
        <v/>
      </c>
      <c r="V1955" s="26">
        <f>IF($G1955="","",ROUND($P1955+$U1955,0))</f>
        <v/>
      </c>
      <c r="W1955" s="26">
        <f>IF($G1955="","",IF(N($K1955)=0,0,ROUND($V1955/$K1955,2)))</f>
        <v/>
      </c>
      <c r="X1955" s="17" t="n"/>
      <c r="Y1955" s="17" t="n"/>
      <c r="Z1955" s="17" t="n"/>
      <c r="AA1955" s="17" t="n"/>
      <c r="AB1955" s="17" t="n"/>
      <c r="AC1955" s="24">
        <f>IF($G1955="","",IF($H1955="※编码不在物料档案里","※物料编码不在档案里",IF(N($K1955)&lt;=0,"※入库数量要大于 0",IF(AND($C1955&lt;&gt;"",$C1955&lt;=结账锁),"※日期早于已结账截止日，不能再录",IF(AND($L1955=0,$X1955="正常"),"※没填单价，价格状态请选「待补价」",IF(AND($S1955&gt;0,$R1955&gt;0),"△本批有 "&amp;$S1955&amp;" 行没单价，整批运费先挂账没摊",IF(AND($B1955&lt;&gt;"",COUNTIF($B$4:$B$2503,$B1955)&gt;1),"※入库单号重复","")))))))</f>
        <v/>
      </c>
    </row>
    <row r="1956">
      <c r="A1956" s="24">
        <f>IF($G1956="","",COUNTA($G$4:$G1956))</f>
        <v/>
      </c>
      <c r="B1956" s="17" t="n"/>
      <c r="C1956" s="30" t="n"/>
      <c r="D1956" s="17" t="n"/>
      <c r="E1956" s="17" t="n"/>
      <c r="F1956" s="17" t="n"/>
      <c r="G1956" s="17" t="n"/>
      <c r="H1956" s="24">
        <f>IF($G1956="","",IFERROR(VLOOKUP($G1956,物料档案!$A$4:$P$1203,3,0),"※编码不在物料档案里"))</f>
        <v/>
      </c>
      <c r="I1956" s="24">
        <f>IF($G1956="","",IFERROR(VLOOKUP($G1956,物料档案!$A$4:$P$1203,4,0),"※编码不在物料档案里"))</f>
        <v/>
      </c>
      <c r="J1956" s="24">
        <f>IF($G1956="","",IFERROR(VLOOKUP($G1956,物料档案!$A$4:$P$1203,5,0),"※编码不在物料档案里"))</f>
        <v/>
      </c>
      <c r="K1956" s="23" t="n"/>
      <c r="L1956" s="31" t="n"/>
      <c r="M1956" s="24">
        <f>IF($G1956="","",IF($D1956="A国内","CNY","TZS"))</f>
        <v/>
      </c>
      <c r="N1956" s="28">
        <f>IF($G1956="","",IF($D1956="A国内",汇率,1))</f>
        <v/>
      </c>
      <c r="O1956" s="25">
        <f>IF($G1956="","",ROUND(N($K1956)*N($L1956),2))</f>
        <v/>
      </c>
      <c r="P1956" s="26">
        <f>IF($G1956="","",ROUND($O1956*$N1956,0))</f>
        <v/>
      </c>
      <c r="Q1956" s="26">
        <f>IF($G1956="","",SUMIFS($P$4:$P$2503,$E$4:$E$2503,$E1956,$Z$4:$Z$2503,"正常"))</f>
        <v/>
      </c>
      <c r="R1956" s="26">
        <f>IF($G1956="","",SUMIFS(费用台账!$I$4:$I$503,费用台账!$C$4:$C$503,$E1956,费用台账!$J$4:$J$503,"是",费用台账!$K$4:$K$503,"正常"))</f>
        <v/>
      </c>
      <c r="S1956" s="28">
        <f>IF($G1956="","",COUNTIFS($E$4:$E$2503,$E1956,$Z$4:$Z$2503,"正常",$Y$4:$Y$2503,"待补价"))</f>
        <v/>
      </c>
      <c r="T1956" s="26">
        <f>IF($G1956="","",SUMIFS($P$4:$P$2503,$E$4:$E$2503,$E1956,$Z$4:$Z$2503,"正常",$A$4:$A$2503,"&lt;="&amp;$A1956))</f>
        <v/>
      </c>
      <c r="U1956" s="26">
        <f>IF($G1956="","",IF(OR($S1956&gt;0,$Q1956=0,$R1956=0,$Z1956&lt;&gt;"正常"),0,ROUND($T1956/$Q1956*$R1956,0)-ROUND(($T1956-$P1956)/$Q1956*$R1956,0)))</f>
        <v/>
      </c>
      <c r="V1956" s="26">
        <f>IF($G1956="","",ROUND($P1956+$U1956,0))</f>
        <v/>
      </c>
      <c r="W1956" s="26">
        <f>IF($G1956="","",IF(N($K1956)=0,0,ROUND($V1956/$K1956,2)))</f>
        <v/>
      </c>
      <c r="X1956" s="17" t="n"/>
      <c r="Y1956" s="17" t="n"/>
      <c r="Z1956" s="17" t="n"/>
      <c r="AA1956" s="17" t="n"/>
      <c r="AB1956" s="17" t="n"/>
      <c r="AC1956" s="24">
        <f>IF($G1956="","",IF($H1956="※编码不在物料档案里","※物料编码不在档案里",IF(N($K1956)&lt;=0,"※入库数量要大于 0",IF(AND($C1956&lt;&gt;"",$C1956&lt;=结账锁),"※日期早于已结账截止日，不能再录",IF(AND($L1956=0,$X1956="正常"),"※没填单价，价格状态请选「待补价」",IF(AND($S1956&gt;0,$R1956&gt;0),"△本批有 "&amp;$S1956&amp;" 行没单价，整批运费先挂账没摊",IF(AND($B1956&lt;&gt;"",COUNTIF($B$4:$B$2503,$B1956)&gt;1),"※入库单号重复","")))))))</f>
        <v/>
      </c>
    </row>
    <row r="1957">
      <c r="A1957" s="24">
        <f>IF($G1957="","",COUNTA($G$4:$G1957))</f>
        <v/>
      </c>
      <c r="B1957" s="17" t="n"/>
      <c r="C1957" s="30" t="n"/>
      <c r="D1957" s="17" t="n"/>
      <c r="E1957" s="17" t="n"/>
      <c r="F1957" s="17" t="n"/>
      <c r="G1957" s="17" t="n"/>
      <c r="H1957" s="24">
        <f>IF($G1957="","",IFERROR(VLOOKUP($G1957,物料档案!$A$4:$P$1203,3,0),"※编码不在物料档案里"))</f>
        <v/>
      </c>
      <c r="I1957" s="24">
        <f>IF($G1957="","",IFERROR(VLOOKUP($G1957,物料档案!$A$4:$P$1203,4,0),"※编码不在物料档案里"))</f>
        <v/>
      </c>
      <c r="J1957" s="24">
        <f>IF($G1957="","",IFERROR(VLOOKUP($G1957,物料档案!$A$4:$P$1203,5,0),"※编码不在物料档案里"))</f>
        <v/>
      </c>
      <c r="K1957" s="23" t="n"/>
      <c r="L1957" s="31" t="n"/>
      <c r="M1957" s="24">
        <f>IF($G1957="","",IF($D1957="A国内","CNY","TZS"))</f>
        <v/>
      </c>
      <c r="N1957" s="28">
        <f>IF($G1957="","",IF($D1957="A国内",汇率,1))</f>
        <v/>
      </c>
      <c r="O1957" s="25">
        <f>IF($G1957="","",ROUND(N($K1957)*N($L1957),2))</f>
        <v/>
      </c>
      <c r="P1957" s="26">
        <f>IF($G1957="","",ROUND($O1957*$N1957,0))</f>
        <v/>
      </c>
      <c r="Q1957" s="26">
        <f>IF($G1957="","",SUMIFS($P$4:$P$2503,$E$4:$E$2503,$E1957,$Z$4:$Z$2503,"正常"))</f>
        <v/>
      </c>
      <c r="R1957" s="26">
        <f>IF($G1957="","",SUMIFS(费用台账!$I$4:$I$503,费用台账!$C$4:$C$503,$E1957,费用台账!$J$4:$J$503,"是",费用台账!$K$4:$K$503,"正常"))</f>
        <v/>
      </c>
      <c r="S1957" s="28">
        <f>IF($G1957="","",COUNTIFS($E$4:$E$2503,$E1957,$Z$4:$Z$2503,"正常",$Y$4:$Y$2503,"待补价"))</f>
        <v/>
      </c>
      <c r="T1957" s="26">
        <f>IF($G1957="","",SUMIFS($P$4:$P$2503,$E$4:$E$2503,$E1957,$Z$4:$Z$2503,"正常",$A$4:$A$2503,"&lt;="&amp;$A1957))</f>
        <v/>
      </c>
      <c r="U1957" s="26">
        <f>IF($G1957="","",IF(OR($S1957&gt;0,$Q1957=0,$R1957=0,$Z1957&lt;&gt;"正常"),0,ROUND($T1957/$Q1957*$R1957,0)-ROUND(($T1957-$P1957)/$Q1957*$R1957,0)))</f>
        <v/>
      </c>
      <c r="V1957" s="26">
        <f>IF($G1957="","",ROUND($P1957+$U1957,0))</f>
        <v/>
      </c>
      <c r="W1957" s="26">
        <f>IF($G1957="","",IF(N($K1957)=0,0,ROUND($V1957/$K1957,2)))</f>
        <v/>
      </c>
      <c r="X1957" s="17" t="n"/>
      <c r="Y1957" s="17" t="n"/>
      <c r="Z1957" s="17" t="n"/>
      <c r="AA1957" s="17" t="n"/>
      <c r="AB1957" s="17" t="n"/>
      <c r="AC1957" s="24">
        <f>IF($G1957="","",IF($H1957="※编码不在物料档案里","※物料编码不在档案里",IF(N($K1957)&lt;=0,"※入库数量要大于 0",IF(AND($C1957&lt;&gt;"",$C1957&lt;=结账锁),"※日期早于已结账截止日，不能再录",IF(AND($L1957=0,$X1957="正常"),"※没填单价，价格状态请选「待补价」",IF(AND($S1957&gt;0,$R1957&gt;0),"△本批有 "&amp;$S1957&amp;" 行没单价，整批运费先挂账没摊",IF(AND($B1957&lt;&gt;"",COUNTIF($B$4:$B$2503,$B1957)&gt;1),"※入库单号重复","")))))))</f>
        <v/>
      </c>
    </row>
    <row r="1958">
      <c r="A1958" s="24">
        <f>IF($G1958="","",COUNTA($G$4:$G1958))</f>
        <v/>
      </c>
      <c r="B1958" s="17" t="n"/>
      <c r="C1958" s="30" t="n"/>
      <c r="D1958" s="17" t="n"/>
      <c r="E1958" s="17" t="n"/>
      <c r="F1958" s="17" t="n"/>
      <c r="G1958" s="17" t="n"/>
      <c r="H1958" s="24">
        <f>IF($G1958="","",IFERROR(VLOOKUP($G1958,物料档案!$A$4:$P$1203,3,0),"※编码不在物料档案里"))</f>
        <v/>
      </c>
      <c r="I1958" s="24">
        <f>IF($G1958="","",IFERROR(VLOOKUP($G1958,物料档案!$A$4:$P$1203,4,0),"※编码不在物料档案里"))</f>
        <v/>
      </c>
      <c r="J1958" s="24">
        <f>IF($G1958="","",IFERROR(VLOOKUP($G1958,物料档案!$A$4:$P$1203,5,0),"※编码不在物料档案里"))</f>
        <v/>
      </c>
      <c r="K1958" s="23" t="n"/>
      <c r="L1958" s="31" t="n"/>
      <c r="M1958" s="24">
        <f>IF($G1958="","",IF($D1958="A国内","CNY","TZS"))</f>
        <v/>
      </c>
      <c r="N1958" s="28">
        <f>IF($G1958="","",IF($D1958="A国内",汇率,1))</f>
        <v/>
      </c>
      <c r="O1958" s="25">
        <f>IF($G1958="","",ROUND(N($K1958)*N($L1958),2))</f>
        <v/>
      </c>
      <c r="P1958" s="26">
        <f>IF($G1958="","",ROUND($O1958*$N1958,0))</f>
        <v/>
      </c>
      <c r="Q1958" s="26">
        <f>IF($G1958="","",SUMIFS($P$4:$P$2503,$E$4:$E$2503,$E1958,$Z$4:$Z$2503,"正常"))</f>
        <v/>
      </c>
      <c r="R1958" s="26">
        <f>IF($G1958="","",SUMIFS(费用台账!$I$4:$I$503,费用台账!$C$4:$C$503,$E1958,费用台账!$J$4:$J$503,"是",费用台账!$K$4:$K$503,"正常"))</f>
        <v/>
      </c>
      <c r="S1958" s="28">
        <f>IF($G1958="","",COUNTIFS($E$4:$E$2503,$E1958,$Z$4:$Z$2503,"正常",$Y$4:$Y$2503,"待补价"))</f>
        <v/>
      </c>
      <c r="T1958" s="26">
        <f>IF($G1958="","",SUMIFS($P$4:$P$2503,$E$4:$E$2503,$E1958,$Z$4:$Z$2503,"正常",$A$4:$A$2503,"&lt;="&amp;$A1958))</f>
        <v/>
      </c>
      <c r="U1958" s="26">
        <f>IF($G1958="","",IF(OR($S1958&gt;0,$Q1958=0,$R1958=0,$Z1958&lt;&gt;"正常"),0,ROUND($T1958/$Q1958*$R1958,0)-ROUND(($T1958-$P1958)/$Q1958*$R1958,0)))</f>
        <v/>
      </c>
      <c r="V1958" s="26">
        <f>IF($G1958="","",ROUND($P1958+$U1958,0))</f>
        <v/>
      </c>
      <c r="W1958" s="26">
        <f>IF($G1958="","",IF(N($K1958)=0,0,ROUND($V1958/$K1958,2)))</f>
        <v/>
      </c>
      <c r="X1958" s="17" t="n"/>
      <c r="Y1958" s="17" t="n"/>
      <c r="Z1958" s="17" t="n"/>
      <c r="AA1958" s="17" t="n"/>
      <c r="AB1958" s="17" t="n"/>
      <c r="AC1958" s="24">
        <f>IF($G1958="","",IF($H1958="※编码不在物料档案里","※物料编码不在档案里",IF(N($K1958)&lt;=0,"※入库数量要大于 0",IF(AND($C1958&lt;&gt;"",$C1958&lt;=结账锁),"※日期早于已结账截止日，不能再录",IF(AND($L1958=0,$X1958="正常"),"※没填单价，价格状态请选「待补价」",IF(AND($S1958&gt;0,$R1958&gt;0),"△本批有 "&amp;$S1958&amp;" 行没单价，整批运费先挂账没摊",IF(AND($B1958&lt;&gt;"",COUNTIF($B$4:$B$2503,$B1958)&gt;1),"※入库单号重复","")))))))</f>
        <v/>
      </c>
    </row>
    <row r="1959">
      <c r="A1959" s="24">
        <f>IF($G1959="","",COUNTA($G$4:$G1959))</f>
        <v/>
      </c>
      <c r="B1959" s="17" t="n"/>
      <c r="C1959" s="30" t="n"/>
      <c r="D1959" s="17" t="n"/>
      <c r="E1959" s="17" t="n"/>
      <c r="F1959" s="17" t="n"/>
      <c r="G1959" s="17" t="n"/>
      <c r="H1959" s="24">
        <f>IF($G1959="","",IFERROR(VLOOKUP($G1959,物料档案!$A$4:$P$1203,3,0),"※编码不在物料档案里"))</f>
        <v/>
      </c>
      <c r="I1959" s="24">
        <f>IF($G1959="","",IFERROR(VLOOKUP($G1959,物料档案!$A$4:$P$1203,4,0),"※编码不在物料档案里"))</f>
        <v/>
      </c>
      <c r="J1959" s="24">
        <f>IF($G1959="","",IFERROR(VLOOKUP($G1959,物料档案!$A$4:$P$1203,5,0),"※编码不在物料档案里"))</f>
        <v/>
      </c>
      <c r="K1959" s="23" t="n"/>
      <c r="L1959" s="31" t="n"/>
      <c r="M1959" s="24">
        <f>IF($G1959="","",IF($D1959="A国内","CNY","TZS"))</f>
        <v/>
      </c>
      <c r="N1959" s="28">
        <f>IF($G1959="","",IF($D1959="A国内",汇率,1))</f>
        <v/>
      </c>
      <c r="O1959" s="25">
        <f>IF($G1959="","",ROUND(N($K1959)*N($L1959),2))</f>
        <v/>
      </c>
      <c r="P1959" s="26">
        <f>IF($G1959="","",ROUND($O1959*$N1959,0))</f>
        <v/>
      </c>
      <c r="Q1959" s="26">
        <f>IF($G1959="","",SUMIFS($P$4:$P$2503,$E$4:$E$2503,$E1959,$Z$4:$Z$2503,"正常"))</f>
        <v/>
      </c>
      <c r="R1959" s="26">
        <f>IF($G1959="","",SUMIFS(费用台账!$I$4:$I$503,费用台账!$C$4:$C$503,$E1959,费用台账!$J$4:$J$503,"是",费用台账!$K$4:$K$503,"正常"))</f>
        <v/>
      </c>
      <c r="S1959" s="28">
        <f>IF($G1959="","",COUNTIFS($E$4:$E$2503,$E1959,$Z$4:$Z$2503,"正常",$Y$4:$Y$2503,"待补价"))</f>
        <v/>
      </c>
      <c r="T1959" s="26">
        <f>IF($G1959="","",SUMIFS($P$4:$P$2503,$E$4:$E$2503,$E1959,$Z$4:$Z$2503,"正常",$A$4:$A$2503,"&lt;="&amp;$A1959))</f>
        <v/>
      </c>
      <c r="U1959" s="26">
        <f>IF($G1959="","",IF(OR($S1959&gt;0,$Q1959=0,$R1959=0,$Z1959&lt;&gt;"正常"),0,ROUND($T1959/$Q1959*$R1959,0)-ROUND(($T1959-$P1959)/$Q1959*$R1959,0)))</f>
        <v/>
      </c>
      <c r="V1959" s="26">
        <f>IF($G1959="","",ROUND($P1959+$U1959,0))</f>
        <v/>
      </c>
      <c r="W1959" s="26">
        <f>IF($G1959="","",IF(N($K1959)=0,0,ROUND($V1959/$K1959,2)))</f>
        <v/>
      </c>
      <c r="X1959" s="17" t="n"/>
      <c r="Y1959" s="17" t="n"/>
      <c r="Z1959" s="17" t="n"/>
      <c r="AA1959" s="17" t="n"/>
      <c r="AB1959" s="17" t="n"/>
      <c r="AC1959" s="24">
        <f>IF($G1959="","",IF($H1959="※编码不在物料档案里","※物料编码不在档案里",IF(N($K1959)&lt;=0,"※入库数量要大于 0",IF(AND($C1959&lt;&gt;"",$C1959&lt;=结账锁),"※日期早于已结账截止日，不能再录",IF(AND($L1959=0,$X1959="正常"),"※没填单价，价格状态请选「待补价」",IF(AND($S1959&gt;0,$R1959&gt;0),"△本批有 "&amp;$S1959&amp;" 行没单价，整批运费先挂账没摊",IF(AND($B1959&lt;&gt;"",COUNTIF($B$4:$B$2503,$B1959)&gt;1),"※入库单号重复","")))))))</f>
        <v/>
      </c>
    </row>
    <row r="1960">
      <c r="A1960" s="24">
        <f>IF($G1960="","",COUNTA($G$4:$G1960))</f>
        <v/>
      </c>
      <c r="B1960" s="17" t="n"/>
      <c r="C1960" s="30" t="n"/>
      <c r="D1960" s="17" t="n"/>
      <c r="E1960" s="17" t="n"/>
      <c r="F1960" s="17" t="n"/>
      <c r="G1960" s="17" t="n"/>
      <c r="H1960" s="24">
        <f>IF($G1960="","",IFERROR(VLOOKUP($G1960,物料档案!$A$4:$P$1203,3,0),"※编码不在物料档案里"))</f>
        <v/>
      </c>
      <c r="I1960" s="24">
        <f>IF($G1960="","",IFERROR(VLOOKUP($G1960,物料档案!$A$4:$P$1203,4,0),"※编码不在物料档案里"))</f>
        <v/>
      </c>
      <c r="J1960" s="24">
        <f>IF($G1960="","",IFERROR(VLOOKUP($G1960,物料档案!$A$4:$P$1203,5,0),"※编码不在物料档案里"))</f>
        <v/>
      </c>
      <c r="K1960" s="23" t="n"/>
      <c r="L1960" s="31" t="n"/>
      <c r="M1960" s="24">
        <f>IF($G1960="","",IF($D1960="A国内","CNY","TZS"))</f>
        <v/>
      </c>
      <c r="N1960" s="28">
        <f>IF($G1960="","",IF($D1960="A国内",汇率,1))</f>
        <v/>
      </c>
      <c r="O1960" s="25">
        <f>IF($G1960="","",ROUND(N($K1960)*N($L1960),2))</f>
        <v/>
      </c>
      <c r="P1960" s="26">
        <f>IF($G1960="","",ROUND($O1960*$N1960,0))</f>
        <v/>
      </c>
      <c r="Q1960" s="26">
        <f>IF($G1960="","",SUMIFS($P$4:$P$2503,$E$4:$E$2503,$E1960,$Z$4:$Z$2503,"正常"))</f>
        <v/>
      </c>
      <c r="R1960" s="26">
        <f>IF($G1960="","",SUMIFS(费用台账!$I$4:$I$503,费用台账!$C$4:$C$503,$E1960,费用台账!$J$4:$J$503,"是",费用台账!$K$4:$K$503,"正常"))</f>
        <v/>
      </c>
      <c r="S1960" s="28">
        <f>IF($G1960="","",COUNTIFS($E$4:$E$2503,$E1960,$Z$4:$Z$2503,"正常",$Y$4:$Y$2503,"待补价"))</f>
        <v/>
      </c>
      <c r="T1960" s="26">
        <f>IF($G1960="","",SUMIFS($P$4:$P$2503,$E$4:$E$2503,$E1960,$Z$4:$Z$2503,"正常",$A$4:$A$2503,"&lt;="&amp;$A1960))</f>
        <v/>
      </c>
      <c r="U1960" s="26">
        <f>IF($G1960="","",IF(OR($S1960&gt;0,$Q1960=0,$R1960=0,$Z1960&lt;&gt;"正常"),0,ROUND($T1960/$Q1960*$R1960,0)-ROUND(($T1960-$P1960)/$Q1960*$R1960,0)))</f>
        <v/>
      </c>
      <c r="V1960" s="26">
        <f>IF($G1960="","",ROUND($P1960+$U1960,0))</f>
        <v/>
      </c>
      <c r="W1960" s="26">
        <f>IF($G1960="","",IF(N($K1960)=0,0,ROUND($V1960/$K1960,2)))</f>
        <v/>
      </c>
      <c r="X1960" s="17" t="n"/>
      <c r="Y1960" s="17" t="n"/>
      <c r="Z1960" s="17" t="n"/>
      <c r="AA1960" s="17" t="n"/>
      <c r="AB1960" s="17" t="n"/>
      <c r="AC1960" s="24">
        <f>IF($G1960="","",IF($H1960="※编码不在物料档案里","※物料编码不在档案里",IF(N($K1960)&lt;=0,"※入库数量要大于 0",IF(AND($C1960&lt;&gt;"",$C1960&lt;=结账锁),"※日期早于已结账截止日，不能再录",IF(AND($L1960=0,$X1960="正常"),"※没填单价，价格状态请选「待补价」",IF(AND($S1960&gt;0,$R1960&gt;0),"△本批有 "&amp;$S1960&amp;" 行没单价，整批运费先挂账没摊",IF(AND($B1960&lt;&gt;"",COUNTIF($B$4:$B$2503,$B1960)&gt;1),"※入库单号重复","")))))))</f>
        <v/>
      </c>
    </row>
    <row r="1961">
      <c r="A1961" s="24">
        <f>IF($G1961="","",COUNTA($G$4:$G1961))</f>
        <v/>
      </c>
      <c r="B1961" s="17" t="n"/>
      <c r="C1961" s="30" t="n"/>
      <c r="D1961" s="17" t="n"/>
      <c r="E1961" s="17" t="n"/>
      <c r="F1961" s="17" t="n"/>
      <c r="G1961" s="17" t="n"/>
      <c r="H1961" s="24">
        <f>IF($G1961="","",IFERROR(VLOOKUP($G1961,物料档案!$A$4:$P$1203,3,0),"※编码不在物料档案里"))</f>
        <v/>
      </c>
      <c r="I1961" s="24">
        <f>IF($G1961="","",IFERROR(VLOOKUP($G1961,物料档案!$A$4:$P$1203,4,0),"※编码不在物料档案里"))</f>
        <v/>
      </c>
      <c r="J1961" s="24">
        <f>IF($G1961="","",IFERROR(VLOOKUP($G1961,物料档案!$A$4:$P$1203,5,0),"※编码不在物料档案里"))</f>
        <v/>
      </c>
      <c r="K1961" s="23" t="n"/>
      <c r="L1961" s="31" t="n"/>
      <c r="M1961" s="24">
        <f>IF($G1961="","",IF($D1961="A国内","CNY","TZS"))</f>
        <v/>
      </c>
      <c r="N1961" s="28">
        <f>IF($G1961="","",IF($D1961="A国内",汇率,1))</f>
        <v/>
      </c>
      <c r="O1961" s="25">
        <f>IF($G1961="","",ROUND(N($K1961)*N($L1961),2))</f>
        <v/>
      </c>
      <c r="P1961" s="26">
        <f>IF($G1961="","",ROUND($O1961*$N1961,0))</f>
        <v/>
      </c>
      <c r="Q1961" s="26">
        <f>IF($G1961="","",SUMIFS($P$4:$P$2503,$E$4:$E$2503,$E1961,$Z$4:$Z$2503,"正常"))</f>
        <v/>
      </c>
      <c r="R1961" s="26">
        <f>IF($G1961="","",SUMIFS(费用台账!$I$4:$I$503,费用台账!$C$4:$C$503,$E1961,费用台账!$J$4:$J$503,"是",费用台账!$K$4:$K$503,"正常"))</f>
        <v/>
      </c>
      <c r="S1961" s="28">
        <f>IF($G1961="","",COUNTIFS($E$4:$E$2503,$E1961,$Z$4:$Z$2503,"正常",$Y$4:$Y$2503,"待补价"))</f>
        <v/>
      </c>
      <c r="T1961" s="26">
        <f>IF($G1961="","",SUMIFS($P$4:$P$2503,$E$4:$E$2503,$E1961,$Z$4:$Z$2503,"正常",$A$4:$A$2503,"&lt;="&amp;$A1961))</f>
        <v/>
      </c>
      <c r="U1961" s="26">
        <f>IF($G1961="","",IF(OR($S1961&gt;0,$Q1961=0,$R1961=0,$Z1961&lt;&gt;"正常"),0,ROUND($T1961/$Q1961*$R1961,0)-ROUND(($T1961-$P1961)/$Q1961*$R1961,0)))</f>
        <v/>
      </c>
      <c r="V1961" s="26">
        <f>IF($G1961="","",ROUND($P1961+$U1961,0))</f>
        <v/>
      </c>
      <c r="W1961" s="26">
        <f>IF($G1961="","",IF(N($K1961)=0,0,ROUND($V1961/$K1961,2)))</f>
        <v/>
      </c>
      <c r="X1961" s="17" t="n"/>
      <c r="Y1961" s="17" t="n"/>
      <c r="Z1961" s="17" t="n"/>
      <c r="AA1961" s="17" t="n"/>
      <c r="AB1961" s="17" t="n"/>
      <c r="AC1961" s="24">
        <f>IF($G1961="","",IF($H1961="※编码不在物料档案里","※物料编码不在档案里",IF(N($K1961)&lt;=0,"※入库数量要大于 0",IF(AND($C1961&lt;&gt;"",$C1961&lt;=结账锁),"※日期早于已结账截止日，不能再录",IF(AND($L1961=0,$X1961="正常"),"※没填单价，价格状态请选「待补价」",IF(AND($S1961&gt;0,$R1961&gt;0),"△本批有 "&amp;$S1961&amp;" 行没单价，整批运费先挂账没摊",IF(AND($B1961&lt;&gt;"",COUNTIF($B$4:$B$2503,$B1961)&gt;1),"※入库单号重复","")))))))</f>
        <v/>
      </c>
    </row>
    <row r="1962">
      <c r="A1962" s="24">
        <f>IF($G1962="","",COUNTA($G$4:$G1962))</f>
        <v/>
      </c>
      <c r="B1962" s="17" t="n"/>
      <c r="C1962" s="30" t="n"/>
      <c r="D1962" s="17" t="n"/>
      <c r="E1962" s="17" t="n"/>
      <c r="F1962" s="17" t="n"/>
      <c r="G1962" s="17" t="n"/>
      <c r="H1962" s="24">
        <f>IF($G1962="","",IFERROR(VLOOKUP($G1962,物料档案!$A$4:$P$1203,3,0),"※编码不在物料档案里"))</f>
        <v/>
      </c>
      <c r="I1962" s="24">
        <f>IF($G1962="","",IFERROR(VLOOKUP($G1962,物料档案!$A$4:$P$1203,4,0),"※编码不在物料档案里"))</f>
        <v/>
      </c>
      <c r="J1962" s="24">
        <f>IF($G1962="","",IFERROR(VLOOKUP($G1962,物料档案!$A$4:$P$1203,5,0),"※编码不在物料档案里"))</f>
        <v/>
      </c>
      <c r="K1962" s="23" t="n"/>
      <c r="L1962" s="31" t="n"/>
      <c r="M1962" s="24">
        <f>IF($G1962="","",IF($D1962="A国内","CNY","TZS"))</f>
        <v/>
      </c>
      <c r="N1962" s="28">
        <f>IF($G1962="","",IF($D1962="A国内",汇率,1))</f>
        <v/>
      </c>
      <c r="O1962" s="25">
        <f>IF($G1962="","",ROUND(N($K1962)*N($L1962),2))</f>
        <v/>
      </c>
      <c r="P1962" s="26">
        <f>IF($G1962="","",ROUND($O1962*$N1962,0))</f>
        <v/>
      </c>
      <c r="Q1962" s="26">
        <f>IF($G1962="","",SUMIFS($P$4:$P$2503,$E$4:$E$2503,$E1962,$Z$4:$Z$2503,"正常"))</f>
        <v/>
      </c>
      <c r="R1962" s="26">
        <f>IF($G1962="","",SUMIFS(费用台账!$I$4:$I$503,费用台账!$C$4:$C$503,$E1962,费用台账!$J$4:$J$503,"是",费用台账!$K$4:$K$503,"正常"))</f>
        <v/>
      </c>
      <c r="S1962" s="28">
        <f>IF($G1962="","",COUNTIFS($E$4:$E$2503,$E1962,$Z$4:$Z$2503,"正常",$Y$4:$Y$2503,"待补价"))</f>
        <v/>
      </c>
      <c r="T1962" s="26">
        <f>IF($G1962="","",SUMIFS($P$4:$P$2503,$E$4:$E$2503,$E1962,$Z$4:$Z$2503,"正常",$A$4:$A$2503,"&lt;="&amp;$A1962))</f>
        <v/>
      </c>
      <c r="U1962" s="26">
        <f>IF($G1962="","",IF(OR($S1962&gt;0,$Q1962=0,$R1962=0,$Z1962&lt;&gt;"正常"),0,ROUND($T1962/$Q1962*$R1962,0)-ROUND(($T1962-$P1962)/$Q1962*$R1962,0)))</f>
        <v/>
      </c>
      <c r="V1962" s="26">
        <f>IF($G1962="","",ROUND($P1962+$U1962,0))</f>
        <v/>
      </c>
      <c r="W1962" s="26">
        <f>IF($G1962="","",IF(N($K1962)=0,0,ROUND($V1962/$K1962,2)))</f>
        <v/>
      </c>
      <c r="X1962" s="17" t="n"/>
      <c r="Y1962" s="17" t="n"/>
      <c r="Z1962" s="17" t="n"/>
      <c r="AA1962" s="17" t="n"/>
      <c r="AB1962" s="17" t="n"/>
      <c r="AC1962" s="24">
        <f>IF($G1962="","",IF($H1962="※编码不在物料档案里","※物料编码不在档案里",IF(N($K1962)&lt;=0,"※入库数量要大于 0",IF(AND($C1962&lt;&gt;"",$C1962&lt;=结账锁),"※日期早于已结账截止日，不能再录",IF(AND($L1962=0,$X1962="正常"),"※没填单价，价格状态请选「待补价」",IF(AND($S1962&gt;0,$R1962&gt;0),"△本批有 "&amp;$S1962&amp;" 行没单价，整批运费先挂账没摊",IF(AND($B1962&lt;&gt;"",COUNTIF($B$4:$B$2503,$B1962)&gt;1),"※入库单号重复","")))))))</f>
        <v/>
      </c>
    </row>
    <row r="1963">
      <c r="A1963" s="24">
        <f>IF($G1963="","",COUNTA($G$4:$G1963))</f>
        <v/>
      </c>
      <c r="B1963" s="17" t="n"/>
      <c r="C1963" s="30" t="n"/>
      <c r="D1963" s="17" t="n"/>
      <c r="E1963" s="17" t="n"/>
      <c r="F1963" s="17" t="n"/>
      <c r="G1963" s="17" t="n"/>
      <c r="H1963" s="24">
        <f>IF($G1963="","",IFERROR(VLOOKUP($G1963,物料档案!$A$4:$P$1203,3,0),"※编码不在物料档案里"))</f>
        <v/>
      </c>
      <c r="I1963" s="24">
        <f>IF($G1963="","",IFERROR(VLOOKUP($G1963,物料档案!$A$4:$P$1203,4,0),"※编码不在物料档案里"))</f>
        <v/>
      </c>
      <c r="J1963" s="24">
        <f>IF($G1963="","",IFERROR(VLOOKUP($G1963,物料档案!$A$4:$P$1203,5,0),"※编码不在物料档案里"))</f>
        <v/>
      </c>
      <c r="K1963" s="23" t="n"/>
      <c r="L1963" s="31" t="n"/>
      <c r="M1963" s="24">
        <f>IF($G1963="","",IF($D1963="A国内","CNY","TZS"))</f>
        <v/>
      </c>
      <c r="N1963" s="28">
        <f>IF($G1963="","",IF($D1963="A国内",汇率,1))</f>
        <v/>
      </c>
      <c r="O1963" s="25">
        <f>IF($G1963="","",ROUND(N($K1963)*N($L1963),2))</f>
        <v/>
      </c>
      <c r="P1963" s="26">
        <f>IF($G1963="","",ROUND($O1963*$N1963,0))</f>
        <v/>
      </c>
      <c r="Q1963" s="26">
        <f>IF($G1963="","",SUMIFS($P$4:$P$2503,$E$4:$E$2503,$E1963,$Z$4:$Z$2503,"正常"))</f>
        <v/>
      </c>
      <c r="R1963" s="26">
        <f>IF($G1963="","",SUMIFS(费用台账!$I$4:$I$503,费用台账!$C$4:$C$503,$E1963,费用台账!$J$4:$J$503,"是",费用台账!$K$4:$K$503,"正常"))</f>
        <v/>
      </c>
      <c r="S1963" s="28">
        <f>IF($G1963="","",COUNTIFS($E$4:$E$2503,$E1963,$Z$4:$Z$2503,"正常",$Y$4:$Y$2503,"待补价"))</f>
        <v/>
      </c>
      <c r="T1963" s="26">
        <f>IF($G1963="","",SUMIFS($P$4:$P$2503,$E$4:$E$2503,$E1963,$Z$4:$Z$2503,"正常",$A$4:$A$2503,"&lt;="&amp;$A1963))</f>
        <v/>
      </c>
      <c r="U1963" s="26">
        <f>IF($G1963="","",IF(OR($S1963&gt;0,$Q1963=0,$R1963=0,$Z1963&lt;&gt;"正常"),0,ROUND($T1963/$Q1963*$R1963,0)-ROUND(($T1963-$P1963)/$Q1963*$R1963,0)))</f>
        <v/>
      </c>
      <c r="V1963" s="26">
        <f>IF($G1963="","",ROUND($P1963+$U1963,0))</f>
        <v/>
      </c>
      <c r="W1963" s="26">
        <f>IF($G1963="","",IF(N($K1963)=0,0,ROUND($V1963/$K1963,2)))</f>
        <v/>
      </c>
      <c r="X1963" s="17" t="n"/>
      <c r="Y1963" s="17" t="n"/>
      <c r="Z1963" s="17" t="n"/>
      <c r="AA1963" s="17" t="n"/>
      <c r="AB1963" s="17" t="n"/>
      <c r="AC1963" s="24">
        <f>IF($G1963="","",IF($H1963="※编码不在物料档案里","※物料编码不在档案里",IF(N($K1963)&lt;=0,"※入库数量要大于 0",IF(AND($C1963&lt;&gt;"",$C1963&lt;=结账锁),"※日期早于已结账截止日，不能再录",IF(AND($L1963=0,$X1963="正常"),"※没填单价，价格状态请选「待补价」",IF(AND($S1963&gt;0,$R1963&gt;0),"△本批有 "&amp;$S1963&amp;" 行没单价，整批运费先挂账没摊",IF(AND($B1963&lt;&gt;"",COUNTIF($B$4:$B$2503,$B1963)&gt;1),"※入库单号重复","")))))))</f>
        <v/>
      </c>
    </row>
    <row r="1964">
      <c r="A1964" s="24">
        <f>IF($G1964="","",COUNTA($G$4:$G1964))</f>
        <v/>
      </c>
      <c r="B1964" s="17" t="n"/>
      <c r="C1964" s="30" t="n"/>
      <c r="D1964" s="17" t="n"/>
      <c r="E1964" s="17" t="n"/>
      <c r="F1964" s="17" t="n"/>
      <c r="G1964" s="17" t="n"/>
      <c r="H1964" s="24">
        <f>IF($G1964="","",IFERROR(VLOOKUP($G1964,物料档案!$A$4:$P$1203,3,0),"※编码不在物料档案里"))</f>
        <v/>
      </c>
      <c r="I1964" s="24">
        <f>IF($G1964="","",IFERROR(VLOOKUP($G1964,物料档案!$A$4:$P$1203,4,0),"※编码不在物料档案里"))</f>
        <v/>
      </c>
      <c r="J1964" s="24">
        <f>IF($G1964="","",IFERROR(VLOOKUP($G1964,物料档案!$A$4:$P$1203,5,0),"※编码不在物料档案里"))</f>
        <v/>
      </c>
      <c r="K1964" s="23" t="n"/>
      <c r="L1964" s="31" t="n"/>
      <c r="M1964" s="24">
        <f>IF($G1964="","",IF($D1964="A国内","CNY","TZS"))</f>
        <v/>
      </c>
      <c r="N1964" s="28">
        <f>IF($G1964="","",IF($D1964="A国内",汇率,1))</f>
        <v/>
      </c>
      <c r="O1964" s="25">
        <f>IF($G1964="","",ROUND(N($K1964)*N($L1964),2))</f>
        <v/>
      </c>
      <c r="P1964" s="26">
        <f>IF($G1964="","",ROUND($O1964*$N1964,0))</f>
        <v/>
      </c>
      <c r="Q1964" s="26">
        <f>IF($G1964="","",SUMIFS($P$4:$P$2503,$E$4:$E$2503,$E1964,$Z$4:$Z$2503,"正常"))</f>
        <v/>
      </c>
      <c r="R1964" s="26">
        <f>IF($G1964="","",SUMIFS(费用台账!$I$4:$I$503,费用台账!$C$4:$C$503,$E1964,费用台账!$J$4:$J$503,"是",费用台账!$K$4:$K$503,"正常"))</f>
        <v/>
      </c>
      <c r="S1964" s="28">
        <f>IF($G1964="","",COUNTIFS($E$4:$E$2503,$E1964,$Z$4:$Z$2503,"正常",$Y$4:$Y$2503,"待补价"))</f>
        <v/>
      </c>
      <c r="T1964" s="26">
        <f>IF($G1964="","",SUMIFS($P$4:$P$2503,$E$4:$E$2503,$E1964,$Z$4:$Z$2503,"正常",$A$4:$A$2503,"&lt;="&amp;$A1964))</f>
        <v/>
      </c>
      <c r="U1964" s="26">
        <f>IF($G1964="","",IF(OR($S1964&gt;0,$Q1964=0,$R1964=0,$Z1964&lt;&gt;"正常"),0,ROUND($T1964/$Q1964*$R1964,0)-ROUND(($T1964-$P1964)/$Q1964*$R1964,0)))</f>
        <v/>
      </c>
      <c r="V1964" s="26">
        <f>IF($G1964="","",ROUND($P1964+$U1964,0))</f>
        <v/>
      </c>
      <c r="W1964" s="26">
        <f>IF($G1964="","",IF(N($K1964)=0,0,ROUND($V1964/$K1964,2)))</f>
        <v/>
      </c>
      <c r="X1964" s="17" t="n"/>
      <c r="Y1964" s="17" t="n"/>
      <c r="Z1964" s="17" t="n"/>
      <c r="AA1964" s="17" t="n"/>
      <c r="AB1964" s="17" t="n"/>
      <c r="AC1964" s="24">
        <f>IF($G1964="","",IF($H1964="※编码不在物料档案里","※物料编码不在档案里",IF(N($K1964)&lt;=0,"※入库数量要大于 0",IF(AND($C1964&lt;&gt;"",$C1964&lt;=结账锁),"※日期早于已结账截止日，不能再录",IF(AND($L1964=0,$X1964="正常"),"※没填单价，价格状态请选「待补价」",IF(AND($S1964&gt;0,$R1964&gt;0),"△本批有 "&amp;$S1964&amp;" 行没单价，整批运费先挂账没摊",IF(AND($B1964&lt;&gt;"",COUNTIF($B$4:$B$2503,$B1964)&gt;1),"※入库单号重复","")))))))</f>
        <v/>
      </c>
    </row>
    <row r="1965">
      <c r="A1965" s="24">
        <f>IF($G1965="","",COUNTA($G$4:$G1965))</f>
        <v/>
      </c>
      <c r="B1965" s="17" t="n"/>
      <c r="C1965" s="30" t="n"/>
      <c r="D1965" s="17" t="n"/>
      <c r="E1965" s="17" t="n"/>
      <c r="F1965" s="17" t="n"/>
      <c r="G1965" s="17" t="n"/>
      <c r="H1965" s="24">
        <f>IF($G1965="","",IFERROR(VLOOKUP($G1965,物料档案!$A$4:$P$1203,3,0),"※编码不在物料档案里"))</f>
        <v/>
      </c>
      <c r="I1965" s="24">
        <f>IF($G1965="","",IFERROR(VLOOKUP($G1965,物料档案!$A$4:$P$1203,4,0),"※编码不在物料档案里"))</f>
        <v/>
      </c>
      <c r="J1965" s="24">
        <f>IF($G1965="","",IFERROR(VLOOKUP($G1965,物料档案!$A$4:$P$1203,5,0),"※编码不在物料档案里"))</f>
        <v/>
      </c>
      <c r="K1965" s="23" t="n"/>
      <c r="L1965" s="31" t="n"/>
      <c r="M1965" s="24">
        <f>IF($G1965="","",IF($D1965="A国内","CNY","TZS"))</f>
        <v/>
      </c>
      <c r="N1965" s="28">
        <f>IF($G1965="","",IF($D1965="A国内",汇率,1))</f>
        <v/>
      </c>
      <c r="O1965" s="25">
        <f>IF($G1965="","",ROUND(N($K1965)*N($L1965),2))</f>
        <v/>
      </c>
      <c r="P1965" s="26">
        <f>IF($G1965="","",ROUND($O1965*$N1965,0))</f>
        <v/>
      </c>
      <c r="Q1965" s="26">
        <f>IF($G1965="","",SUMIFS($P$4:$P$2503,$E$4:$E$2503,$E1965,$Z$4:$Z$2503,"正常"))</f>
        <v/>
      </c>
      <c r="R1965" s="26">
        <f>IF($G1965="","",SUMIFS(费用台账!$I$4:$I$503,费用台账!$C$4:$C$503,$E1965,费用台账!$J$4:$J$503,"是",费用台账!$K$4:$K$503,"正常"))</f>
        <v/>
      </c>
      <c r="S1965" s="28">
        <f>IF($G1965="","",COUNTIFS($E$4:$E$2503,$E1965,$Z$4:$Z$2503,"正常",$Y$4:$Y$2503,"待补价"))</f>
        <v/>
      </c>
      <c r="T1965" s="26">
        <f>IF($G1965="","",SUMIFS($P$4:$P$2503,$E$4:$E$2503,$E1965,$Z$4:$Z$2503,"正常",$A$4:$A$2503,"&lt;="&amp;$A1965))</f>
        <v/>
      </c>
      <c r="U1965" s="26">
        <f>IF($G1965="","",IF(OR($S1965&gt;0,$Q1965=0,$R1965=0,$Z1965&lt;&gt;"正常"),0,ROUND($T1965/$Q1965*$R1965,0)-ROUND(($T1965-$P1965)/$Q1965*$R1965,0)))</f>
        <v/>
      </c>
      <c r="V1965" s="26">
        <f>IF($G1965="","",ROUND($P1965+$U1965,0))</f>
        <v/>
      </c>
      <c r="W1965" s="26">
        <f>IF($G1965="","",IF(N($K1965)=0,0,ROUND($V1965/$K1965,2)))</f>
        <v/>
      </c>
      <c r="X1965" s="17" t="n"/>
      <c r="Y1965" s="17" t="n"/>
      <c r="Z1965" s="17" t="n"/>
      <c r="AA1965" s="17" t="n"/>
      <c r="AB1965" s="17" t="n"/>
      <c r="AC1965" s="24">
        <f>IF($G1965="","",IF($H1965="※编码不在物料档案里","※物料编码不在档案里",IF(N($K1965)&lt;=0,"※入库数量要大于 0",IF(AND($C1965&lt;&gt;"",$C1965&lt;=结账锁),"※日期早于已结账截止日，不能再录",IF(AND($L1965=0,$X1965="正常"),"※没填单价，价格状态请选「待补价」",IF(AND($S1965&gt;0,$R1965&gt;0),"△本批有 "&amp;$S1965&amp;" 行没单价，整批运费先挂账没摊",IF(AND($B1965&lt;&gt;"",COUNTIF($B$4:$B$2503,$B1965)&gt;1),"※入库单号重复","")))))))</f>
        <v/>
      </c>
    </row>
    <row r="1966">
      <c r="A1966" s="24">
        <f>IF($G1966="","",COUNTA($G$4:$G1966))</f>
        <v/>
      </c>
      <c r="B1966" s="17" t="n"/>
      <c r="C1966" s="30" t="n"/>
      <c r="D1966" s="17" t="n"/>
      <c r="E1966" s="17" t="n"/>
      <c r="F1966" s="17" t="n"/>
      <c r="G1966" s="17" t="n"/>
      <c r="H1966" s="24">
        <f>IF($G1966="","",IFERROR(VLOOKUP($G1966,物料档案!$A$4:$P$1203,3,0),"※编码不在物料档案里"))</f>
        <v/>
      </c>
      <c r="I1966" s="24">
        <f>IF($G1966="","",IFERROR(VLOOKUP($G1966,物料档案!$A$4:$P$1203,4,0),"※编码不在物料档案里"))</f>
        <v/>
      </c>
      <c r="J1966" s="24">
        <f>IF($G1966="","",IFERROR(VLOOKUP($G1966,物料档案!$A$4:$P$1203,5,0),"※编码不在物料档案里"))</f>
        <v/>
      </c>
      <c r="K1966" s="23" t="n"/>
      <c r="L1966" s="31" t="n"/>
      <c r="M1966" s="24">
        <f>IF($G1966="","",IF($D1966="A国内","CNY","TZS"))</f>
        <v/>
      </c>
      <c r="N1966" s="28">
        <f>IF($G1966="","",IF($D1966="A国内",汇率,1))</f>
        <v/>
      </c>
      <c r="O1966" s="25">
        <f>IF($G1966="","",ROUND(N($K1966)*N($L1966),2))</f>
        <v/>
      </c>
      <c r="P1966" s="26">
        <f>IF($G1966="","",ROUND($O1966*$N1966,0))</f>
        <v/>
      </c>
      <c r="Q1966" s="26">
        <f>IF($G1966="","",SUMIFS($P$4:$P$2503,$E$4:$E$2503,$E1966,$Z$4:$Z$2503,"正常"))</f>
        <v/>
      </c>
      <c r="R1966" s="26">
        <f>IF($G1966="","",SUMIFS(费用台账!$I$4:$I$503,费用台账!$C$4:$C$503,$E1966,费用台账!$J$4:$J$503,"是",费用台账!$K$4:$K$503,"正常"))</f>
        <v/>
      </c>
      <c r="S1966" s="28">
        <f>IF($G1966="","",COUNTIFS($E$4:$E$2503,$E1966,$Z$4:$Z$2503,"正常",$Y$4:$Y$2503,"待补价"))</f>
        <v/>
      </c>
      <c r="T1966" s="26">
        <f>IF($G1966="","",SUMIFS($P$4:$P$2503,$E$4:$E$2503,$E1966,$Z$4:$Z$2503,"正常",$A$4:$A$2503,"&lt;="&amp;$A1966))</f>
        <v/>
      </c>
      <c r="U1966" s="26">
        <f>IF($G1966="","",IF(OR($S1966&gt;0,$Q1966=0,$R1966=0,$Z1966&lt;&gt;"正常"),0,ROUND($T1966/$Q1966*$R1966,0)-ROUND(($T1966-$P1966)/$Q1966*$R1966,0)))</f>
        <v/>
      </c>
      <c r="V1966" s="26">
        <f>IF($G1966="","",ROUND($P1966+$U1966,0))</f>
        <v/>
      </c>
      <c r="W1966" s="26">
        <f>IF($G1966="","",IF(N($K1966)=0,0,ROUND($V1966/$K1966,2)))</f>
        <v/>
      </c>
      <c r="X1966" s="17" t="n"/>
      <c r="Y1966" s="17" t="n"/>
      <c r="Z1966" s="17" t="n"/>
      <c r="AA1966" s="17" t="n"/>
      <c r="AB1966" s="17" t="n"/>
      <c r="AC1966" s="24">
        <f>IF($G1966="","",IF($H1966="※编码不在物料档案里","※物料编码不在档案里",IF(N($K1966)&lt;=0,"※入库数量要大于 0",IF(AND($C1966&lt;&gt;"",$C1966&lt;=结账锁),"※日期早于已结账截止日，不能再录",IF(AND($L1966=0,$X1966="正常"),"※没填单价，价格状态请选「待补价」",IF(AND($S1966&gt;0,$R1966&gt;0),"△本批有 "&amp;$S1966&amp;" 行没单价，整批运费先挂账没摊",IF(AND($B1966&lt;&gt;"",COUNTIF($B$4:$B$2503,$B1966)&gt;1),"※入库单号重复","")))))))</f>
        <v/>
      </c>
    </row>
    <row r="1967">
      <c r="A1967" s="24">
        <f>IF($G1967="","",COUNTA($G$4:$G1967))</f>
        <v/>
      </c>
      <c r="B1967" s="17" t="n"/>
      <c r="C1967" s="30" t="n"/>
      <c r="D1967" s="17" t="n"/>
      <c r="E1967" s="17" t="n"/>
      <c r="F1967" s="17" t="n"/>
      <c r="G1967" s="17" t="n"/>
      <c r="H1967" s="24">
        <f>IF($G1967="","",IFERROR(VLOOKUP($G1967,物料档案!$A$4:$P$1203,3,0),"※编码不在物料档案里"))</f>
        <v/>
      </c>
      <c r="I1967" s="24">
        <f>IF($G1967="","",IFERROR(VLOOKUP($G1967,物料档案!$A$4:$P$1203,4,0),"※编码不在物料档案里"))</f>
        <v/>
      </c>
      <c r="J1967" s="24">
        <f>IF($G1967="","",IFERROR(VLOOKUP($G1967,物料档案!$A$4:$P$1203,5,0),"※编码不在物料档案里"))</f>
        <v/>
      </c>
      <c r="K1967" s="23" t="n"/>
      <c r="L1967" s="31" t="n"/>
      <c r="M1967" s="24">
        <f>IF($G1967="","",IF($D1967="A国内","CNY","TZS"))</f>
        <v/>
      </c>
      <c r="N1967" s="28">
        <f>IF($G1967="","",IF($D1967="A国内",汇率,1))</f>
        <v/>
      </c>
      <c r="O1967" s="25">
        <f>IF($G1967="","",ROUND(N($K1967)*N($L1967),2))</f>
        <v/>
      </c>
      <c r="P1967" s="26">
        <f>IF($G1967="","",ROUND($O1967*$N1967,0))</f>
        <v/>
      </c>
      <c r="Q1967" s="26">
        <f>IF($G1967="","",SUMIFS($P$4:$P$2503,$E$4:$E$2503,$E1967,$Z$4:$Z$2503,"正常"))</f>
        <v/>
      </c>
      <c r="R1967" s="26">
        <f>IF($G1967="","",SUMIFS(费用台账!$I$4:$I$503,费用台账!$C$4:$C$503,$E1967,费用台账!$J$4:$J$503,"是",费用台账!$K$4:$K$503,"正常"))</f>
        <v/>
      </c>
      <c r="S1967" s="28">
        <f>IF($G1967="","",COUNTIFS($E$4:$E$2503,$E1967,$Z$4:$Z$2503,"正常",$Y$4:$Y$2503,"待补价"))</f>
        <v/>
      </c>
      <c r="T1967" s="26">
        <f>IF($G1967="","",SUMIFS($P$4:$P$2503,$E$4:$E$2503,$E1967,$Z$4:$Z$2503,"正常",$A$4:$A$2503,"&lt;="&amp;$A1967))</f>
        <v/>
      </c>
      <c r="U1967" s="26">
        <f>IF($G1967="","",IF(OR($S1967&gt;0,$Q1967=0,$R1967=0,$Z1967&lt;&gt;"正常"),0,ROUND($T1967/$Q1967*$R1967,0)-ROUND(($T1967-$P1967)/$Q1967*$R1967,0)))</f>
        <v/>
      </c>
      <c r="V1967" s="26">
        <f>IF($G1967="","",ROUND($P1967+$U1967,0))</f>
        <v/>
      </c>
      <c r="W1967" s="26">
        <f>IF($G1967="","",IF(N($K1967)=0,0,ROUND($V1967/$K1967,2)))</f>
        <v/>
      </c>
      <c r="X1967" s="17" t="n"/>
      <c r="Y1967" s="17" t="n"/>
      <c r="Z1967" s="17" t="n"/>
      <c r="AA1967" s="17" t="n"/>
      <c r="AB1967" s="17" t="n"/>
      <c r="AC1967" s="24">
        <f>IF($G1967="","",IF($H1967="※编码不在物料档案里","※物料编码不在档案里",IF(N($K1967)&lt;=0,"※入库数量要大于 0",IF(AND($C1967&lt;&gt;"",$C1967&lt;=结账锁),"※日期早于已结账截止日，不能再录",IF(AND($L1967=0,$X1967="正常"),"※没填单价，价格状态请选「待补价」",IF(AND($S1967&gt;0,$R1967&gt;0),"△本批有 "&amp;$S1967&amp;" 行没单价，整批运费先挂账没摊",IF(AND($B1967&lt;&gt;"",COUNTIF($B$4:$B$2503,$B1967)&gt;1),"※入库单号重复","")))))))</f>
        <v/>
      </c>
    </row>
    <row r="1968">
      <c r="A1968" s="24">
        <f>IF($G1968="","",COUNTA($G$4:$G1968))</f>
        <v/>
      </c>
      <c r="B1968" s="17" t="n"/>
      <c r="C1968" s="30" t="n"/>
      <c r="D1968" s="17" t="n"/>
      <c r="E1968" s="17" t="n"/>
      <c r="F1968" s="17" t="n"/>
      <c r="G1968" s="17" t="n"/>
      <c r="H1968" s="24">
        <f>IF($G1968="","",IFERROR(VLOOKUP($G1968,物料档案!$A$4:$P$1203,3,0),"※编码不在物料档案里"))</f>
        <v/>
      </c>
      <c r="I1968" s="24">
        <f>IF($G1968="","",IFERROR(VLOOKUP($G1968,物料档案!$A$4:$P$1203,4,0),"※编码不在物料档案里"))</f>
        <v/>
      </c>
      <c r="J1968" s="24">
        <f>IF($G1968="","",IFERROR(VLOOKUP($G1968,物料档案!$A$4:$P$1203,5,0),"※编码不在物料档案里"))</f>
        <v/>
      </c>
      <c r="K1968" s="23" t="n"/>
      <c r="L1968" s="31" t="n"/>
      <c r="M1968" s="24">
        <f>IF($G1968="","",IF($D1968="A国内","CNY","TZS"))</f>
        <v/>
      </c>
      <c r="N1968" s="28">
        <f>IF($G1968="","",IF($D1968="A国内",汇率,1))</f>
        <v/>
      </c>
      <c r="O1968" s="25">
        <f>IF($G1968="","",ROUND(N($K1968)*N($L1968),2))</f>
        <v/>
      </c>
      <c r="P1968" s="26">
        <f>IF($G1968="","",ROUND($O1968*$N1968,0))</f>
        <v/>
      </c>
      <c r="Q1968" s="26">
        <f>IF($G1968="","",SUMIFS($P$4:$P$2503,$E$4:$E$2503,$E1968,$Z$4:$Z$2503,"正常"))</f>
        <v/>
      </c>
      <c r="R1968" s="26">
        <f>IF($G1968="","",SUMIFS(费用台账!$I$4:$I$503,费用台账!$C$4:$C$503,$E1968,费用台账!$J$4:$J$503,"是",费用台账!$K$4:$K$503,"正常"))</f>
        <v/>
      </c>
      <c r="S1968" s="28">
        <f>IF($G1968="","",COUNTIFS($E$4:$E$2503,$E1968,$Z$4:$Z$2503,"正常",$Y$4:$Y$2503,"待补价"))</f>
        <v/>
      </c>
      <c r="T1968" s="26">
        <f>IF($G1968="","",SUMIFS($P$4:$P$2503,$E$4:$E$2503,$E1968,$Z$4:$Z$2503,"正常",$A$4:$A$2503,"&lt;="&amp;$A1968))</f>
        <v/>
      </c>
      <c r="U1968" s="26">
        <f>IF($G1968="","",IF(OR($S1968&gt;0,$Q1968=0,$R1968=0,$Z1968&lt;&gt;"正常"),0,ROUND($T1968/$Q1968*$R1968,0)-ROUND(($T1968-$P1968)/$Q1968*$R1968,0)))</f>
        <v/>
      </c>
      <c r="V1968" s="26">
        <f>IF($G1968="","",ROUND($P1968+$U1968,0))</f>
        <v/>
      </c>
      <c r="W1968" s="26">
        <f>IF($G1968="","",IF(N($K1968)=0,0,ROUND($V1968/$K1968,2)))</f>
        <v/>
      </c>
      <c r="X1968" s="17" t="n"/>
      <c r="Y1968" s="17" t="n"/>
      <c r="Z1968" s="17" t="n"/>
      <c r="AA1968" s="17" t="n"/>
      <c r="AB1968" s="17" t="n"/>
      <c r="AC1968" s="24">
        <f>IF($G1968="","",IF($H1968="※编码不在物料档案里","※物料编码不在档案里",IF(N($K1968)&lt;=0,"※入库数量要大于 0",IF(AND($C1968&lt;&gt;"",$C1968&lt;=结账锁),"※日期早于已结账截止日，不能再录",IF(AND($L1968=0,$X1968="正常"),"※没填单价，价格状态请选「待补价」",IF(AND($S1968&gt;0,$R1968&gt;0),"△本批有 "&amp;$S1968&amp;" 行没单价，整批运费先挂账没摊",IF(AND($B1968&lt;&gt;"",COUNTIF($B$4:$B$2503,$B1968)&gt;1),"※入库单号重复","")))))))</f>
        <v/>
      </c>
    </row>
    <row r="1969">
      <c r="A1969" s="24">
        <f>IF($G1969="","",COUNTA($G$4:$G1969))</f>
        <v/>
      </c>
      <c r="B1969" s="17" t="n"/>
      <c r="C1969" s="30" t="n"/>
      <c r="D1969" s="17" t="n"/>
      <c r="E1969" s="17" t="n"/>
      <c r="F1969" s="17" t="n"/>
      <c r="G1969" s="17" t="n"/>
      <c r="H1969" s="24">
        <f>IF($G1969="","",IFERROR(VLOOKUP($G1969,物料档案!$A$4:$P$1203,3,0),"※编码不在物料档案里"))</f>
        <v/>
      </c>
      <c r="I1969" s="24">
        <f>IF($G1969="","",IFERROR(VLOOKUP($G1969,物料档案!$A$4:$P$1203,4,0),"※编码不在物料档案里"))</f>
        <v/>
      </c>
      <c r="J1969" s="24">
        <f>IF($G1969="","",IFERROR(VLOOKUP($G1969,物料档案!$A$4:$P$1203,5,0),"※编码不在物料档案里"))</f>
        <v/>
      </c>
      <c r="K1969" s="23" t="n"/>
      <c r="L1969" s="31" t="n"/>
      <c r="M1969" s="24">
        <f>IF($G1969="","",IF($D1969="A国内","CNY","TZS"))</f>
        <v/>
      </c>
      <c r="N1969" s="28">
        <f>IF($G1969="","",IF($D1969="A国内",汇率,1))</f>
        <v/>
      </c>
      <c r="O1969" s="25">
        <f>IF($G1969="","",ROUND(N($K1969)*N($L1969),2))</f>
        <v/>
      </c>
      <c r="P1969" s="26">
        <f>IF($G1969="","",ROUND($O1969*$N1969,0))</f>
        <v/>
      </c>
      <c r="Q1969" s="26">
        <f>IF($G1969="","",SUMIFS($P$4:$P$2503,$E$4:$E$2503,$E1969,$Z$4:$Z$2503,"正常"))</f>
        <v/>
      </c>
      <c r="R1969" s="26">
        <f>IF($G1969="","",SUMIFS(费用台账!$I$4:$I$503,费用台账!$C$4:$C$503,$E1969,费用台账!$J$4:$J$503,"是",费用台账!$K$4:$K$503,"正常"))</f>
        <v/>
      </c>
      <c r="S1969" s="28">
        <f>IF($G1969="","",COUNTIFS($E$4:$E$2503,$E1969,$Z$4:$Z$2503,"正常",$Y$4:$Y$2503,"待补价"))</f>
        <v/>
      </c>
      <c r="T1969" s="26">
        <f>IF($G1969="","",SUMIFS($P$4:$P$2503,$E$4:$E$2503,$E1969,$Z$4:$Z$2503,"正常",$A$4:$A$2503,"&lt;="&amp;$A1969))</f>
        <v/>
      </c>
      <c r="U1969" s="26">
        <f>IF($G1969="","",IF(OR($S1969&gt;0,$Q1969=0,$R1969=0,$Z1969&lt;&gt;"正常"),0,ROUND($T1969/$Q1969*$R1969,0)-ROUND(($T1969-$P1969)/$Q1969*$R1969,0)))</f>
        <v/>
      </c>
      <c r="V1969" s="26">
        <f>IF($G1969="","",ROUND($P1969+$U1969,0))</f>
        <v/>
      </c>
      <c r="W1969" s="26">
        <f>IF($G1969="","",IF(N($K1969)=0,0,ROUND($V1969/$K1969,2)))</f>
        <v/>
      </c>
      <c r="X1969" s="17" t="n"/>
      <c r="Y1969" s="17" t="n"/>
      <c r="Z1969" s="17" t="n"/>
      <c r="AA1969" s="17" t="n"/>
      <c r="AB1969" s="17" t="n"/>
      <c r="AC1969" s="24">
        <f>IF($G1969="","",IF($H1969="※编码不在物料档案里","※物料编码不在档案里",IF(N($K1969)&lt;=0,"※入库数量要大于 0",IF(AND($C1969&lt;&gt;"",$C1969&lt;=结账锁),"※日期早于已结账截止日，不能再录",IF(AND($L1969=0,$X1969="正常"),"※没填单价，价格状态请选「待补价」",IF(AND($S1969&gt;0,$R1969&gt;0),"△本批有 "&amp;$S1969&amp;" 行没单价，整批运费先挂账没摊",IF(AND($B1969&lt;&gt;"",COUNTIF($B$4:$B$2503,$B1969)&gt;1),"※入库单号重复","")))))))</f>
        <v/>
      </c>
    </row>
    <row r="1970">
      <c r="A1970" s="24">
        <f>IF($G1970="","",COUNTA($G$4:$G1970))</f>
        <v/>
      </c>
      <c r="B1970" s="17" t="n"/>
      <c r="C1970" s="30" t="n"/>
      <c r="D1970" s="17" t="n"/>
      <c r="E1970" s="17" t="n"/>
      <c r="F1970" s="17" t="n"/>
      <c r="G1970" s="17" t="n"/>
      <c r="H1970" s="24">
        <f>IF($G1970="","",IFERROR(VLOOKUP($G1970,物料档案!$A$4:$P$1203,3,0),"※编码不在物料档案里"))</f>
        <v/>
      </c>
      <c r="I1970" s="24">
        <f>IF($G1970="","",IFERROR(VLOOKUP($G1970,物料档案!$A$4:$P$1203,4,0),"※编码不在物料档案里"))</f>
        <v/>
      </c>
      <c r="J1970" s="24">
        <f>IF($G1970="","",IFERROR(VLOOKUP($G1970,物料档案!$A$4:$P$1203,5,0),"※编码不在物料档案里"))</f>
        <v/>
      </c>
      <c r="K1970" s="23" t="n"/>
      <c r="L1970" s="31" t="n"/>
      <c r="M1970" s="24">
        <f>IF($G1970="","",IF($D1970="A国内","CNY","TZS"))</f>
        <v/>
      </c>
      <c r="N1970" s="28">
        <f>IF($G1970="","",IF($D1970="A国内",汇率,1))</f>
        <v/>
      </c>
      <c r="O1970" s="25">
        <f>IF($G1970="","",ROUND(N($K1970)*N($L1970),2))</f>
        <v/>
      </c>
      <c r="P1970" s="26">
        <f>IF($G1970="","",ROUND($O1970*$N1970,0))</f>
        <v/>
      </c>
      <c r="Q1970" s="26">
        <f>IF($G1970="","",SUMIFS($P$4:$P$2503,$E$4:$E$2503,$E1970,$Z$4:$Z$2503,"正常"))</f>
        <v/>
      </c>
      <c r="R1970" s="26">
        <f>IF($G1970="","",SUMIFS(费用台账!$I$4:$I$503,费用台账!$C$4:$C$503,$E1970,费用台账!$J$4:$J$503,"是",费用台账!$K$4:$K$503,"正常"))</f>
        <v/>
      </c>
      <c r="S1970" s="28">
        <f>IF($G1970="","",COUNTIFS($E$4:$E$2503,$E1970,$Z$4:$Z$2503,"正常",$Y$4:$Y$2503,"待补价"))</f>
        <v/>
      </c>
      <c r="T1970" s="26">
        <f>IF($G1970="","",SUMIFS($P$4:$P$2503,$E$4:$E$2503,$E1970,$Z$4:$Z$2503,"正常",$A$4:$A$2503,"&lt;="&amp;$A1970))</f>
        <v/>
      </c>
      <c r="U1970" s="26">
        <f>IF($G1970="","",IF(OR($S1970&gt;0,$Q1970=0,$R1970=0,$Z1970&lt;&gt;"正常"),0,ROUND($T1970/$Q1970*$R1970,0)-ROUND(($T1970-$P1970)/$Q1970*$R1970,0)))</f>
        <v/>
      </c>
      <c r="V1970" s="26">
        <f>IF($G1970="","",ROUND($P1970+$U1970,0))</f>
        <v/>
      </c>
      <c r="W1970" s="26">
        <f>IF($G1970="","",IF(N($K1970)=0,0,ROUND($V1970/$K1970,2)))</f>
        <v/>
      </c>
      <c r="X1970" s="17" t="n"/>
      <c r="Y1970" s="17" t="n"/>
      <c r="Z1970" s="17" t="n"/>
      <c r="AA1970" s="17" t="n"/>
      <c r="AB1970" s="17" t="n"/>
      <c r="AC1970" s="24">
        <f>IF($G1970="","",IF($H1970="※编码不在物料档案里","※物料编码不在档案里",IF(N($K1970)&lt;=0,"※入库数量要大于 0",IF(AND($C1970&lt;&gt;"",$C1970&lt;=结账锁),"※日期早于已结账截止日，不能再录",IF(AND($L1970=0,$X1970="正常"),"※没填单价，价格状态请选「待补价」",IF(AND($S1970&gt;0,$R1970&gt;0),"△本批有 "&amp;$S1970&amp;" 行没单价，整批运费先挂账没摊",IF(AND($B1970&lt;&gt;"",COUNTIF($B$4:$B$2503,$B1970)&gt;1),"※入库单号重复","")))))))</f>
        <v/>
      </c>
    </row>
    <row r="1971">
      <c r="A1971" s="24">
        <f>IF($G1971="","",COUNTA($G$4:$G1971))</f>
        <v/>
      </c>
      <c r="B1971" s="17" t="n"/>
      <c r="C1971" s="30" t="n"/>
      <c r="D1971" s="17" t="n"/>
      <c r="E1971" s="17" t="n"/>
      <c r="F1971" s="17" t="n"/>
      <c r="G1971" s="17" t="n"/>
      <c r="H1971" s="24">
        <f>IF($G1971="","",IFERROR(VLOOKUP($G1971,物料档案!$A$4:$P$1203,3,0),"※编码不在物料档案里"))</f>
        <v/>
      </c>
      <c r="I1971" s="24">
        <f>IF($G1971="","",IFERROR(VLOOKUP($G1971,物料档案!$A$4:$P$1203,4,0),"※编码不在物料档案里"))</f>
        <v/>
      </c>
      <c r="J1971" s="24">
        <f>IF($G1971="","",IFERROR(VLOOKUP($G1971,物料档案!$A$4:$P$1203,5,0),"※编码不在物料档案里"))</f>
        <v/>
      </c>
      <c r="K1971" s="23" t="n"/>
      <c r="L1971" s="31" t="n"/>
      <c r="M1971" s="24">
        <f>IF($G1971="","",IF($D1971="A国内","CNY","TZS"))</f>
        <v/>
      </c>
      <c r="N1971" s="28">
        <f>IF($G1971="","",IF($D1971="A国内",汇率,1))</f>
        <v/>
      </c>
      <c r="O1971" s="25">
        <f>IF($G1971="","",ROUND(N($K1971)*N($L1971),2))</f>
        <v/>
      </c>
      <c r="P1971" s="26">
        <f>IF($G1971="","",ROUND($O1971*$N1971,0))</f>
        <v/>
      </c>
      <c r="Q1971" s="26">
        <f>IF($G1971="","",SUMIFS($P$4:$P$2503,$E$4:$E$2503,$E1971,$Z$4:$Z$2503,"正常"))</f>
        <v/>
      </c>
      <c r="R1971" s="26">
        <f>IF($G1971="","",SUMIFS(费用台账!$I$4:$I$503,费用台账!$C$4:$C$503,$E1971,费用台账!$J$4:$J$503,"是",费用台账!$K$4:$K$503,"正常"))</f>
        <v/>
      </c>
      <c r="S1971" s="28">
        <f>IF($G1971="","",COUNTIFS($E$4:$E$2503,$E1971,$Z$4:$Z$2503,"正常",$Y$4:$Y$2503,"待补价"))</f>
        <v/>
      </c>
      <c r="T1971" s="26">
        <f>IF($G1971="","",SUMIFS($P$4:$P$2503,$E$4:$E$2503,$E1971,$Z$4:$Z$2503,"正常",$A$4:$A$2503,"&lt;="&amp;$A1971))</f>
        <v/>
      </c>
      <c r="U1971" s="26">
        <f>IF($G1971="","",IF(OR($S1971&gt;0,$Q1971=0,$R1971=0,$Z1971&lt;&gt;"正常"),0,ROUND($T1971/$Q1971*$R1971,0)-ROUND(($T1971-$P1971)/$Q1971*$R1971,0)))</f>
        <v/>
      </c>
      <c r="V1971" s="26">
        <f>IF($G1971="","",ROUND($P1971+$U1971,0))</f>
        <v/>
      </c>
      <c r="W1971" s="26">
        <f>IF($G1971="","",IF(N($K1971)=0,0,ROUND($V1971/$K1971,2)))</f>
        <v/>
      </c>
      <c r="X1971" s="17" t="n"/>
      <c r="Y1971" s="17" t="n"/>
      <c r="Z1971" s="17" t="n"/>
      <c r="AA1971" s="17" t="n"/>
      <c r="AB1971" s="17" t="n"/>
      <c r="AC1971" s="24">
        <f>IF($G1971="","",IF($H1971="※编码不在物料档案里","※物料编码不在档案里",IF(N($K1971)&lt;=0,"※入库数量要大于 0",IF(AND($C1971&lt;&gt;"",$C1971&lt;=结账锁),"※日期早于已结账截止日，不能再录",IF(AND($L1971=0,$X1971="正常"),"※没填单价，价格状态请选「待补价」",IF(AND($S1971&gt;0,$R1971&gt;0),"△本批有 "&amp;$S1971&amp;" 行没单价，整批运费先挂账没摊",IF(AND($B1971&lt;&gt;"",COUNTIF($B$4:$B$2503,$B1971)&gt;1),"※入库单号重复","")))))))</f>
        <v/>
      </c>
    </row>
    <row r="1972">
      <c r="A1972" s="24">
        <f>IF($G1972="","",COUNTA($G$4:$G1972))</f>
        <v/>
      </c>
      <c r="B1972" s="17" t="n"/>
      <c r="C1972" s="30" t="n"/>
      <c r="D1972" s="17" t="n"/>
      <c r="E1972" s="17" t="n"/>
      <c r="F1972" s="17" t="n"/>
      <c r="G1972" s="17" t="n"/>
      <c r="H1972" s="24">
        <f>IF($G1972="","",IFERROR(VLOOKUP($G1972,物料档案!$A$4:$P$1203,3,0),"※编码不在物料档案里"))</f>
        <v/>
      </c>
      <c r="I1972" s="24">
        <f>IF($G1972="","",IFERROR(VLOOKUP($G1972,物料档案!$A$4:$P$1203,4,0),"※编码不在物料档案里"))</f>
        <v/>
      </c>
      <c r="J1972" s="24">
        <f>IF($G1972="","",IFERROR(VLOOKUP($G1972,物料档案!$A$4:$P$1203,5,0),"※编码不在物料档案里"))</f>
        <v/>
      </c>
      <c r="K1972" s="23" t="n"/>
      <c r="L1972" s="31" t="n"/>
      <c r="M1972" s="24">
        <f>IF($G1972="","",IF($D1972="A国内","CNY","TZS"))</f>
        <v/>
      </c>
      <c r="N1972" s="28">
        <f>IF($G1972="","",IF($D1972="A国内",汇率,1))</f>
        <v/>
      </c>
      <c r="O1972" s="25">
        <f>IF($G1972="","",ROUND(N($K1972)*N($L1972),2))</f>
        <v/>
      </c>
      <c r="P1972" s="26">
        <f>IF($G1972="","",ROUND($O1972*$N1972,0))</f>
        <v/>
      </c>
      <c r="Q1972" s="26">
        <f>IF($G1972="","",SUMIFS($P$4:$P$2503,$E$4:$E$2503,$E1972,$Z$4:$Z$2503,"正常"))</f>
        <v/>
      </c>
      <c r="R1972" s="26">
        <f>IF($G1972="","",SUMIFS(费用台账!$I$4:$I$503,费用台账!$C$4:$C$503,$E1972,费用台账!$J$4:$J$503,"是",费用台账!$K$4:$K$503,"正常"))</f>
        <v/>
      </c>
      <c r="S1972" s="28">
        <f>IF($G1972="","",COUNTIFS($E$4:$E$2503,$E1972,$Z$4:$Z$2503,"正常",$Y$4:$Y$2503,"待补价"))</f>
        <v/>
      </c>
      <c r="T1972" s="26">
        <f>IF($G1972="","",SUMIFS($P$4:$P$2503,$E$4:$E$2503,$E1972,$Z$4:$Z$2503,"正常",$A$4:$A$2503,"&lt;="&amp;$A1972))</f>
        <v/>
      </c>
      <c r="U1972" s="26">
        <f>IF($G1972="","",IF(OR($S1972&gt;0,$Q1972=0,$R1972=0,$Z1972&lt;&gt;"正常"),0,ROUND($T1972/$Q1972*$R1972,0)-ROUND(($T1972-$P1972)/$Q1972*$R1972,0)))</f>
        <v/>
      </c>
      <c r="V1972" s="26">
        <f>IF($G1972="","",ROUND($P1972+$U1972,0))</f>
        <v/>
      </c>
      <c r="W1972" s="26">
        <f>IF($G1972="","",IF(N($K1972)=0,0,ROUND($V1972/$K1972,2)))</f>
        <v/>
      </c>
      <c r="X1972" s="17" t="n"/>
      <c r="Y1972" s="17" t="n"/>
      <c r="Z1972" s="17" t="n"/>
      <c r="AA1972" s="17" t="n"/>
      <c r="AB1972" s="17" t="n"/>
      <c r="AC1972" s="24">
        <f>IF($G1972="","",IF($H1972="※编码不在物料档案里","※物料编码不在档案里",IF(N($K1972)&lt;=0,"※入库数量要大于 0",IF(AND($C1972&lt;&gt;"",$C1972&lt;=结账锁),"※日期早于已结账截止日，不能再录",IF(AND($L1972=0,$X1972="正常"),"※没填单价，价格状态请选「待补价」",IF(AND($S1972&gt;0,$R1972&gt;0),"△本批有 "&amp;$S1972&amp;" 行没单价，整批运费先挂账没摊",IF(AND($B1972&lt;&gt;"",COUNTIF($B$4:$B$2503,$B1972)&gt;1),"※入库单号重复","")))))))</f>
        <v/>
      </c>
    </row>
    <row r="1973">
      <c r="A1973" s="24">
        <f>IF($G1973="","",COUNTA($G$4:$G1973))</f>
        <v/>
      </c>
      <c r="B1973" s="17" t="n"/>
      <c r="C1973" s="30" t="n"/>
      <c r="D1973" s="17" t="n"/>
      <c r="E1973" s="17" t="n"/>
      <c r="F1973" s="17" t="n"/>
      <c r="G1973" s="17" t="n"/>
      <c r="H1973" s="24">
        <f>IF($G1973="","",IFERROR(VLOOKUP($G1973,物料档案!$A$4:$P$1203,3,0),"※编码不在物料档案里"))</f>
        <v/>
      </c>
      <c r="I1973" s="24">
        <f>IF($G1973="","",IFERROR(VLOOKUP($G1973,物料档案!$A$4:$P$1203,4,0),"※编码不在物料档案里"))</f>
        <v/>
      </c>
      <c r="J1973" s="24">
        <f>IF($G1973="","",IFERROR(VLOOKUP($G1973,物料档案!$A$4:$P$1203,5,0),"※编码不在物料档案里"))</f>
        <v/>
      </c>
      <c r="K1973" s="23" t="n"/>
      <c r="L1973" s="31" t="n"/>
      <c r="M1973" s="24">
        <f>IF($G1973="","",IF($D1973="A国内","CNY","TZS"))</f>
        <v/>
      </c>
      <c r="N1973" s="28">
        <f>IF($G1973="","",IF($D1973="A国内",汇率,1))</f>
        <v/>
      </c>
      <c r="O1973" s="25">
        <f>IF($G1973="","",ROUND(N($K1973)*N($L1973),2))</f>
        <v/>
      </c>
      <c r="P1973" s="26">
        <f>IF($G1973="","",ROUND($O1973*$N1973,0))</f>
        <v/>
      </c>
      <c r="Q1973" s="26">
        <f>IF($G1973="","",SUMIFS($P$4:$P$2503,$E$4:$E$2503,$E1973,$Z$4:$Z$2503,"正常"))</f>
        <v/>
      </c>
      <c r="R1973" s="26">
        <f>IF($G1973="","",SUMIFS(费用台账!$I$4:$I$503,费用台账!$C$4:$C$503,$E1973,费用台账!$J$4:$J$503,"是",费用台账!$K$4:$K$503,"正常"))</f>
        <v/>
      </c>
      <c r="S1973" s="28">
        <f>IF($G1973="","",COUNTIFS($E$4:$E$2503,$E1973,$Z$4:$Z$2503,"正常",$Y$4:$Y$2503,"待补价"))</f>
        <v/>
      </c>
      <c r="T1973" s="26">
        <f>IF($G1973="","",SUMIFS($P$4:$P$2503,$E$4:$E$2503,$E1973,$Z$4:$Z$2503,"正常",$A$4:$A$2503,"&lt;="&amp;$A1973))</f>
        <v/>
      </c>
      <c r="U1973" s="26">
        <f>IF($G1973="","",IF(OR($S1973&gt;0,$Q1973=0,$R1973=0,$Z1973&lt;&gt;"正常"),0,ROUND($T1973/$Q1973*$R1973,0)-ROUND(($T1973-$P1973)/$Q1973*$R1973,0)))</f>
        <v/>
      </c>
      <c r="V1973" s="26">
        <f>IF($G1973="","",ROUND($P1973+$U1973,0))</f>
        <v/>
      </c>
      <c r="W1973" s="26">
        <f>IF($G1973="","",IF(N($K1973)=0,0,ROUND($V1973/$K1973,2)))</f>
        <v/>
      </c>
      <c r="X1973" s="17" t="n"/>
      <c r="Y1973" s="17" t="n"/>
      <c r="Z1973" s="17" t="n"/>
      <c r="AA1973" s="17" t="n"/>
      <c r="AB1973" s="17" t="n"/>
      <c r="AC1973" s="24">
        <f>IF($G1973="","",IF($H1973="※编码不在物料档案里","※物料编码不在档案里",IF(N($K1973)&lt;=0,"※入库数量要大于 0",IF(AND($C1973&lt;&gt;"",$C1973&lt;=结账锁),"※日期早于已结账截止日，不能再录",IF(AND($L1973=0,$X1973="正常"),"※没填单价，价格状态请选「待补价」",IF(AND($S1973&gt;0,$R1973&gt;0),"△本批有 "&amp;$S1973&amp;" 行没单价，整批运费先挂账没摊",IF(AND($B1973&lt;&gt;"",COUNTIF($B$4:$B$2503,$B1973)&gt;1),"※入库单号重复","")))))))</f>
        <v/>
      </c>
    </row>
    <row r="1974">
      <c r="A1974" s="24">
        <f>IF($G1974="","",COUNTA($G$4:$G1974))</f>
        <v/>
      </c>
      <c r="B1974" s="17" t="n"/>
      <c r="C1974" s="30" t="n"/>
      <c r="D1974" s="17" t="n"/>
      <c r="E1974" s="17" t="n"/>
      <c r="F1974" s="17" t="n"/>
      <c r="G1974" s="17" t="n"/>
      <c r="H1974" s="24">
        <f>IF($G1974="","",IFERROR(VLOOKUP($G1974,物料档案!$A$4:$P$1203,3,0),"※编码不在物料档案里"))</f>
        <v/>
      </c>
      <c r="I1974" s="24">
        <f>IF($G1974="","",IFERROR(VLOOKUP($G1974,物料档案!$A$4:$P$1203,4,0),"※编码不在物料档案里"))</f>
        <v/>
      </c>
      <c r="J1974" s="24">
        <f>IF($G1974="","",IFERROR(VLOOKUP($G1974,物料档案!$A$4:$P$1203,5,0),"※编码不在物料档案里"))</f>
        <v/>
      </c>
      <c r="K1974" s="23" t="n"/>
      <c r="L1974" s="31" t="n"/>
      <c r="M1974" s="24">
        <f>IF($G1974="","",IF($D1974="A国内","CNY","TZS"))</f>
        <v/>
      </c>
      <c r="N1974" s="28">
        <f>IF($G1974="","",IF($D1974="A国内",汇率,1))</f>
        <v/>
      </c>
      <c r="O1974" s="25">
        <f>IF($G1974="","",ROUND(N($K1974)*N($L1974),2))</f>
        <v/>
      </c>
      <c r="P1974" s="26">
        <f>IF($G1974="","",ROUND($O1974*$N1974,0))</f>
        <v/>
      </c>
      <c r="Q1974" s="26">
        <f>IF($G1974="","",SUMIFS($P$4:$P$2503,$E$4:$E$2503,$E1974,$Z$4:$Z$2503,"正常"))</f>
        <v/>
      </c>
      <c r="R1974" s="26">
        <f>IF($G1974="","",SUMIFS(费用台账!$I$4:$I$503,费用台账!$C$4:$C$503,$E1974,费用台账!$J$4:$J$503,"是",费用台账!$K$4:$K$503,"正常"))</f>
        <v/>
      </c>
      <c r="S1974" s="28">
        <f>IF($G1974="","",COUNTIFS($E$4:$E$2503,$E1974,$Z$4:$Z$2503,"正常",$Y$4:$Y$2503,"待补价"))</f>
        <v/>
      </c>
      <c r="T1974" s="26">
        <f>IF($G1974="","",SUMIFS($P$4:$P$2503,$E$4:$E$2503,$E1974,$Z$4:$Z$2503,"正常",$A$4:$A$2503,"&lt;="&amp;$A1974))</f>
        <v/>
      </c>
      <c r="U1974" s="26">
        <f>IF($G1974="","",IF(OR($S1974&gt;0,$Q1974=0,$R1974=0,$Z1974&lt;&gt;"正常"),0,ROUND($T1974/$Q1974*$R1974,0)-ROUND(($T1974-$P1974)/$Q1974*$R1974,0)))</f>
        <v/>
      </c>
      <c r="V1974" s="26">
        <f>IF($G1974="","",ROUND($P1974+$U1974,0))</f>
        <v/>
      </c>
      <c r="W1974" s="26">
        <f>IF($G1974="","",IF(N($K1974)=0,0,ROUND($V1974/$K1974,2)))</f>
        <v/>
      </c>
      <c r="X1974" s="17" t="n"/>
      <c r="Y1974" s="17" t="n"/>
      <c r="Z1974" s="17" t="n"/>
      <c r="AA1974" s="17" t="n"/>
      <c r="AB1974" s="17" t="n"/>
      <c r="AC1974" s="24">
        <f>IF($G1974="","",IF($H1974="※编码不在物料档案里","※物料编码不在档案里",IF(N($K1974)&lt;=0,"※入库数量要大于 0",IF(AND($C1974&lt;&gt;"",$C1974&lt;=结账锁),"※日期早于已结账截止日，不能再录",IF(AND($L1974=0,$X1974="正常"),"※没填单价，价格状态请选「待补价」",IF(AND($S1974&gt;0,$R1974&gt;0),"△本批有 "&amp;$S1974&amp;" 行没单价，整批运费先挂账没摊",IF(AND($B1974&lt;&gt;"",COUNTIF($B$4:$B$2503,$B1974)&gt;1),"※入库单号重复","")))))))</f>
        <v/>
      </c>
    </row>
    <row r="1975">
      <c r="A1975" s="24">
        <f>IF($G1975="","",COUNTA($G$4:$G1975))</f>
        <v/>
      </c>
      <c r="B1975" s="17" t="n"/>
      <c r="C1975" s="30" t="n"/>
      <c r="D1975" s="17" t="n"/>
      <c r="E1975" s="17" t="n"/>
      <c r="F1975" s="17" t="n"/>
      <c r="G1975" s="17" t="n"/>
      <c r="H1975" s="24">
        <f>IF($G1975="","",IFERROR(VLOOKUP($G1975,物料档案!$A$4:$P$1203,3,0),"※编码不在物料档案里"))</f>
        <v/>
      </c>
      <c r="I1975" s="24">
        <f>IF($G1975="","",IFERROR(VLOOKUP($G1975,物料档案!$A$4:$P$1203,4,0),"※编码不在物料档案里"))</f>
        <v/>
      </c>
      <c r="J1975" s="24">
        <f>IF($G1975="","",IFERROR(VLOOKUP($G1975,物料档案!$A$4:$P$1203,5,0),"※编码不在物料档案里"))</f>
        <v/>
      </c>
      <c r="K1975" s="23" t="n"/>
      <c r="L1975" s="31" t="n"/>
      <c r="M1975" s="24">
        <f>IF($G1975="","",IF($D1975="A国内","CNY","TZS"))</f>
        <v/>
      </c>
      <c r="N1975" s="28">
        <f>IF($G1975="","",IF($D1975="A国内",汇率,1))</f>
        <v/>
      </c>
      <c r="O1975" s="25">
        <f>IF($G1975="","",ROUND(N($K1975)*N($L1975),2))</f>
        <v/>
      </c>
      <c r="P1975" s="26">
        <f>IF($G1975="","",ROUND($O1975*$N1975,0))</f>
        <v/>
      </c>
      <c r="Q1975" s="26">
        <f>IF($G1975="","",SUMIFS($P$4:$P$2503,$E$4:$E$2503,$E1975,$Z$4:$Z$2503,"正常"))</f>
        <v/>
      </c>
      <c r="R1975" s="26">
        <f>IF($G1975="","",SUMIFS(费用台账!$I$4:$I$503,费用台账!$C$4:$C$503,$E1975,费用台账!$J$4:$J$503,"是",费用台账!$K$4:$K$503,"正常"))</f>
        <v/>
      </c>
      <c r="S1975" s="28">
        <f>IF($G1975="","",COUNTIFS($E$4:$E$2503,$E1975,$Z$4:$Z$2503,"正常",$Y$4:$Y$2503,"待补价"))</f>
        <v/>
      </c>
      <c r="T1975" s="26">
        <f>IF($G1975="","",SUMIFS($P$4:$P$2503,$E$4:$E$2503,$E1975,$Z$4:$Z$2503,"正常",$A$4:$A$2503,"&lt;="&amp;$A1975))</f>
        <v/>
      </c>
      <c r="U1975" s="26">
        <f>IF($G1975="","",IF(OR($S1975&gt;0,$Q1975=0,$R1975=0,$Z1975&lt;&gt;"正常"),0,ROUND($T1975/$Q1975*$R1975,0)-ROUND(($T1975-$P1975)/$Q1975*$R1975,0)))</f>
        <v/>
      </c>
      <c r="V1975" s="26">
        <f>IF($G1975="","",ROUND($P1975+$U1975,0))</f>
        <v/>
      </c>
      <c r="W1975" s="26">
        <f>IF($G1975="","",IF(N($K1975)=0,0,ROUND($V1975/$K1975,2)))</f>
        <v/>
      </c>
      <c r="X1975" s="17" t="n"/>
      <c r="Y1975" s="17" t="n"/>
      <c r="Z1975" s="17" t="n"/>
      <c r="AA1975" s="17" t="n"/>
      <c r="AB1975" s="17" t="n"/>
      <c r="AC1975" s="24">
        <f>IF($G1975="","",IF($H1975="※编码不在物料档案里","※物料编码不在档案里",IF(N($K1975)&lt;=0,"※入库数量要大于 0",IF(AND($C1975&lt;&gt;"",$C1975&lt;=结账锁),"※日期早于已结账截止日，不能再录",IF(AND($L1975=0,$X1975="正常"),"※没填单价，价格状态请选「待补价」",IF(AND($S1975&gt;0,$R1975&gt;0),"△本批有 "&amp;$S1975&amp;" 行没单价，整批运费先挂账没摊",IF(AND($B1975&lt;&gt;"",COUNTIF($B$4:$B$2503,$B1975)&gt;1),"※入库单号重复","")))))))</f>
        <v/>
      </c>
    </row>
    <row r="1976">
      <c r="A1976" s="24">
        <f>IF($G1976="","",COUNTA($G$4:$G1976))</f>
        <v/>
      </c>
      <c r="B1976" s="17" t="n"/>
      <c r="C1976" s="30" t="n"/>
      <c r="D1976" s="17" t="n"/>
      <c r="E1976" s="17" t="n"/>
      <c r="F1976" s="17" t="n"/>
      <c r="G1976" s="17" t="n"/>
      <c r="H1976" s="24">
        <f>IF($G1976="","",IFERROR(VLOOKUP($G1976,物料档案!$A$4:$P$1203,3,0),"※编码不在物料档案里"))</f>
        <v/>
      </c>
      <c r="I1976" s="24">
        <f>IF($G1976="","",IFERROR(VLOOKUP($G1976,物料档案!$A$4:$P$1203,4,0),"※编码不在物料档案里"))</f>
        <v/>
      </c>
      <c r="J1976" s="24">
        <f>IF($G1976="","",IFERROR(VLOOKUP($G1976,物料档案!$A$4:$P$1203,5,0),"※编码不在物料档案里"))</f>
        <v/>
      </c>
      <c r="K1976" s="23" t="n"/>
      <c r="L1976" s="31" t="n"/>
      <c r="M1976" s="24">
        <f>IF($G1976="","",IF($D1976="A国内","CNY","TZS"))</f>
        <v/>
      </c>
      <c r="N1976" s="28">
        <f>IF($G1976="","",IF($D1976="A国内",汇率,1))</f>
        <v/>
      </c>
      <c r="O1976" s="25">
        <f>IF($G1976="","",ROUND(N($K1976)*N($L1976),2))</f>
        <v/>
      </c>
      <c r="P1976" s="26">
        <f>IF($G1976="","",ROUND($O1976*$N1976,0))</f>
        <v/>
      </c>
      <c r="Q1976" s="26">
        <f>IF($G1976="","",SUMIFS($P$4:$P$2503,$E$4:$E$2503,$E1976,$Z$4:$Z$2503,"正常"))</f>
        <v/>
      </c>
      <c r="R1976" s="26">
        <f>IF($G1976="","",SUMIFS(费用台账!$I$4:$I$503,费用台账!$C$4:$C$503,$E1976,费用台账!$J$4:$J$503,"是",费用台账!$K$4:$K$503,"正常"))</f>
        <v/>
      </c>
      <c r="S1976" s="28">
        <f>IF($G1976="","",COUNTIFS($E$4:$E$2503,$E1976,$Z$4:$Z$2503,"正常",$Y$4:$Y$2503,"待补价"))</f>
        <v/>
      </c>
      <c r="T1976" s="26">
        <f>IF($G1976="","",SUMIFS($P$4:$P$2503,$E$4:$E$2503,$E1976,$Z$4:$Z$2503,"正常",$A$4:$A$2503,"&lt;="&amp;$A1976))</f>
        <v/>
      </c>
      <c r="U1976" s="26">
        <f>IF($G1976="","",IF(OR($S1976&gt;0,$Q1976=0,$R1976=0,$Z1976&lt;&gt;"正常"),0,ROUND($T1976/$Q1976*$R1976,0)-ROUND(($T1976-$P1976)/$Q1976*$R1976,0)))</f>
        <v/>
      </c>
      <c r="V1976" s="26">
        <f>IF($G1976="","",ROUND($P1976+$U1976,0))</f>
        <v/>
      </c>
      <c r="W1976" s="26">
        <f>IF($G1976="","",IF(N($K1976)=0,0,ROUND($V1976/$K1976,2)))</f>
        <v/>
      </c>
      <c r="X1976" s="17" t="n"/>
      <c r="Y1976" s="17" t="n"/>
      <c r="Z1976" s="17" t="n"/>
      <c r="AA1976" s="17" t="n"/>
      <c r="AB1976" s="17" t="n"/>
      <c r="AC1976" s="24">
        <f>IF($G1976="","",IF($H1976="※编码不在物料档案里","※物料编码不在档案里",IF(N($K1976)&lt;=0,"※入库数量要大于 0",IF(AND($C1976&lt;&gt;"",$C1976&lt;=结账锁),"※日期早于已结账截止日，不能再录",IF(AND($L1976=0,$X1976="正常"),"※没填单价，价格状态请选「待补价」",IF(AND($S1976&gt;0,$R1976&gt;0),"△本批有 "&amp;$S1976&amp;" 行没单价，整批运费先挂账没摊",IF(AND($B1976&lt;&gt;"",COUNTIF($B$4:$B$2503,$B1976)&gt;1),"※入库单号重复","")))))))</f>
        <v/>
      </c>
    </row>
    <row r="1977">
      <c r="A1977" s="24">
        <f>IF($G1977="","",COUNTA($G$4:$G1977))</f>
        <v/>
      </c>
      <c r="B1977" s="17" t="n"/>
      <c r="C1977" s="30" t="n"/>
      <c r="D1977" s="17" t="n"/>
      <c r="E1977" s="17" t="n"/>
      <c r="F1977" s="17" t="n"/>
      <c r="G1977" s="17" t="n"/>
      <c r="H1977" s="24">
        <f>IF($G1977="","",IFERROR(VLOOKUP($G1977,物料档案!$A$4:$P$1203,3,0),"※编码不在物料档案里"))</f>
        <v/>
      </c>
      <c r="I1977" s="24">
        <f>IF($G1977="","",IFERROR(VLOOKUP($G1977,物料档案!$A$4:$P$1203,4,0),"※编码不在物料档案里"))</f>
        <v/>
      </c>
      <c r="J1977" s="24">
        <f>IF($G1977="","",IFERROR(VLOOKUP($G1977,物料档案!$A$4:$P$1203,5,0),"※编码不在物料档案里"))</f>
        <v/>
      </c>
      <c r="K1977" s="23" t="n"/>
      <c r="L1977" s="31" t="n"/>
      <c r="M1977" s="24">
        <f>IF($G1977="","",IF($D1977="A国内","CNY","TZS"))</f>
        <v/>
      </c>
      <c r="N1977" s="28">
        <f>IF($G1977="","",IF($D1977="A国内",汇率,1))</f>
        <v/>
      </c>
      <c r="O1977" s="25">
        <f>IF($G1977="","",ROUND(N($K1977)*N($L1977),2))</f>
        <v/>
      </c>
      <c r="P1977" s="26">
        <f>IF($G1977="","",ROUND($O1977*$N1977,0))</f>
        <v/>
      </c>
      <c r="Q1977" s="26">
        <f>IF($G1977="","",SUMIFS($P$4:$P$2503,$E$4:$E$2503,$E1977,$Z$4:$Z$2503,"正常"))</f>
        <v/>
      </c>
      <c r="R1977" s="26">
        <f>IF($G1977="","",SUMIFS(费用台账!$I$4:$I$503,费用台账!$C$4:$C$503,$E1977,费用台账!$J$4:$J$503,"是",费用台账!$K$4:$K$503,"正常"))</f>
        <v/>
      </c>
      <c r="S1977" s="28">
        <f>IF($G1977="","",COUNTIFS($E$4:$E$2503,$E1977,$Z$4:$Z$2503,"正常",$Y$4:$Y$2503,"待补价"))</f>
        <v/>
      </c>
      <c r="T1977" s="26">
        <f>IF($G1977="","",SUMIFS($P$4:$P$2503,$E$4:$E$2503,$E1977,$Z$4:$Z$2503,"正常",$A$4:$A$2503,"&lt;="&amp;$A1977))</f>
        <v/>
      </c>
      <c r="U1977" s="26">
        <f>IF($G1977="","",IF(OR($S1977&gt;0,$Q1977=0,$R1977=0,$Z1977&lt;&gt;"正常"),0,ROUND($T1977/$Q1977*$R1977,0)-ROUND(($T1977-$P1977)/$Q1977*$R1977,0)))</f>
        <v/>
      </c>
      <c r="V1977" s="26">
        <f>IF($G1977="","",ROUND($P1977+$U1977,0))</f>
        <v/>
      </c>
      <c r="W1977" s="26">
        <f>IF($G1977="","",IF(N($K1977)=0,0,ROUND($V1977/$K1977,2)))</f>
        <v/>
      </c>
      <c r="X1977" s="17" t="n"/>
      <c r="Y1977" s="17" t="n"/>
      <c r="Z1977" s="17" t="n"/>
      <c r="AA1977" s="17" t="n"/>
      <c r="AB1977" s="17" t="n"/>
      <c r="AC1977" s="24">
        <f>IF($G1977="","",IF($H1977="※编码不在物料档案里","※物料编码不在档案里",IF(N($K1977)&lt;=0,"※入库数量要大于 0",IF(AND($C1977&lt;&gt;"",$C1977&lt;=结账锁),"※日期早于已结账截止日，不能再录",IF(AND($L1977=0,$X1977="正常"),"※没填单价，价格状态请选「待补价」",IF(AND($S1977&gt;0,$R1977&gt;0),"△本批有 "&amp;$S1977&amp;" 行没单价，整批运费先挂账没摊",IF(AND($B1977&lt;&gt;"",COUNTIF($B$4:$B$2503,$B1977)&gt;1),"※入库单号重复","")))))))</f>
        <v/>
      </c>
    </row>
    <row r="1978">
      <c r="A1978" s="24">
        <f>IF($G1978="","",COUNTA($G$4:$G1978))</f>
        <v/>
      </c>
      <c r="B1978" s="17" t="n"/>
      <c r="C1978" s="30" t="n"/>
      <c r="D1978" s="17" t="n"/>
      <c r="E1978" s="17" t="n"/>
      <c r="F1978" s="17" t="n"/>
      <c r="G1978" s="17" t="n"/>
      <c r="H1978" s="24">
        <f>IF($G1978="","",IFERROR(VLOOKUP($G1978,物料档案!$A$4:$P$1203,3,0),"※编码不在物料档案里"))</f>
        <v/>
      </c>
      <c r="I1978" s="24">
        <f>IF($G1978="","",IFERROR(VLOOKUP($G1978,物料档案!$A$4:$P$1203,4,0),"※编码不在物料档案里"))</f>
        <v/>
      </c>
      <c r="J1978" s="24">
        <f>IF($G1978="","",IFERROR(VLOOKUP($G1978,物料档案!$A$4:$P$1203,5,0),"※编码不在物料档案里"))</f>
        <v/>
      </c>
      <c r="K1978" s="23" t="n"/>
      <c r="L1978" s="31" t="n"/>
      <c r="M1978" s="24">
        <f>IF($G1978="","",IF($D1978="A国内","CNY","TZS"))</f>
        <v/>
      </c>
      <c r="N1978" s="28">
        <f>IF($G1978="","",IF($D1978="A国内",汇率,1))</f>
        <v/>
      </c>
      <c r="O1978" s="25">
        <f>IF($G1978="","",ROUND(N($K1978)*N($L1978),2))</f>
        <v/>
      </c>
      <c r="P1978" s="26">
        <f>IF($G1978="","",ROUND($O1978*$N1978,0))</f>
        <v/>
      </c>
      <c r="Q1978" s="26">
        <f>IF($G1978="","",SUMIFS($P$4:$P$2503,$E$4:$E$2503,$E1978,$Z$4:$Z$2503,"正常"))</f>
        <v/>
      </c>
      <c r="R1978" s="26">
        <f>IF($G1978="","",SUMIFS(费用台账!$I$4:$I$503,费用台账!$C$4:$C$503,$E1978,费用台账!$J$4:$J$503,"是",费用台账!$K$4:$K$503,"正常"))</f>
        <v/>
      </c>
      <c r="S1978" s="28">
        <f>IF($G1978="","",COUNTIFS($E$4:$E$2503,$E1978,$Z$4:$Z$2503,"正常",$Y$4:$Y$2503,"待补价"))</f>
        <v/>
      </c>
      <c r="T1978" s="26">
        <f>IF($G1978="","",SUMIFS($P$4:$P$2503,$E$4:$E$2503,$E1978,$Z$4:$Z$2503,"正常",$A$4:$A$2503,"&lt;="&amp;$A1978))</f>
        <v/>
      </c>
      <c r="U1978" s="26">
        <f>IF($G1978="","",IF(OR($S1978&gt;0,$Q1978=0,$R1978=0,$Z1978&lt;&gt;"正常"),0,ROUND($T1978/$Q1978*$R1978,0)-ROUND(($T1978-$P1978)/$Q1978*$R1978,0)))</f>
        <v/>
      </c>
      <c r="V1978" s="26">
        <f>IF($G1978="","",ROUND($P1978+$U1978,0))</f>
        <v/>
      </c>
      <c r="W1978" s="26">
        <f>IF($G1978="","",IF(N($K1978)=0,0,ROUND($V1978/$K1978,2)))</f>
        <v/>
      </c>
      <c r="X1978" s="17" t="n"/>
      <c r="Y1978" s="17" t="n"/>
      <c r="Z1978" s="17" t="n"/>
      <c r="AA1978" s="17" t="n"/>
      <c r="AB1978" s="17" t="n"/>
      <c r="AC1978" s="24">
        <f>IF($G1978="","",IF($H1978="※编码不在物料档案里","※物料编码不在档案里",IF(N($K1978)&lt;=0,"※入库数量要大于 0",IF(AND($C1978&lt;&gt;"",$C1978&lt;=结账锁),"※日期早于已结账截止日，不能再录",IF(AND($L1978=0,$X1978="正常"),"※没填单价，价格状态请选「待补价」",IF(AND($S1978&gt;0,$R1978&gt;0),"△本批有 "&amp;$S1978&amp;" 行没单价，整批运费先挂账没摊",IF(AND($B1978&lt;&gt;"",COUNTIF($B$4:$B$2503,$B1978)&gt;1),"※入库单号重复","")))))))</f>
        <v/>
      </c>
    </row>
    <row r="1979">
      <c r="A1979" s="24">
        <f>IF($G1979="","",COUNTA($G$4:$G1979))</f>
        <v/>
      </c>
      <c r="B1979" s="17" t="n"/>
      <c r="C1979" s="30" t="n"/>
      <c r="D1979" s="17" t="n"/>
      <c r="E1979" s="17" t="n"/>
      <c r="F1979" s="17" t="n"/>
      <c r="G1979" s="17" t="n"/>
      <c r="H1979" s="24">
        <f>IF($G1979="","",IFERROR(VLOOKUP($G1979,物料档案!$A$4:$P$1203,3,0),"※编码不在物料档案里"))</f>
        <v/>
      </c>
      <c r="I1979" s="24">
        <f>IF($G1979="","",IFERROR(VLOOKUP($G1979,物料档案!$A$4:$P$1203,4,0),"※编码不在物料档案里"))</f>
        <v/>
      </c>
      <c r="J1979" s="24">
        <f>IF($G1979="","",IFERROR(VLOOKUP($G1979,物料档案!$A$4:$P$1203,5,0),"※编码不在物料档案里"))</f>
        <v/>
      </c>
      <c r="K1979" s="23" t="n"/>
      <c r="L1979" s="31" t="n"/>
      <c r="M1979" s="24">
        <f>IF($G1979="","",IF($D1979="A国内","CNY","TZS"))</f>
        <v/>
      </c>
      <c r="N1979" s="28">
        <f>IF($G1979="","",IF($D1979="A国内",汇率,1))</f>
        <v/>
      </c>
      <c r="O1979" s="25">
        <f>IF($G1979="","",ROUND(N($K1979)*N($L1979),2))</f>
        <v/>
      </c>
      <c r="P1979" s="26">
        <f>IF($G1979="","",ROUND($O1979*$N1979,0))</f>
        <v/>
      </c>
      <c r="Q1979" s="26">
        <f>IF($G1979="","",SUMIFS($P$4:$P$2503,$E$4:$E$2503,$E1979,$Z$4:$Z$2503,"正常"))</f>
        <v/>
      </c>
      <c r="R1979" s="26">
        <f>IF($G1979="","",SUMIFS(费用台账!$I$4:$I$503,费用台账!$C$4:$C$503,$E1979,费用台账!$J$4:$J$503,"是",费用台账!$K$4:$K$503,"正常"))</f>
        <v/>
      </c>
      <c r="S1979" s="28">
        <f>IF($G1979="","",COUNTIFS($E$4:$E$2503,$E1979,$Z$4:$Z$2503,"正常",$Y$4:$Y$2503,"待补价"))</f>
        <v/>
      </c>
      <c r="T1979" s="26">
        <f>IF($G1979="","",SUMIFS($P$4:$P$2503,$E$4:$E$2503,$E1979,$Z$4:$Z$2503,"正常",$A$4:$A$2503,"&lt;="&amp;$A1979))</f>
        <v/>
      </c>
      <c r="U1979" s="26">
        <f>IF($G1979="","",IF(OR($S1979&gt;0,$Q1979=0,$R1979=0,$Z1979&lt;&gt;"正常"),0,ROUND($T1979/$Q1979*$R1979,0)-ROUND(($T1979-$P1979)/$Q1979*$R1979,0)))</f>
        <v/>
      </c>
      <c r="V1979" s="26">
        <f>IF($G1979="","",ROUND($P1979+$U1979,0))</f>
        <v/>
      </c>
      <c r="W1979" s="26">
        <f>IF($G1979="","",IF(N($K1979)=0,0,ROUND($V1979/$K1979,2)))</f>
        <v/>
      </c>
      <c r="X1979" s="17" t="n"/>
      <c r="Y1979" s="17" t="n"/>
      <c r="Z1979" s="17" t="n"/>
      <c r="AA1979" s="17" t="n"/>
      <c r="AB1979" s="17" t="n"/>
      <c r="AC1979" s="24">
        <f>IF($G1979="","",IF($H1979="※编码不在物料档案里","※物料编码不在档案里",IF(N($K1979)&lt;=0,"※入库数量要大于 0",IF(AND($C1979&lt;&gt;"",$C1979&lt;=结账锁),"※日期早于已结账截止日，不能再录",IF(AND($L1979=0,$X1979="正常"),"※没填单价，价格状态请选「待补价」",IF(AND($S1979&gt;0,$R1979&gt;0),"△本批有 "&amp;$S1979&amp;" 行没单价，整批运费先挂账没摊",IF(AND($B1979&lt;&gt;"",COUNTIF($B$4:$B$2503,$B1979)&gt;1),"※入库单号重复","")))))))</f>
        <v/>
      </c>
    </row>
    <row r="1980">
      <c r="A1980" s="24">
        <f>IF($G1980="","",COUNTA($G$4:$G1980))</f>
        <v/>
      </c>
      <c r="B1980" s="17" t="n"/>
      <c r="C1980" s="30" t="n"/>
      <c r="D1980" s="17" t="n"/>
      <c r="E1980" s="17" t="n"/>
      <c r="F1980" s="17" t="n"/>
      <c r="G1980" s="17" t="n"/>
      <c r="H1980" s="24">
        <f>IF($G1980="","",IFERROR(VLOOKUP($G1980,物料档案!$A$4:$P$1203,3,0),"※编码不在物料档案里"))</f>
        <v/>
      </c>
      <c r="I1980" s="24">
        <f>IF($G1980="","",IFERROR(VLOOKUP($G1980,物料档案!$A$4:$P$1203,4,0),"※编码不在物料档案里"))</f>
        <v/>
      </c>
      <c r="J1980" s="24">
        <f>IF($G1980="","",IFERROR(VLOOKUP($G1980,物料档案!$A$4:$P$1203,5,0),"※编码不在物料档案里"))</f>
        <v/>
      </c>
      <c r="K1980" s="23" t="n"/>
      <c r="L1980" s="31" t="n"/>
      <c r="M1980" s="24">
        <f>IF($G1980="","",IF($D1980="A国内","CNY","TZS"))</f>
        <v/>
      </c>
      <c r="N1980" s="28">
        <f>IF($G1980="","",IF($D1980="A国内",汇率,1))</f>
        <v/>
      </c>
      <c r="O1980" s="25">
        <f>IF($G1980="","",ROUND(N($K1980)*N($L1980),2))</f>
        <v/>
      </c>
      <c r="P1980" s="26">
        <f>IF($G1980="","",ROUND($O1980*$N1980,0))</f>
        <v/>
      </c>
      <c r="Q1980" s="26">
        <f>IF($G1980="","",SUMIFS($P$4:$P$2503,$E$4:$E$2503,$E1980,$Z$4:$Z$2503,"正常"))</f>
        <v/>
      </c>
      <c r="R1980" s="26">
        <f>IF($G1980="","",SUMIFS(费用台账!$I$4:$I$503,费用台账!$C$4:$C$503,$E1980,费用台账!$J$4:$J$503,"是",费用台账!$K$4:$K$503,"正常"))</f>
        <v/>
      </c>
      <c r="S1980" s="28">
        <f>IF($G1980="","",COUNTIFS($E$4:$E$2503,$E1980,$Z$4:$Z$2503,"正常",$Y$4:$Y$2503,"待补价"))</f>
        <v/>
      </c>
      <c r="T1980" s="26">
        <f>IF($G1980="","",SUMIFS($P$4:$P$2503,$E$4:$E$2503,$E1980,$Z$4:$Z$2503,"正常",$A$4:$A$2503,"&lt;="&amp;$A1980))</f>
        <v/>
      </c>
      <c r="U1980" s="26">
        <f>IF($G1980="","",IF(OR($S1980&gt;0,$Q1980=0,$R1980=0,$Z1980&lt;&gt;"正常"),0,ROUND($T1980/$Q1980*$R1980,0)-ROUND(($T1980-$P1980)/$Q1980*$R1980,0)))</f>
        <v/>
      </c>
      <c r="V1980" s="26">
        <f>IF($G1980="","",ROUND($P1980+$U1980,0))</f>
        <v/>
      </c>
      <c r="W1980" s="26">
        <f>IF($G1980="","",IF(N($K1980)=0,0,ROUND($V1980/$K1980,2)))</f>
        <v/>
      </c>
      <c r="X1980" s="17" t="n"/>
      <c r="Y1980" s="17" t="n"/>
      <c r="Z1980" s="17" t="n"/>
      <c r="AA1980" s="17" t="n"/>
      <c r="AB1980" s="17" t="n"/>
      <c r="AC1980" s="24">
        <f>IF($G1980="","",IF($H1980="※编码不在物料档案里","※物料编码不在档案里",IF(N($K1980)&lt;=0,"※入库数量要大于 0",IF(AND($C1980&lt;&gt;"",$C1980&lt;=结账锁),"※日期早于已结账截止日，不能再录",IF(AND($L1980=0,$X1980="正常"),"※没填单价，价格状态请选「待补价」",IF(AND($S1980&gt;0,$R1980&gt;0),"△本批有 "&amp;$S1980&amp;" 行没单价，整批运费先挂账没摊",IF(AND($B1980&lt;&gt;"",COUNTIF($B$4:$B$2503,$B1980)&gt;1),"※入库单号重复","")))))))</f>
        <v/>
      </c>
    </row>
    <row r="1981">
      <c r="A1981" s="24">
        <f>IF($G1981="","",COUNTA($G$4:$G1981))</f>
        <v/>
      </c>
      <c r="B1981" s="17" t="n"/>
      <c r="C1981" s="30" t="n"/>
      <c r="D1981" s="17" t="n"/>
      <c r="E1981" s="17" t="n"/>
      <c r="F1981" s="17" t="n"/>
      <c r="G1981" s="17" t="n"/>
      <c r="H1981" s="24">
        <f>IF($G1981="","",IFERROR(VLOOKUP($G1981,物料档案!$A$4:$P$1203,3,0),"※编码不在物料档案里"))</f>
        <v/>
      </c>
      <c r="I1981" s="24">
        <f>IF($G1981="","",IFERROR(VLOOKUP($G1981,物料档案!$A$4:$P$1203,4,0),"※编码不在物料档案里"))</f>
        <v/>
      </c>
      <c r="J1981" s="24">
        <f>IF($G1981="","",IFERROR(VLOOKUP($G1981,物料档案!$A$4:$P$1203,5,0),"※编码不在物料档案里"))</f>
        <v/>
      </c>
      <c r="K1981" s="23" t="n"/>
      <c r="L1981" s="31" t="n"/>
      <c r="M1981" s="24">
        <f>IF($G1981="","",IF($D1981="A国内","CNY","TZS"))</f>
        <v/>
      </c>
      <c r="N1981" s="28">
        <f>IF($G1981="","",IF($D1981="A国内",汇率,1))</f>
        <v/>
      </c>
      <c r="O1981" s="25">
        <f>IF($G1981="","",ROUND(N($K1981)*N($L1981),2))</f>
        <v/>
      </c>
      <c r="P1981" s="26">
        <f>IF($G1981="","",ROUND($O1981*$N1981,0))</f>
        <v/>
      </c>
      <c r="Q1981" s="26">
        <f>IF($G1981="","",SUMIFS($P$4:$P$2503,$E$4:$E$2503,$E1981,$Z$4:$Z$2503,"正常"))</f>
        <v/>
      </c>
      <c r="R1981" s="26">
        <f>IF($G1981="","",SUMIFS(费用台账!$I$4:$I$503,费用台账!$C$4:$C$503,$E1981,费用台账!$J$4:$J$503,"是",费用台账!$K$4:$K$503,"正常"))</f>
        <v/>
      </c>
      <c r="S1981" s="28">
        <f>IF($G1981="","",COUNTIFS($E$4:$E$2503,$E1981,$Z$4:$Z$2503,"正常",$Y$4:$Y$2503,"待补价"))</f>
        <v/>
      </c>
      <c r="T1981" s="26">
        <f>IF($G1981="","",SUMIFS($P$4:$P$2503,$E$4:$E$2503,$E1981,$Z$4:$Z$2503,"正常",$A$4:$A$2503,"&lt;="&amp;$A1981))</f>
        <v/>
      </c>
      <c r="U1981" s="26">
        <f>IF($G1981="","",IF(OR($S1981&gt;0,$Q1981=0,$R1981=0,$Z1981&lt;&gt;"正常"),0,ROUND($T1981/$Q1981*$R1981,0)-ROUND(($T1981-$P1981)/$Q1981*$R1981,0)))</f>
        <v/>
      </c>
      <c r="V1981" s="26">
        <f>IF($G1981="","",ROUND($P1981+$U1981,0))</f>
        <v/>
      </c>
      <c r="W1981" s="26">
        <f>IF($G1981="","",IF(N($K1981)=0,0,ROUND($V1981/$K1981,2)))</f>
        <v/>
      </c>
      <c r="X1981" s="17" t="n"/>
      <c r="Y1981" s="17" t="n"/>
      <c r="Z1981" s="17" t="n"/>
      <c r="AA1981" s="17" t="n"/>
      <c r="AB1981" s="17" t="n"/>
      <c r="AC1981" s="24">
        <f>IF($G1981="","",IF($H1981="※编码不在物料档案里","※物料编码不在档案里",IF(N($K1981)&lt;=0,"※入库数量要大于 0",IF(AND($C1981&lt;&gt;"",$C1981&lt;=结账锁),"※日期早于已结账截止日，不能再录",IF(AND($L1981=0,$X1981="正常"),"※没填单价，价格状态请选「待补价」",IF(AND($S1981&gt;0,$R1981&gt;0),"△本批有 "&amp;$S1981&amp;" 行没单价，整批运费先挂账没摊",IF(AND($B1981&lt;&gt;"",COUNTIF($B$4:$B$2503,$B1981)&gt;1),"※入库单号重复","")))))))</f>
        <v/>
      </c>
    </row>
    <row r="1982">
      <c r="A1982" s="24">
        <f>IF($G1982="","",COUNTA($G$4:$G1982))</f>
        <v/>
      </c>
      <c r="B1982" s="17" t="n"/>
      <c r="C1982" s="30" t="n"/>
      <c r="D1982" s="17" t="n"/>
      <c r="E1982" s="17" t="n"/>
      <c r="F1982" s="17" t="n"/>
      <c r="G1982" s="17" t="n"/>
      <c r="H1982" s="24">
        <f>IF($G1982="","",IFERROR(VLOOKUP($G1982,物料档案!$A$4:$P$1203,3,0),"※编码不在物料档案里"))</f>
        <v/>
      </c>
      <c r="I1982" s="24">
        <f>IF($G1982="","",IFERROR(VLOOKUP($G1982,物料档案!$A$4:$P$1203,4,0),"※编码不在物料档案里"))</f>
        <v/>
      </c>
      <c r="J1982" s="24">
        <f>IF($G1982="","",IFERROR(VLOOKUP($G1982,物料档案!$A$4:$P$1203,5,0),"※编码不在物料档案里"))</f>
        <v/>
      </c>
      <c r="K1982" s="23" t="n"/>
      <c r="L1982" s="31" t="n"/>
      <c r="M1982" s="24">
        <f>IF($G1982="","",IF($D1982="A国内","CNY","TZS"))</f>
        <v/>
      </c>
      <c r="N1982" s="28">
        <f>IF($G1982="","",IF($D1982="A国内",汇率,1))</f>
        <v/>
      </c>
      <c r="O1982" s="25">
        <f>IF($G1982="","",ROUND(N($K1982)*N($L1982),2))</f>
        <v/>
      </c>
      <c r="P1982" s="26">
        <f>IF($G1982="","",ROUND($O1982*$N1982,0))</f>
        <v/>
      </c>
      <c r="Q1982" s="26">
        <f>IF($G1982="","",SUMIFS($P$4:$P$2503,$E$4:$E$2503,$E1982,$Z$4:$Z$2503,"正常"))</f>
        <v/>
      </c>
      <c r="R1982" s="26">
        <f>IF($G1982="","",SUMIFS(费用台账!$I$4:$I$503,费用台账!$C$4:$C$503,$E1982,费用台账!$J$4:$J$503,"是",费用台账!$K$4:$K$503,"正常"))</f>
        <v/>
      </c>
      <c r="S1982" s="28">
        <f>IF($G1982="","",COUNTIFS($E$4:$E$2503,$E1982,$Z$4:$Z$2503,"正常",$Y$4:$Y$2503,"待补价"))</f>
        <v/>
      </c>
      <c r="T1982" s="26">
        <f>IF($G1982="","",SUMIFS($P$4:$P$2503,$E$4:$E$2503,$E1982,$Z$4:$Z$2503,"正常",$A$4:$A$2503,"&lt;="&amp;$A1982))</f>
        <v/>
      </c>
      <c r="U1982" s="26">
        <f>IF($G1982="","",IF(OR($S1982&gt;0,$Q1982=0,$R1982=0,$Z1982&lt;&gt;"正常"),0,ROUND($T1982/$Q1982*$R1982,0)-ROUND(($T1982-$P1982)/$Q1982*$R1982,0)))</f>
        <v/>
      </c>
      <c r="V1982" s="26">
        <f>IF($G1982="","",ROUND($P1982+$U1982,0))</f>
        <v/>
      </c>
      <c r="W1982" s="26">
        <f>IF($G1982="","",IF(N($K1982)=0,0,ROUND($V1982/$K1982,2)))</f>
        <v/>
      </c>
      <c r="X1982" s="17" t="n"/>
      <c r="Y1982" s="17" t="n"/>
      <c r="Z1982" s="17" t="n"/>
      <c r="AA1982" s="17" t="n"/>
      <c r="AB1982" s="17" t="n"/>
      <c r="AC1982" s="24">
        <f>IF($G1982="","",IF($H1982="※编码不在物料档案里","※物料编码不在档案里",IF(N($K1982)&lt;=0,"※入库数量要大于 0",IF(AND($C1982&lt;&gt;"",$C1982&lt;=结账锁),"※日期早于已结账截止日，不能再录",IF(AND($L1982=0,$X1982="正常"),"※没填单价，价格状态请选「待补价」",IF(AND($S1982&gt;0,$R1982&gt;0),"△本批有 "&amp;$S1982&amp;" 行没单价，整批运费先挂账没摊",IF(AND($B1982&lt;&gt;"",COUNTIF($B$4:$B$2503,$B1982)&gt;1),"※入库单号重复","")))))))</f>
        <v/>
      </c>
    </row>
    <row r="1983">
      <c r="A1983" s="24">
        <f>IF($G1983="","",COUNTA($G$4:$G1983))</f>
        <v/>
      </c>
      <c r="B1983" s="17" t="n"/>
      <c r="C1983" s="30" t="n"/>
      <c r="D1983" s="17" t="n"/>
      <c r="E1983" s="17" t="n"/>
      <c r="F1983" s="17" t="n"/>
      <c r="G1983" s="17" t="n"/>
      <c r="H1983" s="24">
        <f>IF($G1983="","",IFERROR(VLOOKUP($G1983,物料档案!$A$4:$P$1203,3,0),"※编码不在物料档案里"))</f>
        <v/>
      </c>
      <c r="I1983" s="24">
        <f>IF($G1983="","",IFERROR(VLOOKUP($G1983,物料档案!$A$4:$P$1203,4,0),"※编码不在物料档案里"))</f>
        <v/>
      </c>
      <c r="J1983" s="24">
        <f>IF($G1983="","",IFERROR(VLOOKUP($G1983,物料档案!$A$4:$P$1203,5,0),"※编码不在物料档案里"))</f>
        <v/>
      </c>
      <c r="K1983" s="23" t="n"/>
      <c r="L1983" s="31" t="n"/>
      <c r="M1983" s="24">
        <f>IF($G1983="","",IF($D1983="A国内","CNY","TZS"))</f>
        <v/>
      </c>
      <c r="N1983" s="28">
        <f>IF($G1983="","",IF($D1983="A国内",汇率,1))</f>
        <v/>
      </c>
      <c r="O1983" s="25">
        <f>IF($G1983="","",ROUND(N($K1983)*N($L1983),2))</f>
        <v/>
      </c>
      <c r="P1983" s="26">
        <f>IF($G1983="","",ROUND($O1983*$N1983,0))</f>
        <v/>
      </c>
      <c r="Q1983" s="26">
        <f>IF($G1983="","",SUMIFS($P$4:$P$2503,$E$4:$E$2503,$E1983,$Z$4:$Z$2503,"正常"))</f>
        <v/>
      </c>
      <c r="R1983" s="26">
        <f>IF($G1983="","",SUMIFS(费用台账!$I$4:$I$503,费用台账!$C$4:$C$503,$E1983,费用台账!$J$4:$J$503,"是",费用台账!$K$4:$K$503,"正常"))</f>
        <v/>
      </c>
      <c r="S1983" s="28">
        <f>IF($G1983="","",COUNTIFS($E$4:$E$2503,$E1983,$Z$4:$Z$2503,"正常",$Y$4:$Y$2503,"待补价"))</f>
        <v/>
      </c>
      <c r="T1983" s="26">
        <f>IF($G1983="","",SUMIFS($P$4:$P$2503,$E$4:$E$2503,$E1983,$Z$4:$Z$2503,"正常",$A$4:$A$2503,"&lt;="&amp;$A1983))</f>
        <v/>
      </c>
      <c r="U1983" s="26">
        <f>IF($G1983="","",IF(OR($S1983&gt;0,$Q1983=0,$R1983=0,$Z1983&lt;&gt;"正常"),0,ROUND($T1983/$Q1983*$R1983,0)-ROUND(($T1983-$P1983)/$Q1983*$R1983,0)))</f>
        <v/>
      </c>
      <c r="V1983" s="26">
        <f>IF($G1983="","",ROUND($P1983+$U1983,0))</f>
        <v/>
      </c>
      <c r="W1983" s="26">
        <f>IF($G1983="","",IF(N($K1983)=0,0,ROUND($V1983/$K1983,2)))</f>
        <v/>
      </c>
      <c r="X1983" s="17" t="n"/>
      <c r="Y1983" s="17" t="n"/>
      <c r="Z1983" s="17" t="n"/>
      <c r="AA1983" s="17" t="n"/>
      <c r="AB1983" s="17" t="n"/>
      <c r="AC1983" s="24">
        <f>IF($G1983="","",IF($H1983="※编码不在物料档案里","※物料编码不在档案里",IF(N($K1983)&lt;=0,"※入库数量要大于 0",IF(AND($C1983&lt;&gt;"",$C1983&lt;=结账锁),"※日期早于已结账截止日，不能再录",IF(AND($L1983=0,$X1983="正常"),"※没填单价，价格状态请选「待补价」",IF(AND($S1983&gt;0,$R1983&gt;0),"△本批有 "&amp;$S1983&amp;" 行没单价，整批运费先挂账没摊",IF(AND($B1983&lt;&gt;"",COUNTIF($B$4:$B$2503,$B1983)&gt;1),"※入库单号重复","")))))))</f>
        <v/>
      </c>
    </row>
    <row r="1984">
      <c r="A1984" s="24">
        <f>IF($G1984="","",COUNTA($G$4:$G1984))</f>
        <v/>
      </c>
      <c r="B1984" s="17" t="n"/>
      <c r="C1984" s="30" t="n"/>
      <c r="D1984" s="17" t="n"/>
      <c r="E1984" s="17" t="n"/>
      <c r="F1984" s="17" t="n"/>
      <c r="G1984" s="17" t="n"/>
      <c r="H1984" s="24">
        <f>IF($G1984="","",IFERROR(VLOOKUP($G1984,物料档案!$A$4:$P$1203,3,0),"※编码不在物料档案里"))</f>
        <v/>
      </c>
      <c r="I1984" s="24">
        <f>IF($G1984="","",IFERROR(VLOOKUP($G1984,物料档案!$A$4:$P$1203,4,0),"※编码不在物料档案里"))</f>
        <v/>
      </c>
      <c r="J1984" s="24">
        <f>IF($G1984="","",IFERROR(VLOOKUP($G1984,物料档案!$A$4:$P$1203,5,0),"※编码不在物料档案里"))</f>
        <v/>
      </c>
      <c r="K1984" s="23" t="n"/>
      <c r="L1984" s="31" t="n"/>
      <c r="M1984" s="24">
        <f>IF($G1984="","",IF($D1984="A国内","CNY","TZS"))</f>
        <v/>
      </c>
      <c r="N1984" s="28">
        <f>IF($G1984="","",IF($D1984="A国内",汇率,1))</f>
        <v/>
      </c>
      <c r="O1984" s="25">
        <f>IF($G1984="","",ROUND(N($K1984)*N($L1984),2))</f>
        <v/>
      </c>
      <c r="P1984" s="26">
        <f>IF($G1984="","",ROUND($O1984*$N1984,0))</f>
        <v/>
      </c>
      <c r="Q1984" s="26">
        <f>IF($G1984="","",SUMIFS($P$4:$P$2503,$E$4:$E$2503,$E1984,$Z$4:$Z$2503,"正常"))</f>
        <v/>
      </c>
      <c r="R1984" s="26">
        <f>IF($G1984="","",SUMIFS(费用台账!$I$4:$I$503,费用台账!$C$4:$C$503,$E1984,费用台账!$J$4:$J$503,"是",费用台账!$K$4:$K$503,"正常"))</f>
        <v/>
      </c>
      <c r="S1984" s="28">
        <f>IF($G1984="","",COUNTIFS($E$4:$E$2503,$E1984,$Z$4:$Z$2503,"正常",$Y$4:$Y$2503,"待补价"))</f>
        <v/>
      </c>
      <c r="T1984" s="26">
        <f>IF($G1984="","",SUMIFS($P$4:$P$2503,$E$4:$E$2503,$E1984,$Z$4:$Z$2503,"正常",$A$4:$A$2503,"&lt;="&amp;$A1984))</f>
        <v/>
      </c>
      <c r="U1984" s="26">
        <f>IF($G1984="","",IF(OR($S1984&gt;0,$Q1984=0,$R1984=0,$Z1984&lt;&gt;"正常"),0,ROUND($T1984/$Q1984*$R1984,0)-ROUND(($T1984-$P1984)/$Q1984*$R1984,0)))</f>
        <v/>
      </c>
      <c r="V1984" s="26">
        <f>IF($G1984="","",ROUND($P1984+$U1984,0))</f>
        <v/>
      </c>
      <c r="W1984" s="26">
        <f>IF($G1984="","",IF(N($K1984)=0,0,ROUND($V1984/$K1984,2)))</f>
        <v/>
      </c>
      <c r="X1984" s="17" t="n"/>
      <c r="Y1984" s="17" t="n"/>
      <c r="Z1984" s="17" t="n"/>
      <c r="AA1984" s="17" t="n"/>
      <c r="AB1984" s="17" t="n"/>
      <c r="AC1984" s="24">
        <f>IF($G1984="","",IF($H1984="※编码不在物料档案里","※物料编码不在档案里",IF(N($K1984)&lt;=0,"※入库数量要大于 0",IF(AND($C1984&lt;&gt;"",$C1984&lt;=结账锁),"※日期早于已结账截止日，不能再录",IF(AND($L1984=0,$X1984="正常"),"※没填单价，价格状态请选「待补价」",IF(AND($S1984&gt;0,$R1984&gt;0),"△本批有 "&amp;$S1984&amp;" 行没单价，整批运费先挂账没摊",IF(AND($B1984&lt;&gt;"",COUNTIF($B$4:$B$2503,$B1984)&gt;1),"※入库单号重复","")))))))</f>
        <v/>
      </c>
    </row>
    <row r="1985">
      <c r="A1985" s="24">
        <f>IF($G1985="","",COUNTA($G$4:$G1985))</f>
        <v/>
      </c>
      <c r="B1985" s="17" t="n"/>
      <c r="C1985" s="30" t="n"/>
      <c r="D1985" s="17" t="n"/>
      <c r="E1985" s="17" t="n"/>
      <c r="F1985" s="17" t="n"/>
      <c r="G1985" s="17" t="n"/>
      <c r="H1985" s="24">
        <f>IF($G1985="","",IFERROR(VLOOKUP($G1985,物料档案!$A$4:$P$1203,3,0),"※编码不在物料档案里"))</f>
        <v/>
      </c>
      <c r="I1985" s="24">
        <f>IF($G1985="","",IFERROR(VLOOKUP($G1985,物料档案!$A$4:$P$1203,4,0),"※编码不在物料档案里"))</f>
        <v/>
      </c>
      <c r="J1985" s="24">
        <f>IF($G1985="","",IFERROR(VLOOKUP($G1985,物料档案!$A$4:$P$1203,5,0),"※编码不在物料档案里"))</f>
        <v/>
      </c>
      <c r="K1985" s="23" t="n"/>
      <c r="L1985" s="31" t="n"/>
      <c r="M1985" s="24">
        <f>IF($G1985="","",IF($D1985="A国内","CNY","TZS"))</f>
        <v/>
      </c>
      <c r="N1985" s="28">
        <f>IF($G1985="","",IF($D1985="A国内",汇率,1))</f>
        <v/>
      </c>
      <c r="O1985" s="25">
        <f>IF($G1985="","",ROUND(N($K1985)*N($L1985),2))</f>
        <v/>
      </c>
      <c r="P1985" s="26">
        <f>IF($G1985="","",ROUND($O1985*$N1985,0))</f>
        <v/>
      </c>
      <c r="Q1985" s="26">
        <f>IF($G1985="","",SUMIFS($P$4:$P$2503,$E$4:$E$2503,$E1985,$Z$4:$Z$2503,"正常"))</f>
        <v/>
      </c>
      <c r="R1985" s="26">
        <f>IF($G1985="","",SUMIFS(费用台账!$I$4:$I$503,费用台账!$C$4:$C$503,$E1985,费用台账!$J$4:$J$503,"是",费用台账!$K$4:$K$503,"正常"))</f>
        <v/>
      </c>
      <c r="S1985" s="28">
        <f>IF($G1985="","",COUNTIFS($E$4:$E$2503,$E1985,$Z$4:$Z$2503,"正常",$Y$4:$Y$2503,"待补价"))</f>
        <v/>
      </c>
      <c r="T1985" s="26">
        <f>IF($G1985="","",SUMIFS($P$4:$P$2503,$E$4:$E$2503,$E1985,$Z$4:$Z$2503,"正常",$A$4:$A$2503,"&lt;="&amp;$A1985))</f>
        <v/>
      </c>
      <c r="U1985" s="26">
        <f>IF($G1985="","",IF(OR($S1985&gt;0,$Q1985=0,$R1985=0,$Z1985&lt;&gt;"正常"),0,ROUND($T1985/$Q1985*$R1985,0)-ROUND(($T1985-$P1985)/$Q1985*$R1985,0)))</f>
        <v/>
      </c>
      <c r="V1985" s="26">
        <f>IF($G1985="","",ROUND($P1985+$U1985,0))</f>
        <v/>
      </c>
      <c r="W1985" s="26">
        <f>IF($G1985="","",IF(N($K1985)=0,0,ROUND($V1985/$K1985,2)))</f>
        <v/>
      </c>
      <c r="X1985" s="17" t="n"/>
      <c r="Y1985" s="17" t="n"/>
      <c r="Z1985" s="17" t="n"/>
      <c r="AA1985" s="17" t="n"/>
      <c r="AB1985" s="17" t="n"/>
      <c r="AC1985" s="24">
        <f>IF($G1985="","",IF($H1985="※编码不在物料档案里","※物料编码不在档案里",IF(N($K1985)&lt;=0,"※入库数量要大于 0",IF(AND($C1985&lt;&gt;"",$C1985&lt;=结账锁),"※日期早于已结账截止日，不能再录",IF(AND($L1985=0,$X1985="正常"),"※没填单价，价格状态请选「待补价」",IF(AND($S1985&gt;0,$R1985&gt;0),"△本批有 "&amp;$S1985&amp;" 行没单价，整批运费先挂账没摊",IF(AND($B1985&lt;&gt;"",COUNTIF($B$4:$B$2503,$B1985)&gt;1),"※入库单号重复","")))))))</f>
        <v/>
      </c>
    </row>
    <row r="1986">
      <c r="A1986" s="24">
        <f>IF($G1986="","",COUNTA($G$4:$G1986))</f>
        <v/>
      </c>
      <c r="B1986" s="17" t="n"/>
      <c r="C1986" s="30" t="n"/>
      <c r="D1986" s="17" t="n"/>
      <c r="E1986" s="17" t="n"/>
      <c r="F1986" s="17" t="n"/>
      <c r="G1986" s="17" t="n"/>
      <c r="H1986" s="24">
        <f>IF($G1986="","",IFERROR(VLOOKUP($G1986,物料档案!$A$4:$P$1203,3,0),"※编码不在物料档案里"))</f>
        <v/>
      </c>
      <c r="I1986" s="24">
        <f>IF($G1986="","",IFERROR(VLOOKUP($G1986,物料档案!$A$4:$P$1203,4,0),"※编码不在物料档案里"))</f>
        <v/>
      </c>
      <c r="J1986" s="24">
        <f>IF($G1986="","",IFERROR(VLOOKUP($G1986,物料档案!$A$4:$P$1203,5,0),"※编码不在物料档案里"))</f>
        <v/>
      </c>
      <c r="K1986" s="23" t="n"/>
      <c r="L1986" s="31" t="n"/>
      <c r="M1986" s="24">
        <f>IF($G1986="","",IF($D1986="A国内","CNY","TZS"))</f>
        <v/>
      </c>
      <c r="N1986" s="28">
        <f>IF($G1986="","",IF($D1986="A国内",汇率,1))</f>
        <v/>
      </c>
      <c r="O1986" s="25">
        <f>IF($G1986="","",ROUND(N($K1986)*N($L1986),2))</f>
        <v/>
      </c>
      <c r="P1986" s="26">
        <f>IF($G1986="","",ROUND($O1986*$N1986,0))</f>
        <v/>
      </c>
      <c r="Q1986" s="26">
        <f>IF($G1986="","",SUMIFS($P$4:$P$2503,$E$4:$E$2503,$E1986,$Z$4:$Z$2503,"正常"))</f>
        <v/>
      </c>
      <c r="R1986" s="26">
        <f>IF($G1986="","",SUMIFS(费用台账!$I$4:$I$503,费用台账!$C$4:$C$503,$E1986,费用台账!$J$4:$J$503,"是",费用台账!$K$4:$K$503,"正常"))</f>
        <v/>
      </c>
      <c r="S1986" s="28">
        <f>IF($G1986="","",COUNTIFS($E$4:$E$2503,$E1986,$Z$4:$Z$2503,"正常",$Y$4:$Y$2503,"待补价"))</f>
        <v/>
      </c>
      <c r="T1986" s="26">
        <f>IF($G1986="","",SUMIFS($P$4:$P$2503,$E$4:$E$2503,$E1986,$Z$4:$Z$2503,"正常",$A$4:$A$2503,"&lt;="&amp;$A1986))</f>
        <v/>
      </c>
      <c r="U1986" s="26">
        <f>IF($G1986="","",IF(OR($S1986&gt;0,$Q1986=0,$R1986=0,$Z1986&lt;&gt;"正常"),0,ROUND($T1986/$Q1986*$R1986,0)-ROUND(($T1986-$P1986)/$Q1986*$R1986,0)))</f>
        <v/>
      </c>
      <c r="V1986" s="26">
        <f>IF($G1986="","",ROUND($P1986+$U1986,0))</f>
        <v/>
      </c>
      <c r="W1986" s="26">
        <f>IF($G1986="","",IF(N($K1986)=0,0,ROUND($V1986/$K1986,2)))</f>
        <v/>
      </c>
      <c r="X1986" s="17" t="n"/>
      <c r="Y1986" s="17" t="n"/>
      <c r="Z1986" s="17" t="n"/>
      <c r="AA1986" s="17" t="n"/>
      <c r="AB1986" s="17" t="n"/>
      <c r="AC1986" s="24">
        <f>IF($G1986="","",IF($H1986="※编码不在物料档案里","※物料编码不在档案里",IF(N($K1986)&lt;=0,"※入库数量要大于 0",IF(AND($C1986&lt;&gt;"",$C1986&lt;=结账锁),"※日期早于已结账截止日，不能再录",IF(AND($L1986=0,$X1986="正常"),"※没填单价，价格状态请选「待补价」",IF(AND($S1986&gt;0,$R1986&gt;0),"△本批有 "&amp;$S1986&amp;" 行没单价，整批运费先挂账没摊",IF(AND($B1986&lt;&gt;"",COUNTIF($B$4:$B$2503,$B1986)&gt;1),"※入库单号重复","")))))))</f>
        <v/>
      </c>
    </row>
    <row r="1987">
      <c r="A1987" s="24">
        <f>IF($G1987="","",COUNTA($G$4:$G1987))</f>
        <v/>
      </c>
      <c r="B1987" s="17" t="n"/>
      <c r="C1987" s="30" t="n"/>
      <c r="D1987" s="17" t="n"/>
      <c r="E1987" s="17" t="n"/>
      <c r="F1987" s="17" t="n"/>
      <c r="G1987" s="17" t="n"/>
      <c r="H1987" s="24">
        <f>IF($G1987="","",IFERROR(VLOOKUP($G1987,物料档案!$A$4:$P$1203,3,0),"※编码不在物料档案里"))</f>
        <v/>
      </c>
      <c r="I1987" s="24">
        <f>IF($G1987="","",IFERROR(VLOOKUP($G1987,物料档案!$A$4:$P$1203,4,0),"※编码不在物料档案里"))</f>
        <v/>
      </c>
      <c r="J1987" s="24">
        <f>IF($G1987="","",IFERROR(VLOOKUP($G1987,物料档案!$A$4:$P$1203,5,0),"※编码不在物料档案里"))</f>
        <v/>
      </c>
      <c r="K1987" s="23" t="n"/>
      <c r="L1987" s="31" t="n"/>
      <c r="M1987" s="24">
        <f>IF($G1987="","",IF($D1987="A国内","CNY","TZS"))</f>
        <v/>
      </c>
      <c r="N1987" s="28">
        <f>IF($G1987="","",IF($D1987="A国内",汇率,1))</f>
        <v/>
      </c>
      <c r="O1987" s="25">
        <f>IF($G1987="","",ROUND(N($K1987)*N($L1987),2))</f>
        <v/>
      </c>
      <c r="P1987" s="26">
        <f>IF($G1987="","",ROUND($O1987*$N1987,0))</f>
        <v/>
      </c>
      <c r="Q1987" s="26">
        <f>IF($G1987="","",SUMIFS($P$4:$P$2503,$E$4:$E$2503,$E1987,$Z$4:$Z$2503,"正常"))</f>
        <v/>
      </c>
      <c r="R1987" s="26">
        <f>IF($G1987="","",SUMIFS(费用台账!$I$4:$I$503,费用台账!$C$4:$C$503,$E1987,费用台账!$J$4:$J$503,"是",费用台账!$K$4:$K$503,"正常"))</f>
        <v/>
      </c>
      <c r="S1987" s="28">
        <f>IF($G1987="","",COUNTIFS($E$4:$E$2503,$E1987,$Z$4:$Z$2503,"正常",$Y$4:$Y$2503,"待补价"))</f>
        <v/>
      </c>
      <c r="T1987" s="26">
        <f>IF($G1987="","",SUMIFS($P$4:$P$2503,$E$4:$E$2503,$E1987,$Z$4:$Z$2503,"正常",$A$4:$A$2503,"&lt;="&amp;$A1987))</f>
        <v/>
      </c>
      <c r="U1987" s="26">
        <f>IF($G1987="","",IF(OR($S1987&gt;0,$Q1987=0,$R1987=0,$Z1987&lt;&gt;"正常"),0,ROUND($T1987/$Q1987*$R1987,0)-ROUND(($T1987-$P1987)/$Q1987*$R1987,0)))</f>
        <v/>
      </c>
      <c r="V1987" s="26">
        <f>IF($G1987="","",ROUND($P1987+$U1987,0))</f>
        <v/>
      </c>
      <c r="W1987" s="26">
        <f>IF($G1987="","",IF(N($K1987)=0,0,ROUND($V1987/$K1987,2)))</f>
        <v/>
      </c>
      <c r="X1987" s="17" t="n"/>
      <c r="Y1987" s="17" t="n"/>
      <c r="Z1987" s="17" t="n"/>
      <c r="AA1987" s="17" t="n"/>
      <c r="AB1987" s="17" t="n"/>
      <c r="AC1987" s="24">
        <f>IF($G1987="","",IF($H1987="※编码不在物料档案里","※物料编码不在档案里",IF(N($K1987)&lt;=0,"※入库数量要大于 0",IF(AND($C1987&lt;&gt;"",$C1987&lt;=结账锁),"※日期早于已结账截止日，不能再录",IF(AND($L1987=0,$X1987="正常"),"※没填单价，价格状态请选「待补价」",IF(AND($S1987&gt;0,$R1987&gt;0),"△本批有 "&amp;$S1987&amp;" 行没单价，整批运费先挂账没摊",IF(AND($B1987&lt;&gt;"",COUNTIF($B$4:$B$2503,$B1987)&gt;1),"※入库单号重复","")))))))</f>
        <v/>
      </c>
    </row>
    <row r="1988">
      <c r="A1988" s="24">
        <f>IF($G1988="","",COUNTA($G$4:$G1988))</f>
        <v/>
      </c>
      <c r="B1988" s="17" t="n"/>
      <c r="C1988" s="30" t="n"/>
      <c r="D1988" s="17" t="n"/>
      <c r="E1988" s="17" t="n"/>
      <c r="F1988" s="17" t="n"/>
      <c r="G1988" s="17" t="n"/>
      <c r="H1988" s="24">
        <f>IF($G1988="","",IFERROR(VLOOKUP($G1988,物料档案!$A$4:$P$1203,3,0),"※编码不在物料档案里"))</f>
        <v/>
      </c>
      <c r="I1988" s="24">
        <f>IF($G1988="","",IFERROR(VLOOKUP($G1988,物料档案!$A$4:$P$1203,4,0),"※编码不在物料档案里"))</f>
        <v/>
      </c>
      <c r="J1988" s="24">
        <f>IF($G1988="","",IFERROR(VLOOKUP($G1988,物料档案!$A$4:$P$1203,5,0),"※编码不在物料档案里"))</f>
        <v/>
      </c>
      <c r="K1988" s="23" t="n"/>
      <c r="L1988" s="31" t="n"/>
      <c r="M1988" s="24">
        <f>IF($G1988="","",IF($D1988="A国内","CNY","TZS"))</f>
        <v/>
      </c>
      <c r="N1988" s="28">
        <f>IF($G1988="","",IF($D1988="A国内",汇率,1))</f>
        <v/>
      </c>
      <c r="O1988" s="25">
        <f>IF($G1988="","",ROUND(N($K1988)*N($L1988),2))</f>
        <v/>
      </c>
      <c r="P1988" s="26">
        <f>IF($G1988="","",ROUND($O1988*$N1988,0))</f>
        <v/>
      </c>
      <c r="Q1988" s="26">
        <f>IF($G1988="","",SUMIFS($P$4:$P$2503,$E$4:$E$2503,$E1988,$Z$4:$Z$2503,"正常"))</f>
        <v/>
      </c>
      <c r="R1988" s="26">
        <f>IF($G1988="","",SUMIFS(费用台账!$I$4:$I$503,费用台账!$C$4:$C$503,$E1988,费用台账!$J$4:$J$503,"是",费用台账!$K$4:$K$503,"正常"))</f>
        <v/>
      </c>
      <c r="S1988" s="28">
        <f>IF($G1988="","",COUNTIFS($E$4:$E$2503,$E1988,$Z$4:$Z$2503,"正常",$Y$4:$Y$2503,"待补价"))</f>
        <v/>
      </c>
      <c r="T1988" s="26">
        <f>IF($G1988="","",SUMIFS($P$4:$P$2503,$E$4:$E$2503,$E1988,$Z$4:$Z$2503,"正常",$A$4:$A$2503,"&lt;="&amp;$A1988))</f>
        <v/>
      </c>
      <c r="U1988" s="26">
        <f>IF($G1988="","",IF(OR($S1988&gt;0,$Q1988=0,$R1988=0,$Z1988&lt;&gt;"正常"),0,ROUND($T1988/$Q1988*$R1988,0)-ROUND(($T1988-$P1988)/$Q1988*$R1988,0)))</f>
        <v/>
      </c>
      <c r="V1988" s="26">
        <f>IF($G1988="","",ROUND($P1988+$U1988,0))</f>
        <v/>
      </c>
      <c r="W1988" s="26">
        <f>IF($G1988="","",IF(N($K1988)=0,0,ROUND($V1988/$K1988,2)))</f>
        <v/>
      </c>
      <c r="X1988" s="17" t="n"/>
      <c r="Y1988" s="17" t="n"/>
      <c r="Z1988" s="17" t="n"/>
      <c r="AA1988" s="17" t="n"/>
      <c r="AB1988" s="17" t="n"/>
      <c r="AC1988" s="24">
        <f>IF($G1988="","",IF($H1988="※编码不在物料档案里","※物料编码不在档案里",IF(N($K1988)&lt;=0,"※入库数量要大于 0",IF(AND($C1988&lt;&gt;"",$C1988&lt;=结账锁),"※日期早于已结账截止日，不能再录",IF(AND($L1988=0,$X1988="正常"),"※没填单价，价格状态请选「待补价」",IF(AND($S1988&gt;0,$R1988&gt;0),"△本批有 "&amp;$S1988&amp;" 行没单价，整批运费先挂账没摊",IF(AND($B1988&lt;&gt;"",COUNTIF($B$4:$B$2503,$B1988)&gt;1),"※入库单号重复","")))))))</f>
        <v/>
      </c>
    </row>
    <row r="1989">
      <c r="A1989" s="24">
        <f>IF($G1989="","",COUNTA($G$4:$G1989))</f>
        <v/>
      </c>
      <c r="B1989" s="17" t="n"/>
      <c r="C1989" s="30" t="n"/>
      <c r="D1989" s="17" t="n"/>
      <c r="E1989" s="17" t="n"/>
      <c r="F1989" s="17" t="n"/>
      <c r="G1989" s="17" t="n"/>
      <c r="H1989" s="24">
        <f>IF($G1989="","",IFERROR(VLOOKUP($G1989,物料档案!$A$4:$P$1203,3,0),"※编码不在物料档案里"))</f>
        <v/>
      </c>
      <c r="I1989" s="24">
        <f>IF($G1989="","",IFERROR(VLOOKUP($G1989,物料档案!$A$4:$P$1203,4,0),"※编码不在物料档案里"))</f>
        <v/>
      </c>
      <c r="J1989" s="24">
        <f>IF($G1989="","",IFERROR(VLOOKUP($G1989,物料档案!$A$4:$P$1203,5,0),"※编码不在物料档案里"))</f>
        <v/>
      </c>
      <c r="K1989" s="23" t="n"/>
      <c r="L1989" s="31" t="n"/>
      <c r="M1989" s="24">
        <f>IF($G1989="","",IF($D1989="A国内","CNY","TZS"))</f>
        <v/>
      </c>
      <c r="N1989" s="28">
        <f>IF($G1989="","",IF($D1989="A国内",汇率,1))</f>
        <v/>
      </c>
      <c r="O1989" s="25">
        <f>IF($G1989="","",ROUND(N($K1989)*N($L1989),2))</f>
        <v/>
      </c>
      <c r="P1989" s="26">
        <f>IF($G1989="","",ROUND($O1989*$N1989,0))</f>
        <v/>
      </c>
      <c r="Q1989" s="26">
        <f>IF($G1989="","",SUMIFS($P$4:$P$2503,$E$4:$E$2503,$E1989,$Z$4:$Z$2503,"正常"))</f>
        <v/>
      </c>
      <c r="R1989" s="26">
        <f>IF($G1989="","",SUMIFS(费用台账!$I$4:$I$503,费用台账!$C$4:$C$503,$E1989,费用台账!$J$4:$J$503,"是",费用台账!$K$4:$K$503,"正常"))</f>
        <v/>
      </c>
      <c r="S1989" s="28">
        <f>IF($G1989="","",COUNTIFS($E$4:$E$2503,$E1989,$Z$4:$Z$2503,"正常",$Y$4:$Y$2503,"待补价"))</f>
        <v/>
      </c>
      <c r="T1989" s="26">
        <f>IF($G1989="","",SUMIFS($P$4:$P$2503,$E$4:$E$2503,$E1989,$Z$4:$Z$2503,"正常",$A$4:$A$2503,"&lt;="&amp;$A1989))</f>
        <v/>
      </c>
      <c r="U1989" s="26">
        <f>IF($G1989="","",IF(OR($S1989&gt;0,$Q1989=0,$R1989=0,$Z1989&lt;&gt;"正常"),0,ROUND($T1989/$Q1989*$R1989,0)-ROUND(($T1989-$P1989)/$Q1989*$R1989,0)))</f>
        <v/>
      </c>
      <c r="V1989" s="26">
        <f>IF($G1989="","",ROUND($P1989+$U1989,0))</f>
        <v/>
      </c>
      <c r="W1989" s="26">
        <f>IF($G1989="","",IF(N($K1989)=0,0,ROUND($V1989/$K1989,2)))</f>
        <v/>
      </c>
      <c r="X1989" s="17" t="n"/>
      <c r="Y1989" s="17" t="n"/>
      <c r="Z1989" s="17" t="n"/>
      <c r="AA1989" s="17" t="n"/>
      <c r="AB1989" s="17" t="n"/>
      <c r="AC1989" s="24">
        <f>IF($G1989="","",IF($H1989="※编码不在物料档案里","※物料编码不在档案里",IF(N($K1989)&lt;=0,"※入库数量要大于 0",IF(AND($C1989&lt;&gt;"",$C1989&lt;=结账锁),"※日期早于已结账截止日，不能再录",IF(AND($L1989=0,$X1989="正常"),"※没填单价，价格状态请选「待补价」",IF(AND($S1989&gt;0,$R1989&gt;0),"△本批有 "&amp;$S1989&amp;" 行没单价，整批运费先挂账没摊",IF(AND($B1989&lt;&gt;"",COUNTIF($B$4:$B$2503,$B1989)&gt;1),"※入库单号重复","")))))))</f>
        <v/>
      </c>
    </row>
    <row r="1990">
      <c r="A1990" s="24">
        <f>IF($G1990="","",COUNTA($G$4:$G1990))</f>
        <v/>
      </c>
      <c r="B1990" s="17" t="n"/>
      <c r="C1990" s="30" t="n"/>
      <c r="D1990" s="17" t="n"/>
      <c r="E1990" s="17" t="n"/>
      <c r="F1990" s="17" t="n"/>
      <c r="G1990" s="17" t="n"/>
      <c r="H1990" s="24">
        <f>IF($G1990="","",IFERROR(VLOOKUP($G1990,物料档案!$A$4:$P$1203,3,0),"※编码不在物料档案里"))</f>
        <v/>
      </c>
      <c r="I1990" s="24">
        <f>IF($G1990="","",IFERROR(VLOOKUP($G1990,物料档案!$A$4:$P$1203,4,0),"※编码不在物料档案里"))</f>
        <v/>
      </c>
      <c r="J1990" s="24">
        <f>IF($G1990="","",IFERROR(VLOOKUP($G1990,物料档案!$A$4:$P$1203,5,0),"※编码不在物料档案里"))</f>
        <v/>
      </c>
      <c r="K1990" s="23" t="n"/>
      <c r="L1990" s="31" t="n"/>
      <c r="M1990" s="24">
        <f>IF($G1990="","",IF($D1990="A国内","CNY","TZS"))</f>
        <v/>
      </c>
      <c r="N1990" s="28">
        <f>IF($G1990="","",IF($D1990="A国内",汇率,1))</f>
        <v/>
      </c>
      <c r="O1990" s="25">
        <f>IF($G1990="","",ROUND(N($K1990)*N($L1990),2))</f>
        <v/>
      </c>
      <c r="P1990" s="26">
        <f>IF($G1990="","",ROUND($O1990*$N1990,0))</f>
        <v/>
      </c>
      <c r="Q1990" s="26">
        <f>IF($G1990="","",SUMIFS($P$4:$P$2503,$E$4:$E$2503,$E1990,$Z$4:$Z$2503,"正常"))</f>
        <v/>
      </c>
      <c r="R1990" s="26">
        <f>IF($G1990="","",SUMIFS(费用台账!$I$4:$I$503,费用台账!$C$4:$C$503,$E1990,费用台账!$J$4:$J$503,"是",费用台账!$K$4:$K$503,"正常"))</f>
        <v/>
      </c>
      <c r="S1990" s="28">
        <f>IF($G1990="","",COUNTIFS($E$4:$E$2503,$E1990,$Z$4:$Z$2503,"正常",$Y$4:$Y$2503,"待补价"))</f>
        <v/>
      </c>
      <c r="T1990" s="26">
        <f>IF($G1990="","",SUMIFS($P$4:$P$2503,$E$4:$E$2503,$E1990,$Z$4:$Z$2503,"正常",$A$4:$A$2503,"&lt;="&amp;$A1990))</f>
        <v/>
      </c>
      <c r="U1990" s="26">
        <f>IF($G1990="","",IF(OR($S1990&gt;0,$Q1990=0,$R1990=0,$Z1990&lt;&gt;"正常"),0,ROUND($T1990/$Q1990*$R1990,0)-ROUND(($T1990-$P1990)/$Q1990*$R1990,0)))</f>
        <v/>
      </c>
      <c r="V1990" s="26">
        <f>IF($G1990="","",ROUND($P1990+$U1990,0))</f>
        <v/>
      </c>
      <c r="W1990" s="26">
        <f>IF($G1990="","",IF(N($K1990)=0,0,ROUND($V1990/$K1990,2)))</f>
        <v/>
      </c>
      <c r="X1990" s="17" t="n"/>
      <c r="Y1990" s="17" t="n"/>
      <c r="Z1990" s="17" t="n"/>
      <c r="AA1990" s="17" t="n"/>
      <c r="AB1990" s="17" t="n"/>
      <c r="AC1990" s="24">
        <f>IF($G1990="","",IF($H1990="※编码不在物料档案里","※物料编码不在档案里",IF(N($K1990)&lt;=0,"※入库数量要大于 0",IF(AND($C1990&lt;&gt;"",$C1990&lt;=结账锁),"※日期早于已结账截止日，不能再录",IF(AND($L1990=0,$X1990="正常"),"※没填单价，价格状态请选「待补价」",IF(AND($S1990&gt;0,$R1990&gt;0),"△本批有 "&amp;$S1990&amp;" 行没单价，整批运费先挂账没摊",IF(AND($B1990&lt;&gt;"",COUNTIF($B$4:$B$2503,$B1990)&gt;1),"※入库单号重复","")))))))</f>
        <v/>
      </c>
    </row>
    <row r="1991">
      <c r="A1991" s="24">
        <f>IF($G1991="","",COUNTA($G$4:$G1991))</f>
        <v/>
      </c>
      <c r="B1991" s="17" t="n"/>
      <c r="C1991" s="30" t="n"/>
      <c r="D1991" s="17" t="n"/>
      <c r="E1991" s="17" t="n"/>
      <c r="F1991" s="17" t="n"/>
      <c r="G1991" s="17" t="n"/>
      <c r="H1991" s="24">
        <f>IF($G1991="","",IFERROR(VLOOKUP($G1991,物料档案!$A$4:$P$1203,3,0),"※编码不在物料档案里"))</f>
        <v/>
      </c>
      <c r="I1991" s="24">
        <f>IF($G1991="","",IFERROR(VLOOKUP($G1991,物料档案!$A$4:$P$1203,4,0),"※编码不在物料档案里"))</f>
        <v/>
      </c>
      <c r="J1991" s="24">
        <f>IF($G1991="","",IFERROR(VLOOKUP($G1991,物料档案!$A$4:$P$1203,5,0),"※编码不在物料档案里"))</f>
        <v/>
      </c>
      <c r="K1991" s="23" t="n"/>
      <c r="L1991" s="31" t="n"/>
      <c r="M1991" s="24">
        <f>IF($G1991="","",IF($D1991="A国内","CNY","TZS"))</f>
        <v/>
      </c>
      <c r="N1991" s="28">
        <f>IF($G1991="","",IF($D1991="A国内",汇率,1))</f>
        <v/>
      </c>
      <c r="O1991" s="25">
        <f>IF($G1991="","",ROUND(N($K1991)*N($L1991),2))</f>
        <v/>
      </c>
      <c r="P1991" s="26">
        <f>IF($G1991="","",ROUND($O1991*$N1991,0))</f>
        <v/>
      </c>
      <c r="Q1991" s="26">
        <f>IF($G1991="","",SUMIFS($P$4:$P$2503,$E$4:$E$2503,$E1991,$Z$4:$Z$2503,"正常"))</f>
        <v/>
      </c>
      <c r="R1991" s="26">
        <f>IF($G1991="","",SUMIFS(费用台账!$I$4:$I$503,费用台账!$C$4:$C$503,$E1991,费用台账!$J$4:$J$503,"是",费用台账!$K$4:$K$503,"正常"))</f>
        <v/>
      </c>
      <c r="S1991" s="28">
        <f>IF($G1991="","",COUNTIFS($E$4:$E$2503,$E1991,$Z$4:$Z$2503,"正常",$Y$4:$Y$2503,"待补价"))</f>
        <v/>
      </c>
      <c r="T1991" s="26">
        <f>IF($G1991="","",SUMIFS($P$4:$P$2503,$E$4:$E$2503,$E1991,$Z$4:$Z$2503,"正常",$A$4:$A$2503,"&lt;="&amp;$A1991))</f>
        <v/>
      </c>
      <c r="U1991" s="26">
        <f>IF($G1991="","",IF(OR($S1991&gt;0,$Q1991=0,$R1991=0,$Z1991&lt;&gt;"正常"),0,ROUND($T1991/$Q1991*$R1991,0)-ROUND(($T1991-$P1991)/$Q1991*$R1991,0)))</f>
        <v/>
      </c>
      <c r="V1991" s="26">
        <f>IF($G1991="","",ROUND($P1991+$U1991,0))</f>
        <v/>
      </c>
      <c r="W1991" s="26">
        <f>IF($G1991="","",IF(N($K1991)=0,0,ROUND($V1991/$K1991,2)))</f>
        <v/>
      </c>
      <c r="X1991" s="17" t="n"/>
      <c r="Y1991" s="17" t="n"/>
      <c r="Z1991" s="17" t="n"/>
      <c r="AA1991" s="17" t="n"/>
      <c r="AB1991" s="17" t="n"/>
      <c r="AC1991" s="24">
        <f>IF($G1991="","",IF($H1991="※编码不在物料档案里","※物料编码不在档案里",IF(N($K1991)&lt;=0,"※入库数量要大于 0",IF(AND($C1991&lt;&gt;"",$C1991&lt;=结账锁),"※日期早于已结账截止日，不能再录",IF(AND($L1991=0,$X1991="正常"),"※没填单价，价格状态请选「待补价」",IF(AND($S1991&gt;0,$R1991&gt;0),"△本批有 "&amp;$S1991&amp;" 行没单价，整批运费先挂账没摊",IF(AND($B1991&lt;&gt;"",COUNTIF($B$4:$B$2503,$B1991)&gt;1),"※入库单号重复","")))))))</f>
        <v/>
      </c>
    </row>
    <row r="1992">
      <c r="A1992" s="24">
        <f>IF($G1992="","",COUNTA($G$4:$G1992))</f>
        <v/>
      </c>
      <c r="B1992" s="17" t="n"/>
      <c r="C1992" s="30" t="n"/>
      <c r="D1992" s="17" t="n"/>
      <c r="E1992" s="17" t="n"/>
      <c r="F1992" s="17" t="n"/>
      <c r="G1992" s="17" t="n"/>
      <c r="H1992" s="24">
        <f>IF($G1992="","",IFERROR(VLOOKUP($G1992,物料档案!$A$4:$P$1203,3,0),"※编码不在物料档案里"))</f>
        <v/>
      </c>
      <c r="I1992" s="24">
        <f>IF($G1992="","",IFERROR(VLOOKUP($G1992,物料档案!$A$4:$P$1203,4,0),"※编码不在物料档案里"))</f>
        <v/>
      </c>
      <c r="J1992" s="24">
        <f>IF($G1992="","",IFERROR(VLOOKUP($G1992,物料档案!$A$4:$P$1203,5,0),"※编码不在物料档案里"))</f>
        <v/>
      </c>
      <c r="K1992" s="23" t="n"/>
      <c r="L1992" s="31" t="n"/>
      <c r="M1992" s="24">
        <f>IF($G1992="","",IF($D1992="A国内","CNY","TZS"))</f>
        <v/>
      </c>
      <c r="N1992" s="28">
        <f>IF($G1992="","",IF($D1992="A国内",汇率,1))</f>
        <v/>
      </c>
      <c r="O1992" s="25">
        <f>IF($G1992="","",ROUND(N($K1992)*N($L1992),2))</f>
        <v/>
      </c>
      <c r="P1992" s="26">
        <f>IF($G1992="","",ROUND($O1992*$N1992,0))</f>
        <v/>
      </c>
      <c r="Q1992" s="26">
        <f>IF($G1992="","",SUMIFS($P$4:$P$2503,$E$4:$E$2503,$E1992,$Z$4:$Z$2503,"正常"))</f>
        <v/>
      </c>
      <c r="R1992" s="26">
        <f>IF($G1992="","",SUMIFS(费用台账!$I$4:$I$503,费用台账!$C$4:$C$503,$E1992,费用台账!$J$4:$J$503,"是",费用台账!$K$4:$K$503,"正常"))</f>
        <v/>
      </c>
      <c r="S1992" s="28">
        <f>IF($G1992="","",COUNTIFS($E$4:$E$2503,$E1992,$Z$4:$Z$2503,"正常",$Y$4:$Y$2503,"待补价"))</f>
        <v/>
      </c>
      <c r="T1992" s="26">
        <f>IF($G1992="","",SUMIFS($P$4:$P$2503,$E$4:$E$2503,$E1992,$Z$4:$Z$2503,"正常",$A$4:$A$2503,"&lt;="&amp;$A1992))</f>
        <v/>
      </c>
      <c r="U1992" s="26">
        <f>IF($G1992="","",IF(OR($S1992&gt;0,$Q1992=0,$R1992=0,$Z1992&lt;&gt;"正常"),0,ROUND($T1992/$Q1992*$R1992,0)-ROUND(($T1992-$P1992)/$Q1992*$R1992,0)))</f>
        <v/>
      </c>
      <c r="V1992" s="26">
        <f>IF($G1992="","",ROUND($P1992+$U1992,0))</f>
        <v/>
      </c>
      <c r="W1992" s="26">
        <f>IF($G1992="","",IF(N($K1992)=0,0,ROUND($V1992/$K1992,2)))</f>
        <v/>
      </c>
      <c r="X1992" s="17" t="n"/>
      <c r="Y1992" s="17" t="n"/>
      <c r="Z1992" s="17" t="n"/>
      <c r="AA1992" s="17" t="n"/>
      <c r="AB1992" s="17" t="n"/>
      <c r="AC1992" s="24">
        <f>IF($G1992="","",IF($H1992="※编码不在物料档案里","※物料编码不在档案里",IF(N($K1992)&lt;=0,"※入库数量要大于 0",IF(AND($C1992&lt;&gt;"",$C1992&lt;=结账锁),"※日期早于已结账截止日，不能再录",IF(AND($L1992=0,$X1992="正常"),"※没填单价，价格状态请选「待补价」",IF(AND($S1992&gt;0,$R1992&gt;0),"△本批有 "&amp;$S1992&amp;" 行没单价，整批运费先挂账没摊",IF(AND($B1992&lt;&gt;"",COUNTIF($B$4:$B$2503,$B1992)&gt;1),"※入库单号重复","")))))))</f>
        <v/>
      </c>
    </row>
    <row r="1993">
      <c r="A1993" s="24">
        <f>IF($G1993="","",COUNTA($G$4:$G1993))</f>
        <v/>
      </c>
      <c r="B1993" s="17" t="n"/>
      <c r="C1993" s="30" t="n"/>
      <c r="D1993" s="17" t="n"/>
      <c r="E1993" s="17" t="n"/>
      <c r="F1993" s="17" t="n"/>
      <c r="G1993" s="17" t="n"/>
      <c r="H1993" s="24">
        <f>IF($G1993="","",IFERROR(VLOOKUP($G1993,物料档案!$A$4:$P$1203,3,0),"※编码不在物料档案里"))</f>
        <v/>
      </c>
      <c r="I1993" s="24">
        <f>IF($G1993="","",IFERROR(VLOOKUP($G1993,物料档案!$A$4:$P$1203,4,0),"※编码不在物料档案里"))</f>
        <v/>
      </c>
      <c r="J1993" s="24">
        <f>IF($G1993="","",IFERROR(VLOOKUP($G1993,物料档案!$A$4:$P$1203,5,0),"※编码不在物料档案里"))</f>
        <v/>
      </c>
      <c r="K1993" s="23" t="n"/>
      <c r="L1993" s="31" t="n"/>
      <c r="M1993" s="24">
        <f>IF($G1993="","",IF($D1993="A国内","CNY","TZS"))</f>
        <v/>
      </c>
      <c r="N1993" s="28">
        <f>IF($G1993="","",IF($D1993="A国内",汇率,1))</f>
        <v/>
      </c>
      <c r="O1993" s="25">
        <f>IF($G1993="","",ROUND(N($K1993)*N($L1993),2))</f>
        <v/>
      </c>
      <c r="P1993" s="26">
        <f>IF($G1993="","",ROUND($O1993*$N1993,0))</f>
        <v/>
      </c>
      <c r="Q1993" s="26">
        <f>IF($G1993="","",SUMIFS($P$4:$P$2503,$E$4:$E$2503,$E1993,$Z$4:$Z$2503,"正常"))</f>
        <v/>
      </c>
      <c r="R1993" s="26">
        <f>IF($G1993="","",SUMIFS(费用台账!$I$4:$I$503,费用台账!$C$4:$C$503,$E1993,费用台账!$J$4:$J$503,"是",费用台账!$K$4:$K$503,"正常"))</f>
        <v/>
      </c>
      <c r="S1993" s="28">
        <f>IF($G1993="","",COUNTIFS($E$4:$E$2503,$E1993,$Z$4:$Z$2503,"正常",$Y$4:$Y$2503,"待补价"))</f>
        <v/>
      </c>
      <c r="T1993" s="26">
        <f>IF($G1993="","",SUMIFS($P$4:$P$2503,$E$4:$E$2503,$E1993,$Z$4:$Z$2503,"正常",$A$4:$A$2503,"&lt;="&amp;$A1993))</f>
        <v/>
      </c>
      <c r="U1993" s="26">
        <f>IF($G1993="","",IF(OR($S1993&gt;0,$Q1993=0,$R1993=0,$Z1993&lt;&gt;"正常"),0,ROUND($T1993/$Q1993*$R1993,0)-ROUND(($T1993-$P1993)/$Q1993*$R1993,0)))</f>
        <v/>
      </c>
      <c r="V1993" s="26">
        <f>IF($G1993="","",ROUND($P1993+$U1993,0))</f>
        <v/>
      </c>
      <c r="W1993" s="26">
        <f>IF($G1993="","",IF(N($K1993)=0,0,ROUND($V1993/$K1993,2)))</f>
        <v/>
      </c>
      <c r="X1993" s="17" t="n"/>
      <c r="Y1993" s="17" t="n"/>
      <c r="Z1993" s="17" t="n"/>
      <c r="AA1993" s="17" t="n"/>
      <c r="AB1993" s="17" t="n"/>
      <c r="AC1993" s="24">
        <f>IF($G1993="","",IF($H1993="※编码不在物料档案里","※物料编码不在档案里",IF(N($K1993)&lt;=0,"※入库数量要大于 0",IF(AND($C1993&lt;&gt;"",$C1993&lt;=结账锁),"※日期早于已结账截止日，不能再录",IF(AND($L1993=0,$X1993="正常"),"※没填单价，价格状态请选「待补价」",IF(AND($S1993&gt;0,$R1993&gt;0),"△本批有 "&amp;$S1993&amp;" 行没单价，整批运费先挂账没摊",IF(AND($B1993&lt;&gt;"",COUNTIF($B$4:$B$2503,$B1993)&gt;1),"※入库单号重复","")))))))</f>
        <v/>
      </c>
    </row>
    <row r="1994">
      <c r="A1994" s="24">
        <f>IF($G1994="","",COUNTA($G$4:$G1994))</f>
        <v/>
      </c>
      <c r="B1994" s="17" t="n"/>
      <c r="C1994" s="30" t="n"/>
      <c r="D1994" s="17" t="n"/>
      <c r="E1994" s="17" t="n"/>
      <c r="F1994" s="17" t="n"/>
      <c r="G1994" s="17" t="n"/>
      <c r="H1994" s="24">
        <f>IF($G1994="","",IFERROR(VLOOKUP($G1994,物料档案!$A$4:$P$1203,3,0),"※编码不在物料档案里"))</f>
        <v/>
      </c>
      <c r="I1994" s="24">
        <f>IF($G1994="","",IFERROR(VLOOKUP($G1994,物料档案!$A$4:$P$1203,4,0),"※编码不在物料档案里"))</f>
        <v/>
      </c>
      <c r="J1994" s="24">
        <f>IF($G1994="","",IFERROR(VLOOKUP($G1994,物料档案!$A$4:$P$1203,5,0),"※编码不在物料档案里"))</f>
        <v/>
      </c>
      <c r="K1994" s="23" t="n"/>
      <c r="L1994" s="31" t="n"/>
      <c r="M1994" s="24">
        <f>IF($G1994="","",IF($D1994="A国内","CNY","TZS"))</f>
        <v/>
      </c>
      <c r="N1994" s="28">
        <f>IF($G1994="","",IF($D1994="A国内",汇率,1))</f>
        <v/>
      </c>
      <c r="O1994" s="25">
        <f>IF($G1994="","",ROUND(N($K1994)*N($L1994),2))</f>
        <v/>
      </c>
      <c r="P1994" s="26">
        <f>IF($G1994="","",ROUND($O1994*$N1994,0))</f>
        <v/>
      </c>
      <c r="Q1994" s="26">
        <f>IF($G1994="","",SUMIFS($P$4:$P$2503,$E$4:$E$2503,$E1994,$Z$4:$Z$2503,"正常"))</f>
        <v/>
      </c>
      <c r="R1994" s="26">
        <f>IF($G1994="","",SUMIFS(费用台账!$I$4:$I$503,费用台账!$C$4:$C$503,$E1994,费用台账!$J$4:$J$503,"是",费用台账!$K$4:$K$503,"正常"))</f>
        <v/>
      </c>
      <c r="S1994" s="28">
        <f>IF($G1994="","",COUNTIFS($E$4:$E$2503,$E1994,$Z$4:$Z$2503,"正常",$Y$4:$Y$2503,"待补价"))</f>
        <v/>
      </c>
      <c r="T1994" s="26">
        <f>IF($G1994="","",SUMIFS($P$4:$P$2503,$E$4:$E$2503,$E1994,$Z$4:$Z$2503,"正常",$A$4:$A$2503,"&lt;="&amp;$A1994))</f>
        <v/>
      </c>
      <c r="U1994" s="26">
        <f>IF($G1994="","",IF(OR($S1994&gt;0,$Q1994=0,$R1994=0,$Z1994&lt;&gt;"正常"),0,ROUND($T1994/$Q1994*$R1994,0)-ROUND(($T1994-$P1994)/$Q1994*$R1994,0)))</f>
        <v/>
      </c>
      <c r="V1994" s="26">
        <f>IF($G1994="","",ROUND($P1994+$U1994,0))</f>
        <v/>
      </c>
      <c r="W1994" s="26">
        <f>IF($G1994="","",IF(N($K1994)=0,0,ROUND($V1994/$K1994,2)))</f>
        <v/>
      </c>
      <c r="X1994" s="17" t="n"/>
      <c r="Y1994" s="17" t="n"/>
      <c r="Z1994" s="17" t="n"/>
      <c r="AA1994" s="17" t="n"/>
      <c r="AB1994" s="17" t="n"/>
      <c r="AC1994" s="24">
        <f>IF($G1994="","",IF($H1994="※编码不在物料档案里","※物料编码不在档案里",IF(N($K1994)&lt;=0,"※入库数量要大于 0",IF(AND($C1994&lt;&gt;"",$C1994&lt;=结账锁),"※日期早于已结账截止日，不能再录",IF(AND($L1994=0,$X1994="正常"),"※没填单价，价格状态请选「待补价」",IF(AND($S1994&gt;0,$R1994&gt;0),"△本批有 "&amp;$S1994&amp;" 行没单价，整批运费先挂账没摊",IF(AND($B1994&lt;&gt;"",COUNTIF($B$4:$B$2503,$B1994)&gt;1),"※入库单号重复","")))))))</f>
        <v/>
      </c>
    </row>
    <row r="1995">
      <c r="A1995" s="24">
        <f>IF($G1995="","",COUNTA($G$4:$G1995))</f>
        <v/>
      </c>
      <c r="B1995" s="17" t="n"/>
      <c r="C1995" s="30" t="n"/>
      <c r="D1995" s="17" t="n"/>
      <c r="E1995" s="17" t="n"/>
      <c r="F1995" s="17" t="n"/>
      <c r="G1995" s="17" t="n"/>
      <c r="H1995" s="24">
        <f>IF($G1995="","",IFERROR(VLOOKUP($G1995,物料档案!$A$4:$P$1203,3,0),"※编码不在物料档案里"))</f>
        <v/>
      </c>
      <c r="I1995" s="24">
        <f>IF($G1995="","",IFERROR(VLOOKUP($G1995,物料档案!$A$4:$P$1203,4,0),"※编码不在物料档案里"))</f>
        <v/>
      </c>
      <c r="J1995" s="24">
        <f>IF($G1995="","",IFERROR(VLOOKUP($G1995,物料档案!$A$4:$P$1203,5,0),"※编码不在物料档案里"))</f>
        <v/>
      </c>
      <c r="K1995" s="23" t="n"/>
      <c r="L1995" s="31" t="n"/>
      <c r="M1995" s="24">
        <f>IF($G1995="","",IF($D1995="A国内","CNY","TZS"))</f>
        <v/>
      </c>
      <c r="N1995" s="28">
        <f>IF($G1995="","",IF($D1995="A国内",汇率,1))</f>
        <v/>
      </c>
      <c r="O1995" s="25">
        <f>IF($G1995="","",ROUND(N($K1995)*N($L1995),2))</f>
        <v/>
      </c>
      <c r="P1995" s="26">
        <f>IF($G1995="","",ROUND($O1995*$N1995,0))</f>
        <v/>
      </c>
      <c r="Q1995" s="26">
        <f>IF($G1995="","",SUMIFS($P$4:$P$2503,$E$4:$E$2503,$E1995,$Z$4:$Z$2503,"正常"))</f>
        <v/>
      </c>
      <c r="R1995" s="26">
        <f>IF($G1995="","",SUMIFS(费用台账!$I$4:$I$503,费用台账!$C$4:$C$503,$E1995,费用台账!$J$4:$J$503,"是",费用台账!$K$4:$K$503,"正常"))</f>
        <v/>
      </c>
      <c r="S1995" s="28">
        <f>IF($G1995="","",COUNTIFS($E$4:$E$2503,$E1995,$Z$4:$Z$2503,"正常",$Y$4:$Y$2503,"待补价"))</f>
        <v/>
      </c>
      <c r="T1995" s="26">
        <f>IF($G1995="","",SUMIFS($P$4:$P$2503,$E$4:$E$2503,$E1995,$Z$4:$Z$2503,"正常",$A$4:$A$2503,"&lt;="&amp;$A1995))</f>
        <v/>
      </c>
      <c r="U1995" s="26">
        <f>IF($G1995="","",IF(OR($S1995&gt;0,$Q1995=0,$R1995=0,$Z1995&lt;&gt;"正常"),0,ROUND($T1995/$Q1995*$R1995,0)-ROUND(($T1995-$P1995)/$Q1995*$R1995,0)))</f>
        <v/>
      </c>
      <c r="V1995" s="26">
        <f>IF($G1995="","",ROUND($P1995+$U1995,0))</f>
        <v/>
      </c>
      <c r="W1995" s="26">
        <f>IF($G1995="","",IF(N($K1995)=0,0,ROUND($V1995/$K1995,2)))</f>
        <v/>
      </c>
      <c r="X1995" s="17" t="n"/>
      <c r="Y1995" s="17" t="n"/>
      <c r="Z1995" s="17" t="n"/>
      <c r="AA1995" s="17" t="n"/>
      <c r="AB1995" s="17" t="n"/>
      <c r="AC1995" s="24">
        <f>IF($G1995="","",IF($H1995="※编码不在物料档案里","※物料编码不在档案里",IF(N($K1995)&lt;=0,"※入库数量要大于 0",IF(AND($C1995&lt;&gt;"",$C1995&lt;=结账锁),"※日期早于已结账截止日，不能再录",IF(AND($L1995=0,$X1995="正常"),"※没填单价，价格状态请选「待补价」",IF(AND($S1995&gt;0,$R1995&gt;0),"△本批有 "&amp;$S1995&amp;" 行没单价，整批运费先挂账没摊",IF(AND($B1995&lt;&gt;"",COUNTIF($B$4:$B$2503,$B1995)&gt;1),"※入库单号重复","")))))))</f>
        <v/>
      </c>
    </row>
    <row r="1996">
      <c r="A1996" s="24">
        <f>IF($G1996="","",COUNTA($G$4:$G1996))</f>
        <v/>
      </c>
      <c r="B1996" s="17" t="n"/>
      <c r="C1996" s="30" t="n"/>
      <c r="D1996" s="17" t="n"/>
      <c r="E1996" s="17" t="n"/>
      <c r="F1996" s="17" t="n"/>
      <c r="G1996" s="17" t="n"/>
      <c r="H1996" s="24">
        <f>IF($G1996="","",IFERROR(VLOOKUP($G1996,物料档案!$A$4:$P$1203,3,0),"※编码不在物料档案里"))</f>
        <v/>
      </c>
      <c r="I1996" s="24">
        <f>IF($G1996="","",IFERROR(VLOOKUP($G1996,物料档案!$A$4:$P$1203,4,0),"※编码不在物料档案里"))</f>
        <v/>
      </c>
      <c r="J1996" s="24">
        <f>IF($G1996="","",IFERROR(VLOOKUP($G1996,物料档案!$A$4:$P$1203,5,0),"※编码不在物料档案里"))</f>
        <v/>
      </c>
      <c r="K1996" s="23" t="n"/>
      <c r="L1996" s="31" t="n"/>
      <c r="M1996" s="24">
        <f>IF($G1996="","",IF($D1996="A国内","CNY","TZS"))</f>
        <v/>
      </c>
      <c r="N1996" s="28">
        <f>IF($G1996="","",IF($D1996="A国内",汇率,1))</f>
        <v/>
      </c>
      <c r="O1996" s="25">
        <f>IF($G1996="","",ROUND(N($K1996)*N($L1996),2))</f>
        <v/>
      </c>
      <c r="P1996" s="26">
        <f>IF($G1996="","",ROUND($O1996*$N1996,0))</f>
        <v/>
      </c>
      <c r="Q1996" s="26">
        <f>IF($G1996="","",SUMIFS($P$4:$P$2503,$E$4:$E$2503,$E1996,$Z$4:$Z$2503,"正常"))</f>
        <v/>
      </c>
      <c r="R1996" s="26">
        <f>IF($G1996="","",SUMIFS(费用台账!$I$4:$I$503,费用台账!$C$4:$C$503,$E1996,费用台账!$J$4:$J$503,"是",费用台账!$K$4:$K$503,"正常"))</f>
        <v/>
      </c>
      <c r="S1996" s="28">
        <f>IF($G1996="","",COUNTIFS($E$4:$E$2503,$E1996,$Z$4:$Z$2503,"正常",$Y$4:$Y$2503,"待补价"))</f>
        <v/>
      </c>
      <c r="T1996" s="26">
        <f>IF($G1996="","",SUMIFS($P$4:$P$2503,$E$4:$E$2503,$E1996,$Z$4:$Z$2503,"正常",$A$4:$A$2503,"&lt;="&amp;$A1996))</f>
        <v/>
      </c>
      <c r="U1996" s="26">
        <f>IF($G1996="","",IF(OR($S1996&gt;0,$Q1996=0,$R1996=0,$Z1996&lt;&gt;"正常"),0,ROUND($T1996/$Q1996*$R1996,0)-ROUND(($T1996-$P1996)/$Q1996*$R1996,0)))</f>
        <v/>
      </c>
      <c r="V1996" s="26">
        <f>IF($G1996="","",ROUND($P1996+$U1996,0))</f>
        <v/>
      </c>
      <c r="W1996" s="26">
        <f>IF($G1996="","",IF(N($K1996)=0,0,ROUND($V1996/$K1996,2)))</f>
        <v/>
      </c>
      <c r="X1996" s="17" t="n"/>
      <c r="Y1996" s="17" t="n"/>
      <c r="Z1996" s="17" t="n"/>
      <c r="AA1996" s="17" t="n"/>
      <c r="AB1996" s="17" t="n"/>
      <c r="AC1996" s="24">
        <f>IF($G1996="","",IF($H1996="※编码不在物料档案里","※物料编码不在档案里",IF(N($K1996)&lt;=0,"※入库数量要大于 0",IF(AND($C1996&lt;&gt;"",$C1996&lt;=结账锁),"※日期早于已结账截止日，不能再录",IF(AND($L1996=0,$X1996="正常"),"※没填单价，价格状态请选「待补价」",IF(AND($S1996&gt;0,$R1996&gt;0),"△本批有 "&amp;$S1996&amp;" 行没单价，整批运费先挂账没摊",IF(AND($B1996&lt;&gt;"",COUNTIF($B$4:$B$2503,$B1996)&gt;1),"※入库单号重复","")))))))</f>
        <v/>
      </c>
    </row>
    <row r="1997">
      <c r="A1997" s="24">
        <f>IF($G1997="","",COUNTA($G$4:$G1997))</f>
        <v/>
      </c>
      <c r="B1997" s="17" t="n"/>
      <c r="C1997" s="30" t="n"/>
      <c r="D1997" s="17" t="n"/>
      <c r="E1997" s="17" t="n"/>
      <c r="F1997" s="17" t="n"/>
      <c r="G1997" s="17" t="n"/>
      <c r="H1997" s="24">
        <f>IF($G1997="","",IFERROR(VLOOKUP($G1997,物料档案!$A$4:$P$1203,3,0),"※编码不在物料档案里"))</f>
        <v/>
      </c>
      <c r="I1997" s="24">
        <f>IF($G1997="","",IFERROR(VLOOKUP($G1997,物料档案!$A$4:$P$1203,4,0),"※编码不在物料档案里"))</f>
        <v/>
      </c>
      <c r="J1997" s="24">
        <f>IF($G1997="","",IFERROR(VLOOKUP($G1997,物料档案!$A$4:$P$1203,5,0),"※编码不在物料档案里"))</f>
        <v/>
      </c>
      <c r="K1997" s="23" t="n"/>
      <c r="L1997" s="31" t="n"/>
      <c r="M1997" s="24">
        <f>IF($G1997="","",IF($D1997="A国内","CNY","TZS"))</f>
        <v/>
      </c>
      <c r="N1997" s="28">
        <f>IF($G1997="","",IF($D1997="A国内",汇率,1))</f>
        <v/>
      </c>
      <c r="O1997" s="25">
        <f>IF($G1997="","",ROUND(N($K1997)*N($L1997),2))</f>
        <v/>
      </c>
      <c r="P1997" s="26">
        <f>IF($G1997="","",ROUND($O1997*$N1997,0))</f>
        <v/>
      </c>
      <c r="Q1997" s="26">
        <f>IF($G1997="","",SUMIFS($P$4:$P$2503,$E$4:$E$2503,$E1997,$Z$4:$Z$2503,"正常"))</f>
        <v/>
      </c>
      <c r="R1997" s="26">
        <f>IF($G1997="","",SUMIFS(费用台账!$I$4:$I$503,费用台账!$C$4:$C$503,$E1997,费用台账!$J$4:$J$503,"是",费用台账!$K$4:$K$503,"正常"))</f>
        <v/>
      </c>
      <c r="S1997" s="28">
        <f>IF($G1997="","",COUNTIFS($E$4:$E$2503,$E1997,$Z$4:$Z$2503,"正常",$Y$4:$Y$2503,"待补价"))</f>
        <v/>
      </c>
      <c r="T1997" s="26">
        <f>IF($G1997="","",SUMIFS($P$4:$P$2503,$E$4:$E$2503,$E1997,$Z$4:$Z$2503,"正常",$A$4:$A$2503,"&lt;="&amp;$A1997))</f>
        <v/>
      </c>
      <c r="U1997" s="26">
        <f>IF($G1997="","",IF(OR($S1997&gt;0,$Q1997=0,$R1997=0,$Z1997&lt;&gt;"正常"),0,ROUND($T1997/$Q1997*$R1997,0)-ROUND(($T1997-$P1997)/$Q1997*$R1997,0)))</f>
        <v/>
      </c>
      <c r="V1997" s="26">
        <f>IF($G1997="","",ROUND($P1997+$U1997,0))</f>
        <v/>
      </c>
      <c r="W1997" s="26">
        <f>IF($G1997="","",IF(N($K1997)=0,0,ROUND($V1997/$K1997,2)))</f>
        <v/>
      </c>
      <c r="X1997" s="17" t="n"/>
      <c r="Y1997" s="17" t="n"/>
      <c r="Z1997" s="17" t="n"/>
      <c r="AA1997" s="17" t="n"/>
      <c r="AB1997" s="17" t="n"/>
      <c r="AC1997" s="24">
        <f>IF($G1997="","",IF($H1997="※编码不在物料档案里","※物料编码不在档案里",IF(N($K1997)&lt;=0,"※入库数量要大于 0",IF(AND($C1997&lt;&gt;"",$C1997&lt;=结账锁),"※日期早于已结账截止日，不能再录",IF(AND($L1997=0,$X1997="正常"),"※没填单价，价格状态请选「待补价」",IF(AND($S1997&gt;0,$R1997&gt;0),"△本批有 "&amp;$S1997&amp;" 行没单价，整批运费先挂账没摊",IF(AND($B1997&lt;&gt;"",COUNTIF($B$4:$B$2503,$B1997)&gt;1),"※入库单号重复","")))))))</f>
        <v/>
      </c>
    </row>
    <row r="1998">
      <c r="A1998" s="24">
        <f>IF($G1998="","",COUNTA($G$4:$G1998))</f>
        <v/>
      </c>
      <c r="B1998" s="17" t="n"/>
      <c r="C1998" s="30" t="n"/>
      <c r="D1998" s="17" t="n"/>
      <c r="E1998" s="17" t="n"/>
      <c r="F1998" s="17" t="n"/>
      <c r="G1998" s="17" t="n"/>
      <c r="H1998" s="24">
        <f>IF($G1998="","",IFERROR(VLOOKUP($G1998,物料档案!$A$4:$P$1203,3,0),"※编码不在物料档案里"))</f>
        <v/>
      </c>
      <c r="I1998" s="24">
        <f>IF($G1998="","",IFERROR(VLOOKUP($G1998,物料档案!$A$4:$P$1203,4,0),"※编码不在物料档案里"))</f>
        <v/>
      </c>
      <c r="J1998" s="24">
        <f>IF($G1998="","",IFERROR(VLOOKUP($G1998,物料档案!$A$4:$P$1203,5,0),"※编码不在物料档案里"))</f>
        <v/>
      </c>
      <c r="K1998" s="23" t="n"/>
      <c r="L1998" s="31" t="n"/>
      <c r="M1998" s="24">
        <f>IF($G1998="","",IF($D1998="A国内","CNY","TZS"))</f>
        <v/>
      </c>
      <c r="N1998" s="28">
        <f>IF($G1998="","",IF($D1998="A国内",汇率,1))</f>
        <v/>
      </c>
      <c r="O1998" s="25">
        <f>IF($G1998="","",ROUND(N($K1998)*N($L1998),2))</f>
        <v/>
      </c>
      <c r="P1998" s="26">
        <f>IF($G1998="","",ROUND($O1998*$N1998,0))</f>
        <v/>
      </c>
      <c r="Q1998" s="26">
        <f>IF($G1998="","",SUMIFS($P$4:$P$2503,$E$4:$E$2503,$E1998,$Z$4:$Z$2503,"正常"))</f>
        <v/>
      </c>
      <c r="R1998" s="26">
        <f>IF($G1998="","",SUMIFS(费用台账!$I$4:$I$503,费用台账!$C$4:$C$503,$E1998,费用台账!$J$4:$J$503,"是",费用台账!$K$4:$K$503,"正常"))</f>
        <v/>
      </c>
      <c r="S1998" s="28">
        <f>IF($G1998="","",COUNTIFS($E$4:$E$2503,$E1998,$Z$4:$Z$2503,"正常",$Y$4:$Y$2503,"待补价"))</f>
        <v/>
      </c>
      <c r="T1998" s="26">
        <f>IF($G1998="","",SUMIFS($P$4:$P$2503,$E$4:$E$2503,$E1998,$Z$4:$Z$2503,"正常",$A$4:$A$2503,"&lt;="&amp;$A1998))</f>
        <v/>
      </c>
      <c r="U1998" s="26">
        <f>IF($G1998="","",IF(OR($S1998&gt;0,$Q1998=0,$R1998=0,$Z1998&lt;&gt;"正常"),0,ROUND($T1998/$Q1998*$R1998,0)-ROUND(($T1998-$P1998)/$Q1998*$R1998,0)))</f>
        <v/>
      </c>
      <c r="V1998" s="26">
        <f>IF($G1998="","",ROUND($P1998+$U1998,0))</f>
        <v/>
      </c>
      <c r="W1998" s="26">
        <f>IF($G1998="","",IF(N($K1998)=0,0,ROUND($V1998/$K1998,2)))</f>
        <v/>
      </c>
      <c r="X1998" s="17" t="n"/>
      <c r="Y1998" s="17" t="n"/>
      <c r="Z1998" s="17" t="n"/>
      <c r="AA1998" s="17" t="n"/>
      <c r="AB1998" s="17" t="n"/>
      <c r="AC1998" s="24">
        <f>IF($G1998="","",IF($H1998="※编码不在物料档案里","※物料编码不在档案里",IF(N($K1998)&lt;=0,"※入库数量要大于 0",IF(AND($C1998&lt;&gt;"",$C1998&lt;=结账锁),"※日期早于已结账截止日，不能再录",IF(AND($L1998=0,$X1998="正常"),"※没填单价，价格状态请选「待补价」",IF(AND($S1998&gt;0,$R1998&gt;0),"△本批有 "&amp;$S1998&amp;" 行没单价，整批运费先挂账没摊",IF(AND($B1998&lt;&gt;"",COUNTIF($B$4:$B$2503,$B1998)&gt;1),"※入库单号重复","")))))))</f>
        <v/>
      </c>
    </row>
    <row r="1999">
      <c r="A1999" s="24">
        <f>IF($G1999="","",COUNTA($G$4:$G1999))</f>
        <v/>
      </c>
      <c r="B1999" s="17" t="n"/>
      <c r="C1999" s="30" t="n"/>
      <c r="D1999" s="17" t="n"/>
      <c r="E1999" s="17" t="n"/>
      <c r="F1999" s="17" t="n"/>
      <c r="G1999" s="17" t="n"/>
      <c r="H1999" s="24">
        <f>IF($G1999="","",IFERROR(VLOOKUP($G1999,物料档案!$A$4:$P$1203,3,0),"※编码不在物料档案里"))</f>
        <v/>
      </c>
      <c r="I1999" s="24">
        <f>IF($G1999="","",IFERROR(VLOOKUP($G1999,物料档案!$A$4:$P$1203,4,0),"※编码不在物料档案里"))</f>
        <v/>
      </c>
      <c r="J1999" s="24">
        <f>IF($G1999="","",IFERROR(VLOOKUP($G1999,物料档案!$A$4:$P$1203,5,0),"※编码不在物料档案里"))</f>
        <v/>
      </c>
      <c r="K1999" s="23" t="n"/>
      <c r="L1999" s="31" t="n"/>
      <c r="M1999" s="24">
        <f>IF($G1999="","",IF($D1999="A国内","CNY","TZS"))</f>
        <v/>
      </c>
      <c r="N1999" s="28">
        <f>IF($G1999="","",IF($D1999="A国内",汇率,1))</f>
        <v/>
      </c>
      <c r="O1999" s="25">
        <f>IF($G1999="","",ROUND(N($K1999)*N($L1999),2))</f>
        <v/>
      </c>
      <c r="P1999" s="26">
        <f>IF($G1999="","",ROUND($O1999*$N1999,0))</f>
        <v/>
      </c>
      <c r="Q1999" s="26">
        <f>IF($G1999="","",SUMIFS($P$4:$P$2503,$E$4:$E$2503,$E1999,$Z$4:$Z$2503,"正常"))</f>
        <v/>
      </c>
      <c r="R1999" s="26">
        <f>IF($G1999="","",SUMIFS(费用台账!$I$4:$I$503,费用台账!$C$4:$C$503,$E1999,费用台账!$J$4:$J$503,"是",费用台账!$K$4:$K$503,"正常"))</f>
        <v/>
      </c>
      <c r="S1999" s="28">
        <f>IF($G1999="","",COUNTIFS($E$4:$E$2503,$E1999,$Z$4:$Z$2503,"正常",$Y$4:$Y$2503,"待补价"))</f>
        <v/>
      </c>
      <c r="T1999" s="26">
        <f>IF($G1999="","",SUMIFS($P$4:$P$2503,$E$4:$E$2503,$E1999,$Z$4:$Z$2503,"正常",$A$4:$A$2503,"&lt;="&amp;$A1999))</f>
        <v/>
      </c>
      <c r="U1999" s="26">
        <f>IF($G1999="","",IF(OR($S1999&gt;0,$Q1999=0,$R1999=0,$Z1999&lt;&gt;"正常"),0,ROUND($T1999/$Q1999*$R1999,0)-ROUND(($T1999-$P1999)/$Q1999*$R1999,0)))</f>
        <v/>
      </c>
      <c r="V1999" s="26">
        <f>IF($G1999="","",ROUND($P1999+$U1999,0))</f>
        <v/>
      </c>
      <c r="W1999" s="26">
        <f>IF($G1999="","",IF(N($K1999)=0,0,ROUND($V1999/$K1999,2)))</f>
        <v/>
      </c>
      <c r="X1999" s="17" t="n"/>
      <c r="Y1999" s="17" t="n"/>
      <c r="Z1999" s="17" t="n"/>
      <c r="AA1999" s="17" t="n"/>
      <c r="AB1999" s="17" t="n"/>
      <c r="AC1999" s="24">
        <f>IF($G1999="","",IF($H1999="※编码不在物料档案里","※物料编码不在档案里",IF(N($K1999)&lt;=0,"※入库数量要大于 0",IF(AND($C1999&lt;&gt;"",$C1999&lt;=结账锁),"※日期早于已结账截止日，不能再录",IF(AND($L1999=0,$X1999="正常"),"※没填单价，价格状态请选「待补价」",IF(AND($S1999&gt;0,$R1999&gt;0),"△本批有 "&amp;$S1999&amp;" 行没单价，整批运费先挂账没摊",IF(AND($B1999&lt;&gt;"",COUNTIF($B$4:$B$2503,$B1999)&gt;1),"※入库单号重复","")))))))</f>
        <v/>
      </c>
    </row>
    <row r="2000">
      <c r="A2000" s="24">
        <f>IF($G2000="","",COUNTA($G$4:$G2000))</f>
        <v/>
      </c>
      <c r="B2000" s="17" t="n"/>
      <c r="C2000" s="30" t="n"/>
      <c r="D2000" s="17" t="n"/>
      <c r="E2000" s="17" t="n"/>
      <c r="F2000" s="17" t="n"/>
      <c r="G2000" s="17" t="n"/>
      <c r="H2000" s="24">
        <f>IF($G2000="","",IFERROR(VLOOKUP($G2000,物料档案!$A$4:$P$1203,3,0),"※编码不在物料档案里"))</f>
        <v/>
      </c>
      <c r="I2000" s="24">
        <f>IF($G2000="","",IFERROR(VLOOKUP($G2000,物料档案!$A$4:$P$1203,4,0),"※编码不在物料档案里"))</f>
        <v/>
      </c>
      <c r="J2000" s="24">
        <f>IF($G2000="","",IFERROR(VLOOKUP($G2000,物料档案!$A$4:$P$1203,5,0),"※编码不在物料档案里"))</f>
        <v/>
      </c>
      <c r="K2000" s="23" t="n"/>
      <c r="L2000" s="31" t="n"/>
      <c r="M2000" s="24">
        <f>IF($G2000="","",IF($D2000="A国内","CNY","TZS"))</f>
        <v/>
      </c>
      <c r="N2000" s="28">
        <f>IF($G2000="","",IF($D2000="A国内",汇率,1))</f>
        <v/>
      </c>
      <c r="O2000" s="25">
        <f>IF($G2000="","",ROUND(N($K2000)*N($L2000),2))</f>
        <v/>
      </c>
      <c r="P2000" s="26">
        <f>IF($G2000="","",ROUND($O2000*$N2000,0))</f>
        <v/>
      </c>
      <c r="Q2000" s="26">
        <f>IF($G2000="","",SUMIFS($P$4:$P$2503,$E$4:$E$2503,$E2000,$Z$4:$Z$2503,"正常"))</f>
        <v/>
      </c>
      <c r="R2000" s="26">
        <f>IF($G2000="","",SUMIFS(费用台账!$I$4:$I$503,费用台账!$C$4:$C$503,$E2000,费用台账!$J$4:$J$503,"是",费用台账!$K$4:$K$503,"正常"))</f>
        <v/>
      </c>
      <c r="S2000" s="28">
        <f>IF($G2000="","",COUNTIFS($E$4:$E$2503,$E2000,$Z$4:$Z$2503,"正常",$Y$4:$Y$2503,"待补价"))</f>
        <v/>
      </c>
      <c r="T2000" s="26">
        <f>IF($G2000="","",SUMIFS($P$4:$P$2503,$E$4:$E$2503,$E2000,$Z$4:$Z$2503,"正常",$A$4:$A$2503,"&lt;="&amp;$A2000))</f>
        <v/>
      </c>
      <c r="U2000" s="26">
        <f>IF($G2000="","",IF(OR($S2000&gt;0,$Q2000=0,$R2000=0,$Z2000&lt;&gt;"正常"),0,ROUND($T2000/$Q2000*$R2000,0)-ROUND(($T2000-$P2000)/$Q2000*$R2000,0)))</f>
        <v/>
      </c>
      <c r="V2000" s="26">
        <f>IF($G2000="","",ROUND($P2000+$U2000,0))</f>
        <v/>
      </c>
      <c r="W2000" s="26">
        <f>IF($G2000="","",IF(N($K2000)=0,0,ROUND($V2000/$K2000,2)))</f>
        <v/>
      </c>
      <c r="X2000" s="17" t="n"/>
      <c r="Y2000" s="17" t="n"/>
      <c r="Z2000" s="17" t="n"/>
      <c r="AA2000" s="17" t="n"/>
      <c r="AB2000" s="17" t="n"/>
      <c r="AC2000" s="24">
        <f>IF($G2000="","",IF($H2000="※编码不在物料档案里","※物料编码不在档案里",IF(N($K2000)&lt;=0,"※入库数量要大于 0",IF(AND($C2000&lt;&gt;"",$C2000&lt;=结账锁),"※日期早于已结账截止日，不能再录",IF(AND($L2000=0,$X2000="正常"),"※没填单价，价格状态请选「待补价」",IF(AND($S2000&gt;0,$R2000&gt;0),"△本批有 "&amp;$S2000&amp;" 行没单价，整批运费先挂账没摊",IF(AND($B2000&lt;&gt;"",COUNTIF($B$4:$B$2503,$B2000)&gt;1),"※入库单号重复","")))))))</f>
        <v/>
      </c>
    </row>
    <row r="2001">
      <c r="A2001" s="24">
        <f>IF($G2001="","",COUNTA($G$4:$G2001))</f>
        <v/>
      </c>
      <c r="B2001" s="17" t="n"/>
      <c r="C2001" s="30" t="n"/>
      <c r="D2001" s="17" t="n"/>
      <c r="E2001" s="17" t="n"/>
      <c r="F2001" s="17" t="n"/>
      <c r="G2001" s="17" t="n"/>
      <c r="H2001" s="24">
        <f>IF($G2001="","",IFERROR(VLOOKUP($G2001,物料档案!$A$4:$P$1203,3,0),"※编码不在物料档案里"))</f>
        <v/>
      </c>
      <c r="I2001" s="24">
        <f>IF($G2001="","",IFERROR(VLOOKUP($G2001,物料档案!$A$4:$P$1203,4,0),"※编码不在物料档案里"))</f>
        <v/>
      </c>
      <c r="J2001" s="24">
        <f>IF($G2001="","",IFERROR(VLOOKUP($G2001,物料档案!$A$4:$P$1203,5,0),"※编码不在物料档案里"))</f>
        <v/>
      </c>
      <c r="K2001" s="23" t="n"/>
      <c r="L2001" s="31" t="n"/>
      <c r="M2001" s="24">
        <f>IF($G2001="","",IF($D2001="A国内","CNY","TZS"))</f>
        <v/>
      </c>
      <c r="N2001" s="28">
        <f>IF($G2001="","",IF($D2001="A国内",汇率,1))</f>
        <v/>
      </c>
      <c r="O2001" s="25">
        <f>IF($G2001="","",ROUND(N($K2001)*N($L2001),2))</f>
        <v/>
      </c>
      <c r="P2001" s="26">
        <f>IF($G2001="","",ROUND($O2001*$N2001,0))</f>
        <v/>
      </c>
      <c r="Q2001" s="26">
        <f>IF($G2001="","",SUMIFS($P$4:$P$2503,$E$4:$E$2503,$E2001,$Z$4:$Z$2503,"正常"))</f>
        <v/>
      </c>
      <c r="R2001" s="26">
        <f>IF($G2001="","",SUMIFS(费用台账!$I$4:$I$503,费用台账!$C$4:$C$503,$E2001,费用台账!$J$4:$J$503,"是",费用台账!$K$4:$K$503,"正常"))</f>
        <v/>
      </c>
      <c r="S2001" s="28">
        <f>IF($G2001="","",COUNTIFS($E$4:$E$2503,$E2001,$Z$4:$Z$2503,"正常",$Y$4:$Y$2503,"待补价"))</f>
        <v/>
      </c>
      <c r="T2001" s="26">
        <f>IF($G2001="","",SUMIFS($P$4:$P$2503,$E$4:$E$2503,$E2001,$Z$4:$Z$2503,"正常",$A$4:$A$2503,"&lt;="&amp;$A2001))</f>
        <v/>
      </c>
      <c r="U2001" s="26">
        <f>IF($G2001="","",IF(OR($S2001&gt;0,$Q2001=0,$R2001=0,$Z2001&lt;&gt;"正常"),0,ROUND($T2001/$Q2001*$R2001,0)-ROUND(($T2001-$P2001)/$Q2001*$R2001,0)))</f>
        <v/>
      </c>
      <c r="V2001" s="26">
        <f>IF($G2001="","",ROUND($P2001+$U2001,0))</f>
        <v/>
      </c>
      <c r="W2001" s="26">
        <f>IF($G2001="","",IF(N($K2001)=0,0,ROUND($V2001/$K2001,2)))</f>
        <v/>
      </c>
      <c r="X2001" s="17" t="n"/>
      <c r="Y2001" s="17" t="n"/>
      <c r="Z2001" s="17" t="n"/>
      <c r="AA2001" s="17" t="n"/>
      <c r="AB2001" s="17" t="n"/>
      <c r="AC2001" s="24">
        <f>IF($G2001="","",IF($H2001="※编码不在物料档案里","※物料编码不在档案里",IF(N($K2001)&lt;=0,"※入库数量要大于 0",IF(AND($C2001&lt;&gt;"",$C2001&lt;=结账锁),"※日期早于已结账截止日，不能再录",IF(AND($L2001=0,$X2001="正常"),"※没填单价，价格状态请选「待补价」",IF(AND($S2001&gt;0,$R2001&gt;0),"△本批有 "&amp;$S2001&amp;" 行没单价，整批运费先挂账没摊",IF(AND($B2001&lt;&gt;"",COUNTIF($B$4:$B$2503,$B2001)&gt;1),"※入库单号重复","")))))))</f>
        <v/>
      </c>
    </row>
    <row r="2002">
      <c r="A2002" s="24">
        <f>IF($G2002="","",COUNTA($G$4:$G2002))</f>
        <v/>
      </c>
      <c r="B2002" s="17" t="n"/>
      <c r="C2002" s="30" t="n"/>
      <c r="D2002" s="17" t="n"/>
      <c r="E2002" s="17" t="n"/>
      <c r="F2002" s="17" t="n"/>
      <c r="G2002" s="17" t="n"/>
      <c r="H2002" s="24">
        <f>IF($G2002="","",IFERROR(VLOOKUP($G2002,物料档案!$A$4:$P$1203,3,0),"※编码不在物料档案里"))</f>
        <v/>
      </c>
      <c r="I2002" s="24">
        <f>IF($G2002="","",IFERROR(VLOOKUP($G2002,物料档案!$A$4:$P$1203,4,0),"※编码不在物料档案里"))</f>
        <v/>
      </c>
      <c r="J2002" s="24">
        <f>IF($G2002="","",IFERROR(VLOOKUP($G2002,物料档案!$A$4:$P$1203,5,0),"※编码不在物料档案里"))</f>
        <v/>
      </c>
      <c r="K2002" s="23" t="n"/>
      <c r="L2002" s="31" t="n"/>
      <c r="M2002" s="24">
        <f>IF($G2002="","",IF($D2002="A国内","CNY","TZS"))</f>
        <v/>
      </c>
      <c r="N2002" s="28">
        <f>IF($G2002="","",IF($D2002="A国内",汇率,1))</f>
        <v/>
      </c>
      <c r="O2002" s="25">
        <f>IF($G2002="","",ROUND(N($K2002)*N($L2002),2))</f>
        <v/>
      </c>
      <c r="P2002" s="26">
        <f>IF($G2002="","",ROUND($O2002*$N2002,0))</f>
        <v/>
      </c>
      <c r="Q2002" s="26">
        <f>IF($G2002="","",SUMIFS($P$4:$P$2503,$E$4:$E$2503,$E2002,$Z$4:$Z$2503,"正常"))</f>
        <v/>
      </c>
      <c r="R2002" s="26">
        <f>IF($G2002="","",SUMIFS(费用台账!$I$4:$I$503,费用台账!$C$4:$C$503,$E2002,费用台账!$J$4:$J$503,"是",费用台账!$K$4:$K$503,"正常"))</f>
        <v/>
      </c>
      <c r="S2002" s="28">
        <f>IF($G2002="","",COUNTIFS($E$4:$E$2503,$E2002,$Z$4:$Z$2503,"正常",$Y$4:$Y$2503,"待补价"))</f>
        <v/>
      </c>
      <c r="T2002" s="26">
        <f>IF($G2002="","",SUMIFS($P$4:$P$2503,$E$4:$E$2503,$E2002,$Z$4:$Z$2503,"正常",$A$4:$A$2503,"&lt;="&amp;$A2002))</f>
        <v/>
      </c>
      <c r="U2002" s="26">
        <f>IF($G2002="","",IF(OR($S2002&gt;0,$Q2002=0,$R2002=0,$Z2002&lt;&gt;"正常"),0,ROUND($T2002/$Q2002*$R2002,0)-ROUND(($T2002-$P2002)/$Q2002*$R2002,0)))</f>
        <v/>
      </c>
      <c r="V2002" s="26">
        <f>IF($G2002="","",ROUND($P2002+$U2002,0))</f>
        <v/>
      </c>
      <c r="W2002" s="26">
        <f>IF($G2002="","",IF(N($K2002)=0,0,ROUND($V2002/$K2002,2)))</f>
        <v/>
      </c>
      <c r="X2002" s="17" t="n"/>
      <c r="Y2002" s="17" t="n"/>
      <c r="Z2002" s="17" t="n"/>
      <c r="AA2002" s="17" t="n"/>
      <c r="AB2002" s="17" t="n"/>
      <c r="AC2002" s="24">
        <f>IF($G2002="","",IF($H2002="※编码不在物料档案里","※物料编码不在档案里",IF(N($K2002)&lt;=0,"※入库数量要大于 0",IF(AND($C2002&lt;&gt;"",$C2002&lt;=结账锁),"※日期早于已结账截止日，不能再录",IF(AND($L2002=0,$X2002="正常"),"※没填单价，价格状态请选「待补价」",IF(AND($S2002&gt;0,$R2002&gt;0),"△本批有 "&amp;$S2002&amp;" 行没单价，整批运费先挂账没摊",IF(AND($B2002&lt;&gt;"",COUNTIF($B$4:$B$2503,$B2002)&gt;1),"※入库单号重复","")))))))</f>
        <v/>
      </c>
    </row>
    <row r="2003">
      <c r="A2003" s="24">
        <f>IF($G2003="","",COUNTA($G$4:$G2003))</f>
        <v/>
      </c>
      <c r="B2003" s="17" t="n"/>
      <c r="C2003" s="30" t="n"/>
      <c r="D2003" s="17" t="n"/>
      <c r="E2003" s="17" t="n"/>
      <c r="F2003" s="17" t="n"/>
      <c r="G2003" s="17" t="n"/>
      <c r="H2003" s="24">
        <f>IF($G2003="","",IFERROR(VLOOKUP($G2003,物料档案!$A$4:$P$1203,3,0),"※编码不在物料档案里"))</f>
        <v/>
      </c>
      <c r="I2003" s="24">
        <f>IF($G2003="","",IFERROR(VLOOKUP($G2003,物料档案!$A$4:$P$1203,4,0),"※编码不在物料档案里"))</f>
        <v/>
      </c>
      <c r="J2003" s="24">
        <f>IF($G2003="","",IFERROR(VLOOKUP($G2003,物料档案!$A$4:$P$1203,5,0),"※编码不在物料档案里"))</f>
        <v/>
      </c>
      <c r="K2003" s="23" t="n"/>
      <c r="L2003" s="31" t="n"/>
      <c r="M2003" s="24">
        <f>IF($G2003="","",IF($D2003="A国内","CNY","TZS"))</f>
        <v/>
      </c>
      <c r="N2003" s="28">
        <f>IF($G2003="","",IF($D2003="A国内",汇率,1))</f>
        <v/>
      </c>
      <c r="O2003" s="25">
        <f>IF($G2003="","",ROUND(N($K2003)*N($L2003),2))</f>
        <v/>
      </c>
      <c r="P2003" s="26">
        <f>IF($G2003="","",ROUND($O2003*$N2003,0))</f>
        <v/>
      </c>
      <c r="Q2003" s="26">
        <f>IF($G2003="","",SUMIFS($P$4:$P$2503,$E$4:$E$2503,$E2003,$Z$4:$Z$2503,"正常"))</f>
        <v/>
      </c>
      <c r="R2003" s="26">
        <f>IF($G2003="","",SUMIFS(费用台账!$I$4:$I$503,费用台账!$C$4:$C$503,$E2003,费用台账!$J$4:$J$503,"是",费用台账!$K$4:$K$503,"正常"))</f>
        <v/>
      </c>
      <c r="S2003" s="28">
        <f>IF($G2003="","",COUNTIFS($E$4:$E$2503,$E2003,$Z$4:$Z$2503,"正常",$Y$4:$Y$2503,"待补价"))</f>
        <v/>
      </c>
      <c r="T2003" s="26">
        <f>IF($G2003="","",SUMIFS($P$4:$P$2503,$E$4:$E$2503,$E2003,$Z$4:$Z$2503,"正常",$A$4:$A$2503,"&lt;="&amp;$A2003))</f>
        <v/>
      </c>
      <c r="U2003" s="26">
        <f>IF($G2003="","",IF(OR($S2003&gt;0,$Q2003=0,$R2003=0,$Z2003&lt;&gt;"正常"),0,ROUND($T2003/$Q2003*$R2003,0)-ROUND(($T2003-$P2003)/$Q2003*$R2003,0)))</f>
        <v/>
      </c>
      <c r="V2003" s="26">
        <f>IF($G2003="","",ROUND($P2003+$U2003,0))</f>
        <v/>
      </c>
      <c r="W2003" s="26">
        <f>IF($G2003="","",IF(N($K2003)=0,0,ROUND($V2003/$K2003,2)))</f>
        <v/>
      </c>
      <c r="X2003" s="17" t="n"/>
      <c r="Y2003" s="17" t="n"/>
      <c r="Z2003" s="17" t="n"/>
      <c r="AA2003" s="17" t="n"/>
      <c r="AB2003" s="17" t="n"/>
      <c r="AC2003" s="24">
        <f>IF($G2003="","",IF($H2003="※编码不在物料档案里","※物料编码不在档案里",IF(N($K2003)&lt;=0,"※入库数量要大于 0",IF(AND($C2003&lt;&gt;"",$C2003&lt;=结账锁),"※日期早于已结账截止日，不能再录",IF(AND($L2003=0,$X2003="正常"),"※没填单价，价格状态请选「待补价」",IF(AND($S2003&gt;0,$R2003&gt;0),"△本批有 "&amp;$S2003&amp;" 行没单价，整批运费先挂账没摊",IF(AND($B2003&lt;&gt;"",COUNTIF($B$4:$B$2503,$B2003)&gt;1),"※入库单号重复","")))))))</f>
        <v/>
      </c>
    </row>
    <row r="2004">
      <c r="A2004" s="24">
        <f>IF($G2004="","",COUNTA($G$4:$G2004))</f>
        <v/>
      </c>
      <c r="B2004" s="17" t="n"/>
      <c r="C2004" s="30" t="n"/>
      <c r="D2004" s="17" t="n"/>
      <c r="E2004" s="17" t="n"/>
      <c r="F2004" s="17" t="n"/>
      <c r="G2004" s="17" t="n"/>
      <c r="H2004" s="24">
        <f>IF($G2004="","",IFERROR(VLOOKUP($G2004,物料档案!$A$4:$P$1203,3,0),"※编码不在物料档案里"))</f>
        <v/>
      </c>
      <c r="I2004" s="24">
        <f>IF($G2004="","",IFERROR(VLOOKUP($G2004,物料档案!$A$4:$P$1203,4,0),"※编码不在物料档案里"))</f>
        <v/>
      </c>
      <c r="J2004" s="24">
        <f>IF($G2004="","",IFERROR(VLOOKUP($G2004,物料档案!$A$4:$P$1203,5,0),"※编码不在物料档案里"))</f>
        <v/>
      </c>
      <c r="K2004" s="23" t="n"/>
      <c r="L2004" s="31" t="n"/>
      <c r="M2004" s="24">
        <f>IF($G2004="","",IF($D2004="A国内","CNY","TZS"))</f>
        <v/>
      </c>
      <c r="N2004" s="28">
        <f>IF($G2004="","",IF($D2004="A国内",汇率,1))</f>
        <v/>
      </c>
      <c r="O2004" s="25">
        <f>IF($G2004="","",ROUND(N($K2004)*N($L2004),2))</f>
        <v/>
      </c>
      <c r="P2004" s="26">
        <f>IF($G2004="","",ROUND($O2004*$N2004,0))</f>
        <v/>
      </c>
      <c r="Q2004" s="26">
        <f>IF($G2004="","",SUMIFS($P$4:$P$2503,$E$4:$E$2503,$E2004,$Z$4:$Z$2503,"正常"))</f>
        <v/>
      </c>
      <c r="R2004" s="26">
        <f>IF($G2004="","",SUMIFS(费用台账!$I$4:$I$503,费用台账!$C$4:$C$503,$E2004,费用台账!$J$4:$J$503,"是",费用台账!$K$4:$K$503,"正常"))</f>
        <v/>
      </c>
      <c r="S2004" s="28">
        <f>IF($G2004="","",COUNTIFS($E$4:$E$2503,$E2004,$Z$4:$Z$2503,"正常",$Y$4:$Y$2503,"待补价"))</f>
        <v/>
      </c>
      <c r="T2004" s="26">
        <f>IF($G2004="","",SUMIFS($P$4:$P$2503,$E$4:$E$2503,$E2004,$Z$4:$Z$2503,"正常",$A$4:$A$2503,"&lt;="&amp;$A2004))</f>
        <v/>
      </c>
      <c r="U2004" s="26">
        <f>IF($G2004="","",IF(OR($S2004&gt;0,$Q2004=0,$R2004=0,$Z2004&lt;&gt;"正常"),0,ROUND($T2004/$Q2004*$R2004,0)-ROUND(($T2004-$P2004)/$Q2004*$R2004,0)))</f>
        <v/>
      </c>
      <c r="V2004" s="26">
        <f>IF($G2004="","",ROUND($P2004+$U2004,0))</f>
        <v/>
      </c>
      <c r="W2004" s="26">
        <f>IF($G2004="","",IF(N($K2004)=0,0,ROUND($V2004/$K2004,2)))</f>
        <v/>
      </c>
      <c r="X2004" s="17" t="n"/>
      <c r="Y2004" s="17" t="n"/>
      <c r="Z2004" s="17" t="n"/>
      <c r="AA2004" s="17" t="n"/>
      <c r="AB2004" s="17" t="n"/>
      <c r="AC2004" s="24">
        <f>IF($G2004="","",IF($H2004="※编码不在物料档案里","※物料编码不在档案里",IF(N($K2004)&lt;=0,"※入库数量要大于 0",IF(AND($C2004&lt;&gt;"",$C2004&lt;=结账锁),"※日期早于已结账截止日，不能再录",IF(AND($L2004=0,$X2004="正常"),"※没填单价，价格状态请选「待补价」",IF(AND($S2004&gt;0,$R2004&gt;0),"△本批有 "&amp;$S2004&amp;" 行没单价，整批运费先挂账没摊",IF(AND($B2004&lt;&gt;"",COUNTIF($B$4:$B$2503,$B2004)&gt;1),"※入库单号重复","")))))))</f>
        <v/>
      </c>
    </row>
    <row r="2005">
      <c r="A2005" s="24">
        <f>IF($G2005="","",COUNTA($G$4:$G2005))</f>
        <v/>
      </c>
      <c r="B2005" s="17" t="n"/>
      <c r="C2005" s="30" t="n"/>
      <c r="D2005" s="17" t="n"/>
      <c r="E2005" s="17" t="n"/>
      <c r="F2005" s="17" t="n"/>
      <c r="G2005" s="17" t="n"/>
      <c r="H2005" s="24">
        <f>IF($G2005="","",IFERROR(VLOOKUP($G2005,物料档案!$A$4:$P$1203,3,0),"※编码不在物料档案里"))</f>
        <v/>
      </c>
      <c r="I2005" s="24">
        <f>IF($G2005="","",IFERROR(VLOOKUP($G2005,物料档案!$A$4:$P$1203,4,0),"※编码不在物料档案里"))</f>
        <v/>
      </c>
      <c r="J2005" s="24">
        <f>IF($G2005="","",IFERROR(VLOOKUP($G2005,物料档案!$A$4:$P$1203,5,0),"※编码不在物料档案里"))</f>
        <v/>
      </c>
      <c r="K2005" s="23" t="n"/>
      <c r="L2005" s="31" t="n"/>
      <c r="M2005" s="24">
        <f>IF($G2005="","",IF($D2005="A国内","CNY","TZS"))</f>
        <v/>
      </c>
      <c r="N2005" s="28">
        <f>IF($G2005="","",IF($D2005="A国内",汇率,1))</f>
        <v/>
      </c>
      <c r="O2005" s="25">
        <f>IF($G2005="","",ROUND(N($K2005)*N($L2005),2))</f>
        <v/>
      </c>
      <c r="P2005" s="26">
        <f>IF($G2005="","",ROUND($O2005*$N2005,0))</f>
        <v/>
      </c>
      <c r="Q2005" s="26">
        <f>IF($G2005="","",SUMIFS($P$4:$P$2503,$E$4:$E$2503,$E2005,$Z$4:$Z$2503,"正常"))</f>
        <v/>
      </c>
      <c r="R2005" s="26">
        <f>IF($G2005="","",SUMIFS(费用台账!$I$4:$I$503,费用台账!$C$4:$C$503,$E2005,费用台账!$J$4:$J$503,"是",费用台账!$K$4:$K$503,"正常"))</f>
        <v/>
      </c>
      <c r="S2005" s="28">
        <f>IF($G2005="","",COUNTIFS($E$4:$E$2503,$E2005,$Z$4:$Z$2503,"正常",$Y$4:$Y$2503,"待补价"))</f>
        <v/>
      </c>
      <c r="T2005" s="26">
        <f>IF($G2005="","",SUMIFS($P$4:$P$2503,$E$4:$E$2503,$E2005,$Z$4:$Z$2503,"正常",$A$4:$A$2503,"&lt;="&amp;$A2005))</f>
        <v/>
      </c>
      <c r="U2005" s="26">
        <f>IF($G2005="","",IF(OR($S2005&gt;0,$Q2005=0,$R2005=0,$Z2005&lt;&gt;"正常"),0,ROUND($T2005/$Q2005*$R2005,0)-ROUND(($T2005-$P2005)/$Q2005*$R2005,0)))</f>
        <v/>
      </c>
      <c r="V2005" s="26">
        <f>IF($G2005="","",ROUND($P2005+$U2005,0))</f>
        <v/>
      </c>
      <c r="W2005" s="26">
        <f>IF($G2005="","",IF(N($K2005)=0,0,ROUND($V2005/$K2005,2)))</f>
        <v/>
      </c>
      <c r="X2005" s="17" t="n"/>
      <c r="Y2005" s="17" t="n"/>
      <c r="Z2005" s="17" t="n"/>
      <c r="AA2005" s="17" t="n"/>
      <c r="AB2005" s="17" t="n"/>
      <c r="AC2005" s="24">
        <f>IF($G2005="","",IF($H2005="※编码不在物料档案里","※物料编码不在档案里",IF(N($K2005)&lt;=0,"※入库数量要大于 0",IF(AND($C2005&lt;&gt;"",$C2005&lt;=结账锁),"※日期早于已结账截止日，不能再录",IF(AND($L2005=0,$X2005="正常"),"※没填单价，价格状态请选「待补价」",IF(AND($S2005&gt;0,$R2005&gt;0),"△本批有 "&amp;$S2005&amp;" 行没单价，整批运费先挂账没摊",IF(AND($B2005&lt;&gt;"",COUNTIF($B$4:$B$2503,$B2005)&gt;1),"※入库单号重复","")))))))</f>
        <v/>
      </c>
    </row>
    <row r="2006">
      <c r="A2006" s="24">
        <f>IF($G2006="","",COUNTA($G$4:$G2006))</f>
        <v/>
      </c>
      <c r="B2006" s="17" t="n"/>
      <c r="C2006" s="30" t="n"/>
      <c r="D2006" s="17" t="n"/>
      <c r="E2006" s="17" t="n"/>
      <c r="F2006" s="17" t="n"/>
      <c r="G2006" s="17" t="n"/>
      <c r="H2006" s="24">
        <f>IF($G2006="","",IFERROR(VLOOKUP($G2006,物料档案!$A$4:$P$1203,3,0),"※编码不在物料档案里"))</f>
        <v/>
      </c>
      <c r="I2006" s="24">
        <f>IF($G2006="","",IFERROR(VLOOKUP($G2006,物料档案!$A$4:$P$1203,4,0),"※编码不在物料档案里"))</f>
        <v/>
      </c>
      <c r="J2006" s="24">
        <f>IF($G2006="","",IFERROR(VLOOKUP($G2006,物料档案!$A$4:$P$1203,5,0),"※编码不在物料档案里"))</f>
        <v/>
      </c>
      <c r="K2006" s="23" t="n"/>
      <c r="L2006" s="31" t="n"/>
      <c r="M2006" s="24">
        <f>IF($G2006="","",IF($D2006="A国内","CNY","TZS"))</f>
        <v/>
      </c>
      <c r="N2006" s="28">
        <f>IF($G2006="","",IF($D2006="A国内",汇率,1))</f>
        <v/>
      </c>
      <c r="O2006" s="25">
        <f>IF($G2006="","",ROUND(N($K2006)*N($L2006),2))</f>
        <v/>
      </c>
      <c r="P2006" s="26">
        <f>IF($G2006="","",ROUND($O2006*$N2006,0))</f>
        <v/>
      </c>
      <c r="Q2006" s="26">
        <f>IF($G2006="","",SUMIFS($P$4:$P$2503,$E$4:$E$2503,$E2006,$Z$4:$Z$2503,"正常"))</f>
        <v/>
      </c>
      <c r="R2006" s="26">
        <f>IF($G2006="","",SUMIFS(费用台账!$I$4:$I$503,费用台账!$C$4:$C$503,$E2006,费用台账!$J$4:$J$503,"是",费用台账!$K$4:$K$503,"正常"))</f>
        <v/>
      </c>
      <c r="S2006" s="28">
        <f>IF($G2006="","",COUNTIFS($E$4:$E$2503,$E2006,$Z$4:$Z$2503,"正常",$Y$4:$Y$2503,"待补价"))</f>
        <v/>
      </c>
      <c r="T2006" s="26">
        <f>IF($G2006="","",SUMIFS($P$4:$P$2503,$E$4:$E$2503,$E2006,$Z$4:$Z$2503,"正常",$A$4:$A$2503,"&lt;="&amp;$A2006))</f>
        <v/>
      </c>
      <c r="U2006" s="26">
        <f>IF($G2006="","",IF(OR($S2006&gt;0,$Q2006=0,$R2006=0,$Z2006&lt;&gt;"正常"),0,ROUND($T2006/$Q2006*$R2006,0)-ROUND(($T2006-$P2006)/$Q2006*$R2006,0)))</f>
        <v/>
      </c>
      <c r="V2006" s="26">
        <f>IF($G2006="","",ROUND($P2006+$U2006,0))</f>
        <v/>
      </c>
      <c r="W2006" s="26">
        <f>IF($G2006="","",IF(N($K2006)=0,0,ROUND($V2006/$K2006,2)))</f>
        <v/>
      </c>
      <c r="X2006" s="17" t="n"/>
      <c r="Y2006" s="17" t="n"/>
      <c r="Z2006" s="17" t="n"/>
      <c r="AA2006" s="17" t="n"/>
      <c r="AB2006" s="17" t="n"/>
      <c r="AC2006" s="24">
        <f>IF($G2006="","",IF($H2006="※编码不在物料档案里","※物料编码不在档案里",IF(N($K2006)&lt;=0,"※入库数量要大于 0",IF(AND($C2006&lt;&gt;"",$C2006&lt;=结账锁),"※日期早于已结账截止日，不能再录",IF(AND($L2006=0,$X2006="正常"),"※没填单价，价格状态请选「待补价」",IF(AND($S2006&gt;0,$R2006&gt;0),"△本批有 "&amp;$S2006&amp;" 行没单价，整批运费先挂账没摊",IF(AND($B2006&lt;&gt;"",COUNTIF($B$4:$B$2503,$B2006)&gt;1),"※入库单号重复","")))))))</f>
        <v/>
      </c>
    </row>
    <row r="2007">
      <c r="A2007" s="24">
        <f>IF($G2007="","",COUNTA($G$4:$G2007))</f>
        <v/>
      </c>
      <c r="B2007" s="17" t="n"/>
      <c r="C2007" s="30" t="n"/>
      <c r="D2007" s="17" t="n"/>
      <c r="E2007" s="17" t="n"/>
      <c r="F2007" s="17" t="n"/>
      <c r="G2007" s="17" t="n"/>
      <c r="H2007" s="24">
        <f>IF($G2007="","",IFERROR(VLOOKUP($G2007,物料档案!$A$4:$P$1203,3,0),"※编码不在物料档案里"))</f>
        <v/>
      </c>
      <c r="I2007" s="24">
        <f>IF($G2007="","",IFERROR(VLOOKUP($G2007,物料档案!$A$4:$P$1203,4,0),"※编码不在物料档案里"))</f>
        <v/>
      </c>
      <c r="J2007" s="24">
        <f>IF($G2007="","",IFERROR(VLOOKUP($G2007,物料档案!$A$4:$P$1203,5,0),"※编码不在物料档案里"))</f>
        <v/>
      </c>
      <c r="K2007" s="23" t="n"/>
      <c r="L2007" s="31" t="n"/>
      <c r="M2007" s="24">
        <f>IF($G2007="","",IF($D2007="A国内","CNY","TZS"))</f>
        <v/>
      </c>
      <c r="N2007" s="28">
        <f>IF($G2007="","",IF($D2007="A国内",汇率,1))</f>
        <v/>
      </c>
      <c r="O2007" s="25">
        <f>IF($G2007="","",ROUND(N($K2007)*N($L2007),2))</f>
        <v/>
      </c>
      <c r="P2007" s="26">
        <f>IF($G2007="","",ROUND($O2007*$N2007,0))</f>
        <v/>
      </c>
      <c r="Q2007" s="26">
        <f>IF($G2007="","",SUMIFS($P$4:$P$2503,$E$4:$E$2503,$E2007,$Z$4:$Z$2503,"正常"))</f>
        <v/>
      </c>
      <c r="R2007" s="26">
        <f>IF($G2007="","",SUMIFS(费用台账!$I$4:$I$503,费用台账!$C$4:$C$503,$E2007,费用台账!$J$4:$J$503,"是",费用台账!$K$4:$K$503,"正常"))</f>
        <v/>
      </c>
      <c r="S2007" s="28">
        <f>IF($G2007="","",COUNTIFS($E$4:$E$2503,$E2007,$Z$4:$Z$2503,"正常",$Y$4:$Y$2503,"待补价"))</f>
        <v/>
      </c>
      <c r="T2007" s="26">
        <f>IF($G2007="","",SUMIFS($P$4:$P$2503,$E$4:$E$2503,$E2007,$Z$4:$Z$2503,"正常",$A$4:$A$2503,"&lt;="&amp;$A2007))</f>
        <v/>
      </c>
      <c r="U2007" s="26">
        <f>IF($G2007="","",IF(OR($S2007&gt;0,$Q2007=0,$R2007=0,$Z2007&lt;&gt;"正常"),0,ROUND($T2007/$Q2007*$R2007,0)-ROUND(($T2007-$P2007)/$Q2007*$R2007,0)))</f>
        <v/>
      </c>
      <c r="V2007" s="26">
        <f>IF($G2007="","",ROUND($P2007+$U2007,0))</f>
        <v/>
      </c>
      <c r="W2007" s="26">
        <f>IF($G2007="","",IF(N($K2007)=0,0,ROUND($V2007/$K2007,2)))</f>
        <v/>
      </c>
      <c r="X2007" s="17" t="n"/>
      <c r="Y2007" s="17" t="n"/>
      <c r="Z2007" s="17" t="n"/>
      <c r="AA2007" s="17" t="n"/>
      <c r="AB2007" s="17" t="n"/>
      <c r="AC2007" s="24">
        <f>IF($G2007="","",IF($H2007="※编码不在物料档案里","※物料编码不在档案里",IF(N($K2007)&lt;=0,"※入库数量要大于 0",IF(AND($C2007&lt;&gt;"",$C2007&lt;=结账锁),"※日期早于已结账截止日，不能再录",IF(AND($L2007=0,$X2007="正常"),"※没填单价，价格状态请选「待补价」",IF(AND($S2007&gt;0,$R2007&gt;0),"△本批有 "&amp;$S2007&amp;" 行没单价，整批运费先挂账没摊",IF(AND($B2007&lt;&gt;"",COUNTIF($B$4:$B$2503,$B2007)&gt;1),"※入库单号重复","")))))))</f>
        <v/>
      </c>
    </row>
    <row r="2008">
      <c r="A2008" s="24">
        <f>IF($G2008="","",COUNTA($G$4:$G2008))</f>
        <v/>
      </c>
      <c r="B2008" s="17" t="n"/>
      <c r="C2008" s="30" t="n"/>
      <c r="D2008" s="17" t="n"/>
      <c r="E2008" s="17" t="n"/>
      <c r="F2008" s="17" t="n"/>
      <c r="G2008" s="17" t="n"/>
      <c r="H2008" s="24">
        <f>IF($G2008="","",IFERROR(VLOOKUP($G2008,物料档案!$A$4:$P$1203,3,0),"※编码不在物料档案里"))</f>
        <v/>
      </c>
      <c r="I2008" s="24">
        <f>IF($G2008="","",IFERROR(VLOOKUP($G2008,物料档案!$A$4:$P$1203,4,0),"※编码不在物料档案里"))</f>
        <v/>
      </c>
      <c r="J2008" s="24">
        <f>IF($G2008="","",IFERROR(VLOOKUP($G2008,物料档案!$A$4:$P$1203,5,0),"※编码不在物料档案里"))</f>
        <v/>
      </c>
      <c r="K2008" s="23" t="n"/>
      <c r="L2008" s="31" t="n"/>
      <c r="M2008" s="24">
        <f>IF($G2008="","",IF($D2008="A国内","CNY","TZS"))</f>
        <v/>
      </c>
      <c r="N2008" s="28">
        <f>IF($G2008="","",IF($D2008="A国内",汇率,1))</f>
        <v/>
      </c>
      <c r="O2008" s="25">
        <f>IF($G2008="","",ROUND(N($K2008)*N($L2008),2))</f>
        <v/>
      </c>
      <c r="P2008" s="26">
        <f>IF($G2008="","",ROUND($O2008*$N2008,0))</f>
        <v/>
      </c>
      <c r="Q2008" s="26">
        <f>IF($G2008="","",SUMIFS($P$4:$P$2503,$E$4:$E$2503,$E2008,$Z$4:$Z$2503,"正常"))</f>
        <v/>
      </c>
      <c r="R2008" s="26">
        <f>IF($G2008="","",SUMIFS(费用台账!$I$4:$I$503,费用台账!$C$4:$C$503,$E2008,费用台账!$J$4:$J$503,"是",费用台账!$K$4:$K$503,"正常"))</f>
        <v/>
      </c>
      <c r="S2008" s="28">
        <f>IF($G2008="","",COUNTIFS($E$4:$E$2503,$E2008,$Z$4:$Z$2503,"正常",$Y$4:$Y$2503,"待补价"))</f>
        <v/>
      </c>
      <c r="T2008" s="26">
        <f>IF($G2008="","",SUMIFS($P$4:$P$2503,$E$4:$E$2503,$E2008,$Z$4:$Z$2503,"正常",$A$4:$A$2503,"&lt;="&amp;$A2008))</f>
        <v/>
      </c>
      <c r="U2008" s="26">
        <f>IF($G2008="","",IF(OR($S2008&gt;0,$Q2008=0,$R2008=0,$Z2008&lt;&gt;"正常"),0,ROUND($T2008/$Q2008*$R2008,0)-ROUND(($T2008-$P2008)/$Q2008*$R2008,0)))</f>
        <v/>
      </c>
      <c r="V2008" s="26">
        <f>IF($G2008="","",ROUND($P2008+$U2008,0))</f>
        <v/>
      </c>
      <c r="W2008" s="26">
        <f>IF($G2008="","",IF(N($K2008)=0,0,ROUND($V2008/$K2008,2)))</f>
        <v/>
      </c>
      <c r="X2008" s="17" t="n"/>
      <c r="Y2008" s="17" t="n"/>
      <c r="Z2008" s="17" t="n"/>
      <c r="AA2008" s="17" t="n"/>
      <c r="AB2008" s="17" t="n"/>
      <c r="AC2008" s="24">
        <f>IF($G2008="","",IF($H2008="※编码不在物料档案里","※物料编码不在档案里",IF(N($K2008)&lt;=0,"※入库数量要大于 0",IF(AND($C2008&lt;&gt;"",$C2008&lt;=结账锁),"※日期早于已结账截止日，不能再录",IF(AND($L2008=0,$X2008="正常"),"※没填单价，价格状态请选「待补价」",IF(AND($S2008&gt;0,$R2008&gt;0),"△本批有 "&amp;$S2008&amp;" 行没单价，整批运费先挂账没摊",IF(AND($B2008&lt;&gt;"",COUNTIF($B$4:$B$2503,$B2008)&gt;1),"※入库单号重复","")))))))</f>
        <v/>
      </c>
    </row>
    <row r="2009">
      <c r="A2009" s="24">
        <f>IF($G2009="","",COUNTA($G$4:$G2009))</f>
        <v/>
      </c>
      <c r="B2009" s="17" t="n"/>
      <c r="C2009" s="30" t="n"/>
      <c r="D2009" s="17" t="n"/>
      <c r="E2009" s="17" t="n"/>
      <c r="F2009" s="17" t="n"/>
      <c r="G2009" s="17" t="n"/>
      <c r="H2009" s="24">
        <f>IF($G2009="","",IFERROR(VLOOKUP($G2009,物料档案!$A$4:$P$1203,3,0),"※编码不在物料档案里"))</f>
        <v/>
      </c>
      <c r="I2009" s="24">
        <f>IF($G2009="","",IFERROR(VLOOKUP($G2009,物料档案!$A$4:$P$1203,4,0),"※编码不在物料档案里"))</f>
        <v/>
      </c>
      <c r="J2009" s="24">
        <f>IF($G2009="","",IFERROR(VLOOKUP($G2009,物料档案!$A$4:$P$1203,5,0),"※编码不在物料档案里"))</f>
        <v/>
      </c>
      <c r="K2009" s="23" t="n"/>
      <c r="L2009" s="31" t="n"/>
      <c r="M2009" s="24">
        <f>IF($G2009="","",IF($D2009="A国内","CNY","TZS"))</f>
        <v/>
      </c>
      <c r="N2009" s="28">
        <f>IF($G2009="","",IF($D2009="A国内",汇率,1))</f>
        <v/>
      </c>
      <c r="O2009" s="25">
        <f>IF($G2009="","",ROUND(N($K2009)*N($L2009),2))</f>
        <v/>
      </c>
      <c r="P2009" s="26">
        <f>IF($G2009="","",ROUND($O2009*$N2009,0))</f>
        <v/>
      </c>
      <c r="Q2009" s="26">
        <f>IF($G2009="","",SUMIFS($P$4:$P$2503,$E$4:$E$2503,$E2009,$Z$4:$Z$2503,"正常"))</f>
        <v/>
      </c>
      <c r="R2009" s="26">
        <f>IF($G2009="","",SUMIFS(费用台账!$I$4:$I$503,费用台账!$C$4:$C$503,$E2009,费用台账!$J$4:$J$503,"是",费用台账!$K$4:$K$503,"正常"))</f>
        <v/>
      </c>
      <c r="S2009" s="28">
        <f>IF($G2009="","",COUNTIFS($E$4:$E$2503,$E2009,$Z$4:$Z$2503,"正常",$Y$4:$Y$2503,"待补价"))</f>
        <v/>
      </c>
      <c r="T2009" s="26">
        <f>IF($G2009="","",SUMIFS($P$4:$P$2503,$E$4:$E$2503,$E2009,$Z$4:$Z$2503,"正常",$A$4:$A$2503,"&lt;="&amp;$A2009))</f>
        <v/>
      </c>
      <c r="U2009" s="26">
        <f>IF($G2009="","",IF(OR($S2009&gt;0,$Q2009=0,$R2009=0,$Z2009&lt;&gt;"正常"),0,ROUND($T2009/$Q2009*$R2009,0)-ROUND(($T2009-$P2009)/$Q2009*$R2009,0)))</f>
        <v/>
      </c>
      <c r="V2009" s="26">
        <f>IF($G2009="","",ROUND($P2009+$U2009,0))</f>
        <v/>
      </c>
      <c r="W2009" s="26">
        <f>IF($G2009="","",IF(N($K2009)=0,0,ROUND($V2009/$K2009,2)))</f>
        <v/>
      </c>
      <c r="X2009" s="17" t="n"/>
      <c r="Y2009" s="17" t="n"/>
      <c r="Z2009" s="17" t="n"/>
      <c r="AA2009" s="17" t="n"/>
      <c r="AB2009" s="17" t="n"/>
      <c r="AC2009" s="24">
        <f>IF($G2009="","",IF($H2009="※编码不在物料档案里","※物料编码不在档案里",IF(N($K2009)&lt;=0,"※入库数量要大于 0",IF(AND($C2009&lt;&gt;"",$C2009&lt;=结账锁),"※日期早于已结账截止日，不能再录",IF(AND($L2009=0,$X2009="正常"),"※没填单价，价格状态请选「待补价」",IF(AND($S2009&gt;0,$R2009&gt;0),"△本批有 "&amp;$S2009&amp;" 行没单价，整批运费先挂账没摊",IF(AND($B2009&lt;&gt;"",COUNTIF($B$4:$B$2503,$B2009)&gt;1),"※入库单号重复","")))))))</f>
        <v/>
      </c>
    </row>
    <row r="2010">
      <c r="A2010" s="24">
        <f>IF($G2010="","",COUNTA($G$4:$G2010))</f>
        <v/>
      </c>
      <c r="B2010" s="17" t="n"/>
      <c r="C2010" s="30" t="n"/>
      <c r="D2010" s="17" t="n"/>
      <c r="E2010" s="17" t="n"/>
      <c r="F2010" s="17" t="n"/>
      <c r="G2010" s="17" t="n"/>
      <c r="H2010" s="24">
        <f>IF($G2010="","",IFERROR(VLOOKUP($G2010,物料档案!$A$4:$P$1203,3,0),"※编码不在物料档案里"))</f>
        <v/>
      </c>
      <c r="I2010" s="24">
        <f>IF($G2010="","",IFERROR(VLOOKUP($G2010,物料档案!$A$4:$P$1203,4,0),"※编码不在物料档案里"))</f>
        <v/>
      </c>
      <c r="J2010" s="24">
        <f>IF($G2010="","",IFERROR(VLOOKUP($G2010,物料档案!$A$4:$P$1203,5,0),"※编码不在物料档案里"))</f>
        <v/>
      </c>
      <c r="K2010" s="23" t="n"/>
      <c r="L2010" s="31" t="n"/>
      <c r="M2010" s="24">
        <f>IF($G2010="","",IF($D2010="A国内","CNY","TZS"))</f>
        <v/>
      </c>
      <c r="N2010" s="28">
        <f>IF($G2010="","",IF($D2010="A国内",汇率,1))</f>
        <v/>
      </c>
      <c r="O2010" s="25">
        <f>IF($G2010="","",ROUND(N($K2010)*N($L2010),2))</f>
        <v/>
      </c>
      <c r="P2010" s="26">
        <f>IF($G2010="","",ROUND($O2010*$N2010,0))</f>
        <v/>
      </c>
      <c r="Q2010" s="26">
        <f>IF($G2010="","",SUMIFS($P$4:$P$2503,$E$4:$E$2503,$E2010,$Z$4:$Z$2503,"正常"))</f>
        <v/>
      </c>
      <c r="R2010" s="26">
        <f>IF($G2010="","",SUMIFS(费用台账!$I$4:$I$503,费用台账!$C$4:$C$503,$E2010,费用台账!$J$4:$J$503,"是",费用台账!$K$4:$K$503,"正常"))</f>
        <v/>
      </c>
      <c r="S2010" s="28">
        <f>IF($G2010="","",COUNTIFS($E$4:$E$2503,$E2010,$Z$4:$Z$2503,"正常",$Y$4:$Y$2503,"待补价"))</f>
        <v/>
      </c>
      <c r="T2010" s="26">
        <f>IF($G2010="","",SUMIFS($P$4:$P$2503,$E$4:$E$2503,$E2010,$Z$4:$Z$2503,"正常",$A$4:$A$2503,"&lt;="&amp;$A2010))</f>
        <v/>
      </c>
      <c r="U2010" s="26">
        <f>IF($G2010="","",IF(OR($S2010&gt;0,$Q2010=0,$R2010=0,$Z2010&lt;&gt;"正常"),0,ROUND($T2010/$Q2010*$R2010,0)-ROUND(($T2010-$P2010)/$Q2010*$R2010,0)))</f>
        <v/>
      </c>
      <c r="V2010" s="26">
        <f>IF($G2010="","",ROUND($P2010+$U2010,0))</f>
        <v/>
      </c>
      <c r="W2010" s="26">
        <f>IF($G2010="","",IF(N($K2010)=0,0,ROUND($V2010/$K2010,2)))</f>
        <v/>
      </c>
      <c r="X2010" s="17" t="n"/>
      <c r="Y2010" s="17" t="n"/>
      <c r="Z2010" s="17" t="n"/>
      <c r="AA2010" s="17" t="n"/>
      <c r="AB2010" s="17" t="n"/>
      <c r="AC2010" s="24">
        <f>IF($G2010="","",IF($H2010="※编码不在物料档案里","※物料编码不在档案里",IF(N($K2010)&lt;=0,"※入库数量要大于 0",IF(AND($C2010&lt;&gt;"",$C2010&lt;=结账锁),"※日期早于已结账截止日，不能再录",IF(AND($L2010=0,$X2010="正常"),"※没填单价，价格状态请选「待补价」",IF(AND($S2010&gt;0,$R2010&gt;0),"△本批有 "&amp;$S2010&amp;" 行没单价，整批运费先挂账没摊",IF(AND($B2010&lt;&gt;"",COUNTIF($B$4:$B$2503,$B2010)&gt;1),"※入库单号重复","")))))))</f>
        <v/>
      </c>
    </row>
    <row r="2011">
      <c r="A2011" s="24">
        <f>IF($G2011="","",COUNTA($G$4:$G2011))</f>
        <v/>
      </c>
      <c r="B2011" s="17" t="n"/>
      <c r="C2011" s="30" t="n"/>
      <c r="D2011" s="17" t="n"/>
      <c r="E2011" s="17" t="n"/>
      <c r="F2011" s="17" t="n"/>
      <c r="G2011" s="17" t="n"/>
      <c r="H2011" s="24">
        <f>IF($G2011="","",IFERROR(VLOOKUP($G2011,物料档案!$A$4:$P$1203,3,0),"※编码不在物料档案里"))</f>
        <v/>
      </c>
      <c r="I2011" s="24">
        <f>IF($G2011="","",IFERROR(VLOOKUP($G2011,物料档案!$A$4:$P$1203,4,0),"※编码不在物料档案里"))</f>
        <v/>
      </c>
      <c r="J2011" s="24">
        <f>IF($G2011="","",IFERROR(VLOOKUP($G2011,物料档案!$A$4:$P$1203,5,0),"※编码不在物料档案里"))</f>
        <v/>
      </c>
      <c r="K2011" s="23" t="n"/>
      <c r="L2011" s="31" t="n"/>
      <c r="M2011" s="24">
        <f>IF($G2011="","",IF($D2011="A国内","CNY","TZS"))</f>
        <v/>
      </c>
      <c r="N2011" s="28">
        <f>IF($G2011="","",IF($D2011="A国内",汇率,1))</f>
        <v/>
      </c>
      <c r="O2011" s="25">
        <f>IF($G2011="","",ROUND(N($K2011)*N($L2011),2))</f>
        <v/>
      </c>
      <c r="P2011" s="26">
        <f>IF($G2011="","",ROUND($O2011*$N2011,0))</f>
        <v/>
      </c>
      <c r="Q2011" s="26">
        <f>IF($G2011="","",SUMIFS($P$4:$P$2503,$E$4:$E$2503,$E2011,$Z$4:$Z$2503,"正常"))</f>
        <v/>
      </c>
      <c r="R2011" s="26">
        <f>IF($G2011="","",SUMIFS(费用台账!$I$4:$I$503,费用台账!$C$4:$C$503,$E2011,费用台账!$J$4:$J$503,"是",费用台账!$K$4:$K$503,"正常"))</f>
        <v/>
      </c>
      <c r="S2011" s="28">
        <f>IF($G2011="","",COUNTIFS($E$4:$E$2503,$E2011,$Z$4:$Z$2503,"正常",$Y$4:$Y$2503,"待补价"))</f>
        <v/>
      </c>
      <c r="T2011" s="26">
        <f>IF($G2011="","",SUMIFS($P$4:$P$2503,$E$4:$E$2503,$E2011,$Z$4:$Z$2503,"正常",$A$4:$A$2503,"&lt;="&amp;$A2011))</f>
        <v/>
      </c>
      <c r="U2011" s="26">
        <f>IF($G2011="","",IF(OR($S2011&gt;0,$Q2011=0,$R2011=0,$Z2011&lt;&gt;"正常"),0,ROUND($T2011/$Q2011*$R2011,0)-ROUND(($T2011-$P2011)/$Q2011*$R2011,0)))</f>
        <v/>
      </c>
      <c r="V2011" s="26">
        <f>IF($G2011="","",ROUND($P2011+$U2011,0))</f>
        <v/>
      </c>
      <c r="W2011" s="26">
        <f>IF($G2011="","",IF(N($K2011)=0,0,ROUND($V2011/$K2011,2)))</f>
        <v/>
      </c>
      <c r="X2011" s="17" t="n"/>
      <c r="Y2011" s="17" t="n"/>
      <c r="Z2011" s="17" t="n"/>
      <c r="AA2011" s="17" t="n"/>
      <c r="AB2011" s="17" t="n"/>
      <c r="AC2011" s="24">
        <f>IF($G2011="","",IF($H2011="※编码不在物料档案里","※物料编码不在档案里",IF(N($K2011)&lt;=0,"※入库数量要大于 0",IF(AND($C2011&lt;&gt;"",$C2011&lt;=结账锁),"※日期早于已结账截止日，不能再录",IF(AND($L2011=0,$X2011="正常"),"※没填单价，价格状态请选「待补价」",IF(AND($S2011&gt;0,$R2011&gt;0),"△本批有 "&amp;$S2011&amp;" 行没单价，整批运费先挂账没摊",IF(AND($B2011&lt;&gt;"",COUNTIF($B$4:$B$2503,$B2011)&gt;1),"※入库单号重复","")))))))</f>
        <v/>
      </c>
    </row>
    <row r="2012">
      <c r="A2012" s="24">
        <f>IF($G2012="","",COUNTA($G$4:$G2012))</f>
        <v/>
      </c>
      <c r="B2012" s="17" t="n"/>
      <c r="C2012" s="30" t="n"/>
      <c r="D2012" s="17" t="n"/>
      <c r="E2012" s="17" t="n"/>
      <c r="F2012" s="17" t="n"/>
      <c r="G2012" s="17" t="n"/>
      <c r="H2012" s="24">
        <f>IF($G2012="","",IFERROR(VLOOKUP($G2012,物料档案!$A$4:$P$1203,3,0),"※编码不在物料档案里"))</f>
        <v/>
      </c>
      <c r="I2012" s="24">
        <f>IF($G2012="","",IFERROR(VLOOKUP($G2012,物料档案!$A$4:$P$1203,4,0),"※编码不在物料档案里"))</f>
        <v/>
      </c>
      <c r="J2012" s="24">
        <f>IF($G2012="","",IFERROR(VLOOKUP($G2012,物料档案!$A$4:$P$1203,5,0),"※编码不在物料档案里"))</f>
        <v/>
      </c>
      <c r="K2012" s="23" t="n"/>
      <c r="L2012" s="31" t="n"/>
      <c r="M2012" s="24">
        <f>IF($G2012="","",IF($D2012="A国内","CNY","TZS"))</f>
        <v/>
      </c>
      <c r="N2012" s="28">
        <f>IF($G2012="","",IF($D2012="A国内",汇率,1))</f>
        <v/>
      </c>
      <c r="O2012" s="25">
        <f>IF($G2012="","",ROUND(N($K2012)*N($L2012),2))</f>
        <v/>
      </c>
      <c r="P2012" s="26">
        <f>IF($G2012="","",ROUND($O2012*$N2012,0))</f>
        <v/>
      </c>
      <c r="Q2012" s="26">
        <f>IF($G2012="","",SUMIFS($P$4:$P$2503,$E$4:$E$2503,$E2012,$Z$4:$Z$2503,"正常"))</f>
        <v/>
      </c>
      <c r="R2012" s="26">
        <f>IF($G2012="","",SUMIFS(费用台账!$I$4:$I$503,费用台账!$C$4:$C$503,$E2012,费用台账!$J$4:$J$503,"是",费用台账!$K$4:$K$503,"正常"))</f>
        <v/>
      </c>
      <c r="S2012" s="28">
        <f>IF($G2012="","",COUNTIFS($E$4:$E$2503,$E2012,$Z$4:$Z$2503,"正常",$Y$4:$Y$2503,"待补价"))</f>
        <v/>
      </c>
      <c r="T2012" s="26">
        <f>IF($G2012="","",SUMIFS($P$4:$P$2503,$E$4:$E$2503,$E2012,$Z$4:$Z$2503,"正常",$A$4:$A$2503,"&lt;="&amp;$A2012))</f>
        <v/>
      </c>
      <c r="U2012" s="26">
        <f>IF($G2012="","",IF(OR($S2012&gt;0,$Q2012=0,$R2012=0,$Z2012&lt;&gt;"正常"),0,ROUND($T2012/$Q2012*$R2012,0)-ROUND(($T2012-$P2012)/$Q2012*$R2012,0)))</f>
        <v/>
      </c>
      <c r="V2012" s="26">
        <f>IF($G2012="","",ROUND($P2012+$U2012,0))</f>
        <v/>
      </c>
      <c r="W2012" s="26">
        <f>IF($G2012="","",IF(N($K2012)=0,0,ROUND($V2012/$K2012,2)))</f>
        <v/>
      </c>
      <c r="X2012" s="17" t="n"/>
      <c r="Y2012" s="17" t="n"/>
      <c r="Z2012" s="17" t="n"/>
      <c r="AA2012" s="17" t="n"/>
      <c r="AB2012" s="17" t="n"/>
      <c r="AC2012" s="24">
        <f>IF($G2012="","",IF($H2012="※编码不在物料档案里","※物料编码不在档案里",IF(N($K2012)&lt;=0,"※入库数量要大于 0",IF(AND($C2012&lt;&gt;"",$C2012&lt;=结账锁),"※日期早于已结账截止日，不能再录",IF(AND($L2012=0,$X2012="正常"),"※没填单价，价格状态请选「待补价」",IF(AND($S2012&gt;0,$R2012&gt;0),"△本批有 "&amp;$S2012&amp;" 行没单价，整批运费先挂账没摊",IF(AND($B2012&lt;&gt;"",COUNTIF($B$4:$B$2503,$B2012)&gt;1),"※入库单号重复","")))))))</f>
        <v/>
      </c>
    </row>
    <row r="2013">
      <c r="A2013" s="24">
        <f>IF($G2013="","",COUNTA($G$4:$G2013))</f>
        <v/>
      </c>
      <c r="B2013" s="17" t="n"/>
      <c r="C2013" s="30" t="n"/>
      <c r="D2013" s="17" t="n"/>
      <c r="E2013" s="17" t="n"/>
      <c r="F2013" s="17" t="n"/>
      <c r="G2013" s="17" t="n"/>
      <c r="H2013" s="24">
        <f>IF($G2013="","",IFERROR(VLOOKUP($G2013,物料档案!$A$4:$P$1203,3,0),"※编码不在物料档案里"))</f>
        <v/>
      </c>
      <c r="I2013" s="24">
        <f>IF($G2013="","",IFERROR(VLOOKUP($G2013,物料档案!$A$4:$P$1203,4,0),"※编码不在物料档案里"))</f>
        <v/>
      </c>
      <c r="J2013" s="24">
        <f>IF($G2013="","",IFERROR(VLOOKUP($G2013,物料档案!$A$4:$P$1203,5,0),"※编码不在物料档案里"))</f>
        <v/>
      </c>
      <c r="K2013" s="23" t="n"/>
      <c r="L2013" s="31" t="n"/>
      <c r="M2013" s="24">
        <f>IF($G2013="","",IF($D2013="A国内","CNY","TZS"))</f>
        <v/>
      </c>
      <c r="N2013" s="28">
        <f>IF($G2013="","",IF($D2013="A国内",汇率,1))</f>
        <v/>
      </c>
      <c r="O2013" s="25">
        <f>IF($G2013="","",ROUND(N($K2013)*N($L2013),2))</f>
        <v/>
      </c>
      <c r="P2013" s="26">
        <f>IF($G2013="","",ROUND($O2013*$N2013,0))</f>
        <v/>
      </c>
      <c r="Q2013" s="26">
        <f>IF($G2013="","",SUMIFS($P$4:$P$2503,$E$4:$E$2503,$E2013,$Z$4:$Z$2503,"正常"))</f>
        <v/>
      </c>
      <c r="R2013" s="26">
        <f>IF($G2013="","",SUMIFS(费用台账!$I$4:$I$503,费用台账!$C$4:$C$503,$E2013,费用台账!$J$4:$J$503,"是",费用台账!$K$4:$K$503,"正常"))</f>
        <v/>
      </c>
      <c r="S2013" s="28">
        <f>IF($G2013="","",COUNTIFS($E$4:$E$2503,$E2013,$Z$4:$Z$2503,"正常",$Y$4:$Y$2503,"待补价"))</f>
        <v/>
      </c>
      <c r="T2013" s="26">
        <f>IF($G2013="","",SUMIFS($P$4:$P$2503,$E$4:$E$2503,$E2013,$Z$4:$Z$2503,"正常",$A$4:$A$2503,"&lt;="&amp;$A2013))</f>
        <v/>
      </c>
      <c r="U2013" s="26">
        <f>IF($G2013="","",IF(OR($S2013&gt;0,$Q2013=0,$R2013=0,$Z2013&lt;&gt;"正常"),0,ROUND($T2013/$Q2013*$R2013,0)-ROUND(($T2013-$P2013)/$Q2013*$R2013,0)))</f>
        <v/>
      </c>
      <c r="V2013" s="26">
        <f>IF($G2013="","",ROUND($P2013+$U2013,0))</f>
        <v/>
      </c>
      <c r="W2013" s="26">
        <f>IF($G2013="","",IF(N($K2013)=0,0,ROUND($V2013/$K2013,2)))</f>
        <v/>
      </c>
      <c r="X2013" s="17" t="n"/>
      <c r="Y2013" s="17" t="n"/>
      <c r="Z2013" s="17" t="n"/>
      <c r="AA2013" s="17" t="n"/>
      <c r="AB2013" s="17" t="n"/>
      <c r="AC2013" s="24">
        <f>IF($G2013="","",IF($H2013="※编码不在物料档案里","※物料编码不在档案里",IF(N($K2013)&lt;=0,"※入库数量要大于 0",IF(AND($C2013&lt;&gt;"",$C2013&lt;=结账锁),"※日期早于已结账截止日，不能再录",IF(AND($L2013=0,$X2013="正常"),"※没填单价，价格状态请选「待补价」",IF(AND($S2013&gt;0,$R2013&gt;0),"△本批有 "&amp;$S2013&amp;" 行没单价，整批运费先挂账没摊",IF(AND($B2013&lt;&gt;"",COUNTIF($B$4:$B$2503,$B2013)&gt;1),"※入库单号重复","")))))))</f>
        <v/>
      </c>
    </row>
    <row r="2014">
      <c r="A2014" s="24">
        <f>IF($G2014="","",COUNTA($G$4:$G2014))</f>
        <v/>
      </c>
      <c r="B2014" s="17" t="n"/>
      <c r="C2014" s="30" t="n"/>
      <c r="D2014" s="17" t="n"/>
      <c r="E2014" s="17" t="n"/>
      <c r="F2014" s="17" t="n"/>
      <c r="G2014" s="17" t="n"/>
      <c r="H2014" s="24">
        <f>IF($G2014="","",IFERROR(VLOOKUP($G2014,物料档案!$A$4:$P$1203,3,0),"※编码不在物料档案里"))</f>
        <v/>
      </c>
      <c r="I2014" s="24">
        <f>IF($G2014="","",IFERROR(VLOOKUP($G2014,物料档案!$A$4:$P$1203,4,0),"※编码不在物料档案里"))</f>
        <v/>
      </c>
      <c r="J2014" s="24">
        <f>IF($G2014="","",IFERROR(VLOOKUP($G2014,物料档案!$A$4:$P$1203,5,0),"※编码不在物料档案里"))</f>
        <v/>
      </c>
      <c r="K2014" s="23" t="n"/>
      <c r="L2014" s="31" t="n"/>
      <c r="M2014" s="24">
        <f>IF($G2014="","",IF($D2014="A国内","CNY","TZS"))</f>
        <v/>
      </c>
      <c r="N2014" s="28">
        <f>IF($G2014="","",IF($D2014="A国内",汇率,1))</f>
        <v/>
      </c>
      <c r="O2014" s="25">
        <f>IF($G2014="","",ROUND(N($K2014)*N($L2014),2))</f>
        <v/>
      </c>
      <c r="P2014" s="26">
        <f>IF($G2014="","",ROUND($O2014*$N2014,0))</f>
        <v/>
      </c>
      <c r="Q2014" s="26">
        <f>IF($G2014="","",SUMIFS($P$4:$P$2503,$E$4:$E$2503,$E2014,$Z$4:$Z$2503,"正常"))</f>
        <v/>
      </c>
      <c r="R2014" s="26">
        <f>IF($G2014="","",SUMIFS(费用台账!$I$4:$I$503,费用台账!$C$4:$C$503,$E2014,费用台账!$J$4:$J$503,"是",费用台账!$K$4:$K$503,"正常"))</f>
        <v/>
      </c>
      <c r="S2014" s="28">
        <f>IF($G2014="","",COUNTIFS($E$4:$E$2503,$E2014,$Z$4:$Z$2503,"正常",$Y$4:$Y$2503,"待补价"))</f>
        <v/>
      </c>
      <c r="T2014" s="26">
        <f>IF($G2014="","",SUMIFS($P$4:$P$2503,$E$4:$E$2503,$E2014,$Z$4:$Z$2503,"正常",$A$4:$A$2503,"&lt;="&amp;$A2014))</f>
        <v/>
      </c>
      <c r="U2014" s="26">
        <f>IF($G2014="","",IF(OR($S2014&gt;0,$Q2014=0,$R2014=0,$Z2014&lt;&gt;"正常"),0,ROUND($T2014/$Q2014*$R2014,0)-ROUND(($T2014-$P2014)/$Q2014*$R2014,0)))</f>
        <v/>
      </c>
      <c r="V2014" s="26">
        <f>IF($G2014="","",ROUND($P2014+$U2014,0))</f>
        <v/>
      </c>
      <c r="W2014" s="26">
        <f>IF($G2014="","",IF(N($K2014)=0,0,ROUND($V2014/$K2014,2)))</f>
        <v/>
      </c>
      <c r="X2014" s="17" t="n"/>
      <c r="Y2014" s="17" t="n"/>
      <c r="Z2014" s="17" t="n"/>
      <c r="AA2014" s="17" t="n"/>
      <c r="AB2014" s="17" t="n"/>
      <c r="AC2014" s="24">
        <f>IF($G2014="","",IF($H2014="※编码不在物料档案里","※物料编码不在档案里",IF(N($K2014)&lt;=0,"※入库数量要大于 0",IF(AND($C2014&lt;&gt;"",$C2014&lt;=结账锁),"※日期早于已结账截止日，不能再录",IF(AND($L2014=0,$X2014="正常"),"※没填单价，价格状态请选「待补价」",IF(AND($S2014&gt;0,$R2014&gt;0),"△本批有 "&amp;$S2014&amp;" 行没单价，整批运费先挂账没摊",IF(AND($B2014&lt;&gt;"",COUNTIF($B$4:$B$2503,$B2014)&gt;1),"※入库单号重复","")))))))</f>
        <v/>
      </c>
    </row>
    <row r="2015">
      <c r="A2015" s="24">
        <f>IF($G2015="","",COUNTA($G$4:$G2015))</f>
        <v/>
      </c>
      <c r="B2015" s="17" t="n"/>
      <c r="C2015" s="30" t="n"/>
      <c r="D2015" s="17" t="n"/>
      <c r="E2015" s="17" t="n"/>
      <c r="F2015" s="17" t="n"/>
      <c r="G2015" s="17" t="n"/>
      <c r="H2015" s="24">
        <f>IF($G2015="","",IFERROR(VLOOKUP($G2015,物料档案!$A$4:$P$1203,3,0),"※编码不在物料档案里"))</f>
        <v/>
      </c>
      <c r="I2015" s="24">
        <f>IF($G2015="","",IFERROR(VLOOKUP($G2015,物料档案!$A$4:$P$1203,4,0),"※编码不在物料档案里"))</f>
        <v/>
      </c>
      <c r="J2015" s="24">
        <f>IF($G2015="","",IFERROR(VLOOKUP($G2015,物料档案!$A$4:$P$1203,5,0),"※编码不在物料档案里"))</f>
        <v/>
      </c>
      <c r="K2015" s="23" t="n"/>
      <c r="L2015" s="31" t="n"/>
      <c r="M2015" s="24">
        <f>IF($G2015="","",IF($D2015="A国内","CNY","TZS"))</f>
        <v/>
      </c>
      <c r="N2015" s="28">
        <f>IF($G2015="","",IF($D2015="A国内",汇率,1))</f>
        <v/>
      </c>
      <c r="O2015" s="25">
        <f>IF($G2015="","",ROUND(N($K2015)*N($L2015),2))</f>
        <v/>
      </c>
      <c r="P2015" s="26">
        <f>IF($G2015="","",ROUND($O2015*$N2015,0))</f>
        <v/>
      </c>
      <c r="Q2015" s="26">
        <f>IF($G2015="","",SUMIFS($P$4:$P$2503,$E$4:$E$2503,$E2015,$Z$4:$Z$2503,"正常"))</f>
        <v/>
      </c>
      <c r="R2015" s="26">
        <f>IF($G2015="","",SUMIFS(费用台账!$I$4:$I$503,费用台账!$C$4:$C$503,$E2015,费用台账!$J$4:$J$503,"是",费用台账!$K$4:$K$503,"正常"))</f>
        <v/>
      </c>
      <c r="S2015" s="28">
        <f>IF($G2015="","",COUNTIFS($E$4:$E$2503,$E2015,$Z$4:$Z$2503,"正常",$Y$4:$Y$2503,"待补价"))</f>
        <v/>
      </c>
      <c r="T2015" s="26">
        <f>IF($G2015="","",SUMIFS($P$4:$P$2503,$E$4:$E$2503,$E2015,$Z$4:$Z$2503,"正常",$A$4:$A$2503,"&lt;="&amp;$A2015))</f>
        <v/>
      </c>
      <c r="U2015" s="26">
        <f>IF($G2015="","",IF(OR($S2015&gt;0,$Q2015=0,$R2015=0,$Z2015&lt;&gt;"正常"),0,ROUND($T2015/$Q2015*$R2015,0)-ROUND(($T2015-$P2015)/$Q2015*$R2015,0)))</f>
        <v/>
      </c>
      <c r="V2015" s="26">
        <f>IF($G2015="","",ROUND($P2015+$U2015,0))</f>
        <v/>
      </c>
      <c r="W2015" s="26">
        <f>IF($G2015="","",IF(N($K2015)=0,0,ROUND($V2015/$K2015,2)))</f>
        <v/>
      </c>
      <c r="X2015" s="17" t="n"/>
      <c r="Y2015" s="17" t="n"/>
      <c r="Z2015" s="17" t="n"/>
      <c r="AA2015" s="17" t="n"/>
      <c r="AB2015" s="17" t="n"/>
      <c r="AC2015" s="24">
        <f>IF($G2015="","",IF($H2015="※编码不在物料档案里","※物料编码不在档案里",IF(N($K2015)&lt;=0,"※入库数量要大于 0",IF(AND($C2015&lt;&gt;"",$C2015&lt;=结账锁),"※日期早于已结账截止日，不能再录",IF(AND($L2015=0,$X2015="正常"),"※没填单价，价格状态请选「待补价」",IF(AND($S2015&gt;0,$R2015&gt;0),"△本批有 "&amp;$S2015&amp;" 行没单价，整批运费先挂账没摊",IF(AND($B2015&lt;&gt;"",COUNTIF($B$4:$B$2503,$B2015)&gt;1),"※入库单号重复","")))))))</f>
        <v/>
      </c>
    </row>
    <row r="2016">
      <c r="A2016" s="24">
        <f>IF($G2016="","",COUNTA($G$4:$G2016))</f>
        <v/>
      </c>
      <c r="B2016" s="17" t="n"/>
      <c r="C2016" s="30" t="n"/>
      <c r="D2016" s="17" t="n"/>
      <c r="E2016" s="17" t="n"/>
      <c r="F2016" s="17" t="n"/>
      <c r="G2016" s="17" t="n"/>
      <c r="H2016" s="24">
        <f>IF($G2016="","",IFERROR(VLOOKUP($G2016,物料档案!$A$4:$P$1203,3,0),"※编码不在物料档案里"))</f>
        <v/>
      </c>
      <c r="I2016" s="24">
        <f>IF($G2016="","",IFERROR(VLOOKUP($G2016,物料档案!$A$4:$P$1203,4,0),"※编码不在物料档案里"))</f>
        <v/>
      </c>
      <c r="J2016" s="24">
        <f>IF($G2016="","",IFERROR(VLOOKUP($G2016,物料档案!$A$4:$P$1203,5,0),"※编码不在物料档案里"))</f>
        <v/>
      </c>
      <c r="K2016" s="23" t="n"/>
      <c r="L2016" s="31" t="n"/>
      <c r="M2016" s="24">
        <f>IF($G2016="","",IF($D2016="A国内","CNY","TZS"))</f>
        <v/>
      </c>
      <c r="N2016" s="28">
        <f>IF($G2016="","",IF($D2016="A国内",汇率,1))</f>
        <v/>
      </c>
      <c r="O2016" s="25">
        <f>IF($G2016="","",ROUND(N($K2016)*N($L2016),2))</f>
        <v/>
      </c>
      <c r="P2016" s="26">
        <f>IF($G2016="","",ROUND($O2016*$N2016,0))</f>
        <v/>
      </c>
      <c r="Q2016" s="26">
        <f>IF($G2016="","",SUMIFS($P$4:$P$2503,$E$4:$E$2503,$E2016,$Z$4:$Z$2503,"正常"))</f>
        <v/>
      </c>
      <c r="R2016" s="26">
        <f>IF($G2016="","",SUMIFS(费用台账!$I$4:$I$503,费用台账!$C$4:$C$503,$E2016,费用台账!$J$4:$J$503,"是",费用台账!$K$4:$K$503,"正常"))</f>
        <v/>
      </c>
      <c r="S2016" s="28">
        <f>IF($G2016="","",COUNTIFS($E$4:$E$2503,$E2016,$Z$4:$Z$2503,"正常",$Y$4:$Y$2503,"待补价"))</f>
        <v/>
      </c>
      <c r="T2016" s="26">
        <f>IF($G2016="","",SUMIFS($P$4:$P$2503,$E$4:$E$2503,$E2016,$Z$4:$Z$2503,"正常",$A$4:$A$2503,"&lt;="&amp;$A2016))</f>
        <v/>
      </c>
      <c r="U2016" s="26">
        <f>IF($G2016="","",IF(OR($S2016&gt;0,$Q2016=0,$R2016=0,$Z2016&lt;&gt;"正常"),0,ROUND($T2016/$Q2016*$R2016,0)-ROUND(($T2016-$P2016)/$Q2016*$R2016,0)))</f>
        <v/>
      </c>
      <c r="V2016" s="26">
        <f>IF($G2016="","",ROUND($P2016+$U2016,0))</f>
        <v/>
      </c>
      <c r="W2016" s="26">
        <f>IF($G2016="","",IF(N($K2016)=0,0,ROUND($V2016/$K2016,2)))</f>
        <v/>
      </c>
      <c r="X2016" s="17" t="n"/>
      <c r="Y2016" s="17" t="n"/>
      <c r="Z2016" s="17" t="n"/>
      <c r="AA2016" s="17" t="n"/>
      <c r="AB2016" s="17" t="n"/>
      <c r="AC2016" s="24">
        <f>IF($G2016="","",IF($H2016="※编码不在物料档案里","※物料编码不在档案里",IF(N($K2016)&lt;=0,"※入库数量要大于 0",IF(AND($C2016&lt;&gt;"",$C2016&lt;=结账锁),"※日期早于已结账截止日，不能再录",IF(AND($L2016=0,$X2016="正常"),"※没填单价，价格状态请选「待补价」",IF(AND($S2016&gt;0,$R2016&gt;0),"△本批有 "&amp;$S2016&amp;" 行没单价，整批运费先挂账没摊",IF(AND($B2016&lt;&gt;"",COUNTIF($B$4:$B$2503,$B2016)&gt;1),"※入库单号重复","")))))))</f>
        <v/>
      </c>
    </row>
    <row r="2017">
      <c r="A2017" s="24">
        <f>IF($G2017="","",COUNTA($G$4:$G2017))</f>
        <v/>
      </c>
      <c r="B2017" s="17" t="n"/>
      <c r="C2017" s="30" t="n"/>
      <c r="D2017" s="17" t="n"/>
      <c r="E2017" s="17" t="n"/>
      <c r="F2017" s="17" t="n"/>
      <c r="G2017" s="17" t="n"/>
      <c r="H2017" s="24">
        <f>IF($G2017="","",IFERROR(VLOOKUP($G2017,物料档案!$A$4:$P$1203,3,0),"※编码不在物料档案里"))</f>
        <v/>
      </c>
      <c r="I2017" s="24">
        <f>IF($G2017="","",IFERROR(VLOOKUP($G2017,物料档案!$A$4:$P$1203,4,0),"※编码不在物料档案里"))</f>
        <v/>
      </c>
      <c r="J2017" s="24">
        <f>IF($G2017="","",IFERROR(VLOOKUP($G2017,物料档案!$A$4:$P$1203,5,0),"※编码不在物料档案里"))</f>
        <v/>
      </c>
      <c r="K2017" s="23" t="n"/>
      <c r="L2017" s="31" t="n"/>
      <c r="M2017" s="24">
        <f>IF($G2017="","",IF($D2017="A国内","CNY","TZS"))</f>
        <v/>
      </c>
      <c r="N2017" s="28">
        <f>IF($G2017="","",IF($D2017="A国内",汇率,1))</f>
        <v/>
      </c>
      <c r="O2017" s="25">
        <f>IF($G2017="","",ROUND(N($K2017)*N($L2017),2))</f>
        <v/>
      </c>
      <c r="P2017" s="26">
        <f>IF($G2017="","",ROUND($O2017*$N2017,0))</f>
        <v/>
      </c>
      <c r="Q2017" s="26">
        <f>IF($G2017="","",SUMIFS($P$4:$P$2503,$E$4:$E$2503,$E2017,$Z$4:$Z$2503,"正常"))</f>
        <v/>
      </c>
      <c r="R2017" s="26">
        <f>IF($G2017="","",SUMIFS(费用台账!$I$4:$I$503,费用台账!$C$4:$C$503,$E2017,费用台账!$J$4:$J$503,"是",费用台账!$K$4:$K$503,"正常"))</f>
        <v/>
      </c>
      <c r="S2017" s="28">
        <f>IF($G2017="","",COUNTIFS($E$4:$E$2503,$E2017,$Z$4:$Z$2503,"正常",$Y$4:$Y$2503,"待补价"))</f>
        <v/>
      </c>
      <c r="T2017" s="26">
        <f>IF($G2017="","",SUMIFS($P$4:$P$2503,$E$4:$E$2503,$E2017,$Z$4:$Z$2503,"正常",$A$4:$A$2503,"&lt;="&amp;$A2017))</f>
        <v/>
      </c>
      <c r="U2017" s="26">
        <f>IF($G2017="","",IF(OR($S2017&gt;0,$Q2017=0,$R2017=0,$Z2017&lt;&gt;"正常"),0,ROUND($T2017/$Q2017*$R2017,0)-ROUND(($T2017-$P2017)/$Q2017*$R2017,0)))</f>
        <v/>
      </c>
      <c r="V2017" s="26">
        <f>IF($G2017="","",ROUND($P2017+$U2017,0))</f>
        <v/>
      </c>
      <c r="W2017" s="26">
        <f>IF($G2017="","",IF(N($K2017)=0,0,ROUND($V2017/$K2017,2)))</f>
        <v/>
      </c>
      <c r="X2017" s="17" t="n"/>
      <c r="Y2017" s="17" t="n"/>
      <c r="Z2017" s="17" t="n"/>
      <c r="AA2017" s="17" t="n"/>
      <c r="AB2017" s="17" t="n"/>
      <c r="AC2017" s="24">
        <f>IF($G2017="","",IF($H2017="※编码不在物料档案里","※物料编码不在档案里",IF(N($K2017)&lt;=0,"※入库数量要大于 0",IF(AND($C2017&lt;&gt;"",$C2017&lt;=结账锁),"※日期早于已结账截止日，不能再录",IF(AND($L2017=0,$X2017="正常"),"※没填单价，价格状态请选「待补价」",IF(AND($S2017&gt;0,$R2017&gt;0),"△本批有 "&amp;$S2017&amp;" 行没单价，整批运费先挂账没摊",IF(AND($B2017&lt;&gt;"",COUNTIF($B$4:$B$2503,$B2017)&gt;1),"※入库单号重复","")))))))</f>
        <v/>
      </c>
    </row>
    <row r="2018">
      <c r="A2018" s="24">
        <f>IF($G2018="","",COUNTA($G$4:$G2018))</f>
        <v/>
      </c>
      <c r="B2018" s="17" t="n"/>
      <c r="C2018" s="30" t="n"/>
      <c r="D2018" s="17" t="n"/>
      <c r="E2018" s="17" t="n"/>
      <c r="F2018" s="17" t="n"/>
      <c r="G2018" s="17" t="n"/>
      <c r="H2018" s="24">
        <f>IF($G2018="","",IFERROR(VLOOKUP($G2018,物料档案!$A$4:$P$1203,3,0),"※编码不在物料档案里"))</f>
        <v/>
      </c>
      <c r="I2018" s="24">
        <f>IF($G2018="","",IFERROR(VLOOKUP($G2018,物料档案!$A$4:$P$1203,4,0),"※编码不在物料档案里"))</f>
        <v/>
      </c>
      <c r="J2018" s="24">
        <f>IF($G2018="","",IFERROR(VLOOKUP($G2018,物料档案!$A$4:$P$1203,5,0),"※编码不在物料档案里"))</f>
        <v/>
      </c>
      <c r="K2018" s="23" t="n"/>
      <c r="L2018" s="31" t="n"/>
      <c r="M2018" s="24">
        <f>IF($G2018="","",IF($D2018="A国内","CNY","TZS"))</f>
        <v/>
      </c>
      <c r="N2018" s="28">
        <f>IF($G2018="","",IF($D2018="A国内",汇率,1))</f>
        <v/>
      </c>
      <c r="O2018" s="25">
        <f>IF($G2018="","",ROUND(N($K2018)*N($L2018),2))</f>
        <v/>
      </c>
      <c r="P2018" s="26">
        <f>IF($G2018="","",ROUND($O2018*$N2018,0))</f>
        <v/>
      </c>
      <c r="Q2018" s="26">
        <f>IF($G2018="","",SUMIFS($P$4:$P$2503,$E$4:$E$2503,$E2018,$Z$4:$Z$2503,"正常"))</f>
        <v/>
      </c>
      <c r="R2018" s="26">
        <f>IF($G2018="","",SUMIFS(费用台账!$I$4:$I$503,费用台账!$C$4:$C$503,$E2018,费用台账!$J$4:$J$503,"是",费用台账!$K$4:$K$503,"正常"))</f>
        <v/>
      </c>
      <c r="S2018" s="28">
        <f>IF($G2018="","",COUNTIFS($E$4:$E$2503,$E2018,$Z$4:$Z$2503,"正常",$Y$4:$Y$2503,"待补价"))</f>
        <v/>
      </c>
      <c r="T2018" s="26">
        <f>IF($G2018="","",SUMIFS($P$4:$P$2503,$E$4:$E$2503,$E2018,$Z$4:$Z$2503,"正常",$A$4:$A$2503,"&lt;="&amp;$A2018))</f>
        <v/>
      </c>
      <c r="U2018" s="26">
        <f>IF($G2018="","",IF(OR($S2018&gt;0,$Q2018=0,$R2018=0,$Z2018&lt;&gt;"正常"),0,ROUND($T2018/$Q2018*$R2018,0)-ROUND(($T2018-$P2018)/$Q2018*$R2018,0)))</f>
        <v/>
      </c>
      <c r="V2018" s="26">
        <f>IF($G2018="","",ROUND($P2018+$U2018,0))</f>
        <v/>
      </c>
      <c r="W2018" s="26">
        <f>IF($G2018="","",IF(N($K2018)=0,0,ROUND($V2018/$K2018,2)))</f>
        <v/>
      </c>
      <c r="X2018" s="17" t="n"/>
      <c r="Y2018" s="17" t="n"/>
      <c r="Z2018" s="17" t="n"/>
      <c r="AA2018" s="17" t="n"/>
      <c r="AB2018" s="17" t="n"/>
      <c r="AC2018" s="24">
        <f>IF($G2018="","",IF($H2018="※编码不在物料档案里","※物料编码不在档案里",IF(N($K2018)&lt;=0,"※入库数量要大于 0",IF(AND($C2018&lt;&gt;"",$C2018&lt;=结账锁),"※日期早于已结账截止日，不能再录",IF(AND($L2018=0,$X2018="正常"),"※没填单价，价格状态请选「待补价」",IF(AND($S2018&gt;0,$R2018&gt;0),"△本批有 "&amp;$S2018&amp;" 行没单价，整批运费先挂账没摊",IF(AND($B2018&lt;&gt;"",COUNTIF($B$4:$B$2503,$B2018)&gt;1),"※入库单号重复","")))))))</f>
        <v/>
      </c>
    </row>
    <row r="2019">
      <c r="A2019" s="24">
        <f>IF($G2019="","",COUNTA($G$4:$G2019))</f>
        <v/>
      </c>
      <c r="B2019" s="17" t="n"/>
      <c r="C2019" s="30" t="n"/>
      <c r="D2019" s="17" t="n"/>
      <c r="E2019" s="17" t="n"/>
      <c r="F2019" s="17" t="n"/>
      <c r="G2019" s="17" t="n"/>
      <c r="H2019" s="24">
        <f>IF($G2019="","",IFERROR(VLOOKUP($G2019,物料档案!$A$4:$P$1203,3,0),"※编码不在物料档案里"))</f>
        <v/>
      </c>
      <c r="I2019" s="24">
        <f>IF($G2019="","",IFERROR(VLOOKUP($G2019,物料档案!$A$4:$P$1203,4,0),"※编码不在物料档案里"))</f>
        <v/>
      </c>
      <c r="J2019" s="24">
        <f>IF($G2019="","",IFERROR(VLOOKUP($G2019,物料档案!$A$4:$P$1203,5,0),"※编码不在物料档案里"))</f>
        <v/>
      </c>
      <c r="K2019" s="23" t="n"/>
      <c r="L2019" s="31" t="n"/>
      <c r="M2019" s="24">
        <f>IF($G2019="","",IF($D2019="A国内","CNY","TZS"))</f>
        <v/>
      </c>
      <c r="N2019" s="28">
        <f>IF($G2019="","",IF($D2019="A国内",汇率,1))</f>
        <v/>
      </c>
      <c r="O2019" s="25">
        <f>IF($G2019="","",ROUND(N($K2019)*N($L2019),2))</f>
        <v/>
      </c>
      <c r="P2019" s="26">
        <f>IF($G2019="","",ROUND($O2019*$N2019,0))</f>
        <v/>
      </c>
      <c r="Q2019" s="26">
        <f>IF($G2019="","",SUMIFS($P$4:$P$2503,$E$4:$E$2503,$E2019,$Z$4:$Z$2503,"正常"))</f>
        <v/>
      </c>
      <c r="R2019" s="26">
        <f>IF($G2019="","",SUMIFS(费用台账!$I$4:$I$503,费用台账!$C$4:$C$503,$E2019,费用台账!$J$4:$J$503,"是",费用台账!$K$4:$K$503,"正常"))</f>
        <v/>
      </c>
      <c r="S2019" s="28">
        <f>IF($G2019="","",COUNTIFS($E$4:$E$2503,$E2019,$Z$4:$Z$2503,"正常",$Y$4:$Y$2503,"待补价"))</f>
        <v/>
      </c>
      <c r="T2019" s="26">
        <f>IF($G2019="","",SUMIFS($P$4:$P$2503,$E$4:$E$2503,$E2019,$Z$4:$Z$2503,"正常",$A$4:$A$2503,"&lt;="&amp;$A2019))</f>
        <v/>
      </c>
      <c r="U2019" s="26">
        <f>IF($G2019="","",IF(OR($S2019&gt;0,$Q2019=0,$R2019=0,$Z2019&lt;&gt;"正常"),0,ROUND($T2019/$Q2019*$R2019,0)-ROUND(($T2019-$P2019)/$Q2019*$R2019,0)))</f>
        <v/>
      </c>
      <c r="V2019" s="26">
        <f>IF($G2019="","",ROUND($P2019+$U2019,0))</f>
        <v/>
      </c>
      <c r="W2019" s="26">
        <f>IF($G2019="","",IF(N($K2019)=0,0,ROUND($V2019/$K2019,2)))</f>
        <v/>
      </c>
      <c r="X2019" s="17" t="n"/>
      <c r="Y2019" s="17" t="n"/>
      <c r="Z2019" s="17" t="n"/>
      <c r="AA2019" s="17" t="n"/>
      <c r="AB2019" s="17" t="n"/>
      <c r="AC2019" s="24">
        <f>IF($G2019="","",IF($H2019="※编码不在物料档案里","※物料编码不在档案里",IF(N($K2019)&lt;=0,"※入库数量要大于 0",IF(AND($C2019&lt;&gt;"",$C2019&lt;=结账锁),"※日期早于已结账截止日，不能再录",IF(AND($L2019=0,$X2019="正常"),"※没填单价，价格状态请选「待补价」",IF(AND($S2019&gt;0,$R2019&gt;0),"△本批有 "&amp;$S2019&amp;" 行没单价，整批运费先挂账没摊",IF(AND($B2019&lt;&gt;"",COUNTIF($B$4:$B$2503,$B2019)&gt;1),"※入库单号重复","")))))))</f>
        <v/>
      </c>
    </row>
    <row r="2020">
      <c r="A2020" s="24">
        <f>IF($G2020="","",COUNTA($G$4:$G2020))</f>
        <v/>
      </c>
      <c r="B2020" s="17" t="n"/>
      <c r="C2020" s="30" t="n"/>
      <c r="D2020" s="17" t="n"/>
      <c r="E2020" s="17" t="n"/>
      <c r="F2020" s="17" t="n"/>
      <c r="G2020" s="17" t="n"/>
      <c r="H2020" s="24">
        <f>IF($G2020="","",IFERROR(VLOOKUP($G2020,物料档案!$A$4:$P$1203,3,0),"※编码不在物料档案里"))</f>
        <v/>
      </c>
      <c r="I2020" s="24">
        <f>IF($G2020="","",IFERROR(VLOOKUP($G2020,物料档案!$A$4:$P$1203,4,0),"※编码不在物料档案里"))</f>
        <v/>
      </c>
      <c r="J2020" s="24">
        <f>IF($G2020="","",IFERROR(VLOOKUP($G2020,物料档案!$A$4:$P$1203,5,0),"※编码不在物料档案里"))</f>
        <v/>
      </c>
      <c r="K2020" s="23" t="n"/>
      <c r="L2020" s="31" t="n"/>
      <c r="M2020" s="24">
        <f>IF($G2020="","",IF($D2020="A国内","CNY","TZS"))</f>
        <v/>
      </c>
      <c r="N2020" s="28">
        <f>IF($G2020="","",IF($D2020="A国内",汇率,1))</f>
        <v/>
      </c>
      <c r="O2020" s="25">
        <f>IF($G2020="","",ROUND(N($K2020)*N($L2020),2))</f>
        <v/>
      </c>
      <c r="P2020" s="26">
        <f>IF($G2020="","",ROUND($O2020*$N2020,0))</f>
        <v/>
      </c>
      <c r="Q2020" s="26">
        <f>IF($G2020="","",SUMIFS($P$4:$P$2503,$E$4:$E$2503,$E2020,$Z$4:$Z$2503,"正常"))</f>
        <v/>
      </c>
      <c r="R2020" s="26">
        <f>IF($G2020="","",SUMIFS(费用台账!$I$4:$I$503,费用台账!$C$4:$C$503,$E2020,费用台账!$J$4:$J$503,"是",费用台账!$K$4:$K$503,"正常"))</f>
        <v/>
      </c>
      <c r="S2020" s="28">
        <f>IF($G2020="","",COUNTIFS($E$4:$E$2503,$E2020,$Z$4:$Z$2503,"正常",$Y$4:$Y$2503,"待补价"))</f>
        <v/>
      </c>
      <c r="T2020" s="26">
        <f>IF($G2020="","",SUMIFS($P$4:$P$2503,$E$4:$E$2503,$E2020,$Z$4:$Z$2503,"正常",$A$4:$A$2503,"&lt;="&amp;$A2020))</f>
        <v/>
      </c>
      <c r="U2020" s="26">
        <f>IF($G2020="","",IF(OR($S2020&gt;0,$Q2020=0,$R2020=0,$Z2020&lt;&gt;"正常"),0,ROUND($T2020/$Q2020*$R2020,0)-ROUND(($T2020-$P2020)/$Q2020*$R2020,0)))</f>
        <v/>
      </c>
      <c r="V2020" s="26">
        <f>IF($G2020="","",ROUND($P2020+$U2020,0))</f>
        <v/>
      </c>
      <c r="W2020" s="26">
        <f>IF($G2020="","",IF(N($K2020)=0,0,ROUND($V2020/$K2020,2)))</f>
        <v/>
      </c>
      <c r="X2020" s="17" t="n"/>
      <c r="Y2020" s="17" t="n"/>
      <c r="Z2020" s="17" t="n"/>
      <c r="AA2020" s="17" t="n"/>
      <c r="AB2020" s="17" t="n"/>
      <c r="AC2020" s="24">
        <f>IF($G2020="","",IF($H2020="※编码不在物料档案里","※物料编码不在档案里",IF(N($K2020)&lt;=0,"※入库数量要大于 0",IF(AND($C2020&lt;&gt;"",$C2020&lt;=结账锁),"※日期早于已结账截止日，不能再录",IF(AND($L2020=0,$X2020="正常"),"※没填单价，价格状态请选「待补价」",IF(AND($S2020&gt;0,$R2020&gt;0),"△本批有 "&amp;$S2020&amp;" 行没单价，整批运费先挂账没摊",IF(AND($B2020&lt;&gt;"",COUNTIF($B$4:$B$2503,$B2020)&gt;1),"※入库单号重复","")))))))</f>
        <v/>
      </c>
    </row>
    <row r="2021">
      <c r="A2021" s="24">
        <f>IF($G2021="","",COUNTA($G$4:$G2021))</f>
        <v/>
      </c>
      <c r="B2021" s="17" t="n"/>
      <c r="C2021" s="30" t="n"/>
      <c r="D2021" s="17" t="n"/>
      <c r="E2021" s="17" t="n"/>
      <c r="F2021" s="17" t="n"/>
      <c r="G2021" s="17" t="n"/>
      <c r="H2021" s="24">
        <f>IF($G2021="","",IFERROR(VLOOKUP($G2021,物料档案!$A$4:$P$1203,3,0),"※编码不在物料档案里"))</f>
        <v/>
      </c>
      <c r="I2021" s="24">
        <f>IF($G2021="","",IFERROR(VLOOKUP($G2021,物料档案!$A$4:$P$1203,4,0),"※编码不在物料档案里"))</f>
        <v/>
      </c>
      <c r="J2021" s="24">
        <f>IF($G2021="","",IFERROR(VLOOKUP($G2021,物料档案!$A$4:$P$1203,5,0),"※编码不在物料档案里"))</f>
        <v/>
      </c>
      <c r="K2021" s="23" t="n"/>
      <c r="L2021" s="31" t="n"/>
      <c r="M2021" s="24">
        <f>IF($G2021="","",IF($D2021="A国内","CNY","TZS"))</f>
        <v/>
      </c>
      <c r="N2021" s="28">
        <f>IF($G2021="","",IF($D2021="A国内",汇率,1))</f>
        <v/>
      </c>
      <c r="O2021" s="25">
        <f>IF($G2021="","",ROUND(N($K2021)*N($L2021),2))</f>
        <v/>
      </c>
      <c r="P2021" s="26">
        <f>IF($G2021="","",ROUND($O2021*$N2021,0))</f>
        <v/>
      </c>
      <c r="Q2021" s="26">
        <f>IF($G2021="","",SUMIFS($P$4:$P$2503,$E$4:$E$2503,$E2021,$Z$4:$Z$2503,"正常"))</f>
        <v/>
      </c>
      <c r="R2021" s="26">
        <f>IF($G2021="","",SUMIFS(费用台账!$I$4:$I$503,费用台账!$C$4:$C$503,$E2021,费用台账!$J$4:$J$503,"是",费用台账!$K$4:$K$503,"正常"))</f>
        <v/>
      </c>
      <c r="S2021" s="28">
        <f>IF($G2021="","",COUNTIFS($E$4:$E$2503,$E2021,$Z$4:$Z$2503,"正常",$Y$4:$Y$2503,"待补价"))</f>
        <v/>
      </c>
      <c r="T2021" s="26">
        <f>IF($G2021="","",SUMIFS($P$4:$P$2503,$E$4:$E$2503,$E2021,$Z$4:$Z$2503,"正常",$A$4:$A$2503,"&lt;="&amp;$A2021))</f>
        <v/>
      </c>
      <c r="U2021" s="26">
        <f>IF($G2021="","",IF(OR($S2021&gt;0,$Q2021=0,$R2021=0,$Z2021&lt;&gt;"正常"),0,ROUND($T2021/$Q2021*$R2021,0)-ROUND(($T2021-$P2021)/$Q2021*$R2021,0)))</f>
        <v/>
      </c>
      <c r="V2021" s="26">
        <f>IF($G2021="","",ROUND($P2021+$U2021,0))</f>
        <v/>
      </c>
      <c r="W2021" s="26">
        <f>IF($G2021="","",IF(N($K2021)=0,0,ROUND($V2021/$K2021,2)))</f>
        <v/>
      </c>
      <c r="X2021" s="17" t="n"/>
      <c r="Y2021" s="17" t="n"/>
      <c r="Z2021" s="17" t="n"/>
      <c r="AA2021" s="17" t="n"/>
      <c r="AB2021" s="17" t="n"/>
      <c r="AC2021" s="24">
        <f>IF($G2021="","",IF($H2021="※编码不在物料档案里","※物料编码不在档案里",IF(N($K2021)&lt;=0,"※入库数量要大于 0",IF(AND($C2021&lt;&gt;"",$C2021&lt;=结账锁),"※日期早于已结账截止日，不能再录",IF(AND($L2021=0,$X2021="正常"),"※没填单价，价格状态请选「待补价」",IF(AND($S2021&gt;0,$R2021&gt;0),"△本批有 "&amp;$S2021&amp;" 行没单价，整批运费先挂账没摊",IF(AND($B2021&lt;&gt;"",COUNTIF($B$4:$B$2503,$B2021)&gt;1),"※入库单号重复","")))))))</f>
        <v/>
      </c>
    </row>
    <row r="2022">
      <c r="A2022" s="24">
        <f>IF($G2022="","",COUNTA($G$4:$G2022))</f>
        <v/>
      </c>
      <c r="B2022" s="17" t="n"/>
      <c r="C2022" s="30" t="n"/>
      <c r="D2022" s="17" t="n"/>
      <c r="E2022" s="17" t="n"/>
      <c r="F2022" s="17" t="n"/>
      <c r="G2022" s="17" t="n"/>
      <c r="H2022" s="24">
        <f>IF($G2022="","",IFERROR(VLOOKUP($G2022,物料档案!$A$4:$P$1203,3,0),"※编码不在物料档案里"))</f>
        <v/>
      </c>
      <c r="I2022" s="24">
        <f>IF($G2022="","",IFERROR(VLOOKUP($G2022,物料档案!$A$4:$P$1203,4,0),"※编码不在物料档案里"))</f>
        <v/>
      </c>
      <c r="J2022" s="24">
        <f>IF($G2022="","",IFERROR(VLOOKUP($G2022,物料档案!$A$4:$P$1203,5,0),"※编码不在物料档案里"))</f>
        <v/>
      </c>
      <c r="K2022" s="23" t="n"/>
      <c r="L2022" s="31" t="n"/>
      <c r="M2022" s="24">
        <f>IF($G2022="","",IF($D2022="A国内","CNY","TZS"))</f>
        <v/>
      </c>
      <c r="N2022" s="28">
        <f>IF($G2022="","",IF($D2022="A国内",汇率,1))</f>
        <v/>
      </c>
      <c r="O2022" s="25">
        <f>IF($G2022="","",ROUND(N($K2022)*N($L2022),2))</f>
        <v/>
      </c>
      <c r="P2022" s="26">
        <f>IF($G2022="","",ROUND($O2022*$N2022,0))</f>
        <v/>
      </c>
      <c r="Q2022" s="26">
        <f>IF($G2022="","",SUMIFS($P$4:$P$2503,$E$4:$E$2503,$E2022,$Z$4:$Z$2503,"正常"))</f>
        <v/>
      </c>
      <c r="R2022" s="26">
        <f>IF($G2022="","",SUMIFS(费用台账!$I$4:$I$503,费用台账!$C$4:$C$503,$E2022,费用台账!$J$4:$J$503,"是",费用台账!$K$4:$K$503,"正常"))</f>
        <v/>
      </c>
      <c r="S2022" s="28">
        <f>IF($G2022="","",COUNTIFS($E$4:$E$2503,$E2022,$Z$4:$Z$2503,"正常",$Y$4:$Y$2503,"待补价"))</f>
        <v/>
      </c>
      <c r="T2022" s="26">
        <f>IF($G2022="","",SUMIFS($P$4:$P$2503,$E$4:$E$2503,$E2022,$Z$4:$Z$2503,"正常",$A$4:$A$2503,"&lt;="&amp;$A2022))</f>
        <v/>
      </c>
      <c r="U2022" s="26">
        <f>IF($G2022="","",IF(OR($S2022&gt;0,$Q2022=0,$R2022=0,$Z2022&lt;&gt;"正常"),0,ROUND($T2022/$Q2022*$R2022,0)-ROUND(($T2022-$P2022)/$Q2022*$R2022,0)))</f>
        <v/>
      </c>
      <c r="V2022" s="26">
        <f>IF($G2022="","",ROUND($P2022+$U2022,0))</f>
        <v/>
      </c>
      <c r="W2022" s="26">
        <f>IF($G2022="","",IF(N($K2022)=0,0,ROUND($V2022/$K2022,2)))</f>
        <v/>
      </c>
      <c r="X2022" s="17" t="n"/>
      <c r="Y2022" s="17" t="n"/>
      <c r="Z2022" s="17" t="n"/>
      <c r="AA2022" s="17" t="n"/>
      <c r="AB2022" s="17" t="n"/>
      <c r="AC2022" s="24">
        <f>IF($G2022="","",IF($H2022="※编码不在物料档案里","※物料编码不在档案里",IF(N($K2022)&lt;=0,"※入库数量要大于 0",IF(AND($C2022&lt;&gt;"",$C2022&lt;=结账锁),"※日期早于已结账截止日，不能再录",IF(AND($L2022=0,$X2022="正常"),"※没填单价，价格状态请选「待补价」",IF(AND($S2022&gt;0,$R2022&gt;0),"△本批有 "&amp;$S2022&amp;" 行没单价，整批运费先挂账没摊",IF(AND($B2022&lt;&gt;"",COUNTIF($B$4:$B$2503,$B2022)&gt;1),"※入库单号重复","")))))))</f>
        <v/>
      </c>
    </row>
    <row r="2023">
      <c r="A2023" s="24">
        <f>IF($G2023="","",COUNTA($G$4:$G2023))</f>
        <v/>
      </c>
      <c r="B2023" s="17" t="n"/>
      <c r="C2023" s="30" t="n"/>
      <c r="D2023" s="17" t="n"/>
      <c r="E2023" s="17" t="n"/>
      <c r="F2023" s="17" t="n"/>
      <c r="G2023" s="17" t="n"/>
      <c r="H2023" s="24">
        <f>IF($G2023="","",IFERROR(VLOOKUP($G2023,物料档案!$A$4:$P$1203,3,0),"※编码不在物料档案里"))</f>
        <v/>
      </c>
      <c r="I2023" s="24">
        <f>IF($G2023="","",IFERROR(VLOOKUP($G2023,物料档案!$A$4:$P$1203,4,0),"※编码不在物料档案里"))</f>
        <v/>
      </c>
      <c r="J2023" s="24">
        <f>IF($G2023="","",IFERROR(VLOOKUP($G2023,物料档案!$A$4:$P$1203,5,0),"※编码不在物料档案里"))</f>
        <v/>
      </c>
      <c r="K2023" s="23" t="n"/>
      <c r="L2023" s="31" t="n"/>
      <c r="M2023" s="24">
        <f>IF($G2023="","",IF($D2023="A国内","CNY","TZS"))</f>
        <v/>
      </c>
      <c r="N2023" s="28">
        <f>IF($G2023="","",IF($D2023="A国内",汇率,1))</f>
        <v/>
      </c>
      <c r="O2023" s="25">
        <f>IF($G2023="","",ROUND(N($K2023)*N($L2023),2))</f>
        <v/>
      </c>
      <c r="P2023" s="26">
        <f>IF($G2023="","",ROUND($O2023*$N2023,0))</f>
        <v/>
      </c>
      <c r="Q2023" s="26">
        <f>IF($G2023="","",SUMIFS($P$4:$P$2503,$E$4:$E$2503,$E2023,$Z$4:$Z$2503,"正常"))</f>
        <v/>
      </c>
      <c r="R2023" s="26">
        <f>IF($G2023="","",SUMIFS(费用台账!$I$4:$I$503,费用台账!$C$4:$C$503,$E2023,费用台账!$J$4:$J$503,"是",费用台账!$K$4:$K$503,"正常"))</f>
        <v/>
      </c>
      <c r="S2023" s="28">
        <f>IF($G2023="","",COUNTIFS($E$4:$E$2503,$E2023,$Z$4:$Z$2503,"正常",$Y$4:$Y$2503,"待补价"))</f>
        <v/>
      </c>
      <c r="T2023" s="26">
        <f>IF($G2023="","",SUMIFS($P$4:$P$2503,$E$4:$E$2503,$E2023,$Z$4:$Z$2503,"正常",$A$4:$A$2503,"&lt;="&amp;$A2023))</f>
        <v/>
      </c>
      <c r="U2023" s="26">
        <f>IF($G2023="","",IF(OR($S2023&gt;0,$Q2023=0,$R2023=0,$Z2023&lt;&gt;"正常"),0,ROUND($T2023/$Q2023*$R2023,0)-ROUND(($T2023-$P2023)/$Q2023*$R2023,0)))</f>
        <v/>
      </c>
      <c r="V2023" s="26">
        <f>IF($G2023="","",ROUND($P2023+$U2023,0))</f>
        <v/>
      </c>
      <c r="W2023" s="26">
        <f>IF($G2023="","",IF(N($K2023)=0,0,ROUND($V2023/$K2023,2)))</f>
        <v/>
      </c>
      <c r="X2023" s="17" t="n"/>
      <c r="Y2023" s="17" t="n"/>
      <c r="Z2023" s="17" t="n"/>
      <c r="AA2023" s="17" t="n"/>
      <c r="AB2023" s="17" t="n"/>
      <c r="AC2023" s="24">
        <f>IF($G2023="","",IF($H2023="※编码不在物料档案里","※物料编码不在档案里",IF(N($K2023)&lt;=0,"※入库数量要大于 0",IF(AND($C2023&lt;&gt;"",$C2023&lt;=结账锁),"※日期早于已结账截止日，不能再录",IF(AND($L2023=0,$X2023="正常"),"※没填单价，价格状态请选「待补价」",IF(AND($S2023&gt;0,$R2023&gt;0),"△本批有 "&amp;$S2023&amp;" 行没单价，整批运费先挂账没摊",IF(AND($B2023&lt;&gt;"",COUNTIF($B$4:$B$2503,$B2023)&gt;1),"※入库单号重复","")))))))</f>
        <v/>
      </c>
    </row>
    <row r="2024">
      <c r="A2024" s="24">
        <f>IF($G2024="","",COUNTA($G$4:$G2024))</f>
        <v/>
      </c>
      <c r="B2024" s="17" t="n"/>
      <c r="C2024" s="30" t="n"/>
      <c r="D2024" s="17" t="n"/>
      <c r="E2024" s="17" t="n"/>
      <c r="F2024" s="17" t="n"/>
      <c r="G2024" s="17" t="n"/>
      <c r="H2024" s="24">
        <f>IF($G2024="","",IFERROR(VLOOKUP($G2024,物料档案!$A$4:$P$1203,3,0),"※编码不在物料档案里"))</f>
        <v/>
      </c>
      <c r="I2024" s="24">
        <f>IF($G2024="","",IFERROR(VLOOKUP($G2024,物料档案!$A$4:$P$1203,4,0),"※编码不在物料档案里"))</f>
        <v/>
      </c>
      <c r="J2024" s="24">
        <f>IF($G2024="","",IFERROR(VLOOKUP($G2024,物料档案!$A$4:$P$1203,5,0),"※编码不在物料档案里"))</f>
        <v/>
      </c>
      <c r="K2024" s="23" t="n"/>
      <c r="L2024" s="31" t="n"/>
      <c r="M2024" s="24">
        <f>IF($G2024="","",IF($D2024="A国内","CNY","TZS"))</f>
        <v/>
      </c>
      <c r="N2024" s="28">
        <f>IF($G2024="","",IF($D2024="A国内",汇率,1))</f>
        <v/>
      </c>
      <c r="O2024" s="25">
        <f>IF($G2024="","",ROUND(N($K2024)*N($L2024),2))</f>
        <v/>
      </c>
      <c r="P2024" s="26">
        <f>IF($G2024="","",ROUND($O2024*$N2024,0))</f>
        <v/>
      </c>
      <c r="Q2024" s="26">
        <f>IF($G2024="","",SUMIFS($P$4:$P$2503,$E$4:$E$2503,$E2024,$Z$4:$Z$2503,"正常"))</f>
        <v/>
      </c>
      <c r="R2024" s="26">
        <f>IF($G2024="","",SUMIFS(费用台账!$I$4:$I$503,费用台账!$C$4:$C$503,$E2024,费用台账!$J$4:$J$503,"是",费用台账!$K$4:$K$503,"正常"))</f>
        <v/>
      </c>
      <c r="S2024" s="28">
        <f>IF($G2024="","",COUNTIFS($E$4:$E$2503,$E2024,$Z$4:$Z$2503,"正常",$Y$4:$Y$2503,"待补价"))</f>
        <v/>
      </c>
      <c r="T2024" s="26">
        <f>IF($G2024="","",SUMIFS($P$4:$P$2503,$E$4:$E$2503,$E2024,$Z$4:$Z$2503,"正常",$A$4:$A$2503,"&lt;="&amp;$A2024))</f>
        <v/>
      </c>
      <c r="U2024" s="26">
        <f>IF($G2024="","",IF(OR($S2024&gt;0,$Q2024=0,$R2024=0,$Z2024&lt;&gt;"正常"),0,ROUND($T2024/$Q2024*$R2024,0)-ROUND(($T2024-$P2024)/$Q2024*$R2024,0)))</f>
        <v/>
      </c>
      <c r="V2024" s="26">
        <f>IF($G2024="","",ROUND($P2024+$U2024,0))</f>
        <v/>
      </c>
      <c r="W2024" s="26">
        <f>IF($G2024="","",IF(N($K2024)=0,0,ROUND($V2024/$K2024,2)))</f>
        <v/>
      </c>
      <c r="X2024" s="17" t="n"/>
      <c r="Y2024" s="17" t="n"/>
      <c r="Z2024" s="17" t="n"/>
      <c r="AA2024" s="17" t="n"/>
      <c r="AB2024" s="17" t="n"/>
      <c r="AC2024" s="24">
        <f>IF($G2024="","",IF($H2024="※编码不在物料档案里","※物料编码不在档案里",IF(N($K2024)&lt;=0,"※入库数量要大于 0",IF(AND($C2024&lt;&gt;"",$C2024&lt;=结账锁),"※日期早于已结账截止日，不能再录",IF(AND($L2024=0,$X2024="正常"),"※没填单价，价格状态请选「待补价」",IF(AND($S2024&gt;0,$R2024&gt;0),"△本批有 "&amp;$S2024&amp;" 行没单价，整批运费先挂账没摊",IF(AND($B2024&lt;&gt;"",COUNTIF($B$4:$B$2503,$B2024)&gt;1),"※入库单号重复","")))))))</f>
        <v/>
      </c>
    </row>
    <row r="2025">
      <c r="A2025" s="24">
        <f>IF($G2025="","",COUNTA($G$4:$G2025))</f>
        <v/>
      </c>
      <c r="B2025" s="17" t="n"/>
      <c r="C2025" s="30" t="n"/>
      <c r="D2025" s="17" t="n"/>
      <c r="E2025" s="17" t="n"/>
      <c r="F2025" s="17" t="n"/>
      <c r="G2025" s="17" t="n"/>
      <c r="H2025" s="24">
        <f>IF($G2025="","",IFERROR(VLOOKUP($G2025,物料档案!$A$4:$P$1203,3,0),"※编码不在物料档案里"))</f>
        <v/>
      </c>
      <c r="I2025" s="24">
        <f>IF($G2025="","",IFERROR(VLOOKUP($G2025,物料档案!$A$4:$P$1203,4,0),"※编码不在物料档案里"))</f>
        <v/>
      </c>
      <c r="J2025" s="24">
        <f>IF($G2025="","",IFERROR(VLOOKUP($G2025,物料档案!$A$4:$P$1203,5,0),"※编码不在物料档案里"))</f>
        <v/>
      </c>
      <c r="K2025" s="23" t="n"/>
      <c r="L2025" s="31" t="n"/>
      <c r="M2025" s="24">
        <f>IF($G2025="","",IF($D2025="A国内","CNY","TZS"))</f>
        <v/>
      </c>
      <c r="N2025" s="28">
        <f>IF($G2025="","",IF($D2025="A国内",汇率,1))</f>
        <v/>
      </c>
      <c r="O2025" s="25">
        <f>IF($G2025="","",ROUND(N($K2025)*N($L2025),2))</f>
        <v/>
      </c>
      <c r="P2025" s="26">
        <f>IF($G2025="","",ROUND($O2025*$N2025,0))</f>
        <v/>
      </c>
      <c r="Q2025" s="26">
        <f>IF($G2025="","",SUMIFS($P$4:$P$2503,$E$4:$E$2503,$E2025,$Z$4:$Z$2503,"正常"))</f>
        <v/>
      </c>
      <c r="R2025" s="26">
        <f>IF($G2025="","",SUMIFS(费用台账!$I$4:$I$503,费用台账!$C$4:$C$503,$E2025,费用台账!$J$4:$J$503,"是",费用台账!$K$4:$K$503,"正常"))</f>
        <v/>
      </c>
      <c r="S2025" s="28">
        <f>IF($G2025="","",COUNTIFS($E$4:$E$2503,$E2025,$Z$4:$Z$2503,"正常",$Y$4:$Y$2503,"待补价"))</f>
        <v/>
      </c>
      <c r="T2025" s="26">
        <f>IF($G2025="","",SUMIFS($P$4:$P$2503,$E$4:$E$2503,$E2025,$Z$4:$Z$2503,"正常",$A$4:$A$2503,"&lt;="&amp;$A2025))</f>
        <v/>
      </c>
      <c r="U2025" s="26">
        <f>IF($G2025="","",IF(OR($S2025&gt;0,$Q2025=0,$R2025=0,$Z2025&lt;&gt;"正常"),0,ROUND($T2025/$Q2025*$R2025,0)-ROUND(($T2025-$P2025)/$Q2025*$R2025,0)))</f>
        <v/>
      </c>
      <c r="V2025" s="26">
        <f>IF($G2025="","",ROUND($P2025+$U2025,0))</f>
        <v/>
      </c>
      <c r="W2025" s="26">
        <f>IF($G2025="","",IF(N($K2025)=0,0,ROUND($V2025/$K2025,2)))</f>
        <v/>
      </c>
      <c r="X2025" s="17" t="n"/>
      <c r="Y2025" s="17" t="n"/>
      <c r="Z2025" s="17" t="n"/>
      <c r="AA2025" s="17" t="n"/>
      <c r="AB2025" s="17" t="n"/>
      <c r="AC2025" s="24">
        <f>IF($G2025="","",IF($H2025="※编码不在物料档案里","※物料编码不在档案里",IF(N($K2025)&lt;=0,"※入库数量要大于 0",IF(AND($C2025&lt;&gt;"",$C2025&lt;=结账锁),"※日期早于已结账截止日，不能再录",IF(AND($L2025=0,$X2025="正常"),"※没填单价，价格状态请选「待补价」",IF(AND($S2025&gt;0,$R2025&gt;0),"△本批有 "&amp;$S2025&amp;" 行没单价，整批运费先挂账没摊",IF(AND($B2025&lt;&gt;"",COUNTIF($B$4:$B$2503,$B2025)&gt;1),"※入库单号重复","")))))))</f>
        <v/>
      </c>
    </row>
    <row r="2026">
      <c r="A2026" s="24">
        <f>IF($G2026="","",COUNTA($G$4:$G2026))</f>
        <v/>
      </c>
      <c r="B2026" s="17" t="n"/>
      <c r="C2026" s="30" t="n"/>
      <c r="D2026" s="17" t="n"/>
      <c r="E2026" s="17" t="n"/>
      <c r="F2026" s="17" t="n"/>
      <c r="G2026" s="17" t="n"/>
      <c r="H2026" s="24">
        <f>IF($G2026="","",IFERROR(VLOOKUP($G2026,物料档案!$A$4:$P$1203,3,0),"※编码不在物料档案里"))</f>
        <v/>
      </c>
      <c r="I2026" s="24">
        <f>IF($G2026="","",IFERROR(VLOOKUP($G2026,物料档案!$A$4:$P$1203,4,0),"※编码不在物料档案里"))</f>
        <v/>
      </c>
      <c r="J2026" s="24">
        <f>IF($G2026="","",IFERROR(VLOOKUP($G2026,物料档案!$A$4:$P$1203,5,0),"※编码不在物料档案里"))</f>
        <v/>
      </c>
      <c r="K2026" s="23" t="n"/>
      <c r="L2026" s="31" t="n"/>
      <c r="M2026" s="24">
        <f>IF($G2026="","",IF($D2026="A国内","CNY","TZS"))</f>
        <v/>
      </c>
      <c r="N2026" s="28">
        <f>IF($G2026="","",IF($D2026="A国内",汇率,1))</f>
        <v/>
      </c>
      <c r="O2026" s="25">
        <f>IF($G2026="","",ROUND(N($K2026)*N($L2026),2))</f>
        <v/>
      </c>
      <c r="P2026" s="26">
        <f>IF($G2026="","",ROUND($O2026*$N2026,0))</f>
        <v/>
      </c>
      <c r="Q2026" s="26">
        <f>IF($G2026="","",SUMIFS($P$4:$P$2503,$E$4:$E$2503,$E2026,$Z$4:$Z$2503,"正常"))</f>
        <v/>
      </c>
      <c r="R2026" s="26">
        <f>IF($G2026="","",SUMIFS(费用台账!$I$4:$I$503,费用台账!$C$4:$C$503,$E2026,费用台账!$J$4:$J$503,"是",费用台账!$K$4:$K$503,"正常"))</f>
        <v/>
      </c>
      <c r="S2026" s="28">
        <f>IF($G2026="","",COUNTIFS($E$4:$E$2503,$E2026,$Z$4:$Z$2503,"正常",$Y$4:$Y$2503,"待补价"))</f>
        <v/>
      </c>
      <c r="T2026" s="26">
        <f>IF($G2026="","",SUMIFS($P$4:$P$2503,$E$4:$E$2503,$E2026,$Z$4:$Z$2503,"正常",$A$4:$A$2503,"&lt;="&amp;$A2026))</f>
        <v/>
      </c>
      <c r="U2026" s="26">
        <f>IF($G2026="","",IF(OR($S2026&gt;0,$Q2026=0,$R2026=0,$Z2026&lt;&gt;"正常"),0,ROUND($T2026/$Q2026*$R2026,0)-ROUND(($T2026-$P2026)/$Q2026*$R2026,0)))</f>
        <v/>
      </c>
      <c r="V2026" s="26">
        <f>IF($G2026="","",ROUND($P2026+$U2026,0))</f>
        <v/>
      </c>
      <c r="W2026" s="26">
        <f>IF($G2026="","",IF(N($K2026)=0,0,ROUND($V2026/$K2026,2)))</f>
        <v/>
      </c>
      <c r="X2026" s="17" t="n"/>
      <c r="Y2026" s="17" t="n"/>
      <c r="Z2026" s="17" t="n"/>
      <c r="AA2026" s="17" t="n"/>
      <c r="AB2026" s="17" t="n"/>
      <c r="AC2026" s="24">
        <f>IF($G2026="","",IF($H2026="※编码不在物料档案里","※物料编码不在档案里",IF(N($K2026)&lt;=0,"※入库数量要大于 0",IF(AND($C2026&lt;&gt;"",$C2026&lt;=结账锁),"※日期早于已结账截止日，不能再录",IF(AND($L2026=0,$X2026="正常"),"※没填单价，价格状态请选「待补价」",IF(AND($S2026&gt;0,$R2026&gt;0),"△本批有 "&amp;$S2026&amp;" 行没单价，整批运费先挂账没摊",IF(AND($B2026&lt;&gt;"",COUNTIF($B$4:$B$2503,$B2026)&gt;1),"※入库单号重复","")))))))</f>
        <v/>
      </c>
    </row>
    <row r="2027">
      <c r="A2027" s="24">
        <f>IF($G2027="","",COUNTA($G$4:$G2027))</f>
        <v/>
      </c>
      <c r="B2027" s="17" t="n"/>
      <c r="C2027" s="30" t="n"/>
      <c r="D2027" s="17" t="n"/>
      <c r="E2027" s="17" t="n"/>
      <c r="F2027" s="17" t="n"/>
      <c r="G2027" s="17" t="n"/>
      <c r="H2027" s="24">
        <f>IF($G2027="","",IFERROR(VLOOKUP($G2027,物料档案!$A$4:$P$1203,3,0),"※编码不在物料档案里"))</f>
        <v/>
      </c>
      <c r="I2027" s="24">
        <f>IF($G2027="","",IFERROR(VLOOKUP($G2027,物料档案!$A$4:$P$1203,4,0),"※编码不在物料档案里"))</f>
        <v/>
      </c>
      <c r="J2027" s="24">
        <f>IF($G2027="","",IFERROR(VLOOKUP($G2027,物料档案!$A$4:$P$1203,5,0),"※编码不在物料档案里"))</f>
        <v/>
      </c>
      <c r="K2027" s="23" t="n"/>
      <c r="L2027" s="31" t="n"/>
      <c r="M2027" s="24">
        <f>IF($G2027="","",IF($D2027="A国内","CNY","TZS"))</f>
        <v/>
      </c>
      <c r="N2027" s="28">
        <f>IF($G2027="","",IF($D2027="A国内",汇率,1))</f>
        <v/>
      </c>
      <c r="O2027" s="25">
        <f>IF($G2027="","",ROUND(N($K2027)*N($L2027),2))</f>
        <v/>
      </c>
      <c r="P2027" s="26">
        <f>IF($G2027="","",ROUND($O2027*$N2027,0))</f>
        <v/>
      </c>
      <c r="Q2027" s="26">
        <f>IF($G2027="","",SUMIFS($P$4:$P$2503,$E$4:$E$2503,$E2027,$Z$4:$Z$2503,"正常"))</f>
        <v/>
      </c>
      <c r="R2027" s="26">
        <f>IF($G2027="","",SUMIFS(费用台账!$I$4:$I$503,费用台账!$C$4:$C$503,$E2027,费用台账!$J$4:$J$503,"是",费用台账!$K$4:$K$503,"正常"))</f>
        <v/>
      </c>
      <c r="S2027" s="28">
        <f>IF($G2027="","",COUNTIFS($E$4:$E$2503,$E2027,$Z$4:$Z$2503,"正常",$Y$4:$Y$2503,"待补价"))</f>
        <v/>
      </c>
      <c r="T2027" s="26">
        <f>IF($G2027="","",SUMIFS($P$4:$P$2503,$E$4:$E$2503,$E2027,$Z$4:$Z$2503,"正常",$A$4:$A$2503,"&lt;="&amp;$A2027))</f>
        <v/>
      </c>
      <c r="U2027" s="26">
        <f>IF($G2027="","",IF(OR($S2027&gt;0,$Q2027=0,$R2027=0,$Z2027&lt;&gt;"正常"),0,ROUND($T2027/$Q2027*$R2027,0)-ROUND(($T2027-$P2027)/$Q2027*$R2027,0)))</f>
        <v/>
      </c>
      <c r="V2027" s="26">
        <f>IF($G2027="","",ROUND($P2027+$U2027,0))</f>
        <v/>
      </c>
      <c r="W2027" s="26">
        <f>IF($G2027="","",IF(N($K2027)=0,0,ROUND($V2027/$K2027,2)))</f>
        <v/>
      </c>
      <c r="X2027" s="17" t="n"/>
      <c r="Y2027" s="17" t="n"/>
      <c r="Z2027" s="17" t="n"/>
      <c r="AA2027" s="17" t="n"/>
      <c r="AB2027" s="17" t="n"/>
      <c r="AC2027" s="24">
        <f>IF($G2027="","",IF($H2027="※编码不在物料档案里","※物料编码不在档案里",IF(N($K2027)&lt;=0,"※入库数量要大于 0",IF(AND($C2027&lt;&gt;"",$C2027&lt;=结账锁),"※日期早于已结账截止日，不能再录",IF(AND($L2027=0,$X2027="正常"),"※没填单价，价格状态请选「待补价」",IF(AND($S2027&gt;0,$R2027&gt;0),"△本批有 "&amp;$S2027&amp;" 行没单价，整批运费先挂账没摊",IF(AND($B2027&lt;&gt;"",COUNTIF($B$4:$B$2503,$B2027)&gt;1),"※入库单号重复","")))))))</f>
        <v/>
      </c>
    </row>
    <row r="2028">
      <c r="A2028" s="24">
        <f>IF($G2028="","",COUNTA($G$4:$G2028))</f>
        <v/>
      </c>
      <c r="B2028" s="17" t="n"/>
      <c r="C2028" s="30" t="n"/>
      <c r="D2028" s="17" t="n"/>
      <c r="E2028" s="17" t="n"/>
      <c r="F2028" s="17" t="n"/>
      <c r="G2028" s="17" t="n"/>
      <c r="H2028" s="24">
        <f>IF($G2028="","",IFERROR(VLOOKUP($G2028,物料档案!$A$4:$P$1203,3,0),"※编码不在物料档案里"))</f>
        <v/>
      </c>
      <c r="I2028" s="24">
        <f>IF($G2028="","",IFERROR(VLOOKUP($G2028,物料档案!$A$4:$P$1203,4,0),"※编码不在物料档案里"))</f>
        <v/>
      </c>
      <c r="J2028" s="24">
        <f>IF($G2028="","",IFERROR(VLOOKUP($G2028,物料档案!$A$4:$P$1203,5,0),"※编码不在物料档案里"))</f>
        <v/>
      </c>
      <c r="K2028" s="23" t="n"/>
      <c r="L2028" s="31" t="n"/>
      <c r="M2028" s="24">
        <f>IF($G2028="","",IF($D2028="A国内","CNY","TZS"))</f>
        <v/>
      </c>
      <c r="N2028" s="28">
        <f>IF($G2028="","",IF($D2028="A国内",汇率,1))</f>
        <v/>
      </c>
      <c r="O2028" s="25">
        <f>IF($G2028="","",ROUND(N($K2028)*N($L2028),2))</f>
        <v/>
      </c>
      <c r="P2028" s="26">
        <f>IF($G2028="","",ROUND($O2028*$N2028,0))</f>
        <v/>
      </c>
      <c r="Q2028" s="26">
        <f>IF($G2028="","",SUMIFS($P$4:$P$2503,$E$4:$E$2503,$E2028,$Z$4:$Z$2503,"正常"))</f>
        <v/>
      </c>
      <c r="R2028" s="26">
        <f>IF($G2028="","",SUMIFS(费用台账!$I$4:$I$503,费用台账!$C$4:$C$503,$E2028,费用台账!$J$4:$J$503,"是",费用台账!$K$4:$K$503,"正常"))</f>
        <v/>
      </c>
      <c r="S2028" s="28">
        <f>IF($G2028="","",COUNTIFS($E$4:$E$2503,$E2028,$Z$4:$Z$2503,"正常",$Y$4:$Y$2503,"待补价"))</f>
        <v/>
      </c>
      <c r="T2028" s="26">
        <f>IF($G2028="","",SUMIFS($P$4:$P$2503,$E$4:$E$2503,$E2028,$Z$4:$Z$2503,"正常",$A$4:$A$2503,"&lt;="&amp;$A2028))</f>
        <v/>
      </c>
      <c r="U2028" s="26">
        <f>IF($G2028="","",IF(OR($S2028&gt;0,$Q2028=0,$R2028=0,$Z2028&lt;&gt;"正常"),0,ROUND($T2028/$Q2028*$R2028,0)-ROUND(($T2028-$P2028)/$Q2028*$R2028,0)))</f>
        <v/>
      </c>
      <c r="V2028" s="26">
        <f>IF($G2028="","",ROUND($P2028+$U2028,0))</f>
        <v/>
      </c>
      <c r="W2028" s="26">
        <f>IF($G2028="","",IF(N($K2028)=0,0,ROUND($V2028/$K2028,2)))</f>
        <v/>
      </c>
      <c r="X2028" s="17" t="n"/>
      <c r="Y2028" s="17" t="n"/>
      <c r="Z2028" s="17" t="n"/>
      <c r="AA2028" s="17" t="n"/>
      <c r="AB2028" s="17" t="n"/>
      <c r="AC2028" s="24">
        <f>IF($G2028="","",IF($H2028="※编码不在物料档案里","※物料编码不在档案里",IF(N($K2028)&lt;=0,"※入库数量要大于 0",IF(AND($C2028&lt;&gt;"",$C2028&lt;=结账锁),"※日期早于已结账截止日，不能再录",IF(AND($L2028=0,$X2028="正常"),"※没填单价，价格状态请选「待补价」",IF(AND($S2028&gt;0,$R2028&gt;0),"△本批有 "&amp;$S2028&amp;" 行没单价，整批运费先挂账没摊",IF(AND($B2028&lt;&gt;"",COUNTIF($B$4:$B$2503,$B2028)&gt;1),"※入库单号重复","")))))))</f>
        <v/>
      </c>
    </row>
    <row r="2029">
      <c r="A2029" s="24">
        <f>IF($G2029="","",COUNTA($G$4:$G2029))</f>
        <v/>
      </c>
      <c r="B2029" s="17" t="n"/>
      <c r="C2029" s="30" t="n"/>
      <c r="D2029" s="17" t="n"/>
      <c r="E2029" s="17" t="n"/>
      <c r="F2029" s="17" t="n"/>
      <c r="G2029" s="17" t="n"/>
      <c r="H2029" s="24">
        <f>IF($G2029="","",IFERROR(VLOOKUP($G2029,物料档案!$A$4:$P$1203,3,0),"※编码不在物料档案里"))</f>
        <v/>
      </c>
      <c r="I2029" s="24">
        <f>IF($G2029="","",IFERROR(VLOOKUP($G2029,物料档案!$A$4:$P$1203,4,0),"※编码不在物料档案里"))</f>
        <v/>
      </c>
      <c r="J2029" s="24">
        <f>IF($G2029="","",IFERROR(VLOOKUP($G2029,物料档案!$A$4:$P$1203,5,0),"※编码不在物料档案里"))</f>
        <v/>
      </c>
      <c r="K2029" s="23" t="n"/>
      <c r="L2029" s="31" t="n"/>
      <c r="M2029" s="24">
        <f>IF($G2029="","",IF($D2029="A国内","CNY","TZS"))</f>
        <v/>
      </c>
      <c r="N2029" s="28">
        <f>IF($G2029="","",IF($D2029="A国内",汇率,1))</f>
        <v/>
      </c>
      <c r="O2029" s="25">
        <f>IF($G2029="","",ROUND(N($K2029)*N($L2029),2))</f>
        <v/>
      </c>
      <c r="P2029" s="26">
        <f>IF($G2029="","",ROUND($O2029*$N2029,0))</f>
        <v/>
      </c>
      <c r="Q2029" s="26">
        <f>IF($G2029="","",SUMIFS($P$4:$P$2503,$E$4:$E$2503,$E2029,$Z$4:$Z$2503,"正常"))</f>
        <v/>
      </c>
      <c r="R2029" s="26">
        <f>IF($G2029="","",SUMIFS(费用台账!$I$4:$I$503,费用台账!$C$4:$C$503,$E2029,费用台账!$J$4:$J$503,"是",费用台账!$K$4:$K$503,"正常"))</f>
        <v/>
      </c>
      <c r="S2029" s="28">
        <f>IF($G2029="","",COUNTIFS($E$4:$E$2503,$E2029,$Z$4:$Z$2503,"正常",$Y$4:$Y$2503,"待补价"))</f>
        <v/>
      </c>
      <c r="T2029" s="26">
        <f>IF($G2029="","",SUMIFS($P$4:$P$2503,$E$4:$E$2503,$E2029,$Z$4:$Z$2503,"正常",$A$4:$A$2503,"&lt;="&amp;$A2029))</f>
        <v/>
      </c>
      <c r="U2029" s="26">
        <f>IF($G2029="","",IF(OR($S2029&gt;0,$Q2029=0,$R2029=0,$Z2029&lt;&gt;"正常"),0,ROUND($T2029/$Q2029*$R2029,0)-ROUND(($T2029-$P2029)/$Q2029*$R2029,0)))</f>
        <v/>
      </c>
      <c r="V2029" s="26">
        <f>IF($G2029="","",ROUND($P2029+$U2029,0))</f>
        <v/>
      </c>
      <c r="W2029" s="26">
        <f>IF($G2029="","",IF(N($K2029)=0,0,ROUND($V2029/$K2029,2)))</f>
        <v/>
      </c>
      <c r="X2029" s="17" t="n"/>
      <c r="Y2029" s="17" t="n"/>
      <c r="Z2029" s="17" t="n"/>
      <c r="AA2029" s="17" t="n"/>
      <c r="AB2029" s="17" t="n"/>
      <c r="AC2029" s="24">
        <f>IF($G2029="","",IF($H2029="※编码不在物料档案里","※物料编码不在档案里",IF(N($K2029)&lt;=0,"※入库数量要大于 0",IF(AND($C2029&lt;&gt;"",$C2029&lt;=结账锁),"※日期早于已结账截止日，不能再录",IF(AND($L2029=0,$X2029="正常"),"※没填单价，价格状态请选「待补价」",IF(AND($S2029&gt;0,$R2029&gt;0),"△本批有 "&amp;$S2029&amp;" 行没单价，整批运费先挂账没摊",IF(AND($B2029&lt;&gt;"",COUNTIF($B$4:$B$2503,$B2029)&gt;1),"※入库单号重复","")))))))</f>
        <v/>
      </c>
    </row>
    <row r="2030">
      <c r="A2030" s="24">
        <f>IF($G2030="","",COUNTA($G$4:$G2030))</f>
        <v/>
      </c>
      <c r="B2030" s="17" t="n"/>
      <c r="C2030" s="30" t="n"/>
      <c r="D2030" s="17" t="n"/>
      <c r="E2030" s="17" t="n"/>
      <c r="F2030" s="17" t="n"/>
      <c r="G2030" s="17" t="n"/>
      <c r="H2030" s="24">
        <f>IF($G2030="","",IFERROR(VLOOKUP($G2030,物料档案!$A$4:$P$1203,3,0),"※编码不在物料档案里"))</f>
        <v/>
      </c>
      <c r="I2030" s="24">
        <f>IF($G2030="","",IFERROR(VLOOKUP($G2030,物料档案!$A$4:$P$1203,4,0),"※编码不在物料档案里"))</f>
        <v/>
      </c>
      <c r="J2030" s="24">
        <f>IF($G2030="","",IFERROR(VLOOKUP($G2030,物料档案!$A$4:$P$1203,5,0),"※编码不在物料档案里"))</f>
        <v/>
      </c>
      <c r="K2030" s="23" t="n"/>
      <c r="L2030" s="31" t="n"/>
      <c r="M2030" s="24">
        <f>IF($G2030="","",IF($D2030="A国内","CNY","TZS"))</f>
        <v/>
      </c>
      <c r="N2030" s="28">
        <f>IF($G2030="","",IF($D2030="A国内",汇率,1))</f>
        <v/>
      </c>
      <c r="O2030" s="25">
        <f>IF($G2030="","",ROUND(N($K2030)*N($L2030),2))</f>
        <v/>
      </c>
      <c r="P2030" s="26">
        <f>IF($G2030="","",ROUND($O2030*$N2030,0))</f>
        <v/>
      </c>
      <c r="Q2030" s="26">
        <f>IF($G2030="","",SUMIFS($P$4:$P$2503,$E$4:$E$2503,$E2030,$Z$4:$Z$2503,"正常"))</f>
        <v/>
      </c>
      <c r="R2030" s="26">
        <f>IF($G2030="","",SUMIFS(费用台账!$I$4:$I$503,费用台账!$C$4:$C$503,$E2030,费用台账!$J$4:$J$503,"是",费用台账!$K$4:$K$503,"正常"))</f>
        <v/>
      </c>
      <c r="S2030" s="28">
        <f>IF($G2030="","",COUNTIFS($E$4:$E$2503,$E2030,$Z$4:$Z$2503,"正常",$Y$4:$Y$2503,"待补价"))</f>
        <v/>
      </c>
      <c r="T2030" s="26">
        <f>IF($G2030="","",SUMIFS($P$4:$P$2503,$E$4:$E$2503,$E2030,$Z$4:$Z$2503,"正常",$A$4:$A$2503,"&lt;="&amp;$A2030))</f>
        <v/>
      </c>
      <c r="U2030" s="26">
        <f>IF($G2030="","",IF(OR($S2030&gt;0,$Q2030=0,$R2030=0,$Z2030&lt;&gt;"正常"),0,ROUND($T2030/$Q2030*$R2030,0)-ROUND(($T2030-$P2030)/$Q2030*$R2030,0)))</f>
        <v/>
      </c>
      <c r="V2030" s="26">
        <f>IF($G2030="","",ROUND($P2030+$U2030,0))</f>
        <v/>
      </c>
      <c r="W2030" s="26">
        <f>IF($G2030="","",IF(N($K2030)=0,0,ROUND($V2030/$K2030,2)))</f>
        <v/>
      </c>
      <c r="X2030" s="17" t="n"/>
      <c r="Y2030" s="17" t="n"/>
      <c r="Z2030" s="17" t="n"/>
      <c r="AA2030" s="17" t="n"/>
      <c r="AB2030" s="17" t="n"/>
      <c r="AC2030" s="24">
        <f>IF($G2030="","",IF($H2030="※编码不在物料档案里","※物料编码不在档案里",IF(N($K2030)&lt;=0,"※入库数量要大于 0",IF(AND($C2030&lt;&gt;"",$C2030&lt;=结账锁),"※日期早于已结账截止日，不能再录",IF(AND($L2030=0,$X2030="正常"),"※没填单价，价格状态请选「待补价」",IF(AND($S2030&gt;0,$R2030&gt;0),"△本批有 "&amp;$S2030&amp;" 行没单价，整批运费先挂账没摊",IF(AND($B2030&lt;&gt;"",COUNTIF($B$4:$B$2503,$B2030)&gt;1),"※入库单号重复","")))))))</f>
        <v/>
      </c>
    </row>
    <row r="2031">
      <c r="A2031" s="24">
        <f>IF($G2031="","",COUNTA($G$4:$G2031))</f>
        <v/>
      </c>
      <c r="B2031" s="17" t="n"/>
      <c r="C2031" s="30" t="n"/>
      <c r="D2031" s="17" t="n"/>
      <c r="E2031" s="17" t="n"/>
      <c r="F2031" s="17" t="n"/>
      <c r="G2031" s="17" t="n"/>
      <c r="H2031" s="24">
        <f>IF($G2031="","",IFERROR(VLOOKUP($G2031,物料档案!$A$4:$P$1203,3,0),"※编码不在物料档案里"))</f>
        <v/>
      </c>
      <c r="I2031" s="24">
        <f>IF($G2031="","",IFERROR(VLOOKUP($G2031,物料档案!$A$4:$P$1203,4,0),"※编码不在物料档案里"))</f>
        <v/>
      </c>
      <c r="J2031" s="24">
        <f>IF($G2031="","",IFERROR(VLOOKUP($G2031,物料档案!$A$4:$P$1203,5,0),"※编码不在物料档案里"))</f>
        <v/>
      </c>
      <c r="K2031" s="23" t="n"/>
      <c r="L2031" s="31" t="n"/>
      <c r="M2031" s="24">
        <f>IF($G2031="","",IF($D2031="A国内","CNY","TZS"))</f>
        <v/>
      </c>
      <c r="N2031" s="28">
        <f>IF($G2031="","",IF($D2031="A国内",汇率,1))</f>
        <v/>
      </c>
      <c r="O2031" s="25">
        <f>IF($G2031="","",ROUND(N($K2031)*N($L2031),2))</f>
        <v/>
      </c>
      <c r="P2031" s="26">
        <f>IF($G2031="","",ROUND($O2031*$N2031,0))</f>
        <v/>
      </c>
      <c r="Q2031" s="26">
        <f>IF($G2031="","",SUMIFS($P$4:$P$2503,$E$4:$E$2503,$E2031,$Z$4:$Z$2503,"正常"))</f>
        <v/>
      </c>
      <c r="R2031" s="26">
        <f>IF($G2031="","",SUMIFS(费用台账!$I$4:$I$503,费用台账!$C$4:$C$503,$E2031,费用台账!$J$4:$J$503,"是",费用台账!$K$4:$K$503,"正常"))</f>
        <v/>
      </c>
      <c r="S2031" s="28">
        <f>IF($G2031="","",COUNTIFS($E$4:$E$2503,$E2031,$Z$4:$Z$2503,"正常",$Y$4:$Y$2503,"待补价"))</f>
        <v/>
      </c>
      <c r="T2031" s="26">
        <f>IF($G2031="","",SUMIFS($P$4:$P$2503,$E$4:$E$2503,$E2031,$Z$4:$Z$2503,"正常",$A$4:$A$2503,"&lt;="&amp;$A2031))</f>
        <v/>
      </c>
      <c r="U2031" s="26">
        <f>IF($G2031="","",IF(OR($S2031&gt;0,$Q2031=0,$R2031=0,$Z2031&lt;&gt;"正常"),0,ROUND($T2031/$Q2031*$R2031,0)-ROUND(($T2031-$P2031)/$Q2031*$R2031,0)))</f>
        <v/>
      </c>
      <c r="V2031" s="26">
        <f>IF($G2031="","",ROUND($P2031+$U2031,0))</f>
        <v/>
      </c>
      <c r="W2031" s="26">
        <f>IF($G2031="","",IF(N($K2031)=0,0,ROUND($V2031/$K2031,2)))</f>
        <v/>
      </c>
      <c r="X2031" s="17" t="n"/>
      <c r="Y2031" s="17" t="n"/>
      <c r="Z2031" s="17" t="n"/>
      <c r="AA2031" s="17" t="n"/>
      <c r="AB2031" s="17" t="n"/>
      <c r="AC2031" s="24">
        <f>IF($G2031="","",IF($H2031="※编码不在物料档案里","※物料编码不在档案里",IF(N($K2031)&lt;=0,"※入库数量要大于 0",IF(AND($C2031&lt;&gt;"",$C2031&lt;=结账锁),"※日期早于已结账截止日，不能再录",IF(AND($L2031=0,$X2031="正常"),"※没填单价，价格状态请选「待补价」",IF(AND($S2031&gt;0,$R2031&gt;0),"△本批有 "&amp;$S2031&amp;" 行没单价，整批运费先挂账没摊",IF(AND($B2031&lt;&gt;"",COUNTIF($B$4:$B$2503,$B2031)&gt;1),"※入库单号重复","")))))))</f>
        <v/>
      </c>
    </row>
    <row r="2032">
      <c r="A2032" s="24">
        <f>IF($G2032="","",COUNTA($G$4:$G2032))</f>
        <v/>
      </c>
      <c r="B2032" s="17" t="n"/>
      <c r="C2032" s="30" t="n"/>
      <c r="D2032" s="17" t="n"/>
      <c r="E2032" s="17" t="n"/>
      <c r="F2032" s="17" t="n"/>
      <c r="G2032" s="17" t="n"/>
      <c r="H2032" s="24">
        <f>IF($G2032="","",IFERROR(VLOOKUP($G2032,物料档案!$A$4:$P$1203,3,0),"※编码不在物料档案里"))</f>
        <v/>
      </c>
      <c r="I2032" s="24">
        <f>IF($G2032="","",IFERROR(VLOOKUP($G2032,物料档案!$A$4:$P$1203,4,0),"※编码不在物料档案里"))</f>
        <v/>
      </c>
      <c r="J2032" s="24">
        <f>IF($G2032="","",IFERROR(VLOOKUP($G2032,物料档案!$A$4:$P$1203,5,0),"※编码不在物料档案里"))</f>
        <v/>
      </c>
      <c r="K2032" s="23" t="n"/>
      <c r="L2032" s="31" t="n"/>
      <c r="M2032" s="24">
        <f>IF($G2032="","",IF($D2032="A国内","CNY","TZS"))</f>
        <v/>
      </c>
      <c r="N2032" s="28">
        <f>IF($G2032="","",IF($D2032="A国内",汇率,1))</f>
        <v/>
      </c>
      <c r="O2032" s="25">
        <f>IF($G2032="","",ROUND(N($K2032)*N($L2032),2))</f>
        <v/>
      </c>
      <c r="P2032" s="26">
        <f>IF($G2032="","",ROUND($O2032*$N2032,0))</f>
        <v/>
      </c>
      <c r="Q2032" s="26">
        <f>IF($G2032="","",SUMIFS($P$4:$P$2503,$E$4:$E$2503,$E2032,$Z$4:$Z$2503,"正常"))</f>
        <v/>
      </c>
      <c r="R2032" s="26">
        <f>IF($G2032="","",SUMIFS(费用台账!$I$4:$I$503,费用台账!$C$4:$C$503,$E2032,费用台账!$J$4:$J$503,"是",费用台账!$K$4:$K$503,"正常"))</f>
        <v/>
      </c>
      <c r="S2032" s="28">
        <f>IF($G2032="","",COUNTIFS($E$4:$E$2503,$E2032,$Z$4:$Z$2503,"正常",$Y$4:$Y$2503,"待补价"))</f>
        <v/>
      </c>
      <c r="T2032" s="26">
        <f>IF($G2032="","",SUMIFS($P$4:$P$2503,$E$4:$E$2503,$E2032,$Z$4:$Z$2503,"正常",$A$4:$A$2503,"&lt;="&amp;$A2032))</f>
        <v/>
      </c>
      <c r="U2032" s="26">
        <f>IF($G2032="","",IF(OR($S2032&gt;0,$Q2032=0,$R2032=0,$Z2032&lt;&gt;"正常"),0,ROUND($T2032/$Q2032*$R2032,0)-ROUND(($T2032-$P2032)/$Q2032*$R2032,0)))</f>
        <v/>
      </c>
      <c r="V2032" s="26">
        <f>IF($G2032="","",ROUND($P2032+$U2032,0))</f>
        <v/>
      </c>
      <c r="W2032" s="26">
        <f>IF($G2032="","",IF(N($K2032)=0,0,ROUND($V2032/$K2032,2)))</f>
        <v/>
      </c>
      <c r="X2032" s="17" t="n"/>
      <c r="Y2032" s="17" t="n"/>
      <c r="Z2032" s="17" t="n"/>
      <c r="AA2032" s="17" t="n"/>
      <c r="AB2032" s="17" t="n"/>
      <c r="AC2032" s="24">
        <f>IF($G2032="","",IF($H2032="※编码不在物料档案里","※物料编码不在档案里",IF(N($K2032)&lt;=0,"※入库数量要大于 0",IF(AND($C2032&lt;&gt;"",$C2032&lt;=结账锁),"※日期早于已结账截止日，不能再录",IF(AND($L2032=0,$X2032="正常"),"※没填单价，价格状态请选「待补价」",IF(AND($S2032&gt;0,$R2032&gt;0),"△本批有 "&amp;$S2032&amp;" 行没单价，整批运费先挂账没摊",IF(AND($B2032&lt;&gt;"",COUNTIF($B$4:$B$2503,$B2032)&gt;1),"※入库单号重复","")))))))</f>
        <v/>
      </c>
    </row>
    <row r="2033">
      <c r="A2033" s="24">
        <f>IF($G2033="","",COUNTA($G$4:$G2033))</f>
        <v/>
      </c>
      <c r="B2033" s="17" t="n"/>
      <c r="C2033" s="30" t="n"/>
      <c r="D2033" s="17" t="n"/>
      <c r="E2033" s="17" t="n"/>
      <c r="F2033" s="17" t="n"/>
      <c r="G2033" s="17" t="n"/>
      <c r="H2033" s="24">
        <f>IF($G2033="","",IFERROR(VLOOKUP($G2033,物料档案!$A$4:$P$1203,3,0),"※编码不在物料档案里"))</f>
        <v/>
      </c>
      <c r="I2033" s="24">
        <f>IF($G2033="","",IFERROR(VLOOKUP($G2033,物料档案!$A$4:$P$1203,4,0),"※编码不在物料档案里"))</f>
        <v/>
      </c>
      <c r="J2033" s="24">
        <f>IF($G2033="","",IFERROR(VLOOKUP($G2033,物料档案!$A$4:$P$1203,5,0),"※编码不在物料档案里"))</f>
        <v/>
      </c>
      <c r="K2033" s="23" t="n"/>
      <c r="L2033" s="31" t="n"/>
      <c r="M2033" s="24">
        <f>IF($G2033="","",IF($D2033="A国内","CNY","TZS"))</f>
        <v/>
      </c>
      <c r="N2033" s="28">
        <f>IF($G2033="","",IF($D2033="A国内",汇率,1))</f>
        <v/>
      </c>
      <c r="O2033" s="25">
        <f>IF($G2033="","",ROUND(N($K2033)*N($L2033),2))</f>
        <v/>
      </c>
      <c r="P2033" s="26">
        <f>IF($G2033="","",ROUND($O2033*$N2033,0))</f>
        <v/>
      </c>
      <c r="Q2033" s="26">
        <f>IF($G2033="","",SUMIFS($P$4:$P$2503,$E$4:$E$2503,$E2033,$Z$4:$Z$2503,"正常"))</f>
        <v/>
      </c>
      <c r="R2033" s="26">
        <f>IF($G2033="","",SUMIFS(费用台账!$I$4:$I$503,费用台账!$C$4:$C$503,$E2033,费用台账!$J$4:$J$503,"是",费用台账!$K$4:$K$503,"正常"))</f>
        <v/>
      </c>
      <c r="S2033" s="28">
        <f>IF($G2033="","",COUNTIFS($E$4:$E$2503,$E2033,$Z$4:$Z$2503,"正常",$Y$4:$Y$2503,"待补价"))</f>
        <v/>
      </c>
      <c r="T2033" s="26">
        <f>IF($G2033="","",SUMIFS($P$4:$P$2503,$E$4:$E$2503,$E2033,$Z$4:$Z$2503,"正常",$A$4:$A$2503,"&lt;="&amp;$A2033))</f>
        <v/>
      </c>
      <c r="U2033" s="26">
        <f>IF($G2033="","",IF(OR($S2033&gt;0,$Q2033=0,$R2033=0,$Z2033&lt;&gt;"正常"),0,ROUND($T2033/$Q2033*$R2033,0)-ROUND(($T2033-$P2033)/$Q2033*$R2033,0)))</f>
        <v/>
      </c>
      <c r="V2033" s="26">
        <f>IF($G2033="","",ROUND($P2033+$U2033,0))</f>
        <v/>
      </c>
      <c r="W2033" s="26">
        <f>IF($G2033="","",IF(N($K2033)=0,0,ROUND($V2033/$K2033,2)))</f>
        <v/>
      </c>
      <c r="X2033" s="17" t="n"/>
      <c r="Y2033" s="17" t="n"/>
      <c r="Z2033" s="17" t="n"/>
      <c r="AA2033" s="17" t="n"/>
      <c r="AB2033" s="17" t="n"/>
      <c r="AC2033" s="24">
        <f>IF($G2033="","",IF($H2033="※编码不在物料档案里","※物料编码不在档案里",IF(N($K2033)&lt;=0,"※入库数量要大于 0",IF(AND($C2033&lt;&gt;"",$C2033&lt;=结账锁),"※日期早于已结账截止日，不能再录",IF(AND($L2033=0,$X2033="正常"),"※没填单价，价格状态请选「待补价」",IF(AND($S2033&gt;0,$R2033&gt;0),"△本批有 "&amp;$S2033&amp;" 行没单价，整批运费先挂账没摊",IF(AND($B2033&lt;&gt;"",COUNTIF($B$4:$B$2503,$B2033)&gt;1),"※入库单号重复","")))))))</f>
        <v/>
      </c>
    </row>
    <row r="2034">
      <c r="A2034" s="24">
        <f>IF($G2034="","",COUNTA($G$4:$G2034))</f>
        <v/>
      </c>
      <c r="B2034" s="17" t="n"/>
      <c r="C2034" s="30" t="n"/>
      <c r="D2034" s="17" t="n"/>
      <c r="E2034" s="17" t="n"/>
      <c r="F2034" s="17" t="n"/>
      <c r="G2034" s="17" t="n"/>
      <c r="H2034" s="24">
        <f>IF($G2034="","",IFERROR(VLOOKUP($G2034,物料档案!$A$4:$P$1203,3,0),"※编码不在物料档案里"))</f>
        <v/>
      </c>
      <c r="I2034" s="24">
        <f>IF($G2034="","",IFERROR(VLOOKUP($G2034,物料档案!$A$4:$P$1203,4,0),"※编码不在物料档案里"))</f>
        <v/>
      </c>
      <c r="J2034" s="24">
        <f>IF($G2034="","",IFERROR(VLOOKUP($G2034,物料档案!$A$4:$P$1203,5,0),"※编码不在物料档案里"))</f>
        <v/>
      </c>
      <c r="K2034" s="23" t="n"/>
      <c r="L2034" s="31" t="n"/>
      <c r="M2034" s="24">
        <f>IF($G2034="","",IF($D2034="A国内","CNY","TZS"))</f>
        <v/>
      </c>
      <c r="N2034" s="28">
        <f>IF($G2034="","",IF($D2034="A国内",汇率,1))</f>
        <v/>
      </c>
      <c r="O2034" s="25">
        <f>IF($G2034="","",ROUND(N($K2034)*N($L2034),2))</f>
        <v/>
      </c>
      <c r="P2034" s="26">
        <f>IF($G2034="","",ROUND($O2034*$N2034,0))</f>
        <v/>
      </c>
      <c r="Q2034" s="26">
        <f>IF($G2034="","",SUMIFS($P$4:$P$2503,$E$4:$E$2503,$E2034,$Z$4:$Z$2503,"正常"))</f>
        <v/>
      </c>
      <c r="R2034" s="26">
        <f>IF($G2034="","",SUMIFS(费用台账!$I$4:$I$503,费用台账!$C$4:$C$503,$E2034,费用台账!$J$4:$J$503,"是",费用台账!$K$4:$K$503,"正常"))</f>
        <v/>
      </c>
      <c r="S2034" s="28">
        <f>IF($G2034="","",COUNTIFS($E$4:$E$2503,$E2034,$Z$4:$Z$2503,"正常",$Y$4:$Y$2503,"待补价"))</f>
        <v/>
      </c>
      <c r="T2034" s="26">
        <f>IF($G2034="","",SUMIFS($P$4:$P$2503,$E$4:$E$2503,$E2034,$Z$4:$Z$2503,"正常",$A$4:$A$2503,"&lt;="&amp;$A2034))</f>
        <v/>
      </c>
      <c r="U2034" s="26">
        <f>IF($G2034="","",IF(OR($S2034&gt;0,$Q2034=0,$R2034=0,$Z2034&lt;&gt;"正常"),0,ROUND($T2034/$Q2034*$R2034,0)-ROUND(($T2034-$P2034)/$Q2034*$R2034,0)))</f>
        <v/>
      </c>
      <c r="V2034" s="26">
        <f>IF($G2034="","",ROUND($P2034+$U2034,0))</f>
        <v/>
      </c>
      <c r="W2034" s="26">
        <f>IF($G2034="","",IF(N($K2034)=0,0,ROUND($V2034/$K2034,2)))</f>
        <v/>
      </c>
      <c r="X2034" s="17" t="n"/>
      <c r="Y2034" s="17" t="n"/>
      <c r="Z2034" s="17" t="n"/>
      <c r="AA2034" s="17" t="n"/>
      <c r="AB2034" s="17" t="n"/>
      <c r="AC2034" s="24">
        <f>IF($G2034="","",IF($H2034="※编码不在物料档案里","※物料编码不在档案里",IF(N($K2034)&lt;=0,"※入库数量要大于 0",IF(AND($C2034&lt;&gt;"",$C2034&lt;=结账锁),"※日期早于已结账截止日，不能再录",IF(AND($L2034=0,$X2034="正常"),"※没填单价，价格状态请选「待补价」",IF(AND($S2034&gt;0,$R2034&gt;0),"△本批有 "&amp;$S2034&amp;" 行没单价，整批运费先挂账没摊",IF(AND($B2034&lt;&gt;"",COUNTIF($B$4:$B$2503,$B2034)&gt;1),"※入库单号重复","")))))))</f>
        <v/>
      </c>
    </row>
    <row r="2035">
      <c r="A2035" s="24">
        <f>IF($G2035="","",COUNTA($G$4:$G2035))</f>
        <v/>
      </c>
      <c r="B2035" s="17" t="n"/>
      <c r="C2035" s="30" t="n"/>
      <c r="D2035" s="17" t="n"/>
      <c r="E2035" s="17" t="n"/>
      <c r="F2035" s="17" t="n"/>
      <c r="G2035" s="17" t="n"/>
      <c r="H2035" s="24">
        <f>IF($G2035="","",IFERROR(VLOOKUP($G2035,物料档案!$A$4:$P$1203,3,0),"※编码不在物料档案里"))</f>
        <v/>
      </c>
      <c r="I2035" s="24">
        <f>IF($G2035="","",IFERROR(VLOOKUP($G2035,物料档案!$A$4:$P$1203,4,0),"※编码不在物料档案里"))</f>
        <v/>
      </c>
      <c r="J2035" s="24">
        <f>IF($G2035="","",IFERROR(VLOOKUP($G2035,物料档案!$A$4:$P$1203,5,0),"※编码不在物料档案里"))</f>
        <v/>
      </c>
      <c r="K2035" s="23" t="n"/>
      <c r="L2035" s="31" t="n"/>
      <c r="M2035" s="24">
        <f>IF($G2035="","",IF($D2035="A国内","CNY","TZS"))</f>
        <v/>
      </c>
      <c r="N2035" s="28">
        <f>IF($G2035="","",IF($D2035="A国内",汇率,1))</f>
        <v/>
      </c>
      <c r="O2035" s="25">
        <f>IF($G2035="","",ROUND(N($K2035)*N($L2035),2))</f>
        <v/>
      </c>
      <c r="P2035" s="26">
        <f>IF($G2035="","",ROUND($O2035*$N2035,0))</f>
        <v/>
      </c>
      <c r="Q2035" s="26">
        <f>IF($G2035="","",SUMIFS($P$4:$P$2503,$E$4:$E$2503,$E2035,$Z$4:$Z$2503,"正常"))</f>
        <v/>
      </c>
      <c r="R2035" s="26">
        <f>IF($G2035="","",SUMIFS(费用台账!$I$4:$I$503,费用台账!$C$4:$C$503,$E2035,费用台账!$J$4:$J$503,"是",费用台账!$K$4:$K$503,"正常"))</f>
        <v/>
      </c>
      <c r="S2035" s="28">
        <f>IF($G2035="","",COUNTIFS($E$4:$E$2503,$E2035,$Z$4:$Z$2503,"正常",$Y$4:$Y$2503,"待补价"))</f>
        <v/>
      </c>
      <c r="T2035" s="26">
        <f>IF($G2035="","",SUMIFS($P$4:$P$2503,$E$4:$E$2503,$E2035,$Z$4:$Z$2503,"正常",$A$4:$A$2503,"&lt;="&amp;$A2035))</f>
        <v/>
      </c>
      <c r="U2035" s="26">
        <f>IF($G2035="","",IF(OR($S2035&gt;0,$Q2035=0,$R2035=0,$Z2035&lt;&gt;"正常"),0,ROUND($T2035/$Q2035*$R2035,0)-ROUND(($T2035-$P2035)/$Q2035*$R2035,0)))</f>
        <v/>
      </c>
      <c r="V2035" s="26">
        <f>IF($G2035="","",ROUND($P2035+$U2035,0))</f>
        <v/>
      </c>
      <c r="W2035" s="26">
        <f>IF($G2035="","",IF(N($K2035)=0,0,ROUND($V2035/$K2035,2)))</f>
        <v/>
      </c>
      <c r="X2035" s="17" t="n"/>
      <c r="Y2035" s="17" t="n"/>
      <c r="Z2035" s="17" t="n"/>
      <c r="AA2035" s="17" t="n"/>
      <c r="AB2035" s="17" t="n"/>
      <c r="AC2035" s="24">
        <f>IF($G2035="","",IF($H2035="※编码不在物料档案里","※物料编码不在档案里",IF(N($K2035)&lt;=0,"※入库数量要大于 0",IF(AND($C2035&lt;&gt;"",$C2035&lt;=结账锁),"※日期早于已结账截止日，不能再录",IF(AND($L2035=0,$X2035="正常"),"※没填单价，价格状态请选「待补价」",IF(AND($S2035&gt;0,$R2035&gt;0),"△本批有 "&amp;$S2035&amp;" 行没单价，整批运费先挂账没摊",IF(AND($B2035&lt;&gt;"",COUNTIF($B$4:$B$2503,$B2035)&gt;1),"※入库单号重复","")))))))</f>
        <v/>
      </c>
    </row>
    <row r="2036">
      <c r="A2036" s="24">
        <f>IF($G2036="","",COUNTA($G$4:$G2036))</f>
        <v/>
      </c>
      <c r="B2036" s="17" t="n"/>
      <c r="C2036" s="30" t="n"/>
      <c r="D2036" s="17" t="n"/>
      <c r="E2036" s="17" t="n"/>
      <c r="F2036" s="17" t="n"/>
      <c r="G2036" s="17" t="n"/>
      <c r="H2036" s="24">
        <f>IF($G2036="","",IFERROR(VLOOKUP($G2036,物料档案!$A$4:$P$1203,3,0),"※编码不在物料档案里"))</f>
        <v/>
      </c>
      <c r="I2036" s="24">
        <f>IF($G2036="","",IFERROR(VLOOKUP($G2036,物料档案!$A$4:$P$1203,4,0),"※编码不在物料档案里"))</f>
        <v/>
      </c>
      <c r="J2036" s="24">
        <f>IF($G2036="","",IFERROR(VLOOKUP($G2036,物料档案!$A$4:$P$1203,5,0),"※编码不在物料档案里"))</f>
        <v/>
      </c>
      <c r="K2036" s="23" t="n"/>
      <c r="L2036" s="31" t="n"/>
      <c r="M2036" s="24">
        <f>IF($G2036="","",IF($D2036="A国内","CNY","TZS"))</f>
        <v/>
      </c>
      <c r="N2036" s="28">
        <f>IF($G2036="","",IF($D2036="A国内",汇率,1))</f>
        <v/>
      </c>
      <c r="O2036" s="25">
        <f>IF($G2036="","",ROUND(N($K2036)*N($L2036),2))</f>
        <v/>
      </c>
      <c r="P2036" s="26">
        <f>IF($G2036="","",ROUND($O2036*$N2036,0))</f>
        <v/>
      </c>
      <c r="Q2036" s="26">
        <f>IF($G2036="","",SUMIFS($P$4:$P$2503,$E$4:$E$2503,$E2036,$Z$4:$Z$2503,"正常"))</f>
        <v/>
      </c>
      <c r="R2036" s="26">
        <f>IF($G2036="","",SUMIFS(费用台账!$I$4:$I$503,费用台账!$C$4:$C$503,$E2036,费用台账!$J$4:$J$503,"是",费用台账!$K$4:$K$503,"正常"))</f>
        <v/>
      </c>
      <c r="S2036" s="28">
        <f>IF($G2036="","",COUNTIFS($E$4:$E$2503,$E2036,$Z$4:$Z$2503,"正常",$Y$4:$Y$2503,"待补价"))</f>
        <v/>
      </c>
      <c r="T2036" s="26">
        <f>IF($G2036="","",SUMIFS($P$4:$P$2503,$E$4:$E$2503,$E2036,$Z$4:$Z$2503,"正常",$A$4:$A$2503,"&lt;="&amp;$A2036))</f>
        <v/>
      </c>
      <c r="U2036" s="26">
        <f>IF($G2036="","",IF(OR($S2036&gt;0,$Q2036=0,$R2036=0,$Z2036&lt;&gt;"正常"),0,ROUND($T2036/$Q2036*$R2036,0)-ROUND(($T2036-$P2036)/$Q2036*$R2036,0)))</f>
        <v/>
      </c>
      <c r="V2036" s="26">
        <f>IF($G2036="","",ROUND($P2036+$U2036,0))</f>
        <v/>
      </c>
      <c r="W2036" s="26">
        <f>IF($G2036="","",IF(N($K2036)=0,0,ROUND($V2036/$K2036,2)))</f>
        <v/>
      </c>
      <c r="X2036" s="17" t="n"/>
      <c r="Y2036" s="17" t="n"/>
      <c r="Z2036" s="17" t="n"/>
      <c r="AA2036" s="17" t="n"/>
      <c r="AB2036" s="17" t="n"/>
      <c r="AC2036" s="24">
        <f>IF($G2036="","",IF($H2036="※编码不在物料档案里","※物料编码不在档案里",IF(N($K2036)&lt;=0,"※入库数量要大于 0",IF(AND($C2036&lt;&gt;"",$C2036&lt;=结账锁),"※日期早于已结账截止日，不能再录",IF(AND($L2036=0,$X2036="正常"),"※没填单价，价格状态请选「待补价」",IF(AND($S2036&gt;0,$R2036&gt;0),"△本批有 "&amp;$S2036&amp;" 行没单价，整批运费先挂账没摊",IF(AND($B2036&lt;&gt;"",COUNTIF($B$4:$B$2503,$B2036)&gt;1),"※入库单号重复","")))))))</f>
        <v/>
      </c>
    </row>
    <row r="2037">
      <c r="A2037" s="24">
        <f>IF($G2037="","",COUNTA($G$4:$G2037))</f>
        <v/>
      </c>
      <c r="B2037" s="17" t="n"/>
      <c r="C2037" s="30" t="n"/>
      <c r="D2037" s="17" t="n"/>
      <c r="E2037" s="17" t="n"/>
      <c r="F2037" s="17" t="n"/>
      <c r="G2037" s="17" t="n"/>
      <c r="H2037" s="24">
        <f>IF($G2037="","",IFERROR(VLOOKUP($G2037,物料档案!$A$4:$P$1203,3,0),"※编码不在物料档案里"))</f>
        <v/>
      </c>
      <c r="I2037" s="24">
        <f>IF($G2037="","",IFERROR(VLOOKUP($G2037,物料档案!$A$4:$P$1203,4,0),"※编码不在物料档案里"))</f>
        <v/>
      </c>
      <c r="J2037" s="24">
        <f>IF($G2037="","",IFERROR(VLOOKUP($G2037,物料档案!$A$4:$P$1203,5,0),"※编码不在物料档案里"))</f>
        <v/>
      </c>
      <c r="K2037" s="23" t="n"/>
      <c r="L2037" s="31" t="n"/>
      <c r="M2037" s="24">
        <f>IF($G2037="","",IF($D2037="A国内","CNY","TZS"))</f>
        <v/>
      </c>
      <c r="N2037" s="28">
        <f>IF($G2037="","",IF($D2037="A国内",汇率,1))</f>
        <v/>
      </c>
      <c r="O2037" s="25">
        <f>IF($G2037="","",ROUND(N($K2037)*N($L2037),2))</f>
        <v/>
      </c>
      <c r="P2037" s="26">
        <f>IF($G2037="","",ROUND($O2037*$N2037,0))</f>
        <v/>
      </c>
      <c r="Q2037" s="26">
        <f>IF($G2037="","",SUMIFS($P$4:$P$2503,$E$4:$E$2503,$E2037,$Z$4:$Z$2503,"正常"))</f>
        <v/>
      </c>
      <c r="R2037" s="26">
        <f>IF($G2037="","",SUMIFS(费用台账!$I$4:$I$503,费用台账!$C$4:$C$503,$E2037,费用台账!$J$4:$J$503,"是",费用台账!$K$4:$K$503,"正常"))</f>
        <v/>
      </c>
      <c r="S2037" s="28">
        <f>IF($G2037="","",COUNTIFS($E$4:$E$2503,$E2037,$Z$4:$Z$2503,"正常",$Y$4:$Y$2503,"待补价"))</f>
        <v/>
      </c>
      <c r="T2037" s="26">
        <f>IF($G2037="","",SUMIFS($P$4:$P$2503,$E$4:$E$2503,$E2037,$Z$4:$Z$2503,"正常",$A$4:$A$2503,"&lt;="&amp;$A2037))</f>
        <v/>
      </c>
      <c r="U2037" s="26">
        <f>IF($G2037="","",IF(OR($S2037&gt;0,$Q2037=0,$R2037=0,$Z2037&lt;&gt;"正常"),0,ROUND($T2037/$Q2037*$R2037,0)-ROUND(($T2037-$P2037)/$Q2037*$R2037,0)))</f>
        <v/>
      </c>
      <c r="V2037" s="26">
        <f>IF($G2037="","",ROUND($P2037+$U2037,0))</f>
        <v/>
      </c>
      <c r="W2037" s="26">
        <f>IF($G2037="","",IF(N($K2037)=0,0,ROUND($V2037/$K2037,2)))</f>
        <v/>
      </c>
      <c r="X2037" s="17" t="n"/>
      <c r="Y2037" s="17" t="n"/>
      <c r="Z2037" s="17" t="n"/>
      <c r="AA2037" s="17" t="n"/>
      <c r="AB2037" s="17" t="n"/>
      <c r="AC2037" s="24">
        <f>IF($G2037="","",IF($H2037="※编码不在物料档案里","※物料编码不在档案里",IF(N($K2037)&lt;=0,"※入库数量要大于 0",IF(AND($C2037&lt;&gt;"",$C2037&lt;=结账锁),"※日期早于已结账截止日，不能再录",IF(AND($L2037=0,$X2037="正常"),"※没填单价，价格状态请选「待补价」",IF(AND($S2037&gt;0,$R2037&gt;0),"△本批有 "&amp;$S2037&amp;" 行没单价，整批运费先挂账没摊",IF(AND($B2037&lt;&gt;"",COUNTIF($B$4:$B$2503,$B2037)&gt;1),"※入库单号重复","")))))))</f>
        <v/>
      </c>
    </row>
    <row r="2038">
      <c r="A2038" s="24">
        <f>IF($G2038="","",COUNTA($G$4:$G2038))</f>
        <v/>
      </c>
      <c r="B2038" s="17" t="n"/>
      <c r="C2038" s="30" t="n"/>
      <c r="D2038" s="17" t="n"/>
      <c r="E2038" s="17" t="n"/>
      <c r="F2038" s="17" t="n"/>
      <c r="G2038" s="17" t="n"/>
      <c r="H2038" s="24">
        <f>IF($G2038="","",IFERROR(VLOOKUP($G2038,物料档案!$A$4:$P$1203,3,0),"※编码不在物料档案里"))</f>
        <v/>
      </c>
      <c r="I2038" s="24">
        <f>IF($G2038="","",IFERROR(VLOOKUP($G2038,物料档案!$A$4:$P$1203,4,0),"※编码不在物料档案里"))</f>
        <v/>
      </c>
      <c r="J2038" s="24">
        <f>IF($G2038="","",IFERROR(VLOOKUP($G2038,物料档案!$A$4:$P$1203,5,0),"※编码不在物料档案里"))</f>
        <v/>
      </c>
      <c r="K2038" s="23" t="n"/>
      <c r="L2038" s="31" t="n"/>
      <c r="M2038" s="24">
        <f>IF($G2038="","",IF($D2038="A国内","CNY","TZS"))</f>
        <v/>
      </c>
      <c r="N2038" s="28">
        <f>IF($G2038="","",IF($D2038="A国内",汇率,1))</f>
        <v/>
      </c>
      <c r="O2038" s="25">
        <f>IF($G2038="","",ROUND(N($K2038)*N($L2038),2))</f>
        <v/>
      </c>
      <c r="P2038" s="26">
        <f>IF($G2038="","",ROUND($O2038*$N2038,0))</f>
        <v/>
      </c>
      <c r="Q2038" s="26">
        <f>IF($G2038="","",SUMIFS($P$4:$P$2503,$E$4:$E$2503,$E2038,$Z$4:$Z$2503,"正常"))</f>
        <v/>
      </c>
      <c r="R2038" s="26">
        <f>IF($G2038="","",SUMIFS(费用台账!$I$4:$I$503,费用台账!$C$4:$C$503,$E2038,费用台账!$J$4:$J$503,"是",费用台账!$K$4:$K$503,"正常"))</f>
        <v/>
      </c>
      <c r="S2038" s="28">
        <f>IF($G2038="","",COUNTIFS($E$4:$E$2503,$E2038,$Z$4:$Z$2503,"正常",$Y$4:$Y$2503,"待补价"))</f>
        <v/>
      </c>
      <c r="T2038" s="26">
        <f>IF($G2038="","",SUMIFS($P$4:$P$2503,$E$4:$E$2503,$E2038,$Z$4:$Z$2503,"正常",$A$4:$A$2503,"&lt;="&amp;$A2038))</f>
        <v/>
      </c>
      <c r="U2038" s="26">
        <f>IF($G2038="","",IF(OR($S2038&gt;0,$Q2038=0,$R2038=0,$Z2038&lt;&gt;"正常"),0,ROUND($T2038/$Q2038*$R2038,0)-ROUND(($T2038-$P2038)/$Q2038*$R2038,0)))</f>
        <v/>
      </c>
      <c r="V2038" s="26">
        <f>IF($G2038="","",ROUND($P2038+$U2038,0))</f>
        <v/>
      </c>
      <c r="W2038" s="26">
        <f>IF($G2038="","",IF(N($K2038)=0,0,ROUND($V2038/$K2038,2)))</f>
        <v/>
      </c>
      <c r="X2038" s="17" t="n"/>
      <c r="Y2038" s="17" t="n"/>
      <c r="Z2038" s="17" t="n"/>
      <c r="AA2038" s="17" t="n"/>
      <c r="AB2038" s="17" t="n"/>
      <c r="AC2038" s="24">
        <f>IF($G2038="","",IF($H2038="※编码不在物料档案里","※物料编码不在档案里",IF(N($K2038)&lt;=0,"※入库数量要大于 0",IF(AND($C2038&lt;&gt;"",$C2038&lt;=结账锁),"※日期早于已结账截止日，不能再录",IF(AND($L2038=0,$X2038="正常"),"※没填单价，价格状态请选「待补价」",IF(AND($S2038&gt;0,$R2038&gt;0),"△本批有 "&amp;$S2038&amp;" 行没单价，整批运费先挂账没摊",IF(AND($B2038&lt;&gt;"",COUNTIF($B$4:$B$2503,$B2038)&gt;1),"※入库单号重复","")))))))</f>
        <v/>
      </c>
    </row>
    <row r="2039">
      <c r="A2039" s="24">
        <f>IF($G2039="","",COUNTA($G$4:$G2039))</f>
        <v/>
      </c>
      <c r="B2039" s="17" t="n"/>
      <c r="C2039" s="30" t="n"/>
      <c r="D2039" s="17" t="n"/>
      <c r="E2039" s="17" t="n"/>
      <c r="F2039" s="17" t="n"/>
      <c r="G2039" s="17" t="n"/>
      <c r="H2039" s="24">
        <f>IF($G2039="","",IFERROR(VLOOKUP($G2039,物料档案!$A$4:$P$1203,3,0),"※编码不在物料档案里"))</f>
        <v/>
      </c>
      <c r="I2039" s="24">
        <f>IF($G2039="","",IFERROR(VLOOKUP($G2039,物料档案!$A$4:$P$1203,4,0),"※编码不在物料档案里"))</f>
        <v/>
      </c>
      <c r="J2039" s="24">
        <f>IF($G2039="","",IFERROR(VLOOKUP($G2039,物料档案!$A$4:$P$1203,5,0),"※编码不在物料档案里"))</f>
        <v/>
      </c>
      <c r="K2039" s="23" t="n"/>
      <c r="L2039" s="31" t="n"/>
      <c r="M2039" s="24">
        <f>IF($G2039="","",IF($D2039="A国内","CNY","TZS"))</f>
        <v/>
      </c>
      <c r="N2039" s="28">
        <f>IF($G2039="","",IF($D2039="A国内",汇率,1))</f>
        <v/>
      </c>
      <c r="O2039" s="25">
        <f>IF($G2039="","",ROUND(N($K2039)*N($L2039),2))</f>
        <v/>
      </c>
      <c r="P2039" s="26">
        <f>IF($G2039="","",ROUND($O2039*$N2039,0))</f>
        <v/>
      </c>
      <c r="Q2039" s="26">
        <f>IF($G2039="","",SUMIFS($P$4:$P$2503,$E$4:$E$2503,$E2039,$Z$4:$Z$2503,"正常"))</f>
        <v/>
      </c>
      <c r="R2039" s="26">
        <f>IF($G2039="","",SUMIFS(费用台账!$I$4:$I$503,费用台账!$C$4:$C$503,$E2039,费用台账!$J$4:$J$503,"是",费用台账!$K$4:$K$503,"正常"))</f>
        <v/>
      </c>
      <c r="S2039" s="28">
        <f>IF($G2039="","",COUNTIFS($E$4:$E$2503,$E2039,$Z$4:$Z$2503,"正常",$Y$4:$Y$2503,"待补价"))</f>
        <v/>
      </c>
      <c r="T2039" s="26">
        <f>IF($G2039="","",SUMIFS($P$4:$P$2503,$E$4:$E$2503,$E2039,$Z$4:$Z$2503,"正常",$A$4:$A$2503,"&lt;="&amp;$A2039))</f>
        <v/>
      </c>
      <c r="U2039" s="26">
        <f>IF($G2039="","",IF(OR($S2039&gt;0,$Q2039=0,$R2039=0,$Z2039&lt;&gt;"正常"),0,ROUND($T2039/$Q2039*$R2039,0)-ROUND(($T2039-$P2039)/$Q2039*$R2039,0)))</f>
        <v/>
      </c>
      <c r="V2039" s="26">
        <f>IF($G2039="","",ROUND($P2039+$U2039,0))</f>
        <v/>
      </c>
      <c r="W2039" s="26">
        <f>IF($G2039="","",IF(N($K2039)=0,0,ROUND($V2039/$K2039,2)))</f>
        <v/>
      </c>
      <c r="X2039" s="17" t="n"/>
      <c r="Y2039" s="17" t="n"/>
      <c r="Z2039" s="17" t="n"/>
      <c r="AA2039" s="17" t="n"/>
      <c r="AB2039" s="17" t="n"/>
      <c r="AC2039" s="24">
        <f>IF($G2039="","",IF($H2039="※编码不在物料档案里","※物料编码不在档案里",IF(N($K2039)&lt;=0,"※入库数量要大于 0",IF(AND($C2039&lt;&gt;"",$C2039&lt;=结账锁),"※日期早于已结账截止日，不能再录",IF(AND($L2039=0,$X2039="正常"),"※没填单价，价格状态请选「待补价」",IF(AND($S2039&gt;0,$R2039&gt;0),"△本批有 "&amp;$S2039&amp;" 行没单价，整批运费先挂账没摊",IF(AND($B2039&lt;&gt;"",COUNTIF($B$4:$B$2503,$B2039)&gt;1),"※入库单号重复","")))))))</f>
        <v/>
      </c>
    </row>
    <row r="2040">
      <c r="A2040" s="24">
        <f>IF($G2040="","",COUNTA($G$4:$G2040))</f>
        <v/>
      </c>
      <c r="B2040" s="17" t="n"/>
      <c r="C2040" s="30" t="n"/>
      <c r="D2040" s="17" t="n"/>
      <c r="E2040" s="17" t="n"/>
      <c r="F2040" s="17" t="n"/>
      <c r="G2040" s="17" t="n"/>
      <c r="H2040" s="24">
        <f>IF($G2040="","",IFERROR(VLOOKUP($G2040,物料档案!$A$4:$P$1203,3,0),"※编码不在物料档案里"))</f>
        <v/>
      </c>
      <c r="I2040" s="24">
        <f>IF($G2040="","",IFERROR(VLOOKUP($G2040,物料档案!$A$4:$P$1203,4,0),"※编码不在物料档案里"))</f>
        <v/>
      </c>
      <c r="J2040" s="24">
        <f>IF($G2040="","",IFERROR(VLOOKUP($G2040,物料档案!$A$4:$P$1203,5,0),"※编码不在物料档案里"))</f>
        <v/>
      </c>
      <c r="K2040" s="23" t="n"/>
      <c r="L2040" s="31" t="n"/>
      <c r="M2040" s="24">
        <f>IF($G2040="","",IF($D2040="A国内","CNY","TZS"))</f>
        <v/>
      </c>
      <c r="N2040" s="28">
        <f>IF($G2040="","",IF($D2040="A国内",汇率,1))</f>
        <v/>
      </c>
      <c r="O2040" s="25">
        <f>IF($G2040="","",ROUND(N($K2040)*N($L2040),2))</f>
        <v/>
      </c>
      <c r="P2040" s="26">
        <f>IF($G2040="","",ROUND($O2040*$N2040,0))</f>
        <v/>
      </c>
      <c r="Q2040" s="26">
        <f>IF($G2040="","",SUMIFS($P$4:$P$2503,$E$4:$E$2503,$E2040,$Z$4:$Z$2503,"正常"))</f>
        <v/>
      </c>
      <c r="R2040" s="26">
        <f>IF($G2040="","",SUMIFS(费用台账!$I$4:$I$503,费用台账!$C$4:$C$503,$E2040,费用台账!$J$4:$J$503,"是",费用台账!$K$4:$K$503,"正常"))</f>
        <v/>
      </c>
      <c r="S2040" s="28">
        <f>IF($G2040="","",COUNTIFS($E$4:$E$2503,$E2040,$Z$4:$Z$2503,"正常",$Y$4:$Y$2503,"待补价"))</f>
        <v/>
      </c>
      <c r="T2040" s="26">
        <f>IF($G2040="","",SUMIFS($P$4:$P$2503,$E$4:$E$2503,$E2040,$Z$4:$Z$2503,"正常",$A$4:$A$2503,"&lt;="&amp;$A2040))</f>
        <v/>
      </c>
      <c r="U2040" s="26">
        <f>IF($G2040="","",IF(OR($S2040&gt;0,$Q2040=0,$R2040=0,$Z2040&lt;&gt;"正常"),0,ROUND($T2040/$Q2040*$R2040,0)-ROUND(($T2040-$P2040)/$Q2040*$R2040,0)))</f>
        <v/>
      </c>
      <c r="V2040" s="26">
        <f>IF($G2040="","",ROUND($P2040+$U2040,0))</f>
        <v/>
      </c>
      <c r="W2040" s="26">
        <f>IF($G2040="","",IF(N($K2040)=0,0,ROUND($V2040/$K2040,2)))</f>
        <v/>
      </c>
      <c r="X2040" s="17" t="n"/>
      <c r="Y2040" s="17" t="n"/>
      <c r="Z2040" s="17" t="n"/>
      <c r="AA2040" s="17" t="n"/>
      <c r="AB2040" s="17" t="n"/>
      <c r="AC2040" s="24">
        <f>IF($G2040="","",IF($H2040="※编码不在物料档案里","※物料编码不在档案里",IF(N($K2040)&lt;=0,"※入库数量要大于 0",IF(AND($C2040&lt;&gt;"",$C2040&lt;=结账锁),"※日期早于已结账截止日，不能再录",IF(AND($L2040=0,$X2040="正常"),"※没填单价，价格状态请选「待补价」",IF(AND($S2040&gt;0,$R2040&gt;0),"△本批有 "&amp;$S2040&amp;" 行没单价，整批运费先挂账没摊",IF(AND($B2040&lt;&gt;"",COUNTIF($B$4:$B$2503,$B2040)&gt;1),"※入库单号重复","")))))))</f>
        <v/>
      </c>
    </row>
    <row r="2041">
      <c r="A2041" s="24">
        <f>IF($G2041="","",COUNTA($G$4:$G2041))</f>
        <v/>
      </c>
      <c r="B2041" s="17" t="n"/>
      <c r="C2041" s="30" t="n"/>
      <c r="D2041" s="17" t="n"/>
      <c r="E2041" s="17" t="n"/>
      <c r="F2041" s="17" t="n"/>
      <c r="G2041" s="17" t="n"/>
      <c r="H2041" s="24">
        <f>IF($G2041="","",IFERROR(VLOOKUP($G2041,物料档案!$A$4:$P$1203,3,0),"※编码不在物料档案里"))</f>
        <v/>
      </c>
      <c r="I2041" s="24">
        <f>IF($G2041="","",IFERROR(VLOOKUP($G2041,物料档案!$A$4:$P$1203,4,0),"※编码不在物料档案里"))</f>
        <v/>
      </c>
      <c r="J2041" s="24">
        <f>IF($G2041="","",IFERROR(VLOOKUP($G2041,物料档案!$A$4:$P$1203,5,0),"※编码不在物料档案里"))</f>
        <v/>
      </c>
      <c r="K2041" s="23" t="n"/>
      <c r="L2041" s="31" t="n"/>
      <c r="M2041" s="24">
        <f>IF($G2041="","",IF($D2041="A国内","CNY","TZS"))</f>
        <v/>
      </c>
      <c r="N2041" s="28">
        <f>IF($G2041="","",IF($D2041="A国内",汇率,1))</f>
        <v/>
      </c>
      <c r="O2041" s="25">
        <f>IF($G2041="","",ROUND(N($K2041)*N($L2041),2))</f>
        <v/>
      </c>
      <c r="P2041" s="26">
        <f>IF($G2041="","",ROUND($O2041*$N2041,0))</f>
        <v/>
      </c>
      <c r="Q2041" s="26">
        <f>IF($G2041="","",SUMIFS($P$4:$P$2503,$E$4:$E$2503,$E2041,$Z$4:$Z$2503,"正常"))</f>
        <v/>
      </c>
      <c r="R2041" s="26">
        <f>IF($G2041="","",SUMIFS(费用台账!$I$4:$I$503,费用台账!$C$4:$C$503,$E2041,费用台账!$J$4:$J$503,"是",费用台账!$K$4:$K$503,"正常"))</f>
        <v/>
      </c>
      <c r="S2041" s="28">
        <f>IF($G2041="","",COUNTIFS($E$4:$E$2503,$E2041,$Z$4:$Z$2503,"正常",$Y$4:$Y$2503,"待补价"))</f>
        <v/>
      </c>
      <c r="T2041" s="26">
        <f>IF($G2041="","",SUMIFS($P$4:$P$2503,$E$4:$E$2503,$E2041,$Z$4:$Z$2503,"正常",$A$4:$A$2503,"&lt;="&amp;$A2041))</f>
        <v/>
      </c>
      <c r="U2041" s="26">
        <f>IF($G2041="","",IF(OR($S2041&gt;0,$Q2041=0,$R2041=0,$Z2041&lt;&gt;"正常"),0,ROUND($T2041/$Q2041*$R2041,0)-ROUND(($T2041-$P2041)/$Q2041*$R2041,0)))</f>
        <v/>
      </c>
      <c r="V2041" s="26">
        <f>IF($G2041="","",ROUND($P2041+$U2041,0))</f>
        <v/>
      </c>
      <c r="W2041" s="26">
        <f>IF($G2041="","",IF(N($K2041)=0,0,ROUND($V2041/$K2041,2)))</f>
        <v/>
      </c>
      <c r="X2041" s="17" t="n"/>
      <c r="Y2041" s="17" t="n"/>
      <c r="Z2041" s="17" t="n"/>
      <c r="AA2041" s="17" t="n"/>
      <c r="AB2041" s="17" t="n"/>
      <c r="AC2041" s="24">
        <f>IF($G2041="","",IF($H2041="※编码不在物料档案里","※物料编码不在档案里",IF(N($K2041)&lt;=0,"※入库数量要大于 0",IF(AND($C2041&lt;&gt;"",$C2041&lt;=结账锁),"※日期早于已结账截止日，不能再录",IF(AND($L2041=0,$X2041="正常"),"※没填单价，价格状态请选「待补价」",IF(AND($S2041&gt;0,$R2041&gt;0),"△本批有 "&amp;$S2041&amp;" 行没单价，整批运费先挂账没摊",IF(AND($B2041&lt;&gt;"",COUNTIF($B$4:$B$2503,$B2041)&gt;1),"※入库单号重复","")))))))</f>
        <v/>
      </c>
    </row>
    <row r="2042">
      <c r="A2042" s="24">
        <f>IF($G2042="","",COUNTA($G$4:$G2042))</f>
        <v/>
      </c>
      <c r="B2042" s="17" t="n"/>
      <c r="C2042" s="30" t="n"/>
      <c r="D2042" s="17" t="n"/>
      <c r="E2042" s="17" t="n"/>
      <c r="F2042" s="17" t="n"/>
      <c r="G2042" s="17" t="n"/>
      <c r="H2042" s="24">
        <f>IF($G2042="","",IFERROR(VLOOKUP($G2042,物料档案!$A$4:$P$1203,3,0),"※编码不在物料档案里"))</f>
        <v/>
      </c>
      <c r="I2042" s="24">
        <f>IF($G2042="","",IFERROR(VLOOKUP($G2042,物料档案!$A$4:$P$1203,4,0),"※编码不在物料档案里"))</f>
        <v/>
      </c>
      <c r="J2042" s="24">
        <f>IF($G2042="","",IFERROR(VLOOKUP($G2042,物料档案!$A$4:$P$1203,5,0),"※编码不在物料档案里"))</f>
        <v/>
      </c>
      <c r="K2042" s="23" t="n"/>
      <c r="L2042" s="31" t="n"/>
      <c r="M2042" s="24">
        <f>IF($G2042="","",IF($D2042="A国内","CNY","TZS"))</f>
        <v/>
      </c>
      <c r="N2042" s="28">
        <f>IF($G2042="","",IF($D2042="A国内",汇率,1))</f>
        <v/>
      </c>
      <c r="O2042" s="25">
        <f>IF($G2042="","",ROUND(N($K2042)*N($L2042),2))</f>
        <v/>
      </c>
      <c r="P2042" s="26">
        <f>IF($G2042="","",ROUND($O2042*$N2042,0))</f>
        <v/>
      </c>
      <c r="Q2042" s="26">
        <f>IF($G2042="","",SUMIFS($P$4:$P$2503,$E$4:$E$2503,$E2042,$Z$4:$Z$2503,"正常"))</f>
        <v/>
      </c>
      <c r="R2042" s="26">
        <f>IF($G2042="","",SUMIFS(费用台账!$I$4:$I$503,费用台账!$C$4:$C$503,$E2042,费用台账!$J$4:$J$503,"是",费用台账!$K$4:$K$503,"正常"))</f>
        <v/>
      </c>
      <c r="S2042" s="28">
        <f>IF($G2042="","",COUNTIFS($E$4:$E$2503,$E2042,$Z$4:$Z$2503,"正常",$Y$4:$Y$2503,"待补价"))</f>
        <v/>
      </c>
      <c r="T2042" s="26">
        <f>IF($G2042="","",SUMIFS($P$4:$P$2503,$E$4:$E$2503,$E2042,$Z$4:$Z$2503,"正常",$A$4:$A$2503,"&lt;="&amp;$A2042))</f>
        <v/>
      </c>
      <c r="U2042" s="26">
        <f>IF($G2042="","",IF(OR($S2042&gt;0,$Q2042=0,$R2042=0,$Z2042&lt;&gt;"正常"),0,ROUND($T2042/$Q2042*$R2042,0)-ROUND(($T2042-$P2042)/$Q2042*$R2042,0)))</f>
        <v/>
      </c>
      <c r="V2042" s="26">
        <f>IF($G2042="","",ROUND($P2042+$U2042,0))</f>
        <v/>
      </c>
      <c r="W2042" s="26">
        <f>IF($G2042="","",IF(N($K2042)=0,0,ROUND($V2042/$K2042,2)))</f>
        <v/>
      </c>
      <c r="X2042" s="17" t="n"/>
      <c r="Y2042" s="17" t="n"/>
      <c r="Z2042" s="17" t="n"/>
      <c r="AA2042" s="17" t="n"/>
      <c r="AB2042" s="17" t="n"/>
      <c r="AC2042" s="24">
        <f>IF($G2042="","",IF($H2042="※编码不在物料档案里","※物料编码不在档案里",IF(N($K2042)&lt;=0,"※入库数量要大于 0",IF(AND($C2042&lt;&gt;"",$C2042&lt;=结账锁),"※日期早于已结账截止日，不能再录",IF(AND($L2042=0,$X2042="正常"),"※没填单价，价格状态请选「待补价」",IF(AND($S2042&gt;0,$R2042&gt;0),"△本批有 "&amp;$S2042&amp;" 行没单价，整批运费先挂账没摊",IF(AND($B2042&lt;&gt;"",COUNTIF($B$4:$B$2503,$B2042)&gt;1),"※入库单号重复","")))))))</f>
        <v/>
      </c>
    </row>
    <row r="2043">
      <c r="A2043" s="24">
        <f>IF($G2043="","",COUNTA($G$4:$G2043))</f>
        <v/>
      </c>
      <c r="B2043" s="17" t="n"/>
      <c r="C2043" s="30" t="n"/>
      <c r="D2043" s="17" t="n"/>
      <c r="E2043" s="17" t="n"/>
      <c r="F2043" s="17" t="n"/>
      <c r="G2043" s="17" t="n"/>
      <c r="H2043" s="24">
        <f>IF($G2043="","",IFERROR(VLOOKUP($G2043,物料档案!$A$4:$P$1203,3,0),"※编码不在物料档案里"))</f>
        <v/>
      </c>
      <c r="I2043" s="24">
        <f>IF($G2043="","",IFERROR(VLOOKUP($G2043,物料档案!$A$4:$P$1203,4,0),"※编码不在物料档案里"))</f>
        <v/>
      </c>
      <c r="J2043" s="24">
        <f>IF($G2043="","",IFERROR(VLOOKUP($G2043,物料档案!$A$4:$P$1203,5,0),"※编码不在物料档案里"))</f>
        <v/>
      </c>
      <c r="K2043" s="23" t="n"/>
      <c r="L2043" s="31" t="n"/>
      <c r="M2043" s="24">
        <f>IF($G2043="","",IF($D2043="A国内","CNY","TZS"))</f>
        <v/>
      </c>
      <c r="N2043" s="28">
        <f>IF($G2043="","",IF($D2043="A国内",汇率,1))</f>
        <v/>
      </c>
      <c r="O2043" s="25">
        <f>IF($G2043="","",ROUND(N($K2043)*N($L2043),2))</f>
        <v/>
      </c>
      <c r="P2043" s="26">
        <f>IF($G2043="","",ROUND($O2043*$N2043,0))</f>
        <v/>
      </c>
      <c r="Q2043" s="26">
        <f>IF($G2043="","",SUMIFS($P$4:$P$2503,$E$4:$E$2503,$E2043,$Z$4:$Z$2503,"正常"))</f>
        <v/>
      </c>
      <c r="R2043" s="26">
        <f>IF($G2043="","",SUMIFS(费用台账!$I$4:$I$503,费用台账!$C$4:$C$503,$E2043,费用台账!$J$4:$J$503,"是",费用台账!$K$4:$K$503,"正常"))</f>
        <v/>
      </c>
      <c r="S2043" s="28">
        <f>IF($G2043="","",COUNTIFS($E$4:$E$2503,$E2043,$Z$4:$Z$2503,"正常",$Y$4:$Y$2503,"待补价"))</f>
        <v/>
      </c>
      <c r="T2043" s="26">
        <f>IF($G2043="","",SUMIFS($P$4:$P$2503,$E$4:$E$2503,$E2043,$Z$4:$Z$2503,"正常",$A$4:$A$2503,"&lt;="&amp;$A2043))</f>
        <v/>
      </c>
      <c r="U2043" s="26">
        <f>IF($G2043="","",IF(OR($S2043&gt;0,$Q2043=0,$R2043=0,$Z2043&lt;&gt;"正常"),0,ROUND($T2043/$Q2043*$R2043,0)-ROUND(($T2043-$P2043)/$Q2043*$R2043,0)))</f>
        <v/>
      </c>
      <c r="V2043" s="26">
        <f>IF($G2043="","",ROUND($P2043+$U2043,0))</f>
        <v/>
      </c>
      <c r="W2043" s="26">
        <f>IF($G2043="","",IF(N($K2043)=0,0,ROUND($V2043/$K2043,2)))</f>
        <v/>
      </c>
      <c r="X2043" s="17" t="n"/>
      <c r="Y2043" s="17" t="n"/>
      <c r="Z2043" s="17" t="n"/>
      <c r="AA2043" s="17" t="n"/>
      <c r="AB2043" s="17" t="n"/>
      <c r="AC2043" s="24">
        <f>IF($G2043="","",IF($H2043="※编码不在物料档案里","※物料编码不在档案里",IF(N($K2043)&lt;=0,"※入库数量要大于 0",IF(AND($C2043&lt;&gt;"",$C2043&lt;=结账锁),"※日期早于已结账截止日，不能再录",IF(AND($L2043=0,$X2043="正常"),"※没填单价，价格状态请选「待补价」",IF(AND($S2043&gt;0,$R2043&gt;0),"△本批有 "&amp;$S2043&amp;" 行没单价，整批运费先挂账没摊",IF(AND($B2043&lt;&gt;"",COUNTIF($B$4:$B$2503,$B2043)&gt;1),"※入库单号重复","")))))))</f>
        <v/>
      </c>
    </row>
    <row r="2044">
      <c r="A2044" s="24">
        <f>IF($G2044="","",COUNTA($G$4:$G2044))</f>
        <v/>
      </c>
      <c r="B2044" s="17" t="n"/>
      <c r="C2044" s="30" t="n"/>
      <c r="D2044" s="17" t="n"/>
      <c r="E2044" s="17" t="n"/>
      <c r="F2044" s="17" t="n"/>
      <c r="G2044" s="17" t="n"/>
      <c r="H2044" s="24">
        <f>IF($G2044="","",IFERROR(VLOOKUP($G2044,物料档案!$A$4:$P$1203,3,0),"※编码不在物料档案里"))</f>
        <v/>
      </c>
      <c r="I2044" s="24">
        <f>IF($G2044="","",IFERROR(VLOOKUP($G2044,物料档案!$A$4:$P$1203,4,0),"※编码不在物料档案里"))</f>
        <v/>
      </c>
      <c r="J2044" s="24">
        <f>IF($G2044="","",IFERROR(VLOOKUP($G2044,物料档案!$A$4:$P$1203,5,0),"※编码不在物料档案里"))</f>
        <v/>
      </c>
      <c r="K2044" s="23" t="n"/>
      <c r="L2044" s="31" t="n"/>
      <c r="M2044" s="24">
        <f>IF($G2044="","",IF($D2044="A国内","CNY","TZS"))</f>
        <v/>
      </c>
      <c r="N2044" s="28">
        <f>IF($G2044="","",IF($D2044="A国内",汇率,1))</f>
        <v/>
      </c>
      <c r="O2044" s="25">
        <f>IF($G2044="","",ROUND(N($K2044)*N($L2044),2))</f>
        <v/>
      </c>
      <c r="P2044" s="26">
        <f>IF($G2044="","",ROUND($O2044*$N2044,0))</f>
        <v/>
      </c>
      <c r="Q2044" s="26">
        <f>IF($G2044="","",SUMIFS($P$4:$P$2503,$E$4:$E$2503,$E2044,$Z$4:$Z$2503,"正常"))</f>
        <v/>
      </c>
      <c r="R2044" s="26">
        <f>IF($G2044="","",SUMIFS(费用台账!$I$4:$I$503,费用台账!$C$4:$C$503,$E2044,费用台账!$J$4:$J$503,"是",费用台账!$K$4:$K$503,"正常"))</f>
        <v/>
      </c>
      <c r="S2044" s="28">
        <f>IF($G2044="","",COUNTIFS($E$4:$E$2503,$E2044,$Z$4:$Z$2503,"正常",$Y$4:$Y$2503,"待补价"))</f>
        <v/>
      </c>
      <c r="T2044" s="26">
        <f>IF($G2044="","",SUMIFS($P$4:$P$2503,$E$4:$E$2503,$E2044,$Z$4:$Z$2503,"正常",$A$4:$A$2503,"&lt;="&amp;$A2044))</f>
        <v/>
      </c>
      <c r="U2044" s="26">
        <f>IF($G2044="","",IF(OR($S2044&gt;0,$Q2044=0,$R2044=0,$Z2044&lt;&gt;"正常"),0,ROUND($T2044/$Q2044*$R2044,0)-ROUND(($T2044-$P2044)/$Q2044*$R2044,0)))</f>
        <v/>
      </c>
      <c r="V2044" s="26">
        <f>IF($G2044="","",ROUND($P2044+$U2044,0))</f>
        <v/>
      </c>
      <c r="W2044" s="26">
        <f>IF($G2044="","",IF(N($K2044)=0,0,ROUND($V2044/$K2044,2)))</f>
        <v/>
      </c>
      <c r="X2044" s="17" t="n"/>
      <c r="Y2044" s="17" t="n"/>
      <c r="Z2044" s="17" t="n"/>
      <c r="AA2044" s="17" t="n"/>
      <c r="AB2044" s="17" t="n"/>
      <c r="AC2044" s="24">
        <f>IF($G2044="","",IF($H2044="※编码不在物料档案里","※物料编码不在档案里",IF(N($K2044)&lt;=0,"※入库数量要大于 0",IF(AND($C2044&lt;&gt;"",$C2044&lt;=结账锁),"※日期早于已结账截止日，不能再录",IF(AND($L2044=0,$X2044="正常"),"※没填单价，价格状态请选「待补价」",IF(AND($S2044&gt;0,$R2044&gt;0),"△本批有 "&amp;$S2044&amp;" 行没单价，整批运费先挂账没摊",IF(AND($B2044&lt;&gt;"",COUNTIF($B$4:$B$2503,$B2044)&gt;1),"※入库单号重复","")))))))</f>
        <v/>
      </c>
    </row>
    <row r="2045">
      <c r="A2045" s="24">
        <f>IF($G2045="","",COUNTA($G$4:$G2045))</f>
        <v/>
      </c>
      <c r="B2045" s="17" t="n"/>
      <c r="C2045" s="30" t="n"/>
      <c r="D2045" s="17" t="n"/>
      <c r="E2045" s="17" t="n"/>
      <c r="F2045" s="17" t="n"/>
      <c r="G2045" s="17" t="n"/>
      <c r="H2045" s="24">
        <f>IF($G2045="","",IFERROR(VLOOKUP($G2045,物料档案!$A$4:$P$1203,3,0),"※编码不在物料档案里"))</f>
        <v/>
      </c>
      <c r="I2045" s="24">
        <f>IF($G2045="","",IFERROR(VLOOKUP($G2045,物料档案!$A$4:$P$1203,4,0),"※编码不在物料档案里"))</f>
        <v/>
      </c>
      <c r="J2045" s="24">
        <f>IF($G2045="","",IFERROR(VLOOKUP($G2045,物料档案!$A$4:$P$1203,5,0),"※编码不在物料档案里"))</f>
        <v/>
      </c>
      <c r="K2045" s="23" t="n"/>
      <c r="L2045" s="31" t="n"/>
      <c r="M2045" s="24">
        <f>IF($G2045="","",IF($D2045="A国内","CNY","TZS"))</f>
        <v/>
      </c>
      <c r="N2045" s="28">
        <f>IF($G2045="","",IF($D2045="A国内",汇率,1))</f>
        <v/>
      </c>
      <c r="O2045" s="25">
        <f>IF($G2045="","",ROUND(N($K2045)*N($L2045),2))</f>
        <v/>
      </c>
      <c r="P2045" s="26">
        <f>IF($G2045="","",ROUND($O2045*$N2045,0))</f>
        <v/>
      </c>
      <c r="Q2045" s="26">
        <f>IF($G2045="","",SUMIFS($P$4:$P$2503,$E$4:$E$2503,$E2045,$Z$4:$Z$2503,"正常"))</f>
        <v/>
      </c>
      <c r="R2045" s="26">
        <f>IF($G2045="","",SUMIFS(费用台账!$I$4:$I$503,费用台账!$C$4:$C$503,$E2045,费用台账!$J$4:$J$503,"是",费用台账!$K$4:$K$503,"正常"))</f>
        <v/>
      </c>
      <c r="S2045" s="28">
        <f>IF($G2045="","",COUNTIFS($E$4:$E$2503,$E2045,$Z$4:$Z$2503,"正常",$Y$4:$Y$2503,"待补价"))</f>
        <v/>
      </c>
      <c r="T2045" s="26">
        <f>IF($G2045="","",SUMIFS($P$4:$P$2503,$E$4:$E$2503,$E2045,$Z$4:$Z$2503,"正常",$A$4:$A$2503,"&lt;="&amp;$A2045))</f>
        <v/>
      </c>
      <c r="U2045" s="26">
        <f>IF($G2045="","",IF(OR($S2045&gt;0,$Q2045=0,$R2045=0,$Z2045&lt;&gt;"正常"),0,ROUND($T2045/$Q2045*$R2045,0)-ROUND(($T2045-$P2045)/$Q2045*$R2045,0)))</f>
        <v/>
      </c>
      <c r="V2045" s="26">
        <f>IF($G2045="","",ROUND($P2045+$U2045,0))</f>
        <v/>
      </c>
      <c r="W2045" s="26">
        <f>IF($G2045="","",IF(N($K2045)=0,0,ROUND($V2045/$K2045,2)))</f>
        <v/>
      </c>
      <c r="X2045" s="17" t="n"/>
      <c r="Y2045" s="17" t="n"/>
      <c r="Z2045" s="17" t="n"/>
      <c r="AA2045" s="17" t="n"/>
      <c r="AB2045" s="17" t="n"/>
      <c r="AC2045" s="24">
        <f>IF($G2045="","",IF($H2045="※编码不在物料档案里","※物料编码不在档案里",IF(N($K2045)&lt;=0,"※入库数量要大于 0",IF(AND($C2045&lt;&gt;"",$C2045&lt;=结账锁),"※日期早于已结账截止日，不能再录",IF(AND($L2045=0,$X2045="正常"),"※没填单价，价格状态请选「待补价」",IF(AND($S2045&gt;0,$R2045&gt;0),"△本批有 "&amp;$S2045&amp;" 行没单价，整批运费先挂账没摊",IF(AND($B2045&lt;&gt;"",COUNTIF($B$4:$B$2503,$B2045)&gt;1),"※入库单号重复","")))))))</f>
        <v/>
      </c>
    </row>
    <row r="2046">
      <c r="A2046" s="24">
        <f>IF($G2046="","",COUNTA($G$4:$G2046))</f>
        <v/>
      </c>
      <c r="B2046" s="17" t="n"/>
      <c r="C2046" s="30" t="n"/>
      <c r="D2046" s="17" t="n"/>
      <c r="E2046" s="17" t="n"/>
      <c r="F2046" s="17" t="n"/>
      <c r="G2046" s="17" t="n"/>
      <c r="H2046" s="24">
        <f>IF($G2046="","",IFERROR(VLOOKUP($G2046,物料档案!$A$4:$P$1203,3,0),"※编码不在物料档案里"))</f>
        <v/>
      </c>
      <c r="I2046" s="24">
        <f>IF($G2046="","",IFERROR(VLOOKUP($G2046,物料档案!$A$4:$P$1203,4,0),"※编码不在物料档案里"))</f>
        <v/>
      </c>
      <c r="J2046" s="24">
        <f>IF($G2046="","",IFERROR(VLOOKUP($G2046,物料档案!$A$4:$P$1203,5,0),"※编码不在物料档案里"))</f>
        <v/>
      </c>
      <c r="K2046" s="23" t="n"/>
      <c r="L2046" s="31" t="n"/>
      <c r="M2046" s="24">
        <f>IF($G2046="","",IF($D2046="A国内","CNY","TZS"))</f>
        <v/>
      </c>
      <c r="N2046" s="28">
        <f>IF($G2046="","",IF($D2046="A国内",汇率,1))</f>
        <v/>
      </c>
      <c r="O2046" s="25">
        <f>IF($G2046="","",ROUND(N($K2046)*N($L2046),2))</f>
        <v/>
      </c>
      <c r="P2046" s="26">
        <f>IF($G2046="","",ROUND($O2046*$N2046,0))</f>
        <v/>
      </c>
      <c r="Q2046" s="26">
        <f>IF($G2046="","",SUMIFS($P$4:$P$2503,$E$4:$E$2503,$E2046,$Z$4:$Z$2503,"正常"))</f>
        <v/>
      </c>
      <c r="R2046" s="26">
        <f>IF($G2046="","",SUMIFS(费用台账!$I$4:$I$503,费用台账!$C$4:$C$503,$E2046,费用台账!$J$4:$J$503,"是",费用台账!$K$4:$K$503,"正常"))</f>
        <v/>
      </c>
      <c r="S2046" s="28">
        <f>IF($G2046="","",COUNTIFS($E$4:$E$2503,$E2046,$Z$4:$Z$2503,"正常",$Y$4:$Y$2503,"待补价"))</f>
        <v/>
      </c>
      <c r="T2046" s="26">
        <f>IF($G2046="","",SUMIFS($P$4:$P$2503,$E$4:$E$2503,$E2046,$Z$4:$Z$2503,"正常",$A$4:$A$2503,"&lt;="&amp;$A2046))</f>
        <v/>
      </c>
      <c r="U2046" s="26">
        <f>IF($G2046="","",IF(OR($S2046&gt;0,$Q2046=0,$R2046=0,$Z2046&lt;&gt;"正常"),0,ROUND($T2046/$Q2046*$R2046,0)-ROUND(($T2046-$P2046)/$Q2046*$R2046,0)))</f>
        <v/>
      </c>
      <c r="V2046" s="26">
        <f>IF($G2046="","",ROUND($P2046+$U2046,0))</f>
        <v/>
      </c>
      <c r="W2046" s="26">
        <f>IF($G2046="","",IF(N($K2046)=0,0,ROUND($V2046/$K2046,2)))</f>
        <v/>
      </c>
      <c r="X2046" s="17" t="n"/>
      <c r="Y2046" s="17" t="n"/>
      <c r="Z2046" s="17" t="n"/>
      <c r="AA2046" s="17" t="n"/>
      <c r="AB2046" s="17" t="n"/>
      <c r="AC2046" s="24">
        <f>IF($G2046="","",IF($H2046="※编码不在物料档案里","※物料编码不在档案里",IF(N($K2046)&lt;=0,"※入库数量要大于 0",IF(AND($C2046&lt;&gt;"",$C2046&lt;=结账锁),"※日期早于已结账截止日，不能再录",IF(AND($L2046=0,$X2046="正常"),"※没填单价，价格状态请选「待补价」",IF(AND($S2046&gt;0,$R2046&gt;0),"△本批有 "&amp;$S2046&amp;" 行没单价，整批运费先挂账没摊",IF(AND($B2046&lt;&gt;"",COUNTIF($B$4:$B$2503,$B2046)&gt;1),"※入库单号重复","")))))))</f>
        <v/>
      </c>
    </row>
    <row r="2047">
      <c r="A2047" s="24">
        <f>IF($G2047="","",COUNTA($G$4:$G2047))</f>
        <v/>
      </c>
      <c r="B2047" s="17" t="n"/>
      <c r="C2047" s="30" t="n"/>
      <c r="D2047" s="17" t="n"/>
      <c r="E2047" s="17" t="n"/>
      <c r="F2047" s="17" t="n"/>
      <c r="G2047" s="17" t="n"/>
      <c r="H2047" s="24">
        <f>IF($G2047="","",IFERROR(VLOOKUP($G2047,物料档案!$A$4:$P$1203,3,0),"※编码不在物料档案里"))</f>
        <v/>
      </c>
      <c r="I2047" s="24">
        <f>IF($G2047="","",IFERROR(VLOOKUP($G2047,物料档案!$A$4:$P$1203,4,0),"※编码不在物料档案里"))</f>
        <v/>
      </c>
      <c r="J2047" s="24">
        <f>IF($G2047="","",IFERROR(VLOOKUP($G2047,物料档案!$A$4:$P$1203,5,0),"※编码不在物料档案里"))</f>
        <v/>
      </c>
      <c r="K2047" s="23" t="n"/>
      <c r="L2047" s="31" t="n"/>
      <c r="M2047" s="24">
        <f>IF($G2047="","",IF($D2047="A国内","CNY","TZS"))</f>
        <v/>
      </c>
      <c r="N2047" s="28">
        <f>IF($G2047="","",IF($D2047="A国内",汇率,1))</f>
        <v/>
      </c>
      <c r="O2047" s="25">
        <f>IF($G2047="","",ROUND(N($K2047)*N($L2047),2))</f>
        <v/>
      </c>
      <c r="P2047" s="26">
        <f>IF($G2047="","",ROUND($O2047*$N2047,0))</f>
        <v/>
      </c>
      <c r="Q2047" s="26">
        <f>IF($G2047="","",SUMIFS($P$4:$P$2503,$E$4:$E$2503,$E2047,$Z$4:$Z$2503,"正常"))</f>
        <v/>
      </c>
      <c r="R2047" s="26">
        <f>IF($G2047="","",SUMIFS(费用台账!$I$4:$I$503,费用台账!$C$4:$C$503,$E2047,费用台账!$J$4:$J$503,"是",费用台账!$K$4:$K$503,"正常"))</f>
        <v/>
      </c>
      <c r="S2047" s="28">
        <f>IF($G2047="","",COUNTIFS($E$4:$E$2503,$E2047,$Z$4:$Z$2503,"正常",$Y$4:$Y$2503,"待补价"))</f>
        <v/>
      </c>
      <c r="T2047" s="26">
        <f>IF($G2047="","",SUMIFS($P$4:$P$2503,$E$4:$E$2503,$E2047,$Z$4:$Z$2503,"正常",$A$4:$A$2503,"&lt;="&amp;$A2047))</f>
        <v/>
      </c>
      <c r="U2047" s="26">
        <f>IF($G2047="","",IF(OR($S2047&gt;0,$Q2047=0,$R2047=0,$Z2047&lt;&gt;"正常"),0,ROUND($T2047/$Q2047*$R2047,0)-ROUND(($T2047-$P2047)/$Q2047*$R2047,0)))</f>
        <v/>
      </c>
      <c r="V2047" s="26">
        <f>IF($G2047="","",ROUND($P2047+$U2047,0))</f>
        <v/>
      </c>
      <c r="W2047" s="26">
        <f>IF($G2047="","",IF(N($K2047)=0,0,ROUND($V2047/$K2047,2)))</f>
        <v/>
      </c>
      <c r="X2047" s="17" t="n"/>
      <c r="Y2047" s="17" t="n"/>
      <c r="Z2047" s="17" t="n"/>
      <c r="AA2047" s="17" t="n"/>
      <c r="AB2047" s="17" t="n"/>
      <c r="AC2047" s="24">
        <f>IF($G2047="","",IF($H2047="※编码不在物料档案里","※物料编码不在档案里",IF(N($K2047)&lt;=0,"※入库数量要大于 0",IF(AND($C2047&lt;&gt;"",$C2047&lt;=结账锁),"※日期早于已结账截止日，不能再录",IF(AND($L2047=0,$X2047="正常"),"※没填单价，价格状态请选「待补价」",IF(AND($S2047&gt;0,$R2047&gt;0),"△本批有 "&amp;$S2047&amp;" 行没单价，整批运费先挂账没摊",IF(AND($B2047&lt;&gt;"",COUNTIF($B$4:$B$2503,$B2047)&gt;1),"※入库单号重复","")))))))</f>
        <v/>
      </c>
    </row>
    <row r="2048">
      <c r="A2048" s="24">
        <f>IF($G2048="","",COUNTA($G$4:$G2048))</f>
        <v/>
      </c>
      <c r="B2048" s="17" t="n"/>
      <c r="C2048" s="30" t="n"/>
      <c r="D2048" s="17" t="n"/>
      <c r="E2048" s="17" t="n"/>
      <c r="F2048" s="17" t="n"/>
      <c r="G2048" s="17" t="n"/>
      <c r="H2048" s="24">
        <f>IF($G2048="","",IFERROR(VLOOKUP($G2048,物料档案!$A$4:$P$1203,3,0),"※编码不在物料档案里"))</f>
        <v/>
      </c>
      <c r="I2048" s="24">
        <f>IF($G2048="","",IFERROR(VLOOKUP($G2048,物料档案!$A$4:$P$1203,4,0),"※编码不在物料档案里"))</f>
        <v/>
      </c>
      <c r="J2048" s="24">
        <f>IF($G2048="","",IFERROR(VLOOKUP($G2048,物料档案!$A$4:$P$1203,5,0),"※编码不在物料档案里"))</f>
        <v/>
      </c>
      <c r="K2048" s="23" t="n"/>
      <c r="L2048" s="31" t="n"/>
      <c r="M2048" s="24">
        <f>IF($G2048="","",IF($D2048="A国内","CNY","TZS"))</f>
        <v/>
      </c>
      <c r="N2048" s="28">
        <f>IF($G2048="","",IF($D2048="A国内",汇率,1))</f>
        <v/>
      </c>
      <c r="O2048" s="25">
        <f>IF($G2048="","",ROUND(N($K2048)*N($L2048),2))</f>
        <v/>
      </c>
      <c r="P2048" s="26">
        <f>IF($G2048="","",ROUND($O2048*$N2048,0))</f>
        <v/>
      </c>
      <c r="Q2048" s="26">
        <f>IF($G2048="","",SUMIFS($P$4:$P$2503,$E$4:$E$2503,$E2048,$Z$4:$Z$2503,"正常"))</f>
        <v/>
      </c>
      <c r="R2048" s="26">
        <f>IF($G2048="","",SUMIFS(费用台账!$I$4:$I$503,费用台账!$C$4:$C$503,$E2048,费用台账!$J$4:$J$503,"是",费用台账!$K$4:$K$503,"正常"))</f>
        <v/>
      </c>
      <c r="S2048" s="28">
        <f>IF($G2048="","",COUNTIFS($E$4:$E$2503,$E2048,$Z$4:$Z$2503,"正常",$Y$4:$Y$2503,"待补价"))</f>
        <v/>
      </c>
      <c r="T2048" s="26">
        <f>IF($G2048="","",SUMIFS($P$4:$P$2503,$E$4:$E$2503,$E2048,$Z$4:$Z$2503,"正常",$A$4:$A$2503,"&lt;="&amp;$A2048))</f>
        <v/>
      </c>
      <c r="U2048" s="26">
        <f>IF($G2048="","",IF(OR($S2048&gt;0,$Q2048=0,$R2048=0,$Z2048&lt;&gt;"正常"),0,ROUND($T2048/$Q2048*$R2048,0)-ROUND(($T2048-$P2048)/$Q2048*$R2048,0)))</f>
        <v/>
      </c>
      <c r="V2048" s="26">
        <f>IF($G2048="","",ROUND($P2048+$U2048,0))</f>
        <v/>
      </c>
      <c r="W2048" s="26">
        <f>IF($G2048="","",IF(N($K2048)=0,0,ROUND($V2048/$K2048,2)))</f>
        <v/>
      </c>
      <c r="X2048" s="17" t="n"/>
      <c r="Y2048" s="17" t="n"/>
      <c r="Z2048" s="17" t="n"/>
      <c r="AA2048" s="17" t="n"/>
      <c r="AB2048" s="17" t="n"/>
      <c r="AC2048" s="24">
        <f>IF($G2048="","",IF($H2048="※编码不在物料档案里","※物料编码不在档案里",IF(N($K2048)&lt;=0,"※入库数量要大于 0",IF(AND($C2048&lt;&gt;"",$C2048&lt;=结账锁),"※日期早于已结账截止日，不能再录",IF(AND($L2048=0,$X2048="正常"),"※没填单价，价格状态请选「待补价」",IF(AND($S2048&gt;0,$R2048&gt;0),"△本批有 "&amp;$S2048&amp;" 行没单价，整批运费先挂账没摊",IF(AND($B2048&lt;&gt;"",COUNTIF($B$4:$B$2503,$B2048)&gt;1),"※入库单号重复","")))))))</f>
        <v/>
      </c>
    </row>
    <row r="2049">
      <c r="A2049" s="24">
        <f>IF($G2049="","",COUNTA($G$4:$G2049))</f>
        <v/>
      </c>
      <c r="B2049" s="17" t="n"/>
      <c r="C2049" s="30" t="n"/>
      <c r="D2049" s="17" t="n"/>
      <c r="E2049" s="17" t="n"/>
      <c r="F2049" s="17" t="n"/>
      <c r="G2049" s="17" t="n"/>
      <c r="H2049" s="24">
        <f>IF($G2049="","",IFERROR(VLOOKUP($G2049,物料档案!$A$4:$P$1203,3,0),"※编码不在物料档案里"))</f>
        <v/>
      </c>
      <c r="I2049" s="24">
        <f>IF($G2049="","",IFERROR(VLOOKUP($G2049,物料档案!$A$4:$P$1203,4,0),"※编码不在物料档案里"))</f>
        <v/>
      </c>
      <c r="J2049" s="24">
        <f>IF($G2049="","",IFERROR(VLOOKUP($G2049,物料档案!$A$4:$P$1203,5,0),"※编码不在物料档案里"))</f>
        <v/>
      </c>
      <c r="K2049" s="23" t="n"/>
      <c r="L2049" s="31" t="n"/>
      <c r="M2049" s="24">
        <f>IF($G2049="","",IF($D2049="A国内","CNY","TZS"))</f>
        <v/>
      </c>
      <c r="N2049" s="28">
        <f>IF($G2049="","",IF($D2049="A国内",汇率,1))</f>
        <v/>
      </c>
      <c r="O2049" s="25">
        <f>IF($G2049="","",ROUND(N($K2049)*N($L2049),2))</f>
        <v/>
      </c>
      <c r="P2049" s="26">
        <f>IF($G2049="","",ROUND($O2049*$N2049,0))</f>
        <v/>
      </c>
      <c r="Q2049" s="26">
        <f>IF($G2049="","",SUMIFS($P$4:$P$2503,$E$4:$E$2503,$E2049,$Z$4:$Z$2503,"正常"))</f>
        <v/>
      </c>
      <c r="R2049" s="26">
        <f>IF($G2049="","",SUMIFS(费用台账!$I$4:$I$503,费用台账!$C$4:$C$503,$E2049,费用台账!$J$4:$J$503,"是",费用台账!$K$4:$K$503,"正常"))</f>
        <v/>
      </c>
      <c r="S2049" s="28">
        <f>IF($G2049="","",COUNTIFS($E$4:$E$2503,$E2049,$Z$4:$Z$2503,"正常",$Y$4:$Y$2503,"待补价"))</f>
        <v/>
      </c>
      <c r="T2049" s="26">
        <f>IF($G2049="","",SUMIFS($P$4:$P$2503,$E$4:$E$2503,$E2049,$Z$4:$Z$2503,"正常",$A$4:$A$2503,"&lt;="&amp;$A2049))</f>
        <v/>
      </c>
      <c r="U2049" s="26">
        <f>IF($G2049="","",IF(OR($S2049&gt;0,$Q2049=0,$R2049=0,$Z2049&lt;&gt;"正常"),0,ROUND($T2049/$Q2049*$R2049,0)-ROUND(($T2049-$P2049)/$Q2049*$R2049,0)))</f>
        <v/>
      </c>
      <c r="V2049" s="26">
        <f>IF($G2049="","",ROUND($P2049+$U2049,0))</f>
        <v/>
      </c>
      <c r="W2049" s="26">
        <f>IF($G2049="","",IF(N($K2049)=0,0,ROUND($V2049/$K2049,2)))</f>
        <v/>
      </c>
      <c r="X2049" s="17" t="n"/>
      <c r="Y2049" s="17" t="n"/>
      <c r="Z2049" s="17" t="n"/>
      <c r="AA2049" s="17" t="n"/>
      <c r="AB2049" s="17" t="n"/>
      <c r="AC2049" s="24">
        <f>IF($G2049="","",IF($H2049="※编码不在物料档案里","※物料编码不在档案里",IF(N($K2049)&lt;=0,"※入库数量要大于 0",IF(AND($C2049&lt;&gt;"",$C2049&lt;=结账锁),"※日期早于已结账截止日，不能再录",IF(AND($L2049=0,$X2049="正常"),"※没填单价，价格状态请选「待补价」",IF(AND($S2049&gt;0,$R2049&gt;0),"△本批有 "&amp;$S2049&amp;" 行没单价，整批运费先挂账没摊",IF(AND($B2049&lt;&gt;"",COUNTIF($B$4:$B$2503,$B2049)&gt;1),"※入库单号重复","")))))))</f>
        <v/>
      </c>
    </row>
    <row r="2050">
      <c r="A2050" s="24">
        <f>IF($G2050="","",COUNTA($G$4:$G2050))</f>
        <v/>
      </c>
      <c r="B2050" s="17" t="n"/>
      <c r="C2050" s="30" t="n"/>
      <c r="D2050" s="17" t="n"/>
      <c r="E2050" s="17" t="n"/>
      <c r="F2050" s="17" t="n"/>
      <c r="G2050" s="17" t="n"/>
      <c r="H2050" s="24">
        <f>IF($G2050="","",IFERROR(VLOOKUP($G2050,物料档案!$A$4:$P$1203,3,0),"※编码不在物料档案里"))</f>
        <v/>
      </c>
      <c r="I2050" s="24">
        <f>IF($G2050="","",IFERROR(VLOOKUP($G2050,物料档案!$A$4:$P$1203,4,0),"※编码不在物料档案里"))</f>
        <v/>
      </c>
      <c r="J2050" s="24">
        <f>IF($G2050="","",IFERROR(VLOOKUP($G2050,物料档案!$A$4:$P$1203,5,0),"※编码不在物料档案里"))</f>
        <v/>
      </c>
      <c r="K2050" s="23" t="n"/>
      <c r="L2050" s="31" t="n"/>
      <c r="M2050" s="24">
        <f>IF($G2050="","",IF($D2050="A国内","CNY","TZS"))</f>
        <v/>
      </c>
      <c r="N2050" s="28">
        <f>IF($G2050="","",IF($D2050="A国内",汇率,1))</f>
        <v/>
      </c>
      <c r="O2050" s="25">
        <f>IF($G2050="","",ROUND(N($K2050)*N($L2050),2))</f>
        <v/>
      </c>
      <c r="P2050" s="26">
        <f>IF($G2050="","",ROUND($O2050*$N2050,0))</f>
        <v/>
      </c>
      <c r="Q2050" s="26">
        <f>IF($G2050="","",SUMIFS($P$4:$P$2503,$E$4:$E$2503,$E2050,$Z$4:$Z$2503,"正常"))</f>
        <v/>
      </c>
      <c r="R2050" s="26">
        <f>IF($G2050="","",SUMIFS(费用台账!$I$4:$I$503,费用台账!$C$4:$C$503,$E2050,费用台账!$J$4:$J$503,"是",费用台账!$K$4:$K$503,"正常"))</f>
        <v/>
      </c>
      <c r="S2050" s="28">
        <f>IF($G2050="","",COUNTIFS($E$4:$E$2503,$E2050,$Z$4:$Z$2503,"正常",$Y$4:$Y$2503,"待补价"))</f>
        <v/>
      </c>
      <c r="T2050" s="26">
        <f>IF($G2050="","",SUMIFS($P$4:$P$2503,$E$4:$E$2503,$E2050,$Z$4:$Z$2503,"正常",$A$4:$A$2503,"&lt;="&amp;$A2050))</f>
        <v/>
      </c>
      <c r="U2050" s="26">
        <f>IF($G2050="","",IF(OR($S2050&gt;0,$Q2050=0,$R2050=0,$Z2050&lt;&gt;"正常"),0,ROUND($T2050/$Q2050*$R2050,0)-ROUND(($T2050-$P2050)/$Q2050*$R2050,0)))</f>
        <v/>
      </c>
      <c r="V2050" s="26">
        <f>IF($G2050="","",ROUND($P2050+$U2050,0))</f>
        <v/>
      </c>
      <c r="W2050" s="26">
        <f>IF($G2050="","",IF(N($K2050)=0,0,ROUND($V2050/$K2050,2)))</f>
        <v/>
      </c>
      <c r="X2050" s="17" t="n"/>
      <c r="Y2050" s="17" t="n"/>
      <c r="Z2050" s="17" t="n"/>
      <c r="AA2050" s="17" t="n"/>
      <c r="AB2050" s="17" t="n"/>
      <c r="AC2050" s="24">
        <f>IF($G2050="","",IF($H2050="※编码不在物料档案里","※物料编码不在档案里",IF(N($K2050)&lt;=0,"※入库数量要大于 0",IF(AND($C2050&lt;&gt;"",$C2050&lt;=结账锁),"※日期早于已结账截止日，不能再录",IF(AND($L2050=0,$X2050="正常"),"※没填单价，价格状态请选「待补价」",IF(AND($S2050&gt;0,$R2050&gt;0),"△本批有 "&amp;$S2050&amp;" 行没单价，整批运费先挂账没摊",IF(AND($B2050&lt;&gt;"",COUNTIF($B$4:$B$2503,$B2050)&gt;1),"※入库单号重复","")))))))</f>
        <v/>
      </c>
    </row>
    <row r="2051">
      <c r="A2051" s="24">
        <f>IF($G2051="","",COUNTA($G$4:$G2051))</f>
        <v/>
      </c>
      <c r="B2051" s="17" t="n"/>
      <c r="C2051" s="30" t="n"/>
      <c r="D2051" s="17" t="n"/>
      <c r="E2051" s="17" t="n"/>
      <c r="F2051" s="17" t="n"/>
      <c r="G2051" s="17" t="n"/>
      <c r="H2051" s="24">
        <f>IF($G2051="","",IFERROR(VLOOKUP($G2051,物料档案!$A$4:$P$1203,3,0),"※编码不在物料档案里"))</f>
        <v/>
      </c>
      <c r="I2051" s="24">
        <f>IF($G2051="","",IFERROR(VLOOKUP($G2051,物料档案!$A$4:$P$1203,4,0),"※编码不在物料档案里"))</f>
        <v/>
      </c>
      <c r="J2051" s="24">
        <f>IF($G2051="","",IFERROR(VLOOKUP($G2051,物料档案!$A$4:$P$1203,5,0),"※编码不在物料档案里"))</f>
        <v/>
      </c>
      <c r="K2051" s="23" t="n"/>
      <c r="L2051" s="31" t="n"/>
      <c r="M2051" s="24">
        <f>IF($G2051="","",IF($D2051="A国内","CNY","TZS"))</f>
        <v/>
      </c>
      <c r="N2051" s="28">
        <f>IF($G2051="","",IF($D2051="A国内",汇率,1))</f>
        <v/>
      </c>
      <c r="O2051" s="25">
        <f>IF($G2051="","",ROUND(N($K2051)*N($L2051),2))</f>
        <v/>
      </c>
      <c r="P2051" s="26">
        <f>IF($G2051="","",ROUND($O2051*$N2051,0))</f>
        <v/>
      </c>
      <c r="Q2051" s="26">
        <f>IF($G2051="","",SUMIFS($P$4:$P$2503,$E$4:$E$2503,$E2051,$Z$4:$Z$2503,"正常"))</f>
        <v/>
      </c>
      <c r="R2051" s="26">
        <f>IF($G2051="","",SUMIFS(费用台账!$I$4:$I$503,费用台账!$C$4:$C$503,$E2051,费用台账!$J$4:$J$503,"是",费用台账!$K$4:$K$503,"正常"))</f>
        <v/>
      </c>
      <c r="S2051" s="28">
        <f>IF($G2051="","",COUNTIFS($E$4:$E$2503,$E2051,$Z$4:$Z$2503,"正常",$Y$4:$Y$2503,"待补价"))</f>
        <v/>
      </c>
      <c r="T2051" s="26">
        <f>IF($G2051="","",SUMIFS($P$4:$P$2503,$E$4:$E$2503,$E2051,$Z$4:$Z$2503,"正常",$A$4:$A$2503,"&lt;="&amp;$A2051))</f>
        <v/>
      </c>
      <c r="U2051" s="26">
        <f>IF($G2051="","",IF(OR($S2051&gt;0,$Q2051=0,$R2051=0,$Z2051&lt;&gt;"正常"),0,ROUND($T2051/$Q2051*$R2051,0)-ROUND(($T2051-$P2051)/$Q2051*$R2051,0)))</f>
        <v/>
      </c>
      <c r="V2051" s="26">
        <f>IF($G2051="","",ROUND($P2051+$U2051,0))</f>
        <v/>
      </c>
      <c r="W2051" s="26">
        <f>IF($G2051="","",IF(N($K2051)=0,0,ROUND($V2051/$K2051,2)))</f>
        <v/>
      </c>
      <c r="X2051" s="17" t="n"/>
      <c r="Y2051" s="17" t="n"/>
      <c r="Z2051" s="17" t="n"/>
      <c r="AA2051" s="17" t="n"/>
      <c r="AB2051" s="17" t="n"/>
      <c r="AC2051" s="24">
        <f>IF($G2051="","",IF($H2051="※编码不在物料档案里","※物料编码不在档案里",IF(N($K2051)&lt;=0,"※入库数量要大于 0",IF(AND($C2051&lt;&gt;"",$C2051&lt;=结账锁),"※日期早于已结账截止日，不能再录",IF(AND($L2051=0,$X2051="正常"),"※没填单价，价格状态请选「待补价」",IF(AND($S2051&gt;0,$R2051&gt;0),"△本批有 "&amp;$S2051&amp;" 行没单价，整批运费先挂账没摊",IF(AND($B2051&lt;&gt;"",COUNTIF($B$4:$B$2503,$B2051)&gt;1),"※入库单号重复","")))))))</f>
        <v/>
      </c>
    </row>
    <row r="2052">
      <c r="A2052" s="24">
        <f>IF($G2052="","",COUNTA($G$4:$G2052))</f>
        <v/>
      </c>
      <c r="B2052" s="17" t="n"/>
      <c r="C2052" s="30" t="n"/>
      <c r="D2052" s="17" t="n"/>
      <c r="E2052" s="17" t="n"/>
      <c r="F2052" s="17" t="n"/>
      <c r="G2052" s="17" t="n"/>
      <c r="H2052" s="24">
        <f>IF($G2052="","",IFERROR(VLOOKUP($G2052,物料档案!$A$4:$P$1203,3,0),"※编码不在物料档案里"))</f>
        <v/>
      </c>
      <c r="I2052" s="24">
        <f>IF($G2052="","",IFERROR(VLOOKUP($G2052,物料档案!$A$4:$P$1203,4,0),"※编码不在物料档案里"))</f>
        <v/>
      </c>
      <c r="J2052" s="24">
        <f>IF($G2052="","",IFERROR(VLOOKUP($G2052,物料档案!$A$4:$P$1203,5,0),"※编码不在物料档案里"))</f>
        <v/>
      </c>
      <c r="K2052" s="23" t="n"/>
      <c r="L2052" s="31" t="n"/>
      <c r="M2052" s="24">
        <f>IF($G2052="","",IF($D2052="A国内","CNY","TZS"))</f>
        <v/>
      </c>
      <c r="N2052" s="28">
        <f>IF($G2052="","",IF($D2052="A国内",汇率,1))</f>
        <v/>
      </c>
      <c r="O2052" s="25">
        <f>IF($G2052="","",ROUND(N($K2052)*N($L2052),2))</f>
        <v/>
      </c>
      <c r="P2052" s="26">
        <f>IF($G2052="","",ROUND($O2052*$N2052,0))</f>
        <v/>
      </c>
      <c r="Q2052" s="26">
        <f>IF($G2052="","",SUMIFS($P$4:$P$2503,$E$4:$E$2503,$E2052,$Z$4:$Z$2503,"正常"))</f>
        <v/>
      </c>
      <c r="R2052" s="26">
        <f>IF($G2052="","",SUMIFS(费用台账!$I$4:$I$503,费用台账!$C$4:$C$503,$E2052,费用台账!$J$4:$J$503,"是",费用台账!$K$4:$K$503,"正常"))</f>
        <v/>
      </c>
      <c r="S2052" s="28">
        <f>IF($G2052="","",COUNTIFS($E$4:$E$2503,$E2052,$Z$4:$Z$2503,"正常",$Y$4:$Y$2503,"待补价"))</f>
        <v/>
      </c>
      <c r="T2052" s="26">
        <f>IF($G2052="","",SUMIFS($P$4:$P$2503,$E$4:$E$2503,$E2052,$Z$4:$Z$2503,"正常",$A$4:$A$2503,"&lt;="&amp;$A2052))</f>
        <v/>
      </c>
      <c r="U2052" s="26">
        <f>IF($G2052="","",IF(OR($S2052&gt;0,$Q2052=0,$R2052=0,$Z2052&lt;&gt;"正常"),0,ROUND($T2052/$Q2052*$R2052,0)-ROUND(($T2052-$P2052)/$Q2052*$R2052,0)))</f>
        <v/>
      </c>
      <c r="V2052" s="26">
        <f>IF($G2052="","",ROUND($P2052+$U2052,0))</f>
        <v/>
      </c>
      <c r="W2052" s="26">
        <f>IF($G2052="","",IF(N($K2052)=0,0,ROUND($V2052/$K2052,2)))</f>
        <v/>
      </c>
      <c r="X2052" s="17" t="n"/>
      <c r="Y2052" s="17" t="n"/>
      <c r="Z2052" s="17" t="n"/>
      <c r="AA2052" s="17" t="n"/>
      <c r="AB2052" s="17" t="n"/>
      <c r="AC2052" s="24">
        <f>IF($G2052="","",IF($H2052="※编码不在物料档案里","※物料编码不在档案里",IF(N($K2052)&lt;=0,"※入库数量要大于 0",IF(AND($C2052&lt;&gt;"",$C2052&lt;=结账锁),"※日期早于已结账截止日，不能再录",IF(AND($L2052=0,$X2052="正常"),"※没填单价，价格状态请选「待补价」",IF(AND($S2052&gt;0,$R2052&gt;0),"△本批有 "&amp;$S2052&amp;" 行没单价，整批运费先挂账没摊",IF(AND($B2052&lt;&gt;"",COUNTIF($B$4:$B$2503,$B2052)&gt;1),"※入库单号重复","")))))))</f>
        <v/>
      </c>
    </row>
    <row r="2053">
      <c r="A2053" s="24">
        <f>IF($G2053="","",COUNTA($G$4:$G2053))</f>
        <v/>
      </c>
      <c r="B2053" s="17" t="n"/>
      <c r="C2053" s="30" t="n"/>
      <c r="D2053" s="17" t="n"/>
      <c r="E2053" s="17" t="n"/>
      <c r="F2053" s="17" t="n"/>
      <c r="G2053" s="17" t="n"/>
      <c r="H2053" s="24">
        <f>IF($G2053="","",IFERROR(VLOOKUP($G2053,物料档案!$A$4:$P$1203,3,0),"※编码不在物料档案里"))</f>
        <v/>
      </c>
      <c r="I2053" s="24">
        <f>IF($G2053="","",IFERROR(VLOOKUP($G2053,物料档案!$A$4:$P$1203,4,0),"※编码不在物料档案里"))</f>
        <v/>
      </c>
      <c r="J2053" s="24">
        <f>IF($G2053="","",IFERROR(VLOOKUP($G2053,物料档案!$A$4:$P$1203,5,0),"※编码不在物料档案里"))</f>
        <v/>
      </c>
      <c r="K2053" s="23" t="n"/>
      <c r="L2053" s="31" t="n"/>
      <c r="M2053" s="24">
        <f>IF($G2053="","",IF($D2053="A国内","CNY","TZS"))</f>
        <v/>
      </c>
      <c r="N2053" s="28">
        <f>IF($G2053="","",IF($D2053="A国内",汇率,1))</f>
        <v/>
      </c>
      <c r="O2053" s="25">
        <f>IF($G2053="","",ROUND(N($K2053)*N($L2053),2))</f>
        <v/>
      </c>
      <c r="P2053" s="26">
        <f>IF($G2053="","",ROUND($O2053*$N2053,0))</f>
        <v/>
      </c>
      <c r="Q2053" s="26">
        <f>IF($G2053="","",SUMIFS($P$4:$P$2503,$E$4:$E$2503,$E2053,$Z$4:$Z$2503,"正常"))</f>
        <v/>
      </c>
      <c r="R2053" s="26">
        <f>IF($G2053="","",SUMIFS(费用台账!$I$4:$I$503,费用台账!$C$4:$C$503,$E2053,费用台账!$J$4:$J$503,"是",费用台账!$K$4:$K$503,"正常"))</f>
        <v/>
      </c>
      <c r="S2053" s="28">
        <f>IF($G2053="","",COUNTIFS($E$4:$E$2503,$E2053,$Z$4:$Z$2503,"正常",$Y$4:$Y$2503,"待补价"))</f>
        <v/>
      </c>
      <c r="T2053" s="26">
        <f>IF($G2053="","",SUMIFS($P$4:$P$2503,$E$4:$E$2503,$E2053,$Z$4:$Z$2503,"正常",$A$4:$A$2503,"&lt;="&amp;$A2053))</f>
        <v/>
      </c>
      <c r="U2053" s="26">
        <f>IF($G2053="","",IF(OR($S2053&gt;0,$Q2053=0,$R2053=0,$Z2053&lt;&gt;"正常"),0,ROUND($T2053/$Q2053*$R2053,0)-ROUND(($T2053-$P2053)/$Q2053*$R2053,0)))</f>
        <v/>
      </c>
      <c r="V2053" s="26">
        <f>IF($G2053="","",ROUND($P2053+$U2053,0))</f>
        <v/>
      </c>
      <c r="W2053" s="26">
        <f>IF($G2053="","",IF(N($K2053)=0,0,ROUND($V2053/$K2053,2)))</f>
        <v/>
      </c>
      <c r="X2053" s="17" t="n"/>
      <c r="Y2053" s="17" t="n"/>
      <c r="Z2053" s="17" t="n"/>
      <c r="AA2053" s="17" t="n"/>
      <c r="AB2053" s="17" t="n"/>
      <c r="AC2053" s="24">
        <f>IF($G2053="","",IF($H2053="※编码不在物料档案里","※物料编码不在档案里",IF(N($K2053)&lt;=0,"※入库数量要大于 0",IF(AND($C2053&lt;&gt;"",$C2053&lt;=结账锁),"※日期早于已结账截止日，不能再录",IF(AND($L2053=0,$X2053="正常"),"※没填单价，价格状态请选「待补价」",IF(AND($S2053&gt;0,$R2053&gt;0),"△本批有 "&amp;$S2053&amp;" 行没单价，整批运费先挂账没摊",IF(AND($B2053&lt;&gt;"",COUNTIF($B$4:$B$2503,$B2053)&gt;1),"※入库单号重复","")))))))</f>
        <v/>
      </c>
    </row>
    <row r="2054">
      <c r="A2054" s="24">
        <f>IF($G2054="","",COUNTA($G$4:$G2054))</f>
        <v/>
      </c>
      <c r="B2054" s="17" t="n"/>
      <c r="C2054" s="30" t="n"/>
      <c r="D2054" s="17" t="n"/>
      <c r="E2054" s="17" t="n"/>
      <c r="F2054" s="17" t="n"/>
      <c r="G2054" s="17" t="n"/>
      <c r="H2054" s="24">
        <f>IF($G2054="","",IFERROR(VLOOKUP($G2054,物料档案!$A$4:$P$1203,3,0),"※编码不在物料档案里"))</f>
        <v/>
      </c>
      <c r="I2054" s="24">
        <f>IF($G2054="","",IFERROR(VLOOKUP($G2054,物料档案!$A$4:$P$1203,4,0),"※编码不在物料档案里"))</f>
        <v/>
      </c>
      <c r="J2054" s="24">
        <f>IF($G2054="","",IFERROR(VLOOKUP($G2054,物料档案!$A$4:$P$1203,5,0),"※编码不在物料档案里"))</f>
        <v/>
      </c>
      <c r="K2054" s="23" t="n"/>
      <c r="L2054" s="31" t="n"/>
      <c r="M2054" s="24">
        <f>IF($G2054="","",IF($D2054="A国内","CNY","TZS"))</f>
        <v/>
      </c>
      <c r="N2054" s="28">
        <f>IF($G2054="","",IF($D2054="A国内",汇率,1))</f>
        <v/>
      </c>
      <c r="O2054" s="25">
        <f>IF($G2054="","",ROUND(N($K2054)*N($L2054),2))</f>
        <v/>
      </c>
      <c r="P2054" s="26">
        <f>IF($G2054="","",ROUND($O2054*$N2054,0))</f>
        <v/>
      </c>
      <c r="Q2054" s="26">
        <f>IF($G2054="","",SUMIFS($P$4:$P$2503,$E$4:$E$2503,$E2054,$Z$4:$Z$2503,"正常"))</f>
        <v/>
      </c>
      <c r="R2054" s="26">
        <f>IF($G2054="","",SUMIFS(费用台账!$I$4:$I$503,费用台账!$C$4:$C$503,$E2054,费用台账!$J$4:$J$503,"是",费用台账!$K$4:$K$503,"正常"))</f>
        <v/>
      </c>
      <c r="S2054" s="28">
        <f>IF($G2054="","",COUNTIFS($E$4:$E$2503,$E2054,$Z$4:$Z$2503,"正常",$Y$4:$Y$2503,"待补价"))</f>
        <v/>
      </c>
      <c r="T2054" s="26">
        <f>IF($G2054="","",SUMIFS($P$4:$P$2503,$E$4:$E$2503,$E2054,$Z$4:$Z$2503,"正常",$A$4:$A$2503,"&lt;="&amp;$A2054))</f>
        <v/>
      </c>
      <c r="U2054" s="26">
        <f>IF($G2054="","",IF(OR($S2054&gt;0,$Q2054=0,$R2054=0,$Z2054&lt;&gt;"正常"),0,ROUND($T2054/$Q2054*$R2054,0)-ROUND(($T2054-$P2054)/$Q2054*$R2054,0)))</f>
        <v/>
      </c>
      <c r="V2054" s="26">
        <f>IF($G2054="","",ROUND($P2054+$U2054,0))</f>
        <v/>
      </c>
      <c r="W2054" s="26">
        <f>IF($G2054="","",IF(N($K2054)=0,0,ROUND($V2054/$K2054,2)))</f>
        <v/>
      </c>
      <c r="X2054" s="17" t="n"/>
      <c r="Y2054" s="17" t="n"/>
      <c r="Z2054" s="17" t="n"/>
      <c r="AA2054" s="17" t="n"/>
      <c r="AB2054" s="17" t="n"/>
      <c r="AC2054" s="24">
        <f>IF($G2054="","",IF($H2054="※编码不在物料档案里","※物料编码不在档案里",IF(N($K2054)&lt;=0,"※入库数量要大于 0",IF(AND($C2054&lt;&gt;"",$C2054&lt;=结账锁),"※日期早于已结账截止日，不能再录",IF(AND($L2054=0,$X2054="正常"),"※没填单价，价格状态请选「待补价」",IF(AND($S2054&gt;0,$R2054&gt;0),"△本批有 "&amp;$S2054&amp;" 行没单价，整批运费先挂账没摊",IF(AND($B2054&lt;&gt;"",COUNTIF($B$4:$B$2503,$B2054)&gt;1),"※入库单号重复","")))))))</f>
        <v/>
      </c>
    </row>
    <row r="2055">
      <c r="A2055" s="24">
        <f>IF($G2055="","",COUNTA($G$4:$G2055))</f>
        <v/>
      </c>
      <c r="B2055" s="17" t="n"/>
      <c r="C2055" s="30" t="n"/>
      <c r="D2055" s="17" t="n"/>
      <c r="E2055" s="17" t="n"/>
      <c r="F2055" s="17" t="n"/>
      <c r="G2055" s="17" t="n"/>
      <c r="H2055" s="24">
        <f>IF($G2055="","",IFERROR(VLOOKUP($G2055,物料档案!$A$4:$P$1203,3,0),"※编码不在物料档案里"))</f>
        <v/>
      </c>
      <c r="I2055" s="24">
        <f>IF($G2055="","",IFERROR(VLOOKUP($G2055,物料档案!$A$4:$P$1203,4,0),"※编码不在物料档案里"))</f>
        <v/>
      </c>
      <c r="J2055" s="24">
        <f>IF($G2055="","",IFERROR(VLOOKUP($G2055,物料档案!$A$4:$P$1203,5,0),"※编码不在物料档案里"))</f>
        <v/>
      </c>
      <c r="K2055" s="23" t="n"/>
      <c r="L2055" s="31" t="n"/>
      <c r="M2055" s="24">
        <f>IF($G2055="","",IF($D2055="A国内","CNY","TZS"))</f>
        <v/>
      </c>
      <c r="N2055" s="28">
        <f>IF($G2055="","",IF($D2055="A国内",汇率,1))</f>
        <v/>
      </c>
      <c r="O2055" s="25">
        <f>IF($G2055="","",ROUND(N($K2055)*N($L2055),2))</f>
        <v/>
      </c>
      <c r="P2055" s="26">
        <f>IF($G2055="","",ROUND($O2055*$N2055,0))</f>
        <v/>
      </c>
      <c r="Q2055" s="26">
        <f>IF($G2055="","",SUMIFS($P$4:$P$2503,$E$4:$E$2503,$E2055,$Z$4:$Z$2503,"正常"))</f>
        <v/>
      </c>
      <c r="R2055" s="26">
        <f>IF($G2055="","",SUMIFS(费用台账!$I$4:$I$503,费用台账!$C$4:$C$503,$E2055,费用台账!$J$4:$J$503,"是",费用台账!$K$4:$K$503,"正常"))</f>
        <v/>
      </c>
      <c r="S2055" s="28">
        <f>IF($G2055="","",COUNTIFS($E$4:$E$2503,$E2055,$Z$4:$Z$2503,"正常",$Y$4:$Y$2503,"待补价"))</f>
        <v/>
      </c>
      <c r="T2055" s="26">
        <f>IF($G2055="","",SUMIFS($P$4:$P$2503,$E$4:$E$2503,$E2055,$Z$4:$Z$2503,"正常",$A$4:$A$2503,"&lt;="&amp;$A2055))</f>
        <v/>
      </c>
      <c r="U2055" s="26">
        <f>IF($G2055="","",IF(OR($S2055&gt;0,$Q2055=0,$R2055=0,$Z2055&lt;&gt;"正常"),0,ROUND($T2055/$Q2055*$R2055,0)-ROUND(($T2055-$P2055)/$Q2055*$R2055,0)))</f>
        <v/>
      </c>
      <c r="V2055" s="26">
        <f>IF($G2055="","",ROUND($P2055+$U2055,0))</f>
        <v/>
      </c>
      <c r="W2055" s="26">
        <f>IF($G2055="","",IF(N($K2055)=0,0,ROUND($V2055/$K2055,2)))</f>
        <v/>
      </c>
      <c r="X2055" s="17" t="n"/>
      <c r="Y2055" s="17" t="n"/>
      <c r="Z2055" s="17" t="n"/>
      <c r="AA2055" s="17" t="n"/>
      <c r="AB2055" s="17" t="n"/>
      <c r="AC2055" s="24">
        <f>IF($G2055="","",IF($H2055="※编码不在物料档案里","※物料编码不在档案里",IF(N($K2055)&lt;=0,"※入库数量要大于 0",IF(AND($C2055&lt;&gt;"",$C2055&lt;=结账锁),"※日期早于已结账截止日，不能再录",IF(AND($L2055=0,$X2055="正常"),"※没填单价，价格状态请选「待补价」",IF(AND($S2055&gt;0,$R2055&gt;0),"△本批有 "&amp;$S2055&amp;" 行没单价，整批运费先挂账没摊",IF(AND($B2055&lt;&gt;"",COUNTIF($B$4:$B$2503,$B2055)&gt;1),"※入库单号重复","")))))))</f>
        <v/>
      </c>
    </row>
    <row r="2056">
      <c r="A2056" s="24">
        <f>IF($G2056="","",COUNTA($G$4:$G2056))</f>
        <v/>
      </c>
      <c r="B2056" s="17" t="n"/>
      <c r="C2056" s="30" t="n"/>
      <c r="D2056" s="17" t="n"/>
      <c r="E2056" s="17" t="n"/>
      <c r="F2056" s="17" t="n"/>
      <c r="G2056" s="17" t="n"/>
      <c r="H2056" s="24">
        <f>IF($G2056="","",IFERROR(VLOOKUP($G2056,物料档案!$A$4:$P$1203,3,0),"※编码不在物料档案里"))</f>
        <v/>
      </c>
      <c r="I2056" s="24">
        <f>IF($G2056="","",IFERROR(VLOOKUP($G2056,物料档案!$A$4:$P$1203,4,0),"※编码不在物料档案里"))</f>
        <v/>
      </c>
      <c r="J2056" s="24">
        <f>IF($G2056="","",IFERROR(VLOOKUP($G2056,物料档案!$A$4:$P$1203,5,0),"※编码不在物料档案里"))</f>
        <v/>
      </c>
      <c r="K2056" s="23" t="n"/>
      <c r="L2056" s="31" t="n"/>
      <c r="M2056" s="24">
        <f>IF($G2056="","",IF($D2056="A国内","CNY","TZS"))</f>
        <v/>
      </c>
      <c r="N2056" s="28">
        <f>IF($G2056="","",IF($D2056="A国内",汇率,1))</f>
        <v/>
      </c>
      <c r="O2056" s="25">
        <f>IF($G2056="","",ROUND(N($K2056)*N($L2056),2))</f>
        <v/>
      </c>
      <c r="P2056" s="26">
        <f>IF($G2056="","",ROUND($O2056*$N2056,0))</f>
        <v/>
      </c>
      <c r="Q2056" s="26">
        <f>IF($G2056="","",SUMIFS($P$4:$P$2503,$E$4:$E$2503,$E2056,$Z$4:$Z$2503,"正常"))</f>
        <v/>
      </c>
      <c r="R2056" s="26">
        <f>IF($G2056="","",SUMIFS(费用台账!$I$4:$I$503,费用台账!$C$4:$C$503,$E2056,费用台账!$J$4:$J$503,"是",费用台账!$K$4:$K$503,"正常"))</f>
        <v/>
      </c>
      <c r="S2056" s="28">
        <f>IF($G2056="","",COUNTIFS($E$4:$E$2503,$E2056,$Z$4:$Z$2503,"正常",$Y$4:$Y$2503,"待补价"))</f>
        <v/>
      </c>
      <c r="T2056" s="26">
        <f>IF($G2056="","",SUMIFS($P$4:$P$2503,$E$4:$E$2503,$E2056,$Z$4:$Z$2503,"正常",$A$4:$A$2503,"&lt;="&amp;$A2056))</f>
        <v/>
      </c>
      <c r="U2056" s="26">
        <f>IF($G2056="","",IF(OR($S2056&gt;0,$Q2056=0,$R2056=0,$Z2056&lt;&gt;"正常"),0,ROUND($T2056/$Q2056*$R2056,0)-ROUND(($T2056-$P2056)/$Q2056*$R2056,0)))</f>
        <v/>
      </c>
      <c r="V2056" s="26">
        <f>IF($G2056="","",ROUND($P2056+$U2056,0))</f>
        <v/>
      </c>
      <c r="W2056" s="26">
        <f>IF($G2056="","",IF(N($K2056)=0,0,ROUND($V2056/$K2056,2)))</f>
        <v/>
      </c>
      <c r="X2056" s="17" t="n"/>
      <c r="Y2056" s="17" t="n"/>
      <c r="Z2056" s="17" t="n"/>
      <c r="AA2056" s="17" t="n"/>
      <c r="AB2056" s="17" t="n"/>
      <c r="AC2056" s="24">
        <f>IF($G2056="","",IF($H2056="※编码不在物料档案里","※物料编码不在档案里",IF(N($K2056)&lt;=0,"※入库数量要大于 0",IF(AND($C2056&lt;&gt;"",$C2056&lt;=结账锁),"※日期早于已结账截止日，不能再录",IF(AND($L2056=0,$X2056="正常"),"※没填单价，价格状态请选「待补价」",IF(AND($S2056&gt;0,$R2056&gt;0),"△本批有 "&amp;$S2056&amp;" 行没单价，整批运费先挂账没摊",IF(AND($B2056&lt;&gt;"",COUNTIF($B$4:$B$2503,$B2056)&gt;1),"※入库单号重复","")))))))</f>
        <v/>
      </c>
    </row>
    <row r="2057">
      <c r="A2057" s="24">
        <f>IF($G2057="","",COUNTA($G$4:$G2057))</f>
        <v/>
      </c>
      <c r="B2057" s="17" t="n"/>
      <c r="C2057" s="30" t="n"/>
      <c r="D2057" s="17" t="n"/>
      <c r="E2057" s="17" t="n"/>
      <c r="F2057" s="17" t="n"/>
      <c r="G2057" s="17" t="n"/>
      <c r="H2057" s="24">
        <f>IF($G2057="","",IFERROR(VLOOKUP($G2057,物料档案!$A$4:$P$1203,3,0),"※编码不在物料档案里"))</f>
        <v/>
      </c>
      <c r="I2057" s="24">
        <f>IF($G2057="","",IFERROR(VLOOKUP($G2057,物料档案!$A$4:$P$1203,4,0),"※编码不在物料档案里"))</f>
        <v/>
      </c>
      <c r="J2057" s="24">
        <f>IF($G2057="","",IFERROR(VLOOKUP($G2057,物料档案!$A$4:$P$1203,5,0),"※编码不在物料档案里"))</f>
        <v/>
      </c>
      <c r="K2057" s="23" t="n"/>
      <c r="L2057" s="31" t="n"/>
      <c r="M2057" s="24">
        <f>IF($G2057="","",IF($D2057="A国内","CNY","TZS"))</f>
        <v/>
      </c>
      <c r="N2057" s="28">
        <f>IF($G2057="","",IF($D2057="A国内",汇率,1))</f>
        <v/>
      </c>
      <c r="O2057" s="25">
        <f>IF($G2057="","",ROUND(N($K2057)*N($L2057),2))</f>
        <v/>
      </c>
      <c r="P2057" s="26">
        <f>IF($G2057="","",ROUND($O2057*$N2057,0))</f>
        <v/>
      </c>
      <c r="Q2057" s="26">
        <f>IF($G2057="","",SUMIFS($P$4:$P$2503,$E$4:$E$2503,$E2057,$Z$4:$Z$2503,"正常"))</f>
        <v/>
      </c>
      <c r="R2057" s="26">
        <f>IF($G2057="","",SUMIFS(费用台账!$I$4:$I$503,费用台账!$C$4:$C$503,$E2057,费用台账!$J$4:$J$503,"是",费用台账!$K$4:$K$503,"正常"))</f>
        <v/>
      </c>
      <c r="S2057" s="28">
        <f>IF($G2057="","",COUNTIFS($E$4:$E$2503,$E2057,$Z$4:$Z$2503,"正常",$Y$4:$Y$2503,"待补价"))</f>
        <v/>
      </c>
      <c r="T2057" s="26">
        <f>IF($G2057="","",SUMIFS($P$4:$P$2503,$E$4:$E$2503,$E2057,$Z$4:$Z$2503,"正常",$A$4:$A$2503,"&lt;="&amp;$A2057))</f>
        <v/>
      </c>
      <c r="U2057" s="26">
        <f>IF($G2057="","",IF(OR($S2057&gt;0,$Q2057=0,$R2057=0,$Z2057&lt;&gt;"正常"),0,ROUND($T2057/$Q2057*$R2057,0)-ROUND(($T2057-$P2057)/$Q2057*$R2057,0)))</f>
        <v/>
      </c>
      <c r="V2057" s="26">
        <f>IF($G2057="","",ROUND($P2057+$U2057,0))</f>
        <v/>
      </c>
      <c r="W2057" s="26">
        <f>IF($G2057="","",IF(N($K2057)=0,0,ROUND($V2057/$K2057,2)))</f>
        <v/>
      </c>
      <c r="X2057" s="17" t="n"/>
      <c r="Y2057" s="17" t="n"/>
      <c r="Z2057" s="17" t="n"/>
      <c r="AA2057" s="17" t="n"/>
      <c r="AB2057" s="17" t="n"/>
      <c r="AC2057" s="24">
        <f>IF($G2057="","",IF($H2057="※编码不在物料档案里","※物料编码不在档案里",IF(N($K2057)&lt;=0,"※入库数量要大于 0",IF(AND($C2057&lt;&gt;"",$C2057&lt;=结账锁),"※日期早于已结账截止日，不能再录",IF(AND($L2057=0,$X2057="正常"),"※没填单价，价格状态请选「待补价」",IF(AND($S2057&gt;0,$R2057&gt;0),"△本批有 "&amp;$S2057&amp;" 行没单价，整批运费先挂账没摊",IF(AND($B2057&lt;&gt;"",COUNTIF($B$4:$B$2503,$B2057)&gt;1),"※入库单号重复","")))))))</f>
        <v/>
      </c>
    </row>
    <row r="2058">
      <c r="A2058" s="24">
        <f>IF($G2058="","",COUNTA($G$4:$G2058))</f>
        <v/>
      </c>
      <c r="B2058" s="17" t="n"/>
      <c r="C2058" s="30" t="n"/>
      <c r="D2058" s="17" t="n"/>
      <c r="E2058" s="17" t="n"/>
      <c r="F2058" s="17" t="n"/>
      <c r="G2058" s="17" t="n"/>
      <c r="H2058" s="24">
        <f>IF($G2058="","",IFERROR(VLOOKUP($G2058,物料档案!$A$4:$P$1203,3,0),"※编码不在物料档案里"))</f>
        <v/>
      </c>
      <c r="I2058" s="24">
        <f>IF($G2058="","",IFERROR(VLOOKUP($G2058,物料档案!$A$4:$P$1203,4,0),"※编码不在物料档案里"))</f>
        <v/>
      </c>
      <c r="J2058" s="24">
        <f>IF($G2058="","",IFERROR(VLOOKUP($G2058,物料档案!$A$4:$P$1203,5,0),"※编码不在物料档案里"))</f>
        <v/>
      </c>
      <c r="K2058" s="23" t="n"/>
      <c r="L2058" s="31" t="n"/>
      <c r="M2058" s="24">
        <f>IF($G2058="","",IF($D2058="A国内","CNY","TZS"))</f>
        <v/>
      </c>
      <c r="N2058" s="28">
        <f>IF($G2058="","",IF($D2058="A国内",汇率,1))</f>
        <v/>
      </c>
      <c r="O2058" s="25">
        <f>IF($G2058="","",ROUND(N($K2058)*N($L2058),2))</f>
        <v/>
      </c>
      <c r="P2058" s="26">
        <f>IF($G2058="","",ROUND($O2058*$N2058,0))</f>
        <v/>
      </c>
      <c r="Q2058" s="26">
        <f>IF($G2058="","",SUMIFS($P$4:$P$2503,$E$4:$E$2503,$E2058,$Z$4:$Z$2503,"正常"))</f>
        <v/>
      </c>
      <c r="R2058" s="26">
        <f>IF($G2058="","",SUMIFS(费用台账!$I$4:$I$503,费用台账!$C$4:$C$503,$E2058,费用台账!$J$4:$J$503,"是",费用台账!$K$4:$K$503,"正常"))</f>
        <v/>
      </c>
      <c r="S2058" s="28">
        <f>IF($G2058="","",COUNTIFS($E$4:$E$2503,$E2058,$Z$4:$Z$2503,"正常",$Y$4:$Y$2503,"待补价"))</f>
        <v/>
      </c>
      <c r="T2058" s="26">
        <f>IF($G2058="","",SUMIFS($P$4:$P$2503,$E$4:$E$2503,$E2058,$Z$4:$Z$2503,"正常",$A$4:$A$2503,"&lt;="&amp;$A2058))</f>
        <v/>
      </c>
      <c r="U2058" s="26">
        <f>IF($G2058="","",IF(OR($S2058&gt;0,$Q2058=0,$R2058=0,$Z2058&lt;&gt;"正常"),0,ROUND($T2058/$Q2058*$R2058,0)-ROUND(($T2058-$P2058)/$Q2058*$R2058,0)))</f>
        <v/>
      </c>
      <c r="V2058" s="26">
        <f>IF($G2058="","",ROUND($P2058+$U2058,0))</f>
        <v/>
      </c>
      <c r="W2058" s="26">
        <f>IF($G2058="","",IF(N($K2058)=0,0,ROUND($V2058/$K2058,2)))</f>
        <v/>
      </c>
      <c r="X2058" s="17" t="n"/>
      <c r="Y2058" s="17" t="n"/>
      <c r="Z2058" s="17" t="n"/>
      <c r="AA2058" s="17" t="n"/>
      <c r="AB2058" s="17" t="n"/>
      <c r="AC2058" s="24">
        <f>IF($G2058="","",IF($H2058="※编码不在物料档案里","※物料编码不在档案里",IF(N($K2058)&lt;=0,"※入库数量要大于 0",IF(AND($C2058&lt;&gt;"",$C2058&lt;=结账锁),"※日期早于已结账截止日，不能再录",IF(AND($L2058=0,$X2058="正常"),"※没填单价，价格状态请选「待补价」",IF(AND($S2058&gt;0,$R2058&gt;0),"△本批有 "&amp;$S2058&amp;" 行没单价，整批运费先挂账没摊",IF(AND($B2058&lt;&gt;"",COUNTIF($B$4:$B$2503,$B2058)&gt;1),"※入库单号重复","")))))))</f>
        <v/>
      </c>
    </row>
    <row r="2059">
      <c r="A2059" s="24">
        <f>IF($G2059="","",COUNTA($G$4:$G2059))</f>
        <v/>
      </c>
      <c r="B2059" s="17" t="n"/>
      <c r="C2059" s="30" t="n"/>
      <c r="D2059" s="17" t="n"/>
      <c r="E2059" s="17" t="n"/>
      <c r="F2059" s="17" t="n"/>
      <c r="G2059" s="17" t="n"/>
      <c r="H2059" s="24">
        <f>IF($G2059="","",IFERROR(VLOOKUP($G2059,物料档案!$A$4:$P$1203,3,0),"※编码不在物料档案里"))</f>
        <v/>
      </c>
      <c r="I2059" s="24">
        <f>IF($G2059="","",IFERROR(VLOOKUP($G2059,物料档案!$A$4:$P$1203,4,0),"※编码不在物料档案里"))</f>
        <v/>
      </c>
      <c r="J2059" s="24">
        <f>IF($G2059="","",IFERROR(VLOOKUP($G2059,物料档案!$A$4:$P$1203,5,0),"※编码不在物料档案里"))</f>
        <v/>
      </c>
      <c r="K2059" s="23" t="n"/>
      <c r="L2059" s="31" t="n"/>
      <c r="M2059" s="24">
        <f>IF($G2059="","",IF($D2059="A国内","CNY","TZS"))</f>
        <v/>
      </c>
      <c r="N2059" s="28">
        <f>IF($G2059="","",IF($D2059="A国内",汇率,1))</f>
        <v/>
      </c>
      <c r="O2059" s="25">
        <f>IF($G2059="","",ROUND(N($K2059)*N($L2059),2))</f>
        <v/>
      </c>
      <c r="P2059" s="26">
        <f>IF($G2059="","",ROUND($O2059*$N2059,0))</f>
        <v/>
      </c>
      <c r="Q2059" s="26">
        <f>IF($G2059="","",SUMIFS($P$4:$P$2503,$E$4:$E$2503,$E2059,$Z$4:$Z$2503,"正常"))</f>
        <v/>
      </c>
      <c r="R2059" s="26">
        <f>IF($G2059="","",SUMIFS(费用台账!$I$4:$I$503,费用台账!$C$4:$C$503,$E2059,费用台账!$J$4:$J$503,"是",费用台账!$K$4:$K$503,"正常"))</f>
        <v/>
      </c>
      <c r="S2059" s="28">
        <f>IF($G2059="","",COUNTIFS($E$4:$E$2503,$E2059,$Z$4:$Z$2503,"正常",$Y$4:$Y$2503,"待补价"))</f>
        <v/>
      </c>
      <c r="T2059" s="26">
        <f>IF($G2059="","",SUMIFS($P$4:$P$2503,$E$4:$E$2503,$E2059,$Z$4:$Z$2503,"正常",$A$4:$A$2503,"&lt;="&amp;$A2059))</f>
        <v/>
      </c>
      <c r="U2059" s="26">
        <f>IF($G2059="","",IF(OR($S2059&gt;0,$Q2059=0,$R2059=0,$Z2059&lt;&gt;"正常"),0,ROUND($T2059/$Q2059*$R2059,0)-ROUND(($T2059-$P2059)/$Q2059*$R2059,0)))</f>
        <v/>
      </c>
      <c r="V2059" s="26">
        <f>IF($G2059="","",ROUND($P2059+$U2059,0))</f>
        <v/>
      </c>
      <c r="W2059" s="26">
        <f>IF($G2059="","",IF(N($K2059)=0,0,ROUND($V2059/$K2059,2)))</f>
        <v/>
      </c>
      <c r="X2059" s="17" t="n"/>
      <c r="Y2059" s="17" t="n"/>
      <c r="Z2059" s="17" t="n"/>
      <c r="AA2059" s="17" t="n"/>
      <c r="AB2059" s="17" t="n"/>
      <c r="AC2059" s="24">
        <f>IF($G2059="","",IF($H2059="※编码不在物料档案里","※物料编码不在档案里",IF(N($K2059)&lt;=0,"※入库数量要大于 0",IF(AND($C2059&lt;&gt;"",$C2059&lt;=结账锁),"※日期早于已结账截止日，不能再录",IF(AND($L2059=0,$X2059="正常"),"※没填单价，价格状态请选「待补价」",IF(AND($S2059&gt;0,$R2059&gt;0),"△本批有 "&amp;$S2059&amp;" 行没单价，整批运费先挂账没摊",IF(AND($B2059&lt;&gt;"",COUNTIF($B$4:$B$2503,$B2059)&gt;1),"※入库单号重复","")))))))</f>
        <v/>
      </c>
    </row>
    <row r="2060">
      <c r="A2060" s="24">
        <f>IF($G2060="","",COUNTA($G$4:$G2060))</f>
        <v/>
      </c>
      <c r="B2060" s="17" t="n"/>
      <c r="C2060" s="30" t="n"/>
      <c r="D2060" s="17" t="n"/>
      <c r="E2060" s="17" t="n"/>
      <c r="F2060" s="17" t="n"/>
      <c r="G2060" s="17" t="n"/>
      <c r="H2060" s="24">
        <f>IF($G2060="","",IFERROR(VLOOKUP($G2060,物料档案!$A$4:$P$1203,3,0),"※编码不在物料档案里"))</f>
        <v/>
      </c>
      <c r="I2060" s="24">
        <f>IF($G2060="","",IFERROR(VLOOKUP($G2060,物料档案!$A$4:$P$1203,4,0),"※编码不在物料档案里"))</f>
        <v/>
      </c>
      <c r="J2060" s="24">
        <f>IF($G2060="","",IFERROR(VLOOKUP($G2060,物料档案!$A$4:$P$1203,5,0),"※编码不在物料档案里"))</f>
        <v/>
      </c>
      <c r="K2060" s="23" t="n"/>
      <c r="L2060" s="31" t="n"/>
      <c r="M2060" s="24">
        <f>IF($G2060="","",IF($D2060="A国内","CNY","TZS"))</f>
        <v/>
      </c>
      <c r="N2060" s="28">
        <f>IF($G2060="","",IF($D2060="A国内",汇率,1))</f>
        <v/>
      </c>
      <c r="O2060" s="25">
        <f>IF($G2060="","",ROUND(N($K2060)*N($L2060),2))</f>
        <v/>
      </c>
      <c r="P2060" s="26">
        <f>IF($G2060="","",ROUND($O2060*$N2060,0))</f>
        <v/>
      </c>
      <c r="Q2060" s="26">
        <f>IF($G2060="","",SUMIFS($P$4:$P$2503,$E$4:$E$2503,$E2060,$Z$4:$Z$2503,"正常"))</f>
        <v/>
      </c>
      <c r="R2060" s="26">
        <f>IF($G2060="","",SUMIFS(费用台账!$I$4:$I$503,费用台账!$C$4:$C$503,$E2060,费用台账!$J$4:$J$503,"是",费用台账!$K$4:$K$503,"正常"))</f>
        <v/>
      </c>
      <c r="S2060" s="28">
        <f>IF($G2060="","",COUNTIFS($E$4:$E$2503,$E2060,$Z$4:$Z$2503,"正常",$Y$4:$Y$2503,"待补价"))</f>
        <v/>
      </c>
      <c r="T2060" s="26">
        <f>IF($G2060="","",SUMIFS($P$4:$P$2503,$E$4:$E$2503,$E2060,$Z$4:$Z$2503,"正常",$A$4:$A$2503,"&lt;="&amp;$A2060))</f>
        <v/>
      </c>
      <c r="U2060" s="26">
        <f>IF($G2060="","",IF(OR($S2060&gt;0,$Q2060=0,$R2060=0,$Z2060&lt;&gt;"正常"),0,ROUND($T2060/$Q2060*$R2060,0)-ROUND(($T2060-$P2060)/$Q2060*$R2060,0)))</f>
        <v/>
      </c>
      <c r="V2060" s="26">
        <f>IF($G2060="","",ROUND($P2060+$U2060,0))</f>
        <v/>
      </c>
      <c r="W2060" s="26">
        <f>IF($G2060="","",IF(N($K2060)=0,0,ROUND($V2060/$K2060,2)))</f>
        <v/>
      </c>
      <c r="X2060" s="17" t="n"/>
      <c r="Y2060" s="17" t="n"/>
      <c r="Z2060" s="17" t="n"/>
      <c r="AA2060" s="17" t="n"/>
      <c r="AB2060" s="17" t="n"/>
      <c r="AC2060" s="24">
        <f>IF($G2060="","",IF($H2060="※编码不在物料档案里","※物料编码不在档案里",IF(N($K2060)&lt;=0,"※入库数量要大于 0",IF(AND($C2060&lt;&gt;"",$C2060&lt;=结账锁),"※日期早于已结账截止日，不能再录",IF(AND($L2060=0,$X2060="正常"),"※没填单价，价格状态请选「待补价」",IF(AND($S2060&gt;0,$R2060&gt;0),"△本批有 "&amp;$S2060&amp;" 行没单价，整批运费先挂账没摊",IF(AND($B2060&lt;&gt;"",COUNTIF($B$4:$B$2503,$B2060)&gt;1),"※入库单号重复","")))))))</f>
        <v/>
      </c>
    </row>
    <row r="2061">
      <c r="A2061" s="24">
        <f>IF($G2061="","",COUNTA($G$4:$G2061))</f>
        <v/>
      </c>
      <c r="B2061" s="17" t="n"/>
      <c r="C2061" s="30" t="n"/>
      <c r="D2061" s="17" t="n"/>
      <c r="E2061" s="17" t="n"/>
      <c r="F2061" s="17" t="n"/>
      <c r="G2061" s="17" t="n"/>
      <c r="H2061" s="24">
        <f>IF($G2061="","",IFERROR(VLOOKUP($G2061,物料档案!$A$4:$P$1203,3,0),"※编码不在物料档案里"))</f>
        <v/>
      </c>
      <c r="I2061" s="24">
        <f>IF($G2061="","",IFERROR(VLOOKUP($G2061,物料档案!$A$4:$P$1203,4,0),"※编码不在物料档案里"))</f>
        <v/>
      </c>
      <c r="J2061" s="24">
        <f>IF($G2061="","",IFERROR(VLOOKUP($G2061,物料档案!$A$4:$P$1203,5,0),"※编码不在物料档案里"))</f>
        <v/>
      </c>
      <c r="K2061" s="23" t="n"/>
      <c r="L2061" s="31" t="n"/>
      <c r="M2061" s="24">
        <f>IF($G2061="","",IF($D2061="A国内","CNY","TZS"))</f>
        <v/>
      </c>
      <c r="N2061" s="28">
        <f>IF($G2061="","",IF($D2061="A国内",汇率,1))</f>
        <v/>
      </c>
      <c r="O2061" s="25">
        <f>IF($G2061="","",ROUND(N($K2061)*N($L2061),2))</f>
        <v/>
      </c>
      <c r="P2061" s="26">
        <f>IF($G2061="","",ROUND($O2061*$N2061,0))</f>
        <v/>
      </c>
      <c r="Q2061" s="26">
        <f>IF($G2061="","",SUMIFS($P$4:$P$2503,$E$4:$E$2503,$E2061,$Z$4:$Z$2503,"正常"))</f>
        <v/>
      </c>
      <c r="R2061" s="26">
        <f>IF($G2061="","",SUMIFS(费用台账!$I$4:$I$503,费用台账!$C$4:$C$503,$E2061,费用台账!$J$4:$J$503,"是",费用台账!$K$4:$K$503,"正常"))</f>
        <v/>
      </c>
      <c r="S2061" s="28">
        <f>IF($G2061="","",COUNTIFS($E$4:$E$2503,$E2061,$Z$4:$Z$2503,"正常",$Y$4:$Y$2503,"待补价"))</f>
        <v/>
      </c>
      <c r="T2061" s="26">
        <f>IF($G2061="","",SUMIFS($P$4:$P$2503,$E$4:$E$2503,$E2061,$Z$4:$Z$2503,"正常",$A$4:$A$2503,"&lt;="&amp;$A2061))</f>
        <v/>
      </c>
      <c r="U2061" s="26">
        <f>IF($G2061="","",IF(OR($S2061&gt;0,$Q2061=0,$R2061=0,$Z2061&lt;&gt;"正常"),0,ROUND($T2061/$Q2061*$R2061,0)-ROUND(($T2061-$P2061)/$Q2061*$R2061,0)))</f>
        <v/>
      </c>
      <c r="V2061" s="26">
        <f>IF($G2061="","",ROUND($P2061+$U2061,0))</f>
        <v/>
      </c>
      <c r="W2061" s="26">
        <f>IF($G2061="","",IF(N($K2061)=0,0,ROUND($V2061/$K2061,2)))</f>
        <v/>
      </c>
      <c r="X2061" s="17" t="n"/>
      <c r="Y2061" s="17" t="n"/>
      <c r="Z2061" s="17" t="n"/>
      <c r="AA2061" s="17" t="n"/>
      <c r="AB2061" s="17" t="n"/>
      <c r="AC2061" s="24">
        <f>IF($G2061="","",IF($H2061="※编码不在物料档案里","※物料编码不在档案里",IF(N($K2061)&lt;=0,"※入库数量要大于 0",IF(AND($C2061&lt;&gt;"",$C2061&lt;=结账锁),"※日期早于已结账截止日，不能再录",IF(AND($L2061=0,$X2061="正常"),"※没填单价，价格状态请选「待补价」",IF(AND($S2061&gt;0,$R2061&gt;0),"△本批有 "&amp;$S2061&amp;" 行没单价，整批运费先挂账没摊",IF(AND($B2061&lt;&gt;"",COUNTIF($B$4:$B$2503,$B2061)&gt;1),"※入库单号重复","")))))))</f>
        <v/>
      </c>
    </row>
    <row r="2062">
      <c r="A2062" s="24">
        <f>IF($G2062="","",COUNTA($G$4:$G2062))</f>
        <v/>
      </c>
      <c r="B2062" s="17" t="n"/>
      <c r="C2062" s="30" t="n"/>
      <c r="D2062" s="17" t="n"/>
      <c r="E2062" s="17" t="n"/>
      <c r="F2062" s="17" t="n"/>
      <c r="G2062" s="17" t="n"/>
      <c r="H2062" s="24">
        <f>IF($G2062="","",IFERROR(VLOOKUP($G2062,物料档案!$A$4:$P$1203,3,0),"※编码不在物料档案里"))</f>
        <v/>
      </c>
      <c r="I2062" s="24">
        <f>IF($G2062="","",IFERROR(VLOOKUP($G2062,物料档案!$A$4:$P$1203,4,0),"※编码不在物料档案里"))</f>
        <v/>
      </c>
      <c r="J2062" s="24">
        <f>IF($G2062="","",IFERROR(VLOOKUP($G2062,物料档案!$A$4:$P$1203,5,0),"※编码不在物料档案里"))</f>
        <v/>
      </c>
      <c r="K2062" s="23" t="n"/>
      <c r="L2062" s="31" t="n"/>
      <c r="M2062" s="24">
        <f>IF($G2062="","",IF($D2062="A国内","CNY","TZS"))</f>
        <v/>
      </c>
      <c r="N2062" s="28">
        <f>IF($G2062="","",IF($D2062="A国内",汇率,1))</f>
        <v/>
      </c>
      <c r="O2062" s="25">
        <f>IF($G2062="","",ROUND(N($K2062)*N($L2062),2))</f>
        <v/>
      </c>
      <c r="P2062" s="26">
        <f>IF($G2062="","",ROUND($O2062*$N2062,0))</f>
        <v/>
      </c>
      <c r="Q2062" s="26">
        <f>IF($G2062="","",SUMIFS($P$4:$P$2503,$E$4:$E$2503,$E2062,$Z$4:$Z$2503,"正常"))</f>
        <v/>
      </c>
      <c r="R2062" s="26">
        <f>IF($G2062="","",SUMIFS(费用台账!$I$4:$I$503,费用台账!$C$4:$C$503,$E2062,费用台账!$J$4:$J$503,"是",费用台账!$K$4:$K$503,"正常"))</f>
        <v/>
      </c>
      <c r="S2062" s="28">
        <f>IF($G2062="","",COUNTIFS($E$4:$E$2503,$E2062,$Z$4:$Z$2503,"正常",$Y$4:$Y$2503,"待补价"))</f>
        <v/>
      </c>
      <c r="T2062" s="26">
        <f>IF($G2062="","",SUMIFS($P$4:$P$2503,$E$4:$E$2503,$E2062,$Z$4:$Z$2503,"正常",$A$4:$A$2503,"&lt;="&amp;$A2062))</f>
        <v/>
      </c>
      <c r="U2062" s="26">
        <f>IF($G2062="","",IF(OR($S2062&gt;0,$Q2062=0,$R2062=0,$Z2062&lt;&gt;"正常"),0,ROUND($T2062/$Q2062*$R2062,0)-ROUND(($T2062-$P2062)/$Q2062*$R2062,0)))</f>
        <v/>
      </c>
      <c r="V2062" s="26">
        <f>IF($G2062="","",ROUND($P2062+$U2062,0))</f>
        <v/>
      </c>
      <c r="W2062" s="26">
        <f>IF($G2062="","",IF(N($K2062)=0,0,ROUND($V2062/$K2062,2)))</f>
        <v/>
      </c>
      <c r="X2062" s="17" t="n"/>
      <c r="Y2062" s="17" t="n"/>
      <c r="Z2062" s="17" t="n"/>
      <c r="AA2062" s="17" t="n"/>
      <c r="AB2062" s="17" t="n"/>
      <c r="AC2062" s="24">
        <f>IF($G2062="","",IF($H2062="※编码不在物料档案里","※物料编码不在档案里",IF(N($K2062)&lt;=0,"※入库数量要大于 0",IF(AND($C2062&lt;&gt;"",$C2062&lt;=结账锁),"※日期早于已结账截止日，不能再录",IF(AND($L2062=0,$X2062="正常"),"※没填单价，价格状态请选「待补价」",IF(AND($S2062&gt;0,$R2062&gt;0),"△本批有 "&amp;$S2062&amp;" 行没单价，整批运费先挂账没摊",IF(AND($B2062&lt;&gt;"",COUNTIF($B$4:$B$2503,$B2062)&gt;1),"※入库单号重复","")))))))</f>
        <v/>
      </c>
    </row>
    <row r="2063">
      <c r="A2063" s="24">
        <f>IF($G2063="","",COUNTA($G$4:$G2063))</f>
        <v/>
      </c>
      <c r="B2063" s="17" t="n"/>
      <c r="C2063" s="30" t="n"/>
      <c r="D2063" s="17" t="n"/>
      <c r="E2063" s="17" t="n"/>
      <c r="F2063" s="17" t="n"/>
      <c r="G2063" s="17" t="n"/>
      <c r="H2063" s="24">
        <f>IF($G2063="","",IFERROR(VLOOKUP($G2063,物料档案!$A$4:$P$1203,3,0),"※编码不在物料档案里"))</f>
        <v/>
      </c>
      <c r="I2063" s="24">
        <f>IF($G2063="","",IFERROR(VLOOKUP($G2063,物料档案!$A$4:$P$1203,4,0),"※编码不在物料档案里"))</f>
        <v/>
      </c>
      <c r="J2063" s="24">
        <f>IF($G2063="","",IFERROR(VLOOKUP($G2063,物料档案!$A$4:$P$1203,5,0),"※编码不在物料档案里"))</f>
        <v/>
      </c>
      <c r="K2063" s="23" t="n"/>
      <c r="L2063" s="31" t="n"/>
      <c r="M2063" s="24">
        <f>IF($G2063="","",IF($D2063="A国内","CNY","TZS"))</f>
        <v/>
      </c>
      <c r="N2063" s="28">
        <f>IF($G2063="","",IF($D2063="A国内",汇率,1))</f>
        <v/>
      </c>
      <c r="O2063" s="25">
        <f>IF($G2063="","",ROUND(N($K2063)*N($L2063),2))</f>
        <v/>
      </c>
      <c r="P2063" s="26">
        <f>IF($G2063="","",ROUND($O2063*$N2063,0))</f>
        <v/>
      </c>
      <c r="Q2063" s="26">
        <f>IF($G2063="","",SUMIFS($P$4:$P$2503,$E$4:$E$2503,$E2063,$Z$4:$Z$2503,"正常"))</f>
        <v/>
      </c>
      <c r="R2063" s="26">
        <f>IF($G2063="","",SUMIFS(费用台账!$I$4:$I$503,费用台账!$C$4:$C$503,$E2063,费用台账!$J$4:$J$503,"是",费用台账!$K$4:$K$503,"正常"))</f>
        <v/>
      </c>
      <c r="S2063" s="28">
        <f>IF($G2063="","",COUNTIFS($E$4:$E$2503,$E2063,$Z$4:$Z$2503,"正常",$Y$4:$Y$2503,"待补价"))</f>
        <v/>
      </c>
      <c r="T2063" s="26">
        <f>IF($G2063="","",SUMIFS($P$4:$P$2503,$E$4:$E$2503,$E2063,$Z$4:$Z$2503,"正常",$A$4:$A$2503,"&lt;="&amp;$A2063))</f>
        <v/>
      </c>
      <c r="U2063" s="26">
        <f>IF($G2063="","",IF(OR($S2063&gt;0,$Q2063=0,$R2063=0,$Z2063&lt;&gt;"正常"),0,ROUND($T2063/$Q2063*$R2063,0)-ROUND(($T2063-$P2063)/$Q2063*$R2063,0)))</f>
        <v/>
      </c>
      <c r="V2063" s="26">
        <f>IF($G2063="","",ROUND($P2063+$U2063,0))</f>
        <v/>
      </c>
      <c r="W2063" s="26">
        <f>IF($G2063="","",IF(N($K2063)=0,0,ROUND($V2063/$K2063,2)))</f>
        <v/>
      </c>
      <c r="X2063" s="17" t="n"/>
      <c r="Y2063" s="17" t="n"/>
      <c r="Z2063" s="17" t="n"/>
      <c r="AA2063" s="17" t="n"/>
      <c r="AB2063" s="17" t="n"/>
      <c r="AC2063" s="24">
        <f>IF($G2063="","",IF($H2063="※编码不在物料档案里","※物料编码不在档案里",IF(N($K2063)&lt;=0,"※入库数量要大于 0",IF(AND($C2063&lt;&gt;"",$C2063&lt;=结账锁),"※日期早于已结账截止日，不能再录",IF(AND($L2063=0,$X2063="正常"),"※没填单价，价格状态请选「待补价」",IF(AND($S2063&gt;0,$R2063&gt;0),"△本批有 "&amp;$S2063&amp;" 行没单价，整批运费先挂账没摊",IF(AND($B2063&lt;&gt;"",COUNTIF($B$4:$B$2503,$B2063)&gt;1),"※入库单号重复","")))))))</f>
        <v/>
      </c>
    </row>
    <row r="2064">
      <c r="A2064" s="24">
        <f>IF($G2064="","",COUNTA($G$4:$G2064))</f>
        <v/>
      </c>
      <c r="B2064" s="17" t="n"/>
      <c r="C2064" s="30" t="n"/>
      <c r="D2064" s="17" t="n"/>
      <c r="E2064" s="17" t="n"/>
      <c r="F2064" s="17" t="n"/>
      <c r="G2064" s="17" t="n"/>
      <c r="H2064" s="24">
        <f>IF($G2064="","",IFERROR(VLOOKUP($G2064,物料档案!$A$4:$P$1203,3,0),"※编码不在物料档案里"))</f>
        <v/>
      </c>
      <c r="I2064" s="24">
        <f>IF($G2064="","",IFERROR(VLOOKUP($G2064,物料档案!$A$4:$P$1203,4,0),"※编码不在物料档案里"))</f>
        <v/>
      </c>
      <c r="J2064" s="24">
        <f>IF($G2064="","",IFERROR(VLOOKUP($G2064,物料档案!$A$4:$P$1203,5,0),"※编码不在物料档案里"))</f>
        <v/>
      </c>
      <c r="K2064" s="23" t="n"/>
      <c r="L2064" s="31" t="n"/>
      <c r="M2064" s="24">
        <f>IF($G2064="","",IF($D2064="A国内","CNY","TZS"))</f>
        <v/>
      </c>
      <c r="N2064" s="28">
        <f>IF($G2064="","",IF($D2064="A国内",汇率,1))</f>
        <v/>
      </c>
      <c r="O2064" s="25">
        <f>IF($G2064="","",ROUND(N($K2064)*N($L2064),2))</f>
        <v/>
      </c>
      <c r="P2064" s="26">
        <f>IF($G2064="","",ROUND($O2064*$N2064,0))</f>
        <v/>
      </c>
      <c r="Q2064" s="26">
        <f>IF($G2064="","",SUMIFS($P$4:$P$2503,$E$4:$E$2503,$E2064,$Z$4:$Z$2503,"正常"))</f>
        <v/>
      </c>
      <c r="R2064" s="26">
        <f>IF($G2064="","",SUMIFS(费用台账!$I$4:$I$503,费用台账!$C$4:$C$503,$E2064,费用台账!$J$4:$J$503,"是",费用台账!$K$4:$K$503,"正常"))</f>
        <v/>
      </c>
      <c r="S2064" s="28">
        <f>IF($G2064="","",COUNTIFS($E$4:$E$2503,$E2064,$Z$4:$Z$2503,"正常",$Y$4:$Y$2503,"待补价"))</f>
        <v/>
      </c>
      <c r="T2064" s="26">
        <f>IF($G2064="","",SUMIFS($P$4:$P$2503,$E$4:$E$2503,$E2064,$Z$4:$Z$2503,"正常",$A$4:$A$2503,"&lt;="&amp;$A2064))</f>
        <v/>
      </c>
      <c r="U2064" s="26">
        <f>IF($G2064="","",IF(OR($S2064&gt;0,$Q2064=0,$R2064=0,$Z2064&lt;&gt;"正常"),0,ROUND($T2064/$Q2064*$R2064,0)-ROUND(($T2064-$P2064)/$Q2064*$R2064,0)))</f>
        <v/>
      </c>
      <c r="V2064" s="26">
        <f>IF($G2064="","",ROUND($P2064+$U2064,0))</f>
        <v/>
      </c>
      <c r="W2064" s="26">
        <f>IF($G2064="","",IF(N($K2064)=0,0,ROUND($V2064/$K2064,2)))</f>
        <v/>
      </c>
      <c r="X2064" s="17" t="n"/>
      <c r="Y2064" s="17" t="n"/>
      <c r="Z2064" s="17" t="n"/>
      <c r="AA2064" s="17" t="n"/>
      <c r="AB2064" s="17" t="n"/>
      <c r="AC2064" s="24">
        <f>IF($G2064="","",IF($H2064="※编码不在物料档案里","※物料编码不在档案里",IF(N($K2064)&lt;=0,"※入库数量要大于 0",IF(AND($C2064&lt;&gt;"",$C2064&lt;=结账锁),"※日期早于已结账截止日，不能再录",IF(AND($L2064=0,$X2064="正常"),"※没填单价，价格状态请选「待补价」",IF(AND($S2064&gt;0,$R2064&gt;0),"△本批有 "&amp;$S2064&amp;" 行没单价，整批运费先挂账没摊",IF(AND($B2064&lt;&gt;"",COUNTIF($B$4:$B$2503,$B2064)&gt;1),"※入库单号重复","")))))))</f>
        <v/>
      </c>
    </row>
    <row r="2065">
      <c r="A2065" s="24">
        <f>IF($G2065="","",COUNTA($G$4:$G2065))</f>
        <v/>
      </c>
      <c r="B2065" s="17" t="n"/>
      <c r="C2065" s="30" t="n"/>
      <c r="D2065" s="17" t="n"/>
      <c r="E2065" s="17" t="n"/>
      <c r="F2065" s="17" t="n"/>
      <c r="G2065" s="17" t="n"/>
      <c r="H2065" s="24">
        <f>IF($G2065="","",IFERROR(VLOOKUP($G2065,物料档案!$A$4:$P$1203,3,0),"※编码不在物料档案里"))</f>
        <v/>
      </c>
      <c r="I2065" s="24">
        <f>IF($G2065="","",IFERROR(VLOOKUP($G2065,物料档案!$A$4:$P$1203,4,0),"※编码不在物料档案里"))</f>
        <v/>
      </c>
      <c r="J2065" s="24">
        <f>IF($G2065="","",IFERROR(VLOOKUP($G2065,物料档案!$A$4:$P$1203,5,0),"※编码不在物料档案里"))</f>
        <v/>
      </c>
      <c r="K2065" s="23" t="n"/>
      <c r="L2065" s="31" t="n"/>
      <c r="M2065" s="24">
        <f>IF($G2065="","",IF($D2065="A国内","CNY","TZS"))</f>
        <v/>
      </c>
      <c r="N2065" s="28">
        <f>IF($G2065="","",IF($D2065="A国内",汇率,1))</f>
        <v/>
      </c>
      <c r="O2065" s="25">
        <f>IF($G2065="","",ROUND(N($K2065)*N($L2065),2))</f>
        <v/>
      </c>
      <c r="P2065" s="26">
        <f>IF($G2065="","",ROUND($O2065*$N2065,0))</f>
        <v/>
      </c>
      <c r="Q2065" s="26">
        <f>IF($G2065="","",SUMIFS($P$4:$P$2503,$E$4:$E$2503,$E2065,$Z$4:$Z$2503,"正常"))</f>
        <v/>
      </c>
      <c r="R2065" s="26">
        <f>IF($G2065="","",SUMIFS(费用台账!$I$4:$I$503,费用台账!$C$4:$C$503,$E2065,费用台账!$J$4:$J$503,"是",费用台账!$K$4:$K$503,"正常"))</f>
        <v/>
      </c>
      <c r="S2065" s="28">
        <f>IF($G2065="","",COUNTIFS($E$4:$E$2503,$E2065,$Z$4:$Z$2503,"正常",$Y$4:$Y$2503,"待补价"))</f>
        <v/>
      </c>
      <c r="T2065" s="26">
        <f>IF($G2065="","",SUMIFS($P$4:$P$2503,$E$4:$E$2503,$E2065,$Z$4:$Z$2503,"正常",$A$4:$A$2503,"&lt;="&amp;$A2065))</f>
        <v/>
      </c>
      <c r="U2065" s="26">
        <f>IF($G2065="","",IF(OR($S2065&gt;0,$Q2065=0,$R2065=0,$Z2065&lt;&gt;"正常"),0,ROUND($T2065/$Q2065*$R2065,0)-ROUND(($T2065-$P2065)/$Q2065*$R2065,0)))</f>
        <v/>
      </c>
      <c r="V2065" s="26">
        <f>IF($G2065="","",ROUND($P2065+$U2065,0))</f>
        <v/>
      </c>
      <c r="W2065" s="26">
        <f>IF($G2065="","",IF(N($K2065)=0,0,ROUND($V2065/$K2065,2)))</f>
        <v/>
      </c>
      <c r="X2065" s="17" t="n"/>
      <c r="Y2065" s="17" t="n"/>
      <c r="Z2065" s="17" t="n"/>
      <c r="AA2065" s="17" t="n"/>
      <c r="AB2065" s="17" t="n"/>
      <c r="AC2065" s="24">
        <f>IF($G2065="","",IF($H2065="※编码不在物料档案里","※物料编码不在档案里",IF(N($K2065)&lt;=0,"※入库数量要大于 0",IF(AND($C2065&lt;&gt;"",$C2065&lt;=结账锁),"※日期早于已结账截止日，不能再录",IF(AND($L2065=0,$X2065="正常"),"※没填单价，价格状态请选「待补价」",IF(AND($S2065&gt;0,$R2065&gt;0),"△本批有 "&amp;$S2065&amp;" 行没单价，整批运费先挂账没摊",IF(AND($B2065&lt;&gt;"",COUNTIF($B$4:$B$2503,$B2065)&gt;1),"※入库单号重复","")))))))</f>
        <v/>
      </c>
    </row>
    <row r="2066">
      <c r="A2066" s="24">
        <f>IF($G2066="","",COUNTA($G$4:$G2066))</f>
        <v/>
      </c>
      <c r="B2066" s="17" t="n"/>
      <c r="C2066" s="30" t="n"/>
      <c r="D2066" s="17" t="n"/>
      <c r="E2066" s="17" t="n"/>
      <c r="F2066" s="17" t="n"/>
      <c r="G2066" s="17" t="n"/>
      <c r="H2066" s="24">
        <f>IF($G2066="","",IFERROR(VLOOKUP($G2066,物料档案!$A$4:$P$1203,3,0),"※编码不在物料档案里"))</f>
        <v/>
      </c>
      <c r="I2066" s="24">
        <f>IF($G2066="","",IFERROR(VLOOKUP($G2066,物料档案!$A$4:$P$1203,4,0),"※编码不在物料档案里"))</f>
        <v/>
      </c>
      <c r="J2066" s="24">
        <f>IF($G2066="","",IFERROR(VLOOKUP($G2066,物料档案!$A$4:$P$1203,5,0),"※编码不在物料档案里"))</f>
        <v/>
      </c>
      <c r="K2066" s="23" t="n"/>
      <c r="L2066" s="31" t="n"/>
      <c r="M2066" s="24">
        <f>IF($G2066="","",IF($D2066="A国内","CNY","TZS"))</f>
        <v/>
      </c>
      <c r="N2066" s="28">
        <f>IF($G2066="","",IF($D2066="A国内",汇率,1))</f>
        <v/>
      </c>
      <c r="O2066" s="25">
        <f>IF($G2066="","",ROUND(N($K2066)*N($L2066),2))</f>
        <v/>
      </c>
      <c r="P2066" s="26">
        <f>IF($G2066="","",ROUND($O2066*$N2066,0))</f>
        <v/>
      </c>
      <c r="Q2066" s="26">
        <f>IF($G2066="","",SUMIFS($P$4:$P$2503,$E$4:$E$2503,$E2066,$Z$4:$Z$2503,"正常"))</f>
        <v/>
      </c>
      <c r="R2066" s="26">
        <f>IF($G2066="","",SUMIFS(费用台账!$I$4:$I$503,费用台账!$C$4:$C$503,$E2066,费用台账!$J$4:$J$503,"是",费用台账!$K$4:$K$503,"正常"))</f>
        <v/>
      </c>
      <c r="S2066" s="28">
        <f>IF($G2066="","",COUNTIFS($E$4:$E$2503,$E2066,$Z$4:$Z$2503,"正常",$Y$4:$Y$2503,"待补价"))</f>
        <v/>
      </c>
      <c r="T2066" s="26">
        <f>IF($G2066="","",SUMIFS($P$4:$P$2503,$E$4:$E$2503,$E2066,$Z$4:$Z$2503,"正常",$A$4:$A$2503,"&lt;="&amp;$A2066))</f>
        <v/>
      </c>
      <c r="U2066" s="26">
        <f>IF($G2066="","",IF(OR($S2066&gt;0,$Q2066=0,$R2066=0,$Z2066&lt;&gt;"正常"),0,ROUND($T2066/$Q2066*$R2066,0)-ROUND(($T2066-$P2066)/$Q2066*$R2066,0)))</f>
        <v/>
      </c>
      <c r="V2066" s="26">
        <f>IF($G2066="","",ROUND($P2066+$U2066,0))</f>
        <v/>
      </c>
      <c r="W2066" s="26">
        <f>IF($G2066="","",IF(N($K2066)=0,0,ROUND($V2066/$K2066,2)))</f>
        <v/>
      </c>
      <c r="X2066" s="17" t="n"/>
      <c r="Y2066" s="17" t="n"/>
      <c r="Z2066" s="17" t="n"/>
      <c r="AA2066" s="17" t="n"/>
      <c r="AB2066" s="17" t="n"/>
      <c r="AC2066" s="24">
        <f>IF($G2066="","",IF($H2066="※编码不在物料档案里","※物料编码不在档案里",IF(N($K2066)&lt;=0,"※入库数量要大于 0",IF(AND($C2066&lt;&gt;"",$C2066&lt;=结账锁),"※日期早于已结账截止日，不能再录",IF(AND($L2066=0,$X2066="正常"),"※没填单价，价格状态请选「待补价」",IF(AND($S2066&gt;0,$R2066&gt;0),"△本批有 "&amp;$S2066&amp;" 行没单价，整批运费先挂账没摊",IF(AND($B2066&lt;&gt;"",COUNTIF($B$4:$B$2503,$B2066)&gt;1),"※入库单号重复","")))))))</f>
        <v/>
      </c>
    </row>
    <row r="2067">
      <c r="A2067" s="24">
        <f>IF($G2067="","",COUNTA($G$4:$G2067))</f>
        <v/>
      </c>
      <c r="B2067" s="17" t="n"/>
      <c r="C2067" s="30" t="n"/>
      <c r="D2067" s="17" t="n"/>
      <c r="E2067" s="17" t="n"/>
      <c r="F2067" s="17" t="n"/>
      <c r="G2067" s="17" t="n"/>
      <c r="H2067" s="24">
        <f>IF($G2067="","",IFERROR(VLOOKUP($G2067,物料档案!$A$4:$P$1203,3,0),"※编码不在物料档案里"))</f>
        <v/>
      </c>
      <c r="I2067" s="24">
        <f>IF($G2067="","",IFERROR(VLOOKUP($G2067,物料档案!$A$4:$P$1203,4,0),"※编码不在物料档案里"))</f>
        <v/>
      </c>
      <c r="J2067" s="24">
        <f>IF($G2067="","",IFERROR(VLOOKUP($G2067,物料档案!$A$4:$P$1203,5,0),"※编码不在物料档案里"))</f>
        <v/>
      </c>
      <c r="K2067" s="23" t="n"/>
      <c r="L2067" s="31" t="n"/>
      <c r="M2067" s="24">
        <f>IF($G2067="","",IF($D2067="A国内","CNY","TZS"))</f>
        <v/>
      </c>
      <c r="N2067" s="28">
        <f>IF($G2067="","",IF($D2067="A国内",汇率,1))</f>
        <v/>
      </c>
      <c r="O2067" s="25">
        <f>IF($G2067="","",ROUND(N($K2067)*N($L2067),2))</f>
        <v/>
      </c>
      <c r="P2067" s="26">
        <f>IF($G2067="","",ROUND($O2067*$N2067,0))</f>
        <v/>
      </c>
      <c r="Q2067" s="26">
        <f>IF($G2067="","",SUMIFS($P$4:$P$2503,$E$4:$E$2503,$E2067,$Z$4:$Z$2503,"正常"))</f>
        <v/>
      </c>
      <c r="R2067" s="26">
        <f>IF($G2067="","",SUMIFS(费用台账!$I$4:$I$503,费用台账!$C$4:$C$503,$E2067,费用台账!$J$4:$J$503,"是",费用台账!$K$4:$K$503,"正常"))</f>
        <v/>
      </c>
      <c r="S2067" s="28">
        <f>IF($G2067="","",COUNTIFS($E$4:$E$2503,$E2067,$Z$4:$Z$2503,"正常",$Y$4:$Y$2503,"待补价"))</f>
        <v/>
      </c>
      <c r="T2067" s="26">
        <f>IF($G2067="","",SUMIFS($P$4:$P$2503,$E$4:$E$2503,$E2067,$Z$4:$Z$2503,"正常",$A$4:$A$2503,"&lt;="&amp;$A2067))</f>
        <v/>
      </c>
      <c r="U2067" s="26">
        <f>IF($G2067="","",IF(OR($S2067&gt;0,$Q2067=0,$R2067=0,$Z2067&lt;&gt;"正常"),0,ROUND($T2067/$Q2067*$R2067,0)-ROUND(($T2067-$P2067)/$Q2067*$R2067,0)))</f>
        <v/>
      </c>
      <c r="V2067" s="26">
        <f>IF($G2067="","",ROUND($P2067+$U2067,0))</f>
        <v/>
      </c>
      <c r="W2067" s="26">
        <f>IF($G2067="","",IF(N($K2067)=0,0,ROUND($V2067/$K2067,2)))</f>
        <v/>
      </c>
      <c r="X2067" s="17" t="n"/>
      <c r="Y2067" s="17" t="n"/>
      <c r="Z2067" s="17" t="n"/>
      <c r="AA2067" s="17" t="n"/>
      <c r="AB2067" s="17" t="n"/>
      <c r="AC2067" s="24">
        <f>IF($G2067="","",IF($H2067="※编码不在物料档案里","※物料编码不在档案里",IF(N($K2067)&lt;=0,"※入库数量要大于 0",IF(AND($C2067&lt;&gt;"",$C2067&lt;=结账锁),"※日期早于已结账截止日，不能再录",IF(AND($L2067=0,$X2067="正常"),"※没填单价，价格状态请选「待补价」",IF(AND($S2067&gt;0,$R2067&gt;0),"△本批有 "&amp;$S2067&amp;" 行没单价，整批运费先挂账没摊",IF(AND($B2067&lt;&gt;"",COUNTIF($B$4:$B$2503,$B2067)&gt;1),"※入库单号重复","")))))))</f>
        <v/>
      </c>
    </row>
    <row r="2068">
      <c r="A2068" s="24">
        <f>IF($G2068="","",COUNTA($G$4:$G2068))</f>
        <v/>
      </c>
      <c r="B2068" s="17" t="n"/>
      <c r="C2068" s="30" t="n"/>
      <c r="D2068" s="17" t="n"/>
      <c r="E2068" s="17" t="n"/>
      <c r="F2068" s="17" t="n"/>
      <c r="G2068" s="17" t="n"/>
      <c r="H2068" s="24">
        <f>IF($G2068="","",IFERROR(VLOOKUP($G2068,物料档案!$A$4:$P$1203,3,0),"※编码不在物料档案里"))</f>
        <v/>
      </c>
      <c r="I2068" s="24">
        <f>IF($G2068="","",IFERROR(VLOOKUP($G2068,物料档案!$A$4:$P$1203,4,0),"※编码不在物料档案里"))</f>
        <v/>
      </c>
      <c r="J2068" s="24">
        <f>IF($G2068="","",IFERROR(VLOOKUP($G2068,物料档案!$A$4:$P$1203,5,0),"※编码不在物料档案里"))</f>
        <v/>
      </c>
      <c r="K2068" s="23" t="n"/>
      <c r="L2068" s="31" t="n"/>
      <c r="M2068" s="24">
        <f>IF($G2068="","",IF($D2068="A国内","CNY","TZS"))</f>
        <v/>
      </c>
      <c r="N2068" s="28">
        <f>IF($G2068="","",IF($D2068="A国内",汇率,1))</f>
        <v/>
      </c>
      <c r="O2068" s="25">
        <f>IF($G2068="","",ROUND(N($K2068)*N($L2068),2))</f>
        <v/>
      </c>
      <c r="P2068" s="26">
        <f>IF($G2068="","",ROUND($O2068*$N2068,0))</f>
        <v/>
      </c>
      <c r="Q2068" s="26">
        <f>IF($G2068="","",SUMIFS($P$4:$P$2503,$E$4:$E$2503,$E2068,$Z$4:$Z$2503,"正常"))</f>
        <v/>
      </c>
      <c r="R2068" s="26">
        <f>IF($G2068="","",SUMIFS(费用台账!$I$4:$I$503,费用台账!$C$4:$C$503,$E2068,费用台账!$J$4:$J$503,"是",费用台账!$K$4:$K$503,"正常"))</f>
        <v/>
      </c>
      <c r="S2068" s="28">
        <f>IF($G2068="","",COUNTIFS($E$4:$E$2503,$E2068,$Z$4:$Z$2503,"正常",$Y$4:$Y$2503,"待补价"))</f>
        <v/>
      </c>
      <c r="T2068" s="26">
        <f>IF($G2068="","",SUMIFS($P$4:$P$2503,$E$4:$E$2503,$E2068,$Z$4:$Z$2503,"正常",$A$4:$A$2503,"&lt;="&amp;$A2068))</f>
        <v/>
      </c>
      <c r="U2068" s="26">
        <f>IF($G2068="","",IF(OR($S2068&gt;0,$Q2068=0,$R2068=0,$Z2068&lt;&gt;"正常"),0,ROUND($T2068/$Q2068*$R2068,0)-ROUND(($T2068-$P2068)/$Q2068*$R2068,0)))</f>
        <v/>
      </c>
      <c r="V2068" s="26">
        <f>IF($G2068="","",ROUND($P2068+$U2068,0))</f>
        <v/>
      </c>
      <c r="W2068" s="26">
        <f>IF($G2068="","",IF(N($K2068)=0,0,ROUND($V2068/$K2068,2)))</f>
        <v/>
      </c>
      <c r="X2068" s="17" t="n"/>
      <c r="Y2068" s="17" t="n"/>
      <c r="Z2068" s="17" t="n"/>
      <c r="AA2068" s="17" t="n"/>
      <c r="AB2068" s="17" t="n"/>
      <c r="AC2068" s="24">
        <f>IF($G2068="","",IF($H2068="※编码不在物料档案里","※物料编码不在档案里",IF(N($K2068)&lt;=0,"※入库数量要大于 0",IF(AND($C2068&lt;&gt;"",$C2068&lt;=结账锁),"※日期早于已结账截止日，不能再录",IF(AND($L2068=0,$X2068="正常"),"※没填单价，价格状态请选「待补价」",IF(AND($S2068&gt;0,$R2068&gt;0),"△本批有 "&amp;$S2068&amp;" 行没单价，整批运费先挂账没摊",IF(AND($B2068&lt;&gt;"",COUNTIF($B$4:$B$2503,$B2068)&gt;1),"※入库单号重复","")))))))</f>
        <v/>
      </c>
    </row>
    <row r="2069">
      <c r="A2069" s="24">
        <f>IF($G2069="","",COUNTA($G$4:$G2069))</f>
        <v/>
      </c>
      <c r="B2069" s="17" t="n"/>
      <c r="C2069" s="30" t="n"/>
      <c r="D2069" s="17" t="n"/>
      <c r="E2069" s="17" t="n"/>
      <c r="F2069" s="17" t="n"/>
      <c r="G2069" s="17" t="n"/>
      <c r="H2069" s="24">
        <f>IF($G2069="","",IFERROR(VLOOKUP($G2069,物料档案!$A$4:$P$1203,3,0),"※编码不在物料档案里"))</f>
        <v/>
      </c>
      <c r="I2069" s="24">
        <f>IF($G2069="","",IFERROR(VLOOKUP($G2069,物料档案!$A$4:$P$1203,4,0),"※编码不在物料档案里"))</f>
        <v/>
      </c>
      <c r="J2069" s="24">
        <f>IF($G2069="","",IFERROR(VLOOKUP($G2069,物料档案!$A$4:$P$1203,5,0),"※编码不在物料档案里"))</f>
        <v/>
      </c>
      <c r="K2069" s="23" t="n"/>
      <c r="L2069" s="31" t="n"/>
      <c r="M2069" s="24">
        <f>IF($G2069="","",IF($D2069="A国内","CNY","TZS"))</f>
        <v/>
      </c>
      <c r="N2069" s="28">
        <f>IF($G2069="","",IF($D2069="A国内",汇率,1))</f>
        <v/>
      </c>
      <c r="O2069" s="25">
        <f>IF($G2069="","",ROUND(N($K2069)*N($L2069),2))</f>
        <v/>
      </c>
      <c r="P2069" s="26">
        <f>IF($G2069="","",ROUND($O2069*$N2069,0))</f>
        <v/>
      </c>
      <c r="Q2069" s="26">
        <f>IF($G2069="","",SUMIFS($P$4:$P$2503,$E$4:$E$2503,$E2069,$Z$4:$Z$2503,"正常"))</f>
        <v/>
      </c>
      <c r="R2069" s="26">
        <f>IF($G2069="","",SUMIFS(费用台账!$I$4:$I$503,费用台账!$C$4:$C$503,$E2069,费用台账!$J$4:$J$503,"是",费用台账!$K$4:$K$503,"正常"))</f>
        <v/>
      </c>
      <c r="S2069" s="28">
        <f>IF($G2069="","",COUNTIFS($E$4:$E$2503,$E2069,$Z$4:$Z$2503,"正常",$Y$4:$Y$2503,"待补价"))</f>
        <v/>
      </c>
      <c r="T2069" s="26">
        <f>IF($G2069="","",SUMIFS($P$4:$P$2503,$E$4:$E$2503,$E2069,$Z$4:$Z$2503,"正常",$A$4:$A$2503,"&lt;="&amp;$A2069))</f>
        <v/>
      </c>
      <c r="U2069" s="26">
        <f>IF($G2069="","",IF(OR($S2069&gt;0,$Q2069=0,$R2069=0,$Z2069&lt;&gt;"正常"),0,ROUND($T2069/$Q2069*$R2069,0)-ROUND(($T2069-$P2069)/$Q2069*$R2069,0)))</f>
        <v/>
      </c>
      <c r="V2069" s="26">
        <f>IF($G2069="","",ROUND($P2069+$U2069,0))</f>
        <v/>
      </c>
      <c r="W2069" s="26">
        <f>IF($G2069="","",IF(N($K2069)=0,0,ROUND($V2069/$K2069,2)))</f>
        <v/>
      </c>
      <c r="X2069" s="17" t="n"/>
      <c r="Y2069" s="17" t="n"/>
      <c r="Z2069" s="17" t="n"/>
      <c r="AA2069" s="17" t="n"/>
      <c r="AB2069" s="17" t="n"/>
      <c r="AC2069" s="24">
        <f>IF($G2069="","",IF($H2069="※编码不在物料档案里","※物料编码不在档案里",IF(N($K2069)&lt;=0,"※入库数量要大于 0",IF(AND($C2069&lt;&gt;"",$C2069&lt;=结账锁),"※日期早于已结账截止日，不能再录",IF(AND($L2069=0,$X2069="正常"),"※没填单价，价格状态请选「待补价」",IF(AND($S2069&gt;0,$R2069&gt;0),"△本批有 "&amp;$S2069&amp;" 行没单价，整批运费先挂账没摊",IF(AND($B2069&lt;&gt;"",COUNTIF($B$4:$B$2503,$B2069)&gt;1),"※入库单号重复","")))))))</f>
        <v/>
      </c>
    </row>
    <row r="2070">
      <c r="A2070" s="24">
        <f>IF($G2070="","",COUNTA($G$4:$G2070))</f>
        <v/>
      </c>
      <c r="B2070" s="17" t="n"/>
      <c r="C2070" s="30" t="n"/>
      <c r="D2070" s="17" t="n"/>
      <c r="E2070" s="17" t="n"/>
      <c r="F2070" s="17" t="n"/>
      <c r="G2070" s="17" t="n"/>
      <c r="H2070" s="24">
        <f>IF($G2070="","",IFERROR(VLOOKUP($G2070,物料档案!$A$4:$P$1203,3,0),"※编码不在物料档案里"))</f>
        <v/>
      </c>
      <c r="I2070" s="24">
        <f>IF($G2070="","",IFERROR(VLOOKUP($G2070,物料档案!$A$4:$P$1203,4,0),"※编码不在物料档案里"))</f>
        <v/>
      </c>
      <c r="J2070" s="24">
        <f>IF($G2070="","",IFERROR(VLOOKUP($G2070,物料档案!$A$4:$P$1203,5,0),"※编码不在物料档案里"))</f>
        <v/>
      </c>
      <c r="K2070" s="23" t="n"/>
      <c r="L2070" s="31" t="n"/>
      <c r="M2070" s="24">
        <f>IF($G2070="","",IF($D2070="A国内","CNY","TZS"))</f>
        <v/>
      </c>
      <c r="N2070" s="28">
        <f>IF($G2070="","",IF($D2070="A国内",汇率,1))</f>
        <v/>
      </c>
      <c r="O2070" s="25">
        <f>IF($G2070="","",ROUND(N($K2070)*N($L2070),2))</f>
        <v/>
      </c>
      <c r="P2070" s="26">
        <f>IF($G2070="","",ROUND($O2070*$N2070,0))</f>
        <v/>
      </c>
      <c r="Q2070" s="26">
        <f>IF($G2070="","",SUMIFS($P$4:$P$2503,$E$4:$E$2503,$E2070,$Z$4:$Z$2503,"正常"))</f>
        <v/>
      </c>
      <c r="R2070" s="26">
        <f>IF($G2070="","",SUMIFS(费用台账!$I$4:$I$503,费用台账!$C$4:$C$503,$E2070,费用台账!$J$4:$J$503,"是",费用台账!$K$4:$K$503,"正常"))</f>
        <v/>
      </c>
      <c r="S2070" s="28">
        <f>IF($G2070="","",COUNTIFS($E$4:$E$2503,$E2070,$Z$4:$Z$2503,"正常",$Y$4:$Y$2503,"待补价"))</f>
        <v/>
      </c>
      <c r="T2070" s="26">
        <f>IF($G2070="","",SUMIFS($P$4:$P$2503,$E$4:$E$2503,$E2070,$Z$4:$Z$2503,"正常",$A$4:$A$2503,"&lt;="&amp;$A2070))</f>
        <v/>
      </c>
      <c r="U2070" s="26">
        <f>IF($G2070="","",IF(OR($S2070&gt;0,$Q2070=0,$R2070=0,$Z2070&lt;&gt;"正常"),0,ROUND($T2070/$Q2070*$R2070,0)-ROUND(($T2070-$P2070)/$Q2070*$R2070,0)))</f>
        <v/>
      </c>
      <c r="V2070" s="26">
        <f>IF($G2070="","",ROUND($P2070+$U2070,0))</f>
        <v/>
      </c>
      <c r="W2070" s="26">
        <f>IF($G2070="","",IF(N($K2070)=0,0,ROUND($V2070/$K2070,2)))</f>
        <v/>
      </c>
      <c r="X2070" s="17" t="n"/>
      <c r="Y2070" s="17" t="n"/>
      <c r="Z2070" s="17" t="n"/>
      <c r="AA2070" s="17" t="n"/>
      <c r="AB2070" s="17" t="n"/>
      <c r="AC2070" s="24">
        <f>IF($G2070="","",IF($H2070="※编码不在物料档案里","※物料编码不在档案里",IF(N($K2070)&lt;=0,"※入库数量要大于 0",IF(AND($C2070&lt;&gt;"",$C2070&lt;=结账锁),"※日期早于已结账截止日，不能再录",IF(AND($L2070=0,$X2070="正常"),"※没填单价，价格状态请选「待补价」",IF(AND($S2070&gt;0,$R2070&gt;0),"△本批有 "&amp;$S2070&amp;" 行没单价，整批运费先挂账没摊",IF(AND($B2070&lt;&gt;"",COUNTIF($B$4:$B$2503,$B2070)&gt;1),"※入库单号重复","")))))))</f>
        <v/>
      </c>
    </row>
    <row r="2071">
      <c r="A2071" s="24">
        <f>IF($G2071="","",COUNTA($G$4:$G2071))</f>
        <v/>
      </c>
      <c r="B2071" s="17" t="n"/>
      <c r="C2071" s="30" t="n"/>
      <c r="D2071" s="17" t="n"/>
      <c r="E2071" s="17" t="n"/>
      <c r="F2071" s="17" t="n"/>
      <c r="G2071" s="17" t="n"/>
      <c r="H2071" s="24">
        <f>IF($G2071="","",IFERROR(VLOOKUP($G2071,物料档案!$A$4:$P$1203,3,0),"※编码不在物料档案里"))</f>
        <v/>
      </c>
      <c r="I2071" s="24">
        <f>IF($G2071="","",IFERROR(VLOOKUP($G2071,物料档案!$A$4:$P$1203,4,0),"※编码不在物料档案里"))</f>
        <v/>
      </c>
      <c r="J2071" s="24">
        <f>IF($G2071="","",IFERROR(VLOOKUP($G2071,物料档案!$A$4:$P$1203,5,0),"※编码不在物料档案里"))</f>
        <v/>
      </c>
      <c r="K2071" s="23" t="n"/>
      <c r="L2071" s="31" t="n"/>
      <c r="M2071" s="24">
        <f>IF($G2071="","",IF($D2071="A国内","CNY","TZS"))</f>
        <v/>
      </c>
      <c r="N2071" s="28">
        <f>IF($G2071="","",IF($D2071="A国内",汇率,1))</f>
        <v/>
      </c>
      <c r="O2071" s="25">
        <f>IF($G2071="","",ROUND(N($K2071)*N($L2071),2))</f>
        <v/>
      </c>
      <c r="P2071" s="26">
        <f>IF($G2071="","",ROUND($O2071*$N2071,0))</f>
        <v/>
      </c>
      <c r="Q2071" s="26">
        <f>IF($G2071="","",SUMIFS($P$4:$P$2503,$E$4:$E$2503,$E2071,$Z$4:$Z$2503,"正常"))</f>
        <v/>
      </c>
      <c r="R2071" s="26">
        <f>IF($G2071="","",SUMIFS(费用台账!$I$4:$I$503,费用台账!$C$4:$C$503,$E2071,费用台账!$J$4:$J$503,"是",费用台账!$K$4:$K$503,"正常"))</f>
        <v/>
      </c>
      <c r="S2071" s="28">
        <f>IF($G2071="","",COUNTIFS($E$4:$E$2503,$E2071,$Z$4:$Z$2503,"正常",$Y$4:$Y$2503,"待补价"))</f>
        <v/>
      </c>
      <c r="T2071" s="26">
        <f>IF($G2071="","",SUMIFS($P$4:$P$2503,$E$4:$E$2503,$E2071,$Z$4:$Z$2503,"正常",$A$4:$A$2503,"&lt;="&amp;$A2071))</f>
        <v/>
      </c>
      <c r="U2071" s="26">
        <f>IF($G2071="","",IF(OR($S2071&gt;0,$Q2071=0,$R2071=0,$Z2071&lt;&gt;"正常"),0,ROUND($T2071/$Q2071*$R2071,0)-ROUND(($T2071-$P2071)/$Q2071*$R2071,0)))</f>
        <v/>
      </c>
      <c r="V2071" s="26">
        <f>IF($G2071="","",ROUND($P2071+$U2071,0))</f>
        <v/>
      </c>
      <c r="W2071" s="26">
        <f>IF($G2071="","",IF(N($K2071)=0,0,ROUND($V2071/$K2071,2)))</f>
        <v/>
      </c>
      <c r="X2071" s="17" t="n"/>
      <c r="Y2071" s="17" t="n"/>
      <c r="Z2071" s="17" t="n"/>
      <c r="AA2071" s="17" t="n"/>
      <c r="AB2071" s="17" t="n"/>
      <c r="AC2071" s="24">
        <f>IF($G2071="","",IF($H2071="※编码不在物料档案里","※物料编码不在档案里",IF(N($K2071)&lt;=0,"※入库数量要大于 0",IF(AND($C2071&lt;&gt;"",$C2071&lt;=结账锁),"※日期早于已结账截止日，不能再录",IF(AND($L2071=0,$X2071="正常"),"※没填单价，价格状态请选「待补价」",IF(AND($S2071&gt;0,$R2071&gt;0),"△本批有 "&amp;$S2071&amp;" 行没单价，整批运费先挂账没摊",IF(AND($B2071&lt;&gt;"",COUNTIF($B$4:$B$2503,$B2071)&gt;1),"※入库单号重复","")))))))</f>
        <v/>
      </c>
    </row>
    <row r="2072">
      <c r="A2072" s="24">
        <f>IF($G2072="","",COUNTA($G$4:$G2072))</f>
        <v/>
      </c>
      <c r="B2072" s="17" t="n"/>
      <c r="C2072" s="30" t="n"/>
      <c r="D2072" s="17" t="n"/>
      <c r="E2072" s="17" t="n"/>
      <c r="F2072" s="17" t="n"/>
      <c r="G2072" s="17" t="n"/>
      <c r="H2072" s="24">
        <f>IF($G2072="","",IFERROR(VLOOKUP($G2072,物料档案!$A$4:$P$1203,3,0),"※编码不在物料档案里"))</f>
        <v/>
      </c>
      <c r="I2072" s="24">
        <f>IF($G2072="","",IFERROR(VLOOKUP($G2072,物料档案!$A$4:$P$1203,4,0),"※编码不在物料档案里"))</f>
        <v/>
      </c>
      <c r="J2072" s="24">
        <f>IF($G2072="","",IFERROR(VLOOKUP($G2072,物料档案!$A$4:$P$1203,5,0),"※编码不在物料档案里"))</f>
        <v/>
      </c>
      <c r="K2072" s="23" t="n"/>
      <c r="L2072" s="31" t="n"/>
      <c r="M2072" s="24">
        <f>IF($G2072="","",IF($D2072="A国内","CNY","TZS"))</f>
        <v/>
      </c>
      <c r="N2072" s="28">
        <f>IF($G2072="","",IF($D2072="A国内",汇率,1))</f>
        <v/>
      </c>
      <c r="O2072" s="25">
        <f>IF($G2072="","",ROUND(N($K2072)*N($L2072),2))</f>
        <v/>
      </c>
      <c r="P2072" s="26">
        <f>IF($G2072="","",ROUND($O2072*$N2072,0))</f>
        <v/>
      </c>
      <c r="Q2072" s="26">
        <f>IF($G2072="","",SUMIFS($P$4:$P$2503,$E$4:$E$2503,$E2072,$Z$4:$Z$2503,"正常"))</f>
        <v/>
      </c>
      <c r="R2072" s="26">
        <f>IF($G2072="","",SUMIFS(费用台账!$I$4:$I$503,费用台账!$C$4:$C$503,$E2072,费用台账!$J$4:$J$503,"是",费用台账!$K$4:$K$503,"正常"))</f>
        <v/>
      </c>
      <c r="S2072" s="28">
        <f>IF($G2072="","",COUNTIFS($E$4:$E$2503,$E2072,$Z$4:$Z$2503,"正常",$Y$4:$Y$2503,"待补价"))</f>
        <v/>
      </c>
      <c r="T2072" s="26">
        <f>IF($G2072="","",SUMIFS($P$4:$P$2503,$E$4:$E$2503,$E2072,$Z$4:$Z$2503,"正常",$A$4:$A$2503,"&lt;="&amp;$A2072))</f>
        <v/>
      </c>
      <c r="U2072" s="26">
        <f>IF($G2072="","",IF(OR($S2072&gt;0,$Q2072=0,$R2072=0,$Z2072&lt;&gt;"正常"),0,ROUND($T2072/$Q2072*$R2072,0)-ROUND(($T2072-$P2072)/$Q2072*$R2072,0)))</f>
        <v/>
      </c>
      <c r="V2072" s="26">
        <f>IF($G2072="","",ROUND($P2072+$U2072,0))</f>
        <v/>
      </c>
      <c r="W2072" s="26">
        <f>IF($G2072="","",IF(N($K2072)=0,0,ROUND($V2072/$K2072,2)))</f>
        <v/>
      </c>
      <c r="X2072" s="17" t="n"/>
      <c r="Y2072" s="17" t="n"/>
      <c r="Z2072" s="17" t="n"/>
      <c r="AA2072" s="17" t="n"/>
      <c r="AB2072" s="17" t="n"/>
      <c r="AC2072" s="24">
        <f>IF($G2072="","",IF($H2072="※编码不在物料档案里","※物料编码不在档案里",IF(N($K2072)&lt;=0,"※入库数量要大于 0",IF(AND($C2072&lt;&gt;"",$C2072&lt;=结账锁),"※日期早于已结账截止日，不能再录",IF(AND($L2072=0,$X2072="正常"),"※没填单价，价格状态请选「待补价」",IF(AND($S2072&gt;0,$R2072&gt;0),"△本批有 "&amp;$S2072&amp;" 行没单价，整批运费先挂账没摊",IF(AND($B2072&lt;&gt;"",COUNTIF($B$4:$B$2503,$B2072)&gt;1),"※入库单号重复","")))))))</f>
        <v/>
      </c>
    </row>
    <row r="2073">
      <c r="A2073" s="24">
        <f>IF($G2073="","",COUNTA($G$4:$G2073))</f>
        <v/>
      </c>
      <c r="B2073" s="17" t="n"/>
      <c r="C2073" s="30" t="n"/>
      <c r="D2073" s="17" t="n"/>
      <c r="E2073" s="17" t="n"/>
      <c r="F2073" s="17" t="n"/>
      <c r="G2073" s="17" t="n"/>
      <c r="H2073" s="24">
        <f>IF($G2073="","",IFERROR(VLOOKUP($G2073,物料档案!$A$4:$P$1203,3,0),"※编码不在物料档案里"))</f>
        <v/>
      </c>
      <c r="I2073" s="24">
        <f>IF($G2073="","",IFERROR(VLOOKUP($G2073,物料档案!$A$4:$P$1203,4,0),"※编码不在物料档案里"))</f>
        <v/>
      </c>
      <c r="J2073" s="24">
        <f>IF($G2073="","",IFERROR(VLOOKUP($G2073,物料档案!$A$4:$P$1203,5,0),"※编码不在物料档案里"))</f>
        <v/>
      </c>
      <c r="K2073" s="23" t="n"/>
      <c r="L2073" s="31" t="n"/>
      <c r="M2073" s="24">
        <f>IF($G2073="","",IF($D2073="A国内","CNY","TZS"))</f>
        <v/>
      </c>
      <c r="N2073" s="28">
        <f>IF($G2073="","",IF($D2073="A国内",汇率,1))</f>
        <v/>
      </c>
      <c r="O2073" s="25">
        <f>IF($G2073="","",ROUND(N($K2073)*N($L2073),2))</f>
        <v/>
      </c>
      <c r="P2073" s="26">
        <f>IF($G2073="","",ROUND($O2073*$N2073,0))</f>
        <v/>
      </c>
      <c r="Q2073" s="26">
        <f>IF($G2073="","",SUMIFS($P$4:$P$2503,$E$4:$E$2503,$E2073,$Z$4:$Z$2503,"正常"))</f>
        <v/>
      </c>
      <c r="R2073" s="26">
        <f>IF($G2073="","",SUMIFS(费用台账!$I$4:$I$503,费用台账!$C$4:$C$503,$E2073,费用台账!$J$4:$J$503,"是",费用台账!$K$4:$K$503,"正常"))</f>
        <v/>
      </c>
      <c r="S2073" s="28">
        <f>IF($G2073="","",COUNTIFS($E$4:$E$2503,$E2073,$Z$4:$Z$2503,"正常",$Y$4:$Y$2503,"待补价"))</f>
        <v/>
      </c>
      <c r="T2073" s="26">
        <f>IF($G2073="","",SUMIFS($P$4:$P$2503,$E$4:$E$2503,$E2073,$Z$4:$Z$2503,"正常",$A$4:$A$2503,"&lt;="&amp;$A2073))</f>
        <v/>
      </c>
      <c r="U2073" s="26">
        <f>IF($G2073="","",IF(OR($S2073&gt;0,$Q2073=0,$R2073=0,$Z2073&lt;&gt;"正常"),0,ROUND($T2073/$Q2073*$R2073,0)-ROUND(($T2073-$P2073)/$Q2073*$R2073,0)))</f>
        <v/>
      </c>
      <c r="V2073" s="26">
        <f>IF($G2073="","",ROUND($P2073+$U2073,0))</f>
        <v/>
      </c>
      <c r="W2073" s="26">
        <f>IF($G2073="","",IF(N($K2073)=0,0,ROUND($V2073/$K2073,2)))</f>
        <v/>
      </c>
      <c r="X2073" s="17" t="n"/>
      <c r="Y2073" s="17" t="n"/>
      <c r="Z2073" s="17" t="n"/>
      <c r="AA2073" s="17" t="n"/>
      <c r="AB2073" s="17" t="n"/>
      <c r="AC2073" s="24">
        <f>IF($G2073="","",IF($H2073="※编码不在物料档案里","※物料编码不在档案里",IF(N($K2073)&lt;=0,"※入库数量要大于 0",IF(AND($C2073&lt;&gt;"",$C2073&lt;=结账锁),"※日期早于已结账截止日，不能再录",IF(AND($L2073=0,$X2073="正常"),"※没填单价，价格状态请选「待补价」",IF(AND($S2073&gt;0,$R2073&gt;0),"△本批有 "&amp;$S2073&amp;" 行没单价，整批运费先挂账没摊",IF(AND($B2073&lt;&gt;"",COUNTIF($B$4:$B$2503,$B2073)&gt;1),"※入库单号重复","")))))))</f>
        <v/>
      </c>
    </row>
    <row r="2074">
      <c r="A2074" s="24">
        <f>IF($G2074="","",COUNTA($G$4:$G2074))</f>
        <v/>
      </c>
      <c r="B2074" s="17" t="n"/>
      <c r="C2074" s="30" t="n"/>
      <c r="D2074" s="17" t="n"/>
      <c r="E2074" s="17" t="n"/>
      <c r="F2074" s="17" t="n"/>
      <c r="G2074" s="17" t="n"/>
      <c r="H2074" s="24">
        <f>IF($G2074="","",IFERROR(VLOOKUP($G2074,物料档案!$A$4:$P$1203,3,0),"※编码不在物料档案里"))</f>
        <v/>
      </c>
      <c r="I2074" s="24">
        <f>IF($G2074="","",IFERROR(VLOOKUP($G2074,物料档案!$A$4:$P$1203,4,0),"※编码不在物料档案里"))</f>
        <v/>
      </c>
      <c r="J2074" s="24">
        <f>IF($G2074="","",IFERROR(VLOOKUP($G2074,物料档案!$A$4:$P$1203,5,0),"※编码不在物料档案里"))</f>
        <v/>
      </c>
      <c r="K2074" s="23" t="n"/>
      <c r="L2074" s="31" t="n"/>
      <c r="M2074" s="24">
        <f>IF($G2074="","",IF($D2074="A国内","CNY","TZS"))</f>
        <v/>
      </c>
      <c r="N2074" s="28">
        <f>IF($G2074="","",IF($D2074="A国内",汇率,1))</f>
        <v/>
      </c>
      <c r="O2074" s="25">
        <f>IF($G2074="","",ROUND(N($K2074)*N($L2074),2))</f>
        <v/>
      </c>
      <c r="P2074" s="26">
        <f>IF($G2074="","",ROUND($O2074*$N2074,0))</f>
        <v/>
      </c>
      <c r="Q2074" s="26">
        <f>IF($G2074="","",SUMIFS($P$4:$P$2503,$E$4:$E$2503,$E2074,$Z$4:$Z$2503,"正常"))</f>
        <v/>
      </c>
      <c r="R2074" s="26">
        <f>IF($G2074="","",SUMIFS(费用台账!$I$4:$I$503,费用台账!$C$4:$C$503,$E2074,费用台账!$J$4:$J$503,"是",费用台账!$K$4:$K$503,"正常"))</f>
        <v/>
      </c>
      <c r="S2074" s="28">
        <f>IF($G2074="","",COUNTIFS($E$4:$E$2503,$E2074,$Z$4:$Z$2503,"正常",$Y$4:$Y$2503,"待补价"))</f>
        <v/>
      </c>
      <c r="T2074" s="26">
        <f>IF($G2074="","",SUMIFS($P$4:$P$2503,$E$4:$E$2503,$E2074,$Z$4:$Z$2503,"正常",$A$4:$A$2503,"&lt;="&amp;$A2074))</f>
        <v/>
      </c>
      <c r="U2074" s="26">
        <f>IF($G2074="","",IF(OR($S2074&gt;0,$Q2074=0,$R2074=0,$Z2074&lt;&gt;"正常"),0,ROUND($T2074/$Q2074*$R2074,0)-ROUND(($T2074-$P2074)/$Q2074*$R2074,0)))</f>
        <v/>
      </c>
      <c r="V2074" s="26">
        <f>IF($G2074="","",ROUND($P2074+$U2074,0))</f>
        <v/>
      </c>
      <c r="W2074" s="26">
        <f>IF($G2074="","",IF(N($K2074)=0,0,ROUND($V2074/$K2074,2)))</f>
        <v/>
      </c>
      <c r="X2074" s="17" t="n"/>
      <c r="Y2074" s="17" t="n"/>
      <c r="Z2074" s="17" t="n"/>
      <c r="AA2074" s="17" t="n"/>
      <c r="AB2074" s="17" t="n"/>
      <c r="AC2074" s="24">
        <f>IF($G2074="","",IF($H2074="※编码不在物料档案里","※物料编码不在档案里",IF(N($K2074)&lt;=0,"※入库数量要大于 0",IF(AND($C2074&lt;&gt;"",$C2074&lt;=结账锁),"※日期早于已结账截止日，不能再录",IF(AND($L2074=0,$X2074="正常"),"※没填单价，价格状态请选「待补价」",IF(AND($S2074&gt;0,$R2074&gt;0),"△本批有 "&amp;$S2074&amp;" 行没单价，整批运费先挂账没摊",IF(AND($B2074&lt;&gt;"",COUNTIF($B$4:$B$2503,$B2074)&gt;1),"※入库单号重复","")))))))</f>
        <v/>
      </c>
    </row>
    <row r="2075">
      <c r="A2075" s="24">
        <f>IF($G2075="","",COUNTA($G$4:$G2075))</f>
        <v/>
      </c>
      <c r="B2075" s="17" t="n"/>
      <c r="C2075" s="30" t="n"/>
      <c r="D2075" s="17" t="n"/>
      <c r="E2075" s="17" t="n"/>
      <c r="F2075" s="17" t="n"/>
      <c r="G2075" s="17" t="n"/>
      <c r="H2075" s="24">
        <f>IF($G2075="","",IFERROR(VLOOKUP($G2075,物料档案!$A$4:$P$1203,3,0),"※编码不在物料档案里"))</f>
        <v/>
      </c>
      <c r="I2075" s="24">
        <f>IF($G2075="","",IFERROR(VLOOKUP($G2075,物料档案!$A$4:$P$1203,4,0),"※编码不在物料档案里"))</f>
        <v/>
      </c>
      <c r="J2075" s="24">
        <f>IF($G2075="","",IFERROR(VLOOKUP($G2075,物料档案!$A$4:$P$1203,5,0),"※编码不在物料档案里"))</f>
        <v/>
      </c>
      <c r="K2075" s="23" t="n"/>
      <c r="L2075" s="31" t="n"/>
      <c r="M2075" s="24">
        <f>IF($G2075="","",IF($D2075="A国内","CNY","TZS"))</f>
        <v/>
      </c>
      <c r="N2075" s="28">
        <f>IF($G2075="","",IF($D2075="A国内",汇率,1))</f>
        <v/>
      </c>
      <c r="O2075" s="25">
        <f>IF($G2075="","",ROUND(N($K2075)*N($L2075),2))</f>
        <v/>
      </c>
      <c r="P2075" s="26">
        <f>IF($G2075="","",ROUND($O2075*$N2075,0))</f>
        <v/>
      </c>
      <c r="Q2075" s="26">
        <f>IF($G2075="","",SUMIFS($P$4:$P$2503,$E$4:$E$2503,$E2075,$Z$4:$Z$2503,"正常"))</f>
        <v/>
      </c>
      <c r="R2075" s="26">
        <f>IF($G2075="","",SUMIFS(费用台账!$I$4:$I$503,费用台账!$C$4:$C$503,$E2075,费用台账!$J$4:$J$503,"是",费用台账!$K$4:$K$503,"正常"))</f>
        <v/>
      </c>
      <c r="S2075" s="28">
        <f>IF($G2075="","",COUNTIFS($E$4:$E$2503,$E2075,$Z$4:$Z$2503,"正常",$Y$4:$Y$2503,"待补价"))</f>
        <v/>
      </c>
      <c r="T2075" s="26">
        <f>IF($G2075="","",SUMIFS($P$4:$P$2503,$E$4:$E$2503,$E2075,$Z$4:$Z$2503,"正常",$A$4:$A$2503,"&lt;="&amp;$A2075))</f>
        <v/>
      </c>
      <c r="U2075" s="26">
        <f>IF($G2075="","",IF(OR($S2075&gt;0,$Q2075=0,$R2075=0,$Z2075&lt;&gt;"正常"),0,ROUND($T2075/$Q2075*$R2075,0)-ROUND(($T2075-$P2075)/$Q2075*$R2075,0)))</f>
        <v/>
      </c>
      <c r="V2075" s="26">
        <f>IF($G2075="","",ROUND($P2075+$U2075,0))</f>
        <v/>
      </c>
      <c r="W2075" s="26">
        <f>IF($G2075="","",IF(N($K2075)=0,0,ROUND($V2075/$K2075,2)))</f>
        <v/>
      </c>
      <c r="X2075" s="17" t="n"/>
      <c r="Y2075" s="17" t="n"/>
      <c r="Z2075" s="17" t="n"/>
      <c r="AA2075" s="17" t="n"/>
      <c r="AB2075" s="17" t="n"/>
      <c r="AC2075" s="24">
        <f>IF($G2075="","",IF($H2075="※编码不在物料档案里","※物料编码不在档案里",IF(N($K2075)&lt;=0,"※入库数量要大于 0",IF(AND($C2075&lt;&gt;"",$C2075&lt;=结账锁),"※日期早于已结账截止日，不能再录",IF(AND($L2075=0,$X2075="正常"),"※没填单价，价格状态请选「待补价」",IF(AND($S2075&gt;0,$R2075&gt;0),"△本批有 "&amp;$S2075&amp;" 行没单价，整批运费先挂账没摊",IF(AND($B2075&lt;&gt;"",COUNTIF($B$4:$B$2503,$B2075)&gt;1),"※入库单号重复","")))))))</f>
        <v/>
      </c>
    </row>
    <row r="2076">
      <c r="A2076" s="24">
        <f>IF($G2076="","",COUNTA($G$4:$G2076))</f>
        <v/>
      </c>
      <c r="B2076" s="17" t="n"/>
      <c r="C2076" s="30" t="n"/>
      <c r="D2076" s="17" t="n"/>
      <c r="E2076" s="17" t="n"/>
      <c r="F2076" s="17" t="n"/>
      <c r="G2076" s="17" t="n"/>
      <c r="H2076" s="24">
        <f>IF($G2076="","",IFERROR(VLOOKUP($G2076,物料档案!$A$4:$P$1203,3,0),"※编码不在物料档案里"))</f>
        <v/>
      </c>
      <c r="I2076" s="24">
        <f>IF($G2076="","",IFERROR(VLOOKUP($G2076,物料档案!$A$4:$P$1203,4,0),"※编码不在物料档案里"))</f>
        <v/>
      </c>
      <c r="J2076" s="24">
        <f>IF($G2076="","",IFERROR(VLOOKUP($G2076,物料档案!$A$4:$P$1203,5,0),"※编码不在物料档案里"))</f>
        <v/>
      </c>
      <c r="K2076" s="23" t="n"/>
      <c r="L2076" s="31" t="n"/>
      <c r="M2076" s="24">
        <f>IF($G2076="","",IF($D2076="A国内","CNY","TZS"))</f>
        <v/>
      </c>
      <c r="N2076" s="28">
        <f>IF($G2076="","",IF($D2076="A国内",汇率,1))</f>
        <v/>
      </c>
      <c r="O2076" s="25">
        <f>IF($G2076="","",ROUND(N($K2076)*N($L2076),2))</f>
        <v/>
      </c>
      <c r="P2076" s="26">
        <f>IF($G2076="","",ROUND($O2076*$N2076,0))</f>
        <v/>
      </c>
      <c r="Q2076" s="26">
        <f>IF($G2076="","",SUMIFS($P$4:$P$2503,$E$4:$E$2503,$E2076,$Z$4:$Z$2503,"正常"))</f>
        <v/>
      </c>
      <c r="R2076" s="26">
        <f>IF($G2076="","",SUMIFS(费用台账!$I$4:$I$503,费用台账!$C$4:$C$503,$E2076,费用台账!$J$4:$J$503,"是",费用台账!$K$4:$K$503,"正常"))</f>
        <v/>
      </c>
      <c r="S2076" s="28">
        <f>IF($G2076="","",COUNTIFS($E$4:$E$2503,$E2076,$Z$4:$Z$2503,"正常",$Y$4:$Y$2503,"待补价"))</f>
        <v/>
      </c>
      <c r="T2076" s="26">
        <f>IF($G2076="","",SUMIFS($P$4:$P$2503,$E$4:$E$2503,$E2076,$Z$4:$Z$2503,"正常",$A$4:$A$2503,"&lt;="&amp;$A2076))</f>
        <v/>
      </c>
      <c r="U2076" s="26">
        <f>IF($G2076="","",IF(OR($S2076&gt;0,$Q2076=0,$R2076=0,$Z2076&lt;&gt;"正常"),0,ROUND($T2076/$Q2076*$R2076,0)-ROUND(($T2076-$P2076)/$Q2076*$R2076,0)))</f>
        <v/>
      </c>
      <c r="V2076" s="26">
        <f>IF($G2076="","",ROUND($P2076+$U2076,0))</f>
        <v/>
      </c>
      <c r="W2076" s="26">
        <f>IF($G2076="","",IF(N($K2076)=0,0,ROUND($V2076/$K2076,2)))</f>
        <v/>
      </c>
      <c r="X2076" s="17" t="n"/>
      <c r="Y2076" s="17" t="n"/>
      <c r="Z2076" s="17" t="n"/>
      <c r="AA2076" s="17" t="n"/>
      <c r="AB2076" s="17" t="n"/>
      <c r="AC2076" s="24">
        <f>IF($G2076="","",IF($H2076="※编码不在物料档案里","※物料编码不在档案里",IF(N($K2076)&lt;=0,"※入库数量要大于 0",IF(AND($C2076&lt;&gt;"",$C2076&lt;=结账锁),"※日期早于已结账截止日，不能再录",IF(AND($L2076=0,$X2076="正常"),"※没填单价，价格状态请选「待补价」",IF(AND($S2076&gt;0,$R2076&gt;0),"△本批有 "&amp;$S2076&amp;" 行没单价，整批运费先挂账没摊",IF(AND($B2076&lt;&gt;"",COUNTIF($B$4:$B$2503,$B2076)&gt;1),"※入库单号重复","")))))))</f>
        <v/>
      </c>
    </row>
    <row r="2077">
      <c r="A2077" s="24">
        <f>IF($G2077="","",COUNTA($G$4:$G2077))</f>
        <v/>
      </c>
      <c r="B2077" s="17" t="n"/>
      <c r="C2077" s="30" t="n"/>
      <c r="D2077" s="17" t="n"/>
      <c r="E2077" s="17" t="n"/>
      <c r="F2077" s="17" t="n"/>
      <c r="G2077" s="17" t="n"/>
      <c r="H2077" s="24">
        <f>IF($G2077="","",IFERROR(VLOOKUP($G2077,物料档案!$A$4:$P$1203,3,0),"※编码不在物料档案里"))</f>
        <v/>
      </c>
      <c r="I2077" s="24">
        <f>IF($G2077="","",IFERROR(VLOOKUP($G2077,物料档案!$A$4:$P$1203,4,0),"※编码不在物料档案里"))</f>
        <v/>
      </c>
      <c r="J2077" s="24">
        <f>IF($G2077="","",IFERROR(VLOOKUP($G2077,物料档案!$A$4:$P$1203,5,0),"※编码不在物料档案里"))</f>
        <v/>
      </c>
      <c r="K2077" s="23" t="n"/>
      <c r="L2077" s="31" t="n"/>
      <c r="M2077" s="24">
        <f>IF($G2077="","",IF($D2077="A国内","CNY","TZS"))</f>
        <v/>
      </c>
      <c r="N2077" s="28">
        <f>IF($G2077="","",IF($D2077="A国内",汇率,1))</f>
        <v/>
      </c>
      <c r="O2077" s="25">
        <f>IF($G2077="","",ROUND(N($K2077)*N($L2077),2))</f>
        <v/>
      </c>
      <c r="P2077" s="26">
        <f>IF($G2077="","",ROUND($O2077*$N2077,0))</f>
        <v/>
      </c>
      <c r="Q2077" s="26">
        <f>IF($G2077="","",SUMIFS($P$4:$P$2503,$E$4:$E$2503,$E2077,$Z$4:$Z$2503,"正常"))</f>
        <v/>
      </c>
      <c r="R2077" s="26">
        <f>IF($G2077="","",SUMIFS(费用台账!$I$4:$I$503,费用台账!$C$4:$C$503,$E2077,费用台账!$J$4:$J$503,"是",费用台账!$K$4:$K$503,"正常"))</f>
        <v/>
      </c>
      <c r="S2077" s="28">
        <f>IF($G2077="","",COUNTIFS($E$4:$E$2503,$E2077,$Z$4:$Z$2503,"正常",$Y$4:$Y$2503,"待补价"))</f>
        <v/>
      </c>
      <c r="T2077" s="26">
        <f>IF($G2077="","",SUMIFS($P$4:$P$2503,$E$4:$E$2503,$E2077,$Z$4:$Z$2503,"正常",$A$4:$A$2503,"&lt;="&amp;$A2077))</f>
        <v/>
      </c>
      <c r="U2077" s="26">
        <f>IF($G2077="","",IF(OR($S2077&gt;0,$Q2077=0,$R2077=0,$Z2077&lt;&gt;"正常"),0,ROUND($T2077/$Q2077*$R2077,0)-ROUND(($T2077-$P2077)/$Q2077*$R2077,0)))</f>
        <v/>
      </c>
      <c r="V2077" s="26">
        <f>IF($G2077="","",ROUND($P2077+$U2077,0))</f>
        <v/>
      </c>
      <c r="W2077" s="26">
        <f>IF($G2077="","",IF(N($K2077)=0,0,ROUND($V2077/$K2077,2)))</f>
        <v/>
      </c>
      <c r="X2077" s="17" t="n"/>
      <c r="Y2077" s="17" t="n"/>
      <c r="Z2077" s="17" t="n"/>
      <c r="AA2077" s="17" t="n"/>
      <c r="AB2077" s="17" t="n"/>
      <c r="AC2077" s="24">
        <f>IF($G2077="","",IF($H2077="※编码不在物料档案里","※物料编码不在档案里",IF(N($K2077)&lt;=0,"※入库数量要大于 0",IF(AND($C2077&lt;&gt;"",$C2077&lt;=结账锁),"※日期早于已结账截止日，不能再录",IF(AND($L2077=0,$X2077="正常"),"※没填单价，价格状态请选「待补价」",IF(AND($S2077&gt;0,$R2077&gt;0),"△本批有 "&amp;$S2077&amp;" 行没单价，整批运费先挂账没摊",IF(AND($B2077&lt;&gt;"",COUNTIF($B$4:$B$2503,$B2077)&gt;1),"※入库单号重复","")))))))</f>
        <v/>
      </c>
    </row>
    <row r="2078">
      <c r="A2078" s="24">
        <f>IF($G2078="","",COUNTA($G$4:$G2078))</f>
        <v/>
      </c>
      <c r="B2078" s="17" t="n"/>
      <c r="C2078" s="30" t="n"/>
      <c r="D2078" s="17" t="n"/>
      <c r="E2078" s="17" t="n"/>
      <c r="F2078" s="17" t="n"/>
      <c r="G2078" s="17" t="n"/>
      <c r="H2078" s="24">
        <f>IF($G2078="","",IFERROR(VLOOKUP($G2078,物料档案!$A$4:$P$1203,3,0),"※编码不在物料档案里"))</f>
        <v/>
      </c>
      <c r="I2078" s="24">
        <f>IF($G2078="","",IFERROR(VLOOKUP($G2078,物料档案!$A$4:$P$1203,4,0),"※编码不在物料档案里"))</f>
        <v/>
      </c>
      <c r="J2078" s="24">
        <f>IF($G2078="","",IFERROR(VLOOKUP($G2078,物料档案!$A$4:$P$1203,5,0),"※编码不在物料档案里"))</f>
        <v/>
      </c>
      <c r="K2078" s="23" t="n"/>
      <c r="L2078" s="31" t="n"/>
      <c r="M2078" s="24">
        <f>IF($G2078="","",IF($D2078="A国内","CNY","TZS"))</f>
        <v/>
      </c>
      <c r="N2078" s="28">
        <f>IF($G2078="","",IF($D2078="A国内",汇率,1))</f>
        <v/>
      </c>
      <c r="O2078" s="25">
        <f>IF($G2078="","",ROUND(N($K2078)*N($L2078),2))</f>
        <v/>
      </c>
      <c r="P2078" s="26">
        <f>IF($G2078="","",ROUND($O2078*$N2078,0))</f>
        <v/>
      </c>
      <c r="Q2078" s="26">
        <f>IF($G2078="","",SUMIFS($P$4:$P$2503,$E$4:$E$2503,$E2078,$Z$4:$Z$2503,"正常"))</f>
        <v/>
      </c>
      <c r="R2078" s="26">
        <f>IF($G2078="","",SUMIFS(费用台账!$I$4:$I$503,费用台账!$C$4:$C$503,$E2078,费用台账!$J$4:$J$503,"是",费用台账!$K$4:$K$503,"正常"))</f>
        <v/>
      </c>
      <c r="S2078" s="28">
        <f>IF($G2078="","",COUNTIFS($E$4:$E$2503,$E2078,$Z$4:$Z$2503,"正常",$Y$4:$Y$2503,"待补价"))</f>
        <v/>
      </c>
      <c r="T2078" s="26">
        <f>IF($G2078="","",SUMIFS($P$4:$P$2503,$E$4:$E$2503,$E2078,$Z$4:$Z$2503,"正常",$A$4:$A$2503,"&lt;="&amp;$A2078))</f>
        <v/>
      </c>
      <c r="U2078" s="26">
        <f>IF($G2078="","",IF(OR($S2078&gt;0,$Q2078=0,$R2078=0,$Z2078&lt;&gt;"正常"),0,ROUND($T2078/$Q2078*$R2078,0)-ROUND(($T2078-$P2078)/$Q2078*$R2078,0)))</f>
        <v/>
      </c>
      <c r="V2078" s="26">
        <f>IF($G2078="","",ROUND($P2078+$U2078,0))</f>
        <v/>
      </c>
      <c r="W2078" s="26">
        <f>IF($G2078="","",IF(N($K2078)=0,0,ROUND($V2078/$K2078,2)))</f>
        <v/>
      </c>
      <c r="X2078" s="17" t="n"/>
      <c r="Y2078" s="17" t="n"/>
      <c r="Z2078" s="17" t="n"/>
      <c r="AA2078" s="17" t="n"/>
      <c r="AB2078" s="17" t="n"/>
      <c r="AC2078" s="24">
        <f>IF($G2078="","",IF($H2078="※编码不在物料档案里","※物料编码不在档案里",IF(N($K2078)&lt;=0,"※入库数量要大于 0",IF(AND($C2078&lt;&gt;"",$C2078&lt;=结账锁),"※日期早于已结账截止日，不能再录",IF(AND($L2078=0,$X2078="正常"),"※没填单价，价格状态请选「待补价」",IF(AND($S2078&gt;0,$R2078&gt;0),"△本批有 "&amp;$S2078&amp;" 行没单价，整批运费先挂账没摊",IF(AND($B2078&lt;&gt;"",COUNTIF($B$4:$B$2503,$B2078)&gt;1),"※入库单号重复","")))))))</f>
        <v/>
      </c>
    </row>
    <row r="2079">
      <c r="A2079" s="24">
        <f>IF($G2079="","",COUNTA($G$4:$G2079))</f>
        <v/>
      </c>
      <c r="B2079" s="17" t="n"/>
      <c r="C2079" s="30" t="n"/>
      <c r="D2079" s="17" t="n"/>
      <c r="E2079" s="17" t="n"/>
      <c r="F2079" s="17" t="n"/>
      <c r="G2079" s="17" t="n"/>
      <c r="H2079" s="24">
        <f>IF($G2079="","",IFERROR(VLOOKUP($G2079,物料档案!$A$4:$P$1203,3,0),"※编码不在物料档案里"))</f>
        <v/>
      </c>
      <c r="I2079" s="24">
        <f>IF($G2079="","",IFERROR(VLOOKUP($G2079,物料档案!$A$4:$P$1203,4,0),"※编码不在物料档案里"))</f>
        <v/>
      </c>
      <c r="J2079" s="24">
        <f>IF($G2079="","",IFERROR(VLOOKUP($G2079,物料档案!$A$4:$P$1203,5,0),"※编码不在物料档案里"))</f>
        <v/>
      </c>
      <c r="K2079" s="23" t="n"/>
      <c r="L2079" s="31" t="n"/>
      <c r="M2079" s="24">
        <f>IF($G2079="","",IF($D2079="A国内","CNY","TZS"))</f>
        <v/>
      </c>
      <c r="N2079" s="28">
        <f>IF($G2079="","",IF($D2079="A国内",汇率,1))</f>
        <v/>
      </c>
      <c r="O2079" s="25">
        <f>IF($G2079="","",ROUND(N($K2079)*N($L2079),2))</f>
        <v/>
      </c>
      <c r="P2079" s="26">
        <f>IF($G2079="","",ROUND($O2079*$N2079,0))</f>
        <v/>
      </c>
      <c r="Q2079" s="26">
        <f>IF($G2079="","",SUMIFS($P$4:$P$2503,$E$4:$E$2503,$E2079,$Z$4:$Z$2503,"正常"))</f>
        <v/>
      </c>
      <c r="R2079" s="26">
        <f>IF($G2079="","",SUMIFS(费用台账!$I$4:$I$503,费用台账!$C$4:$C$503,$E2079,费用台账!$J$4:$J$503,"是",费用台账!$K$4:$K$503,"正常"))</f>
        <v/>
      </c>
      <c r="S2079" s="28">
        <f>IF($G2079="","",COUNTIFS($E$4:$E$2503,$E2079,$Z$4:$Z$2503,"正常",$Y$4:$Y$2503,"待补价"))</f>
        <v/>
      </c>
      <c r="T2079" s="26">
        <f>IF($G2079="","",SUMIFS($P$4:$P$2503,$E$4:$E$2503,$E2079,$Z$4:$Z$2503,"正常",$A$4:$A$2503,"&lt;="&amp;$A2079))</f>
        <v/>
      </c>
      <c r="U2079" s="26">
        <f>IF($G2079="","",IF(OR($S2079&gt;0,$Q2079=0,$R2079=0,$Z2079&lt;&gt;"正常"),0,ROUND($T2079/$Q2079*$R2079,0)-ROUND(($T2079-$P2079)/$Q2079*$R2079,0)))</f>
        <v/>
      </c>
      <c r="V2079" s="26">
        <f>IF($G2079="","",ROUND($P2079+$U2079,0))</f>
        <v/>
      </c>
      <c r="W2079" s="26">
        <f>IF($G2079="","",IF(N($K2079)=0,0,ROUND($V2079/$K2079,2)))</f>
        <v/>
      </c>
      <c r="X2079" s="17" t="n"/>
      <c r="Y2079" s="17" t="n"/>
      <c r="Z2079" s="17" t="n"/>
      <c r="AA2079" s="17" t="n"/>
      <c r="AB2079" s="17" t="n"/>
      <c r="AC2079" s="24">
        <f>IF($G2079="","",IF($H2079="※编码不在物料档案里","※物料编码不在档案里",IF(N($K2079)&lt;=0,"※入库数量要大于 0",IF(AND($C2079&lt;&gt;"",$C2079&lt;=结账锁),"※日期早于已结账截止日，不能再录",IF(AND($L2079=0,$X2079="正常"),"※没填单价，价格状态请选「待补价」",IF(AND($S2079&gt;0,$R2079&gt;0),"△本批有 "&amp;$S2079&amp;" 行没单价，整批运费先挂账没摊",IF(AND($B2079&lt;&gt;"",COUNTIF($B$4:$B$2503,$B2079)&gt;1),"※入库单号重复","")))))))</f>
        <v/>
      </c>
    </row>
    <row r="2080">
      <c r="A2080" s="24">
        <f>IF($G2080="","",COUNTA($G$4:$G2080))</f>
        <v/>
      </c>
      <c r="B2080" s="17" t="n"/>
      <c r="C2080" s="30" t="n"/>
      <c r="D2080" s="17" t="n"/>
      <c r="E2080" s="17" t="n"/>
      <c r="F2080" s="17" t="n"/>
      <c r="G2080" s="17" t="n"/>
      <c r="H2080" s="24">
        <f>IF($G2080="","",IFERROR(VLOOKUP($G2080,物料档案!$A$4:$P$1203,3,0),"※编码不在物料档案里"))</f>
        <v/>
      </c>
      <c r="I2080" s="24">
        <f>IF($G2080="","",IFERROR(VLOOKUP($G2080,物料档案!$A$4:$P$1203,4,0),"※编码不在物料档案里"))</f>
        <v/>
      </c>
      <c r="J2080" s="24">
        <f>IF($G2080="","",IFERROR(VLOOKUP($G2080,物料档案!$A$4:$P$1203,5,0),"※编码不在物料档案里"))</f>
        <v/>
      </c>
      <c r="K2080" s="23" t="n"/>
      <c r="L2080" s="31" t="n"/>
      <c r="M2080" s="24">
        <f>IF($G2080="","",IF($D2080="A国内","CNY","TZS"))</f>
        <v/>
      </c>
      <c r="N2080" s="28">
        <f>IF($G2080="","",IF($D2080="A国内",汇率,1))</f>
        <v/>
      </c>
      <c r="O2080" s="25">
        <f>IF($G2080="","",ROUND(N($K2080)*N($L2080),2))</f>
        <v/>
      </c>
      <c r="P2080" s="26">
        <f>IF($G2080="","",ROUND($O2080*$N2080,0))</f>
        <v/>
      </c>
      <c r="Q2080" s="26">
        <f>IF($G2080="","",SUMIFS($P$4:$P$2503,$E$4:$E$2503,$E2080,$Z$4:$Z$2503,"正常"))</f>
        <v/>
      </c>
      <c r="R2080" s="26">
        <f>IF($G2080="","",SUMIFS(费用台账!$I$4:$I$503,费用台账!$C$4:$C$503,$E2080,费用台账!$J$4:$J$503,"是",费用台账!$K$4:$K$503,"正常"))</f>
        <v/>
      </c>
      <c r="S2080" s="28">
        <f>IF($G2080="","",COUNTIFS($E$4:$E$2503,$E2080,$Z$4:$Z$2503,"正常",$Y$4:$Y$2503,"待补价"))</f>
        <v/>
      </c>
      <c r="T2080" s="26">
        <f>IF($G2080="","",SUMIFS($P$4:$P$2503,$E$4:$E$2503,$E2080,$Z$4:$Z$2503,"正常",$A$4:$A$2503,"&lt;="&amp;$A2080))</f>
        <v/>
      </c>
      <c r="U2080" s="26">
        <f>IF($G2080="","",IF(OR($S2080&gt;0,$Q2080=0,$R2080=0,$Z2080&lt;&gt;"正常"),0,ROUND($T2080/$Q2080*$R2080,0)-ROUND(($T2080-$P2080)/$Q2080*$R2080,0)))</f>
        <v/>
      </c>
      <c r="V2080" s="26">
        <f>IF($G2080="","",ROUND($P2080+$U2080,0))</f>
        <v/>
      </c>
      <c r="W2080" s="26">
        <f>IF($G2080="","",IF(N($K2080)=0,0,ROUND($V2080/$K2080,2)))</f>
        <v/>
      </c>
      <c r="X2080" s="17" t="n"/>
      <c r="Y2080" s="17" t="n"/>
      <c r="Z2080" s="17" t="n"/>
      <c r="AA2080" s="17" t="n"/>
      <c r="AB2080" s="17" t="n"/>
      <c r="AC2080" s="24">
        <f>IF($G2080="","",IF($H2080="※编码不在物料档案里","※物料编码不在档案里",IF(N($K2080)&lt;=0,"※入库数量要大于 0",IF(AND($C2080&lt;&gt;"",$C2080&lt;=结账锁),"※日期早于已结账截止日，不能再录",IF(AND($L2080=0,$X2080="正常"),"※没填单价，价格状态请选「待补价」",IF(AND($S2080&gt;0,$R2080&gt;0),"△本批有 "&amp;$S2080&amp;" 行没单价，整批运费先挂账没摊",IF(AND($B2080&lt;&gt;"",COUNTIF($B$4:$B$2503,$B2080)&gt;1),"※入库单号重复","")))))))</f>
        <v/>
      </c>
    </row>
    <row r="2081">
      <c r="A2081" s="24">
        <f>IF($G2081="","",COUNTA($G$4:$G2081))</f>
        <v/>
      </c>
      <c r="B2081" s="17" t="n"/>
      <c r="C2081" s="30" t="n"/>
      <c r="D2081" s="17" t="n"/>
      <c r="E2081" s="17" t="n"/>
      <c r="F2081" s="17" t="n"/>
      <c r="G2081" s="17" t="n"/>
      <c r="H2081" s="24">
        <f>IF($G2081="","",IFERROR(VLOOKUP($G2081,物料档案!$A$4:$P$1203,3,0),"※编码不在物料档案里"))</f>
        <v/>
      </c>
      <c r="I2081" s="24">
        <f>IF($G2081="","",IFERROR(VLOOKUP($G2081,物料档案!$A$4:$P$1203,4,0),"※编码不在物料档案里"))</f>
        <v/>
      </c>
      <c r="J2081" s="24">
        <f>IF($G2081="","",IFERROR(VLOOKUP($G2081,物料档案!$A$4:$P$1203,5,0),"※编码不在物料档案里"))</f>
        <v/>
      </c>
      <c r="K2081" s="23" t="n"/>
      <c r="L2081" s="31" t="n"/>
      <c r="M2081" s="24">
        <f>IF($G2081="","",IF($D2081="A国内","CNY","TZS"))</f>
        <v/>
      </c>
      <c r="N2081" s="28">
        <f>IF($G2081="","",IF($D2081="A国内",汇率,1))</f>
        <v/>
      </c>
      <c r="O2081" s="25">
        <f>IF($G2081="","",ROUND(N($K2081)*N($L2081),2))</f>
        <v/>
      </c>
      <c r="P2081" s="26">
        <f>IF($G2081="","",ROUND($O2081*$N2081,0))</f>
        <v/>
      </c>
      <c r="Q2081" s="26">
        <f>IF($G2081="","",SUMIFS($P$4:$P$2503,$E$4:$E$2503,$E2081,$Z$4:$Z$2503,"正常"))</f>
        <v/>
      </c>
      <c r="R2081" s="26">
        <f>IF($G2081="","",SUMIFS(费用台账!$I$4:$I$503,费用台账!$C$4:$C$503,$E2081,费用台账!$J$4:$J$503,"是",费用台账!$K$4:$K$503,"正常"))</f>
        <v/>
      </c>
      <c r="S2081" s="28">
        <f>IF($G2081="","",COUNTIFS($E$4:$E$2503,$E2081,$Z$4:$Z$2503,"正常",$Y$4:$Y$2503,"待补价"))</f>
        <v/>
      </c>
      <c r="T2081" s="26">
        <f>IF($G2081="","",SUMIFS($P$4:$P$2503,$E$4:$E$2503,$E2081,$Z$4:$Z$2503,"正常",$A$4:$A$2503,"&lt;="&amp;$A2081))</f>
        <v/>
      </c>
      <c r="U2081" s="26">
        <f>IF($G2081="","",IF(OR($S2081&gt;0,$Q2081=0,$R2081=0,$Z2081&lt;&gt;"正常"),0,ROUND($T2081/$Q2081*$R2081,0)-ROUND(($T2081-$P2081)/$Q2081*$R2081,0)))</f>
        <v/>
      </c>
      <c r="V2081" s="26">
        <f>IF($G2081="","",ROUND($P2081+$U2081,0))</f>
        <v/>
      </c>
      <c r="W2081" s="26">
        <f>IF($G2081="","",IF(N($K2081)=0,0,ROUND($V2081/$K2081,2)))</f>
        <v/>
      </c>
      <c r="X2081" s="17" t="n"/>
      <c r="Y2081" s="17" t="n"/>
      <c r="Z2081" s="17" t="n"/>
      <c r="AA2081" s="17" t="n"/>
      <c r="AB2081" s="17" t="n"/>
      <c r="AC2081" s="24">
        <f>IF($G2081="","",IF($H2081="※编码不在物料档案里","※物料编码不在档案里",IF(N($K2081)&lt;=0,"※入库数量要大于 0",IF(AND($C2081&lt;&gt;"",$C2081&lt;=结账锁),"※日期早于已结账截止日，不能再录",IF(AND($L2081=0,$X2081="正常"),"※没填单价，价格状态请选「待补价」",IF(AND($S2081&gt;0,$R2081&gt;0),"△本批有 "&amp;$S2081&amp;" 行没单价，整批运费先挂账没摊",IF(AND($B2081&lt;&gt;"",COUNTIF($B$4:$B$2503,$B2081)&gt;1),"※入库单号重复","")))))))</f>
        <v/>
      </c>
    </row>
    <row r="2082">
      <c r="A2082" s="24">
        <f>IF($G2082="","",COUNTA($G$4:$G2082))</f>
        <v/>
      </c>
      <c r="B2082" s="17" t="n"/>
      <c r="C2082" s="30" t="n"/>
      <c r="D2082" s="17" t="n"/>
      <c r="E2082" s="17" t="n"/>
      <c r="F2082" s="17" t="n"/>
      <c r="G2082" s="17" t="n"/>
      <c r="H2082" s="24">
        <f>IF($G2082="","",IFERROR(VLOOKUP($G2082,物料档案!$A$4:$P$1203,3,0),"※编码不在物料档案里"))</f>
        <v/>
      </c>
      <c r="I2082" s="24">
        <f>IF($G2082="","",IFERROR(VLOOKUP($G2082,物料档案!$A$4:$P$1203,4,0),"※编码不在物料档案里"))</f>
        <v/>
      </c>
      <c r="J2082" s="24">
        <f>IF($G2082="","",IFERROR(VLOOKUP($G2082,物料档案!$A$4:$P$1203,5,0),"※编码不在物料档案里"))</f>
        <v/>
      </c>
      <c r="K2082" s="23" t="n"/>
      <c r="L2082" s="31" t="n"/>
      <c r="M2082" s="24">
        <f>IF($G2082="","",IF($D2082="A国内","CNY","TZS"))</f>
        <v/>
      </c>
      <c r="N2082" s="28">
        <f>IF($G2082="","",IF($D2082="A国内",汇率,1))</f>
        <v/>
      </c>
      <c r="O2082" s="25">
        <f>IF($G2082="","",ROUND(N($K2082)*N($L2082),2))</f>
        <v/>
      </c>
      <c r="P2082" s="26">
        <f>IF($G2082="","",ROUND($O2082*$N2082,0))</f>
        <v/>
      </c>
      <c r="Q2082" s="26">
        <f>IF($G2082="","",SUMIFS($P$4:$P$2503,$E$4:$E$2503,$E2082,$Z$4:$Z$2503,"正常"))</f>
        <v/>
      </c>
      <c r="R2082" s="26">
        <f>IF($G2082="","",SUMIFS(费用台账!$I$4:$I$503,费用台账!$C$4:$C$503,$E2082,费用台账!$J$4:$J$503,"是",费用台账!$K$4:$K$503,"正常"))</f>
        <v/>
      </c>
      <c r="S2082" s="28">
        <f>IF($G2082="","",COUNTIFS($E$4:$E$2503,$E2082,$Z$4:$Z$2503,"正常",$Y$4:$Y$2503,"待补价"))</f>
        <v/>
      </c>
      <c r="T2082" s="26">
        <f>IF($G2082="","",SUMIFS($P$4:$P$2503,$E$4:$E$2503,$E2082,$Z$4:$Z$2503,"正常",$A$4:$A$2503,"&lt;="&amp;$A2082))</f>
        <v/>
      </c>
      <c r="U2082" s="26">
        <f>IF($G2082="","",IF(OR($S2082&gt;0,$Q2082=0,$R2082=0,$Z2082&lt;&gt;"正常"),0,ROUND($T2082/$Q2082*$R2082,0)-ROUND(($T2082-$P2082)/$Q2082*$R2082,0)))</f>
        <v/>
      </c>
      <c r="V2082" s="26">
        <f>IF($G2082="","",ROUND($P2082+$U2082,0))</f>
        <v/>
      </c>
      <c r="W2082" s="26">
        <f>IF($G2082="","",IF(N($K2082)=0,0,ROUND($V2082/$K2082,2)))</f>
        <v/>
      </c>
      <c r="X2082" s="17" t="n"/>
      <c r="Y2082" s="17" t="n"/>
      <c r="Z2082" s="17" t="n"/>
      <c r="AA2082" s="17" t="n"/>
      <c r="AB2082" s="17" t="n"/>
      <c r="AC2082" s="24">
        <f>IF($G2082="","",IF($H2082="※编码不在物料档案里","※物料编码不在档案里",IF(N($K2082)&lt;=0,"※入库数量要大于 0",IF(AND($C2082&lt;&gt;"",$C2082&lt;=结账锁),"※日期早于已结账截止日，不能再录",IF(AND($L2082=0,$X2082="正常"),"※没填单价，价格状态请选「待补价」",IF(AND($S2082&gt;0,$R2082&gt;0),"△本批有 "&amp;$S2082&amp;" 行没单价，整批运费先挂账没摊",IF(AND($B2082&lt;&gt;"",COUNTIF($B$4:$B$2503,$B2082)&gt;1),"※入库单号重复","")))))))</f>
        <v/>
      </c>
    </row>
    <row r="2083">
      <c r="A2083" s="24">
        <f>IF($G2083="","",COUNTA($G$4:$G2083))</f>
        <v/>
      </c>
      <c r="B2083" s="17" t="n"/>
      <c r="C2083" s="30" t="n"/>
      <c r="D2083" s="17" t="n"/>
      <c r="E2083" s="17" t="n"/>
      <c r="F2083" s="17" t="n"/>
      <c r="G2083" s="17" t="n"/>
      <c r="H2083" s="24">
        <f>IF($G2083="","",IFERROR(VLOOKUP($G2083,物料档案!$A$4:$P$1203,3,0),"※编码不在物料档案里"))</f>
        <v/>
      </c>
      <c r="I2083" s="24">
        <f>IF($G2083="","",IFERROR(VLOOKUP($G2083,物料档案!$A$4:$P$1203,4,0),"※编码不在物料档案里"))</f>
        <v/>
      </c>
      <c r="J2083" s="24">
        <f>IF($G2083="","",IFERROR(VLOOKUP($G2083,物料档案!$A$4:$P$1203,5,0),"※编码不在物料档案里"))</f>
        <v/>
      </c>
      <c r="K2083" s="23" t="n"/>
      <c r="L2083" s="31" t="n"/>
      <c r="M2083" s="24">
        <f>IF($G2083="","",IF($D2083="A国内","CNY","TZS"))</f>
        <v/>
      </c>
      <c r="N2083" s="28">
        <f>IF($G2083="","",IF($D2083="A国内",汇率,1))</f>
        <v/>
      </c>
      <c r="O2083" s="25">
        <f>IF($G2083="","",ROUND(N($K2083)*N($L2083),2))</f>
        <v/>
      </c>
      <c r="P2083" s="26">
        <f>IF($G2083="","",ROUND($O2083*$N2083,0))</f>
        <v/>
      </c>
      <c r="Q2083" s="26">
        <f>IF($G2083="","",SUMIFS($P$4:$P$2503,$E$4:$E$2503,$E2083,$Z$4:$Z$2503,"正常"))</f>
        <v/>
      </c>
      <c r="R2083" s="26">
        <f>IF($G2083="","",SUMIFS(费用台账!$I$4:$I$503,费用台账!$C$4:$C$503,$E2083,费用台账!$J$4:$J$503,"是",费用台账!$K$4:$K$503,"正常"))</f>
        <v/>
      </c>
      <c r="S2083" s="28">
        <f>IF($G2083="","",COUNTIFS($E$4:$E$2503,$E2083,$Z$4:$Z$2503,"正常",$Y$4:$Y$2503,"待补价"))</f>
        <v/>
      </c>
      <c r="T2083" s="26">
        <f>IF($G2083="","",SUMIFS($P$4:$P$2503,$E$4:$E$2503,$E2083,$Z$4:$Z$2503,"正常",$A$4:$A$2503,"&lt;="&amp;$A2083))</f>
        <v/>
      </c>
      <c r="U2083" s="26">
        <f>IF($G2083="","",IF(OR($S2083&gt;0,$Q2083=0,$R2083=0,$Z2083&lt;&gt;"正常"),0,ROUND($T2083/$Q2083*$R2083,0)-ROUND(($T2083-$P2083)/$Q2083*$R2083,0)))</f>
        <v/>
      </c>
      <c r="V2083" s="26">
        <f>IF($G2083="","",ROUND($P2083+$U2083,0))</f>
        <v/>
      </c>
      <c r="W2083" s="26">
        <f>IF($G2083="","",IF(N($K2083)=0,0,ROUND($V2083/$K2083,2)))</f>
        <v/>
      </c>
      <c r="X2083" s="17" t="n"/>
      <c r="Y2083" s="17" t="n"/>
      <c r="Z2083" s="17" t="n"/>
      <c r="AA2083" s="17" t="n"/>
      <c r="AB2083" s="17" t="n"/>
      <c r="AC2083" s="24">
        <f>IF($G2083="","",IF($H2083="※编码不在物料档案里","※物料编码不在档案里",IF(N($K2083)&lt;=0,"※入库数量要大于 0",IF(AND($C2083&lt;&gt;"",$C2083&lt;=结账锁),"※日期早于已结账截止日，不能再录",IF(AND($L2083=0,$X2083="正常"),"※没填单价，价格状态请选「待补价」",IF(AND($S2083&gt;0,$R2083&gt;0),"△本批有 "&amp;$S2083&amp;" 行没单价，整批运费先挂账没摊",IF(AND($B2083&lt;&gt;"",COUNTIF($B$4:$B$2503,$B2083)&gt;1),"※入库单号重复","")))))))</f>
        <v/>
      </c>
    </row>
    <row r="2084">
      <c r="A2084" s="24">
        <f>IF($G2084="","",COUNTA($G$4:$G2084))</f>
        <v/>
      </c>
      <c r="B2084" s="17" t="n"/>
      <c r="C2084" s="30" t="n"/>
      <c r="D2084" s="17" t="n"/>
      <c r="E2084" s="17" t="n"/>
      <c r="F2084" s="17" t="n"/>
      <c r="G2084" s="17" t="n"/>
      <c r="H2084" s="24">
        <f>IF($G2084="","",IFERROR(VLOOKUP($G2084,物料档案!$A$4:$P$1203,3,0),"※编码不在物料档案里"))</f>
        <v/>
      </c>
      <c r="I2084" s="24">
        <f>IF($G2084="","",IFERROR(VLOOKUP($G2084,物料档案!$A$4:$P$1203,4,0),"※编码不在物料档案里"))</f>
        <v/>
      </c>
      <c r="J2084" s="24">
        <f>IF($G2084="","",IFERROR(VLOOKUP($G2084,物料档案!$A$4:$P$1203,5,0),"※编码不在物料档案里"))</f>
        <v/>
      </c>
      <c r="K2084" s="23" t="n"/>
      <c r="L2084" s="31" t="n"/>
      <c r="M2084" s="24">
        <f>IF($G2084="","",IF($D2084="A国内","CNY","TZS"))</f>
        <v/>
      </c>
      <c r="N2084" s="28">
        <f>IF($G2084="","",IF($D2084="A国内",汇率,1))</f>
        <v/>
      </c>
      <c r="O2084" s="25">
        <f>IF($G2084="","",ROUND(N($K2084)*N($L2084),2))</f>
        <v/>
      </c>
      <c r="P2084" s="26">
        <f>IF($G2084="","",ROUND($O2084*$N2084,0))</f>
        <v/>
      </c>
      <c r="Q2084" s="26">
        <f>IF($G2084="","",SUMIFS($P$4:$P$2503,$E$4:$E$2503,$E2084,$Z$4:$Z$2503,"正常"))</f>
        <v/>
      </c>
      <c r="R2084" s="26">
        <f>IF($G2084="","",SUMIFS(费用台账!$I$4:$I$503,费用台账!$C$4:$C$503,$E2084,费用台账!$J$4:$J$503,"是",费用台账!$K$4:$K$503,"正常"))</f>
        <v/>
      </c>
      <c r="S2084" s="28">
        <f>IF($G2084="","",COUNTIFS($E$4:$E$2503,$E2084,$Z$4:$Z$2503,"正常",$Y$4:$Y$2503,"待补价"))</f>
        <v/>
      </c>
      <c r="T2084" s="26">
        <f>IF($G2084="","",SUMIFS($P$4:$P$2503,$E$4:$E$2503,$E2084,$Z$4:$Z$2503,"正常",$A$4:$A$2503,"&lt;="&amp;$A2084))</f>
        <v/>
      </c>
      <c r="U2084" s="26">
        <f>IF($G2084="","",IF(OR($S2084&gt;0,$Q2084=0,$R2084=0,$Z2084&lt;&gt;"正常"),0,ROUND($T2084/$Q2084*$R2084,0)-ROUND(($T2084-$P2084)/$Q2084*$R2084,0)))</f>
        <v/>
      </c>
      <c r="V2084" s="26">
        <f>IF($G2084="","",ROUND($P2084+$U2084,0))</f>
        <v/>
      </c>
      <c r="W2084" s="26">
        <f>IF($G2084="","",IF(N($K2084)=0,0,ROUND($V2084/$K2084,2)))</f>
        <v/>
      </c>
      <c r="X2084" s="17" t="n"/>
      <c r="Y2084" s="17" t="n"/>
      <c r="Z2084" s="17" t="n"/>
      <c r="AA2084" s="17" t="n"/>
      <c r="AB2084" s="17" t="n"/>
      <c r="AC2084" s="24">
        <f>IF($G2084="","",IF($H2084="※编码不在物料档案里","※物料编码不在档案里",IF(N($K2084)&lt;=0,"※入库数量要大于 0",IF(AND($C2084&lt;&gt;"",$C2084&lt;=结账锁),"※日期早于已结账截止日，不能再录",IF(AND($L2084=0,$X2084="正常"),"※没填单价，价格状态请选「待补价」",IF(AND($S2084&gt;0,$R2084&gt;0),"△本批有 "&amp;$S2084&amp;" 行没单价，整批运费先挂账没摊",IF(AND($B2084&lt;&gt;"",COUNTIF($B$4:$B$2503,$B2084)&gt;1),"※入库单号重复","")))))))</f>
        <v/>
      </c>
    </row>
    <row r="2085">
      <c r="A2085" s="24">
        <f>IF($G2085="","",COUNTA($G$4:$G2085))</f>
        <v/>
      </c>
      <c r="B2085" s="17" t="n"/>
      <c r="C2085" s="30" t="n"/>
      <c r="D2085" s="17" t="n"/>
      <c r="E2085" s="17" t="n"/>
      <c r="F2085" s="17" t="n"/>
      <c r="G2085" s="17" t="n"/>
      <c r="H2085" s="24">
        <f>IF($G2085="","",IFERROR(VLOOKUP($G2085,物料档案!$A$4:$P$1203,3,0),"※编码不在物料档案里"))</f>
        <v/>
      </c>
      <c r="I2085" s="24">
        <f>IF($G2085="","",IFERROR(VLOOKUP($G2085,物料档案!$A$4:$P$1203,4,0),"※编码不在物料档案里"))</f>
        <v/>
      </c>
      <c r="J2085" s="24">
        <f>IF($G2085="","",IFERROR(VLOOKUP($G2085,物料档案!$A$4:$P$1203,5,0),"※编码不在物料档案里"))</f>
        <v/>
      </c>
      <c r="K2085" s="23" t="n"/>
      <c r="L2085" s="31" t="n"/>
      <c r="M2085" s="24">
        <f>IF($G2085="","",IF($D2085="A国内","CNY","TZS"))</f>
        <v/>
      </c>
      <c r="N2085" s="28">
        <f>IF($G2085="","",IF($D2085="A国内",汇率,1))</f>
        <v/>
      </c>
      <c r="O2085" s="25">
        <f>IF($G2085="","",ROUND(N($K2085)*N($L2085),2))</f>
        <v/>
      </c>
      <c r="P2085" s="26">
        <f>IF($G2085="","",ROUND($O2085*$N2085,0))</f>
        <v/>
      </c>
      <c r="Q2085" s="26">
        <f>IF($G2085="","",SUMIFS($P$4:$P$2503,$E$4:$E$2503,$E2085,$Z$4:$Z$2503,"正常"))</f>
        <v/>
      </c>
      <c r="R2085" s="26">
        <f>IF($G2085="","",SUMIFS(费用台账!$I$4:$I$503,费用台账!$C$4:$C$503,$E2085,费用台账!$J$4:$J$503,"是",费用台账!$K$4:$K$503,"正常"))</f>
        <v/>
      </c>
      <c r="S2085" s="28">
        <f>IF($G2085="","",COUNTIFS($E$4:$E$2503,$E2085,$Z$4:$Z$2503,"正常",$Y$4:$Y$2503,"待补价"))</f>
        <v/>
      </c>
      <c r="T2085" s="26">
        <f>IF($G2085="","",SUMIFS($P$4:$P$2503,$E$4:$E$2503,$E2085,$Z$4:$Z$2503,"正常",$A$4:$A$2503,"&lt;="&amp;$A2085))</f>
        <v/>
      </c>
      <c r="U2085" s="26">
        <f>IF($G2085="","",IF(OR($S2085&gt;0,$Q2085=0,$R2085=0,$Z2085&lt;&gt;"正常"),0,ROUND($T2085/$Q2085*$R2085,0)-ROUND(($T2085-$P2085)/$Q2085*$R2085,0)))</f>
        <v/>
      </c>
      <c r="V2085" s="26">
        <f>IF($G2085="","",ROUND($P2085+$U2085,0))</f>
        <v/>
      </c>
      <c r="W2085" s="26">
        <f>IF($G2085="","",IF(N($K2085)=0,0,ROUND($V2085/$K2085,2)))</f>
        <v/>
      </c>
      <c r="X2085" s="17" t="n"/>
      <c r="Y2085" s="17" t="n"/>
      <c r="Z2085" s="17" t="n"/>
      <c r="AA2085" s="17" t="n"/>
      <c r="AB2085" s="17" t="n"/>
      <c r="AC2085" s="24">
        <f>IF($G2085="","",IF($H2085="※编码不在物料档案里","※物料编码不在档案里",IF(N($K2085)&lt;=0,"※入库数量要大于 0",IF(AND($C2085&lt;&gt;"",$C2085&lt;=结账锁),"※日期早于已结账截止日，不能再录",IF(AND($L2085=0,$X2085="正常"),"※没填单价，价格状态请选「待补价」",IF(AND($S2085&gt;0,$R2085&gt;0),"△本批有 "&amp;$S2085&amp;" 行没单价，整批运费先挂账没摊",IF(AND($B2085&lt;&gt;"",COUNTIF($B$4:$B$2503,$B2085)&gt;1),"※入库单号重复","")))))))</f>
        <v/>
      </c>
    </row>
    <row r="2086">
      <c r="A2086" s="24">
        <f>IF($G2086="","",COUNTA($G$4:$G2086))</f>
        <v/>
      </c>
      <c r="B2086" s="17" t="n"/>
      <c r="C2086" s="30" t="n"/>
      <c r="D2086" s="17" t="n"/>
      <c r="E2086" s="17" t="n"/>
      <c r="F2086" s="17" t="n"/>
      <c r="G2086" s="17" t="n"/>
      <c r="H2086" s="24">
        <f>IF($G2086="","",IFERROR(VLOOKUP($G2086,物料档案!$A$4:$P$1203,3,0),"※编码不在物料档案里"))</f>
        <v/>
      </c>
      <c r="I2086" s="24">
        <f>IF($G2086="","",IFERROR(VLOOKUP($G2086,物料档案!$A$4:$P$1203,4,0),"※编码不在物料档案里"))</f>
        <v/>
      </c>
      <c r="J2086" s="24">
        <f>IF($G2086="","",IFERROR(VLOOKUP($G2086,物料档案!$A$4:$P$1203,5,0),"※编码不在物料档案里"))</f>
        <v/>
      </c>
      <c r="K2086" s="23" t="n"/>
      <c r="L2086" s="31" t="n"/>
      <c r="M2086" s="24">
        <f>IF($G2086="","",IF($D2086="A国内","CNY","TZS"))</f>
        <v/>
      </c>
      <c r="N2086" s="28">
        <f>IF($G2086="","",IF($D2086="A国内",汇率,1))</f>
        <v/>
      </c>
      <c r="O2086" s="25">
        <f>IF($G2086="","",ROUND(N($K2086)*N($L2086),2))</f>
        <v/>
      </c>
      <c r="P2086" s="26">
        <f>IF($G2086="","",ROUND($O2086*$N2086,0))</f>
        <v/>
      </c>
      <c r="Q2086" s="26">
        <f>IF($G2086="","",SUMIFS($P$4:$P$2503,$E$4:$E$2503,$E2086,$Z$4:$Z$2503,"正常"))</f>
        <v/>
      </c>
      <c r="R2086" s="26">
        <f>IF($G2086="","",SUMIFS(费用台账!$I$4:$I$503,费用台账!$C$4:$C$503,$E2086,费用台账!$J$4:$J$503,"是",费用台账!$K$4:$K$503,"正常"))</f>
        <v/>
      </c>
      <c r="S2086" s="28">
        <f>IF($G2086="","",COUNTIFS($E$4:$E$2503,$E2086,$Z$4:$Z$2503,"正常",$Y$4:$Y$2503,"待补价"))</f>
        <v/>
      </c>
      <c r="T2086" s="26">
        <f>IF($G2086="","",SUMIFS($P$4:$P$2503,$E$4:$E$2503,$E2086,$Z$4:$Z$2503,"正常",$A$4:$A$2503,"&lt;="&amp;$A2086))</f>
        <v/>
      </c>
      <c r="U2086" s="26">
        <f>IF($G2086="","",IF(OR($S2086&gt;0,$Q2086=0,$R2086=0,$Z2086&lt;&gt;"正常"),0,ROUND($T2086/$Q2086*$R2086,0)-ROUND(($T2086-$P2086)/$Q2086*$R2086,0)))</f>
        <v/>
      </c>
      <c r="V2086" s="26">
        <f>IF($G2086="","",ROUND($P2086+$U2086,0))</f>
        <v/>
      </c>
      <c r="W2086" s="26">
        <f>IF($G2086="","",IF(N($K2086)=0,0,ROUND($V2086/$K2086,2)))</f>
        <v/>
      </c>
      <c r="X2086" s="17" t="n"/>
      <c r="Y2086" s="17" t="n"/>
      <c r="Z2086" s="17" t="n"/>
      <c r="AA2086" s="17" t="n"/>
      <c r="AB2086" s="17" t="n"/>
      <c r="AC2086" s="24">
        <f>IF($G2086="","",IF($H2086="※编码不在物料档案里","※物料编码不在档案里",IF(N($K2086)&lt;=0,"※入库数量要大于 0",IF(AND($C2086&lt;&gt;"",$C2086&lt;=结账锁),"※日期早于已结账截止日，不能再录",IF(AND($L2086=0,$X2086="正常"),"※没填单价，价格状态请选「待补价」",IF(AND($S2086&gt;0,$R2086&gt;0),"△本批有 "&amp;$S2086&amp;" 行没单价，整批运费先挂账没摊",IF(AND($B2086&lt;&gt;"",COUNTIF($B$4:$B$2503,$B2086)&gt;1),"※入库单号重复","")))))))</f>
        <v/>
      </c>
    </row>
    <row r="2087">
      <c r="A2087" s="24">
        <f>IF($G2087="","",COUNTA($G$4:$G2087))</f>
        <v/>
      </c>
      <c r="B2087" s="17" t="n"/>
      <c r="C2087" s="30" t="n"/>
      <c r="D2087" s="17" t="n"/>
      <c r="E2087" s="17" t="n"/>
      <c r="F2087" s="17" t="n"/>
      <c r="G2087" s="17" t="n"/>
      <c r="H2087" s="24">
        <f>IF($G2087="","",IFERROR(VLOOKUP($G2087,物料档案!$A$4:$P$1203,3,0),"※编码不在物料档案里"))</f>
        <v/>
      </c>
      <c r="I2087" s="24">
        <f>IF($G2087="","",IFERROR(VLOOKUP($G2087,物料档案!$A$4:$P$1203,4,0),"※编码不在物料档案里"))</f>
        <v/>
      </c>
      <c r="J2087" s="24">
        <f>IF($G2087="","",IFERROR(VLOOKUP($G2087,物料档案!$A$4:$P$1203,5,0),"※编码不在物料档案里"))</f>
        <v/>
      </c>
      <c r="K2087" s="23" t="n"/>
      <c r="L2087" s="31" t="n"/>
      <c r="M2087" s="24">
        <f>IF($G2087="","",IF($D2087="A国内","CNY","TZS"))</f>
        <v/>
      </c>
      <c r="N2087" s="28">
        <f>IF($G2087="","",IF($D2087="A国内",汇率,1))</f>
        <v/>
      </c>
      <c r="O2087" s="25">
        <f>IF($G2087="","",ROUND(N($K2087)*N($L2087),2))</f>
        <v/>
      </c>
      <c r="P2087" s="26">
        <f>IF($G2087="","",ROUND($O2087*$N2087,0))</f>
        <v/>
      </c>
      <c r="Q2087" s="26">
        <f>IF($G2087="","",SUMIFS($P$4:$P$2503,$E$4:$E$2503,$E2087,$Z$4:$Z$2503,"正常"))</f>
        <v/>
      </c>
      <c r="R2087" s="26">
        <f>IF($G2087="","",SUMIFS(费用台账!$I$4:$I$503,费用台账!$C$4:$C$503,$E2087,费用台账!$J$4:$J$503,"是",费用台账!$K$4:$K$503,"正常"))</f>
        <v/>
      </c>
      <c r="S2087" s="28">
        <f>IF($G2087="","",COUNTIFS($E$4:$E$2503,$E2087,$Z$4:$Z$2503,"正常",$Y$4:$Y$2503,"待补价"))</f>
        <v/>
      </c>
      <c r="T2087" s="26">
        <f>IF($G2087="","",SUMIFS($P$4:$P$2503,$E$4:$E$2503,$E2087,$Z$4:$Z$2503,"正常",$A$4:$A$2503,"&lt;="&amp;$A2087))</f>
        <v/>
      </c>
      <c r="U2087" s="26">
        <f>IF($G2087="","",IF(OR($S2087&gt;0,$Q2087=0,$R2087=0,$Z2087&lt;&gt;"正常"),0,ROUND($T2087/$Q2087*$R2087,0)-ROUND(($T2087-$P2087)/$Q2087*$R2087,0)))</f>
        <v/>
      </c>
      <c r="V2087" s="26">
        <f>IF($G2087="","",ROUND($P2087+$U2087,0))</f>
        <v/>
      </c>
      <c r="W2087" s="26">
        <f>IF($G2087="","",IF(N($K2087)=0,0,ROUND($V2087/$K2087,2)))</f>
        <v/>
      </c>
      <c r="X2087" s="17" t="n"/>
      <c r="Y2087" s="17" t="n"/>
      <c r="Z2087" s="17" t="n"/>
      <c r="AA2087" s="17" t="n"/>
      <c r="AB2087" s="17" t="n"/>
      <c r="AC2087" s="24">
        <f>IF($G2087="","",IF($H2087="※编码不在物料档案里","※物料编码不在档案里",IF(N($K2087)&lt;=0,"※入库数量要大于 0",IF(AND($C2087&lt;&gt;"",$C2087&lt;=结账锁),"※日期早于已结账截止日，不能再录",IF(AND($L2087=0,$X2087="正常"),"※没填单价，价格状态请选「待补价」",IF(AND($S2087&gt;0,$R2087&gt;0),"△本批有 "&amp;$S2087&amp;" 行没单价，整批运费先挂账没摊",IF(AND($B2087&lt;&gt;"",COUNTIF($B$4:$B$2503,$B2087)&gt;1),"※入库单号重复","")))))))</f>
        <v/>
      </c>
    </row>
    <row r="2088">
      <c r="A2088" s="24">
        <f>IF($G2088="","",COUNTA($G$4:$G2088))</f>
        <v/>
      </c>
      <c r="B2088" s="17" t="n"/>
      <c r="C2088" s="30" t="n"/>
      <c r="D2088" s="17" t="n"/>
      <c r="E2088" s="17" t="n"/>
      <c r="F2088" s="17" t="n"/>
      <c r="G2088" s="17" t="n"/>
      <c r="H2088" s="24">
        <f>IF($G2088="","",IFERROR(VLOOKUP($G2088,物料档案!$A$4:$P$1203,3,0),"※编码不在物料档案里"))</f>
        <v/>
      </c>
      <c r="I2088" s="24">
        <f>IF($G2088="","",IFERROR(VLOOKUP($G2088,物料档案!$A$4:$P$1203,4,0),"※编码不在物料档案里"))</f>
        <v/>
      </c>
      <c r="J2088" s="24">
        <f>IF($G2088="","",IFERROR(VLOOKUP($G2088,物料档案!$A$4:$P$1203,5,0),"※编码不在物料档案里"))</f>
        <v/>
      </c>
      <c r="K2088" s="23" t="n"/>
      <c r="L2088" s="31" t="n"/>
      <c r="M2088" s="24">
        <f>IF($G2088="","",IF($D2088="A国内","CNY","TZS"))</f>
        <v/>
      </c>
      <c r="N2088" s="28">
        <f>IF($G2088="","",IF($D2088="A国内",汇率,1))</f>
        <v/>
      </c>
      <c r="O2088" s="25">
        <f>IF($G2088="","",ROUND(N($K2088)*N($L2088),2))</f>
        <v/>
      </c>
      <c r="P2088" s="26">
        <f>IF($G2088="","",ROUND($O2088*$N2088,0))</f>
        <v/>
      </c>
      <c r="Q2088" s="26">
        <f>IF($G2088="","",SUMIFS($P$4:$P$2503,$E$4:$E$2503,$E2088,$Z$4:$Z$2503,"正常"))</f>
        <v/>
      </c>
      <c r="R2088" s="26">
        <f>IF($G2088="","",SUMIFS(费用台账!$I$4:$I$503,费用台账!$C$4:$C$503,$E2088,费用台账!$J$4:$J$503,"是",费用台账!$K$4:$K$503,"正常"))</f>
        <v/>
      </c>
      <c r="S2088" s="28">
        <f>IF($G2088="","",COUNTIFS($E$4:$E$2503,$E2088,$Z$4:$Z$2503,"正常",$Y$4:$Y$2503,"待补价"))</f>
        <v/>
      </c>
      <c r="T2088" s="26">
        <f>IF($G2088="","",SUMIFS($P$4:$P$2503,$E$4:$E$2503,$E2088,$Z$4:$Z$2503,"正常",$A$4:$A$2503,"&lt;="&amp;$A2088))</f>
        <v/>
      </c>
      <c r="U2088" s="26">
        <f>IF($G2088="","",IF(OR($S2088&gt;0,$Q2088=0,$R2088=0,$Z2088&lt;&gt;"正常"),0,ROUND($T2088/$Q2088*$R2088,0)-ROUND(($T2088-$P2088)/$Q2088*$R2088,0)))</f>
        <v/>
      </c>
      <c r="V2088" s="26">
        <f>IF($G2088="","",ROUND($P2088+$U2088,0))</f>
        <v/>
      </c>
      <c r="W2088" s="26">
        <f>IF($G2088="","",IF(N($K2088)=0,0,ROUND($V2088/$K2088,2)))</f>
        <v/>
      </c>
      <c r="X2088" s="17" t="n"/>
      <c r="Y2088" s="17" t="n"/>
      <c r="Z2088" s="17" t="n"/>
      <c r="AA2088" s="17" t="n"/>
      <c r="AB2088" s="17" t="n"/>
      <c r="AC2088" s="24">
        <f>IF($G2088="","",IF($H2088="※编码不在物料档案里","※物料编码不在档案里",IF(N($K2088)&lt;=0,"※入库数量要大于 0",IF(AND($C2088&lt;&gt;"",$C2088&lt;=结账锁),"※日期早于已结账截止日，不能再录",IF(AND($L2088=0,$X2088="正常"),"※没填单价，价格状态请选「待补价」",IF(AND($S2088&gt;0,$R2088&gt;0),"△本批有 "&amp;$S2088&amp;" 行没单价，整批运费先挂账没摊",IF(AND($B2088&lt;&gt;"",COUNTIF($B$4:$B$2503,$B2088)&gt;1),"※入库单号重复","")))))))</f>
        <v/>
      </c>
    </row>
    <row r="2089">
      <c r="A2089" s="24">
        <f>IF($G2089="","",COUNTA($G$4:$G2089))</f>
        <v/>
      </c>
      <c r="B2089" s="17" t="n"/>
      <c r="C2089" s="30" t="n"/>
      <c r="D2089" s="17" t="n"/>
      <c r="E2089" s="17" t="n"/>
      <c r="F2089" s="17" t="n"/>
      <c r="G2089" s="17" t="n"/>
      <c r="H2089" s="24">
        <f>IF($G2089="","",IFERROR(VLOOKUP($G2089,物料档案!$A$4:$P$1203,3,0),"※编码不在物料档案里"))</f>
        <v/>
      </c>
      <c r="I2089" s="24">
        <f>IF($G2089="","",IFERROR(VLOOKUP($G2089,物料档案!$A$4:$P$1203,4,0),"※编码不在物料档案里"))</f>
        <v/>
      </c>
      <c r="J2089" s="24">
        <f>IF($G2089="","",IFERROR(VLOOKUP($G2089,物料档案!$A$4:$P$1203,5,0),"※编码不在物料档案里"))</f>
        <v/>
      </c>
      <c r="K2089" s="23" t="n"/>
      <c r="L2089" s="31" t="n"/>
      <c r="M2089" s="24">
        <f>IF($G2089="","",IF($D2089="A国内","CNY","TZS"))</f>
        <v/>
      </c>
      <c r="N2089" s="28">
        <f>IF($G2089="","",IF($D2089="A国内",汇率,1))</f>
        <v/>
      </c>
      <c r="O2089" s="25">
        <f>IF($G2089="","",ROUND(N($K2089)*N($L2089),2))</f>
        <v/>
      </c>
      <c r="P2089" s="26">
        <f>IF($G2089="","",ROUND($O2089*$N2089,0))</f>
        <v/>
      </c>
      <c r="Q2089" s="26">
        <f>IF($G2089="","",SUMIFS($P$4:$P$2503,$E$4:$E$2503,$E2089,$Z$4:$Z$2503,"正常"))</f>
        <v/>
      </c>
      <c r="R2089" s="26">
        <f>IF($G2089="","",SUMIFS(费用台账!$I$4:$I$503,费用台账!$C$4:$C$503,$E2089,费用台账!$J$4:$J$503,"是",费用台账!$K$4:$K$503,"正常"))</f>
        <v/>
      </c>
      <c r="S2089" s="28">
        <f>IF($G2089="","",COUNTIFS($E$4:$E$2503,$E2089,$Z$4:$Z$2503,"正常",$Y$4:$Y$2503,"待补价"))</f>
        <v/>
      </c>
      <c r="T2089" s="26">
        <f>IF($G2089="","",SUMIFS($P$4:$P$2503,$E$4:$E$2503,$E2089,$Z$4:$Z$2503,"正常",$A$4:$A$2503,"&lt;="&amp;$A2089))</f>
        <v/>
      </c>
      <c r="U2089" s="26">
        <f>IF($G2089="","",IF(OR($S2089&gt;0,$Q2089=0,$R2089=0,$Z2089&lt;&gt;"正常"),0,ROUND($T2089/$Q2089*$R2089,0)-ROUND(($T2089-$P2089)/$Q2089*$R2089,0)))</f>
        <v/>
      </c>
      <c r="V2089" s="26">
        <f>IF($G2089="","",ROUND($P2089+$U2089,0))</f>
        <v/>
      </c>
      <c r="W2089" s="26">
        <f>IF($G2089="","",IF(N($K2089)=0,0,ROUND($V2089/$K2089,2)))</f>
        <v/>
      </c>
      <c r="X2089" s="17" t="n"/>
      <c r="Y2089" s="17" t="n"/>
      <c r="Z2089" s="17" t="n"/>
      <c r="AA2089" s="17" t="n"/>
      <c r="AB2089" s="17" t="n"/>
      <c r="AC2089" s="24">
        <f>IF($G2089="","",IF($H2089="※编码不在物料档案里","※物料编码不在档案里",IF(N($K2089)&lt;=0,"※入库数量要大于 0",IF(AND($C2089&lt;&gt;"",$C2089&lt;=结账锁),"※日期早于已结账截止日，不能再录",IF(AND($L2089=0,$X2089="正常"),"※没填单价，价格状态请选「待补价」",IF(AND($S2089&gt;0,$R2089&gt;0),"△本批有 "&amp;$S2089&amp;" 行没单价，整批运费先挂账没摊",IF(AND($B2089&lt;&gt;"",COUNTIF($B$4:$B$2503,$B2089)&gt;1),"※入库单号重复","")))))))</f>
        <v/>
      </c>
    </row>
    <row r="2090">
      <c r="A2090" s="24">
        <f>IF($G2090="","",COUNTA($G$4:$G2090))</f>
        <v/>
      </c>
      <c r="B2090" s="17" t="n"/>
      <c r="C2090" s="30" t="n"/>
      <c r="D2090" s="17" t="n"/>
      <c r="E2090" s="17" t="n"/>
      <c r="F2090" s="17" t="n"/>
      <c r="G2090" s="17" t="n"/>
      <c r="H2090" s="24">
        <f>IF($G2090="","",IFERROR(VLOOKUP($G2090,物料档案!$A$4:$P$1203,3,0),"※编码不在物料档案里"))</f>
        <v/>
      </c>
      <c r="I2090" s="24">
        <f>IF($G2090="","",IFERROR(VLOOKUP($G2090,物料档案!$A$4:$P$1203,4,0),"※编码不在物料档案里"))</f>
        <v/>
      </c>
      <c r="J2090" s="24">
        <f>IF($G2090="","",IFERROR(VLOOKUP($G2090,物料档案!$A$4:$P$1203,5,0),"※编码不在物料档案里"))</f>
        <v/>
      </c>
      <c r="K2090" s="23" t="n"/>
      <c r="L2090" s="31" t="n"/>
      <c r="M2090" s="24">
        <f>IF($G2090="","",IF($D2090="A国内","CNY","TZS"))</f>
        <v/>
      </c>
      <c r="N2090" s="28">
        <f>IF($G2090="","",IF($D2090="A国内",汇率,1))</f>
        <v/>
      </c>
      <c r="O2090" s="25">
        <f>IF($G2090="","",ROUND(N($K2090)*N($L2090),2))</f>
        <v/>
      </c>
      <c r="P2090" s="26">
        <f>IF($G2090="","",ROUND($O2090*$N2090,0))</f>
        <v/>
      </c>
      <c r="Q2090" s="26">
        <f>IF($G2090="","",SUMIFS($P$4:$P$2503,$E$4:$E$2503,$E2090,$Z$4:$Z$2503,"正常"))</f>
        <v/>
      </c>
      <c r="R2090" s="26">
        <f>IF($G2090="","",SUMIFS(费用台账!$I$4:$I$503,费用台账!$C$4:$C$503,$E2090,费用台账!$J$4:$J$503,"是",费用台账!$K$4:$K$503,"正常"))</f>
        <v/>
      </c>
      <c r="S2090" s="28">
        <f>IF($G2090="","",COUNTIFS($E$4:$E$2503,$E2090,$Z$4:$Z$2503,"正常",$Y$4:$Y$2503,"待补价"))</f>
        <v/>
      </c>
      <c r="T2090" s="26">
        <f>IF($G2090="","",SUMIFS($P$4:$P$2503,$E$4:$E$2503,$E2090,$Z$4:$Z$2503,"正常",$A$4:$A$2503,"&lt;="&amp;$A2090))</f>
        <v/>
      </c>
      <c r="U2090" s="26">
        <f>IF($G2090="","",IF(OR($S2090&gt;0,$Q2090=0,$R2090=0,$Z2090&lt;&gt;"正常"),0,ROUND($T2090/$Q2090*$R2090,0)-ROUND(($T2090-$P2090)/$Q2090*$R2090,0)))</f>
        <v/>
      </c>
      <c r="V2090" s="26">
        <f>IF($G2090="","",ROUND($P2090+$U2090,0))</f>
        <v/>
      </c>
      <c r="W2090" s="26">
        <f>IF($G2090="","",IF(N($K2090)=0,0,ROUND($V2090/$K2090,2)))</f>
        <v/>
      </c>
      <c r="X2090" s="17" t="n"/>
      <c r="Y2090" s="17" t="n"/>
      <c r="Z2090" s="17" t="n"/>
      <c r="AA2090" s="17" t="n"/>
      <c r="AB2090" s="17" t="n"/>
      <c r="AC2090" s="24">
        <f>IF($G2090="","",IF($H2090="※编码不在物料档案里","※物料编码不在档案里",IF(N($K2090)&lt;=0,"※入库数量要大于 0",IF(AND($C2090&lt;&gt;"",$C2090&lt;=结账锁),"※日期早于已结账截止日，不能再录",IF(AND($L2090=0,$X2090="正常"),"※没填单价，价格状态请选「待补价」",IF(AND($S2090&gt;0,$R2090&gt;0),"△本批有 "&amp;$S2090&amp;" 行没单价，整批运费先挂账没摊",IF(AND($B2090&lt;&gt;"",COUNTIF($B$4:$B$2503,$B2090)&gt;1),"※入库单号重复","")))))))</f>
        <v/>
      </c>
    </row>
    <row r="2091">
      <c r="A2091" s="24">
        <f>IF($G2091="","",COUNTA($G$4:$G2091))</f>
        <v/>
      </c>
      <c r="B2091" s="17" t="n"/>
      <c r="C2091" s="30" t="n"/>
      <c r="D2091" s="17" t="n"/>
      <c r="E2091" s="17" t="n"/>
      <c r="F2091" s="17" t="n"/>
      <c r="G2091" s="17" t="n"/>
      <c r="H2091" s="24">
        <f>IF($G2091="","",IFERROR(VLOOKUP($G2091,物料档案!$A$4:$P$1203,3,0),"※编码不在物料档案里"))</f>
        <v/>
      </c>
      <c r="I2091" s="24">
        <f>IF($G2091="","",IFERROR(VLOOKUP($G2091,物料档案!$A$4:$P$1203,4,0),"※编码不在物料档案里"))</f>
        <v/>
      </c>
      <c r="J2091" s="24">
        <f>IF($G2091="","",IFERROR(VLOOKUP($G2091,物料档案!$A$4:$P$1203,5,0),"※编码不在物料档案里"))</f>
        <v/>
      </c>
      <c r="K2091" s="23" t="n"/>
      <c r="L2091" s="31" t="n"/>
      <c r="M2091" s="24">
        <f>IF($G2091="","",IF($D2091="A国内","CNY","TZS"))</f>
        <v/>
      </c>
      <c r="N2091" s="28">
        <f>IF($G2091="","",IF($D2091="A国内",汇率,1))</f>
        <v/>
      </c>
      <c r="O2091" s="25">
        <f>IF($G2091="","",ROUND(N($K2091)*N($L2091),2))</f>
        <v/>
      </c>
      <c r="P2091" s="26">
        <f>IF($G2091="","",ROUND($O2091*$N2091,0))</f>
        <v/>
      </c>
      <c r="Q2091" s="26">
        <f>IF($G2091="","",SUMIFS($P$4:$P$2503,$E$4:$E$2503,$E2091,$Z$4:$Z$2503,"正常"))</f>
        <v/>
      </c>
      <c r="R2091" s="26">
        <f>IF($G2091="","",SUMIFS(费用台账!$I$4:$I$503,费用台账!$C$4:$C$503,$E2091,费用台账!$J$4:$J$503,"是",费用台账!$K$4:$K$503,"正常"))</f>
        <v/>
      </c>
      <c r="S2091" s="28">
        <f>IF($G2091="","",COUNTIFS($E$4:$E$2503,$E2091,$Z$4:$Z$2503,"正常",$Y$4:$Y$2503,"待补价"))</f>
        <v/>
      </c>
      <c r="T2091" s="26">
        <f>IF($G2091="","",SUMIFS($P$4:$P$2503,$E$4:$E$2503,$E2091,$Z$4:$Z$2503,"正常",$A$4:$A$2503,"&lt;="&amp;$A2091))</f>
        <v/>
      </c>
      <c r="U2091" s="26">
        <f>IF($G2091="","",IF(OR($S2091&gt;0,$Q2091=0,$R2091=0,$Z2091&lt;&gt;"正常"),0,ROUND($T2091/$Q2091*$R2091,0)-ROUND(($T2091-$P2091)/$Q2091*$R2091,0)))</f>
        <v/>
      </c>
      <c r="V2091" s="26">
        <f>IF($G2091="","",ROUND($P2091+$U2091,0))</f>
        <v/>
      </c>
      <c r="W2091" s="26">
        <f>IF($G2091="","",IF(N($K2091)=0,0,ROUND($V2091/$K2091,2)))</f>
        <v/>
      </c>
      <c r="X2091" s="17" t="n"/>
      <c r="Y2091" s="17" t="n"/>
      <c r="Z2091" s="17" t="n"/>
      <c r="AA2091" s="17" t="n"/>
      <c r="AB2091" s="17" t="n"/>
      <c r="AC2091" s="24">
        <f>IF($G2091="","",IF($H2091="※编码不在物料档案里","※物料编码不在档案里",IF(N($K2091)&lt;=0,"※入库数量要大于 0",IF(AND($C2091&lt;&gt;"",$C2091&lt;=结账锁),"※日期早于已结账截止日，不能再录",IF(AND($L2091=0,$X2091="正常"),"※没填单价，价格状态请选「待补价」",IF(AND($S2091&gt;0,$R2091&gt;0),"△本批有 "&amp;$S2091&amp;" 行没单价，整批运费先挂账没摊",IF(AND($B2091&lt;&gt;"",COUNTIF($B$4:$B$2503,$B2091)&gt;1),"※入库单号重复","")))))))</f>
        <v/>
      </c>
    </row>
    <row r="2092">
      <c r="A2092" s="24">
        <f>IF($G2092="","",COUNTA($G$4:$G2092))</f>
        <v/>
      </c>
      <c r="B2092" s="17" t="n"/>
      <c r="C2092" s="30" t="n"/>
      <c r="D2092" s="17" t="n"/>
      <c r="E2092" s="17" t="n"/>
      <c r="F2092" s="17" t="n"/>
      <c r="G2092" s="17" t="n"/>
      <c r="H2092" s="24">
        <f>IF($G2092="","",IFERROR(VLOOKUP($G2092,物料档案!$A$4:$P$1203,3,0),"※编码不在物料档案里"))</f>
        <v/>
      </c>
      <c r="I2092" s="24">
        <f>IF($G2092="","",IFERROR(VLOOKUP($G2092,物料档案!$A$4:$P$1203,4,0),"※编码不在物料档案里"))</f>
        <v/>
      </c>
      <c r="J2092" s="24">
        <f>IF($G2092="","",IFERROR(VLOOKUP($G2092,物料档案!$A$4:$P$1203,5,0),"※编码不在物料档案里"))</f>
        <v/>
      </c>
      <c r="K2092" s="23" t="n"/>
      <c r="L2092" s="31" t="n"/>
      <c r="M2092" s="24">
        <f>IF($G2092="","",IF($D2092="A国内","CNY","TZS"))</f>
        <v/>
      </c>
      <c r="N2092" s="28">
        <f>IF($G2092="","",IF($D2092="A国内",汇率,1))</f>
        <v/>
      </c>
      <c r="O2092" s="25">
        <f>IF($G2092="","",ROUND(N($K2092)*N($L2092),2))</f>
        <v/>
      </c>
      <c r="P2092" s="26">
        <f>IF($G2092="","",ROUND($O2092*$N2092,0))</f>
        <v/>
      </c>
      <c r="Q2092" s="26">
        <f>IF($G2092="","",SUMIFS($P$4:$P$2503,$E$4:$E$2503,$E2092,$Z$4:$Z$2503,"正常"))</f>
        <v/>
      </c>
      <c r="R2092" s="26">
        <f>IF($G2092="","",SUMIFS(费用台账!$I$4:$I$503,费用台账!$C$4:$C$503,$E2092,费用台账!$J$4:$J$503,"是",费用台账!$K$4:$K$503,"正常"))</f>
        <v/>
      </c>
      <c r="S2092" s="28">
        <f>IF($G2092="","",COUNTIFS($E$4:$E$2503,$E2092,$Z$4:$Z$2503,"正常",$Y$4:$Y$2503,"待补价"))</f>
        <v/>
      </c>
      <c r="T2092" s="26">
        <f>IF($G2092="","",SUMIFS($P$4:$P$2503,$E$4:$E$2503,$E2092,$Z$4:$Z$2503,"正常",$A$4:$A$2503,"&lt;="&amp;$A2092))</f>
        <v/>
      </c>
      <c r="U2092" s="26">
        <f>IF($G2092="","",IF(OR($S2092&gt;0,$Q2092=0,$R2092=0,$Z2092&lt;&gt;"正常"),0,ROUND($T2092/$Q2092*$R2092,0)-ROUND(($T2092-$P2092)/$Q2092*$R2092,0)))</f>
        <v/>
      </c>
      <c r="V2092" s="26">
        <f>IF($G2092="","",ROUND($P2092+$U2092,0))</f>
        <v/>
      </c>
      <c r="W2092" s="26">
        <f>IF($G2092="","",IF(N($K2092)=0,0,ROUND($V2092/$K2092,2)))</f>
        <v/>
      </c>
      <c r="X2092" s="17" t="n"/>
      <c r="Y2092" s="17" t="n"/>
      <c r="Z2092" s="17" t="n"/>
      <c r="AA2092" s="17" t="n"/>
      <c r="AB2092" s="17" t="n"/>
      <c r="AC2092" s="24">
        <f>IF($G2092="","",IF($H2092="※编码不在物料档案里","※物料编码不在档案里",IF(N($K2092)&lt;=0,"※入库数量要大于 0",IF(AND($C2092&lt;&gt;"",$C2092&lt;=结账锁),"※日期早于已结账截止日，不能再录",IF(AND($L2092=0,$X2092="正常"),"※没填单价，价格状态请选「待补价」",IF(AND($S2092&gt;0,$R2092&gt;0),"△本批有 "&amp;$S2092&amp;" 行没单价，整批运费先挂账没摊",IF(AND($B2092&lt;&gt;"",COUNTIF($B$4:$B$2503,$B2092)&gt;1),"※入库单号重复","")))))))</f>
        <v/>
      </c>
    </row>
    <row r="2093">
      <c r="A2093" s="24">
        <f>IF($G2093="","",COUNTA($G$4:$G2093))</f>
        <v/>
      </c>
      <c r="B2093" s="17" t="n"/>
      <c r="C2093" s="30" t="n"/>
      <c r="D2093" s="17" t="n"/>
      <c r="E2093" s="17" t="n"/>
      <c r="F2093" s="17" t="n"/>
      <c r="G2093" s="17" t="n"/>
      <c r="H2093" s="24">
        <f>IF($G2093="","",IFERROR(VLOOKUP($G2093,物料档案!$A$4:$P$1203,3,0),"※编码不在物料档案里"))</f>
        <v/>
      </c>
      <c r="I2093" s="24">
        <f>IF($G2093="","",IFERROR(VLOOKUP($G2093,物料档案!$A$4:$P$1203,4,0),"※编码不在物料档案里"))</f>
        <v/>
      </c>
      <c r="J2093" s="24">
        <f>IF($G2093="","",IFERROR(VLOOKUP($G2093,物料档案!$A$4:$P$1203,5,0),"※编码不在物料档案里"))</f>
        <v/>
      </c>
      <c r="K2093" s="23" t="n"/>
      <c r="L2093" s="31" t="n"/>
      <c r="M2093" s="24">
        <f>IF($G2093="","",IF($D2093="A国内","CNY","TZS"))</f>
        <v/>
      </c>
      <c r="N2093" s="28">
        <f>IF($G2093="","",IF($D2093="A国内",汇率,1))</f>
        <v/>
      </c>
      <c r="O2093" s="25">
        <f>IF($G2093="","",ROUND(N($K2093)*N($L2093),2))</f>
        <v/>
      </c>
      <c r="P2093" s="26">
        <f>IF($G2093="","",ROUND($O2093*$N2093,0))</f>
        <v/>
      </c>
      <c r="Q2093" s="26">
        <f>IF($G2093="","",SUMIFS($P$4:$P$2503,$E$4:$E$2503,$E2093,$Z$4:$Z$2503,"正常"))</f>
        <v/>
      </c>
      <c r="R2093" s="26">
        <f>IF($G2093="","",SUMIFS(费用台账!$I$4:$I$503,费用台账!$C$4:$C$503,$E2093,费用台账!$J$4:$J$503,"是",费用台账!$K$4:$K$503,"正常"))</f>
        <v/>
      </c>
      <c r="S2093" s="28">
        <f>IF($G2093="","",COUNTIFS($E$4:$E$2503,$E2093,$Z$4:$Z$2503,"正常",$Y$4:$Y$2503,"待补价"))</f>
        <v/>
      </c>
      <c r="T2093" s="26">
        <f>IF($G2093="","",SUMIFS($P$4:$P$2503,$E$4:$E$2503,$E2093,$Z$4:$Z$2503,"正常",$A$4:$A$2503,"&lt;="&amp;$A2093))</f>
        <v/>
      </c>
      <c r="U2093" s="26">
        <f>IF($G2093="","",IF(OR($S2093&gt;0,$Q2093=0,$R2093=0,$Z2093&lt;&gt;"正常"),0,ROUND($T2093/$Q2093*$R2093,0)-ROUND(($T2093-$P2093)/$Q2093*$R2093,0)))</f>
        <v/>
      </c>
      <c r="V2093" s="26">
        <f>IF($G2093="","",ROUND($P2093+$U2093,0))</f>
        <v/>
      </c>
      <c r="W2093" s="26">
        <f>IF($G2093="","",IF(N($K2093)=0,0,ROUND($V2093/$K2093,2)))</f>
        <v/>
      </c>
      <c r="X2093" s="17" t="n"/>
      <c r="Y2093" s="17" t="n"/>
      <c r="Z2093" s="17" t="n"/>
      <c r="AA2093" s="17" t="n"/>
      <c r="AB2093" s="17" t="n"/>
      <c r="AC2093" s="24">
        <f>IF($G2093="","",IF($H2093="※编码不在物料档案里","※物料编码不在档案里",IF(N($K2093)&lt;=0,"※入库数量要大于 0",IF(AND($C2093&lt;&gt;"",$C2093&lt;=结账锁),"※日期早于已结账截止日，不能再录",IF(AND($L2093=0,$X2093="正常"),"※没填单价，价格状态请选「待补价」",IF(AND($S2093&gt;0,$R2093&gt;0),"△本批有 "&amp;$S2093&amp;" 行没单价，整批运费先挂账没摊",IF(AND($B2093&lt;&gt;"",COUNTIF($B$4:$B$2503,$B2093)&gt;1),"※入库单号重复","")))))))</f>
        <v/>
      </c>
    </row>
    <row r="2094">
      <c r="A2094" s="24">
        <f>IF($G2094="","",COUNTA($G$4:$G2094))</f>
        <v/>
      </c>
      <c r="B2094" s="17" t="n"/>
      <c r="C2094" s="30" t="n"/>
      <c r="D2094" s="17" t="n"/>
      <c r="E2094" s="17" t="n"/>
      <c r="F2094" s="17" t="n"/>
      <c r="G2094" s="17" t="n"/>
      <c r="H2094" s="24">
        <f>IF($G2094="","",IFERROR(VLOOKUP($G2094,物料档案!$A$4:$P$1203,3,0),"※编码不在物料档案里"))</f>
        <v/>
      </c>
      <c r="I2094" s="24">
        <f>IF($G2094="","",IFERROR(VLOOKUP($G2094,物料档案!$A$4:$P$1203,4,0),"※编码不在物料档案里"))</f>
        <v/>
      </c>
      <c r="J2094" s="24">
        <f>IF($G2094="","",IFERROR(VLOOKUP($G2094,物料档案!$A$4:$P$1203,5,0),"※编码不在物料档案里"))</f>
        <v/>
      </c>
      <c r="K2094" s="23" t="n"/>
      <c r="L2094" s="31" t="n"/>
      <c r="M2094" s="24">
        <f>IF($G2094="","",IF($D2094="A国内","CNY","TZS"))</f>
        <v/>
      </c>
      <c r="N2094" s="28">
        <f>IF($G2094="","",IF($D2094="A国内",汇率,1))</f>
        <v/>
      </c>
      <c r="O2094" s="25">
        <f>IF($G2094="","",ROUND(N($K2094)*N($L2094),2))</f>
        <v/>
      </c>
      <c r="P2094" s="26">
        <f>IF($G2094="","",ROUND($O2094*$N2094,0))</f>
        <v/>
      </c>
      <c r="Q2094" s="26">
        <f>IF($G2094="","",SUMIFS($P$4:$P$2503,$E$4:$E$2503,$E2094,$Z$4:$Z$2503,"正常"))</f>
        <v/>
      </c>
      <c r="R2094" s="26">
        <f>IF($G2094="","",SUMIFS(费用台账!$I$4:$I$503,费用台账!$C$4:$C$503,$E2094,费用台账!$J$4:$J$503,"是",费用台账!$K$4:$K$503,"正常"))</f>
        <v/>
      </c>
      <c r="S2094" s="28">
        <f>IF($G2094="","",COUNTIFS($E$4:$E$2503,$E2094,$Z$4:$Z$2503,"正常",$Y$4:$Y$2503,"待补价"))</f>
        <v/>
      </c>
      <c r="T2094" s="26">
        <f>IF($G2094="","",SUMIFS($P$4:$P$2503,$E$4:$E$2503,$E2094,$Z$4:$Z$2503,"正常",$A$4:$A$2503,"&lt;="&amp;$A2094))</f>
        <v/>
      </c>
      <c r="U2094" s="26">
        <f>IF($G2094="","",IF(OR($S2094&gt;0,$Q2094=0,$R2094=0,$Z2094&lt;&gt;"正常"),0,ROUND($T2094/$Q2094*$R2094,0)-ROUND(($T2094-$P2094)/$Q2094*$R2094,0)))</f>
        <v/>
      </c>
      <c r="V2094" s="26">
        <f>IF($G2094="","",ROUND($P2094+$U2094,0))</f>
        <v/>
      </c>
      <c r="W2094" s="26">
        <f>IF($G2094="","",IF(N($K2094)=0,0,ROUND($V2094/$K2094,2)))</f>
        <v/>
      </c>
      <c r="X2094" s="17" t="n"/>
      <c r="Y2094" s="17" t="n"/>
      <c r="Z2094" s="17" t="n"/>
      <c r="AA2094" s="17" t="n"/>
      <c r="AB2094" s="17" t="n"/>
      <c r="AC2094" s="24">
        <f>IF($G2094="","",IF($H2094="※编码不在物料档案里","※物料编码不在档案里",IF(N($K2094)&lt;=0,"※入库数量要大于 0",IF(AND($C2094&lt;&gt;"",$C2094&lt;=结账锁),"※日期早于已结账截止日，不能再录",IF(AND($L2094=0,$X2094="正常"),"※没填单价，价格状态请选「待补价」",IF(AND($S2094&gt;0,$R2094&gt;0),"△本批有 "&amp;$S2094&amp;" 行没单价，整批运费先挂账没摊",IF(AND($B2094&lt;&gt;"",COUNTIF($B$4:$B$2503,$B2094)&gt;1),"※入库单号重复","")))))))</f>
        <v/>
      </c>
    </row>
    <row r="2095">
      <c r="A2095" s="24">
        <f>IF($G2095="","",COUNTA($G$4:$G2095))</f>
        <v/>
      </c>
      <c r="B2095" s="17" t="n"/>
      <c r="C2095" s="30" t="n"/>
      <c r="D2095" s="17" t="n"/>
      <c r="E2095" s="17" t="n"/>
      <c r="F2095" s="17" t="n"/>
      <c r="G2095" s="17" t="n"/>
      <c r="H2095" s="24">
        <f>IF($G2095="","",IFERROR(VLOOKUP($G2095,物料档案!$A$4:$P$1203,3,0),"※编码不在物料档案里"))</f>
        <v/>
      </c>
      <c r="I2095" s="24">
        <f>IF($G2095="","",IFERROR(VLOOKUP($G2095,物料档案!$A$4:$P$1203,4,0),"※编码不在物料档案里"))</f>
        <v/>
      </c>
      <c r="J2095" s="24">
        <f>IF($G2095="","",IFERROR(VLOOKUP($G2095,物料档案!$A$4:$P$1203,5,0),"※编码不在物料档案里"))</f>
        <v/>
      </c>
      <c r="K2095" s="23" t="n"/>
      <c r="L2095" s="31" t="n"/>
      <c r="M2095" s="24">
        <f>IF($G2095="","",IF($D2095="A国内","CNY","TZS"))</f>
        <v/>
      </c>
      <c r="N2095" s="28">
        <f>IF($G2095="","",IF($D2095="A国内",汇率,1))</f>
        <v/>
      </c>
      <c r="O2095" s="25">
        <f>IF($G2095="","",ROUND(N($K2095)*N($L2095),2))</f>
        <v/>
      </c>
      <c r="P2095" s="26">
        <f>IF($G2095="","",ROUND($O2095*$N2095,0))</f>
        <v/>
      </c>
      <c r="Q2095" s="26">
        <f>IF($G2095="","",SUMIFS($P$4:$P$2503,$E$4:$E$2503,$E2095,$Z$4:$Z$2503,"正常"))</f>
        <v/>
      </c>
      <c r="R2095" s="26">
        <f>IF($G2095="","",SUMIFS(费用台账!$I$4:$I$503,费用台账!$C$4:$C$503,$E2095,费用台账!$J$4:$J$503,"是",费用台账!$K$4:$K$503,"正常"))</f>
        <v/>
      </c>
      <c r="S2095" s="28">
        <f>IF($G2095="","",COUNTIFS($E$4:$E$2503,$E2095,$Z$4:$Z$2503,"正常",$Y$4:$Y$2503,"待补价"))</f>
        <v/>
      </c>
      <c r="T2095" s="26">
        <f>IF($G2095="","",SUMIFS($P$4:$P$2503,$E$4:$E$2503,$E2095,$Z$4:$Z$2503,"正常",$A$4:$A$2503,"&lt;="&amp;$A2095))</f>
        <v/>
      </c>
      <c r="U2095" s="26">
        <f>IF($G2095="","",IF(OR($S2095&gt;0,$Q2095=0,$R2095=0,$Z2095&lt;&gt;"正常"),0,ROUND($T2095/$Q2095*$R2095,0)-ROUND(($T2095-$P2095)/$Q2095*$R2095,0)))</f>
        <v/>
      </c>
      <c r="V2095" s="26">
        <f>IF($G2095="","",ROUND($P2095+$U2095,0))</f>
        <v/>
      </c>
      <c r="W2095" s="26">
        <f>IF($G2095="","",IF(N($K2095)=0,0,ROUND($V2095/$K2095,2)))</f>
        <v/>
      </c>
      <c r="X2095" s="17" t="n"/>
      <c r="Y2095" s="17" t="n"/>
      <c r="Z2095" s="17" t="n"/>
      <c r="AA2095" s="17" t="n"/>
      <c r="AB2095" s="17" t="n"/>
      <c r="AC2095" s="24">
        <f>IF($G2095="","",IF($H2095="※编码不在物料档案里","※物料编码不在档案里",IF(N($K2095)&lt;=0,"※入库数量要大于 0",IF(AND($C2095&lt;&gt;"",$C2095&lt;=结账锁),"※日期早于已结账截止日，不能再录",IF(AND($L2095=0,$X2095="正常"),"※没填单价，价格状态请选「待补价」",IF(AND($S2095&gt;0,$R2095&gt;0),"△本批有 "&amp;$S2095&amp;" 行没单价，整批运费先挂账没摊",IF(AND($B2095&lt;&gt;"",COUNTIF($B$4:$B$2503,$B2095)&gt;1),"※入库单号重复","")))))))</f>
        <v/>
      </c>
    </row>
    <row r="2096">
      <c r="A2096" s="24">
        <f>IF($G2096="","",COUNTA($G$4:$G2096))</f>
        <v/>
      </c>
      <c r="B2096" s="17" t="n"/>
      <c r="C2096" s="30" t="n"/>
      <c r="D2096" s="17" t="n"/>
      <c r="E2096" s="17" t="n"/>
      <c r="F2096" s="17" t="n"/>
      <c r="G2096" s="17" t="n"/>
      <c r="H2096" s="24">
        <f>IF($G2096="","",IFERROR(VLOOKUP($G2096,物料档案!$A$4:$P$1203,3,0),"※编码不在物料档案里"))</f>
        <v/>
      </c>
      <c r="I2096" s="24">
        <f>IF($G2096="","",IFERROR(VLOOKUP($G2096,物料档案!$A$4:$P$1203,4,0),"※编码不在物料档案里"))</f>
        <v/>
      </c>
      <c r="J2096" s="24">
        <f>IF($G2096="","",IFERROR(VLOOKUP($G2096,物料档案!$A$4:$P$1203,5,0),"※编码不在物料档案里"))</f>
        <v/>
      </c>
      <c r="K2096" s="23" t="n"/>
      <c r="L2096" s="31" t="n"/>
      <c r="M2096" s="24">
        <f>IF($G2096="","",IF($D2096="A国内","CNY","TZS"))</f>
        <v/>
      </c>
      <c r="N2096" s="28">
        <f>IF($G2096="","",IF($D2096="A国内",汇率,1))</f>
        <v/>
      </c>
      <c r="O2096" s="25">
        <f>IF($G2096="","",ROUND(N($K2096)*N($L2096),2))</f>
        <v/>
      </c>
      <c r="P2096" s="26">
        <f>IF($G2096="","",ROUND($O2096*$N2096,0))</f>
        <v/>
      </c>
      <c r="Q2096" s="26">
        <f>IF($G2096="","",SUMIFS($P$4:$P$2503,$E$4:$E$2503,$E2096,$Z$4:$Z$2503,"正常"))</f>
        <v/>
      </c>
      <c r="R2096" s="26">
        <f>IF($G2096="","",SUMIFS(费用台账!$I$4:$I$503,费用台账!$C$4:$C$503,$E2096,费用台账!$J$4:$J$503,"是",费用台账!$K$4:$K$503,"正常"))</f>
        <v/>
      </c>
      <c r="S2096" s="28">
        <f>IF($G2096="","",COUNTIFS($E$4:$E$2503,$E2096,$Z$4:$Z$2503,"正常",$Y$4:$Y$2503,"待补价"))</f>
        <v/>
      </c>
      <c r="T2096" s="26">
        <f>IF($G2096="","",SUMIFS($P$4:$P$2503,$E$4:$E$2503,$E2096,$Z$4:$Z$2503,"正常",$A$4:$A$2503,"&lt;="&amp;$A2096))</f>
        <v/>
      </c>
      <c r="U2096" s="26">
        <f>IF($G2096="","",IF(OR($S2096&gt;0,$Q2096=0,$R2096=0,$Z2096&lt;&gt;"正常"),0,ROUND($T2096/$Q2096*$R2096,0)-ROUND(($T2096-$P2096)/$Q2096*$R2096,0)))</f>
        <v/>
      </c>
      <c r="V2096" s="26">
        <f>IF($G2096="","",ROUND($P2096+$U2096,0))</f>
        <v/>
      </c>
      <c r="W2096" s="26">
        <f>IF($G2096="","",IF(N($K2096)=0,0,ROUND($V2096/$K2096,2)))</f>
        <v/>
      </c>
      <c r="X2096" s="17" t="n"/>
      <c r="Y2096" s="17" t="n"/>
      <c r="Z2096" s="17" t="n"/>
      <c r="AA2096" s="17" t="n"/>
      <c r="AB2096" s="17" t="n"/>
      <c r="AC2096" s="24">
        <f>IF($G2096="","",IF($H2096="※编码不在物料档案里","※物料编码不在档案里",IF(N($K2096)&lt;=0,"※入库数量要大于 0",IF(AND($C2096&lt;&gt;"",$C2096&lt;=结账锁),"※日期早于已结账截止日，不能再录",IF(AND($L2096=0,$X2096="正常"),"※没填单价，价格状态请选「待补价」",IF(AND($S2096&gt;0,$R2096&gt;0),"△本批有 "&amp;$S2096&amp;" 行没单价，整批运费先挂账没摊",IF(AND($B2096&lt;&gt;"",COUNTIF($B$4:$B$2503,$B2096)&gt;1),"※入库单号重复","")))))))</f>
        <v/>
      </c>
    </row>
    <row r="2097">
      <c r="A2097" s="24">
        <f>IF($G2097="","",COUNTA($G$4:$G2097))</f>
        <v/>
      </c>
      <c r="B2097" s="17" t="n"/>
      <c r="C2097" s="30" t="n"/>
      <c r="D2097" s="17" t="n"/>
      <c r="E2097" s="17" t="n"/>
      <c r="F2097" s="17" t="n"/>
      <c r="G2097" s="17" t="n"/>
      <c r="H2097" s="24">
        <f>IF($G2097="","",IFERROR(VLOOKUP($G2097,物料档案!$A$4:$P$1203,3,0),"※编码不在物料档案里"))</f>
        <v/>
      </c>
      <c r="I2097" s="24">
        <f>IF($G2097="","",IFERROR(VLOOKUP($G2097,物料档案!$A$4:$P$1203,4,0),"※编码不在物料档案里"))</f>
        <v/>
      </c>
      <c r="J2097" s="24">
        <f>IF($G2097="","",IFERROR(VLOOKUP($G2097,物料档案!$A$4:$P$1203,5,0),"※编码不在物料档案里"))</f>
        <v/>
      </c>
      <c r="K2097" s="23" t="n"/>
      <c r="L2097" s="31" t="n"/>
      <c r="M2097" s="24">
        <f>IF($G2097="","",IF($D2097="A国内","CNY","TZS"))</f>
        <v/>
      </c>
      <c r="N2097" s="28">
        <f>IF($G2097="","",IF($D2097="A国内",汇率,1))</f>
        <v/>
      </c>
      <c r="O2097" s="25">
        <f>IF($G2097="","",ROUND(N($K2097)*N($L2097),2))</f>
        <v/>
      </c>
      <c r="P2097" s="26">
        <f>IF($G2097="","",ROUND($O2097*$N2097,0))</f>
        <v/>
      </c>
      <c r="Q2097" s="26">
        <f>IF($G2097="","",SUMIFS($P$4:$P$2503,$E$4:$E$2503,$E2097,$Z$4:$Z$2503,"正常"))</f>
        <v/>
      </c>
      <c r="R2097" s="26">
        <f>IF($G2097="","",SUMIFS(费用台账!$I$4:$I$503,费用台账!$C$4:$C$503,$E2097,费用台账!$J$4:$J$503,"是",费用台账!$K$4:$K$503,"正常"))</f>
        <v/>
      </c>
      <c r="S2097" s="28">
        <f>IF($G2097="","",COUNTIFS($E$4:$E$2503,$E2097,$Z$4:$Z$2503,"正常",$Y$4:$Y$2503,"待补价"))</f>
        <v/>
      </c>
      <c r="T2097" s="26">
        <f>IF($G2097="","",SUMIFS($P$4:$P$2503,$E$4:$E$2503,$E2097,$Z$4:$Z$2503,"正常",$A$4:$A$2503,"&lt;="&amp;$A2097))</f>
        <v/>
      </c>
      <c r="U2097" s="26">
        <f>IF($G2097="","",IF(OR($S2097&gt;0,$Q2097=0,$R2097=0,$Z2097&lt;&gt;"正常"),0,ROUND($T2097/$Q2097*$R2097,0)-ROUND(($T2097-$P2097)/$Q2097*$R2097,0)))</f>
        <v/>
      </c>
      <c r="V2097" s="26">
        <f>IF($G2097="","",ROUND($P2097+$U2097,0))</f>
        <v/>
      </c>
      <c r="W2097" s="26">
        <f>IF($G2097="","",IF(N($K2097)=0,0,ROUND($V2097/$K2097,2)))</f>
        <v/>
      </c>
      <c r="X2097" s="17" t="n"/>
      <c r="Y2097" s="17" t="n"/>
      <c r="Z2097" s="17" t="n"/>
      <c r="AA2097" s="17" t="n"/>
      <c r="AB2097" s="17" t="n"/>
      <c r="AC2097" s="24">
        <f>IF($G2097="","",IF($H2097="※编码不在物料档案里","※物料编码不在档案里",IF(N($K2097)&lt;=0,"※入库数量要大于 0",IF(AND($C2097&lt;&gt;"",$C2097&lt;=结账锁),"※日期早于已结账截止日，不能再录",IF(AND($L2097=0,$X2097="正常"),"※没填单价，价格状态请选「待补价」",IF(AND($S2097&gt;0,$R2097&gt;0),"△本批有 "&amp;$S2097&amp;" 行没单价，整批运费先挂账没摊",IF(AND($B2097&lt;&gt;"",COUNTIF($B$4:$B$2503,$B2097)&gt;1),"※入库单号重复","")))))))</f>
        <v/>
      </c>
    </row>
    <row r="2098">
      <c r="A2098" s="24">
        <f>IF($G2098="","",COUNTA($G$4:$G2098))</f>
        <v/>
      </c>
      <c r="B2098" s="17" t="n"/>
      <c r="C2098" s="30" t="n"/>
      <c r="D2098" s="17" t="n"/>
      <c r="E2098" s="17" t="n"/>
      <c r="F2098" s="17" t="n"/>
      <c r="G2098" s="17" t="n"/>
      <c r="H2098" s="24">
        <f>IF($G2098="","",IFERROR(VLOOKUP($G2098,物料档案!$A$4:$P$1203,3,0),"※编码不在物料档案里"))</f>
        <v/>
      </c>
      <c r="I2098" s="24">
        <f>IF($G2098="","",IFERROR(VLOOKUP($G2098,物料档案!$A$4:$P$1203,4,0),"※编码不在物料档案里"))</f>
        <v/>
      </c>
      <c r="J2098" s="24">
        <f>IF($G2098="","",IFERROR(VLOOKUP($G2098,物料档案!$A$4:$P$1203,5,0),"※编码不在物料档案里"))</f>
        <v/>
      </c>
      <c r="K2098" s="23" t="n"/>
      <c r="L2098" s="31" t="n"/>
      <c r="M2098" s="24">
        <f>IF($G2098="","",IF($D2098="A国内","CNY","TZS"))</f>
        <v/>
      </c>
      <c r="N2098" s="28">
        <f>IF($G2098="","",IF($D2098="A国内",汇率,1))</f>
        <v/>
      </c>
      <c r="O2098" s="25">
        <f>IF($G2098="","",ROUND(N($K2098)*N($L2098),2))</f>
        <v/>
      </c>
      <c r="P2098" s="26">
        <f>IF($G2098="","",ROUND($O2098*$N2098,0))</f>
        <v/>
      </c>
      <c r="Q2098" s="26">
        <f>IF($G2098="","",SUMIFS($P$4:$P$2503,$E$4:$E$2503,$E2098,$Z$4:$Z$2503,"正常"))</f>
        <v/>
      </c>
      <c r="R2098" s="26">
        <f>IF($G2098="","",SUMIFS(费用台账!$I$4:$I$503,费用台账!$C$4:$C$503,$E2098,费用台账!$J$4:$J$503,"是",费用台账!$K$4:$K$503,"正常"))</f>
        <v/>
      </c>
      <c r="S2098" s="28">
        <f>IF($G2098="","",COUNTIFS($E$4:$E$2503,$E2098,$Z$4:$Z$2503,"正常",$Y$4:$Y$2503,"待补价"))</f>
        <v/>
      </c>
      <c r="T2098" s="26">
        <f>IF($G2098="","",SUMIFS($P$4:$P$2503,$E$4:$E$2503,$E2098,$Z$4:$Z$2503,"正常",$A$4:$A$2503,"&lt;="&amp;$A2098))</f>
        <v/>
      </c>
      <c r="U2098" s="26">
        <f>IF($G2098="","",IF(OR($S2098&gt;0,$Q2098=0,$R2098=0,$Z2098&lt;&gt;"正常"),0,ROUND($T2098/$Q2098*$R2098,0)-ROUND(($T2098-$P2098)/$Q2098*$R2098,0)))</f>
        <v/>
      </c>
      <c r="V2098" s="26">
        <f>IF($G2098="","",ROUND($P2098+$U2098,0))</f>
        <v/>
      </c>
      <c r="W2098" s="26">
        <f>IF($G2098="","",IF(N($K2098)=0,0,ROUND($V2098/$K2098,2)))</f>
        <v/>
      </c>
      <c r="X2098" s="17" t="n"/>
      <c r="Y2098" s="17" t="n"/>
      <c r="Z2098" s="17" t="n"/>
      <c r="AA2098" s="17" t="n"/>
      <c r="AB2098" s="17" t="n"/>
      <c r="AC2098" s="24">
        <f>IF($G2098="","",IF($H2098="※编码不在物料档案里","※物料编码不在档案里",IF(N($K2098)&lt;=0,"※入库数量要大于 0",IF(AND($C2098&lt;&gt;"",$C2098&lt;=结账锁),"※日期早于已结账截止日，不能再录",IF(AND($L2098=0,$X2098="正常"),"※没填单价，价格状态请选「待补价」",IF(AND($S2098&gt;0,$R2098&gt;0),"△本批有 "&amp;$S2098&amp;" 行没单价，整批运费先挂账没摊",IF(AND($B2098&lt;&gt;"",COUNTIF($B$4:$B$2503,$B2098)&gt;1),"※入库单号重复","")))))))</f>
        <v/>
      </c>
    </row>
    <row r="2099">
      <c r="A2099" s="24">
        <f>IF($G2099="","",COUNTA($G$4:$G2099))</f>
        <v/>
      </c>
      <c r="B2099" s="17" t="n"/>
      <c r="C2099" s="30" t="n"/>
      <c r="D2099" s="17" t="n"/>
      <c r="E2099" s="17" t="n"/>
      <c r="F2099" s="17" t="n"/>
      <c r="G2099" s="17" t="n"/>
      <c r="H2099" s="24">
        <f>IF($G2099="","",IFERROR(VLOOKUP($G2099,物料档案!$A$4:$P$1203,3,0),"※编码不在物料档案里"))</f>
        <v/>
      </c>
      <c r="I2099" s="24">
        <f>IF($G2099="","",IFERROR(VLOOKUP($G2099,物料档案!$A$4:$P$1203,4,0),"※编码不在物料档案里"))</f>
        <v/>
      </c>
      <c r="J2099" s="24">
        <f>IF($G2099="","",IFERROR(VLOOKUP($G2099,物料档案!$A$4:$P$1203,5,0),"※编码不在物料档案里"))</f>
        <v/>
      </c>
      <c r="K2099" s="23" t="n"/>
      <c r="L2099" s="31" t="n"/>
      <c r="M2099" s="24">
        <f>IF($G2099="","",IF($D2099="A国内","CNY","TZS"))</f>
        <v/>
      </c>
      <c r="N2099" s="28">
        <f>IF($G2099="","",IF($D2099="A国内",汇率,1))</f>
        <v/>
      </c>
      <c r="O2099" s="25">
        <f>IF($G2099="","",ROUND(N($K2099)*N($L2099),2))</f>
        <v/>
      </c>
      <c r="P2099" s="26">
        <f>IF($G2099="","",ROUND($O2099*$N2099,0))</f>
        <v/>
      </c>
      <c r="Q2099" s="26">
        <f>IF($G2099="","",SUMIFS($P$4:$P$2503,$E$4:$E$2503,$E2099,$Z$4:$Z$2503,"正常"))</f>
        <v/>
      </c>
      <c r="R2099" s="26">
        <f>IF($G2099="","",SUMIFS(费用台账!$I$4:$I$503,费用台账!$C$4:$C$503,$E2099,费用台账!$J$4:$J$503,"是",费用台账!$K$4:$K$503,"正常"))</f>
        <v/>
      </c>
      <c r="S2099" s="28">
        <f>IF($G2099="","",COUNTIFS($E$4:$E$2503,$E2099,$Z$4:$Z$2503,"正常",$Y$4:$Y$2503,"待补价"))</f>
        <v/>
      </c>
      <c r="T2099" s="26">
        <f>IF($G2099="","",SUMIFS($P$4:$P$2503,$E$4:$E$2503,$E2099,$Z$4:$Z$2503,"正常",$A$4:$A$2503,"&lt;="&amp;$A2099))</f>
        <v/>
      </c>
      <c r="U2099" s="26">
        <f>IF($G2099="","",IF(OR($S2099&gt;0,$Q2099=0,$R2099=0,$Z2099&lt;&gt;"正常"),0,ROUND($T2099/$Q2099*$R2099,0)-ROUND(($T2099-$P2099)/$Q2099*$R2099,0)))</f>
        <v/>
      </c>
      <c r="V2099" s="26">
        <f>IF($G2099="","",ROUND($P2099+$U2099,0))</f>
        <v/>
      </c>
      <c r="W2099" s="26">
        <f>IF($G2099="","",IF(N($K2099)=0,0,ROUND($V2099/$K2099,2)))</f>
        <v/>
      </c>
      <c r="X2099" s="17" t="n"/>
      <c r="Y2099" s="17" t="n"/>
      <c r="Z2099" s="17" t="n"/>
      <c r="AA2099" s="17" t="n"/>
      <c r="AB2099" s="17" t="n"/>
      <c r="AC2099" s="24">
        <f>IF($G2099="","",IF($H2099="※编码不在物料档案里","※物料编码不在档案里",IF(N($K2099)&lt;=0,"※入库数量要大于 0",IF(AND($C2099&lt;&gt;"",$C2099&lt;=结账锁),"※日期早于已结账截止日，不能再录",IF(AND($L2099=0,$X2099="正常"),"※没填单价，价格状态请选「待补价」",IF(AND($S2099&gt;0,$R2099&gt;0),"△本批有 "&amp;$S2099&amp;" 行没单价，整批运费先挂账没摊",IF(AND($B2099&lt;&gt;"",COUNTIF($B$4:$B$2503,$B2099)&gt;1),"※入库单号重复","")))))))</f>
        <v/>
      </c>
    </row>
    <row r="2100">
      <c r="A2100" s="24">
        <f>IF($G2100="","",COUNTA($G$4:$G2100))</f>
        <v/>
      </c>
      <c r="B2100" s="17" t="n"/>
      <c r="C2100" s="30" t="n"/>
      <c r="D2100" s="17" t="n"/>
      <c r="E2100" s="17" t="n"/>
      <c r="F2100" s="17" t="n"/>
      <c r="G2100" s="17" t="n"/>
      <c r="H2100" s="24">
        <f>IF($G2100="","",IFERROR(VLOOKUP($G2100,物料档案!$A$4:$P$1203,3,0),"※编码不在物料档案里"))</f>
        <v/>
      </c>
      <c r="I2100" s="24">
        <f>IF($G2100="","",IFERROR(VLOOKUP($G2100,物料档案!$A$4:$P$1203,4,0),"※编码不在物料档案里"))</f>
        <v/>
      </c>
      <c r="J2100" s="24">
        <f>IF($G2100="","",IFERROR(VLOOKUP($G2100,物料档案!$A$4:$P$1203,5,0),"※编码不在物料档案里"))</f>
        <v/>
      </c>
      <c r="K2100" s="23" t="n"/>
      <c r="L2100" s="31" t="n"/>
      <c r="M2100" s="24">
        <f>IF($G2100="","",IF($D2100="A国内","CNY","TZS"))</f>
        <v/>
      </c>
      <c r="N2100" s="28">
        <f>IF($G2100="","",IF($D2100="A国内",汇率,1))</f>
        <v/>
      </c>
      <c r="O2100" s="25">
        <f>IF($G2100="","",ROUND(N($K2100)*N($L2100),2))</f>
        <v/>
      </c>
      <c r="P2100" s="26">
        <f>IF($G2100="","",ROUND($O2100*$N2100,0))</f>
        <v/>
      </c>
      <c r="Q2100" s="26">
        <f>IF($G2100="","",SUMIFS($P$4:$P$2503,$E$4:$E$2503,$E2100,$Z$4:$Z$2503,"正常"))</f>
        <v/>
      </c>
      <c r="R2100" s="26">
        <f>IF($G2100="","",SUMIFS(费用台账!$I$4:$I$503,费用台账!$C$4:$C$503,$E2100,费用台账!$J$4:$J$503,"是",费用台账!$K$4:$K$503,"正常"))</f>
        <v/>
      </c>
      <c r="S2100" s="28">
        <f>IF($G2100="","",COUNTIFS($E$4:$E$2503,$E2100,$Z$4:$Z$2503,"正常",$Y$4:$Y$2503,"待补价"))</f>
        <v/>
      </c>
      <c r="T2100" s="26">
        <f>IF($G2100="","",SUMIFS($P$4:$P$2503,$E$4:$E$2503,$E2100,$Z$4:$Z$2503,"正常",$A$4:$A$2503,"&lt;="&amp;$A2100))</f>
        <v/>
      </c>
      <c r="U2100" s="26">
        <f>IF($G2100="","",IF(OR($S2100&gt;0,$Q2100=0,$R2100=0,$Z2100&lt;&gt;"正常"),0,ROUND($T2100/$Q2100*$R2100,0)-ROUND(($T2100-$P2100)/$Q2100*$R2100,0)))</f>
        <v/>
      </c>
      <c r="V2100" s="26">
        <f>IF($G2100="","",ROUND($P2100+$U2100,0))</f>
        <v/>
      </c>
      <c r="W2100" s="26">
        <f>IF($G2100="","",IF(N($K2100)=0,0,ROUND($V2100/$K2100,2)))</f>
        <v/>
      </c>
      <c r="X2100" s="17" t="n"/>
      <c r="Y2100" s="17" t="n"/>
      <c r="Z2100" s="17" t="n"/>
      <c r="AA2100" s="17" t="n"/>
      <c r="AB2100" s="17" t="n"/>
      <c r="AC2100" s="24">
        <f>IF($G2100="","",IF($H2100="※编码不在物料档案里","※物料编码不在档案里",IF(N($K2100)&lt;=0,"※入库数量要大于 0",IF(AND($C2100&lt;&gt;"",$C2100&lt;=结账锁),"※日期早于已结账截止日，不能再录",IF(AND($L2100=0,$X2100="正常"),"※没填单价，价格状态请选「待补价」",IF(AND($S2100&gt;0,$R2100&gt;0),"△本批有 "&amp;$S2100&amp;" 行没单价，整批运费先挂账没摊",IF(AND($B2100&lt;&gt;"",COUNTIF($B$4:$B$2503,$B2100)&gt;1),"※入库单号重复","")))))))</f>
        <v/>
      </c>
    </row>
    <row r="2101">
      <c r="A2101" s="24">
        <f>IF($G2101="","",COUNTA($G$4:$G2101))</f>
        <v/>
      </c>
      <c r="B2101" s="17" t="n"/>
      <c r="C2101" s="30" t="n"/>
      <c r="D2101" s="17" t="n"/>
      <c r="E2101" s="17" t="n"/>
      <c r="F2101" s="17" t="n"/>
      <c r="G2101" s="17" t="n"/>
      <c r="H2101" s="24">
        <f>IF($G2101="","",IFERROR(VLOOKUP($G2101,物料档案!$A$4:$P$1203,3,0),"※编码不在物料档案里"))</f>
        <v/>
      </c>
      <c r="I2101" s="24">
        <f>IF($G2101="","",IFERROR(VLOOKUP($G2101,物料档案!$A$4:$P$1203,4,0),"※编码不在物料档案里"))</f>
        <v/>
      </c>
      <c r="J2101" s="24">
        <f>IF($G2101="","",IFERROR(VLOOKUP($G2101,物料档案!$A$4:$P$1203,5,0),"※编码不在物料档案里"))</f>
        <v/>
      </c>
      <c r="K2101" s="23" t="n"/>
      <c r="L2101" s="31" t="n"/>
      <c r="M2101" s="24">
        <f>IF($G2101="","",IF($D2101="A国内","CNY","TZS"))</f>
        <v/>
      </c>
      <c r="N2101" s="28">
        <f>IF($G2101="","",IF($D2101="A国内",汇率,1))</f>
        <v/>
      </c>
      <c r="O2101" s="25">
        <f>IF($G2101="","",ROUND(N($K2101)*N($L2101),2))</f>
        <v/>
      </c>
      <c r="P2101" s="26">
        <f>IF($G2101="","",ROUND($O2101*$N2101,0))</f>
        <v/>
      </c>
      <c r="Q2101" s="26">
        <f>IF($G2101="","",SUMIFS($P$4:$P$2503,$E$4:$E$2503,$E2101,$Z$4:$Z$2503,"正常"))</f>
        <v/>
      </c>
      <c r="R2101" s="26">
        <f>IF($G2101="","",SUMIFS(费用台账!$I$4:$I$503,费用台账!$C$4:$C$503,$E2101,费用台账!$J$4:$J$503,"是",费用台账!$K$4:$K$503,"正常"))</f>
        <v/>
      </c>
      <c r="S2101" s="28">
        <f>IF($G2101="","",COUNTIFS($E$4:$E$2503,$E2101,$Z$4:$Z$2503,"正常",$Y$4:$Y$2503,"待补价"))</f>
        <v/>
      </c>
      <c r="T2101" s="26">
        <f>IF($G2101="","",SUMIFS($P$4:$P$2503,$E$4:$E$2503,$E2101,$Z$4:$Z$2503,"正常",$A$4:$A$2503,"&lt;="&amp;$A2101))</f>
        <v/>
      </c>
      <c r="U2101" s="26">
        <f>IF($G2101="","",IF(OR($S2101&gt;0,$Q2101=0,$R2101=0,$Z2101&lt;&gt;"正常"),0,ROUND($T2101/$Q2101*$R2101,0)-ROUND(($T2101-$P2101)/$Q2101*$R2101,0)))</f>
        <v/>
      </c>
      <c r="V2101" s="26">
        <f>IF($G2101="","",ROUND($P2101+$U2101,0))</f>
        <v/>
      </c>
      <c r="W2101" s="26">
        <f>IF($G2101="","",IF(N($K2101)=0,0,ROUND($V2101/$K2101,2)))</f>
        <v/>
      </c>
      <c r="X2101" s="17" t="n"/>
      <c r="Y2101" s="17" t="n"/>
      <c r="Z2101" s="17" t="n"/>
      <c r="AA2101" s="17" t="n"/>
      <c r="AB2101" s="17" t="n"/>
      <c r="AC2101" s="24">
        <f>IF($G2101="","",IF($H2101="※编码不在物料档案里","※物料编码不在档案里",IF(N($K2101)&lt;=0,"※入库数量要大于 0",IF(AND($C2101&lt;&gt;"",$C2101&lt;=结账锁),"※日期早于已结账截止日，不能再录",IF(AND($L2101=0,$X2101="正常"),"※没填单价，价格状态请选「待补价」",IF(AND($S2101&gt;0,$R2101&gt;0),"△本批有 "&amp;$S2101&amp;" 行没单价，整批运费先挂账没摊",IF(AND($B2101&lt;&gt;"",COUNTIF($B$4:$B$2503,$B2101)&gt;1),"※入库单号重复","")))))))</f>
        <v/>
      </c>
    </row>
    <row r="2102">
      <c r="A2102" s="24">
        <f>IF($G2102="","",COUNTA($G$4:$G2102))</f>
        <v/>
      </c>
      <c r="B2102" s="17" t="n"/>
      <c r="C2102" s="30" t="n"/>
      <c r="D2102" s="17" t="n"/>
      <c r="E2102" s="17" t="n"/>
      <c r="F2102" s="17" t="n"/>
      <c r="G2102" s="17" t="n"/>
      <c r="H2102" s="24">
        <f>IF($G2102="","",IFERROR(VLOOKUP($G2102,物料档案!$A$4:$P$1203,3,0),"※编码不在物料档案里"))</f>
        <v/>
      </c>
      <c r="I2102" s="24">
        <f>IF($G2102="","",IFERROR(VLOOKUP($G2102,物料档案!$A$4:$P$1203,4,0),"※编码不在物料档案里"))</f>
        <v/>
      </c>
      <c r="J2102" s="24">
        <f>IF($G2102="","",IFERROR(VLOOKUP($G2102,物料档案!$A$4:$P$1203,5,0),"※编码不在物料档案里"))</f>
        <v/>
      </c>
      <c r="K2102" s="23" t="n"/>
      <c r="L2102" s="31" t="n"/>
      <c r="M2102" s="24">
        <f>IF($G2102="","",IF($D2102="A国内","CNY","TZS"))</f>
        <v/>
      </c>
      <c r="N2102" s="28">
        <f>IF($G2102="","",IF($D2102="A国内",汇率,1))</f>
        <v/>
      </c>
      <c r="O2102" s="25">
        <f>IF($G2102="","",ROUND(N($K2102)*N($L2102),2))</f>
        <v/>
      </c>
      <c r="P2102" s="26">
        <f>IF($G2102="","",ROUND($O2102*$N2102,0))</f>
        <v/>
      </c>
      <c r="Q2102" s="26">
        <f>IF($G2102="","",SUMIFS($P$4:$P$2503,$E$4:$E$2503,$E2102,$Z$4:$Z$2503,"正常"))</f>
        <v/>
      </c>
      <c r="R2102" s="26">
        <f>IF($G2102="","",SUMIFS(费用台账!$I$4:$I$503,费用台账!$C$4:$C$503,$E2102,费用台账!$J$4:$J$503,"是",费用台账!$K$4:$K$503,"正常"))</f>
        <v/>
      </c>
      <c r="S2102" s="28">
        <f>IF($G2102="","",COUNTIFS($E$4:$E$2503,$E2102,$Z$4:$Z$2503,"正常",$Y$4:$Y$2503,"待补价"))</f>
        <v/>
      </c>
      <c r="T2102" s="26">
        <f>IF($G2102="","",SUMIFS($P$4:$P$2503,$E$4:$E$2503,$E2102,$Z$4:$Z$2503,"正常",$A$4:$A$2503,"&lt;="&amp;$A2102))</f>
        <v/>
      </c>
      <c r="U2102" s="26">
        <f>IF($G2102="","",IF(OR($S2102&gt;0,$Q2102=0,$R2102=0,$Z2102&lt;&gt;"正常"),0,ROUND($T2102/$Q2102*$R2102,0)-ROUND(($T2102-$P2102)/$Q2102*$R2102,0)))</f>
        <v/>
      </c>
      <c r="V2102" s="26">
        <f>IF($G2102="","",ROUND($P2102+$U2102,0))</f>
        <v/>
      </c>
      <c r="W2102" s="26">
        <f>IF($G2102="","",IF(N($K2102)=0,0,ROUND($V2102/$K2102,2)))</f>
        <v/>
      </c>
      <c r="X2102" s="17" t="n"/>
      <c r="Y2102" s="17" t="n"/>
      <c r="Z2102" s="17" t="n"/>
      <c r="AA2102" s="17" t="n"/>
      <c r="AB2102" s="17" t="n"/>
      <c r="AC2102" s="24">
        <f>IF($G2102="","",IF($H2102="※编码不在物料档案里","※物料编码不在档案里",IF(N($K2102)&lt;=0,"※入库数量要大于 0",IF(AND($C2102&lt;&gt;"",$C2102&lt;=结账锁),"※日期早于已结账截止日，不能再录",IF(AND($L2102=0,$X2102="正常"),"※没填单价，价格状态请选「待补价」",IF(AND($S2102&gt;0,$R2102&gt;0),"△本批有 "&amp;$S2102&amp;" 行没单价，整批运费先挂账没摊",IF(AND($B2102&lt;&gt;"",COUNTIF($B$4:$B$2503,$B2102)&gt;1),"※入库单号重复","")))))))</f>
        <v/>
      </c>
    </row>
    <row r="2103">
      <c r="A2103" s="24">
        <f>IF($G2103="","",COUNTA($G$4:$G2103))</f>
        <v/>
      </c>
      <c r="B2103" s="17" t="n"/>
      <c r="C2103" s="30" t="n"/>
      <c r="D2103" s="17" t="n"/>
      <c r="E2103" s="17" t="n"/>
      <c r="F2103" s="17" t="n"/>
      <c r="G2103" s="17" t="n"/>
      <c r="H2103" s="24">
        <f>IF($G2103="","",IFERROR(VLOOKUP($G2103,物料档案!$A$4:$P$1203,3,0),"※编码不在物料档案里"))</f>
        <v/>
      </c>
      <c r="I2103" s="24">
        <f>IF($G2103="","",IFERROR(VLOOKUP($G2103,物料档案!$A$4:$P$1203,4,0),"※编码不在物料档案里"))</f>
        <v/>
      </c>
      <c r="J2103" s="24">
        <f>IF($G2103="","",IFERROR(VLOOKUP($G2103,物料档案!$A$4:$P$1203,5,0),"※编码不在物料档案里"))</f>
        <v/>
      </c>
      <c r="K2103" s="23" t="n"/>
      <c r="L2103" s="31" t="n"/>
      <c r="M2103" s="24">
        <f>IF($G2103="","",IF($D2103="A国内","CNY","TZS"))</f>
        <v/>
      </c>
      <c r="N2103" s="28">
        <f>IF($G2103="","",IF($D2103="A国内",汇率,1))</f>
        <v/>
      </c>
      <c r="O2103" s="25">
        <f>IF($G2103="","",ROUND(N($K2103)*N($L2103),2))</f>
        <v/>
      </c>
      <c r="P2103" s="26">
        <f>IF($G2103="","",ROUND($O2103*$N2103,0))</f>
        <v/>
      </c>
      <c r="Q2103" s="26">
        <f>IF($G2103="","",SUMIFS($P$4:$P$2503,$E$4:$E$2503,$E2103,$Z$4:$Z$2503,"正常"))</f>
        <v/>
      </c>
      <c r="R2103" s="26">
        <f>IF($G2103="","",SUMIFS(费用台账!$I$4:$I$503,费用台账!$C$4:$C$503,$E2103,费用台账!$J$4:$J$503,"是",费用台账!$K$4:$K$503,"正常"))</f>
        <v/>
      </c>
      <c r="S2103" s="28">
        <f>IF($G2103="","",COUNTIFS($E$4:$E$2503,$E2103,$Z$4:$Z$2503,"正常",$Y$4:$Y$2503,"待补价"))</f>
        <v/>
      </c>
      <c r="T2103" s="26">
        <f>IF($G2103="","",SUMIFS($P$4:$P$2503,$E$4:$E$2503,$E2103,$Z$4:$Z$2503,"正常",$A$4:$A$2503,"&lt;="&amp;$A2103))</f>
        <v/>
      </c>
      <c r="U2103" s="26">
        <f>IF($G2103="","",IF(OR($S2103&gt;0,$Q2103=0,$R2103=0,$Z2103&lt;&gt;"正常"),0,ROUND($T2103/$Q2103*$R2103,0)-ROUND(($T2103-$P2103)/$Q2103*$R2103,0)))</f>
        <v/>
      </c>
      <c r="V2103" s="26">
        <f>IF($G2103="","",ROUND($P2103+$U2103,0))</f>
        <v/>
      </c>
      <c r="W2103" s="26">
        <f>IF($G2103="","",IF(N($K2103)=0,0,ROUND($V2103/$K2103,2)))</f>
        <v/>
      </c>
      <c r="X2103" s="17" t="n"/>
      <c r="Y2103" s="17" t="n"/>
      <c r="Z2103" s="17" t="n"/>
      <c r="AA2103" s="17" t="n"/>
      <c r="AB2103" s="17" t="n"/>
      <c r="AC2103" s="24">
        <f>IF($G2103="","",IF($H2103="※编码不在物料档案里","※物料编码不在档案里",IF(N($K2103)&lt;=0,"※入库数量要大于 0",IF(AND($C2103&lt;&gt;"",$C2103&lt;=结账锁),"※日期早于已结账截止日，不能再录",IF(AND($L2103=0,$X2103="正常"),"※没填单价，价格状态请选「待补价」",IF(AND($S2103&gt;0,$R2103&gt;0),"△本批有 "&amp;$S2103&amp;" 行没单价，整批运费先挂账没摊",IF(AND($B2103&lt;&gt;"",COUNTIF($B$4:$B$2503,$B2103)&gt;1),"※入库单号重复","")))))))</f>
        <v/>
      </c>
    </row>
    <row r="2104">
      <c r="A2104" s="24">
        <f>IF($G2104="","",COUNTA($G$4:$G2104))</f>
        <v/>
      </c>
      <c r="B2104" s="17" t="n"/>
      <c r="C2104" s="30" t="n"/>
      <c r="D2104" s="17" t="n"/>
      <c r="E2104" s="17" t="n"/>
      <c r="F2104" s="17" t="n"/>
      <c r="G2104" s="17" t="n"/>
      <c r="H2104" s="24">
        <f>IF($G2104="","",IFERROR(VLOOKUP($G2104,物料档案!$A$4:$P$1203,3,0),"※编码不在物料档案里"))</f>
        <v/>
      </c>
      <c r="I2104" s="24">
        <f>IF($G2104="","",IFERROR(VLOOKUP($G2104,物料档案!$A$4:$P$1203,4,0),"※编码不在物料档案里"))</f>
        <v/>
      </c>
      <c r="J2104" s="24">
        <f>IF($G2104="","",IFERROR(VLOOKUP($G2104,物料档案!$A$4:$P$1203,5,0),"※编码不在物料档案里"))</f>
        <v/>
      </c>
      <c r="K2104" s="23" t="n"/>
      <c r="L2104" s="31" t="n"/>
      <c r="M2104" s="24">
        <f>IF($G2104="","",IF($D2104="A国内","CNY","TZS"))</f>
        <v/>
      </c>
      <c r="N2104" s="28">
        <f>IF($G2104="","",IF($D2104="A国内",汇率,1))</f>
        <v/>
      </c>
      <c r="O2104" s="25">
        <f>IF($G2104="","",ROUND(N($K2104)*N($L2104),2))</f>
        <v/>
      </c>
      <c r="P2104" s="26">
        <f>IF($G2104="","",ROUND($O2104*$N2104,0))</f>
        <v/>
      </c>
      <c r="Q2104" s="26">
        <f>IF($G2104="","",SUMIFS($P$4:$P$2503,$E$4:$E$2503,$E2104,$Z$4:$Z$2503,"正常"))</f>
        <v/>
      </c>
      <c r="R2104" s="26">
        <f>IF($G2104="","",SUMIFS(费用台账!$I$4:$I$503,费用台账!$C$4:$C$503,$E2104,费用台账!$J$4:$J$503,"是",费用台账!$K$4:$K$503,"正常"))</f>
        <v/>
      </c>
      <c r="S2104" s="28">
        <f>IF($G2104="","",COUNTIFS($E$4:$E$2503,$E2104,$Z$4:$Z$2503,"正常",$Y$4:$Y$2503,"待补价"))</f>
        <v/>
      </c>
      <c r="T2104" s="26">
        <f>IF($G2104="","",SUMIFS($P$4:$P$2503,$E$4:$E$2503,$E2104,$Z$4:$Z$2503,"正常",$A$4:$A$2503,"&lt;="&amp;$A2104))</f>
        <v/>
      </c>
      <c r="U2104" s="26">
        <f>IF($G2104="","",IF(OR($S2104&gt;0,$Q2104=0,$R2104=0,$Z2104&lt;&gt;"正常"),0,ROUND($T2104/$Q2104*$R2104,0)-ROUND(($T2104-$P2104)/$Q2104*$R2104,0)))</f>
        <v/>
      </c>
      <c r="V2104" s="26">
        <f>IF($G2104="","",ROUND($P2104+$U2104,0))</f>
        <v/>
      </c>
      <c r="W2104" s="26">
        <f>IF($G2104="","",IF(N($K2104)=0,0,ROUND($V2104/$K2104,2)))</f>
        <v/>
      </c>
      <c r="X2104" s="17" t="n"/>
      <c r="Y2104" s="17" t="n"/>
      <c r="Z2104" s="17" t="n"/>
      <c r="AA2104" s="17" t="n"/>
      <c r="AB2104" s="17" t="n"/>
      <c r="AC2104" s="24">
        <f>IF($G2104="","",IF($H2104="※编码不在物料档案里","※物料编码不在档案里",IF(N($K2104)&lt;=0,"※入库数量要大于 0",IF(AND($C2104&lt;&gt;"",$C2104&lt;=结账锁),"※日期早于已结账截止日，不能再录",IF(AND($L2104=0,$X2104="正常"),"※没填单价，价格状态请选「待补价」",IF(AND($S2104&gt;0,$R2104&gt;0),"△本批有 "&amp;$S2104&amp;" 行没单价，整批运费先挂账没摊",IF(AND($B2104&lt;&gt;"",COUNTIF($B$4:$B$2503,$B2104)&gt;1),"※入库单号重复","")))))))</f>
        <v/>
      </c>
    </row>
    <row r="2105">
      <c r="A2105" s="24">
        <f>IF($G2105="","",COUNTA($G$4:$G2105))</f>
        <v/>
      </c>
      <c r="B2105" s="17" t="n"/>
      <c r="C2105" s="30" t="n"/>
      <c r="D2105" s="17" t="n"/>
      <c r="E2105" s="17" t="n"/>
      <c r="F2105" s="17" t="n"/>
      <c r="G2105" s="17" t="n"/>
      <c r="H2105" s="24">
        <f>IF($G2105="","",IFERROR(VLOOKUP($G2105,物料档案!$A$4:$P$1203,3,0),"※编码不在物料档案里"))</f>
        <v/>
      </c>
      <c r="I2105" s="24">
        <f>IF($G2105="","",IFERROR(VLOOKUP($G2105,物料档案!$A$4:$P$1203,4,0),"※编码不在物料档案里"))</f>
        <v/>
      </c>
      <c r="J2105" s="24">
        <f>IF($G2105="","",IFERROR(VLOOKUP($G2105,物料档案!$A$4:$P$1203,5,0),"※编码不在物料档案里"))</f>
        <v/>
      </c>
      <c r="K2105" s="23" t="n"/>
      <c r="L2105" s="31" t="n"/>
      <c r="M2105" s="24">
        <f>IF($G2105="","",IF($D2105="A国内","CNY","TZS"))</f>
        <v/>
      </c>
      <c r="N2105" s="28">
        <f>IF($G2105="","",IF($D2105="A国内",汇率,1))</f>
        <v/>
      </c>
      <c r="O2105" s="25">
        <f>IF($G2105="","",ROUND(N($K2105)*N($L2105),2))</f>
        <v/>
      </c>
      <c r="P2105" s="26">
        <f>IF($G2105="","",ROUND($O2105*$N2105,0))</f>
        <v/>
      </c>
      <c r="Q2105" s="26">
        <f>IF($G2105="","",SUMIFS($P$4:$P$2503,$E$4:$E$2503,$E2105,$Z$4:$Z$2503,"正常"))</f>
        <v/>
      </c>
      <c r="R2105" s="26">
        <f>IF($G2105="","",SUMIFS(费用台账!$I$4:$I$503,费用台账!$C$4:$C$503,$E2105,费用台账!$J$4:$J$503,"是",费用台账!$K$4:$K$503,"正常"))</f>
        <v/>
      </c>
      <c r="S2105" s="28">
        <f>IF($G2105="","",COUNTIFS($E$4:$E$2503,$E2105,$Z$4:$Z$2503,"正常",$Y$4:$Y$2503,"待补价"))</f>
        <v/>
      </c>
      <c r="T2105" s="26">
        <f>IF($G2105="","",SUMIFS($P$4:$P$2503,$E$4:$E$2503,$E2105,$Z$4:$Z$2503,"正常",$A$4:$A$2503,"&lt;="&amp;$A2105))</f>
        <v/>
      </c>
      <c r="U2105" s="26">
        <f>IF($G2105="","",IF(OR($S2105&gt;0,$Q2105=0,$R2105=0,$Z2105&lt;&gt;"正常"),0,ROUND($T2105/$Q2105*$R2105,0)-ROUND(($T2105-$P2105)/$Q2105*$R2105,0)))</f>
        <v/>
      </c>
      <c r="V2105" s="26">
        <f>IF($G2105="","",ROUND($P2105+$U2105,0))</f>
        <v/>
      </c>
      <c r="W2105" s="26">
        <f>IF($G2105="","",IF(N($K2105)=0,0,ROUND($V2105/$K2105,2)))</f>
        <v/>
      </c>
      <c r="X2105" s="17" t="n"/>
      <c r="Y2105" s="17" t="n"/>
      <c r="Z2105" s="17" t="n"/>
      <c r="AA2105" s="17" t="n"/>
      <c r="AB2105" s="17" t="n"/>
      <c r="AC2105" s="24">
        <f>IF($G2105="","",IF($H2105="※编码不在物料档案里","※物料编码不在档案里",IF(N($K2105)&lt;=0,"※入库数量要大于 0",IF(AND($C2105&lt;&gt;"",$C2105&lt;=结账锁),"※日期早于已结账截止日，不能再录",IF(AND($L2105=0,$X2105="正常"),"※没填单价，价格状态请选「待补价」",IF(AND($S2105&gt;0,$R2105&gt;0),"△本批有 "&amp;$S2105&amp;" 行没单价，整批运费先挂账没摊",IF(AND($B2105&lt;&gt;"",COUNTIF($B$4:$B$2503,$B2105)&gt;1),"※入库单号重复","")))))))</f>
        <v/>
      </c>
    </row>
    <row r="2106">
      <c r="A2106" s="24">
        <f>IF($G2106="","",COUNTA($G$4:$G2106))</f>
        <v/>
      </c>
      <c r="B2106" s="17" t="n"/>
      <c r="C2106" s="30" t="n"/>
      <c r="D2106" s="17" t="n"/>
      <c r="E2106" s="17" t="n"/>
      <c r="F2106" s="17" t="n"/>
      <c r="G2106" s="17" t="n"/>
      <c r="H2106" s="24">
        <f>IF($G2106="","",IFERROR(VLOOKUP($G2106,物料档案!$A$4:$P$1203,3,0),"※编码不在物料档案里"))</f>
        <v/>
      </c>
      <c r="I2106" s="24">
        <f>IF($G2106="","",IFERROR(VLOOKUP($G2106,物料档案!$A$4:$P$1203,4,0),"※编码不在物料档案里"))</f>
        <v/>
      </c>
      <c r="J2106" s="24">
        <f>IF($G2106="","",IFERROR(VLOOKUP($G2106,物料档案!$A$4:$P$1203,5,0),"※编码不在物料档案里"))</f>
        <v/>
      </c>
      <c r="K2106" s="23" t="n"/>
      <c r="L2106" s="31" t="n"/>
      <c r="M2106" s="24">
        <f>IF($G2106="","",IF($D2106="A国内","CNY","TZS"))</f>
        <v/>
      </c>
      <c r="N2106" s="28">
        <f>IF($G2106="","",IF($D2106="A国内",汇率,1))</f>
        <v/>
      </c>
      <c r="O2106" s="25">
        <f>IF($G2106="","",ROUND(N($K2106)*N($L2106),2))</f>
        <v/>
      </c>
      <c r="P2106" s="26">
        <f>IF($G2106="","",ROUND($O2106*$N2106,0))</f>
        <v/>
      </c>
      <c r="Q2106" s="26">
        <f>IF($G2106="","",SUMIFS($P$4:$P$2503,$E$4:$E$2503,$E2106,$Z$4:$Z$2503,"正常"))</f>
        <v/>
      </c>
      <c r="R2106" s="26">
        <f>IF($G2106="","",SUMIFS(费用台账!$I$4:$I$503,费用台账!$C$4:$C$503,$E2106,费用台账!$J$4:$J$503,"是",费用台账!$K$4:$K$503,"正常"))</f>
        <v/>
      </c>
      <c r="S2106" s="28">
        <f>IF($G2106="","",COUNTIFS($E$4:$E$2503,$E2106,$Z$4:$Z$2503,"正常",$Y$4:$Y$2503,"待补价"))</f>
        <v/>
      </c>
      <c r="T2106" s="26">
        <f>IF($G2106="","",SUMIFS($P$4:$P$2503,$E$4:$E$2503,$E2106,$Z$4:$Z$2503,"正常",$A$4:$A$2503,"&lt;="&amp;$A2106))</f>
        <v/>
      </c>
      <c r="U2106" s="26">
        <f>IF($G2106="","",IF(OR($S2106&gt;0,$Q2106=0,$R2106=0,$Z2106&lt;&gt;"正常"),0,ROUND($T2106/$Q2106*$R2106,0)-ROUND(($T2106-$P2106)/$Q2106*$R2106,0)))</f>
        <v/>
      </c>
      <c r="V2106" s="26">
        <f>IF($G2106="","",ROUND($P2106+$U2106,0))</f>
        <v/>
      </c>
      <c r="W2106" s="26">
        <f>IF($G2106="","",IF(N($K2106)=0,0,ROUND($V2106/$K2106,2)))</f>
        <v/>
      </c>
      <c r="X2106" s="17" t="n"/>
      <c r="Y2106" s="17" t="n"/>
      <c r="Z2106" s="17" t="n"/>
      <c r="AA2106" s="17" t="n"/>
      <c r="AB2106" s="17" t="n"/>
      <c r="AC2106" s="24">
        <f>IF($G2106="","",IF($H2106="※编码不在物料档案里","※物料编码不在档案里",IF(N($K2106)&lt;=0,"※入库数量要大于 0",IF(AND($C2106&lt;&gt;"",$C2106&lt;=结账锁),"※日期早于已结账截止日，不能再录",IF(AND($L2106=0,$X2106="正常"),"※没填单价，价格状态请选「待补价」",IF(AND($S2106&gt;0,$R2106&gt;0),"△本批有 "&amp;$S2106&amp;" 行没单价，整批运费先挂账没摊",IF(AND($B2106&lt;&gt;"",COUNTIF($B$4:$B$2503,$B2106)&gt;1),"※入库单号重复","")))))))</f>
        <v/>
      </c>
    </row>
    <row r="2107">
      <c r="A2107" s="24">
        <f>IF($G2107="","",COUNTA($G$4:$G2107))</f>
        <v/>
      </c>
      <c r="B2107" s="17" t="n"/>
      <c r="C2107" s="30" t="n"/>
      <c r="D2107" s="17" t="n"/>
      <c r="E2107" s="17" t="n"/>
      <c r="F2107" s="17" t="n"/>
      <c r="G2107" s="17" t="n"/>
      <c r="H2107" s="24">
        <f>IF($G2107="","",IFERROR(VLOOKUP($G2107,物料档案!$A$4:$P$1203,3,0),"※编码不在物料档案里"))</f>
        <v/>
      </c>
      <c r="I2107" s="24">
        <f>IF($G2107="","",IFERROR(VLOOKUP($G2107,物料档案!$A$4:$P$1203,4,0),"※编码不在物料档案里"))</f>
        <v/>
      </c>
      <c r="J2107" s="24">
        <f>IF($G2107="","",IFERROR(VLOOKUP($G2107,物料档案!$A$4:$P$1203,5,0),"※编码不在物料档案里"))</f>
        <v/>
      </c>
      <c r="K2107" s="23" t="n"/>
      <c r="L2107" s="31" t="n"/>
      <c r="M2107" s="24">
        <f>IF($G2107="","",IF($D2107="A国内","CNY","TZS"))</f>
        <v/>
      </c>
      <c r="N2107" s="28">
        <f>IF($G2107="","",IF($D2107="A国内",汇率,1))</f>
        <v/>
      </c>
      <c r="O2107" s="25">
        <f>IF($G2107="","",ROUND(N($K2107)*N($L2107),2))</f>
        <v/>
      </c>
      <c r="P2107" s="26">
        <f>IF($G2107="","",ROUND($O2107*$N2107,0))</f>
        <v/>
      </c>
      <c r="Q2107" s="26">
        <f>IF($G2107="","",SUMIFS($P$4:$P$2503,$E$4:$E$2503,$E2107,$Z$4:$Z$2503,"正常"))</f>
        <v/>
      </c>
      <c r="R2107" s="26">
        <f>IF($G2107="","",SUMIFS(费用台账!$I$4:$I$503,费用台账!$C$4:$C$503,$E2107,费用台账!$J$4:$J$503,"是",费用台账!$K$4:$K$503,"正常"))</f>
        <v/>
      </c>
      <c r="S2107" s="28">
        <f>IF($G2107="","",COUNTIFS($E$4:$E$2503,$E2107,$Z$4:$Z$2503,"正常",$Y$4:$Y$2503,"待补价"))</f>
        <v/>
      </c>
      <c r="T2107" s="26">
        <f>IF($G2107="","",SUMIFS($P$4:$P$2503,$E$4:$E$2503,$E2107,$Z$4:$Z$2503,"正常",$A$4:$A$2503,"&lt;="&amp;$A2107))</f>
        <v/>
      </c>
      <c r="U2107" s="26">
        <f>IF($G2107="","",IF(OR($S2107&gt;0,$Q2107=0,$R2107=0,$Z2107&lt;&gt;"正常"),0,ROUND($T2107/$Q2107*$R2107,0)-ROUND(($T2107-$P2107)/$Q2107*$R2107,0)))</f>
        <v/>
      </c>
      <c r="V2107" s="26">
        <f>IF($G2107="","",ROUND($P2107+$U2107,0))</f>
        <v/>
      </c>
      <c r="W2107" s="26">
        <f>IF($G2107="","",IF(N($K2107)=0,0,ROUND($V2107/$K2107,2)))</f>
        <v/>
      </c>
      <c r="X2107" s="17" t="n"/>
      <c r="Y2107" s="17" t="n"/>
      <c r="Z2107" s="17" t="n"/>
      <c r="AA2107" s="17" t="n"/>
      <c r="AB2107" s="17" t="n"/>
      <c r="AC2107" s="24">
        <f>IF($G2107="","",IF($H2107="※编码不在物料档案里","※物料编码不在档案里",IF(N($K2107)&lt;=0,"※入库数量要大于 0",IF(AND($C2107&lt;&gt;"",$C2107&lt;=结账锁),"※日期早于已结账截止日，不能再录",IF(AND($L2107=0,$X2107="正常"),"※没填单价，价格状态请选「待补价」",IF(AND($S2107&gt;0,$R2107&gt;0),"△本批有 "&amp;$S2107&amp;" 行没单价，整批运费先挂账没摊",IF(AND($B2107&lt;&gt;"",COUNTIF($B$4:$B$2503,$B2107)&gt;1),"※入库单号重复","")))))))</f>
        <v/>
      </c>
    </row>
    <row r="2108">
      <c r="A2108" s="24">
        <f>IF($G2108="","",COUNTA($G$4:$G2108))</f>
        <v/>
      </c>
      <c r="B2108" s="17" t="n"/>
      <c r="C2108" s="30" t="n"/>
      <c r="D2108" s="17" t="n"/>
      <c r="E2108" s="17" t="n"/>
      <c r="F2108" s="17" t="n"/>
      <c r="G2108" s="17" t="n"/>
      <c r="H2108" s="24">
        <f>IF($G2108="","",IFERROR(VLOOKUP($G2108,物料档案!$A$4:$P$1203,3,0),"※编码不在物料档案里"))</f>
        <v/>
      </c>
      <c r="I2108" s="24">
        <f>IF($G2108="","",IFERROR(VLOOKUP($G2108,物料档案!$A$4:$P$1203,4,0),"※编码不在物料档案里"))</f>
        <v/>
      </c>
      <c r="J2108" s="24">
        <f>IF($G2108="","",IFERROR(VLOOKUP($G2108,物料档案!$A$4:$P$1203,5,0),"※编码不在物料档案里"))</f>
        <v/>
      </c>
      <c r="K2108" s="23" t="n"/>
      <c r="L2108" s="31" t="n"/>
      <c r="M2108" s="24">
        <f>IF($G2108="","",IF($D2108="A国内","CNY","TZS"))</f>
        <v/>
      </c>
      <c r="N2108" s="28">
        <f>IF($G2108="","",IF($D2108="A国内",汇率,1))</f>
        <v/>
      </c>
      <c r="O2108" s="25">
        <f>IF($G2108="","",ROUND(N($K2108)*N($L2108),2))</f>
        <v/>
      </c>
      <c r="P2108" s="26">
        <f>IF($G2108="","",ROUND($O2108*$N2108,0))</f>
        <v/>
      </c>
      <c r="Q2108" s="26">
        <f>IF($G2108="","",SUMIFS($P$4:$P$2503,$E$4:$E$2503,$E2108,$Z$4:$Z$2503,"正常"))</f>
        <v/>
      </c>
      <c r="R2108" s="26">
        <f>IF($G2108="","",SUMIFS(费用台账!$I$4:$I$503,费用台账!$C$4:$C$503,$E2108,费用台账!$J$4:$J$503,"是",费用台账!$K$4:$K$503,"正常"))</f>
        <v/>
      </c>
      <c r="S2108" s="28">
        <f>IF($G2108="","",COUNTIFS($E$4:$E$2503,$E2108,$Z$4:$Z$2503,"正常",$Y$4:$Y$2503,"待补价"))</f>
        <v/>
      </c>
      <c r="T2108" s="26">
        <f>IF($G2108="","",SUMIFS($P$4:$P$2503,$E$4:$E$2503,$E2108,$Z$4:$Z$2503,"正常",$A$4:$A$2503,"&lt;="&amp;$A2108))</f>
        <v/>
      </c>
      <c r="U2108" s="26">
        <f>IF($G2108="","",IF(OR($S2108&gt;0,$Q2108=0,$R2108=0,$Z2108&lt;&gt;"正常"),0,ROUND($T2108/$Q2108*$R2108,0)-ROUND(($T2108-$P2108)/$Q2108*$R2108,0)))</f>
        <v/>
      </c>
      <c r="V2108" s="26">
        <f>IF($G2108="","",ROUND($P2108+$U2108,0))</f>
        <v/>
      </c>
      <c r="W2108" s="26">
        <f>IF($G2108="","",IF(N($K2108)=0,0,ROUND($V2108/$K2108,2)))</f>
        <v/>
      </c>
      <c r="X2108" s="17" t="n"/>
      <c r="Y2108" s="17" t="n"/>
      <c r="Z2108" s="17" t="n"/>
      <c r="AA2108" s="17" t="n"/>
      <c r="AB2108" s="17" t="n"/>
      <c r="AC2108" s="24">
        <f>IF($G2108="","",IF($H2108="※编码不在物料档案里","※物料编码不在档案里",IF(N($K2108)&lt;=0,"※入库数量要大于 0",IF(AND($C2108&lt;&gt;"",$C2108&lt;=结账锁),"※日期早于已结账截止日，不能再录",IF(AND($L2108=0,$X2108="正常"),"※没填单价，价格状态请选「待补价」",IF(AND($S2108&gt;0,$R2108&gt;0),"△本批有 "&amp;$S2108&amp;" 行没单价，整批运费先挂账没摊",IF(AND($B2108&lt;&gt;"",COUNTIF($B$4:$B$2503,$B2108)&gt;1),"※入库单号重复","")))))))</f>
        <v/>
      </c>
    </row>
    <row r="2109">
      <c r="A2109" s="24">
        <f>IF($G2109="","",COUNTA($G$4:$G2109))</f>
        <v/>
      </c>
      <c r="B2109" s="17" t="n"/>
      <c r="C2109" s="30" t="n"/>
      <c r="D2109" s="17" t="n"/>
      <c r="E2109" s="17" t="n"/>
      <c r="F2109" s="17" t="n"/>
      <c r="G2109" s="17" t="n"/>
      <c r="H2109" s="24">
        <f>IF($G2109="","",IFERROR(VLOOKUP($G2109,物料档案!$A$4:$P$1203,3,0),"※编码不在物料档案里"))</f>
        <v/>
      </c>
      <c r="I2109" s="24">
        <f>IF($G2109="","",IFERROR(VLOOKUP($G2109,物料档案!$A$4:$P$1203,4,0),"※编码不在物料档案里"))</f>
        <v/>
      </c>
      <c r="J2109" s="24">
        <f>IF($G2109="","",IFERROR(VLOOKUP($G2109,物料档案!$A$4:$P$1203,5,0),"※编码不在物料档案里"))</f>
        <v/>
      </c>
      <c r="K2109" s="23" t="n"/>
      <c r="L2109" s="31" t="n"/>
      <c r="M2109" s="24">
        <f>IF($G2109="","",IF($D2109="A国内","CNY","TZS"))</f>
        <v/>
      </c>
      <c r="N2109" s="28">
        <f>IF($G2109="","",IF($D2109="A国内",汇率,1))</f>
        <v/>
      </c>
      <c r="O2109" s="25">
        <f>IF($G2109="","",ROUND(N($K2109)*N($L2109),2))</f>
        <v/>
      </c>
      <c r="P2109" s="26">
        <f>IF($G2109="","",ROUND($O2109*$N2109,0))</f>
        <v/>
      </c>
      <c r="Q2109" s="26">
        <f>IF($G2109="","",SUMIFS($P$4:$P$2503,$E$4:$E$2503,$E2109,$Z$4:$Z$2503,"正常"))</f>
        <v/>
      </c>
      <c r="R2109" s="26">
        <f>IF($G2109="","",SUMIFS(费用台账!$I$4:$I$503,费用台账!$C$4:$C$503,$E2109,费用台账!$J$4:$J$503,"是",费用台账!$K$4:$K$503,"正常"))</f>
        <v/>
      </c>
      <c r="S2109" s="28">
        <f>IF($G2109="","",COUNTIFS($E$4:$E$2503,$E2109,$Z$4:$Z$2503,"正常",$Y$4:$Y$2503,"待补价"))</f>
        <v/>
      </c>
      <c r="T2109" s="26">
        <f>IF($G2109="","",SUMIFS($P$4:$P$2503,$E$4:$E$2503,$E2109,$Z$4:$Z$2503,"正常",$A$4:$A$2503,"&lt;="&amp;$A2109))</f>
        <v/>
      </c>
      <c r="U2109" s="26">
        <f>IF($G2109="","",IF(OR($S2109&gt;0,$Q2109=0,$R2109=0,$Z2109&lt;&gt;"正常"),0,ROUND($T2109/$Q2109*$R2109,0)-ROUND(($T2109-$P2109)/$Q2109*$R2109,0)))</f>
        <v/>
      </c>
      <c r="V2109" s="26">
        <f>IF($G2109="","",ROUND($P2109+$U2109,0))</f>
        <v/>
      </c>
      <c r="W2109" s="26">
        <f>IF($G2109="","",IF(N($K2109)=0,0,ROUND($V2109/$K2109,2)))</f>
        <v/>
      </c>
      <c r="X2109" s="17" t="n"/>
      <c r="Y2109" s="17" t="n"/>
      <c r="Z2109" s="17" t="n"/>
      <c r="AA2109" s="17" t="n"/>
      <c r="AB2109" s="17" t="n"/>
      <c r="AC2109" s="24">
        <f>IF($G2109="","",IF($H2109="※编码不在物料档案里","※物料编码不在档案里",IF(N($K2109)&lt;=0,"※入库数量要大于 0",IF(AND($C2109&lt;&gt;"",$C2109&lt;=结账锁),"※日期早于已结账截止日，不能再录",IF(AND($L2109=0,$X2109="正常"),"※没填单价，价格状态请选「待补价」",IF(AND($S2109&gt;0,$R2109&gt;0),"△本批有 "&amp;$S2109&amp;" 行没单价，整批运费先挂账没摊",IF(AND($B2109&lt;&gt;"",COUNTIF($B$4:$B$2503,$B2109)&gt;1),"※入库单号重复","")))))))</f>
        <v/>
      </c>
    </row>
    <row r="2110">
      <c r="A2110" s="24">
        <f>IF($G2110="","",COUNTA($G$4:$G2110))</f>
        <v/>
      </c>
      <c r="B2110" s="17" t="n"/>
      <c r="C2110" s="30" t="n"/>
      <c r="D2110" s="17" t="n"/>
      <c r="E2110" s="17" t="n"/>
      <c r="F2110" s="17" t="n"/>
      <c r="G2110" s="17" t="n"/>
      <c r="H2110" s="24">
        <f>IF($G2110="","",IFERROR(VLOOKUP($G2110,物料档案!$A$4:$P$1203,3,0),"※编码不在物料档案里"))</f>
        <v/>
      </c>
      <c r="I2110" s="24">
        <f>IF($G2110="","",IFERROR(VLOOKUP($G2110,物料档案!$A$4:$P$1203,4,0),"※编码不在物料档案里"))</f>
        <v/>
      </c>
      <c r="J2110" s="24">
        <f>IF($G2110="","",IFERROR(VLOOKUP($G2110,物料档案!$A$4:$P$1203,5,0),"※编码不在物料档案里"))</f>
        <v/>
      </c>
      <c r="K2110" s="23" t="n"/>
      <c r="L2110" s="31" t="n"/>
      <c r="M2110" s="24">
        <f>IF($G2110="","",IF($D2110="A国内","CNY","TZS"))</f>
        <v/>
      </c>
      <c r="N2110" s="28">
        <f>IF($G2110="","",IF($D2110="A国内",汇率,1))</f>
        <v/>
      </c>
      <c r="O2110" s="25">
        <f>IF($G2110="","",ROUND(N($K2110)*N($L2110),2))</f>
        <v/>
      </c>
      <c r="P2110" s="26">
        <f>IF($G2110="","",ROUND($O2110*$N2110,0))</f>
        <v/>
      </c>
      <c r="Q2110" s="26">
        <f>IF($G2110="","",SUMIFS($P$4:$P$2503,$E$4:$E$2503,$E2110,$Z$4:$Z$2503,"正常"))</f>
        <v/>
      </c>
      <c r="R2110" s="26">
        <f>IF($G2110="","",SUMIFS(费用台账!$I$4:$I$503,费用台账!$C$4:$C$503,$E2110,费用台账!$J$4:$J$503,"是",费用台账!$K$4:$K$503,"正常"))</f>
        <v/>
      </c>
      <c r="S2110" s="28">
        <f>IF($G2110="","",COUNTIFS($E$4:$E$2503,$E2110,$Z$4:$Z$2503,"正常",$Y$4:$Y$2503,"待补价"))</f>
        <v/>
      </c>
      <c r="T2110" s="26">
        <f>IF($G2110="","",SUMIFS($P$4:$P$2503,$E$4:$E$2503,$E2110,$Z$4:$Z$2503,"正常",$A$4:$A$2503,"&lt;="&amp;$A2110))</f>
        <v/>
      </c>
      <c r="U2110" s="26">
        <f>IF($G2110="","",IF(OR($S2110&gt;0,$Q2110=0,$R2110=0,$Z2110&lt;&gt;"正常"),0,ROUND($T2110/$Q2110*$R2110,0)-ROUND(($T2110-$P2110)/$Q2110*$R2110,0)))</f>
        <v/>
      </c>
      <c r="V2110" s="26">
        <f>IF($G2110="","",ROUND($P2110+$U2110,0))</f>
        <v/>
      </c>
      <c r="W2110" s="26">
        <f>IF($G2110="","",IF(N($K2110)=0,0,ROUND($V2110/$K2110,2)))</f>
        <v/>
      </c>
      <c r="X2110" s="17" t="n"/>
      <c r="Y2110" s="17" t="n"/>
      <c r="Z2110" s="17" t="n"/>
      <c r="AA2110" s="17" t="n"/>
      <c r="AB2110" s="17" t="n"/>
      <c r="AC2110" s="24">
        <f>IF($G2110="","",IF($H2110="※编码不在物料档案里","※物料编码不在档案里",IF(N($K2110)&lt;=0,"※入库数量要大于 0",IF(AND($C2110&lt;&gt;"",$C2110&lt;=结账锁),"※日期早于已结账截止日，不能再录",IF(AND($L2110=0,$X2110="正常"),"※没填单价，价格状态请选「待补价」",IF(AND($S2110&gt;0,$R2110&gt;0),"△本批有 "&amp;$S2110&amp;" 行没单价，整批运费先挂账没摊",IF(AND($B2110&lt;&gt;"",COUNTIF($B$4:$B$2503,$B2110)&gt;1),"※入库单号重复","")))))))</f>
        <v/>
      </c>
    </row>
    <row r="2111">
      <c r="A2111" s="24">
        <f>IF($G2111="","",COUNTA($G$4:$G2111))</f>
        <v/>
      </c>
      <c r="B2111" s="17" t="n"/>
      <c r="C2111" s="30" t="n"/>
      <c r="D2111" s="17" t="n"/>
      <c r="E2111" s="17" t="n"/>
      <c r="F2111" s="17" t="n"/>
      <c r="G2111" s="17" t="n"/>
      <c r="H2111" s="24">
        <f>IF($G2111="","",IFERROR(VLOOKUP($G2111,物料档案!$A$4:$P$1203,3,0),"※编码不在物料档案里"))</f>
        <v/>
      </c>
      <c r="I2111" s="24">
        <f>IF($G2111="","",IFERROR(VLOOKUP($G2111,物料档案!$A$4:$P$1203,4,0),"※编码不在物料档案里"))</f>
        <v/>
      </c>
      <c r="J2111" s="24">
        <f>IF($G2111="","",IFERROR(VLOOKUP($G2111,物料档案!$A$4:$P$1203,5,0),"※编码不在物料档案里"))</f>
        <v/>
      </c>
      <c r="K2111" s="23" t="n"/>
      <c r="L2111" s="31" t="n"/>
      <c r="M2111" s="24">
        <f>IF($G2111="","",IF($D2111="A国内","CNY","TZS"))</f>
        <v/>
      </c>
      <c r="N2111" s="28">
        <f>IF($G2111="","",IF($D2111="A国内",汇率,1))</f>
        <v/>
      </c>
      <c r="O2111" s="25">
        <f>IF($G2111="","",ROUND(N($K2111)*N($L2111),2))</f>
        <v/>
      </c>
      <c r="P2111" s="26">
        <f>IF($G2111="","",ROUND($O2111*$N2111,0))</f>
        <v/>
      </c>
      <c r="Q2111" s="26">
        <f>IF($G2111="","",SUMIFS($P$4:$P$2503,$E$4:$E$2503,$E2111,$Z$4:$Z$2503,"正常"))</f>
        <v/>
      </c>
      <c r="R2111" s="26">
        <f>IF($G2111="","",SUMIFS(费用台账!$I$4:$I$503,费用台账!$C$4:$C$503,$E2111,费用台账!$J$4:$J$503,"是",费用台账!$K$4:$K$503,"正常"))</f>
        <v/>
      </c>
      <c r="S2111" s="28">
        <f>IF($G2111="","",COUNTIFS($E$4:$E$2503,$E2111,$Z$4:$Z$2503,"正常",$Y$4:$Y$2503,"待补价"))</f>
        <v/>
      </c>
      <c r="T2111" s="26">
        <f>IF($G2111="","",SUMIFS($P$4:$P$2503,$E$4:$E$2503,$E2111,$Z$4:$Z$2503,"正常",$A$4:$A$2503,"&lt;="&amp;$A2111))</f>
        <v/>
      </c>
      <c r="U2111" s="26">
        <f>IF($G2111="","",IF(OR($S2111&gt;0,$Q2111=0,$R2111=0,$Z2111&lt;&gt;"正常"),0,ROUND($T2111/$Q2111*$R2111,0)-ROUND(($T2111-$P2111)/$Q2111*$R2111,0)))</f>
        <v/>
      </c>
      <c r="V2111" s="26">
        <f>IF($G2111="","",ROUND($P2111+$U2111,0))</f>
        <v/>
      </c>
      <c r="W2111" s="26">
        <f>IF($G2111="","",IF(N($K2111)=0,0,ROUND($V2111/$K2111,2)))</f>
        <v/>
      </c>
      <c r="X2111" s="17" t="n"/>
      <c r="Y2111" s="17" t="n"/>
      <c r="Z2111" s="17" t="n"/>
      <c r="AA2111" s="17" t="n"/>
      <c r="AB2111" s="17" t="n"/>
      <c r="AC2111" s="24">
        <f>IF($G2111="","",IF($H2111="※编码不在物料档案里","※物料编码不在档案里",IF(N($K2111)&lt;=0,"※入库数量要大于 0",IF(AND($C2111&lt;&gt;"",$C2111&lt;=结账锁),"※日期早于已结账截止日，不能再录",IF(AND($L2111=0,$X2111="正常"),"※没填单价，价格状态请选「待补价」",IF(AND($S2111&gt;0,$R2111&gt;0),"△本批有 "&amp;$S2111&amp;" 行没单价，整批运费先挂账没摊",IF(AND($B2111&lt;&gt;"",COUNTIF($B$4:$B$2503,$B2111)&gt;1),"※入库单号重复","")))))))</f>
        <v/>
      </c>
    </row>
    <row r="2112">
      <c r="A2112" s="24">
        <f>IF($G2112="","",COUNTA($G$4:$G2112))</f>
        <v/>
      </c>
      <c r="B2112" s="17" t="n"/>
      <c r="C2112" s="30" t="n"/>
      <c r="D2112" s="17" t="n"/>
      <c r="E2112" s="17" t="n"/>
      <c r="F2112" s="17" t="n"/>
      <c r="G2112" s="17" t="n"/>
      <c r="H2112" s="24">
        <f>IF($G2112="","",IFERROR(VLOOKUP($G2112,物料档案!$A$4:$P$1203,3,0),"※编码不在物料档案里"))</f>
        <v/>
      </c>
      <c r="I2112" s="24">
        <f>IF($G2112="","",IFERROR(VLOOKUP($G2112,物料档案!$A$4:$P$1203,4,0),"※编码不在物料档案里"))</f>
        <v/>
      </c>
      <c r="J2112" s="24">
        <f>IF($G2112="","",IFERROR(VLOOKUP($G2112,物料档案!$A$4:$P$1203,5,0),"※编码不在物料档案里"))</f>
        <v/>
      </c>
      <c r="K2112" s="23" t="n"/>
      <c r="L2112" s="31" t="n"/>
      <c r="M2112" s="24">
        <f>IF($G2112="","",IF($D2112="A国内","CNY","TZS"))</f>
        <v/>
      </c>
      <c r="N2112" s="28">
        <f>IF($G2112="","",IF($D2112="A国内",汇率,1))</f>
        <v/>
      </c>
      <c r="O2112" s="25">
        <f>IF($G2112="","",ROUND(N($K2112)*N($L2112),2))</f>
        <v/>
      </c>
      <c r="P2112" s="26">
        <f>IF($G2112="","",ROUND($O2112*$N2112,0))</f>
        <v/>
      </c>
      <c r="Q2112" s="26">
        <f>IF($G2112="","",SUMIFS($P$4:$P$2503,$E$4:$E$2503,$E2112,$Z$4:$Z$2503,"正常"))</f>
        <v/>
      </c>
      <c r="R2112" s="26">
        <f>IF($G2112="","",SUMIFS(费用台账!$I$4:$I$503,费用台账!$C$4:$C$503,$E2112,费用台账!$J$4:$J$503,"是",费用台账!$K$4:$K$503,"正常"))</f>
        <v/>
      </c>
      <c r="S2112" s="28">
        <f>IF($G2112="","",COUNTIFS($E$4:$E$2503,$E2112,$Z$4:$Z$2503,"正常",$Y$4:$Y$2503,"待补价"))</f>
        <v/>
      </c>
      <c r="T2112" s="26">
        <f>IF($G2112="","",SUMIFS($P$4:$P$2503,$E$4:$E$2503,$E2112,$Z$4:$Z$2503,"正常",$A$4:$A$2503,"&lt;="&amp;$A2112))</f>
        <v/>
      </c>
      <c r="U2112" s="26">
        <f>IF($G2112="","",IF(OR($S2112&gt;0,$Q2112=0,$R2112=0,$Z2112&lt;&gt;"正常"),0,ROUND($T2112/$Q2112*$R2112,0)-ROUND(($T2112-$P2112)/$Q2112*$R2112,0)))</f>
        <v/>
      </c>
      <c r="V2112" s="26">
        <f>IF($G2112="","",ROUND($P2112+$U2112,0))</f>
        <v/>
      </c>
      <c r="W2112" s="26">
        <f>IF($G2112="","",IF(N($K2112)=0,0,ROUND($V2112/$K2112,2)))</f>
        <v/>
      </c>
      <c r="X2112" s="17" t="n"/>
      <c r="Y2112" s="17" t="n"/>
      <c r="Z2112" s="17" t="n"/>
      <c r="AA2112" s="17" t="n"/>
      <c r="AB2112" s="17" t="n"/>
      <c r="AC2112" s="24">
        <f>IF($G2112="","",IF($H2112="※编码不在物料档案里","※物料编码不在档案里",IF(N($K2112)&lt;=0,"※入库数量要大于 0",IF(AND($C2112&lt;&gt;"",$C2112&lt;=结账锁),"※日期早于已结账截止日，不能再录",IF(AND($L2112=0,$X2112="正常"),"※没填单价，价格状态请选「待补价」",IF(AND($S2112&gt;0,$R2112&gt;0),"△本批有 "&amp;$S2112&amp;" 行没单价，整批运费先挂账没摊",IF(AND($B2112&lt;&gt;"",COUNTIF($B$4:$B$2503,$B2112)&gt;1),"※入库单号重复","")))))))</f>
        <v/>
      </c>
    </row>
    <row r="2113">
      <c r="A2113" s="24">
        <f>IF($G2113="","",COUNTA($G$4:$G2113))</f>
        <v/>
      </c>
      <c r="B2113" s="17" t="n"/>
      <c r="C2113" s="30" t="n"/>
      <c r="D2113" s="17" t="n"/>
      <c r="E2113" s="17" t="n"/>
      <c r="F2113" s="17" t="n"/>
      <c r="G2113" s="17" t="n"/>
      <c r="H2113" s="24">
        <f>IF($G2113="","",IFERROR(VLOOKUP($G2113,物料档案!$A$4:$P$1203,3,0),"※编码不在物料档案里"))</f>
        <v/>
      </c>
      <c r="I2113" s="24">
        <f>IF($G2113="","",IFERROR(VLOOKUP($G2113,物料档案!$A$4:$P$1203,4,0),"※编码不在物料档案里"))</f>
        <v/>
      </c>
      <c r="J2113" s="24">
        <f>IF($G2113="","",IFERROR(VLOOKUP($G2113,物料档案!$A$4:$P$1203,5,0),"※编码不在物料档案里"))</f>
        <v/>
      </c>
      <c r="K2113" s="23" t="n"/>
      <c r="L2113" s="31" t="n"/>
      <c r="M2113" s="24">
        <f>IF($G2113="","",IF($D2113="A国内","CNY","TZS"))</f>
        <v/>
      </c>
      <c r="N2113" s="28">
        <f>IF($G2113="","",IF($D2113="A国内",汇率,1))</f>
        <v/>
      </c>
      <c r="O2113" s="25">
        <f>IF($G2113="","",ROUND(N($K2113)*N($L2113),2))</f>
        <v/>
      </c>
      <c r="P2113" s="26">
        <f>IF($G2113="","",ROUND($O2113*$N2113,0))</f>
        <v/>
      </c>
      <c r="Q2113" s="26">
        <f>IF($G2113="","",SUMIFS($P$4:$P$2503,$E$4:$E$2503,$E2113,$Z$4:$Z$2503,"正常"))</f>
        <v/>
      </c>
      <c r="R2113" s="26">
        <f>IF($G2113="","",SUMIFS(费用台账!$I$4:$I$503,费用台账!$C$4:$C$503,$E2113,费用台账!$J$4:$J$503,"是",费用台账!$K$4:$K$503,"正常"))</f>
        <v/>
      </c>
      <c r="S2113" s="28">
        <f>IF($G2113="","",COUNTIFS($E$4:$E$2503,$E2113,$Z$4:$Z$2503,"正常",$Y$4:$Y$2503,"待补价"))</f>
        <v/>
      </c>
      <c r="T2113" s="26">
        <f>IF($G2113="","",SUMIFS($P$4:$P$2503,$E$4:$E$2503,$E2113,$Z$4:$Z$2503,"正常",$A$4:$A$2503,"&lt;="&amp;$A2113))</f>
        <v/>
      </c>
      <c r="U2113" s="26">
        <f>IF($G2113="","",IF(OR($S2113&gt;0,$Q2113=0,$R2113=0,$Z2113&lt;&gt;"正常"),0,ROUND($T2113/$Q2113*$R2113,0)-ROUND(($T2113-$P2113)/$Q2113*$R2113,0)))</f>
        <v/>
      </c>
      <c r="V2113" s="26">
        <f>IF($G2113="","",ROUND($P2113+$U2113,0))</f>
        <v/>
      </c>
      <c r="W2113" s="26">
        <f>IF($G2113="","",IF(N($K2113)=0,0,ROUND($V2113/$K2113,2)))</f>
        <v/>
      </c>
      <c r="X2113" s="17" t="n"/>
      <c r="Y2113" s="17" t="n"/>
      <c r="Z2113" s="17" t="n"/>
      <c r="AA2113" s="17" t="n"/>
      <c r="AB2113" s="17" t="n"/>
      <c r="AC2113" s="24">
        <f>IF($G2113="","",IF($H2113="※编码不在物料档案里","※物料编码不在档案里",IF(N($K2113)&lt;=0,"※入库数量要大于 0",IF(AND($C2113&lt;&gt;"",$C2113&lt;=结账锁),"※日期早于已结账截止日，不能再录",IF(AND($L2113=0,$X2113="正常"),"※没填单价，价格状态请选「待补价」",IF(AND($S2113&gt;0,$R2113&gt;0),"△本批有 "&amp;$S2113&amp;" 行没单价，整批运费先挂账没摊",IF(AND($B2113&lt;&gt;"",COUNTIF($B$4:$B$2503,$B2113)&gt;1),"※入库单号重复","")))))))</f>
        <v/>
      </c>
    </row>
    <row r="2114">
      <c r="A2114" s="24">
        <f>IF($G2114="","",COUNTA($G$4:$G2114))</f>
        <v/>
      </c>
      <c r="B2114" s="17" t="n"/>
      <c r="C2114" s="30" t="n"/>
      <c r="D2114" s="17" t="n"/>
      <c r="E2114" s="17" t="n"/>
      <c r="F2114" s="17" t="n"/>
      <c r="G2114" s="17" t="n"/>
      <c r="H2114" s="24">
        <f>IF($G2114="","",IFERROR(VLOOKUP($G2114,物料档案!$A$4:$P$1203,3,0),"※编码不在物料档案里"))</f>
        <v/>
      </c>
      <c r="I2114" s="24">
        <f>IF($G2114="","",IFERROR(VLOOKUP($G2114,物料档案!$A$4:$P$1203,4,0),"※编码不在物料档案里"))</f>
        <v/>
      </c>
      <c r="J2114" s="24">
        <f>IF($G2114="","",IFERROR(VLOOKUP($G2114,物料档案!$A$4:$P$1203,5,0),"※编码不在物料档案里"))</f>
        <v/>
      </c>
      <c r="K2114" s="23" t="n"/>
      <c r="L2114" s="31" t="n"/>
      <c r="M2114" s="24">
        <f>IF($G2114="","",IF($D2114="A国内","CNY","TZS"))</f>
        <v/>
      </c>
      <c r="N2114" s="28">
        <f>IF($G2114="","",IF($D2114="A国内",汇率,1))</f>
        <v/>
      </c>
      <c r="O2114" s="25">
        <f>IF($G2114="","",ROUND(N($K2114)*N($L2114),2))</f>
        <v/>
      </c>
      <c r="P2114" s="26">
        <f>IF($G2114="","",ROUND($O2114*$N2114,0))</f>
        <v/>
      </c>
      <c r="Q2114" s="26">
        <f>IF($G2114="","",SUMIFS($P$4:$P$2503,$E$4:$E$2503,$E2114,$Z$4:$Z$2503,"正常"))</f>
        <v/>
      </c>
      <c r="R2114" s="26">
        <f>IF($G2114="","",SUMIFS(费用台账!$I$4:$I$503,费用台账!$C$4:$C$503,$E2114,费用台账!$J$4:$J$503,"是",费用台账!$K$4:$K$503,"正常"))</f>
        <v/>
      </c>
      <c r="S2114" s="28">
        <f>IF($G2114="","",COUNTIFS($E$4:$E$2503,$E2114,$Z$4:$Z$2503,"正常",$Y$4:$Y$2503,"待补价"))</f>
        <v/>
      </c>
      <c r="T2114" s="26">
        <f>IF($G2114="","",SUMIFS($P$4:$P$2503,$E$4:$E$2503,$E2114,$Z$4:$Z$2503,"正常",$A$4:$A$2503,"&lt;="&amp;$A2114))</f>
        <v/>
      </c>
      <c r="U2114" s="26">
        <f>IF($G2114="","",IF(OR($S2114&gt;0,$Q2114=0,$R2114=0,$Z2114&lt;&gt;"正常"),0,ROUND($T2114/$Q2114*$R2114,0)-ROUND(($T2114-$P2114)/$Q2114*$R2114,0)))</f>
        <v/>
      </c>
      <c r="V2114" s="26">
        <f>IF($G2114="","",ROUND($P2114+$U2114,0))</f>
        <v/>
      </c>
      <c r="W2114" s="26">
        <f>IF($G2114="","",IF(N($K2114)=0,0,ROUND($V2114/$K2114,2)))</f>
        <v/>
      </c>
      <c r="X2114" s="17" t="n"/>
      <c r="Y2114" s="17" t="n"/>
      <c r="Z2114" s="17" t="n"/>
      <c r="AA2114" s="17" t="n"/>
      <c r="AB2114" s="17" t="n"/>
      <c r="AC2114" s="24">
        <f>IF($G2114="","",IF($H2114="※编码不在物料档案里","※物料编码不在档案里",IF(N($K2114)&lt;=0,"※入库数量要大于 0",IF(AND($C2114&lt;&gt;"",$C2114&lt;=结账锁),"※日期早于已结账截止日，不能再录",IF(AND($L2114=0,$X2114="正常"),"※没填单价，价格状态请选「待补价」",IF(AND($S2114&gt;0,$R2114&gt;0),"△本批有 "&amp;$S2114&amp;" 行没单价，整批运费先挂账没摊",IF(AND($B2114&lt;&gt;"",COUNTIF($B$4:$B$2503,$B2114)&gt;1),"※入库单号重复","")))))))</f>
        <v/>
      </c>
    </row>
    <row r="2115">
      <c r="A2115" s="24">
        <f>IF($G2115="","",COUNTA($G$4:$G2115))</f>
        <v/>
      </c>
      <c r="B2115" s="17" t="n"/>
      <c r="C2115" s="30" t="n"/>
      <c r="D2115" s="17" t="n"/>
      <c r="E2115" s="17" t="n"/>
      <c r="F2115" s="17" t="n"/>
      <c r="G2115" s="17" t="n"/>
      <c r="H2115" s="24">
        <f>IF($G2115="","",IFERROR(VLOOKUP($G2115,物料档案!$A$4:$P$1203,3,0),"※编码不在物料档案里"))</f>
        <v/>
      </c>
      <c r="I2115" s="24">
        <f>IF($G2115="","",IFERROR(VLOOKUP($G2115,物料档案!$A$4:$P$1203,4,0),"※编码不在物料档案里"))</f>
        <v/>
      </c>
      <c r="J2115" s="24">
        <f>IF($G2115="","",IFERROR(VLOOKUP($G2115,物料档案!$A$4:$P$1203,5,0),"※编码不在物料档案里"))</f>
        <v/>
      </c>
      <c r="K2115" s="23" t="n"/>
      <c r="L2115" s="31" t="n"/>
      <c r="M2115" s="24">
        <f>IF($G2115="","",IF($D2115="A国内","CNY","TZS"))</f>
        <v/>
      </c>
      <c r="N2115" s="28">
        <f>IF($G2115="","",IF($D2115="A国内",汇率,1))</f>
        <v/>
      </c>
      <c r="O2115" s="25">
        <f>IF($G2115="","",ROUND(N($K2115)*N($L2115),2))</f>
        <v/>
      </c>
      <c r="P2115" s="26">
        <f>IF($G2115="","",ROUND($O2115*$N2115,0))</f>
        <v/>
      </c>
      <c r="Q2115" s="26">
        <f>IF($G2115="","",SUMIFS($P$4:$P$2503,$E$4:$E$2503,$E2115,$Z$4:$Z$2503,"正常"))</f>
        <v/>
      </c>
      <c r="R2115" s="26">
        <f>IF($G2115="","",SUMIFS(费用台账!$I$4:$I$503,费用台账!$C$4:$C$503,$E2115,费用台账!$J$4:$J$503,"是",费用台账!$K$4:$K$503,"正常"))</f>
        <v/>
      </c>
      <c r="S2115" s="28">
        <f>IF($G2115="","",COUNTIFS($E$4:$E$2503,$E2115,$Z$4:$Z$2503,"正常",$Y$4:$Y$2503,"待补价"))</f>
        <v/>
      </c>
      <c r="T2115" s="26">
        <f>IF($G2115="","",SUMIFS($P$4:$P$2503,$E$4:$E$2503,$E2115,$Z$4:$Z$2503,"正常",$A$4:$A$2503,"&lt;="&amp;$A2115))</f>
        <v/>
      </c>
      <c r="U2115" s="26">
        <f>IF($G2115="","",IF(OR($S2115&gt;0,$Q2115=0,$R2115=0,$Z2115&lt;&gt;"正常"),0,ROUND($T2115/$Q2115*$R2115,0)-ROUND(($T2115-$P2115)/$Q2115*$R2115,0)))</f>
        <v/>
      </c>
      <c r="V2115" s="26">
        <f>IF($G2115="","",ROUND($P2115+$U2115,0))</f>
        <v/>
      </c>
      <c r="W2115" s="26">
        <f>IF($G2115="","",IF(N($K2115)=0,0,ROUND($V2115/$K2115,2)))</f>
        <v/>
      </c>
      <c r="X2115" s="17" t="n"/>
      <c r="Y2115" s="17" t="n"/>
      <c r="Z2115" s="17" t="n"/>
      <c r="AA2115" s="17" t="n"/>
      <c r="AB2115" s="17" t="n"/>
      <c r="AC2115" s="24">
        <f>IF($G2115="","",IF($H2115="※编码不在物料档案里","※物料编码不在档案里",IF(N($K2115)&lt;=0,"※入库数量要大于 0",IF(AND($C2115&lt;&gt;"",$C2115&lt;=结账锁),"※日期早于已结账截止日，不能再录",IF(AND($L2115=0,$X2115="正常"),"※没填单价，价格状态请选「待补价」",IF(AND($S2115&gt;0,$R2115&gt;0),"△本批有 "&amp;$S2115&amp;" 行没单价，整批运费先挂账没摊",IF(AND($B2115&lt;&gt;"",COUNTIF($B$4:$B$2503,$B2115)&gt;1),"※入库单号重复","")))))))</f>
        <v/>
      </c>
    </row>
    <row r="2116">
      <c r="A2116" s="24">
        <f>IF($G2116="","",COUNTA($G$4:$G2116))</f>
        <v/>
      </c>
      <c r="B2116" s="17" t="n"/>
      <c r="C2116" s="30" t="n"/>
      <c r="D2116" s="17" t="n"/>
      <c r="E2116" s="17" t="n"/>
      <c r="F2116" s="17" t="n"/>
      <c r="G2116" s="17" t="n"/>
      <c r="H2116" s="24">
        <f>IF($G2116="","",IFERROR(VLOOKUP($G2116,物料档案!$A$4:$P$1203,3,0),"※编码不在物料档案里"))</f>
        <v/>
      </c>
      <c r="I2116" s="24">
        <f>IF($G2116="","",IFERROR(VLOOKUP($G2116,物料档案!$A$4:$P$1203,4,0),"※编码不在物料档案里"))</f>
        <v/>
      </c>
      <c r="J2116" s="24">
        <f>IF($G2116="","",IFERROR(VLOOKUP($G2116,物料档案!$A$4:$P$1203,5,0),"※编码不在物料档案里"))</f>
        <v/>
      </c>
      <c r="K2116" s="23" t="n"/>
      <c r="L2116" s="31" t="n"/>
      <c r="M2116" s="24">
        <f>IF($G2116="","",IF($D2116="A国内","CNY","TZS"))</f>
        <v/>
      </c>
      <c r="N2116" s="28">
        <f>IF($G2116="","",IF($D2116="A国内",汇率,1))</f>
        <v/>
      </c>
      <c r="O2116" s="25">
        <f>IF($G2116="","",ROUND(N($K2116)*N($L2116),2))</f>
        <v/>
      </c>
      <c r="P2116" s="26">
        <f>IF($G2116="","",ROUND($O2116*$N2116,0))</f>
        <v/>
      </c>
      <c r="Q2116" s="26">
        <f>IF($G2116="","",SUMIFS($P$4:$P$2503,$E$4:$E$2503,$E2116,$Z$4:$Z$2503,"正常"))</f>
        <v/>
      </c>
      <c r="R2116" s="26">
        <f>IF($G2116="","",SUMIFS(费用台账!$I$4:$I$503,费用台账!$C$4:$C$503,$E2116,费用台账!$J$4:$J$503,"是",费用台账!$K$4:$K$503,"正常"))</f>
        <v/>
      </c>
      <c r="S2116" s="28">
        <f>IF($G2116="","",COUNTIFS($E$4:$E$2503,$E2116,$Z$4:$Z$2503,"正常",$Y$4:$Y$2503,"待补价"))</f>
        <v/>
      </c>
      <c r="T2116" s="26">
        <f>IF($G2116="","",SUMIFS($P$4:$P$2503,$E$4:$E$2503,$E2116,$Z$4:$Z$2503,"正常",$A$4:$A$2503,"&lt;="&amp;$A2116))</f>
        <v/>
      </c>
      <c r="U2116" s="26">
        <f>IF($G2116="","",IF(OR($S2116&gt;0,$Q2116=0,$R2116=0,$Z2116&lt;&gt;"正常"),0,ROUND($T2116/$Q2116*$R2116,0)-ROUND(($T2116-$P2116)/$Q2116*$R2116,0)))</f>
        <v/>
      </c>
      <c r="V2116" s="26">
        <f>IF($G2116="","",ROUND($P2116+$U2116,0))</f>
        <v/>
      </c>
      <c r="W2116" s="26">
        <f>IF($G2116="","",IF(N($K2116)=0,0,ROUND($V2116/$K2116,2)))</f>
        <v/>
      </c>
      <c r="X2116" s="17" t="n"/>
      <c r="Y2116" s="17" t="n"/>
      <c r="Z2116" s="17" t="n"/>
      <c r="AA2116" s="17" t="n"/>
      <c r="AB2116" s="17" t="n"/>
      <c r="AC2116" s="24">
        <f>IF($G2116="","",IF($H2116="※编码不在物料档案里","※物料编码不在档案里",IF(N($K2116)&lt;=0,"※入库数量要大于 0",IF(AND($C2116&lt;&gt;"",$C2116&lt;=结账锁),"※日期早于已结账截止日，不能再录",IF(AND($L2116=0,$X2116="正常"),"※没填单价，价格状态请选「待补价」",IF(AND($S2116&gt;0,$R2116&gt;0),"△本批有 "&amp;$S2116&amp;" 行没单价，整批运费先挂账没摊",IF(AND($B2116&lt;&gt;"",COUNTIF($B$4:$B$2503,$B2116)&gt;1),"※入库单号重复","")))))))</f>
        <v/>
      </c>
    </row>
    <row r="2117">
      <c r="A2117" s="24">
        <f>IF($G2117="","",COUNTA($G$4:$G2117))</f>
        <v/>
      </c>
      <c r="B2117" s="17" t="n"/>
      <c r="C2117" s="30" t="n"/>
      <c r="D2117" s="17" t="n"/>
      <c r="E2117" s="17" t="n"/>
      <c r="F2117" s="17" t="n"/>
      <c r="G2117" s="17" t="n"/>
      <c r="H2117" s="24">
        <f>IF($G2117="","",IFERROR(VLOOKUP($G2117,物料档案!$A$4:$P$1203,3,0),"※编码不在物料档案里"))</f>
        <v/>
      </c>
      <c r="I2117" s="24">
        <f>IF($G2117="","",IFERROR(VLOOKUP($G2117,物料档案!$A$4:$P$1203,4,0),"※编码不在物料档案里"))</f>
        <v/>
      </c>
      <c r="J2117" s="24">
        <f>IF($G2117="","",IFERROR(VLOOKUP($G2117,物料档案!$A$4:$P$1203,5,0),"※编码不在物料档案里"))</f>
        <v/>
      </c>
      <c r="K2117" s="23" t="n"/>
      <c r="L2117" s="31" t="n"/>
      <c r="M2117" s="24">
        <f>IF($G2117="","",IF($D2117="A国内","CNY","TZS"))</f>
        <v/>
      </c>
      <c r="N2117" s="28">
        <f>IF($G2117="","",IF($D2117="A国内",汇率,1))</f>
        <v/>
      </c>
      <c r="O2117" s="25">
        <f>IF($G2117="","",ROUND(N($K2117)*N($L2117),2))</f>
        <v/>
      </c>
      <c r="P2117" s="26">
        <f>IF($G2117="","",ROUND($O2117*$N2117,0))</f>
        <v/>
      </c>
      <c r="Q2117" s="26">
        <f>IF($G2117="","",SUMIFS($P$4:$P$2503,$E$4:$E$2503,$E2117,$Z$4:$Z$2503,"正常"))</f>
        <v/>
      </c>
      <c r="R2117" s="26">
        <f>IF($G2117="","",SUMIFS(费用台账!$I$4:$I$503,费用台账!$C$4:$C$503,$E2117,费用台账!$J$4:$J$503,"是",费用台账!$K$4:$K$503,"正常"))</f>
        <v/>
      </c>
      <c r="S2117" s="28">
        <f>IF($G2117="","",COUNTIFS($E$4:$E$2503,$E2117,$Z$4:$Z$2503,"正常",$Y$4:$Y$2503,"待补价"))</f>
        <v/>
      </c>
      <c r="T2117" s="26">
        <f>IF($G2117="","",SUMIFS($P$4:$P$2503,$E$4:$E$2503,$E2117,$Z$4:$Z$2503,"正常",$A$4:$A$2503,"&lt;="&amp;$A2117))</f>
        <v/>
      </c>
      <c r="U2117" s="26">
        <f>IF($G2117="","",IF(OR($S2117&gt;0,$Q2117=0,$R2117=0,$Z2117&lt;&gt;"正常"),0,ROUND($T2117/$Q2117*$R2117,0)-ROUND(($T2117-$P2117)/$Q2117*$R2117,0)))</f>
        <v/>
      </c>
      <c r="V2117" s="26">
        <f>IF($G2117="","",ROUND($P2117+$U2117,0))</f>
        <v/>
      </c>
      <c r="W2117" s="26">
        <f>IF($G2117="","",IF(N($K2117)=0,0,ROUND($V2117/$K2117,2)))</f>
        <v/>
      </c>
      <c r="X2117" s="17" t="n"/>
      <c r="Y2117" s="17" t="n"/>
      <c r="Z2117" s="17" t="n"/>
      <c r="AA2117" s="17" t="n"/>
      <c r="AB2117" s="17" t="n"/>
      <c r="AC2117" s="24">
        <f>IF($G2117="","",IF($H2117="※编码不在物料档案里","※物料编码不在档案里",IF(N($K2117)&lt;=0,"※入库数量要大于 0",IF(AND($C2117&lt;&gt;"",$C2117&lt;=结账锁),"※日期早于已结账截止日，不能再录",IF(AND($L2117=0,$X2117="正常"),"※没填单价，价格状态请选「待补价」",IF(AND($S2117&gt;0,$R2117&gt;0),"△本批有 "&amp;$S2117&amp;" 行没单价，整批运费先挂账没摊",IF(AND($B2117&lt;&gt;"",COUNTIF($B$4:$B$2503,$B2117)&gt;1),"※入库单号重复","")))))))</f>
        <v/>
      </c>
    </row>
    <row r="2118">
      <c r="A2118" s="24">
        <f>IF($G2118="","",COUNTA($G$4:$G2118))</f>
        <v/>
      </c>
      <c r="B2118" s="17" t="n"/>
      <c r="C2118" s="30" t="n"/>
      <c r="D2118" s="17" t="n"/>
      <c r="E2118" s="17" t="n"/>
      <c r="F2118" s="17" t="n"/>
      <c r="G2118" s="17" t="n"/>
      <c r="H2118" s="24">
        <f>IF($G2118="","",IFERROR(VLOOKUP($G2118,物料档案!$A$4:$P$1203,3,0),"※编码不在物料档案里"))</f>
        <v/>
      </c>
      <c r="I2118" s="24">
        <f>IF($G2118="","",IFERROR(VLOOKUP($G2118,物料档案!$A$4:$P$1203,4,0),"※编码不在物料档案里"))</f>
        <v/>
      </c>
      <c r="J2118" s="24">
        <f>IF($G2118="","",IFERROR(VLOOKUP($G2118,物料档案!$A$4:$P$1203,5,0),"※编码不在物料档案里"))</f>
        <v/>
      </c>
      <c r="K2118" s="23" t="n"/>
      <c r="L2118" s="31" t="n"/>
      <c r="M2118" s="24">
        <f>IF($G2118="","",IF($D2118="A国内","CNY","TZS"))</f>
        <v/>
      </c>
      <c r="N2118" s="28">
        <f>IF($G2118="","",IF($D2118="A国内",汇率,1))</f>
        <v/>
      </c>
      <c r="O2118" s="25">
        <f>IF($G2118="","",ROUND(N($K2118)*N($L2118),2))</f>
        <v/>
      </c>
      <c r="P2118" s="26">
        <f>IF($G2118="","",ROUND($O2118*$N2118,0))</f>
        <v/>
      </c>
      <c r="Q2118" s="26">
        <f>IF($G2118="","",SUMIFS($P$4:$P$2503,$E$4:$E$2503,$E2118,$Z$4:$Z$2503,"正常"))</f>
        <v/>
      </c>
      <c r="R2118" s="26">
        <f>IF($G2118="","",SUMIFS(费用台账!$I$4:$I$503,费用台账!$C$4:$C$503,$E2118,费用台账!$J$4:$J$503,"是",费用台账!$K$4:$K$503,"正常"))</f>
        <v/>
      </c>
      <c r="S2118" s="28">
        <f>IF($G2118="","",COUNTIFS($E$4:$E$2503,$E2118,$Z$4:$Z$2503,"正常",$Y$4:$Y$2503,"待补价"))</f>
        <v/>
      </c>
      <c r="T2118" s="26">
        <f>IF($G2118="","",SUMIFS($P$4:$P$2503,$E$4:$E$2503,$E2118,$Z$4:$Z$2503,"正常",$A$4:$A$2503,"&lt;="&amp;$A2118))</f>
        <v/>
      </c>
      <c r="U2118" s="26">
        <f>IF($G2118="","",IF(OR($S2118&gt;0,$Q2118=0,$R2118=0,$Z2118&lt;&gt;"正常"),0,ROUND($T2118/$Q2118*$R2118,0)-ROUND(($T2118-$P2118)/$Q2118*$R2118,0)))</f>
        <v/>
      </c>
      <c r="V2118" s="26">
        <f>IF($G2118="","",ROUND($P2118+$U2118,0))</f>
        <v/>
      </c>
      <c r="W2118" s="26">
        <f>IF($G2118="","",IF(N($K2118)=0,0,ROUND($V2118/$K2118,2)))</f>
        <v/>
      </c>
      <c r="X2118" s="17" t="n"/>
      <c r="Y2118" s="17" t="n"/>
      <c r="Z2118" s="17" t="n"/>
      <c r="AA2118" s="17" t="n"/>
      <c r="AB2118" s="17" t="n"/>
      <c r="AC2118" s="24">
        <f>IF($G2118="","",IF($H2118="※编码不在物料档案里","※物料编码不在档案里",IF(N($K2118)&lt;=0,"※入库数量要大于 0",IF(AND($C2118&lt;&gt;"",$C2118&lt;=结账锁),"※日期早于已结账截止日，不能再录",IF(AND($L2118=0,$X2118="正常"),"※没填单价，价格状态请选「待补价」",IF(AND($S2118&gt;0,$R2118&gt;0),"△本批有 "&amp;$S2118&amp;" 行没单价，整批运费先挂账没摊",IF(AND($B2118&lt;&gt;"",COUNTIF($B$4:$B$2503,$B2118)&gt;1),"※入库单号重复","")))))))</f>
        <v/>
      </c>
    </row>
    <row r="2119">
      <c r="A2119" s="24">
        <f>IF($G2119="","",COUNTA($G$4:$G2119))</f>
        <v/>
      </c>
      <c r="B2119" s="17" t="n"/>
      <c r="C2119" s="30" t="n"/>
      <c r="D2119" s="17" t="n"/>
      <c r="E2119" s="17" t="n"/>
      <c r="F2119" s="17" t="n"/>
      <c r="G2119" s="17" t="n"/>
      <c r="H2119" s="24">
        <f>IF($G2119="","",IFERROR(VLOOKUP($G2119,物料档案!$A$4:$P$1203,3,0),"※编码不在物料档案里"))</f>
        <v/>
      </c>
      <c r="I2119" s="24">
        <f>IF($G2119="","",IFERROR(VLOOKUP($G2119,物料档案!$A$4:$P$1203,4,0),"※编码不在物料档案里"))</f>
        <v/>
      </c>
      <c r="J2119" s="24">
        <f>IF($G2119="","",IFERROR(VLOOKUP($G2119,物料档案!$A$4:$P$1203,5,0),"※编码不在物料档案里"))</f>
        <v/>
      </c>
      <c r="K2119" s="23" t="n"/>
      <c r="L2119" s="31" t="n"/>
      <c r="M2119" s="24">
        <f>IF($G2119="","",IF($D2119="A国内","CNY","TZS"))</f>
        <v/>
      </c>
      <c r="N2119" s="28">
        <f>IF($G2119="","",IF($D2119="A国内",汇率,1))</f>
        <v/>
      </c>
      <c r="O2119" s="25">
        <f>IF($G2119="","",ROUND(N($K2119)*N($L2119),2))</f>
        <v/>
      </c>
      <c r="P2119" s="26">
        <f>IF($G2119="","",ROUND($O2119*$N2119,0))</f>
        <v/>
      </c>
      <c r="Q2119" s="26">
        <f>IF($G2119="","",SUMIFS($P$4:$P$2503,$E$4:$E$2503,$E2119,$Z$4:$Z$2503,"正常"))</f>
        <v/>
      </c>
      <c r="R2119" s="26">
        <f>IF($G2119="","",SUMIFS(费用台账!$I$4:$I$503,费用台账!$C$4:$C$503,$E2119,费用台账!$J$4:$J$503,"是",费用台账!$K$4:$K$503,"正常"))</f>
        <v/>
      </c>
      <c r="S2119" s="28">
        <f>IF($G2119="","",COUNTIFS($E$4:$E$2503,$E2119,$Z$4:$Z$2503,"正常",$Y$4:$Y$2503,"待补价"))</f>
        <v/>
      </c>
      <c r="T2119" s="26">
        <f>IF($G2119="","",SUMIFS($P$4:$P$2503,$E$4:$E$2503,$E2119,$Z$4:$Z$2503,"正常",$A$4:$A$2503,"&lt;="&amp;$A2119))</f>
        <v/>
      </c>
      <c r="U2119" s="26">
        <f>IF($G2119="","",IF(OR($S2119&gt;0,$Q2119=0,$R2119=0,$Z2119&lt;&gt;"正常"),0,ROUND($T2119/$Q2119*$R2119,0)-ROUND(($T2119-$P2119)/$Q2119*$R2119,0)))</f>
        <v/>
      </c>
      <c r="V2119" s="26">
        <f>IF($G2119="","",ROUND($P2119+$U2119,0))</f>
        <v/>
      </c>
      <c r="W2119" s="26">
        <f>IF($G2119="","",IF(N($K2119)=0,0,ROUND($V2119/$K2119,2)))</f>
        <v/>
      </c>
      <c r="X2119" s="17" t="n"/>
      <c r="Y2119" s="17" t="n"/>
      <c r="Z2119" s="17" t="n"/>
      <c r="AA2119" s="17" t="n"/>
      <c r="AB2119" s="17" t="n"/>
      <c r="AC2119" s="24">
        <f>IF($G2119="","",IF($H2119="※编码不在物料档案里","※物料编码不在档案里",IF(N($K2119)&lt;=0,"※入库数量要大于 0",IF(AND($C2119&lt;&gt;"",$C2119&lt;=结账锁),"※日期早于已结账截止日，不能再录",IF(AND($L2119=0,$X2119="正常"),"※没填单价，价格状态请选「待补价」",IF(AND($S2119&gt;0,$R2119&gt;0),"△本批有 "&amp;$S2119&amp;" 行没单价，整批运费先挂账没摊",IF(AND($B2119&lt;&gt;"",COUNTIF($B$4:$B$2503,$B2119)&gt;1),"※入库单号重复","")))))))</f>
        <v/>
      </c>
    </row>
    <row r="2120">
      <c r="A2120" s="24">
        <f>IF($G2120="","",COUNTA($G$4:$G2120))</f>
        <v/>
      </c>
      <c r="B2120" s="17" t="n"/>
      <c r="C2120" s="30" t="n"/>
      <c r="D2120" s="17" t="n"/>
      <c r="E2120" s="17" t="n"/>
      <c r="F2120" s="17" t="n"/>
      <c r="G2120" s="17" t="n"/>
      <c r="H2120" s="24">
        <f>IF($G2120="","",IFERROR(VLOOKUP($G2120,物料档案!$A$4:$P$1203,3,0),"※编码不在物料档案里"))</f>
        <v/>
      </c>
      <c r="I2120" s="24">
        <f>IF($G2120="","",IFERROR(VLOOKUP($G2120,物料档案!$A$4:$P$1203,4,0),"※编码不在物料档案里"))</f>
        <v/>
      </c>
      <c r="J2120" s="24">
        <f>IF($G2120="","",IFERROR(VLOOKUP($G2120,物料档案!$A$4:$P$1203,5,0),"※编码不在物料档案里"))</f>
        <v/>
      </c>
      <c r="K2120" s="23" t="n"/>
      <c r="L2120" s="31" t="n"/>
      <c r="M2120" s="24">
        <f>IF($G2120="","",IF($D2120="A国内","CNY","TZS"))</f>
        <v/>
      </c>
      <c r="N2120" s="28">
        <f>IF($G2120="","",IF($D2120="A国内",汇率,1))</f>
        <v/>
      </c>
      <c r="O2120" s="25">
        <f>IF($G2120="","",ROUND(N($K2120)*N($L2120),2))</f>
        <v/>
      </c>
      <c r="P2120" s="26">
        <f>IF($G2120="","",ROUND($O2120*$N2120,0))</f>
        <v/>
      </c>
      <c r="Q2120" s="26">
        <f>IF($G2120="","",SUMIFS($P$4:$P$2503,$E$4:$E$2503,$E2120,$Z$4:$Z$2503,"正常"))</f>
        <v/>
      </c>
      <c r="R2120" s="26">
        <f>IF($G2120="","",SUMIFS(费用台账!$I$4:$I$503,费用台账!$C$4:$C$503,$E2120,费用台账!$J$4:$J$503,"是",费用台账!$K$4:$K$503,"正常"))</f>
        <v/>
      </c>
      <c r="S2120" s="28">
        <f>IF($G2120="","",COUNTIFS($E$4:$E$2503,$E2120,$Z$4:$Z$2503,"正常",$Y$4:$Y$2503,"待补价"))</f>
        <v/>
      </c>
      <c r="T2120" s="26">
        <f>IF($G2120="","",SUMIFS($P$4:$P$2503,$E$4:$E$2503,$E2120,$Z$4:$Z$2503,"正常",$A$4:$A$2503,"&lt;="&amp;$A2120))</f>
        <v/>
      </c>
      <c r="U2120" s="26">
        <f>IF($G2120="","",IF(OR($S2120&gt;0,$Q2120=0,$R2120=0,$Z2120&lt;&gt;"正常"),0,ROUND($T2120/$Q2120*$R2120,0)-ROUND(($T2120-$P2120)/$Q2120*$R2120,0)))</f>
        <v/>
      </c>
      <c r="V2120" s="26">
        <f>IF($G2120="","",ROUND($P2120+$U2120,0))</f>
        <v/>
      </c>
      <c r="W2120" s="26">
        <f>IF($G2120="","",IF(N($K2120)=0,0,ROUND($V2120/$K2120,2)))</f>
        <v/>
      </c>
      <c r="X2120" s="17" t="n"/>
      <c r="Y2120" s="17" t="n"/>
      <c r="Z2120" s="17" t="n"/>
      <c r="AA2120" s="17" t="n"/>
      <c r="AB2120" s="17" t="n"/>
      <c r="AC2120" s="24">
        <f>IF($G2120="","",IF($H2120="※编码不在物料档案里","※物料编码不在档案里",IF(N($K2120)&lt;=0,"※入库数量要大于 0",IF(AND($C2120&lt;&gt;"",$C2120&lt;=结账锁),"※日期早于已结账截止日，不能再录",IF(AND($L2120=0,$X2120="正常"),"※没填单价，价格状态请选「待补价」",IF(AND($S2120&gt;0,$R2120&gt;0),"△本批有 "&amp;$S2120&amp;" 行没单价，整批运费先挂账没摊",IF(AND($B2120&lt;&gt;"",COUNTIF($B$4:$B$2503,$B2120)&gt;1),"※入库单号重复","")))))))</f>
        <v/>
      </c>
    </row>
    <row r="2121">
      <c r="A2121" s="24">
        <f>IF($G2121="","",COUNTA($G$4:$G2121))</f>
        <v/>
      </c>
      <c r="B2121" s="17" t="n"/>
      <c r="C2121" s="30" t="n"/>
      <c r="D2121" s="17" t="n"/>
      <c r="E2121" s="17" t="n"/>
      <c r="F2121" s="17" t="n"/>
      <c r="G2121" s="17" t="n"/>
      <c r="H2121" s="24">
        <f>IF($G2121="","",IFERROR(VLOOKUP($G2121,物料档案!$A$4:$P$1203,3,0),"※编码不在物料档案里"))</f>
        <v/>
      </c>
      <c r="I2121" s="24">
        <f>IF($G2121="","",IFERROR(VLOOKUP($G2121,物料档案!$A$4:$P$1203,4,0),"※编码不在物料档案里"))</f>
        <v/>
      </c>
      <c r="J2121" s="24">
        <f>IF($G2121="","",IFERROR(VLOOKUP($G2121,物料档案!$A$4:$P$1203,5,0),"※编码不在物料档案里"))</f>
        <v/>
      </c>
      <c r="K2121" s="23" t="n"/>
      <c r="L2121" s="31" t="n"/>
      <c r="M2121" s="24">
        <f>IF($G2121="","",IF($D2121="A国内","CNY","TZS"))</f>
        <v/>
      </c>
      <c r="N2121" s="28">
        <f>IF($G2121="","",IF($D2121="A国内",汇率,1))</f>
        <v/>
      </c>
      <c r="O2121" s="25">
        <f>IF($G2121="","",ROUND(N($K2121)*N($L2121),2))</f>
        <v/>
      </c>
      <c r="P2121" s="26">
        <f>IF($G2121="","",ROUND($O2121*$N2121,0))</f>
        <v/>
      </c>
      <c r="Q2121" s="26">
        <f>IF($G2121="","",SUMIFS($P$4:$P$2503,$E$4:$E$2503,$E2121,$Z$4:$Z$2503,"正常"))</f>
        <v/>
      </c>
      <c r="R2121" s="26">
        <f>IF($G2121="","",SUMIFS(费用台账!$I$4:$I$503,费用台账!$C$4:$C$503,$E2121,费用台账!$J$4:$J$503,"是",费用台账!$K$4:$K$503,"正常"))</f>
        <v/>
      </c>
      <c r="S2121" s="28">
        <f>IF($G2121="","",COUNTIFS($E$4:$E$2503,$E2121,$Z$4:$Z$2503,"正常",$Y$4:$Y$2503,"待补价"))</f>
        <v/>
      </c>
      <c r="T2121" s="26">
        <f>IF($G2121="","",SUMIFS($P$4:$P$2503,$E$4:$E$2503,$E2121,$Z$4:$Z$2503,"正常",$A$4:$A$2503,"&lt;="&amp;$A2121))</f>
        <v/>
      </c>
      <c r="U2121" s="26">
        <f>IF($G2121="","",IF(OR($S2121&gt;0,$Q2121=0,$R2121=0,$Z2121&lt;&gt;"正常"),0,ROUND($T2121/$Q2121*$R2121,0)-ROUND(($T2121-$P2121)/$Q2121*$R2121,0)))</f>
        <v/>
      </c>
      <c r="V2121" s="26">
        <f>IF($G2121="","",ROUND($P2121+$U2121,0))</f>
        <v/>
      </c>
      <c r="W2121" s="26">
        <f>IF($G2121="","",IF(N($K2121)=0,0,ROUND($V2121/$K2121,2)))</f>
        <v/>
      </c>
      <c r="X2121" s="17" t="n"/>
      <c r="Y2121" s="17" t="n"/>
      <c r="Z2121" s="17" t="n"/>
      <c r="AA2121" s="17" t="n"/>
      <c r="AB2121" s="17" t="n"/>
      <c r="AC2121" s="24">
        <f>IF($G2121="","",IF($H2121="※编码不在物料档案里","※物料编码不在档案里",IF(N($K2121)&lt;=0,"※入库数量要大于 0",IF(AND($C2121&lt;&gt;"",$C2121&lt;=结账锁),"※日期早于已结账截止日，不能再录",IF(AND($L2121=0,$X2121="正常"),"※没填单价，价格状态请选「待补价」",IF(AND($S2121&gt;0,$R2121&gt;0),"△本批有 "&amp;$S2121&amp;" 行没单价，整批运费先挂账没摊",IF(AND($B2121&lt;&gt;"",COUNTIF($B$4:$B$2503,$B2121)&gt;1),"※入库单号重复","")))))))</f>
        <v/>
      </c>
    </row>
    <row r="2122">
      <c r="A2122" s="24">
        <f>IF($G2122="","",COUNTA($G$4:$G2122))</f>
        <v/>
      </c>
      <c r="B2122" s="17" t="n"/>
      <c r="C2122" s="30" t="n"/>
      <c r="D2122" s="17" t="n"/>
      <c r="E2122" s="17" t="n"/>
      <c r="F2122" s="17" t="n"/>
      <c r="G2122" s="17" t="n"/>
      <c r="H2122" s="24">
        <f>IF($G2122="","",IFERROR(VLOOKUP($G2122,物料档案!$A$4:$P$1203,3,0),"※编码不在物料档案里"))</f>
        <v/>
      </c>
      <c r="I2122" s="24">
        <f>IF($G2122="","",IFERROR(VLOOKUP($G2122,物料档案!$A$4:$P$1203,4,0),"※编码不在物料档案里"))</f>
        <v/>
      </c>
      <c r="J2122" s="24">
        <f>IF($G2122="","",IFERROR(VLOOKUP($G2122,物料档案!$A$4:$P$1203,5,0),"※编码不在物料档案里"))</f>
        <v/>
      </c>
      <c r="K2122" s="23" t="n"/>
      <c r="L2122" s="31" t="n"/>
      <c r="M2122" s="24">
        <f>IF($G2122="","",IF($D2122="A国内","CNY","TZS"))</f>
        <v/>
      </c>
      <c r="N2122" s="28">
        <f>IF($G2122="","",IF($D2122="A国内",汇率,1))</f>
        <v/>
      </c>
      <c r="O2122" s="25">
        <f>IF($G2122="","",ROUND(N($K2122)*N($L2122),2))</f>
        <v/>
      </c>
      <c r="P2122" s="26">
        <f>IF($G2122="","",ROUND($O2122*$N2122,0))</f>
        <v/>
      </c>
      <c r="Q2122" s="26">
        <f>IF($G2122="","",SUMIFS($P$4:$P$2503,$E$4:$E$2503,$E2122,$Z$4:$Z$2503,"正常"))</f>
        <v/>
      </c>
      <c r="R2122" s="26">
        <f>IF($G2122="","",SUMIFS(费用台账!$I$4:$I$503,费用台账!$C$4:$C$503,$E2122,费用台账!$J$4:$J$503,"是",费用台账!$K$4:$K$503,"正常"))</f>
        <v/>
      </c>
      <c r="S2122" s="28">
        <f>IF($G2122="","",COUNTIFS($E$4:$E$2503,$E2122,$Z$4:$Z$2503,"正常",$Y$4:$Y$2503,"待补价"))</f>
        <v/>
      </c>
      <c r="T2122" s="26">
        <f>IF($G2122="","",SUMIFS($P$4:$P$2503,$E$4:$E$2503,$E2122,$Z$4:$Z$2503,"正常",$A$4:$A$2503,"&lt;="&amp;$A2122))</f>
        <v/>
      </c>
      <c r="U2122" s="26">
        <f>IF($G2122="","",IF(OR($S2122&gt;0,$Q2122=0,$R2122=0,$Z2122&lt;&gt;"正常"),0,ROUND($T2122/$Q2122*$R2122,0)-ROUND(($T2122-$P2122)/$Q2122*$R2122,0)))</f>
        <v/>
      </c>
      <c r="V2122" s="26">
        <f>IF($G2122="","",ROUND($P2122+$U2122,0))</f>
        <v/>
      </c>
      <c r="W2122" s="26">
        <f>IF($G2122="","",IF(N($K2122)=0,0,ROUND($V2122/$K2122,2)))</f>
        <v/>
      </c>
      <c r="X2122" s="17" t="n"/>
      <c r="Y2122" s="17" t="n"/>
      <c r="Z2122" s="17" t="n"/>
      <c r="AA2122" s="17" t="n"/>
      <c r="AB2122" s="17" t="n"/>
      <c r="AC2122" s="24">
        <f>IF($G2122="","",IF($H2122="※编码不在物料档案里","※物料编码不在档案里",IF(N($K2122)&lt;=0,"※入库数量要大于 0",IF(AND($C2122&lt;&gt;"",$C2122&lt;=结账锁),"※日期早于已结账截止日，不能再录",IF(AND($L2122=0,$X2122="正常"),"※没填单价，价格状态请选「待补价」",IF(AND($S2122&gt;0,$R2122&gt;0),"△本批有 "&amp;$S2122&amp;" 行没单价，整批运费先挂账没摊",IF(AND($B2122&lt;&gt;"",COUNTIF($B$4:$B$2503,$B2122)&gt;1),"※入库单号重复","")))))))</f>
        <v/>
      </c>
    </row>
    <row r="2123">
      <c r="A2123" s="24">
        <f>IF($G2123="","",COUNTA($G$4:$G2123))</f>
        <v/>
      </c>
      <c r="B2123" s="17" t="n"/>
      <c r="C2123" s="30" t="n"/>
      <c r="D2123" s="17" t="n"/>
      <c r="E2123" s="17" t="n"/>
      <c r="F2123" s="17" t="n"/>
      <c r="G2123" s="17" t="n"/>
      <c r="H2123" s="24">
        <f>IF($G2123="","",IFERROR(VLOOKUP($G2123,物料档案!$A$4:$P$1203,3,0),"※编码不在物料档案里"))</f>
        <v/>
      </c>
      <c r="I2123" s="24">
        <f>IF($G2123="","",IFERROR(VLOOKUP($G2123,物料档案!$A$4:$P$1203,4,0),"※编码不在物料档案里"))</f>
        <v/>
      </c>
      <c r="J2123" s="24">
        <f>IF($G2123="","",IFERROR(VLOOKUP($G2123,物料档案!$A$4:$P$1203,5,0),"※编码不在物料档案里"))</f>
        <v/>
      </c>
      <c r="K2123" s="23" t="n"/>
      <c r="L2123" s="31" t="n"/>
      <c r="M2123" s="24">
        <f>IF($G2123="","",IF($D2123="A国内","CNY","TZS"))</f>
        <v/>
      </c>
      <c r="N2123" s="28">
        <f>IF($G2123="","",IF($D2123="A国内",汇率,1))</f>
        <v/>
      </c>
      <c r="O2123" s="25">
        <f>IF($G2123="","",ROUND(N($K2123)*N($L2123),2))</f>
        <v/>
      </c>
      <c r="P2123" s="26">
        <f>IF($G2123="","",ROUND($O2123*$N2123,0))</f>
        <v/>
      </c>
      <c r="Q2123" s="26">
        <f>IF($G2123="","",SUMIFS($P$4:$P$2503,$E$4:$E$2503,$E2123,$Z$4:$Z$2503,"正常"))</f>
        <v/>
      </c>
      <c r="R2123" s="26">
        <f>IF($G2123="","",SUMIFS(费用台账!$I$4:$I$503,费用台账!$C$4:$C$503,$E2123,费用台账!$J$4:$J$503,"是",费用台账!$K$4:$K$503,"正常"))</f>
        <v/>
      </c>
      <c r="S2123" s="28">
        <f>IF($G2123="","",COUNTIFS($E$4:$E$2503,$E2123,$Z$4:$Z$2503,"正常",$Y$4:$Y$2503,"待补价"))</f>
        <v/>
      </c>
      <c r="T2123" s="26">
        <f>IF($G2123="","",SUMIFS($P$4:$P$2503,$E$4:$E$2503,$E2123,$Z$4:$Z$2503,"正常",$A$4:$A$2503,"&lt;="&amp;$A2123))</f>
        <v/>
      </c>
      <c r="U2123" s="26">
        <f>IF($G2123="","",IF(OR($S2123&gt;0,$Q2123=0,$R2123=0,$Z2123&lt;&gt;"正常"),0,ROUND($T2123/$Q2123*$R2123,0)-ROUND(($T2123-$P2123)/$Q2123*$R2123,0)))</f>
        <v/>
      </c>
      <c r="V2123" s="26">
        <f>IF($G2123="","",ROUND($P2123+$U2123,0))</f>
        <v/>
      </c>
      <c r="W2123" s="26">
        <f>IF($G2123="","",IF(N($K2123)=0,0,ROUND($V2123/$K2123,2)))</f>
        <v/>
      </c>
      <c r="X2123" s="17" t="n"/>
      <c r="Y2123" s="17" t="n"/>
      <c r="Z2123" s="17" t="n"/>
      <c r="AA2123" s="17" t="n"/>
      <c r="AB2123" s="17" t="n"/>
      <c r="AC2123" s="24">
        <f>IF($G2123="","",IF($H2123="※编码不在物料档案里","※物料编码不在档案里",IF(N($K2123)&lt;=0,"※入库数量要大于 0",IF(AND($C2123&lt;&gt;"",$C2123&lt;=结账锁),"※日期早于已结账截止日，不能再录",IF(AND($L2123=0,$X2123="正常"),"※没填单价，价格状态请选「待补价」",IF(AND($S2123&gt;0,$R2123&gt;0),"△本批有 "&amp;$S2123&amp;" 行没单价，整批运费先挂账没摊",IF(AND($B2123&lt;&gt;"",COUNTIF($B$4:$B$2503,$B2123)&gt;1),"※入库单号重复","")))))))</f>
        <v/>
      </c>
    </row>
    <row r="2124">
      <c r="A2124" s="24">
        <f>IF($G2124="","",COUNTA($G$4:$G2124))</f>
        <v/>
      </c>
      <c r="B2124" s="17" t="n"/>
      <c r="C2124" s="30" t="n"/>
      <c r="D2124" s="17" t="n"/>
      <c r="E2124" s="17" t="n"/>
      <c r="F2124" s="17" t="n"/>
      <c r="G2124" s="17" t="n"/>
      <c r="H2124" s="24">
        <f>IF($G2124="","",IFERROR(VLOOKUP($G2124,物料档案!$A$4:$P$1203,3,0),"※编码不在物料档案里"))</f>
        <v/>
      </c>
      <c r="I2124" s="24">
        <f>IF($G2124="","",IFERROR(VLOOKUP($G2124,物料档案!$A$4:$P$1203,4,0),"※编码不在物料档案里"))</f>
        <v/>
      </c>
      <c r="J2124" s="24">
        <f>IF($G2124="","",IFERROR(VLOOKUP($G2124,物料档案!$A$4:$P$1203,5,0),"※编码不在物料档案里"))</f>
        <v/>
      </c>
      <c r="K2124" s="23" t="n"/>
      <c r="L2124" s="31" t="n"/>
      <c r="M2124" s="24">
        <f>IF($G2124="","",IF($D2124="A国内","CNY","TZS"))</f>
        <v/>
      </c>
      <c r="N2124" s="28">
        <f>IF($G2124="","",IF($D2124="A国内",汇率,1))</f>
        <v/>
      </c>
      <c r="O2124" s="25">
        <f>IF($G2124="","",ROUND(N($K2124)*N($L2124),2))</f>
        <v/>
      </c>
      <c r="P2124" s="26">
        <f>IF($G2124="","",ROUND($O2124*$N2124,0))</f>
        <v/>
      </c>
      <c r="Q2124" s="26">
        <f>IF($G2124="","",SUMIFS($P$4:$P$2503,$E$4:$E$2503,$E2124,$Z$4:$Z$2503,"正常"))</f>
        <v/>
      </c>
      <c r="R2124" s="26">
        <f>IF($G2124="","",SUMIFS(费用台账!$I$4:$I$503,费用台账!$C$4:$C$503,$E2124,费用台账!$J$4:$J$503,"是",费用台账!$K$4:$K$503,"正常"))</f>
        <v/>
      </c>
      <c r="S2124" s="28">
        <f>IF($G2124="","",COUNTIFS($E$4:$E$2503,$E2124,$Z$4:$Z$2503,"正常",$Y$4:$Y$2503,"待补价"))</f>
        <v/>
      </c>
      <c r="T2124" s="26">
        <f>IF($G2124="","",SUMIFS($P$4:$P$2503,$E$4:$E$2503,$E2124,$Z$4:$Z$2503,"正常",$A$4:$A$2503,"&lt;="&amp;$A2124))</f>
        <v/>
      </c>
      <c r="U2124" s="26">
        <f>IF($G2124="","",IF(OR($S2124&gt;0,$Q2124=0,$R2124=0,$Z2124&lt;&gt;"正常"),0,ROUND($T2124/$Q2124*$R2124,0)-ROUND(($T2124-$P2124)/$Q2124*$R2124,0)))</f>
        <v/>
      </c>
      <c r="V2124" s="26">
        <f>IF($G2124="","",ROUND($P2124+$U2124,0))</f>
        <v/>
      </c>
      <c r="W2124" s="26">
        <f>IF($G2124="","",IF(N($K2124)=0,0,ROUND($V2124/$K2124,2)))</f>
        <v/>
      </c>
      <c r="X2124" s="17" t="n"/>
      <c r="Y2124" s="17" t="n"/>
      <c r="Z2124" s="17" t="n"/>
      <c r="AA2124" s="17" t="n"/>
      <c r="AB2124" s="17" t="n"/>
      <c r="AC2124" s="24">
        <f>IF($G2124="","",IF($H2124="※编码不在物料档案里","※物料编码不在档案里",IF(N($K2124)&lt;=0,"※入库数量要大于 0",IF(AND($C2124&lt;&gt;"",$C2124&lt;=结账锁),"※日期早于已结账截止日，不能再录",IF(AND($L2124=0,$X2124="正常"),"※没填单价，价格状态请选「待补价」",IF(AND($S2124&gt;0,$R2124&gt;0),"△本批有 "&amp;$S2124&amp;" 行没单价，整批运费先挂账没摊",IF(AND($B2124&lt;&gt;"",COUNTIF($B$4:$B$2503,$B2124)&gt;1),"※入库单号重复","")))))))</f>
        <v/>
      </c>
    </row>
    <row r="2125">
      <c r="A2125" s="24">
        <f>IF($G2125="","",COUNTA($G$4:$G2125))</f>
        <v/>
      </c>
      <c r="B2125" s="17" t="n"/>
      <c r="C2125" s="30" t="n"/>
      <c r="D2125" s="17" t="n"/>
      <c r="E2125" s="17" t="n"/>
      <c r="F2125" s="17" t="n"/>
      <c r="G2125" s="17" t="n"/>
      <c r="H2125" s="24">
        <f>IF($G2125="","",IFERROR(VLOOKUP($G2125,物料档案!$A$4:$P$1203,3,0),"※编码不在物料档案里"))</f>
        <v/>
      </c>
      <c r="I2125" s="24">
        <f>IF($G2125="","",IFERROR(VLOOKUP($G2125,物料档案!$A$4:$P$1203,4,0),"※编码不在物料档案里"))</f>
        <v/>
      </c>
      <c r="J2125" s="24">
        <f>IF($G2125="","",IFERROR(VLOOKUP($G2125,物料档案!$A$4:$P$1203,5,0),"※编码不在物料档案里"))</f>
        <v/>
      </c>
      <c r="K2125" s="23" t="n"/>
      <c r="L2125" s="31" t="n"/>
      <c r="M2125" s="24">
        <f>IF($G2125="","",IF($D2125="A国内","CNY","TZS"))</f>
        <v/>
      </c>
      <c r="N2125" s="28">
        <f>IF($G2125="","",IF($D2125="A国内",汇率,1))</f>
        <v/>
      </c>
      <c r="O2125" s="25">
        <f>IF($G2125="","",ROUND(N($K2125)*N($L2125),2))</f>
        <v/>
      </c>
      <c r="P2125" s="26">
        <f>IF($G2125="","",ROUND($O2125*$N2125,0))</f>
        <v/>
      </c>
      <c r="Q2125" s="26">
        <f>IF($G2125="","",SUMIFS($P$4:$P$2503,$E$4:$E$2503,$E2125,$Z$4:$Z$2503,"正常"))</f>
        <v/>
      </c>
      <c r="R2125" s="26">
        <f>IF($G2125="","",SUMIFS(费用台账!$I$4:$I$503,费用台账!$C$4:$C$503,$E2125,费用台账!$J$4:$J$503,"是",费用台账!$K$4:$K$503,"正常"))</f>
        <v/>
      </c>
      <c r="S2125" s="28">
        <f>IF($G2125="","",COUNTIFS($E$4:$E$2503,$E2125,$Z$4:$Z$2503,"正常",$Y$4:$Y$2503,"待补价"))</f>
        <v/>
      </c>
      <c r="T2125" s="26">
        <f>IF($G2125="","",SUMIFS($P$4:$P$2503,$E$4:$E$2503,$E2125,$Z$4:$Z$2503,"正常",$A$4:$A$2503,"&lt;="&amp;$A2125))</f>
        <v/>
      </c>
      <c r="U2125" s="26">
        <f>IF($G2125="","",IF(OR($S2125&gt;0,$Q2125=0,$R2125=0,$Z2125&lt;&gt;"正常"),0,ROUND($T2125/$Q2125*$R2125,0)-ROUND(($T2125-$P2125)/$Q2125*$R2125,0)))</f>
        <v/>
      </c>
      <c r="V2125" s="26">
        <f>IF($G2125="","",ROUND($P2125+$U2125,0))</f>
        <v/>
      </c>
      <c r="W2125" s="26">
        <f>IF($G2125="","",IF(N($K2125)=0,0,ROUND($V2125/$K2125,2)))</f>
        <v/>
      </c>
      <c r="X2125" s="17" t="n"/>
      <c r="Y2125" s="17" t="n"/>
      <c r="Z2125" s="17" t="n"/>
      <c r="AA2125" s="17" t="n"/>
      <c r="AB2125" s="17" t="n"/>
      <c r="AC2125" s="24">
        <f>IF($G2125="","",IF($H2125="※编码不在物料档案里","※物料编码不在档案里",IF(N($K2125)&lt;=0,"※入库数量要大于 0",IF(AND($C2125&lt;&gt;"",$C2125&lt;=结账锁),"※日期早于已结账截止日，不能再录",IF(AND($L2125=0,$X2125="正常"),"※没填单价，价格状态请选「待补价」",IF(AND($S2125&gt;0,$R2125&gt;0),"△本批有 "&amp;$S2125&amp;" 行没单价，整批运费先挂账没摊",IF(AND($B2125&lt;&gt;"",COUNTIF($B$4:$B$2503,$B2125)&gt;1),"※入库单号重复","")))))))</f>
        <v/>
      </c>
    </row>
    <row r="2126">
      <c r="A2126" s="24">
        <f>IF($G2126="","",COUNTA($G$4:$G2126))</f>
        <v/>
      </c>
      <c r="B2126" s="17" t="n"/>
      <c r="C2126" s="30" t="n"/>
      <c r="D2126" s="17" t="n"/>
      <c r="E2126" s="17" t="n"/>
      <c r="F2126" s="17" t="n"/>
      <c r="G2126" s="17" t="n"/>
      <c r="H2126" s="24">
        <f>IF($G2126="","",IFERROR(VLOOKUP($G2126,物料档案!$A$4:$P$1203,3,0),"※编码不在物料档案里"))</f>
        <v/>
      </c>
      <c r="I2126" s="24">
        <f>IF($G2126="","",IFERROR(VLOOKUP($G2126,物料档案!$A$4:$P$1203,4,0),"※编码不在物料档案里"))</f>
        <v/>
      </c>
      <c r="J2126" s="24">
        <f>IF($G2126="","",IFERROR(VLOOKUP($G2126,物料档案!$A$4:$P$1203,5,0),"※编码不在物料档案里"))</f>
        <v/>
      </c>
      <c r="K2126" s="23" t="n"/>
      <c r="L2126" s="31" t="n"/>
      <c r="M2126" s="24">
        <f>IF($G2126="","",IF($D2126="A国内","CNY","TZS"))</f>
        <v/>
      </c>
      <c r="N2126" s="28">
        <f>IF($G2126="","",IF($D2126="A国内",汇率,1))</f>
        <v/>
      </c>
      <c r="O2126" s="25">
        <f>IF($G2126="","",ROUND(N($K2126)*N($L2126),2))</f>
        <v/>
      </c>
      <c r="P2126" s="26">
        <f>IF($G2126="","",ROUND($O2126*$N2126,0))</f>
        <v/>
      </c>
      <c r="Q2126" s="26">
        <f>IF($G2126="","",SUMIFS($P$4:$P$2503,$E$4:$E$2503,$E2126,$Z$4:$Z$2503,"正常"))</f>
        <v/>
      </c>
      <c r="R2126" s="26">
        <f>IF($G2126="","",SUMIFS(费用台账!$I$4:$I$503,费用台账!$C$4:$C$503,$E2126,费用台账!$J$4:$J$503,"是",费用台账!$K$4:$K$503,"正常"))</f>
        <v/>
      </c>
      <c r="S2126" s="28">
        <f>IF($G2126="","",COUNTIFS($E$4:$E$2503,$E2126,$Z$4:$Z$2503,"正常",$Y$4:$Y$2503,"待补价"))</f>
        <v/>
      </c>
      <c r="T2126" s="26">
        <f>IF($G2126="","",SUMIFS($P$4:$P$2503,$E$4:$E$2503,$E2126,$Z$4:$Z$2503,"正常",$A$4:$A$2503,"&lt;="&amp;$A2126))</f>
        <v/>
      </c>
      <c r="U2126" s="26">
        <f>IF($G2126="","",IF(OR($S2126&gt;0,$Q2126=0,$R2126=0,$Z2126&lt;&gt;"正常"),0,ROUND($T2126/$Q2126*$R2126,0)-ROUND(($T2126-$P2126)/$Q2126*$R2126,0)))</f>
        <v/>
      </c>
      <c r="V2126" s="26">
        <f>IF($G2126="","",ROUND($P2126+$U2126,0))</f>
        <v/>
      </c>
      <c r="W2126" s="26">
        <f>IF($G2126="","",IF(N($K2126)=0,0,ROUND($V2126/$K2126,2)))</f>
        <v/>
      </c>
      <c r="X2126" s="17" t="n"/>
      <c r="Y2126" s="17" t="n"/>
      <c r="Z2126" s="17" t="n"/>
      <c r="AA2126" s="17" t="n"/>
      <c r="AB2126" s="17" t="n"/>
      <c r="AC2126" s="24">
        <f>IF($G2126="","",IF($H2126="※编码不在物料档案里","※物料编码不在档案里",IF(N($K2126)&lt;=0,"※入库数量要大于 0",IF(AND($C2126&lt;&gt;"",$C2126&lt;=结账锁),"※日期早于已结账截止日，不能再录",IF(AND($L2126=0,$X2126="正常"),"※没填单价，价格状态请选「待补价」",IF(AND($S2126&gt;0,$R2126&gt;0),"△本批有 "&amp;$S2126&amp;" 行没单价，整批运费先挂账没摊",IF(AND($B2126&lt;&gt;"",COUNTIF($B$4:$B$2503,$B2126)&gt;1),"※入库单号重复","")))))))</f>
        <v/>
      </c>
    </row>
    <row r="2127">
      <c r="A2127" s="24">
        <f>IF($G2127="","",COUNTA($G$4:$G2127))</f>
        <v/>
      </c>
      <c r="B2127" s="17" t="n"/>
      <c r="C2127" s="30" t="n"/>
      <c r="D2127" s="17" t="n"/>
      <c r="E2127" s="17" t="n"/>
      <c r="F2127" s="17" t="n"/>
      <c r="G2127" s="17" t="n"/>
      <c r="H2127" s="24">
        <f>IF($G2127="","",IFERROR(VLOOKUP($G2127,物料档案!$A$4:$P$1203,3,0),"※编码不在物料档案里"))</f>
        <v/>
      </c>
      <c r="I2127" s="24">
        <f>IF($G2127="","",IFERROR(VLOOKUP($G2127,物料档案!$A$4:$P$1203,4,0),"※编码不在物料档案里"))</f>
        <v/>
      </c>
      <c r="J2127" s="24">
        <f>IF($G2127="","",IFERROR(VLOOKUP($G2127,物料档案!$A$4:$P$1203,5,0),"※编码不在物料档案里"))</f>
        <v/>
      </c>
      <c r="K2127" s="23" t="n"/>
      <c r="L2127" s="31" t="n"/>
      <c r="M2127" s="24">
        <f>IF($G2127="","",IF($D2127="A国内","CNY","TZS"))</f>
        <v/>
      </c>
      <c r="N2127" s="28">
        <f>IF($G2127="","",IF($D2127="A国内",汇率,1))</f>
        <v/>
      </c>
      <c r="O2127" s="25">
        <f>IF($G2127="","",ROUND(N($K2127)*N($L2127),2))</f>
        <v/>
      </c>
      <c r="P2127" s="26">
        <f>IF($G2127="","",ROUND($O2127*$N2127,0))</f>
        <v/>
      </c>
      <c r="Q2127" s="26">
        <f>IF($G2127="","",SUMIFS($P$4:$P$2503,$E$4:$E$2503,$E2127,$Z$4:$Z$2503,"正常"))</f>
        <v/>
      </c>
      <c r="R2127" s="26">
        <f>IF($G2127="","",SUMIFS(费用台账!$I$4:$I$503,费用台账!$C$4:$C$503,$E2127,费用台账!$J$4:$J$503,"是",费用台账!$K$4:$K$503,"正常"))</f>
        <v/>
      </c>
      <c r="S2127" s="28">
        <f>IF($G2127="","",COUNTIFS($E$4:$E$2503,$E2127,$Z$4:$Z$2503,"正常",$Y$4:$Y$2503,"待补价"))</f>
        <v/>
      </c>
      <c r="T2127" s="26">
        <f>IF($G2127="","",SUMIFS($P$4:$P$2503,$E$4:$E$2503,$E2127,$Z$4:$Z$2503,"正常",$A$4:$A$2503,"&lt;="&amp;$A2127))</f>
        <v/>
      </c>
      <c r="U2127" s="26">
        <f>IF($G2127="","",IF(OR($S2127&gt;0,$Q2127=0,$R2127=0,$Z2127&lt;&gt;"正常"),0,ROUND($T2127/$Q2127*$R2127,0)-ROUND(($T2127-$P2127)/$Q2127*$R2127,0)))</f>
        <v/>
      </c>
      <c r="V2127" s="26">
        <f>IF($G2127="","",ROUND($P2127+$U2127,0))</f>
        <v/>
      </c>
      <c r="W2127" s="26">
        <f>IF($G2127="","",IF(N($K2127)=0,0,ROUND($V2127/$K2127,2)))</f>
        <v/>
      </c>
      <c r="X2127" s="17" t="n"/>
      <c r="Y2127" s="17" t="n"/>
      <c r="Z2127" s="17" t="n"/>
      <c r="AA2127" s="17" t="n"/>
      <c r="AB2127" s="17" t="n"/>
      <c r="AC2127" s="24">
        <f>IF($G2127="","",IF($H2127="※编码不在物料档案里","※物料编码不在档案里",IF(N($K2127)&lt;=0,"※入库数量要大于 0",IF(AND($C2127&lt;&gt;"",$C2127&lt;=结账锁),"※日期早于已结账截止日，不能再录",IF(AND($L2127=0,$X2127="正常"),"※没填单价，价格状态请选「待补价」",IF(AND($S2127&gt;0,$R2127&gt;0),"△本批有 "&amp;$S2127&amp;" 行没单价，整批运费先挂账没摊",IF(AND($B2127&lt;&gt;"",COUNTIF($B$4:$B$2503,$B2127)&gt;1),"※入库单号重复","")))))))</f>
        <v/>
      </c>
    </row>
    <row r="2128">
      <c r="A2128" s="24">
        <f>IF($G2128="","",COUNTA($G$4:$G2128))</f>
        <v/>
      </c>
      <c r="B2128" s="17" t="n"/>
      <c r="C2128" s="30" t="n"/>
      <c r="D2128" s="17" t="n"/>
      <c r="E2128" s="17" t="n"/>
      <c r="F2128" s="17" t="n"/>
      <c r="G2128" s="17" t="n"/>
      <c r="H2128" s="24">
        <f>IF($G2128="","",IFERROR(VLOOKUP($G2128,物料档案!$A$4:$P$1203,3,0),"※编码不在物料档案里"))</f>
        <v/>
      </c>
      <c r="I2128" s="24">
        <f>IF($G2128="","",IFERROR(VLOOKUP($G2128,物料档案!$A$4:$P$1203,4,0),"※编码不在物料档案里"))</f>
        <v/>
      </c>
      <c r="J2128" s="24">
        <f>IF($G2128="","",IFERROR(VLOOKUP($G2128,物料档案!$A$4:$P$1203,5,0),"※编码不在物料档案里"))</f>
        <v/>
      </c>
      <c r="K2128" s="23" t="n"/>
      <c r="L2128" s="31" t="n"/>
      <c r="M2128" s="24">
        <f>IF($G2128="","",IF($D2128="A国内","CNY","TZS"))</f>
        <v/>
      </c>
      <c r="N2128" s="28">
        <f>IF($G2128="","",IF($D2128="A国内",汇率,1))</f>
        <v/>
      </c>
      <c r="O2128" s="25">
        <f>IF($G2128="","",ROUND(N($K2128)*N($L2128),2))</f>
        <v/>
      </c>
      <c r="P2128" s="26">
        <f>IF($G2128="","",ROUND($O2128*$N2128,0))</f>
        <v/>
      </c>
      <c r="Q2128" s="26">
        <f>IF($G2128="","",SUMIFS($P$4:$P$2503,$E$4:$E$2503,$E2128,$Z$4:$Z$2503,"正常"))</f>
        <v/>
      </c>
      <c r="R2128" s="26">
        <f>IF($G2128="","",SUMIFS(费用台账!$I$4:$I$503,费用台账!$C$4:$C$503,$E2128,费用台账!$J$4:$J$503,"是",费用台账!$K$4:$K$503,"正常"))</f>
        <v/>
      </c>
      <c r="S2128" s="28">
        <f>IF($G2128="","",COUNTIFS($E$4:$E$2503,$E2128,$Z$4:$Z$2503,"正常",$Y$4:$Y$2503,"待补价"))</f>
        <v/>
      </c>
      <c r="T2128" s="26">
        <f>IF($G2128="","",SUMIFS($P$4:$P$2503,$E$4:$E$2503,$E2128,$Z$4:$Z$2503,"正常",$A$4:$A$2503,"&lt;="&amp;$A2128))</f>
        <v/>
      </c>
      <c r="U2128" s="26">
        <f>IF($G2128="","",IF(OR($S2128&gt;0,$Q2128=0,$R2128=0,$Z2128&lt;&gt;"正常"),0,ROUND($T2128/$Q2128*$R2128,0)-ROUND(($T2128-$P2128)/$Q2128*$R2128,0)))</f>
        <v/>
      </c>
      <c r="V2128" s="26">
        <f>IF($G2128="","",ROUND($P2128+$U2128,0))</f>
        <v/>
      </c>
      <c r="W2128" s="26">
        <f>IF($G2128="","",IF(N($K2128)=0,0,ROUND($V2128/$K2128,2)))</f>
        <v/>
      </c>
      <c r="X2128" s="17" t="n"/>
      <c r="Y2128" s="17" t="n"/>
      <c r="Z2128" s="17" t="n"/>
      <c r="AA2128" s="17" t="n"/>
      <c r="AB2128" s="17" t="n"/>
      <c r="AC2128" s="24">
        <f>IF($G2128="","",IF($H2128="※编码不在物料档案里","※物料编码不在档案里",IF(N($K2128)&lt;=0,"※入库数量要大于 0",IF(AND($C2128&lt;&gt;"",$C2128&lt;=结账锁),"※日期早于已结账截止日，不能再录",IF(AND($L2128=0,$X2128="正常"),"※没填单价，价格状态请选「待补价」",IF(AND($S2128&gt;0,$R2128&gt;0),"△本批有 "&amp;$S2128&amp;" 行没单价，整批运费先挂账没摊",IF(AND($B2128&lt;&gt;"",COUNTIF($B$4:$B$2503,$B2128)&gt;1),"※入库单号重复","")))))))</f>
        <v/>
      </c>
    </row>
    <row r="2129">
      <c r="A2129" s="24">
        <f>IF($G2129="","",COUNTA($G$4:$G2129))</f>
        <v/>
      </c>
      <c r="B2129" s="17" t="n"/>
      <c r="C2129" s="30" t="n"/>
      <c r="D2129" s="17" t="n"/>
      <c r="E2129" s="17" t="n"/>
      <c r="F2129" s="17" t="n"/>
      <c r="G2129" s="17" t="n"/>
      <c r="H2129" s="24">
        <f>IF($G2129="","",IFERROR(VLOOKUP($G2129,物料档案!$A$4:$P$1203,3,0),"※编码不在物料档案里"))</f>
        <v/>
      </c>
      <c r="I2129" s="24">
        <f>IF($G2129="","",IFERROR(VLOOKUP($G2129,物料档案!$A$4:$P$1203,4,0),"※编码不在物料档案里"))</f>
        <v/>
      </c>
      <c r="J2129" s="24">
        <f>IF($G2129="","",IFERROR(VLOOKUP($G2129,物料档案!$A$4:$P$1203,5,0),"※编码不在物料档案里"))</f>
        <v/>
      </c>
      <c r="K2129" s="23" t="n"/>
      <c r="L2129" s="31" t="n"/>
      <c r="M2129" s="24">
        <f>IF($G2129="","",IF($D2129="A国内","CNY","TZS"))</f>
        <v/>
      </c>
      <c r="N2129" s="28">
        <f>IF($G2129="","",IF($D2129="A国内",汇率,1))</f>
        <v/>
      </c>
      <c r="O2129" s="25">
        <f>IF($G2129="","",ROUND(N($K2129)*N($L2129),2))</f>
        <v/>
      </c>
      <c r="P2129" s="26">
        <f>IF($G2129="","",ROUND($O2129*$N2129,0))</f>
        <v/>
      </c>
      <c r="Q2129" s="26">
        <f>IF($G2129="","",SUMIFS($P$4:$P$2503,$E$4:$E$2503,$E2129,$Z$4:$Z$2503,"正常"))</f>
        <v/>
      </c>
      <c r="R2129" s="26">
        <f>IF($G2129="","",SUMIFS(费用台账!$I$4:$I$503,费用台账!$C$4:$C$503,$E2129,费用台账!$J$4:$J$503,"是",费用台账!$K$4:$K$503,"正常"))</f>
        <v/>
      </c>
      <c r="S2129" s="28">
        <f>IF($G2129="","",COUNTIFS($E$4:$E$2503,$E2129,$Z$4:$Z$2503,"正常",$Y$4:$Y$2503,"待补价"))</f>
        <v/>
      </c>
      <c r="T2129" s="26">
        <f>IF($G2129="","",SUMIFS($P$4:$P$2503,$E$4:$E$2503,$E2129,$Z$4:$Z$2503,"正常",$A$4:$A$2503,"&lt;="&amp;$A2129))</f>
        <v/>
      </c>
      <c r="U2129" s="26">
        <f>IF($G2129="","",IF(OR($S2129&gt;0,$Q2129=0,$R2129=0,$Z2129&lt;&gt;"正常"),0,ROUND($T2129/$Q2129*$R2129,0)-ROUND(($T2129-$P2129)/$Q2129*$R2129,0)))</f>
        <v/>
      </c>
      <c r="V2129" s="26">
        <f>IF($G2129="","",ROUND($P2129+$U2129,0))</f>
        <v/>
      </c>
      <c r="W2129" s="26">
        <f>IF($G2129="","",IF(N($K2129)=0,0,ROUND($V2129/$K2129,2)))</f>
        <v/>
      </c>
      <c r="X2129" s="17" t="n"/>
      <c r="Y2129" s="17" t="n"/>
      <c r="Z2129" s="17" t="n"/>
      <c r="AA2129" s="17" t="n"/>
      <c r="AB2129" s="17" t="n"/>
      <c r="AC2129" s="24">
        <f>IF($G2129="","",IF($H2129="※编码不在物料档案里","※物料编码不在档案里",IF(N($K2129)&lt;=0,"※入库数量要大于 0",IF(AND($C2129&lt;&gt;"",$C2129&lt;=结账锁),"※日期早于已结账截止日，不能再录",IF(AND($L2129=0,$X2129="正常"),"※没填单价，价格状态请选「待补价」",IF(AND($S2129&gt;0,$R2129&gt;0),"△本批有 "&amp;$S2129&amp;" 行没单价，整批运费先挂账没摊",IF(AND($B2129&lt;&gt;"",COUNTIF($B$4:$B$2503,$B2129)&gt;1),"※入库单号重复","")))))))</f>
        <v/>
      </c>
    </row>
    <row r="2130">
      <c r="A2130" s="24">
        <f>IF($G2130="","",COUNTA($G$4:$G2130))</f>
        <v/>
      </c>
      <c r="B2130" s="17" t="n"/>
      <c r="C2130" s="30" t="n"/>
      <c r="D2130" s="17" t="n"/>
      <c r="E2130" s="17" t="n"/>
      <c r="F2130" s="17" t="n"/>
      <c r="G2130" s="17" t="n"/>
      <c r="H2130" s="24">
        <f>IF($G2130="","",IFERROR(VLOOKUP($G2130,物料档案!$A$4:$P$1203,3,0),"※编码不在物料档案里"))</f>
        <v/>
      </c>
      <c r="I2130" s="24">
        <f>IF($G2130="","",IFERROR(VLOOKUP($G2130,物料档案!$A$4:$P$1203,4,0),"※编码不在物料档案里"))</f>
        <v/>
      </c>
      <c r="J2130" s="24">
        <f>IF($G2130="","",IFERROR(VLOOKUP($G2130,物料档案!$A$4:$P$1203,5,0),"※编码不在物料档案里"))</f>
        <v/>
      </c>
      <c r="K2130" s="23" t="n"/>
      <c r="L2130" s="31" t="n"/>
      <c r="M2130" s="24">
        <f>IF($G2130="","",IF($D2130="A国内","CNY","TZS"))</f>
        <v/>
      </c>
      <c r="N2130" s="28">
        <f>IF($G2130="","",IF($D2130="A国内",汇率,1))</f>
        <v/>
      </c>
      <c r="O2130" s="25">
        <f>IF($G2130="","",ROUND(N($K2130)*N($L2130),2))</f>
        <v/>
      </c>
      <c r="P2130" s="26">
        <f>IF($G2130="","",ROUND($O2130*$N2130,0))</f>
        <v/>
      </c>
      <c r="Q2130" s="26">
        <f>IF($G2130="","",SUMIFS($P$4:$P$2503,$E$4:$E$2503,$E2130,$Z$4:$Z$2503,"正常"))</f>
        <v/>
      </c>
      <c r="R2130" s="26">
        <f>IF($G2130="","",SUMIFS(费用台账!$I$4:$I$503,费用台账!$C$4:$C$503,$E2130,费用台账!$J$4:$J$503,"是",费用台账!$K$4:$K$503,"正常"))</f>
        <v/>
      </c>
      <c r="S2130" s="28">
        <f>IF($G2130="","",COUNTIFS($E$4:$E$2503,$E2130,$Z$4:$Z$2503,"正常",$Y$4:$Y$2503,"待补价"))</f>
        <v/>
      </c>
      <c r="T2130" s="26">
        <f>IF($G2130="","",SUMIFS($P$4:$P$2503,$E$4:$E$2503,$E2130,$Z$4:$Z$2503,"正常",$A$4:$A$2503,"&lt;="&amp;$A2130))</f>
        <v/>
      </c>
      <c r="U2130" s="26">
        <f>IF($G2130="","",IF(OR($S2130&gt;0,$Q2130=0,$R2130=0,$Z2130&lt;&gt;"正常"),0,ROUND($T2130/$Q2130*$R2130,0)-ROUND(($T2130-$P2130)/$Q2130*$R2130,0)))</f>
        <v/>
      </c>
      <c r="V2130" s="26">
        <f>IF($G2130="","",ROUND($P2130+$U2130,0))</f>
        <v/>
      </c>
      <c r="W2130" s="26">
        <f>IF($G2130="","",IF(N($K2130)=0,0,ROUND($V2130/$K2130,2)))</f>
        <v/>
      </c>
      <c r="X2130" s="17" t="n"/>
      <c r="Y2130" s="17" t="n"/>
      <c r="Z2130" s="17" t="n"/>
      <c r="AA2130" s="17" t="n"/>
      <c r="AB2130" s="17" t="n"/>
      <c r="AC2130" s="24">
        <f>IF($G2130="","",IF($H2130="※编码不在物料档案里","※物料编码不在档案里",IF(N($K2130)&lt;=0,"※入库数量要大于 0",IF(AND($C2130&lt;&gt;"",$C2130&lt;=结账锁),"※日期早于已结账截止日，不能再录",IF(AND($L2130=0,$X2130="正常"),"※没填单价，价格状态请选「待补价」",IF(AND($S2130&gt;0,$R2130&gt;0),"△本批有 "&amp;$S2130&amp;" 行没单价，整批运费先挂账没摊",IF(AND($B2130&lt;&gt;"",COUNTIF($B$4:$B$2503,$B2130)&gt;1),"※入库单号重复","")))))))</f>
        <v/>
      </c>
    </row>
    <row r="2131">
      <c r="A2131" s="24">
        <f>IF($G2131="","",COUNTA($G$4:$G2131))</f>
        <v/>
      </c>
      <c r="B2131" s="17" t="n"/>
      <c r="C2131" s="30" t="n"/>
      <c r="D2131" s="17" t="n"/>
      <c r="E2131" s="17" t="n"/>
      <c r="F2131" s="17" t="n"/>
      <c r="G2131" s="17" t="n"/>
      <c r="H2131" s="24">
        <f>IF($G2131="","",IFERROR(VLOOKUP($G2131,物料档案!$A$4:$P$1203,3,0),"※编码不在物料档案里"))</f>
        <v/>
      </c>
      <c r="I2131" s="24">
        <f>IF($G2131="","",IFERROR(VLOOKUP($G2131,物料档案!$A$4:$P$1203,4,0),"※编码不在物料档案里"))</f>
        <v/>
      </c>
      <c r="J2131" s="24">
        <f>IF($G2131="","",IFERROR(VLOOKUP($G2131,物料档案!$A$4:$P$1203,5,0),"※编码不在物料档案里"))</f>
        <v/>
      </c>
      <c r="K2131" s="23" t="n"/>
      <c r="L2131" s="31" t="n"/>
      <c r="M2131" s="24">
        <f>IF($G2131="","",IF($D2131="A国内","CNY","TZS"))</f>
        <v/>
      </c>
      <c r="N2131" s="28">
        <f>IF($G2131="","",IF($D2131="A国内",汇率,1))</f>
        <v/>
      </c>
      <c r="O2131" s="25">
        <f>IF($G2131="","",ROUND(N($K2131)*N($L2131),2))</f>
        <v/>
      </c>
      <c r="P2131" s="26">
        <f>IF($G2131="","",ROUND($O2131*$N2131,0))</f>
        <v/>
      </c>
      <c r="Q2131" s="26">
        <f>IF($G2131="","",SUMIFS($P$4:$P$2503,$E$4:$E$2503,$E2131,$Z$4:$Z$2503,"正常"))</f>
        <v/>
      </c>
      <c r="R2131" s="26">
        <f>IF($G2131="","",SUMIFS(费用台账!$I$4:$I$503,费用台账!$C$4:$C$503,$E2131,费用台账!$J$4:$J$503,"是",费用台账!$K$4:$K$503,"正常"))</f>
        <v/>
      </c>
      <c r="S2131" s="28">
        <f>IF($G2131="","",COUNTIFS($E$4:$E$2503,$E2131,$Z$4:$Z$2503,"正常",$Y$4:$Y$2503,"待补价"))</f>
        <v/>
      </c>
      <c r="T2131" s="26">
        <f>IF($G2131="","",SUMIFS($P$4:$P$2503,$E$4:$E$2503,$E2131,$Z$4:$Z$2503,"正常",$A$4:$A$2503,"&lt;="&amp;$A2131))</f>
        <v/>
      </c>
      <c r="U2131" s="26">
        <f>IF($G2131="","",IF(OR($S2131&gt;0,$Q2131=0,$R2131=0,$Z2131&lt;&gt;"正常"),0,ROUND($T2131/$Q2131*$R2131,0)-ROUND(($T2131-$P2131)/$Q2131*$R2131,0)))</f>
        <v/>
      </c>
      <c r="V2131" s="26">
        <f>IF($G2131="","",ROUND($P2131+$U2131,0))</f>
        <v/>
      </c>
      <c r="W2131" s="26">
        <f>IF($G2131="","",IF(N($K2131)=0,0,ROUND($V2131/$K2131,2)))</f>
        <v/>
      </c>
      <c r="X2131" s="17" t="n"/>
      <c r="Y2131" s="17" t="n"/>
      <c r="Z2131" s="17" t="n"/>
      <c r="AA2131" s="17" t="n"/>
      <c r="AB2131" s="17" t="n"/>
      <c r="AC2131" s="24">
        <f>IF($G2131="","",IF($H2131="※编码不在物料档案里","※物料编码不在档案里",IF(N($K2131)&lt;=0,"※入库数量要大于 0",IF(AND($C2131&lt;&gt;"",$C2131&lt;=结账锁),"※日期早于已结账截止日，不能再录",IF(AND($L2131=0,$X2131="正常"),"※没填单价，价格状态请选「待补价」",IF(AND($S2131&gt;0,$R2131&gt;0),"△本批有 "&amp;$S2131&amp;" 行没单价，整批运费先挂账没摊",IF(AND($B2131&lt;&gt;"",COUNTIF($B$4:$B$2503,$B2131)&gt;1),"※入库单号重复","")))))))</f>
        <v/>
      </c>
    </row>
    <row r="2132">
      <c r="A2132" s="24">
        <f>IF($G2132="","",COUNTA($G$4:$G2132))</f>
        <v/>
      </c>
      <c r="B2132" s="17" t="n"/>
      <c r="C2132" s="30" t="n"/>
      <c r="D2132" s="17" t="n"/>
      <c r="E2132" s="17" t="n"/>
      <c r="F2132" s="17" t="n"/>
      <c r="G2132" s="17" t="n"/>
      <c r="H2132" s="24">
        <f>IF($G2132="","",IFERROR(VLOOKUP($G2132,物料档案!$A$4:$P$1203,3,0),"※编码不在物料档案里"))</f>
        <v/>
      </c>
      <c r="I2132" s="24">
        <f>IF($G2132="","",IFERROR(VLOOKUP($G2132,物料档案!$A$4:$P$1203,4,0),"※编码不在物料档案里"))</f>
        <v/>
      </c>
      <c r="J2132" s="24">
        <f>IF($G2132="","",IFERROR(VLOOKUP($G2132,物料档案!$A$4:$P$1203,5,0),"※编码不在物料档案里"))</f>
        <v/>
      </c>
      <c r="K2132" s="23" t="n"/>
      <c r="L2132" s="31" t="n"/>
      <c r="M2132" s="24">
        <f>IF($G2132="","",IF($D2132="A国内","CNY","TZS"))</f>
        <v/>
      </c>
      <c r="N2132" s="28">
        <f>IF($G2132="","",IF($D2132="A国内",汇率,1))</f>
        <v/>
      </c>
      <c r="O2132" s="25">
        <f>IF($G2132="","",ROUND(N($K2132)*N($L2132),2))</f>
        <v/>
      </c>
      <c r="P2132" s="26">
        <f>IF($G2132="","",ROUND($O2132*$N2132,0))</f>
        <v/>
      </c>
      <c r="Q2132" s="26">
        <f>IF($G2132="","",SUMIFS($P$4:$P$2503,$E$4:$E$2503,$E2132,$Z$4:$Z$2503,"正常"))</f>
        <v/>
      </c>
      <c r="R2132" s="26">
        <f>IF($G2132="","",SUMIFS(费用台账!$I$4:$I$503,费用台账!$C$4:$C$503,$E2132,费用台账!$J$4:$J$503,"是",费用台账!$K$4:$K$503,"正常"))</f>
        <v/>
      </c>
      <c r="S2132" s="28">
        <f>IF($G2132="","",COUNTIFS($E$4:$E$2503,$E2132,$Z$4:$Z$2503,"正常",$Y$4:$Y$2503,"待补价"))</f>
        <v/>
      </c>
      <c r="T2132" s="26">
        <f>IF($G2132="","",SUMIFS($P$4:$P$2503,$E$4:$E$2503,$E2132,$Z$4:$Z$2503,"正常",$A$4:$A$2503,"&lt;="&amp;$A2132))</f>
        <v/>
      </c>
      <c r="U2132" s="26">
        <f>IF($G2132="","",IF(OR($S2132&gt;0,$Q2132=0,$R2132=0,$Z2132&lt;&gt;"正常"),0,ROUND($T2132/$Q2132*$R2132,0)-ROUND(($T2132-$P2132)/$Q2132*$R2132,0)))</f>
        <v/>
      </c>
      <c r="V2132" s="26">
        <f>IF($G2132="","",ROUND($P2132+$U2132,0))</f>
        <v/>
      </c>
      <c r="W2132" s="26">
        <f>IF($G2132="","",IF(N($K2132)=0,0,ROUND($V2132/$K2132,2)))</f>
        <v/>
      </c>
      <c r="X2132" s="17" t="n"/>
      <c r="Y2132" s="17" t="n"/>
      <c r="Z2132" s="17" t="n"/>
      <c r="AA2132" s="17" t="n"/>
      <c r="AB2132" s="17" t="n"/>
      <c r="AC2132" s="24">
        <f>IF($G2132="","",IF($H2132="※编码不在物料档案里","※物料编码不在档案里",IF(N($K2132)&lt;=0,"※入库数量要大于 0",IF(AND($C2132&lt;&gt;"",$C2132&lt;=结账锁),"※日期早于已结账截止日，不能再录",IF(AND($L2132=0,$X2132="正常"),"※没填单价，价格状态请选「待补价」",IF(AND($S2132&gt;0,$R2132&gt;0),"△本批有 "&amp;$S2132&amp;" 行没单价，整批运费先挂账没摊",IF(AND($B2132&lt;&gt;"",COUNTIF($B$4:$B$2503,$B2132)&gt;1),"※入库单号重复","")))))))</f>
        <v/>
      </c>
    </row>
    <row r="2133">
      <c r="A2133" s="24">
        <f>IF($G2133="","",COUNTA($G$4:$G2133))</f>
        <v/>
      </c>
      <c r="B2133" s="17" t="n"/>
      <c r="C2133" s="30" t="n"/>
      <c r="D2133" s="17" t="n"/>
      <c r="E2133" s="17" t="n"/>
      <c r="F2133" s="17" t="n"/>
      <c r="G2133" s="17" t="n"/>
      <c r="H2133" s="24">
        <f>IF($G2133="","",IFERROR(VLOOKUP($G2133,物料档案!$A$4:$P$1203,3,0),"※编码不在物料档案里"))</f>
        <v/>
      </c>
      <c r="I2133" s="24">
        <f>IF($G2133="","",IFERROR(VLOOKUP($G2133,物料档案!$A$4:$P$1203,4,0),"※编码不在物料档案里"))</f>
        <v/>
      </c>
      <c r="J2133" s="24">
        <f>IF($G2133="","",IFERROR(VLOOKUP($G2133,物料档案!$A$4:$P$1203,5,0),"※编码不在物料档案里"))</f>
        <v/>
      </c>
      <c r="K2133" s="23" t="n"/>
      <c r="L2133" s="31" t="n"/>
      <c r="M2133" s="24">
        <f>IF($G2133="","",IF($D2133="A国内","CNY","TZS"))</f>
        <v/>
      </c>
      <c r="N2133" s="28">
        <f>IF($G2133="","",IF($D2133="A国内",汇率,1))</f>
        <v/>
      </c>
      <c r="O2133" s="25">
        <f>IF($G2133="","",ROUND(N($K2133)*N($L2133),2))</f>
        <v/>
      </c>
      <c r="P2133" s="26">
        <f>IF($G2133="","",ROUND($O2133*$N2133,0))</f>
        <v/>
      </c>
      <c r="Q2133" s="26">
        <f>IF($G2133="","",SUMIFS($P$4:$P$2503,$E$4:$E$2503,$E2133,$Z$4:$Z$2503,"正常"))</f>
        <v/>
      </c>
      <c r="R2133" s="26">
        <f>IF($G2133="","",SUMIFS(费用台账!$I$4:$I$503,费用台账!$C$4:$C$503,$E2133,费用台账!$J$4:$J$503,"是",费用台账!$K$4:$K$503,"正常"))</f>
        <v/>
      </c>
      <c r="S2133" s="28">
        <f>IF($G2133="","",COUNTIFS($E$4:$E$2503,$E2133,$Z$4:$Z$2503,"正常",$Y$4:$Y$2503,"待补价"))</f>
        <v/>
      </c>
      <c r="T2133" s="26">
        <f>IF($G2133="","",SUMIFS($P$4:$P$2503,$E$4:$E$2503,$E2133,$Z$4:$Z$2503,"正常",$A$4:$A$2503,"&lt;="&amp;$A2133))</f>
        <v/>
      </c>
      <c r="U2133" s="26">
        <f>IF($G2133="","",IF(OR($S2133&gt;0,$Q2133=0,$R2133=0,$Z2133&lt;&gt;"正常"),0,ROUND($T2133/$Q2133*$R2133,0)-ROUND(($T2133-$P2133)/$Q2133*$R2133,0)))</f>
        <v/>
      </c>
      <c r="V2133" s="26">
        <f>IF($G2133="","",ROUND($P2133+$U2133,0))</f>
        <v/>
      </c>
      <c r="W2133" s="26">
        <f>IF($G2133="","",IF(N($K2133)=0,0,ROUND($V2133/$K2133,2)))</f>
        <v/>
      </c>
      <c r="X2133" s="17" t="n"/>
      <c r="Y2133" s="17" t="n"/>
      <c r="Z2133" s="17" t="n"/>
      <c r="AA2133" s="17" t="n"/>
      <c r="AB2133" s="17" t="n"/>
      <c r="AC2133" s="24">
        <f>IF($G2133="","",IF($H2133="※编码不在物料档案里","※物料编码不在档案里",IF(N($K2133)&lt;=0,"※入库数量要大于 0",IF(AND($C2133&lt;&gt;"",$C2133&lt;=结账锁),"※日期早于已结账截止日，不能再录",IF(AND($L2133=0,$X2133="正常"),"※没填单价，价格状态请选「待补价」",IF(AND($S2133&gt;0,$R2133&gt;0),"△本批有 "&amp;$S2133&amp;" 行没单价，整批运费先挂账没摊",IF(AND($B2133&lt;&gt;"",COUNTIF($B$4:$B$2503,$B2133)&gt;1),"※入库单号重复","")))))))</f>
        <v/>
      </c>
    </row>
    <row r="2134">
      <c r="A2134" s="24">
        <f>IF($G2134="","",COUNTA($G$4:$G2134))</f>
        <v/>
      </c>
      <c r="B2134" s="17" t="n"/>
      <c r="C2134" s="30" t="n"/>
      <c r="D2134" s="17" t="n"/>
      <c r="E2134" s="17" t="n"/>
      <c r="F2134" s="17" t="n"/>
      <c r="G2134" s="17" t="n"/>
      <c r="H2134" s="24">
        <f>IF($G2134="","",IFERROR(VLOOKUP($G2134,物料档案!$A$4:$P$1203,3,0),"※编码不在物料档案里"))</f>
        <v/>
      </c>
      <c r="I2134" s="24">
        <f>IF($G2134="","",IFERROR(VLOOKUP($G2134,物料档案!$A$4:$P$1203,4,0),"※编码不在物料档案里"))</f>
        <v/>
      </c>
      <c r="J2134" s="24">
        <f>IF($G2134="","",IFERROR(VLOOKUP($G2134,物料档案!$A$4:$P$1203,5,0),"※编码不在物料档案里"))</f>
        <v/>
      </c>
      <c r="K2134" s="23" t="n"/>
      <c r="L2134" s="31" t="n"/>
      <c r="M2134" s="24">
        <f>IF($G2134="","",IF($D2134="A国内","CNY","TZS"))</f>
        <v/>
      </c>
      <c r="N2134" s="28">
        <f>IF($G2134="","",IF($D2134="A国内",汇率,1))</f>
        <v/>
      </c>
      <c r="O2134" s="25">
        <f>IF($G2134="","",ROUND(N($K2134)*N($L2134),2))</f>
        <v/>
      </c>
      <c r="P2134" s="26">
        <f>IF($G2134="","",ROUND($O2134*$N2134,0))</f>
        <v/>
      </c>
      <c r="Q2134" s="26">
        <f>IF($G2134="","",SUMIFS($P$4:$P$2503,$E$4:$E$2503,$E2134,$Z$4:$Z$2503,"正常"))</f>
        <v/>
      </c>
      <c r="R2134" s="26">
        <f>IF($G2134="","",SUMIFS(费用台账!$I$4:$I$503,费用台账!$C$4:$C$503,$E2134,费用台账!$J$4:$J$503,"是",费用台账!$K$4:$K$503,"正常"))</f>
        <v/>
      </c>
      <c r="S2134" s="28">
        <f>IF($G2134="","",COUNTIFS($E$4:$E$2503,$E2134,$Z$4:$Z$2503,"正常",$Y$4:$Y$2503,"待补价"))</f>
        <v/>
      </c>
      <c r="T2134" s="26">
        <f>IF($G2134="","",SUMIFS($P$4:$P$2503,$E$4:$E$2503,$E2134,$Z$4:$Z$2503,"正常",$A$4:$A$2503,"&lt;="&amp;$A2134))</f>
        <v/>
      </c>
      <c r="U2134" s="26">
        <f>IF($G2134="","",IF(OR($S2134&gt;0,$Q2134=0,$R2134=0,$Z2134&lt;&gt;"正常"),0,ROUND($T2134/$Q2134*$R2134,0)-ROUND(($T2134-$P2134)/$Q2134*$R2134,0)))</f>
        <v/>
      </c>
      <c r="V2134" s="26">
        <f>IF($G2134="","",ROUND($P2134+$U2134,0))</f>
        <v/>
      </c>
      <c r="W2134" s="26">
        <f>IF($G2134="","",IF(N($K2134)=0,0,ROUND($V2134/$K2134,2)))</f>
        <v/>
      </c>
      <c r="X2134" s="17" t="n"/>
      <c r="Y2134" s="17" t="n"/>
      <c r="Z2134" s="17" t="n"/>
      <c r="AA2134" s="17" t="n"/>
      <c r="AB2134" s="17" t="n"/>
      <c r="AC2134" s="24">
        <f>IF($G2134="","",IF($H2134="※编码不在物料档案里","※物料编码不在档案里",IF(N($K2134)&lt;=0,"※入库数量要大于 0",IF(AND($C2134&lt;&gt;"",$C2134&lt;=结账锁),"※日期早于已结账截止日，不能再录",IF(AND($L2134=0,$X2134="正常"),"※没填单价，价格状态请选「待补价」",IF(AND($S2134&gt;0,$R2134&gt;0),"△本批有 "&amp;$S2134&amp;" 行没单价，整批运费先挂账没摊",IF(AND($B2134&lt;&gt;"",COUNTIF($B$4:$B$2503,$B2134)&gt;1),"※入库单号重复","")))))))</f>
        <v/>
      </c>
    </row>
    <row r="2135">
      <c r="A2135" s="24">
        <f>IF($G2135="","",COUNTA($G$4:$G2135))</f>
        <v/>
      </c>
      <c r="B2135" s="17" t="n"/>
      <c r="C2135" s="30" t="n"/>
      <c r="D2135" s="17" t="n"/>
      <c r="E2135" s="17" t="n"/>
      <c r="F2135" s="17" t="n"/>
      <c r="G2135" s="17" t="n"/>
      <c r="H2135" s="24">
        <f>IF($G2135="","",IFERROR(VLOOKUP($G2135,物料档案!$A$4:$P$1203,3,0),"※编码不在物料档案里"))</f>
        <v/>
      </c>
      <c r="I2135" s="24">
        <f>IF($G2135="","",IFERROR(VLOOKUP($G2135,物料档案!$A$4:$P$1203,4,0),"※编码不在物料档案里"))</f>
        <v/>
      </c>
      <c r="J2135" s="24">
        <f>IF($G2135="","",IFERROR(VLOOKUP($G2135,物料档案!$A$4:$P$1203,5,0),"※编码不在物料档案里"))</f>
        <v/>
      </c>
      <c r="K2135" s="23" t="n"/>
      <c r="L2135" s="31" t="n"/>
      <c r="M2135" s="24">
        <f>IF($G2135="","",IF($D2135="A国内","CNY","TZS"))</f>
        <v/>
      </c>
      <c r="N2135" s="28">
        <f>IF($G2135="","",IF($D2135="A国内",汇率,1))</f>
        <v/>
      </c>
      <c r="O2135" s="25">
        <f>IF($G2135="","",ROUND(N($K2135)*N($L2135),2))</f>
        <v/>
      </c>
      <c r="P2135" s="26">
        <f>IF($G2135="","",ROUND($O2135*$N2135,0))</f>
        <v/>
      </c>
      <c r="Q2135" s="26">
        <f>IF($G2135="","",SUMIFS($P$4:$P$2503,$E$4:$E$2503,$E2135,$Z$4:$Z$2503,"正常"))</f>
        <v/>
      </c>
      <c r="R2135" s="26">
        <f>IF($G2135="","",SUMIFS(费用台账!$I$4:$I$503,费用台账!$C$4:$C$503,$E2135,费用台账!$J$4:$J$503,"是",费用台账!$K$4:$K$503,"正常"))</f>
        <v/>
      </c>
      <c r="S2135" s="28">
        <f>IF($G2135="","",COUNTIFS($E$4:$E$2503,$E2135,$Z$4:$Z$2503,"正常",$Y$4:$Y$2503,"待补价"))</f>
        <v/>
      </c>
      <c r="T2135" s="26">
        <f>IF($G2135="","",SUMIFS($P$4:$P$2503,$E$4:$E$2503,$E2135,$Z$4:$Z$2503,"正常",$A$4:$A$2503,"&lt;="&amp;$A2135))</f>
        <v/>
      </c>
      <c r="U2135" s="26">
        <f>IF($G2135="","",IF(OR($S2135&gt;0,$Q2135=0,$R2135=0,$Z2135&lt;&gt;"正常"),0,ROUND($T2135/$Q2135*$R2135,0)-ROUND(($T2135-$P2135)/$Q2135*$R2135,0)))</f>
        <v/>
      </c>
      <c r="V2135" s="26">
        <f>IF($G2135="","",ROUND($P2135+$U2135,0))</f>
        <v/>
      </c>
      <c r="W2135" s="26">
        <f>IF($G2135="","",IF(N($K2135)=0,0,ROUND($V2135/$K2135,2)))</f>
        <v/>
      </c>
      <c r="X2135" s="17" t="n"/>
      <c r="Y2135" s="17" t="n"/>
      <c r="Z2135" s="17" t="n"/>
      <c r="AA2135" s="17" t="n"/>
      <c r="AB2135" s="17" t="n"/>
      <c r="AC2135" s="24">
        <f>IF($G2135="","",IF($H2135="※编码不在物料档案里","※物料编码不在档案里",IF(N($K2135)&lt;=0,"※入库数量要大于 0",IF(AND($C2135&lt;&gt;"",$C2135&lt;=结账锁),"※日期早于已结账截止日，不能再录",IF(AND($L2135=0,$X2135="正常"),"※没填单价，价格状态请选「待补价」",IF(AND($S2135&gt;0,$R2135&gt;0),"△本批有 "&amp;$S2135&amp;" 行没单价，整批运费先挂账没摊",IF(AND($B2135&lt;&gt;"",COUNTIF($B$4:$B$2503,$B2135)&gt;1),"※入库单号重复","")))))))</f>
        <v/>
      </c>
    </row>
    <row r="2136">
      <c r="A2136" s="24">
        <f>IF($G2136="","",COUNTA($G$4:$G2136))</f>
        <v/>
      </c>
      <c r="B2136" s="17" t="n"/>
      <c r="C2136" s="30" t="n"/>
      <c r="D2136" s="17" t="n"/>
      <c r="E2136" s="17" t="n"/>
      <c r="F2136" s="17" t="n"/>
      <c r="G2136" s="17" t="n"/>
      <c r="H2136" s="24">
        <f>IF($G2136="","",IFERROR(VLOOKUP($G2136,物料档案!$A$4:$P$1203,3,0),"※编码不在物料档案里"))</f>
        <v/>
      </c>
      <c r="I2136" s="24">
        <f>IF($G2136="","",IFERROR(VLOOKUP($G2136,物料档案!$A$4:$P$1203,4,0),"※编码不在物料档案里"))</f>
        <v/>
      </c>
      <c r="J2136" s="24">
        <f>IF($G2136="","",IFERROR(VLOOKUP($G2136,物料档案!$A$4:$P$1203,5,0),"※编码不在物料档案里"))</f>
        <v/>
      </c>
      <c r="K2136" s="23" t="n"/>
      <c r="L2136" s="31" t="n"/>
      <c r="M2136" s="24">
        <f>IF($G2136="","",IF($D2136="A国内","CNY","TZS"))</f>
        <v/>
      </c>
      <c r="N2136" s="28">
        <f>IF($G2136="","",IF($D2136="A国内",汇率,1))</f>
        <v/>
      </c>
      <c r="O2136" s="25">
        <f>IF($G2136="","",ROUND(N($K2136)*N($L2136),2))</f>
        <v/>
      </c>
      <c r="P2136" s="26">
        <f>IF($G2136="","",ROUND($O2136*$N2136,0))</f>
        <v/>
      </c>
      <c r="Q2136" s="26">
        <f>IF($G2136="","",SUMIFS($P$4:$P$2503,$E$4:$E$2503,$E2136,$Z$4:$Z$2503,"正常"))</f>
        <v/>
      </c>
      <c r="R2136" s="26">
        <f>IF($G2136="","",SUMIFS(费用台账!$I$4:$I$503,费用台账!$C$4:$C$503,$E2136,费用台账!$J$4:$J$503,"是",费用台账!$K$4:$K$503,"正常"))</f>
        <v/>
      </c>
      <c r="S2136" s="28">
        <f>IF($G2136="","",COUNTIFS($E$4:$E$2503,$E2136,$Z$4:$Z$2503,"正常",$Y$4:$Y$2503,"待补价"))</f>
        <v/>
      </c>
      <c r="T2136" s="26">
        <f>IF($G2136="","",SUMIFS($P$4:$P$2503,$E$4:$E$2503,$E2136,$Z$4:$Z$2503,"正常",$A$4:$A$2503,"&lt;="&amp;$A2136))</f>
        <v/>
      </c>
      <c r="U2136" s="26">
        <f>IF($G2136="","",IF(OR($S2136&gt;0,$Q2136=0,$R2136=0,$Z2136&lt;&gt;"正常"),0,ROUND($T2136/$Q2136*$R2136,0)-ROUND(($T2136-$P2136)/$Q2136*$R2136,0)))</f>
        <v/>
      </c>
      <c r="V2136" s="26">
        <f>IF($G2136="","",ROUND($P2136+$U2136,0))</f>
        <v/>
      </c>
      <c r="W2136" s="26">
        <f>IF($G2136="","",IF(N($K2136)=0,0,ROUND($V2136/$K2136,2)))</f>
        <v/>
      </c>
      <c r="X2136" s="17" t="n"/>
      <c r="Y2136" s="17" t="n"/>
      <c r="Z2136" s="17" t="n"/>
      <c r="AA2136" s="17" t="n"/>
      <c r="AB2136" s="17" t="n"/>
      <c r="AC2136" s="24">
        <f>IF($G2136="","",IF($H2136="※编码不在物料档案里","※物料编码不在档案里",IF(N($K2136)&lt;=0,"※入库数量要大于 0",IF(AND($C2136&lt;&gt;"",$C2136&lt;=结账锁),"※日期早于已结账截止日，不能再录",IF(AND($L2136=0,$X2136="正常"),"※没填单价，价格状态请选「待补价」",IF(AND($S2136&gt;0,$R2136&gt;0),"△本批有 "&amp;$S2136&amp;" 行没单价，整批运费先挂账没摊",IF(AND($B2136&lt;&gt;"",COUNTIF($B$4:$B$2503,$B2136)&gt;1),"※入库单号重复","")))))))</f>
        <v/>
      </c>
    </row>
    <row r="2137">
      <c r="A2137" s="24">
        <f>IF($G2137="","",COUNTA($G$4:$G2137))</f>
        <v/>
      </c>
      <c r="B2137" s="17" t="n"/>
      <c r="C2137" s="30" t="n"/>
      <c r="D2137" s="17" t="n"/>
      <c r="E2137" s="17" t="n"/>
      <c r="F2137" s="17" t="n"/>
      <c r="G2137" s="17" t="n"/>
      <c r="H2137" s="24">
        <f>IF($G2137="","",IFERROR(VLOOKUP($G2137,物料档案!$A$4:$P$1203,3,0),"※编码不在物料档案里"))</f>
        <v/>
      </c>
      <c r="I2137" s="24">
        <f>IF($G2137="","",IFERROR(VLOOKUP($G2137,物料档案!$A$4:$P$1203,4,0),"※编码不在物料档案里"))</f>
        <v/>
      </c>
      <c r="J2137" s="24">
        <f>IF($G2137="","",IFERROR(VLOOKUP($G2137,物料档案!$A$4:$P$1203,5,0),"※编码不在物料档案里"))</f>
        <v/>
      </c>
      <c r="K2137" s="23" t="n"/>
      <c r="L2137" s="31" t="n"/>
      <c r="M2137" s="24">
        <f>IF($G2137="","",IF($D2137="A国内","CNY","TZS"))</f>
        <v/>
      </c>
      <c r="N2137" s="28">
        <f>IF($G2137="","",IF($D2137="A国内",汇率,1))</f>
        <v/>
      </c>
      <c r="O2137" s="25">
        <f>IF($G2137="","",ROUND(N($K2137)*N($L2137),2))</f>
        <v/>
      </c>
      <c r="P2137" s="26">
        <f>IF($G2137="","",ROUND($O2137*$N2137,0))</f>
        <v/>
      </c>
      <c r="Q2137" s="26">
        <f>IF($G2137="","",SUMIFS($P$4:$P$2503,$E$4:$E$2503,$E2137,$Z$4:$Z$2503,"正常"))</f>
        <v/>
      </c>
      <c r="R2137" s="26">
        <f>IF($G2137="","",SUMIFS(费用台账!$I$4:$I$503,费用台账!$C$4:$C$503,$E2137,费用台账!$J$4:$J$503,"是",费用台账!$K$4:$K$503,"正常"))</f>
        <v/>
      </c>
      <c r="S2137" s="28">
        <f>IF($G2137="","",COUNTIFS($E$4:$E$2503,$E2137,$Z$4:$Z$2503,"正常",$Y$4:$Y$2503,"待补价"))</f>
        <v/>
      </c>
      <c r="T2137" s="26">
        <f>IF($G2137="","",SUMIFS($P$4:$P$2503,$E$4:$E$2503,$E2137,$Z$4:$Z$2503,"正常",$A$4:$A$2503,"&lt;="&amp;$A2137))</f>
        <v/>
      </c>
      <c r="U2137" s="26">
        <f>IF($G2137="","",IF(OR($S2137&gt;0,$Q2137=0,$R2137=0,$Z2137&lt;&gt;"正常"),0,ROUND($T2137/$Q2137*$R2137,0)-ROUND(($T2137-$P2137)/$Q2137*$R2137,0)))</f>
        <v/>
      </c>
      <c r="V2137" s="26">
        <f>IF($G2137="","",ROUND($P2137+$U2137,0))</f>
        <v/>
      </c>
      <c r="W2137" s="26">
        <f>IF($G2137="","",IF(N($K2137)=0,0,ROUND($V2137/$K2137,2)))</f>
        <v/>
      </c>
      <c r="X2137" s="17" t="n"/>
      <c r="Y2137" s="17" t="n"/>
      <c r="Z2137" s="17" t="n"/>
      <c r="AA2137" s="17" t="n"/>
      <c r="AB2137" s="17" t="n"/>
      <c r="AC2137" s="24">
        <f>IF($G2137="","",IF($H2137="※编码不在物料档案里","※物料编码不在档案里",IF(N($K2137)&lt;=0,"※入库数量要大于 0",IF(AND($C2137&lt;&gt;"",$C2137&lt;=结账锁),"※日期早于已结账截止日，不能再录",IF(AND($L2137=0,$X2137="正常"),"※没填单价，价格状态请选「待补价」",IF(AND($S2137&gt;0,$R2137&gt;0),"△本批有 "&amp;$S2137&amp;" 行没单价，整批运费先挂账没摊",IF(AND($B2137&lt;&gt;"",COUNTIF($B$4:$B$2503,$B2137)&gt;1),"※入库单号重复","")))))))</f>
        <v/>
      </c>
    </row>
    <row r="2138">
      <c r="A2138" s="24">
        <f>IF($G2138="","",COUNTA($G$4:$G2138))</f>
        <v/>
      </c>
      <c r="B2138" s="17" t="n"/>
      <c r="C2138" s="30" t="n"/>
      <c r="D2138" s="17" t="n"/>
      <c r="E2138" s="17" t="n"/>
      <c r="F2138" s="17" t="n"/>
      <c r="G2138" s="17" t="n"/>
      <c r="H2138" s="24">
        <f>IF($G2138="","",IFERROR(VLOOKUP($G2138,物料档案!$A$4:$P$1203,3,0),"※编码不在物料档案里"))</f>
        <v/>
      </c>
      <c r="I2138" s="24">
        <f>IF($G2138="","",IFERROR(VLOOKUP($G2138,物料档案!$A$4:$P$1203,4,0),"※编码不在物料档案里"))</f>
        <v/>
      </c>
      <c r="J2138" s="24">
        <f>IF($G2138="","",IFERROR(VLOOKUP($G2138,物料档案!$A$4:$P$1203,5,0),"※编码不在物料档案里"))</f>
        <v/>
      </c>
      <c r="K2138" s="23" t="n"/>
      <c r="L2138" s="31" t="n"/>
      <c r="M2138" s="24">
        <f>IF($G2138="","",IF($D2138="A国内","CNY","TZS"))</f>
        <v/>
      </c>
      <c r="N2138" s="28">
        <f>IF($G2138="","",IF($D2138="A国内",汇率,1))</f>
        <v/>
      </c>
      <c r="O2138" s="25">
        <f>IF($G2138="","",ROUND(N($K2138)*N($L2138),2))</f>
        <v/>
      </c>
      <c r="P2138" s="26">
        <f>IF($G2138="","",ROUND($O2138*$N2138,0))</f>
        <v/>
      </c>
      <c r="Q2138" s="26">
        <f>IF($G2138="","",SUMIFS($P$4:$P$2503,$E$4:$E$2503,$E2138,$Z$4:$Z$2503,"正常"))</f>
        <v/>
      </c>
      <c r="R2138" s="26">
        <f>IF($G2138="","",SUMIFS(费用台账!$I$4:$I$503,费用台账!$C$4:$C$503,$E2138,费用台账!$J$4:$J$503,"是",费用台账!$K$4:$K$503,"正常"))</f>
        <v/>
      </c>
      <c r="S2138" s="28">
        <f>IF($G2138="","",COUNTIFS($E$4:$E$2503,$E2138,$Z$4:$Z$2503,"正常",$Y$4:$Y$2503,"待补价"))</f>
        <v/>
      </c>
      <c r="T2138" s="26">
        <f>IF($G2138="","",SUMIFS($P$4:$P$2503,$E$4:$E$2503,$E2138,$Z$4:$Z$2503,"正常",$A$4:$A$2503,"&lt;="&amp;$A2138))</f>
        <v/>
      </c>
      <c r="U2138" s="26">
        <f>IF($G2138="","",IF(OR($S2138&gt;0,$Q2138=0,$R2138=0,$Z2138&lt;&gt;"正常"),0,ROUND($T2138/$Q2138*$R2138,0)-ROUND(($T2138-$P2138)/$Q2138*$R2138,0)))</f>
        <v/>
      </c>
      <c r="V2138" s="26">
        <f>IF($G2138="","",ROUND($P2138+$U2138,0))</f>
        <v/>
      </c>
      <c r="W2138" s="26">
        <f>IF($G2138="","",IF(N($K2138)=0,0,ROUND($V2138/$K2138,2)))</f>
        <v/>
      </c>
      <c r="X2138" s="17" t="n"/>
      <c r="Y2138" s="17" t="n"/>
      <c r="Z2138" s="17" t="n"/>
      <c r="AA2138" s="17" t="n"/>
      <c r="AB2138" s="17" t="n"/>
      <c r="AC2138" s="24">
        <f>IF($G2138="","",IF($H2138="※编码不在物料档案里","※物料编码不在档案里",IF(N($K2138)&lt;=0,"※入库数量要大于 0",IF(AND($C2138&lt;&gt;"",$C2138&lt;=结账锁),"※日期早于已结账截止日，不能再录",IF(AND($L2138=0,$X2138="正常"),"※没填单价，价格状态请选「待补价」",IF(AND($S2138&gt;0,$R2138&gt;0),"△本批有 "&amp;$S2138&amp;" 行没单价，整批运费先挂账没摊",IF(AND($B2138&lt;&gt;"",COUNTIF($B$4:$B$2503,$B2138)&gt;1),"※入库单号重复","")))))))</f>
        <v/>
      </c>
    </row>
    <row r="2139">
      <c r="A2139" s="24">
        <f>IF($G2139="","",COUNTA($G$4:$G2139))</f>
        <v/>
      </c>
      <c r="B2139" s="17" t="n"/>
      <c r="C2139" s="30" t="n"/>
      <c r="D2139" s="17" t="n"/>
      <c r="E2139" s="17" t="n"/>
      <c r="F2139" s="17" t="n"/>
      <c r="G2139" s="17" t="n"/>
      <c r="H2139" s="24">
        <f>IF($G2139="","",IFERROR(VLOOKUP($G2139,物料档案!$A$4:$P$1203,3,0),"※编码不在物料档案里"))</f>
        <v/>
      </c>
      <c r="I2139" s="24">
        <f>IF($G2139="","",IFERROR(VLOOKUP($G2139,物料档案!$A$4:$P$1203,4,0),"※编码不在物料档案里"))</f>
        <v/>
      </c>
      <c r="J2139" s="24">
        <f>IF($G2139="","",IFERROR(VLOOKUP($G2139,物料档案!$A$4:$P$1203,5,0),"※编码不在物料档案里"))</f>
        <v/>
      </c>
      <c r="K2139" s="23" t="n"/>
      <c r="L2139" s="31" t="n"/>
      <c r="M2139" s="24">
        <f>IF($G2139="","",IF($D2139="A国内","CNY","TZS"))</f>
        <v/>
      </c>
      <c r="N2139" s="28">
        <f>IF($G2139="","",IF($D2139="A国内",汇率,1))</f>
        <v/>
      </c>
      <c r="O2139" s="25">
        <f>IF($G2139="","",ROUND(N($K2139)*N($L2139),2))</f>
        <v/>
      </c>
      <c r="P2139" s="26">
        <f>IF($G2139="","",ROUND($O2139*$N2139,0))</f>
        <v/>
      </c>
      <c r="Q2139" s="26">
        <f>IF($G2139="","",SUMIFS($P$4:$P$2503,$E$4:$E$2503,$E2139,$Z$4:$Z$2503,"正常"))</f>
        <v/>
      </c>
      <c r="R2139" s="26">
        <f>IF($G2139="","",SUMIFS(费用台账!$I$4:$I$503,费用台账!$C$4:$C$503,$E2139,费用台账!$J$4:$J$503,"是",费用台账!$K$4:$K$503,"正常"))</f>
        <v/>
      </c>
      <c r="S2139" s="28">
        <f>IF($G2139="","",COUNTIFS($E$4:$E$2503,$E2139,$Z$4:$Z$2503,"正常",$Y$4:$Y$2503,"待补价"))</f>
        <v/>
      </c>
      <c r="T2139" s="26">
        <f>IF($G2139="","",SUMIFS($P$4:$P$2503,$E$4:$E$2503,$E2139,$Z$4:$Z$2503,"正常",$A$4:$A$2503,"&lt;="&amp;$A2139))</f>
        <v/>
      </c>
      <c r="U2139" s="26">
        <f>IF($G2139="","",IF(OR($S2139&gt;0,$Q2139=0,$R2139=0,$Z2139&lt;&gt;"正常"),0,ROUND($T2139/$Q2139*$R2139,0)-ROUND(($T2139-$P2139)/$Q2139*$R2139,0)))</f>
        <v/>
      </c>
      <c r="V2139" s="26">
        <f>IF($G2139="","",ROUND($P2139+$U2139,0))</f>
        <v/>
      </c>
      <c r="W2139" s="26">
        <f>IF($G2139="","",IF(N($K2139)=0,0,ROUND($V2139/$K2139,2)))</f>
        <v/>
      </c>
      <c r="X2139" s="17" t="n"/>
      <c r="Y2139" s="17" t="n"/>
      <c r="Z2139" s="17" t="n"/>
      <c r="AA2139" s="17" t="n"/>
      <c r="AB2139" s="17" t="n"/>
      <c r="AC2139" s="24">
        <f>IF($G2139="","",IF($H2139="※编码不在物料档案里","※物料编码不在档案里",IF(N($K2139)&lt;=0,"※入库数量要大于 0",IF(AND($C2139&lt;&gt;"",$C2139&lt;=结账锁),"※日期早于已结账截止日，不能再录",IF(AND($L2139=0,$X2139="正常"),"※没填单价，价格状态请选「待补价」",IF(AND($S2139&gt;0,$R2139&gt;0),"△本批有 "&amp;$S2139&amp;" 行没单价，整批运费先挂账没摊",IF(AND($B2139&lt;&gt;"",COUNTIF($B$4:$B$2503,$B2139)&gt;1),"※入库单号重复","")))))))</f>
        <v/>
      </c>
    </row>
    <row r="2140">
      <c r="A2140" s="24">
        <f>IF($G2140="","",COUNTA($G$4:$G2140))</f>
        <v/>
      </c>
      <c r="B2140" s="17" t="n"/>
      <c r="C2140" s="30" t="n"/>
      <c r="D2140" s="17" t="n"/>
      <c r="E2140" s="17" t="n"/>
      <c r="F2140" s="17" t="n"/>
      <c r="G2140" s="17" t="n"/>
      <c r="H2140" s="24">
        <f>IF($G2140="","",IFERROR(VLOOKUP($G2140,物料档案!$A$4:$P$1203,3,0),"※编码不在物料档案里"))</f>
        <v/>
      </c>
      <c r="I2140" s="24">
        <f>IF($G2140="","",IFERROR(VLOOKUP($G2140,物料档案!$A$4:$P$1203,4,0),"※编码不在物料档案里"))</f>
        <v/>
      </c>
      <c r="J2140" s="24">
        <f>IF($G2140="","",IFERROR(VLOOKUP($G2140,物料档案!$A$4:$P$1203,5,0),"※编码不在物料档案里"))</f>
        <v/>
      </c>
      <c r="K2140" s="23" t="n"/>
      <c r="L2140" s="31" t="n"/>
      <c r="M2140" s="24">
        <f>IF($G2140="","",IF($D2140="A国内","CNY","TZS"))</f>
        <v/>
      </c>
      <c r="N2140" s="28">
        <f>IF($G2140="","",IF($D2140="A国内",汇率,1))</f>
        <v/>
      </c>
      <c r="O2140" s="25">
        <f>IF($G2140="","",ROUND(N($K2140)*N($L2140),2))</f>
        <v/>
      </c>
      <c r="P2140" s="26">
        <f>IF($G2140="","",ROUND($O2140*$N2140,0))</f>
        <v/>
      </c>
      <c r="Q2140" s="26">
        <f>IF($G2140="","",SUMIFS($P$4:$P$2503,$E$4:$E$2503,$E2140,$Z$4:$Z$2503,"正常"))</f>
        <v/>
      </c>
      <c r="R2140" s="26">
        <f>IF($G2140="","",SUMIFS(费用台账!$I$4:$I$503,费用台账!$C$4:$C$503,$E2140,费用台账!$J$4:$J$503,"是",费用台账!$K$4:$K$503,"正常"))</f>
        <v/>
      </c>
      <c r="S2140" s="28">
        <f>IF($G2140="","",COUNTIFS($E$4:$E$2503,$E2140,$Z$4:$Z$2503,"正常",$Y$4:$Y$2503,"待补价"))</f>
        <v/>
      </c>
      <c r="T2140" s="26">
        <f>IF($G2140="","",SUMIFS($P$4:$P$2503,$E$4:$E$2503,$E2140,$Z$4:$Z$2503,"正常",$A$4:$A$2503,"&lt;="&amp;$A2140))</f>
        <v/>
      </c>
      <c r="U2140" s="26">
        <f>IF($G2140="","",IF(OR($S2140&gt;0,$Q2140=0,$R2140=0,$Z2140&lt;&gt;"正常"),0,ROUND($T2140/$Q2140*$R2140,0)-ROUND(($T2140-$P2140)/$Q2140*$R2140,0)))</f>
        <v/>
      </c>
      <c r="V2140" s="26">
        <f>IF($G2140="","",ROUND($P2140+$U2140,0))</f>
        <v/>
      </c>
      <c r="W2140" s="26">
        <f>IF($G2140="","",IF(N($K2140)=0,0,ROUND($V2140/$K2140,2)))</f>
        <v/>
      </c>
      <c r="X2140" s="17" t="n"/>
      <c r="Y2140" s="17" t="n"/>
      <c r="Z2140" s="17" t="n"/>
      <c r="AA2140" s="17" t="n"/>
      <c r="AB2140" s="17" t="n"/>
      <c r="AC2140" s="24">
        <f>IF($G2140="","",IF($H2140="※编码不在物料档案里","※物料编码不在档案里",IF(N($K2140)&lt;=0,"※入库数量要大于 0",IF(AND($C2140&lt;&gt;"",$C2140&lt;=结账锁),"※日期早于已结账截止日，不能再录",IF(AND($L2140=0,$X2140="正常"),"※没填单价，价格状态请选「待补价」",IF(AND($S2140&gt;0,$R2140&gt;0),"△本批有 "&amp;$S2140&amp;" 行没单价，整批运费先挂账没摊",IF(AND($B2140&lt;&gt;"",COUNTIF($B$4:$B$2503,$B2140)&gt;1),"※入库单号重复","")))))))</f>
        <v/>
      </c>
    </row>
    <row r="2141">
      <c r="A2141" s="24">
        <f>IF($G2141="","",COUNTA($G$4:$G2141))</f>
        <v/>
      </c>
      <c r="B2141" s="17" t="n"/>
      <c r="C2141" s="30" t="n"/>
      <c r="D2141" s="17" t="n"/>
      <c r="E2141" s="17" t="n"/>
      <c r="F2141" s="17" t="n"/>
      <c r="G2141" s="17" t="n"/>
      <c r="H2141" s="24">
        <f>IF($G2141="","",IFERROR(VLOOKUP($G2141,物料档案!$A$4:$P$1203,3,0),"※编码不在物料档案里"))</f>
        <v/>
      </c>
      <c r="I2141" s="24">
        <f>IF($G2141="","",IFERROR(VLOOKUP($G2141,物料档案!$A$4:$P$1203,4,0),"※编码不在物料档案里"))</f>
        <v/>
      </c>
      <c r="J2141" s="24">
        <f>IF($G2141="","",IFERROR(VLOOKUP($G2141,物料档案!$A$4:$P$1203,5,0),"※编码不在物料档案里"))</f>
        <v/>
      </c>
      <c r="K2141" s="23" t="n"/>
      <c r="L2141" s="31" t="n"/>
      <c r="M2141" s="24">
        <f>IF($G2141="","",IF($D2141="A国内","CNY","TZS"))</f>
        <v/>
      </c>
      <c r="N2141" s="28">
        <f>IF($G2141="","",IF($D2141="A国内",汇率,1))</f>
        <v/>
      </c>
      <c r="O2141" s="25">
        <f>IF($G2141="","",ROUND(N($K2141)*N($L2141),2))</f>
        <v/>
      </c>
      <c r="P2141" s="26">
        <f>IF($G2141="","",ROUND($O2141*$N2141,0))</f>
        <v/>
      </c>
      <c r="Q2141" s="26">
        <f>IF($G2141="","",SUMIFS($P$4:$P$2503,$E$4:$E$2503,$E2141,$Z$4:$Z$2503,"正常"))</f>
        <v/>
      </c>
      <c r="R2141" s="26">
        <f>IF($G2141="","",SUMIFS(费用台账!$I$4:$I$503,费用台账!$C$4:$C$503,$E2141,费用台账!$J$4:$J$503,"是",费用台账!$K$4:$K$503,"正常"))</f>
        <v/>
      </c>
      <c r="S2141" s="28">
        <f>IF($G2141="","",COUNTIFS($E$4:$E$2503,$E2141,$Z$4:$Z$2503,"正常",$Y$4:$Y$2503,"待补价"))</f>
        <v/>
      </c>
      <c r="T2141" s="26">
        <f>IF($G2141="","",SUMIFS($P$4:$P$2503,$E$4:$E$2503,$E2141,$Z$4:$Z$2503,"正常",$A$4:$A$2503,"&lt;="&amp;$A2141))</f>
        <v/>
      </c>
      <c r="U2141" s="26">
        <f>IF($G2141="","",IF(OR($S2141&gt;0,$Q2141=0,$R2141=0,$Z2141&lt;&gt;"正常"),0,ROUND($T2141/$Q2141*$R2141,0)-ROUND(($T2141-$P2141)/$Q2141*$R2141,0)))</f>
        <v/>
      </c>
      <c r="V2141" s="26">
        <f>IF($G2141="","",ROUND($P2141+$U2141,0))</f>
        <v/>
      </c>
      <c r="W2141" s="26">
        <f>IF($G2141="","",IF(N($K2141)=0,0,ROUND($V2141/$K2141,2)))</f>
        <v/>
      </c>
      <c r="X2141" s="17" t="n"/>
      <c r="Y2141" s="17" t="n"/>
      <c r="Z2141" s="17" t="n"/>
      <c r="AA2141" s="17" t="n"/>
      <c r="AB2141" s="17" t="n"/>
      <c r="AC2141" s="24">
        <f>IF($G2141="","",IF($H2141="※编码不在物料档案里","※物料编码不在档案里",IF(N($K2141)&lt;=0,"※入库数量要大于 0",IF(AND($C2141&lt;&gt;"",$C2141&lt;=结账锁),"※日期早于已结账截止日，不能再录",IF(AND($L2141=0,$X2141="正常"),"※没填单价，价格状态请选「待补价」",IF(AND($S2141&gt;0,$R2141&gt;0),"△本批有 "&amp;$S2141&amp;" 行没单价，整批运费先挂账没摊",IF(AND($B2141&lt;&gt;"",COUNTIF($B$4:$B$2503,$B2141)&gt;1),"※入库单号重复","")))))))</f>
        <v/>
      </c>
    </row>
    <row r="2142">
      <c r="A2142" s="24">
        <f>IF($G2142="","",COUNTA($G$4:$G2142))</f>
        <v/>
      </c>
      <c r="B2142" s="17" t="n"/>
      <c r="C2142" s="30" t="n"/>
      <c r="D2142" s="17" t="n"/>
      <c r="E2142" s="17" t="n"/>
      <c r="F2142" s="17" t="n"/>
      <c r="G2142" s="17" t="n"/>
      <c r="H2142" s="24">
        <f>IF($G2142="","",IFERROR(VLOOKUP($G2142,物料档案!$A$4:$P$1203,3,0),"※编码不在物料档案里"))</f>
        <v/>
      </c>
      <c r="I2142" s="24">
        <f>IF($G2142="","",IFERROR(VLOOKUP($G2142,物料档案!$A$4:$P$1203,4,0),"※编码不在物料档案里"))</f>
        <v/>
      </c>
      <c r="J2142" s="24">
        <f>IF($G2142="","",IFERROR(VLOOKUP($G2142,物料档案!$A$4:$P$1203,5,0),"※编码不在物料档案里"))</f>
        <v/>
      </c>
      <c r="K2142" s="23" t="n"/>
      <c r="L2142" s="31" t="n"/>
      <c r="M2142" s="24">
        <f>IF($G2142="","",IF($D2142="A国内","CNY","TZS"))</f>
        <v/>
      </c>
      <c r="N2142" s="28">
        <f>IF($G2142="","",IF($D2142="A国内",汇率,1))</f>
        <v/>
      </c>
      <c r="O2142" s="25">
        <f>IF($G2142="","",ROUND(N($K2142)*N($L2142),2))</f>
        <v/>
      </c>
      <c r="P2142" s="26">
        <f>IF($G2142="","",ROUND($O2142*$N2142,0))</f>
        <v/>
      </c>
      <c r="Q2142" s="26">
        <f>IF($G2142="","",SUMIFS($P$4:$P$2503,$E$4:$E$2503,$E2142,$Z$4:$Z$2503,"正常"))</f>
        <v/>
      </c>
      <c r="R2142" s="26">
        <f>IF($G2142="","",SUMIFS(费用台账!$I$4:$I$503,费用台账!$C$4:$C$503,$E2142,费用台账!$J$4:$J$503,"是",费用台账!$K$4:$K$503,"正常"))</f>
        <v/>
      </c>
      <c r="S2142" s="28">
        <f>IF($G2142="","",COUNTIFS($E$4:$E$2503,$E2142,$Z$4:$Z$2503,"正常",$Y$4:$Y$2503,"待补价"))</f>
        <v/>
      </c>
      <c r="T2142" s="26">
        <f>IF($G2142="","",SUMIFS($P$4:$P$2503,$E$4:$E$2503,$E2142,$Z$4:$Z$2503,"正常",$A$4:$A$2503,"&lt;="&amp;$A2142))</f>
        <v/>
      </c>
      <c r="U2142" s="26">
        <f>IF($G2142="","",IF(OR($S2142&gt;0,$Q2142=0,$R2142=0,$Z2142&lt;&gt;"正常"),0,ROUND($T2142/$Q2142*$R2142,0)-ROUND(($T2142-$P2142)/$Q2142*$R2142,0)))</f>
        <v/>
      </c>
      <c r="V2142" s="26">
        <f>IF($G2142="","",ROUND($P2142+$U2142,0))</f>
        <v/>
      </c>
      <c r="W2142" s="26">
        <f>IF($G2142="","",IF(N($K2142)=0,0,ROUND($V2142/$K2142,2)))</f>
        <v/>
      </c>
      <c r="X2142" s="17" t="n"/>
      <c r="Y2142" s="17" t="n"/>
      <c r="Z2142" s="17" t="n"/>
      <c r="AA2142" s="17" t="n"/>
      <c r="AB2142" s="17" t="n"/>
      <c r="AC2142" s="24">
        <f>IF($G2142="","",IF($H2142="※编码不在物料档案里","※物料编码不在档案里",IF(N($K2142)&lt;=0,"※入库数量要大于 0",IF(AND($C2142&lt;&gt;"",$C2142&lt;=结账锁),"※日期早于已结账截止日，不能再录",IF(AND($L2142=0,$X2142="正常"),"※没填单价，价格状态请选「待补价」",IF(AND($S2142&gt;0,$R2142&gt;0),"△本批有 "&amp;$S2142&amp;" 行没单价，整批运费先挂账没摊",IF(AND($B2142&lt;&gt;"",COUNTIF($B$4:$B$2503,$B2142)&gt;1),"※入库单号重复","")))))))</f>
        <v/>
      </c>
    </row>
    <row r="2143">
      <c r="A2143" s="24">
        <f>IF($G2143="","",COUNTA($G$4:$G2143))</f>
        <v/>
      </c>
      <c r="B2143" s="17" t="n"/>
      <c r="C2143" s="30" t="n"/>
      <c r="D2143" s="17" t="n"/>
      <c r="E2143" s="17" t="n"/>
      <c r="F2143" s="17" t="n"/>
      <c r="G2143" s="17" t="n"/>
      <c r="H2143" s="24">
        <f>IF($G2143="","",IFERROR(VLOOKUP($G2143,物料档案!$A$4:$P$1203,3,0),"※编码不在物料档案里"))</f>
        <v/>
      </c>
      <c r="I2143" s="24">
        <f>IF($G2143="","",IFERROR(VLOOKUP($G2143,物料档案!$A$4:$P$1203,4,0),"※编码不在物料档案里"))</f>
        <v/>
      </c>
      <c r="J2143" s="24">
        <f>IF($G2143="","",IFERROR(VLOOKUP($G2143,物料档案!$A$4:$P$1203,5,0),"※编码不在物料档案里"))</f>
        <v/>
      </c>
      <c r="K2143" s="23" t="n"/>
      <c r="L2143" s="31" t="n"/>
      <c r="M2143" s="24">
        <f>IF($G2143="","",IF($D2143="A国内","CNY","TZS"))</f>
        <v/>
      </c>
      <c r="N2143" s="28">
        <f>IF($G2143="","",IF($D2143="A国内",汇率,1))</f>
        <v/>
      </c>
      <c r="O2143" s="25">
        <f>IF($G2143="","",ROUND(N($K2143)*N($L2143),2))</f>
        <v/>
      </c>
      <c r="P2143" s="26">
        <f>IF($G2143="","",ROUND($O2143*$N2143,0))</f>
        <v/>
      </c>
      <c r="Q2143" s="26">
        <f>IF($G2143="","",SUMIFS($P$4:$P$2503,$E$4:$E$2503,$E2143,$Z$4:$Z$2503,"正常"))</f>
        <v/>
      </c>
      <c r="R2143" s="26">
        <f>IF($G2143="","",SUMIFS(费用台账!$I$4:$I$503,费用台账!$C$4:$C$503,$E2143,费用台账!$J$4:$J$503,"是",费用台账!$K$4:$K$503,"正常"))</f>
        <v/>
      </c>
      <c r="S2143" s="28">
        <f>IF($G2143="","",COUNTIFS($E$4:$E$2503,$E2143,$Z$4:$Z$2503,"正常",$Y$4:$Y$2503,"待补价"))</f>
        <v/>
      </c>
      <c r="T2143" s="26">
        <f>IF($G2143="","",SUMIFS($P$4:$P$2503,$E$4:$E$2503,$E2143,$Z$4:$Z$2503,"正常",$A$4:$A$2503,"&lt;="&amp;$A2143))</f>
        <v/>
      </c>
      <c r="U2143" s="26">
        <f>IF($G2143="","",IF(OR($S2143&gt;0,$Q2143=0,$R2143=0,$Z2143&lt;&gt;"正常"),0,ROUND($T2143/$Q2143*$R2143,0)-ROUND(($T2143-$P2143)/$Q2143*$R2143,0)))</f>
        <v/>
      </c>
      <c r="V2143" s="26">
        <f>IF($G2143="","",ROUND($P2143+$U2143,0))</f>
        <v/>
      </c>
      <c r="W2143" s="26">
        <f>IF($G2143="","",IF(N($K2143)=0,0,ROUND($V2143/$K2143,2)))</f>
        <v/>
      </c>
      <c r="X2143" s="17" t="n"/>
      <c r="Y2143" s="17" t="n"/>
      <c r="Z2143" s="17" t="n"/>
      <c r="AA2143" s="17" t="n"/>
      <c r="AB2143" s="17" t="n"/>
      <c r="AC2143" s="24">
        <f>IF($G2143="","",IF($H2143="※编码不在物料档案里","※物料编码不在档案里",IF(N($K2143)&lt;=0,"※入库数量要大于 0",IF(AND($C2143&lt;&gt;"",$C2143&lt;=结账锁),"※日期早于已结账截止日，不能再录",IF(AND($L2143=0,$X2143="正常"),"※没填单价，价格状态请选「待补价」",IF(AND($S2143&gt;0,$R2143&gt;0),"△本批有 "&amp;$S2143&amp;" 行没单价，整批运费先挂账没摊",IF(AND($B2143&lt;&gt;"",COUNTIF($B$4:$B$2503,$B2143)&gt;1),"※入库单号重复","")))))))</f>
        <v/>
      </c>
    </row>
    <row r="2144">
      <c r="A2144" s="24">
        <f>IF($G2144="","",COUNTA($G$4:$G2144))</f>
        <v/>
      </c>
      <c r="B2144" s="17" t="n"/>
      <c r="C2144" s="30" t="n"/>
      <c r="D2144" s="17" t="n"/>
      <c r="E2144" s="17" t="n"/>
      <c r="F2144" s="17" t="n"/>
      <c r="G2144" s="17" t="n"/>
      <c r="H2144" s="24">
        <f>IF($G2144="","",IFERROR(VLOOKUP($G2144,物料档案!$A$4:$P$1203,3,0),"※编码不在物料档案里"))</f>
        <v/>
      </c>
      <c r="I2144" s="24">
        <f>IF($G2144="","",IFERROR(VLOOKUP($G2144,物料档案!$A$4:$P$1203,4,0),"※编码不在物料档案里"))</f>
        <v/>
      </c>
      <c r="J2144" s="24">
        <f>IF($G2144="","",IFERROR(VLOOKUP($G2144,物料档案!$A$4:$P$1203,5,0),"※编码不在物料档案里"))</f>
        <v/>
      </c>
      <c r="K2144" s="23" t="n"/>
      <c r="L2144" s="31" t="n"/>
      <c r="M2144" s="24">
        <f>IF($G2144="","",IF($D2144="A国内","CNY","TZS"))</f>
        <v/>
      </c>
      <c r="N2144" s="28">
        <f>IF($G2144="","",IF($D2144="A国内",汇率,1))</f>
        <v/>
      </c>
      <c r="O2144" s="25">
        <f>IF($G2144="","",ROUND(N($K2144)*N($L2144),2))</f>
        <v/>
      </c>
      <c r="P2144" s="26">
        <f>IF($G2144="","",ROUND($O2144*$N2144,0))</f>
        <v/>
      </c>
      <c r="Q2144" s="26">
        <f>IF($G2144="","",SUMIFS($P$4:$P$2503,$E$4:$E$2503,$E2144,$Z$4:$Z$2503,"正常"))</f>
        <v/>
      </c>
      <c r="R2144" s="26">
        <f>IF($G2144="","",SUMIFS(费用台账!$I$4:$I$503,费用台账!$C$4:$C$503,$E2144,费用台账!$J$4:$J$503,"是",费用台账!$K$4:$K$503,"正常"))</f>
        <v/>
      </c>
      <c r="S2144" s="28">
        <f>IF($G2144="","",COUNTIFS($E$4:$E$2503,$E2144,$Z$4:$Z$2503,"正常",$Y$4:$Y$2503,"待补价"))</f>
        <v/>
      </c>
      <c r="T2144" s="26">
        <f>IF($G2144="","",SUMIFS($P$4:$P$2503,$E$4:$E$2503,$E2144,$Z$4:$Z$2503,"正常",$A$4:$A$2503,"&lt;="&amp;$A2144))</f>
        <v/>
      </c>
      <c r="U2144" s="26">
        <f>IF($G2144="","",IF(OR($S2144&gt;0,$Q2144=0,$R2144=0,$Z2144&lt;&gt;"正常"),0,ROUND($T2144/$Q2144*$R2144,0)-ROUND(($T2144-$P2144)/$Q2144*$R2144,0)))</f>
        <v/>
      </c>
      <c r="V2144" s="26">
        <f>IF($G2144="","",ROUND($P2144+$U2144,0))</f>
        <v/>
      </c>
      <c r="W2144" s="26">
        <f>IF($G2144="","",IF(N($K2144)=0,0,ROUND($V2144/$K2144,2)))</f>
        <v/>
      </c>
      <c r="X2144" s="17" t="n"/>
      <c r="Y2144" s="17" t="n"/>
      <c r="Z2144" s="17" t="n"/>
      <c r="AA2144" s="17" t="n"/>
      <c r="AB2144" s="17" t="n"/>
      <c r="AC2144" s="24">
        <f>IF($G2144="","",IF($H2144="※编码不在物料档案里","※物料编码不在档案里",IF(N($K2144)&lt;=0,"※入库数量要大于 0",IF(AND($C2144&lt;&gt;"",$C2144&lt;=结账锁),"※日期早于已结账截止日，不能再录",IF(AND($L2144=0,$X2144="正常"),"※没填单价，价格状态请选「待补价」",IF(AND($S2144&gt;0,$R2144&gt;0),"△本批有 "&amp;$S2144&amp;" 行没单价，整批运费先挂账没摊",IF(AND($B2144&lt;&gt;"",COUNTIF($B$4:$B$2503,$B2144)&gt;1),"※入库单号重复","")))))))</f>
        <v/>
      </c>
    </row>
    <row r="2145">
      <c r="A2145" s="24">
        <f>IF($G2145="","",COUNTA($G$4:$G2145))</f>
        <v/>
      </c>
      <c r="B2145" s="17" t="n"/>
      <c r="C2145" s="30" t="n"/>
      <c r="D2145" s="17" t="n"/>
      <c r="E2145" s="17" t="n"/>
      <c r="F2145" s="17" t="n"/>
      <c r="G2145" s="17" t="n"/>
      <c r="H2145" s="24">
        <f>IF($G2145="","",IFERROR(VLOOKUP($G2145,物料档案!$A$4:$P$1203,3,0),"※编码不在物料档案里"))</f>
        <v/>
      </c>
      <c r="I2145" s="24">
        <f>IF($G2145="","",IFERROR(VLOOKUP($G2145,物料档案!$A$4:$P$1203,4,0),"※编码不在物料档案里"))</f>
        <v/>
      </c>
      <c r="J2145" s="24">
        <f>IF($G2145="","",IFERROR(VLOOKUP($G2145,物料档案!$A$4:$P$1203,5,0),"※编码不在物料档案里"))</f>
        <v/>
      </c>
      <c r="K2145" s="23" t="n"/>
      <c r="L2145" s="31" t="n"/>
      <c r="M2145" s="24">
        <f>IF($G2145="","",IF($D2145="A国内","CNY","TZS"))</f>
        <v/>
      </c>
      <c r="N2145" s="28">
        <f>IF($G2145="","",IF($D2145="A国内",汇率,1))</f>
        <v/>
      </c>
      <c r="O2145" s="25">
        <f>IF($G2145="","",ROUND(N($K2145)*N($L2145),2))</f>
        <v/>
      </c>
      <c r="P2145" s="26">
        <f>IF($G2145="","",ROUND($O2145*$N2145,0))</f>
        <v/>
      </c>
      <c r="Q2145" s="26">
        <f>IF($G2145="","",SUMIFS($P$4:$P$2503,$E$4:$E$2503,$E2145,$Z$4:$Z$2503,"正常"))</f>
        <v/>
      </c>
      <c r="R2145" s="26">
        <f>IF($G2145="","",SUMIFS(费用台账!$I$4:$I$503,费用台账!$C$4:$C$503,$E2145,费用台账!$J$4:$J$503,"是",费用台账!$K$4:$K$503,"正常"))</f>
        <v/>
      </c>
      <c r="S2145" s="28">
        <f>IF($G2145="","",COUNTIFS($E$4:$E$2503,$E2145,$Z$4:$Z$2503,"正常",$Y$4:$Y$2503,"待补价"))</f>
        <v/>
      </c>
      <c r="T2145" s="26">
        <f>IF($G2145="","",SUMIFS($P$4:$P$2503,$E$4:$E$2503,$E2145,$Z$4:$Z$2503,"正常",$A$4:$A$2503,"&lt;="&amp;$A2145))</f>
        <v/>
      </c>
      <c r="U2145" s="26">
        <f>IF($G2145="","",IF(OR($S2145&gt;0,$Q2145=0,$R2145=0,$Z2145&lt;&gt;"正常"),0,ROUND($T2145/$Q2145*$R2145,0)-ROUND(($T2145-$P2145)/$Q2145*$R2145,0)))</f>
        <v/>
      </c>
      <c r="V2145" s="26">
        <f>IF($G2145="","",ROUND($P2145+$U2145,0))</f>
        <v/>
      </c>
      <c r="W2145" s="26">
        <f>IF($G2145="","",IF(N($K2145)=0,0,ROUND($V2145/$K2145,2)))</f>
        <v/>
      </c>
      <c r="X2145" s="17" t="n"/>
      <c r="Y2145" s="17" t="n"/>
      <c r="Z2145" s="17" t="n"/>
      <c r="AA2145" s="17" t="n"/>
      <c r="AB2145" s="17" t="n"/>
      <c r="AC2145" s="24">
        <f>IF($G2145="","",IF($H2145="※编码不在物料档案里","※物料编码不在档案里",IF(N($K2145)&lt;=0,"※入库数量要大于 0",IF(AND($C2145&lt;&gt;"",$C2145&lt;=结账锁),"※日期早于已结账截止日，不能再录",IF(AND($L2145=0,$X2145="正常"),"※没填单价，价格状态请选「待补价」",IF(AND($S2145&gt;0,$R2145&gt;0),"△本批有 "&amp;$S2145&amp;" 行没单价，整批运费先挂账没摊",IF(AND($B2145&lt;&gt;"",COUNTIF($B$4:$B$2503,$B2145)&gt;1),"※入库单号重复","")))))))</f>
        <v/>
      </c>
    </row>
    <row r="2146">
      <c r="A2146" s="24">
        <f>IF($G2146="","",COUNTA($G$4:$G2146))</f>
        <v/>
      </c>
      <c r="B2146" s="17" t="n"/>
      <c r="C2146" s="30" t="n"/>
      <c r="D2146" s="17" t="n"/>
      <c r="E2146" s="17" t="n"/>
      <c r="F2146" s="17" t="n"/>
      <c r="G2146" s="17" t="n"/>
      <c r="H2146" s="24">
        <f>IF($G2146="","",IFERROR(VLOOKUP($G2146,物料档案!$A$4:$P$1203,3,0),"※编码不在物料档案里"))</f>
        <v/>
      </c>
      <c r="I2146" s="24">
        <f>IF($G2146="","",IFERROR(VLOOKUP($G2146,物料档案!$A$4:$P$1203,4,0),"※编码不在物料档案里"))</f>
        <v/>
      </c>
      <c r="J2146" s="24">
        <f>IF($G2146="","",IFERROR(VLOOKUP($G2146,物料档案!$A$4:$P$1203,5,0),"※编码不在物料档案里"))</f>
        <v/>
      </c>
      <c r="K2146" s="23" t="n"/>
      <c r="L2146" s="31" t="n"/>
      <c r="M2146" s="24">
        <f>IF($G2146="","",IF($D2146="A国内","CNY","TZS"))</f>
        <v/>
      </c>
      <c r="N2146" s="28">
        <f>IF($G2146="","",IF($D2146="A国内",汇率,1))</f>
        <v/>
      </c>
      <c r="O2146" s="25">
        <f>IF($G2146="","",ROUND(N($K2146)*N($L2146),2))</f>
        <v/>
      </c>
      <c r="P2146" s="26">
        <f>IF($G2146="","",ROUND($O2146*$N2146,0))</f>
        <v/>
      </c>
      <c r="Q2146" s="26">
        <f>IF($G2146="","",SUMIFS($P$4:$P$2503,$E$4:$E$2503,$E2146,$Z$4:$Z$2503,"正常"))</f>
        <v/>
      </c>
      <c r="R2146" s="26">
        <f>IF($G2146="","",SUMIFS(费用台账!$I$4:$I$503,费用台账!$C$4:$C$503,$E2146,费用台账!$J$4:$J$503,"是",费用台账!$K$4:$K$503,"正常"))</f>
        <v/>
      </c>
      <c r="S2146" s="28">
        <f>IF($G2146="","",COUNTIFS($E$4:$E$2503,$E2146,$Z$4:$Z$2503,"正常",$Y$4:$Y$2503,"待补价"))</f>
        <v/>
      </c>
      <c r="T2146" s="26">
        <f>IF($G2146="","",SUMIFS($P$4:$P$2503,$E$4:$E$2503,$E2146,$Z$4:$Z$2503,"正常",$A$4:$A$2503,"&lt;="&amp;$A2146))</f>
        <v/>
      </c>
      <c r="U2146" s="26">
        <f>IF($G2146="","",IF(OR($S2146&gt;0,$Q2146=0,$R2146=0,$Z2146&lt;&gt;"正常"),0,ROUND($T2146/$Q2146*$R2146,0)-ROUND(($T2146-$P2146)/$Q2146*$R2146,0)))</f>
        <v/>
      </c>
      <c r="V2146" s="26">
        <f>IF($G2146="","",ROUND($P2146+$U2146,0))</f>
        <v/>
      </c>
      <c r="W2146" s="26">
        <f>IF($G2146="","",IF(N($K2146)=0,0,ROUND($V2146/$K2146,2)))</f>
        <v/>
      </c>
      <c r="X2146" s="17" t="n"/>
      <c r="Y2146" s="17" t="n"/>
      <c r="Z2146" s="17" t="n"/>
      <c r="AA2146" s="17" t="n"/>
      <c r="AB2146" s="17" t="n"/>
      <c r="AC2146" s="24">
        <f>IF($G2146="","",IF($H2146="※编码不在物料档案里","※物料编码不在档案里",IF(N($K2146)&lt;=0,"※入库数量要大于 0",IF(AND($C2146&lt;&gt;"",$C2146&lt;=结账锁),"※日期早于已结账截止日，不能再录",IF(AND($L2146=0,$X2146="正常"),"※没填单价，价格状态请选「待补价」",IF(AND($S2146&gt;0,$R2146&gt;0),"△本批有 "&amp;$S2146&amp;" 行没单价，整批运费先挂账没摊",IF(AND($B2146&lt;&gt;"",COUNTIF($B$4:$B$2503,$B2146)&gt;1),"※入库单号重复","")))))))</f>
        <v/>
      </c>
    </row>
    <row r="2147">
      <c r="A2147" s="24">
        <f>IF($G2147="","",COUNTA($G$4:$G2147))</f>
        <v/>
      </c>
      <c r="B2147" s="17" t="n"/>
      <c r="C2147" s="30" t="n"/>
      <c r="D2147" s="17" t="n"/>
      <c r="E2147" s="17" t="n"/>
      <c r="F2147" s="17" t="n"/>
      <c r="G2147" s="17" t="n"/>
      <c r="H2147" s="24">
        <f>IF($G2147="","",IFERROR(VLOOKUP($G2147,物料档案!$A$4:$P$1203,3,0),"※编码不在物料档案里"))</f>
        <v/>
      </c>
      <c r="I2147" s="24">
        <f>IF($G2147="","",IFERROR(VLOOKUP($G2147,物料档案!$A$4:$P$1203,4,0),"※编码不在物料档案里"))</f>
        <v/>
      </c>
      <c r="J2147" s="24">
        <f>IF($G2147="","",IFERROR(VLOOKUP($G2147,物料档案!$A$4:$P$1203,5,0),"※编码不在物料档案里"))</f>
        <v/>
      </c>
      <c r="K2147" s="23" t="n"/>
      <c r="L2147" s="31" t="n"/>
      <c r="M2147" s="24">
        <f>IF($G2147="","",IF($D2147="A国内","CNY","TZS"))</f>
        <v/>
      </c>
      <c r="N2147" s="28">
        <f>IF($G2147="","",IF($D2147="A国内",汇率,1))</f>
        <v/>
      </c>
      <c r="O2147" s="25">
        <f>IF($G2147="","",ROUND(N($K2147)*N($L2147),2))</f>
        <v/>
      </c>
      <c r="P2147" s="26">
        <f>IF($G2147="","",ROUND($O2147*$N2147,0))</f>
        <v/>
      </c>
      <c r="Q2147" s="26">
        <f>IF($G2147="","",SUMIFS($P$4:$P$2503,$E$4:$E$2503,$E2147,$Z$4:$Z$2503,"正常"))</f>
        <v/>
      </c>
      <c r="R2147" s="26">
        <f>IF($G2147="","",SUMIFS(费用台账!$I$4:$I$503,费用台账!$C$4:$C$503,$E2147,费用台账!$J$4:$J$503,"是",费用台账!$K$4:$K$503,"正常"))</f>
        <v/>
      </c>
      <c r="S2147" s="28">
        <f>IF($G2147="","",COUNTIFS($E$4:$E$2503,$E2147,$Z$4:$Z$2503,"正常",$Y$4:$Y$2503,"待补价"))</f>
        <v/>
      </c>
      <c r="T2147" s="26">
        <f>IF($G2147="","",SUMIFS($P$4:$P$2503,$E$4:$E$2503,$E2147,$Z$4:$Z$2503,"正常",$A$4:$A$2503,"&lt;="&amp;$A2147))</f>
        <v/>
      </c>
      <c r="U2147" s="26">
        <f>IF($G2147="","",IF(OR($S2147&gt;0,$Q2147=0,$R2147=0,$Z2147&lt;&gt;"正常"),0,ROUND($T2147/$Q2147*$R2147,0)-ROUND(($T2147-$P2147)/$Q2147*$R2147,0)))</f>
        <v/>
      </c>
      <c r="V2147" s="26">
        <f>IF($G2147="","",ROUND($P2147+$U2147,0))</f>
        <v/>
      </c>
      <c r="W2147" s="26">
        <f>IF($G2147="","",IF(N($K2147)=0,0,ROUND($V2147/$K2147,2)))</f>
        <v/>
      </c>
      <c r="X2147" s="17" t="n"/>
      <c r="Y2147" s="17" t="n"/>
      <c r="Z2147" s="17" t="n"/>
      <c r="AA2147" s="17" t="n"/>
      <c r="AB2147" s="17" t="n"/>
      <c r="AC2147" s="24">
        <f>IF($G2147="","",IF($H2147="※编码不在物料档案里","※物料编码不在档案里",IF(N($K2147)&lt;=0,"※入库数量要大于 0",IF(AND($C2147&lt;&gt;"",$C2147&lt;=结账锁),"※日期早于已结账截止日，不能再录",IF(AND($L2147=0,$X2147="正常"),"※没填单价，价格状态请选「待补价」",IF(AND($S2147&gt;0,$R2147&gt;0),"△本批有 "&amp;$S2147&amp;" 行没单价，整批运费先挂账没摊",IF(AND($B2147&lt;&gt;"",COUNTIF($B$4:$B$2503,$B2147)&gt;1),"※入库单号重复","")))))))</f>
        <v/>
      </c>
    </row>
    <row r="2148">
      <c r="A2148" s="24">
        <f>IF($G2148="","",COUNTA($G$4:$G2148))</f>
        <v/>
      </c>
      <c r="B2148" s="17" t="n"/>
      <c r="C2148" s="30" t="n"/>
      <c r="D2148" s="17" t="n"/>
      <c r="E2148" s="17" t="n"/>
      <c r="F2148" s="17" t="n"/>
      <c r="G2148" s="17" t="n"/>
      <c r="H2148" s="24">
        <f>IF($G2148="","",IFERROR(VLOOKUP($G2148,物料档案!$A$4:$P$1203,3,0),"※编码不在物料档案里"))</f>
        <v/>
      </c>
      <c r="I2148" s="24">
        <f>IF($G2148="","",IFERROR(VLOOKUP($G2148,物料档案!$A$4:$P$1203,4,0),"※编码不在物料档案里"))</f>
        <v/>
      </c>
      <c r="J2148" s="24">
        <f>IF($G2148="","",IFERROR(VLOOKUP($G2148,物料档案!$A$4:$P$1203,5,0),"※编码不在物料档案里"))</f>
        <v/>
      </c>
      <c r="K2148" s="23" t="n"/>
      <c r="L2148" s="31" t="n"/>
      <c r="M2148" s="24">
        <f>IF($G2148="","",IF($D2148="A国内","CNY","TZS"))</f>
        <v/>
      </c>
      <c r="N2148" s="28">
        <f>IF($G2148="","",IF($D2148="A国内",汇率,1))</f>
        <v/>
      </c>
      <c r="O2148" s="25">
        <f>IF($G2148="","",ROUND(N($K2148)*N($L2148),2))</f>
        <v/>
      </c>
      <c r="P2148" s="26">
        <f>IF($G2148="","",ROUND($O2148*$N2148,0))</f>
        <v/>
      </c>
      <c r="Q2148" s="26">
        <f>IF($G2148="","",SUMIFS($P$4:$P$2503,$E$4:$E$2503,$E2148,$Z$4:$Z$2503,"正常"))</f>
        <v/>
      </c>
      <c r="R2148" s="26">
        <f>IF($G2148="","",SUMIFS(费用台账!$I$4:$I$503,费用台账!$C$4:$C$503,$E2148,费用台账!$J$4:$J$503,"是",费用台账!$K$4:$K$503,"正常"))</f>
        <v/>
      </c>
      <c r="S2148" s="28">
        <f>IF($G2148="","",COUNTIFS($E$4:$E$2503,$E2148,$Z$4:$Z$2503,"正常",$Y$4:$Y$2503,"待补价"))</f>
        <v/>
      </c>
      <c r="T2148" s="26">
        <f>IF($G2148="","",SUMIFS($P$4:$P$2503,$E$4:$E$2503,$E2148,$Z$4:$Z$2503,"正常",$A$4:$A$2503,"&lt;="&amp;$A2148))</f>
        <v/>
      </c>
      <c r="U2148" s="26">
        <f>IF($G2148="","",IF(OR($S2148&gt;0,$Q2148=0,$R2148=0,$Z2148&lt;&gt;"正常"),0,ROUND($T2148/$Q2148*$R2148,0)-ROUND(($T2148-$P2148)/$Q2148*$R2148,0)))</f>
        <v/>
      </c>
      <c r="V2148" s="26">
        <f>IF($G2148="","",ROUND($P2148+$U2148,0))</f>
        <v/>
      </c>
      <c r="W2148" s="26">
        <f>IF($G2148="","",IF(N($K2148)=0,0,ROUND($V2148/$K2148,2)))</f>
        <v/>
      </c>
      <c r="X2148" s="17" t="n"/>
      <c r="Y2148" s="17" t="n"/>
      <c r="Z2148" s="17" t="n"/>
      <c r="AA2148" s="17" t="n"/>
      <c r="AB2148" s="17" t="n"/>
      <c r="AC2148" s="24">
        <f>IF($G2148="","",IF($H2148="※编码不在物料档案里","※物料编码不在档案里",IF(N($K2148)&lt;=0,"※入库数量要大于 0",IF(AND($C2148&lt;&gt;"",$C2148&lt;=结账锁),"※日期早于已结账截止日，不能再录",IF(AND($L2148=0,$X2148="正常"),"※没填单价，价格状态请选「待补价」",IF(AND($S2148&gt;0,$R2148&gt;0),"△本批有 "&amp;$S2148&amp;" 行没单价，整批运费先挂账没摊",IF(AND($B2148&lt;&gt;"",COUNTIF($B$4:$B$2503,$B2148)&gt;1),"※入库单号重复","")))))))</f>
        <v/>
      </c>
    </row>
    <row r="2149">
      <c r="A2149" s="24">
        <f>IF($G2149="","",COUNTA($G$4:$G2149))</f>
        <v/>
      </c>
      <c r="B2149" s="17" t="n"/>
      <c r="C2149" s="30" t="n"/>
      <c r="D2149" s="17" t="n"/>
      <c r="E2149" s="17" t="n"/>
      <c r="F2149" s="17" t="n"/>
      <c r="G2149" s="17" t="n"/>
      <c r="H2149" s="24">
        <f>IF($G2149="","",IFERROR(VLOOKUP($G2149,物料档案!$A$4:$P$1203,3,0),"※编码不在物料档案里"))</f>
        <v/>
      </c>
      <c r="I2149" s="24">
        <f>IF($G2149="","",IFERROR(VLOOKUP($G2149,物料档案!$A$4:$P$1203,4,0),"※编码不在物料档案里"))</f>
        <v/>
      </c>
      <c r="J2149" s="24">
        <f>IF($G2149="","",IFERROR(VLOOKUP($G2149,物料档案!$A$4:$P$1203,5,0),"※编码不在物料档案里"))</f>
        <v/>
      </c>
      <c r="K2149" s="23" t="n"/>
      <c r="L2149" s="31" t="n"/>
      <c r="M2149" s="24">
        <f>IF($G2149="","",IF($D2149="A国内","CNY","TZS"))</f>
        <v/>
      </c>
      <c r="N2149" s="28">
        <f>IF($G2149="","",IF($D2149="A国内",汇率,1))</f>
        <v/>
      </c>
      <c r="O2149" s="25">
        <f>IF($G2149="","",ROUND(N($K2149)*N($L2149),2))</f>
        <v/>
      </c>
      <c r="P2149" s="26">
        <f>IF($G2149="","",ROUND($O2149*$N2149,0))</f>
        <v/>
      </c>
      <c r="Q2149" s="26">
        <f>IF($G2149="","",SUMIFS($P$4:$P$2503,$E$4:$E$2503,$E2149,$Z$4:$Z$2503,"正常"))</f>
        <v/>
      </c>
      <c r="R2149" s="26">
        <f>IF($G2149="","",SUMIFS(费用台账!$I$4:$I$503,费用台账!$C$4:$C$503,$E2149,费用台账!$J$4:$J$503,"是",费用台账!$K$4:$K$503,"正常"))</f>
        <v/>
      </c>
      <c r="S2149" s="28">
        <f>IF($G2149="","",COUNTIFS($E$4:$E$2503,$E2149,$Z$4:$Z$2503,"正常",$Y$4:$Y$2503,"待补价"))</f>
        <v/>
      </c>
      <c r="T2149" s="26">
        <f>IF($G2149="","",SUMIFS($P$4:$P$2503,$E$4:$E$2503,$E2149,$Z$4:$Z$2503,"正常",$A$4:$A$2503,"&lt;="&amp;$A2149))</f>
        <v/>
      </c>
      <c r="U2149" s="26">
        <f>IF($G2149="","",IF(OR($S2149&gt;0,$Q2149=0,$R2149=0,$Z2149&lt;&gt;"正常"),0,ROUND($T2149/$Q2149*$R2149,0)-ROUND(($T2149-$P2149)/$Q2149*$R2149,0)))</f>
        <v/>
      </c>
      <c r="V2149" s="26">
        <f>IF($G2149="","",ROUND($P2149+$U2149,0))</f>
        <v/>
      </c>
      <c r="W2149" s="26">
        <f>IF($G2149="","",IF(N($K2149)=0,0,ROUND($V2149/$K2149,2)))</f>
        <v/>
      </c>
      <c r="X2149" s="17" t="n"/>
      <c r="Y2149" s="17" t="n"/>
      <c r="Z2149" s="17" t="n"/>
      <c r="AA2149" s="17" t="n"/>
      <c r="AB2149" s="17" t="n"/>
      <c r="AC2149" s="24">
        <f>IF($G2149="","",IF($H2149="※编码不在物料档案里","※物料编码不在档案里",IF(N($K2149)&lt;=0,"※入库数量要大于 0",IF(AND($C2149&lt;&gt;"",$C2149&lt;=结账锁),"※日期早于已结账截止日，不能再录",IF(AND($L2149=0,$X2149="正常"),"※没填单价，价格状态请选「待补价」",IF(AND($S2149&gt;0,$R2149&gt;0),"△本批有 "&amp;$S2149&amp;" 行没单价，整批运费先挂账没摊",IF(AND($B2149&lt;&gt;"",COUNTIF($B$4:$B$2503,$B2149)&gt;1),"※入库单号重复","")))))))</f>
        <v/>
      </c>
    </row>
    <row r="2150">
      <c r="A2150" s="24">
        <f>IF($G2150="","",COUNTA($G$4:$G2150))</f>
        <v/>
      </c>
      <c r="B2150" s="17" t="n"/>
      <c r="C2150" s="30" t="n"/>
      <c r="D2150" s="17" t="n"/>
      <c r="E2150" s="17" t="n"/>
      <c r="F2150" s="17" t="n"/>
      <c r="G2150" s="17" t="n"/>
      <c r="H2150" s="24">
        <f>IF($G2150="","",IFERROR(VLOOKUP($G2150,物料档案!$A$4:$P$1203,3,0),"※编码不在物料档案里"))</f>
        <v/>
      </c>
      <c r="I2150" s="24">
        <f>IF($G2150="","",IFERROR(VLOOKUP($G2150,物料档案!$A$4:$P$1203,4,0),"※编码不在物料档案里"))</f>
        <v/>
      </c>
      <c r="J2150" s="24">
        <f>IF($G2150="","",IFERROR(VLOOKUP($G2150,物料档案!$A$4:$P$1203,5,0),"※编码不在物料档案里"))</f>
        <v/>
      </c>
      <c r="K2150" s="23" t="n"/>
      <c r="L2150" s="31" t="n"/>
      <c r="M2150" s="24">
        <f>IF($G2150="","",IF($D2150="A国内","CNY","TZS"))</f>
        <v/>
      </c>
      <c r="N2150" s="28">
        <f>IF($G2150="","",IF($D2150="A国内",汇率,1))</f>
        <v/>
      </c>
      <c r="O2150" s="25">
        <f>IF($G2150="","",ROUND(N($K2150)*N($L2150),2))</f>
        <v/>
      </c>
      <c r="P2150" s="26">
        <f>IF($G2150="","",ROUND($O2150*$N2150,0))</f>
        <v/>
      </c>
      <c r="Q2150" s="26">
        <f>IF($G2150="","",SUMIFS($P$4:$P$2503,$E$4:$E$2503,$E2150,$Z$4:$Z$2503,"正常"))</f>
        <v/>
      </c>
      <c r="R2150" s="26">
        <f>IF($G2150="","",SUMIFS(费用台账!$I$4:$I$503,费用台账!$C$4:$C$503,$E2150,费用台账!$J$4:$J$503,"是",费用台账!$K$4:$K$503,"正常"))</f>
        <v/>
      </c>
      <c r="S2150" s="28">
        <f>IF($G2150="","",COUNTIFS($E$4:$E$2503,$E2150,$Z$4:$Z$2503,"正常",$Y$4:$Y$2503,"待补价"))</f>
        <v/>
      </c>
      <c r="T2150" s="26">
        <f>IF($G2150="","",SUMIFS($P$4:$P$2503,$E$4:$E$2503,$E2150,$Z$4:$Z$2503,"正常",$A$4:$A$2503,"&lt;="&amp;$A2150))</f>
        <v/>
      </c>
      <c r="U2150" s="26">
        <f>IF($G2150="","",IF(OR($S2150&gt;0,$Q2150=0,$R2150=0,$Z2150&lt;&gt;"正常"),0,ROUND($T2150/$Q2150*$R2150,0)-ROUND(($T2150-$P2150)/$Q2150*$R2150,0)))</f>
        <v/>
      </c>
      <c r="V2150" s="26">
        <f>IF($G2150="","",ROUND($P2150+$U2150,0))</f>
        <v/>
      </c>
      <c r="W2150" s="26">
        <f>IF($G2150="","",IF(N($K2150)=0,0,ROUND($V2150/$K2150,2)))</f>
        <v/>
      </c>
      <c r="X2150" s="17" t="n"/>
      <c r="Y2150" s="17" t="n"/>
      <c r="Z2150" s="17" t="n"/>
      <c r="AA2150" s="17" t="n"/>
      <c r="AB2150" s="17" t="n"/>
      <c r="AC2150" s="24">
        <f>IF($G2150="","",IF($H2150="※编码不在物料档案里","※物料编码不在档案里",IF(N($K2150)&lt;=0,"※入库数量要大于 0",IF(AND($C2150&lt;&gt;"",$C2150&lt;=结账锁),"※日期早于已结账截止日，不能再录",IF(AND($L2150=0,$X2150="正常"),"※没填单价，价格状态请选「待补价」",IF(AND($S2150&gt;0,$R2150&gt;0),"△本批有 "&amp;$S2150&amp;" 行没单价，整批运费先挂账没摊",IF(AND($B2150&lt;&gt;"",COUNTIF($B$4:$B$2503,$B2150)&gt;1),"※入库单号重复","")))))))</f>
        <v/>
      </c>
    </row>
    <row r="2151">
      <c r="A2151" s="24">
        <f>IF($G2151="","",COUNTA($G$4:$G2151))</f>
        <v/>
      </c>
      <c r="B2151" s="17" t="n"/>
      <c r="C2151" s="30" t="n"/>
      <c r="D2151" s="17" t="n"/>
      <c r="E2151" s="17" t="n"/>
      <c r="F2151" s="17" t="n"/>
      <c r="G2151" s="17" t="n"/>
      <c r="H2151" s="24">
        <f>IF($G2151="","",IFERROR(VLOOKUP($G2151,物料档案!$A$4:$P$1203,3,0),"※编码不在物料档案里"))</f>
        <v/>
      </c>
      <c r="I2151" s="24">
        <f>IF($G2151="","",IFERROR(VLOOKUP($G2151,物料档案!$A$4:$P$1203,4,0),"※编码不在物料档案里"))</f>
        <v/>
      </c>
      <c r="J2151" s="24">
        <f>IF($G2151="","",IFERROR(VLOOKUP($G2151,物料档案!$A$4:$P$1203,5,0),"※编码不在物料档案里"))</f>
        <v/>
      </c>
      <c r="K2151" s="23" t="n"/>
      <c r="L2151" s="31" t="n"/>
      <c r="M2151" s="24">
        <f>IF($G2151="","",IF($D2151="A国内","CNY","TZS"))</f>
        <v/>
      </c>
      <c r="N2151" s="28">
        <f>IF($G2151="","",IF($D2151="A国内",汇率,1))</f>
        <v/>
      </c>
      <c r="O2151" s="25">
        <f>IF($G2151="","",ROUND(N($K2151)*N($L2151),2))</f>
        <v/>
      </c>
      <c r="P2151" s="26">
        <f>IF($G2151="","",ROUND($O2151*$N2151,0))</f>
        <v/>
      </c>
      <c r="Q2151" s="26">
        <f>IF($G2151="","",SUMIFS($P$4:$P$2503,$E$4:$E$2503,$E2151,$Z$4:$Z$2503,"正常"))</f>
        <v/>
      </c>
      <c r="R2151" s="26">
        <f>IF($G2151="","",SUMIFS(费用台账!$I$4:$I$503,费用台账!$C$4:$C$503,$E2151,费用台账!$J$4:$J$503,"是",费用台账!$K$4:$K$503,"正常"))</f>
        <v/>
      </c>
      <c r="S2151" s="28">
        <f>IF($G2151="","",COUNTIFS($E$4:$E$2503,$E2151,$Z$4:$Z$2503,"正常",$Y$4:$Y$2503,"待补价"))</f>
        <v/>
      </c>
      <c r="T2151" s="26">
        <f>IF($G2151="","",SUMIFS($P$4:$P$2503,$E$4:$E$2503,$E2151,$Z$4:$Z$2503,"正常",$A$4:$A$2503,"&lt;="&amp;$A2151))</f>
        <v/>
      </c>
      <c r="U2151" s="26">
        <f>IF($G2151="","",IF(OR($S2151&gt;0,$Q2151=0,$R2151=0,$Z2151&lt;&gt;"正常"),0,ROUND($T2151/$Q2151*$R2151,0)-ROUND(($T2151-$P2151)/$Q2151*$R2151,0)))</f>
        <v/>
      </c>
      <c r="V2151" s="26">
        <f>IF($G2151="","",ROUND($P2151+$U2151,0))</f>
        <v/>
      </c>
      <c r="W2151" s="26">
        <f>IF($G2151="","",IF(N($K2151)=0,0,ROUND($V2151/$K2151,2)))</f>
        <v/>
      </c>
      <c r="X2151" s="17" t="n"/>
      <c r="Y2151" s="17" t="n"/>
      <c r="Z2151" s="17" t="n"/>
      <c r="AA2151" s="17" t="n"/>
      <c r="AB2151" s="17" t="n"/>
      <c r="AC2151" s="24">
        <f>IF($G2151="","",IF($H2151="※编码不在物料档案里","※物料编码不在档案里",IF(N($K2151)&lt;=0,"※入库数量要大于 0",IF(AND($C2151&lt;&gt;"",$C2151&lt;=结账锁),"※日期早于已结账截止日，不能再录",IF(AND($L2151=0,$X2151="正常"),"※没填单价，价格状态请选「待补价」",IF(AND($S2151&gt;0,$R2151&gt;0),"△本批有 "&amp;$S2151&amp;" 行没单价，整批运费先挂账没摊",IF(AND($B2151&lt;&gt;"",COUNTIF($B$4:$B$2503,$B2151)&gt;1),"※入库单号重复","")))))))</f>
        <v/>
      </c>
    </row>
    <row r="2152">
      <c r="A2152" s="24">
        <f>IF($G2152="","",COUNTA($G$4:$G2152))</f>
        <v/>
      </c>
      <c r="B2152" s="17" t="n"/>
      <c r="C2152" s="30" t="n"/>
      <c r="D2152" s="17" t="n"/>
      <c r="E2152" s="17" t="n"/>
      <c r="F2152" s="17" t="n"/>
      <c r="G2152" s="17" t="n"/>
      <c r="H2152" s="24">
        <f>IF($G2152="","",IFERROR(VLOOKUP($G2152,物料档案!$A$4:$P$1203,3,0),"※编码不在物料档案里"))</f>
        <v/>
      </c>
      <c r="I2152" s="24">
        <f>IF($G2152="","",IFERROR(VLOOKUP($G2152,物料档案!$A$4:$P$1203,4,0),"※编码不在物料档案里"))</f>
        <v/>
      </c>
      <c r="J2152" s="24">
        <f>IF($G2152="","",IFERROR(VLOOKUP($G2152,物料档案!$A$4:$P$1203,5,0),"※编码不在物料档案里"))</f>
        <v/>
      </c>
      <c r="K2152" s="23" t="n"/>
      <c r="L2152" s="31" t="n"/>
      <c r="M2152" s="24">
        <f>IF($G2152="","",IF($D2152="A国内","CNY","TZS"))</f>
        <v/>
      </c>
      <c r="N2152" s="28">
        <f>IF($G2152="","",IF($D2152="A国内",汇率,1))</f>
        <v/>
      </c>
      <c r="O2152" s="25">
        <f>IF($G2152="","",ROUND(N($K2152)*N($L2152),2))</f>
        <v/>
      </c>
      <c r="P2152" s="26">
        <f>IF($G2152="","",ROUND($O2152*$N2152,0))</f>
        <v/>
      </c>
      <c r="Q2152" s="26">
        <f>IF($G2152="","",SUMIFS($P$4:$P$2503,$E$4:$E$2503,$E2152,$Z$4:$Z$2503,"正常"))</f>
        <v/>
      </c>
      <c r="R2152" s="26">
        <f>IF($G2152="","",SUMIFS(费用台账!$I$4:$I$503,费用台账!$C$4:$C$503,$E2152,费用台账!$J$4:$J$503,"是",费用台账!$K$4:$K$503,"正常"))</f>
        <v/>
      </c>
      <c r="S2152" s="28">
        <f>IF($G2152="","",COUNTIFS($E$4:$E$2503,$E2152,$Z$4:$Z$2503,"正常",$Y$4:$Y$2503,"待补价"))</f>
        <v/>
      </c>
      <c r="T2152" s="26">
        <f>IF($G2152="","",SUMIFS($P$4:$P$2503,$E$4:$E$2503,$E2152,$Z$4:$Z$2503,"正常",$A$4:$A$2503,"&lt;="&amp;$A2152))</f>
        <v/>
      </c>
      <c r="U2152" s="26">
        <f>IF($G2152="","",IF(OR($S2152&gt;0,$Q2152=0,$R2152=0,$Z2152&lt;&gt;"正常"),0,ROUND($T2152/$Q2152*$R2152,0)-ROUND(($T2152-$P2152)/$Q2152*$R2152,0)))</f>
        <v/>
      </c>
      <c r="V2152" s="26">
        <f>IF($G2152="","",ROUND($P2152+$U2152,0))</f>
        <v/>
      </c>
      <c r="W2152" s="26">
        <f>IF($G2152="","",IF(N($K2152)=0,0,ROUND($V2152/$K2152,2)))</f>
        <v/>
      </c>
      <c r="X2152" s="17" t="n"/>
      <c r="Y2152" s="17" t="n"/>
      <c r="Z2152" s="17" t="n"/>
      <c r="AA2152" s="17" t="n"/>
      <c r="AB2152" s="17" t="n"/>
      <c r="AC2152" s="24">
        <f>IF($G2152="","",IF($H2152="※编码不在物料档案里","※物料编码不在档案里",IF(N($K2152)&lt;=0,"※入库数量要大于 0",IF(AND($C2152&lt;&gt;"",$C2152&lt;=结账锁),"※日期早于已结账截止日，不能再录",IF(AND($L2152=0,$X2152="正常"),"※没填单价，价格状态请选「待补价」",IF(AND($S2152&gt;0,$R2152&gt;0),"△本批有 "&amp;$S2152&amp;" 行没单价，整批运费先挂账没摊",IF(AND($B2152&lt;&gt;"",COUNTIF($B$4:$B$2503,$B2152)&gt;1),"※入库单号重复","")))))))</f>
        <v/>
      </c>
    </row>
    <row r="2153">
      <c r="A2153" s="24">
        <f>IF($G2153="","",COUNTA($G$4:$G2153))</f>
        <v/>
      </c>
      <c r="B2153" s="17" t="n"/>
      <c r="C2153" s="30" t="n"/>
      <c r="D2153" s="17" t="n"/>
      <c r="E2153" s="17" t="n"/>
      <c r="F2153" s="17" t="n"/>
      <c r="G2153" s="17" t="n"/>
      <c r="H2153" s="24">
        <f>IF($G2153="","",IFERROR(VLOOKUP($G2153,物料档案!$A$4:$P$1203,3,0),"※编码不在物料档案里"))</f>
        <v/>
      </c>
      <c r="I2153" s="24">
        <f>IF($G2153="","",IFERROR(VLOOKUP($G2153,物料档案!$A$4:$P$1203,4,0),"※编码不在物料档案里"))</f>
        <v/>
      </c>
      <c r="J2153" s="24">
        <f>IF($G2153="","",IFERROR(VLOOKUP($G2153,物料档案!$A$4:$P$1203,5,0),"※编码不在物料档案里"))</f>
        <v/>
      </c>
      <c r="K2153" s="23" t="n"/>
      <c r="L2153" s="31" t="n"/>
      <c r="M2153" s="24">
        <f>IF($G2153="","",IF($D2153="A国内","CNY","TZS"))</f>
        <v/>
      </c>
      <c r="N2153" s="28">
        <f>IF($G2153="","",IF($D2153="A国内",汇率,1))</f>
        <v/>
      </c>
      <c r="O2153" s="25">
        <f>IF($G2153="","",ROUND(N($K2153)*N($L2153),2))</f>
        <v/>
      </c>
      <c r="P2153" s="26">
        <f>IF($G2153="","",ROUND($O2153*$N2153,0))</f>
        <v/>
      </c>
      <c r="Q2153" s="26">
        <f>IF($G2153="","",SUMIFS($P$4:$P$2503,$E$4:$E$2503,$E2153,$Z$4:$Z$2503,"正常"))</f>
        <v/>
      </c>
      <c r="R2153" s="26">
        <f>IF($G2153="","",SUMIFS(费用台账!$I$4:$I$503,费用台账!$C$4:$C$503,$E2153,费用台账!$J$4:$J$503,"是",费用台账!$K$4:$K$503,"正常"))</f>
        <v/>
      </c>
      <c r="S2153" s="28">
        <f>IF($G2153="","",COUNTIFS($E$4:$E$2503,$E2153,$Z$4:$Z$2503,"正常",$Y$4:$Y$2503,"待补价"))</f>
        <v/>
      </c>
      <c r="T2153" s="26">
        <f>IF($G2153="","",SUMIFS($P$4:$P$2503,$E$4:$E$2503,$E2153,$Z$4:$Z$2503,"正常",$A$4:$A$2503,"&lt;="&amp;$A2153))</f>
        <v/>
      </c>
      <c r="U2153" s="26">
        <f>IF($G2153="","",IF(OR($S2153&gt;0,$Q2153=0,$R2153=0,$Z2153&lt;&gt;"正常"),0,ROUND($T2153/$Q2153*$R2153,0)-ROUND(($T2153-$P2153)/$Q2153*$R2153,0)))</f>
        <v/>
      </c>
      <c r="V2153" s="26">
        <f>IF($G2153="","",ROUND($P2153+$U2153,0))</f>
        <v/>
      </c>
      <c r="W2153" s="26">
        <f>IF($G2153="","",IF(N($K2153)=0,0,ROUND($V2153/$K2153,2)))</f>
        <v/>
      </c>
      <c r="X2153" s="17" t="n"/>
      <c r="Y2153" s="17" t="n"/>
      <c r="Z2153" s="17" t="n"/>
      <c r="AA2153" s="17" t="n"/>
      <c r="AB2153" s="17" t="n"/>
      <c r="AC2153" s="24">
        <f>IF($G2153="","",IF($H2153="※编码不在物料档案里","※物料编码不在档案里",IF(N($K2153)&lt;=0,"※入库数量要大于 0",IF(AND($C2153&lt;&gt;"",$C2153&lt;=结账锁),"※日期早于已结账截止日，不能再录",IF(AND($L2153=0,$X2153="正常"),"※没填单价，价格状态请选「待补价」",IF(AND($S2153&gt;0,$R2153&gt;0),"△本批有 "&amp;$S2153&amp;" 行没单价，整批运费先挂账没摊",IF(AND($B2153&lt;&gt;"",COUNTIF($B$4:$B$2503,$B2153)&gt;1),"※入库单号重复","")))))))</f>
        <v/>
      </c>
    </row>
    <row r="2154">
      <c r="A2154" s="24">
        <f>IF($G2154="","",COUNTA($G$4:$G2154))</f>
        <v/>
      </c>
      <c r="B2154" s="17" t="n"/>
      <c r="C2154" s="30" t="n"/>
      <c r="D2154" s="17" t="n"/>
      <c r="E2154" s="17" t="n"/>
      <c r="F2154" s="17" t="n"/>
      <c r="G2154" s="17" t="n"/>
      <c r="H2154" s="24">
        <f>IF($G2154="","",IFERROR(VLOOKUP($G2154,物料档案!$A$4:$P$1203,3,0),"※编码不在物料档案里"))</f>
        <v/>
      </c>
      <c r="I2154" s="24">
        <f>IF($G2154="","",IFERROR(VLOOKUP($G2154,物料档案!$A$4:$P$1203,4,0),"※编码不在物料档案里"))</f>
        <v/>
      </c>
      <c r="J2154" s="24">
        <f>IF($G2154="","",IFERROR(VLOOKUP($G2154,物料档案!$A$4:$P$1203,5,0),"※编码不在物料档案里"))</f>
        <v/>
      </c>
      <c r="K2154" s="23" t="n"/>
      <c r="L2154" s="31" t="n"/>
      <c r="M2154" s="24">
        <f>IF($G2154="","",IF($D2154="A国内","CNY","TZS"))</f>
        <v/>
      </c>
      <c r="N2154" s="28">
        <f>IF($G2154="","",IF($D2154="A国内",汇率,1))</f>
        <v/>
      </c>
      <c r="O2154" s="25">
        <f>IF($G2154="","",ROUND(N($K2154)*N($L2154),2))</f>
        <v/>
      </c>
      <c r="P2154" s="26">
        <f>IF($G2154="","",ROUND($O2154*$N2154,0))</f>
        <v/>
      </c>
      <c r="Q2154" s="26">
        <f>IF($G2154="","",SUMIFS($P$4:$P$2503,$E$4:$E$2503,$E2154,$Z$4:$Z$2503,"正常"))</f>
        <v/>
      </c>
      <c r="R2154" s="26">
        <f>IF($G2154="","",SUMIFS(费用台账!$I$4:$I$503,费用台账!$C$4:$C$503,$E2154,费用台账!$J$4:$J$503,"是",费用台账!$K$4:$K$503,"正常"))</f>
        <v/>
      </c>
      <c r="S2154" s="28">
        <f>IF($G2154="","",COUNTIFS($E$4:$E$2503,$E2154,$Z$4:$Z$2503,"正常",$Y$4:$Y$2503,"待补价"))</f>
        <v/>
      </c>
      <c r="T2154" s="26">
        <f>IF($G2154="","",SUMIFS($P$4:$P$2503,$E$4:$E$2503,$E2154,$Z$4:$Z$2503,"正常",$A$4:$A$2503,"&lt;="&amp;$A2154))</f>
        <v/>
      </c>
      <c r="U2154" s="26">
        <f>IF($G2154="","",IF(OR($S2154&gt;0,$Q2154=0,$R2154=0,$Z2154&lt;&gt;"正常"),0,ROUND($T2154/$Q2154*$R2154,0)-ROUND(($T2154-$P2154)/$Q2154*$R2154,0)))</f>
        <v/>
      </c>
      <c r="V2154" s="26">
        <f>IF($G2154="","",ROUND($P2154+$U2154,0))</f>
        <v/>
      </c>
      <c r="W2154" s="26">
        <f>IF($G2154="","",IF(N($K2154)=0,0,ROUND($V2154/$K2154,2)))</f>
        <v/>
      </c>
      <c r="X2154" s="17" t="n"/>
      <c r="Y2154" s="17" t="n"/>
      <c r="Z2154" s="17" t="n"/>
      <c r="AA2154" s="17" t="n"/>
      <c r="AB2154" s="17" t="n"/>
      <c r="AC2154" s="24">
        <f>IF($G2154="","",IF($H2154="※编码不在物料档案里","※物料编码不在档案里",IF(N($K2154)&lt;=0,"※入库数量要大于 0",IF(AND($C2154&lt;&gt;"",$C2154&lt;=结账锁),"※日期早于已结账截止日，不能再录",IF(AND($L2154=0,$X2154="正常"),"※没填单价，价格状态请选「待补价」",IF(AND($S2154&gt;0,$R2154&gt;0),"△本批有 "&amp;$S2154&amp;" 行没单价，整批运费先挂账没摊",IF(AND($B2154&lt;&gt;"",COUNTIF($B$4:$B$2503,$B2154)&gt;1),"※入库单号重复","")))))))</f>
        <v/>
      </c>
    </row>
    <row r="2155">
      <c r="A2155" s="24">
        <f>IF($G2155="","",COUNTA($G$4:$G2155))</f>
        <v/>
      </c>
      <c r="B2155" s="17" t="n"/>
      <c r="C2155" s="30" t="n"/>
      <c r="D2155" s="17" t="n"/>
      <c r="E2155" s="17" t="n"/>
      <c r="F2155" s="17" t="n"/>
      <c r="G2155" s="17" t="n"/>
      <c r="H2155" s="24">
        <f>IF($G2155="","",IFERROR(VLOOKUP($G2155,物料档案!$A$4:$P$1203,3,0),"※编码不在物料档案里"))</f>
        <v/>
      </c>
      <c r="I2155" s="24">
        <f>IF($G2155="","",IFERROR(VLOOKUP($G2155,物料档案!$A$4:$P$1203,4,0),"※编码不在物料档案里"))</f>
        <v/>
      </c>
      <c r="J2155" s="24">
        <f>IF($G2155="","",IFERROR(VLOOKUP($G2155,物料档案!$A$4:$P$1203,5,0),"※编码不在物料档案里"))</f>
        <v/>
      </c>
      <c r="K2155" s="23" t="n"/>
      <c r="L2155" s="31" t="n"/>
      <c r="M2155" s="24">
        <f>IF($G2155="","",IF($D2155="A国内","CNY","TZS"))</f>
        <v/>
      </c>
      <c r="N2155" s="28">
        <f>IF($G2155="","",IF($D2155="A国内",汇率,1))</f>
        <v/>
      </c>
      <c r="O2155" s="25">
        <f>IF($G2155="","",ROUND(N($K2155)*N($L2155),2))</f>
        <v/>
      </c>
      <c r="P2155" s="26">
        <f>IF($G2155="","",ROUND($O2155*$N2155,0))</f>
        <v/>
      </c>
      <c r="Q2155" s="26">
        <f>IF($G2155="","",SUMIFS($P$4:$P$2503,$E$4:$E$2503,$E2155,$Z$4:$Z$2503,"正常"))</f>
        <v/>
      </c>
      <c r="R2155" s="26">
        <f>IF($G2155="","",SUMIFS(费用台账!$I$4:$I$503,费用台账!$C$4:$C$503,$E2155,费用台账!$J$4:$J$503,"是",费用台账!$K$4:$K$503,"正常"))</f>
        <v/>
      </c>
      <c r="S2155" s="28">
        <f>IF($G2155="","",COUNTIFS($E$4:$E$2503,$E2155,$Z$4:$Z$2503,"正常",$Y$4:$Y$2503,"待补价"))</f>
        <v/>
      </c>
      <c r="T2155" s="26">
        <f>IF($G2155="","",SUMIFS($P$4:$P$2503,$E$4:$E$2503,$E2155,$Z$4:$Z$2503,"正常",$A$4:$A$2503,"&lt;="&amp;$A2155))</f>
        <v/>
      </c>
      <c r="U2155" s="26">
        <f>IF($G2155="","",IF(OR($S2155&gt;0,$Q2155=0,$R2155=0,$Z2155&lt;&gt;"正常"),0,ROUND($T2155/$Q2155*$R2155,0)-ROUND(($T2155-$P2155)/$Q2155*$R2155,0)))</f>
        <v/>
      </c>
      <c r="V2155" s="26">
        <f>IF($G2155="","",ROUND($P2155+$U2155,0))</f>
        <v/>
      </c>
      <c r="W2155" s="26">
        <f>IF($G2155="","",IF(N($K2155)=0,0,ROUND($V2155/$K2155,2)))</f>
        <v/>
      </c>
      <c r="X2155" s="17" t="n"/>
      <c r="Y2155" s="17" t="n"/>
      <c r="Z2155" s="17" t="n"/>
      <c r="AA2155" s="17" t="n"/>
      <c r="AB2155" s="17" t="n"/>
      <c r="AC2155" s="24">
        <f>IF($G2155="","",IF($H2155="※编码不在物料档案里","※物料编码不在档案里",IF(N($K2155)&lt;=0,"※入库数量要大于 0",IF(AND($C2155&lt;&gt;"",$C2155&lt;=结账锁),"※日期早于已结账截止日，不能再录",IF(AND($L2155=0,$X2155="正常"),"※没填单价，价格状态请选「待补价」",IF(AND($S2155&gt;0,$R2155&gt;0),"△本批有 "&amp;$S2155&amp;" 行没单价，整批运费先挂账没摊",IF(AND($B2155&lt;&gt;"",COUNTIF($B$4:$B$2503,$B2155)&gt;1),"※入库单号重复","")))))))</f>
        <v/>
      </c>
    </row>
    <row r="2156">
      <c r="A2156" s="24">
        <f>IF($G2156="","",COUNTA($G$4:$G2156))</f>
        <v/>
      </c>
      <c r="B2156" s="17" t="n"/>
      <c r="C2156" s="30" t="n"/>
      <c r="D2156" s="17" t="n"/>
      <c r="E2156" s="17" t="n"/>
      <c r="F2156" s="17" t="n"/>
      <c r="G2156" s="17" t="n"/>
      <c r="H2156" s="24">
        <f>IF($G2156="","",IFERROR(VLOOKUP($G2156,物料档案!$A$4:$P$1203,3,0),"※编码不在物料档案里"))</f>
        <v/>
      </c>
      <c r="I2156" s="24">
        <f>IF($G2156="","",IFERROR(VLOOKUP($G2156,物料档案!$A$4:$P$1203,4,0),"※编码不在物料档案里"))</f>
        <v/>
      </c>
      <c r="J2156" s="24">
        <f>IF($G2156="","",IFERROR(VLOOKUP($G2156,物料档案!$A$4:$P$1203,5,0),"※编码不在物料档案里"))</f>
        <v/>
      </c>
      <c r="K2156" s="23" t="n"/>
      <c r="L2156" s="31" t="n"/>
      <c r="M2156" s="24">
        <f>IF($G2156="","",IF($D2156="A国内","CNY","TZS"))</f>
        <v/>
      </c>
      <c r="N2156" s="28">
        <f>IF($G2156="","",IF($D2156="A国内",汇率,1))</f>
        <v/>
      </c>
      <c r="O2156" s="25">
        <f>IF($G2156="","",ROUND(N($K2156)*N($L2156),2))</f>
        <v/>
      </c>
      <c r="P2156" s="26">
        <f>IF($G2156="","",ROUND($O2156*$N2156,0))</f>
        <v/>
      </c>
      <c r="Q2156" s="26">
        <f>IF($G2156="","",SUMIFS($P$4:$P$2503,$E$4:$E$2503,$E2156,$Z$4:$Z$2503,"正常"))</f>
        <v/>
      </c>
      <c r="R2156" s="26">
        <f>IF($G2156="","",SUMIFS(费用台账!$I$4:$I$503,费用台账!$C$4:$C$503,$E2156,费用台账!$J$4:$J$503,"是",费用台账!$K$4:$K$503,"正常"))</f>
        <v/>
      </c>
      <c r="S2156" s="28">
        <f>IF($G2156="","",COUNTIFS($E$4:$E$2503,$E2156,$Z$4:$Z$2503,"正常",$Y$4:$Y$2503,"待补价"))</f>
        <v/>
      </c>
      <c r="T2156" s="26">
        <f>IF($G2156="","",SUMIFS($P$4:$P$2503,$E$4:$E$2503,$E2156,$Z$4:$Z$2503,"正常",$A$4:$A$2503,"&lt;="&amp;$A2156))</f>
        <v/>
      </c>
      <c r="U2156" s="26">
        <f>IF($G2156="","",IF(OR($S2156&gt;0,$Q2156=0,$R2156=0,$Z2156&lt;&gt;"正常"),0,ROUND($T2156/$Q2156*$R2156,0)-ROUND(($T2156-$P2156)/$Q2156*$R2156,0)))</f>
        <v/>
      </c>
      <c r="V2156" s="26">
        <f>IF($G2156="","",ROUND($P2156+$U2156,0))</f>
        <v/>
      </c>
      <c r="W2156" s="26">
        <f>IF($G2156="","",IF(N($K2156)=0,0,ROUND($V2156/$K2156,2)))</f>
        <v/>
      </c>
      <c r="X2156" s="17" t="n"/>
      <c r="Y2156" s="17" t="n"/>
      <c r="Z2156" s="17" t="n"/>
      <c r="AA2156" s="17" t="n"/>
      <c r="AB2156" s="17" t="n"/>
      <c r="AC2156" s="24">
        <f>IF($G2156="","",IF($H2156="※编码不在物料档案里","※物料编码不在档案里",IF(N($K2156)&lt;=0,"※入库数量要大于 0",IF(AND($C2156&lt;&gt;"",$C2156&lt;=结账锁),"※日期早于已结账截止日，不能再录",IF(AND($L2156=0,$X2156="正常"),"※没填单价，价格状态请选「待补价」",IF(AND($S2156&gt;0,$R2156&gt;0),"△本批有 "&amp;$S2156&amp;" 行没单价，整批运费先挂账没摊",IF(AND($B2156&lt;&gt;"",COUNTIF($B$4:$B$2503,$B2156)&gt;1),"※入库单号重复","")))))))</f>
        <v/>
      </c>
    </row>
    <row r="2157">
      <c r="A2157" s="24">
        <f>IF($G2157="","",COUNTA($G$4:$G2157))</f>
        <v/>
      </c>
      <c r="B2157" s="17" t="n"/>
      <c r="C2157" s="30" t="n"/>
      <c r="D2157" s="17" t="n"/>
      <c r="E2157" s="17" t="n"/>
      <c r="F2157" s="17" t="n"/>
      <c r="G2157" s="17" t="n"/>
      <c r="H2157" s="24">
        <f>IF($G2157="","",IFERROR(VLOOKUP($G2157,物料档案!$A$4:$P$1203,3,0),"※编码不在物料档案里"))</f>
        <v/>
      </c>
      <c r="I2157" s="24">
        <f>IF($G2157="","",IFERROR(VLOOKUP($G2157,物料档案!$A$4:$P$1203,4,0),"※编码不在物料档案里"))</f>
        <v/>
      </c>
      <c r="J2157" s="24">
        <f>IF($G2157="","",IFERROR(VLOOKUP($G2157,物料档案!$A$4:$P$1203,5,0),"※编码不在物料档案里"))</f>
        <v/>
      </c>
      <c r="K2157" s="23" t="n"/>
      <c r="L2157" s="31" t="n"/>
      <c r="M2157" s="24">
        <f>IF($G2157="","",IF($D2157="A国内","CNY","TZS"))</f>
        <v/>
      </c>
      <c r="N2157" s="28">
        <f>IF($G2157="","",IF($D2157="A国内",汇率,1))</f>
        <v/>
      </c>
      <c r="O2157" s="25">
        <f>IF($G2157="","",ROUND(N($K2157)*N($L2157),2))</f>
        <v/>
      </c>
      <c r="P2157" s="26">
        <f>IF($G2157="","",ROUND($O2157*$N2157,0))</f>
        <v/>
      </c>
      <c r="Q2157" s="26">
        <f>IF($G2157="","",SUMIFS($P$4:$P$2503,$E$4:$E$2503,$E2157,$Z$4:$Z$2503,"正常"))</f>
        <v/>
      </c>
      <c r="R2157" s="26">
        <f>IF($G2157="","",SUMIFS(费用台账!$I$4:$I$503,费用台账!$C$4:$C$503,$E2157,费用台账!$J$4:$J$503,"是",费用台账!$K$4:$K$503,"正常"))</f>
        <v/>
      </c>
      <c r="S2157" s="28">
        <f>IF($G2157="","",COUNTIFS($E$4:$E$2503,$E2157,$Z$4:$Z$2503,"正常",$Y$4:$Y$2503,"待补价"))</f>
        <v/>
      </c>
      <c r="T2157" s="26">
        <f>IF($G2157="","",SUMIFS($P$4:$P$2503,$E$4:$E$2503,$E2157,$Z$4:$Z$2503,"正常",$A$4:$A$2503,"&lt;="&amp;$A2157))</f>
        <v/>
      </c>
      <c r="U2157" s="26">
        <f>IF($G2157="","",IF(OR($S2157&gt;0,$Q2157=0,$R2157=0,$Z2157&lt;&gt;"正常"),0,ROUND($T2157/$Q2157*$R2157,0)-ROUND(($T2157-$P2157)/$Q2157*$R2157,0)))</f>
        <v/>
      </c>
      <c r="V2157" s="26">
        <f>IF($G2157="","",ROUND($P2157+$U2157,0))</f>
        <v/>
      </c>
      <c r="W2157" s="26">
        <f>IF($G2157="","",IF(N($K2157)=0,0,ROUND($V2157/$K2157,2)))</f>
        <v/>
      </c>
      <c r="X2157" s="17" t="n"/>
      <c r="Y2157" s="17" t="n"/>
      <c r="Z2157" s="17" t="n"/>
      <c r="AA2157" s="17" t="n"/>
      <c r="AB2157" s="17" t="n"/>
      <c r="AC2157" s="24">
        <f>IF($G2157="","",IF($H2157="※编码不在物料档案里","※物料编码不在档案里",IF(N($K2157)&lt;=0,"※入库数量要大于 0",IF(AND($C2157&lt;&gt;"",$C2157&lt;=结账锁),"※日期早于已结账截止日，不能再录",IF(AND($L2157=0,$X2157="正常"),"※没填单价，价格状态请选「待补价」",IF(AND($S2157&gt;0,$R2157&gt;0),"△本批有 "&amp;$S2157&amp;" 行没单价，整批运费先挂账没摊",IF(AND($B2157&lt;&gt;"",COUNTIF($B$4:$B$2503,$B2157)&gt;1),"※入库单号重复","")))))))</f>
        <v/>
      </c>
    </row>
    <row r="2158">
      <c r="A2158" s="24">
        <f>IF($G2158="","",COUNTA($G$4:$G2158))</f>
        <v/>
      </c>
      <c r="B2158" s="17" t="n"/>
      <c r="C2158" s="30" t="n"/>
      <c r="D2158" s="17" t="n"/>
      <c r="E2158" s="17" t="n"/>
      <c r="F2158" s="17" t="n"/>
      <c r="G2158" s="17" t="n"/>
      <c r="H2158" s="24">
        <f>IF($G2158="","",IFERROR(VLOOKUP($G2158,物料档案!$A$4:$P$1203,3,0),"※编码不在物料档案里"))</f>
        <v/>
      </c>
      <c r="I2158" s="24">
        <f>IF($G2158="","",IFERROR(VLOOKUP($G2158,物料档案!$A$4:$P$1203,4,0),"※编码不在物料档案里"))</f>
        <v/>
      </c>
      <c r="J2158" s="24">
        <f>IF($G2158="","",IFERROR(VLOOKUP($G2158,物料档案!$A$4:$P$1203,5,0),"※编码不在物料档案里"))</f>
        <v/>
      </c>
      <c r="K2158" s="23" t="n"/>
      <c r="L2158" s="31" t="n"/>
      <c r="M2158" s="24">
        <f>IF($G2158="","",IF($D2158="A国内","CNY","TZS"))</f>
        <v/>
      </c>
      <c r="N2158" s="28">
        <f>IF($G2158="","",IF($D2158="A国内",汇率,1))</f>
        <v/>
      </c>
      <c r="O2158" s="25">
        <f>IF($G2158="","",ROUND(N($K2158)*N($L2158),2))</f>
        <v/>
      </c>
      <c r="P2158" s="26">
        <f>IF($G2158="","",ROUND($O2158*$N2158,0))</f>
        <v/>
      </c>
      <c r="Q2158" s="26">
        <f>IF($G2158="","",SUMIFS($P$4:$P$2503,$E$4:$E$2503,$E2158,$Z$4:$Z$2503,"正常"))</f>
        <v/>
      </c>
      <c r="R2158" s="26">
        <f>IF($G2158="","",SUMIFS(费用台账!$I$4:$I$503,费用台账!$C$4:$C$503,$E2158,费用台账!$J$4:$J$503,"是",费用台账!$K$4:$K$503,"正常"))</f>
        <v/>
      </c>
      <c r="S2158" s="28">
        <f>IF($G2158="","",COUNTIFS($E$4:$E$2503,$E2158,$Z$4:$Z$2503,"正常",$Y$4:$Y$2503,"待补价"))</f>
        <v/>
      </c>
      <c r="T2158" s="26">
        <f>IF($G2158="","",SUMIFS($P$4:$P$2503,$E$4:$E$2503,$E2158,$Z$4:$Z$2503,"正常",$A$4:$A$2503,"&lt;="&amp;$A2158))</f>
        <v/>
      </c>
      <c r="U2158" s="26">
        <f>IF($G2158="","",IF(OR($S2158&gt;0,$Q2158=0,$R2158=0,$Z2158&lt;&gt;"正常"),0,ROUND($T2158/$Q2158*$R2158,0)-ROUND(($T2158-$P2158)/$Q2158*$R2158,0)))</f>
        <v/>
      </c>
      <c r="V2158" s="26">
        <f>IF($G2158="","",ROUND($P2158+$U2158,0))</f>
        <v/>
      </c>
      <c r="W2158" s="26">
        <f>IF($G2158="","",IF(N($K2158)=0,0,ROUND($V2158/$K2158,2)))</f>
        <v/>
      </c>
      <c r="X2158" s="17" t="n"/>
      <c r="Y2158" s="17" t="n"/>
      <c r="Z2158" s="17" t="n"/>
      <c r="AA2158" s="17" t="n"/>
      <c r="AB2158" s="17" t="n"/>
      <c r="AC2158" s="24">
        <f>IF($G2158="","",IF($H2158="※编码不在物料档案里","※物料编码不在档案里",IF(N($K2158)&lt;=0,"※入库数量要大于 0",IF(AND($C2158&lt;&gt;"",$C2158&lt;=结账锁),"※日期早于已结账截止日，不能再录",IF(AND($L2158=0,$X2158="正常"),"※没填单价，价格状态请选「待补价」",IF(AND($S2158&gt;0,$R2158&gt;0),"△本批有 "&amp;$S2158&amp;" 行没单价，整批运费先挂账没摊",IF(AND($B2158&lt;&gt;"",COUNTIF($B$4:$B$2503,$B2158)&gt;1),"※入库单号重复","")))))))</f>
        <v/>
      </c>
    </row>
    <row r="2159">
      <c r="A2159" s="24">
        <f>IF($G2159="","",COUNTA($G$4:$G2159))</f>
        <v/>
      </c>
      <c r="B2159" s="17" t="n"/>
      <c r="C2159" s="30" t="n"/>
      <c r="D2159" s="17" t="n"/>
      <c r="E2159" s="17" t="n"/>
      <c r="F2159" s="17" t="n"/>
      <c r="G2159" s="17" t="n"/>
      <c r="H2159" s="24">
        <f>IF($G2159="","",IFERROR(VLOOKUP($G2159,物料档案!$A$4:$P$1203,3,0),"※编码不在物料档案里"))</f>
        <v/>
      </c>
      <c r="I2159" s="24">
        <f>IF($G2159="","",IFERROR(VLOOKUP($G2159,物料档案!$A$4:$P$1203,4,0),"※编码不在物料档案里"))</f>
        <v/>
      </c>
      <c r="J2159" s="24">
        <f>IF($G2159="","",IFERROR(VLOOKUP($G2159,物料档案!$A$4:$P$1203,5,0),"※编码不在物料档案里"))</f>
        <v/>
      </c>
      <c r="K2159" s="23" t="n"/>
      <c r="L2159" s="31" t="n"/>
      <c r="M2159" s="24">
        <f>IF($G2159="","",IF($D2159="A国内","CNY","TZS"))</f>
        <v/>
      </c>
      <c r="N2159" s="28">
        <f>IF($G2159="","",IF($D2159="A国内",汇率,1))</f>
        <v/>
      </c>
      <c r="O2159" s="25">
        <f>IF($G2159="","",ROUND(N($K2159)*N($L2159),2))</f>
        <v/>
      </c>
      <c r="P2159" s="26">
        <f>IF($G2159="","",ROUND($O2159*$N2159,0))</f>
        <v/>
      </c>
      <c r="Q2159" s="26">
        <f>IF($G2159="","",SUMIFS($P$4:$P$2503,$E$4:$E$2503,$E2159,$Z$4:$Z$2503,"正常"))</f>
        <v/>
      </c>
      <c r="R2159" s="26">
        <f>IF($G2159="","",SUMIFS(费用台账!$I$4:$I$503,费用台账!$C$4:$C$503,$E2159,费用台账!$J$4:$J$503,"是",费用台账!$K$4:$K$503,"正常"))</f>
        <v/>
      </c>
      <c r="S2159" s="28">
        <f>IF($G2159="","",COUNTIFS($E$4:$E$2503,$E2159,$Z$4:$Z$2503,"正常",$Y$4:$Y$2503,"待补价"))</f>
        <v/>
      </c>
      <c r="T2159" s="26">
        <f>IF($G2159="","",SUMIFS($P$4:$P$2503,$E$4:$E$2503,$E2159,$Z$4:$Z$2503,"正常",$A$4:$A$2503,"&lt;="&amp;$A2159))</f>
        <v/>
      </c>
      <c r="U2159" s="26">
        <f>IF($G2159="","",IF(OR($S2159&gt;0,$Q2159=0,$R2159=0,$Z2159&lt;&gt;"正常"),0,ROUND($T2159/$Q2159*$R2159,0)-ROUND(($T2159-$P2159)/$Q2159*$R2159,0)))</f>
        <v/>
      </c>
      <c r="V2159" s="26">
        <f>IF($G2159="","",ROUND($P2159+$U2159,0))</f>
        <v/>
      </c>
      <c r="W2159" s="26">
        <f>IF($G2159="","",IF(N($K2159)=0,0,ROUND($V2159/$K2159,2)))</f>
        <v/>
      </c>
      <c r="X2159" s="17" t="n"/>
      <c r="Y2159" s="17" t="n"/>
      <c r="Z2159" s="17" t="n"/>
      <c r="AA2159" s="17" t="n"/>
      <c r="AB2159" s="17" t="n"/>
      <c r="AC2159" s="24">
        <f>IF($G2159="","",IF($H2159="※编码不在物料档案里","※物料编码不在档案里",IF(N($K2159)&lt;=0,"※入库数量要大于 0",IF(AND($C2159&lt;&gt;"",$C2159&lt;=结账锁),"※日期早于已结账截止日，不能再录",IF(AND($L2159=0,$X2159="正常"),"※没填单价，价格状态请选「待补价」",IF(AND($S2159&gt;0,$R2159&gt;0),"△本批有 "&amp;$S2159&amp;" 行没单价，整批运费先挂账没摊",IF(AND($B2159&lt;&gt;"",COUNTIF($B$4:$B$2503,$B2159)&gt;1),"※入库单号重复","")))))))</f>
        <v/>
      </c>
    </row>
    <row r="2160">
      <c r="A2160" s="24">
        <f>IF($G2160="","",COUNTA($G$4:$G2160))</f>
        <v/>
      </c>
      <c r="B2160" s="17" t="n"/>
      <c r="C2160" s="30" t="n"/>
      <c r="D2160" s="17" t="n"/>
      <c r="E2160" s="17" t="n"/>
      <c r="F2160" s="17" t="n"/>
      <c r="G2160" s="17" t="n"/>
      <c r="H2160" s="24">
        <f>IF($G2160="","",IFERROR(VLOOKUP($G2160,物料档案!$A$4:$P$1203,3,0),"※编码不在物料档案里"))</f>
        <v/>
      </c>
      <c r="I2160" s="24">
        <f>IF($G2160="","",IFERROR(VLOOKUP($G2160,物料档案!$A$4:$P$1203,4,0),"※编码不在物料档案里"))</f>
        <v/>
      </c>
      <c r="J2160" s="24">
        <f>IF($G2160="","",IFERROR(VLOOKUP($G2160,物料档案!$A$4:$P$1203,5,0),"※编码不在物料档案里"))</f>
        <v/>
      </c>
      <c r="K2160" s="23" t="n"/>
      <c r="L2160" s="31" t="n"/>
      <c r="M2160" s="24">
        <f>IF($G2160="","",IF($D2160="A国内","CNY","TZS"))</f>
        <v/>
      </c>
      <c r="N2160" s="28">
        <f>IF($G2160="","",IF($D2160="A国内",汇率,1))</f>
        <v/>
      </c>
      <c r="O2160" s="25">
        <f>IF($G2160="","",ROUND(N($K2160)*N($L2160),2))</f>
        <v/>
      </c>
      <c r="P2160" s="26">
        <f>IF($G2160="","",ROUND($O2160*$N2160,0))</f>
        <v/>
      </c>
      <c r="Q2160" s="26">
        <f>IF($G2160="","",SUMIFS($P$4:$P$2503,$E$4:$E$2503,$E2160,$Z$4:$Z$2503,"正常"))</f>
        <v/>
      </c>
      <c r="R2160" s="26">
        <f>IF($G2160="","",SUMIFS(费用台账!$I$4:$I$503,费用台账!$C$4:$C$503,$E2160,费用台账!$J$4:$J$503,"是",费用台账!$K$4:$K$503,"正常"))</f>
        <v/>
      </c>
      <c r="S2160" s="28">
        <f>IF($G2160="","",COUNTIFS($E$4:$E$2503,$E2160,$Z$4:$Z$2503,"正常",$Y$4:$Y$2503,"待补价"))</f>
        <v/>
      </c>
      <c r="T2160" s="26">
        <f>IF($G2160="","",SUMIFS($P$4:$P$2503,$E$4:$E$2503,$E2160,$Z$4:$Z$2503,"正常",$A$4:$A$2503,"&lt;="&amp;$A2160))</f>
        <v/>
      </c>
      <c r="U2160" s="26">
        <f>IF($G2160="","",IF(OR($S2160&gt;0,$Q2160=0,$R2160=0,$Z2160&lt;&gt;"正常"),0,ROUND($T2160/$Q2160*$R2160,0)-ROUND(($T2160-$P2160)/$Q2160*$R2160,0)))</f>
        <v/>
      </c>
      <c r="V2160" s="26">
        <f>IF($G2160="","",ROUND($P2160+$U2160,0))</f>
        <v/>
      </c>
      <c r="W2160" s="26">
        <f>IF($G2160="","",IF(N($K2160)=0,0,ROUND($V2160/$K2160,2)))</f>
        <v/>
      </c>
      <c r="X2160" s="17" t="n"/>
      <c r="Y2160" s="17" t="n"/>
      <c r="Z2160" s="17" t="n"/>
      <c r="AA2160" s="17" t="n"/>
      <c r="AB2160" s="17" t="n"/>
      <c r="AC2160" s="24">
        <f>IF($G2160="","",IF($H2160="※编码不在物料档案里","※物料编码不在档案里",IF(N($K2160)&lt;=0,"※入库数量要大于 0",IF(AND($C2160&lt;&gt;"",$C2160&lt;=结账锁),"※日期早于已结账截止日，不能再录",IF(AND($L2160=0,$X2160="正常"),"※没填单价，价格状态请选「待补价」",IF(AND($S2160&gt;0,$R2160&gt;0),"△本批有 "&amp;$S2160&amp;" 行没单价，整批运费先挂账没摊",IF(AND($B2160&lt;&gt;"",COUNTIF($B$4:$B$2503,$B2160)&gt;1),"※入库单号重复","")))))))</f>
        <v/>
      </c>
    </row>
    <row r="2161">
      <c r="A2161" s="24">
        <f>IF($G2161="","",COUNTA($G$4:$G2161))</f>
        <v/>
      </c>
      <c r="B2161" s="17" t="n"/>
      <c r="C2161" s="30" t="n"/>
      <c r="D2161" s="17" t="n"/>
      <c r="E2161" s="17" t="n"/>
      <c r="F2161" s="17" t="n"/>
      <c r="G2161" s="17" t="n"/>
      <c r="H2161" s="24">
        <f>IF($G2161="","",IFERROR(VLOOKUP($G2161,物料档案!$A$4:$P$1203,3,0),"※编码不在物料档案里"))</f>
        <v/>
      </c>
      <c r="I2161" s="24">
        <f>IF($G2161="","",IFERROR(VLOOKUP($G2161,物料档案!$A$4:$P$1203,4,0),"※编码不在物料档案里"))</f>
        <v/>
      </c>
      <c r="J2161" s="24">
        <f>IF($G2161="","",IFERROR(VLOOKUP($G2161,物料档案!$A$4:$P$1203,5,0),"※编码不在物料档案里"))</f>
        <v/>
      </c>
      <c r="K2161" s="23" t="n"/>
      <c r="L2161" s="31" t="n"/>
      <c r="M2161" s="24">
        <f>IF($G2161="","",IF($D2161="A国内","CNY","TZS"))</f>
        <v/>
      </c>
      <c r="N2161" s="28">
        <f>IF($G2161="","",IF($D2161="A国内",汇率,1))</f>
        <v/>
      </c>
      <c r="O2161" s="25">
        <f>IF($G2161="","",ROUND(N($K2161)*N($L2161),2))</f>
        <v/>
      </c>
      <c r="P2161" s="26">
        <f>IF($G2161="","",ROUND($O2161*$N2161,0))</f>
        <v/>
      </c>
      <c r="Q2161" s="26">
        <f>IF($G2161="","",SUMIFS($P$4:$P$2503,$E$4:$E$2503,$E2161,$Z$4:$Z$2503,"正常"))</f>
        <v/>
      </c>
      <c r="R2161" s="26">
        <f>IF($G2161="","",SUMIFS(费用台账!$I$4:$I$503,费用台账!$C$4:$C$503,$E2161,费用台账!$J$4:$J$503,"是",费用台账!$K$4:$K$503,"正常"))</f>
        <v/>
      </c>
      <c r="S2161" s="28">
        <f>IF($G2161="","",COUNTIFS($E$4:$E$2503,$E2161,$Z$4:$Z$2503,"正常",$Y$4:$Y$2503,"待补价"))</f>
        <v/>
      </c>
      <c r="T2161" s="26">
        <f>IF($G2161="","",SUMIFS($P$4:$P$2503,$E$4:$E$2503,$E2161,$Z$4:$Z$2503,"正常",$A$4:$A$2503,"&lt;="&amp;$A2161))</f>
        <v/>
      </c>
      <c r="U2161" s="26">
        <f>IF($G2161="","",IF(OR($S2161&gt;0,$Q2161=0,$R2161=0,$Z2161&lt;&gt;"正常"),0,ROUND($T2161/$Q2161*$R2161,0)-ROUND(($T2161-$P2161)/$Q2161*$R2161,0)))</f>
        <v/>
      </c>
      <c r="V2161" s="26">
        <f>IF($G2161="","",ROUND($P2161+$U2161,0))</f>
        <v/>
      </c>
      <c r="W2161" s="26">
        <f>IF($G2161="","",IF(N($K2161)=0,0,ROUND($V2161/$K2161,2)))</f>
        <v/>
      </c>
      <c r="X2161" s="17" t="n"/>
      <c r="Y2161" s="17" t="n"/>
      <c r="Z2161" s="17" t="n"/>
      <c r="AA2161" s="17" t="n"/>
      <c r="AB2161" s="17" t="n"/>
      <c r="AC2161" s="24">
        <f>IF($G2161="","",IF($H2161="※编码不在物料档案里","※物料编码不在档案里",IF(N($K2161)&lt;=0,"※入库数量要大于 0",IF(AND($C2161&lt;&gt;"",$C2161&lt;=结账锁),"※日期早于已结账截止日，不能再录",IF(AND($L2161=0,$X2161="正常"),"※没填单价，价格状态请选「待补价」",IF(AND($S2161&gt;0,$R2161&gt;0),"△本批有 "&amp;$S2161&amp;" 行没单价，整批运费先挂账没摊",IF(AND($B2161&lt;&gt;"",COUNTIF($B$4:$B$2503,$B2161)&gt;1),"※入库单号重复","")))))))</f>
        <v/>
      </c>
    </row>
    <row r="2162">
      <c r="A2162" s="24">
        <f>IF($G2162="","",COUNTA($G$4:$G2162))</f>
        <v/>
      </c>
      <c r="B2162" s="17" t="n"/>
      <c r="C2162" s="30" t="n"/>
      <c r="D2162" s="17" t="n"/>
      <c r="E2162" s="17" t="n"/>
      <c r="F2162" s="17" t="n"/>
      <c r="G2162" s="17" t="n"/>
      <c r="H2162" s="24">
        <f>IF($G2162="","",IFERROR(VLOOKUP($G2162,物料档案!$A$4:$P$1203,3,0),"※编码不在物料档案里"))</f>
        <v/>
      </c>
      <c r="I2162" s="24">
        <f>IF($G2162="","",IFERROR(VLOOKUP($G2162,物料档案!$A$4:$P$1203,4,0),"※编码不在物料档案里"))</f>
        <v/>
      </c>
      <c r="J2162" s="24">
        <f>IF($G2162="","",IFERROR(VLOOKUP($G2162,物料档案!$A$4:$P$1203,5,0),"※编码不在物料档案里"))</f>
        <v/>
      </c>
      <c r="K2162" s="23" t="n"/>
      <c r="L2162" s="31" t="n"/>
      <c r="M2162" s="24">
        <f>IF($G2162="","",IF($D2162="A国内","CNY","TZS"))</f>
        <v/>
      </c>
      <c r="N2162" s="28">
        <f>IF($G2162="","",IF($D2162="A国内",汇率,1))</f>
        <v/>
      </c>
      <c r="O2162" s="25">
        <f>IF($G2162="","",ROUND(N($K2162)*N($L2162),2))</f>
        <v/>
      </c>
      <c r="P2162" s="26">
        <f>IF($G2162="","",ROUND($O2162*$N2162,0))</f>
        <v/>
      </c>
      <c r="Q2162" s="26">
        <f>IF($G2162="","",SUMIFS($P$4:$P$2503,$E$4:$E$2503,$E2162,$Z$4:$Z$2503,"正常"))</f>
        <v/>
      </c>
      <c r="R2162" s="26">
        <f>IF($G2162="","",SUMIFS(费用台账!$I$4:$I$503,费用台账!$C$4:$C$503,$E2162,费用台账!$J$4:$J$503,"是",费用台账!$K$4:$K$503,"正常"))</f>
        <v/>
      </c>
      <c r="S2162" s="28">
        <f>IF($G2162="","",COUNTIFS($E$4:$E$2503,$E2162,$Z$4:$Z$2503,"正常",$Y$4:$Y$2503,"待补价"))</f>
        <v/>
      </c>
      <c r="T2162" s="26">
        <f>IF($G2162="","",SUMIFS($P$4:$P$2503,$E$4:$E$2503,$E2162,$Z$4:$Z$2503,"正常",$A$4:$A$2503,"&lt;="&amp;$A2162))</f>
        <v/>
      </c>
      <c r="U2162" s="26">
        <f>IF($G2162="","",IF(OR($S2162&gt;0,$Q2162=0,$R2162=0,$Z2162&lt;&gt;"正常"),0,ROUND($T2162/$Q2162*$R2162,0)-ROUND(($T2162-$P2162)/$Q2162*$R2162,0)))</f>
        <v/>
      </c>
      <c r="V2162" s="26">
        <f>IF($G2162="","",ROUND($P2162+$U2162,0))</f>
        <v/>
      </c>
      <c r="W2162" s="26">
        <f>IF($G2162="","",IF(N($K2162)=0,0,ROUND($V2162/$K2162,2)))</f>
        <v/>
      </c>
      <c r="X2162" s="17" t="n"/>
      <c r="Y2162" s="17" t="n"/>
      <c r="Z2162" s="17" t="n"/>
      <c r="AA2162" s="17" t="n"/>
      <c r="AB2162" s="17" t="n"/>
      <c r="AC2162" s="24">
        <f>IF($G2162="","",IF($H2162="※编码不在物料档案里","※物料编码不在档案里",IF(N($K2162)&lt;=0,"※入库数量要大于 0",IF(AND($C2162&lt;&gt;"",$C2162&lt;=结账锁),"※日期早于已结账截止日，不能再录",IF(AND($L2162=0,$X2162="正常"),"※没填单价，价格状态请选「待补价」",IF(AND($S2162&gt;0,$R2162&gt;0),"△本批有 "&amp;$S2162&amp;" 行没单价，整批运费先挂账没摊",IF(AND($B2162&lt;&gt;"",COUNTIF($B$4:$B$2503,$B2162)&gt;1),"※入库单号重复","")))))))</f>
        <v/>
      </c>
    </row>
    <row r="2163">
      <c r="A2163" s="24">
        <f>IF($G2163="","",COUNTA($G$4:$G2163))</f>
        <v/>
      </c>
      <c r="B2163" s="17" t="n"/>
      <c r="C2163" s="30" t="n"/>
      <c r="D2163" s="17" t="n"/>
      <c r="E2163" s="17" t="n"/>
      <c r="F2163" s="17" t="n"/>
      <c r="G2163" s="17" t="n"/>
      <c r="H2163" s="24">
        <f>IF($G2163="","",IFERROR(VLOOKUP($G2163,物料档案!$A$4:$P$1203,3,0),"※编码不在物料档案里"))</f>
        <v/>
      </c>
      <c r="I2163" s="24">
        <f>IF($G2163="","",IFERROR(VLOOKUP($G2163,物料档案!$A$4:$P$1203,4,0),"※编码不在物料档案里"))</f>
        <v/>
      </c>
      <c r="J2163" s="24">
        <f>IF($G2163="","",IFERROR(VLOOKUP($G2163,物料档案!$A$4:$P$1203,5,0),"※编码不在物料档案里"))</f>
        <v/>
      </c>
      <c r="K2163" s="23" t="n"/>
      <c r="L2163" s="31" t="n"/>
      <c r="M2163" s="24">
        <f>IF($G2163="","",IF($D2163="A国内","CNY","TZS"))</f>
        <v/>
      </c>
      <c r="N2163" s="28">
        <f>IF($G2163="","",IF($D2163="A国内",汇率,1))</f>
        <v/>
      </c>
      <c r="O2163" s="25">
        <f>IF($G2163="","",ROUND(N($K2163)*N($L2163),2))</f>
        <v/>
      </c>
      <c r="P2163" s="26">
        <f>IF($G2163="","",ROUND($O2163*$N2163,0))</f>
        <v/>
      </c>
      <c r="Q2163" s="26">
        <f>IF($G2163="","",SUMIFS($P$4:$P$2503,$E$4:$E$2503,$E2163,$Z$4:$Z$2503,"正常"))</f>
        <v/>
      </c>
      <c r="R2163" s="26">
        <f>IF($G2163="","",SUMIFS(费用台账!$I$4:$I$503,费用台账!$C$4:$C$503,$E2163,费用台账!$J$4:$J$503,"是",费用台账!$K$4:$K$503,"正常"))</f>
        <v/>
      </c>
      <c r="S2163" s="28">
        <f>IF($G2163="","",COUNTIFS($E$4:$E$2503,$E2163,$Z$4:$Z$2503,"正常",$Y$4:$Y$2503,"待补价"))</f>
        <v/>
      </c>
      <c r="T2163" s="26">
        <f>IF($G2163="","",SUMIFS($P$4:$P$2503,$E$4:$E$2503,$E2163,$Z$4:$Z$2503,"正常",$A$4:$A$2503,"&lt;="&amp;$A2163))</f>
        <v/>
      </c>
      <c r="U2163" s="26">
        <f>IF($G2163="","",IF(OR($S2163&gt;0,$Q2163=0,$R2163=0,$Z2163&lt;&gt;"正常"),0,ROUND($T2163/$Q2163*$R2163,0)-ROUND(($T2163-$P2163)/$Q2163*$R2163,0)))</f>
        <v/>
      </c>
      <c r="V2163" s="26">
        <f>IF($G2163="","",ROUND($P2163+$U2163,0))</f>
        <v/>
      </c>
      <c r="W2163" s="26">
        <f>IF($G2163="","",IF(N($K2163)=0,0,ROUND($V2163/$K2163,2)))</f>
        <v/>
      </c>
      <c r="X2163" s="17" t="n"/>
      <c r="Y2163" s="17" t="n"/>
      <c r="Z2163" s="17" t="n"/>
      <c r="AA2163" s="17" t="n"/>
      <c r="AB2163" s="17" t="n"/>
      <c r="AC2163" s="24">
        <f>IF($G2163="","",IF($H2163="※编码不在物料档案里","※物料编码不在档案里",IF(N($K2163)&lt;=0,"※入库数量要大于 0",IF(AND($C2163&lt;&gt;"",$C2163&lt;=结账锁),"※日期早于已结账截止日，不能再录",IF(AND($L2163=0,$X2163="正常"),"※没填单价，价格状态请选「待补价」",IF(AND($S2163&gt;0,$R2163&gt;0),"△本批有 "&amp;$S2163&amp;" 行没单价，整批运费先挂账没摊",IF(AND($B2163&lt;&gt;"",COUNTIF($B$4:$B$2503,$B2163)&gt;1),"※入库单号重复","")))))))</f>
        <v/>
      </c>
    </row>
    <row r="2164">
      <c r="A2164" s="24">
        <f>IF($G2164="","",COUNTA($G$4:$G2164))</f>
        <v/>
      </c>
      <c r="B2164" s="17" t="n"/>
      <c r="C2164" s="30" t="n"/>
      <c r="D2164" s="17" t="n"/>
      <c r="E2164" s="17" t="n"/>
      <c r="F2164" s="17" t="n"/>
      <c r="G2164" s="17" t="n"/>
      <c r="H2164" s="24">
        <f>IF($G2164="","",IFERROR(VLOOKUP($G2164,物料档案!$A$4:$P$1203,3,0),"※编码不在物料档案里"))</f>
        <v/>
      </c>
      <c r="I2164" s="24">
        <f>IF($G2164="","",IFERROR(VLOOKUP($G2164,物料档案!$A$4:$P$1203,4,0),"※编码不在物料档案里"))</f>
        <v/>
      </c>
      <c r="J2164" s="24">
        <f>IF($G2164="","",IFERROR(VLOOKUP($G2164,物料档案!$A$4:$P$1203,5,0),"※编码不在物料档案里"))</f>
        <v/>
      </c>
      <c r="K2164" s="23" t="n"/>
      <c r="L2164" s="31" t="n"/>
      <c r="M2164" s="24">
        <f>IF($G2164="","",IF($D2164="A国内","CNY","TZS"))</f>
        <v/>
      </c>
      <c r="N2164" s="28">
        <f>IF($G2164="","",IF($D2164="A国内",汇率,1))</f>
        <v/>
      </c>
      <c r="O2164" s="25">
        <f>IF($G2164="","",ROUND(N($K2164)*N($L2164),2))</f>
        <v/>
      </c>
      <c r="P2164" s="26">
        <f>IF($G2164="","",ROUND($O2164*$N2164,0))</f>
        <v/>
      </c>
      <c r="Q2164" s="26">
        <f>IF($G2164="","",SUMIFS($P$4:$P$2503,$E$4:$E$2503,$E2164,$Z$4:$Z$2503,"正常"))</f>
        <v/>
      </c>
      <c r="R2164" s="26">
        <f>IF($G2164="","",SUMIFS(费用台账!$I$4:$I$503,费用台账!$C$4:$C$503,$E2164,费用台账!$J$4:$J$503,"是",费用台账!$K$4:$K$503,"正常"))</f>
        <v/>
      </c>
      <c r="S2164" s="28">
        <f>IF($G2164="","",COUNTIFS($E$4:$E$2503,$E2164,$Z$4:$Z$2503,"正常",$Y$4:$Y$2503,"待补价"))</f>
        <v/>
      </c>
      <c r="T2164" s="26">
        <f>IF($G2164="","",SUMIFS($P$4:$P$2503,$E$4:$E$2503,$E2164,$Z$4:$Z$2503,"正常",$A$4:$A$2503,"&lt;="&amp;$A2164))</f>
        <v/>
      </c>
      <c r="U2164" s="26">
        <f>IF($G2164="","",IF(OR($S2164&gt;0,$Q2164=0,$R2164=0,$Z2164&lt;&gt;"正常"),0,ROUND($T2164/$Q2164*$R2164,0)-ROUND(($T2164-$P2164)/$Q2164*$R2164,0)))</f>
        <v/>
      </c>
      <c r="V2164" s="26">
        <f>IF($G2164="","",ROUND($P2164+$U2164,0))</f>
        <v/>
      </c>
      <c r="W2164" s="26">
        <f>IF($G2164="","",IF(N($K2164)=0,0,ROUND($V2164/$K2164,2)))</f>
        <v/>
      </c>
      <c r="X2164" s="17" t="n"/>
      <c r="Y2164" s="17" t="n"/>
      <c r="Z2164" s="17" t="n"/>
      <c r="AA2164" s="17" t="n"/>
      <c r="AB2164" s="17" t="n"/>
      <c r="AC2164" s="24">
        <f>IF($G2164="","",IF($H2164="※编码不在物料档案里","※物料编码不在档案里",IF(N($K2164)&lt;=0,"※入库数量要大于 0",IF(AND($C2164&lt;&gt;"",$C2164&lt;=结账锁),"※日期早于已结账截止日，不能再录",IF(AND($L2164=0,$X2164="正常"),"※没填单价，价格状态请选「待补价」",IF(AND($S2164&gt;0,$R2164&gt;0),"△本批有 "&amp;$S2164&amp;" 行没单价，整批运费先挂账没摊",IF(AND($B2164&lt;&gt;"",COUNTIF($B$4:$B$2503,$B2164)&gt;1),"※入库单号重复","")))))))</f>
        <v/>
      </c>
    </row>
    <row r="2165">
      <c r="A2165" s="24">
        <f>IF($G2165="","",COUNTA($G$4:$G2165))</f>
        <v/>
      </c>
      <c r="B2165" s="17" t="n"/>
      <c r="C2165" s="30" t="n"/>
      <c r="D2165" s="17" t="n"/>
      <c r="E2165" s="17" t="n"/>
      <c r="F2165" s="17" t="n"/>
      <c r="G2165" s="17" t="n"/>
      <c r="H2165" s="24">
        <f>IF($G2165="","",IFERROR(VLOOKUP($G2165,物料档案!$A$4:$P$1203,3,0),"※编码不在物料档案里"))</f>
        <v/>
      </c>
      <c r="I2165" s="24">
        <f>IF($G2165="","",IFERROR(VLOOKUP($G2165,物料档案!$A$4:$P$1203,4,0),"※编码不在物料档案里"))</f>
        <v/>
      </c>
      <c r="J2165" s="24">
        <f>IF($G2165="","",IFERROR(VLOOKUP($G2165,物料档案!$A$4:$P$1203,5,0),"※编码不在物料档案里"))</f>
        <v/>
      </c>
      <c r="K2165" s="23" t="n"/>
      <c r="L2165" s="31" t="n"/>
      <c r="M2165" s="24">
        <f>IF($G2165="","",IF($D2165="A国内","CNY","TZS"))</f>
        <v/>
      </c>
      <c r="N2165" s="28">
        <f>IF($G2165="","",IF($D2165="A国内",汇率,1))</f>
        <v/>
      </c>
      <c r="O2165" s="25">
        <f>IF($G2165="","",ROUND(N($K2165)*N($L2165),2))</f>
        <v/>
      </c>
      <c r="P2165" s="26">
        <f>IF($G2165="","",ROUND($O2165*$N2165,0))</f>
        <v/>
      </c>
      <c r="Q2165" s="26">
        <f>IF($G2165="","",SUMIFS($P$4:$P$2503,$E$4:$E$2503,$E2165,$Z$4:$Z$2503,"正常"))</f>
        <v/>
      </c>
      <c r="R2165" s="26">
        <f>IF($G2165="","",SUMIFS(费用台账!$I$4:$I$503,费用台账!$C$4:$C$503,$E2165,费用台账!$J$4:$J$503,"是",费用台账!$K$4:$K$503,"正常"))</f>
        <v/>
      </c>
      <c r="S2165" s="28">
        <f>IF($G2165="","",COUNTIFS($E$4:$E$2503,$E2165,$Z$4:$Z$2503,"正常",$Y$4:$Y$2503,"待补价"))</f>
        <v/>
      </c>
      <c r="T2165" s="26">
        <f>IF($G2165="","",SUMIFS($P$4:$P$2503,$E$4:$E$2503,$E2165,$Z$4:$Z$2503,"正常",$A$4:$A$2503,"&lt;="&amp;$A2165))</f>
        <v/>
      </c>
      <c r="U2165" s="26">
        <f>IF($G2165="","",IF(OR($S2165&gt;0,$Q2165=0,$R2165=0,$Z2165&lt;&gt;"正常"),0,ROUND($T2165/$Q2165*$R2165,0)-ROUND(($T2165-$P2165)/$Q2165*$R2165,0)))</f>
        <v/>
      </c>
      <c r="V2165" s="26">
        <f>IF($G2165="","",ROUND($P2165+$U2165,0))</f>
        <v/>
      </c>
      <c r="W2165" s="26">
        <f>IF($G2165="","",IF(N($K2165)=0,0,ROUND($V2165/$K2165,2)))</f>
        <v/>
      </c>
      <c r="X2165" s="17" t="n"/>
      <c r="Y2165" s="17" t="n"/>
      <c r="Z2165" s="17" t="n"/>
      <c r="AA2165" s="17" t="n"/>
      <c r="AB2165" s="17" t="n"/>
      <c r="AC2165" s="24">
        <f>IF($G2165="","",IF($H2165="※编码不在物料档案里","※物料编码不在档案里",IF(N($K2165)&lt;=0,"※入库数量要大于 0",IF(AND($C2165&lt;&gt;"",$C2165&lt;=结账锁),"※日期早于已结账截止日，不能再录",IF(AND($L2165=0,$X2165="正常"),"※没填单价，价格状态请选「待补价」",IF(AND($S2165&gt;0,$R2165&gt;0),"△本批有 "&amp;$S2165&amp;" 行没单价，整批运费先挂账没摊",IF(AND($B2165&lt;&gt;"",COUNTIF($B$4:$B$2503,$B2165)&gt;1),"※入库单号重复","")))))))</f>
        <v/>
      </c>
    </row>
    <row r="2166">
      <c r="A2166" s="24">
        <f>IF($G2166="","",COUNTA($G$4:$G2166))</f>
        <v/>
      </c>
      <c r="B2166" s="17" t="n"/>
      <c r="C2166" s="30" t="n"/>
      <c r="D2166" s="17" t="n"/>
      <c r="E2166" s="17" t="n"/>
      <c r="F2166" s="17" t="n"/>
      <c r="G2166" s="17" t="n"/>
      <c r="H2166" s="24">
        <f>IF($G2166="","",IFERROR(VLOOKUP($G2166,物料档案!$A$4:$P$1203,3,0),"※编码不在物料档案里"))</f>
        <v/>
      </c>
      <c r="I2166" s="24">
        <f>IF($G2166="","",IFERROR(VLOOKUP($G2166,物料档案!$A$4:$P$1203,4,0),"※编码不在物料档案里"))</f>
        <v/>
      </c>
      <c r="J2166" s="24">
        <f>IF($G2166="","",IFERROR(VLOOKUP($G2166,物料档案!$A$4:$P$1203,5,0),"※编码不在物料档案里"))</f>
        <v/>
      </c>
      <c r="K2166" s="23" t="n"/>
      <c r="L2166" s="31" t="n"/>
      <c r="M2166" s="24">
        <f>IF($G2166="","",IF($D2166="A国内","CNY","TZS"))</f>
        <v/>
      </c>
      <c r="N2166" s="28">
        <f>IF($G2166="","",IF($D2166="A国内",汇率,1))</f>
        <v/>
      </c>
      <c r="O2166" s="25">
        <f>IF($G2166="","",ROUND(N($K2166)*N($L2166),2))</f>
        <v/>
      </c>
      <c r="P2166" s="26">
        <f>IF($G2166="","",ROUND($O2166*$N2166,0))</f>
        <v/>
      </c>
      <c r="Q2166" s="26">
        <f>IF($G2166="","",SUMIFS($P$4:$P$2503,$E$4:$E$2503,$E2166,$Z$4:$Z$2503,"正常"))</f>
        <v/>
      </c>
      <c r="R2166" s="26">
        <f>IF($G2166="","",SUMIFS(费用台账!$I$4:$I$503,费用台账!$C$4:$C$503,$E2166,费用台账!$J$4:$J$503,"是",费用台账!$K$4:$K$503,"正常"))</f>
        <v/>
      </c>
      <c r="S2166" s="28">
        <f>IF($G2166="","",COUNTIFS($E$4:$E$2503,$E2166,$Z$4:$Z$2503,"正常",$Y$4:$Y$2503,"待补价"))</f>
        <v/>
      </c>
      <c r="T2166" s="26">
        <f>IF($G2166="","",SUMIFS($P$4:$P$2503,$E$4:$E$2503,$E2166,$Z$4:$Z$2503,"正常",$A$4:$A$2503,"&lt;="&amp;$A2166))</f>
        <v/>
      </c>
      <c r="U2166" s="26">
        <f>IF($G2166="","",IF(OR($S2166&gt;0,$Q2166=0,$R2166=0,$Z2166&lt;&gt;"正常"),0,ROUND($T2166/$Q2166*$R2166,0)-ROUND(($T2166-$P2166)/$Q2166*$R2166,0)))</f>
        <v/>
      </c>
      <c r="V2166" s="26">
        <f>IF($G2166="","",ROUND($P2166+$U2166,0))</f>
        <v/>
      </c>
      <c r="W2166" s="26">
        <f>IF($G2166="","",IF(N($K2166)=0,0,ROUND($V2166/$K2166,2)))</f>
        <v/>
      </c>
      <c r="X2166" s="17" t="n"/>
      <c r="Y2166" s="17" t="n"/>
      <c r="Z2166" s="17" t="n"/>
      <c r="AA2166" s="17" t="n"/>
      <c r="AB2166" s="17" t="n"/>
      <c r="AC2166" s="24">
        <f>IF($G2166="","",IF($H2166="※编码不在物料档案里","※物料编码不在档案里",IF(N($K2166)&lt;=0,"※入库数量要大于 0",IF(AND($C2166&lt;&gt;"",$C2166&lt;=结账锁),"※日期早于已结账截止日，不能再录",IF(AND($L2166=0,$X2166="正常"),"※没填单价，价格状态请选「待补价」",IF(AND($S2166&gt;0,$R2166&gt;0),"△本批有 "&amp;$S2166&amp;" 行没单价，整批运费先挂账没摊",IF(AND($B2166&lt;&gt;"",COUNTIF($B$4:$B$2503,$B2166)&gt;1),"※入库单号重复","")))))))</f>
        <v/>
      </c>
    </row>
    <row r="2167">
      <c r="A2167" s="24">
        <f>IF($G2167="","",COUNTA($G$4:$G2167))</f>
        <v/>
      </c>
      <c r="B2167" s="17" t="n"/>
      <c r="C2167" s="30" t="n"/>
      <c r="D2167" s="17" t="n"/>
      <c r="E2167" s="17" t="n"/>
      <c r="F2167" s="17" t="n"/>
      <c r="G2167" s="17" t="n"/>
      <c r="H2167" s="24">
        <f>IF($G2167="","",IFERROR(VLOOKUP($G2167,物料档案!$A$4:$P$1203,3,0),"※编码不在物料档案里"))</f>
        <v/>
      </c>
      <c r="I2167" s="24">
        <f>IF($G2167="","",IFERROR(VLOOKUP($G2167,物料档案!$A$4:$P$1203,4,0),"※编码不在物料档案里"))</f>
        <v/>
      </c>
      <c r="J2167" s="24">
        <f>IF($G2167="","",IFERROR(VLOOKUP($G2167,物料档案!$A$4:$P$1203,5,0),"※编码不在物料档案里"))</f>
        <v/>
      </c>
      <c r="K2167" s="23" t="n"/>
      <c r="L2167" s="31" t="n"/>
      <c r="M2167" s="24">
        <f>IF($G2167="","",IF($D2167="A国内","CNY","TZS"))</f>
        <v/>
      </c>
      <c r="N2167" s="28">
        <f>IF($G2167="","",IF($D2167="A国内",汇率,1))</f>
        <v/>
      </c>
      <c r="O2167" s="25">
        <f>IF($G2167="","",ROUND(N($K2167)*N($L2167),2))</f>
        <v/>
      </c>
      <c r="P2167" s="26">
        <f>IF($G2167="","",ROUND($O2167*$N2167,0))</f>
        <v/>
      </c>
      <c r="Q2167" s="26">
        <f>IF($G2167="","",SUMIFS($P$4:$P$2503,$E$4:$E$2503,$E2167,$Z$4:$Z$2503,"正常"))</f>
        <v/>
      </c>
      <c r="R2167" s="26">
        <f>IF($G2167="","",SUMIFS(费用台账!$I$4:$I$503,费用台账!$C$4:$C$503,$E2167,费用台账!$J$4:$J$503,"是",费用台账!$K$4:$K$503,"正常"))</f>
        <v/>
      </c>
      <c r="S2167" s="28">
        <f>IF($G2167="","",COUNTIFS($E$4:$E$2503,$E2167,$Z$4:$Z$2503,"正常",$Y$4:$Y$2503,"待补价"))</f>
        <v/>
      </c>
      <c r="T2167" s="26">
        <f>IF($G2167="","",SUMIFS($P$4:$P$2503,$E$4:$E$2503,$E2167,$Z$4:$Z$2503,"正常",$A$4:$A$2503,"&lt;="&amp;$A2167))</f>
        <v/>
      </c>
      <c r="U2167" s="26">
        <f>IF($G2167="","",IF(OR($S2167&gt;0,$Q2167=0,$R2167=0,$Z2167&lt;&gt;"正常"),0,ROUND($T2167/$Q2167*$R2167,0)-ROUND(($T2167-$P2167)/$Q2167*$R2167,0)))</f>
        <v/>
      </c>
      <c r="V2167" s="26">
        <f>IF($G2167="","",ROUND($P2167+$U2167,0))</f>
        <v/>
      </c>
      <c r="W2167" s="26">
        <f>IF($G2167="","",IF(N($K2167)=0,0,ROUND($V2167/$K2167,2)))</f>
        <v/>
      </c>
      <c r="X2167" s="17" t="n"/>
      <c r="Y2167" s="17" t="n"/>
      <c r="Z2167" s="17" t="n"/>
      <c r="AA2167" s="17" t="n"/>
      <c r="AB2167" s="17" t="n"/>
      <c r="AC2167" s="24">
        <f>IF($G2167="","",IF($H2167="※编码不在物料档案里","※物料编码不在档案里",IF(N($K2167)&lt;=0,"※入库数量要大于 0",IF(AND($C2167&lt;&gt;"",$C2167&lt;=结账锁),"※日期早于已结账截止日，不能再录",IF(AND($L2167=0,$X2167="正常"),"※没填单价，价格状态请选「待补价」",IF(AND($S2167&gt;0,$R2167&gt;0),"△本批有 "&amp;$S2167&amp;" 行没单价，整批运费先挂账没摊",IF(AND($B2167&lt;&gt;"",COUNTIF($B$4:$B$2503,$B2167)&gt;1),"※入库单号重复","")))))))</f>
        <v/>
      </c>
    </row>
    <row r="2168">
      <c r="A2168" s="24">
        <f>IF($G2168="","",COUNTA($G$4:$G2168))</f>
        <v/>
      </c>
      <c r="B2168" s="17" t="n"/>
      <c r="C2168" s="30" t="n"/>
      <c r="D2168" s="17" t="n"/>
      <c r="E2168" s="17" t="n"/>
      <c r="F2168" s="17" t="n"/>
      <c r="G2168" s="17" t="n"/>
      <c r="H2168" s="24">
        <f>IF($G2168="","",IFERROR(VLOOKUP($G2168,物料档案!$A$4:$P$1203,3,0),"※编码不在物料档案里"))</f>
        <v/>
      </c>
      <c r="I2168" s="24">
        <f>IF($G2168="","",IFERROR(VLOOKUP($G2168,物料档案!$A$4:$P$1203,4,0),"※编码不在物料档案里"))</f>
        <v/>
      </c>
      <c r="J2168" s="24">
        <f>IF($G2168="","",IFERROR(VLOOKUP($G2168,物料档案!$A$4:$P$1203,5,0),"※编码不在物料档案里"))</f>
        <v/>
      </c>
      <c r="K2168" s="23" t="n"/>
      <c r="L2168" s="31" t="n"/>
      <c r="M2168" s="24">
        <f>IF($G2168="","",IF($D2168="A国内","CNY","TZS"))</f>
        <v/>
      </c>
      <c r="N2168" s="28">
        <f>IF($G2168="","",IF($D2168="A国内",汇率,1))</f>
        <v/>
      </c>
      <c r="O2168" s="25">
        <f>IF($G2168="","",ROUND(N($K2168)*N($L2168),2))</f>
        <v/>
      </c>
      <c r="P2168" s="26">
        <f>IF($G2168="","",ROUND($O2168*$N2168,0))</f>
        <v/>
      </c>
      <c r="Q2168" s="26">
        <f>IF($G2168="","",SUMIFS($P$4:$P$2503,$E$4:$E$2503,$E2168,$Z$4:$Z$2503,"正常"))</f>
        <v/>
      </c>
      <c r="R2168" s="26">
        <f>IF($G2168="","",SUMIFS(费用台账!$I$4:$I$503,费用台账!$C$4:$C$503,$E2168,费用台账!$J$4:$J$503,"是",费用台账!$K$4:$K$503,"正常"))</f>
        <v/>
      </c>
      <c r="S2168" s="28">
        <f>IF($G2168="","",COUNTIFS($E$4:$E$2503,$E2168,$Z$4:$Z$2503,"正常",$Y$4:$Y$2503,"待补价"))</f>
        <v/>
      </c>
      <c r="T2168" s="26">
        <f>IF($G2168="","",SUMIFS($P$4:$P$2503,$E$4:$E$2503,$E2168,$Z$4:$Z$2503,"正常",$A$4:$A$2503,"&lt;="&amp;$A2168))</f>
        <v/>
      </c>
      <c r="U2168" s="26">
        <f>IF($G2168="","",IF(OR($S2168&gt;0,$Q2168=0,$R2168=0,$Z2168&lt;&gt;"正常"),0,ROUND($T2168/$Q2168*$R2168,0)-ROUND(($T2168-$P2168)/$Q2168*$R2168,0)))</f>
        <v/>
      </c>
      <c r="V2168" s="26">
        <f>IF($G2168="","",ROUND($P2168+$U2168,0))</f>
        <v/>
      </c>
      <c r="W2168" s="26">
        <f>IF($G2168="","",IF(N($K2168)=0,0,ROUND($V2168/$K2168,2)))</f>
        <v/>
      </c>
      <c r="X2168" s="17" t="n"/>
      <c r="Y2168" s="17" t="n"/>
      <c r="Z2168" s="17" t="n"/>
      <c r="AA2168" s="17" t="n"/>
      <c r="AB2168" s="17" t="n"/>
      <c r="AC2168" s="24">
        <f>IF($G2168="","",IF($H2168="※编码不在物料档案里","※物料编码不在档案里",IF(N($K2168)&lt;=0,"※入库数量要大于 0",IF(AND($C2168&lt;&gt;"",$C2168&lt;=结账锁),"※日期早于已结账截止日，不能再录",IF(AND($L2168=0,$X2168="正常"),"※没填单价，价格状态请选「待补价」",IF(AND($S2168&gt;0,$R2168&gt;0),"△本批有 "&amp;$S2168&amp;" 行没单价，整批运费先挂账没摊",IF(AND($B2168&lt;&gt;"",COUNTIF($B$4:$B$2503,$B2168)&gt;1),"※入库单号重复","")))))))</f>
        <v/>
      </c>
    </row>
    <row r="2169">
      <c r="A2169" s="24">
        <f>IF($G2169="","",COUNTA($G$4:$G2169))</f>
        <v/>
      </c>
      <c r="B2169" s="17" t="n"/>
      <c r="C2169" s="30" t="n"/>
      <c r="D2169" s="17" t="n"/>
      <c r="E2169" s="17" t="n"/>
      <c r="F2169" s="17" t="n"/>
      <c r="G2169" s="17" t="n"/>
      <c r="H2169" s="24">
        <f>IF($G2169="","",IFERROR(VLOOKUP($G2169,物料档案!$A$4:$P$1203,3,0),"※编码不在物料档案里"))</f>
        <v/>
      </c>
      <c r="I2169" s="24">
        <f>IF($G2169="","",IFERROR(VLOOKUP($G2169,物料档案!$A$4:$P$1203,4,0),"※编码不在物料档案里"))</f>
        <v/>
      </c>
      <c r="J2169" s="24">
        <f>IF($G2169="","",IFERROR(VLOOKUP($G2169,物料档案!$A$4:$P$1203,5,0),"※编码不在物料档案里"))</f>
        <v/>
      </c>
      <c r="K2169" s="23" t="n"/>
      <c r="L2169" s="31" t="n"/>
      <c r="M2169" s="24">
        <f>IF($G2169="","",IF($D2169="A国内","CNY","TZS"))</f>
        <v/>
      </c>
      <c r="N2169" s="28">
        <f>IF($G2169="","",IF($D2169="A国内",汇率,1))</f>
        <v/>
      </c>
      <c r="O2169" s="25">
        <f>IF($G2169="","",ROUND(N($K2169)*N($L2169),2))</f>
        <v/>
      </c>
      <c r="P2169" s="26">
        <f>IF($G2169="","",ROUND($O2169*$N2169,0))</f>
        <v/>
      </c>
      <c r="Q2169" s="26">
        <f>IF($G2169="","",SUMIFS($P$4:$P$2503,$E$4:$E$2503,$E2169,$Z$4:$Z$2503,"正常"))</f>
        <v/>
      </c>
      <c r="R2169" s="26">
        <f>IF($G2169="","",SUMIFS(费用台账!$I$4:$I$503,费用台账!$C$4:$C$503,$E2169,费用台账!$J$4:$J$503,"是",费用台账!$K$4:$K$503,"正常"))</f>
        <v/>
      </c>
      <c r="S2169" s="28">
        <f>IF($G2169="","",COUNTIFS($E$4:$E$2503,$E2169,$Z$4:$Z$2503,"正常",$Y$4:$Y$2503,"待补价"))</f>
        <v/>
      </c>
      <c r="T2169" s="26">
        <f>IF($G2169="","",SUMIFS($P$4:$P$2503,$E$4:$E$2503,$E2169,$Z$4:$Z$2503,"正常",$A$4:$A$2503,"&lt;="&amp;$A2169))</f>
        <v/>
      </c>
      <c r="U2169" s="26">
        <f>IF($G2169="","",IF(OR($S2169&gt;0,$Q2169=0,$R2169=0,$Z2169&lt;&gt;"正常"),0,ROUND($T2169/$Q2169*$R2169,0)-ROUND(($T2169-$P2169)/$Q2169*$R2169,0)))</f>
        <v/>
      </c>
      <c r="V2169" s="26">
        <f>IF($G2169="","",ROUND($P2169+$U2169,0))</f>
        <v/>
      </c>
      <c r="W2169" s="26">
        <f>IF($G2169="","",IF(N($K2169)=0,0,ROUND($V2169/$K2169,2)))</f>
        <v/>
      </c>
      <c r="X2169" s="17" t="n"/>
      <c r="Y2169" s="17" t="n"/>
      <c r="Z2169" s="17" t="n"/>
      <c r="AA2169" s="17" t="n"/>
      <c r="AB2169" s="17" t="n"/>
      <c r="AC2169" s="24">
        <f>IF($G2169="","",IF($H2169="※编码不在物料档案里","※物料编码不在档案里",IF(N($K2169)&lt;=0,"※入库数量要大于 0",IF(AND($C2169&lt;&gt;"",$C2169&lt;=结账锁),"※日期早于已结账截止日，不能再录",IF(AND($L2169=0,$X2169="正常"),"※没填单价，价格状态请选「待补价」",IF(AND($S2169&gt;0,$R2169&gt;0),"△本批有 "&amp;$S2169&amp;" 行没单价，整批运费先挂账没摊",IF(AND($B2169&lt;&gt;"",COUNTIF($B$4:$B$2503,$B2169)&gt;1),"※入库单号重复","")))))))</f>
        <v/>
      </c>
    </row>
    <row r="2170">
      <c r="A2170" s="24">
        <f>IF($G2170="","",COUNTA($G$4:$G2170))</f>
        <v/>
      </c>
      <c r="B2170" s="17" t="n"/>
      <c r="C2170" s="30" t="n"/>
      <c r="D2170" s="17" t="n"/>
      <c r="E2170" s="17" t="n"/>
      <c r="F2170" s="17" t="n"/>
      <c r="G2170" s="17" t="n"/>
      <c r="H2170" s="24">
        <f>IF($G2170="","",IFERROR(VLOOKUP($G2170,物料档案!$A$4:$P$1203,3,0),"※编码不在物料档案里"))</f>
        <v/>
      </c>
      <c r="I2170" s="24">
        <f>IF($G2170="","",IFERROR(VLOOKUP($G2170,物料档案!$A$4:$P$1203,4,0),"※编码不在物料档案里"))</f>
        <v/>
      </c>
      <c r="J2170" s="24">
        <f>IF($G2170="","",IFERROR(VLOOKUP($G2170,物料档案!$A$4:$P$1203,5,0),"※编码不在物料档案里"))</f>
        <v/>
      </c>
      <c r="K2170" s="23" t="n"/>
      <c r="L2170" s="31" t="n"/>
      <c r="M2170" s="24">
        <f>IF($G2170="","",IF($D2170="A国内","CNY","TZS"))</f>
        <v/>
      </c>
      <c r="N2170" s="28">
        <f>IF($G2170="","",IF($D2170="A国内",汇率,1))</f>
        <v/>
      </c>
      <c r="O2170" s="25">
        <f>IF($G2170="","",ROUND(N($K2170)*N($L2170),2))</f>
        <v/>
      </c>
      <c r="P2170" s="26">
        <f>IF($G2170="","",ROUND($O2170*$N2170,0))</f>
        <v/>
      </c>
      <c r="Q2170" s="26">
        <f>IF($G2170="","",SUMIFS($P$4:$P$2503,$E$4:$E$2503,$E2170,$Z$4:$Z$2503,"正常"))</f>
        <v/>
      </c>
      <c r="R2170" s="26">
        <f>IF($G2170="","",SUMIFS(费用台账!$I$4:$I$503,费用台账!$C$4:$C$503,$E2170,费用台账!$J$4:$J$503,"是",费用台账!$K$4:$K$503,"正常"))</f>
        <v/>
      </c>
      <c r="S2170" s="28">
        <f>IF($G2170="","",COUNTIFS($E$4:$E$2503,$E2170,$Z$4:$Z$2503,"正常",$Y$4:$Y$2503,"待补价"))</f>
        <v/>
      </c>
      <c r="T2170" s="26">
        <f>IF($G2170="","",SUMIFS($P$4:$P$2503,$E$4:$E$2503,$E2170,$Z$4:$Z$2503,"正常",$A$4:$A$2503,"&lt;="&amp;$A2170))</f>
        <v/>
      </c>
      <c r="U2170" s="26">
        <f>IF($G2170="","",IF(OR($S2170&gt;0,$Q2170=0,$R2170=0,$Z2170&lt;&gt;"正常"),0,ROUND($T2170/$Q2170*$R2170,0)-ROUND(($T2170-$P2170)/$Q2170*$R2170,0)))</f>
        <v/>
      </c>
      <c r="V2170" s="26">
        <f>IF($G2170="","",ROUND($P2170+$U2170,0))</f>
        <v/>
      </c>
      <c r="W2170" s="26">
        <f>IF($G2170="","",IF(N($K2170)=0,0,ROUND($V2170/$K2170,2)))</f>
        <v/>
      </c>
      <c r="X2170" s="17" t="n"/>
      <c r="Y2170" s="17" t="n"/>
      <c r="Z2170" s="17" t="n"/>
      <c r="AA2170" s="17" t="n"/>
      <c r="AB2170" s="17" t="n"/>
      <c r="AC2170" s="24">
        <f>IF($G2170="","",IF($H2170="※编码不在物料档案里","※物料编码不在档案里",IF(N($K2170)&lt;=0,"※入库数量要大于 0",IF(AND($C2170&lt;&gt;"",$C2170&lt;=结账锁),"※日期早于已结账截止日，不能再录",IF(AND($L2170=0,$X2170="正常"),"※没填单价，价格状态请选「待补价」",IF(AND($S2170&gt;0,$R2170&gt;0),"△本批有 "&amp;$S2170&amp;" 行没单价，整批运费先挂账没摊",IF(AND($B2170&lt;&gt;"",COUNTIF($B$4:$B$2503,$B2170)&gt;1),"※入库单号重复","")))))))</f>
        <v/>
      </c>
    </row>
    <row r="2171">
      <c r="A2171" s="24">
        <f>IF($G2171="","",COUNTA($G$4:$G2171))</f>
        <v/>
      </c>
      <c r="B2171" s="17" t="n"/>
      <c r="C2171" s="30" t="n"/>
      <c r="D2171" s="17" t="n"/>
      <c r="E2171" s="17" t="n"/>
      <c r="F2171" s="17" t="n"/>
      <c r="G2171" s="17" t="n"/>
      <c r="H2171" s="24">
        <f>IF($G2171="","",IFERROR(VLOOKUP($G2171,物料档案!$A$4:$P$1203,3,0),"※编码不在物料档案里"))</f>
        <v/>
      </c>
      <c r="I2171" s="24">
        <f>IF($G2171="","",IFERROR(VLOOKUP($G2171,物料档案!$A$4:$P$1203,4,0),"※编码不在物料档案里"))</f>
        <v/>
      </c>
      <c r="J2171" s="24">
        <f>IF($G2171="","",IFERROR(VLOOKUP($G2171,物料档案!$A$4:$P$1203,5,0),"※编码不在物料档案里"))</f>
        <v/>
      </c>
      <c r="K2171" s="23" t="n"/>
      <c r="L2171" s="31" t="n"/>
      <c r="M2171" s="24">
        <f>IF($G2171="","",IF($D2171="A国内","CNY","TZS"))</f>
        <v/>
      </c>
      <c r="N2171" s="28">
        <f>IF($G2171="","",IF($D2171="A国内",汇率,1))</f>
        <v/>
      </c>
      <c r="O2171" s="25">
        <f>IF($G2171="","",ROUND(N($K2171)*N($L2171),2))</f>
        <v/>
      </c>
      <c r="P2171" s="26">
        <f>IF($G2171="","",ROUND($O2171*$N2171,0))</f>
        <v/>
      </c>
      <c r="Q2171" s="26">
        <f>IF($G2171="","",SUMIFS($P$4:$P$2503,$E$4:$E$2503,$E2171,$Z$4:$Z$2503,"正常"))</f>
        <v/>
      </c>
      <c r="R2171" s="26">
        <f>IF($G2171="","",SUMIFS(费用台账!$I$4:$I$503,费用台账!$C$4:$C$503,$E2171,费用台账!$J$4:$J$503,"是",费用台账!$K$4:$K$503,"正常"))</f>
        <v/>
      </c>
      <c r="S2171" s="28">
        <f>IF($G2171="","",COUNTIFS($E$4:$E$2503,$E2171,$Z$4:$Z$2503,"正常",$Y$4:$Y$2503,"待补价"))</f>
        <v/>
      </c>
      <c r="T2171" s="26">
        <f>IF($G2171="","",SUMIFS($P$4:$P$2503,$E$4:$E$2503,$E2171,$Z$4:$Z$2503,"正常",$A$4:$A$2503,"&lt;="&amp;$A2171))</f>
        <v/>
      </c>
      <c r="U2171" s="26">
        <f>IF($G2171="","",IF(OR($S2171&gt;0,$Q2171=0,$R2171=0,$Z2171&lt;&gt;"正常"),0,ROUND($T2171/$Q2171*$R2171,0)-ROUND(($T2171-$P2171)/$Q2171*$R2171,0)))</f>
        <v/>
      </c>
      <c r="V2171" s="26">
        <f>IF($G2171="","",ROUND($P2171+$U2171,0))</f>
        <v/>
      </c>
      <c r="W2171" s="26">
        <f>IF($G2171="","",IF(N($K2171)=0,0,ROUND($V2171/$K2171,2)))</f>
        <v/>
      </c>
      <c r="X2171" s="17" t="n"/>
      <c r="Y2171" s="17" t="n"/>
      <c r="Z2171" s="17" t="n"/>
      <c r="AA2171" s="17" t="n"/>
      <c r="AB2171" s="17" t="n"/>
      <c r="AC2171" s="24">
        <f>IF($G2171="","",IF($H2171="※编码不在物料档案里","※物料编码不在档案里",IF(N($K2171)&lt;=0,"※入库数量要大于 0",IF(AND($C2171&lt;&gt;"",$C2171&lt;=结账锁),"※日期早于已结账截止日，不能再录",IF(AND($L2171=0,$X2171="正常"),"※没填单价，价格状态请选「待补价」",IF(AND($S2171&gt;0,$R2171&gt;0),"△本批有 "&amp;$S2171&amp;" 行没单价，整批运费先挂账没摊",IF(AND($B2171&lt;&gt;"",COUNTIF($B$4:$B$2503,$B2171)&gt;1),"※入库单号重复","")))))))</f>
        <v/>
      </c>
    </row>
    <row r="2172">
      <c r="A2172" s="24">
        <f>IF($G2172="","",COUNTA($G$4:$G2172))</f>
        <v/>
      </c>
      <c r="B2172" s="17" t="n"/>
      <c r="C2172" s="30" t="n"/>
      <c r="D2172" s="17" t="n"/>
      <c r="E2172" s="17" t="n"/>
      <c r="F2172" s="17" t="n"/>
      <c r="G2172" s="17" t="n"/>
      <c r="H2172" s="24">
        <f>IF($G2172="","",IFERROR(VLOOKUP($G2172,物料档案!$A$4:$P$1203,3,0),"※编码不在物料档案里"))</f>
        <v/>
      </c>
      <c r="I2172" s="24">
        <f>IF($G2172="","",IFERROR(VLOOKUP($G2172,物料档案!$A$4:$P$1203,4,0),"※编码不在物料档案里"))</f>
        <v/>
      </c>
      <c r="J2172" s="24">
        <f>IF($G2172="","",IFERROR(VLOOKUP($G2172,物料档案!$A$4:$P$1203,5,0),"※编码不在物料档案里"))</f>
        <v/>
      </c>
      <c r="K2172" s="23" t="n"/>
      <c r="L2172" s="31" t="n"/>
      <c r="M2172" s="24">
        <f>IF($G2172="","",IF($D2172="A国内","CNY","TZS"))</f>
        <v/>
      </c>
      <c r="N2172" s="28">
        <f>IF($G2172="","",IF($D2172="A国内",汇率,1))</f>
        <v/>
      </c>
      <c r="O2172" s="25">
        <f>IF($G2172="","",ROUND(N($K2172)*N($L2172),2))</f>
        <v/>
      </c>
      <c r="P2172" s="26">
        <f>IF($G2172="","",ROUND($O2172*$N2172,0))</f>
        <v/>
      </c>
      <c r="Q2172" s="26">
        <f>IF($G2172="","",SUMIFS($P$4:$P$2503,$E$4:$E$2503,$E2172,$Z$4:$Z$2503,"正常"))</f>
        <v/>
      </c>
      <c r="R2172" s="26">
        <f>IF($G2172="","",SUMIFS(费用台账!$I$4:$I$503,费用台账!$C$4:$C$503,$E2172,费用台账!$J$4:$J$503,"是",费用台账!$K$4:$K$503,"正常"))</f>
        <v/>
      </c>
      <c r="S2172" s="28">
        <f>IF($G2172="","",COUNTIFS($E$4:$E$2503,$E2172,$Z$4:$Z$2503,"正常",$Y$4:$Y$2503,"待补价"))</f>
        <v/>
      </c>
      <c r="T2172" s="26">
        <f>IF($G2172="","",SUMIFS($P$4:$P$2503,$E$4:$E$2503,$E2172,$Z$4:$Z$2503,"正常",$A$4:$A$2503,"&lt;="&amp;$A2172))</f>
        <v/>
      </c>
      <c r="U2172" s="26">
        <f>IF($G2172="","",IF(OR($S2172&gt;0,$Q2172=0,$R2172=0,$Z2172&lt;&gt;"正常"),0,ROUND($T2172/$Q2172*$R2172,0)-ROUND(($T2172-$P2172)/$Q2172*$R2172,0)))</f>
        <v/>
      </c>
      <c r="V2172" s="26">
        <f>IF($G2172="","",ROUND($P2172+$U2172,0))</f>
        <v/>
      </c>
      <c r="W2172" s="26">
        <f>IF($G2172="","",IF(N($K2172)=0,0,ROUND($V2172/$K2172,2)))</f>
        <v/>
      </c>
      <c r="X2172" s="17" t="n"/>
      <c r="Y2172" s="17" t="n"/>
      <c r="Z2172" s="17" t="n"/>
      <c r="AA2172" s="17" t="n"/>
      <c r="AB2172" s="17" t="n"/>
      <c r="AC2172" s="24">
        <f>IF($G2172="","",IF($H2172="※编码不在物料档案里","※物料编码不在档案里",IF(N($K2172)&lt;=0,"※入库数量要大于 0",IF(AND($C2172&lt;&gt;"",$C2172&lt;=结账锁),"※日期早于已结账截止日，不能再录",IF(AND($L2172=0,$X2172="正常"),"※没填单价，价格状态请选「待补价」",IF(AND($S2172&gt;0,$R2172&gt;0),"△本批有 "&amp;$S2172&amp;" 行没单价，整批运费先挂账没摊",IF(AND($B2172&lt;&gt;"",COUNTIF($B$4:$B$2503,$B2172)&gt;1),"※入库单号重复","")))))))</f>
        <v/>
      </c>
    </row>
    <row r="2173">
      <c r="A2173" s="24">
        <f>IF($G2173="","",COUNTA($G$4:$G2173))</f>
        <v/>
      </c>
      <c r="B2173" s="17" t="n"/>
      <c r="C2173" s="30" t="n"/>
      <c r="D2173" s="17" t="n"/>
      <c r="E2173" s="17" t="n"/>
      <c r="F2173" s="17" t="n"/>
      <c r="G2173" s="17" t="n"/>
      <c r="H2173" s="24">
        <f>IF($G2173="","",IFERROR(VLOOKUP($G2173,物料档案!$A$4:$P$1203,3,0),"※编码不在物料档案里"))</f>
        <v/>
      </c>
      <c r="I2173" s="24">
        <f>IF($G2173="","",IFERROR(VLOOKUP($G2173,物料档案!$A$4:$P$1203,4,0),"※编码不在物料档案里"))</f>
        <v/>
      </c>
      <c r="J2173" s="24">
        <f>IF($G2173="","",IFERROR(VLOOKUP($G2173,物料档案!$A$4:$P$1203,5,0),"※编码不在物料档案里"))</f>
        <v/>
      </c>
      <c r="K2173" s="23" t="n"/>
      <c r="L2173" s="31" t="n"/>
      <c r="M2173" s="24">
        <f>IF($G2173="","",IF($D2173="A国内","CNY","TZS"))</f>
        <v/>
      </c>
      <c r="N2173" s="28">
        <f>IF($G2173="","",IF($D2173="A国内",汇率,1))</f>
        <v/>
      </c>
      <c r="O2173" s="25">
        <f>IF($G2173="","",ROUND(N($K2173)*N($L2173),2))</f>
        <v/>
      </c>
      <c r="P2173" s="26">
        <f>IF($G2173="","",ROUND($O2173*$N2173,0))</f>
        <v/>
      </c>
      <c r="Q2173" s="26">
        <f>IF($G2173="","",SUMIFS($P$4:$P$2503,$E$4:$E$2503,$E2173,$Z$4:$Z$2503,"正常"))</f>
        <v/>
      </c>
      <c r="R2173" s="26">
        <f>IF($G2173="","",SUMIFS(费用台账!$I$4:$I$503,费用台账!$C$4:$C$503,$E2173,费用台账!$J$4:$J$503,"是",费用台账!$K$4:$K$503,"正常"))</f>
        <v/>
      </c>
      <c r="S2173" s="28">
        <f>IF($G2173="","",COUNTIFS($E$4:$E$2503,$E2173,$Z$4:$Z$2503,"正常",$Y$4:$Y$2503,"待补价"))</f>
        <v/>
      </c>
      <c r="T2173" s="26">
        <f>IF($G2173="","",SUMIFS($P$4:$P$2503,$E$4:$E$2503,$E2173,$Z$4:$Z$2503,"正常",$A$4:$A$2503,"&lt;="&amp;$A2173))</f>
        <v/>
      </c>
      <c r="U2173" s="26">
        <f>IF($G2173="","",IF(OR($S2173&gt;0,$Q2173=0,$R2173=0,$Z2173&lt;&gt;"正常"),0,ROUND($T2173/$Q2173*$R2173,0)-ROUND(($T2173-$P2173)/$Q2173*$R2173,0)))</f>
        <v/>
      </c>
      <c r="V2173" s="26">
        <f>IF($G2173="","",ROUND($P2173+$U2173,0))</f>
        <v/>
      </c>
      <c r="W2173" s="26">
        <f>IF($G2173="","",IF(N($K2173)=0,0,ROUND($V2173/$K2173,2)))</f>
        <v/>
      </c>
      <c r="X2173" s="17" t="n"/>
      <c r="Y2173" s="17" t="n"/>
      <c r="Z2173" s="17" t="n"/>
      <c r="AA2173" s="17" t="n"/>
      <c r="AB2173" s="17" t="n"/>
      <c r="AC2173" s="24">
        <f>IF($G2173="","",IF($H2173="※编码不在物料档案里","※物料编码不在档案里",IF(N($K2173)&lt;=0,"※入库数量要大于 0",IF(AND($C2173&lt;&gt;"",$C2173&lt;=结账锁),"※日期早于已结账截止日，不能再录",IF(AND($L2173=0,$X2173="正常"),"※没填单价，价格状态请选「待补价」",IF(AND($S2173&gt;0,$R2173&gt;0),"△本批有 "&amp;$S2173&amp;" 行没单价，整批运费先挂账没摊",IF(AND($B2173&lt;&gt;"",COUNTIF($B$4:$B$2503,$B2173)&gt;1),"※入库单号重复","")))))))</f>
        <v/>
      </c>
    </row>
    <row r="2174">
      <c r="A2174" s="24">
        <f>IF($G2174="","",COUNTA($G$4:$G2174))</f>
        <v/>
      </c>
      <c r="B2174" s="17" t="n"/>
      <c r="C2174" s="30" t="n"/>
      <c r="D2174" s="17" t="n"/>
      <c r="E2174" s="17" t="n"/>
      <c r="F2174" s="17" t="n"/>
      <c r="G2174" s="17" t="n"/>
      <c r="H2174" s="24">
        <f>IF($G2174="","",IFERROR(VLOOKUP($G2174,物料档案!$A$4:$P$1203,3,0),"※编码不在物料档案里"))</f>
        <v/>
      </c>
      <c r="I2174" s="24">
        <f>IF($G2174="","",IFERROR(VLOOKUP($G2174,物料档案!$A$4:$P$1203,4,0),"※编码不在物料档案里"))</f>
        <v/>
      </c>
      <c r="J2174" s="24">
        <f>IF($G2174="","",IFERROR(VLOOKUP($G2174,物料档案!$A$4:$P$1203,5,0),"※编码不在物料档案里"))</f>
        <v/>
      </c>
      <c r="K2174" s="23" t="n"/>
      <c r="L2174" s="31" t="n"/>
      <c r="M2174" s="24">
        <f>IF($G2174="","",IF($D2174="A国内","CNY","TZS"))</f>
        <v/>
      </c>
      <c r="N2174" s="28">
        <f>IF($G2174="","",IF($D2174="A国内",汇率,1))</f>
        <v/>
      </c>
      <c r="O2174" s="25">
        <f>IF($G2174="","",ROUND(N($K2174)*N($L2174),2))</f>
        <v/>
      </c>
      <c r="P2174" s="26">
        <f>IF($G2174="","",ROUND($O2174*$N2174,0))</f>
        <v/>
      </c>
      <c r="Q2174" s="26">
        <f>IF($G2174="","",SUMIFS($P$4:$P$2503,$E$4:$E$2503,$E2174,$Z$4:$Z$2503,"正常"))</f>
        <v/>
      </c>
      <c r="R2174" s="26">
        <f>IF($G2174="","",SUMIFS(费用台账!$I$4:$I$503,费用台账!$C$4:$C$503,$E2174,费用台账!$J$4:$J$503,"是",费用台账!$K$4:$K$503,"正常"))</f>
        <v/>
      </c>
      <c r="S2174" s="28">
        <f>IF($G2174="","",COUNTIFS($E$4:$E$2503,$E2174,$Z$4:$Z$2503,"正常",$Y$4:$Y$2503,"待补价"))</f>
        <v/>
      </c>
      <c r="T2174" s="26">
        <f>IF($G2174="","",SUMIFS($P$4:$P$2503,$E$4:$E$2503,$E2174,$Z$4:$Z$2503,"正常",$A$4:$A$2503,"&lt;="&amp;$A2174))</f>
        <v/>
      </c>
      <c r="U2174" s="26">
        <f>IF($G2174="","",IF(OR($S2174&gt;0,$Q2174=0,$R2174=0,$Z2174&lt;&gt;"正常"),0,ROUND($T2174/$Q2174*$R2174,0)-ROUND(($T2174-$P2174)/$Q2174*$R2174,0)))</f>
        <v/>
      </c>
      <c r="V2174" s="26">
        <f>IF($G2174="","",ROUND($P2174+$U2174,0))</f>
        <v/>
      </c>
      <c r="W2174" s="26">
        <f>IF($G2174="","",IF(N($K2174)=0,0,ROUND($V2174/$K2174,2)))</f>
        <v/>
      </c>
      <c r="X2174" s="17" t="n"/>
      <c r="Y2174" s="17" t="n"/>
      <c r="Z2174" s="17" t="n"/>
      <c r="AA2174" s="17" t="n"/>
      <c r="AB2174" s="17" t="n"/>
      <c r="AC2174" s="24">
        <f>IF($G2174="","",IF($H2174="※编码不在物料档案里","※物料编码不在档案里",IF(N($K2174)&lt;=0,"※入库数量要大于 0",IF(AND($C2174&lt;&gt;"",$C2174&lt;=结账锁),"※日期早于已结账截止日，不能再录",IF(AND($L2174=0,$X2174="正常"),"※没填单价，价格状态请选「待补价」",IF(AND($S2174&gt;0,$R2174&gt;0),"△本批有 "&amp;$S2174&amp;" 行没单价，整批运费先挂账没摊",IF(AND($B2174&lt;&gt;"",COUNTIF($B$4:$B$2503,$B2174)&gt;1),"※入库单号重复","")))))))</f>
        <v/>
      </c>
    </row>
    <row r="2175">
      <c r="A2175" s="24">
        <f>IF($G2175="","",COUNTA($G$4:$G2175))</f>
        <v/>
      </c>
      <c r="B2175" s="17" t="n"/>
      <c r="C2175" s="30" t="n"/>
      <c r="D2175" s="17" t="n"/>
      <c r="E2175" s="17" t="n"/>
      <c r="F2175" s="17" t="n"/>
      <c r="G2175" s="17" t="n"/>
      <c r="H2175" s="24">
        <f>IF($G2175="","",IFERROR(VLOOKUP($G2175,物料档案!$A$4:$P$1203,3,0),"※编码不在物料档案里"))</f>
        <v/>
      </c>
      <c r="I2175" s="24">
        <f>IF($G2175="","",IFERROR(VLOOKUP($G2175,物料档案!$A$4:$P$1203,4,0),"※编码不在物料档案里"))</f>
        <v/>
      </c>
      <c r="J2175" s="24">
        <f>IF($G2175="","",IFERROR(VLOOKUP($G2175,物料档案!$A$4:$P$1203,5,0),"※编码不在物料档案里"))</f>
        <v/>
      </c>
      <c r="K2175" s="23" t="n"/>
      <c r="L2175" s="31" t="n"/>
      <c r="M2175" s="24">
        <f>IF($G2175="","",IF($D2175="A国内","CNY","TZS"))</f>
        <v/>
      </c>
      <c r="N2175" s="28">
        <f>IF($G2175="","",IF($D2175="A国内",汇率,1))</f>
        <v/>
      </c>
      <c r="O2175" s="25">
        <f>IF($G2175="","",ROUND(N($K2175)*N($L2175),2))</f>
        <v/>
      </c>
      <c r="P2175" s="26">
        <f>IF($G2175="","",ROUND($O2175*$N2175,0))</f>
        <v/>
      </c>
      <c r="Q2175" s="26">
        <f>IF($G2175="","",SUMIFS($P$4:$P$2503,$E$4:$E$2503,$E2175,$Z$4:$Z$2503,"正常"))</f>
        <v/>
      </c>
      <c r="R2175" s="26">
        <f>IF($G2175="","",SUMIFS(费用台账!$I$4:$I$503,费用台账!$C$4:$C$503,$E2175,费用台账!$J$4:$J$503,"是",费用台账!$K$4:$K$503,"正常"))</f>
        <v/>
      </c>
      <c r="S2175" s="28">
        <f>IF($G2175="","",COUNTIFS($E$4:$E$2503,$E2175,$Z$4:$Z$2503,"正常",$Y$4:$Y$2503,"待补价"))</f>
        <v/>
      </c>
      <c r="T2175" s="26">
        <f>IF($G2175="","",SUMIFS($P$4:$P$2503,$E$4:$E$2503,$E2175,$Z$4:$Z$2503,"正常",$A$4:$A$2503,"&lt;="&amp;$A2175))</f>
        <v/>
      </c>
      <c r="U2175" s="26">
        <f>IF($G2175="","",IF(OR($S2175&gt;0,$Q2175=0,$R2175=0,$Z2175&lt;&gt;"正常"),0,ROUND($T2175/$Q2175*$R2175,0)-ROUND(($T2175-$P2175)/$Q2175*$R2175,0)))</f>
        <v/>
      </c>
      <c r="V2175" s="26">
        <f>IF($G2175="","",ROUND($P2175+$U2175,0))</f>
        <v/>
      </c>
      <c r="W2175" s="26">
        <f>IF($G2175="","",IF(N($K2175)=0,0,ROUND($V2175/$K2175,2)))</f>
        <v/>
      </c>
      <c r="X2175" s="17" t="n"/>
      <c r="Y2175" s="17" t="n"/>
      <c r="Z2175" s="17" t="n"/>
      <c r="AA2175" s="17" t="n"/>
      <c r="AB2175" s="17" t="n"/>
      <c r="AC2175" s="24">
        <f>IF($G2175="","",IF($H2175="※编码不在物料档案里","※物料编码不在档案里",IF(N($K2175)&lt;=0,"※入库数量要大于 0",IF(AND($C2175&lt;&gt;"",$C2175&lt;=结账锁),"※日期早于已结账截止日，不能再录",IF(AND($L2175=0,$X2175="正常"),"※没填单价，价格状态请选「待补价」",IF(AND($S2175&gt;0,$R2175&gt;0),"△本批有 "&amp;$S2175&amp;" 行没单价，整批运费先挂账没摊",IF(AND($B2175&lt;&gt;"",COUNTIF($B$4:$B$2503,$B2175)&gt;1),"※入库单号重复","")))))))</f>
        <v/>
      </c>
    </row>
    <row r="2176">
      <c r="A2176" s="24">
        <f>IF($G2176="","",COUNTA($G$4:$G2176))</f>
        <v/>
      </c>
      <c r="B2176" s="17" t="n"/>
      <c r="C2176" s="30" t="n"/>
      <c r="D2176" s="17" t="n"/>
      <c r="E2176" s="17" t="n"/>
      <c r="F2176" s="17" t="n"/>
      <c r="G2176" s="17" t="n"/>
      <c r="H2176" s="24">
        <f>IF($G2176="","",IFERROR(VLOOKUP($G2176,物料档案!$A$4:$P$1203,3,0),"※编码不在物料档案里"))</f>
        <v/>
      </c>
      <c r="I2176" s="24">
        <f>IF($G2176="","",IFERROR(VLOOKUP($G2176,物料档案!$A$4:$P$1203,4,0),"※编码不在物料档案里"))</f>
        <v/>
      </c>
      <c r="J2176" s="24">
        <f>IF($G2176="","",IFERROR(VLOOKUP($G2176,物料档案!$A$4:$P$1203,5,0),"※编码不在物料档案里"))</f>
        <v/>
      </c>
      <c r="K2176" s="23" t="n"/>
      <c r="L2176" s="31" t="n"/>
      <c r="M2176" s="24">
        <f>IF($G2176="","",IF($D2176="A国内","CNY","TZS"))</f>
        <v/>
      </c>
      <c r="N2176" s="28">
        <f>IF($G2176="","",IF($D2176="A国内",汇率,1))</f>
        <v/>
      </c>
      <c r="O2176" s="25">
        <f>IF($G2176="","",ROUND(N($K2176)*N($L2176),2))</f>
        <v/>
      </c>
      <c r="P2176" s="26">
        <f>IF($G2176="","",ROUND($O2176*$N2176,0))</f>
        <v/>
      </c>
      <c r="Q2176" s="26">
        <f>IF($G2176="","",SUMIFS($P$4:$P$2503,$E$4:$E$2503,$E2176,$Z$4:$Z$2503,"正常"))</f>
        <v/>
      </c>
      <c r="R2176" s="26">
        <f>IF($G2176="","",SUMIFS(费用台账!$I$4:$I$503,费用台账!$C$4:$C$503,$E2176,费用台账!$J$4:$J$503,"是",费用台账!$K$4:$K$503,"正常"))</f>
        <v/>
      </c>
      <c r="S2176" s="28">
        <f>IF($G2176="","",COUNTIFS($E$4:$E$2503,$E2176,$Z$4:$Z$2503,"正常",$Y$4:$Y$2503,"待补价"))</f>
        <v/>
      </c>
      <c r="T2176" s="26">
        <f>IF($G2176="","",SUMIFS($P$4:$P$2503,$E$4:$E$2503,$E2176,$Z$4:$Z$2503,"正常",$A$4:$A$2503,"&lt;="&amp;$A2176))</f>
        <v/>
      </c>
      <c r="U2176" s="26">
        <f>IF($G2176="","",IF(OR($S2176&gt;0,$Q2176=0,$R2176=0,$Z2176&lt;&gt;"正常"),0,ROUND($T2176/$Q2176*$R2176,0)-ROUND(($T2176-$P2176)/$Q2176*$R2176,0)))</f>
        <v/>
      </c>
      <c r="V2176" s="26">
        <f>IF($G2176="","",ROUND($P2176+$U2176,0))</f>
        <v/>
      </c>
      <c r="W2176" s="26">
        <f>IF($G2176="","",IF(N($K2176)=0,0,ROUND($V2176/$K2176,2)))</f>
        <v/>
      </c>
      <c r="X2176" s="17" t="n"/>
      <c r="Y2176" s="17" t="n"/>
      <c r="Z2176" s="17" t="n"/>
      <c r="AA2176" s="17" t="n"/>
      <c r="AB2176" s="17" t="n"/>
      <c r="AC2176" s="24">
        <f>IF($G2176="","",IF($H2176="※编码不在物料档案里","※物料编码不在档案里",IF(N($K2176)&lt;=0,"※入库数量要大于 0",IF(AND($C2176&lt;&gt;"",$C2176&lt;=结账锁),"※日期早于已结账截止日，不能再录",IF(AND($L2176=0,$X2176="正常"),"※没填单价，价格状态请选「待补价」",IF(AND($S2176&gt;0,$R2176&gt;0),"△本批有 "&amp;$S2176&amp;" 行没单价，整批运费先挂账没摊",IF(AND($B2176&lt;&gt;"",COUNTIF($B$4:$B$2503,$B2176)&gt;1),"※入库单号重复","")))))))</f>
        <v/>
      </c>
    </row>
    <row r="2177">
      <c r="A2177" s="24">
        <f>IF($G2177="","",COUNTA($G$4:$G2177))</f>
        <v/>
      </c>
      <c r="B2177" s="17" t="n"/>
      <c r="C2177" s="30" t="n"/>
      <c r="D2177" s="17" t="n"/>
      <c r="E2177" s="17" t="n"/>
      <c r="F2177" s="17" t="n"/>
      <c r="G2177" s="17" t="n"/>
      <c r="H2177" s="24">
        <f>IF($G2177="","",IFERROR(VLOOKUP($G2177,物料档案!$A$4:$P$1203,3,0),"※编码不在物料档案里"))</f>
        <v/>
      </c>
      <c r="I2177" s="24">
        <f>IF($G2177="","",IFERROR(VLOOKUP($G2177,物料档案!$A$4:$P$1203,4,0),"※编码不在物料档案里"))</f>
        <v/>
      </c>
      <c r="J2177" s="24">
        <f>IF($G2177="","",IFERROR(VLOOKUP($G2177,物料档案!$A$4:$P$1203,5,0),"※编码不在物料档案里"))</f>
        <v/>
      </c>
      <c r="K2177" s="23" t="n"/>
      <c r="L2177" s="31" t="n"/>
      <c r="M2177" s="24">
        <f>IF($G2177="","",IF($D2177="A国内","CNY","TZS"))</f>
        <v/>
      </c>
      <c r="N2177" s="28">
        <f>IF($G2177="","",IF($D2177="A国内",汇率,1))</f>
        <v/>
      </c>
      <c r="O2177" s="25">
        <f>IF($G2177="","",ROUND(N($K2177)*N($L2177),2))</f>
        <v/>
      </c>
      <c r="P2177" s="26">
        <f>IF($G2177="","",ROUND($O2177*$N2177,0))</f>
        <v/>
      </c>
      <c r="Q2177" s="26">
        <f>IF($G2177="","",SUMIFS($P$4:$P$2503,$E$4:$E$2503,$E2177,$Z$4:$Z$2503,"正常"))</f>
        <v/>
      </c>
      <c r="R2177" s="26">
        <f>IF($G2177="","",SUMIFS(费用台账!$I$4:$I$503,费用台账!$C$4:$C$503,$E2177,费用台账!$J$4:$J$503,"是",费用台账!$K$4:$K$503,"正常"))</f>
        <v/>
      </c>
      <c r="S2177" s="28">
        <f>IF($G2177="","",COUNTIFS($E$4:$E$2503,$E2177,$Z$4:$Z$2503,"正常",$Y$4:$Y$2503,"待补价"))</f>
        <v/>
      </c>
      <c r="T2177" s="26">
        <f>IF($G2177="","",SUMIFS($P$4:$P$2503,$E$4:$E$2503,$E2177,$Z$4:$Z$2503,"正常",$A$4:$A$2503,"&lt;="&amp;$A2177))</f>
        <v/>
      </c>
      <c r="U2177" s="26">
        <f>IF($G2177="","",IF(OR($S2177&gt;0,$Q2177=0,$R2177=0,$Z2177&lt;&gt;"正常"),0,ROUND($T2177/$Q2177*$R2177,0)-ROUND(($T2177-$P2177)/$Q2177*$R2177,0)))</f>
        <v/>
      </c>
      <c r="V2177" s="26">
        <f>IF($G2177="","",ROUND($P2177+$U2177,0))</f>
        <v/>
      </c>
      <c r="W2177" s="26">
        <f>IF($G2177="","",IF(N($K2177)=0,0,ROUND($V2177/$K2177,2)))</f>
        <v/>
      </c>
      <c r="X2177" s="17" t="n"/>
      <c r="Y2177" s="17" t="n"/>
      <c r="Z2177" s="17" t="n"/>
      <c r="AA2177" s="17" t="n"/>
      <c r="AB2177" s="17" t="n"/>
      <c r="AC2177" s="24">
        <f>IF($G2177="","",IF($H2177="※编码不在物料档案里","※物料编码不在档案里",IF(N($K2177)&lt;=0,"※入库数量要大于 0",IF(AND($C2177&lt;&gt;"",$C2177&lt;=结账锁),"※日期早于已结账截止日，不能再录",IF(AND($L2177=0,$X2177="正常"),"※没填单价，价格状态请选「待补价」",IF(AND($S2177&gt;0,$R2177&gt;0),"△本批有 "&amp;$S2177&amp;" 行没单价，整批运费先挂账没摊",IF(AND($B2177&lt;&gt;"",COUNTIF($B$4:$B$2503,$B2177)&gt;1),"※入库单号重复","")))))))</f>
        <v/>
      </c>
    </row>
    <row r="2178">
      <c r="A2178" s="24">
        <f>IF($G2178="","",COUNTA($G$4:$G2178))</f>
        <v/>
      </c>
      <c r="B2178" s="17" t="n"/>
      <c r="C2178" s="30" t="n"/>
      <c r="D2178" s="17" t="n"/>
      <c r="E2178" s="17" t="n"/>
      <c r="F2178" s="17" t="n"/>
      <c r="G2178" s="17" t="n"/>
      <c r="H2178" s="24">
        <f>IF($G2178="","",IFERROR(VLOOKUP($G2178,物料档案!$A$4:$P$1203,3,0),"※编码不在物料档案里"))</f>
        <v/>
      </c>
      <c r="I2178" s="24">
        <f>IF($G2178="","",IFERROR(VLOOKUP($G2178,物料档案!$A$4:$P$1203,4,0),"※编码不在物料档案里"))</f>
        <v/>
      </c>
      <c r="J2178" s="24">
        <f>IF($G2178="","",IFERROR(VLOOKUP($G2178,物料档案!$A$4:$P$1203,5,0),"※编码不在物料档案里"))</f>
        <v/>
      </c>
      <c r="K2178" s="23" t="n"/>
      <c r="L2178" s="31" t="n"/>
      <c r="M2178" s="24">
        <f>IF($G2178="","",IF($D2178="A国内","CNY","TZS"))</f>
        <v/>
      </c>
      <c r="N2178" s="28">
        <f>IF($G2178="","",IF($D2178="A国内",汇率,1))</f>
        <v/>
      </c>
      <c r="O2178" s="25">
        <f>IF($G2178="","",ROUND(N($K2178)*N($L2178),2))</f>
        <v/>
      </c>
      <c r="P2178" s="26">
        <f>IF($G2178="","",ROUND($O2178*$N2178,0))</f>
        <v/>
      </c>
      <c r="Q2178" s="26">
        <f>IF($G2178="","",SUMIFS($P$4:$P$2503,$E$4:$E$2503,$E2178,$Z$4:$Z$2503,"正常"))</f>
        <v/>
      </c>
      <c r="R2178" s="26">
        <f>IF($G2178="","",SUMIFS(费用台账!$I$4:$I$503,费用台账!$C$4:$C$503,$E2178,费用台账!$J$4:$J$503,"是",费用台账!$K$4:$K$503,"正常"))</f>
        <v/>
      </c>
      <c r="S2178" s="28">
        <f>IF($G2178="","",COUNTIFS($E$4:$E$2503,$E2178,$Z$4:$Z$2503,"正常",$Y$4:$Y$2503,"待补价"))</f>
        <v/>
      </c>
      <c r="T2178" s="26">
        <f>IF($G2178="","",SUMIFS($P$4:$P$2503,$E$4:$E$2503,$E2178,$Z$4:$Z$2503,"正常",$A$4:$A$2503,"&lt;="&amp;$A2178))</f>
        <v/>
      </c>
      <c r="U2178" s="26">
        <f>IF($G2178="","",IF(OR($S2178&gt;0,$Q2178=0,$R2178=0,$Z2178&lt;&gt;"正常"),0,ROUND($T2178/$Q2178*$R2178,0)-ROUND(($T2178-$P2178)/$Q2178*$R2178,0)))</f>
        <v/>
      </c>
      <c r="V2178" s="26">
        <f>IF($G2178="","",ROUND($P2178+$U2178,0))</f>
        <v/>
      </c>
      <c r="W2178" s="26">
        <f>IF($G2178="","",IF(N($K2178)=0,0,ROUND($V2178/$K2178,2)))</f>
        <v/>
      </c>
      <c r="X2178" s="17" t="n"/>
      <c r="Y2178" s="17" t="n"/>
      <c r="Z2178" s="17" t="n"/>
      <c r="AA2178" s="17" t="n"/>
      <c r="AB2178" s="17" t="n"/>
      <c r="AC2178" s="24">
        <f>IF($G2178="","",IF($H2178="※编码不在物料档案里","※物料编码不在档案里",IF(N($K2178)&lt;=0,"※入库数量要大于 0",IF(AND($C2178&lt;&gt;"",$C2178&lt;=结账锁),"※日期早于已结账截止日，不能再录",IF(AND($L2178=0,$X2178="正常"),"※没填单价，价格状态请选「待补价」",IF(AND($S2178&gt;0,$R2178&gt;0),"△本批有 "&amp;$S2178&amp;" 行没单价，整批运费先挂账没摊",IF(AND($B2178&lt;&gt;"",COUNTIF($B$4:$B$2503,$B2178)&gt;1),"※入库单号重复","")))))))</f>
        <v/>
      </c>
    </row>
    <row r="2179">
      <c r="A2179" s="24">
        <f>IF($G2179="","",COUNTA($G$4:$G2179))</f>
        <v/>
      </c>
      <c r="B2179" s="17" t="n"/>
      <c r="C2179" s="30" t="n"/>
      <c r="D2179" s="17" t="n"/>
      <c r="E2179" s="17" t="n"/>
      <c r="F2179" s="17" t="n"/>
      <c r="G2179" s="17" t="n"/>
      <c r="H2179" s="24">
        <f>IF($G2179="","",IFERROR(VLOOKUP($G2179,物料档案!$A$4:$P$1203,3,0),"※编码不在物料档案里"))</f>
        <v/>
      </c>
      <c r="I2179" s="24">
        <f>IF($G2179="","",IFERROR(VLOOKUP($G2179,物料档案!$A$4:$P$1203,4,0),"※编码不在物料档案里"))</f>
        <v/>
      </c>
      <c r="J2179" s="24">
        <f>IF($G2179="","",IFERROR(VLOOKUP($G2179,物料档案!$A$4:$P$1203,5,0),"※编码不在物料档案里"))</f>
        <v/>
      </c>
      <c r="K2179" s="23" t="n"/>
      <c r="L2179" s="31" t="n"/>
      <c r="M2179" s="24">
        <f>IF($G2179="","",IF($D2179="A国内","CNY","TZS"))</f>
        <v/>
      </c>
      <c r="N2179" s="28">
        <f>IF($G2179="","",IF($D2179="A国内",汇率,1))</f>
        <v/>
      </c>
      <c r="O2179" s="25">
        <f>IF($G2179="","",ROUND(N($K2179)*N($L2179),2))</f>
        <v/>
      </c>
      <c r="P2179" s="26">
        <f>IF($G2179="","",ROUND($O2179*$N2179,0))</f>
        <v/>
      </c>
      <c r="Q2179" s="26">
        <f>IF($G2179="","",SUMIFS($P$4:$P$2503,$E$4:$E$2503,$E2179,$Z$4:$Z$2503,"正常"))</f>
        <v/>
      </c>
      <c r="R2179" s="26">
        <f>IF($G2179="","",SUMIFS(费用台账!$I$4:$I$503,费用台账!$C$4:$C$503,$E2179,费用台账!$J$4:$J$503,"是",费用台账!$K$4:$K$503,"正常"))</f>
        <v/>
      </c>
      <c r="S2179" s="28">
        <f>IF($G2179="","",COUNTIFS($E$4:$E$2503,$E2179,$Z$4:$Z$2503,"正常",$Y$4:$Y$2503,"待补价"))</f>
        <v/>
      </c>
      <c r="T2179" s="26">
        <f>IF($G2179="","",SUMIFS($P$4:$P$2503,$E$4:$E$2503,$E2179,$Z$4:$Z$2503,"正常",$A$4:$A$2503,"&lt;="&amp;$A2179))</f>
        <v/>
      </c>
      <c r="U2179" s="26">
        <f>IF($G2179="","",IF(OR($S2179&gt;0,$Q2179=0,$R2179=0,$Z2179&lt;&gt;"正常"),0,ROUND($T2179/$Q2179*$R2179,0)-ROUND(($T2179-$P2179)/$Q2179*$R2179,0)))</f>
        <v/>
      </c>
      <c r="V2179" s="26">
        <f>IF($G2179="","",ROUND($P2179+$U2179,0))</f>
        <v/>
      </c>
      <c r="W2179" s="26">
        <f>IF($G2179="","",IF(N($K2179)=0,0,ROUND($V2179/$K2179,2)))</f>
        <v/>
      </c>
      <c r="X2179" s="17" t="n"/>
      <c r="Y2179" s="17" t="n"/>
      <c r="Z2179" s="17" t="n"/>
      <c r="AA2179" s="17" t="n"/>
      <c r="AB2179" s="17" t="n"/>
      <c r="AC2179" s="24">
        <f>IF($G2179="","",IF($H2179="※编码不在物料档案里","※物料编码不在档案里",IF(N($K2179)&lt;=0,"※入库数量要大于 0",IF(AND($C2179&lt;&gt;"",$C2179&lt;=结账锁),"※日期早于已结账截止日，不能再录",IF(AND($L2179=0,$X2179="正常"),"※没填单价，价格状态请选「待补价」",IF(AND($S2179&gt;0,$R2179&gt;0),"△本批有 "&amp;$S2179&amp;" 行没单价，整批运费先挂账没摊",IF(AND($B2179&lt;&gt;"",COUNTIF($B$4:$B$2503,$B2179)&gt;1),"※入库单号重复","")))))))</f>
        <v/>
      </c>
    </row>
    <row r="2180">
      <c r="A2180" s="24">
        <f>IF($G2180="","",COUNTA($G$4:$G2180))</f>
        <v/>
      </c>
      <c r="B2180" s="17" t="n"/>
      <c r="C2180" s="30" t="n"/>
      <c r="D2180" s="17" t="n"/>
      <c r="E2180" s="17" t="n"/>
      <c r="F2180" s="17" t="n"/>
      <c r="G2180" s="17" t="n"/>
      <c r="H2180" s="24">
        <f>IF($G2180="","",IFERROR(VLOOKUP($G2180,物料档案!$A$4:$P$1203,3,0),"※编码不在物料档案里"))</f>
        <v/>
      </c>
      <c r="I2180" s="24">
        <f>IF($G2180="","",IFERROR(VLOOKUP($G2180,物料档案!$A$4:$P$1203,4,0),"※编码不在物料档案里"))</f>
        <v/>
      </c>
      <c r="J2180" s="24">
        <f>IF($G2180="","",IFERROR(VLOOKUP($G2180,物料档案!$A$4:$P$1203,5,0),"※编码不在物料档案里"))</f>
        <v/>
      </c>
      <c r="K2180" s="23" t="n"/>
      <c r="L2180" s="31" t="n"/>
      <c r="M2180" s="24">
        <f>IF($G2180="","",IF($D2180="A国内","CNY","TZS"))</f>
        <v/>
      </c>
      <c r="N2180" s="28">
        <f>IF($G2180="","",IF($D2180="A国内",汇率,1))</f>
        <v/>
      </c>
      <c r="O2180" s="25">
        <f>IF($G2180="","",ROUND(N($K2180)*N($L2180),2))</f>
        <v/>
      </c>
      <c r="P2180" s="26">
        <f>IF($G2180="","",ROUND($O2180*$N2180,0))</f>
        <v/>
      </c>
      <c r="Q2180" s="26">
        <f>IF($G2180="","",SUMIFS($P$4:$P$2503,$E$4:$E$2503,$E2180,$Z$4:$Z$2503,"正常"))</f>
        <v/>
      </c>
      <c r="R2180" s="26">
        <f>IF($G2180="","",SUMIFS(费用台账!$I$4:$I$503,费用台账!$C$4:$C$503,$E2180,费用台账!$J$4:$J$503,"是",费用台账!$K$4:$K$503,"正常"))</f>
        <v/>
      </c>
      <c r="S2180" s="28">
        <f>IF($G2180="","",COUNTIFS($E$4:$E$2503,$E2180,$Z$4:$Z$2503,"正常",$Y$4:$Y$2503,"待补价"))</f>
        <v/>
      </c>
      <c r="T2180" s="26">
        <f>IF($G2180="","",SUMIFS($P$4:$P$2503,$E$4:$E$2503,$E2180,$Z$4:$Z$2503,"正常",$A$4:$A$2503,"&lt;="&amp;$A2180))</f>
        <v/>
      </c>
      <c r="U2180" s="26">
        <f>IF($G2180="","",IF(OR($S2180&gt;0,$Q2180=0,$R2180=0,$Z2180&lt;&gt;"正常"),0,ROUND($T2180/$Q2180*$R2180,0)-ROUND(($T2180-$P2180)/$Q2180*$R2180,0)))</f>
        <v/>
      </c>
      <c r="V2180" s="26">
        <f>IF($G2180="","",ROUND($P2180+$U2180,0))</f>
        <v/>
      </c>
      <c r="W2180" s="26">
        <f>IF($G2180="","",IF(N($K2180)=0,0,ROUND($V2180/$K2180,2)))</f>
        <v/>
      </c>
      <c r="X2180" s="17" t="n"/>
      <c r="Y2180" s="17" t="n"/>
      <c r="Z2180" s="17" t="n"/>
      <c r="AA2180" s="17" t="n"/>
      <c r="AB2180" s="17" t="n"/>
      <c r="AC2180" s="24">
        <f>IF($G2180="","",IF($H2180="※编码不在物料档案里","※物料编码不在档案里",IF(N($K2180)&lt;=0,"※入库数量要大于 0",IF(AND($C2180&lt;&gt;"",$C2180&lt;=结账锁),"※日期早于已结账截止日，不能再录",IF(AND($L2180=0,$X2180="正常"),"※没填单价，价格状态请选「待补价」",IF(AND($S2180&gt;0,$R2180&gt;0),"△本批有 "&amp;$S2180&amp;" 行没单价，整批运费先挂账没摊",IF(AND($B2180&lt;&gt;"",COUNTIF($B$4:$B$2503,$B2180)&gt;1),"※入库单号重复","")))))))</f>
        <v/>
      </c>
    </row>
    <row r="2181">
      <c r="A2181" s="24">
        <f>IF($G2181="","",COUNTA($G$4:$G2181))</f>
        <v/>
      </c>
      <c r="B2181" s="17" t="n"/>
      <c r="C2181" s="30" t="n"/>
      <c r="D2181" s="17" t="n"/>
      <c r="E2181" s="17" t="n"/>
      <c r="F2181" s="17" t="n"/>
      <c r="G2181" s="17" t="n"/>
      <c r="H2181" s="24">
        <f>IF($G2181="","",IFERROR(VLOOKUP($G2181,物料档案!$A$4:$P$1203,3,0),"※编码不在物料档案里"))</f>
        <v/>
      </c>
      <c r="I2181" s="24">
        <f>IF($G2181="","",IFERROR(VLOOKUP($G2181,物料档案!$A$4:$P$1203,4,0),"※编码不在物料档案里"))</f>
        <v/>
      </c>
      <c r="J2181" s="24">
        <f>IF($G2181="","",IFERROR(VLOOKUP($G2181,物料档案!$A$4:$P$1203,5,0),"※编码不在物料档案里"))</f>
        <v/>
      </c>
      <c r="K2181" s="23" t="n"/>
      <c r="L2181" s="31" t="n"/>
      <c r="M2181" s="24">
        <f>IF($G2181="","",IF($D2181="A国内","CNY","TZS"))</f>
        <v/>
      </c>
      <c r="N2181" s="28">
        <f>IF($G2181="","",IF($D2181="A国内",汇率,1))</f>
        <v/>
      </c>
      <c r="O2181" s="25">
        <f>IF($G2181="","",ROUND(N($K2181)*N($L2181),2))</f>
        <v/>
      </c>
      <c r="P2181" s="26">
        <f>IF($G2181="","",ROUND($O2181*$N2181,0))</f>
        <v/>
      </c>
      <c r="Q2181" s="26">
        <f>IF($G2181="","",SUMIFS($P$4:$P$2503,$E$4:$E$2503,$E2181,$Z$4:$Z$2503,"正常"))</f>
        <v/>
      </c>
      <c r="R2181" s="26">
        <f>IF($G2181="","",SUMIFS(费用台账!$I$4:$I$503,费用台账!$C$4:$C$503,$E2181,费用台账!$J$4:$J$503,"是",费用台账!$K$4:$K$503,"正常"))</f>
        <v/>
      </c>
      <c r="S2181" s="28">
        <f>IF($G2181="","",COUNTIFS($E$4:$E$2503,$E2181,$Z$4:$Z$2503,"正常",$Y$4:$Y$2503,"待补价"))</f>
        <v/>
      </c>
      <c r="T2181" s="26">
        <f>IF($G2181="","",SUMIFS($P$4:$P$2503,$E$4:$E$2503,$E2181,$Z$4:$Z$2503,"正常",$A$4:$A$2503,"&lt;="&amp;$A2181))</f>
        <v/>
      </c>
      <c r="U2181" s="26">
        <f>IF($G2181="","",IF(OR($S2181&gt;0,$Q2181=0,$R2181=0,$Z2181&lt;&gt;"正常"),0,ROUND($T2181/$Q2181*$R2181,0)-ROUND(($T2181-$P2181)/$Q2181*$R2181,0)))</f>
        <v/>
      </c>
      <c r="V2181" s="26">
        <f>IF($G2181="","",ROUND($P2181+$U2181,0))</f>
        <v/>
      </c>
      <c r="W2181" s="26">
        <f>IF($G2181="","",IF(N($K2181)=0,0,ROUND($V2181/$K2181,2)))</f>
        <v/>
      </c>
      <c r="X2181" s="17" t="n"/>
      <c r="Y2181" s="17" t="n"/>
      <c r="Z2181" s="17" t="n"/>
      <c r="AA2181" s="17" t="n"/>
      <c r="AB2181" s="17" t="n"/>
      <c r="AC2181" s="24">
        <f>IF($G2181="","",IF($H2181="※编码不在物料档案里","※物料编码不在档案里",IF(N($K2181)&lt;=0,"※入库数量要大于 0",IF(AND($C2181&lt;&gt;"",$C2181&lt;=结账锁),"※日期早于已结账截止日，不能再录",IF(AND($L2181=0,$X2181="正常"),"※没填单价，价格状态请选「待补价」",IF(AND($S2181&gt;0,$R2181&gt;0),"△本批有 "&amp;$S2181&amp;" 行没单价，整批运费先挂账没摊",IF(AND($B2181&lt;&gt;"",COUNTIF($B$4:$B$2503,$B2181)&gt;1),"※入库单号重复","")))))))</f>
        <v/>
      </c>
    </row>
    <row r="2182">
      <c r="A2182" s="24">
        <f>IF($G2182="","",COUNTA($G$4:$G2182))</f>
        <v/>
      </c>
      <c r="B2182" s="17" t="n"/>
      <c r="C2182" s="30" t="n"/>
      <c r="D2182" s="17" t="n"/>
      <c r="E2182" s="17" t="n"/>
      <c r="F2182" s="17" t="n"/>
      <c r="G2182" s="17" t="n"/>
      <c r="H2182" s="24">
        <f>IF($G2182="","",IFERROR(VLOOKUP($G2182,物料档案!$A$4:$P$1203,3,0),"※编码不在物料档案里"))</f>
        <v/>
      </c>
      <c r="I2182" s="24">
        <f>IF($G2182="","",IFERROR(VLOOKUP($G2182,物料档案!$A$4:$P$1203,4,0),"※编码不在物料档案里"))</f>
        <v/>
      </c>
      <c r="J2182" s="24">
        <f>IF($G2182="","",IFERROR(VLOOKUP($G2182,物料档案!$A$4:$P$1203,5,0),"※编码不在物料档案里"))</f>
        <v/>
      </c>
      <c r="K2182" s="23" t="n"/>
      <c r="L2182" s="31" t="n"/>
      <c r="M2182" s="24">
        <f>IF($G2182="","",IF($D2182="A国内","CNY","TZS"))</f>
        <v/>
      </c>
      <c r="N2182" s="28">
        <f>IF($G2182="","",IF($D2182="A国内",汇率,1))</f>
        <v/>
      </c>
      <c r="O2182" s="25">
        <f>IF($G2182="","",ROUND(N($K2182)*N($L2182),2))</f>
        <v/>
      </c>
      <c r="P2182" s="26">
        <f>IF($G2182="","",ROUND($O2182*$N2182,0))</f>
        <v/>
      </c>
      <c r="Q2182" s="26">
        <f>IF($G2182="","",SUMIFS($P$4:$P$2503,$E$4:$E$2503,$E2182,$Z$4:$Z$2503,"正常"))</f>
        <v/>
      </c>
      <c r="R2182" s="26">
        <f>IF($G2182="","",SUMIFS(费用台账!$I$4:$I$503,费用台账!$C$4:$C$503,$E2182,费用台账!$J$4:$J$503,"是",费用台账!$K$4:$K$503,"正常"))</f>
        <v/>
      </c>
      <c r="S2182" s="28">
        <f>IF($G2182="","",COUNTIFS($E$4:$E$2503,$E2182,$Z$4:$Z$2503,"正常",$Y$4:$Y$2503,"待补价"))</f>
        <v/>
      </c>
      <c r="T2182" s="26">
        <f>IF($G2182="","",SUMIFS($P$4:$P$2503,$E$4:$E$2503,$E2182,$Z$4:$Z$2503,"正常",$A$4:$A$2503,"&lt;="&amp;$A2182))</f>
        <v/>
      </c>
      <c r="U2182" s="26">
        <f>IF($G2182="","",IF(OR($S2182&gt;0,$Q2182=0,$R2182=0,$Z2182&lt;&gt;"正常"),0,ROUND($T2182/$Q2182*$R2182,0)-ROUND(($T2182-$P2182)/$Q2182*$R2182,0)))</f>
        <v/>
      </c>
      <c r="V2182" s="26">
        <f>IF($G2182="","",ROUND($P2182+$U2182,0))</f>
        <v/>
      </c>
      <c r="W2182" s="26">
        <f>IF($G2182="","",IF(N($K2182)=0,0,ROUND($V2182/$K2182,2)))</f>
        <v/>
      </c>
      <c r="X2182" s="17" t="n"/>
      <c r="Y2182" s="17" t="n"/>
      <c r="Z2182" s="17" t="n"/>
      <c r="AA2182" s="17" t="n"/>
      <c r="AB2182" s="17" t="n"/>
      <c r="AC2182" s="24">
        <f>IF($G2182="","",IF($H2182="※编码不在物料档案里","※物料编码不在档案里",IF(N($K2182)&lt;=0,"※入库数量要大于 0",IF(AND($C2182&lt;&gt;"",$C2182&lt;=结账锁),"※日期早于已结账截止日，不能再录",IF(AND($L2182=0,$X2182="正常"),"※没填单价，价格状态请选「待补价」",IF(AND($S2182&gt;0,$R2182&gt;0),"△本批有 "&amp;$S2182&amp;" 行没单价，整批运费先挂账没摊",IF(AND($B2182&lt;&gt;"",COUNTIF($B$4:$B$2503,$B2182)&gt;1),"※入库单号重复","")))))))</f>
        <v/>
      </c>
    </row>
    <row r="2183">
      <c r="A2183" s="24">
        <f>IF($G2183="","",COUNTA($G$4:$G2183))</f>
        <v/>
      </c>
      <c r="B2183" s="17" t="n"/>
      <c r="C2183" s="30" t="n"/>
      <c r="D2183" s="17" t="n"/>
      <c r="E2183" s="17" t="n"/>
      <c r="F2183" s="17" t="n"/>
      <c r="G2183" s="17" t="n"/>
      <c r="H2183" s="24">
        <f>IF($G2183="","",IFERROR(VLOOKUP($G2183,物料档案!$A$4:$P$1203,3,0),"※编码不在物料档案里"))</f>
        <v/>
      </c>
      <c r="I2183" s="24">
        <f>IF($G2183="","",IFERROR(VLOOKUP($G2183,物料档案!$A$4:$P$1203,4,0),"※编码不在物料档案里"))</f>
        <v/>
      </c>
      <c r="J2183" s="24">
        <f>IF($G2183="","",IFERROR(VLOOKUP($G2183,物料档案!$A$4:$P$1203,5,0),"※编码不在物料档案里"))</f>
        <v/>
      </c>
      <c r="K2183" s="23" t="n"/>
      <c r="L2183" s="31" t="n"/>
      <c r="M2183" s="24">
        <f>IF($G2183="","",IF($D2183="A国内","CNY","TZS"))</f>
        <v/>
      </c>
      <c r="N2183" s="28">
        <f>IF($G2183="","",IF($D2183="A国内",汇率,1))</f>
        <v/>
      </c>
      <c r="O2183" s="25">
        <f>IF($G2183="","",ROUND(N($K2183)*N($L2183),2))</f>
        <v/>
      </c>
      <c r="P2183" s="26">
        <f>IF($G2183="","",ROUND($O2183*$N2183,0))</f>
        <v/>
      </c>
      <c r="Q2183" s="26">
        <f>IF($G2183="","",SUMIFS($P$4:$P$2503,$E$4:$E$2503,$E2183,$Z$4:$Z$2503,"正常"))</f>
        <v/>
      </c>
      <c r="R2183" s="26">
        <f>IF($G2183="","",SUMIFS(费用台账!$I$4:$I$503,费用台账!$C$4:$C$503,$E2183,费用台账!$J$4:$J$503,"是",费用台账!$K$4:$K$503,"正常"))</f>
        <v/>
      </c>
      <c r="S2183" s="28">
        <f>IF($G2183="","",COUNTIFS($E$4:$E$2503,$E2183,$Z$4:$Z$2503,"正常",$Y$4:$Y$2503,"待补价"))</f>
        <v/>
      </c>
      <c r="T2183" s="26">
        <f>IF($G2183="","",SUMIFS($P$4:$P$2503,$E$4:$E$2503,$E2183,$Z$4:$Z$2503,"正常",$A$4:$A$2503,"&lt;="&amp;$A2183))</f>
        <v/>
      </c>
      <c r="U2183" s="26">
        <f>IF($G2183="","",IF(OR($S2183&gt;0,$Q2183=0,$R2183=0,$Z2183&lt;&gt;"正常"),0,ROUND($T2183/$Q2183*$R2183,0)-ROUND(($T2183-$P2183)/$Q2183*$R2183,0)))</f>
        <v/>
      </c>
      <c r="V2183" s="26">
        <f>IF($G2183="","",ROUND($P2183+$U2183,0))</f>
        <v/>
      </c>
      <c r="W2183" s="26">
        <f>IF($G2183="","",IF(N($K2183)=0,0,ROUND($V2183/$K2183,2)))</f>
        <v/>
      </c>
      <c r="X2183" s="17" t="n"/>
      <c r="Y2183" s="17" t="n"/>
      <c r="Z2183" s="17" t="n"/>
      <c r="AA2183" s="17" t="n"/>
      <c r="AB2183" s="17" t="n"/>
      <c r="AC2183" s="24">
        <f>IF($G2183="","",IF($H2183="※编码不在物料档案里","※物料编码不在档案里",IF(N($K2183)&lt;=0,"※入库数量要大于 0",IF(AND($C2183&lt;&gt;"",$C2183&lt;=结账锁),"※日期早于已结账截止日，不能再录",IF(AND($L2183=0,$X2183="正常"),"※没填单价，价格状态请选「待补价」",IF(AND($S2183&gt;0,$R2183&gt;0),"△本批有 "&amp;$S2183&amp;" 行没单价，整批运费先挂账没摊",IF(AND($B2183&lt;&gt;"",COUNTIF($B$4:$B$2503,$B2183)&gt;1),"※入库单号重复","")))))))</f>
        <v/>
      </c>
    </row>
    <row r="2184">
      <c r="A2184" s="24">
        <f>IF($G2184="","",COUNTA($G$4:$G2184))</f>
        <v/>
      </c>
      <c r="B2184" s="17" t="n"/>
      <c r="C2184" s="30" t="n"/>
      <c r="D2184" s="17" t="n"/>
      <c r="E2184" s="17" t="n"/>
      <c r="F2184" s="17" t="n"/>
      <c r="G2184" s="17" t="n"/>
      <c r="H2184" s="24">
        <f>IF($G2184="","",IFERROR(VLOOKUP($G2184,物料档案!$A$4:$P$1203,3,0),"※编码不在物料档案里"))</f>
        <v/>
      </c>
      <c r="I2184" s="24">
        <f>IF($G2184="","",IFERROR(VLOOKUP($G2184,物料档案!$A$4:$P$1203,4,0),"※编码不在物料档案里"))</f>
        <v/>
      </c>
      <c r="J2184" s="24">
        <f>IF($G2184="","",IFERROR(VLOOKUP($G2184,物料档案!$A$4:$P$1203,5,0),"※编码不在物料档案里"))</f>
        <v/>
      </c>
      <c r="K2184" s="23" t="n"/>
      <c r="L2184" s="31" t="n"/>
      <c r="M2184" s="24">
        <f>IF($G2184="","",IF($D2184="A国内","CNY","TZS"))</f>
        <v/>
      </c>
      <c r="N2184" s="28">
        <f>IF($G2184="","",IF($D2184="A国内",汇率,1))</f>
        <v/>
      </c>
      <c r="O2184" s="25">
        <f>IF($G2184="","",ROUND(N($K2184)*N($L2184),2))</f>
        <v/>
      </c>
      <c r="P2184" s="26">
        <f>IF($G2184="","",ROUND($O2184*$N2184,0))</f>
        <v/>
      </c>
      <c r="Q2184" s="26">
        <f>IF($G2184="","",SUMIFS($P$4:$P$2503,$E$4:$E$2503,$E2184,$Z$4:$Z$2503,"正常"))</f>
        <v/>
      </c>
      <c r="R2184" s="26">
        <f>IF($G2184="","",SUMIFS(费用台账!$I$4:$I$503,费用台账!$C$4:$C$503,$E2184,费用台账!$J$4:$J$503,"是",费用台账!$K$4:$K$503,"正常"))</f>
        <v/>
      </c>
      <c r="S2184" s="28">
        <f>IF($G2184="","",COUNTIFS($E$4:$E$2503,$E2184,$Z$4:$Z$2503,"正常",$Y$4:$Y$2503,"待补价"))</f>
        <v/>
      </c>
      <c r="T2184" s="26">
        <f>IF($G2184="","",SUMIFS($P$4:$P$2503,$E$4:$E$2503,$E2184,$Z$4:$Z$2503,"正常",$A$4:$A$2503,"&lt;="&amp;$A2184))</f>
        <v/>
      </c>
      <c r="U2184" s="26">
        <f>IF($G2184="","",IF(OR($S2184&gt;0,$Q2184=0,$R2184=0,$Z2184&lt;&gt;"正常"),0,ROUND($T2184/$Q2184*$R2184,0)-ROUND(($T2184-$P2184)/$Q2184*$R2184,0)))</f>
        <v/>
      </c>
      <c r="V2184" s="26">
        <f>IF($G2184="","",ROUND($P2184+$U2184,0))</f>
        <v/>
      </c>
      <c r="W2184" s="26">
        <f>IF($G2184="","",IF(N($K2184)=0,0,ROUND($V2184/$K2184,2)))</f>
        <v/>
      </c>
      <c r="X2184" s="17" t="n"/>
      <c r="Y2184" s="17" t="n"/>
      <c r="Z2184" s="17" t="n"/>
      <c r="AA2184" s="17" t="n"/>
      <c r="AB2184" s="17" t="n"/>
      <c r="AC2184" s="24">
        <f>IF($G2184="","",IF($H2184="※编码不在物料档案里","※物料编码不在档案里",IF(N($K2184)&lt;=0,"※入库数量要大于 0",IF(AND($C2184&lt;&gt;"",$C2184&lt;=结账锁),"※日期早于已结账截止日，不能再录",IF(AND($L2184=0,$X2184="正常"),"※没填单价，价格状态请选「待补价」",IF(AND($S2184&gt;0,$R2184&gt;0),"△本批有 "&amp;$S2184&amp;" 行没单价，整批运费先挂账没摊",IF(AND($B2184&lt;&gt;"",COUNTIF($B$4:$B$2503,$B2184)&gt;1),"※入库单号重复","")))))))</f>
        <v/>
      </c>
    </row>
    <row r="2185">
      <c r="A2185" s="24">
        <f>IF($G2185="","",COUNTA($G$4:$G2185))</f>
        <v/>
      </c>
      <c r="B2185" s="17" t="n"/>
      <c r="C2185" s="30" t="n"/>
      <c r="D2185" s="17" t="n"/>
      <c r="E2185" s="17" t="n"/>
      <c r="F2185" s="17" t="n"/>
      <c r="G2185" s="17" t="n"/>
      <c r="H2185" s="24">
        <f>IF($G2185="","",IFERROR(VLOOKUP($G2185,物料档案!$A$4:$P$1203,3,0),"※编码不在物料档案里"))</f>
        <v/>
      </c>
      <c r="I2185" s="24">
        <f>IF($G2185="","",IFERROR(VLOOKUP($G2185,物料档案!$A$4:$P$1203,4,0),"※编码不在物料档案里"))</f>
        <v/>
      </c>
      <c r="J2185" s="24">
        <f>IF($G2185="","",IFERROR(VLOOKUP($G2185,物料档案!$A$4:$P$1203,5,0),"※编码不在物料档案里"))</f>
        <v/>
      </c>
      <c r="K2185" s="23" t="n"/>
      <c r="L2185" s="31" t="n"/>
      <c r="M2185" s="24">
        <f>IF($G2185="","",IF($D2185="A国内","CNY","TZS"))</f>
        <v/>
      </c>
      <c r="N2185" s="28">
        <f>IF($G2185="","",IF($D2185="A国内",汇率,1))</f>
        <v/>
      </c>
      <c r="O2185" s="25">
        <f>IF($G2185="","",ROUND(N($K2185)*N($L2185),2))</f>
        <v/>
      </c>
      <c r="P2185" s="26">
        <f>IF($G2185="","",ROUND($O2185*$N2185,0))</f>
        <v/>
      </c>
      <c r="Q2185" s="26">
        <f>IF($G2185="","",SUMIFS($P$4:$P$2503,$E$4:$E$2503,$E2185,$Z$4:$Z$2503,"正常"))</f>
        <v/>
      </c>
      <c r="R2185" s="26">
        <f>IF($G2185="","",SUMIFS(费用台账!$I$4:$I$503,费用台账!$C$4:$C$503,$E2185,费用台账!$J$4:$J$503,"是",费用台账!$K$4:$K$503,"正常"))</f>
        <v/>
      </c>
      <c r="S2185" s="28">
        <f>IF($G2185="","",COUNTIFS($E$4:$E$2503,$E2185,$Z$4:$Z$2503,"正常",$Y$4:$Y$2503,"待补价"))</f>
        <v/>
      </c>
      <c r="T2185" s="26">
        <f>IF($G2185="","",SUMIFS($P$4:$P$2503,$E$4:$E$2503,$E2185,$Z$4:$Z$2503,"正常",$A$4:$A$2503,"&lt;="&amp;$A2185))</f>
        <v/>
      </c>
      <c r="U2185" s="26">
        <f>IF($G2185="","",IF(OR($S2185&gt;0,$Q2185=0,$R2185=0,$Z2185&lt;&gt;"正常"),0,ROUND($T2185/$Q2185*$R2185,0)-ROUND(($T2185-$P2185)/$Q2185*$R2185,0)))</f>
        <v/>
      </c>
      <c r="V2185" s="26">
        <f>IF($G2185="","",ROUND($P2185+$U2185,0))</f>
        <v/>
      </c>
      <c r="W2185" s="26">
        <f>IF($G2185="","",IF(N($K2185)=0,0,ROUND($V2185/$K2185,2)))</f>
        <v/>
      </c>
      <c r="X2185" s="17" t="n"/>
      <c r="Y2185" s="17" t="n"/>
      <c r="Z2185" s="17" t="n"/>
      <c r="AA2185" s="17" t="n"/>
      <c r="AB2185" s="17" t="n"/>
      <c r="AC2185" s="24">
        <f>IF($G2185="","",IF($H2185="※编码不在物料档案里","※物料编码不在档案里",IF(N($K2185)&lt;=0,"※入库数量要大于 0",IF(AND($C2185&lt;&gt;"",$C2185&lt;=结账锁),"※日期早于已结账截止日，不能再录",IF(AND($L2185=0,$X2185="正常"),"※没填单价，价格状态请选「待补价」",IF(AND($S2185&gt;0,$R2185&gt;0),"△本批有 "&amp;$S2185&amp;" 行没单价，整批运费先挂账没摊",IF(AND($B2185&lt;&gt;"",COUNTIF($B$4:$B$2503,$B2185)&gt;1),"※入库单号重复","")))))))</f>
        <v/>
      </c>
    </row>
    <row r="2186">
      <c r="A2186" s="24">
        <f>IF($G2186="","",COUNTA($G$4:$G2186))</f>
        <v/>
      </c>
      <c r="B2186" s="17" t="n"/>
      <c r="C2186" s="30" t="n"/>
      <c r="D2186" s="17" t="n"/>
      <c r="E2186" s="17" t="n"/>
      <c r="F2186" s="17" t="n"/>
      <c r="G2186" s="17" t="n"/>
      <c r="H2186" s="24">
        <f>IF($G2186="","",IFERROR(VLOOKUP($G2186,物料档案!$A$4:$P$1203,3,0),"※编码不在物料档案里"))</f>
        <v/>
      </c>
      <c r="I2186" s="24">
        <f>IF($G2186="","",IFERROR(VLOOKUP($G2186,物料档案!$A$4:$P$1203,4,0),"※编码不在物料档案里"))</f>
        <v/>
      </c>
      <c r="J2186" s="24">
        <f>IF($G2186="","",IFERROR(VLOOKUP($G2186,物料档案!$A$4:$P$1203,5,0),"※编码不在物料档案里"))</f>
        <v/>
      </c>
      <c r="K2186" s="23" t="n"/>
      <c r="L2186" s="31" t="n"/>
      <c r="M2186" s="24">
        <f>IF($G2186="","",IF($D2186="A国内","CNY","TZS"))</f>
        <v/>
      </c>
      <c r="N2186" s="28">
        <f>IF($G2186="","",IF($D2186="A国内",汇率,1))</f>
        <v/>
      </c>
      <c r="O2186" s="25">
        <f>IF($G2186="","",ROUND(N($K2186)*N($L2186),2))</f>
        <v/>
      </c>
      <c r="P2186" s="26">
        <f>IF($G2186="","",ROUND($O2186*$N2186,0))</f>
        <v/>
      </c>
      <c r="Q2186" s="26">
        <f>IF($G2186="","",SUMIFS($P$4:$P$2503,$E$4:$E$2503,$E2186,$Z$4:$Z$2503,"正常"))</f>
        <v/>
      </c>
      <c r="R2186" s="26">
        <f>IF($G2186="","",SUMIFS(费用台账!$I$4:$I$503,费用台账!$C$4:$C$503,$E2186,费用台账!$J$4:$J$503,"是",费用台账!$K$4:$K$503,"正常"))</f>
        <v/>
      </c>
      <c r="S2186" s="28">
        <f>IF($G2186="","",COUNTIFS($E$4:$E$2503,$E2186,$Z$4:$Z$2503,"正常",$Y$4:$Y$2503,"待补价"))</f>
        <v/>
      </c>
      <c r="T2186" s="26">
        <f>IF($G2186="","",SUMIFS($P$4:$P$2503,$E$4:$E$2503,$E2186,$Z$4:$Z$2503,"正常",$A$4:$A$2503,"&lt;="&amp;$A2186))</f>
        <v/>
      </c>
      <c r="U2186" s="26">
        <f>IF($G2186="","",IF(OR($S2186&gt;0,$Q2186=0,$R2186=0,$Z2186&lt;&gt;"正常"),0,ROUND($T2186/$Q2186*$R2186,0)-ROUND(($T2186-$P2186)/$Q2186*$R2186,0)))</f>
        <v/>
      </c>
      <c r="V2186" s="26">
        <f>IF($G2186="","",ROUND($P2186+$U2186,0))</f>
        <v/>
      </c>
      <c r="W2186" s="26">
        <f>IF($G2186="","",IF(N($K2186)=0,0,ROUND($V2186/$K2186,2)))</f>
        <v/>
      </c>
      <c r="X2186" s="17" t="n"/>
      <c r="Y2186" s="17" t="n"/>
      <c r="Z2186" s="17" t="n"/>
      <c r="AA2186" s="17" t="n"/>
      <c r="AB2186" s="17" t="n"/>
      <c r="AC2186" s="24">
        <f>IF($G2186="","",IF($H2186="※编码不在物料档案里","※物料编码不在档案里",IF(N($K2186)&lt;=0,"※入库数量要大于 0",IF(AND($C2186&lt;&gt;"",$C2186&lt;=结账锁),"※日期早于已结账截止日，不能再录",IF(AND($L2186=0,$X2186="正常"),"※没填单价，价格状态请选「待补价」",IF(AND($S2186&gt;0,$R2186&gt;0),"△本批有 "&amp;$S2186&amp;" 行没单价，整批运费先挂账没摊",IF(AND($B2186&lt;&gt;"",COUNTIF($B$4:$B$2503,$B2186)&gt;1),"※入库单号重复","")))))))</f>
        <v/>
      </c>
    </row>
    <row r="2187">
      <c r="A2187" s="24">
        <f>IF($G2187="","",COUNTA($G$4:$G2187))</f>
        <v/>
      </c>
      <c r="B2187" s="17" t="n"/>
      <c r="C2187" s="30" t="n"/>
      <c r="D2187" s="17" t="n"/>
      <c r="E2187" s="17" t="n"/>
      <c r="F2187" s="17" t="n"/>
      <c r="G2187" s="17" t="n"/>
      <c r="H2187" s="24">
        <f>IF($G2187="","",IFERROR(VLOOKUP($G2187,物料档案!$A$4:$P$1203,3,0),"※编码不在物料档案里"))</f>
        <v/>
      </c>
      <c r="I2187" s="24">
        <f>IF($G2187="","",IFERROR(VLOOKUP($G2187,物料档案!$A$4:$P$1203,4,0),"※编码不在物料档案里"))</f>
        <v/>
      </c>
      <c r="J2187" s="24">
        <f>IF($G2187="","",IFERROR(VLOOKUP($G2187,物料档案!$A$4:$P$1203,5,0),"※编码不在物料档案里"))</f>
        <v/>
      </c>
      <c r="K2187" s="23" t="n"/>
      <c r="L2187" s="31" t="n"/>
      <c r="M2187" s="24">
        <f>IF($G2187="","",IF($D2187="A国内","CNY","TZS"))</f>
        <v/>
      </c>
      <c r="N2187" s="28">
        <f>IF($G2187="","",IF($D2187="A国内",汇率,1))</f>
        <v/>
      </c>
      <c r="O2187" s="25">
        <f>IF($G2187="","",ROUND(N($K2187)*N($L2187),2))</f>
        <v/>
      </c>
      <c r="P2187" s="26">
        <f>IF($G2187="","",ROUND($O2187*$N2187,0))</f>
        <v/>
      </c>
      <c r="Q2187" s="26">
        <f>IF($G2187="","",SUMIFS($P$4:$P$2503,$E$4:$E$2503,$E2187,$Z$4:$Z$2503,"正常"))</f>
        <v/>
      </c>
      <c r="R2187" s="26">
        <f>IF($G2187="","",SUMIFS(费用台账!$I$4:$I$503,费用台账!$C$4:$C$503,$E2187,费用台账!$J$4:$J$503,"是",费用台账!$K$4:$K$503,"正常"))</f>
        <v/>
      </c>
      <c r="S2187" s="28">
        <f>IF($G2187="","",COUNTIFS($E$4:$E$2503,$E2187,$Z$4:$Z$2503,"正常",$Y$4:$Y$2503,"待补价"))</f>
        <v/>
      </c>
      <c r="T2187" s="26">
        <f>IF($G2187="","",SUMIFS($P$4:$P$2503,$E$4:$E$2503,$E2187,$Z$4:$Z$2503,"正常",$A$4:$A$2503,"&lt;="&amp;$A2187))</f>
        <v/>
      </c>
      <c r="U2187" s="26">
        <f>IF($G2187="","",IF(OR($S2187&gt;0,$Q2187=0,$R2187=0,$Z2187&lt;&gt;"正常"),0,ROUND($T2187/$Q2187*$R2187,0)-ROUND(($T2187-$P2187)/$Q2187*$R2187,0)))</f>
        <v/>
      </c>
      <c r="V2187" s="26">
        <f>IF($G2187="","",ROUND($P2187+$U2187,0))</f>
        <v/>
      </c>
      <c r="W2187" s="26">
        <f>IF($G2187="","",IF(N($K2187)=0,0,ROUND($V2187/$K2187,2)))</f>
        <v/>
      </c>
      <c r="X2187" s="17" t="n"/>
      <c r="Y2187" s="17" t="n"/>
      <c r="Z2187" s="17" t="n"/>
      <c r="AA2187" s="17" t="n"/>
      <c r="AB2187" s="17" t="n"/>
      <c r="AC2187" s="24">
        <f>IF($G2187="","",IF($H2187="※编码不在物料档案里","※物料编码不在档案里",IF(N($K2187)&lt;=0,"※入库数量要大于 0",IF(AND($C2187&lt;&gt;"",$C2187&lt;=结账锁),"※日期早于已结账截止日，不能再录",IF(AND($L2187=0,$X2187="正常"),"※没填单价，价格状态请选「待补价」",IF(AND($S2187&gt;0,$R2187&gt;0),"△本批有 "&amp;$S2187&amp;" 行没单价，整批运费先挂账没摊",IF(AND($B2187&lt;&gt;"",COUNTIF($B$4:$B$2503,$B2187)&gt;1),"※入库单号重复","")))))))</f>
        <v/>
      </c>
    </row>
    <row r="2188">
      <c r="A2188" s="24">
        <f>IF($G2188="","",COUNTA($G$4:$G2188))</f>
        <v/>
      </c>
      <c r="B2188" s="17" t="n"/>
      <c r="C2188" s="30" t="n"/>
      <c r="D2188" s="17" t="n"/>
      <c r="E2188" s="17" t="n"/>
      <c r="F2188" s="17" t="n"/>
      <c r="G2188" s="17" t="n"/>
      <c r="H2188" s="24">
        <f>IF($G2188="","",IFERROR(VLOOKUP($G2188,物料档案!$A$4:$P$1203,3,0),"※编码不在物料档案里"))</f>
        <v/>
      </c>
      <c r="I2188" s="24">
        <f>IF($G2188="","",IFERROR(VLOOKUP($G2188,物料档案!$A$4:$P$1203,4,0),"※编码不在物料档案里"))</f>
        <v/>
      </c>
      <c r="J2188" s="24">
        <f>IF($G2188="","",IFERROR(VLOOKUP($G2188,物料档案!$A$4:$P$1203,5,0),"※编码不在物料档案里"))</f>
        <v/>
      </c>
      <c r="K2188" s="23" t="n"/>
      <c r="L2188" s="31" t="n"/>
      <c r="M2188" s="24">
        <f>IF($G2188="","",IF($D2188="A国内","CNY","TZS"))</f>
        <v/>
      </c>
      <c r="N2188" s="28">
        <f>IF($G2188="","",IF($D2188="A国内",汇率,1))</f>
        <v/>
      </c>
      <c r="O2188" s="25">
        <f>IF($G2188="","",ROUND(N($K2188)*N($L2188),2))</f>
        <v/>
      </c>
      <c r="P2188" s="26">
        <f>IF($G2188="","",ROUND($O2188*$N2188,0))</f>
        <v/>
      </c>
      <c r="Q2188" s="26">
        <f>IF($G2188="","",SUMIFS($P$4:$P$2503,$E$4:$E$2503,$E2188,$Z$4:$Z$2503,"正常"))</f>
        <v/>
      </c>
      <c r="R2188" s="26">
        <f>IF($G2188="","",SUMIFS(费用台账!$I$4:$I$503,费用台账!$C$4:$C$503,$E2188,费用台账!$J$4:$J$503,"是",费用台账!$K$4:$K$503,"正常"))</f>
        <v/>
      </c>
      <c r="S2188" s="28">
        <f>IF($G2188="","",COUNTIFS($E$4:$E$2503,$E2188,$Z$4:$Z$2503,"正常",$Y$4:$Y$2503,"待补价"))</f>
        <v/>
      </c>
      <c r="T2188" s="26">
        <f>IF($G2188="","",SUMIFS($P$4:$P$2503,$E$4:$E$2503,$E2188,$Z$4:$Z$2503,"正常",$A$4:$A$2503,"&lt;="&amp;$A2188))</f>
        <v/>
      </c>
      <c r="U2188" s="26">
        <f>IF($G2188="","",IF(OR($S2188&gt;0,$Q2188=0,$R2188=0,$Z2188&lt;&gt;"正常"),0,ROUND($T2188/$Q2188*$R2188,0)-ROUND(($T2188-$P2188)/$Q2188*$R2188,0)))</f>
        <v/>
      </c>
      <c r="V2188" s="26">
        <f>IF($G2188="","",ROUND($P2188+$U2188,0))</f>
        <v/>
      </c>
      <c r="W2188" s="26">
        <f>IF($G2188="","",IF(N($K2188)=0,0,ROUND($V2188/$K2188,2)))</f>
        <v/>
      </c>
      <c r="X2188" s="17" t="n"/>
      <c r="Y2188" s="17" t="n"/>
      <c r="Z2188" s="17" t="n"/>
      <c r="AA2188" s="17" t="n"/>
      <c r="AB2188" s="17" t="n"/>
      <c r="AC2188" s="24">
        <f>IF($G2188="","",IF($H2188="※编码不在物料档案里","※物料编码不在档案里",IF(N($K2188)&lt;=0,"※入库数量要大于 0",IF(AND($C2188&lt;&gt;"",$C2188&lt;=结账锁),"※日期早于已结账截止日，不能再录",IF(AND($L2188=0,$X2188="正常"),"※没填单价，价格状态请选「待补价」",IF(AND($S2188&gt;0,$R2188&gt;0),"△本批有 "&amp;$S2188&amp;" 行没单价，整批运费先挂账没摊",IF(AND($B2188&lt;&gt;"",COUNTIF($B$4:$B$2503,$B2188)&gt;1),"※入库单号重复","")))))))</f>
        <v/>
      </c>
    </row>
    <row r="2189">
      <c r="A2189" s="24">
        <f>IF($G2189="","",COUNTA($G$4:$G2189))</f>
        <v/>
      </c>
      <c r="B2189" s="17" t="n"/>
      <c r="C2189" s="30" t="n"/>
      <c r="D2189" s="17" t="n"/>
      <c r="E2189" s="17" t="n"/>
      <c r="F2189" s="17" t="n"/>
      <c r="G2189" s="17" t="n"/>
      <c r="H2189" s="24">
        <f>IF($G2189="","",IFERROR(VLOOKUP($G2189,物料档案!$A$4:$P$1203,3,0),"※编码不在物料档案里"))</f>
        <v/>
      </c>
      <c r="I2189" s="24">
        <f>IF($G2189="","",IFERROR(VLOOKUP($G2189,物料档案!$A$4:$P$1203,4,0),"※编码不在物料档案里"))</f>
        <v/>
      </c>
      <c r="J2189" s="24">
        <f>IF($G2189="","",IFERROR(VLOOKUP($G2189,物料档案!$A$4:$P$1203,5,0),"※编码不在物料档案里"))</f>
        <v/>
      </c>
      <c r="K2189" s="23" t="n"/>
      <c r="L2189" s="31" t="n"/>
      <c r="M2189" s="24">
        <f>IF($G2189="","",IF($D2189="A国内","CNY","TZS"))</f>
        <v/>
      </c>
      <c r="N2189" s="28">
        <f>IF($G2189="","",IF($D2189="A国内",汇率,1))</f>
        <v/>
      </c>
      <c r="O2189" s="25">
        <f>IF($G2189="","",ROUND(N($K2189)*N($L2189),2))</f>
        <v/>
      </c>
      <c r="P2189" s="26">
        <f>IF($G2189="","",ROUND($O2189*$N2189,0))</f>
        <v/>
      </c>
      <c r="Q2189" s="26">
        <f>IF($G2189="","",SUMIFS($P$4:$P$2503,$E$4:$E$2503,$E2189,$Z$4:$Z$2503,"正常"))</f>
        <v/>
      </c>
      <c r="R2189" s="26">
        <f>IF($G2189="","",SUMIFS(费用台账!$I$4:$I$503,费用台账!$C$4:$C$503,$E2189,费用台账!$J$4:$J$503,"是",费用台账!$K$4:$K$503,"正常"))</f>
        <v/>
      </c>
      <c r="S2189" s="28">
        <f>IF($G2189="","",COUNTIFS($E$4:$E$2503,$E2189,$Z$4:$Z$2503,"正常",$Y$4:$Y$2503,"待补价"))</f>
        <v/>
      </c>
      <c r="T2189" s="26">
        <f>IF($G2189="","",SUMIFS($P$4:$P$2503,$E$4:$E$2503,$E2189,$Z$4:$Z$2503,"正常",$A$4:$A$2503,"&lt;="&amp;$A2189))</f>
        <v/>
      </c>
      <c r="U2189" s="26">
        <f>IF($G2189="","",IF(OR($S2189&gt;0,$Q2189=0,$R2189=0,$Z2189&lt;&gt;"正常"),0,ROUND($T2189/$Q2189*$R2189,0)-ROUND(($T2189-$P2189)/$Q2189*$R2189,0)))</f>
        <v/>
      </c>
      <c r="V2189" s="26">
        <f>IF($G2189="","",ROUND($P2189+$U2189,0))</f>
        <v/>
      </c>
      <c r="W2189" s="26">
        <f>IF($G2189="","",IF(N($K2189)=0,0,ROUND($V2189/$K2189,2)))</f>
        <v/>
      </c>
      <c r="X2189" s="17" t="n"/>
      <c r="Y2189" s="17" t="n"/>
      <c r="Z2189" s="17" t="n"/>
      <c r="AA2189" s="17" t="n"/>
      <c r="AB2189" s="17" t="n"/>
      <c r="AC2189" s="24">
        <f>IF($G2189="","",IF($H2189="※编码不在物料档案里","※物料编码不在档案里",IF(N($K2189)&lt;=0,"※入库数量要大于 0",IF(AND($C2189&lt;&gt;"",$C2189&lt;=结账锁),"※日期早于已结账截止日，不能再录",IF(AND($L2189=0,$X2189="正常"),"※没填单价，价格状态请选「待补价」",IF(AND($S2189&gt;0,$R2189&gt;0),"△本批有 "&amp;$S2189&amp;" 行没单价，整批运费先挂账没摊",IF(AND($B2189&lt;&gt;"",COUNTIF($B$4:$B$2503,$B2189)&gt;1),"※入库单号重复","")))))))</f>
        <v/>
      </c>
    </row>
    <row r="2190">
      <c r="A2190" s="24">
        <f>IF($G2190="","",COUNTA($G$4:$G2190))</f>
        <v/>
      </c>
      <c r="B2190" s="17" t="n"/>
      <c r="C2190" s="30" t="n"/>
      <c r="D2190" s="17" t="n"/>
      <c r="E2190" s="17" t="n"/>
      <c r="F2190" s="17" t="n"/>
      <c r="G2190" s="17" t="n"/>
      <c r="H2190" s="24">
        <f>IF($G2190="","",IFERROR(VLOOKUP($G2190,物料档案!$A$4:$P$1203,3,0),"※编码不在物料档案里"))</f>
        <v/>
      </c>
      <c r="I2190" s="24">
        <f>IF($G2190="","",IFERROR(VLOOKUP($G2190,物料档案!$A$4:$P$1203,4,0),"※编码不在物料档案里"))</f>
        <v/>
      </c>
      <c r="J2190" s="24">
        <f>IF($G2190="","",IFERROR(VLOOKUP($G2190,物料档案!$A$4:$P$1203,5,0),"※编码不在物料档案里"))</f>
        <v/>
      </c>
      <c r="K2190" s="23" t="n"/>
      <c r="L2190" s="31" t="n"/>
      <c r="M2190" s="24">
        <f>IF($G2190="","",IF($D2190="A国内","CNY","TZS"))</f>
        <v/>
      </c>
      <c r="N2190" s="28">
        <f>IF($G2190="","",IF($D2190="A国内",汇率,1))</f>
        <v/>
      </c>
      <c r="O2190" s="25">
        <f>IF($G2190="","",ROUND(N($K2190)*N($L2190),2))</f>
        <v/>
      </c>
      <c r="P2190" s="26">
        <f>IF($G2190="","",ROUND($O2190*$N2190,0))</f>
        <v/>
      </c>
      <c r="Q2190" s="26">
        <f>IF($G2190="","",SUMIFS($P$4:$P$2503,$E$4:$E$2503,$E2190,$Z$4:$Z$2503,"正常"))</f>
        <v/>
      </c>
      <c r="R2190" s="26">
        <f>IF($G2190="","",SUMIFS(费用台账!$I$4:$I$503,费用台账!$C$4:$C$503,$E2190,费用台账!$J$4:$J$503,"是",费用台账!$K$4:$K$503,"正常"))</f>
        <v/>
      </c>
      <c r="S2190" s="28">
        <f>IF($G2190="","",COUNTIFS($E$4:$E$2503,$E2190,$Z$4:$Z$2503,"正常",$Y$4:$Y$2503,"待补价"))</f>
        <v/>
      </c>
      <c r="T2190" s="26">
        <f>IF($G2190="","",SUMIFS($P$4:$P$2503,$E$4:$E$2503,$E2190,$Z$4:$Z$2503,"正常",$A$4:$A$2503,"&lt;="&amp;$A2190))</f>
        <v/>
      </c>
      <c r="U2190" s="26">
        <f>IF($G2190="","",IF(OR($S2190&gt;0,$Q2190=0,$R2190=0,$Z2190&lt;&gt;"正常"),0,ROUND($T2190/$Q2190*$R2190,0)-ROUND(($T2190-$P2190)/$Q2190*$R2190,0)))</f>
        <v/>
      </c>
      <c r="V2190" s="26">
        <f>IF($G2190="","",ROUND($P2190+$U2190,0))</f>
        <v/>
      </c>
      <c r="W2190" s="26">
        <f>IF($G2190="","",IF(N($K2190)=0,0,ROUND($V2190/$K2190,2)))</f>
        <v/>
      </c>
      <c r="X2190" s="17" t="n"/>
      <c r="Y2190" s="17" t="n"/>
      <c r="Z2190" s="17" t="n"/>
      <c r="AA2190" s="17" t="n"/>
      <c r="AB2190" s="17" t="n"/>
      <c r="AC2190" s="24">
        <f>IF($G2190="","",IF($H2190="※编码不在物料档案里","※物料编码不在档案里",IF(N($K2190)&lt;=0,"※入库数量要大于 0",IF(AND($C2190&lt;&gt;"",$C2190&lt;=结账锁),"※日期早于已结账截止日，不能再录",IF(AND($L2190=0,$X2190="正常"),"※没填单价，价格状态请选「待补价」",IF(AND($S2190&gt;0,$R2190&gt;0),"△本批有 "&amp;$S2190&amp;" 行没单价，整批运费先挂账没摊",IF(AND($B2190&lt;&gt;"",COUNTIF($B$4:$B$2503,$B2190)&gt;1),"※入库单号重复","")))))))</f>
        <v/>
      </c>
    </row>
    <row r="2191">
      <c r="A2191" s="24">
        <f>IF($G2191="","",COUNTA($G$4:$G2191))</f>
        <v/>
      </c>
      <c r="B2191" s="17" t="n"/>
      <c r="C2191" s="30" t="n"/>
      <c r="D2191" s="17" t="n"/>
      <c r="E2191" s="17" t="n"/>
      <c r="F2191" s="17" t="n"/>
      <c r="G2191" s="17" t="n"/>
      <c r="H2191" s="24">
        <f>IF($G2191="","",IFERROR(VLOOKUP($G2191,物料档案!$A$4:$P$1203,3,0),"※编码不在物料档案里"))</f>
        <v/>
      </c>
      <c r="I2191" s="24">
        <f>IF($G2191="","",IFERROR(VLOOKUP($G2191,物料档案!$A$4:$P$1203,4,0),"※编码不在物料档案里"))</f>
        <v/>
      </c>
      <c r="J2191" s="24">
        <f>IF($G2191="","",IFERROR(VLOOKUP($G2191,物料档案!$A$4:$P$1203,5,0),"※编码不在物料档案里"))</f>
        <v/>
      </c>
      <c r="K2191" s="23" t="n"/>
      <c r="L2191" s="31" t="n"/>
      <c r="M2191" s="24">
        <f>IF($G2191="","",IF($D2191="A国内","CNY","TZS"))</f>
        <v/>
      </c>
      <c r="N2191" s="28">
        <f>IF($G2191="","",IF($D2191="A国内",汇率,1))</f>
        <v/>
      </c>
      <c r="O2191" s="25">
        <f>IF($G2191="","",ROUND(N($K2191)*N($L2191),2))</f>
        <v/>
      </c>
      <c r="P2191" s="26">
        <f>IF($G2191="","",ROUND($O2191*$N2191,0))</f>
        <v/>
      </c>
      <c r="Q2191" s="26">
        <f>IF($G2191="","",SUMIFS($P$4:$P$2503,$E$4:$E$2503,$E2191,$Z$4:$Z$2503,"正常"))</f>
        <v/>
      </c>
      <c r="R2191" s="26">
        <f>IF($G2191="","",SUMIFS(费用台账!$I$4:$I$503,费用台账!$C$4:$C$503,$E2191,费用台账!$J$4:$J$503,"是",费用台账!$K$4:$K$503,"正常"))</f>
        <v/>
      </c>
      <c r="S2191" s="28">
        <f>IF($G2191="","",COUNTIFS($E$4:$E$2503,$E2191,$Z$4:$Z$2503,"正常",$Y$4:$Y$2503,"待补价"))</f>
        <v/>
      </c>
      <c r="T2191" s="26">
        <f>IF($G2191="","",SUMIFS($P$4:$P$2503,$E$4:$E$2503,$E2191,$Z$4:$Z$2503,"正常",$A$4:$A$2503,"&lt;="&amp;$A2191))</f>
        <v/>
      </c>
      <c r="U2191" s="26">
        <f>IF($G2191="","",IF(OR($S2191&gt;0,$Q2191=0,$R2191=0,$Z2191&lt;&gt;"正常"),0,ROUND($T2191/$Q2191*$R2191,0)-ROUND(($T2191-$P2191)/$Q2191*$R2191,0)))</f>
        <v/>
      </c>
      <c r="V2191" s="26">
        <f>IF($G2191="","",ROUND($P2191+$U2191,0))</f>
        <v/>
      </c>
      <c r="W2191" s="26">
        <f>IF($G2191="","",IF(N($K2191)=0,0,ROUND($V2191/$K2191,2)))</f>
        <v/>
      </c>
      <c r="X2191" s="17" t="n"/>
      <c r="Y2191" s="17" t="n"/>
      <c r="Z2191" s="17" t="n"/>
      <c r="AA2191" s="17" t="n"/>
      <c r="AB2191" s="17" t="n"/>
      <c r="AC2191" s="24">
        <f>IF($G2191="","",IF($H2191="※编码不在物料档案里","※物料编码不在档案里",IF(N($K2191)&lt;=0,"※入库数量要大于 0",IF(AND($C2191&lt;&gt;"",$C2191&lt;=结账锁),"※日期早于已结账截止日，不能再录",IF(AND($L2191=0,$X2191="正常"),"※没填单价，价格状态请选「待补价」",IF(AND($S2191&gt;0,$R2191&gt;0),"△本批有 "&amp;$S2191&amp;" 行没单价，整批运费先挂账没摊",IF(AND($B2191&lt;&gt;"",COUNTIF($B$4:$B$2503,$B2191)&gt;1),"※入库单号重复","")))))))</f>
        <v/>
      </c>
    </row>
    <row r="2192">
      <c r="A2192" s="24">
        <f>IF($G2192="","",COUNTA($G$4:$G2192))</f>
        <v/>
      </c>
      <c r="B2192" s="17" t="n"/>
      <c r="C2192" s="30" t="n"/>
      <c r="D2192" s="17" t="n"/>
      <c r="E2192" s="17" t="n"/>
      <c r="F2192" s="17" t="n"/>
      <c r="G2192" s="17" t="n"/>
      <c r="H2192" s="24">
        <f>IF($G2192="","",IFERROR(VLOOKUP($G2192,物料档案!$A$4:$P$1203,3,0),"※编码不在物料档案里"))</f>
        <v/>
      </c>
      <c r="I2192" s="24">
        <f>IF($G2192="","",IFERROR(VLOOKUP($G2192,物料档案!$A$4:$P$1203,4,0),"※编码不在物料档案里"))</f>
        <v/>
      </c>
      <c r="J2192" s="24">
        <f>IF($G2192="","",IFERROR(VLOOKUP($G2192,物料档案!$A$4:$P$1203,5,0),"※编码不在物料档案里"))</f>
        <v/>
      </c>
      <c r="K2192" s="23" t="n"/>
      <c r="L2192" s="31" t="n"/>
      <c r="M2192" s="24">
        <f>IF($G2192="","",IF($D2192="A国内","CNY","TZS"))</f>
        <v/>
      </c>
      <c r="N2192" s="28">
        <f>IF($G2192="","",IF($D2192="A国内",汇率,1))</f>
        <v/>
      </c>
      <c r="O2192" s="25">
        <f>IF($G2192="","",ROUND(N($K2192)*N($L2192),2))</f>
        <v/>
      </c>
      <c r="P2192" s="26">
        <f>IF($G2192="","",ROUND($O2192*$N2192,0))</f>
        <v/>
      </c>
      <c r="Q2192" s="26">
        <f>IF($G2192="","",SUMIFS($P$4:$P$2503,$E$4:$E$2503,$E2192,$Z$4:$Z$2503,"正常"))</f>
        <v/>
      </c>
      <c r="R2192" s="26">
        <f>IF($G2192="","",SUMIFS(费用台账!$I$4:$I$503,费用台账!$C$4:$C$503,$E2192,费用台账!$J$4:$J$503,"是",费用台账!$K$4:$K$503,"正常"))</f>
        <v/>
      </c>
      <c r="S2192" s="28">
        <f>IF($G2192="","",COUNTIFS($E$4:$E$2503,$E2192,$Z$4:$Z$2503,"正常",$Y$4:$Y$2503,"待补价"))</f>
        <v/>
      </c>
      <c r="T2192" s="26">
        <f>IF($G2192="","",SUMIFS($P$4:$P$2503,$E$4:$E$2503,$E2192,$Z$4:$Z$2503,"正常",$A$4:$A$2503,"&lt;="&amp;$A2192))</f>
        <v/>
      </c>
      <c r="U2192" s="26">
        <f>IF($G2192="","",IF(OR($S2192&gt;0,$Q2192=0,$R2192=0,$Z2192&lt;&gt;"正常"),0,ROUND($T2192/$Q2192*$R2192,0)-ROUND(($T2192-$P2192)/$Q2192*$R2192,0)))</f>
        <v/>
      </c>
      <c r="V2192" s="26">
        <f>IF($G2192="","",ROUND($P2192+$U2192,0))</f>
        <v/>
      </c>
      <c r="W2192" s="26">
        <f>IF($G2192="","",IF(N($K2192)=0,0,ROUND($V2192/$K2192,2)))</f>
        <v/>
      </c>
      <c r="X2192" s="17" t="n"/>
      <c r="Y2192" s="17" t="n"/>
      <c r="Z2192" s="17" t="n"/>
      <c r="AA2192" s="17" t="n"/>
      <c r="AB2192" s="17" t="n"/>
      <c r="AC2192" s="24">
        <f>IF($G2192="","",IF($H2192="※编码不在物料档案里","※物料编码不在档案里",IF(N($K2192)&lt;=0,"※入库数量要大于 0",IF(AND($C2192&lt;&gt;"",$C2192&lt;=结账锁),"※日期早于已结账截止日，不能再录",IF(AND($L2192=0,$X2192="正常"),"※没填单价，价格状态请选「待补价」",IF(AND($S2192&gt;0,$R2192&gt;0),"△本批有 "&amp;$S2192&amp;" 行没单价，整批运费先挂账没摊",IF(AND($B2192&lt;&gt;"",COUNTIF($B$4:$B$2503,$B2192)&gt;1),"※入库单号重复","")))))))</f>
        <v/>
      </c>
    </row>
    <row r="2193">
      <c r="A2193" s="24">
        <f>IF($G2193="","",COUNTA($G$4:$G2193))</f>
        <v/>
      </c>
      <c r="B2193" s="17" t="n"/>
      <c r="C2193" s="30" t="n"/>
      <c r="D2193" s="17" t="n"/>
      <c r="E2193" s="17" t="n"/>
      <c r="F2193" s="17" t="n"/>
      <c r="G2193" s="17" t="n"/>
      <c r="H2193" s="24">
        <f>IF($G2193="","",IFERROR(VLOOKUP($G2193,物料档案!$A$4:$P$1203,3,0),"※编码不在物料档案里"))</f>
        <v/>
      </c>
      <c r="I2193" s="24">
        <f>IF($G2193="","",IFERROR(VLOOKUP($G2193,物料档案!$A$4:$P$1203,4,0),"※编码不在物料档案里"))</f>
        <v/>
      </c>
      <c r="J2193" s="24">
        <f>IF($G2193="","",IFERROR(VLOOKUP($G2193,物料档案!$A$4:$P$1203,5,0),"※编码不在物料档案里"))</f>
        <v/>
      </c>
      <c r="K2193" s="23" t="n"/>
      <c r="L2193" s="31" t="n"/>
      <c r="M2193" s="24">
        <f>IF($G2193="","",IF($D2193="A国内","CNY","TZS"))</f>
        <v/>
      </c>
      <c r="N2193" s="28">
        <f>IF($G2193="","",IF($D2193="A国内",汇率,1))</f>
        <v/>
      </c>
      <c r="O2193" s="25">
        <f>IF($G2193="","",ROUND(N($K2193)*N($L2193),2))</f>
        <v/>
      </c>
      <c r="P2193" s="26">
        <f>IF($G2193="","",ROUND($O2193*$N2193,0))</f>
        <v/>
      </c>
      <c r="Q2193" s="26">
        <f>IF($G2193="","",SUMIFS($P$4:$P$2503,$E$4:$E$2503,$E2193,$Z$4:$Z$2503,"正常"))</f>
        <v/>
      </c>
      <c r="R2193" s="26">
        <f>IF($G2193="","",SUMIFS(费用台账!$I$4:$I$503,费用台账!$C$4:$C$503,$E2193,费用台账!$J$4:$J$503,"是",费用台账!$K$4:$K$503,"正常"))</f>
        <v/>
      </c>
      <c r="S2193" s="28">
        <f>IF($G2193="","",COUNTIFS($E$4:$E$2503,$E2193,$Z$4:$Z$2503,"正常",$Y$4:$Y$2503,"待补价"))</f>
        <v/>
      </c>
      <c r="T2193" s="26">
        <f>IF($G2193="","",SUMIFS($P$4:$P$2503,$E$4:$E$2503,$E2193,$Z$4:$Z$2503,"正常",$A$4:$A$2503,"&lt;="&amp;$A2193))</f>
        <v/>
      </c>
      <c r="U2193" s="26">
        <f>IF($G2193="","",IF(OR($S2193&gt;0,$Q2193=0,$R2193=0,$Z2193&lt;&gt;"正常"),0,ROUND($T2193/$Q2193*$R2193,0)-ROUND(($T2193-$P2193)/$Q2193*$R2193,0)))</f>
        <v/>
      </c>
      <c r="V2193" s="26">
        <f>IF($G2193="","",ROUND($P2193+$U2193,0))</f>
        <v/>
      </c>
      <c r="W2193" s="26">
        <f>IF($G2193="","",IF(N($K2193)=0,0,ROUND($V2193/$K2193,2)))</f>
        <v/>
      </c>
      <c r="X2193" s="17" t="n"/>
      <c r="Y2193" s="17" t="n"/>
      <c r="Z2193" s="17" t="n"/>
      <c r="AA2193" s="17" t="n"/>
      <c r="AB2193" s="17" t="n"/>
      <c r="AC2193" s="24">
        <f>IF($G2193="","",IF($H2193="※编码不在物料档案里","※物料编码不在档案里",IF(N($K2193)&lt;=0,"※入库数量要大于 0",IF(AND($C2193&lt;&gt;"",$C2193&lt;=结账锁),"※日期早于已结账截止日，不能再录",IF(AND($L2193=0,$X2193="正常"),"※没填单价，价格状态请选「待补价」",IF(AND($S2193&gt;0,$R2193&gt;0),"△本批有 "&amp;$S2193&amp;" 行没单价，整批运费先挂账没摊",IF(AND($B2193&lt;&gt;"",COUNTIF($B$4:$B$2503,$B2193)&gt;1),"※入库单号重复","")))))))</f>
        <v/>
      </c>
    </row>
    <row r="2194">
      <c r="A2194" s="24">
        <f>IF($G2194="","",COUNTA($G$4:$G2194))</f>
        <v/>
      </c>
      <c r="B2194" s="17" t="n"/>
      <c r="C2194" s="30" t="n"/>
      <c r="D2194" s="17" t="n"/>
      <c r="E2194" s="17" t="n"/>
      <c r="F2194" s="17" t="n"/>
      <c r="G2194" s="17" t="n"/>
      <c r="H2194" s="24">
        <f>IF($G2194="","",IFERROR(VLOOKUP($G2194,物料档案!$A$4:$P$1203,3,0),"※编码不在物料档案里"))</f>
        <v/>
      </c>
      <c r="I2194" s="24">
        <f>IF($G2194="","",IFERROR(VLOOKUP($G2194,物料档案!$A$4:$P$1203,4,0),"※编码不在物料档案里"))</f>
        <v/>
      </c>
      <c r="J2194" s="24">
        <f>IF($G2194="","",IFERROR(VLOOKUP($G2194,物料档案!$A$4:$P$1203,5,0),"※编码不在物料档案里"))</f>
        <v/>
      </c>
      <c r="K2194" s="23" t="n"/>
      <c r="L2194" s="31" t="n"/>
      <c r="M2194" s="24">
        <f>IF($G2194="","",IF($D2194="A国内","CNY","TZS"))</f>
        <v/>
      </c>
      <c r="N2194" s="28">
        <f>IF($G2194="","",IF($D2194="A国内",汇率,1))</f>
        <v/>
      </c>
      <c r="O2194" s="25">
        <f>IF($G2194="","",ROUND(N($K2194)*N($L2194),2))</f>
        <v/>
      </c>
      <c r="P2194" s="26">
        <f>IF($G2194="","",ROUND($O2194*$N2194,0))</f>
        <v/>
      </c>
      <c r="Q2194" s="26">
        <f>IF($G2194="","",SUMIFS($P$4:$P$2503,$E$4:$E$2503,$E2194,$Z$4:$Z$2503,"正常"))</f>
        <v/>
      </c>
      <c r="R2194" s="26">
        <f>IF($G2194="","",SUMIFS(费用台账!$I$4:$I$503,费用台账!$C$4:$C$503,$E2194,费用台账!$J$4:$J$503,"是",费用台账!$K$4:$K$503,"正常"))</f>
        <v/>
      </c>
      <c r="S2194" s="28">
        <f>IF($G2194="","",COUNTIFS($E$4:$E$2503,$E2194,$Z$4:$Z$2503,"正常",$Y$4:$Y$2503,"待补价"))</f>
        <v/>
      </c>
      <c r="T2194" s="26">
        <f>IF($G2194="","",SUMIFS($P$4:$P$2503,$E$4:$E$2503,$E2194,$Z$4:$Z$2503,"正常",$A$4:$A$2503,"&lt;="&amp;$A2194))</f>
        <v/>
      </c>
      <c r="U2194" s="26">
        <f>IF($G2194="","",IF(OR($S2194&gt;0,$Q2194=0,$R2194=0,$Z2194&lt;&gt;"正常"),0,ROUND($T2194/$Q2194*$R2194,0)-ROUND(($T2194-$P2194)/$Q2194*$R2194,0)))</f>
        <v/>
      </c>
      <c r="V2194" s="26">
        <f>IF($G2194="","",ROUND($P2194+$U2194,0))</f>
        <v/>
      </c>
      <c r="W2194" s="26">
        <f>IF($G2194="","",IF(N($K2194)=0,0,ROUND($V2194/$K2194,2)))</f>
        <v/>
      </c>
      <c r="X2194" s="17" t="n"/>
      <c r="Y2194" s="17" t="n"/>
      <c r="Z2194" s="17" t="n"/>
      <c r="AA2194" s="17" t="n"/>
      <c r="AB2194" s="17" t="n"/>
      <c r="AC2194" s="24">
        <f>IF($G2194="","",IF($H2194="※编码不在物料档案里","※物料编码不在档案里",IF(N($K2194)&lt;=0,"※入库数量要大于 0",IF(AND($C2194&lt;&gt;"",$C2194&lt;=结账锁),"※日期早于已结账截止日，不能再录",IF(AND($L2194=0,$X2194="正常"),"※没填单价，价格状态请选「待补价」",IF(AND($S2194&gt;0,$R2194&gt;0),"△本批有 "&amp;$S2194&amp;" 行没单价，整批运费先挂账没摊",IF(AND($B2194&lt;&gt;"",COUNTIF($B$4:$B$2503,$B2194)&gt;1),"※入库单号重复","")))))))</f>
        <v/>
      </c>
    </row>
    <row r="2195">
      <c r="A2195" s="24">
        <f>IF($G2195="","",COUNTA($G$4:$G2195))</f>
        <v/>
      </c>
      <c r="B2195" s="17" t="n"/>
      <c r="C2195" s="30" t="n"/>
      <c r="D2195" s="17" t="n"/>
      <c r="E2195" s="17" t="n"/>
      <c r="F2195" s="17" t="n"/>
      <c r="G2195" s="17" t="n"/>
      <c r="H2195" s="24">
        <f>IF($G2195="","",IFERROR(VLOOKUP($G2195,物料档案!$A$4:$P$1203,3,0),"※编码不在物料档案里"))</f>
        <v/>
      </c>
      <c r="I2195" s="24">
        <f>IF($G2195="","",IFERROR(VLOOKUP($G2195,物料档案!$A$4:$P$1203,4,0),"※编码不在物料档案里"))</f>
        <v/>
      </c>
      <c r="J2195" s="24">
        <f>IF($G2195="","",IFERROR(VLOOKUP($G2195,物料档案!$A$4:$P$1203,5,0),"※编码不在物料档案里"))</f>
        <v/>
      </c>
      <c r="K2195" s="23" t="n"/>
      <c r="L2195" s="31" t="n"/>
      <c r="M2195" s="24">
        <f>IF($G2195="","",IF($D2195="A国内","CNY","TZS"))</f>
        <v/>
      </c>
      <c r="N2195" s="28">
        <f>IF($G2195="","",IF($D2195="A国内",汇率,1))</f>
        <v/>
      </c>
      <c r="O2195" s="25">
        <f>IF($G2195="","",ROUND(N($K2195)*N($L2195),2))</f>
        <v/>
      </c>
      <c r="P2195" s="26">
        <f>IF($G2195="","",ROUND($O2195*$N2195,0))</f>
        <v/>
      </c>
      <c r="Q2195" s="26">
        <f>IF($G2195="","",SUMIFS($P$4:$P$2503,$E$4:$E$2503,$E2195,$Z$4:$Z$2503,"正常"))</f>
        <v/>
      </c>
      <c r="R2195" s="26">
        <f>IF($G2195="","",SUMIFS(费用台账!$I$4:$I$503,费用台账!$C$4:$C$503,$E2195,费用台账!$J$4:$J$503,"是",费用台账!$K$4:$K$503,"正常"))</f>
        <v/>
      </c>
      <c r="S2195" s="28">
        <f>IF($G2195="","",COUNTIFS($E$4:$E$2503,$E2195,$Z$4:$Z$2503,"正常",$Y$4:$Y$2503,"待补价"))</f>
        <v/>
      </c>
      <c r="T2195" s="26">
        <f>IF($G2195="","",SUMIFS($P$4:$P$2503,$E$4:$E$2503,$E2195,$Z$4:$Z$2503,"正常",$A$4:$A$2503,"&lt;="&amp;$A2195))</f>
        <v/>
      </c>
      <c r="U2195" s="26">
        <f>IF($G2195="","",IF(OR($S2195&gt;0,$Q2195=0,$R2195=0,$Z2195&lt;&gt;"正常"),0,ROUND($T2195/$Q2195*$R2195,0)-ROUND(($T2195-$P2195)/$Q2195*$R2195,0)))</f>
        <v/>
      </c>
      <c r="V2195" s="26">
        <f>IF($G2195="","",ROUND($P2195+$U2195,0))</f>
        <v/>
      </c>
      <c r="W2195" s="26">
        <f>IF($G2195="","",IF(N($K2195)=0,0,ROUND($V2195/$K2195,2)))</f>
        <v/>
      </c>
      <c r="X2195" s="17" t="n"/>
      <c r="Y2195" s="17" t="n"/>
      <c r="Z2195" s="17" t="n"/>
      <c r="AA2195" s="17" t="n"/>
      <c r="AB2195" s="17" t="n"/>
      <c r="AC2195" s="24">
        <f>IF($G2195="","",IF($H2195="※编码不在物料档案里","※物料编码不在档案里",IF(N($K2195)&lt;=0,"※入库数量要大于 0",IF(AND($C2195&lt;&gt;"",$C2195&lt;=结账锁),"※日期早于已结账截止日，不能再录",IF(AND($L2195=0,$X2195="正常"),"※没填单价，价格状态请选「待补价」",IF(AND($S2195&gt;0,$R2195&gt;0),"△本批有 "&amp;$S2195&amp;" 行没单价，整批运费先挂账没摊",IF(AND($B2195&lt;&gt;"",COUNTIF($B$4:$B$2503,$B2195)&gt;1),"※入库单号重复","")))))))</f>
        <v/>
      </c>
    </row>
    <row r="2196">
      <c r="A2196" s="24">
        <f>IF($G2196="","",COUNTA($G$4:$G2196))</f>
        <v/>
      </c>
      <c r="B2196" s="17" t="n"/>
      <c r="C2196" s="30" t="n"/>
      <c r="D2196" s="17" t="n"/>
      <c r="E2196" s="17" t="n"/>
      <c r="F2196" s="17" t="n"/>
      <c r="G2196" s="17" t="n"/>
      <c r="H2196" s="24">
        <f>IF($G2196="","",IFERROR(VLOOKUP($G2196,物料档案!$A$4:$P$1203,3,0),"※编码不在物料档案里"))</f>
        <v/>
      </c>
      <c r="I2196" s="24">
        <f>IF($G2196="","",IFERROR(VLOOKUP($G2196,物料档案!$A$4:$P$1203,4,0),"※编码不在物料档案里"))</f>
        <v/>
      </c>
      <c r="J2196" s="24">
        <f>IF($G2196="","",IFERROR(VLOOKUP($G2196,物料档案!$A$4:$P$1203,5,0),"※编码不在物料档案里"))</f>
        <v/>
      </c>
      <c r="K2196" s="23" t="n"/>
      <c r="L2196" s="31" t="n"/>
      <c r="M2196" s="24">
        <f>IF($G2196="","",IF($D2196="A国内","CNY","TZS"))</f>
        <v/>
      </c>
      <c r="N2196" s="28">
        <f>IF($G2196="","",IF($D2196="A国内",汇率,1))</f>
        <v/>
      </c>
      <c r="O2196" s="25">
        <f>IF($G2196="","",ROUND(N($K2196)*N($L2196),2))</f>
        <v/>
      </c>
      <c r="P2196" s="26">
        <f>IF($G2196="","",ROUND($O2196*$N2196,0))</f>
        <v/>
      </c>
      <c r="Q2196" s="26">
        <f>IF($G2196="","",SUMIFS($P$4:$P$2503,$E$4:$E$2503,$E2196,$Z$4:$Z$2503,"正常"))</f>
        <v/>
      </c>
      <c r="R2196" s="26">
        <f>IF($G2196="","",SUMIFS(费用台账!$I$4:$I$503,费用台账!$C$4:$C$503,$E2196,费用台账!$J$4:$J$503,"是",费用台账!$K$4:$K$503,"正常"))</f>
        <v/>
      </c>
      <c r="S2196" s="28">
        <f>IF($G2196="","",COUNTIFS($E$4:$E$2503,$E2196,$Z$4:$Z$2503,"正常",$Y$4:$Y$2503,"待补价"))</f>
        <v/>
      </c>
      <c r="T2196" s="26">
        <f>IF($G2196="","",SUMIFS($P$4:$P$2503,$E$4:$E$2503,$E2196,$Z$4:$Z$2503,"正常",$A$4:$A$2503,"&lt;="&amp;$A2196))</f>
        <v/>
      </c>
      <c r="U2196" s="26">
        <f>IF($G2196="","",IF(OR($S2196&gt;0,$Q2196=0,$R2196=0,$Z2196&lt;&gt;"正常"),0,ROUND($T2196/$Q2196*$R2196,0)-ROUND(($T2196-$P2196)/$Q2196*$R2196,0)))</f>
        <v/>
      </c>
      <c r="V2196" s="26">
        <f>IF($G2196="","",ROUND($P2196+$U2196,0))</f>
        <v/>
      </c>
      <c r="W2196" s="26">
        <f>IF($G2196="","",IF(N($K2196)=0,0,ROUND($V2196/$K2196,2)))</f>
        <v/>
      </c>
      <c r="X2196" s="17" t="n"/>
      <c r="Y2196" s="17" t="n"/>
      <c r="Z2196" s="17" t="n"/>
      <c r="AA2196" s="17" t="n"/>
      <c r="AB2196" s="17" t="n"/>
      <c r="AC2196" s="24">
        <f>IF($G2196="","",IF($H2196="※编码不在物料档案里","※物料编码不在档案里",IF(N($K2196)&lt;=0,"※入库数量要大于 0",IF(AND($C2196&lt;&gt;"",$C2196&lt;=结账锁),"※日期早于已结账截止日，不能再录",IF(AND($L2196=0,$X2196="正常"),"※没填单价，价格状态请选「待补价」",IF(AND($S2196&gt;0,$R2196&gt;0),"△本批有 "&amp;$S2196&amp;" 行没单价，整批运费先挂账没摊",IF(AND($B2196&lt;&gt;"",COUNTIF($B$4:$B$2503,$B2196)&gt;1),"※入库单号重复","")))))))</f>
        <v/>
      </c>
    </row>
    <row r="2197">
      <c r="A2197" s="24">
        <f>IF($G2197="","",COUNTA($G$4:$G2197))</f>
        <v/>
      </c>
      <c r="B2197" s="17" t="n"/>
      <c r="C2197" s="30" t="n"/>
      <c r="D2197" s="17" t="n"/>
      <c r="E2197" s="17" t="n"/>
      <c r="F2197" s="17" t="n"/>
      <c r="G2197" s="17" t="n"/>
      <c r="H2197" s="24">
        <f>IF($G2197="","",IFERROR(VLOOKUP($G2197,物料档案!$A$4:$P$1203,3,0),"※编码不在物料档案里"))</f>
        <v/>
      </c>
      <c r="I2197" s="24">
        <f>IF($G2197="","",IFERROR(VLOOKUP($G2197,物料档案!$A$4:$P$1203,4,0),"※编码不在物料档案里"))</f>
        <v/>
      </c>
      <c r="J2197" s="24">
        <f>IF($G2197="","",IFERROR(VLOOKUP($G2197,物料档案!$A$4:$P$1203,5,0),"※编码不在物料档案里"))</f>
        <v/>
      </c>
      <c r="K2197" s="23" t="n"/>
      <c r="L2197" s="31" t="n"/>
      <c r="M2197" s="24">
        <f>IF($G2197="","",IF($D2197="A国内","CNY","TZS"))</f>
        <v/>
      </c>
      <c r="N2197" s="28">
        <f>IF($G2197="","",IF($D2197="A国内",汇率,1))</f>
        <v/>
      </c>
      <c r="O2197" s="25">
        <f>IF($G2197="","",ROUND(N($K2197)*N($L2197),2))</f>
        <v/>
      </c>
      <c r="P2197" s="26">
        <f>IF($G2197="","",ROUND($O2197*$N2197,0))</f>
        <v/>
      </c>
      <c r="Q2197" s="26">
        <f>IF($G2197="","",SUMIFS($P$4:$P$2503,$E$4:$E$2503,$E2197,$Z$4:$Z$2503,"正常"))</f>
        <v/>
      </c>
      <c r="R2197" s="26">
        <f>IF($G2197="","",SUMIFS(费用台账!$I$4:$I$503,费用台账!$C$4:$C$503,$E2197,费用台账!$J$4:$J$503,"是",费用台账!$K$4:$K$503,"正常"))</f>
        <v/>
      </c>
      <c r="S2197" s="28">
        <f>IF($G2197="","",COUNTIFS($E$4:$E$2503,$E2197,$Z$4:$Z$2503,"正常",$Y$4:$Y$2503,"待补价"))</f>
        <v/>
      </c>
      <c r="T2197" s="26">
        <f>IF($G2197="","",SUMIFS($P$4:$P$2503,$E$4:$E$2503,$E2197,$Z$4:$Z$2503,"正常",$A$4:$A$2503,"&lt;="&amp;$A2197))</f>
        <v/>
      </c>
      <c r="U2197" s="26">
        <f>IF($G2197="","",IF(OR($S2197&gt;0,$Q2197=0,$R2197=0,$Z2197&lt;&gt;"正常"),0,ROUND($T2197/$Q2197*$R2197,0)-ROUND(($T2197-$P2197)/$Q2197*$R2197,0)))</f>
        <v/>
      </c>
      <c r="V2197" s="26">
        <f>IF($G2197="","",ROUND($P2197+$U2197,0))</f>
        <v/>
      </c>
      <c r="W2197" s="26">
        <f>IF($G2197="","",IF(N($K2197)=0,0,ROUND($V2197/$K2197,2)))</f>
        <v/>
      </c>
      <c r="X2197" s="17" t="n"/>
      <c r="Y2197" s="17" t="n"/>
      <c r="Z2197" s="17" t="n"/>
      <c r="AA2197" s="17" t="n"/>
      <c r="AB2197" s="17" t="n"/>
      <c r="AC2197" s="24">
        <f>IF($G2197="","",IF($H2197="※编码不在物料档案里","※物料编码不在档案里",IF(N($K2197)&lt;=0,"※入库数量要大于 0",IF(AND($C2197&lt;&gt;"",$C2197&lt;=结账锁),"※日期早于已结账截止日，不能再录",IF(AND($L2197=0,$X2197="正常"),"※没填单价，价格状态请选「待补价」",IF(AND($S2197&gt;0,$R2197&gt;0),"△本批有 "&amp;$S2197&amp;" 行没单价，整批运费先挂账没摊",IF(AND($B2197&lt;&gt;"",COUNTIF($B$4:$B$2503,$B2197)&gt;1),"※入库单号重复","")))))))</f>
        <v/>
      </c>
    </row>
    <row r="2198">
      <c r="A2198" s="24">
        <f>IF($G2198="","",COUNTA($G$4:$G2198))</f>
        <v/>
      </c>
      <c r="B2198" s="17" t="n"/>
      <c r="C2198" s="30" t="n"/>
      <c r="D2198" s="17" t="n"/>
      <c r="E2198" s="17" t="n"/>
      <c r="F2198" s="17" t="n"/>
      <c r="G2198" s="17" t="n"/>
      <c r="H2198" s="24">
        <f>IF($G2198="","",IFERROR(VLOOKUP($G2198,物料档案!$A$4:$P$1203,3,0),"※编码不在物料档案里"))</f>
        <v/>
      </c>
      <c r="I2198" s="24">
        <f>IF($G2198="","",IFERROR(VLOOKUP($G2198,物料档案!$A$4:$P$1203,4,0),"※编码不在物料档案里"))</f>
        <v/>
      </c>
      <c r="J2198" s="24">
        <f>IF($G2198="","",IFERROR(VLOOKUP($G2198,物料档案!$A$4:$P$1203,5,0),"※编码不在物料档案里"))</f>
        <v/>
      </c>
      <c r="K2198" s="23" t="n"/>
      <c r="L2198" s="31" t="n"/>
      <c r="M2198" s="24">
        <f>IF($G2198="","",IF($D2198="A国内","CNY","TZS"))</f>
        <v/>
      </c>
      <c r="N2198" s="28">
        <f>IF($G2198="","",IF($D2198="A国内",汇率,1))</f>
        <v/>
      </c>
      <c r="O2198" s="25">
        <f>IF($G2198="","",ROUND(N($K2198)*N($L2198),2))</f>
        <v/>
      </c>
      <c r="P2198" s="26">
        <f>IF($G2198="","",ROUND($O2198*$N2198,0))</f>
        <v/>
      </c>
      <c r="Q2198" s="26">
        <f>IF($G2198="","",SUMIFS($P$4:$P$2503,$E$4:$E$2503,$E2198,$Z$4:$Z$2503,"正常"))</f>
        <v/>
      </c>
      <c r="R2198" s="26">
        <f>IF($G2198="","",SUMIFS(费用台账!$I$4:$I$503,费用台账!$C$4:$C$503,$E2198,费用台账!$J$4:$J$503,"是",费用台账!$K$4:$K$503,"正常"))</f>
        <v/>
      </c>
      <c r="S2198" s="28">
        <f>IF($G2198="","",COUNTIFS($E$4:$E$2503,$E2198,$Z$4:$Z$2503,"正常",$Y$4:$Y$2503,"待补价"))</f>
        <v/>
      </c>
      <c r="T2198" s="26">
        <f>IF($G2198="","",SUMIFS($P$4:$P$2503,$E$4:$E$2503,$E2198,$Z$4:$Z$2503,"正常",$A$4:$A$2503,"&lt;="&amp;$A2198))</f>
        <v/>
      </c>
      <c r="U2198" s="26">
        <f>IF($G2198="","",IF(OR($S2198&gt;0,$Q2198=0,$R2198=0,$Z2198&lt;&gt;"正常"),0,ROUND($T2198/$Q2198*$R2198,0)-ROUND(($T2198-$P2198)/$Q2198*$R2198,0)))</f>
        <v/>
      </c>
      <c r="V2198" s="26">
        <f>IF($G2198="","",ROUND($P2198+$U2198,0))</f>
        <v/>
      </c>
      <c r="W2198" s="26">
        <f>IF($G2198="","",IF(N($K2198)=0,0,ROUND($V2198/$K2198,2)))</f>
        <v/>
      </c>
      <c r="X2198" s="17" t="n"/>
      <c r="Y2198" s="17" t="n"/>
      <c r="Z2198" s="17" t="n"/>
      <c r="AA2198" s="17" t="n"/>
      <c r="AB2198" s="17" t="n"/>
      <c r="AC2198" s="24">
        <f>IF($G2198="","",IF($H2198="※编码不在物料档案里","※物料编码不在档案里",IF(N($K2198)&lt;=0,"※入库数量要大于 0",IF(AND($C2198&lt;&gt;"",$C2198&lt;=结账锁),"※日期早于已结账截止日，不能再录",IF(AND($L2198=0,$X2198="正常"),"※没填单价，价格状态请选「待补价」",IF(AND($S2198&gt;0,$R2198&gt;0),"△本批有 "&amp;$S2198&amp;" 行没单价，整批运费先挂账没摊",IF(AND($B2198&lt;&gt;"",COUNTIF($B$4:$B$2503,$B2198)&gt;1),"※入库单号重复","")))))))</f>
        <v/>
      </c>
    </row>
    <row r="2199">
      <c r="A2199" s="24">
        <f>IF($G2199="","",COUNTA($G$4:$G2199))</f>
        <v/>
      </c>
      <c r="B2199" s="17" t="n"/>
      <c r="C2199" s="30" t="n"/>
      <c r="D2199" s="17" t="n"/>
      <c r="E2199" s="17" t="n"/>
      <c r="F2199" s="17" t="n"/>
      <c r="G2199" s="17" t="n"/>
      <c r="H2199" s="24">
        <f>IF($G2199="","",IFERROR(VLOOKUP($G2199,物料档案!$A$4:$P$1203,3,0),"※编码不在物料档案里"))</f>
        <v/>
      </c>
      <c r="I2199" s="24">
        <f>IF($G2199="","",IFERROR(VLOOKUP($G2199,物料档案!$A$4:$P$1203,4,0),"※编码不在物料档案里"))</f>
        <v/>
      </c>
      <c r="J2199" s="24">
        <f>IF($G2199="","",IFERROR(VLOOKUP($G2199,物料档案!$A$4:$P$1203,5,0),"※编码不在物料档案里"))</f>
        <v/>
      </c>
      <c r="K2199" s="23" t="n"/>
      <c r="L2199" s="31" t="n"/>
      <c r="M2199" s="24">
        <f>IF($G2199="","",IF($D2199="A国内","CNY","TZS"))</f>
        <v/>
      </c>
      <c r="N2199" s="28">
        <f>IF($G2199="","",IF($D2199="A国内",汇率,1))</f>
        <v/>
      </c>
      <c r="O2199" s="25">
        <f>IF($G2199="","",ROUND(N($K2199)*N($L2199),2))</f>
        <v/>
      </c>
      <c r="P2199" s="26">
        <f>IF($G2199="","",ROUND($O2199*$N2199,0))</f>
        <v/>
      </c>
      <c r="Q2199" s="26">
        <f>IF($G2199="","",SUMIFS($P$4:$P$2503,$E$4:$E$2503,$E2199,$Z$4:$Z$2503,"正常"))</f>
        <v/>
      </c>
      <c r="R2199" s="26">
        <f>IF($G2199="","",SUMIFS(费用台账!$I$4:$I$503,费用台账!$C$4:$C$503,$E2199,费用台账!$J$4:$J$503,"是",费用台账!$K$4:$K$503,"正常"))</f>
        <v/>
      </c>
      <c r="S2199" s="28">
        <f>IF($G2199="","",COUNTIFS($E$4:$E$2503,$E2199,$Z$4:$Z$2503,"正常",$Y$4:$Y$2503,"待补价"))</f>
        <v/>
      </c>
      <c r="T2199" s="26">
        <f>IF($G2199="","",SUMIFS($P$4:$P$2503,$E$4:$E$2503,$E2199,$Z$4:$Z$2503,"正常",$A$4:$A$2503,"&lt;="&amp;$A2199))</f>
        <v/>
      </c>
      <c r="U2199" s="26">
        <f>IF($G2199="","",IF(OR($S2199&gt;0,$Q2199=0,$R2199=0,$Z2199&lt;&gt;"正常"),0,ROUND($T2199/$Q2199*$R2199,0)-ROUND(($T2199-$P2199)/$Q2199*$R2199,0)))</f>
        <v/>
      </c>
      <c r="V2199" s="26">
        <f>IF($G2199="","",ROUND($P2199+$U2199,0))</f>
        <v/>
      </c>
      <c r="W2199" s="26">
        <f>IF($G2199="","",IF(N($K2199)=0,0,ROUND($V2199/$K2199,2)))</f>
        <v/>
      </c>
      <c r="X2199" s="17" t="n"/>
      <c r="Y2199" s="17" t="n"/>
      <c r="Z2199" s="17" t="n"/>
      <c r="AA2199" s="17" t="n"/>
      <c r="AB2199" s="17" t="n"/>
      <c r="AC2199" s="24">
        <f>IF($G2199="","",IF($H2199="※编码不在物料档案里","※物料编码不在档案里",IF(N($K2199)&lt;=0,"※入库数量要大于 0",IF(AND($C2199&lt;&gt;"",$C2199&lt;=结账锁),"※日期早于已结账截止日，不能再录",IF(AND($L2199=0,$X2199="正常"),"※没填单价，价格状态请选「待补价」",IF(AND($S2199&gt;0,$R2199&gt;0),"△本批有 "&amp;$S2199&amp;" 行没单价，整批运费先挂账没摊",IF(AND($B2199&lt;&gt;"",COUNTIF($B$4:$B$2503,$B2199)&gt;1),"※入库单号重复","")))))))</f>
        <v/>
      </c>
    </row>
    <row r="2200">
      <c r="A2200" s="24">
        <f>IF($G2200="","",COUNTA($G$4:$G2200))</f>
        <v/>
      </c>
      <c r="B2200" s="17" t="n"/>
      <c r="C2200" s="30" t="n"/>
      <c r="D2200" s="17" t="n"/>
      <c r="E2200" s="17" t="n"/>
      <c r="F2200" s="17" t="n"/>
      <c r="G2200" s="17" t="n"/>
      <c r="H2200" s="24">
        <f>IF($G2200="","",IFERROR(VLOOKUP($G2200,物料档案!$A$4:$P$1203,3,0),"※编码不在物料档案里"))</f>
        <v/>
      </c>
      <c r="I2200" s="24">
        <f>IF($G2200="","",IFERROR(VLOOKUP($G2200,物料档案!$A$4:$P$1203,4,0),"※编码不在物料档案里"))</f>
        <v/>
      </c>
      <c r="J2200" s="24">
        <f>IF($G2200="","",IFERROR(VLOOKUP($G2200,物料档案!$A$4:$P$1203,5,0),"※编码不在物料档案里"))</f>
        <v/>
      </c>
      <c r="K2200" s="23" t="n"/>
      <c r="L2200" s="31" t="n"/>
      <c r="M2200" s="24">
        <f>IF($G2200="","",IF($D2200="A国内","CNY","TZS"))</f>
        <v/>
      </c>
      <c r="N2200" s="28">
        <f>IF($G2200="","",IF($D2200="A国内",汇率,1))</f>
        <v/>
      </c>
      <c r="O2200" s="25">
        <f>IF($G2200="","",ROUND(N($K2200)*N($L2200),2))</f>
        <v/>
      </c>
      <c r="P2200" s="26">
        <f>IF($G2200="","",ROUND($O2200*$N2200,0))</f>
        <v/>
      </c>
      <c r="Q2200" s="26">
        <f>IF($G2200="","",SUMIFS($P$4:$P$2503,$E$4:$E$2503,$E2200,$Z$4:$Z$2503,"正常"))</f>
        <v/>
      </c>
      <c r="R2200" s="26">
        <f>IF($G2200="","",SUMIFS(费用台账!$I$4:$I$503,费用台账!$C$4:$C$503,$E2200,费用台账!$J$4:$J$503,"是",费用台账!$K$4:$K$503,"正常"))</f>
        <v/>
      </c>
      <c r="S2200" s="28">
        <f>IF($G2200="","",COUNTIFS($E$4:$E$2503,$E2200,$Z$4:$Z$2503,"正常",$Y$4:$Y$2503,"待补价"))</f>
        <v/>
      </c>
      <c r="T2200" s="26">
        <f>IF($G2200="","",SUMIFS($P$4:$P$2503,$E$4:$E$2503,$E2200,$Z$4:$Z$2503,"正常",$A$4:$A$2503,"&lt;="&amp;$A2200))</f>
        <v/>
      </c>
      <c r="U2200" s="26">
        <f>IF($G2200="","",IF(OR($S2200&gt;0,$Q2200=0,$R2200=0,$Z2200&lt;&gt;"正常"),0,ROUND($T2200/$Q2200*$R2200,0)-ROUND(($T2200-$P2200)/$Q2200*$R2200,0)))</f>
        <v/>
      </c>
      <c r="V2200" s="26">
        <f>IF($G2200="","",ROUND($P2200+$U2200,0))</f>
        <v/>
      </c>
      <c r="W2200" s="26">
        <f>IF($G2200="","",IF(N($K2200)=0,0,ROUND($V2200/$K2200,2)))</f>
        <v/>
      </c>
      <c r="X2200" s="17" t="n"/>
      <c r="Y2200" s="17" t="n"/>
      <c r="Z2200" s="17" t="n"/>
      <c r="AA2200" s="17" t="n"/>
      <c r="AB2200" s="17" t="n"/>
      <c r="AC2200" s="24">
        <f>IF($G2200="","",IF($H2200="※编码不在物料档案里","※物料编码不在档案里",IF(N($K2200)&lt;=0,"※入库数量要大于 0",IF(AND($C2200&lt;&gt;"",$C2200&lt;=结账锁),"※日期早于已结账截止日，不能再录",IF(AND($L2200=0,$X2200="正常"),"※没填单价，价格状态请选「待补价」",IF(AND($S2200&gt;0,$R2200&gt;0),"△本批有 "&amp;$S2200&amp;" 行没单价，整批运费先挂账没摊",IF(AND($B2200&lt;&gt;"",COUNTIF($B$4:$B$2503,$B2200)&gt;1),"※入库单号重复","")))))))</f>
        <v/>
      </c>
    </row>
    <row r="2201">
      <c r="A2201" s="24">
        <f>IF($G2201="","",COUNTA($G$4:$G2201))</f>
        <v/>
      </c>
      <c r="B2201" s="17" t="n"/>
      <c r="C2201" s="30" t="n"/>
      <c r="D2201" s="17" t="n"/>
      <c r="E2201" s="17" t="n"/>
      <c r="F2201" s="17" t="n"/>
      <c r="G2201" s="17" t="n"/>
      <c r="H2201" s="24">
        <f>IF($G2201="","",IFERROR(VLOOKUP($G2201,物料档案!$A$4:$P$1203,3,0),"※编码不在物料档案里"))</f>
        <v/>
      </c>
      <c r="I2201" s="24">
        <f>IF($G2201="","",IFERROR(VLOOKUP($G2201,物料档案!$A$4:$P$1203,4,0),"※编码不在物料档案里"))</f>
        <v/>
      </c>
      <c r="J2201" s="24">
        <f>IF($G2201="","",IFERROR(VLOOKUP($G2201,物料档案!$A$4:$P$1203,5,0),"※编码不在物料档案里"))</f>
        <v/>
      </c>
      <c r="K2201" s="23" t="n"/>
      <c r="L2201" s="31" t="n"/>
      <c r="M2201" s="24">
        <f>IF($G2201="","",IF($D2201="A国内","CNY","TZS"))</f>
        <v/>
      </c>
      <c r="N2201" s="28">
        <f>IF($G2201="","",IF($D2201="A国内",汇率,1))</f>
        <v/>
      </c>
      <c r="O2201" s="25">
        <f>IF($G2201="","",ROUND(N($K2201)*N($L2201),2))</f>
        <v/>
      </c>
      <c r="P2201" s="26">
        <f>IF($G2201="","",ROUND($O2201*$N2201,0))</f>
        <v/>
      </c>
      <c r="Q2201" s="26">
        <f>IF($G2201="","",SUMIFS($P$4:$P$2503,$E$4:$E$2503,$E2201,$Z$4:$Z$2503,"正常"))</f>
        <v/>
      </c>
      <c r="R2201" s="26">
        <f>IF($G2201="","",SUMIFS(费用台账!$I$4:$I$503,费用台账!$C$4:$C$503,$E2201,费用台账!$J$4:$J$503,"是",费用台账!$K$4:$K$503,"正常"))</f>
        <v/>
      </c>
      <c r="S2201" s="28">
        <f>IF($G2201="","",COUNTIFS($E$4:$E$2503,$E2201,$Z$4:$Z$2503,"正常",$Y$4:$Y$2503,"待补价"))</f>
        <v/>
      </c>
      <c r="T2201" s="26">
        <f>IF($G2201="","",SUMIFS($P$4:$P$2503,$E$4:$E$2503,$E2201,$Z$4:$Z$2503,"正常",$A$4:$A$2503,"&lt;="&amp;$A2201))</f>
        <v/>
      </c>
      <c r="U2201" s="26">
        <f>IF($G2201="","",IF(OR($S2201&gt;0,$Q2201=0,$R2201=0,$Z2201&lt;&gt;"正常"),0,ROUND($T2201/$Q2201*$R2201,0)-ROUND(($T2201-$P2201)/$Q2201*$R2201,0)))</f>
        <v/>
      </c>
      <c r="V2201" s="26">
        <f>IF($G2201="","",ROUND($P2201+$U2201,0))</f>
        <v/>
      </c>
      <c r="W2201" s="26">
        <f>IF($G2201="","",IF(N($K2201)=0,0,ROUND($V2201/$K2201,2)))</f>
        <v/>
      </c>
      <c r="X2201" s="17" t="n"/>
      <c r="Y2201" s="17" t="n"/>
      <c r="Z2201" s="17" t="n"/>
      <c r="AA2201" s="17" t="n"/>
      <c r="AB2201" s="17" t="n"/>
      <c r="AC2201" s="24">
        <f>IF($G2201="","",IF($H2201="※编码不在物料档案里","※物料编码不在档案里",IF(N($K2201)&lt;=0,"※入库数量要大于 0",IF(AND($C2201&lt;&gt;"",$C2201&lt;=结账锁),"※日期早于已结账截止日，不能再录",IF(AND($L2201=0,$X2201="正常"),"※没填单价，价格状态请选「待补价」",IF(AND($S2201&gt;0,$R2201&gt;0),"△本批有 "&amp;$S2201&amp;" 行没单价，整批运费先挂账没摊",IF(AND($B2201&lt;&gt;"",COUNTIF($B$4:$B$2503,$B2201)&gt;1),"※入库单号重复","")))))))</f>
        <v/>
      </c>
    </row>
    <row r="2202">
      <c r="A2202" s="24">
        <f>IF($G2202="","",COUNTA($G$4:$G2202))</f>
        <v/>
      </c>
      <c r="B2202" s="17" t="n"/>
      <c r="C2202" s="30" t="n"/>
      <c r="D2202" s="17" t="n"/>
      <c r="E2202" s="17" t="n"/>
      <c r="F2202" s="17" t="n"/>
      <c r="G2202" s="17" t="n"/>
      <c r="H2202" s="24">
        <f>IF($G2202="","",IFERROR(VLOOKUP($G2202,物料档案!$A$4:$P$1203,3,0),"※编码不在物料档案里"))</f>
        <v/>
      </c>
      <c r="I2202" s="24">
        <f>IF($G2202="","",IFERROR(VLOOKUP($G2202,物料档案!$A$4:$P$1203,4,0),"※编码不在物料档案里"))</f>
        <v/>
      </c>
      <c r="J2202" s="24">
        <f>IF($G2202="","",IFERROR(VLOOKUP($G2202,物料档案!$A$4:$P$1203,5,0),"※编码不在物料档案里"))</f>
        <v/>
      </c>
      <c r="K2202" s="23" t="n"/>
      <c r="L2202" s="31" t="n"/>
      <c r="M2202" s="24">
        <f>IF($G2202="","",IF($D2202="A国内","CNY","TZS"))</f>
        <v/>
      </c>
      <c r="N2202" s="28">
        <f>IF($G2202="","",IF($D2202="A国内",汇率,1))</f>
        <v/>
      </c>
      <c r="O2202" s="25">
        <f>IF($G2202="","",ROUND(N($K2202)*N($L2202),2))</f>
        <v/>
      </c>
      <c r="P2202" s="26">
        <f>IF($G2202="","",ROUND($O2202*$N2202,0))</f>
        <v/>
      </c>
      <c r="Q2202" s="26">
        <f>IF($G2202="","",SUMIFS($P$4:$P$2503,$E$4:$E$2503,$E2202,$Z$4:$Z$2503,"正常"))</f>
        <v/>
      </c>
      <c r="R2202" s="26">
        <f>IF($G2202="","",SUMIFS(费用台账!$I$4:$I$503,费用台账!$C$4:$C$503,$E2202,费用台账!$J$4:$J$503,"是",费用台账!$K$4:$K$503,"正常"))</f>
        <v/>
      </c>
      <c r="S2202" s="28">
        <f>IF($G2202="","",COUNTIFS($E$4:$E$2503,$E2202,$Z$4:$Z$2503,"正常",$Y$4:$Y$2503,"待补价"))</f>
        <v/>
      </c>
      <c r="T2202" s="26">
        <f>IF($G2202="","",SUMIFS($P$4:$P$2503,$E$4:$E$2503,$E2202,$Z$4:$Z$2503,"正常",$A$4:$A$2503,"&lt;="&amp;$A2202))</f>
        <v/>
      </c>
      <c r="U2202" s="26">
        <f>IF($G2202="","",IF(OR($S2202&gt;0,$Q2202=0,$R2202=0,$Z2202&lt;&gt;"正常"),0,ROUND($T2202/$Q2202*$R2202,0)-ROUND(($T2202-$P2202)/$Q2202*$R2202,0)))</f>
        <v/>
      </c>
      <c r="V2202" s="26">
        <f>IF($G2202="","",ROUND($P2202+$U2202,0))</f>
        <v/>
      </c>
      <c r="W2202" s="26">
        <f>IF($G2202="","",IF(N($K2202)=0,0,ROUND($V2202/$K2202,2)))</f>
        <v/>
      </c>
      <c r="X2202" s="17" t="n"/>
      <c r="Y2202" s="17" t="n"/>
      <c r="Z2202" s="17" t="n"/>
      <c r="AA2202" s="17" t="n"/>
      <c r="AB2202" s="17" t="n"/>
      <c r="AC2202" s="24">
        <f>IF($G2202="","",IF($H2202="※编码不在物料档案里","※物料编码不在档案里",IF(N($K2202)&lt;=0,"※入库数量要大于 0",IF(AND($C2202&lt;&gt;"",$C2202&lt;=结账锁),"※日期早于已结账截止日，不能再录",IF(AND($L2202=0,$X2202="正常"),"※没填单价，价格状态请选「待补价」",IF(AND($S2202&gt;0,$R2202&gt;0),"△本批有 "&amp;$S2202&amp;" 行没单价，整批运费先挂账没摊",IF(AND($B2202&lt;&gt;"",COUNTIF($B$4:$B$2503,$B2202)&gt;1),"※入库单号重复","")))))))</f>
        <v/>
      </c>
    </row>
    <row r="2203">
      <c r="A2203" s="24">
        <f>IF($G2203="","",COUNTA($G$4:$G2203))</f>
        <v/>
      </c>
      <c r="B2203" s="17" t="n"/>
      <c r="C2203" s="30" t="n"/>
      <c r="D2203" s="17" t="n"/>
      <c r="E2203" s="17" t="n"/>
      <c r="F2203" s="17" t="n"/>
      <c r="G2203" s="17" t="n"/>
      <c r="H2203" s="24">
        <f>IF($G2203="","",IFERROR(VLOOKUP($G2203,物料档案!$A$4:$P$1203,3,0),"※编码不在物料档案里"))</f>
        <v/>
      </c>
      <c r="I2203" s="24">
        <f>IF($G2203="","",IFERROR(VLOOKUP($G2203,物料档案!$A$4:$P$1203,4,0),"※编码不在物料档案里"))</f>
        <v/>
      </c>
      <c r="J2203" s="24">
        <f>IF($G2203="","",IFERROR(VLOOKUP($G2203,物料档案!$A$4:$P$1203,5,0),"※编码不在物料档案里"))</f>
        <v/>
      </c>
      <c r="K2203" s="23" t="n"/>
      <c r="L2203" s="31" t="n"/>
      <c r="M2203" s="24">
        <f>IF($G2203="","",IF($D2203="A国内","CNY","TZS"))</f>
        <v/>
      </c>
      <c r="N2203" s="28">
        <f>IF($G2203="","",IF($D2203="A国内",汇率,1))</f>
        <v/>
      </c>
      <c r="O2203" s="25">
        <f>IF($G2203="","",ROUND(N($K2203)*N($L2203),2))</f>
        <v/>
      </c>
      <c r="P2203" s="26">
        <f>IF($G2203="","",ROUND($O2203*$N2203,0))</f>
        <v/>
      </c>
      <c r="Q2203" s="26">
        <f>IF($G2203="","",SUMIFS($P$4:$P$2503,$E$4:$E$2503,$E2203,$Z$4:$Z$2503,"正常"))</f>
        <v/>
      </c>
      <c r="R2203" s="26">
        <f>IF($G2203="","",SUMIFS(费用台账!$I$4:$I$503,费用台账!$C$4:$C$503,$E2203,费用台账!$J$4:$J$503,"是",费用台账!$K$4:$K$503,"正常"))</f>
        <v/>
      </c>
      <c r="S2203" s="28">
        <f>IF($G2203="","",COUNTIFS($E$4:$E$2503,$E2203,$Z$4:$Z$2503,"正常",$Y$4:$Y$2503,"待补价"))</f>
        <v/>
      </c>
      <c r="T2203" s="26">
        <f>IF($G2203="","",SUMIFS($P$4:$P$2503,$E$4:$E$2503,$E2203,$Z$4:$Z$2503,"正常",$A$4:$A$2503,"&lt;="&amp;$A2203))</f>
        <v/>
      </c>
      <c r="U2203" s="26">
        <f>IF($G2203="","",IF(OR($S2203&gt;0,$Q2203=0,$R2203=0,$Z2203&lt;&gt;"正常"),0,ROUND($T2203/$Q2203*$R2203,0)-ROUND(($T2203-$P2203)/$Q2203*$R2203,0)))</f>
        <v/>
      </c>
      <c r="V2203" s="26">
        <f>IF($G2203="","",ROUND($P2203+$U2203,0))</f>
        <v/>
      </c>
      <c r="W2203" s="26">
        <f>IF($G2203="","",IF(N($K2203)=0,0,ROUND($V2203/$K2203,2)))</f>
        <v/>
      </c>
      <c r="X2203" s="17" t="n"/>
      <c r="Y2203" s="17" t="n"/>
      <c r="Z2203" s="17" t="n"/>
      <c r="AA2203" s="17" t="n"/>
      <c r="AB2203" s="17" t="n"/>
      <c r="AC2203" s="24">
        <f>IF($G2203="","",IF($H2203="※编码不在物料档案里","※物料编码不在档案里",IF(N($K2203)&lt;=0,"※入库数量要大于 0",IF(AND($C2203&lt;&gt;"",$C2203&lt;=结账锁),"※日期早于已结账截止日，不能再录",IF(AND($L2203=0,$X2203="正常"),"※没填单价，价格状态请选「待补价」",IF(AND($S2203&gt;0,$R2203&gt;0),"△本批有 "&amp;$S2203&amp;" 行没单价，整批运费先挂账没摊",IF(AND($B2203&lt;&gt;"",COUNTIF($B$4:$B$2503,$B2203)&gt;1),"※入库单号重复","")))))))</f>
        <v/>
      </c>
    </row>
    <row r="2204">
      <c r="A2204" s="24">
        <f>IF($G2204="","",COUNTA($G$4:$G2204))</f>
        <v/>
      </c>
      <c r="B2204" s="17" t="n"/>
      <c r="C2204" s="30" t="n"/>
      <c r="D2204" s="17" t="n"/>
      <c r="E2204" s="17" t="n"/>
      <c r="F2204" s="17" t="n"/>
      <c r="G2204" s="17" t="n"/>
      <c r="H2204" s="24">
        <f>IF($G2204="","",IFERROR(VLOOKUP($G2204,物料档案!$A$4:$P$1203,3,0),"※编码不在物料档案里"))</f>
        <v/>
      </c>
      <c r="I2204" s="24">
        <f>IF($G2204="","",IFERROR(VLOOKUP($G2204,物料档案!$A$4:$P$1203,4,0),"※编码不在物料档案里"))</f>
        <v/>
      </c>
      <c r="J2204" s="24">
        <f>IF($G2204="","",IFERROR(VLOOKUP($G2204,物料档案!$A$4:$P$1203,5,0),"※编码不在物料档案里"))</f>
        <v/>
      </c>
      <c r="K2204" s="23" t="n"/>
      <c r="L2204" s="31" t="n"/>
      <c r="M2204" s="24">
        <f>IF($G2204="","",IF($D2204="A国内","CNY","TZS"))</f>
        <v/>
      </c>
      <c r="N2204" s="28">
        <f>IF($G2204="","",IF($D2204="A国内",汇率,1))</f>
        <v/>
      </c>
      <c r="O2204" s="25">
        <f>IF($G2204="","",ROUND(N($K2204)*N($L2204),2))</f>
        <v/>
      </c>
      <c r="P2204" s="26">
        <f>IF($G2204="","",ROUND($O2204*$N2204,0))</f>
        <v/>
      </c>
      <c r="Q2204" s="26">
        <f>IF($G2204="","",SUMIFS($P$4:$P$2503,$E$4:$E$2503,$E2204,$Z$4:$Z$2503,"正常"))</f>
        <v/>
      </c>
      <c r="R2204" s="26">
        <f>IF($G2204="","",SUMIFS(费用台账!$I$4:$I$503,费用台账!$C$4:$C$503,$E2204,费用台账!$J$4:$J$503,"是",费用台账!$K$4:$K$503,"正常"))</f>
        <v/>
      </c>
      <c r="S2204" s="28">
        <f>IF($G2204="","",COUNTIFS($E$4:$E$2503,$E2204,$Z$4:$Z$2503,"正常",$Y$4:$Y$2503,"待补价"))</f>
        <v/>
      </c>
      <c r="T2204" s="26">
        <f>IF($G2204="","",SUMIFS($P$4:$P$2503,$E$4:$E$2503,$E2204,$Z$4:$Z$2503,"正常",$A$4:$A$2503,"&lt;="&amp;$A2204))</f>
        <v/>
      </c>
      <c r="U2204" s="26">
        <f>IF($G2204="","",IF(OR($S2204&gt;0,$Q2204=0,$R2204=0,$Z2204&lt;&gt;"正常"),0,ROUND($T2204/$Q2204*$R2204,0)-ROUND(($T2204-$P2204)/$Q2204*$R2204,0)))</f>
        <v/>
      </c>
      <c r="V2204" s="26">
        <f>IF($G2204="","",ROUND($P2204+$U2204,0))</f>
        <v/>
      </c>
      <c r="W2204" s="26">
        <f>IF($G2204="","",IF(N($K2204)=0,0,ROUND($V2204/$K2204,2)))</f>
        <v/>
      </c>
      <c r="X2204" s="17" t="n"/>
      <c r="Y2204" s="17" t="n"/>
      <c r="Z2204" s="17" t="n"/>
      <c r="AA2204" s="17" t="n"/>
      <c r="AB2204" s="17" t="n"/>
      <c r="AC2204" s="24">
        <f>IF($G2204="","",IF($H2204="※编码不在物料档案里","※物料编码不在档案里",IF(N($K2204)&lt;=0,"※入库数量要大于 0",IF(AND($C2204&lt;&gt;"",$C2204&lt;=结账锁),"※日期早于已结账截止日，不能再录",IF(AND($L2204=0,$X2204="正常"),"※没填单价，价格状态请选「待补价」",IF(AND($S2204&gt;0,$R2204&gt;0),"△本批有 "&amp;$S2204&amp;" 行没单价，整批运费先挂账没摊",IF(AND($B2204&lt;&gt;"",COUNTIF($B$4:$B$2503,$B2204)&gt;1),"※入库单号重复","")))))))</f>
        <v/>
      </c>
    </row>
    <row r="2205">
      <c r="A2205" s="24">
        <f>IF($G2205="","",COUNTA($G$4:$G2205))</f>
        <v/>
      </c>
      <c r="B2205" s="17" t="n"/>
      <c r="C2205" s="30" t="n"/>
      <c r="D2205" s="17" t="n"/>
      <c r="E2205" s="17" t="n"/>
      <c r="F2205" s="17" t="n"/>
      <c r="G2205" s="17" t="n"/>
      <c r="H2205" s="24">
        <f>IF($G2205="","",IFERROR(VLOOKUP($G2205,物料档案!$A$4:$P$1203,3,0),"※编码不在物料档案里"))</f>
        <v/>
      </c>
      <c r="I2205" s="24">
        <f>IF($G2205="","",IFERROR(VLOOKUP($G2205,物料档案!$A$4:$P$1203,4,0),"※编码不在物料档案里"))</f>
        <v/>
      </c>
      <c r="J2205" s="24">
        <f>IF($G2205="","",IFERROR(VLOOKUP($G2205,物料档案!$A$4:$P$1203,5,0),"※编码不在物料档案里"))</f>
        <v/>
      </c>
      <c r="K2205" s="23" t="n"/>
      <c r="L2205" s="31" t="n"/>
      <c r="M2205" s="24">
        <f>IF($G2205="","",IF($D2205="A国内","CNY","TZS"))</f>
        <v/>
      </c>
      <c r="N2205" s="28">
        <f>IF($G2205="","",IF($D2205="A国内",汇率,1))</f>
        <v/>
      </c>
      <c r="O2205" s="25">
        <f>IF($G2205="","",ROUND(N($K2205)*N($L2205),2))</f>
        <v/>
      </c>
      <c r="P2205" s="26">
        <f>IF($G2205="","",ROUND($O2205*$N2205,0))</f>
        <v/>
      </c>
      <c r="Q2205" s="26">
        <f>IF($G2205="","",SUMIFS($P$4:$P$2503,$E$4:$E$2503,$E2205,$Z$4:$Z$2503,"正常"))</f>
        <v/>
      </c>
      <c r="R2205" s="26">
        <f>IF($G2205="","",SUMIFS(费用台账!$I$4:$I$503,费用台账!$C$4:$C$503,$E2205,费用台账!$J$4:$J$503,"是",费用台账!$K$4:$K$503,"正常"))</f>
        <v/>
      </c>
      <c r="S2205" s="28">
        <f>IF($G2205="","",COUNTIFS($E$4:$E$2503,$E2205,$Z$4:$Z$2503,"正常",$Y$4:$Y$2503,"待补价"))</f>
        <v/>
      </c>
      <c r="T2205" s="26">
        <f>IF($G2205="","",SUMIFS($P$4:$P$2503,$E$4:$E$2503,$E2205,$Z$4:$Z$2503,"正常",$A$4:$A$2503,"&lt;="&amp;$A2205))</f>
        <v/>
      </c>
      <c r="U2205" s="26">
        <f>IF($G2205="","",IF(OR($S2205&gt;0,$Q2205=0,$R2205=0,$Z2205&lt;&gt;"正常"),0,ROUND($T2205/$Q2205*$R2205,0)-ROUND(($T2205-$P2205)/$Q2205*$R2205,0)))</f>
        <v/>
      </c>
      <c r="V2205" s="26">
        <f>IF($G2205="","",ROUND($P2205+$U2205,0))</f>
        <v/>
      </c>
      <c r="W2205" s="26">
        <f>IF($G2205="","",IF(N($K2205)=0,0,ROUND($V2205/$K2205,2)))</f>
        <v/>
      </c>
      <c r="X2205" s="17" t="n"/>
      <c r="Y2205" s="17" t="n"/>
      <c r="Z2205" s="17" t="n"/>
      <c r="AA2205" s="17" t="n"/>
      <c r="AB2205" s="17" t="n"/>
      <c r="AC2205" s="24">
        <f>IF($G2205="","",IF($H2205="※编码不在物料档案里","※物料编码不在档案里",IF(N($K2205)&lt;=0,"※入库数量要大于 0",IF(AND($C2205&lt;&gt;"",$C2205&lt;=结账锁),"※日期早于已结账截止日，不能再录",IF(AND($L2205=0,$X2205="正常"),"※没填单价，价格状态请选「待补价」",IF(AND($S2205&gt;0,$R2205&gt;0),"△本批有 "&amp;$S2205&amp;" 行没单价，整批运费先挂账没摊",IF(AND($B2205&lt;&gt;"",COUNTIF($B$4:$B$2503,$B2205)&gt;1),"※入库单号重复","")))))))</f>
        <v/>
      </c>
    </row>
    <row r="2206">
      <c r="A2206" s="24">
        <f>IF($G2206="","",COUNTA($G$4:$G2206))</f>
        <v/>
      </c>
      <c r="B2206" s="17" t="n"/>
      <c r="C2206" s="30" t="n"/>
      <c r="D2206" s="17" t="n"/>
      <c r="E2206" s="17" t="n"/>
      <c r="F2206" s="17" t="n"/>
      <c r="G2206" s="17" t="n"/>
      <c r="H2206" s="24">
        <f>IF($G2206="","",IFERROR(VLOOKUP($G2206,物料档案!$A$4:$P$1203,3,0),"※编码不在物料档案里"))</f>
        <v/>
      </c>
      <c r="I2206" s="24">
        <f>IF($G2206="","",IFERROR(VLOOKUP($G2206,物料档案!$A$4:$P$1203,4,0),"※编码不在物料档案里"))</f>
        <v/>
      </c>
      <c r="J2206" s="24">
        <f>IF($G2206="","",IFERROR(VLOOKUP($G2206,物料档案!$A$4:$P$1203,5,0),"※编码不在物料档案里"))</f>
        <v/>
      </c>
      <c r="K2206" s="23" t="n"/>
      <c r="L2206" s="31" t="n"/>
      <c r="M2206" s="24">
        <f>IF($G2206="","",IF($D2206="A国内","CNY","TZS"))</f>
        <v/>
      </c>
      <c r="N2206" s="28">
        <f>IF($G2206="","",IF($D2206="A国内",汇率,1))</f>
        <v/>
      </c>
      <c r="O2206" s="25">
        <f>IF($G2206="","",ROUND(N($K2206)*N($L2206),2))</f>
        <v/>
      </c>
      <c r="P2206" s="26">
        <f>IF($G2206="","",ROUND($O2206*$N2206,0))</f>
        <v/>
      </c>
      <c r="Q2206" s="26">
        <f>IF($G2206="","",SUMIFS($P$4:$P$2503,$E$4:$E$2503,$E2206,$Z$4:$Z$2503,"正常"))</f>
        <v/>
      </c>
      <c r="R2206" s="26">
        <f>IF($G2206="","",SUMIFS(费用台账!$I$4:$I$503,费用台账!$C$4:$C$503,$E2206,费用台账!$J$4:$J$503,"是",费用台账!$K$4:$K$503,"正常"))</f>
        <v/>
      </c>
      <c r="S2206" s="28">
        <f>IF($G2206="","",COUNTIFS($E$4:$E$2503,$E2206,$Z$4:$Z$2503,"正常",$Y$4:$Y$2503,"待补价"))</f>
        <v/>
      </c>
      <c r="T2206" s="26">
        <f>IF($G2206="","",SUMIFS($P$4:$P$2503,$E$4:$E$2503,$E2206,$Z$4:$Z$2503,"正常",$A$4:$A$2503,"&lt;="&amp;$A2206))</f>
        <v/>
      </c>
      <c r="U2206" s="26">
        <f>IF($G2206="","",IF(OR($S2206&gt;0,$Q2206=0,$R2206=0,$Z2206&lt;&gt;"正常"),0,ROUND($T2206/$Q2206*$R2206,0)-ROUND(($T2206-$P2206)/$Q2206*$R2206,0)))</f>
        <v/>
      </c>
      <c r="V2206" s="26">
        <f>IF($G2206="","",ROUND($P2206+$U2206,0))</f>
        <v/>
      </c>
      <c r="W2206" s="26">
        <f>IF($G2206="","",IF(N($K2206)=0,0,ROUND($V2206/$K2206,2)))</f>
        <v/>
      </c>
      <c r="X2206" s="17" t="n"/>
      <c r="Y2206" s="17" t="n"/>
      <c r="Z2206" s="17" t="n"/>
      <c r="AA2206" s="17" t="n"/>
      <c r="AB2206" s="17" t="n"/>
      <c r="AC2206" s="24">
        <f>IF($G2206="","",IF($H2206="※编码不在物料档案里","※物料编码不在档案里",IF(N($K2206)&lt;=0,"※入库数量要大于 0",IF(AND($C2206&lt;&gt;"",$C2206&lt;=结账锁),"※日期早于已结账截止日，不能再录",IF(AND($L2206=0,$X2206="正常"),"※没填单价，价格状态请选「待补价」",IF(AND($S2206&gt;0,$R2206&gt;0),"△本批有 "&amp;$S2206&amp;" 行没单价，整批运费先挂账没摊",IF(AND($B2206&lt;&gt;"",COUNTIF($B$4:$B$2503,$B2206)&gt;1),"※入库单号重复","")))))))</f>
        <v/>
      </c>
    </row>
    <row r="2207">
      <c r="A2207" s="24">
        <f>IF($G2207="","",COUNTA($G$4:$G2207))</f>
        <v/>
      </c>
      <c r="B2207" s="17" t="n"/>
      <c r="C2207" s="30" t="n"/>
      <c r="D2207" s="17" t="n"/>
      <c r="E2207" s="17" t="n"/>
      <c r="F2207" s="17" t="n"/>
      <c r="G2207" s="17" t="n"/>
      <c r="H2207" s="24">
        <f>IF($G2207="","",IFERROR(VLOOKUP($G2207,物料档案!$A$4:$P$1203,3,0),"※编码不在物料档案里"))</f>
        <v/>
      </c>
      <c r="I2207" s="24">
        <f>IF($G2207="","",IFERROR(VLOOKUP($G2207,物料档案!$A$4:$P$1203,4,0),"※编码不在物料档案里"))</f>
        <v/>
      </c>
      <c r="J2207" s="24">
        <f>IF($G2207="","",IFERROR(VLOOKUP($G2207,物料档案!$A$4:$P$1203,5,0),"※编码不在物料档案里"))</f>
        <v/>
      </c>
      <c r="K2207" s="23" t="n"/>
      <c r="L2207" s="31" t="n"/>
      <c r="M2207" s="24">
        <f>IF($G2207="","",IF($D2207="A国内","CNY","TZS"))</f>
        <v/>
      </c>
      <c r="N2207" s="28">
        <f>IF($G2207="","",IF($D2207="A国内",汇率,1))</f>
        <v/>
      </c>
      <c r="O2207" s="25">
        <f>IF($G2207="","",ROUND(N($K2207)*N($L2207),2))</f>
        <v/>
      </c>
      <c r="P2207" s="26">
        <f>IF($G2207="","",ROUND($O2207*$N2207,0))</f>
        <v/>
      </c>
      <c r="Q2207" s="26">
        <f>IF($G2207="","",SUMIFS($P$4:$P$2503,$E$4:$E$2503,$E2207,$Z$4:$Z$2503,"正常"))</f>
        <v/>
      </c>
      <c r="R2207" s="26">
        <f>IF($G2207="","",SUMIFS(费用台账!$I$4:$I$503,费用台账!$C$4:$C$503,$E2207,费用台账!$J$4:$J$503,"是",费用台账!$K$4:$K$503,"正常"))</f>
        <v/>
      </c>
      <c r="S2207" s="28">
        <f>IF($G2207="","",COUNTIFS($E$4:$E$2503,$E2207,$Z$4:$Z$2503,"正常",$Y$4:$Y$2503,"待补价"))</f>
        <v/>
      </c>
      <c r="T2207" s="26">
        <f>IF($G2207="","",SUMIFS($P$4:$P$2503,$E$4:$E$2503,$E2207,$Z$4:$Z$2503,"正常",$A$4:$A$2503,"&lt;="&amp;$A2207))</f>
        <v/>
      </c>
      <c r="U2207" s="26">
        <f>IF($G2207="","",IF(OR($S2207&gt;0,$Q2207=0,$R2207=0,$Z2207&lt;&gt;"正常"),0,ROUND($T2207/$Q2207*$R2207,0)-ROUND(($T2207-$P2207)/$Q2207*$R2207,0)))</f>
        <v/>
      </c>
      <c r="V2207" s="26">
        <f>IF($G2207="","",ROUND($P2207+$U2207,0))</f>
        <v/>
      </c>
      <c r="W2207" s="26">
        <f>IF($G2207="","",IF(N($K2207)=0,0,ROUND($V2207/$K2207,2)))</f>
        <v/>
      </c>
      <c r="X2207" s="17" t="n"/>
      <c r="Y2207" s="17" t="n"/>
      <c r="Z2207" s="17" t="n"/>
      <c r="AA2207" s="17" t="n"/>
      <c r="AB2207" s="17" t="n"/>
      <c r="AC2207" s="24">
        <f>IF($G2207="","",IF($H2207="※编码不在物料档案里","※物料编码不在档案里",IF(N($K2207)&lt;=0,"※入库数量要大于 0",IF(AND($C2207&lt;&gt;"",$C2207&lt;=结账锁),"※日期早于已结账截止日，不能再录",IF(AND($L2207=0,$X2207="正常"),"※没填单价，价格状态请选「待补价」",IF(AND($S2207&gt;0,$R2207&gt;0),"△本批有 "&amp;$S2207&amp;" 行没单价，整批运费先挂账没摊",IF(AND($B2207&lt;&gt;"",COUNTIF($B$4:$B$2503,$B2207)&gt;1),"※入库单号重复","")))))))</f>
        <v/>
      </c>
    </row>
    <row r="2208">
      <c r="A2208" s="24">
        <f>IF($G2208="","",COUNTA($G$4:$G2208))</f>
        <v/>
      </c>
      <c r="B2208" s="17" t="n"/>
      <c r="C2208" s="30" t="n"/>
      <c r="D2208" s="17" t="n"/>
      <c r="E2208" s="17" t="n"/>
      <c r="F2208" s="17" t="n"/>
      <c r="G2208" s="17" t="n"/>
      <c r="H2208" s="24">
        <f>IF($G2208="","",IFERROR(VLOOKUP($G2208,物料档案!$A$4:$P$1203,3,0),"※编码不在物料档案里"))</f>
        <v/>
      </c>
      <c r="I2208" s="24">
        <f>IF($G2208="","",IFERROR(VLOOKUP($G2208,物料档案!$A$4:$P$1203,4,0),"※编码不在物料档案里"))</f>
        <v/>
      </c>
      <c r="J2208" s="24">
        <f>IF($G2208="","",IFERROR(VLOOKUP($G2208,物料档案!$A$4:$P$1203,5,0),"※编码不在物料档案里"))</f>
        <v/>
      </c>
      <c r="K2208" s="23" t="n"/>
      <c r="L2208" s="31" t="n"/>
      <c r="M2208" s="24">
        <f>IF($G2208="","",IF($D2208="A国内","CNY","TZS"))</f>
        <v/>
      </c>
      <c r="N2208" s="28">
        <f>IF($G2208="","",IF($D2208="A国内",汇率,1))</f>
        <v/>
      </c>
      <c r="O2208" s="25">
        <f>IF($G2208="","",ROUND(N($K2208)*N($L2208),2))</f>
        <v/>
      </c>
      <c r="P2208" s="26">
        <f>IF($G2208="","",ROUND($O2208*$N2208,0))</f>
        <v/>
      </c>
      <c r="Q2208" s="26">
        <f>IF($G2208="","",SUMIFS($P$4:$P$2503,$E$4:$E$2503,$E2208,$Z$4:$Z$2503,"正常"))</f>
        <v/>
      </c>
      <c r="R2208" s="26">
        <f>IF($G2208="","",SUMIFS(费用台账!$I$4:$I$503,费用台账!$C$4:$C$503,$E2208,费用台账!$J$4:$J$503,"是",费用台账!$K$4:$K$503,"正常"))</f>
        <v/>
      </c>
      <c r="S2208" s="28">
        <f>IF($G2208="","",COUNTIFS($E$4:$E$2503,$E2208,$Z$4:$Z$2503,"正常",$Y$4:$Y$2503,"待补价"))</f>
        <v/>
      </c>
      <c r="T2208" s="26">
        <f>IF($G2208="","",SUMIFS($P$4:$P$2503,$E$4:$E$2503,$E2208,$Z$4:$Z$2503,"正常",$A$4:$A$2503,"&lt;="&amp;$A2208))</f>
        <v/>
      </c>
      <c r="U2208" s="26">
        <f>IF($G2208="","",IF(OR($S2208&gt;0,$Q2208=0,$R2208=0,$Z2208&lt;&gt;"正常"),0,ROUND($T2208/$Q2208*$R2208,0)-ROUND(($T2208-$P2208)/$Q2208*$R2208,0)))</f>
        <v/>
      </c>
      <c r="V2208" s="26">
        <f>IF($G2208="","",ROUND($P2208+$U2208,0))</f>
        <v/>
      </c>
      <c r="W2208" s="26">
        <f>IF($G2208="","",IF(N($K2208)=0,0,ROUND($V2208/$K2208,2)))</f>
        <v/>
      </c>
      <c r="X2208" s="17" t="n"/>
      <c r="Y2208" s="17" t="n"/>
      <c r="Z2208" s="17" t="n"/>
      <c r="AA2208" s="17" t="n"/>
      <c r="AB2208" s="17" t="n"/>
      <c r="AC2208" s="24">
        <f>IF($G2208="","",IF($H2208="※编码不在物料档案里","※物料编码不在档案里",IF(N($K2208)&lt;=0,"※入库数量要大于 0",IF(AND($C2208&lt;&gt;"",$C2208&lt;=结账锁),"※日期早于已结账截止日，不能再录",IF(AND($L2208=0,$X2208="正常"),"※没填单价，价格状态请选「待补价」",IF(AND($S2208&gt;0,$R2208&gt;0),"△本批有 "&amp;$S2208&amp;" 行没单价，整批运费先挂账没摊",IF(AND($B2208&lt;&gt;"",COUNTIF($B$4:$B$2503,$B2208)&gt;1),"※入库单号重复","")))))))</f>
        <v/>
      </c>
    </row>
    <row r="2209">
      <c r="A2209" s="24">
        <f>IF($G2209="","",COUNTA($G$4:$G2209))</f>
        <v/>
      </c>
      <c r="B2209" s="17" t="n"/>
      <c r="C2209" s="30" t="n"/>
      <c r="D2209" s="17" t="n"/>
      <c r="E2209" s="17" t="n"/>
      <c r="F2209" s="17" t="n"/>
      <c r="G2209" s="17" t="n"/>
      <c r="H2209" s="24">
        <f>IF($G2209="","",IFERROR(VLOOKUP($G2209,物料档案!$A$4:$P$1203,3,0),"※编码不在物料档案里"))</f>
        <v/>
      </c>
      <c r="I2209" s="24">
        <f>IF($G2209="","",IFERROR(VLOOKUP($G2209,物料档案!$A$4:$P$1203,4,0),"※编码不在物料档案里"))</f>
        <v/>
      </c>
      <c r="J2209" s="24">
        <f>IF($G2209="","",IFERROR(VLOOKUP($G2209,物料档案!$A$4:$P$1203,5,0),"※编码不在物料档案里"))</f>
        <v/>
      </c>
      <c r="K2209" s="23" t="n"/>
      <c r="L2209" s="31" t="n"/>
      <c r="M2209" s="24">
        <f>IF($G2209="","",IF($D2209="A国内","CNY","TZS"))</f>
        <v/>
      </c>
      <c r="N2209" s="28">
        <f>IF($G2209="","",IF($D2209="A国内",汇率,1))</f>
        <v/>
      </c>
      <c r="O2209" s="25">
        <f>IF($G2209="","",ROUND(N($K2209)*N($L2209),2))</f>
        <v/>
      </c>
      <c r="P2209" s="26">
        <f>IF($G2209="","",ROUND($O2209*$N2209,0))</f>
        <v/>
      </c>
      <c r="Q2209" s="26">
        <f>IF($G2209="","",SUMIFS($P$4:$P$2503,$E$4:$E$2503,$E2209,$Z$4:$Z$2503,"正常"))</f>
        <v/>
      </c>
      <c r="R2209" s="26">
        <f>IF($G2209="","",SUMIFS(费用台账!$I$4:$I$503,费用台账!$C$4:$C$503,$E2209,费用台账!$J$4:$J$503,"是",费用台账!$K$4:$K$503,"正常"))</f>
        <v/>
      </c>
      <c r="S2209" s="28">
        <f>IF($G2209="","",COUNTIFS($E$4:$E$2503,$E2209,$Z$4:$Z$2503,"正常",$Y$4:$Y$2503,"待补价"))</f>
        <v/>
      </c>
      <c r="T2209" s="26">
        <f>IF($G2209="","",SUMIFS($P$4:$P$2503,$E$4:$E$2503,$E2209,$Z$4:$Z$2503,"正常",$A$4:$A$2503,"&lt;="&amp;$A2209))</f>
        <v/>
      </c>
      <c r="U2209" s="26">
        <f>IF($G2209="","",IF(OR($S2209&gt;0,$Q2209=0,$R2209=0,$Z2209&lt;&gt;"正常"),0,ROUND($T2209/$Q2209*$R2209,0)-ROUND(($T2209-$P2209)/$Q2209*$R2209,0)))</f>
        <v/>
      </c>
      <c r="V2209" s="26">
        <f>IF($G2209="","",ROUND($P2209+$U2209,0))</f>
        <v/>
      </c>
      <c r="W2209" s="26">
        <f>IF($G2209="","",IF(N($K2209)=0,0,ROUND($V2209/$K2209,2)))</f>
        <v/>
      </c>
      <c r="X2209" s="17" t="n"/>
      <c r="Y2209" s="17" t="n"/>
      <c r="Z2209" s="17" t="n"/>
      <c r="AA2209" s="17" t="n"/>
      <c r="AB2209" s="17" t="n"/>
      <c r="AC2209" s="24">
        <f>IF($G2209="","",IF($H2209="※编码不在物料档案里","※物料编码不在档案里",IF(N($K2209)&lt;=0,"※入库数量要大于 0",IF(AND($C2209&lt;&gt;"",$C2209&lt;=结账锁),"※日期早于已结账截止日，不能再录",IF(AND($L2209=0,$X2209="正常"),"※没填单价，价格状态请选「待补价」",IF(AND($S2209&gt;0,$R2209&gt;0),"△本批有 "&amp;$S2209&amp;" 行没单价，整批运费先挂账没摊",IF(AND($B2209&lt;&gt;"",COUNTIF($B$4:$B$2503,$B2209)&gt;1),"※入库单号重复","")))))))</f>
        <v/>
      </c>
    </row>
    <row r="2210">
      <c r="A2210" s="24">
        <f>IF($G2210="","",COUNTA($G$4:$G2210))</f>
        <v/>
      </c>
      <c r="B2210" s="17" t="n"/>
      <c r="C2210" s="30" t="n"/>
      <c r="D2210" s="17" t="n"/>
      <c r="E2210" s="17" t="n"/>
      <c r="F2210" s="17" t="n"/>
      <c r="G2210" s="17" t="n"/>
      <c r="H2210" s="24">
        <f>IF($G2210="","",IFERROR(VLOOKUP($G2210,物料档案!$A$4:$P$1203,3,0),"※编码不在物料档案里"))</f>
        <v/>
      </c>
      <c r="I2210" s="24">
        <f>IF($G2210="","",IFERROR(VLOOKUP($G2210,物料档案!$A$4:$P$1203,4,0),"※编码不在物料档案里"))</f>
        <v/>
      </c>
      <c r="J2210" s="24">
        <f>IF($G2210="","",IFERROR(VLOOKUP($G2210,物料档案!$A$4:$P$1203,5,0),"※编码不在物料档案里"))</f>
        <v/>
      </c>
      <c r="K2210" s="23" t="n"/>
      <c r="L2210" s="31" t="n"/>
      <c r="M2210" s="24">
        <f>IF($G2210="","",IF($D2210="A国内","CNY","TZS"))</f>
        <v/>
      </c>
      <c r="N2210" s="28">
        <f>IF($G2210="","",IF($D2210="A国内",汇率,1))</f>
        <v/>
      </c>
      <c r="O2210" s="25">
        <f>IF($G2210="","",ROUND(N($K2210)*N($L2210),2))</f>
        <v/>
      </c>
      <c r="P2210" s="26">
        <f>IF($G2210="","",ROUND($O2210*$N2210,0))</f>
        <v/>
      </c>
      <c r="Q2210" s="26">
        <f>IF($G2210="","",SUMIFS($P$4:$P$2503,$E$4:$E$2503,$E2210,$Z$4:$Z$2503,"正常"))</f>
        <v/>
      </c>
      <c r="R2210" s="26">
        <f>IF($G2210="","",SUMIFS(费用台账!$I$4:$I$503,费用台账!$C$4:$C$503,$E2210,费用台账!$J$4:$J$503,"是",费用台账!$K$4:$K$503,"正常"))</f>
        <v/>
      </c>
      <c r="S2210" s="28">
        <f>IF($G2210="","",COUNTIFS($E$4:$E$2503,$E2210,$Z$4:$Z$2503,"正常",$Y$4:$Y$2503,"待补价"))</f>
        <v/>
      </c>
      <c r="T2210" s="26">
        <f>IF($G2210="","",SUMIFS($P$4:$P$2503,$E$4:$E$2503,$E2210,$Z$4:$Z$2503,"正常",$A$4:$A$2503,"&lt;="&amp;$A2210))</f>
        <v/>
      </c>
      <c r="U2210" s="26">
        <f>IF($G2210="","",IF(OR($S2210&gt;0,$Q2210=0,$R2210=0,$Z2210&lt;&gt;"正常"),0,ROUND($T2210/$Q2210*$R2210,0)-ROUND(($T2210-$P2210)/$Q2210*$R2210,0)))</f>
        <v/>
      </c>
      <c r="V2210" s="26">
        <f>IF($G2210="","",ROUND($P2210+$U2210,0))</f>
        <v/>
      </c>
      <c r="W2210" s="26">
        <f>IF($G2210="","",IF(N($K2210)=0,0,ROUND($V2210/$K2210,2)))</f>
        <v/>
      </c>
      <c r="X2210" s="17" t="n"/>
      <c r="Y2210" s="17" t="n"/>
      <c r="Z2210" s="17" t="n"/>
      <c r="AA2210" s="17" t="n"/>
      <c r="AB2210" s="17" t="n"/>
      <c r="AC2210" s="24">
        <f>IF($G2210="","",IF($H2210="※编码不在物料档案里","※物料编码不在档案里",IF(N($K2210)&lt;=0,"※入库数量要大于 0",IF(AND($C2210&lt;&gt;"",$C2210&lt;=结账锁),"※日期早于已结账截止日，不能再录",IF(AND($L2210=0,$X2210="正常"),"※没填单价，价格状态请选「待补价」",IF(AND($S2210&gt;0,$R2210&gt;0),"△本批有 "&amp;$S2210&amp;" 行没单价，整批运费先挂账没摊",IF(AND($B2210&lt;&gt;"",COUNTIF($B$4:$B$2503,$B2210)&gt;1),"※入库单号重复","")))))))</f>
        <v/>
      </c>
    </row>
    <row r="2211">
      <c r="A2211" s="24">
        <f>IF($G2211="","",COUNTA($G$4:$G2211))</f>
        <v/>
      </c>
      <c r="B2211" s="17" t="n"/>
      <c r="C2211" s="30" t="n"/>
      <c r="D2211" s="17" t="n"/>
      <c r="E2211" s="17" t="n"/>
      <c r="F2211" s="17" t="n"/>
      <c r="G2211" s="17" t="n"/>
      <c r="H2211" s="24">
        <f>IF($G2211="","",IFERROR(VLOOKUP($G2211,物料档案!$A$4:$P$1203,3,0),"※编码不在物料档案里"))</f>
        <v/>
      </c>
      <c r="I2211" s="24">
        <f>IF($G2211="","",IFERROR(VLOOKUP($G2211,物料档案!$A$4:$P$1203,4,0),"※编码不在物料档案里"))</f>
        <v/>
      </c>
      <c r="J2211" s="24">
        <f>IF($G2211="","",IFERROR(VLOOKUP($G2211,物料档案!$A$4:$P$1203,5,0),"※编码不在物料档案里"))</f>
        <v/>
      </c>
      <c r="K2211" s="23" t="n"/>
      <c r="L2211" s="31" t="n"/>
      <c r="M2211" s="24">
        <f>IF($G2211="","",IF($D2211="A国内","CNY","TZS"))</f>
        <v/>
      </c>
      <c r="N2211" s="28">
        <f>IF($G2211="","",IF($D2211="A国内",汇率,1))</f>
        <v/>
      </c>
      <c r="O2211" s="25">
        <f>IF($G2211="","",ROUND(N($K2211)*N($L2211),2))</f>
        <v/>
      </c>
      <c r="P2211" s="26">
        <f>IF($G2211="","",ROUND($O2211*$N2211,0))</f>
        <v/>
      </c>
      <c r="Q2211" s="26">
        <f>IF($G2211="","",SUMIFS($P$4:$P$2503,$E$4:$E$2503,$E2211,$Z$4:$Z$2503,"正常"))</f>
        <v/>
      </c>
      <c r="R2211" s="26">
        <f>IF($G2211="","",SUMIFS(费用台账!$I$4:$I$503,费用台账!$C$4:$C$503,$E2211,费用台账!$J$4:$J$503,"是",费用台账!$K$4:$K$503,"正常"))</f>
        <v/>
      </c>
      <c r="S2211" s="28">
        <f>IF($G2211="","",COUNTIFS($E$4:$E$2503,$E2211,$Z$4:$Z$2503,"正常",$Y$4:$Y$2503,"待补价"))</f>
        <v/>
      </c>
      <c r="T2211" s="26">
        <f>IF($G2211="","",SUMIFS($P$4:$P$2503,$E$4:$E$2503,$E2211,$Z$4:$Z$2503,"正常",$A$4:$A$2503,"&lt;="&amp;$A2211))</f>
        <v/>
      </c>
      <c r="U2211" s="26">
        <f>IF($G2211="","",IF(OR($S2211&gt;0,$Q2211=0,$R2211=0,$Z2211&lt;&gt;"正常"),0,ROUND($T2211/$Q2211*$R2211,0)-ROUND(($T2211-$P2211)/$Q2211*$R2211,0)))</f>
        <v/>
      </c>
      <c r="V2211" s="26">
        <f>IF($G2211="","",ROUND($P2211+$U2211,0))</f>
        <v/>
      </c>
      <c r="W2211" s="26">
        <f>IF($G2211="","",IF(N($K2211)=0,0,ROUND($V2211/$K2211,2)))</f>
        <v/>
      </c>
      <c r="X2211" s="17" t="n"/>
      <c r="Y2211" s="17" t="n"/>
      <c r="Z2211" s="17" t="n"/>
      <c r="AA2211" s="17" t="n"/>
      <c r="AB2211" s="17" t="n"/>
      <c r="AC2211" s="24">
        <f>IF($G2211="","",IF($H2211="※编码不在物料档案里","※物料编码不在档案里",IF(N($K2211)&lt;=0,"※入库数量要大于 0",IF(AND($C2211&lt;&gt;"",$C2211&lt;=结账锁),"※日期早于已结账截止日，不能再录",IF(AND($L2211=0,$X2211="正常"),"※没填单价，价格状态请选「待补价」",IF(AND($S2211&gt;0,$R2211&gt;0),"△本批有 "&amp;$S2211&amp;" 行没单价，整批运费先挂账没摊",IF(AND($B2211&lt;&gt;"",COUNTIF($B$4:$B$2503,$B2211)&gt;1),"※入库单号重复","")))))))</f>
        <v/>
      </c>
    </row>
    <row r="2212">
      <c r="A2212" s="24">
        <f>IF($G2212="","",COUNTA($G$4:$G2212))</f>
        <v/>
      </c>
      <c r="B2212" s="17" t="n"/>
      <c r="C2212" s="30" t="n"/>
      <c r="D2212" s="17" t="n"/>
      <c r="E2212" s="17" t="n"/>
      <c r="F2212" s="17" t="n"/>
      <c r="G2212" s="17" t="n"/>
      <c r="H2212" s="24">
        <f>IF($G2212="","",IFERROR(VLOOKUP($G2212,物料档案!$A$4:$P$1203,3,0),"※编码不在物料档案里"))</f>
        <v/>
      </c>
      <c r="I2212" s="24">
        <f>IF($G2212="","",IFERROR(VLOOKUP($G2212,物料档案!$A$4:$P$1203,4,0),"※编码不在物料档案里"))</f>
        <v/>
      </c>
      <c r="J2212" s="24">
        <f>IF($G2212="","",IFERROR(VLOOKUP($G2212,物料档案!$A$4:$P$1203,5,0),"※编码不在物料档案里"))</f>
        <v/>
      </c>
      <c r="K2212" s="23" t="n"/>
      <c r="L2212" s="31" t="n"/>
      <c r="M2212" s="24">
        <f>IF($G2212="","",IF($D2212="A国内","CNY","TZS"))</f>
        <v/>
      </c>
      <c r="N2212" s="28">
        <f>IF($G2212="","",IF($D2212="A国内",汇率,1))</f>
        <v/>
      </c>
      <c r="O2212" s="25">
        <f>IF($G2212="","",ROUND(N($K2212)*N($L2212),2))</f>
        <v/>
      </c>
      <c r="P2212" s="26">
        <f>IF($G2212="","",ROUND($O2212*$N2212,0))</f>
        <v/>
      </c>
      <c r="Q2212" s="26">
        <f>IF($G2212="","",SUMIFS($P$4:$P$2503,$E$4:$E$2503,$E2212,$Z$4:$Z$2503,"正常"))</f>
        <v/>
      </c>
      <c r="R2212" s="26">
        <f>IF($G2212="","",SUMIFS(费用台账!$I$4:$I$503,费用台账!$C$4:$C$503,$E2212,费用台账!$J$4:$J$503,"是",费用台账!$K$4:$K$503,"正常"))</f>
        <v/>
      </c>
      <c r="S2212" s="28">
        <f>IF($G2212="","",COUNTIFS($E$4:$E$2503,$E2212,$Z$4:$Z$2503,"正常",$Y$4:$Y$2503,"待补价"))</f>
        <v/>
      </c>
      <c r="T2212" s="26">
        <f>IF($G2212="","",SUMIFS($P$4:$P$2503,$E$4:$E$2503,$E2212,$Z$4:$Z$2503,"正常",$A$4:$A$2503,"&lt;="&amp;$A2212))</f>
        <v/>
      </c>
      <c r="U2212" s="26">
        <f>IF($G2212="","",IF(OR($S2212&gt;0,$Q2212=0,$R2212=0,$Z2212&lt;&gt;"正常"),0,ROUND($T2212/$Q2212*$R2212,0)-ROUND(($T2212-$P2212)/$Q2212*$R2212,0)))</f>
        <v/>
      </c>
      <c r="V2212" s="26">
        <f>IF($G2212="","",ROUND($P2212+$U2212,0))</f>
        <v/>
      </c>
      <c r="W2212" s="26">
        <f>IF($G2212="","",IF(N($K2212)=0,0,ROUND($V2212/$K2212,2)))</f>
        <v/>
      </c>
      <c r="X2212" s="17" t="n"/>
      <c r="Y2212" s="17" t="n"/>
      <c r="Z2212" s="17" t="n"/>
      <c r="AA2212" s="17" t="n"/>
      <c r="AB2212" s="17" t="n"/>
      <c r="AC2212" s="24">
        <f>IF($G2212="","",IF($H2212="※编码不在物料档案里","※物料编码不在档案里",IF(N($K2212)&lt;=0,"※入库数量要大于 0",IF(AND($C2212&lt;&gt;"",$C2212&lt;=结账锁),"※日期早于已结账截止日，不能再录",IF(AND($L2212=0,$X2212="正常"),"※没填单价，价格状态请选「待补价」",IF(AND($S2212&gt;0,$R2212&gt;0),"△本批有 "&amp;$S2212&amp;" 行没单价，整批运费先挂账没摊",IF(AND($B2212&lt;&gt;"",COUNTIF($B$4:$B$2503,$B2212)&gt;1),"※入库单号重复","")))))))</f>
        <v/>
      </c>
    </row>
    <row r="2213">
      <c r="A2213" s="24">
        <f>IF($G2213="","",COUNTA($G$4:$G2213))</f>
        <v/>
      </c>
      <c r="B2213" s="17" t="n"/>
      <c r="C2213" s="30" t="n"/>
      <c r="D2213" s="17" t="n"/>
      <c r="E2213" s="17" t="n"/>
      <c r="F2213" s="17" t="n"/>
      <c r="G2213" s="17" t="n"/>
      <c r="H2213" s="24">
        <f>IF($G2213="","",IFERROR(VLOOKUP($G2213,物料档案!$A$4:$P$1203,3,0),"※编码不在物料档案里"))</f>
        <v/>
      </c>
      <c r="I2213" s="24">
        <f>IF($G2213="","",IFERROR(VLOOKUP($G2213,物料档案!$A$4:$P$1203,4,0),"※编码不在物料档案里"))</f>
        <v/>
      </c>
      <c r="J2213" s="24">
        <f>IF($G2213="","",IFERROR(VLOOKUP($G2213,物料档案!$A$4:$P$1203,5,0),"※编码不在物料档案里"))</f>
        <v/>
      </c>
      <c r="K2213" s="23" t="n"/>
      <c r="L2213" s="31" t="n"/>
      <c r="M2213" s="24">
        <f>IF($G2213="","",IF($D2213="A国内","CNY","TZS"))</f>
        <v/>
      </c>
      <c r="N2213" s="28">
        <f>IF($G2213="","",IF($D2213="A国内",汇率,1))</f>
        <v/>
      </c>
      <c r="O2213" s="25">
        <f>IF($G2213="","",ROUND(N($K2213)*N($L2213),2))</f>
        <v/>
      </c>
      <c r="P2213" s="26">
        <f>IF($G2213="","",ROUND($O2213*$N2213,0))</f>
        <v/>
      </c>
      <c r="Q2213" s="26">
        <f>IF($G2213="","",SUMIFS($P$4:$P$2503,$E$4:$E$2503,$E2213,$Z$4:$Z$2503,"正常"))</f>
        <v/>
      </c>
      <c r="R2213" s="26">
        <f>IF($G2213="","",SUMIFS(费用台账!$I$4:$I$503,费用台账!$C$4:$C$503,$E2213,费用台账!$J$4:$J$503,"是",费用台账!$K$4:$K$503,"正常"))</f>
        <v/>
      </c>
      <c r="S2213" s="28">
        <f>IF($G2213="","",COUNTIFS($E$4:$E$2503,$E2213,$Z$4:$Z$2503,"正常",$Y$4:$Y$2503,"待补价"))</f>
        <v/>
      </c>
      <c r="T2213" s="26">
        <f>IF($G2213="","",SUMIFS($P$4:$P$2503,$E$4:$E$2503,$E2213,$Z$4:$Z$2503,"正常",$A$4:$A$2503,"&lt;="&amp;$A2213))</f>
        <v/>
      </c>
      <c r="U2213" s="26">
        <f>IF($G2213="","",IF(OR($S2213&gt;0,$Q2213=0,$R2213=0,$Z2213&lt;&gt;"正常"),0,ROUND($T2213/$Q2213*$R2213,0)-ROUND(($T2213-$P2213)/$Q2213*$R2213,0)))</f>
        <v/>
      </c>
      <c r="V2213" s="26">
        <f>IF($G2213="","",ROUND($P2213+$U2213,0))</f>
        <v/>
      </c>
      <c r="W2213" s="26">
        <f>IF($G2213="","",IF(N($K2213)=0,0,ROUND($V2213/$K2213,2)))</f>
        <v/>
      </c>
      <c r="X2213" s="17" t="n"/>
      <c r="Y2213" s="17" t="n"/>
      <c r="Z2213" s="17" t="n"/>
      <c r="AA2213" s="17" t="n"/>
      <c r="AB2213" s="17" t="n"/>
      <c r="AC2213" s="24">
        <f>IF($G2213="","",IF($H2213="※编码不在物料档案里","※物料编码不在档案里",IF(N($K2213)&lt;=0,"※入库数量要大于 0",IF(AND($C2213&lt;&gt;"",$C2213&lt;=结账锁),"※日期早于已结账截止日，不能再录",IF(AND($L2213=0,$X2213="正常"),"※没填单价，价格状态请选「待补价」",IF(AND($S2213&gt;0,$R2213&gt;0),"△本批有 "&amp;$S2213&amp;" 行没单价，整批运费先挂账没摊",IF(AND($B2213&lt;&gt;"",COUNTIF($B$4:$B$2503,$B2213)&gt;1),"※入库单号重复","")))))))</f>
        <v/>
      </c>
    </row>
    <row r="2214">
      <c r="A2214" s="24">
        <f>IF($G2214="","",COUNTA($G$4:$G2214))</f>
        <v/>
      </c>
      <c r="B2214" s="17" t="n"/>
      <c r="C2214" s="30" t="n"/>
      <c r="D2214" s="17" t="n"/>
      <c r="E2214" s="17" t="n"/>
      <c r="F2214" s="17" t="n"/>
      <c r="G2214" s="17" t="n"/>
      <c r="H2214" s="24">
        <f>IF($G2214="","",IFERROR(VLOOKUP($G2214,物料档案!$A$4:$P$1203,3,0),"※编码不在物料档案里"))</f>
        <v/>
      </c>
      <c r="I2214" s="24">
        <f>IF($G2214="","",IFERROR(VLOOKUP($G2214,物料档案!$A$4:$P$1203,4,0),"※编码不在物料档案里"))</f>
        <v/>
      </c>
      <c r="J2214" s="24">
        <f>IF($G2214="","",IFERROR(VLOOKUP($G2214,物料档案!$A$4:$P$1203,5,0),"※编码不在物料档案里"))</f>
        <v/>
      </c>
      <c r="K2214" s="23" t="n"/>
      <c r="L2214" s="31" t="n"/>
      <c r="M2214" s="24">
        <f>IF($G2214="","",IF($D2214="A国内","CNY","TZS"))</f>
        <v/>
      </c>
      <c r="N2214" s="28">
        <f>IF($G2214="","",IF($D2214="A国内",汇率,1))</f>
        <v/>
      </c>
      <c r="O2214" s="25">
        <f>IF($G2214="","",ROUND(N($K2214)*N($L2214),2))</f>
        <v/>
      </c>
      <c r="P2214" s="26">
        <f>IF($G2214="","",ROUND($O2214*$N2214,0))</f>
        <v/>
      </c>
      <c r="Q2214" s="26">
        <f>IF($G2214="","",SUMIFS($P$4:$P$2503,$E$4:$E$2503,$E2214,$Z$4:$Z$2503,"正常"))</f>
        <v/>
      </c>
      <c r="R2214" s="26">
        <f>IF($G2214="","",SUMIFS(费用台账!$I$4:$I$503,费用台账!$C$4:$C$503,$E2214,费用台账!$J$4:$J$503,"是",费用台账!$K$4:$K$503,"正常"))</f>
        <v/>
      </c>
      <c r="S2214" s="28">
        <f>IF($G2214="","",COUNTIFS($E$4:$E$2503,$E2214,$Z$4:$Z$2503,"正常",$Y$4:$Y$2503,"待补价"))</f>
        <v/>
      </c>
      <c r="T2214" s="26">
        <f>IF($G2214="","",SUMIFS($P$4:$P$2503,$E$4:$E$2503,$E2214,$Z$4:$Z$2503,"正常",$A$4:$A$2503,"&lt;="&amp;$A2214))</f>
        <v/>
      </c>
      <c r="U2214" s="26">
        <f>IF($G2214="","",IF(OR($S2214&gt;0,$Q2214=0,$R2214=0,$Z2214&lt;&gt;"正常"),0,ROUND($T2214/$Q2214*$R2214,0)-ROUND(($T2214-$P2214)/$Q2214*$R2214,0)))</f>
        <v/>
      </c>
      <c r="V2214" s="26">
        <f>IF($G2214="","",ROUND($P2214+$U2214,0))</f>
        <v/>
      </c>
      <c r="W2214" s="26">
        <f>IF($G2214="","",IF(N($K2214)=0,0,ROUND($V2214/$K2214,2)))</f>
        <v/>
      </c>
      <c r="X2214" s="17" t="n"/>
      <c r="Y2214" s="17" t="n"/>
      <c r="Z2214" s="17" t="n"/>
      <c r="AA2214" s="17" t="n"/>
      <c r="AB2214" s="17" t="n"/>
      <c r="AC2214" s="24">
        <f>IF($G2214="","",IF($H2214="※编码不在物料档案里","※物料编码不在档案里",IF(N($K2214)&lt;=0,"※入库数量要大于 0",IF(AND($C2214&lt;&gt;"",$C2214&lt;=结账锁),"※日期早于已结账截止日，不能再录",IF(AND($L2214=0,$X2214="正常"),"※没填单价，价格状态请选「待补价」",IF(AND($S2214&gt;0,$R2214&gt;0),"△本批有 "&amp;$S2214&amp;" 行没单价，整批运费先挂账没摊",IF(AND($B2214&lt;&gt;"",COUNTIF($B$4:$B$2503,$B2214)&gt;1),"※入库单号重复","")))))))</f>
        <v/>
      </c>
    </row>
    <row r="2215">
      <c r="A2215" s="24">
        <f>IF($G2215="","",COUNTA($G$4:$G2215))</f>
        <v/>
      </c>
      <c r="B2215" s="17" t="n"/>
      <c r="C2215" s="30" t="n"/>
      <c r="D2215" s="17" t="n"/>
      <c r="E2215" s="17" t="n"/>
      <c r="F2215" s="17" t="n"/>
      <c r="G2215" s="17" t="n"/>
      <c r="H2215" s="24">
        <f>IF($G2215="","",IFERROR(VLOOKUP($G2215,物料档案!$A$4:$P$1203,3,0),"※编码不在物料档案里"))</f>
        <v/>
      </c>
      <c r="I2215" s="24">
        <f>IF($G2215="","",IFERROR(VLOOKUP($G2215,物料档案!$A$4:$P$1203,4,0),"※编码不在物料档案里"))</f>
        <v/>
      </c>
      <c r="J2215" s="24">
        <f>IF($G2215="","",IFERROR(VLOOKUP($G2215,物料档案!$A$4:$P$1203,5,0),"※编码不在物料档案里"))</f>
        <v/>
      </c>
      <c r="K2215" s="23" t="n"/>
      <c r="L2215" s="31" t="n"/>
      <c r="M2215" s="24">
        <f>IF($G2215="","",IF($D2215="A国内","CNY","TZS"))</f>
        <v/>
      </c>
      <c r="N2215" s="28">
        <f>IF($G2215="","",IF($D2215="A国内",汇率,1))</f>
        <v/>
      </c>
      <c r="O2215" s="25">
        <f>IF($G2215="","",ROUND(N($K2215)*N($L2215),2))</f>
        <v/>
      </c>
      <c r="P2215" s="26">
        <f>IF($G2215="","",ROUND($O2215*$N2215,0))</f>
        <v/>
      </c>
      <c r="Q2215" s="26">
        <f>IF($G2215="","",SUMIFS($P$4:$P$2503,$E$4:$E$2503,$E2215,$Z$4:$Z$2503,"正常"))</f>
        <v/>
      </c>
      <c r="R2215" s="26">
        <f>IF($G2215="","",SUMIFS(费用台账!$I$4:$I$503,费用台账!$C$4:$C$503,$E2215,费用台账!$J$4:$J$503,"是",费用台账!$K$4:$K$503,"正常"))</f>
        <v/>
      </c>
      <c r="S2215" s="28">
        <f>IF($G2215="","",COUNTIFS($E$4:$E$2503,$E2215,$Z$4:$Z$2503,"正常",$Y$4:$Y$2503,"待补价"))</f>
        <v/>
      </c>
      <c r="T2215" s="26">
        <f>IF($G2215="","",SUMIFS($P$4:$P$2503,$E$4:$E$2503,$E2215,$Z$4:$Z$2503,"正常",$A$4:$A$2503,"&lt;="&amp;$A2215))</f>
        <v/>
      </c>
      <c r="U2215" s="26">
        <f>IF($G2215="","",IF(OR($S2215&gt;0,$Q2215=0,$R2215=0,$Z2215&lt;&gt;"正常"),0,ROUND($T2215/$Q2215*$R2215,0)-ROUND(($T2215-$P2215)/$Q2215*$R2215,0)))</f>
        <v/>
      </c>
      <c r="V2215" s="26">
        <f>IF($G2215="","",ROUND($P2215+$U2215,0))</f>
        <v/>
      </c>
      <c r="W2215" s="26">
        <f>IF($G2215="","",IF(N($K2215)=0,0,ROUND($V2215/$K2215,2)))</f>
        <v/>
      </c>
      <c r="X2215" s="17" t="n"/>
      <c r="Y2215" s="17" t="n"/>
      <c r="Z2215" s="17" t="n"/>
      <c r="AA2215" s="17" t="n"/>
      <c r="AB2215" s="17" t="n"/>
      <c r="AC2215" s="24">
        <f>IF($G2215="","",IF($H2215="※编码不在物料档案里","※物料编码不在档案里",IF(N($K2215)&lt;=0,"※入库数量要大于 0",IF(AND($C2215&lt;&gt;"",$C2215&lt;=结账锁),"※日期早于已结账截止日，不能再录",IF(AND($L2215=0,$X2215="正常"),"※没填单价，价格状态请选「待补价」",IF(AND($S2215&gt;0,$R2215&gt;0),"△本批有 "&amp;$S2215&amp;" 行没单价，整批运费先挂账没摊",IF(AND($B2215&lt;&gt;"",COUNTIF($B$4:$B$2503,$B2215)&gt;1),"※入库单号重复","")))))))</f>
        <v/>
      </c>
    </row>
    <row r="2216">
      <c r="A2216" s="24">
        <f>IF($G2216="","",COUNTA($G$4:$G2216))</f>
        <v/>
      </c>
      <c r="B2216" s="17" t="n"/>
      <c r="C2216" s="30" t="n"/>
      <c r="D2216" s="17" t="n"/>
      <c r="E2216" s="17" t="n"/>
      <c r="F2216" s="17" t="n"/>
      <c r="G2216" s="17" t="n"/>
      <c r="H2216" s="24">
        <f>IF($G2216="","",IFERROR(VLOOKUP($G2216,物料档案!$A$4:$P$1203,3,0),"※编码不在物料档案里"))</f>
        <v/>
      </c>
      <c r="I2216" s="24">
        <f>IF($G2216="","",IFERROR(VLOOKUP($G2216,物料档案!$A$4:$P$1203,4,0),"※编码不在物料档案里"))</f>
        <v/>
      </c>
      <c r="J2216" s="24">
        <f>IF($G2216="","",IFERROR(VLOOKUP($G2216,物料档案!$A$4:$P$1203,5,0),"※编码不在物料档案里"))</f>
        <v/>
      </c>
      <c r="K2216" s="23" t="n"/>
      <c r="L2216" s="31" t="n"/>
      <c r="M2216" s="24">
        <f>IF($G2216="","",IF($D2216="A国内","CNY","TZS"))</f>
        <v/>
      </c>
      <c r="N2216" s="28">
        <f>IF($G2216="","",IF($D2216="A国内",汇率,1))</f>
        <v/>
      </c>
      <c r="O2216" s="25">
        <f>IF($G2216="","",ROUND(N($K2216)*N($L2216),2))</f>
        <v/>
      </c>
      <c r="P2216" s="26">
        <f>IF($G2216="","",ROUND($O2216*$N2216,0))</f>
        <v/>
      </c>
      <c r="Q2216" s="26">
        <f>IF($G2216="","",SUMIFS($P$4:$P$2503,$E$4:$E$2503,$E2216,$Z$4:$Z$2503,"正常"))</f>
        <v/>
      </c>
      <c r="R2216" s="26">
        <f>IF($G2216="","",SUMIFS(费用台账!$I$4:$I$503,费用台账!$C$4:$C$503,$E2216,费用台账!$J$4:$J$503,"是",费用台账!$K$4:$K$503,"正常"))</f>
        <v/>
      </c>
      <c r="S2216" s="28">
        <f>IF($G2216="","",COUNTIFS($E$4:$E$2503,$E2216,$Z$4:$Z$2503,"正常",$Y$4:$Y$2503,"待补价"))</f>
        <v/>
      </c>
      <c r="T2216" s="26">
        <f>IF($G2216="","",SUMIFS($P$4:$P$2503,$E$4:$E$2503,$E2216,$Z$4:$Z$2503,"正常",$A$4:$A$2503,"&lt;="&amp;$A2216))</f>
        <v/>
      </c>
      <c r="U2216" s="26">
        <f>IF($G2216="","",IF(OR($S2216&gt;0,$Q2216=0,$R2216=0,$Z2216&lt;&gt;"正常"),0,ROUND($T2216/$Q2216*$R2216,0)-ROUND(($T2216-$P2216)/$Q2216*$R2216,0)))</f>
        <v/>
      </c>
      <c r="V2216" s="26">
        <f>IF($G2216="","",ROUND($P2216+$U2216,0))</f>
        <v/>
      </c>
      <c r="W2216" s="26">
        <f>IF($G2216="","",IF(N($K2216)=0,0,ROUND($V2216/$K2216,2)))</f>
        <v/>
      </c>
      <c r="X2216" s="17" t="n"/>
      <c r="Y2216" s="17" t="n"/>
      <c r="Z2216" s="17" t="n"/>
      <c r="AA2216" s="17" t="n"/>
      <c r="AB2216" s="17" t="n"/>
      <c r="AC2216" s="24">
        <f>IF($G2216="","",IF($H2216="※编码不在物料档案里","※物料编码不在档案里",IF(N($K2216)&lt;=0,"※入库数量要大于 0",IF(AND($C2216&lt;&gt;"",$C2216&lt;=结账锁),"※日期早于已结账截止日，不能再录",IF(AND($L2216=0,$X2216="正常"),"※没填单价，价格状态请选「待补价」",IF(AND($S2216&gt;0,$R2216&gt;0),"△本批有 "&amp;$S2216&amp;" 行没单价，整批运费先挂账没摊",IF(AND($B2216&lt;&gt;"",COUNTIF($B$4:$B$2503,$B2216)&gt;1),"※入库单号重复","")))))))</f>
        <v/>
      </c>
    </row>
    <row r="2217">
      <c r="A2217" s="24">
        <f>IF($G2217="","",COUNTA($G$4:$G2217))</f>
        <v/>
      </c>
      <c r="B2217" s="17" t="n"/>
      <c r="C2217" s="30" t="n"/>
      <c r="D2217" s="17" t="n"/>
      <c r="E2217" s="17" t="n"/>
      <c r="F2217" s="17" t="n"/>
      <c r="G2217" s="17" t="n"/>
      <c r="H2217" s="24">
        <f>IF($G2217="","",IFERROR(VLOOKUP($G2217,物料档案!$A$4:$P$1203,3,0),"※编码不在物料档案里"))</f>
        <v/>
      </c>
      <c r="I2217" s="24">
        <f>IF($G2217="","",IFERROR(VLOOKUP($G2217,物料档案!$A$4:$P$1203,4,0),"※编码不在物料档案里"))</f>
        <v/>
      </c>
      <c r="J2217" s="24">
        <f>IF($G2217="","",IFERROR(VLOOKUP($G2217,物料档案!$A$4:$P$1203,5,0),"※编码不在物料档案里"))</f>
        <v/>
      </c>
      <c r="K2217" s="23" t="n"/>
      <c r="L2217" s="31" t="n"/>
      <c r="M2217" s="24">
        <f>IF($G2217="","",IF($D2217="A国内","CNY","TZS"))</f>
        <v/>
      </c>
      <c r="N2217" s="28">
        <f>IF($G2217="","",IF($D2217="A国内",汇率,1))</f>
        <v/>
      </c>
      <c r="O2217" s="25">
        <f>IF($G2217="","",ROUND(N($K2217)*N($L2217),2))</f>
        <v/>
      </c>
      <c r="P2217" s="26">
        <f>IF($G2217="","",ROUND($O2217*$N2217,0))</f>
        <v/>
      </c>
      <c r="Q2217" s="26">
        <f>IF($G2217="","",SUMIFS($P$4:$P$2503,$E$4:$E$2503,$E2217,$Z$4:$Z$2503,"正常"))</f>
        <v/>
      </c>
      <c r="R2217" s="26">
        <f>IF($G2217="","",SUMIFS(费用台账!$I$4:$I$503,费用台账!$C$4:$C$503,$E2217,费用台账!$J$4:$J$503,"是",费用台账!$K$4:$K$503,"正常"))</f>
        <v/>
      </c>
      <c r="S2217" s="28">
        <f>IF($G2217="","",COUNTIFS($E$4:$E$2503,$E2217,$Z$4:$Z$2503,"正常",$Y$4:$Y$2503,"待补价"))</f>
        <v/>
      </c>
      <c r="T2217" s="26">
        <f>IF($G2217="","",SUMIFS($P$4:$P$2503,$E$4:$E$2503,$E2217,$Z$4:$Z$2503,"正常",$A$4:$A$2503,"&lt;="&amp;$A2217))</f>
        <v/>
      </c>
      <c r="U2217" s="26">
        <f>IF($G2217="","",IF(OR($S2217&gt;0,$Q2217=0,$R2217=0,$Z2217&lt;&gt;"正常"),0,ROUND($T2217/$Q2217*$R2217,0)-ROUND(($T2217-$P2217)/$Q2217*$R2217,0)))</f>
        <v/>
      </c>
      <c r="V2217" s="26">
        <f>IF($G2217="","",ROUND($P2217+$U2217,0))</f>
        <v/>
      </c>
      <c r="W2217" s="26">
        <f>IF($G2217="","",IF(N($K2217)=0,0,ROUND($V2217/$K2217,2)))</f>
        <v/>
      </c>
      <c r="X2217" s="17" t="n"/>
      <c r="Y2217" s="17" t="n"/>
      <c r="Z2217" s="17" t="n"/>
      <c r="AA2217" s="17" t="n"/>
      <c r="AB2217" s="17" t="n"/>
      <c r="AC2217" s="24">
        <f>IF($G2217="","",IF($H2217="※编码不在物料档案里","※物料编码不在档案里",IF(N($K2217)&lt;=0,"※入库数量要大于 0",IF(AND($C2217&lt;&gt;"",$C2217&lt;=结账锁),"※日期早于已结账截止日，不能再录",IF(AND($L2217=0,$X2217="正常"),"※没填单价，价格状态请选「待补价」",IF(AND($S2217&gt;0,$R2217&gt;0),"△本批有 "&amp;$S2217&amp;" 行没单价，整批运费先挂账没摊",IF(AND($B2217&lt;&gt;"",COUNTIF($B$4:$B$2503,$B2217)&gt;1),"※入库单号重复","")))))))</f>
        <v/>
      </c>
    </row>
    <row r="2218">
      <c r="A2218" s="24">
        <f>IF($G2218="","",COUNTA($G$4:$G2218))</f>
        <v/>
      </c>
      <c r="B2218" s="17" t="n"/>
      <c r="C2218" s="30" t="n"/>
      <c r="D2218" s="17" t="n"/>
      <c r="E2218" s="17" t="n"/>
      <c r="F2218" s="17" t="n"/>
      <c r="G2218" s="17" t="n"/>
      <c r="H2218" s="24">
        <f>IF($G2218="","",IFERROR(VLOOKUP($G2218,物料档案!$A$4:$P$1203,3,0),"※编码不在物料档案里"))</f>
        <v/>
      </c>
      <c r="I2218" s="24">
        <f>IF($G2218="","",IFERROR(VLOOKUP($G2218,物料档案!$A$4:$P$1203,4,0),"※编码不在物料档案里"))</f>
        <v/>
      </c>
      <c r="J2218" s="24">
        <f>IF($G2218="","",IFERROR(VLOOKUP($G2218,物料档案!$A$4:$P$1203,5,0),"※编码不在物料档案里"))</f>
        <v/>
      </c>
      <c r="K2218" s="23" t="n"/>
      <c r="L2218" s="31" t="n"/>
      <c r="M2218" s="24">
        <f>IF($G2218="","",IF($D2218="A国内","CNY","TZS"))</f>
        <v/>
      </c>
      <c r="N2218" s="28">
        <f>IF($G2218="","",IF($D2218="A国内",汇率,1))</f>
        <v/>
      </c>
      <c r="O2218" s="25">
        <f>IF($G2218="","",ROUND(N($K2218)*N($L2218),2))</f>
        <v/>
      </c>
      <c r="P2218" s="26">
        <f>IF($G2218="","",ROUND($O2218*$N2218,0))</f>
        <v/>
      </c>
      <c r="Q2218" s="26">
        <f>IF($G2218="","",SUMIFS($P$4:$P$2503,$E$4:$E$2503,$E2218,$Z$4:$Z$2503,"正常"))</f>
        <v/>
      </c>
      <c r="R2218" s="26">
        <f>IF($G2218="","",SUMIFS(费用台账!$I$4:$I$503,费用台账!$C$4:$C$503,$E2218,费用台账!$J$4:$J$503,"是",费用台账!$K$4:$K$503,"正常"))</f>
        <v/>
      </c>
      <c r="S2218" s="28">
        <f>IF($G2218="","",COUNTIFS($E$4:$E$2503,$E2218,$Z$4:$Z$2503,"正常",$Y$4:$Y$2503,"待补价"))</f>
        <v/>
      </c>
      <c r="T2218" s="26">
        <f>IF($G2218="","",SUMIFS($P$4:$P$2503,$E$4:$E$2503,$E2218,$Z$4:$Z$2503,"正常",$A$4:$A$2503,"&lt;="&amp;$A2218))</f>
        <v/>
      </c>
      <c r="U2218" s="26">
        <f>IF($G2218="","",IF(OR($S2218&gt;0,$Q2218=0,$R2218=0,$Z2218&lt;&gt;"正常"),0,ROUND($T2218/$Q2218*$R2218,0)-ROUND(($T2218-$P2218)/$Q2218*$R2218,0)))</f>
        <v/>
      </c>
      <c r="V2218" s="26">
        <f>IF($G2218="","",ROUND($P2218+$U2218,0))</f>
        <v/>
      </c>
      <c r="W2218" s="26">
        <f>IF($G2218="","",IF(N($K2218)=0,0,ROUND($V2218/$K2218,2)))</f>
        <v/>
      </c>
      <c r="X2218" s="17" t="n"/>
      <c r="Y2218" s="17" t="n"/>
      <c r="Z2218" s="17" t="n"/>
      <c r="AA2218" s="17" t="n"/>
      <c r="AB2218" s="17" t="n"/>
      <c r="AC2218" s="24">
        <f>IF($G2218="","",IF($H2218="※编码不在物料档案里","※物料编码不在档案里",IF(N($K2218)&lt;=0,"※入库数量要大于 0",IF(AND($C2218&lt;&gt;"",$C2218&lt;=结账锁),"※日期早于已结账截止日，不能再录",IF(AND($L2218=0,$X2218="正常"),"※没填单价，价格状态请选「待补价」",IF(AND($S2218&gt;0,$R2218&gt;0),"△本批有 "&amp;$S2218&amp;" 行没单价，整批运费先挂账没摊",IF(AND($B2218&lt;&gt;"",COUNTIF($B$4:$B$2503,$B2218)&gt;1),"※入库单号重复","")))))))</f>
        <v/>
      </c>
    </row>
    <row r="2219">
      <c r="A2219" s="24">
        <f>IF($G2219="","",COUNTA($G$4:$G2219))</f>
        <v/>
      </c>
      <c r="B2219" s="17" t="n"/>
      <c r="C2219" s="30" t="n"/>
      <c r="D2219" s="17" t="n"/>
      <c r="E2219" s="17" t="n"/>
      <c r="F2219" s="17" t="n"/>
      <c r="G2219" s="17" t="n"/>
      <c r="H2219" s="24">
        <f>IF($G2219="","",IFERROR(VLOOKUP($G2219,物料档案!$A$4:$P$1203,3,0),"※编码不在物料档案里"))</f>
        <v/>
      </c>
      <c r="I2219" s="24">
        <f>IF($G2219="","",IFERROR(VLOOKUP($G2219,物料档案!$A$4:$P$1203,4,0),"※编码不在物料档案里"))</f>
        <v/>
      </c>
      <c r="J2219" s="24">
        <f>IF($G2219="","",IFERROR(VLOOKUP($G2219,物料档案!$A$4:$P$1203,5,0),"※编码不在物料档案里"))</f>
        <v/>
      </c>
      <c r="K2219" s="23" t="n"/>
      <c r="L2219" s="31" t="n"/>
      <c r="M2219" s="24">
        <f>IF($G2219="","",IF($D2219="A国内","CNY","TZS"))</f>
        <v/>
      </c>
      <c r="N2219" s="28">
        <f>IF($G2219="","",IF($D2219="A国内",汇率,1))</f>
        <v/>
      </c>
      <c r="O2219" s="25">
        <f>IF($G2219="","",ROUND(N($K2219)*N($L2219),2))</f>
        <v/>
      </c>
      <c r="P2219" s="26">
        <f>IF($G2219="","",ROUND($O2219*$N2219,0))</f>
        <v/>
      </c>
      <c r="Q2219" s="26">
        <f>IF($G2219="","",SUMIFS($P$4:$P$2503,$E$4:$E$2503,$E2219,$Z$4:$Z$2503,"正常"))</f>
        <v/>
      </c>
      <c r="R2219" s="26">
        <f>IF($G2219="","",SUMIFS(费用台账!$I$4:$I$503,费用台账!$C$4:$C$503,$E2219,费用台账!$J$4:$J$503,"是",费用台账!$K$4:$K$503,"正常"))</f>
        <v/>
      </c>
      <c r="S2219" s="28">
        <f>IF($G2219="","",COUNTIFS($E$4:$E$2503,$E2219,$Z$4:$Z$2503,"正常",$Y$4:$Y$2503,"待补价"))</f>
        <v/>
      </c>
      <c r="T2219" s="26">
        <f>IF($G2219="","",SUMIFS($P$4:$P$2503,$E$4:$E$2503,$E2219,$Z$4:$Z$2503,"正常",$A$4:$A$2503,"&lt;="&amp;$A2219))</f>
        <v/>
      </c>
      <c r="U2219" s="26">
        <f>IF($G2219="","",IF(OR($S2219&gt;0,$Q2219=0,$R2219=0,$Z2219&lt;&gt;"正常"),0,ROUND($T2219/$Q2219*$R2219,0)-ROUND(($T2219-$P2219)/$Q2219*$R2219,0)))</f>
        <v/>
      </c>
      <c r="V2219" s="26">
        <f>IF($G2219="","",ROUND($P2219+$U2219,0))</f>
        <v/>
      </c>
      <c r="W2219" s="26">
        <f>IF($G2219="","",IF(N($K2219)=0,0,ROUND($V2219/$K2219,2)))</f>
        <v/>
      </c>
      <c r="X2219" s="17" t="n"/>
      <c r="Y2219" s="17" t="n"/>
      <c r="Z2219" s="17" t="n"/>
      <c r="AA2219" s="17" t="n"/>
      <c r="AB2219" s="17" t="n"/>
      <c r="AC2219" s="24">
        <f>IF($G2219="","",IF($H2219="※编码不在物料档案里","※物料编码不在档案里",IF(N($K2219)&lt;=0,"※入库数量要大于 0",IF(AND($C2219&lt;&gt;"",$C2219&lt;=结账锁),"※日期早于已结账截止日，不能再录",IF(AND($L2219=0,$X2219="正常"),"※没填单价，价格状态请选「待补价」",IF(AND($S2219&gt;0,$R2219&gt;0),"△本批有 "&amp;$S2219&amp;" 行没单价，整批运费先挂账没摊",IF(AND($B2219&lt;&gt;"",COUNTIF($B$4:$B$2503,$B2219)&gt;1),"※入库单号重复","")))))))</f>
        <v/>
      </c>
    </row>
    <row r="2220">
      <c r="A2220" s="24">
        <f>IF($G2220="","",COUNTA($G$4:$G2220))</f>
        <v/>
      </c>
      <c r="B2220" s="17" t="n"/>
      <c r="C2220" s="30" t="n"/>
      <c r="D2220" s="17" t="n"/>
      <c r="E2220" s="17" t="n"/>
      <c r="F2220" s="17" t="n"/>
      <c r="G2220" s="17" t="n"/>
      <c r="H2220" s="24">
        <f>IF($G2220="","",IFERROR(VLOOKUP($G2220,物料档案!$A$4:$P$1203,3,0),"※编码不在物料档案里"))</f>
        <v/>
      </c>
      <c r="I2220" s="24">
        <f>IF($G2220="","",IFERROR(VLOOKUP($G2220,物料档案!$A$4:$P$1203,4,0),"※编码不在物料档案里"))</f>
        <v/>
      </c>
      <c r="J2220" s="24">
        <f>IF($G2220="","",IFERROR(VLOOKUP($G2220,物料档案!$A$4:$P$1203,5,0),"※编码不在物料档案里"))</f>
        <v/>
      </c>
      <c r="K2220" s="23" t="n"/>
      <c r="L2220" s="31" t="n"/>
      <c r="M2220" s="24">
        <f>IF($G2220="","",IF($D2220="A国内","CNY","TZS"))</f>
        <v/>
      </c>
      <c r="N2220" s="28">
        <f>IF($G2220="","",IF($D2220="A国内",汇率,1))</f>
        <v/>
      </c>
      <c r="O2220" s="25">
        <f>IF($G2220="","",ROUND(N($K2220)*N($L2220),2))</f>
        <v/>
      </c>
      <c r="P2220" s="26">
        <f>IF($G2220="","",ROUND($O2220*$N2220,0))</f>
        <v/>
      </c>
      <c r="Q2220" s="26">
        <f>IF($G2220="","",SUMIFS($P$4:$P$2503,$E$4:$E$2503,$E2220,$Z$4:$Z$2503,"正常"))</f>
        <v/>
      </c>
      <c r="R2220" s="26">
        <f>IF($G2220="","",SUMIFS(费用台账!$I$4:$I$503,费用台账!$C$4:$C$503,$E2220,费用台账!$J$4:$J$503,"是",费用台账!$K$4:$K$503,"正常"))</f>
        <v/>
      </c>
      <c r="S2220" s="28">
        <f>IF($G2220="","",COUNTIFS($E$4:$E$2503,$E2220,$Z$4:$Z$2503,"正常",$Y$4:$Y$2503,"待补价"))</f>
        <v/>
      </c>
      <c r="T2220" s="26">
        <f>IF($G2220="","",SUMIFS($P$4:$P$2503,$E$4:$E$2503,$E2220,$Z$4:$Z$2503,"正常",$A$4:$A$2503,"&lt;="&amp;$A2220))</f>
        <v/>
      </c>
      <c r="U2220" s="26">
        <f>IF($G2220="","",IF(OR($S2220&gt;0,$Q2220=0,$R2220=0,$Z2220&lt;&gt;"正常"),0,ROUND($T2220/$Q2220*$R2220,0)-ROUND(($T2220-$P2220)/$Q2220*$R2220,0)))</f>
        <v/>
      </c>
      <c r="V2220" s="26">
        <f>IF($G2220="","",ROUND($P2220+$U2220,0))</f>
        <v/>
      </c>
      <c r="W2220" s="26">
        <f>IF($G2220="","",IF(N($K2220)=0,0,ROUND($V2220/$K2220,2)))</f>
        <v/>
      </c>
      <c r="X2220" s="17" t="n"/>
      <c r="Y2220" s="17" t="n"/>
      <c r="Z2220" s="17" t="n"/>
      <c r="AA2220" s="17" t="n"/>
      <c r="AB2220" s="17" t="n"/>
      <c r="AC2220" s="24">
        <f>IF($G2220="","",IF($H2220="※编码不在物料档案里","※物料编码不在档案里",IF(N($K2220)&lt;=0,"※入库数量要大于 0",IF(AND($C2220&lt;&gt;"",$C2220&lt;=结账锁),"※日期早于已结账截止日，不能再录",IF(AND($L2220=0,$X2220="正常"),"※没填单价，价格状态请选「待补价」",IF(AND($S2220&gt;0,$R2220&gt;0),"△本批有 "&amp;$S2220&amp;" 行没单价，整批运费先挂账没摊",IF(AND($B2220&lt;&gt;"",COUNTIF($B$4:$B$2503,$B2220)&gt;1),"※入库单号重复","")))))))</f>
        <v/>
      </c>
    </row>
    <row r="2221">
      <c r="A2221" s="24">
        <f>IF($G2221="","",COUNTA($G$4:$G2221))</f>
        <v/>
      </c>
      <c r="B2221" s="17" t="n"/>
      <c r="C2221" s="30" t="n"/>
      <c r="D2221" s="17" t="n"/>
      <c r="E2221" s="17" t="n"/>
      <c r="F2221" s="17" t="n"/>
      <c r="G2221" s="17" t="n"/>
      <c r="H2221" s="24">
        <f>IF($G2221="","",IFERROR(VLOOKUP($G2221,物料档案!$A$4:$P$1203,3,0),"※编码不在物料档案里"))</f>
        <v/>
      </c>
      <c r="I2221" s="24">
        <f>IF($G2221="","",IFERROR(VLOOKUP($G2221,物料档案!$A$4:$P$1203,4,0),"※编码不在物料档案里"))</f>
        <v/>
      </c>
      <c r="J2221" s="24">
        <f>IF($G2221="","",IFERROR(VLOOKUP($G2221,物料档案!$A$4:$P$1203,5,0),"※编码不在物料档案里"))</f>
        <v/>
      </c>
      <c r="K2221" s="23" t="n"/>
      <c r="L2221" s="31" t="n"/>
      <c r="M2221" s="24">
        <f>IF($G2221="","",IF($D2221="A国内","CNY","TZS"))</f>
        <v/>
      </c>
      <c r="N2221" s="28">
        <f>IF($G2221="","",IF($D2221="A国内",汇率,1))</f>
        <v/>
      </c>
      <c r="O2221" s="25">
        <f>IF($G2221="","",ROUND(N($K2221)*N($L2221),2))</f>
        <v/>
      </c>
      <c r="P2221" s="26">
        <f>IF($G2221="","",ROUND($O2221*$N2221,0))</f>
        <v/>
      </c>
      <c r="Q2221" s="26">
        <f>IF($G2221="","",SUMIFS($P$4:$P$2503,$E$4:$E$2503,$E2221,$Z$4:$Z$2503,"正常"))</f>
        <v/>
      </c>
      <c r="R2221" s="26">
        <f>IF($G2221="","",SUMIFS(费用台账!$I$4:$I$503,费用台账!$C$4:$C$503,$E2221,费用台账!$J$4:$J$503,"是",费用台账!$K$4:$K$503,"正常"))</f>
        <v/>
      </c>
      <c r="S2221" s="28">
        <f>IF($G2221="","",COUNTIFS($E$4:$E$2503,$E2221,$Z$4:$Z$2503,"正常",$Y$4:$Y$2503,"待补价"))</f>
        <v/>
      </c>
      <c r="T2221" s="26">
        <f>IF($G2221="","",SUMIFS($P$4:$P$2503,$E$4:$E$2503,$E2221,$Z$4:$Z$2503,"正常",$A$4:$A$2503,"&lt;="&amp;$A2221))</f>
        <v/>
      </c>
      <c r="U2221" s="26">
        <f>IF($G2221="","",IF(OR($S2221&gt;0,$Q2221=0,$R2221=0,$Z2221&lt;&gt;"正常"),0,ROUND($T2221/$Q2221*$R2221,0)-ROUND(($T2221-$P2221)/$Q2221*$R2221,0)))</f>
        <v/>
      </c>
      <c r="V2221" s="26">
        <f>IF($G2221="","",ROUND($P2221+$U2221,0))</f>
        <v/>
      </c>
      <c r="W2221" s="26">
        <f>IF($G2221="","",IF(N($K2221)=0,0,ROUND($V2221/$K2221,2)))</f>
        <v/>
      </c>
      <c r="X2221" s="17" t="n"/>
      <c r="Y2221" s="17" t="n"/>
      <c r="Z2221" s="17" t="n"/>
      <c r="AA2221" s="17" t="n"/>
      <c r="AB2221" s="17" t="n"/>
      <c r="AC2221" s="24">
        <f>IF($G2221="","",IF($H2221="※编码不在物料档案里","※物料编码不在档案里",IF(N($K2221)&lt;=0,"※入库数量要大于 0",IF(AND($C2221&lt;&gt;"",$C2221&lt;=结账锁),"※日期早于已结账截止日，不能再录",IF(AND($L2221=0,$X2221="正常"),"※没填单价，价格状态请选「待补价」",IF(AND($S2221&gt;0,$R2221&gt;0),"△本批有 "&amp;$S2221&amp;" 行没单价，整批运费先挂账没摊",IF(AND($B2221&lt;&gt;"",COUNTIF($B$4:$B$2503,$B2221)&gt;1),"※入库单号重复","")))))))</f>
        <v/>
      </c>
    </row>
    <row r="2222">
      <c r="A2222" s="24">
        <f>IF($G2222="","",COUNTA($G$4:$G2222))</f>
        <v/>
      </c>
      <c r="B2222" s="17" t="n"/>
      <c r="C2222" s="30" t="n"/>
      <c r="D2222" s="17" t="n"/>
      <c r="E2222" s="17" t="n"/>
      <c r="F2222" s="17" t="n"/>
      <c r="G2222" s="17" t="n"/>
      <c r="H2222" s="24">
        <f>IF($G2222="","",IFERROR(VLOOKUP($G2222,物料档案!$A$4:$P$1203,3,0),"※编码不在物料档案里"))</f>
        <v/>
      </c>
      <c r="I2222" s="24">
        <f>IF($G2222="","",IFERROR(VLOOKUP($G2222,物料档案!$A$4:$P$1203,4,0),"※编码不在物料档案里"))</f>
        <v/>
      </c>
      <c r="J2222" s="24">
        <f>IF($G2222="","",IFERROR(VLOOKUP($G2222,物料档案!$A$4:$P$1203,5,0),"※编码不在物料档案里"))</f>
        <v/>
      </c>
      <c r="K2222" s="23" t="n"/>
      <c r="L2222" s="31" t="n"/>
      <c r="M2222" s="24">
        <f>IF($G2222="","",IF($D2222="A国内","CNY","TZS"))</f>
        <v/>
      </c>
      <c r="N2222" s="28">
        <f>IF($G2222="","",IF($D2222="A国内",汇率,1))</f>
        <v/>
      </c>
      <c r="O2222" s="25">
        <f>IF($G2222="","",ROUND(N($K2222)*N($L2222),2))</f>
        <v/>
      </c>
      <c r="P2222" s="26">
        <f>IF($G2222="","",ROUND($O2222*$N2222,0))</f>
        <v/>
      </c>
      <c r="Q2222" s="26">
        <f>IF($G2222="","",SUMIFS($P$4:$P$2503,$E$4:$E$2503,$E2222,$Z$4:$Z$2503,"正常"))</f>
        <v/>
      </c>
      <c r="R2222" s="26">
        <f>IF($G2222="","",SUMIFS(费用台账!$I$4:$I$503,费用台账!$C$4:$C$503,$E2222,费用台账!$J$4:$J$503,"是",费用台账!$K$4:$K$503,"正常"))</f>
        <v/>
      </c>
      <c r="S2222" s="28">
        <f>IF($G2222="","",COUNTIFS($E$4:$E$2503,$E2222,$Z$4:$Z$2503,"正常",$Y$4:$Y$2503,"待补价"))</f>
        <v/>
      </c>
      <c r="T2222" s="26">
        <f>IF($G2222="","",SUMIFS($P$4:$P$2503,$E$4:$E$2503,$E2222,$Z$4:$Z$2503,"正常",$A$4:$A$2503,"&lt;="&amp;$A2222))</f>
        <v/>
      </c>
      <c r="U2222" s="26">
        <f>IF($G2222="","",IF(OR($S2222&gt;0,$Q2222=0,$R2222=0,$Z2222&lt;&gt;"正常"),0,ROUND($T2222/$Q2222*$R2222,0)-ROUND(($T2222-$P2222)/$Q2222*$R2222,0)))</f>
        <v/>
      </c>
      <c r="V2222" s="26">
        <f>IF($G2222="","",ROUND($P2222+$U2222,0))</f>
        <v/>
      </c>
      <c r="W2222" s="26">
        <f>IF($G2222="","",IF(N($K2222)=0,0,ROUND($V2222/$K2222,2)))</f>
        <v/>
      </c>
      <c r="X2222" s="17" t="n"/>
      <c r="Y2222" s="17" t="n"/>
      <c r="Z2222" s="17" t="n"/>
      <c r="AA2222" s="17" t="n"/>
      <c r="AB2222" s="17" t="n"/>
      <c r="AC2222" s="24">
        <f>IF($G2222="","",IF($H2222="※编码不在物料档案里","※物料编码不在档案里",IF(N($K2222)&lt;=0,"※入库数量要大于 0",IF(AND($C2222&lt;&gt;"",$C2222&lt;=结账锁),"※日期早于已结账截止日，不能再录",IF(AND($L2222=0,$X2222="正常"),"※没填单价，价格状态请选「待补价」",IF(AND($S2222&gt;0,$R2222&gt;0),"△本批有 "&amp;$S2222&amp;" 行没单价，整批运费先挂账没摊",IF(AND($B2222&lt;&gt;"",COUNTIF($B$4:$B$2503,$B2222)&gt;1),"※入库单号重复","")))))))</f>
        <v/>
      </c>
    </row>
    <row r="2223">
      <c r="A2223" s="24">
        <f>IF($G2223="","",COUNTA($G$4:$G2223))</f>
        <v/>
      </c>
      <c r="B2223" s="17" t="n"/>
      <c r="C2223" s="30" t="n"/>
      <c r="D2223" s="17" t="n"/>
      <c r="E2223" s="17" t="n"/>
      <c r="F2223" s="17" t="n"/>
      <c r="G2223" s="17" t="n"/>
      <c r="H2223" s="24">
        <f>IF($G2223="","",IFERROR(VLOOKUP($G2223,物料档案!$A$4:$P$1203,3,0),"※编码不在物料档案里"))</f>
        <v/>
      </c>
      <c r="I2223" s="24">
        <f>IF($G2223="","",IFERROR(VLOOKUP($G2223,物料档案!$A$4:$P$1203,4,0),"※编码不在物料档案里"))</f>
        <v/>
      </c>
      <c r="J2223" s="24">
        <f>IF($G2223="","",IFERROR(VLOOKUP($G2223,物料档案!$A$4:$P$1203,5,0),"※编码不在物料档案里"))</f>
        <v/>
      </c>
      <c r="K2223" s="23" t="n"/>
      <c r="L2223" s="31" t="n"/>
      <c r="M2223" s="24">
        <f>IF($G2223="","",IF($D2223="A国内","CNY","TZS"))</f>
        <v/>
      </c>
      <c r="N2223" s="28">
        <f>IF($G2223="","",IF($D2223="A国内",汇率,1))</f>
        <v/>
      </c>
      <c r="O2223" s="25">
        <f>IF($G2223="","",ROUND(N($K2223)*N($L2223),2))</f>
        <v/>
      </c>
      <c r="P2223" s="26">
        <f>IF($G2223="","",ROUND($O2223*$N2223,0))</f>
        <v/>
      </c>
      <c r="Q2223" s="26">
        <f>IF($G2223="","",SUMIFS($P$4:$P$2503,$E$4:$E$2503,$E2223,$Z$4:$Z$2503,"正常"))</f>
        <v/>
      </c>
      <c r="R2223" s="26">
        <f>IF($G2223="","",SUMIFS(费用台账!$I$4:$I$503,费用台账!$C$4:$C$503,$E2223,费用台账!$J$4:$J$503,"是",费用台账!$K$4:$K$503,"正常"))</f>
        <v/>
      </c>
      <c r="S2223" s="28">
        <f>IF($G2223="","",COUNTIFS($E$4:$E$2503,$E2223,$Z$4:$Z$2503,"正常",$Y$4:$Y$2503,"待补价"))</f>
        <v/>
      </c>
      <c r="T2223" s="26">
        <f>IF($G2223="","",SUMIFS($P$4:$P$2503,$E$4:$E$2503,$E2223,$Z$4:$Z$2503,"正常",$A$4:$A$2503,"&lt;="&amp;$A2223))</f>
        <v/>
      </c>
      <c r="U2223" s="26">
        <f>IF($G2223="","",IF(OR($S2223&gt;0,$Q2223=0,$R2223=0,$Z2223&lt;&gt;"正常"),0,ROUND($T2223/$Q2223*$R2223,0)-ROUND(($T2223-$P2223)/$Q2223*$R2223,0)))</f>
        <v/>
      </c>
      <c r="V2223" s="26">
        <f>IF($G2223="","",ROUND($P2223+$U2223,0))</f>
        <v/>
      </c>
      <c r="W2223" s="26">
        <f>IF($G2223="","",IF(N($K2223)=0,0,ROUND($V2223/$K2223,2)))</f>
        <v/>
      </c>
      <c r="X2223" s="17" t="n"/>
      <c r="Y2223" s="17" t="n"/>
      <c r="Z2223" s="17" t="n"/>
      <c r="AA2223" s="17" t="n"/>
      <c r="AB2223" s="17" t="n"/>
      <c r="AC2223" s="24">
        <f>IF($G2223="","",IF($H2223="※编码不在物料档案里","※物料编码不在档案里",IF(N($K2223)&lt;=0,"※入库数量要大于 0",IF(AND($C2223&lt;&gt;"",$C2223&lt;=结账锁),"※日期早于已结账截止日，不能再录",IF(AND($L2223=0,$X2223="正常"),"※没填单价，价格状态请选「待补价」",IF(AND($S2223&gt;0,$R2223&gt;0),"△本批有 "&amp;$S2223&amp;" 行没单价，整批运费先挂账没摊",IF(AND($B2223&lt;&gt;"",COUNTIF($B$4:$B$2503,$B2223)&gt;1),"※入库单号重复","")))))))</f>
        <v/>
      </c>
    </row>
    <row r="2224">
      <c r="A2224" s="24">
        <f>IF($G2224="","",COUNTA($G$4:$G2224))</f>
        <v/>
      </c>
      <c r="B2224" s="17" t="n"/>
      <c r="C2224" s="30" t="n"/>
      <c r="D2224" s="17" t="n"/>
      <c r="E2224" s="17" t="n"/>
      <c r="F2224" s="17" t="n"/>
      <c r="G2224" s="17" t="n"/>
      <c r="H2224" s="24">
        <f>IF($G2224="","",IFERROR(VLOOKUP($G2224,物料档案!$A$4:$P$1203,3,0),"※编码不在物料档案里"))</f>
        <v/>
      </c>
      <c r="I2224" s="24">
        <f>IF($G2224="","",IFERROR(VLOOKUP($G2224,物料档案!$A$4:$P$1203,4,0),"※编码不在物料档案里"))</f>
        <v/>
      </c>
      <c r="J2224" s="24">
        <f>IF($G2224="","",IFERROR(VLOOKUP($G2224,物料档案!$A$4:$P$1203,5,0),"※编码不在物料档案里"))</f>
        <v/>
      </c>
      <c r="K2224" s="23" t="n"/>
      <c r="L2224" s="31" t="n"/>
      <c r="M2224" s="24">
        <f>IF($G2224="","",IF($D2224="A国内","CNY","TZS"))</f>
        <v/>
      </c>
      <c r="N2224" s="28">
        <f>IF($G2224="","",IF($D2224="A国内",汇率,1))</f>
        <v/>
      </c>
      <c r="O2224" s="25">
        <f>IF($G2224="","",ROUND(N($K2224)*N($L2224),2))</f>
        <v/>
      </c>
      <c r="P2224" s="26">
        <f>IF($G2224="","",ROUND($O2224*$N2224,0))</f>
        <v/>
      </c>
      <c r="Q2224" s="26">
        <f>IF($G2224="","",SUMIFS($P$4:$P$2503,$E$4:$E$2503,$E2224,$Z$4:$Z$2503,"正常"))</f>
        <v/>
      </c>
      <c r="R2224" s="26">
        <f>IF($G2224="","",SUMIFS(费用台账!$I$4:$I$503,费用台账!$C$4:$C$503,$E2224,费用台账!$J$4:$J$503,"是",费用台账!$K$4:$K$503,"正常"))</f>
        <v/>
      </c>
      <c r="S2224" s="28">
        <f>IF($G2224="","",COUNTIFS($E$4:$E$2503,$E2224,$Z$4:$Z$2503,"正常",$Y$4:$Y$2503,"待补价"))</f>
        <v/>
      </c>
      <c r="T2224" s="26">
        <f>IF($G2224="","",SUMIFS($P$4:$P$2503,$E$4:$E$2503,$E2224,$Z$4:$Z$2503,"正常",$A$4:$A$2503,"&lt;="&amp;$A2224))</f>
        <v/>
      </c>
      <c r="U2224" s="26">
        <f>IF($G2224="","",IF(OR($S2224&gt;0,$Q2224=0,$R2224=0,$Z2224&lt;&gt;"正常"),0,ROUND($T2224/$Q2224*$R2224,0)-ROUND(($T2224-$P2224)/$Q2224*$R2224,0)))</f>
        <v/>
      </c>
      <c r="V2224" s="26">
        <f>IF($G2224="","",ROUND($P2224+$U2224,0))</f>
        <v/>
      </c>
      <c r="W2224" s="26">
        <f>IF($G2224="","",IF(N($K2224)=0,0,ROUND($V2224/$K2224,2)))</f>
        <v/>
      </c>
      <c r="X2224" s="17" t="n"/>
      <c r="Y2224" s="17" t="n"/>
      <c r="Z2224" s="17" t="n"/>
      <c r="AA2224" s="17" t="n"/>
      <c r="AB2224" s="17" t="n"/>
      <c r="AC2224" s="24">
        <f>IF($G2224="","",IF($H2224="※编码不在物料档案里","※物料编码不在档案里",IF(N($K2224)&lt;=0,"※入库数量要大于 0",IF(AND($C2224&lt;&gt;"",$C2224&lt;=结账锁),"※日期早于已结账截止日，不能再录",IF(AND($L2224=0,$X2224="正常"),"※没填单价，价格状态请选「待补价」",IF(AND($S2224&gt;0,$R2224&gt;0),"△本批有 "&amp;$S2224&amp;" 行没单价，整批运费先挂账没摊",IF(AND($B2224&lt;&gt;"",COUNTIF($B$4:$B$2503,$B2224)&gt;1),"※入库单号重复","")))))))</f>
        <v/>
      </c>
    </row>
    <row r="2225">
      <c r="A2225" s="24">
        <f>IF($G2225="","",COUNTA($G$4:$G2225))</f>
        <v/>
      </c>
      <c r="B2225" s="17" t="n"/>
      <c r="C2225" s="30" t="n"/>
      <c r="D2225" s="17" t="n"/>
      <c r="E2225" s="17" t="n"/>
      <c r="F2225" s="17" t="n"/>
      <c r="G2225" s="17" t="n"/>
      <c r="H2225" s="24">
        <f>IF($G2225="","",IFERROR(VLOOKUP($G2225,物料档案!$A$4:$P$1203,3,0),"※编码不在物料档案里"))</f>
        <v/>
      </c>
      <c r="I2225" s="24">
        <f>IF($G2225="","",IFERROR(VLOOKUP($G2225,物料档案!$A$4:$P$1203,4,0),"※编码不在物料档案里"))</f>
        <v/>
      </c>
      <c r="J2225" s="24">
        <f>IF($G2225="","",IFERROR(VLOOKUP($G2225,物料档案!$A$4:$P$1203,5,0),"※编码不在物料档案里"))</f>
        <v/>
      </c>
      <c r="K2225" s="23" t="n"/>
      <c r="L2225" s="31" t="n"/>
      <c r="M2225" s="24">
        <f>IF($G2225="","",IF($D2225="A国内","CNY","TZS"))</f>
        <v/>
      </c>
      <c r="N2225" s="28">
        <f>IF($G2225="","",IF($D2225="A国内",汇率,1))</f>
        <v/>
      </c>
      <c r="O2225" s="25">
        <f>IF($G2225="","",ROUND(N($K2225)*N($L2225),2))</f>
        <v/>
      </c>
      <c r="P2225" s="26">
        <f>IF($G2225="","",ROUND($O2225*$N2225,0))</f>
        <v/>
      </c>
      <c r="Q2225" s="26">
        <f>IF($G2225="","",SUMIFS($P$4:$P$2503,$E$4:$E$2503,$E2225,$Z$4:$Z$2503,"正常"))</f>
        <v/>
      </c>
      <c r="R2225" s="26">
        <f>IF($G2225="","",SUMIFS(费用台账!$I$4:$I$503,费用台账!$C$4:$C$503,$E2225,费用台账!$J$4:$J$503,"是",费用台账!$K$4:$K$503,"正常"))</f>
        <v/>
      </c>
      <c r="S2225" s="28">
        <f>IF($G2225="","",COUNTIFS($E$4:$E$2503,$E2225,$Z$4:$Z$2503,"正常",$Y$4:$Y$2503,"待补价"))</f>
        <v/>
      </c>
      <c r="T2225" s="26">
        <f>IF($G2225="","",SUMIFS($P$4:$P$2503,$E$4:$E$2503,$E2225,$Z$4:$Z$2503,"正常",$A$4:$A$2503,"&lt;="&amp;$A2225))</f>
        <v/>
      </c>
      <c r="U2225" s="26">
        <f>IF($G2225="","",IF(OR($S2225&gt;0,$Q2225=0,$R2225=0,$Z2225&lt;&gt;"正常"),0,ROUND($T2225/$Q2225*$R2225,0)-ROUND(($T2225-$P2225)/$Q2225*$R2225,0)))</f>
        <v/>
      </c>
      <c r="V2225" s="26">
        <f>IF($G2225="","",ROUND($P2225+$U2225,0))</f>
        <v/>
      </c>
      <c r="W2225" s="26">
        <f>IF($G2225="","",IF(N($K2225)=0,0,ROUND($V2225/$K2225,2)))</f>
        <v/>
      </c>
      <c r="X2225" s="17" t="n"/>
      <c r="Y2225" s="17" t="n"/>
      <c r="Z2225" s="17" t="n"/>
      <c r="AA2225" s="17" t="n"/>
      <c r="AB2225" s="17" t="n"/>
      <c r="AC2225" s="24">
        <f>IF($G2225="","",IF($H2225="※编码不在物料档案里","※物料编码不在档案里",IF(N($K2225)&lt;=0,"※入库数量要大于 0",IF(AND($C2225&lt;&gt;"",$C2225&lt;=结账锁),"※日期早于已结账截止日，不能再录",IF(AND($L2225=0,$X2225="正常"),"※没填单价，价格状态请选「待补价」",IF(AND($S2225&gt;0,$R2225&gt;0),"△本批有 "&amp;$S2225&amp;" 行没单价，整批运费先挂账没摊",IF(AND($B2225&lt;&gt;"",COUNTIF($B$4:$B$2503,$B2225)&gt;1),"※入库单号重复","")))))))</f>
        <v/>
      </c>
    </row>
    <row r="2226">
      <c r="A2226" s="24">
        <f>IF($G2226="","",COUNTA($G$4:$G2226))</f>
        <v/>
      </c>
      <c r="B2226" s="17" t="n"/>
      <c r="C2226" s="30" t="n"/>
      <c r="D2226" s="17" t="n"/>
      <c r="E2226" s="17" t="n"/>
      <c r="F2226" s="17" t="n"/>
      <c r="G2226" s="17" t="n"/>
      <c r="H2226" s="24">
        <f>IF($G2226="","",IFERROR(VLOOKUP($G2226,物料档案!$A$4:$P$1203,3,0),"※编码不在物料档案里"))</f>
        <v/>
      </c>
      <c r="I2226" s="24">
        <f>IF($G2226="","",IFERROR(VLOOKUP($G2226,物料档案!$A$4:$P$1203,4,0),"※编码不在物料档案里"))</f>
        <v/>
      </c>
      <c r="J2226" s="24">
        <f>IF($G2226="","",IFERROR(VLOOKUP($G2226,物料档案!$A$4:$P$1203,5,0),"※编码不在物料档案里"))</f>
        <v/>
      </c>
      <c r="K2226" s="23" t="n"/>
      <c r="L2226" s="31" t="n"/>
      <c r="M2226" s="24">
        <f>IF($G2226="","",IF($D2226="A国内","CNY","TZS"))</f>
        <v/>
      </c>
      <c r="N2226" s="28">
        <f>IF($G2226="","",IF($D2226="A国内",汇率,1))</f>
        <v/>
      </c>
      <c r="O2226" s="25">
        <f>IF($G2226="","",ROUND(N($K2226)*N($L2226),2))</f>
        <v/>
      </c>
      <c r="P2226" s="26">
        <f>IF($G2226="","",ROUND($O2226*$N2226,0))</f>
        <v/>
      </c>
      <c r="Q2226" s="26">
        <f>IF($G2226="","",SUMIFS($P$4:$P$2503,$E$4:$E$2503,$E2226,$Z$4:$Z$2503,"正常"))</f>
        <v/>
      </c>
      <c r="R2226" s="26">
        <f>IF($G2226="","",SUMIFS(费用台账!$I$4:$I$503,费用台账!$C$4:$C$503,$E2226,费用台账!$J$4:$J$503,"是",费用台账!$K$4:$K$503,"正常"))</f>
        <v/>
      </c>
      <c r="S2226" s="28">
        <f>IF($G2226="","",COUNTIFS($E$4:$E$2503,$E2226,$Z$4:$Z$2503,"正常",$Y$4:$Y$2503,"待补价"))</f>
        <v/>
      </c>
      <c r="T2226" s="26">
        <f>IF($G2226="","",SUMIFS($P$4:$P$2503,$E$4:$E$2503,$E2226,$Z$4:$Z$2503,"正常",$A$4:$A$2503,"&lt;="&amp;$A2226))</f>
        <v/>
      </c>
      <c r="U2226" s="26">
        <f>IF($G2226="","",IF(OR($S2226&gt;0,$Q2226=0,$R2226=0,$Z2226&lt;&gt;"正常"),0,ROUND($T2226/$Q2226*$R2226,0)-ROUND(($T2226-$P2226)/$Q2226*$R2226,0)))</f>
        <v/>
      </c>
      <c r="V2226" s="26">
        <f>IF($G2226="","",ROUND($P2226+$U2226,0))</f>
        <v/>
      </c>
      <c r="W2226" s="26">
        <f>IF($G2226="","",IF(N($K2226)=0,0,ROUND($V2226/$K2226,2)))</f>
        <v/>
      </c>
      <c r="X2226" s="17" t="n"/>
      <c r="Y2226" s="17" t="n"/>
      <c r="Z2226" s="17" t="n"/>
      <c r="AA2226" s="17" t="n"/>
      <c r="AB2226" s="17" t="n"/>
      <c r="AC2226" s="24">
        <f>IF($G2226="","",IF($H2226="※编码不在物料档案里","※物料编码不在档案里",IF(N($K2226)&lt;=0,"※入库数量要大于 0",IF(AND($C2226&lt;&gt;"",$C2226&lt;=结账锁),"※日期早于已结账截止日，不能再录",IF(AND($L2226=0,$X2226="正常"),"※没填单价，价格状态请选「待补价」",IF(AND($S2226&gt;0,$R2226&gt;0),"△本批有 "&amp;$S2226&amp;" 行没单价，整批运费先挂账没摊",IF(AND($B2226&lt;&gt;"",COUNTIF($B$4:$B$2503,$B2226)&gt;1),"※入库单号重复","")))))))</f>
        <v/>
      </c>
    </row>
    <row r="2227">
      <c r="A2227" s="24">
        <f>IF($G2227="","",COUNTA($G$4:$G2227))</f>
        <v/>
      </c>
      <c r="B2227" s="17" t="n"/>
      <c r="C2227" s="30" t="n"/>
      <c r="D2227" s="17" t="n"/>
      <c r="E2227" s="17" t="n"/>
      <c r="F2227" s="17" t="n"/>
      <c r="G2227" s="17" t="n"/>
      <c r="H2227" s="24">
        <f>IF($G2227="","",IFERROR(VLOOKUP($G2227,物料档案!$A$4:$P$1203,3,0),"※编码不在物料档案里"))</f>
        <v/>
      </c>
      <c r="I2227" s="24">
        <f>IF($G2227="","",IFERROR(VLOOKUP($G2227,物料档案!$A$4:$P$1203,4,0),"※编码不在物料档案里"))</f>
        <v/>
      </c>
      <c r="J2227" s="24">
        <f>IF($G2227="","",IFERROR(VLOOKUP($G2227,物料档案!$A$4:$P$1203,5,0),"※编码不在物料档案里"))</f>
        <v/>
      </c>
      <c r="K2227" s="23" t="n"/>
      <c r="L2227" s="31" t="n"/>
      <c r="M2227" s="24">
        <f>IF($G2227="","",IF($D2227="A国内","CNY","TZS"))</f>
        <v/>
      </c>
      <c r="N2227" s="28">
        <f>IF($G2227="","",IF($D2227="A国内",汇率,1))</f>
        <v/>
      </c>
      <c r="O2227" s="25">
        <f>IF($G2227="","",ROUND(N($K2227)*N($L2227),2))</f>
        <v/>
      </c>
      <c r="P2227" s="26">
        <f>IF($G2227="","",ROUND($O2227*$N2227,0))</f>
        <v/>
      </c>
      <c r="Q2227" s="26">
        <f>IF($G2227="","",SUMIFS($P$4:$P$2503,$E$4:$E$2503,$E2227,$Z$4:$Z$2503,"正常"))</f>
        <v/>
      </c>
      <c r="R2227" s="26">
        <f>IF($G2227="","",SUMIFS(费用台账!$I$4:$I$503,费用台账!$C$4:$C$503,$E2227,费用台账!$J$4:$J$503,"是",费用台账!$K$4:$K$503,"正常"))</f>
        <v/>
      </c>
      <c r="S2227" s="28">
        <f>IF($G2227="","",COUNTIFS($E$4:$E$2503,$E2227,$Z$4:$Z$2503,"正常",$Y$4:$Y$2503,"待补价"))</f>
        <v/>
      </c>
      <c r="T2227" s="26">
        <f>IF($G2227="","",SUMIFS($P$4:$P$2503,$E$4:$E$2503,$E2227,$Z$4:$Z$2503,"正常",$A$4:$A$2503,"&lt;="&amp;$A2227))</f>
        <v/>
      </c>
      <c r="U2227" s="26">
        <f>IF($G2227="","",IF(OR($S2227&gt;0,$Q2227=0,$R2227=0,$Z2227&lt;&gt;"正常"),0,ROUND($T2227/$Q2227*$R2227,0)-ROUND(($T2227-$P2227)/$Q2227*$R2227,0)))</f>
        <v/>
      </c>
      <c r="V2227" s="26">
        <f>IF($G2227="","",ROUND($P2227+$U2227,0))</f>
        <v/>
      </c>
      <c r="W2227" s="26">
        <f>IF($G2227="","",IF(N($K2227)=0,0,ROUND($V2227/$K2227,2)))</f>
        <v/>
      </c>
      <c r="X2227" s="17" t="n"/>
      <c r="Y2227" s="17" t="n"/>
      <c r="Z2227" s="17" t="n"/>
      <c r="AA2227" s="17" t="n"/>
      <c r="AB2227" s="17" t="n"/>
      <c r="AC2227" s="24">
        <f>IF($G2227="","",IF($H2227="※编码不在物料档案里","※物料编码不在档案里",IF(N($K2227)&lt;=0,"※入库数量要大于 0",IF(AND($C2227&lt;&gt;"",$C2227&lt;=结账锁),"※日期早于已结账截止日，不能再录",IF(AND($L2227=0,$X2227="正常"),"※没填单价，价格状态请选「待补价」",IF(AND($S2227&gt;0,$R2227&gt;0),"△本批有 "&amp;$S2227&amp;" 行没单价，整批运费先挂账没摊",IF(AND($B2227&lt;&gt;"",COUNTIF($B$4:$B$2503,$B2227)&gt;1),"※入库单号重复","")))))))</f>
        <v/>
      </c>
    </row>
    <row r="2228">
      <c r="A2228" s="24">
        <f>IF($G2228="","",COUNTA($G$4:$G2228))</f>
        <v/>
      </c>
      <c r="B2228" s="17" t="n"/>
      <c r="C2228" s="30" t="n"/>
      <c r="D2228" s="17" t="n"/>
      <c r="E2228" s="17" t="n"/>
      <c r="F2228" s="17" t="n"/>
      <c r="G2228" s="17" t="n"/>
      <c r="H2228" s="24">
        <f>IF($G2228="","",IFERROR(VLOOKUP($G2228,物料档案!$A$4:$P$1203,3,0),"※编码不在物料档案里"))</f>
        <v/>
      </c>
      <c r="I2228" s="24">
        <f>IF($G2228="","",IFERROR(VLOOKUP($G2228,物料档案!$A$4:$P$1203,4,0),"※编码不在物料档案里"))</f>
        <v/>
      </c>
      <c r="J2228" s="24">
        <f>IF($G2228="","",IFERROR(VLOOKUP($G2228,物料档案!$A$4:$P$1203,5,0),"※编码不在物料档案里"))</f>
        <v/>
      </c>
      <c r="K2228" s="23" t="n"/>
      <c r="L2228" s="31" t="n"/>
      <c r="M2228" s="24">
        <f>IF($G2228="","",IF($D2228="A国内","CNY","TZS"))</f>
        <v/>
      </c>
      <c r="N2228" s="28">
        <f>IF($G2228="","",IF($D2228="A国内",汇率,1))</f>
        <v/>
      </c>
      <c r="O2228" s="25">
        <f>IF($G2228="","",ROUND(N($K2228)*N($L2228),2))</f>
        <v/>
      </c>
      <c r="P2228" s="26">
        <f>IF($G2228="","",ROUND($O2228*$N2228,0))</f>
        <v/>
      </c>
      <c r="Q2228" s="26">
        <f>IF($G2228="","",SUMIFS($P$4:$P$2503,$E$4:$E$2503,$E2228,$Z$4:$Z$2503,"正常"))</f>
        <v/>
      </c>
      <c r="R2228" s="26">
        <f>IF($G2228="","",SUMIFS(费用台账!$I$4:$I$503,费用台账!$C$4:$C$503,$E2228,费用台账!$J$4:$J$503,"是",费用台账!$K$4:$K$503,"正常"))</f>
        <v/>
      </c>
      <c r="S2228" s="28">
        <f>IF($G2228="","",COUNTIFS($E$4:$E$2503,$E2228,$Z$4:$Z$2503,"正常",$Y$4:$Y$2503,"待补价"))</f>
        <v/>
      </c>
      <c r="T2228" s="26">
        <f>IF($G2228="","",SUMIFS($P$4:$P$2503,$E$4:$E$2503,$E2228,$Z$4:$Z$2503,"正常",$A$4:$A$2503,"&lt;="&amp;$A2228))</f>
        <v/>
      </c>
      <c r="U2228" s="26">
        <f>IF($G2228="","",IF(OR($S2228&gt;0,$Q2228=0,$R2228=0,$Z2228&lt;&gt;"正常"),0,ROUND($T2228/$Q2228*$R2228,0)-ROUND(($T2228-$P2228)/$Q2228*$R2228,0)))</f>
        <v/>
      </c>
      <c r="V2228" s="26">
        <f>IF($G2228="","",ROUND($P2228+$U2228,0))</f>
        <v/>
      </c>
      <c r="W2228" s="26">
        <f>IF($G2228="","",IF(N($K2228)=0,0,ROUND($V2228/$K2228,2)))</f>
        <v/>
      </c>
      <c r="X2228" s="17" t="n"/>
      <c r="Y2228" s="17" t="n"/>
      <c r="Z2228" s="17" t="n"/>
      <c r="AA2228" s="17" t="n"/>
      <c r="AB2228" s="17" t="n"/>
      <c r="AC2228" s="24">
        <f>IF($G2228="","",IF($H2228="※编码不在物料档案里","※物料编码不在档案里",IF(N($K2228)&lt;=0,"※入库数量要大于 0",IF(AND($C2228&lt;&gt;"",$C2228&lt;=结账锁),"※日期早于已结账截止日，不能再录",IF(AND($L2228=0,$X2228="正常"),"※没填单价，价格状态请选「待补价」",IF(AND($S2228&gt;0,$R2228&gt;0),"△本批有 "&amp;$S2228&amp;" 行没单价，整批运费先挂账没摊",IF(AND($B2228&lt;&gt;"",COUNTIF($B$4:$B$2503,$B2228)&gt;1),"※入库单号重复","")))))))</f>
        <v/>
      </c>
    </row>
    <row r="2229">
      <c r="A2229" s="24">
        <f>IF($G2229="","",COUNTA($G$4:$G2229))</f>
        <v/>
      </c>
      <c r="B2229" s="17" t="n"/>
      <c r="C2229" s="30" t="n"/>
      <c r="D2229" s="17" t="n"/>
      <c r="E2229" s="17" t="n"/>
      <c r="F2229" s="17" t="n"/>
      <c r="G2229" s="17" t="n"/>
      <c r="H2229" s="24">
        <f>IF($G2229="","",IFERROR(VLOOKUP($G2229,物料档案!$A$4:$P$1203,3,0),"※编码不在物料档案里"))</f>
        <v/>
      </c>
      <c r="I2229" s="24">
        <f>IF($G2229="","",IFERROR(VLOOKUP($G2229,物料档案!$A$4:$P$1203,4,0),"※编码不在物料档案里"))</f>
        <v/>
      </c>
      <c r="J2229" s="24">
        <f>IF($G2229="","",IFERROR(VLOOKUP($G2229,物料档案!$A$4:$P$1203,5,0),"※编码不在物料档案里"))</f>
        <v/>
      </c>
      <c r="K2229" s="23" t="n"/>
      <c r="L2229" s="31" t="n"/>
      <c r="M2229" s="24">
        <f>IF($G2229="","",IF($D2229="A国内","CNY","TZS"))</f>
        <v/>
      </c>
      <c r="N2229" s="28">
        <f>IF($G2229="","",IF($D2229="A国内",汇率,1))</f>
        <v/>
      </c>
      <c r="O2229" s="25">
        <f>IF($G2229="","",ROUND(N($K2229)*N($L2229),2))</f>
        <v/>
      </c>
      <c r="P2229" s="26">
        <f>IF($G2229="","",ROUND($O2229*$N2229,0))</f>
        <v/>
      </c>
      <c r="Q2229" s="26">
        <f>IF($G2229="","",SUMIFS($P$4:$P$2503,$E$4:$E$2503,$E2229,$Z$4:$Z$2503,"正常"))</f>
        <v/>
      </c>
      <c r="R2229" s="26">
        <f>IF($G2229="","",SUMIFS(费用台账!$I$4:$I$503,费用台账!$C$4:$C$503,$E2229,费用台账!$J$4:$J$503,"是",费用台账!$K$4:$K$503,"正常"))</f>
        <v/>
      </c>
      <c r="S2229" s="28">
        <f>IF($G2229="","",COUNTIFS($E$4:$E$2503,$E2229,$Z$4:$Z$2503,"正常",$Y$4:$Y$2503,"待补价"))</f>
        <v/>
      </c>
      <c r="T2229" s="26">
        <f>IF($G2229="","",SUMIFS($P$4:$P$2503,$E$4:$E$2503,$E2229,$Z$4:$Z$2503,"正常",$A$4:$A$2503,"&lt;="&amp;$A2229))</f>
        <v/>
      </c>
      <c r="U2229" s="26">
        <f>IF($G2229="","",IF(OR($S2229&gt;0,$Q2229=0,$R2229=0,$Z2229&lt;&gt;"正常"),0,ROUND($T2229/$Q2229*$R2229,0)-ROUND(($T2229-$P2229)/$Q2229*$R2229,0)))</f>
        <v/>
      </c>
      <c r="V2229" s="26">
        <f>IF($G2229="","",ROUND($P2229+$U2229,0))</f>
        <v/>
      </c>
      <c r="W2229" s="26">
        <f>IF($G2229="","",IF(N($K2229)=0,0,ROUND($V2229/$K2229,2)))</f>
        <v/>
      </c>
      <c r="X2229" s="17" t="n"/>
      <c r="Y2229" s="17" t="n"/>
      <c r="Z2229" s="17" t="n"/>
      <c r="AA2229" s="17" t="n"/>
      <c r="AB2229" s="17" t="n"/>
      <c r="AC2229" s="24">
        <f>IF($G2229="","",IF($H2229="※编码不在物料档案里","※物料编码不在档案里",IF(N($K2229)&lt;=0,"※入库数量要大于 0",IF(AND($C2229&lt;&gt;"",$C2229&lt;=结账锁),"※日期早于已结账截止日，不能再录",IF(AND($L2229=0,$X2229="正常"),"※没填单价，价格状态请选「待补价」",IF(AND($S2229&gt;0,$R2229&gt;0),"△本批有 "&amp;$S2229&amp;" 行没单价，整批运费先挂账没摊",IF(AND($B2229&lt;&gt;"",COUNTIF($B$4:$B$2503,$B2229)&gt;1),"※入库单号重复","")))))))</f>
        <v/>
      </c>
    </row>
    <row r="2230">
      <c r="A2230" s="24">
        <f>IF($G2230="","",COUNTA($G$4:$G2230))</f>
        <v/>
      </c>
      <c r="B2230" s="17" t="n"/>
      <c r="C2230" s="30" t="n"/>
      <c r="D2230" s="17" t="n"/>
      <c r="E2230" s="17" t="n"/>
      <c r="F2230" s="17" t="n"/>
      <c r="G2230" s="17" t="n"/>
      <c r="H2230" s="24">
        <f>IF($G2230="","",IFERROR(VLOOKUP($G2230,物料档案!$A$4:$P$1203,3,0),"※编码不在物料档案里"))</f>
        <v/>
      </c>
      <c r="I2230" s="24">
        <f>IF($G2230="","",IFERROR(VLOOKUP($G2230,物料档案!$A$4:$P$1203,4,0),"※编码不在物料档案里"))</f>
        <v/>
      </c>
      <c r="J2230" s="24">
        <f>IF($G2230="","",IFERROR(VLOOKUP($G2230,物料档案!$A$4:$P$1203,5,0),"※编码不在物料档案里"))</f>
        <v/>
      </c>
      <c r="K2230" s="23" t="n"/>
      <c r="L2230" s="31" t="n"/>
      <c r="M2230" s="24">
        <f>IF($G2230="","",IF($D2230="A国内","CNY","TZS"))</f>
        <v/>
      </c>
      <c r="N2230" s="28">
        <f>IF($G2230="","",IF($D2230="A国内",汇率,1))</f>
        <v/>
      </c>
      <c r="O2230" s="25">
        <f>IF($G2230="","",ROUND(N($K2230)*N($L2230),2))</f>
        <v/>
      </c>
      <c r="P2230" s="26">
        <f>IF($G2230="","",ROUND($O2230*$N2230,0))</f>
        <v/>
      </c>
      <c r="Q2230" s="26">
        <f>IF($G2230="","",SUMIFS($P$4:$P$2503,$E$4:$E$2503,$E2230,$Z$4:$Z$2503,"正常"))</f>
        <v/>
      </c>
      <c r="R2230" s="26">
        <f>IF($G2230="","",SUMIFS(费用台账!$I$4:$I$503,费用台账!$C$4:$C$503,$E2230,费用台账!$J$4:$J$503,"是",费用台账!$K$4:$K$503,"正常"))</f>
        <v/>
      </c>
      <c r="S2230" s="28">
        <f>IF($G2230="","",COUNTIFS($E$4:$E$2503,$E2230,$Z$4:$Z$2503,"正常",$Y$4:$Y$2503,"待补价"))</f>
        <v/>
      </c>
      <c r="T2230" s="26">
        <f>IF($G2230="","",SUMIFS($P$4:$P$2503,$E$4:$E$2503,$E2230,$Z$4:$Z$2503,"正常",$A$4:$A$2503,"&lt;="&amp;$A2230))</f>
        <v/>
      </c>
      <c r="U2230" s="26">
        <f>IF($G2230="","",IF(OR($S2230&gt;0,$Q2230=0,$R2230=0,$Z2230&lt;&gt;"正常"),0,ROUND($T2230/$Q2230*$R2230,0)-ROUND(($T2230-$P2230)/$Q2230*$R2230,0)))</f>
        <v/>
      </c>
      <c r="V2230" s="26">
        <f>IF($G2230="","",ROUND($P2230+$U2230,0))</f>
        <v/>
      </c>
      <c r="W2230" s="26">
        <f>IF($G2230="","",IF(N($K2230)=0,0,ROUND($V2230/$K2230,2)))</f>
        <v/>
      </c>
      <c r="X2230" s="17" t="n"/>
      <c r="Y2230" s="17" t="n"/>
      <c r="Z2230" s="17" t="n"/>
      <c r="AA2230" s="17" t="n"/>
      <c r="AB2230" s="17" t="n"/>
      <c r="AC2230" s="24">
        <f>IF($G2230="","",IF($H2230="※编码不在物料档案里","※物料编码不在档案里",IF(N($K2230)&lt;=0,"※入库数量要大于 0",IF(AND($C2230&lt;&gt;"",$C2230&lt;=结账锁),"※日期早于已结账截止日，不能再录",IF(AND($L2230=0,$X2230="正常"),"※没填单价，价格状态请选「待补价」",IF(AND($S2230&gt;0,$R2230&gt;0),"△本批有 "&amp;$S2230&amp;" 行没单价，整批运费先挂账没摊",IF(AND($B2230&lt;&gt;"",COUNTIF($B$4:$B$2503,$B2230)&gt;1),"※入库单号重复","")))))))</f>
        <v/>
      </c>
    </row>
    <row r="2231">
      <c r="A2231" s="24">
        <f>IF($G2231="","",COUNTA($G$4:$G2231))</f>
        <v/>
      </c>
      <c r="B2231" s="17" t="n"/>
      <c r="C2231" s="30" t="n"/>
      <c r="D2231" s="17" t="n"/>
      <c r="E2231" s="17" t="n"/>
      <c r="F2231" s="17" t="n"/>
      <c r="G2231" s="17" t="n"/>
      <c r="H2231" s="24">
        <f>IF($G2231="","",IFERROR(VLOOKUP($G2231,物料档案!$A$4:$P$1203,3,0),"※编码不在物料档案里"))</f>
        <v/>
      </c>
      <c r="I2231" s="24">
        <f>IF($G2231="","",IFERROR(VLOOKUP($G2231,物料档案!$A$4:$P$1203,4,0),"※编码不在物料档案里"))</f>
        <v/>
      </c>
      <c r="J2231" s="24">
        <f>IF($G2231="","",IFERROR(VLOOKUP($G2231,物料档案!$A$4:$P$1203,5,0),"※编码不在物料档案里"))</f>
        <v/>
      </c>
      <c r="K2231" s="23" t="n"/>
      <c r="L2231" s="31" t="n"/>
      <c r="M2231" s="24">
        <f>IF($G2231="","",IF($D2231="A国内","CNY","TZS"))</f>
        <v/>
      </c>
      <c r="N2231" s="28">
        <f>IF($G2231="","",IF($D2231="A国内",汇率,1))</f>
        <v/>
      </c>
      <c r="O2231" s="25">
        <f>IF($G2231="","",ROUND(N($K2231)*N($L2231),2))</f>
        <v/>
      </c>
      <c r="P2231" s="26">
        <f>IF($G2231="","",ROUND($O2231*$N2231,0))</f>
        <v/>
      </c>
      <c r="Q2231" s="26">
        <f>IF($G2231="","",SUMIFS($P$4:$P$2503,$E$4:$E$2503,$E2231,$Z$4:$Z$2503,"正常"))</f>
        <v/>
      </c>
      <c r="R2231" s="26">
        <f>IF($G2231="","",SUMIFS(费用台账!$I$4:$I$503,费用台账!$C$4:$C$503,$E2231,费用台账!$J$4:$J$503,"是",费用台账!$K$4:$K$503,"正常"))</f>
        <v/>
      </c>
      <c r="S2231" s="28">
        <f>IF($G2231="","",COUNTIFS($E$4:$E$2503,$E2231,$Z$4:$Z$2503,"正常",$Y$4:$Y$2503,"待补价"))</f>
        <v/>
      </c>
      <c r="T2231" s="26">
        <f>IF($G2231="","",SUMIFS($P$4:$P$2503,$E$4:$E$2503,$E2231,$Z$4:$Z$2503,"正常",$A$4:$A$2503,"&lt;="&amp;$A2231))</f>
        <v/>
      </c>
      <c r="U2231" s="26">
        <f>IF($G2231="","",IF(OR($S2231&gt;0,$Q2231=0,$R2231=0,$Z2231&lt;&gt;"正常"),0,ROUND($T2231/$Q2231*$R2231,0)-ROUND(($T2231-$P2231)/$Q2231*$R2231,0)))</f>
        <v/>
      </c>
      <c r="V2231" s="26">
        <f>IF($G2231="","",ROUND($P2231+$U2231,0))</f>
        <v/>
      </c>
      <c r="W2231" s="26">
        <f>IF($G2231="","",IF(N($K2231)=0,0,ROUND($V2231/$K2231,2)))</f>
        <v/>
      </c>
      <c r="X2231" s="17" t="n"/>
      <c r="Y2231" s="17" t="n"/>
      <c r="Z2231" s="17" t="n"/>
      <c r="AA2231" s="17" t="n"/>
      <c r="AB2231" s="17" t="n"/>
      <c r="AC2231" s="24">
        <f>IF($G2231="","",IF($H2231="※编码不在物料档案里","※物料编码不在档案里",IF(N($K2231)&lt;=0,"※入库数量要大于 0",IF(AND($C2231&lt;&gt;"",$C2231&lt;=结账锁),"※日期早于已结账截止日，不能再录",IF(AND($L2231=0,$X2231="正常"),"※没填单价，价格状态请选「待补价」",IF(AND($S2231&gt;0,$R2231&gt;0),"△本批有 "&amp;$S2231&amp;" 行没单价，整批运费先挂账没摊",IF(AND($B2231&lt;&gt;"",COUNTIF($B$4:$B$2503,$B2231)&gt;1),"※入库单号重复","")))))))</f>
        <v/>
      </c>
    </row>
    <row r="2232">
      <c r="A2232" s="24">
        <f>IF($G2232="","",COUNTA($G$4:$G2232))</f>
        <v/>
      </c>
      <c r="B2232" s="17" t="n"/>
      <c r="C2232" s="30" t="n"/>
      <c r="D2232" s="17" t="n"/>
      <c r="E2232" s="17" t="n"/>
      <c r="F2232" s="17" t="n"/>
      <c r="G2232" s="17" t="n"/>
      <c r="H2232" s="24">
        <f>IF($G2232="","",IFERROR(VLOOKUP($G2232,物料档案!$A$4:$P$1203,3,0),"※编码不在物料档案里"))</f>
        <v/>
      </c>
      <c r="I2232" s="24">
        <f>IF($G2232="","",IFERROR(VLOOKUP($G2232,物料档案!$A$4:$P$1203,4,0),"※编码不在物料档案里"))</f>
        <v/>
      </c>
      <c r="J2232" s="24">
        <f>IF($G2232="","",IFERROR(VLOOKUP($G2232,物料档案!$A$4:$P$1203,5,0),"※编码不在物料档案里"))</f>
        <v/>
      </c>
      <c r="K2232" s="23" t="n"/>
      <c r="L2232" s="31" t="n"/>
      <c r="M2232" s="24">
        <f>IF($G2232="","",IF($D2232="A国内","CNY","TZS"))</f>
        <v/>
      </c>
      <c r="N2232" s="28">
        <f>IF($G2232="","",IF($D2232="A国内",汇率,1))</f>
        <v/>
      </c>
      <c r="O2232" s="25">
        <f>IF($G2232="","",ROUND(N($K2232)*N($L2232),2))</f>
        <v/>
      </c>
      <c r="P2232" s="26">
        <f>IF($G2232="","",ROUND($O2232*$N2232,0))</f>
        <v/>
      </c>
      <c r="Q2232" s="26">
        <f>IF($G2232="","",SUMIFS($P$4:$P$2503,$E$4:$E$2503,$E2232,$Z$4:$Z$2503,"正常"))</f>
        <v/>
      </c>
      <c r="R2232" s="26">
        <f>IF($G2232="","",SUMIFS(费用台账!$I$4:$I$503,费用台账!$C$4:$C$503,$E2232,费用台账!$J$4:$J$503,"是",费用台账!$K$4:$K$503,"正常"))</f>
        <v/>
      </c>
      <c r="S2232" s="28">
        <f>IF($G2232="","",COUNTIFS($E$4:$E$2503,$E2232,$Z$4:$Z$2503,"正常",$Y$4:$Y$2503,"待补价"))</f>
        <v/>
      </c>
      <c r="T2232" s="26">
        <f>IF($G2232="","",SUMIFS($P$4:$P$2503,$E$4:$E$2503,$E2232,$Z$4:$Z$2503,"正常",$A$4:$A$2503,"&lt;="&amp;$A2232))</f>
        <v/>
      </c>
      <c r="U2232" s="26">
        <f>IF($G2232="","",IF(OR($S2232&gt;0,$Q2232=0,$R2232=0,$Z2232&lt;&gt;"正常"),0,ROUND($T2232/$Q2232*$R2232,0)-ROUND(($T2232-$P2232)/$Q2232*$R2232,0)))</f>
        <v/>
      </c>
      <c r="V2232" s="26">
        <f>IF($G2232="","",ROUND($P2232+$U2232,0))</f>
        <v/>
      </c>
      <c r="W2232" s="26">
        <f>IF($G2232="","",IF(N($K2232)=0,0,ROUND($V2232/$K2232,2)))</f>
        <v/>
      </c>
      <c r="X2232" s="17" t="n"/>
      <c r="Y2232" s="17" t="n"/>
      <c r="Z2232" s="17" t="n"/>
      <c r="AA2232" s="17" t="n"/>
      <c r="AB2232" s="17" t="n"/>
      <c r="AC2232" s="24">
        <f>IF($G2232="","",IF($H2232="※编码不在物料档案里","※物料编码不在档案里",IF(N($K2232)&lt;=0,"※入库数量要大于 0",IF(AND($C2232&lt;&gt;"",$C2232&lt;=结账锁),"※日期早于已结账截止日，不能再录",IF(AND($L2232=0,$X2232="正常"),"※没填单价，价格状态请选「待补价」",IF(AND($S2232&gt;0,$R2232&gt;0),"△本批有 "&amp;$S2232&amp;" 行没单价，整批运费先挂账没摊",IF(AND($B2232&lt;&gt;"",COUNTIF($B$4:$B$2503,$B2232)&gt;1),"※入库单号重复","")))))))</f>
        <v/>
      </c>
    </row>
    <row r="2233">
      <c r="A2233" s="24">
        <f>IF($G2233="","",COUNTA($G$4:$G2233))</f>
        <v/>
      </c>
      <c r="B2233" s="17" t="n"/>
      <c r="C2233" s="30" t="n"/>
      <c r="D2233" s="17" t="n"/>
      <c r="E2233" s="17" t="n"/>
      <c r="F2233" s="17" t="n"/>
      <c r="G2233" s="17" t="n"/>
      <c r="H2233" s="24">
        <f>IF($G2233="","",IFERROR(VLOOKUP($G2233,物料档案!$A$4:$P$1203,3,0),"※编码不在物料档案里"))</f>
        <v/>
      </c>
      <c r="I2233" s="24">
        <f>IF($G2233="","",IFERROR(VLOOKUP($G2233,物料档案!$A$4:$P$1203,4,0),"※编码不在物料档案里"))</f>
        <v/>
      </c>
      <c r="J2233" s="24">
        <f>IF($G2233="","",IFERROR(VLOOKUP($G2233,物料档案!$A$4:$P$1203,5,0),"※编码不在物料档案里"))</f>
        <v/>
      </c>
      <c r="K2233" s="23" t="n"/>
      <c r="L2233" s="31" t="n"/>
      <c r="M2233" s="24">
        <f>IF($G2233="","",IF($D2233="A国内","CNY","TZS"))</f>
        <v/>
      </c>
      <c r="N2233" s="28">
        <f>IF($G2233="","",IF($D2233="A国内",汇率,1))</f>
        <v/>
      </c>
      <c r="O2233" s="25">
        <f>IF($G2233="","",ROUND(N($K2233)*N($L2233),2))</f>
        <v/>
      </c>
      <c r="P2233" s="26">
        <f>IF($G2233="","",ROUND($O2233*$N2233,0))</f>
        <v/>
      </c>
      <c r="Q2233" s="26">
        <f>IF($G2233="","",SUMIFS($P$4:$P$2503,$E$4:$E$2503,$E2233,$Z$4:$Z$2503,"正常"))</f>
        <v/>
      </c>
      <c r="R2233" s="26">
        <f>IF($G2233="","",SUMIFS(费用台账!$I$4:$I$503,费用台账!$C$4:$C$503,$E2233,费用台账!$J$4:$J$503,"是",费用台账!$K$4:$K$503,"正常"))</f>
        <v/>
      </c>
      <c r="S2233" s="28">
        <f>IF($G2233="","",COUNTIFS($E$4:$E$2503,$E2233,$Z$4:$Z$2503,"正常",$Y$4:$Y$2503,"待补价"))</f>
        <v/>
      </c>
      <c r="T2233" s="26">
        <f>IF($G2233="","",SUMIFS($P$4:$P$2503,$E$4:$E$2503,$E2233,$Z$4:$Z$2503,"正常",$A$4:$A$2503,"&lt;="&amp;$A2233))</f>
        <v/>
      </c>
      <c r="U2233" s="26">
        <f>IF($G2233="","",IF(OR($S2233&gt;0,$Q2233=0,$R2233=0,$Z2233&lt;&gt;"正常"),0,ROUND($T2233/$Q2233*$R2233,0)-ROUND(($T2233-$P2233)/$Q2233*$R2233,0)))</f>
        <v/>
      </c>
      <c r="V2233" s="26">
        <f>IF($G2233="","",ROUND($P2233+$U2233,0))</f>
        <v/>
      </c>
      <c r="W2233" s="26">
        <f>IF($G2233="","",IF(N($K2233)=0,0,ROUND($V2233/$K2233,2)))</f>
        <v/>
      </c>
      <c r="X2233" s="17" t="n"/>
      <c r="Y2233" s="17" t="n"/>
      <c r="Z2233" s="17" t="n"/>
      <c r="AA2233" s="17" t="n"/>
      <c r="AB2233" s="17" t="n"/>
      <c r="AC2233" s="24">
        <f>IF($G2233="","",IF($H2233="※编码不在物料档案里","※物料编码不在档案里",IF(N($K2233)&lt;=0,"※入库数量要大于 0",IF(AND($C2233&lt;&gt;"",$C2233&lt;=结账锁),"※日期早于已结账截止日，不能再录",IF(AND($L2233=0,$X2233="正常"),"※没填单价，价格状态请选「待补价」",IF(AND($S2233&gt;0,$R2233&gt;0),"△本批有 "&amp;$S2233&amp;" 行没单价，整批运费先挂账没摊",IF(AND($B2233&lt;&gt;"",COUNTIF($B$4:$B$2503,$B2233)&gt;1),"※入库单号重复","")))))))</f>
        <v/>
      </c>
    </row>
    <row r="2234">
      <c r="A2234" s="24">
        <f>IF($G2234="","",COUNTA($G$4:$G2234))</f>
        <v/>
      </c>
      <c r="B2234" s="17" t="n"/>
      <c r="C2234" s="30" t="n"/>
      <c r="D2234" s="17" t="n"/>
      <c r="E2234" s="17" t="n"/>
      <c r="F2234" s="17" t="n"/>
      <c r="G2234" s="17" t="n"/>
      <c r="H2234" s="24">
        <f>IF($G2234="","",IFERROR(VLOOKUP($G2234,物料档案!$A$4:$P$1203,3,0),"※编码不在物料档案里"))</f>
        <v/>
      </c>
      <c r="I2234" s="24">
        <f>IF($G2234="","",IFERROR(VLOOKUP($G2234,物料档案!$A$4:$P$1203,4,0),"※编码不在物料档案里"))</f>
        <v/>
      </c>
      <c r="J2234" s="24">
        <f>IF($G2234="","",IFERROR(VLOOKUP($G2234,物料档案!$A$4:$P$1203,5,0),"※编码不在物料档案里"))</f>
        <v/>
      </c>
      <c r="K2234" s="23" t="n"/>
      <c r="L2234" s="31" t="n"/>
      <c r="M2234" s="24">
        <f>IF($G2234="","",IF($D2234="A国内","CNY","TZS"))</f>
        <v/>
      </c>
      <c r="N2234" s="28">
        <f>IF($G2234="","",IF($D2234="A国内",汇率,1))</f>
        <v/>
      </c>
      <c r="O2234" s="25">
        <f>IF($G2234="","",ROUND(N($K2234)*N($L2234),2))</f>
        <v/>
      </c>
      <c r="P2234" s="26">
        <f>IF($G2234="","",ROUND($O2234*$N2234,0))</f>
        <v/>
      </c>
      <c r="Q2234" s="26">
        <f>IF($G2234="","",SUMIFS($P$4:$P$2503,$E$4:$E$2503,$E2234,$Z$4:$Z$2503,"正常"))</f>
        <v/>
      </c>
      <c r="R2234" s="26">
        <f>IF($G2234="","",SUMIFS(费用台账!$I$4:$I$503,费用台账!$C$4:$C$503,$E2234,费用台账!$J$4:$J$503,"是",费用台账!$K$4:$K$503,"正常"))</f>
        <v/>
      </c>
      <c r="S2234" s="28">
        <f>IF($G2234="","",COUNTIFS($E$4:$E$2503,$E2234,$Z$4:$Z$2503,"正常",$Y$4:$Y$2503,"待补价"))</f>
        <v/>
      </c>
      <c r="T2234" s="26">
        <f>IF($G2234="","",SUMIFS($P$4:$P$2503,$E$4:$E$2503,$E2234,$Z$4:$Z$2503,"正常",$A$4:$A$2503,"&lt;="&amp;$A2234))</f>
        <v/>
      </c>
      <c r="U2234" s="26">
        <f>IF($G2234="","",IF(OR($S2234&gt;0,$Q2234=0,$R2234=0,$Z2234&lt;&gt;"正常"),0,ROUND($T2234/$Q2234*$R2234,0)-ROUND(($T2234-$P2234)/$Q2234*$R2234,0)))</f>
        <v/>
      </c>
      <c r="V2234" s="26">
        <f>IF($G2234="","",ROUND($P2234+$U2234,0))</f>
        <v/>
      </c>
      <c r="W2234" s="26">
        <f>IF($G2234="","",IF(N($K2234)=0,0,ROUND($V2234/$K2234,2)))</f>
        <v/>
      </c>
      <c r="X2234" s="17" t="n"/>
      <c r="Y2234" s="17" t="n"/>
      <c r="Z2234" s="17" t="n"/>
      <c r="AA2234" s="17" t="n"/>
      <c r="AB2234" s="17" t="n"/>
      <c r="AC2234" s="24">
        <f>IF($G2234="","",IF($H2234="※编码不在物料档案里","※物料编码不在档案里",IF(N($K2234)&lt;=0,"※入库数量要大于 0",IF(AND($C2234&lt;&gt;"",$C2234&lt;=结账锁),"※日期早于已结账截止日，不能再录",IF(AND($L2234=0,$X2234="正常"),"※没填单价，价格状态请选「待补价」",IF(AND($S2234&gt;0,$R2234&gt;0),"△本批有 "&amp;$S2234&amp;" 行没单价，整批运费先挂账没摊",IF(AND($B2234&lt;&gt;"",COUNTIF($B$4:$B$2503,$B2234)&gt;1),"※入库单号重复","")))))))</f>
        <v/>
      </c>
    </row>
    <row r="2235">
      <c r="A2235" s="24">
        <f>IF($G2235="","",COUNTA($G$4:$G2235))</f>
        <v/>
      </c>
      <c r="B2235" s="17" t="n"/>
      <c r="C2235" s="30" t="n"/>
      <c r="D2235" s="17" t="n"/>
      <c r="E2235" s="17" t="n"/>
      <c r="F2235" s="17" t="n"/>
      <c r="G2235" s="17" t="n"/>
      <c r="H2235" s="24">
        <f>IF($G2235="","",IFERROR(VLOOKUP($G2235,物料档案!$A$4:$P$1203,3,0),"※编码不在物料档案里"))</f>
        <v/>
      </c>
      <c r="I2235" s="24">
        <f>IF($G2235="","",IFERROR(VLOOKUP($G2235,物料档案!$A$4:$P$1203,4,0),"※编码不在物料档案里"))</f>
        <v/>
      </c>
      <c r="J2235" s="24">
        <f>IF($G2235="","",IFERROR(VLOOKUP($G2235,物料档案!$A$4:$P$1203,5,0),"※编码不在物料档案里"))</f>
        <v/>
      </c>
      <c r="K2235" s="23" t="n"/>
      <c r="L2235" s="31" t="n"/>
      <c r="M2235" s="24">
        <f>IF($G2235="","",IF($D2235="A国内","CNY","TZS"))</f>
        <v/>
      </c>
      <c r="N2235" s="28">
        <f>IF($G2235="","",IF($D2235="A国内",汇率,1))</f>
        <v/>
      </c>
      <c r="O2235" s="25">
        <f>IF($G2235="","",ROUND(N($K2235)*N($L2235),2))</f>
        <v/>
      </c>
      <c r="P2235" s="26">
        <f>IF($G2235="","",ROUND($O2235*$N2235,0))</f>
        <v/>
      </c>
      <c r="Q2235" s="26">
        <f>IF($G2235="","",SUMIFS($P$4:$P$2503,$E$4:$E$2503,$E2235,$Z$4:$Z$2503,"正常"))</f>
        <v/>
      </c>
      <c r="R2235" s="26">
        <f>IF($G2235="","",SUMIFS(费用台账!$I$4:$I$503,费用台账!$C$4:$C$503,$E2235,费用台账!$J$4:$J$503,"是",费用台账!$K$4:$K$503,"正常"))</f>
        <v/>
      </c>
      <c r="S2235" s="28">
        <f>IF($G2235="","",COUNTIFS($E$4:$E$2503,$E2235,$Z$4:$Z$2503,"正常",$Y$4:$Y$2503,"待补价"))</f>
        <v/>
      </c>
      <c r="T2235" s="26">
        <f>IF($G2235="","",SUMIFS($P$4:$P$2503,$E$4:$E$2503,$E2235,$Z$4:$Z$2503,"正常",$A$4:$A$2503,"&lt;="&amp;$A2235))</f>
        <v/>
      </c>
      <c r="U2235" s="26">
        <f>IF($G2235="","",IF(OR($S2235&gt;0,$Q2235=0,$R2235=0,$Z2235&lt;&gt;"正常"),0,ROUND($T2235/$Q2235*$R2235,0)-ROUND(($T2235-$P2235)/$Q2235*$R2235,0)))</f>
        <v/>
      </c>
      <c r="V2235" s="26">
        <f>IF($G2235="","",ROUND($P2235+$U2235,0))</f>
        <v/>
      </c>
      <c r="W2235" s="26">
        <f>IF($G2235="","",IF(N($K2235)=0,0,ROUND($V2235/$K2235,2)))</f>
        <v/>
      </c>
      <c r="X2235" s="17" t="n"/>
      <c r="Y2235" s="17" t="n"/>
      <c r="Z2235" s="17" t="n"/>
      <c r="AA2235" s="17" t="n"/>
      <c r="AB2235" s="17" t="n"/>
      <c r="AC2235" s="24">
        <f>IF($G2235="","",IF($H2235="※编码不在物料档案里","※物料编码不在档案里",IF(N($K2235)&lt;=0,"※入库数量要大于 0",IF(AND($C2235&lt;&gt;"",$C2235&lt;=结账锁),"※日期早于已结账截止日，不能再录",IF(AND($L2235=0,$X2235="正常"),"※没填单价，价格状态请选「待补价」",IF(AND($S2235&gt;0,$R2235&gt;0),"△本批有 "&amp;$S2235&amp;" 行没单价，整批运费先挂账没摊",IF(AND($B2235&lt;&gt;"",COUNTIF($B$4:$B$2503,$B2235)&gt;1),"※入库单号重复","")))))))</f>
        <v/>
      </c>
    </row>
    <row r="2236">
      <c r="A2236" s="24">
        <f>IF($G2236="","",COUNTA($G$4:$G2236))</f>
        <v/>
      </c>
      <c r="B2236" s="17" t="n"/>
      <c r="C2236" s="30" t="n"/>
      <c r="D2236" s="17" t="n"/>
      <c r="E2236" s="17" t="n"/>
      <c r="F2236" s="17" t="n"/>
      <c r="G2236" s="17" t="n"/>
      <c r="H2236" s="24">
        <f>IF($G2236="","",IFERROR(VLOOKUP($G2236,物料档案!$A$4:$P$1203,3,0),"※编码不在物料档案里"))</f>
        <v/>
      </c>
      <c r="I2236" s="24">
        <f>IF($G2236="","",IFERROR(VLOOKUP($G2236,物料档案!$A$4:$P$1203,4,0),"※编码不在物料档案里"))</f>
        <v/>
      </c>
      <c r="J2236" s="24">
        <f>IF($G2236="","",IFERROR(VLOOKUP($G2236,物料档案!$A$4:$P$1203,5,0),"※编码不在物料档案里"))</f>
        <v/>
      </c>
      <c r="K2236" s="23" t="n"/>
      <c r="L2236" s="31" t="n"/>
      <c r="M2236" s="24">
        <f>IF($G2236="","",IF($D2236="A国内","CNY","TZS"))</f>
        <v/>
      </c>
      <c r="N2236" s="28">
        <f>IF($G2236="","",IF($D2236="A国内",汇率,1))</f>
        <v/>
      </c>
      <c r="O2236" s="25">
        <f>IF($G2236="","",ROUND(N($K2236)*N($L2236),2))</f>
        <v/>
      </c>
      <c r="P2236" s="26">
        <f>IF($G2236="","",ROUND($O2236*$N2236,0))</f>
        <v/>
      </c>
      <c r="Q2236" s="26">
        <f>IF($G2236="","",SUMIFS($P$4:$P$2503,$E$4:$E$2503,$E2236,$Z$4:$Z$2503,"正常"))</f>
        <v/>
      </c>
      <c r="R2236" s="26">
        <f>IF($G2236="","",SUMIFS(费用台账!$I$4:$I$503,费用台账!$C$4:$C$503,$E2236,费用台账!$J$4:$J$503,"是",费用台账!$K$4:$K$503,"正常"))</f>
        <v/>
      </c>
      <c r="S2236" s="28">
        <f>IF($G2236="","",COUNTIFS($E$4:$E$2503,$E2236,$Z$4:$Z$2503,"正常",$Y$4:$Y$2503,"待补价"))</f>
        <v/>
      </c>
      <c r="T2236" s="26">
        <f>IF($G2236="","",SUMIFS($P$4:$P$2503,$E$4:$E$2503,$E2236,$Z$4:$Z$2503,"正常",$A$4:$A$2503,"&lt;="&amp;$A2236))</f>
        <v/>
      </c>
      <c r="U2236" s="26">
        <f>IF($G2236="","",IF(OR($S2236&gt;0,$Q2236=0,$R2236=0,$Z2236&lt;&gt;"正常"),0,ROUND($T2236/$Q2236*$R2236,0)-ROUND(($T2236-$P2236)/$Q2236*$R2236,0)))</f>
        <v/>
      </c>
      <c r="V2236" s="26">
        <f>IF($G2236="","",ROUND($P2236+$U2236,0))</f>
        <v/>
      </c>
      <c r="W2236" s="26">
        <f>IF($G2236="","",IF(N($K2236)=0,0,ROUND($V2236/$K2236,2)))</f>
        <v/>
      </c>
      <c r="X2236" s="17" t="n"/>
      <c r="Y2236" s="17" t="n"/>
      <c r="Z2236" s="17" t="n"/>
      <c r="AA2236" s="17" t="n"/>
      <c r="AB2236" s="17" t="n"/>
      <c r="AC2236" s="24">
        <f>IF($G2236="","",IF($H2236="※编码不在物料档案里","※物料编码不在档案里",IF(N($K2236)&lt;=0,"※入库数量要大于 0",IF(AND($C2236&lt;&gt;"",$C2236&lt;=结账锁),"※日期早于已结账截止日，不能再录",IF(AND($L2236=0,$X2236="正常"),"※没填单价，价格状态请选「待补价」",IF(AND($S2236&gt;0,$R2236&gt;0),"△本批有 "&amp;$S2236&amp;" 行没单价，整批运费先挂账没摊",IF(AND($B2236&lt;&gt;"",COUNTIF($B$4:$B$2503,$B2236)&gt;1),"※入库单号重复","")))))))</f>
        <v/>
      </c>
    </row>
    <row r="2237">
      <c r="A2237" s="24">
        <f>IF($G2237="","",COUNTA($G$4:$G2237))</f>
        <v/>
      </c>
      <c r="B2237" s="17" t="n"/>
      <c r="C2237" s="30" t="n"/>
      <c r="D2237" s="17" t="n"/>
      <c r="E2237" s="17" t="n"/>
      <c r="F2237" s="17" t="n"/>
      <c r="G2237" s="17" t="n"/>
      <c r="H2237" s="24">
        <f>IF($G2237="","",IFERROR(VLOOKUP($G2237,物料档案!$A$4:$P$1203,3,0),"※编码不在物料档案里"))</f>
        <v/>
      </c>
      <c r="I2237" s="24">
        <f>IF($G2237="","",IFERROR(VLOOKUP($G2237,物料档案!$A$4:$P$1203,4,0),"※编码不在物料档案里"))</f>
        <v/>
      </c>
      <c r="J2237" s="24">
        <f>IF($G2237="","",IFERROR(VLOOKUP($G2237,物料档案!$A$4:$P$1203,5,0),"※编码不在物料档案里"))</f>
        <v/>
      </c>
      <c r="K2237" s="23" t="n"/>
      <c r="L2237" s="31" t="n"/>
      <c r="M2237" s="24">
        <f>IF($G2237="","",IF($D2237="A国内","CNY","TZS"))</f>
        <v/>
      </c>
      <c r="N2237" s="28">
        <f>IF($G2237="","",IF($D2237="A国内",汇率,1))</f>
        <v/>
      </c>
      <c r="O2237" s="25">
        <f>IF($G2237="","",ROUND(N($K2237)*N($L2237),2))</f>
        <v/>
      </c>
      <c r="P2237" s="26">
        <f>IF($G2237="","",ROUND($O2237*$N2237,0))</f>
        <v/>
      </c>
      <c r="Q2237" s="26">
        <f>IF($G2237="","",SUMIFS($P$4:$P$2503,$E$4:$E$2503,$E2237,$Z$4:$Z$2503,"正常"))</f>
        <v/>
      </c>
      <c r="R2237" s="26">
        <f>IF($G2237="","",SUMIFS(费用台账!$I$4:$I$503,费用台账!$C$4:$C$503,$E2237,费用台账!$J$4:$J$503,"是",费用台账!$K$4:$K$503,"正常"))</f>
        <v/>
      </c>
      <c r="S2237" s="28">
        <f>IF($G2237="","",COUNTIFS($E$4:$E$2503,$E2237,$Z$4:$Z$2503,"正常",$Y$4:$Y$2503,"待补价"))</f>
        <v/>
      </c>
      <c r="T2237" s="26">
        <f>IF($G2237="","",SUMIFS($P$4:$P$2503,$E$4:$E$2503,$E2237,$Z$4:$Z$2503,"正常",$A$4:$A$2503,"&lt;="&amp;$A2237))</f>
        <v/>
      </c>
      <c r="U2237" s="26">
        <f>IF($G2237="","",IF(OR($S2237&gt;0,$Q2237=0,$R2237=0,$Z2237&lt;&gt;"正常"),0,ROUND($T2237/$Q2237*$R2237,0)-ROUND(($T2237-$P2237)/$Q2237*$R2237,0)))</f>
        <v/>
      </c>
      <c r="V2237" s="26">
        <f>IF($G2237="","",ROUND($P2237+$U2237,0))</f>
        <v/>
      </c>
      <c r="W2237" s="26">
        <f>IF($G2237="","",IF(N($K2237)=0,0,ROUND($V2237/$K2237,2)))</f>
        <v/>
      </c>
      <c r="X2237" s="17" t="n"/>
      <c r="Y2237" s="17" t="n"/>
      <c r="Z2237" s="17" t="n"/>
      <c r="AA2237" s="17" t="n"/>
      <c r="AB2237" s="17" t="n"/>
      <c r="AC2237" s="24">
        <f>IF($G2237="","",IF($H2237="※编码不在物料档案里","※物料编码不在档案里",IF(N($K2237)&lt;=0,"※入库数量要大于 0",IF(AND($C2237&lt;&gt;"",$C2237&lt;=结账锁),"※日期早于已结账截止日，不能再录",IF(AND($L2237=0,$X2237="正常"),"※没填单价，价格状态请选「待补价」",IF(AND($S2237&gt;0,$R2237&gt;0),"△本批有 "&amp;$S2237&amp;" 行没单价，整批运费先挂账没摊",IF(AND($B2237&lt;&gt;"",COUNTIF($B$4:$B$2503,$B2237)&gt;1),"※入库单号重复","")))))))</f>
        <v/>
      </c>
    </row>
    <row r="2238">
      <c r="A2238" s="24">
        <f>IF($G2238="","",COUNTA($G$4:$G2238))</f>
        <v/>
      </c>
      <c r="B2238" s="17" t="n"/>
      <c r="C2238" s="30" t="n"/>
      <c r="D2238" s="17" t="n"/>
      <c r="E2238" s="17" t="n"/>
      <c r="F2238" s="17" t="n"/>
      <c r="G2238" s="17" t="n"/>
      <c r="H2238" s="24">
        <f>IF($G2238="","",IFERROR(VLOOKUP($G2238,物料档案!$A$4:$P$1203,3,0),"※编码不在物料档案里"))</f>
        <v/>
      </c>
      <c r="I2238" s="24">
        <f>IF($G2238="","",IFERROR(VLOOKUP($G2238,物料档案!$A$4:$P$1203,4,0),"※编码不在物料档案里"))</f>
        <v/>
      </c>
      <c r="J2238" s="24">
        <f>IF($G2238="","",IFERROR(VLOOKUP($G2238,物料档案!$A$4:$P$1203,5,0),"※编码不在物料档案里"))</f>
        <v/>
      </c>
      <c r="K2238" s="23" t="n"/>
      <c r="L2238" s="31" t="n"/>
      <c r="M2238" s="24">
        <f>IF($G2238="","",IF($D2238="A国内","CNY","TZS"))</f>
        <v/>
      </c>
      <c r="N2238" s="28">
        <f>IF($G2238="","",IF($D2238="A国内",汇率,1))</f>
        <v/>
      </c>
      <c r="O2238" s="25">
        <f>IF($G2238="","",ROUND(N($K2238)*N($L2238),2))</f>
        <v/>
      </c>
      <c r="P2238" s="26">
        <f>IF($G2238="","",ROUND($O2238*$N2238,0))</f>
        <v/>
      </c>
      <c r="Q2238" s="26">
        <f>IF($G2238="","",SUMIFS($P$4:$P$2503,$E$4:$E$2503,$E2238,$Z$4:$Z$2503,"正常"))</f>
        <v/>
      </c>
      <c r="R2238" s="26">
        <f>IF($G2238="","",SUMIFS(费用台账!$I$4:$I$503,费用台账!$C$4:$C$503,$E2238,费用台账!$J$4:$J$503,"是",费用台账!$K$4:$K$503,"正常"))</f>
        <v/>
      </c>
      <c r="S2238" s="28">
        <f>IF($G2238="","",COUNTIFS($E$4:$E$2503,$E2238,$Z$4:$Z$2503,"正常",$Y$4:$Y$2503,"待补价"))</f>
        <v/>
      </c>
      <c r="T2238" s="26">
        <f>IF($G2238="","",SUMIFS($P$4:$P$2503,$E$4:$E$2503,$E2238,$Z$4:$Z$2503,"正常",$A$4:$A$2503,"&lt;="&amp;$A2238))</f>
        <v/>
      </c>
      <c r="U2238" s="26">
        <f>IF($G2238="","",IF(OR($S2238&gt;0,$Q2238=0,$R2238=0,$Z2238&lt;&gt;"正常"),0,ROUND($T2238/$Q2238*$R2238,0)-ROUND(($T2238-$P2238)/$Q2238*$R2238,0)))</f>
        <v/>
      </c>
      <c r="V2238" s="26">
        <f>IF($G2238="","",ROUND($P2238+$U2238,0))</f>
        <v/>
      </c>
      <c r="W2238" s="26">
        <f>IF($G2238="","",IF(N($K2238)=0,0,ROUND($V2238/$K2238,2)))</f>
        <v/>
      </c>
      <c r="X2238" s="17" t="n"/>
      <c r="Y2238" s="17" t="n"/>
      <c r="Z2238" s="17" t="n"/>
      <c r="AA2238" s="17" t="n"/>
      <c r="AB2238" s="17" t="n"/>
      <c r="AC2238" s="24">
        <f>IF($G2238="","",IF($H2238="※编码不在物料档案里","※物料编码不在档案里",IF(N($K2238)&lt;=0,"※入库数量要大于 0",IF(AND($C2238&lt;&gt;"",$C2238&lt;=结账锁),"※日期早于已结账截止日，不能再录",IF(AND($L2238=0,$X2238="正常"),"※没填单价，价格状态请选「待补价」",IF(AND($S2238&gt;0,$R2238&gt;0),"△本批有 "&amp;$S2238&amp;" 行没单价，整批运费先挂账没摊",IF(AND($B2238&lt;&gt;"",COUNTIF($B$4:$B$2503,$B2238)&gt;1),"※入库单号重复","")))))))</f>
        <v/>
      </c>
    </row>
    <row r="2239">
      <c r="A2239" s="24">
        <f>IF($G2239="","",COUNTA($G$4:$G2239))</f>
        <v/>
      </c>
      <c r="B2239" s="17" t="n"/>
      <c r="C2239" s="30" t="n"/>
      <c r="D2239" s="17" t="n"/>
      <c r="E2239" s="17" t="n"/>
      <c r="F2239" s="17" t="n"/>
      <c r="G2239" s="17" t="n"/>
      <c r="H2239" s="24">
        <f>IF($G2239="","",IFERROR(VLOOKUP($G2239,物料档案!$A$4:$P$1203,3,0),"※编码不在物料档案里"))</f>
        <v/>
      </c>
      <c r="I2239" s="24">
        <f>IF($G2239="","",IFERROR(VLOOKUP($G2239,物料档案!$A$4:$P$1203,4,0),"※编码不在物料档案里"))</f>
        <v/>
      </c>
      <c r="J2239" s="24">
        <f>IF($G2239="","",IFERROR(VLOOKUP($G2239,物料档案!$A$4:$P$1203,5,0),"※编码不在物料档案里"))</f>
        <v/>
      </c>
      <c r="K2239" s="23" t="n"/>
      <c r="L2239" s="31" t="n"/>
      <c r="M2239" s="24">
        <f>IF($G2239="","",IF($D2239="A国内","CNY","TZS"))</f>
        <v/>
      </c>
      <c r="N2239" s="28">
        <f>IF($G2239="","",IF($D2239="A国内",汇率,1))</f>
        <v/>
      </c>
      <c r="O2239" s="25">
        <f>IF($G2239="","",ROUND(N($K2239)*N($L2239),2))</f>
        <v/>
      </c>
      <c r="P2239" s="26">
        <f>IF($G2239="","",ROUND($O2239*$N2239,0))</f>
        <v/>
      </c>
      <c r="Q2239" s="26">
        <f>IF($G2239="","",SUMIFS($P$4:$P$2503,$E$4:$E$2503,$E2239,$Z$4:$Z$2503,"正常"))</f>
        <v/>
      </c>
      <c r="R2239" s="26">
        <f>IF($G2239="","",SUMIFS(费用台账!$I$4:$I$503,费用台账!$C$4:$C$503,$E2239,费用台账!$J$4:$J$503,"是",费用台账!$K$4:$K$503,"正常"))</f>
        <v/>
      </c>
      <c r="S2239" s="28">
        <f>IF($G2239="","",COUNTIFS($E$4:$E$2503,$E2239,$Z$4:$Z$2503,"正常",$Y$4:$Y$2503,"待补价"))</f>
        <v/>
      </c>
      <c r="T2239" s="26">
        <f>IF($G2239="","",SUMIFS($P$4:$P$2503,$E$4:$E$2503,$E2239,$Z$4:$Z$2503,"正常",$A$4:$A$2503,"&lt;="&amp;$A2239))</f>
        <v/>
      </c>
      <c r="U2239" s="26">
        <f>IF($G2239="","",IF(OR($S2239&gt;0,$Q2239=0,$R2239=0,$Z2239&lt;&gt;"正常"),0,ROUND($T2239/$Q2239*$R2239,0)-ROUND(($T2239-$P2239)/$Q2239*$R2239,0)))</f>
        <v/>
      </c>
      <c r="V2239" s="26">
        <f>IF($G2239="","",ROUND($P2239+$U2239,0))</f>
        <v/>
      </c>
      <c r="W2239" s="26">
        <f>IF($G2239="","",IF(N($K2239)=0,0,ROUND($V2239/$K2239,2)))</f>
        <v/>
      </c>
      <c r="X2239" s="17" t="n"/>
      <c r="Y2239" s="17" t="n"/>
      <c r="Z2239" s="17" t="n"/>
      <c r="AA2239" s="17" t="n"/>
      <c r="AB2239" s="17" t="n"/>
      <c r="AC2239" s="24">
        <f>IF($G2239="","",IF($H2239="※编码不在物料档案里","※物料编码不在档案里",IF(N($K2239)&lt;=0,"※入库数量要大于 0",IF(AND($C2239&lt;&gt;"",$C2239&lt;=结账锁),"※日期早于已结账截止日，不能再录",IF(AND($L2239=0,$X2239="正常"),"※没填单价，价格状态请选「待补价」",IF(AND($S2239&gt;0,$R2239&gt;0),"△本批有 "&amp;$S2239&amp;" 行没单价，整批运费先挂账没摊",IF(AND($B2239&lt;&gt;"",COUNTIF($B$4:$B$2503,$B2239)&gt;1),"※入库单号重复","")))))))</f>
        <v/>
      </c>
    </row>
    <row r="2240">
      <c r="A2240" s="24">
        <f>IF($G2240="","",COUNTA($G$4:$G2240))</f>
        <v/>
      </c>
      <c r="B2240" s="17" t="n"/>
      <c r="C2240" s="30" t="n"/>
      <c r="D2240" s="17" t="n"/>
      <c r="E2240" s="17" t="n"/>
      <c r="F2240" s="17" t="n"/>
      <c r="G2240" s="17" t="n"/>
      <c r="H2240" s="24">
        <f>IF($G2240="","",IFERROR(VLOOKUP($G2240,物料档案!$A$4:$P$1203,3,0),"※编码不在物料档案里"))</f>
        <v/>
      </c>
      <c r="I2240" s="24">
        <f>IF($G2240="","",IFERROR(VLOOKUP($G2240,物料档案!$A$4:$P$1203,4,0),"※编码不在物料档案里"))</f>
        <v/>
      </c>
      <c r="J2240" s="24">
        <f>IF($G2240="","",IFERROR(VLOOKUP($G2240,物料档案!$A$4:$P$1203,5,0),"※编码不在物料档案里"))</f>
        <v/>
      </c>
      <c r="K2240" s="23" t="n"/>
      <c r="L2240" s="31" t="n"/>
      <c r="M2240" s="24">
        <f>IF($G2240="","",IF($D2240="A国内","CNY","TZS"))</f>
        <v/>
      </c>
      <c r="N2240" s="28">
        <f>IF($G2240="","",IF($D2240="A国内",汇率,1))</f>
        <v/>
      </c>
      <c r="O2240" s="25">
        <f>IF($G2240="","",ROUND(N($K2240)*N($L2240),2))</f>
        <v/>
      </c>
      <c r="P2240" s="26">
        <f>IF($G2240="","",ROUND($O2240*$N2240,0))</f>
        <v/>
      </c>
      <c r="Q2240" s="26">
        <f>IF($G2240="","",SUMIFS($P$4:$P$2503,$E$4:$E$2503,$E2240,$Z$4:$Z$2503,"正常"))</f>
        <v/>
      </c>
      <c r="R2240" s="26">
        <f>IF($G2240="","",SUMIFS(费用台账!$I$4:$I$503,费用台账!$C$4:$C$503,$E2240,费用台账!$J$4:$J$503,"是",费用台账!$K$4:$K$503,"正常"))</f>
        <v/>
      </c>
      <c r="S2240" s="28">
        <f>IF($G2240="","",COUNTIFS($E$4:$E$2503,$E2240,$Z$4:$Z$2503,"正常",$Y$4:$Y$2503,"待补价"))</f>
        <v/>
      </c>
      <c r="T2240" s="26">
        <f>IF($G2240="","",SUMIFS($P$4:$P$2503,$E$4:$E$2503,$E2240,$Z$4:$Z$2503,"正常",$A$4:$A$2503,"&lt;="&amp;$A2240))</f>
        <v/>
      </c>
      <c r="U2240" s="26">
        <f>IF($G2240="","",IF(OR($S2240&gt;0,$Q2240=0,$R2240=0,$Z2240&lt;&gt;"正常"),0,ROUND($T2240/$Q2240*$R2240,0)-ROUND(($T2240-$P2240)/$Q2240*$R2240,0)))</f>
        <v/>
      </c>
      <c r="V2240" s="26">
        <f>IF($G2240="","",ROUND($P2240+$U2240,0))</f>
        <v/>
      </c>
      <c r="W2240" s="26">
        <f>IF($G2240="","",IF(N($K2240)=0,0,ROUND($V2240/$K2240,2)))</f>
        <v/>
      </c>
      <c r="X2240" s="17" t="n"/>
      <c r="Y2240" s="17" t="n"/>
      <c r="Z2240" s="17" t="n"/>
      <c r="AA2240" s="17" t="n"/>
      <c r="AB2240" s="17" t="n"/>
      <c r="AC2240" s="24">
        <f>IF($G2240="","",IF($H2240="※编码不在物料档案里","※物料编码不在档案里",IF(N($K2240)&lt;=0,"※入库数量要大于 0",IF(AND($C2240&lt;&gt;"",$C2240&lt;=结账锁),"※日期早于已结账截止日，不能再录",IF(AND($L2240=0,$X2240="正常"),"※没填单价，价格状态请选「待补价」",IF(AND($S2240&gt;0,$R2240&gt;0),"△本批有 "&amp;$S2240&amp;" 行没单价，整批运费先挂账没摊",IF(AND($B2240&lt;&gt;"",COUNTIF($B$4:$B$2503,$B2240)&gt;1),"※入库单号重复","")))))))</f>
        <v/>
      </c>
    </row>
    <row r="2241">
      <c r="A2241" s="24">
        <f>IF($G2241="","",COUNTA($G$4:$G2241))</f>
        <v/>
      </c>
      <c r="B2241" s="17" t="n"/>
      <c r="C2241" s="30" t="n"/>
      <c r="D2241" s="17" t="n"/>
      <c r="E2241" s="17" t="n"/>
      <c r="F2241" s="17" t="n"/>
      <c r="G2241" s="17" t="n"/>
      <c r="H2241" s="24">
        <f>IF($G2241="","",IFERROR(VLOOKUP($G2241,物料档案!$A$4:$P$1203,3,0),"※编码不在物料档案里"))</f>
        <v/>
      </c>
      <c r="I2241" s="24">
        <f>IF($G2241="","",IFERROR(VLOOKUP($G2241,物料档案!$A$4:$P$1203,4,0),"※编码不在物料档案里"))</f>
        <v/>
      </c>
      <c r="J2241" s="24">
        <f>IF($G2241="","",IFERROR(VLOOKUP($G2241,物料档案!$A$4:$P$1203,5,0),"※编码不在物料档案里"))</f>
        <v/>
      </c>
      <c r="K2241" s="23" t="n"/>
      <c r="L2241" s="31" t="n"/>
      <c r="M2241" s="24">
        <f>IF($G2241="","",IF($D2241="A国内","CNY","TZS"))</f>
        <v/>
      </c>
      <c r="N2241" s="28">
        <f>IF($G2241="","",IF($D2241="A国内",汇率,1))</f>
        <v/>
      </c>
      <c r="O2241" s="25">
        <f>IF($G2241="","",ROUND(N($K2241)*N($L2241),2))</f>
        <v/>
      </c>
      <c r="P2241" s="26">
        <f>IF($G2241="","",ROUND($O2241*$N2241,0))</f>
        <v/>
      </c>
      <c r="Q2241" s="26">
        <f>IF($G2241="","",SUMIFS($P$4:$P$2503,$E$4:$E$2503,$E2241,$Z$4:$Z$2503,"正常"))</f>
        <v/>
      </c>
      <c r="R2241" s="26">
        <f>IF($G2241="","",SUMIFS(费用台账!$I$4:$I$503,费用台账!$C$4:$C$503,$E2241,费用台账!$J$4:$J$503,"是",费用台账!$K$4:$K$503,"正常"))</f>
        <v/>
      </c>
      <c r="S2241" s="28">
        <f>IF($G2241="","",COUNTIFS($E$4:$E$2503,$E2241,$Z$4:$Z$2503,"正常",$Y$4:$Y$2503,"待补价"))</f>
        <v/>
      </c>
      <c r="T2241" s="26">
        <f>IF($G2241="","",SUMIFS($P$4:$P$2503,$E$4:$E$2503,$E2241,$Z$4:$Z$2503,"正常",$A$4:$A$2503,"&lt;="&amp;$A2241))</f>
        <v/>
      </c>
      <c r="U2241" s="26">
        <f>IF($G2241="","",IF(OR($S2241&gt;0,$Q2241=0,$R2241=0,$Z2241&lt;&gt;"正常"),0,ROUND($T2241/$Q2241*$R2241,0)-ROUND(($T2241-$P2241)/$Q2241*$R2241,0)))</f>
        <v/>
      </c>
      <c r="V2241" s="26">
        <f>IF($G2241="","",ROUND($P2241+$U2241,0))</f>
        <v/>
      </c>
      <c r="W2241" s="26">
        <f>IF($G2241="","",IF(N($K2241)=0,0,ROUND($V2241/$K2241,2)))</f>
        <v/>
      </c>
      <c r="X2241" s="17" t="n"/>
      <c r="Y2241" s="17" t="n"/>
      <c r="Z2241" s="17" t="n"/>
      <c r="AA2241" s="17" t="n"/>
      <c r="AB2241" s="17" t="n"/>
      <c r="AC2241" s="24">
        <f>IF($G2241="","",IF($H2241="※编码不在物料档案里","※物料编码不在档案里",IF(N($K2241)&lt;=0,"※入库数量要大于 0",IF(AND($C2241&lt;&gt;"",$C2241&lt;=结账锁),"※日期早于已结账截止日，不能再录",IF(AND($L2241=0,$X2241="正常"),"※没填单价，价格状态请选「待补价」",IF(AND($S2241&gt;0,$R2241&gt;0),"△本批有 "&amp;$S2241&amp;" 行没单价，整批运费先挂账没摊",IF(AND($B2241&lt;&gt;"",COUNTIF($B$4:$B$2503,$B2241)&gt;1),"※入库单号重复","")))))))</f>
        <v/>
      </c>
    </row>
    <row r="2242">
      <c r="A2242" s="24">
        <f>IF($G2242="","",COUNTA($G$4:$G2242))</f>
        <v/>
      </c>
      <c r="B2242" s="17" t="n"/>
      <c r="C2242" s="30" t="n"/>
      <c r="D2242" s="17" t="n"/>
      <c r="E2242" s="17" t="n"/>
      <c r="F2242" s="17" t="n"/>
      <c r="G2242" s="17" t="n"/>
      <c r="H2242" s="24">
        <f>IF($G2242="","",IFERROR(VLOOKUP($G2242,物料档案!$A$4:$P$1203,3,0),"※编码不在物料档案里"))</f>
        <v/>
      </c>
      <c r="I2242" s="24">
        <f>IF($G2242="","",IFERROR(VLOOKUP($G2242,物料档案!$A$4:$P$1203,4,0),"※编码不在物料档案里"))</f>
        <v/>
      </c>
      <c r="J2242" s="24">
        <f>IF($G2242="","",IFERROR(VLOOKUP($G2242,物料档案!$A$4:$P$1203,5,0),"※编码不在物料档案里"))</f>
        <v/>
      </c>
      <c r="K2242" s="23" t="n"/>
      <c r="L2242" s="31" t="n"/>
      <c r="M2242" s="24">
        <f>IF($G2242="","",IF($D2242="A国内","CNY","TZS"))</f>
        <v/>
      </c>
      <c r="N2242" s="28">
        <f>IF($G2242="","",IF($D2242="A国内",汇率,1))</f>
        <v/>
      </c>
      <c r="O2242" s="25">
        <f>IF($G2242="","",ROUND(N($K2242)*N($L2242),2))</f>
        <v/>
      </c>
      <c r="P2242" s="26">
        <f>IF($G2242="","",ROUND($O2242*$N2242,0))</f>
        <v/>
      </c>
      <c r="Q2242" s="26">
        <f>IF($G2242="","",SUMIFS($P$4:$P$2503,$E$4:$E$2503,$E2242,$Z$4:$Z$2503,"正常"))</f>
        <v/>
      </c>
      <c r="R2242" s="26">
        <f>IF($G2242="","",SUMIFS(费用台账!$I$4:$I$503,费用台账!$C$4:$C$503,$E2242,费用台账!$J$4:$J$503,"是",费用台账!$K$4:$K$503,"正常"))</f>
        <v/>
      </c>
      <c r="S2242" s="28">
        <f>IF($G2242="","",COUNTIFS($E$4:$E$2503,$E2242,$Z$4:$Z$2503,"正常",$Y$4:$Y$2503,"待补价"))</f>
        <v/>
      </c>
      <c r="T2242" s="26">
        <f>IF($G2242="","",SUMIFS($P$4:$P$2503,$E$4:$E$2503,$E2242,$Z$4:$Z$2503,"正常",$A$4:$A$2503,"&lt;="&amp;$A2242))</f>
        <v/>
      </c>
      <c r="U2242" s="26">
        <f>IF($G2242="","",IF(OR($S2242&gt;0,$Q2242=0,$R2242=0,$Z2242&lt;&gt;"正常"),0,ROUND($T2242/$Q2242*$R2242,0)-ROUND(($T2242-$P2242)/$Q2242*$R2242,0)))</f>
        <v/>
      </c>
      <c r="V2242" s="26">
        <f>IF($G2242="","",ROUND($P2242+$U2242,0))</f>
        <v/>
      </c>
      <c r="W2242" s="26">
        <f>IF($G2242="","",IF(N($K2242)=0,0,ROUND($V2242/$K2242,2)))</f>
        <v/>
      </c>
      <c r="X2242" s="17" t="n"/>
      <c r="Y2242" s="17" t="n"/>
      <c r="Z2242" s="17" t="n"/>
      <c r="AA2242" s="17" t="n"/>
      <c r="AB2242" s="17" t="n"/>
      <c r="AC2242" s="24">
        <f>IF($G2242="","",IF($H2242="※编码不在物料档案里","※物料编码不在档案里",IF(N($K2242)&lt;=0,"※入库数量要大于 0",IF(AND($C2242&lt;&gt;"",$C2242&lt;=结账锁),"※日期早于已结账截止日，不能再录",IF(AND($L2242=0,$X2242="正常"),"※没填单价，价格状态请选「待补价」",IF(AND($S2242&gt;0,$R2242&gt;0),"△本批有 "&amp;$S2242&amp;" 行没单价，整批运费先挂账没摊",IF(AND($B2242&lt;&gt;"",COUNTIF($B$4:$B$2503,$B2242)&gt;1),"※入库单号重复","")))))))</f>
        <v/>
      </c>
    </row>
    <row r="2243">
      <c r="A2243" s="24">
        <f>IF($G2243="","",COUNTA($G$4:$G2243))</f>
        <v/>
      </c>
      <c r="B2243" s="17" t="n"/>
      <c r="C2243" s="30" t="n"/>
      <c r="D2243" s="17" t="n"/>
      <c r="E2243" s="17" t="n"/>
      <c r="F2243" s="17" t="n"/>
      <c r="G2243" s="17" t="n"/>
      <c r="H2243" s="24">
        <f>IF($G2243="","",IFERROR(VLOOKUP($G2243,物料档案!$A$4:$P$1203,3,0),"※编码不在物料档案里"))</f>
        <v/>
      </c>
      <c r="I2243" s="24">
        <f>IF($G2243="","",IFERROR(VLOOKUP($G2243,物料档案!$A$4:$P$1203,4,0),"※编码不在物料档案里"))</f>
        <v/>
      </c>
      <c r="J2243" s="24">
        <f>IF($G2243="","",IFERROR(VLOOKUP($G2243,物料档案!$A$4:$P$1203,5,0),"※编码不在物料档案里"))</f>
        <v/>
      </c>
      <c r="K2243" s="23" t="n"/>
      <c r="L2243" s="31" t="n"/>
      <c r="M2243" s="24">
        <f>IF($G2243="","",IF($D2243="A国内","CNY","TZS"))</f>
        <v/>
      </c>
      <c r="N2243" s="28">
        <f>IF($G2243="","",IF($D2243="A国内",汇率,1))</f>
        <v/>
      </c>
      <c r="O2243" s="25">
        <f>IF($G2243="","",ROUND(N($K2243)*N($L2243),2))</f>
        <v/>
      </c>
      <c r="P2243" s="26">
        <f>IF($G2243="","",ROUND($O2243*$N2243,0))</f>
        <v/>
      </c>
      <c r="Q2243" s="26">
        <f>IF($G2243="","",SUMIFS($P$4:$P$2503,$E$4:$E$2503,$E2243,$Z$4:$Z$2503,"正常"))</f>
        <v/>
      </c>
      <c r="R2243" s="26">
        <f>IF($G2243="","",SUMIFS(费用台账!$I$4:$I$503,费用台账!$C$4:$C$503,$E2243,费用台账!$J$4:$J$503,"是",费用台账!$K$4:$K$503,"正常"))</f>
        <v/>
      </c>
      <c r="S2243" s="28">
        <f>IF($G2243="","",COUNTIFS($E$4:$E$2503,$E2243,$Z$4:$Z$2503,"正常",$Y$4:$Y$2503,"待补价"))</f>
        <v/>
      </c>
      <c r="T2243" s="26">
        <f>IF($G2243="","",SUMIFS($P$4:$P$2503,$E$4:$E$2503,$E2243,$Z$4:$Z$2503,"正常",$A$4:$A$2503,"&lt;="&amp;$A2243))</f>
        <v/>
      </c>
      <c r="U2243" s="26">
        <f>IF($G2243="","",IF(OR($S2243&gt;0,$Q2243=0,$R2243=0,$Z2243&lt;&gt;"正常"),0,ROUND($T2243/$Q2243*$R2243,0)-ROUND(($T2243-$P2243)/$Q2243*$R2243,0)))</f>
        <v/>
      </c>
      <c r="V2243" s="26">
        <f>IF($G2243="","",ROUND($P2243+$U2243,0))</f>
        <v/>
      </c>
      <c r="W2243" s="26">
        <f>IF($G2243="","",IF(N($K2243)=0,0,ROUND($V2243/$K2243,2)))</f>
        <v/>
      </c>
      <c r="X2243" s="17" t="n"/>
      <c r="Y2243" s="17" t="n"/>
      <c r="Z2243" s="17" t="n"/>
      <c r="AA2243" s="17" t="n"/>
      <c r="AB2243" s="17" t="n"/>
      <c r="AC2243" s="24">
        <f>IF($G2243="","",IF($H2243="※编码不在物料档案里","※物料编码不在档案里",IF(N($K2243)&lt;=0,"※入库数量要大于 0",IF(AND($C2243&lt;&gt;"",$C2243&lt;=结账锁),"※日期早于已结账截止日，不能再录",IF(AND($L2243=0,$X2243="正常"),"※没填单价，价格状态请选「待补价」",IF(AND($S2243&gt;0,$R2243&gt;0),"△本批有 "&amp;$S2243&amp;" 行没单价，整批运费先挂账没摊",IF(AND($B2243&lt;&gt;"",COUNTIF($B$4:$B$2503,$B2243)&gt;1),"※入库单号重复","")))))))</f>
        <v/>
      </c>
    </row>
    <row r="2244">
      <c r="A2244" s="24">
        <f>IF($G2244="","",COUNTA($G$4:$G2244))</f>
        <v/>
      </c>
      <c r="B2244" s="17" t="n"/>
      <c r="C2244" s="30" t="n"/>
      <c r="D2244" s="17" t="n"/>
      <c r="E2244" s="17" t="n"/>
      <c r="F2244" s="17" t="n"/>
      <c r="G2244" s="17" t="n"/>
      <c r="H2244" s="24">
        <f>IF($G2244="","",IFERROR(VLOOKUP($G2244,物料档案!$A$4:$P$1203,3,0),"※编码不在物料档案里"))</f>
        <v/>
      </c>
      <c r="I2244" s="24">
        <f>IF($G2244="","",IFERROR(VLOOKUP($G2244,物料档案!$A$4:$P$1203,4,0),"※编码不在物料档案里"))</f>
        <v/>
      </c>
      <c r="J2244" s="24">
        <f>IF($G2244="","",IFERROR(VLOOKUP($G2244,物料档案!$A$4:$P$1203,5,0),"※编码不在物料档案里"))</f>
        <v/>
      </c>
      <c r="K2244" s="23" t="n"/>
      <c r="L2244" s="31" t="n"/>
      <c r="M2244" s="24">
        <f>IF($G2244="","",IF($D2244="A国内","CNY","TZS"))</f>
        <v/>
      </c>
      <c r="N2244" s="28">
        <f>IF($G2244="","",IF($D2244="A国内",汇率,1))</f>
        <v/>
      </c>
      <c r="O2244" s="25">
        <f>IF($G2244="","",ROUND(N($K2244)*N($L2244),2))</f>
        <v/>
      </c>
      <c r="P2244" s="26">
        <f>IF($G2244="","",ROUND($O2244*$N2244,0))</f>
        <v/>
      </c>
      <c r="Q2244" s="26">
        <f>IF($G2244="","",SUMIFS($P$4:$P$2503,$E$4:$E$2503,$E2244,$Z$4:$Z$2503,"正常"))</f>
        <v/>
      </c>
      <c r="R2244" s="26">
        <f>IF($G2244="","",SUMIFS(费用台账!$I$4:$I$503,费用台账!$C$4:$C$503,$E2244,费用台账!$J$4:$J$503,"是",费用台账!$K$4:$K$503,"正常"))</f>
        <v/>
      </c>
      <c r="S2244" s="28">
        <f>IF($G2244="","",COUNTIFS($E$4:$E$2503,$E2244,$Z$4:$Z$2503,"正常",$Y$4:$Y$2503,"待补价"))</f>
        <v/>
      </c>
      <c r="T2244" s="26">
        <f>IF($G2244="","",SUMIFS($P$4:$P$2503,$E$4:$E$2503,$E2244,$Z$4:$Z$2503,"正常",$A$4:$A$2503,"&lt;="&amp;$A2244))</f>
        <v/>
      </c>
      <c r="U2244" s="26">
        <f>IF($G2244="","",IF(OR($S2244&gt;0,$Q2244=0,$R2244=0,$Z2244&lt;&gt;"正常"),0,ROUND($T2244/$Q2244*$R2244,0)-ROUND(($T2244-$P2244)/$Q2244*$R2244,0)))</f>
        <v/>
      </c>
      <c r="V2244" s="26">
        <f>IF($G2244="","",ROUND($P2244+$U2244,0))</f>
        <v/>
      </c>
      <c r="W2244" s="26">
        <f>IF($G2244="","",IF(N($K2244)=0,0,ROUND($V2244/$K2244,2)))</f>
        <v/>
      </c>
      <c r="X2244" s="17" t="n"/>
      <c r="Y2244" s="17" t="n"/>
      <c r="Z2244" s="17" t="n"/>
      <c r="AA2244" s="17" t="n"/>
      <c r="AB2244" s="17" t="n"/>
      <c r="AC2244" s="24">
        <f>IF($G2244="","",IF($H2244="※编码不在物料档案里","※物料编码不在档案里",IF(N($K2244)&lt;=0,"※入库数量要大于 0",IF(AND($C2244&lt;&gt;"",$C2244&lt;=结账锁),"※日期早于已结账截止日，不能再录",IF(AND($L2244=0,$X2244="正常"),"※没填单价，价格状态请选「待补价」",IF(AND($S2244&gt;0,$R2244&gt;0),"△本批有 "&amp;$S2244&amp;" 行没单价，整批运费先挂账没摊",IF(AND($B2244&lt;&gt;"",COUNTIF($B$4:$B$2503,$B2244)&gt;1),"※入库单号重复","")))))))</f>
        <v/>
      </c>
    </row>
    <row r="2245">
      <c r="A2245" s="24">
        <f>IF($G2245="","",COUNTA($G$4:$G2245))</f>
        <v/>
      </c>
      <c r="B2245" s="17" t="n"/>
      <c r="C2245" s="30" t="n"/>
      <c r="D2245" s="17" t="n"/>
      <c r="E2245" s="17" t="n"/>
      <c r="F2245" s="17" t="n"/>
      <c r="G2245" s="17" t="n"/>
      <c r="H2245" s="24">
        <f>IF($G2245="","",IFERROR(VLOOKUP($G2245,物料档案!$A$4:$P$1203,3,0),"※编码不在物料档案里"))</f>
        <v/>
      </c>
      <c r="I2245" s="24">
        <f>IF($G2245="","",IFERROR(VLOOKUP($G2245,物料档案!$A$4:$P$1203,4,0),"※编码不在物料档案里"))</f>
        <v/>
      </c>
      <c r="J2245" s="24">
        <f>IF($G2245="","",IFERROR(VLOOKUP($G2245,物料档案!$A$4:$P$1203,5,0),"※编码不在物料档案里"))</f>
        <v/>
      </c>
      <c r="K2245" s="23" t="n"/>
      <c r="L2245" s="31" t="n"/>
      <c r="M2245" s="24">
        <f>IF($G2245="","",IF($D2245="A国内","CNY","TZS"))</f>
        <v/>
      </c>
      <c r="N2245" s="28">
        <f>IF($G2245="","",IF($D2245="A国内",汇率,1))</f>
        <v/>
      </c>
      <c r="O2245" s="25">
        <f>IF($G2245="","",ROUND(N($K2245)*N($L2245),2))</f>
        <v/>
      </c>
      <c r="P2245" s="26">
        <f>IF($G2245="","",ROUND($O2245*$N2245,0))</f>
        <v/>
      </c>
      <c r="Q2245" s="26">
        <f>IF($G2245="","",SUMIFS($P$4:$P$2503,$E$4:$E$2503,$E2245,$Z$4:$Z$2503,"正常"))</f>
        <v/>
      </c>
      <c r="R2245" s="26">
        <f>IF($G2245="","",SUMIFS(费用台账!$I$4:$I$503,费用台账!$C$4:$C$503,$E2245,费用台账!$J$4:$J$503,"是",费用台账!$K$4:$K$503,"正常"))</f>
        <v/>
      </c>
      <c r="S2245" s="28">
        <f>IF($G2245="","",COUNTIFS($E$4:$E$2503,$E2245,$Z$4:$Z$2503,"正常",$Y$4:$Y$2503,"待补价"))</f>
        <v/>
      </c>
      <c r="T2245" s="26">
        <f>IF($G2245="","",SUMIFS($P$4:$P$2503,$E$4:$E$2503,$E2245,$Z$4:$Z$2503,"正常",$A$4:$A$2503,"&lt;="&amp;$A2245))</f>
        <v/>
      </c>
      <c r="U2245" s="26">
        <f>IF($G2245="","",IF(OR($S2245&gt;0,$Q2245=0,$R2245=0,$Z2245&lt;&gt;"正常"),0,ROUND($T2245/$Q2245*$R2245,0)-ROUND(($T2245-$P2245)/$Q2245*$R2245,0)))</f>
        <v/>
      </c>
      <c r="V2245" s="26">
        <f>IF($G2245="","",ROUND($P2245+$U2245,0))</f>
        <v/>
      </c>
      <c r="W2245" s="26">
        <f>IF($G2245="","",IF(N($K2245)=0,0,ROUND($V2245/$K2245,2)))</f>
        <v/>
      </c>
      <c r="X2245" s="17" t="n"/>
      <c r="Y2245" s="17" t="n"/>
      <c r="Z2245" s="17" t="n"/>
      <c r="AA2245" s="17" t="n"/>
      <c r="AB2245" s="17" t="n"/>
      <c r="AC2245" s="24">
        <f>IF($G2245="","",IF($H2245="※编码不在物料档案里","※物料编码不在档案里",IF(N($K2245)&lt;=0,"※入库数量要大于 0",IF(AND($C2245&lt;&gt;"",$C2245&lt;=结账锁),"※日期早于已结账截止日，不能再录",IF(AND($L2245=0,$X2245="正常"),"※没填单价，价格状态请选「待补价」",IF(AND($S2245&gt;0,$R2245&gt;0),"△本批有 "&amp;$S2245&amp;" 行没单价，整批运费先挂账没摊",IF(AND($B2245&lt;&gt;"",COUNTIF($B$4:$B$2503,$B2245)&gt;1),"※入库单号重复","")))))))</f>
        <v/>
      </c>
    </row>
    <row r="2246">
      <c r="A2246" s="24">
        <f>IF($G2246="","",COUNTA($G$4:$G2246))</f>
        <v/>
      </c>
      <c r="B2246" s="17" t="n"/>
      <c r="C2246" s="30" t="n"/>
      <c r="D2246" s="17" t="n"/>
      <c r="E2246" s="17" t="n"/>
      <c r="F2246" s="17" t="n"/>
      <c r="G2246" s="17" t="n"/>
      <c r="H2246" s="24">
        <f>IF($G2246="","",IFERROR(VLOOKUP($G2246,物料档案!$A$4:$P$1203,3,0),"※编码不在物料档案里"))</f>
        <v/>
      </c>
      <c r="I2246" s="24">
        <f>IF($G2246="","",IFERROR(VLOOKUP($G2246,物料档案!$A$4:$P$1203,4,0),"※编码不在物料档案里"))</f>
        <v/>
      </c>
      <c r="J2246" s="24">
        <f>IF($G2246="","",IFERROR(VLOOKUP($G2246,物料档案!$A$4:$P$1203,5,0),"※编码不在物料档案里"))</f>
        <v/>
      </c>
      <c r="K2246" s="23" t="n"/>
      <c r="L2246" s="31" t="n"/>
      <c r="M2246" s="24">
        <f>IF($G2246="","",IF($D2246="A国内","CNY","TZS"))</f>
        <v/>
      </c>
      <c r="N2246" s="28">
        <f>IF($G2246="","",IF($D2246="A国内",汇率,1))</f>
        <v/>
      </c>
      <c r="O2246" s="25">
        <f>IF($G2246="","",ROUND(N($K2246)*N($L2246),2))</f>
        <v/>
      </c>
      <c r="P2246" s="26">
        <f>IF($G2246="","",ROUND($O2246*$N2246,0))</f>
        <v/>
      </c>
      <c r="Q2246" s="26">
        <f>IF($G2246="","",SUMIFS($P$4:$P$2503,$E$4:$E$2503,$E2246,$Z$4:$Z$2503,"正常"))</f>
        <v/>
      </c>
      <c r="R2246" s="26">
        <f>IF($G2246="","",SUMIFS(费用台账!$I$4:$I$503,费用台账!$C$4:$C$503,$E2246,费用台账!$J$4:$J$503,"是",费用台账!$K$4:$K$503,"正常"))</f>
        <v/>
      </c>
      <c r="S2246" s="28">
        <f>IF($G2246="","",COUNTIFS($E$4:$E$2503,$E2246,$Z$4:$Z$2503,"正常",$Y$4:$Y$2503,"待补价"))</f>
        <v/>
      </c>
      <c r="T2246" s="26">
        <f>IF($G2246="","",SUMIFS($P$4:$P$2503,$E$4:$E$2503,$E2246,$Z$4:$Z$2503,"正常",$A$4:$A$2503,"&lt;="&amp;$A2246))</f>
        <v/>
      </c>
      <c r="U2246" s="26">
        <f>IF($G2246="","",IF(OR($S2246&gt;0,$Q2246=0,$R2246=0,$Z2246&lt;&gt;"正常"),0,ROUND($T2246/$Q2246*$R2246,0)-ROUND(($T2246-$P2246)/$Q2246*$R2246,0)))</f>
        <v/>
      </c>
      <c r="V2246" s="26">
        <f>IF($G2246="","",ROUND($P2246+$U2246,0))</f>
        <v/>
      </c>
      <c r="W2246" s="26">
        <f>IF($G2246="","",IF(N($K2246)=0,0,ROUND($V2246/$K2246,2)))</f>
        <v/>
      </c>
      <c r="X2246" s="17" t="n"/>
      <c r="Y2246" s="17" t="n"/>
      <c r="Z2246" s="17" t="n"/>
      <c r="AA2246" s="17" t="n"/>
      <c r="AB2246" s="17" t="n"/>
      <c r="AC2246" s="24">
        <f>IF($G2246="","",IF($H2246="※编码不在物料档案里","※物料编码不在档案里",IF(N($K2246)&lt;=0,"※入库数量要大于 0",IF(AND($C2246&lt;&gt;"",$C2246&lt;=结账锁),"※日期早于已结账截止日，不能再录",IF(AND($L2246=0,$X2246="正常"),"※没填单价，价格状态请选「待补价」",IF(AND($S2246&gt;0,$R2246&gt;0),"△本批有 "&amp;$S2246&amp;" 行没单价，整批运费先挂账没摊",IF(AND($B2246&lt;&gt;"",COUNTIF($B$4:$B$2503,$B2246)&gt;1),"※入库单号重复","")))))))</f>
        <v/>
      </c>
    </row>
    <row r="2247">
      <c r="A2247" s="24">
        <f>IF($G2247="","",COUNTA($G$4:$G2247))</f>
        <v/>
      </c>
      <c r="B2247" s="17" t="n"/>
      <c r="C2247" s="30" t="n"/>
      <c r="D2247" s="17" t="n"/>
      <c r="E2247" s="17" t="n"/>
      <c r="F2247" s="17" t="n"/>
      <c r="G2247" s="17" t="n"/>
      <c r="H2247" s="24">
        <f>IF($G2247="","",IFERROR(VLOOKUP($G2247,物料档案!$A$4:$P$1203,3,0),"※编码不在物料档案里"))</f>
        <v/>
      </c>
      <c r="I2247" s="24">
        <f>IF($G2247="","",IFERROR(VLOOKUP($G2247,物料档案!$A$4:$P$1203,4,0),"※编码不在物料档案里"))</f>
        <v/>
      </c>
      <c r="J2247" s="24">
        <f>IF($G2247="","",IFERROR(VLOOKUP($G2247,物料档案!$A$4:$P$1203,5,0),"※编码不在物料档案里"))</f>
        <v/>
      </c>
      <c r="K2247" s="23" t="n"/>
      <c r="L2247" s="31" t="n"/>
      <c r="M2247" s="24">
        <f>IF($G2247="","",IF($D2247="A国内","CNY","TZS"))</f>
        <v/>
      </c>
      <c r="N2247" s="28">
        <f>IF($G2247="","",IF($D2247="A国内",汇率,1))</f>
        <v/>
      </c>
      <c r="O2247" s="25">
        <f>IF($G2247="","",ROUND(N($K2247)*N($L2247),2))</f>
        <v/>
      </c>
      <c r="P2247" s="26">
        <f>IF($G2247="","",ROUND($O2247*$N2247,0))</f>
        <v/>
      </c>
      <c r="Q2247" s="26">
        <f>IF($G2247="","",SUMIFS($P$4:$P$2503,$E$4:$E$2503,$E2247,$Z$4:$Z$2503,"正常"))</f>
        <v/>
      </c>
      <c r="R2247" s="26">
        <f>IF($G2247="","",SUMIFS(费用台账!$I$4:$I$503,费用台账!$C$4:$C$503,$E2247,费用台账!$J$4:$J$503,"是",费用台账!$K$4:$K$503,"正常"))</f>
        <v/>
      </c>
      <c r="S2247" s="28">
        <f>IF($G2247="","",COUNTIFS($E$4:$E$2503,$E2247,$Z$4:$Z$2503,"正常",$Y$4:$Y$2503,"待补价"))</f>
        <v/>
      </c>
      <c r="T2247" s="26">
        <f>IF($G2247="","",SUMIFS($P$4:$P$2503,$E$4:$E$2503,$E2247,$Z$4:$Z$2503,"正常",$A$4:$A$2503,"&lt;="&amp;$A2247))</f>
        <v/>
      </c>
      <c r="U2247" s="26">
        <f>IF($G2247="","",IF(OR($S2247&gt;0,$Q2247=0,$R2247=0,$Z2247&lt;&gt;"正常"),0,ROUND($T2247/$Q2247*$R2247,0)-ROUND(($T2247-$P2247)/$Q2247*$R2247,0)))</f>
        <v/>
      </c>
      <c r="V2247" s="26">
        <f>IF($G2247="","",ROUND($P2247+$U2247,0))</f>
        <v/>
      </c>
      <c r="W2247" s="26">
        <f>IF($G2247="","",IF(N($K2247)=0,0,ROUND($V2247/$K2247,2)))</f>
        <v/>
      </c>
      <c r="X2247" s="17" t="n"/>
      <c r="Y2247" s="17" t="n"/>
      <c r="Z2247" s="17" t="n"/>
      <c r="AA2247" s="17" t="n"/>
      <c r="AB2247" s="17" t="n"/>
      <c r="AC2247" s="24">
        <f>IF($G2247="","",IF($H2247="※编码不在物料档案里","※物料编码不在档案里",IF(N($K2247)&lt;=0,"※入库数量要大于 0",IF(AND($C2247&lt;&gt;"",$C2247&lt;=结账锁),"※日期早于已结账截止日，不能再录",IF(AND($L2247=0,$X2247="正常"),"※没填单价，价格状态请选「待补价」",IF(AND($S2247&gt;0,$R2247&gt;0),"△本批有 "&amp;$S2247&amp;" 行没单价，整批运费先挂账没摊",IF(AND($B2247&lt;&gt;"",COUNTIF($B$4:$B$2503,$B2247)&gt;1),"※入库单号重复","")))))))</f>
        <v/>
      </c>
    </row>
    <row r="2248">
      <c r="A2248" s="24">
        <f>IF($G2248="","",COUNTA($G$4:$G2248))</f>
        <v/>
      </c>
      <c r="B2248" s="17" t="n"/>
      <c r="C2248" s="30" t="n"/>
      <c r="D2248" s="17" t="n"/>
      <c r="E2248" s="17" t="n"/>
      <c r="F2248" s="17" t="n"/>
      <c r="G2248" s="17" t="n"/>
      <c r="H2248" s="24">
        <f>IF($G2248="","",IFERROR(VLOOKUP($G2248,物料档案!$A$4:$P$1203,3,0),"※编码不在物料档案里"))</f>
        <v/>
      </c>
      <c r="I2248" s="24">
        <f>IF($G2248="","",IFERROR(VLOOKUP($G2248,物料档案!$A$4:$P$1203,4,0),"※编码不在物料档案里"))</f>
        <v/>
      </c>
      <c r="J2248" s="24">
        <f>IF($G2248="","",IFERROR(VLOOKUP($G2248,物料档案!$A$4:$P$1203,5,0),"※编码不在物料档案里"))</f>
        <v/>
      </c>
      <c r="K2248" s="23" t="n"/>
      <c r="L2248" s="31" t="n"/>
      <c r="M2248" s="24">
        <f>IF($G2248="","",IF($D2248="A国内","CNY","TZS"))</f>
        <v/>
      </c>
      <c r="N2248" s="28">
        <f>IF($G2248="","",IF($D2248="A国内",汇率,1))</f>
        <v/>
      </c>
      <c r="O2248" s="25">
        <f>IF($G2248="","",ROUND(N($K2248)*N($L2248),2))</f>
        <v/>
      </c>
      <c r="P2248" s="26">
        <f>IF($G2248="","",ROUND($O2248*$N2248,0))</f>
        <v/>
      </c>
      <c r="Q2248" s="26">
        <f>IF($G2248="","",SUMIFS($P$4:$P$2503,$E$4:$E$2503,$E2248,$Z$4:$Z$2503,"正常"))</f>
        <v/>
      </c>
      <c r="R2248" s="26">
        <f>IF($G2248="","",SUMIFS(费用台账!$I$4:$I$503,费用台账!$C$4:$C$503,$E2248,费用台账!$J$4:$J$503,"是",费用台账!$K$4:$K$503,"正常"))</f>
        <v/>
      </c>
      <c r="S2248" s="28">
        <f>IF($G2248="","",COUNTIFS($E$4:$E$2503,$E2248,$Z$4:$Z$2503,"正常",$Y$4:$Y$2503,"待补价"))</f>
        <v/>
      </c>
      <c r="T2248" s="26">
        <f>IF($G2248="","",SUMIFS($P$4:$P$2503,$E$4:$E$2503,$E2248,$Z$4:$Z$2503,"正常",$A$4:$A$2503,"&lt;="&amp;$A2248))</f>
        <v/>
      </c>
      <c r="U2248" s="26">
        <f>IF($G2248="","",IF(OR($S2248&gt;0,$Q2248=0,$R2248=0,$Z2248&lt;&gt;"正常"),0,ROUND($T2248/$Q2248*$R2248,0)-ROUND(($T2248-$P2248)/$Q2248*$R2248,0)))</f>
        <v/>
      </c>
      <c r="V2248" s="26">
        <f>IF($G2248="","",ROUND($P2248+$U2248,0))</f>
        <v/>
      </c>
      <c r="W2248" s="26">
        <f>IF($G2248="","",IF(N($K2248)=0,0,ROUND($V2248/$K2248,2)))</f>
        <v/>
      </c>
      <c r="X2248" s="17" t="n"/>
      <c r="Y2248" s="17" t="n"/>
      <c r="Z2248" s="17" t="n"/>
      <c r="AA2248" s="17" t="n"/>
      <c r="AB2248" s="17" t="n"/>
      <c r="AC2248" s="24">
        <f>IF($G2248="","",IF($H2248="※编码不在物料档案里","※物料编码不在档案里",IF(N($K2248)&lt;=0,"※入库数量要大于 0",IF(AND($C2248&lt;&gt;"",$C2248&lt;=结账锁),"※日期早于已结账截止日，不能再录",IF(AND($L2248=0,$X2248="正常"),"※没填单价，价格状态请选「待补价」",IF(AND($S2248&gt;0,$R2248&gt;0),"△本批有 "&amp;$S2248&amp;" 行没单价，整批运费先挂账没摊",IF(AND($B2248&lt;&gt;"",COUNTIF($B$4:$B$2503,$B2248)&gt;1),"※入库单号重复","")))))))</f>
        <v/>
      </c>
    </row>
    <row r="2249">
      <c r="A2249" s="24">
        <f>IF($G2249="","",COUNTA($G$4:$G2249))</f>
        <v/>
      </c>
      <c r="B2249" s="17" t="n"/>
      <c r="C2249" s="30" t="n"/>
      <c r="D2249" s="17" t="n"/>
      <c r="E2249" s="17" t="n"/>
      <c r="F2249" s="17" t="n"/>
      <c r="G2249" s="17" t="n"/>
      <c r="H2249" s="24">
        <f>IF($G2249="","",IFERROR(VLOOKUP($G2249,物料档案!$A$4:$P$1203,3,0),"※编码不在物料档案里"))</f>
        <v/>
      </c>
      <c r="I2249" s="24">
        <f>IF($G2249="","",IFERROR(VLOOKUP($G2249,物料档案!$A$4:$P$1203,4,0),"※编码不在物料档案里"))</f>
        <v/>
      </c>
      <c r="J2249" s="24">
        <f>IF($G2249="","",IFERROR(VLOOKUP($G2249,物料档案!$A$4:$P$1203,5,0),"※编码不在物料档案里"))</f>
        <v/>
      </c>
      <c r="K2249" s="23" t="n"/>
      <c r="L2249" s="31" t="n"/>
      <c r="M2249" s="24">
        <f>IF($G2249="","",IF($D2249="A国内","CNY","TZS"))</f>
        <v/>
      </c>
      <c r="N2249" s="28">
        <f>IF($G2249="","",IF($D2249="A国内",汇率,1))</f>
        <v/>
      </c>
      <c r="O2249" s="25">
        <f>IF($G2249="","",ROUND(N($K2249)*N($L2249),2))</f>
        <v/>
      </c>
      <c r="P2249" s="26">
        <f>IF($G2249="","",ROUND($O2249*$N2249,0))</f>
        <v/>
      </c>
      <c r="Q2249" s="26">
        <f>IF($G2249="","",SUMIFS($P$4:$P$2503,$E$4:$E$2503,$E2249,$Z$4:$Z$2503,"正常"))</f>
        <v/>
      </c>
      <c r="R2249" s="26">
        <f>IF($G2249="","",SUMIFS(费用台账!$I$4:$I$503,费用台账!$C$4:$C$503,$E2249,费用台账!$J$4:$J$503,"是",费用台账!$K$4:$K$503,"正常"))</f>
        <v/>
      </c>
      <c r="S2249" s="28">
        <f>IF($G2249="","",COUNTIFS($E$4:$E$2503,$E2249,$Z$4:$Z$2503,"正常",$Y$4:$Y$2503,"待补价"))</f>
        <v/>
      </c>
      <c r="T2249" s="26">
        <f>IF($G2249="","",SUMIFS($P$4:$P$2503,$E$4:$E$2503,$E2249,$Z$4:$Z$2503,"正常",$A$4:$A$2503,"&lt;="&amp;$A2249))</f>
        <v/>
      </c>
      <c r="U2249" s="26">
        <f>IF($G2249="","",IF(OR($S2249&gt;0,$Q2249=0,$R2249=0,$Z2249&lt;&gt;"正常"),0,ROUND($T2249/$Q2249*$R2249,0)-ROUND(($T2249-$P2249)/$Q2249*$R2249,0)))</f>
        <v/>
      </c>
      <c r="V2249" s="26">
        <f>IF($G2249="","",ROUND($P2249+$U2249,0))</f>
        <v/>
      </c>
      <c r="W2249" s="26">
        <f>IF($G2249="","",IF(N($K2249)=0,0,ROUND($V2249/$K2249,2)))</f>
        <v/>
      </c>
      <c r="X2249" s="17" t="n"/>
      <c r="Y2249" s="17" t="n"/>
      <c r="Z2249" s="17" t="n"/>
      <c r="AA2249" s="17" t="n"/>
      <c r="AB2249" s="17" t="n"/>
      <c r="AC2249" s="24">
        <f>IF($G2249="","",IF($H2249="※编码不在物料档案里","※物料编码不在档案里",IF(N($K2249)&lt;=0,"※入库数量要大于 0",IF(AND($C2249&lt;&gt;"",$C2249&lt;=结账锁),"※日期早于已结账截止日，不能再录",IF(AND($L2249=0,$X2249="正常"),"※没填单价，价格状态请选「待补价」",IF(AND($S2249&gt;0,$R2249&gt;0),"△本批有 "&amp;$S2249&amp;" 行没单价，整批运费先挂账没摊",IF(AND($B2249&lt;&gt;"",COUNTIF($B$4:$B$2503,$B2249)&gt;1),"※入库单号重复","")))))))</f>
        <v/>
      </c>
    </row>
    <row r="2250">
      <c r="A2250" s="24">
        <f>IF($G2250="","",COUNTA($G$4:$G2250))</f>
        <v/>
      </c>
      <c r="B2250" s="17" t="n"/>
      <c r="C2250" s="30" t="n"/>
      <c r="D2250" s="17" t="n"/>
      <c r="E2250" s="17" t="n"/>
      <c r="F2250" s="17" t="n"/>
      <c r="G2250" s="17" t="n"/>
      <c r="H2250" s="24">
        <f>IF($G2250="","",IFERROR(VLOOKUP($G2250,物料档案!$A$4:$P$1203,3,0),"※编码不在物料档案里"))</f>
        <v/>
      </c>
      <c r="I2250" s="24">
        <f>IF($G2250="","",IFERROR(VLOOKUP($G2250,物料档案!$A$4:$P$1203,4,0),"※编码不在物料档案里"))</f>
        <v/>
      </c>
      <c r="J2250" s="24">
        <f>IF($G2250="","",IFERROR(VLOOKUP($G2250,物料档案!$A$4:$P$1203,5,0),"※编码不在物料档案里"))</f>
        <v/>
      </c>
      <c r="K2250" s="23" t="n"/>
      <c r="L2250" s="31" t="n"/>
      <c r="M2250" s="24">
        <f>IF($G2250="","",IF($D2250="A国内","CNY","TZS"))</f>
        <v/>
      </c>
      <c r="N2250" s="28">
        <f>IF($G2250="","",IF($D2250="A国内",汇率,1))</f>
        <v/>
      </c>
      <c r="O2250" s="25">
        <f>IF($G2250="","",ROUND(N($K2250)*N($L2250),2))</f>
        <v/>
      </c>
      <c r="P2250" s="26">
        <f>IF($G2250="","",ROUND($O2250*$N2250,0))</f>
        <v/>
      </c>
      <c r="Q2250" s="26">
        <f>IF($G2250="","",SUMIFS($P$4:$P$2503,$E$4:$E$2503,$E2250,$Z$4:$Z$2503,"正常"))</f>
        <v/>
      </c>
      <c r="R2250" s="26">
        <f>IF($G2250="","",SUMIFS(费用台账!$I$4:$I$503,费用台账!$C$4:$C$503,$E2250,费用台账!$J$4:$J$503,"是",费用台账!$K$4:$K$503,"正常"))</f>
        <v/>
      </c>
      <c r="S2250" s="28">
        <f>IF($G2250="","",COUNTIFS($E$4:$E$2503,$E2250,$Z$4:$Z$2503,"正常",$Y$4:$Y$2503,"待补价"))</f>
        <v/>
      </c>
      <c r="T2250" s="26">
        <f>IF($G2250="","",SUMIFS($P$4:$P$2503,$E$4:$E$2503,$E2250,$Z$4:$Z$2503,"正常",$A$4:$A$2503,"&lt;="&amp;$A2250))</f>
        <v/>
      </c>
      <c r="U2250" s="26">
        <f>IF($G2250="","",IF(OR($S2250&gt;0,$Q2250=0,$R2250=0,$Z2250&lt;&gt;"正常"),0,ROUND($T2250/$Q2250*$R2250,0)-ROUND(($T2250-$P2250)/$Q2250*$R2250,0)))</f>
        <v/>
      </c>
      <c r="V2250" s="26">
        <f>IF($G2250="","",ROUND($P2250+$U2250,0))</f>
        <v/>
      </c>
      <c r="W2250" s="26">
        <f>IF($G2250="","",IF(N($K2250)=0,0,ROUND($V2250/$K2250,2)))</f>
        <v/>
      </c>
      <c r="X2250" s="17" t="n"/>
      <c r="Y2250" s="17" t="n"/>
      <c r="Z2250" s="17" t="n"/>
      <c r="AA2250" s="17" t="n"/>
      <c r="AB2250" s="17" t="n"/>
      <c r="AC2250" s="24">
        <f>IF($G2250="","",IF($H2250="※编码不在物料档案里","※物料编码不在档案里",IF(N($K2250)&lt;=0,"※入库数量要大于 0",IF(AND($C2250&lt;&gt;"",$C2250&lt;=结账锁),"※日期早于已结账截止日，不能再录",IF(AND($L2250=0,$X2250="正常"),"※没填单价，价格状态请选「待补价」",IF(AND($S2250&gt;0,$R2250&gt;0),"△本批有 "&amp;$S2250&amp;" 行没单价，整批运费先挂账没摊",IF(AND($B2250&lt;&gt;"",COUNTIF($B$4:$B$2503,$B2250)&gt;1),"※入库单号重复","")))))))</f>
        <v/>
      </c>
    </row>
    <row r="2251">
      <c r="A2251" s="24">
        <f>IF($G2251="","",COUNTA($G$4:$G2251))</f>
        <v/>
      </c>
      <c r="B2251" s="17" t="n"/>
      <c r="C2251" s="30" t="n"/>
      <c r="D2251" s="17" t="n"/>
      <c r="E2251" s="17" t="n"/>
      <c r="F2251" s="17" t="n"/>
      <c r="G2251" s="17" t="n"/>
      <c r="H2251" s="24">
        <f>IF($G2251="","",IFERROR(VLOOKUP($G2251,物料档案!$A$4:$P$1203,3,0),"※编码不在物料档案里"))</f>
        <v/>
      </c>
      <c r="I2251" s="24">
        <f>IF($G2251="","",IFERROR(VLOOKUP($G2251,物料档案!$A$4:$P$1203,4,0),"※编码不在物料档案里"))</f>
        <v/>
      </c>
      <c r="J2251" s="24">
        <f>IF($G2251="","",IFERROR(VLOOKUP($G2251,物料档案!$A$4:$P$1203,5,0),"※编码不在物料档案里"))</f>
        <v/>
      </c>
      <c r="K2251" s="23" t="n"/>
      <c r="L2251" s="31" t="n"/>
      <c r="M2251" s="24">
        <f>IF($G2251="","",IF($D2251="A国内","CNY","TZS"))</f>
        <v/>
      </c>
      <c r="N2251" s="28">
        <f>IF($G2251="","",IF($D2251="A国内",汇率,1))</f>
        <v/>
      </c>
      <c r="O2251" s="25">
        <f>IF($G2251="","",ROUND(N($K2251)*N($L2251),2))</f>
        <v/>
      </c>
      <c r="P2251" s="26">
        <f>IF($G2251="","",ROUND($O2251*$N2251,0))</f>
        <v/>
      </c>
      <c r="Q2251" s="26">
        <f>IF($G2251="","",SUMIFS($P$4:$P$2503,$E$4:$E$2503,$E2251,$Z$4:$Z$2503,"正常"))</f>
        <v/>
      </c>
      <c r="R2251" s="26">
        <f>IF($G2251="","",SUMIFS(费用台账!$I$4:$I$503,费用台账!$C$4:$C$503,$E2251,费用台账!$J$4:$J$503,"是",费用台账!$K$4:$K$503,"正常"))</f>
        <v/>
      </c>
      <c r="S2251" s="28">
        <f>IF($G2251="","",COUNTIFS($E$4:$E$2503,$E2251,$Z$4:$Z$2503,"正常",$Y$4:$Y$2503,"待补价"))</f>
        <v/>
      </c>
      <c r="T2251" s="26">
        <f>IF($G2251="","",SUMIFS($P$4:$P$2503,$E$4:$E$2503,$E2251,$Z$4:$Z$2503,"正常",$A$4:$A$2503,"&lt;="&amp;$A2251))</f>
        <v/>
      </c>
      <c r="U2251" s="26">
        <f>IF($G2251="","",IF(OR($S2251&gt;0,$Q2251=0,$R2251=0,$Z2251&lt;&gt;"正常"),0,ROUND($T2251/$Q2251*$R2251,0)-ROUND(($T2251-$P2251)/$Q2251*$R2251,0)))</f>
        <v/>
      </c>
      <c r="V2251" s="26">
        <f>IF($G2251="","",ROUND($P2251+$U2251,0))</f>
        <v/>
      </c>
      <c r="W2251" s="26">
        <f>IF($G2251="","",IF(N($K2251)=0,0,ROUND($V2251/$K2251,2)))</f>
        <v/>
      </c>
      <c r="X2251" s="17" t="n"/>
      <c r="Y2251" s="17" t="n"/>
      <c r="Z2251" s="17" t="n"/>
      <c r="AA2251" s="17" t="n"/>
      <c r="AB2251" s="17" t="n"/>
      <c r="AC2251" s="24">
        <f>IF($G2251="","",IF($H2251="※编码不在物料档案里","※物料编码不在档案里",IF(N($K2251)&lt;=0,"※入库数量要大于 0",IF(AND($C2251&lt;&gt;"",$C2251&lt;=结账锁),"※日期早于已结账截止日，不能再录",IF(AND($L2251=0,$X2251="正常"),"※没填单价，价格状态请选「待补价」",IF(AND($S2251&gt;0,$R2251&gt;0),"△本批有 "&amp;$S2251&amp;" 行没单价，整批运费先挂账没摊",IF(AND($B2251&lt;&gt;"",COUNTIF($B$4:$B$2503,$B2251)&gt;1),"※入库单号重复","")))))))</f>
        <v/>
      </c>
    </row>
    <row r="2252">
      <c r="A2252" s="24">
        <f>IF($G2252="","",COUNTA($G$4:$G2252))</f>
        <v/>
      </c>
      <c r="B2252" s="17" t="n"/>
      <c r="C2252" s="30" t="n"/>
      <c r="D2252" s="17" t="n"/>
      <c r="E2252" s="17" t="n"/>
      <c r="F2252" s="17" t="n"/>
      <c r="G2252" s="17" t="n"/>
      <c r="H2252" s="24">
        <f>IF($G2252="","",IFERROR(VLOOKUP($G2252,物料档案!$A$4:$P$1203,3,0),"※编码不在物料档案里"))</f>
        <v/>
      </c>
      <c r="I2252" s="24">
        <f>IF($G2252="","",IFERROR(VLOOKUP($G2252,物料档案!$A$4:$P$1203,4,0),"※编码不在物料档案里"))</f>
        <v/>
      </c>
      <c r="J2252" s="24">
        <f>IF($G2252="","",IFERROR(VLOOKUP($G2252,物料档案!$A$4:$P$1203,5,0),"※编码不在物料档案里"))</f>
        <v/>
      </c>
      <c r="K2252" s="23" t="n"/>
      <c r="L2252" s="31" t="n"/>
      <c r="M2252" s="24">
        <f>IF($G2252="","",IF($D2252="A国内","CNY","TZS"))</f>
        <v/>
      </c>
      <c r="N2252" s="28">
        <f>IF($G2252="","",IF($D2252="A国内",汇率,1))</f>
        <v/>
      </c>
      <c r="O2252" s="25">
        <f>IF($G2252="","",ROUND(N($K2252)*N($L2252),2))</f>
        <v/>
      </c>
      <c r="P2252" s="26">
        <f>IF($G2252="","",ROUND($O2252*$N2252,0))</f>
        <v/>
      </c>
      <c r="Q2252" s="26">
        <f>IF($G2252="","",SUMIFS($P$4:$P$2503,$E$4:$E$2503,$E2252,$Z$4:$Z$2503,"正常"))</f>
        <v/>
      </c>
      <c r="R2252" s="26">
        <f>IF($G2252="","",SUMIFS(费用台账!$I$4:$I$503,费用台账!$C$4:$C$503,$E2252,费用台账!$J$4:$J$503,"是",费用台账!$K$4:$K$503,"正常"))</f>
        <v/>
      </c>
      <c r="S2252" s="28">
        <f>IF($G2252="","",COUNTIFS($E$4:$E$2503,$E2252,$Z$4:$Z$2503,"正常",$Y$4:$Y$2503,"待补价"))</f>
        <v/>
      </c>
      <c r="T2252" s="26">
        <f>IF($G2252="","",SUMIFS($P$4:$P$2503,$E$4:$E$2503,$E2252,$Z$4:$Z$2503,"正常",$A$4:$A$2503,"&lt;="&amp;$A2252))</f>
        <v/>
      </c>
      <c r="U2252" s="26">
        <f>IF($G2252="","",IF(OR($S2252&gt;0,$Q2252=0,$R2252=0,$Z2252&lt;&gt;"正常"),0,ROUND($T2252/$Q2252*$R2252,0)-ROUND(($T2252-$P2252)/$Q2252*$R2252,0)))</f>
        <v/>
      </c>
      <c r="V2252" s="26">
        <f>IF($G2252="","",ROUND($P2252+$U2252,0))</f>
        <v/>
      </c>
      <c r="W2252" s="26">
        <f>IF($G2252="","",IF(N($K2252)=0,0,ROUND($V2252/$K2252,2)))</f>
        <v/>
      </c>
      <c r="X2252" s="17" t="n"/>
      <c r="Y2252" s="17" t="n"/>
      <c r="Z2252" s="17" t="n"/>
      <c r="AA2252" s="17" t="n"/>
      <c r="AB2252" s="17" t="n"/>
      <c r="AC2252" s="24">
        <f>IF($G2252="","",IF($H2252="※编码不在物料档案里","※物料编码不在档案里",IF(N($K2252)&lt;=0,"※入库数量要大于 0",IF(AND($C2252&lt;&gt;"",$C2252&lt;=结账锁),"※日期早于已结账截止日，不能再录",IF(AND($L2252=0,$X2252="正常"),"※没填单价，价格状态请选「待补价」",IF(AND($S2252&gt;0,$R2252&gt;0),"△本批有 "&amp;$S2252&amp;" 行没单价，整批运费先挂账没摊",IF(AND($B2252&lt;&gt;"",COUNTIF($B$4:$B$2503,$B2252)&gt;1),"※入库单号重复","")))))))</f>
        <v/>
      </c>
    </row>
    <row r="2253">
      <c r="A2253" s="24">
        <f>IF($G2253="","",COUNTA($G$4:$G2253))</f>
        <v/>
      </c>
      <c r="B2253" s="17" t="n"/>
      <c r="C2253" s="30" t="n"/>
      <c r="D2253" s="17" t="n"/>
      <c r="E2253" s="17" t="n"/>
      <c r="F2253" s="17" t="n"/>
      <c r="G2253" s="17" t="n"/>
      <c r="H2253" s="24">
        <f>IF($G2253="","",IFERROR(VLOOKUP($G2253,物料档案!$A$4:$P$1203,3,0),"※编码不在物料档案里"))</f>
        <v/>
      </c>
      <c r="I2253" s="24">
        <f>IF($G2253="","",IFERROR(VLOOKUP($G2253,物料档案!$A$4:$P$1203,4,0),"※编码不在物料档案里"))</f>
        <v/>
      </c>
      <c r="J2253" s="24">
        <f>IF($G2253="","",IFERROR(VLOOKUP($G2253,物料档案!$A$4:$P$1203,5,0),"※编码不在物料档案里"))</f>
        <v/>
      </c>
      <c r="K2253" s="23" t="n"/>
      <c r="L2253" s="31" t="n"/>
      <c r="M2253" s="24">
        <f>IF($G2253="","",IF($D2253="A国内","CNY","TZS"))</f>
        <v/>
      </c>
      <c r="N2253" s="28">
        <f>IF($G2253="","",IF($D2253="A国内",汇率,1))</f>
        <v/>
      </c>
      <c r="O2253" s="25">
        <f>IF($G2253="","",ROUND(N($K2253)*N($L2253),2))</f>
        <v/>
      </c>
      <c r="P2253" s="26">
        <f>IF($G2253="","",ROUND($O2253*$N2253,0))</f>
        <v/>
      </c>
      <c r="Q2253" s="26">
        <f>IF($G2253="","",SUMIFS($P$4:$P$2503,$E$4:$E$2503,$E2253,$Z$4:$Z$2503,"正常"))</f>
        <v/>
      </c>
      <c r="R2253" s="26">
        <f>IF($G2253="","",SUMIFS(费用台账!$I$4:$I$503,费用台账!$C$4:$C$503,$E2253,费用台账!$J$4:$J$503,"是",费用台账!$K$4:$K$503,"正常"))</f>
        <v/>
      </c>
      <c r="S2253" s="28">
        <f>IF($G2253="","",COUNTIFS($E$4:$E$2503,$E2253,$Z$4:$Z$2503,"正常",$Y$4:$Y$2503,"待补价"))</f>
        <v/>
      </c>
      <c r="T2253" s="26">
        <f>IF($G2253="","",SUMIFS($P$4:$P$2503,$E$4:$E$2503,$E2253,$Z$4:$Z$2503,"正常",$A$4:$A$2503,"&lt;="&amp;$A2253))</f>
        <v/>
      </c>
      <c r="U2253" s="26">
        <f>IF($G2253="","",IF(OR($S2253&gt;0,$Q2253=0,$R2253=0,$Z2253&lt;&gt;"正常"),0,ROUND($T2253/$Q2253*$R2253,0)-ROUND(($T2253-$P2253)/$Q2253*$R2253,0)))</f>
        <v/>
      </c>
      <c r="V2253" s="26">
        <f>IF($G2253="","",ROUND($P2253+$U2253,0))</f>
        <v/>
      </c>
      <c r="W2253" s="26">
        <f>IF($G2253="","",IF(N($K2253)=0,0,ROUND($V2253/$K2253,2)))</f>
        <v/>
      </c>
      <c r="X2253" s="17" t="n"/>
      <c r="Y2253" s="17" t="n"/>
      <c r="Z2253" s="17" t="n"/>
      <c r="AA2253" s="17" t="n"/>
      <c r="AB2253" s="17" t="n"/>
      <c r="AC2253" s="24">
        <f>IF($G2253="","",IF($H2253="※编码不在物料档案里","※物料编码不在档案里",IF(N($K2253)&lt;=0,"※入库数量要大于 0",IF(AND($C2253&lt;&gt;"",$C2253&lt;=结账锁),"※日期早于已结账截止日，不能再录",IF(AND($L2253=0,$X2253="正常"),"※没填单价，价格状态请选「待补价」",IF(AND($S2253&gt;0,$R2253&gt;0),"△本批有 "&amp;$S2253&amp;" 行没单价，整批运费先挂账没摊",IF(AND($B2253&lt;&gt;"",COUNTIF($B$4:$B$2503,$B2253)&gt;1),"※入库单号重复","")))))))</f>
        <v/>
      </c>
    </row>
    <row r="2254">
      <c r="A2254" s="24">
        <f>IF($G2254="","",COUNTA($G$4:$G2254))</f>
        <v/>
      </c>
      <c r="B2254" s="17" t="n"/>
      <c r="C2254" s="30" t="n"/>
      <c r="D2254" s="17" t="n"/>
      <c r="E2254" s="17" t="n"/>
      <c r="F2254" s="17" t="n"/>
      <c r="G2254" s="17" t="n"/>
      <c r="H2254" s="24">
        <f>IF($G2254="","",IFERROR(VLOOKUP($G2254,物料档案!$A$4:$P$1203,3,0),"※编码不在物料档案里"))</f>
        <v/>
      </c>
      <c r="I2254" s="24">
        <f>IF($G2254="","",IFERROR(VLOOKUP($G2254,物料档案!$A$4:$P$1203,4,0),"※编码不在物料档案里"))</f>
        <v/>
      </c>
      <c r="J2254" s="24">
        <f>IF($G2254="","",IFERROR(VLOOKUP($G2254,物料档案!$A$4:$P$1203,5,0),"※编码不在物料档案里"))</f>
        <v/>
      </c>
      <c r="K2254" s="23" t="n"/>
      <c r="L2254" s="31" t="n"/>
      <c r="M2254" s="24">
        <f>IF($G2254="","",IF($D2254="A国内","CNY","TZS"))</f>
        <v/>
      </c>
      <c r="N2254" s="28">
        <f>IF($G2254="","",IF($D2254="A国内",汇率,1))</f>
        <v/>
      </c>
      <c r="O2254" s="25">
        <f>IF($G2254="","",ROUND(N($K2254)*N($L2254),2))</f>
        <v/>
      </c>
      <c r="P2254" s="26">
        <f>IF($G2254="","",ROUND($O2254*$N2254,0))</f>
        <v/>
      </c>
      <c r="Q2254" s="26">
        <f>IF($G2254="","",SUMIFS($P$4:$P$2503,$E$4:$E$2503,$E2254,$Z$4:$Z$2503,"正常"))</f>
        <v/>
      </c>
      <c r="R2254" s="26">
        <f>IF($G2254="","",SUMIFS(费用台账!$I$4:$I$503,费用台账!$C$4:$C$503,$E2254,费用台账!$J$4:$J$503,"是",费用台账!$K$4:$K$503,"正常"))</f>
        <v/>
      </c>
      <c r="S2254" s="28">
        <f>IF($G2254="","",COUNTIFS($E$4:$E$2503,$E2254,$Z$4:$Z$2503,"正常",$Y$4:$Y$2503,"待补价"))</f>
        <v/>
      </c>
      <c r="T2254" s="26">
        <f>IF($G2254="","",SUMIFS($P$4:$P$2503,$E$4:$E$2503,$E2254,$Z$4:$Z$2503,"正常",$A$4:$A$2503,"&lt;="&amp;$A2254))</f>
        <v/>
      </c>
      <c r="U2254" s="26">
        <f>IF($G2254="","",IF(OR($S2254&gt;0,$Q2254=0,$R2254=0,$Z2254&lt;&gt;"正常"),0,ROUND($T2254/$Q2254*$R2254,0)-ROUND(($T2254-$P2254)/$Q2254*$R2254,0)))</f>
        <v/>
      </c>
      <c r="V2254" s="26">
        <f>IF($G2254="","",ROUND($P2254+$U2254,0))</f>
        <v/>
      </c>
      <c r="W2254" s="26">
        <f>IF($G2254="","",IF(N($K2254)=0,0,ROUND($V2254/$K2254,2)))</f>
        <v/>
      </c>
      <c r="X2254" s="17" t="n"/>
      <c r="Y2254" s="17" t="n"/>
      <c r="Z2254" s="17" t="n"/>
      <c r="AA2254" s="17" t="n"/>
      <c r="AB2254" s="17" t="n"/>
      <c r="AC2254" s="24">
        <f>IF($G2254="","",IF($H2254="※编码不在物料档案里","※物料编码不在档案里",IF(N($K2254)&lt;=0,"※入库数量要大于 0",IF(AND($C2254&lt;&gt;"",$C2254&lt;=结账锁),"※日期早于已结账截止日，不能再录",IF(AND($L2254=0,$X2254="正常"),"※没填单价，价格状态请选「待补价」",IF(AND($S2254&gt;0,$R2254&gt;0),"△本批有 "&amp;$S2254&amp;" 行没单价，整批运费先挂账没摊",IF(AND($B2254&lt;&gt;"",COUNTIF($B$4:$B$2503,$B2254)&gt;1),"※入库单号重复","")))))))</f>
        <v/>
      </c>
    </row>
    <row r="2255">
      <c r="A2255" s="24">
        <f>IF($G2255="","",COUNTA($G$4:$G2255))</f>
        <v/>
      </c>
      <c r="B2255" s="17" t="n"/>
      <c r="C2255" s="30" t="n"/>
      <c r="D2255" s="17" t="n"/>
      <c r="E2255" s="17" t="n"/>
      <c r="F2255" s="17" t="n"/>
      <c r="G2255" s="17" t="n"/>
      <c r="H2255" s="24">
        <f>IF($G2255="","",IFERROR(VLOOKUP($G2255,物料档案!$A$4:$P$1203,3,0),"※编码不在物料档案里"))</f>
        <v/>
      </c>
      <c r="I2255" s="24">
        <f>IF($G2255="","",IFERROR(VLOOKUP($G2255,物料档案!$A$4:$P$1203,4,0),"※编码不在物料档案里"))</f>
        <v/>
      </c>
      <c r="J2255" s="24">
        <f>IF($G2255="","",IFERROR(VLOOKUP($G2255,物料档案!$A$4:$P$1203,5,0),"※编码不在物料档案里"))</f>
        <v/>
      </c>
      <c r="K2255" s="23" t="n"/>
      <c r="L2255" s="31" t="n"/>
      <c r="M2255" s="24">
        <f>IF($G2255="","",IF($D2255="A国内","CNY","TZS"))</f>
        <v/>
      </c>
      <c r="N2255" s="28">
        <f>IF($G2255="","",IF($D2255="A国内",汇率,1))</f>
        <v/>
      </c>
      <c r="O2255" s="25">
        <f>IF($G2255="","",ROUND(N($K2255)*N($L2255),2))</f>
        <v/>
      </c>
      <c r="P2255" s="26">
        <f>IF($G2255="","",ROUND($O2255*$N2255,0))</f>
        <v/>
      </c>
      <c r="Q2255" s="26">
        <f>IF($G2255="","",SUMIFS($P$4:$P$2503,$E$4:$E$2503,$E2255,$Z$4:$Z$2503,"正常"))</f>
        <v/>
      </c>
      <c r="R2255" s="26">
        <f>IF($G2255="","",SUMIFS(费用台账!$I$4:$I$503,费用台账!$C$4:$C$503,$E2255,费用台账!$J$4:$J$503,"是",费用台账!$K$4:$K$503,"正常"))</f>
        <v/>
      </c>
      <c r="S2255" s="28">
        <f>IF($G2255="","",COUNTIFS($E$4:$E$2503,$E2255,$Z$4:$Z$2503,"正常",$Y$4:$Y$2503,"待补价"))</f>
        <v/>
      </c>
      <c r="T2255" s="26">
        <f>IF($G2255="","",SUMIFS($P$4:$P$2503,$E$4:$E$2503,$E2255,$Z$4:$Z$2503,"正常",$A$4:$A$2503,"&lt;="&amp;$A2255))</f>
        <v/>
      </c>
      <c r="U2255" s="26">
        <f>IF($G2255="","",IF(OR($S2255&gt;0,$Q2255=0,$R2255=0,$Z2255&lt;&gt;"正常"),0,ROUND($T2255/$Q2255*$R2255,0)-ROUND(($T2255-$P2255)/$Q2255*$R2255,0)))</f>
        <v/>
      </c>
      <c r="V2255" s="26">
        <f>IF($G2255="","",ROUND($P2255+$U2255,0))</f>
        <v/>
      </c>
      <c r="W2255" s="26">
        <f>IF($G2255="","",IF(N($K2255)=0,0,ROUND($V2255/$K2255,2)))</f>
        <v/>
      </c>
      <c r="X2255" s="17" t="n"/>
      <c r="Y2255" s="17" t="n"/>
      <c r="Z2255" s="17" t="n"/>
      <c r="AA2255" s="17" t="n"/>
      <c r="AB2255" s="17" t="n"/>
      <c r="AC2255" s="24">
        <f>IF($G2255="","",IF($H2255="※编码不在物料档案里","※物料编码不在档案里",IF(N($K2255)&lt;=0,"※入库数量要大于 0",IF(AND($C2255&lt;&gt;"",$C2255&lt;=结账锁),"※日期早于已结账截止日，不能再录",IF(AND($L2255=0,$X2255="正常"),"※没填单价，价格状态请选「待补价」",IF(AND($S2255&gt;0,$R2255&gt;0),"△本批有 "&amp;$S2255&amp;" 行没单价，整批运费先挂账没摊",IF(AND($B2255&lt;&gt;"",COUNTIF($B$4:$B$2503,$B2255)&gt;1),"※入库单号重复","")))))))</f>
        <v/>
      </c>
    </row>
    <row r="2256">
      <c r="A2256" s="24">
        <f>IF($G2256="","",COUNTA($G$4:$G2256))</f>
        <v/>
      </c>
      <c r="B2256" s="17" t="n"/>
      <c r="C2256" s="30" t="n"/>
      <c r="D2256" s="17" t="n"/>
      <c r="E2256" s="17" t="n"/>
      <c r="F2256" s="17" t="n"/>
      <c r="G2256" s="17" t="n"/>
      <c r="H2256" s="24">
        <f>IF($G2256="","",IFERROR(VLOOKUP($G2256,物料档案!$A$4:$P$1203,3,0),"※编码不在物料档案里"))</f>
        <v/>
      </c>
      <c r="I2256" s="24">
        <f>IF($G2256="","",IFERROR(VLOOKUP($G2256,物料档案!$A$4:$P$1203,4,0),"※编码不在物料档案里"))</f>
        <v/>
      </c>
      <c r="J2256" s="24">
        <f>IF($G2256="","",IFERROR(VLOOKUP($G2256,物料档案!$A$4:$P$1203,5,0),"※编码不在物料档案里"))</f>
        <v/>
      </c>
      <c r="K2256" s="23" t="n"/>
      <c r="L2256" s="31" t="n"/>
      <c r="M2256" s="24">
        <f>IF($G2256="","",IF($D2256="A国内","CNY","TZS"))</f>
        <v/>
      </c>
      <c r="N2256" s="28">
        <f>IF($G2256="","",IF($D2256="A国内",汇率,1))</f>
        <v/>
      </c>
      <c r="O2256" s="25">
        <f>IF($G2256="","",ROUND(N($K2256)*N($L2256),2))</f>
        <v/>
      </c>
      <c r="P2256" s="26">
        <f>IF($G2256="","",ROUND($O2256*$N2256,0))</f>
        <v/>
      </c>
      <c r="Q2256" s="26">
        <f>IF($G2256="","",SUMIFS($P$4:$P$2503,$E$4:$E$2503,$E2256,$Z$4:$Z$2503,"正常"))</f>
        <v/>
      </c>
      <c r="R2256" s="26">
        <f>IF($G2256="","",SUMIFS(费用台账!$I$4:$I$503,费用台账!$C$4:$C$503,$E2256,费用台账!$J$4:$J$503,"是",费用台账!$K$4:$K$503,"正常"))</f>
        <v/>
      </c>
      <c r="S2256" s="28">
        <f>IF($G2256="","",COUNTIFS($E$4:$E$2503,$E2256,$Z$4:$Z$2503,"正常",$Y$4:$Y$2503,"待补价"))</f>
        <v/>
      </c>
      <c r="T2256" s="26">
        <f>IF($G2256="","",SUMIFS($P$4:$P$2503,$E$4:$E$2503,$E2256,$Z$4:$Z$2503,"正常",$A$4:$A$2503,"&lt;="&amp;$A2256))</f>
        <v/>
      </c>
      <c r="U2256" s="26">
        <f>IF($G2256="","",IF(OR($S2256&gt;0,$Q2256=0,$R2256=0,$Z2256&lt;&gt;"正常"),0,ROUND($T2256/$Q2256*$R2256,0)-ROUND(($T2256-$P2256)/$Q2256*$R2256,0)))</f>
        <v/>
      </c>
      <c r="V2256" s="26">
        <f>IF($G2256="","",ROUND($P2256+$U2256,0))</f>
        <v/>
      </c>
      <c r="W2256" s="26">
        <f>IF($G2256="","",IF(N($K2256)=0,0,ROUND($V2256/$K2256,2)))</f>
        <v/>
      </c>
      <c r="X2256" s="17" t="n"/>
      <c r="Y2256" s="17" t="n"/>
      <c r="Z2256" s="17" t="n"/>
      <c r="AA2256" s="17" t="n"/>
      <c r="AB2256" s="17" t="n"/>
      <c r="AC2256" s="24">
        <f>IF($G2256="","",IF($H2256="※编码不在物料档案里","※物料编码不在档案里",IF(N($K2256)&lt;=0,"※入库数量要大于 0",IF(AND($C2256&lt;&gt;"",$C2256&lt;=结账锁),"※日期早于已结账截止日，不能再录",IF(AND($L2256=0,$X2256="正常"),"※没填单价，价格状态请选「待补价」",IF(AND($S2256&gt;0,$R2256&gt;0),"△本批有 "&amp;$S2256&amp;" 行没单价，整批运费先挂账没摊",IF(AND($B2256&lt;&gt;"",COUNTIF($B$4:$B$2503,$B2256)&gt;1),"※入库单号重复","")))))))</f>
        <v/>
      </c>
    </row>
    <row r="2257">
      <c r="A2257" s="24">
        <f>IF($G2257="","",COUNTA($G$4:$G2257))</f>
        <v/>
      </c>
      <c r="B2257" s="17" t="n"/>
      <c r="C2257" s="30" t="n"/>
      <c r="D2257" s="17" t="n"/>
      <c r="E2257" s="17" t="n"/>
      <c r="F2257" s="17" t="n"/>
      <c r="G2257" s="17" t="n"/>
      <c r="H2257" s="24">
        <f>IF($G2257="","",IFERROR(VLOOKUP($G2257,物料档案!$A$4:$P$1203,3,0),"※编码不在物料档案里"))</f>
        <v/>
      </c>
      <c r="I2257" s="24">
        <f>IF($G2257="","",IFERROR(VLOOKUP($G2257,物料档案!$A$4:$P$1203,4,0),"※编码不在物料档案里"))</f>
        <v/>
      </c>
      <c r="J2257" s="24">
        <f>IF($G2257="","",IFERROR(VLOOKUP($G2257,物料档案!$A$4:$P$1203,5,0),"※编码不在物料档案里"))</f>
        <v/>
      </c>
      <c r="K2257" s="23" t="n"/>
      <c r="L2257" s="31" t="n"/>
      <c r="M2257" s="24">
        <f>IF($G2257="","",IF($D2257="A国内","CNY","TZS"))</f>
        <v/>
      </c>
      <c r="N2257" s="28">
        <f>IF($G2257="","",IF($D2257="A国内",汇率,1))</f>
        <v/>
      </c>
      <c r="O2257" s="25">
        <f>IF($G2257="","",ROUND(N($K2257)*N($L2257),2))</f>
        <v/>
      </c>
      <c r="P2257" s="26">
        <f>IF($G2257="","",ROUND($O2257*$N2257,0))</f>
        <v/>
      </c>
      <c r="Q2257" s="26">
        <f>IF($G2257="","",SUMIFS($P$4:$P$2503,$E$4:$E$2503,$E2257,$Z$4:$Z$2503,"正常"))</f>
        <v/>
      </c>
      <c r="R2257" s="26">
        <f>IF($G2257="","",SUMIFS(费用台账!$I$4:$I$503,费用台账!$C$4:$C$503,$E2257,费用台账!$J$4:$J$503,"是",费用台账!$K$4:$K$503,"正常"))</f>
        <v/>
      </c>
      <c r="S2257" s="28">
        <f>IF($G2257="","",COUNTIFS($E$4:$E$2503,$E2257,$Z$4:$Z$2503,"正常",$Y$4:$Y$2503,"待补价"))</f>
        <v/>
      </c>
      <c r="T2257" s="26">
        <f>IF($G2257="","",SUMIFS($P$4:$P$2503,$E$4:$E$2503,$E2257,$Z$4:$Z$2503,"正常",$A$4:$A$2503,"&lt;="&amp;$A2257))</f>
        <v/>
      </c>
      <c r="U2257" s="26">
        <f>IF($G2257="","",IF(OR($S2257&gt;0,$Q2257=0,$R2257=0,$Z2257&lt;&gt;"正常"),0,ROUND($T2257/$Q2257*$R2257,0)-ROUND(($T2257-$P2257)/$Q2257*$R2257,0)))</f>
        <v/>
      </c>
      <c r="V2257" s="26">
        <f>IF($G2257="","",ROUND($P2257+$U2257,0))</f>
        <v/>
      </c>
      <c r="W2257" s="26">
        <f>IF($G2257="","",IF(N($K2257)=0,0,ROUND($V2257/$K2257,2)))</f>
        <v/>
      </c>
      <c r="X2257" s="17" t="n"/>
      <c r="Y2257" s="17" t="n"/>
      <c r="Z2257" s="17" t="n"/>
      <c r="AA2257" s="17" t="n"/>
      <c r="AB2257" s="17" t="n"/>
      <c r="AC2257" s="24">
        <f>IF($G2257="","",IF($H2257="※编码不在物料档案里","※物料编码不在档案里",IF(N($K2257)&lt;=0,"※入库数量要大于 0",IF(AND($C2257&lt;&gt;"",$C2257&lt;=结账锁),"※日期早于已结账截止日，不能再录",IF(AND($L2257=0,$X2257="正常"),"※没填单价，价格状态请选「待补价」",IF(AND($S2257&gt;0,$R2257&gt;0),"△本批有 "&amp;$S2257&amp;" 行没单价，整批运费先挂账没摊",IF(AND($B2257&lt;&gt;"",COUNTIF($B$4:$B$2503,$B2257)&gt;1),"※入库单号重复","")))))))</f>
        <v/>
      </c>
    </row>
    <row r="2258">
      <c r="A2258" s="24">
        <f>IF($G2258="","",COUNTA($G$4:$G2258))</f>
        <v/>
      </c>
      <c r="B2258" s="17" t="n"/>
      <c r="C2258" s="30" t="n"/>
      <c r="D2258" s="17" t="n"/>
      <c r="E2258" s="17" t="n"/>
      <c r="F2258" s="17" t="n"/>
      <c r="G2258" s="17" t="n"/>
      <c r="H2258" s="24">
        <f>IF($G2258="","",IFERROR(VLOOKUP($G2258,物料档案!$A$4:$P$1203,3,0),"※编码不在物料档案里"))</f>
        <v/>
      </c>
      <c r="I2258" s="24">
        <f>IF($G2258="","",IFERROR(VLOOKUP($G2258,物料档案!$A$4:$P$1203,4,0),"※编码不在物料档案里"))</f>
        <v/>
      </c>
      <c r="J2258" s="24">
        <f>IF($G2258="","",IFERROR(VLOOKUP($G2258,物料档案!$A$4:$P$1203,5,0),"※编码不在物料档案里"))</f>
        <v/>
      </c>
      <c r="K2258" s="23" t="n"/>
      <c r="L2258" s="31" t="n"/>
      <c r="M2258" s="24">
        <f>IF($G2258="","",IF($D2258="A国内","CNY","TZS"))</f>
        <v/>
      </c>
      <c r="N2258" s="28">
        <f>IF($G2258="","",IF($D2258="A国内",汇率,1))</f>
        <v/>
      </c>
      <c r="O2258" s="25">
        <f>IF($G2258="","",ROUND(N($K2258)*N($L2258),2))</f>
        <v/>
      </c>
      <c r="P2258" s="26">
        <f>IF($G2258="","",ROUND($O2258*$N2258,0))</f>
        <v/>
      </c>
      <c r="Q2258" s="26">
        <f>IF($G2258="","",SUMIFS($P$4:$P$2503,$E$4:$E$2503,$E2258,$Z$4:$Z$2503,"正常"))</f>
        <v/>
      </c>
      <c r="R2258" s="26">
        <f>IF($G2258="","",SUMIFS(费用台账!$I$4:$I$503,费用台账!$C$4:$C$503,$E2258,费用台账!$J$4:$J$503,"是",费用台账!$K$4:$K$503,"正常"))</f>
        <v/>
      </c>
      <c r="S2258" s="28">
        <f>IF($G2258="","",COUNTIFS($E$4:$E$2503,$E2258,$Z$4:$Z$2503,"正常",$Y$4:$Y$2503,"待补价"))</f>
        <v/>
      </c>
      <c r="T2258" s="26">
        <f>IF($G2258="","",SUMIFS($P$4:$P$2503,$E$4:$E$2503,$E2258,$Z$4:$Z$2503,"正常",$A$4:$A$2503,"&lt;="&amp;$A2258))</f>
        <v/>
      </c>
      <c r="U2258" s="26">
        <f>IF($G2258="","",IF(OR($S2258&gt;0,$Q2258=0,$R2258=0,$Z2258&lt;&gt;"正常"),0,ROUND($T2258/$Q2258*$R2258,0)-ROUND(($T2258-$P2258)/$Q2258*$R2258,0)))</f>
        <v/>
      </c>
      <c r="V2258" s="26">
        <f>IF($G2258="","",ROUND($P2258+$U2258,0))</f>
        <v/>
      </c>
      <c r="W2258" s="26">
        <f>IF($G2258="","",IF(N($K2258)=0,0,ROUND($V2258/$K2258,2)))</f>
        <v/>
      </c>
      <c r="X2258" s="17" t="n"/>
      <c r="Y2258" s="17" t="n"/>
      <c r="Z2258" s="17" t="n"/>
      <c r="AA2258" s="17" t="n"/>
      <c r="AB2258" s="17" t="n"/>
      <c r="AC2258" s="24">
        <f>IF($G2258="","",IF($H2258="※编码不在物料档案里","※物料编码不在档案里",IF(N($K2258)&lt;=0,"※入库数量要大于 0",IF(AND($C2258&lt;&gt;"",$C2258&lt;=结账锁),"※日期早于已结账截止日，不能再录",IF(AND($L2258=0,$X2258="正常"),"※没填单价，价格状态请选「待补价」",IF(AND($S2258&gt;0,$R2258&gt;0),"△本批有 "&amp;$S2258&amp;" 行没单价，整批运费先挂账没摊",IF(AND($B2258&lt;&gt;"",COUNTIF($B$4:$B$2503,$B2258)&gt;1),"※入库单号重复","")))))))</f>
        <v/>
      </c>
    </row>
    <row r="2259">
      <c r="A2259" s="24">
        <f>IF($G2259="","",COUNTA($G$4:$G2259))</f>
        <v/>
      </c>
      <c r="B2259" s="17" t="n"/>
      <c r="C2259" s="30" t="n"/>
      <c r="D2259" s="17" t="n"/>
      <c r="E2259" s="17" t="n"/>
      <c r="F2259" s="17" t="n"/>
      <c r="G2259" s="17" t="n"/>
      <c r="H2259" s="24">
        <f>IF($G2259="","",IFERROR(VLOOKUP($G2259,物料档案!$A$4:$P$1203,3,0),"※编码不在物料档案里"))</f>
        <v/>
      </c>
      <c r="I2259" s="24">
        <f>IF($G2259="","",IFERROR(VLOOKUP($G2259,物料档案!$A$4:$P$1203,4,0),"※编码不在物料档案里"))</f>
        <v/>
      </c>
      <c r="J2259" s="24">
        <f>IF($G2259="","",IFERROR(VLOOKUP($G2259,物料档案!$A$4:$P$1203,5,0),"※编码不在物料档案里"))</f>
        <v/>
      </c>
      <c r="K2259" s="23" t="n"/>
      <c r="L2259" s="31" t="n"/>
      <c r="M2259" s="24">
        <f>IF($G2259="","",IF($D2259="A国内","CNY","TZS"))</f>
        <v/>
      </c>
      <c r="N2259" s="28">
        <f>IF($G2259="","",IF($D2259="A国内",汇率,1))</f>
        <v/>
      </c>
      <c r="O2259" s="25">
        <f>IF($G2259="","",ROUND(N($K2259)*N($L2259),2))</f>
        <v/>
      </c>
      <c r="P2259" s="26">
        <f>IF($G2259="","",ROUND($O2259*$N2259,0))</f>
        <v/>
      </c>
      <c r="Q2259" s="26">
        <f>IF($G2259="","",SUMIFS($P$4:$P$2503,$E$4:$E$2503,$E2259,$Z$4:$Z$2503,"正常"))</f>
        <v/>
      </c>
      <c r="R2259" s="26">
        <f>IF($G2259="","",SUMIFS(费用台账!$I$4:$I$503,费用台账!$C$4:$C$503,$E2259,费用台账!$J$4:$J$503,"是",费用台账!$K$4:$K$503,"正常"))</f>
        <v/>
      </c>
      <c r="S2259" s="28">
        <f>IF($G2259="","",COUNTIFS($E$4:$E$2503,$E2259,$Z$4:$Z$2503,"正常",$Y$4:$Y$2503,"待补价"))</f>
        <v/>
      </c>
      <c r="T2259" s="26">
        <f>IF($G2259="","",SUMIFS($P$4:$P$2503,$E$4:$E$2503,$E2259,$Z$4:$Z$2503,"正常",$A$4:$A$2503,"&lt;="&amp;$A2259))</f>
        <v/>
      </c>
      <c r="U2259" s="26">
        <f>IF($G2259="","",IF(OR($S2259&gt;0,$Q2259=0,$R2259=0,$Z2259&lt;&gt;"正常"),0,ROUND($T2259/$Q2259*$R2259,0)-ROUND(($T2259-$P2259)/$Q2259*$R2259,0)))</f>
        <v/>
      </c>
      <c r="V2259" s="26">
        <f>IF($G2259="","",ROUND($P2259+$U2259,0))</f>
        <v/>
      </c>
      <c r="W2259" s="26">
        <f>IF($G2259="","",IF(N($K2259)=0,0,ROUND($V2259/$K2259,2)))</f>
        <v/>
      </c>
      <c r="X2259" s="17" t="n"/>
      <c r="Y2259" s="17" t="n"/>
      <c r="Z2259" s="17" t="n"/>
      <c r="AA2259" s="17" t="n"/>
      <c r="AB2259" s="17" t="n"/>
      <c r="AC2259" s="24">
        <f>IF($G2259="","",IF($H2259="※编码不在物料档案里","※物料编码不在档案里",IF(N($K2259)&lt;=0,"※入库数量要大于 0",IF(AND($C2259&lt;&gt;"",$C2259&lt;=结账锁),"※日期早于已结账截止日，不能再录",IF(AND($L2259=0,$X2259="正常"),"※没填单价，价格状态请选「待补价」",IF(AND($S2259&gt;0,$R2259&gt;0),"△本批有 "&amp;$S2259&amp;" 行没单价，整批运费先挂账没摊",IF(AND($B2259&lt;&gt;"",COUNTIF($B$4:$B$2503,$B2259)&gt;1),"※入库单号重复","")))))))</f>
        <v/>
      </c>
    </row>
    <row r="2260">
      <c r="A2260" s="24">
        <f>IF($G2260="","",COUNTA($G$4:$G2260))</f>
        <v/>
      </c>
      <c r="B2260" s="17" t="n"/>
      <c r="C2260" s="30" t="n"/>
      <c r="D2260" s="17" t="n"/>
      <c r="E2260" s="17" t="n"/>
      <c r="F2260" s="17" t="n"/>
      <c r="G2260" s="17" t="n"/>
      <c r="H2260" s="24">
        <f>IF($G2260="","",IFERROR(VLOOKUP($G2260,物料档案!$A$4:$P$1203,3,0),"※编码不在物料档案里"))</f>
        <v/>
      </c>
      <c r="I2260" s="24">
        <f>IF($G2260="","",IFERROR(VLOOKUP($G2260,物料档案!$A$4:$P$1203,4,0),"※编码不在物料档案里"))</f>
        <v/>
      </c>
      <c r="J2260" s="24">
        <f>IF($G2260="","",IFERROR(VLOOKUP($G2260,物料档案!$A$4:$P$1203,5,0),"※编码不在物料档案里"))</f>
        <v/>
      </c>
      <c r="K2260" s="23" t="n"/>
      <c r="L2260" s="31" t="n"/>
      <c r="M2260" s="24">
        <f>IF($G2260="","",IF($D2260="A国内","CNY","TZS"))</f>
        <v/>
      </c>
      <c r="N2260" s="28">
        <f>IF($G2260="","",IF($D2260="A国内",汇率,1))</f>
        <v/>
      </c>
      <c r="O2260" s="25">
        <f>IF($G2260="","",ROUND(N($K2260)*N($L2260),2))</f>
        <v/>
      </c>
      <c r="P2260" s="26">
        <f>IF($G2260="","",ROUND($O2260*$N2260,0))</f>
        <v/>
      </c>
      <c r="Q2260" s="26">
        <f>IF($G2260="","",SUMIFS($P$4:$P$2503,$E$4:$E$2503,$E2260,$Z$4:$Z$2503,"正常"))</f>
        <v/>
      </c>
      <c r="R2260" s="26">
        <f>IF($G2260="","",SUMIFS(费用台账!$I$4:$I$503,费用台账!$C$4:$C$503,$E2260,费用台账!$J$4:$J$503,"是",费用台账!$K$4:$K$503,"正常"))</f>
        <v/>
      </c>
      <c r="S2260" s="28">
        <f>IF($G2260="","",COUNTIFS($E$4:$E$2503,$E2260,$Z$4:$Z$2503,"正常",$Y$4:$Y$2503,"待补价"))</f>
        <v/>
      </c>
      <c r="T2260" s="26">
        <f>IF($G2260="","",SUMIFS($P$4:$P$2503,$E$4:$E$2503,$E2260,$Z$4:$Z$2503,"正常",$A$4:$A$2503,"&lt;="&amp;$A2260))</f>
        <v/>
      </c>
      <c r="U2260" s="26">
        <f>IF($G2260="","",IF(OR($S2260&gt;0,$Q2260=0,$R2260=0,$Z2260&lt;&gt;"正常"),0,ROUND($T2260/$Q2260*$R2260,0)-ROUND(($T2260-$P2260)/$Q2260*$R2260,0)))</f>
        <v/>
      </c>
      <c r="V2260" s="26">
        <f>IF($G2260="","",ROUND($P2260+$U2260,0))</f>
        <v/>
      </c>
      <c r="W2260" s="26">
        <f>IF($G2260="","",IF(N($K2260)=0,0,ROUND($V2260/$K2260,2)))</f>
        <v/>
      </c>
      <c r="X2260" s="17" t="n"/>
      <c r="Y2260" s="17" t="n"/>
      <c r="Z2260" s="17" t="n"/>
      <c r="AA2260" s="17" t="n"/>
      <c r="AB2260" s="17" t="n"/>
      <c r="AC2260" s="24">
        <f>IF($G2260="","",IF($H2260="※编码不在物料档案里","※物料编码不在档案里",IF(N($K2260)&lt;=0,"※入库数量要大于 0",IF(AND($C2260&lt;&gt;"",$C2260&lt;=结账锁),"※日期早于已结账截止日，不能再录",IF(AND($L2260=0,$X2260="正常"),"※没填单价，价格状态请选「待补价」",IF(AND($S2260&gt;0,$R2260&gt;0),"△本批有 "&amp;$S2260&amp;" 行没单价，整批运费先挂账没摊",IF(AND($B2260&lt;&gt;"",COUNTIF($B$4:$B$2503,$B2260)&gt;1),"※入库单号重复","")))))))</f>
        <v/>
      </c>
    </row>
    <row r="2261">
      <c r="A2261" s="24">
        <f>IF($G2261="","",COUNTA($G$4:$G2261))</f>
        <v/>
      </c>
      <c r="B2261" s="17" t="n"/>
      <c r="C2261" s="30" t="n"/>
      <c r="D2261" s="17" t="n"/>
      <c r="E2261" s="17" t="n"/>
      <c r="F2261" s="17" t="n"/>
      <c r="G2261" s="17" t="n"/>
      <c r="H2261" s="24">
        <f>IF($G2261="","",IFERROR(VLOOKUP($G2261,物料档案!$A$4:$P$1203,3,0),"※编码不在物料档案里"))</f>
        <v/>
      </c>
      <c r="I2261" s="24">
        <f>IF($G2261="","",IFERROR(VLOOKUP($G2261,物料档案!$A$4:$P$1203,4,0),"※编码不在物料档案里"))</f>
        <v/>
      </c>
      <c r="J2261" s="24">
        <f>IF($G2261="","",IFERROR(VLOOKUP($G2261,物料档案!$A$4:$P$1203,5,0),"※编码不在物料档案里"))</f>
        <v/>
      </c>
      <c r="K2261" s="23" t="n"/>
      <c r="L2261" s="31" t="n"/>
      <c r="M2261" s="24">
        <f>IF($G2261="","",IF($D2261="A国内","CNY","TZS"))</f>
        <v/>
      </c>
      <c r="N2261" s="28">
        <f>IF($G2261="","",IF($D2261="A国内",汇率,1))</f>
        <v/>
      </c>
      <c r="O2261" s="25">
        <f>IF($G2261="","",ROUND(N($K2261)*N($L2261),2))</f>
        <v/>
      </c>
      <c r="P2261" s="26">
        <f>IF($G2261="","",ROUND($O2261*$N2261,0))</f>
        <v/>
      </c>
      <c r="Q2261" s="26">
        <f>IF($G2261="","",SUMIFS($P$4:$P$2503,$E$4:$E$2503,$E2261,$Z$4:$Z$2503,"正常"))</f>
        <v/>
      </c>
      <c r="R2261" s="26">
        <f>IF($G2261="","",SUMIFS(费用台账!$I$4:$I$503,费用台账!$C$4:$C$503,$E2261,费用台账!$J$4:$J$503,"是",费用台账!$K$4:$K$503,"正常"))</f>
        <v/>
      </c>
      <c r="S2261" s="28">
        <f>IF($G2261="","",COUNTIFS($E$4:$E$2503,$E2261,$Z$4:$Z$2503,"正常",$Y$4:$Y$2503,"待补价"))</f>
        <v/>
      </c>
      <c r="T2261" s="26">
        <f>IF($G2261="","",SUMIFS($P$4:$P$2503,$E$4:$E$2503,$E2261,$Z$4:$Z$2503,"正常",$A$4:$A$2503,"&lt;="&amp;$A2261))</f>
        <v/>
      </c>
      <c r="U2261" s="26">
        <f>IF($G2261="","",IF(OR($S2261&gt;0,$Q2261=0,$R2261=0,$Z2261&lt;&gt;"正常"),0,ROUND($T2261/$Q2261*$R2261,0)-ROUND(($T2261-$P2261)/$Q2261*$R2261,0)))</f>
        <v/>
      </c>
      <c r="V2261" s="26">
        <f>IF($G2261="","",ROUND($P2261+$U2261,0))</f>
        <v/>
      </c>
      <c r="W2261" s="26">
        <f>IF($G2261="","",IF(N($K2261)=0,0,ROUND($V2261/$K2261,2)))</f>
        <v/>
      </c>
      <c r="X2261" s="17" t="n"/>
      <c r="Y2261" s="17" t="n"/>
      <c r="Z2261" s="17" t="n"/>
      <c r="AA2261" s="17" t="n"/>
      <c r="AB2261" s="17" t="n"/>
      <c r="AC2261" s="24">
        <f>IF($G2261="","",IF($H2261="※编码不在物料档案里","※物料编码不在档案里",IF(N($K2261)&lt;=0,"※入库数量要大于 0",IF(AND($C2261&lt;&gt;"",$C2261&lt;=结账锁),"※日期早于已结账截止日，不能再录",IF(AND($L2261=0,$X2261="正常"),"※没填单价，价格状态请选「待补价」",IF(AND($S2261&gt;0,$R2261&gt;0),"△本批有 "&amp;$S2261&amp;" 行没单价，整批运费先挂账没摊",IF(AND($B2261&lt;&gt;"",COUNTIF($B$4:$B$2503,$B2261)&gt;1),"※入库单号重复","")))))))</f>
        <v/>
      </c>
    </row>
    <row r="2262">
      <c r="A2262" s="24">
        <f>IF($G2262="","",COUNTA($G$4:$G2262))</f>
        <v/>
      </c>
      <c r="B2262" s="17" t="n"/>
      <c r="C2262" s="30" t="n"/>
      <c r="D2262" s="17" t="n"/>
      <c r="E2262" s="17" t="n"/>
      <c r="F2262" s="17" t="n"/>
      <c r="G2262" s="17" t="n"/>
      <c r="H2262" s="24">
        <f>IF($G2262="","",IFERROR(VLOOKUP($G2262,物料档案!$A$4:$P$1203,3,0),"※编码不在物料档案里"))</f>
        <v/>
      </c>
      <c r="I2262" s="24">
        <f>IF($G2262="","",IFERROR(VLOOKUP($G2262,物料档案!$A$4:$P$1203,4,0),"※编码不在物料档案里"))</f>
        <v/>
      </c>
      <c r="J2262" s="24">
        <f>IF($G2262="","",IFERROR(VLOOKUP($G2262,物料档案!$A$4:$P$1203,5,0),"※编码不在物料档案里"))</f>
        <v/>
      </c>
      <c r="K2262" s="23" t="n"/>
      <c r="L2262" s="31" t="n"/>
      <c r="M2262" s="24">
        <f>IF($G2262="","",IF($D2262="A国内","CNY","TZS"))</f>
        <v/>
      </c>
      <c r="N2262" s="28">
        <f>IF($G2262="","",IF($D2262="A国内",汇率,1))</f>
        <v/>
      </c>
      <c r="O2262" s="25">
        <f>IF($G2262="","",ROUND(N($K2262)*N($L2262),2))</f>
        <v/>
      </c>
      <c r="P2262" s="26">
        <f>IF($G2262="","",ROUND($O2262*$N2262,0))</f>
        <v/>
      </c>
      <c r="Q2262" s="26">
        <f>IF($G2262="","",SUMIFS($P$4:$P$2503,$E$4:$E$2503,$E2262,$Z$4:$Z$2503,"正常"))</f>
        <v/>
      </c>
      <c r="R2262" s="26">
        <f>IF($G2262="","",SUMIFS(费用台账!$I$4:$I$503,费用台账!$C$4:$C$503,$E2262,费用台账!$J$4:$J$503,"是",费用台账!$K$4:$K$503,"正常"))</f>
        <v/>
      </c>
      <c r="S2262" s="28">
        <f>IF($G2262="","",COUNTIFS($E$4:$E$2503,$E2262,$Z$4:$Z$2503,"正常",$Y$4:$Y$2503,"待补价"))</f>
        <v/>
      </c>
      <c r="T2262" s="26">
        <f>IF($G2262="","",SUMIFS($P$4:$P$2503,$E$4:$E$2503,$E2262,$Z$4:$Z$2503,"正常",$A$4:$A$2503,"&lt;="&amp;$A2262))</f>
        <v/>
      </c>
      <c r="U2262" s="26">
        <f>IF($G2262="","",IF(OR($S2262&gt;0,$Q2262=0,$R2262=0,$Z2262&lt;&gt;"正常"),0,ROUND($T2262/$Q2262*$R2262,0)-ROUND(($T2262-$P2262)/$Q2262*$R2262,0)))</f>
        <v/>
      </c>
      <c r="V2262" s="26">
        <f>IF($G2262="","",ROUND($P2262+$U2262,0))</f>
        <v/>
      </c>
      <c r="W2262" s="26">
        <f>IF($G2262="","",IF(N($K2262)=0,0,ROUND($V2262/$K2262,2)))</f>
        <v/>
      </c>
      <c r="X2262" s="17" t="n"/>
      <c r="Y2262" s="17" t="n"/>
      <c r="Z2262" s="17" t="n"/>
      <c r="AA2262" s="17" t="n"/>
      <c r="AB2262" s="17" t="n"/>
      <c r="AC2262" s="24">
        <f>IF($G2262="","",IF($H2262="※编码不在物料档案里","※物料编码不在档案里",IF(N($K2262)&lt;=0,"※入库数量要大于 0",IF(AND($C2262&lt;&gt;"",$C2262&lt;=结账锁),"※日期早于已结账截止日，不能再录",IF(AND($L2262=0,$X2262="正常"),"※没填单价，价格状态请选「待补价」",IF(AND($S2262&gt;0,$R2262&gt;0),"△本批有 "&amp;$S2262&amp;" 行没单价，整批运费先挂账没摊",IF(AND($B2262&lt;&gt;"",COUNTIF($B$4:$B$2503,$B2262)&gt;1),"※入库单号重复","")))))))</f>
        <v/>
      </c>
    </row>
    <row r="2263">
      <c r="A2263" s="24">
        <f>IF($G2263="","",COUNTA($G$4:$G2263))</f>
        <v/>
      </c>
      <c r="B2263" s="17" t="n"/>
      <c r="C2263" s="30" t="n"/>
      <c r="D2263" s="17" t="n"/>
      <c r="E2263" s="17" t="n"/>
      <c r="F2263" s="17" t="n"/>
      <c r="G2263" s="17" t="n"/>
      <c r="H2263" s="24">
        <f>IF($G2263="","",IFERROR(VLOOKUP($G2263,物料档案!$A$4:$P$1203,3,0),"※编码不在物料档案里"))</f>
        <v/>
      </c>
      <c r="I2263" s="24">
        <f>IF($G2263="","",IFERROR(VLOOKUP($G2263,物料档案!$A$4:$P$1203,4,0),"※编码不在物料档案里"))</f>
        <v/>
      </c>
      <c r="J2263" s="24">
        <f>IF($G2263="","",IFERROR(VLOOKUP($G2263,物料档案!$A$4:$P$1203,5,0),"※编码不在物料档案里"))</f>
        <v/>
      </c>
      <c r="K2263" s="23" t="n"/>
      <c r="L2263" s="31" t="n"/>
      <c r="M2263" s="24">
        <f>IF($G2263="","",IF($D2263="A国内","CNY","TZS"))</f>
        <v/>
      </c>
      <c r="N2263" s="28">
        <f>IF($G2263="","",IF($D2263="A国内",汇率,1))</f>
        <v/>
      </c>
      <c r="O2263" s="25">
        <f>IF($G2263="","",ROUND(N($K2263)*N($L2263),2))</f>
        <v/>
      </c>
      <c r="P2263" s="26">
        <f>IF($G2263="","",ROUND($O2263*$N2263,0))</f>
        <v/>
      </c>
      <c r="Q2263" s="26">
        <f>IF($G2263="","",SUMIFS($P$4:$P$2503,$E$4:$E$2503,$E2263,$Z$4:$Z$2503,"正常"))</f>
        <v/>
      </c>
      <c r="R2263" s="26">
        <f>IF($G2263="","",SUMIFS(费用台账!$I$4:$I$503,费用台账!$C$4:$C$503,$E2263,费用台账!$J$4:$J$503,"是",费用台账!$K$4:$K$503,"正常"))</f>
        <v/>
      </c>
      <c r="S2263" s="28">
        <f>IF($G2263="","",COUNTIFS($E$4:$E$2503,$E2263,$Z$4:$Z$2503,"正常",$Y$4:$Y$2503,"待补价"))</f>
        <v/>
      </c>
      <c r="T2263" s="26">
        <f>IF($G2263="","",SUMIFS($P$4:$P$2503,$E$4:$E$2503,$E2263,$Z$4:$Z$2503,"正常",$A$4:$A$2503,"&lt;="&amp;$A2263))</f>
        <v/>
      </c>
      <c r="U2263" s="26">
        <f>IF($G2263="","",IF(OR($S2263&gt;0,$Q2263=0,$R2263=0,$Z2263&lt;&gt;"正常"),0,ROUND($T2263/$Q2263*$R2263,0)-ROUND(($T2263-$P2263)/$Q2263*$R2263,0)))</f>
        <v/>
      </c>
      <c r="V2263" s="26">
        <f>IF($G2263="","",ROUND($P2263+$U2263,0))</f>
        <v/>
      </c>
      <c r="W2263" s="26">
        <f>IF($G2263="","",IF(N($K2263)=0,0,ROUND($V2263/$K2263,2)))</f>
        <v/>
      </c>
      <c r="X2263" s="17" t="n"/>
      <c r="Y2263" s="17" t="n"/>
      <c r="Z2263" s="17" t="n"/>
      <c r="AA2263" s="17" t="n"/>
      <c r="AB2263" s="17" t="n"/>
      <c r="AC2263" s="24">
        <f>IF($G2263="","",IF($H2263="※编码不在物料档案里","※物料编码不在档案里",IF(N($K2263)&lt;=0,"※入库数量要大于 0",IF(AND($C2263&lt;&gt;"",$C2263&lt;=结账锁),"※日期早于已结账截止日，不能再录",IF(AND($L2263=0,$X2263="正常"),"※没填单价，价格状态请选「待补价」",IF(AND($S2263&gt;0,$R2263&gt;0),"△本批有 "&amp;$S2263&amp;" 行没单价，整批运费先挂账没摊",IF(AND($B2263&lt;&gt;"",COUNTIF($B$4:$B$2503,$B2263)&gt;1),"※入库单号重复","")))))))</f>
        <v/>
      </c>
    </row>
    <row r="2264">
      <c r="A2264" s="24">
        <f>IF($G2264="","",COUNTA($G$4:$G2264))</f>
        <v/>
      </c>
      <c r="B2264" s="17" t="n"/>
      <c r="C2264" s="30" t="n"/>
      <c r="D2264" s="17" t="n"/>
      <c r="E2264" s="17" t="n"/>
      <c r="F2264" s="17" t="n"/>
      <c r="G2264" s="17" t="n"/>
      <c r="H2264" s="24">
        <f>IF($G2264="","",IFERROR(VLOOKUP($G2264,物料档案!$A$4:$P$1203,3,0),"※编码不在物料档案里"))</f>
        <v/>
      </c>
      <c r="I2264" s="24">
        <f>IF($G2264="","",IFERROR(VLOOKUP($G2264,物料档案!$A$4:$P$1203,4,0),"※编码不在物料档案里"))</f>
        <v/>
      </c>
      <c r="J2264" s="24">
        <f>IF($G2264="","",IFERROR(VLOOKUP($G2264,物料档案!$A$4:$P$1203,5,0),"※编码不在物料档案里"))</f>
        <v/>
      </c>
      <c r="K2264" s="23" t="n"/>
      <c r="L2264" s="31" t="n"/>
      <c r="M2264" s="24">
        <f>IF($G2264="","",IF($D2264="A国内","CNY","TZS"))</f>
        <v/>
      </c>
      <c r="N2264" s="28">
        <f>IF($G2264="","",IF($D2264="A国内",汇率,1))</f>
        <v/>
      </c>
      <c r="O2264" s="25">
        <f>IF($G2264="","",ROUND(N($K2264)*N($L2264),2))</f>
        <v/>
      </c>
      <c r="P2264" s="26">
        <f>IF($G2264="","",ROUND($O2264*$N2264,0))</f>
        <v/>
      </c>
      <c r="Q2264" s="26">
        <f>IF($G2264="","",SUMIFS($P$4:$P$2503,$E$4:$E$2503,$E2264,$Z$4:$Z$2503,"正常"))</f>
        <v/>
      </c>
      <c r="R2264" s="26">
        <f>IF($G2264="","",SUMIFS(费用台账!$I$4:$I$503,费用台账!$C$4:$C$503,$E2264,费用台账!$J$4:$J$503,"是",费用台账!$K$4:$K$503,"正常"))</f>
        <v/>
      </c>
      <c r="S2264" s="28">
        <f>IF($G2264="","",COUNTIFS($E$4:$E$2503,$E2264,$Z$4:$Z$2503,"正常",$Y$4:$Y$2503,"待补价"))</f>
        <v/>
      </c>
      <c r="T2264" s="26">
        <f>IF($G2264="","",SUMIFS($P$4:$P$2503,$E$4:$E$2503,$E2264,$Z$4:$Z$2503,"正常",$A$4:$A$2503,"&lt;="&amp;$A2264))</f>
        <v/>
      </c>
      <c r="U2264" s="26">
        <f>IF($G2264="","",IF(OR($S2264&gt;0,$Q2264=0,$R2264=0,$Z2264&lt;&gt;"正常"),0,ROUND($T2264/$Q2264*$R2264,0)-ROUND(($T2264-$P2264)/$Q2264*$R2264,0)))</f>
        <v/>
      </c>
      <c r="V2264" s="26">
        <f>IF($G2264="","",ROUND($P2264+$U2264,0))</f>
        <v/>
      </c>
      <c r="W2264" s="26">
        <f>IF($G2264="","",IF(N($K2264)=0,0,ROUND($V2264/$K2264,2)))</f>
        <v/>
      </c>
      <c r="X2264" s="17" t="n"/>
      <c r="Y2264" s="17" t="n"/>
      <c r="Z2264" s="17" t="n"/>
      <c r="AA2264" s="17" t="n"/>
      <c r="AB2264" s="17" t="n"/>
      <c r="AC2264" s="24">
        <f>IF($G2264="","",IF($H2264="※编码不在物料档案里","※物料编码不在档案里",IF(N($K2264)&lt;=0,"※入库数量要大于 0",IF(AND($C2264&lt;&gt;"",$C2264&lt;=结账锁),"※日期早于已结账截止日，不能再录",IF(AND($L2264=0,$X2264="正常"),"※没填单价，价格状态请选「待补价」",IF(AND($S2264&gt;0,$R2264&gt;0),"△本批有 "&amp;$S2264&amp;" 行没单价，整批运费先挂账没摊",IF(AND($B2264&lt;&gt;"",COUNTIF($B$4:$B$2503,$B2264)&gt;1),"※入库单号重复","")))))))</f>
        <v/>
      </c>
    </row>
    <row r="2265">
      <c r="A2265" s="24">
        <f>IF($G2265="","",COUNTA($G$4:$G2265))</f>
        <v/>
      </c>
      <c r="B2265" s="17" t="n"/>
      <c r="C2265" s="30" t="n"/>
      <c r="D2265" s="17" t="n"/>
      <c r="E2265" s="17" t="n"/>
      <c r="F2265" s="17" t="n"/>
      <c r="G2265" s="17" t="n"/>
      <c r="H2265" s="24">
        <f>IF($G2265="","",IFERROR(VLOOKUP($G2265,物料档案!$A$4:$P$1203,3,0),"※编码不在物料档案里"))</f>
        <v/>
      </c>
      <c r="I2265" s="24">
        <f>IF($G2265="","",IFERROR(VLOOKUP($G2265,物料档案!$A$4:$P$1203,4,0),"※编码不在物料档案里"))</f>
        <v/>
      </c>
      <c r="J2265" s="24">
        <f>IF($G2265="","",IFERROR(VLOOKUP($G2265,物料档案!$A$4:$P$1203,5,0),"※编码不在物料档案里"))</f>
        <v/>
      </c>
      <c r="K2265" s="23" t="n"/>
      <c r="L2265" s="31" t="n"/>
      <c r="M2265" s="24">
        <f>IF($G2265="","",IF($D2265="A国内","CNY","TZS"))</f>
        <v/>
      </c>
      <c r="N2265" s="28">
        <f>IF($G2265="","",IF($D2265="A国内",汇率,1))</f>
        <v/>
      </c>
      <c r="O2265" s="25">
        <f>IF($G2265="","",ROUND(N($K2265)*N($L2265),2))</f>
        <v/>
      </c>
      <c r="P2265" s="26">
        <f>IF($G2265="","",ROUND($O2265*$N2265,0))</f>
        <v/>
      </c>
      <c r="Q2265" s="26">
        <f>IF($G2265="","",SUMIFS($P$4:$P$2503,$E$4:$E$2503,$E2265,$Z$4:$Z$2503,"正常"))</f>
        <v/>
      </c>
      <c r="R2265" s="26">
        <f>IF($G2265="","",SUMIFS(费用台账!$I$4:$I$503,费用台账!$C$4:$C$503,$E2265,费用台账!$J$4:$J$503,"是",费用台账!$K$4:$K$503,"正常"))</f>
        <v/>
      </c>
      <c r="S2265" s="28">
        <f>IF($G2265="","",COUNTIFS($E$4:$E$2503,$E2265,$Z$4:$Z$2503,"正常",$Y$4:$Y$2503,"待补价"))</f>
        <v/>
      </c>
      <c r="T2265" s="26">
        <f>IF($G2265="","",SUMIFS($P$4:$P$2503,$E$4:$E$2503,$E2265,$Z$4:$Z$2503,"正常",$A$4:$A$2503,"&lt;="&amp;$A2265))</f>
        <v/>
      </c>
      <c r="U2265" s="26">
        <f>IF($G2265="","",IF(OR($S2265&gt;0,$Q2265=0,$R2265=0,$Z2265&lt;&gt;"正常"),0,ROUND($T2265/$Q2265*$R2265,0)-ROUND(($T2265-$P2265)/$Q2265*$R2265,0)))</f>
        <v/>
      </c>
      <c r="V2265" s="26">
        <f>IF($G2265="","",ROUND($P2265+$U2265,0))</f>
        <v/>
      </c>
      <c r="W2265" s="26">
        <f>IF($G2265="","",IF(N($K2265)=0,0,ROUND($V2265/$K2265,2)))</f>
        <v/>
      </c>
      <c r="X2265" s="17" t="n"/>
      <c r="Y2265" s="17" t="n"/>
      <c r="Z2265" s="17" t="n"/>
      <c r="AA2265" s="17" t="n"/>
      <c r="AB2265" s="17" t="n"/>
      <c r="AC2265" s="24">
        <f>IF($G2265="","",IF($H2265="※编码不在物料档案里","※物料编码不在档案里",IF(N($K2265)&lt;=0,"※入库数量要大于 0",IF(AND($C2265&lt;&gt;"",$C2265&lt;=结账锁),"※日期早于已结账截止日，不能再录",IF(AND($L2265=0,$X2265="正常"),"※没填单价，价格状态请选「待补价」",IF(AND($S2265&gt;0,$R2265&gt;0),"△本批有 "&amp;$S2265&amp;" 行没单价，整批运费先挂账没摊",IF(AND($B2265&lt;&gt;"",COUNTIF($B$4:$B$2503,$B2265)&gt;1),"※入库单号重复","")))))))</f>
        <v/>
      </c>
    </row>
    <row r="2266">
      <c r="A2266" s="24">
        <f>IF($G2266="","",COUNTA($G$4:$G2266))</f>
        <v/>
      </c>
      <c r="B2266" s="17" t="n"/>
      <c r="C2266" s="30" t="n"/>
      <c r="D2266" s="17" t="n"/>
      <c r="E2266" s="17" t="n"/>
      <c r="F2266" s="17" t="n"/>
      <c r="G2266" s="17" t="n"/>
      <c r="H2266" s="24">
        <f>IF($G2266="","",IFERROR(VLOOKUP($G2266,物料档案!$A$4:$P$1203,3,0),"※编码不在物料档案里"))</f>
        <v/>
      </c>
      <c r="I2266" s="24">
        <f>IF($G2266="","",IFERROR(VLOOKUP($G2266,物料档案!$A$4:$P$1203,4,0),"※编码不在物料档案里"))</f>
        <v/>
      </c>
      <c r="J2266" s="24">
        <f>IF($G2266="","",IFERROR(VLOOKUP($G2266,物料档案!$A$4:$P$1203,5,0),"※编码不在物料档案里"))</f>
        <v/>
      </c>
      <c r="K2266" s="23" t="n"/>
      <c r="L2266" s="31" t="n"/>
      <c r="M2266" s="24">
        <f>IF($G2266="","",IF($D2266="A国内","CNY","TZS"))</f>
        <v/>
      </c>
      <c r="N2266" s="28">
        <f>IF($G2266="","",IF($D2266="A国内",汇率,1))</f>
        <v/>
      </c>
      <c r="O2266" s="25">
        <f>IF($G2266="","",ROUND(N($K2266)*N($L2266),2))</f>
        <v/>
      </c>
      <c r="P2266" s="26">
        <f>IF($G2266="","",ROUND($O2266*$N2266,0))</f>
        <v/>
      </c>
      <c r="Q2266" s="26">
        <f>IF($G2266="","",SUMIFS($P$4:$P$2503,$E$4:$E$2503,$E2266,$Z$4:$Z$2503,"正常"))</f>
        <v/>
      </c>
      <c r="R2266" s="26">
        <f>IF($G2266="","",SUMIFS(费用台账!$I$4:$I$503,费用台账!$C$4:$C$503,$E2266,费用台账!$J$4:$J$503,"是",费用台账!$K$4:$K$503,"正常"))</f>
        <v/>
      </c>
      <c r="S2266" s="28">
        <f>IF($G2266="","",COUNTIFS($E$4:$E$2503,$E2266,$Z$4:$Z$2503,"正常",$Y$4:$Y$2503,"待补价"))</f>
        <v/>
      </c>
      <c r="T2266" s="26">
        <f>IF($G2266="","",SUMIFS($P$4:$P$2503,$E$4:$E$2503,$E2266,$Z$4:$Z$2503,"正常",$A$4:$A$2503,"&lt;="&amp;$A2266))</f>
        <v/>
      </c>
      <c r="U2266" s="26">
        <f>IF($G2266="","",IF(OR($S2266&gt;0,$Q2266=0,$R2266=0,$Z2266&lt;&gt;"正常"),0,ROUND($T2266/$Q2266*$R2266,0)-ROUND(($T2266-$P2266)/$Q2266*$R2266,0)))</f>
        <v/>
      </c>
      <c r="V2266" s="26">
        <f>IF($G2266="","",ROUND($P2266+$U2266,0))</f>
        <v/>
      </c>
      <c r="W2266" s="26">
        <f>IF($G2266="","",IF(N($K2266)=0,0,ROUND($V2266/$K2266,2)))</f>
        <v/>
      </c>
      <c r="X2266" s="17" t="n"/>
      <c r="Y2266" s="17" t="n"/>
      <c r="Z2266" s="17" t="n"/>
      <c r="AA2266" s="17" t="n"/>
      <c r="AB2266" s="17" t="n"/>
      <c r="AC2266" s="24">
        <f>IF($G2266="","",IF($H2266="※编码不在物料档案里","※物料编码不在档案里",IF(N($K2266)&lt;=0,"※入库数量要大于 0",IF(AND($C2266&lt;&gt;"",$C2266&lt;=结账锁),"※日期早于已结账截止日，不能再录",IF(AND($L2266=0,$X2266="正常"),"※没填单价，价格状态请选「待补价」",IF(AND($S2266&gt;0,$R2266&gt;0),"△本批有 "&amp;$S2266&amp;" 行没单价，整批运费先挂账没摊",IF(AND($B2266&lt;&gt;"",COUNTIF($B$4:$B$2503,$B2266)&gt;1),"※入库单号重复","")))))))</f>
        <v/>
      </c>
    </row>
    <row r="2267">
      <c r="A2267" s="24">
        <f>IF($G2267="","",COUNTA($G$4:$G2267))</f>
        <v/>
      </c>
      <c r="B2267" s="17" t="n"/>
      <c r="C2267" s="30" t="n"/>
      <c r="D2267" s="17" t="n"/>
      <c r="E2267" s="17" t="n"/>
      <c r="F2267" s="17" t="n"/>
      <c r="G2267" s="17" t="n"/>
      <c r="H2267" s="24">
        <f>IF($G2267="","",IFERROR(VLOOKUP($G2267,物料档案!$A$4:$P$1203,3,0),"※编码不在物料档案里"))</f>
        <v/>
      </c>
      <c r="I2267" s="24">
        <f>IF($G2267="","",IFERROR(VLOOKUP($G2267,物料档案!$A$4:$P$1203,4,0),"※编码不在物料档案里"))</f>
        <v/>
      </c>
      <c r="J2267" s="24">
        <f>IF($G2267="","",IFERROR(VLOOKUP($G2267,物料档案!$A$4:$P$1203,5,0),"※编码不在物料档案里"))</f>
        <v/>
      </c>
      <c r="K2267" s="23" t="n"/>
      <c r="L2267" s="31" t="n"/>
      <c r="M2267" s="24">
        <f>IF($G2267="","",IF($D2267="A国内","CNY","TZS"))</f>
        <v/>
      </c>
      <c r="N2267" s="28">
        <f>IF($G2267="","",IF($D2267="A国内",汇率,1))</f>
        <v/>
      </c>
      <c r="O2267" s="25">
        <f>IF($G2267="","",ROUND(N($K2267)*N($L2267),2))</f>
        <v/>
      </c>
      <c r="P2267" s="26">
        <f>IF($G2267="","",ROUND($O2267*$N2267,0))</f>
        <v/>
      </c>
      <c r="Q2267" s="26">
        <f>IF($G2267="","",SUMIFS($P$4:$P$2503,$E$4:$E$2503,$E2267,$Z$4:$Z$2503,"正常"))</f>
        <v/>
      </c>
      <c r="R2267" s="26">
        <f>IF($G2267="","",SUMIFS(费用台账!$I$4:$I$503,费用台账!$C$4:$C$503,$E2267,费用台账!$J$4:$J$503,"是",费用台账!$K$4:$K$503,"正常"))</f>
        <v/>
      </c>
      <c r="S2267" s="28">
        <f>IF($G2267="","",COUNTIFS($E$4:$E$2503,$E2267,$Z$4:$Z$2503,"正常",$Y$4:$Y$2503,"待补价"))</f>
        <v/>
      </c>
      <c r="T2267" s="26">
        <f>IF($G2267="","",SUMIFS($P$4:$P$2503,$E$4:$E$2503,$E2267,$Z$4:$Z$2503,"正常",$A$4:$A$2503,"&lt;="&amp;$A2267))</f>
        <v/>
      </c>
      <c r="U2267" s="26">
        <f>IF($G2267="","",IF(OR($S2267&gt;0,$Q2267=0,$R2267=0,$Z2267&lt;&gt;"正常"),0,ROUND($T2267/$Q2267*$R2267,0)-ROUND(($T2267-$P2267)/$Q2267*$R2267,0)))</f>
        <v/>
      </c>
      <c r="V2267" s="26">
        <f>IF($G2267="","",ROUND($P2267+$U2267,0))</f>
        <v/>
      </c>
      <c r="W2267" s="26">
        <f>IF($G2267="","",IF(N($K2267)=0,0,ROUND($V2267/$K2267,2)))</f>
        <v/>
      </c>
      <c r="X2267" s="17" t="n"/>
      <c r="Y2267" s="17" t="n"/>
      <c r="Z2267" s="17" t="n"/>
      <c r="AA2267" s="17" t="n"/>
      <c r="AB2267" s="17" t="n"/>
      <c r="AC2267" s="24">
        <f>IF($G2267="","",IF($H2267="※编码不在物料档案里","※物料编码不在档案里",IF(N($K2267)&lt;=0,"※入库数量要大于 0",IF(AND($C2267&lt;&gt;"",$C2267&lt;=结账锁),"※日期早于已结账截止日，不能再录",IF(AND($L2267=0,$X2267="正常"),"※没填单价，价格状态请选「待补价」",IF(AND($S2267&gt;0,$R2267&gt;0),"△本批有 "&amp;$S2267&amp;" 行没单价，整批运费先挂账没摊",IF(AND($B2267&lt;&gt;"",COUNTIF($B$4:$B$2503,$B2267)&gt;1),"※入库单号重复","")))))))</f>
        <v/>
      </c>
    </row>
    <row r="2268">
      <c r="A2268" s="24">
        <f>IF($G2268="","",COUNTA($G$4:$G2268))</f>
        <v/>
      </c>
      <c r="B2268" s="17" t="n"/>
      <c r="C2268" s="30" t="n"/>
      <c r="D2268" s="17" t="n"/>
      <c r="E2268" s="17" t="n"/>
      <c r="F2268" s="17" t="n"/>
      <c r="G2268" s="17" t="n"/>
      <c r="H2268" s="24">
        <f>IF($G2268="","",IFERROR(VLOOKUP($G2268,物料档案!$A$4:$P$1203,3,0),"※编码不在物料档案里"))</f>
        <v/>
      </c>
      <c r="I2268" s="24">
        <f>IF($G2268="","",IFERROR(VLOOKUP($G2268,物料档案!$A$4:$P$1203,4,0),"※编码不在物料档案里"))</f>
        <v/>
      </c>
      <c r="J2268" s="24">
        <f>IF($G2268="","",IFERROR(VLOOKUP($G2268,物料档案!$A$4:$P$1203,5,0),"※编码不在物料档案里"))</f>
        <v/>
      </c>
      <c r="K2268" s="23" t="n"/>
      <c r="L2268" s="31" t="n"/>
      <c r="M2268" s="24">
        <f>IF($G2268="","",IF($D2268="A国内","CNY","TZS"))</f>
        <v/>
      </c>
      <c r="N2268" s="28">
        <f>IF($G2268="","",IF($D2268="A国内",汇率,1))</f>
        <v/>
      </c>
      <c r="O2268" s="25">
        <f>IF($G2268="","",ROUND(N($K2268)*N($L2268),2))</f>
        <v/>
      </c>
      <c r="P2268" s="26">
        <f>IF($G2268="","",ROUND($O2268*$N2268,0))</f>
        <v/>
      </c>
      <c r="Q2268" s="26">
        <f>IF($G2268="","",SUMIFS($P$4:$P$2503,$E$4:$E$2503,$E2268,$Z$4:$Z$2503,"正常"))</f>
        <v/>
      </c>
      <c r="R2268" s="26">
        <f>IF($G2268="","",SUMIFS(费用台账!$I$4:$I$503,费用台账!$C$4:$C$503,$E2268,费用台账!$J$4:$J$503,"是",费用台账!$K$4:$K$503,"正常"))</f>
        <v/>
      </c>
      <c r="S2268" s="28">
        <f>IF($G2268="","",COUNTIFS($E$4:$E$2503,$E2268,$Z$4:$Z$2503,"正常",$Y$4:$Y$2503,"待补价"))</f>
        <v/>
      </c>
      <c r="T2268" s="26">
        <f>IF($G2268="","",SUMIFS($P$4:$P$2503,$E$4:$E$2503,$E2268,$Z$4:$Z$2503,"正常",$A$4:$A$2503,"&lt;="&amp;$A2268))</f>
        <v/>
      </c>
      <c r="U2268" s="26">
        <f>IF($G2268="","",IF(OR($S2268&gt;0,$Q2268=0,$R2268=0,$Z2268&lt;&gt;"正常"),0,ROUND($T2268/$Q2268*$R2268,0)-ROUND(($T2268-$P2268)/$Q2268*$R2268,0)))</f>
        <v/>
      </c>
      <c r="V2268" s="26">
        <f>IF($G2268="","",ROUND($P2268+$U2268,0))</f>
        <v/>
      </c>
      <c r="W2268" s="26">
        <f>IF($G2268="","",IF(N($K2268)=0,0,ROUND($V2268/$K2268,2)))</f>
        <v/>
      </c>
      <c r="X2268" s="17" t="n"/>
      <c r="Y2268" s="17" t="n"/>
      <c r="Z2268" s="17" t="n"/>
      <c r="AA2268" s="17" t="n"/>
      <c r="AB2268" s="17" t="n"/>
      <c r="AC2268" s="24">
        <f>IF($G2268="","",IF($H2268="※编码不在物料档案里","※物料编码不在档案里",IF(N($K2268)&lt;=0,"※入库数量要大于 0",IF(AND($C2268&lt;&gt;"",$C2268&lt;=结账锁),"※日期早于已结账截止日，不能再录",IF(AND($L2268=0,$X2268="正常"),"※没填单价，价格状态请选「待补价」",IF(AND($S2268&gt;0,$R2268&gt;0),"△本批有 "&amp;$S2268&amp;" 行没单价，整批运费先挂账没摊",IF(AND($B2268&lt;&gt;"",COUNTIF($B$4:$B$2503,$B2268)&gt;1),"※入库单号重复","")))))))</f>
        <v/>
      </c>
    </row>
    <row r="2269">
      <c r="A2269" s="24">
        <f>IF($G2269="","",COUNTA($G$4:$G2269))</f>
        <v/>
      </c>
      <c r="B2269" s="17" t="n"/>
      <c r="C2269" s="30" t="n"/>
      <c r="D2269" s="17" t="n"/>
      <c r="E2269" s="17" t="n"/>
      <c r="F2269" s="17" t="n"/>
      <c r="G2269" s="17" t="n"/>
      <c r="H2269" s="24">
        <f>IF($G2269="","",IFERROR(VLOOKUP($G2269,物料档案!$A$4:$P$1203,3,0),"※编码不在物料档案里"))</f>
        <v/>
      </c>
      <c r="I2269" s="24">
        <f>IF($G2269="","",IFERROR(VLOOKUP($G2269,物料档案!$A$4:$P$1203,4,0),"※编码不在物料档案里"))</f>
        <v/>
      </c>
      <c r="J2269" s="24">
        <f>IF($G2269="","",IFERROR(VLOOKUP($G2269,物料档案!$A$4:$P$1203,5,0),"※编码不在物料档案里"))</f>
        <v/>
      </c>
      <c r="K2269" s="23" t="n"/>
      <c r="L2269" s="31" t="n"/>
      <c r="M2269" s="24">
        <f>IF($G2269="","",IF($D2269="A国内","CNY","TZS"))</f>
        <v/>
      </c>
      <c r="N2269" s="28">
        <f>IF($G2269="","",IF($D2269="A国内",汇率,1))</f>
        <v/>
      </c>
      <c r="O2269" s="25">
        <f>IF($G2269="","",ROUND(N($K2269)*N($L2269),2))</f>
        <v/>
      </c>
      <c r="P2269" s="26">
        <f>IF($G2269="","",ROUND($O2269*$N2269,0))</f>
        <v/>
      </c>
      <c r="Q2269" s="26">
        <f>IF($G2269="","",SUMIFS($P$4:$P$2503,$E$4:$E$2503,$E2269,$Z$4:$Z$2503,"正常"))</f>
        <v/>
      </c>
      <c r="R2269" s="26">
        <f>IF($G2269="","",SUMIFS(费用台账!$I$4:$I$503,费用台账!$C$4:$C$503,$E2269,费用台账!$J$4:$J$503,"是",费用台账!$K$4:$K$503,"正常"))</f>
        <v/>
      </c>
      <c r="S2269" s="28">
        <f>IF($G2269="","",COUNTIFS($E$4:$E$2503,$E2269,$Z$4:$Z$2503,"正常",$Y$4:$Y$2503,"待补价"))</f>
        <v/>
      </c>
      <c r="T2269" s="26">
        <f>IF($G2269="","",SUMIFS($P$4:$P$2503,$E$4:$E$2503,$E2269,$Z$4:$Z$2503,"正常",$A$4:$A$2503,"&lt;="&amp;$A2269))</f>
        <v/>
      </c>
      <c r="U2269" s="26">
        <f>IF($G2269="","",IF(OR($S2269&gt;0,$Q2269=0,$R2269=0,$Z2269&lt;&gt;"正常"),0,ROUND($T2269/$Q2269*$R2269,0)-ROUND(($T2269-$P2269)/$Q2269*$R2269,0)))</f>
        <v/>
      </c>
      <c r="V2269" s="26">
        <f>IF($G2269="","",ROUND($P2269+$U2269,0))</f>
        <v/>
      </c>
      <c r="W2269" s="26">
        <f>IF($G2269="","",IF(N($K2269)=0,0,ROUND($V2269/$K2269,2)))</f>
        <v/>
      </c>
      <c r="X2269" s="17" t="n"/>
      <c r="Y2269" s="17" t="n"/>
      <c r="Z2269" s="17" t="n"/>
      <c r="AA2269" s="17" t="n"/>
      <c r="AB2269" s="17" t="n"/>
      <c r="AC2269" s="24">
        <f>IF($G2269="","",IF($H2269="※编码不在物料档案里","※物料编码不在档案里",IF(N($K2269)&lt;=0,"※入库数量要大于 0",IF(AND($C2269&lt;&gt;"",$C2269&lt;=结账锁),"※日期早于已结账截止日，不能再录",IF(AND($L2269=0,$X2269="正常"),"※没填单价，价格状态请选「待补价」",IF(AND($S2269&gt;0,$R2269&gt;0),"△本批有 "&amp;$S2269&amp;" 行没单价，整批运费先挂账没摊",IF(AND($B2269&lt;&gt;"",COUNTIF($B$4:$B$2503,$B2269)&gt;1),"※入库单号重复","")))))))</f>
        <v/>
      </c>
    </row>
    <row r="2270">
      <c r="A2270" s="24">
        <f>IF($G2270="","",COUNTA($G$4:$G2270))</f>
        <v/>
      </c>
      <c r="B2270" s="17" t="n"/>
      <c r="C2270" s="30" t="n"/>
      <c r="D2270" s="17" t="n"/>
      <c r="E2270" s="17" t="n"/>
      <c r="F2270" s="17" t="n"/>
      <c r="G2270" s="17" t="n"/>
      <c r="H2270" s="24">
        <f>IF($G2270="","",IFERROR(VLOOKUP($G2270,物料档案!$A$4:$P$1203,3,0),"※编码不在物料档案里"))</f>
        <v/>
      </c>
      <c r="I2270" s="24">
        <f>IF($G2270="","",IFERROR(VLOOKUP($G2270,物料档案!$A$4:$P$1203,4,0),"※编码不在物料档案里"))</f>
        <v/>
      </c>
      <c r="J2270" s="24">
        <f>IF($G2270="","",IFERROR(VLOOKUP($G2270,物料档案!$A$4:$P$1203,5,0),"※编码不在物料档案里"))</f>
        <v/>
      </c>
      <c r="K2270" s="23" t="n"/>
      <c r="L2270" s="31" t="n"/>
      <c r="M2270" s="24">
        <f>IF($G2270="","",IF($D2270="A国内","CNY","TZS"))</f>
        <v/>
      </c>
      <c r="N2270" s="28">
        <f>IF($G2270="","",IF($D2270="A国内",汇率,1))</f>
        <v/>
      </c>
      <c r="O2270" s="25">
        <f>IF($G2270="","",ROUND(N($K2270)*N($L2270),2))</f>
        <v/>
      </c>
      <c r="P2270" s="26">
        <f>IF($G2270="","",ROUND($O2270*$N2270,0))</f>
        <v/>
      </c>
      <c r="Q2270" s="26">
        <f>IF($G2270="","",SUMIFS($P$4:$P$2503,$E$4:$E$2503,$E2270,$Z$4:$Z$2503,"正常"))</f>
        <v/>
      </c>
      <c r="R2270" s="26">
        <f>IF($G2270="","",SUMIFS(费用台账!$I$4:$I$503,费用台账!$C$4:$C$503,$E2270,费用台账!$J$4:$J$503,"是",费用台账!$K$4:$K$503,"正常"))</f>
        <v/>
      </c>
      <c r="S2270" s="28">
        <f>IF($G2270="","",COUNTIFS($E$4:$E$2503,$E2270,$Z$4:$Z$2503,"正常",$Y$4:$Y$2503,"待补价"))</f>
        <v/>
      </c>
      <c r="T2270" s="26">
        <f>IF($G2270="","",SUMIFS($P$4:$P$2503,$E$4:$E$2503,$E2270,$Z$4:$Z$2503,"正常",$A$4:$A$2503,"&lt;="&amp;$A2270))</f>
        <v/>
      </c>
      <c r="U2270" s="26">
        <f>IF($G2270="","",IF(OR($S2270&gt;0,$Q2270=0,$R2270=0,$Z2270&lt;&gt;"正常"),0,ROUND($T2270/$Q2270*$R2270,0)-ROUND(($T2270-$P2270)/$Q2270*$R2270,0)))</f>
        <v/>
      </c>
      <c r="V2270" s="26">
        <f>IF($G2270="","",ROUND($P2270+$U2270,0))</f>
        <v/>
      </c>
      <c r="W2270" s="26">
        <f>IF($G2270="","",IF(N($K2270)=0,0,ROUND($V2270/$K2270,2)))</f>
        <v/>
      </c>
      <c r="X2270" s="17" t="n"/>
      <c r="Y2270" s="17" t="n"/>
      <c r="Z2270" s="17" t="n"/>
      <c r="AA2270" s="17" t="n"/>
      <c r="AB2270" s="17" t="n"/>
      <c r="AC2270" s="24">
        <f>IF($G2270="","",IF($H2270="※编码不在物料档案里","※物料编码不在档案里",IF(N($K2270)&lt;=0,"※入库数量要大于 0",IF(AND($C2270&lt;&gt;"",$C2270&lt;=结账锁),"※日期早于已结账截止日，不能再录",IF(AND($L2270=0,$X2270="正常"),"※没填单价，价格状态请选「待补价」",IF(AND($S2270&gt;0,$R2270&gt;0),"△本批有 "&amp;$S2270&amp;" 行没单价，整批运费先挂账没摊",IF(AND($B2270&lt;&gt;"",COUNTIF($B$4:$B$2503,$B2270)&gt;1),"※入库单号重复","")))))))</f>
        <v/>
      </c>
    </row>
    <row r="2271">
      <c r="A2271" s="24">
        <f>IF($G2271="","",COUNTA($G$4:$G2271))</f>
        <v/>
      </c>
      <c r="B2271" s="17" t="n"/>
      <c r="C2271" s="30" t="n"/>
      <c r="D2271" s="17" t="n"/>
      <c r="E2271" s="17" t="n"/>
      <c r="F2271" s="17" t="n"/>
      <c r="G2271" s="17" t="n"/>
      <c r="H2271" s="24">
        <f>IF($G2271="","",IFERROR(VLOOKUP($G2271,物料档案!$A$4:$P$1203,3,0),"※编码不在物料档案里"))</f>
        <v/>
      </c>
      <c r="I2271" s="24">
        <f>IF($G2271="","",IFERROR(VLOOKUP($G2271,物料档案!$A$4:$P$1203,4,0),"※编码不在物料档案里"))</f>
        <v/>
      </c>
      <c r="J2271" s="24">
        <f>IF($G2271="","",IFERROR(VLOOKUP($G2271,物料档案!$A$4:$P$1203,5,0),"※编码不在物料档案里"))</f>
        <v/>
      </c>
      <c r="K2271" s="23" t="n"/>
      <c r="L2271" s="31" t="n"/>
      <c r="M2271" s="24">
        <f>IF($G2271="","",IF($D2271="A国内","CNY","TZS"))</f>
        <v/>
      </c>
      <c r="N2271" s="28">
        <f>IF($G2271="","",IF($D2271="A国内",汇率,1))</f>
        <v/>
      </c>
      <c r="O2271" s="25">
        <f>IF($G2271="","",ROUND(N($K2271)*N($L2271),2))</f>
        <v/>
      </c>
      <c r="P2271" s="26">
        <f>IF($G2271="","",ROUND($O2271*$N2271,0))</f>
        <v/>
      </c>
      <c r="Q2271" s="26">
        <f>IF($G2271="","",SUMIFS($P$4:$P$2503,$E$4:$E$2503,$E2271,$Z$4:$Z$2503,"正常"))</f>
        <v/>
      </c>
      <c r="R2271" s="26">
        <f>IF($G2271="","",SUMIFS(费用台账!$I$4:$I$503,费用台账!$C$4:$C$503,$E2271,费用台账!$J$4:$J$503,"是",费用台账!$K$4:$K$503,"正常"))</f>
        <v/>
      </c>
      <c r="S2271" s="28">
        <f>IF($G2271="","",COUNTIFS($E$4:$E$2503,$E2271,$Z$4:$Z$2503,"正常",$Y$4:$Y$2503,"待补价"))</f>
        <v/>
      </c>
      <c r="T2271" s="26">
        <f>IF($G2271="","",SUMIFS($P$4:$P$2503,$E$4:$E$2503,$E2271,$Z$4:$Z$2503,"正常",$A$4:$A$2503,"&lt;="&amp;$A2271))</f>
        <v/>
      </c>
      <c r="U2271" s="26">
        <f>IF($G2271="","",IF(OR($S2271&gt;0,$Q2271=0,$R2271=0,$Z2271&lt;&gt;"正常"),0,ROUND($T2271/$Q2271*$R2271,0)-ROUND(($T2271-$P2271)/$Q2271*$R2271,0)))</f>
        <v/>
      </c>
      <c r="V2271" s="26">
        <f>IF($G2271="","",ROUND($P2271+$U2271,0))</f>
        <v/>
      </c>
      <c r="W2271" s="26">
        <f>IF($G2271="","",IF(N($K2271)=0,0,ROUND($V2271/$K2271,2)))</f>
        <v/>
      </c>
      <c r="X2271" s="17" t="n"/>
      <c r="Y2271" s="17" t="n"/>
      <c r="Z2271" s="17" t="n"/>
      <c r="AA2271" s="17" t="n"/>
      <c r="AB2271" s="17" t="n"/>
      <c r="AC2271" s="24">
        <f>IF($G2271="","",IF($H2271="※编码不在物料档案里","※物料编码不在档案里",IF(N($K2271)&lt;=0,"※入库数量要大于 0",IF(AND($C2271&lt;&gt;"",$C2271&lt;=结账锁),"※日期早于已结账截止日，不能再录",IF(AND($L2271=0,$X2271="正常"),"※没填单价，价格状态请选「待补价」",IF(AND($S2271&gt;0,$R2271&gt;0),"△本批有 "&amp;$S2271&amp;" 行没单价，整批运费先挂账没摊",IF(AND($B2271&lt;&gt;"",COUNTIF($B$4:$B$2503,$B2271)&gt;1),"※入库单号重复","")))))))</f>
        <v/>
      </c>
    </row>
    <row r="2272">
      <c r="A2272" s="24">
        <f>IF($G2272="","",COUNTA($G$4:$G2272))</f>
        <v/>
      </c>
      <c r="B2272" s="17" t="n"/>
      <c r="C2272" s="30" t="n"/>
      <c r="D2272" s="17" t="n"/>
      <c r="E2272" s="17" t="n"/>
      <c r="F2272" s="17" t="n"/>
      <c r="G2272" s="17" t="n"/>
      <c r="H2272" s="24">
        <f>IF($G2272="","",IFERROR(VLOOKUP($G2272,物料档案!$A$4:$P$1203,3,0),"※编码不在物料档案里"))</f>
        <v/>
      </c>
      <c r="I2272" s="24">
        <f>IF($G2272="","",IFERROR(VLOOKUP($G2272,物料档案!$A$4:$P$1203,4,0),"※编码不在物料档案里"))</f>
        <v/>
      </c>
      <c r="J2272" s="24">
        <f>IF($G2272="","",IFERROR(VLOOKUP($G2272,物料档案!$A$4:$P$1203,5,0),"※编码不在物料档案里"))</f>
        <v/>
      </c>
      <c r="K2272" s="23" t="n"/>
      <c r="L2272" s="31" t="n"/>
      <c r="M2272" s="24">
        <f>IF($G2272="","",IF($D2272="A国内","CNY","TZS"))</f>
        <v/>
      </c>
      <c r="N2272" s="28">
        <f>IF($G2272="","",IF($D2272="A国内",汇率,1))</f>
        <v/>
      </c>
      <c r="O2272" s="25">
        <f>IF($G2272="","",ROUND(N($K2272)*N($L2272),2))</f>
        <v/>
      </c>
      <c r="P2272" s="26">
        <f>IF($G2272="","",ROUND($O2272*$N2272,0))</f>
        <v/>
      </c>
      <c r="Q2272" s="26">
        <f>IF($G2272="","",SUMIFS($P$4:$P$2503,$E$4:$E$2503,$E2272,$Z$4:$Z$2503,"正常"))</f>
        <v/>
      </c>
      <c r="R2272" s="26">
        <f>IF($G2272="","",SUMIFS(费用台账!$I$4:$I$503,费用台账!$C$4:$C$503,$E2272,费用台账!$J$4:$J$503,"是",费用台账!$K$4:$K$503,"正常"))</f>
        <v/>
      </c>
      <c r="S2272" s="28">
        <f>IF($G2272="","",COUNTIFS($E$4:$E$2503,$E2272,$Z$4:$Z$2503,"正常",$Y$4:$Y$2503,"待补价"))</f>
        <v/>
      </c>
      <c r="T2272" s="26">
        <f>IF($G2272="","",SUMIFS($P$4:$P$2503,$E$4:$E$2503,$E2272,$Z$4:$Z$2503,"正常",$A$4:$A$2503,"&lt;="&amp;$A2272))</f>
        <v/>
      </c>
      <c r="U2272" s="26">
        <f>IF($G2272="","",IF(OR($S2272&gt;0,$Q2272=0,$R2272=0,$Z2272&lt;&gt;"正常"),0,ROUND($T2272/$Q2272*$R2272,0)-ROUND(($T2272-$P2272)/$Q2272*$R2272,0)))</f>
        <v/>
      </c>
      <c r="V2272" s="26">
        <f>IF($G2272="","",ROUND($P2272+$U2272,0))</f>
        <v/>
      </c>
      <c r="W2272" s="26">
        <f>IF($G2272="","",IF(N($K2272)=0,0,ROUND($V2272/$K2272,2)))</f>
        <v/>
      </c>
      <c r="X2272" s="17" t="n"/>
      <c r="Y2272" s="17" t="n"/>
      <c r="Z2272" s="17" t="n"/>
      <c r="AA2272" s="17" t="n"/>
      <c r="AB2272" s="17" t="n"/>
      <c r="AC2272" s="24">
        <f>IF($G2272="","",IF($H2272="※编码不在物料档案里","※物料编码不在档案里",IF(N($K2272)&lt;=0,"※入库数量要大于 0",IF(AND($C2272&lt;&gt;"",$C2272&lt;=结账锁),"※日期早于已结账截止日，不能再录",IF(AND($L2272=0,$X2272="正常"),"※没填单价，价格状态请选「待补价」",IF(AND($S2272&gt;0,$R2272&gt;0),"△本批有 "&amp;$S2272&amp;" 行没单价，整批运费先挂账没摊",IF(AND($B2272&lt;&gt;"",COUNTIF($B$4:$B$2503,$B2272)&gt;1),"※入库单号重复","")))))))</f>
        <v/>
      </c>
    </row>
    <row r="2273">
      <c r="A2273" s="24">
        <f>IF($G2273="","",COUNTA($G$4:$G2273))</f>
        <v/>
      </c>
      <c r="B2273" s="17" t="n"/>
      <c r="C2273" s="30" t="n"/>
      <c r="D2273" s="17" t="n"/>
      <c r="E2273" s="17" t="n"/>
      <c r="F2273" s="17" t="n"/>
      <c r="G2273" s="17" t="n"/>
      <c r="H2273" s="24">
        <f>IF($G2273="","",IFERROR(VLOOKUP($G2273,物料档案!$A$4:$P$1203,3,0),"※编码不在物料档案里"))</f>
        <v/>
      </c>
      <c r="I2273" s="24">
        <f>IF($G2273="","",IFERROR(VLOOKUP($G2273,物料档案!$A$4:$P$1203,4,0),"※编码不在物料档案里"))</f>
        <v/>
      </c>
      <c r="J2273" s="24">
        <f>IF($G2273="","",IFERROR(VLOOKUP($G2273,物料档案!$A$4:$P$1203,5,0),"※编码不在物料档案里"))</f>
        <v/>
      </c>
      <c r="K2273" s="23" t="n"/>
      <c r="L2273" s="31" t="n"/>
      <c r="M2273" s="24">
        <f>IF($G2273="","",IF($D2273="A国内","CNY","TZS"))</f>
        <v/>
      </c>
      <c r="N2273" s="28">
        <f>IF($G2273="","",IF($D2273="A国内",汇率,1))</f>
        <v/>
      </c>
      <c r="O2273" s="25">
        <f>IF($G2273="","",ROUND(N($K2273)*N($L2273),2))</f>
        <v/>
      </c>
      <c r="P2273" s="26">
        <f>IF($G2273="","",ROUND($O2273*$N2273,0))</f>
        <v/>
      </c>
      <c r="Q2273" s="26">
        <f>IF($G2273="","",SUMIFS($P$4:$P$2503,$E$4:$E$2503,$E2273,$Z$4:$Z$2503,"正常"))</f>
        <v/>
      </c>
      <c r="R2273" s="26">
        <f>IF($G2273="","",SUMIFS(费用台账!$I$4:$I$503,费用台账!$C$4:$C$503,$E2273,费用台账!$J$4:$J$503,"是",费用台账!$K$4:$K$503,"正常"))</f>
        <v/>
      </c>
      <c r="S2273" s="28">
        <f>IF($G2273="","",COUNTIFS($E$4:$E$2503,$E2273,$Z$4:$Z$2503,"正常",$Y$4:$Y$2503,"待补价"))</f>
        <v/>
      </c>
      <c r="T2273" s="26">
        <f>IF($G2273="","",SUMIFS($P$4:$P$2503,$E$4:$E$2503,$E2273,$Z$4:$Z$2503,"正常",$A$4:$A$2503,"&lt;="&amp;$A2273))</f>
        <v/>
      </c>
      <c r="U2273" s="26">
        <f>IF($G2273="","",IF(OR($S2273&gt;0,$Q2273=0,$R2273=0,$Z2273&lt;&gt;"正常"),0,ROUND($T2273/$Q2273*$R2273,0)-ROUND(($T2273-$P2273)/$Q2273*$R2273,0)))</f>
        <v/>
      </c>
      <c r="V2273" s="26">
        <f>IF($G2273="","",ROUND($P2273+$U2273,0))</f>
        <v/>
      </c>
      <c r="W2273" s="26">
        <f>IF($G2273="","",IF(N($K2273)=0,0,ROUND($V2273/$K2273,2)))</f>
        <v/>
      </c>
      <c r="X2273" s="17" t="n"/>
      <c r="Y2273" s="17" t="n"/>
      <c r="Z2273" s="17" t="n"/>
      <c r="AA2273" s="17" t="n"/>
      <c r="AB2273" s="17" t="n"/>
      <c r="AC2273" s="24">
        <f>IF($G2273="","",IF($H2273="※编码不在物料档案里","※物料编码不在档案里",IF(N($K2273)&lt;=0,"※入库数量要大于 0",IF(AND($C2273&lt;&gt;"",$C2273&lt;=结账锁),"※日期早于已结账截止日，不能再录",IF(AND($L2273=0,$X2273="正常"),"※没填单价，价格状态请选「待补价」",IF(AND($S2273&gt;0,$R2273&gt;0),"△本批有 "&amp;$S2273&amp;" 行没单价，整批运费先挂账没摊",IF(AND($B2273&lt;&gt;"",COUNTIF($B$4:$B$2503,$B2273)&gt;1),"※入库单号重复","")))))))</f>
        <v/>
      </c>
    </row>
    <row r="2274">
      <c r="A2274" s="24">
        <f>IF($G2274="","",COUNTA($G$4:$G2274))</f>
        <v/>
      </c>
      <c r="B2274" s="17" t="n"/>
      <c r="C2274" s="30" t="n"/>
      <c r="D2274" s="17" t="n"/>
      <c r="E2274" s="17" t="n"/>
      <c r="F2274" s="17" t="n"/>
      <c r="G2274" s="17" t="n"/>
      <c r="H2274" s="24">
        <f>IF($G2274="","",IFERROR(VLOOKUP($G2274,物料档案!$A$4:$P$1203,3,0),"※编码不在物料档案里"))</f>
        <v/>
      </c>
      <c r="I2274" s="24">
        <f>IF($G2274="","",IFERROR(VLOOKUP($G2274,物料档案!$A$4:$P$1203,4,0),"※编码不在物料档案里"))</f>
        <v/>
      </c>
      <c r="J2274" s="24">
        <f>IF($G2274="","",IFERROR(VLOOKUP($G2274,物料档案!$A$4:$P$1203,5,0),"※编码不在物料档案里"))</f>
        <v/>
      </c>
      <c r="K2274" s="23" t="n"/>
      <c r="L2274" s="31" t="n"/>
      <c r="M2274" s="24">
        <f>IF($G2274="","",IF($D2274="A国内","CNY","TZS"))</f>
        <v/>
      </c>
      <c r="N2274" s="28">
        <f>IF($G2274="","",IF($D2274="A国内",汇率,1))</f>
        <v/>
      </c>
      <c r="O2274" s="25">
        <f>IF($G2274="","",ROUND(N($K2274)*N($L2274),2))</f>
        <v/>
      </c>
      <c r="P2274" s="26">
        <f>IF($G2274="","",ROUND($O2274*$N2274,0))</f>
        <v/>
      </c>
      <c r="Q2274" s="26">
        <f>IF($G2274="","",SUMIFS($P$4:$P$2503,$E$4:$E$2503,$E2274,$Z$4:$Z$2503,"正常"))</f>
        <v/>
      </c>
      <c r="R2274" s="26">
        <f>IF($G2274="","",SUMIFS(费用台账!$I$4:$I$503,费用台账!$C$4:$C$503,$E2274,费用台账!$J$4:$J$503,"是",费用台账!$K$4:$K$503,"正常"))</f>
        <v/>
      </c>
      <c r="S2274" s="28">
        <f>IF($G2274="","",COUNTIFS($E$4:$E$2503,$E2274,$Z$4:$Z$2503,"正常",$Y$4:$Y$2503,"待补价"))</f>
        <v/>
      </c>
      <c r="T2274" s="26">
        <f>IF($G2274="","",SUMIFS($P$4:$P$2503,$E$4:$E$2503,$E2274,$Z$4:$Z$2503,"正常",$A$4:$A$2503,"&lt;="&amp;$A2274))</f>
        <v/>
      </c>
      <c r="U2274" s="26">
        <f>IF($G2274="","",IF(OR($S2274&gt;0,$Q2274=0,$R2274=0,$Z2274&lt;&gt;"正常"),0,ROUND($T2274/$Q2274*$R2274,0)-ROUND(($T2274-$P2274)/$Q2274*$R2274,0)))</f>
        <v/>
      </c>
      <c r="V2274" s="26">
        <f>IF($G2274="","",ROUND($P2274+$U2274,0))</f>
        <v/>
      </c>
      <c r="W2274" s="26">
        <f>IF($G2274="","",IF(N($K2274)=0,0,ROUND($V2274/$K2274,2)))</f>
        <v/>
      </c>
      <c r="X2274" s="17" t="n"/>
      <c r="Y2274" s="17" t="n"/>
      <c r="Z2274" s="17" t="n"/>
      <c r="AA2274" s="17" t="n"/>
      <c r="AB2274" s="17" t="n"/>
      <c r="AC2274" s="24">
        <f>IF($G2274="","",IF($H2274="※编码不在物料档案里","※物料编码不在档案里",IF(N($K2274)&lt;=0,"※入库数量要大于 0",IF(AND($C2274&lt;&gt;"",$C2274&lt;=结账锁),"※日期早于已结账截止日，不能再录",IF(AND($L2274=0,$X2274="正常"),"※没填单价，价格状态请选「待补价」",IF(AND($S2274&gt;0,$R2274&gt;0),"△本批有 "&amp;$S2274&amp;" 行没单价，整批运费先挂账没摊",IF(AND($B2274&lt;&gt;"",COUNTIF($B$4:$B$2503,$B2274)&gt;1),"※入库单号重复","")))))))</f>
        <v/>
      </c>
    </row>
    <row r="2275">
      <c r="A2275" s="24">
        <f>IF($G2275="","",COUNTA($G$4:$G2275))</f>
        <v/>
      </c>
      <c r="B2275" s="17" t="n"/>
      <c r="C2275" s="30" t="n"/>
      <c r="D2275" s="17" t="n"/>
      <c r="E2275" s="17" t="n"/>
      <c r="F2275" s="17" t="n"/>
      <c r="G2275" s="17" t="n"/>
      <c r="H2275" s="24">
        <f>IF($G2275="","",IFERROR(VLOOKUP($G2275,物料档案!$A$4:$P$1203,3,0),"※编码不在物料档案里"))</f>
        <v/>
      </c>
      <c r="I2275" s="24">
        <f>IF($G2275="","",IFERROR(VLOOKUP($G2275,物料档案!$A$4:$P$1203,4,0),"※编码不在物料档案里"))</f>
        <v/>
      </c>
      <c r="J2275" s="24">
        <f>IF($G2275="","",IFERROR(VLOOKUP($G2275,物料档案!$A$4:$P$1203,5,0),"※编码不在物料档案里"))</f>
        <v/>
      </c>
      <c r="K2275" s="23" t="n"/>
      <c r="L2275" s="31" t="n"/>
      <c r="M2275" s="24">
        <f>IF($G2275="","",IF($D2275="A国内","CNY","TZS"))</f>
        <v/>
      </c>
      <c r="N2275" s="28">
        <f>IF($G2275="","",IF($D2275="A国内",汇率,1))</f>
        <v/>
      </c>
      <c r="O2275" s="25">
        <f>IF($G2275="","",ROUND(N($K2275)*N($L2275),2))</f>
        <v/>
      </c>
      <c r="P2275" s="26">
        <f>IF($G2275="","",ROUND($O2275*$N2275,0))</f>
        <v/>
      </c>
      <c r="Q2275" s="26">
        <f>IF($G2275="","",SUMIFS($P$4:$P$2503,$E$4:$E$2503,$E2275,$Z$4:$Z$2503,"正常"))</f>
        <v/>
      </c>
      <c r="R2275" s="26">
        <f>IF($G2275="","",SUMIFS(费用台账!$I$4:$I$503,费用台账!$C$4:$C$503,$E2275,费用台账!$J$4:$J$503,"是",费用台账!$K$4:$K$503,"正常"))</f>
        <v/>
      </c>
      <c r="S2275" s="28">
        <f>IF($G2275="","",COUNTIFS($E$4:$E$2503,$E2275,$Z$4:$Z$2503,"正常",$Y$4:$Y$2503,"待补价"))</f>
        <v/>
      </c>
      <c r="T2275" s="26">
        <f>IF($G2275="","",SUMIFS($P$4:$P$2503,$E$4:$E$2503,$E2275,$Z$4:$Z$2503,"正常",$A$4:$A$2503,"&lt;="&amp;$A2275))</f>
        <v/>
      </c>
      <c r="U2275" s="26">
        <f>IF($G2275="","",IF(OR($S2275&gt;0,$Q2275=0,$R2275=0,$Z2275&lt;&gt;"正常"),0,ROUND($T2275/$Q2275*$R2275,0)-ROUND(($T2275-$P2275)/$Q2275*$R2275,0)))</f>
        <v/>
      </c>
      <c r="V2275" s="26">
        <f>IF($G2275="","",ROUND($P2275+$U2275,0))</f>
        <v/>
      </c>
      <c r="W2275" s="26">
        <f>IF($G2275="","",IF(N($K2275)=0,0,ROUND($V2275/$K2275,2)))</f>
        <v/>
      </c>
      <c r="X2275" s="17" t="n"/>
      <c r="Y2275" s="17" t="n"/>
      <c r="Z2275" s="17" t="n"/>
      <c r="AA2275" s="17" t="n"/>
      <c r="AB2275" s="17" t="n"/>
      <c r="AC2275" s="24">
        <f>IF($G2275="","",IF($H2275="※编码不在物料档案里","※物料编码不在档案里",IF(N($K2275)&lt;=0,"※入库数量要大于 0",IF(AND($C2275&lt;&gt;"",$C2275&lt;=结账锁),"※日期早于已结账截止日，不能再录",IF(AND($L2275=0,$X2275="正常"),"※没填单价，价格状态请选「待补价」",IF(AND($S2275&gt;0,$R2275&gt;0),"△本批有 "&amp;$S2275&amp;" 行没单价，整批运费先挂账没摊",IF(AND($B2275&lt;&gt;"",COUNTIF($B$4:$B$2503,$B2275)&gt;1),"※入库单号重复","")))))))</f>
        <v/>
      </c>
    </row>
    <row r="2276">
      <c r="A2276" s="24">
        <f>IF($G2276="","",COUNTA($G$4:$G2276))</f>
        <v/>
      </c>
      <c r="B2276" s="17" t="n"/>
      <c r="C2276" s="30" t="n"/>
      <c r="D2276" s="17" t="n"/>
      <c r="E2276" s="17" t="n"/>
      <c r="F2276" s="17" t="n"/>
      <c r="G2276" s="17" t="n"/>
      <c r="H2276" s="24">
        <f>IF($G2276="","",IFERROR(VLOOKUP($G2276,物料档案!$A$4:$P$1203,3,0),"※编码不在物料档案里"))</f>
        <v/>
      </c>
      <c r="I2276" s="24">
        <f>IF($G2276="","",IFERROR(VLOOKUP($G2276,物料档案!$A$4:$P$1203,4,0),"※编码不在物料档案里"))</f>
        <v/>
      </c>
      <c r="J2276" s="24">
        <f>IF($G2276="","",IFERROR(VLOOKUP($G2276,物料档案!$A$4:$P$1203,5,0),"※编码不在物料档案里"))</f>
        <v/>
      </c>
      <c r="K2276" s="23" t="n"/>
      <c r="L2276" s="31" t="n"/>
      <c r="M2276" s="24">
        <f>IF($G2276="","",IF($D2276="A国内","CNY","TZS"))</f>
        <v/>
      </c>
      <c r="N2276" s="28">
        <f>IF($G2276="","",IF($D2276="A国内",汇率,1))</f>
        <v/>
      </c>
      <c r="O2276" s="25">
        <f>IF($G2276="","",ROUND(N($K2276)*N($L2276),2))</f>
        <v/>
      </c>
      <c r="P2276" s="26">
        <f>IF($G2276="","",ROUND($O2276*$N2276,0))</f>
        <v/>
      </c>
      <c r="Q2276" s="26">
        <f>IF($G2276="","",SUMIFS($P$4:$P$2503,$E$4:$E$2503,$E2276,$Z$4:$Z$2503,"正常"))</f>
        <v/>
      </c>
      <c r="R2276" s="26">
        <f>IF($G2276="","",SUMIFS(费用台账!$I$4:$I$503,费用台账!$C$4:$C$503,$E2276,费用台账!$J$4:$J$503,"是",费用台账!$K$4:$K$503,"正常"))</f>
        <v/>
      </c>
      <c r="S2276" s="28">
        <f>IF($G2276="","",COUNTIFS($E$4:$E$2503,$E2276,$Z$4:$Z$2503,"正常",$Y$4:$Y$2503,"待补价"))</f>
        <v/>
      </c>
      <c r="T2276" s="26">
        <f>IF($G2276="","",SUMIFS($P$4:$P$2503,$E$4:$E$2503,$E2276,$Z$4:$Z$2503,"正常",$A$4:$A$2503,"&lt;="&amp;$A2276))</f>
        <v/>
      </c>
      <c r="U2276" s="26">
        <f>IF($G2276="","",IF(OR($S2276&gt;0,$Q2276=0,$R2276=0,$Z2276&lt;&gt;"正常"),0,ROUND($T2276/$Q2276*$R2276,0)-ROUND(($T2276-$P2276)/$Q2276*$R2276,0)))</f>
        <v/>
      </c>
      <c r="V2276" s="26">
        <f>IF($G2276="","",ROUND($P2276+$U2276,0))</f>
        <v/>
      </c>
      <c r="W2276" s="26">
        <f>IF($G2276="","",IF(N($K2276)=0,0,ROUND($V2276/$K2276,2)))</f>
        <v/>
      </c>
      <c r="X2276" s="17" t="n"/>
      <c r="Y2276" s="17" t="n"/>
      <c r="Z2276" s="17" t="n"/>
      <c r="AA2276" s="17" t="n"/>
      <c r="AB2276" s="17" t="n"/>
      <c r="AC2276" s="24">
        <f>IF($G2276="","",IF($H2276="※编码不在物料档案里","※物料编码不在档案里",IF(N($K2276)&lt;=0,"※入库数量要大于 0",IF(AND($C2276&lt;&gt;"",$C2276&lt;=结账锁),"※日期早于已结账截止日，不能再录",IF(AND($L2276=0,$X2276="正常"),"※没填单价，价格状态请选「待补价」",IF(AND($S2276&gt;0,$R2276&gt;0),"△本批有 "&amp;$S2276&amp;" 行没单价，整批运费先挂账没摊",IF(AND($B2276&lt;&gt;"",COUNTIF($B$4:$B$2503,$B2276)&gt;1),"※入库单号重复","")))))))</f>
        <v/>
      </c>
    </row>
    <row r="2277">
      <c r="A2277" s="24">
        <f>IF($G2277="","",COUNTA($G$4:$G2277))</f>
        <v/>
      </c>
      <c r="B2277" s="17" t="n"/>
      <c r="C2277" s="30" t="n"/>
      <c r="D2277" s="17" t="n"/>
      <c r="E2277" s="17" t="n"/>
      <c r="F2277" s="17" t="n"/>
      <c r="G2277" s="17" t="n"/>
      <c r="H2277" s="24">
        <f>IF($G2277="","",IFERROR(VLOOKUP($G2277,物料档案!$A$4:$P$1203,3,0),"※编码不在物料档案里"))</f>
        <v/>
      </c>
      <c r="I2277" s="24">
        <f>IF($G2277="","",IFERROR(VLOOKUP($G2277,物料档案!$A$4:$P$1203,4,0),"※编码不在物料档案里"))</f>
        <v/>
      </c>
      <c r="J2277" s="24">
        <f>IF($G2277="","",IFERROR(VLOOKUP($G2277,物料档案!$A$4:$P$1203,5,0),"※编码不在物料档案里"))</f>
        <v/>
      </c>
      <c r="K2277" s="23" t="n"/>
      <c r="L2277" s="31" t="n"/>
      <c r="M2277" s="24">
        <f>IF($G2277="","",IF($D2277="A国内","CNY","TZS"))</f>
        <v/>
      </c>
      <c r="N2277" s="28">
        <f>IF($G2277="","",IF($D2277="A国内",汇率,1))</f>
        <v/>
      </c>
      <c r="O2277" s="25">
        <f>IF($G2277="","",ROUND(N($K2277)*N($L2277),2))</f>
        <v/>
      </c>
      <c r="P2277" s="26">
        <f>IF($G2277="","",ROUND($O2277*$N2277,0))</f>
        <v/>
      </c>
      <c r="Q2277" s="26">
        <f>IF($G2277="","",SUMIFS($P$4:$P$2503,$E$4:$E$2503,$E2277,$Z$4:$Z$2503,"正常"))</f>
        <v/>
      </c>
      <c r="R2277" s="26">
        <f>IF($G2277="","",SUMIFS(费用台账!$I$4:$I$503,费用台账!$C$4:$C$503,$E2277,费用台账!$J$4:$J$503,"是",费用台账!$K$4:$K$503,"正常"))</f>
        <v/>
      </c>
      <c r="S2277" s="28">
        <f>IF($G2277="","",COUNTIFS($E$4:$E$2503,$E2277,$Z$4:$Z$2503,"正常",$Y$4:$Y$2503,"待补价"))</f>
        <v/>
      </c>
      <c r="T2277" s="26">
        <f>IF($G2277="","",SUMIFS($P$4:$P$2503,$E$4:$E$2503,$E2277,$Z$4:$Z$2503,"正常",$A$4:$A$2503,"&lt;="&amp;$A2277))</f>
        <v/>
      </c>
      <c r="U2277" s="26">
        <f>IF($G2277="","",IF(OR($S2277&gt;0,$Q2277=0,$R2277=0,$Z2277&lt;&gt;"正常"),0,ROUND($T2277/$Q2277*$R2277,0)-ROUND(($T2277-$P2277)/$Q2277*$R2277,0)))</f>
        <v/>
      </c>
      <c r="V2277" s="26">
        <f>IF($G2277="","",ROUND($P2277+$U2277,0))</f>
        <v/>
      </c>
      <c r="W2277" s="26">
        <f>IF($G2277="","",IF(N($K2277)=0,0,ROUND($V2277/$K2277,2)))</f>
        <v/>
      </c>
      <c r="X2277" s="17" t="n"/>
      <c r="Y2277" s="17" t="n"/>
      <c r="Z2277" s="17" t="n"/>
      <c r="AA2277" s="17" t="n"/>
      <c r="AB2277" s="17" t="n"/>
      <c r="AC2277" s="24">
        <f>IF($G2277="","",IF($H2277="※编码不在物料档案里","※物料编码不在档案里",IF(N($K2277)&lt;=0,"※入库数量要大于 0",IF(AND($C2277&lt;&gt;"",$C2277&lt;=结账锁),"※日期早于已结账截止日，不能再录",IF(AND($L2277=0,$X2277="正常"),"※没填单价，价格状态请选「待补价」",IF(AND($S2277&gt;0,$R2277&gt;0),"△本批有 "&amp;$S2277&amp;" 行没单价，整批运费先挂账没摊",IF(AND($B2277&lt;&gt;"",COUNTIF($B$4:$B$2503,$B2277)&gt;1),"※入库单号重复","")))))))</f>
        <v/>
      </c>
    </row>
    <row r="2278">
      <c r="A2278" s="24">
        <f>IF($G2278="","",COUNTA($G$4:$G2278))</f>
        <v/>
      </c>
      <c r="B2278" s="17" t="n"/>
      <c r="C2278" s="30" t="n"/>
      <c r="D2278" s="17" t="n"/>
      <c r="E2278" s="17" t="n"/>
      <c r="F2278" s="17" t="n"/>
      <c r="G2278" s="17" t="n"/>
      <c r="H2278" s="24">
        <f>IF($G2278="","",IFERROR(VLOOKUP($G2278,物料档案!$A$4:$P$1203,3,0),"※编码不在物料档案里"))</f>
        <v/>
      </c>
      <c r="I2278" s="24">
        <f>IF($G2278="","",IFERROR(VLOOKUP($G2278,物料档案!$A$4:$P$1203,4,0),"※编码不在物料档案里"))</f>
        <v/>
      </c>
      <c r="J2278" s="24">
        <f>IF($G2278="","",IFERROR(VLOOKUP($G2278,物料档案!$A$4:$P$1203,5,0),"※编码不在物料档案里"))</f>
        <v/>
      </c>
      <c r="K2278" s="23" t="n"/>
      <c r="L2278" s="31" t="n"/>
      <c r="M2278" s="24">
        <f>IF($G2278="","",IF($D2278="A国内","CNY","TZS"))</f>
        <v/>
      </c>
      <c r="N2278" s="28">
        <f>IF($G2278="","",IF($D2278="A国内",汇率,1))</f>
        <v/>
      </c>
      <c r="O2278" s="25">
        <f>IF($G2278="","",ROUND(N($K2278)*N($L2278),2))</f>
        <v/>
      </c>
      <c r="P2278" s="26">
        <f>IF($G2278="","",ROUND($O2278*$N2278,0))</f>
        <v/>
      </c>
      <c r="Q2278" s="26">
        <f>IF($G2278="","",SUMIFS($P$4:$P$2503,$E$4:$E$2503,$E2278,$Z$4:$Z$2503,"正常"))</f>
        <v/>
      </c>
      <c r="R2278" s="26">
        <f>IF($G2278="","",SUMIFS(费用台账!$I$4:$I$503,费用台账!$C$4:$C$503,$E2278,费用台账!$J$4:$J$503,"是",费用台账!$K$4:$K$503,"正常"))</f>
        <v/>
      </c>
      <c r="S2278" s="28">
        <f>IF($G2278="","",COUNTIFS($E$4:$E$2503,$E2278,$Z$4:$Z$2503,"正常",$Y$4:$Y$2503,"待补价"))</f>
        <v/>
      </c>
      <c r="T2278" s="26">
        <f>IF($G2278="","",SUMIFS($P$4:$P$2503,$E$4:$E$2503,$E2278,$Z$4:$Z$2503,"正常",$A$4:$A$2503,"&lt;="&amp;$A2278))</f>
        <v/>
      </c>
      <c r="U2278" s="26">
        <f>IF($G2278="","",IF(OR($S2278&gt;0,$Q2278=0,$R2278=0,$Z2278&lt;&gt;"正常"),0,ROUND($T2278/$Q2278*$R2278,0)-ROUND(($T2278-$P2278)/$Q2278*$R2278,0)))</f>
        <v/>
      </c>
      <c r="V2278" s="26">
        <f>IF($G2278="","",ROUND($P2278+$U2278,0))</f>
        <v/>
      </c>
      <c r="W2278" s="26">
        <f>IF($G2278="","",IF(N($K2278)=0,0,ROUND($V2278/$K2278,2)))</f>
        <v/>
      </c>
      <c r="X2278" s="17" t="n"/>
      <c r="Y2278" s="17" t="n"/>
      <c r="Z2278" s="17" t="n"/>
      <c r="AA2278" s="17" t="n"/>
      <c r="AB2278" s="17" t="n"/>
      <c r="AC2278" s="24">
        <f>IF($G2278="","",IF($H2278="※编码不在物料档案里","※物料编码不在档案里",IF(N($K2278)&lt;=0,"※入库数量要大于 0",IF(AND($C2278&lt;&gt;"",$C2278&lt;=结账锁),"※日期早于已结账截止日，不能再录",IF(AND($L2278=0,$X2278="正常"),"※没填单价，价格状态请选「待补价」",IF(AND($S2278&gt;0,$R2278&gt;0),"△本批有 "&amp;$S2278&amp;" 行没单价，整批运费先挂账没摊",IF(AND($B2278&lt;&gt;"",COUNTIF($B$4:$B$2503,$B2278)&gt;1),"※入库单号重复","")))))))</f>
        <v/>
      </c>
    </row>
    <row r="2279">
      <c r="A2279" s="24">
        <f>IF($G2279="","",COUNTA($G$4:$G2279))</f>
        <v/>
      </c>
      <c r="B2279" s="17" t="n"/>
      <c r="C2279" s="30" t="n"/>
      <c r="D2279" s="17" t="n"/>
      <c r="E2279" s="17" t="n"/>
      <c r="F2279" s="17" t="n"/>
      <c r="G2279" s="17" t="n"/>
      <c r="H2279" s="24">
        <f>IF($G2279="","",IFERROR(VLOOKUP($G2279,物料档案!$A$4:$P$1203,3,0),"※编码不在物料档案里"))</f>
        <v/>
      </c>
      <c r="I2279" s="24">
        <f>IF($G2279="","",IFERROR(VLOOKUP($G2279,物料档案!$A$4:$P$1203,4,0),"※编码不在物料档案里"))</f>
        <v/>
      </c>
      <c r="J2279" s="24">
        <f>IF($G2279="","",IFERROR(VLOOKUP($G2279,物料档案!$A$4:$P$1203,5,0),"※编码不在物料档案里"))</f>
        <v/>
      </c>
      <c r="K2279" s="23" t="n"/>
      <c r="L2279" s="31" t="n"/>
      <c r="M2279" s="24">
        <f>IF($G2279="","",IF($D2279="A国内","CNY","TZS"))</f>
        <v/>
      </c>
      <c r="N2279" s="28">
        <f>IF($G2279="","",IF($D2279="A国内",汇率,1))</f>
        <v/>
      </c>
      <c r="O2279" s="25">
        <f>IF($G2279="","",ROUND(N($K2279)*N($L2279),2))</f>
        <v/>
      </c>
      <c r="P2279" s="26">
        <f>IF($G2279="","",ROUND($O2279*$N2279,0))</f>
        <v/>
      </c>
      <c r="Q2279" s="26">
        <f>IF($G2279="","",SUMIFS($P$4:$P$2503,$E$4:$E$2503,$E2279,$Z$4:$Z$2503,"正常"))</f>
        <v/>
      </c>
      <c r="R2279" s="26">
        <f>IF($G2279="","",SUMIFS(费用台账!$I$4:$I$503,费用台账!$C$4:$C$503,$E2279,费用台账!$J$4:$J$503,"是",费用台账!$K$4:$K$503,"正常"))</f>
        <v/>
      </c>
      <c r="S2279" s="28">
        <f>IF($G2279="","",COUNTIFS($E$4:$E$2503,$E2279,$Z$4:$Z$2503,"正常",$Y$4:$Y$2503,"待补价"))</f>
        <v/>
      </c>
      <c r="T2279" s="26">
        <f>IF($G2279="","",SUMIFS($P$4:$P$2503,$E$4:$E$2503,$E2279,$Z$4:$Z$2503,"正常",$A$4:$A$2503,"&lt;="&amp;$A2279))</f>
        <v/>
      </c>
      <c r="U2279" s="26">
        <f>IF($G2279="","",IF(OR($S2279&gt;0,$Q2279=0,$R2279=0,$Z2279&lt;&gt;"正常"),0,ROUND($T2279/$Q2279*$R2279,0)-ROUND(($T2279-$P2279)/$Q2279*$R2279,0)))</f>
        <v/>
      </c>
      <c r="V2279" s="26">
        <f>IF($G2279="","",ROUND($P2279+$U2279,0))</f>
        <v/>
      </c>
      <c r="W2279" s="26">
        <f>IF($G2279="","",IF(N($K2279)=0,0,ROUND($V2279/$K2279,2)))</f>
        <v/>
      </c>
      <c r="X2279" s="17" t="n"/>
      <c r="Y2279" s="17" t="n"/>
      <c r="Z2279" s="17" t="n"/>
      <c r="AA2279" s="17" t="n"/>
      <c r="AB2279" s="17" t="n"/>
      <c r="AC2279" s="24">
        <f>IF($G2279="","",IF($H2279="※编码不在物料档案里","※物料编码不在档案里",IF(N($K2279)&lt;=0,"※入库数量要大于 0",IF(AND($C2279&lt;&gt;"",$C2279&lt;=结账锁),"※日期早于已结账截止日，不能再录",IF(AND($L2279=0,$X2279="正常"),"※没填单价，价格状态请选「待补价」",IF(AND($S2279&gt;0,$R2279&gt;0),"△本批有 "&amp;$S2279&amp;" 行没单价，整批运费先挂账没摊",IF(AND($B2279&lt;&gt;"",COUNTIF($B$4:$B$2503,$B2279)&gt;1),"※入库单号重复","")))))))</f>
        <v/>
      </c>
    </row>
    <row r="2280">
      <c r="A2280" s="24">
        <f>IF($G2280="","",COUNTA($G$4:$G2280))</f>
        <v/>
      </c>
      <c r="B2280" s="17" t="n"/>
      <c r="C2280" s="30" t="n"/>
      <c r="D2280" s="17" t="n"/>
      <c r="E2280" s="17" t="n"/>
      <c r="F2280" s="17" t="n"/>
      <c r="G2280" s="17" t="n"/>
      <c r="H2280" s="24">
        <f>IF($G2280="","",IFERROR(VLOOKUP($G2280,物料档案!$A$4:$P$1203,3,0),"※编码不在物料档案里"))</f>
        <v/>
      </c>
      <c r="I2280" s="24">
        <f>IF($G2280="","",IFERROR(VLOOKUP($G2280,物料档案!$A$4:$P$1203,4,0),"※编码不在物料档案里"))</f>
        <v/>
      </c>
      <c r="J2280" s="24">
        <f>IF($G2280="","",IFERROR(VLOOKUP($G2280,物料档案!$A$4:$P$1203,5,0),"※编码不在物料档案里"))</f>
        <v/>
      </c>
      <c r="K2280" s="23" t="n"/>
      <c r="L2280" s="31" t="n"/>
      <c r="M2280" s="24">
        <f>IF($G2280="","",IF($D2280="A国内","CNY","TZS"))</f>
        <v/>
      </c>
      <c r="N2280" s="28">
        <f>IF($G2280="","",IF($D2280="A国内",汇率,1))</f>
        <v/>
      </c>
      <c r="O2280" s="25">
        <f>IF($G2280="","",ROUND(N($K2280)*N($L2280),2))</f>
        <v/>
      </c>
      <c r="P2280" s="26">
        <f>IF($G2280="","",ROUND($O2280*$N2280,0))</f>
        <v/>
      </c>
      <c r="Q2280" s="26">
        <f>IF($G2280="","",SUMIFS($P$4:$P$2503,$E$4:$E$2503,$E2280,$Z$4:$Z$2503,"正常"))</f>
        <v/>
      </c>
      <c r="R2280" s="26">
        <f>IF($G2280="","",SUMIFS(费用台账!$I$4:$I$503,费用台账!$C$4:$C$503,$E2280,费用台账!$J$4:$J$503,"是",费用台账!$K$4:$K$503,"正常"))</f>
        <v/>
      </c>
      <c r="S2280" s="28">
        <f>IF($G2280="","",COUNTIFS($E$4:$E$2503,$E2280,$Z$4:$Z$2503,"正常",$Y$4:$Y$2503,"待补价"))</f>
        <v/>
      </c>
      <c r="T2280" s="26">
        <f>IF($G2280="","",SUMIFS($P$4:$P$2503,$E$4:$E$2503,$E2280,$Z$4:$Z$2503,"正常",$A$4:$A$2503,"&lt;="&amp;$A2280))</f>
        <v/>
      </c>
      <c r="U2280" s="26">
        <f>IF($G2280="","",IF(OR($S2280&gt;0,$Q2280=0,$R2280=0,$Z2280&lt;&gt;"正常"),0,ROUND($T2280/$Q2280*$R2280,0)-ROUND(($T2280-$P2280)/$Q2280*$R2280,0)))</f>
        <v/>
      </c>
      <c r="V2280" s="26">
        <f>IF($G2280="","",ROUND($P2280+$U2280,0))</f>
        <v/>
      </c>
      <c r="W2280" s="26">
        <f>IF($G2280="","",IF(N($K2280)=0,0,ROUND($V2280/$K2280,2)))</f>
        <v/>
      </c>
      <c r="X2280" s="17" t="n"/>
      <c r="Y2280" s="17" t="n"/>
      <c r="Z2280" s="17" t="n"/>
      <c r="AA2280" s="17" t="n"/>
      <c r="AB2280" s="17" t="n"/>
      <c r="AC2280" s="24">
        <f>IF($G2280="","",IF($H2280="※编码不在物料档案里","※物料编码不在档案里",IF(N($K2280)&lt;=0,"※入库数量要大于 0",IF(AND($C2280&lt;&gt;"",$C2280&lt;=结账锁),"※日期早于已结账截止日，不能再录",IF(AND($L2280=0,$X2280="正常"),"※没填单价，价格状态请选「待补价」",IF(AND($S2280&gt;0,$R2280&gt;0),"△本批有 "&amp;$S2280&amp;" 行没单价，整批运费先挂账没摊",IF(AND($B2280&lt;&gt;"",COUNTIF($B$4:$B$2503,$B2280)&gt;1),"※入库单号重复","")))))))</f>
        <v/>
      </c>
    </row>
    <row r="2281">
      <c r="A2281" s="24">
        <f>IF($G2281="","",COUNTA($G$4:$G2281))</f>
        <v/>
      </c>
      <c r="B2281" s="17" t="n"/>
      <c r="C2281" s="30" t="n"/>
      <c r="D2281" s="17" t="n"/>
      <c r="E2281" s="17" t="n"/>
      <c r="F2281" s="17" t="n"/>
      <c r="G2281" s="17" t="n"/>
      <c r="H2281" s="24">
        <f>IF($G2281="","",IFERROR(VLOOKUP($G2281,物料档案!$A$4:$P$1203,3,0),"※编码不在物料档案里"))</f>
        <v/>
      </c>
      <c r="I2281" s="24">
        <f>IF($G2281="","",IFERROR(VLOOKUP($G2281,物料档案!$A$4:$P$1203,4,0),"※编码不在物料档案里"))</f>
        <v/>
      </c>
      <c r="J2281" s="24">
        <f>IF($G2281="","",IFERROR(VLOOKUP($G2281,物料档案!$A$4:$P$1203,5,0),"※编码不在物料档案里"))</f>
        <v/>
      </c>
      <c r="K2281" s="23" t="n"/>
      <c r="L2281" s="31" t="n"/>
      <c r="M2281" s="24">
        <f>IF($G2281="","",IF($D2281="A国内","CNY","TZS"))</f>
        <v/>
      </c>
      <c r="N2281" s="28">
        <f>IF($G2281="","",IF($D2281="A国内",汇率,1))</f>
        <v/>
      </c>
      <c r="O2281" s="25">
        <f>IF($G2281="","",ROUND(N($K2281)*N($L2281),2))</f>
        <v/>
      </c>
      <c r="P2281" s="26">
        <f>IF($G2281="","",ROUND($O2281*$N2281,0))</f>
        <v/>
      </c>
      <c r="Q2281" s="26">
        <f>IF($G2281="","",SUMIFS($P$4:$P$2503,$E$4:$E$2503,$E2281,$Z$4:$Z$2503,"正常"))</f>
        <v/>
      </c>
      <c r="R2281" s="26">
        <f>IF($G2281="","",SUMIFS(费用台账!$I$4:$I$503,费用台账!$C$4:$C$503,$E2281,费用台账!$J$4:$J$503,"是",费用台账!$K$4:$K$503,"正常"))</f>
        <v/>
      </c>
      <c r="S2281" s="28">
        <f>IF($G2281="","",COUNTIFS($E$4:$E$2503,$E2281,$Z$4:$Z$2503,"正常",$Y$4:$Y$2503,"待补价"))</f>
        <v/>
      </c>
      <c r="T2281" s="26">
        <f>IF($G2281="","",SUMIFS($P$4:$P$2503,$E$4:$E$2503,$E2281,$Z$4:$Z$2503,"正常",$A$4:$A$2503,"&lt;="&amp;$A2281))</f>
        <v/>
      </c>
      <c r="U2281" s="26">
        <f>IF($G2281="","",IF(OR($S2281&gt;0,$Q2281=0,$R2281=0,$Z2281&lt;&gt;"正常"),0,ROUND($T2281/$Q2281*$R2281,0)-ROUND(($T2281-$P2281)/$Q2281*$R2281,0)))</f>
        <v/>
      </c>
      <c r="V2281" s="26">
        <f>IF($G2281="","",ROUND($P2281+$U2281,0))</f>
        <v/>
      </c>
      <c r="W2281" s="26">
        <f>IF($G2281="","",IF(N($K2281)=0,0,ROUND($V2281/$K2281,2)))</f>
        <v/>
      </c>
      <c r="X2281" s="17" t="n"/>
      <c r="Y2281" s="17" t="n"/>
      <c r="Z2281" s="17" t="n"/>
      <c r="AA2281" s="17" t="n"/>
      <c r="AB2281" s="17" t="n"/>
      <c r="AC2281" s="24">
        <f>IF($G2281="","",IF($H2281="※编码不在物料档案里","※物料编码不在档案里",IF(N($K2281)&lt;=0,"※入库数量要大于 0",IF(AND($C2281&lt;&gt;"",$C2281&lt;=结账锁),"※日期早于已结账截止日，不能再录",IF(AND($L2281=0,$X2281="正常"),"※没填单价，价格状态请选「待补价」",IF(AND($S2281&gt;0,$R2281&gt;0),"△本批有 "&amp;$S2281&amp;" 行没单价，整批运费先挂账没摊",IF(AND($B2281&lt;&gt;"",COUNTIF($B$4:$B$2503,$B2281)&gt;1),"※入库单号重复","")))))))</f>
        <v/>
      </c>
    </row>
    <row r="2282">
      <c r="A2282" s="24">
        <f>IF($G2282="","",COUNTA($G$4:$G2282))</f>
        <v/>
      </c>
      <c r="B2282" s="17" t="n"/>
      <c r="C2282" s="30" t="n"/>
      <c r="D2282" s="17" t="n"/>
      <c r="E2282" s="17" t="n"/>
      <c r="F2282" s="17" t="n"/>
      <c r="G2282" s="17" t="n"/>
      <c r="H2282" s="24">
        <f>IF($G2282="","",IFERROR(VLOOKUP($G2282,物料档案!$A$4:$P$1203,3,0),"※编码不在物料档案里"))</f>
        <v/>
      </c>
      <c r="I2282" s="24">
        <f>IF($G2282="","",IFERROR(VLOOKUP($G2282,物料档案!$A$4:$P$1203,4,0),"※编码不在物料档案里"))</f>
        <v/>
      </c>
      <c r="J2282" s="24">
        <f>IF($G2282="","",IFERROR(VLOOKUP($G2282,物料档案!$A$4:$P$1203,5,0),"※编码不在物料档案里"))</f>
        <v/>
      </c>
      <c r="K2282" s="23" t="n"/>
      <c r="L2282" s="31" t="n"/>
      <c r="M2282" s="24">
        <f>IF($G2282="","",IF($D2282="A国内","CNY","TZS"))</f>
        <v/>
      </c>
      <c r="N2282" s="28">
        <f>IF($G2282="","",IF($D2282="A国内",汇率,1))</f>
        <v/>
      </c>
      <c r="O2282" s="25">
        <f>IF($G2282="","",ROUND(N($K2282)*N($L2282),2))</f>
        <v/>
      </c>
      <c r="P2282" s="26">
        <f>IF($G2282="","",ROUND($O2282*$N2282,0))</f>
        <v/>
      </c>
      <c r="Q2282" s="26">
        <f>IF($G2282="","",SUMIFS($P$4:$P$2503,$E$4:$E$2503,$E2282,$Z$4:$Z$2503,"正常"))</f>
        <v/>
      </c>
      <c r="R2282" s="26">
        <f>IF($G2282="","",SUMIFS(费用台账!$I$4:$I$503,费用台账!$C$4:$C$503,$E2282,费用台账!$J$4:$J$503,"是",费用台账!$K$4:$K$503,"正常"))</f>
        <v/>
      </c>
      <c r="S2282" s="28">
        <f>IF($G2282="","",COUNTIFS($E$4:$E$2503,$E2282,$Z$4:$Z$2503,"正常",$Y$4:$Y$2503,"待补价"))</f>
        <v/>
      </c>
      <c r="T2282" s="26">
        <f>IF($G2282="","",SUMIFS($P$4:$P$2503,$E$4:$E$2503,$E2282,$Z$4:$Z$2503,"正常",$A$4:$A$2503,"&lt;="&amp;$A2282))</f>
        <v/>
      </c>
      <c r="U2282" s="26">
        <f>IF($G2282="","",IF(OR($S2282&gt;0,$Q2282=0,$R2282=0,$Z2282&lt;&gt;"正常"),0,ROUND($T2282/$Q2282*$R2282,0)-ROUND(($T2282-$P2282)/$Q2282*$R2282,0)))</f>
        <v/>
      </c>
      <c r="V2282" s="26">
        <f>IF($G2282="","",ROUND($P2282+$U2282,0))</f>
        <v/>
      </c>
      <c r="W2282" s="26">
        <f>IF($G2282="","",IF(N($K2282)=0,0,ROUND($V2282/$K2282,2)))</f>
        <v/>
      </c>
      <c r="X2282" s="17" t="n"/>
      <c r="Y2282" s="17" t="n"/>
      <c r="Z2282" s="17" t="n"/>
      <c r="AA2282" s="17" t="n"/>
      <c r="AB2282" s="17" t="n"/>
      <c r="AC2282" s="24">
        <f>IF($G2282="","",IF($H2282="※编码不在物料档案里","※物料编码不在档案里",IF(N($K2282)&lt;=0,"※入库数量要大于 0",IF(AND($C2282&lt;&gt;"",$C2282&lt;=结账锁),"※日期早于已结账截止日，不能再录",IF(AND($L2282=0,$X2282="正常"),"※没填单价，价格状态请选「待补价」",IF(AND($S2282&gt;0,$R2282&gt;0),"△本批有 "&amp;$S2282&amp;" 行没单价，整批运费先挂账没摊",IF(AND($B2282&lt;&gt;"",COUNTIF($B$4:$B$2503,$B2282)&gt;1),"※入库单号重复","")))))))</f>
        <v/>
      </c>
    </row>
    <row r="2283">
      <c r="A2283" s="24">
        <f>IF($G2283="","",COUNTA($G$4:$G2283))</f>
        <v/>
      </c>
      <c r="B2283" s="17" t="n"/>
      <c r="C2283" s="30" t="n"/>
      <c r="D2283" s="17" t="n"/>
      <c r="E2283" s="17" t="n"/>
      <c r="F2283" s="17" t="n"/>
      <c r="G2283" s="17" t="n"/>
      <c r="H2283" s="24">
        <f>IF($G2283="","",IFERROR(VLOOKUP($G2283,物料档案!$A$4:$P$1203,3,0),"※编码不在物料档案里"))</f>
        <v/>
      </c>
      <c r="I2283" s="24">
        <f>IF($G2283="","",IFERROR(VLOOKUP($G2283,物料档案!$A$4:$P$1203,4,0),"※编码不在物料档案里"))</f>
        <v/>
      </c>
      <c r="J2283" s="24">
        <f>IF($G2283="","",IFERROR(VLOOKUP($G2283,物料档案!$A$4:$P$1203,5,0),"※编码不在物料档案里"))</f>
        <v/>
      </c>
      <c r="K2283" s="23" t="n"/>
      <c r="L2283" s="31" t="n"/>
      <c r="M2283" s="24">
        <f>IF($G2283="","",IF($D2283="A国内","CNY","TZS"))</f>
        <v/>
      </c>
      <c r="N2283" s="28">
        <f>IF($G2283="","",IF($D2283="A国内",汇率,1))</f>
        <v/>
      </c>
      <c r="O2283" s="25">
        <f>IF($G2283="","",ROUND(N($K2283)*N($L2283),2))</f>
        <v/>
      </c>
      <c r="P2283" s="26">
        <f>IF($G2283="","",ROUND($O2283*$N2283,0))</f>
        <v/>
      </c>
      <c r="Q2283" s="26">
        <f>IF($G2283="","",SUMIFS($P$4:$P$2503,$E$4:$E$2503,$E2283,$Z$4:$Z$2503,"正常"))</f>
        <v/>
      </c>
      <c r="R2283" s="26">
        <f>IF($G2283="","",SUMIFS(费用台账!$I$4:$I$503,费用台账!$C$4:$C$503,$E2283,费用台账!$J$4:$J$503,"是",费用台账!$K$4:$K$503,"正常"))</f>
        <v/>
      </c>
      <c r="S2283" s="28">
        <f>IF($G2283="","",COUNTIFS($E$4:$E$2503,$E2283,$Z$4:$Z$2503,"正常",$Y$4:$Y$2503,"待补价"))</f>
        <v/>
      </c>
      <c r="T2283" s="26">
        <f>IF($G2283="","",SUMIFS($P$4:$P$2503,$E$4:$E$2503,$E2283,$Z$4:$Z$2503,"正常",$A$4:$A$2503,"&lt;="&amp;$A2283))</f>
        <v/>
      </c>
      <c r="U2283" s="26">
        <f>IF($G2283="","",IF(OR($S2283&gt;0,$Q2283=0,$R2283=0,$Z2283&lt;&gt;"正常"),0,ROUND($T2283/$Q2283*$R2283,0)-ROUND(($T2283-$P2283)/$Q2283*$R2283,0)))</f>
        <v/>
      </c>
      <c r="V2283" s="26">
        <f>IF($G2283="","",ROUND($P2283+$U2283,0))</f>
        <v/>
      </c>
      <c r="W2283" s="26">
        <f>IF($G2283="","",IF(N($K2283)=0,0,ROUND($V2283/$K2283,2)))</f>
        <v/>
      </c>
      <c r="X2283" s="17" t="n"/>
      <c r="Y2283" s="17" t="n"/>
      <c r="Z2283" s="17" t="n"/>
      <c r="AA2283" s="17" t="n"/>
      <c r="AB2283" s="17" t="n"/>
      <c r="AC2283" s="24">
        <f>IF($G2283="","",IF($H2283="※编码不在物料档案里","※物料编码不在档案里",IF(N($K2283)&lt;=0,"※入库数量要大于 0",IF(AND($C2283&lt;&gt;"",$C2283&lt;=结账锁),"※日期早于已结账截止日，不能再录",IF(AND($L2283=0,$X2283="正常"),"※没填单价，价格状态请选「待补价」",IF(AND($S2283&gt;0,$R2283&gt;0),"△本批有 "&amp;$S2283&amp;" 行没单价，整批运费先挂账没摊",IF(AND($B2283&lt;&gt;"",COUNTIF($B$4:$B$2503,$B2283)&gt;1),"※入库单号重复","")))))))</f>
        <v/>
      </c>
    </row>
    <row r="2284">
      <c r="A2284" s="24">
        <f>IF($G2284="","",COUNTA($G$4:$G2284))</f>
        <v/>
      </c>
      <c r="B2284" s="17" t="n"/>
      <c r="C2284" s="30" t="n"/>
      <c r="D2284" s="17" t="n"/>
      <c r="E2284" s="17" t="n"/>
      <c r="F2284" s="17" t="n"/>
      <c r="G2284" s="17" t="n"/>
      <c r="H2284" s="24">
        <f>IF($G2284="","",IFERROR(VLOOKUP($G2284,物料档案!$A$4:$P$1203,3,0),"※编码不在物料档案里"))</f>
        <v/>
      </c>
      <c r="I2284" s="24">
        <f>IF($G2284="","",IFERROR(VLOOKUP($G2284,物料档案!$A$4:$P$1203,4,0),"※编码不在物料档案里"))</f>
        <v/>
      </c>
      <c r="J2284" s="24">
        <f>IF($G2284="","",IFERROR(VLOOKUP($G2284,物料档案!$A$4:$P$1203,5,0),"※编码不在物料档案里"))</f>
        <v/>
      </c>
      <c r="K2284" s="23" t="n"/>
      <c r="L2284" s="31" t="n"/>
      <c r="M2284" s="24">
        <f>IF($G2284="","",IF($D2284="A国内","CNY","TZS"))</f>
        <v/>
      </c>
      <c r="N2284" s="28">
        <f>IF($G2284="","",IF($D2284="A国内",汇率,1))</f>
        <v/>
      </c>
      <c r="O2284" s="25">
        <f>IF($G2284="","",ROUND(N($K2284)*N($L2284),2))</f>
        <v/>
      </c>
      <c r="P2284" s="26">
        <f>IF($G2284="","",ROUND($O2284*$N2284,0))</f>
        <v/>
      </c>
      <c r="Q2284" s="26">
        <f>IF($G2284="","",SUMIFS($P$4:$P$2503,$E$4:$E$2503,$E2284,$Z$4:$Z$2503,"正常"))</f>
        <v/>
      </c>
      <c r="R2284" s="26">
        <f>IF($G2284="","",SUMIFS(费用台账!$I$4:$I$503,费用台账!$C$4:$C$503,$E2284,费用台账!$J$4:$J$503,"是",费用台账!$K$4:$K$503,"正常"))</f>
        <v/>
      </c>
      <c r="S2284" s="28">
        <f>IF($G2284="","",COUNTIFS($E$4:$E$2503,$E2284,$Z$4:$Z$2503,"正常",$Y$4:$Y$2503,"待补价"))</f>
        <v/>
      </c>
      <c r="T2284" s="26">
        <f>IF($G2284="","",SUMIFS($P$4:$P$2503,$E$4:$E$2503,$E2284,$Z$4:$Z$2503,"正常",$A$4:$A$2503,"&lt;="&amp;$A2284))</f>
        <v/>
      </c>
      <c r="U2284" s="26">
        <f>IF($G2284="","",IF(OR($S2284&gt;0,$Q2284=0,$R2284=0,$Z2284&lt;&gt;"正常"),0,ROUND($T2284/$Q2284*$R2284,0)-ROUND(($T2284-$P2284)/$Q2284*$R2284,0)))</f>
        <v/>
      </c>
      <c r="V2284" s="26">
        <f>IF($G2284="","",ROUND($P2284+$U2284,0))</f>
        <v/>
      </c>
      <c r="W2284" s="26">
        <f>IF($G2284="","",IF(N($K2284)=0,0,ROUND($V2284/$K2284,2)))</f>
        <v/>
      </c>
      <c r="X2284" s="17" t="n"/>
      <c r="Y2284" s="17" t="n"/>
      <c r="Z2284" s="17" t="n"/>
      <c r="AA2284" s="17" t="n"/>
      <c r="AB2284" s="17" t="n"/>
      <c r="AC2284" s="24">
        <f>IF($G2284="","",IF($H2284="※编码不在物料档案里","※物料编码不在档案里",IF(N($K2284)&lt;=0,"※入库数量要大于 0",IF(AND($C2284&lt;&gt;"",$C2284&lt;=结账锁),"※日期早于已结账截止日，不能再录",IF(AND($L2284=0,$X2284="正常"),"※没填单价，价格状态请选「待补价」",IF(AND($S2284&gt;0,$R2284&gt;0),"△本批有 "&amp;$S2284&amp;" 行没单价，整批运费先挂账没摊",IF(AND($B2284&lt;&gt;"",COUNTIF($B$4:$B$2503,$B2284)&gt;1),"※入库单号重复","")))))))</f>
        <v/>
      </c>
    </row>
    <row r="2285">
      <c r="A2285" s="24">
        <f>IF($G2285="","",COUNTA($G$4:$G2285))</f>
        <v/>
      </c>
      <c r="B2285" s="17" t="n"/>
      <c r="C2285" s="30" t="n"/>
      <c r="D2285" s="17" t="n"/>
      <c r="E2285" s="17" t="n"/>
      <c r="F2285" s="17" t="n"/>
      <c r="G2285" s="17" t="n"/>
      <c r="H2285" s="24">
        <f>IF($G2285="","",IFERROR(VLOOKUP($G2285,物料档案!$A$4:$P$1203,3,0),"※编码不在物料档案里"))</f>
        <v/>
      </c>
      <c r="I2285" s="24">
        <f>IF($G2285="","",IFERROR(VLOOKUP($G2285,物料档案!$A$4:$P$1203,4,0),"※编码不在物料档案里"))</f>
        <v/>
      </c>
      <c r="J2285" s="24">
        <f>IF($G2285="","",IFERROR(VLOOKUP($G2285,物料档案!$A$4:$P$1203,5,0),"※编码不在物料档案里"))</f>
        <v/>
      </c>
      <c r="K2285" s="23" t="n"/>
      <c r="L2285" s="31" t="n"/>
      <c r="M2285" s="24">
        <f>IF($G2285="","",IF($D2285="A国内","CNY","TZS"))</f>
        <v/>
      </c>
      <c r="N2285" s="28">
        <f>IF($G2285="","",IF($D2285="A国内",汇率,1))</f>
        <v/>
      </c>
      <c r="O2285" s="25">
        <f>IF($G2285="","",ROUND(N($K2285)*N($L2285),2))</f>
        <v/>
      </c>
      <c r="P2285" s="26">
        <f>IF($G2285="","",ROUND($O2285*$N2285,0))</f>
        <v/>
      </c>
      <c r="Q2285" s="26">
        <f>IF($G2285="","",SUMIFS($P$4:$P$2503,$E$4:$E$2503,$E2285,$Z$4:$Z$2503,"正常"))</f>
        <v/>
      </c>
      <c r="R2285" s="26">
        <f>IF($G2285="","",SUMIFS(费用台账!$I$4:$I$503,费用台账!$C$4:$C$503,$E2285,费用台账!$J$4:$J$503,"是",费用台账!$K$4:$K$503,"正常"))</f>
        <v/>
      </c>
      <c r="S2285" s="28">
        <f>IF($G2285="","",COUNTIFS($E$4:$E$2503,$E2285,$Z$4:$Z$2503,"正常",$Y$4:$Y$2503,"待补价"))</f>
        <v/>
      </c>
      <c r="T2285" s="26">
        <f>IF($G2285="","",SUMIFS($P$4:$P$2503,$E$4:$E$2503,$E2285,$Z$4:$Z$2503,"正常",$A$4:$A$2503,"&lt;="&amp;$A2285))</f>
        <v/>
      </c>
      <c r="U2285" s="26">
        <f>IF($G2285="","",IF(OR($S2285&gt;0,$Q2285=0,$R2285=0,$Z2285&lt;&gt;"正常"),0,ROUND($T2285/$Q2285*$R2285,0)-ROUND(($T2285-$P2285)/$Q2285*$R2285,0)))</f>
        <v/>
      </c>
      <c r="V2285" s="26">
        <f>IF($G2285="","",ROUND($P2285+$U2285,0))</f>
        <v/>
      </c>
      <c r="W2285" s="26">
        <f>IF($G2285="","",IF(N($K2285)=0,0,ROUND($V2285/$K2285,2)))</f>
        <v/>
      </c>
      <c r="X2285" s="17" t="n"/>
      <c r="Y2285" s="17" t="n"/>
      <c r="Z2285" s="17" t="n"/>
      <c r="AA2285" s="17" t="n"/>
      <c r="AB2285" s="17" t="n"/>
      <c r="AC2285" s="24">
        <f>IF($G2285="","",IF($H2285="※编码不在物料档案里","※物料编码不在档案里",IF(N($K2285)&lt;=0,"※入库数量要大于 0",IF(AND($C2285&lt;&gt;"",$C2285&lt;=结账锁),"※日期早于已结账截止日，不能再录",IF(AND($L2285=0,$X2285="正常"),"※没填单价，价格状态请选「待补价」",IF(AND($S2285&gt;0,$R2285&gt;0),"△本批有 "&amp;$S2285&amp;" 行没单价，整批运费先挂账没摊",IF(AND($B2285&lt;&gt;"",COUNTIF($B$4:$B$2503,$B2285)&gt;1),"※入库单号重复","")))))))</f>
        <v/>
      </c>
    </row>
    <row r="2286">
      <c r="A2286" s="24">
        <f>IF($G2286="","",COUNTA($G$4:$G2286))</f>
        <v/>
      </c>
      <c r="B2286" s="17" t="n"/>
      <c r="C2286" s="30" t="n"/>
      <c r="D2286" s="17" t="n"/>
      <c r="E2286" s="17" t="n"/>
      <c r="F2286" s="17" t="n"/>
      <c r="G2286" s="17" t="n"/>
      <c r="H2286" s="24">
        <f>IF($G2286="","",IFERROR(VLOOKUP($G2286,物料档案!$A$4:$P$1203,3,0),"※编码不在物料档案里"))</f>
        <v/>
      </c>
      <c r="I2286" s="24">
        <f>IF($G2286="","",IFERROR(VLOOKUP($G2286,物料档案!$A$4:$P$1203,4,0),"※编码不在物料档案里"))</f>
        <v/>
      </c>
      <c r="J2286" s="24">
        <f>IF($G2286="","",IFERROR(VLOOKUP($G2286,物料档案!$A$4:$P$1203,5,0),"※编码不在物料档案里"))</f>
        <v/>
      </c>
      <c r="K2286" s="23" t="n"/>
      <c r="L2286" s="31" t="n"/>
      <c r="M2286" s="24">
        <f>IF($G2286="","",IF($D2286="A国内","CNY","TZS"))</f>
        <v/>
      </c>
      <c r="N2286" s="28">
        <f>IF($G2286="","",IF($D2286="A国内",汇率,1))</f>
        <v/>
      </c>
      <c r="O2286" s="25">
        <f>IF($G2286="","",ROUND(N($K2286)*N($L2286),2))</f>
        <v/>
      </c>
      <c r="P2286" s="26">
        <f>IF($G2286="","",ROUND($O2286*$N2286,0))</f>
        <v/>
      </c>
      <c r="Q2286" s="26">
        <f>IF($G2286="","",SUMIFS($P$4:$P$2503,$E$4:$E$2503,$E2286,$Z$4:$Z$2503,"正常"))</f>
        <v/>
      </c>
      <c r="R2286" s="26">
        <f>IF($G2286="","",SUMIFS(费用台账!$I$4:$I$503,费用台账!$C$4:$C$503,$E2286,费用台账!$J$4:$J$503,"是",费用台账!$K$4:$K$503,"正常"))</f>
        <v/>
      </c>
      <c r="S2286" s="28">
        <f>IF($G2286="","",COUNTIFS($E$4:$E$2503,$E2286,$Z$4:$Z$2503,"正常",$Y$4:$Y$2503,"待补价"))</f>
        <v/>
      </c>
      <c r="T2286" s="26">
        <f>IF($G2286="","",SUMIFS($P$4:$P$2503,$E$4:$E$2503,$E2286,$Z$4:$Z$2503,"正常",$A$4:$A$2503,"&lt;="&amp;$A2286))</f>
        <v/>
      </c>
      <c r="U2286" s="26">
        <f>IF($G2286="","",IF(OR($S2286&gt;0,$Q2286=0,$R2286=0,$Z2286&lt;&gt;"正常"),0,ROUND($T2286/$Q2286*$R2286,0)-ROUND(($T2286-$P2286)/$Q2286*$R2286,0)))</f>
        <v/>
      </c>
      <c r="V2286" s="26">
        <f>IF($G2286="","",ROUND($P2286+$U2286,0))</f>
        <v/>
      </c>
      <c r="W2286" s="26">
        <f>IF($G2286="","",IF(N($K2286)=0,0,ROUND($V2286/$K2286,2)))</f>
        <v/>
      </c>
      <c r="X2286" s="17" t="n"/>
      <c r="Y2286" s="17" t="n"/>
      <c r="Z2286" s="17" t="n"/>
      <c r="AA2286" s="17" t="n"/>
      <c r="AB2286" s="17" t="n"/>
      <c r="AC2286" s="24">
        <f>IF($G2286="","",IF($H2286="※编码不在物料档案里","※物料编码不在档案里",IF(N($K2286)&lt;=0,"※入库数量要大于 0",IF(AND($C2286&lt;&gt;"",$C2286&lt;=结账锁),"※日期早于已结账截止日，不能再录",IF(AND($L2286=0,$X2286="正常"),"※没填单价，价格状态请选「待补价」",IF(AND($S2286&gt;0,$R2286&gt;0),"△本批有 "&amp;$S2286&amp;" 行没单价，整批运费先挂账没摊",IF(AND($B2286&lt;&gt;"",COUNTIF($B$4:$B$2503,$B2286)&gt;1),"※入库单号重复","")))))))</f>
        <v/>
      </c>
    </row>
    <row r="2287">
      <c r="A2287" s="24">
        <f>IF($G2287="","",COUNTA($G$4:$G2287))</f>
        <v/>
      </c>
      <c r="B2287" s="17" t="n"/>
      <c r="C2287" s="30" t="n"/>
      <c r="D2287" s="17" t="n"/>
      <c r="E2287" s="17" t="n"/>
      <c r="F2287" s="17" t="n"/>
      <c r="G2287" s="17" t="n"/>
      <c r="H2287" s="24">
        <f>IF($G2287="","",IFERROR(VLOOKUP($G2287,物料档案!$A$4:$P$1203,3,0),"※编码不在物料档案里"))</f>
        <v/>
      </c>
      <c r="I2287" s="24">
        <f>IF($G2287="","",IFERROR(VLOOKUP($G2287,物料档案!$A$4:$P$1203,4,0),"※编码不在物料档案里"))</f>
        <v/>
      </c>
      <c r="J2287" s="24">
        <f>IF($G2287="","",IFERROR(VLOOKUP($G2287,物料档案!$A$4:$P$1203,5,0),"※编码不在物料档案里"))</f>
        <v/>
      </c>
      <c r="K2287" s="23" t="n"/>
      <c r="L2287" s="31" t="n"/>
      <c r="M2287" s="24">
        <f>IF($G2287="","",IF($D2287="A国内","CNY","TZS"))</f>
        <v/>
      </c>
      <c r="N2287" s="28">
        <f>IF($G2287="","",IF($D2287="A国内",汇率,1))</f>
        <v/>
      </c>
      <c r="O2287" s="25">
        <f>IF($G2287="","",ROUND(N($K2287)*N($L2287),2))</f>
        <v/>
      </c>
      <c r="P2287" s="26">
        <f>IF($G2287="","",ROUND($O2287*$N2287,0))</f>
        <v/>
      </c>
      <c r="Q2287" s="26">
        <f>IF($G2287="","",SUMIFS($P$4:$P$2503,$E$4:$E$2503,$E2287,$Z$4:$Z$2503,"正常"))</f>
        <v/>
      </c>
      <c r="R2287" s="26">
        <f>IF($G2287="","",SUMIFS(费用台账!$I$4:$I$503,费用台账!$C$4:$C$503,$E2287,费用台账!$J$4:$J$503,"是",费用台账!$K$4:$K$503,"正常"))</f>
        <v/>
      </c>
      <c r="S2287" s="28">
        <f>IF($G2287="","",COUNTIFS($E$4:$E$2503,$E2287,$Z$4:$Z$2503,"正常",$Y$4:$Y$2503,"待补价"))</f>
        <v/>
      </c>
      <c r="T2287" s="26">
        <f>IF($G2287="","",SUMIFS($P$4:$P$2503,$E$4:$E$2503,$E2287,$Z$4:$Z$2503,"正常",$A$4:$A$2503,"&lt;="&amp;$A2287))</f>
        <v/>
      </c>
      <c r="U2287" s="26">
        <f>IF($G2287="","",IF(OR($S2287&gt;0,$Q2287=0,$R2287=0,$Z2287&lt;&gt;"正常"),0,ROUND($T2287/$Q2287*$R2287,0)-ROUND(($T2287-$P2287)/$Q2287*$R2287,0)))</f>
        <v/>
      </c>
      <c r="V2287" s="26">
        <f>IF($G2287="","",ROUND($P2287+$U2287,0))</f>
        <v/>
      </c>
      <c r="W2287" s="26">
        <f>IF($G2287="","",IF(N($K2287)=0,0,ROUND($V2287/$K2287,2)))</f>
        <v/>
      </c>
      <c r="X2287" s="17" t="n"/>
      <c r="Y2287" s="17" t="n"/>
      <c r="Z2287" s="17" t="n"/>
      <c r="AA2287" s="17" t="n"/>
      <c r="AB2287" s="17" t="n"/>
      <c r="AC2287" s="24">
        <f>IF($G2287="","",IF($H2287="※编码不在物料档案里","※物料编码不在档案里",IF(N($K2287)&lt;=0,"※入库数量要大于 0",IF(AND($C2287&lt;&gt;"",$C2287&lt;=结账锁),"※日期早于已结账截止日，不能再录",IF(AND($L2287=0,$X2287="正常"),"※没填单价，价格状态请选「待补价」",IF(AND($S2287&gt;0,$R2287&gt;0),"△本批有 "&amp;$S2287&amp;" 行没单价，整批运费先挂账没摊",IF(AND($B2287&lt;&gt;"",COUNTIF($B$4:$B$2503,$B2287)&gt;1),"※入库单号重复","")))))))</f>
        <v/>
      </c>
    </row>
    <row r="2288">
      <c r="A2288" s="24">
        <f>IF($G2288="","",COUNTA($G$4:$G2288))</f>
        <v/>
      </c>
      <c r="B2288" s="17" t="n"/>
      <c r="C2288" s="30" t="n"/>
      <c r="D2288" s="17" t="n"/>
      <c r="E2288" s="17" t="n"/>
      <c r="F2288" s="17" t="n"/>
      <c r="G2288" s="17" t="n"/>
      <c r="H2288" s="24">
        <f>IF($G2288="","",IFERROR(VLOOKUP($G2288,物料档案!$A$4:$P$1203,3,0),"※编码不在物料档案里"))</f>
        <v/>
      </c>
      <c r="I2288" s="24">
        <f>IF($G2288="","",IFERROR(VLOOKUP($G2288,物料档案!$A$4:$P$1203,4,0),"※编码不在物料档案里"))</f>
        <v/>
      </c>
      <c r="J2288" s="24">
        <f>IF($G2288="","",IFERROR(VLOOKUP($G2288,物料档案!$A$4:$P$1203,5,0),"※编码不在物料档案里"))</f>
        <v/>
      </c>
      <c r="K2288" s="23" t="n"/>
      <c r="L2288" s="31" t="n"/>
      <c r="M2288" s="24">
        <f>IF($G2288="","",IF($D2288="A国内","CNY","TZS"))</f>
        <v/>
      </c>
      <c r="N2288" s="28">
        <f>IF($G2288="","",IF($D2288="A国内",汇率,1))</f>
        <v/>
      </c>
      <c r="O2288" s="25">
        <f>IF($G2288="","",ROUND(N($K2288)*N($L2288),2))</f>
        <v/>
      </c>
      <c r="P2288" s="26">
        <f>IF($G2288="","",ROUND($O2288*$N2288,0))</f>
        <v/>
      </c>
      <c r="Q2288" s="26">
        <f>IF($G2288="","",SUMIFS($P$4:$P$2503,$E$4:$E$2503,$E2288,$Z$4:$Z$2503,"正常"))</f>
        <v/>
      </c>
      <c r="R2288" s="26">
        <f>IF($G2288="","",SUMIFS(费用台账!$I$4:$I$503,费用台账!$C$4:$C$503,$E2288,费用台账!$J$4:$J$503,"是",费用台账!$K$4:$K$503,"正常"))</f>
        <v/>
      </c>
      <c r="S2288" s="28">
        <f>IF($G2288="","",COUNTIFS($E$4:$E$2503,$E2288,$Z$4:$Z$2503,"正常",$Y$4:$Y$2503,"待补价"))</f>
        <v/>
      </c>
      <c r="T2288" s="26">
        <f>IF($G2288="","",SUMIFS($P$4:$P$2503,$E$4:$E$2503,$E2288,$Z$4:$Z$2503,"正常",$A$4:$A$2503,"&lt;="&amp;$A2288))</f>
        <v/>
      </c>
      <c r="U2288" s="26">
        <f>IF($G2288="","",IF(OR($S2288&gt;0,$Q2288=0,$R2288=0,$Z2288&lt;&gt;"正常"),0,ROUND($T2288/$Q2288*$R2288,0)-ROUND(($T2288-$P2288)/$Q2288*$R2288,0)))</f>
        <v/>
      </c>
      <c r="V2288" s="26">
        <f>IF($G2288="","",ROUND($P2288+$U2288,0))</f>
        <v/>
      </c>
      <c r="W2288" s="26">
        <f>IF($G2288="","",IF(N($K2288)=0,0,ROUND($V2288/$K2288,2)))</f>
        <v/>
      </c>
      <c r="X2288" s="17" t="n"/>
      <c r="Y2288" s="17" t="n"/>
      <c r="Z2288" s="17" t="n"/>
      <c r="AA2288" s="17" t="n"/>
      <c r="AB2288" s="17" t="n"/>
      <c r="AC2288" s="24">
        <f>IF($G2288="","",IF($H2288="※编码不在物料档案里","※物料编码不在档案里",IF(N($K2288)&lt;=0,"※入库数量要大于 0",IF(AND($C2288&lt;&gt;"",$C2288&lt;=结账锁),"※日期早于已结账截止日，不能再录",IF(AND($L2288=0,$X2288="正常"),"※没填单价，价格状态请选「待补价」",IF(AND($S2288&gt;0,$R2288&gt;0),"△本批有 "&amp;$S2288&amp;" 行没单价，整批运费先挂账没摊",IF(AND($B2288&lt;&gt;"",COUNTIF($B$4:$B$2503,$B2288)&gt;1),"※入库单号重复","")))))))</f>
        <v/>
      </c>
    </row>
    <row r="2289">
      <c r="A2289" s="24">
        <f>IF($G2289="","",COUNTA($G$4:$G2289))</f>
        <v/>
      </c>
      <c r="B2289" s="17" t="n"/>
      <c r="C2289" s="30" t="n"/>
      <c r="D2289" s="17" t="n"/>
      <c r="E2289" s="17" t="n"/>
      <c r="F2289" s="17" t="n"/>
      <c r="G2289" s="17" t="n"/>
      <c r="H2289" s="24">
        <f>IF($G2289="","",IFERROR(VLOOKUP($G2289,物料档案!$A$4:$P$1203,3,0),"※编码不在物料档案里"))</f>
        <v/>
      </c>
      <c r="I2289" s="24">
        <f>IF($G2289="","",IFERROR(VLOOKUP($G2289,物料档案!$A$4:$P$1203,4,0),"※编码不在物料档案里"))</f>
        <v/>
      </c>
      <c r="J2289" s="24">
        <f>IF($G2289="","",IFERROR(VLOOKUP($G2289,物料档案!$A$4:$P$1203,5,0),"※编码不在物料档案里"))</f>
        <v/>
      </c>
      <c r="K2289" s="23" t="n"/>
      <c r="L2289" s="31" t="n"/>
      <c r="M2289" s="24">
        <f>IF($G2289="","",IF($D2289="A国内","CNY","TZS"))</f>
        <v/>
      </c>
      <c r="N2289" s="28">
        <f>IF($G2289="","",IF($D2289="A国内",汇率,1))</f>
        <v/>
      </c>
      <c r="O2289" s="25">
        <f>IF($G2289="","",ROUND(N($K2289)*N($L2289),2))</f>
        <v/>
      </c>
      <c r="P2289" s="26">
        <f>IF($G2289="","",ROUND($O2289*$N2289,0))</f>
        <v/>
      </c>
      <c r="Q2289" s="26">
        <f>IF($G2289="","",SUMIFS($P$4:$P$2503,$E$4:$E$2503,$E2289,$Z$4:$Z$2503,"正常"))</f>
        <v/>
      </c>
      <c r="R2289" s="26">
        <f>IF($G2289="","",SUMIFS(费用台账!$I$4:$I$503,费用台账!$C$4:$C$503,$E2289,费用台账!$J$4:$J$503,"是",费用台账!$K$4:$K$503,"正常"))</f>
        <v/>
      </c>
      <c r="S2289" s="28">
        <f>IF($G2289="","",COUNTIFS($E$4:$E$2503,$E2289,$Z$4:$Z$2503,"正常",$Y$4:$Y$2503,"待补价"))</f>
        <v/>
      </c>
      <c r="T2289" s="26">
        <f>IF($G2289="","",SUMIFS($P$4:$P$2503,$E$4:$E$2503,$E2289,$Z$4:$Z$2503,"正常",$A$4:$A$2503,"&lt;="&amp;$A2289))</f>
        <v/>
      </c>
      <c r="U2289" s="26">
        <f>IF($G2289="","",IF(OR($S2289&gt;0,$Q2289=0,$R2289=0,$Z2289&lt;&gt;"正常"),0,ROUND($T2289/$Q2289*$R2289,0)-ROUND(($T2289-$P2289)/$Q2289*$R2289,0)))</f>
        <v/>
      </c>
      <c r="V2289" s="26">
        <f>IF($G2289="","",ROUND($P2289+$U2289,0))</f>
        <v/>
      </c>
      <c r="W2289" s="26">
        <f>IF($G2289="","",IF(N($K2289)=0,0,ROUND($V2289/$K2289,2)))</f>
        <v/>
      </c>
      <c r="X2289" s="17" t="n"/>
      <c r="Y2289" s="17" t="n"/>
      <c r="Z2289" s="17" t="n"/>
      <c r="AA2289" s="17" t="n"/>
      <c r="AB2289" s="17" t="n"/>
      <c r="AC2289" s="24">
        <f>IF($G2289="","",IF($H2289="※编码不在物料档案里","※物料编码不在档案里",IF(N($K2289)&lt;=0,"※入库数量要大于 0",IF(AND($C2289&lt;&gt;"",$C2289&lt;=结账锁),"※日期早于已结账截止日，不能再录",IF(AND($L2289=0,$X2289="正常"),"※没填单价，价格状态请选「待补价」",IF(AND($S2289&gt;0,$R2289&gt;0),"△本批有 "&amp;$S2289&amp;" 行没单价，整批运费先挂账没摊",IF(AND($B2289&lt;&gt;"",COUNTIF($B$4:$B$2503,$B2289)&gt;1),"※入库单号重复","")))))))</f>
        <v/>
      </c>
    </row>
    <row r="2290">
      <c r="A2290" s="24">
        <f>IF($G2290="","",COUNTA($G$4:$G2290))</f>
        <v/>
      </c>
      <c r="B2290" s="17" t="n"/>
      <c r="C2290" s="30" t="n"/>
      <c r="D2290" s="17" t="n"/>
      <c r="E2290" s="17" t="n"/>
      <c r="F2290" s="17" t="n"/>
      <c r="G2290" s="17" t="n"/>
      <c r="H2290" s="24">
        <f>IF($G2290="","",IFERROR(VLOOKUP($G2290,物料档案!$A$4:$P$1203,3,0),"※编码不在物料档案里"))</f>
        <v/>
      </c>
      <c r="I2290" s="24">
        <f>IF($G2290="","",IFERROR(VLOOKUP($G2290,物料档案!$A$4:$P$1203,4,0),"※编码不在物料档案里"))</f>
        <v/>
      </c>
      <c r="J2290" s="24">
        <f>IF($G2290="","",IFERROR(VLOOKUP($G2290,物料档案!$A$4:$P$1203,5,0),"※编码不在物料档案里"))</f>
        <v/>
      </c>
      <c r="K2290" s="23" t="n"/>
      <c r="L2290" s="31" t="n"/>
      <c r="M2290" s="24">
        <f>IF($G2290="","",IF($D2290="A国内","CNY","TZS"))</f>
        <v/>
      </c>
      <c r="N2290" s="28">
        <f>IF($G2290="","",IF($D2290="A国内",汇率,1))</f>
        <v/>
      </c>
      <c r="O2290" s="25">
        <f>IF($G2290="","",ROUND(N($K2290)*N($L2290),2))</f>
        <v/>
      </c>
      <c r="P2290" s="26">
        <f>IF($G2290="","",ROUND($O2290*$N2290,0))</f>
        <v/>
      </c>
      <c r="Q2290" s="26">
        <f>IF($G2290="","",SUMIFS($P$4:$P$2503,$E$4:$E$2503,$E2290,$Z$4:$Z$2503,"正常"))</f>
        <v/>
      </c>
      <c r="R2290" s="26">
        <f>IF($G2290="","",SUMIFS(费用台账!$I$4:$I$503,费用台账!$C$4:$C$503,$E2290,费用台账!$J$4:$J$503,"是",费用台账!$K$4:$K$503,"正常"))</f>
        <v/>
      </c>
      <c r="S2290" s="28">
        <f>IF($G2290="","",COUNTIFS($E$4:$E$2503,$E2290,$Z$4:$Z$2503,"正常",$Y$4:$Y$2503,"待补价"))</f>
        <v/>
      </c>
      <c r="T2290" s="26">
        <f>IF($G2290="","",SUMIFS($P$4:$P$2503,$E$4:$E$2503,$E2290,$Z$4:$Z$2503,"正常",$A$4:$A$2503,"&lt;="&amp;$A2290))</f>
        <v/>
      </c>
      <c r="U2290" s="26">
        <f>IF($G2290="","",IF(OR($S2290&gt;0,$Q2290=0,$R2290=0,$Z2290&lt;&gt;"正常"),0,ROUND($T2290/$Q2290*$R2290,0)-ROUND(($T2290-$P2290)/$Q2290*$R2290,0)))</f>
        <v/>
      </c>
      <c r="V2290" s="26">
        <f>IF($G2290="","",ROUND($P2290+$U2290,0))</f>
        <v/>
      </c>
      <c r="W2290" s="26">
        <f>IF($G2290="","",IF(N($K2290)=0,0,ROUND($V2290/$K2290,2)))</f>
        <v/>
      </c>
      <c r="X2290" s="17" t="n"/>
      <c r="Y2290" s="17" t="n"/>
      <c r="Z2290" s="17" t="n"/>
      <c r="AA2290" s="17" t="n"/>
      <c r="AB2290" s="17" t="n"/>
      <c r="AC2290" s="24">
        <f>IF($G2290="","",IF($H2290="※编码不在物料档案里","※物料编码不在档案里",IF(N($K2290)&lt;=0,"※入库数量要大于 0",IF(AND($C2290&lt;&gt;"",$C2290&lt;=结账锁),"※日期早于已结账截止日，不能再录",IF(AND($L2290=0,$X2290="正常"),"※没填单价，价格状态请选「待补价」",IF(AND($S2290&gt;0,$R2290&gt;0),"△本批有 "&amp;$S2290&amp;" 行没单价，整批运费先挂账没摊",IF(AND($B2290&lt;&gt;"",COUNTIF($B$4:$B$2503,$B2290)&gt;1),"※入库单号重复","")))))))</f>
        <v/>
      </c>
    </row>
    <row r="2291">
      <c r="A2291" s="24">
        <f>IF($G2291="","",COUNTA($G$4:$G2291))</f>
        <v/>
      </c>
      <c r="B2291" s="17" t="n"/>
      <c r="C2291" s="30" t="n"/>
      <c r="D2291" s="17" t="n"/>
      <c r="E2291" s="17" t="n"/>
      <c r="F2291" s="17" t="n"/>
      <c r="G2291" s="17" t="n"/>
      <c r="H2291" s="24">
        <f>IF($G2291="","",IFERROR(VLOOKUP($G2291,物料档案!$A$4:$P$1203,3,0),"※编码不在物料档案里"))</f>
        <v/>
      </c>
      <c r="I2291" s="24">
        <f>IF($G2291="","",IFERROR(VLOOKUP($G2291,物料档案!$A$4:$P$1203,4,0),"※编码不在物料档案里"))</f>
        <v/>
      </c>
      <c r="J2291" s="24">
        <f>IF($G2291="","",IFERROR(VLOOKUP($G2291,物料档案!$A$4:$P$1203,5,0),"※编码不在物料档案里"))</f>
        <v/>
      </c>
      <c r="K2291" s="23" t="n"/>
      <c r="L2291" s="31" t="n"/>
      <c r="M2291" s="24">
        <f>IF($G2291="","",IF($D2291="A国内","CNY","TZS"))</f>
        <v/>
      </c>
      <c r="N2291" s="28">
        <f>IF($G2291="","",IF($D2291="A国内",汇率,1))</f>
        <v/>
      </c>
      <c r="O2291" s="25">
        <f>IF($G2291="","",ROUND(N($K2291)*N($L2291),2))</f>
        <v/>
      </c>
      <c r="P2291" s="26">
        <f>IF($G2291="","",ROUND($O2291*$N2291,0))</f>
        <v/>
      </c>
      <c r="Q2291" s="26">
        <f>IF($G2291="","",SUMIFS($P$4:$P$2503,$E$4:$E$2503,$E2291,$Z$4:$Z$2503,"正常"))</f>
        <v/>
      </c>
      <c r="R2291" s="26">
        <f>IF($G2291="","",SUMIFS(费用台账!$I$4:$I$503,费用台账!$C$4:$C$503,$E2291,费用台账!$J$4:$J$503,"是",费用台账!$K$4:$K$503,"正常"))</f>
        <v/>
      </c>
      <c r="S2291" s="28">
        <f>IF($G2291="","",COUNTIFS($E$4:$E$2503,$E2291,$Z$4:$Z$2503,"正常",$Y$4:$Y$2503,"待补价"))</f>
        <v/>
      </c>
      <c r="T2291" s="26">
        <f>IF($G2291="","",SUMIFS($P$4:$P$2503,$E$4:$E$2503,$E2291,$Z$4:$Z$2503,"正常",$A$4:$A$2503,"&lt;="&amp;$A2291))</f>
        <v/>
      </c>
      <c r="U2291" s="26">
        <f>IF($G2291="","",IF(OR($S2291&gt;0,$Q2291=0,$R2291=0,$Z2291&lt;&gt;"正常"),0,ROUND($T2291/$Q2291*$R2291,0)-ROUND(($T2291-$P2291)/$Q2291*$R2291,0)))</f>
        <v/>
      </c>
      <c r="V2291" s="26">
        <f>IF($G2291="","",ROUND($P2291+$U2291,0))</f>
        <v/>
      </c>
      <c r="W2291" s="26">
        <f>IF($G2291="","",IF(N($K2291)=0,0,ROUND($V2291/$K2291,2)))</f>
        <v/>
      </c>
      <c r="X2291" s="17" t="n"/>
      <c r="Y2291" s="17" t="n"/>
      <c r="Z2291" s="17" t="n"/>
      <c r="AA2291" s="17" t="n"/>
      <c r="AB2291" s="17" t="n"/>
      <c r="AC2291" s="24">
        <f>IF($G2291="","",IF($H2291="※编码不在物料档案里","※物料编码不在档案里",IF(N($K2291)&lt;=0,"※入库数量要大于 0",IF(AND($C2291&lt;&gt;"",$C2291&lt;=结账锁),"※日期早于已结账截止日，不能再录",IF(AND($L2291=0,$X2291="正常"),"※没填单价，价格状态请选「待补价」",IF(AND($S2291&gt;0,$R2291&gt;0),"△本批有 "&amp;$S2291&amp;" 行没单价，整批运费先挂账没摊",IF(AND($B2291&lt;&gt;"",COUNTIF($B$4:$B$2503,$B2291)&gt;1),"※入库单号重复","")))))))</f>
        <v/>
      </c>
    </row>
    <row r="2292">
      <c r="A2292" s="24">
        <f>IF($G2292="","",COUNTA($G$4:$G2292))</f>
        <v/>
      </c>
      <c r="B2292" s="17" t="n"/>
      <c r="C2292" s="30" t="n"/>
      <c r="D2292" s="17" t="n"/>
      <c r="E2292" s="17" t="n"/>
      <c r="F2292" s="17" t="n"/>
      <c r="G2292" s="17" t="n"/>
      <c r="H2292" s="24">
        <f>IF($G2292="","",IFERROR(VLOOKUP($G2292,物料档案!$A$4:$P$1203,3,0),"※编码不在物料档案里"))</f>
        <v/>
      </c>
      <c r="I2292" s="24">
        <f>IF($G2292="","",IFERROR(VLOOKUP($G2292,物料档案!$A$4:$P$1203,4,0),"※编码不在物料档案里"))</f>
        <v/>
      </c>
      <c r="J2292" s="24">
        <f>IF($G2292="","",IFERROR(VLOOKUP($G2292,物料档案!$A$4:$P$1203,5,0),"※编码不在物料档案里"))</f>
        <v/>
      </c>
      <c r="K2292" s="23" t="n"/>
      <c r="L2292" s="31" t="n"/>
      <c r="M2292" s="24">
        <f>IF($G2292="","",IF($D2292="A国内","CNY","TZS"))</f>
        <v/>
      </c>
      <c r="N2292" s="28">
        <f>IF($G2292="","",IF($D2292="A国内",汇率,1))</f>
        <v/>
      </c>
      <c r="O2292" s="25">
        <f>IF($G2292="","",ROUND(N($K2292)*N($L2292),2))</f>
        <v/>
      </c>
      <c r="P2292" s="26">
        <f>IF($G2292="","",ROUND($O2292*$N2292,0))</f>
        <v/>
      </c>
      <c r="Q2292" s="26">
        <f>IF($G2292="","",SUMIFS($P$4:$P$2503,$E$4:$E$2503,$E2292,$Z$4:$Z$2503,"正常"))</f>
        <v/>
      </c>
      <c r="R2292" s="26">
        <f>IF($G2292="","",SUMIFS(费用台账!$I$4:$I$503,费用台账!$C$4:$C$503,$E2292,费用台账!$J$4:$J$503,"是",费用台账!$K$4:$K$503,"正常"))</f>
        <v/>
      </c>
      <c r="S2292" s="28">
        <f>IF($G2292="","",COUNTIFS($E$4:$E$2503,$E2292,$Z$4:$Z$2503,"正常",$Y$4:$Y$2503,"待补价"))</f>
        <v/>
      </c>
      <c r="T2292" s="26">
        <f>IF($G2292="","",SUMIFS($P$4:$P$2503,$E$4:$E$2503,$E2292,$Z$4:$Z$2503,"正常",$A$4:$A$2503,"&lt;="&amp;$A2292))</f>
        <v/>
      </c>
      <c r="U2292" s="26">
        <f>IF($G2292="","",IF(OR($S2292&gt;0,$Q2292=0,$R2292=0,$Z2292&lt;&gt;"正常"),0,ROUND($T2292/$Q2292*$R2292,0)-ROUND(($T2292-$P2292)/$Q2292*$R2292,0)))</f>
        <v/>
      </c>
      <c r="V2292" s="26">
        <f>IF($G2292="","",ROUND($P2292+$U2292,0))</f>
        <v/>
      </c>
      <c r="W2292" s="26">
        <f>IF($G2292="","",IF(N($K2292)=0,0,ROUND($V2292/$K2292,2)))</f>
        <v/>
      </c>
      <c r="X2292" s="17" t="n"/>
      <c r="Y2292" s="17" t="n"/>
      <c r="Z2292" s="17" t="n"/>
      <c r="AA2292" s="17" t="n"/>
      <c r="AB2292" s="17" t="n"/>
      <c r="AC2292" s="24">
        <f>IF($G2292="","",IF($H2292="※编码不在物料档案里","※物料编码不在档案里",IF(N($K2292)&lt;=0,"※入库数量要大于 0",IF(AND($C2292&lt;&gt;"",$C2292&lt;=结账锁),"※日期早于已结账截止日，不能再录",IF(AND($L2292=0,$X2292="正常"),"※没填单价，价格状态请选「待补价」",IF(AND($S2292&gt;0,$R2292&gt;0),"△本批有 "&amp;$S2292&amp;" 行没单价，整批运费先挂账没摊",IF(AND($B2292&lt;&gt;"",COUNTIF($B$4:$B$2503,$B2292)&gt;1),"※入库单号重复","")))))))</f>
        <v/>
      </c>
    </row>
    <row r="2293">
      <c r="A2293" s="24">
        <f>IF($G2293="","",COUNTA($G$4:$G2293))</f>
        <v/>
      </c>
      <c r="B2293" s="17" t="n"/>
      <c r="C2293" s="30" t="n"/>
      <c r="D2293" s="17" t="n"/>
      <c r="E2293" s="17" t="n"/>
      <c r="F2293" s="17" t="n"/>
      <c r="G2293" s="17" t="n"/>
      <c r="H2293" s="24">
        <f>IF($G2293="","",IFERROR(VLOOKUP($G2293,物料档案!$A$4:$P$1203,3,0),"※编码不在物料档案里"))</f>
        <v/>
      </c>
      <c r="I2293" s="24">
        <f>IF($G2293="","",IFERROR(VLOOKUP($G2293,物料档案!$A$4:$P$1203,4,0),"※编码不在物料档案里"))</f>
        <v/>
      </c>
      <c r="J2293" s="24">
        <f>IF($G2293="","",IFERROR(VLOOKUP($G2293,物料档案!$A$4:$P$1203,5,0),"※编码不在物料档案里"))</f>
        <v/>
      </c>
      <c r="K2293" s="23" t="n"/>
      <c r="L2293" s="31" t="n"/>
      <c r="M2293" s="24">
        <f>IF($G2293="","",IF($D2293="A国内","CNY","TZS"))</f>
        <v/>
      </c>
      <c r="N2293" s="28">
        <f>IF($G2293="","",IF($D2293="A国内",汇率,1))</f>
        <v/>
      </c>
      <c r="O2293" s="25">
        <f>IF($G2293="","",ROUND(N($K2293)*N($L2293),2))</f>
        <v/>
      </c>
      <c r="P2293" s="26">
        <f>IF($G2293="","",ROUND($O2293*$N2293,0))</f>
        <v/>
      </c>
      <c r="Q2293" s="26">
        <f>IF($G2293="","",SUMIFS($P$4:$P$2503,$E$4:$E$2503,$E2293,$Z$4:$Z$2503,"正常"))</f>
        <v/>
      </c>
      <c r="R2293" s="26">
        <f>IF($G2293="","",SUMIFS(费用台账!$I$4:$I$503,费用台账!$C$4:$C$503,$E2293,费用台账!$J$4:$J$503,"是",费用台账!$K$4:$K$503,"正常"))</f>
        <v/>
      </c>
      <c r="S2293" s="28">
        <f>IF($G2293="","",COUNTIFS($E$4:$E$2503,$E2293,$Z$4:$Z$2503,"正常",$Y$4:$Y$2503,"待补价"))</f>
        <v/>
      </c>
      <c r="T2293" s="26">
        <f>IF($G2293="","",SUMIFS($P$4:$P$2503,$E$4:$E$2503,$E2293,$Z$4:$Z$2503,"正常",$A$4:$A$2503,"&lt;="&amp;$A2293))</f>
        <v/>
      </c>
      <c r="U2293" s="26">
        <f>IF($G2293="","",IF(OR($S2293&gt;0,$Q2293=0,$R2293=0,$Z2293&lt;&gt;"正常"),0,ROUND($T2293/$Q2293*$R2293,0)-ROUND(($T2293-$P2293)/$Q2293*$R2293,0)))</f>
        <v/>
      </c>
      <c r="V2293" s="26">
        <f>IF($G2293="","",ROUND($P2293+$U2293,0))</f>
        <v/>
      </c>
      <c r="W2293" s="26">
        <f>IF($G2293="","",IF(N($K2293)=0,0,ROUND($V2293/$K2293,2)))</f>
        <v/>
      </c>
      <c r="X2293" s="17" t="n"/>
      <c r="Y2293" s="17" t="n"/>
      <c r="Z2293" s="17" t="n"/>
      <c r="AA2293" s="17" t="n"/>
      <c r="AB2293" s="17" t="n"/>
      <c r="AC2293" s="24">
        <f>IF($G2293="","",IF($H2293="※编码不在物料档案里","※物料编码不在档案里",IF(N($K2293)&lt;=0,"※入库数量要大于 0",IF(AND($C2293&lt;&gt;"",$C2293&lt;=结账锁),"※日期早于已结账截止日，不能再录",IF(AND($L2293=0,$X2293="正常"),"※没填单价，价格状态请选「待补价」",IF(AND($S2293&gt;0,$R2293&gt;0),"△本批有 "&amp;$S2293&amp;" 行没单价，整批运费先挂账没摊",IF(AND($B2293&lt;&gt;"",COUNTIF($B$4:$B$2503,$B2293)&gt;1),"※入库单号重复","")))))))</f>
        <v/>
      </c>
    </row>
    <row r="2294">
      <c r="A2294" s="24">
        <f>IF($G2294="","",COUNTA($G$4:$G2294))</f>
        <v/>
      </c>
      <c r="B2294" s="17" t="n"/>
      <c r="C2294" s="30" t="n"/>
      <c r="D2294" s="17" t="n"/>
      <c r="E2294" s="17" t="n"/>
      <c r="F2294" s="17" t="n"/>
      <c r="G2294" s="17" t="n"/>
      <c r="H2294" s="24">
        <f>IF($G2294="","",IFERROR(VLOOKUP($G2294,物料档案!$A$4:$P$1203,3,0),"※编码不在物料档案里"))</f>
        <v/>
      </c>
      <c r="I2294" s="24">
        <f>IF($G2294="","",IFERROR(VLOOKUP($G2294,物料档案!$A$4:$P$1203,4,0),"※编码不在物料档案里"))</f>
        <v/>
      </c>
      <c r="J2294" s="24">
        <f>IF($G2294="","",IFERROR(VLOOKUP($G2294,物料档案!$A$4:$P$1203,5,0),"※编码不在物料档案里"))</f>
        <v/>
      </c>
      <c r="K2294" s="23" t="n"/>
      <c r="L2294" s="31" t="n"/>
      <c r="M2294" s="24">
        <f>IF($G2294="","",IF($D2294="A国内","CNY","TZS"))</f>
        <v/>
      </c>
      <c r="N2294" s="28">
        <f>IF($G2294="","",IF($D2294="A国内",汇率,1))</f>
        <v/>
      </c>
      <c r="O2294" s="25">
        <f>IF($G2294="","",ROUND(N($K2294)*N($L2294),2))</f>
        <v/>
      </c>
      <c r="P2294" s="26">
        <f>IF($G2294="","",ROUND($O2294*$N2294,0))</f>
        <v/>
      </c>
      <c r="Q2294" s="26">
        <f>IF($G2294="","",SUMIFS($P$4:$P$2503,$E$4:$E$2503,$E2294,$Z$4:$Z$2503,"正常"))</f>
        <v/>
      </c>
      <c r="R2294" s="26">
        <f>IF($G2294="","",SUMIFS(费用台账!$I$4:$I$503,费用台账!$C$4:$C$503,$E2294,费用台账!$J$4:$J$503,"是",费用台账!$K$4:$K$503,"正常"))</f>
        <v/>
      </c>
      <c r="S2294" s="28">
        <f>IF($G2294="","",COUNTIFS($E$4:$E$2503,$E2294,$Z$4:$Z$2503,"正常",$Y$4:$Y$2503,"待补价"))</f>
        <v/>
      </c>
      <c r="T2294" s="26">
        <f>IF($G2294="","",SUMIFS($P$4:$P$2503,$E$4:$E$2503,$E2294,$Z$4:$Z$2503,"正常",$A$4:$A$2503,"&lt;="&amp;$A2294))</f>
        <v/>
      </c>
      <c r="U2294" s="26">
        <f>IF($G2294="","",IF(OR($S2294&gt;0,$Q2294=0,$R2294=0,$Z2294&lt;&gt;"正常"),0,ROUND($T2294/$Q2294*$R2294,0)-ROUND(($T2294-$P2294)/$Q2294*$R2294,0)))</f>
        <v/>
      </c>
      <c r="V2294" s="26">
        <f>IF($G2294="","",ROUND($P2294+$U2294,0))</f>
        <v/>
      </c>
      <c r="W2294" s="26">
        <f>IF($G2294="","",IF(N($K2294)=0,0,ROUND($V2294/$K2294,2)))</f>
        <v/>
      </c>
      <c r="X2294" s="17" t="n"/>
      <c r="Y2294" s="17" t="n"/>
      <c r="Z2294" s="17" t="n"/>
      <c r="AA2294" s="17" t="n"/>
      <c r="AB2294" s="17" t="n"/>
      <c r="AC2294" s="24">
        <f>IF($G2294="","",IF($H2294="※编码不在物料档案里","※物料编码不在档案里",IF(N($K2294)&lt;=0,"※入库数量要大于 0",IF(AND($C2294&lt;&gt;"",$C2294&lt;=结账锁),"※日期早于已结账截止日，不能再录",IF(AND($L2294=0,$X2294="正常"),"※没填单价，价格状态请选「待补价」",IF(AND($S2294&gt;0,$R2294&gt;0),"△本批有 "&amp;$S2294&amp;" 行没单价，整批运费先挂账没摊",IF(AND($B2294&lt;&gt;"",COUNTIF($B$4:$B$2503,$B2294)&gt;1),"※入库单号重复","")))))))</f>
        <v/>
      </c>
    </row>
    <row r="2295">
      <c r="A2295" s="24">
        <f>IF($G2295="","",COUNTA($G$4:$G2295))</f>
        <v/>
      </c>
      <c r="B2295" s="17" t="n"/>
      <c r="C2295" s="30" t="n"/>
      <c r="D2295" s="17" t="n"/>
      <c r="E2295" s="17" t="n"/>
      <c r="F2295" s="17" t="n"/>
      <c r="G2295" s="17" t="n"/>
      <c r="H2295" s="24">
        <f>IF($G2295="","",IFERROR(VLOOKUP($G2295,物料档案!$A$4:$P$1203,3,0),"※编码不在物料档案里"))</f>
        <v/>
      </c>
      <c r="I2295" s="24">
        <f>IF($G2295="","",IFERROR(VLOOKUP($G2295,物料档案!$A$4:$P$1203,4,0),"※编码不在物料档案里"))</f>
        <v/>
      </c>
      <c r="J2295" s="24">
        <f>IF($G2295="","",IFERROR(VLOOKUP($G2295,物料档案!$A$4:$P$1203,5,0),"※编码不在物料档案里"))</f>
        <v/>
      </c>
      <c r="K2295" s="23" t="n"/>
      <c r="L2295" s="31" t="n"/>
      <c r="M2295" s="24">
        <f>IF($G2295="","",IF($D2295="A国内","CNY","TZS"))</f>
        <v/>
      </c>
      <c r="N2295" s="28">
        <f>IF($G2295="","",IF($D2295="A国内",汇率,1))</f>
        <v/>
      </c>
      <c r="O2295" s="25">
        <f>IF($G2295="","",ROUND(N($K2295)*N($L2295),2))</f>
        <v/>
      </c>
      <c r="P2295" s="26">
        <f>IF($G2295="","",ROUND($O2295*$N2295,0))</f>
        <v/>
      </c>
      <c r="Q2295" s="26">
        <f>IF($G2295="","",SUMIFS($P$4:$P$2503,$E$4:$E$2503,$E2295,$Z$4:$Z$2503,"正常"))</f>
        <v/>
      </c>
      <c r="R2295" s="26">
        <f>IF($G2295="","",SUMIFS(费用台账!$I$4:$I$503,费用台账!$C$4:$C$503,$E2295,费用台账!$J$4:$J$503,"是",费用台账!$K$4:$K$503,"正常"))</f>
        <v/>
      </c>
      <c r="S2295" s="28">
        <f>IF($G2295="","",COUNTIFS($E$4:$E$2503,$E2295,$Z$4:$Z$2503,"正常",$Y$4:$Y$2503,"待补价"))</f>
        <v/>
      </c>
      <c r="T2295" s="26">
        <f>IF($G2295="","",SUMIFS($P$4:$P$2503,$E$4:$E$2503,$E2295,$Z$4:$Z$2503,"正常",$A$4:$A$2503,"&lt;="&amp;$A2295))</f>
        <v/>
      </c>
      <c r="U2295" s="26">
        <f>IF($G2295="","",IF(OR($S2295&gt;0,$Q2295=0,$R2295=0,$Z2295&lt;&gt;"正常"),0,ROUND($T2295/$Q2295*$R2295,0)-ROUND(($T2295-$P2295)/$Q2295*$R2295,0)))</f>
        <v/>
      </c>
      <c r="V2295" s="26">
        <f>IF($G2295="","",ROUND($P2295+$U2295,0))</f>
        <v/>
      </c>
      <c r="W2295" s="26">
        <f>IF($G2295="","",IF(N($K2295)=0,0,ROUND($V2295/$K2295,2)))</f>
        <v/>
      </c>
      <c r="X2295" s="17" t="n"/>
      <c r="Y2295" s="17" t="n"/>
      <c r="Z2295" s="17" t="n"/>
      <c r="AA2295" s="17" t="n"/>
      <c r="AB2295" s="17" t="n"/>
      <c r="AC2295" s="24">
        <f>IF($G2295="","",IF($H2295="※编码不在物料档案里","※物料编码不在档案里",IF(N($K2295)&lt;=0,"※入库数量要大于 0",IF(AND($C2295&lt;&gt;"",$C2295&lt;=结账锁),"※日期早于已结账截止日，不能再录",IF(AND($L2295=0,$X2295="正常"),"※没填单价，价格状态请选「待补价」",IF(AND($S2295&gt;0,$R2295&gt;0),"△本批有 "&amp;$S2295&amp;" 行没单价，整批运费先挂账没摊",IF(AND($B2295&lt;&gt;"",COUNTIF($B$4:$B$2503,$B2295)&gt;1),"※入库单号重复","")))))))</f>
        <v/>
      </c>
    </row>
    <row r="2296">
      <c r="A2296" s="24">
        <f>IF($G2296="","",COUNTA($G$4:$G2296))</f>
        <v/>
      </c>
      <c r="B2296" s="17" t="n"/>
      <c r="C2296" s="30" t="n"/>
      <c r="D2296" s="17" t="n"/>
      <c r="E2296" s="17" t="n"/>
      <c r="F2296" s="17" t="n"/>
      <c r="G2296" s="17" t="n"/>
      <c r="H2296" s="24">
        <f>IF($G2296="","",IFERROR(VLOOKUP($G2296,物料档案!$A$4:$P$1203,3,0),"※编码不在物料档案里"))</f>
        <v/>
      </c>
      <c r="I2296" s="24">
        <f>IF($G2296="","",IFERROR(VLOOKUP($G2296,物料档案!$A$4:$P$1203,4,0),"※编码不在物料档案里"))</f>
        <v/>
      </c>
      <c r="J2296" s="24">
        <f>IF($G2296="","",IFERROR(VLOOKUP($G2296,物料档案!$A$4:$P$1203,5,0),"※编码不在物料档案里"))</f>
        <v/>
      </c>
      <c r="K2296" s="23" t="n"/>
      <c r="L2296" s="31" t="n"/>
      <c r="M2296" s="24">
        <f>IF($G2296="","",IF($D2296="A国内","CNY","TZS"))</f>
        <v/>
      </c>
      <c r="N2296" s="28">
        <f>IF($G2296="","",IF($D2296="A国内",汇率,1))</f>
        <v/>
      </c>
      <c r="O2296" s="25">
        <f>IF($G2296="","",ROUND(N($K2296)*N($L2296),2))</f>
        <v/>
      </c>
      <c r="P2296" s="26">
        <f>IF($G2296="","",ROUND($O2296*$N2296,0))</f>
        <v/>
      </c>
      <c r="Q2296" s="26">
        <f>IF($G2296="","",SUMIFS($P$4:$P$2503,$E$4:$E$2503,$E2296,$Z$4:$Z$2503,"正常"))</f>
        <v/>
      </c>
      <c r="R2296" s="26">
        <f>IF($G2296="","",SUMIFS(费用台账!$I$4:$I$503,费用台账!$C$4:$C$503,$E2296,费用台账!$J$4:$J$503,"是",费用台账!$K$4:$K$503,"正常"))</f>
        <v/>
      </c>
      <c r="S2296" s="28">
        <f>IF($G2296="","",COUNTIFS($E$4:$E$2503,$E2296,$Z$4:$Z$2503,"正常",$Y$4:$Y$2503,"待补价"))</f>
        <v/>
      </c>
      <c r="T2296" s="26">
        <f>IF($G2296="","",SUMIFS($P$4:$P$2503,$E$4:$E$2503,$E2296,$Z$4:$Z$2503,"正常",$A$4:$A$2503,"&lt;="&amp;$A2296))</f>
        <v/>
      </c>
      <c r="U2296" s="26">
        <f>IF($G2296="","",IF(OR($S2296&gt;0,$Q2296=0,$R2296=0,$Z2296&lt;&gt;"正常"),0,ROUND($T2296/$Q2296*$R2296,0)-ROUND(($T2296-$P2296)/$Q2296*$R2296,0)))</f>
        <v/>
      </c>
      <c r="V2296" s="26">
        <f>IF($G2296="","",ROUND($P2296+$U2296,0))</f>
        <v/>
      </c>
      <c r="W2296" s="26">
        <f>IF($G2296="","",IF(N($K2296)=0,0,ROUND($V2296/$K2296,2)))</f>
        <v/>
      </c>
      <c r="X2296" s="17" t="n"/>
      <c r="Y2296" s="17" t="n"/>
      <c r="Z2296" s="17" t="n"/>
      <c r="AA2296" s="17" t="n"/>
      <c r="AB2296" s="17" t="n"/>
      <c r="AC2296" s="24">
        <f>IF($G2296="","",IF($H2296="※编码不在物料档案里","※物料编码不在档案里",IF(N($K2296)&lt;=0,"※入库数量要大于 0",IF(AND($C2296&lt;&gt;"",$C2296&lt;=结账锁),"※日期早于已结账截止日，不能再录",IF(AND($L2296=0,$X2296="正常"),"※没填单价，价格状态请选「待补价」",IF(AND($S2296&gt;0,$R2296&gt;0),"△本批有 "&amp;$S2296&amp;" 行没单价，整批运费先挂账没摊",IF(AND($B2296&lt;&gt;"",COUNTIF($B$4:$B$2503,$B2296)&gt;1),"※入库单号重复","")))))))</f>
        <v/>
      </c>
    </row>
    <row r="2297">
      <c r="A2297" s="24">
        <f>IF($G2297="","",COUNTA($G$4:$G2297))</f>
        <v/>
      </c>
      <c r="B2297" s="17" t="n"/>
      <c r="C2297" s="30" t="n"/>
      <c r="D2297" s="17" t="n"/>
      <c r="E2297" s="17" t="n"/>
      <c r="F2297" s="17" t="n"/>
      <c r="G2297" s="17" t="n"/>
      <c r="H2297" s="24">
        <f>IF($G2297="","",IFERROR(VLOOKUP($G2297,物料档案!$A$4:$P$1203,3,0),"※编码不在物料档案里"))</f>
        <v/>
      </c>
      <c r="I2297" s="24">
        <f>IF($G2297="","",IFERROR(VLOOKUP($G2297,物料档案!$A$4:$P$1203,4,0),"※编码不在物料档案里"))</f>
        <v/>
      </c>
      <c r="J2297" s="24">
        <f>IF($G2297="","",IFERROR(VLOOKUP($G2297,物料档案!$A$4:$P$1203,5,0),"※编码不在物料档案里"))</f>
        <v/>
      </c>
      <c r="K2297" s="23" t="n"/>
      <c r="L2297" s="31" t="n"/>
      <c r="M2297" s="24">
        <f>IF($G2297="","",IF($D2297="A国内","CNY","TZS"))</f>
        <v/>
      </c>
      <c r="N2297" s="28">
        <f>IF($G2297="","",IF($D2297="A国内",汇率,1))</f>
        <v/>
      </c>
      <c r="O2297" s="25">
        <f>IF($G2297="","",ROUND(N($K2297)*N($L2297),2))</f>
        <v/>
      </c>
      <c r="P2297" s="26">
        <f>IF($G2297="","",ROUND($O2297*$N2297,0))</f>
        <v/>
      </c>
      <c r="Q2297" s="26">
        <f>IF($G2297="","",SUMIFS($P$4:$P$2503,$E$4:$E$2503,$E2297,$Z$4:$Z$2503,"正常"))</f>
        <v/>
      </c>
      <c r="R2297" s="26">
        <f>IF($G2297="","",SUMIFS(费用台账!$I$4:$I$503,费用台账!$C$4:$C$503,$E2297,费用台账!$J$4:$J$503,"是",费用台账!$K$4:$K$503,"正常"))</f>
        <v/>
      </c>
      <c r="S2297" s="28">
        <f>IF($G2297="","",COUNTIFS($E$4:$E$2503,$E2297,$Z$4:$Z$2503,"正常",$Y$4:$Y$2503,"待补价"))</f>
        <v/>
      </c>
      <c r="T2297" s="26">
        <f>IF($G2297="","",SUMIFS($P$4:$P$2503,$E$4:$E$2503,$E2297,$Z$4:$Z$2503,"正常",$A$4:$A$2503,"&lt;="&amp;$A2297))</f>
        <v/>
      </c>
      <c r="U2297" s="26">
        <f>IF($G2297="","",IF(OR($S2297&gt;0,$Q2297=0,$R2297=0,$Z2297&lt;&gt;"正常"),0,ROUND($T2297/$Q2297*$R2297,0)-ROUND(($T2297-$P2297)/$Q2297*$R2297,0)))</f>
        <v/>
      </c>
      <c r="V2297" s="26">
        <f>IF($G2297="","",ROUND($P2297+$U2297,0))</f>
        <v/>
      </c>
      <c r="W2297" s="26">
        <f>IF($G2297="","",IF(N($K2297)=0,0,ROUND($V2297/$K2297,2)))</f>
        <v/>
      </c>
      <c r="X2297" s="17" t="n"/>
      <c r="Y2297" s="17" t="n"/>
      <c r="Z2297" s="17" t="n"/>
      <c r="AA2297" s="17" t="n"/>
      <c r="AB2297" s="17" t="n"/>
      <c r="AC2297" s="24">
        <f>IF($G2297="","",IF($H2297="※编码不在物料档案里","※物料编码不在档案里",IF(N($K2297)&lt;=0,"※入库数量要大于 0",IF(AND($C2297&lt;&gt;"",$C2297&lt;=结账锁),"※日期早于已结账截止日，不能再录",IF(AND($L2297=0,$X2297="正常"),"※没填单价，价格状态请选「待补价」",IF(AND($S2297&gt;0,$R2297&gt;0),"△本批有 "&amp;$S2297&amp;" 行没单价，整批运费先挂账没摊",IF(AND($B2297&lt;&gt;"",COUNTIF($B$4:$B$2503,$B2297)&gt;1),"※入库单号重复","")))))))</f>
        <v/>
      </c>
    </row>
    <row r="2298">
      <c r="A2298" s="24">
        <f>IF($G2298="","",COUNTA($G$4:$G2298))</f>
        <v/>
      </c>
      <c r="B2298" s="17" t="n"/>
      <c r="C2298" s="30" t="n"/>
      <c r="D2298" s="17" t="n"/>
      <c r="E2298" s="17" t="n"/>
      <c r="F2298" s="17" t="n"/>
      <c r="G2298" s="17" t="n"/>
      <c r="H2298" s="24">
        <f>IF($G2298="","",IFERROR(VLOOKUP($G2298,物料档案!$A$4:$P$1203,3,0),"※编码不在物料档案里"))</f>
        <v/>
      </c>
      <c r="I2298" s="24">
        <f>IF($G2298="","",IFERROR(VLOOKUP($G2298,物料档案!$A$4:$P$1203,4,0),"※编码不在物料档案里"))</f>
        <v/>
      </c>
      <c r="J2298" s="24">
        <f>IF($G2298="","",IFERROR(VLOOKUP($G2298,物料档案!$A$4:$P$1203,5,0),"※编码不在物料档案里"))</f>
        <v/>
      </c>
      <c r="K2298" s="23" t="n"/>
      <c r="L2298" s="31" t="n"/>
      <c r="M2298" s="24">
        <f>IF($G2298="","",IF($D2298="A国内","CNY","TZS"))</f>
        <v/>
      </c>
      <c r="N2298" s="28">
        <f>IF($G2298="","",IF($D2298="A国内",汇率,1))</f>
        <v/>
      </c>
      <c r="O2298" s="25">
        <f>IF($G2298="","",ROUND(N($K2298)*N($L2298),2))</f>
        <v/>
      </c>
      <c r="P2298" s="26">
        <f>IF($G2298="","",ROUND($O2298*$N2298,0))</f>
        <v/>
      </c>
      <c r="Q2298" s="26">
        <f>IF($G2298="","",SUMIFS($P$4:$P$2503,$E$4:$E$2503,$E2298,$Z$4:$Z$2503,"正常"))</f>
        <v/>
      </c>
      <c r="R2298" s="26">
        <f>IF($G2298="","",SUMIFS(费用台账!$I$4:$I$503,费用台账!$C$4:$C$503,$E2298,费用台账!$J$4:$J$503,"是",费用台账!$K$4:$K$503,"正常"))</f>
        <v/>
      </c>
      <c r="S2298" s="28">
        <f>IF($G2298="","",COUNTIFS($E$4:$E$2503,$E2298,$Z$4:$Z$2503,"正常",$Y$4:$Y$2503,"待补价"))</f>
        <v/>
      </c>
      <c r="T2298" s="26">
        <f>IF($G2298="","",SUMIFS($P$4:$P$2503,$E$4:$E$2503,$E2298,$Z$4:$Z$2503,"正常",$A$4:$A$2503,"&lt;="&amp;$A2298))</f>
        <v/>
      </c>
      <c r="U2298" s="26">
        <f>IF($G2298="","",IF(OR($S2298&gt;0,$Q2298=0,$R2298=0,$Z2298&lt;&gt;"正常"),0,ROUND($T2298/$Q2298*$R2298,0)-ROUND(($T2298-$P2298)/$Q2298*$R2298,0)))</f>
        <v/>
      </c>
      <c r="V2298" s="26">
        <f>IF($G2298="","",ROUND($P2298+$U2298,0))</f>
        <v/>
      </c>
      <c r="W2298" s="26">
        <f>IF($G2298="","",IF(N($K2298)=0,0,ROUND($V2298/$K2298,2)))</f>
        <v/>
      </c>
      <c r="X2298" s="17" t="n"/>
      <c r="Y2298" s="17" t="n"/>
      <c r="Z2298" s="17" t="n"/>
      <c r="AA2298" s="17" t="n"/>
      <c r="AB2298" s="17" t="n"/>
      <c r="AC2298" s="24">
        <f>IF($G2298="","",IF($H2298="※编码不在物料档案里","※物料编码不在档案里",IF(N($K2298)&lt;=0,"※入库数量要大于 0",IF(AND($C2298&lt;&gt;"",$C2298&lt;=结账锁),"※日期早于已结账截止日，不能再录",IF(AND($L2298=0,$X2298="正常"),"※没填单价，价格状态请选「待补价」",IF(AND($S2298&gt;0,$R2298&gt;0),"△本批有 "&amp;$S2298&amp;" 行没单价，整批运费先挂账没摊",IF(AND($B2298&lt;&gt;"",COUNTIF($B$4:$B$2503,$B2298)&gt;1),"※入库单号重复","")))))))</f>
        <v/>
      </c>
    </row>
    <row r="2299">
      <c r="A2299" s="24">
        <f>IF($G2299="","",COUNTA($G$4:$G2299))</f>
        <v/>
      </c>
      <c r="B2299" s="17" t="n"/>
      <c r="C2299" s="30" t="n"/>
      <c r="D2299" s="17" t="n"/>
      <c r="E2299" s="17" t="n"/>
      <c r="F2299" s="17" t="n"/>
      <c r="G2299" s="17" t="n"/>
      <c r="H2299" s="24">
        <f>IF($G2299="","",IFERROR(VLOOKUP($G2299,物料档案!$A$4:$P$1203,3,0),"※编码不在物料档案里"))</f>
        <v/>
      </c>
      <c r="I2299" s="24">
        <f>IF($G2299="","",IFERROR(VLOOKUP($G2299,物料档案!$A$4:$P$1203,4,0),"※编码不在物料档案里"))</f>
        <v/>
      </c>
      <c r="J2299" s="24">
        <f>IF($G2299="","",IFERROR(VLOOKUP($G2299,物料档案!$A$4:$P$1203,5,0),"※编码不在物料档案里"))</f>
        <v/>
      </c>
      <c r="K2299" s="23" t="n"/>
      <c r="L2299" s="31" t="n"/>
      <c r="M2299" s="24">
        <f>IF($G2299="","",IF($D2299="A国内","CNY","TZS"))</f>
        <v/>
      </c>
      <c r="N2299" s="28">
        <f>IF($G2299="","",IF($D2299="A国内",汇率,1))</f>
        <v/>
      </c>
      <c r="O2299" s="25">
        <f>IF($G2299="","",ROUND(N($K2299)*N($L2299),2))</f>
        <v/>
      </c>
      <c r="P2299" s="26">
        <f>IF($G2299="","",ROUND($O2299*$N2299,0))</f>
        <v/>
      </c>
      <c r="Q2299" s="26">
        <f>IF($G2299="","",SUMIFS($P$4:$P$2503,$E$4:$E$2503,$E2299,$Z$4:$Z$2503,"正常"))</f>
        <v/>
      </c>
      <c r="R2299" s="26">
        <f>IF($G2299="","",SUMIFS(费用台账!$I$4:$I$503,费用台账!$C$4:$C$503,$E2299,费用台账!$J$4:$J$503,"是",费用台账!$K$4:$K$503,"正常"))</f>
        <v/>
      </c>
      <c r="S2299" s="28">
        <f>IF($G2299="","",COUNTIFS($E$4:$E$2503,$E2299,$Z$4:$Z$2503,"正常",$Y$4:$Y$2503,"待补价"))</f>
        <v/>
      </c>
      <c r="T2299" s="26">
        <f>IF($G2299="","",SUMIFS($P$4:$P$2503,$E$4:$E$2503,$E2299,$Z$4:$Z$2503,"正常",$A$4:$A$2503,"&lt;="&amp;$A2299))</f>
        <v/>
      </c>
      <c r="U2299" s="26">
        <f>IF($G2299="","",IF(OR($S2299&gt;0,$Q2299=0,$R2299=0,$Z2299&lt;&gt;"正常"),0,ROUND($T2299/$Q2299*$R2299,0)-ROUND(($T2299-$P2299)/$Q2299*$R2299,0)))</f>
        <v/>
      </c>
      <c r="V2299" s="26">
        <f>IF($G2299="","",ROUND($P2299+$U2299,0))</f>
        <v/>
      </c>
      <c r="W2299" s="26">
        <f>IF($G2299="","",IF(N($K2299)=0,0,ROUND($V2299/$K2299,2)))</f>
        <v/>
      </c>
      <c r="X2299" s="17" t="n"/>
      <c r="Y2299" s="17" t="n"/>
      <c r="Z2299" s="17" t="n"/>
      <c r="AA2299" s="17" t="n"/>
      <c r="AB2299" s="17" t="n"/>
      <c r="AC2299" s="24">
        <f>IF($G2299="","",IF($H2299="※编码不在物料档案里","※物料编码不在档案里",IF(N($K2299)&lt;=0,"※入库数量要大于 0",IF(AND($C2299&lt;&gt;"",$C2299&lt;=结账锁),"※日期早于已结账截止日，不能再录",IF(AND($L2299=0,$X2299="正常"),"※没填单价，价格状态请选「待补价」",IF(AND($S2299&gt;0,$R2299&gt;0),"△本批有 "&amp;$S2299&amp;" 行没单价，整批运费先挂账没摊",IF(AND($B2299&lt;&gt;"",COUNTIF($B$4:$B$2503,$B2299)&gt;1),"※入库单号重复","")))))))</f>
        <v/>
      </c>
    </row>
    <row r="2300">
      <c r="A2300" s="24">
        <f>IF($G2300="","",COUNTA($G$4:$G2300))</f>
        <v/>
      </c>
      <c r="B2300" s="17" t="n"/>
      <c r="C2300" s="30" t="n"/>
      <c r="D2300" s="17" t="n"/>
      <c r="E2300" s="17" t="n"/>
      <c r="F2300" s="17" t="n"/>
      <c r="G2300" s="17" t="n"/>
      <c r="H2300" s="24">
        <f>IF($G2300="","",IFERROR(VLOOKUP($G2300,物料档案!$A$4:$P$1203,3,0),"※编码不在物料档案里"))</f>
        <v/>
      </c>
      <c r="I2300" s="24">
        <f>IF($G2300="","",IFERROR(VLOOKUP($G2300,物料档案!$A$4:$P$1203,4,0),"※编码不在物料档案里"))</f>
        <v/>
      </c>
      <c r="J2300" s="24">
        <f>IF($G2300="","",IFERROR(VLOOKUP($G2300,物料档案!$A$4:$P$1203,5,0),"※编码不在物料档案里"))</f>
        <v/>
      </c>
      <c r="K2300" s="23" t="n"/>
      <c r="L2300" s="31" t="n"/>
      <c r="M2300" s="24">
        <f>IF($G2300="","",IF($D2300="A国内","CNY","TZS"))</f>
        <v/>
      </c>
      <c r="N2300" s="28">
        <f>IF($G2300="","",IF($D2300="A国内",汇率,1))</f>
        <v/>
      </c>
      <c r="O2300" s="25">
        <f>IF($G2300="","",ROUND(N($K2300)*N($L2300),2))</f>
        <v/>
      </c>
      <c r="P2300" s="26">
        <f>IF($G2300="","",ROUND($O2300*$N2300,0))</f>
        <v/>
      </c>
      <c r="Q2300" s="26">
        <f>IF($G2300="","",SUMIFS($P$4:$P$2503,$E$4:$E$2503,$E2300,$Z$4:$Z$2503,"正常"))</f>
        <v/>
      </c>
      <c r="R2300" s="26">
        <f>IF($G2300="","",SUMIFS(费用台账!$I$4:$I$503,费用台账!$C$4:$C$503,$E2300,费用台账!$J$4:$J$503,"是",费用台账!$K$4:$K$503,"正常"))</f>
        <v/>
      </c>
      <c r="S2300" s="28">
        <f>IF($G2300="","",COUNTIFS($E$4:$E$2503,$E2300,$Z$4:$Z$2503,"正常",$Y$4:$Y$2503,"待补价"))</f>
        <v/>
      </c>
      <c r="T2300" s="26">
        <f>IF($G2300="","",SUMIFS($P$4:$P$2503,$E$4:$E$2503,$E2300,$Z$4:$Z$2503,"正常",$A$4:$A$2503,"&lt;="&amp;$A2300))</f>
        <v/>
      </c>
      <c r="U2300" s="26">
        <f>IF($G2300="","",IF(OR($S2300&gt;0,$Q2300=0,$R2300=0,$Z2300&lt;&gt;"正常"),0,ROUND($T2300/$Q2300*$R2300,0)-ROUND(($T2300-$P2300)/$Q2300*$R2300,0)))</f>
        <v/>
      </c>
      <c r="V2300" s="26">
        <f>IF($G2300="","",ROUND($P2300+$U2300,0))</f>
        <v/>
      </c>
      <c r="W2300" s="26">
        <f>IF($G2300="","",IF(N($K2300)=0,0,ROUND($V2300/$K2300,2)))</f>
        <v/>
      </c>
      <c r="X2300" s="17" t="n"/>
      <c r="Y2300" s="17" t="n"/>
      <c r="Z2300" s="17" t="n"/>
      <c r="AA2300" s="17" t="n"/>
      <c r="AB2300" s="17" t="n"/>
      <c r="AC2300" s="24">
        <f>IF($G2300="","",IF($H2300="※编码不在物料档案里","※物料编码不在档案里",IF(N($K2300)&lt;=0,"※入库数量要大于 0",IF(AND($C2300&lt;&gt;"",$C2300&lt;=结账锁),"※日期早于已结账截止日，不能再录",IF(AND($L2300=0,$X2300="正常"),"※没填单价，价格状态请选「待补价」",IF(AND($S2300&gt;0,$R2300&gt;0),"△本批有 "&amp;$S2300&amp;" 行没单价，整批运费先挂账没摊",IF(AND($B2300&lt;&gt;"",COUNTIF($B$4:$B$2503,$B2300)&gt;1),"※入库单号重复","")))))))</f>
        <v/>
      </c>
    </row>
    <row r="2301">
      <c r="A2301" s="24">
        <f>IF($G2301="","",COUNTA($G$4:$G2301))</f>
        <v/>
      </c>
      <c r="B2301" s="17" t="n"/>
      <c r="C2301" s="30" t="n"/>
      <c r="D2301" s="17" t="n"/>
      <c r="E2301" s="17" t="n"/>
      <c r="F2301" s="17" t="n"/>
      <c r="G2301" s="17" t="n"/>
      <c r="H2301" s="24">
        <f>IF($G2301="","",IFERROR(VLOOKUP($G2301,物料档案!$A$4:$P$1203,3,0),"※编码不在物料档案里"))</f>
        <v/>
      </c>
      <c r="I2301" s="24">
        <f>IF($G2301="","",IFERROR(VLOOKUP($G2301,物料档案!$A$4:$P$1203,4,0),"※编码不在物料档案里"))</f>
        <v/>
      </c>
      <c r="J2301" s="24">
        <f>IF($G2301="","",IFERROR(VLOOKUP($G2301,物料档案!$A$4:$P$1203,5,0),"※编码不在物料档案里"))</f>
        <v/>
      </c>
      <c r="K2301" s="23" t="n"/>
      <c r="L2301" s="31" t="n"/>
      <c r="M2301" s="24">
        <f>IF($G2301="","",IF($D2301="A国内","CNY","TZS"))</f>
        <v/>
      </c>
      <c r="N2301" s="28">
        <f>IF($G2301="","",IF($D2301="A国内",汇率,1))</f>
        <v/>
      </c>
      <c r="O2301" s="25">
        <f>IF($G2301="","",ROUND(N($K2301)*N($L2301),2))</f>
        <v/>
      </c>
      <c r="P2301" s="26">
        <f>IF($G2301="","",ROUND($O2301*$N2301,0))</f>
        <v/>
      </c>
      <c r="Q2301" s="26">
        <f>IF($G2301="","",SUMIFS($P$4:$P$2503,$E$4:$E$2503,$E2301,$Z$4:$Z$2503,"正常"))</f>
        <v/>
      </c>
      <c r="R2301" s="26">
        <f>IF($G2301="","",SUMIFS(费用台账!$I$4:$I$503,费用台账!$C$4:$C$503,$E2301,费用台账!$J$4:$J$503,"是",费用台账!$K$4:$K$503,"正常"))</f>
        <v/>
      </c>
      <c r="S2301" s="28">
        <f>IF($G2301="","",COUNTIFS($E$4:$E$2503,$E2301,$Z$4:$Z$2503,"正常",$Y$4:$Y$2503,"待补价"))</f>
        <v/>
      </c>
      <c r="T2301" s="26">
        <f>IF($G2301="","",SUMIFS($P$4:$P$2503,$E$4:$E$2503,$E2301,$Z$4:$Z$2503,"正常",$A$4:$A$2503,"&lt;="&amp;$A2301))</f>
        <v/>
      </c>
      <c r="U2301" s="26">
        <f>IF($G2301="","",IF(OR($S2301&gt;0,$Q2301=0,$R2301=0,$Z2301&lt;&gt;"正常"),0,ROUND($T2301/$Q2301*$R2301,0)-ROUND(($T2301-$P2301)/$Q2301*$R2301,0)))</f>
        <v/>
      </c>
      <c r="V2301" s="26">
        <f>IF($G2301="","",ROUND($P2301+$U2301,0))</f>
        <v/>
      </c>
      <c r="W2301" s="26">
        <f>IF($G2301="","",IF(N($K2301)=0,0,ROUND($V2301/$K2301,2)))</f>
        <v/>
      </c>
      <c r="X2301" s="17" t="n"/>
      <c r="Y2301" s="17" t="n"/>
      <c r="Z2301" s="17" t="n"/>
      <c r="AA2301" s="17" t="n"/>
      <c r="AB2301" s="17" t="n"/>
      <c r="AC2301" s="24">
        <f>IF($G2301="","",IF($H2301="※编码不在物料档案里","※物料编码不在档案里",IF(N($K2301)&lt;=0,"※入库数量要大于 0",IF(AND($C2301&lt;&gt;"",$C2301&lt;=结账锁),"※日期早于已结账截止日，不能再录",IF(AND($L2301=0,$X2301="正常"),"※没填单价，价格状态请选「待补价」",IF(AND($S2301&gt;0,$R2301&gt;0),"△本批有 "&amp;$S2301&amp;" 行没单价，整批运费先挂账没摊",IF(AND($B2301&lt;&gt;"",COUNTIF($B$4:$B$2503,$B2301)&gt;1),"※入库单号重复","")))))))</f>
        <v/>
      </c>
    </row>
    <row r="2302">
      <c r="A2302" s="24">
        <f>IF($G2302="","",COUNTA($G$4:$G2302))</f>
        <v/>
      </c>
      <c r="B2302" s="17" t="n"/>
      <c r="C2302" s="30" t="n"/>
      <c r="D2302" s="17" t="n"/>
      <c r="E2302" s="17" t="n"/>
      <c r="F2302" s="17" t="n"/>
      <c r="G2302" s="17" t="n"/>
      <c r="H2302" s="24">
        <f>IF($G2302="","",IFERROR(VLOOKUP($G2302,物料档案!$A$4:$P$1203,3,0),"※编码不在物料档案里"))</f>
        <v/>
      </c>
      <c r="I2302" s="24">
        <f>IF($G2302="","",IFERROR(VLOOKUP($G2302,物料档案!$A$4:$P$1203,4,0),"※编码不在物料档案里"))</f>
        <v/>
      </c>
      <c r="J2302" s="24">
        <f>IF($G2302="","",IFERROR(VLOOKUP($G2302,物料档案!$A$4:$P$1203,5,0),"※编码不在物料档案里"))</f>
        <v/>
      </c>
      <c r="K2302" s="23" t="n"/>
      <c r="L2302" s="31" t="n"/>
      <c r="M2302" s="24">
        <f>IF($G2302="","",IF($D2302="A国内","CNY","TZS"))</f>
        <v/>
      </c>
      <c r="N2302" s="28">
        <f>IF($G2302="","",IF($D2302="A国内",汇率,1))</f>
        <v/>
      </c>
      <c r="O2302" s="25">
        <f>IF($G2302="","",ROUND(N($K2302)*N($L2302),2))</f>
        <v/>
      </c>
      <c r="P2302" s="26">
        <f>IF($G2302="","",ROUND($O2302*$N2302,0))</f>
        <v/>
      </c>
      <c r="Q2302" s="26">
        <f>IF($G2302="","",SUMIFS($P$4:$P$2503,$E$4:$E$2503,$E2302,$Z$4:$Z$2503,"正常"))</f>
        <v/>
      </c>
      <c r="R2302" s="26">
        <f>IF($G2302="","",SUMIFS(费用台账!$I$4:$I$503,费用台账!$C$4:$C$503,$E2302,费用台账!$J$4:$J$503,"是",费用台账!$K$4:$K$503,"正常"))</f>
        <v/>
      </c>
      <c r="S2302" s="28">
        <f>IF($G2302="","",COUNTIFS($E$4:$E$2503,$E2302,$Z$4:$Z$2503,"正常",$Y$4:$Y$2503,"待补价"))</f>
        <v/>
      </c>
      <c r="T2302" s="26">
        <f>IF($G2302="","",SUMIFS($P$4:$P$2503,$E$4:$E$2503,$E2302,$Z$4:$Z$2503,"正常",$A$4:$A$2503,"&lt;="&amp;$A2302))</f>
        <v/>
      </c>
      <c r="U2302" s="26">
        <f>IF($G2302="","",IF(OR($S2302&gt;0,$Q2302=0,$R2302=0,$Z2302&lt;&gt;"正常"),0,ROUND($T2302/$Q2302*$R2302,0)-ROUND(($T2302-$P2302)/$Q2302*$R2302,0)))</f>
        <v/>
      </c>
      <c r="V2302" s="26">
        <f>IF($G2302="","",ROUND($P2302+$U2302,0))</f>
        <v/>
      </c>
      <c r="W2302" s="26">
        <f>IF($G2302="","",IF(N($K2302)=0,0,ROUND($V2302/$K2302,2)))</f>
        <v/>
      </c>
      <c r="X2302" s="17" t="n"/>
      <c r="Y2302" s="17" t="n"/>
      <c r="Z2302" s="17" t="n"/>
      <c r="AA2302" s="17" t="n"/>
      <c r="AB2302" s="17" t="n"/>
      <c r="AC2302" s="24">
        <f>IF($G2302="","",IF($H2302="※编码不在物料档案里","※物料编码不在档案里",IF(N($K2302)&lt;=0,"※入库数量要大于 0",IF(AND($C2302&lt;&gt;"",$C2302&lt;=结账锁),"※日期早于已结账截止日，不能再录",IF(AND($L2302=0,$X2302="正常"),"※没填单价，价格状态请选「待补价」",IF(AND($S2302&gt;0,$R2302&gt;0),"△本批有 "&amp;$S2302&amp;" 行没单价，整批运费先挂账没摊",IF(AND($B2302&lt;&gt;"",COUNTIF($B$4:$B$2503,$B2302)&gt;1),"※入库单号重复","")))))))</f>
        <v/>
      </c>
    </row>
    <row r="2303">
      <c r="A2303" s="24">
        <f>IF($G2303="","",COUNTA($G$4:$G2303))</f>
        <v/>
      </c>
      <c r="B2303" s="17" t="n"/>
      <c r="C2303" s="30" t="n"/>
      <c r="D2303" s="17" t="n"/>
      <c r="E2303" s="17" t="n"/>
      <c r="F2303" s="17" t="n"/>
      <c r="G2303" s="17" t="n"/>
      <c r="H2303" s="24">
        <f>IF($G2303="","",IFERROR(VLOOKUP($G2303,物料档案!$A$4:$P$1203,3,0),"※编码不在物料档案里"))</f>
        <v/>
      </c>
      <c r="I2303" s="24">
        <f>IF($G2303="","",IFERROR(VLOOKUP($G2303,物料档案!$A$4:$P$1203,4,0),"※编码不在物料档案里"))</f>
        <v/>
      </c>
      <c r="J2303" s="24">
        <f>IF($G2303="","",IFERROR(VLOOKUP($G2303,物料档案!$A$4:$P$1203,5,0),"※编码不在物料档案里"))</f>
        <v/>
      </c>
      <c r="K2303" s="23" t="n"/>
      <c r="L2303" s="31" t="n"/>
      <c r="M2303" s="24">
        <f>IF($G2303="","",IF($D2303="A国内","CNY","TZS"))</f>
        <v/>
      </c>
      <c r="N2303" s="28">
        <f>IF($G2303="","",IF($D2303="A国内",汇率,1))</f>
        <v/>
      </c>
      <c r="O2303" s="25">
        <f>IF($G2303="","",ROUND(N($K2303)*N($L2303),2))</f>
        <v/>
      </c>
      <c r="P2303" s="26">
        <f>IF($G2303="","",ROUND($O2303*$N2303,0))</f>
        <v/>
      </c>
      <c r="Q2303" s="26">
        <f>IF($G2303="","",SUMIFS($P$4:$P$2503,$E$4:$E$2503,$E2303,$Z$4:$Z$2503,"正常"))</f>
        <v/>
      </c>
      <c r="R2303" s="26">
        <f>IF($G2303="","",SUMIFS(费用台账!$I$4:$I$503,费用台账!$C$4:$C$503,$E2303,费用台账!$J$4:$J$503,"是",费用台账!$K$4:$K$503,"正常"))</f>
        <v/>
      </c>
      <c r="S2303" s="28">
        <f>IF($G2303="","",COUNTIFS($E$4:$E$2503,$E2303,$Z$4:$Z$2503,"正常",$Y$4:$Y$2503,"待补价"))</f>
        <v/>
      </c>
      <c r="T2303" s="26">
        <f>IF($G2303="","",SUMIFS($P$4:$P$2503,$E$4:$E$2503,$E2303,$Z$4:$Z$2503,"正常",$A$4:$A$2503,"&lt;="&amp;$A2303))</f>
        <v/>
      </c>
      <c r="U2303" s="26">
        <f>IF($G2303="","",IF(OR($S2303&gt;0,$Q2303=0,$R2303=0,$Z2303&lt;&gt;"正常"),0,ROUND($T2303/$Q2303*$R2303,0)-ROUND(($T2303-$P2303)/$Q2303*$R2303,0)))</f>
        <v/>
      </c>
      <c r="V2303" s="26">
        <f>IF($G2303="","",ROUND($P2303+$U2303,0))</f>
        <v/>
      </c>
      <c r="W2303" s="26">
        <f>IF($G2303="","",IF(N($K2303)=0,0,ROUND($V2303/$K2303,2)))</f>
        <v/>
      </c>
      <c r="X2303" s="17" t="n"/>
      <c r="Y2303" s="17" t="n"/>
      <c r="Z2303" s="17" t="n"/>
      <c r="AA2303" s="17" t="n"/>
      <c r="AB2303" s="17" t="n"/>
      <c r="AC2303" s="24">
        <f>IF($G2303="","",IF($H2303="※编码不在物料档案里","※物料编码不在档案里",IF(N($K2303)&lt;=0,"※入库数量要大于 0",IF(AND($C2303&lt;&gt;"",$C2303&lt;=结账锁),"※日期早于已结账截止日，不能再录",IF(AND($L2303=0,$X2303="正常"),"※没填单价，价格状态请选「待补价」",IF(AND($S2303&gt;0,$R2303&gt;0),"△本批有 "&amp;$S2303&amp;" 行没单价，整批运费先挂账没摊",IF(AND($B2303&lt;&gt;"",COUNTIF($B$4:$B$2503,$B2303)&gt;1),"※入库单号重复","")))))))</f>
        <v/>
      </c>
    </row>
    <row r="2304">
      <c r="A2304" s="24">
        <f>IF($G2304="","",COUNTA($G$4:$G2304))</f>
        <v/>
      </c>
      <c r="B2304" s="17" t="n"/>
      <c r="C2304" s="30" t="n"/>
      <c r="D2304" s="17" t="n"/>
      <c r="E2304" s="17" t="n"/>
      <c r="F2304" s="17" t="n"/>
      <c r="G2304" s="17" t="n"/>
      <c r="H2304" s="24">
        <f>IF($G2304="","",IFERROR(VLOOKUP($G2304,物料档案!$A$4:$P$1203,3,0),"※编码不在物料档案里"))</f>
        <v/>
      </c>
      <c r="I2304" s="24">
        <f>IF($G2304="","",IFERROR(VLOOKUP($G2304,物料档案!$A$4:$P$1203,4,0),"※编码不在物料档案里"))</f>
        <v/>
      </c>
      <c r="J2304" s="24">
        <f>IF($G2304="","",IFERROR(VLOOKUP($G2304,物料档案!$A$4:$P$1203,5,0),"※编码不在物料档案里"))</f>
        <v/>
      </c>
      <c r="K2304" s="23" t="n"/>
      <c r="L2304" s="31" t="n"/>
      <c r="M2304" s="24">
        <f>IF($G2304="","",IF($D2304="A国内","CNY","TZS"))</f>
        <v/>
      </c>
      <c r="N2304" s="28">
        <f>IF($G2304="","",IF($D2304="A国内",汇率,1))</f>
        <v/>
      </c>
      <c r="O2304" s="25">
        <f>IF($G2304="","",ROUND(N($K2304)*N($L2304),2))</f>
        <v/>
      </c>
      <c r="P2304" s="26">
        <f>IF($G2304="","",ROUND($O2304*$N2304,0))</f>
        <v/>
      </c>
      <c r="Q2304" s="26">
        <f>IF($G2304="","",SUMIFS($P$4:$P$2503,$E$4:$E$2503,$E2304,$Z$4:$Z$2503,"正常"))</f>
        <v/>
      </c>
      <c r="R2304" s="26">
        <f>IF($G2304="","",SUMIFS(费用台账!$I$4:$I$503,费用台账!$C$4:$C$503,$E2304,费用台账!$J$4:$J$503,"是",费用台账!$K$4:$K$503,"正常"))</f>
        <v/>
      </c>
      <c r="S2304" s="28">
        <f>IF($G2304="","",COUNTIFS($E$4:$E$2503,$E2304,$Z$4:$Z$2503,"正常",$Y$4:$Y$2503,"待补价"))</f>
        <v/>
      </c>
      <c r="T2304" s="26">
        <f>IF($G2304="","",SUMIFS($P$4:$P$2503,$E$4:$E$2503,$E2304,$Z$4:$Z$2503,"正常",$A$4:$A$2503,"&lt;="&amp;$A2304))</f>
        <v/>
      </c>
      <c r="U2304" s="26">
        <f>IF($G2304="","",IF(OR($S2304&gt;0,$Q2304=0,$R2304=0,$Z2304&lt;&gt;"正常"),0,ROUND($T2304/$Q2304*$R2304,0)-ROUND(($T2304-$P2304)/$Q2304*$R2304,0)))</f>
        <v/>
      </c>
      <c r="V2304" s="26">
        <f>IF($G2304="","",ROUND($P2304+$U2304,0))</f>
        <v/>
      </c>
      <c r="W2304" s="26">
        <f>IF($G2304="","",IF(N($K2304)=0,0,ROUND($V2304/$K2304,2)))</f>
        <v/>
      </c>
      <c r="X2304" s="17" t="n"/>
      <c r="Y2304" s="17" t="n"/>
      <c r="Z2304" s="17" t="n"/>
      <c r="AA2304" s="17" t="n"/>
      <c r="AB2304" s="17" t="n"/>
      <c r="AC2304" s="24">
        <f>IF($G2304="","",IF($H2304="※编码不在物料档案里","※物料编码不在档案里",IF(N($K2304)&lt;=0,"※入库数量要大于 0",IF(AND($C2304&lt;&gt;"",$C2304&lt;=结账锁),"※日期早于已结账截止日，不能再录",IF(AND($L2304=0,$X2304="正常"),"※没填单价，价格状态请选「待补价」",IF(AND($S2304&gt;0,$R2304&gt;0),"△本批有 "&amp;$S2304&amp;" 行没单价，整批运费先挂账没摊",IF(AND($B2304&lt;&gt;"",COUNTIF($B$4:$B$2503,$B2304)&gt;1),"※入库单号重复","")))))))</f>
        <v/>
      </c>
    </row>
    <row r="2305">
      <c r="A2305" s="24">
        <f>IF($G2305="","",COUNTA($G$4:$G2305))</f>
        <v/>
      </c>
      <c r="B2305" s="17" t="n"/>
      <c r="C2305" s="30" t="n"/>
      <c r="D2305" s="17" t="n"/>
      <c r="E2305" s="17" t="n"/>
      <c r="F2305" s="17" t="n"/>
      <c r="G2305" s="17" t="n"/>
      <c r="H2305" s="24">
        <f>IF($G2305="","",IFERROR(VLOOKUP($G2305,物料档案!$A$4:$P$1203,3,0),"※编码不在物料档案里"))</f>
        <v/>
      </c>
      <c r="I2305" s="24">
        <f>IF($G2305="","",IFERROR(VLOOKUP($G2305,物料档案!$A$4:$P$1203,4,0),"※编码不在物料档案里"))</f>
        <v/>
      </c>
      <c r="J2305" s="24">
        <f>IF($G2305="","",IFERROR(VLOOKUP($G2305,物料档案!$A$4:$P$1203,5,0),"※编码不在物料档案里"))</f>
        <v/>
      </c>
      <c r="K2305" s="23" t="n"/>
      <c r="L2305" s="31" t="n"/>
      <c r="M2305" s="24">
        <f>IF($G2305="","",IF($D2305="A国内","CNY","TZS"))</f>
        <v/>
      </c>
      <c r="N2305" s="28">
        <f>IF($G2305="","",IF($D2305="A国内",汇率,1))</f>
        <v/>
      </c>
      <c r="O2305" s="25">
        <f>IF($G2305="","",ROUND(N($K2305)*N($L2305),2))</f>
        <v/>
      </c>
      <c r="P2305" s="26">
        <f>IF($G2305="","",ROUND($O2305*$N2305,0))</f>
        <v/>
      </c>
      <c r="Q2305" s="26">
        <f>IF($G2305="","",SUMIFS($P$4:$P$2503,$E$4:$E$2503,$E2305,$Z$4:$Z$2503,"正常"))</f>
        <v/>
      </c>
      <c r="R2305" s="26">
        <f>IF($G2305="","",SUMIFS(费用台账!$I$4:$I$503,费用台账!$C$4:$C$503,$E2305,费用台账!$J$4:$J$503,"是",费用台账!$K$4:$K$503,"正常"))</f>
        <v/>
      </c>
      <c r="S2305" s="28">
        <f>IF($G2305="","",COUNTIFS($E$4:$E$2503,$E2305,$Z$4:$Z$2503,"正常",$Y$4:$Y$2503,"待补价"))</f>
        <v/>
      </c>
      <c r="T2305" s="26">
        <f>IF($G2305="","",SUMIFS($P$4:$P$2503,$E$4:$E$2503,$E2305,$Z$4:$Z$2503,"正常",$A$4:$A$2503,"&lt;="&amp;$A2305))</f>
        <v/>
      </c>
      <c r="U2305" s="26">
        <f>IF($G2305="","",IF(OR($S2305&gt;0,$Q2305=0,$R2305=0,$Z2305&lt;&gt;"正常"),0,ROUND($T2305/$Q2305*$R2305,0)-ROUND(($T2305-$P2305)/$Q2305*$R2305,0)))</f>
        <v/>
      </c>
      <c r="V2305" s="26">
        <f>IF($G2305="","",ROUND($P2305+$U2305,0))</f>
        <v/>
      </c>
      <c r="W2305" s="26">
        <f>IF($G2305="","",IF(N($K2305)=0,0,ROUND($V2305/$K2305,2)))</f>
        <v/>
      </c>
      <c r="X2305" s="17" t="n"/>
      <c r="Y2305" s="17" t="n"/>
      <c r="Z2305" s="17" t="n"/>
      <c r="AA2305" s="17" t="n"/>
      <c r="AB2305" s="17" t="n"/>
      <c r="AC2305" s="24">
        <f>IF($G2305="","",IF($H2305="※编码不在物料档案里","※物料编码不在档案里",IF(N($K2305)&lt;=0,"※入库数量要大于 0",IF(AND($C2305&lt;&gt;"",$C2305&lt;=结账锁),"※日期早于已结账截止日，不能再录",IF(AND($L2305=0,$X2305="正常"),"※没填单价，价格状态请选「待补价」",IF(AND($S2305&gt;0,$R2305&gt;0),"△本批有 "&amp;$S2305&amp;" 行没单价，整批运费先挂账没摊",IF(AND($B2305&lt;&gt;"",COUNTIF($B$4:$B$2503,$B2305)&gt;1),"※入库单号重复","")))))))</f>
        <v/>
      </c>
    </row>
    <row r="2306">
      <c r="A2306" s="24">
        <f>IF($G2306="","",COUNTA($G$4:$G2306))</f>
        <v/>
      </c>
      <c r="B2306" s="17" t="n"/>
      <c r="C2306" s="30" t="n"/>
      <c r="D2306" s="17" t="n"/>
      <c r="E2306" s="17" t="n"/>
      <c r="F2306" s="17" t="n"/>
      <c r="G2306" s="17" t="n"/>
      <c r="H2306" s="24">
        <f>IF($G2306="","",IFERROR(VLOOKUP($G2306,物料档案!$A$4:$P$1203,3,0),"※编码不在物料档案里"))</f>
        <v/>
      </c>
      <c r="I2306" s="24">
        <f>IF($G2306="","",IFERROR(VLOOKUP($G2306,物料档案!$A$4:$P$1203,4,0),"※编码不在物料档案里"))</f>
        <v/>
      </c>
      <c r="J2306" s="24">
        <f>IF($G2306="","",IFERROR(VLOOKUP($G2306,物料档案!$A$4:$P$1203,5,0),"※编码不在物料档案里"))</f>
        <v/>
      </c>
      <c r="K2306" s="23" t="n"/>
      <c r="L2306" s="31" t="n"/>
      <c r="M2306" s="24">
        <f>IF($G2306="","",IF($D2306="A国内","CNY","TZS"))</f>
        <v/>
      </c>
      <c r="N2306" s="28">
        <f>IF($G2306="","",IF($D2306="A国内",汇率,1))</f>
        <v/>
      </c>
      <c r="O2306" s="25">
        <f>IF($G2306="","",ROUND(N($K2306)*N($L2306),2))</f>
        <v/>
      </c>
      <c r="P2306" s="26">
        <f>IF($G2306="","",ROUND($O2306*$N2306,0))</f>
        <v/>
      </c>
      <c r="Q2306" s="26">
        <f>IF($G2306="","",SUMIFS($P$4:$P$2503,$E$4:$E$2503,$E2306,$Z$4:$Z$2503,"正常"))</f>
        <v/>
      </c>
      <c r="R2306" s="26">
        <f>IF($G2306="","",SUMIFS(费用台账!$I$4:$I$503,费用台账!$C$4:$C$503,$E2306,费用台账!$J$4:$J$503,"是",费用台账!$K$4:$K$503,"正常"))</f>
        <v/>
      </c>
      <c r="S2306" s="28">
        <f>IF($G2306="","",COUNTIFS($E$4:$E$2503,$E2306,$Z$4:$Z$2503,"正常",$Y$4:$Y$2503,"待补价"))</f>
        <v/>
      </c>
      <c r="T2306" s="26">
        <f>IF($G2306="","",SUMIFS($P$4:$P$2503,$E$4:$E$2503,$E2306,$Z$4:$Z$2503,"正常",$A$4:$A$2503,"&lt;="&amp;$A2306))</f>
        <v/>
      </c>
      <c r="U2306" s="26">
        <f>IF($G2306="","",IF(OR($S2306&gt;0,$Q2306=0,$R2306=0,$Z2306&lt;&gt;"正常"),0,ROUND($T2306/$Q2306*$R2306,0)-ROUND(($T2306-$P2306)/$Q2306*$R2306,0)))</f>
        <v/>
      </c>
      <c r="V2306" s="26">
        <f>IF($G2306="","",ROUND($P2306+$U2306,0))</f>
        <v/>
      </c>
      <c r="W2306" s="26">
        <f>IF($G2306="","",IF(N($K2306)=0,0,ROUND($V2306/$K2306,2)))</f>
        <v/>
      </c>
      <c r="X2306" s="17" t="n"/>
      <c r="Y2306" s="17" t="n"/>
      <c r="Z2306" s="17" t="n"/>
      <c r="AA2306" s="17" t="n"/>
      <c r="AB2306" s="17" t="n"/>
      <c r="AC2306" s="24">
        <f>IF($G2306="","",IF($H2306="※编码不在物料档案里","※物料编码不在档案里",IF(N($K2306)&lt;=0,"※入库数量要大于 0",IF(AND($C2306&lt;&gt;"",$C2306&lt;=结账锁),"※日期早于已结账截止日，不能再录",IF(AND($L2306=0,$X2306="正常"),"※没填单价，价格状态请选「待补价」",IF(AND($S2306&gt;0,$R2306&gt;0),"△本批有 "&amp;$S2306&amp;" 行没单价，整批运费先挂账没摊",IF(AND($B2306&lt;&gt;"",COUNTIF($B$4:$B$2503,$B2306)&gt;1),"※入库单号重复","")))))))</f>
        <v/>
      </c>
    </row>
    <row r="2307">
      <c r="A2307" s="24">
        <f>IF($G2307="","",COUNTA($G$4:$G2307))</f>
        <v/>
      </c>
      <c r="B2307" s="17" t="n"/>
      <c r="C2307" s="30" t="n"/>
      <c r="D2307" s="17" t="n"/>
      <c r="E2307" s="17" t="n"/>
      <c r="F2307" s="17" t="n"/>
      <c r="G2307" s="17" t="n"/>
      <c r="H2307" s="24">
        <f>IF($G2307="","",IFERROR(VLOOKUP($G2307,物料档案!$A$4:$P$1203,3,0),"※编码不在物料档案里"))</f>
        <v/>
      </c>
      <c r="I2307" s="24">
        <f>IF($G2307="","",IFERROR(VLOOKUP($G2307,物料档案!$A$4:$P$1203,4,0),"※编码不在物料档案里"))</f>
        <v/>
      </c>
      <c r="J2307" s="24">
        <f>IF($G2307="","",IFERROR(VLOOKUP($G2307,物料档案!$A$4:$P$1203,5,0),"※编码不在物料档案里"))</f>
        <v/>
      </c>
      <c r="K2307" s="23" t="n"/>
      <c r="L2307" s="31" t="n"/>
      <c r="M2307" s="24">
        <f>IF($G2307="","",IF($D2307="A国内","CNY","TZS"))</f>
        <v/>
      </c>
      <c r="N2307" s="28">
        <f>IF($G2307="","",IF($D2307="A国内",汇率,1))</f>
        <v/>
      </c>
      <c r="O2307" s="25">
        <f>IF($G2307="","",ROUND(N($K2307)*N($L2307),2))</f>
        <v/>
      </c>
      <c r="P2307" s="26">
        <f>IF($G2307="","",ROUND($O2307*$N2307,0))</f>
        <v/>
      </c>
      <c r="Q2307" s="26">
        <f>IF($G2307="","",SUMIFS($P$4:$P$2503,$E$4:$E$2503,$E2307,$Z$4:$Z$2503,"正常"))</f>
        <v/>
      </c>
      <c r="R2307" s="26">
        <f>IF($G2307="","",SUMIFS(费用台账!$I$4:$I$503,费用台账!$C$4:$C$503,$E2307,费用台账!$J$4:$J$503,"是",费用台账!$K$4:$K$503,"正常"))</f>
        <v/>
      </c>
      <c r="S2307" s="28">
        <f>IF($G2307="","",COUNTIFS($E$4:$E$2503,$E2307,$Z$4:$Z$2503,"正常",$Y$4:$Y$2503,"待补价"))</f>
        <v/>
      </c>
      <c r="T2307" s="26">
        <f>IF($G2307="","",SUMIFS($P$4:$P$2503,$E$4:$E$2503,$E2307,$Z$4:$Z$2503,"正常",$A$4:$A$2503,"&lt;="&amp;$A2307))</f>
        <v/>
      </c>
      <c r="U2307" s="26">
        <f>IF($G2307="","",IF(OR($S2307&gt;0,$Q2307=0,$R2307=0,$Z2307&lt;&gt;"正常"),0,ROUND($T2307/$Q2307*$R2307,0)-ROUND(($T2307-$P2307)/$Q2307*$R2307,0)))</f>
        <v/>
      </c>
      <c r="V2307" s="26">
        <f>IF($G2307="","",ROUND($P2307+$U2307,0))</f>
        <v/>
      </c>
      <c r="W2307" s="26">
        <f>IF($G2307="","",IF(N($K2307)=0,0,ROUND($V2307/$K2307,2)))</f>
        <v/>
      </c>
      <c r="X2307" s="17" t="n"/>
      <c r="Y2307" s="17" t="n"/>
      <c r="Z2307" s="17" t="n"/>
      <c r="AA2307" s="17" t="n"/>
      <c r="AB2307" s="17" t="n"/>
      <c r="AC2307" s="24">
        <f>IF($G2307="","",IF($H2307="※编码不在物料档案里","※物料编码不在档案里",IF(N($K2307)&lt;=0,"※入库数量要大于 0",IF(AND($C2307&lt;&gt;"",$C2307&lt;=结账锁),"※日期早于已结账截止日，不能再录",IF(AND($L2307=0,$X2307="正常"),"※没填单价，价格状态请选「待补价」",IF(AND($S2307&gt;0,$R2307&gt;0),"△本批有 "&amp;$S2307&amp;" 行没单价，整批运费先挂账没摊",IF(AND($B2307&lt;&gt;"",COUNTIF($B$4:$B$2503,$B2307)&gt;1),"※入库单号重复","")))))))</f>
        <v/>
      </c>
    </row>
    <row r="2308">
      <c r="A2308" s="24">
        <f>IF($G2308="","",COUNTA($G$4:$G2308))</f>
        <v/>
      </c>
      <c r="B2308" s="17" t="n"/>
      <c r="C2308" s="30" t="n"/>
      <c r="D2308" s="17" t="n"/>
      <c r="E2308" s="17" t="n"/>
      <c r="F2308" s="17" t="n"/>
      <c r="G2308" s="17" t="n"/>
      <c r="H2308" s="24">
        <f>IF($G2308="","",IFERROR(VLOOKUP($G2308,物料档案!$A$4:$P$1203,3,0),"※编码不在物料档案里"))</f>
        <v/>
      </c>
      <c r="I2308" s="24">
        <f>IF($G2308="","",IFERROR(VLOOKUP($G2308,物料档案!$A$4:$P$1203,4,0),"※编码不在物料档案里"))</f>
        <v/>
      </c>
      <c r="J2308" s="24">
        <f>IF($G2308="","",IFERROR(VLOOKUP($G2308,物料档案!$A$4:$P$1203,5,0),"※编码不在物料档案里"))</f>
        <v/>
      </c>
      <c r="K2308" s="23" t="n"/>
      <c r="L2308" s="31" t="n"/>
      <c r="M2308" s="24">
        <f>IF($G2308="","",IF($D2308="A国内","CNY","TZS"))</f>
        <v/>
      </c>
      <c r="N2308" s="28">
        <f>IF($G2308="","",IF($D2308="A国内",汇率,1))</f>
        <v/>
      </c>
      <c r="O2308" s="25">
        <f>IF($G2308="","",ROUND(N($K2308)*N($L2308),2))</f>
        <v/>
      </c>
      <c r="P2308" s="26">
        <f>IF($G2308="","",ROUND($O2308*$N2308,0))</f>
        <v/>
      </c>
      <c r="Q2308" s="26">
        <f>IF($G2308="","",SUMIFS($P$4:$P$2503,$E$4:$E$2503,$E2308,$Z$4:$Z$2503,"正常"))</f>
        <v/>
      </c>
      <c r="R2308" s="26">
        <f>IF($G2308="","",SUMIFS(费用台账!$I$4:$I$503,费用台账!$C$4:$C$503,$E2308,费用台账!$J$4:$J$503,"是",费用台账!$K$4:$K$503,"正常"))</f>
        <v/>
      </c>
      <c r="S2308" s="28">
        <f>IF($G2308="","",COUNTIFS($E$4:$E$2503,$E2308,$Z$4:$Z$2503,"正常",$Y$4:$Y$2503,"待补价"))</f>
        <v/>
      </c>
      <c r="T2308" s="26">
        <f>IF($G2308="","",SUMIFS($P$4:$P$2503,$E$4:$E$2503,$E2308,$Z$4:$Z$2503,"正常",$A$4:$A$2503,"&lt;="&amp;$A2308))</f>
        <v/>
      </c>
      <c r="U2308" s="26">
        <f>IF($G2308="","",IF(OR($S2308&gt;0,$Q2308=0,$R2308=0,$Z2308&lt;&gt;"正常"),0,ROUND($T2308/$Q2308*$R2308,0)-ROUND(($T2308-$P2308)/$Q2308*$R2308,0)))</f>
        <v/>
      </c>
      <c r="V2308" s="26">
        <f>IF($G2308="","",ROUND($P2308+$U2308,0))</f>
        <v/>
      </c>
      <c r="W2308" s="26">
        <f>IF($G2308="","",IF(N($K2308)=0,0,ROUND($V2308/$K2308,2)))</f>
        <v/>
      </c>
      <c r="X2308" s="17" t="n"/>
      <c r="Y2308" s="17" t="n"/>
      <c r="Z2308" s="17" t="n"/>
      <c r="AA2308" s="17" t="n"/>
      <c r="AB2308" s="17" t="n"/>
      <c r="AC2308" s="24">
        <f>IF($G2308="","",IF($H2308="※编码不在物料档案里","※物料编码不在档案里",IF(N($K2308)&lt;=0,"※入库数量要大于 0",IF(AND($C2308&lt;&gt;"",$C2308&lt;=结账锁),"※日期早于已结账截止日，不能再录",IF(AND($L2308=0,$X2308="正常"),"※没填单价，价格状态请选「待补价」",IF(AND($S2308&gt;0,$R2308&gt;0),"△本批有 "&amp;$S2308&amp;" 行没单价，整批运费先挂账没摊",IF(AND($B2308&lt;&gt;"",COUNTIF($B$4:$B$2503,$B2308)&gt;1),"※入库单号重复","")))))))</f>
        <v/>
      </c>
    </row>
    <row r="2309">
      <c r="A2309" s="24">
        <f>IF($G2309="","",COUNTA($G$4:$G2309))</f>
        <v/>
      </c>
      <c r="B2309" s="17" t="n"/>
      <c r="C2309" s="30" t="n"/>
      <c r="D2309" s="17" t="n"/>
      <c r="E2309" s="17" t="n"/>
      <c r="F2309" s="17" t="n"/>
      <c r="G2309" s="17" t="n"/>
      <c r="H2309" s="24">
        <f>IF($G2309="","",IFERROR(VLOOKUP($G2309,物料档案!$A$4:$P$1203,3,0),"※编码不在物料档案里"))</f>
        <v/>
      </c>
      <c r="I2309" s="24">
        <f>IF($G2309="","",IFERROR(VLOOKUP($G2309,物料档案!$A$4:$P$1203,4,0),"※编码不在物料档案里"))</f>
        <v/>
      </c>
      <c r="J2309" s="24">
        <f>IF($G2309="","",IFERROR(VLOOKUP($G2309,物料档案!$A$4:$P$1203,5,0),"※编码不在物料档案里"))</f>
        <v/>
      </c>
      <c r="K2309" s="23" t="n"/>
      <c r="L2309" s="31" t="n"/>
      <c r="M2309" s="24">
        <f>IF($G2309="","",IF($D2309="A国内","CNY","TZS"))</f>
        <v/>
      </c>
      <c r="N2309" s="28">
        <f>IF($G2309="","",IF($D2309="A国内",汇率,1))</f>
        <v/>
      </c>
      <c r="O2309" s="25">
        <f>IF($G2309="","",ROUND(N($K2309)*N($L2309),2))</f>
        <v/>
      </c>
      <c r="P2309" s="26">
        <f>IF($G2309="","",ROUND($O2309*$N2309,0))</f>
        <v/>
      </c>
      <c r="Q2309" s="26">
        <f>IF($G2309="","",SUMIFS($P$4:$P$2503,$E$4:$E$2503,$E2309,$Z$4:$Z$2503,"正常"))</f>
        <v/>
      </c>
      <c r="R2309" s="26">
        <f>IF($G2309="","",SUMIFS(费用台账!$I$4:$I$503,费用台账!$C$4:$C$503,$E2309,费用台账!$J$4:$J$503,"是",费用台账!$K$4:$K$503,"正常"))</f>
        <v/>
      </c>
      <c r="S2309" s="28">
        <f>IF($G2309="","",COUNTIFS($E$4:$E$2503,$E2309,$Z$4:$Z$2503,"正常",$Y$4:$Y$2503,"待补价"))</f>
        <v/>
      </c>
      <c r="T2309" s="26">
        <f>IF($G2309="","",SUMIFS($P$4:$P$2503,$E$4:$E$2503,$E2309,$Z$4:$Z$2503,"正常",$A$4:$A$2503,"&lt;="&amp;$A2309))</f>
        <v/>
      </c>
      <c r="U2309" s="26">
        <f>IF($G2309="","",IF(OR($S2309&gt;0,$Q2309=0,$R2309=0,$Z2309&lt;&gt;"正常"),0,ROUND($T2309/$Q2309*$R2309,0)-ROUND(($T2309-$P2309)/$Q2309*$R2309,0)))</f>
        <v/>
      </c>
      <c r="V2309" s="26">
        <f>IF($G2309="","",ROUND($P2309+$U2309,0))</f>
        <v/>
      </c>
      <c r="W2309" s="26">
        <f>IF($G2309="","",IF(N($K2309)=0,0,ROUND($V2309/$K2309,2)))</f>
        <v/>
      </c>
      <c r="X2309" s="17" t="n"/>
      <c r="Y2309" s="17" t="n"/>
      <c r="Z2309" s="17" t="n"/>
      <c r="AA2309" s="17" t="n"/>
      <c r="AB2309" s="17" t="n"/>
      <c r="AC2309" s="24">
        <f>IF($G2309="","",IF($H2309="※编码不在物料档案里","※物料编码不在档案里",IF(N($K2309)&lt;=0,"※入库数量要大于 0",IF(AND($C2309&lt;&gt;"",$C2309&lt;=结账锁),"※日期早于已结账截止日，不能再录",IF(AND($L2309=0,$X2309="正常"),"※没填单价，价格状态请选「待补价」",IF(AND($S2309&gt;0,$R2309&gt;0),"△本批有 "&amp;$S2309&amp;" 行没单价，整批运费先挂账没摊",IF(AND($B2309&lt;&gt;"",COUNTIF($B$4:$B$2503,$B2309)&gt;1),"※入库单号重复","")))))))</f>
        <v/>
      </c>
    </row>
    <row r="2310">
      <c r="A2310" s="24">
        <f>IF($G2310="","",COUNTA($G$4:$G2310))</f>
        <v/>
      </c>
      <c r="B2310" s="17" t="n"/>
      <c r="C2310" s="30" t="n"/>
      <c r="D2310" s="17" t="n"/>
      <c r="E2310" s="17" t="n"/>
      <c r="F2310" s="17" t="n"/>
      <c r="G2310" s="17" t="n"/>
      <c r="H2310" s="24">
        <f>IF($G2310="","",IFERROR(VLOOKUP($G2310,物料档案!$A$4:$P$1203,3,0),"※编码不在物料档案里"))</f>
        <v/>
      </c>
      <c r="I2310" s="24">
        <f>IF($G2310="","",IFERROR(VLOOKUP($G2310,物料档案!$A$4:$P$1203,4,0),"※编码不在物料档案里"))</f>
        <v/>
      </c>
      <c r="J2310" s="24">
        <f>IF($G2310="","",IFERROR(VLOOKUP($G2310,物料档案!$A$4:$P$1203,5,0),"※编码不在物料档案里"))</f>
        <v/>
      </c>
      <c r="K2310" s="23" t="n"/>
      <c r="L2310" s="31" t="n"/>
      <c r="M2310" s="24">
        <f>IF($G2310="","",IF($D2310="A国内","CNY","TZS"))</f>
        <v/>
      </c>
      <c r="N2310" s="28">
        <f>IF($G2310="","",IF($D2310="A国内",汇率,1))</f>
        <v/>
      </c>
      <c r="O2310" s="25">
        <f>IF($G2310="","",ROUND(N($K2310)*N($L2310),2))</f>
        <v/>
      </c>
      <c r="P2310" s="26">
        <f>IF($G2310="","",ROUND($O2310*$N2310,0))</f>
        <v/>
      </c>
      <c r="Q2310" s="26">
        <f>IF($G2310="","",SUMIFS($P$4:$P$2503,$E$4:$E$2503,$E2310,$Z$4:$Z$2503,"正常"))</f>
        <v/>
      </c>
      <c r="R2310" s="26">
        <f>IF($G2310="","",SUMIFS(费用台账!$I$4:$I$503,费用台账!$C$4:$C$503,$E2310,费用台账!$J$4:$J$503,"是",费用台账!$K$4:$K$503,"正常"))</f>
        <v/>
      </c>
      <c r="S2310" s="28">
        <f>IF($G2310="","",COUNTIFS($E$4:$E$2503,$E2310,$Z$4:$Z$2503,"正常",$Y$4:$Y$2503,"待补价"))</f>
        <v/>
      </c>
      <c r="T2310" s="26">
        <f>IF($G2310="","",SUMIFS($P$4:$P$2503,$E$4:$E$2503,$E2310,$Z$4:$Z$2503,"正常",$A$4:$A$2503,"&lt;="&amp;$A2310))</f>
        <v/>
      </c>
      <c r="U2310" s="26">
        <f>IF($G2310="","",IF(OR($S2310&gt;0,$Q2310=0,$R2310=0,$Z2310&lt;&gt;"正常"),0,ROUND($T2310/$Q2310*$R2310,0)-ROUND(($T2310-$P2310)/$Q2310*$R2310,0)))</f>
        <v/>
      </c>
      <c r="V2310" s="26">
        <f>IF($G2310="","",ROUND($P2310+$U2310,0))</f>
        <v/>
      </c>
      <c r="W2310" s="26">
        <f>IF($G2310="","",IF(N($K2310)=0,0,ROUND($V2310/$K2310,2)))</f>
        <v/>
      </c>
      <c r="X2310" s="17" t="n"/>
      <c r="Y2310" s="17" t="n"/>
      <c r="Z2310" s="17" t="n"/>
      <c r="AA2310" s="17" t="n"/>
      <c r="AB2310" s="17" t="n"/>
      <c r="AC2310" s="24">
        <f>IF($G2310="","",IF($H2310="※编码不在物料档案里","※物料编码不在档案里",IF(N($K2310)&lt;=0,"※入库数量要大于 0",IF(AND($C2310&lt;&gt;"",$C2310&lt;=结账锁),"※日期早于已结账截止日，不能再录",IF(AND($L2310=0,$X2310="正常"),"※没填单价，价格状态请选「待补价」",IF(AND($S2310&gt;0,$R2310&gt;0),"△本批有 "&amp;$S2310&amp;" 行没单价，整批运费先挂账没摊",IF(AND($B2310&lt;&gt;"",COUNTIF($B$4:$B$2503,$B2310)&gt;1),"※入库单号重复","")))))))</f>
        <v/>
      </c>
    </row>
    <row r="2311">
      <c r="A2311" s="24">
        <f>IF($G2311="","",COUNTA($G$4:$G2311))</f>
        <v/>
      </c>
      <c r="B2311" s="17" t="n"/>
      <c r="C2311" s="30" t="n"/>
      <c r="D2311" s="17" t="n"/>
      <c r="E2311" s="17" t="n"/>
      <c r="F2311" s="17" t="n"/>
      <c r="G2311" s="17" t="n"/>
      <c r="H2311" s="24">
        <f>IF($G2311="","",IFERROR(VLOOKUP($G2311,物料档案!$A$4:$P$1203,3,0),"※编码不在物料档案里"))</f>
        <v/>
      </c>
      <c r="I2311" s="24">
        <f>IF($G2311="","",IFERROR(VLOOKUP($G2311,物料档案!$A$4:$P$1203,4,0),"※编码不在物料档案里"))</f>
        <v/>
      </c>
      <c r="J2311" s="24">
        <f>IF($G2311="","",IFERROR(VLOOKUP($G2311,物料档案!$A$4:$P$1203,5,0),"※编码不在物料档案里"))</f>
        <v/>
      </c>
      <c r="K2311" s="23" t="n"/>
      <c r="L2311" s="31" t="n"/>
      <c r="M2311" s="24">
        <f>IF($G2311="","",IF($D2311="A国内","CNY","TZS"))</f>
        <v/>
      </c>
      <c r="N2311" s="28">
        <f>IF($G2311="","",IF($D2311="A国内",汇率,1))</f>
        <v/>
      </c>
      <c r="O2311" s="25">
        <f>IF($G2311="","",ROUND(N($K2311)*N($L2311),2))</f>
        <v/>
      </c>
      <c r="P2311" s="26">
        <f>IF($G2311="","",ROUND($O2311*$N2311,0))</f>
        <v/>
      </c>
      <c r="Q2311" s="26">
        <f>IF($G2311="","",SUMIFS($P$4:$P$2503,$E$4:$E$2503,$E2311,$Z$4:$Z$2503,"正常"))</f>
        <v/>
      </c>
      <c r="R2311" s="26">
        <f>IF($G2311="","",SUMIFS(费用台账!$I$4:$I$503,费用台账!$C$4:$C$503,$E2311,费用台账!$J$4:$J$503,"是",费用台账!$K$4:$K$503,"正常"))</f>
        <v/>
      </c>
      <c r="S2311" s="28">
        <f>IF($G2311="","",COUNTIFS($E$4:$E$2503,$E2311,$Z$4:$Z$2503,"正常",$Y$4:$Y$2503,"待补价"))</f>
        <v/>
      </c>
      <c r="T2311" s="26">
        <f>IF($G2311="","",SUMIFS($P$4:$P$2503,$E$4:$E$2503,$E2311,$Z$4:$Z$2503,"正常",$A$4:$A$2503,"&lt;="&amp;$A2311))</f>
        <v/>
      </c>
      <c r="U2311" s="26">
        <f>IF($G2311="","",IF(OR($S2311&gt;0,$Q2311=0,$R2311=0,$Z2311&lt;&gt;"正常"),0,ROUND($T2311/$Q2311*$R2311,0)-ROUND(($T2311-$P2311)/$Q2311*$R2311,0)))</f>
        <v/>
      </c>
      <c r="V2311" s="26">
        <f>IF($G2311="","",ROUND($P2311+$U2311,0))</f>
        <v/>
      </c>
      <c r="W2311" s="26">
        <f>IF($G2311="","",IF(N($K2311)=0,0,ROUND($V2311/$K2311,2)))</f>
        <v/>
      </c>
      <c r="X2311" s="17" t="n"/>
      <c r="Y2311" s="17" t="n"/>
      <c r="Z2311" s="17" t="n"/>
      <c r="AA2311" s="17" t="n"/>
      <c r="AB2311" s="17" t="n"/>
      <c r="AC2311" s="24">
        <f>IF($G2311="","",IF($H2311="※编码不在物料档案里","※物料编码不在档案里",IF(N($K2311)&lt;=0,"※入库数量要大于 0",IF(AND($C2311&lt;&gt;"",$C2311&lt;=结账锁),"※日期早于已结账截止日，不能再录",IF(AND($L2311=0,$X2311="正常"),"※没填单价，价格状态请选「待补价」",IF(AND($S2311&gt;0,$R2311&gt;0),"△本批有 "&amp;$S2311&amp;" 行没单价，整批运费先挂账没摊",IF(AND($B2311&lt;&gt;"",COUNTIF($B$4:$B$2503,$B2311)&gt;1),"※入库单号重复","")))))))</f>
        <v/>
      </c>
    </row>
    <row r="2312">
      <c r="A2312" s="24">
        <f>IF($G2312="","",COUNTA($G$4:$G2312))</f>
        <v/>
      </c>
      <c r="B2312" s="17" t="n"/>
      <c r="C2312" s="30" t="n"/>
      <c r="D2312" s="17" t="n"/>
      <c r="E2312" s="17" t="n"/>
      <c r="F2312" s="17" t="n"/>
      <c r="G2312" s="17" t="n"/>
      <c r="H2312" s="24">
        <f>IF($G2312="","",IFERROR(VLOOKUP($G2312,物料档案!$A$4:$P$1203,3,0),"※编码不在物料档案里"))</f>
        <v/>
      </c>
      <c r="I2312" s="24">
        <f>IF($G2312="","",IFERROR(VLOOKUP($G2312,物料档案!$A$4:$P$1203,4,0),"※编码不在物料档案里"))</f>
        <v/>
      </c>
      <c r="J2312" s="24">
        <f>IF($G2312="","",IFERROR(VLOOKUP($G2312,物料档案!$A$4:$P$1203,5,0),"※编码不在物料档案里"))</f>
        <v/>
      </c>
      <c r="K2312" s="23" t="n"/>
      <c r="L2312" s="31" t="n"/>
      <c r="M2312" s="24">
        <f>IF($G2312="","",IF($D2312="A国内","CNY","TZS"))</f>
        <v/>
      </c>
      <c r="N2312" s="28">
        <f>IF($G2312="","",IF($D2312="A国内",汇率,1))</f>
        <v/>
      </c>
      <c r="O2312" s="25">
        <f>IF($G2312="","",ROUND(N($K2312)*N($L2312),2))</f>
        <v/>
      </c>
      <c r="P2312" s="26">
        <f>IF($G2312="","",ROUND($O2312*$N2312,0))</f>
        <v/>
      </c>
      <c r="Q2312" s="26">
        <f>IF($G2312="","",SUMIFS($P$4:$P$2503,$E$4:$E$2503,$E2312,$Z$4:$Z$2503,"正常"))</f>
        <v/>
      </c>
      <c r="R2312" s="26">
        <f>IF($G2312="","",SUMIFS(费用台账!$I$4:$I$503,费用台账!$C$4:$C$503,$E2312,费用台账!$J$4:$J$503,"是",费用台账!$K$4:$K$503,"正常"))</f>
        <v/>
      </c>
      <c r="S2312" s="28">
        <f>IF($G2312="","",COUNTIFS($E$4:$E$2503,$E2312,$Z$4:$Z$2503,"正常",$Y$4:$Y$2503,"待补价"))</f>
        <v/>
      </c>
      <c r="T2312" s="26">
        <f>IF($G2312="","",SUMIFS($P$4:$P$2503,$E$4:$E$2503,$E2312,$Z$4:$Z$2503,"正常",$A$4:$A$2503,"&lt;="&amp;$A2312))</f>
        <v/>
      </c>
      <c r="U2312" s="26">
        <f>IF($G2312="","",IF(OR($S2312&gt;0,$Q2312=0,$R2312=0,$Z2312&lt;&gt;"正常"),0,ROUND($T2312/$Q2312*$R2312,0)-ROUND(($T2312-$P2312)/$Q2312*$R2312,0)))</f>
        <v/>
      </c>
      <c r="V2312" s="26">
        <f>IF($G2312="","",ROUND($P2312+$U2312,0))</f>
        <v/>
      </c>
      <c r="W2312" s="26">
        <f>IF($G2312="","",IF(N($K2312)=0,0,ROUND($V2312/$K2312,2)))</f>
        <v/>
      </c>
      <c r="X2312" s="17" t="n"/>
      <c r="Y2312" s="17" t="n"/>
      <c r="Z2312" s="17" t="n"/>
      <c r="AA2312" s="17" t="n"/>
      <c r="AB2312" s="17" t="n"/>
      <c r="AC2312" s="24">
        <f>IF($G2312="","",IF($H2312="※编码不在物料档案里","※物料编码不在档案里",IF(N($K2312)&lt;=0,"※入库数量要大于 0",IF(AND($C2312&lt;&gt;"",$C2312&lt;=结账锁),"※日期早于已结账截止日，不能再录",IF(AND($L2312=0,$X2312="正常"),"※没填单价，价格状态请选「待补价」",IF(AND($S2312&gt;0,$R2312&gt;0),"△本批有 "&amp;$S2312&amp;" 行没单价，整批运费先挂账没摊",IF(AND($B2312&lt;&gt;"",COUNTIF($B$4:$B$2503,$B2312)&gt;1),"※入库单号重复","")))))))</f>
        <v/>
      </c>
    </row>
    <row r="2313">
      <c r="A2313" s="24">
        <f>IF($G2313="","",COUNTA($G$4:$G2313))</f>
        <v/>
      </c>
      <c r="B2313" s="17" t="n"/>
      <c r="C2313" s="30" t="n"/>
      <c r="D2313" s="17" t="n"/>
      <c r="E2313" s="17" t="n"/>
      <c r="F2313" s="17" t="n"/>
      <c r="G2313" s="17" t="n"/>
      <c r="H2313" s="24">
        <f>IF($G2313="","",IFERROR(VLOOKUP($G2313,物料档案!$A$4:$P$1203,3,0),"※编码不在物料档案里"))</f>
        <v/>
      </c>
      <c r="I2313" s="24">
        <f>IF($G2313="","",IFERROR(VLOOKUP($G2313,物料档案!$A$4:$P$1203,4,0),"※编码不在物料档案里"))</f>
        <v/>
      </c>
      <c r="J2313" s="24">
        <f>IF($G2313="","",IFERROR(VLOOKUP($G2313,物料档案!$A$4:$P$1203,5,0),"※编码不在物料档案里"))</f>
        <v/>
      </c>
      <c r="K2313" s="23" t="n"/>
      <c r="L2313" s="31" t="n"/>
      <c r="M2313" s="24">
        <f>IF($G2313="","",IF($D2313="A国内","CNY","TZS"))</f>
        <v/>
      </c>
      <c r="N2313" s="28">
        <f>IF($G2313="","",IF($D2313="A国内",汇率,1))</f>
        <v/>
      </c>
      <c r="O2313" s="25">
        <f>IF($G2313="","",ROUND(N($K2313)*N($L2313),2))</f>
        <v/>
      </c>
      <c r="P2313" s="26">
        <f>IF($G2313="","",ROUND($O2313*$N2313,0))</f>
        <v/>
      </c>
      <c r="Q2313" s="26">
        <f>IF($G2313="","",SUMIFS($P$4:$P$2503,$E$4:$E$2503,$E2313,$Z$4:$Z$2503,"正常"))</f>
        <v/>
      </c>
      <c r="R2313" s="26">
        <f>IF($G2313="","",SUMIFS(费用台账!$I$4:$I$503,费用台账!$C$4:$C$503,$E2313,费用台账!$J$4:$J$503,"是",费用台账!$K$4:$K$503,"正常"))</f>
        <v/>
      </c>
      <c r="S2313" s="28">
        <f>IF($G2313="","",COUNTIFS($E$4:$E$2503,$E2313,$Z$4:$Z$2503,"正常",$Y$4:$Y$2503,"待补价"))</f>
        <v/>
      </c>
      <c r="T2313" s="26">
        <f>IF($G2313="","",SUMIFS($P$4:$P$2503,$E$4:$E$2503,$E2313,$Z$4:$Z$2503,"正常",$A$4:$A$2503,"&lt;="&amp;$A2313))</f>
        <v/>
      </c>
      <c r="U2313" s="26">
        <f>IF($G2313="","",IF(OR($S2313&gt;0,$Q2313=0,$R2313=0,$Z2313&lt;&gt;"正常"),0,ROUND($T2313/$Q2313*$R2313,0)-ROUND(($T2313-$P2313)/$Q2313*$R2313,0)))</f>
        <v/>
      </c>
      <c r="V2313" s="26">
        <f>IF($G2313="","",ROUND($P2313+$U2313,0))</f>
        <v/>
      </c>
      <c r="W2313" s="26">
        <f>IF($G2313="","",IF(N($K2313)=0,0,ROUND($V2313/$K2313,2)))</f>
        <v/>
      </c>
      <c r="X2313" s="17" t="n"/>
      <c r="Y2313" s="17" t="n"/>
      <c r="Z2313" s="17" t="n"/>
      <c r="AA2313" s="17" t="n"/>
      <c r="AB2313" s="17" t="n"/>
      <c r="AC2313" s="24">
        <f>IF($G2313="","",IF($H2313="※编码不在物料档案里","※物料编码不在档案里",IF(N($K2313)&lt;=0,"※入库数量要大于 0",IF(AND($C2313&lt;&gt;"",$C2313&lt;=结账锁),"※日期早于已结账截止日，不能再录",IF(AND($L2313=0,$X2313="正常"),"※没填单价，价格状态请选「待补价」",IF(AND($S2313&gt;0,$R2313&gt;0),"△本批有 "&amp;$S2313&amp;" 行没单价，整批运费先挂账没摊",IF(AND($B2313&lt;&gt;"",COUNTIF($B$4:$B$2503,$B2313)&gt;1),"※入库单号重复","")))))))</f>
        <v/>
      </c>
    </row>
    <row r="2314">
      <c r="A2314" s="24">
        <f>IF($G2314="","",COUNTA($G$4:$G2314))</f>
        <v/>
      </c>
      <c r="B2314" s="17" t="n"/>
      <c r="C2314" s="30" t="n"/>
      <c r="D2314" s="17" t="n"/>
      <c r="E2314" s="17" t="n"/>
      <c r="F2314" s="17" t="n"/>
      <c r="G2314" s="17" t="n"/>
      <c r="H2314" s="24">
        <f>IF($G2314="","",IFERROR(VLOOKUP($G2314,物料档案!$A$4:$P$1203,3,0),"※编码不在物料档案里"))</f>
        <v/>
      </c>
      <c r="I2314" s="24">
        <f>IF($G2314="","",IFERROR(VLOOKUP($G2314,物料档案!$A$4:$P$1203,4,0),"※编码不在物料档案里"))</f>
        <v/>
      </c>
      <c r="J2314" s="24">
        <f>IF($G2314="","",IFERROR(VLOOKUP($G2314,物料档案!$A$4:$P$1203,5,0),"※编码不在物料档案里"))</f>
        <v/>
      </c>
      <c r="K2314" s="23" t="n"/>
      <c r="L2314" s="31" t="n"/>
      <c r="M2314" s="24">
        <f>IF($G2314="","",IF($D2314="A国内","CNY","TZS"))</f>
        <v/>
      </c>
      <c r="N2314" s="28">
        <f>IF($G2314="","",IF($D2314="A国内",汇率,1))</f>
        <v/>
      </c>
      <c r="O2314" s="25">
        <f>IF($G2314="","",ROUND(N($K2314)*N($L2314),2))</f>
        <v/>
      </c>
      <c r="P2314" s="26">
        <f>IF($G2314="","",ROUND($O2314*$N2314,0))</f>
        <v/>
      </c>
      <c r="Q2314" s="26">
        <f>IF($G2314="","",SUMIFS($P$4:$P$2503,$E$4:$E$2503,$E2314,$Z$4:$Z$2503,"正常"))</f>
        <v/>
      </c>
      <c r="R2314" s="26">
        <f>IF($G2314="","",SUMIFS(费用台账!$I$4:$I$503,费用台账!$C$4:$C$503,$E2314,费用台账!$J$4:$J$503,"是",费用台账!$K$4:$K$503,"正常"))</f>
        <v/>
      </c>
      <c r="S2314" s="28">
        <f>IF($G2314="","",COUNTIFS($E$4:$E$2503,$E2314,$Z$4:$Z$2503,"正常",$Y$4:$Y$2503,"待补价"))</f>
        <v/>
      </c>
      <c r="T2314" s="26">
        <f>IF($G2314="","",SUMIFS($P$4:$P$2503,$E$4:$E$2503,$E2314,$Z$4:$Z$2503,"正常",$A$4:$A$2503,"&lt;="&amp;$A2314))</f>
        <v/>
      </c>
      <c r="U2314" s="26">
        <f>IF($G2314="","",IF(OR($S2314&gt;0,$Q2314=0,$R2314=0,$Z2314&lt;&gt;"正常"),0,ROUND($T2314/$Q2314*$R2314,0)-ROUND(($T2314-$P2314)/$Q2314*$R2314,0)))</f>
        <v/>
      </c>
      <c r="V2314" s="26">
        <f>IF($G2314="","",ROUND($P2314+$U2314,0))</f>
        <v/>
      </c>
      <c r="W2314" s="26">
        <f>IF($G2314="","",IF(N($K2314)=0,0,ROUND($V2314/$K2314,2)))</f>
        <v/>
      </c>
      <c r="X2314" s="17" t="n"/>
      <c r="Y2314" s="17" t="n"/>
      <c r="Z2314" s="17" t="n"/>
      <c r="AA2314" s="17" t="n"/>
      <c r="AB2314" s="17" t="n"/>
      <c r="AC2314" s="24">
        <f>IF($G2314="","",IF($H2314="※编码不在物料档案里","※物料编码不在档案里",IF(N($K2314)&lt;=0,"※入库数量要大于 0",IF(AND($C2314&lt;&gt;"",$C2314&lt;=结账锁),"※日期早于已结账截止日，不能再录",IF(AND($L2314=0,$X2314="正常"),"※没填单价，价格状态请选「待补价」",IF(AND($S2314&gt;0,$R2314&gt;0),"△本批有 "&amp;$S2314&amp;" 行没单价，整批运费先挂账没摊",IF(AND($B2314&lt;&gt;"",COUNTIF($B$4:$B$2503,$B2314)&gt;1),"※入库单号重复","")))))))</f>
        <v/>
      </c>
    </row>
    <row r="2315">
      <c r="A2315" s="24">
        <f>IF($G2315="","",COUNTA($G$4:$G2315))</f>
        <v/>
      </c>
      <c r="B2315" s="17" t="n"/>
      <c r="C2315" s="30" t="n"/>
      <c r="D2315" s="17" t="n"/>
      <c r="E2315" s="17" t="n"/>
      <c r="F2315" s="17" t="n"/>
      <c r="G2315" s="17" t="n"/>
      <c r="H2315" s="24">
        <f>IF($G2315="","",IFERROR(VLOOKUP($G2315,物料档案!$A$4:$P$1203,3,0),"※编码不在物料档案里"))</f>
        <v/>
      </c>
      <c r="I2315" s="24">
        <f>IF($G2315="","",IFERROR(VLOOKUP($G2315,物料档案!$A$4:$P$1203,4,0),"※编码不在物料档案里"))</f>
        <v/>
      </c>
      <c r="J2315" s="24">
        <f>IF($G2315="","",IFERROR(VLOOKUP($G2315,物料档案!$A$4:$P$1203,5,0),"※编码不在物料档案里"))</f>
        <v/>
      </c>
      <c r="K2315" s="23" t="n"/>
      <c r="L2315" s="31" t="n"/>
      <c r="M2315" s="24">
        <f>IF($G2315="","",IF($D2315="A国内","CNY","TZS"))</f>
        <v/>
      </c>
      <c r="N2315" s="28">
        <f>IF($G2315="","",IF($D2315="A国内",汇率,1))</f>
        <v/>
      </c>
      <c r="O2315" s="25">
        <f>IF($G2315="","",ROUND(N($K2315)*N($L2315),2))</f>
        <v/>
      </c>
      <c r="P2315" s="26">
        <f>IF($G2315="","",ROUND($O2315*$N2315,0))</f>
        <v/>
      </c>
      <c r="Q2315" s="26">
        <f>IF($G2315="","",SUMIFS($P$4:$P$2503,$E$4:$E$2503,$E2315,$Z$4:$Z$2503,"正常"))</f>
        <v/>
      </c>
      <c r="R2315" s="26">
        <f>IF($G2315="","",SUMIFS(费用台账!$I$4:$I$503,费用台账!$C$4:$C$503,$E2315,费用台账!$J$4:$J$503,"是",费用台账!$K$4:$K$503,"正常"))</f>
        <v/>
      </c>
      <c r="S2315" s="28">
        <f>IF($G2315="","",COUNTIFS($E$4:$E$2503,$E2315,$Z$4:$Z$2503,"正常",$Y$4:$Y$2503,"待补价"))</f>
        <v/>
      </c>
      <c r="T2315" s="26">
        <f>IF($G2315="","",SUMIFS($P$4:$P$2503,$E$4:$E$2503,$E2315,$Z$4:$Z$2503,"正常",$A$4:$A$2503,"&lt;="&amp;$A2315))</f>
        <v/>
      </c>
      <c r="U2315" s="26">
        <f>IF($G2315="","",IF(OR($S2315&gt;0,$Q2315=0,$R2315=0,$Z2315&lt;&gt;"正常"),0,ROUND($T2315/$Q2315*$R2315,0)-ROUND(($T2315-$P2315)/$Q2315*$R2315,0)))</f>
        <v/>
      </c>
      <c r="V2315" s="26">
        <f>IF($G2315="","",ROUND($P2315+$U2315,0))</f>
        <v/>
      </c>
      <c r="W2315" s="26">
        <f>IF($G2315="","",IF(N($K2315)=0,0,ROUND($V2315/$K2315,2)))</f>
        <v/>
      </c>
      <c r="X2315" s="17" t="n"/>
      <c r="Y2315" s="17" t="n"/>
      <c r="Z2315" s="17" t="n"/>
      <c r="AA2315" s="17" t="n"/>
      <c r="AB2315" s="17" t="n"/>
      <c r="AC2315" s="24">
        <f>IF($G2315="","",IF($H2315="※编码不在物料档案里","※物料编码不在档案里",IF(N($K2315)&lt;=0,"※入库数量要大于 0",IF(AND($C2315&lt;&gt;"",$C2315&lt;=结账锁),"※日期早于已结账截止日，不能再录",IF(AND($L2315=0,$X2315="正常"),"※没填单价，价格状态请选「待补价」",IF(AND($S2315&gt;0,$R2315&gt;0),"△本批有 "&amp;$S2315&amp;" 行没单价，整批运费先挂账没摊",IF(AND($B2315&lt;&gt;"",COUNTIF($B$4:$B$2503,$B2315)&gt;1),"※入库单号重复","")))))))</f>
        <v/>
      </c>
    </row>
    <row r="2316">
      <c r="A2316" s="24">
        <f>IF($G2316="","",COUNTA($G$4:$G2316))</f>
        <v/>
      </c>
      <c r="B2316" s="17" t="n"/>
      <c r="C2316" s="30" t="n"/>
      <c r="D2316" s="17" t="n"/>
      <c r="E2316" s="17" t="n"/>
      <c r="F2316" s="17" t="n"/>
      <c r="G2316" s="17" t="n"/>
      <c r="H2316" s="24">
        <f>IF($G2316="","",IFERROR(VLOOKUP($G2316,物料档案!$A$4:$P$1203,3,0),"※编码不在物料档案里"))</f>
        <v/>
      </c>
      <c r="I2316" s="24">
        <f>IF($G2316="","",IFERROR(VLOOKUP($G2316,物料档案!$A$4:$P$1203,4,0),"※编码不在物料档案里"))</f>
        <v/>
      </c>
      <c r="J2316" s="24">
        <f>IF($G2316="","",IFERROR(VLOOKUP($G2316,物料档案!$A$4:$P$1203,5,0),"※编码不在物料档案里"))</f>
        <v/>
      </c>
      <c r="K2316" s="23" t="n"/>
      <c r="L2316" s="31" t="n"/>
      <c r="M2316" s="24">
        <f>IF($G2316="","",IF($D2316="A国内","CNY","TZS"))</f>
        <v/>
      </c>
      <c r="N2316" s="28">
        <f>IF($G2316="","",IF($D2316="A国内",汇率,1))</f>
        <v/>
      </c>
      <c r="O2316" s="25">
        <f>IF($G2316="","",ROUND(N($K2316)*N($L2316),2))</f>
        <v/>
      </c>
      <c r="P2316" s="26">
        <f>IF($G2316="","",ROUND($O2316*$N2316,0))</f>
        <v/>
      </c>
      <c r="Q2316" s="26">
        <f>IF($G2316="","",SUMIFS($P$4:$P$2503,$E$4:$E$2503,$E2316,$Z$4:$Z$2503,"正常"))</f>
        <v/>
      </c>
      <c r="R2316" s="26">
        <f>IF($G2316="","",SUMIFS(费用台账!$I$4:$I$503,费用台账!$C$4:$C$503,$E2316,费用台账!$J$4:$J$503,"是",费用台账!$K$4:$K$503,"正常"))</f>
        <v/>
      </c>
      <c r="S2316" s="28">
        <f>IF($G2316="","",COUNTIFS($E$4:$E$2503,$E2316,$Z$4:$Z$2503,"正常",$Y$4:$Y$2503,"待补价"))</f>
        <v/>
      </c>
      <c r="T2316" s="26">
        <f>IF($G2316="","",SUMIFS($P$4:$P$2503,$E$4:$E$2503,$E2316,$Z$4:$Z$2503,"正常",$A$4:$A$2503,"&lt;="&amp;$A2316))</f>
        <v/>
      </c>
      <c r="U2316" s="26">
        <f>IF($G2316="","",IF(OR($S2316&gt;0,$Q2316=0,$R2316=0,$Z2316&lt;&gt;"正常"),0,ROUND($T2316/$Q2316*$R2316,0)-ROUND(($T2316-$P2316)/$Q2316*$R2316,0)))</f>
        <v/>
      </c>
      <c r="V2316" s="26">
        <f>IF($G2316="","",ROUND($P2316+$U2316,0))</f>
        <v/>
      </c>
      <c r="W2316" s="26">
        <f>IF($G2316="","",IF(N($K2316)=0,0,ROUND($V2316/$K2316,2)))</f>
        <v/>
      </c>
      <c r="X2316" s="17" t="n"/>
      <c r="Y2316" s="17" t="n"/>
      <c r="Z2316" s="17" t="n"/>
      <c r="AA2316" s="17" t="n"/>
      <c r="AB2316" s="17" t="n"/>
      <c r="AC2316" s="24">
        <f>IF($G2316="","",IF($H2316="※编码不在物料档案里","※物料编码不在档案里",IF(N($K2316)&lt;=0,"※入库数量要大于 0",IF(AND($C2316&lt;&gt;"",$C2316&lt;=结账锁),"※日期早于已结账截止日，不能再录",IF(AND($L2316=0,$X2316="正常"),"※没填单价，价格状态请选「待补价」",IF(AND($S2316&gt;0,$R2316&gt;0),"△本批有 "&amp;$S2316&amp;" 行没单价，整批运费先挂账没摊",IF(AND($B2316&lt;&gt;"",COUNTIF($B$4:$B$2503,$B2316)&gt;1),"※入库单号重复","")))))))</f>
        <v/>
      </c>
    </row>
    <row r="2317">
      <c r="A2317" s="24">
        <f>IF($G2317="","",COUNTA($G$4:$G2317))</f>
        <v/>
      </c>
      <c r="B2317" s="17" t="n"/>
      <c r="C2317" s="30" t="n"/>
      <c r="D2317" s="17" t="n"/>
      <c r="E2317" s="17" t="n"/>
      <c r="F2317" s="17" t="n"/>
      <c r="G2317" s="17" t="n"/>
      <c r="H2317" s="24">
        <f>IF($G2317="","",IFERROR(VLOOKUP($G2317,物料档案!$A$4:$P$1203,3,0),"※编码不在物料档案里"))</f>
        <v/>
      </c>
      <c r="I2317" s="24">
        <f>IF($G2317="","",IFERROR(VLOOKUP($G2317,物料档案!$A$4:$P$1203,4,0),"※编码不在物料档案里"))</f>
        <v/>
      </c>
      <c r="J2317" s="24">
        <f>IF($G2317="","",IFERROR(VLOOKUP($G2317,物料档案!$A$4:$P$1203,5,0),"※编码不在物料档案里"))</f>
        <v/>
      </c>
      <c r="K2317" s="23" t="n"/>
      <c r="L2317" s="31" t="n"/>
      <c r="M2317" s="24">
        <f>IF($G2317="","",IF($D2317="A国内","CNY","TZS"))</f>
        <v/>
      </c>
      <c r="N2317" s="28">
        <f>IF($G2317="","",IF($D2317="A国内",汇率,1))</f>
        <v/>
      </c>
      <c r="O2317" s="25">
        <f>IF($G2317="","",ROUND(N($K2317)*N($L2317),2))</f>
        <v/>
      </c>
      <c r="P2317" s="26">
        <f>IF($G2317="","",ROUND($O2317*$N2317,0))</f>
        <v/>
      </c>
      <c r="Q2317" s="26">
        <f>IF($G2317="","",SUMIFS($P$4:$P$2503,$E$4:$E$2503,$E2317,$Z$4:$Z$2503,"正常"))</f>
        <v/>
      </c>
      <c r="R2317" s="26">
        <f>IF($G2317="","",SUMIFS(费用台账!$I$4:$I$503,费用台账!$C$4:$C$503,$E2317,费用台账!$J$4:$J$503,"是",费用台账!$K$4:$K$503,"正常"))</f>
        <v/>
      </c>
      <c r="S2317" s="28">
        <f>IF($G2317="","",COUNTIFS($E$4:$E$2503,$E2317,$Z$4:$Z$2503,"正常",$Y$4:$Y$2503,"待补价"))</f>
        <v/>
      </c>
      <c r="T2317" s="26">
        <f>IF($G2317="","",SUMIFS($P$4:$P$2503,$E$4:$E$2503,$E2317,$Z$4:$Z$2503,"正常",$A$4:$A$2503,"&lt;="&amp;$A2317))</f>
        <v/>
      </c>
      <c r="U2317" s="26">
        <f>IF($G2317="","",IF(OR($S2317&gt;0,$Q2317=0,$R2317=0,$Z2317&lt;&gt;"正常"),0,ROUND($T2317/$Q2317*$R2317,0)-ROUND(($T2317-$P2317)/$Q2317*$R2317,0)))</f>
        <v/>
      </c>
      <c r="V2317" s="26">
        <f>IF($G2317="","",ROUND($P2317+$U2317,0))</f>
        <v/>
      </c>
      <c r="W2317" s="26">
        <f>IF($G2317="","",IF(N($K2317)=0,0,ROUND($V2317/$K2317,2)))</f>
        <v/>
      </c>
      <c r="X2317" s="17" t="n"/>
      <c r="Y2317" s="17" t="n"/>
      <c r="Z2317" s="17" t="n"/>
      <c r="AA2317" s="17" t="n"/>
      <c r="AB2317" s="17" t="n"/>
      <c r="AC2317" s="24">
        <f>IF($G2317="","",IF($H2317="※编码不在物料档案里","※物料编码不在档案里",IF(N($K2317)&lt;=0,"※入库数量要大于 0",IF(AND($C2317&lt;&gt;"",$C2317&lt;=结账锁),"※日期早于已结账截止日，不能再录",IF(AND($L2317=0,$X2317="正常"),"※没填单价，价格状态请选「待补价」",IF(AND($S2317&gt;0,$R2317&gt;0),"△本批有 "&amp;$S2317&amp;" 行没单价，整批运费先挂账没摊",IF(AND($B2317&lt;&gt;"",COUNTIF($B$4:$B$2503,$B2317)&gt;1),"※入库单号重复","")))))))</f>
        <v/>
      </c>
    </row>
    <row r="2318">
      <c r="A2318" s="24">
        <f>IF($G2318="","",COUNTA($G$4:$G2318))</f>
        <v/>
      </c>
      <c r="B2318" s="17" t="n"/>
      <c r="C2318" s="30" t="n"/>
      <c r="D2318" s="17" t="n"/>
      <c r="E2318" s="17" t="n"/>
      <c r="F2318" s="17" t="n"/>
      <c r="G2318" s="17" t="n"/>
      <c r="H2318" s="24">
        <f>IF($G2318="","",IFERROR(VLOOKUP($G2318,物料档案!$A$4:$P$1203,3,0),"※编码不在物料档案里"))</f>
        <v/>
      </c>
      <c r="I2318" s="24">
        <f>IF($G2318="","",IFERROR(VLOOKUP($G2318,物料档案!$A$4:$P$1203,4,0),"※编码不在物料档案里"))</f>
        <v/>
      </c>
      <c r="J2318" s="24">
        <f>IF($G2318="","",IFERROR(VLOOKUP($G2318,物料档案!$A$4:$P$1203,5,0),"※编码不在物料档案里"))</f>
        <v/>
      </c>
      <c r="K2318" s="23" t="n"/>
      <c r="L2318" s="31" t="n"/>
      <c r="M2318" s="24">
        <f>IF($G2318="","",IF($D2318="A国内","CNY","TZS"))</f>
        <v/>
      </c>
      <c r="N2318" s="28">
        <f>IF($G2318="","",IF($D2318="A国内",汇率,1))</f>
        <v/>
      </c>
      <c r="O2318" s="25">
        <f>IF($G2318="","",ROUND(N($K2318)*N($L2318),2))</f>
        <v/>
      </c>
      <c r="P2318" s="26">
        <f>IF($G2318="","",ROUND($O2318*$N2318,0))</f>
        <v/>
      </c>
      <c r="Q2318" s="26">
        <f>IF($G2318="","",SUMIFS($P$4:$P$2503,$E$4:$E$2503,$E2318,$Z$4:$Z$2503,"正常"))</f>
        <v/>
      </c>
      <c r="R2318" s="26">
        <f>IF($G2318="","",SUMIFS(费用台账!$I$4:$I$503,费用台账!$C$4:$C$503,$E2318,费用台账!$J$4:$J$503,"是",费用台账!$K$4:$K$503,"正常"))</f>
        <v/>
      </c>
      <c r="S2318" s="28">
        <f>IF($G2318="","",COUNTIFS($E$4:$E$2503,$E2318,$Z$4:$Z$2503,"正常",$Y$4:$Y$2503,"待补价"))</f>
        <v/>
      </c>
      <c r="T2318" s="26">
        <f>IF($G2318="","",SUMIFS($P$4:$P$2503,$E$4:$E$2503,$E2318,$Z$4:$Z$2503,"正常",$A$4:$A$2503,"&lt;="&amp;$A2318))</f>
        <v/>
      </c>
      <c r="U2318" s="26">
        <f>IF($G2318="","",IF(OR($S2318&gt;0,$Q2318=0,$R2318=0,$Z2318&lt;&gt;"正常"),0,ROUND($T2318/$Q2318*$R2318,0)-ROUND(($T2318-$P2318)/$Q2318*$R2318,0)))</f>
        <v/>
      </c>
      <c r="V2318" s="26">
        <f>IF($G2318="","",ROUND($P2318+$U2318,0))</f>
        <v/>
      </c>
      <c r="W2318" s="26">
        <f>IF($G2318="","",IF(N($K2318)=0,0,ROUND($V2318/$K2318,2)))</f>
        <v/>
      </c>
      <c r="X2318" s="17" t="n"/>
      <c r="Y2318" s="17" t="n"/>
      <c r="Z2318" s="17" t="n"/>
      <c r="AA2318" s="17" t="n"/>
      <c r="AB2318" s="17" t="n"/>
      <c r="AC2318" s="24">
        <f>IF($G2318="","",IF($H2318="※编码不在物料档案里","※物料编码不在档案里",IF(N($K2318)&lt;=0,"※入库数量要大于 0",IF(AND($C2318&lt;&gt;"",$C2318&lt;=结账锁),"※日期早于已结账截止日，不能再录",IF(AND($L2318=0,$X2318="正常"),"※没填单价，价格状态请选「待补价」",IF(AND($S2318&gt;0,$R2318&gt;0),"△本批有 "&amp;$S2318&amp;" 行没单价，整批运费先挂账没摊",IF(AND($B2318&lt;&gt;"",COUNTIF($B$4:$B$2503,$B2318)&gt;1),"※入库单号重复","")))))))</f>
        <v/>
      </c>
    </row>
    <row r="2319">
      <c r="A2319" s="24">
        <f>IF($G2319="","",COUNTA($G$4:$G2319))</f>
        <v/>
      </c>
      <c r="B2319" s="17" t="n"/>
      <c r="C2319" s="30" t="n"/>
      <c r="D2319" s="17" t="n"/>
      <c r="E2319" s="17" t="n"/>
      <c r="F2319" s="17" t="n"/>
      <c r="G2319" s="17" t="n"/>
      <c r="H2319" s="24">
        <f>IF($G2319="","",IFERROR(VLOOKUP($G2319,物料档案!$A$4:$P$1203,3,0),"※编码不在物料档案里"))</f>
        <v/>
      </c>
      <c r="I2319" s="24">
        <f>IF($G2319="","",IFERROR(VLOOKUP($G2319,物料档案!$A$4:$P$1203,4,0),"※编码不在物料档案里"))</f>
        <v/>
      </c>
      <c r="J2319" s="24">
        <f>IF($G2319="","",IFERROR(VLOOKUP($G2319,物料档案!$A$4:$P$1203,5,0),"※编码不在物料档案里"))</f>
        <v/>
      </c>
      <c r="K2319" s="23" t="n"/>
      <c r="L2319" s="31" t="n"/>
      <c r="M2319" s="24">
        <f>IF($G2319="","",IF($D2319="A国内","CNY","TZS"))</f>
        <v/>
      </c>
      <c r="N2319" s="28">
        <f>IF($G2319="","",IF($D2319="A国内",汇率,1))</f>
        <v/>
      </c>
      <c r="O2319" s="25">
        <f>IF($G2319="","",ROUND(N($K2319)*N($L2319),2))</f>
        <v/>
      </c>
      <c r="P2319" s="26">
        <f>IF($G2319="","",ROUND($O2319*$N2319,0))</f>
        <v/>
      </c>
      <c r="Q2319" s="26">
        <f>IF($G2319="","",SUMIFS($P$4:$P$2503,$E$4:$E$2503,$E2319,$Z$4:$Z$2503,"正常"))</f>
        <v/>
      </c>
      <c r="R2319" s="26">
        <f>IF($G2319="","",SUMIFS(费用台账!$I$4:$I$503,费用台账!$C$4:$C$503,$E2319,费用台账!$J$4:$J$503,"是",费用台账!$K$4:$K$503,"正常"))</f>
        <v/>
      </c>
      <c r="S2319" s="28">
        <f>IF($G2319="","",COUNTIFS($E$4:$E$2503,$E2319,$Z$4:$Z$2503,"正常",$Y$4:$Y$2503,"待补价"))</f>
        <v/>
      </c>
      <c r="T2319" s="26">
        <f>IF($G2319="","",SUMIFS($P$4:$P$2503,$E$4:$E$2503,$E2319,$Z$4:$Z$2503,"正常",$A$4:$A$2503,"&lt;="&amp;$A2319))</f>
        <v/>
      </c>
      <c r="U2319" s="26">
        <f>IF($G2319="","",IF(OR($S2319&gt;0,$Q2319=0,$R2319=0,$Z2319&lt;&gt;"正常"),0,ROUND($T2319/$Q2319*$R2319,0)-ROUND(($T2319-$P2319)/$Q2319*$R2319,0)))</f>
        <v/>
      </c>
      <c r="V2319" s="26">
        <f>IF($G2319="","",ROUND($P2319+$U2319,0))</f>
        <v/>
      </c>
      <c r="W2319" s="26">
        <f>IF($G2319="","",IF(N($K2319)=0,0,ROUND($V2319/$K2319,2)))</f>
        <v/>
      </c>
      <c r="X2319" s="17" t="n"/>
      <c r="Y2319" s="17" t="n"/>
      <c r="Z2319" s="17" t="n"/>
      <c r="AA2319" s="17" t="n"/>
      <c r="AB2319" s="17" t="n"/>
      <c r="AC2319" s="24">
        <f>IF($G2319="","",IF($H2319="※编码不在物料档案里","※物料编码不在档案里",IF(N($K2319)&lt;=0,"※入库数量要大于 0",IF(AND($C2319&lt;&gt;"",$C2319&lt;=结账锁),"※日期早于已结账截止日，不能再录",IF(AND($L2319=0,$X2319="正常"),"※没填单价，价格状态请选「待补价」",IF(AND($S2319&gt;0,$R2319&gt;0),"△本批有 "&amp;$S2319&amp;" 行没单价，整批运费先挂账没摊",IF(AND($B2319&lt;&gt;"",COUNTIF($B$4:$B$2503,$B2319)&gt;1),"※入库单号重复","")))))))</f>
        <v/>
      </c>
    </row>
    <row r="2320">
      <c r="A2320" s="24">
        <f>IF($G2320="","",COUNTA($G$4:$G2320))</f>
        <v/>
      </c>
      <c r="B2320" s="17" t="n"/>
      <c r="C2320" s="30" t="n"/>
      <c r="D2320" s="17" t="n"/>
      <c r="E2320" s="17" t="n"/>
      <c r="F2320" s="17" t="n"/>
      <c r="G2320" s="17" t="n"/>
      <c r="H2320" s="24">
        <f>IF($G2320="","",IFERROR(VLOOKUP($G2320,物料档案!$A$4:$P$1203,3,0),"※编码不在物料档案里"))</f>
        <v/>
      </c>
      <c r="I2320" s="24">
        <f>IF($G2320="","",IFERROR(VLOOKUP($G2320,物料档案!$A$4:$P$1203,4,0),"※编码不在物料档案里"))</f>
        <v/>
      </c>
      <c r="J2320" s="24">
        <f>IF($G2320="","",IFERROR(VLOOKUP($G2320,物料档案!$A$4:$P$1203,5,0),"※编码不在物料档案里"))</f>
        <v/>
      </c>
      <c r="K2320" s="23" t="n"/>
      <c r="L2320" s="31" t="n"/>
      <c r="M2320" s="24">
        <f>IF($G2320="","",IF($D2320="A国内","CNY","TZS"))</f>
        <v/>
      </c>
      <c r="N2320" s="28">
        <f>IF($G2320="","",IF($D2320="A国内",汇率,1))</f>
        <v/>
      </c>
      <c r="O2320" s="25">
        <f>IF($G2320="","",ROUND(N($K2320)*N($L2320),2))</f>
        <v/>
      </c>
      <c r="P2320" s="26">
        <f>IF($G2320="","",ROUND($O2320*$N2320,0))</f>
        <v/>
      </c>
      <c r="Q2320" s="26">
        <f>IF($G2320="","",SUMIFS($P$4:$P$2503,$E$4:$E$2503,$E2320,$Z$4:$Z$2503,"正常"))</f>
        <v/>
      </c>
      <c r="R2320" s="26">
        <f>IF($G2320="","",SUMIFS(费用台账!$I$4:$I$503,费用台账!$C$4:$C$503,$E2320,费用台账!$J$4:$J$503,"是",费用台账!$K$4:$K$503,"正常"))</f>
        <v/>
      </c>
      <c r="S2320" s="28">
        <f>IF($G2320="","",COUNTIFS($E$4:$E$2503,$E2320,$Z$4:$Z$2503,"正常",$Y$4:$Y$2503,"待补价"))</f>
        <v/>
      </c>
      <c r="T2320" s="26">
        <f>IF($G2320="","",SUMIFS($P$4:$P$2503,$E$4:$E$2503,$E2320,$Z$4:$Z$2503,"正常",$A$4:$A$2503,"&lt;="&amp;$A2320))</f>
        <v/>
      </c>
      <c r="U2320" s="26">
        <f>IF($G2320="","",IF(OR($S2320&gt;0,$Q2320=0,$R2320=0,$Z2320&lt;&gt;"正常"),0,ROUND($T2320/$Q2320*$R2320,0)-ROUND(($T2320-$P2320)/$Q2320*$R2320,0)))</f>
        <v/>
      </c>
      <c r="V2320" s="26">
        <f>IF($G2320="","",ROUND($P2320+$U2320,0))</f>
        <v/>
      </c>
      <c r="W2320" s="26">
        <f>IF($G2320="","",IF(N($K2320)=0,0,ROUND($V2320/$K2320,2)))</f>
        <v/>
      </c>
      <c r="X2320" s="17" t="n"/>
      <c r="Y2320" s="17" t="n"/>
      <c r="Z2320" s="17" t="n"/>
      <c r="AA2320" s="17" t="n"/>
      <c r="AB2320" s="17" t="n"/>
      <c r="AC2320" s="24">
        <f>IF($G2320="","",IF($H2320="※编码不在物料档案里","※物料编码不在档案里",IF(N($K2320)&lt;=0,"※入库数量要大于 0",IF(AND($C2320&lt;&gt;"",$C2320&lt;=结账锁),"※日期早于已结账截止日，不能再录",IF(AND($L2320=0,$X2320="正常"),"※没填单价，价格状态请选「待补价」",IF(AND($S2320&gt;0,$R2320&gt;0),"△本批有 "&amp;$S2320&amp;" 行没单价，整批运费先挂账没摊",IF(AND($B2320&lt;&gt;"",COUNTIF($B$4:$B$2503,$B2320)&gt;1),"※入库单号重复","")))))))</f>
        <v/>
      </c>
    </row>
    <row r="2321">
      <c r="A2321" s="24">
        <f>IF($G2321="","",COUNTA($G$4:$G2321))</f>
        <v/>
      </c>
      <c r="B2321" s="17" t="n"/>
      <c r="C2321" s="30" t="n"/>
      <c r="D2321" s="17" t="n"/>
      <c r="E2321" s="17" t="n"/>
      <c r="F2321" s="17" t="n"/>
      <c r="G2321" s="17" t="n"/>
      <c r="H2321" s="24">
        <f>IF($G2321="","",IFERROR(VLOOKUP($G2321,物料档案!$A$4:$P$1203,3,0),"※编码不在物料档案里"))</f>
        <v/>
      </c>
      <c r="I2321" s="24">
        <f>IF($G2321="","",IFERROR(VLOOKUP($G2321,物料档案!$A$4:$P$1203,4,0),"※编码不在物料档案里"))</f>
        <v/>
      </c>
      <c r="J2321" s="24">
        <f>IF($G2321="","",IFERROR(VLOOKUP($G2321,物料档案!$A$4:$P$1203,5,0),"※编码不在物料档案里"))</f>
        <v/>
      </c>
      <c r="K2321" s="23" t="n"/>
      <c r="L2321" s="31" t="n"/>
      <c r="M2321" s="24">
        <f>IF($G2321="","",IF($D2321="A国内","CNY","TZS"))</f>
        <v/>
      </c>
      <c r="N2321" s="28">
        <f>IF($G2321="","",IF($D2321="A国内",汇率,1))</f>
        <v/>
      </c>
      <c r="O2321" s="25">
        <f>IF($G2321="","",ROUND(N($K2321)*N($L2321),2))</f>
        <v/>
      </c>
      <c r="P2321" s="26">
        <f>IF($G2321="","",ROUND($O2321*$N2321,0))</f>
        <v/>
      </c>
      <c r="Q2321" s="26">
        <f>IF($G2321="","",SUMIFS($P$4:$P$2503,$E$4:$E$2503,$E2321,$Z$4:$Z$2503,"正常"))</f>
        <v/>
      </c>
      <c r="R2321" s="26">
        <f>IF($G2321="","",SUMIFS(费用台账!$I$4:$I$503,费用台账!$C$4:$C$503,$E2321,费用台账!$J$4:$J$503,"是",费用台账!$K$4:$K$503,"正常"))</f>
        <v/>
      </c>
      <c r="S2321" s="28">
        <f>IF($G2321="","",COUNTIFS($E$4:$E$2503,$E2321,$Z$4:$Z$2503,"正常",$Y$4:$Y$2503,"待补价"))</f>
        <v/>
      </c>
      <c r="T2321" s="26">
        <f>IF($G2321="","",SUMIFS($P$4:$P$2503,$E$4:$E$2503,$E2321,$Z$4:$Z$2503,"正常",$A$4:$A$2503,"&lt;="&amp;$A2321))</f>
        <v/>
      </c>
      <c r="U2321" s="26">
        <f>IF($G2321="","",IF(OR($S2321&gt;0,$Q2321=0,$R2321=0,$Z2321&lt;&gt;"正常"),0,ROUND($T2321/$Q2321*$R2321,0)-ROUND(($T2321-$P2321)/$Q2321*$R2321,0)))</f>
        <v/>
      </c>
      <c r="V2321" s="26">
        <f>IF($G2321="","",ROUND($P2321+$U2321,0))</f>
        <v/>
      </c>
      <c r="W2321" s="26">
        <f>IF($G2321="","",IF(N($K2321)=0,0,ROUND($V2321/$K2321,2)))</f>
        <v/>
      </c>
      <c r="X2321" s="17" t="n"/>
      <c r="Y2321" s="17" t="n"/>
      <c r="Z2321" s="17" t="n"/>
      <c r="AA2321" s="17" t="n"/>
      <c r="AB2321" s="17" t="n"/>
      <c r="AC2321" s="24">
        <f>IF($G2321="","",IF($H2321="※编码不在物料档案里","※物料编码不在档案里",IF(N($K2321)&lt;=0,"※入库数量要大于 0",IF(AND($C2321&lt;&gt;"",$C2321&lt;=结账锁),"※日期早于已结账截止日，不能再录",IF(AND($L2321=0,$X2321="正常"),"※没填单价，价格状态请选「待补价」",IF(AND($S2321&gt;0,$R2321&gt;0),"△本批有 "&amp;$S2321&amp;" 行没单价，整批运费先挂账没摊",IF(AND($B2321&lt;&gt;"",COUNTIF($B$4:$B$2503,$B2321)&gt;1),"※入库单号重复","")))))))</f>
        <v/>
      </c>
    </row>
    <row r="2322">
      <c r="A2322" s="24">
        <f>IF($G2322="","",COUNTA($G$4:$G2322))</f>
        <v/>
      </c>
      <c r="B2322" s="17" t="n"/>
      <c r="C2322" s="30" t="n"/>
      <c r="D2322" s="17" t="n"/>
      <c r="E2322" s="17" t="n"/>
      <c r="F2322" s="17" t="n"/>
      <c r="G2322" s="17" t="n"/>
      <c r="H2322" s="24">
        <f>IF($G2322="","",IFERROR(VLOOKUP($G2322,物料档案!$A$4:$P$1203,3,0),"※编码不在物料档案里"))</f>
        <v/>
      </c>
      <c r="I2322" s="24">
        <f>IF($G2322="","",IFERROR(VLOOKUP($G2322,物料档案!$A$4:$P$1203,4,0),"※编码不在物料档案里"))</f>
        <v/>
      </c>
      <c r="J2322" s="24">
        <f>IF($G2322="","",IFERROR(VLOOKUP($G2322,物料档案!$A$4:$P$1203,5,0),"※编码不在物料档案里"))</f>
        <v/>
      </c>
      <c r="K2322" s="23" t="n"/>
      <c r="L2322" s="31" t="n"/>
      <c r="M2322" s="24">
        <f>IF($G2322="","",IF($D2322="A国内","CNY","TZS"))</f>
        <v/>
      </c>
      <c r="N2322" s="28">
        <f>IF($G2322="","",IF($D2322="A国内",汇率,1))</f>
        <v/>
      </c>
      <c r="O2322" s="25">
        <f>IF($G2322="","",ROUND(N($K2322)*N($L2322),2))</f>
        <v/>
      </c>
      <c r="P2322" s="26">
        <f>IF($G2322="","",ROUND($O2322*$N2322,0))</f>
        <v/>
      </c>
      <c r="Q2322" s="26">
        <f>IF($G2322="","",SUMIFS($P$4:$P$2503,$E$4:$E$2503,$E2322,$Z$4:$Z$2503,"正常"))</f>
        <v/>
      </c>
      <c r="R2322" s="26">
        <f>IF($G2322="","",SUMIFS(费用台账!$I$4:$I$503,费用台账!$C$4:$C$503,$E2322,费用台账!$J$4:$J$503,"是",费用台账!$K$4:$K$503,"正常"))</f>
        <v/>
      </c>
      <c r="S2322" s="28">
        <f>IF($G2322="","",COUNTIFS($E$4:$E$2503,$E2322,$Z$4:$Z$2503,"正常",$Y$4:$Y$2503,"待补价"))</f>
        <v/>
      </c>
      <c r="T2322" s="26">
        <f>IF($G2322="","",SUMIFS($P$4:$P$2503,$E$4:$E$2503,$E2322,$Z$4:$Z$2503,"正常",$A$4:$A$2503,"&lt;="&amp;$A2322))</f>
        <v/>
      </c>
      <c r="U2322" s="26">
        <f>IF($G2322="","",IF(OR($S2322&gt;0,$Q2322=0,$R2322=0,$Z2322&lt;&gt;"正常"),0,ROUND($T2322/$Q2322*$R2322,0)-ROUND(($T2322-$P2322)/$Q2322*$R2322,0)))</f>
        <v/>
      </c>
      <c r="V2322" s="26">
        <f>IF($G2322="","",ROUND($P2322+$U2322,0))</f>
        <v/>
      </c>
      <c r="W2322" s="26">
        <f>IF($G2322="","",IF(N($K2322)=0,0,ROUND($V2322/$K2322,2)))</f>
        <v/>
      </c>
      <c r="X2322" s="17" t="n"/>
      <c r="Y2322" s="17" t="n"/>
      <c r="Z2322" s="17" t="n"/>
      <c r="AA2322" s="17" t="n"/>
      <c r="AB2322" s="17" t="n"/>
      <c r="AC2322" s="24">
        <f>IF($G2322="","",IF($H2322="※编码不在物料档案里","※物料编码不在档案里",IF(N($K2322)&lt;=0,"※入库数量要大于 0",IF(AND($C2322&lt;&gt;"",$C2322&lt;=结账锁),"※日期早于已结账截止日，不能再录",IF(AND($L2322=0,$X2322="正常"),"※没填单价，价格状态请选「待补价」",IF(AND($S2322&gt;0,$R2322&gt;0),"△本批有 "&amp;$S2322&amp;" 行没单价，整批运费先挂账没摊",IF(AND($B2322&lt;&gt;"",COUNTIF($B$4:$B$2503,$B2322)&gt;1),"※入库单号重复","")))))))</f>
        <v/>
      </c>
    </row>
    <row r="2323">
      <c r="A2323" s="24">
        <f>IF($G2323="","",COUNTA($G$4:$G2323))</f>
        <v/>
      </c>
      <c r="B2323" s="17" t="n"/>
      <c r="C2323" s="30" t="n"/>
      <c r="D2323" s="17" t="n"/>
      <c r="E2323" s="17" t="n"/>
      <c r="F2323" s="17" t="n"/>
      <c r="G2323" s="17" t="n"/>
      <c r="H2323" s="24">
        <f>IF($G2323="","",IFERROR(VLOOKUP($G2323,物料档案!$A$4:$P$1203,3,0),"※编码不在物料档案里"))</f>
        <v/>
      </c>
      <c r="I2323" s="24">
        <f>IF($G2323="","",IFERROR(VLOOKUP($G2323,物料档案!$A$4:$P$1203,4,0),"※编码不在物料档案里"))</f>
        <v/>
      </c>
      <c r="J2323" s="24">
        <f>IF($G2323="","",IFERROR(VLOOKUP($G2323,物料档案!$A$4:$P$1203,5,0),"※编码不在物料档案里"))</f>
        <v/>
      </c>
      <c r="K2323" s="23" t="n"/>
      <c r="L2323" s="31" t="n"/>
      <c r="M2323" s="24">
        <f>IF($G2323="","",IF($D2323="A国内","CNY","TZS"))</f>
        <v/>
      </c>
      <c r="N2323" s="28">
        <f>IF($G2323="","",IF($D2323="A国内",汇率,1))</f>
        <v/>
      </c>
      <c r="O2323" s="25">
        <f>IF($G2323="","",ROUND(N($K2323)*N($L2323),2))</f>
        <v/>
      </c>
      <c r="P2323" s="26">
        <f>IF($G2323="","",ROUND($O2323*$N2323,0))</f>
        <v/>
      </c>
      <c r="Q2323" s="26">
        <f>IF($G2323="","",SUMIFS($P$4:$P$2503,$E$4:$E$2503,$E2323,$Z$4:$Z$2503,"正常"))</f>
        <v/>
      </c>
      <c r="R2323" s="26">
        <f>IF($G2323="","",SUMIFS(费用台账!$I$4:$I$503,费用台账!$C$4:$C$503,$E2323,费用台账!$J$4:$J$503,"是",费用台账!$K$4:$K$503,"正常"))</f>
        <v/>
      </c>
      <c r="S2323" s="28">
        <f>IF($G2323="","",COUNTIFS($E$4:$E$2503,$E2323,$Z$4:$Z$2503,"正常",$Y$4:$Y$2503,"待补价"))</f>
        <v/>
      </c>
      <c r="T2323" s="26">
        <f>IF($G2323="","",SUMIFS($P$4:$P$2503,$E$4:$E$2503,$E2323,$Z$4:$Z$2503,"正常",$A$4:$A$2503,"&lt;="&amp;$A2323))</f>
        <v/>
      </c>
      <c r="U2323" s="26">
        <f>IF($G2323="","",IF(OR($S2323&gt;0,$Q2323=0,$R2323=0,$Z2323&lt;&gt;"正常"),0,ROUND($T2323/$Q2323*$R2323,0)-ROUND(($T2323-$P2323)/$Q2323*$R2323,0)))</f>
        <v/>
      </c>
      <c r="V2323" s="26">
        <f>IF($G2323="","",ROUND($P2323+$U2323,0))</f>
        <v/>
      </c>
      <c r="W2323" s="26">
        <f>IF($G2323="","",IF(N($K2323)=0,0,ROUND($V2323/$K2323,2)))</f>
        <v/>
      </c>
      <c r="X2323" s="17" t="n"/>
      <c r="Y2323" s="17" t="n"/>
      <c r="Z2323" s="17" t="n"/>
      <c r="AA2323" s="17" t="n"/>
      <c r="AB2323" s="17" t="n"/>
      <c r="AC2323" s="24">
        <f>IF($G2323="","",IF($H2323="※编码不在物料档案里","※物料编码不在档案里",IF(N($K2323)&lt;=0,"※入库数量要大于 0",IF(AND($C2323&lt;&gt;"",$C2323&lt;=结账锁),"※日期早于已结账截止日，不能再录",IF(AND($L2323=0,$X2323="正常"),"※没填单价，价格状态请选「待补价」",IF(AND($S2323&gt;0,$R2323&gt;0),"△本批有 "&amp;$S2323&amp;" 行没单价，整批运费先挂账没摊",IF(AND($B2323&lt;&gt;"",COUNTIF($B$4:$B$2503,$B2323)&gt;1),"※入库单号重复","")))))))</f>
        <v/>
      </c>
    </row>
    <row r="2324">
      <c r="A2324" s="24">
        <f>IF($G2324="","",COUNTA($G$4:$G2324))</f>
        <v/>
      </c>
      <c r="B2324" s="17" t="n"/>
      <c r="C2324" s="30" t="n"/>
      <c r="D2324" s="17" t="n"/>
      <c r="E2324" s="17" t="n"/>
      <c r="F2324" s="17" t="n"/>
      <c r="G2324" s="17" t="n"/>
      <c r="H2324" s="24">
        <f>IF($G2324="","",IFERROR(VLOOKUP($G2324,物料档案!$A$4:$P$1203,3,0),"※编码不在物料档案里"))</f>
        <v/>
      </c>
      <c r="I2324" s="24">
        <f>IF($G2324="","",IFERROR(VLOOKUP($G2324,物料档案!$A$4:$P$1203,4,0),"※编码不在物料档案里"))</f>
        <v/>
      </c>
      <c r="J2324" s="24">
        <f>IF($G2324="","",IFERROR(VLOOKUP($G2324,物料档案!$A$4:$P$1203,5,0),"※编码不在物料档案里"))</f>
        <v/>
      </c>
      <c r="K2324" s="23" t="n"/>
      <c r="L2324" s="31" t="n"/>
      <c r="M2324" s="24">
        <f>IF($G2324="","",IF($D2324="A国内","CNY","TZS"))</f>
        <v/>
      </c>
      <c r="N2324" s="28">
        <f>IF($G2324="","",IF($D2324="A国内",汇率,1))</f>
        <v/>
      </c>
      <c r="O2324" s="25">
        <f>IF($G2324="","",ROUND(N($K2324)*N($L2324),2))</f>
        <v/>
      </c>
      <c r="P2324" s="26">
        <f>IF($G2324="","",ROUND($O2324*$N2324,0))</f>
        <v/>
      </c>
      <c r="Q2324" s="26">
        <f>IF($G2324="","",SUMIFS($P$4:$P$2503,$E$4:$E$2503,$E2324,$Z$4:$Z$2503,"正常"))</f>
        <v/>
      </c>
      <c r="R2324" s="26">
        <f>IF($G2324="","",SUMIFS(费用台账!$I$4:$I$503,费用台账!$C$4:$C$503,$E2324,费用台账!$J$4:$J$503,"是",费用台账!$K$4:$K$503,"正常"))</f>
        <v/>
      </c>
      <c r="S2324" s="28">
        <f>IF($G2324="","",COUNTIFS($E$4:$E$2503,$E2324,$Z$4:$Z$2503,"正常",$Y$4:$Y$2503,"待补价"))</f>
        <v/>
      </c>
      <c r="T2324" s="26">
        <f>IF($G2324="","",SUMIFS($P$4:$P$2503,$E$4:$E$2503,$E2324,$Z$4:$Z$2503,"正常",$A$4:$A$2503,"&lt;="&amp;$A2324))</f>
        <v/>
      </c>
      <c r="U2324" s="26">
        <f>IF($G2324="","",IF(OR($S2324&gt;0,$Q2324=0,$R2324=0,$Z2324&lt;&gt;"正常"),0,ROUND($T2324/$Q2324*$R2324,0)-ROUND(($T2324-$P2324)/$Q2324*$R2324,0)))</f>
        <v/>
      </c>
      <c r="V2324" s="26">
        <f>IF($G2324="","",ROUND($P2324+$U2324,0))</f>
        <v/>
      </c>
      <c r="W2324" s="26">
        <f>IF($G2324="","",IF(N($K2324)=0,0,ROUND($V2324/$K2324,2)))</f>
        <v/>
      </c>
      <c r="X2324" s="17" t="n"/>
      <c r="Y2324" s="17" t="n"/>
      <c r="Z2324" s="17" t="n"/>
      <c r="AA2324" s="17" t="n"/>
      <c r="AB2324" s="17" t="n"/>
      <c r="AC2324" s="24">
        <f>IF($G2324="","",IF($H2324="※编码不在物料档案里","※物料编码不在档案里",IF(N($K2324)&lt;=0,"※入库数量要大于 0",IF(AND($C2324&lt;&gt;"",$C2324&lt;=结账锁),"※日期早于已结账截止日，不能再录",IF(AND($L2324=0,$X2324="正常"),"※没填单价，价格状态请选「待补价」",IF(AND($S2324&gt;0,$R2324&gt;0),"△本批有 "&amp;$S2324&amp;" 行没单价，整批运费先挂账没摊",IF(AND($B2324&lt;&gt;"",COUNTIF($B$4:$B$2503,$B2324)&gt;1),"※入库单号重复","")))))))</f>
        <v/>
      </c>
    </row>
    <row r="2325">
      <c r="A2325" s="24">
        <f>IF($G2325="","",COUNTA($G$4:$G2325))</f>
        <v/>
      </c>
      <c r="B2325" s="17" t="n"/>
      <c r="C2325" s="30" t="n"/>
      <c r="D2325" s="17" t="n"/>
      <c r="E2325" s="17" t="n"/>
      <c r="F2325" s="17" t="n"/>
      <c r="G2325" s="17" t="n"/>
      <c r="H2325" s="24">
        <f>IF($G2325="","",IFERROR(VLOOKUP($G2325,物料档案!$A$4:$P$1203,3,0),"※编码不在物料档案里"))</f>
        <v/>
      </c>
      <c r="I2325" s="24">
        <f>IF($G2325="","",IFERROR(VLOOKUP($G2325,物料档案!$A$4:$P$1203,4,0),"※编码不在物料档案里"))</f>
        <v/>
      </c>
      <c r="J2325" s="24">
        <f>IF($G2325="","",IFERROR(VLOOKUP($G2325,物料档案!$A$4:$P$1203,5,0),"※编码不在物料档案里"))</f>
        <v/>
      </c>
      <c r="K2325" s="23" t="n"/>
      <c r="L2325" s="31" t="n"/>
      <c r="M2325" s="24">
        <f>IF($G2325="","",IF($D2325="A国内","CNY","TZS"))</f>
        <v/>
      </c>
      <c r="N2325" s="28">
        <f>IF($G2325="","",IF($D2325="A国内",汇率,1))</f>
        <v/>
      </c>
      <c r="O2325" s="25">
        <f>IF($G2325="","",ROUND(N($K2325)*N($L2325),2))</f>
        <v/>
      </c>
      <c r="P2325" s="26">
        <f>IF($G2325="","",ROUND($O2325*$N2325,0))</f>
        <v/>
      </c>
      <c r="Q2325" s="26">
        <f>IF($G2325="","",SUMIFS($P$4:$P$2503,$E$4:$E$2503,$E2325,$Z$4:$Z$2503,"正常"))</f>
        <v/>
      </c>
      <c r="R2325" s="26">
        <f>IF($G2325="","",SUMIFS(费用台账!$I$4:$I$503,费用台账!$C$4:$C$503,$E2325,费用台账!$J$4:$J$503,"是",费用台账!$K$4:$K$503,"正常"))</f>
        <v/>
      </c>
      <c r="S2325" s="28">
        <f>IF($G2325="","",COUNTIFS($E$4:$E$2503,$E2325,$Z$4:$Z$2503,"正常",$Y$4:$Y$2503,"待补价"))</f>
        <v/>
      </c>
      <c r="T2325" s="26">
        <f>IF($G2325="","",SUMIFS($P$4:$P$2503,$E$4:$E$2503,$E2325,$Z$4:$Z$2503,"正常",$A$4:$A$2503,"&lt;="&amp;$A2325))</f>
        <v/>
      </c>
      <c r="U2325" s="26">
        <f>IF($G2325="","",IF(OR($S2325&gt;0,$Q2325=0,$R2325=0,$Z2325&lt;&gt;"正常"),0,ROUND($T2325/$Q2325*$R2325,0)-ROUND(($T2325-$P2325)/$Q2325*$R2325,0)))</f>
        <v/>
      </c>
      <c r="V2325" s="26">
        <f>IF($G2325="","",ROUND($P2325+$U2325,0))</f>
        <v/>
      </c>
      <c r="W2325" s="26">
        <f>IF($G2325="","",IF(N($K2325)=0,0,ROUND($V2325/$K2325,2)))</f>
        <v/>
      </c>
      <c r="X2325" s="17" t="n"/>
      <c r="Y2325" s="17" t="n"/>
      <c r="Z2325" s="17" t="n"/>
      <c r="AA2325" s="17" t="n"/>
      <c r="AB2325" s="17" t="n"/>
      <c r="AC2325" s="24">
        <f>IF($G2325="","",IF($H2325="※编码不在物料档案里","※物料编码不在档案里",IF(N($K2325)&lt;=0,"※入库数量要大于 0",IF(AND($C2325&lt;&gt;"",$C2325&lt;=结账锁),"※日期早于已结账截止日，不能再录",IF(AND($L2325=0,$X2325="正常"),"※没填单价，价格状态请选「待补价」",IF(AND($S2325&gt;0,$R2325&gt;0),"△本批有 "&amp;$S2325&amp;" 行没单价，整批运费先挂账没摊",IF(AND($B2325&lt;&gt;"",COUNTIF($B$4:$B$2503,$B2325)&gt;1),"※入库单号重复","")))))))</f>
        <v/>
      </c>
    </row>
    <row r="2326">
      <c r="A2326" s="24">
        <f>IF($G2326="","",COUNTA($G$4:$G2326))</f>
        <v/>
      </c>
      <c r="B2326" s="17" t="n"/>
      <c r="C2326" s="30" t="n"/>
      <c r="D2326" s="17" t="n"/>
      <c r="E2326" s="17" t="n"/>
      <c r="F2326" s="17" t="n"/>
      <c r="G2326" s="17" t="n"/>
      <c r="H2326" s="24">
        <f>IF($G2326="","",IFERROR(VLOOKUP($G2326,物料档案!$A$4:$P$1203,3,0),"※编码不在物料档案里"))</f>
        <v/>
      </c>
      <c r="I2326" s="24">
        <f>IF($G2326="","",IFERROR(VLOOKUP($G2326,物料档案!$A$4:$P$1203,4,0),"※编码不在物料档案里"))</f>
        <v/>
      </c>
      <c r="J2326" s="24">
        <f>IF($G2326="","",IFERROR(VLOOKUP($G2326,物料档案!$A$4:$P$1203,5,0),"※编码不在物料档案里"))</f>
        <v/>
      </c>
      <c r="K2326" s="23" t="n"/>
      <c r="L2326" s="31" t="n"/>
      <c r="M2326" s="24">
        <f>IF($G2326="","",IF($D2326="A国内","CNY","TZS"))</f>
        <v/>
      </c>
      <c r="N2326" s="28">
        <f>IF($G2326="","",IF($D2326="A国内",汇率,1))</f>
        <v/>
      </c>
      <c r="O2326" s="25">
        <f>IF($G2326="","",ROUND(N($K2326)*N($L2326),2))</f>
        <v/>
      </c>
      <c r="P2326" s="26">
        <f>IF($G2326="","",ROUND($O2326*$N2326,0))</f>
        <v/>
      </c>
      <c r="Q2326" s="26">
        <f>IF($G2326="","",SUMIFS($P$4:$P$2503,$E$4:$E$2503,$E2326,$Z$4:$Z$2503,"正常"))</f>
        <v/>
      </c>
      <c r="R2326" s="26">
        <f>IF($G2326="","",SUMIFS(费用台账!$I$4:$I$503,费用台账!$C$4:$C$503,$E2326,费用台账!$J$4:$J$503,"是",费用台账!$K$4:$K$503,"正常"))</f>
        <v/>
      </c>
      <c r="S2326" s="28">
        <f>IF($G2326="","",COUNTIFS($E$4:$E$2503,$E2326,$Z$4:$Z$2503,"正常",$Y$4:$Y$2503,"待补价"))</f>
        <v/>
      </c>
      <c r="T2326" s="26">
        <f>IF($G2326="","",SUMIFS($P$4:$P$2503,$E$4:$E$2503,$E2326,$Z$4:$Z$2503,"正常",$A$4:$A$2503,"&lt;="&amp;$A2326))</f>
        <v/>
      </c>
      <c r="U2326" s="26">
        <f>IF($G2326="","",IF(OR($S2326&gt;0,$Q2326=0,$R2326=0,$Z2326&lt;&gt;"正常"),0,ROUND($T2326/$Q2326*$R2326,0)-ROUND(($T2326-$P2326)/$Q2326*$R2326,0)))</f>
        <v/>
      </c>
      <c r="V2326" s="26">
        <f>IF($G2326="","",ROUND($P2326+$U2326,0))</f>
        <v/>
      </c>
      <c r="W2326" s="26">
        <f>IF($G2326="","",IF(N($K2326)=0,0,ROUND($V2326/$K2326,2)))</f>
        <v/>
      </c>
      <c r="X2326" s="17" t="n"/>
      <c r="Y2326" s="17" t="n"/>
      <c r="Z2326" s="17" t="n"/>
      <c r="AA2326" s="17" t="n"/>
      <c r="AB2326" s="17" t="n"/>
      <c r="AC2326" s="24">
        <f>IF($G2326="","",IF($H2326="※编码不在物料档案里","※物料编码不在档案里",IF(N($K2326)&lt;=0,"※入库数量要大于 0",IF(AND($C2326&lt;&gt;"",$C2326&lt;=结账锁),"※日期早于已结账截止日，不能再录",IF(AND($L2326=0,$X2326="正常"),"※没填单价，价格状态请选「待补价」",IF(AND($S2326&gt;0,$R2326&gt;0),"△本批有 "&amp;$S2326&amp;" 行没单价，整批运费先挂账没摊",IF(AND($B2326&lt;&gt;"",COUNTIF($B$4:$B$2503,$B2326)&gt;1),"※入库单号重复","")))))))</f>
        <v/>
      </c>
    </row>
    <row r="2327">
      <c r="A2327" s="24">
        <f>IF($G2327="","",COUNTA($G$4:$G2327))</f>
        <v/>
      </c>
      <c r="B2327" s="17" t="n"/>
      <c r="C2327" s="30" t="n"/>
      <c r="D2327" s="17" t="n"/>
      <c r="E2327" s="17" t="n"/>
      <c r="F2327" s="17" t="n"/>
      <c r="G2327" s="17" t="n"/>
      <c r="H2327" s="24">
        <f>IF($G2327="","",IFERROR(VLOOKUP($G2327,物料档案!$A$4:$P$1203,3,0),"※编码不在物料档案里"))</f>
        <v/>
      </c>
      <c r="I2327" s="24">
        <f>IF($G2327="","",IFERROR(VLOOKUP($G2327,物料档案!$A$4:$P$1203,4,0),"※编码不在物料档案里"))</f>
        <v/>
      </c>
      <c r="J2327" s="24">
        <f>IF($G2327="","",IFERROR(VLOOKUP($G2327,物料档案!$A$4:$P$1203,5,0),"※编码不在物料档案里"))</f>
        <v/>
      </c>
      <c r="K2327" s="23" t="n"/>
      <c r="L2327" s="31" t="n"/>
      <c r="M2327" s="24">
        <f>IF($G2327="","",IF($D2327="A国内","CNY","TZS"))</f>
        <v/>
      </c>
      <c r="N2327" s="28">
        <f>IF($G2327="","",IF($D2327="A国内",汇率,1))</f>
        <v/>
      </c>
      <c r="O2327" s="25">
        <f>IF($G2327="","",ROUND(N($K2327)*N($L2327),2))</f>
        <v/>
      </c>
      <c r="P2327" s="26">
        <f>IF($G2327="","",ROUND($O2327*$N2327,0))</f>
        <v/>
      </c>
      <c r="Q2327" s="26">
        <f>IF($G2327="","",SUMIFS($P$4:$P$2503,$E$4:$E$2503,$E2327,$Z$4:$Z$2503,"正常"))</f>
        <v/>
      </c>
      <c r="R2327" s="26">
        <f>IF($G2327="","",SUMIFS(费用台账!$I$4:$I$503,费用台账!$C$4:$C$503,$E2327,费用台账!$J$4:$J$503,"是",费用台账!$K$4:$K$503,"正常"))</f>
        <v/>
      </c>
      <c r="S2327" s="28">
        <f>IF($G2327="","",COUNTIFS($E$4:$E$2503,$E2327,$Z$4:$Z$2503,"正常",$Y$4:$Y$2503,"待补价"))</f>
        <v/>
      </c>
      <c r="T2327" s="26">
        <f>IF($G2327="","",SUMIFS($P$4:$P$2503,$E$4:$E$2503,$E2327,$Z$4:$Z$2503,"正常",$A$4:$A$2503,"&lt;="&amp;$A2327))</f>
        <v/>
      </c>
      <c r="U2327" s="26">
        <f>IF($G2327="","",IF(OR($S2327&gt;0,$Q2327=0,$R2327=0,$Z2327&lt;&gt;"正常"),0,ROUND($T2327/$Q2327*$R2327,0)-ROUND(($T2327-$P2327)/$Q2327*$R2327,0)))</f>
        <v/>
      </c>
      <c r="V2327" s="26">
        <f>IF($G2327="","",ROUND($P2327+$U2327,0))</f>
        <v/>
      </c>
      <c r="W2327" s="26">
        <f>IF($G2327="","",IF(N($K2327)=0,0,ROUND($V2327/$K2327,2)))</f>
        <v/>
      </c>
      <c r="X2327" s="17" t="n"/>
      <c r="Y2327" s="17" t="n"/>
      <c r="Z2327" s="17" t="n"/>
      <c r="AA2327" s="17" t="n"/>
      <c r="AB2327" s="17" t="n"/>
      <c r="AC2327" s="24">
        <f>IF($G2327="","",IF($H2327="※编码不在物料档案里","※物料编码不在档案里",IF(N($K2327)&lt;=0,"※入库数量要大于 0",IF(AND($C2327&lt;&gt;"",$C2327&lt;=结账锁),"※日期早于已结账截止日，不能再录",IF(AND($L2327=0,$X2327="正常"),"※没填单价，价格状态请选「待补价」",IF(AND($S2327&gt;0,$R2327&gt;0),"△本批有 "&amp;$S2327&amp;" 行没单价，整批运费先挂账没摊",IF(AND($B2327&lt;&gt;"",COUNTIF($B$4:$B$2503,$B2327)&gt;1),"※入库单号重复","")))))))</f>
        <v/>
      </c>
    </row>
    <row r="2328">
      <c r="A2328" s="24">
        <f>IF($G2328="","",COUNTA($G$4:$G2328))</f>
        <v/>
      </c>
      <c r="B2328" s="17" t="n"/>
      <c r="C2328" s="30" t="n"/>
      <c r="D2328" s="17" t="n"/>
      <c r="E2328" s="17" t="n"/>
      <c r="F2328" s="17" t="n"/>
      <c r="G2328" s="17" t="n"/>
      <c r="H2328" s="24">
        <f>IF($G2328="","",IFERROR(VLOOKUP($G2328,物料档案!$A$4:$P$1203,3,0),"※编码不在物料档案里"))</f>
        <v/>
      </c>
      <c r="I2328" s="24">
        <f>IF($G2328="","",IFERROR(VLOOKUP($G2328,物料档案!$A$4:$P$1203,4,0),"※编码不在物料档案里"))</f>
        <v/>
      </c>
      <c r="J2328" s="24">
        <f>IF($G2328="","",IFERROR(VLOOKUP($G2328,物料档案!$A$4:$P$1203,5,0),"※编码不在物料档案里"))</f>
        <v/>
      </c>
      <c r="K2328" s="23" t="n"/>
      <c r="L2328" s="31" t="n"/>
      <c r="M2328" s="24">
        <f>IF($G2328="","",IF($D2328="A国内","CNY","TZS"))</f>
        <v/>
      </c>
      <c r="N2328" s="28">
        <f>IF($G2328="","",IF($D2328="A国内",汇率,1))</f>
        <v/>
      </c>
      <c r="O2328" s="25">
        <f>IF($G2328="","",ROUND(N($K2328)*N($L2328),2))</f>
        <v/>
      </c>
      <c r="P2328" s="26">
        <f>IF($G2328="","",ROUND($O2328*$N2328,0))</f>
        <v/>
      </c>
      <c r="Q2328" s="26">
        <f>IF($G2328="","",SUMIFS($P$4:$P$2503,$E$4:$E$2503,$E2328,$Z$4:$Z$2503,"正常"))</f>
        <v/>
      </c>
      <c r="R2328" s="26">
        <f>IF($G2328="","",SUMIFS(费用台账!$I$4:$I$503,费用台账!$C$4:$C$503,$E2328,费用台账!$J$4:$J$503,"是",费用台账!$K$4:$K$503,"正常"))</f>
        <v/>
      </c>
      <c r="S2328" s="28">
        <f>IF($G2328="","",COUNTIFS($E$4:$E$2503,$E2328,$Z$4:$Z$2503,"正常",$Y$4:$Y$2503,"待补价"))</f>
        <v/>
      </c>
      <c r="T2328" s="26">
        <f>IF($G2328="","",SUMIFS($P$4:$P$2503,$E$4:$E$2503,$E2328,$Z$4:$Z$2503,"正常",$A$4:$A$2503,"&lt;="&amp;$A2328))</f>
        <v/>
      </c>
      <c r="U2328" s="26">
        <f>IF($G2328="","",IF(OR($S2328&gt;0,$Q2328=0,$R2328=0,$Z2328&lt;&gt;"正常"),0,ROUND($T2328/$Q2328*$R2328,0)-ROUND(($T2328-$P2328)/$Q2328*$R2328,0)))</f>
        <v/>
      </c>
      <c r="V2328" s="26">
        <f>IF($G2328="","",ROUND($P2328+$U2328,0))</f>
        <v/>
      </c>
      <c r="W2328" s="26">
        <f>IF($G2328="","",IF(N($K2328)=0,0,ROUND($V2328/$K2328,2)))</f>
        <v/>
      </c>
      <c r="X2328" s="17" t="n"/>
      <c r="Y2328" s="17" t="n"/>
      <c r="Z2328" s="17" t="n"/>
      <c r="AA2328" s="17" t="n"/>
      <c r="AB2328" s="17" t="n"/>
      <c r="AC2328" s="24">
        <f>IF($G2328="","",IF($H2328="※编码不在物料档案里","※物料编码不在档案里",IF(N($K2328)&lt;=0,"※入库数量要大于 0",IF(AND($C2328&lt;&gt;"",$C2328&lt;=结账锁),"※日期早于已结账截止日，不能再录",IF(AND($L2328=0,$X2328="正常"),"※没填单价，价格状态请选「待补价」",IF(AND($S2328&gt;0,$R2328&gt;0),"△本批有 "&amp;$S2328&amp;" 行没单价，整批运费先挂账没摊",IF(AND($B2328&lt;&gt;"",COUNTIF($B$4:$B$2503,$B2328)&gt;1),"※入库单号重复","")))))))</f>
        <v/>
      </c>
    </row>
    <row r="2329">
      <c r="A2329" s="24">
        <f>IF($G2329="","",COUNTA($G$4:$G2329))</f>
        <v/>
      </c>
      <c r="B2329" s="17" t="n"/>
      <c r="C2329" s="30" t="n"/>
      <c r="D2329" s="17" t="n"/>
      <c r="E2329" s="17" t="n"/>
      <c r="F2329" s="17" t="n"/>
      <c r="G2329" s="17" t="n"/>
      <c r="H2329" s="24">
        <f>IF($G2329="","",IFERROR(VLOOKUP($G2329,物料档案!$A$4:$P$1203,3,0),"※编码不在物料档案里"))</f>
        <v/>
      </c>
      <c r="I2329" s="24">
        <f>IF($G2329="","",IFERROR(VLOOKUP($G2329,物料档案!$A$4:$P$1203,4,0),"※编码不在物料档案里"))</f>
        <v/>
      </c>
      <c r="J2329" s="24">
        <f>IF($G2329="","",IFERROR(VLOOKUP($G2329,物料档案!$A$4:$P$1203,5,0),"※编码不在物料档案里"))</f>
        <v/>
      </c>
      <c r="K2329" s="23" t="n"/>
      <c r="L2329" s="31" t="n"/>
      <c r="M2329" s="24">
        <f>IF($G2329="","",IF($D2329="A国内","CNY","TZS"))</f>
        <v/>
      </c>
      <c r="N2329" s="28">
        <f>IF($G2329="","",IF($D2329="A国内",汇率,1))</f>
        <v/>
      </c>
      <c r="O2329" s="25">
        <f>IF($G2329="","",ROUND(N($K2329)*N($L2329),2))</f>
        <v/>
      </c>
      <c r="P2329" s="26">
        <f>IF($G2329="","",ROUND($O2329*$N2329,0))</f>
        <v/>
      </c>
      <c r="Q2329" s="26">
        <f>IF($G2329="","",SUMIFS($P$4:$P$2503,$E$4:$E$2503,$E2329,$Z$4:$Z$2503,"正常"))</f>
        <v/>
      </c>
      <c r="R2329" s="26">
        <f>IF($G2329="","",SUMIFS(费用台账!$I$4:$I$503,费用台账!$C$4:$C$503,$E2329,费用台账!$J$4:$J$503,"是",费用台账!$K$4:$K$503,"正常"))</f>
        <v/>
      </c>
      <c r="S2329" s="28">
        <f>IF($G2329="","",COUNTIFS($E$4:$E$2503,$E2329,$Z$4:$Z$2503,"正常",$Y$4:$Y$2503,"待补价"))</f>
        <v/>
      </c>
      <c r="T2329" s="26">
        <f>IF($G2329="","",SUMIFS($P$4:$P$2503,$E$4:$E$2503,$E2329,$Z$4:$Z$2503,"正常",$A$4:$A$2503,"&lt;="&amp;$A2329))</f>
        <v/>
      </c>
      <c r="U2329" s="26">
        <f>IF($G2329="","",IF(OR($S2329&gt;0,$Q2329=0,$R2329=0,$Z2329&lt;&gt;"正常"),0,ROUND($T2329/$Q2329*$R2329,0)-ROUND(($T2329-$P2329)/$Q2329*$R2329,0)))</f>
        <v/>
      </c>
      <c r="V2329" s="26">
        <f>IF($G2329="","",ROUND($P2329+$U2329,0))</f>
        <v/>
      </c>
      <c r="W2329" s="26">
        <f>IF($G2329="","",IF(N($K2329)=0,0,ROUND($V2329/$K2329,2)))</f>
        <v/>
      </c>
      <c r="X2329" s="17" t="n"/>
      <c r="Y2329" s="17" t="n"/>
      <c r="Z2329" s="17" t="n"/>
      <c r="AA2329" s="17" t="n"/>
      <c r="AB2329" s="17" t="n"/>
      <c r="AC2329" s="24">
        <f>IF($G2329="","",IF($H2329="※编码不在物料档案里","※物料编码不在档案里",IF(N($K2329)&lt;=0,"※入库数量要大于 0",IF(AND($C2329&lt;&gt;"",$C2329&lt;=结账锁),"※日期早于已结账截止日，不能再录",IF(AND($L2329=0,$X2329="正常"),"※没填单价，价格状态请选「待补价」",IF(AND($S2329&gt;0,$R2329&gt;0),"△本批有 "&amp;$S2329&amp;" 行没单价，整批运费先挂账没摊",IF(AND($B2329&lt;&gt;"",COUNTIF($B$4:$B$2503,$B2329)&gt;1),"※入库单号重复","")))))))</f>
        <v/>
      </c>
    </row>
    <row r="2330">
      <c r="A2330" s="24">
        <f>IF($G2330="","",COUNTA($G$4:$G2330))</f>
        <v/>
      </c>
      <c r="B2330" s="17" t="n"/>
      <c r="C2330" s="30" t="n"/>
      <c r="D2330" s="17" t="n"/>
      <c r="E2330" s="17" t="n"/>
      <c r="F2330" s="17" t="n"/>
      <c r="G2330" s="17" t="n"/>
      <c r="H2330" s="24">
        <f>IF($G2330="","",IFERROR(VLOOKUP($G2330,物料档案!$A$4:$P$1203,3,0),"※编码不在物料档案里"))</f>
        <v/>
      </c>
      <c r="I2330" s="24">
        <f>IF($G2330="","",IFERROR(VLOOKUP($G2330,物料档案!$A$4:$P$1203,4,0),"※编码不在物料档案里"))</f>
        <v/>
      </c>
      <c r="J2330" s="24">
        <f>IF($G2330="","",IFERROR(VLOOKUP($G2330,物料档案!$A$4:$P$1203,5,0),"※编码不在物料档案里"))</f>
        <v/>
      </c>
      <c r="K2330" s="23" t="n"/>
      <c r="L2330" s="31" t="n"/>
      <c r="M2330" s="24">
        <f>IF($G2330="","",IF($D2330="A国内","CNY","TZS"))</f>
        <v/>
      </c>
      <c r="N2330" s="28">
        <f>IF($G2330="","",IF($D2330="A国内",汇率,1))</f>
        <v/>
      </c>
      <c r="O2330" s="25">
        <f>IF($G2330="","",ROUND(N($K2330)*N($L2330),2))</f>
        <v/>
      </c>
      <c r="P2330" s="26">
        <f>IF($G2330="","",ROUND($O2330*$N2330,0))</f>
        <v/>
      </c>
      <c r="Q2330" s="26">
        <f>IF($G2330="","",SUMIFS($P$4:$P$2503,$E$4:$E$2503,$E2330,$Z$4:$Z$2503,"正常"))</f>
        <v/>
      </c>
      <c r="R2330" s="26">
        <f>IF($G2330="","",SUMIFS(费用台账!$I$4:$I$503,费用台账!$C$4:$C$503,$E2330,费用台账!$J$4:$J$503,"是",费用台账!$K$4:$K$503,"正常"))</f>
        <v/>
      </c>
      <c r="S2330" s="28">
        <f>IF($G2330="","",COUNTIFS($E$4:$E$2503,$E2330,$Z$4:$Z$2503,"正常",$Y$4:$Y$2503,"待补价"))</f>
        <v/>
      </c>
      <c r="T2330" s="26">
        <f>IF($G2330="","",SUMIFS($P$4:$P$2503,$E$4:$E$2503,$E2330,$Z$4:$Z$2503,"正常",$A$4:$A$2503,"&lt;="&amp;$A2330))</f>
        <v/>
      </c>
      <c r="U2330" s="26">
        <f>IF($G2330="","",IF(OR($S2330&gt;0,$Q2330=0,$R2330=0,$Z2330&lt;&gt;"正常"),0,ROUND($T2330/$Q2330*$R2330,0)-ROUND(($T2330-$P2330)/$Q2330*$R2330,0)))</f>
        <v/>
      </c>
      <c r="V2330" s="26">
        <f>IF($G2330="","",ROUND($P2330+$U2330,0))</f>
        <v/>
      </c>
      <c r="W2330" s="26">
        <f>IF($G2330="","",IF(N($K2330)=0,0,ROUND($V2330/$K2330,2)))</f>
        <v/>
      </c>
      <c r="X2330" s="17" t="n"/>
      <c r="Y2330" s="17" t="n"/>
      <c r="Z2330" s="17" t="n"/>
      <c r="AA2330" s="17" t="n"/>
      <c r="AB2330" s="17" t="n"/>
      <c r="AC2330" s="24">
        <f>IF($G2330="","",IF($H2330="※编码不在物料档案里","※物料编码不在档案里",IF(N($K2330)&lt;=0,"※入库数量要大于 0",IF(AND($C2330&lt;&gt;"",$C2330&lt;=结账锁),"※日期早于已结账截止日，不能再录",IF(AND($L2330=0,$X2330="正常"),"※没填单价，价格状态请选「待补价」",IF(AND($S2330&gt;0,$R2330&gt;0),"△本批有 "&amp;$S2330&amp;" 行没单价，整批运费先挂账没摊",IF(AND($B2330&lt;&gt;"",COUNTIF($B$4:$B$2503,$B2330)&gt;1),"※入库单号重复","")))))))</f>
        <v/>
      </c>
    </row>
    <row r="2331">
      <c r="A2331" s="24">
        <f>IF($G2331="","",COUNTA($G$4:$G2331))</f>
        <v/>
      </c>
      <c r="B2331" s="17" t="n"/>
      <c r="C2331" s="30" t="n"/>
      <c r="D2331" s="17" t="n"/>
      <c r="E2331" s="17" t="n"/>
      <c r="F2331" s="17" t="n"/>
      <c r="G2331" s="17" t="n"/>
      <c r="H2331" s="24">
        <f>IF($G2331="","",IFERROR(VLOOKUP($G2331,物料档案!$A$4:$P$1203,3,0),"※编码不在物料档案里"))</f>
        <v/>
      </c>
      <c r="I2331" s="24">
        <f>IF($G2331="","",IFERROR(VLOOKUP($G2331,物料档案!$A$4:$P$1203,4,0),"※编码不在物料档案里"))</f>
        <v/>
      </c>
      <c r="J2331" s="24">
        <f>IF($G2331="","",IFERROR(VLOOKUP($G2331,物料档案!$A$4:$P$1203,5,0),"※编码不在物料档案里"))</f>
        <v/>
      </c>
      <c r="K2331" s="23" t="n"/>
      <c r="L2331" s="31" t="n"/>
      <c r="M2331" s="24">
        <f>IF($G2331="","",IF($D2331="A国内","CNY","TZS"))</f>
        <v/>
      </c>
      <c r="N2331" s="28">
        <f>IF($G2331="","",IF($D2331="A国内",汇率,1))</f>
        <v/>
      </c>
      <c r="O2331" s="25">
        <f>IF($G2331="","",ROUND(N($K2331)*N($L2331),2))</f>
        <v/>
      </c>
      <c r="P2331" s="26">
        <f>IF($G2331="","",ROUND($O2331*$N2331,0))</f>
        <v/>
      </c>
      <c r="Q2331" s="26">
        <f>IF($G2331="","",SUMIFS($P$4:$P$2503,$E$4:$E$2503,$E2331,$Z$4:$Z$2503,"正常"))</f>
        <v/>
      </c>
      <c r="R2331" s="26">
        <f>IF($G2331="","",SUMIFS(费用台账!$I$4:$I$503,费用台账!$C$4:$C$503,$E2331,费用台账!$J$4:$J$503,"是",费用台账!$K$4:$K$503,"正常"))</f>
        <v/>
      </c>
      <c r="S2331" s="28">
        <f>IF($G2331="","",COUNTIFS($E$4:$E$2503,$E2331,$Z$4:$Z$2503,"正常",$Y$4:$Y$2503,"待补价"))</f>
        <v/>
      </c>
      <c r="T2331" s="26">
        <f>IF($G2331="","",SUMIFS($P$4:$P$2503,$E$4:$E$2503,$E2331,$Z$4:$Z$2503,"正常",$A$4:$A$2503,"&lt;="&amp;$A2331))</f>
        <v/>
      </c>
      <c r="U2331" s="26">
        <f>IF($G2331="","",IF(OR($S2331&gt;0,$Q2331=0,$R2331=0,$Z2331&lt;&gt;"正常"),0,ROUND($T2331/$Q2331*$R2331,0)-ROUND(($T2331-$P2331)/$Q2331*$R2331,0)))</f>
        <v/>
      </c>
      <c r="V2331" s="26">
        <f>IF($G2331="","",ROUND($P2331+$U2331,0))</f>
        <v/>
      </c>
      <c r="W2331" s="26">
        <f>IF($G2331="","",IF(N($K2331)=0,0,ROUND($V2331/$K2331,2)))</f>
        <v/>
      </c>
      <c r="X2331" s="17" t="n"/>
      <c r="Y2331" s="17" t="n"/>
      <c r="Z2331" s="17" t="n"/>
      <c r="AA2331" s="17" t="n"/>
      <c r="AB2331" s="17" t="n"/>
      <c r="AC2331" s="24">
        <f>IF($G2331="","",IF($H2331="※编码不在物料档案里","※物料编码不在档案里",IF(N($K2331)&lt;=0,"※入库数量要大于 0",IF(AND($C2331&lt;&gt;"",$C2331&lt;=结账锁),"※日期早于已结账截止日，不能再录",IF(AND($L2331=0,$X2331="正常"),"※没填单价，价格状态请选「待补价」",IF(AND($S2331&gt;0,$R2331&gt;0),"△本批有 "&amp;$S2331&amp;" 行没单价，整批运费先挂账没摊",IF(AND($B2331&lt;&gt;"",COUNTIF($B$4:$B$2503,$B2331)&gt;1),"※入库单号重复","")))))))</f>
        <v/>
      </c>
    </row>
    <row r="2332">
      <c r="A2332" s="24">
        <f>IF($G2332="","",COUNTA($G$4:$G2332))</f>
        <v/>
      </c>
      <c r="B2332" s="17" t="n"/>
      <c r="C2332" s="30" t="n"/>
      <c r="D2332" s="17" t="n"/>
      <c r="E2332" s="17" t="n"/>
      <c r="F2332" s="17" t="n"/>
      <c r="G2332" s="17" t="n"/>
      <c r="H2332" s="24">
        <f>IF($G2332="","",IFERROR(VLOOKUP($G2332,物料档案!$A$4:$P$1203,3,0),"※编码不在物料档案里"))</f>
        <v/>
      </c>
      <c r="I2332" s="24">
        <f>IF($G2332="","",IFERROR(VLOOKUP($G2332,物料档案!$A$4:$P$1203,4,0),"※编码不在物料档案里"))</f>
        <v/>
      </c>
      <c r="J2332" s="24">
        <f>IF($G2332="","",IFERROR(VLOOKUP($G2332,物料档案!$A$4:$P$1203,5,0),"※编码不在物料档案里"))</f>
        <v/>
      </c>
      <c r="K2332" s="23" t="n"/>
      <c r="L2332" s="31" t="n"/>
      <c r="M2332" s="24">
        <f>IF($G2332="","",IF($D2332="A国内","CNY","TZS"))</f>
        <v/>
      </c>
      <c r="N2332" s="28">
        <f>IF($G2332="","",IF($D2332="A国内",汇率,1))</f>
        <v/>
      </c>
      <c r="O2332" s="25">
        <f>IF($G2332="","",ROUND(N($K2332)*N($L2332),2))</f>
        <v/>
      </c>
      <c r="P2332" s="26">
        <f>IF($G2332="","",ROUND($O2332*$N2332,0))</f>
        <v/>
      </c>
      <c r="Q2332" s="26">
        <f>IF($G2332="","",SUMIFS($P$4:$P$2503,$E$4:$E$2503,$E2332,$Z$4:$Z$2503,"正常"))</f>
        <v/>
      </c>
      <c r="R2332" s="26">
        <f>IF($G2332="","",SUMIFS(费用台账!$I$4:$I$503,费用台账!$C$4:$C$503,$E2332,费用台账!$J$4:$J$503,"是",费用台账!$K$4:$K$503,"正常"))</f>
        <v/>
      </c>
      <c r="S2332" s="28">
        <f>IF($G2332="","",COUNTIFS($E$4:$E$2503,$E2332,$Z$4:$Z$2503,"正常",$Y$4:$Y$2503,"待补价"))</f>
        <v/>
      </c>
      <c r="T2332" s="26">
        <f>IF($G2332="","",SUMIFS($P$4:$P$2503,$E$4:$E$2503,$E2332,$Z$4:$Z$2503,"正常",$A$4:$A$2503,"&lt;="&amp;$A2332))</f>
        <v/>
      </c>
      <c r="U2332" s="26">
        <f>IF($G2332="","",IF(OR($S2332&gt;0,$Q2332=0,$R2332=0,$Z2332&lt;&gt;"正常"),0,ROUND($T2332/$Q2332*$R2332,0)-ROUND(($T2332-$P2332)/$Q2332*$R2332,0)))</f>
        <v/>
      </c>
      <c r="V2332" s="26">
        <f>IF($G2332="","",ROUND($P2332+$U2332,0))</f>
        <v/>
      </c>
      <c r="W2332" s="26">
        <f>IF($G2332="","",IF(N($K2332)=0,0,ROUND($V2332/$K2332,2)))</f>
        <v/>
      </c>
      <c r="X2332" s="17" t="n"/>
      <c r="Y2332" s="17" t="n"/>
      <c r="Z2332" s="17" t="n"/>
      <c r="AA2332" s="17" t="n"/>
      <c r="AB2332" s="17" t="n"/>
      <c r="AC2332" s="24">
        <f>IF($G2332="","",IF($H2332="※编码不在物料档案里","※物料编码不在档案里",IF(N($K2332)&lt;=0,"※入库数量要大于 0",IF(AND($C2332&lt;&gt;"",$C2332&lt;=结账锁),"※日期早于已结账截止日，不能再录",IF(AND($L2332=0,$X2332="正常"),"※没填单价，价格状态请选「待补价」",IF(AND($S2332&gt;0,$R2332&gt;0),"△本批有 "&amp;$S2332&amp;" 行没单价，整批运费先挂账没摊",IF(AND($B2332&lt;&gt;"",COUNTIF($B$4:$B$2503,$B2332)&gt;1),"※入库单号重复","")))))))</f>
        <v/>
      </c>
    </row>
    <row r="2333">
      <c r="A2333" s="24">
        <f>IF($G2333="","",COUNTA($G$4:$G2333))</f>
        <v/>
      </c>
      <c r="B2333" s="17" t="n"/>
      <c r="C2333" s="30" t="n"/>
      <c r="D2333" s="17" t="n"/>
      <c r="E2333" s="17" t="n"/>
      <c r="F2333" s="17" t="n"/>
      <c r="G2333" s="17" t="n"/>
      <c r="H2333" s="24">
        <f>IF($G2333="","",IFERROR(VLOOKUP($G2333,物料档案!$A$4:$P$1203,3,0),"※编码不在物料档案里"))</f>
        <v/>
      </c>
      <c r="I2333" s="24">
        <f>IF($G2333="","",IFERROR(VLOOKUP($G2333,物料档案!$A$4:$P$1203,4,0),"※编码不在物料档案里"))</f>
        <v/>
      </c>
      <c r="J2333" s="24">
        <f>IF($G2333="","",IFERROR(VLOOKUP($G2333,物料档案!$A$4:$P$1203,5,0),"※编码不在物料档案里"))</f>
        <v/>
      </c>
      <c r="K2333" s="23" t="n"/>
      <c r="L2333" s="31" t="n"/>
      <c r="M2333" s="24">
        <f>IF($G2333="","",IF($D2333="A国内","CNY","TZS"))</f>
        <v/>
      </c>
      <c r="N2333" s="28">
        <f>IF($G2333="","",IF($D2333="A国内",汇率,1))</f>
        <v/>
      </c>
      <c r="O2333" s="25">
        <f>IF($G2333="","",ROUND(N($K2333)*N($L2333),2))</f>
        <v/>
      </c>
      <c r="P2333" s="26">
        <f>IF($G2333="","",ROUND($O2333*$N2333,0))</f>
        <v/>
      </c>
      <c r="Q2333" s="26">
        <f>IF($G2333="","",SUMIFS($P$4:$P$2503,$E$4:$E$2503,$E2333,$Z$4:$Z$2503,"正常"))</f>
        <v/>
      </c>
      <c r="R2333" s="26">
        <f>IF($G2333="","",SUMIFS(费用台账!$I$4:$I$503,费用台账!$C$4:$C$503,$E2333,费用台账!$J$4:$J$503,"是",费用台账!$K$4:$K$503,"正常"))</f>
        <v/>
      </c>
      <c r="S2333" s="28">
        <f>IF($G2333="","",COUNTIFS($E$4:$E$2503,$E2333,$Z$4:$Z$2503,"正常",$Y$4:$Y$2503,"待补价"))</f>
        <v/>
      </c>
      <c r="T2333" s="26">
        <f>IF($G2333="","",SUMIFS($P$4:$P$2503,$E$4:$E$2503,$E2333,$Z$4:$Z$2503,"正常",$A$4:$A$2503,"&lt;="&amp;$A2333))</f>
        <v/>
      </c>
      <c r="U2333" s="26">
        <f>IF($G2333="","",IF(OR($S2333&gt;0,$Q2333=0,$R2333=0,$Z2333&lt;&gt;"正常"),0,ROUND($T2333/$Q2333*$R2333,0)-ROUND(($T2333-$P2333)/$Q2333*$R2333,0)))</f>
        <v/>
      </c>
      <c r="V2333" s="26">
        <f>IF($G2333="","",ROUND($P2333+$U2333,0))</f>
        <v/>
      </c>
      <c r="W2333" s="26">
        <f>IF($G2333="","",IF(N($K2333)=0,0,ROUND($V2333/$K2333,2)))</f>
        <v/>
      </c>
      <c r="X2333" s="17" t="n"/>
      <c r="Y2333" s="17" t="n"/>
      <c r="Z2333" s="17" t="n"/>
      <c r="AA2333" s="17" t="n"/>
      <c r="AB2333" s="17" t="n"/>
      <c r="AC2333" s="24">
        <f>IF($G2333="","",IF($H2333="※编码不在物料档案里","※物料编码不在档案里",IF(N($K2333)&lt;=0,"※入库数量要大于 0",IF(AND($C2333&lt;&gt;"",$C2333&lt;=结账锁),"※日期早于已结账截止日，不能再录",IF(AND($L2333=0,$X2333="正常"),"※没填单价，价格状态请选「待补价」",IF(AND($S2333&gt;0,$R2333&gt;0),"△本批有 "&amp;$S2333&amp;" 行没单价，整批运费先挂账没摊",IF(AND($B2333&lt;&gt;"",COUNTIF($B$4:$B$2503,$B2333)&gt;1),"※入库单号重复","")))))))</f>
        <v/>
      </c>
    </row>
    <row r="2334">
      <c r="A2334" s="24">
        <f>IF($G2334="","",COUNTA($G$4:$G2334))</f>
        <v/>
      </c>
      <c r="B2334" s="17" t="n"/>
      <c r="C2334" s="30" t="n"/>
      <c r="D2334" s="17" t="n"/>
      <c r="E2334" s="17" t="n"/>
      <c r="F2334" s="17" t="n"/>
      <c r="G2334" s="17" t="n"/>
      <c r="H2334" s="24">
        <f>IF($G2334="","",IFERROR(VLOOKUP($G2334,物料档案!$A$4:$P$1203,3,0),"※编码不在物料档案里"))</f>
        <v/>
      </c>
      <c r="I2334" s="24">
        <f>IF($G2334="","",IFERROR(VLOOKUP($G2334,物料档案!$A$4:$P$1203,4,0),"※编码不在物料档案里"))</f>
        <v/>
      </c>
      <c r="J2334" s="24">
        <f>IF($G2334="","",IFERROR(VLOOKUP($G2334,物料档案!$A$4:$P$1203,5,0),"※编码不在物料档案里"))</f>
        <v/>
      </c>
      <c r="K2334" s="23" t="n"/>
      <c r="L2334" s="31" t="n"/>
      <c r="M2334" s="24">
        <f>IF($G2334="","",IF($D2334="A国内","CNY","TZS"))</f>
        <v/>
      </c>
      <c r="N2334" s="28">
        <f>IF($G2334="","",IF($D2334="A国内",汇率,1))</f>
        <v/>
      </c>
      <c r="O2334" s="25">
        <f>IF($G2334="","",ROUND(N($K2334)*N($L2334),2))</f>
        <v/>
      </c>
      <c r="P2334" s="26">
        <f>IF($G2334="","",ROUND($O2334*$N2334,0))</f>
        <v/>
      </c>
      <c r="Q2334" s="26">
        <f>IF($G2334="","",SUMIFS($P$4:$P$2503,$E$4:$E$2503,$E2334,$Z$4:$Z$2503,"正常"))</f>
        <v/>
      </c>
      <c r="R2334" s="26">
        <f>IF($G2334="","",SUMIFS(费用台账!$I$4:$I$503,费用台账!$C$4:$C$503,$E2334,费用台账!$J$4:$J$503,"是",费用台账!$K$4:$K$503,"正常"))</f>
        <v/>
      </c>
      <c r="S2334" s="28">
        <f>IF($G2334="","",COUNTIFS($E$4:$E$2503,$E2334,$Z$4:$Z$2503,"正常",$Y$4:$Y$2503,"待补价"))</f>
        <v/>
      </c>
      <c r="T2334" s="26">
        <f>IF($G2334="","",SUMIFS($P$4:$P$2503,$E$4:$E$2503,$E2334,$Z$4:$Z$2503,"正常",$A$4:$A$2503,"&lt;="&amp;$A2334))</f>
        <v/>
      </c>
      <c r="U2334" s="26">
        <f>IF($G2334="","",IF(OR($S2334&gt;0,$Q2334=0,$R2334=0,$Z2334&lt;&gt;"正常"),0,ROUND($T2334/$Q2334*$R2334,0)-ROUND(($T2334-$P2334)/$Q2334*$R2334,0)))</f>
        <v/>
      </c>
      <c r="V2334" s="26">
        <f>IF($G2334="","",ROUND($P2334+$U2334,0))</f>
        <v/>
      </c>
      <c r="W2334" s="26">
        <f>IF($G2334="","",IF(N($K2334)=0,0,ROUND($V2334/$K2334,2)))</f>
        <v/>
      </c>
      <c r="X2334" s="17" t="n"/>
      <c r="Y2334" s="17" t="n"/>
      <c r="Z2334" s="17" t="n"/>
      <c r="AA2334" s="17" t="n"/>
      <c r="AB2334" s="17" t="n"/>
      <c r="AC2334" s="24">
        <f>IF($G2334="","",IF($H2334="※编码不在物料档案里","※物料编码不在档案里",IF(N($K2334)&lt;=0,"※入库数量要大于 0",IF(AND($C2334&lt;&gt;"",$C2334&lt;=结账锁),"※日期早于已结账截止日，不能再录",IF(AND($L2334=0,$X2334="正常"),"※没填单价，价格状态请选「待补价」",IF(AND($S2334&gt;0,$R2334&gt;0),"△本批有 "&amp;$S2334&amp;" 行没单价，整批运费先挂账没摊",IF(AND($B2334&lt;&gt;"",COUNTIF($B$4:$B$2503,$B2334)&gt;1),"※入库单号重复","")))))))</f>
        <v/>
      </c>
    </row>
    <row r="2335">
      <c r="A2335" s="24">
        <f>IF($G2335="","",COUNTA($G$4:$G2335))</f>
        <v/>
      </c>
      <c r="B2335" s="17" t="n"/>
      <c r="C2335" s="30" t="n"/>
      <c r="D2335" s="17" t="n"/>
      <c r="E2335" s="17" t="n"/>
      <c r="F2335" s="17" t="n"/>
      <c r="G2335" s="17" t="n"/>
      <c r="H2335" s="24">
        <f>IF($G2335="","",IFERROR(VLOOKUP($G2335,物料档案!$A$4:$P$1203,3,0),"※编码不在物料档案里"))</f>
        <v/>
      </c>
      <c r="I2335" s="24">
        <f>IF($G2335="","",IFERROR(VLOOKUP($G2335,物料档案!$A$4:$P$1203,4,0),"※编码不在物料档案里"))</f>
        <v/>
      </c>
      <c r="J2335" s="24">
        <f>IF($G2335="","",IFERROR(VLOOKUP($G2335,物料档案!$A$4:$P$1203,5,0),"※编码不在物料档案里"))</f>
        <v/>
      </c>
      <c r="K2335" s="23" t="n"/>
      <c r="L2335" s="31" t="n"/>
      <c r="M2335" s="24">
        <f>IF($G2335="","",IF($D2335="A国内","CNY","TZS"))</f>
        <v/>
      </c>
      <c r="N2335" s="28">
        <f>IF($G2335="","",IF($D2335="A国内",汇率,1))</f>
        <v/>
      </c>
      <c r="O2335" s="25">
        <f>IF($G2335="","",ROUND(N($K2335)*N($L2335),2))</f>
        <v/>
      </c>
      <c r="P2335" s="26">
        <f>IF($G2335="","",ROUND($O2335*$N2335,0))</f>
        <v/>
      </c>
      <c r="Q2335" s="26">
        <f>IF($G2335="","",SUMIFS($P$4:$P$2503,$E$4:$E$2503,$E2335,$Z$4:$Z$2503,"正常"))</f>
        <v/>
      </c>
      <c r="R2335" s="26">
        <f>IF($G2335="","",SUMIFS(费用台账!$I$4:$I$503,费用台账!$C$4:$C$503,$E2335,费用台账!$J$4:$J$503,"是",费用台账!$K$4:$K$503,"正常"))</f>
        <v/>
      </c>
      <c r="S2335" s="28">
        <f>IF($G2335="","",COUNTIFS($E$4:$E$2503,$E2335,$Z$4:$Z$2503,"正常",$Y$4:$Y$2503,"待补价"))</f>
        <v/>
      </c>
      <c r="T2335" s="26">
        <f>IF($G2335="","",SUMIFS($P$4:$P$2503,$E$4:$E$2503,$E2335,$Z$4:$Z$2503,"正常",$A$4:$A$2503,"&lt;="&amp;$A2335))</f>
        <v/>
      </c>
      <c r="U2335" s="26">
        <f>IF($G2335="","",IF(OR($S2335&gt;0,$Q2335=0,$R2335=0,$Z2335&lt;&gt;"正常"),0,ROUND($T2335/$Q2335*$R2335,0)-ROUND(($T2335-$P2335)/$Q2335*$R2335,0)))</f>
        <v/>
      </c>
      <c r="V2335" s="26">
        <f>IF($G2335="","",ROUND($P2335+$U2335,0))</f>
        <v/>
      </c>
      <c r="W2335" s="26">
        <f>IF($G2335="","",IF(N($K2335)=0,0,ROUND($V2335/$K2335,2)))</f>
        <v/>
      </c>
      <c r="X2335" s="17" t="n"/>
      <c r="Y2335" s="17" t="n"/>
      <c r="Z2335" s="17" t="n"/>
      <c r="AA2335" s="17" t="n"/>
      <c r="AB2335" s="17" t="n"/>
      <c r="AC2335" s="24">
        <f>IF($G2335="","",IF($H2335="※编码不在物料档案里","※物料编码不在档案里",IF(N($K2335)&lt;=0,"※入库数量要大于 0",IF(AND($C2335&lt;&gt;"",$C2335&lt;=结账锁),"※日期早于已结账截止日，不能再录",IF(AND($L2335=0,$X2335="正常"),"※没填单价，价格状态请选「待补价」",IF(AND($S2335&gt;0,$R2335&gt;0),"△本批有 "&amp;$S2335&amp;" 行没单价，整批运费先挂账没摊",IF(AND($B2335&lt;&gt;"",COUNTIF($B$4:$B$2503,$B2335)&gt;1),"※入库单号重复","")))))))</f>
        <v/>
      </c>
    </row>
    <row r="2336">
      <c r="A2336" s="24">
        <f>IF($G2336="","",COUNTA($G$4:$G2336))</f>
        <v/>
      </c>
      <c r="B2336" s="17" t="n"/>
      <c r="C2336" s="30" t="n"/>
      <c r="D2336" s="17" t="n"/>
      <c r="E2336" s="17" t="n"/>
      <c r="F2336" s="17" t="n"/>
      <c r="G2336" s="17" t="n"/>
      <c r="H2336" s="24">
        <f>IF($G2336="","",IFERROR(VLOOKUP($G2336,物料档案!$A$4:$P$1203,3,0),"※编码不在物料档案里"))</f>
        <v/>
      </c>
      <c r="I2336" s="24">
        <f>IF($G2336="","",IFERROR(VLOOKUP($G2336,物料档案!$A$4:$P$1203,4,0),"※编码不在物料档案里"))</f>
        <v/>
      </c>
      <c r="J2336" s="24">
        <f>IF($G2336="","",IFERROR(VLOOKUP($G2336,物料档案!$A$4:$P$1203,5,0),"※编码不在物料档案里"))</f>
        <v/>
      </c>
      <c r="K2336" s="23" t="n"/>
      <c r="L2336" s="31" t="n"/>
      <c r="M2336" s="24">
        <f>IF($G2336="","",IF($D2336="A国内","CNY","TZS"))</f>
        <v/>
      </c>
      <c r="N2336" s="28">
        <f>IF($G2336="","",IF($D2336="A国内",汇率,1))</f>
        <v/>
      </c>
      <c r="O2336" s="25">
        <f>IF($G2336="","",ROUND(N($K2336)*N($L2336),2))</f>
        <v/>
      </c>
      <c r="P2336" s="26">
        <f>IF($G2336="","",ROUND($O2336*$N2336,0))</f>
        <v/>
      </c>
      <c r="Q2336" s="26">
        <f>IF($G2336="","",SUMIFS($P$4:$P$2503,$E$4:$E$2503,$E2336,$Z$4:$Z$2503,"正常"))</f>
        <v/>
      </c>
      <c r="R2336" s="26">
        <f>IF($G2336="","",SUMIFS(费用台账!$I$4:$I$503,费用台账!$C$4:$C$503,$E2336,费用台账!$J$4:$J$503,"是",费用台账!$K$4:$K$503,"正常"))</f>
        <v/>
      </c>
      <c r="S2336" s="28">
        <f>IF($G2336="","",COUNTIFS($E$4:$E$2503,$E2336,$Z$4:$Z$2503,"正常",$Y$4:$Y$2503,"待补价"))</f>
        <v/>
      </c>
      <c r="T2336" s="26">
        <f>IF($G2336="","",SUMIFS($P$4:$P$2503,$E$4:$E$2503,$E2336,$Z$4:$Z$2503,"正常",$A$4:$A$2503,"&lt;="&amp;$A2336))</f>
        <v/>
      </c>
      <c r="U2336" s="26">
        <f>IF($G2336="","",IF(OR($S2336&gt;0,$Q2336=0,$R2336=0,$Z2336&lt;&gt;"正常"),0,ROUND($T2336/$Q2336*$R2336,0)-ROUND(($T2336-$P2336)/$Q2336*$R2336,0)))</f>
        <v/>
      </c>
      <c r="V2336" s="26">
        <f>IF($G2336="","",ROUND($P2336+$U2336,0))</f>
        <v/>
      </c>
      <c r="W2336" s="26">
        <f>IF($G2336="","",IF(N($K2336)=0,0,ROUND($V2336/$K2336,2)))</f>
        <v/>
      </c>
      <c r="X2336" s="17" t="n"/>
      <c r="Y2336" s="17" t="n"/>
      <c r="Z2336" s="17" t="n"/>
      <c r="AA2336" s="17" t="n"/>
      <c r="AB2336" s="17" t="n"/>
      <c r="AC2336" s="24">
        <f>IF($G2336="","",IF($H2336="※编码不在物料档案里","※物料编码不在档案里",IF(N($K2336)&lt;=0,"※入库数量要大于 0",IF(AND($C2336&lt;&gt;"",$C2336&lt;=结账锁),"※日期早于已结账截止日，不能再录",IF(AND($L2336=0,$X2336="正常"),"※没填单价，价格状态请选「待补价」",IF(AND($S2336&gt;0,$R2336&gt;0),"△本批有 "&amp;$S2336&amp;" 行没单价，整批运费先挂账没摊",IF(AND($B2336&lt;&gt;"",COUNTIF($B$4:$B$2503,$B2336)&gt;1),"※入库单号重复","")))))))</f>
        <v/>
      </c>
    </row>
    <row r="2337">
      <c r="A2337" s="24">
        <f>IF($G2337="","",COUNTA($G$4:$G2337))</f>
        <v/>
      </c>
      <c r="B2337" s="17" t="n"/>
      <c r="C2337" s="30" t="n"/>
      <c r="D2337" s="17" t="n"/>
      <c r="E2337" s="17" t="n"/>
      <c r="F2337" s="17" t="n"/>
      <c r="G2337" s="17" t="n"/>
      <c r="H2337" s="24">
        <f>IF($G2337="","",IFERROR(VLOOKUP($G2337,物料档案!$A$4:$P$1203,3,0),"※编码不在物料档案里"))</f>
        <v/>
      </c>
      <c r="I2337" s="24">
        <f>IF($G2337="","",IFERROR(VLOOKUP($G2337,物料档案!$A$4:$P$1203,4,0),"※编码不在物料档案里"))</f>
        <v/>
      </c>
      <c r="J2337" s="24">
        <f>IF($G2337="","",IFERROR(VLOOKUP($G2337,物料档案!$A$4:$P$1203,5,0),"※编码不在物料档案里"))</f>
        <v/>
      </c>
      <c r="K2337" s="23" t="n"/>
      <c r="L2337" s="31" t="n"/>
      <c r="M2337" s="24">
        <f>IF($G2337="","",IF($D2337="A国内","CNY","TZS"))</f>
        <v/>
      </c>
      <c r="N2337" s="28">
        <f>IF($G2337="","",IF($D2337="A国内",汇率,1))</f>
        <v/>
      </c>
      <c r="O2337" s="25">
        <f>IF($G2337="","",ROUND(N($K2337)*N($L2337),2))</f>
        <v/>
      </c>
      <c r="P2337" s="26">
        <f>IF($G2337="","",ROUND($O2337*$N2337,0))</f>
        <v/>
      </c>
      <c r="Q2337" s="26">
        <f>IF($G2337="","",SUMIFS($P$4:$P$2503,$E$4:$E$2503,$E2337,$Z$4:$Z$2503,"正常"))</f>
        <v/>
      </c>
      <c r="R2337" s="26">
        <f>IF($G2337="","",SUMIFS(费用台账!$I$4:$I$503,费用台账!$C$4:$C$503,$E2337,费用台账!$J$4:$J$503,"是",费用台账!$K$4:$K$503,"正常"))</f>
        <v/>
      </c>
      <c r="S2337" s="28">
        <f>IF($G2337="","",COUNTIFS($E$4:$E$2503,$E2337,$Z$4:$Z$2503,"正常",$Y$4:$Y$2503,"待补价"))</f>
        <v/>
      </c>
      <c r="T2337" s="26">
        <f>IF($G2337="","",SUMIFS($P$4:$P$2503,$E$4:$E$2503,$E2337,$Z$4:$Z$2503,"正常",$A$4:$A$2503,"&lt;="&amp;$A2337))</f>
        <v/>
      </c>
      <c r="U2337" s="26">
        <f>IF($G2337="","",IF(OR($S2337&gt;0,$Q2337=0,$R2337=0,$Z2337&lt;&gt;"正常"),0,ROUND($T2337/$Q2337*$R2337,0)-ROUND(($T2337-$P2337)/$Q2337*$R2337,0)))</f>
        <v/>
      </c>
      <c r="V2337" s="26">
        <f>IF($G2337="","",ROUND($P2337+$U2337,0))</f>
        <v/>
      </c>
      <c r="W2337" s="26">
        <f>IF($G2337="","",IF(N($K2337)=0,0,ROUND($V2337/$K2337,2)))</f>
        <v/>
      </c>
      <c r="X2337" s="17" t="n"/>
      <c r="Y2337" s="17" t="n"/>
      <c r="Z2337" s="17" t="n"/>
      <c r="AA2337" s="17" t="n"/>
      <c r="AB2337" s="17" t="n"/>
      <c r="AC2337" s="24">
        <f>IF($G2337="","",IF($H2337="※编码不在物料档案里","※物料编码不在档案里",IF(N($K2337)&lt;=0,"※入库数量要大于 0",IF(AND($C2337&lt;&gt;"",$C2337&lt;=结账锁),"※日期早于已结账截止日，不能再录",IF(AND($L2337=0,$X2337="正常"),"※没填单价，价格状态请选「待补价」",IF(AND($S2337&gt;0,$R2337&gt;0),"△本批有 "&amp;$S2337&amp;" 行没单价，整批运费先挂账没摊",IF(AND($B2337&lt;&gt;"",COUNTIF($B$4:$B$2503,$B2337)&gt;1),"※入库单号重复","")))))))</f>
        <v/>
      </c>
    </row>
    <row r="2338">
      <c r="A2338" s="24">
        <f>IF($G2338="","",COUNTA($G$4:$G2338))</f>
        <v/>
      </c>
      <c r="B2338" s="17" t="n"/>
      <c r="C2338" s="30" t="n"/>
      <c r="D2338" s="17" t="n"/>
      <c r="E2338" s="17" t="n"/>
      <c r="F2338" s="17" t="n"/>
      <c r="G2338" s="17" t="n"/>
      <c r="H2338" s="24">
        <f>IF($G2338="","",IFERROR(VLOOKUP($G2338,物料档案!$A$4:$P$1203,3,0),"※编码不在物料档案里"))</f>
        <v/>
      </c>
      <c r="I2338" s="24">
        <f>IF($G2338="","",IFERROR(VLOOKUP($G2338,物料档案!$A$4:$P$1203,4,0),"※编码不在物料档案里"))</f>
        <v/>
      </c>
      <c r="J2338" s="24">
        <f>IF($G2338="","",IFERROR(VLOOKUP($G2338,物料档案!$A$4:$P$1203,5,0),"※编码不在物料档案里"))</f>
        <v/>
      </c>
      <c r="K2338" s="23" t="n"/>
      <c r="L2338" s="31" t="n"/>
      <c r="M2338" s="24">
        <f>IF($G2338="","",IF($D2338="A国内","CNY","TZS"))</f>
        <v/>
      </c>
      <c r="N2338" s="28">
        <f>IF($G2338="","",IF($D2338="A国内",汇率,1))</f>
        <v/>
      </c>
      <c r="O2338" s="25">
        <f>IF($G2338="","",ROUND(N($K2338)*N($L2338),2))</f>
        <v/>
      </c>
      <c r="P2338" s="26">
        <f>IF($G2338="","",ROUND($O2338*$N2338,0))</f>
        <v/>
      </c>
      <c r="Q2338" s="26">
        <f>IF($G2338="","",SUMIFS($P$4:$P$2503,$E$4:$E$2503,$E2338,$Z$4:$Z$2503,"正常"))</f>
        <v/>
      </c>
      <c r="R2338" s="26">
        <f>IF($G2338="","",SUMIFS(费用台账!$I$4:$I$503,费用台账!$C$4:$C$503,$E2338,费用台账!$J$4:$J$503,"是",费用台账!$K$4:$K$503,"正常"))</f>
        <v/>
      </c>
      <c r="S2338" s="28">
        <f>IF($G2338="","",COUNTIFS($E$4:$E$2503,$E2338,$Z$4:$Z$2503,"正常",$Y$4:$Y$2503,"待补价"))</f>
        <v/>
      </c>
      <c r="T2338" s="26">
        <f>IF($G2338="","",SUMIFS($P$4:$P$2503,$E$4:$E$2503,$E2338,$Z$4:$Z$2503,"正常",$A$4:$A$2503,"&lt;="&amp;$A2338))</f>
        <v/>
      </c>
      <c r="U2338" s="26">
        <f>IF($G2338="","",IF(OR($S2338&gt;0,$Q2338=0,$R2338=0,$Z2338&lt;&gt;"正常"),0,ROUND($T2338/$Q2338*$R2338,0)-ROUND(($T2338-$P2338)/$Q2338*$R2338,0)))</f>
        <v/>
      </c>
      <c r="V2338" s="26">
        <f>IF($G2338="","",ROUND($P2338+$U2338,0))</f>
        <v/>
      </c>
      <c r="W2338" s="26">
        <f>IF($G2338="","",IF(N($K2338)=0,0,ROUND($V2338/$K2338,2)))</f>
        <v/>
      </c>
      <c r="X2338" s="17" t="n"/>
      <c r="Y2338" s="17" t="n"/>
      <c r="Z2338" s="17" t="n"/>
      <c r="AA2338" s="17" t="n"/>
      <c r="AB2338" s="17" t="n"/>
      <c r="AC2338" s="24">
        <f>IF($G2338="","",IF($H2338="※编码不在物料档案里","※物料编码不在档案里",IF(N($K2338)&lt;=0,"※入库数量要大于 0",IF(AND($C2338&lt;&gt;"",$C2338&lt;=结账锁),"※日期早于已结账截止日，不能再录",IF(AND($L2338=0,$X2338="正常"),"※没填单价，价格状态请选「待补价」",IF(AND($S2338&gt;0,$R2338&gt;0),"△本批有 "&amp;$S2338&amp;" 行没单价，整批运费先挂账没摊",IF(AND($B2338&lt;&gt;"",COUNTIF($B$4:$B$2503,$B2338)&gt;1),"※入库单号重复","")))))))</f>
        <v/>
      </c>
    </row>
    <row r="2339">
      <c r="A2339" s="24">
        <f>IF($G2339="","",COUNTA($G$4:$G2339))</f>
        <v/>
      </c>
      <c r="B2339" s="17" t="n"/>
      <c r="C2339" s="30" t="n"/>
      <c r="D2339" s="17" t="n"/>
      <c r="E2339" s="17" t="n"/>
      <c r="F2339" s="17" t="n"/>
      <c r="G2339" s="17" t="n"/>
      <c r="H2339" s="24">
        <f>IF($G2339="","",IFERROR(VLOOKUP($G2339,物料档案!$A$4:$P$1203,3,0),"※编码不在物料档案里"))</f>
        <v/>
      </c>
      <c r="I2339" s="24">
        <f>IF($G2339="","",IFERROR(VLOOKUP($G2339,物料档案!$A$4:$P$1203,4,0),"※编码不在物料档案里"))</f>
        <v/>
      </c>
      <c r="J2339" s="24">
        <f>IF($G2339="","",IFERROR(VLOOKUP($G2339,物料档案!$A$4:$P$1203,5,0),"※编码不在物料档案里"))</f>
        <v/>
      </c>
      <c r="K2339" s="23" t="n"/>
      <c r="L2339" s="31" t="n"/>
      <c r="M2339" s="24">
        <f>IF($G2339="","",IF($D2339="A国内","CNY","TZS"))</f>
        <v/>
      </c>
      <c r="N2339" s="28">
        <f>IF($G2339="","",IF($D2339="A国内",汇率,1))</f>
        <v/>
      </c>
      <c r="O2339" s="25">
        <f>IF($G2339="","",ROUND(N($K2339)*N($L2339),2))</f>
        <v/>
      </c>
      <c r="P2339" s="26">
        <f>IF($G2339="","",ROUND($O2339*$N2339,0))</f>
        <v/>
      </c>
      <c r="Q2339" s="26">
        <f>IF($G2339="","",SUMIFS($P$4:$P$2503,$E$4:$E$2503,$E2339,$Z$4:$Z$2503,"正常"))</f>
        <v/>
      </c>
      <c r="R2339" s="26">
        <f>IF($G2339="","",SUMIFS(费用台账!$I$4:$I$503,费用台账!$C$4:$C$503,$E2339,费用台账!$J$4:$J$503,"是",费用台账!$K$4:$K$503,"正常"))</f>
        <v/>
      </c>
      <c r="S2339" s="28">
        <f>IF($G2339="","",COUNTIFS($E$4:$E$2503,$E2339,$Z$4:$Z$2503,"正常",$Y$4:$Y$2503,"待补价"))</f>
        <v/>
      </c>
      <c r="T2339" s="26">
        <f>IF($G2339="","",SUMIFS($P$4:$P$2503,$E$4:$E$2503,$E2339,$Z$4:$Z$2503,"正常",$A$4:$A$2503,"&lt;="&amp;$A2339))</f>
        <v/>
      </c>
      <c r="U2339" s="26">
        <f>IF($G2339="","",IF(OR($S2339&gt;0,$Q2339=0,$R2339=0,$Z2339&lt;&gt;"正常"),0,ROUND($T2339/$Q2339*$R2339,0)-ROUND(($T2339-$P2339)/$Q2339*$R2339,0)))</f>
        <v/>
      </c>
      <c r="V2339" s="26">
        <f>IF($G2339="","",ROUND($P2339+$U2339,0))</f>
        <v/>
      </c>
      <c r="W2339" s="26">
        <f>IF($G2339="","",IF(N($K2339)=0,0,ROUND($V2339/$K2339,2)))</f>
        <v/>
      </c>
      <c r="X2339" s="17" t="n"/>
      <c r="Y2339" s="17" t="n"/>
      <c r="Z2339" s="17" t="n"/>
      <c r="AA2339" s="17" t="n"/>
      <c r="AB2339" s="17" t="n"/>
      <c r="AC2339" s="24">
        <f>IF($G2339="","",IF($H2339="※编码不在物料档案里","※物料编码不在档案里",IF(N($K2339)&lt;=0,"※入库数量要大于 0",IF(AND($C2339&lt;&gt;"",$C2339&lt;=结账锁),"※日期早于已结账截止日，不能再录",IF(AND($L2339=0,$X2339="正常"),"※没填单价，价格状态请选「待补价」",IF(AND($S2339&gt;0,$R2339&gt;0),"△本批有 "&amp;$S2339&amp;" 行没单价，整批运费先挂账没摊",IF(AND($B2339&lt;&gt;"",COUNTIF($B$4:$B$2503,$B2339)&gt;1),"※入库单号重复","")))))))</f>
        <v/>
      </c>
    </row>
    <row r="2340">
      <c r="A2340" s="24">
        <f>IF($G2340="","",COUNTA($G$4:$G2340))</f>
        <v/>
      </c>
      <c r="B2340" s="17" t="n"/>
      <c r="C2340" s="30" t="n"/>
      <c r="D2340" s="17" t="n"/>
      <c r="E2340" s="17" t="n"/>
      <c r="F2340" s="17" t="n"/>
      <c r="G2340" s="17" t="n"/>
      <c r="H2340" s="24">
        <f>IF($G2340="","",IFERROR(VLOOKUP($G2340,物料档案!$A$4:$P$1203,3,0),"※编码不在物料档案里"))</f>
        <v/>
      </c>
      <c r="I2340" s="24">
        <f>IF($G2340="","",IFERROR(VLOOKUP($G2340,物料档案!$A$4:$P$1203,4,0),"※编码不在物料档案里"))</f>
        <v/>
      </c>
      <c r="J2340" s="24">
        <f>IF($G2340="","",IFERROR(VLOOKUP($G2340,物料档案!$A$4:$P$1203,5,0),"※编码不在物料档案里"))</f>
        <v/>
      </c>
      <c r="K2340" s="23" t="n"/>
      <c r="L2340" s="31" t="n"/>
      <c r="M2340" s="24">
        <f>IF($G2340="","",IF($D2340="A国内","CNY","TZS"))</f>
        <v/>
      </c>
      <c r="N2340" s="28">
        <f>IF($G2340="","",IF($D2340="A国内",汇率,1))</f>
        <v/>
      </c>
      <c r="O2340" s="25">
        <f>IF($G2340="","",ROUND(N($K2340)*N($L2340),2))</f>
        <v/>
      </c>
      <c r="P2340" s="26">
        <f>IF($G2340="","",ROUND($O2340*$N2340,0))</f>
        <v/>
      </c>
      <c r="Q2340" s="26">
        <f>IF($G2340="","",SUMIFS($P$4:$P$2503,$E$4:$E$2503,$E2340,$Z$4:$Z$2503,"正常"))</f>
        <v/>
      </c>
      <c r="R2340" s="26">
        <f>IF($G2340="","",SUMIFS(费用台账!$I$4:$I$503,费用台账!$C$4:$C$503,$E2340,费用台账!$J$4:$J$503,"是",费用台账!$K$4:$K$503,"正常"))</f>
        <v/>
      </c>
      <c r="S2340" s="28">
        <f>IF($G2340="","",COUNTIFS($E$4:$E$2503,$E2340,$Z$4:$Z$2503,"正常",$Y$4:$Y$2503,"待补价"))</f>
        <v/>
      </c>
      <c r="T2340" s="26">
        <f>IF($G2340="","",SUMIFS($P$4:$P$2503,$E$4:$E$2503,$E2340,$Z$4:$Z$2503,"正常",$A$4:$A$2503,"&lt;="&amp;$A2340))</f>
        <v/>
      </c>
      <c r="U2340" s="26">
        <f>IF($G2340="","",IF(OR($S2340&gt;0,$Q2340=0,$R2340=0,$Z2340&lt;&gt;"正常"),0,ROUND($T2340/$Q2340*$R2340,0)-ROUND(($T2340-$P2340)/$Q2340*$R2340,0)))</f>
        <v/>
      </c>
      <c r="V2340" s="26">
        <f>IF($G2340="","",ROUND($P2340+$U2340,0))</f>
        <v/>
      </c>
      <c r="W2340" s="26">
        <f>IF($G2340="","",IF(N($K2340)=0,0,ROUND($V2340/$K2340,2)))</f>
        <v/>
      </c>
      <c r="X2340" s="17" t="n"/>
      <c r="Y2340" s="17" t="n"/>
      <c r="Z2340" s="17" t="n"/>
      <c r="AA2340" s="17" t="n"/>
      <c r="AB2340" s="17" t="n"/>
      <c r="AC2340" s="24">
        <f>IF($G2340="","",IF($H2340="※编码不在物料档案里","※物料编码不在档案里",IF(N($K2340)&lt;=0,"※入库数量要大于 0",IF(AND($C2340&lt;&gt;"",$C2340&lt;=结账锁),"※日期早于已结账截止日，不能再录",IF(AND($L2340=0,$X2340="正常"),"※没填单价，价格状态请选「待补价」",IF(AND($S2340&gt;0,$R2340&gt;0),"△本批有 "&amp;$S2340&amp;" 行没单价，整批运费先挂账没摊",IF(AND($B2340&lt;&gt;"",COUNTIF($B$4:$B$2503,$B2340)&gt;1),"※入库单号重复","")))))))</f>
        <v/>
      </c>
    </row>
    <row r="2341">
      <c r="A2341" s="24">
        <f>IF($G2341="","",COUNTA($G$4:$G2341))</f>
        <v/>
      </c>
      <c r="B2341" s="17" t="n"/>
      <c r="C2341" s="30" t="n"/>
      <c r="D2341" s="17" t="n"/>
      <c r="E2341" s="17" t="n"/>
      <c r="F2341" s="17" t="n"/>
      <c r="G2341" s="17" t="n"/>
      <c r="H2341" s="24">
        <f>IF($G2341="","",IFERROR(VLOOKUP($G2341,物料档案!$A$4:$P$1203,3,0),"※编码不在物料档案里"))</f>
        <v/>
      </c>
      <c r="I2341" s="24">
        <f>IF($G2341="","",IFERROR(VLOOKUP($G2341,物料档案!$A$4:$P$1203,4,0),"※编码不在物料档案里"))</f>
        <v/>
      </c>
      <c r="J2341" s="24">
        <f>IF($G2341="","",IFERROR(VLOOKUP($G2341,物料档案!$A$4:$P$1203,5,0),"※编码不在物料档案里"))</f>
        <v/>
      </c>
      <c r="K2341" s="23" t="n"/>
      <c r="L2341" s="31" t="n"/>
      <c r="M2341" s="24">
        <f>IF($G2341="","",IF($D2341="A国内","CNY","TZS"))</f>
        <v/>
      </c>
      <c r="N2341" s="28">
        <f>IF($G2341="","",IF($D2341="A国内",汇率,1))</f>
        <v/>
      </c>
      <c r="O2341" s="25">
        <f>IF($G2341="","",ROUND(N($K2341)*N($L2341),2))</f>
        <v/>
      </c>
      <c r="P2341" s="26">
        <f>IF($G2341="","",ROUND($O2341*$N2341,0))</f>
        <v/>
      </c>
      <c r="Q2341" s="26">
        <f>IF($G2341="","",SUMIFS($P$4:$P$2503,$E$4:$E$2503,$E2341,$Z$4:$Z$2503,"正常"))</f>
        <v/>
      </c>
      <c r="R2341" s="26">
        <f>IF($G2341="","",SUMIFS(费用台账!$I$4:$I$503,费用台账!$C$4:$C$503,$E2341,费用台账!$J$4:$J$503,"是",费用台账!$K$4:$K$503,"正常"))</f>
        <v/>
      </c>
      <c r="S2341" s="28">
        <f>IF($G2341="","",COUNTIFS($E$4:$E$2503,$E2341,$Z$4:$Z$2503,"正常",$Y$4:$Y$2503,"待补价"))</f>
        <v/>
      </c>
      <c r="T2341" s="26">
        <f>IF($G2341="","",SUMIFS($P$4:$P$2503,$E$4:$E$2503,$E2341,$Z$4:$Z$2503,"正常",$A$4:$A$2503,"&lt;="&amp;$A2341))</f>
        <v/>
      </c>
      <c r="U2341" s="26">
        <f>IF($G2341="","",IF(OR($S2341&gt;0,$Q2341=0,$R2341=0,$Z2341&lt;&gt;"正常"),0,ROUND($T2341/$Q2341*$R2341,0)-ROUND(($T2341-$P2341)/$Q2341*$R2341,0)))</f>
        <v/>
      </c>
      <c r="V2341" s="26">
        <f>IF($G2341="","",ROUND($P2341+$U2341,0))</f>
        <v/>
      </c>
      <c r="W2341" s="26">
        <f>IF($G2341="","",IF(N($K2341)=0,0,ROUND($V2341/$K2341,2)))</f>
        <v/>
      </c>
      <c r="X2341" s="17" t="n"/>
      <c r="Y2341" s="17" t="n"/>
      <c r="Z2341" s="17" t="n"/>
      <c r="AA2341" s="17" t="n"/>
      <c r="AB2341" s="17" t="n"/>
      <c r="AC2341" s="24">
        <f>IF($G2341="","",IF($H2341="※编码不在物料档案里","※物料编码不在档案里",IF(N($K2341)&lt;=0,"※入库数量要大于 0",IF(AND($C2341&lt;&gt;"",$C2341&lt;=结账锁),"※日期早于已结账截止日，不能再录",IF(AND($L2341=0,$X2341="正常"),"※没填单价，价格状态请选「待补价」",IF(AND($S2341&gt;0,$R2341&gt;0),"△本批有 "&amp;$S2341&amp;" 行没单价，整批运费先挂账没摊",IF(AND($B2341&lt;&gt;"",COUNTIF($B$4:$B$2503,$B2341)&gt;1),"※入库单号重复","")))))))</f>
        <v/>
      </c>
    </row>
    <row r="2342">
      <c r="A2342" s="24">
        <f>IF($G2342="","",COUNTA($G$4:$G2342))</f>
        <v/>
      </c>
      <c r="B2342" s="17" t="n"/>
      <c r="C2342" s="30" t="n"/>
      <c r="D2342" s="17" t="n"/>
      <c r="E2342" s="17" t="n"/>
      <c r="F2342" s="17" t="n"/>
      <c r="G2342" s="17" t="n"/>
      <c r="H2342" s="24">
        <f>IF($G2342="","",IFERROR(VLOOKUP($G2342,物料档案!$A$4:$P$1203,3,0),"※编码不在物料档案里"))</f>
        <v/>
      </c>
      <c r="I2342" s="24">
        <f>IF($G2342="","",IFERROR(VLOOKUP($G2342,物料档案!$A$4:$P$1203,4,0),"※编码不在物料档案里"))</f>
        <v/>
      </c>
      <c r="J2342" s="24">
        <f>IF($G2342="","",IFERROR(VLOOKUP($G2342,物料档案!$A$4:$P$1203,5,0),"※编码不在物料档案里"))</f>
        <v/>
      </c>
      <c r="K2342" s="23" t="n"/>
      <c r="L2342" s="31" t="n"/>
      <c r="M2342" s="24">
        <f>IF($G2342="","",IF($D2342="A国内","CNY","TZS"))</f>
        <v/>
      </c>
      <c r="N2342" s="28">
        <f>IF($G2342="","",IF($D2342="A国内",汇率,1))</f>
        <v/>
      </c>
      <c r="O2342" s="25">
        <f>IF($G2342="","",ROUND(N($K2342)*N($L2342),2))</f>
        <v/>
      </c>
      <c r="P2342" s="26">
        <f>IF($G2342="","",ROUND($O2342*$N2342,0))</f>
        <v/>
      </c>
      <c r="Q2342" s="26">
        <f>IF($G2342="","",SUMIFS($P$4:$P$2503,$E$4:$E$2503,$E2342,$Z$4:$Z$2503,"正常"))</f>
        <v/>
      </c>
      <c r="R2342" s="26">
        <f>IF($G2342="","",SUMIFS(费用台账!$I$4:$I$503,费用台账!$C$4:$C$503,$E2342,费用台账!$J$4:$J$503,"是",费用台账!$K$4:$K$503,"正常"))</f>
        <v/>
      </c>
      <c r="S2342" s="28">
        <f>IF($G2342="","",COUNTIFS($E$4:$E$2503,$E2342,$Z$4:$Z$2503,"正常",$Y$4:$Y$2503,"待补价"))</f>
        <v/>
      </c>
      <c r="T2342" s="26">
        <f>IF($G2342="","",SUMIFS($P$4:$P$2503,$E$4:$E$2503,$E2342,$Z$4:$Z$2503,"正常",$A$4:$A$2503,"&lt;="&amp;$A2342))</f>
        <v/>
      </c>
      <c r="U2342" s="26">
        <f>IF($G2342="","",IF(OR($S2342&gt;0,$Q2342=0,$R2342=0,$Z2342&lt;&gt;"正常"),0,ROUND($T2342/$Q2342*$R2342,0)-ROUND(($T2342-$P2342)/$Q2342*$R2342,0)))</f>
        <v/>
      </c>
      <c r="V2342" s="26">
        <f>IF($G2342="","",ROUND($P2342+$U2342,0))</f>
        <v/>
      </c>
      <c r="W2342" s="26">
        <f>IF($G2342="","",IF(N($K2342)=0,0,ROUND($V2342/$K2342,2)))</f>
        <v/>
      </c>
      <c r="X2342" s="17" t="n"/>
      <c r="Y2342" s="17" t="n"/>
      <c r="Z2342" s="17" t="n"/>
      <c r="AA2342" s="17" t="n"/>
      <c r="AB2342" s="17" t="n"/>
      <c r="AC2342" s="24">
        <f>IF($G2342="","",IF($H2342="※编码不在物料档案里","※物料编码不在档案里",IF(N($K2342)&lt;=0,"※入库数量要大于 0",IF(AND($C2342&lt;&gt;"",$C2342&lt;=结账锁),"※日期早于已结账截止日，不能再录",IF(AND($L2342=0,$X2342="正常"),"※没填单价，价格状态请选「待补价」",IF(AND($S2342&gt;0,$R2342&gt;0),"△本批有 "&amp;$S2342&amp;" 行没单价，整批运费先挂账没摊",IF(AND($B2342&lt;&gt;"",COUNTIF($B$4:$B$2503,$B2342)&gt;1),"※入库单号重复","")))))))</f>
        <v/>
      </c>
    </row>
    <row r="2343">
      <c r="A2343" s="24">
        <f>IF($G2343="","",COUNTA($G$4:$G2343))</f>
        <v/>
      </c>
      <c r="B2343" s="17" t="n"/>
      <c r="C2343" s="30" t="n"/>
      <c r="D2343" s="17" t="n"/>
      <c r="E2343" s="17" t="n"/>
      <c r="F2343" s="17" t="n"/>
      <c r="G2343" s="17" t="n"/>
      <c r="H2343" s="24">
        <f>IF($G2343="","",IFERROR(VLOOKUP($G2343,物料档案!$A$4:$P$1203,3,0),"※编码不在物料档案里"))</f>
        <v/>
      </c>
      <c r="I2343" s="24">
        <f>IF($G2343="","",IFERROR(VLOOKUP($G2343,物料档案!$A$4:$P$1203,4,0),"※编码不在物料档案里"))</f>
        <v/>
      </c>
      <c r="J2343" s="24">
        <f>IF($G2343="","",IFERROR(VLOOKUP($G2343,物料档案!$A$4:$P$1203,5,0),"※编码不在物料档案里"))</f>
        <v/>
      </c>
      <c r="K2343" s="23" t="n"/>
      <c r="L2343" s="31" t="n"/>
      <c r="M2343" s="24">
        <f>IF($G2343="","",IF($D2343="A国内","CNY","TZS"))</f>
        <v/>
      </c>
      <c r="N2343" s="28">
        <f>IF($G2343="","",IF($D2343="A国内",汇率,1))</f>
        <v/>
      </c>
      <c r="O2343" s="25">
        <f>IF($G2343="","",ROUND(N($K2343)*N($L2343),2))</f>
        <v/>
      </c>
      <c r="P2343" s="26">
        <f>IF($G2343="","",ROUND($O2343*$N2343,0))</f>
        <v/>
      </c>
      <c r="Q2343" s="26">
        <f>IF($G2343="","",SUMIFS($P$4:$P$2503,$E$4:$E$2503,$E2343,$Z$4:$Z$2503,"正常"))</f>
        <v/>
      </c>
      <c r="R2343" s="26">
        <f>IF($G2343="","",SUMIFS(费用台账!$I$4:$I$503,费用台账!$C$4:$C$503,$E2343,费用台账!$J$4:$J$503,"是",费用台账!$K$4:$K$503,"正常"))</f>
        <v/>
      </c>
      <c r="S2343" s="28">
        <f>IF($G2343="","",COUNTIFS($E$4:$E$2503,$E2343,$Z$4:$Z$2503,"正常",$Y$4:$Y$2503,"待补价"))</f>
        <v/>
      </c>
      <c r="T2343" s="26">
        <f>IF($G2343="","",SUMIFS($P$4:$P$2503,$E$4:$E$2503,$E2343,$Z$4:$Z$2503,"正常",$A$4:$A$2503,"&lt;="&amp;$A2343))</f>
        <v/>
      </c>
      <c r="U2343" s="26">
        <f>IF($G2343="","",IF(OR($S2343&gt;0,$Q2343=0,$R2343=0,$Z2343&lt;&gt;"正常"),0,ROUND($T2343/$Q2343*$R2343,0)-ROUND(($T2343-$P2343)/$Q2343*$R2343,0)))</f>
        <v/>
      </c>
      <c r="V2343" s="26">
        <f>IF($G2343="","",ROUND($P2343+$U2343,0))</f>
        <v/>
      </c>
      <c r="W2343" s="26">
        <f>IF($G2343="","",IF(N($K2343)=0,0,ROUND($V2343/$K2343,2)))</f>
        <v/>
      </c>
      <c r="X2343" s="17" t="n"/>
      <c r="Y2343" s="17" t="n"/>
      <c r="Z2343" s="17" t="n"/>
      <c r="AA2343" s="17" t="n"/>
      <c r="AB2343" s="17" t="n"/>
      <c r="AC2343" s="24">
        <f>IF($G2343="","",IF($H2343="※编码不在物料档案里","※物料编码不在档案里",IF(N($K2343)&lt;=0,"※入库数量要大于 0",IF(AND($C2343&lt;&gt;"",$C2343&lt;=结账锁),"※日期早于已结账截止日，不能再录",IF(AND($L2343=0,$X2343="正常"),"※没填单价，价格状态请选「待补价」",IF(AND($S2343&gt;0,$R2343&gt;0),"△本批有 "&amp;$S2343&amp;" 行没单价，整批运费先挂账没摊",IF(AND($B2343&lt;&gt;"",COUNTIF($B$4:$B$2503,$B2343)&gt;1),"※入库单号重复","")))))))</f>
        <v/>
      </c>
    </row>
    <row r="2344">
      <c r="A2344" s="24">
        <f>IF($G2344="","",COUNTA($G$4:$G2344))</f>
        <v/>
      </c>
      <c r="B2344" s="17" t="n"/>
      <c r="C2344" s="30" t="n"/>
      <c r="D2344" s="17" t="n"/>
      <c r="E2344" s="17" t="n"/>
      <c r="F2344" s="17" t="n"/>
      <c r="G2344" s="17" t="n"/>
      <c r="H2344" s="24">
        <f>IF($G2344="","",IFERROR(VLOOKUP($G2344,物料档案!$A$4:$P$1203,3,0),"※编码不在物料档案里"))</f>
        <v/>
      </c>
      <c r="I2344" s="24">
        <f>IF($G2344="","",IFERROR(VLOOKUP($G2344,物料档案!$A$4:$P$1203,4,0),"※编码不在物料档案里"))</f>
        <v/>
      </c>
      <c r="J2344" s="24">
        <f>IF($G2344="","",IFERROR(VLOOKUP($G2344,物料档案!$A$4:$P$1203,5,0),"※编码不在物料档案里"))</f>
        <v/>
      </c>
      <c r="K2344" s="23" t="n"/>
      <c r="L2344" s="31" t="n"/>
      <c r="M2344" s="24">
        <f>IF($G2344="","",IF($D2344="A国内","CNY","TZS"))</f>
        <v/>
      </c>
      <c r="N2344" s="28">
        <f>IF($G2344="","",IF($D2344="A国内",汇率,1))</f>
        <v/>
      </c>
      <c r="O2344" s="25">
        <f>IF($G2344="","",ROUND(N($K2344)*N($L2344),2))</f>
        <v/>
      </c>
      <c r="P2344" s="26">
        <f>IF($G2344="","",ROUND($O2344*$N2344,0))</f>
        <v/>
      </c>
      <c r="Q2344" s="26">
        <f>IF($G2344="","",SUMIFS($P$4:$P$2503,$E$4:$E$2503,$E2344,$Z$4:$Z$2503,"正常"))</f>
        <v/>
      </c>
      <c r="R2344" s="26">
        <f>IF($G2344="","",SUMIFS(费用台账!$I$4:$I$503,费用台账!$C$4:$C$503,$E2344,费用台账!$J$4:$J$503,"是",费用台账!$K$4:$K$503,"正常"))</f>
        <v/>
      </c>
      <c r="S2344" s="28">
        <f>IF($G2344="","",COUNTIFS($E$4:$E$2503,$E2344,$Z$4:$Z$2503,"正常",$Y$4:$Y$2503,"待补价"))</f>
        <v/>
      </c>
      <c r="T2344" s="26">
        <f>IF($G2344="","",SUMIFS($P$4:$P$2503,$E$4:$E$2503,$E2344,$Z$4:$Z$2503,"正常",$A$4:$A$2503,"&lt;="&amp;$A2344))</f>
        <v/>
      </c>
      <c r="U2344" s="26">
        <f>IF($G2344="","",IF(OR($S2344&gt;0,$Q2344=0,$R2344=0,$Z2344&lt;&gt;"正常"),0,ROUND($T2344/$Q2344*$R2344,0)-ROUND(($T2344-$P2344)/$Q2344*$R2344,0)))</f>
        <v/>
      </c>
      <c r="V2344" s="26">
        <f>IF($G2344="","",ROUND($P2344+$U2344,0))</f>
        <v/>
      </c>
      <c r="W2344" s="26">
        <f>IF($G2344="","",IF(N($K2344)=0,0,ROUND($V2344/$K2344,2)))</f>
        <v/>
      </c>
      <c r="X2344" s="17" t="n"/>
      <c r="Y2344" s="17" t="n"/>
      <c r="Z2344" s="17" t="n"/>
      <c r="AA2344" s="17" t="n"/>
      <c r="AB2344" s="17" t="n"/>
      <c r="AC2344" s="24">
        <f>IF($G2344="","",IF($H2344="※编码不在物料档案里","※物料编码不在档案里",IF(N($K2344)&lt;=0,"※入库数量要大于 0",IF(AND($C2344&lt;&gt;"",$C2344&lt;=结账锁),"※日期早于已结账截止日，不能再录",IF(AND($L2344=0,$X2344="正常"),"※没填单价，价格状态请选「待补价」",IF(AND($S2344&gt;0,$R2344&gt;0),"△本批有 "&amp;$S2344&amp;" 行没单价，整批运费先挂账没摊",IF(AND($B2344&lt;&gt;"",COUNTIF($B$4:$B$2503,$B2344)&gt;1),"※入库单号重复","")))))))</f>
        <v/>
      </c>
    </row>
    <row r="2345">
      <c r="A2345" s="24">
        <f>IF($G2345="","",COUNTA($G$4:$G2345))</f>
        <v/>
      </c>
      <c r="B2345" s="17" t="n"/>
      <c r="C2345" s="30" t="n"/>
      <c r="D2345" s="17" t="n"/>
      <c r="E2345" s="17" t="n"/>
      <c r="F2345" s="17" t="n"/>
      <c r="G2345" s="17" t="n"/>
      <c r="H2345" s="24">
        <f>IF($G2345="","",IFERROR(VLOOKUP($G2345,物料档案!$A$4:$P$1203,3,0),"※编码不在物料档案里"))</f>
        <v/>
      </c>
      <c r="I2345" s="24">
        <f>IF($G2345="","",IFERROR(VLOOKUP($G2345,物料档案!$A$4:$P$1203,4,0),"※编码不在物料档案里"))</f>
        <v/>
      </c>
      <c r="J2345" s="24">
        <f>IF($G2345="","",IFERROR(VLOOKUP($G2345,物料档案!$A$4:$P$1203,5,0),"※编码不在物料档案里"))</f>
        <v/>
      </c>
      <c r="K2345" s="23" t="n"/>
      <c r="L2345" s="31" t="n"/>
      <c r="M2345" s="24">
        <f>IF($G2345="","",IF($D2345="A国内","CNY","TZS"))</f>
        <v/>
      </c>
      <c r="N2345" s="28">
        <f>IF($G2345="","",IF($D2345="A国内",汇率,1))</f>
        <v/>
      </c>
      <c r="O2345" s="25">
        <f>IF($G2345="","",ROUND(N($K2345)*N($L2345),2))</f>
        <v/>
      </c>
      <c r="P2345" s="26">
        <f>IF($G2345="","",ROUND($O2345*$N2345,0))</f>
        <v/>
      </c>
      <c r="Q2345" s="26">
        <f>IF($G2345="","",SUMIFS($P$4:$P$2503,$E$4:$E$2503,$E2345,$Z$4:$Z$2503,"正常"))</f>
        <v/>
      </c>
      <c r="R2345" s="26">
        <f>IF($G2345="","",SUMIFS(费用台账!$I$4:$I$503,费用台账!$C$4:$C$503,$E2345,费用台账!$J$4:$J$503,"是",费用台账!$K$4:$K$503,"正常"))</f>
        <v/>
      </c>
      <c r="S2345" s="28">
        <f>IF($G2345="","",COUNTIFS($E$4:$E$2503,$E2345,$Z$4:$Z$2503,"正常",$Y$4:$Y$2503,"待补价"))</f>
        <v/>
      </c>
      <c r="T2345" s="26">
        <f>IF($G2345="","",SUMIFS($P$4:$P$2503,$E$4:$E$2503,$E2345,$Z$4:$Z$2503,"正常",$A$4:$A$2503,"&lt;="&amp;$A2345))</f>
        <v/>
      </c>
      <c r="U2345" s="26">
        <f>IF($G2345="","",IF(OR($S2345&gt;0,$Q2345=0,$R2345=0,$Z2345&lt;&gt;"正常"),0,ROUND($T2345/$Q2345*$R2345,0)-ROUND(($T2345-$P2345)/$Q2345*$R2345,0)))</f>
        <v/>
      </c>
      <c r="V2345" s="26">
        <f>IF($G2345="","",ROUND($P2345+$U2345,0))</f>
        <v/>
      </c>
      <c r="W2345" s="26">
        <f>IF($G2345="","",IF(N($K2345)=0,0,ROUND($V2345/$K2345,2)))</f>
        <v/>
      </c>
      <c r="X2345" s="17" t="n"/>
      <c r="Y2345" s="17" t="n"/>
      <c r="Z2345" s="17" t="n"/>
      <c r="AA2345" s="17" t="n"/>
      <c r="AB2345" s="17" t="n"/>
      <c r="AC2345" s="24">
        <f>IF($G2345="","",IF($H2345="※编码不在物料档案里","※物料编码不在档案里",IF(N($K2345)&lt;=0,"※入库数量要大于 0",IF(AND($C2345&lt;&gt;"",$C2345&lt;=结账锁),"※日期早于已结账截止日，不能再录",IF(AND($L2345=0,$X2345="正常"),"※没填单价，价格状态请选「待补价」",IF(AND($S2345&gt;0,$R2345&gt;0),"△本批有 "&amp;$S2345&amp;" 行没单价，整批运费先挂账没摊",IF(AND($B2345&lt;&gt;"",COUNTIF($B$4:$B$2503,$B2345)&gt;1),"※入库单号重复","")))))))</f>
        <v/>
      </c>
    </row>
    <row r="2346">
      <c r="A2346" s="24">
        <f>IF($G2346="","",COUNTA($G$4:$G2346))</f>
        <v/>
      </c>
      <c r="B2346" s="17" t="n"/>
      <c r="C2346" s="30" t="n"/>
      <c r="D2346" s="17" t="n"/>
      <c r="E2346" s="17" t="n"/>
      <c r="F2346" s="17" t="n"/>
      <c r="G2346" s="17" t="n"/>
      <c r="H2346" s="24">
        <f>IF($G2346="","",IFERROR(VLOOKUP($G2346,物料档案!$A$4:$P$1203,3,0),"※编码不在物料档案里"))</f>
        <v/>
      </c>
      <c r="I2346" s="24">
        <f>IF($G2346="","",IFERROR(VLOOKUP($G2346,物料档案!$A$4:$P$1203,4,0),"※编码不在物料档案里"))</f>
        <v/>
      </c>
      <c r="J2346" s="24">
        <f>IF($G2346="","",IFERROR(VLOOKUP($G2346,物料档案!$A$4:$P$1203,5,0),"※编码不在物料档案里"))</f>
        <v/>
      </c>
      <c r="K2346" s="23" t="n"/>
      <c r="L2346" s="31" t="n"/>
      <c r="M2346" s="24">
        <f>IF($G2346="","",IF($D2346="A国内","CNY","TZS"))</f>
        <v/>
      </c>
      <c r="N2346" s="28">
        <f>IF($G2346="","",IF($D2346="A国内",汇率,1))</f>
        <v/>
      </c>
      <c r="O2346" s="25">
        <f>IF($G2346="","",ROUND(N($K2346)*N($L2346),2))</f>
        <v/>
      </c>
      <c r="P2346" s="26">
        <f>IF($G2346="","",ROUND($O2346*$N2346,0))</f>
        <v/>
      </c>
      <c r="Q2346" s="26">
        <f>IF($G2346="","",SUMIFS($P$4:$P$2503,$E$4:$E$2503,$E2346,$Z$4:$Z$2503,"正常"))</f>
        <v/>
      </c>
      <c r="R2346" s="26">
        <f>IF($G2346="","",SUMIFS(费用台账!$I$4:$I$503,费用台账!$C$4:$C$503,$E2346,费用台账!$J$4:$J$503,"是",费用台账!$K$4:$K$503,"正常"))</f>
        <v/>
      </c>
      <c r="S2346" s="28">
        <f>IF($G2346="","",COUNTIFS($E$4:$E$2503,$E2346,$Z$4:$Z$2503,"正常",$Y$4:$Y$2503,"待补价"))</f>
        <v/>
      </c>
      <c r="T2346" s="26">
        <f>IF($G2346="","",SUMIFS($P$4:$P$2503,$E$4:$E$2503,$E2346,$Z$4:$Z$2503,"正常",$A$4:$A$2503,"&lt;="&amp;$A2346))</f>
        <v/>
      </c>
      <c r="U2346" s="26">
        <f>IF($G2346="","",IF(OR($S2346&gt;0,$Q2346=0,$R2346=0,$Z2346&lt;&gt;"正常"),0,ROUND($T2346/$Q2346*$R2346,0)-ROUND(($T2346-$P2346)/$Q2346*$R2346,0)))</f>
        <v/>
      </c>
      <c r="V2346" s="26">
        <f>IF($G2346="","",ROUND($P2346+$U2346,0))</f>
        <v/>
      </c>
      <c r="W2346" s="26">
        <f>IF($G2346="","",IF(N($K2346)=0,0,ROUND($V2346/$K2346,2)))</f>
        <v/>
      </c>
      <c r="X2346" s="17" t="n"/>
      <c r="Y2346" s="17" t="n"/>
      <c r="Z2346" s="17" t="n"/>
      <c r="AA2346" s="17" t="n"/>
      <c r="AB2346" s="17" t="n"/>
      <c r="AC2346" s="24">
        <f>IF($G2346="","",IF($H2346="※编码不在物料档案里","※物料编码不在档案里",IF(N($K2346)&lt;=0,"※入库数量要大于 0",IF(AND($C2346&lt;&gt;"",$C2346&lt;=结账锁),"※日期早于已结账截止日，不能再录",IF(AND($L2346=0,$X2346="正常"),"※没填单价，价格状态请选「待补价」",IF(AND($S2346&gt;0,$R2346&gt;0),"△本批有 "&amp;$S2346&amp;" 行没单价，整批运费先挂账没摊",IF(AND($B2346&lt;&gt;"",COUNTIF($B$4:$B$2503,$B2346)&gt;1),"※入库单号重复","")))))))</f>
        <v/>
      </c>
    </row>
    <row r="2347">
      <c r="A2347" s="24">
        <f>IF($G2347="","",COUNTA($G$4:$G2347))</f>
        <v/>
      </c>
      <c r="B2347" s="17" t="n"/>
      <c r="C2347" s="30" t="n"/>
      <c r="D2347" s="17" t="n"/>
      <c r="E2347" s="17" t="n"/>
      <c r="F2347" s="17" t="n"/>
      <c r="G2347" s="17" t="n"/>
      <c r="H2347" s="24">
        <f>IF($G2347="","",IFERROR(VLOOKUP($G2347,物料档案!$A$4:$P$1203,3,0),"※编码不在物料档案里"))</f>
        <v/>
      </c>
      <c r="I2347" s="24">
        <f>IF($G2347="","",IFERROR(VLOOKUP($G2347,物料档案!$A$4:$P$1203,4,0),"※编码不在物料档案里"))</f>
        <v/>
      </c>
      <c r="J2347" s="24">
        <f>IF($G2347="","",IFERROR(VLOOKUP($G2347,物料档案!$A$4:$P$1203,5,0),"※编码不在物料档案里"))</f>
        <v/>
      </c>
      <c r="K2347" s="23" t="n"/>
      <c r="L2347" s="31" t="n"/>
      <c r="M2347" s="24">
        <f>IF($G2347="","",IF($D2347="A国内","CNY","TZS"))</f>
        <v/>
      </c>
      <c r="N2347" s="28">
        <f>IF($G2347="","",IF($D2347="A国内",汇率,1))</f>
        <v/>
      </c>
      <c r="O2347" s="25">
        <f>IF($G2347="","",ROUND(N($K2347)*N($L2347),2))</f>
        <v/>
      </c>
      <c r="P2347" s="26">
        <f>IF($G2347="","",ROUND($O2347*$N2347,0))</f>
        <v/>
      </c>
      <c r="Q2347" s="26">
        <f>IF($G2347="","",SUMIFS($P$4:$P$2503,$E$4:$E$2503,$E2347,$Z$4:$Z$2503,"正常"))</f>
        <v/>
      </c>
      <c r="R2347" s="26">
        <f>IF($G2347="","",SUMIFS(费用台账!$I$4:$I$503,费用台账!$C$4:$C$503,$E2347,费用台账!$J$4:$J$503,"是",费用台账!$K$4:$K$503,"正常"))</f>
        <v/>
      </c>
      <c r="S2347" s="28">
        <f>IF($G2347="","",COUNTIFS($E$4:$E$2503,$E2347,$Z$4:$Z$2503,"正常",$Y$4:$Y$2503,"待补价"))</f>
        <v/>
      </c>
      <c r="T2347" s="26">
        <f>IF($G2347="","",SUMIFS($P$4:$P$2503,$E$4:$E$2503,$E2347,$Z$4:$Z$2503,"正常",$A$4:$A$2503,"&lt;="&amp;$A2347))</f>
        <v/>
      </c>
      <c r="U2347" s="26">
        <f>IF($G2347="","",IF(OR($S2347&gt;0,$Q2347=0,$R2347=0,$Z2347&lt;&gt;"正常"),0,ROUND($T2347/$Q2347*$R2347,0)-ROUND(($T2347-$P2347)/$Q2347*$R2347,0)))</f>
        <v/>
      </c>
      <c r="V2347" s="26">
        <f>IF($G2347="","",ROUND($P2347+$U2347,0))</f>
        <v/>
      </c>
      <c r="W2347" s="26">
        <f>IF($G2347="","",IF(N($K2347)=0,0,ROUND($V2347/$K2347,2)))</f>
        <v/>
      </c>
      <c r="X2347" s="17" t="n"/>
      <c r="Y2347" s="17" t="n"/>
      <c r="Z2347" s="17" t="n"/>
      <c r="AA2347" s="17" t="n"/>
      <c r="AB2347" s="17" t="n"/>
      <c r="AC2347" s="24">
        <f>IF($G2347="","",IF($H2347="※编码不在物料档案里","※物料编码不在档案里",IF(N($K2347)&lt;=0,"※入库数量要大于 0",IF(AND($C2347&lt;&gt;"",$C2347&lt;=结账锁),"※日期早于已结账截止日，不能再录",IF(AND($L2347=0,$X2347="正常"),"※没填单价，价格状态请选「待补价」",IF(AND($S2347&gt;0,$R2347&gt;0),"△本批有 "&amp;$S2347&amp;" 行没单价，整批运费先挂账没摊",IF(AND($B2347&lt;&gt;"",COUNTIF($B$4:$B$2503,$B2347)&gt;1),"※入库单号重复","")))))))</f>
        <v/>
      </c>
    </row>
    <row r="2348">
      <c r="A2348" s="24">
        <f>IF($G2348="","",COUNTA($G$4:$G2348))</f>
        <v/>
      </c>
      <c r="B2348" s="17" t="n"/>
      <c r="C2348" s="30" t="n"/>
      <c r="D2348" s="17" t="n"/>
      <c r="E2348" s="17" t="n"/>
      <c r="F2348" s="17" t="n"/>
      <c r="G2348" s="17" t="n"/>
      <c r="H2348" s="24">
        <f>IF($G2348="","",IFERROR(VLOOKUP($G2348,物料档案!$A$4:$P$1203,3,0),"※编码不在物料档案里"))</f>
        <v/>
      </c>
      <c r="I2348" s="24">
        <f>IF($G2348="","",IFERROR(VLOOKUP($G2348,物料档案!$A$4:$P$1203,4,0),"※编码不在物料档案里"))</f>
        <v/>
      </c>
      <c r="J2348" s="24">
        <f>IF($G2348="","",IFERROR(VLOOKUP($G2348,物料档案!$A$4:$P$1203,5,0),"※编码不在物料档案里"))</f>
        <v/>
      </c>
      <c r="K2348" s="23" t="n"/>
      <c r="L2348" s="31" t="n"/>
      <c r="M2348" s="24">
        <f>IF($G2348="","",IF($D2348="A国内","CNY","TZS"))</f>
        <v/>
      </c>
      <c r="N2348" s="28">
        <f>IF($G2348="","",IF($D2348="A国内",汇率,1))</f>
        <v/>
      </c>
      <c r="O2348" s="25">
        <f>IF($G2348="","",ROUND(N($K2348)*N($L2348),2))</f>
        <v/>
      </c>
      <c r="P2348" s="26">
        <f>IF($G2348="","",ROUND($O2348*$N2348,0))</f>
        <v/>
      </c>
      <c r="Q2348" s="26">
        <f>IF($G2348="","",SUMIFS($P$4:$P$2503,$E$4:$E$2503,$E2348,$Z$4:$Z$2503,"正常"))</f>
        <v/>
      </c>
      <c r="R2348" s="26">
        <f>IF($G2348="","",SUMIFS(费用台账!$I$4:$I$503,费用台账!$C$4:$C$503,$E2348,费用台账!$J$4:$J$503,"是",费用台账!$K$4:$K$503,"正常"))</f>
        <v/>
      </c>
      <c r="S2348" s="28">
        <f>IF($G2348="","",COUNTIFS($E$4:$E$2503,$E2348,$Z$4:$Z$2503,"正常",$Y$4:$Y$2503,"待补价"))</f>
        <v/>
      </c>
      <c r="T2348" s="26">
        <f>IF($G2348="","",SUMIFS($P$4:$P$2503,$E$4:$E$2503,$E2348,$Z$4:$Z$2503,"正常",$A$4:$A$2503,"&lt;="&amp;$A2348))</f>
        <v/>
      </c>
      <c r="U2348" s="26">
        <f>IF($G2348="","",IF(OR($S2348&gt;0,$Q2348=0,$R2348=0,$Z2348&lt;&gt;"正常"),0,ROUND($T2348/$Q2348*$R2348,0)-ROUND(($T2348-$P2348)/$Q2348*$R2348,0)))</f>
        <v/>
      </c>
      <c r="V2348" s="26">
        <f>IF($G2348="","",ROUND($P2348+$U2348,0))</f>
        <v/>
      </c>
      <c r="W2348" s="26">
        <f>IF($G2348="","",IF(N($K2348)=0,0,ROUND($V2348/$K2348,2)))</f>
        <v/>
      </c>
      <c r="X2348" s="17" t="n"/>
      <c r="Y2348" s="17" t="n"/>
      <c r="Z2348" s="17" t="n"/>
      <c r="AA2348" s="17" t="n"/>
      <c r="AB2348" s="17" t="n"/>
      <c r="AC2348" s="24">
        <f>IF($G2348="","",IF($H2348="※编码不在物料档案里","※物料编码不在档案里",IF(N($K2348)&lt;=0,"※入库数量要大于 0",IF(AND($C2348&lt;&gt;"",$C2348&lt;=结账锁),"※日期早于已结账截止日，不能再录",IF(AND($L2348=0,$X2348="正常"),"※没填单价，价格状态请选「待补价」",IF(AND($S2348&gt;0,$R2348&gt;0),"△本批有 "&amp;$S2348&amp;" 行没单价，整批运费先挂账没摊",IF(AND($B2348&lt;&gt;"",COUNTIF($B$4:$B$2503,$B2348)&gt;1),"※入库单号重复","")))))))</f>
        <v/>
      </c>
    </row>
    <row r="2349">
      <c r="A2349" s="24">
        <f>IF($G2349="","",COUNTA($G$4:$G2349))</f>
        <v/>
      </c>
      <c r="B2349" s="17" t="n"/>
      <c r="C2349" s="30" t="n"/>
      <c r="D2349" s="17" t="n"/>
      <c r="E2349" s="17" t="n"/>
      <c r="F2349" s="17" t="n"/>
      <c r="G2349" s="17" t="n"/>
      <c r="H2349" s="24">
        <f>IF($G2349="","",IFERROR(VLOOKUP($G2349,物料档案!$A$4:$P$1203,3,0),"※编码不在物料档案里"))</f>
        <v/>
      </c>
      <c r="I2349" s="24">
        <f>IF($G2349="","",IFERROR(VLOOKUP($G2349,物料档案!$A$4:$P$1203,4,0),"※编码不在物料档案里"))</f>
        <v/>
      </c>
      <c r="J2349" s="24">
        <f>IF($G2349="","",IFERROR(VLOOKUP($G2349,物料档案!$A$4:$P$1203,5,0),"※编码不在物料档案里"))</f>
        <v/>
      </c>
      <c r="K2349" s="23" t="n"/>
      <c r="L2349" s="31" t="n"/>
      <c r="M2349" s="24">
        <f>IF($G2349="","",IF($D2349="A国内","CNY","TZS"))</f>
        <v/>
      </c>
      <c r="N2349" s="28">
        <f>IF($G2349="","",IF($D2349="A国内",汇率,1))</f>
        <v/>
      </c>
      <c r="O2349" s="25">
        <f>IF($G2349="","",ROUND(N($K2349)*N($L2349),2))</f>
        <v/>
      </c>
      <c r="P2349" s="26">
        <f>IF($G2349="","",ROUND($O2349*$N2349,0))</f>
        <v/>
      </c>
      <c r="Q2349" s="26">
        <f>IF($G2349="","",SUMIFS($P$4:$P$2503,$E$4:$E$2503,$E2349,$Z$4:$Z$2503,"正常"))</f>
        <v/>
      </c>
      <c r="R2349" s="26">
        <f>IF($G2349="","",SUMIFS(费用台账!$I$4:$I$503,费用台账!$C$4:$C$503,$E2349,费用台账!$J$4:$J$503,"是",费用台账!$K$4:$K$503,"正常"))</f>
        <v/>
      </c>
      <c r="S2349" s="28">
        <f>IF($G2349="","",COUNTIFS($E$4:$E$2503,$E2349,$Z$4:$Z$2503,"正常",$Y$4:$Y$2503,"待补价"))</f>
        <v/>
      </c>
      <c r="T2349" s="26">
        <f>IF($G2349="","",SUMIFS($P$4:$P$2503,$E$4:$E$2503,$E2349,$Z$4:$Z$2503,"正常",$A$4:$A$2503,"&lt;="&amp;$A2349))</f>
        <v/>
      </c>
      <c r="U2349" s="26">
        <f>IF($G2349="","",IF(OR($S2349&gt;0,$Q2349=0,$R2349=0,$Z2349&lt;&gt;"正常"),0,ROUND($T2349/$Q2349*$R2349,0)-ROUND(($T2349-$P2349)/$Q2349*$R2349,0)))</f>
        <v/>
      </c>
      <c r="V2349" s="26">
        <f>IF($G2349="","",ROUND($P2349+$U2349,0))</f>
        <v/>
      </c>
      <c r="W2349" s="26">
        <f>IF($G2349="","",IF(N($K2349)=0,0,ROUND($V2349/$K2349,2)))</f>
        <v/>
      </c>
      <c r="X2349" s="17" t="n"/>
      <c r="Y2349" s="17" t="n"/>
      <c r="Z2349" s="17" t="n"/>
      <c r="AA2349" s="17" t="n"/>
      <c r="AB2349" s="17" t="n"/>
      <c r="AC2349" s="24">
        <f>IF($G2349="","",IF($H2349="※编码不在物料档案里","※物料编码不在档案里",IF(N($K2349)&lt;=0,"※入库数量要大于 0",IF(AND($C2349&lt;&gt;"",$C2349&lt;=结账锁),"※日期早于已结账截止日，不能再录",IF(AND($L2349=0,$X2349="正常"),"※没填单价，价格状态请选「待补价」",IF(AND($S2349&gt;0,$R2349&gt;0),"△本批有 "&amp;$S2349&amp;" 行没单价，整批运费先挂账没摊",IF(AND($B2349&lt;&gt;"",COUNTIF($B$4:$B$2503,$B2349)&gt;1),"※入库单号重复","")))))))</f>
        <v/>
      </c>
    </row>
    <row r="2350">
      <c r="A2350" s="24">
        <f>IF($G2350="","",COUNTA($G$4:$G2350))</f>
        <v/>
      </c>
      <c r="B2350" s="17" t="n"/>
      <c r="C2350" s="30" t="n"/>
      <c r="D2350" s="17" t="n"/>
      <c r="E2350" s="17" t="n"/>
      <c r="F2350" s="17" t="n"/>
      <c r="G2350" s="17" t="n"/>
      <c r="H2350" s="24">
        <f>IF($G2350="","",IFERROR(VLOOKUP($G2350,物料档案!$A$4:$P$1203,3,0),"※编码不在物料档案里"))</f>
        <v/>
      </c>
      <c r="I2350" s="24">
        <f>IF($G2350="","",IFERROR(VLOOKUP($G2350,物料档案!$A$4:$P$1203,4,0),"※编码不在物料档案里"))</f>
        <v/>
      </c>
      <c r="J2350" s="24">
        <f>IF($G2350="","",IFERROR(VLOOKUP($G2350,物料档案!$A$4:$P$1203,5,0),"※编码不在物料档案里"))</f>
        <v/>
      </c>
      <c r="K2350" s="23" t="n"/>
      <c r="L2350" s="31" t="n"/>
      <c r="M2350" s="24">
        <f>IF($G2350="","",IF($D2350="A国内","CNY","TZS"))</f>
        <v/>
      </c>
      <c r="N2350" s="28">
        <f>IF($G2350="","",IF($D2350="A国内",汇率,1))</f>
        <v/>
      </c>
      <c r="O2350" s="25">
        <f>IF($G2350="","",ROUND(N($K2350)*N($L2350),2))</f>
        <v/>
      </c>
      <c r="P2350" s="26">
        <f>IF($G2350="","",ROUND($O2350*$N2350,0))</f>
        <v/>
      </c>
      <c r="Q2350" s="26">
        <f>IF($G2350="","",SUMIFS($P$4:$P$2503,$E$4:$E$2503,$E2350,$Z$4:$Z$2503,"正常"))</f>
        <v/>
      </c>
      <c r="R2350" s="26">
        <f>IF($G2350="","",SUMIFS(费用台账!$I$4:$I$503,费用台账!$C$4:$C$503,$E2350,费用台账!$J$4:$J$503,"是",费用台账!$K$4:$K$503,"正常"))</f>
        <v/>
      </c>
      <c r="S2350" s="28">
        <f>IF($G2350="","",COUNTIFS($E$4:$E$2503,$E2350,$Z$4:$Z$2503,"正常",$Y$4:$Y$2503,"待补价"))</f>
        <v/>
      </c>
      <c r="T2350" s="26">
        <f>IF($G2350="","",SUMIFS($P$4:$P$2503,$E$4:$E$2503,$E2350,$Z$4:$Z$2503,"正常",$A$4:$A$2503,"&lt;="&amp;$A2350))</f>
        <v/>
      </c>
      <c r="U2350" s="26">
        <f>IF($G2350="","",IF(OR($S2350&gt;0,$Q2350=0,$R2350=0,$Z2350&lt;&gt;"正常"),0,ROUND($T2350/$Q2350*$R2350,0)-ROUND(($T2350-$P2350)/$Q2350*$R2350,0)))</f>
        <v/>
      </c>
      <c r="V2350" s="26">
        <f>IF($G2350="","",ROUND($P2350+$U2350,0))</f>
        <v/>
      </c>
      <c r="W2350" s="26">
        <f>IF($G2350="","",IF(N($K2350)=0,0,ROUND($V2350/$K2350,2)))</f>
        <v/>
      </c>
      <c r="X2350" s="17" t="n"/>
      <c r="Y2350" s="17" t="n"/>
      <c r="Z2350" s="17" t="n"/>
      <c r="AA2350" s="17" t="n"/>
      <c r="AB2350" s="17" t="n"/>
      <c r="AC2350" s="24">
        <f>IF($G2350="","",IF($H2350="※编码不在物料档案里","※物料编码不在档案里",IF(N($K2350)&lt;=0,"※入库数量要大于 0",IF(AND($C2350&lt;&gt;"",$C2350&lt;=结账锁),"※日期早于已结账截止日，不能再录",IF(AND($L2350=0,$X2350="正常"),"※没填单价，价格状态请选「待补价」",IF(AND($S2350&gt;0,$R2350&gt;0),"△本批有 "&amp;$S2350&amp;" 行没单价，整批运费先挂账没摊",IF(AND($B2350&lt;&gt;"",COUNTIF($B$4:$B$2503,$B2350)&gt;1),"※入库单号重复","")))))))</f>
        <v/>
      </c>
    </row>
    <row r="2351">
      <c r="A2351" s="24">
        <f>IF($G2351="","",COUNTA($G$4:$G2351))</f>
        <v/>
      </c>
      <c r="B2351" s="17" t="n"/>
      <c r="C2351" s="30" t="n"/>
      <c r="D2351" s="17" t="n"/>
      <c r="E2351" s="17" t="n"/>
      <c r="F2351" s="17" t="n"/>
      <c r="G2351" s="17" t="n"/>
      <c r="H2351" s="24">
        <f>IF($G2351="","",IFERROR(VLOOKUP($G2351,物料档案!$A$4:$P$1203,3,0),"※编码不在物料档案里"))</f>
        <v/>
      </c>
      <c r="I2351" s="24">
        <f>IF($G2351="","",IFERROR(VLOOKUP($G2351,物料档案!$A$4:$P$1203,4,0),"※编码不在物料档案里"))</f>
        <v/>
      </c>
      <c r="J2351" s="24">
        <f>IF($G2351="","",IFERROR(VLOOKUP($G2351,物料档案!$A$4:$P$1203,5,0),"※编码不在物料档案里"))</f>
        <v/>
      </c>
      <c r="K2351" s="23" t="n"/>
      <c r="L2351" s="31" t="n"/>
      <c r="M2351" s="24">
        <f>IF($G2351="","",IF($D2351="A国内","CNY","TZS"))</f>
        <v/>
      </c>
      <c r="N2351" s="28">
        <f>IF($G2351="","",IF($D2351="A国内",汇率,1))</f>
        <v/>
      </c>
      <c r="O2351" s="25">
        <f>IF($G2351="","",ROUND(N($K2351)*N($L2351),2))</f>
        <v/>
      </c>
      <c r="P2351" s="26">
        <f>IF($G2351="","",ROUND($O2351*$N2351,0))</f>
        <v/>
      </c>
      <c r="Q2351" s="26">
        <f>IF($G2351="","",SUMIFS($P$4:$P$2503,$E$4:$E$2503,$E2351,$Z$4:$Z$2503,"正常"))</f>
        <v/>
      </c>
      <c r="R2351" s="26">
        <f>IF($G2351="","",SUMIFS(费用台账!$I$4:$I$503,费用台账!$C$4:$C$503,$E2351,费用台账!$J$4:$J$503,"是",费用台账!$K$4:$K$503,"正常"))</f>
        <v/>
      </c>
      <c r="S2351" s="28">
        <f>IF($G2351="","",COUNTIFS($E$4:$E$2503,$E2351,$Z$4:$Z$2503,"正常",$Y$4:$Y$2503,"待补价"))</f>
        <v/>
      </c>
      <c r="T2351" s="26">
        <f>IF($G2351="","",SUMIFS($P$4:$P$2503,$E$4:$E$2503,$E2351,$Z$4:$Z$2503,"正常",$A$4:$A$2503,"&lt;="&amp;$A2351))</f>
        <v/>
      </c>
      <c r="U2351" s="26">
        <f>IF($G2351="","",IF(OR($S2351&gt;0,$Q2351=0,$R2351=0,$Z2351&lt;&gt;"正常"),0,ROUND($T2351/$Q2351*$R2351,0)-ROUND(($T2351-$P2351)/$Q2351*$R2351,0)))</f>
        <v/>
      </c>
      <c r="V2351" s="26">
        <f>IF($G2351="","",ROUND($P2351+$U2351,0))</f>
        <v/>
      </c>
      <c r="W2351" s="26">
        <f>IF($G2351="","",IF(N($K2351)=0,0,ROUND($V2351/$K2351,2)))</f>
        <v/>
      </c>
      <c r="X2351" s="17" t="n"/>
      <c r="Y2351" s="17" t="n"/>
      <c r="Z2351" s="17" t="n"/>
      <c r="AA2351" s="17" t="n"/>
      <c r="AB2351" s="17" t="n"/>
      <c r="AC2351" s="24">
        <f>IF($G2351="","",IF($H2351="※编码不在物料档案里","※物料编码不在档案里",IF(N($K2351)&lt;=0,"※入库数量要大于 0",IF(AND($C2351&lt;&gt;"",$C2351&lt;=结账锁),"※日期早于已结账截止日，不能再录",IF(AND($L2351=0,$X2351="正常"),"※没填单价，价格状态请选「待补价」",IF(AND($S2351&gt;0,$R2351&gt;0),"△本批有 "&amp;$S2351&amp;" 行没单价，整批运费先挂账没摊",IF(AND($B2351&lt;&gt;"",COUNTIF($B$4:$B$2503,$B2351)&gt;1),"※入库单号重复","")))))))</f>
        <v/>
      </c>
    </row>
    <row r="2352">
      <c r="A2352" s="24">
        <f>IF($G2352="","",COUNTA($G$4:$G2352))</f>
        <v/>
      </c>
      <c r="B2352" s="17" t="n"/>
      <c r="C2352" s="30" t="n"/>
      <c r="D2352" s="17" t="n"/>
      <c r="E2352" s="17" t="n"/>
      <c r="F2352" s="17" t="n"/>
      <c r="G2352" s="17" t="n"/>
      <c r="H2352" s="24">
        <f>IF($G2352="","",IFERROR(VLOOKUP($G2352,物料档案!$A$4:$P$1203,3,0),"※编码不在物料档案里"))</f>
        <v/>
      </c>
      <c r="I2352" s="24">
        <f>IF($G2352="","",IFERROR(VLOOKUP($G2352,物料档案!$A$4:$P$1203,4,0),"※编码不在物料档案里"))</f>
        <v/>
      </c>
      <c r="J2352" s="24">
        <f>IF($G2352="","",IFERROR(VLOOKUP($G2352,物料档案!$A$4:$P$1203,5,0),"※编码不在物料档案里"))</f>
        <v/>
      </c>
      <c r="K2352" s="23" t="n"/>
      <c r="L2352" s="31" t="n"/>
      <c r="M2352" s="24">
        <f>IF($G2352="","",IF($D2352="A国内","CNY","TZS"))</f>
        <v/>
      </c>
      <c r="N2352" s="28">
        <f>IF($G2352="","",IF($D2352="A国内",汇率,1))</f>
        <v/>
      </c>
      <c r="O2352" s="25">
        <f>IF($G2352="","",ROUND(N($K2352)*N($L2352),2))</f>
        <v/>
      </c>
      <c r="P2352" s="26">
        <f>IF($G2352="","",ROUND($O2352*$N2352,0))</f>
        <v/>
      </c>
      <c r="Q2352" s="26">
        <f>IF($G2352="","",SUMIFS($P$4:$P$2503,$E$4:$E$2503,$E2352,$Z$4:$Z$2503,"正常"))</f>
        <v/>
      </c>
      <c r="R2352" s="26">
        <f>IF($G2352="","",SUMIFS(费用台账!$I$4:$I$503,费用台账!$C$4:$C$503,$E2352,费用台账!$J$4:$J$503,"是",费用台账!$K$4:$K$503,"正常"))</f>
        <v/>
      </c>
      <c r="S2352" s="28">
        <f>IF($G2352="","",COUNTIFS($E$4:$E$2503,$E2352,$Z$4:$Z$2503,"正常",$Y$4:$Y$2503,"待补价"))</f>
        <v/>
      </c>
      <c r="T2352" s="26">
        <f>IF($G2352="","",SUMIFS($P$4:$P$2503,$E$4:$E$2503,$E2352,$Z$4:$Z$2503,"正常",$A$4:$A$2503,"&lt;="&amp;$A2352))</f>
        <v/>
      </c>
      <c r="U2352" s="26">
        <f>IF($G2352="","",IF(OR($S2352&gt;0,$Q2352=0,$R2352=0,$Z2352&lt;&gt;"正常"),0,ROUND($T2352/$Q2352*$R2352,0)-ROUND(($T2352-$P2352)/$Q2352*$R2352,0)))</f>
        <v/>
      </c>
      <c r="V2352" s="26">
        <f>IF($G2352="","",ROUND($P2352+$U2352,0))</f>
        <v/>
      </c>
      <c r="W2352" s="26">
        <f>IF($G2352="","",IF(N($K2352)=0,0,ROUND($V2352/$K2352,2)))</f>
        <v/>
      </c>
      <c r="X2352" s="17" t="n"/>
      <c r="Y2352" s="17" t="n"/>
      <c r="Z2352" s="17" t="n"/>
      <c r="AA2352" s="17" t="n"/>
      <c r="AB2352" s="17" t="n"/>
      <c r="AC2352" s="24">
        <f>IF($G2352="","",IF($H2352="※编码不在物料档案里","※物料编码不在档案里",IF(N($K2352)&lt;=0,"※入库数量要大于 0",IF(AND($C2352&lt;&gt;"",$C2352&lt;=结账锁),"※日期早于已结账截止日，不能再录",IF(AND($L2352=0,$X2352="正常"),"※没填单价，价格状态请选「待补价」",IF(AND($S2352&gt;0,$R2352&gt;0),"△本批有 "&amp;$S2352&amp;" 行没单价，整批运费先挂账没摊",IF(AND($B2352&lt;&gt;"",COUNTIF($B$4:$B$2503,$B2352)&gt;1),"※入库单号重复","")))))))</f>
        <v/>
      </c>
    </row>
    <row r="2353">
      <c r="A2353" s="24">
        <f>IF($G2353="","",COUNTA($G$4:$G2353))</f>
        <v/>
      </c>
      <c r="B2353" s="17" t="n"/>
      <c r="C2353" s="30" t="n"/>
      <c r="D2353" s="17" t="n"/>
      <c r="E2353" s="17" t="n"/>
      <c r="F2353" s="17" t="n"/>
      <c r="G2353" s="17" t="n"/>
      <c r="H2353" s="24">
        <f>IF($G2353="","",IFERROR(VLOOKUP($G2353,物料档案!$A$4:$P$1203,3,0),"※编码不在物料档案里"))</f>
        <v/>
      </c>
      <c r="I2353" s="24">
        <f>IF($G2353="","",IFERROR(VLOOKUP($G2353,物料档案!$A$4:$P$1203,4,0),"※编码不在物料档案里"))</f>
        <v/>
      </c>
      <c r="J2353" s="24">
        <f>IF($G2353="","",IFERROR(VLOOKUP($G2353,物料档案!$A$4:$P$1203,5,0),"※编码不在物料档案里"))</f>
        <v/>
      </c>
      <c r="K2353" s="23" t="n"/>
      <c r="L2353" s="31" t="n"/>
      <c r="M2353" s="24">
        <f>IF($G2353="","",IF($D2353="A国内","CNY","TZS"))</f>
        <v/>
      </c>
      <c r="N2353" s="28">
        <f>IF($G2353="","",IF($D2353="A国内",汇率,1))</f>
        <v/>
      </c>
      <c r="O2353" s="25">
        <f>IF($G2353="","",ROUND(N($K2353)*N($L2353),2))</f>
        <v/>
      </c>
      <c r="P2353" s="26">
        <f>IF($G2353="","",ROUND($O2353*$N2353,0))</f>
        <v/>
      </c>
      <c r="Q2353" s="26">
        <f>IF($G2353="","",SUMIFS($P$4:$P$2503,$E$4:$E$2503,$E2353,$Z$4:$Z$2503,"正常"))</f>
        <v/>
      </c>
      <c r="R2353" s="26">
        <f>IF($G2353="","",SUMIFS(费用台账!$I$4:$I$503,费用台账!$C$4:$C$503,$E2353,费用台账!$J$4:$J$503,"是",费用台账!$K$4:$K$503,"正常"))</f>
        <v/>
      </c>
      <c r="S2353" s="28">
        <f>IF($G2353="","",COUNTIFS($E$4:$E$2503,$E2353,$Z$4:$Z$2503,"正常",$Y$4:$Y$2503,"待补价"))</f>
        <v/>
      </c>
      <c r="T2353" s="26">
        <f>IF($G2353="","",SUMIFS($P$4:$P$2503,$E$4:$E$2503,$E2353,$Z$4:$Z$2503,"正常",$A$4:$A$2503,"&lt;="&amp;$A2353))</f>
        <v/>
      </c>
      <c r="U2353" s="26">
        <f>IF($G2353="","",IF(OR($S2353&gt;0,$Q2353=0,$R2353=0,$Z2353&lt;&gt;"正常"),0,ROUND($T2353/$Q2353*$R2353,0)-ROUND(($T2353-$P2353)/$Q2353*$R2353,0)))</f>
        <v/>
      </c>
      <c r="V2353" s="26">
        <f>IF($G2353="","",ROUND($P2353+$U2353,0))</f>
        <v/>
      </c>
      <c r="W2353" s="26">
        <f>IF($G2353="","",IF(N($K2353)=0,0,ROUND($V2353/$K2353,2)))</f>
        <v/>
      </c>
      <c r="X2353" s="17" t="n"/>
      <c r="Y2353" s="17" t="n"/>
      <c r="Z2353" s="17" t="n"/>
      <c r="AA2353" s="17" t="n"/>
      <c r="AB2353" s="17" t="n"/>
      <c r="AC2353" s="24">
        <f>IF($G2353="","",IF($H2353="※编码不在物料档案里","※物料编码不在档案里",IF(N($K2353)&lt;=0,"※入库数量要大于 0",IF(AND($C2353&lt;&gt;"",$C2353&lt;=结账锁),"※日期早于已结账截止日，不能再录",IF(AND($L2353=0,$X2353="正常"),"※没填单价，价格状态请选「待补价」",IF(AND($S2353&gt;0,$R2353&gt;0),"△本批有 "&amp;$S2353&amp;" 行没单价，整批运费先挂账没摊",IF(AND($B2353&lt;&gt;"",COUNTIF($B$4:$B$2503,$B2353)&gt;1),"※入库单号重复","")))))))</f>
        <v/>
      </c>
    </row>
    <row r="2354">
      <c r="A2354" s="24">
        <f>IF($G2354="","",COUNTA($G$4:$G2354))</f>
        <v/>
      </c>
      <c r="B2354" s="17" t="n"/>
      <c r="C2354" s="30" t="n"/>
      <c r="D2354" s="17" t="n"/>
      <c r="E2354" s="17" t="n"/>
      <c r="F2354" s="17" t="n"/>
      <c r="G2354" s="17" t="n"/>
      <c r="H2354" s="24">
        <f>IF($G2354="","",IFERROR(VLOOKUP($G2354,物料档案!$A$4:$P$1203,3,0),"※编码不在物料档案里"))</f>
        <v/>
      </c>
      <c r="I2354" s="24">
        <f>IF($G2354="","",IFERROR(VLOOKUP($G2354,物料档案!$A$4:$P$1203,4,0),"※编码不在物料档案里"))</f>
        <v/>
      </c>
      <c r="J2354" s="24">
        <f>IF($G2354="","",IFERROR(VLOOKUP($G2354,物料档案!$A$4:$P$1203,5,0),"※编码不在物料档案里"))</f>
        <v/>
      </c>
      <c r="K2354" s="23" t="n"/>
      <c r="L2354" s="31" t="n"/>
      <c r="M2354" s="24">
        <f>IF($G2354="","",IF($D2354="A国内","CNY","TZS"))</f>
        <v/>
      </c>
      <c r="N2354" s="28">
        <f>IF($G2354="","",IF($D2354="A国内",汇率,1))</f>
        <v/>
      </c>
      <c r="O2354" s="25">
        <f>IF($G2354="","",ROUND(N($K2354)*N($L2354),2))</f>
        <v/>
      </c>
      <c r="P2354" s="26">
        <f>IF($G2354="","",ROUND($O2354*$N2354,0))</f>
        <v/>
      </c>
      <c r="Q2354" s="26">
        <f>IF($G2354="","",SUMIFS($P$4:$P$2503,$E$4:$E$2503,$E2354,$Z$4:$Z$2503,"正常"))</f>
        <v/>
      </c>
      <c r="R2354" s="26">
        <f>IF($G2354="","",SUMIFS(费用台账!$I$4:$I$503,费用台账!$C$4:$C$503,$E2354,费用台账!$J$4:$J$503,"是",费用台账!$K$4:$K$503,"正常"))</f>
        <v/>
      </c>
      <c r="S2354" s="28">
        <f>IF($G2354="","",COUNTIFS($E$4:$E$2503,$E2354,$Z$4:$Z$2503,"正常",$Y$4:$Y$2503,"待补价"))</f>
        <v/>
      </c>
      <c r="T2354" s="26">
        <f>IF($G2354="","",SUMIFS($P$4:$P$2503,$E$4:$E$2503,$E2354,$Z$4:$Z$2503,"正常",$A$4:$A$2503,"&lt;="&amp;$A2354))</f>
        <v/>
      </c>
      <c r="U2354" s="26">
        <f>IF($G2354="","",IF(OR($S2354&gt;0,$Q2354=0,$R2354=0,$Z2354&lt;&gt;"正常"),0,ROUND($T2354/$Q2354*$R2354,0)-ROUND(($T2354-$P2354)/$Q2354*$R2354,0)))</f>
        <v/>
      </c>
      <c r="V2354" s="26">
        <f>IF($G2354="","",ROUND($P2354+$U2354,0))</f>
        <v/>
      </c>
      <c r="W2354" s="26">
        <f>IF($G2354="","",IF(N($K2354)=0,0,ROUND($V2354/$K2354,2)))</f>
        <v/>
      </c>
      <c r="X2354" s="17" t="n"/>
      <c r="Y2354" s="17" t="n"/>
      <c r="Z2354" s="17" t="n"/>
      <c r="AA2354" s="17" t="n"/>
      <c r="AB2354" s="17" t="n"/>
      <c r="AC2354" s="24">
        <f>IF($G2354="","",IF($H2354="※编码不在物料档案里","※物料编码不在档案里",IF(N($K2354)&lt;=0,"※入库数量要大于 0",IF(AND($C2354&lt;&gt;"",$C2354&lt;=结账锁),"※日期早于已结账截止日，不能再录",IF(AND($L2354=0,$X2354="正常"),"※没填单价，价格状态请选「待补价」",IF(AND($S2354&gt;0,$R2354&gt;0),"△本批有 "&amp;$S2354&amp;" 行没单价，整批运费先挂账没摊",IF(AND($B2354&lt;&gt;"",COUNTIF($B$4:$B$2503,$B2354)&gt;1),"※入库单号重复","")))))))</f>
        <v/>
      </c>
    </row>
    <row r="2355">
      <c r="A2355" s="24">
        <f>IF($G2355="","",COUNTA($G$4:$G2355))</f>
        <v/>
      </c>
      <c r="B2355" s="17" t="n"/>
      <c r="C2355" s="30" t="n"/>
      <c r="D2355" s="17" t="n"/>
      <c r="E2355" s="17" t="n"/>
      <c r="F2355" s="17" t="n"/>
      <c r="G2355" s="17" t="n"/>
      <c r="H2355" s="24">
        <f>IF($G2355="","",IFERROR(VLOOKUP($G2355,物料档案!$A$4:$P$1203,3,0),"※编码不在物料档案里"))</f>
        <v/>
      </c>
      <c r="I2355" s="24">
        <f>IF($G2355="","",IFERROR(VLOOKUP($G2355,物料档案!$A$4:$P$1203,4,0),"※编码不在物料档案里"))</f>
        <v/>
      </c>
      <c r="J2355" s="24">
        <f>IF($G2355="","",IFERROR(VLOOKUP($G2355,物料档案!$A$4:$P$1203,5,0),"※编码不在物料档案里"))</f>
        <v/>
      </c>
      <c r="K2355" s="23" t="n"/>
      <c r="L2355" s="31" t="n"/>
      <c r="M2355" s="24">
        <f>IF($G2355="","",IF($D2355="A国内","CNY","TZS"))</f>
        <v/>
      </c>
      <c r="N2355" s="28">
        <f>IF($G2355="","",IF($D2355="A国内",汇率,1))</f>
        <v/>
      </c>
      <c r="O2355" s="25">
        <f>IF($G2355="","",ROUND(N($K2355)*N($L2355),2))</f>
        <v/>
      </c>
      <c r="P2355" s="26">
        <f>IF($G2355="","",ROUND($O2355*$N2355,0))</f>
        <v/>
      </c>
      <c r="Q2355" s="26">
        <f>IF($G2355="","",SUMIFS($P$4:$P$2503,$E$4:$E$2503,$E2355,$Z$4:$Z$2503,"正常"))</f>
        <v/>
      </c>
      <c r="R2355" s="26">
        <f>IF($G2355="","",SUMIFS(费用台账!$I$4:$I$503,费用台账!$C$4:$C$503,$E2355,费用台账!$J$4:$J$503,"是",费用台账!$K$4:$K$503,"正常"))</f>
        <v/>
      </c>
      <c r="S2355" s="28">
        <f>IF($G2355="","",COUNTIFS($E$4:$E$2503,$E2355,$Z$4:$Z$2503,"正常",$Y$4:$Y$2503,"待补价"))</f>
        <v/>
      </c>
      <c r="T2355" s="26">
        <f>IF($G2355="","",SUMIFS($P$4:$P$2503,$E$4:$E$2503,$E2355,$Z$4:$Z$2503,"正常",$A$4:$A$2503,"&lt;="&amp;$A2355))</f>
        <v/>
      </c>
      <c r="U2355" s="26">
        <f>IF($G2355="","",IF(OR($S2355&gt;0,$Q2355=0,$R2355=0,$Z2355&lt;&gt;"正常"),0,ROUND($T2355/$Q2355*$R2355,0)-ROUND(($T2355-$P2355)/$Q2355*$R2355,0)))</f>
        <v/>
      </c>
      <c r="V2355" s="26">
        <f>IF($G2355="","",ROUND($P2355+$U2355,0))</f>
        <v/>
      </c>
      <c r="W2355" s="26">
        <f>IF($G2355="","",IF(N($K2355)=0,0,ROUND($V2355/$K2355,2)))</f>
        <v/>
      </c>
      <c r="X2355" s="17" t="n"/>
      <c r="Y2355" s="17" t="n"/>
      <c r="Z2355" s="17" t="n"/>
      <c r="AA2355" s="17" t="n"/>
      <c r="AB2355" s="17" t="n"/>
      <c r="AC2355" s="24">
        <f>IF($G2355="","",IF($H2355="※编码不在物料档案里","※物料编码不在档案里",IF(N($K2355)&lt;=0,"※入库数量要大于 0",IF(AND($C2355&lt;&gt;"",$C2355&lt;=结账锁),"※日期早于已结账截止日，不能再录",IF(AND($L2355=0,$X2355="正常"),"※没填单价，价格状态请选「待补价」",IF(AND($S2355&gt;0,$R2355&gt;0),"△本批有 "&amp;$S2355&amp;" 行没单价，整批运费先挂账没摊",IF(AND($B2355&lt;&gt;"",COUNTIF($B$4:$B$2503,$B2355)&gt;1),"※入库单号重复","")))))))</f>
        <v/>
      </c>
    </row>
    <row r="2356">
      <c r="A2356" s="24">
        <f>IF($G2356="","",COUNTA($G$4:$G2356))</f>
        <v/>
      </c>
      <c r="B2356" s="17" t="n"/>
      <c r="C2356" s="30" t="n"/>
      <c r="D2356" s="17" t="n"/>
      <c r="E2356" s="17" t="n"/>
      <c r="F2356" s="17" t="n"/>
      <c r="G2356" s="17" t="n"/>
      <c r="H2356" s="24">
        <f>IF($G2356="","",IFERROR(VLOOKUP($G2356,物料档案!$A$4:$P$1203,3,0),"※编码不在物料档案里"))</f>
        <v/>
      </c>
      <c r="I2356" s="24">
        <f>IF($G2356="","",IFERROR(VLOOKUP($G2356,物料档案!$A$4:$P$1203,4,0),"※编码不在物料档案里"))</f>
        <v/>
      </c>
      <c r="J2356" s="24">
        <f>IF($G2356="","",IFERROR(VLOOKUP($G2356,物料档案!$A$4:$P$1203,5,0),"※编码不在物料档案里"))</f>
        <v/>
      </c>
      <c r="K2356" s="23" t="n"/>
      <c r="L2356" s="31" t="n"/>
      <c r="M2356" s="24">
        <f>IF($G2356="","",IF($D2356="A国内","CNY","TZS"))</f>
        <v/>
      </c>
      <c r="N2356" s="28">
        <f>IF($G2356="","",IF($D2356="A国内",汇率,1))</f>
        <v/>
      </c>
      <c r="O2356" s="25">
        <f>IF($G2356="","",ROUND(N($K2356)*N($L2356),2))</f>
        <v/>
      </c>
      <c r="P2356" s="26">
        <f>IF($G2356="","",ROUND($O2356*$N2356,0))</f>
        <v/>
      </c>
      <c r="Q2356" s="26">
        <f>IF($G2356="","",SUMIFS($P$4:$P$2503,$E$4:$E$2503,$E2356,$Z$4:$Z$2503,"正常"))</f>
        <v/>
      </c>
      <c r="R2356" s="26">
        <f>IF($G2356="","",SUMIFS(费用台账!$I$4:$I$503,费用台账!$C$4:$C$503,$E2356,费用台账!$J$4:$J$503,"是",费用台账!$K$4:$K$503,"正常"))</f>
        <v/>
      </c>
      <c r="S2356" s="28">
        <f>IF($G2356="","",COUNTIFS($E$4:$E$2503,$E2356,$Z$4:$Z$2503,"正常",$Y$4:$Y$2503,"待补价"))</f>
        <v/>
      </c>
      <c r="T2356" s="26">
        <f>IF($G2356="","",SUMIFS($P$4:$P$2503,$E$4:$E$2503,$E2356,$Z$4:$Z$2503,"正常",$A$4:$A$2503,"&lt;="&amp;$A2356))</f>
        <v/>
      </c>
      <c r="U2356" s="26">
        <f>IF($G2356="","",IF(OR($S2356&gt;0,$Q2356=0,$R2356=0,$Z2356&lt;&gt;"正常"),0,ROUND($T2356/$Q2356*$R2356,0)-ROUND(($T2356-$P2356)/$Q2356*$R2356,0)))</f>
        <v/>
      </c>
      <c r="V2356" s="26">
        <f>IF($G2356="","",ROUND($P2356+$U2356,0))</f>
        <v/>
      </c>
      <c r="W2356" s="26">
        <f>IF($G2356="","",IF(N($K2356)=0,0,ROUND($V2356/$K2356,2)))</f>
        <v/>
      </c>
      <c r="X2356" s="17" t="n"/>
      <c r="Y2356" s="17" t="n"/>
      <c r="Z2356" s="17" t="n"/>
      <c r="AA2356" s="17" t="n"/>
      <c r="AB2356" s="17" t="n"/>
      <c r="AC2356" s="24">
        <f>IF($G2356="","",IF($H2356="※编码不在物料档案里","※物料编码不在档案里",IF(N($K2356)&lt;=0,"※入库数量要大于 0",IF(AND($C2356&lt;&gt;"",$C2356&lt;=结账锁),"※日期早于已结账截止日，不能再录",IF(AND($L2356=0,$X2356="正常"),"※没填单价，价格状态请选「待补价」",IF(AND($S2356&gt;0,$R2356&gt;0),"△本批有 "&amp;$S2356&amp;" 行没单价，整批运费先挂账没摊",IF(AND($B2356&lt;&gt;"",COUNTIF($B$4:$B$2503,$B2356)&gt;1),"※入库单号重复","")))))))</f>
        <v/>
      </c>
    </row>
    <row r="2357">
      <c r="A2357" s="24">
        <f>IF($G2357="","",COUNTA($G$4:$G2357))</f>
        <v/>
      </c>
      <c r="B2357" s="17" t="n"/>
      <c r="C2357" s="30" t="n"/>
      <c r="D2357" s="17" t="n"/>
      <c r="E2357" s="17" t="n"/>
      <c r="F2357" s="17" t="n"/>
      <c r="G2357" s="17" t="n"/>
      <c r="H2357" s="24">
        <f>IF($G2357="","",IFERROR(VLOOKUP($G2357,物料档案!$A$4:$P$1203,3,0),"※编码不在物料档案里"))</f>
        <v/>
      </c>
      <c r="I2357" s="24">
        <f>IF($G2357="","",IFERROR(VLOOKUP($G2357,物料档案!$A$4:$P$1203,4,0),"※编码不在物料档案里"))</f>
        <v/>
      </c>
      <c r="J2357" s="24">
        <f>IF($G2357="","",IFERROR(VLOOKUP($G2357,物料档案!$A$4:$P$1203,5,0),"※编码不在物料档案里"))</f>
        <v/>
      </c>
      <c r="K2357" s="23" t="n"/>
      <c r="L2357" s="31" t="n"/>
      <c r="M2357" s="24">
        <f>IF($G2357="","",IF($D2357="A国内","CNY","TZS"))</f>
        <v/>
      </c>
      <c r="N2357" s="28">
        <f>IF($G2357="","",IF($D2357="A国内",汇率,1))</f>
        <v/>
      </c>
      <c r="O2357" s="25">
        <f>IF($G2357="","",ROUND(N($K2357)*N($L2357),2))</f>
        <v/>
      </c>
      <c r="P2357" s="26">
        <f>IF($G2357="","",ROUND($O2357*$N2357,0))</f>
        <v/>
      </c>
      <c r="Q2357" s="26">
        <f>IF($G2357="","",SUMIFS($P$4:$P$2503,$E$4:$E$2503,$E2357,$Z$4:$Z$2503,"正常"))</f>
        <v/>
      </c>
      <c r="R2357" s="26">
        <f>IF($G2357="","",SUMIFS(费用台账!$I$4:$I$503,费用台账!$C$4:$C$503,$E2357,费用台账!$J$4:$J$503,"是",费用台账!$K$4:$K$503,"正常"))</f>
        <v/>
      </c>
      <c r="S2357" s="28">
        <f>IF($G2357="","",COUNTIFS($E$4:$E$2503,$E2357,$Z$4:$Z$2503,"正常",$Y$4:$Y$2503,"待补价"))</f>
        <v/>
      </c>
      <c r="T2357" s="26">
        <f>IF($G2357="","",SUMIFS($P$4:$P$2503,$E$4:$E$2503,$E2357,$Z$4:$Z$2503,"正常",$A$4:$A$2503,"&lt;="&amp;$A2357))</f>
        <v/>
      </c>
      <c r="U2357" s="26">
        <f>IF($G2357="","",IF(OR($S2357&gt;0,$Q2357=0,$R2357=0,$Z2357&lt;&gt;"正常"),0,ROUND($T2357/$Q2357*$R2357,0)-ROUND(($T2357-$P2357)/$Q2357*$R2357,0)))</f>
        <v/>
      </c>
      <c r="V2357" s="26">
        <f>IF($G2357="","",ROUND($P2357+$U2357,0))</f>
        <v/>
      </c>
      <c r="W2357" s="26">
        <f>IF($G2357="","",IF(N($K2357)=0,0,ROUND($V2357/$K2357,2)))</f>
        <v/>
      </c>
      <c r="X2357" s="17" t="n"/>
      <c r="Y2357" s="17" t="n"/>
      <c r="Z2357" s="17" t="n"/>
      <c r="AA2357" s="17" t="n"/>
      <c r="AB2357" s="17" t="n"/>
      <c r="AC2357" s="24">
        <f>IF($G2357="","",IF($H2357="※编码不在物料档案里","※物料编码不在档案里",IF(N($K2357)&lt;=0,"※入库数量要大于 0",IF(AND($C2357&lt;&gt;"",$C2357&lt;=结账锁),"※日期早于已结账截止日，不能再录",IF(AND($L2357=0,$X2357="正常"),"※没填单价，价格状态请选「待补价」",IF(AND($S2357&gt;0,$R2357&gt;0),"△本批有 "&amp;$S2357&amp;" 行没单价，整批运费先挂账没摊",IF(AND($B2357&lt;&gt;"",COUNTIF($B$4:$B$2503,$B2357)&gt;1),"※入库单号重复","")))))))</f>
        <v/>
      </c>
    </row>
    <row r="2358">
      <c r="A2358" s="24">
        <f>IF($G2358="","",COUNTA($G$4:$G2358))</f>
        <v/>
      </c>
      <c r="B2358" s="17" t="n"/>
      <c r="C2358" s="30" t="n"/>
      <c r="D2358" s="17" t="n"/>
      <c r="E2358" s="17" t="n"/>
      <c r="F2358" s="17" t="n"/>
      <c r="G2358" s="17" t="n"/>
      <c r="H2358" s="24">
        <f>IF($G2358="","",IFERROR(VLOOKUP($G2358,物料档案!$A$4:$P$1203,3,0),"※编码不在物料档案里"))</f>
        <v/>
      </c>
      <c r="I2358" s="24">
        <f>IF($G2358="","",IFERROR(VLOOKUP($G2358,物料档案!$A$4:$P$1203,4,0),"※编码不在物料档案里"))</f>
        <v/>
      </c>
      <c r="J2358" s="24">
        <f>IF($G2358="","",IFERROR(VLOOKUP($G2358,物料档案!$A$4:$P$1203,5,0),"※编码不在物料档案里"))</f>
        <v/>
      </c>
      <c r="K2358" s="23" t="n"/>
      <c r="L2358" s="31" t="n"/>
      <c r="M2358" s="24">
        <f>IF($G2358="","",IF($D2358="A国内","CNY","TZS"))</f>
        <v/>
      </c>
      <c r="N2358" s="28">
        <f>IF($G2358="","",IF($D2358="A国内",汇率,1))</f>
        <v/>
      </c>
      <c r="O2358" s="25">
        <f>IF($G2358="","",ROUND(N($K2358)*N($L2358),2))</f>
        <v/>
      </c>
      <c r="P2358" s="26">
        <f>IF($G2358="","",ROUND($O2358*$N2358,0))</f>
        <v/>
      </c>
      <c r="Q2358" s="26">
        <f>IF($G2358="","",SUMIFS($P$4:$P$2503,$E$4:$E$2503,$E2358,$Z$4:$Z$2503,"正常"))</f>
        <v/>
      </c>
      <c r="R2358" s="26">
        <f>IF($G2358="","",SUMIFS(费用台账!$I$4:$I$503,费用台账!$C$4:$C$503,$E2358,费用台账!$J$4:$J$503,"是",费用台账!$K$4:$K$503,"正常"))</f>
        <v/>
      </c>
      <c r="S2358" s="28">
        <f>IF($G2358="","",COUNTIFS($E$4:$E$2503,$E2358,$Z$4:$Z$2503,"正常",$Y$4:$Y$2503,"待补价"))</f>
        <v/>
      </c>
      <c r="T2358" s="26">
        <f>IF($G2358="","",SUMIFS($P$4:$P$2503,$E$4:$E$2503,$E2358,$Z$4:$Z$2503,"正常",$A$4:$A$2503,"&lt;="&amp;$A2358))</f>
        <v/>
      </c>
      <c r="U2358" s="26">
        <f>IF($G2358="","",IF(OR($S2358&gt;0,$Q2358=0,$R2358=0,$Z2358&lt;&gt;"正常"),0,ROUND($T2358/$Q2358*$R2358,0)-ROUND(($T2358-$P2358)/$Q2358*$R2358,0)))</f>
        <v/>
      </c>
      <c r="V2358" s="26">
        <f>IF($G2358="","",ROUND($P2358+$U2358,0))</f>
        <v/>
      </c>
      <c r="W2358" s="26">
        <f>IF($G2358="","",IF(N($K2358)=0,0,ROUND($V2358/$K2358,2)))</f>
        <v/>
      </c>
      <c r="X2358" s="17" t="n"/>
      <c r="Y2358" s="17" t="n"/>
      <c r="Z2358" s="17" t="n"/>
      <c r="AA2358" s="17" t="n"/>
      <c r="AB2358" s="17" t="n"/>
      <c r="AC2358" s="24">
        <f>IF($G2358="","",IF($H2358="※编码不在物料档案里","※物料编码不在档案里",IF(N($K2358)&lt;=0,"※入库数量要大于 0",IF(AND($C2358&lt;&gt;"",$C2358&lt;=结账锁),"※日期早于已结账截止日，不能再录",IF(AND($L2358=0,$X2358="正常"),"※没填单价，价格状态请选「待补价」",IF(AND($S2358&gt;0,$R2358&gt;0),"△本批有 "&amp;$S2358&amp;" 行没单价，整批运费先挂账没摊",IF(AND($B2358&lt;&gt;"",COUNTIF($B$4:$B$2503,$B2358)&gt;1),"※入库单号重复","")))))))</f>
        <v/>
      </c>
    </row>
    <row r="2359">
      <c r="A2359" s="24">
        <f>IF($G2359="","",COUNTA($G$4:$G2359))</f>
        <v/>
      </c>
      <c r="B2359" s="17" t="n"/>
      <c r="C2359" s="30" t="n"/>
      <c r="D2359" s="17" t="n"/>
      <c r="E2359" s="17" t="n"/>
      <c r="F2359" s="17" t="n"/>
      <c r="G2359" s="17" t="n"/>
      <c r="H2359" s="24">
        <f>IF($G2359="","",IFERROR(VLOOKUP($G2359,物料档案!$A$4:$P$1203,3,0),"※编码不在物料档案里"))</f>
        <v/>
      </c>
      <c r="I2359" s="24">
        <f>IF($G2359="","",IFERROR(VLOOKUP($G2359,物料档案!$A$4:$P$1203,4,0),"※编码不在物料档案里"))</f>
        <v/>
      </c>
      <c r="J2359" s="24">
        <f>IF($G2359="","",IFERROR(VLOOKUP($G2359,物料档案!$A$4:$P$1203,5,0),"※编码不在物料档案里"))</f>
        <v/>
      </c>
      <c r="K2359" s="23" t="n"/>
      <c r="L2359" s="31" t="n"/>
      <c r="M2359" s="24">
        <f>IF($G2359="","",IF($D2359="A国内","CNY","TZS"))</f>
        <v/>
      </c>
      <c r="N2359" s="28">
        <f>IF($G2359="","",IF($D2359="A国内",汇率,1))</f>
        <v/>
      </c>
      <c r="O2359" s="25">
        <f>IF($G2359="","",ROUND(N($K2359)*N($L2359),2))</f>
        <v/>
      </c>
      <c r="P2359" s="26">
        <f>IF($G2359="","",ROUND($O2359*$N2359,0))</f>
        <v/>
      </c>
      <c r="Q2359" s="26">
        <f>IF($G2359="","",SUMIFS($P$4:$P$2503,$E$4:$E$2503,$E2359,$Z$4:$Z$2503,"正常"))</f>
        <v/>
      </c>
      <c r="R2359" s="26">
        <f>IF($G2359="","",SUMIFS(费用台账!$I$4:$I$503,费用台账!$C$4:$C$503,$E2359,费用台账!$J$4:$J$503,"是",费用台账!$K$4:$K$503,"正常"))</f>
        <v/>
      </c>
      <c r="S2359" s="28">
        <f>IF($G2359="","",COUNTIFS($E$4:$E$2503,$E2359,$Z$4:$Z$2503,"正常",$Y$4:$Y$2503,"待补价"))</f>
        <v/>
      </c>
      <c r="T2359" s="26">
        <f>IF($G2359="","",SUMIFS($P$4:$P$2503,$E$4:$E$2503,$E2359,$Z$4:$Z$2503,"正常",$A$4:$A$2503,"&lt;="&amp;$A2359))</f>
        <v/>
      </c>
      <c r="U2359" s="26">
        <f>IF($G2359="","",IF(OR($S2359&gt;0,$Q2359=0,$R2359=0,$Z2359&lt;&gt;"正常"),0,ROUND($T2359/$Q2359*$R2359,0)-ROUND(($T2359-$P2359)/$Q2359*$R2359,0)))</f>
        <v/>
      </c>
      <c r="V2359" s="26">
        <f>IF($G2359="","",ROUND($P2359+$U2359,0))</f>
        <v/>
      </c>
      <c r="W2359" s="26">
        <f>IF($G2359="","",IF(N($K2359)=0,0,ROUND($V2359/$K2359,2)))</f>
        <v/>
      </c>
      <c r="X2359" s="17" t="n"/>
      <c r="Y2359" s="17" t="n"/>
      <c r="Z2359" s="17" t="n"/>
      <c r="AA2359" s="17" t="n"/>
      <c r="AB2359" s="17" t="n"/>
      <c r="AC2359" s="24">
        <f>IF($G2359="","",IF($H2359="※编码不在物料档案里","※物料编码不在档案里",IF(N($K2359)&lt;=0,"※入库数量要大于 0",IF(AND($C2359&lt;&gt;"",$C2359&lt;=结账锁),"※日期早于已结账截止日，不能再录",IF(AND($L2359=0,$X2359="正常"),"※没填单价，价格状态请选「待补价」",IF(AND($S2359&gt;0,$R2359&gt;0),"△本批有 "&amp;$S2359&amp;" 行没单价，整批运费先挂账没摊",IF(AND($B2359&lt;&gt;"",COUNTIF($B$4:$B$2503,$B2359)&gt;1),"※入库单号重复","")))))))</f>
        <v/>
      </c>
    </row>
    <row r="2360">
      <c r="A2360" s="24">
        <f>IF($G2360="","",COUNTA($G$4:$G2360))</f>
        <v/>
      </c>
      <c r="B2360" s="17" t="n"/>
      <c r="C2360" s="30" t="n"/>
      <c r="D2360" s="17" t="n"/>
      <c r="E2360" s="17" t="n"/>
      <c r="F2360" s="17" t="n"/>
      <c r="G2360" s="17" t="n"/>
      <c r="H2360" s="24">
        <f>IF($G2360="","",IFERROR(VLOOKUP($G2360,物料档案!$A$4:$P$1203,3,0),"※编码不在物料档案里"))</f>
        <v/>
      </c>
      <c r="I2360" s="24">
        <f>IF($G2360="","",IFERROR(VLOOKUP($G2360,物料档案!$A$4:$P$1203,4,0),"※编码不在物料档案里"))</f>
        <v/>
      </c>
      <c r="J2360" s="24">
        <f>IF($G2360="","",IFERROR(VLOOKUP($G2360,物料档案!$A$4:$P$1203,5,0),"※编码不在物料档案里"))</f>
        <v/>
      </c>
      <c r="K2360" s="23" t="n"/>
      <c r="L2360" s="31" t="n"/>
      <c r="M2360" s="24">
        <f>IF($G2360="","",IF($D2360="A国内","CNY","TZS"))</f>
        <v/>
      </c>
      <c r="N2360" s="28">
        <f>IF($G2360="","",IF($D2360="A国内",汇率,1))</f>
        <v/>
      </c>
      <c r="O2360" s="25">
        <f>IF($G2360="","",ROUND(N($K2360)*N($L2360),2))</f>
        <v/>
      </c>
      <c r="P2360" s="26">
        <f>IF($G2360="","",ROUND($O2360*$N2360,0))</f>
        <v/>
      </c>
      <c r="Q2360" s="26">
        <f>IF($G2360="","",SUMIFS($P$4:$P$2503,$E$4:$E$2503,$E2360,$Z$4:$Z$2503,"正常"))</f>
        <v/>
      </c>
      <c r="R2360" s="26">
        <f>IF($G2360="","",SUMIFS(费用台账!$I$4:$I$503,费用台账!$C$4:$C$503,$E2360,费用台账!$J$4:$J$503,"是",费用台账!$K$4:$K$503,"正常"))</f>
        <v/>
      </c>
      <c r="S2360" s="28">
        <f>IF($G2360="","",COUNTIFS($E$4:$E$2503,$E2360,$Z$4:$Z$2503,"正常",$Y$4:$Y$2503,"待补价"))</f>
        <v/>
      </c>
      <c r="T2360" s="26">
        <f>IF($G2360="","",SUMIFS($P$4:$P$2503,$E$4:$E$2503,$E2360,$Z$4:$Z$2503,"正常",$A$4:$A$2503,"&lt;="&amp;$A2360))</f>
        <v/>
      </c>
      <c r="U2360" s="26">
        <f>IF($G2360="","",IF(OR($S2360&gt;0,$Q2360=0,$R2360=0,$Z2360&lt;&gt;"正常"),0,ROUND($T2360/$Q2360*$R2360,0)-ROUND(($T2360-$P2360)/$Q2360*$R2360,0)))</f>
        <v/>
      </c>
      <c r="V2360" s="26">
        <f>IF($G2360="","",ROUND($P2360+$U2360,0))</f>
        <v/>
      </c>
      <c r="W2360" s="26">
        <f>IF($G2360="","",IF(N($K2360)=0,0,ROUND($V2360/$K2360,2)))</f>
        <v/>
      </c>
      <c r="X2360" s="17" t="n"/>
      <c r="Y2360" s="17" t="n"/>
      <c r="Z2360" s="17" t="n"/>
      <c r="AA2360" s="17" t="n"/>
      <c r="AB2360" s="17" t="n"/>
      <c r="AC2360" s="24">
        <f>IF($G2360="","",IF($H2360="※编码不在物料档案里","※物料编码不在档案里",IF(N($K2360)&lt;=0,"※入库数量要大于 0",IF(AND($C2360&lt;&gt;"",$C2360&lt;=结账锁),"※日期早于已结账截止日，不能再录",IF(AND($L2360=0,$X2360="正常"),"※没填单价，价格状态请选「待补价」",IF(AND($S2360&gt;0,$R2360&gt;0),"△本批有 "&amp;$S2360&amp;" 行没单价，整批运费先挂账没摊",IF(AND($B2360&lt;&gt;"",COUNTIF($B$4:$B$2503,$B2360)&gt;1),"※入库单号重复","")))))))</f>
        <v/>
      </c>
    </row>
    <row r="2361">
      <c r="A2361" s="24">
        <f>IF($G2361="","",COUNTA($G$4:$G2361))</f>
        <v/>
      </c>
      <c r="B2361" s="17" t="n"/>
      <c r="C2361" s="30" t="n"/>
      <c r="D2361" s="17" t="n"/>
      <c r="E2361" s="17" t="n"/>
      <c r="F2361" s="17" t="n"/>
      <c r="G2361" s="17" t="n"/>
      <c r="H2361" s="24">
        <f>IF($G2361="","",IFERROR(VLOOKUP($G2361,物料档案!$A$4:$P$1203,3,0),"※编码不在物料档案里"))</f>
        <v/>
      </c>
      <c r="I2361" s="24">
        <f>IF($G2361="","",IFERROR(VLOOKUP($G2361,物料档案!$A$4:$P$1203,4,0),"※编码不在物料档案里"))</f>
        <v/>
      </c>
      <c r="J2361" s="24">
        <f>IF($G2361="","",IFERROR(VLOOKUP($G2361,物料档案!$A$4:$P$1203,5,0),"※编码不在物料档案里"))</f>
        <v/>
      </c>
      <c r="K2361" s="23" t="n"/>
      <c r="L2361" s="31" t="n"/>
      <c r="M2361" s="24">
        <f>IF($G2361="","",IF($D2361="A国内","CNY","TZS"))</f>
        <v/>
      </c>
      <c r="N2361" s="28">
        <f>IF($G2361="","",IF($D2361="A国内",汇率,1))</f>
        <v/>
      </c>
      <c r="O2361" s="25">
        <f>IF($G2361="","",ROUND(N($K2361)*N($L2361),2))</f>
        <v/>
      </c>
      <c r="P2361" s="26">
        <f>IF($G2361="","",ROUND($O2361*$N2361,0))</f>
        <v/>
      </c>
      <c r="Q2361" s="26">
        <f>IF($G2361="","",SUMIFS($P$4:$P$2503,$E$4:$E$2503,$E2361,$Z$4:$Z$2503,"正常"))</f>
        <v/>
      </c>
      <c r="R2361" s="26">
        <f>IF($G2361="","",SUMIFS(费用台账!$I$4:$I$503,费用台账!$C$4:$C$503,$E2361,费用台账!$J$4:$J$503,"是",费用台账!$K$4:$K$503,"正常"))</f>
        <v/>
      </c>
      <c r="S2361" s="28">
        <f>IF($G2361="","",COUNTIFS($E$4:$E$2503,$E2361,$Z$4:$Z$2503,"正常",$Y$4:$Y$2503,"待补价"))</f>
        <v/>
      </c>
      <c r="T2361" s="26">
        <f>IF($G2361="","",SUMIFS($P$4:$P$2503,$E$4:$E$2503,$E2361,$Z$4:$Z$2503,"正常",$A$4:$A$2503,"&lt;="&amp;$A2361))</f>
        <v/>
      </c>
      <c r="U2361" s="26">
        <f>IF($G2361="","",IF(OR($S2361&gt;0,$Q2361=0,$R2361=0,$Z2361&lt;&gt;"正常"),0,ROUND($T2361/$Q2361*$R2361,0)-ROUND(($T2361-$P2361)/$Q2361*$R2361,0)))</f>
        <v/>
      </c>
      <c r="V2361" s="26">
        <f>IF($G2361="","",ROUND($P2361+$U2361,0))</f>
        <v/>
      </c>
      <c r="W2361" s="26">
        <f>IF($G2361="","",IF(N($K2361)=0,0,ROUND($V2361/$K2361,2)))</f>
        <v/>
      </c>
      <c r="X2361" s="17" t="n"/>
      <c r="Y2361" s="17" t="n"/>
      <c r="Z2361" s="17" t="n"/>
      <c r="AA2361" s="17" t="n"/>
      <c r="AB2361" s="17" t="n"/>
      <c r="AC2361" s="24">
        <f>IF($G2361="","",IF($H2361="※编码不在物料档案里","※物料编码不在档案里",IF(N($K2361)&lt;=0,"※入库数量要大于 0",IF(AND($C2361&lt;&gt;"",$C2361&lt;=结账锁),"※日期早于已结账截止日，不能再录",IF(AND($L2361=0,$X2361="正常"),"※没填单价，价格状态请选「待补价」",IF(AND($S2361&gt;0,$R2361&gt;0),"△本批有 "&amp;$S2361&amp;" 行没单价，整批运费先挂账没摊",IF(AND($B2361&lt;&gt;"",COUNTIF($B$4:$B$2503,$B2361)&gt;1),"※入库单号重复","")))))))</f>
        <v/>
      </c>
    </row>
    <row r="2362">
      <c r="A2362" s="24">
        <f>IF($G2362="","",COUNTA($G$4:$G2362))</f>
        <v/>
      </c>
      <c r="B2362" s="17" t="n"/>
      <c r="C2362" s="30" t="n"/>
      <c r="D2362" s="17" t="n"/>
      <c r="E2362" s="17" t="n"/>
      <c r="F2362" s="17" t="n"/>
      <c r="G2362" s="17" t="n"/>
      <c r="H2362" s="24">
        <f>IF($G2362="","",IFERROR(VLOOKUP($G2362,物料档案!$A$4:$P$1203,3,0),"※编码不在物料档案里"))</f>
        <v/>
      </c>
      <c r="I2362" s="24">
        <f>IF($G2362="","",IFERROR(VLOOKUP($G2362,物料档案!$A$4:$P$1203,4,0),"※编码不在物料档案里"))</f>
        <v/>
      </c>
      <c r="J2362" s="24">
        <f>IF($G2362="","",IFERROR(VLOOKUP($G2362,物料档案!$A$4:$P$1203,5,0),"※编码不在物料档案里"))</f>
        <v/>
      </c>
      <c r="K2362" s="23" t="n"/>
      <c r="L2362" s="31" t="n"/>
      <c r="M2362" s="24">
        <f>IF($G2362="","",IF($D2362="A国内","CNY","TZS"))</f>
        <v/>
      </c>
      <c r="N2362" s="28">
        <f>IF($G2362="","",IF($D2362="A国内",汇率,1))</f>
        <v/>
      </c>
      <c r="O2362" s="25">
        <f>IF($G2362="","",ROUND(N($K2362)*N($L2362),2))</f>
        <v/>
      </c>
      <c r="P2362" s="26">
        <f>IF($G2362="","",ROUND($O2362*$N2362,0))</f>
        <v/>
      </c>
      <c r="Q2362" s="26">
        <f>IF($G2362="","",SUMIFS($P$4:$P$2503,$E$4:$E$2503,$E2362,$Z$4:$Z$2503,"正常"))</f>
        <v/>
      </c>
      <c r="R2362" s="26">
        <f>IF($G2362="","",SUMIFS(费用台账!$I$4:$I$503,费用台账!$C$4:$C$503,$E2362,费用台账!$J$4:$J$503,"是",费用台账!$K$4:$K$503,"正常"))</f>
        <v/>
      </c>
      <c r="S2362" s="28">
        <f>IF($G2362="","",COUNTIFS($E$4:$E$2503,$E2362,$Z$4:$Z$2503,"正常",$Y$4:$Y$2503,"待补价"))</f>
        <v/>
      </c>
      <c r="T2362" s="26">
        <f>IF($G2362="","",SUMIFS($P$4:$P$2503,$E$4:$E$2503,$E2362,$Z$4:$Z$2503,"正常",$A$4:$A$2503,"&lt;="&amp;$A2362))</f>
        <v/>
      </c>
      <c r="U2362" s="26">
        <f>IF($G2362="","",IF(OR($S2362&gt;0,$Q2362=0,$R2362=0,$Z2362&lt;&gt;"正常"),0,ROUND($T2362/$Q2362*$R2362,0)-ROUND(($T2362-$P2362)/$Q2362*$R2362,0)))</f>
        <v/>
      </c>
      <c r="V2362" s="26">
        <f>IF($G2362="","",ROUND($P2362+$U2362,0))</f>
        <v/>
      </c>
      <c r="W2362" s="26">
        <f>IF($G2362="","",IF(N($K2362)=0,0,ROUND($V2362/$K2362,2)))</f>
        <v/>
      </c>
      <c r="X2362" s="17" t="n"/>
      <c r="Y2362" s="17" t="n"/>
      <c r="Z2362" s="17" t="n"/>
      <c r="AA2362" s="17" t="n"/>
      <c r="AB2362" s="17" t="n"/>
      <c r="AC2362" s="24">
        <f>IF($G2362="","",IF($H2362="※编码不在物料档案里","※物料编码不在档案里",IF(N($K2362)&lt;=0,"※入库数量要大于 0",IF(AND($C2362&lt;&gt;"",$C2362&lt;=结账锁),"※日期早于已结账截止日，不能再录",IF(AND($L2362=0,$X2362="正常"),"※没填单价，价格状态请选「待补价」",IF(AND($S2362&gt;0,$R2362&gt;0),"△本批有 "&amp;$S2362&amp;" 行没单价，整批运费先挂账没摊",IF(AND($B2362&lt;&gt;"",COUNTIF($B$4:$B$2503,$B2362)&gt;1),"※入库单号重复","")))))))</f>
        <v/>
      </c>
    </row>
    <row r="2363">
      <c r="A2363" s="24">
        <f>IF($G2363="","",COUNTA($G$4:$G2363))</f>
        <v/>
      </c>
      <c r="B2363" s="17" t="n"/>
      <c r="C2363" s="30" t="n"/>
      <c r="D2363" s="17" t="n"/>
      <c r="E2363" s="17" t="n"/>
      <c r="F2363" s="17" t="n"/>
      <c r="G2363" s="17" t="n"/>
      <c r="H2363" s="24">
        <f>IF($G2363="","",IFERROR(VLOOKUP($G2363,物料档案!$A$4:$P$1203,3,0),"※编码不在物料档案里"))</f>
        <v/>
      </c>
      <c r="I2363" s="24">
        <f>IF($G2363="","",IFERROR(VLOOKUP($G2363,物料档案!$A$4:$P$1203,4,0),"※编码不在物料档案里"))</f>
        <v/>
      </c>
      <c r="J2363" s="24">
        <f>IF($G2363="","",IFERROR(VLOOKUP($G2363,物料档案!$A$4:$P$1203,5,0),"※编码不在物料档案里"))</f>
        <v/>
      </c>
      <c r="K2363" s="23" t="n"/>
      <c r="L2363" s="31" t="n"/>
      <c r="M2363" s="24">
        <f>IF($G2363="","",IF($D2363="A国内","CNY","TZS"))</f>
        <v/>
      </c>
      <c r="N2363" s="28">
        <f>IF($G2363="","",IF($D2363="A国内",汇率,1))</f>
        <v/>
      </c>
      <c r="O2363" s="25">
        <f>IF($G2363="","",ROUND(N($K2363)*N($L2363),2))</f>
        <v/>
      </c>
      <c r="P2363" s="26">
        <f>IF($G2363="","",ROUND($O2363*$N2363,0))</f>
        <v/>
      </c>
      <c r="Q2363" s="26">
        <f>IF($G2363="","",SUMIFS($P$4:$P$2503,$E$4:$E$2503,$E2363,$Z$4:$Z$2503,"正常"))</f>
        <v/>
      </c>
      <c r="R2363" s="26">
        <f>IF($G2363="","",SUMIFS(费用台账!$I$4:$I$503,费用台账!$C$4:$C$503,$E2363,费用台账!$J$4:$J$503,"是",费用台账!$K$4:$K$503,"正常"))</f>
        <v/>
      </c>
      <c r="S2363" s="28">
        <f>IF($G2363="","",COUNTIFS($E$4:$E$2503,$E2363,$Z$4:$Z$2503,"正常",$Y$4:$Y$2503,"待补价"))</f>
        <v/>
      </c>
      <c r="T2363" s="26">
        <f>IF($G2363="","",SUMIFS($P$4:$P$2503,$E$4:$E$2503,$E2363,$Z$4:$Z$2503,"正常",$A$4:$A$2503,"&lt;="&amp;$A2363))</f>
        <v/>
      </c>
      <c r="U2363" s="26">
        <f>IF($G2363="","",IF(OR($S2363&gt;0,$Q2363=0,$R2363=0,$Z2363&lt;&gt;"正常"),0,ROUND($T2363/$Q2363*$R2363,0)-ROUND(($T2363-$P2363)/$Q2363*$R2363,0)))</f>
        <v/>
      </c>
      <c r="V2363" s="26">
        <f>IF($G2363="","",ROUND($P2363+$U2363,0))</f>
        <v/>
      </c>
      <c r="W2363" s="26">
        <f>IF($G2363="","",IF(N($K2363)=0,0,ROUND($V2363/$K2363,2)))</f>
        <v/>
      </c>
      <c r="X2363" s="17" t="n"/>
      <c r="Y2363" s="17" t="n"/>
      <c r="Z2363" s="17" t="n"/>
      <c r="AA2363" s="17" t="n"/>
      <c r="AB2363" s="17" t="n"/>
      <c r="AC2363" s="24">
        <f>IF($G2363="","",IF($H2363="※编码不在物料档案里","※物料编码不在档案里",IF(N($K2363)&lt;=0,"※入库数量要大于 0",IF(AND($C2363&lt;&gt;"",$C2363&lt;=结账锁),"※日期早于已结账截止日，不能再录",IF(AND($L2363=0,$X2363="正常"),"※没填单价，价格状态请选「待补价」",IF(AND($S2363&gt;0,$R2363&gt;0),"△本批有 "&amp;$S2363&amp;" 行没单价，整批运费先挂账没摊",IF(AND($B2363&lt;&gt;"",COUNTIF($B$4:$B$2503,$B2363)&gt;1),"※入库单号重复","")))))))</f>
        <v/>
      </c>
    </row>
    <row r="2364">
      <c r="A2364" s="24">
        <f>IF($G2364="","",COUNTA($G$4:$G2364))</f>
        <v/>
      </c>
      <c r="B2364" s="17" t="n"/>
      <c r="C2364" s="30" t="n"/>
      <c r="D2364" s="17" t="n"/>
      <c r="E2364" s="17" t="n"/>
      <c r="F2364" s="17" t="n"/>
      <c r="G2364" s="17" t="n"/>
      <c r="H2364" s="24">
        <f>IF($G2364="","",IFERROR(VLOOKUP($G2364,物料档案!$A$4:$P$1203,3,0),"※编码不在物料档案里"))</f>
        <v/>
      </c>
      <c r="I2364" s="24">
        <f>IF($G2364="","",IFERROR(VLOOKUP($G2364,物料档案!$A$4:$P$1203,4,0),"※编码不在物料档案里"))</f>
        <v/>
      </c>
      <c r="J2364" s="24">
        <f>IF($G2364="","",IFERROR(VLOOKUP($G2364,物料档案!$A$4:$P$1203,5,0),"※编码不在物料档案里"))</f>
        <v/>
      </c>
      <c r="K2364" s="23" t="n"/>
      <c r="L2364" s="31" t="n"/>
      <c r="M2364" s="24">
        <f>IF($G2364="","",IF($D2364="A国内","CNY","TZS"))</f>
        <v/>
      </c>
      <c r="N2364" s="28">
        <f>IF($G2364="","",IF($D2364="A国内",汇率,1))</f>
        <v/>
      </c>
      <c r="O2364" s="25">
        <f>IF($G2364="","",ROUND(N($K2364)*N($L2364),2))</f>
        <v/>
      </c>
      <c r="P2364" s="26">
        <f>IF($G2364="","",ROUND($O2364*$N2364,0))</f>
        <v/>
      </c>
      <c r="Q2364" s="26">
        <f>IF($G2364="","",SUMIFS($P$4:$P$2503,$E$4:$E$2503,$E2364,$Z$4:$Z$2503,"正常"))</f>
        <v/>
      </c>
      <c r="R2364" s="26">
        <f>IF($G2364="","",SUMIFS(费用台账!$I$4:$I$503,费用台账!$C$4:$C$503,$E2364,费用台账!$J$4:$J$503,"是",费用台账!$K$4:$K$503,"正常"))</f>
        <v/>
      </c>
      <c r="S2364" s="28">
        <f>IF($G2364="","",COUNTIFS($E$4:$E$2503,$E2364,$Z$4:$Z$2503,"正常",$Y$4:$Y$2503,"待补价"))</f>
        <v/>
      </c>
      <c r="T2364" s="26">
        <f>IF($G2364="","",SUMIFS($P$4:$P$2503,$E$4:$E$2503,$E2364,$Z$4:$Z$2503,"正常",$A$4:$A$2503,"&lt;="&amp;$A2364))</f>
        <v/>
      </c>
      <c r="U2364" s="26">
        <f>IF($G2364="","",IF(OR($S2364&gt;0,$Q2364=0,$R2364=0,$Z2364&lt;&gt;"正常"),0,ROUND($T2364/$Q2364*$R2364,0)-ROUND(($T2364-$P2364)/$Q2364*$R2364,0)))</f>
        <v/>
      </c>
      <c r="V2364" s="26">
        <f>IF($G2364="","",ROUND($P2364+$U2364,0))</f>
        <v/>
      </c>
      <c r="W2364" s="26">
        <f>IF($G2364="","",IF(N($K2364)=0,0,ROUND($V2364/$K2364,2)))</f>
        <v/>
      </c>
      <c r="X2364" s="17" t="n"/>
      <c r="Y2364" s="17" t="n"/>
      <c r="Z2364" s="17" t="n"/>
      <c r="AA2364" s="17" t="n"/>
      <c r="AB2364" s="17" t="n"/>
      <c r="AC2364" s="24">
        <f>IF($G2364="","",IF($H2364="※编码不在物料档案里","※物料编码不在档案里",IF(N($K2364)&lt;=0,"※入库数量要大于 0",IF(AND($C2364&lt;&gt;"",$C2364&lt;=结账锁),"※日期早于已结账截止日，不能再录",IF(AND($L2364=0,$X2364="正常"),"※没填单价，价格状态请选「待补价」",IF(AND($S2364&gt;0,$R2364&gt;0),"△本批有 "&amp;$S2364&amp;" 行没单价，整批运费先挂账没摊",IF(AND($B2364&lt;&gt;"",COUNTIF($B$4:$B$2503,$B2364)&gt;1),"※入库单号重复","")))))))</f>
        <v/>
      </c>
    </row>
    <row r="2365">
      <c r="A2365" s="24">
        <f>IF($G2365="","",COUNTA($G$4:$G2365))</f>
        <v/>
      </c>
      <c r="B2365" s="17" t="n"/>
      <c r="C2365" s="30" t="n"/>
      <c r="D2365" s="17" t="n"/>
      <c r="E2365" s="17" t="n"/>
      <c r="F2365" s="17" t="n"/>
      <c r="G2365" s="17" t="n"/>
      <c r="H2365" s="24">
        <f>IF($G2365="","",IFERROR(VLOOKUP($G2365,物料档案!$A$4:$P$1203,3,0),"※编码不在物料档案里"))</f>
        <v/>
      </c>
      <c r="I2365" s="24">
        <f>IF($G2365="","",IFERROR(VLOOKUP($G2365,物料档案!$A$4:$P$1203,4,0),"※编码不在物料档案里"))</f>
        <v/>
      </c>
      <c r="J2365" s="24">
        <f>IF($G2365="","",IFERROR(VLOOKUP($G2365,物料档案!$A$4:$P$1203,5,0),"※编码不在物料档案里"))</f>
        <v/>
      </c>
      <c r="K2365" s="23" t="n"/>
      <c r="L2365" s="31" t="n"/>
      <c r="M2365" s="24">
        <f>IF($G2365="","",IF($D2365="A国内","CNY","TZS"))</f>
        <v/>
      </c>
      <c r="N2365" s="28">
        <f>IF($G2365="","",IF($D2365="A国内",汇率,1))</f>
        <v/>
      </c>
      <c r="O2365" s="25">
        <f>IF($G2365="","",ROUND(N($K2365)*N($L2365),2))</f>
        <v/>
      </c>
      <c r="P2365" s="26">
        <f>IF($G2365="","",ROUND($O2365*$N2365,0))</f>
        <v/>
      </c>
      <c r="Q2365" s="26">
        <f>IF($G2365="","",SUMIFS($P$4:$P$2503,$E$4:$E$2503,$E2365,$Z$4:$Z$2503,"正常"))</f>
        <v/>
      </c>
      <c r="R2365" s="26">
        <f>IF($G2365="","",SUMIFS(费用台账!$I$4:$I$503,费用台账!$C$4:$C$503,$E2365,费用台账!$J$4:$J$503,"是",费用台账!$K$4:$K$503,"正常"))</f>
        <v/>
      </c>
      <c r="S2365" s="28">
        <f>IF($G2365="","",COUNTIFS($E$4:$E$2503,$E2365,$Z$4:$Z$2503,"正常",$Y$4:$Y$2503,"待补价"))</f>
        <v/>
      </c>
      <c r="T2365" s="26">
        <f>IF($G2365="","",SUMIFS($P$4:$P$2503,$E$4:$E$2503,$E2365,$Z$4:$Z$2503,"正常",$A$4:$A$2503,"&lt;="&amp;$A2365))</f>
        <v/>
      </c>
      <c r="U2365" s="26">
        <f>IF($G2365="","",IF(OR($S2365&gt;0,$Q2365=0,$R2365=0,$Z2365&lt;&gt;"正常"),0,ROUND($T2365/$Q2365*$R2365,0)-ROUND(($T2365-$P2365)/$Q2365*$R2365,0)))</f>
        <v/>
      </c>
      <c r="V2365" s="26">
        <f>IF($G2365="","",ROUND($P2365+$U2365,0))</f>
        <v/>
      </c>
      <c r="W2365" s="26">
        <f>IF($G2365="","",IF(N($K2365)=0,0,ROUND($V2365/$K2365,2)))</f>
        <v/>
      </c>
      <c r="X2365" s="17" t="n"/>
      <c r="Y2365" s="17" t="n"/>
      <c r="Z2365" s="17" t="n"/>
      <c r="AA2365" s="17" t="n"/>
      <c r="AB2365" s="17" t="n"/>
      <c r="AC2365" s="24">
        <f>IF($G2365="","",IF($H2365="※编码不在物料档案里","※物料编码不在档案里",IF(N($K2365)&lt;=0,"※入库数量要大于 0",IF(AND($C2365&lt;&gt;"",$C2365&lt;=结账锁),"※日期早于已结账截止日，不能再录",IF(AND($L2365=0,$X2365="正常"),"※没填单价，价格状态请选「待补价」",IF(AND($S2365&gt;0,$R2365&gt;0),"△本批有 "&amp;$S2365&amp;" 行没单价，整批运费先挂账没摊",IF(AND($B2365&lt;&gt;"",COUNTIF($B$4:$B$2503,$B2365)&gt;1),"※入库单号重复","")))))))</f>
        <v/>
      </c>
    </row>
    <row r="2366">
      <c r="A2366" s="24">
        <f>IF($G2366="","",COUNTA($G$4:$G2366))</f>
        <v/>
      </c>
      <c r="B2366" s="17" t="n"/>
      <c r="C2366" s="30" t="n"/>
      <c r="D2366" s="17" t="n"/>
      <c r="E2366" s="17" t="n"/>
      <c r="F2366" s="17" t="n"/>
      <c r="G2366" s="17" t="n"/>
      <c r="H2366" s="24">
        <f>IF($G2366="","",IFERROR(VLOOKUP($G2366,物料档案!$A$4:$P$1203,3,0),"※编码不在物料档案里"))</f>
        <v/>
      </c>
      <c r="I2366" s="24">
        <f>IF($G2366="","",IFERROR(VLOOKUP($G2366,物料档案!$A$4:$P$1203,4,0),"※编码不在物料档案里"))</f>
        <v/>
      </c>
      <c r="J2366" s="24">
        <f>IF($G2366="","",IFERROR(VLOOKUP($G2366,物料档案!$A$4:$P$1203,5,0),"※编码不在物料档案里"))</f>
        <v/>
      </c>
      <c r="K2366" s="23" t="n"/>
      <c r="L2366" s="31" t="n"/>
      <c r="M2366" s="24">
        <f>IF($G2366="","",IF($D2366="A国内","CNY","TZS"))</f>
        <v/>
      </c>
      <c r="N2366" s="28">
        <f>IF($G2366="","",IF($D2366="A国内",汇率,1))</f>
        <v/>
      </c>
      <c r="O2366" s="25">
        <f>IF($G2366="","",ROUND(N($K2366)*N($L2366),2))</f>
        <v/>
      </c>
      <c r="P2366" s="26">
        <f>IF($G2366="","",ROUND($O2366*$N2366,0))</f>
        <v/>
      </c>
      <c r="Q2366" s="26">
        <f>IF($G2366="","",SUMIFS($P$4:$P$2503,$E$4:$E$2503,$E2366,$Z$4:$Z$2503,"正常"))</f>
        <v/>
      </c>
      <c r="R2366" s="26">
        <f>IF($G2366="","",SUMIFS(费用台账!$I$4:$I$503,费用台账!$C$4:$C$503,$E2366,费用台账!$J$4:$J$503,"是",费用台账!$K$4:$K$503,"正常"))</f>
        <v/>
      </c>
      <c r="S2366" s="28">
        <f>IF($G2366="","",COUNTIFS($E$4:$E$2503,$E2366,$Z$4:$Z$2503,"正常",$Y$4:$Y$2503,"待补价"))</f>
        <v/>
      </c>
      <c r="T2366" s="26">
        <f>IF($G2366="","",SUMIFS($P$4:$P$2503,$E$4:$E$2503,$E2366,$Z$4:$Z$2503,"正常",$A$4:$A$2503,"&lt;="&amp;$A2366))</f>
        <v/>
      </c>
      <c r="U2366" s="26">
        <f>IF($G2366="","",IF(OR($S2366&gt;0,$Q2366=0,$R2366=0,$Z2366&lt;&gt;"正常"),0,ROUND($T2366/$Q2366*$R2366,0)-ROUND(($T2366-$P2366)/$Q2366*$R2366,0)))</f>
        <v/>
      </c>
      <c r="V2366" s="26">
        <f>IF($G2366="","",ROUND($P2366+$U2366,0))</f>
        <v/>
      </c>
      <c r="W2366" s="26">
        <f>IF($G2366="","",IF(N($K2366)=0,0,ROUND($V2366/$K2366,2)))</f>
        <v/>
      </c>
      <c r="X2366" s="17" t="n"/>
      <c r="Y2366" s="17" t="n"/>
      <c r="Z2366" s="17" t="n"/>
      <c r="AA2366" s="17" t="n"/>
      <c r="AB2366" s="17" t="n"/>
      <c r="AC2366" s="24">
        <f>IF($G2366="","",IF($H2366="※编码不在物料档案里","※物料编码不在档案里",IF(N($K2366)&lt;=0,"※入库数量要大于 0",IF(AND($C2366&lt;&gt;"",$C2366&lt;=结账锁),"※日期早于已结账截止日，不能再录",IF(AND($L2366=0,$X2366="正常"),"※没填单价，价格状态请选「待补价」",IF(AND($S2366&gt;0,$R2366&gt;0),"△本批有 "&amp;$S2366&amp;" 行没单价，整批运费先挂账没摊",IF(AND($B2366&lt;&gt;"",COUNTIF($B$4:$B$2503,$B2366)&gt;1),"※入库单号重复","")))))))</f>
        <v/>
      </c>
    </row>
    <row r="2367">
      <c r="A2367" s="24">
        <f>IF($G2367="","",COUNTA($G$4:$G2367))</f>
        <v/>
      </c>
      <c r="B2367" s="17" t="n"/>
      <c r="C2367" s="30" t="n"/>
      <c r="D2367" s="17" t="n"/>
      <c r="E2367" s="17" t="n"/>
      <c r="F2367" s="17" t="n"/>
      <c r="G2367" s="17" t="n"/>
      <c r="H2367" s="24">
        <f>IF($G2367="","",IFERROR(VLOOKUP($G2367,物料档案!$A$4:$P$1203,3,0),"※编码不在物料档案里"))</f>
        <v/>
      </c>
      <c r="I2367" s="24">
        <f>IF($G2367="","",IFERROR(VLOOKUP($G2367,物料档案!$A$4:$P$1203,4,0),"※编码不在物料档案里"))</f>
        <v/>
      </c>
      <c r="J2367" s="24">
        <f>IF($G2367="","",IFERROR(VLOOKUP($G2367,物料档案!$A$4:$P$1203,5,0),"※编码不在物料档案里"))</f>
        <v/>
      </c>
      <c r="K2367" s="23" t="n"/>
      <c r="L2367" s="31" t="n"/>
      <c r="M2367" s="24">
        <f>IF($G2367="","",IF($D2367="A国内","CNY","TZS"))</f>
        <v/>
      </c>
      <c r="N2367" s="28">
        <f>IF($G2367="","",IF($D2367="A国内",汇率,1))</f>
        <v/>
      </c>
      <c r="O2367" s="25">
        <f>IF($G2367="","",ROUND(N($K2367)*N($L2367),2))</f>
        <v/>
      </c>
      <c r="P2367" s="26">
        <f>IF($G2367="","",ROUND($O2367*$N2367,0))</f>
        <v/>
      </c>
      <c r="Q2367" s="26">
        <f>IF($G2367="","",SUMIFS($P$4:$P$2503,$E$4:$E$2503,$E2367,$Z$4:$Z$2503,"正常"))</f>
        <v/>
      </c>
      <c r="R2367" s="26">
        <f>IF($G2367="","",SUMIFS(费用台账!$I$4:$I$503,费用台账!$C$4:$C$503,$E2367,费用台账!$J$4:$J$503,"是",费用台账!$K$4:$K$503,"正常"))</f>
        <v/>
      </c>
      <c r="S2367" s="28">
        <f>IF($G2367="","",COUNTIFS($E$4:$E$2503,$E2367,$Z$4:$Z$2503,"正常",$Y$4:$Y$2503,"待补价"))</f>
        <v/>
      </c>
      <c r="T2367" s="26">
        <f>IF($G2367="","",SUMIFS($P$4:$P$2503,$E$4:$E$2503,$E2367,$Z$4:$Z$2503,"正常",$A$4:$A$2503,"&lt;="&amp;$A2367))</f>
        <v/>
      </c>
      <c r="U2367" s="26">
        <f>IF($G2367="","",IF(OR($S2367&gt;0,$Q2367=0,$R2367=0,$Z2367&lt;&gt;"正常"),0,ROUND($T2367/$Q2367*$R2367,0)-ROUND(($T2367-$P2367)/$Q2367*$R2367,0)))</f>
        <v/>
      </c>
      <c r="V2367" s="26">
        <f>IF($G2367="","",ROUND($P2367+$U2367,0))</f>
        <v/>
      </c>
      <c r="W2367" s="26">
        <f>IF($G2367="","",IF(N($K2367)=0,0,ROUND($V2367/$K2367,2)))</f>
        <v/>
      </c>
      <c r="X2367" s="17" t="n"/>
      <c r="Y2367" s="17" t="n"/>
      <c r="Z2367" s="17" t="n"/>
      <c r="AA2367" s="17" t="n"/>
      <c r="AB2367" s="17" t="n"/>
      <c r="AC2367" s="24">
        <f>IF($G2367="","",IF($H2367="※编码不在物料档案里","※物料编码不在档案里",IF(N($K2367)&lt;=0,"※入库数量要大于 0",IF(AND($C2367&lt;&gt;"",$C2367&lt;=结账锁),"※日期早于已结账截止日，不能再录",IF(AND($L2367=0,$X2367="正常"),"※没填单价，价格状态请选「待补价」",IF(AND($S2367&gt;0,$R2367&gt;0),"△本批有 "&amp;$S2367&amp;" 行没单价，整批运费先挂账没摊",IF(AND($B2367&lt;&gt;"",COUNTIF($B$4:$B$2503,$B2367)&gt;1),"※入库单号重复","")))))))</f>
        <v/>
      </c>
    </row>
    <row r="2368">
      <c r="A2368" s="24">
        <f>IF($G2368="","",COUNTA($G$4:$G2368))</f>
        <v/>
      </c>
      <c r="B2368" s="17" t="n"/>
      <c r="C2368" s="30" t="n"/>
      <c r="D2368" s="17" t="n"/>
      <c r="E2368" s="17" t="n"/>
      <c r="F2368" s="17" t="n"/>
      <c r="G2368" s="17" t="n"/>
      <c r="H2368" s="24">
        <f>IF($G2368="","",IFERROR(VLOOKUP($G2368,物料档案!$A$4:$P$1203,3,0),"※编码不在物料档案里"))</f>
        <v/>
      </c>
      <c r="I2368" s="24">
        <f>IF($G2368="","",IFERROR(VLOOKUP($G2368,物料档案!$A$4:$P$1203,4,0),"※编码不在物料档案里"))</f>
        <v/>
      </c>
      <c r="J2368" s="24">
        <f>IF($G2368="","",IFERROR(VLOOKUP($G2368,物料档案!$A$4:$P$1203,5,0),"※编码不在物料档案里"))</f>
        <v/>
      </c>
      <c r="K2368" s="23" t="n"/>
      <c r="L2368" s="31" t="n"/>
      <c r="M2368" s="24">
        <f>IF($G2368="","",IF($D2368="A国内","CNY","TZS"))</f>
        <v/>
      </c>
      <c r="N2368" s="28">
        <f>IF($G2368="","",IF($D2368="A国内",汇率,1))</f>
        <v/>
      </c>
      <c r="O2368" s="25">
        <f>IF($G2368="","",ROUND(N($K2368)*N($L2368),2))</f>
        <v/>
      </c>
      <c r="P2368" s="26">
        <f>IF($G2368="","",ROUND($O2368*$N2368,0))</f>
        <v/>
      </c>
      <c r="Q2368" s="26">
        <f>IF($G2368="","",SUMIFS($P$4:$P$2503,$E$4:$E$2503,$E2368,$Z$4:$Z$2503,"正常"))</f>
        <v/>
      </c>
      <c r="R2368" s="26">
        <f>IF($G2368="","",SUMIFS(费用台账!$I$4:$I$503,费用台账!$C$4:$C$503,$E2368,费用台账!$J$4:$J$503,"是",费用台账!$K$4:$K$503,"正常"))</f>
        <v/>
      </c>
      <c r="S2368" s="28">
        <f>IF($G2368="","",COUNTIFS($E$4:$E$2503,$E2368,$Z$4:$Z$2503,"正常",$Y$4:$Y$2503,"待补价"))</f>
        <v/>
      </c>
      <c r="T2368" s="26">
        <f>IF($G2368="","",SUMIFS($P$4:$P$2503,$E$4:$E$2503,$E2368,$Z$4:$Z$2503,"正常",$A$4:$A$2503,"&lt;="&amp;$A2368))</f>
        <v/>
      </c>
      <c r="U2368" s="26">
        <f>IF($G2368="","",IF(OR($S2368&gt;0,$Q2368=0,$R2368=0,$Z2368&lt;&gt;"正常"),0,ROUND($T2368/$Q2368*$R2368,0)-ROUND(($T2368-$P2368)/$Q2368*$R2368,0)))</f>
        <v/>
      </c>
      <c r="V2368" s="26">
        <f>IF($G2368="","",ROUND($P2368+$U2368,0))</f>
        <v/>
      </c>
      <c r="W2368" s="26">
        <f>IF($G2368="","",IF(N($K2368)=0,0,ROUND($V2368/$K2368,2)))</f>
        <v/>
      </c>
      <c r="X2368" s="17" t="n"/>
      <c r="Y2368" s="17" t="n"/>
      <c r="Z2368" s="17" t="n"/>
      <c r="AA2368" s="17" t="n"/>
      <c r="AB2368" s="17" t="n"/>
      <c r="AC2368" s="24">
        <f>IF($G2368="","",IF($H2368="※编码不在物料档案里","※物料编码不在档案里",IF(N($K2368)&lt;=0,"※入库数量要大于 0",IF(AND($C2368&lt;&gt;"",$C2368&lt;=结账锁),"※日期早于已结账截止日，不能再录",IF(AND($L2368=0,$X2368="正常"),"※没填单价，价格状态请选「待补价」",IF(AND($S2368&gt;0,$R2368&gt;0),"△本批有 "&amp;$S2368&amp;" 行没单价，整批运费先挂账没摊",IF(AND($B2368&lt;&gt;"",COUNTIF($B$4:$B$2503,$B2368)&gt;1),"※入库单号重复","")))))))</f>
        <v/>
      </c>
    </row>
    <row r="2369">
      <c r="A2369" s="24">
        <f>IF($G2369="","",COUNTA($G$4:$G2369))</f>
        <v/>
      </c>
      <c r="B2369" s="17" t="n"/>
      <c r="C2369" s="30" t="n"/>
      <c r="D2369" s="17" t="n"/>
      <c r="E2369" s="17" t="n"/>
      <c r="F2369" s="17" t="n"/>
      <c r="G2369" s="17" t="n"/>
      <c r="H2369" s="24">
        <f>IF($G2369="","",IFERROR(VLOOKUP($G2369,物料档案!$A$4:$P$1203,3,0),"※编码不在物料档案里"))</f>
        <v/>
      </c>
      <c r="I2369" s="24">
        <f>IF($G2369="","",IFERROR(VLOOKUP($G2369,物料档案!$A$4:$P$1203,4,0),"※编码不在物料档案里"))</f>
        <v/>
      </c>
      <c r="J2369" s="24">
        <f>IF($G2369="","",IFERROR(VLOOKUP($G2369,物料档案!$A$4:$P$1203,5,0),"※编码不在物料档案里"))</f>
        <v/>
      </c>
      <c r="K2369" s="23" t="n"/>
      <c r="L2369" s="31" t="n"/>
      <c r="M2369" s="24">
        <f>IF($G2369="","",IF($D2369="A国内","CNY","TZS"))</f>
        <v/>
      </c>
      <c r="N2369" s="28">
        <f>IF($G2369="","",IF($D2369="A国内",汇率,1))</f>
        <v/>
      </c>
      <c r="O2369" s="25">
        <f>IF($G2369="","",ROUND(N($K2369)*N($L2369),2))</f>
        <v/>
      </c>
      <c r="P2369" s="26">
        <f>IF($G2369="","",ROUND($O2369*$N2369,0))</f>
        <v/>
      </c>
      <c r="Q2369" s="26">
        <f>IF($G2369="","",SUMIFS($P$4:$P$2503,$E$4:$E$2503,$E2369,$Z$4:$Z$2503,"正常"))</f>
        <v/>
      </c>
      <c r="R2369" s="26">
        <f>IF($G2369="","",SUMIFS(费用台账!$I$4:$I$503,费用台账!$C$4:$C$503,$E2369,费用台账!$J$4:$J$503,"是",费用台账!$K$4:$K$503,"正常"))</f>
        <v/>
      </c>
      <c r="S2369" s="28">
        <f>IF($G2369="","",COUNTIFS($E$4:$E$2503,$E2369,$Z$4:$Z$2503,"正常",$Y$4:$Y$2503,"待补价"))</f>
        <v/>
      </c>
      <c r="T2369" s="26">
        <f>IF($G2369="","",SUMIFS($P$4:$P$2503,$E$4:$E$2503,$E2369,$Z$4:$Z$2503,"正常",$A$4:$A$2503,"&lt;="&amp;$A2369))</f>
        <v/>
      </c>
      <c r="U2369" s="26">
        <f>IF($G2369="","",IF(OR($S2369&gt;0,$Q2369=0,$R2369=0,$Z2369&lt;&gt;"正常"),0,ROUND($T2369/$Q2369*$R2369,0)-ROUND(($T2369-$P2369)/$Q2369*$R2369,0)))</f>
        <v/>
      </c>
      <c r="V2369" s="26">
        <f>IF($G2369="","",ROUND($P2369+$U2369,0))</f>
        <v/>
      </c>
      <c r="W2369" s="26">
        <f>IF($G2369="","",IF(N($K2369)=0,0,ROUND($V2369/$K2369,2)))</f>
        <v/>
      </c>
      <c r="X2369" s="17" t="n"/>
      <c r="Y2369" s="17" t="n"/>
      <c r="Z2369" s="17" t="n"/>
      <c r="AA2369" s="17" t="n"/>
      <c r="AB2369" s="17" t="n"/>
      <c r="AC2369" s="24">
        <f>IF($G2369="","",IF($H2369="※编码不在物料档案里","※物料编码不在档案里",IF(N($K2369)&lt;=0,"※入库数量要大于 0",IF(AND($C2369&lt;&gt;"",$C2369&lt;=结账锁),"※日期早于已结账截止日，不能再录",IF(AND($L2369=0,$X2369="正常"),"※没填单价，价格状态请选「待补价」",IF(AND($S2369&gt;0,$R2369&gt;0),"△本批有 "&amp;$S2369&amp;" 行没单价，整批运费先挂账没摊",IF(AND($B2369&lt;&gt;"",COUNTIF($B$4:$B$2503,$B2369)&gt;1),"※入库单号重复","")))))))</f>
        <v/>
      </c>
    </row>
    <row r="2370">
      <c r="A2370" s="24">
        <f>IF($G2370="","",COUNTA($G$4:$G2370))</f>
        <v/>
      </c>
      <c r="B2370" s="17" t="n"/>
      <c r="C2370" s="30" t="n"/>
      <c r="D2370" s="17" t="n"/>
      <c r="E2370" s="17" t="n"/>
      <c r="F2370" s="17" t="n"/>
      <c r="G2370" s="17" t="n"/>
      <c r="H2370" s="24">
        <f>IF($G2370="","",IFERROR(VLOOKUP($G2370,物料档案!$A$4:$P$1203,3,0),"※编码不在物料档案里"))</f>
        <v/>
      </c>
      <c r="I2370" s="24">
        <f>IF($G2370="","",IFERROR(VLOOKUP($G2370,物料档案!$A$4:$P$1203,4,0),"※编码不在物料档案里"))</f>
        <v/>
      </c>
      <c r="J2370" s="24">
        <f>IF($G2370="","",IFERROR(VLOOKUP($G2370,物料档案!$A$4:$P$1203,5,0),"※编码不在物料档案里"))</f>
        <v/>
      </c>
      <c r="K2370" s="23" t="n"/>
      <c r="L2370" s="31" t="n"/>
      <c r="M2370" s="24">
        <f>IF($G2370="","",IF($D2370="A国内","CNY","TZS"))</f>
        <v/>
      </c>
      <c r="N2370" s="28">
        <f>IF($G2370="","",IF($D2370="A国内",汇率,1))</f>
        <v/>
      </c>
      <c r="O2370" s="25">
        <f>IF($G2370="","",ROUND(N($K2370)*N($L2370),2))</f>
        <v/>
      </c>
      <c r="P2370" s="26">
        <f>IF($G2370="","",ROUND($O2370*$N2370,0))</f>
        <v/>
      </c>
      <c r="Q2370" s="26">
        <f>IF($G2370="","",SUMIFS($P$4:$P$2503,$E$4:$E$2503,$E2370,$Z$4:$Z$2503,"正常"))</f>
        <v/>
      </c>
      <c r="R2370" s="26">
        <f>IF($G2370="","",SUMIFS(费用台账!$I$4:$I$503,费用台账!$C$4:$C$503,$E2370,费用台账!$J$4:$J$503,"是",费用台账!$K$4:$K$503,"正常"))</f>
        <v/>
      </c>
      <c r="S2370" s="28">
        <f>IF($G2370="","",COUNTIFS($E$4:$E$2503,$E2370,$Z$4:$Z$2503,"正常",$Y$4:$Y$2503,"待补价"))</f>
        <v/>
      </c>
      <c r="T2370" s="26">
        <f>IF($G2370="","",SUMIFS($P$4:$P$2503,$E$4:$E$2503,$E2370,$Z$4:$Z$2503,"正常",$A$4:$A$2503,"&lt;="&amp;$A2370))</f>
        <v/>
      </c>
      <c r="U2370" s="26">
        <f>IF($G2370="","",IF(OR($S2370&gt;0,$Q2370=0,$R2370=0,$Z2370&lt;&gt;"正常"),0,ROUND($T2370/$Q2370*$R2370,0)-ROUND(($T2370-$P2370)/$Q2370*$R2370,0)))</f>
        <v/>
      </c>
      <c r="V2370" s="26">
        <f>IF($G2370="","",ROUND($P2370+$U2370,0))</f>
        <v/>
      </c>
      <c r="W2370" s="26">
        <f>IF($G2370="","",IF(N($K2370)=0,0,ROUND($V2370/$K2370,2)))</f>
        <v/>
      </c>
      <c r="X2370" s="17" t="n"/>
      <c r="Y2370" s="17" t="n"/>
      <c r="Z2370" s="17" t="n"/>
      <c r="AA2370" s="17" t="n"/>
      <c r="AB2370" s="17" t="n"/>
      <c r="AC2370" s="24">
        <f>IF($G2370="","",IF($H2370="※编码不在物料档案里","※物料编码不在档案里",IF(N($K2370)&lt;=0,"※入库数量要大于 0",IF(AND($C2370&lt;&gt;"",$C2370&lt;=结账锁),"※日期早于已结账截止日，不能再录",IF(AND($L2370=0,$X2370="正常"),"※没填单价，价格状态请选「待补价」",IF(AND($S2370&gt;0,$R2370&gt;0),"△本批有 "&amp;$S2370&amp;" 行没单价，整批运费先挂账没摊",IF(AND($B2370&lt;&gt;"",COUNTIF($B$4:$B$2503,$B2370)&gt;1),"※入库单号重复","")))))))</f>
        <v/>
      </c>
    </row>
    <row r="2371">
      <c r="A2371" s="24">
        <f>IF($G2371="","",COUNTA($G$4:$G2371))</f>
        <v/>
      </c>
      <c r="B2371" s="17" t="n"/>
      <c r="C2371" s="30" t="n"/>
      <c r="D2371" s="17" t="n"/>
      <c r="E2371" s="17" t="n"/>
      <c r="F2371" s="17" t="n"/>
      <c r="G2371" s="17" t="n"/>
      <c r="H2371" s="24">
        <f>IF($G2371="","",IFERROR(VLOOKUP($G2371,物料档案!$A$4:$P$1203,3,0),"※编码不在物料档案里"))</f>
        <v/>
      </c>
      <c r="I2371" s="24">
        <f>IF($G2371="","",IFERROR(VLOOKUP($G2371,物料档案!$A$4:$P$1203,4,0),"※编码不在物料档案里"))</f>
        <v/>
      </c>
      <c r="J2371" s="24">
        <f>IF($G2371="","",IFERROR(VLOOKUP($G2371,物料档案!$A$4:$P$1203,5,0),"※编码不在物料档案里"))</f>
        <v/>
      </c>
      <c r="K2371" s="23" t="n"/>
      <c r="L2371" s="31" t="n"/>
      <c r="M2371" s="24">
        <f>IF($G2371="","",IF($D2371="A国内","CNY","TZS"))</f>
        <v/>
      </c>
      <c r="N2371" s="28">
        <f>IF($G2371="","",IF($D2371="A国内",汇率,1))</f>
        <v/>
      </c>
      <c r="O2371" s="25">
        <f>IF($G2371="","",ROUND(N($K2371)*N($L2371),2))</f>
        <v/>
      </c>
      <c r="P2371" s="26">
        <f>IF($G2371="","",ROUND($O2371*$N2371,0))</f>
        <v/>
      </c>
      <c r="Q2371" s="26">
        <f>IF($G2371="","",SUMIFS($P$4:$P$2503,$E$4:$E$2503,$E2371,$Z$4:$Z$2503,"正常"))</f>
        <v/>
      </c>
      <c r="R2371" s="26">
        <f>IF($G2371="","",SUMIFS(费用台账!$I$4:$I$503,费用台账!$C$4:$C$503,$E2371,费用台账!$J$4:$J$503,"是",费用台账!$K$4:$K$503,"正常"))</f>
        <v/>
      </c>
      <c r="S2371" s="28">
        <f>IF($G2371="","",COUNTIFS($E$4:$E$2503,$E2371,$Z$4:$Z$2503,"正常",$Y$4:$Y$2503,"待补价"))</f>
        <v/>
      </c>
      <c r="T2371" s="26">
        <f>IF($G2371="","",SUMIFS($P$4:$P$2503,$E$4:$E$2503,$E2371,$Z$4:$Z$2503,"正常",$A$4:$A$2503,"&lt;="&amp;$A2371))</f>
        <v/>
      </c>
      <c r="U2371" s="26">
        <f>IF($G2371="","",IF(OR($S2371&gt;0,$Q2371=0,$R2371=0,$Z2371&lt;&gt;"正常"),0,ROUND($T2371/$Q2371*$R2371,0)-ROUND(($T2371-$P2371)/$Q2371*$R2371,0)))</f>
        <v/>
      </c>
      <c r="V2371" s="26">
        <f>IF($G2371="","",ROUND($P2371+$U2371,0))</f>
        <v/>
      </c>
      <c r="W2371" s="26">
        <f>IF($G2371="","",IF(N($K2371)=0,0,ROUND($V2371/$K2371,2)))</f>
        <v/>
      </c>
      <c r="X2371" s="17" t="n"/>
      <c r="Y2371" s="17" t="n"/>
      <c r="Z2371" s="17" t="n"/>
      <c r="AA2371" s="17" t="n"/>
      <c r="AB2371" s="17" t="n"/>
      <c r="AC2371" s="24">
        <f>IF($G2371="","",IF($H2371="※编码不在物料档案里","※物料编码不在档案里",IF(N($K2371)&lt;=0,"※入库数量要大于 0",IF(AND($C2371&lt;&gt;"",$C2371&lt;=结账锁),"※日期早于已结账截止日，不能再录",IF(AND($L2371=0,$X2371="正常"),"※没填单价，价格状态请选「待补价」",IF(AND($S2371&gt;0,$R2371&gt;0),"△本批有 "&amp;$S2371&amp;" 行没单价，整批运费先挂账没摊",IF(AND($B2371&lt;&gt;"",COUNTIF($B$4:$B$2503,$B2371)&gt;1),"※入库单号重复","")))))))</f>
        <v/>
      </c>
    </row>
    <row r="2372">
      <c r="A2372" s="24">
        <f>IF($G2372="","",COUNTA($G$4:$G2372))</f>
        <v/>
      </c>
      <c r="B2372" s="17" t="n"/>
      <c r="C2372" s="30" t="n"/>
      <c r="D2372" s="17" t="n"/>
      <c r="E2372" s="17" t="n"/>
      <c r="F2372" s="17" t="n"/>
      <c r="G2372" s="17" t="n"/>
      <c r="H2372" s="24">
        <f>IF($G2372="","",IFERROR(VLOOKUP($G2372,物料档案!$A$4:$P$1203,3,0),"※编码不在物料档案里"))</f>
        <v/>
      </c>
      <c r="I2372" s="24">
        <f>IF($G2372="","",IFERROR(VLOOKUP($G2372,物料档案!$A$4:$P$1203,4,0),"※编码不在物料档案里"))</f>
        <v/>
      </c>
      <c r="J2372" s="24">
        <f>IF($G2372="","",IFERROR(VLOOKUP($G2372,物料档案!$A$4:$P$1203,5,0),"※编码不在物料档案里"))</f>
        <v/>
      </c>
      <c r="K2372" s="23" t="n"/>
      <c r="L2372" s="31" t="n"/>
      <c r="M2372" s="24">
        <f>IF($G2372="","",IF($D2372="A国内","CNY","TZS"))</f>
        <v/>
      </c>
      <c r="N2372" s="28">
        <f>IF($G2372="","",IF($D2372="A国内",汇率,1))</f>
        <v/>
      </c>
      <c r="O2372" s="25">
        <f>IF($G2372="","",ROUND(N($K2372)*N($L2372),2))</f>
        <v/>
      </c>
      <c r="P2372" s="26">
        <f>IF($G2372="","",ROUND($O2372*$N2372,0))</f>
        <v/>
      </c>
      <c r="Q2372" s="26">
        <f>IF($G2372="","",SUMIFS($P$4:$P$2503,$E$4:$E$2503,$E2372,$Z$4:$Z$2503,"正常"))</f>
        <v/>
      </c>
      <c r="R2372" s="26">
        <f>IF($G2372="","",SUMIFS(费用台账!$I$4:$I$503,费用台账!$C$4:$C$503,$E2372,费用台账!$J$4:$J$503,"是",费用台账!$K$4:$K$503,"正常"))</f>
        <v/>
      </c>
      <c r="S2372" s="28">
        <f>IF($G2372="","",COUNTIFS($E$4:$E$2503,$E2372,$Z$4:$Z$2503,"正常",$Y$4:$Y$2503,"待补价"))</f>
        <v/>
      </c>
      <c r="T2372" s="26">
        <f>IF($G2372="","",SUMIFS($P$4:$P$2503,$E$4:$E$2503,$E2372,$Z$4:$Z$2503,"正常",$A$4:$A$2503,"&lt;="&amp;$A2372))</f>
        <v/>
      </c>
      <c r="U2372" s="26">
        <f>IF($G2372="","",IF(OR($S2372&gt;0,$Q2372=0,$R2372=0,$Z2372&lt;&gt;"正常"),0,ROUND($T2372/$Q2372*$R2372,0)-ROUND(($T2372-$P2372)/$Q2372*$R2372,0)))</f>
        <v/>
      </c>
      <c r="V2372" s="26">
        <f>IF($G2372="","",ROUND($P2372+$U2372,0))</f>
        <v/>
      </c>
      <c r="W2372" s="26">
        <f>IF($G2372="","",IF(N($K2372)=0,0,ROUND($V2372/$K2372,2)))</f>
        <v/>
      </c>
      <c r="X2372" s="17" t="n"/>
      <c r="Y2372" s="17" t="n"/>
      <c r="Z2372" s="17" t="n"/>
      <c r="AA2372" s="17" t="n"/>
      <c r="AB2372" s="17" t="n"/>
      <c r="AC2372" s="24">
        <f>IF($G2372="","",IF($H2372="※编码不在物料档案里","※物料编码不在档案里",IF(N($K2372)&lt;=0,"※入库数量要大于 0",IF(AND($C2372&lt;&gt;"",$C2372&lt;=结账锁),"※日期早于已结账截止日，不能再录",IF(AND($L2372=0,$X2372="正常"),"※没填单价，价格状态请选「待补价」",IF(AND($S2372&gt;0,$R2372&gt;0),"△本批有 "&amp;$S2372&amp;" 行没单价，整批运费先挂账没摊",IF(AND($B2372&lt;&gt;"",COUNTIF($B$4:$B$2503,$B2372)&gt;1),"※入库单号重复","")))))))</f>
        <v/>
      </c>
    </row>
    <row r="2373">
      <c r="A2373" s="24">
        <f>IF($G2373="","",COUNTA($G$4:$G2373))</f>
        <v/>
      </c>
      <c r="B2373" s="17" t="n"/>
      <c r="C2373" s="30" t="n"/>
      <c r="D2373" s="17" t="n"/>
      <c r="E2373" s="17" t="n"/>
      <c r="F2373" s="17" t="n"/>
      <c r="G2373" s="17" t="n"/>
      <c r="H2373" s="24">
        <f>IF($G2373="","",IFERROR(VLOOKUP($G2373,物料档案!$A$4:$P$1203,3,0),"※编码不在物料档案里"))</f>
        <v/>
      </c>
      <c r="I2373" s="24">
        <f>IF($G2373="","",IFERROR(VLOOKUP($G2373,物料档案!$A$4:$P$1203,4,0),"※编码不在物料档案里"))</f>
        <v/>
      </c>
      <c r="J2373" s="24">
        <f>IF($G2373="","",IFERROR(VLOOKUP($G2373,物料档案!$A$4:$P$1203,5,0),"※编码不在物料档案里"))</f>
        <v/>
      </c>
      <c r="K2373" s="23" t="n"/>
      <c r="L2373" s="31" t="n"/>
      <c r="M2373" s="24">
        <f>IF($G2373="","",IF($D2373="A国内","CNY","TZS"))</f>
        <v/>
      </c>
      <c r="N2373" s="28">
        <f>IF($G2373="","",IF($D2373="A国内",汇率,1))</f>
        <v/>
      </c>
      <c r="O2373" s="25">
        <f>IF($G2373="","",ROUND(N($K2373)*N($L2373),2))</f>
        <v/>
      </c>
      <c r="P2373" s="26">
        <f>IF($G2373="","",ROUND($O2373*$N2373,0))</f>
        <v/>
      </c>
      <c r="Q2373" s="26">
        <f>IF($G2373="","",SUMIFS($P$4:$P$2503,$E$4:$E$2503,$E2373,$Z$4:$Z$2503,"正常"))</f>
        <v/>
      </c>
      <c r="R2373" s="26">
        <f>IF($G2373="","",SUMIFS(费用台账!$I$4:$I$503,费用台账!$C$4:$C$503,$E2373,费用台账!$J$4:$J$503,"是",费用台账!$K$4:$K$503,"正常"))</f>
        <v/>
      </c>
      <c r="S2373" s="28">
        <f>IF($G2373="","",COUNTIFS($E$4:$E$2503,$E2373,$Z$4:$Z$2503,"正常",$Y$4:$Y$2503,"待补价"))</f>
        <v/>
      </c>
      <c r="T2373" s="26">
        <f>IF($G2373="","",SUMIFS($P$4:$P$2503,$E$4:$E$2503,$E2373,$Z$4:$Z$2503,"正常",$A$4:$A$2503,"&lt;="&amp;$A2373))</f>
        <v/>
      </c>
      <c r="U2373" s="26">
        <f>IF($G2373="","",IF(OR($S2373&gt;0,$Q2373=0,$R2373=0,$Z2373&lt;&gt;"正常"),0,ROUND($T2373/$Q2373*$R2373,0)-ROUND(($T2373-$P2373)/$Q2373*$R2373,0)))</f>
        <v/>
      </c>
      <c r="V2373" s="26">
        <f>IF($G2373="","",ROUND($P2373+$U2373,0))</f>
        <v/>
      </c>
      <c r="W2373" s="26">
        <f>IF($G2373="","",IF(N($K2373)=0,0,ROUND($V2373/$K2373,2)))</f>
        <v/>
      </c>
      <c r="X2373" s="17" t="n"/>
      <c r="Y2373" s="17" t="n"/>
      <c r="Z2373" s="17" t="n"/>
      <c r="AA2373" s="17" t="n"/>
      <c r="AB2373" s="17" t="n"/>
      <c r="AC2373" s="24">
        <f>IF($G2373="","",IF($H2373="※编码不在物料档案里","※物料编码不在档案里",IF(N($K2373)&lt;=0,"※入库数量要大于 0",IF(AND($C2373&lt;&gt;"",$C2373&lt;=结账锁),"※日期早于已结账截止日，不能再录",IF(AND($L2373=0,$X2373="正常"),"※没填单价，价格状态请选「待补价」",IF(AND($S2373&gt;0,$R2373&gt;0),"△本批有 "&amp;$S2373&amp;" 行没单价，整批运费先挂账没摊",IF(AND($B2373&lt;&gt;"",COUNTIF($B$4:$B$2503,$B2373)&gt;1),"※入库单号重复","")))))))</f>
        <v/>
      </c>
    </row>
    <row r="2374">
      <c r="A2374" s="24">
        <f>IF($G2374="","",COUNTA($G$4:$G2374))</f>
        <v/>
      </c>
      <c r="B2374" s="17" t="n"/>
      <c r="C2374" s="30" t="n"/>
      <c r="D2374" s="17" t="n"/>
      <c r="E2374" s="17" t="n"/>
      <c r="F2374" s="17" t="n"/>
      <c r="G2374" s="17" t="n"/>
      <c r="H2374" s="24">
        <f>IF($G2374="","",IFERROR(VLOOKUP($G2374,物料档案!$A$4:$P$1203,3,0),"※编码不在物料档案里"))</f>
        <v/>
      </c>
      <c r="I2374" s="24">
        <f>IF($G2374="","",IFERROR(VLOOKUP($G2374,物料档案!$A$4:$P$1203,4,0),"※编码不在物料档案里"))</f>
        <v/>
      </c>
      <c r="J2374" s="24">
        <f>IF($G2374="","",IFERROR(VLOOKUP($G2374,物料档案!$A$4:$P$1203,5,0),"※编码不在物料档案里"))</f>
        <v/>
      </c>
      <c r="K2374" s="23" t="n"/>
      <c r="L2374" s="31" t="n"/>
      <c r="M2374" s="24">
        <f>IF($G2374="","",IF($D2374="A国内","CNY","TZS"))</f>
        <v/>
      </c>
      <c r="N2374" s="28">
        <f>IF($G2374="","",IF($D2374="A国内",汇率,1))</f>
        <v/>
      </c>
      <c r="O2374" s="25">
        <f>IF($G2374="","",ROUND(N($K2374)*N($L2374),2))</f>
        <v/>
      </c>
      <c r="P2374" s="26">
        <f>IF($G2374="","",ROUND($O2374*$N2374,0))</f>
        <v/>
      </c>
      <c r="Q2374" s="26">
        <f>IF($G2374="","",SUMIFS($P$4:$P$2503,$E$4:$E$2503,$E2374,$Z$4:$Z$2503,"正常"))</f>
        <v/>
      </c>
      <c r="R2374" s="26">
        <f>IF($G2374="","",SUMIFS(费用台账!$I$4:$I$503,费用台账!$C$4:$C$503,$E2374,费用台账!$J$4:$J$503,"是",费用台账!$K$4:$K$503,"正常"))</f>
        <v/>
      </c>
      <c r="S2374" s="28">
        <f>IF($G2374="","",COUNTIFS($E$4:$E$2503,$E2374,$Z$4:$Z$2503,"正常",$Y$4:$Y$2503,"待补价"))</f>
        <v/>
      </c>
      <c r="T2374" s="26">
        <f>IF($G2374="","",SUMIFS($P$4:$P$2503,$E$4:$E$2503,$E2374,$Z$4:$Z$2503,"正常",$A$4:$A$2503,"&lt;="&amp;$A2374))</f>
        <v/>
      </c>
      <c r="U2374" s="26">
        <f>IF($G2374="","",IF(OR($S2374&gt;0,$Q2374=0,$R2374=0,$Z2374&lt;&gt;"正常"),0,ROUND($T2374/$Q2374*$R2374,0)-ROUND(($T2374-$P2374)/$Q2374*$R2374,0)))</f>
        <v/>
      </c>
      <c r="V2374" s="26">
        <f>IF($G2374="","",ROUND($P2374+$U2374,0))</f>
        <v/>
      </c>
      <c r="W2374" s="26">
        <f>IF($G2374="","",IF(N($K2374)=0,0,ROUND($V2374/$K2374,2)))</f>
        <v/>
      </c>
      <c r="X2374" s="17" t="n"/>
      <c r="Y2374" s="17" t="n"/>
      <c r="Z2374" s="17" t="n"/>
      <c r="AA2374" s="17" t="n"/>
      <c r="AB2374" s="17" t="n"/>
      <c r="AC2374" s="24">
        <f>IF($G2374="","",IF($H2374="※编码不在物料档案里","※物料编码不在档案里",IF(N($K2374)&lt;=0,"※入库数量要大于 0",IF(AND($C2374&lt;&gt;"",$C2374&lt;=结账锁),"※日期早于已结账截止日，不能再录",IF(AND($L2374=0,$X2374="正常"),"※没填单价，价格状态请选「待补价」",IF(AND($S2374&gt;0,$R2374&gt;0),"△本批有 "&amp;$S2374&amp;" 行没单价，整批运费先挂账没摊",IF(AND($B2374&lt;&gt;"",COUNTIF($B$4:$B$2503,$B2374)&gt;1),"※入库单号重复","")))))))</f>
        <v/>
      </c>
    </row>
    <row r="2375">
      <c r="A2375" s="24">
        <f>IF($G2375="","",COUNTA($G$4:$G2375))</f>
        <v/>
      </c>
      <c r="B2375" s="17" t="n"/>
      <c r="C2375" s="30" t="n"/>
      <c r="D2375" s="17" t="n"/>
      <c r="E2375" s="17" t="n"/>
      <c r="F2375" s="17" t="n"/>
      <c r="G2375" s="17" t="n"/>
      <c r="H2375" s="24">
        <f>IF($G2375="","",IFERROR(VLOOKUP($G2375,物料档案!$A$4:$P$1203,3,0),"※编码不在物料档案里"))</f>
        <v/>
      </c>
      <c r="I2375" s="24">
        <f>IF($G2375="","",IFERROR(VLOOKUP($G2375,物料档案!$A$4:$P$1203,4,0),"※编码不在物料档案里"))</f>
        <v/>
      </c>
      <c r="J2375" s="24">
        <f>IF($G2375="","",IFERROR(VLOOKUP($G2375,物料档案!$A$4:$P$1203,5,0),"※编码不在物料档案里"))</f>
        <v/>
      </c>
      <c r="K2375" s="23" t="n"/>
      <c r="L2375" s="31" t="n"/>
      <c r="M2375" s="24">
        <f>IF($G2375="","",IF($D2375="A国内","CNY","TZS"))</f>
        <v/>
      </c>
      <c r="N2375" s="28">
        <f>IF($G2375="","",IF($D2375="A国内",汇率,1))</f>
        <v/>
      </c>
      <c r="O2375" s="25">
        <f>IF($G2375="","",ROUND(N($K2375)*N($L2375),2))</f>
        <v/>
      </c>
      <c r="P2375" s="26">
        <f>IF($G2375="","",ROUND($O2375*$N2375,0))</f>
        <v/>
      </c>
      <c r="Q2375" s="26">
        <f>IF($G2375="","",SUMIFS($P$4:$P$2503,$E$4:$E$2503,$E2375,$Z$4:$Z$2503,"正常"))</f>
        <v/>
      </c>
      <c r="R2375" s="26">
        <f>IF($G2375="","",SUMIFS(费用台账!$I$4:$I$503,费用台账!$C$4:$C$503,$E2375,费用台账!$J$4:$J$503,"是",费用台账!$K$4:$K$503,"正常"))</f>
        <v/>
      </c>
      <c r="S2375" s="28">
        <f>IF($G2375="","",COUNTIFS($E$4:$E$2503,$E2375,$Z$4:$Z$2503,"正常",$Y$4:$Y$2503,"待补价"))</f>
        <v/>
      </c>
      <c r="T2375" s="26">
        <f>IF($G2375="","",SUMIFS($P$4:$P$2503,$E$4:$E$2503,$E2375,$Z$4:$Z$2503,"正常",$A$4:$A$2503,"&lt;="&amp;$A2375))</f>
        <v/>
      </c>
      <c r="U2375" s="26">
        <f>IF($G2375="","",IF(OR($S2375&gt;0,$Q2375=0,$R2375=0,$Z2375&lt;&gt;"正常"),0,ROUND($T2375/$Q2375*$R2375,0)-ROUND(($T2375-$P2375)/$Q2375*$R2375,0)))</f>
        <v/>
      </c>
      <c r="V2375" s="26">
        <f>IF($G2375="","",ROUND($P2375+$U2375,0))</f>
        <v/>
      </c>
      <c r="W2375" s="26">
        <f>IF($G2375="","",IF(N($K2375)=0,0,ROUND($V2375/$K2375,2)))</f>
        <v/>
      </c>
      <c r="X2375" s="17" t="n"/>
      <c r="Y2375" s="17" t="n"/>
      <c r="Z2375" s="17" t="n"/>
      <c r="AA2375" s="17" t="n"/>
      <c r="AB2375" s="17" t="n"/>
      <c r="AC2375" s="24">
        <f>IF($G2375="","",IF($H2375="※编码不在物料档案里","※物料编码不在档案里",IF(N($K2375)&lt;=0,"※入库数量要大于 0",IF(AND($C2375&lt;&gt;"",$C2375&lt;=结账锁),"※日期早于已结账截止日，不能再录",IF(AND($L2375=0,$X2375="正常"),"※没填单价，价格状态请选「待补价」",IF(AND($S2375&gt;0,$R2375&gt;0),"△本批有 "&amp;$S2375&amp;" 行没单价，整批运费先挂账没摊",IF(AND($B2375&lt;&gt;"",COUNTIF($B$4:$B$2503,$B2375)&gt;1),"※入库单号重复","")))))))</f>
        <v/>
      </c>
    </row>
    <row r="2376">
      <c r="A2376" s="24">
        <f>IF($G2376="","",COUNTA($G$4:$G2376))</f>
        <v/>
      </c>
      <c r="B2376" s="17" t="n"/>
      <c r="C2376" s="30" t="n"/>
      <c r="D2376" s="17" t="n"/>
      <c r="E2376" s="17" t="n"/>
      <c r="F2376" s="17" t="n"/>
      <c r="G2376" s="17" t="n"/>
      <c r="H2376" s="24">
        <f>IF($G2376="","",IFERROR(VLOOKUP($G2376,物料档案!$A$4:$P$1203,3,0),"※编码不在物料档案里"))</f>
        <v/>
      </c>
      <c r="I2376" s="24">
        <f>IF($G2376="","",IFERROR(VLOOKUP($G2376,物料档案!$A$4:$P$1203,4,0),"※编码不在物料档案里"))</f>
        <v/>
      </c>
      <c r="J2376" s="24">
        <f>IF($G2376="","",IFERROR(VLOOKUP($G2376,物料档案!$A$4:$P$1203,5,0),"※编码不在物料档案里"))</f>
        <v/>
      </c>
      <c r="K2376" s="23" t="n"/>
      <c r="L2376" s="31" t="n"/>
      <c r="M2376" s="24">
        <f>IF($G2376="","",IF($D2376="A国内","CNY","TZS"))</f>
        <v/>
      </c>
      <c r="N2376" s="28">
        <f>IF($G2376="","",IF($D2376="A国内",汇率,1))</f>
        <v/>
      </c>
      <c r="O2376" s="25">
        <f>IF($G2376="","",ROUND(N($K2376)*N($L2376),2))</f>
        <v/>
      </c>
      <c r="P2376" s="26">
        <f>IF($G2376="","",ROUND($O2376*$N2376,0))</f>
        <v/>
      </c>
      <c r="Q2376" s="26">
        <f>IF($G2376="","",SUMIFS($P$4:$P$2503,$E$4:$E$2503,$E2376,$Z$4:$Z$2503,"正常"))</f>
        <v/>
      </c>
      <c r="R2376" s="26">
        <f>IF($G2376="","",SUMIFS(费用台账!$I$4:$I$503,费用台账!$C$4:$C$503,$E2376,费用台账!$J$4:$J$503,"是",费用台账!$K$4:$K$503,"正常"))</f>
        <v/>
      </c>
      <c r="S2376" s="28">
        <f>IF($G2376="","",COUNTIFS($E$4:$E$2503,$E2376,$Z$4:$Z$2503,"正常",$Y$4:$Y$2503,"待补价"))</f>
        <v/>
      </c>
      <c r="T2376" s="26">
        <f>IF($G2376="","",SUMIFS($P$4:$P$2503,$E$4:$E$2503,$E2376,$Z$4:$Z$2503,"正常",$A$4:$A$2503,"&lt;="&amp;$A2376))</f>
        <v/>
      </c>
      <c r="U2376" s="26">
        <f>IF($G2376="","",IF(OR($S2376&gt;0,$Q2376=0,$R2376=0,$Z2376&lt;&gt;"正常"),0,ROUND($T2376/$Q2376*$R2376,0)-ROUND(($T2376-$P2376)/$Q2376*$R2376,0)))</f>
        <v/>
      </c>
      <c r="V2376" s="26">
        <f>IF($G2376="","",ROUND($P2376+$U2376,0))</f>
        <v/>
      </c>
      <c r="W2376" s="26">
        <f>IF($G2376="","",IF(N($K2376)=0,0,ROUND($V2376/$K2376,2)))</f>
        <v/>
      </c>
      <c r="X2376" s="17" t="n"/>
      <c r="Y2376" s="17" t="n"/>
      <c r="Z2376" s="17" t="n"/>
      <c r="AA2376" s="17" t="n"/>
      <c r="AB2376" s="17" t="n"/>
      <c r="AC2376" s="24">
        <f>IF($G2376="","",IF($H2376="※编码不在物料档案里","※物料编码不在档案里",IF(N($K2376)&lt;=0,"※入库数量要大于 0",IF(AND($C2376&lt;&gt;"",$C2376&lt;=结账锁),"※日期早于已结账截止日，不能再录",IF(AND($L2376=0,$X2376="正常"),"※没填单价，价格状态请选「待补价」",IF(AND($S2376&gt;0,$R2376&gt;0),"△本批有 "&amp;$S2376&amp;" 行没单价，整批运费先挂账没摊",IF(AND($B2376&lt;&gt;"",COUNTIF($B$4:$B$2503,$B2376)&gt;1),"※入库单号重复","")))))))</f>
        <v/>
      </c>
    </row>
    <row r="2377">
      <c r="A2377" s="24">
        <f>IF($G2377="","",COUNTA($G$4:$G2377))</f>
        <v/>
      </c>
      <c r="B2377" s="17" t="n"/>
      <c r="C2377" s="30" t="n"/>
      <c r="D2377" s="17" t="n"/>
      <c r="E2377" s="17" t="n"/>
      <c r="F2377" s="17" t="n"/>
      <c r="G2377" s="17" t="n"/>
      <c r="H2377" s="24">
        <f>IF($G2377="","",IFERROR(VLOOKUP($G2377,物料档案!$A$4:$P$1203,3,0),"※编码不在物料档案里"))</f>
        <v/>
      </c>
      <c r="I2377" s="24">
        <f>IF($G2377="","",IFERROR(VLOOKUP($G2377,物料档案!$A$4:$P$1203,4,0),"※编码不在物料档案里"))</f>
        <v/>
      </c>
      <c r="J2377" s="24">
        <f>IF($G2377="","",IFERROR(VLOOKUP($G2377,物料档案!$A$4:$P$1203,5,0),"※编码不在物料档案里"))</f>
        <v/>
      </c>
      <c r="K2377" s="23" t="n"/>
      <c r="L2377" s="31" t="n"/>
      <c r="M2377" s="24">
        <f>IF($G2377="","",IF($D2377="A国内","CNY","TZS"))</f>
        <v/>
      </c>
      <c r="N2377" s="28">
        <f>IF($G2377="","",IF($D2377="A国内",汇率,1))</f>
        <v/>
      </c>
      <c r="O2377" s="25">
        <f>IF($G2377="","",ROUND(N($K2377)*N($L2377),2))</f>
        <v/>
      </c>
      <c r="P2377" s="26">
        <f>IF($G2377="","",ROUND($O2377*$N2377,0))</f>
        <v/>
      </c>
      <c r="Q2377" s="26">
        <f>IF($G2377="","",SUMIFS($P$4:$P$2503,$E$4:$E$2503,$E2377,$Z$4:$Z$2503,"正常"))</f>
        <v/>
      </c>
      <c r="R2377" s="26">
        <f>IF($G2377="","",SUMIFS(费用台账!$I$4:$I$503,费用台账!$C$4:$C$503,$E2377,费用台账!$J$4:$J$503,"是",费用台账!$K$4:$K$503,"正常"))</f>
        <v/>
      </c>
      <c r="S2377" s="28">
        <f>IF($G2377="","",COUNTIFS($E$4:$E$2503,$E2377,$Z$4:$Z$2503,"正常",$Y$4:$Y$2503,"待补价"))</f>
        <v/>
      </c>
      <c r="T2377" s="26">
        <f>IF($G2377="","",SUMIFS($P$4:$P$2503,$E$4:$E$2503,$E2377,$Z$4:$Z$2503,"正常",$A$4:$A$2503,"&lt;="&amp;$A2377))</f>
        <v/>
      </c>
      <c r="U2377" s="26">
        <f>IF($G2377="","",IF(OR($S2377&gt;0,$Q2377=0,$R2377=0,$Z2377&lt;&gt;"正常"),0,ROUND($T2377/$Q2377*$R2377,0)-ROUND(($T2377-$P2377)/$Q2377*$R2377,0)))</f>
        <v/>
      </c>
      <c r="V2377" s="26">
        <f>IF($G2377="","",ROUND($P2377+$U2377,0))</f>
        <v/>
      </c>
      <c r="W2377" s="26">
        <f>IF($G2377="","",IF(N($K2377)=0,0,ROUND($V2377/$K2377,2)))</f>
        <v/>
      </c>
      <c r="X2377" s="17" t="n"/>
      <c r="Y2377" s="17" t="n"/>
      <c r="Z2377" s="17" t="n"/>
      <c r="AA2377" s="17" t="n"/>
      <c r="AB2377" s="17" t="n"/>
      <c r="AC2377" s="24">
        <f>IF($G2377="","",IF($H2377="※编码不在物料档案里","※物料编码不在档案里",IF(N($K2377)&lt;=0,"※入库数量要大于 0",IF(AND($C2377&lt;&gt;"",$C2377&lt;=结账锁),"※日期早于已结账截止日，不能再录",IF(AND($L2377=0,$X2377="正常"),"※没填单价，价格状态请选「待补价」",IF(AND($S2377&gt;0,$R2377&gt;0),"△本批有 "&amp;$S2377&amp;" 行没单价，整批运费先挂账没摊",IF(AND($B2377&lt;&gt;"",COUNTIF($B$4:$B$2503,$B2377)&gt;1),"※入库单号重复","")))))))</f>
        <v/>
      </c>
    </row>
    <row r="2378">
      <c r="A2378" s="24">
        <f>IF($G2378="","",COUNTA($G$4:$G2378))</f>
        <v/>
      </c>
      <c r="B2378" s="17" t="n"/>
      <c r="C2378" s="30" t="n"/>
      <c r="D2378" s="17" t="n"/>
      <c r="E2378" s="17" t="n"/>
      <c r="F2378" s="17" t="n"/>
      <c r="G2378" s="17" t="n"/>
      <c r="H2378" s="24">
        <f>IF($G2378="","",IFERROR(VLOOKUP($G2378,物料档案!$A$4:$P$1203,3,0),"※编码不在物料档案里"))</f>
        <v/>
      </c>
      <c r="I2378" s="24">
        <f>IF($G2378="","",IFERROR(VLOOKUP($G2378,物料档案!$A$4:$P$1203,4,0),"※编码不在物料档案里"))</f>
        <v/>
      </c>
      <c r="J2378" s="24">
        <f>IF($G2378="","",IFERROR(VLOOKUP($G2378,物料档案!$A$4:$P$1203,5,0),"※编码不在物料档案里"))</f>
        <v/>
      </c>
      <c r="K2378" s="23" t="n"/>
      <c r="L2378" s="31" t="n"/>
      <c r="M2378" s="24">
        <f>IF($G2378="","",IF($D2378="A国内","CNY","TZS"))</f>
        <v/>
      </c>
      <c r="N2378" s="28">
        <f>IF($G2378="","",IF($D2378="A国内",汇率,1))</f>
        <v/>
      </c>
      <c r="O2378" s="25">
        <f>IF($G2378="","",ROUND(N($K2378)*N($L2378),2))</f>
        <v/>
      </c>
      <c r="P2378" s="26">
        <f>IF($G2378="","",ROUND($O2378*$N2378,0))</f>
        <v/>
      </c>
      <c r="Q2378" s="26">
        <f>IF($G2378="","",SUMIFS($P$4:$P$2503,$E$4:$E$2503,$E2378,$Z$4:$Z$2503,"正常"))</f>
        <v/>
      </c>
      <c r="R2378" s="26">
        <f>IF($G2378="","",SUMIFS(费用台账!$I$4:$I$503,费用台账!$C$4:$C$503,$E2378,费用台账!$J$4:$J$503,"是",费用台账!$K$4:$K$503,"正常"))</f>
        <v/>
      </c>
      <c r="S2378" s="28">
        <f>IF($G2378="","",COUNTIFS($E$4:$E$2503,$E2378,$Z$4:$Z$2503,"正常",$Y$4:$Y$2503,"待补价"))</f>
        <v/>
      </c>
      <c r="T2378" s="26">
        <f>IF($G2378="","",SUMIFS($P$4:$P$2503,$E$4:$E$2503,$E2378,$Z$4:$Z$2503,"正常",$A$4:$A$2503,"&lt;="&amp;$A2378))</f>
        <v/>
      </c>
      <c r="U2378" s="26">
        <f>IF($G2378="","",IF(OR($S2378&gt;0,$Q2378=0,$R2378=0,$Z2378&lt;&gt;"正常"),0,ROUND($T2378/$Q2378*$R2378,0)-ROUND(($T2378-$P2378)/$Q2378*$R2378,0)))</f>
        <v/>
      </c>
      <c r="V2378" s="26">
        <f>IF($G2378="","",ROUND($P2378+$U2378,0))</f>
        <v/>
      </c>
      <c r="W2378" s="26">
        <f>IF($G2378="","",IF(N($K2378)=0,0,ROUND($V2378/$K2378,2)))</f>
        <v/>
      </c>
      <c r="X2378" s="17" t="n"/>
      <c r="Y2378" s="17" t="n"/>
      <c r="Z2378" s="17" t="n"/>
      <c r="AA2378" s="17" t="n"/>
      <c r="AB2378" s="17" t="n"/>
      <c r="AC2378" s="24">
        <f>IF($G2378="","",IF($H2378="※编码不在物料档案里","※物料编码不在档案里",IF(N($K2378)&lt;=0,"※入库数量要大于 0",IF(AND($C2378&lt;&gt;"",$C2378&lt;=结账锁),"※日期早于已结账截止日，不能再录",IF(AND($L2378=0,$X2378="正常"),"※没填单价，价格状态请选「待补价」",IF(AND($S2378&gt;0,$R2378&gt;0),"△本批有 "&amp;$S2378&amp;" 行没单价，整批运费先挂账没摊",IF(AND($B2378&lt;&gt;"",COUNTIF($B$4:$B$2503,$B2378)&gt;1),"※入库单号重复","")))))))</f>
        <v/>
      </c>
    </row>
    <row r="2379">
      <c r="A2379" s="24">
        <f>IF($G2379="","",COUNTA($G$4:$G2379))</f>
        <v/>
      </c>
      <c r="B2379" s="17" t="n"/>
      <c r="C2379" s="30" t="n"/>
      <c r="D2379" s="17" t="n"/>
      <c r="E2379" s="17" t="n"/>
      <c r="F2379" s="17" t="n"/>
      <c r="G2379" s="17" t="n"/>
      <c r="H2379" s="24">
        <f>IF($G2379="","",IFERROR(VLOOKUP($G2379,物料档案!$A$4:$P$1203,3,0),"※编码不在物料档案里"))</f>
        <v/>
      </c>
      <c r="I2379" s="24">
        <f>IF($G2379="","",IFERROR(VLOOKUP($G2379,物料档案!$A$4:$P$1203,4,0),"※编码不在物料档案里"))</f>
        <v/>
      </c>
      <c r="J2379" s="24">
        <f>IF($G2379="","",IFERROR(VLOOKUP($G2379,物料档案!$A$4:$P$1203,5,0),"※编码不在物料档案里"))</f>
        <v/>
      </c>
      <c r="K2379" s="23" t="n"/>
      <c r="L2379" s="31" t="n"/>
      <c r="M2379" s="24">
        <f>IF($G2379="","",IF($D2379="A国内","CNY","TZS"))</f>
        <v/>
      </c>
      <c r="N2379" s="28">
        <f>IF($G2379="","",IF($D2379="A国内",汇率,1))</f>
        <v/>
      </c>
      <c r="O2379" s="25">
        <f>IF($G2379="","",ROUND(N($K2379)*N($L2379),2))</f>
        <v/>
      </c>
      <c r="P2379" s="26">
        <f>IF($G2379="","",ROUND($O2379*$N2379,0))</f>
        <v/>
      </c>
      <c r="Q2379" s="26">
        <f>IF($G2379="","",SUMIFS($P$4:$P$2503,$E$4:$E$2503,$E2379,$Z$4:$Z$2503,"正常"))</f>
        <v/>
      </c>
      <c r="R2379" s="26">
        <f>IF($G2379="","",SUMIFS(费用台账!$I$4:$I$503,费用台账!$C$4:$C$503,$E2379,费用台账!$J$4:$J$503,"是",费用台账!$K$4:$K$503,"正常"))</f>
        <v/>
      </c>
      <c r="S2379" s="28">
        <f>IF($G2379="","",COUNTIFS($E$4:$E$2503,$E2379,$Z$4:$Z$2503,"正常",$Y$4:$Y$2503,"待补价"))</f>
        <v/>
      </c>
      <c r="T2379" s="26">
        <f>IF($G2379="","",SUMIFS($P$4:$P$2503,$E$4:$E$2503,$E2379,$Z$4:$Z$2503,"正常",$A$4:$A$2503,"&lt;="&amp;$A2379))</f>
        <v/>
      </c>
      <c r="U2379" s="26">
        <f>IF($G2379="","",IF(OR($S2379&gt;0,$Q2379=0,$R2379=0,$Z2379&lt;&gt;"正常"),0,ROUND($T2379/$Q2379*$R2379,0)-ROUND(($T2379-$P2379)/$Q2379*$R2379,0)))</f>
        <v/>
      </c>
      <c r="V2379" s="26">
        <f>IF($G2379="","",ROUND($P2379+$U2379,0))</f>
        <v/>
      </c>
      <c r="W2379" s="26">
        <f>IF($G2379="","",IF(N($K2379)=0,0,ROUND($V2379/$K2379,2)))</f>
        <v/>
      </c>
      <c r="X2379" s="17" t="n"/>
      <c r="Y2379" s="17" t="n"/>
      <c r="Z2379" s="17" t="n"/>
      <c r="AA2379" s="17" t="n"/>
      <c r="AB2379" s="17" t="n"/>
      <c r="AC2379" s="24">
        <f>IF($G2379="","",IF($H2379="※编码不在物料档案里","※物料编码不在档案里",IF(N($K2379)&lt;=0,"※入库数量要大于 0",IF(AND($C2379&lt;&gt;"",$C2379&lt;=结账锁),"※日期早于已结账截止日，不能再录",IF(AND($L2379=0,$X2379="正常"),"※没填单价，价格状态请选「待补价」",IF(AND($S2379&gt;0,$R2379&gt;0),"△本批有 "&amp;$S2379&amp;" 行没单价，整批运费先挂账没摊",IF(AND($B2379&lt;&gt;"",COUNTIF($B$4:$B$2503,$B2379)&gt;1),"※入库单号重复","")))))))</f>
        <v/>
      </c>
    </row>
    <row r="2380">
      <c r="A2380" s="24">
        <f>IF($G2380="","",COUNTA($G$4:$G2380))</f>
        <v/>
      </c>
      <c r="B2380" s="17" t="n"/>
      <c r="C2380" s="30" t="n"/>
      <c r="D2380" s="17" t="n"/>
      <c r="E2380" s="17" t="n"/>
      <c r="F2380" s="17" t="n"/>
      <c r="G2380" s="17" t="n"/>
      <c r="H2380" s="24">
        <f>IF($G2380="","",IFERROR(VLOOKUP($G2380,物料档案!$A$4:$P$1203,3,0),"※编码不在物料档案里"))</f>
        <v/>
      </c>
      <c r="I2380" s="24">
        <f>IF($G2380="","",IFERROR(VLOOKUP($G2380,物料档案!$A$4:$P$1203,4,0),"※编码不在物料档案里"))</f>
        <v/>
      </c>
      <c r="J2380" s="24">
        <f>IF($G2380="","",IFERROR(VLOOKUP($G2380,物料档案!$A$4:$P$1203,5,0),"※编码不在物料档案里"))</f>
        <v/>
      </c>
      <c r="K2380" s="23" t="n"/>
      <c r="L2380" s="31" t="n"/>
      <c r="M2380" s="24">
        <f>IF($G2380="","",IF($D2380="A国内","CNY","TZS"))</f>
        <v/>
      </c>
      <c r="N2380" s="28">
        <f>IF($G2380="","",IF($D2380="A国内",汇率,1))</f>
        <v/>
      </c>
      <c r="O2380" s="25">
        <f>IF($G2380="","",ROUND(N($K2380)*N($L2380),2))</f>
        <v/>
      </c>
      <c r="P2380" s="26">
        <f>IF($G2380="","",ROUND($O2380*$N2380,0))</f>
        <v/>
      </c>
      <c r="Q2380" s="26">
        <f>IF($G2380="","",SUMIFS($P$4:$P$2503,$E$4:$E$2503,$E2380,$Z$4:$Z$2503,"正常"))</f>
        <v/>
      </c>
      <c r="R2380" s="26">
        <f>IF($G2380="","",SUMIFS(费用台账!$I$4:$I$503,费用台账!$C$4:$C$503,$E2380,费用台账!$J$4:$J$503,"是",费用台账!$K$4:$K$503,"正常"))</f>
        <v/>
      </c>
      <c r="S2380" s="28">
        <f>IF($G2380="","",COUNTIFS($E$4:$E$2503,$E2380,$Z$4:$Z$2503,"正常",$Y$4:$Y$2503,"待补价"))</f>
        <v/>
      </c>
      <c r="T2380" s="26">
        <f>IF($G2380="","",SUMIFS($P$4:$P$2503,$E$4:$E$2503,$E2380,$Z$4:$Z$2503,"正常",$A$4:$A$2503,"&lt;="&amp;$A2380))</f>
        <v/>
      </c>
      <c r="U2380" s="26">
        <f>IF($G2380="","",IF(OR($S2380&gt;0,$Q2380=0,$R2380=0,$Z2380&lt;&gt;"正常"),0,ROUND($T2380/$Q2380*$R2380,0)-ROUND(($T2380-$P2380)/$Q2380*$R2380,0)))</f>
        <v/>
      </c>
      <c r="V2380" s="26">
        <f>IF($G2380="","",ROUND($P2380+$U2380,0))</f>
        <v/>
      </c>
      <c r="W2380" s="26">
        <f>IF($G2380="","",IF(N($K2380)=0,0,ROUND($V2380/$K2380,2)))</f>
        <v/>
      </c>
      <c r="X2380" s="17" t="n"/>
      <c r="Y2380" s="17" t="n"/>
      <c r="Z2380" s="17" t="n"/>
      <c r="AA2380" s="17" t="n"/>
      <c r="AB2380" s="17" t="n"/>
      <c r="AC2380" s="24">
        <f>IF($G2380="","",IF($H2380="※编码不在物料档案里","※物料编码不在档案里",IF(N($K2380)&lt;=0,"※入库数量要大于 0",IF(AND($C2380&lt;&gt;"",$C2380&lt;=结账锁),"※日期早于已结账截止日，不能再录",IF(AND($L2380=0,$X2380="正常"),"※没填单价，价格状态请选「待补价」",IF(AND($S2380&gt;0,$R2380&gt;0),"△本批有 "&amp;$S2380&amp;" 行没单价，整批运费先挂账没摊",IF(AND($B2380&lt;&gt;"",COUNTIF($B$4:$B$2503,$B2380)&gt;1),"※入库单号重复","")))))))</f>
        <v/>
      </c>
    </row>
    <row r="2381">
      <c r="A2381" s="24">
        <f>IF($G2381="","",COUNTA($G$4:$G2381))</f>
        <v/>
      </c>
      <c r="B2381" s="17" t="n"/>
      <c r="C2381" s="30" t="n"/>
      <c r="D2381" s="17" t="n"/>
      <c r="E2381" s="17" t="n"/>
      <c r="F2381" s="17" t="n"/>
      <c r="G2381" s="17" t="n"/>
      <c r="H2381" s="24">
        <f>IF($G2381="","",IFERROR(VLOOKUP($G2381,物料档案!$A$4:$P$1203,3,0),"※编码不在物料档案里"))</f>
        <v/>
      </c>
      <c r="I2381" s="24">
        <f>IF($G2381="","",IFERROR(VLOOKUP($G2381,物料档案!$A$4:$P$1203,4,0),"※编码不在物料档案里"))</f>
        <v/>
      </c>
      <c r="J2381" s="24">
        <f>IF($G2381="","",IFERROR(VLOOKUP($G2381,物料档案!$A$4:$P$1203,5,0),"※编码不在物料档案里"))</f>
        <v/>
      </c>
      <c r="K2381" s="23" t="n"/>
      <c r="L2381" s="31" t="n"/>
      <c r="M2381" s="24">
        <f>IF($G2381="","",IF($D2381="A国内","CNY","TZS"))</f>
        <v/>
      </c>
      <c r="N2381" s="28">
        <f>IF($G2381="","",IF($D2381="A国内",汇率,1))</f>
        <v/>
      </c>
      <c r="O2381" s="25">
        <f>IF($G2381="","",ROUND(N($K2381)*N($L2381),2))</f>
        <v/>
      </c>
      <c r="P2381" s="26">
        <f>IF($G2381="","",ROUND($O2381*$N2381,0))</f>
        <v/>
      </c>
      <c r="Q2381" s="26">
        <f>IF($G2381="","",SUMIFS($P$4:$P$2503,$E$4:$E$2503,$E2381,$Z$4:$Z$2503,"正常"))</f>
        <v/>
      </c>
      <c r="R2381" s="26">
        <f>IF($G2381="","",SUMIFS(费用台账!$I$4:$I$503,费用台账!$C$4:$C$503,$E2381,费用台账!$J$4:$J$503,"是",费用台账!$K$4:$K$503,"正常"))</f>
        <v/>
      </c>
      <c r="S2381" s="28">
        <f>IF($G2381="","",COUNTIFS($E$4:$E$2503,$E2381,$Z$4:$Z$2503,"正常",$Y$4:$Y$2503,"待补价"))</f>
        <v/>
      </c>
      <c r="T2381" s="26">
        <f>IF($G2381="","",SUMIFS($P$4:$P$2503,$E$4:$E$2503,$E2381,$Z$4:$Z$2503,"正常",$A$4:$A$2503,"&lt;="&amp;$A2381))</f>
        <v/>
      </c>
      <c r="U2381" s="26">
        <f>IF($G2381="","",IF(OR($S2381&gt;0,$Q2381=0,$R2381=0,$Z2381&lt;&gt;"正常"),0,ROUND($T2381/$Q2381*$R2381,0)-ROUND(($T2381-$P2381)/$Q2381*$R2381,0)))</f>
        <v/>
      </c>
      <c r="V2381" s="26">
        <f>IF($G2381="","",ROUND($P2381+$U2381,0))</f>
        <v/>
      </c>
      <c r="W2381" s="26">
        <f>IF($G2381="","",IF(N($K2381)=0,0,ROUND($V2381/$K2381,2)))</f>
        <v/>
      </c>
      <c r="X2381" s="17" t="n"/>
      <c r="Y2381" s="17" t="n"/>
      <c r="Z2381" s="17" t="n"/>
      <c r="AA2381" s="17" t="n"/>
      <c r="AB2381" s="17" t="n"/>
      <c r="AC2381" s="24">
        <f>IF($G2381="","",IF($H2381="※编码不在物料档案里","※物料编码不在档案里",IF(N($K2381)&lt;=0,"※入库数量要大于 0",IF(AND($C2381&lt;&gt;"",$C2381&lt;=结账锁),"※日期早于已结账截止日，不能再录",IF(AND($L2381=0,$X2381="正常"),"※没填单价，价格状态请选「待补价」",IF(AND($S2381&gt;0,$R2381&gt;0),"△本批有 "&amp;$S2381&amp;" 行没单价，整批运费先挂账没摊",IF(AND($B2381&lt;&gt;"",COUNTIF($B$4:$B$2503,$B2381)&gt;1),"※入库单号重复","")))))))</f>
        <v/>
      </c>
    </row>
    <row r="2382">
      <c r="A2382" s="24">
        <f>IF($G2382="","",COUNTA($G$4:$G2382))</f>
        <v/>
      </c>
      <c r="B2382" s="17" t="n"/>
      <c r="C2382" s="30" t="n"/>
      <c r="D2382" s="17" t="n"/>
      <c r="E2382" s="17" t="n"/>
      <c r="F2382" s="17" t="n"/>
      <c r="G2382" s="17" t="n"/>
      <c r="H2382" s="24">
        <f>IF($G2382="","",IFERROR(VLOOKUP($G2382,物料档案!$A$4:$P$1203,3,0),"※编码不在物料档案里"))</f>
        <v/>
      </c>
      <c r="I2382" s="24">
        <f>IF($G2382="","",IFERROR(VLOOKUP($G2382,物料档案!$A$4:$P$1203,4,0),"※编码不在物料档案里"))</f>
        <v/>
      </c>
      <c r="J2382" s="24">
        <f>IF($G2382="","",IFERROR(VLOOKUP($G2382,物料档案!$A$4:$P$1203,5,0),"※编码不在物料档案里"))</f>
        <v/>
      </c>
      <c r="K2382" s="23" t="n"/>
      <c r="L2382" s="31" t="n"/>
      <c r="M2382" s="24">
        <f>IF($G2382="","",IF($D2382="A国内","CNY","TZS"))</f>
        <v/>
      </c>
      <c r="N2382" s="28">
        <f>IF($G2382="","",IF($D2382="A国内",汇率,1))</f>
        <v/>
      </c>
      <c r="O2382" s="25">
        <f>IF($G2382="","",ROUND(N($K2382)*N($L2382),2))</f>
        <v/>
      </c>
      <c r="P2382" s="26">
        <f>IF($G2382="","",ROUND($O2382*$N2382,0))</f>
        <v/>
      </c>
      <c r="Q2382" s="26">
        <f>IF($G2382="","",SUMIFS($P$4:$P$2503,$E$4:$E$2503,$E2382,$Z$4:$Z$2503,"正常"))</f>
        <v/>
      </c>
      <c r="R2382" s="26">
        <f>IF($G2382="","",SUMIFS(费用台账!$I$4:$I$503,费用台账!$C$4:$C$503,$E2382,费用台账!$J$4:$J$503,"是",费用台账!$K$4:$K$503,"正常"))</f>
        <v/>
      </c>
      <c r="S2382" s="28">
        <f>IF($G2382="","",COUNTIFS($E$4:$E$2503,$E2382,$Z$4:$Z$2503,"正常",$Y$4:$Y$2503,"待补价"))</f>
        <v/>
      </c>
      <c r="T2382" s="26">
        <f>IF($G2382="","",SUMIFS($P$4:$P$2503,$E$4:$E$2503,$E2382,$Z$4:$Z$2503,"正常",$A$4:$A$2503,"&lt;="&amp;$A2382))</f>
        <v/>
      </c>
      <c r="U2382" s="26">
        <f>IF($G2382="","",IF(OR($S2382&gt;0,$Q2382=0,$R2382=0,$Z2382&lt;&gt;"正常"),0,ROUND($T2382/$Q2382*$R2382,0)-ROUND(($T2382-$P2382)/$Q2382*$R2382,0)))</f>
        <v/>
      </c>
      <c r="V2382" s="26">
        <f>IF($G2382="","",ROUND($P2382+$U2382,0))</f>
        <v/>
      </c>
      <c r="W2382" s="26">
        <f>IF($G2382="","",IF(N($K2382)=0,0,ROUND($V2382/$K2382,2)))</f>
        <v/>
      </c>
      <c r="X2382" s="17" t="n"/>
      <c r="Y2382" s="17" t="n"/>
      <c r="Z2382" s="17" t="n"/>
      <c r="AA2382" s="17" t="n"/>
      <c r="AB2382" s="17" t="n"/>
      <c r="AC2382" s="24">
        <f>IF($G2382="","",IF($H2382="※编码不在物料档案里","※物料编码不在档案里",IF(N($K2382)&lt;=0,"※入库数量要大于 0",IF(AND($C2382&lt;&gt;"",$C2382&lt;=结账锁),"※日期早于已结账截止日，不能再录",IF(AND($L2382=0,$X2382="正常"),"※没填单价，价格状态请选「待补价」",IF(AND($S2382&gt;0,$R2382&gt;0),"△本批有 "&amp;$S2382&amp;" 行没单价，整批运费先挂账没摊",IF(AND($B2382&lt;&gt;"",COUNTIF($B$4:$B$2503,$B2382)&gt;1),"※入库单号重复","")))))))</f>
        <v/>
      </c>
    </row>
    <row r="2383">
      <c r="A2383" s="24">
        <f>IF($G2383="","",COUNTA($G$4:$G2383))</f>
        <v/>
      </c>
      <c r="B2383" s="17" t="n"/>
      <c r="C2383" s="30" t="n"/>
      <c r="D2383" s="17" t="n"/>
      <c r="E2383" s="17" t="n"/>
      <c r="F2383" s="17" t="n"/>
      <c r="G2383" s="17" t="n"/>
      <c r="H2383" s="24">
        <f>IF($G2383="","",IFERROR(VLOOKUP($G2383,物料档案!$A$4:$P$1203,3,0),"※编码不在物料档案里"))</f>
        <v/>
      </c>
      <c r="I2383" s="24">
        <f>IF($G2383="","",IFERROR(VLOOKUP($G2383,物料档案!$A$4:$P$1203,4,0),"※编码不在物料档案里"))</f>
        <v/>
      </c>
      <c r="J2383" s="24">
        <f>IF($G2383="","",IFERROR(VLOOKUP($G2383,物料档案!$A$4:$P$1203,5,0),"※编码不在物料档案里"))</f>
        <v/>
      </c>
      <c r="K2383" s="23" t="n"/>
      <c r="L2383" s="31" t="n"/>
      <c r="M2383" s="24">
        <f>IF($G2383="","",IF($D2383="A国内","CNY","TZS"))</f>
        <v/>
      </c>
      <c r="N2383" s="28">
        <f>IF($G2383="","",IF($D2383="A国内",汇率,1))</f>
        <v/>
      </c>
      <c r="O2383" s="25">
        <f>IF($G2383="","",ROUND(N($K2383)*N($L2383),2))</f>
        <v/>
      </c>
      <c r="P2383" s="26">
        <f>IF($G2383="","",ROUND($O2383*$N2383,0))</f>
        <v/>
      </c>
      <c r="Q2383" s="26">
        <f>IF($G2383="","",SUMIFS($P$4:$P$2503,$E$4:$E$2503,$E2383,$Z$4:$Z$2503,"正常"))</f>
        <v/>
      </c>
      <c r="R2383" s="26">
        <f>IF($G2383="","",SUMIFS(费用台账!$I$4:$I$503,费用台账!$C$4:$C$503,$E2383,费用台账!$J$4:$J$503,"是",费用台账!$K$4:$K$503,"正常"))</f>
        <v/>
      </c>
      <c r="S2383" s="28">
        <f>IF($G2383="","",COUNTIFS($E$4:$E$2503,$E2383,$Z$4:$Z$2503,"正常",$Y$4:$Y$2503,"待补价"))</f>
        <v/>
      </c>
      <c r="T2383" s="26">
        <f>IF($G2383="","",SUMIFS($P$4:$P$2503,$E$4:$E$2503,$E2383,$Z$4:$Z$2503,"正常",$A$4:$A$2503,"&lt;="&amp;$A2383))</f>
        <v/>
      </c>
      <c r="U2383" s="26">
        <f>IF($G2383="","",IF(OR($S2383&gt;0,$Q2383=0,$R2383=0,$Z2383&lt;&gt;"正常"),0,ROUND($T2383/$Q2383*$R2383,0)-ROUND(($T2383-$P2383)/$Q2383*$R2383,0)))</f>
        <v/>
      </c>
      <c r="V2383" s="26">
        <f>IF($G2383="","",ROUND($P2383+$U2383,0))</f>
        <v/>
      </c>
      <c r="W2383" s="26">
        <f>IF($G2383="","",IF(N($K2383)=0,0,ROUND($V2383/$K2383,2)))</f>
        <v/>
      </c>
      <c r="X2383" s="17" t="n"/>
      <c r="Y2383" s="17" t="n"/>
      <c r="Z2383" s="17" t="n"/>
      <c r="AA2383" s="17" t="n"/>
      <c r="AB2383" s="17" t="n"/>
      <c r="AC2383" s="24">
        <f>IF($G2383="","",IF($H2383="※编码不在物料档案里","※物料编码不在档案里",IF(N($K2383)&lt;=0,"※入库数量要大于 0",IF(AND($C2383&lt;&gt;"",$C2383&lt;=结账锁),"※日期早于已结账截止日，不能再录",IF(AND($L2383=0,$X2383="正常"),"※没填单价，价格状态请选「待补价」",IF(AND($S2383&gt;0,$R2383&gt;0),"△本批有 "&amp;$S2383&amp;" 行没单价，整批运费先挂账没摊",IF(AND($B2383&lt;&gt;"",COUNTIF($B$4:$B$2503,$B2383)&gt;1),"※入库单号重复","")))))))</f>
        <v/>
      </c>
    </row>
    <row r="2384">
      <c r="A2384" s="24">
        <f>IF($G2384="","",COUNTA($G$4:$G2384))</f>
        <v/>
      </c>
      <c r="B2384" s="17" t="n"/>
      <c r="C2384" s="30" t="n"/>
      <c r="D2384" s="17" t="n"/>
      <c r="E2384" s="17" t="n"/>
      <c r="F2384" s="17" t="n"/>
      <c r="G2384" s="17" t="n"/>
      <c r="H2384" s="24">
        <f>IF($G2384="","",IFERROR(VLOOKUP($G2384,物料档案!$A$4:$P$1203,3,0),"※编码不在物料档案里"))</f>
        <v/>
      </c>
      <c r="I2384" s="24">
        <f>IF($G2384="","",IFERROR(VLOOKUP($G2384,物料档案!$A$4:$P$1203,4,0),"※编码不在物料档案里"))</f>
        <v/>
      </c>
      <c r="J2384" s="24">
        <f>IF($G2384="","",IFERROR(VLOOKUP($G2384,物料档案!$A$4:$P$1203,5,0),"※编码不在物料档案里"))</f>
        <v/>
      </c>
      <c r="K2384" s="23" t="n"/>
      <c r="L2384" s="31" t="n"/>
      <c r="M2384" s="24">
        <f>IF($G2384="","",IF($D2384="A国内","CNY","TZS"))</f>
        <v/>
      </c>
      <c r="N2384" s="28">
        <f>IF($G2384="","",IF($D2384="A国内",汇率,1))</f>
        <v/>
      </c>
      <c r="O2384" s="25">
        <f>IF($G2384="","",ROUND(N($K2384)*N($L2384),2))</f>
        <v/>
      </c>
      <c r="P2384" s="26">
        <f>IF($G2384="","",ROUND($O2384*$N2384,0))</f>
        <v/>
      </c>
      <c r="Q2384" s="26">
        <f>IF($G2384="","",SUMIFS($P$4:$P$2503,$E$4:$E$2503,$E2384,$Z$4:$Z$2503,"正常"))</f>
        <v/>
      </c>
      <c r="R2384" s="26">
        <f>IF($G2384="","",SUMIFS(费用台账!$I$4:$I$503,费用台账!$C$4:$C$503,$E2384,费用台账!$J$4:$J$503,"是",费用台账!$K$4:$K$503,"正常"))</f>
        <v/>
      </c>
      <c r="S2384" s="28">
        <f>IF($G2384="","",COUNTIFS($E$4:$E$2503,$E2384,$Z$4:$Z$2503,"正常",$Y$4:$Y$2503,"待补价"))</f>
        <v/>
      </c>
      <c r="T2384" s="26">
        <f>IF($G2384="","",SUMIFS($P$4:$P$2503,$E$4:$E$2503,$E2384,$Z$4:$Z$2503,"正常",$A$4:$A$2503,"&lt;="&amp;$A2384))</f>
        <v/>
      </c>
      <c r="U2384" s="26">
        <f>IF($G2384="","",IF(OR($S2384&gt;0,$Q2384=0,$R2384=0,$Z2384&lt;&gt;"正常"),0,ROUND($T2384/$Q2384*$R2384,0)-ROUND(($T2384-$P2384)/$Q2384*$R2384,0)))</f>
        <v/>
      </c>
      <c r="V2384" s="26">
        <f>IF($G2384="","",ROUND($P2384+$U2384,0))</f>
        <v/>
      </c>
      <c r="W2384" s="26">
        <f>IF($G2384="","",IF(N($K2384)=0,0,ROUND($V2384/$K2384,2)))</f>
        <v/>
      </c>
      <c r="X2384" s="17" t="n"/>
      <c r="Y2384" s="17" t="n"/>
      <c r="Z2384" s="17" t="n"/>
      <c r="AA2384" s="17" t="n"/>
      <c r="AB2384" s="17" t="n"/>
      <c r="AC2384" s="24">
        <f>IF($G2384="","",IF($H2384="※编码不在物料档案里","※物料编码不在档案里",IF(N($K2384)&lt;=0,"※入库数量要大于 0",IF(AND($C2384&lt;&gt;"",$C2384&lt;=结账锁),"※日期早于已结账截止日，不能再录",IF(AND($L2384=0,$X2384="正常"),"※没填单价，价格状态请选「待补价」",IF(AND($S2384&gt;0,$R2384&gt;0),"△本批有 "&amp;$S2384&amp;" 行没单价，整批运费先挂账没摊",IF(AND($B2384&lt;&gt;"",COUNTIF($B$4:$B$2503,$B2384)&gt;1),"※入库单号重复","")))))))</f>
        <v/>
      </c>
    </row>
    <row r="2385">
      <c r="A2385" s="24">
        <f>IF($G2385="","",COUNTA($G$4:$G2385))</f>
        <v/>
      </c>
      <c r="B2385" s="17" t="n"/>
      <c r="C2385" s="30" t="n"/>
      <c r="D2385" s="17" t="n"/>
      <c r="E2385" s="17" t="n"/>
      <c r="F2385" s="17" t="n"/>
      <c r="G2385" s="17" t="n"/>
      <c r="H2385" s="24">
        <f>IF($G2385="","",IFERROR(VLOOKUP($G2385,物料档案!$A$4:$P$1203,3,0),"※编码不在物料档案里"))</f>
        <v/>
      </c>
      <c r="I2385" s="24">
        <f>IF($G2385="","",IFERROR(VLOOKUP($G2385,物料档案!$A$4:$P$1203,4,0),"※编码不在物料档案里"))</f>
        <v/>
      </c>
      <c r="J2385" s="24">
        <f>IF($G2385="","",IFERROR(VLOOKUP($G2385,物料档案!$A$4:$P$1203,5,0),"※编码不在物料档案里"))</f>
        <v/>
      </c>
      <c r="K2385" s="23" t="n"/>
      <c r="L2385" s="31" t="n"/>
      <c r="M2385" s="24">
        <f>IF($G2385="","",IF($D2385="A国内","CNY","TZS"))</f>
        <v/>
      </c>
      <c r="N2385" s="28">
        <f>IF($G2385="","",IF($D2385="A国内",汇率,1))</f>
        <v/>
      </c>
      <c r="O2385" s="25">
        <f>IF($G2385="","",ROUND(N($K2385)*N($L2385),2))</f>
        <v/>
      </c>
      <c r="P2385" s="26">
        <f>IF($G2385="","",ROUND($O2385*$N2385,0))</f>
        <v/>
      </c>
      <c r="Q2385" s="26">
        <f>IF($G2385="","",SUMIFS($P$4:$P$2503,$E$4:$E$2503,$E2385,$Z$4:$Z$2503,"正常"))</f>
        <v/>
      </c>
      <c r="R2385" s="26">
        <f>IF($G2385="","",SUMIFS(费用台账!$I$4:$I$503,费用台账!$C$4:$C$503,$E2385,费用台账!$J$4:$J$503,"是",费用台账!$K$4:$K$503,"正常"))</f>
        <v/>
      </c>
      <c r="S2385" s="28">
        <f>IF($G2385="","",COUNTIFS($E$4:$E$2503,$E2385,$Z$4:$Z$2503,"正常",$Y$4:$Y$2503,"待补价"))</f>
        <v/>
      </c>
      <c r="T2385" s="26">
        <f>IF($G2385="","",SUMIFS($P$4:$P$2503,$E$4:$E$2503,$E2385,$Z$4:$Z$2503,"正常",$A$4:$A$2503,"&lt;="&amp;$A2385))</f>
        <v/>
      </c>
      <c r="U2385" s="26">
        <f>IF($G2385="","",IF(OR($S2385&gt;0,$Q2385=0,$R2385=0,$Z2385&lt;&gt;"正常"),0,ROUND($T2385/$Q2385*$R2385,0)-ROUND(($T2385-$P2385)/$Q2385*$R2385,0)))</f>
        <v/>
      </c>
      <c r="V2385" s="26">
        <f>IF($G2385="","",ROUND($P2385+$U2385,0))</f>
        <v/>
      </c>
      <c r="W2385" s="26">
        <f>IF($G2385="","",IF(N($K2385)=0,0,ROUND($V2385/$K2385,2)))</f>
        <v/>
      </c>
      <c r="X2385" s="17" t="n"/>
      <c r="Y2385" s="17" t="n"/>
      <c r="Z2385" s="17" t="n"/>
      <c r="AA2385" s="17" t="n"/>
      <c r="AB2385" s="17" t="n"/>
      <c r="AC2385" s="24">
        <f>IF($G2385="","",IF($H2385="※编码不在物料档案里","※物料编码不在档案里",IF(N($K2385)&lt;=0,"※入库数量要大于 0",IF(AND($C2385&lt;&gt;"",$C2385&lt;=结账锁),"※日期早于已结账截止日，不能再录",IF(AND($L2385=0,$X2385="正常"),"※没填单价，价格状态请选「待补价」",IF(AND($S2385&gt;0,$R2385&gt;0),"△本批有 "&amp;$S2385&amp;" 行没单价，整批运费先挂账没摊",IF(AND($B2385&lt;&gt;"",COUNTIF($B$4:$B$2503,$B2385)&gt;1),"※入库单号重复","")))))))</f>
        <v/>
      </c>
    </row>
    <row r="2386">
      <c r="A2386" s="24">
        <f>IF($G2386="","",COUNTA($G$4:$G2386))</f>
        <v/>
      </c>
      <c r="B2386" s="17" t="n"/>
      <c r="C2386" s="30" t="n"/>
      <c r="D2386" s="17" t="n"/>
      <c r="E2386" s="17" t="n"/>
      <c r="F2386" s="17" t="n"/>
      <c r="G2386" s="17" t="n"/>
      <c r="H2386" s="24">
        <f>IF($G2386="","",IFERROR(VLOOKUP($G2386,物料档案!$A$4:$P$1203,3,0),"※编码不在物料档案里"))</f>
        <v/>
      </c>
      <c r="I2386" s="24">
        <f>IF($G2386="","",IFERROR(VLOOKUP($G2386,物料档案!$A$4:$P$1203,4,0),"※编码不在物料档案里"))</f>
        <v/>
      </c>
      <c r="J2386" s="24">
        <f>IF($G2386="","",IFERROR(VLOOKUP($G2386,物料档案!$A$4:$P$1203,5,0),"※编码不在物料档案里"))</f>
        <v/>
      </c>
      <c r="K2386" s="23" t="n"/>
      <c r="L2386" s="31" t="n"/>
      <c r="M2386" s="24">
        <f>IF($G2386="","",IF($D2386="A国内","CNY","TZS"))</f>
        <v/>
      </c>
      <c r="N2386" s="28">
        <f>IF($G2386="","",IF($D2386="A国内",汇率,1))</f>
        <v/>
      </c>
      <c r="O2386" s="25">
        <f>IF($G2386="","",ROUND(N($K2386)*N($L2386),2))</f>
        <v/>
      </c>
      <c r="P2386" s="26">
        <f>IF($G2386="","",ROUND($O2386*$N2386,0))</f>
        <v/>
      </c>
      <c r="Q2386" s="26">
        <f>IF($G2386="","",SUMIFS($P$4:$P$2503,$E$4:$E$2503,$E2386,$Z$4:$Z$2503,"正常"))</f>
        <v/>
      </c>
      <c r="R2386" s="26">
        <f>IF($G2386="","",SUMIFS(费用台账!$I$4:$I$503,费用台账!$C$4:$C$503,$E2386,费用台账!$J$4:$J$503,"是",费用台账!$K$4:$K$503,"正常"))</f>
        <v/>
      </c>
      <c r="S2386" s="28">
        <f>IF($G2386="","",COUNTIFS($E$4:$E$2503,$E2386,$Z$4:$Z$2503,"正常",$Y$4:$Y$2503,"待补价"))</f>
        <v/>
      </c>
      <c r="T2386" s="26">
        <f>IF($G2386="","",SUMIFS($P$4:$P$2503,$E$4:$E$2503,$E2386,$Z$4:$Z$2503,"正常",$A$4:$A$2503,"&lt;="&amp;$A2386))</f>
        <v/>
      </c>
      <c r="U2386" s="26">
        <f>IF($G2386="","",IF(OR($S2386&gt;0,$Q2386=0,$R2386=0,$Z2386&lt;&gt;"正常"),0,ROUND($T2386/$Q2386*$R2386,0)-ROUND(($T2386-$P2386)/$Q2386*$R2386,0)))</f>
        <v/>
      </c>
      <c r="V2386" s="26">
        <f>IF($G2386="","",ROUND($P2386+$U2386,0))</f>
        <v/>
      </c>
      <c r="W2386" s="26">
        <f>IF($G2386="","",IF(N($K2386)=0,0,ROUND($V2386/$K2386,2)))</f>
        <v/>
      </c>
      <c r="X2386" s="17" t="n"/>
      <c r="Y2386" s="17" t="n"/>
      <c r="Z2386" s="17" t="n"/>
      <c r="AA2386" s="17" t="n"/>
      <c r="AB2386" s="17" t="n"/>
      <c r="AC2386" s="24">
        <f>IF($G2386="","",IF($H2386="※编码不在物料档案里","※物料编码不在档案里",IF(N($K2386)&lt;=0,"※入库数量要大于 0",IF(AND($C2386&lt;&gt;"",$C2386&lt;=结账锁),"※日期早于已结账截止日，不能再录",IF(AND($L2386=0,$X2386="正常"),"※没填单价，价格状态请选「待补价」",IF(AND($S2386&gt;0,$R2386&gt;0),"△本批有 "&amp;$S2386&amp;" 行没单价，整批运费先挂账没摊",IF(AND($B2386&lt;&gt;"",COUNTIF($B$4:$B$2503,$B2386)&gt;1),"※入库单号重复","")))))))</f>
        <v/>
      </c>
    </row>
    <row r="2387">
      <c r="A2387" s="24">
        <f>IF($G2387="","",COUNTA($G$4:$G2387))</f>
        <v/>
      </c>
      <c r="B2387" s="17" t="n"/>
      <c r="C2387" s="30" t="n"/>
      <c r="D2387" s="17" t="n"/>
      <c r="E2387" s="17" t="n"/>
      <c r="F2387" s="17" t="n"/>
      <c r="G2387" s="17" t="n"/>
      <c r="H2387" s="24">
        <f>IF($G2387="","",IFERROR(VLOOKUP($G2387,物料档案!$A$4:$P$1203,3,0),"※编码不在物料档案里"))</f>
        <v/>
      </c>
      <c r="I2387" s="24">
        <f>IF($G2387="","",IFERROR(VLOOKUP($G2387,物料档案!$A$4:$P$1203,4,0),"※编码不在物料档案里"))</f>
        <v/>
      </c>
      <c r="J2387" s="24">
        <f>IF($G2387="","",IFERROR(VLOOKUP($G2387,物料档案!$A$4:$P$1203,5,0),"※编码不在物料档案里"))</f>
        <v/>
      </c>
      <c r="K2387" s="23" t="n"/>
      <c r="L2387" s="31" t="n"/>
      <c r="M2387" s="24">
        <f>IF($G2387="","",IF($D2387="A国内","CNY","TZS"))</f>
        <v/>
      </c>
      <c r="N2387" s="28">
        <f>IF($G2387="","",IF($D2387="A国内",汇率,1))</f>
        <v/>
      </c>
      <c r="O2387" s="25">
        <f>IF($G2387="","",ROUND(N($K2387)*N($L2387),2))</f>
        <v/>
      </c>
      <c r="P2387" s="26">
        <f>IF($G2387="","",ROUND($O2387*$N2387,0))</f>
        <v/>
      </c>
      <c r="Q2387" s="26">
        <f>IF($G2387="","",SUMIFS($P$4:$P$2503,$E$4:$E$2503,$E2387,$Z$4:$Z$2503,"正常"))</f>
        <v/>
      </c>
      <c r="R2387" s="26">
        <f>IF($G2387="","",SUMIFS(费用台账!$I$4:$I$503,费用台账!$C$4:$C$503,$E2387,费用台账!$J$4:$J$503,"是",费用台账!$K$4:$K$503,"正常"))</f>
        <v/>
      </c>
      <c r="S2387" s="28">
        <f>IF($G2387="","",COUNTIFS($E$4:$E$2503,$E2387,$Z$4:$Z$2503,"正常",$Y$4:$Y$2503,"待补价"))</f>
        <v/>
      </c>
      <c r="T2387" s="26">
        <f>IF($G2387="","",SUMIFS($P$4:$P$2503,$E$4:$E$2503,$E2387,$Z$4:$Z$2503,"正常",$A$4:$A$2503,"&lt;="&amp;$A2387))</f>
        <v/>
      </c>
      <c r="U2387" s="26">
        <f>IF($G2387="","",IF(OR($S2387&gt;0,$Q2387=0,$R2387=0,$Z2387&lt;&gt;"正常"),0,ROUND($T2387/$Q2387*$R2387,0)-ROUND(($T2387-$P2387)/$Q2387*$R2387,0)))</f>
        <v/>
      </c>
      <c r="V2387" s="26">
        <f>IF($G2387="","",ROUND($P2387+$U2387,0))</f>
        <v/>
      </c>
      <c r="W2387" s="26">
        <f>IF($G2387="","",IF(N($K2387)=0,0,ROUND($V2387/$K2387,2)))</f>
        <v/>
      </c>
      <c r="X2387" s="17" t="n"/>
      <c r="Y2387" s="17" t="n"/>
      <c r="Z2387" s="17" t="n"/>
      <c r="AA2387" s="17" t="n"/>
      <c r="AB2387" s="17" t="n"/>
      <c r="AC2387" s="24">
        <f>IF($G2387="","",IF($H2387="※编码不在物料档案里","※物料编码不在档案里",IF(N($K2387)&lt;=0,"※入库数量要大于 0",IF(AND($C2387&lt;&gt;"",$C2387&lt;=结账锁),"※日期早于已结账截止日，不能再录",IF(AND($L2387=0,$X2387="正常"),"※没填单价，价格状态请选「待补价」",IF(AND($S2387&gt;0,$R2387&gt;0),"△本批有 "&amp;$S2387&amp;" 行没单价，整批运费先挂账没摊",IF(AND($B2387&lt;&gt;"",COUNTIF($B$4:$B$2503,$B2387)&gt;1),"※入库单号重复","")))))))</f>
        <v/>
      </c>
    </row>
    <row r="2388">
      <c r="A2388" s="24">
        <f>IF($G2388="","",COUNTA($G$4:$G2388))</f>
        <v/>
      </c>
      <c r="B2388" s="17" t="n"/>
      <c r="C2388" s="30" t="n"/>
      <c r="D2388" s="17" t="n"/>
      <c r="E2388" s="17" t="n"/>
      <c r="F2388" s="17" t="n"/>
      <c r="G2388" s="17" t="n"/>
      <c r="H2388" s="24">
        <f>IF($G2388="","",IFERROR(VLOOKUP($G2388,物料档案!$A$4:$P$1203,3,0),"※编码不在物料档案里"))</f>
        <v/>
      </c>
      <c r="I2388" s="24">
        <f>IF($G2388="","",IFERROR(VLOOKUP($G2388,物料档案!$A$4:$P$1203,4,0),"※编码不在物料档案里"))</f>
        <v/>
      </c>
      <c r="J2388" s="24">
        <f>IF($G2388="","",IFERROR(VLOOKUP($G2388,物料档案!$A$4:$P$1203,5,0),"※编码不在物料档案里"))</f>
        <v/>
      </c>
      <c r="K2388" s="23" t="n"/>
      <c r="L2388" s="31" t="n"/>
      <c r="M2388" s="24">
        <f>IF($G2388="","",IF($D2388="A国内","CNY","TZS"))</f>
        <v/>
      </c>
      <c r="N2388" s="28">
        <f>IF($G2388="","",IF($D2388="A国内",汇率,1))</f>
        <v/>
      </c>
      <c r="O2388" s="25">
        <f>IF($G2388="","",ROUND(N($K2388)*N($L2388),2))</f>
        <v/>
      </c>
      <c r="P2388" s="26">
        <f>IF($G2388="","",ROUND($O2388*$N2388,0))</f>
        <v/>
      </c>
      <c r="Q2388" s="26">
        <f>IF($G2388="","",SUMIFS($P$4:$P$2503,$E$4:$E$2503,$E2388,$Z$4:$Z$2503,"正常"))</f>
        <v/>
      </c>
      <c r="R2388" s="26">
        <f>IF($G2388="","",SUMIFS(费用台账!$I$4:$I$503,费用台账!$C$4:$C$503,$E2388,费用台账!$J$4:$J$503,"是",费用台账!$K$4:$K$503,"正常"))</f>
        <v/>
      </c>
      <c r="S2388" s="28">
        <f>IF($G2388="","",COUNTIFS($E$4:$E$2503,$E2388,$Z$4:$Z$2503,"正常",$Y$4:$Y$2503,"待补价"))</f>
        <v/>
      </c>
      <c r="T2388" s="26">
        <f>IF($G2388="","",SUMIFS($P$4:$P$2503,$E$4:$E$2503,$E2388,$Z$4:$Z$2503,"正常",$A$4:$A$2503,"&lt;="&amp;$A2388))</f>
        <v/>
      </c>
      <c r="U2388" s="26">
        <f>IF($G2388="","",IF(OR($S2388&gt;0,$Q2388=0,$R2388=0,$Z2388&lt;&gt;"正常"),0,ROUND($T2388/$Q2388*$R2388,0)-ROUND(($T2388-$P2388)/$Q2388*$R2388,0)))</f>
        <v/>
      </c>
      <c r="V2388" s="26">
        <f>IF($G2388="","",ROUND($P2388+$U2388,0))</f>
        <v/>
      </c>
      <c r="W2388" s="26">
        <f>IF($G2388="","",IF(N($K2388)=0,0,ROUND($V2388/$K2388,2)))</f>
        <v/>
      </c>
      <c r="X2388" s="17" t="n"/>
      <c r="Y2388" s="17" t="n"/>
      <c r="Z2388" s="17" t="n"/>
      <c r="AA2388" s="17" t="n"/>
      <c r="AB2388" s="17" t="n"/>
      <c r="AC2388" s="24">
        <f>IF($G2388="","",IF($H2388="※编码不在物料档案里","※物料编码不在档案里",IF(N($K2388)&lt;=0,"※入库数量要大于 0",IF(AND($C2388&lt;&gt;"",$C2388&lt;=结账锁),"※日期早于已结账截止日，不能再录",IF(AND($L2388=0,$X2388="正常"),"※没填单价，价格状态请选「待补价」",IF(AND($S2388&gt;0,$R2388&gt;0),"△本批有 "&amp;$S2388&amp;" 行没单价，整批运费先挂账没摊",IF(AND($B2388&lt;&gt;"",COUNTIF($B$4:$B$2503,$B2388)&gt;1),"※入库单号重复","")))))))</f>
        <v/>
      </c>
    </row>
    <row r="2389">
      <c r="A2389" s="24">
        <f>IF($G2389="","",COUNTA($G$4:$G2389))</f>
        <v/>
      </c>
      <c r="B2389" s="17" t="n"/>
      <c r="C2389" s="30" t="n"/>
      <c r="D2389" s="17" t="n"/>
      <c r="E2389" s="17" t="n"/>
      <c r="F2389" s="17" t="n"/>
      <c r="G2389" s="17" t="n"/>
      <c r="H2389" s="24">
        <f>IF($G2389="","",IFERROR(VLOOKUP($G2389,物料档案!$A$4:$P$1203,3,0),"※编码不在物料档案里"))</f>
        <v/>
      </c>
      <c r="I2389" s="24">
        <f>IF($G2389="","",IFERROR(VLOOKUP($G2389,物料档案!$A$4:$P$1203,4,0),"※编码不在物料档案里"))</f>
        <v/>
      </c>
      <c r="J2389" s="24">
        <f>IF($G2389="","",IFERROR(VLOOKUP($G2389,物料档案!$A$4:$P$1203,5,0),"※编码不在物料档案里"))</f>
        <v/>
      </c>
      <c r="K2389" s="23" t="n"/>
      <c r="L2389" s="31" t="n"/>
      <c r="M2389" s="24">
        <f>IF($G2389="","",IF($D2389="A国内","CNY","TZS"))</f>
        <v/>
      </c>
      <c r="N2389" s="28">
        <f>IF($G2389="","",IF($D2389="A国内",汇率,1))</f>
        <v/>
      </c>
      <c r="O2389" s="25">
        <f>IF($G2389="","",ROUND(N($K2389)*N($L2389),2))</f>
        <v/>
      </c>
      <c r="P2389" s="26">
        <f>IF($G2389="","",ROUND($O2389*$N2389,0))</f>
        <v/>
      </c>
      <c r="Q2389" s="26">
        <f>IF($G2389="","",SUMIFS($P$4:$P$2503,$E$4:$E$2503,$E2389,$Z$4:$Z$2503,"正常"))</f>
        <v/>
      </c>
      <c r="R2389" s="26">
        <f>IF($G2389="","",SUMIFS(费用台账!$I$4:$I$503,费用台账!$C$4:$C$503,$E2389,费用台账!$J$4:$J$503,"是",费用台账!$K$4:$K$503,"正常"))</f>
        <v/>
      </c>
      <c r="S2389" s="28">
        <f>IF($G2389="","",COUNTIFS($E$4:$E$2503,$E2389,$Z$4:$Z$2503,"正常",$Y$4:$Y$2503,"待补价"))</f>
        <v/>
      </c>
      <c r="T2389" s="26">
        <f>IF($G2389="","",SUMIFS($P$4:$P$2503,$E$4:$E$2503,$E2389,$Z$4:$Z$2503,"正常",$A$4:$A$2503,"&lt;="&amp;$A2389))</f>
        <v/>
      </c>
      <c r="U2389" s="26">
        <f>IF($G2389="","",IF(OR($S2389&gt;0,$Q2389=0,$R2389=0,$Z2389&lt;&gt;"正常"),0,ROUND($T2389/$Q2389*$R2389,0)-ROUND(($T2389-$P2389)/$Q2389*$R2389,0)))</f>
        <v/>
      </c>
      <c r="V2389" s="26">
        <f>IF($G2389="","",ROUND($P2389+$U2389,0))</f>
        <v/>
      </c>
      <c r="W2389" s="26">
        <f>IF($G2389="","",IF(N($K2389)=0,0,ROUND($V2389/$K2389,2)))</f>
        <v/>
      </c>
      <c r="X2389" s="17" t="n"/>
      <c r="Y2389" s="17" t="n"/>
      <c r="Z2389" s="17" t="n"/>
      <c r="AA2389" s="17" t="n"/>
      <c r="AB2389" s="17" t="n"/>
      <c r="AC2389" s="24">
        <f>IF($G2389="","",IF($H2389="※编码不在物料档案里","※物料编码不在档案里",IF(N($K2389)&lt;=0,"※入库数量要大于 0",IF(AND($C2389&lt;&gt;"",$C2389&lt;=结账锁),"※日期早于已结账截止日，不能再录",IF(AND($L2389=0,$X2389="正常"),"※没填单价，价格状态请选「待补价」",IF(AND($S2389&gt;0,$R2389&gt;0),"△本批有 "&amp;$S2389&amp;" 行没单价，整批运费先挂账没摊",IF(AND($B2389&lt;&gt;"",COUNTIF($B$4:$B$2503,$B2389)&gt;1),"※入库单号重复","")))))))</f>
        <v/>
      </c>
    </row>
    <row r="2390">
      <c r="A2390" s="24">
        <f>IF($G2390="","",COUNTA($G$4:$G2390))</f>
        <v/>
      </c>
      <c r="B2390" s="17" t="n"/>
      <c r="C2390" s="30" t="n"/>
      <c r="D2390" s="17" t="n"/>
      <c r="E2390" s="17" t="n"/>
      <c r="F2390" s="17" t="n"/>
      <c r="G2390" s="17" t="n"/>
      <c r="H2390" s="24">
        <f>IF($G2390="","",IFERROR(VLOOKUP($G2390,物料档案!$A$4:$P$1203,3,0),"※编码不在物料档案里"))</f>
        <v/>
      </c>
      <c r="I2390" s="24">
        <f>IF($G2390="","",IFERROR(VLOOKUP($G2390,物料档案!$A$4:$P$1203,4,0),"※编码不在物料档案里"))</f>
        <v/>
      </c>
      <c r="J2390" s="24">
        <f>IF($G2390="","",IFERROR(VLOOKUP($G2390,物料档案!$A$4:$P$1203,5,0),"※编码不在物料档案里"))</f>
        <v/>
      </c>
      <c r="K2390" s="23" t="n"/>
      <c r="L2390" s="31" t="n"/>
      <c r="M2390" s="24">
        <f>IF($G2390="","",IF($D2390="A国内","CNY","TZS"))</f>
        <v/>
      </c>
      <c r="N2390" s="28">
        <f>IF($G2390="","",IF($D2390="A国内",汇率,1))</f>
        <v/>
      </c>
      <c r="O2390" s="25">
        <f>IF($G2390="","",ROUND(N($K2390)*N($L2390),2))</f>
        <v/>
      </c>
      <c r="P2390" s="26">
        <f>IF($G2390="","",ROUND($O2390*$N2390,0))</f>
        <v/>
      </c>
      <c r="Q2390" s="26">
        <f>IF($G2390="","",SUMIFS($P$4:$P$2503,$E$4:$E$2503,$E2390,$Z$4:$Z$2503,"正常"))</f>
        <v/>
      </c>
      <c r="R2390" s="26">
        <f>IF($G2390="","",SUMIFS(费用台账!$I$4:$I$503,费用台账!$C$4:$C$503,$E2390,费用台账!$J$4:$J$503,"是",费用台账!$K$4:$K$503,"正常"))</f>
        <v/>
      </c>
      <c r="S2390" s="28">
        <f>IF($G2390="","",COUNTIFS($E$4:$E$2503,$E2390,$Z$4:$Z$2503,"正常",$Y$4:$Y$2503,"待补价"))</f>
        <v/>
      </c>
      <c r="T2390" s="26">
        <f>IF($G2390="","",SUMIFS($P$4:$P$2503,$E$4:$E$2503,$E2390,$Z$4:$Z$2503,"正常",$A$4:$A$2503,"&lt;="&amp;$A2390))</f>
        <v/>
      </c>
      <c r="U2390" s="26">
        <f>IF($G2390="","",IF(OR($S2390&gt;0,$Q2390=0,$R2390=0,$Z2390&lt;&gt;"正常"),0,ROUND($T2390/$Q2390*$R2390,0)-ROUND(($T2390-$P2390)/$Q2390*$R2390,0)))</f>
        <v/>
      </c>
      <c r="V2390" s="26">
        <f>IF($G2390="","",ROUND($P2390+$U2390,0))</f>
        <v/>
      </c>
      <c r="W2390" s="26">
        <f>IF($G2390="","",IF(N($K2390)=0,0,ROUND($V2390/$K2390,2)))</f>
        <v/>
      </c>
      <c r="X2390" s="17" t="n"/>
      <c r="Y2390" s="17" t="n"/>
      <c r="Z2390" s="17" t="n"/>
      <c r="AA2390" s="17" t="n"/>
      <c r="AB2390" s="17" t="n"/>
      <c r="AC2390" s="24">
        <f>IF($G2390="","",IF($H2390="※编码不在物料档案里","※物料编码不在档案里",IF(N($K2390)&lt;=0,"※入库数量要大于 0",IF(AND($C2390&lt;&gt;"",$C2390&lt;=结账锁),"※日期早于已结账截止日，不能再录",IF(AND($L2390=0,$X2390="正常"),"※没填单价，价格状态请选「待补价」",IF(AND($S2390&gt;0,$R2390&gt;0),"△本批有 "&amp;$S2390&amp;" 行没单价，整批运费先挂账没摊",IF(AND($B2390&lt;&gt;"",COUNTIF($B$4:$B$2503,$B2390)&gt;1),"※入库单号重复","")))))))</f>
        <v/>
      </c>
    </row>
    <row r="2391">
      <c r="A2391" s="24">
        <f>IF($G2391="","",COUNTA($G$4:$G2391))</f>
        <v/>
      </c>
      <c r="B2391" s="17" t="n"/>
      <c r="C2391" s="30" t="n"/>
      <c r="D2391" s="17" t="n"/>
      <c r="E2391" s="17" t="n"/>
      <c r="F2391" s="17" t="n"/>
      <c r="G2391" s="17" t="n"/>
      <c r="H2391" s="24">
        <f>IF($G2391="","",IFERROR(VLOOKUP($G2391,物料档案!$A$4:$P$1203,3,0),"※编码不在物料档案里"))</f>
        <v/>
      </c>
      <c r="I2391" s="24">
        <f>IF($G2391="","",IFERROR(VLOOKUP($G2391,物料档案!$A$4:$P$1203,4,0),"※编码不在物料档案里"))</f>
        <v/>
      </c>
      <c r="J2391" s="24">
        <f>IF($G2391="","",IFERROR(VLOOKUP($G2391,物料档案!$A$4:$P$1203,5,0),"※编码不在物料档案里"))</f>
        <v/>
      </c>
      <c r="K2391" s="23" t="n"/>
      <c r="L2391" s="31" t="n"/>
      <c r="M2391" s="24">
        <f>IF($G2391="","",IF($D2391="A国内","CNY","TZS"))</f>
        <v/>
      </c>
      <c r="N2391" s="28">
        <f>IF($G2391="","",IF($D2391="A国内",汇率,1))</f>
        <v/>
      </c>
      <c r="O2391" s="25">
        <f>IF($G2391="","",ROUND(N($K2391)*N($L2391),2))</f>
        <v/>
      </c>
      <c r="P2391" s="26">
        <f>IF($G2391="","",ROUND($O2391*$N2391,0))</f>
        <v/>
      </c>
      <c r="Q2391" s="26">
        <f>IF($G2391="","",SUMIFS($P$4:$P$2503,$E$4:$E$2503,$E2391,$Z$4:$Z$2503,"正常"))</f>
        <v/>
      </c>
      <c r="R2391" s="26">
        <f>IF($G2391="","",SUMIFS(费用台账!$I$4:$I$503,费用台账!$C$4:$C$503,$E2391,费用台账!$J$4:$J$503,"是",费用台账!$K$4:$K$503,"正常"))</f>
        <v/>
      </c>
      <c r="S2391" s="28">
        <f>IF($G2391="","",COUNTIFS($E$4:$E$2503,$E2391,$Z$4:$Z$2503,"正常",$Y$4:$Y$2503,"待补价"))</f>
        <v/>
      </c>
      <c r="T2391" s="26">
        <f>IF($G2391="","",SUMIFS($P$4:$P$2503,$E$4:$E$2503,$E2391,$Z$4:$Z$2503,"正常",$A$4:$A$2503,"&lt;="&amp;$A2391))</f>
        <v/>
      </c>
      <c r="U2391" s="26">
        <f>IF($G2391="","",IF(OR($S2391&gt;0,$Q2391=0,$R2391=0,$Z2391&lt;&gt;"正常"),0,ROUND($T2391/$Q2391*$R2391,0)-ROUND(($T2391-$P2391)/$Q2391*$R2391,0)))</f>
        <v/>
      </c>
      <c r="V2391" s="26">
        <f>IF($G2391="","",ROUND($P2391+$U2391,0))</f>
        <v/>
      </c>
      <c r="W2391" s="26">
        <f>IF($G2391="","",IF(N($K2391)=0,0,ROUND($V2391/$K2391,2)))</f>
        <v/>
      </c>
      <c r="X2391" s="17" t="n"/>
      <c r="Y2391" s="17" t="n"/>
      <c r="Z2391" s="17" t="n"/>
      <c r="AA2391" s="17" t="n"/>
      <c r="AB2391" s="17" t="n"/>
      <c r="AC2391" s="24">
        <f>IF($G2391="","",IF($H2391="※编码不在物料档案里","※物料编码不在档案里",IF(N($K2391)&lt;=0,"※入库数量要大于 0",IF(AND($C2391&lt;&gt;"",$C2391&lt;=结账锁),"※日期早于已结账截止日，不能再录",IF(AND($L2391=0,$X2391="正常"),"※没填单价，价格状态请选「待补价」",IF(AND($S2391&gt;0,$R2391&gt;0),"△本批有 "&amp;$S2391&amp;" 行没单价，整批运费先挂账没摊",IF(AND($B2391&lt;&gt;"",COUNTIF($B$4:$B$2503,$B2391)&gt;1),"※入库单号重复","")))))))</f>
        <v/>
      </c>
    </row>
    <row r="2392">
      <c r="A2392" s="24">
        <f>IF($G2392="","",COUNTA($G$4:$G2392))</f>
        <v/>
      </c>
      <c r="B2392" s="17" t="n"/>
      <c r="C2392" s="30" t="n"/>
      <c r="D2392" s="17" t="n"/>
      <c r="E2392" s="17" t="n"/>
      <c r="F2392" s="17" t="n"/>
      <c r="G2392" s="17" t="n"/>
      <c r="H2392" s="24">
        <f>IF($G2392="","",IFERROR(VLOOKUP($G2392,物料档案!$A$4:$P$1203,3,0),"※编码不在物料档案里"))</f>
        <v/>
      </c>
      <c r="I2392" s="24">
        <f>IF($G2392="","",IFERROR(VLOOKUP($G2392,物料档案!$A$4:$P$1203,4,0),"※编码不在物料档案里"))</f>
        <v/>
      </c>
      <c r="J2392" s="24">
        <f>IF($G2392="","",IFERROR(VLOOKUP($G2392,物料档案!$A$4:$P$1203,5,0),"※编码不在物料档案里"))</f>
        <v/>
      </c>
      <c r="K2392" s="23" t="n"/>
      <c r="L2392" s="31" t="n"/>
      <c r="M2392" s="24">
        <f>IF($G2392="","",IF($D2392="A国内","CNY","TZS"))</f>
        <v/>
      </c>
      <c r="N2392" s="28">
        <f>IF($G2392="","",IF($D2392="A国内",汇率,1))</f>
        <v/>
      </c>
      <c r="O2392" s="25">
        <f>IF($G2392="","",ROUND(N($K2392)*N($L2392),2))</f>
        <v/>
      </c>
      <c r="P2392" s="26">
        <f>IF($G2392="","",ROUND($O2392*$N2392,0))</f>
        <v/>
      </c>
      <c r="Q2392" s="26">
        <f>IF($G2392="","",SUMIFS($P$4:$P$2503,$E$4:$E$2503,$E2392,$Z$4:$Z$2503,"正常"))</f>
        <v/>
      </c>
      <c r="R2392" s="26">
        <f>IF($G2392="","",SUMIFS(费用台账!$I$4:$I$503,费用台账!$C$4:$C$503,$E2392,费用台账!$J$4:$J$503,"是",费用台账!$K$4:$K$503,"正常"))</f>
        <v/>
      </c>
      <c r="S2392" s="28">
        <f>IF($G2392="","",COUNTIFS($E$4:$E$2503,$E2392,$Z$4:$Z$2503,"正常",$Y$4:$Y$2503,"待补价"))</f>
        <v/>
      </c>
      <c r="T2392" s="26">
        <f>IF($G2392="","",SUMIFS($P$4:$P$2503,$E$4:$E$2503,$E2392,$Z$4:$Z$2503,"正常",$A$4:$A$2503,"&lt;="&amp;$A2392))</f>
        <v/>
      </c>
      <c r="U2392" s="26">
        <f>IF($G2392="","",IF(OR($S2392&gt;0,$Q2392=0,$R2392=0,$Z2392&lt;&gt;"正常"),0,ROUND($T2392/$Q2392*$R2392,0)-ROUND(($T2392-$P2392)/$Q2392*$R2392,0)))</f>
        <v/>
      </c>
      <c r="V2392" s="26">
        <f>IF($G2392="","",ROUND($P2392+$U2392,0))</f>
        <v/>
      </c>
      <c r="W2392" s="26">
        <f>IF($G2392="","",IF(N($K2392)=0,0,ROUND($V2392/$K2392,2)))</f>
        <v/>
      </c>
      <c r="X2392" s="17" t="n"/>
      <c r="Y2392" s="17" t="n"/>
      <c r="Z2392" s="17" t="n"/>
      <c r="AA2392" s="17" t="n"/>
      <c r="AB2392" s="17" t="n"/>
      <c r="AC2392" s="24">
        <f>IF($G2392="","",IF($H2392="※编码不在物料档案里","※物料编码不在档案里",IF(N($K2392)&lt;=0,"※入库数量要大于 0",IF(AND($C2392&lt;&gt;"",$C2392&lt;=结账锁),"※日期早于已结账截止日，不能再录",IF(AND($L2392=0,$X2392="正常"),"※没填单价，价格状态请选「待补价」",IF(AND($S2392&gt;0,$R2392&gt;0),"△本批有 "&amp;$S2392&amp;" 行没单价，整批运费先挂账没摊",IF(AND($B2392&lt;&gt;"",COUNTIF($B$4:$B$2503,$B2392)&gt;1),"※入库单号重复","")))))))</f>
        <v/>
      </c>
    </row>
    <row r="2393">
      <c r="A2393" s="24">
        <f>IF($G2393="","",COUNTA($G$4:$G2393))</f>
        <v/>
      </c>
      <c r="B2393" s="17" t="n"/>
      <c r="C2393" s="30" t="n"/>
      <c r="D2393" s="17" t="n"/>
      <c r="E2393" s="17" t="n"/>
      <c r="F2393" s="17" t="n"/>
      <c r="G2393" s="17" t="n"/>
      <c r="H2393" s="24">
        <f>IF($G2393="","",IFERROR(VLOOKUP($G2393,物料档案!$A$4:$P$1203,3,0),"※编码不在物料档案里"))</f>
        <v/>
      </c>
      <c r="I2393" s="24">
        <f>IF($G2393="","",IFERROR(VLOOKUP($G2393,物料档案!$A$4:$P$1203,4,0),"※编码不在物料档案里"))</f>
        <v/>
      </c>
      <c r="J2393" s="24">
        <f>IF($G2393="","",IFERROR(VLOOKUP($G2393,物料档案!$A$4:$P$1203,5,0),"※编码不在物料档案里"))</f>
        <v/>
      </c>
      <c r="K2393" s="23" t="n"/>
      <c r="L2393" s="31" t="n"/>
      <c r="M2393" s="24">
        <f>IF($G2393="","",IF($D2393="A国内","CNY","TZS"))</f>
        <v/>
      </c>
      <c r="N2393" s="28">
        <f>IF($G2393="","",IF($D2393="A国内",汇率,1))</f>
        <v/>
      </c>
      <c r="O2393" s="25">
        <f>IF($G2393="","",ROUND(N($K2393)*N($L2393),2))</f>
        <v/>
      </c>
      <c r="P2393" s="26">
        <f>IF($G2393="","",ROUND($O2393*$N2393,0))</f>
        <v/>
      </c>
      <c r="Q2393" s="26">
        <f>IF($G2393="","",SUMIFS($P$4:$P$2503,$E$4:$E$2503,$E2393,$Z$4:$Z$2503,"正常"))</f>
        <v/>
      </c>
      <c r="R2393" s="26">
        <f>IF($G2393="","",SUMIFS(费用台账!$I$4:$I$503,费用台账!$C$4:$C$503,$E2393,费用台账!$J$4:$J$503,"是",费用台账!$K$4:$K$503,"正常"))</f>
        <v/>
      </c>
      <c r="S2393" s="28">
        <f>IF($G2393="","",COUNTIFS($E$4:$E$2503,$E2393,$Z$4:$Z$2503,"正常",$Y$4:$Y$2503,"待补价"))</f>
        <v/>
      </c>
      <c r="T2393" s="26">
        <f>IF($G2393="","",SUMIFS($P$4:$P$2503,$E$4:$E$2503,$E2393,$Z$4:$Z$2503,"正常",$A$4:$A$2503,"&lt;="&amp;$A2393))</f>
        <v/>
      </c>
      <c r="U2393" s="26">
        <f>IF($G2393="","",IF(OR($S2393&gt;0,$Q2393=0,$R2393=0,$Z2393&lt;&gt;"正常"),0,ROUND($T2393/$Q2393*$R2393,0)-ROUND(($T2393-$P2393)/$Q2393*$R2393,0)))</f>
        <v/>
      </c>
      <c r="V2393" s="26">
        <f>IF($G2393="","",ROUND($P2393+$U2393,0))</f>
        <v/>
      </c>
      <c r="W2393" s="26">
        <f>IF($G2393="","",IF(N($K2393)=0,0,ROUND($V2393/$K2393,2)))</f>
        <v/>
      </c>
      <c r="X2393" s="17" t="n"/>
      <c r="Y2393" s="17" t="n"/>
      <c r="Z2393" s="17" t="n"/>
      <c r="AA2393" s="17" t="n"/>
      <c r="AB2393" s="17" t="n"/>
      <c r="AC2393" s="24">
        <f>IF($G2393="","",IF($H2393="※编码不在物料档案里","※物料编码不在档案里",IF(N($K2393)&lt;=0,"※入库数量要大于 0",IF(AND($C2393&lt;&gt;"",$C2393&lt;=结账锁),"※日期早于已结账截止日，不能再录",IF(AND($L2393=0,$X2393="正常"),"※没填单价，价格状态请选「待补价」",IF(AND($S2393&gt;0,$R2393&gt;0),"△本批有 "&amp;$S2393&amp;" 行没单价，整批运费先挂账没摊",IF(AND($B2393&lt;&gt;"",COUNTIF($B$4:$B$2503,$B2393)&gt;1),"※入库单号重复","")))))))</f>
        <v/>
      </c>
    </row>
    <row r="2394">
      <c r="A2394" s="24">
        <f>IF($G2394="","",COUNTA($G$4:$G2394))</f>
        <v/>
      </c>
      <c r="B2394" s="17" t="n"/>
      <c r="C2394" s="30" t="n"/>
      <c r="D2394" s="17" t="n"/>
      <c r="E2394" s="17" t="n"/>
      <c r="F2394" s="17" t="n"/>
      <c r="G2394" s="17" t="n"/>
      <c r="H2394" s="24">
        <f>IF($G2394="","",IFERROR(VLOOKUP($G2394,物料档案!$A$4:$P$1203,3,0),"※编码不在物料档案里"))</f>
        <v/>
      </c>
      <c r="I2394" s="24">
        <f>IF($G2394="","",IFERROR(VLOOKUP($G2394,物料档案!$A$4:$P$1203,4,0),"※编码不在物料档案里"))</f>
        <v/>
      </c>
      <c r="J2394" s="24">
        <f>IF($G2394="","",IFERROR(VLOOKUP($G2394,物料档案!$A$4:$P$1203,5,0),"※编码不在物料档案里"))</f>
        <v/>
      </c>
      <c r="K2394" s="23" t="n"/>
      <c r="L2394" s="31" t="n"/>
      <c r="M2394" s="24">
        <f>IF($G2394="","",IF($D2394="A国内","CNY","TZS"))</f>
        <v/>
      </c>
      <c r="N2394" s="28">
        <f>IF($G2394="","",IF($D2394="A国内",汇率,1))</f>
        <v/>
      </c>
      <c r="O2394" s="25">
        <f>IF($G2394="","",ROUND(N($K2394)*N($L2394),2))</f>
        <v/>
      </c>
      <c r="P2394" s="26">
        <f>IF($G2394="","",ROUND($O2394*$N2394,0))</f>
        <v/>
      </c>
      <c r="Q2394" s="26">
        <f>IF($G2394="","",SUMIFS($P$4:$P$2503,$E$4:$E$2503,$E2394,$Z$4:$Z$2503,"正常"))</f>
        <v/>
      </c>
      <c r="R2394" s="26">
        <f>IF($G2394="","",SUMIFS(费用台账!$I$4:$I$503,费用台账!$C$4:$C$503,$E2394,费用台账!$J$4:$J$503,"是",费用台账!$K$4:$K$503,"正常"))</f>
        <v/>
      </c>
      <c r="S2394" s="28">
        <f>IF($G2394="","",COUNTIFS($E$4:$E$2503,$E2394,$Z$4:$Z$2503,"正常",$Y$4:$Y$2503,"待补价"))</f>
        <v/>
      </c>
      <c r="T2394" s="26">
        <f>IF($G2394="","",SUMIFS($P$4:$P$2503,$E$4:$E$2503,$E2394,$Z$4:$Z$2503,"正常",$A$4:$A$2503,"&lt;="&amp;$A2394))</f>
        <v/>
      </c>
      <c r="U2394" s="26">
        <f>IF($G2394="","",IF(OR($S2394&gt;0,$Q2394=0,$R2394=0,$Z2394&lt;&gt;"正常"),0,ROUND($T2394/$Q2394*$R2394,0)-ROUND(($T2394-$P2394)/$Q2394*$R2394,0)))</f>
        <v/>
      </c>
      <c r="V2394" s="26">
        <f>IF($G2394="","",ROUND($P2394+$U2394,0))</f>
        <v/>
      </c>
      <c r="W2394" s="26">
        <f>IF($G2394="","",IF(N($K2394)=0,0,ROUND($V2394/$K2394,2)))</f>
        <v/>
      </c>
      <c r="X2394" s="17" t="n"/>
      <c r="Y2394" s="17" t="n"/>
      <c r="Z2394" s="17" t="n"/>
      <c r="AA2394" s="17" t="n"/>
      <c r="AB2394" s="17" t="n"/>
      <c r="AC2394" s="24">
        <f>IF($G2394="","",IF($H2394="※编码不在物料档案里","※物料编码不在档案里",IF(N($K2394)&lt;=0,"※入库数量要大于 0",IF(AND($C2394&lt;&gt;"",$C2394&lt;=结账锁),"※日期早于已结账截止日，不能再录",IF(AND($L2394=0,$X2394="正常"),"※没填单价，价格状态请选「待补价」",IF(AND($S2394&gt;0,$R2394&gt;0),"△本批有 "&amp;$S2394&amp;" 行没单价，整批运费先挂账没摊",IF(AND($B2394&lt;&gt;"",COUNTIF($B$4:$B$2503,$B2394)&gt;1),"※入库单号重复","")))))))</f>
        <v/>
      </c>
    </row>
    <row r="2395">
      <c r="A2395" s="24">
        <f>IF($G2395="","",COUNTA($G$4:$G2395))</f>
        <v/>
      </c>
      <c r="B2395" s="17" t="n"/>
      <c r="C2395" s="30" t="n"/>
      <c r="D2395" s="17" t="n"/>
      <c r="E2395" s="17" t="n"/>
      <c r="F2395" s="17" t="n"/>
      <c r="G2395" s="17" t="n"/>
      <c r="H2395" s="24">
        <f>IF($G2395="","",IFERROR(VLOOKUP($G2395,物料档案!$A$4:$P$1203,3,0),"※编码不在物料档案里"))</f>
        <v/>
      </c>
      <c r="I2395" s="24">
        <f>IF($G2395="","",IFERROR(VLOOKUP($G2395,物料档案!$A$4:$P$1203,4,0),"※编码不在物料档案里"))</f>
        <v/>
      </c>
      <c r="J2395" s="24">
        <f>IF($G2395="","",IFERROR(VLOOKUP($G2395,物料档案!$A$4:$P$1203,5,0),"※编码不在物料档案里"))</f>
        <v/>
      </c>
      <c r="K2395" s="23" t="n"/>
      <c r="L2395" s="31" t="n"/>
      <c r="M2395" s="24">
        <f>IF($G2395="","",IF($D2395="A国内","CNY","TZS"))</f>
        <v/>
      </c>
      <c r="N2395" s="28">
        <f>IF($G2395="","",IF($D2395="A国内",汇率,1))</f>
        <v/>
      </c>
      <c r="O2395" s="25">
        <f>IF($G2395="","",ROUND(N($K2395)*N($L2395),2))</f>
        <v/>
      </c>
      <c r="P2395" s="26">
        <f>IF($G2395="","",ROUND($O2395*$N2395,0))</f>
        <v/>
      </c>
      <c r="Q2395" s="26">
        <f>IF($G2395="","",SUMIFS($P$4:$P$2503,$E$4:$E$2503,$E2395,$Z$4:$Z$2503,"正常"))</f>
        <v/>
      </c>
      <c r="R2395" s="26">
        <f>IF($G2395="","",SUMIFS(费用台账!$I$4:$I$503,费用台账!$C$4:$C$503,$E2395,费用台账!$J$4:$J$503,"是",费用台账!$K$4:$K$503,"正常"))</f>
        <v/>
      </c>
      <c r="S2395" s="28">
        <f>IF($G2395="","",COUNTIFS($E$4:$E$2503,$E2395,$Z$4:$Z$2503,"正常",$Y$4:$Y$2503,"待补价"))</f>
        <v/>
      </c>
      <c r="T2395" s="26">
        <f>IF($G2395="","",SUMIFS($P$4:$P$2503,$E$4:$E$2503,$E2395,$Z$4:$Z$2503,"正常",$A$4:$A$2503,"&lt;="&amp;$A2395))</f>
        <v/>
      </c>
      <c r="U2395" s="26">
        <f>IF($G2395="","",IF(OR($S2395&gt;0,$Q2395=0,$R2395=0,$Z2395&lt;&gt;"正常"),0,ROUND($T2395/$Q2395*$R2395,0)-ROUND(($T2395-$P2395)/$Q2395*$R2395,0)))</f>
        <v/>
      </c>
      <c r="V2395" s="26">
        <f>IF($G2395="","",ROUND($P2395+$U2395,0))</f>
        <v/>
      </c>
      <c r="W2395" s="26">
        <f>IF($G2395="","",IF(N($K2395)=0,0,ROUND($V2395/$K2395,2)))</f>
        <v/>
      </c>
      <c r="X2395" s="17" t="n"/>
      <c r="Y2395" s="17" t="n"/>
      <c r="Z2395" s="17" t="n"/>
      <c r="AA2395" s="17" t="n"/>
      <c r="AB2395" s="17" t="n"/>
      <c r="AC2395" s="24">
        <f>IF($G2395="","",IF($H2395="※编码不在物料档案里","※物料编码不在档案里",IF(N($K2395)&lt;=0,"※入库数量要大于 0",IF(AND($C2395&lt;&gt;"",$C2395&lt;=结账锁),"※日期早于已结账截止日，不能再录",IF(AND($L2395=0,$X2395="正常"),"※没填单价，价格状态请选「待补价」",IF(AND($S2395&gt;0,$R2395&gt;0),"△本批有 "&amp;$S2395&amp;" 行没单价，整批运费先挂账没摊",IF(AND($B2395&lt;&gt;"",COUNTIF($B$4:$B$2503,$B2395)&gt;1),"※入库单号重复","")))))))</f>
        <v/>
      </c>
    </row>
    <row r="2396">
      <c r="A2396" s="24">
        <f>IF($G2396="","",COUNTA($G$4:$G2396))</f>
        <v/>
      </c>
      <c r="B2396" s="17" t="n"/>
      <c r="C2396" s="30" t="n"/>
      <c r="D2396" s="17" t="n"/>
      <c r="E2396" s="17" t="n"/>
      <c r="F2396" s="17" t="n"/>
      <c r="G2396" s="17" t="n"/>
      <c r="H2396" s="24">
        <f>IF($G2396="","",IFERROR(VLOOKUP($G2396,物料档案!$A$4:$P$1203,3,0),"※编码不在物料档案里"))</f>
        <v/>
      </c>
      <c r="I2396" s="24">
        <f>IF($G2396="","",IFERROR(VLOOKUP($G2396,物料档案!$A$4:$P$1203,4,0),"※编码不在物料档案里"))</f>
        <v/>
      </c>
      <c r="J2396" s="24">
        <f>IF($G2396="","",IFERROR(VLOOKUP($G2396,物料档案!$A$4:$P$1203,5,0),"※编码不在物料档案里"))</f>
        <v/>
      </c>
      <c r="K2396" s="23" t="n"/>
      <c r="L2396" s="31" t="n"/>
      <c r="M2396" s="24">
        <f>IF($G2396="","",IF($D2396="A国内","CNY","TZS"))</f>
        <v/>
      </c>
      <c r="N2396" s="28">
        <f>IF($G2396="","",IF($D2396="A国内",汇率,1))</f>
        <v/>
      </c>
      <c r="O2396" s="25">
        <f>IF($G2396="","",ROUND(N($K2396)*N($L2396),2))</f>
        <v/>
      </c>
      <c r="P2396" s="26">
        <f>IF($G2396="","",ROUND($O2396*$N2396,0))</f>
        <v/>
      </c>
      <c r="Q2396" s="26">
        <f>IF($G2396="","",SUMIFS($P$4:$P$2503,$E$4:$E$2503,$E2396,$Z$4:$Z$2503,"正常"))</f>
        <v/>
      </c>
      <c r="R2396" s="26">
        <f>IF($G2396="","",SUMIFS(费用台账!$I$4:$I$503,费用台账!$C$4:$C$503,$E2396,费用台账!$J$4:$J$503,"是",费用台账!$K$4:$K$503,"正常"))</f>
        <v/>
      </c>
      <c r="S2396" s="28">
        <f>IF($G2396="","",COUNTIFS($E$4:$E$2503,$E2396,$Z$4:$Z$2503,"正常",$Y$4:$Y$2503,"待补价"))</f>
        <v/>
      </c>
      <c r="T2396" s="26">
        <f>IF($G2396="","",SUMIFS($P$4:$P$2503,$E$4:$E$2503,$E2396,$Z$4:$Z$2503,"正常",$A$4:$A$2503,"&lt;="&amp;$A2396))</f>
        <v/>
      </c>
      <c r="U2396" s="26">
        <f>IF($G2396="","",IF(OR($S2396&gt;0,$Q2396=0,$R2396=0,$Z2396&lt;&gt;"正常"),0,ROUND($T2396/$Q2396*$R2396,0)-ROUND(($T2396-$P2396)/$Q2396*$R2396,0)))</f>
        <v/>
      </c>
      <c r="V2396" s="26">
        <f>IF($G2396="","",ROUND($P2396+$U2396,0))</f>
        <v/>
      </c>
      <c r="W2396" s="26">
        <f>IF($G2396="","",IF(N($K2396)=0,0,ROUND($V2396/$K2396,2)))</f>
        <v/>
      </c>
      <c r="X2396" s="17" t="n"/>
      <c r="Y2396" s="17" t="n"/>
      <c r="Z2396" s="17" t="n"/>
      <c r="AA2396" s="17" t="n"/>
      <c r="AB2396" s="17" t="n"/>
      <c r="AC2396" s="24">
        <f>IF($G2396="","",IF($H2396="※编码不在物料档案里","※物料编码不在档案里",IF(N($K2396)&lt;=0,"※入库数量要大于 0",IF(AND($C2396&lt;&gt;"",$C2396&lt;=结账锁),"※日期早于已结账截止日，不能再录",IF(AND($L2396=0,$X2396="正常"),"※没填单价，价格状态请选「待补价」",IF(AND($S2396&gt;0,$R2396&gt;0),"△本批有 "&amp;$S2396&amp;" 行没单价，整批运费先挂账没摊",IF(AND($B2396&lt;&gt;"",COUNTIF($B$4:$B$2503,$B2396)&gt;1),"※入库单号重复","")))))))</f>
        <v/>
      </c>
    </row>
    <row r="2397">
      <c r="A2397" s="24">
        <f>IF($G2397="","",COUNTA($G$4:$G2397))</f>
        <v/>
      </c>
      <c r="B2397" s="17" t="n"/>
      <c r="C2397" s="30" t="n"/>
      <c r="D2397" s="17" t="n"/>
      <c r="E2397" s="17" t="n"/>
      <c r="F2397" s="17" t="n"/>
      <c r="G2397" s="17" t="n"/>
      <c r="H2397" s="24">
        <f>IF($G2397="","",IFERROR(VLOOKUP($G2397,物料档案!$A$4:$P$1203,3,0),"※编码不在物料档案里"))</f>
        <v/>
      </c>
      <c r="I2397" s="24">
        <f>IF($G2397="","",IFERROR(VLOOKUP($G2397,物料档案!$A$4:$P$1203,4,0),"※编码不在物料档案里"))</f>
        <v/>
      </c>
      <c r="J2397" s="24">
        <f>IF($G2397="","",IFERROR(VLOOKUP($G2397,物料档案!$A$4:$P$1203,5,0),"※编码不在物料档案里"))</f>
        <v/>
      </c>
      <c r="K2397" s="23" t="n"/>
      <c r="L2397" s="31" t="n"/>
      <c r="M2397" s="24">
        <f>IF($G2397="","",IF($D2397="A国内","CNY","TZS"))</f>
        <v/>
      </c>
      <c r="N2397" s="28">
        <f>IF($G2397="","",IF($D2397="A国内",汇率,1))</f>
        <v/>
      </c>
      <c r="O2397" s="25">
        <f>IF($G2397="","",ROUND(N($K2397)*N($L2397),2))</f>
        <v/>
      </c>
      <c r="P2397" s="26">
        <f>IF($G2397="","",ROUND($O2397*$N2397,0))</f>
        <v/>
      </c>
      <c r="Q2397" s="26">
        <f>IF($G2397="","",SUMIFS($P$4:$P$2503,$E$4:$E$2503,$E2397,$Z$4:$Z$2503,"正常"))</f>
        <v/>
      </c>
      <c r="R2397" s="26">
        <f>IF($G2397="","",SUMIFS(费用台账!$I$4:$I$503,费用台账!$C$4:$C$503,$E2397,费用台账!$J$4:$J$503,"是",费用台账!$K$4:$K$503,"正常"))</f>
        <v/>
      </c>
      <c r="S2397" s="28">
        <f>IF($G2397="","",COUNTIFS($E$4:$E$2503,$E2397,$Z$4:$Z$2503,"正常",$Y$4:$Y$2503,"待补价"))</f>
        <v/>
      </c>
      <c r="T2397" s="26">
        <f>IF($G2397="","",SUMIFS($P$4:$P$2503,$E$4:$E$2503,$E2397,$Z$4:$Z$2503,"正常",$A$4:$A$2503,"&lt;="&amp;$A2397))</f>
        <v/>
      </c>
      <c r="U2397" s="26">
        <f>IF($G2397="","",IF(OR($S2397&gt;0,$Q2397=0,$R2397=0,$Z2397&lt;&gt;"正常"),0,ROUND($T2397/$Q2397*$R2397,0)-ROUND(($T2397-$P2397)/$Q2397*$R2397,0)))</f>
        <v/>
      </c>
      <c r="V2397" s="26">
        <f>IF($G2397="","",ROUND($P2397+$U2397,0))</f>
        <v/>
      </c>
      <c r="W2397" s="26">
        <f>IF($G2397="","",IF(N($K2397)=0,0,ROUND($V2397/$K2397,2)))</f>
        <v/>
      </c>
      <c r="X2397" s="17" t="n"/>
      <c r="Y2397" s="17" t="n"/>
      <c r="Z2397" s="17" t="n"/>
      <c r="AA2397" s="17" t="n"/>
      <c r="AB2397" s="17" t="n"/>
      <c r="AC2397" s="24">
        <f>IF($G2397="","",IF($H2397="※编码不在物料档案里","※物料编码不在档案里",IF(N($K2397)&lt;=0,"※入库数量要大于 0",IF(AND($C2397&lt;&gt;"",$C2397&lt;=结账锁),"※日期早于已结账截止日，不能再录",IF(AND($L2397=0,$X2397="正常"),"※没填单价，价格状态请选「待补价」",IF(AND($S2397&gt;0,$R2397&gt;0),"△本批有 "&amp;$S2397&amp;" 行没单价，整批运费先挂账没摊",IF(AND($B2397&lt;&gt;"",COUNTIF($B$4:$B$2503,$B2397)&gt;1),"※入库单号重复","")))))))</f>
        <v/>
      </c>
    </row>
    <row r="2398">
      <c r="A2398" s="24">
        <f>IF($G2398="","",COUNTA($G$4:$G2398))</f>
        <v/>
      </c>
      <c r="B2398" s="17" t="n"/>
      <c r="C2398" s="30" t="n"/>
      <c r="D2398" s="17" t="n"/>
      <c r="E2398" s="17" t="n"/>
      <c r="F2398" s="17" t="n"/>
      <c r="G2398" s="17" t="n"/>
      <c r="H2398" s="24">
        <f>IF($G2398="","",IFERROR(VLOOKUP($G2398,物料档案!$A$4:$P$1203,3,0),"※编码不在物料档案里"))</f>
        <v/>
      </c>
      <c r="I2398" s="24">
        <f>IF($G2398="","",IFERROR(VLOOKUP($G2398,物料档案!$A$4:$P$1203,4,0),"※编码不在物料档案里"))</f>
        <v/>
      </c>
      <c r="J2398" s="24">
        <f>IF($G2398="","",IFERROR(VLOOKUP($G2398,物料档案!$A$4:$P$1203,5,0),"※编码不在物料档案里"))</f>
        <v/>
      </c>
      <c r="K2398" s="23" t="n"/>
      <c r="L2398" s="31" t="n"/>
      <c r="M2398" s="24">
        <f>IF($G2398="","",IF($D2398="A国内","CNY","TZS"))</f>
        <v/>
      </c>
      <c r="N2398" s="28">
        <f>IF($G2398="","",IF($D2398="A国内",汇率,1))</f>
        <v/>
      </c>
      <c r="O2398" s="25">
        <f>IF($G2398="","",ROUND(N($K2398)*N($L2398),2))</f>
        <v/>
      </c>
      <c r="P2398" s="26">
        <f>IF($G2398="","",ROUND($O2398*$N2398,0))</f>
        <v/>
      </c>
      <c r="Q2398" s="26">
        <f>IF($G2398="","",SUMIFS($P$4:$P$2503,$E$4:$E$2503,$E2398,$Z$4:$Z$2503,"正常"))</f>
        <v/>
      </c>
      <c r="R2398" s="26">
        <f>IF($G2398="","",SUMIFS(费用台账!$I$4:$I$503,费用台账!$C$4:$C$503,$E2398,费用台账!$J$4:$J$503,"是",费用台账!$K$4:$K$503,"正常"))</f>
        <v/>
      </c>
      <c r="S2398" s="28">
        <f>IF($G2398="","",COUNTIFS($E$4:$E$2503,$E2398,$Z$4:$Z$2503,"正常",$Y$4:$Y$2503,"待补价"))</f>
        <v/>
      </c>
      <c r="T2398" s="26">
        <f>IF($G2398="","",SUMIFS($P$4:$P$2503,$E$4:$E$2503,$E2398,$Z$4:$Z$2503,"正常",$A$4:$A$2503,"&lt;="&amp;$A2398))</f>
        <v/>
      </c>
      <c r="U2398" s="26">
        <f>IF($G2398="","",IF(OR($S2398&gt;0,$Q2398=0,$R2398=0,$Z2398&lt;&gt;"正常"),0,ROUND($T2398/$Q2398*$R2398,0)-ROUND(($T2398-$P2398)/$Q2398*$R2398,0)))</f>
        <v/>
      </c>
      <c r="V2398" s="26">
        <f>IF($G2398="","",ROUND($P2398+$U2398,0))</f>
        <v/>
      </c>
      <c r="W2398" s="26">
        <f>IF($G2398="","",IF(N($K2398)=0,0,ROUND($V2398/$K2398,2)))</f>
        <v/>
      </c>
      <c r="X2398" s="17" t="n"/>
      <c r="Y2398" s="17" t="n"/>
      <c r="Z2398" s="17" t="n"/>
      <c r="AA2398" s="17" t="n"/>
      <c r="AB2398" s="17" t="n"/>
      <c r="AC2398" s="24">
        <f>IF($G2398="","",IF($H2398="※编码不在物料档案里","※物料编码不在档案里",IF(N($K2398)&lt;=0,"※入库数量要大于 0",IF(AND($C2398&lt;&gt;"",$C2398&lt;=结账锁),"※日期早于已结账截止日，不能再录",IF(AND($L2398=0,$X2398="正常"),"※没填单价，价格状态请选「待补价」",IF(AND($S2398&gt;0,$R2398&gt;0),"△本批有 "&amp;$S2398&amp;" 行没单价，整批运费先挂账没摊",IF(AND($B2398&lt;&gt;"",COUNTIF($B$4:$B$2503,$B2398)&gt;1),"※入库单号重复","")))))))</f>
        <v/>
      </c>
    </row>
    <row r="2399">
      <c r="A2399" s="24">
        <f>IF($G2399="","",COUNTA($G$4:$G2399))</f>
        <v/>
      </c>
      <c r="B2399" s="17" t="n"/>
      <c r="C2399" s="30" t="n"/>
      <c r="D2399" s="17" t="n"/>
      <c r="E2399" s="17" t="n"/>
      <c r="F2399" s="17" t="n"/>
      <c r="G2399" s="17" t="n"/>
      <c r="H2399" s="24">
        <f>IF($G2399="","",IFERROR(VLOOKUP($G2399,物料档案!$A$4:$P$1203,3,0),"※编码不在物料档案里"))</f>
        <v/>
      </c>
      <c r="I2399" s="24">
        <f>IF($G2399="","",IFERROR(VLOOKUP($G2399,物料档案!$A$4:$P$1203,4,0),"※编码不在物料档案里"))</f>
        <v/>
      </c>
      <c r="J2399" s="24">
        <f>IF($G2399="","",IFERROR(VLOOKUP($G2399,物料档案!$A$4:$P$1203,5,0),"※编码不在物料档案里"))</f>
        <v/>
      </c>
      <c r="K2399" s="23" t="n"/>
      <c r="L2399" s="31" t="n"/>
      <c r="M2399" s="24">
        <f>IF($G2399="","",IF($D2399="A国内","CNY","TZS"))</f>
        <v/>
      </c>
      <c r="N2399" s="28">
        <f>IF($G2399="","",IF($D2399="A国内",汇率,1))</f>
        <v/>
      </c>
      <c r="O2399" s="25">
        <f>IF($G2399="","",ROUND(N($K2399)*N($L2399),2))</f>
        <v/>
      </c>
      <c r="P2399" s="26">
        <f>IF($G2399="","",ROUND($O2399*$N2399,0))</f>
        <v/>
      </c>
      <c r="Q2399" s="26">
        <f>IF($G2399="","",SUMIFS($P$4:$P$2503,$E$4:$E$2503,$E2399,$Z$4:$Z$2503,"正常"))</f>
        <v/>
      </c>
      <c r="R2399" s="26">
        <f>IF($G2399="","",SUMIFS(费用台账!$I$4:$I$503,费用台账!$C$4:$C$503,$E2399,费用台账!$J$4:$J$503,"是",费用台账!$K$4:$K$503,"正常"))</f>
        <v/>
      </c>
      <c r="S2399" s="28">
        <f>IF($G2399="","",COUNTIFS($E$4:$E$2503,$E2399,$Z$4:$Z$2503,"正常",$Y$4:$Y$2503,"待补价"))</f>
        <v/>
      </c>
      <c r="T2399" s="26">
        <f>IF($G2399="","",SUMIFS($P$4:$P$2503,$E$4:$E$2503,$E2399,$Z$4:$Z$2503,"正常",$A$4:$A$2503,"&lt;="&amp;$A2399))</f>
        <v/>
      </c>
      <c r="U2399" s="26">
        <f>IF($G2399="","",IF(OR($S2399&gt;0,$Q2399=0,$R2399=0,$Z2399&lt;&gt;"正常"),0,ROUND($T2399/$Q2399*$R2399,0)-ROUND(($T2399-$P2399)/$Q2399*$R2399,0)))</f>
        <v/>
      </c>
      <c r="V2399" s="26">
        <f>IF($G2399="","",ROUND($P2399+$U2399,0))</f>
        <v/>
      </c>
      <c r="W2399" s="26">
        <f>IF($G2399="","",IF(N($K2399)=0,0,ROUND($V2399/$K2399,2)))</f>
        <v/>
      </c>
      <c r="X2399" s="17" t="n"/>
      <c r="Y2399" s="17" t="n"/>
      <c r="Z2399" s="17" t="n"/>
      <c r="AA2399" s="17" t="n"/>
      <c r="AB2399" s="17" t="n"/>
      <c r="AC2399" s="24">
        <f>IF($G2399="","",IF($H2399="※编码不在物料档案里","※物料编码不在档案里",IF(N($K2399)&lt;=0,"※入库数量要大于 0",IF(AND($C2399&lt;&gt;"",$C2399&lt;=结账锁),"※日期早于已结账截止日，不能再录",IF(AND($L2399=0,$X2399="正常"),"※没填单价，价格状态请选「待补价」",IF(AND($S2399&gt;0,$R2399&gt;0),"△本批有 "&amp;$S2399&amp;" 行没单价，整批运费先挂账没摊",IF(AND($B2399&lt;&gt;"",COUNTIF($B$4:$B$2503,$B2399)&gt;1),"※入库单号重复","")))))))</f>
        <v/>
      </c>
    </row>
    <row r="2400">
      <c r="A2400" s="24">
        <f>IF($G2400="","",COUNTA($G$4:$G2400))</f>
        <v/>
      </c>
      <c r="B2400" s="17" t="n"/>
      <c r="C2400" s="30" t="n"/>
      <c r="D2400" s="17" t="n"/>
      <c r="E2400" s="17" t="n"/>
      <c r="F2400" s="17" t="n"/>
      <c r="G2400" s="17" t="n"/>
      <c r="H2400" s="24">
        <f>IF($G2400="","",IFERROR(VLOOKUP($G2400,物料档案!$A$4:$P$1203,3,0),"※编码不在物料档案里"))</f>
        <v/>
      </c>
      <c r="I2400" s="24">
        <f>IF($G2400="","",IFERROR(VLOOKUP($G2400,物料档案!$A$4:$P$1203,4,0),"※编码不在物料档案里"))</f>
        <v/>
      </c>
      <c r="J2400" s="24">
        <f>IF($G2400="","",IFERROR(VLOOKUP($G2400,物料档案!$A$4:$P$1203,5,0),"※编码不在物料档案里"))</f>
        <v/>
      </c>
      <c r="K2400" s="23" t="n"/>
      <c r="L2400" s="31" t="n"/>
      <c r="M2400" s="24">
        <f>IF($G2400="","",IF($D2400="A国内","CNY","TZS"))</f>
        <v/>
      </c>
      <c r="N2400" s="28">
        <f>IF($G2400="","",IF($D2400="A国内",汇率,1))</f>
        <v/>
      </c>
      <c r="O2400" s="25">
        <f>IF($G2400="","",ROUND(N($K2400)*N($L2400),2))</f>
        <v/>
      </c>
      <c r="P2400" s="26">
        <f>IF($G2400="","",ROUND($O2400*$N2400,0))</f>
        <v/>
      </c>
      <c r="Q2400" s="26">
        <f>IF($G2400="","",SUMIFS($P$4:$P$2503,$E$4:$E$2503,$E2400,$Z$4:$Z$2503,"正常"))</f>
        <v/>
      </c>
      <c r="R2400" s="26">
        <f>IF($G2400="","",SUMIFS(费用台账!$I$4:$I$503,费用台账!$C$4:$C$503,$E2400,费用台账!$J$4:$J$503,"是",费用台账!$K$4:$K$503,"正常"))</f>
        <v/>
      </c>
      <c r="S2400" s="28">
        <f>IF($G2400="","",COUNTIFS($E$4:$E$2503,$E2400,$Z$4:$Z$2503,"正常",$Y$4:$Y$2503,"待补价"))</f>
        <v/>
      </c>
      <c r="T2400" s="26">
        <f>IF($G2400="","",SUMIFS($P$4:$P$2503,$E$4:$E$2503,$E2400,$Z$4:$Z$2503,"正常",$A$4:$A$2503,"&lt;="&amp;$A2400))</f>
        <v/>
      </c>
      <c r="U2400" s="26">
        <f>IF($G2400="","",IF(OR($S2400&gt;0,$Q2400=0,$R2400=0,$Z2400&lt;&gt;"正常"),0,ROUND($T2400/$Q2400*$R2400,0)-ROUND(($T2400-$P2400)/$Q2400*$R2400,0)))</f>
        <v/>
      </c>
      <c r="V2400" s="26">
        <f>IF($G2400="","",ROUND($P2400+$U2400,0))</f>
        <v/>
      </c>
      <c r="W2400" s="26">
        <f>IF($G2400="","",IF(N($K2400)=0,0,ROUND($V2400/$K2400,2)))</f>
        <v/>
      </c>
      <c r="X2400" s="17" t="n"/>
      <c r="Y2400" s="17" t="n"/>
      <c r="Z2400" s="17" t="n"/>
      <c r="AA2400" s="17" t="n"/>
      <c r="AB2400" s="17" t="n"/>
      <c r="AC2400" s="24">
        <f>IF($G2400="","",IF($H2400="※编码不在物料档案里","※物料编码不在档案里",IF(N($K2400)&lt;=0,"※入库数量要大于 0",IF(AND($C2400&lt;&gt;"",$C2400&lt;=结账锁),"※日期早于已结账截止日，不能再录",IF(AND($L2400=0,$X2400="正常"),"※没填单价，价格状态请选「待补价」",IF(AND($S2400&gt;0,$R2400&gt;0),"△本批有 "&amp;$S2400&amp;" 行没单价，整批运费先挂账没摊",IF(AND($B2400&lt;&gt;"",COUNTIF($B$4:$B$2503,$B2400)&gt;1),"※入库单号重复","")))))))</f>
        <v/>
      </c>
    </row>
    <row r="2401">
      <c r="A2401" s="24">
        <f>IF($G2401="","",COUNTA($G$4:$G2401))</f>
        <v/>
      </c>
      <c r="B2401" s="17" t="n"/>
      <c r="C2401" s="30" t="n"/>
      <c r="D2401" s="17" t="n"/>
      <c r="E2401" s="17" t="n"/>
      <c r="F2401" s="17" t="n"/>
      <c r="G2401" s="17" t="n"/>
      <c r="H2401" s="24">
        <f>IF($G2401="","",IFERROR(VLOOKUP($G2401,物料档案!$A$4:$P$1203,3,0),"※编码不在物料档案里"))</f>
        <v/>
      </c>
      <c r="I2401" s="24">
        <f>IF($G2401="","",IFERROR(VLOOKUP($G2401,物料档案!$A$4:$P$1203,4,0),"※编码不在物料档案里"))</f>
        <v/>
      </c>
      <c r="J2401" s="24">
        <f>IF($G2401="","",IFERROR(VLOOKUP($G2401,物料档案!$A$4:$P$1203,5,0),"※编码不在物料档案里"))</f>
        <v/>
      </c>
      <c r="K2401" s="23" t="n"/>
      <c r="L2401" s="31" t="n"/>
      <c r="M2401" s="24">
        <f>IF($G2401="","",IF($D2401="A国内","CNY","TZS"))</f>
        <v/>
      </c>
      <c r="N2401" s="28">
        <f>IF($G2401="","",IF($D2401="A国内",汇率,1))</f>
        <v/>
      </c>
      <c r="O2401" s="25">
        <f>IF($G2401="","",ROUND(N($K2401)*N($L2401),2))</f>
        <v/>
      </c>
      <c r="P2401" s="26">
        <f>IF($G2401="","",ROUND($O2401*$N2401,0))</f>
        <v/>
      </c>
      <c r="Q2401" s="26">
        <f>IF($G2401="","",SUMIFS($P$4:$P$2503,$E$4:$E$2503,$E2401,$Z$4:$Z$2503,"正常"))</f>
        <v/>
      </c>
      <c r="R2401" s="26">
        <f>IF($G2401="","",SUMIFS(费用台账!$I$4:$I$503,费用台账!$C$4:$C$503,$E2401,费用台账!$J$4:$J$503,"是",费用台账!$K$4:$K$503,"正常"))</f>
        <v/>
      </c>
      <c r="S2401" s="28">
        <f>IF($G2401="","",COUNTIFS($E$4:$E$2503,$E2401,$Z$4:$Z$2503,"正常",$Y$4:$Y$2503,"待补价"))</f>
        <v/>
      </c>
      <c r="T2401" s="26">
        <f>IF($G2401="","",SUMIFS($P$4:$P$2503,$E$4:$E$2503,$E2401,$Z$4:$Z$2503,"正常",$A$4:$A$2503,"&lt;="&amp;$A2401))</f>
        <v/>
      </c>
      <c r="U2401" s="26">
        <f>IF($G2401="","",IF(OR($S2401&gt;0,$Q2401=0,$R2401=0,$Z2401&lt;&gt;"正常"),0,ROUND($T2401/$Q2401*$R2401,0)-ROUND(($T2401-$P2401)/$Q2401*$R2401,0)))</f>
        <v/>
      </c>
      <c r="V2401" s="26">
        <f>IF($G2401="","",ROUND($P2401+$U2401,0))</f>
        <v/>
      </c>
      <c r="W2401" s="26">
        <f>IF($G2401="","",IF(N($K2401)=0,0,ROUND($V2401/$K2401,2)))</f>
        <v/>
      </c>
      <c r="X2401" s="17" t="n"/>
      <c r="Y2401" s="17" t="n"/>
      <c r="Z2401" s="17" t="n"/>
      <c r="AA2401" s="17" t="n"/>
      <c r="AB2401" s="17" t="n"/>
      <c r="AC2401" s="24">
        <f>IF($G2401="","",IF($H2401="※编码不在物料档案里","※物料编码不在档案里",IF(N($K2401)&lt;=0,"※入库数量要大于 0",IF(AND($C2401&lt;&gt;"",$C2401&lt;=结账锁),"※日期早于已结账截止日，不能再录",IF(AND($L2401=0,$X2401="正常"),"※没填单价，价格状态请选「待补价」",IF(AND($S2401&gt;0,$R2401&gt;0),"△本批有 "&amp;$S2401&amp;" 行没单价，整批运费先挂账没摊",IF(AND($B2401&lt;&gt;"",COUNTIF($B$4:$B$2503,$B2401)&gt;1),"※入库单号重复","")))))))</f>
        <v/>
      </c>
    </row>
    <row r="2402">
      <c r="A2402" s="24">
        <f>IF($G2402="","",COUNTA($G$4:$G2402))</f>
        <v/>
      </c>
      <c r="B2402" s="17" t="n"/>
      <c r="C2402" s="30" t="n"/>
      <c r="D2402" s="17" t="n"/>
      <c r="E2402" s="17" t="n"/>
      <c r="F2402" s="17" t="n"/>
      <c r="G2402" s="17" t="n"/>
      <c r="H2402" s="24">
        <f>IF($G2402="","",IFERROR(VLOOKUP($G2402,物料档案!$A$4:$P$1203,3,0),"※编码不在物料档案里"))</f>
        <v/>
      </c>
      <c r="I2402" s="24">
        <f>IF($G2402="","",IFERROR(VLOOKUP($G2402,物料档案!$A$4:$P$1203,4,0),"※编码不在物料档案里"))</f>
        <v/>
      </c>
      <c r="J2402" s="24">
        <f>IF($G2402="","",IFERROR(VLOOKUP($G2402,物料档案!$A$4:$P$1203,5,0),"※编码不在物料档案里"))</f>
        <v/>
      </c>
      <c r="K2402" s="23" t="n"/>
      <c r="L2402" s="31" t="n"/>
      <c r="M2402" s="24">
        <f>IF($G2402="","",IF($D2402="A国内","CNY","TZS"))</f>
        <v/>
      </c>
      <c r="N2402" s="28">
        <f>IF($G2402="","",IF($D2402="A国内",汇率,1))</f>
        <v/>
      </c>
      <c r="O2402" s="25">
        <f>IF($G2402="","",ROUND(N($K2402)*N($L2402),2))</f>
        <v/>
      </c>
      <c r="P2402" s="26">
        <f>IF($G2402="","",ROUND($O2402*$N2402,0))</f>
        <v/>
      </c>
      <c r="Q2402" s="26">
        <f>IF($G2402="","",SUMIFS($P$4:$P$2503,$E$4:$E$2503,$E2402,$Z$4:$Z$2503,"正常"))</f>
        <v/>
      </c>
      <c r="R2402" s="26">
        <f>IF($G2402="","",SUMIFS(费用台账!$I$4:$I$503,费用台账!$C$4:$C$503,$E2402,费用台账!$J$4:$J$503,"是",费用台账!$K$4:$K$503,"正常"))</f>
        <v/>
      </c>
      <c r="S2402" s="28">
        <f>IF($G2402="","",COUNTIFS($E$4:$E$2503,$E2402,$Z$4:$Z$2503,"正常",$Y$4:$Y$2503,"待补价"))</f>
        <v/>
      </c>
      <c r="T2402" s="26">
        <f>IF($G2402="","",SUMIFS($P$4:$P$2503,$E$4:$E$2503,$E2402,$Z$4:$Z$2503,"正常",$A$4:$A$2503,"&lt;="&amp;$A2402))</f>
        <v/>
      </c>
      <c r="U2402" s="26">
        <f>IF($G2402="","",IF(OR($S2402&gt;0,$Q2402=0,$R2402=0,$Z2402&lt;&gt;"正常"),0,ROUND($T2402/$Q2402*$R2402,0)-ROUND(($T2402-$P2402)/$Q2402*$R2402,0)))</f>
        <v/>
      </c>
      <c r="V2402" s="26">
        <f>IF($G2402="","",ROUND($P2402+$U2402,0))</f>
        <v/>
      </c>
      <c r="W2402" s="26">
        <f>IF($G2402="","",IF(N($K2402)=0,0,ROUND($V2402/$K2402,2)))</f>
        <v/>
      </c>
      <c r="X2402" s="17" t="n"/>
      <c r="Y2402" s="17" t="n"/>
      <c r="Z2402" s="17" t="n"/>
      <c r="AA2402" s="17" t="n"/>
      <c r="AB2402" s="17" t="n"/>
      <c r="AC2402" s="24">
        <f>IF($G2402="","",IF($H2402="※编码不在物料档案里","※物料编码不在档案里",IF(N($K2402)&lt;=0,"※入库数量要大于 0",IF(AND($C2402&lt;&gt;"",$C2402&lt;=结账锁),"※日期早于已结账截止日，不能再录",IF(AND($L2402=0,$X2402="正常"),"※没填单价，价格状态请选「待补价」",IF(AND($S2402&gt;0,$R2402&gt;0),"△本批有 "&amp;$S2402&amp;" 行没单价，整批运费先挂账没摊",IF(AND($B2402&lt;&gt;"",COUNTIF($B$4:$B$2503,$B2402)&gt;1),"※入库单号重复","")))))))</f>
        <v/>
      </c>
    </row>
    <row r="2403">
      <c r="A2403" s="24">
        <f>IF($G2403="","",COUNTA($G$4:$G2403))</f>
        <v/>
      </c>
      <c r="B2403" s="17" t="n"/>
      <c r="C2403" s="30" t="n"/>
      <c r="D2403" s="17" t="n"/>
      <c r="E2403" s="17" t="n"/>
      <c r="F2403" s="17" t="n"/>
      <c r="G2403" s="17" t="n"/>
      <c r="H2403" s="24">
        <f>IF($G2403="","",IFERROR(VLOOKUP($G2403,物料档案!$A$4:$P$1203,3,0),"※编码不在物料档案里"))</f>
        <v/>
      </c>
      <c r="I2403" s="24">
        <f>IF($G2403="","",IFERROR(VLOOKUP($G2403,物料档案!$A$4:$P$1203,4,0),"※编码不在物料档案里"))</f>
        <v/>
      </c>
      <c r="J2403" s="24">
        <f>IF($G2403="","",IFERROR(VLOOKUP($G2403,物料档案!$A$4:$P$1203,5,0),"※编码不在物料档案里"))</f>
        <v/>
      </c>
      <c r="K2403" s="23" t="n"/>
      <c r="L2403" s="31" t="n"/>
      <c r="M2403" s="24">
        <f>IF($G2403="","",IF($D2403="A国内","CNY","TZS"))</f>
        <v/>
      </c>
      <c r="N2403" s="28">
        <f>IF($G2403="","",IF($D2403="A国内",汇率,1))</f>
        <v/>
      </c>
      <c r="O2403" s="25">
        <f>IF($G2403="","",ROUND(N($K2403)*N($L2403),2))</f>
        <v/>
      </c>
      <c r="P2403" s="26">
        <f>IF($G2403="","",ROUND($O2403*$N2403,0))</f>
        <v/>
      </c>
      <c r="Q2403" s="26">
        <f>IF($G2403="","",SUMIFS($P$4:$P$2503,$E$4:$E$2503,$E2403,$Z$4:$Z$2503,"正常"))</f>
        <v/>
      </c>
      <c r="R2403" s="26">
        <f>IF($G2403="","",SUMIFS(费用台账!$I$4:$I$503,费用台账!$C$4:$C$503,$E2403,费用台账!$J$4:$J$503,"是",费用台账!$K$4:$K$503,"正常"))</f>
        <v/>
      </c>
      <c r="S2403" s="28">
        <f>IF($G2403="","",COUNTIFS($E$4:$E$2503,$E2403,$Z$4:$Z$2503,"正常",$Y$4:$Y$2503,"待补价"))</f>
        <v/>
      </c>
      <c r="T2403" s="26">
        <f>IF($G2403="","",SUMIFS($P$4:$P$2503,$E$4:$E$2503,$E2403,$Z$4:$Z$2503,"正常",$A$4:$A$2503,"&lt;="&amp;$A2403))</f>
        <v/>
      </c>
      <c r="U2403" s="26">
        <f>IF($G2403="","",IF(OR($S2403&gt;0,$Q2403=0,$R2403=0,$Z2403&lt;&gt;"正常"),0,ROUND($T2403/$Q2403*$R2403,0)-ROUND(($T2403-$P2403)/$Q2403*$R2403,0)))</f>
        <v/>
      </c>
      <c r="V2403" s="26">
        <f>IF($G2403="","",ROUND($P2403+$U2403,0))</f>
        <v/>
      </c>
      <c r="W2403" s="26">
        <f>IF($G2403="","",IF(N($K2403)=0,0,ROUND($V2403/$K2403,2)))</f>
        <v/>
      </c>
      <c r="X2403" s="17" t="n"/>
      <c r="Y2403" s="17" t="n"/>
      <c r="Z2403" s="17" t="n"/>
      <c r="AA2403" s="17" t="n"/>
      <c r="AB2403" s="17" t="n"/>
      <c r="AC2403" s="24">
        <f>IF($G2403="","",IF($H2403="※编码不在物料档案里","※物料编码不在档案里",IF(N($K2403)&lt;=0,"※入库数量要大于 0",IF(AND($C2403&lt;&gt;"",$C2403&lt;=结账锁),"※日期早于已结账截止日，不能再录",IF(AND($L2403=0,$X2403="正常"),"※没填单价，价格状态请选「待补价」",IF(AND($S2403&gt;0,$R2403&gt;0),"△本批有 "&amp;$S2403&amp;" 行没单价，整批运费先挂账没摊",IF(AND($B2403&lt;&gt;"",COUNTIF($B$4:$B$2503,$B2403)&gt;1),"※入库单号重复","")))))))</f>
        <v/>
      </c>
    </row>
    <row r="2404">
      <c r="A2404" s="24">
        <f>IF($G2404="","",COUNTA($G$4:$G2404))</f>
        <v/>
      </c>
      <c r="B2404" s="17" t="n"/>
      <c r="C2404" s="30" t="n"/>
      <c r="D2404" s="17" t="n"/>
      <c r="E2404" s="17" t="n"/>
      <c r="F2404" s="17" t="n"/>
      <c r="G2404" s="17" t="n"/>
      <c r="H2404" s="24">
        <f>IF($G2404="","",IFERROR(VLOOKUP($G2404,物料档案!$A$4:$P$1203,3,0),"※编码不在物料档案里"))</f>
        <v/>
      </c>
      <c r="I2404" s="24">
        <f>IF($G2404="","",IFERROR(VLOOKUP($G2404,物料档案!$A$4:$P$1203,4,0),"※编码不在物料档案里"))</f>
        <v/>
      </c>
      <c r="J2404" s="24">
        <f>IF($G2404="","",IFERROR(VLOOKUP($G2404,物料档案!$A$4:$P$1203,5,0),"※编码不在物料档案里"))</f>
        <v/>
      </c>
      <c r="K2404" s="23" t="n"/>
      <c r="L2404" s="31" t="n"/>
      <c r="M2404" s="24">
        <f>IF($G2404="","",IF($D2404="A国内","CNY","TZS"))</f>
        <v/>
      </c>
      <c r="N2404" s="28">
        <f>IF($G2404="","",IF($D2404="A国内",汇率,1))</f>
        <v/>
      </c>
      <c r="O2404" s="25">
        <f>IF($G2404="","",ROUND(N($K2404)*N($L2404),2))</f>
        <v/>
      </c>
      <c r="P2404" s="26">
        <f>IF($G2404="","",ROUND($O2404*$N2404,0))</f>
        <v/>
      </c>
      <c r="Q2404" s="26">
        <f>IF($G2404="","",SUMIFS($P$4:$P$2503,$E$4:$E$2503,$E2404,$Z$4:$Z$2503,"正常"))</f>
        <v/>
      </c>
      <c r="R2404" s="26">
        <f>IF($G2404="","",SUMIFS(费用台账!$I$4:$I$503,费用台账!$C$4:$C$503,$E2404,费用台账!$J$4:$J$503,"是",费用台账!$K$4:$K$503,"正常"))</f>
        <v/>
      </c>
      <c r="S2404" s="28">
        <f>IF($G2404="","",COUNTIFS($E$4:$E$2503,$E2404,$Z$4:$Z$2503,"正常",$Y$4:$Y$2503,"待补价"))</f>
        <v/>
      </c>
      <c r="T2404" s="26">
        <f>IF($G2404="","",SUMIFS($P$4:$P$2503,$E$4:$E$2503,$E2404,$Z$4:$Z$2503,"正常",$A$4:$A$2503,"&lt;="&amp;$A2404))</f>
        <v/>
      </c>
      <c r="U2404" s="26">
        <f>IF($G2404="","",IF(OR($S2404&gt;0,$Q2404=0,$R2404=0,$Z2404&lt;&gt;"正常"),0,ROUND($T2404/$Q2404*$R2404,0)-ROUND(($T2404-$P2404)/$Q2404*$R2404,0)))</f>
        <v/>
      </c>
      <c r="V2404" s="26">
        <f>IF($G2404="","",ROUND($P2404+$U2404,0))</f>
        <v/>
      </c>
      <c r="W2404" s="26">
        <f>IF($G2404="","",IF(N($K2404)=0,0,ROUND($V2404/$K2404,2)))</f>
        <v/>
      </c>
      <c r="X2404" s="17" t="n"/>
      <c r="Y2404" s="17" t="n"/>
      <c r="Z2404" s="17" t="n"/>
      <c r="AA2404" s="17" t="n"/>
      <c r="AB2404" s="17" t="n"/>
      <c r="AC2404" s="24">
        <f>IF($G2404="","",IF($H2404="※编码不在物料档案里","※物料编码不在档案里",IF(N($K2404)&lt;=0,"※入库数量要大于 0",IF(AND($C2404&lt;&gt;"",$C2404&lt;=结账锁),"※日期早于已结账截止日，不能再录",IF(AND($L2404=0,$X2404="正常"),"※没填单价，价格状态请选「待补价」",IF(AND($S2404&gt;0,$R2404&gt;0),"△本批有 "&amp;$S2404&amp;" 行没单价，整批运费先挂账没摊",IF(AND($B2404&lt;&gt;"",COUNTIF($B$4:$B$2503,$B2404)&gt;1),"※入库单号重复","")))))))</f>
        <v/>
      </c>
    </row>
    <row r="2405">
      <c r="A2405" s="24">
        <f>IF($G2405="","",COUNTA($G$4:$G2405))</f>
        <v/>
      </c>
      <c r="B2405" s="17" t="n"/>
      <c r="C2405" s="30" t="n"/>
      <c r="D2405" s="17" t="n"/>
      <c r="E2405" s="17" t="n"/>
      <c r="F2405" s="17" t="n"/>
      <c r="G2405" s="17" t="n"/>
      <c r="H2405" s="24">
        <f>IF($G2405="","",IFERROR(VLOOKUP($G2405,物料档案!$A$4:$P$1203,3,0),"※编码不在物料档案里"))</f>
        <v/>
      </c>
      <c r="I2405" s="24">
        <f>IF($G2405="","",IFERROR(VLOOKUP($G2405,物料档案!$A$4:$P$1203,4,0),"※编码不在物料档案里"))</f>
        <v/>
      </c>
      <c r="J2405" s="24">
        <f>IF($G2405="","",IFERROR(VLOOKUP($G2405,物料档案!$A$4:$P$1203,5,0),"※编码不在物料档案里"))</f>
        <v/>
      </c>
      <c r="K2405" s="23" t="n"/>
      <c r="L2405" s="31" t="n"/>
      <c r="M2405" s="24">
        <f>IF($G2405="","",IF($D2405="A国内","CNY","TZS"))</f>
        <v/>
      </c>
      <c r="N2405" s="28">
        <f>IF($G2405="","",IF($D2405="A国内",汇率,1))</f>
        <v/>
      </c>
      <c r="O2405" s="25">
        <f>IF($G2405="","",ROUND(N($K2405)*N($L2405),2))</f>
        <v/>
      </c>
      <c r="P2405" s="26">
        <f>IF($G2405="","",ROUND($O2405*$N2405,0))</f>
        <v/>
      </c>
      <c r="Q2405" s="26">
        <f>IF($G2405="","",SUMIFS($P$4:$P$2503,$E$4:$E$2503,$E2405,$Z$4:$Z$2503,"正常"))</f>
        <v/>
      </c>
      <c r="R2405" s="26">
        <f>IF($G2405="","",SUMIFS(费用台账!$I$4:$I$503,费用台账!$C$4:$C$503,$E2405,费用台账!$J$4:$J$503,"是",费用台账!$K$4:$K$503,"正常"))</f>
        <v/>
      </c>
      <c r="S2405" s="28">
        <f>IF($G2405="","",COUNTIFS($E$4:$E$2503,$E2405,$Z$4:$Z$2503,"正常",$Y$4:$Y$2503,"待补价"))</f>
        <v/>
      </c>
      <c r="T2405" s="26">
        <f>IF($G2405="","",SUMIFS($P$4:$P$2503,$E$4:$E$2503,$E2405,$Z$4:$Z$2503,"正常",$A$4:$A$2503,"&lt;="&amp;$A2405))</f>
        <v/>
      </c>
      <c r="U2405" s="26">
        <f>IF($G2405="","",IF(OR($S2405&gt;0,$Q2405=0,$R2405=0,$Z2405&lt;&gt;"正常"),0,ROUND($T2405/$Q2405*$R2405,0)-ROUND(($T2405-$P2405)/$Q2405*$R2405,0)))</f>
        <v/>
      </c>
      <c r="V2405" s="26">
        <f>IF($G2405="","",ROUND($P2405+$U2405,0))</f>
        <v/>
      </c>
      <c r="W2405" s="26">
        <f>IF($G2405="","",IF(N($K2405)=0,0,ROUND($V2405/$K2405,2)))</f>
        <v/>
      </c>
      <c r="X2405" s="17" t="n"/>
      <c r="Y2405" s="17" t="n"/>
      <c r="Z2405" s="17" t="n"/>
      <c r="AA2405" s="17" t="n"/>
      <c r="AB2405" s="17" t="n"/>
      <c r="AC2405" s="24">
        <f>IF($G2405="","",IF($H2405="※编码不在物料档案里","※物料编码不在档案里",IF(N($K2405)&lt;=0,"※入库数量要大于 0",IF(AND($C2405&lt;&gt;"",$C2405&lt;=结账锁),"※日期早于已结账截止日，不能再录",IF(AND($L2405=0,$X2405="正常"),"※没填单价，价格状态请选「待补价」",IF(AND($S2405&gt;0,$R2405&gt;0),"△本批有 "&amp;$S2405&amp;" 行没单价，整批运费先挂账没摊",IF(AND($B2405&lt;&gt;"",COUNTIF($B$4:$B$2503,$B2405)&gt;1),"※入库单号重复","")))))))</f>
        <v/>
      </c>
    </row>
    <row r="2406">
      <c r="A2406" s="24">
        <f>IF($G2406="","",COUNTA($G$4:$G2406))</f>
        <v/>
      </c>
      <c r="B2406" s="17" t="n"/>
      <c r="C2406" s="30" t="n"/>
      <c r="D2406" s="17" t="n"/>
      <c r="E2406" s="17" t="n"/>
      <c r="F2406" s="17" t="n"/>
      <c r="G2406" s="17" t="n"/>
      <c r="H2406" s="24">
        <f>IF($G2406="","",IFERROR(VLOOKUP($G2406,物料档案!$A$4:$P$1203,3,0),"※编码不在物料档案里"))</f>
        <v/>
      </c>
      <c r="I2406" s="24">
        <f>IF($G2406="","",IFERROR(VLOOKUP($G2406,物料档案!$A$4:$P$1203,4,0),"※编码不在物料档案里"))</f>
        <v/>
      </c>
      <c r="J2406" s="24">
        <f>IF($G2406="","",IFERROR(VLOOKUP($G2406,物料档案!$A$4:$P$1203,5,0),"※编码不在物料档案里"))</f>
        <v/>
      </c>
      <c r="K2406" s="23" t="n"/>
      <c r="L2406" s="31" t="n"/>
      <c r="M2406" s="24">
        <f>IF($G2406="","",IF($D2406="A国内","CNY","TZS"))</f>
        <v/>
      </c>
      <c r="N2406" s="28">
        <f>IF($G2406="","",IF($D2406="A国内",汇率,1))</f>
        <v/>
      </c>
      <c r="O2406" s="25">
        <f>IF($G2406="","",ROUND(N($K2406)*N($L2406),2))</f>
        <v/>
      </c>
      <c r="P2406" s="26">
        <f>IF($G2406="","",ROUND($O2406*$N2406,0))</f>
        <v/>
      </c>
      <c r="Q2406" s="26">
        <f>IF($G2406="","",SUMIFS($P$4:$P$2503,$E$4:$E$2503,$E2406,$Z$4:$Z$2503,"正常"))</f>
        <v/>
      </c>
      <c r="R2406" s="26">
        <f>IF($G2406="","",SUMIFS(费用台账!$I$4:$I$503,费用台账!$C$4:$C$503,$E2406,费用台账!$J$4:$J$503,"是",费用台账!$K$4:$K$503,"正常"))</f>
        <v/>
      </c>
      <c r="S2406" s="28">
        <f>IF($G2406="","",COUNTIFS($E$4:$E$2503,$E2406,$Z$4:$Z$2503,"正常",$Y$4:$Y$2503,"待补价"))</f>
        <v/>
      </c>
      <c r="T2406" s="26">
        <f>IF($G2406="","",SUMIFS($P$4:$P$2503,$E$4:$E$2503,$E2406,$Z$4:$Z$2503,"正常",$A$4:$A$2503,"&lt;="&amp;$A2406))</f>
        <v/>
      </c>
      <c r="U2406" s="26">
        <f>IF($G2406="","",IF(OR($S2406&gt;0,$Q2406=0,$R2406=0,$Z2406&lt;&gt;"正常"),0,ROUND($T2406/$Q2406*$R2406,0)-ROUND(($T2406-$P2406)/$Q2406*$R2406,0)))</f>
        <v/>
      </c>
      <c r="V2406" s="26">
        <f>IF($G2406="","",ROUND($P2406+$U2406,0))</f>
        <v/>
      </c>
      <c r="W2406" s="26">
        <f>IF($G2406="","",IF(N($K2406)=0,0,ROUND($V2406/$K2406,2)))</f>
        <v/>
      </c>
      <c r="X2406" s="17" t="n"/>
      <c r="Y2406" s="17" t="n"/>
      <c r="Z2406" s="17" t="n"/>
      <c r="AA2406" s="17" t="n"/>
      <c r="AB2406" s="17" t="n"/>
      <c r="AC2406" s="24">
        <f>IF($G2406="","",IF($H2406="※编码不在物料档案里","※物料编码不在档案里",IF(N($K2406)&lt;=0,"※入库数量要大于 0",IF(AND($C2406&lt;&gt;"",$C2406&lt;=结账锁),"※日期早于已结账截止日，不能再录",IF(AND($L2406=0,$X2406="正常"),"※没填单价，价格状态请选「待补价」",IF(AND($S2406&gt;0,$R2406&gt;0),"△本批有 "&amp;$S2406&amp;" 行没单价，整批运费先挂账没摊",IF(AND($B2406&lt;&gt;"",COUNTIF($B$4:$B$2503,$B2406)&gt;1),"※入库单号重复","")))))))</f>
        <v/>
      </c>
    </row>
    <row r="2407">
      <c r="A2407" s="24">
        <f>IF($G2407="","",COUNTA($G$4:$G2407))</f>
        <v/>
      </c>
      <c r="B2407" s="17" t="n"/>
      <c r="C2407" s="30" t="n"/>
      <c r="D2407" s="17" t="n"/>
      <c r="E2407" s="17" t="n"/>
      <c r="F2407" s="17" t="n"/>
      <c r="G2407" s="17" t="n"/>
      <c r="H2407" s="24">
        <f>IF($G2407="","",IFERROR(VLOOKUP($G2407,物料档案!$A$4:$P$1203,3,0),"※编码不在物料档案里"))</f>
        <v/>
      </c>
      <c r="I2407" s="24">
        <f>IF($G2407="","",IFERROR(VLOOKUP($G2407,物料档案!$A$4:$P$1203,4,0),"※编码不在物料档案里"))</f>
        <v/>
      </c>
      <c r="J2407" s="24">
        <f>IF($G2407="","",IFERROR(VLOOKUP($G2407,物料档案!$A$4:$P$1203,5,0),"※编码不在物料档案里"))</f>
        <v/>
      </c>
      <c r="K2407" s="23" t="n"/>
      <c r="L2407" s="31" t="n"/>
      <c r="M2407" s="24">
        <f>IF($G2407="","",IF($D2407="A国内","CNY","TZS"))</f>
        <v/>
      </c>
      <c r="N2407" s="28">
        <f>IF($G2407="","",IF($D2407="A国内",汇率,1))</f>
        <v/>
      </c>
      <c r="O2407" s="25">
        <f>IF($G2407="","",ROUND(N($K2407)*N($L2407),2))</f>
        <v/>
      </c>
      <c r="P2407" s="26">
        <f>IF($G2407="","",ROUND($O2407*$N2407,0))</f>
        <v/>
      </c>
      <c r="Q2407" s="26">
        <f>IF($G2407="","",SUMIFS($P$4:$P$2503,$E$4:$E$2503,$E2407,$Z$4:$Z$2503,"正常"))</f>
        <v/>
      </c>
      <c r="R2407" s="26">
        <f>IF($G2407="","",SUMIFS(费用台账!$I$4:$I$503,费用台账!$C$4:$C$503,$E2407,费用台账!$J$4:$J$503,"是",费用台账!$K$4:$K$503,"正常"))</f>
        <v/>
      </c>
      <c r="S2407" s="28">
        <f>IF($G2407="","",COUNTIFS($E$4:$E$2503,$E2407,$Z$4:$Z$2503,"正常",$Y$4:$Y$2503,"待补价"))</f>
        <v/>
      </c>
      <c r="T2407" s="26">
        <f>IF($G2407="","",SUMIFS($P$4:$P$2503,$E$4:$E$2503,$E2407,$Z$4:$Z$2503,"正常",$A$4:$A$2503,"&lt;="&amp;$A2407))</f>
        <v/>
      </c>
      <c r="U2407" s="26">
        <f>IF($G2407="","",IF(OR($S2407&gt;0,$Q2407=0,$R2407=0,$Z2407&lt;&gt;"正常"),0,ROUND($T2407/$Q2407*$R2407,0)-ROUND(($T2407-$P2407)/$Q2407*$R2407,0)))</f>
        <v/>
      </c>
      <c r="V2407" s="26">
        <f>IF($G2407="","",ROUND($P2407+$U2407,0))</f>
        <v/>
      </c>
      <c r="W2407" s="26">
        <f>IF($G2407="","",IF(N($K2407)=0,0,ROUND($V2407/$K2407,2)))</f>
        <v/>
      </c>
      <c r="X2407" s="17" t="n"/>
      <c r="Y2407" s="17" t="n"/>
      <c r="Z2407" s="17" t="n"/>
      <c r="AA2407" s="17" t="n"/>
      <c r="AB2407" s="17" t="n"/>
      <c r="AC2407" s="24">
        <f>IF($G2407="","",IF($H2407="※编码不在物料档案里","※物料编码不在档案里",IF(N($K2407)&lt;=0,"※入库数量要大于 0",IF(AND($C2407&lt;&gt;"",$C2407&lt;=结账锁),"※日期早于已结账截止日，不能再录",IF(AND($L2407=0,$X2407="正常"),"※没填单价，价格状态请选「待补价」",IF(AND($S2407&gt;0,$R2407&gt;0),"△本批有 "&amp;$S2407&amp;" 行没单价，整批运费先挂账没摊",IF(AND($B2407&lt;&gt;"",COUNTIF($B$4:$B$2503,$B2407)&gt;1),"※入库单号重复","")))))))</f>
        <v/>
      </c>
    </row>
    <row r="2408">
      <c r="A2408" s="24">
        <f>IF($G2408="","",COUNTA($G$4:$G2408))</f>
        <v/>
      </c>
      <c r="B2408" s="17" t="n"/>
      <c r="C2408" s="30" t="n"/>
      <c r="D2408" s="17" t="n"/>
      <c r="E2408" s="17" t="n"/>
      <c r="F2408" s="17" t="n"/>
      <c r="G2408" s="17" t="n"/>
      <c r="H2408" s="24">
        <f>IF($G2408="","",IFERROR(VLOOKUP($G2408,物料档案!$A$4:$P$1203,3,0),"※编码不在物料档案里"))</f>
        <v/>
      </c>
      <c r="I2408" s="24">
        <f>IF($G2408="","",IFERROR(VLOOKUP($G2408,物料档案!$A$4:$P$1203,4,0),"※编码不在物料档案里"))</f>
        <v/>
      </c>
      <c r="J2408" s="24">
        <f>IF($G2408="","",IFERROR(VLOOKUP($G2408,物料档案!$A$4:$P$1203,5,0),"※编码不在物料档案里"))</f>
        <v/>
      </c>
      <c r="K2408" s="23" t="n"/>
      <c r="L2408" s="31" t="n"/>
      <c r="M2408" s="24">
        <f>IF($G2408="","",IF($D2408="A国内","CNY","TZS"))</f>
        <v/>
      </c>
      <c r="N2408" s="28">
        <f>IF($G2408="","",IF($D2408="A国内",汇率,1))</f>
        <v/>
      </c>
      <c r="O2408" s="25">
        <f>IF($G2408="","",ROUND(N($K2408)*N($L2408),2))</f>
        <v/>
      </c>
      <c r="P2408" s="26">
        <f>IF($G2408="","",ROUND($O2408*$N2408,0))</f>
        <v/>
      </c>
      <c r="Q2408" s="26">
        <f>IF($G2408="","",SUMIFS($P$4:$P$2503,$E$4:$E$2503,$E2408,$Z$4:$Z$2503,"正常"))</f>
        <v/>
      </c>
      <c r="R2408" s="26">
        <f>IF($G2408="","",SUMIFS(费用台账!$I$4:$I$503,费用台账!$C$4:$C$503,$E2408,费用台账!$J$4:$J$503,"是",费用台账!$K$4:$K$503,"正常"))</f>
        <v/>
      </c>
      <c r="S2408" s="28">
        <f>IF($G2408="","",COUNTIFS($E$4:$E$2503,$E2408,$Z$4:$Z$2503,"正常",$Y$4:$Y$2503,"待补价"))</f>
        <v/>
      </c>
      <c r="T2408" s="26">
        <f>IF($G2408="","",SUMIFS($P$4:$P$2503,$E$4:$E$2503,$E2408,$Z$4:$Z$2503,"正常",$A$4:$A$2503,"&lt;="&amp;$A2408))</f>
        <v/>
      </c>
      <c r="U2408" s="26">
        <f>IF($G2408="","",IF(OR($S2408&gt;0,$Q2408=0,$R2408=0,$Z2408&lt;&gt;"正常"),0,ROUND($T2408/$Q2408*$R2408,0)-ROUND(($T2408-$P2408)/$Q2408*$R2408,0)))</f>
        <v/>
      </c>
      <c r="V2408" s="26">
        <f>IF($G2408="","",ROUND($P2408+$U2408,0))</f>
        <v/>
      </c>
      <c r="W2408" s="26">
        <f>IF($G2408="","",IF(N($K2408)=0,0,ROUND($V2408/$K2408,2)))</f>
        <v/>
      </c>
      <c r="X2408" s="17" t="n"/>
      <c r="Y2408" s="17" t="n"/>
      <c r="Z2408" s="17" t="n"/>
      <c r="AA2408" s="17" t="n"/>
      <c r="AB2408" s="17" t="n"/>
      <c r="AC2408" s="24">
        <f>IF($G2408="","",IF($H2408="※编码不在物料档案里","※物料编码不在档案里",IF(N($K2408)&lt;=0,"※入库数量要大于 0",IF(AND($C2408&lt;&gt;"",$C2408&lt;=结账锁),"※日期早于已结账截止日，不能再录",IF(AND($L2408=0,$X2408="正常"),"※没填单价，价格状态请选「待补价」",IF(AND($S2408&gt;0,$R2408&gt;0),"△本批有 "&amp;$S2408&amp;" 行没单价，整批运费先挂账没摊",IF(AND($B2408&lt;&gt;"",COUNTIF($B$4:$B$2503,$B2408)&gt;1),"※入库单号重复","")))))))</f>
        <v/>
      </c>
    </row>
    <row r="2409">
      <c r="A2409" s="24">
        <f>IF($G2409="","",COUNTA($G$4:$G2409))</f>
        <v/>
      </c>
      <c r="B2409" s="17" t="n"/>
      <c r="C2409" s="30" t="n"/>
      <c r="D2409" s="17" t="n"/>
      <c r="E2409" s="17" t="n"/>
      <c r="F2409" s="17" t="n"/>
      <c r="G2409" s="17" t="n"/>
      <c r="H2409" s="24">
        <f>IF($G2409="","",IFERROR(VLOOKUP($G2409,物料档案!$A$4:$P$1203,3,0),"※编码不在物料档案里"))</f>
        <v/>
      </c>
      <c r="I2409" s="24">
        <f>IF($G2409="","",IFERROR(VLOOKUP($G2409,物料档案!$A$4:$P$1203,4,0),"※编码不在物料档案里"))</f>
        <v/>
      </c>
      <c r="J2409" s="24">
        <f>IF($G2409="","",IFERROR(VLOOKUP($G2409,物料档案!$A$4:$P$1203,5,0),"※编码不在物料档案里"))</f>
        <v/>
      </c>
      <c r="K2409" s="23" t="n"/>
      <c r="L2409" s="31" t="n"/>
      <c r="M2409" s="24">
        <f>IF($G2409="","",IF($D2409="A国内","CNY","TZS"))</f>
        <v/>
      </c>
      <c r="N2409" s="28">
        <f>IF($G2409="","",IF($D2409="A国内",汇率,1))</f>
        <v/>
      </c>
      <c r="O2409" s="25">
        <f>IF($G2409="","",ROUND(N($K2409)*N($L2409),2))</f>
        <v/>
      </c>
      <c r="P2409" s="26">
        <f>IF($G2409="","",ROUND($O2409*$N2409,0))</f>
        <v/>
      </c>
      <c r="Q2409" s="26">
        <f>IF($G2409="","",SUMIFS($P$4:$P$2503,$E$4:$E$2503,$E2409,$Z$4:$Z$2503,"正常"))</f>
        <v/>
      </c>
      <c r="R2409" s="26">
        <f>IF($G2409="","",SUMIFS(费用台账!$I$4:$I$503,费用台账!$C$4:$C$503,$E2409,费用台账!$J$4:$J$503,"是",费用台账!$K$4:$K$503,"正常"))</f>
        <v/>
      </c>
      <c r="S2409" s="28">
        <f>IF($G2409="","",COUNTIFS($E$4:$E$2503,$E2409,$Z$4:$Z$2503,"正常",$Y$4:$Y$2503,"待补价"))</f>
        <v/>
      </c>
      <c r="T2409" s="26">
        <f>IF($G2409="","",SUMIFS($P$4:$P$2503,$E$4:$E$2503,$E2409,$Z$4:$Z$2503,"正常",$A$4:$A$2503,"&lt;="&amp;$A2409))</f>
        <v/>
      </c>
      <c r="U2409" s="26">
        <f>IF($G2409="","",IF(OR($S2409&gt;0,$Q2409=0,$R2409=0,$Z2409&lt;&gt;"正常"),0,ROUND($T2409/$Q2409*$R2409,0)-ROUND(($T2409-$P2409)/$Q2409*$R2409,0)))</f>
        <v/>
      </c>
      <c r="V2409" s="26">
        <f>IF($G2409="","",ROUND($P2409+$U2409,0))</f>
        <v/>
      </c>
      <c r="W2409" s="26">
        <f>IF($G2409="","",IF(N($K2409)=0,0,ROUND($V2409/$K2409,2)))</f>
        <v/>
      </c>
      <c r="X2409" s="17" t="n"/>
      <c r="Y2409" s="17" t="n"/>
      <c r="Z2409" s="17" t="n"/>
      <c r="AA2409" s="17" t="n"/>
      <c r="AB2409" s="17" t="n"/>
      <c r="AC2409" s="24">
        <f>IF($G2409="","",IF($H2409="※编码不在物料档案里","※物料编码不在档案里",IF(N($K2409)&lt;=0,"※入库数量要大于 0",IF(AND($C2409&lt;&gt;"",$C2409&lt;=结账锁),"※日期早于已结账截止日，不能再录",IF(AND($L2409=0,$X2409="正常"),"※没填单价，价格状态请选「待补价」",IF(AND($S2409&gt;0,$R2409&gt;0),"△本批有 "&amp;$S2409&amp;" 行没单价，整批运费先挂账没摊",IF(AND($B2409&lt;&gt;"",COUNTIF($B$4:$B$2503,$B2409)&gt;1),"※入库单号重复","")))))))</f>
        <v/>
      </c>
    </row>
    <row r="2410">
      <c r="A2410" s="24">
        <f>IF($G2410="","",COUNTA($G$4:$G2410))</f>
        <v/>
      </c>
      <c r="B2410" s="17" t="n"/>
      <c r="C2410" s="30" t="n"/>
      <c r="D2410" s="17" t="n"/>
      <c r="E2410" s="17" t="n"/>
      <c r="F2410" s="17" t="n"/>
      <c r="G2410" s="17" t="n"/>
      <c r="H2410" s="24">
        <f>IF($G2410="","",IFERROR(VLOOKUP($G2410,物料档案!$A$4:$P$1203,3,0),"※编码不在物料档案里"))</f>
        <v/>
      </c>
      <c r="I2410" s="24">
        <f>IF($G2410="","",IFERROR(VLOOKUP($G2410,物料档案!$A$4:$P$1203,4,0),"※编码不在物料档案里"))</f>
        <v/>
      </c>
      <c r="J2410" s="24">
        <f>IF($G2410="","",IFERROR(VLOOKUP($G2410,物料档案!$A$4:$P$1203,5,0),"※编码不在物料档案里"))</f>
        <v/>
      </c>
      <c r="K2410" s="23" t="n"/>
      <c r="L2410" s="31" t="n"/>
      <c r="M2410" s="24">
        <f>IF($G2410="","",IF($D2410="A国内","CNY","TZS"))</f>
        <v/>
      </c>
      <c r="N2410" s="28">
        <f>IF($G2410="","",IF($D2410="A国内",汇率,1))</f>
        <v/>
      </c>
      <c r="O2410" s="25">
        <f>IF($G2410="","",ROUND(N($K2410)*N($L2410),2))</f>
        <v/>
      </c>
      <c r="P2410" s="26">
        <f>IF($G2410="","",ROUND($O2410*$N2410,0))</f>
        <v/>
      </c>
      <c r="Q2410" s="26">
        <f>IF($G2410="","",SUMIFS($P$4:$P$2503,$E$4:$E$2503,$E2410,$Z$4:$Z$2503,"正常"))</f>
        <v/>
      </c>
      <c r="R2410" s="26">
        <f>IF($G2410="","",SUMIFS(费用台账!$I$4:$I$503,费用台账!$C$4:$C$503,$E2410,费用台账!$J$4:$J$503,"是",费用台账!$K$4:$K$503,"正常"))</f>
        <v/>
      </c>
      <c r="S2410" s="28">
        <f>IF($G2410="","",COUNTIFS($E$4:$E$2503,$E2410,$Z$4:$Z$2503,"正常",$Y$4:$Y$2503,"待补价"))</f>
        <v/>
      </c>
      <c r="T2410" s="26">
        <f>IF($G2410="","",SUMIFS($P$4:$P$2503,$E$4:$E$2503,$E2410,$Z$4:$Z$2503,"正常",$A$4:$A$2503,"&lt;="&amp;$A2410))</f>
        <v/>
      </c>
      <c r="U2410" s="26">
        <f>IF($G2410="","",IF(OR($S2410&gt;0,$Q2410=0,$R2410=0,$Z2410&lt;&gt;"正常"),0,ROUND($T2410/$Q2410*$R2410,0)-ROUND(($T2410-$P2410)/$Q2410*$R2410,0)))</f>
        <v/>
      </c>
      <c r="V2410" s="26">
        <f>IF($G2410="","",ROUND($P2410+$U2410,0))</f>
        <v/>
      </c>
      <c r="W2410" s="26">
        <f>IF($G2410="","",IF(N($K2410)=0,0,ROUND($V2410/$K2410,2)))</f>
        <v/>
      </c>
      <c r="X2410" s="17" t="n"/>
      <c r="Y2410" s="17" t="n"/>
      <c r="Z2410" s="17" t="n"/>
      <c r="AA2410" s="17" t="n"/>
      <c r="AB2410" s="17" t="n"/>
      <c r="AC2410" s="24">
        <f>IF($G2410="","",IF($H2410="※编码不在物料档案里","※物料编码不在档案里",IF(N($K2410)&lt;=0,"※入库数量要大于 0",IF(AND($C2410&lt;&gt;"",$C2410&lt;=结账锁),"※日期早于已结账截止日，不能再录",IF(AND($L2410=0,$X2410="正常"),"※没填单价，价格状态请选「待补价」",IF(AND($S2410&gt;0,$R2410&gt;0),"△本批有 "&amp;$S2410&amp;" 行没单价，整批运费先挂账没摊",IF(AND($B2410&lt;&gt;"",COUNTIF($B$4:$B$2503,$B2410)&gt;1),"※入库单号重复","")))))))</f>
        <v/>
      </c>
    </row>
    <row r="2411">
      <c r="A2411" s="24">
        <f>IF($G2411="","",COUNTA($G$4:$G2411))</f>
        <v/>
      </c>
      <c r="B2411" s="17" t="n"/>
      <c r="C2411" s="30" t="n"/>
      <c r="D2411" s="17" t="n"/>
      <c r="E2411" s="17" t="n"/>
      <c r="F2411" s="17" t="n"/>
      <c r="G2411" s="17" t="n"/>
      <c r="H2411" s="24">
        <f>IF($G2411="","",IFERROR(VLOOKUP($G2411,物料档案!$A$4:$P$1203,3,0),"※编码不在物料档案里"))</f>
        <v/>
      </c>
      <c r="I2411" s="24">
        <f>IF($G2411="","",IFERROR(VLOOKUP($G2411,物料档案!$A$4:$P$1203,4,0),"※编码不在物料档案里"))</f>
        <v/>
      </c>
      <c r="J2411" s="24">
        <f>IF($G2411="","",IFERROR(VLOOKUP($G2411,物料档案!$A$4:$P$1203,5,0),"※编码不在物料档案里"))</f>
        <v/>
      </c>
      <c r="K2411" s="23" t="n"/>
      <c r="L2411" s="31" t="n"/>
      <c r="M2411" s="24">
        <f>IF($G2411="","",IF($D2411="A国内","CNY","TZS"))</f>
        <v/>
      </c>
      <c r="N2411" s="28">
        <f>IF($G2411="","",IF($D2411="A国内",汇率,1))</f>
        <v/>
      </c>
      <c r="O2411" s="25">
        <f>IF($G2411="","",ROUND(N($K2411)*N($L2411),2))</f>
        <v/>
      </c>
      <c r="P2411" s="26">
        <f>IF($G2411="","",ROUND($O2411*$N2411,0))</f>
        <v/>
      </c>
      <c r="Q2411" s="26">
        <f>IF($G2411="","",SUMIFS($P$4:$P$2503,$E$4:$E$2503,$E2411,$Z$4:$Z$2503,"正常"))</f>
        <v/>
      </c>
      <c r="R2411" s="26">
        <f>IF($G2411="","",SUMIFS(费用台账!$I$4:$I$503,费用台账!$C$4:$C$503,$E2411,费用台账!$J$4:$J$503,"是",费用台账!$K$4:$K$503,"正常"))</f>
        <v/>
      </c>
      <c r="S2411" s="28">
        <f>IF($G2411="","",COUNTIFS($E$4:$E$2503,$E2411,$Z$4:$Z$2503,"正常",$Y$4:$Y$2503,"待补价"))</f>
        <v/>
      </c>
      <c r="T2411" s="26">
        <f>IF($G2411="","",SUMIFS($P$4:$P$2503,$E$4:$E$2503,$E2411,$Z$4:$Z$2503,"正常",$A$4:$A$2503,"&lt;="&amp;$A2411))</f>
        <v/>
      </c>
      <c r="U2411" s="26">
        <f>IF($G2411="","",IF(OR($S2411&gt;0,$Q2411=0,$R2411=0,$Z2411&lt;&gt;"正常"),0,ROUND($T2411/$Q2411*$R2411,0)-ROUND(($T2411-$P2411)/$Q2411*$R2411,0)))</f>
        <v/>
      </c>
      <c r="V2411" s="26">
        <f>IF($G2411="","",ROUND($P2411+$U2411,0))</f>
        <v/>
      </c>
      <c r="W2411" s="26">
        <f>IF($G2411="","",IF(N($K2411)=0,0,ROUND($V2411/$K2411,2)))</f>
        <v/>
      </c>
      <c r="X2411" s="17" t="n"/>
      <c r="Y2411" s="17" t="n"/>
      <c r="Z2411" s="17" t="n"/>
      <c r="AA2411" s="17" t="n"/>
      <c r="AB2411" s="17" t="n"/>
      <c r="AC2411" s="24">
        <f>IF($G2411="","",IF($H2411="※编码不在物料档案里","※物料编码不在档案里",IF(N($K2411)&lt;=0,"※入库数量要大于 0",IF(AND($C2411&lt;&gt;"",$C2411&lt;=结账锁),"※日期早于已结账截止日，不能再录",IF(AND($L2411=0,$X2411="正常"),"※没填单价，价格状态请选「待补价」",IF(AND($S2411&gt;0,$R2411&gt;0),"△本批有 "&amp;$S2411&amp;" 行没单价，整批运费先挂账没摊",IF(AND($B2411&lt;&gt;"",COUNTIF($B$4:$B$2503,$B2411)&gt;1),"※入库单号重复","")))))))</f>
        <v/>
      </c>
    </row>
    <row r="2412">
      <c r="A2412" s="24">
        <f>IF($G2412="","",COUNTA($G$4:$G2412))</f>
        <v/>
      </c>
      <c r="B2412" s="17" t="n"/>
      <c r="C2412" s="30" t="n"/>
      <c r="D2412" s="17" t="n"/>
      <c r="E2412" s="17" t="n"/>
      <c r="F2412" s="17" t="n"/>
      <c r="G2412" s="17" t="n"/>
      <c r="H2412" s="24">
        <f>IF($G2412="","",IFERROR(VLOOKUP($G2412,物料档案!$A$4:$P$1203,3,0),"※编码不在物料档案里"))</f>
        <v/>
      </c>
      <c r="I2412" s="24">
        <f>IF($G2412="","",IFERROR(VLOOKUP($G2412,物料档案!$A$4:$P$1203,4,0),"※编码不在物料档案里"))</f>
        <v/>
      </c>
      <c r="J2412" s="24">
        <f>IF($G2412="","",IFERROR(VLOOKUP($G2412,物料档案!$A$4:$P$1203,5,0),"※编码不在物料档案里"))</f>
        <v/>
      </c>
      <c r="K2412" s="23" t="n"/>
      <c r="L2412" s="31" t="n"/>
      <c r="M2412" s="24">
        <f>IF($G2412="","",IF($D2412="A国内","CNY","TZS"))</f>
        <v/>
      </c>
      <c r="N2412" s="28">
        <f>IF($G2412="","",IF($D2412="A国内",汇率,1))</f>
        <v/>
      </c>
      <c r="O2412" s="25">
        <f>IF($G2412="","",ROUND(N($K2412)*N($L2412),2))</f>
        <v/>
      </c>
      <c r="P2412" s="26">
        <f>IF($G2412="","",ROUND($O2412*$N2412,0))</f>
        <v/>
      </c>
      <c r="Q2412" s="26">
        <f>IF($G2412="","",SUMIFS($P$4:$P$2503,$E$4:$E$2503,$E2412,$Z$4:$Z$2503,"正常"))</f>
        <v/>
      </c>
      <c r="R2412" s="26">
        <f>IF($G2412="","",SUMIFS(费用台账!$I$4:$I$503,费用台账!$C$4:$C$503,$E2412,费用台账!$J$4:$J$503,"是",费用台账!$K$4:$K$503,"正常"))</f>
        <v/>
      </c>
      <c r="S2412" s="28">
        <f>IF($G2412="","",COUNTIFS($E$4:$E$2503,$E2412,$Z$4:$Z$2503,"正常",$Y$4:$Y$2503,"待补价"))</f>
        <v/>
      </c>
      <c r="T2412" s="26">
        <f>IF($G2412="","",SUMIFS($P$4:$P$2503,$E$4:$E$2503,$E2412,$Z$4:$Z$2503,"正常",$A$4:$A$2503,"&lt;="&amp;$A2412))</f>
        <v/>
      </c>
      <c r="U2412" s="26">
        <f>IF($G2412="","",IF(OR($S2412&gt;0,$Q2412=0,$R2412=0,$Z2412&lt;&gt;"正常"),0,ROUND($T2412/$Q2412*$R2412,0)-ROUND(($T2412-$P2412)/$Q2412*$R2412,0)))</f>
        <v/>
      </c>
      <c r="V2412" s="26">
        <f>IF($G2412="","",ROUND($P2412+$U2412,0))</f>
        <v/>
      </c>
      <c r="W2412" s="26">
        <f>IF($G2412="","",IF(N($K2412)=0,0,ROUND($V2412/$K2412,2)))</f>
        <v/>
      </c>
      <c r="X2412" s="17" t="n"/>
      <c r="Y2412" s="17" t="n"/>
      <c r="Z2412" s="17" t="n"/>
      <c r="AA2412" s="17" t="n"/>
      <c r="AB2412" s="17" t="n"/>
      <c r="AC2412" s="24">
        <f>IF($G2412="","",IF($H2412="※编码不在物料档案里","※物料编码不在档案里",IF(N($K2412)&lt;=0,"※入库数量要大于 0",IF(AND($C2412&lt;&gt;"",$C2412&lt;=结账锁),"※日期早于已结账截止日，不能再录",IF(AND($L2412=0,$X2412="正常"),"※没填单价，价格状态请选「待补价」",IF(AND($S2412&gt;0,$R2412&gt;0),"△本批有 "&amp;$S2412&amp;" 行没单价，整批运费先挂账没摊",IF(AND($B2412&lt;&gt;"",COUNTIF($B$4:$B$2503,$B2412)&gt;1),"※入库单号重复","")))))))</f>
        <v/>
      </c>
    </row>
    <row r="2413">
      <c r="A2413" s="24">
        <f>IF($G2413="","",COUNTA($G$4:$G2413))</f>
        <v/>
      </c>
      <c r="B2413" s="17" t="n"/>
      <c r="C2413" s="30" t="n"/>
      <c r="D2413" s="17" t="n"/>
      <c r="E2413" s="17" t="n"/>
      <c r="F2413" s="17" t="n"/>
      <c r="G2413" s="17" t="n"/>
      <c r="H2413" s="24">
        <f>IF($G2413="","",IFERROR(VLOOKUP($G2413,物料档案!$A$4:$P$1203,3,0),"※编码不在物料档案里"))</f>
        <v/>
      </c>
      <c r="I2413" s="24">
        <f>IF($G2413="","",IFERROR(VLOOKUP($G2413,物料档案!$A$4:$P$1203,4,0),"※编码不在物料档案里"))</f>
        <v/>
      </c>
      <c r="J2413" s="24">
        <f>IF($G2413="","",IFERROR(VLOOKUP($G2413,物料档案!$A$4:$P$1203,5,0),"※编码不在物料档案里"))</f>
        <v/>
      </c>
      <c r="K2413" s="23" t="n"/>
      <c r="L2413" s="31" t="n"/>
      <c r="M2413" s="24">
        <f>IF($G2413="","",IF($D2413="A国内","CNY","TZS"))</f>
        <v/>
      </c>
      <c r="N2413" s="28">
        <f>IF($G2413="","",IF($D2413="A国内",汇率,1))</f>
        <v/>
      </c>
      <c r="O2413" s="25">
        <f>IF($G2413="","",ROUND(N($K2413)*N($L2413),2))</f>
        <v/>
      </c>
      <c r="P2413" s="26">
        <f>IF($G2413="","",ROUND($O2413*$N2413,0))</f>
        <v/>
      </c>
      <c r="Q2413" s="26">
        <f>IF($G2413="","",SUMIFS($P$4:$P$2503,$E$4:$E$2503,$E2413,$Z$4:$Z$2503,"正常"))</f>
        <v/>
      </c>
      <c r="R2413" s="26">
        <f>IF($G2413="","",SUMIFS(费用台账!$I$4:$I$503,费用台账!$C$4:$C$503,$E2413,费用台账!$J$4:$J$503,"是",费用台账!$K$4:$K$503,"正常"))</f>
        <v/>
      </c>
      <c r="S2413" s="28">
        <f>IF($G2413="","",COUNTIFS($E$4:$E$2503,$E2413,$Z$4:$Z$2503,"正常",$Y$4:$Y$2503,"待补价"))</f>
        <v/>
      </c>
      <c r="T2413" s="26">
        <f>IF($G2413="","",SUMIFS($P$4:$P$2503,$E$4:$E$2503,$E2413,$Z$4:$Z$2503,"正常",$A$4:$A$2503,"&lt;="&amp;$A2413))</f>
        <v/>
      </c>
      <c r="U2413" s="26">
        <f>IF($G2413="","",IF(OR($S2413&gt;0,$Q2413=0,$R2413=0,$Z2413&lt;&gt;"正常"),0,ROUND($T2413/$Q2413*$R2413,0)-ROUND(($T2413-$P2413)/$Q2413*$R2413,0)))</f>
        <v/>
      </c>
      <c r="V2413" s="26">
        <f>IF($G2413="","",ROUND($P2413+$U2413,0))</f>
        <v/>
      </c>
      <c r="W2413" s="26">
        <f>IF($G2413="","",IF(N($K2413)=0,0,ROUND($V2413/$K2413,2)))</f>
        <v/>
      </c>
      <c r="X2413" s="17" t="n"/>
      <c r="Y2413" s="17" t="n"/>
      <c r="Z2413" s="17" t="n"/>
      <c r="AA2413" s="17" t="n"/>
      <c r="AB2413" s="17" t="n"/>
      <c r="AC2413" s="24">
        <f>IF($G2413="","",IF($H2413="※编码不在物料档案里","※物料编码不在档案里",IF(N($K2413)&lt;=0,"※入库数量要大于 0",IF(AND($C2413&lt;&gt;"",$C2413&lt;=结账锁),"※日期早于已结账截止日，不能再录",IF(AND($L2413=0,$X2413="正常"),"※没填单价，价格状态请选「待补价」",IF(AND($S2413&gt;0,$R2413&gt;0),"△本批有 "&amp;$S2413&amp;" 行没单价，整批运费先挂账没摊",IF(AND($B2413&lt;&gt;"",COUNTIF($B$4:$B$2503,$B2413)&gt;1),"※入库单号重复","")))))))</f>
        <v/>
      </c>
    </row>
    <row r="2414">
      <c r="A2414" s="24">
        <f>IF($G2414="","",COUNTA($G$4:$G2414))</f>
        <v/>
      </c>
      <c r="B2414" s="17" t="n"/>
      <c r="C2414" s="30" t="n"/>
      <c r="D2414" s="17" t="n"/>
      <c r="E2414" s="17" t="n"/>
      <c r="F2414" s="17" t="n"/>
      <c r="G2414" s="17" t="n"/>
      <c r="H2414" s="24">
        <f>IF($G2414="","",IFERROR(VLOOKUP($G2414,物料档案!$A$4:$P$1203,3,0),"※编码不在物料档案里"))</f>
        <v/>
      </c>
      <c r="I2414" s="24">
        <f>IF($G2414="","",IFERROR(VLOOKUP($G2414,物料档案!$A$4:$P$1203,4,0),"※编码不在物料档案里"))</f>
        <v/>
      </c>
      <c r="J2414" s="24">
        <f>IF($G2414="","",IFERROR(VLOOKUP($G2414,物料档案!$A$4:$P$1203,5,0),"※编码不在物料档案里"))</f>
        <v/>
      </c>
      <c r="K2414" s="23" t="n"/>
      <c r="L2414" s="31" t="n"/>
      <c r="M2414" s="24">
        <f>IF($G2414="","",IF($D2414="A国内","CNY","TZS"))</f>
        <v/>
      </c>
      <c r="N2414" s="28">
        <f>IF($G2414="","",IF($D2414="A国内",汇率,1))</f>
        <v/>
      </c>
      <c r="O2414" s="25">
        <f>IF($G2414="","",ROUND(N($K2414)*N($L2414),2))</f>
        <v/>
      </c>
      <c r="P2414" s="26">
        <f>IF($G2414="","",ROUND($O2414*$N2414,0))</f>
        <v/>
      </c>
      <c r="Q2414" s="26">
        <f>IF($G2414="","",SUMIFS($P$4:$P$2503,$E$4:$E$2503,$E2414,$Z$4:$Z$2503,"正常"))</f>
        <v/>
      </c>
      <c r="R2414" s="26">
        <f>IF($G2414="","",SUMIFS(费用台账!$I$4:$I$503,费用台账!$C$4:$C$503,$E2414,费用台账!$J$4:$J$503,"是",费用台账!$K$4:$K$503,"正常"))</f>
        <v/>
      </c>
      <c r="S2414" s="28">
        <f>IF($G2414="","",COUNTIFS($E$4:$E$2503,$E2414,$Z$4:$Z$2503,"正常",$Y$4:$Y$2503,"待补价"))</f>
        <v/>
      </c>
      <c r="T2414" s="26">
        <f>IF($G2414="","",SUMIFS($P$4:$P$2503,$E$4:$E$2503,$E2414,$Z$4:$Z$2503,"正常",$A$4:$A$2503,"&lt;="&amp;$A2414))</f>
        <v/>
      </c>
      <c r="U2414" s="26">
        <f>IF($G2414="","",IF(OR($S2414&gt;0,$Q2414=0,$R2414=0,$Z2414&lt;&gt;"正常"),0,ROUND($T2414/$Q2414*$R2414,0)-ROUND(($T2414-$P2414)/$Q2414*$R2414,0)))</f>
        <v/>
      </c>
      <c r="V2414" s="26">
        <f>IF($G2414="","",ROUND($P2414+$U2414,0))</f>
        <v/>
      </c>
      <c r="W2414" s="26">
        <f>IF($G2414="","",IF(N($K2414)=0,0,ROUND($V2414/$K2414,2)))</f>
        <v/>
      </c>
      <c r="X2414" s="17" t="n"/>
      <c r="Y2414" s="17" t="n"/>
      <c r="Z2414" s="17" t="n"/>
      <c r="AA2414" s="17" t="n"/>
      <c r="AB2414" s="17" t="n"/>
      <c r="AC2414" s="24">
        <f>IF($G2414="","",IF($H2414="※编码不在物料档案里","※物料编码不在档案里",IF(N($K2414)&lt;=0,"※入库数量要大于 0",IF(AND($C2414&lt;&gt;"",$C2414&lt;=结账锁),"※日期早于已结账截止日，不能再录",IF(AND($L2414=0,$X2414="正常"),"※没填单价，价格状态请选「待补价」",IF(AND($S2414&gt;0,$R2414&gt;0),"△本批有 "&amp;$S2414&amp;" 行没单价，整批运费先挂账没摊",IF(AND($B2414&lt;&gt;"",COUNTIF($B$4:$B$2503,$B2414)&gt;1),"※入库单号重复","")))))))</f>
        <v/>
      </c>
    </row>
    <row r="2415">
      <c r="A2415" s="24">
        <f>IF($G2415="","",COUNTA($G$4:$G2415))</f>
        <v/>
      </c>
      <c r="B2415" s="17" t="n"/>
      <c r="C2415" s="30" t="n"/>
      <c r="D2415" s="17" t="n"/>
      <c r="E2415" s="17" t="n"/>
      <c r="F2415" s="17" t="n"/>
      <c r="G2415" s="17" t="n"/>
      <c r="H2415" s="24">
        <f>IF($G2415="","",IFERROR(VLOOKUP($G2415,物料档案!$A$4:$P$1203,3,0),"※编码不在物料档案里"))</f>
        <v/>
      </c>
      <c r="I2415" s="24">
        <f>IF($G2415="","",IFERROR(VLOOKUP($G2415,物料档案!$A$4:$P$1203,4,0),"※编码不在物料档案里"))</f>
        <v/>
      </c>
      <c r="J2415" s="24">
        <f>IF($G2415="","",IFERROR(VLOOKUP($G2415,物料档案!$A$4:$P$1203,5,0),"※编码不在物料档案里"))</f>
        <v/>
      </c>
      <c r="K2415" s="23" t="n"/>
      <c r="L2415" s="31" t="n"/>
      <c r="M2415" s="24">
        <f>IF($G2415="","",IF($D2415="A国内","CNY","TZS"))</f>
        <v/>
      </c>
      <c r="N2415" s="28">
        <f>IF($G2415="","",IF($D2415="A国内",汇率,1))</f>
        <v/>
      </c>
      <c r="O2415" s="25">
        <f>IF($G2415="","",ROUND(N($K2415)*N($L2415),2))</f>
        <v/>
      </c>
      <c r="P2415" s="26">
        <f>IF($G2415="","",ROUND($O2415*$N2415,0))</f>
        <v/>
      </c>
      <c r="Q2415" s="26">
        <f>IF($G2415="","",SUMIFS($P$4:$P$2503,$E$4:$E$2503,$E2415,$Z$4:$Z$2503,"正常"))</f>
        <v/>
      </c>
      <c r="R2415" s="26">
        <f>IF($G2415="","",SUMIFS(费用台账!$I$4:$I$503,费用台账!$C$4:$C$503,$E2415,费用台账!$J$4:$J$503,"是",费用台账!$K$4:$K$503,"正常"))</f>
        <v/>
      </c>
      <c r="S2415" s="28">
        <f>IF($G2415="","",COUNTIFS($E$4:$E$2503,$E2415,$Z$4:$Z$2503,"正常",$Y$4:$Y$2503,"待补价"))</f>
        <v/>
      </c>
      <c r="T2415" s="26">
        <f>IF($G2415="","",SUMIFS($P$4:$P$2503,$E$4:$E$2503,$E2415,$Z$4:$Z$2503,"正常",$A$4:$A$2503,"&lt;="&amp;$A2415))</f>
        <v/>
      </c>
      <c r="U2415" s="26">
        <f>IF($G2415="","",IF(OR($S2415&gt;0,$Q2415=0,$R2415=0,$Z2415&lt;&gt;"正常"),0,ROUND($T2415/$Q2415*$R2415,0)-ROUND(($T2415-$P2415)/$Q2415*$R2415,0)))</f>
        <v/>
      </c>
      <c r="V2415" s="26">
        <f>IF($G2415="","",ROUND($P2415+$U2415,0))</f>
        <v/>
      </c>
      <c r="W2415" s="26">
        <f>IF($G2415="","",IF(N($K2415)=0,0,ROUND($V2415/$K2415,2)))</f>
        <v/>
      </c>
      <c r="X2415" s="17" t="n"/>
      <c r="Y2415" s="17" t="n"/>
      <c r="Z2415" s="17" t="n"/>
      <c r="AA2415" s="17" t="n"/>
      <c r="AB2415" s="17" t="n"/>
      <c r="AC2415" s="24">
        <f>IF($G2415="","",IF($H2415="※编码不在物料档案里","※物料编码不在档案里",IF(N($K2415)&lt;=0,"※入库数量要大于 0",IF(AND($C2415&lt;&gt;"",$C2415&lt;=结账锁),"※日期早于已结账截止日，不能再录",IF(AND($L2415=0,$X2415="正常"),"※没填单价，价格状态请选「待补价」",IF(AND($S2415&gt;0,$R2415&gt;0),"△本批有 "&amp;$S2415&amp;" 行没单价，整批运费先挂账没摊",IF(AND($B2415&lt;&gt;"",COUNTIF($B$4:$B$2503,$B2415)&gt;1),"※入库单号重复","")))))))</f>
        <v/>
      </c>
    </row>
    <row r="2416">
      <c r="A2416" s="24">
        <f>IF($G2416="","",COUNTA($G$4:$G2416))</f>
        <v/>
      </c>
      <c r="B2416" s="17" t="n"/>
      <c r="C2416" s="30" t="n"/>
      <c r="D2416" s="17" t="n"/>
      <c r="E2416" s="17" t="n"/>
      <c r="F2416" s="17" t="n"/>
      <c r="G2416" s="17" t="n"/>
      <c r="H2416" s="24">
        <f>IF($G2416="","",IFERROR(VLOOKUP($G2416,物料档案!$A$4:$P$1203,3,0),"※编码不在物料档案里"))</f>
        <v/>
      </c>
      <c r="I2416" s="24">
        <f>IF($G2416="","",IFERROR(VLOOKUP($G2416,物料档案!$A$4:$P$1203,4,0),"※编码不在物料档案里"))</f>
        <v/>
      </c>
      <c r="J2416" s="24">
        <f>IF($G2416="","",IFERROR(VLOOKUP($G2416,物料档案!$A$4:$P$1203,5,0),"※编码不在物料档案里"))</f>
        <v/>
      </c>
      <c r="K2416" s="23" t="n"/>
      <c r="L2416" s="31" t="n"/>
      <c r="M2416" s="24">
        <f>IF($G2416="","",IF($D2416="A国内","CNY","TZS"))</f>
        <v/>
      </c>
      <c r="N2416" s="28">
        <f>IF($G2416="","",IF($D2416="A国内",汇率,1))</f>
        <v/>
      </c>
      <c r="O2416" s="25">
        <f>IF($G2416="","",ROUND(N($K2416)*N($L2416),2))</f>
        <v/>
      </c>
      <c r="P2416" s="26">
        <f>IF($G2416="","",ROUND($O2416*$N2416,0))</f>
        <v/>
      </c>
      <c r="Q2416" s="26">
        <f>IF($G2416="","",SUMIFS($P$4:$P$2503,$E$4:$E$2503,$E2416,$Z$4:$Z$2503,"正常"))</f>
        <v/>
      </c>
      <c r="R2416" s="26">
        <f>IF($G2416="","",SUMIFS(费用台账!$I$4:$I$503,费用台账!$C$4:$C$503,$E2416,费用台账!$J$4:$J$503,"是",费用台账!$K$4:$K$503,"正常"))</f>
        <v/>
      </c>
      <c r="S2416" s="28">
        <f>IF($G2416="","",COUNTIFS($E$4:$E$2503,$E2416,$Z$4:$Z$2503,"正常",$Y$4:$Y$2503,"待补价"))</f>
        <v/>
      </c>
      <c r="T2416" s="26">
        <f>IF($G2416="","",SUMIFS($P$4:$P$2503,$E$4:$E$2503,$E2416,$Z$4:$Z$2503,"正常",$A$4:$A$2503,"&lt;="&amp;$A2416))</f>
        <v/>
      </c>
      <c r="U2416" s="26">
        <f>IF($G2416="","",IF(OR($S2416&gt;0,$Q2416=0,$R2416=0,$Z2416&lt;&gt;"正常"),0,ROUND($T2416/$Q2416*$R2416,0)-ROUND(($T2416-$P2416)/$Q2416*$R2416,0)))</f>
        <v/>
      </c>
      <c r="V2416" s="26">
        <f>IF($G2416="","",ROUND($P2416+$U2416,0))</f>
        <v/>
      </c>
      <c r="W2416" s="26">
        <f>IF($G2416="","",IF(N($K2416)=0,0,ROUND($V2416/$K2416,2)))</f>
        <v/>
      </c>
      <c r="X2416" s="17" t="n"/>
      <c r="Y2416" s="17" t="n"/>
      <c r="Z2416" s="17" t="n"/>
      <c r="AA2416" s="17" t="n"/>
      <c r="AB2416" s="17" t="n"/>
      <c r="AC2416" s="24">
        <f>IF($G2416="","",IF($H2416="※编码不在物料档案里","※物料编码不在档案里",IF(N($K2416)&lt;=0,"※入库数量要大于 0",IF(AND($C2416&lt;&gt;"",$C2416&lt;=结账锁),"※日期早于已结账截止日，不能再录",IF(AND($L2416=0,$X2416="正常"),"※没填单价，价格状态请选「待补价」",IF(AND($S2416&gt;0,$R2416&gt;0),"△本批有 "&amp;$S2416&amp;" 行没单价，整批运费先挂账没摊",IF(AND($B2416&lt;&gt;"",COUNTIF($B$4:$B$2503,$B2416)&gt;1),"※入库单号重复","")))))))</f>
        <v/>
      </c>
    </row>
    <row r="2417">
      <c r="A2417" s="24">
        <f>IF($G2417="","",COUNTA($G$4:$G2417))</f>
        <v/>
      </c>
      <c r="B2417" s="17" t="n"/>
      <c r="C2417" s="30" t="n"/>
      <c r="D2417" s="17" t="n"/>
      <c r="E2417" s="17" t="n"/>
      <c r="F2417" s="17" t="n"/>
      <c r="G2417" s="17" t="n"/>
      <c r="H2417" s="24">
        <f>IF($G2417="","",IFERROR(VLOOKUP($G2417,物料档案!$A$4:$P$1203,3,0),"※编码不在物料档案里"))</f>
        <v/>
      </c>
      <c r="I2417" s="24">
        <f>IF($G2417="","",IFERROR(VLOOKUP($G2417,物料档案!$A$4:$P$1203,4,0),"※编码不在物料档案里"))</f>
        <v/>
      </c>
      <c r="J2417" s="24">
        <f>IF($G2417="","",IFERROR(VLOOKUP($G2417,物料档案!$A$4:$P$1203,5,0),"※编码不在物料档案里"))</f>
        <v/>
      </c>
      <c r="K2417" s="23" t="n"/>
      <c r="L2417" s="31" t="n"/>
      <c r="M2417" s="24">
        <f>IF($G2417="","",IF($D2417="A国内","CNY","TZS"))</f>
        <v/>
      </c>
      <c r="N2417" s="28">
        <f>IF($G2417="","",IF($D2417="A国内",汇率,1))</f>
        <v/>
      </c>
      <c r="O2417" s="25">
        <f>IF($G2417="","",ROUND(N($K2417)*N($L2417),2))</f>
        <v/>
      </c>
      <c r="P2417" s="26">
        <f>IF($G2417="","",ROUND($O2417*$N2417,0))</f>
        <v/>
      </c>
      <c r="Q2417" s="26">
        <f>IF($G2417="","",SUMIFS($P$4:$P$2503,$E$4:$E$2503,$E2417,$Z$4:$Z$2503,"正常"))</f>
        <v/>
      </c>
      <c r="R2417" s="26">
        <f>IF($G2417="","",SUMIFS(费用台账!$I$4:$I$503,费用台账!$C$4:$C$503,$E2417,费用台账!$J$4:$J$503,"是",费用台账!$K$4:$K$503,"正常"))</f>
        <v/>
      </c>
      <c r="S2417" s="28">
        <f>IF($G2417="","",COUNTIFS($E$4:$E$2503,$E2417,$Z$4:$Z$2503,"正常",$Y$4:$Y$2503,"待补价"))</f>
        <v/>
      </c>
      <c r="T2417" s="26">
        <f>IF($G2417="","",SUMIFS($P$4:$P$2503,$E$4:$E$2503,$E2417,$Z$4:$Z$2503,"正常",$A$4:$A$2503,"&lt;="&amp;$A2417))</f>
        <v/>
      </c>
      <c r="U2417" s="26">
        <f>IF($G2417="","",IF(OR($S2417&gt;0,$Q2417=0,$R2417=0,$Z2417&lt;&gt;"正常"),0,ROUND($T2417/$Q2417*$R2417,0)-ROUND(($T2417-$P2417)/$Q2417*$R2417,0)))</f>
        <v/>
      </c>
      <c r="V2417" s="26">
        <f>IF($G2417="","",ROUND($P2417+$U2417,0))</f>
        <v/>
      </c>
      <c r="W2417" s="26">
        <f>IF($G2417="","",IF(N($K2417)=0,0,ROUND($V2417/$K2417,2)))</f>
        <v/>
      </c>
      <c r="X2417" s="17" t="n"/>
      <c r="Y2417" s="17" t="n"/>
      <c r="Z2417" s="17" t="n"/>
      <c r="AA2417" s="17" t="n"/>
      <c r="AB2417" s="17" t="n"/>
      <c r="AC2417" s="24">
        <f>IF($G2417="","",IF($H2417="※编码不在物料档案里","※物料编码不在档案里",IF(N($K2417)&lt;=0,"※入库数量要大于 0",IF(AND($C2417&lt;&gt;"",$C2417&lt;=结账锁),"※日期早于已结账截止日，不能再录",IF(AND($L2417=0,$X2417="正常"),"※没填单价，价格状态请选「待补价」",IF(AND($S2417&gt;0,$R2417&gt;0),"△本批有 "&amp;$S2417&amp;" 行没单价，整批运费先挂账没摊",IF(AND($B2417&lt;&gt;"",COUNTIF($B$4:$B$2503,$B2417)&gt;1),"※入库单号重复","")))))))</f>
        <v/>
      </c>
    </row>
    <row r="2418">
      <c r="A2418" s="24">
        <f>IF($G2418="","",COUNTA($G$4:$G2418))</f>
        <v/>
      </c>
      <c r="B2418" s="17" t="n"/>
      <c r="C2418" s="30" t="n"/>
      <c r="D2418" s="17" t="n"/>
      <c r="E2418" s="17" t="n"/>
      <c r="F2418" s="17" t="n"/>
      <c r="G2418" s="17" t="n"/>
      <c r="H2418" s="24">
        <f>IF($G2418="","",IFERROR(VLOOKUP($G2418,物料档案!$A$4:$P$1203,3,0),"※编码不在物料档案里"))</f>
        <v/>
      </c>
      <c r="I2418" s="24">
        <f>IF($G2418="","",IFERROR(VLOOKUP($G2418,物料档案!$A$4:$P$1203,4,0),"※编码不在物料档案里"))</f>
        <v/>
      </c>
      <c r="J2418" s="24">
        <f>IF($G2418="","",IFERROR(VLOOKUP($G2418,物料档案!$A$4:$P$1203,5,0),"※编码不在物料档案里"))</f>
        <v/>
      </c>
      <c r="K2418" s="23" t="n"/>
      <c r="L2418" s="31" t="n"/>
      <c r="M2418" s="24">
        <f>IF($G2418="","",IF($D2418="A国内","CNY","TZS"))</f>
        <v/>
      </c>
      <c r="N2418" s="28">
        <f>IF($G2418="","",IF($D2418="A国内",汇率,1))</f>
        <v/>
      </c>
      <c r="O2418" s="25">
        <f>IF($G2418="","",ROUND(N($K2418)*N($L2418),2))</f>
        <v/>
      </c>
      <c r="P2418" s="26">
        <f>IF($G2418="","",ROUND($O2418*$N2418,0))</f>
        <v/>
      </c>
      <c r="Q2418" s="26">
        <f>IF($G2418="","",SUMIFS($P$4:$P$2503,$E$4:$E$2503,$E2418,$Z$4:$Z$2503,"正常"))</f>
        <v/>
      </c>
      <c r="R2418" s="26">
        <f>IF($G2418="","",SUMIFS(费用台账!$I$4:$I$503,费用台账!$C$4:$C$503,$E2418,费用台账!$J$4:$J$503,"是",费用台账!$K$4:$K$503,"正常"))</f>
        <v/>
      </c>
      <c r="S2418" s="28">
        <f>IF($G2418="","",COUNTIFS($E$4:$E$2503,$E2418,$Z$4:$Z$2503,"正常",$Y$4:$Y$2503,"待补价"))</f>
        <v/>
      </c>
      <c r="T2418" s="26">
        <f>IF($G2418="","",SUMIFS($P$4:$P$2503,$E$4:$E$2503,$E2418,$Z$4:$Z$2503,"正常",$A$4:$A$2503,"&lt;="&amp;$A2418))</f>
        <v/>
      </c>
      <c r="U2418" s="26">
        <f>IF($G2418="","",IF(OR($S2418&gt;0,$Q2418=0,$R2418=0,$Z2418&lt;&gt;"正常"),0,ROUND($T2418/$Q2418*$R2418,0)-ROUND(($T2418-$P2418)/$Q2418*$R2418,0)))</f>
        <v/>
      </c>
      <c r="V2418" s="26">
        <f>IF($G2418="","",ROUND($P2418+$U2418,0))</f>
        <v/>
      </c>
      <c r="W2418" s="26">
        <f>IF($G2418="","",IF(N($K2418)=0,0,ROUND($V2418/$K2418,2)))</f>
        <v/>
      </c>
      <c r="X2418" s="17" t="n"/>
      <c r="Y2418" s="17" t="n"/>
      <c r="Z2418" s="17" t="n"/>
      <c r="AA2418" s="17" t="n"/>
      <c r="AB2418" s="17" t="n"/>
      <c r="AC2418" s="24">
        <f>IF($G2418="","",IF($H2418="※编码不在物料档案里","※物料编码不在档案里",IF(N($K2418)&lt;=0,"※入库数量要大于 0",IF(AND($C2418&lt;&gt;"",$C2418&lt;=结账锁),"※日期早于已结账截止日，不能再录",IF(AND($L2418=0,$X2418="正常"),"※没填单价，价格状态请选「待补价」",IF(AND($S2418&gt;0,$R2418&gt;0),"△本批有 "&amp;$S2418&amp;" 行没单价，整批运费先挂账没摊",IF(AND($B2418&lt;&gt;"",COUNTIF($B$4:$B$2503,$B2418)&gt;1),"※入库单号重复","")))))))</f>
        <v/>
      </c>
    </row>
    <row r="2419">
      <c r="A2419" s="24">
        <f>IF($G2419="","",COUNTA($G$4:$G2419))</f>
        <v/>
      </c>
      <c r="B2419" s="17" t="n"/>
      <c r="C2419" s="30" t="n"/>
      <c r="D2419" s="17" t="n"/>
      <c r="E2419" s="17" t="n"/>
      <c r="F2419" s="17" t="n"/>
      <c r="G2419" s="17" t="n"/>
      <c r="H2419" s="24">
        <f>IF($G2419="","",IFERROR(VLOOKUP($G2419,物料档案!$A$4:$P$1203,3,0),"※编码不在物料档案里"))</f>
        <v/>
      </c>
      <c r="I2419" s="24">
        <f>IF($G2419="","",IFERROR(VLOOKUP($G2419,物料档案!$A$4:$P$1203,4,0),"※编码不在物料档案里"))</f>
        <v/>
      </c>
      <c r="J2419" s="24">
        <f>IF($G2419="","",IFERROR(VLOOKUP($G2419,物料档案!$A$4:$P$1203,5,0),"※编码不在物料档案里"))</f>
        <v/>
      </c>
      <c r="K2419" s="23" t="n"/>
      <c r="L2419" s="31" t="n"/>
      <c r="M2419" s="24">
        <f>IF($G2419="","",IF($D2419="A国内","CNY","TZS"))</f>
        <v/>
      </c>
      <c r="N2419" s="28">
        <f>IF($G2419="","",IF($D2419="A国内",汇率,1))</f>
        <v/>
      </c>
      <c r="O2419" s="25">
        <f>IF($G2419="","",ROUND(N($K2419)*N($L2419),2))</f>
        <v/>
      </c>
      <c r="P2419" s="26">
        <f>IF($G2419="","",ROUND($O2419*$N2419,0))</f>
        <v/>
      </c>
      <c r="Q2419" s="26">
        <f>IF($G2419="","",SUMIFS($P$4:$P$2503,$E$4:$E$2503,$E2419,$Z$4:$Z$2503,"正常"))</f>
        <v/>
      </c>
      <c r="R2419" s="26">
        <f>IF($G2419="","",SUMIFS(费用台账!$I$4:$I$503,费用台账!$C$4:$C$503,$E2419,费用台账!$J$4:$J$503,"是",费用台账!$K$4:$K$503,"正常"))</f>
        <v/>
      </c>
      <c r="S2419" s="28">
        <f>IF($G2419="","",COUNTIFS($E$4:$E$2503,$E2419,$Z$4:$Z$2503,"正常",$Y$4:$Y$2503,"待补价"))</f>
        <v/>
      </c>
      <c r="T2419" s="26">
        <f>IF($G2419="","",SUMIFS($P$4:$P$2503,$E$4:$E$2503,$E2419,$Z$4:$Z$2503,"正常",$A$4:$A$2503,"&lt;="&amp;$A2419))</f>
        <v/>
      </c>
      <c r="U2419" s="26">
        <f>IF($G2419="","",IF(OR($S2419&gt;0,$Q2419=0,$R2419=0,$Z2419&lt;&gt;"正常"),0,ROUND($T2419/$Q2419*$R2419,0)-ROUND(($T2419-$P2419)/$Q2419*$R2419,0)))</f>
        <v/>
      </c>
      <c r="V2419" s="26">
        <f>IF($G2419="","",ROUND($P2419+$U2419,0))</f>
        <v/>
      </c>
      <c r="W2419" s="26">
        <f>IF($G2419="","",IF(N($K2419)=0,0,ROUND($V2419/$K2419,2)))</f>
        <v/>
      </c>
      <c r="X2419" s="17" t="n"/>
      <c r="Y2419" s="17" t="n"/>
      <c r="Z2419" s="17" t="n"/>
      <c r="AA2419" s="17" t="n"/>
      <c r="AB2419" s="17" t="n"/>
      <c r="AC2419" s="24">
        <f>IF($G2419="","",IF($H2419="※编码不在物料档案里","※物料编码不在档案里",IF(N($K2419)&lt;=0,"※入库数量要大于 0",IF(AND($C2419&lt;&gt;"",$C2419&lt;=结账锁),"※日期早于已结账截止日，不能再录",IF(AND($L2419=0,$X2419="正常"),"※没填单价，价格状态请选「待补价」",IF(AND($S2419&gt;0,$R2419&gt;0),"△本批有 "&amp;$S2419&amp;" 行没单价，整批运费先挂账没摊",IF(AND($B2419&lt;&gt;"",COUNTIF($B$4:$B$2503,$B2419)&gt;1),"※入库单号重复","")))))))</f>
        <v/>
      </c>
    </row>
    <row r="2420">
      <c r="A2420" s="24">
        <f>IF($G2420="","",COUNTA($G$4:$G2420))</f>
        <v/>
      </c>
      <c r="B2420" s="17" t="n"/>
      <c r="C2420" s="30" t="n"/>
      <c r="D2420" s="17" t="n"/>
      <c r="E2420" s="17" t="n"/>
      <c r="F2420" s="17" t="n"/>
      <c r="G2420" s="17" t="n"/>
      <c r="H2420" s="24">
        <f>IF($G2420="","",IFERROR(VLOOKUP($G2420,物料档案!$A$4:$P$1203,3,0),"※编码不在物料档案里"))</f>
        <v/>
      </c>
      <c r="I2420" s="24">
        <f>IF($G2420="","",IFERROR(VLOOKUP($G2420,物料档案!$A$4:$P$1203,4,0),"※编码不在物料档案里"))</f>
        <v/>
      </c>
      <c r="J2420" s="24">
        <f>IF($G2420="","",IFERROR(VLOOKUP($G2420,物料档案!$A$4:$P$1203,5,0),"※编码不在物料档案里"))</f>
        <v/>
      </c>
      <c r="K2420" s="23" t="n"/>
      <c r="L2420" s="31" t="n"/>
      <c r="M2420" s="24">
        <f>IF($G2420="","",IF($D2420="A国内","CNY","TZS"))</f>
        <v/>
      </c>
      <c r="N2420" s="28">
        <f>IF($G2420="","",IF($D2420="A国内",汇率,1))</f>
        <v/>
      </c>
      <c r="O2420" s="25">
        <f>IF($G2420="","",ROUND(N($K2420)*N($L2420),2))</f>
        <v/>
      </c>
      <c r="P2420" s="26">
        <f>IF($G2420="","",ROUND($O2420*$N2420,0))</f>
        <v/>
      </c>
      <c r="Q2420" s="26">
        <f>IF($G2420="","",SUMIFS($P$4:$P$2503,$E$4:$E$2503,$E2420,$Z$4:$Z$2503,"正常"))</f>
        <v/>
      </c>
      <c r="R2420" s="26">
        <f>IF($G2420="","",SUMIFS(费用台账!$I$4:$I$503,费用台账!$C$4:$C$503,$E2420,费用台账!$J$4:$J$503,"是",费用台账!$K$4:$K$503,"正常"))</f>
        <v/>
      </c>
      <c r="S2420" s="28">
        <f>IF($G2420="","",COUNTIFS($E$4:$E$2503,$E2420,$Z$4:$Z$2503,"正常",$Y$4:$Y$2503,"待补价"))</f>
        <v/>
      </c>
      <c r="T2420" s="26">
        <f>IF($G2420="","",SUMIFS($P$4:$P$2503,$E$4:$E$2503,$E2420,$Z$4:$Z$2503,"正常",$A$4:$A$2503,"&lt;="&amp;$A2420))</f>
        <v/>
      </c>
      <c r="U2420" s="26">
        <f>IF($G2420="","",IF(OR($S2420&gt;0,$Q2420=0,$R2420=0,$Z2420&lt;&gt;"正常"),0,ROUND($T2420/$Q2420*$R2420,0)-ROUND(($T2420-$P2420)/$Q2420*$R2420,0)))</f>
        <v/>
      </c>
      <c r="V2420" s="26">
        <f>IF($G2420="","",ROUND($P2420+$U2420,0))</f>
        <v/>
      </c>
      <c r="W2420" s="26">
        <f>IF($G2420="","",IF(N($K2420)=0,0,ROUND($V2420/$K2420,2)))</f>
        <v/>
      </c>
      <c r="X2420" s="17" t="n"/>
      <c r="Y2420" s="17" t="n"/>
      <c r="Z2420" s="17" t="n"/>
      <c r="AA2420" s="17" t="n"/>
      <c r="AB2420" s="17" t="n"/>
      <c r="AC2420" s="24">
        <f>IF($G2420="","",IF($H2420="※编码不在物料档案里","※物料编码不在档案里",IF(N($K2420)&lt;=0,"※入库数量要大于 0",IF(AND($C2420&lt;&gt;"",$C2420&lt;=结账锁),"※日期早于已结账截止日，不能再录",IF(AND($L2420=0,$X2420="正常"),"※没填单价，价格状态请选「待补价」",IF(AND($S2420&gt;0,$R2420&gt;0),"△本批有 "&amp;$S2420&amp;" 行没单价，整批运费先挂账没摊",IF(AND($B2420&lt;&gt;"",COUNTIF($B$4:$B$2503,$B2420)&gt;1),"※入库单号重复","")))))))</f>
        <v/>
      </c>
    </row>
    <row r="2421">
      <c r="A2421" s="24">
        <f>IF($G2421="","",COUNTA($G$4:$G2421))</f>
        <v/>
      </c>
      <c r="B2421" s="17" t="n"/>
      <c r="C2421" s="30" t="n"/>
      <c r="D2421" s="17" t="n"/>
      <c r="E2421" s="17" t="n"/>
      <c r="F2421" s="17" t="n"/>
      <c r="G2421" s="17" t="n"/>
      <c r="H2421" s="24">
        <f>IF($G2421="","",IFERROR(VLOOKUP($G2421,物料档案!$A$4:$P$1203,3,0),"※编码不在物料档案里"))</f>
        <v/>
      </c>
      <c r="I2421" s="24">
        <f>IF($G2421="","",IFERROR(VLOOKUP($G2421,物料档案!$A$4:$P$1203,4,0),"※编码不在物料档案里"))</f>
        <v/>
      </c>
      <c r="J2421" s="24">
        <f>IF($G2421="","",IFERROR(VLOOKUP($G2421,物料档案!$A$4:$P$1203,5,0),"※编码不在物料档案里"))</f>
        <v/>
      </c>
      <c r="K2421" s="23" t="n"/>
      <c r="L2421" s="31" t="n"/>
      <c r="M2421" s="24">
        <f>IF($G2421="","",IF($D2421="A国内","CNY","TZS"))</f>
        <v/>
      </c>
      <c r="N2421" s="28">
        <f>IF($G2421="","",IF($D2421="A国内",汇率,1))</f>
        <v/>
      </c>
      <c r="O2421" s="25">
        <f>IF($G2421="","",ROUND(N($K2421)*N($L2421),2))</f>
        <v/>
      </c>
      <c r="P2421" s="26">
        <f>IF($G2421="","",ROUND($O2421*$N2421,0))</f>
        <v/>
      </c>
      <c r="Q2421" s="26">
        <f>IF($G2421="","",SUMIFS($P$4:$P$2503,$E$4:$E$2503,$E2421,$Z$4:$Z$2503,"正常"))</f>
        <v/>
      </c>
      <c r="R2421" s="26">
        <f>IF($G2421="","",SUMIFS(费用台账!$I$4:$I$503,费用台账!$C$4:$C$503,$E2421,费用台账!$J$4:$J$503,"是",费用台账!$K$4:$K$503,"正常"))</f>
        <v/>
      </c>
      <c r="S2421" s="28">
        <f>IF($G2421="","",COUNTIFS($E$4:$E$2503,$E2421,$Z$4:$Z$2503,"正常",$Y$4:$Y$2503,"待补价"))</f>
        <v/>
      </c>
      <c r="T2421" s="26">
        <f>IF($G2421="","",SUMIFS($P$4:$P$2503,$E$4:$E$2503,$E2421,$Z$4:$Z$2503,"正常",$A$4:$A$2503,"&lt;="&amp;$A2421))</f>
        <v/>
      </c>
      <c r="U2421" s="26">
        <f>IF($G2421="","",IF(OR($S2421&gt;0,$Q2421=0,$R2421=0,$Z2421&lt;&gt;"正常"),0,ROUND($T2421/$Q2421*$R2421,0)-ROUND(($T2421-$P2421)/$Q2421*$R2421,0)))</f>
        <v/>
      </c>
      <c r="V2421" s="26">
        <f>IF($G2421="","",ROUND($P2421+$U2421,0))</f>
        <v/>
      </c>
      <c r="W2421" s="26">
        <f>IF($G2421="","",IF(N($K2421)=0,0,ROUND($V2421/$K2421,2)))</f>
        <v/>
      </c>
      <c r="X2421" s="17" t="n"/>
      <c r="Y2421" s="17" t="n"/>
      <c r="Z2421" s="17" t="n"/>
      <c r="AA2421" s="17" t="n"/>
      <c r="AB2421" s="17" t="n"/>
      <c r="AC2421" s="24">
        <f>IF($G2421="","",IF($H2421="※编码不在物料档案里","※物料编码不在档案里",IF(N($K2421)&lt;=0,"※入库数量要大于 0",IF(AND($C2421&lt;&gt;"",$C2421&lt;=结账锁),"※日期早于已结账截止日，不能再录",IF(AND($L2421=0,$X2421="正常"),"※没填单价，价格状态请选「待补价」",IF(AND($S2421&gt;0,$R2421&gt;0),"△本批有 "&amp;$S2421&amp;" 行没单价，整批运费先挂账没摊",IF(AND($B2421&lt;&gt;"",COUNTIF($B$4:$B$2503,$B2421)&gt;1),"※入库单号重复","")))))))</f>
        <v/>
      </c>
    </row>
    <row r="2422">
      <c r="A2422" s="24">
        <f>IF($G2422="","",COUNTA($G$4:$G2422))</f>
        <v/>
      </c>
      <c r="B2422" s="17" t="n"/>
      <c r="C2422" s="30" t="n"/>
      <c r="D2422" s="17" t="n"/>
      <c r="E2422" s="17" t="n"/>
      <c r="F2422" s="17" t="n"/>
      <c r="G2422" s="17" t="n"/>
      <c r="H2422" s="24">
        <f>IF($G2422="","",IFERROR(VLOOKUP($G2422,物料档案!$A$4:$P$1203,3,0),"※编码不在物料档案里"))</f>
        <v/>
      </c>
      <c r="I2422" s="24">
        <f>IF($G2422="","",IFERROR(VLOOKUP($G2422,物料档案!$A$4:$P$1203,4,0),"※编码不在物料档案里"))</f>
        <v/>
      </c>
      <c r="J2422" s="24">
        <f>IF($G2422="","",IFERROR(VLOOKUP($G2422,物料档案!$A$4:$P$1203,5,0),"※编码不在物料档案里"))</f>
        <v/>
      </c>
      <c r="K2422" s="23" t="n"/>
      <c r="L2422" s="31" t="n"/>
      <c r="M2422" s="24">
        <f>IF($G2422="","",IF($D2422="A国内","CNY","TZS"))</f>
        <v/>
      </c>
      <c r="N2422" s="28">
        <f>IF($G2422="","",IF($D2422="A国内",汇率,1))</f>
        <v/>
      </c>
      <c r="O2422" s="25">
        <f>IF($G2422="","",ROUND(N($K2422)*N($L2422),2))</f>
        <v/>
      </c>
      <c r="P2422" s="26">
        <f>IF($G2422="","",ROUND($O2422*$N2422,0))</f>
        <v/>
      </c>
      <c r="Q2422" s="26">
        <f>IF($G2422="","",SUMIFS($P$4:$P$2503,$E$4:$E$2503,$E2422,$Z$4:$Z$2503,"正常"))</f>
        <v/>
      </c>
      <c r="R2422" s="26">
        <f>IF($G2422="","",SUMIFS(费用台账!$I$4:$I$503,费用台账!$C$4:$C$503,$E2422,费用台账!$J$4:$J$503,"是",费用台账!$K$4:$K$503,"正常"))</f>
        <v/>
      </c>
      <c r="S2422" s="28">
        <f>IF($G2422="","",COUNTIFS($E$4:$E$2503,$E2422,$Z$4:$Z$2503,"正常",$Y$4:$Y$2503,"待补价"))</f>
        <v/>
      </c>
      <c r="T2422" s="26">
        <f>IF($G2422="","",SUMIFS($P$4:$P$2503,$E$4:$E$2503,$E2422,$Z$4:$Z$2503,"正常",$A$4:$A$2503,"&lt;="&amp;$A2422))</f>
        <v/>
      </c>
      <c r="U2422" s="26">
        <f>IF($G2422="","",IF(OR($S2422&gt;0,$Q2422=0,$R2422=0,$Z2422&lt;&gt;"正常"),0,ROUND($T2422/$Q2422*$R2422,0)-ROUND(($T2422-$P2422)/$Q2422*$R2422,0)))</f>
        <v/>
      </c>
      <c r="V2422" s="26">
        <f>IF($G2422="","",ROUND($P2422+$U2422,0))</f>
        <v/>
      </c>
      <c r="W2422" s="26">
        <f>IF($G2422="","",IF(N($K2422)=0,0,ROUND($V2422/$K2422,2)))</f>
        <v/>
      </c>
      <c r="X2422" s="17" t="n"/>
      <c r="Y2422" s="17" t="n"/>
      <c r="Z2422" s="17" t="n"/>
      <c r="AA2422" s="17" t="n"/>
      <c r="AB2422" s="17" t="n"/>
      <c r="AC2422" s="24">
        <f>IF($G2422="","",IF($H2422="※编码不在物料档案里","※物料编码不在档案里",IF(N($K2422)&lt;=0,"※入库数量要大于 0",IF(AND($C2422&lt;&gt;"",$C2422&lt;=结账锁),"※日期早于已结账截止日，不能再录",IF(AND($L2422=0,$X2422="正常"),"※没填单价，价格状态请选「待补价」",IF(AND($S2422&gt;0,$R2422&gt;0),"△本批有 "&amp;$S2422&amp;" 行没单价，整批运费先挂账没摊",IF(AND($B2422&lt;&gt;"",COUNTIF($B$4:$B$2503,$B2422)&gt;1),"※入库单号重复","")))))))</f>
        <v/>
      </c>
    </row>
    <row r="2423">
      <c r="A2423" s="24">
        <f>IF($G2423="","",COUNTA($G$4:$G2423))</f>
        <v/>
      </c>
      <c r="B2423" s="17" t="n"/>
      <c r="C2423" s="30" t="n"/>
      <c r="D2423" s="17" t="n"/>
      <c r="E2423" s="17" t="n"/>
      <c r="F2423" s="17" t="n"/>
      <c r="G2423" s="17" t="n"/>
      <c r="H2423" s="24">
        <f>IF($G2423="","",IFERROR(VLOOKUP($G2423,物料档案!$A$4:$P$1203,3,0),"※编码不在物料档案里"))</f>
        <v/>
      </c>
      <c r="I2423" s="24">
        <f>IF($G2423="","",IFERROR(VLOOKUP($G2423,物料档案!$A$4:$P$1203,4,0),"※编码不在物料档案里"))</f>
        <v/>
      </c>
      <c r="J2423" s="24">
        <f>IF($G2423="","",IFERROR(VLOOKUP($G2423,物料档案!$A$4:$P$1203,5,0),"※编码不在物料档案里"))</f>
        <v/>
      </c>
      <c r="K2423" s="23" t="n"/>
      <c r="L2423" s="31" t="n"/>
      <c r="M2423" s="24">
        <f>IF($G2423="","",IF($D2423="A国内","CNY","TZS"))</f>
        <v/>
      </c>
      <c r="N2423" s="28">
        <f>IF($G2423="","",IF($D2423="A国内",汇率,1))</f>
        <v/>
      </c>
      <c r="O2423" s="25">
        <f>IF($G2423="","",ROUND(N($K2423)*N($L2423),2))</f>
        <v/>
      </c>
      <c r="P2423" s="26">
        <f>IF($G2423="","",ROUND($O2423*$N2423,0))</f>
        <v/>
      </c>
      <c r="Q2423" s="26">
        <f>IF($G2423="","",SUMIFS($P$4:$P$2503,$E$4:$E$2503,$E2423,$Z$4:$Z$2503,"正常"))</f>
        <v/>
      </c>
      <c r="R2423" s="26">
        <f>IF($G2423="","",SUMIFS(费用台账!$I$4:$I$503,费用台账!$C$4:$C$503,$E2423,费用台账!$J$4:$J$503,"是",费用台账!$K$4:$K$503,"正常"))</f>
        <v/>
      </c>
      <c r="S2423" s="28">
        <f>IF($G2423="","",COUNTIFS($E$4:$E$2503,$E2423,$Z$4:$Z$2503,"正常",$Y$4:$Y$2503,"待补价"))</f>
        <v/>
      </c>
      <c r="T2423" s="26">
        <f>IF($G2423="","",SUMIFS($P$4:$P$2503,$E$4:$E$2503,$E2423,$Z$4:$Z$2503,"正常",$A$4:$A$2503,"&lt;="&amp;$A2423))</f>
        <v/>
      </c>
      <c r="U2423" s="26">
        <f>IF($G2423="","",IF(OR($S2423&gt;0,$Q2423=0,$R2423=0,$Z2423&lt;&gt;"正常"),0,ROUND($T2423/$Q2423*$R2423,0)-ROUND(($T2423-$P2423)/$Q2423*$R2423,0)))</f>
        <v/>
      </c>
      <c r="V2423" s="26">
        <f>IF($G2423="","",ROUND($P2423+$U2423,0))</f>
        <v/>
      </c>
      <c r="W2423" s="26">
        <f>IF($G2423="","",IF(N($K2423)=0,0,ROUND($V2423/$K2423,2)))</f>
        <v/>
      </c>
      <c r="X2423" s="17" t="n"/>
      <c r="Y2423" s="17" t="n"/>
      <c r="Z2423" s="17" t="n"/>
      <c r="AA2423" s="17" t="n"/>
      <c r="AB2423" s="17" t="n"/>
      <c r="AC2423" s="24">
        <f>IF($G2423="","",IF($H2423="※编码不在物料档案里","※物料编码不在档案里",IF(N($K2423)&lt;=0,"※入库数量要大于 0",IF(AND($C2423&lt;&gt;"",$C2423&lt;=结账锁),"※日期早于已结账截止日，不能再录",IF(AND($L2423=0,$X2423="正常"),"※没填单价，价格状态请选「待补价」",IF(AND($S2423&gt;0,$R2423&gt;0),"△本批有 "&amp;$S2423&amp;" 行没单价，整批运费先挂账没摊",IF(AND($B2423&lt;&gt;"",COUNTIF($B$4:$B$2503,$B2423)&gt;1),"※入库单号重复","")))))))</f>
        <v/>
      </c>
    </row>
    <row r="2424">
      <c r="A2424" s="24">
        <f>IF($G2424="","",COUNTA($G$4:$G2424))</f>
        <v/>
      </c>
      <c r="B2424" s="17" t="n"/>
      <c r="C2424" s="30" t="n"/>
      <c r="D2424" s="17" t="n"/>
      <c r="E2424" s="17" t="n"/>
      <c r="F2424" s="17" t="n"/>
      <c r="G2424" s="17" t="n"/>
      <c r="H2424" s="24">
        <f>IF($G2424="","",IFERROR(VLOOKUP($G2424,物料档案!$A$4:$P$1203,3,0),"※编码不在物料档案里"))</f>
        <v/>
      </c>
      <c r="I2424" s="24">
        <f>IF($G2424="","",IFERROR(VLOOKUP($G2424,物料档案!$A$4:$P$1203,4,0),"※编码不在物料档案里"))</f>
        <v/>
      </c>
      <c r="J2424" s="24">
        <f>IF($G2424="","",IFERROR(VLOOKUP($G2424,物料档案!$A$4:$P$1203,5,0),"※编码不在物料档案里"))</f>
        <v/>
      </c>
      <c r="K2424" s="23" t="n"/>
      <c r="L2424" s="31" t="n"/>
      <c r="M2424" s="24">
        <f>IF($G2424="","",IF($D2424="A国内","CNY","TZS"))</f>
        <v/>
      </c>
      <c r="N2424" s="28">
        <f>IF($G2424="","",IF($D2424="A国内",汇率,1))</f>
        <v/>
      </c>
      <c r="O2424" s="25">
        <f>IF($G2424="","",ROUND(N($K2424)*N($L2424),2))</f>
        <v/>
      </c>
      <c r="P2424" s="26">
        <f>IF($G2424="","",ROUND($O2424*$N2424,0))</f>
        <v/>
      </c>
      <c r="Q2424" s="26">
        <f>IF($G2424="","",SUMIFS($P$4:$P$2503,$E$4:$E$2503,$E2424,$Z$4:$Z$2503,"正常"))</f>
        <v/>
      </c>
      <c r="R2424" s="26">
        <f>IF($G2424="","",SUMIFS(费用台账!$I$4:$I$503,费用台账!$C$4:$C$503,$E2424,费用台账!$J$4:$J$503,"是",费用台账!$K$4:$K$503,"正常"))</f>
        <v/>
      </c>
      <c r="S2424" s="28">
        <f>IF($G2424="","",COUNTIFS($E$4:$E$2503,$E2424,$Z$4:$Z$2503,"正常",$Y$4:$Y$2503,"待补价"))</f>
        <v/>
      </c>
      <c r="T2424" s="26">
        <f>IF($G2424="","",SUMIFS($P$4:$P$2503,$E$4:$E$2503,$E2424,$Z$4:$Z$2503,"正常",$A$4:$A$2503,"&lt;="&amp;$A2424))</f>
        <v/>
      </c>
      <c r="U2424" s="26">
        <f>IF($G2424="","",IF(OR($S2424&gt;0,$Q2424=0,$R2424=0,$Z2424&lt;&gt;"正常"),0,ROUND($T2424/$Q2424*$R2424,0)-ROUND(($T2424-$P2424)/$Q2424*$R2424,0)))</f>
        <v/>
      </c>
      <c r="V2424" s="26">
        <f>IF($G2424="","",ROUND($P2424+$U2424,0))</f>
        <v/>
      </c>
      <c r="W2424" s="26">
        <f>IF($G2424="","",IF(N($K2424)=0,0,ROUND($V2424/$K2424,2)))</f>
        <v/>
      </c>
      <c r="X2424" s="17" t="n"/>
      <c r="Y2424" s="17" t="n"/>
      <c r="Z2424" s="17" t="n"/>
      <c r="AA2424" s="17" t="n"/>
      <c r="AB2424" s="17" t="n"/>
      <c r="AC2424" s="24">
        <f>IF($G2424="","",IF($H2424="※编码不在物料档案里","※物料编码不在档案里",IF(N($K2424)&lt;=0,"※入库数量要大于 0",IF(AND($C2424&lt;&gt;"",$C2424&lt;=结账锁),"※日期早于已结账截止日，不能再录",IF(AND($L2424=0,$X2424="正常"),"※没填单价，价格状态请选「待补价」",IF(AND($S2424&gt;0,$R2424&gt;0),"△本批有 "&amp;$S2424&amp;" 行没单价，整批运费先挂账没摊",IF(AND($B2424&lt;&gt;"",COUNTIF($B$4:$B$2503,$B2424)&gt;1),"※入库单号重复","")))))))</f>
        <v/>
      </c>
    </row>
    <row r="2425">
      <c r="A2425" s="24">
        <f>IF($G2425="","",COUNTA($G$4:$G2425))</f>
        <v/>
      </c>
      <c r="B2425" s="17" t="n"/>
      <c r="C2425" s="30" t="n"/>
      <c r="D2425" s="17" t="n"/>
      <c r="E2425" s="17" t="n"/>
      <c r="F2425" s="17" t="n"/>
      <c r="G2425" s="17" t="n"/>
      <c r="H2425" s="24">
        <f>IF($G2425="","",IFERROR(VLOOKUP($G2425,物料档案!$A$4:$P$1203,3,0),"※编码不在物料档案里"))</f>
        <v/>
      </c>
      <c r="I2425" s="24">
        <f>IF($G2425="","",IFERROR(VLOOKUP($G2425,物料档案!$A$4:$P$1203,4,0),"※编码不在物料档案里"))</f>
        <v/>
      </c>
      <c r="J2425" s="24">
        <f>IF($G2425="","",IFERROR(VLOOKUP($G2425,物料档案!$A$4:$P$1203,5,0),"※编码不在物料档案里"))</f>
        <v/>
      </c>
      <c r="K2425" s="23" t="n"/>
      <c r="L2425" s="31" t="n"/>
      <c r="M2425" s="24">
        <f>IF($G2425="","",IF($D2425="A国内","CNY","TZS"))</f>
        <v/>
      </c>
      <c r="N2425" s="28">
        <f>IF($G2425="","",IF($D2425="A国内",汇率,1))</f>
        <v/>
      </c>
      <c r="O2425" s="25">
        <f>IF($G2425="","",ROUND(N($K2425)*N($L2425),2))</f>
        <v/>
      </c>
      <c r="P2425" s="26">
        <f>IF($G2425="","",ROUND($O2425*$N2425,0))</f>
        <v/>
      </c>
      <c r="Q2425" s="26">
        <f>IF($G2425="","",SUMIFS($P$4:$P$2503,$E$4:$E$2503,$E2425,$Z$4:$Z$2503,"正常"))</f>
        <v/>
      </c>
      <c r="R2425" s="26">
        <f>IF($G2425="","",SUMIFS(费用台账!$I$4:$I$503,费用台账!$C$4:$C$503,$E2425,费用台账!$J$4:$J$503,"是",费用台账!$K$4:$K$503,"正常"))</f>
        <v/>
      </c>
      <c r="S2425" s="28">
        <f>IF($G2425="","",COUNTIFS($E$4:$E$2503,$E2425,$Z$4:$Z$2503,"正常",$Y$4:$Y$2503,"待补价"))</f>
        <v/>
      </c>
      <c r="T2425" s="26">
        <f>IF($G2425="","",SUMIFS($P$4:$P$2503,$E$4:$E$2503,$E2425,$Z$4:$Z$2503,"正常",$A$4:$A$2503,"&lt;="&amp;$A2425))</f>
        <v/>
      </c>
      <c r="U2425" s="26">
        <f>IF($G2425="","",IF(OR($S2425&gt;0,$Q2425=0,$R2425=0,$Z2425&lt;&gt;"正常"),0,ROUND($T2425/$Q2425*$R2425,0)-ROUND(($T2425-$P2425)/$Q2425*$R2425,0)))</f>
        <v/>
      </c>
      <c r="V2425" s="26">
        <f>IF($G2425="","",ROUND($P2425+$U2425,0))</f>
        <v/>
      </c>
      <c r="W2425" s="26">
        <f>IF($G2425="","",IF(N($K2425)=0,0,ROUND($V2425/$K2425,2)))</f>
        <v/>
      </c>
      <c r="X2425" s="17" t="n"/>
      <c r="Y2425" s="17" t="n"/>
      <c r="Z2425" s="17" t="n"/>
      <c r="AA2425" s="17" t="n"/>
      <c r="AB2425" s="17" t="n"/>
      <c r="AC2425" s="24">
        <f>IF($G2425="","",IF($H2425="※编码不在物料档案里","※物料编码不在档案里",IF(N($K2425)&lt;=0,"※入库数量要大于 0",IF(AND($C2425&lt;&gt;"",$C2425&lt;=结账锁),"※日期早于已结账截止日，不能再录",IF(AND($L2425=0,$X2425="正常"),"※没填单价，价格状态请选「待补价」",IF(AND($S2425&gt;0,$R2425&gt;0),"△本批有 "&amp;$S2425&amp;" 行没单价，整批运费先挂账没摊",IF(AND($B2425&lt;&gt;"",COUNTIF($B$4:$B$2503,$B2425)&gt;1),"※入库单号重复","")))))))</f>
        <v/>
      </c>
    </row>
    <row r="2426">
      <c r="A2426" s="24">
        <f>IF($G2426="","",COUNTA($G$4:$G2426))</f>
        <v/>
      </c>
      <c r="B2426" s="17" t="n"/>
      <c r="C2426" s="30" t="n"/>
      <c r="D2426" s="17" t="n"/>
      <c r="E2426" s="17" t="n"/>
      <c r="F2426" s="17" t="n"/>
      <c r="G2426" s="17" t="n"/>
      <c r="H2426" s="24">
        <f>IF($G2426="","",IFERROR(VLOOKUP($G2426,物料档案!$A$4:$P$1203,3,0),"※编码不在物料档案里"))</f>
        <v/>
      </c>
      <c r="I2426" s="24">
        <f>IF($G2426="","",IFERROR(VLOOKUP($G2426,物料档案!$A$4:$P$1203,4,0),"※编码不在物料档案里"))</f>
        <v/>
      </c>
      <c r="J2426" s="24">
        <f>IF($G2426="","",IFERROR(VLOOKUP($G2426,物料档案!$A$4:$P$1203,5,0),"※编码不在物料档案里"))</f>
        <v/>
      </c>
      <c r="K2426" s="23" t="n"/>
      <c r="L2426" s="31" t="n"/>
      <c r="M2426" s="24">
        <f>IF($G2426="","",IF($D2426="A国内","CNY","TZS"))</f>
        <v/>
      </c>
      <c r="N2426" s="28">
        <f>IF($G2426="","",IF($D2426="A国内",汇率,1))</f>
        <v/>
      </c>
      <c r="O2426" s="25">
        <f>IF($G2426="","",ROUND(N($K2426)*N($L2426),2))</f>
        <v/>
      </c>
      <c r="P2426" s="26">
        <f>IF($G2426="","",ROUND($O2426*$N2426,0))</f>
        <v/>
      </c>
      <c r="Q2426" s="26">
        <f>IF($G2426="","",SUMIFS($P$4:$P$2503,$E$4:$E$2503,$E2426,$Z$4:$Z$2503,"正常"))</f>
        <v/>
      </c>
      <c r="R2426" s="26">
        <f>IF($G2426="","",SUMIFS(费用台账!$I$4:$I$503,费用台账!$C$4:$C$503,$E2426,费用台账!$J$4:$J$503,"是",费用台账!$K$4:$K$503,"正常"))</f>
        <v/>
      </c>
      <c r="S2426" s="28">
        <f>IF($G2426="","",COUNTIFS($E$4:$E$2503,$E2426,$Z$4:$Z$2503,"正常",$Y$4:$Y$2503,"待补价"))</f>
        <v/>
      </c>
      <c r="T2426" s="26">
        <f>IF($G2426="","",SUMIFS($P$4:$P$2503,$E$4:$E$2503,$E2426,$Z$4:$Z$2503,"正常",$A$4:$A$2503,"&lt;="&amp;$A2426))</f>
        <v/>
      </c>
      <c r="U2426" s="26">
        <f>IF($G2426="","",IF(OR($S2426&gt;0,$Q2426=0,$R2426=0,$Z2426&lt;&gt;"正常"),0,ROUND($T2426/$Q2426*$R2426,0)-ROUND(($T2426-$P2426)/$Q2426*$R2426,0)))</f>
        <v/>
      </c>
      <c r="V2426" s="26">
        <f>IF($G2426="","",ROUND($P2426+$U2426,0))</f>
        <v/>
      </c>
      <c r="W2426" s="26">
        <f>IF($G2426="","",IF(N($K2426)=0,0,ROUND($V2426/$K2426,2)))</f>
        <v/>
      </c>
      <c r="X2426" s="17" t="n"/>
      <c r="Y2426" s="17" t="n"/>
      <c r="Z2426" s="17" t="n"/>
      <c r="AA2426" s="17" t="n"/>
      <c r="AB2426" s="17" t="n"/>
      <c r="AC2426" s="24">
        <f>IF($G2426="","",IF($H2426="※编码不在物料档案里","※物料编码不在档案里",IF(N($K2426)&lt;=0,"※入库数量要大于 0",IF(AND($C2426&lt;&gt;"",$C2426&lt;=结账锁),"※日期早于已结账截止日，不能再录",IF(AND($L2426=0,$X2426="正常"),"※没填单价，价格状态请选「待补价」",IF(AND($S2426&gt;0,$R2426&gt;0),"△本批有 "&amp;$S2426&amp;" 行没单价，整批运费先挂账没摊",IF(AND($B2426&lt;&gt;"",COUNTIF($B$4:$B$2503,$B2426)&gt;1),"※入库单号重复","")))))))</f>
        <v/>
      </c>
    </row>
    <row r="2427">
      <c r="A2427" s="24">
        <f>IF($G2427="","",COUNTA($G$4:$G2427))</f>
        <v/>
      </c>
      <c r="B2427" s="17" t="n"/>
      <c r="C2427" s="30" t="n"/>
      <c r="D2427" s="17" t="n"/>
      <c r="E2427" s="17" t="n"/>
      <c r="F2427" s="17" t="n"/>
      <c r="G2427" s="17" t="n"/>
      <c r="H2427" s="24">
        <f>IF($G2427="","",IFERROR(VLOOKUP($G2427,物料档案!$A$4:$P$1203,3,0),"※编码不在物料档案里"))</f>
        <v/>
      </c>
      <c r="I2427" s="24">
        <f>IF($G2427="","",IFERROR(VLOOKUP($G2427,物料档案!$A$4:$P$1203,4,0),"※编码不在物料档案里"))</f>
        <v/>
      </c>
      <c r="J2427" s="24">
        <f>IF($G2427="","",IFERROR(VLOOKUP($G2427,物料档案!$A$4:$P$1203,5,0),"※编码不在物料档案里"))</f>
        <v/>
      </c>
      <c r="K2427" s="23" t="n"/>
      <c r="L2427" s="31" t="n"/>
      <c r="M2427" s="24">
        <f>IF($G2427="","",IF($D2427="A国内","CNY","TZS"))</f>
        <v/>
      </c>
      <c r="N2427" s="28">
        <f>IF($G2427="","",IF($D2427="A国内",汇率,1))</f>
        <v/>
      </c>
      <c r="O2427" s="25">
        <f>IF($G2427="","",ROUND(N($K2427)*N($L2427),2))</f>
        <v/>
      </c>
      <c r="P2427" s="26">
        <f>IF($G2427="","",ROUND($O2427*$N2427,0))</f>
        <v/>
      </c>
      <c r="Q2427" s="26">
        <f>IF($G2427="","",SUMIFS($P$4:$P$2503,$E$4:$E$2503,$E2427,$Z$4:$Z$2503,"正常"))</f>
        <v/>
      </c>
      <c r="R2427" s="26">
        <f>IF($G2427="","",SUMIFS(费用台账!$I$4:$I$503,费用台账!$C$4:$C$503,$E2427,费用台账!$J$4:$J$503,"是",费用台账!$K$4:$K$503,"正常"))</f>
        <v/>
      </c>
      <c r="S2427" s="28">
        <f>IF($G2427="","",COUNTIFS($E$4:$E$2503,$E2427,$Z$4:$Z$2503,"正常",$Y$4:$Y$2503,"待补价"))</f>
        <v/>
      </c>
      <c r="T2427" s="26">
        <f>IF($G2427="","",SUMIFS($P$4:$P$2503,$E$4:$E$2503,$E2427,$Z$4:$Z$2503,"正常",$A$4:$A$2503,"&lt;="&amp;$A2427))</f>
        <v/>
      </c>
      <c r="U2427" s="26">
        <f>IF($G2427="","",IF(OR($S2427&gt;0,$Q2427=0,$R2427=0,$Z2427&lt;&gt;"正常"),0,ROUND($T2427/$Q2427*$R2427,0)-ROUND(($T2427-$P2427)/$Q2427*$R2427,0)))</f>
        <v/>
      </c>
      <c r="V2427" s="26">
        <f>IF($G2427="","",ROUND($P2427+$U2427,0))</f>
        <v/>
      </c>
      <c r="W2427" s="26">
        <f>IF($G2427="","",IF(N($K2427)=0,0,ROUND($V2427/$K2427,2)))</f>
        <v/>
      </c>
      <c r="X2427" s="17" t="n"/>
      <c r="Y2427" s="17" t="n"/>
      <c r="Z2427" s="17" t="n"/>
      <c r="AA2427" s="17" t="n"/>
      <c r="AB2427" s="17" t="n"/>
      <c r="AC2427" s="24">
        <f>IF($G2427="","",IF($H2427="※编码不在物料档案里","※物料编码不在档案里",IF(N($K2427)&lt;=0,"※入库数量要大于 0",IF(AND($C2427&lt;&gt;"",$C2427&lt;=结账锁),"※日期早于已结账截止日，不能再录",IF(AND($L2427=0,$X2427="正常"),"※没填单价，价格状态请选「待补价」",IF(AND($S2427&gt;0,$R2427&gt;0),"△本批有 "&amp;$S2427&amp;" 行没单价，整批运费先挂账没摊",IF(AND($B2427&lt;&gt;"",COUNTIF($B$4:$B$2503,$B2427)&gt;1),"※入库单号重复","")))))))</f>
        <v/>
      </c>
    </row>
    <row r="2428">
      <c r="A2428" s="24">
        <f>IF($G2428="","",COUNTA($G$4:$G2428))</f>
        <v/>
      </c>
      <c r="B2428" s="17" t="n"/>
      <c r="C2428" s="30" t="n"/>
      <c r="D2428" s="17" t="n"/>
      <c r="E2428" s="17" t="n"/>
      <c r="F2428" s="17" t="n"/>
      <c r="G2428" s="17" t="n"/>
      <c r="H2428" s="24">
        <f>IF($G2428="","",IFERROR(VLOOKUP($G2428,物料档案!$A$4:$P$1203,3,0),"※编码不在物料档案里"))</f>
        <v/>
      </c>
      <c r="I2428" s="24">
        <f>IF($G2428="","",IFERROR(VLOOKUP($G2428,物料档案!$A$4:$P$1203,4,0),"※编码不在物料档案里"))</f>
        <v/>
      </c>
      <c r="J2428" s="24">
        <f>IF($G2428="","",IFERROR(VLOOKUP($G2428,物料档案!$A$4:$P$1203,5,0),"※编码不在物料档案里"))</f>
        <v/>
      </c>
      <c r="K2428" s="23" t="n"/>
      <c r="L2428" s="31" t="n"/>
      <c r="M2428" s="24">
        <f>IF($G2428="","",IF($D2428="A国内","CNY","TZS"))</f>
        <v/>
      </c>
      <c r="N2428" s="28">
        <f>IF($G2428="","",IF($D2428="A国内",汇率,1))</f>
        <v/>
      </c>
      <c r="O2428" s="25">
        <f>IF($G2428="","",ROUND(N($K2428)*N($L2428),2))</f>
        <v/>
      </c>
      <c r="P2428" s="26">
        <f>IF($G2428="","",ROUND($O2428*$N2428,0))</f>
        <v/>
      </c>
      <c r="Q2428" s="26">
        <f>IF($G2428="","",SUMIFS($P$4:$P$2503,$E$4:$E$2503,$E2428,$Z$4:$Z$2503,"正常"))</f>
        <v/>
      </c>
      <c r="R2428" s="26">
        <f>IF($G2428="","",SUMIFS(费用台账!$I$4:$I$503,费用台账!$C$4:$C$503,$E2428,费用台账!$J$4:$J$503,"是",费用台账!$K$4:$K$503,"正常"))</f>
        <v/>
      </c>
      <c r="S2428" s="28">
        <f>IF($G2428="","",COUNTIFS($E$4:$E$2503,$E2428,$Z$4:$Z$2503,"正常",$Y$4:$Y$2503,"待补价"))</f>
        <v/>
      </c>
      <c r="T2428" s="26">
        <f>IF($G2428="","",SUMIFS($P$4:$P$2503,$E$4:$E$2503,$E2428,$Z$4:$Z$2503,"正常",$A$4:$A$2503,"&lt;="&amp;$A2428))</f>
        <v/>
      </c>
      <c r="U2428" s="26">
        <f>IF($G2428="","",IF(OR($S2428&gt;0,$Q2428=0,$R2428=0,$Z2428&lt;&gt;"正常"),0,ROUND($T2428/$Q2428*$R2428,0)-ROUND(($T2428-$P2428)/$Q2428*$R2428,0)))</f>
        <v/>
      </c>
      <c r="V2428" s="26">
        <f>IF($G2428="","",ROUND($P2428+$U2428,0))</f>
        <v/>
      </c>
      <c r="W2428" s="26">
        <f>IF($G2428="","",IF(N($K2428)=0,0,ROUND($V2428/$K2428,2)))</f>
        <v/>
      </c>
      <c r="X2428" s="17" t="n"/>
      <c r="Y2428" s="17" t="n"/>
      <c r="Z2428" s="17" t="n"/>
      <c r="AA2428" s="17" t="n"/>
      <c r="AB2428" s="17" t="n"/>
      <c r="AC2428" s="24">
        <f>IF($G2428="","",IF($H2428="※编码不在物料档案里","※物料编码不在档案里",IF(N($K2428)&lt;=0,"※入库数量要大于 0",IF(AND($C2428&lt;&gt;"",$C2428&lt;=结账锁),"※日期早于已结账截止日，不能再录",IF(AND($L2428=0,$X2428="正常"),"※没填单价，价格状态请选「待补价」",IF(AND($S2428&gt;0,$R2428&gt;0),"△本批有 "&amp;$S2428&amp;" 行没单价，整批运费先挂账没摊",IF(AND($B2428&lt;&gt;"",COUNTIF($B$4:$B$2503,$B2428)&gt;1),"※入库单号重复","")))))))</f>
        <v/>
      </c>
    </row>
    <row r="2429">
      <c r="A2429" s="24">
        <f>IF($G2429="","",COUNTA($G$4:$G2429))</f>
        <v/>
      </c>
      <c r="B2429" s="17" t="n"/>
      <c r="C2429" s="30" t="n"/>
      <c r="D2429" s="17" t="n"/>
      <c r="E2429" s="17" t="n"/>
      <c r="F2429" s="17" t="n"/>
      <c r="G2429" s="17" t="n"/>
      <c r="H2429" s="24">
        <f>IF($G2429="","",IFERROR(VLOOKUP($G2429,物料档案!$A$4:$P$1203,3,0),"※编码不在物料档案里"))</f>
        <v/>
      </c>
      <c r="I2429" s="24">
        <f>IF($G2429="","",IFERROR(VLOOKUP($G2429,物料档案!$A$4:$P$1203,4,0),"※编码不在物料档案里"))</f>
        <v/>
      </c>
      <c r="J2429" s="24">
        <f>IF($G2429="","",IFERROR(VLOOKUP($G2429,物料档案!$A$4:$P$1203,5,0),"※编码不在物料档案里"))</f>
        <v/>
      </c>
      <c r="K2429" s="23" t="n"/>
      <c r="L2429" s="31" t="n"/>
      <c r="M2429" s="24">
        <f>IF($G2429="","",IF($D2429="A国内","CNY","TZS"))</f>
        <v/>
      </c>
      <c r="N2429" s="28">
        <f>IF($G2429="","",IF($D2429="A国内",汇率,1))</f>
        <v/>
      </c>
      <c r="O2429" s="25">
        <f>IF($G2429="","",ROUND(N($K2429)*N($L2429),2))</f>
        <v/>
      </c>
      <c r="P2429" s="26">
        <f>IF($G2429="","",ROUND($O2429*$N2429,0))</f>
        <v/>
      </c>
      <c r="Q2429" s="26">
        <f>IF($G2429="","",SUMIFS($P$4:$P$2503,$E$4:$E$2503,$E2429,$Z$4:$Z$2503,"正常"))</f>
        <v/>
      </c>
      <c r="R2429" s="26">
        <f>IF($G2429="","",SUMIFS(费用台账!$I$4:$I$503,费用台账!$C$4:$C$503,$E2429,费用台账!$J$4:$J$503,"是",费用台账!$K$4:$K$503,"正常"))</f>
        <v/>
      </c>
      <c r="S2429" s="28">
        <f>IF($G2429="","",COUNTIFS($E$4:$E$2503,$E2429,$Z$4:$Z$2503,"正常",$Y$4:$Y$2503,"待补价"))</f>
        <v/>
      </c>
      <c r="T2429" s="26">
        <f>IF($G2429="","",SUMIFS($P$4:$P$2503,$E$4:$E$2503,$E2429,$Z$4:$Z$2503,"正常",$A$4:$A$2503,"&lt;="&amp;$A2429))</f>
        <v/>
      </c>
      <c r="U2429" s="26">
        <f>IF($G2429="","",IF(OR($S2429&gt;0,$Q2429=0,$R2429=0,$Z2429&lt;&gt;"正常"),0,ROUND($T2429/$Q2429*$R2429,0)-ROUND(($T2429-$P2429)/$Q2429*$R2429,0)))</f>
        <v/>
      </c>
      <c r="V2429" s="26">
        <f>IF($G2429="","",ROUND($P2429+$U2429,0))</f>
        <v/>
      </c>
      <c r="W2429" s="26">
        <f>IF($G2429="","",IF(N($K2429)=0,0,ROUND($V2429/$K2429,2)))</f>
        <v/>
      </c>
      <c r="X2429" s="17" t="n"/>
      <c r="Y2429" s="17" t="n"/>
      <c r="Z2429" s="17" t="n"/>
      <c r="AA2429" s="17" t="n"/>
      <c r="AB2429" s="17" t="n"/>
      <c r="AC2429" s="24">
        <f>IF($G2429="","",IF($H2429="※编码不在物料档案里","※物料编码不在档案里",IF(N($K2429)&lt;=0,"※入库数量要大于 0",IF(AND($C2429&lt;&gt;"",$C2429&lt;=结账锁),"※日期早于已结账截止日，不能再录",IF(AND($L2429=0,$X2429="正常"),"※没填单价，价格状态请选「待补价」",IF(AND($S2429&gt;0,$R2429&gt;0),"△本批有 "&amp;$S2429&amp;" 行没单价，整批运费先挂账没摊",IF(AND($B2429&lt;&gt;"",COUNTIF($B$4:$B$2503,$B2429)&gt;1),"※入库单号重复","")))))))</f>
        <v/>
      </c>
    </row>
    <row r="2430">
      <c r="A2430" s="24">
        <f>IF($G2430="","",COUNTA($G$4:$G2430))</f>
        <v/>
      </c>
      <c r="B2430" s="17" t="n"/>
      <c r="C2430" s="30" t="n"/>
      <c r="D2430" s="17" t="n"/>
      <c r="E2430" s="17" t="n"/>
      <c r="F2430" s="17" t="n"/>
      <c r="G2430" s="17" t="n"/>
      <c r="H2430" s="24">
        <f>IF($G2430="","",IFERROR(VLOOKUP($G2430,物料档案!$A$4:$P$1203,3,0),"※编码不在物料档案里"))</f>
        <v/>
      </c>
      <c r="I2430" s="24">
        <f>IF($G2430="","",IFERROR(VLOOKUP($G2430,物料档案!$A$4:$P$1203,4,0),"※编码不在物料档案里"))</f>
        <v/>
      </c>
      <c r="J2430" s="24">
        <f>IF($G2430="","",IFERROR(VLOOKUP($G2430,物料档案!$A$4:$P$1203,5,0),"※编码不在物料档案里"))</f>
        <v/>
      </c>
      <c r="K2430" s="23" t="n"/>
      <c r="L2430" s="31" t="n"/>
      <c r="M2430" s="24">
        <f>IF($G2430="","",IF($D2430="A国内","CNY","TZS"))</f>
        <v/>
      </c>
      <c r="N2430" s="28">
        <f>IF($G2430="","",IF($D2430="A国内",汇率,1))</f>
        <v/>
      </c>
      <c r="O2430" s="25">
        <f>IF($G2430="","",ROUND(N($K2430)*N($L2430),2))</f>
        <v/>
      </c>
      <c r="P2430" s="26">
        <f>IF($G2430="","",ROUND($O2430*$N2430,0))</f>
        <v/>
      </c>
      <c r="Q2430" s="26">
        <f>IF($G2430="","",SUMIFS($P$4:$P$2503,$E$4:$E$2503,$E2430,$Z$4:$Z$2503,"正常"))</f>
        <v/>
      </c>
      <c r="R2430" s="26">
        <f>IF($G2430="","",SUMIFS(费用台账!$I$4:$I$503,费用台账!$C$4:$C$503,$E2430,费用台账!$J$4:$J$503,"是",费用台账!$K$4:$K$503,"正常"))</f>
        <v/>
      </c>
      <c r="S2430" s="28">
        <f>IF($G2430="","",COUNTIFS($E$4:$E$2503,$E2430,$Z$4:$Z$2503,"正常",$Y$4:$Y$2503,"待补价"))</f>
        <v/>
      </c>
      <c r="T2430" s="26">
        <f>IF($G2430="","",SUMIFS($P$4:$P$2503,$E$4:$E$2503,$E2430,$Z$4:$Z$2503,"正常",$A$4:$A$2503,"&lt;="&amp;$A2430))</f>
        <v/>
      </c>
      <c r="U2430" s="26">
        <f>IF($G2430="","",IF(OR($S2430&gt;0,$Q2430=0,$R2430=0,$Z2430&lt;&gt;"正常"),0,ROUND($T2430/$Q2430*$R2430,0)-ROUND(($T2430-$P2430)/$Q2430*$R2430,0)))</f>
        <v/>
      </c>
      <c r="V2430" s="26">
        <f>IF($G2430="","",ROUND($P2430+$U2430,0))</f>
        <v/>
      </c>
      <c r="W2430" s="26">
        <f>IF($G2430="","",IF(N($K2430)=0,0,ROUND($V2430/$K2430,2)))</f>
        <v/>
      </c>
      <c r="X2430" s="17" t="n"/>
      <c r="Y2430" s="17" t="n"/>
      <c r="Z2430" s="17" t="n"/>
      <c r="AA2430" s="17" t="n"/>
      <c r="AB2430" s="17" t="n"/>
      <c r="AC2430" s="24">
        <f>IF($G2430="","",IF($H2430="※编码不在物料档案里","※物料编码不在档案里",IF(N($K2430)&lt;=0,"※入库数量要大于 0",IF(AND($C2430&lt;&gt;"",$C2430&lt;=结账锁),"※日期早于已结账截止日，不能再录",IF(AND($L2430=0,$X2430="正常"),"※没填单价，价格状态请选「待补价」",IF(AND($S2430&gt;0,$R2430&gt;0),"△本批有 "&amp;$S2430&amp;" 行没单价，整批运费先挂账没摊",IF(AND($B2430&lt;&gt;"",COUNTIF($B$4:$B$2503,$B2430)&gt;1),"※入库单号重复","")))))))</f>
        <v/>
      </c>
    </row>
    <row r="2431">
      <c r="A2431" s="24">
        <f>IF($G2431="","",COUNTA($G$4:$G2431))</f>
        <v/>
      </c>
      <c r="B2431" s="17" t="n"/>
      <c r="C2431" s="30" t="n"/>
      <c r="D2431" s="17" t="n"/>
      <c r="E2431" s="17" t="n"/>
      <c r="F2431" s="17" t="n"/>
      <c r="G2431" s="17" t="n"/>
      <c r="H2431" s="24">
        <f>IF($G2431="","",IFERROR(VLOOKUP($G2431,物料档案!$A$4:$P$1203,3,0),"※编码不在物料档案里"))</f>
        <v/>
      </c>
      <c r="I2431" s="24">
        <f>IF($G2431="","",IFERROR(VLOOKUP($G2431,物料档案!$A$4:$P$1203,4,0),"※编码不在物料档案里"))</f>
        <v/>
      </c>
      <c r="J2431" s="24">
        <f>IF($G2431="","",IFERROR(VLOOKUP($G2431,物料档案!$A$4:$P$1203,5,0),"※编码不在物料档案里"))</f>
        <v/>
      </c>
      <c r="K2431" s="23" t="n"/>
      <c r="L2431" s="31" t="n"/>
      <c r="M2431" s="24">
        <f>IF($G2431="","",IF($D2431="A国内","CNY","TZS"))</f>
        <v/>
      </c>
      <c r="N2431" s="28">
        <f>IF($G2431="","",IF($D2431="A国内",汇率,1))</f>
        <v/>
      </c>
      <c r="O2431" s="25">
        <f>IF($G2431="","",ROUND(N($K2431)*N($L2431),2))</f>
        <v/>
      </c>
      <c r="P2431" s="26">
        <f>IF($G2431="","",ROUND($O2431*$N2431,0))</f>
        <v/>
      </c>
      <c r="Q2431" s="26">
        <f>IF($G2431="","",SUMIFS($P$4:$P$2503,$E$4:$E$2503,$E2431,$Z$4:$Z$2503,"正常"))</f>
        <v/>
      </c>
      <c r="R2431" s="26">
        <f>IF($G2431="","",SUMIFS(费用台账!$I$4:$I$503,费用台账!$C$4:$C$503,$E2431,费用台账!$J$4:$J$503,"是",费用台账!$K$4:$K$503,"正常"))</f>
        <v/>
      </c>
      <c r="S2431" s="28">
        <f>IF($G2431="","",COUNTIFS($E$4:$E$2503,$E2431,$Z$4:$Z$2503,"正常",$Y$4:$Y$2503,"待补价"))</f>
        <v/>
      </c>
      <c r="T2431" s="26">
        <f>IF($G2431="","",SUMIFS($P$4:$P$2503,$E$4:$E$2503,$E2431,$Z$4:$Z$2503,"正常",$A$4:$A$2503,"&lt;="&amp;$A2431))</f>
        <v/>
      </c>
      <c r="U2431" s="26">
        <f>IF($G2431="","",IF(OR($S2431&gt;0,$Q2431=0,$R2431=0,$Z2431&lt;&gt;"正常"),0,ROUND($T2431/$Q2431*$R2431,0)-ROUND(($T2431-$P2431)/$Q2431*$R2431,0)))</f>
        <v/>
      </c>
      <c r="V2431" s="26">
        <f>IF($G2431="","",ROUND($P2431+$U2431,0))</f>
        <v/>
      </c>
      <c r="W2431" s="26">
        <f>IF($G2431="","",IF(N($K2431)=0,0,ROUND($V2431/$K2431,2)))</f>
        <v/>
      </c>
      <c r="X2431" s="17" t="n"/>
      <c r="Y2431" s="17" t="n"/>
      <c r="Z2431" s="17" t="n"/>
      <c r="AA2431" s="17" t="n"/>
      <c r="AB2431" s="17" t="n"/>
      <c r="AC2431" s="24">
        <f>IF($G2431="","",IF($H2431="※编码不在物料档案里","※物料编码不在档案里",IF(N($K2431)&lt;=0,"※入库数量要大于 0",IF(AND($C2431&lt;&gt;"",$C2431&lt;=结账锁),"※日期早于已结账截止日，不能再录",IF(AND($L2431=0,$X2431="正常"),"※没填单价，价格状态请选「待补价」",IF(AND($S2431&gt;0,$R2431&gt;0),"△本批有 "&amp;$S2431&amp;" 行没单价，整批运费先挂账没摊",IF(AND($B2431&lt;&gt;"",COUNTIF($B$4:$B$2503,$B2431)&gt;1),"※入库单号重复","")))))))</f>
        <v/>
      </c>
    </row>
    <row r="2432">
      <c r="A2432" s="24">
        <f>IF($G2432="","",COUNTA($G$4:$G2432))</f>
        <v/>
      </c>
      <c r="B2432" s="17" t="n"/>
      <c r="C2432" s="30" t="n"/>
      <c r="D2432" s="17" t="n"/>
      <c r="E2432" s="17" t="n"/>
      <c r="F2432" s="17" t="n"/>
      <c r="G2432" s="17" t="n"/>
      <c r="H2432" s="24">
        <f>IF($G2432="","",IFERROR(VLOOKUP($G2432,物料档案!$A$4:$P$1203,3,0),"※编码不在物料档案里"))</f>
        <v/>
      </c>
      <c r="I2432" s="24">
        <f>IF($G2432="","",IFERROR(VLOOKUP($G2432,物料档案!$A$4:$P$1203,4,0),"※编码不在物料档案里"))</f>
        <v/>
      </c>
      <c r="J2432" s="24">
        <f>IF($G2432="","",IFERROR(VLOOKUP($G2432,物料档案!$A$4:$P$1203,5,0),"※编码不在物料档案里"))</f>
        <v/>
      </c>
      <c r="K2432" s="23" t="n"/>
      <c r="L2432" s="31" t="n"/>
      <c r="M2432" s="24">
        <f>IF($G2432="","",IF($D2432="A国内","CNY","TZS"))</f>
        <v/>
      </c>
      <c r="N2432" s="28">
        <f>IF($G2432="","",IF($D2432="A国内",汇率,1))</f>
        <v/>
      </c>
      <c r="O2432" s="25">
        <f>IF($G2432="","",ROUND(N($K2432)*N($L2432),2))</f>
        <v/>
      </c>
      <c r="P2432" s="26">
        <f>IF($G2432="","",ROUND($O2432*$N2432,0))</f>
        <v/>
      </c>
      <c r="Q2432" s="26">
        <f>IF($G2432="","",SUMIFS($P$4:$P$2503,$E$4:$E$2503,$E2432,$Z$4:$Z$2503,"正常"))</f>
        <v/>
      </c>
      <c r="R2432" s="26">
        <f>IF($G2432="","",SUMIFS(费用台账!$I$4:$I$503,费用台账!$C$4:$C$503,$E2432,费用台账!$J$4:$J$503,"是",费用台账!$K$4:$K$503,"正常"))</f>
        <v/>
      </c>
      <c r="S2432" s="28">
        <f>IF($G2432="","",COUNTIFS($E$4:$E$2503,$E2432,$Z$4:$Z$2503,"正常",$Y$4:$Y$2503,"待补价"))</f>
        <v/>
      </c>
      <c r="T2432" s="26">
        <f>IF($G2432="","",SUMIFS($P$4:$P$2503,$E$4:$E$2503,$E2432,$Z$4:$Z$2503,"正常",$A$4:$A$2503,"&lt;="&amp;$A2432))</f>
        <v/>
      </c>
      <c r="U2432" s="26">
        <f>IF($G2432="","",IF(OR($S2432&gt;0,$Q2432=0,$R2432=0,$Z2432&lt;&gt;"正常"),0,ROUND($T2432/$Q2432*$R2432,0)-ROUND(($T2432-$P2432)/$Q2432*$R2432,0)))</f>
        <v/>
      </c>
      <c r="V2432" s="26">
        <f>IF($G2432="","",ROUND($P2432+$U2432,0))</f>
        <v/>
      </c>
      <c r="W2432" s="26">
        <f>IF($G2432="","",IF(N($K2432)=0,0,ROUND($V2432/$K2432,2)))</f>
        <v/>
      </c>
      <c r="X2432" s="17" t="n"/>
      <c r="Y2432" s="17" t="n"/>
      <c r="Z2432" s="17" t="n"/>
      <c r="AA2432" s="17" t="n"/>
      <c r="AB2432" s="17" t="n"/>
      <c r="AC2432" s="24">
        <f>IF($G2432="","",IF($H2432="※编码不在物料档案里","※物料编码不在档案里",IF(N($K2432)&lt;=0,"※入库数量要大于 0",IF(AND($C2432&lt;&gt;"",$C2432&lt;=结账锁),"※日期早于已结账截止日，不能再录",IF(AND($L2432=0,$X2432="正常"),"※没填单价，价格状态请选「待补价」",IF(AND($S2432&gt;0,$R2432&gt;0),"△本批有 "&amp;$S2432&amp;" 行没单价，整批运费先挂账没摊",IF(AND($B2432&lt;&gt;"",COUNTIF($B$4:$B$2503,$B2432)&gt;1),"※入库单号重复","")))))))</f>
        <v/>
      </c>
    </row>
    <row r="2433">
      <c r="A2433" s="24">
        <f>IF($G2433="","",COUNTA($G$4:$G2433))</f>
        <v/>
      </c>
      <c r="B2433" s="17" t="n"/>
      <c r="C2433" s="30" t="n"/>
      <c r="D2433" s="17" t="n"/>
      <c r="E2433" s="17" t="n"/>
      <c r="F2433" s="17" t="n"/>
      <c r="G2433" s="17" t="n"/>
      <c r="H2433" s="24">
        <f>IF($G2433="","",IFERROR(VLOOKUP($G2433,物料档案!$A$4:$P$1203,3,0),"※编码不在物料档案里"))</f>
        <v/>
      </c>
      <c r="I2433" s="24">
        <f>IF($G2433="","",IFERROR(VLOOKUP($G2433,物料档案!$A$4:$P$1203,4,0),"※编码不在物料档案里"))</f>
        <v/>
      </c>
      <c r="J2433" s="24">
        <f>IF($G2433="","",IFERROR(VLOOKUP($G2433,物料档案!$A$4:$P$1203,5,0),"※编码不在物料档案里"))</f>
        <v/>
      </c>
      <c r="K2433" s="23" t="n"/>
      <c r="L2433" s="31" t="n"/>
      <c r="M2433" s="24">
        <f>IF($G2433="","",IF($D2433="A国内","CNY","TZS"))</f>
        <v/>
      </c>
      <c r="N2433" s="28">
        <f>IF($G2433="","",IF($D2433="A国内",汇率,1))</f>
        <v/>
      </c>
      <c r="O2433" s="25">
        <f>IF($G2433="","",ROUND(N($K2433)*N($L2433),2))</f>
        <v/>
      </c>
      <c r="P2433" s="26">
        <f>IF($G2433="","",ROUND($O2433*$N2433,0))</f>
        <v/>
      </c>
      <c r="Q2433" s="26">
        <f>IF($G2433="","",SUMIFS($P$4:$P$2503,$E$4:$E$2503,$E2433,$Z$4:$Z$2503,"正常"))</f>
        <v/>
      </c>
      <c r="R2433" s="26">
        <f>IF($G2433="","",SUMIFS(费用台账!$I$4:$I$503,费用台账!$C$4:$C$503,$E2433,费用台账!$J$4:$J$503,"是",费用台账!$K$4:$K$503,"正常"))</f>
        <v/>
      </c>
      <c r="S2433" s="28">
        <f>IF($G2433="","",COUNTIFS($E$4:$E$2503,$E2433,$Z$4:$Z$2503,"正常",$Y$4:$Y$2503,"待补价"))</f>
        <v/>
      </c>
      <c r="T2433" s="26">
        <f>IF($G2433="","",SUMIFS($P$4:$P$2503,$E$4:$E$2503,$E2433,$Z$4:$Z$2503,"正常",$A$4:$A$2503,"&lt;="&amp;$A2433))</f>
        <v/>
      </c>
      <c r="U2433" s="26">
        <f>IF($G2433="","",IF(OR($S2433&gt;0,$Q2433=0,$R2433=0,$Z2433&lt;&gt;"正常"),0,ROUND($T2433/$Q2433*$R2433,0)-ROUND(($T2433-$P2433)/$Q2433*$R2433,0)))</f>
        <v/>
      </c>
      <c r="V2433" s="26">
        <f>IF($G2433="","",ROUND($P2433+$U2433,0))</f>
        <v/>
      </c>
      <c r="W2433" s="26">
        <f>IF($G2433="","",IF(N($K2433)=0,0,ROUND($V2433/$K2433,2)))</f>
        <v/>
      </c>
      <c r="X2433" s="17" t="n"/>
      <c r="Y2433" s="17" t="n"/>
      <c r="Z2433" s="17" t="n"/>
      <c r="AA2433" s="17" t="n"/>
      <c r="AB2433" s="17" t="n"/>
      <c r="AC2433" s="24">
        <f>IF($G2433="","",IF($H2433="※编码不在物料档案里","※物料编码不在档案里",IF(N($K2433)&lt;=0,"※入库数量要大于 0",IF(AND($C2433&lt;&gt;"",$C2433&lt;=结账锁),"※日期早于已结账截止日，不能再录",IF(AND($L2433=0,$X2433="正常"),"※没填单价，价格状态请选「待补价」",IF(AND($S2433&gt;0,$R2433&gt;0),"△本批有 "&amp;$S2433&amp;" 行没单价，整批运费先挂账没摊",IF(AND($B2433&lt;&gt;"",COUNTIF($B$4:$B$2503,$B2433)&gt;1),"※入库单号重复","")))))))</f>
        <v/>
      </c>
    </row>
    <row r="2434">
      <c r="A2434" s="24">
        <f>IF($G2434="","",COUNTA($G$4:$G2434))</f>
        <v/>
      </c>
      <c r="B2434" s="17" t="n"/>
      <c r="C2434" s="30" t="n"/>
      <c r="D2434" s="17" t="n"/>
      <c r="E2434" s="17" t="n"/>
      <c r="F2434" s="17" t="n"/>
      <c r="G2434" s="17" t="n"/>
      <c r="H2434" s="24">
        <f>IF($G2434="","",IFERROR(VLOOKUP($G2434,物料档案!$A$4:$P$1203,3,0),"※编码不在物料档案里"))</f>
        <v/>
      </c>
      <c r="I2434" s="24">
        <f>IF($G2434="","",IFERROR(VLOOKUP($G2434,物料档案!$A$4:$P$1203,4,0),"※编码不在物料档案里"))</f>
        <v/>
      </c>
      <c r="J2434" s="24">
        <f>IF($G2434="","",IFERROR(VLOOKUP($G2434,物料档案!$A$4:$P$1203,5,0),"※编码不在物料档案里"))</f>
        <v/>
      </c>
      <c r="K2434" s="23" t="n"/>
      <c r="L2434" s="31" t="n"/>
      <c r="M2434" s="24">
        <f>IF($G2434="","",IF($D2434="A国内","CNY","TZS"))</f>
        <v/>
      </c>
      <c r="N2434" s="28">
        <f>IF($G2434="","",IF($D2434="A国内",汇率,1))</f>
        <v/>
      </c>
      <c r="O2434" s="25">
        <f>IF($G2434="","",ROUND(N($K2434)*N($L2434),2))</f>
        <v/>
      </c>
      <c r="P2434" s="26">
        <f>IF($G2434="","",ROUND($O2434*$N2434,0))</f>
        <v/>
      </c>
      <c r="Q2434" s="26">
        <f>IF($G2434="","",SUMIFS($P$4:$P$2503,$E$4:$E$2503,$E2434,$Z$4:$Z$2503,"正常"))</f>
        <v/>
      </c>
      <c r="R2434" s="26">
        <f>IF($G2434="","",SUMIFS(费用台账!$I$4:$I$503,费用台账!$C$4:$C$503,$E2434,费用台账!$J$4:$J$503,"是",费用台账!$K$4:$K$503,"正常"))</f>
        <v/>
      </c>
      <c r="S2434" s="28">
        <f>IF($G2434="","",COUNTIFS($E$4:$E$2503,$E2434,$Z$4:$Z$2503,"正常",$Y$4:$Y$2503,"待补价"))</f>
        <v/>
      </c>
      <c r="T2434" s="26">
        <f>IF($G2434="","",SUMIFS($P$4:$P$2503,$E$4:$E$2503,$E2434,$Z$4:$Z$2503,"正常",$A$4:$A$2503,"&lt;="&amp;$A2434))</f>
        <v/>
      </c>
      <c r="U2434" s="26">
        <f>IF($G2434="","",IF(OR($S2434&gt;0,$Q2434=0,$R2434=0,$Z2434&lt;&gt;"正常"),0,ROUND($T2434/$Q2434*$R2434,0)-ROUND(($T2434-$P2434)/$Q2434*$R2434,0)))</f>
        <v/>
      </c>
      <c r="V2434" s="26">
        <f>IF($G2434="","",ROUND($P2434+$U2434,0))</f>
        <v/>
      </c>
      <c r="W2434" s="26">
        <f>IF($G2434="","",IF(N($K2434)=0,0,ROUND($V2434/$K2434,2)))</f>
        <v/>
      </c>
      <c r="X2434" s="17" t="n"/>
      <c r="Y2434" s="17" t="n"/>
      <c r="Z2434" s="17" t="n"/>
      <c r="AA2434" s="17" t="n"/>
      <c r="AB2434" s="17" t="n"/>
      <c r="AC2434" s="24">
        <f>IF($G2434="","",IF($H2434="※编码不在物料档案里","※物料编码不在档案里",IF(N($K2434)&lt;=0,"※入库数量要大于 0",IF(AND($C2434&lt;&gt;"",$C2434&lt;=结账锁),"※日期早于已结账截止日，不能再录",IF(AND($L2434=0,$X2434="正常"),"※没填单价，价格状态请选「待补价」",IF(AND($S2434&gt;0,$R2434&gt;0),"△本批有 "&amp;$S2434&amp;" 行没单价，整批运费先挂账没摊",IF(AND($B2434&lt;&gt;"",COUNTIF($B$4:$B$2503,$B2434)&gt;1),"※入库单号重复","")))))))</f>
        <v/>
      </c>
    </row>
    <row r="2435">
      <c r="A2435" s="24">
        <f>IF($G2435="","",COUNTA($G$4:$G2435))</f>
        <v/>
      </c>
      <c r="B2435" s="17" t="n"/>
      <c r="C2435" s="30" t="n"/>
      <c r="D2435" s="17" t="n"/>
      <c r="E2435" s="17" t="n"/>
      <c r="F2435" s="17" t="n"/>
      <c r="G2435" s="17" t="n"/>
      <c r="H2435" s="24">
        <f>IF($G2435="","",IFERROR(VLOOKUP($G2435,物料档案!$A$4:$P$1203,3,0),"※编码不在物料档案里"))</f>
        <v/>
      </c>
      <c r="I2435" s="24">
        <f>IF($G2435="","",IFERROR(VLOOKUP($G2435,物料档案!$A$4:$P$1203,4,0),"※编码不在物料档案里"))</f>
        <v/>
      </c>
      <c r="J2435" s="24">
        <f>IF($G2435="","",IFERROR(VLOOKUP($G2435,物料档案!$A$4:$P$1203,5,0),"※编码不在物料档案里"))</f>
        <v/>
      </c>
      <c r="K2435" s="23" t="n"/>
      <c r="L2435" s="31" t="n"/>
      <c r="M2435" s="24">
        <f>IF($G2435="","",IF($D2435="A国内","CNY","TZS"))</f>
        <v/>
      </c>
      <c r="N2435" s="28">
        <f>IF($G2435="","",IF($D2435="A国内",汇率,1))</f>
        <v/>
      </c>
      <c r="O2435" s="25">
        <f>IF($G2435="","",ROUND(N($K2435)*N($L2435),2))</f>
        <v/>
      </c>
      <c r="P2435" s="26">
        <f>IF($G2435="","",ROUND($O2435*$N2435,0))</f>
        <v/>
      </c>
      <c r="Q2435" s="26">
        <f>IF($G2435="","",SUMIFS($P$4:$P$2503,$E$4:$E$2503,$E2435,$Z$4:$Z$2503,"正常"))</f>
        <v/>
      </c>
      <c r="R2435" s="26">
        <f>IF($G2435="","",SUMIFS(费用台账!$I$4:$I$503,费用台账!$C$4:$C$503,$E2435,费用台账!$J$4:$J$503,"是",费用台账!$K$4:$K$503,"正常"))</f>
        <v/>
      </c>
      <c r="S2435" s="28">
        <f>IF($G2435="","",COUNTIFS($E$4:$E$2503,$E2435,$Z$4:$Z$2503,"正常",$Y$4:$Y$2503,"待补价"))</f>
        <v/>
      </c>
      <c r="T2435" s="26">
        <f>IF($G2435="","",SUMIFS($P$4:$P$2503,$E$4:$E$2503,$E2435,$Z$4:$Z$2503,"正常",$A$4:$A$2503,"&lt;="&amp;$A2435))</f>
        <v/>
      </c>
      <c r="U2435" s="26">
        <f>IF($G2435="","",IF(OR($S2435&gt;0,$Q2435=0,$R2435=0,$Z2435&lt;&gt;"正常"),0,ROUND($T2435/$Q2435*$R2435,0)-ROUND(($T2435-$P2435)/$Q2435*$R2435,0)))</f>
        <v/>
      </c>
      <c r="V2435" s="26">
        <f>IF($G2435="","",ROUND($P2435+$U2435,0))</f>
        <v/>
      </c>
      <c r="W2435" s="26">
        <f>IF($G2435="","",IF(N($K2435)=0,0,ROUND($V2435/$K2435,2)))</f>
        <v/>
      </c>
      <c r="X2435" s="17" t="n"/>
      <c r="Y2435" s="17" t="n"/>
      <c r="Z2435" s="17" t="n"/>
      <c r="AA2435" s="17" t="n"/>
      <c r="AB2435" s="17" t="n"/>
      <c r="AC2435" s="24">
        <f>IF($G2435="","",IF($H2435="※编码不在物料档案里","※物料编码不在档案里",IF(N($K2435)&lt;=0,"※入库数量要大于 0",IF(AND($C2435&lt;&gt;"",$C2435&lt;=结账锁),"※日期早于已结账截止日，不能再录",IF(AND($L2435=0,$X2435="正常"),"※没填单价，价格状态请选「待补价」",IF(AND($S2435&gt;0,$R2435&gt;0),"△本批有 "&amp;$S2435&amp;" 行没单价，整批运费先挂账没摊",IF(AND($B2435&lt;&gt;"",COUNTIF($B$4:$B$2503,$B2435)&gt;1),"※入库单号重复","")))))))</f>
        <v/>
      </c>
    </row>
    <row r="2436">
      <c r="A2436" s="24">
        <f>IF($G2436="","",COUNTA($G$4:$G2436))</f>
        <v/>
      </c>
      <c r="B2436" s="17" t="n"/>
      <c r="C2436" s="30" t="n"/>
      <c r="D2436" s="17" t="n"/>
      <c r="E2436" s="17" t="n"/>
      <c r="F2436" s="17" t="n"/>
      <c r="G2436" s="17" t="n"/>
      <c r="H2436" s="24">
        <f>IF($G2436="","",IFERROR(VLOOKUP($G2436,物料档案!$A$4:$P$1203,3,0),"※编码不在物料档案里"))</f>
        <v/>
      </c>
      <c r="I2436" s="24">
        <f>IF($G2436="","",IFERROR(VLOOKUP($G2436,物料档案!$A$4:$P$1203,4,0),"※编码不在物料档案里"))</f>
        <v/>
      </c>
      <c r="J2436" s="24">
        <f>IF($G2436="","",IFERROR(VLOOKUP($G2436,物料档案!$A$4:$P$1203,5,0),"※编码不在物料档案里"))</f>
        <v/>
      </c>
      <c r="K2436" s="23" t="n"/>
      <c r="L2436" s="31" t="n"/>
      <c r="M2436" s="24">
        <f>IF($G2436="","",IF($D2436="A国内","CNY","TZS"))</f>
        <v/>
      </c>
      <c r="N2436" s="28">
        <f>IF($G2436="","",IF($D2436="A国内",汇率,1))</f>
        <v/>
      </c>
      <c r="O2436" s="25">
        <f>IF($G2436="","",ROUND(N($K2436)*N($L2436),2))</f>
        <v/>
      </c>
      <c r="P2436" s="26">
        <f>IF($G2436="","",ROUND($O2436*$N2436,0))</f>
        <v/>
      </c>
      <c r="Q2436" s="26">
        <f>IF($G2436="","",SUMIFS($P$4:$P$2503,$E$4:$E$2503,$E2436,$Z$4:$Z$2503,"正常"))</f>
        <v/>
      </c>
      <c r="R2436" s="26">
        <f>IF($G2436="","",SUMIFS(费用台账!$I$4:$I$503,费用台账!$C$4:$C$503,$E2436,费用台账!$J$4:$J$503,"是",费用台账!$K$4:$K$503,"正常"))</f>
        <v/>
      </c>
      <c r="S2436" s="28">
        <f>IF($G2436="","",COUNTIFS($E$4:$E$2503,$E2436,$Z$4:$Z$2503,"正常",$Y$4:$Y$2503,"待补价"))</f>
        <v/>
      </c>
      <c r="T2436" s="26">
        <f>IF($G2436="","",SUMIFS($P$4:$P$2503,$E$4:$E$2503,$E2436,$Z$4:$Z$2503,"正常",$A$4:$A$2503,"&lt;="&amp;$A2436))</f>
        <v/>
      </c>
      <c r="U2436" s="26">
        <f>IF($G2436="","",IF(OR($S2436&gt;0,$Q2436=0,$R2436=0,$Z2436&lt;&gt;"正常"),0,ROUND($T2436/$Q2436*$R2436,0)-ROUND(($T2436-$P2436)/$Q2436*$R2436,0)))</f>
        <v/>
      </c>
      <c r="V2436" s="26">
        <f>IF($G2436="","",ROUND($P2436+$U2436,0))</f>
        <v/>
      </c>
      <c r="W2436" s="26">
        <f>IF($G2436="","",IF(N($K2436)=0,0,ROUND($V2436/$K2436,2)))</f>
        <v/>
      </c>
      <c r="X2436" s="17" t="n"/>
      <c r="Y2436" s="17" t="n"/>
      <c r="Z2436" s="17" t="n"/>
      <c r="AA2436" s="17" t="n"/>
      <c r="AB2436" s="17" t="n"/>
      <c r="AC2436" s="24">
        <f>IF($G2436="","",IF($H2436="※编码不在物料档案里","※物料编码不在档案里",IF(N($K2436)&lt;=0,"※入库数量要大于 0",IF(AND($C2436&lt;&gt;"",$C2436&lt;=结账锁),"※日期早于已结账截止日，不能再录",IF(AND($L2436=0,$X2436="正常"),"※没填单价，价格状态请选「待补价」",IF(AND($S2436&gt;0,$R2436&gt;0),"△本批有 "&amp;$S2436&amp;" 行没单价，整批运费先挂账没摊",IF(AND($B2436&lt;&gt;"",COUNTIF($B$4:$B$2503,$B2436)&gt;1),"※入库单号重复","")))))))</f>
        <v/>
      </c>
    </row>
    <row r="2437">
      <c r="A2437" s="24">
        <f>IF($G2437="","",COUNTA($G$4:$G2437))</f>
        <v/>
      </c>
      <c r="B2437" s="17" t="n"/>
      <c r="C2437" s="30" t="n"/>
      <c r="D2437" s="17" t="n"/>
      <c r="E2437" s="17" t="n"/>
      <c r="F2437" s="17" t="n"/>
      <c r="G2437" s="17" t="n"/>
      <c r="H2437" s="24">
        <f>IF($G2437="","",IFERROR(VLOOKUP($G2437,物料档案!$A$4:$P$1203,3,0),"※编码不在物料档案里"))</f>
        <v/>
      </c>
      <c r="I2437" s="24">
        <f>IF($G2437="","",IFERROR(VLOOKUP($G2437,物料档案!$A$4:$P$1203,4,0),"※编码不在物料档案里"))</f>
        <v/>
      </c>
      <c r="J2437" s="24">
        <f>IF($G2437="","",IFERROR(VLOOKUP($G2437,物料档案!$A$4:$P$1203,5,0),"※编码不在物料档案里"))</f>
        <v/>
      </c>
      <c r="K2437" s="23" t="n"/>
      <c r="L2437" s="31" t="n"/>
      <c r="M2437" s="24">
        <f>IF($G2437="","",IF($D2437="A国内","CNY","TZS"))</f>
        <v/>
      </c>
      <c r="N2437" s="28">
        <f>IF($G2437="","",IF($D2437="A国内",汇率,1))</f>
        <v/>
      </c>
      <c r="O2437" s="25">
        <f>IF($G2437="","",ROUND(N($K2437)*N($L2437),2))</f>
        <v/>
      </c>
      <c r="P2437" s="26">
        <f>IF($G2437="","",ROUND($O2437*$N2437,0))</f>
        <v/>
      </c>
      <c r="Q2437" s="26">
        <f>IF($G2437="","",SUMIFS($P$4:$P$2503,$E$4:$E$2503,$E2437,$Z$4:$Z$2503,"正常"))</f>
        <v/>
      </c>
      <c r="R2437" s="26">
        <f>IF($G2437="","",SUMIFS(费用台账!$I$4:$I$503,费用台账!$C$4:$C$503,$E2437,费用台账!$J$4:$J$503,"是",费用台账!$K$4:$K$503,"正常"))</f>
        <v/>
      </c>
      <c r="S2437" s="28">
        <f>IF($G2437="","",COUNTIFS($E$4:$E$2503,$E2437,$Z$4:$Z$2503,"正常",$Y$4:$Y$2503,"待补价"))</f>
        <v/>
      </c>
      <c r="T2437" s="26">
        <f>IF($G2437="","",SUMIFS($P$4:$P$2503,$E$4:$E$2503,$E2437,$Z$4:$Z$2503,"正常",$A$4:$A$2503,"&lt;="&amp;$A2437))</f>
        <v/>
      </c>
      <c r="U2437" s="26">
        <f>IF($G2437="","",IF(OR($S2437&gt;0,$Q2437=0,$R2437=0,$Z2437&lt;&gt;"正常"),0,ROUND($T2437/$Q2437*$R2437,0)-ROUND(($T2437-$P2437)/$Q2437*$R2437,0)))</f>
        <v/>
      </c>
      <c r="V2437" s="26">
        <f>IF($G2437="","",ROUND($P2437+$U2437,0))</f>
        <v/>
      </c>
      <c r="W2437" s="26">
        <f>IF($G2437="","",IF(N($K2437)=0,0,ROUND($V2437/$K2437,2)))</f>
        <v/>
      </c>
      <c r="X2437" s="17" t="n"/>
      <c r="Y2437" s="17" t="n"/>
      <c r="Z2437" s="17" t="n"/>
      <c r="AA2437" s="17" t="n"/>
      <c r="AB2437" s="17" t="n"/>
      <c r="AC2437" s="24">
        <f>IF($G2437="","",IF($H2437="※编码不在物料档案里","※物料编码不在档案里",IF(N($K2437)&lt;=0,"※入库数量要大于 0",IF(AND($C2437&lt;&gt;"",$C2437&lt;=结账锁),"※日期早于已结账截止日，不能再录",IF(AND($L2437=0,$X2437="正常"),"※没填单价，价格状态请选「待补价」",IF(AND($S2437&gt;0,$R2437&gt;0),"△本批有 "&amp;$S2437&amp;" 行没单价，整批运费先挂账没摊",IF(AND($B2437&lt;&gt;"",COUNTIF($B$4:$B$2503,$B2437)&gt;1),"※入库单号重复","")))))))</f>
        <v/>
      </c>
    </row>
    <row r="2438">
      <c r="A2438" s="24">
        <f>IF($G2438="","",COUNTA($G$4:$G2438))</f>
        <v/>
      </c>
      <c r="B2438" s="17" t="n"/>
      <c r="C2438" s="30" t="n"/>
      <c r="D2438" s="17" t="n"/>
      <c r="E2438" s="17" t="n"/>
      <c r="F2438" s="17" t="n"/>
      <c r="G2438" s="17" t="n"/>
      <c r="H2438" s="24">
        <f>IF($G2438="","",IFERROR(VLOOKUP($G2438,物料档案!$A$4:$P$1203,3,0),"※编码不在物料档案里"))</f>
        <v/>
      </c>
      <c r="I2438" s="24">
        <f>IF($G2438="","",IFERROR(VLOOKUP($G2438,物料档案!$A$4:$P$1203,4,0),"※编码不在物料档案里"))</f>
        <v/>
      </c>
      <c r="J2438" s="24">
        <f>IF($G2438="","",IFERROR(VLOOKUP($G2438,物料档案!$A$4:$P$1203,5,0),"※编码不在物料档案里"))</f>
        <v/>
      </c>
      <c r="K2438" s="23" t="n"/>
      <c r="L2438" s="31" t="n"/>
      <c r="M2438" s="24">
        <f>IF($G2438="","",IF($D2438="A国内","CNY","TZS"))</f>
        <v/>
      </c>
      <c r="N2438" s="28">
        <f>IF($G2438="","",IF($D2438="A国内",汇率,1))</f>
        <v/>
      </c>
      <c r="O2438" s="25">
        <f>IF($G2438="","",ROUND(N($K2438)*N($L2438),2))</f>
        <v/>
      </c>
      <c r="P2438" s="26">
        <f>IF($G2438="","",ROUND($O2438*$N2438,0))</f>
        <v/>
      </c>
      <c r="Q2438" s="26">
        <f>IF($G2438="","",SUMIFS($P$4:$P$2503,$E$4:$E$2503,$E2438,$Z$4:$Z$2503,"正常"))</f>
        <v/>
      </c>
      <c r="R2438" s="26">
        <f>IF($G2438="","",SUMIFS(费用台账!$I$4:$I$503,费用台账!$C$4:$C$503,$E2438,费用台账!$J$4:$J$503,"是",费用台账!$K$4:$K$503,"正常"))</f>
        <v/>
      </c>
      <c r="S2438" s="28">
        <f>IF($G2438="","",COUNTIFS($E$4:$E$2503,$E2438,$Z$4:$Z$2503,"正常",$Y$4:$Y$2503,"待补价"))</f>
        <v/>
      </c>
      <c r="T2438" s="26">
        <f>IF($G2438="","",SUMIFS($P$4:$P$2503,$E$4:$E$2503,$E2438,$Z$4:$Z$2503,"正常",$A$4:$A$2503,"&lt;="&amp;$A2438))</f>
        <v/>
      </c>
      <c r="U2438" s="26">
        <f>IF($G2438="","",IF(OR($S2438&gt;0,$Q2438=0,$R2438=0,$Z2438&lt;&gt;"正常"),0,ROUND($T2438/$Q2438*$R2438,0)-ROUND(($T2438-$P2438)/$Q2438*$R2438,0)))</f>
        <v/>
      </c>
      <c r="V2438" s="26">
        <f>IF($G2438="","",ROUND($P2438+$U2438,0))</f>
        <v/>
      </c>
      <c r="W2438" s="26">
        <f>IF($G2438="","",IF(N($K2438)=0,0,ROUND($V2438/$K2438,2)))</f>
        <v/>
      </c>
      <c r="X2438" s="17" t="n"/>
      <c r="Y2438" s="17" t="n"/>
      <c r="Z2438" s="17" t="n"/>
      <c r="AA2438" s="17" t="n"/>
      <c r="AB2438" s="17" t="n"/>
      <c r="AC2438" s="24">
        <f>IF($G2438="","",IF($H2438="※编码不在物料档案里","※物料编码不在档案里",IF(N($K2438)&lt;=0,"※入库数量要大于 0",IF(AND($C2438&lt;&gt;"",$C2438&lt;=结账锁),"※日期早于已结账截止日，不能再录",IF(AND($L2438=0,$X2438="正常"),"※没填单价，价格状态请选「待补价」",IF(AND($S2438&gt;0,$R2438&gt;0),"△本批有 "&amp;$S2438&amp;" 行没单价，整批运费先挂账没摊",IF(AND($B2438&lt;&gt;"",COUNTIF($B$4:$B$2503,$B2438)&gt;1),"※入库单号重复","")))))))</f>
        <v/>
      </c>
    </row>
    <row r="2439">
      <c r="A2439" s="24">
        <f>IF($G2439="","",COUNTA($G$4:$G2439))</f>
        <v/>
      </c>
      <c r="B2439" s="17" t="n"/>
      <c r="C2439" s="30" t="n"/>
      <c r="D2439" s="17" t="n"/>
      <c r="E2439" s="17" t="n"/>
      <c r="F2439" s="17" t="n"/>
      <c r="G2439" s="17" t="n"/>
      <c r="H2439" s="24">
        <f>IF($G2439="","",IFERROR(VLOOKUP($G2439,物料档案!$A$4:$P$1203,3,0),"※编码不在物料档案里"))</f>
        <v/>
      </c>
      <c r="I2439" s="24">
        <f>IF($G2439="","",IFERROR(VLOOKUP($G2439,物料档案!$A$4:$P$1203,4,0),"※编码不在物料档案里"))</f>
        <v/>
      </c>
      <c r="J2439" s="24">
        <f>IF($G2439="","",IFERROR(VLOOKUP($G2439,物料档案!$A$4:$P$1203,5,0),"※编码不在物料档案里"))</f>
        <v/>
      </c>
      <c r="K2439" s="23" t="n"/>
      <c r="L2439" s="31" t="n"/>
      <c r="M2439" s="24">
        <f>IF($G2439="","",IF($D2439="A国内","CNY","TZS"))</f>
        <v/>
      </c>
      <c r="N2439" s="28">
        <f>IF($G2439="","",IF($D2439="A国内",汇率,1))</f>
        <v/>
      </c>
      <c r="O2439" s="25">
        <f>IF($G2439="","",ROUND(N($K2439)*N($L2439),2))</f>
        <v/>
      </c>
      <c r="P2439" s="26">
        <f>IF($G2439="","",ROUND($O2439*$N2439,0))</f>
        <v/>
      </c>
      <c r="Q2439" s="26">
        <f>IF($G2439="","",SUMIFS($P$4:$P$2503,$E$4:$E$2503,$E2439,$Z$4:$Z$2503,"正常"))</f>
        <v/>
      </c>
      <c r="R2439" s="26">
        <f>IF($G2439="","",SUMIFS(费用台账!$I$4:$I$503,费用台账!$C$4:$C$503,$E2439,费用台账!$J$4:$J$503,"是",费用台账!$K$4:$K$503,"正常"))</f>
        <v/>
      </c>
      <c r="S2439" s="28">
        <f>IF($G2439="","",COUNTIFS($E$4:$E$2503,$E2439,$Z$4:$Z$2503,"正常",$Y$4:$Y$2503,"待补价"))</f>
        <v/>
      </c>
      <c r="T2439" s="26">
        <f>IF($G2439="","",SUMIFS($P$4:$P$2503,$E$4:$E$2503,$E2439,$Z$4:$Z$2503,"正常",$A$4:$A$2503,"&lt;="&amp;$A2439))</f>
        <v/>
      </c>
      <c r="U2439" s="26">
        <f>IF($G2439="","",IF(OR($S2439&gt;0,$Q2439=0,$R2439=0,$Z2439&lt;&gt;"正常"),0,ROUND($T2439/$Q2439*$R2439,0)-ROUND(($T2439-$P2439)/$Q2439*$R2439,0)))</f>
        <v/>
      </c>
      <c r="V2439" s="26">
        <f>IF($G2439="","",ROUND($P2439+$U2439,0))</f>
        <v/>
      </c>
      <c r="W2439" s="26">
        <f>IF($G2439="","",IF(N($K2439)=0,0,ROUND($V2439/$K2439,2)))</f>
        <v/>
      </c>
      <c r="X2439" s="17" t="n"/>
      <c r="Y2439" s="17" t="n"/>
      <c r="Z2439" s="17" t="n"/>
      <c r="AA2439" s="17" t="n"/>
      <c r="AB2439" s="17" t="n"/>
      <c r="AC2439" s="24">
        <f>IF($G2439="","",IF($H2439="※编码不在物料档案里","※物料编码不在档案里",IF(N($K2439)&lt;=0,"※入库数量要大于 0",IF(AND($C2439&lt;&gt;"",$C2439&lt;=结账锁),"※日期早于已结账截止日，不能再录",IF(AND($L2439=0,$X2439="正常"),"※没填单价，价格状态请选「待补价」",IF(AND($S2439&gt;0,$R2439&gt;0),"△本批有 "&amp;$S2439&amp;" 行没单价，整批运费先挂账没摊",IF(AND($B2439&lt;&gt;"",COUNTIF($B$4:$B$2503,$B2439)&gt;1),"※入库单号重复","")))))))</f>
        <v/>
      </c>
    </row>
    <row r="2440">
      <c r="A2440" s="24">
        <f>IF($G2440="","",COUNTA($G$4:$G2440))</f>
        <v/>
      </c>
      <c r="B2440" s="17" t="n"/>
      <c r="C2440" s="30" t="n"/>
      <c r="D2440" s="17" t="n"/>
      <c r="E2440" s="17" t="n"/>
      <c r="F2440" s="17" t="n"/>
      <c r="G2440" s="17" t="n"/>
      <c r="H2440" s="24">
        <f>IF($G2440="","",IFERROR(VLOOKUP($G2440,物料档案!$A$4:$P$1203,3,0),"※编码不在物料档案里"))</f>
        <v/>
      </c>
      <c r="I2440" s="24">
        <f>IF($G2440="","",IFERROR(VLOOKUP($G2440,物料档案!$A$4:$P$1203,4,0),"※编码不在物料档案里"))</f>
        <v/>
      </c>
      <c r="J2440" s="24">
        <f>IF($G2440="","",IFERROR(VLOOKUP($G2440,物料档案!$A$4:$P$1203,5,0),"※编码不在物料档案里"))</f>
        <v/>
      </c>
      <c r="K2440" s="23" t="n"/>
      <c r="L2440" s="31" t="n"/>
      <c r="M2440" s="24">
        <f>IF($G2440="","",IF($D2440="A国内","CNY","TZS"))</f>
        <v/>
      </c>
      <c r="N2440" s="28">
        <f>IF($G2440="","",IF($D2440="A国内",汇率,1))</f>
        <v/>
      </c>
      <c r="O2440" s="25">
        <f>IF($G2440="","",ROUND(N($K2440)*N($L2440),2))</f>
        <v/>
      </c>
      <c r="P2440" s="26">
        <f>IF($G2440="","",ROUND($O2440*$N2440,0))</f>
        <v/>
      </c>
      <c r="Q2440" s="26">
        <f>IF($G2440="","",SUMIFS($P$4:$P$2503,$E$4:$E$2503,$E2440,$Z$4:$Z$2503,"正常"))</f>
        <v/>
      </c>
      <c r="R2440" s="26">
        <f>IF($G2440="","",SUMIFS(费用台账!$I$4:$I$503,费用台账!$C$4:$C$503,$E2440,费用台账!$J$4:$J$503,"是",费用台账!$K$4:$K$503,"正常"))</f>
        <v/>
      </c>
      <c r="S2440" s="28">
        <f>IF($G2440="","",COUNTIFS($E$4:$E$2503,$E2440,$Z$4:$Z$2503,"正常",$Y$4:$Y$2503,"待补价"))</f>
        <v/>
      </c>
      <c r="T2440" s="26">
        <f>IF($G2440="","",SUMIFS($P$4:$P$2503,$E$4:$E$2503,$E2440,$Z$4:$Z$2503,"正常",$A$4:$A$2503,"&lt;="&amp;$A2440))</f>
        <v/>
      </c>
      <c r="U2440" s="26">
        <f>IF($G2440="","",IF(OR($S2440&gt;0,$Q2440=0,$R2440=0,$Z2440&lt;&gt;"正常"),0,ROUND($T2440/$Q2440*$R2440,0)-ROUND(($T2440-$P2440)/$Q2440*$R2440,0)))</f>
        <v/>
      </c>
      <c r="V2440" s="26">
        <f>IF($G2440="","",ROUND($P2440+$U2440,0))</f>
        <v/>
      </c>
      <c r="W2440" s="26">
        <f>IF($G2440="","",IF(N($K2440)=0,0,ROUND($V2440/$K2440,2)))</f>
        <v/>
      </c>
      <c r="X2440" s="17" t="n"/>
      <c r="Y2440" s="17" t="n"/>
      <c r="Z2440" s="17" t="n"/>
      <c r="AA2440" s="17" t="n"/>
      <c r="AB2440" s="17" t="n"/>
      <c r="AC2440" s="24">
        <f>IF($G2440="","",IF($H2440="※编码不在物料档案里","※物料编码不在档案里",IF(N($K2440)&lt;=0,"※入库数量要大于 0",IF(AND($C2440&lt;&gt;"",$C2440&lt;=结账锁),"※日期早于已结账截止日，不能再录",IF(AND($L2440=0,$X2440="正常"),"※没填单价，价格状态请选「待补价」",IF(AND($S2440&gt;0,$R2440&gt;0),"△本批有 "&amp;$S2440&amp;" 行没单价，整批运费先挂账没摊",IF(AND($B2440&lt;&gt;"",COUNTIF($B$4:$B$2503,$B2440)&gt;1),"※入库单号重复","")))))))</f>
        <v/>
      </c>
    </row>
    <row r="2441">
      <c r="A2441" s="24">
        <f>IF($G2441="","",COUNTA($G$4:$G2441))</f>
        <v/>
      </c>
      <c r="B2441" s="17" t="n"/>
      <c r="C2441" s="30" t="n"/>
      <c r="D2441" s="17" t="n"/>
      <c r="E2441" s="17" t="n"/>
      <c r="F2441" s="17" t="n"/>
      <c r="G2441" s="17" t="n"/>
      <c r="H2441" s="24">
        <f>IF($G2441="","",IFERROR(VLOOKUP($G2441,物料档案!$A$4:$P$1203,3,0),"※编码不在物料档案里"))</f>
        <v/>
      </c>
      <c r="I2441" s="24">
        <f>IF($G2441="","",IFERROR(VLOOKUP($G2441,物料档案!$A$4:$P$1203,4,0),"※编码不在物料档案里"))</f>
        <v/>
      </c>
      <c r="J2441" s="24">
        <f>IF($G2441="","",IFERROR(VLOOKUP($G2441,物料档案!$A$4:$P$1203,5,0),"※编码不在物料档案里"))</f>
        <v/>
      </c>
      <c r="K2441" s="23" t="n"/>
      <c r="L2441" s="31" t="n"/>
      <c r="M2441" s="24">
        <f>IF($G2441="","",IF($D2441="A国内","CNY","TZS"))</f>
        <v/>
      </c>
      <c r="N2441" s="28">
        <f>IF($G2441="","",IF($D2441="A国内",汇率,1))</f>
        <v/>
      </c>
      <c r="O2441" s="25">
        <f>IF($G2441="","",ROUND(N($K2441)*N($L2441),2))</f>
        <v/>
      </c>
      <c r="P2441" s="26">
        <f>IF($G2441="","",ROUND($O2441*$N2441,0))</f>
        <v/>
      </c>
      <c r="Q2441" s="26">
        <f>IF($G2441="","",SUMIFS($P$4:$P$2503,$E$4:$E$2503,$E2441,$Z$4:$Z$2503,"正常"))</f>
        <v/>
      </c>
      <c r="R2441" s="26">
        <f>IF($G2441="","",SUMIFS(费用台账!$I$4:$I$503,费用台账!$C$4:$C$503,$E2441,费用台账!$J$4:$J$503,"是",费用台账!$K$4:$K$503,"正常"))</f>
        <v/>
      </c>
      <c r="S2441" s="28">
        <f>IF($G2441="","",COUNTIFS($E$4:$E$2503,$E2441,$Z$4:$Z$2503,"正常",$Y$4:$Y$2503,"待补价"))</f>
        <v/>
      </c>
      <c r="T2441" s="26">
        <f>IF($G2441="","",SUMIFS($P$4:$P$2503,$E$4:$E$2503,$E2441,$Z$4:$Z$2503,"正常",$A$4:$A$2503,"&lt;="&amp;$A2441))</f>
        <v/>
      </c>
      <c r="U2441" s="26">
        <f>IF($G2441="","",IF(OR($S2441&gt;0,$Q2441=0,$R2441=0,$Z2441&lt;&gt;"正常"),0,ROUND($T2441/$Q2441*$R2441,0)-ROUND(($T2441-$P2441)/$Q2441*$R2441,0)))</f>
        <v/>
      </c>
      <c r="V2441" s="26">
        <f>IF($G2441="","",ROUND($P2441+$U2441,0))</f>
        <v/>
      </c>
      <c r="W2441" s="26">
        <f>IF($G2441="","",IF(N($K2441)=0,0,ROUND($V2441/$K2441,2)))</f>
        <v/>
      </c>
      <c r="X2441" s="17" t="n"/>
      <c r="Y2441" s="17" t="n"/>
      <c r="Z2441" s="17" t="n"/>
      <c r="AA2441" s="17" t="n"/>
      <c r="AB2441" s="17" t="n"/>
      <c r="AC2441" s="24">
        <f>IF($G2441="","",IF($H2441="※编码不在物料档案里","※物料编码不在档案里",IF(N($K2441)&lt;=0,"※入库数量要大于 0",IF(AND($C2441&lt;&gt;"",$C2441&lt;=结账锁),"※日期早于已结账截止日，不能再录",IF(AND($L2441=0,$X2441="正常"),"※没填单价，价格状态请选「待补价」",IF(AND($S2441&gt;0,$R2441&gt;0),"△本批有 "&amp;$S2441&amp;" 行没单价，整批运费先挂账没摊",IF(AND($B2441&lt;&gt;"",COUNTIF($B$4:$B$2503,$B2441)&gt;1),"※入库单号重复","")))))))</f>
        <v/>
      </c>
    </row>
    <row r="2442">
      <c r="A2442" s="24">
        <f>IF($G2442="","",COUNTA($G$4:$G2442))</f>
        <v/>
      </c>
      <c r="B2442" s="17" t="n"/>
      <c r="C2442" s="30" t="n"/>
      <c r="D2442" s="17" t="n"/>
      <c r="E2442" s="17" t="n"/>
      <c r="F2442" s="17" t="n"/>
      <c r="G2442" s="17" t="n"/>
      <c r="H2442" s="24">
        <f>IF($G2442="","",IFERROR(VLOOKUP($G2442,物料档案!$A$4:$P$1203,3,0),"※编码不在物料档案里"))</f>
        <v/>
      </c>
      <c r="I2442" s="24">
        <f>IF($G2442="","",IFERROR(VLOOKUP($G2442,物料档案!$A$4:$P$1203,4,0),"※编码不在物料档案里"))</f>
        <v/>
      </c>
      <c r="J2442" s="24">
        <f>IF($G2442="","",IFERROR(VLOOKUP($G2442,物料档案!$A$4:$P$1203,5,0),"※编码不在物料档案里"))</f>
        <v/>
      </c>
      <c r="K2442" s="23" t="n"/>
      <c r="L2442" s="31" t="n"/>
      <c r="M2442" s="24">
        <f>IF($G2442="","",IF($D2442="A国内","CNY","TZS"))</f>
        <v/>
      </c>
      <c r="N2442" s="28">
        <f>IF($G2442="","",IF($D2442="A国内",汇率,1))</f>
        <v/>
      </c>
      <c r="O2442" s="25">
        <f>IF($G2442="","",ROUND(N($K2442)*N($L2442),2))</f>
        <v/>
      </c>
      <c r="P2442" s="26">
        <f>IF($G2442="","",ROUND($O2442*$N2442,0))</f>
        <v/>
      </c>
      <c r="Q2442" s="26">
        <f>IF($G2442="","",SUMIFS($P$4:$P$2503,$E$4:$E$2503,$E2442,$Z$4:$Z$2503,"正常"))</f>
        <v/>
      </c>
      <c r="R2442" s="26">
        <f>IF($G2442="","",SUMIFS(费用台账!$I$4:$I$503,费用台账!$C$4:$C$503,$E2442,费用台账!$J$4:$J$503,"是",费用台账!$K$4:$K$503,"正常"))</f>
        <v/>
      </c>
      <c r="S2442" s="28">
        <f>IF($G2442="","",COUNTIFS($E$4:$E$2503,$E2442,$Z$4:$Z$2503,"正常",$Y$4:$Y$2503,"待补价"))</f>
        <v/>
      </c>
      <c r="T2442" s="26">
        <f>IF($G2442="","",SUMIFS($P$4:$P$2503,$E$4:$E$2503,$E2442,$Z$4:$Z$2503,"正常",$A$4:$A$2503,"&lt;="&amp;$A2442))</f>
        <v/>
      </c>
      <c r="U2442" s="26">
        <f>IF($G2442="","",IF(OR($S2442&gt;0,$Q2442=0,$R2442=0,$Z2442&lt;&gt;"正常"),0,ROUND($T2442/$Q2442*$R2442,0)-ROUND(($T2442-$P2442)/$Q2442*$R2442,0)))</f>
        <v/>
      </c>
      <c r="V2442" s="26">
        <f>IF($G2442="","",ROUND($P2442+$U2442,0))</f>
        <v/>
      </c>
      <c r="W2442" s="26">
        <f>IF($G2442="","",IF(N($K2442)=0,0,ROUND($V2442/$K2442,2)))</f>
        <v/>
      </c>
      <c r="X2442" s="17" t="n"/>
      <c r="Y2442" s="17" t="n"/>
      <c r="Z2442" s="17" t="n"/>
      <c r="AA2442" s="17" t="n"/>
      <c r="AB2442" s="17" t="n"/>
      <c r="AC2442" s="24">
        <f>IF($G2442="","",IF($H2442="※编码不在物料档案里","※物料编码不在档案里",IF(N($K2442)&lt;=0,"※入库数量要大于 0",IF(AND($C2442&lt;&gt;"",$C2442&lt;=结账锁),"※日期早于已结账截止日，不能再录",IF(AND($L2442=0,$X2442="正常"),"※没填单价，价格状态请选「待补价」",IF(AND($S2442&gt;0,$R2442&gt;0),"△本批有 "&amp;$S2442&amp;" 行没单价，整批运费先挂账没摊",IF(AND($B2442&lt;&gt;"",COUNTIF($B$4:$B$2503,$B2442)&gt;1),"※入库单号重复","")))))))</f>
        <v/>
      </c>
    </row>
    <row r="2443">
      <c r="A2443" s="24">
        <f>IF($G2443="","",COUNTA($G$4:$G2443))</f>
        <v/>
      </c>
      <c r="B2443" s="17" t="n"/>
      <c r="C2443" s="30" t="n"/>
      <c r="D2443" s="17" t="n"/>
      <c r="E2443" s="17" t="n"/>
      <c r="F2443" s="17" t="n"/>
      <c r="G2443" s="17" t="n"/>
      <c r="H2443" s="24">
        <f>IF($G2443="","",IFERROR(VLOOKUP($G2443,物料档案!$A$4:$P$1203,3,0),"※编码不在物料档案里"))</f>
        <v/>
      </c>
      <c r="I2443" s="24">
        <f>IF($G2443="","",IFERROR(VLOOKUP($G2443,物料档案!$A$4:$P$1203,4,0),"※编码不在物料档案里"))</f>
        <v/>
      </c>
      <c r="J2443" s="24">
        <f>IF($G2443="","",IFERROR(VLOOKUP($G2443,物料档案!$A$4:$P$1203,5,0),"※编码不在物料档案里"))</f>
        <v/>
      </c>
      <c r="K2443" s="23" t="n"/>
      <c r="L2443" s="31" t="n"/>
      <c r="M2443" s="24">
        <f>IF($G2443="","",IF($D2443="A国内","CNY","TZS"))</f>
        <v/>
      </c>
      <c r="N2443" s="28">
        <f>IF($G2443="","",IF($D2443="A国内",汇率,1))</f>
        <v/>
      </c>
      <c r="O2443" s="25">
        <f>IF($G2443="","",ROUND(N($K2443)*N($L2443),2))</f>
        <v/>
      </c>
      <c r="P2443" s="26">
        <f>IF($G2443="","",ROUND($O2443*$N2443,0))</f>
        <v/>
      </c>
      <c r="Q2443" s="26">
        <f>IF($G2443="","",SUMIFS($P$4:$P$2503,$E$4:$E$2503,$E2443,$Z$4:$Z$2503,"正常"))</f>
        <v/>
      </c>
      <c r="R2443" s="26">
        <f>IF($G2443="","",SUMIFS(费用台账!$I$4:$I$503,费用台账!$C$4:$C$503,$E2443,费用台账!$J$4:$J$503,"是",费用台账!$K$4:$K$503,"正常"))</f>
        <v/>
      </c>
      <c r="S2443" s="28">
        <f>IF($G2443="","",COUNTIFS($E$4:$E$2503,$E2443,$Z$4:$Z$2503,"正常",$Y$4:$Y$2503,"待补价"))</f>
        <v/>
      </c>
      <c r="T2443" s="26">
        <f>IF($G2443="","",SUMIFS($P$4:$P$2503,$E$4:$E$2503,$E2443,$Z$4:$Z$2503,"正常",$A$4:$A$2503,"&lt;="&amp;$A2443))</f>
        <v/>
      </c>
      <c r="U2443" s="26">
        <f>IF($G2443="","",IF(OR($S2443&gt;0,$Q2443=0,$R2443=0,$Z2443&lt;&gt;"正常"),0,ROUND($T2443/$Q2443*$R2443,0)-ROUND(($T2443-$P2443)/$Q2443*$R2443,0)))</f>
        <v/>
      </c>
      <c r="V2443" s="26">
        <f>IF($G2443="","",ROUND($P2443+$U2443,0))</f>
        <v/>
      </c>
      <c r="W2443" s="26">
        <f>IF($G2443="","",IF(N($K2443)=0,0,ROUND($V2443/$K2443,2)))</f>
        <v/>
      </c>
      <c r="X2443" s="17" t="n"/>
      <c r="Y2443" s="17" t="n"/>
      <c r="Z2443" s="17" t="n"/>
      <c r="AA2443" s="17" t="n"/>
      <c r="AB2443" s="17" t="n"/>
      <c r="AC2443" s="24">
        <f>IF($G2443="","",IF($H2443="※编码不在物料档案里","※物料编码不在档案里",IF(N($K2443)&lt;=0,"※入库数量要大于 0",IF(AND($C2443&lt;&gt;"",$C2443&lt;=结账锁),"※日期早于已结账截止日，不能再录",IF(AND($L2443=0,$X2443="正常"),"※没填单价，价格状态请选「待补价」",IF(AND($S2443&gt;0,$R2443&gt;0),"△本批有 "&amp;$S2443&amp;" 行没单价，整批运费先挂账没摊",IF(AND($B2443&lt;&gt;"",COUNTIF($B$4:$B$2503,$B2443)&gt;1),"※入库单号重复","")))))))</f>
        <v/>
      </c>
    </row>
    <row r="2444">
      <c r="A2444" s="24">
        <f>IF($G2444="","",COUNTA($G$4:$G2444))</f>
        <v/>
      </c>
      <c r="B2444" s="17" t="n"/>
      <c r="C2444" s="30" t="n"/>
      <c r="D2444" s="17" t="n"/>
      <c r="E2444" s="17" t="n"/>
      <c r="F2444" s="17" t="n"/>
      <c r="G2444" s="17" t="n"/>
      <c r="H2444" s="24">
        <f>IF($G2444="","",IFERROR(VLOOKUP($G2444,物料档案!$A$4:$P$1203,3,0),"※编码不在物料档案里"))</f>
        <v/>
      </c>
      <c r="I2444" s="24">
        <f>IF($G2444="","",IFERROR(VLOOKUP($G2444,物料档案!$A$4:$P$1203,4,0),"※编码不在物料档案里"))</f>
        <v/>
      </c>
      <c r="J2444" s="24">
        <f>IF($G2444="","",IFERROR(VLOOKUP($G2444,物料档案!$A$4:$P$1203,5,0),"※编码不在物料档案里"))</f>
        <v/>
      </c>
      <c r="K2444" s="23" t="n"/>
      <c r="L2444" s="31" t="n"/>
      <c r="M2444" s="24">
        <f>IF($G2444="","",IF($D2444="A国内","CNY","TZS"))</f>
        <v/>
      </c>
      <c r="N2444" s="28">
        <f>IF($G2444="","",IF($D2444="A国内",汇率,1))</f>
        <v/>
      </c>
      <c r="O2444" s="25">
        <f>IF($G2444="","",ROUND(N($K2444)*N($L2444),2))</f>
        <v/>
      </c>
      <c r="P2444" s="26">
        <f>IF($G2444="","",ROUND($O2444*$N2444,0))</f>
        <v/>
      </c>
      <c r="Q2444" s="26">
        <f>IF($G2444="","",SUMIFS($P$4:$P$2503,$E$4:$E$2503,$E2444,$Z$4:$Z$2503,"正常"))</f>
        <v/>
      </c>
      <c r="R2444" s="26">
        <f>IF($G2444="","",SUMIFS(费用台账!$I$4:$I$503,费用台账!$C$4:$C$503,$E2444,费用台账!$J$4:$J$503,"是",费用台账!$K$4:$K$503,"正常"))</f>
        <v/>
      </c>
      <c r="S2444" s="28">
        <f>IF($G2444="","",COUNTIFS($E$4:$E$2503,$E2444,$Z$4:$Z$2503,"正常",$Y$4:$Y$2503,"待补价"))</f>
        <v/>
      </c>
      <c r="T2444" s="26">
        <f>IF($G2444="","",SUMIFS($P$4:$P$2503,$E$4:$E$2503,$E2444,$Z$4:$Z$2503,"正常",$A$4:$A$2503,"&lt;="&amp;$A2444))</f>
        <v/>
      </c>
      <c r="U2444" s="26">
        <f>IF($G2444="","",IF(OR($S2444&gt;0,$Q2444=0,$R2444=0,$Z2444&lt;&gt;"正常"),0,ROUND($T2444/$Q2444*$R2444,0)-ROUND(($T2444-$P2444)/$Q2444*$R2444,0)))</f>
        <v/>
      </c>
      <c r="V2444" s="26">
        <f>IF($G2444="","",ROUND($P2444+$U2444,0))</f>
        <v/>
      </c>
      <c r="W2444" s="26">
        <f>IF($G2444="","",IF(N($K2444)=0,0,ROUND($V2444/$K2444,2)))</f>
        <v/>
      </c>
      <c r="X2444" s="17" t="n"/>
      <c r="Y2444" s="17" t="n"/>
      <c r="Z2444" s="17" t="n"/>
      <c r="AA2444" s="17" t="n"/>
      <c r="AB2444" s="17" t="n"/>
      <c r="AC2444" s="24">
        <f>IF($G2444="","",IF($H2444="※编码不在物料档案里","※物料编码不在档案里",IF(N($K2444)&lt;=0,"※入库数量要大于 0",IF(AND($C2444&lt;&gt;"",$C2444&lt;=结账锁),"※日期早于已结账截止日，不能再录",IF(AND($L2444=0,$X2444="正常"),"※没填单价，价格状态请选「待补价」",IF(AND($S2444&gt;0,$R2444&gt;0),"△本批有 "&amp;$S2444&amp;" 行没单价，整批运费先挂账没摊",IF(AND($B2444&lt;&gt;"",COUNTIF($B$4:$B$2503,$B2444)&gt;1),"※入库单号重复","")))))))</f>
        <v/>
      </c>
    </row>
    <row r="2445">
      <c r="A2445" s="24">
        <f>IF($G2445="","",COUNTA($G$4:$G2445))</f>
        <v/>
      </c>
      <c r="B2445" s="17" t="n"/>
      <c r="C2445" s="30" t="n"/>
      <c r="D2445" s="17" t="n"/>
      <c r="E2445" s="17" t="n"/>
      <c r="F2445" s="17" t="n"/>
      <c r="G2445" s="17" t="n"/>
      <c r="H2445" s="24">
        <f>IF($G2445="","",IFERROR(VLOOKUP($G2445,物料档案!$A$4:$P$1203,3,0),"※编码不在物料档案里"))</f>
        <v/>
      </c>
      <c r="I2445" s="24">
        <f>IF($G2445="","",IFERROR(VLOOKUP($G2445,物料档案!$A$4:$P$1203,4,0),"※编码不在物料档案里"))</f>
        <v/>
      </c>
      <c r="J2445" s="24">
        <f>IF($G2445="","",IFERROR(VLOOKUP($G2445,物料档案!$A$4:$P$1203,5,0),"※编码不在物料档案里"))</f>
        <v/>
      </c>
      <c r="K2445" s="23" t="n"/>
      <c r="L2445" s="31" t="n"/>
      <c r="M2445" s="24">
        <f>IF($G2445="","",IF($D2445="A国内","CNY","TZS"))</f>
        <v/>
      </c>
      <c r="N2445" s="28">
        <f>IF($G2445="","",IF($D2445="A国内",汇率,1))</f>
        <v/>
      </c>
      <c r="O2445" s="25">
        <f>IF($G2445="","",ROUND(N($K2445)*N($L2445),2))</f>
        <v/>
      </c>
      <c r="P2445" s="26">
        <f>IF($G2445="","",ROUND($O2445*$N2445,0))</f>
        <v/>
      </c>
      <c r="Q2445" s="26">
        <f>IF($G2445="","",SUMIFS($P$4:$P$2503,$E$4:$E$2503,$E2445,$Z$4:$Z$2503,"正常"))</f>
        <v/>
      </c>
      <c r="R2445" s="26">
        <f>IF($G2445="","",SUMIFS(费用台账!$I$4:$I$503,费用台账!$C$4:$C$503,$E2445,费用台账!$J$4:$J$503,"是",费用台账!$K$4:$K$503,"正常"))</f>
        <v/>
      </c>
      <c r="S2445" s="28">
        <f>IF($G2445="","",COUNTIFS($E$4:$E$2503,$E2445,$Z$4:$Z$2503,"正常",$Y$4:$Y$2503,"待补价"))</f>
        <v/>
      </c>
      <c r="T2445" s="26">
        <f>IF($G2445="","",SUMIFS($P$4:$P$2503,$E$4:$E$2503,$E2445,$Z$4:$Z$2503,"正常",$A$4:$A$2503,"&lt;="&amp;$A2445))</f>
        <v/>
      </c>
      <c r="U2445" s="26">
        <f>IF($G2445="","",IF(OR($S2445&gt;0,$Q2445=0,$R2445=0,$Z2445&lt;&gt;"正常"),0,ROUND($T2445/$Q2445*$R2445,0)-ROUND(($T2445-$P2445)/$Q2445*$R2445,0)))</f>
        <v/>
      </c>
      <c r="V2445" s="26">
        <f>IF($G2445="","",ROUND($P2445+$U2445,0))</f>
        <v/>
      </c>
      <c r="W2445" s="26">
        <f>IF($G2445="","",IF(N($K2445)=0,0,ROUND($V2445/$K2445,2)))</f>
        <v/>
      </c>
      <c r="X2445" s="17" t="n"/>
      <c r="Y2445" s="17" t="n"/>
      <c r="Z2445" s="17" t="n"/>
      <c r="AA2445" s="17" t="n"/>
      <c r="AB2445" s="17" t="n"/>
      <c r="AC2445" s="24">
        <f>IF($G2445="","",IF($H2445="※编码不在物料档案里","※物料编码不在档案里",IF(N($K2445)&lt;=0,"※入库数量要大于 0",IF(AND($C2445&lt;&gt;"",$C2445&lt;=结账锁),"※日期早于已结账截止日，不能再录",IF(AND($L2445=0,$X2445="正常"),"※没填单价，价格状态请选「待补价」",IF(AND($S2445&gt;0,$R2445&gt;0),"△本批有 "&amp;$S2445&amp;" 行没单价，整批运费先挂账没摊",IF(AND($B2445&lt;&gt;"",COUNTIF($B$4:$B$2503,$B2445)&gt;1),"※入库单号重复","")))))))</f>
        <v/>
      </c>
    </row>
    <row r="2446">
      <c r="A2446" s="24">
        <f>IF($G2446="","",COUNTA($G$4:$G2446))</f>
        <v/>
      </c>
      <c r="B2446" s="17" t="n"/>
      <c r="C2446" s="30" t="n"/>
      <c r="D2446" s="17" t="n"/>
      <c r="E2446" s="17" t="n"/>
      <c r="F2446" s="17" t="n"/>
      <c r="G2446" s="17" t="n"/>
      <c r="H2446" s="24">
        <f>IF($G2446="","",IFERROR(VLOOKUP($G2446,物料档案!$A$4:$P$1203,3,0),"※编码不在物料档案里"))</f>
        <v/>
      </c>
      <c r="I2446" s="24">
        <f>IF($G2446="","",IFERROR(VLOOKUP($G2446,物料档案!$A$4:$P$1203,4,0),"※编码不在物料档案里"))</f>
        <v/>
      </c>
      <c r="J2446" s="24">
        <f>IF($G2446="","",IFERROR(VLOOKUP($G2446,物料档案!$A$4:$P$1203,5,0),"※编码不在物料档案里"))</f>
        <v/>
      </c>
      <c r="K2446" s="23" t="n"/>
      <c r="L2446" s="31" t="n"/>
      <c r="M2446" s="24">
        <f>IF($G2446="","",IF($D2446="A国内","CNY","TZS"))</f>
        <v/>
      </c>
      <c r="N2446" s="28">
        <f>IF($G2446="","",IF($D2446="A国内",汇率,1))</f>
        <v/>
      </c>
      <c r="O2446" s="25">
        <f>IF($G2446="","",ROUND(N($K2446)*N($L2446),2))</f>
        <v/>
      </c>
      <c r="P2446" s="26">
        <f>IF($G2446="","",ROUND($O2446*$N2446,0))</f>
        <v/>
      </c>
      <c r="Q2446" s="26">
        <f>IF($G2446="","",SUMIFS($P$4:$P$2503,$E$4:$E$2503,$E2446,$Z$4:$Z$2503,"正常"))</f>
        <v/>
      </c>
      <c r="R2446" s="26">
        <f>IF($G2446="","",SUMIFS(费用台账!$I$4:$I$503,费用台账!$C$4:$C$503,$E2446,费用台账!$J$4:$J$503,"是",费用台账!$K$4:$K$503,"正常"))</f>
        <v/>
      </c>
      <c r="S2446" s="28">
        <f>IF($G2446="","",COUNTIFS($E$4:$E$2503,$E2446,$Z$4:$Z$2503,"正常",$Y$4:$Y$2503,"待补价"))</f>
        <v/>
      </c>
      <c r="T2446" s="26">
        <f>IF($G2446="","",SUMIFS($P$4:$P$2503,$E$4:$E$2503,$E2446,$Z$4:$Z$2503,"正常",$A$4:$A$2503,"&lt;="&amp;$A2446))</f>
        <v/>
      </c>
      <c r="U2446" s="26">
        <f>IF($G2446="","",IF(OR($S2446&gt;0,$Q2446=0,$R2446=0,$Z2446&lt;&gt;"正常"),0,ROUND($T2446/$Q2446*$R2446,0)-ROUND(($T2446-$P2446)/$Q2446*$R2446,0)))</f>
        <v/>
      </c>
      <c r="V2446" s="26">
        <f>IF($G2446="","",ROUND($P2446+$U2446,0))</f>
        <v/>
      </c>
      <c r="W2446" s="26">
        <f>IF($G2446="","",IF(N($K2446)=0,0,ROUND($V2446/$K2446,2)))</f>
        <v/>
      </c>
      <c r="X2446" s="17" t="n"/>
      <c r="Y2446" s="17" t="n"/>
      <c r="Z2446" s="17" t="n"/>
      <c r="AA2446" s="17" t="n"/>
      <c r="AB2446" s="17" t="n"/>
      <c r="AC2446" s="24">
        <f>IF($G2446="","",IF($H2446="※编码不在物料档案里","※物料编码不在档案里",IF(N($K2446)&lt;=0,"※入库数量要大于 0",IF(AND($C2446&lt;&gt;"",$C2446&lt;=结账锁),"※日期早于已结账截止日，不能再录",IF(AND($L2446=0,$X2446="正常"),"※没填单价，价格状态请选「待补价」",IF(AND($S2446&gt;0,$R2446&gt;0),"△本批有 "&amp;$S2446&amp;" 行没单价，整批运费先挂账没摊",IF(AND($B2446&lt;&gt;"",COUNTIF($B$4:$B$2503,$B2446)&gt;1),"※入库单号重复","")))))))</f>
        <v/>
      </c>
    </row>
    <row r="2447">
      <c r="A2447" s="24">
        <f>IF($G2447="","",COUNTA($G$4:$G2447))</f>
        <v/>
      </c>
      <c r="B2447" s="17" t="n"/>
      <c r="C2447" s="30" t="n"/>
      <c r="D2447" s="17" t="n"/>
      <c r="E2447" s="17" t="n"/>
      <c r="F2447" s="17" t="n"/>
      <c r="G2447" s="17" t="n"/>
      <c r="H2447" s="24">
        <f>IF($G2447="","",IFERROR(VLOOKUP($G2447,物料档案!$A$4:$P$1203,3,0),"※编码不在物料档案里"))</f>
        <v/>
      </c>
      <c r="I2447" s="24">
        <f>IF($G2447="","",IFERROR(VLOOKUP($G2447,物料档案!$A$4:$P$1203,4,0),"※编码不在物料档案里"))</f>
        <v/>
      </c>
      <c r="J2447" s="24">
        <f>IF($G2447="","",IFERROR(VLOOKUP($G2447,物料档案!$A$4:$P$1203,5,0),"※编码不在物料档案里"))</f>
        <v/>
      </c>
      <c r="K2447" s="23" t="n"/>
      <c r="L2447" s="31" t="n"/>
      <c r="M2447" s="24">
        <f>IF($G2447="","",IF($D2447="A国内","CNY","TZS"))</f>
        <v/>
      </c>
      <c r="N2447" s="28">
        <f>IF($G2447="","",IF($D2447="A国内",汇率,1))</f>
        <v/>
      </c>
      <c r="O2447" s="25">
        <f>IF($G2447="","",ROUND(N($K2447)*N($L2447),2))</f>
        <v/>
      </c>
      <c r="P2447" s="26">
        <f>IF($G2447="","",ROUND($O2447*$N2447,0))</f>
        <v/>
      </c>
      <c r="Q2447" s="26">
        <f>IF($G2447="","",SUMIFS($P$4:$P$2503,$E$4:$E$2503,$E2447,$Z$4:$Z$2503,"正常"))</f>
        <v/>
      </c>
      <c r="R2447" s="26">
        <f>IF($G2447="","",SUMIFS(费用台账!$I$4:$I$503,费用台账!$C$4:$C$503,$E2447,费用台账!$J$4:$J$503,"是",费用台账!$K$4:$K$503,"正常"))</f>
        <v/>
      </c>
      <c r="S2447" s="28">
        <f>IF($G2447="","",COUNTIFS($E$4:$E$2503,$E2447,$Z$4:$Z$2503,"正常",$Y$4:$Y$2503,"待补价"))</f>
        <v/>
      </c>
      <c r="T2447" s="26">
        <f>IF($G2447="","",SUMIFS($P$4:$P$2503,$E$4:$E$2503,$E2447,$Z$4:$Z$2503,"正常",$A$4:$A$2503,"&lt;="&amp;$A2447))</f>
        <v/>
      </c>
      <c r="U2447" s="26">
        <f>IF($G2447="","",IF(OR($S2447&gt;0,$Q2447=0,$R2447=0,$Z2447&lt;&gt;"正常"),0,ROUND($T2447/$Q2447*$R2447,0)-ROUND(($T2447-$P2447)/$Q2447*$R2447,0)))</f>
        <v/>
      </c>
      <c r="V2447" s="26">
        <f>IF($G2447="","",ROUND($P2447+$U2447,0))</f>
        <v/>
      </c>
      <c r="W2447" s="26">
        <f>IF($G2447="","",IF(N($K2447)=0,0,ROUND($V2447/$K2447,2)))</f>
        <v/>
      </c>
      <c r="X2447" s="17" t="n"/>
      <c r="Y2447" s="17" t="n"/>
      <c r="Z2447" s="17" t="n"/>
      <c r="AA2447" s="17" t="n"/>
      <c r="AB2447" s="17" t="n"/>
      <c r="AC2447" s="24">
        <f>IF($G2447="","",IF($H2447="※编码不在物料档案里","※物料编码不在档案里",IF(N($K2447)&lt;=0,"※入库数量要大于 0",IF(AND($C2447&lt;&gt;"",$C2447&lt;=结账锁),"※日期早于已结账截止日，不能再录",IF(AND($L2447=0,$X2447="正常"),"※没填单价，价格状态请选「待补价」",IF(AND($S2447&gt;0,$R2447&gt;0),"△本批有 "&amp;$S2447&amp;" 行没单价，整批运费先挂账没摊",IF(AND($B2447&lt;&gt;"",COUNTIF($B$4:$B$2503,$B2447)&gt;1),"※入库单号重复","")))))))</f>
        <v/>
      </c>
    </row>
    <row r="2448">
      <c r="A2448" s="24">
        <f>IF($G2448="","",COUNTA($G$4:$G2448))</f>
        <v/>
      </c>
      <c r="B2448" s="17" t="n"/>
      <c r="C2448" s="30" t="n"/>
      <c r="D2448" s="17" t="n"/>
      <c r="E2448" s="17" t="n"/>
      <c r="F2448" s="17" t="n"/>
      <c r="G2448" s="17" t="n"/>
      <c r="H2448" s="24">
        <f>IF($G2448="","",IFERROR(VLOOKUP($G2448,物料档案!$A$4:$P$1203,3,0),"※编码不在物料档案里"))</f>
        <v/>
      </c>
      <c r="I2448" s="24">
        <f>IF($G2448="","",IFERROR(VLOOKUP($G2448,物料档案!$A$4:$P$1203,4,0),"※编码不在物料档案里"))</f>
        <v/>
      </c>
      <c r="J2448" s="24">
        <f>IF($G2448="","",IFERROR(VLOOKUP($G2448,物料档案!$A$4:$P$1203,5,0),"※编码不在物料档案里"))</f>
        <v/>
      </c>
      <c r="K2448" s="23" t="n"/>
      <c r="L2448" s="31" t="n"/>
      <c r="M2448" s="24">
        <f>IF($G2448="","",IF($D2448="A国内","CNY","TZS"))</f>
        <v/>
      </c>
      <c r="N2448" s="28">
        <f>IF($G2448="","",IF($D2448="A国内",汇率,1))</f>
        <v/>
      </c>
      <c r="O2448" s="25">
        <f>IF($G2448="","",ROUND(N($K2448)*N($L2448),2))</f>
        <v/>
      </c>
      <c r="P2448" s="26">
        <f>IF($G2448="","",ROUND($O2448*$N2448,0))</f>
        <v/>
      </c>
      <c r="Q2448" s="26">
        <f>IF($G2448="","",SUMIFS($P$4:$P$2503,$E$4:$E$2503,$E2448,$Z$4:$Z$2503,"正常"))</f>
        <v/>
      </c>
      <c r="R2448" s="26">
        <f>IF($G2448="","",SUMIFS(费用台账!$I$4:$I$503,费用台账!$C$4:$C$503,$E2448,费用台账!$J$4:$J$503,"是",费用台账!$K$4:$K$503,"正常"))</f>
        <v/>
      </c>
      <c r="S2448" s="28">
        <f>IF($G2448="","",COUNTIFS($E$4:$E$2503,$E2448,$Z$4:$Z$2503,"正常",$Y$4:$Y$2503,"待补价"))</f>
        <v/>
      </c>
      <c r="T2448" s="26">
        <f>IF($G2448="","",SUMIFS($P$4:$P$2503,$E$4:$E$2503,$E2448,$Z$4:$Z$2503,"正常",$A$4:$A$2503,"&lt;="&amp;$A2448))</f>
        <v/>
      </c>
      <c r="U2448" s="26">
        <f>IF($G2448="","",IF(OR($S2448&gt;0,$Q2448=0,$R2448=0,$Z2448&lt;&gt;"正常"),0,ROUND($T2448/$Q2448*$R2448,0)-ROUND(($T2448-$P2448)/$Q2448*$R2448,0)))</f>
        <v/>
      </c>
      <c r="V2448" s="26">
        <f>IF($G2448="","",ROUND($P2448+$U2448,0))</f>
        <v/>
      </c>
      <c r="W2448" s="26">
        <f>IF($G2448="","",IF(N($K2448)=0,0,ROUND($V2448/$K2448,2)))</f>
        <v/>
      </c>
      <c r="X2448" s="17" t="n"/>
      <c r="Y2448" s="17" t="n"/>
      <c r="Z2448" s="17" t="n"/>
      <c r="AA2448" s="17" t="n"/>
      <c r="AB2448" s="17" t="n"/>
      <c r="AC2448" s="24">
        <f>IF($G2448="","",IF($H2448="※编码不在物料档案里","※物料编码不在档案里",IF(N($K2448)&lt;=0,"※入库数量要大于 0",IF(AND($C2448&lt;&gt;"",$C2448&lt;=结账锁),"※日期早于已结账截止日，不能再录",IF(AND($L2448=0,$X2448="正常"),"※没填单价，价格状态请选「待补价」",IF(AND($S2448&gt;0,$R2448&gt;0),"△本批有 "&amp;$S2448&amp;" 行没单价，整批运费先挂账没摊",IF(AND($B2448&lt;&gt;"",COUNTIF($B$4:$B$2503,$B2448)&gt;1),"※入库单号重复","")))))))</f>
        <v/>
      </c>
    </row>
    <row r="2449">
      <c r="A2449" s="24">
        <f>IF($G2449="","",COUNTA($G$4:$G2449))</f>
        <v/>
      </c>
      <c r="B2449" s="17" t="n"/>
      <c r="C2449" s="30" t="n"/>
      <c r="D2449" s="17" t="n"/>
      <c r="E2449" s="17" t="n"/>
      <c r="F2449" s="17" t="n"/>
      <c r="G2449" s="17" t="n"/>
      <c r="H2449" s="24">
        <f>IF($G2449="","",IFERROR(VLOOKUP($G2449,物料档案!$A$4:$P$1203,3,0),"※编码不在物料档案里"))</f>
        <v/>
      </c>
      <c r="I2449" s="24">
        <f>IF($G2449="","",IFERROR(VLOOKUP($G2449,物料档案!$A$4:$P$1203,4,0),"※编码不在物料档案里"))</f>
        <v/>
      </c>
      <c r="J2449" s="24">
        <f>IF($G2449="","",IFERROR(VLOOKUP($G2449,物料档案!$A$4:$P$1203,5,0),"※编码不在物料档案里"))</f>
        <v/>
      </c>
      <c r="K2449" s="23" t="n"/>
      <c r="L2449" s="31" t="n"/>
      <c r="M2449" s="24">
        <f>IF($G2449="","",IF($D2449="A国内","CNY","TZS"))</f>
        <v/>
      </c>
      <c r="N2449" s="28">
        <f>IF($G2449="","",IF($D2449="A国内",汇率,1))</f>
        <v/>
      </c>
      <c r="O2449" s="25">
        <f>IF($G2449="","",ROUND(N($K2449)*N($L2449),2))</f>
        <v/>
      </c>
      <c r="P2449" s="26">
        <f>IF($G2449="","",ROUND($O2449*$N2449,0))</f>
        <v/>
      </c>
      <c r="Q2449" s="26">
        <f>IF($G2449="","",SUMIFS($P$4:$P$2503,$E$4:$E$2503,$E2449,$Z$4:$Z$2503,"正常"))</f>
        <v/>
      </c>
      <c r="R2449" s="26">
        <f>IF($G2449="","",SUMIFS(费用台账!$I$4:$I$503,费用台账!$C$4:$C$503,$E2449,费用台账!$J$4:$J$503,"是",费用台账!$K$4:$K$503,"正常"))</f>
        <v/>
      </c>
      <c r="S2449" s="28">
        <f>IF($G2449="","",COUNTIFS($E$4:$E$2503,$E2449,$Z$4:$Z$2503,"正常",$Y$4:$Y$2503,"待补价"))</f>
        <v/>
      </c>
      <c r="T2449" s="26">
        <f>IF($G2449="","",SUMIFS($P$4:$P$2503,$E$4:$E$2503,$E2449,$Z$4:$Z$2503,"正常",$A$4:$A$2503,"&lt;="&amp;$A2449))</f>
        <v/>
      </c>
      <c r="U2449" s="26">
        <f>IF($G2449="","",IF(OR($S2449&gt;0,$Q2449=0,$R2449=0,$Z2449&lt;&gt;"正常"),0,ROUND($T2449/$Q2449*$R2449,0)-ROUND(($T2449-$P2449)/$Q2449*$R2449,0)))</f>
        <v/>
      </c>
      <c r="V2449" s="26">
        <f>IF($G2449="","",ROUND($P2449+$U2449,0))</f>
        <v/>
      </c>
      <c r="W2449" s="26">
        <f>IF($G2449="","",IF(N($K2449)=0,0,ROUND($V2449/$K2449,2)))</f>
        <v/>
      </c>
      <c r="X2449" s="17" t="n"/>
      <c r="Y2449" s="17" t="n"/>
      <c r="Z2449" s="17" t="n"/>
      <c r="AA2449" s="17" t="n"/>
      <c r="AB2449" s="17" t="n"/>
      <c r="AC2449" s="24">
        <f>IF($G2449="","",IF($H2449="※编码不在物料档案里","※物料编码不在档案里",IF(N($K2449)&lt;=0,"※入库数量要大于 0",IF(AND($C2449&lt;&gt;"",$C2449&lt;=结账锁),"※日期早于已结账截止日，不能再录",IF(AND($L2449=0,$X2449="正常"),"※没填单价，价格状态请选「待补价」",IF(AND($S2449&gt;0,$R2449&gt;0),"△本批有 "&amp;$S2449&amp;" 行没单价，整批运费先挂账没摊",IF(AND($B2449&lt;&gt;"",COUNTIF($B$4:$B$2503,$B2449)&gt;1),"※入库单号重复","")))))))</f>
        <v/>
      </c>
    </row>
    <row r="2450">
      <c r="A2450" s="24">
        <f>IF($G2450="","",COUNTA($G$4:$G2450))</f>
        <v/>
      </c>
      <c r="B2450" s="17" t="n"/>
      <c r="C2450" s="30" t="n"/>
      <c r="D2450" s="17" t="n"/>
      <c r="E2450" s="17" t="n"/>
      <c r="F2450" s="17" t="n"/>
      <c r="G2450" s="17" t="n"/>
      <c r="H2450" s="24">
        <f>IF($G2450="","",IFERROR(VLOOKUP($G2450,物料档案!$A$4:$P$1203,3,0),"※编码不在物料档案里"))</f>
        <v/>
      </c>
      <c r="I2450" s="24">
        <f>IF($G2450="","",IFERROR(VLOOKUP($G2450,物料档案!$A$4:$P$1203,4,0),"※编码不在物料档案里"))</f>
        <v/>
      </c>
      <c r="J2450" s="24">
        <f>IF($G2450="","",IFERROR(VLOOKUP($G2450,物料档案!$A$4:$P$1203,5,0),"※编码不在物料档案里"))</f>
        <v/>
      </c>
      <c r="K2450" s="23" t="n"/>
      <c r="L2450" s="31" t="n"/>
      <c r="M2450" s="24">
        <f>IF($G2450="","",IF($D2450="A国内","CNY","TZS"))</f>
        <v/>
      </c>
      <c r="N2450" s="28">
        <f>IF($G2450="","",IF($D2450="A国内",汇率,1))</f>
        <v/>
      </c>
      <c r="O2450" s="25">
        <f>IF($G2450="","",ROUND(N($K2450)*N($L2450),2))</f>
        <v/>
      </c>
      <c r="P2450" s="26">
        <f>IF($G2450="","",ROUND($O2450*$N2450,0))</f>
        <v/>
      </c>
      <c r="Q2450" s="26">
        <f>IF($G2450="","",SUMIFS($P$4:$P$2503,$E$4:$E$2503,$E2450,$Z$4:$Z$2503,"正常"))</f>
        <v/>
      </c>
      <c r="R2450" s="26">
        <f>IF($G2450="","",SUMIFS(费用台账!$I$4:$I$503,费用台账!$C$4:$C$503,$E2450,费用台账!$J$4:$J$503,"是",费用台账!$K$4:$K$503,"正常"))</f>
        <v/>
      </c>
      <c r="S2450" s="28">
        <f>IF($G2450="","",COUNTIFS($E$4:$E$2503,$E2450,$Z$4:$Z$2503,"正常",$Y$4:$Y$2503,"待补价"))</f>
        <v/>
      </c>
      <c r="T2450" s="26">
        <f>IF($G2450="","",SUMIFS($P$4:$P$2503,$E$4:$E$2503,$E2450,$Z$4:$Z$2503,"正常",$A$4:$A$2503,"&lt;="&amp;$A2450))</f>
        <v/>
      </c>
      <c r="U2450" s="26">
        <f>IF($G2450="","",IF(OR($S2450&gt;0,$Q2450=0,$R2450=0,$Z2450&lt;&gt;"正常"),0,ROUND($T2450/$Q2450*$R2450,0)-ROUND(($T2450-$P2450)/$Q2450*$R2450,0)))</f>
        <v/>
      </c>
      <c r="V2450" s="26">
        <f>IF($G2450="","",ROUND($P2450+$U2450,0))</f>
        <v/>
      </c>
      <c r="W2450" s="26">
        <f>IF($G2450="","",IF(N($K2450)=0,0,ROUND($V2450/$K2450,2)))</f>
        <v/>
      </c>
      <c r="X2450" s="17" t="n"/>
      <c r="Y2450" s="17" t="n"/>
      <c r="Z2450" s="17" t="n"/>
      <c r="AA2450" s="17" t="n"/>
      <c r="AB2450" s="17" t="n"/>
      <c r="AC2450" s="24">
        <f>IF($G2450="","",IF($H2450="※编码不在物料档案里","※物料编码不在档案里",IF(N($K2450)&lt;=0,"※入库数量要大于 0",IF(AND($C2450&lt;&gt;"",$C2450&lt;=结账锁),"※日期早于已结账截止日，不能再录",IF(AND($L2450=0,$X2450="正常"),"※没填单价，价格状态请选「待补价」",IF(AND($S2450&gt;0,$R2450&gt;0),"△本批有 "&amp;$S2450&amp;" 行没单价，整批运费先挂账没摊",IF(AND($B2450&lt;&gt;"",COUNTIF($B$4:$B$2503,$B2450)&gt;1),"※入库单号重复","")))))))</f>
        <v/>
      </c>
    </row>
    <row r="2451">
      <c r="A2451" s="24">
        <f>IF($G2451="","",COUNTA($G$4:$G2451))</f>
        <v/>
      </c>
      <c r="B2451" s="17" t="n"/>
      <c r="C2451" s="30" t="n"/>
      <c r="D2451" s="17" t="n"/>
      <c r="E2451" s="17" t="n"/>
      <c r="F2451" s="17" t="n"/>
      <c r="G2451" s="17" t="n"/>
      <c r="H2451" s="24">
        <f>IF($G2451="","",IFERROR(VLOOKUP($G2451,物料档案!$A$4:$P$1203,3,0),"※编码不在物料档案里"))</f>
        <v/>
      </c>
      <c r="I2451" s="24">
        <f>IF($G2451="","",IFERROR(VLOOKUP($G2451,物料档案!$A$4:$P$1203,4,0),"※编码不在物料档案里"))</f>
        <v/>
      </c>
      <c r="J2451" s="24">
        <f>IF($G2451="","",IFERROR(VLOOKUP($G2451,物料档案!$A$4:$P$1203,5,0),"※编码不在物料档案里"))</f>
        <v/>
      </c>
      <c r="K2451" s="23" t="n"/>
      <c r="L2451" s="31" t="n"/>
      <c r="M2451" s="24">
        <f>IF($G2451="","",IF($D2451="A国内","CNY","TZS"))</f>
        <v/>
      </c>
      <c r="N2451" s="28">
        <f>IF($G2451="","",IF($D2451="A国内",汇率,1))</f>
        <v/>
      </c>
      <c r="O2451" s="25">
        <f>IF($G2451="","",ROUND(N($K2451)*N($L2451),2))</f>
        <v/>
      </c>
      <c r="P2451" s="26">
        <f>IF($G2451="","",ROUND($O2451*$N2451,0))</f>
        <v/>
      </c>
      <c r="Q2451" s="26">
        <f>IF($G2451="","",SUMIFS($P$4:$P$2503,$E$4:$E$2503,$E2451,$Z$4:$Z$2503,"正常"))</f>
        <v/>
      </c>
      <c r="R2451" s="26">
        <f>IF($G2451="","",SUMIFS(费用台账!$I$4:$I$503,费用台账!$C$4:$C$503,$E2451,费用台账!$J$4:$J$503,"是",费用台账!$K$4:$K$503,"正常"))</f>
        <v/>
      </c>
      <c r="S2451" s="28">
        <f>IF($G2451="","",COUNTIFS($E$4:$E$2503,$E2451,$Z$4:$Z$2503,"正常",$Y$4:$Y$2503,"待补价"))</f>
        <v/>
      </c>
      <c r="T2451" s="26">
        <f>IF($G2451="","",SUMIFS($P$4:$P$2503,$E$4:$E$2503,$E2451,$Z$4:$Z$2503,"正常",$A$4:$A$2503,"&lt;="&amp;$A2451))</f>
        <v/>
      </c>
      <c r="U2451" s="26">
        <f>IF($G2451="","",IF(OR($S2451&gt;0,$Q2451=0,$R2451=0,$Z2451&lt;&gt;"正常"),0,ROUND($T2451/$Q2451*$R2451,0)-ROUND(($T2451-$P2451)/$Q2451*$R2451,0)))</f>
        <v/>
      </c>
      <c r="V2451" s="26">
        <f>IF($G2451="","",ROUND($P2451+$U2451,0))</f>
        <v/>
      </c>
      <c r="W2451" s="26">
        <f>IF($G2451="","",IF(N($K2451)=0,0,ROUND($V2451/$K2451,2)))</f>
        <v/>
      </c>
      <c r="X2451" s="17" t="n"/>
      <c r="Y2451" s="17" t="n"/>
      <c r="Z2451" s="17" t="n"/>
      <c r="AA2451" s="17" t="n"/>
      <c r="AB2451" s="17" t="n"/>
      <c r="AC2451" s="24">
        <f>IF($G2451="","",IF($H2451="※编码不在物料档案里","※物料编码不在档案里",IF(N($K2451)&lt;=0,"※入库数量要大于 0",IF(AND($C2451&lt;&gt;"",$C2451&lt;=结账锁),"※日期早于已结账截止日，不能再录",IF(AND($L2451=0,$X2451="正常"),"※没填单价，价格状态请选「待补价」",IF(AND($S2451&gt;0,$R2451&gt;0),"△本批有 "&amp;$S2451&amp;" 行没单价，整批运费先挂账没摊",IF(AND($B2451&lt;&gt;"",COUNTIF($B$4:$B$2503,$B2451)&gt;1),"※入库单号重复","")))))))</f>
        <v/>
      </c>
    </row>
    <row r="2452">
      <c r="A2452" s="24">
        <f>IF($G2452="","",COUNTA($G$4:$G2452))</f>
        <v/>
      </c>
      <c r="B2452" s="17" t="n"/>
      <c r="C2452" s="30" t="n"/>
      <c r="D2452" s="17" t="n"/>
      <c r="E2452" s="17" t="n"/>
      <c r="F2452" s="17" t="n"/>
      <c r="G2452" s="17" t="n"/>
      <c r="H2452" s="24">
        <f>IF($G2452="","",IFERROR(VLOOKUP($G2452,物料档案!$A$4:$P$1203,3,0),"※编码不在物料档案里"))</f>
        <v/>
      </c>
      <c r="I2452" s="24">
        <f>IF($G2452="","",IFERROR(VLOOKUP($G2452,物料档案!$A$4:$P$1203,4,0),"※编码不在物料档案里"))</f>
        <v/>
      </c>
      <c r="J2452" s="24">
        <f>IF($G2452="","",IFERROR(VLOOKUP($G2452,物料档案!$A$4:$P$1203,5,0),"※编码不在物料档案里"))</f>
        <v/>
      </c>
      <c r="K2452" s="23" t="n"/>
      <c r="L2452" s="31" t="n"/>
      <c r="M2452" s="24">
        <f>IF($G2452="","",IF($D2452="A国内","CNY","TZS"))</f>
        <v/>
      </c>
      <c r="N2452" s="28">
        <f>IF($G2452="","",IF($D2452="A国内",汇率,1))</f>
        <v/>
      </c>
      <c r="O2452" s="25">
        <f>IF($G2452="","",ROUND(N($K2452)*N($L2452),2))</f>
        <v/>
      </c>
      <c r="P2452" s="26">
        <f>IF($G2452="","",ROUND($O2452*$N2452,0))</f>
        <v/>
      </c>
      <c r="Q2452" s="26">
        <f>IF($G2452="","",SUMIFS($P$4:$P$2503,$E$4:$E$2503,$E2452,$Z$4:$Z$2503,"正常"))</f>
        <v/>
      </c>
      <c r="R2452" s="26">
        <f>IF($G2452="","",SUMIFS(费用台账!$I$4:$I$503,费用台账!$C$4:$C$503,$E2452,费用台账!$J$4:$J$503,"是",费用台账!$K$4:$K$503,"正常"))</f>
        <v/>
      </c>
      <c r="S2452" s="28">
        <f>IF($G2452="","",COUNTIFS($E$4:$E$2503,$E2452,$Z$4:$Z$2503,"正常",$Y$4:$Y$2503,"待补价"))</f>
        <v/>
      </c>
      <c r="T2452" s="26">
        <f>IF($G2452="","",SUMIFS($P$4:$P$2503,$E$4:$E$2503,$E2452,$Z$4:$Z$2503,"正常",$A$4:$A$2503,"&lt;="&amp;$A2452))</f>
        <v/>
      </c>
      <c r="U2452" s="26">
        <f>IF($G2452="","",IF(OR($S2452&gt;0,$Q2452=0,$R2452=0,$Z2452&lt;&gt;"正常"),0,ROUND($T2452/$Q2452*$R2452,0)-ROUND(($T2452-$P2452)/$Q2452*$R2452,0)))</f>
        <v/>
      </c>
      <c r="V2452" s="26">
        <f>IF($G2452="","",ROUND($P2452+$U2452,0))</f>
        <v/>
      </c>
      <c r="W2452" s="26">
        <f>IF($G2452="","",IF(N($K2452)=0,0,ROUND($V2452/$K2452,2)))</f>
        <v/>
      </c>
      <c r="X2452" s="17" t="n"/>
      <c r="Y2452" s="17" t="n"/>
      <c r="Z2452" s="17" t="n"/>
      <c r="AA2452" s="17" t="n"/>
      <c r="AB2452" s="17" t="n"/>
      <c r="AC2452" s="24">
        <f>IF($G2452="","",IF($H2452="※编码不在物料档案里","※物料编码不在档案里",IF(N($K2452)&lt;=0,"※入库数量要大于 0",IF(AND($C2452&lt;&gt;"",$C2452&lt;=结账锁),"※日期早于已结账截止日，不能再录",IF(AND($L2452=0,$X2452="正常"),"※没填单价，价格状态请选「待补价」",IF(AND($S2452&gt;0,$R2452&gt;0),"△本批有 "&amp;$S2452&amp;" 行没单价，整批运费先挂账没摊",IF(AND($B2452&lt;&gt;"",COUNTIF($B$4:$B$2503,$B2452)&gt;1),"※入库单号重复","")))))))</f>
        <v/>
      </c>
    </row>
    <row r="2453">
      <c r="A2453" s="24">
        <f>IF($G2453="","",COUNTA($G$4:$G2453))</f>
        <v/>
      </c>
      <c r="B2453" s="17" t="n"/>
      <c r="C2453" s="30" t="n"/>
      <c r="D2453" s="17" t="n"/>
      <c r="E2453" s="17" t="n"/>
      <c r="F2453" s="17" t="n"/>
      <c r="G2453" s="17" t="n"/>
      <c r="H2453" s="24">
        <f>IF($G2453="","",IFERROR(VLOOKUP($G2453,物料档案!$A$4:$P$1203,3,0),"※编码不在物料档案里"))</f>
        <v/>
      </c>
      <c r="I2453" s="24">
        <f>IF($G2453="","",IFERROR(VLOOKUP($G2453,物料档案!$A$4:$P$1203,4,0),"※编码不在物料档案里"))</f>
        <v/>
      </c>
      <c r="J2453" s="24">
        <f>IF($G2453="","",IFERROR(VLOOKUP($G2453,物料档案!$A$4:$P$1203,5,0),"※编码不在物料档案里"))</f>
        <v/>
      </c>
      <c r="K2453" s="23" t="n"/>
      <c r="L2453" s="31" t="n"/>
      <c r="M2453" s="24">
        <f>IF($G2453="","",IF($D2453="A国内","CNY","TZS"))</f>
        <v/>
      </c>
      <c r="N2453" s="28">
        <f>IF($G2453="","",IF($D2453="A国内",汇率,1))</f>
        <v/>
      </c>
      <c r="O2453" s="25">
        <f>IF($G2453="","",ROUND(N($K2453)*N($L2453),2))</f>
        <v/>
      </c>
      <c r="P2453" s="26">
        <f>IF($G2453="","",ROUND($O2453*$N2453,0))</f>
        <v/>
      </c>
      <c r="Q2453" s="26">
        <f>IF($G2453="","",SUMIFS($P$4:$P$2503,$E$4:$E$2503,$E2453,$Z$4:$Z$2503,"正常"))</f>
        <v/>
      </c>
      <c r="R2453" s="26">
        <f>IF($G2453="","",SUMIFS(费用台账!$I$4:$I$503,费用台账!$C$4:$C$503,$E2453,费用台账!$J$4:$J$503,"是",费用台账!$K$4:$K$503,"正常"))</f>
        <v/>
      </c>
      <c r="S2453" s="28">
        <f>IF($G2453="","",COUNTIFS($E$4:$E$2503,$E2453,$Z$4:$Z$2503,"正常",$Y$4:$Y$2503,"待补价"))</f>
        <v/>
      </c>
      <c r="T2453" s="26">
        <f>IF($G2453="","",SUMIFS($P$4:$P$2503,$E$4:$E$2503,$E2453,$Z$4:$Z$2503,"正常",$A$4:$A$2503,"&lt;="&amp;$A2453))</f>
        <v/>
      </c>
      <c r="U2453" s="26">
        <f>IF($G2453="","",IF(OR($S2453&gt;0,$Q2453=0,$R2453=0,$Z2453&lt;&gt;"正常"),0,ROUND($T2453/$Q2453*$R2453,0)-ROUND(($T2453-$P2453)/$Q2453*$R2453,0)))</f>
        <v/>
      </c>
      <c r="V2453" s="26">
        <f>IF($G2453="","",ROUND($P2453+$U2453,0))</f>
        <v/>
      </c>
      <c r="W2453" s="26">
        <f>IF($G2453="","",IF(N($K2453)=0,0,ROUND($V2453/$K2453,2)))</f>
        <v/>
      </c>
      <c r="X2453" s="17" t="n"/>
      <c r="Y2453" s="17" t="n"/>
      <c r="Z2453" s="17" t="n"/>
      <c r="AA2453" s="17" t="n"/>
      <c r="AB2453" s="17" t="n"/>
      <c r="AC2453" s="24">
        <f>IF($G2453="","",IF($H2453="※编码不在物料档案里","※物料编码不在档案里",IF(N($K2453)&lt;=0,"※入库数量要大于 0",IF(AND($C2453&lt;&gt;"",$C2453&lt;=结账锁),"※日期早于已结账截止日，不能再录",IF(AND($L2453=0,$X2453="正常"),"※没填单价，价格状态请选「待补价」",IF(AND($S2453&gt;0,$R2453&gt;0),"△本批有 "&amp;$S2453&amp;" 行没单价，整批运费先挂账没摊",IF(AND($B2453&lt;&gt;"",COUNTIF($B$4:$B$2503,$B2453)&gt;1),"※入库单号重复","")))))))</f>
        <v/>
      </c>
    </row>
    <row r="2454">
      <c r="A2454" s="24">
        <f>IF($G2454="","",COUNTA($G$4:$G2454))</f>
        <v/>
      </c>
      <c r="B2454" s="17" t="n"/>
      <c r="C2454" s="30" t="n"/>
      <c r="D2454" s="17" t="n"/>
      <c r="E2454" s="17" t="n"/>
      <c r="F2454" s="17" t="n"/>
      <c r="G2454" s="17" t="n"/>
      <c r="H2454" s="24">
        <f>IF($G2454="","",IFERROR(VLOOKUP($G2454,物料档案!$A$4:$P$1203,3,0),"※编码不在物料档案里"))</f>
        <v/>
      </c>
      <c r="I2454" s="24">
        <f>IF($G2454="","",IFERROR(VLOOKUP($G2454,物料档案!$A$4:$P$1203,4,0),"※编码不在物料档案里"))</f>
        <v/>
      </c>
      <c r="J2454" s="24">
        <f>IF($G2454="","",IFERROR(VLOOKUP($G2454,物料档案!$A$4:$P$1203,5,0),"※编码不在物料档案里"))</f>
        <v/>
      </c>
      <c r="K2454" s="23" t="n"/>
      <c r="L2454" s="31" t="n"/>
      <c r="M2454" s="24">
        <f>IF($G2454="","",IF($D2454="A国内","CNY","TZS"))</f>
        <v/>
      </c>
      <c r="N2454" s="28">
        <f>IF($G2454="","",IF($D2454="A国内",汇率,1))</f>
        <v/>
      </c>
      <c r="O2454" s="25">
        <f>IF($G2454="","",ROUND(N($K2454)*N($L2454),2))</f>
        <v/>
      </c>
      <c r="P2454" s="26">
        <f>IF($G2454="","",ROUND($O2454*$N2454,0))</f>
        <v/>
      </c>
      <c r="Q2454" s="26">
        <f>IF($G2454="","",SUMIFS($P$4:$P$2503,$E$4:$E$2503,$E2454,$Z$4:$Z$2503,"正常"))</f>
        <v/>
      </c>
      <c r="R2454" s="26">
        <f>IF($G2454="","",SUMIFS(费用台账!$I$4:$I$503,费用台账!$C$4:$C$503,$E2454,费用台账!$J$4:$J$503,"是",费用台账!$K$4:$K$503,"正常"))</f>
        <v/>
      </c>
      <c r="S2454" s="28">
        <f>IF($G2454="","",COUNTIFS($E$4:$E$2503,$E2454,$Z$4:$Z$2503,"正常",$Y$4:$Y$2503,"待补价"))</f>
        <v/>
      </c>
      <c r="T2454" s="26">
        <f>IF($G2454="","",SUMIFS($P$4:$P$2503,$E$4:$E$2503,$E2454,$Z$4:$Z$2503,"正常",$A$4:$A$2503,"&lt;="&amp;$A2454))</f>
        <v/>
      </c>
      <c r="U2454" s="26">
        <f>IF($G2454="","",IF(OR($S2454&gt;0,$Q2454=0,$R2454=0,$Z2454&lt;&gt;"正常"),0,ROUND($T2454/$Q2454*$R2454,0)-ROUND(($T2454-$P2454)/$Q2454*$R2454,0)))</f>
        <v/>
      </c>
      <c r="V2454" s="26">
        <f>IF($G2454="","",ROUND($P2454+$U2454,0))</f>
        <v/>
      </c>
      <c r="W2454" s="26">
        <f>IF($G2454="","",IF(N($K2454)=0,0,ROUND($V2454/$K2454,2)))</f>
        <v/>
      </c>
      <c r="X2454" s="17" t="n"/>
      <c r="Y2454" s="17" t="n"/>
      <c r="Z2454" s="17" t="n"/>
      <c r="AA2454" s="17" t="n"/>
      <c r="AB2454" s="17" t="n"/>
      <c r="AC2454" s="24">
        <f>IF($G2454="","",IF($H2454="※编码不在物料档案里","※物料编码不在档案里",IF(N($K2454)&lt;=0,"※入库数量要大于 0",IF(AND($C2454&lt;&gt;"",$C2454&lt;=结账锁),"※日期早于已结账截止日，不能再录",IF(AND($L2454=0,$X2454="正常"),"※没填单价，价格状态请选「待补价」",IF(AND($S2454&gt;0,$R2454&gt;0),"△本批有 "&amp;$S2454&amp;" 行没单价，整批运费先挂账没摊",IF(AND($B2454&lt;&gt;"",COUNTIF($B$4:$B$2503,$B2454)&gt;1),"※入库单号重复","")))))))</f>
        <v/>
      </c>
    </row>
    <row r="2455">
      <c r="A2455" s="24">
        <f>IF($G2455="","",COUNTA($G$4:$G2455))</f>
        <v/>
      </c>
      <c r="B2455" s="17" t="n"/>
      <c r="C2455" s="30" t="n"/>
      <c r="D2455" s="17" t="n"/>
      <c r="E2455" s="17" t="n"/>
      <c r="F2455" s="17" t="n"/>
      <c r="G2455" s="17" t="n"/>
      <c r="H2455" s="24">
        <f>IF($G2455="","",IFERROR(VLOOKUP($G2455,物料档案!$A$4:$P$1203,3,0),"※编码不在物料档案里"))</f>
        <v/>
      </c>
      <c r="I2455" s="24">
        <f>IF($G2455="","",IFERROR(VLOOKUP($G2455,物料档案!$A$4:$P$1203,4,0),"※编码不在物料档案里"))</f>
        <v/>
      </c>
      <c r="J2455" s="24">
        <f>IF($G2455="","",IFERROR(VLOOKUP($G2455,物料档案!$A$4:$P$1203,5,0),"※编码不在物料档案里"))</f>
        <v/>
      </c>
      <c r="K2455" s="23" t="n"/>
      <c r="L2455" s="31" t="n"/>
      <c r="M2455" s="24">
        <f>IF($G2455="","",IF($D2455="A国内","CNY","TZS"))</f>
        <v/>
      </c>
      <c r="N2455" s="28">
        <f>IF($G2455="","",IF($D2455="A国内",汇率,1))</f>
        <v/>
      </c>
      <c r="O2455" s="25">
        <f>IF($G2455="","",ROUND(N($K2455)*N($L2455),2))</f>
        <v/>
      </c>
      <c r="P2455" s="26">
        <f>IF($G2455="","",ROUND($O2455*$N2455,0))</f>
        <v/>
      </c>
      <c r="Q2455" s="26">
        <f>IF($G2455="","",SUMIFS($P$4:$P$2503,$E$4:$E$2503,$E2455,$Z$4:$Z$2503,"正常"))</f>
        <v/>
      </c>
      <c r="R2455" s="26">
        <f>IF($G2455="","",SUMIFS(费用台账!$I$4:$I$503,费用台账!$C$4:$C$503,$E2455,费用台账!$J$4:$J$503,"是",费用台账!$K$4:$K$503,"正常"))</f>
        <v/>
      </c>
      <c r="S2455" s="28">
        <f>IF($G2455="","",COUNTIFS($E$4:$E$2503,$E2455,$Z$4:$Z$2503,"正常",$Y$4:$Y$2503,"待补价"))</f>
        <v/>
      </c>
      <c r="T2455" s="26">
        <f>IF($G2455="","",SUMIFS($P$4:$P$2503,$E$4:$E$2503,$E2455,$Z$4:$Z$2503,"正常",$A$4:$A$2503,"&lt;="&amp;$A2455))</f>
        <v/>
      </c>
      <c r="U2455" s="26">
        <f>IF($G2455="","",IF(OR($S2455&gt;0,$Q2455=0,$R2455=0,$Z2455&lt;&gt;"正常"),0,ROUND($T2455/$Q2455*$R2455,0)-ROUND(($T2455-$P2455)/$Q2455*$R2455,0)))</f>
        <v/>
      </c>
      <c r="V2455" s="26">
        <f>IF($G2455="","",ROUND($P2455+$U2455,0))</f>
        <v/>
      </c>
      <c r="W2455" s="26">
        <f>IF($G2455="","",IF(N($K2455)=0,0,ROUND($V2455/$K2455,2)))</f>
        <v/>
      </c>
      <c r="X2455" s="17" t="n"/>
      <c r="Y2455" s="17" t="n"/>
      <c r="Z2455" s="17" t="n"/>
      <c r="AA2455" s="17" t="n"/>
      <c r="AB2455" s="17" t="n"/>
      <c r="AC2455" s="24">
        <f>IF($G2455="","",IF($H2455="※编码不在物料档案里","※物料编码不在档案里",IF(N($K2455)&lt;=0,"※入库数量要大于 0",IF(AND($C2455&lt;&gt;"",$C2455&lt;=结账锁),"※日期早于已结账截止日，不能再录",IF(AND($L2455=0,$X2455="正常"),"※没填单价，价格状态请选「待补价」",IF(AND($S2455&gt;0,$R2455&gt;0),"△本批有 "&amp;$S2455&amp;" 行没单价，整批运费先挂账没摊",IF(AND($B2455&lt;&gt;"",COUNTIF($B$4:$B$2503,$B2455)&gt;1),"※入库单号重复","")))))))</f>
        <v/>
      </c>
    </row>
    <row r="2456">
      <c r="A2456" s="24">
        <f>IF($G2456="","",COUNTA($G$4:$G2456))</f>
        <v/>
      </c>
      <c r="B2456" s="17" t="n"/>
      <c r="C2456" s="30" t="n"/>
      <c r="D2456" s="17" t="n"/>
      <c r="E2456" s="17" t="n"/>
      <c r="F2456" s="17" t="n"/>
      <c r="G2456" s="17" t="n"/>
      <c r="H2456" s="24">
        <f>IF($G2456="","",IFERROR(VLOOKUP($G2456,物料档案!$A$4:$P$1203,3,0),"※编码不在物料档案里"))</f>
        <v/>
      </c>
      <c r="I2456" s="24">
        <f>IF($G2456="","",IFERROR(VLOOKUP($G2456,物料档案!$A$4:$P$1203,4,0),"※编码不在物料档案里"))</f>
        <v/>
      </c>
      <c r="J2456" s="24">
        <f>IF($G2456="","",IFERROR(VLOOKUP($G2456,物料档案!$A$4:$P$1203,5,0),"※编码不在物料档案里"))</f>
        <v/>
      </c>
      <c r="K2456" s="23" t="n"/>
      <c r="L2456" s="31" t="n"/>
      <c r="M2456" s="24">
        <f>IF($G2456="","",IF($D2456="A国内","CNY","TZS"))</f>
        <v/>
      </c>
      <c r="N2456" s="28">
        <f>IF($G2456="","",IF($D2456="A国内",汇率,1))</f>
        <v/>
      </c>
      <c r="O2456" s="25">
        <f>IF($G2456="","",ROUND(N($K2456)*N($L2456),2))</f>
        <v/>
      </c>
      <c r="P2456" s="26">
        <f>IF($G2456="","",ROUND($O2456*$N2456,0))</f>
        <v/>
      </c>
      <c r="Q2456" s="26">
        <f>IF($G2456="","",SUMIFS($P$4:$P$2503,$E$4:$E$2503,$E2456,$Z$4:$Z$2503,"正常"))</f>
        <v/>
      </c>
      <c r="R2456" s="26">
        <f>IF($G2456="","",SUMIFS(费用台账!$I$4:$I$503,费用台账!$C$4:$C$503,$E2456,费用台账!$J$4:$J$503,"是",费用台账!$K$4:$K$503,"正常"))</f>
        <v/>
      </c>
      <c r="S2456" s="28">
        <f>IF($G2456="","",COUNTIFS($E$4:$E$2503,$E2456,$Z$4:$Z$2503,"正常",$Y$4:$Y$2503,"待补价"))</f>
        <v/>
      </c>
      <c r="T2456" s="26">
        <f>IF($G2456="","",SUMIFS($P$4:$P$2503,$E$4:$E$2503,$E2456,$Z$4:$Z$2503,"正常",$A$4:$A$2503,"&lt;="&amp;$A2456))</f>
        <v/>
      </c>
      <c r="U2456" s="26">
        <f>IF($G2456="","",IF(OR($S2456&gt;0,$Q2456=0,$R2456=0,$Z2456&lt;&gt;"正常"),0,ROUND($T2456/$Q2456*$R2456,0)-ROUND(($T2456-$P2456)/$Q2456*$R2456,0)))</f>
        <v/>
      </c>
      <c r="V2456" s="26">
        <f>IF($G2456="","",ROUND($P2456+$U2456,0))</f>
        <v/>
      </c>
      <c r="W2456" s="26">
        <f>IF($G2456="","",IF(N($K2456)=0,0,ROUND($V2456/$K2456,2)))</f>
        <v/>
      </c>
      <c r="X2456" s="17" t="n"/>
      <c r="Y2456" s="17" t="n"/>
      <c r="Z2456" s="17" t="n"/>
      <c r="AA2456" s="17" t="n"/>
      <c r="AB2456" s="17" t="n"/>
      <c r="AC2456" s="24">
        <f>IF($G2456="","",IF($H2456="※编码不在物料档案里","※物料编码不在档案里",IF(N($K2456)&lt;=0,"※入库数量要大于 0",IF(AND($C2456&lt;&gt;"",$C2456&lt;=结账锁),"※日期早于已结账截止日，不能再录",IF(AND($L2456=0,$X2456="正常"),"※没填单价，价格状态请选「待补价」",IF(AND($S2456&gt;0,$R2456&gt;0),"△本批有 "&amp;$S2456&amp;" 行没单价，整批运费先挂账没摊",IF(AND($B2456&lt;&gt;"",COUNTIF($B$4:$B$2503,$B2456)&gt;1),"※入库单号重复","")))))))</f>
        <v/>
      </c>
    </row>
    <row r="2457">
      <c r="A2457" s="24">
        <f>IF($G2457="","",COUNTA($G$4:$G2457))</f>
        <v/>
      </c>
      <c r="B2457" s="17" t="n"/>
      <c r="C2457" s="30" t="n"/>
      <c r="D2457" s="17" t="n"/>
      <c r="E2457" s="17" t="n"/>
      <c r="F2457" s="17" t="n"/>
      <c r="G2457" s="17" t="n"/>
      <c r="H2457" s="24">
        <f>IF($G2457="","",IFERROR(VLOOKUP($G2457,物料档案!$A$4:$P$1203,3,0),"※编码不在物料档案里"))</f>
        <v/>
      </c>
      <c r="I2457" s="24">
        <f>IF($G2457="","",IFERROR(VLOOKUP($G2457,物料档案!$A$4:$P$1203,4,0),"※编码不在物料档案里"))</f>
        <v/>
      </c>
      <c r="J2457" s="24">
        <f>IF($G2457="","",IFERROR(VLOOKUP($G2457,物料档案!$A$4:$P$1203,5,0),"※编码不在物料档案里"))</f>
        <v/>
      </c>
      <c r="K2457" s="23" t="n"/>
      <c r="L2457" s="31" t="n"/>
      <c r="M2457" s="24">
        <f>IF($G2457="","",IF($D2457="A国内","CNY","TZS"))</f>
        <v/>
      </c>
      <c r="N2457" s="28">
        <f>IF($G2457="","",IF($D2457="A国内",汇率,1))</f>
        <v/>
      </c>
      <c r="O2457" s="25">
        <f>IF($G2457="","",ROUND(N($K2457)*N($L2457),2))</f>
        <v/>
      </c>
      <c r="P2457" s="26">
        <f>IF($G2457="","",ROUND($O2457*$N2457,0))</f>
        <v/>
      </c>
      <c r="Q2457" s="26">
        <f>IF($G2457="","",SUMIFS($P$4:$P$2503,$E$4:$E$2503,$E2457,$Z$4:$Z$2503,"正常"))</f>
        <v/>
      </c>
      <c r="R2457" s="26">
        <f>IF($G2457="","",SUMIFS(费用台账!$I$4:$I$503,费用台账!$C$4:$C$503,$E2457,费用台账!$J$4:$J$503,"是",费用台账!$K$4:$K$503,"正常"))</f>
        <v/>
      </c>
      <c r="S2457" s="28">
        <f>IF($G2457="","",COUNTIFS($E$4:$E$2503,$E2457,$Z$4:$Z$2503,"正常",$Y$4:$Y$2503,"待补价"))</f>
        <v/>
      </c>
      <c r="T2457" s="26">
        <f>IF($G2457="","",SUMIFS($P$4:$P$2503,$E$4:$E$2503,$E2457,$Z$4:$Z$2503,"正常",$A$4:$A$2503,"&lt;="&amp;$A2457))</f>
        <v/>
      </c>
      <c r="U2457" s="26">
        <f>IF($G2457="","",IF(OR($S2457&gt;0,$Q2457=0,$R2457=0,$Z2457&lt;&gt;"正常"),0,ROUND($T2457/$Q2457*$R2457,0)-ROUND(($T2457-$P2457)/$Q2457*$R2457,0)))</f>
        <v/>
      </c>
      <c r="V2457" s="26">
        <f>IF($G2457="","",ROUND($P2457+$U2457,0))</f>
        <v/>
      </c>
      <c r="W2457" s="26">
        <f>IF($G2457="","",IF(N($K2457)=0,0,ROUND($V2457/$K2457,2)))</f>
        <v/>
      </c>
      <c r="X2457" s="17" t="n"/>
      <c r="Y2457" s="17" t="n"/>
      <c r="Z2457" s="17" t="n"/>
      <c r="AA2457" s="17" t="n"/>
      <c r="AB2457" s="17" t="n"/>
      <c r="AC2457" s="24">
        <f>IF($G2457="","",IF($H2457="※编码不在物料档案里","※物料编码不在档案里",IF(N($K2457)&lt;=0,"※入库数量要大于 0",IF(AND($C2457&lt;&gt;"",$C2457&lt;=结账锁),"※日期早于已结账截止日，不能再录",IF(AND($L2457=0,$X2457="正常"),"※没填单价，价格状态请选「待补价」",IF(AND($S2457&gt;0,$R2457&gt;0),"△本批有 "&amp;$S2457&amp;" 行没单价，整批运费先挂账没摊",IF(AND($B2457&lt;&gt;"",COUNTIF($B$4:$B$2503,$B2457)&gt;1),"※入库单号重复","")))))))</f>
        <v/>
      </c>
    </row>
    <row r="2458">
      <c r="A2458" s="24">
        <f>IF($G2458="","",COUNTA($G$4:$G2458))</f>
        <v/>
      </c>
      <c r="B2458" s="17" t="n"/>
      <c r="C2458" s="30" t="n"/>
      <c r="D2458" s="17" t="n"/>
      <c r="E2458" s="17" t="n"/>
      <c r="F2458" s="17" t="n"/>
      <c r="G2458" s="17" t="n"/>
      <c r="H2458" s="24">
        <f>IF($G2458="","",IFERROR(VLOOKUP($G2458,物料档案!$A$4:$P$1203,3,0),"※编码不在物料档案里"))</f>
        <v/>
      </c>
      <c r="I2458" s="24">
        <f>IF($G2458="","",IFERROR(VLOOKUP($G2458,物料档案!$A$4:$P$1203,4,0),"※编码不在物料档案里"))</f>
        <v/>
      </c>
      <c r="J2458" s="24">
        <f>IF($G2458="","",IFERROR(VLOOKUP($G2458,物料档案!$A$4:$P$1203,5,0),"※编码不在物料档案里"))</f>
        <v/>
      </c>
      <c r="K2458" s="23" t="n"/>
      <c r="L2458" s="31" t="n"/>
      <c r="M2458" s="24">
        <f>IF($G2458="","",IF($D2458="A国内","CNY","TZS"))</f>
        <v/>
      </c>
      <c r="N2458" s="28">
        <f>IF($G2458="","",IF($D2458="A国内",汇率,1))</f>
        <v/>
      </c>
      <c r="O2458" s="25">
        <f>IF($G2458="","",ROUND(N($K2458)*N($L2458),2))</f>
        <v/>
      </c>
      <c r="P2458" s="26">
        <f>IF($G2458="","",ROUND($O2458*$N2458,0))</f>
        <v/>
      </c>
      <c r="Q2458" s="26">
        <f>IF($G2458="","",SUMIFS($P$4:$P$2503,$E$4:$E$2503,$E2458,$Z$4:$Z$2503,"正常"))</f>
        <v/>
      </c>
      <c r="R2458" s="26">
        <f>IF($G2458="","",SUMIFS(费用台账!$I$4:$I$503,费用台账!$C$4:$C$503,$E2458,费用台账!$J$4:$J$503,"是",费用台账!$K$4:$K$503,"正常"))</f>
        <v/>
      </c>
      <c r="S2458" s="28">
        <f>IF($G2458="","",COUNTIFS($E$4:$E$2503,$E2458,$Z$4:$Z$2503,"正常",$Y$4:$Y$2503,"待补价"))</f>
        <v/>
      </c>
      <c r="T2458" s="26">
        <f>IF($G2458="","",SUMIFS($P$4:$P$2503,$E$4:$E$2503,$E2458,$Z$4:$Z$2503,"正常",$A$4:$A$2503,"&lt;="&amp;$A2458))</f>
        <v/>
      </c>
      <c r="U2458" s="26">
        <f>IF($G2458="","",IF(OR($S2458&gt;0,$Q2458=0,$R2458=0,$Z2458&lt;&gt;"正常"),0,ROUND($T2458/$Q2458*$R2458,0)-ROUND(($T2458-$P2458)/$Q2458*$R2458,0)))</f>
        <v/>
      </c>
      <c r="V2458" s="26">
        <f>IF($G2458="","",ROUND($P2458+$U2458,0))</f>
        <v/>
      </c>
      <c r="W2458" s="26">
        <f>IF($G2458="","",IF(N($K2458)=0,0,ROUND($V2458/$K2458,2)))</f>
        <v/>
      </c>
      <c r="X2458" s="17" t="n"/>
      <c r="Y2458" s="17" t="n"/>
      <c r="Z2458" s="17" t="n"/>
      <c r="AA2458" s="17" t="n"/>
      <c r="AB2458" s="17" t="n"/>
      <c r="AC2458" s="24">
        <f>IF($G2458="","",IF($H2458="※编码不在物料档案里","※物料编码不在档案里",IF(N($K2458)&lt;=0,"※入库数量要大于 0",IF(AND($C2458&lt;&gt;"",$C2458&lt;=结账锁),"※日期早于已结账截止日，不能再录",IF(AND($L2458=0,$X2458="正常"),"※没填单价，价格状态请选「待补价」",IF(AND($S2458&gt;0,$R2458&gt;0),"△本批有 "&amp;$S2458&amp;" 行没单价，整批运费先挂账没摊",IF(AND($B2458&lt;&gt;"",COUNTIF($B$4:$B$2503,$B2458)&gt;1),"※入库单号重复","")))))))</f>
        <v/>
      </c>
    </row>
    <row r="2459">
      <c r="A2459" s="24">
        <f>IF($G2459="","",COUNTA($G$4:$G2459))</f>
        <v/>
      </c>
      <c r="B2459" s="17" t="n"/>
      <c r="C2459" s="30" t="n"/>
      <c r="D2459" s="17" t="n"/>
      <c r="E2459" s="17" t="n"/>
      <c r="F2459" s="17" t="n"/>
      <c r="G2459" s="17" t="n"/>
      <c r="H2459" s="24">
        <f>IF($G2459="","",IFERROR(VLOOKUP($G2459,物料档案!$A$4:$P$1203,3,0),"※编码不在物料档案里"))</f>
        <v/>
      </c>
      <c r="I2459" s="24">
        <f>IF($G2459="","",IFERROR(VLOOKUP($G2459,物料档案!$A$4:$P$1203,4,0),"※编码不在物料档案里"))</f>
        <v/>
      </c>
      <c r="J2459" s="24">
        <f>IF($G2459="","",IFERROR(VLOOKUP($G2459,物料档案!$A$4:$P$1203,5,0),"※编码不在物料档案里"))</f>
        <v/>
      </c>
      <c r="K2459" s="23" t="n"/>
      <c r="L2459" s="31" t="n"/>
      <c r="M2459" s="24">
        <f>IF($G2459="","",IF($D2459="A国内","CNY","TZS"))</f>
        <v/>
      </c>
      <c r="N2459" s="28">
        <f>IF($G2459="","",IF($D2459="A国内",汇率,1))</f>
        <v/>
      </c>
      <c r="O2459" s="25">
        <f>IF($G2459="","",ROUND(N($K2459)*N($L2459),2))</f>
        <v/>
      </c>
      <c r="P2459" s="26">
        <f>IF($G2459="","",ROUND($O2459*$N2459,0))</f>
        <v/>
      </c>
      <c r="Q2459" s="26">
        <f>IF($G2459="","",SUMIFS($P$4:$P$2503,$E$4:$E$2503,$E2459,$Z$4:$Z$2503,"正常"))</f>
        <v/>
      </c>
      <c r="R2459" s="26">
        <f>IF($G2459="","",SUMIFS(费用台账!$I$4:$I$503,费用台账!$C$4:$C$503,$E2459,费用台账!$J$4:$J$503,"是",费用台账!$K$4:$K$503,"正常"))</f>
        <v/>
      </c>
      <c r="S2459" s="28">
        <f>IF($G2459="","",COUNTIFS($E$4:$E$2503,$E2459,$Z$4:$Z$2503,"正常",$Y$4:$Y$2503,"待补价"))</f>
        <v/>
      </c>
      <c r="T2459" s="26">
        <f>IF($G2459="","",SUMIFS($P$4:$P$2503,$E$4:$E$2503,$E2459,$Z$4:$Z$2503,"正常",$A$4:$A$2503,"&lt;="&amp;$A2459))</f>
        <v/>
      </c>
      <c r="U2459" s="26">
        <f>IF($G2459="","",IF(OR($S2459&gt;0,$Q2459=0,$R2459=0,$Z2459&lt;&gt;"正常"),0,ROUND($T2459/$Q2459*$R2459,0)-ROUND(($T2459-$P2459)/$Q2459*$R2459,0)))</f>
        <v/>
      </c>
      <c r="V2459" s="26">
        <f>IF($G2459="","",ROUND($P2459+$U2459,0))</f>
        <v/>
      </c>
      <c r="W2459" s="26">
        <f>IF($G2459="","",IF(N($K2459)=0,0,ROUND($V2459/$K2459,2)))</f>
        <v/>
      </c>
      <c r="X2459" s="17" t="n"/>
      <c r="Y2459" s="17" t="n"/>
      <c r="Z2459" s="17" t="n"/>
      <c r="AA2459" s="17" t="n"/>
      <c r="AB2459" s="17" t="n"/>
      <c r="AC2459" s="24">
        <f>IF($G2459="","",IF($H2459="※编码不在物料档案里","※物料编码不在档案里",IF(N($K2459)&lt;=0,"※入库数量要大于 0",IF(AND($C2459&lt;&gt;"",$C2459&lt;=结账锁),"※日期早于已结账截止日，不能再录",IF(AND($L2459=0,$X2459="正常"),"※没填单价，价格状态请选「待补价」",IF(AND($S2459&gt;0,$R2459&gt;0),"△本批有 "&amp;$S2459&amp;" 行没单价，整批运费先挂账没摊",IF(AND($B2459&lt;&gt;"",COUNTIF($B$4:$B$2503,$B2459)&gt;1),"※入库单号重复","")))))))</f>
        <v/>
      </c>
    </row>
    <row r="2460">
      <c r="A2460" s="24">
        <f>IF($G2460="","",COUNTA($G$4:$G2460))</f>
        <v/>
      </c>
      <c r="B2460" s="17" t="n"/>
      <c r="C2460" s="30" t="n"/>
      <c r="D2460" s="17" t="n"/>
      <c r="E2460" s="17" t="n"/>
      <c r="F2460" s="17" t="n"/>
      <c r="G2460" s="17" t="n"/>
      <c r="H2460" s="24">
        <f>IF($G2460="","",IFERROR(VLOOKUP($G2460,物料档案!$A$4:$P$1203,3,0),"※编码不在物料档案里"))</f>
        <v/>
      </c>
      <c r="I2460" s="24">
        <f>IF($G2460="","",IFERROR(VLOOKUP($G2460,物料档案!$A$4:$P$1203,4,0),"※编码不在物料档案里"))</f>
        <v/>
      </c>
      <c r="J2460" s="24">
        <f>IF($G2460="","",IFERROR(VLOOKUP($G2460,物料档案!$A$4:$P$1203,5,0),"※编码不在物料档案里"))</f>
        <v/>
      </c>
      <c r="K2460" s="23" t="n"/>
      <c r="L2460" s="31" t="n"/>
      <c r="M2460" s="24">
        <f>IF($G2460="","",IF($D2460="A国内","CNY","TZS"))</f>
        <v/>
      </c>
      <c r="N2460" s="28">
        <f>IF($G2460="","",IF($D2460="A国内",汇率,1))</f>
        <v/>
      </c>
      <c r="O2460" s="25">
        <f>IF($G2460="","",ROUND(N($K2460)*N($L2460),2))</f>
        <v/>
      </c>
      <c r="P2460" s="26">
        <f>IF($G2460="","",ROUND($O2460*$N2460,0))</f>
        <v/>
      </c>
      <c r="Q2460" s="26">
        <f>IF($G2460="","",SUMIFS($P$4:$P$2503,$E$4:$E$2503,$E2460,$Z$4:$Z$2503,"正常"))</f>
        <v/>
      </c>
      <c r="R2460" s="26">
        <f>IF($G2460="","",SUMIFS(费用台账!$I$4:$I$503,费用台账!$C$4:$C$503,$E2460,费用台账!$J$4:$J$503,"是",费用台账!$K$4:$K$503,"正常"))</f>
        <v/>
      </c>
      <c r="S2460" s="28">
        <f>IF($G2460="","",COUNTIFS($E$4:$E$2503,$E2460,$Z$4:$Z$2503,"正常",$Y$4:$Y$2503,"待补价"))</f>
        <v/>
      </c>
      <c r="T2460" s="26">
        <f>IF($G2460="","",SUMIFS($P$4:$P$2503,$E$4:$E$2503,$E2460,$Z$4:$Z$2503,"正常",$A$4:$A$2503,"&lt;="&amp;$A2460))</f>
        <v/>
      </c>
      <c r="U2460" s="26">
        <f>IF($G2460="","",IF(OR($S2460&gt;0,$Q2460=0,$R2460=0,$Z2460&lt;&gt;"正常"),0,ROUND($T2460/$Q2460*$R2460,0)-ROUND(($T2460-$P2460)/$Q2460*$R2460,0)))</f>
        <v/>
      </c>
      <c r="V2460" s="26">
        <f>IF($G2460="","",ROUND($P2460+$U2460,0))</f>
        <v/>
      </c>
      <c r="W2460" s="26">
        <f>IF($G2460="","",IF(N($K2460)=0,0,ROUND($V2460/$K2460,2)))</f>
        <v/>
      </c>
      <c r="X2460" s="17" t="n"/>
      <c r="Y2460" s="17" t="n"/>
      <c r="Z2460" s="17" t="n"/>
      <c r="AA2460" s="17" t="n"/>
      <c r="AB2460" s="17" t="n"/>
      <c r="AC2460" s="24">
        <f>IF($G2460="","",IF($H2460="※编码不在物料档案里","※物料编码不在档案里",IF(N($K2460)&lt;=0,"※入库数量要大于 0",IF(AND($C2460&lt;&gt;"",$C2460&lt;=结账锁),"※日期早于已结账截止日，不能再录",IF(AND($L2460=0,$X2460="正常"),"※没填单价，价格状态请选「待补价」",IF(AND($S2460&gt;0,$R2460&gt;0),"△本批有 "&amp;$S2460&amp;" 行没单价，整批运费先挂账没摊",IF(AND($B2460&lt;&gt;"",COUNTIF($B$4:$B$2503,$B2460)&gt;1),"※入库单号重复","")))))))</f>
        <v/>
      </c>
    </row>
    <row r="2461">
      <c r="A2461" s="24">
        <f>IF($G2461="","",COUNTA($G$4:$G2461))</f>
        <v/>
      </c>
      <c r="B2461" s="17" t="n"/>
      <c r="C2461" s="30" t="n"/>
      <c r="D2461" s="17" t="n"/>
      <c r="E2461" s="17" t="n"/>
      <c r="F2461" s="17" t="n"/>
      <c r="G2461" s="17" t="n"/>
      <c r="H2461" s="24">
        <f>IF($G2461="","",IFERROR(VLOOKUP($G2461,物料档案!$A$4:$P$1203,3,0),"※编码不在物料档案里"))</f>
        <v/>
      </c>
      <c r="I2461" s="24">
        <f>IF($G2461="","",IFERROR(VLOOKUP($G2461,物料档案!$A$4:$P$1203,4,0),"※编码不在物料档案里"))</f>
        <v/>
      </c>
      <c r="J2461" s="24">
        <f>IF($G2461="","",IFERROR(VLOOKUP($G2461,物料档案!$A$4:$P$1203,5,0),"※编码不在物料档案里"))</f>
        <v/>
      </c>
      <c r="K2461" s="23" t="n"/>
      <c r="L2461" s="31" t="n"/>
      <c r="M2461" s="24">
        <f>IF($G2461="","",IF($D2461="A国内","CNY","TZS"))</f>
        <v/>
      </c>
      <c r="N2461" s="28">
        <f>IF($G2461="","",IF($D2461="A国内",汇率,1))</f>
        <v/>
      </c>
      <c r="O2461" s="25">
        <f>IF($G2461="","",ROUND(N($K2461)*N($L2461),2))</f>
        <v/>
      </c>
      <c r="P2461" s="26">
        <f>IF($G2461="","",ROUND($O2461*$N2461,0))</f>
        <v/>
      </c>
      <c r="Q2461" s="26">
        <f>IF($G2461="","",SUMIFS($P$4:$P$2503,$E$4:$E$2503,$E2461,$Z$4:$Z$2503,"正常"))</f>
        <v/>
      </c>
      <c r="R2461" s="26">
        <f>IF($G2461="","",SUMIFS(费用台账!$I$4:$I$503,费用台账!$C$4:$C$503,$E2461,费用台账!$J$4:$J$503,"是",费用台账!$K$4:$K$503,"正常"))</f>
        <v/>
      </c>
      <c r="S2461" s="28">
        <f>IF($G2461="","",COUNTIFS($E$4:$E$2503,$E2461,$Z$4:$Z$2503,"正常",$Y$4:$Y$2503,"待补价"))</f>
        <v/>
      </c>
      <c r="T2461" s="26">
        <f>IF($G2461="","",SUMIFS($P$4:$P$2503,$E$4:$E$2503,$E2461,$Z$4:$Z$2503,"正常",$A$4:$A$2503,"&lt;="&amp;$A2461))</f>
        <v/>
      </c>
      <c r="U2461" s="26">
        <f>IF($G2461="","",IF(OR($S2461&gt;0,$Q2461=0,$R2461=0,$Z2461&lt;&gt;"正常"),0,ROUND($T2461/$Q2461*$R2461,0)-ROUND(($T2461-$P2461)/$Q2461*$R2461,0)))</f>
        <v/>
      </c>
      <c r="V2461" s="26">
        <f>IF($G2461="","",ROUND($P2461+$U2461,0))</f>
        <v/>
      </c>
      <c r="W2461" s="26">
        <f>IF($G2461="","",IF(N($K2461)=0,0,ROUND($V2461/$K2461,2)))</f>
        <v/>
      </c>
      <c r="X2461" s="17" t="n"/>
      <c r="Y2461" s="17" t="n"/>
      <c r="Z2461" s="17" t="n"/>
      <c r="AA2461" s="17" t="n"/>
      <c r="AB2461" s="17" t="n"/>
      <c r="AC2461" s="24">
        <f>IF($G2461="","",IF($H2461="※编码不在物料档案里","※物料编码不在档案里",IF(N($K2461)&lt;=0,"※入库数量要大于 0",IF(AND($C2461&lt;&gt;"",$C2461&lt;=结账锁),"※日期早于已结账截止日，不能再录",IF(AND($L2461=0,$X2461="正常"),"※没填单价，价格状态请选「待补价」",IF(AND($S2461&gt;0,$R2461&gt;0),"△本批有 "&amp;$S2461&amp;" 行没单价，整批运费先挂账没摊",IF(AND($B2461&lt;&gt;"",COUNTIF($B$4:$B$2503,$B2461)&gt;1),"※入库单号重复","")))))))</f>
        <v/>
      </c>
    </row>
    <row r="2462">
      <c r="A2462" s="24">
        <f>IF($G2462="","",COUNTA($G$4:$G2462))</f>
        <v/>
      </c>
      <c r="B2462" s="17" t="n"/>
      <c r="C2462" s="30" t="n"/>
      <c r="D2462" s="17" t="n"/>
      <c r="E2462" s="17" t="n"/>
      <c r="F2462" s="17" t="n"/>
      <c r="G2462" s="17" t="n"/>
      <c r="H2462" s="24">
        <f>IF($G2462="","",IFERROR(VLOOKUP($G2462,物料档案!$A$4:$P$1203,3,0),"※编码不在物料档案里"))</f>
        <v/>
      </c>
      <c r="I2462" s="24">
        <f>IF($G2462="","",IFERROR(VLOOKUP($G2462,物料档案!$A$4:$P$1203,4,0),"※编码不在物料档案里"))</f>
        <v/>
      </c>
      <c r="J2462" s="24">
        <f>IF($G2462="","",IFERROR(VLOOKUP($G2462,物料档案!$A$4:$P$1203,5,0),"※编码不在物料档案里"))</f>
        <v/>
      </c>
      <c r="K2462" s="23" t="n"/>
      <c r="L2462" s="31" t="n"/>
      <c r="M2462" s="24">
        <f>IF($G2462="","",IF($D2462="A国内","CNY","TZS"))</f>
        <v/>
      </c>
      <c r="N2462" s="28">
        <f>IF($G2462="","",IF($D2462="A国内",汇率,1))</f>
        <v/>
      </c>
      <c r="O2462" s="25">
        <f>IF($G2462="","",ROUND(N($K2462)*N($L2462),2))</f>
        <v/>
      </c>
      <c r="P2462" s="26">
        <f>IF($G2462="","",ROUND($O2462*$N2462,0))</f>
        <v/>
      </c>
      <c r="Q2462" s="26">
        <f>IF($G2462="","",SUMIFS($P$4:$P$2503,$E$4:$E$2503,$E2462,$Z$4:$Z$2503,"正常"))</f>
        <v/>
      </c>
      <c r="R2462" s="26">
        <f>IF($G2462="","",SUMIFS(费用台账!$I$4:$I$503,费用台账!$C$4:$C$503,$E2462,费用台账!$J$4:$J$503,"是",费用台账!$K$4:$K$503,"正常"))</f>
        <v/>
      </c>
      <c r="S2462" s="28">
        <f>IF($G2462="","",COUNTIFS($E$4:$E$2503,$E2462,$Z$4:$Z$2503,"正常",$Y$4:$Y$2503,"待补价"))</f>
        <v/>
      </c>
      <c r="T2462" s="26">
        <f>IF($G2462="","",SUMIFS($P$4:$P$2503,$E$4:$E$2503,$E2462,$Z$4:$Z$2503,"正常",$A$4:$A$2503,"&lt;="&amp;$A2462))</f>
        <v/>
      </c>
      <c r="U2462" s="26">
        <f>IF($G2462="","",IF(OR($S2462&gt;0,$Q2462=0,$R2462=0,$Z2462&lt;&gt;"正常"),0,ROUND($T2462/$Q2462*$R2462,0)-ROUND(($T2462-$P2462)/$Q2462*$R2462,0)))</f>
        <v/>
      </c>
      <c r="V2462" s="26">
        <f>IF($G2462="","",ROUND($P2462+$U2462,0))</f>
        <v/>
      </c>
      <c r="W2462" s="26">
        <f>IF($G2462="","",IF(N($K2462)=0,0,ROUND($V2462/$K2462,2)))</f>
        <v/>
      </c>
      <c r="X2462" s="17" t="n"/>
      <c r="Y2462" s="17" t="n"/>
      <c r="Z2462" s="17" t="n"/>
      <c r="AA2462" s="17" t="n"/>
      <c r="AB2462" s="17" t="n"/>
      <c r="AC2462" s="24">
        <f>IF($G2462="","",IF($H2462="※编码不在物料档案里","※物料编码不在档案里",IF(N($K2462)&lt;=0,"※入库数量要大于 0",IF(AND($C2462&lt;&gt;"",$C2462&lt;=结账锁),"※日期早于已结账截止日，不能再录",IF(AND($L2462=0,$X2462="正常"),"※没填单价，价格状态请选「待补价」",IF(AND($S2462&gt;0,$R2462&gt;0),"△本批有 "&amp;$S2462&amp;" 行没单价，整批运费先挂账没摊",IF(AND($B2462&lt;&gt;"",COUNTIF($B$4:$B$2503,$B2462)&gt;1),"※入库单号重复","")))))))</f>
        <v/>
      </c>
    </row>
    <row r="2463">
      <c r="A2463" s="24">
        <f>IF($G2463="","",COUNTA($G$4:$G2463))</f>
        <v/>
      </c>
      <c r="B2463" s="17" t="n"/>
      <c r="C2463" s="30" t="n"/>
      <c r="D2463" s="17" t="n"/>
      <c r="E2463" s="17" t="n"/>
      <c r="F2463" s="17" t="n"/>
      <c r="G2463" s="17" t="n"/>
      <c r="H2463" s="24">
        <f>IF($G2463="","",IFERROR(VLOOKUP($G2463,物料档案!$A$4:$P$1203,3,0),"※编码不在物料档案里"))</f>
        <v/>
      </c>
      <c r="I2463" s="24">
        <f>IF($G2463="","",IFERROR(VLOOKUP($G2463,物料档案!$A$4:$P$1203,4,0),"※编码不在物料档案里"))</f>
        <v/>
      </c>
      <c r="J2463" s="24">
        <f>IF($G2463="","",IFERROR(VLOOKUP($G2463,物料档案!$A$4:$P$1203,5,0),"※编码不在物料档案里"))</f>
        <v/>
      </c>
      <c r="K2463" s="23" t="n"/>
      <c r="L2463" s="31" t="n"/>
      <c r="M2463" s="24">
        <f>IF($G2463="","",IF($D2463="A国内","CNY","TZS"))</f>
        <v/>
      </c>
      <c r="N2463" s="28">
        <f>IF($G2463="","",IF($D2463="A国内",汇率,1))</f>
        <v/>
      </c>
      <c r="O2463" s="25">
        <f>IF($G2463="","",ROUND(N($K2463)*N($L2463),2))</f>
        <v/>
      </c>
      <c r="P2463" s="26">
        <f>IF($G2463="","",ROUND($O2463*$N2463,0))</f>
        <v/>
      </c>
      <c r="Q2463" s="26">
        <f>IF($G2463="","",SUMIFS($P$4:$P$2503,$E$4:$E$2503,$E2463,$Z$4:$Z$2503,"正常"))</f>
        <v/>
      </c>
      <c r="R2463" s="26">
        <f>IF($G2463="","",SUMIFS(费用台账!$I$4:$I$503,费用台账!$C$4:$C$503,$E2463,费用台账!$J$4:$J$503,"是",费用台账!$K$4:$K$503,"正常"))</f>
        <v/>
      </c>
      <c r="S2463" s="28">
        <f>IF($G2463="","",COUNTIFS($E$4:$E$2503,$E2463,$Z$4:$Z$2503,"正常",$Y$4:$Y$2503,"待补价"))</f>
        <v/>
      </c>
      <c r="T2463" s="26">
        <f>IF($G2463="","",SUMIFS($P$4:$P$2503,$E$4:$E$2503,$E2463,$Z$4:$Z$2503,"正常",$A$4:$A$2503,"&lt;="&amp;$A2463))</f>
        <v/>
      </c>
      <c r="U2463" s="26">
        <f>IF($G2463="","",IF(OR($S2463&gt;0,$Q2463=0,$R2463=0,$Z2463&lt;&gt;"正常"),0,ROUND($T2463/$Q2463*$R2463,0)-ROUND(($T2463-$P2463)/$Q2463*$R2463,0)))</f>
        <v/>
      </c>
      <c r="V2463" s="26">
        <f>IF($G2463="","",ROUND($P2463+$U2463,0))</f>
        <v/>
      </c>
      <c r="W2463" s="26">
        <f>IF($G2463="","",IF(N($K2463)=0,0,ROUND($V2463/$K2463,2)))</f>
        <v/>
      </c>
      <c r="X2463" s="17" t="n"/>
      <c r="Y2463" s="17" t="n"/>
      <c r="Z2463" s="17" t="n"/>
      <c r="AA2463" s="17" t="n"/>
      <c r="AB2463" s="17" t="n"/>
      <c r="AC2463" s="24">
        <f>IF($G2463="","",IF($H2463="※编码不在物料档案里","※物料编码不在档案里",IF(N($K2463)&lt;=0,"※入库数量要大于 0",IF(AND($C2463&lt;&gt;"",$C2463&lt;=结账锁),"※日期早于已结账截止日，不能再录",IF(AND($L2463=0,$X2463="正常"),"※没填单价，价格状态请选「待补价」",IF(AND($S2463&gt;0,$R2463&gt;0),"△本批有 "&amp;$S2463&amp;" 行没单价，整批运费先挂账没摊",IF(AND($B2463&lt;&gt;"",COUNTIF($B$4:$B$2503,$B2463)&gt;1),"※入库单号重复","")))))))</f>
        <v/>
      </c>
    </row>
    <row r="2464">
      <c r="A2464" s="24">
        <f>IF($G2464="","",COUNTA($G$4:$G2464))</f>
        <v/>
      </c>
      <c r="B2464" s="17" t="n"/>
      <c r="C2464" s="30" t="n"/>
      <c r="D2464" s="17" t="n"/>
      <c r="E2464" s="17" t="n"/>
      <c r="F2464" s="17" t="n"/>
      <c r="G2464" s="17" t="n"/>
      <c r="H2464" s="24">
        <f>IF($G2464="","",IFERROR(VLOOKUP($G2464,物料档案!$A$4:$P$1203,3,0),"※编码不在物料档案里"))</f>
        <v/>
      </c>
      <c r="I2464" s="24">
        <f>IF($G2464="","",IFERROR(VLOOKUP($G2464,物料档案!$A$4:$P$1203,4,0),"※编码不在物料档案里"))</f>
        <v/>
      </c>
      <c r="J2464" s="24">
        <f>IF($G2464="","",IFERROR(VLOOKUP($G2464,物料档案!$A$4:$P$1203,5,0),"※编码不在物料档案里"))</f>
        <v/>
      </c>
      <c r="K2464" s="23" t="n"/>
      <c r="L2464" s="31" t="n"/>
      <c r="M2464" s="24">
        <f>IF($G2464="","",IF($D2464="A国内","CNY","TZS"))</f>
        <v/>
      </c>
      <c r="N2464" s="28">
        <f>IF($G2464="","",IF($D2464="A国内",汇率,1))</f>
        <v/>
      </c>
      <c r="O2464" s="25">
        <f>IF($G2464="","",ROUND(N($K2464)*N($L2464),2))</f>
        <v/>
      </c>
      <c r="P2464" s="26">
        <f>IF($G2464="","",ROUND($O2464*$N2464,0))</f>
        <v/>
      </c>
      <c r="Q2464" s="26">
        <f>IF($G2464="","",SUMIFS($P$4:$P$2503,$E$4:$E$2503,$E2464,$Z$4:$Z$2503,"正常"))</f>
        <v/>
      </c>
      <c r="R2464" s="26">
        <f>IF($G2464="","",SUMIFS(费用台账!$I$4:$I$503,费用台账!$C$4:$C$503,$E2464,费用台账!$J$4:$J$503,"是",费用台账!$K$4:$K$503,"正常"))</f>
        <v/>
      </c>
      <c r="S2464" s="28">
        <f>IF($G2464="","",COUNTIFS($E$4:$E$2503,$E2464,$Z$4:$Z$2503,"正常",$Y$4:$Y$2503,"待补价"))</f>
        <v/>
      </c>
      <c r="T2464" s="26">
        <f>IF($G2464="","",SUMIFS($P$4:$P$2503,$E$4:$E$2503,$E2464,$Z$4:$Z$2503,"正常",$A$4:$A$2503,"&lt;="&amp;$A2464))</f>
        <v/>
      </c>
      <c r="U2464" s="26">
        <f>IF($G2464="","",IF(OR($S2464&gt;0,$Q2464=0,$R2464=0,$Z2464&lt;&gt;"正常"),0,ROUND($T2464/$Q2464*$R2464,0)-ROUND(($T2464-$P2464)/$Q2464*$R2464,0)))</f>
        <v/>
      </c>
      <c r="V2464" s="26">
        <f>IF($G2464="","",ROUND($P2464+$U2464,0))</f>
        <v/>
      </c>
      <c r="W2464" s="26">
        <f>IF($G2464="","",IF(N($K2464)=0,0,ROUND($V2464/$K2464,2)))</f>
        <v/>
      </c>
      <c r="X2464" s="17" t="n"/>
      <c r="Y2464" s="17" t="n"/>
      <c r="Z2464" s="17" t="n"/>
      <c r="AA2464" s="17" t="n"/>
      <c r="AB2464" s="17" t="n"/>
      <c r="AC2464" s="24">
        <f>IF($G2464="","",IF($H2464="※编码不在物料档案里","※物料编码不在档案里",IF(N($K2464)&lt;=0,"※入库数量要大于 0",IF(AND($C2464&lt;&gt;"",$C2464&lt;=结账锁),"※日期早于已结账截止日，不能再录",IF(AND($L2464=0,$X2464="正常"),"※没填单价，价格状态请选「待补价」",IF(AND($S2464&gt;0,$R2464&gt;0),"△本批有 "&amp;$S2464&amp;" 行没单价，整批运费先挂账没摊",IF(AND($B2464&lt;&gt;"",COUNTIF($B$4:$B$2503,$B2464)&gt;1),"※入库单号重复","")))))))</f>
        <v/>
      </c>
    </row>
    <row r="2465">
      <c r="A2465" s="24">
        <f>IF($G2465="","",COUNTA($G$4:$G2465))</f>
        <v/>
      </c>
      <c r="B2465" s="17" t="n"/>
      <c r="C2465" s="30" t="n"/>
      <c r="D2465" s="17" t="n"/>
      <c r="E2465" s="17" t="n"/>
      <c r="F2465" s="17" t="n"/>
      <c r="G2465" s="17" t="n"/>
      <c r="H2465" s="24">
        <f>IF($G2465="","",IFERROR(VLOOKUP($G2465,物料档案!$A$4:$P$1203,3,0),"※编码不在物料档案里"))</f>
        <v/>
      </c>
      <c r="I2465" s="24">
        <f>IF($G2465="","",IFERROR(VLOOKUP($G2465,物料档案!$A$4:$P$1203,4,0),"※编码不在物料档案里"))</f>
        <v/>
      </c>
      <c r="J2465" s="24">
        <f>IF($G2465="","",IFERROR(VLOOKUP($G2465,物料档案!$A$4:$P$1203,5,0),"※编码不在物料档案里"))</f>
        <v/>
      </c>
      <c r="K2465" s="23" t="n"/>
      <c r="L2465" s="31" t="n"/>
      <c r="M2465" s="24">
        <f>IF($G2465="","",IF($D2465="A国内","CNY","TZS"))</f>
        <v/>
      </c>
      <c r="N2465" s="28">
        <f>IF($G2465="","",IF($D2465="A国内",汇率,1))</f>
        <v/>
      </c>
      <c r="O2465" s="25">
        <f>IF($G2465="","",ROUND(N($K2465)*N($L2465),2))</f>
        <v/>
      </c>
      <c r="P2465" s="26">
        <f>IF($G2465="","",ROUND($O2465*$N2465,0))</f>
        <v/>
      </c>
      <c r="Q2465" s="26">
        <f>IF($G2465="","",SUMIFS($P$4:$P$2503,$E$4:$E$2503,$E2465,$Z$4:$Z$2503,"正常"))</f>
        <v/>
      </c>
      <c r="R2465" s="26">
        <f>IF($G2465="","",SUMIFS(费用台账!$I$4:$I$503,费用台账!$C$4:$C$503,$E2465,费用台账!$J$4:$J$503,"是",费用台账!$K$4:$K$503,"正常"))</f>
        <v/>
      </c>
      <c r="S2465" s="28">
        <f>IF($G2465="","",COUNTIFS($E$4:$E$2503,$E2465,$Z$4:$Z$2503,"正常",$Y$4:$Y$2503,"待补价"))</f>
        <v/>
      </c>
      <c r="T2465" s="26">
        <f>IF($G2465="","",SUMIFS($P$4:$P$2503,$E$4:$E$2503,$E2465,$Z$4:$Z$2503,"正常",$A$4:$A$2503,"&lt;="&amp;$A2465))</f>
        <v/>
      </c>
      <c r="U2465" s="26">
        <f>IF($G2465="","",IF(OR($S2465&gt;0,$Q2465=0,$R2465=0,$Z2465&lt;&gt;"正常"),0,ROUND($T2465/$Q2465*$R2465,0)-ROUND(($T2465-$P2465)/$Q2465*$R2465,0)))</f>
        <v/>
      </c>
      <c r="V2465" s="26">
        <f>IF($G2465="","",ROUND($P2465+$U2465,0))</f>
        <v/>
      </c>
      <c r="W2465" s="26">
        <f>IF($G2465="","",IF(N($K2465)=0,0,ROUND($V2465/$K2465,2)))</f>
        <v/>
      </c>
      <c r="X2465" s="17" t="n"/>
      <c r="Y2465" s="17" t="n"/>
      <c r="Z2465" s="17" t="n"/>
      <c r="AA2465" s="17" t="n"/>
      <c r="AB2465" s="17" t="n"/>
      <c r="AC2465" s="24">
        <f>IF($G2465="","",IF($H2465="※编码不在物料档案里","※物料编码不在档案里",IF(N($K2465)&lt;=0,"※入库数量要大于 0",IF(AND($C2465&lt;&gt;"",$C2465&lt;=结账锁),"※日期早于已结账截止日，不能再录",IF(AND($L2465=0,$X2465="正常"),"※没填单价，价格状态请选「待补价」",IF(AND($S2465&gt;0,$R2465&gt;0),"△本批有 "&amp;$S2465&amp;" 行没单价，整批运费先挂账没摊",IF(AND($B2465&lt;&gt;"",COUNTIF($B$4:$B$2503,$B2465)&gt;1),"※入库单号重复","")))))))</f>
        <v/>
      </c>
    </row>
    <row r="2466">
      <c r="A2466" s="24">
        <f>IF($G2466="","",COUNTA($G$4:$G2466))</f>
        <v/>
      </c>
      <c r="B2466" s="17" t="n"/>
      <c r="C2466" s="30" t="n"/>
      <c r="D2466" s="17" t="n"/>
      <c r="E2466" s="17" t="n"/>
      <c r="F2466" s="17" t="n"/>
      <c r="G2466" s="17" t="n"/>
      <c r="H2466" s="24">
        <f>IF($G2466="","",IFERROR(VLOOKUP($G2466,物料档案!$A$4:$P$1203,3,0),"※编码不在物料档案里"))</f>
        <v/>
      </c>
      <c r="I2466" s="24">
        <f>IF($G2466="","",IFERROR(VLOOKUP($G2466,物料档案!$A$4:$P$1203,4,0),"※编码不在物料档案里"))</f>
        <v/>
      </c>
      <c r="J2466" s="24">
        <f>IF($G2466="","",IFERROR(VLOOKUP($G2466,物料档案!$A$4:$P$1203,5,0),"※编码不在物料档案里"))</f>
        <v/>
      </c>
      <c r="K2466" s="23" t="n"/>
      <c r="L2466" s="31" t="n"/>
      <c r="M2466" s="24">
        <f>IF($G2466="","",IF($D2466="A国内","CNY","TZS"))</f>
        <v/>
      </c>
      <c r="N2466" s="28">
        <f>IF($G2466="","",IF($D2466="A国内",汇率,1))</f>
        <v/>
      </c>
      <c r="O2466" s="25">
        <f>IF($G2466="","",ROUND(N($K2466)*N($L2466),2))</f>
        <v/>
      </c>
      <c r="P2466" s="26">
        <f>IF($G2466="","",ROUND($O2466*$N2466,0))</f>
        <v/>
      </c>
      <c r="Q2466" s="26">
        <f>IF($G2466="","",SUMIFS($P$4:$P$2503,$E$4:$E$2503,$E2466,$Z$4:$Z$2503,"正常"))</f>
        <v/>
      </c>
      <c r="R2466" s="26">
        <f>IF($G2466="","",SUMIFS(费用台账!$I$4:$I$503,费用台账!$C$4:$C$503,$E2466,费用台账!$J$4:$J$503,"是",费用台账!$K$4:$K$503,"正常"))</f>
        <v/>
      </c>
      <c r="S2466" s="28">
        <f>IF($G2466="","",COUNTIFS($E$4:$E$2503,$E2466,$Z$4:$Z$2503,"正常",$Y$4:$Y$2503,"待补价"))</f>
        <v/>
      </c>
      <c r="T2466" s="26">
        <f>IF($G2466="","",SUMIFS($P$4:$P$2503,$E$4:$E$2503,$E2466,$Z$4:$Z$2503,"正常",$A$4:$A$2503,"&lt;="&amp;$A2466))</f>
        <v/>
      </c>
      <c r="U2466" s="26">
        <f>IF($G2466="","",IF(OR($S2466&gt;0,$Q2466=0,$R2466=0,$Z2466&lt;&gt;"正常"),0,ROUND($T2466/$Q2466*$R2466,0)-ROUND(($T2466-$P2466)/$Q2466*$R2466,0)))</f>
        <v/>
      </c>
      <c r="V2466" s="26">
        <f>IF($G2466="","",ROUND($P2466+$U2466,0))</f>
        <v/>
      </c>
      <c r="W2466" s="26">
        <f>IF($G2466="","",IF(N($K2466)=0,0,ROUND($V2466/$K2466,2)))</f>
        <v/>
      </c>
      <c r="X2466" s="17" t="n"/>
      <c r="Y2466" s="17" t="n"/>
      <c r="Z2466" s="17" t="n"/>
      <c r="AA2466" s="17" t="n"/>
      <c r="AB2466" s="17" t="n"/>
      <c r="AC2466" s="24">
        <f>IF($G2466="","",IF($H2466="※编码不在物料档案里","※物料编码不在档案里",IF(N($K2466)&lt;=0,"※入库数量要大于 0",IF(AND($C2466&lt;&gt;"",$C2466&lt;=结账锁),"※日期早于已结账截止日，不能再录",IF(AND($L2466=0,$X2466="正常"),"※没填单价，价格状态请选「待补价」",IF(AND($S2466&gt;0,$R2466&gt;0),"△本批有 "&amp;$S2466&amp;" 行没单价，整批运费先挂账没摊",IF(AND($B2466&lt;&gt;"",COUNTIF($B$4:$B$2503,$B2466)&gt;1),"※入库单号重复","")))))))</f>
        <v/>
      </c>
    </row>
    <row r="2467">
      <c r="A2467" s="24">
        <f>IF($G2467="","",COUNTA($G$4:$G2467))</f>
        <v/>
      </c>
      <c r="B2467" s="17" t="n"/>
      <c r="C2467" s="30" t="n"/>
      <c r="D2467" s="17" t="n"/>
      <c r="E2467" s="17" t="n"/>
      <c r="F2467" s="17" t="n"/>
      <c r="G2467" s="17" t="n"/>
      <c r="H2467" s="24">
        <f>IF($G2467="","",IFERROR(VLOOKUP($G2467,物料档案!$A$4:$P$1203,3,0),"※编码不在物料档案里"))</f>
        <v/>
      </c>
      <c r="I2467" s="24">
        <f>IF($G2467="","",IFERROR(VLOOKUP($G2467,物料档案!$A$4:$P$1203,4,0),"※编码不在物料档案里"))</f>
        <v/>
      </c>
      <c r="J2467" s="24">
        <f>IF($G2467="","",IFERROR(VLOOKUP($G2467,物料档案!$A$4:$P$1203,5,0),"※编码不在物料档案里"))</f>
        <v/>
      </c>
      <c r="K2467" s="23" t="n"/>
      <c r="L2467" s="31" t="n"/>
      <c r="M2467" s="24">
        <f>IF($G2467="","",IF($D2467="A国内","CNY","TZS"))</f>
        <v/>
      </c>
      <c r="N2467" s="28">
        <f>IF($G2467="","",IF($D2467="A国内",汇率,1))</f>
        <v/>
      </c>
      <c r="O2467" s="25">
        <f>IF($G2467="","",ROUND(N($K2467)*N($L2467),2))</f>
        <v/>
      </c>
      <c r="P2467" s="26">
        <f>IF($G2467="","",ROUND($O2467*$N2467,0))</f>
        <v/>
      </c>
      <c r="Q2467" s="26">
        <f>IF($G2467="","",SUMIFS($P$4:$P$2503,$E$4:$E$2503,$E2467,$Z$4:$Z$2503,"正常"))</f>
        <v/>
      </c>
      <c r="R2467" s="26">
        <f>IF($G2467="","",SUMIFS(费用台账!$I$4:$I$503,费用台账!$C$4:$C$503,$E2467,费用台账!$J$4:$J$503,"是",费用台账!$K$4:$K$503,"正常"))</f>
        <v/>
      </c>
      <c r="S2467" s="28">
        <f>IF($G2467="","",COUNTIFS($E$4:$E$2503,$E2467,$Z$4:$Z$2503,"正常",$Y$4:$Y$2503,"待补价"))</f>
        <v/>
      </c>
      <c r="T2467" s="26">
        <f>IF($G2467="","",SUMIFS($P$4:$P$2503,$E$4:$E$2503,$E2467,$Z$4:$Z$2503,"正常",$A$4:$A$2503,"&lt;="&amp;$A2467))</f>
        <v/>
      </c>
      <c r="U2467" s="26">
        <f>IF($G2467="","",IF(OR($S2467&gt;0,$Q2467=0,$R2467=0,$Z2467&lt;&gt;"正常"),0,ROUND($T2467/$Q2467*$R2467,0)-ROUND(($T2467-$P2467)/$Q2467*$R2467,0)))</f>
        <v/>
      </c>
      <c r="V2467" s="26">
        <f>IF($G2467="","",ROUND($P2467+$U2467,0))</f>
        <v/>
      </c>
      <c r="W2467" s="26">
        <f>IF($G2467="","",IF(N($K2467)=0,0,ROUND($V2467/$K2467,2)))</f>
        <v/>
      </c>
      <c r="X2467" s="17" t="n"/>
      <c r="Y2467" s="17" t="n"/>
      <c r="Z2467" s="17" t="n"/>
      <c r="AA2467" s="17" t="n"/>
      <c r="AB2467" s="17" t="n"/>
      <c r="AC2467" s="24">
        <f>IF($G2467="","",IF($H2467="※编码不在物料档案里","※物料编码不在档案里",IF(N($K2467)&lt;=0,"※入库数量要大于 0",IF(AND($C2467&lt;&gt;"",$C2467&lt;=结账锁),"※日期早于已结账截止日，不能再录",IF(AND($L2467=0,$X2467="正常"),"※没填单价，价格状态请选「待补价」",IF(AND($S2467&gt;0,$R2467&gt;0),"△本批有 "&amp;$S2467&amp;" 行没单价，整批运费先挂账没摊",IF(AND($B2467&lt;&gt;"",COUNTIF($B$4:$B$2503,$B2467)&gt;1),"※入库单号重复","")))))))</f>
        <v/>
      </c>
    </row>
    <row r="2468">
      <c r="A2468" s="24">
        <f>IF($G2468="","",COUNTA($G$4:$G2468))</f>
        <v/>
      </c>
      <c r="B2468" s="17" t="n"/>
      <c r="C2468" s="30" t="n"/>
      <c r="D2468" s="17" t="n"/>
      <c r="E2468" s="17" t="n"/>
      <c r="F2468" s="17" t="n"/>
      <c r="G2468" s="17" t="n"/>
      <c r="H2468" s="24">
        <f>IF($G2468="","",IFERROR(VLOOKUP($G2468,物料档案!$A$4:$P$1203,3,0),"※编码不在物料档案里"))</f>
        <v/>
      </c>
      <c r="I2468" s="24">
        <f>IF($G2468="","",IFERROR(VLOOKUP($G2468,物料档案!$A$4:$P$1203,4,0),"※编码不在物料档案里"))</f>
        <v/>
      </c>
      <c r="J2468" s="24">
        <f>IF($G2468="","",IFERROR(VLOOKUP($G2468,物料档案!$A$4:$P$1203,5,0),"※编码不在物料档案里"))</f>
        <v/>
      </c>
      <c r="K2468" s="23" t="n"/>
      <c r="L2468" s="31" t="n"/>
      <c r="M2468" s="24">
        <f>IF($G2468="","",IF($D2468="A国内","CNY","TZS"))</f>
        <v/>
      </c>
      <c r="N2468" s="28">
        <f>IF($G2468="","",IF($D2468="A国内",汇率,1))</f>
        <v/>
      </c>
      <c r="O2468" s="25">
        <f>IF($G2468="","",ROUND(N($K2468)*N($L2468),2))</f>
        <v/>
      </c>
      <c r="P2468" s="26">
        <f>IF($G2468="","",ROUND($O2468*$N2468,0))</f>
        <v/>
      </c>
      <c r="Q2468" s="26">
        <f>IF($G2468="","",SUMIFS($P$4:$P$2503,$E$4:$E$2503,$E2468,$Z$4:$Z$2503,"正常"))</f>
        <v/>
      </c>
      <c r="R2468" s="26">
        <f>IF($G2468="","",SUMIFS(费用台账!$I$4:$I$503,费用台账!$C$4:$C$503,$E2468,费用台账!$J$4:$J$503,"是",费用台账!$K$4:$K$503,"正常"))</f>
        <v/>
      </c>
      <c r="S2468" s="28">
        <f>IF($G2468="","",COUNTIFS($E$4:$E$2503,$E2468,$Z$4:$Z$2503,"正常",$Y$4:$Y$2503,"待补价"))</f>
        <v/>
      </c>
      <c r="T2468" s="26">
        <f>IF($G2468="","",SUMIFS($P$4:$P$2503,$E$4:$E$2503,$E2468,$Z$4:$Z$2503,"正常",$A$4:$A$2503,"&lt;="&amp;$A2468))</f>
        <v/>
      </c>
      <c r="U2468" s="26">
        <f>IF($G2468="","",IF(OR($S2468&gt;0,$Q2468=0,$R2468=0,$Z2468&lt;&gt;"正常"),0,ROUND($T2468/$Q2468*$R2468,0)-ROUND(($T2468-$P2468)/$Q2468*$R2468,0)))</f>
        <v/>
      </c>
      <c r="V2468" s="26">
        <f>IF($G2468="","",ROUND($P2468+$U2468,0))</f>
        <v/>
      </c>
      <c r="W2468" s="26">
        <f>IF($G2468="","",IF(N($K2468)=0,0,ROUND($V2468/$K2468,2)))</f>
        <v/>
      </c>
      <c r="X2468" s="17" t="n"/>
      <c r="Y2468" s="17" t="n"/>
      <c r="Z2468" s="17" t="n"/>
      <c r="AA2468" s="17" t="n"/>
      <c r="AB2468" s="17" t="n"/>
      <c r="AC2468" s="24">
        <f>IF($G2468="","",IF($H2468="※编码不在物料档案里","※物料编码不在档案里",IF(N($K2468)&lt;=0,"※入库数量要大于 0",IF(AND($C2468&lt;&gt;"",$C2468&lt;=结账锁),"※日期早于已结账截止日，不能再录",IF(AND($L2468=0,$X2468="正常"),"※没填单价，价格状态请选「待补价」",IF(AND($S2468&gt;0,$R2468&gt;0),"△本批有 "&amp;$S2468&amp;" 行没单价，整批运费先挂账没摊",IF(AND($B2468&lt;&gt;"",COUNTIF($B$4:$B$2503,$B2468)&gt;1),"※入库单号重复","")))))))</f>
        <v/>
      </c>
    </row>
    <row r="2469">
      <c r="A2469" s="24">
        <f>IF($G2469="","",COUNTA($G$4:$G2469))</f>
        <v/>
      </c>
      <c r="B2469" s="17" t="n"/>
      <c r="C2469" s="30" t="n"/>
      <c r="D2469" s="17" t="n"/>
      <c r="E2469" s="17" t="n"/>
      <c r="F2469" s="17" t="n"/>
      <c r="G2469" s="17" t="n"/>
      <c r="H2469" s="24">
        <f>IF($G2469="","",IFERROR(VLOOKUP($G2469,物料档案!$A$4:$P$1203,3,0),"※编码不在物料档案里"))</f>
        <v/>
      </c>
      <c r="I2469" s="24">
        <f>IF($G2469="","",IFERROR(VLOOKUP($G2469,物料档案!$A$4:$P$1203,4,0),"※编码不在物料档案里"))</f>
        <v/>
      </c>
      <c r="J2469" s="24">
        <f>IF($G2469="","",IFERROR(VLOOKUP($G2469,物料档案!$A$4:$P$1203,5,0),"※编码不在物料档案里"))</f>
        <v/>
      </c>
      <c r="K2469" s="23" t="n"/>
      <c r="L2469" s="31" t="n"/>
      <c r="M2469" s="24">
        <f>IF($G2469="","",IF($D2469="A国内","CNY","TZS"))</f>
        <v/>
      </c>
      <c r="N2469" s="28">
        <f>IF($G2469="","",IF($D2469="A国内",汇率,1))</f>
        <v/>
      </c>
      <c r="O2469" s="25">
        <f>IF($G2469="","",ROUND(N($K2469)*N($L2469),2))</f>
        <v/>
      </c>
      <c r="P2469" s="26">
        <f>IF($G2469="","",ROUND($O2469*$N2469,0))</f>
        <v/>
      </c>
      <c r="Q2469" s="26">
        <f>IF($G2469="","",SUMIFS($P$4:$P$2503,$E$4:$E$2503,$E2469,$Z$4:$Z$2503,"正常"))</f>
        <v/>
      </c>
      <c r="R2469" s="26">
        <f>IF($G2469="","",SUMIFS(费用台账!$I$4:$I$503,费用台账!$C$4:$C$503,$E2469,费用台账!$J$4:$J$503,"是",费用台账!$K$4:$K$503,"正常"))</f>
        <v/>
      </c>
      <c r="S2469" s="28">
        <f>IF($G2469="","",COUNTIFS($E$4:$E$2503,$E2469,$Z$4:$Z$2503,"正常",$Y$4:$Y$2503,"待补价"))</f>
        <v/>
      </c>
      <c r="T2469" s="26">
        <f>IF($G2469="","",SUMIFS($P$4:$P$2503,$E$4:$E$2503,$E2469,$Z$4:$Z$2503,"正常",$A$4:$A$2503,"&lt;="&amp;$A2469))</f>
        <v/>
      </c>
      <c r="U2469" s="26">
        <f>IF($G2469="","",IF(OR($S2469&gt;0,$Q2469=0,$R2469=0,$Z2469&lt;&gt;"正常"),0,ROUND($T2469/$Q2469*$R2469,0)-ROUND(($T2469-$P2469)/$Q2469*$R2469,0)))</f>
        <v/>
      </c>
      <c r="V2469" s="26">
        <f>IF($G2469="","",ROUND($P2469+$U2469,0))</f>
        <v/>
      </c>
      <c r="W2469" s="26">
        <f>IF($G2469="","",IF(N($K2469)=0,0,ROUND($V2469/$K2469,2)))</f>
        <v/>
      </c>
      <c r="X2469" s="17" t="n"/>
      <c r="Y2469" s="17" t="n"/>
      <c r="Z2469" s="17" t="n"/>
      <c r="AA2469" s="17" t="n"/>
      <c r="AB2469" s="17" t="n"/>
      <c r="AC2469" s="24">
        <f>IF($G2469="","",IF($H2469="※编码不在物料档案里","※物料编码不在档案里",IF(N($K2469)&lt;=0,"※入库数量要大于 0",IF(AND($C2469&lt;&gt;"",$C2469&lt;=结账锁),"※日期早于已结账截止日，不能再录",IF(AND($L2469=0,$X2469="正常"),"※没填单价，价格状态请选「待补价」",IF(AND($S2469&gt;0,$R2469&gt;0),"△本批有 "&amp;$S2469&amp;" 行没单价，整批运费先挂账没摊",IF(AND($B2469&lt;&gt;"",COUNTIF($B$4:$B$2503,$B2469)&gt;1),"※入库单号重复","")))))))</f>
        <v/>
      </c>
    </row>
    <row r="2470">
      <c r="A2470" s="24">
        <f>IF($G2470="","",COUNTA($G$4:$G2470))</f>
        <v/>
      </c>
      <c r="B2470" s="17" t="n"/>
      <c r="C2470" s="30" t="n"/>
      <c r="D2470" s="17" t="n"/>
      <c r="E2470" s="17" t="n"/>
      <c r="F2470" s="17" t="n"/>
      <c r="G2470" s="17" t="n"/>
      <c r="H2470" s="24">
        <f>IF($G2470="","",IFERROR(VLOOKUP($G2470,物料档案!$A$4:$P$1203,3,0),"※编码不在物料档案里"))</f>
        <v/>
      </c>
      <c r="I2470" s="24">
        <f>IF($G2470="","",IFERROR(VLOOKUP($G2470,物料档案!$A$4:$P$1203,4,0),"※编码不在物料档案里"))</f>
        <v/>
      </c>
      <c r="J2470" s="24">
        <f>IF($G2470="","",IFERROR(VLOOKUP($G2470,物料档案!$A$4:$P$1203,5,0),"※编码不在物料档案里"))</f>
        <v/>
      </c>
      <c r="K2470" s="23" t="n"/>
      <c r="L2470" s="31" t="n"/>
      <c r="M2470" s="24">
        <f>IF($G2470="","",IF($D2470="A国内","CNY","TZS"))</f>
        <v/>
      </c>
      <c r="N2470" s="28">
        <f>IF($G2470="","",IF($D2470="A国内",汇率,1))</f>
        <v/>
      </c>
      <c r="O2470" s="25">
        <f>IF($G2470="","",ROUND(N($K2470)*N($L2470),2))</f>
        <v/>
      </c>
      <c r="P2470" s="26">
        <f>IF($G2470="","",ROUND($O2470*$N2470,0))</f>
        <v/>
      </c>
      <c r="Q2470" s="26">
        <f>IF($G2470="","",SUMIFS($P$4:$P$2503,$E$4:$E$2503,$E2470,$Z$4:$Z$2503,"正常"))</f>
        <v/>
      </c>
      <c r="R2470" s="26">
        <f>IF($G2470="","",SUMIFS(费用台账!$I$4:$I$503,费用台账!$C$4:$C$503,$E2470,费用台账!$J$4:$J$503,"是",费用台账!$K$4:$K$503,"正常"))</f>
        <v/>
      </c>
      <c r="S2470" s="28">
        <f>IF($G2470="","",COUNTIFS($E$4:$E$2503,$E2470,$Z$4:$Z$2503,"正常",$Y$4:$Y$2503,"待补价"))</f>
        <v/>
      </c>
      <c r="T2470" s="26">
        <f>IF($G2470="","",SUMIFS($P$4:$P$2503,$E$4:$E$2503,$E2470,$Z$4:$Z$2503,"正常",$A$4:$A$2503,"&lt;="&amp;$A2470))</f>
        <v/>
      </c>
      <c r="U2470" s="26">
        <f>IF($G2470="","",IF(OR($S2470&gt;0,$Q2470=0,$R2470=0,$Z2470&lt;&gt;"正常"),0,ROUND($T2470/$Q2470*$R2470,0)-ROUND(($T2470-$P2470)/$Q2470*$R2470,0)))</f>
        <v/>
      </c>
      <c r="V2470" s="26">
        <f>IF($G2470="","",ROUND($P2470+$U2470,0))</f>
        <v/>
      </c>
      <c r="W2470" s="26">
        <f>IF($G2470="","",IF(N($K2470)=0,0,ROUND($V2470/$K2470,2)))</f>
        <v/>
      </c>
      <c r="X2470" s="17" t="n"/>
      <c r="Y2470" s="17" t="n"/>
      <c r="Z2470" s="17" t="n"/>
      <c r="AA2470" s="17" t="n"/>
      <c r="AB2470" s="17" t="n"/>
      <c r="AC2470" s="24">
        <f>IF($G2470="","",IF($H2470="※编码不在物料档案里","※物料编码不在档案里",IF(N($K2470)&lt;=0,"※入库数量要大于 0",IF(AND($C2470&lt;&gt;"",$C2470&lt;=结账锁),"※日期早于已结账截止日，不能再录",IF(AND($L2470=0,$X2470="正常"),"※没填单价，价格状态请选「待补价」",IF(AND($S2470&gt;0,$R2470&gt;0),"△本批有 "&amp;$S2470&amp;" 行没单价，整批运费先挂账没摊",IF(AND($B2470&lt;&gt;"",COUNTIF($B$4:$B$2503,$B2470)&gt;1),"※入库单号重复","")))))))</f>
        <v/>
      </c>
    </row>
    <row r="2471">
      <c r="A2471" s="24">
        <f>IF($G2471="","",COUNTA($G$4:$G2471))</f>
        <v/>
      </c>
      <c r="B2471" s="17" t="n"/>
      <c r="C2471" s="30" t="n"/>
      <c r="D2471" s="17" t="n"/>
      <c r="E2471" s="17" t="n"/>
      <c r="F2471" s="17" t="n"/>
      <c r="G2471" s="17" t="n"/>
      <c r="H2471" s="24">
        <f>IF($G2471="","",IFERROR(VLOOKUP($G2471,物料档案!$A$4:$P$1203,3,0),"※编码不在物料档案里"))</f>
        <v/>
      </c>
      <c r="I2471" s="24">
        <f>IF($G2471="","",IFERROR(VLOOKUP($G2471,物料档案!$A$4:$P$1203,4,0),"※编码不在物料档案里"))</f>
        <v/>
      </c>
      <c r="J2471" s="24">
        <f>IF($G2471="","",IFERROR(VLOOKUP($G2471,物料档案!$A$4:$P$1203,5,0),"※编码不在物料档案里"))</f>
        <v/>
      </c>
      <c r="K2471" s="23" t="n"/>
      <c r="L2471" s="31" t="n"/>
      <c r="M2471" s="24">
        <f>IF($G2471="","",IF($D2471="A国内","CNY","TZS"))</f>
        <v/>
      </c>
      <c r="N2471" s="28">
        <f>IF($G2471="","",IF($D2471="A国内",汇率,1))</f>
        <v/>
      </c>
      <c r="O2471" s="25">
        <f>IF($G2471="","",ROUND(N($K2471)*N($L2471),2))</f>
        <v/>
      </c>
      <c r="P2471" s="26">
        <f>IF($G2471="","",ROUND($O2471*$N2471,0))</f>
        <v/>
      </c>
      <c r="Q2471" s="26">
        <f>IF($G2471="","",SUMIFS($P$4:$P$2503,$E$4:$E$2503,$E2471,$Z$4:$Z$2503,"正常"))</f>
        <v/>
      </c>
      <c r="R2471" s="26">
        <f>IF($G2471="","",SUMIFS(费用台账!$I$4:$I$503,费用台账!$C$4:$C$503,$E2471,费用台账!$J$4:$J$503,"是",费用台账!$K$4:$K$503,"正常"))</f>
        <v/>
      </c>
      <c r="S2471" s="28">
        <f>IF($G2471="","",COUNTIFS($E$4:$E$2503,$E2471,$Z$4:$Z$2503,"正常",$Y$4:$Y$2503,"待补价"))</f>
        <v/>
      </c>
      <c r="T2471" s="26">
        <f>IF($G2471="","",SUMIFS($P$4:$P$2503,$E$4:$E$2503,$E2471,$Z$4:$Z$2503,"正常",$A$4:$A$2503,"&lt;="&amp;$A2471))</f>
        <v/>
      </c>
      <c r="U2471" s="26">
        <f>IF($G2471="","",IF(OR($S2471&gt;0,$Q2471=0,$R2471=0,$Z2471&lt;&gt;"正常"),0,ROUND($T2471/$Q2471*$R2471,0)-ROUND(($T2471-$P2471)/$Q2471*$R2471,0)))</f>
        <v/>
      </c>
      <c r="V2471" s="26">
        <f>IF($G2471="","",ROUND($P2471+$U2471,0))</f>
        <v/>
      </c>
      <c r="W2471" s="26">
        <f>IF($G2471="","",IF(N($K2471)=0,0,ROUND($V2471/$K2471,2)))</f>
        <v/>
      </c>
      <c r="X2471" s="17" t="n"/>
      <c r="Y2471" s="17" t="n"/>
      <c r="Z2471" s="17" t="n"/>
      <c r="AA2471" s="17" t="n"/>
      <c r="AB2471" s="17" t="n"/>
      <c r="AC2471" s="24">
        <f>IF($G2471="","",IF($H2471="※编码不在物料档案里","※物料编码不在档案里",IF(N($K2471)&lt;=0,"※入库数量要大于 0",IF(AND($C2471&lt;&gt;"",$C2471&lt;=结账锁),"※日期早于已结账截止日，不能再录",IF(AND($L2471=0,$X2471="正常"),"※没填单价，价格状态请选「待补价」",IF(AND($S2471&gt;0,$R2471&gt;0),"△本批有 "&amp;$S2471&amp;" 行没单价，整批运费先挂账没摊",IF(AND($B2471&lt;&gt;"",COUNTIF($B$4:$B$2503,$B2471)&gt;1),"※入库单号重复","")))))))</f>
        <v/>
      </c>
    </row>
    <row r="2472">
      <c r="A2472" s="24">
        <f>IF($G2472="","",COUNTA($G$4:$G2472))</f>
        <v/>
      </c>
      <c r="B2472" s="17" t="n"/>
      <c r="C2472" s="30" t="n"/>
      <c r="D2472" s="17" t="n"/>
      <c r="E2472" s="17" t="n"/>
      <c r="F2472" s="17" t="n"/>
      <c r="G2472" s="17" t="n"/>
      <c r="H2472" s="24">
        <f>IF($G2472="","",IFERROR(VLOOKUP($G2472,物料档案!$A$4:$P$1203,3,0),"※编码不在物料档案里"))</f>
        <v/>
      </c>
      <c r="I2472" s="24">
        <f>IF($G2472="","",IFERROR(VLOOKUP($G2472,物料档案!$A$4:$P$1203,4,0),"※编码不在物料档案里"))</f>
        <v/>
      </c>
      <c r="J2472" s="24">
        <f>IF($G2472="","",IFERROR(VLOOKUP($G2472,物料档案!$A$4:$P$1203,5,0),"※编码不在物料档案里"))</f>
        <v/>
      </c>
      <c r="K2472" s="23" t="n"/>
      <c r="L2472" s="31" t="n"/>
      <c r="M2472" s="24">
        <f>IF($G2472="","",IF($D2472="A国内","CNY","TZS"))</f>
        <v/>
      </c>
      <c r="N2472" s="28">
        <f>IF($G2472="","",IF($D2472="A国内",汇率,1))</f>
        <v/>
      </c>
      <c r="O2472" s="25">
        <f>IF($G2472="","",ROUND(N($K2472)*N($L2472),2))</f>
        <v/>
      </c>
      <c r="P2472" s="26">
        <f>IF($G2472="","",ROUND($O2472*$N2472,0))</f>
        <v/>
      </c>
      <c r="Q2472" s="26">
        <f>IF($G2472="","",SUMIFS($P$4:$P$2503,$E$4:$E$2503,$E2472,$Z$4:$Z$2503,"正常"))</f>
        <v/>
      </c>
      <c r="R2472" s="26">
        <f>IF($G2472="","",SUMIFS(费用台账!$I$4:$I$503,费用台账!$C$4:$C$503,$E2472,费用台账!$J$4:$J$503,"是",费用台账!$K$4:$K$503,"正常"))</f>
        <v/>
      </c>
      <c r="S2472" s="28">
        <f>IF($G2472="","",COUNTIFS($E$4:$E$2503,$E2472,$Z$4:$Z$2503,"正常",$Y$4:$Y$2503,"待补价"))</f>
        <v/>
      </c>
      <c r="T2472" s="26">
        <f>IF($G2472="","",SUMIFS($P$4:$P$2503,$E$4:$E$2503,$E2472,$Z$4:$Z$2503,"正常",$A$4:$A$2503,"&lt;="&amp;$A2472))</f>
        <v/>
      </c>
      <c r="U2472" s="26">
        <f>IF($G2472="","",IF(OR($S2472&gt;0,$Q2472=0,$R2472=0,$Z2472&lt;&gt;"正常"),0,ROUND($T2472/$Q2472*$R2472,0)-ROUND(($T2472-$P2472)/$Q2472*$R2472,0)))</f>
        <v/>
      </c>
      <c r="V2472" s="26">
        <f>IF($G2472="","",ROUND($P2472+$U2472,0))</f>
        <v/>
      </c>
      <c r="W2472" s="26">
        <f>IF($G2472="","",IF(N($K2472)=0,0,ROUND($V2472/$K2472,2)))</f>
        <v/>
      </c>
      <c r="X2472" s="17" t="n"/>
      <c r="Y2472" s="17" t="n"/>
      <c r="Z2472" s="17" t="n"/>
      <c r="AA2472" s="17" t="n"/>
      <c r="AB2472" s="17" t="n"/>
      <c r="AC2472" s="24">
        <f>IF($G2472="","",IF($H2472="※编码不在物料档案里","※物料编码不在档案里",IF(N($K2472)&lt;=0,"※入库数量要大于 0",IF(AND($C2472&lt;&gt;"",$C2472&lt;=结账锁),"※日期早于已结账截止日，不能再录",IF(AND($L2472=0,$X2472="正常"),"※没填单价，价格状态请选「待补价」",IF(AND($S2472&gt;0,$R2472&gt;0),"△本批有 "&amp;$S2472&amp;" 行没单价，整批运费先挂账没摊",IF(AND($B2472&lt;&gt;"",COUNTIF($B$4:$B$2503,$B2472)&gt;1),"※入库单号重复","")))))))</f>
        <v/>
      </c>
    </row>
    <row r="2473">
      <c r="A2473" s="24">
        <f>IF($G2473="","",COUNTA($G$4:$G2473))</f>
        <v/>
      </c>
      <c r="B2473" s="17" t="n"/>
      <c r="C2473" s="30" t="n"/>
      <c r="D2473" s="17" t="n"/>
      <c r="E2473" s="17" t="n"/>
      <c r="F2473" s="17" t="n"/>
      <c r="G2473" s="17" t="n"/>
      <c r="H2473" s="24">
        <f>IF($G2473="","",IFERROR(VLOOKUP($G2473,物料档案!$A$4:$P$1203,3,0),"※编码不在物料档案里"))</f>
        <v/>
      </c>
      <c r="I2473" s="24">
        <f>IF($G2473="","",IFERROR(VLOOKUP($G2473,物料档案!$A$4:$P$1203,4,0),"※编码不在物料档案里"))</f>
        <v/>
      </c>
      <c r="J2473" s="24">
        <f>IF($G2473="","",IFERROR(VLOOKUP($G2473,物料档案!$A$4:$P$1203,5,0),"※编码不在物料档案里"))</f>
        <v/>
      </c>
      <c r="K2473" s="23" t="n"/>
      <c r="L2473" s="31" t="n"/>
      <c r="M2473" s="24">
        <f>IF($G2473="","",IF($D2473="A国内","CNY","TZS"))</f>
        <v/>
      </c>
      <c r="N2473" s="28">
        <f>IF($G2473="","",IF($D2473="A国内",汇率,1))</f>
        <v/>
      </c>
      <c r="O2473" s="25">
        <f>IF($G2473="","",ROUND(N($K2473)*N($L2473),2))</f>
        <v/>
      </c>
      <c r="P2473" s="26">
        <f>IF($G2473="","",ROUND($O2473*$N2473,0))</f>
        <v/>
      </c>
      <c r="Q2473" s="26">
        <f>IF($G2473="","",SUMIFS($P$4:$P$2503,$E$4:$E$2503,$E2473,$Z$4:$Z$2503,"正常"))</f>
        <v/>
      </c>
      <c r="R2473" s="26">
        <f>IF($G2473="","",SUMIFS(费用台账!$I$4:$I$503,费用台账!$C$4:$C$503,$E2473,费用台账!$J$4:$J$503,"是",费用台账!$K$4:$K$503,"正常"))</f>
        <v/>
      </c>
      <c r="S2473" s="28">
        <f>IF($G2473="","",COUNTIFS($E$4:$E$2503,$E2473,$Z$4:$Z$2503,"正常",$Y$4:$Y$2503,"待补价"))</f>
        <v/>
      </c>
      <c r="T2473" s="26">
        <f>IF($G2473="","",SUMIFS($P$4:$P$2503,$E$4:$E$2503,$E2473,$Z$4:$Z$2503,"正常",$A$4:$A$2503,"&lt;="&amp;$A2473))</f>
        <v/>
      </c>
      <c r="U2473" s="26">
        <f>IF($G2473="","",IF(OR($S2473&gt;0,$Q2473=0,$R2473=0,$Z2473&lt;&gt;"正常"),0,ROUND($T2473/$Q2473*$R2473,0)-ROUND(($T2473-$P2473)/$Q2473*$R2473,0)))</f>
        <v/>
      </c>
      <c r="V2473" s="26">
        <f>IF($G2473="","",ROUND($P2473+$U2473,0))</f>
        <v/>
      </c>
      <c r="W2473" s="26">
        <f>IF($G2473="","",IF(N($K2473)=0,0,ROUND($V2473/$K2473,2)))</f>
        <v/>
      </c>
      <c r="X2473" s="17" t="n"/>
      <c r="Y2473" s="17" t="n"/>
      <c r="Z2473" s="17" t="n"/>
      <c r="AA2473" s="17" t="n"/>
      <c r="AB2473" s="17" t="n"/>
      <c r="AC2473" s="24">
        <f>IF($G2473="","",IF($H2473="※编码不在物料档案里","※物料编码不在档案里",IF(N($K2473)&lt;=0,"※入库数量要大于 0",IF(AND($C2473&lt;&gt;"",$C2473&lt;=结账锁),"※日期早于已结账截止日，不能再录",IF(AND($L2473=0,$X2473="正常"),"※没填单价，价格状态请选「待补价」",IF(AND($S2473&gt;0,$R2473&gt;0),"△本批有 "&amp;$S2473&amp;" 行没单价，整批运费先挂账没摊",IF(AND($B2473&lt;&gt;"",COUNTIF($B$4:$B$2503,$B2473)&gt;1),"※入库单号重复","")))))))</f>
        <v/>
      </c>
    </row>
    <row r="2474">
      <c r="A2474" s="24">
        <f>IF($G2474="","",COUNTA($G$4:$G2474))</f>
        <v/>
      </c>
      <c r="B2474" s="17" t="n"/>
      <c r="C2474" s="30" t="n"/>
      <c r="D2474" s="17" t="n"/>
      <c r="E2474" s="17" t="n"/>
      <c r="F2474" s="17" t="n"/>
      <c r="G2474" s="17" t="n"/>
      <c r="H2474" s="24">
        <f>IF($G2474="","",IFERROR(VLOOKUP($G2474,物料档案!$A$4:$P$1203,3,0),"※编码不在物料档案里"))</f>
        <v/>
      </c>
      <c r="I2474" s="24">
        <f>IF($G2474="","",IFERROR(VLOOKUP($G2474,物料档案!$A$4:$P$1203,4,0),"※编码不在物料档案里"))</f>
        <v/>
      </c>
      <c r="J2474" s="24">
        <f>IF($G2474="","",IFERROR(VLOOKUP($G2474,物料档案!$A$4:$P$1203,5,0),"※编码不在物料档案里"))</f>
        <v/>
      </c>
      <c r="K2474" s="23" t="n"/>
      <c r="L2474" s="31" t="n"/>
      <c r="M2474" s="24">
        <f>IF($G2474="","",IF($D2474="A国内","CNY","TZS"))</f>
        <v/>
      </c>
      <c r="N2474" s="28">
        <f>IF($G2474="","",IF($D2474="A国内",汇率,1))</f>
        <v/>
      </c>
      <c r="O2474" s="25">
        <f>IF($G2474="","",ROUND(N($K2474)*N($L2474),2))</f>
        <v/>
      </c>
      <c r="P2474" s="26">
        <f>IF($G2474="","",ROUND($O2474*$N2474,0))</f>
        <v/>
      </c>
      <c r="Q2474" s="26">
        <f>IF($G2474="","",SUMIFS($P$4:$P$2503,$E$4:$E$2503,$E2474,$Z$4:$Z$2503,"正常"))</f>
        <v/>
      </c>
      <c r="R2474" s="26">
        <f>IF($G2474="","",SUMIFS(费用台账!$I$4:$I$503,费用台账!$C$4:$C$503,$E2474,费用台账!$J$4:$J$503,"是",费用台账!$K$4:$K$503,"正常"))</f>
        <v/>
      </c>
      <c r="S2474" s="28">
        <f>IF($G2474="","",COUNTIFS($E$4:$E$2503,$E2474,$Z$4:$Z$2503,"正常",$Y$4:$Y$2503,"待补价"))</f>
        <v/>
      </c>
      <c r="T2474" s="26">
        <f>IF($G2474="","",SUMIFS($P$4:$P$2503,$E$4:$E$2503,$E2474,$Z$4:$Z$2503,"正常",$A$4:$A$2503,"&lt;="&amp;$A2474))</f>
        <v/>
      </c>
      <c r="U2474" s="26">
        <f>IF($G2474="","",IF(OR($S2474&gt;0,$Q2474=0,$R2474=0,$Z2474&lt;&gt;"正常"),0,ROUND($T2474/$Q2474*$R2474,0)-ROUND(($T2474-$P2474)/$Q2474*$R2474,0)))</f>
        <v/>
      </c>
      <c r="V2474" s="26">
        <f>IF($G2474="","",ROUND($P2474+$U2474,0))</f>
        <v/>
      </c>
      <c r="W2474" s="26">
        <f>IF($G2474="","",IF(N($K2474)=0,0,ROUND($V2474/$K2474,2)))</f>
        <v/>
      </c>
      <c r="X2474" s="17" t="n"/>
      <c r="Y2474" s="17" t="n"/>
      <c r="Z2474" s="17" t="n"/>
      <c r="AA2474" s="17" t="n"/>
      <c r="AB2474" s="17" t="n"/>
      <c r="AC2474" s="24">
        <f>IF($G2474="","",IF($H2474="※编码不在物料档案里","※物料编码不在档案里",IF(N($K2474)&lt;=0,"※入库数量要大于 0",IF(AND($C2474&lt;&gt;"",$C2474&lt;=结账锁),"※日期早于已结账截止日，不能再录",IF(AND($L2474=0,$X2474="正常"),"※没填单价，价格状态请选「待补价」",IF(AND($S2474&gt;0,$R2474&gt;0),"△本批有 "&amp;$S2474&amp;" 行没单价，整批运费先挂账没摊",IF(AND($B2474&lt;&gt;"",COUNTIF($B$4:$B$2503,$B2474)&gt;1),"※入库单号重复","")))))))</f>
        <v/>
      </c>
    </row>
    <row r="2475">
      <c r="A2475" s="24">
        <f>IF($G2475="","",COUNTA($G$4:$G2475))</f>
        <v/>
      </c>
      <c r="B2475" s="17" t="n"/>
      <c r="C2475" s="30" t="n"/>
      <c r="D2475" s="17" t="n"/>
      <c r="E2475" s="17" t="n"/>
      <c r="F2475" s="17" t="n"/>
      <c r="G2475" s="17" t="n"/>
      <c r="H2475" s="24">
        <f>IF($G2475="","",IFERROR(VLOOKUP($G2475,物料档案!$A$4:$P$1203,3,0),"※编码不在物料档案里"))</f>
        <v/>
      </c>
      <c r="I2475" s="24">
        <f>IF($G2475="","",IFERROR(VLOOKUP($G2475,物料档案!$A$4:$P$1203,4,0),"※编码不在物料档案里"))</f>
        <v/>
      </c>
      <c r="J2475" s="24">
        <f>IF($G2475="","",IFERROR(VLOOKUP($G2475,物料档案!$A$4:$P$1203,5,0),"※编码不在物料档案里"))</f>
        <v/>
      </c>
      <c r="K2475" s="23" t="n"/>
      <c r="L2475" s="31" t="n"/>
      <c r="M2475" s="24">
        <f>IF($G2475="","",IF($D2475="A国内","CNY","TZS"))</f>
        <v/>
      </c>
      <c r="N2475" s="28">
        <f>IF($G2475="","",IF($D2475="A国内",汇率,1))</f>
        <v/>
      </c>
      <c r="O2475" s="25">
        <f>IF($G2475="","",ROUND(N($K2475)*N($L2475),2))</f>
        <v/>
      </c>
      <c r="P2475" s="26">
        <f>IF($G2475="","",ROUND($O2475*$N2475,0))</f>
        <v/>
      </c>
      <c r="Q2475" s="26">
        <f>IF($G2475="","",SUMIFS($P$4:$P$2503,$E$4:$E$2503,$E2475,$Z$4:$Z$2503,"正常"))</f>
        <v/>
      </c>
      <c r="R2475" s="26">
        <f>IF($G2475="","",SUMIFS(费用台账!$I$4:$I$503,费用台账!$C$4:$C$503,$E2475,费用台账!$J$4:$J$503,"是",费用台账!$K$4:$K$503,"正常"))</f>
        <v/>
      </c>
      <c r="S2475" s="28">
        <f>IF($G2475="","",COUNTIFS($E$4:$E$2503,$E2475,$Z$4:$Z$2503,"正常",$Y$4:$Y$2503,"待补价"))</f>
        <v/>
      </c>
      <c r="T2475" s="26">
        <f>IF($G2475="","",SUMIFS($P$4:$P$2503,$E$4:$E$2503,$E2475,$Z$4:$Z$2503,"正常",$A$4:$A$2503,"&lt;="&amp;$A2475))</f>
        <v/>
      </c>
      <c r="U2475" s="26">
        <f>IF($G2475="","",IF(OR($S2475&gt;0,$Q2475=0,$R2475=0,$Z2475&lt;&gt;"正常"),0,ROUND($T2475/$Q2475*$R2475,0)-ROUND(($T2475-$P2475)/$Q2475*$R2475,0)))</f>
        <v/>
      </c>
      <c r="V2475" s="26">
        <f>IF($G2475="","",ROUND($P2475+$U2475,0))</f>
        <v/>
      </c>
      <c r="W2475" s="26">
        <f>IF($G2475="","",IF(N($K2475)=0,0,ROUND($V2475/$K2475,2)))</f>
        <v/>
      </c>
      <c r="X2475" s="17" t="n"/>
      <c r="Y2475" s="17" t="n"/>
      <c r="Z2475" s="17" t="n"/>
      <c r="AA2475" s="17" t="n"/>
      <c r="AB2475" s="17" t="n"/>
      <c r="AC2475" s="24">
        <f>IF($G2475="","",IF($H2475="※编码不在物料档案里","※物料编码不在档案里",IF(N($K2475)&lt;=0,"※入库数量要大于 0",IF(AND($C2475&lt;&gt;"",$C2475&lt;=结账锁),"※日期早于已结账截止日，不能再录",IF(AND($L2475=0,$X2475="正常"),"※没填单价，价格状态请选「待补价」",IF(AND($S2475&gt;0,$R2475&gt;0),"△本批有 "&amp;$S2475&amp;" 行没单价，整批运费先挂账没摊",IF(AND($B2475&lt;&gt;"",COUNTIF($B$4:$B$2503,$B2475)&gt;1),"※入库单号重复","")))))))</f>
        <v/>
      </c>
    </row>
    <row r="2476">
      <c r="A2476" s="24">
        <f>IF($G2476="","",COUNTA($G$4:$G2476))</f>
        <v/>
      </c>
      <c r="B2476" s="17" t="n"/>
      <c r="C2476" s="30" t="n"/>
      <c r="D2476" s="17" t="n"/>
      <c r="E2476" s="17" t="n"/>
      <c r="F2476" s="17" t="n"/>
      <c r="G2476" s="17" t="n"/>
      <c r="H2476" s="24">
        <f>IF($G2476="","",IFERROR(VLOOKUP($G2476,物料档案!$A$4:$P$1203,3,0),"※编码不在物料档案里"))</f>
        <v/>
      </c>
      <c r="I2476" s="24">
        <f>IF($G2476="","",IFERROR(VLOOKUP($G2476,物料档案!$A$4:$P$1203,4,0),"※编码不在物料档案里"))</f>
        <v/>
      </c>
      <c r="J2476" s="24">
        <f>IF($G2476="","",IFERROR(VLOOKUP($G2476,物料档案!$A$4:$P$1203,5,0),"※编码不在物料档案里"))</f>
        <v/>
      </c>
      <c r="K2476" s="23" t="n"/>
      <c r="L2476" s="31" t="n"/>
      <c r="M2476" s="24">
        <f>IF($G2476="","",IF($D2476="A国内","CNY","TZS"))</f>
        <v/>
      </c>
      <c r="N2476" s="28">
        <f>IF($G2476="","",IF($D2476="A国内",汇率,1))</f>
        <v/>
      </c>
      <c r="O2476" s="25">
        <f>IF($G2476="","",ROUND(N($K2476)*N($L2476),2))</f>
        <v/>
      </c>
      <c r="P2476" s="26">
        <f>IF($G2476="","",ROUND($O2476*$N2476,0))</f>
        <v/>
      </c>
      <c r="Q2476" s="26">
        <f>IF($G2476="","",SUMIFS($P$4:$P$2503,$E$4:$E$2503,$E2476,$Z$4:$Z$2503,"正常"))</f>
        <v/>
      </c>
      <c r="R2476" s="26">
        <f>IF($G2476="","",SUMIFS(费用台账!$I$4:$I$503,费用台账!$C$4:$C$503,$E2476,费用台账!$J$4:$J$503,"是",费用台账!$K$4:$K$503,"正常"))</f>
        <v/>
      </c>
      <c r="S2476" s="28">
        <f>IF($G2476="","",COUNTIFS($E$4:$E$2503,$E2476,$Z$4:$Z$2503,"正常",$Y$4:$Y$2503,"待补价"))</f>
        <v/>
      </c>
      <c r="T2476" s="26">
        <f>IF($G2476="","",SUMIFS($P$4:$P$2503,$E$4:$E$2503,$E2476,$Z$4:$Z$2503,"正常",$A$4:$A$2503,"&lt;="&amp;$A2476))</f>
        <v/>
      </c>
      <c r="U2476" s="26">
        <f>IF($G2476="","",IF(OR($S2476&gt;0,$Q2476=0,$R2476=0,$Z2476&lt;&gt;"正常"),0,ROUND($T2476/$Q2476*$R2476,0)-ROUND(($T2476-$P2476)/$Q2476*$R2476,0)))</f>
        <v/>
      </c>
      <c r="V2476" s="26">
        <f>IF($G2476="","",ROUND($P2476+$U2476,0))</f>
        <v/>
      </c>
      <c r="W2476" s="26">
        <f>IF($G2476="","",IF(N($K2476)=0,0,ROUND($V2476/$K2476,2)))</f>
        <v/>
      </c>
      <c r="X2476" s="17" t="n"/>
      <c r="Y2476" s="17" t="n"/>
      <c r="Z2476" s="17" t="n"/>
      <c r="AA2476" s="17" t="n"/>
      <c r="AB2476" s="17" t="n"/>
      <c r="AC2476" s="24">
        <f>IF($G2476="","",IF($H2476="※编码不在物料档案里","※物料编码不在档案里",IF(N($K2476)&lt;=0,"※入库数量要大于 0",IF(AND($C2476&lt;&gt;"",$C2476&lt;=结账锁),"※日期早于已结账截止日，不能再录",IF(AND($L2476=0,$X2476="正常"),"※没填单价，价格状态请选「待补价」",IF(AND($S2476&gt;0,$R2476&gt;0),"△本批有 "&amp;$S2476&amp;" 行没单价，整批运费先挂账没摊",IF(AND($B2476&lt;&gt;"",COUNTIF($B$4:$B$2503,$B2476)&gt;1),"※入库单号重复","")))))))</f>
        <v/>
      </c>
    </row>
    <row r="2477">
      <c r="A2477" s="24">
        <f>IF($G2477="","",COUNTA($G$4:$G2477))</f>
        <v/>
      </c>
      <c r="B2477" s="17" t="n"/>
      <c r="C2477" s="30" t="n"/>
      <c r="D2477" s="17" t="n"/>
      <c r="E2477" s="17" t="n"/>
      <c r="F2477" s="17" t="n"/>
      <c r="G2477" s="17" t="n"/>
      <c r="H2477" s="24">
        <f>IF($G2477="","",IFERROR(VLOOKUP($G2477,物料档案!$A$4:$P$1203,3,0),"※编码不在物料档案里"))</f>
        <v/>
      </c>
      <c r="I2477" s="24">
        <f>IF($G2477="","",IFERROR(VLOOKUP($G2477,物料档案!$A$4:$P$1203,4,0),"※编码不在物料档案里"))</f>
        <v/>
      </c>
      <c r="J2477" s="24">
        <f>IF($G2477="","",IFERROR(VLOOKUP($G2477,物料档案!$A$4:$P$1203,5,0),"※编码不在物料档案里"))</f>
        <v/>
      </c>
      <c r="K2477" s="23" t="n"/>
      <c r="L2477" s="31" t="n"/>
      <c r="M2477" s="24">
        <f>IF($G2477="","",IF($D2477="A国内","CNY","TZS"))</f>
        <v/>
      </c>
      <c r="N2477" s="28">
        <f>IF($G2477="","",IF($D2477="A国内",汇率,1))</f>
        <v/>
      </c>
      <c r="O2477" s="25">
        <f>IF($G2477="","",ROUND(N($K2477)*N($L2477),2))</f>
        <v/>
      </c>
      <c r="P2477" s="26">
        <f>IF($G2477="","",ROUND($O2477*$N2477,0))</f>
        <v/>
      </c>
      <c r="Q2477" s="26">
        <f>IF($G2477="","",SUMIFS($P$4:$P$2503,$E$4:$E$2503,$E2477,$Z$4:$Z$2503,"正常"))</f>
        <v/>
      </c>
      <c r="R2477" s="26">
        <f>IF($G2477="","",SUMIFS(费用台账!$I$4:$I$503,费用台账!$C$4:$C$503,$E2477,费用台账!$J$4:$J$503,"是",费用台账!$K$4:$K$503,"正常"))</f>
        <v/>
      </c>
      <c r="S2477" s="28">
        <f>IF($G2477="","",COUNTIFS($E$4:$E$2503,$E2477,$Z$4:$Z$2503,"正常",$Y$4:$Y$2503,"待补价"))</f>
        <v/>
      </c>
      <c r="T2477" s="26">
        <f>IF($G2477="","",SUMIFS($P$4:$P$2503,$E$4:$E$2503,$E2477,$Z$4:$Z$2503,"正常",$A$4:$A$2503,"&lt;="&amp;$A2477))</f>
        <v/>
      </c>
      <c r="U2477" s="26">
        <f>IF($G2477="","",IF(OR($S2477&gt;0,$Q2477=0,$R2477=0,$Z2477&lt;&gt;"正常"),0,ROUND($T2477/$Q2477*$R2477,0)-ROUND(($T2477-$P2477)/$Q2477*$R2477,0)))</f>
        <v/>
      </c>
      <c r="V2477" s="26">
        <f>IF($G2477="","",ROUND($P2477+$U2477,0))</f>
        <v/>
      </c>
      <c r="W2477" s="26">
        <f>IF($G2477="","",IF(N($K2477)=0,0,ROUND($V2477/$K2477,2)))</f>
        <v/>
      </c>
      <c r="X2477" s="17" t="n"/>
      <c r="Y2477" s="17" t="n"/>
      <c r="Z2477" s="17" t="n"/>
      <c r="AA2477" s="17" t="n"/>
      <c r="AB2477" s="17" t="n"/>
      <c r="AC2477" s="24">
        <f>IF($G2477="","",IF($H2477="※编码不在物料档案里","※物料编码不在档案里",IF(N($K2477)&lt;=0,"※入库数量要大于 0",IF(AND($C2477&lt;&gt;"",$C2477&lt;=结账锁),"※日期早于已结账截止日，不能再录",IF(AND($L2477=0,$X2477="正常"),"※没填单价，价格状态请选「待补价」",IF(AND($S2477&gt;0,$R2477&gt;0),"△本批有 "&amp;$S2477&amp;" 行没单价，整批运费先挂账没摊",IF(AND($B2477&lt;&gt;"",COUNTIF($B$4:$B$2503,$B2477)&gt;1),"※入库单号重复","")))))))</f>
        <v/>
      </c>
    </row>
    <row r="2478">
      <c r="A2478" s="24">
        <f>IF($G2478="","",COUNTA($G$4:$G2478))</f>
        <v/>
      </c>
      <c r="B2478" s="17" t="n"/>
      <c r="C2478" s="30" t="n"/>
      <c r="D2478" s="17" t="n"/>
      <c r="E2478" s="17" t="n"/>
      <c r="F2478" s="17" t="n"/>
      <c r="G2478" s="17" t="n"/>
      <c r="H2478" s="24">
        <f>IF($G2478="","",IFERROR(VLOOKUP($G2478,物料档案!$A$4:$P$1203,3,0),"※编码不在物料档案里"))</f>
        <v/>
      </c>
      <c r="I2478" s="24">
        <f>IF($G2478="","",IFERROR(VLOOKUP($G2478,物料档案!$A$4:$P$1203,4,0),"※编码不在物料档案里"))</f>
        <v/>
      </c>
      <c r="J2478" s="24">
        <f>IF($G2478="","",IFERROR(VLOOKUP($G2478,物料档案!$A$4:$P$1203,5,0),"※编码不在物料档案里"))</f>
        <v/>
      </c>
      <c r="K2478" s="23" t="n"/>
      <c r="L2478" s="31" t="n"/>
      <c r="M2478" s="24">
        <f>IF($G2478="","",IF($D2478="A国内","CNY","TZS"))</f>
        <v/>
      </c>
      <c r="N2478" s="28">
        <f>IF($G2478="","",IF($D2478="A国内",汇率,1))</f>
        <v/>
      </c>
      <c r="O2478" s="25">
        <f>IF($G2478="","",ROUND(N($K2478)*N($L2478),2))</f>
        <v/>
      </c>
      <c r="P2478" s="26">
        <f>IF($G2478="","",ROUND($O2478*$N2478,0))</f>
        <v/>
      </c>
      <c r="Q2478" s="26">
        <f>IF($G2478="","",SUMIFS($P$4:$P$2503,$E$4:$E$2503,$E2478,$Z$4:$Z$2503,"正常"))</f>
        <v/>
      </c>
      <c r="R2478" s="26">
        <f>IF($G2478="","",SUMIFS(费用台账!$I$4:$I$503,费用台账!$C$4:$C$503,$E2478,费用台账!$J$4:$J$503,"是",费用台账!$K$4:$K$503,"正常"))</f>
        <v/>
      </c>
      <c r="S2478" s="28">
        <f>IF($G2478="","",COUNTIFS($E$4:$E$2503,$E2478,$Z$4:$Z$2503,"正常",$Y$4:$Y$2503,"待补价"))</f>
        <v/>
      </c>
      <c r="T2478" s="26">
        <f>IF($G2478="","",SUMIFS($P$4:$P$2503,$E$4:$E$2503,$E2478,$Z$4:$Z$2503,"正常",$A$4:$A$2503,"&lt;="&amp;$A2478))</f>
        <v/>
      </c>
      <c r="U2478" s="26">
        <f>IF($G2478="","",IF(OR($S2478&gt;0,$Q2478=0,$R2478=0,$Z2478&lt;&gt;"正常"),0,ROUND($T2478/$Q2478*$R2478,0)-ROUND(($T2478-$P2478)/$Q2478*$R2478,0)))</f>
        <v/>
      </c>
      <c r="V2478" s="26">
        <f>IF($G2478="","",ROUND($P2478+$U2478,0))</f>
        <v/>
      </c>
      <c r="W2478" s="26">
        <f>IF($G2478="","",IF(N($K2478)=0,0,ROUND($V2478/$K2478,2)))</f>
        <v/>
      </c>
      <c r="X2478" s="17" t="n"/>
      <c r="Y2478" s="17" t="n"/>
      <c r="Z2478" s="17" t="n"/>
      <c r="AA2478" s="17" t="n"/>
      <c r="AB2478" s="17" t="n"/>
      <c r="AC2478" s="24">
        <f>IF($G2478="","",IF($H2478="※编码不在物料档案里","※物料编码不在档案里",IF(N($K2478)&lt;=0,"※入库数量要大于 0",IF(AND($C2478&lt;&gt;"",$C2478&lt;=结账锁),"※日期早于已结账截止日，不能再录",IF(AND($L2478=0,$X2478="正常"),"※没填单价，价格状态请选「待补价」",IF(AND($S2478&gt;0,$R2478&gt;0),"△本批有 "&amp;$S2478&amp;" 行没单价，整批运费先挂账没摊",IF(AND($B2478&lt;&gt;"",COUNTIF($B$4:$B$2503,$B2478)&gt;1),"※入库单号重复","")))))))</f>
        <v/>
      </c>
    </row>
    <row r="2479">
      <c r="A2479" s="24">
        <f>IF($G2479="","",COUNTA($G$4:$G2479))</f>
        <v/>
      </c>
      <c r="B2479" s="17" t="n"/>
      <c r="C2479" s="30" t="n"/>
      <c r="D2479" s="17" t="n"/>
      <c r="E2479" s="17" t="n"/>
      <c r="F2479" s="17" t="n"/>
      <c r="G2479" s="17" t="n"/>
      <c r="H2479" s="24">
        <f>IF($G2479="","",IFERROR(VLOOKUP($G2479,物料档案!$A$4:$P$1203,3,0),"※编码不在物料档案里"))</f>
        <v/>
      </c>
      <c r="I2479" s="24">
        <f>IF($G2479="","",IFERROR(VLOOKUP($G2479,物料档案!$A$4:$P$1203,4,0),"※编码不在物料档案里"))</f>
        <v/>
      </c>
      <c r="J2479" s="24">
        <f>IF($G2479="","",IFERROR(VLOOKUP($G2479,物料档案!$A$4:$P$1203,5,0),"※编码不在物料档案里"))</f>
        <v/>
      </c>
      <c r="K2479" s="23" t="n"/>
      <c r="L2479" s="31" t="n"/>
      <c r="M2479" s="24">
        <f>IF($G2479="","",IF($D2479="A国内","CNY","TZS"))</f>
        <v/>
      </c>
      <c r="N2479" s="28">
        <f>IF($G2479="","",IF($D2479="A国内",汇率,1))</f>
        <v/>
      </c>
      <c r="O2479" s="25">
        <f>IF($G2479="","",ROUND(N($K2479)*N($L2479),2))</f>
        <v/>
      </c>
      <c r="P2479" s="26">
        <f>IF($G2479="","",ROUND($O2479*$N2479,0))</f>
        <v/>
      </c>
      <c r="Q2479" s="26">
        <f>IF($G2479="","",SUMIFS($P$4:$P$2503,$E$4:$E$2503,$E2479,$Z$4:$Z$2503,"正常"))</f>
        <v/>
      </c>
      <c r="R2479" s="26">
        <f>IF($G2479="","",SUMIFS(费用台账!$I$4:$I$503,费用台账!$C$4:$C$503,$E2479,费用台账!$J$4:$J$503,"是",费用台账!$K$4:$K$503,"正常"))</f>
        <v/>
      </c>
      <c r="S2479" s="28">
        <f>IF($G2479="","",COUNTIFS($E$4:$E$2503,$E2479,$Z$4:$Z$2503,"正常",$Y$4:$Y$2503,"待补价"))</f>
        <v/>
      </c>
      <c r="T2479" s="26">
        <f>IF($G2479="","",SUMIFS($P$4:$P$2503,$E$4:$E$2503,$E2479,$Z$4:$Z$2503,"正常",$A$4:$A$2503,"&lt;="&amp;$A2479))</f>
        <v/>
      </c>
      <c r="U2479" s="26">
        <f>IF($G2479="","",IF(OR($S2479&gt;0,$Q2479=0,$R2479=0,$Z2479&lt;&gt;"正常"),0,ROUND($T2479/$Q2479*$R2479,0)-ROUND(($T2479-$P2479)/$Q2479*$R2479,0)))</f>
        <v/>
      </c>
      <c r="V2479" s="26">
        <f>IF($G2479="","",ROUND($P2479+$U2479,0))</f>
        <v/>
      </c>
      <c r="W2479" s="26">
        <f>IF($G2479="","",IF(N($K2479)=0,0,ROUND($V2479/$K2479,2)))</f>
        <v/>
      </c>
      <c r="X2479" s="17" t="n"/>
      <c r="Y2479" s="17" t="n"/>
      <c r="Z2479" s="17" t="n"/>
      <c r="AA2479" s="17" t="n"/>
      <c r="AB2479" s="17" t="n"/>
      <c r="AC2479" s="24">
        <f>IF($G2479="","",IF($H2479="※编码不在物料档案里","※物料编码不在档案里",IF(N($K2479)&lt;=0,"※入库数量要大于 0",IF(AND($C2479&lt;&gt;"",$C2479&lt;=结账锁),"※日期早于已结账截止日，不能再录",IF(AND($L2479=0,$X2479="正常"),"※没填单价，价格状态请选「待补价」",IF(AND($S2479&gt;0,$R2479&gt;0),"△本批有 "&amp;$S2479&amp;" 行没单价，整批运费先挂账没摊",IF(AND($B2479&lt;&gt;"",COUNTIF($B$4:$B$2503,$B2479)&gt;1),"※入库单号重复","")))))))</f>
        <v/>
      </c>
    </row>
    <row r="2480">
      <c r="A2480" s="24">
        <f>IF($G2480="","",COUNTA($G$4:$G2480))</f>
        <v/>
      </c>
      <c r="B2480" s="17" t="n"/>
      <c r="C2480" s="30" t="n"/>
      <c r="D2480" s="17" t="n"/>
      <c r="E2480" s="17" t="n"/>
      <c r="F2480" s="17" t="n"/>
      <c r="G2480" s="17" t="n"/>
      <c r="H2480" s="24">
        <f>IF($G2480="","",IFERROR(VLOOKUP($G2480,物料档案!$A$4:$P$1203,3,0),"※编码不在物料档案里"))</f>
        <v/>
      </c>
      <c r="I2480" s="24">
        <f>IF($G2480="","",IFERROR(VLOOKUP($G2480,物料档案!$A$4:$P$1203,4,0),"※编码不在物料档案里"))</f>
        <v/>
      </c>
      <c r="J2480" s="24">
        <f>IF($G2480="","",IFERROR(VLOOKUP($G2480,物料档案!$A$4:$P$1203,5,0),"※编码不在物料档案里"))</f>
        <v/>
      </c>
      <c r="K2480" s="23" t="n"/>
      <c r="L2480" s="31" t="n"/>
      <c r="M2480" s="24">
        <f>IF($G2480="","",IF($D2480="A国内","CNY","TZS"))</f>
        <v/>
      </c>
      <c r="N2480" s="28">
        <f>IF($G2480="","",IF($D2480="A国内",汇率,1))</f>
        <v/>
      </c>
      <c r="O2480" s="25">
        <f>IF($G2480="","",ROUND(N($K2480)*N($L2480),2))</f>
        <v/>
      </c>
      <c r="P2480" s="26">
        <f>IF($G2480="","",ROUND($O2480*$N2480,0))</f>
        <v/>
      </c>
      <c r="Q2480" s="26">
        <f>IF($G2480="","",SUMIFS($P$4:$P$2503,$E$4:$E$2503,$E2480,$Z$4:$Z$2503,"正常"))</f>
        <v/>
      </c>
      <c r="R2480" s="26">
        <f>IF($G2480="","",SUMIFS(费用台账!$I$4:$I$503,费用台账!$C$4:$C$503,$E2480,费用台账!$J$4:$J$503,"是",费用台账!$K$4:$K$503,"正常"))</f>
        <v/>
      </c>
      <c r="S2480" s="28">
        <f>IF($G2480="","",COUNTIFS($E$4:$E$2503,$E2480,$Z$4:$Z$2503,"正常",$Y$4:$Y$2503,"待补价"))</f>
        <v/>
      </c>
      <c r="T2480" s="26">
        <f>IF($G2480="","",SUMIFS($P$4:$P$2503,$E$4:$E$2503,$E2480,$Z$4:$Z$2503,"正常",$A$4:$A$2503,"&lt;="&amp;$A2480))</f>
        <v/>
      </c>
      <c r="U2480" s="26">
        <f>IF($G2480="","",IF(OR($S2480&gt;0,$Q2480=0,$R2480=0,$Z2480&lt;&gt;"正常"),0,ROUND($T2480/$Q2480*$R2480,0)-ROUND(($T2480-$P2480)/$Q2480*$R2480,0)))</f>
        <v/>
      </c>
      <c r="V2480" s="26">
        <f>IF($G2480="","",ROUND($P2480+$U2480,0))</f>
        <v/>
      </c>
      <c r="W2480" s="26">
        <f>IF($G2480="","",IF(N($K2480)=0,0,ROUND($V2480/$K2480,2)))</f>
        <v/>
      </c>
      <c r="X2480" s="17" t="n"/>
      <c r="Y2480" s="17" t="n"/>
      <c r="Z2480" s="17" t="n"/>
      <c r="AA2480" s="17" t="n"/>
      <c r="AB2480" s="17" t="n"/>
      <c r="AC2480" s="24">
        <f>IF($G2480="","",IF($H2480="※编码不在物料档案里","※物料编码不在档案里",IF(N($K2480)&lt;=0,"※入库数量要大于 0",IF(AND($C2480&lt;&gt;"",$C2480&lt;=结账锁),"※日期早于已结账截止日，不能再录",IF(AND($L2480=0,$X2480="正常"),"※没填单价，价格状态请选「待补价」",IF(AND($S2480&gt;0,$R2480&gt;0),"△本批有 "&amp;$S2480&amp;" 行没单价，整批运费先挂账没摊",IF(AND($B2480&lt;&gt;"",COUNTIF($B$4:$B$2503,$B2480)&gt;1),"※入库单号重复","")))))))</f>
        <v/>
      </c>
    </row>
    <row r="2481">
      <c r="A2481" s="24">
        <f>IF($G2481="","",COUNTA($G$4:$G2481))</f>
        <v/>
      </c>
      <c r="B2481" s="17" t="n"/>
      <c r="C2481" s="30" t="n"/>
      <c r="D2481" s="17" t="n"/>
      <c r="E2481" s="17" t="n"/>
      <c r="F2481" s="17" t="n"/>
      <c r="G2481" s="17" t="n"/>
      <c r="H2481" s="24">
        <f>IF($G2481="","",IFERROR(VLOOKUP($G2481,物料档案!$A$4:$P$1203,3,0),"※编码不在物料档案里"))</f>
        <v/>
      </c>
      <c r="I2481" s="24">
        <f>IF($G2481="","",IFERROR(VLOOKUP($G2481,物料档案!$A$4:$P$1203,4,0),"※编码不在物料档案里"))</f>
        <v/>
      </c>
      <c r="J2481" s="24">
        <f>IF($G2481="","",IFERROR(VLOOKUP($G2481,物料档案!$A$4:$P$1203,5,0),"※编码不在物料档案里"))</f>
        <v/>
      </c>
      <c r="K2481" s="23" t="n"/>
      <c r="L2481" s="31" t="n"/>
      <c r="M2481" s="24">
        <f>IF($G2481="","",IF($D2481="A国内","CNY","TZS"))</f>
        <v/>
      </c>
      <c r="N2481" s="28">
        <f>IF($G2481="","",IF($D2481="A国内",汇率,1))</f>
        <v/>
      </c>
      <c r="O2481" s="25">
        <f>IF($G2481="","",ROUND(N($K2481)*N($L2481),2))</f>
        <v/>
      </c>
      <c r="P2481" s="26">
        <f>IF($G2481="","",ROUND($O2481*$N2481,0))</f>
        <v/>
      </c>
      <c r="Q2481" s="26">
        <f>IF($G2481="","",SUMIFS($P$4:$P$2503,$E$4:$E$2503,$E2481,$Z$4:$Z$2503,"正常"))</f>
        <v/>
      </c>
      <c r="R2481" s="26">
        <f>IF($G2481="","",SUMIFS(费用台账!$I$4:$I$503,费用台账!$C$4:$C$503,$E2481,费用台账!$J$4:$J$503,"是",费用台账!$K$4:$K$503,"正常"))</f>
        <v/>
      </c>
      <c r="S2481" s="28">
        <f>IF($G2481="","",COUNTIFS($E$4:$E$2503,$E2481,$Z$4:$Z$2503,"正常",$Y$4:$Y$2503,"待补价"))</f>
        <v/>
      </c>
      <c r="T2481" s="26">
        <f>IF($G2481="","",SUMIFS($P$4:$P$2503,$E$4:$E$2503,$E2481,$Z$4:$Z$2503,"正常",$A$4:$A$2503,"&lt;="&amp;$A2481))</f>
        <v/>
      </c>
      <c r="U2481" s="26">
        <f>IF($G2481="","",IF(OR($S2481&gt;0,$Q2481=0,$R2481=0,$Z2481&lt;&gt;"正常"),0,ROUND($T2481/$Q2481*$R2481,0)-ROUND(($T2481-$P2481)/$Q2481*$R2481,0)))</f>
        <v/>
      </c>
      <c r="V2481" s="26">
        <f>IF($G2481="","",ROUND($P2481+$U2481,0))</f>
        <v/>
      </c>
      <c r="W2481" s="26">
        <f>IF($G2481="","",IF(N($K2481)=0,0,ROUND($V2481/$K2481,2)))</f>
        <v/>
      </c>
      <c r="X2481" s="17" t="n"/>
      <c r="Y2481" s="17" t="n"/>
      <c r="Z2481" s="17" t="n"/>
      <c r="AA2481" s="17" t="n"/>
      <c r="AB2481" s="17" t="n"/>
      <c r="AC2481" s="24">
        <f>IF($G2481="","",IF($H2481="※编码不在物料档案里","※物料编码不在档案里",IF(N($K2481)&lt;=0,"※入库数量要大于 0",IF(AND($C2481&lt;&gt;"",$C2481&lt;=结账锁),"※日期早于已结账截止日，不能再录",IF(AND($L2481=0,$X2481="正常"),"※没填单价，价格状态请选「待补价」",IF(AND($S2481&gt;0,$R2481&gt;0),"△本批有 "&amp;$S2481&amp;" 行没单价，整批运费先挂账没摊",IF(AND($B2481&lt;&gt;"",COUNTIF($B$4:$B$2503,$B2481)&gt;1),"※入库单号重复","")))))))</f>
        <v/>
      </c>
    </row>
    <row r="2482">
      <c r="A2482" s="24">
        <f>IF($G2482="","",COUNTA($G$4:$G2482))</f>
        <v/>
      </c>
      <c r="B2482" s="17" t="n"/>
      <c r="C2482" s="30" t="n"/>
      <c r="D2482" s="17" t="n"/>
      <c r="E2482" s="17" t="n"/>
      <c r="F2482" s="17" t="n"/>
      <c r="G2482" s="17" t="n"/>
      <c r="H2482" s="24">
        <f>IF($G2482="","",IFERROR(VLOOKUP($G2482,物料档案!$A$4:$P$1203,3,0),"※编码不在物料档案里"))</f>
        <v/>
      </c>
      <c r="I2482" s="24">
        <f>IF($G2482="","",IFERROR(VLOOKUP($G2482,物料档案!$A$4:$P$1203,4,0),"※编码不在物料档案里"))</f>
        <v/>
      </c>
      <c r="J2482" s="24">
        <f>IF($G2482="","",IFERROR(VLOOKUP($G2482,物料档案!$A$4:$P$1203,5,0),"※编码不在物料档案里"))</f>
        <v/>
      </c>
      <c r="K2482" s="23" t="n"/>
      <c r="L2482" s="31" t="n"/>
      <c r="M2482" s="24">
        <f>IF($G2482="","",IF($D2482="A国内","CNY","TZS"))</f>
        <v/>
      </c>
      <c r="N2482" s="28">
        <f>IF($G2482="","",IF($D2482="A国内",汇率,1))</f>
        <v/>
      </c>
      <c r="O2482" s="25">
        <f>IF($G2482="","",ROUND(N($K2482)*N($L2482),2))</f>
        <v/>
      </c>
      <c r="P2482" s="26">
        <f>IF($G2482="","",ROUND($O2482*$N2482,0))</f>
        <v/>
      </c>
      <c r="Q2482" s="26">
        <f>IF($G2482="","",SUMIFS($P$4:$P$2503,$E$4:$E$2503,$E2482,$Z$4:$Z$2503,"正常"))</f>
        <v/>
      </c>
      <c r="R2482" s="26">
        <f>IF($G2482="","",SUMIFS(费用台账!$I$4:$I$503,费用台账!$C$4:$C$503,$E2482,费用台账!$J$4:$J$503,"是",费用台账!$K$4:$K$503,"正常"))</f>
        <v/>
      </c>
      <c r="S2482" s="28">
        <f>IF($G2482="","",COUNTIFS($E$4:$E$2503,$E2482,$Z$4:$Z$2503,"正常",$Y$4:$Y$2503,"待补价"))</f>
        <v/>
      </c>
      <c r="T2482" s="26">
        <f>IF($G2482="","",SUMIFS($P$4:$P$2503,$E$4:$E$2503,$E2482,$Z$4:$Z$2503,"正常",$A$4:$A$2503,"&lt;="&amp;$A2482))</f>
        <v/>
      </c>
      <c r="U2482" s="26">
        <f>IF($G2482="","",IF(OR($S2482&gt;0,$Q2482=0,$R2482=0,$Z2482&lt;&gt;"正常"),0,ROUND($T2482/$Q2482*$R2482,0)-ROUND(($T2482-$P2482)/$Q2482*$R2482,0)))</f>
        <v/>
      </c>
      <c r="V2482" s="26">
        <f>IF($G2482="","",ROUND($P2482+$U2482,0))</f>
        <v/>
      </c>
      <c r="W2482" s="26">
        <f>IF($G2482="","",IF(N($K2482)=0,0,ROUND($V2482/$K2482,2)))</f>
        <v/>
      </c>
      <c r="X2482" s="17" t="n"/>
      <c r="Y2482" s="17" t="n"/>
      <c r="Z2482" s="17" t="n"/>
      <c r="AA2482" s="17" t="n"/>
      <c r="AB2482" s="17" t="n"/>
      <c r="AC2482" s="24">
        <f>IF($G2482="","",IF($H2482="※编码不在物料档案里","※物料编码不在档案里",IF(N($K2482)&lt;=0,"※入库数量要大于 0",IF(AND($C2482&lt;&gt;"",$C2482&lt;=结账锁),"※日期早于已结账截止日，不能再录",IF(AND($L2482=0,$X2482="正常"),"※没填单价，价格状态请选「待补价」",IF(AND($S2482&gt;0,$R2482&gt;0),"△本批有 "&amp;$S2482&amp;" 行没单价，整批运费先挂账没摊",IF(AND($B2482&lt;&gt;"",COUNTIF($B$4:$B$2503,$B2482)&gt;1),"※入库单号重复","")))))))</f>
        <v/>
      </c>
    </row>
    <row r="2483">
      <c r="A2483" s="24">
        <f>IF($G2483="","",COUNTA($G$4:$G2483))</f>
        <v/>
      </c>
      <c r="B2483" s="17" t="n"/>
      <c r="C2483" s="30" t="n"/>
      <c r="D2483" s="17" t="n"/>
      <c r="E2483" s="17" t="n"/>
      <c r="F2483" s="17" t="n"/>
      <c r="G2483" s="17" t="n"/>
      <c r="H2483" s="24">
        <f>IF($G2483="","",IFERROR(VLOOKUP($G2483,物料档案!$A$4:$P$1203,3,0),"※编码不在物料档案里"))</f>
        <v/>
      </c>
      <c r="I2483" s="24">
        <f>IF($G2483="","",IFERROR(VLOOKUP($G2483,物料档案!$A$4:$P$1203,4,0),"※编码不在物料档案里"))</f>
        <v/>
      </c>
      <c r="J2483" s="24">
        <f>IF($G2483="","",IFERROR(VLOOKUP($G2483,物料档案!$A$4:$P$1203,5,0),"※编码不在物料档案里"))</f>
        <v/>
      </c>
      <c r="K2483" s="23" t="n"/>
      <c r="L2483" s="31" t="n"/>
      <c r="M2483" s="24">
        <f>IF($G2483="","",IF($D2483="A国内","CNY","TZS"))</f>
        <v/>
      </c>
      <c r="N2483" s="28">
        <f>IF($G2483="","",IF($D2483="A国内",汇率,1))</f>
        <v/>
      </c>
      <c r="O2483" s="25">
        <f>IF($G2483="","",ROUND(N($K2483)*N($L2483),2))</f>
        <v/>
      </c>
      <c r="P2483" s="26">
        <f>IF($G2483="","",ROUND($O2483*$N2483,0))</f>
        <v/>
      </c>
      <c r="Q2483" s="26">
        <f>IF($G2483="","",SUMIFS($P$4:$P$2503,$E$4:$E$2503,$E2483,$Z$4:$Z$2503,"正常"))</f>
        <v/>
      </c>
      <c r="R2483" s="26">
        <f>IF($G2483="","",SUMIFS(费用台账!$I$4:$I$503,费用台账!$C$4:$C$503,$E2483,费用台账!$J$4:$J$503,"是",费用台账!$K$4:$K$503,"正常"))</f>
        <v/>
      </c>
      <c r="S2483" s="28">
        <f>IF($G2483="","",COUNTIFS($E$4:$E$2503,$E2483,$Z$4:$Z$2503,"正常",$Y$4:$Y$2503,"待补价"))</f>
        <v/>
      </c>
      <c r="T2483" s="26">
        <f>IF($G2483="","",SUMIFS($P$4:$P$2503,$E$4:$E$2503,$E2483,$Z$4:$Z$2503,"正常",$A$4:$A$2503,"&lt;="&amp;$A2483))</f>
        <v/>
      </c>
      <c r="U2483" s="26">
        <f>IF($G2483="","",IF(OR($S2483&gt;0,$Q2483=0,$R2483=0,$Z2483&lt;&gt;"正常"),0,ROUND($T2483/$Q2483*$R2483,0)-ROUND(($T2483-$P2483)/$Q2483*$R2483,0)))</f>
        <v/>
      </c>
      <c r="V2483" s="26">
        <f>IF($G2483="","",ROUND($P2483+$U2483,0))</f>
        <v/>
      </c>
      <c r="W2483" s="26">
        <f>IF($G2483="","",IF(N($K2483)=0,0,ROUND($V2483/$K2483,2)))</f>
        <v/>
      </c>
      <c r="X2483" s="17" t="n"/>
      <c r="Y2483" s="17" t="n"/>
      <c r="Z2483" s="17" t="n"/>
      <c r="AA2483" s="17" t="n"/>
      <c r="AB2483" s="17" t="n"/>
      <c r="AC2483" s="24">
        <f>IF($G2483="","",IF($H2483="※编码不在物料档案里","※物料编码不在档案里",IF(N($K2483)&lt;=0,"※入库数量要大于 0",IF(AND($C2483&lt;&gt;"",$C2483&lt;=结账锁),"※日期早于已结账截止日，不能再录",IF(AND($L2483=0,$X2483="正常"),"※没填单价，价格状态请选「待补价」",IF(AND($S2483&gt;0,$R2483&gt;0),"△本批有 "&amp;$S2483&amp;" 行没单价，整批运费先挂账没摊",IF(AND($B2483&lt;&gt;"",COUNTIF($B$4:$B$2503,$B2483)&gt;1),"※入库单号重复","")))))))</f>
        <v/>
      </c>
    </row>
    <row r="2484">
      <c r="A2484" s="24">
        <f>IF($G2484="","",COUNTA($G$4:$G2484))</f>
        <v/>
      </c>
      <c r="B2484" s="17" t="n"/>
      <c r="C2484" s="30" t="n"/>
      <c r="D2484" s="17" t="n"/>
      <c r="E2484" s="17" t="n"/>
      <c r="F2484" s="17" t="n"/>
      <c r="G2484" s="17" t="n"/>
      <c r="H2484" s="24">
        <f>IF($G2484="","",IFERROR(VLOOKUP($G2484,物料档案!$A$4:$P$1203,3,0),"※编码不在物料档案里"))</f>
        <v/>
      </c>
      <c r="I2484" s="24">
        <f>IF($G2484="","",IFERROR(VLOOKUP($G2484,物料档案!$A$4:$P$1203,4,0),"※编码不在物料档案里"))</f>
        <v/>
      </c>
      <c r="J2484" s="24">
        <f>IF($G2484="","",IFERROR(VLOOKUP($G2484,物料档案!$A$4:$P$1203,5,0),"※编码不在物料档案里"))</f>
        <v/>
      </c>
      <c r="K2484" s="23" t="n"/>
      <c r="L2484" s="31" t="n"/>
      <c r="M2484" s="24">
        <f>IF($G2484="","",IF($D2484="A国内","CNY","TZS"))</f>
        <v/>
      </c>
      <c r="N2484" s="28">
        <f>IF($G2484="","",IF($D2484="A国内",汇率,1))</f>
        <v/>
      </c>
      <c r="O2484" s="25">
        <f>IF($G2484="","",ROUND(N($K2484)*N($L2484),2))</f>
        <v/>
      </c>
      <c r="P2484" s="26">
        <f>IF($G2484="","",ROUND($O2484*$N2484,0))</f>
        <v/>
      </c>
      <c r="Q2484" s="26">
        <f>IF($G2484="","",SUMIFS($P$4:$P$2503,$E$4:$E$2503,$E2484,$Z$4:$Z$2503,"正常"))</f>
        <v/>
      </c>
      <c r="R2484" s="26">
        <f>IF($G2484="","",SUMIFS(费用台账!$I$4:$I$503,费用台账!$C$4:$C$503,$E2484,费用台账!$J$4:$J$503,"是",费用台账!$K$4:$K$503,"正常"))</f>
        <v/>
      </c>
      <c r="S2484" s="28">
        <f>IF($G2484="","",COUNTIFS($E$4:$E$2503,$E2484,$Z$4:$Z$2503,"正常",$Y$4:$Y$2503,"待补价"))</f>
        <v/>
      </c>
      <c r="T2484" s="26">
        <f>IF($G2484="","",SUMIFS($P$4:$P$2503,$E$4:$E$2503,$E2484,$Z$4:$Z$2503,"正常",$A$4:$A$2503,"&lt;="&amp;$A2484))</f>
        <v/>
      </c>
      <c r="U2484" s="26">
        <f>IF($G2484="","",IF(OR($S2484&gt;0,$Q2484=0,$R2484=0,$Z2484&lt;&gt;"正常"),0,ROUND($T2484/$Q2484*$R2484,0)-ROUND(($T2484-$P2484)/$Q2484*$R2484,0)))</f>
        <v/>
      </c>
      <c r="V2484" s="26">
        <f>IF($G2484="","",ROUND($P2484+$U2484,0))</f>
        <v/>
      </c>
      <c r="W2484" s="26">
        <f>IF($G2484="","",IF(N($K2484)=0,0,ROUND($V2484/$K2484,2)))</f>
        <v/>
      </c>
      <c r="X2484" s="17" t="n"/>
      <c r="Y2484" s="17" t="n"/>
      <c r="Z2484" s="17" t="n"/>
      <c r="AA2484" s="17" t="n"/>
      <c r="AB2484" s="17" t="n"/>
      <c r="AC2484" s="24">
        <f>IF($G2484="","",IF($H2484="※编码不在物料档案里","※物料编码不在档案里",IF(N($K2484)&lt;=0,"※入库数量要大于 0",IF(AND($C2484&lt;&gt;"",$C2484&lt;=结账锁),"※日期早于已结账截止日，不能再录",IF(AND($L2484=0,$X2484="正常"),"※没填单价，价格状态请选「待补价」",IF(AND($S2484&gt;0,$R2484&gt;0),"△本批有 "&amp;$S2484&amp;" 行没单价，整批运费先挂账没摊",IF(AND($B2484&lt;&gt;"",COUNTIF($B$4:$B$2503,$B2484)&gt;1),"※入库单号重复","")))))))</f>
        <v/>
      </c>
    </row>
    <row r="2485">
      <c r="A2485" s="24">
        <f>IF($G2485="","",COUNTA($G$4:$G2485))</f>
        <v/>
      </c>
      <c r="B2485" s="17" t="n"/>
      <c r="C2485" s="30" t="n"/>
      <c r="D2485" s="17" t="n"/>
      <c r="E2485" s="17" t="n"/>
      <c r="F2485" s="17" t="n"/>
      <c r="G2485" s="17" t="n"/>
      <c r="H2485" s="24">
        <f>IF($G2485="","",IFERROR(VLOOKUP($G2485,物料档案!$A$4:$P$1203,3,0),"※编码不在物料档案里"))</f>
        <v/>
      </c>
      <c r="I2485" s="24">
        <f>IF($G2485="","",IFERROR(VLOOKUP($G2485,物料档案!$A$4:$P$1203,4,0),"※编码不在物料档案里"))</f>
        <v/>
      </c>
      <c r="J2485" s="24">
        <f>IF($G2485="","",IFERROR(VLOOKUP($G2485,物料档案!$A$4:$P$1203,5,0),"※编码不在物料档案里"))</f>
        <v/>
      </c>
      <c r="K2485" s="23" t="n"/>
      <c r="L2485" s="31" t="n"/>
      <c r="M2485" s="24">
        <f>IF($G2485="","",IF($D2485="A国内","CNY","TZS"))</f>
        <v/>
      </c>
      <c r="N2485" s="28">
        <f>IF($G2485="","",IF($D2485="A国内",汇率,1))</f>
        <v/>
      </c>
      <c r="O2485" s="25">
        <f>IF($G2485="","",ROUND(N($K2485)*N($L2485),2))</f>
        <v/>
      </c>
      <c r="P2485" s="26">
        <f>IF($G2485="","",ROUND($O2485*$N2485,0))</f>
        <v/>
      </c>
      <c r="Q2485" s="26">
        <f>IF($G2485="","",SUMIFS($P$4:$P$2503,$E$4:$E$2503,$E2485,$Z$4:$Z$2503,"正常"))</f>
        <v/>
      </c>
      <c r="R2485" s="26">
        <f>IF($G2485="","",SUMIFS(费用台账!$I$4:$I$503,费用台账!$C$4:$C$503,$E2485,费用台账!$J$4:$J$503,"是",费用台账!$K$4:$K$503,"正常"))</f>
        <v/>
      </c>
      <c r="S2485" s="28">
        <f>IF($G2485="","",COUNTIFS($E$4:$E$2503,$E2485,$Z$4:$Z$2503,"正常",$Y$4:$Y$2503,"待补价"))</f>
        <v/>
      </c>
      <c r="T2485" s="26">
        <f>IF($G2485="","",SUMIFS($P$4:$P$2503,$E$4:$E$2503,$E2485,$Z$4:$Z$2503,"正常",$A$4:$A$2503,"&lt;="&amp;$A2485))</f>
        <v/>
      </c>
      <c r="U2485" s="26">
        <f>IF($G2485="","",IF(OR($S2485&gt;0,$Q2485=0,$R2485=0,$Z2485&lt;&gt;"正常"),0,ROUND($T2485/$Q2485*$R2485,0)-ROUND(($T2485-$P2485)/$Q2485*$R2485,0)))</f>
        <v/>
      </c>
      <c r="V2485" s="26">
        <f>IF($G2485="","",ROUND($P2485+$U2485,0))</f>
        <v/>
      </c>
      <c r="W2485" s="26">
        <f>IF($G2485="","",IF(N($K2485)=0,0,ROUND($V2485/$K2485,2)))</f>
        <v/>
      </c>
      <c r="X2485" s="17" t="n"/>
      <c r="Y2485" s="17" t="n"/>
      <c r="Z2485" s="17" t="n"/>
      <c r="AA2485" s="17" t="n"/>
      <c r="AB2485" s="17" t="n"/>
      <c r="AC2485" s="24">
        <f>IF($G2485="","",IF($H2485="※编码不在物料档案里","※物料编码不在档案里",IF(N($K2485)&lt;=0,"※入库数量要大于 0",IF(AND($C2485&lt;&gt;"",$C2485&lt;=结账锁),"※日期早于已结账截止日，不能再录",IF(AND($L2485=0,$X2485="正常"),"※没填单价，价格状态请选「待补价」",IF(AND($S2485&gt;0,$R2485&gt;0),"△本批有 "&amp;$S2485&amp;" 行没单价，整批运费先挂账没摊",IF(AND($B2485&lt;&gt;"",COUNTIF($B$4:$B$2503,$B2485)&gt;1),"※入库单号重复","")))))))</f>
        <v/>
      </c>
    </row>
    <row r="2486">
      <c r="A2486" s="24">
        <f>IF($G2486="","",COUNTA($G$4:$G2486))</f>
        <v/>
      </c>
      <c r="B2486" s="17" t="n"/>
      <c r="C2486" s="30" t="n"/>
      <c r="D2486" s="17" t="n"/>
      <c r="E2486" s="17" t="n"/>
      <c r="F2486" s="17" t="n"/>
      <c r="G2486" s="17" t="n"/>
      <c r="H2486" s="24">
        <f>IF($G2486="","",IFERROR(VLOOKUP($G2486,物料档案!$A$4:$P$1203,3,0),"※编码不在物料档案里"))</f>
        <v/>
      </c>
      <c r="I2486" s="24">
        <f>IF($G2486="","",IFERROR(VLOOKUP($G2486,物料档案!$A$4:$P$1203,4,0),"※编码不在物料档案里"))</f>
        <v/>
      </c>
      <c r="J2486" s="24">
        <f>IF($G2486="","",IFERROR(VLOOKUP($G2486,物料档案!$A$4:$P$1203,5,0),"※编码不在物料档案里"))</f>
        <v/>
      </c>
      <c r="K2486" s="23" t="n"/>
      <c r="L2486" s="31" t="n"/>
      <c r="M2486" s="24">
        <f>IF($G2486="","",IF($D2486="A国内","CNY","TZS"))</f>
        <v/>
      </c>
      <c r="N2486" s="28">
        <f>IF($G2486="","",IF($D2486="A国内",汇率,1))</f>
        <v/>
      </c>
      <c r="O2486" s="25">
        <f>IF($G2486="","",ROUND(N($K2486)*N($L2486),2))</f>
        <v/>
      </c>
      <c r="P2486" s="26">
        <f>IF($G2486="","",ROUND($O2486*$N2486,0))</f>
        <v/>
      </c>
      <c r="Q2486" s="26">
        <f>IF($G2486="","",SUMIFS($P$4:$P$2503,$E$4:$E$2503,$E2486,$Z$4:$Z$2503,"正常"))</f>
        <v/>
      </c>
      <c r="R2486" s="26">
        <f>IF($G2486="","",SUMIFS(费用台账!$I$4:$I$503,费用台账!$C$4:$C$503,$E2486,费用台账!$J$4:$J$503,"是",费用台账!$K$4:$K$503,"正常"))</f>
        <v/>
      </c>
      <c r="S2486" s="28">
        <f>IF($G2486="","",COUNTIFS($E$4:$E$2503,$E2486,$Z$4:$Z$2503,"正常",$Y$4:$Y$2503,"待补价"))</f>
        <v/>
      </c>
      <c r="T2486" s="26">
        <f>IF($G2486="","",SUMIFS($P$4:$P$2503,$E$4:$E$2503,$E2486,$Z$4:$Z$2503,"正常",$A$4:$A$2503,"&lt;="&amp;$A2486))</f>
        <v/>
      </c>
      <c r="U2486" s="26">
        <f>IF($G2486="","",IF(OR($S2486&gt;0,$Q2486=0,$R2486=0,$Z2486&lt;&gt;"正常"),0,ROUND($T2486/$Q2486*$R2486,0)-ROUND(($T2486-$P2486)/$Q2486*$R2486,0)))</f>
        <v/>
      </c>
      <c r="V2486" s="26">
        <f>IF($G2486="","",ROUND($P2486+$U2486,0))</f>
        <v/>
      </c>
      <c r="W2486" s="26">
        <f>IF($G2486="","",IF(N($K2486)=0,0,ROUND($V2486/$K2486,2)))</f>
        <v/>
      </c>
      <c r="X2486" s="17" t="n"/>
      <c r="Y2486" s="17" t="n"/>
      <c r="Z2486" s="17" t="n"/>
      <c r="AA2486" s="17" t="n"/>
      <c r="AB2486" s="17" t="n"/>
      <c r="AC2486" s="24">
        <f>IF($G2486="","",IF($H2486="※编码不在物料档案里","※物料编码不在档案里",IF(N($K2486)&lt;=0,"※入库数量要大于 0",IF(AND($C2486&lt;&gt;"",$C2486&lt;=结账锁),"※日期早于已结账截止日，不能再录",IF(AND($L2486=0,$X2486="正常"),"※没填单价，价格状态请选「待补价」",IF(AND($S2486&gt;0,$R2486&gt;0),"△本批有 "&amp;$S2486&amp;" 行没单价，整批运费先挂账没摊",IF(AND($B2486&lt;&gt;"",COUNTIF($B$4:$B$2503,$B2486)&gt;1),"※入库单号重复","")))))))</f>
        <v/>
      </c>
    </row>
    <row r="2487">
      <c r="A2487" s="24">
        <f>IF($G2487="","",COUNTA($G$4:$G2487))</f>
        <v/>
      </c>
      <c r="B2487" s="17" t="n"/>
      <c r="C2487" s="30" t="n"/>
      <c r="D2487" s="17" t="n"/>
      <c r="E2487" s="17" t="n"/>
      <c r="F2487" s="17" t="n"/>
      <c r="G2487" s="17" t="n"/>
      <c r="H2487" s="24">
        <f>IF($G2487="","",IFERROR(VLOOKUP($G2487,物料档案!$A$4:$P$1203,3,0),"※编码不在物料档案里"))</f>
        <v/>
      </c>
      <c r="I2487" s="24">
        <f>IF($G2487="","",IFERROR(VLOOKUP($G2487,物料档案!$A$4:$P$1203,4,0),"※编码不在物料档案里"))</f>
        <v/>
      </c>
      <c r="J2487" s="24">
        <f>IF($G2487="","",IFERROR(VLOOKUP($G2487,物料档案!$A$4:$P$1203,5,0),"※编码不在物料档案里"))</f>
        <v/>
      </c>
      <c r="K2487" s="23" t="n"/>
      <c r="L2487" s="31" t="n"/>
      <c r="M2487" s="24">
        <f>IF($G2487="","",IF($D2487="A国内","CNY","TZS"))</f>
        <v/>
      </c>
      <c r="N2487" s="28">
        <f>IF($G2487="","",IF($D2487="A国内",汇率,1))</f>
        <v/>
      </c>
      <c r="O2487" s="25">
        <f>IF($G2487="","",ROUND(N($K2487)*N($L2487),2))</f>
        <v/>
      </c>
      <c r="P2487" s="26">
        <f>IF($G2487="","",ROUND($O2487*$N2487,0))</f>
        <v/>
      </c>
      <c r="Q2487" s="26">
        <f>IF($G2487="","",SUMIFS($P$4:$P$2503,$E$4:$E$2503,$E2487,$Z$4:$Z$2503,"正常"))</f>
        <v/>
      </c>
      <c r="R2487" s="26">
        <f>IF($G2487="","",SUMIFS(费用台账!$I$4:$I$503,费用台账!$C$4:$C$503,$E2487,费用台账!$J$4:$J$503,"是",费用台账!$K$4:$K$503,"正常"))</f>
        <v/>
      </c>
      <c r="S2487" s="28">
        <f>IF($G2487="","",COUNTIFS($E$4:$E$2503,$E2487,$Z$4:$Z$2503,"正常",$Y$4:$Y$2503,"待补价"))</f>
        <v/>
      </c>
      <c r="T2487" s="26">
        <f>IF($G2487="","",SUMIFS($P$4:$P$2503,$E$4:$E$2503,$E2487,$Z$4:$Z$2503,"正常",$A$4:$A$2503,"&lt;="&amp;$A2487))</f>
        <v/>
      </c>
      <c r="U2487" s="26">
        <f>IF($G2487="","",IF(OR($S2487&gt;0,$Q2487=0,$R2487=0,$Z2487&lt;&gt;"正常"),0,ROUND($T2487/$Q2487*$R2487,0)-ROUND(($T2487-$P2487)/$Q2487*$R2487,0)))</f>
        <v/>
      </c>
      <c r="V2487" s="26">
        <f>IF($G2487="","",ROUND($P2487+$U2487,0))</f>
        <v/>
      </c>
      <c r="W2487" s="26">
        <f>IF($G2487="","",IF(N($K2487)=0,0,ROUND($V2487/$K2487,2)))</f>
        <v/>
      </c>
      <c r="X2487" s="17" t="n"/>
      <c r="Y2487" s="17" t="n"/>
      <c r="Z2487" s="17" t="n"/>
      <c r="AA2487" s="17" t="n"/>
      <c r="AB2487" s="17" t="n"/>
      <c r="AC2487" s="24">
        <f>IF($G2487="","",IF($H2487="※编码不在物料档案里","※物料编码不在档案里",IF(N($K2487)&lt;=0,"※入库数量要大于 0",IF(AND($C2487&lt;&gt;"",$C2487&lt;=结账锁),"※日期早于已结账截止日，不能再录",IF(AND($L2487=0,$X2487="正常"),"※没填单价，价格状态请选「待补价」",IF(AND($S2487&gt;0,$R2487&gt;0),"△本批有 "&amp;$S2487&amp;" 行没单价，整批运费先挂账没摊",IF(AND($B2487&lt;&gt;"",COUNTIF($B$4:$B$2503,$B2487)&gt;1),"※入库单号重复","")))))))</f>
        <v/>
      </c>
    </row>
    <row r="2488">
      <c r="A2488" s="24">
        <f>IF($G2488="","",COUNTA($G$4:$G2488))</f>
        <v/>
      </c>
      <c r="B2488" s="17" t="n"/>
      <c r="C2488" s="30" t="n"/>
      <c r="D2488" s="17" t="n"/>
      <c r="E2488" s="17" t="n"/>
      <c r="F2488" s="17" t="n"/>
      <c r="G2488" s="17" t="n"/>
      <c r="H2488" s="24">
        <f>IF($G2488="","",IFERROR(VLOOKUP($G2488,物料档案!$A$4:$P$1203,3,0),"※编码不在物料档案里"))</f>
        <v/>
      </c>
      <c r="I2488" s="24">
        <f>IF($G2488="","",IFERROR(VLOOKUP($G2488,物料档案!$A$4:$P$1203,4,0),"※编码不在物料档案里"))</f>
        <v/>
      </c>
      <c r="J2488" s="24">
        <f>IF($G2488="","",IFERROR(VLOOKUP($G2488,物料档案!$A$4:$P$1203,5,0),"※编码不在物料档案里"))</f>
        <v/>
      </c>
      <c r="K2488" s="23" t="n"/>
      <c r="L2488" s="31" t="n"/>
      <c r="M2488" s="24">
        <f>IF($G2488="","",IF($D2488="A国内","CNY","TZS"))</f>
        <v/>
      </c>
      <c r="N2488" s="28">
        <f>IF($G2488="","",IF($D2488="A国内",汇率,1))</f>
        <v/>
      </c>
      <c r="O2488" s="25">
        <f>IF($G2488="","",ROUND(N($K2488)*N($L2488),2))</f>
        <v/>
      </c>
      <c r="P2488" s="26">
        <f>IF($G2488="","",ROUND($O2488*$N2488,0))</f>
        <v/>
      </c>
      <c r="Q2488" s="26">
        <f>IF($G2488="","",SUMIFS($P$4:$P$2503,$E$4:$E$2503,$E2488,$Z$4:$Z$2503,"正常"))</f>
        <v/>
      </c>
      <c r="R2488" s="26">
        <f>IF($G2488="","",SUMIFS(费用台账!$I$4:$I$503,费用台账!$C$4:$C$503,$E2488,费用台账!$J$4:$J$503,"是",费用台账!$K$4:$K$503,"正常"))</f>
        <v/>
      </c>
      <c r="S2488" s="28">
        <f>IF($G2488="","",COUNTIFS($E$4:$E$2503,$E2488,$Z$4:$Z$2503,"正常",$Y$4:$Y$2503,"待补价"))</f>
        <v/>
      </c>
      <c r="T2488" s="26">
        <f>IF($G2488="","",SUMIFS($P$4:$P$2503,$E$4:$E$2503,$E2488,$Z$4:$Z$2503,"正常",$A$4:$A$2503,"&lt;="&amp;$A2488))</f>
        <v/>
      </c>
      <c r="U2488" s="26">
        <f>IF($G2488="","",IF(OR($S2488&gt;0,$Q2488=0,$R2488=0,$Z2488&lt;&gt;"正常"),0,ROUND($T2488/$Q2488*$R2488,0)-ROUND(($T2488-$P2488)/$Q2488*$R2488,0)))</f>
        <v/>
      </c>
      <c r="V2488" s="26">
        <f>IF($G2488="","",ROUND($P2488+$U2488,0))</f>
        <v/>
      </c>
      <c r="W2488" s="26">
        <f>IF($G2488="","",IF(N($K2488)=0,0,ROUND($V2488/$K2488,2)))</f>
        <v/>
      </c>
      <c r="X2488" s="17" t="n"/>
      <c r="Y2488" s="17" t="n"/>
      <c r="Z2488" s="17" t="n"/>
      <c r="AA2488" s="17" t="n"/>
      <c r="AB2488" s="17" t="n"/>
      <c r="AC2488" s="24">
        <f>IF($G2488="","",IF($H2488="※编码不在物料档案里","※物料编码不在档案里",IF(N($K2488)&lt;=0,"※入库数量要大于 0",IF(AND($C2488&lt;&gt;"",$C2488&lt;=结账锁),"※日期早于已结账截止日，不能再录",IF(AND($L2488=0,$X2488="正常"),"※没填单价，价格状态请选「待补价」",IF(AND($S2488&gt;0,$R2488&gt;0),"△本批有 "&amp;$S2488&amp;" 行没单价，整批运费先挂账没摊",IF(AND($B2488&lt;&gt;"",COUNTIF($B$4:$B$2503,$B2488)&gt;1),"※入库单号重复","")))))))</f>
        <v/>
      </c>
    </row>
    <row r="2489">
      <c r="A2489" s="24">
        <f>IF($G2489="","",COUNTA($G$4:$G2489))</f>
        <v/>
      </c>
      <c r="B2489" s="17" t="n"/>
      <c r="C2489" s="30" t="n"/>
      <c r="D2489" s="17" t="n"/>
      <c r="E2489" s="17" t="n"/>
      <c r="F2489" s="17" t="n"/>
      <c r="G2489" s="17" t="n"/>
      <c r="H2489" s="24">
        <f>IF($G2489="","",IFERROR(VLOOKUP($G2489,物料档案!$A$4:$P$1203,3,0),"※编码不在物料档案里"))</f>
        <v/>
      </c>
      <c r="I2489" s="24">
        <f>IF($G2489="","",IFERROR(VLOOKUP($G2489,物料档案!$A$4:$P$1203,4,0),"※编码不在物料档案里"))</f>
        <v/>
      </c>
      <c r="J2489" s="24">
        <f>IF($G2489="","",IFERROR(VLOOKUP($G2489,物料档案!$A$4:$P$1203,5,0),"※编码不在物料档案里"))</f>
        <v/>
      </c>
      <c r="K2489" s="23" t="n"/>
      <c r="L2489" s="31" t="n"/>
      <c r="M2489" s="24">
        <f>IF($G2489="","",IF($D2489="A国内","CNY","TZS"))</f>
        <v/>
      </c>
      <c r="N2489" s="28">
        <f>IF($G2489="","",IF($D2489="A国内",汇率,1))</f>
        <v/>
      </c>
      <c r="O2489" s="25">
        <f>IF($G2489="","",ROUND(N($K2489)*N($L2489),2))</f>
        <v/>
      </c>
      <c r="P2489" s="26">
        <f>IF($G2489="","",ROUND($O2489*$N2489,0))</f>
        <v/>
      </c>
      <c r="Q2489" s="26">
        <f>IF($G2489="","",SUMIFS($P$4:$P$2503,$E$4:$E$2503,$E2489,$Z$4:$Z$2503,"正常"))</f>
        <v/>
      </c>
      <c r="R2489" s="26">
        <f>IF($G2489="","",SUMIFS(费用台账!$I$4:$I$503,费用台账!$C$4:$C$503,$E2489,费用台账!$J$4:$J$503,"是",费用台账!$K$4:$K$503,"正常"))</f>
        <v/>
      </c>
      <c r="S2489" s="28">
        <f>IF($G2489="","",COUNTIFS($E$4:$E$2503,$E2489,$Z$4:$Z$2503,"正常",$Y$4:$Y$2503,"待补价"))</f>
        <v/>
      </c>
      <c r="T2489" s="26">
        <f>IF($G2489="","",SUMIFS($P$4:$P$2503,$E$4:$E$2503,$E2489,$Z$4:$Z$2503,"正常",$A$4:$A$2503,"&lt;="&amp;$A2489))</f>
        <v/>
      </c>
      <c r="U2489" s="26">
        <f>IF($G2489="","",IF(OR($S2489&gt;0,$Q2489=0,$R2489=0,$Z2489&lt;&gt;"正常"),0,ROUND($T2489/$Q2489*$R2489,0)-ROUND(($T2489-$P2489)/$Q2489*$R2489,0)))</f>
        <v/>
      </c>
      <c r="V2489" s="26">
        <f>IF($G2489="","",ROUND($P2489+$U2489,0))</f>
        <v/>
      </c>
      <c r="W2489" s="26">
        <f>IF($G2489="","",IF(N($K2489)=0,0,ROUND($V2489/$K2489,2)))</f>
        <v/>
      </c>
      <c r="X2489" s="17" t="n"/>
      <c r="Y2489" s="17" t="n"/>
      <c r="Z2489" s="17" t="n"/>
      <c r="AA2489" s="17" t="n"/>
      <c r="AB2489" s="17" t="n"/>
      <c r="AC2489" s="24">
        <f>IF($G2489="","",IF($H2489="※编码不在物料档案里","※物料编码不在档案里",IF(N($K2489)&lt;=0,"※入库数量要大于 0",IF(AND($C2489&lt;&gt;"",$C2489&lt;=结账锁),"※日期早于已结账截止日，不能再录",IF(AND($L2489=0,$X2489="正常"),"※没填单价，价格状态请选「待补价」",IF(AND($S2489&gt;0,$R2489&gt;0),"△本批有 "&amp;$S2489&amp;" 行没单价，整批运费先挂账没摊",IF(AND($B2489&lt;&gt;"",COUNTIF($B$4:$B$2503,$B2489)&gt;1),"※入库单号重复","")))))))</f>
        <v/>
      </c>
    </row>
    <row r="2490">
      <c r="A2490" s="24">
        <f>IF($G2490="","",COUNTA($G$4:$G2490))</f>
        <v/>
      </c>
      <c r="B2490" s="17" t="n"/>
      <c r="C2490" s="30" t="n"/>
      <c r="D2490" s="17" t="n"/>
      <c r="E2490" s="17" t="n"/>
      <c r="F2490" s="17" t="n"/>
      <c r="G2490" s="17" t="n"/>
      <c r="H2490" s="24">
        <f>IF($G2490="","",IFERROR(VLOOKUP($G2490,物料档案!$A$4:$P$1203,3,0),"※编码不在物料档案里"))</f>
        <v/>
      </c>
      <c r="I2490" s="24">
        <f>IF($G2490="","",IFERROR(VLOOKUP($G2490,物料档案!$A$4:$P$1203,4,0),"※编码不在物料档案里"))</f>
        <v/>
      </c>
      <c r="J2490" s="24">
        <f>IF($G2490="","",IFERROR(VLOOKUP($G2490,物料档案!$A$4:$P$1203,5,0),"※编码不在物料档案里"))</f>
        <v/>
      </c>
      <c r="K2490" s="23" t="n"/>
      <c r="L2490" s="31" t="n"/>
      <c r="M2490" s="24">
        <f>IF($G2490="","",IF($D2490="A国内","CNY","TZS"))</f>
        <v/>
      </c>
      <c r="N2490" s="28">
        <f>IF($G2490="","",IF($D2490="A国内",汇率,1))</f>
        <v/>
      </c>
      <c r="O2490" s="25">
        <f>IF($G2490="","",ROUND(N($K2490)*N($L2490),2))</f>
        <v/>
      </c>
      <c r="P2490" s="26">
        <f>IF($G2490="","",ROUND($O2490*$N2490,0))</f>
        <v/>
      </c>
      <c r="Q2490" s="26">
        <f>IF($G2490="","",SUMIFS($P$4:$P$2503,$E$4:$E$2503,$E2490,$Z$4:$Z$2503,"正常"))</f>
        <v/>
      </c>
      <c r="R2490" s="26">
        <f>IF($G2490="","",SUMIFS(费用台账!$I$4:$I$503,费用台账!$C$4:$C$503,$E2490,费用台账!$J$4:$J$503,"是",费用台账!$K$4:$K$503,"正常"))</f>
        <v/>
      </c>
      <c r="S2490" s="28">
        <f>IF($G2490="","",COUNTIFS($E$4:$E$2503,$E2490,$Z$4:$Z$2503,"正常",$Y$4:$Y$2503,"待补价"))</f>
        <v/>
      </c>
      <c r="T2490" s="26">
        <f>IF($G2490="","",SUMIFS($P$4:$P$2503,$E$4:$E$2503,$E2490,$Z$4:$Z$2503,"正常",$A$4:$A$2503,"&lt;="&amp;$A2490))</f>
        <v/>
      </c>
      <c r="U2490" s="26">
        <f>IF($G2490="","",IF(OR($S2490&gt;0,$Q2490=0,$R2490=0,$Z2490&lt;&gt;"正常"),0,ROUND($T2490/$Q2490*$R2490,0)-ROUND(($T2490-$P2490)/$Q2490*$R2490,0)))</f>
        <v/>
      </c>
      <c r="V2490" s="26">
        <f>IF($G2490="","",ROUND($P2490+$U2490,0))</f>
        <v/>
      </c>
      <c r="W2490" s="26">
        <f>IF($G2490="","",IF(N($K2490)=0,0,ROUND($V2490/$K2490,2)))</f>
        <v/>
      </c>
      <c r="X2490" s="17" t="n"/>
      <c r="Y2490" s="17" t="n"/>
      <c r="Z2490" s="17" t="n"/>
      <c r="AA2490" s="17" t="n"/>
      <c r="AB2490" s="17" t="n"/>
      <c r="AC2490" s="24">
        <f>IF($G2490="","",IF($H2490="※编码不在物料档案里","※物料编码不在档案里",IF(N($K2490)&lt;=0,"※入库数量要大于 0",IF(AND($C2490&lt;&gt;"",$C2490&lt;=结账锁),"※日期早于已结账截止日，不能再录",IF(AND($L2490=0,$X2490="正常"),"※没填单价，价格状态请选「待补价」",IF(AND($S2490&gt;0,$R2490&gt;0),"△本批有 "&amp;$S2490&amp;" 行没单价，整批运费先挂账没摊",IF(AND($B2490&lt;&gt;"",COUNTIF($B$4:$B$2503,$B2490)&gt;1),"※入库单号重复","")))))))</f>
        <v/>
      </c>
    </row>
    <row r="2491">
      <c r="A2491" s="24">
        <f>IF($G2491="","",COUNTA($G$4:$G2491))</f>
        <v/>
      </c>
      <c r="B2491" s="17" t="n"/>
      <c r="C2491" s="30" t="n"/>
      <c r="D2491" s="17" t="n"/>
      <c r="E2491" s="17" t="n"/>
      <c r="F2491" s="17" t="n"/>
      <c r="G2491" s="17" t="n"/>
      <c r="H2491" s="24">
        <f>IF($G2491="","",IFERROR(VLOOKUP($G2491,物料档案!$A$4:$P$1203,3,0),"※编码不在物料档案里"))</f>
        <v/>
      </c>
      <c r="I2491" s="24">
        <f>IF($G2491="","",IFERROR(VLOOKUP($G2491,物料档案!$A$4:$P$1203,4,0),"※编码不在物料档案里"))</f>
        <v/>
      </c>
      <c r="J2491" s="24">
        <f>IF($G2491="","",IFERROR(VLOOKUP($G2491,物料档案!$A$4:$P$1203,5,0),"※编码不在物料档案里"))</f>
        <v/>
      </c>
      <c r="K2491" s="23" t="n"/>
      <c r="L2491" s="31" t="n"/>
      <c r="M2491" s="24">
        <f>IF($G2491="","",IF($D2491="A国内","CNY","TZS"))</f>
        <v/>
      </c>
      <c r="N2491" s="28">
        <f>IF($G2491="","",IF($D2491="A国内",汇率,1))</f>
        <v/>
      </c>
      <c r="O2491" s="25">
        <f>IF($G2491="","",ROUND(N($K2491)*N($L2491),2))</f>
        <v/>
      </c>
      <c r="P2491" s="26">
        <f>IF($G2491="","",ROUND($O2491*$N2491,0))</f>
        <v/>
      </c>
      <c r="Q2491" s="26">
        <f>IF($G2491="","",SUMIFS($P$4:$P$2503,$E$4:$E$2503,$E2491,$Z$4:$Z$2503,"正常"))</f>
        <v/>
      </c>
      <c r="R2491" s="26">
        <f>IF($G2491="","",SUMIFS(费用台账!$I$4:$I$503,费用台账!$C$4:$C$503,$E2491,费用台账!$J$4:$J$503,"是",费用台账!$K$4:$K$503,"正常"))</f>
        <v/>
      </c>
      <c r="S2491" s="28">
        <f>IF($G2491="","",COUNTIFS($E$4:$E$2503,$E2491,$Z$4:$Z$2503,"正常",$Y$4:$Y$2503,"待补价"))</f>
        <v/>
      </c>
      <c r="T2491" s="26">
        <f>IF($G2491="","",SUMIFS($P$4:$P$2503,$E$4:$E$2503,$E2491,$Z$4:$Z$2503,"正常",$A$4:$A$2503,"&lt;="&amp;$A2491))</f>
        <v/>
      </c>
      <c r="U2491" s="26">
        <f>IF($G2491="","",IF(OR($S2491&gt;0,$Q2491=0,$R2491=0,$Z2491&lt;&gt;"正常"),0,ROUND($T2491/$Q2491*$R2491,0)-ROUND(($T2491-$P2491)/$Q2491*$R2491,0)))</f>
        <v/>
      </c>
      <c r="V2491" s="26">
        <f>IF($G2491="","",ROUND($P2491+$U2491,0))</f>
        <v/>
      </c>
      <c r="W2491" s="26">
        <f>IF($G2491="","",IF(N($K2491)=0,0,ROUND($V2491/$K2491,2)))</f>
        <v/>
      </c>
      <c r="X2491" s="17" t="n"/>
      <c r="Y2491" s="17" t="n"/>
      <c r="Z2491" s="17" t="n"/>
      <c r="AA2491" s="17" t="n"/>
      <c r="AB2491" s="17" t="n"/>
      <c r="AC2491" s="24">
        <f>IF($G2491="","",IF($H2491="※编码不在物料档案里","※物料编码不在档案里",IF(N($K2491)&lt;=0,"※入库数量要大于 0",IF(AND($C2491&lt;&gt;"",$C2491&lt;=结账锁),"※日期早于已结账截止日，不能再录",IF(AND($L2491=0,$X2491="正常"),"※没填单价，价格状态请选「待补价」",IF(AND($S2491&gt;0,$R2491&gt;0),"△本批有 "&amp;$S2491&amp;" 行没单价，整批运费先挂账没摊",IF(AND($B2491&lt;&gt;"",COUNTIF($B$4:$B$2503,$B2491)&gt;1),"※入库单号重复","")))))))</f>
        <v/>
      </c>
    </row>
    <row r="2492">
      <c r="A2492" s="24">
        <f>IF($G2492="","",COUNTA($G$4:$G2492))</f>
        <v/>
      </c>
      <c r="B2492" s="17" t="n"/>
      <c r="C2492" s="30" t="n"/>
      <c r="D2492" s="17" t="n"/>
      <c r="E2492" s="17" t="n"/>
      <c r="F2492" s="17" t="n"/>
      <c r="G2492" s="17" t="n"/>
      <c r="H2492" s="24">
        <f>IF($G2492="","",IFERROR(VLOOKUP($G2492,物料档案!$A$4:$P$1203,3,0),"※编码不在物料档案里"))</f>
        <v/>
      </c>
      <c r="I2492" s="24">
        <f>IF($G2492="","",IFERROR(VLOOKUP($G2492,物料档案!$A$4:$P$1203,4,0),"※编码不在物料档案里"))</f>
        <v/>
      </c>
      <c r="J2492" s="24">
        <f>IF($G2492="","",IFERROR(VLOOKUP($G2492,物料档案!$A$4:$P$1203,5,0),"※编码不在物料档案里"))</f>
        <v/>
      </c>
      <c r="K2492" s="23" t="n"/>
      <c r="L2492" s="31" t="n"/>
      <c r="M2492" s="24">
        <f>IF($G2492="","",IF($D2492="A国内","CNY","TZS"))</f>
        <v/>
      </c>
      <c r="N2492" s="28">
        <f>IF($G2492="","",IF($D2492="A国内",汇率,1))</f>
        <v/>
      </c>
      <c r="O2492" s="25">
        <f>IF($G2492="","",ROUND(N($K2492)*N($L2492),2))</f>
        <v/>
      </c>
      <c r="P2492" s="26">
        <f>IF($G2492="","",ROUND($O2492*$N2492,0))</f>
        <v/>
      </c>
      <c r="Q2492" s="26">
        <f>IF($G2492="","",SUMIFS($P$4:$P$2503,$E$4:$E$2503,$E2492,$Z$4:$Z$2503,"正常"))</f>
        <v/>
      </c>
      <c r="R2492" s="26">
        <f>IF($G2492="","",SUMIFS(费用台账!$I$4:$I$503,费用台账!$C$4:$C$503,$E2492,费用台账!$J$4:$J$503,"是",费用台账!$K$4:$K$503,"正常"))</f>
        <v/>
      </c>
      <c r="S2492" s="28">
        <f>IF($G2492="","",COUNTIFS($E$4:$E$2503,$E2492,$Z$4:$Z$2503,"正常",$Y$4:$Y$2503,"待补价"))</f>
        <v/>
      </c>
      <c r="T2492" s="26">
        <f>IF($G2492="","",SUMIFS($P$4:$P$2503,$E$4:$E$2503,$E2492,$Z$4:$Z$2503,"正常",$A$4:$A$2503,"&lt;="&amp;$A2492))</f>
        <v/>
      </c>
      <c r="U2492" s="26">
        <f>IF($G2492="","",IF(OR($S2492&gt;0,$Q2492=0,$R2492=0,$Z2492&lt;&gt;"正常"),0,ROUND($T2492/$Q2492*$R2492,0)-ROUND(($T2492-$P2492)/$Q2492*$R2492,0)))</f>
        <v/>
      </c>
      <c r="V2492" s="26">
        <f>IF($G2492="","",ROUND($P2492+$U2492,0))</f>
        <v/>
      </c>
      <c r="W2492" s="26">
        <f>IF($G2492="","",IF(N($K2492)=0,0,ROUND($V2492/$K2492,2)))</f>
        <v/>
      </c>
      <c r="X2492" s="17" t="n"/>
      <c r="Y2492" s="17" t="n"/>
      <c r="Z2492" s="17" t="n"/>
      <c r="AA2492" s="17" t="n"/>
      <c r="AB2492" s="17" t="n"/>
      <c r="AC2492" s="24">
        <f>IF($G2492="","",IF($H2492="※编码不在物料档案里","※物料编码不在档案里",IF(N($K2492)&lt;=0,"※入库数量要大于 0",IF(AND($C2492&lt;&gt;"",$C2492&lt;=结账锁),"※日期早于已结账截止日，不能再录",IF(AND($L2492=0,$X2492="正常"),"※没填单价，价格状态请选「待补价」",IF(AND($S2492&gt;0,$R2492&gt;0),"△本批有 "&amp;$S2492&amp;" 行没单价，整批运费先挂账没摊",IF(AND($B2492&lt;&gt;"",COUNTIF($B$4:$B$2503,$B2492)&gt;1),"※入库单号重复","")))))))</f>
        <v/>
      </c>
    </row>
    <row r="2493">
      <c r="A2493" s="24">
        <f>IF($G2493="","",COUNTA($G$4:$G2493))</f>
        <v/>
      </c>
      <c r="B2493" s="17" t="n"/>
      <c r="C2493" s="30" t="n"/>
      <c r="D2493" s="17" t="n"/>
      <c r="E2493" s="17" t="n"/>
      <c r="F2493" s="17" t="n"/>
      <c r="G2493" s="17" t="n"/>
      <c r="H2493" s="24">
        <f>IF($G2493="","",IFERROR(VLOOKUP($G2493,物料档案!$A$4:$P$1203,3,0),"※编码不在物料档案里"))</f>
        <v/>
      </c>
      <c r="I2493" s="24">
        <f>IF($G2493="","",IFERROR(VLOOKUP($G2493,物料档案!$A$4:$P$1203,4,0),"※编码不在物料档案里"))</f>
        <v/>
      </c>
      <c r="J2493" s="24">
        <f>IF($G2493="","",IFERROR(VLOOKUP($G2493,物料档案!$A$4:$P$1203,5,0),"※编码不在物料档案里"))</f>
        <v/>
      </c>
      <c r="K2493" s="23" t="n"/>
      <c r="L2493" s="31" t="n"/>
      <c r="M2493" s="24">
        <f>IF($G2493="","",IF($D2493="A国内","CNY","TZS"))</f>
        <v/>
      </c>
      <c r="N2493" s="28">
        <f>IF($G2493="","",IF($D2493="A国内",汇率,1))</f>
        <v/>
      </c>
      <c r="O2493" s="25">
        <f>IF($G2493="","",ROUND(N($K2493)*N($L2493),2))</f>
        <v/>
      </c>
      <c r="P2493" s="26">
        <f>IF($G2493="","",ROUND($O2493*$N2493,0))</f>
        <v/>
      </c>
      <c r="Q2493" s="26">
        <f>IF($G2493="","",SUMIFS($P$4:$P$2503,$E$4:$E$2503,$E2493,$Z$4:$Z$2503,"正常"))</f>
        <v/>
      </c>
      <c r="R2493" s="26">
        <f>IF($G2493="","",SUMIFS(费用台账!$I$4:$I$503,费用台账!$C$4:$C$503,$E2493,费用台账!$J$4:$J$503,"是",费用台账!$K$4:$K$503,"正常"))</f>
        <v/>
      </c>
      <c r="S2493" s="28">
        <f>IF($G2493="","",COUNTIFS($E$4:$E$2503,$E2493,$Z$4:$Z$2503,"正常",$Y$4:$Y$2503,"待补价"))</f>
        <v/>
      </c>
      <c r="T2493" s="26">
        <f>IF($G2493="","",SUMIFS($P$4:$P$2503,$E$4:$E$2503,$E2493,$Z$4:$Z$2503,"正常",$A$4:$A$2503,"&lt;="&amp;$A2493))</f>
        <v/>
      </c>
      <c r="U2493" s="26">
        <f>IF($G2493="","",IF(OR($S2493&gt;0,$Q2493=0,$R2493=0,$Z2493&lt;&gt;"正常"),0,ROUND($T2493/$Q2493*$R2493,0)-ROUND(($T2493-$P2493)/$Q2493*$R2493,0)))</f>
        <v/>
      </c>
      <c r="V2493" s="26">
        <f>IF($G2493="","",ROUND($P2493+$U2493,0))</f>
        <v/>
      </c>
      <c r="W2493" s="26">
        <f>IF($G2493="","",IF(N($K2493)=0,0,ROUND($V2493/$K2493,2)))</f>
        <v/>
      </c>
      <c r="X2493" s="17" t="n"/>
      <c r="Y2493" s="17" t="n"/>
      <c r="Z2493" s="17" t="n"/>
      <c r="AA2493" s="17" t="n"/>
      <c r="AB2493" s="17" t="n"/>
      <c r="AC2493" s="24">
        <f>IF($G2493="","",IF($H2493="※编码不在物料档案里","※物料编码不在档案里",IF(N($K2493)&lt;=0,"※入库数量要大于 0",IF(AND($C2493&lt;&gt;"",$C2493&lt;=结账锁),"※日期早于已结账截止日，不能再录",IF(AND($L2493=0,$X2493="正常"),"※没填单价，价格状态请选「待补价」",IF(AND($S2493&gt;0,$R2493&gt;0),"△本批有 "&amp;$S2493&amp;" 行没单价，整批运费先挂账没摊",IF(AND($B2493&lt;&gt;"",COUNTIF($B$4:$B$2503,$B2493)&gt;1),"※入库单号重复","")))))))</f>
        <v/>
      </c>
    </row>
    <row r="2494">
      <c r="A2494" s="24">
        <f>IF($G2494="","",COUNTA($G$4:$G2494))</f>
        <v/>
      </c>
      <c r="B2494" s="17" t="n"/>
      <c r="C2494" s="30" t="n"/>
      <c r="D2494" s="17" t="n"/>
      <c r="E2494" s="17" t="n"/>
      <c r="F2494" s="17" t="n"/>
      <c r="G2494" s="17" t="n"/>
      <c r="H2494" s="24">
        <f>IF($G2494="","",IFERROR(VLOOKUP($G2494,物料档案!$A$4:$P$1203,3,0),"※编码不在物料档案里"))</f>
        <v/>
      </c>
      <c r="I2494" s="24">
        <f>IF($G2494="","",IFERROR(VLOOKUP($G2494,物料档案!$A$4:$P$1203,4,0),"※编码不在物料档案里"))</f>
        <v/>
      </c>
      <c r="J2494" s="24">
        <f>IF($G2494="","",IFERROR(VLOOKUP($G2494,物料档案!$A$4:$P$1203,5,0),"※编码不在物料档案里"))</f>
        <v/>
      </c>
      <c r="K2494" s="23" t="n"/>
      <c r="L2494" s="31" t="n"/>
      <c r="M2494" s="24">
        <f>IF($G2494="","",IF($D2494="A国内","CNY","TZS"))</f>
        <v/>
      </c>
      <c r="N2494" s="28">
        <f>IF($G2494="","",IF($D2494="A国内",汇率,1))</f>
        <v/>
      </c>
      <c r="O2494" s="25">
        <f>IF($G2494="","",ROUND(N($K2494)*N($L2494),2))</f>
        <v/>
      </c>
      <c r="P2494" s="26">
        <f>IF($G2494="","",ROUND($O2494*$N2494,0))</f>
        <v/>
      </c>
      <c r="Q2494" s="26">
        <f>IF($G2494="","",SUMIFS($P$4:$P$2503,$E$4:$E$2503,$E2494,$Z$4:$Z$2503,"正常"))</f>
        <v/>
      </c>
      <c r="R2494" s="26">
        <f>IF($G2494="","",SUMIFS(费用台账!$I$4:$I$503,费用台账!$C$4:$C$503,$E2494,费用台账!$J$4:$J$503,"是",费用台账!$K$4:$K$503,"正常"))</f>
        <v/>
      </c>
      <c r="S2494" s="28">
        <f>IF($G2494="","",COUNTIFS($E$4:$E$2503,$E2494,$Z$4:$Z$2503,"正常",$Y$4:$Y$2503,"待补价"))</f>
        <v/>
      </c>
      <c r="T2494" s="26">
        <f>IF($G2494="","",SUMIFS($P$4:$P$2503,$E$4:$E$2503,$E2494,$Z$4:$Z$2503,"正常",$A$4:$A$2503,"&lt;="&amp;$A2494))</f>
        <v/>
      </c>
      <c r="U2494" s="26">
        <f>IF($G2494="","",IF(OR($S2494&gt;0,$Q2494=0,$R2494=0,$Z2494&lt;&gt;"正常"),0,ROUND($T2494/$Q2494*$R2494,0)-ROUND(($T2494-$P2494)/$Q2494*$R2494,0)))</f>
        <v/>
      </c>
      <c r="V2494" s="26">
        <f>IF($G2494="","",ROUND($P2494+$U2494,0))</f>
        <v/>
      </c>
      <c r="W2494" s="26">
        <f>IF($G2494="","",IF(N($K2494)=0,0,ROUND($V2494/$K2494,2)))</f>
        <v/>
      </c>
      <c r="X2494" s="17" t="n"/>
      <c r="Y2494" s="17" t="n"/>
      <c r="Z2494" s="17" t="n"/>
      <c r="AA2494" s="17" t="n"/>
      <c r="AB2494" s="17" t="n"/>
      <c r="AC2494" s="24">
        <f>IF($G2494="","",IF($H2494="※编码不在物料档案里","※物料编码不在档案里",IF(N($K2494)&lt;=0,"※入库数量要大于 0",IF(AND($C2494&lt;&gt;"",$C2494&lt;=结账锁),"※日期早于已结账截止日，不能再录",IF(AND($L2494=0,$X2494="正常"),"※没填单价，价格状态请选「待补价」",IF(AND($S2494&gt;0,$R2494&gt;0),"△本批有 "&amp;$S2494&amp;" 行没单价，整批运费先挂账没摊",IF(AND($B2494&lt;&gt;"",COUNTIF($B$4:$B$2503,$B2494)&gt;1),"※入库单号重复","")))))))</f>
        <v/>
      </c>
    </row>
    <row r="2495">
      <c r="A2495" s="24">
        <f>IF($G2495="","",COUNTA($G$4:$G2495))</f>
        <v/>
      </c>
      <c r="B2495" s="17" t="n"/>
      <c r="C2495" s="30" t="n"/>
      <c r="D2495" s="17" t="n"/>
      <c r="E2495" s="17" t="n"/>
      <c r="F2495" s="17" t="n"/>
      <c r="G2495" s="17" t="n"/>
      <c r="H2495" s="24">
        <f>IF($G2495="","",IFERROR(VLOOKUP($G2495,物料档案!$A$4:$P$1203,3,0),"※编码不在物料档案里"))</f>
        <v/>
      </c>
      <c r="I2495" s="24">
        <f>IF($G2495="","",IFERROR(VLOOKUP($G2495,物料档案!$A$4:$P$1203,4,0),"※编码不在物料档案里"))</f>
        <v/>
      </c>
      <c r="J2495" s="24">
        <f>IF($G2495="","",IFERROR(VLOOKUP($G2495,物料档案!$A$4:$P$1203,5,0),"※编码不在物料档案里"))</f>
        <v/>
      </c>
      <c r="K2495" s="23" t="n"/>
      <c r="L2495" s="31" t="n"/>
      <c r="M2495" s="24">
        <f>IF($G2495="","",IF($D2495="A国内","CNY","TZS"))</f>
        <v/>
      </c>
      <c r="N2495" s="28">
        <f>IF($G2495="","",IF($D2495="A国内",汇率,1))</f>
        <v/>
      </c>
      <c r="O2495" s="25">
        <f>IF($G2495="","",ROUND(N($K2495)*N($L2495),2))</f>
        <v/>
      </c>
      <c r="P2495" s="26">
        <f>IF($G2495="","",ROUND($O2495*$N2495,0))</f>
        <v/>
      </c>
      <c r="Q2495" s="26">
        <f>IF($G2495="","",SUMIFS($P$4:$P$2503,$E$4:$E$2503,$E2495,$Z$4:$Z$2503,"正常"))</f>
        <v/>
      </c>
      <c r="R2495" s="26">
        <f>IF($G2495="","",SUMIFS(费用台账!$I$4:$I$503,费用台账!$C$4:$C$503,$E2495,费用台账!$J$4:$J$503,"是",费用台账!$K$4:$K$503,"正常"))</f>
        <v/>
      </c>
      <c r="S2495" s="28">
        <f>IF($G2495="","",COUNTIFS($E$4:$E$2503,$E2495,$Z$4:$Z$2503,"正常",$Y$4:$Y$2503,"待补价"))</f>
        <v/>
      </c>
      <c r="T2495" s="26">
        <f>IF($G2495="","",SUMIFS($P$4:$P$2503,$E$4:$E$2503,$E2495,$Z$4:$Z$2503,"正常",$A$4:$A$2503,"&lt;="&amp;$A2495))</f>
        <v/>
      </c>
      <c r="U2495" s="26">
        <f>IF($G2495="","",IF(OR($S2495&gt;0,$Q2495=0,$R2495=0,$Z2495&lt;&gt;"正常"),0,ROUND($T2495/$Q2495*$R2495,0)-ROUND(($T2495-$P2495)/$Q2495*$R2495,0)))</f>
        <v/>
      </c>
      <c r="V2495" s="26">
        <f>IF($G2495="","",ROUND($P2495+$U2495,0))</f>
        <v/>
      </c>
      <c r="W2495" s="26">
        <f>IF($G2495="","",IF(N($K2495)=0,0,ROUND($V2495/$K2495,2)))</f>
        <v/>
      </c>
      <c r="X2495" s="17" t="n"/>
      <c r="Y2495" s="17" t="n"/>
      <c r="Z2495" s="17" t="n"/>
      <c r="AA2495" s="17" t="n"/>
      <c r="AB2495" s="17" t="n"/>
      <c r="AC2495" s="24">
        <f>IF($G2495="","",IF($H2495="※编码不在物料档案里","※物料编码不在档案里",IF(N($K2495)&lt;=0,"※入库数量要大于 0",IF(AND($C2495&lt;&gt;"",$C2495&lt;=结账锁),"※日期早于已结账截止日，不能再录",IF(AND($L2495=0,$X2495="正常"),"※没填单价，价格状态请选「待补价」",IF(AND($S2495&gt;0,$R2495&gt;0),"△本批有 "&amp;$S2495&amp;" 行没单价，整批运费先挂账没摊",IF(AND($B2495&lt;&gt;"",COUNTIF($B$4:$B$2503,$B2495)&gt;1),"※入库单号重复","")))))))</f>
        <v/>
      </c>
    </row>
    <row r="2496">
      <c r="A2496" s="24">
        <f>IF($G2496="","",COUNTA($G$4:$G2496))</f>
        <v/>
      </c>
      <c r="B2496" s="17" t="n"/>
      <c r="C2496" s="30" t="n"/>
      <c r="D2496" s="17" t="n"/>
      <c r="E2496" s="17" t="n"/>
      <c r="F2496" s="17" t="n"/>
      <c r="G2496" s="17" t="n"/>
      <c r="H2496" s="24">
        <f>IF($G2496="","",IFERROR(VLOOKUP($G2496,物料档案!$A$4:$P$1203,3,0),"※编码不在物料档案里"))</f>
        <v/>
      </c>
      <c r="I2496" s="24">
        <f>IF($G2496="","",IFERROR(VLOOKUP($G2496,物料档案!$A$4:$P$1203,4,0),"※编码不在物料档案里"))</f>
        <v/>
      </c>
      <c r="J2496" s="24">
        <f>IF($G2496="","",IFERROR(VLOOKUP($G2496,物料档案!$A$4:$P$1203,5,0),"※编码不在物料档案里"))</f>
        <v/>
      </c>
      <c r="K2496" s="23" t="n"/>
      <c r="L2496" s="31" t="n"/>
      <c r="M2496" s="24">
        <f>IF($G2496="","",IF($D2496="A国内","CNY","TZS"))</f>
        <v/>
      </c>
      <c r="N2496" s="28">
        <f>IF($G2496="","",IF($D2496="A国内",汇率,1))</f>
        <v/>
      </c>
      <c r="O2496" s="25">
        <f>IF($G2496="","",ROUND(N($K2496)*N($L2496),2))</f>
        <v/>
      </c>
      <c r="P2496" s="26">
        <f>IF($G2496="","",ROUND($O2496*$N2496,0))</f>
        <v/>
      </c>
      <c r="Q2496" s="26">
        <f>IF($G2496="","",SUMIFS($P$4:$P$2503,$E$4:$E$2503,$E2496,$Z$4:$Z$2503,"正常"))</f>
        <v/>
      </c>
      <c r="R2496" s="26">
        <f>IF($G2496="","",SUMIFS(费用台账!$I$4:$I$503,费用台账!$C$4:$C$503,$E2496,费用台账!$J$4:$J$503,"是",费用台账!$K$4:$K$503,"正常"))</f>
        <v/>
      </c>
      <c r="S2496" s="28">
        <f>IF($G2496="","",COUNTIFS($E$4:$E$2503,$E2496,$Z$4:$Z$2503,"正常",$Y$4:$Y$2503,"待补价"))</f>
        <v/>
      </c>
      <c r="T2496" s="26">
        <f>IF($G2496="","",SUMIFS($P$4:$P$2503,$E$4:$E$2503,$E2496,$Z$4:$Z$2503,"正常",$A$4:$A$2503,"&lt;="&amp;$A2496))</f>
        <v/>
      </c>
      <c r="U2496" s="26">
        <f>IF($G2496="","",IF(OR($S2496&gt;0,$Q2496=0,$R2496=0,$Z2496&lt;&gt;"正常"),0,ROUND($T2496/$Q2496*$R2496,0)-ROUND(($T2496-$P2496)/$Q2496*$R2496,0)))</f>
        <v/>
      </c>
      <c r="V2496" s="26">
        <f>IF($G2496="","",ROUND($P2496+$U2496,0))</f>
        <v/>
      </c>
      <c r="W2496" s="26">
        <f>IF($G2496="","",IF(N($K2496)=0,0,ROUND($V2496/$K2496,2)))</f>
        <v/>
      </c>
      <c r="X2496" s="17" t="n"/>
      <c r="Y2496" s="17" t="n"/>
      <c r="Z2496" s="17" t="n"/>
      <c r="AA2496" s="17" t="n"/>
      <c r="AB2496" s="17" t="n"/>
      <c r="AC2496" s="24">
        <f>IF($G2496="","",IF($H2496="※编码不在物料档案里","※物料编码不在档案里",IF(N($K2496)&lt;=0,"※入库数量要大于 0",IF(AND($C2496&lt;&gt;"",$C2496&lt;=结账锁),"※日期早于已结账截止日，不能再录",IF(AND($L2496=0,$X2496="正常"),"※没填单价，价格状态请选「待补价」",IF(AND($S2496&gt;0,$R2496&gt;0),"△本批有 "&amp;$S2496&amp;" 行没单价，整批运费先挂账没摊",IF(AND($B2496&lt;&gt;"",COUNTIF($B$4:$B$2503,$B2496)&gt;1),"※入库单号重复","")))))))</f>
        <v/>
      </c>
    </row>
    <row r="2497">
      <c r="A2497" s="24">
        <f>IF($G2497="","",COUNTA($G$4:$G2497))</f>
        <v/>
      </c>
      <c r="B2497" s="17" t="n"/>
      <c r="C2497" s="30" t="n"/>
      <c r="D2497" s="17" t="n"/>
      <c r="E2497" s="17" t="n"/>
      <c r="F2497" s="17" t="n"/>
      <c r="G2497" s="17" t="n"/>
      <c r="H2497" s="24">
        <f>IF($G2497="","",IFERROR(VLOOKUP($G2497,物料档案!$A$4:$P$1203,3,0),"※编码不在物料档案里"))</f>
        <v/>
      </c>
      <c r="I2497" s="24">
        <f>IF($G2497="","",IFERROR(VLOOKUP($G2497,物料档案!$A$4:$P$1203,4,0),"※编码不在物料档案里"))</f>
        <v/>
      </c>
      <c r="J2497" s="24">
        <f>IF($G2497="","",IFERROR(VLOOKUP($G2497,物料档案!$A$4:$P$1203,5,0),"※编码不在物料档案里"))</f>
        <v/>
      </c>
      <c r="K2497" s="23" t="n"/>
      <c r="L2497" s="31" t="n"/>
      <c r="M2497" s="24">
        <f>IF($G2497="","",IF($D2497="A国内","CNY","TZS"))</f>
        <v/>
      </c>
      <c r="N2497" s="28">
        <f>IF($G2497="","",IF($D2497="A国内",汇率,1))</f>
        <v/>
      </c>
      <c r="O2497" s="25">
        <f>IF($G2497="","",ROUND(N($K2497)*N($L2497),2))</f>
        <v/>
      </c>
      <c r="P2497" s="26">
        <f>IF($G2497="","",ROUND($O2497*$N2497,0))</f>
        <v/>
      </c>
      <c r="Q2497" s="26">
        <f>IF($G2497="","",SUMIFS($P$4:$P$2503,$E$4:$E$2503,$E2497,$Z$4:$Z$2503,"正常"))</f>
        <v/>
      </c>
      <c r="R2497" s="26">
        <f>IF($G2497="","",SUMIFS(费用台账!$I$4:$I$503,费用台账!$C$4:$C$503,$E2497,费用台账!$J$4:$J$503,"是",费用台账!$K$4:$K$503,"正常"))</f>
        <v/>
      </c>
      <c r="S2497" s="28">
        <f>IF($G2497="","",COUNTIFS($E$4:$E$2503,$E2497,$Z$4:$Z$2503,"正常",$Y$4:$Y$2503,"待补价"))</f>
        <v/>
      </c>
      <c r="T2497" s="26">
        <f>IF($G2497="","",SUMIFS($P$4:$P$2503,$E$4:$E$2503,$E2497,$Z$4:$Z$2503,"正常",$A$4:$A$2503,"&lt;="&amp;$A2497))</f>
        <v/>
      </c>
      <c r="U2497" s="26">
        <f>IF($G2497="","",IF(OR($S2497&gt;0,$Q2497=0,$R2497=0,$Z2497&lt;&gt;"正常"),0,ROUND($T2497/$Q2497*$R2497,0)-ROUND(($T2497-$P2497)/$Q2497*$R2497,0)))</f>
        <v/>
      </c>
      <c r="V2497" s="26">
        <f>IF($G2497="","",ROUND($P2497+$U2497,0))</f>
        <v/>
      </c>
      <c r="W2497" s="26">
        <f>IF($G2497="","",IF(N($K2497)=0,0,ROUND($V2497/$K2497,2)))</f>
        <v/>
      </c>
      <c r="X2497" s="17" t="n"/>
      <c r="Y2497" s="17" t="n"/>
      <c r="Z2497" s="17" t="n"/>
      <c r="AA2497" s="17" t="n"/>
      <c r="AB2497" s="17" t="n"/>
      <c r="AC2497" s="24">
        <f>IF($G2497="","",IF($H2497="※编码不在物料档案里","※物料编码不在档案里",IF(N($K2497)&lt;=0,"※入库数量要大于 0",IF(AND($C2497&lt;&gt;"",$C2497&lt;=结账锁),"※日期早于已结账截止日，不能再录",IF(AND($L2497=0,$X2497="正常"),"※没填单价，价格状态请选「待补价」",IF(AND($S2497&gt;0,$R2497&gt;0),"△本批有 "&amp;$S2497&amp;" 行没单价，整批运费先挂账没摊",IF(AND($B2497&lt;&gt;"",COUNTIF($B$4:$B$2503,$B2497)&gt;1),"※入库单号重复","")))))))</f>
        <v/>
      </c>
    </row>
    <row r="2498">
      <c r="A2498" s="24">
        <f>IF($G2498="","",COUNTA($G$4:$G2498))</f>
        <v/>
      </c>
      <c r="B2498" s="17" t="n"/>
      <c r="C2498" s="30" t="n"/>
      <c r="D2498" s="17" t="n"/>
      <c r="E2498" s="17" t="n"/>
      <c r="F2498" s="17" t="n"/>
      <c r="G2498" s="17" t="n"/>
      <c r="H2498" s="24">
        <f>IF($G2498="","",IFERROR(VLOOKUP($G2498,物料档案!$A$4:$P$1203,3,0),"※编码不在物料档案里"))</f>
        <v/>
      </c>
      <c r="I2498" s="24">
        <f>IF($G2498="","",IFERROR(VLOOKUP($G2498,物料档案!$A$4:$P$1203,4,0),"※编码不在物料档案里"))</f>
        <v/>
      </c>
      <c r="J2498" s="24">
        <f>IF($G2498="","",IFERROR(VLOOKUP($G2498,物料档案!$A$4:$P$1203,5,0),"※编码不在物料档案里"))</f>
        <v/>
      </c>
      <c r="K2498" s="23" t="n"/>
      <c r="L2498" s="31" t="n"/>
      <c r="M2498" s="24">
        <f>IF($G2498="","",IF($D2498="A国内","CNY","TZS"))</f>
        <v/>
      </c>
      <c r="N2498" s="28">
        <f>IF($G2498="","",IF($D2498="A国内",汇率,1))</f>
        <v/>
      </c>
      <c r="O2498" s="25">
        <f>IF($G2498="","",ROUND(N($K2498)*N($L2498),2))</f>
        <v/>
      </c>
      <c r="P2498" s="26">
        <f>IF($G2498="","",ROUND($O2498*$N2498,0))</f>
        <v/>
      </c>
      <c r="Q2498" s="26">
        <f>IF($G2498="","",SUMIFS($P$4:$P$2503,$E$4:$E$2503,$E2498,$Z$4:$Z$2503,"正常"))</f>
        <v/>
      </c>
      <c r="R2498" s="26">
        <f>IF($G2498="","",SUMIFS(费用台账!$I$4:$I$503,费用台账!$C$4:$C$503,$E2498,费用台账!$J$4:$J$503,"是",费用台账!$K$4:$K$503,"正常"))</f>
        <v/>
      </c>
      <c r="S2498" s="28">
        <f>IF($G2498="","",COUNTIFS($E$4:$E$2503,$E2498,$Z$4:$Z$2503,"正常",$Y$4:$Y$2503,"待补价"))</f>
        <v/>
      </c>
      <c r="T2498" s="26">
        <f>IF($G2498="","",SUMIFS($P$4:$P$2503,$E$4:$E$2503,$E2498,$Z$4:$Z$2503,"正常",$A$4:$A$2503,"&lt;="&amp;$A2498))</f>
        <v/>
      </c>
      <c r="U2498" s="26">
        <f>IF($G2498="","",IF(OR($S2498&gt;0,$Q2498=0,$R2498=0,$Z2498&lt;&gt;"正常"),0,ROUND($T2498/$Q2498*$R2498,0)-ROUND(($T2498-$P2498)/$Q2498*$R2498,0)))</f>
        <v/>
      </c>
      <c r="V2498" s="26">
        <f>IF($G2498="","",ROUND($P2498+$U2498,0))</f>
        <v/>
      </c>
      <c r="W2498" s="26">
        <f>IF($G2498="","",IF(N($K2498)=0,0,ROUND($V2498/$K2498,2)))</f>
        <v/>
      </c>
      <c r="X2498" s="17" t="n"/>
      <c r="Y2498" s="17" t="n"/>
      <c r="Z2498" s="17" t="n"/>
      <c r="AA2498" s="17" t="n"/>
      <c r="AB2498" s="17" t="n"/>
      <c r="AC2498" s="24">
        <f>IF($G2498="","",IF($H2498="※编码不在物料档案里","※物料编码不在档案里",IF(N($K2498)&lt;=0,"※入库数量要大于 0",IF(AND($C2498&lt;&gt;"",$C2498&lt;=结账锁),"※日期早于已结账截止日，不能再录",IF(AND($L2498=0,$X2498="正常"),"※没填单价，价格状态请选「待补价」",IF(AND($S2498&gt;0,$R2498&gt;0),"△本批有 "&amp;$S2498&amp;" 行没单价，整批运费先挂账没摊",IF(AND($B2498&lt;&gt;"",COUNTIF($B$4:$B$2503,$B2498)&gt;1),"※入库单号重复","")))))))</f>
        <v/>
      </c>
    </row>
    <row r="2499">
      <c r="A2499" s="24">
        <f>IF($G2499="","",COUNTA($G$4:$G2499))</f>
        <v/>
      </c>
      <c r="B2499" s="17" t="n"/>
      <c r="C2499" s="30" t="n"/>
      <c r="D2499" s="17" t="n"/>
      <c r="E2499" s="17" t="n"/>
      <c r="F2499" s="17" t="n"/>
      <c r="G2499" s="17" t="n"/>
      <c r="H2499" s="24">
        <f>IF($G2499="","",IFERROR(VLOOKUP($G2499,物料档案!$A$4:$P$1203,3,0),"※编码不在物料档案里"))</f>
        <v/>
      </c>
      <c r="I2499" s="24">
        <f>IF($G2499="","",IFERROR(VLOOKUP($G2499,物料档案!$A$4:$P$1203,4,0),"※编码不在物料档案里"))</f>
        <v/>
      </c>
      <c r="J2499" s="24">
        <f>IF($G2499="","",IFERROR(VLOOKUP($G2499,物料档案!$A$4:$P$1203,5,0),"※编码不在物料档案里"))</f>
        <v/>
      </c>
      <c r="K2499" s="23" t="n"/>
      <c r="L2499" s="31" t="n"/>
      <c r="M2499" s="24">
        <f>IF($G2499="","",IF($D2499="A国内","CNY","TZS"))</f>
        <v/>
      </c>
      <c r="N2499" s="28">
        <f>IF($G2499="","",IF($D2499="A国内",汇率,1))</f>
        <v/>
      </c>
      <c r="O2499" s="25">
        <f>IF($G2499="","",ROUND(N($K2499)*N($L2499),2))</f>
        <v/>
      </c>
      <c r="P2499" s="26">
        <f>IF($G2499="","",ROUND($O2499*$N2499,0))</f>
        <v/>
      </c>
      <c r="Q2499" s="26">
        <f>IF($G2499="","",SUMIFS($P$4:$P$2503,$E$4:$E$2503,$E2499,$Z$4:$Z$2503,"正常"))</f>
        <v/>
      </c>
      <c r="R2499" s="26">
        <f>IF($G2499="","",SUMIFS(费用台账!$I$4:$I$503,费用台账!$C$4:$C$503,$E2499,费用台账!$J$4:$J$503,"是",费用台账!$K$4:$K$503,"正常"))</f>
        <v/>
      </c>
      <c r="S2499" s="28">
        <f>IF($G2499="","",COUNTIFS($E$4:$E$2503,$E2499,$Z$4:$Z$2503,"正常",$Y$4:$Y$2503,"待补价"))</f>
        <v/>
      </c>
      <c r="T2499" s="26">
        <f>IF($G2499="","",SUMIFS($P$4:$P$2503,$E$4:$E$2503,$E2499,$Z$4:$Z$2503,"正常",$A$4:$A$2503,"&lt;="&amp;$A2499))</f>
        <v/>
      </c>
      <c r="U2499" s="26">
        <f>IF($G2499="","",IF(OR($S2499&gt;0,$Q2499=0,$R2499=0,$Z2499&lt;&gt;"正常"),0,ROUND($T2499/$Q2499*$R2499,0)-ROUND(($T2499-$P2499)/$Q2499*$R2499,0)))</f>
        <v/>
      </c>
      <c r="V2499" s="26">
        <f>IF($G2499="","",ROUND($P2499+$U2499,0))</f>
        <v/>
      </c>
      <c r="W2499" s="26">
        <f>IF($G2499="","",IF(N($K2499)=0,0,ROUND($V2499/$K2499,2)))</f>
        <v/>
      </c>
      <c r="X2499" s="17" t="n"/>
      <c r="Y2499" s="17" t="n"/>
      <c r="Z2499" s="17" t="n"/>
      <c r="AA2499" s="17" t="n"/>
      <c r="AB2499" s="17" t="n"/>
      <c r="AC2499" s="24">
        <f>IF($G2499="","",IF($H2499="※编码不在物料档案里","※物料编码不在档案里",IF(N($K2499)&lt;=0,"※入库数量要大于 0",IF(AND($C2499&lt;&gt;"",$C2499&lt;=结账锁),"※日期早于已结账截止日，不能再录",IF(AND($L2499=0,$X2499="正常"),"※没填单价，价格状态请选「待补价」",IF(AND($S2499&gt;0,$R2499&gt;0),"△本批有 "&amp;$S2499&amp;" 行没单价，整批运费先挂账没摊",IF(AND($B2499&lt;&gt;"",COUNTIF($B$4:$B$2503,$B2499)&gt;1),"※入库单号重复","")))))))</f>
        <v/>
      </c>
    </row>
    <row r="2500">
      <c r="A2500" s="24">
        <f>IF($G2500="","",COUNTA($G$4:$G2500))</f>
        <v/>
      </c>
      <c r="B2500" s="17" t="n"/>
      <c r="C2500" s="30" t="n"/>
      <c r="D2500" s="17" t="n"/>
      <c r="E2500" s="17" t="n"/>
      <c r="F2500" s="17" t="n"/>
      <c r="G2500" s="17" t="n"/>
      <c r="H2500" s="24">
        <f>IF($G2500="","",IFERROR(VLOOKUP($G2500,物料档案!$A$4:$P$1203,3,0),"※编码不在物料档案里"))</f>
        <v/>
      </c>
      <c r="I2500" s="24">
        <f>IF($G2500="","",IFERROR(VLOOKUP($G2500,物料档案!$A$4:$P$1203,4,0),"※编码不在物料档案里"))</f>
        <v/>
      </c>
      <c r="J2500" s="24">
        <f>IF($G2500="","",IFERROR(VLOOKUP($G2500,物料档案!$A$4:$P$1203,5,0),"※编码不在物料档案里"))</f>
        <v/>
      </c>
      <c r="K2500" s="23" t="n"/>
      <c r="L2500" s="31" t="n"/>
      <c r="M2500" s="24">
        <f>IF($G2500="","",IF($D2500="A国内","CNY","TZS"))</f>
        <v/>
      </c>
      <c r="N2500" s="28">
        <f>IF($G2500="","",IF($D2500="A国内",汇率,1))</f>
        <v/>
      </c>
      <c r="O2500" s="25">
        <f>IF($G2500="","",ROUND(N($K2500)*N($L2500),2))</f>
        <v/>
      </c>
      <c r="P2500" s="26">
        <f>IF($G2500="","",ROUND($O2500*$N2500,0))</f>
        <v/>
      </c>
      <c r="Q2500" s="26">
        <f>IF($G2500="","",SUMIFS($P$4:$P$2503,$E$4:$E$2503,$E2500,$Z$4:$Z$2503,"正常"))</f>
        <v/>
      </c>
      <c r="R2500" s="26">
        <f>IF($G2500="","",SUMIFS(费用台账!$I$4:$I$503,费用台账!$C$4:$C$503,$E2500,费用台账!$J$4:$J$503,"是",费用台账!$K$4:$K$503,"正常"))</f>
        <v/>
      </c>
      <c r="S2500" s="28">
        <f>IF($G2500="","",COUNTIFS($E$4:$E$2503,$E2500,$Z$4:$Z$2503,"正常",$Y$4:$Y$2503,"待补价"))</f>
        <v/>
      </c>
      <c r="T2500" s="26">
        <f>IF($G2500="","",SUMIFS($P$4:$P$2503,$E$4:$E$2503,$E2500,$Z$4:$Z$2503,"正常",$A$4:$A$2503,"&lt;="&amp;$A2500))</f>
        <v/>
      </c>
      <c r="U2500" s="26">
        <f>IF($G2500="","",IF(OR($S2500&gt;0,$Q2500=0,$R2500=0,$Z2500&lt;&gt;"正常"),0,ROUND($T2500/$Q2500*$R2500,0)-ROUND(($T2500-$P2500)/$Q2500*$R2500,0)))</f>
        <v/>
      </c>
      <c r="V2500" s="26">
        <f>IF($G2500="","",ROUND($P2500+$U2500,0))</f>
        <v/>
      </c>
      <c r="W2500" s="26">
        <f>IF($G2500="","",IF(N($K2500)=0,0,ROUND($V2500/$K2500,2)))</f>
        <v/>
      </c>
      <c r="X2500" s="17" t="n"/>
      <c r="Y2500" s="17" t="n"/>
      <c r="Z2500" s="17" t="n"/>
      <c r="AA2500" s="17" t="n"/>
      <c r="AB2500" s="17" t="n"/>
      <c r="AC2500" s="24">
        <f>IF($G2500="","",IF($H2500="※编码不在物料档案里","※物料编码不在档案里",IF(N($K2500)&lt;=0,"※入库数量要大于 0",IF(AND($C2500&lt;&gt;"",$C2500&lt;=结账锁),"※日期早于已结账截止日，不能再录",IF(AND($L2500=0,$X2500="正常"),"※没填单价，价格状态请选「待补价」",IF(AND($S2500&gt;0,$R2500&gt;0),"△本批有 "&amp;$S2500&amp;" 行没单价，整批运费先挂账没摊",IF(AND($B2500&lt;&gt;"",COUNTIF($B$4:$B$2503,$B2500)&gt;1),"※入库单号重复","")))))))</f>
        <v/>
      </c>
    </row>
    <row r="2501">
      <c r="A2501" s="24">
        <f>IF($G2501="","",COUNTA($G$4:$G2501))</f>
        <v/>
      </c>
      <c r="B2501" s="17" t="n"/>
      <c r="C2501" s="30" t="n"/>
      <c r="D2501" s="17" t="n"/>
      <c r="E2501" s="17" t="n"/>
      <c r="F2501" s="17" t="n"/>
      <c r="G2501" s="17" t="n"/>
      <c r="H2501" s="24">
        <f>IF($G2501="","",IFERROR(VLOOKUP($G2501,物料档案!$A$4:$P$1203,3,0),"※编码不在物料档案里"))</f>
        <v/>
      </c>
      <c r="I2501" s="24">
        <f>IF($G2501="","",IFERROR(VLOOKUP($G2501,物料档案!$A$4:$P$1203,4,0),"※编码不在物料档案里"))</f>
        <v/>
      </c>
      <c r="J2501" s="24">
        <f>IF($G2501="","",IFERROR(VLOOKUP($G2501,物料档案!$A$4:$P$1203,5,0),"※编码不在物料档案里"))</f>
        <v/>
      </c>
      <c r="K2501" s="23" t="n"/>
      <c r="L2501" s="31" t="n"/>
      <c r="M2501" s="24">
        <f>IF($G2501="","",IF($D2501="A国内","CNY","TZS"))</f>
        <v/>
      </c>
      <c r="N2501" s="28">
        <f>IF($G2501="","",IF($D2501="A国内",汇率,1))</f>
        <v/>
      </c>
      <c r="O2501" s="25">
        <f>IF($G2501="","",ROUND(N($K2501)*N($L2501),2))</f>
        <v/>
      </c>
      <c r="P2501" s="26">
        <f>IF($G2501="","",ROUND($O2501*$N2501,0))</f>
        <v/>
      </c>
      <c r="Q2501" s="26">
        <f>IF($G2501="","",SUMIFS($P$4:$P$2503,$E$4:$E$2503,$E2501,$Z$4:$Z$2503,"正常"))</f>
        <v/>
      </c>
      <c r="R2501" s="26">
        <f>IF($G2501="","",SUMIFS(费用台账!$I$4:$I$503,费用台账!$C$4:$C$503,$E2501,费用台账!$J$4:$J$503,"是",费用台账!$K$4:$K$503,"正常"))</f>
        <v/>
      </c>
      <c r="S2501" s="28">
        <f>IF($G2501="","",COUNTIFS($E$4:$E$2503,$E2501,$Z$4:$Z$2503,"正常",$Y$4:$Y$2503,"待补价"))</f>
        <v/>
      </c>
      <c r="T2501" s="26">
        <f>IF($G2501="","",SUMIFS($P$4:$P$2503,$E$4:$E$2503,$E2501,$Z$4:$Z$2503,"正常",$A$4:$A$2503,"&lt;="&amp;$A2501))</f>
        <v/>
      </c>
      <c r="U2501" s="26">
        <f>IF($G2501="","",IF(OR($S2501&gt;0,$Q2501=0,$R2501=0,$Z2501&lt;&gt;"正常"),0,ROUND($T2501/$Q2501*$R2501,0)-ROUND(($T2501-$P2501)/$Q2501*$R2501,0)))</f>
        <v/>
      </c>
      <c r="V2501" s="26">
        <f>IF($G2501="","",ROUND($P2501+$U2501,0))</f>
        <v/>
      </c>
      <c r="W2501" s="26">
        <f>IF($G2501="","",IF(N($K2501)=0,0,ROUND($V2501/$K2501,2)))</f>
        <v/>
      </c>
      <c r="X2501" s="17" t="n"/>
      <c r="Y2501" s="17" t="n"/>
      <c r="Z2501" s="17" t="n"/>
      <c r="AA2501" s="17" t="n"/>
      <c r="AB2501" s="17" t="n"/>
      <c r="AC2501" s="24">
        <f>IF($G2501="","",IF($H2501="※编码不在物料档案里","※物料编码不在档案里",IF(N($K2501)&lt;=0,"※入库数量要大于 0",IF(AND($C2501&lt;&gt;"",$C2501&lt;=结账锁),"※日期早于已结账截止日，不能再录",IF(AND($L2501=0,$X2501="正常"),"※没填单价，价格状态请选「待补价」",IF(AND($S2501&gt;0,$R2501&gt;0),"△本批有 "&amp;$S2501&amp;" 行没单价，整批运费先挂账没摊",IF(AND($B2501&lt;&gt;"",COUNTIF($B$4:$B$2503,$B2501)&gt;1),"※入库单号重复","")))))))</f>
        <v/>
      </c>
    </row>
    <row r="2502">
      <c r="A2502" s="24">
        <f>IF($G2502="","",COUNTA($G$4:$G2502))</f>
        <v/>
      </c>
      <c r="B2502" s="17" t="n"/>
      <c r="C2502" s="30" t="n"/>
      <c r="D2502" s="17" t="n"/>
      <c r="E2502" s="17" t="n"/>
      <c r="F2502" s="17" t="n"/>
      <c r="G2502" s="17" t="n"/>
      <c r="H2502" s="24">
        <f>IF($G2502="","",IFERROR(VLOOKUP($G2502,物料档案!$A$4:$P$1203,3,0),"※编码不在物料档案里"))</f>
        <v/>
      </c>
      <c r="I2502" s="24">
        <f>IF($G2502="","",IFERROR(VLOOKUP($G2502,物料档案!$A$4:$P$1203,4,0),"※编码不在物料档案里"))</f>
        <v/>
      </c>
      <c r="J2502" s="24">
        <f>IF($G2502="","",IFERROR(VLOOKUP($G2502,物料档案!$A$4:$P$1203,5,0),"※编码不在物料档案里"))</f>
        <v/>
      </c>
      <c r="K2502" s="23" t="n"/>
      <c r="L2502" s="31" t="n"/>
      <c r="M2502" s="24">
        <f>IF($G2502="","",IF($D2502="A国内","CNY","TZS"))</f>
        <v/>
      </c>
      <c r="N2502" s="28">
        <f>IF($G2502="","",IF($D2502="A国内",汇率,1))</f>
        <v/>
      </c>
      <c r="O2502" s="25">
        <f>IF($G2502="","",ROUND(N($K2502)*N($L2502),2))</f>
        <v/>
      </c>
      <c r="P2502" s="26">
        <f>IF($G2502="","",ROUND($O2502*$N2502,0))</f>
        <v/>
      </c>
      <c r="Q2502" s="26">
        <f>IF($G2502="","",SUMIFS($P$4:$P$2503,$E$4:$E$2503,$E2502,$Z$4:$Z$2503,"正常"))</f>
        <v/>
      </c>
      <c r="R2502" s="26">
        <f>IF($G2502="","",SUMIFS(费用台账!$I$4:$I$503,费用台账!$C$4:$C$503,$E2502,费用台账!$J$4:$J$503,"是",费用台账!$K$4:$K$503,"正常"))</f>
        <v/>
      </c>
      <c r="S2502" s="28">
        <f>IF($G2502="","",COUNTIFS($E$4:$E$2503,$E2502,$Z$4:$Z$2503,"正常",$Y$4:$Y$2503,"待补价"))</f>
        <v/>
      </c>
      <c r="T2502" s="26">
        <f>IF($G2502="","",SUMIFS($P$4:$P$2503,$E$4:$E$2503,$E2502,$Z$4:$Z$2503,"正常",$A$4:$A$2503,"&lt;="&amp;$A2502))</f>
        <v/>
      </c>
      <c r="U2502" s="26">
        <f>IF($G2502="","",IF(OR($S2502&gt;0,$Q2502=0,$R2502=0,$Z2502&lt;&gt;"正常"),0,ROUND($T2502/$Q2502*$R2502,0)-ROUND(($T2502-$P2502)/$Q2502*$R2502,0)))</f>
        <v/>
      </c>
      <c r="V2502" s="26">
        <f>IF($G2502="","",ROUND($P2502+$U2502,0))</f>
        <v/>
      </c>
      <c r="W2502" s="26">
        <f>IF($G2502="","",IF(N($K2502)=0,0,ROUND($V2502/$K2502,2)))</f>
        <v/>
      </c>
      <c r="X2502" s="17" t="n"/>
      <c r="Y2502" s="17" t="n"/>
      <c r="Z2502" s="17" t="n"/>
      <c r="AA2502" s="17" t="n"/>
      <c r="AB2502" s="17" t="n"/>
      <c r="AC2502" s="24">
        <f>IF($G2502="","",IF($H2502="※编码不在物料档案里","※物料编码不在档案里",IF(N($K2502)&lt;=0,"※入库数量要大于 0",IF(AND($C2502&lt;&gt;"",$C2502&lt;=结账锁),"※日期早于已结账截止日，不能再录",IF(AND($L2502=0,$X2502="正常"),"※没填单价，价格状态请选「待补价」",IF(AND($S2502&gt;0,$R2502&gt;0),"△本批有 "&amp;$S2502&amp;" 行没单价，整批运费先挂账没摊",IF(AND($B2502&lt;&gt;"",COUNTIF($B$4:$B$2503,$B2502)&gt;1),"※入库单号重复","")))))))</f>
        <v/>
      </c>
    </row>
    <row r="2503">
      <c r="A2503" s="24">
        <f>IF($G2503="","",COUNTA($G$4:$G2503))</f>
        <v/>
      </c>
      <c r="B2503" s="17" t="n"/>
      <c r="C2503" s="30" t="n"/>
      <c r="D2503" s="17" t="n"/>
      <c r="E2503" s="17" t="n"/>
      <c r="F2503" s="17" t="n"/>
      <c r="G2503" s="17" t="n"/>
      <c r="H2503" s="24">
        <f>IF($G2503="","",IFERROR(VLOOKUP($G2503,物料档案!$A$4:$P$1203,3,0),"※编码不在物料档案里"))</f>
        <v/>
      </c>
      <c r="I2503" s="24">
        <f>IF($G2503="","",IFERROR(VLOOKUP($G2503,物料档案!$A$4:$P$1203,4,0),"※编码不在物料档案里"))</f>
        <v/>
      </c>
      <c r="J2503" s="24">
        <f>IF($G2503="","",IFERROR(VLOOKUP($G2503,物料档案!$A$4:$P$1203,5,0),"※编码不在物料档案里"))</f>
        <v/>
      </c>
      <c r="K2503" s="23" t="n"/>
      <c r="L2503" s="31" t="n"/>
      <c r="M2503" s="24">
        <f>IF($G2503="","",IF($D2503="A国内","CNY","TZS"))</f>
        <v/>
      </c>
      <c r="N2503" s="28">
        <f>IF($G2503="","",IF($D2503="A国内",汇率,1))</f>
        <v/>
      </c>
      <c r="O2503" s="25">
        <f>IF($G2503="","",ROUND(N($K2503)*N($L2503),2))</f>
        <v/>
      </c>
      <c r="P2503" s="26">
        <f>IF($G2503="","",ROUND($O2503*$N2503,0))</f>
        <v/>
      </c>
      <c r="Q2503" s="26">
        <f>IF($G2503="","",SUMIFS($P$4:$P$2503,$E$4:$E$2503,$E2503,$Z$4:$Z$2503,"正常"))</f>
        <v/>
      </c>
      <c r="R2503" s="26">
        <f>IF($G2503="","",SUMIFS(费用台账!$I$4:$I$503,费用台账!$C$4:$C$503,$E2503,费用台账!$J$4:$J$503,"是",费用台账!$K$4:$K$503,"正常"))</f>
        <v/>
      </c>
      <c r="S2503" s="28">
        <f>IF($G2503="","",COUNTIFS($E$4:$E$2503,$E2503,$Z$4:$Z$2503,"正常",$Y$4:$Y$2503,"待补价"))</f>
        <v/>
      </c>
      <c r="T2503" s="26">
        <f>IF($G2503="","",SUMIFS($P$4:$P$2503,$E$4:$E$2503,$E2503,$Z$4:$Z$2503,"正常",$A$4:$A$2503,"&lt;="&amp;$A2503))</f>
        <v/>
      </c>
      <c r="U2503" s="26">
        <f>IF($G2503="","",IF(OR($S2503&gt;0,$Q2503=0,$R2503=0,$Z2503&lt;&gt;"正常"),0,ROUND($T2503/$Q2503*$R2503,0)-ROUND(($T2503-$P2503)/$Q2503*$R2503,0)))</f>
        <v/>
      </c>
      <c r="V2503" s="26">
        <f>IF($G2503="","",ROUND($P2503+$U2503,0))</f>
        <v/>
      </c>
      <c r="W2503" s="26">
        <f>IF($G2503="","",IF(N($K2503)=0,0,ROUND($V2503/$K2503,2)))</f>
        <v/>
      </c>
      <c r="X2503" s="17" t="n"/>
      <c r="Y2503" s="17" t="n"/>
      <c r="Z2503" s="17" t="n"/>
      <c r="AA2503" s="17" t="n"/>
      <c r="AB2503" s="17" t="n"/>
      <c r="AC2503" s="24">
        <f>IF($G2503="","",IF($H2503="※编码不在物料档案里","※物料编码不在档案里",IF(N($K2503)&lt;=0,"※入库数量要大于 0",IF(AND($C2503&lt;&gt;"",$C2503&lt;=结账锁),"※日期早于已结账截止日，不能再录",IF(AND($L2503=0,$X2503="正常"),"※没填单价，价格状态请选「待补价」",IF(AND($S2503&gt;0,$R2503&gt;0),"△本批有 "&amp;$S2503&amp;" 行没单价，整批运费先挂账没摊",IF(AND($B2503&lt;&gt;"",COUNTIF($B$4:$B$2503,$B2503)&gt;1),"※入库单号重复","")))))))</f>
        <v/>
      </c>
    </row>
  </sheetData>
  <autoFilter ref="A3:AC2503"/>
  <mergeCells count="2">
    <mergeCell ref="A2:AC2"/>
    <mergeCell ref="A1:AC1"/>
  </mergeCells>
  <conditionalFormatting sqref="AC4:AC2503">
    <cfRule type="expression" priority="1" dxfId="1">
      <formula>LEFT(AC4,1)="※"</formula>
    </cfRule>
    <cfRule type="expression" priority="2" dxfId="2">
      <formula>LEFT(AC4,1)="△"</formula>
    </cfRule>
  </conditionalFormatting>
  <conditionalFormatting sqref="H4:H2503">
    <cfRule type="expression" priority="3" dxfId="1">
      <formula>LEFT(H4,1)="※"</formula>
    </cfRule>
    <cfRule type="expression" priority="4" dxfId="2">
      <formula>LEFT(H4,1)="△"</formula>
    </cfRule>
  </conditionalFormatting>
  <dataValidations count="6">
    <dataValidation sqref="D4:D2503" showDropDown="0" showInputMessage="0" showErrorMessage="1" allowBlank="1" errorTitle="不在名单里" error="先去【参数表】或【物料档案】把它加上。" type="list" errorStyle="stop">
      <formula1>=货源表</formula1>
    </dataValidation>
    <dataValidation sqref="G4:G2503" showDropDown="0" showInputMessage="0" showErrorMessage="1" allowBlank="1" errorTitle="不在名单里" error="先去【参数表】或【物料档案】把它加上。" type="list" errorStyle="warning">
      <formula1>=物料档案表</formula1>
    </dataValidation>
    <dataValidation sqref="X4:X2503" showDropDown="0" showInputMessage="0" showErrorMessage="1" allowBlank="1" errorTitle="不在名单里" error="先去【参数表】或【物料档案】把它加上。" type="list" errorStyle="stop">
      <formula1>=入库类型表</formula1>
    </dataValidation>
    <dataValidation sqref="Y4:Y2503" showDropDown="0" showInputMessage="0" showErrorMessage="1" allowBlank="1" errorTitle="不在名单里" error="先去【参数表】或【物料档案】把它加上。" type="list" errorStyle="stop">
      <formula1>=价格状态表</formula1>
    </dataValidation>
    <dataValidation sqref="Z4:Z2503" showDropDown="0" showInputMessage="0" showErrorMessage="1" allowBlank="1" errorTitle="不在名单里" error="先去【参数表】或【物料档案】把它加上。" type="list" errorStyle="stop">
      <formula1>"正常,作废"</formula1>
    </dataValidation>
    <dataValidation sqref="AA4:AA2503" showDropDown="0" showInputMessage="0" showErrorMessage="1" allowBlank="1" errorTitle="不在名单里" error="先去【参数表】或【物料档案】把它加上。" type="list" errorStyle="warning">
      <formula1>=人员表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W4003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4" customWidth="1" min="2" max="2"/>
    <col width="12" customWidth="1" min="3" max="3"/>
    <col width="11" customWidth="1" min="4" max="4"/>
    <col width="24" customWidth="1" min="5" max="5"/>
    <col width="24" customWidth="1" min="6" max="6"/>
    <col width="9" customWidth="1" min="7" max="7"/>
    <col width="13" customWidth="1" min="8" max="8"/>
    <col width="10" customWidth="1" min="9" max="9"/>
    <col width="12" customWidth="1" min="10" max="10"/>
    <col width="14" customWidth="1" min="11" max="11"/>
    <col width="12" customWidth="1" min="12" max="12"/>
    <col width="15" customWidth="1" min="13" max="13"/>
    <col width="10" customWidth="1" min="14" max="14"/>
    <col width="14" customWidth="1" min="15" max="15"/>
    <col width="14" customWidth="1" min="16" max="16"/>
    <col width="15" customWidth="1" min="17" max="17"/>
    <col width="14" customWidth="1" min="18" max="18"/>
    <col width="15" customWidth="1" min="19" max="19"/>
    <col width="15" customWidth="1" min="20" max="20"/>
    <col width="9" customWidth="1" min="21" max="21"/>
    <col width="24" customWidth="1" min="22" max="22"/>
    <col width="28" customWidth="1" min="23" max="23"/>
  </cols>
  <sheetData>
    <row r="1" ht="30" customHeight="1">
      <c r="A1" s="12" t="inlineStr">
        <is>
          <t>出库单 · 库管每天就开这一张</t>
        </is>
      </c>
    </row>
    <row r="2" ht="24" customHeight="1">
      <c r="A2" s="13" t="inlineStr">
        <is>
          <t>一矿区/二矿区 = 自用消耗（只出成本）；三矿区/六矿区 = 对外销售（出成本也出收入）。「去向类型」这一列是老板月报能不能分清「自己耗的」和「卖出去的」的总开关，必须填对。盘盈不在这里录，去【入库单】选「盘盈」。</t>
        </is>
      </c>
    </row>
    <row r="3" ht="34" customHeight="1">
      <c r="A3" s="29" t="inlineStr">
        <is>
          <t>序号</t>
        </is>
      </c>
      <c r="B3" s="29" t="inlineStr">
        <is>
          <t>出库单号</t>
        </is>
      </c>
      <c r="C3" s="29" t="inlineStr">
        <is>
          <t>出库日期 ★</t>
        </is>
      </c>
      <c r="D3" s="29" t="inlineStr">
        <is>
          <t>物料编码 ★</t>
        </is>
      </c>
      <c r="E3" s="29" t="inlineStr">
        <is>
          <t>品名</t>
        </is>
      </c>
      <c r="F3" s="29" t="inlineStr">
        <is>
          <t>规格型号</t>
        </is>
      </c>
      <c r="G3" s="29" t="inlineStr">
        <is>
          <t>单位</t>
        </is>
      </c>
      <c r="H3" s="29" t="inlineStr">
        <is>
          <t>大类</t>
        </is>
      </c>
      <c r="I3" s="29" t="inlineStr">
        <is>
          <t>重点物资</t>
        </is>
      </c>
      <c r="J3" s="29" t="inlineStr">
        <is>
          <t>出库数量 ★</t>
        </is>
      </c>
      <c r="K3" s="29" t="inlineStr">
        <is>
          <t>去向类型 ★</t>
        </is>
      </c>
      <c r="L3" s="29" t="inlineStr">
        <is>
          <t>去向矿区 ★</t>
        </is>
      </c>
      <c r="M3" s="29" t="inlineStr">
        <is>
          <t>领用人/设备号</t>
        </is>
      </c>
      <c r="N3" s="29" t="inlineStr">
        <is>
          <t>库管 ★</t>
        </is>
      </c>
      <c r="O3" s="29" t="inlineStr">
        <is>
          <t>建议售价·先令</t>
        </is>
      </c>
      <c r="P3" s="29" t="inlineStr">
        <is>
          <t>实际售价·先令</t>
        </is>
      </c>
      <c r="Q3" s="29" t="inlineStr">
        <is>
          <t>销售金额·先令</t>
        </is>
      </c>
      <c r="R3" s="29" t="inlineStr">
        <is>
          <t>单位成本·先令</t>
        </is>
      </c>
      <c r="S3" s="29" t="inlineStr">
        <is>
          <t>出库成本·先令</t>
        </is>
      </c>
      <c r="T3" s="29" t="inlineStr">
        <is>
          <t>毛利·先令</t>
        </is>
      </c>
      <c r="U3" s="29" t="inlineStr">
        <is>
          <t>状态</t>
        </is>
      </c>
      <c r="V3" s="29" t="inlineStr">
        <is>
          <t>备注</t>
        </is>
      </c>
      <c r="W3" s="29" t="inlineStr">
        <is>
          <t>核对</t>
        </is>
      </c>
    </row>
    <row r="4">
      <c r="A4" s="24">
        <f>IF($D4="","",COUNTA($D$4:$D4))</f>
        <v/>
      </c>
      <c r="B4" s="17" t="n"/>
      <c r="C4" s="30" t="n">
        <v>46103</v>
      </c>
      <c r="D4" s="17" t="inlineStr">
        <is>
          <t>JH0795</t>
        </is>
      </c>
      <c r="E4" s="24">
        <f>IF($D4="","",IFERROR(VLOOKUP($D4,物料档案!$A$4:$P$1203,3,0),"※编码不在物料档案里"))</f>
        <v/>
      </c>
      <c r="F4" s="24">
        <f>IF($D4="","",IFERROR(VLOOKUP($D4,物料档案!$A$4:$P$1203,4,0),"※编码不在物料档案里"))</f>
        <v/>
      </c>
      <c r="G4" s="24">
        <f>IF($D4="","",IFERROR(VLOOKUP($D4,物料档案!$A$4:$P$1203,5,0),"※编码不在物料档案里"))</f>
        <v/>
      </c>
      <c r="H4" s="24">
        <f>IF($D4="","",IFERROR(VLOOKUP($D4,物料档案!$A$4:$P$1203,2,0),"※编码不在物料档案里"))</f>
        <v/>
      </c>
      <c r="I4" s="24">
        <f>IF($D4="","",IFERROR(VLOOKUP($D4,物料档案!$A$4:$P$1203,6,0),"※编码不在物料档案里"))</f>
        <v/>
      </c>
      <c r="J4" s="23" t="n">
        <v>1</v>
      </c>
      <c r="K4" s="17" t="inlineStr">
        <is>
          <t>对外销售</t>
        </is>
      </c>
      <c r="L4" s="17" t="inlineStr">
        <is>
          <t>三矿区</t>
        </is>
      </c>
      <c r="M4" s="17" t="n"/>
      <c r="N4" s="17" t="n"/>
      <c r="O4" s="26">
        <f>IF($D4="","",IFERROR(VLOOKUP($D4,物料档案!$A$4:$P$1203,10,0),0))</f>
        <v/>
      </c>
      <c r="P4" s="32" t="n"/>
      <c r="Q4" s="26">
        <f>IF($D4="","",IF($K4&lt;&gt;"对外销售",0,ROUND(N($J4)*IF($P4="",N($O4),N($P4)),0)))</f>
        <v/>
      </c>
      <c r="R4" s="26">
        <f>IF($D4="","",IFERROR(VLOOKUP($D4,库存台账!$A$5:$Y$1204,11,0),0))</f>
        <v/>
      </c>
      <c r="S4" s="26">
        <f>IF($D4="","",ROUND(N($J4)*N($R4),0))</f>
        <v/>
      </c>
      <c r="T4" s="26">
        <f>IF($D4="","",IF($K4&lt;&gt;"对外销售","",ROUND($Q4-$S4,0)))</f>
        <v/>
      </c>
      <c r="U4" s="17" t="inlineStr">
        <is>
          <t>正常</t>
        </is>
      </c>
      <c r="V4" s="17" t="inlineStr">
        <is>
          <t>原表第 439 行：CBHU9041804集装箱运输给三矿</t>
        </is>
      </c>
      <c r="W4" s="24">
        <f>IF($D4="","",IF($E4="※编码不在物料档案里","※物料编码不在档案里",IF(N($J4)&lt;=0,"※出库数量要大于 0",IF($K4="","※没填去向类型",IF($L4="","※没填去向矿区",IF(AND($C4&lt;&gt;"",$C4&lt;=结账锁),"※日期早于已结账截止日，不能再录",IF(AND($K4="自用消耗",COUNTIF({"一矿区";"二矿区"},$L4)=0),"※自用消耗的去向只能是一矿区或二矿区",IF(AND($K4="对外销售",COUNTIF({"三矿区";"六矿区"},$L4)=0),"※对外销售的去向只能是三矿区或六矿区",IF(AND($K4="对外销售",ROUND($Q4,0)=0),"※外销却没有售价，请填实际售价",IF(AND($K4="对外销售",$T4&lt;&gt;"",$T4&lt;0),"※这一笔外销是亏的，请核对售价",IF(IFERROR(VLOOKUP($D4,库存台账!$A$5:$Y$1204,24,0),0)&lt;-0.001,"※这个物料账面已经变成负数了，查一下是不是漏记入库","")))))))))))</f>
        <v/>
      </c>
    </row>
    <row r="5">
      <c r="A5" s="24">
        <f>IF($D5="","",COUNTA($D$4:$D5))</f>
        <v/>
      </c>
      <c r="B5" s="17" t="n"/>
      <c r="C5" s="30" t="n"/>
      <c r="D5" s="17" t="n"/>
      <c r="E5" s="24">
        <f>IF($D5="","",IFERROR(VLOOKUP($D5,物料档案!$A$4:$P$1203,3,0),"※编码不在物料档案里"))</f>
        <v/>
      </c>
      <c r="F5" s="24">
        <f>IF($D5="","",IFERROR(VLOOKUP($D5,物料档案!$A$4:$P$1203,4,0),"※编码不在物料档案里"))</f>
        <v/>
      </c>
      <c r="G5" s="24">
        <f>IF($D5="","",IFERROR(VLOOKUP($D5,物料档案!$A$4:$P$1203,5,0),"※编码不在物料档案里"))</f>
        <v/>
      </c>
      <c r="H5" s="24">
        <f>IF($D5="","",IFERROR(VLOOKUP($D5,物料档案!$A$4:$P$1203,2,0),"※编码不在物料档案里"))</f>
        <v/>
      </c>
      <c r="I5" s="24">
        <f>IF($D5="","",IFERROR(VLOOKUP($D5,物料档案!$A$4:$P$1203,6,0),"※编码不在物料档案里"))</f>
        <v/>
      </c>
      <c r="J5" s="23" t="n"/>
      <c r="K5" s="17" t="n"/>
      <c r="L5" s="17" t="n"/>
      <c r="M5" s="17" t="n"/>
      <c r="N5" s="17" t="n"/>
      <c r="O5" s="26">
        <f>IF($D5="","",IFERROR(VLOOKUP($D5,物料档案!$A$4:$P$1203,10,0),0))</f>
        <v/>
      </c>
      <c r="P5" s="32" t="n"/>
      <c r="Q5" s="26">
        <f>IF($D5="","",IF($K5&lt;&gt;"对外销售",0,ROUND(N($J5)*IF($P5="",N($O5),N($P5)),0)))</f>
        <v/>
      </c>
      <c r="R5" s="26">
        <f>IF($D5="","",IFERROR(VLOOKUP($D5,库存台账!$A$5:$Y$1204,11,0),0))</f>
        <v/>
      </c>
      <c r="S5" s="26">
        <f>IF($D5="","",ROUND(N($J5)*N($R5),0))</f>
        <v/>
      </c>
      <c r="T5" s="26">
        <f>IF($D5="","",IF($K5&lt;&gt;"对外销售","",ROUND($Q5-$S5,0)))</f>
        <v/>
      </c>
      <c r="U5" s="17" t="n"/>
      <c r="V5" s="17" t="n"/>
      <c r="W5" s="24">
        <f>IF($D5="","",IF($E5="※编码不在物料档案里","※物料编码不在档案里",IF(N($J5)&lt;=0,"※出库数量要大于 0",IF($K5="","※没填去向类型",IF($L5="","※没填去向矿区",IF(AND($C5&lt;&gt;"",$C5&lt;=结账锁),"※日期早于已结账截止日，不能再录",IF(AND($K5="自用消耗",COUNTIF({"一矿区";"二矿区"},$L5)=0),"※自用消耗的去向只能是一矿区或二矿区",IF(AND($K5="对外销售",COUNTIF({"三矿区";"六矿区"},$L5)=0),"※对外销售的去向只能是三矿区或六矿区",IF(AND($K5="对外销售",ROUND($Q5,0)=0),"※外销却没有售价，请填实际售价",IF(AND($K5="对外销售",$T5&lt;&gt;"",$T5&lt;0),"※这一笔外销是亏的，请核对售价",IF(IFERROR(VLOOKUP($D5,库存台账!$A$5:$Y$1204,24,0),0)&lt;-0.001,"※这个物料账面已经变成负数了，查一下是不是漏记入库","")))))))))))</f>
        <v/>
      </c>
    </row>
    <row r="6">
      <c r="A6" s="24">
        <f>IF($D6="","",COUNTA($D$4:$D6))</f>
        <v/>
      </c>
      <c r="B6" s="17" t="n"/>
      <c r="C6" s="30" t="n"/>
      <c r="D6" s="17" t="n"/>
      <c r="E6" s="24">
        <f>IF($D6="","",IFERROR(VLOOKUP($D6,物料档案!$A$4:$P$1203,3,0),"※编码不在物料档案里"))</f>
        <v/>
      </c>
      <c r="F6" s="24">
        <f>IF($D6="","",IFERROR(VLOOKUP($D6,物料档案!$A$4:$P$1203,4,0),"※编码不在物料档案里"))</f>
        <v/>
      </c>
      <c r="G6" s="24">
        <f>IF($D6="","",IFERROR(VLOOKUP($D6,物料档案!$A$4:$P$1203,5,0),"※编码不在物料档案里"))</f>
        <v/>
      </c>
      <c r="H6" s="24">
        <f>IF($D6="","",IFERROR(VLOOKUP($D6,物料档案!$A$4:$P$1203,2,0),"※编码不在物料档案里"))</f>
        <v/>
      </c>
      <c r="I6" s="24">
        <f>IF($D6="","",IFERROR(VLOOKUP($D6,物料档案!$A$4:$P$1203,6,0),"※编码不在物料档案里"))</f>
        <v/>
      </c>
      <c r="J6" s="23" t="n"/>
      <c r="K6" s="17" t="n"/>
      <c r="L6" s="17" t="n"/>
      <c r="M6" s="17" t="n"/>
      <c r="N6" s="17" t="n"/>
      <c r="O6" s="26">
        <f>IF($D6="","",IFERROR(VLOOKUP($D6,物料档案!$A$4:$P$1203,10,0),0))</f>
        <v/>
      </c>
      <c r="P6" s="32" t="n"/>
      <c r="Q6" s="26">
        <f>IF($D6="","",IF($K6&lt;&gt;"对外销售",0,ROUND(N($J6)*IF($P6="",N($O6),N($P6)),0)))</f>
        <v/>
      </c>
      <c r="R6" s="26">
        <f>IF($D6="","",IFERROR(VLOOKUP($D6,库存台账!$A$5:$Y$1204,11,0),0))</f>
        <v/>
      </c>
      <c r="S6" s="26">
        <f>IF($D6="","",ROUND(N($J6)*N($R6),0))</f>
        <v/>
      </c>
      <c r="T6" s="26">
        <f>IF($D6="","",IF($K6&lt;&gt;"对外销售","",ROUND($Q6-$S6,0)))</f>
        <v/>
      </c>
      <c r="U6" s="17" t="n"/>
      <c r="V6" s="17" t="n"/>
      <c r="W6" s="24">
        <f>IF($D6="","",IF($E6="※编码不在物料档案里","※物料编码不在档案里",IF(N($J6)&lt;=0,"※出库数量要大于 0",IF($K6="","※没填去向类型",IF($L6="","※没填去向矿区",IF(AND($C6&lt;&gt;"",$C6&lt;=结账锁),"※日期早于已结账截止日，不能再录",IF(AND($K6="自用消耗",COUNTIF({"一矿区";"二矿区"},$L6)=0),"※自用消耗的去向只能是一矿区或二矿区",IF(AND($K6="对外销售",COUNTIF({"三矿区";"六矿区"},$L6)=0),"※对外销售的去向只能是三矿区或六矿区",IF(AND($K6="对外销售",ROUND($Q6,0)=0),"※外销却没有售价，请填实际售价",IF(AND($K6="对外销售",$T6&lt;&gt;"",$T6&lt;0),"※这一笔外销是亏的，请核对售价",IF(IFERROR(VLOOKUP($D6,库存台账!$A$5:$Y$1204,24,0),0)&lt;-0.001,"※这个物料账面已经变成负数了，查一下是不是漏记入库","")))))))))))</f>
        <v/>
      </c>
    </row>
    <row r="7">
      <c r="A7" s="24">
        <f>IF($D7="","",COUNTA($D$4:$D7))</f>
        <v/>
      </c>
      <c r="B7" s="17" t="n"/>
      <c r="C7" s="30" t="n"/>
      <c r="D7" s="17" t="n"/>
      <c r="E7" s="24">
        <f>IF($D7="","",IFERROR(VLOOKUP($D7,物料档案!$A$4:$P$1203,3,0),"※编码不在物料档案里"))</f>
        <v/>
      </c>
      <c r="F7" s="24">
        <f>IF($D7="","",IFERROR(VLOOKUP($D7,物料档案!$A$4:$P$1203,4,0),"※编码不在物料档案里"))</f>
        <v/>
      </c>
      <c r="G7" s="24">
        <f>IF($D7="","",IFERROR(VLOOKUP($D7,物料档案!$A$4:$P$1203,5,0),"※编码不在物料档案里"))</f>
        <v/>
      </c>
      <c r="H7" s="24">
        <f>IF($D7="","",IFERROR(VLOOKUP($D7,物料档案!$A$4:$P$1203,2,0),"※编码不在物料档案里"))</f>
        <v/>
      </c>
      <c r="I7" s="24">
        <f>IF($D7="","",IFERROR(VLOOKUP($D7,物料档案!$A$4:$P$1203,6,0),"※编码不在物料档案里"))</f>
        <v/>
      </c>
      <c r="J7" s="23" t="n"/>
      <c r="K7" s="17" t="n"/>
      <c r="L7" s="17" t="n"/>
      <c r="M7" s="17" t="n"/>
      <c r="N7" s="17" t="n"/>
      <c r="O7" s="26">
        <f>IF($D7="","",IFERROR(VLOOKUP($D7,物料档案!$A$4:$P$1203,10,0),0))</f>
        <v/>
      </c>
      <c r="P7" s="32" t="n"/>
      <c r="Q7" s="26">
        <f>IF($D7="","",IF($K7&lt;&gt;"对外销售",0,ROUND(N($J7)*IF($P7="",N($O7),N($P7)),0)))</f>
        <v/>
      </c>
      <c r="R7" s="26">
        <f>IF($D7="","",IFERROR(VLOOKUP($D7,库存台账!$A$5:$Y$1204,11,0),0))</f>
        <v/>
      </c>
      <c r="S7" s="26">
        <f>IF($D7="","",ROUND(N($J7)*N($R7),0))</f>
        <v/>
      </c>
      <c r="T7" s="26">
        <f>IF($D7="","",IF($K7&lt;&gt;"对外销售","",ROUND($Q7-$S7,0)))</f>
        <v/>
      </c>
      <c r="U7" s="17" t="n"/>
      <c r="V7" s="17" t="n"/>
      <c r="W7" s="24">
        <f>IF($D7="","",IF($E7="※编码不在物料档案里","※物料编码不在档案里",IF(N($J7)&lt;=0,"※出库数量要大于 0",IF($K7="","※没填去向类型",IF($L7="","※没填去向矿区",IF(AND($C7&lt;&gt;"",$C7&lt;=结账锁),"※日期早于已结账截止日，不能再录",IF(AND($K7="自用消耗",COUNTIF({"一矿区";"二矿区"},$L7)=0),"※自用消耗的去向只能是一矿区或二矿区",IF(AND($K7="对外销售",COUNTIF({"三矿区";"六矿区"},$L7)=0),"※对外销售的去向只能是三矿区或六矿区",IF(AND($K7="对外销售",ROUND($Q7,0)=0),"※外销却没有售价，请填实际售价",IF(AND($K7="对外销售",$T7&lt;&gt;"",$T7&lt;0),"※这一笔外销是亏的，请核对售价",IF(IFERROR(VLOOKUP($D7,库存台账!$A$5:$Y$1204,24,0),0)&lt;-0.001,"※这个物料账面已经变成负数了，查一下是不是漏记入库","")))))))))))</f>
        <v/>
      </c>
    </row>
    <row r="8">
      <c r="A8" s="24">
        <f>IF($D8="","",COUNTA($D$4:$D8))</f>
        <v/>
      </c>
      <c r="B8" s="17" t="n"/>
      <c r="C8" s="30" t="n"/>
      <c r="D8" s="17" t="n"/>
      <c r="E8" s="24">
        <f>IF($D8="","",IFERROR(VLOOKUP($D8,物料档案!$A$4:$P$1203,3,0),"※编码不在物料档案里"))</f>
        <v/>
      </c>
      <c r="F8" s="24">
        <f>IF($D8="","",IFERROR(VLOOKUP($D8,物料档案!$A$4:$P$1203,4,0),"※编码不在物料档案里"))</f>
        <v/>
      </c>
      <c r="G8" s="24">
        <f>IF($D8="","",IFERROR(VLOOKUP($D8,物料档案!$A$4:$P$1203,5,0),"※编码不在物料档案里"))</f>
        <v/>
      </c>
      <c r="H8" s="24">
        <f>IF($D8="","",IFERROR(VLOOKUP($D8,物料档案!$A$4:$P$1203,2,0),"※编码不在物料档案里"))</f>
        <v/>
      </c>
      <c r="I8" s="24">
        <f>IF($D8="","",IFERROR(VLOOKUP($D8,物料档案!$A$4:$P$1203,6,0),"※编码不在物料档案里"))</f>
        <v/>
      </c>
      <c r="J8" s="23" t="n"/>
      <c r="K8" s="17" t="n"/>
      <c r="L8" s="17" t="n"/>
      <c r="M8" s="17" t="n"/>
      <c r="N8" s="17" t="n"/>
      <c r="O8" s="26">
        <f>IF($D8="","",IFERROR(VLOOKUP($D8,物料档案!$A$4:$P$1203,10,0),0))</f>
        <v/>
      </c>
      <c r="P8" s="32" t="n"/>
      <c r="Q8" s="26">
        <f>IF($D8="","",IF($K8&lt;&gt;"对外销售",0,ROUND(N($J8)*IF($P8="",N($O8),N($P8)),0)))</f>
        <v/>
      </c>
      <c r="R8" s="26">
        <f>IF($D8="","",IFERROR(VLOOKUP($D8,库存台账!$A$5:$Y$1204,11,0),0))</f>
        <v/>
      </c>
      <c r="S8" s="26">
        <f>IF($D8="","",ROUND(N($J8)*N($R8),0))</f>
        <v/>
      </c>
      <c r="T8" s="26">
        <f>IF($D8="","",IF($K8&lt;&gt;"对外销售","",ROUND($Q8-$S8,0)))</f>
        <v/>
      </c>
      <c r="U8" s="17" t="n"/>
      <c r="V8" s="17" t="n"/>
      <c r="W8" s="24">
        <f>IF($D8="","",IF($E8="※编码不在物料档案里","※物料编码不在档案里",IF(N($J8)&lt;=0,"※出库数量要大于 0",IF($K8="","※没填去向类型",IF($L8="","※没填去向矿区",IF(AND($C8&lt;&gt;"",$C8&lt;=结账锁),"※日期早于已结账截止日，不能再录",IF(AND($K8="自用消耗",COUNTIF({"一矿区";"二矿区"},$L8)=0),"※自用消耗的去向只能是一矿区或二矿区",IF(AND($K8="对外销售",COUNTIF({"三矿区";"六矿区"},$L8)=0),"※对外销售的去向只能是三矿区或六矿区",IF(AND($K8="对外销售",ROUND($Q8,0)=0),"※外销却没有售价，请填实际售价",IF(AND($K8="对外销售",$T8&lt;&gt;"",$T8&lt;0),"※这一笔外销是亏的，请核对售价",IF(IFERROR(VLOOKUP($D8,库存台账!$A$5:$Y$1204,24,0),0)&lt;-0.001,"※这个物料账面已经变成负数了，查一下是不是漏记入库","")))))))))))</f>
        <v/>
      </c>
    </row>
    <row r="9">
      <c r="A9" s="24">
        <f>IF($D9="","",COUNTA($D$4:$D9))</f>
        <v/>
      </c>
      <c r="B9" s="17" t="n"/>
      <c r="C9" s="30" t="n"/>
      <c r="D9" s="17" t="n"/>
      <c r="E9" s="24">
        <f>IF($D9="","",IFERROR(VLOOKUP($D9,物料档案!$A$4:$P$1203,3,0),"※编码不在物料档案里"))</f>
        <v/>
      </c>
      <c r="F9" s="24">
        <f>IF($D9="","",IFERROR(VLOOKUP($D9,物料档案!$A$4:$P$1203,4,0),"※编码不在物料档案里"))</f>
        <v/>
      </c>
      <c r="G9" s="24">
        <f>IF($D9="","",IFERROR(VLOOKUP($D9,物料档案!$A$4:$P$1203,5,0),"※编码不在物料档案里"))</f>
        <v/>
      </c>
      <c r="H9" s="24">
        <f>IF($D9="","",IFERROR(VLOOKUP($D9,物料档案!$A$4:$P$1203,2,0),"※编码不在物料档案里"))</f>
        <v/>
      </c>
      <c r="I9" s="24">
        <f>IF($D9="","",IFERROR(VLOOKUP($D9,物料档案!$A$4:$P$1203,6,0),"※编码不在物料档案里"))</f>
        <v/>
      </c>
      <c r="J9" s="23" t="n"/>
      <c r="K9" s="17" t="n"/>
      <c r="L9" s="17" t="n"/>
      <c r="M9" s="17" t="n"/>
      <c r="N9" s="17" t="n"/>
      <c r="O9" s="26">
        <f>IF($D9="","",IFERROR(VLOOKUP($D9,物料档案!$A$4:$P$1203,10,0),0))</f>
        <v/>
      </c>
      <c r="P9" s="32" t="n"/>
      <c r="Q9" s="26">
        <f>IF($D9="","",IF($K9&lt;&gt;"对外销售",0,ROUND(N($J9)*IF($P9="",N($O9),N($P9)),0)))</f>
        <v/>
      </c>
      <c r="R9" s="26">
        <f>IF($D9="","",IFERROR(VLOOKUP($D9,库存台账!$A$5:$Y$1204,11,0),0))</f>
        <v/>
      </c>
      <c r="S9" s="26">
        <f>IF($D9="","",ROUND(N($J9)*N($R9),0))</f>
        <v/>
      </c>
      <c r="T9" s="26">
        <f>IF($D9="","",IF($K9&lt;&gt;"对外销售","",ROUND($Q9-$S9,0)))</f>
        <v/>
      </c>
      <c r="U9" s="17" t="n"/>
      <c r="V9" s="17" t="n"/>
      <c r="W9" s="24">
        <f>IF($D9="","",IF($E9="※编码不在物料档案里","※物料编码不在档案里",IF(N($J9)&lt;=0,"※出库数量要大于 0",IF($K9="","※没填去向类型",IF($L9="","※没填去向矿区",IF(AND($C9&lt;&gt;"",$C9&lt;=结账锁),"※日期早于已结账截止日，不能再录",IF(AND($K9="自用消耗",COUNTIF({"一矿区";"二矿区"},$L9)=0),"※自用消耗的去向只能是一矿区或二矿区",IF(AND($K9="对外销售",COUNTIF({"三矿区";"六矿区"},$L9)=0),"※对外销售的去向只能是三矿区或六矿区",IF(AND($K9="对外销售",ROUND($Q9,0)=0),"※外销却没有售价，请填实际售价",IF(AND($K9="对外销售",$T9&lt;&gt;"",$T9&lt;0),"※这一笔外销是亏的，请核对售价",IF(IFERROR(VLOOKUP($D9,库存台账!$A$5:$Y$1204,24,0),0)&lt;-0.001,"※这个物料账面已经变成负数了，查一下是不是漏记入库","")))))))))))</f>
        <v/>
      </c>
    </row>
    <row r="10">
      <c r="A10" s="24">
        <f>IF($D10="","",COUNTA($D$4:$D10))</f>
        <v/>
      </c>
      <c r="B10" s="17" t="n"/>
      <c r="C10" s="30" t="n"/>
      <c r="D10" s="17" t="n"/>
      <c r="E10" s="24">
        <f>IF($D10="","",IFERROR(VLOOKUP($D10,物料档案!$A$4:$P$1203,3,0),"※编码不在物料档案里"))</f>
        <v/>
      </c>
      <c r="F10" s="24">
        <f>IF($D10="","",IFERROR(VLOOKUP($D10,物料档案!$A$4:$P$1203,4,0),"※编码不在物料档案里"))</f>
        <v/>
      </c>
      <c r="G10" s="24">
        <f>IF($D10="","",IFERROR(VLOOKUP($D10,物料档案!$A$4:$P$1203,5,0),"※编码不在物料档案里"))</f>
        <v/>
      </c>
      <c r="H10" s="24">
        <f>IF($D10="","",IFERROR(VLOOKUP($D10,物料档案!$A$4:$P$1203,2,0),"※编码不在物料档案里"))</f>
        <v/>
      </c>
      <c r="I10" s="24">
        <f>IF($D10="","",IFERROR(VLOOKUP($D10,物料档案!$A$4:$P$1203,6,0),"※编码不在物料档案里"))</f>
        <v/>
      </c>
      <c r="J10" s="23" t="n"/>
      <c r="K10" s="17" t="n"/>
      <c r="L10" s="17" t="n"/>
      <c r="M10" s="17" t="n"/>
      <c r="N10" s="17" t="n"/>
      <c r="O10" s="26">
        <f>IF($D10="","",IFERROR(VLOOKUP($D10,物料档案!$A$4:$P$1203,10,0),0))</f>
        <v/>
      </c>
      <c r="P10" s="32" t="n"/>
      <c r="Q10" s="26">
        <f>IF($D10="","",IF($K10&lt;&gt;"对外销售",0,ROUND(N($J10)*IF($P10="",N($O10),N($P10)),0)))</f>
        <v/>
      </c>
      <c r="R10" s="26">
        <f>IF($D10="","",IFERROR(VLOOKUP($D10,库存台账!$A$5:$Y$1204,11,0),0))</f>
        <v/>
      </c>
      <c r="S10" s="26">
        <f>IF($D10="","",ROUND(N($J10)*N($R10),0))</f>
        <v/>
      </c>
      <c r="T10" s="26">
        <f>IF($D10="","",IF($K10&lt;&gt;"对外销售","",ROUND($Q10-$S10,0)))</f>
        <v/>
      </c>
      <c r="U10" s="17" t="n"/>
      <c r="V10" s="17" t="n"/>
      <c r="W10" s="24">
        <f>IF($D10="","",IF($E10="※编码不在物料档案里","※物料编码不在档案里",IF(N($J10)&lt;=0,"※出库数量要大于 0",IF($K10="","※没填去向类型",IF($L10="","※没填去向矿区",IF(AND($C10&lt;&gt;"",$C10&lt;=结账锁),"※日期早于已结账截止日，不能再录",IF(AND($K10="自用消耗",COUNTIF({"一矿区";"二矿区"},$L10)=0),"※自用消耗的去向只能是一矿区或二矿区",IF(AND($K10="对外销售",COUNTIF({"三矿区";"六矿区"},$L10)=0),"※对外销售的去向只能是三矿区或六矿区",IF(AND($K10="对外销售",ROUND($Q10,0)=0),"※外销却没有售价，请填实际售价",IF(AND($K10="对外销售",$T10&lt;&gt;"",$T10&lt;0),"※这一笔外销是亏的，请核对售价",IF(IFERROR(VLOOKUP($D10,库存台账!$A$5:$Y$1204,24,0),0)&lt;-0.001,"※这个物料账面已经变成负数了，查一下是不是漏记入库","")))))))))))</f>
        <v/>
      </c>
    </row>
    <row r="11">
      <c r="A11" s="24">
        <f>IF($D11="","",COUNTA($D$4:$D11))</f>
        <v/>
      </c>
      <c r="B11" s="17" t="n"/>
      <c r="C11" s="30" t="n"/>
      <c r="D11" s="17" t="n"/>
      <c r="E11" s="24">
        <f>IF($D11="","",IFERROR(VLOOKUP($D11,物料档案!$A$4:$P$1203,3,0),"※编码不在物料档案里"))</f>
        <v/>
      </c>
      <c r="F11" s="24">
        <f>IF($D11="","",IFERROR(VLOOKUP($D11,物料档案!$A$4:$P$1203,4,0),"※编码不在物料档案里"))</f>
        <v/>
      </c>
      <c r="G11" s="24">
        <f>IF($D11="","",IFERROR(VLOOKUP($D11,物料档案!$A$4:$P$1203,5,0),"※编码不在物料档案里"))</f>
        <v/>
      </c>
      <c r="H11" s="24">
        <f>IF($D11="","",IFERROR(VLOOKUP($D11,物料档案!$A$4:$P$1203,2,0),"※编码不在物料档案里"))</f>
        <v/>
      </c>
      <c r="I11" s="24">
        <f>IF($D11="","",IFERROR(VLOOKUP($D11,物料档案!$A$4:$P$1203,6,0),"※编码不在物料档案里"))</f>
        <v/>
      </c>
      <c r="J11" s="23" t="n"/>
      <c r="K11" s="17" t="n"/>
      <c r="L11" s="17" t="n"/>
      <c r="M11" s="17" t="n"/>
      <c r="N11" s="17" t="n"/>
      <c r="O11" s="26">
        <f>IF($D11="","",IFERROR(VLOOKUP($D11,物料档案!$A$4:$P$1203,10,0),0))</f>
        <v/>
      </c>
      <c r="P11" s="32" t="n"/>
      <c r="Q11" s="26">
        <f>IF($D11="","",IF($K11&lt;&gt;"对外销售",0,ROUND(N($J11)*IF($P11="",N($O11),N($P11)),0)))</f>
        <v/>
      </c>
      <c r="R11" s="26">
        <f>IF($D11="","",IFERROR(VLOOKUP($D11,库存台账!$A$5:$Y$1204,11,0),0))</f>
        <v/>
      </c>
      <c r="S11" s="26">
        <f>IF($D11="","",ROUND(N($J11)*N($R11),0))</f>
        <v/>
      </c>
      <c r="T11" s="26">
        <f>IF($D11="","",IF($K11&lt;&gt;"对外销售","",ROUND($Q11-$S11,0)))</f>
        <v/>
      </c>
      <c r="U11" s="17" t="n"/>
      <c r="V11" s="17" t="n"/>
      <c r="W11" s="24">
        <f>IF($D11="","",IF($E11="※编码不在物料档案里","※物料编码不在档案里",IF(N($J11)&lt;=0,"※出库数量要大于 0",IF($K11="","※没填去向类型",IF($L11="","※没填去向矿区",IF(AND($C11&lt;&gt;"",$C11&lt;=结账锁),"※日期早于已结账截止日，不能再录",IF(AND($K11="自用消耗",COUNTIF({"一矿区";"二矿区"},$L11)=0),"※自用消耗的去向只能是一矿区或二矿区",IF(AND($K11="对外销售",COUNTIF({"三矿区";"六矿区"},$L11)=0),"※对外销售的去向只能是三矿区或六矿区",IF(AND($K11="对外销售",ROUND($Q11,0)=0),"※外销却没有售价，请填实际售价",IF(AND($K11="对外销售",$T11&lt;&gt;"",$T11&lt;0),"※这一笔外销是亏的，请核对售价",IF(IFERROR(VLOOKUP($D11,库存台账!$A$5:$Y$1204,24,0),0)&lt;-0.001,"※这个物料账面已经变成负数了，查一下是不是漏记入库","")))))))))))</f>
        <v/>
      </c>
    </row>
    <row r="12">
      <c r="A12" s="24">
        <f>IF($D12="","",COUNTA($D$4:$D12))</f>
        <v/>
      </c>
      <c r="B12" s="17" t="n"/>
      <c r="C12" s="30" t="n"/>
      <c r="D12" s="17" t="n"/>
      <c r="E12" s="24">
        <f>IF($D12="","",IFERROR(VLOOKUP($D12,物料档案!$A$4:$P$1203,3,0),"※编码不在物料档案里"))</f>
        <v/>
      </c>
      <c r="F12" s="24">
        <f>IF($D12="","",IFERROR(VLOOKUP($D12,物料档案!$A$4:$P$1203,4,0),"※编码不在物料档案里"))</f>
        <v/>
      </c>
      <c r="G12" s="24">
        <f>IF($D12="","",IFERROR(VLOOKUP($D12,物料档案!$A$4:$P$1203,5,0),"※编码不在物料档案里"))</f>
        <v/>
      </c>
      <c r="H12" s="24">
        <f>IF($D12="","",IFERROR(VLOOKUP($D12,物料档案!$A$4:$P$1203,2,0),"※编码不在物料档案里"))</f>
        <v/>
      </c>
      <c r="I12" s="24">
        <f>IF($D12="","",IFERROR(VLOOKUP($D12,物料档案!$A$4:$P$1203,6,0),"※编码不在物料档案里"))</f>
        <v/>
      </c>
      <c r="J12" s="23" t="n"/>
      <c r="K12" s="17" t="n"/>
      <c r="L12" s="17" t="n"/>
      <c r="M12" s="17" t="n"/>
      <c r="N12" s="17" t="n"/>
      <c r="O12" s="26">
        <f>IF($D12="","",IFERROR(VLOOKUP($D12,物料档案!$A$4:$P$1203,10,0),0))</f>
        <v/>
      </c>
      <c r="P12" s="32" t="n"/>
      <c r="Q12" s="26">
        <f>IF($D12="","",IF($K12&lt;&gt;"对外销售",0,ROUND(N($J12)*IF($P12="",N($O12),N($P12)),0)))</f>
        <v/>
      </c>
      <c r="R12" s="26">
        <f>IF($D12="","",IFERROR(VLOOKUP($D12,库存台账!$A$5:$Y$1204,11,0),0))</f>
        <v/>
      </c>
      <c r="S12" s="26">
        <f>IF($D12="","",ROUND(N($J12)*N($R12),0))</f>
        <v/>
      </c>
      <c r="T12" s="26">
        <f>IF($D12="","",IF($K12&lt;&gt;"对外销售","",ROUND($Q12-$S12,0)))</f>
        <v/>
      </c>
      <c r="U12" s="17" t="n"/>
      <c r="V12" s="17" t="n"/>
      <c r="W12" s="24">
        <f>IF($D12="","",IF($E12="※编码不在物料档案里","※物料编码不在档案里",IF(N($J12)&lt;=0,"※出库数量要大于 0",IF($K12="","※没填去向类型",IF($L12="","※没填去向矿区",IF(AND($C12&lt;&gt;"",$C12&lt;=结账锁),"※日期早于已结账截止日，不能再录",IF(AND($K12="自用消耗",COUNTIF({"一矿区";"二矿区"},$L12)=0),"※自用消耗的去向只能是一矿区或二矿区",IF(AND($K12="对外销售",COUNTIF({"三矿区";"六矿区"},$L12)=0),"※对外销售的去向只能是三矿区或六矿区",IF(AND($K12="对外销售",ROUND($Q12,0)=0),"※外销却没有售价，请填实际售价",IF(AND($K12="对外销售",$T12&lt;&gt;"",$T12&lt;0),"※这一笔外销是亏的，请核对售价",IF(IFERROR(VLOOKUP($D12,库存台账!$A$5:$Y$1204,24,0),0)&lt;-0.001,"※这个物料账面已经变成负数了，查一下是不是漏记入库","")))))))))))</f>
        <v/>
      </c>
    </row>
    <row r="13">
      <c r="A13" s="24">
        <f>IF($D13="","",COUNTA($D$4:$D13))</f>
        <v/>
      </c>
      <c r="B13" s="17" t="n"/>
      <c r="C13" s="30" t="n"/>
      <c r="D13" s="17" t="n"/>
      <c r="E13" s="24">
        <f>IF($D13="","",IFERROR(VLOOKUP($D13,物料档案!$A$4:$P$1203,3,0),"※编码不在物料档案里"))</f>
        <v/>
      </c>
      <c r="F13" s="24">
        <f>IF($D13="","",IFERROR(VLOOKUP($D13,物料档案!$A$4:$P$1203,4,0),"※编码不在物料档案里"))</f>
        <v/>
      </c>
      <c r="G13" s="24">
        <f>IF($D13="","",IFERROR(VLOOKUP($D13,物料档案!$A$4:$P$1203,5,0),"※编码不在物料档案里"))</f>
        <v/>
      </c>
      <c r="H13" s="24">
        <f>IF($D13="","",IFERROR(VLOOKUP($D13,物料档案!$A$4:$P$1203,2,0),"※编码不在物料档案里"))</f>
        <v/>
      </c>
      <c r="I13" s="24">
        <f>IF($D13="","",IFERROR(VLOOKUP($D13,物料档案!$A$4:$P$1203,6,0),"※编码不在物料档案里"))</f>
        <v/>
      </c>
      <c r="J13" s="23" t="n"/>
      <c r="K13" s="17" t="n"/>
      <c r="L13" s="17" t="n"/>
      <c r="M13" s="17" t="n"/>
      <c r="N13" s="17" t="n"/>
      <c r="O13" s="26">
        <f>IF($D13="","",IFERROR(VLOOKUP($D13,物料档案!$A$4:$P$1203,10,0),0))</f>
        <v/>
      </c>
      <c r="P13" s="32" t="n"/>
      <c r="Q13" s="26">
        <f>IF($D13="","",IF($K13&lt;&gt;"对外销售",0,ROUND(N($J13)*IF($P13="",N($O13),N($P13)),0)))</f>
        <v/>
      </c>
      <c r="R13" s="26">
        <f>IF($D13="","",IFERROR(VLOOKUP($D13,库存台账!$A$5:$Y$1204,11,0),0))</f>
        <v/>
      </c>
      <c r="S13" s="26">
        <f>IF($D13="","",ROUND(N($J13)*N($R13),0))</f>
        <v/>
      </c>
      <c r="T13" s="26">
        <f>IF($D13="","",IF($K13&lt;&gt;"对外销售","",ROUND($Q13-$S13,0)))</f>
        <v/>
      </c>
      <c r="U13" s="17" t="n"/>
      <c r="V13" s="17" t="n"/>
      <c r="W13" s="24">
        <f>IF($D13="","",IF($E13="※编码不在物料档案里","※物料编码不在档案里",IF(N($J13)&lt;=0,"※出库数量要大于 0",IF($K13="","※没填去向类型",IF($L13="","※没填去向矿区",IF(AND($C13&lt;&gt;"",$C13&lt;=结账锁),"※日期早于已结账截止日，不能再录",IF(AND($K13="自用消耗",COUNTIF({"一矿区";"二矿区"},$L13)=0),"※自用消耗的去向只能是一矿区或二矿区",IF(AND($K13="对外销售",COUNTIF({"三矿区";"六矿区"},$L13)=0),"※对外销售的去向只能是三矿区或六矿区",IF(AND($K13="对外销售",ROUND($Q13,0)=0),"※外销却没有售价，请填实际售价",IF(AND($K13="对外销售",$T13&lt;&gt;"",$T13&lt;0),"※这一笔外销是亏的，请核对售价",IF(IFERROR(VLOOKUP($D13,库存台账!$A$5:$Y$1204,24,0),0)&lt;-0.001,"※这个物料账面已经变成负数了，查一下是不是漏记入库","")))))))))))</f>
        <v/>
      </c>
    </row>
    <row r="14">
      <c r="A14" s="24">
        <f>IF($D14="","",COUNTA($D$4:$D14))</f>
        <v/>
      </c>
      <c r="B14" s="17" t="n"/>
      <c r="C14" s="30" t="n"/>
      <c r="D14" s="17" t="n"/>
      <c r="E14" s="24">
        <f>IF($D14="","",IFERROR(VLOOKUP($D14,物料档案!$A$4:$P$1203,3,0),"※编码不在物料档案里"))</f>
        <v/>
      </c>
      <c r="F14" s="24">
        <f>IF($D14="","",IFERROR(VLOOKUP($D14,物料档案!$A$4:$P$1203,4,0),"※编码不在物料档案里"))</f>
        <v/>
      </c>
      <c r="G14" s="24">
        <f>IF($D14="","",IFERROR(VLOOKUP($D14,物料档案!$A$4:$P$1203,5,0),"※编码不在物料档案里"))</f>
        <v/>
      </c>
      <c r="H14" s="24">
        <f>IF($D14="","",IFERROR(VLOOKUP($D14,物料档案!$A$4:$P$1203,2,0),"※编码不在物料档案里"))</f>
        <v/>
      </c>
      <c r="I14" s="24">
        <f>IF($D14="","",IFERROR(VLOOKUP($D14,物料档案!$A$4:$P$1203,6,0),"※编码不在物料档案里"))</f>
        <v/>
      </c>
      <c r="J14" s="23" t="n"/>
      <c r="K14" s="17" t="n"/>
      <c r="L14" s="17" t="n"/>
      <c r="M14" s="17" t="n"/>
      <c r="N14" s="17" t="n"/>
      <c r="O14" s="26">
        <f>IF($D14="","",IFERROR(VLOOKUP($D14,物料档案!$A$4:$P$1203,10,0),0))</f>
        <v/>
      </c>
      <c r="P14" s="32" t="n"/>
      <c r="Q14" s="26">
        <f>IF($D14="","",IF($K14&lt;&gt;"对外销售",0,ROUND(N($J14)*IF($P14="",N($O14),N($P14)),0)))</f>
        <v/>
      </c>
      <c r="R14" s="26">
        <f>IF($D14="","",IFERROR(VLOOKUP($D14,库存台账!$A$5:$Y$1204,11,0),0))</f>
        <v/>
      </c>
      <c r="S14" s="26">
        <f>IF($D14="","",ROUND(N($J14)*N($R14),0))</f>
        <v/>
      </c>
      <c r="T14" s="26">
        <f>IF($D14="","",IF($K14&lt;&gt;"对外销售","",ROUND($Q14-$S14,0)))</f>
        <v/>
      </c>
      <c r="U14" s="17" t="n"/>
      <c r="V14" s="17" t="n"/>
      <c r="W14" s="24">
        <f>IF($D14="","",IF($E14="※编码不在物料档案里","※物料编码不在档案里",IF(N($J14)&lt;=0,"※出库数量要大于 0",IF($K14="","※没填去向类型",IF($L14="","※没填去向矿区",IF(AND($C14&lt;&gt;"",$C14&lt;=结账锁),"※日期早于已结账截止日，不能再录",IF(AND($K14="自用消耗",COUNTIF({"一矿区";"二矿区"},$L14)=0),"※自用消耗的去向只能是一矿区或二矿区",IF(AND($K14="对外销售",COUNTIF({"三矿区";"六矿区"},$L14)=0),"※对外销售的去向只能是三矿区或六矿区",IF(AND($K14="对外销售",ROUND($Q14,0)=0),"※外销却没有售价，请填实际售价",IF(AND($K14="对外销售",$T14&lt;&gt;"",$T14&lt;0),"※这一笔外销是亏的，请核对售价",IF(IFERROR(VLOOKUP($D14,库存台账!$A$5:$Y$1204,24,0),0)&lt;-0.001,"※这个物料账面已经变成负数了，查一下是不是漏记入库","")))))))))))</f>
        <v/>
      </c>
    </row>
    <row r="15">
      <c r="A15" s="24">
        <f>IF($D15="","",COUNTA($D$4:$D15))</f>
        <v/>
      </c>
      <c r="B15" s="17" t="n"/>
      <c r="C15" s="30" t="n"/>
      <c r="D15" s="17" t="n"/>
      <c r="E15" s="24">
        <f>IF($D15="","",IFERROR(VLOOKUP($D15,物料档案!$A$4:$P$1203,3,0),"※编码不在物料档案里"))</f>
        <v/>
      </c>
      <c r="F15" s="24">
        <f>IF($D15="","",IFERROR(VLOOKUP($D15,物料档案!$A$4:$P$1203,4,0),"※编码不在物料档案里"))</f>
        <v/>
      </c>
      <c r="G15" s="24">
        <f>IF($D15="","",IFERROR(VLOOKUP($D15,物料档案!$A$4:$P$1203,5,0),"※编码不在物料档案里"))</f>
        <v/>
      </c>
      <c r="H15" s="24">
        <f>IF($D15="","",IFERROR(VLOOKUP($D15,物料档案!$A$4:$P$1203,2,0),"※编码不在物料档案里"))</f>
        <v/>
      </c>
      <c r="I15" s="24">
        <f>IF($D15="","",IFERROR(VLOOKUP($D15,物料档案!$A$4:$P$1203,6,0),"※编码不在物料档案里"))</f>
        <v/>
      </c>
      <c r="J15" s="23" t="n"/>
      <c r="K15" s="17" t="n"/>
      <c r="L15" s="17" t="n"/>
      <c r="M15" s="17" t="n"/>
      <c r="N15" s="17" t="n"/>
      <c r="O15" s="26">
        <f>IF($D15="","",IFERROR(VLOOKUP($D15,物料档案!$A$4:$P$1203,10,0),0))</f>
        <v/>
      </c>
      <c r="P15" s="32" t="n"/>
      <c r="Q15" s="26">
        <f>IF($D15="","",IF($K15&lt;&gt;"对外销售",0,ROUND(N($J15)*IF($P15="",N($O15),N($P15)),0)))</f>
        <v/>
      </c>
      <c r="R15" s="26">
        <f>IF($D15="","",IFERROR(VLOOKUP($D15,库存台账!$A$5:$Y$1204,11,0),0))</f>
        <v/>
      </c>
      <c r="S15" s="26">
        <f>IF($D15="","",ROUND(N($J15)*N($R15),0))</f>
        <v/>
      </c>
      <c r="T15" s="26">
        <f>IF($D15="","",IF($K15&lt;&gt;"对外销售","",ROUND($Q15-$S15,0)))</f>
        <v/>
      </c>
      <c r="U15" s="17" t="n"/>
      <c r="V15" s="17" t="n"/>
      <c r="W15" s="24">
        <f>IF($D15="","",IF($E15="※编码不在物料档案里","※物料编码不在档案里",IF(N($J15)&lt;=0,"※出库数量要大于 0",IF($K15="","※没填去向类型",IF($L15="","※没填去向矿区",IF(AND($C15&lt;&gt;"",$C15&lt;=结账锁),"※日期早于已结账截止日，不能再录",IF(AND($K15="自用消耗",COUNTIF({"一矿区";"二矿区"},$L15)=0),"※自用消耗的去向只能是一矿区或二矿区",IF(AND($K15="对外销售",COUNTIF({"三矿区";"六矿区"},$L15)=0),"※对外销售的去向只能是三矿区或六矿区",IF(AND($K15="对外销售",ROUND($Q15,0)=0),"※外销却没有售价，请填实际售价",IF(AND($K15="对外销售",$T15&lt;&gt;"",$T15&lt;0),"※这一笔外销是亏的，请核对售价",IF(IFERROR(VLOOKUP($D15,库存台账!$A$5:$Y$1204,24,0),0)&lt;-0.001,"※这个物料账面已经变成负数了，查一下是不是漏记入库","")))))))))))</f>
        <v/>
      </c>
    </row>
    <row r="16">
      <c r="A16" s="24">
        <f>IF($D16="","",COUNTA($D$4:$D16))</f>
        <v/>
      </c>
      <c r="B16" s="17" t="n"/>
      <c r="C16" s="30" t="n"/>
      <c r="D16" s="17" t="n"/>
      <c r="E16" s="24">
        <f>IF($D16="","",IFERROR(VLOOKUP($D16,物料档案!$A$4:$P$1203,3,0),"※编码不在物料档案里"))</f>
        <v/>
      </c>
      <c r="F16" s="24">
        <f>IF($D16="","",IFERROR(VLOOKUP($D16,物料档案!$A$4:$P$1203,4,0),"※编码不在物料档案里"))</f>
        <v/>
      </c>
      <c r="G16" s="24">
        <f>IF($D16="","",IFERROR(VLOOKUP($D16,物料档案!$A$4:$P$1203,5,0),"※编码不在物料档案里"))</f>
        <v/>
      </c>
      <c r="H16" s="24">
        <f>IF($D16="","",IFERROR(VLOOKUP($D16,物料档案!$A$4:$P$1203,2,0),"※编码不在物料档案里"))</f>
        <v/>
      </c>
      <c r="I16" s="24">
        <f>IF($D16="","",IFERROR(VLOOKUP($D16,物料档案!$A$4:$P$1203,6,0),"※编码不在物料档案里"))</f>
        <v/>
      </c>
      <c r="J16" s="23" t="n"/>
      <c r="K16" s="17" t="n"/>
      <c r="L16" s="17" t="n"/>
      <c r="M16" s="17" t="n"/>
      <c r="N16" s="17" t="n"/>
      <c r="O16" s="26">
        <f>IF($D16="","",IFERROR(VLOOKUP($D16,物料档案!$A$4:$P$1203,10,0),0))</f>
        <v/>
      </c>
      <c r="P16" s="32" t="n"/>
      <c r="Q16" s="26">
        <f>IF($D16="","",IF($K16&lt;&gt;"对外销售",0,ROUND(N($J16)*IF($P16="",N($O16),N($P16)),0)))</f>
        <v/>
      </c>
      <c r="R16" s="26">
        <f>IF($D16="","",IFERROR(VLOOKUP($D16,库存台账!$A$5:$Y$1204,11,0),0))</f>
        <v/>
      </c>
      <c r="S16" s="26">
        <f>IF($D16="","",ROUND(N($J16)*N($R16),0))</f>
        <v/>
      </c>
      <c r="T16" s="26">
        <f>IF($D16="","",IF($K16&lt;&gt;"对外销售","",ROUND($Q16-$S16,0)))</f>
        <v/>
      </c>
      <c r="U16" s="17" t="n"/>
      <c r="V16" s="17" t="n"/>
      <c r="W16" s="24">
        <f>IF($D16="","",IF($E16="※编码不在物料档案里","※物料编码不在档案里",IF(N($J16)&lt;=0,"※出库数量要大于 0",IF($K16="","※没填去向类型",IF($L16="","※没填去向矿区",IF(AND($C16&lt;&gt;"",$C16&lt;=结账锁),"※日期早于已结账截止日，不能再录",IF(AND($K16="自用消耗",COUNTIF({"一矿区";"二矿区"},$L16)=0),"※自用消耗的去向只能是一矿区或二矿区",IF(AND($K16="对外销售",COUNTIF({"三矿区";"六矿区"},$L16)=0),"※对外销售的去向只能是三矿区或六矿区",IF(AND($K16="对外销售",ROUND($Q16,0)=0),"※外销却没有售价，请填实际售价",IF(AND($K16="对外销售",$T16&lt;&gt;"",$T16&lt;0),"※这一笔外销是亏的，请核对售价",IF(IFERROR(VLOOKUP($D16,库存台账!$A$5:$Y$1204,24,0),0)&lt;-0.001,"※这个物料账面已经变成负数了，查一下是不是漏记入库","")))))))))))</f>
        <v/>
      </c>
    </row>
    <row r="17">
      <c r="A17" s="24">
        <f>IF($D17="","",COUNTA($D$4:$D17))</f>
        <v/>
      </c>
      <c r="B17" s="17" t="n"/>
      <c r="C17" s="30" t="n"/>
      <c r="D17" s="17" t="n"/>
      <c r="E17" s="24">
        <f>IF($D17="","",IFERROR(VLOOKUP($D17,物料档案!$A$4:$P$1203,3,0),"※编码不在物料档案里"))</f>
        <v/>
      </c>
      <c r="F17" s="24">
        <f>IF($D17="","",IFERROR(VLOOKUP($D17,物料档案!$A$4:$P$1203,4,0),"※编码不在物料档案里"))</f>
        <v/>
      </c>
      <c r="G17" s="24">
        <f>IF($D17="","",IFERROR(VLOOKUP($D17,物料档案!$A$4:$P$1203,5,0),"※编码不在物料档案里"))</f>
        <v/>
      </c>
      <c r="H17" s="24">
        <f>IF($D17="","",IFERROR(VLOOKUP($D17,物料档案!$A$4:$P$1203,2,0),"※编码不在物料档案里"))</f>
        <v/>
      </c>
      <c r="I17" s="24">
        <f>IF($D17="","",IFERROR(VLOOKUP($D17,物料档案!$A$4:$P$1203,6,0),"※编码不在物料档案里"))</f>
        <v/>
      </c>
      <c r="J17" s="23" t="n"/>
      <c r="K17" s="17" t="n"/>
      <c r="L17" s="17" t="n"/>
      <c r="M17" s="17" t="n"/>
      <c r="N17" s="17" t="n"/>
      <c r="O17" s="26">
        <f>IF($D17="","",IFERROR(VLOOKUP($D17,物料档案!$A$4:$P$1203,10,0),0))</f>
        <v/>
      </c>
      <c r="P17" s="32" t="n"/>
      <c r="Q17" s="26">
        <f>IF($D17="","",IF($K17&lt;&gt;"对外销售",0,ROUND(N($J17)*IF($P17="",N($O17),N($P17)),0)))</f>
        <v/>
      </c>
      <c r="R17" s="26">
        <f>IF($D17="","",IFERROR(VLOOKUP($D17,库存台账!$A$5:$Y$1204,11,0),0))</f>
        <v/>
      </c>
      <c r="S17" s="26">
        <f>IF($D17="","",ROUND(N($J17)*N($R17),0))</f>
        <v/>
      </c>
      <c r="T17" s="26">
        <f>IF($D17="","",IF($K17&lt;&gt;"对外销售","",ROUND($Q17-$S17,0)))</f>
        <v/>
      </c>
      <c r="U17" s="17" t="n"/>
      <c r="V17" s="17" t="n"/>
      <c r="W17" s="24">
        <f>IF($D17="","",IF($E17="※编码不在物料档案里","※物料编码不在档案里",IF(N($J17)&lt;=0,"※出库数量要大于 0",IF($K17="","※没填去向类型",IF($L17="","※没填去向矿区",IF(AND($C17&lt;&gt;"",$C17&lt;=结账锁),"※日期早于已结账截止日，不能再录",IF(AND($K17="自用消耗",COUNTIF({"一矿区";"二矿区"},$L17)=0),"※自用消耗的去向只能是一矿区或二矿区",IF(AND($K17="对外销售",COUNTIF({"三矿区";"六矿区"},$L17)=0),"※对外销售的去向只能是三矿区或六矿区",IF(AND($K17="对外销售",ROUND($Q17,0)=0),"※外销却没有售价，请填实际售价",IF(AND($K17="对外销售",$T17&lt;&gt;"",$T17&lt;0),"※这一笔外销是亏的，请核对售价",IF(IFERROR(VLOOKUP($D17,库存台账!$A$5:$Y$1204,24,0),0)&lt;-0.001,"※这个物料账面已经变成负数了，查一下是不是漏记入库","")))))))))))</f>
        <v/>
      </c>
    </row>
    <row r="18">
      <c r="A18" s="24">
        <f>IF($D18="","",COUNTA($D$4:$D18))</f>
        <v/>
      </c>
      <c r="B18" s="17" t="n"/>
      <c r="C18" s="30" t="n"/>
      <c r="D18" s="17" t="n"/>
      <c r="E18" s="24">
        <f>IF($D18="","",IFERROR(VLOOKUP($D18,物料档案!$A$4:$P$1203,3,0),"※编码不在物料档案里"))</f>
        <v/>
      </c>
      <c r="F18" s="24">
        <f>IF($D18="","",IFERROR(VLOOKUP($D18,物料档案!$A$4:$P$1203,4,0),"※编码不在物料档案里"))</f>
        <v/>
      </c>
      <c r="G18" s="24">
        <f>IF($D18="","",IFERROR(VLOOKUP($D18,物料档案!$A$4:$P$1203,5,0),"※编码不在物料档案里"))</f>
        <v/>
      </c>
      <c r="H18" s="24">
        <f>IF($D18="","",IFERROR(VLOOKUP($D18,物料档案!$A$4:$P$1203,2,0),"※编码不在物料档案里"))</f>
        <v/>
      </c>
      <c r="I18" s="24">
        <f>IF($D18="","",IFERROR(VLOOKUP($D18,物料档案!$A$4:$P$1203,6,0),"※编码不在物料档案里"))</f>
        <v/>
      </c>
      <c r="J18" s="23" t="n"/>
      <c r="K18" s="17" t="n"/>
      <c r="L18" s="17" t="n"/>
      <c r="M18" s="17" t="n"/>
      <c r="N18" s="17" t="n"/>
      <c r="O18" s="26">
        <f>IF($D18="","",IFERROR(VLOOKUP($D18,物料档案!$A$4:$P$1203,10,0),0))</f>
        <v/>
      </c>
      <c r="P18" s="32" t="n"/>
      <c r="Q18" s="26">
        <f>IF($D18="","",IF($K18&lt;&gt;"对外销售",0,ROUND(N($J18)*IF($P18="",N($O18),N($P18)),0)))</f>
        <v/>
      </c>
      <c r="R18" s="26">
        <f>IF($D18="","",IFERROR(VLOOKUP($D18,库存台账!$A$5:$Y$1204,11,0),0))</f>
        <v/>
      </c>
      <c r="S18" s="26">
        <f>IF($D18="","",ROUND(N($J18)*N($R18),0))</f>
        <v/>
      </c>
      <c r="T18" s="26">
        <f>IF($D18="","",IF($K18&lt;&gt;"对外销售","",ROUND($Q18-$S18,0)))</f>
        <v/>
      </c>
      <c r="U18" s="17" t="n"/>
      <c r="V18" s="17" t="n"/>
      <c r="W18" s="24">
        <f>IF($D18="","",IF($E18="※编码不在物料档案里","※物料编码不在档案里",IF(N($J18)&lt;=0,"※出库数量要大于 0",IF($K18="","※没填去向类型",IF($L18="","※没填去向矿区",IF(AND($C18&lt;&gt;"",$C18&lt;=结账锁),"※日期早于已结账截止日，不能再录",IF(AND($K18="自用消耗",COUNTIF({"一矿区";"二矿区"},$L18)=0),"※自用消耗的去向只能是一矿区或二矿区",IF(AND($K18="对外销售",COUNTIF({"三矿区";"六矿区"},$L18)=0),"※对外销售的去向只能是三矿区或六矿区",IF(AND($K18="对外销售",ROUND($Q18,0)=0),"※外销却没有售价，请填实际售价",IF(AND($K18="对外销售",$T18&lt;&gt;"",$T18&lt;0),"※这一笔外销是亏的，请核对售价",IF(IFERROR(VLOOKUP($D18,库存台账!$A$5:$Y$1204,24,0),0)&lt;-0.001,"※这个物料账面已经变成负数了，查一下是不是漏记入库","")))))))))))</f>
        <v/>
      </c>
    </row>
    <row r="19">
      <c r="A19" s="24">
        <f>IF($D19="","",COUNTA($D$4:$D19))</f>
        <v/>
      </c>
      <c r="B19" s="17" t="n"/>
      <c r="C19" s="30" t="n"/>
      <c r="D19" s="17" t="n"/>
      <c r="E19" s="24">
        <f>IF($D19="","",IFERROR(VLOOKUP($D19,物料档案!$A$4:$P$1203,3,0),"※编码不在物料档案里"))</f>
        <v/>
      </c>
      <c r="F19" s="24">
        <f>IF($D19="","",IFERROR(VLOOKUP($D19,物料档案!$A$4:$P$1203,4,0),"※编码不在物料档案里"))</f>
        <v/>
      </c>
      <c r="G19" s="24">
        <f>IF($D19="","",IFERROR(VLOOKUP($D19,物料档案!$A$4:$P$1203,5,0),"※编码不在物料档案里"))</f>
        <v/>
      </c>
      <c r="H19" s="24">
        <f>IF($D19="","",IFERROR(VLOOKUP($D19,物料档案!$A$4:$P$1203,2,0),"※编码不在物料档案里"))</f>
        <v/>
      </c>
      <c r="I19" s="24">
        <f>IF($D19="","",IFERROR(VLOOKUP($D19,物料档案!$A$4:$P$1203,6,0),"※编码不在物料档案里"))</f>
        <v/>
      </c>
      <c r="J19" s="23" t="n"/>
      <c r="K19" s="17" t="n"/>
      <c r="L19" s="17" t="n"/>
      <c r="M19" s="17" t="n"/>
      <c r="N19" s="17" t="n"/>
      <c r="O19" s="26">
        <f>IF($D19="","",IFERROR(VLOOKUP($D19,物料档案!$A$4:$P$1203,10,0),0))</f>
        <v/>
      </c>
      <c r="P19" s="32" t="n"/>
      <c r="Q19" s="26">
        <f>IF($D19="","",IF($K19&lt;&gt;"对外销售",0,ROUND(N($J19)*IF($P19="",N($O19),N($P19)),0)))</f>
        <v/>
      </c>
      <c r="R19" s="26">
        <f>IF($D19="","",IFERROR(VLOOKUP($D19,库存台账!$A$5:$Y$1204,11,0),0))</f>
        <v/>
      </c>
      <c r="S19" s="26">
        <f>IF($D19="","",ROUND(N($J19)*N($R19),0))</f>
        <v/>
      </c>
      <c r="T19" s="26">
        <f>IF($D19="","",IF($K19&lt;&gt;"对外销售","",ROUND($Q19-$S19,0)))</f>
        <v/>
      </c>
      <c r="U19" s="17" t="n"/>
      <c r="V19" s="17" t="n"/>
      <c r="W19" s="24">
        <f>IF($D19="","",IF($E19="※编码不在物料档案里","※物料编码不在档案里",IF(N($J19)&lt;=0,"※出库数量要大于 0",IF($K19="","※没填去向类型",IF($L19="","※没填去向矿区",IF(AND($C19&lt;&gt;"",$C19&lt;=结账锁),"※日期早于已结账截止日，不能再录",IF(AND($K19="自用消耗",COUNTIF({"一矿区";"二矿区"},$L19)=0),"※自用消耗的去向只能是一矿区或二矿区",IF(AND($K19="对外销售",COUNTIF({"三矿区";"六矿区"},$L19)=0),"※对外销售的去向只能是三矿区或六矿区",IF(AND($K19="对外销售",ROUND($Q19,0)=0),"※外销却没有售价，请填实际售价",IF(AND($K19="对外销售",$T19&lt;&gt;"",$T19&lt;0),"※这一笔外销是亏的，请核对售价",IF(IFERROR(VLOOKUP($D19,库存台账!$A$5:$Y$1204,24,0),0)&lt;-0.001,"※这个物料账面已经变成负数了，查一下是不是漏记入库","")))))))))))</f>
        <v/>
      </c>
    </row>
    <row r="20">
      <c r="A20" s="24">
        <f>IF($D20="","",COUNTA($D$4:$D20))</f>
        <v/>
      </c>
      <c r="B20" s="17" t="n"/>
      <c r="C20" s="30" t="n"/>
      <c r="D20" s="17" t="n"/>
      <c r="E20" s="24">
        <f>IF($D20="","",IFERROR(VLOOKUP($D20,物料档案!$A$4:$P$1203,3,0),"※编码不在物料档案里"))</f>
        <v/>
      </c>
      <c r="F20" s="24">
        <f>IF($D20="","",IFERROR(VLOOKUP($D20,物料档案!$A$4:$P$1203,4,0),"※编码不在物料档案里"))</f>
        <v/>
      </c>
      <c r="G20" s="24">
        <f>IF($D20="","",IFERROR(VLOOKUP($D20,物料档案!$A$4:$P$1203,5,0),"※编码不在物料档案里"))</f>
        <v/>
      </c>
      <c r="H20" s="24">
        <f>IF($D20="","",IFERROR(VLOOKUP($D20,物料档案!$A$4:$P$1203,2,0),"※编码不在物料档案里"))</f>
        <v/>
      </c>
      <c r="I20" s="24">
        <f>IF($D20="","",IFERROR(VLOOKUP($D20,物料档案!$A$4:$P$1203,6,0),"※编码不在物料档案里"))</f>
        <v/>
      </c>
      <c r="J20" s="23" t="n"/>
      <c r="K20" s="17" t="n"/>
      <c r="L20" s="17" t="n"/>
      <c r="M20" s="17" t="n"/>
      <c r="N20" s="17" t="n"/>
      <c r="O20" s="26">
        <f>IF($D20="","",IFERROR(VLOOKUP($D20,物料档案!$A$4:$P$1203,10,0),0))</f>
        <v/>
      </c>
      <c r="P20" s="32" t="n"/>
      <c r="Q20" s="26">
        <f>IF($D20="","",IF($K20&lt;&gt;"对外销售",0,ROUND(N($J20)*IF($P20="",N($O20),N($P20)),0)))</f>
        <v/>
      </c>
      <c r="R20" s="26">
        <f>IF($D20="","",IFERROR(VLOOKUP($D20,库存台账!$A$5:$Y$1204,11,0),0))</f>
        <v/>
      </c>
      <c r="S20" s="26">
        <f>IF($D20="","",ROUND(N($J20)*N($R20),0))</f>
        <v/>
      </c>
      <c r="T20" s="26">
        <f>IF($D20="","",IF($K20&lt;&gt;"对外销售","",ROUND($Q20-$S20,0)))</f>
        <v/>
      </c>
      <c r="U20" s="17" t="n"/>
      <c r="V20" s="17" t="n"/>
      <c r="W20" s="24">
        <f>IF($D20="","",IF($E20="※编码不在物料档案里","※物料编码不在档案里",IF(N($J20)&lt;=0,"※出库数量要大于 0",IF($K20="","※没填去向类型",IF($L20="","※没填去向矿区",IF(AND($C20&lt;&gt;"",$C20&lt;=结账锁),"※日期早于已结账截止日，不能再录",IF(AND($K20="自用消耗",COUNTIF({"一矿区";"二矿区"},$L20)=0),"※自用消耗的去向只能是一矿区或二矿区",IF(AND($K20="对外销售",COUNTIF({"三矿区";"六矿区"},$L20)=0),"※对外销售的去向只能是三矿区或六矿区",IF(AND($K20="对外销售",ROUND($Q20,0)=0),"※外销却没有售价，请填实际售价",IF(AND($K20="对外销售",$T20&lt;&gt;"",$T20&lt;0),"※这一笔外销是亏的，请核对售价",IF(IFERROR(VLOOKUP($D20,库存台账!$A$5:$Y$1204,24,0),0)&lt;-0.001,"※这个物料账面已经变成负数了，查一下是不是漏记入库","")))))))))))</f>
        <v/>
      </c>
    </row>
    <row r="21">
      <c r="A21" s="24">
        <f>IF($D21="","",COUNTA($D$4:$D21))</f>
        <v/>
      </c>
      <c r="B21" s="17" t="n"/>
      <c r="C21" s="30" t="n"/>
      <c r="D21" s="17" t="n"/>
      <c r="E21" s="24">
        <f>IF($D21="","",IFERROR(VLOOKUP($D21,物料档案!$A$4:$P$1203,3,0),"※编码不在物料档案里"))</f>
        <v/>
      </c>
      <c r="F21" s="24">
        <f>IF($D21="","",IFERROR(VLOOKUP($D21,物料档案!$A$4:$P$1203,4,0),"※编码不在物料档案里"))</f>
        <v/>
      </c>
      <c r="G21" s="24">
        <f>IF($D21="","",IFERROR(VLOOKUP($D21,物料档案!$A$4:$P$1203,5,0),"※编码不在物料档案里"))</f>
        <v/>
      </c>
      <c r="H21" s="24">
        <f>IF($D21="","",IFERROR(VLOOKUP($D21,物料档案!$A$4:$P$1203,2,0),"※编码不在物料档案里"))</f>
        <v/>
      </c>
      <c r="I21" s="24">
        <f>IF($D21="","",IFERROR(VLOOKUP($D21,物料档案!$A$4:$P$1203,6,0),"※编码不在物料档案里"))</f>
        <v/>
      </c>
      <c r="J21" s="23" t="n"/>
      <c r="K21" s="17" t="n"/>
      <c r="L21" s="17" t="n"/>
      <c r="M21" s="17" t="n"/>
      <c r="N21" s="17" t="n"/>
      <c r="O21" s="26">
        <f>IF($D21="","",IFERROR(VLOOKUP($D21,物料档案!$A$4:$P$1203,10,0),0))</f>
        <v/>
      </c>
      <c r="P21" s="32" t="n"/>
      <c r="Q21" s="26">
        <f>IF($D21="","",IF($K21&lt;&gt;"对外销售",0,ROUND(N($J21)*IF($P21="",N($O21),N($P21)),0)))</f>
        <v/>
      </c>
      <c r="R21" s="26">
        <f>IF($D21="","",IFERROR(VLOOKUP($D21,库存台账!$A$5:$Y$1204,11,0),0))</f>
        <v/>
      </c>
      <c r="S21" s="26">
        <f>IF($D21="","",ROUND(N($J21)*N($R21),0))</f>
        <v/>
      </c>
      <c r="T21" s="26">
        <f>IF($D21="","",IF($K21&lt;&gt;"对外销售","",ROUND($Q21-$S21,0)))</f>
        <v/>
      </c>
      <c r="U21" s="17" t="n"/>
      <c r="V21" s="17" t="n"/>
      <c r="W21" s="24">
        <f>IF($D21="","",IF($E21="※编码不在物料档案里","※物料编码不在档案里",IF(N($J21)&lt;=0,"※出库数量要大于 0",IF($K21="","※没填去向类型",IF($L21="","※没填去向矿区",IF(AND($C21&lt;&gt;"",$C21&lt;=结账锁),"※日期早于已结账截止日，不能再录",IF(AND($K21="自用消耗",COUNTIF({"一矿区";"二矿区"},$L21)=0),"※自用消耗的去向只能是一矿区或二矿区",IF(AND($K21="对外销售",COUNTIF({"三矿区";"六矿区"},$L21)=0),"※对外销售的去向只能是三矿区或六矿区",IF(AND($K21="对外销售",ROUND($Q21,0)=0),"※外销却没有售价，请填实际售价",IF(AND($K21="对外销售",$T21&lt;&gt;"",$T21&lt;0),"※这一笔外销是亏的，请核对售价",IF(IFERROR(VLOOKUP($D21,库存台账!$A$5:$Y$1204,24,0),0)&lt;-0.001,"※这个物料账面已经变成负数了，查一下是不是漏记入库","")))))))))))</f>
        <v/>
      </c>
    </row>
    <row r="22">
      <c r="A22" s="24">
        <f>IF($D22="","",COUNTA($D$4:$D22))</f>
        <v/>
      </c>
      <c r="B22" s="17" t="n"/>
      <c r="C22" s="30" t="n"/>
      <c r="D22" s="17" t="n"/>
      <c r="E22" s="24">
        <f>IF($D22="","",IFERROR(VLOOKUP($D22,物料档案!$A$4:$P$1203,3,0),"※编码不在物料档案里"))</f>
        <v/>
      </c>
      <c r="F22" s="24">
        <f>IF($D22="","",IFERROR(VLOOKUP($D22,物料档案!$A$4:$P$1203,4,0),"※编码不在物料档案里"))</f>
        <v/>
      </c>
      <c r="G22" s="24">
        <f>IF($D22="","",IFERROR(VLOOKUP($D22,物料档案!$A$4:$P$1203,5,0),"※编码不在物料档案里"))</f>
        <v/>
      </c>
      <c r="H22" s="24">
        <f>IF($D22="","",IFERROR(VLOOKUP($D22,物料档案!$A$4:$P$1203,2,0),"※编码不在物料档案里"))</f>
        <v/>
      </c>
      <c r="I22" s="24">
        <f>IF($D22="","",IFERROR(VLOOKUP($D22,物料档案!$A$4:$P$1203,6,0),"※编码不在物料档案里"))</f>
        <v/>
      </c>
      <c r="J22" s="23" t="n"/>
      <c r="K22" s="17" t="n"/>
      <c r="L22" s="17" t="n"/>
      <c r="M22" s="17" t="n"/>
      <c r="N22" s="17" t="n"/>
      <c r="O22" s="26">
        <f>IF($D22="","",IFERROR(VLOOKUP($D22,物料档案!$A$4:$P$1203,10,0),0))</f>
        <v/>
      </c>
      <c r="P22" s="32" t="n"/>
      <c r="Q22" s="26">
        <f>IF($D22="","",IF($K22&lt;&gt;"对外销售",0,ROUND(N($J22)*IF($P22="",N($O22),N($P22)),0)))</f>
        <v/>
      </c>
      <c r="R22" s="26">
        <f>IF($D22="","",IFERROR(VLOOKUP($D22,库存台账!$A$5:$Y$1204,11,0),0))</f>
        <v/>
      </c>
      <c r="S22" s="26">
        <f>IF($D22="","",ROUND(N($J22)*N($R22),0))</f>
        <v/>
      </c>
      <c r="T22" s="26">
        <f>IF($D22="","",IF($K22&lt;&gt;"对外销售","",ROUND($Q22-$S22,0)))</f>
        <v/>
      </c>
      <c r="U22" s="17" t="n"/>
      <c r="V22" s="17" t="n"/>
      <c r="W22" s="24">
        <f>IF($D22="","",IF($E22="※编码不在物料档案里","※物料编码不在档案里",IF(N($J22)&lt;=0,"※出库数量要大于 0",IF($K22="","※没填去向类型",IF($L22="","※没填去向矿区",IF(AND($C22&lt;&gt;"",$C22&lt;=结账锁),"※日期早于已结账截止日，不能再录",IF(AND($K22="自用消耗",COUNTIF({"一矿区";"二矿区"},$L22)=0),"※自用消耗的去向只能是一矿区或二矿区",IF(AND($K22="对外销售",COUNTIF({"三矿区";"六矿区"},$L22)=0),"※对外销售的去向只能是三矿区或六矿区",IF(AND($K22="对外销售",ROUND($Q22,0)=0),"※外销却没有售价，请填实际售价",IF(AND($K22="对外销售",$T22&lt;&gt;"",$T22&lt;0),"※这一笔外销是亏的，请核对售价",IF(IFERROR(VLOOKUP($D22,库存台账!$A$5:$Y$1204,24,0),0)&lt;-0.001,"※这个物料账面已经变成负数了，查一下是不是漏记入库","")))))))))))</f>
        <v/>
      </c>
    </row>
    <row r="23">
      <c r="A23" s="24">
        <f>IF($D23="","",COUNTA($D$4:$D23))</f>
        <v/>
      </c>
      <c r="B23" s="17" t="n"/>
      <c r="C23" s="30" t="n"/>
      <c r="D23" s="17" t="n"/>
      <c r="E23" s="24">
        <f>IF($D23="","",IFERROR(VLOOKUP($D23,物料档案!$A$4:$P$1203,3,0),"※编码不在物料档案里"))</f>
        <v/>
      </c>
      <c r="F23" s="24">
        <f>IF($D23="","",IFERROR(VLOOKUP($D23,物料档案!$A$4:$P$1203,4,0),"※编码不在物料档案里"))</f>
        <v/>
      </c>
      <c r="G23" s="24">
        <f>IF($D23="","",IFERROR(VLOOKUP($D23,物料档案!$A$4:$P$1203,5,0),"※编码不在物料档案里"))</f>
        <v/>
      </c>
      <c r="H23" s="24">
        <f>IF($D23="","",IFERROR(VLOOKUP($D23,物料档案!$A$4:$P$1203,2,0),"※编码不在物料档案里"))</f>
        <v/>
      </c>
      <c r="I23" s="24">
        <f>IF($D23="","",IFERROR(VLOOKUP($D23,物料档案!$A$4:$P$1203,6,0),"※编码不在物料档案里"))</f>
        <v/>
      </c>
      <c r="J23" s="23" t="n"/>
      <c r="K23" s="17" t="n"/>
      <c r="L23" s="17" t="n"/>
      <c r="M23" s="17" t="n"/>
      <c r="N23" s="17" t="n"/>
      <c r="O23" s="26">
        <f>IF($D23="","",IFERROR(VLOOKUP($D23,物料档案!$A$4:$P$1203,10,0),0))</f>
        <v/>
      </c>
      <c r="P23" s="32" t="n"/>
      <c r="Q23" s="26">
        <f>IF($D23="","",IF($K23&lt;&gt;"对外销售",0,ROUND(N($J23)*IF($P23="",N($O23),N($P23)),0)))</f>
        <v/>
      </c>
      <c r="R23" s="26">
        <f>IF($D23="","",IFERROR(VLOOKUP($D23,库存台账!$A$5:$Y$1204,11,0),0))</f>
        <v/>
      </c>
      <c r="S23" s="26">
        <f>IF($D23="","",ROUND(N($J23)*N($R23),0))</f>
        <v/>
      </c>
      <c r="T23" s="26">
        <f>IF($D23="","",IF($K23&lt;&gt;"对外销售","",ROUND($Q23-$S23,0)))</f>
        <v/>
      </c>
      <c r="U23" s="17" t="n"/>
      <c r="V23" s="17" t="n"/>
      <c r="W23" s="24">
        <f>IF($D23="","",IF($E23="※编码不在物料档案里","※物料编码不在档案里",IF(N($J23)&lt;=0,"※出库数量要大于 0",IF($K23="","※没填去向类型",IF($L23="","※没填去向矿区",IF(AND($C23&lt;&gt;"",$C23&lt;=结账锁),"※日期早于已结账截止日，不能再录",IF(AND($K23="自用消耗",COUNTIF({"一矿区";"二矿区"},$L23)=0),"※自用消耗的去向只能是一矿区或二矿区",IF(AND($K23="对外销售",COUNTIF({"三矿区";"六矿区"},$L23)=0),"※对外销售的去向只能是三矿区或六矿区",IF(AND($K23="对外销售",ROUND($Q23,0)=0),"※外销却没有售价，请填实际售价",IF(AND($K23="对外销售",$T23&lt;&gt;"",$T23&lt;0),"※这一笔外销是亏的，请核对售价",IF(IFERROR(VLOOKUP($D23,库存台账!$A$5:$Y$1204,24,0),0)&lt;-0.001,"※这个物料账面已经变成负数了，查一下是不是漏记入库","")))))))))))</f>
        <v/>
      </c>
    </row>
    <row r="24">
      <c r="A24" s="24">
        <f>IF($D24="","",COUNTA($D$4:$D24))</f>
        <v/>
      </c>
      <c r="B24" s="17" t="n"/>
      <c r="C24" s="30" t="n"/>
      <c r="D24" s="17" t="n"/>
      <c r="E24" s="24">
        <f>IF($D24="","",IFERROR(VLOOKUP($D24,物料档案!$A$4:$P$1203,3,0),"※编码不在物料档案里"))</f>
        <v/>
      </c>
      <c r="F24" s="24">
        <f>IF($D24="","",IFERROR(VLOOKUP($D24,物料档案!$A$4:$P$1203,4,0),"※编码不在物料档案里"))</f>
        <v/>
      </c>
      <c r="G24" s="24">
        <f>IF($D24="","",IFERROR(VLOOKUP($D24,物料档案!$A$4:$P$1203,5,0),"※编码不在物料档案里"))</f>
        <v/>
      </c>
      <c r="H24" s="24">
        <f>IF($D24="","",IFERROR(VLOOKUP($D24,物料档案!$A$4:$P$1203,2,0),"※编码不在物料档案里"))</f>
        <v/>
      </c>
      <c r="I24" s="24">
        <f>IF($D24="","",IFERROR(VLOOKUP($D24,物料档案!$A$4:$P$1203,6,0),"※编码不在物料档案里"))</f>
        <v/>
      </c>
      <c r="J24" s="23" t="n"/>
      <c r="K24" s="17" t="n"/>
      <c r="L24" s="17" t="n"/>
      <c r="M24" s="17" t="n"/>
      <c r="N24" s="17" t="n"/>
      <c r="O24" s="26">
        <f>IF($D24="","",IFERROR(VLOOKUP($D24,物料档案!$A$4:$P$1203,10,0),0))</f>
        <v/>
      </c>
      <c r="P24" s="32" t="n"/>
      <c r="Q24" s="26">
        <f>IF($D24="","",IF($K24&lt;&gt;"对外销售",0,ROUND(N($J24)*IF($P24="",N($O24),N($P24)),0)))</f>
        <v/>
      </c>
      <c r="R24" s="26">
        <f>IF($D24="","",IFERROR(VLOOKUP($D24,库存台账!$A$5:$Y$1204,11,0),0))</f>
        <v/>
      </c>
      <c r="S24" s="26">
        <f>IF($D24="","",ROUND(N($J24)*N($R24),0))</f>
        <v/>
      </c>
      <c r="T24" s="26">
        <f>IF($D24="","",IF($K24&lt;&gt;"对外销售","",ROUND($Q24-$S24,0)))</f>
        <v/>
      </c>
      <c r="U24" s="17" t="n"/>
      <c r="V24" s="17" t="n"/>
      <c r="W24" s="24">
        <f>IF($D24="","",IF($E24="※编码不在物料档案里","※物料编码不在档案里",IF(N($J24)&lt;=0,"※出库数量要大于 0",IF($K24="","※没填去向类型",IF($L24="","※没填去向矿区",IF(AND($C24&lt;&gt;"",$C24&lt;=结账锁),"※日期早于已结账截止日，不能再录",IF(AND($K24="自用消耗",COUNTIF({"一矿区";"二矿区"},$L24)=0),"※自用消耗的去向只能是一矿区或二矿区",IF(AND($K24="对外销售",COUNTIF({"三矿区";"六矿区"},$L24)=0),"※对外销售的去向只能是三矿区或六矿区",IF(AND($K24="对外销售",ROUND($Q24,0)=0),"※外销却没有售价，请填实际售价",IF(AND($K24="对外销售",$T24&lt;&gt;"",$T24&lt;0),"※这一笔外销是亏的，请核对售价",IF(IFERROR(VLOOKUP($D24,库存台账!$A$5:$Y$1204,24,0),0)&lt;-0.001,"※这个物料账面已经变成负数了，查一下是不是漏记入库","")))))))))))</f>
        <v/>
      </c>
    </row>
    <row r="25">
      <c r="A25" s="24">
        <f>IF($D25="","",COUNTA($D$4:$D25))</f>
        <v/>
      </c>
      <c r="B25" s="17" t="n"/>
      <c r="C25" s="30" t="n"/>
      <c r="D25" s="17" t="n"/>
      <c r="E25" s="24">
        <f>IF($D25="","",IFERROR(VLOOKUP($D25,物料档案!$A$4:$P$1203,3,0),"※编码不在物料档案里"))</f>
        <v/>
      </c>
      <c r="F25" s="24">
        <f>IF($D25="","",IFERROR(VLOOKUP($D25,物料档案!$A$4:$P$1203,4,0),"※编码不在物料档案里"))</f>
        <v/>
      </c>
      <c r="G25" s="24">
        <f>IF($D25="","",IFERROR(VLOOKUP($D25,物料档案!$A$4:$P$1203,5,0),"※编码不在物料档案里"))</f>
        <v/>
      </c>
      <c r="H25" s="24">
        <f>IF($D25="","",IFERROR(VLOOKUP($D25,物料档案!$A$4:$P$1203,2,0),"※编码不在物料档案里"))</f>
        <v/>
      </c>
      <c r="I25" s="24">
        <f>IF($D25="","",IFERROR(VLOOKUP($D25,物料档案!$A$4:$P$1203,6,0),"※编码不在物料档案里"))</f>
        <v/>
      </c>
      <c r="J25" s="23" t="n"/>
      <c r="K25" s="17" t="n"/>
      <c r="L25" s="17" t="n"/>
      <c r="M25" s="17" t="n"/>
      <c r="N25" s="17" t="n"/>
      <c r="O25" s="26">
        <f>IF($D25="","",IFERROR(VLOOKUP($D25,物料档案!$A$4:$P$1203,10,0),0))</f>
        <v/>
      </c>
      <c r="P25" s="32" t="n"/>
      <c r="Q25" s="26">
        <f>IF($D25="","",IF($K25&lt;&gt;"对外销售",0,ROUND(N($J25)*IF($P25="",N($O25),N($P25)),0)))</f>
        <v/>
      </c>
      <c r="R25" s="26">
        <f>IF($D25="","",IFERROR(VLOOKUP($D25,库存台账!$A$5:$Y$1204,11,0),0))</f>
        <v/>
      </c>
      <c r="S25" s="26">
        <f>IF($D25="","",ROUND(N($J25)*N($R25),0))</f>
        <v/>
      </c>
      <c r="T25" s="26">
        <f>IF($D25="","",IF($K25&lt;&gt;"对外销售","",ROUND($Q25-$S25,0)))</f>
        <v/>
      </c>
      <c r="U25" s="17" t="n"/>
      <c r="V25" s="17" t="n"/>
      <c r="W25" s="24">
        <f>IF($D25="","",IF($E25="※编码不在物料档案里","※物料编码不在档案里",IF(N($J25)&lt;=0,"※出库数量要大于 0",IF($K25="","※没填去向类型",IF($L25="","※没填去向矿区",IF(AND($C25&lt;&gt;"",$C25&lt;=结账锁),"※日期早于已结账截止日，不能再录",IF(AND($K25="自用消耗",COUNTIF({"一矿区";"二矿区"},$L25)=0),"※自用消耗的去向只能是一矿区或二矿区",IF(AND($K25="对外销售",COUNTIF({"三矿区";"六矿区"},$L25)=0),"※对外销售的去向只能是三矿区或六矿区",IF(AND($K25="对外销售",ROUND($Q25,0)=0),"※外销却没有售价，请填实际售价",IF(AND($K25="对外销售",$T25&lt;&gt;"",$T25&lt;0),"※这一笔外销是亏的，请核对售价",IF(IFERROR(VLOOKUP($D25,库存台账!$A$5:$Y$1204,24,0),0)&lt;-0.001,"※这个物料账面已经变成负数了，查一下是不是漏记入库","")))))))))))</f>
        <v/>
      </c>
    </row>
    <row r="26">
      <c r="A26" s="24">
        <f>IF($D26="","",COUNTA($D$4:$D26))</f>
        <v/>
      </c>
      <c r="B26" s="17" t="n"/>
      <c r="C26" s="30" t="n"/>
      <c r="D26" s="17" t="n"/>
      <c r="E26" s="24">
        <f>IF($D26="","",IFERROR(VLOOKUP($D26,物料档案!$A$4:$P$1203,3,0),"※编码不在物料档案里"))</f>
        <v/>
      </c>
      <c r="F26" s="24">
        <f>IF($D26="","",IFERROR(VLOOKUP($D26,物料档案!$A$4:$P$1203,4,0),"※编码不在物料档案里"))</f>
        <v/>
      </c>
      <c r="G26" s="24">
        <f>IF($D26="","",IFERROR(VLOOKUP($D26,物料档案!$A$4:$P$1203,5,0),"※编码不在物料档案里"))</f>
        <v/>
      </c>
      <c r="H26" s="24">
        <f>IF($D26="","",IFERROR(VLOOKUP($D26,物料档案!$A$4:$P$1203,2,0),"※编码不在物料档案里"))</f>
        <v/>
      </c>
      <c r="I26" s="24">
        <f>IF($D26="","",IFERROR(VLOOKUP($D26,物料档案!$A$4:$P$1203,6,0),"※编码不在物料档案里"))</f>
        <v/>
      </c>
      <c r="J26" s="23" t="n"/>
      <c r="K26" s="17" t="n"/>
      <c r="L26" s="17" t="n"/>
      <c r="M26" s="17" t="n"/>
      <c r="N26" s="17" t="n"/>
      <c r="O26" s="26">
        <f>IF($D26="","",IFERROR(VLOOKUP($D26,物料档案!$A$4:$P$1203,10,0),0))</f>
        <v/>
      </c>
      <c r="P26" s="32" t="n"/>
      <c r="Q26" s="26">
        <f>IF($D26="","",IF($K26&lt;&gt;"对外销售",0,ROUND(N($J26)*IF($P26="",N($O26),N($P26)),0)))</f>
        <v/>
      </c>
      <c r="R26" s="26">
        <f>IF($D26="","",IFERROR(VLOOKUP($D26,库存台账!$A$5:$Y$1204,11,0),0))</f>
        <v/>
      </c>
      <c r="S26" s="26">
        <f>IF($D26="","",ROUND(N($J26)*N($R26),0))</f>
        <v/>
      </c>
      <c r="T26" s="26">
        <f>IF($D26="","",IF($K26&lt;&gt;"对外销售","",ROUND($Q26-$S26,0)))</f>
        <v/>
      </c>
      <c r="U26" s="17" t="n"/>
      <c r="V26" s="17" t="n"/>
      <c r="W26" s="24">
        <f>IF($D26="","",IF($E26="※编码不在物料档案里","※物料编码不在档案里",IF(N($J26)&lt;=0,"※出库数量要大于 0",IF($K26="","※没填去向类型",IF($L26="","※没填去向矿区",IF(AND($C26&lt;&gt;"",$C26&lt;=结账锁),"※日期早于已结账截止日，不能再录",IF(AND($K26="自用消耗",COUNTIF({"一矿区";"二矿区"},$L26)=0),"※自用消耗的去向只能是一矿区或二矿区",IF(AND($K26="对外销售",COUNTIF({"三矿区";"六矿区"},$L26)=0),"※对外销售的去向只能是三矿区或六矿区",IF(AND($K26="对外销售",ROUND($Q26,0)=0),"※外销却没有售价，请填实际售价",IF(AND($K26="对外销售",$T26&lt;&gt;"",$T26&lt;0),"※这一笔外销是亏的，请核对售价",IF(IFERROR(VLOOKUP($D26,库存台账!$A$5:$Y$1204,24,0),0)&lt;-0.001,"※这个物料账面已经变成负数了，查一下是不是漏记入库","")))))))))))</f>
        <v/>
      </c>
    </row>
    <row r="27">
      <c r="A27" s="24">
        <f>IF($D27="","",COUNTA($D$4:$D27))</f>
        <v/>
      </c>
      <c r="B27" s="17" t="n"/>
      <c r="C27" s="30" t="n"/>
      <c r="D27" s="17" t="n"/>
      <c r="E27" s="24">
        <f>IF($D27="","",IFERROR(VLOOKUP($D27,物料档案!$A$4:$P$1203,3,0),"※编码不在物料档案里"))</f>
        <v/>
      </c>
      <c r="F27" s="24">
        <f>IF($D27="","",IFERROR(VLOOKUP($D27,物料档案!$A$4:$P$1203,4,0),"※编码不在物料档案里"))</f>
        <v/>
      </c>
      <c r="G27" s="24">
        <f>IF($D27="","",IFERROR(VLOOKUP($D27,物料档案!$A$4:$P$1203,5,0),"※编码不在物料档案里"))</f>
        <v/>
      </c>
      <c r="H27" s="24">
        <f>IF($D27="","",IFERROR(VLOOKUP($D27,物料档案!$A$4:$P$1203,2,0),"※编码不在物料档案里"))</f>
        <v/>
      </c>
      <c r="I27" s="24">
        <f>IF($D27="","",IFERROR(VLOOKUP($D27,物料档案!$A$4:$P$1203,6,0),"※编码不在物料档案里"))</f>
        <v/>
      </c>
      <c r="J27" s="23" t="n"/>
      <c r="K27" s="17" t="n"/>
      <c r="L27" s="17" t="n"/>
      <c r="M27" s="17" t="n"/>
      <c r="N27" s="17" t="n"/>
      <c r="O27" s="26">
        <f>IF($D27="","",IFERROR(VLOOKUP($D27,物料档案!$A$4:$P$1203,10,0),0))</f>
        <v/>
      </c>
      <c r="P27" s="32" t="n"/>
      <c r="Q27" s="26">
        <f>IF($D27="","",IF($K27&lt;&gt;"对外销售",0,ROUND(N($J27)*IF($P27="",N($O27),N($P27)),0)))</f>
        <v/>
      </c>
      <c r="R27" s="26">
        <f>IF($D27="","",IFERROR(VLOOKUP($D27,库存台账!$A$5:$Y$1204,11,0),0))</f>
        <v/>
      </c>
      <c r="S27" s="26">
        <f>IF($D27="","",ROUND(N($J27)*N($R27),0))</f>
        <v/>
      </c>
      <c r="T27" s="26">
        <f>IF($D27="","",IF($K27&lt;&gt;"对外销售","",ROUND($Q27-$S27,0)))</f>
        <v/>
      </c>
      <c r="U27" s="17" t="n"/>
      <c r="V27" s="17" t="n"/>
      <c r="W27" s="24">
        <f>IF($D27="","",IF($E27="※编码不在物料档案里","※物料编码不在档案里",IF(N($J27)&lt;=0,"※出库数量要大于 0",IF($K27="","※没填去向类型",IF($L27="","※没填去向矿区",IF(AND($C27&lt;&gt;"",$C27&lt;=结账锁),"※日期早于已结账截止日，不能再录",IF(AND($K27="自用消耗",COUNTIF({"一矿区";"二矿区"},$L27)=0),"※自用消耗的去向只能是一矿区或二矿区",IF(AND($K27="对外销售",COUNTIF({"三矿区";"六矿区"},$L27)=0),"※对外销售的去向只能是三矿区或六矿区",IF(AND($K27="对外销售",ROUND($Q27,0)=0),"※外销却没有售价，请填实际售价",IF(AND($K27="对外销售",$T27&lt;&gt;"",$T27&lt;0),"※这一笔外销是亏的，请核对售价",IF(IFERROR(VLOOKUP($D27,库存台账!$A$5:$Y$1204,24,0),0)&lt;-0.001,"※这个物料账面已经变成负数了，查一下是不是漏记入库","")))))))))))</f>
        <v/>
      </c>
    </row>
    <row r="28">
      <c r="A28" s="24">
        <f>IF($D28="","",COUNTA($D$4:$D28))</f>
        <v/>
      </c>
      <c r="B28" s="17" t="n"/>
      <c r="C28" s="30" t="n"/>
      <c r="D28" s="17" t="n"/>
      <c r="E28" s="24">
        <f>IF($D28="","",IFERROR(VLOOKUP($D28,物料档案!$A$4:$P$1203,3,0),"※编码不在物料档案里"))</f>
        <v/>
      </c>
      <c r="F28" s="24">
        <f>IF($D28="","",IFERROR(VLOOKUP($D28,物料档案!$A$4:$P$1203,4,0),"※编码不在物料档案里"))</f>
        <v/>
      </c>
      <c r="G28" s="24">
        <f>IF($D28="","",IFERROR(VLOOKUP($D28,物料档案!$A$4:$P$1203,5,0),"※编码不在物料档案里"))</f>
        <v/>
      </c>
      <c r="H28" s="24">
        <f>IF($D28="","",IFERROR(VLOOKUP($D28,物料档案!$A$4:$P$1203,2,0),"※编码不在物料档案里"))</f>
        <v/>
      </c>
      <c r="I28" s="24">
        <f>IF($D28="","",IFERROR(VLOOKUP($D28,物料档案!$A$4:$P$1203,6,0),"※编码不在物料档案里"))</f>
        <v/>
      </c>
      <c r="J28" s="23" t="n"/>
      <c r="K28" s="17" t="n"/>
      <c r="L28" s="17" t="n"/>
      <c r="M28" s="17" t="n"/>
      <c r="N28" s="17" t="n"/>
      <c r="O28" s="26">
        <f>IF($D28="","",IFERROR(VLOOKUP($D28,物料档案!$A$4:$P$1203,10,0),0))</f>
        <v/>
      </c>
      <c r="P28" s="32" t="n"/>
      <c r="Q28" s="26">
        <f>IF($D28="","",IF($K28&lt;&gt;"对外销售",0,ROUND(N($J28)*IF($P28="",N($O28),N($P28)),0)))</f>
        <v/>
      </c>
      <c r="R28" s="26">
        <f>IF($D28="","",IFERROR(VLOOKUP($D28,库存台账!$A$5:$Y$1204,11,0),0))</f>
        <v/>
      </c>
      <c r="S28" s="26">
        <f>IF($D28="","",ROUND(N($J28)*N($R28),0))</f>
        <v/>
      </c>
      <c r="T28" s="26">
        <f>IF($D28="","",IF($K28&lt;&gt;"对外销售","",ROUND($Q28-$S28,0)))</f>
        <v/>
      </c>
      <c r="U28" s="17" t="n"/>
      <c r="V28" s="17" t="n"/>
      <c r="W28" s="24">
        <f>IF($D28="","",IF($E28="※编码不在物料档案里","※物料编码不在档案里",IF(N($J28)&lt;=0,"※出库数量要大于 0",IF($K28="","※没填去向类型",IF($L28="","※没填去向矿区",IF(AND($C28&lt;&gt;"",$C28&lt;=结账锁),"※日期早于已结账截止日，不能再录",IF(AND($K28="自用消耗",COUNTIF({"一矿区";"二矿区"},$L28)=0),"※自用消耗的去向只能是一矿区或二矿区",IF(AND($K28="对外销售",COUNTIF({"三矿区";"六矿区"},$L28)=0),"※对外销售的去向只能是三矿区或六矿区",IF(AND($K28="对外销售",ROUND($Q28,0)=0),"※外销却没有售价，请填实际售价",IF(AND($K28="对外销售",$T28&lt;&gt;"",$T28&lt;0),"※这一笔外销是亏的，请核对售价",IF(IFERROR(VLOOKUP($D28,库存台账!$A$5:$Y$1204,24,0),0)&lt;-0.001,"※这个物料账面已经变成负数了，查一下是不是漏记入库","")))))))))))</f>
        <v/>
      </c>
    </row>
    <row r="29">
      <c r="A29" s="24">
        <f>IF($D29="","",COUNTA($D$4:$D29))</f>
        <v/>
      </c>
      <c r="B29" s="17" t="n"/>
      <c r="C29" s="30" t="n"/>
      <c r="D29" s="17" t="n"/>
      <c r="E29" s="24">
        <f>IF($D29="","",IFERROR(VLOOKUP($D29,物料档案!$A$4:$P$1203,3,0),"※编码不在物料档案里"))</f>
        <v/>
      </c>
      <c r="F29" s="24">
        <f>IF($D29="","",IFERROR(VLOOKUP($D29,物料档案!$A$4:$P$1203,4,0),"※编码不在物料档案里"))</f>
        <v/>
      </c>
      <c r="G29" s="24">
        <f>IF($D29="","",IFERROR(VLOOKUP($D29,物料档案!$A$4:$P$1203,5,0),"※编码不在物料档案里"))</f>
        <v/>
      </c>
      <c r="H29" s="24">
        <f>IF($D29="","",IFERROR(VLOOKUP($D29,物料档案!$A$4:$P$1203,2,0),"※编码不在物料档案里"))</f>
        <v/>
      </c>
      <c r="I29" s="24">
        <f>IF($D29="","",IFERROR(VLOOKUP($D29,物料档案!$A$4:$P$1203,6,0),"※编码不在物料档案里"))</f>
        <v/>
      </c>
      <c r="J29" s="23" t="n"/>
      <c r="K29" s="17" t="n"/>
      <c r="L29" s="17" t="n"/>
      <c r="M29" s="17" t="n"/>
      <c r="N29" s="17" t="n"/>
      <c r="O29" s="26">
        <f>IF($D29="","",IFERROR(VLOOKUP($D29,物料档案!$A$4:$P$1203,10,0),0))</f>
        <v/>
      </c>
      <c r="P29" s="32" t="n"/>
      <c r="Q29" s="26">
        <f>IF($D29="","",IF($K29&lt;&gt;"对外销售",0,ROUND(N($J29)*IF($P29="",N($O29),N($P29)),0)))</f>
        <v/>
      </c>
      <c r="R29" s="26">
        <f>IF($D29="","",IFERROR(VLOOKUP($D29,库存台账!$A$5:$Y$1204,11,0),0))</f>
        <v/>
      </c>
      <c r="S29" s="26">
        <f>IF($D29="","",ROUND(N($J29)*N($R29),0))</f>
        <v/>
      </c>
      <c r="T29" s="26">
        <f>IF($D29="","",IF($K29&lt;&gt;"对外销售","",ROUND($Q29-$S29,0)))</f>
        <v/>
      </c>
      <c r="U29" s="17" t="n"/>
      <c r="V29" s="17" t="n"/>
      <c r="W29" s="24">
        <f>IF($D29="","",IF($E29="※编码不在物料档案里","※物料编码不在档案里",IF(N($J29)&lt;=0,"※出库数量要大于 0",IF($K29="","※没填去向类型",IF($L29="","※没填去向矿区",IF(AND($C29&lt;&gt;"",$C29&lt;=结账锁),"※日期早于已结账截止日，不能再录",IF(AND($K29="自用消耗",COUNTIF({"一矿区";"二矿区"},$L29)=0),"※自用消耗的去向只能是一矿区或二矿区",IF(AND($K29="对外销售",COUNTIF({"三矿区";"六矿区"},$L29)=0),"※对外销售的去向只能是三矿区或六矿区",IF(AND($K29="对外销售",ROUND($Q29,0)=0),"※外销却没有售价，请填实际售价",IF(AND($K29="对外销售",$T29&lt;&gt;"",$T29&lt;0),"※这一笔外销是亏的，请核对售价",IF(IFERROR(VLOOKUP($D29,库存台账!$A$5:$Y$1204,24,0),0)&lt;-0.001,"※这个物料账面已经变成负数了，查一下是不是漏记入库","")))))))))))</f>
        <v/>
      </c>
    </row>
    <row r="30">
      <c r="A30" s="24">
        <f>IF($D30="","",COUNTA($D$4:$D30))</f>
        <v/>
      </c>
      <c r="B30" s="17" t="n"/>
      <c r="C30" s="30" t="n"/>
      <c r="D30" s="17" t="n"/>
      <c r="E30" s="24">
        <f>IF($D30="","",IFERROR(VLOOKUP($D30,物料档案!$A$4:$P$1203,3,0),"※编码不在物料档案里"))</f>
        <v/>
      </c>
      <c r="F30" s="24">
        <f>IF($D30="","",IFERROR(VLOOKUP($D30,物料档案!$A$4:$P$1203,4,0),"※编码不在物料档案里"))</f>
        <v/>
      </c>
      <c r="G30" s="24">
        <f>IF($D30="","",IFERROR(VLOOKUP($D30,物料档案!$A$4:$P$1203,5,0),"※编码不在物料档案里"))</f>
        <v/>
      </c>
      <c r="H30" s="24">
        <f>IF($D30="","",IFERROR(VLOOKUP($D30,物料档案!$A$4:$P$1203,2,0),"※编码不在物料档案里"))</f>
        <v/>
      </c>
      <c r="I30" s="24">
        <f>IF($D30="","",IFERROR(VLOOKUP($D30,物料档案!$A$4:$P$1203,6,0),"※编码不在物料档案里"))</f>
        <v/>
      </c>
      <c r="J30" s="23" t="n"/>
      <c r="K30" s="17" t="n"/>
      <c r="L30" s="17" t="n"/>
      <c r="M30" s="17" t="n"/>
      <c r="N30" s="17" t="n"/>
      <c r="O30" s="26">
        <f>IF($D30="","",IFERROR(VLOOKUP($D30,物料档案!$A$4:$P$1203,10,0),0))</f>
        <v/>
      </c>
      <c r="P30" s="32" t="n"/>
      <c r="Q30" s="26">
        <f>IF($D30="","",IF($K30&lt;&gt;"对外销售",0,ROUND(N($J30)*IF($P30="",N($O30),N($P30)),0)))</f>
        <v/>
      </c>
      <c r="R30" s="26">
        <f>IF($D30="","",IFERROR(VLOOKUP($D30,库存台账!$A$5:$Y$1204,11,0),0))</f>
        <v/>
      </c>
      <c r="S30" s="26">
        <f>IF($D30="","",ROUND(N($J30)*N($R30),0))</f>
        <v/>
      </c>
      <c r="T30" s="26">
        <f>IF($D30="","",IF($K30&lt;&gt;"对外销售","",ROUND($Q30-$S30,0)))</f>
        <v/>
      </c>
      <c r="U30" s="17" t="n"/>
      <c r="V30" s="17" t="n"/>
      <c r="W30" s="24">
        <f>IF($D30="","",IF($E30="※编码不在物料档案里","※物料编码不在档案里",IF(N($J30)&lt;=0,"※出库数量要大于 0",IF($K30="","※没填去向类型",IF($L30="","※没填去向矿区",IF(AND($C30&lt;&gt;"",$C30&lt;=结账锁),"※日期早于已结账截止日，不能再录",IF(AND($K30="自用消耗",COUNTIF({"一矿区";"二矿区"},$L30)=0),"※自用消耗的去向只能是一矿区或二矿区",IF(AND($K30="对外销售",COUNTIF({"三矿区";"六矿区"},$L30)=0),"※对外销售的去向只能是三矿区或六矿区",IF(AND($K30="对外销售",ROUND($Q30,0)=0),"※外销却没有售价，请填实际售价",IF(AND($K30="对外销售",$T30&lt;&gt;"",$T30&lt;0),"※这一笔外销是亏的，请核对售价",IF(IFERROR(VLOOKUP($D30,库存台账!$A$5:$Y$1204,24,0),0)&lt;-0.001,"※这个物料账面已经变成负数了，查一下是不是漏记入库","")))))))))))</f>
        <v/>
      </c>
    </row>
    <row r="31">
      <c r="A31" s="24">
        <f>IF($D31="","",COUNTA($D$4:$D31))</f>
        <v/>
      </c>
      <c r="B31" s="17" t="n"/>
      <c r="C31" s="30" t="n"/>
      <c r="D31" s="17" t="n"/>
      <c r="E31" s="24">
        <f>IF($D31="","",IFERROR(VLOOKUP($D31,物料档案!$A$4:$P$1203,3,0),"※编码不在物料档案里"))</f>
        <v/>
      </c>
      <c r="F31" s="24">
        <f>IF($D31="","",IFERROR(VLOOKUP($D31,物料档案!$A$4:$P$1203,4,0),"※编码不在物料档案里"))</f>
        <v/>
      </c>
      <c r="G31" s="24">
        <f>IF($D31="","",IFERROR(VLOOKUP($D31,物料档案!$A$4:$P$1203,5,0),"※编码不在物料档案里"))</f>
        <v/>
      </c>
      <c r="H31" s="24">
        <f>IF($D31="","",IFERROR(VLOOKUP($D31,物料档案!$A$4:$P$1203,2,0),"※编码不在物料档案里"))</f>
        <v/>
      </c>
      <c r="I31" s="24">
        <f>IF($D31="","",IFERROR(VLOOKUP($D31,物料档案!$A$4:$P$1203,6,0),"※编码不在物料档案里"))</f>
        <v/>
      </c>
      <c r="J31" s="23" t="n"/>
      <c r="K31" s="17" t="n"/>
      <c r="L31" s="17" t="n"/>
      <c r="M31" s="17" t="n"/>
      <c r="N31" s="17" t="n"/>
      <c r="O31" s="26">
        <f>IF($D31="","",IFERROR(VLOOKUP($D31,物料档案!$A$4:$P$1203,10,0),0))</f>
        <v/>
      </c>
      <c r="P31" s="32" t="n"/>
      <c r="Q31" s="26">
        <f>IF($D31="","",IF($K31&lt;&gt;"对外销售",0,ROUND(N($J31)*IF($P31="",N($O31),N($P31)),0)))</f>
        <v/>
      </c>
      <c r="R31" s="26">
        <f>IF($D31="","",IFERROR(VLOOKUP($D31,库存台账!$A$5:$Y$1204,11,0),0))</f>
        <v/>
      </c>
      <c r="S31" s="26">
        <f>IF($D31="","",ROUND(N($J31)*N($R31),0))</f>
        <v/>
      </c>
      <c r="T31" s="26">
        <f>IF($D31="","",IF($K31&lt;&gt;"对外销售","",ROUND($Q31-$S31,0)))</f>
        <v/>
      </c>
      <c r="U31" s="17" t="n"/>
      <c r="V31" s="17" t="n"/>
      <c r="W31" s="24">
        <f>IF($D31="","",IF($E31="※编码不在物料档案里","※物料编码不在档案里",IF(N($J31)&lt;=0,"※出库数量要大于 0",IF($K31="","※没填去向类型",IF($L31="","※没填去向矿区",IF(AND($C31&lt;&gt;"",$C31&lt;=结账锁),"※日期早于已结账截止日，不能再录",IF(AND($K31="自用消耗",COUNTIF({"一矿区";"二矿区"},$L31)=0),"※自用消耗的去向只能是一矿区或二矿区",IF(AND($K31="对外销售",COUNTIF({"三矿区";"六矿区"},$L31)=0),"※对外销售的去向只能是三矿区或六矿区",IF(AND($K31="对外销售",ROUND($Q31,0)=0),"※外销却没有售价，请填实际售价",IF(AND($K31="对外销售",$T31&lt;&gt;"",$T31&lt;0),"※这一笔外销是亏的，请核对售价",IF(IFERROR(VLOOKUP($D31,库存台账!$A$5:$Y$1204,24,0),0)&lt;-0.001,"※这个物料账面已经变成负数了，查一下是不是漏记入库","")))))))))))</f>
        <v/>
      </c>
    </row>
    <row r="32">
      <c r="A32" s="24">
        <f>IF($D32="","",COUNTA($D$4:$D32))</f>
        <v/>
      </c>
      <c r="B32" s="17" t="n"/>
      <c r="C32" s="30" t="n"/>
      <c r="D32" s="17" t="n"/>
      <c r="E32" s="24">
        <f>IF($D32="","",IFERROR(VLOOKUP($D32,物料档案!$A$4:$P$1203,3,0),"※编码不在物料档案里"))</f>
        <v/>
      </c>
      <c r="F32" s="24">
        <f>IF($D32="","",IFERROR(VLOOKUP($D32,物料档案!$A$4:$P$1203,4,0),"※编码不在物料档案里"))</f>
        <v/>
      </c>
      <c r="G32" s="24">
        <f>IF($D32="","",IFERROR(VLOOKUP($D32,物料档案!$A$4:$P$1203,5,0),"※编码不在物料档案里"))</f>
        <v/>
      </c>
      <c r="H32" s="24">
        <f>IF($D32="","",IFERROR(VLOOKUP($D32,物料档案!$A$4:$P$1203,2,0),"※编码不在物料档案里"))</f>
        <v/>
      </c>
      <c r="I32" s="24">
        <f>IF($D32="","",IFERROR(VLOOKUP($D32,物料档案!$A$4:$P$1203,6,0),"※编码不在物料档案里"))</f>
        <v/>
      </c>
      <c r="J32" s="23" t="n"/>
      <c r="K32" s="17" t="n"/>
      <c r="L32" s="17" t="n"/>
      <c r="M32" s="17" t="n"/>
      <c r="N32" s="17" t="n"/>
      <c r="O32" s="26">
        <f>IF($D32="","",IFERROR(VLOOKUP($D32,物料档案!$A$4:$P$1203,10,0),0))</f>
        <v/>
      </c>
      <c r="P32" s="32" t="n"/>
      <c r="Q32" s="26">
        <f>IF($D32="","",IF($K32&lt;&gt;"对外销售",0,ROUND(N($J32)*IF($P32="",N($O32),N($P32)),0)))</f>
        <v/>
      </c>
      <c r="R32" s="26">
        <f>IF($D32="","",IFERROR(VLOOKUP($D32,库存台账!$A$5:$Y$1204,11,0),0))</f>
        <v/>
      </c>
      <c r="S32" s="26">
        <f>IF($D32="","",ROUND(N($J32)*N($R32),0))</f>
        <v/>
      </c>
      <c r="T32" s="26">
        <f>IF($D32="","",IF($K32&lt;&gt;"对外销售","",ROUND($Q32-$S32,0)))</f>
        <v/>
      </c>
      <c r="U32" s="17" t="n"/>
      <c r="V32" s="17" t="n"/>
      <c r="W32" s="24">
        <f>IF($D32="","",IF($E32="※编码不在物料档案里","※物料编码不在档案里",IF(N($J32)&lt;=0,"※出库数量要大于 0",IF($K32="","※没填去向类型",IF($L32="","※没填去向矿区",IF(AND($C32&lt;&gt;"",$C32&lt;=结账锁),"※日期早于已结账截止日，不能再录",IF(AND($K32="自用消耗",COUNTIF({"一矿区";"二矿区"},$L32)=0),"※自用消耗的去向只能是一矿区或二矿区",IF(AND($K32="对外销售",COUNTIF({"三矿区";"六矿区"},$L32)=0),"※对外销售的去向只能是三矿区或六矿区",IF(AND($K32="对外销售",ROUND($Q32,0)=0),"※外销却没有售价，请填实际售价",IF(AND($K32="对外销售",$T32&lt;&gt;"",$T32&lt;0),"※这一笔外销是亏的，请核对售价",IF(IFERROR(VLOOKUP($D32,库存台账!$A$5:$Y$1204,24,0),0)&lt;-0.001,"※这个物料账面已经变成负数了，查一下是不是漏记入库","")))))))))))</f>
        <v/>
      </c>
    </row>
    <row r="33">
      <c r="A33" s="24">
        <f>IF($D33="","",COUNTA($D$4:$D33))</f>
        <v/>
      </c>
      <c r="B33" s="17" t="n"/>
      <c r="C33" s="30" t="n"/>
      <c r="D33" s="17" t="n"/>
      <c r="E33" s="24">
        <f>IF($D33="","",IFERROR(VLOOKUP($D33,物料档案!$A$4:$P$1203,3,0),"※编码不在物料档案里"))</f>
        <v/>
      </c>
      <c r="F33" s="24">
        <f>IF($D33="","",IFERROR(VLOOKUP($D33,物料档案!$A$4:$P$1203,4,0),"※编码不在物料档案里"))</f>
        <v/>
      </c>
      <c r="G33" s="24">
        <f>IF($D33="","",IFERROR(VLOOKUP($D33,物料档案!$A$4:$P$1203,5,0),"※编码不在物料档案里"))</f>
        <v/>
      </c>
      <c r="H33" s="24">
        <f>IF($D33="","",IFERROR(VLOOKUP($D33,物料档案!$A$4:$P$1203,2,0),"※编码不在物料档案里"))</f>
        <v/>
      </c>
      <c r="I33" s="24">
        <f>IF($D33="","",IFERROR(VLOOKUP($D33,物料档案!$A$4:$P$1203,6,0),"※编码不在物料档案里"))</f>
        <v/>
      </c>
      <c r="J33" s="23" t="n"/>
      <c r="K33" s="17" t="n"/>
      <c r="L33" s="17" t="n"/>
      <c r="M33" s="17" t="n"/>
      <c r="N33" s="17" t="n"/>
      <c r="O33" s="26">
        <f>IF($D33="","",IFERROR(VLOOKUP($D33,物料档案!$A$4:$P$1203,10,0),0))</f>
        <v/>
      </c>
      <c r="P33" s="32" t="n"/>
      <c r="Q33" s="26">
        <f>IF($D33="","",IF($K33&lt;&gt;"对外销售",0,ROUND(N($J33)*IF($P33="",N($O33),N($P33)),0)))</f>
        <v/>
      </c>
      <c r="R33" s="26">
        <f>IF($D33="","",IFERROR(VLOOKUP($D33,库存台账!$A$5:$Y$1204,11,0),0))</f>
        <v/>
      </c>
      <c r="S33" s="26">
        <f>IF($D33="","",ROUND(N($J33)*N($R33),0))</f>
        <v/>
      </c>
      <c r="T33" s="26">
        <f>IF($D33="","",IF($K33&lt;&gt;"对外销售","",ROUND($Q33-$S33,0)))</f>
        <v/>
      </c>
      <c r="U33" s="17" t="n"/>
      <c r="V33" s="17" t="n"/>
      <c r="W33" s="24">
        <f>IF($D33="","",IF($E33="※编码不在物料档案里","※物料编码不在档案里",IF(N($J33)&lt;=0,"※出库数量要大于 0",IF($K33="","※没填去向类型",IF($L33="","※没填去向矿区",IF(AND($C33&lt;&gt;"",$C33&lt;=结账锁),"※日期早于已结账截止日，不能再录",IF(AND($K33="自用消耗",COUNTIF({"一矿区";"二矿区"},$L33)=0),"※自用消耗的去向只能是一矿区或二矿区",IF(AND($K33="对外销售",COUNTIF({"三矿区";"六矿区"},$L33)=0),"※对外销售的去向只能是三矿区或六矿区",IF(AND($K33="对外销售",ROUND($Q33,0)=0),"※外销却没有售价，请填实际售价",IF(AND($K33="对外销售",$T33&lt;&gt;"",$T33&lt;0),"※这一笔外销是亏的，请核对售价",IF(IFERROR(VLOOKUP($D33,库存台账!$A$5:$Y$1204,24,0),0)&lt;-0.001,"※这个物料账面已经变成负数了，查一下是不是漏记入库","")))))))))))</f>
        <v/>
      </c>
    </row>
    <row r="34">
      <c r="A34" s="24">
        <f>IF($D34="","",COUNTA($D$4:$D34))</f>
        <v/>
      </c>
      <c r="B34" s="17" t="n"/>
      <c r="C34" s="30" t="n"/>
      <c r="D34" s="17" t="n"/>
      <c r="E34" s="24">
        <f>IF($D34="","",IFERROR(VLOOKUP($D34,物料档案!$A$4:$P$1203,3,0),"※编码不在物料档案里"))</f>
        <v/>
      </c>
      <c r="F34" s="24">
        <f>IF($D34="","",IFERROR(VLOOKUP($D34,物料档案!$A$4:$P$1203,4,0),"※编码不在物料档案里"))</f>
        <v/>
      </c>
      <c r="G34" s="24">
        <f>IF($D34="","",IFERROR(VLOOKUP($D34,物料档案!$A$4:$P$1203,5,0),"※编码不在物料档案里"))</f>
        <v/>
      </c>
      <c r="H34" s="24">
        <f>IF($D34="","",IFERROR(VLOOKUP($D34,物料档案!$A$4:$P$1203,2,0),"※编码不在物料档案里"))</f>
        <v/>
      </c>
      <c r="I34" s="24">
        <f>IF($D34="","",IFERROR(VLOOKUP($D34,物料档案!$A$4:$P$1203,6,0),"※编码不在物料档案里"))</f>
        <v/>
      </c>
      <c r="J34" s="23" t="n"/>
      <c r="K34" s="17" t="n"/>
      <c r="L34" s="17" t="n"/>
      <c r="M34" s="17" t="n"/>
      <c r="N34" s="17" t="n"/>
      <c r="O34" s="26">
        <f>IF($D34="","",IFERROR(VLOOKUP($D34,物料档案!$A$4:$P$1203,10,0),0))</f>
        <v/>
      </c>
      <c r="P34" s="32" t="n"/>
      <c r="Q34" s="26">
        <f>IF($D34="","",IF($K34&lt;&gt;"对外销售",0,ROUND(N($J34)*IF($P34="",N($O34),N($P34)),0)))</f>
        <v/>
      </c>
      <c r="R34" s="26">
        <f>IF($D34="","",IFERROR(VLOOKUP($D34,库存台账!$A$5:$Y$1204,11,0),0))</f>
        <v/>
      </c>
      <c r="S34" s="26">
        <f>IF($D34="","",ROUND(N($J34)*N($R34),0))</f>
        <v/>
      </c>
      <c r="T34" s="26">
        <f>IF($D34="","",IF($K34&lt;&gt;"对外销售","",ROUND($Q34-$S34,0)))</f>
        <v/>
      </c>
      <c r="U34" s="17" t="n"/>
      <c r="V34" s="17" t="n"/>
      <c r="W34" s="24">
        <f>IF($D34="","",IF($E34="※编码不在物料档案里","※物料编码不在档案里",IF(N($J34)&lt;=0,"※出库数量要大于 0",IF($K34="","※没填去向类型",IF($L34="","※没填去向矿区",IF(AND($C34&lt;&gt;"",$C34&lt;=结账锁),"※日期早于已结账截止日，不能再录",IF(AND($K34="自用消耗",COUNTIF({"一矿区";"二矿区"},$L34)=0),"※自用消耗的去向只能是一矿区或二矿区",IF(AND($K34="对外销售",COUNTIF({"三矿区";"六矿区"},$L34)=0),"※对外销售的去向只能是三矿区或六矿区",IF(AND($K34="对外销售",ROUND($Q34,0)=0),"※外销却没有售价，请填实际售价",IF(AND($K34="对外销售",$T34&lt;&gt;"",$T34&lt;0),"※这一笔外销是亏的，请核对售价",IF(IFERROR(VLOOKUP($D34,库存台账!$A$5:$Y$1204,24,0),0)&lt;-0.001,"※这个物料账面已经变成负数了，查一下是不是漏记入库","")))))))))))</f>
        <v/>
      </c>
    </row>
    <row r="35">
      <c r="A35" s="24">
        <f>IF($D35="","",COUNTA($D$4:$D35))</f>
        <v/>
      </c>
      <c r="B35" s="17" t="n"/>
      <c r="C35" s="30" t="n"/>
      <c r="D35" s="17" t="n"/>
      <c r="E35" s="24">
        <f>IF($D35="","",IFERROR(VLOOKUP($D35,物料档案!$A$4:$P$1203,3,0),"※编码不在物料档案里"))</f>
        <v/>
      </c>
      <c r="F35" s="24">
        <f>IF($D35="","",IFERROR(VLOOKUP($D35,物料档案!$A$4:$P$1203,4,0),"※编码不在物料档案里"))</f>
        <v/>
      </c>
      <c r="G35" s="24">
        <f>IF($D35="","",IFERROR(VLOOKUP($D35,物料档案!$A$4:$P$1203,5,0),"※编码不在物料档案里"))</f>
        <v/>
      </c>
      <c r="H35" s="24">
        <f>IF($D35="","",IFERROR(VLOOKUP($D35,物料档案!$A$4:$P$1203,2,0),"※编码不在物料档案里"))</f>
        <v/>
      </c>
      <c r="I35" s="24">
        <f>IF($D35="","",IFERROR(VLOOKUP($D35,物料档案!$A$4:$P$1203,6,0),"※编码不在物料档案里"))</f>
        <v/>
      </c>
      <c r="J35" s="23" t="n"/>
      <c r="K35" s="17" t="n"/>
      <c r="L35" s="17" t="n"/>
      <c r="M35" s="17" t="n"/>
      <c r="N35" s="17" t="n"/>
      <c r="O35" s="26">
        <f>IF($D35="","",IFERROR(VLOOKUP($D35,物料档案!$A$4:$P$1203,10,0),0))</f>
        <v/>
      </c>
      <c r="P35" s="32" t="n"/>
      <c r="Q35" s="26">
        <f>IF($D35="","",IF($K35&lt;&gt;"对外销售",0,ROUND(N($J35)*IF($P35="",N($O35),N($P35)),0)))</f>
        <v/>
      </c>
      <c r="R35" s="26">
        <f>IF($D35="","",IFERROR(VLOOKUP($D35,库存台账!$A$5:$Y$1204,11,0),0))</f>
        <v/>
      </c>
      <c r="S35" s="26">
        <f>IF($D35="","",ROUND(N($J35)*N($R35),0))</f>
        <v/>
      </c>
      <c r="T35" s="26">
        <f>IF($D35="","",IF($K35&lt;&gt;"对外销售","",ROUND($Q35-$S35,0)))</f>
        <v/>
      </c>
      <c r="U35" s="17" t="n"/>
      <c r="V35" s="17" t="n"/>
      <c r="W35" s="24">
        <f>IF($D35="","",IF($E35="※编码不在物料档案里","※物料编码不在档案里",IF(N($J35)&lt;=0,"※出库数量要大于 0",IF($K35="","※没填去向类型",IF($L35="","※没填去向矿区",IF(AND($C35&lt;&gt;"",$C35&lt;=结账锁),"※日期早于已结账截止日，不能再录",IF(AND($K35="自用消耗",COUNTIF({"一矿区";"二矿区"},$L35)=0),"※自用消耗的去向只能是一矿区或二矿区",IF(AND($K35="对外销售",COUNTIF({"三矿区";"六矿区"},$L35)=0),"※对外销售的去向只能是三矿区或六矿区",IF(AND($K35="对外销售",ROUND($Q35,0)=0),"※外销却没有售价，请填实际售价",IF(AND($K35="对外销售",$T35&lt;&gt;"",$T35&lt;0),"※这一笔外销是亏的，请核对售价",IF(IFERROR(VLOOKUP($D35,库存台账!$A$5:$Y$1204,24,0),0)&lt;-0.001,"※这个物料账面已经变成负数了，查一下是不是漏记入库","")))))))))))</f>
        <v/>
      </c>
    </row>
    <row r="36">
      <c r="A36" s="24">
        <f>IF($D36="","",COUNTA($D$4:$D36))</f>
        <v/>
      </c>
      <c r="B36" s="17" t="n"/>
      <c r="C36" s="30" t="n"/>
      <c r="D36" s="17" t="n"/>
      <c r="E36" s="24">
        <f>IF($D36="","",IFERROR(VLOOKUP($D36,物料档案!$A$4:$P$1203,3,0),"※编码不在物料档案里"))</f>
        <v/>
      </c>
      <c r="F36" s="24">
        <f>IF($D36="","",IFERROR(VLOOKUP($D36,物料档案!$A$4:$P$1203,4,0),"※编码不在物料档案里"))</f>
        <v/>
      </c>
      <c r="G36" s="24">
        <f>IF($D36="","",IFERROR(VLOOKUP($D36,物料档案!$A$4:$P$1203,5,0),"※编码不在物料档案里"))</f>
        <v/>
      </c>
      <c r="H36" s="24">
        <f>IF($D36="","",IFERROR(VLOOKUP($D36,物料档案!$A$4:$P$1203,2,0),"※编码不在物料档案里"))</f>
        <v/>
      </c>
      <c r="I36" s="24">
        <f>IF($D36="","",IFERROR(VLOOKUP($D36,物料档案!$A$4:$P$1203,6,0),"※编码不在物料档案里"))</f>
        <v/>
      </c>
      <c r="J36" s="23" t="n"/>
      <c r="K36" s="17" t="n"/>
      <c r="L36" s="17" t="n"/>
      <c r="M36" s="17" t="n"/>
      <c r="N36" s="17" t="n"/>
      <c r="O36" s="26">
        <f>IF($D36="","",IFERROR(VLOOKUP($D36,物料档案!$A$4:$P$1203,10,0),0))</f>
        <v/>
      </c>
      <c r="P36" s="32" t="n"/>
      <c r="Q36" s="26">
        <f>IF($D36="","",IF($K36&lt;&gt;"对外销售",0,ROUND(N($J36)*IF($P36="",N($O36),N($P36)),0)))</f>
        <v/>
      </c>
      <c r="R36" s="26">
        <f>IF($D36="","",IFERROR(VLOOKUP($D36,库存台账!$A$5:$Y$1204,11,0),0))</f>
        <v/>
      </c>
      <c r="S36" s="26">
        <f>IF($D36="","",ROUND(N($J36)*N($R36),0))</f>
        <v/>
      </c>
      <c r="T36" s="26">
        <f>IF($D36="","",IF($K36&lt;&gt;"对外销售","",ROUND($Q36-$S36,0)))</f>
        <v/>
      </c>
      <c r="U36" s="17" t="n"/>
      <c r="V36" s="17" t="n"/>
      <c r="W36" s="24">
        <f>IF($D36="","",IF($E36="※编码不在物料档案里","※物料编码不在档案里",IF(N($J36)&lt;=0,"※出库数量要大于 0",IF($K36="","※没填去向类型",IF($L36="","※没填去向矿区",IF(AND($C36&lt;&gt;"",$C36&lt;=结账锁),"※日期早于已结账截止日，不能再录",IF(AND($K36="自用消耗",COUNTIF({"一矿区";"二矿区"},$L36)=0),"※自用消耗的去向只能是一矿区或二矿区",IF(AND($K36="对外销售",COUNTIF({"三矿区";"六矿区"},$L36)=0),"※对外销售的去向只能是三矿区或六矿区",IF(AND($K36="对外销售",ROUND($Q36,0)=0),"※外销却没有售价，请填实际售价",IF(AND($K36="对外销售",$T36&lt;&gt;"",$T36&lt;0),"※这一笔外销是亏的，请核对售价",IF(IFERROR(VLOOKUP($D36,库存台账!$A$5:$Y$1204,24,0),0)&lt;-0.001,"※这个物料账面已经变成负数了，查一下是不是漏记入库","")))))))))))</f>
        <v/>
      </c>
    </row>
    <row r="37">
      <c r="A37" s="24">
        <f>IF($D37="","",COUNTA($D$4:$D37))</f>
        <v/>
      </c>
      <c r="B37" s="17" t="n"/>
      <c r="C37" s="30" t="n"/>
      <c r="D37" s="17" t="n"/>
      <c r="E37" s="24">
        <f>IF($D37="","",IFERROR(VLOOKUP($D37,物料档案!$A$4:$P$1203,3,0),"※编码不在物料档案里"))</f>
        <v/>
      </c>
      <c r="F37" s="24">
        <f>IF($D37="","",IFERROR(VLOOKUP($D37,物料档案!$A$4:$P$1203,4,0),"※编码不在物料档案里"))</f>
        <v/>
      </c>
      <c r="G37" s="24">
        <f>IF($D37="","",IFERROR(VLOOKUP($D37,物料档案!$A$4:$P$1203,5,0),"※编码不在物料档案里"))</f>
        <v/>
      </c>
      <c r="H37" s="24">
        <f>IF($D37="","",IFERROR(VLOOKUP($D37,物料档案!$A$4:$P$1203,2,0),"※编码不在物料档案里"))</f>
        <v/>
      </c>
      <c r="I37" s="24">
        <f>IF($D37="","",IFERROR(VLOOKUP($D37,物料档案!$A$4:$P$1203,6,0),"※编码不在物料档案里"))</f>
        <v/>
      </c>
      <c r="J37" s="23" t="n"/>
      <c r="K37" s="17" t="n"/>
      <c r="L37" s="17" t="n"/>
      <c r="M37" s="17" t="n"/>
      <c r="N37" s="17" t="n"/>
      <c r="O37" s="26">
        <f>IF($D37="","",IFERROR(VLOOKUP($D37,物料档案!$A$4:$P$1203,10,0),0))</f>
        <v/>
      </c>
      <c r="P37" s="32" t="n"/>
      <c r="Q37" s="26">
        <f>IF($D37="","",IF($K37&lt;&gt;"对外销售",0,ROUND(N($J37)*IF($P37="",N($O37),N($P37)),0)))</f>
        <v/>
      </c>
      <c r="R37" s="26">
        <f>IF($D37="","",IFERROR(VLOOKUP($D37,库存台账!$A$5:$Y$1204,11,0),0))</f>
        <v/>
      </c>
      <c r="S37" s="26">
        <f>IF($D37="","",ROUND(N($J37)*N($R37),0))</f>
        <v/>
      </c>
      <c r="T37" s="26">
        <f>IF($D37="","",IF($K37&lt;&gt;"对外销售","",ROUND($Q37-$S37,0)))</f>
        <v/>
      </c>
      <c r="U37" s="17" t="n"/>
      <c r="V37" s="17" t="n"/>
      <c r="W37" s="24">
        <f>IF($D37="","",IF($E37="※编码不在物料档案里","※物料编码不在档案里",IF(N($J37)&lt;=0,"※出库数量要大于 0",IF($K37="","※没填去向类型",IF($L37="","※没填去向矿区",IF(AND($C37&lt;&gt;"",$C37&lt;=结账锁),"※日期早于已结账截止日，不能再录",IF(AND($K37="自用消耗",COUNTIF({"一矿区";"二矿区"},$L37)=0),"※自用消耗的去向只能是一矿区或二矿区",IF(AND($K37="对外销售",COUNTIF({"三矿区";"六矿区"},$L37)=0),"※对外销售的去向只能是三矿区或六矿区",IF(AND($K37="对外销售",ROUND($Q37,0)=0),"※外销却没有售价，请填实际售价",IF(AND($K37="对外销售",$T37&lt;&gt;"",$T37&lt;0),"※这一笔外销是亏的，请核对售价",IF(IFERROR(VLOOKUP($D37,库存台账!$A$5:$Y$1204,24,0),0)&lt;-0.001,"※这个物料账面已经变成负数了，查一下是不是漏记入库","")))))))))))</f>
        <v/>
      </c>
    </row>
    <row r="38">
      <c r="A38" s="24">
        <f>IF($D38="","",COUNTA($D$4:$D38))</f>
        <v/>
      </c>
      <c r="B38" s="17" t="n"/>
      <c r="C38" s="30" t="n"/>
      <c r="D38" s="17" t="n"/>
      <c r="E38" s="24">
        <f>IF($D38="","",IFERROR(VLOOKUP($D38,物料档案!$A$4:$P$1203,3,0),"※编码不在物料档案里"))</f>
        <v/>
      </c>
      <c r="F38" s="24">
        <f>IF($D38="","",IFERROR(VLOOKUP($D38,物料档案!$A$4:$P$1203,4,0),"※编码不在物料档案里"))</f>
        <v/>
      </c>
      <c r="G38" s="24">
        <f>IF($D38="","",IFERROR(VLOOKUP($D38,物料档案!$A$4:$P$1203,5,0),"※编码不在物料档案里"))</f>
        <v/>
      </c>
      <c r="H38" s="24">
        <f>IF($D38="","",IFERROR(VLOOKUP($D38,物料档案!$A$4:$P$1203,2,0),"※编码不在物料档案里"))</f>
        <v/>
      </c>
      <c r="I38" s="24">
        <f>IF($D38="","",IFERROR(VLOOKUP($D38,物料档案!$A$4:$P$1203,6,0),"※编码不在物料档案里"))</f>
        <v/>
      </c>
      <c r="J38" s="23" t="n"/>
      <c r="K38" s="17" t="n"/>
      <c r="L38" s="17" t="n"/>
      <c r="M38" s="17" t="n"/>
      <c r="N38" s="17" t="n"/>
      <c r="O38" s="26">
        <f>IF($D38="","",IFERROR(VLOOKUP($D38,物料档案!$A$4:$P$1203,10,0),0))</f>
        <v/>
      </c>
      <c r="P38" s="32" t="n"/>
      <c r="Q38" s="26">
        <f>IF($D38="","",IF($K38&lt;&gt;"对外销售",0,ROUND(N($J38)*IF($P38="",N($O38),N($P38)),0)))</f>
        <v/>
      </c>
      <c r="R38" s="26">
        <f>IF($D38="","",IFERROR(VLOOKUP($D38,库存台账!$A$5:$Y$1204,11,0),0))</f>
        <v/>
      </c>
      <c r="S38" s="26">
        <f>IF($D38="","",ROUND(N($J38)*N($R38),0))</f>
        <v/>
      </c>
      <c r="T38" s="26">
        <f>IF($D38="","",IF($K38&lt;&gt;"对外销售","",ROUND($Q38-$S38,0)))</f>
        <v/>
      </c>
      <c r="U38" s="17" t="n"/>
      <c r="V38" s="17" t="n"/>
      <c r="W38" s="24">
        <f>IF($D38="","",IF($E38="※编码不在物料档案里","※物料编码不在档案里",IF(N($J38)&lt;=0,"※出库数量要大于 0",IF($K38="","※没填去向类型",IF($L38="","※没填去向矿区",IF(AND($C38&lt;&gt;"",$C38&lt;=结账锁),"※日期早于已结账截止日，不能再录",IF(AND($K38="自用消耗",COUNTIF({"一矿区";"二矿区"},$L38)=0),"※自用消耗的去向只能是一矿区或二矿区",IF(AND($K38="对外销售",COUNTIF({"三矿区";"六矿区"},$L38)=0),"※对外销售的去向只能是三矿区或六矿区",IF(AND($K38="对外销售",ROUND($Q38,0)=0),"※外销却没有售价，请填实际售价",IF(AND($K38="对外销售",$T38&lt;&gt;"",$T38&lt;0),"※这一笔外销是亏的，请核对售价",IF(IFERROR(VLOOKUP($D38,库存台账!$A$5:$Y$1204,24,0),0)&lt;-0.001,"※这个物料账面已经变成负数了，查一下是不是漏记入库","")))))))))))</f>
        <v/>
      </c>
    </row>
    <row r="39">
      <c r="A39" s="24">
        <f>IF($D39="","",COUNTA($D$4:$D39))</f>
        <v/>
      </c>
      <c r="B39" s="17" t="n"/>
      <c r="C39" s="30" t="n"/>
      <c r="D39" s="17" t="n"/>
      <c r="E39" s="24">
        <f>IF($D39="","",IFERROR(VLOOKUP($D39,物料档案!$A$4:$P$1203,3,0),"※编码不在物料档案里"))</f>
        <v/>
      </c>
      <c r="F39" s="24">
        <f>IF($D39="","",IFERROR(VLOOKUP($D39,物料档案!$A$4:$P$1203,4,0),"※编码不在物料档案里"))</f>
        <v/>
      </c>
      <c r="G39" s="24">
        <f>IF($D39="","",IFERROR(VLOOKUP($D39,物料档案!$A$4:$P$1203,5,0),"※编码不在物料档案里"))</f>
        <v/>
      </c>
      <c r="H39" s="24">
        <f>IF($D39="","",IFERROR(VLOOKUP($D39,物料档案!$A$4:$P$1203,2,0),"※编码不在物料档案里"))</f>
        <v/>
      </c>
      <c r="I39" s="24">
        <f>IF($D39="","",IFERROR(VLOOKUP($D39,物料档案!$A$4:$P$1203,6,0),"※编码不在物料档案里"))</f>
        <v/>
      </c>
      <c r="J39" s="23" t="n"/>
      <c r="K39" s="17" t="n"/>
      <c r="L39" s="17" t="n"/>
      <c r="M39" s="17" t="n"/>
      <c r="N39" s="17" t="n"/>
      <c r="O39" s="26">
        <f>IF($D39="","",IFERROR(VLOOKUP($D39,物料档案!$A$4:$P$1203,10,0),0))</f>
        <v/>
      </c>
      <c r="P39" s="32" t="n"/>
      <c r="Q39" s="26">
        <f>IF($D39="","",IF($K39&lt;&gt;"对外销售",0,ROUND(N($J39)*IF($P39="",N($O39),N($P39)),0)))</f>
        <v/>
      </c>
      <c r="R39" s="26">
        <f>IF($D39="","",IFERROR(VLOOKUP($D39,库存台账!$A$5:$Y$1204,11,0),0))</f>
        <v/>
      </c>
      <c r="S39" s="26">
        <f>IF($D39="","",ROUND(N($J39)*N($R39),0))</f>
        <v/>
      </c>
      <c r="T39" s="26">
        <f>IF($D39="","",IF($K39&lt;&gt;"对外销售","",ROUND($Q39-$S39,0)))</f>
        <v/>
      </c>
      <c r="U39" s="17" t="n"/>
      <c r="V39" s="17" t="n"/>
      <c r="W39" s="24">
        <f>IF($D39="","",IF($E39="※编码不在物料档案里","※物料编码不在档案里",IF(N($J39)&lt;=0,"※出库数量要大于 0",IF($K39="","※没填去向类型",IF($L39="","※没填去向矿区",IF(AND($C39&lt;&gt;"",$C39&lt;=结账锁),"※日期早于已结账截止日，不能再录",IF(AND($K39="自用消耗",COUNTIF({"一矿区";"二矿区"},$L39)=0),"※自用消耗的去向只能是一矿区或二矿区",IF(AND($K39="对外销售",COUNTIF({"三矿区";"六矿区"},$L39)=0),"※对外销售的去向只能是三矿区或六矿区",IF(AND($K39="对外销售",ROUND($Q39,0)=0),"※外销却没有售价，请填实际售价",IF(AND($K39="对外销售",$T39&lt;&gt;"",$T39&lt;0),"※这一笔外销是亏的，请核对售价",IF(IFERROR(VLOOKUP($D39,库存台账!$A$5:$Y$1204,24,0),0)&lt;-0.001,"※这个物料账面已经变成负数了，查一下是不是漏记入库","")))))))))))</f>
        <v/>
      </c>
    </row>
    <row r="40">
      <c r="A40" s="24">
        <f>IF($D40="","",COUNTA($D$4:$D40))</f>
        <v/>
      </c>
      <c r="B40" s="17" t="n"/>
      <c r="C40" s="30" t="n"/>
      <c r="D40" s="17" t="n"/>
      <c r="E40" s="24">
        <f>IF($D40="","",IFERROR(VLOOKUP($D40,物料档案!$A$4:$P$1203,3,0),"※编码不在物料档案里"))</f>
        <v/>
      </c>
      <c r="F40" s="24">
        <f>IF($D40="","",IFERROR(VLOOKUP($D40,物料档案!$A$4:$P$1203,4,0),"※编码不在物料档案里"))</f>
        <v/>
      </c>
      <c r="G40" s="24">
        <f>IF($D40="","",IFERROR(VLOOKUP($D40,物料档案!$A$4:$P$1203,5,0),"※编码不在物料档案里"))</f>
        <v/>
      </c>
      <c r="H40" s="24">
        <f>IF($D40="","",IFERROR(VLOOKUP($D40,物料档案!$A$4:$P$1203,2,0),"※编码不在物料档案里"))</f>
        <v/>
      </c>
      <c r="I40" s="24">
        <f>IF($D40="","",IFERROR(VLOOKUP($D40,物料档案!$A$4:$P$1203,6,0),"※编码不在物料档案里"))</f>
        <v/>
      </c>
      <c r="J40" s="23" t="n"/>
      <c r="K40" s="17" t="n"/>
      <c r="L40" s="17" t="n"/>
      <c r="M40" s="17" t="n"/>
      <c r="N40" s="17" t="n"/>
      <c r="O40" s="26">
        <f>IF($D40="","",IFERROR(VLOOKUP($D40,物料档案!$A$4:$P$1203,10,0),0))</f>
        <v/>
      </c>
      <c r="P40" s="32" t="n"/>
      <c r="Q40" s="26">
        <f>IF($D40="","",IF($K40&lt;&gt;"对外销售",0,ROUND(N($J40)*IF($P40="",N($O40),N($P40)),0)))</f>
        <v/>
      </c>
      <c r="R40" s="26">
        <f>IF($D40="","",IFERROR(VLOOKUP($D40,库存台账!$A$5:$Y$1204,11,0),0))</f>
        <v/>
      </c>
      <c r="S40" s="26">
        <f>IF($D40="","",ROUND(N($J40)*N($R40),0))</f>
        <v/>
      </c>
      <c r="T40" s="26">
        <f>IF($D40="","",IF($K40&lt;&gt;"对外销售","",ROUND($Q40-$S40,0)))</f>
        <v/>
      </c>
      <c r="U40" s="17" t="n"/>
      <c r="V40" s="17" t="n"/>
      <c r="W40" s="24">
        <f>IF($D40="","",IF($E40="※编码不在物料档案里","※物料编码不在档案里",IF(N($J40)&lt;=0,"※出库数量要大于 0",IF($K40="","※没填去向类型",IF($L40="","※没填去向矿区",IF(AND($C40&lt;&gt;"",$C40&lt;=结账锁),"※日期早于已结账截止日，不能再录",IF(AND($K40="自用消耗",COUNTIF({"一矿区";"二矿区"},$L40)=0),"※自用消耗的去向只能是一矿区或二矿区",IF(AND($K40="对外销售",COUNTIF({"三矿区";"六矿区"},$L40)=0),"※对外销售的去向只能是三矿区或六矿区",IF(AND($K40="对外销售",ROUND($Q40,0)=0),"※外销却没有售价，请填实际售价",IF(AND($K40="对外销售",$T40&lt;&gt;"",$T40&lt;0),"※这一笔外销是亏的，请核对售价",IF(IFERROR(VLOOKUP($D40,库存台账!$A$5:$Y$1204,24,0),0)&lt;-0.001,"※这个物料账面已经变成负数了，查一下是不是漏记入库","")))))))))))</f>
        <v/>
      </c>
    </row>
    <row r="41">
      <c r="A41" s="24">
        <f>IF($D41="","",COUNTA($D$4:$D41))</f>
        <v/>
      </c>
      <c r="B41" s="17" t="n"/>
      <c r="C41" s="30" t="n"/>
      <c r="D41" s="17" t="n"/>
      <c r="E41" s="24">
        <f>IF($D41="","",IFERROR(VLOOKUP($D41,物料档案!$A$4:$P$1203,3,0),"※编码不在物料档案里"))</f>
        <v/>
      </c>
      <c r="F41" s="24">
        <f>IF($D41="","",IFERROR(VLOOKUP($D41,物料档案!$A$4:$P$1203,4,0),"※编码不在物料档案里"))</f>
        <v/>
      </c>
      <c r="G41" s="24">
        <f>IF($D41="","",IFERROR(VLOOKUP($D41,物料档案!$A$4:$P$1203,5,0),"※编码不在物料档案里"))</f>
        <v/>
      </c>
      <c r="H41" s="24">
        <f>IF($D41="","",IFERROR(VLOOKUP($D41,物料档案!$A$4:$P$1203,2,0),"※编码不在物料档案里"))</f>
        <v/>
      </c>
      <c r="I41" s="24">
        <f>IF($D41="","",IFERROR(VLOOKUP($D41,物料档案!$A$4:$P$1203,6,0),"※编码不在物料档案里"))</f>
        <v/>
      </c>
      <c r="J41" s="23" t="n"/>
      <c r="K41" s="17" t="n"/>
      <c r="L41" s="17" t="n"/>
      <c r="M41" s="17" t="n"/>
      <c r="N41" s="17" t="n"/>
      <c r="O41" s="26">
        <f>IF($D41="","",IFERROR(VLOOKUP($D41,物料档案!$A$4:$P$1203,10,0),0))</f>
        <v/>
      </c>
      <c r="P41" s="32" t="n"/>
      <c r="Q41" s="26">
        <f>IF($D41="","",IF($K41&lt;&gt;"对外销售",0,ROUND(N($J41)*IF($P41="",N($O41),N($P41)),0)))</f>
        <v/>
      </c>
      <c r="R41" s="26">
        <f>IF($D41="","",IFERROR(VLOOKUP($D41,库存台账!$A$5:$Y$1204,11,0),0))</f>
        <v/>
      </c>
      <c r="S41" s="26">
        <f>IF($D41="","",ROUND(N($J41)*N($R41),0))</f>
        <v/>
      </c>
      <c r="T41" s="26">
        <f>IF($D41="","",IF($K41&lt;&gt;"对外销售","",ROUND($Q41-$S41,0)))</f>
        <v/>
      </c>
      <c r="U41" s="17" t="n"/>
      <c r="V41" s="17" t="n"/>
      <c r="W41" s="24">
        <f>IF($D41="","",IF($E41="※编码不在物料档案里","※物料编码不在档案里",IF(N($J41)&lt;=0,"※出库数量要大于 0",IF($K41="","※没填去向类型",IF($L41="","※没填去向矿区",IF(AND($C41&lt;&gt;"",$C41&lt;=结账锁),"※日期早于已结账截止日，不能再录",IF(AND($K41="自用消耗",COUNTIF({"一矿区";"二矿区"},$L41)=0),"※自用消耗的去向只能是一矿区或二矿区",IF(AND($K41="对外销售",COUNTIF({"三矿区";"六矿区"},$L41)=0),"※对外销售的去向只能是三矿区或六矿区",IF(AND($K41="对外销售",ROUND($Q41,0)=0),"※外销却没有售价，请填实际售价",IF(AND($K41="对外销售",$T41&lt;&gt;"",$T41&lt;0),"※这一笔外销是亏的，请核对售价",IF(IFERROR(VLOOKUP($D41,库存台账!$A$5:$Y$1204,24,0),0)&lt;-0.001,"※这个物料账面已经变成负数了，查一下是不是漏记入库","")))))))))))</f>
        <v/>
      </c>
    </row>
    <row r="42">
      <c r="A42" s="24">
        <f>IF($D42="","",COUNTA($D$4:$D42))</f>
        <v/>
      </c>
      <c r="B42" s="17" t="n"/>
      <c r="C42" s="30" t="n"/>
      <c r="D42" s="17" t="n"/>
      <c r="E42" s="24">
        <f>IF($D42="","",IFERROR(VLOOKUP($D42,物料档案!$A$4:$P$1203,3,0),"※编码不在物料档案里"))</f>
        <v/>
      </c>
      <c r="F42" s="24">
        <f>IF($D42="","",IFERROR(VLOOKUP($D42,物料档案!$A$4:$P$1203,4,0),"※编码不在物料档案里"))</f>
        <v/>
      </c>
      <c r="G42" s="24">
        <f>IF($D42="","",IFERROR(VLOOKUP($D42,物料档案!$A$4:$P$1203,5,0),"※编码不在物料档案里"))</f>
        <v/>
      </c>
      <c r="H42" s="24">
        <f>IF($D42="","",IFERROR(VLOOKUP($D42,物料档案!$A$4:$P$1203,2,0),"※编码不在物料档案里"))</f>
        <v/>
      </c>
      <c r="I42" s="24">
        <f>IF($D42="","",IFERROR(VLOOKUP($D42,物料档案!$A$4:$P$1203,6,0),"※编码不在物料档案里"))</f>
        <v/>
      </c>
      <c r="J42" s="23" t="n"/>
      <c r="K42" s="17" t="n"/>
      <c r="L42" s="17" t="n"/>
      <c r="M42" s="17" t="n"/>
      <c r="N42" s="17" t="n"/>
      <c r="O42" s="26">
        <f>IF($D42="","",IFERROR(VLOOKUP($D42,物料档案!$A$4:$P$1203,10,0),0))</f>
        <v/>
      </c>
      <c r="P42" s="32" t="n"/>
      <c r="Q42" s="26">
        <f>IF($D42="","",IF($K42&lt;&gt;"对外销售",0,ROUND(N($J42)*IF($P42="",N($O42),N($P42)),0)))</f>
        <v/>
      </c>
      <c r="R42" s="26">
        <f>IF($D42="","",IFERROR(VLOOKUP($D42,库存台账!$A$5:$Y$1204,11,0),0))</f>
        <v/>
      </c>
      <c r="S42" s="26">
        <f>IF($D42="","",ROUND(N($J42)*N($R42),0))</f>
        <v/>
      </c>
      <c r="T42" s="26">
        <f>IF($D42="","",IF($K42&lt;&gt;"对外销售","",ROUND($Q42-$S42,0)))</f>
        <v/>
      </c>
      <c r="U42" s="17" t="n"/>
      <c r="V42" s="17" t="n"/>
      <c r="W42" s="24">
        <f>IF($D42="","",IF($E42="※编码不在物料档案里","※物料编码不在档案里",IF(N($J42)&lt;=0,"※出库数量要大于 0",IF($K42="","※没填去向类型",IF($L42="","※没填去向矿区",IF(AND($C42&lt;&gt;"",$C42&lt;=结账锁),"※日期早于已结账截止日，不能再录",IF(AND($K42="自用消耗",COUNTIF({"一矿区";"二矿区"},$L42)=0),"※自用消耗的去向只能是一矿区或二矿区",IF(AND($K42="对外销售",COUNTIF({"三矿区";"六矿区"},$L42)=0),"※对外销售的去向只能是三矿区或六矿区",IF(AND($K42="对外销售",ROUND($Q42,0)=0),"※外销却没有售价，请填实际售价",IF(AND($K42="对外销售",$T42&lt;&gt;"",$T42&lt;0),"※这一笔外销是亏的，请核对售价",IF(IFERROR(VLOOKUP($D42,库存台账!$A$5:$Y$1204,24,0),0)&lt;-0.001,"※这个物料账面已经变成负数了，查一下是不是漏记入库","")))))))))))</f>
        <v/>
      </c>
    </row>
    <row r="43">
      <c r="A43" s="24">
        <f>IF($D43="","",COUNTA($D$4:$D43))</f>
        <v/>
      </c>
      <c r="B43" s="17" t="n"/>
      <c r="C43" s="30" t="n"/>
      <c r="D43" s="17" t="n"/>
      <c r="E43" s="24">
        <f>IF($D43="","",IFERROR(VLOOKUP($D43,物料档案!$A$4:$P$1203,3,0),"※编码不在物料档案里"))</f>
        <v/>
      </c>
      <c r="F43" s="24">
        <f>IF($D43="","",IFERROR(VLOOKUP($D43,物料档案!$A$4:$P$1203,4,0),"※编码不在物料档案里"))</f>
        <v/>
      </c>
      <c r="G43" s="24">
        <f>IF($D43="","",IFERROR(VLOOKUP($D43,物料档案!$A$4:$P$1203,5,0),"※编码不在物料档案里"))</f>
        <v/>
      </c>
      <c r="H43" s="24">
        <f>IF($D43="","",IFERROR(VLOOKUP($D43,物料档案!$A$4:$P$1203,2,0),"※编码不在物料档案里"))</f>
        <v/>
      </c>
      <c r="I43" s="24">
        <f>IF($D43="","",IFERROR(VLOOKUP($D43,物料档案!$A$4:$P$1203,6,0),"※编码不在物料档案里"))</f>
        <v/>
      </c>
      <c r="J43" s="23" t="n"/>
      <c r="K43" s="17" t="n"/>
      <c r="L43" s="17" t="n"/>
      <c r="M43" s="17" t="n"/>
      <c r="N43" s="17" t="n"/>
      <c r="O43" s="26">
        <f>IF($D43="","",IFERROR(VLOOKUP($D43,物料档案!$A$4:$P$1203,10,0),0))</f>
        <v/>
      </c>
      <c r="P43" s="32" t="n"/>
      <c r="Q43" s="26">
        <f>IF($D43="","",IF($K43&lt;&gt;"对外销售",0,ROUND(N($J43)*IF($P43="",N($O43),N($P43)),0)))</f>
        <v/>
      </c>
      <c r="R43" s="26">
        <f>IF($D43="","",IFERROR(VLOOKUP($D43,库存台账!$A$5:$Y$1204,11,0),0))</f>
        <v/>
      </c>
      <c r="S43" s="26">
        <f>IF($D43="","",ROUND(N($J43)*N($R43),0))</f>
        <v/>
      </c>
      <c r="T43" s="26">
        <f>IF($D43="","",IF($K43&lt;&gt;"对外销售","",ROUND($Q43-$S43,0)))</f>
        <v/>
      </c>
      <c r="U43" s="17" t="n"/>
      <c r="V43" s="17" t="n"/>
      <c r="W43" s="24">
        <f>IF($D43="","",IF($E43="※编码不在物料档案里","※物料编码不在档案里",IF(N($J43)&lt;=0,"※出库数量要大于 0",IF($K43="","※没填去向类型",IF($L43="","※没填去向矿区",IF(AND($C43&lt;&gt;"",$C43&lt;=结账锁),"※日期早于已结账截止日，不能再录",IF(AND($K43="自用消耗",COUNTIF({"一矿区";"二矿区"},$L43)=0),"※自用消耗的去向只能是一矿区或二矿区",IF(AND($K43="对外销售",COUNTIF({"三矿区";"六矿区"},$L43)=0),"※对外销售的去向只能是三矿区或六矿区",IF(AND($K43="对外销售",ROUND($Q43,0)=0),"※外销却没有售价，请填实际售价",IF(AND($K43="对外销售",$T43&lt;&gt;"",$T43&lt;0),"※这一笔外销是亏的，请核对售价",IF(IFERROR(VLOOKUP($D43,库存台账!$A$5:$Y$1204,24,0),0)&lt;-0.001,"※这个物料账面已经变成负数了，查一下是不是漏记入库","")))))))))))</f>
        <v/>
      </c>
    </row>
    <row r="44">
      <c r="A44" s="24">
        <f>IF($D44="","",COUNTA($D$4:$D44))</f>
        <v/>
      </c>
      <c r="B44" s="17" t="n"/>
      <c r="C44" s="30" t="n"/>
      <c r="D44" s="17" t="n"/>
      <c r="E44" s="24">
        <f>IF($D44="","",IFERROR(VLOOKUP($D44,物料档案!$A$4:$P$1203,3,0),"※编码不在物料档案里"))</f>
        <v/>
      </c>
      <c r="F44" s="24">
        <f>IF($D44="","",IFERROR(VLOOKUP($D44,物料档案!$A$4:$P$1203,4,0),"※编码不在物料档案里"))</f>
        <v/>
      </c>
      <c r="G44" s="24">
        <f>IF($D44="","",IFERROR(VLOOKUP($D44,物料档案!$A$4:$P$1203,5,0),"※编码不在物料档案里"))</f>
        <v/>
      </c>
      <c r="H44" s="24">
        <f>IF($D44="","",IFERROR(VLOOKUP($D44,物料档案!$A$4:$P$1203,2,0),"※编码不在物料档案里"))</f>
        <v/>
      </c>
      <c r="I44" s="24">
        <f>IF($D44="","",IFERROR(VLOOKUP($D44,物料档案!$A$4:$P$1203,6,0),"※编码不在物料档案里"))</f>
        <v/>
      </c>
      <c r="J44" s="23" t="n"/>
      <c r="K44" s="17" t="n"/>
      <c r="L44" s="17" t="n"/>
      <c r="M44" s="17" t="n"/>
      <c r="N44" s="17" t="n"/>
      <c r="O44" s="26">
        <f>IF($D44="","",IFERROR(VLOOKUP($D44,物料档案!$A$4:$P$1203,10,0),0))</f>
        <v/>
      </c>
      <c r="P44" s="32" t="n"/>
      <c r="Q44" s="26">
        <f>IF($D44="","",IF($K44&lt;&gt;"对外销售",0,ROUND(N($J44)*IF($P44="",N($O44),N($P44)),0)))</f>
        <v/>
      </c>
      <c r="R44" s="26">
        <f>IF($D44="","",IFERROR(VLOOKUP($D44,库存台账!$A$5:$Y$1204,11,0),0))</f>
        <v/>
      </c>
      <c r="S44" s="26">
        <f>IF($D44="","",ROUND(N($J44)*N($R44),0))</f>
        <v/>
      </c>
      <c r="T44" s="26">
        <f>IF($D44="","",IF($K44&lt;&gt;"对外销售","",ROUND($Q44-$S44,0)))</f>
        <v/>
      </c>
      <c r="U44" s="17" t="n"/>
      <c r="V44" s="17" t="n"/>
      <c r="W44" s="24">
        <f>IF($D44="","",IF($E44="※编码不在物料档案里","※物料编码不在档案里",IF(N($J44)&lt;=0,"※出库数量要大于 0",IF($K44="","※没填去向类型",IF($L44="","※没填去向矿区",IF(AND($C44&lt;&gt;"",$C44&lt;=结账锁),"※日期早于已结账截止日，不能再录",IF(AND($K44="自用消耗",COUNTIF({"一矿区";"二矿区"},$L44)=0),"※自用消耗的去向只能是一矿区或二矿区",IF(AND($K44="对外销售",COUNTIF({"三矿区";"六矿区"},$L44)=0),"※对外销售的去向只能是三矿区或六矿区",IF(AND($K44="对外销售",ROUND($Q44,0)=0),"※外销却没有售价，请填实际售价",IF(AND($K44="对外销售",$T44&lt;&gt;"",$T44&lt;0),"※这一笔外销是亏的，请核对售价",IF(IFERROR(VLOOKUP($D44,库存台账!$A$5:$Y$1204,24,0),0)&lt;-0.001,"※这个物料账面已经变成负数了，查一下是不是漏记入库","")))))))))))</f>
        <v/>
      </c>
    </row>
    <row r="45">
      <c r="A45" s="24">
        <f>IF($D45="","",COUNTA($D$4:$D45))</f>
        <v/>
      </c>
      <c r="B45" s="17" t="n"/>
      <c r="C45" s="30" t="n"/>
      <c r="D45" s="17" t="n"/>
      <c r="E45" s="24">
        <f>IF($D45="","",IFERROR(VLOOKUP($D45,物料档案!$A$4:$P$1203,3,0),"※编码不在物料档案里"))</f>
        <v/>
      </c>
      <c r="F45" s="24">
        <f>IF($D45="","",IFERROR(VLOOKUP($D45,物料档案!$A$4:$P$1203,4,0),"※编码不在物料档案里"))</f>
        <v/>
      </c>
      <c r="G45" s="24">
        <f>IF($D45="","",IFERROR(VLOOKUP($D45,物料档案!$A$4:$P$1203,5,0),"※编码不在物料档案里"))</f>
        <v/>
      </c>
      <c r="H45" s="24">
        <f>IF($D45="","",IFERROR(VLOOKUP($D45,物料档案!$A$4:$P$1203,2,0),"※编码不在物料档案里"))</f>
        <v/>
      </c>
      <c r="I45" s="24">
        <f>IF($D45="","",IFERROR(VLOOKUP($D45,物料档案!$A$4:$P$1203,6,0),"※编码不在物料档案里"))</f>
        <v/>
      </c>
      <c r="J45" s="23" t="n"/>
      <c r="K45" s="17" t="n"/>
      <c r="L45" s="17" t="n"/>
      <c r="M45" s="17" t="n"/>
      <c r="N45" s="17" t="n"/>
      <c r="O45" s="26">
        <f>IF($D45="","",IFERROR(VLOOKUP($D45,物料档案!$A$4:$P$1203,10,0),0))</f>
        <v/>
      </c>
      <c r="P45" s="32" t="n"/>
      <c r="Q45" s="26">
        <f>IF($D45="","",IF($K45&lt;&gt;"对外销售",0,ROUND(N($J45)*IF($P45="",N($O45),N($P45)),0)))</f>
        <v/>
      </c>
      <c r="R45" s="26">
        <f>IF($D45="","",IFERROR(VLOOKUP($D45,库存台账!$A$5:$Y$1204,11,0),0))</f>
        <v/>
      </c>
      <c r="S45" s="26">
        <f>IF($D45="","",ROUND(N($J45)*N($R45),0))</f>
        <v/>
      </c>
      <c r="T45" s="26">
        <f>IF($D45="","",IF($K45&lt;&gt;"对外销售","",ROUND($Q45-$S45,0)))</f>
        <v/>
      </c>
      <c r="U45" s="17" t="n"/>
      <c r="V45" s="17" t="n"/>
      <c r="W45" s="24">
        <f>IF($D45="","",IF($E45="※编码不在物料档案里","※物料编码不在档案里",IF(N($J45)&lt;=0,"※出库数量要大于 0",IF($K45="","※没填去向类型",IF($L45="","※没填去向矿区",IF(AND($C45&lt;&gt;"",$C45&lt;=结账锁),"※日期早于已结账截止日，不能再录",IF(AND($K45="自用消耗",COUNTIF({"一矿区";"二矿区"},$L45)=0),"※自用消耗的去向只能是一矿区或二矿区",IF(AND($K45="对外销售",COUNTIF({"三矿区";"六矿区"},$L45)=0),"※对外销售的去向只能是三矿区或六矿区",IF(AND($K45="对外销售",ROUND($Q45,0)=0),"※外销却没有售价，请填实际售价",IF(AND($K45="对外销售",$T45&lt;&gt;"",$T45&lt;0),"※这一笔外销是亏的，请核对售价",IF(IFERROR(VLOOKUP($D45,库存台账!$A$5:$Y$1204,24,0),0)&lt;-0.001,"※这个物料账面已经变成负数了，查一下是不是漏记入库","")))))))))))</f>
        <v/>
      </c>
    </row>
    <row r="46">
      <c r="A46" s="24">
        <f>IF($D46="","",COUNTA($D$4:$D46))</f>
        <v/>
      </c>
      <c r="B46" s="17" t="n"/>
      <c r="C46" s="30" t="n"/>
      <c r="D46" s="17" t="n"/>
      <c r="E46" s="24">
        <f>IF($D46="","",IFERROR(VLOOKUP($D46,物料档案!$A$4:$P$1203,3,0),"※编码不在物料档案里"))</f>
        <v/>
      </c>
      <c r="F46" s="24">
        <f>IF($D46="","",IFERROR(VLOOKUP($D46,物料档案!$A$4:$P$1203,4,0),"※编码不在物料档案里"))</f>
        <v/>
      </c>
      <c r="G46" s="24">
        <f>IF($D46="","",IFERROR(VLOOKUP($D46,物料档案!$A$4:$P$1203,5,0),"※编码不在物料档案里"))</f>
        <v/>
      </c>
      <c r="H46" s="24">
        <f>IF($D46="","",IFERROR(VLOOKUP($D46,物料档案!$A$4:$P$1203,2,0),"※编码不在物料档案里"))</f>
        <v/>
      </c>
      <c r="I46" s="24">
        <f>IF($D46="","",IFERROR(VLOOKUP($D46,物料档案!$A$4:$P$1203,6,0),"※编码不在物料档案里"))</f>
        <v/>
      </c>
      <c r="J46" s="23" t="n"/>
      <c r="K46" s="17" t="n"/>
      <c r="L46" s="17" t="n"/>
      <c r="M46" s="17" t="n"/>
      <c r="N46" s="17" t="n"/>
      <c r="O46" s="26">
        <f>IF($D46="","",IFERROR(VLOOKUP($D46,物料档案!$A$4:$P$1203,10,0),0))</f>
        <v/>
      </c>
      <c r="P46" s="32" t="n"/>
      <c r="Q46" s="26">
        <f>IF($D46="","",IF($K46&lt;&gt;"对外销售",0,ROUND(N($J46)*IF($P46="",N($O46),N($P46)),0)))</f>
        <v/>
      </c>
      <c r="R46" s="26">
        <f>IF($D46="","",IFERROR(VLOOKUP($D46,库存台账!$A$5:$Y$1204,11,0),0))</f>
        <v/>
      </c>
      <c r="S46" s="26">
        <f>IF($D46="","",ROUND(N($J46)*N($R46),0))</f>
        <v/>
      </c>
      <c r="T46" s="26">
        <f>IF($D46="","",IF($K46&lt;&gt;"对外销售","",ROUND($Q46-$S46,0)))</f>
        <v/>
      </c>
      <c r="U46" s="17" t="n"/>
      <c r="V46" s="17" t="n"/>
      <c r="W46" s="24">
        <f>IF($D46="","",IF($E46="※编码不在物料档案里","※物料编码不在档案里",IF(N($J46)&lt;=0,"※出库数量要大于 0",IF($K46="","※没填去向类型",IF($L46="","※没填去向矿区",IF(AND($C46&lt;&gt;"",$C46&lt;=结账锁),"※日期早于已结账截止日，不能再录",IF(AND($K46="自用消耗",COUNTIF({"一矿区";"二矿区"},$L46)=0),"※自用消耗的去向只能是一矿区或二矿区",IF(AND($K46="对外销售",COUNTIF({"三矿区";"六矿区"},$L46)=0),"※对外销售的去向只能是三矿区或六矿区",IF(AND($K46="对外销售",ROUND($Q46,0)=0),"※外销却没有售价，请填实际售价",IF(AND($K46="对外销售",$T46&lt;&gt;"",$T46&lt;0),"※这一笔外销是亏的，请核对售价",IF(IFERROR(VLOOKUP($D46,库存台账!$A$5:$Y$1204,24,0),0)&lt;-0.001,"※这个物料账面已经变成负数了，查一下是不是漏记入库","")))))))))))</f>
        <v/>
      </c>
    </row>
    <row r="47">
      <c r="A47" s="24">
        <f>IF($D47="","",COUNTA($D$4:$D47))</f>
        <v/>
      </c>
      <c r="B47" s="17" t="n"/>
      <c r="C47" s="30" t="n"/>
      <c r="D47" s="17" t="n"/>
      <c r="E47" s="24">
        <f>IF($D47="","",IFERROR(VLOOKUP($D47,物料档案!$A$4:$P$1203,3,0),"※编码不在物料档案里"))</f>
        <v/>
      </c>
      <c r="F47" s="24">
        <f>IF($D47="","",IFERROR(VLOOKUP($D47,物料档案!$A$4:$P$1203,4,0),"※编码不在物料档案里"))</f>
        <v/>
      </c>
      <c r="G47" s="24">
        <f>IF($D47="","",IFERROR(VLOOKUP($D47,物料档案!$A$4:$P$1203,5,0),"※编码不在物料档案里"))</f>
        <v/>
      </c>
      <c r="H47" s="24">
        <f>IF($D47="","",IFERROR(VLOOKUP($D47,物料档案!$A$4:$P$1203,2,0),"※编码不在物料档案里"))</f>
        <v/>
      </c>
      <c r="I47" s="24">
        <f>IF($D47="","",IFERROR(VLOOKUP($D47,物料档案!$A$4:$P$1203,6,0),"※编码不在物料档案里"))</f>
        <v/>
      </c>
      <c r="J47" s="23" t="n"/>
      <c r="K47" s="17" t="n"/>
      <c r="L47" s="17" t="n"/>
      <c r="M47" s="17" t="n"/>
      <c r="N47" s="17" t="n"/>
      <c r="O47" s="26">
        <f>IF($D47="","",IFERROR(VLOOKUP($D47,物料档案!$A$4:$P$1203,10,0),0))</f>
        <v/>
      </c>
      <c r="P47" s="32" t="n"/>
      <c r="Q47" s="26">
        <f>IF($D47="","",IF($K47&lt;&gt;"对外销售",0,ROUND(N($J47)*IF($P47="",N($O47),N($P47)),0)))</f>
        <v/>
      </c>
      <c r="R47" s="26">
        <f>IF($D47="","",IFERROR(VLOOKUP($D47,库存台账!$A$5:$Y$1204,11,0),0))</f>
        <v/>
      </c>
      <c r="S47" s="26">
        <f>IF($D47="","",ROUND(N($J47)*N($R47),0))</f>
        <v/>
      </c>
      <c r="T47" s="26">
        <f>IF($D47="","",IF($K47&lt;&gt;"对外销售","",ROUND($Q47-$S47,0)))</f>
        <v/>
      </c>
      <c r="U47" s="17" t="n"/>
      <c r="V47" s="17" t="n"/>
      <c r="W47" s="24">
        <f>IF($D47="","",IF($E47="※编码不在物料档案里","※物料编码不在档案里",IF(N($J47)&lt;=0,"※出库数量要大于 0",IF($K47="","※没填去向类型",IF($L47="","※没填去向矿区",IF(AND($C47&lt;&gt;"",$C47&lt;=结账锁),"※日期早于已结账截止日，不能再录",IF(AND($K47="自用消耗",COUNTIF({"一矿区";"二矿区"},$L47)=0),"※自用消耗的去向只能是一矿区或二矿区",IF(AND($K47="对外销售",COUNTIF({"三矿区";"六矿区"},$L47)=0),"※对外销售的去向只能是三矿区或六矿区",IF(AND($K47="对外销售",ROUND($Q47,0)=0),"※外销却没有售价，请填实际售价",IF(AND($K47="对外销售",$T47&lt;&gt;"",$T47&lt;0),"※这一笔外销是亏的，请核对售价",IF(IFERROR(VLOOKUP($D47,库存台账!$A$5:$Y$1204,24,0),0)&lt;-0.001,"※这个物料账面已经变成负数了，查一下是不是漏记入库","")))))))))))</f>
        <v/>
      </c>
    </row>
    <row r="48">
      <c r="A48" s="24">
        <f>IF($D48="","",COUNTA($D$4:$D48))</f>
        <v/>
      </c>
      <c r="B48" s="17" t="n"/>
      <c r="C48" s="30" t="n"/>
      <c r="D48" s="17" t="n"/>
      <c r="E48" s="24">
        <f>IF($D48="","",IFERROR(VLOOKUP($D48,物料档案!$A$4:$P$1203,3,0),"※编码不在物料档案里"))</f>
        <v/>
      </c>
      <c r="F48" s="24">
        <f>IF($D48="","",IFERROR(VLOOKUP($D48,物料档案!$A$4:$P$1203,4,0),"※编码不在物料档案里"))</f>
        <v/>
      </c>
      <c r="G48" s="24">
        <f>IF($D48="","",IFERROR(VLOOKUP($D48,物料档案!$A$4:$P$1203,5,0),"※编码不在物料档案里"))</f>
        <v/>
      </c>
      <c r="H48" s="24">
        <f>IF($D48="","",IFERROR(VLOOKUP($D48,物料档案!$A$4:$P$1203,2,0),"※编码不在物料档案里"))</f>
        <v/>
      </c>
      <c r="I48" s="24">
        <f>IF($D48="","",IFERROR(VLOOKUP($D48,物料档案!$A$4:$P$1203,6,0),"※编码不在物料档案里"))</f>
        <v/>
      </c>
      <c r="J48" s="23" t="n"/>
      <c r="K48" s="17" t="n"/>
      <c r="L48" s="17" t="n"/>
      <c r="M48" s="17" t="n"/>
      <c r="N48" s="17" t="n"/>
      <c r="O48" s="26">
        <f>IF($D48="","",IFERROR(VLOOKUP($D48,物料档案!$A$4:$P$1203,10,0),0))</f>
        <v/>
      </c>
      <c r="P48" s="32" t="n"/>
      <c r="Q48" s="26">
        <f>IF($D48="","",IF($K48&lt;&gt;"对外销售",0,ROUND(N($J48)*IF($P48="",N($O48),N($P48)),0)))</f>
        <v/>
      </c>
      <c r="R48" s="26">
        <f>IF($D48="","",IFERROR(VLOOKUP($D48,库存台账!$A$5:$Y$1204,11,0),0))</f>
        <v/>
      </c>
      <c r="S48" s="26">
        <f>IF($D48="","",ROUND(N($J48)*N($R48),0))</f>
        <v/>
      </c>
      <c r="T48" s="26">
        <f>IF($D48="","",IF($K48&lt;&gt;"对外销售","",ROUND($Q48-$S48,0)))</f>
        <v/>
      </c>
      <c r="U48" s="17" t="n"/>
      <c r="V48" s="17" t="n"/>
      <c r="W48" s="24">
        <f>IF($D48="","",IF($E48="※编码不在物料档案里","※物料编码不在档案里",IF(N($J48)&lt;=0,"※出库数量要大于 0",IF($K48="","※没填去向类型",IF($L48="","※没填去向矿区",IF(AND($C48&lt;&gt;"",$C48&lt;=结账锁),"※日期早于已结账截止日，不能再录",IF(AND($K48="自用消耗",COUNTIF({"一矿区";"二矿区"},$L48)=0),"※自用消耗的去向只能是一矿区或二矿区",IF(AND($K48="对外销售",COUNTIF({"三矿区";"六矿区"},$L48)=0),"※对外销售的去向只能是三矿区或六矿区",IF(AND($K48="对外销售",ROUND($Q48,0)=0),"※外销却没有售价，请填实际售价",IF(AND($K48="对外销售",$T48&lt;&gt;"",$T48&lt;0),"※这一笔外销是亏的，请核对售价",IF(IFERROR(VLOOKUP($D48,库存台账!$A$5:$Y$1204,24,0),0)&lt;-0.001,"※这个物料账面已经变成负数了，查一下是不是漏记入库","")))))))))))</f>
        <v/>
      </c>
    </row>
    <row r="49">
      <c r="A49" s="24">
        <f>IF($D49="","",COUNTA($D$4:$D49))</f>
        <v/>
      </c>
      <c r="B49" s="17" t="n"/>
      <c r="C49" s="30" t="n"/>
      <c r="D49" s="17" t="n"/>
      <c r="E49" s="24">
        <f>IF($D49="","",IFERROR(VLOOKUP($D49,物料档案!$A$4:$P$1203,3,0),"※编码不在物料档案里"))</f>
        <v/>
      </c>
      <c r="F49" s="24">
        <f>IF($D49="","",IFERROR(VLOOKUP($D49,物料档案!$A$4:$P$1203,4,0),"※编码不在物料档案里"))</f>
        <v/>
      </c>
      <c r="G49" s="24">
        <f>IF($D49="","",IFERROR(VLOOKUP($D49,物料档案!$A$4:$P$1203,5,0),"※编码不在物料档案里"))</f>
        <v/>
      </c>
      <c r="H49" s="24">
        <f>IF($D49="","",IFERROR(VLOOKUP($D49,物料档案!$A$4:$P$1203,2,0),"※编码不在物料档案里"))</f>
        <v/>
      </c>
      <c r="I49" s="24">
        <f>IF($D49="","",IFERROR(VLOOKUP($D49,物料档案!$A$4:$P$1203,6,0),"※编码不在物料档案里"))</f>
        <v/>
      </c>
      <c r="J49" s="23" t="n"/>
      <c r="K49" s="17" t="n"/>
      <c r="L49" s="17" t="n"/>
      <c r="M49" s="17" t="n"/>
      <c r="N49" s="17" t="n"/>
      <c r="O49" s="26">
        <f>IF($D49="","",IFERROR(VLOOKUP($D49,物料档案!$A$4:$P$1203,10,0),0))</f>
        <v/>
      </c>
      <c r="P49" s="32" t="n"/>
      <c r="Q49" s="26">
        <f>IF($D49="","",IF($K49&lt;&gt;"对外销售",0,ROUND(N($J49)*IF($P49="",N($O49),N($P49)),0)))</f>
        <v/>
      </c>
      <c r="R49" s="26">
        <f>IF($D49="","",IFERROR(VLOOKUP($D49,库存台账!$A$5:$Y$1204,11,0),0))</f>
        <v/>
      </c>
      <c r="S49" s="26">
        <f>IF($D49="","",ROUND(N($J49)*N($R49),0))</f>
        <v/>
      </c>
      <c r="T49" s="26">
        <f>IF($D49="","",IF($K49&lt;&gt;"对外销售","",ROUND($Q49-$S49,0)))</f>
        <v/>
      </c>
      <c r="U49" s="17" t="n"/>
      <c r="V49" s="17" t="n"/>
      <c r="W49" s="24">
        <f>IF($D49="","",IF($E49="※编码不在物料档案里","※物料编码不在档案里",IF(N($J49)&lt;=0,"※出库数量要大于 0",IF($K49="","※没填去向类型",IF($L49="","※没填去向矿区",IF(AND($C49&lt;&gt;"",$C49&lt;=结账锁),"※日期早于已结账截止日，不能再录",IF(AND($K49="自用消耗",COUNTIF({"一矿区";"二矿区"},$L49)=0),"※自用消耗的去向只能是一矿区或二矿区",IF(AND($K49="对外销售",COUNTIF({"三矿区";"六矿区"},$L49)=0),"※对外销售的去向只能是三矿区或六矿区",IF(AND($K49="对外销售",ROUND($Q49,0)=0),"※外销却没有售价，请填实际售价",IF(AND($K49="对外销售",$T49&lt;&gt;"",$T49&lt;0),"※这一笔外销是亏的，请核对售价",IF(IFERROR(VLOOKUP($D49,库存台账!$A$5:$Y$1204,24,0),0)&lt;-0.001,"※这个物料账面已经变成负数了，查一下是不是漏记入库","")))))))))))</f>
        <v/>
      </c>
    </row>
    <row r="50">
      <c r="A50" s="24">
        <f>IF($D50="","",COUNTA($D$4:$D50))</f>
        <v/>
      </c>
      <c r="B50" s="17" t="n"/>
      <c r="C50" s="30" t="n"/>
      <c r="D50" s="17" t="n"/>
      <c r="E50" s="24">
        <f>IF($D50="","",IFERROR(VLOOKUP($D50,物料档案!$A$4:$P$1203,3,0),"※编码不在物料档案里"))</f>
        <v/>
      </c>
      <c r="F50" s="24">
        <f>IF($D50="","",IFERROR(VLOOKUP($D50,物料档案!$A$4:$P$1203,4,0),"※编码不在物料档案里"))</f>
        <v/>
      </c>
      <c r="G50" s="24">
        <f>IF($D50="","",IFERROR(VLOOKUP($D50,物料档案!$A$4:$P$1203,5,0),"※编码不在物料档案里"))</f>
        <v/>
      </c>
      <c r="H50" s="24">
        <f>IF($D50="","",IFERROR(VLOOKUP($D50,物料档案!$A$4:$P$1203,2,0),"※编码不在物料档案里"))</f>
        <v/>
      </c>
      <c r="I50" s="24">
        <f>IF($D50="","",IFERROR(VLOOKUP($D50,物料档案!$A$4:$P$1203,6,0),"※编码不在物料档案里"))</f>
        <v/>
      </c>
      <c r="J50" s="23" t="n"/>
      <c r="K50" s="17" t="n"/>
      <c r="L50" s="17" t="n"/>
      <c r="M50" s="17" t="n"/>
      <c r="N50" s="17" t="n"/>
      <c r="O50" s="26">
        <f>IF($D50="","",IFERROR(VLOOKUP($D50,物料档案!$A$4:$P$1203,10,0),0))</f>
        <v/>
      </c>
      <c r="P50" s="32" t="n"/>
      <c r="Q50" s="26">
        <f>IF($D50="","",IF($K50&lt;&gt;"对外销售",0,ROUND(N($J50)*IF($P50="",N($O50),N($P50)),0)))</f>
        <v/>
      </c>
      <c r="R50" s="26">
        <f>IF($D50="","",IFERROR(VLOOKUP($D50,库存台账!$A$5:$Y$1204,11,0),0))</f>
        <v/>
      </c>
      <c r="S50" s="26">
        <f>IF($D50="","",ROUND(N($J50)*N($R50),0))</f>
        <v/>
      </c>
      <c r="T50" s="26">
        <f>IF($D50="","",IF($K50&lt;&gt;"对外销售","",ROUND($Q50-$S50,0)))</f>
        <v/>
      </c>
      <c r="U50" s="17" t="n"/>
      <c r="V50" s="17" t="n"/>
      <c r="W50" s="24">
        <f>IF($D50="","",IF($E50="※编码不在物料档案里","※物料编码不在档案里",IF(N($J50)&lt;=0,"※出库数量要大于 0",IF($K50="","※没填去向类型",IF($L50="","※没填去向矿区",IF(AND($C50&lt;&gt;"",$C50&lt;=结账锁),"※日期早于已结账截止日，不能再录",IF(AND($K50="自用消耗",COUNTIF({"一矿区";"二矿区"},$L50)=0),"※自用消耗的去向只能是一矿区或二矿区",IF(AND($K50="对外销售",COUNTIF({"三矿区";"六矿区"},$L50)=0),"※对外销售的去向只能是三矿区或六矿区",IF(AND($K50="对外销售",ROUND($Q50,0)=0),"※外销却没有售价，请填实际售价",IF(AND($K50="对外销售",$T50&lt;&gt;"",$T50&lt;0),"※这一笔外销是亏的，请核对售价",IF(IFERROR(VLOOKUP($D50,库存台账!$A$5:$Y$1204,24,0),0)&lt;-0.001,"※这个物料账面已经变成负数了，查一下是不是漏记入库","")))))))))))</f>
        <v/>
      </c>
    </row>
    <row r="51">
      <c r="A51" s="24">
        <f>IF($D51="","",COUNTA($D$4:$D51))</f>
        <v/>
      </c>
      <c r="B51" s="17" t="n"/>
      <c r="C51" s="30" t="n"/>
      <c r="D51" s="17" t="n"/>
      <c r="E51" s="24">
        <f>IF($D51="","",IFERROR(VLOOKUP($D51,物料档案!$A$4:$P$1203,3,0),"※编码不在物料档案里"))</f>
        <v/>
      </c>
      <c r="F51" s="24">
        <f>IF($D51="","",IFERROR(VLOOKUP($D51,物料档案!$A$4:$P$1203,4,0),"※编码不在物料档案里"))</f>
        <v/>
      </c>
      <c r="G51" s="24">
        <f>IF($D51="","",IFERROR(VLOOKUP($D51,物料档案!$A$4:$P$1203,5,0),"※编码不在物料档案里"))</f>
        <v/>
      </c>
      <c r="H51" s="24">
        <f>IF($D51="","",IFERROR(VLOOKUP($D51,物料档案!$A$4:$P$1203,2,0),"※编码不在物料档案里"))</f>
        <v/>
      </c>
      <c r="I51" s="24">
        <f>IF($D51="","",IFERROR(VLOOKUP($D51,物料档案!$A$4:$P$1203,6,0),"※编码不在物料档案里"))</f>
        <v/>
      </c>
      <c r="J51" s="23" t="n"/>
      <c r="K51" s="17" t="n"/>
      <c r="L51" s="17" t="n"/>
      <c r="M51" s="17" t="n"/>
      <c r="N51" s="17" t="n"/>
      <c r="O51" s="26">
        <f>IF($D51="","",IFERROR(VLOOKUP($D51,物料档案!$A$4:$P$1203,10,0),0))</f>
        <v/>
      </c>
      <c r="P51" s="32" t="n"/>
      <c r="Q51" s="26">
        <f>IF($D51="","",IF($K51&lt;&gt;"对外销售",0,ROUND(N($J51)*IF($P51="",N($O51),N($P51)),0)))</f>
        <v/>
      </c>
      <c r="R51" s="26">
        <f>IF($D51="","",IFERROR(VLOOKUP($D51,库存台账!$A$5:$Y$1204,11,0),0))</f>
        <v/>
      </c>
      <c r="S51" s="26">
        <f>IF($D51="","",ROUND(N($J51)*N($R51),0))</f>
        <v/>
      </c>
      <c r="T51" s="26">
        <f>IF($D51="","",IF($K51&lt;&gt;"对外销售","",ROUND($Q51-$S51,0)))</f>
        <v/>
      </c>
      <c r="U51" s="17" t="n"/>
      <c r="V51" s="17" t="n"/>
      <c r="W51" s="24">
        <f>IF($D51="","",IF($E51="※编码不在物料档案里","※物料编码不在档案里",IF(N($J51)&lt;=0,"※出库数量要大于 0",IF($K51="","※没填去向类型",IF($L51="","※没填去向矿区",IF(AND($C51&lt;&gt;"",$C51&lt;=结账锁),"※日期早于已结账截止日，不能再录",IF(AND($K51="自用消耗",COUNTIF({"一矿区";"二矿区"},$L51)=0),"※自用消耗的去向只能是一矿区或二矿区",IF(AND($K51="对外销售",COUNTIF({"三矿区";"六矿区"},$L51)=0),"※对外销售的去向只能是三矿区或六矿区",IF(AND($K51="对外销售",ROUND($Q51,0)=0),"※外销却没有售价，请填实际售价",IF(AND($K51="对外销售",$T51&lt;&gt;"",$T51&lt;0),"※这一笔外销是亏的，请核对售价",IF(IFERROR(VLOOKUP($D51,库存台账!$A$5:$Y$1204,24,0),0)&lt;-0.001,"※这个物料账面已经变成负数了，查一下是不是漏记入库","")))))))))))</f>
        <v/>
      </c>
    </row>
    <row r="52">
      <c r="A52" s="24">
        <f>IF($D52="","",COUNTA($D$4:$D52))</f>
        <v/>
      </c>
      <c r="B52" s="17" t="n"/>
      <c r="C52" s="30" t="n"/>
      <c r="D52" s="17" t="n"/>
      <c r="E52" s="24">
        <f>IF($D52="","",IFERROR(VLOOKUP($D52,物料档案!$A$4:$P$1203,3,0),"※编码不在物料档案里"))</f>
        <v/>
      </c>
      <c r="F52" s="24">
        <f>IF($D52="","",IFERROR(VLOOKUP($D52,物料档案!$A$4:$P$1203,4,0),"※编码不在物料档案里"))</f>
        <v/>
      </c>
      <c r="G52" s="24">
        <f>IF($D52="","",IFERROR(VLOOKUP($D52,物料档案!$A$4:$P$1203,5,0),"※编码不在物料档案里"))</f>
        <v/>
      </c>
      <c r="H52" s="24">
        <f>IF($D52="","",IFERROR(VLOOKUP($D52,物料档案!$A$4:$P$1203,2,0),"※编码不在物料档案里"))</f>
        <v/>
      </c>
      <c r="I52" s="24">
        <f>IF($D52="","",IFERROR(VLOOKUP($D52,物料档案!$A$4:$P$1203,6,0),"※编码不在物料档案里"))</f>
        <v/>
      </c>
      <c r="J52" s="23" t="n"/>
      <c r="K52" s="17" t="n"/>
      <c r="L52" s="17" t="n"/>
      <c r="M52" s="17" t="n"/>
      <c r="N52" s="17" t="n"/>
      <c r="O52" s="26">
        <f>IF($D52="","",IFERROR(VLOOKUP($D52,物料档案!$A$4:$P$1203,10,0),0))</f>
        <v/>
      </c>
      <c r="P52" s="32" t="n"/>
      <c r="Q52" s="26">
        <f>IF($D52="","",IF($K52&lt;&gt;"对外销售",0,ROUND(N($J52)*IF($P52="",N($O52),N($P52)),0)))</f>
        <v/>
      </c>
      <c r="R52" s="26">
        <f>IF($D52="","",IFERROR(VLOOKUP($D52,库存台账!$A$5:$Y$1204,11,0),0))</f>
        <v/>
      </c>
      <c r="S52" s="26">
        <f>IF($D52="","",ROUND(N($J52)*N($R52),0))</f>
        <v/>
      </c>
      <c r="T52" s="26">
        <f>IF($D52="","",IF($K52&lt;&gt;"对外销售","",ROUND($Q52-$S52,0)))</f>
        <v/>
      </c>
      <c r="U52" s="17" t="n"/>
      <c r="V52" s="17" t="n"/>
      <c r="W52" s="24">
        <f>IF($D52="","",IF($E52="※编码不在物料档案里","※物料编码不在档案里",IF(N($J52)&lt;=0,"※出库数量要大于 0",IF($K52="","※没填去向类型",IF($L52="","※没填去向矿区",IF(AND($C52&lt;&gt;"",$C52&lt;=结账锁),"※日期早于已结账截止日，不能再录",IF(AND($K52="自用消耗",COUNTIF({"一矿区";"二矿区"},$L52)=0),"※自用消耗的去向只能是一矿区或二矿区",IF(AND($K52="对外销售",COUNTIF({"三矿区";"六矿区"},$L52)=0),"※对外销售的去向只能是三矿区或六矿区",IF(AND($K52="对外销售",ROUND($Q52,0)=0),"※外销却没有售价，请填实际售价",IF(AND($K52="对外销售",$T52&lt;&gt;"",$T52&lt;0),"※这一笔外销是亏的，请核对售价",IF(IFERROR(VLOOKUP($D52,库存台账!$A$5:$Y$1204,24,0),0)&lt;-0.001,"※这个物料账面已经变成负数了，查一下是不是漏记入库","")))))))))))</f>
        <v/>
      </c>
    </row>
    <row r="53">
      <c r="A53" s="24">
        <f>IF($D53="","",COUNTA($D$4:$D53))</f>
        <v/>
      </c>
      <c r="B53" s="17" t="n"/>
      <c r="C53" s="30" t="n"/>
      <c r="D53" s="17" t="n"/>
      <c r="E53" s="24">
        <f>IF($D53="","",IFERROR(VLOOKUP($D53,物料档案!$A$4:$P$1203,3,0),"※编码不在物料档案里"))</f>
        <v/>
      </c>
      <c r="F53" s="24">
        <f>IF($D53="","",IFERROR(VLOOKUP($D53,物料档案!$A$4:$P$1203,4,0),"※编码不在物料档案里"))</f>
        <v/>
      </c>
      <c r="G53" s="24">
        <f>IF($D53="","",IFERROR(VLOOKUP($D53,物料档案!$A$4:$P$1203,5,0),"※编码不在物料档案里"))</f>
        <v/>
      </c>
      <c r="H53" s="24">
        <f>IF($D53="","",IFERROR(VLOOKUP($D53,物料档案!$A$4:$P$1203,2,0),"※编码不在物料档案里"))</f>
        <v/>
      </c>
      <c r="I53" s="24">
        <f>IF($D53="","",IFERROR(VLOOKUP($D53,物料档案!$A$4:$P$1203,6,0),"※编码不在物料档案里"))</f>
        <v/>
      </c>
      <c r="J53" s="23" t="n"/>
      <c r="K53" s="17" t="n"/>
      <c r="L53" s="17" t="n"/>
      <c r="M53" s="17" t="n"/>
      <c r="N53" s="17" t="n"/>
      <c r="O53" s="26">
        <f>IF($D53="","",IFERROR(VLOOKUP($D53,物料档案!$A$4:$P$1203,10,0),0))</f>
        <v/>
      </c>
      <c r="P53" s="32" t="n"/>
      <c r="Q53" s="26">
        <f>IF($D53="","",IF($K53&lt;&gt;"对外销售",0,ROUND(N($J53)*IF($P53="",N($O53),N($P53)),0)))</f>
        <v/>
      </c>
      <c r="R53" s="26">
        <f>IF($D53="","",IFERROR(VLOOKUP($D53,库存台账!$A$5:$Y$1204,11,0),0))</f>
        <v/>
      </c>
      <c r="S53" s="26">
        <f>IF($D53="","",ROUND(N($J53)*N($R53),0))</f>
        <v/>
      </c>
      <c r="T53" s="26">
        <f>IF($D53="","",IF($K53&lt;&gt;"对外销售","",ROUND($Q53-$S53,0)))</f>
        <v/>
      </c>
      <c r="U53" s="17" t="n"/>
      <c r="V53" s="17" t="n"/>
      <c r="W53" s="24">
        <f>IF($D53="","",IF($E53="※编码不在物料档案里","※物料编码不在档案里",IF(N($J53)&lt;=0,"※出库数量要大于 0",IF($K53="","※没填去向类型",IF($L53="","※没填去向矿区",IF(AND($C53&lt;&gt;"",$C53&lt;=结账锁),"※日期早于已结账截止日，不能再录",IF(AND($K53="自用消耗",COUNTIF({"一矿区";"二矿区"},$L53)=0),"※自用消耗的去向只能是一矿区或二矿区",IF(AND($K53="对外销售",COUNTIF({"三矿区";"六矿区"},$L53)=0),"※对外销售的去向只能是三矿区或六矿区",IF(AND($K53="对外销售",ROUND($Q53,0)=0),"※外销却没有售价，请填实际售价",IF(AND($K53="对外销售",$T53&lt;&gt;"",$T53&lt;0),"※这一笔外销是亏的，请核对售价",IF(IFERROR(VLOOKUP($D53,库存台账!$A$5:$Y$1204,24,0),0)&lt;-0.001,"※这个物料账面已经变成负数了，查一下是不是漏记入库","")))))))))))</f>
        <v/>
      </c>
    </row>
    <row r="54">
      <c r="A54" s="24">
        <f>IF($D54="","",COUNTA($D$4:$D54))</f>
        <v/>
      </c>
      <c r="B54" s="17" t="n"/>
      <c r="C54" s="30" t="n"/>
      <c r="D54" s="17" t="n"/>
      <c r="E54" s="24">
        <f>IF($D54="","",IFERROR(VLOOKUP($D54,物料档案!$A$4:$P$1203,3,0),"※编码不在物料档案里"))</f>
        <v/>
      </c>
      <c r="F54" s="24">
        <f>IF($D54="","",IFERROR(VLOOKUP($D54,物料档案!$A$4:$P$1203,4,0),"※编码不在物料档案里"))</f>
        <v/>
      </c>
      <c r="G54" s="24">
        <f>IF($D54="","",IFERROR(VLOOKUP($D54,物料档案!$A$4:$P$1203,5,0),"※编码不在物料档案里"))</f>
        <v/>
      </c>
      <c r="H54" s="24">
        <f>IF($D54="","",IFERROR(VLOOKUP($D54,物料档案!$A$4:$P$1203,2,0),"※编码不在物料档案里"))</f>
        <v/>
      </c>
      <c r="I54" s="24">
        <f>IF($D54="","",IFERROR(VLOOKUP($D54,物料档案!$A$4:$P$1203,6,0),"※编码不在物料档案里"))</f>
        <v/>
      </c>
      <c r="J54" s="23" t="n"/>
      <c r="K54" s="17" t="n"/>
      <c r="L54" s="17" t="n"/>
      <c r="M54" s="17" t="n"/>
      <c r="N54" s="17" t="n"/>
      <c r="O54" s="26">
        <f>IF($D54="","",IFERROR(VLOOKUP($D54,物料档案!$A$4:$P$1203,10,0),0))</f>
        <v/>
      </c>
      <c r="P54" s="32" t="n"/>
      <c r="Q54" s="26">
        <f>IF($D54="","",IF($K54&lt;&gt;"对外销售",0,ROUND(N($J54)*IF($P54="",N($O54),N($P54)),0)))</f>
        <v/>
      </c>
      <c r="R54" s="26">
        <f>IF($D54="","",IFERROR(VLOOKUP($D54,库存台账!$A$5:$Y$1204,11,0),0))</f>
        <v/>
      </c>
      <c r="S54" s="26">
        <f>IF($D54="","",ROUND(N($J54)*N($R54),0))</f>
        <v/>
      </c>
      <c r="T54" s="26">
        <f>IF($D54="","",IF($K54&lt;&gt;"对外销售","",ROUND($Q54-$S54,0)))</f>
        <v/>
      </c>
      <c r="U54" s="17" t="n"/>
      <c r="V54" s="17" t="n"/>
      <c r="W54" s="24">
        <f>IF($D54="","",IF($E54="※编码不在物料档案里","※物料编码不在档案里",IF(N($J54)&lt;=0,"※出库数量要大于 0",IF($K54="","※没填去向类型",IF($L54="","※没填去向矿区",IF(AND($C54&lt;&gt;"",$C54&lt;=结账锁),"※日期早于已结账截止日，不能再录",IF(AND($K54="自用消耗",COUNTIF({"一矿区";"二矿区"},$L54)=0),"※自用消耗的去向只能是一矿区或二矿区",IF(AND($K54="对外销售",COUNTIF({"三矿区";"六矿区"},$L54)=0),"※对外销售的去向只能是三矿区或六矿区",IF(AND($K54="对外销售",ROUND($Q54,0)=0),"※外销却没有售价，请填实际售价",IF(AND($K54="对外销售",$T54&lt;&gt;"",$T54&lt;0),"※这一笔外销是亏的，请核对售价",IF(IFERROR(VLOOKUP($D54,库存台账!$A$5:$Y$1204,24,0),0)&lt;-0.001,"※这个物料账面已经变成负数了，查一下是不是漏记入库","")))))))))))</f>
        <v/>
      </c>
    </row>
    <row r="55">
      <c r="A55" s="24">
        <f>IF($D55="","",COUNTA($D$4:$D55))</f>
        <v/>
      </c>
      <c r="B55" s="17" t="n"/>
      <c r="C55" s="30" t="n"/>
      <c r="D55" s="17" t="n"/>
      <c r="E55" s="24">
        <f>IF($D55="","",IFERROR(VLOOKUP($D55,物料档案!$A$4:$P$1203,3,0),"※编码不在物料档案里"))</f>
        <v/>
      </c>
      <c r="F55" s="24">
        <f>IF($D55="","",IFERROR(VLOOKUP($D55,物料档案!$A$4:$P$1203,4,0),"※编码不在物料档案里"))</f>
        <v/>
      </c>
      <c r="G55" s="24">
        <f>IF($D55="","",IFERROR(VLOOKUP($D55,物料档案!$A$4:$P$1203,5,0),"※编码不在物料档案里"))</f>
        <v/>
      </c>
      <c r="H55" s="24">
        <f>IF($D55="","",IFERROR(VLOOKUP($D55,物料档案!$A$4:$P$1203,2,0),"※编码不在物料档案里"))</f>
        <v/>
      </c>
      <c r="I55" s="24">
        <f>IF($D55="","",IFERROR(VLOOKUP($D55,物料档案!$A$4:$P$1203,6,0),"※编码不在物料档案里"))</f>
        <v/>
      </c>
      <c r="J55" s="23" t="n"/>
      <c r="K55" s="17" t="n"/>
      <c r="L55" s="17" t="n"/>
      <c r="M55" s="17" t="n"/>
      <c r="N55" s="17" t="n"/>
      <c r="O55" s="26">
        <f>IF($D55="","",IFERROR(VLOOKUP($D55,物料档案!$A$4:$P$1203,10,0),0))</f>
        <v/>
      </c>
      <c r="P55" s="32" t="n"/>
      <c r="Q55" s="26">
        <f>IF($D55="","",IF($K55&lt;&gt;"对外销售",0,ROUND(N($J55)*IF($P55="",N($O55),N($P55)),0)))</f>
        <v/>
      </c>
      <c r="R55" s="26">
        <f>IF($D55="","",IFERROR(VLOOKUP($D55,库存台账!$A$5:$Y$1204,11,0),0))</f>
        <v/>
      </c>
      <c r="S55" s="26">
        <f>IF($D55="","",ROUND(N($J55)*N($R55),0))</f>
        <v/>
      </c>
      <c r="T55" s="26">
        <f>IF($D55="","",IF($K55&lt;&gt;"对外销售","",ROUND($Q55-$S55,0)))</f>
        <v/>
      </c>
      <c r="U55" s="17" t="n"/>
      <c r="V55" s="17" t="n"/>
      <c r="W55" s="24">
        <f>IF($D55="","",IF($E55="※编码不在物料档案里","※物料编码不在档案里",IF(N($J55)&lt;=0,"※出库数量要大于 0",IF($K55="","※没填去向类型",IF($L55="","※没填去向矿区",IF(AND($C55&lt;&gt;"",$C55&lt;=结账锁),"※日期早于已结账截止日，不能再录",IF(AND($K55="自用消耗",COUNTIF({"一矿区";"二矿区"},$L55)=0),"※自用消耗的去向只能是一矿区或二矿区",IF(AND($K55="对外销售",COUNTIF({"三矿区";"六矿区"},$L55)=0),"※对外销售的去向只能是三矿区或六矿区",IF(AND($K55="对外销售",ROUND($Q55,0)=0),"※外销却没有售价，请填实际售价",IF(AND($K55="对外销售",$T55&lt;&gt;"",$T55&lt;0),"※这一笔外销是亏的，请核对售价",IF(IFERROR(VLOOKUP($D55,库存台账!$A$5:$Y$1204,24,0),0)&lt;-0.001,"※这个物料账面已经变成负数了，查一下是不是漏记入库","")))))))))))</f>
        <v/>
      </c>
    </row>
    <row r="56">
      <c r="A56" s="24">
        <f>IF($D56="","",COUNTA($D$4:$D56))</f>
        <v/>
      </c>
      <c r="B56" s="17" t="n"/>
      <c r="C56" s="30" t="n"/>
      <c r="D56" s="17" t="n"/>
      <c r="E56" s="24">
        <f>IF($D56="","",IFERROR(VLOOKUP($D56,物料档案!$A$4:$P$1203,3,0),"※编码不在物料档案里"))</f>
        <v/>
      </c>
      <c r="F56" s="24">
        <f>IF($D56="","",IFERROR(VLOOKUP($D56,物料档案!$A$4:$P$1203,4,0),"※编码不在物料档案里"))</f>
        <v/>
      </c>
      <c r="G56" s="24">
        <f>IF($D56="","",IFERROR(VLOOKUP($D56,物料档案!$A$4:$P$1203,5,0),"※编码不在物料档案里"))</f>
        <v/>
      </c>
      <c r="H56" s="24">
        <f>IF($D56="","",IFERROR(VLOOKUP($D56,物料档案!$A$4:$P$1203,2,0),"※编码不在物料档案里"))</f>
        <v/>
      </c>
      <c r="I56" s="24">
        <f>IF($D56="","",IFERROR(VLOOKUP($D56,物料档案!$A$4:$P$1203,6,0),"※编码不在物料档案里"))</f>
        <v/>
      </c>
      <c r="J56" s="23" t="n"/>
      <c r="K56" s="17" t="n"/>
      <c r="L56" s="17" t="n"/>
      <c r="M56" s="17" t="n"/>
      <c r="N56" s="17" t="n"/>
      <c r="O56" s="26">
        <f>IF($D56="","",IFERROR(VLOOKUP($D56,物料档案!$A$4:$P$1203,10,0),0))</f>
        <v/>
      </c>
      <c r="P56" s="32" t="n"/>
      <c r="Q56" s="26">
        <f>IF($D56="","",IF($K56&lt;&gt;"对外销售",0,ROUND(N($J56)*IF($P56="",N($O56),N($P56)),0)))</f>
        <v/>
      </c>
      <c r="R56" s="26">
        <f>IF($D56="","",IFERROR(VLOOKUP($D56,库存台账!$A$5:$Y$1204,11,0),0))</f>
        <v/>
      </c>
      <c r="S56" s="26">
        <f>IF($D56="","",ROUND(N($J56)*N($R56),0))</f>
        <v/>
      </c>
      <c r="T56" s="26">
        <f>IF($D56="","",IF($K56&lt;&gt;"对外销售","",ROUND($Q56-$S56,0)))</f>
        <v/>
      </c>
      <c r="U56" s="17" t="n"/>
      <c r="V56" s="17" t="n"/>
      <c r="W56" s="24">
        <f>IF($D56="","",IF($E56="※编码不在物料档案里","※物料编码不在档案里",IF(N($J56)&lt;=0,"※出库数量要大于 0",IF($K56="","※没填去向类型",IF($L56="","※没填去向矿区",IF(AND($C56&lt;&gt;"",$C56&lt;=结账锁),"※日期早于已结账截止日，不能再录",IF(AND($K56="自用消耗",COUNTIF({"一矿区";"二矿区"},$L56)=0),"※自用消耗的去向只能是一矿区或二矿区",IF(AND($K56="对外销售",COUNTIF({"三矿区";"六矿区"},$L56)=0),"※对外销售的去向只能是三矿区或六矿区",IF(AND($K56="对外销售",ROUND($Q56,0)=0),"※外销却没有售价，请填实际售价",IF(AND($K56="对外销售",$T56&lt;&gt;"",$T56&lt;0),"※这一笔外销是亏的，请核对售价",IF(IFERROR(VLOOKUP($D56,库存台账!$A$5:$Y$1204,24,0),0)&lt;-0.001,"※这个物料账面已经变成负数了，查一下是不是漏记入库","")))))))))))</f>
        <v/>
      </c>
    </row>
    <row r="57">
      <c r="A57" s="24">
        <f>IF($D57="","",COUNTA($D$4:$D57))</f>
        <v/>
      </c>
      <c r="B57" s="17" t="n"/>
      <c r="C57" s="30" t="n"/>
      <c r="D57" s="17" t="n"/>
      <c r="E57" s="24">
        <f>IF($D57="","",IFERROR(VLOOKUP($D57,物料档案!$A$4:$P$1203,3,0),"※编码不在物料档案里"))</f>
        <v/>
      </c>
      <c r="F57" s="24">
        <f>IF($D57="","",IFERROR(VLOOKUP($D57,物料档案!$A$4:$P$1203,4,0),"※编码不在物料档案里"))</f>
        <v/>
      </c>
      <c r="G57" s="24">
        <f>IF($D57="","",IFERROR(VLOOKUP($D57,物料档案!$A$4:$P$1203,5,0),"※编码不在物料档案里"))</f>
        <v/>
      </c>
      <c r="H57" s="24">
        <f>IF($D57="","",IFERROR(VLOOKUP($D57,物料档案!$A$4:$P$1203,2,0),"※编码不在物料档案里"))</f>
        <v/>
      </c>
      <c r="I57" s="24">
        <f>IF($D57="","",IFERROR(VLOOKUP($D57,物料档案!$A$4:$P$1203,6,0),"※编码不在物料档案里"))</f>
        <v/>
      </c>
      <c r="J57" s="23" t="n"/>
      <c r="K57" s="17" t="n"/>
      <c r="L57" s="17" t="n"/>
      <c r="M57" s="17" t="n"/>
      <c r="N57" s="17" t="n"/>
      <c r="O57" s="26">
        <f>IF($D57="","",IFERROR(VLOOKUP($D57,物料档案!$A$4:$P$1203,10,0),0))</f>
        <v/>
      </c>
      <c r="P57" s="32" t="n"/>
      <c r="Q57" s="26">
        <f>IF($D57="","",IF($K57&lt;&gt;"对外销售",0,ROUND(N($J57)*IF($P57="",N($O57),N($P57)),0)))</f>
        <v/>
      </c>
      <c r="R57" s="26">
        <f>IF($D57="","",IFERROR(VLOOKUP($D57,库存台账!$A$5:$Y$1204,11,0),0))</f>
        <v/>
      </c>
      <c r="S57" s="26">
        <f>IF($D57="","",ROUND(N($J57)*N($R57),0))</f>
        <v/>
      </c>
      <c r="T57" s="26">
        <f>IF($D57="","",IF($K57&lt;&gt;"对外销售","",ROUND($Q57-$S57,0)))</f>
        <v/>
      </c>
      <c r="U57" s="17" t="n"/>
      <c r="V57" s="17" t="n"/>
      <c r="W57" s="24">
        <f>IF($D57="","",IF($E57="※编码不在物料档案里","※物料编码不在档案里",IF(N($J57)&lt;=0,"※出库数量要大于 0",IF($K57="","※没填去向类型",IF($L57="","※没填去向矿区",IF(AND($C57&lt;&gt;"",$C57&lt;=结账锁),"※日期早于已结账截止日，不能再录",IF(AND($K57="自用消耗",COUNTIF({"一矿区";"二矿区"},$L57)=0),"※自用消耗的去向只能是一矿区或二矿区",IF(AND($K57="对外销售",COUNTIF({"三矿区";"六矿区"},$L57)=0),"※对外销售的去向只能是三矿区或六矿区",IF(AND($K57="对外销售",ROUND($Q57,0)=0),"※外销却没有售价，请填实际售价",IF(AND($K57="对外销售",$T57&lt;&gt;"",$T57&lt;0),"※这一笔外销是亏的，请核对售价",IF(IFERROR(VLOOKUP($D57,库存台账!$A$5:$Y$1204,24,0),0)&lt;-0.001,"※这个物料账面已经变成负数了，查一下是不是漏记入库","")))))))))))</f>
        <v/>
      </c>
    </row>
    <row r="58">
      <c r="A58" s="24">
        <f>IF($D58="","",COUNTA($D$4:$D58))</f>
        <v/>
      </c>
      <c r="B58" s="17" t="n"/>
      <c r="C58" s="30" t="n"/>
      <c r="D58" s="17" t="n"/>
      <c r="E58" s="24">
        <f>IF($D58="","",IFERROR(VLOOKUP($D58,物料档案!$A$4:$P$1203,3,0),"※编码不在物料档案里"))</f>
        <v/>
      </c>
      <c r="F58" s="24">
        <f>IF($D58="","",IFERROR(VLOOKUP($D58,物料档案!$A$4:$P$1203,4,0),"※编码不在物料档案里"))</f>
        <v/>
      </c>
      <c r="G58" s="24">
        <f>IF($D58="","",IFERROR(VLOOKUP($D58,物料档案!$A$4:$P$1203,5,0),"※编码不在物料档案里"))</f>
        <v/>
      </c>
      <c r="H58" s="24">
        <f>IF($D58="","",IFERROR(VLOOKUP($D58,物料档案!$A$4:$P$1203,2,0),"※编码不在物料档案里"))</f>
        <v/>
      </c>
      <c r="I58" s="24">
        <f>IF($D58="","",IFERROR(VLOOKUP($D58,物料档案!$A$4:$P$1203,6,0),"※编码不在物料档案里"))</f>
        <v/>
      </c>
      <c r="J58" s="23" t="n"/>
      <c r="K58" s="17" t="n"/>
      <c r="L58" s="17" t="n"/>
      <c r="M58" s="17" t="n"/>
      <c r="N58" s="17" t="n"/>
      <c r="O58" s="26">
        <f>IF($D58="","",IFERROR(VLOOKUP($D58,物料档案!$A$4:$P$1203,10,0),0))</f>
        <v/>
      </c>
      <c r="P58" s="32" t="n"/>
      <c r="Q58" s="26">
        <f>IF($D58="","",IF($K58&lt;&gt;"对外销售",0,ROUND(N($J58)*IF($P58="",N($O58),N($P58)),0)))</f>
        <v/>
      </c>
      <c r="R58" s="26">
        <f>IF($D58="","",IFERROR(VLOOKUP($D58,库存台账!$A$5:$Y$1204,11,0),0))</f>
        <v/>
      </c>
      <c r="S58" s="26">
        <f>IF($D58="","",ROUND(N($J58)*N($R58),0))</f>
        <v/>
      </c>
      <c r="T58" s="26">
        <f>IF($D58="","",IF($K58&lt;&gt;"对外销售","",ROUND($Q58-$S58,0)))</f>
        <v/>
      </c>
      <c r="U58" s="17" t="n"/>
      <c r="V58" s="17" t="n"/>
      <c r="W58" s="24">
        <f>IF($D58="","",IF($E58="※编码不在物料档案里","※物料编码不在档案里",IF(N($J58)&lt;=0,"※出库数量要大于 0",IF($K58="","※没填去向类型",IF($L58="","※没填去向矿区",IF(AND($C58&lt;&gt;"",$C58&lt;=结账锁),"※日期早于已结账截止日，不能再录",IF(AND($K58="自用消耗",COUNTIF({"一矿区";"二矿区"},$L58)=0),"※自用消耗的去向只能是一矿区或二矿区",IF(AND($K58="对外销售",COUNTIF({"三矿区";"六矿区"},$L58)=0),"※对外销售的去向只能是三矿区或六矿区",IF(AND($K58="对外销售",ROUND($Q58,0)=0),"※外销却没有售价，请填实际售价",IF(AND($K58="对外销售",$T58&lt;&gt;"",$T58&lt;0),"※这一笔外销是亏的，请核对售价",IF(IFERROR(VLOOKUP($D58,库存台账!$A$5:$Y$1204,24,0),0)&lt;-0.001,"※这个物料账面已经变成负数了，查一下是不是漏记入库","")))))))))))</f>
        <v/>
      </c>
    </row>
    <row r="59">
      <c r="A59" s="24">
        <f>IF($D59="","",COUNTA($D$4:$D59))</f>
        <v/>
      </c>
      <c r="B59" s="17" t="n"/>
      <c r="C59" s="30" t="n"/>
      <c r="D59" s="17" t="n"/>
      <c r="E59" s="24">
        <f>IF($D59="","",IFERROR(VLOOKUP($D59,物料档案!$A$4:$P$1203,3,0),"※编码不在物料档案里"))</f>
        <v/>
      </c>
      <c r="F59" s="24">
        <f>IF($D59="","",IFERROR(VLOOKUP($D59,物料档案!$A$4:$P$1203,4,0),"※编码不在物料档案里"))</f>
        <v/>
      </c>
      <c r="G59" s="24">
        <f>IF($D59="","",IFERROR(VLOOKUP($D59,物料档案!$A$4:$P$1203,5,0),"※编码不在物料档案里"))</f>
        <v/>
      </c>
      <c r="H59" s="24">
        <f>IF($D59="","",IFERROR(VLOOKUP($D59,物料档案!$A$4:$P$1203,2,0),"※编码不在物料档案里"))</f>
        <v/>
      </c>
      <c r="I59" s="24">
        <f>IF($D59="","",IFERROR(VLOOKUP($D59,物料档案!$A$4:$P$1203,6,0),"※编码不在物料档案里"))</f>
        <v/>
      </c>
      <c r="J59" s="23" t="n"/>
      <c r="K59" s="17" t="n"/>
      <c r="L59" s="17" t="n"/>
      <c r="M59" s="17" t="n"/>
      <c r="N59" s="17" t="n"/>
      <c r="O59" s="26">
        <f>IF($D59="","",IFERROR(VLOOKUP($D59,物料档案!$A$4:$P$1203,10,0),0))</f>
        <v/>
      </c>
      <c r="P59" s="32" t="n"/>
      <c r="Q59" s="26">
        <f>IF($D59="","",IF($K59&lt;&gt;"对外销售",0,ROUND(N($J59)*IF($P59="",N($O59),N($P59)),0)))</f>
        <v/>
      </c>
      <c r="R59" s="26">
        <f>IF($D59="","",IFERROR(VLOOKUP($D59,库存台账!$A$5:$Y$1204,11,0),0))</f>
        <v/>
      </c>
      <c r="S59" s="26">
        <f>IF($D59="","",ROUND(N($J59)*N($R59),0))</f>
        <v/>
      </c>
      <c r="T59" s="26">
        <f>IF($D59="","",IF($K59&lt;&gt;"对外销售","",ROUND($Q59-$S59,0)))</f>
        <v/>
      </c>
      <c r="U59" s="17" t="n"/>
      <c r="V59" s="17" t="n"/>
      <c r="W59" s="24">
        <f>IF($D59="","",IF($E59="※编码不在物料档案里","※物料编码不在档案里",IF(N($J59)&lt;=0,"※出库数量要大于 0",IF($K59="","※没填去向类型",IF($L59="","※没填去向矿区",IF(AND($C59&lt;&gt;"",$C59&lt;=结账锁),"※日期早于已结账截止日，不能再录",IF(AND($K59="自用消耗",COUNTIF({"一矿区";"二矿区"},$L59)=0),"※自用消耗的去向只能是一矿区或二矿区",IF(AND($K59="对外销售",COUNTIF({"三矿区";"六矿区"},$L59)=0),"※对外销售的去向只能是三矿区或六矿区",IF(AND($K59="对外销售",ROUND($Q59,0)=0),"※外销却没有售价，请填实际售价",IF(AND($K59="对外销售",$T59&lt;&gt;"",$T59&lt;0),"※这一笔外销是亏的，请核对售价",IF(IFERROR(VLOOKUP($D59,库存台账!$A$5:$Y$1204,24,0),0)&lt;-0.001,"※这个物料账面已经变成负数了，查一下是不是漏记入库","")))))))))))</f>
        <v/>
      </c>
    </row>
    <row r="60">
      <c r="A60" s="24">
        <f>IF($D60="","",COUNTA($D$4:$D60))</f>
        <v/>
      </c>
      <c r="B60" s="17" t="n"/>
      <c r="C60" s="30" t="n"/>
      <c r="D60" s="17" t="n"/>
      <c r="E60" s="24">
        <f>IF($D60="","",IFERROR(VLOOKUP($D60,物料档案!$A$4:$P$1203,3,0),"※编码不在物料档案里"))</f>
        <v/>
      </c>
      <c r="F60" s="24">
        <f>IF($D60="","",IFERROR(VLOOKUP($D60,物料档案!$A$4:$P$1203,4,0),"※编码不在物料档案里"))</f>
        <v/>
      </c>
      <c r="G60" s="24">
        <f>IF($D60="","",IFERROR(VLOOKUP($D60,物料档案!$A$4:$P$1203,5,0),"※编码不在物料档案里"))</f>
        <v/>
      </c>
      <c r="H60" s="24">
        <f>IF($D60="","",IFERROR(VLOOKUP($D60,物料档案!$A$4:$P$1203,2,0),"※编码不在物料档案里"))</f>
        <v/>
      </c>
      <c r="I60" s="24">
        <f>IF($D60="","",IFERROR(VLOOKUP($D60,物料档案!$A$4:$P$1203,6,0),"※编码不在物料档案里"))</f>
        <v/>
      </c>
      <c r="J60" s="23" t="n"/>
      <c r="K60" s="17" t="n"/>
      <c r="L60" s="17" t="n"/>
      <c r="M60" s="17" t="n"/>
      <c r="N60" s="17" t="n"/>
      <c r="O60" s="26">
        <f>IF($D60="","",IFERROR(VLOOKUP($D60,物料档案!$A$4:$P$1203,10,0),0))</f>
        <v/>
      </c>
      <c r="P60" s="32" t="n"/>
      <c r="Q60" s="26">
        <f>IF($D60="","",IF($K60&lt;&gt;"对外销售",0,ROUND(N($J60)*IF($P60="",N($O60),N($P60)),0)))</f>
        <v/>
      </c>
      <c r="R60" s="26">
        <f>IF($D60="","",IFERROR(VLOOKUP($D60,库存台账!$A$5:$Y$1204,11,0),0))</f>
        <v/>
      </c>
      <c r="S60" s="26">
        <f>IF($D60="","",ROUND(N($J60)*N($R60),0))</f>
        <v/>
      </c>
      <c r="T60" s="26">
        <f>IF($D60="","",IF($K60&lt;&gt;"对外销售","",ROUND($Q60-$S60,0)))</f>
        <v/>
      </c>
      <c r="U60" s="17" t="n"/>
      <c r="V60" s="17" t="n"/>
      <c r="W60" s="24">
        <f>IF($D60="","",IF($E60="※编码不在物料档案里","※物料编码不在档案里",IF(N($J60)&lt;=0,"※出库数量要大于 0",IF($K60="","※没填去向类型",IF($L60="","※没填去向矿区",IF(AND($C60&lt;&gt;"",$C60&lt;=结账锁),"※日期早于已结账截止日，不能再录",IF(AND($K60="自用消耗",COUNTIF({"一矿区";"二矿区"},$L60)=0),"※自用消耗的去向只能是一矿区或二矿区",IF(AND($K60="对外销售",COUNTIF({"三矿区";"六矿区"},$L60)=0),"※对外销售的去向只能是三矿区或六矿区",IF(AND($K60="对外销售",ROUND($Q60,0)=0),"※外销却没有售价，请填实际售价",IF(AND($K60="对外销售",$T60&lt;&gt;"",$T60&lt;0),"※这一笔外销是亏的，请核对售价",IF(IFERROR(VLOOKUP($D60,库存台账!$A$5:$Y$1204,24,0),0)&lt;-0.001,"※这个物料账面已经变成负数了，查一下是不是漏记入库","")))))))))))</f>
        <v/>
      </c>
    </row>
    <row r="61">
      <c r="A61" s="24">
        <f>IF($D61="","",COUNTA($D$4:$D61))</f>
        <v/>
      </c>
      <c r="B61" s="17" t="n"/>
      <c r="C61" s="30" t="n"/>
      <c r="D61" s="17" t="n"/>
      <c r="E61" s="24">
        <f>IF($D61="","",IFERROR(VLOOKUP($D61,物料档案!$A$4:$P$1203,3,0),"※编码不在物料档案里"))</f>
        <v/>
      </c>
      <c r="F61" s="24">
        <f>IF($D61="","",IFERROR(VLOOKUP($D61,物料档案!$A$4:$P$1203,4,0),"※编码不在物料档案里"))</f>
        <v/>
      </c>
      <c r="G61" s="24">
        <f>IF($D61="","",IFERROR(VLOOKUP($D61,物料档案!$A$4:$P$1203,5,0),"※编码不在物料档案里"))</f>
        <v/>
      </c>
      <c r="H61" s="24">
        <f>IF($D61="","",IFERROR(VLOOKUP($D61,物料档案!$A$4:$P$1203,2,0),"※编码不在物料档案里"))</f>
        <v/>
      </c>
      <c r="I61" s="24">
        <f>IF($D61="","",IFERROR(VLOOKUP($D61,物料档案!$A$4:$P$1203,6,0),"※编码不在物料档案里"))</f>
        <v/>
      </c>
      <c r="J61" s="23" t="n"/>
      <c r="K61" s="17" t="n"/>
      <c r="L61" s="17" t="n"/>
      <c r="M61" s="17" t="n"/>
      <c r="N61" s="17" t="n"/>
      <c r="O61" s="26">
        <f>IF($D61="","",IFERROR(VLOOKUP($D61,物料档案!$A$4:$P$1203,10,0),0))</f>
        <v/>
      </c>
      <c r="P61" s="32" t="n"/>
      <c r="Q61" s="26">
        <f>IF($D61="","",IF($K61&lt;&gt;"对外销售",0,ROUND(N($J61)*IF($P61="",N($O61),N($P61)),0)))</f>
        <v/>
      </c>
      <c r="R61" s="26">
        <f>IF($D61="","",IFERROR(VLOOKUP($D61,库存台账!$A$5:$Y$1204,11,0),0))</f>
        <v/>
      </c>
      <c r="S61" s="26">
        <f>IF($D61="","",ROUND(N($J61)*N($R61),0))</f>
        <v/>
      </c>
      <c r="T61" s="26">
        <f>IF($D61="","",IF($K61&lt;&gt;"对外销售","",ROUND($Q61-$S61,0)))</f>
        <v/>
      </c>
      <c r="U61" s="17" t="n"/>
      <c r="V61" s="17" t="n"/>
      <c r="W61" s="24">
        <f>IF($D61="","",IF($E61="※编码不在物料档案里","※物料编码不在档案里",IF(N($J61)&lt;=0,"※出库数量要大于 0",IF($K61="","※没填去向类型",IF($L61="","※没填去向矿区",IF(AND($C61&lt;&gt;"",$C61&lt;=结账锁),"※日期早于已结账截止日，不能再录",IF(AND($K61="自用消耗",COUNTIF({"一矿区";"二矿区"},$L61)=0),"※自用消耗的去向只能是一矿区或二矿区",IF(AND($K61="对外销售",COUNTIF({"三矿区";"六矿区"},$L61)=0),"※对外销售的去向只能是三矿区或六矿区",IF(AND($K61="对外销售",ROUND($Q61,0)=0),"※外销却没有售价，请填实际售价",IF(AND($K61="对外销售",$T61&lt;&gt;"",$T61&lt;0),"※这一笔外销是亏的，请核对售价",IF(IFERROR(VLOOKUP($D61,库存台账!$A$5:$Y$1204,24,0),0)&lt;-0.001,"※这个物料账面已经变成负数了，查一下是不是漏记入库","")))))))))))</f>
        <v/>
      </c>
    </row>
    <row r="62">
      <c r="A62" s="24">
        <f>IF($D62="","",COUNTA($D$4:$D62))</f>
        <v/>
      </c>
      <c r="B62" s="17" t="n"/>
      <c r="C62" s="30" t="n"/>
      <c r="D62" s="17" t="n"/>
      <c r="E62" s="24">
        <f>IF($D62="","",IFERROR(VLOOKUP($D62,物料档案!$A$4:$P$1203,3,0),"※编码不在物料档案里"))</f>
        <v/>
      </c>
      <c r="F62" s="24">
        <f>IF($D62="","",IFERROR(VLOOKUP($D62,物料档案!$A$4:$P$1203,4,0),"※编码不在物料档案里"))</f>
        <v/>
      </c>
      <c r="G62" s="24">
        <f>IF($D62="","",IFERROR(VLOOKUP($D62,物料档案!$A$4:$P$1203,5,0),"※编码不在物料档案里"))</f>
        <v/>
      </c>
      <c r="H62" s="24">
        <f>IF($D62="","",IFERROR(VLOOKUP($D62,物料档案!$A$4:$P$1203,2,0),"※编码不在物料档案里"))</f>
        <v/>
      </c>
      <c r="I62" s="24">
        <f>IF($D62="","",IFERROR(VLOOKUP($D62,物料档案!$A$4:$P$1203,6,0),"※编码不在物料档案里"))</f>
        <v/>
      </c>
      <c r="J62" s="23" t="n"/>
      <c r="K62" s="17" t="n"/>
      <c r="L62" s="17" t="n"/>
      <c r="M62" s="17" t="n"/>
      <c r="N62" s="17" t="n"/>
      <c r="O62" s="26">
        <f>IF($D62="","",IFERROR(VLOOKUP($D62,物料档案!$A$4:$P$1203,10,0),0))</f>
        <v/>
      </c>
      <c r="P62" s="32" t="n"/>
      <c r="Q62" s="26">
        <f>IF($D62="","",IF($K62&lt;&gt;"对外销售",0,ROUND(N($J62)*IF($P62="",N($O62),N($P62)),0)))</f>
        <v/>
      </c>
      <c r="R62" s="26">
        <f>IF($D62="","",IFERROR(VLOOKUP($D62,库存台账!$A$5:$Y$1204,11,0),0))</f>
        <v/>
      </c>
      <c r="S62" s="26">
        <f>IF($D62="","",ROUND(N($J62)*N($R62),0))</f>
        <v/>
      </c>
      <c r="T62" s="26">
        <f>IF($D62="","",IF($K62&lt;&gt;"对外销售","",ROUND($Q62-$S62,0)))</f>
        <v/>
      </c>
      <c r="U62" s="17" t="n"/>
      <c r="V62" s="17" t="n"/>
      <c r="W62" s="24">
        <f>IF($D62="","",IF($E62="※编码不在物料档案里","※物料编码不在档案里",IF(N($J62)&lt;=0,"※出库数量要大于 0",IF($K62="","※没填去向类型",IF($L62="","※没填去向矿区",IF(AND($C62&lt;&gt;"",$C62&lt;=结账锁),"※日期早于已结账截止日，不能再录",IF(AND($K62="自用消耗",COUNTIF({"一矿区";"二矿区"},$L62)=0),"※自用消耗的去向只能是一矿区或二矿区",IF(AND($K62="对外销售",COUNTIF({"三矿区";"六矿区"},$L62)=0),"※对外销售的去向只能是三矿区或六矿区",IF(AND($K62="对外销售",ROUND($Q62,0)=0),"※外销却没有售价，请填实际售价",IF(AND($K62="对外销售",$T62&lt;&gt;"",$T62&lt;0),"※这一笔外销是亏的，请核对售价",IF(IFERROR(VLOOKUP($D62,库存台账!$A$5:$Y$1204,24,0),0)&lt;-0.001,"※这个物料账面已经变成负数了，查一下是不是漏记入库","")))))))))))</f>
        <v/>
      </c>
    </row>
    <row r="63">
      <c r="A63" s="24">
        <f>IF($D63="","",COUNTA($D$4:$D63))</f>
        <v/>
      </c>
      <c r="B63" s="17" t="n"/>
      <c r="C63" s="30" t="n"/>
      <c r="D63" s="17" t="n"/>
      <c r="E63" s="24">
        <f>IF($D63="","",IFERROR(VLOOKUP($D63,物料档案!$A$4:$P$1203,3,0),"※编码不在物料档案里"))</f>
        <v/>
      </c>
      <c r="F63" s="24">
        <f>IF($D63="","",IFERROR(VLOOKUP($D63,物料档案!$A$4:$P$1203,4,0),"※编码不在物料档案里"))</f>
        <v/>
      </c>
      <c r="G63" s="24">
        <f>IF($D63="","",IFERROR(VLOOKUP($D63,物料档案!$A$4:$P$1203,5,0),"※编码不在物料档案里"))</f>
        <v/>
      </c>
      <c r="H63" s="24">
        <f>IF($D63="","",IFERROR(VLOOKUP($D63,物料档案!$A$4:$P$1203,2,0),"※编码不在物料档案里"))</f>
        <v/>
      </c>
      <c r="I63" s="24">
        <f>IF($D63="","",IFERROR(VLOOKUP($D63,物料档案!$A$4:$P$1203,6,0),"※编码不在物料档案里"))</f>
        <v/>
      </c>
      <c r="J63" s="23" t="n"/>
      <c r="K63" s="17" t="n"/>
      <c r="L63" s="17" t="n"/>
      <c r="M63" s="17" t="n"/>
      <c r="N63" s="17" t="n"/>
      <c r="O63" s="26">
        <f>IF($D63="","",IFERROR(VLOOKUP($D63,物料档案!$A$4:$P$1203,10,0),0))</f>
        <v/>
      </c>
      <c r="P63" s="32" t="n"/>
      <c r="Q63" s="26">
        <f>IF($D63="","",IF($K63&lt;&gt;"对外销售",0,ROUND(N($J63)*IF($P63="",N($O63),N($P63)),0)))</f>
        <v/>
      </c>
      <c r="R63" s="26">
        <f>IF($D63="","",IFERROR(VLOOKUP($D63,库存台账!$A$5:$Y$1204,11,0),0))</f>
        <v/>
      </c>
      <c r="S63" s="26">
        <f>IF($D63="","",ROUND(N($J63)*N($R63),0))</f>
        <v/>
      </c>
      <c r="T63" s="26">
        <f>IF($D63="","",IF($K63&lt;&gt;"对外销售","",ROUND($Q63-$S63,0)))</f>
        <v/>
      </c>
      <c r="U63" s="17" t="n"/>
      <c r="V63" s="17" t="n"/>
      <c r="W63" s="24">
        <f>IF($D63="","",IF($E63="※编码不在物料档案里","※物料编码不在档案里",IF(N($J63)&lt;=0,"※出库数量要大于 0",IF($K63="","※没填去向类型",IF($L63="","※没填去向矿区",IF(AND($C63&lt;&gt;"",$C63&lt;=结账锁),"※日期早于已结账截止日，不能再录",IF(AND($K63="自用消耗",COUNTIF({"一矿区";"二矿区"},$L63)=0),"※自用消耗的去向只能是一矿区或二矿区",IF(AND($K63="对外销售",COUNTIF({"三矿区";"六矿区"},$L63)=0),"※对外销售的去向只能是三矿区或六矿区",IF(AND($K63="对外销售",ROUND($Q63,0)=0),"※外销却没有售价，请填实际售价",IF(AND($K63="对外销售",$T63&lt;&gt;"",$T63&lt;0),"※这一笔外销是亏的，请核对售价",IF(IFERROR(VLOOKUP($D63,库存台账!$A$5:$Y$1204,24,0),0)&lt;-0.001,"※这个物料账面已经变成负数了，查一下是不是漏记入库","")))))))))))</f>
        <v/>
      </c>
    </row>
    <row r="64">
      <c r="A64" s="24">
        <f>IF($D64="","",COUNTA($D$4:$D64))</f>
        <v/>
      </c>
      <c r="B64" s="17" t="n"/>
      <c r="C64" s="30" t="n"/>
      <c r="D64" s="17" t="n"/>
      <c r="E64" s="24">
        <f>IF($D64="","",IFERROR(VLOOKUP($D64,物料档案!$A$4:$P$1203,3,0),"※编码不在物料档案里"))</f>
        <v/>
      </c>
      <c r="F64" s="24">
        <f>IF($D64="","",IFERROR(VLOOKUP($D64,物料档案!$A$4:$P$1203,4,0),"※编码不在物料档案里"))</f>
        <v/>
      </c>
      <c r="G64" s="24">
        <f>IF($D64="","",IFERROR(VLOOKUP($D64,物料档案!$A$4:$P$1203,5,0),"※编码不在物料档案里"))</f>
        <v/>
      </c>
      <c r="H64" s="24">
        <f>IF($D64="","",IFERROR(VLOOKUP($D64,物料档案!$A$4:$P$1203,2,0),"※编码不在物料档案里"))</f>
        <v/>
      </c>
      <c r="I64" s="24">
        <f>IF($D64="","",IFERROR(VLOOKUP($D64,物料档案!$A$4:$P$1203,6,0),"※编码不在物料档案里"))</f>
        <v/>
      </c>
      <c r="J64" s="23" t="n"/>
      <c r="K64" s="17" t="n"/>
      <c r="L64" s="17" t="n"/>
      <c r="M64" s="17" t="n"/>
      <c r="N64" s="17" t="n"/>
      <c r="O64" s="26">
        <f>IF($D64="","",IFERROR(VLOOKUP($D64,物料档案!$A$4:$P$1203,10,0),0))</f>
        <v/>
      </c>
      <c r="P64" s="32" t="n"/>
      <c r="Q64" s="26">
        <f>IF($D64="","",IF($K64&lt;&gt;"对外销售",0,ROUND(N($J64)*IF($P64="",N($O64),N($P64)),0)))</f>
        <v/>
      </c>
      <c r="R64" s="26">
        <f>IF($D64="","",IFERROR(VLOOKUP($D64,库存台账!$A$5:$Y$1204,11,0),0))</f>
        <v/>
      </c>
      <c r="S64" s="26">
        <f>IF($D64="","",ROUND(N($J64)*N($R64),0))</f>
        <v/>
      </c>
      <c r="T64" s="26">
        <f>IF($D64="","",IF($K64&lt;&gt;"对外销售","",ROUND($Q64-$S64,0)))</f>
        <v/>
      </c>
      <c r="U64" s="17" t="n"/>
      <c r="V64" s="17" t="n"/>
      <c r="W64" s="24">
        <f>IF($D64="","",IF($E64="※编码不在物料档案里","※物料编码不在档案里",IF(N($J64)&lt;=0,"※出库数量要大于 0",IF($K64="","※没填去向类型",IF($L64="","※没填去向矿区",IF(AND($C64&lt;&gt;"",$C64&lt;=结账锁),"※日期早于已结账截止日，不能再录",IF(AND($K64="自用消耗",COUNTIF({"一矿区";"二矿区"},$L64)=0),"※自用消耗的去向只能是一矿区或二矿区",IF(AND($K64="对外销售",COUNTIF({"三矿区";"六矿区"},$L64)=0),"※对外销售的去向只能是三矿区或六矿区",IF(AND($K64="对外销售",ROUND($Q64,0)=0),"※外销却没有售价，请填实际售价",IF(AND($K64="对外销售",$T64&lt;&gt;"",$T64&lt;0),"※这一笔外销是亏的，请核对售价",IF(IFERROR(VLOOKUP($D64,库存台账!$A$5:$Y$1204,24,0),0)&lt;-0.001,"※这个物料账面已经变成负数了，查一下是不是漏记入库","")))))))))))</f>
        <v/>
      </c>
    </row>
    <row r="65">
      <c r="A65" s="24">
        <f>IF($D65="","",COUNTA($D$4:$D65))</f>
        <v/>
      </c>
      <c r="B65" s="17" t="n"/>
      <c r="C65" s="30" t="n"/>
      <c r="D65" s="17" t="n"/>
      <c r="E65" s="24">
        <f>IF($D65="","",IFERROR(VLOOKUP($D65,物料档案!$A$4:$P$1203,3,0),"※编码不在物料档案里"))</f>
        <v/>
      </c>
      <c r="F65" s="24">
        <f>IF($D65="","",IFERROR(VLOOKUP($D65,物料档案!$A$4:$P$1203,4,0),"※编码不在物料档案里"))</f>
        <v/>
      </c>
      <c r="G65" s="24">
        <f>IF($D65="","",IFERROR(VLOOKUP($D65,物料档案!$A$4:$P$1203,5,0),"※编码不在物料档案里"))</f>
        <v/>
      </c>
      <c r="H65" s="24">
        <f>IF($D65="","",IFERROR(VLOOKUP($D65,物料档案!$A$4:$P$1203,2,0),"※编码不在物料档案里"))</f>
        <v/>
      </c>
      <c r="I65" s="24">
        <f>IF($D65="","",IFERROR(VLOOKUP($D65,物料档案!$A$4:$P$1203,6,0),"※编码不在物料档案里"))</f>
        <v/>
      </c>
      <c r="J65" s="23" t="n"/>
      <c r="K65" s="17" t="n"/>
      <c r="L65" s="17" t="n"/>
      <c r="M65" s="17" t="n"/>
      <c r="N65" s="17" t="n"/>
      <c r="O65" s="26">
        <f>IF($D65="","",IFERROR(VLOOKUP($D65,物料档案!$A$4:$P$1203,10,0),0))</f>
        <v/>
      </c>
      <c r="P65" s="32" t="n"/>
      <c r="Q65" s="26">
        <f>IF($D65="","",IF($K65&lt;&gt;"对外销售",0,ROUND(N($J65)*IF($P65="",N($O65),N($P65)),0)))</f>
        <v/>
      </c>
      <c r="R65" s="26">
        <f>IF($D65="","",IFERROR(VLOOKUP($D65,库存台账!$A$5:$Y$1204,11,0),0))</f>
        <v/>
      </c>
      <c r="S65" s="26">
        <f>IF($D65="","",ROUND(N($J65)*N($R65),0))</f>
        <v/>
      </c>
      <c r="T65" s="26">
        <f>IF($D65="","",IF($K65&lt;&gt;"对外销售","",ROUND($Q65-$S65,0)))</f>
        <v/>
      </c>
      <c r="U65" s="17" t="n"/>
      <c r="V65" s="17" t="n"/>
      <c r="W65" s="24">
        <f>IF($D65="","",IF($E65="※编码不在物料档案里","※物料编码不在档案里",IF(N($J65)&lt;=0,"※出库数量要大于 0",IF($K65="","※没填去向类型",IF($L65="","※没填去向矿区",IF(AND($C65&lt;&gt;"",$C65&lt;=结账锁),"※日期早于已结账截止日，不能再录",IF(AND($K65="自用消耗",COUNTIF({"一矿区";"二矿区"},$L65)=0),"※自用消耗的去向只能是一矿区或二矿区",IF(AND($K65="对外销售",COUNTIF({"三矿区";"六矿区"},$L65)=0),"※对外销售的去向只能是三矿区或六矿区",IF(AND($K65="对外销售",ROUND($Q65,0)=0),"※外销却没有售价，请填实际售价",IF(AND($K65="对外销售",$T65&lt;&gt;"",$T65&lt;0),"※这一笔外销是亏的，请核对售价",IF(IFERROR(VLOOKUP($D65,库存台账!$A$5:$Y$1204,24,0),0)&lt;-0.001,"※这个物料账面已经变成负数了，查一下是不是漏记入库","")))))))))))</f>
        <v/>
      </c>
    </row>
    <row r="66">
      <c r="A66" s="24">
        <f>IF($D66="","",COUNTA($D$4:$D66))</f>
        <v/>
      </c>
      <c r="B66" s="17" t="n"/>
      <c r="C66" s="30" t="n"/>
      <c r="D66" s="17" t="n"/>
      <c r="E66" s="24">
        <f>IF($D66="","",IFERROR(VLOOKUP($D66,物料档案!$A$4:$P$1203,3,0),"※编码不在物料档案里"))</f>
        <v/>
      </c>
      <c r="F66" s="24">
        <f>IF($D66="","",IFERROR(VLOOKUP($D66,物料档案!$A$4:$P$1203,4,0),"※编码不在物料档案里"))</f>
        <v/>
      </c>
      <c r="G66" s="24">
        <f>IF($D66="","",IFERROR(VLOOKUP($D66,物料档案!$A$4:$P$1203,5,0),"※编码不在物料档案里"))</f>
        <v/>
      </c>
      <c r="H66" s="24">
        <f>IF($D66="","",IFERROR(VLOOKUP($D66,物料档案!$A$4:$P$1203,2,0),"※编码不在物料档案里"))</f>
        <v/>
      </c>
      <c r="I66" s="24">
        <f>IF($D66="","",IFERROR(VLOOKUP($D66,物料档案!$A$4:$P$1203,6,0),"※编码不在物料档案里"))</f>
        <v/>
      </c>
      <c r="J66" s="23" t="n"/>
      <c r="K66" s="17" t="n"/>
      <c r="L66" s="17" t="n"/>
      <c r="M66" s="17" t="n"/>
      <c r="N66" s="17" t="n"/>
      <c r="O66" s="26">
        <f>IF($D66="","",IFERROR(VLOOKUP($D66,物料档案!$A$4:$P$1203,10,0),0))</f>
        <v/>
      </c>
      <c r="P66" s="32" t="n"/>
      <c r="Q66" s="26">
        <f>IF($D66="","",IF($K66&lt;&gt;"对外销售",0,ROUND(N($J66)*IF($P66="",N($O66),N($P66)),0)))</f>
        <v/>
      </c>
      <c r="R66" s="26">
        <f>IF($D66="","",IFERROR(VLOOKUP($D66,库存台账!$A$5:$Y$1204,11,0),0))</f>
        <v/>
      </c>
      <c r="S66" s="26">
        <f>IF($D66="","",ROUND(N($J66)*N($R66),0))</f>
        <v/>
      </c>
      <c r="T66" s="26">
        <f>IF($D66="","",IF($K66&lt;&gt;"对外销售","",ROUND($Q66-$S66,0)))</f>
        <v/>
      </c>
      <c r="U66" s="17" t="n"/>
      <c r="V66" s="17" t="n"/>
      <c r="W66" s="24">
        <f>IF($D66="","",IF($E66="※编码不在物料档案里","※物料编码不在档案里",IF(N($J66)&lt;=0,"※出库数量要大于 0",IF($K66="","※没填去向类型",IF($L66="","※没填去向矿区",IF(AND($C66&lt;&gt;"",$C66&lt;=结账锁),"※日期早于已结账截止日，不能再录",IF(AND($K66="自用消耗",COUNTIF({"一矿区";"二矿区"},$L66)=0),"※自用消耗的去向只能是一矿区或二矿区",IF(AND($K66="对外销售",COUNTIF({"三矿区";"六矿区"},$L66)=0),"※对外销售的去向只能是三矿区或六矿区",IF(AND($K66="对外销售",ROUND($Q66,0)=0),"※外销却没有售价，请填实际售价",IF(AND($K66="对外销售",$T66&lt;&gt;"",$T66&lt;0),"※这一笔外销是亏的，请核对售价",IF(IFERROR(VLOOKUP($D66,库存台账!$A$5:$Y$1204,24,0),0)&lt;-0.001,"※这个物料账面已经变成负数了，查一下是不是漏记入库","")))))))))))</f>
        <v/>
      </c>
    </row>
    <row r="67">
      <c r="A67" s="24">
        <f>IF($D67="","",COUNTA($D$4:$D67))</f>
        <v/>
      </c>
      <c r="B67" s="17" t="n"/>
      <c r="C67" s="30" t="n"/>
      <c r="D67" s="17" t="n"/>
      <c r="E67" s="24">
        <f>IF($D67="","",IFERROR(VLOOKUP($D67,物料档案!$A$4:$P$1203,3,0),"※编码不在物料档案里"))</f>
        <v/>
      </c>
      <c r="F67" s="24">
        <f>IF($D67="","",IFERROR(VLOOKUP($D67,物料档案!$A$4:$P$1203,4,0),"※编码不在物料档案里"))</f>
        <v/>
      </c>
      <c r="G67" s="24">
        <f>IF($D67="","",IFERROR(VLOOKUP($D67,物料档案!$A$4:$P$1203,5,0),"※编码不在物料档案里"))</f>
        <v/>
      </c>
      <c r="H67" s="24">
        <f>IF($D67="","",IFERROR(VLOOKUP($D67,物料档案!$A$4:$P$1203,2,0),"※编码不在物料档案里"))</f>
        <v/>
      </c>
      <c r="I67" s="24">
        <f>IF($D67="","",IFERROR(VLOOKUP($D67,物料档案!$A$4:$P$1203,6,0),"※编码不在物料档案里"))</f>
        <v/>
      </c>
      <c r="J67" s="23" t="n"/>
      <c r="K67" s="17" t="n"/>
      <c r="L67" s="17" t="n"/>
      <c r="M67" s="17" t="n"/>
      <c r="N67" s="17" t="n"/>
      <c r="O67" s="26">
        <f>IF($D67="","",IFERROR(VLOOKUP($D67,物料档案!$A$4:$P$1203,10,0),0))</f>
        <v/>
      </c>
      <c r="P67" s="32" t="n"/>
      <c r="Q67" s="26">
        <f>IF($D67="","",IF($K67&lt;&gt;"对外销售",0,ROUND(N($J67)*IF($P67="",N($O67),N($P67)),0)))</f>
        <v/>
      </c>
      <c r="R67" s="26">
        <f>IF($D67="","",IFERROR(VLOOKUP($D67,库存台账!$A$5:$Y$1204,11,0),0))</f>
        <v/>
      </c>
      <c r="S67" s="26">
        <f>IF($D67="","",ROUND(N($J67)*N($R67),0))</f>
        <v/>
      </c>
      <c r="T67" s="26">
        <f>IF($D67="","",IF($K67&lt;&gt;"对外销售","",ROUND($Q67-$S67,0)))</f>
        <v/>
      </c>
      <c r="U67" s="17" t="n"/>
      <c r="V67" s="17" t="n"/>
      <c r="W67" s="24">
        <f>IF($D67="","",IF($E67="※编码不在物料档案里","※物料编码不在档案里",IF(N($J67)&lt;=0,"※出库数量要大于 0",IF($K67="","※没填去向类型",IF($L67="","※没填去向矿区",IF(AND($C67&lt;&gt;"",$C67&lt;=结账锁),"※日期早于已结账截止日，不能再录",IF(AND($K67="自用消耗",COUNTIF({"一矿区";"二矿区"},$L67)=0),"※自用消耗的去向只能是一矿区或二矿区",IF(AND($K67="对外销售",COUNTIF({"三矿区";"六矿区"},$L67)=0),"※对外销售的去向只能是三矿区或六矿区",IF(AND($K67="对外销售",ROUND($Q67,0)=0),"※外销却没有售价，请填实际售价",IF(AND($K67="对外销售",$T67&lt;&gt;"",$T67&lt;0),"※这一笔外销是亏的，请核对售价",IF(IFERROR(VLOOKUP($D67,库存台账!$A$5:$Y$1204,24,0),0)&lt;-0.001,"※这个物料账面已经变成负数了，查一下是不是漏记入库","")))))))))))</f>
        <v/>
      </c>
    </row>
    <row r="68">
      <c r="A68" s="24">
        <f>IF($D68="","",COUNTA($D$4:$D68))</f>
        <v/>
      </c>
      <c r="B68" s="17" t="n"/>
      <c r="C68" s="30" t="n"/>
      <c r="D68" s="17" t="n"/>
      <c r="E68" s="24">
        <f>IF($D68="","",IFERROR(VLOOKUP($D68,物料档案!$A$4:$P$1203,3,0),"※编码不在物料档案里"))</f>
        <v/>
      </c>
      <c r="F68" s="24">
        <f>IF($D68="","",IFERROR(VLOOKUP($D68,物料档案!$A$4:$P$1203,4,0),"※编码不在物料档案里"))</f>
        <v/>
      </c>
      <c r="G68" s="24">
        <f>IF($D68="","",IFERROR(VLOOKUP($D68,物料档案!$A$4:$P$1203,5,0),"※编码不在物料档案里"))</f>
        <v/>
      </c>
      <c r="H68" s="24">
        <f>IF($D68="","",IFERROR(VLOOKUP($D68,物料档案!$A$4:$P$1203,2,0),"※编码不在物料档案里"))</f>
        <v/>
      </c>
      <c r="I68" s="24">
        <f>IF($D68="","",IFERROR(VLOOKUP($D68,物料档案!$A$4:$P$1203,6,0),"※编码不在物料档案里"))</f>
        <v/>
      </c>
      <c r="J68" s="23" t="n"/>
      <c r="K68" s="17" t="n"/>
      <c r="L68" s="17" t="n"/>
      <c r="M68" s="17" t="n"/>
      <c r="N68" s="17" t="n"/>
      <c r="O68" s="26">
        <f>IF($D68="","",IFERROR(VLOOKUP($D68,物料档案!$A$4:$P$1203,10,0),0))</f>
        <v/>
      </c>
      <c r="P68" s="32" t="n"/>
      <c r="Q68" s="26">
        <f>IF($D68="","",IF($K68&lt;&gt;"对外销售",0,ROUND(N($J68)*IF($P68="",N($O68),N($P68)),0)))</f>
        <v/>
      </c>
      <c r="R68" s="26">
        <f>IF($D68="","",IFERROR(VLOOKUP($D68,库存台账!$A$5:$Y$1204,11,0),0))</f>
        <v/>
      </c>
      <c r="S68" s="26">
        <f>IF($D68="","",ROUND(N($J68)*N($R68),0))</f>
        <v/>
      </c>
      <c r="T68" s="26">
        <f>IF($D68="","",IF($K68&lt;&gt;"对外销售","",ROUND($Q68-$S68,0)))</f>
        <v/>
      </c>
      <c r="U68" s="17" t="n"/>
      <c r="V68" s="17" t="n"/>
      <c r="W68" s="24">
        <f>IF($D68="","",IF($E68="※编码不在物料档案里","※物料编码不在档案里",IF(N($J68)&lt;=0,"※出库数量要大于 0",IF($K68="","※没填去向类型",IF($L68="","※没填去向矿区",IF(AND($C68&lt;&gt;"",$C68&lt;=结账锁),"※日期早于已结账截止日，不能再录",IF(AND($K68="自用消耗",COUNTIF({"一矿区";"二矿区"},$L68)=0),"※自用消耗的去向只能是一矿区或二矿区",IF(AND($K68="对外销售",COUNTIF({"三矿区";"六矿区"},$L68)=0),"※对外销售的去向只能是三矿区或六矿区",IF(AND($K68="对外销售",ROUND($Q68,0)=0),"※外销却没有售价，请填实际售价",IF(AND($K68="对外销售",$T68&lt;&gt;"",$T68&lt;0),"※这一笔外销是亏的，请核对售价",IF(IFERROR(VLOOKUP($D68,库存台账!$A$5:$Y$1204,24,0),0)&lt;-0.001,"※这个物料账面已经变成负数了，查一下是不是漏记入库","")))))))))))</f>
        <v/>
      </c>
    </row>
    <row r="69">
      <c r="A69" s="24">
        <f>IF($D69="","",COUNTA($D$4:$D69))</f>
        <v/>
      </c>
      <c r="B69" s="17" t="n"/>
      <c r="C69" s="30" t="n"/>
      <c r="D69" s="17" t="n"/>
      <c r="E69" s="24">
        <f>IF($D69="","",IFERROR(VLOOKUP($D69,物料档案!$A$4:$P$1203,3,0),"※编码不在物料档案里"))</f>
        <v/>
      </c>
      <c r="F69" s="24">
        <f>IF($D69="","",IFERROR(VLOOKUP($D69,物料档案!$A$4:$P$1203,4,0),"※编码不在物料档案里"))</f>
        <v/>
      </c>
      <c r="G69" s="24">
        <f>IF($D69="","",IFERROR(VLOOKUP($D69,物料档案!$A$4:$P$1203,5,0),"※编码不在物料档案里"))</f>
        <v/>
      </c>
      <c r="H69" s="24">
        <f>IF($D69="","",IFERROR(VLOOKUP($D69,物料档案!$A$4:$P$1203,2,0),"※编码不在物料档案里"))</f>
        <v/>
      </c>
      <c r="I69" s="24">
        <f>IF($D69="","",IFERROR(VLOOKUP($D69,物料档案!$A$4:$P$1203,6,0),"※编码不在物料档案里"))</f>
        <v/>
      </c>
      <c r="J69" s="23" t="n"/>
      <c r="K69" s="17" t="n"/>
      <c r="L69" s="17" t="n"/>
      <c r="M69" s="17" t="n"/>
      <c r="N69" s="17" t="n"/>
      <c r="O69" s="26">
        <f>IF($D69="","",IFERROR(VLOOKUP($D69,物料档案!$A$4:$P$1203,10,0),0))</f>
        <v/>
      </c>
      <c r="P69" s="32" t="n"/>
      <c r="Q69" s="26">
        <f>IF($D69="","",IF($K69&lt;&gt;"对外销售",0,ROUND(N($J69)*IF($P69="",N($O69),N($P69)),0)))</f>
        <v/>
      </c>
      <c r="R69" s="26">
        <f>IF($D69="","",IFERROR(VLOOKUP($D69,库存台账!$A$5:$Y$1204,11,0),0))</f>
        <v/>
      </c>
      <c r="S69" s="26">
        <f>IF($D69="","",ROUND(N($J69)*N($R69),0))</f>
        <v/>
      </c>
      <c r="T69" s="26">
        <f>IF($D69="","",IF($K69&lt;&gt;"对外销售","",ROUND($Q69-$S69,0)))</f>
        <v/>
      </c>
      <c r="U69" s="17" t="n"/>
      <c r="V69" s="17" t="n"/>
      <c r="W69" s="24">
        <f>IF($D69="","",IF($E69="※编码不在物料档案里","※物料编码不在档案里",IF(N($J69)&lt;=0,"※出库数量要大于 0",IF($K69="","※没填去向类型",IF($L69="","※没填去向矿区",IF(AND($C69&lt;&gt;"",$C69&lt;=结账锁),"※日期早于已结账截止日，不能再录",IF(AND($K69="自用消耗",COUNTIF({"一矿区";"二矿区"},$L69)=0),"※自用消耗的去向只能是一矿区或二矿区",IF(AND($K69="对外销售",COUNTIF({"三矿区";"六矿区"},$L69)=0),"※对外销售的去向只能是三矿区或六矿区",IF(AND($K69="对外销售",ROUND($Q69,0)=0),"※外销却没有售价，请填实际售价",IF(AND($K69="对外销售",$T69&lt;&gt;"",$T69&lt;0),"※这一笔外销是亏的，请核对售价",IF(IFERROR(VLOOKUP($D69,库存台账!$A$5:$Y$1204,24,0),0)&lt;-0.001,"※这个物料账面已经变成负数了，查一下是不是漏记入库","")))))))))))</f>
        <v/>
      </c>
    </row>
    <row r="70">
      <c r="A70" s="24">
        <f>IF($D70="","",COUNTA($D$4:$D70))</f>
        <v/>
      </c>
      <c r="B70" s="17" t="n"/>
      <c r="C70" s="30" t="n"/>
      <c r="D70" s="17" t="n"/>
      <c r="E70" s="24">
        <f>IF($D70="","",IFERROR(VLOOKUP($D70,物料档案!$A$4:$P$1203,3,0),"※编码不在物料档案里"))</f>
        <v/>
      </c>
      <c r="F70" s="24">
        <f>IF($D70="","",IFERROR(VLOOKUP($D70,物料档案!$A$4:$P$1203,4,0),"※编码不在物料档案里"))</f>
        <v/>
      </c>
      <c r="G70" s="24">
        <f>IF($D70="","",IFERROR(VLOOKUP($D70,物料档案!$A$4:$P$1203,5,0),"※编码不在物料档案里"))</f>
        <v/>
      </c>
      <c r="H70" s="24">
        <f>IF($D70="","",IFERROR(VLOOKUP($D70,物料档案!$A$4:$P$1203,2,0),"※编码不在物料档案里"))</f>
        <v/>
      </c>
      <c r="I70" s="24">
        <f>IF($D70="","",IFERROR(VLOOKUP($D70,物料档案!$A$4:$P$1203,6,0),"※编码不在物料档案里"))</f>
        <v/>
      </c>
      <c r="J70" s="23" t="n"/>
      <c r="K70" s="17" t="n"/>
      <c r="L70" s="17" t="n"/>
      <c r="M70" s="17" t="n"/>
      <c r="N70" s="17" t="n"/>
      <c r="O70" s="26">
        <f>IF($D70="","",IFERROR(VLOOKUP($D70,物料档案!$A$4:$P$1203,10,0),0))</f>
        <v/>
      </c>
      <c r="P70" s="32" t="n"/>
      <c r="Q70" s="26">
        <f>IF($D70="","",IF($K70&lt;&gt;"对外销售",0,ROUND(N($J70)*IF($P70="",N($O70),N($P70)),0)))</f>
        <v/>
      </c>
      <c r="R70" s="26">
        <f>IF($D70="","",IFERROR(VLOOKUP($D70,库存台账!$A$5:$Y$1204,11,0),0))</f>
        <v/>
      </c>
      <c r="S70" s="26">
        <f>IF($D70="","",ROUND(N($J70)*N($R70),0))</f>
        <v/>
      </c>
      <c r="T70" s="26">
        <f>IF($D70="","",IF($K70&lt;&gt;"对外销售","",ROUND($Q70-$S70,0)))</f>
        <v/>
      </c>
      <c r="U70" s="17" t="n"/>
      <c r="V70" s="17" t="n"/>
      <c r="W70" s="24">
        <f>IF($D70="","",IF($E70="※编码不在物料档案里","※物料编码不在档案里",IF(N($J70)&lt;=0,"※出库数量要大于 0",IF($K70="","※没填去向类型",IF($L70="","※没填去向矿区",IF(AND($C70&lt;&gt;"",$C70&lt;=结账锁),"※日期早于已结账截止日，不能再录",IF(AND($K70="自用消耗",COUNTIF({"一矿区";"二矿区"},$L70)=0),"※自用消耗的去向只能是一矿区或二矿区",IF(AND($K70="对外销售",COUNTIF({"三矿区";"六矿区"},$L70)=0),"※对外销售的去向只能是三矿区或六矿区",IF(AND($K70="对外销售",ROUND($Q70,0)=0),"※外销却没有售价，请填实际售价",IF(AND($K70="对外销售",$T70&lt;&gt;"",$T70&lt;0),"※这一笔外销是亏的，请核对售价",IF(IFERROR(VLOOKUP($D70,库存台账!$A$5:$Y$1204,24,0),0)&lt;-0.001,"※这个物料账面已经变成负数了，查一下是不是漏记入库","")))))))))))</f>
        <v/>
      </c>
    </row>
    <row r="71">
      <c r="A71" s="24">
        <f>IF($D71="","",COUNTA($D$4:$D71))</f>
        <v/>
      </c>
      <c r="B71" s="17" t="n"/>
      <c r="C71" s="30" t="n"/>
      <c r="D71" s="17" t="n"/>
      <c r="E71" s="24">
        <f>IF($D71="","",IFERROR(VLOOKUP($D71,物料档案!$A$4:$P$1203,3,0),"※编码不在物料档案里"))</f>
        <v/>
      </c>
      <c r="F71" s="24">
        <f>IF($D71="","",IFERROR(VLOOKUP($D71,物料档案!$A$4:$P$1203,4,0),"※编码不在物料档案里"))</f>
        <v/>
      </c>
      <c r="G71" s="24">
        <f>IF($D71="","",IFERROR(VLOOKUP($D71,物料档案!$A$4:$P$1203,5,0),"※编码不在物料档案里"))</f>
        <v/>
      </c>
      <c r="H71" s="24">
        <f>IF($D71="","",IFERROR(VLOOKUP($D71,物料档案!$A$4:$P$1203,2,0),"※编码不在物料档案里"))</f>
        <v/>
      </c>
      <c r="I71" s="24">
        <f>IF($D71="","",IFERROR(VLOOKUP($D71,物料档案!$A$4:$P$1203,6,0),"※编码不在物料档案里"))</f>
        <v/>
      </c>
      <c r="J71" s="23" t="n"/>
      <c r="K71" s="17" t="n"/>
      <c r="L71" s="17" t="n"/>
      <c r="M71" s="17" t="n"/>
      <c r="N71" s="17" t="n"/>
      <c r="O71" s="26">
        <f>IF($D71="","",IFERROR(VLOOKUP($D71,物料档案!$A$4:$P$1203,10,0),0))</f>
        <v/>
      </c>
      <c r="P71" s="32" t="n"/>
      <c r="Q71" s="26">
        <f>IF($D71="","",IF($K71&lt;&gt;"对外销售",0,ROUND(N($J71)*IF($P71="",N($O71),N($P71)),0)))</f>
        <v/>
      </c>
      <c r="R71" s="26">
        <f>IF($D71="","",IFERROR(VLOOKUP($D71,库存台账!$A$5:$Y$1204,11,0),0))</f>
        <v/>
      </c>
      <c r="S71" s="26">
        <f>IF($D71="","",ROUND(N($J71)*N($R71),0))</f>
        <v/>
      </c>
      <c r="T71" s="26">
        <f>IF($D71="","",IF($K71&lt;&gt;"对外销售","",ROUND($Q71-$S71,0)))</f>
        <v/>
      </c>
      <c r="U71" s="17" t="n"/>
      <c r="V71" s="17" t="n"/>
      <c r="W71" s="24">
        <f>IF($D71="","",IF($E71="※编码不在物料档案里","※物料编码不在档案里",IF(N($J71)&lt;=0,"※出库数量要大于 0",IF($K71="","※没填去向类型",IF($L71="","※没填去向矿区",IF(AND($C71&lt;&gt;"",$C71&lt;=结账锁),"※日期早于已结账截止日，不能再录",IF(AND($K71="自用消耗",COUNTIF({"一矿区";"二矿区"},$L71)=0),"※自用消耗的去向只能是一矿区或二矿区",IF(AND($K71="对外销售",COUNTIF({"三矿区";"六矿区"},$L71)=0),"※对外销售的去向只能是三矿区或六矿区",IF(AND($K71="对外销售",ROUND($Q71,0)=0),"※外销却没有售价，请填实际售价",IF(AND($K71="对外销售",$T71&lt;&gt;"",$T71&lt;0),"※这一笔外销是亏的，请核对售价",IF(IFERROR(VLOOKUP($D71,库存台账!$A$5:$Y$1204,24,0),0)&lt;-0.001,"※这个物料账面已经变成负数了，查一下是不是漏记入库","")))))))))))</f>
        <v/>
      </c>
    </row>
    <row r="72">
      <c r="A72" s="24">
        <f>IF($D72="","",COUNTA($D$4:$D72))</f>
        <v/>
      </c>
      <c r="B72" s="17" t="n"/>
      <c r="C72" s="30" t="n"/>
      <c r="D72" s="17" t="n"/>
      <c r="E72" s="24">
        <f>IF($D72="","",IFERROR(VLOOKUP($D72,物料档案!$A$4:$P$1203,3,0),"※编码不在物料档案里"))</f>
        <v/>
      </c>
      <c r="F72" s="24">
        <f>IF($D72="","",IFERROR(VLOOKUP($D72,物料档案!$A$4:$P$1203,4,0),"※编码不在物料档案里"))</f>
        <v/>
      </c>
      <c r="G72" s="24">
        <f>IF($D72="","",IFERROR(VLOOKUP($D72,物料档案!$A$4:$P$1203,5,0),"※编码不在物料档案里"))</f>
        <v/>
      </c>
      <c r="H72" s="24">
        <f>IF($D72="","",IFERROR(VLOOKUP($D72,物料档案!$A$4:$P$1203,2,0),"※编码不在物料档案里"))</f>
        <v/>
      </c>
      <c r="I72" s="24">
        <f>IF($D72="","",IFERROR(VLOOKUP($D72,物料档案!$A$4:$P$1203,6,0),"※编码不在物料档案里"))</f>
        <v/>
      </c>
      <c r="J72" s="23" t="n"/>
      <c r="K72" s="17" t="n"/>
      <c r="L72" s="17" t="n"/>
      <c r="M72" s="17" t="n"/>
      <c r="N72" s="17" t="n"/>
      <c r="O72" s="26">
        <f>IF($D72="","",IFERROR(VLOOKUP($D72,物料档案!$A$4:$P$1203,10,0),0))</f>
        <v/>
      </c>
      <c r="P72" s="32" t="n"/>
      <c r="Q72" s="26">
        <f>IF($D72="","",IF($K72&lt;&gt;"对外销售",0,ROUND(N($J72)*IF($P72="",N($O72),N($P72)),0)))</f>
        <v/>
      </c>
      <c r="R72" s="26">
        <f>IF($D72="","",IFERROR(VLOOKUP($D72,库存台账!$A$5:$Y$1204,11,0),0))</f>
        <v/>
      </c>
      <c r="S72" s="26">
        <f>IF($D72="","",ROUND(N($J72)*N($R72),0))</f>
        <v/>
      </c>
      <c r="T72" s="26">
        <f>IF($D72="","",IF($K72&lt;&gt;"对外销售","",ROUND($Q72-$S72,0)))</f>
        <v/>
      </c>
      <c r="U72" s="17" t="n"/>
      <c r="V72" s="17" t="n"/>
      <c r="W72" s="24">
        <f>IF($D72="","",IF($E72="※编码不在物料档案里","※物料编码不在档案里",IF(N($J72)&lt;=0,"※出库数量要大于 0",IF($K72="","※没填去向类型",IF($L72="","※没填去向矿区",IF(AND($C72&lt;&gt;"",$C72&lt;=结账锁),"※日期早于已结账截止日，不能再录",IF(AND($K72="自用消耗",COUNTIF({"一矿区";"二矿区"},$L72)=0),"※自用消耗的去向只能是一矿区或二矿区",IF(AND($K72="对外销售",COUNTIF({"三矿区";"六矿区"},$L72)=0),"※对外销售的去向只能是三矿区或六矿区",IF(AND($K72="对外销售",ROUND($Q72,0)=0),"※外销却没有售价，请填实际售价",IF(AND($K72="对外销售",$T72&lt;&gt;"",$T72&lt;0),"※这一笔外销是亏的，请核对售价",IF(IFERROR(VLOOKUP($D72,库存台账!$A$5:$Y$1204,24,0),0)&lt;-0.001,"※这个物料账面已经变成负数了，查一下是不是漏记入库","")))))))))))</f>
        <v/>
      </c>
    </row>
    <row r="73">
      <c r="A73" s="24">
        <f>IF($D73="","",COUNTA($D$4:$D73))</f>
        <v/>
      </c>
      <c r="B73" s="17" t="n"/>
      <c r="C73" s="30" t="n"/>
      <c r="D73" s="17" t="n"/>
      <c r="E73" s="24">
        <f>IF($D73="","",IFERROR(VLOOKUP($D73,物料档案!$A$4:$P$1203,3,0),"※编码不在物料档案里"))</f>
        <v/>
      </c>
      <c r="F73" s="24">
        <f>IF($D73="","",IFERROR(VLOOKUP($D73,物料档案!$A$4:$P$1203,4,0),"※编码不在物料档案里"))</f>
        <v/>
      </c>
      <c r="G73" s="24">
        <f>IF($D73="","",IFERROR(VLOOKUP($D73,物料档案!$A$4:$P$1203,5,0),"※编码不在物料档案里"))</f>
        <v/>
      </c>
      <c r="H73" s="24">
        <f>IF($D73="","",IFERROR(VLOOKUP($D73,物料档案!$A$4:$P$1203,2,0),"※编码不在物料档案里"))</f>
        <v/>
      </c>
      <c r="I73" s="24">
        <f>IF($D73="","",IFERROR(VLOOKUP($D73,物料档案!$A$4:$P$1203,6,0),"※编码不在物料档案里"))</f>
        <v/>
      </c>
      <c r="J73" s="23" t="n"/>
      <c r="K73" s="17" t="n"/>
      <c r="L73" s="17" t="n"/>
      <c r="M73" s="17" t="n"/>
      <c r="N73" s="17" t="n"/>
      <c r="O73" s="26">
        <f>IF($D73="","",IFERROR(VLOOKUP($D73,物料档案!$A$4:$P$1203,10,0),0))</f>
        <v/>
      </c>
      <c r="P73" s="32" t="n"/>
      <c r="Q73" s="26">
        <f>IF($D73="","",IF($K73&lt;&gt;"对外销售",0,ROUND(N($J73)*IF($P73="",N($O73),N($P73)),0)))</f>
        <v/>
      </c>
      <c r="R73" s="26">
        <f>IF($D73="","",IFERROR(VLOOKUP($D73,库存台账!$A$5:$Y$1204,11,0),0))</f>
        <v/>
      </c>
      <c r="S73" s="26">
        <f>IF($D73="","",ROUND(N($J73)*N($R73),0))</f>
        <v/>
      </c>
      <c r="T73" s="26">
        <f>IF($D73="","",IF($K73&lt;&gt;"对外销售","",ROUND($Q73-$S73,0)))</f>
        <v/>
      </c>
      <c r="U73" s="17" t="n"/>
      <c r="V73" s="17" t="n"/>
      <c r="W73" s="24">
        <f>IF($D73="","",IF($E73="※编码不在物料档案里","※物料编码不在档案里",IF(N($J73)&lt;=0,"※出库数量要大于 0",IF($K73="","※没填去向类型",IF($L73="","※没填去向矿区",IF(AND($C73&lt;&gt;"",$C73&lt;=结账锁),"※日期早于已结账截止日，不能再录",IF(AND($K73="自用消耗",COUNTIF({"一矿区";"二矿区"},$L73)=0),"※自用消耗的去向只能是一矿区或二矿区",IF(AND($K73="对外销售",COUNTIF({"三矿区";"六矿区"},$L73)=0),"※对外销售的去向只能是三矿区或六矿区",IF(AND($K73="对外销售",ROUND($Q73,0)=0),"※外销却没有售价，请填实际售价",IF(AND($K73="对外销售",$T73&lt;&gt;"",$T73&lt;0),"※这一笔外销是亏的，请核对售价",IF(IFERROR(VLOOKUP($D73,库存台账!$A$5:$Y$1204,24,0),0)&lt;-0.001,"※这个物料账面已经变成负数了，查一下是不是漏记入库","")))))))))))</f>
        <v/>
      </c>
    </row>
    <row r="74">
      <c r="A74" s="24">
        <f>IF($D74="","",COUNTA($D$4:$D74))</f>
        <v/>
      </c>
      <c r="B74" s="17" t="n"/>
      <c r="C74" s="30" t="n"/>
      <c r="D74" s="17" t="n"/>
      <c r="E74" s="24">
        <f>IF($D74="","",IFERROR(VLOOKUP($D74,物料档案!$A$4:$P$1203,3,0),"※编码不在物料档案里"))</f>
        <v/>
      </c>
      <c r="F74" s="24">
        <f>IF($D74="","",IFERROR(VLOOKUP($D74,物料档案!$A$4:$P$1203,4,0),"※编码不在物料档案里"))</f>
        <v/>
      </c>
      <c r="G74" s="24">
        <f>IF($D74="","",IFERROR(VLOOKUP($D74,物料档案!$A$4:$P$1203,5,0),"※编码不在物料档案里"))</f>
        <v/>
      </c>
      <c r="H74" s="24">
        <f>IF($D74="","",IFERROR(VLOOKUP($D74,物料档案!$A$4:$P$1203,2,0),"※编码不在物料档案里"))</f>
        <v/>
      </c>
      <c r="I74" s="24">
        <f>IF($D74="","",IFERROR(VLOOKUP($D74,物料档案!$A$4:$P$1203,6,0),"※编码不在物料档案里"))</f>
        <v/>
      </c>
      <c r="J74" s="23" t="n"/>
      <c r="K74" s="17" t="n"/>
      <c r="L74" s="17" t="n"/>
      <c r="M74" s="17" t="n"/>
      <c r="N74" s="17" t="n"/>
      <c r="O74" s="26">
        <f>IF($D74="","",IFERROR(VLOOKUP($D74,物料档案!$A$4:$P$1203,10,0),0))</f>
        <v/>
      </c>
      <c r="P74" s="32" t="n"/>
      <c r="Q74" s="26">
        <f>IF($D74="","",IF($K74&lt;&gt;"对外销售",0,ROUND(N($J74)*IF($P74="",N($O74),N($P74)),0)))</f>
        <v/>
      </c>
      <c r="R74" s="26">
        <f>IF($D74="","",IFERROR(VLOOKUP($D74,库存台账!$A$5:$Y$1204,11,0),0))</f>
        <v/>
      </c>
      <c r="S74" s="26">
        <f>IF($D74="","",ROUND(N($J74)*N($R74),0))</f>
        <v/>
      </c>
      <c r="T74" s="26">
        <f>IF($D74="","",IF($K74&lt;&gt;"对外销售","",ROUND($Q74-$S74,0)))</f>
        <v/>
      </c>
      <c r="U74" s="17" t="n"/>
      <c r="V74" s="17" t="n"/>
      <c r="W74" s="24">
        <f>IF($D74="","",IF($E74="※编码不在物料档案里","※物料编码不在档案里",IF(N($J74)&lt;=0,"※出库数量要大于 0",IF($K74="","※没填去向类型",IF($L74="","※没填去向矿区",IF(AND($C74&lt;&gt;"",$C74&lt;=结账锁),"※日期早于已结账截止日，不能再录",IF(AND($K74="自用消耗",COUNTIF({"一矿区";"二矿区"},$L74)=0),"※自用消耗的去向只能是一矿区或二矿区",IF(AND($K74="对外销售",COUNTIF({"三矿区";"六矿区"},$L74)=0),"※对外销售的去向只能是三矿区或六矿区",IF(AND($K74="对外销售",ROUND($Q74,0)=0),"※外销却没有售价，请填实际售价",IF(AND($K74="对外销售",$T74&lt;&gt;"",$T74&lt;0),"※这一笔外销是亏的，请核对售价",IF(IFERROR(VLOOKUP($D74,库存台账!$A$5:$Y$1204,24,0),0)&lt;-0.001,"※这个物料账面已经变成负数了，查一下是不是漏记入库","")))))))))))</f>
        <v/>
      </c>
    </row>
    <row r="75">
      <c r="A75" s="24">
        <f>IF($D75="","",COUNTA($D$4:$D75))</f>
        <v/>
      </c>
      <c r="B75" s="17" t="n"/>
      <c r="C75" s="30" t="n"/>
      <c r="D75" s="17" t="n"/>
      <c r="E75" s="24">
        <f>IF($D75="","",IFERROR(VLOOKUP($D75,物料档案!$A$4:$P$1203,3,0),"※编码不在物料档案里"))</f>
        <v/>
      </c>
      <c r="F75" s="24">
        <f>IF($D75="","",IFERROR(VLOOKUP($D75,物料档案!$A$4:$P$1203,4,0),"※编码不在物料档案里"))</f>
        <v/>
      </c>
      <c r="G75" s="24">
        <f>IF($D75="","",IFERROR(VLOOKUP($D75,物料档案!$A$4:$P$1203,5,0),"※编码不在物料档案里"))</f>
        <v/>
      </c>
      <c r="H75" s="24">
        <f>IF($D75="","",IFERROR(VLOOKUP($D75,物料档案!$A$4:$P$1203,2,0),"※编码不在物料档案里"))</f>
        <v/>
      </c>
      <c r="I75" s="24">
        <f>IF($D75="","",IFERROR(VLOOKUP($D75,物料档案!$A$4:$P$1203,6,0),"※编码不在物料档案里"))</f>
        <v/>
      </c>
      <c r="J75" s="23" t="n"/>
      <c r="K75" s="17" t="n"/>
      <c r="L75" s="17" t="n"/>
      <c r="M75" s="17" t="n"/>
      <c r="N75" s="17" t="n"/>
      <c r="O75" s="26">
        <f>IF($D75="","",IFERROR(VLOOKUP($D75,物料档案!$A$4:$P$1203,10,0),0))</f>
        <v/>
      </c>
      <c r="P75" s="32" t="n"/>
      <c r="Q75" s="26">
        <f>IF($D75="","",IF($K75&lt;&gt;"对外销售",0,ROUND(N($J75)*IF($P75="",N($O75),N($P75)),0)))</f>
        <v/>
      </c>
      <c r="R75" s="26">
        <f>IF($D75="","",IFERROR(VLOOKUP($D75,库存台账!$A$5:$Y$1204,11,0),0))</f>
        <v/>
      </c>
      <c r="S75" s="26">
        <f>IF($D75="","",ROUND(N($J75)*N($R75),0))</f>
        <v/>
      </c>
      <c r="T75" s="26">
        <f>IF($D75="","",IF($K75&lt;&gt;"对外销售","",ROUND($Q75-$S75,0)))</f>
        <v/>
      </c>
      <c r="U75" s="17" t="n"/>
      <c r="V75" s="17" t="n"/>
      <c r="W75" s="24">
        <f>IF($D75="","",IF($E75="※编码不在物料档案里","※物料编码不在档案里",IF(N($J75)&lt;=0,"※出库数量要大于 0",IF($K75="","※没填去向类型",IF($L75="","※没填去向矿区",IF(AND($C75&lt;&gt;"",$C75&lt;=结账锁),"※日期早于已结账截止日，不能再录",IF(AND($K75="自用消耗",COUNTIF({"一矿区";"二矿区"},$L75)=0),"※自用消耗的去向只能是一矿区或二矿区",IF(AND($K75="对外销售",COUNTIF({"三矿区";"六矿区"},$L75)=0),"※对外销售的去向只能是三矿区或六矿区",IF(AND($K75="对外销售",ROUND($Q75,0)=0),"※外销却没有售价，请填实际售价",IF(AND($K75="对外销售",$T75&lt;&gt;"",$T75&lt;0),"※这一笔外销是亏的，请核对售价",IF(IFERROR(VLOOKUP($D75,库存台账!$A$5:$Y$1204,24,0),0)&lt;-0.001,"※这个物料账面已经变成负数了，查一下是不是漏记入库","")))))))))))</f>
        <v/>
      </c>
    </row>
    <row r="76">
      <c r="A76" s="24">
        <f>IF($D76="","",COUNTA($D$4:$D76))</f>
        <v/>
      </c>
      <c r="B76" s="17" t="n"/>
      <c r="C76" s="30" t="n"/>
      <c r="D76" s="17" t="n"/>
      <c r="E76" s="24">
        <f>IF($D76="","",IFERROR(VLOOKUP($D76,物料档案!$A$4:$P$1203,3,0),"※编码不在物料档案里"))</f>
        <v/>
      </c>
      <c r="F76" s="24">
        <f>IF($D76="","",IFERROR(VLOOKUP($D76,物料档案!$A$4:$P$1203,4,0),"※编码不在物料档案里"))</f>
        <v/>
      </c>
      <c r="G76" s="24">
        <f>IF($D76="","",IFERROR(VLOOKUP($D76,物料档案!$A$4:$P$1203,5,0),"※编码不在物料档案里"))</f>
        <v/>
      </c>
      <c r="H76" s="24">
        <f>IF($D76="","",IFERROR(VLOOKUP($D76,物料档案!$A$4:$P$1203,2,0),"※编码不在物料档案里"))</f>
        <v/>
      </c>
      <c r="I76" s="24">
        <f>IF($D76="","",IFERROR(VLOOKUP($D76,物料档案!$A$4:$P$1203,6,0),"※编码不在物料档案里"))</f>
        <v/>
      </c>
      <c r="J76" s="23" t="n"/>
      <c r="K76" s="17" t="n"/>
      <c r="L76" s="17" t="n"/>
      <c r="M76" s="17" t="n"/>
      <c r="N76" s="17" t="n"/>
      <c r="O76" s="26">
        <f>IF($D76="","",IFERROR(VLOOKUP($D76,物料档案!$A$4:$P$1203,10,0),0))</f>
        <v/>
      </c>
      <c r="P76" s="32" t="n"/>
      <c r="Q76" s="26">
        <f>IF($D76="","",IF($K76&lt;&gt;"对外销售",0,ROUND(N($J76)*IF($P76="",N($O76),N($P76)),0)))</f>
        <v/>
      </c>
      <c r="R76" s="26">
        <f>IF($D76="","",IFERROR(VLOOKUP($D76,库存台账!$A$5:$Y$1204,11,0),0))</f>
        <v/>
      </c>
      <c r="S76" s="26">
        <f>IF($D76="","",ROUND(N($J76)*N($R76),0))</f>
        <v/>
      </c>
      <c r="T76" s="26">
        <f>IF($D76="","",IF($K76&lt;&gt;"对外销售","",ROUND($Q76-$S76,0)))</f>
        <v/>
      </c>
      <c r="U76" s="17" t="n"/>
      <c r="V76" s="17" t="n"/>
      <c r="W76" s="24">
        <f>IF($D76="","",IF($E76="※编码不在物料档案里","※物料编码不在档案里",IF(N($J76)&lt;=0,"※出库数量要大于 0",IF($K76="","※没填去向类型",IF($L76="","※没填去向矿区",IF(AND($C76&lt;&gt;"",$C76&lt;=结账锁),"※日期早于已结账截止日，不能再录",IF(AND($K76="自用消耗",COUNTIF({"一矿区";"二矿区"},$L76)=0),"※自用消耗的去向只能是一矿区或二矿区",IF(AND($K76="对外销售",COUNTIF({"三矿区";"六矿区"},$L76)=0),"※对外销售的去向只能是三矿区或六矿区",IF(AND($K76="对外销售",ROUND($Q76,0)=0),"※外销却没有售价，请填实际售价",IF(AND($K76="对外销售",$T76&lt;&gt;"",$T76&lt;0),"※这一笔外销是亏的，请核对售价",IF(IFERROR(VLOOKUP($D76,库存台账!$A$5:$Y$1204,24,0),0)&lt;-0.001,"※这个物料账面已经变成负数了，查一下是不是漏记入库","")))))))))))</f>
        <v/>
      </c>
    </row>
    <row r="77">
      <c r="A77" s="24">
        <f>IF($D77="","",COUNTA($D$4:$D77))</f>
        <v/>
      </c>
      <c r="B77" s="17" t="n"/>
      <c r="C77" s="30" t="n"/>
      <c r="D77" s="17" t="n"/>
      <c r="E77" s="24">
        <f>IF($D77="","",IFERROR(VLOOKUP($D77,物料档案!$A$4:$P$1203,3,0),"※编码不在物料档案里"))</f>
        <v/>
      </c>
      <c r="F77" s="24">
        <f>IF($D77="","",IFERROR(VLOOKUP($D77,物料档案!$A$4:$P$1203,4,0),"※编码不在物料档案里"))</f>
        <v/>
      </c>
      <c r="G77" s="24">
        <f>IF($D77="","",IFERROR(VLOOKUP($D77,物料档案!$A$4:$P$1203,5,0),"※编码不在物料档案里"))</f>
        <v/>
      </c>
      <c r="H77" s="24">
        <f>IF($D77="","",IFERROR(VLOOKUP($D77,物料档案!$A$4:$P$1203,2,0),"※编码不在物料档案里"))</f>
        <v/>
      </c>
      <c r="I77" s="24">
        <f>IF($D77="","",IFERROR(VLOOKUP($D77,物料档案!$A$4:$P$1203,6,0),"※编码不在物料档案里"))</f>
        <v/>
      </c>
      <c r="J77" s="23" t="n"/>
      <c r="K77" s="17" t="n"/>
      <c r="L77" s="17" t="n"/>
      <c r="M77" s="17" t="n"/>
      <c r="N77" s="17" t="n"/>
      <c r="O77" s="26">
        <f>IF($D77="","",IFERROR(VLOOKUP($D77,物料档案!$A$4:$P$1203,10,0),0))</f>
        <v/>
      </c>
      <c r="P77" s="32" t="n"/>
      <c r="Q77" s="26">
        <f>IF($D77="","",IF($K77&lt;&gt;"对外销售",0,ROUND(N($J77)*IF($P77="",N($O77),N($P77)),0)))</f>
        <v/>
      </c>
      <c r="R77" s="26">
        <f>IF($D77="","",IFERROR(VLOOKUP($D77,库存台账!$A$5:$Y$1204,11,0),0))</f>
        <v/>
      </c>
      <c r="S77" s="26">
        <f>IF($D77="","",ROUND(N($J77)*N($R77),0))</f>
        <v/>
      </c>
      <c r="T77" s="26">
        <f>IF($D77="","",IF($K77&lt;&gt;"对外销售","",ROUND($Q77-$S77,0)))</f>
        <v/>
      </c>
      <c r="U77" s="17" t="n"/>
      <c r="V77" s="17" t="n"/>
      <c r="W77" s="24">
        <f>IF($D77="","",IF($E77="※编码不在物料档案里","※物料编码不在档案里",IF(N($J77)&lt;=0,"※出库数量要大于 0",IF($K77="","※没填去向类型",IF($L77="","※没填去向矿区",IF(AND($C77&lt;&gt;"",$C77&lt;=结账锁),"※日期早于已结账截止日，不能再录",IF(AND($K77="自用消耗",COUNTIF({"一矿区";"二矿区"},$L77)=0),"※自用消耗的去向只能是一矿区或二矿区",IF(AND($K77="对外销售",COUNTIF({"三矿区";"六矿区"},$L77)=0),"※对外销售的去向只能是三矿区或六矿区",IF(AND($K77="对外销售",ROUND($Q77,0)=0),"※外销却没有售价，请填实际售价",IF(AND($K77="对外销售",$T77&lt;&gt;"",$T77&lt;0),"※这一笔外销是亏的，请核对售价",IF(IFERROR(VLOOKUP($D77,库存台账!$A$5:$Y$1204,24,0),0)&lt;-0.001,"※这个物料账面已经变成负数了，查一下是不是漏记入库","")))))))))))</f>
        <v/>
      </c>
    </row>
    <row r="78">
      <c r="A78" s="24">
        <f>IF($D78="","",COUNTA($D$4:$D78))</f>
        <v/>
      </c>
      <c r="B78" s="17" t="n"/>
      <c r="C78" s="30" t="n"/>
      <c r="D78" s="17" t="n"/>
      <c r="E78" s="24">
        <f>IF($D78="","",IFERROR(VLOOKUP($D78,物料档案!$A$4:$P$1203,3,0),"※编码不在物料档案里"))</f>
        <v/>
      </c>
      <c r="F78" s="24">
        <f>IF($D78="","",IFERROR(VLOOKUP($D78,物料档案!$A$4:$P$1203,4,0),"※编码不在物料档案里"))</f>
        <v/>
      </c>
      <c r="G78" s="24">
        <f>IF($D78="","",IFERROR(VLOOKUP($D78,物料档案!$A$4:$P$1203,5,0),"※编码不在物料档案里"))</f>
        <v/>
      </c>
      <c r="H78" s="24">
        <f>IF($D78="","",IFERROR(VLOOKUP($D78,物料档案!$A$4:$P$1203,2,0),"※编码不在物料档案里"))</f>
        <v/>
      </c>
      <c r="I78" s="24">
        <f>IF($D78="","",IFERROR(VLOOKUP($D78,物料档案!$A$4:$P$1203,6,0),"※编码不在物料档案里"))</f>
        <v/>
      </c>
      <c r="J78" s="23" t="n"/>
      <c r="K78" s="17" t="n"/>
      <c r="L78" s="17" t="n"/>
      <c r="M78" s="17" t="n"/>
      <c r="N78" s="17" t="n"/>
      <c r="O78" s="26">
        <f>IF($D78="","",IFERROR(VLOOKUP($D78,物料档案!$A$4:$P$1203,10,0),0))</f>
        <v/>
      </c>
      <c r="P78" s="32" t="n"/>
      <c r="Q78" s="26">
        <f>IF($D78="","",IF($K78&lt;&gt;"对外销售",0,ROUND(N($J78)*IF($P78="",N($O78),N($P78)),0)))</f>
        <v/>
      </c>
      <c r="R78" s="26">
        <f>IF($D78="","",IFERROR(VLOOKUP($D78,库存台账!$A$5:$Y$1204,11,0),0))</f>
        <v/>
      </c>
      <c r="S78" s="26">
        <f>IF($D78="","",ROUND(N($J78)*N($R78),0))</f>
        <v/>
      </c>
      <c r="T78" s="26">
        <f>IF($D78="","",IF($K78&lt;&gt;"对外销售","",ROUND($Q78-$S78,0)))</f>
        <v/>
      </c>
      <c r="U78" s="17" t="n"/>
      <c r="V78" s="17" t="n"/>
      <c r="W78" s="24">
        <f>IF($D78="","",IF($E78="※编码不在物料档案里","※物料编码不在档案里",IF(N($J78)&lt;=0,"※出库数量要大于 0",IF($K78="","※没填去向类型",IF($L78="","※没填去向矿区",IF(AND($C78&lt;&gt;"",$C78&lt;=结账锁),"※日期早于已结账截止日，不能再录",IF(AND($K78="自用消耗",COUNTIF({"一矿区";"二矿区"},$L78)=0),"※自用消耗的去向只能是一矿区或二矿区",IF(AND($K78="对外销售",COUNTIF({"三矿区";"六矿区"},$L78)=0),"※对外销售的去向只能是三矿区或六矿区",IF(AND($K78="对外销售",ROUND($Q78,0)=0),"※外销却没有售价，请填实际售价",IF(AND($K78="对外销售",$T78&lt;&gt;"",$T78&lt;0),"※这一笔外销是亏的，请核对售价",IF(IFERROR(VLOOKUP($D78,库存台账!$A$5:$Y$1204,24,0),0)&lt;-0.001,"※这个物料账面已经变成负数了，查一下是不是漏记入库","")))))))))))</f>
        <v/>
      </c>
    </row>
    <row r="79">
      <c r="A79" s="24">
        <f>IF($D79="","",COUNTA($D$4:$D79))</f>
        <v/>
      </c>
      <c r="B79" s="17" t="n"/>
      <c r="C79" s="30" t="n"/>
      <c r="D79" s="17" t="n"/>
      <c r="E79" s="24">
        <f>IF($D79="","",IFERROR(VLOOKUP($D79,物料档案!$A$4:$P$1203,3,0),"※编码不在物料档案里"))</f>
        <v/>
      </c>
      <c r="F79" s="24">
        <f>IF($D79="","",IFERROR(VLOOKUP($D79,物料档案!$A$4:$P$1203,4,0),"※编码不在物料档案里"))</f>
        <v/>
      </c>
      <c r="G79" s="24">
        <f>IF($D79="","",IFERROR(VLOOKUP($D79,物料档案!$A$4:$P$1203,5,0),"※编码不在物料档案里"))</f>
        <v/>
      </c>
      <c r="H79" s="24">
        <f>IF($D79="","",IFERROR(VLOOKUP($D79,物料档案!$A$4:$P$1203,2,0),"※编码不在物料档案里"))</f>
        <v/>
      </c>
      <c r="I79" s="24">
        <f>IF($D79="","",IFERROR(VLOOKUP($D79,物料档案!$A$4:$P$1203,6,0),"※编码不在物料档案里"))</f>
        <v/>
      </c>
      <c r="J79" s="23" t="n"/>
      <c r="K79" s="17" t="n"/>
      <c r="L79" s="17" t="n"/>
      <c r="M79" s="17" t="n"/>
      <c r="N79" s="17" t="n"/>
      <c r="O79" s="26">
        <f>IF($D79="","",IFERROR(VLOOKUP($D79,物料档案!$A$4:$P$1203,10,0),0))</f>
        <v/>
      </c>
      <c r="P79" s="32" t="n"/>
      <c r="Q79" s="26">
        <f>IF($D79="","",IF($K79&lt;&gt;"对外销售",0,ROUND(N($J79)*IF($P79="",N($O79),N($P79)),0)))</f>
        <v/>
      </c>
      <c r="R79" s="26">
        <f>IF($D79="","",IFERROR(VLOOKUP($D79,库存台账!$A$5:$Y$1204,11,0),0))</f>
        <v/>
      </c>
      <c r="S79" s="26">
        <f>IF($D79="","",ROUND(N($J79)*N($R79),0))</f>
        <v/>
      </c>
      <c r="T79" s="26">
        <f>IF($D79="","",IF($K79&lt;&gt;"对外销售","",ROUND($Q79-$S79,0)))</f>
        <v/>
      </c>
      <c r="U79" s="17" t="n"/>
      <c r="V79" s="17" t="n"/>
      <c r="W79" s="24">
        <f>IF($D79="","",IF($E79="※编码不在物料档案里","※物料编码不在档案里",IF(N($J79)&lt;=0,"※出库数量要大于 0",IF($K79="","※没填去向类型",IF($L79="","※没填去向矿区",IF(AND($C79&lt;&gt;"",$C79&lt;=结账锁),"※日期早于已结账截止日，不能再录",IF(AND($K79="自用消耗",COUNTIF({"一矿区";"二矿区"},$L79)=0),"※自用消耗的去向只能是一矿区或二矿区",IF(AND($K79="对外销售",COUNTIF({"三矿区";"六矿区"},$L79)=0),"※对外销售的去向只能是三矿区或六矿区",IF(AND($K79="对外销售",ROUND($Q79,0)=0),"※外销却没有售价，请填实际售价",IF(AND($K79="对外销售",$T79&lt;&gt;"",$T79&lt;0),"※这一笔外销是亏的，请核对售价",IF(IFERROR(VLOOKUP($D79,库存台账!$A$5:$Y$1204,24,0),0)&lt;-0.001,"※这个物料账面已经变成负数了，查一下是不是漏记入库","")))))))))))</f>
        <v/>
      </c>
    </row>
    <row r="80">
      <c r="A80" s="24">
        <f>IF($D80="","",COUNTA($D$4:$D80))</f>
        <v/>
      </c>
      <c r="B80" s="17" t="n"/>
      <c r="C80" s="30" t="n"/>
      <c r="D80" s="17" t="n"/>
      <c r="E80" s="24">
        <f>IF($D80="","",IFERROR(VLOOKUP($D80,物料档案!$A$4:$P$1203,3,0),"※编码不在物料档案里"))</f>
        <v/>
      </c>
      <c r="F80" s="24">
        <f>IF($D80="","",IFERROR(VLOOKUP($D80,物料档案!$A$4:$P$1203,4,0),"※编码不在物料档案里"))</f>
        <v/>
      </c>
      <c r="G80" s="24">
        <f>IF($D80="","",IFERROR(VLOOKUP($D80,物料档案!$A$4:$P$1203,5,0),"※编码不在物料档案里"))</f>
        <v/>
      </c>
      <c r="H80" s="24">
        <f>IF($D80="","",IFERROR(VLOOKUP($D80,物料档案!$A$4:$P$1203,2,0),"※编码不在物料档案里"))</f>
        <v/>
      </c>
      <c r="I80" s="24">
        <f>IF($D80="","",IFERROR(VLOOKUP($D80,物料档案!$A$4:$P$1203,6,0),"※编码不在物料档案里"))</f>
        <v/>
      </c>
      <c r="J80" s="23" t="n"/>
      <c r="K80" s="17" t="n"/>
      <c r="L80" s="17" t="n"/>
      <c r="M80" s="17" t="n"/>
      <c r="N80" s="17" t="n"/>
      <c r="O80" s="26">
        <f>IF($D80="","",IFERROR(VLOOKUP($D80,物料档案!$A$4:$P$1203,10,0),0))</f>
        <v/>
      </c>
      <c r="P80" s="32" t="n"/>
      <c r="Q80" s="26">
        <f>IF($D80="","",IF($K80&lt;&gt;"对外销售",0,ROUND(N($J80)*IF($P80="",N($O80),N($P80)),0)))</f>
        <v/>
      </c>
      <c r="R80" s="26">
        <f>IF($D80="","",IFERROR(VLOOKUP($D80,库存台账!$A$5:$Y$1204,11,0),0))</f>
        <v/>
      </c>
      <c r="S80" s="26">
        <f>IF($D80="","",ROUND(N($J80)*N($R80),0))</f>
        <v/>
      </c>
      <c r="T80" s="26">
        <f>IF($D80="","",IF($K80&lt;&gt;"对外销售","",ROUND($Q80-$S80,0)))</f>
        <v/>
      </c>
      <c r="U80" s="17" t="n"/>
      <c r="V80" s="17" t="n"/>
      <c r="W80" s="24">
        <f>IF($D80="","",IF($E80="※编码不在物料档案里","※物料编码不在档案里",IF(N($J80)&lt;=0,"※出库数量要大于 0",IF($K80="","※没填去向类型",IF($L80="","※没填去向矿区",IF(AND($C80&lt;&gt;"",$C80&lt;=结账锁),"※日期早于已结账截止日，不能再录",IF(AND($K80="自用消耗",COUNTIF({"一矿区";"二矿区"},$L80)=0),"※自用消耗的去向只能是一矿区或二矿区",IF(AND($K80="对外销售",COUNTIF({"三矿区";"六矿区"},$L80)=0),"※对外销售的去向只能是三矿区或六矿区",IF(AND($K80="对外销售",ROUND($Q80,0)=0),"※外销却没有售价，请填实际售价",IF(AND($K80="对外销售",$T80&lt;&gt;"",$T80&lt;0),"※这一笔外销是亏的，请核对售价",IF(IFERROR(VLOOKUP($D80,库存台账!$A$5:$Y$1204,24,0),0)&lt;-0.001,"※这个物料账面已经变成负数了，查一下是不是漏记入库","")))))))))))</f>
        <v/>
      </c>
    </row>
    <row r="81">
      <c r="A81" s="24">
        <f>IF($D81="","",COUNTA($D$4:$D81))</f>
        <v/>
      </c>
      <c r="B81" s="17" t="n"/>
      <c r="C81" s="30" t="n"/>
      <c r="D81" s="17" t="n"/>
      <c r="E81" s="24">
        <f>IF($D81="","",IFERROR(VLOOKUP($D81,物料档案!$A$4:$P$1203,3,0),"※编码不在物料档案里"))</f>
        <v/>
      </c>
      <c r="F81" s="24">
        <f>IF($D81="","",IFERROR(VLOOKUP($D81,物料档案!$A$4:$P$1203,4,0),"※编码不在物料档案里"))</f>
        <v/>
      </c>
      <c r="G81" s="24">
        <f>IF($D81="","",IFERROR(VLOOKUP($D81,物料档案!$A$4:$P$1203,5,0),"※编码不在物料档案里"))</f>
        <v/>
      </c>
      <c r="H81" s="24">
        <f>IF($D81="","",IFERROR(VLOOKUP($D81,物料档案!$A$4:$P$1203,2,0),"※编码不在物料档案里"))</f>
        <v/>
      </c>
      <c r="I81" s="24">
        <f>IF($D81="","",IFERROR(VLOOKUP($D81,物料档案!$A$4:$P$1203,6,0),"※编码不在物料档案里"))</f>
        <v/>
      </c>
      <c r="J81" s="23" t="n"/>
      <c r="K81" s="17" t="n"/>
      <c r="L81" s="17" t="n"/>
      <c r="M81" s="17" t="n"/>
      <c r="N81" s="17" t="n"/>
      <c r="O81" s="26">
        <f>IF($D81="","",IFERROR(VLOOKUP($D81,物料档案!$A$4:$P$1203,10,0),0))</f>
        <v/>
      </c>
      <c r="P81" s="32" t="n"/>
      <c r="Q81" s="26">
        <f>IF($D81="","",IF($K81&lt;&gt;"对外销售",0,ROUND(N($J81)*IF($P81="",N($O81),N($P81)),0)))</f>
        <v/>
      </c>
      <c r="R81" s="26">
        <f>IF($D81="","",IFERROR(VLOOKUP($D81,库存台账!$A$5:$Y$1204,11,0),0))</f>
        <v/>
      </c>
      <c r="S81" s="26">
        <f>IF($D81="","",ROUND(N($J81)*N($R81),0))</f>
        <v/>
      </c>
      <c r="T81" s="26">
        <f>IF($D81="","",IF($K81&lt;&gt;"对外销售","",ROUND($Q81-$S81,0)))</f>
        <v/>
      </c>
      <c r="U81" s="17" t="n"/>
      <c r="V81" s="17" t="n"/>
      <c r="W81" s="24">
        <f>IF($D81="","",IF($E81="※编码不在物料档案里","※物料编码不在档案里",IF(N($J81)&lt;=0,"※出库数量要大于 0",IF($K81="","※没填去向类型",IF($L81="","※没填去向矿区",IF(AND($C81&lt;&gt;"",$C81&lt;=结账锁),"※日期早于已结账截止日，不能再录",IF(AND($K81="自用消耗",COUNTIF({"一矿区";"二矿区"},$L81)=0),"※自用消耗的去向只能是一矿区或二矿区",IF(AND($K81="对外销售",COUNTIF({"三矿区";"六矿区"},$L81)=0),"※对外销售的去向只能是三矿区或六矿区",IF(AND($K81="对外销售",ROUND($Q81,0)=0),"※外销却没有售价，请填实际售价",IF(AND($K81="对外销售",$T81&lt;&gt;"",$T81&lt;0),"※这一笔外销是亏的，请核对售价",IF(IFERROR(VLOOKUP($D81,库存台账!$A$5:$Y$1204,24,0),0)&lt;-0.001,"※这个物料账面已经变成负数了，查一下是不是漏记入库","")))))))))))</f>
        <v/>
      </c>
    </row>
    <row r="82">
      <c r="A82" s="24">
        <f>IF($D82="","",COUNTA($D$4:$D82))</f>
        <v/>
      </c>
      <c r="B82" s="17" t="n"/>
      <c r="C82" s="30" t="n"/>
      <c r="D82" s="17" t="n"/>
      <c r="E82" s="24">
        <f>IF($D82="","",IFERROR(VLOOKUP($D82,物料档案!$A$4:$P$1203,3,0),"※编码不在物料档案里"))</f>
        <v/>
      </c>
      <c r="F82" s="24">
        <f>IF($D82="","",IFERROR(VLOOKUP($D82,物料档案!$A$4:$P$1203,4,0),"※编码不在物料档案里"))</f>
        <v/>
      </c>
      <c r="G82" s="24">
        <f>IF($D82="","",IFERROR(VLOOKUP($D82,物料档案!$A$4:$P$1203,5,0),"※编码不在物料档案里"))</f>
        <v/>
      </c>
      <c r="H82" s="24">
        <f>IF($D82="","",IFERROR(VLOOKUP($D82,物料档案!$A$4:$P$1203,2,0),"※编码不在物料档案里"))</f>
        <v/>
      </c>
      <c r="I82" s="24">
        <f>IF($D82="","",IFERROR(VLOOKUP($D82,物料档案!$A$4:$P$1203,6,0),"※编码不在物料档案里"))</f>
        <v/>
      </c>
      <c r="J82" s="23" t="n"/>
      <c r="K82" s="17" t="n"/>
      <c r="L82" s="17" t="n"/>
      <c r="M82" s="17" t="n"/>
      <c r="N82" s="17" t="n"/>
      <c r="O82" s="26">
        <f>IF($D82="","",IFERROR(VLOOKUP($D82,物料档案!$A$4:$P$1203,10,0),0))</f>
        <v/>
      </c>
      <c r="P82" s="32" t="n"/>
      <c r="Q82" s="26">
        <f>IF($D82="","",IF($K82&lt;&gt;"对外销售",0,ROUND(N($J82)*IF($P82="",N($O82),N($P82)),0)))</f>
        <v/>
      </c>
      <c r="R82" s="26">
        <f>IF($D82="","",IFERROR(VLOOKUP($D82,库存台账!$A$5:$Y$1204,11,0),0))</f>
        <v/>
      </c>
      <c r="S82" s="26">
        <f>IF($D82="","",ROUND(N($J82)*N($R82),0))</f>
        <v/>
      </c>
      <c r="T82" s="26">
        <f>IF($D82="","",IF($K82&lt;&gt;"对外销售","",ROUND($Q82-$S82,0)))</f>
        <v/>
      </c>
      <c r="U82" s="17" t="n"/>
      <c r="V82" s="17" t="n"/>
      <c r="W82" s="24">
        <f>IF($D82="","",IF($E82="※编码不在物料档案里","※物料编码不在档案里",IF(N($J82)&lt;=0,"※出库数量要大于 0",IF($K82="","※没填去向类型",IF($L82="","※没填去向矿区",IF(AND($C82&lt;&gt;"",$C82&lt;=结账锁),"※日期早于已结账截止日，不能再录",IF(AND($K82="自用消耗",COUNTIF({"一矿区";"二矿区"},$L82)=0),"※自用消耗的去向只能是一矿区或二矿区",IF(AND($K82="对外销售",COUNTIF({"三矿区";"六矿区"},$L82)=0),"※对外销售的去向只能是三矿区或六矿区",IF(AND($K82="对外销售",ROUND($Q82,0)=0),"※外销却没有售价，请填实际售价",IF(AND($K82="对外销售",$T82&lt;&gt;"",$T82&lt;0),"※这一笔外销是亏的，请核对售价",IF(IFERROR(VLOOKUP($D82,库存台账!$A$5:$Y$1204,24,0),0)&lt;-0.001,"※这个物料账面已经变成负数了，查一下是不是漏记入库","")))))))))))</f>
        <v/>
      </c>
    </row>
    <row r="83">
      <c r="A83" s="24">
        <f>IF($D83="","",COUNTA($D$4:$D83))</f>
        <v/>
      </c>
      <c r="B83" s="17" t="n"/>
      <c r="C83" s="30" t="n"/>
      <c r="D83" s="17" t="n"/>
      <c r="E83" s="24">
        <f>IF($D83="","",IFERROR(VLOOKUP($D83,物料档案!$A$4:$P$1203,3,0),"※编码不在物料档案里"))</f>
        <v/>
      </c>
      <c r="F83" s="24">
        <f>IF($D83="","",IFERROR(VLOOKUP($D83,物料档案!$A$4:$P$1203,4,0),"※编码不在物料档案里"))</f>
        <v/>
      </c>
      <c r="G83" s="24">
        <f>IF($D83="","",IFERROR(VLOOKUP($D83,物料档案!$A$4:$P$1203,5,0),"※编码不在物料档案里"))</f>
        <v/>
      </c>
      <c r="H83" s="24">
        <f>IF($D83="","",IFERROR(VLOOKUP($D83,物料档案!$A$4:$P$1203,2,0),"※编码不在物料档案里"))</f>
        <v/>
      </c>
      <c r="I83" s="24">
        <f>IF($D83="","",IFERROR(VLOOKUP($D83,物料档案!$A$4:$P$1203,6,0),"※编码不在物料档案里"))</f>
        <v/>
      </c>
      <c r="J83" s="23" t="n"/>
      <c r="K83" s="17" t="n"/>
      <c r="L83" s="17" t="n"/>
      <c r="M83" s="17" t="n"/>
      <c r="N83" s="17" t="n"/>
      <c r="O83" s="26">
        <f>IF($D83="","",IFERROR(VLOOKUP($D83,物料档案!$A$4:$P$1203,10,0),0))</f>
        <v/>
      </c>
      <c r="P83" s="32" t="n"/>
      <c r="Q83" s="26">
        <f>IF($D83="","",IF($K83&lt;&gt;"对外销售",0,ROUND(N($J83)*IF($P83="",N($O83),N($P83)),0)))</f>
        <v/>
      </c>
      <c r="R83" s="26">
        <f>IF($D83="","",IFERROR(VLOOKUP($D83,库存台账!$A$5:$Y$1204,11,0),0))</f>
        <v/>
      </c>
      <c r="S83" s="26">
        <f>IF($D83="","",ROUND(N($J83)*N($R83),0))</f>
        <v/>
      </c>
      <c r="T83" s="26">
        <f>IF($D83="","",IF($K83&lt;&gt;"对外销售","",ROUND($Q83-$S83,0)))</f>
        <v/>
      </c>
      <c r="U83" s="17" t="n"/>
      <c r="V83" s="17" t="n"/>
      <c r="W83" s="24">
        <f>IF($D83="","",IF($E83="※编码不在物料档案里","※物料编码不在档案里",IF(N($J83)&lt;=0,"※出库数量要大于 0",IF($K83="","※没填去向类型",IF($L83="","※没填去向矿区",IF(AND($C83&lt;&gt;"",$C83&lt;=结账锁),"※日期早于已结账截止日，不能再录",IF(AND($K83="自用消耗",COUNTIF({"一矿区";"二矿区"},$L83)=0),"※自用消耗的去向只能是一矿区或二矿区",IF(AND($K83="对外销售",COUNTIF({"三矿区";"六矿区"},$L83)=0),"※对外销售的去向只能是三矿区或六矿区",IF(AND($K83="对外销售",ROUND($Q83,0)=0),"※外销却没有售价，请填实际售价",IF(AND($K83="对外销售",$T83&lt;&gt;"",$T83&lt;0),"※这一笔外销是亏的，请核对售价",IF(IFERROR(VLOOKUP($D83,库存台账!$A$5:$Y$1204,24,0),0)&lt;-0.001,"※这个物料账面已经变成负数了，查一下是不是漏记入库","")))))))))))</f>
        <v/>
      </c>
    </row>
    <row r="84">
      <c r="A84" s="24">
        <f>IF($D84="","",COUNTA($D$4:$D84))</f>
        <v/>
      </c>
      <c r="B84" s="17" t="n"/>
      <c r="C84" s="30" t="n"/>
      <c r="D84" s="17" t="n"/>
      <c r="E84" s="24">
        <f>IF($D84="","",IFERROR(VLOOKUP($D84,物料档案!$A$4:$P$1203,3,0),"※编码不在物料档案里"))</f>
        <v/>
      </c>
      <c r="F84" s="24">
        <f>IF($D84="","",IFERROR(VLOOKUP($D84,物料档案!$A$4:$P$1203,4,0),"※编码不在物料档案里"))</f>
        <v/>
      </c>
      <c r="G84" s="24">
        <f>IF($D84="","",IFERROR(VLOOKUP($D84,物料档案!$A$4:$P$1203,5,0),"※编码不在物料档案里"))</f>
        <v/>
      </c>
      <c r="H84" s="24">
        <f>IF($D84="","",IFERROR(VLOOKUP($D84,物料档案!$A$4:$P$1203,2,0),"※编码不在物料档案里"))</f>
        <v/>
      </c>
      <c r="I84" s="24">
        <f>IF($D84="","",IFERROR(VLOOKUP($D84,物料档案!$A$4:$P$1203,6,0),"※编码不在物料档案里"))</f>
        <v/>
      </c>
      <c r="J84" s="23" t="n"/>
      <c r="K84" s="17" t="n"/>
      <c r="L84" s="17" t="n"/>
      <c r="M84" s="17" t="n"/>
      <c r="N84" s="17" t="n"/>
      <c r="O84" s="26">
        <f>IF($D84="","",IFERROR(VLOOKUP($D84,物料档案!$A$4:$P$1203,10,0),0))</f>
        <v/>
      </c>
      <c r="P84" s="32" t="n"/>
      <c r="Q84" s="26">
        <f>IF($D84="","",IF($K84&lt;&gt;"对外销售",0,ROUND(N($J84)*IF($P84="",N($O84),N($P84)),0)))</f>
        <v/>
      </c>
      <c r="R84" s="26">
        <f>IF($D84="","",IFERROR(VLOOKUP($D84,库存台账!$A$5:$Y$1204,11,0),0))</f>
        <v/>
      </c>
      <c r="S84" s="26">
        <f>IF($D84="","",ROUND(N($J84)*N($R84),0))</f>
        <v/>
      </c>
      <c r="T84" s="26">
        <f>IF($D84="","",IF($K84&lt;&gt;"对外销售","",ROUND($Q84-$S84,0)))</f>
        <v/>
      </c>
      <c r="U84" s="17" t="n"/>
      <c r="V84" s="17" t="n"/>
      <c r="W84" s="24">
        <f>IF($D84="","",IF($E84="※编码不在物料档案里","※物料编码不在档案里",IF(N($J84)&lt;=0,"※出库数量要大于 0",IF($K84="","※没填去向类型",IF($L84="","※没填去向矿区",IF(AND($C84&lt;&gt;"",$C84&lt;=结账锁),"※日期早于已结账截止日，不能再录",IF(AND($K84="自用消耗",COUNTIF({"一矿区";"二矿区"},$L84)=0),"※自用消耗的去向只能是一矿区或二矿区",IF(AND($K84="对外销售",COUNTIF({"三矿区";"六矿区"},$L84)=0),"※对外销售的去向只能是三矿区或六矿区",IF(AND($K84="对外销售",ROUND($Q84,0)=0),"※外销却没有售价，请填实际售价",IF(AND($K84="对外销售",$T84&lt;&gt;"",$T84&lt;0),"※这一笔外销是亏的，请核对售价",IF(IFERROR(VLOOKUP($D84,库存台账!$A$5:$Y$1204,24,0),0)&lt;-0.001,"※这个物料账面已经变成负数了，查一下是不是漏记入库","")))))))))))</f>
        <v/>
      </c>
    </row>
    <row r="85">
      <c r="A85" s="24">
        <f>IF($D85="","",COUNTA($D$4:$D85))</f>
        <v/>
      </c>
      <c r="B85" s="17" t="n"/>
      <c r="C85" s="30" t="n"/>
      <c r="D85" s="17" t="n"/>
      <c r="E85" s="24">
        <f>IF($D85="","",IFERROR(VLOOKUP($D85,物料档案!$A$4:$P$1203,3,0),"※编码不在物料档案里"))</f>
        <v/>
      </c>
      <c r="F85" s="24">
        <f>IF($D85="","",IFERROR(VLOOKUP($D85,物料档案!$A$4:$P$1203,4,0),"※编码不在物料档案里"))</f>
        <v/>
      </c>
      <c r="G85" s="24">
        <f>IF($D85="","",IFERROR(VLOOKUP($D85,物料档案!$A$4:$P$1203,5,0),"※编码不在物料档案里"))</f>
        <v/>
      </c>
      <c r="H85" s="24">
        <f>IF($D85="","",IFERROR(VLOOKUP($D85,物料档案!$A$4:$P$1203,2,0),"※编码不在物料档案里"))</f>
        <v/>
      </c>
      <c r="I85" s="24">
        <f>IF($D85="","",IFERROR(VLOOKUP($D85,物料档案!$A$4:$P$1203,6,0),"※编码不在物料档案里"))</f>
        <v/>
      </c>
      <c r="J85" s="23" t="n"/>
      <c r="K85" s="17" t="n"/>
      <c r="L85" s="17" t="n"/>
      <c r="M85" s="17" t="n"/>
      <c r="N85" s="17" t="n"/>
      <c r="O85" s="26">
        <f>IF($D85="","",IFERROR(VLOOKUP($D85,物料档案!$A$4:$P$1203,10,0),0))</f>
        <v/>
      </c>
      <c r="P85" s="32" t="n"/>
      <c r="Q85" s="26">
        <f>IF($D85="","",IF($K85&lt;&gt;"对外销售",0,ROUND(N($J85)*IF($P85="",N($O85),N($P85)),0)))</f>
        <v/>
      </c>
      <c r="R85" s="26">
        <f>IF($D85="","",IFERROR(VLOOKUP($D85,库存台账!$A$5:$Y$1204,11,0),0))</f>
        <v/>
      </c>
      <c r="S85" s="26">
        <f>IF($D85="","",ROUND(N($J85)*N($R85),0))</f>
        <v/>
      </c>
      <c r="T85" s="26">
        <f>IF($D85="","",IF($K85&lt;&gt;"对外销售","",ROUND($Q85-$S85,0)))</f>
        <v/>
      </c>
      <c r="U85" s="17" t="n"/>
      <c r="V85" s="17" t="n"/>
      <c r="W85" s="24">
        <f>IF($D85="","",IF($E85="※编码不在物料档案里","※物料编码不在档案里",IF(N($J85)&lt;=0,"※出库数量要大于 0",IF($K85="","※没填去向类型",IF($L85="","※没填去向矿区",IF(AND($C85&lt;&gt;"",$C85&lt;=结账锁),"※日期早于已结账截止日，不能再录",IF(AND($K85="自用消耗",COUNTIF({"一矿区";"二矿区"},$L85)=0),"※自用消耗的去向只能是一矿区或二矿区",IF(AND($K85="对外销售",COUNTIF({"三矿区";"六矿区"},$L85)=0),"※对外销售的去向只能是三矿区或六矿区",IF(AND($K85="对外销售",ROUND($Q85,0)=0),"※外销却没有售价，请填实际售价",IF(AND($K85="对外销售",$T85&lt;&gt;"",$T85&lt;0),"※这一笔外销是亏的，请核对售价",IF(IFERROR(VLOOKUP($D85,库存台账!$A$5:$Y$1204,24,0),0)&lt;-0.001,"※这个物料账面已经变成负数了，查一下是不是漏记入库","")))))))))))</f>
        <v/>
      </c>
    </row>
    <row r="86">
      <c r="A86" s="24">
        <f>IF($D86="","",COUNTA($D$4:$D86))</f>
        <v/>
      </c>
      <c r="B86" s="17" t="n"/>
      <c r="C86" s="30" t="n"/>
      <c r="D86" s="17" t="n"/>
      <c r="E86" s="24">
        <f>IF($D86="","",IFERROR(VLOOKUP($D86,物料档案!$A$4:$P$1203,3,0),"※编码不在物料档案里"))</f>
        <v/>
      </c>
      <c r="F86" s="24">
        <f>IF($D86="","",IFERROR(VLOOKUP($D86,物料档案!$A$4:$P$1203,4,0),"※编码不在物料档案里"))</f>
        <v/>
      </c>
      <c r="G86" s="24">
        <f>IF($D86="","",IFERROR(VLOOKUP($D86,物料档案!$A$4:$P$1203,5,0),"※编码不在物料档案里"))</f>
        <v/>
      </c>
      <c r="H86" s="24">
        <f>IF($D86="","",IFERROR(VLOOKUP($D86,物料档案!$A$4:$P$1203,2,0),"※编码不在物料档案里"))</f>
        <v/>
      </c>
      <c r="I86" s="24">
        <f>IF($D86="","",IFERROR(VLOOKUP($D86,物料档案!$A$4:$P$1203,6,0),"※编码不在物料档案里"))</f>
        <v/>
      </c>
      <c r="J86" s="23" t="n"/>
      <c r="K86" s="17" t="n"/>
      <c r="L86" s="17" t="n"/>
      <c r="M86" s="17" t="n"/>
      <c r="N86" s="17" t="n"/>
      <c r="O86" s="26">
        <f>IF($D86="","",IFERROR(VLOOKUP($D86,物料档案!$A$4:$P$1203,10,0),0))</f>
        <v/>
      </c>
      <c r="P86" s="32" t="n"/>
      <c r="Q86" s="26">
        <f>IF($D86="","",IF($K86&lt;&gt;"对外销售",0,ROUND(N($J86)*IF($P86="",N($O86),N($P86)),0)))</f>
        <v/>
      </c>
      <c r="R86" s="26">
        <f>IF($D86="","",IFERROR(VLOOKUP($D86,库存台账!$A$5:$Y$1204,11,0),0))</f>
        <v/>
      </c>
      <c r="S86" s="26">
        <f>IF($D86="","",ROUND(N($J86)*N($R86),0))</f>
        <v/>
      </c>
      <c r="T86" s="26">
        <f>IF($D86="","",IF($K86&lt;&gt;"对外销售","",ROUND($Q86-$S86,0)))</f>
        <v/>
      </c>
      <c r="U86" s="17" t="n"/>
      <c r="V86" s="17" t="n"/>
      <c r="W86" s="24">
        <f>IF($D86="","",IF($E86="※编码不在物料档案里","※物料编码不在档案里",IF(N($J86)&lt;=0,"※出库数量要大于 0",IF($K86="","※没填去向类型",IF($L86="","※没填去向矿区",IF(AND($C86&lt;&gt;"",$C86&lt;=结账锁),"※日期早于已结账截止日，不能再录",IF(AND($K86="自用消耗",COUNTIF({"一矿区";"二矿区"},$L86)=0),"※自用消耗的去向只能是一矿区或二矿区",IF(AND($K86="对外销售",COUNTIF({"三矿区";"六矿区"},$L86)=0),"※对外销售的去向只能是三矿区或六矿区",IF(AND($K86="对外销售",ROUND($Q86,0)=0),"※外销却没有售价，请填实际售价",IF(AND($K86="对外销售",$T86&lt;&gt;"",$T86&lt;0),"※这一笔外销是亏的，请核对售价",IF(IFERROR(VLOOKUP($D86,库存台账!$A$5:$Y$1204,24,0),0)&lt;-0.001,"※这个物料账面已经变成负数了，查一下是不是漏记入库","")))))))))))</f>
        <v/>
      </c>
    </row>
    <row r="87">
      <c r="A87" s="24">
        <f>IF($D87="","",COUNTA($D$4:$D87))</f>
        <v/>
      </c>
      <c r="B87" s="17" t="n"/>
      <c r="C87" s="30" t="n"/>
      <c r="D87" s="17" t="n"/>
      <c r="E87" s="24">
        <f>IF($D87="","",IFERROR(VLOOKUP($D87,物料档案!$A$4:$P$1203,3,0),"※编码不在物料档案里"))</f>
        <v/>
      </c>
      <c r="F87" s="24">
        <f>IF($D87="","",IFERROR(VLOOKUP($D87,物料档案!$A$4:$P$1203,4,0),"※编码不在物料档案里"))</f>
        <v/>
      </c>
      <c r="G87" s="24">
        <f>IF($D87="","",IFERROR(VLOOKUP($D87,物料档案!$A$4:$P$1203,5,0),"※编码不在物料档案里"))</f>
        <v/>
      </c>
      <c r="H87" s="24">
        <f>IF($D87="","",IFERROR(VLOOKUP($D87,物料档案!$A$4:$P$1203,2,0),"※编码不在物料档案里"))</f>
        <v/>
      </c>
      <c r="I87" s="24">
        <f>IF($D87="","",IFERROR(VLOOKUP($D87,物料档案!$A$4:$P$1203,6,0),"※编码不在物料档案里"))</f>
        <v/>
      </c>
      <c r="J87" s="23" t="n"/>
      <c r="K87" s="17" t="n"/>
      <c r="L87" s="17" t="n"/>
      <c r="M87" s="17" t="n"/>
      <c r="N87" s="17" t="n"/>
      <c r="O87" s="26">
        <f>IF($D87="","",IFERROR(VLOOKUP($D87,物料档案!$A$4:$P$1203,10,0),0))</f>
        <v/>
      </c>
      <c r="P87" s="32" t="n"/>
      <c r="Q87" s="26">
        <f>IF($D87="","",IF($K87&lt;&gt;"对外销售",0,ROUND(N($J87)*IF($P87="",N($O87),N($P87)),0)))</f>
        <v/>
      </c>
      <c r="R87" s="26">
        <f>IF($D87="","",IFERROR(VLOOKUP($D87,库存台账!$A$5:$Y$1204,11,0),0))</f>
        <v/>
      </c>
      <c r="S87" s="26">
        <f>IF($D87="","",ROUND(N($J87)*N($R87),0))</f>
        <v/>
      </c>
      <c r="T87" s="26">
        <f>IF($D87="","",IF($K87&lt;&gt;"对外销售","",ROUND($Q87-$S87,0)))</f>
        <v/>
      </c>
      <c r="U87" s="17" t="n"/>
      <c r="V87" s="17" t="n"/>
      <c r="W87" s="24">
        <f>IF($D87="","",IF($E87="※编码不在物料档案里","※物料编码不在档案里",IF(N($J87)&lt;=0,"※出库数量要大于 0",IF($K87="","※没填去向类型",IF($L87="","※没填去向矿区",IF(AND($C87&lt;&gt;"",$C87&lt;=结账锁),"※日期早于已结账截止日，不能再录",IF(AND($K87="自用消耗",COUNTIF({"一矿区";"二矿区"},$L87)=0),"※自用消耗的去向只能是一矿区或二矿区",IF(AND($K87="对外销售",COUNTIF({"三矿区";"六矿区"},$L87)=0),"※对外销售的去向只能是三矿区或六矿区",IF(AND($K87="对外销售",ROUND($Q87,0)=0),"※外销却没有售价，请填实际售价",IF(AND($K87="对外销售",$T87&lt;&gt;"",$T87&lt;0),"※这一笔外销是亏的，请核对售价",IF(IFERROR(VLOOKUP($D87,库存台账!$A$5:$Y$1204,24,0),0)&lt;-0.001,"※这个物料账面已经变成负数了，查一下是不是漏记入库","")))))))))))</f>
        <v/>
      </c>
    </row>
    <row r="88">
      <c r="A88" s="24">
        <f>IF($D88="","",COUNTA($D$4:$D88))</f>
        <v/>
      </c>
      <c r="B88" s="17" t="n"/>
      <c r="C88" s="30" t="n"/>
      <c r="D88" s="17" t="n"/>
      <c r="E88" s="24">
        <f>IF($D88="","",IFERROR(VLOOKUP($D88,物料档案!$A$4:$P$1203,3,0),"※编码不在物料档案里"))</f>
        <v/>
      </c>
      <c r="F88" s="24">
        <f>IF($D88="","",IFERROR(VLOOKUP($D88,物料档案!$A$4:$P$1203,4,0),"※编码不在物料档案里"))</f>
        <v/>
      </c>
      <c r="G88" s="24">
        <f>IF($D88="","",IFERROR(VLOOKUP($D88,物料档案!$A$4:$P$1203,5,0),"※编码不在物料档案里"))</f>
        <v/>
      </c>
      <c r="H88" s="24">
        <f>IF($D88="","",IFERROR(VLOOKUP($D88,物料档案!$A$4:$P$1203,2,0),"※编码不在物料档案里"))</f>
        <v/>
      </c>
      <c r="I88" s="24">
        <f>IF($D88="","",IFERROR(VLOOKUP($D88,物料档案!$A$4:$P$1203,6,0),"※编码不在物料档案里"))</f>
        <v/>
      </c>
      <c r="J88" s="23" t="n"/>
      <c r="K88" s="17" t="n"/>
      <c r="L88" s="17" t="n"/>
      <c r="M88" s="17" t="n"/>
      <c r="N88" s="17" t="n"/>
      <c r="O88" s="26">
        <f>IF($D88="","",IFERROR(VLOOKUP($D88,物料档案!$A$4:$P$1203,10,0),0))</f>
        <v/>
      </c>
      <c r="P88" s="32" t="n"/>
      <c r="Q88" s="26">
        <f>IF($D88="","",IF($K88&lt;&gt;"对外销售",0,ROUND(N($J88)*IF($P88="",N($O88),N($P88)),0)))</f>
        <v/>
      </c>
      <c r="R88" s="26">
        <f>IF($D88="","",IFERROR(VLOOKUP($D88,库存台账!$A$5:$Y$1204,11,0),0))</f>
        <v/>
      </c>
      <c r="S88" s="26">
        <f>IF($D88="","",ROUND(N($J88)*N($R88),0))</f>
        <v/>
      </c>
      <c r="T88" s="26">
        <f>IF($D88="","",IF($K88&lt;&gt;"对外销售","",ROUND($Q88-$S88,0)))</f>
        <v/>
      </c>
      <c r="U88" s="17" t="n"/>
      <c r="V88" s="17" t="n"/>
      <c r="W88" s="24">
        <f>IF($D88="","",IF($E88="※编码不在物料档案里","※物料编码不在档案里",IF(N($J88)&lt;=0,"※出库数量要大于 0",IF($K88="","※没填去向类型",IF($L88="","※没填去向矿区",IF(AND($C88&lt;&gt;"",$C88&lt;=结账锁),"※日期早于已结账截止日，不能再录",IF(AND($K88="自用消耗",COUNTIF({"一矿区";"二矿区"},$L88)=0),"※自用消耗的去向只能是一矿区或二矿区",IF(AND($K88="对外销售",COUNTIF({"三矿区";"六矿区"},$L88)=0),"※对外销售的去向只能是三矿区或六矿区",IF(AND($K88="对外销售",ROUND($Q88,0)=0),"※外销却没有售价，请填实际售价",IF(AND($K88="对外销售",$T88&lt;&gt;"",$T88&lt;0),"※这一笔外销是亏的，请核对售价",IF(IFERROR(VLOOKUP($D88,库存台账!$A$5:$Y$1204,24,0),0)&lt;-0.001,"※这个物料账面已经变成负数了，查一下是不是漏记入库","")))))))))))</f>
        <v/>
      </c>
    </row>
    <row r="89">
      <c r="A89" s="24">
        <f>IF($D89="","",COUNTA($D$4:$D89))</f>
        <v/>
      </c>
      <c r="B89" s="17" t="n"/>
      <c r="C89" s="30" t="n"/>
      <c r="D89" s="17" t="n"/>
      <c r="E89" s="24">
        <f>IF($D89="","",IFERROR(VLOOKUP($D89,物料档案!$A$4:$P$1203,3,0),"※编码不在物料档案里"))</f>
        <v/>
      </c>
      <c r="F89" s="24">
        <f>IF($D89="","",IFERROR(VLOOKUP($D89,物料档案!$A$4:$P$1203,4,0),"※编码不在物料档案里"))</f>
        <v/>
      </c>
      <c r="G89" s="24">
        <f>IF($D89="","",IFERROR(VLOOKUP($D89,物料档案!$A$4:$P$1203,5,0),"※编码不在物料档案里"))</f>
        <v/>
      </c>
      <c r="H89" s="24">
        <f>IF($D89="","",IFERROR(VLOOKUP($D89,物料档案!$A$4:$P$1203,2,0),"※编码不在物料档案里"))</f>
        <v/>
      </c>
      <c r="I89" s="24">
        <f>IF($D89="","",IFERROR(VLOOKUP($D89,物料档案!$A$4:$P$1203,6,0),"※编码不在物料档案里"))</f>
        <v/>
      </c>
      <c r="J89" s="23" t="n"/>
      <c r="K89" s="17" t="n"/>
      <c r="L89" s="17" t="n"/>
      <c r="M89" s="17" t="n"/>
      <c r="N89" s="17" t="n"/>
      <c r="O89" s="26">
        <f>IF($D89="","",IFERROR(VLOOKUP($D89,物料档案!$A$4:$P$1203,10,0),0))</f>
        <v/>
      </c>
      <c r="P89" s="32" t="n"/>
      <c r="Q89" s="26">
        <f>IF($D89="","",IF($K89&lt;&gt;"对外销售",0,ROUND(N($J89)*IF($P89="",N($O89),N($P89)),0)))</f>
        <v/>
      </c>
      <c r="R89" s="26">
        <f>IF($D89="","",IFERROR(VLOOKUP($D89,库存台账!$A$5:$Y$1204,11,0),0))</f>
        <v/>
      </c>
      <c r="S89" s="26">
        <f>IF($D89="","",ROUND(N($J89)*N($R89),0))</f>
        <v/>
      </c>
      <c r="T89" s="26">
        <f>IF($D89="","",IF($K89&lt;&gt;"对外销售","",ROUND($Q89-$S89,0)))</f>
        <v/>
      </c>
      <c r="U89" s="17" t="n"/>
      <c r="V89" s="17" t="n"/>
      <c r="W89" s="24">
        <f>IF($D89="","",IF($E89="※编码不在物料档案里","※物料编码不在档案里",IF(N($J89)&lt;=0,"※出库数量要大于 0",IF($K89="","※没填去向类型",IF($L89="","※没填去向矿区",IF(AND($C89&lt;&gt;"",$C89&lt;=结账锁),"※日期早于已结账截止日，不能再录",IF(AND($K89="自用消耗",COUNTIF({"一矿区";"二矿区"},$L89)=0),"※自用消耗的去向只能是一矿区或二矿区",IF(AND($K89="对外销售",COUNTIF({"三矿区";"六矿区"},$L89)=0),"※对外销售的去向只能是三矿区或六矿区",IF(AND($K89="对外销售",ROUND($Q89,0)=0),"※外销却没有售价，请填实际售价",IF(AND($K89="对外销售",$T89&lt;&gt;"",$T89&lt;0),"※这一笔外销是亏的，请核对售价",IF(IFERROR(VLOOKUP($D89,库存台账!$A$5:$Y$1204,24,0),0)&lt;-0.001,"※这个物料账面已经变成负数了，查一下是不是漏记入库","")))))))))))</f>
        <v/>
      </c>
    </row>
    <row r="90">
      <c r="A90" s="24">
        <f>IF($D90="","",COUNTA($D$4:$D90))</f>
        <v/>
      </c>
      <c r="B90" s="17" t="n"/>
      <c r="C90" s="30" t="n"/>
      <c r="D90" s="17" t="n"/>
      <c r="E90" s="24">
        <f>IF($D90="","",IFERROR(VLOOKUP($D90,物料档案!$A$4:$P$1203,3,0),"※编码不在物料档案里"))</f>
        <v/>
      </c>
      <c r="F90" s="24">
        <f>IF($D90="","",IFERROR(VLOOKUP($D90,物料档案!$A$4:$P$1203,4,0),"※编码不在物料档案里"))</f>
        <v/>
      </c>
      <c r="G90" s="24">
        <f>IF($D90="","",IFERROR(VLOOKUP($D90,物料档案!$A$4:$P$1203,5,0),"※编码不在物料档案里"))</f>
        <v/>
      </c>
      <c r="H90" s="24">
        <f>IF($D90="","",IFERROR(VLOOKUP($D90,物料档案!$A$4:$P$1203,2,0),"※编码不在物料档案里"))</f>
        <v/>
      </c>
      <c r="I90" s="24">
        <f>IF($D90="","",IFERROR(VLOOKUP($D90,物料档案!$A$4:$P$1203,6,0),"※编码不在物料档案里"))</f>
        <v/>
      </c>
      <c r="J90" s="23" t="n"/>
      <c r="K90" s="17" t="n"/>
      <c r="L90" s="17" t="n"/>
      <c r="M90" s="17" t="n"/>
      <c r="N90" s="17" t="n"/>
      <c r="O90" s="26">
        <f>IF($D90="","",IFERROR(VLOOKUP($D90,物料档案!$A$4:$P$1203,10,0),0))</f>
        <v/>
      </c>
      <c r="P90" s="32" t="n"/>
      <c r="Q90" s="26">
        <f>IF($D90="","",IF($K90&lt;&gt;"对外销售",0,ROUND(N($J90)*IF($P90="",N($O90),N($P90)),0)))</f>
        <v/>
      </c>
      <c r="R90" s="26">
        <f>IF($D90="","",IFERROR(VLOOKUP($D90,库存台账!$A$5:$Y$1204,11,0),0))</f>
        <v/>
      </c>
      <c r="S90" s="26">
        <f>IF($D90="","",ROUND(N($J90)*N($R90),0))</f>
        <v/>
      </c>
      <c r="T90" s="26">
        <f>IF($D90="","",IF($K90&lt;&gt;"对外销售","",ROUND($Q90-$S90,0)))</f>
        <v/>
      </c>
      <c r="U90" s="17" t="n"/>
      <c r="V90" s="17" t="n"/>
      <c r="W90" s="24">
        <f>IF($D90="","",IF($E90="※编码不在物料档案里","※物料编码不在档案里",IF(N($J90)&lt;=0,"※出库数量要大于 0",IF($K90="","※没填去向类型",IF($L90="","※没填去向矿区",IF(AND($C90&lt;&gt;"",$C90&lt;=结账锁),"※日期早于已结账截止日，不能再录",IF(AND($K90="自用消耗",COUNTIF({"一矿区";"二矿区"},$L90)=0),"※自用消耗的去向只能是一矿区或二矿区",IF(AND($K90="对外销售",COUNTIF({"三矿区";"六矿区"},$L90)=0),"※对外销售的去向只能是三矿区或六矿区",IF(AND($K90="对外销售",ROUND($Q90,0)=0),"※外销却没有售价，请填实际售价",IF(AND($K90="对外销售",$T90&lt;&gt;"",$T90&lt;0),"※这一笔外销是亏的，请核对售价",IF(IFERROR(VLOOKUP($D90,库存台账!$A$5:$Y$1204,24,0),0)&lt;-0.001,"※这个物料账面已经变成负数了，查一下是不是漏记入库","")))))))))))</f>
        <v/>
      </c>
    </row>
    <row r="91">
      <c r="A91" s="24">
        <f>IF($D91="","",COUNTA($D$4:$D91))</f>
        <v/>
      </c>
      <c r="B91" s="17" t="n"/>
      <c r="C91" s="30" t="n"/>
      <c r="D91" s="17" t="n"/>
      <c r="E91" s="24">
        <f>IF($D91="","",IFERROR(VLOOKUP($D91,物料档案!$A$4:$P$1203,3,0),"※编码不在物料档案里"))</f>
        <v/>
      </c>
      <c r="F91" s="24">
        <f>IF($D91="","",IFERROR(VLOOKUP($D91,物料档案!$A$4:$P$1203,4,0),"※编码不在物料档案里"))</f>
        <v/>
      </c>
      <c r="G91" s="24">
        <f>IF($D91="","",IFERROR(VLOOKUP($D91,物料档案!$A$4:$P$1203,5,0),"※编码不在物料档案里"))</f>
        <v/>
      </c>
      <c r="H91" s="24">
        <f>IF($D91="","",IFERROR(VLOOKUP($D91,物料档案!$A$4:$P$1203,2,0),"※编码不在物料档案里"))</f>
        <v/>
      </c>
      <c r="I91" s="24">
        <f>IF($D91="","",IFERROR(VLOOKUP($D91,物料档案!$A$4:$P$1203,6,0),"※编码不在物料档案里"))</f>
        <v/>
      </c>
      <c r="J91" s="23" t="n"/>
      <c r="K91" s="17" t="n"/>
      <c r="L91" s="17" t="n"/>
      <c r="M91" s="17" t="n"/>
      <c r="N91" s="17" t="n"/>
      <c r="O91" s="26">
        <f>IF($D91="","",IFERROR(VLOOKUP($D91,物料档案!$A$4:$P$1203,10,0),0))</f>
        <v/>
      </c>
      <c r="P91" s="32" t="n"/>
      <c r="Q91" s="26">
        <f>IF($D91="","",IF($K91&lt;&gt;"对外销售",0,ROUND(N($J91)*IF($P91="",N($O91),N($P91)),0)))</f>
        <v/>
      </c>
      <c r="R91" s="26">
        <f>IF($D91="","",IFERROR(VLOOKUP($D91,库存台账!$A$5:$Y$1204,11,0),0))</f>
        <v/>
      </c>
      <c r="S91" s="26">
        <f>IF($D91="","",ROUND(N($J91)*N($R91),0))</f>
        <v/>
      </c>
      <c r="T91" s="26">
        <f>IF($D91="","",IF($K91&lt;&gt;"对外销售","",ROUND($Q91-$S91,0)))</f>
        <v/>
      </c>
      <c r="U91" s="17" t="n"/>
      <c r="V91" s="17" t="n"/>
      <c r="W91" s="24">
        <f>IF($D91="","",IF($E91="※编码不在物料档案里","※物料编码不在档案里",IF(N($J91)&lt;=0,"※出库数量要大于 0",IF($K91="","※没填去向类型",IF($L91="","※没填去向矿区",IF(AND($C91&lt;&gt;"",$C91&lt;=结账锁),"※日期早于已结账截止日，不能再录",IF(AND($K91="自用消耗",COUNTIF({"一矿区";"二矿区"},$L91)=0),"※自用消耗的去向只能是一矿区或二矿区",IF(AND($K91="对外销售",COUNTIF({"三矿区";"六矿区"},$L91)=0),"※对外销售的去向只能是三矿区或六矿区",IF(AND($K91="对外销售",ROUND($Q91,0)=0),"※外销却没有售价，请填实际售价",IF(AND($K91="对外销售",$T91&lt;&gt;"",$T91&lt;0),"※这一笔外销是亏的，请核对售价",IF(IFERROR(VLOOKUP($D91,库存台账!$A$5:$Y$1204,24,0),0)&lt;-0.001,"※这个物料账面已经变成负数了，查一下是不是漏记入库","")))))))))))</f>
        <v/>
      </c>
    </row>
    <row r="92">
      <c r="A92" s="24">
        <f>IF($D92="","",COUNTA($D$4:$D92))</f>
        <v/>
      </c>
      <c r="B92" s="17" t="n"/>
      <c r="C92" s="30" t="n"/>
      <c r="D92" s="17" t="n"/>
      <c r="E92" s="24">
        <f>IF($D92="","",IFERROR(VLOOKUP($D92,物料档案!$A$4:$P$1203,3,0),"※编码不在物料档案里"))</f>
        <v/>
      </c>
      <c r="F92" s="24">
        <f>IF($D92="","",IFERROR(VLOOKUP($D92,物料档案!$A$4:$P$1203,4,0),"※编码不在物料档案里"))</f>
        <v/>
      </c>
      <c r="G92" s="24">
        <f>IF($D92="","",IFERROR(VLOOKUP($D92,物料档案!$A$4:$P$1203,5,0),"※编码不在物料档案里"))</f>
        <v/>
      </c>
      <c r="H92" s="24">
        <f>IF($D92="","",IFERROR(VLOOKUP($D92,物料档案!$A$4:$P$1203,2,0),"※编码不在物料档案里"))</f>
        <v/>
      </c>
      <c r="I92" s="24">
        <f>IF($D92="","",IFERROR(VLOOKUP($D92,物料档案!$A$4:$P$1203,6,0),"※编码不在物料档案里"))</f>
        <v/>
      </c>
      <c r="J92" s="23" t="n"/>
      <c r="K92" s="17" t="n"/>
      <c r="L92" s="17" t="n"/>
      <c r="M92" s="17" t="n"/>
      <c r="N92" s="17" t="n"/>
      <c r="O92" s="26">
        <f>IF($D92="","",IFERROR(VLOOKUP($D92,物料档案!$A$4:$P$1203,10,0),0))</f>
        <v/>
      </c>
      <c r="P92" s="32" t="n"/>
      <c r="Q92" s="26">
        <f>IF($D92="","",IF($K92&lt;&gt;"对外销售",0,ROUND(N($J92)*IF($P92="",N($O92),N($P92)),0)))</f>
        <v/>
      </c>
      <c r="R92" s="26">
        <f>IF($D92="","",IFERROR(VLOOKUP($D92,库存台账!$A$5:$Y$1204,11,0),0))</f>
        <v/>
      </c>
      <c r="S92" s="26">
        <f>IF($D92="","",ROUND(N($J92)*N($R92),0))</f>
        <v/>
      </c>
      <c r="T92" s="26">
        <f>IF($D92="","",IF($K92&lt;&gt;"对外销售","",ROUND($Q92-$S92,0)))</f>
        <v/>
      </c>
      <c r="U92" s="17" t="n"/>
      <c r="V92" s="17" t="n"/>
      <c r="W92" s="24">
        <f>IF($D92="","",IF($E92="※编码不在物料档案里","※物料编码不在档案里",IF(N($J92)&lt;=0,"※出库数量要大于 0",IF($K92="","※没填去向类型",IF($L92="","※没填去向矿区",IF(AND($C92&lt;&gt;"",$C92&lt;=结账锁),"※日期早于已结账截止日，不能再录",IF(AND($K92="自用消耗",COUNTIF({"一矿区";"二矿区"},$L92)=0),"※自用消耗的去向只能是一矿区或二矿区",IF(AND($K92="对外销售",COUNTIF({"三矿区";"六矿区"},$L92)=0),"※对外销售的去向只能是三矿区或六矿区",IF(AND($K92="对外销售",ROUND($Q92,0)=0),"※外销却没有售价，请填实际售价",IF(AND($K92="对外销售",$T92&lt;&gt;"",$T92&lt;0),"※这一笔外销是亏的，请核对售价",IF(IFERROR(VLOOKUP($D92,库存台账!$A$5:$Y$1204,24,0),0)&lt;-0.001,"※这个物料账面已经变成负数了，查一下是不是漏记入库","")))))))))))</f>
        <v/>
      </c>
    </row>
    <row r="93">
      <c r="A93" s="24">
        <f>IF($D93="","",COUNTA($D$4:$D93))</f>
        <v/>
      </c>
      <c r="B93" s="17" t="n"/>
      <c r="C93" s="30" t="n"/>
      <c r="D93" s="17" t="n"/>
      <c r="E93" s="24">
        <f>IF($D93="","",IFERROR(VLOOKUP($D93,物料档案!$A$4:$P$1203,3,0),"※编码不在物料档案里"))</f>
        <v/>
      </c>
      <c r="F93" s="24">
        <f>IF($D93="","",IFERROR(VLOOKUP($D93,物料档案!$A$4:$P$1203,4,0),"※编码不在物料档案里"))</f>
        <v/>
      </c>
      <c r="G93" s="24">
        <f>IF($D93="","",IFERROR(VLOOKUP($D93,物料档案!$A$4:$P$1203,5,0),"※编码不在物料档案里"))</f>
        <v/>
      </c>
      <c r="H93" s="24">
        <f>IF($D93="","",IFERROR(VLOOKUP($D93,物料档案!$A$4:$P$1203,2,0),"※编码不在物料档案里"))</f>
        <v/>
      </c>
      <c r="I93" s="24">
        <f>IF($D93="","",IFERROR(VLOOKUP($D93,物料档案!$A$4:$P$1203,6,0),"※编码不在物料档案里"))</f>
        <v/>
      </c>
      <c r="J93" s="23" t="n"/>
      <c r="K93" s="17" t="n"/>
      <c r="L93" s="17" t="n"/>
      <c r="M93" s="17" t="n"/>
      <c r="N93" s="17" t="n"/>
      <c r="O93" s="26">
        <f>IF($D93="","",IFERROR(VLOOKUP($D93,物料档案!$A$4:$P$1203,10,0),0))</f>
        <v/>
      </c>
      <c r="P93" s="32" t="n"/>
      <c r="Q93" s="26">
        <f>IF($D93="","",IF($K93&lt;&gt;"对外销售",0,ROUND(N($J93)*IF($P93="",N($O93),N($P93)),0)))</f>
        <v/>
      </c>
      <c r="R93" s="26">
        <f>IF($D93="","",IFERROR(VLOOKUP($D93,库存台账!$A$5:$Y$1204,11,0),0))</f>
        <v/>
      </c>
      <c r="S93" s="26">
        <f>IF($D93="","",ROUND(N($J93)*N($R93),0))</f>
        <v/>
      </c>
      <c r="T93" s="26">
        <f>IF($D93="","",IF($K93&lt;&gt;"对外销售","",ROUND($Q93-$S93,0)))</f>
        <v/>
      </c>
      <c r="U93" s="17" t="n"/>
      <c r="V93" s="17" t="n"/>
      <c r="W93" s="24">
        <f>IF($D93="","",IF($E93="※编码不在物料档案里","※物料编码不在档案里",IF(N($J93)&lt;=0,"※出库数量要大于 0",IF($K93="","※没填去向类型",IF($L93="","※没填去向矿区",IF(AND($C93&lt;&gt;"",$C93&lt;=结账锁),"※日期早于已结账截止日，不能再录",IF(AND($K93="自用消耗",COUNTIF({"一矿区";"二矿区"},$L93)=0),"※自用消耗的去向只能是一矿区或二矿区",IF(AND($K93="对外销售",COUNTIF({"三矿区";"六矿区"},$L93)=0),"※对外销售的去向只能是三矿区或六矿区",IF(AND($K93="对外销售",ROUND($Q93,0)=0),"※外销却没有售价，请填实际售价",IF(AND($K93="对外销售",$T93&lt;&gt;"",$T93&lt;0),"※这一笔外销是亏的，请核对售价",IF(IFERROR(VLOOKUP($D93,库存台账!$A$5:$Y$1204,24,0),0)&lt;-0.001,"※这个物料账面已经变成负数了，查一下是不是漏记入库","")))))))))))</f>
        <v/>
      </c>
    </row>
    <row r="94">
      <c r="A94" s="24">
        <f>IF($D94="","",COUNTA($D$4:$D94))</f>
        <v/>
      </c>
      <c r="B94" s="17" t="n"/>
      <c r="C94" s="30" t="n"/>
      <c r="D94" s="17" t="n"/>
      <c r="E94" s="24">
        <f>IF($D94="","",IFERROR(VLOOKUP($D94,物料档案!$A$4:$P$1203,3,0),"※编码不在物料档案里"))</f>
        <v/>
      </c>
      <c r="F94" s="24">
        <f>IF($D94="","",IFERROR(VLOOKUP($D94,物料档案!$A$4:$P$1203,4,0),"※编码不在物料档案里"))</f>
        <v/>
      </c>
      <c r="G94" s="24">
        <f>IF($D94="","",IFERROR(VLOOKUP($D94,物料档案!$A$4:$P$1203,5,0),"※编码不在物料档案里"))</f>
        <v/>
      </c>
      <c r="H94" s="24">
        <f>IF($D94="","",IFERROR(VLOOKUP($D94,物料档案!$A$4:$P$1203,2,0),"※编码不在物料档案里"))</f>
        <v/>
      </c>
      <c r="I94" s="24">
        <f>IF($D94="","",IFERROR(VLOOKUP($D94,物料档案!$A$4:$P$1203,6,0),"※编码不在物料档案里"))</f>
        <v/>
      </c>
      <c r="J94" s="23" t="n"/>
      <c r="K94" s="17" t="n"/>
      <c r="L94" s="17" t="n"/>
      <c r="M94" s="17" t="n"/>
      <c r="N94" s="17" t="n"/>
      <c r="O94" s="26">
        <f>IF($D94="","",IFERROR(VLOOKUP($D94,物料档案!$A$4:$P$1203,10,0),0))</f>
        <v/>
      </c>
      <c r="P94" s="32" t="n"/>
      <c r="Q94" s="26">
        <f>IF($D94="","",IF($K94&lt;&gt;"对外销售",0,ROUND(N($J94)*IF($P94="",N($O94),N($P94)),0)))</f>
        <v/>
      </c>
      <c r="R94" s="26">
        <f>IF($D94="","",IFERROR(VLOOKUP($D94,库存台账!$A$5:$Y$1204,11,0),0))</f>
        <v/>
      </c>
      <c r="S94" s="26">
        <f>IF($D94="","",ROUND(N($J94)*N($R94),0))</f>
        <v/>
      </c>
      <c r="T94" s="26">
        <f>IF($D94="","",IF($K94&lt;&gt;"对外销售","",ROUND($Q94-$S94,0)))</f>
        <v/>
      </c>
      <c r="U94" s="17" t="n"/>
      <c r="V94" s="17" t="n"/>
      <c r="W94" s="24">
        <f>IF($D94="","",IF($E94="※编码不在物料档案里","※物料编码不在档案里",IF(N($J94)&lt;=0,"※出库数量要大于 0",IF($K94="","※没填去向类型",IF($L94="","※没填去向矿区",IF(AND($C94&lt;&gt;"",$C94&lt;=结账锁),"※日期早于已结账截止日，不能再录",IF(AND($K94="自用消耗",COUNTIF({"一矿区";"二矿区"},$L94)=0),"※自用消耗的去向只能是一矿区或二矿区",IF(AND($K94="对外销售",COUNTIF({"三矿区";"六矿区"},$L94)=0),"※对外销售的去向只能是三矿区或六矿区",IF(AND($K94="对外销售",ROUND($Q94,0)=0),"※外销却没有售价，请填实际售价",IF(AND($K94="对外销售",$T94&lt;&gt;"",$T94&lt;0),"※这一笔外销是亏的，请核对售价",IF(IFERROR(VLOOKUP($D94,库存台账!$A$5:$Y$1204,24,0),0)&lt;-0.001,"※这个物料账面已经变成负数了，查一下是不是漏记入库","")))))))))))</f>
        <v/>
      </c>
    </row>
    <row r="95">
      <c r="A95" s="24">
        <f>IF($D95="","",COUNTA($D$4:$D95))</f>
        <v/>
      </c>
      <c r="B95" s="17" t="n"/>
      <c r="C95" s="30" t="n"/>
      <c r="D95" s="17" t="n"/>
      <c r="E95" s="24">
        <f>IF($D95="","",IFERROR(VLOOKUP($D95,物料档案!$A$4:$P$1203,3,0),"※编码不在物料档案里"))</f>
        <v/>
      </c>
      <c r="F95" s="24">
        <f>IF($D95="","",IFERROR(VLOOKUP($D95,物料档案!$A$4:$P$1203,4,0),"※编码不在物料档案里"))</f>
        <v/>
      </c>
      <c r="G95" s="24">
        <f>IF($D95="","",IFERROR(VLOOKUP($D95,物料档案!$A$4:$P$1203,5,0),"※编码不在物料档案里"))</f>
        <v/>
      </c>
      <c r="H95" s="24">
        <f>IF($D95="","",IFERROR(VLOOKUP($D95,物料档案!$A$4:$P$1203,2,0),"※编码不在物料档案里"))</f>
        <v/>
      </c>
      <c r="I95" s="24">
        <f>IF($D95="","",IFERROR(VLOOKUP($D95,物料档案!$A$4:$P$1203,6,0),"※编码不在物料档案里"))</f>
        <v/>
      </c>
      <c r="J95" s="23" t="n"/>
      <c r="K95" s="17" t="n"/>
      <c r="L95" s="17" t="n"/>
      <c r="M95" s="17" t="n"/>
      <c r="N95" s="17" t="n"/>
      <c r="O95" s="26">
        <f>IF($D95="","",IFERROR(VLOOKUP($D95,物料档案!$A$4:$P$1203,10,0),0))</f>
        <v/>
      </c>
      <c r="P95" s="32" t="n"/>
      <c r="Q95" s="26">
        <f>IF($D95="","",IF($K95&lt;&gt;"对外销售",0,ROUND(N($J95)*IF($P95="",N($O95),N($P95)),0)))</f>
        <v/>
      </c>
      <c r="R95" s="26">
        <f>IF($D95="","",IFERROR(VLOOKUP($D95,库存台账!$A$5:$Y$1204,11,0),0))</f>
        <v/>
      </c>
      <c r="S95" s="26">
        <f>IF($D95="","",ROUND(N($J95)*N($R95),0))</f>
        <v/>
      </c>
      <c r="T95" s="26">
        <f>IF($D95="","",IF($K95&lt;&gt;"对外销售","",ROUND($Q95-$S95,0)))</f>
        <v/>
      </c>
      <c r="U95" s="17" t="n"/>
      <c r="V95" s="17" t="n"/>
      <c r="W95" s="24">
        <f>IF($D95="","",IF($E95="※编码不在物料档案里","※物料编码不在档案里",IF(N($J95)&lt;=0,"※出库数量要大于 0",IF($K95="","※没填去向类型",IF($L95="","※没填去向矿区",IF(AND($C95&lt;&gt;"",$C95&lt;=结账锁),"※日期早于已结账截止日，不能再录",IF(AND($K95="自用消耗",COUNTIF({"一矿区";"二矿区"},$L95)=0),"※自用消耗的去向只能是一矿区或二矿区",IF(AND($K95="对外销售",COUNTIF({"三矿区";"六矿区"},$L95)=0),"※对外销售的去向只能是三矿区或六矿区",IF(AND($K95="对外销售",ROUND($Q95,0)=0),"※外销却没有售价，请填实际售价",IF(AND($K95="对外销售",$T95&lt;&gt;"",$T95&lt;0),"※这一笔外销是亏的，请核对售价",IF(IFERROR(VLOOKUP($D95,库存台账!$A$5:$Y$1204,24,0),0)&lt;-0.001,"※这个物料账面已经变成负数了，查一下是不是漏记入库","")))))))))))</f>
        <v/>
      </c>
    </row>
    <row r="96">
      <c r="A96" s="24">
        <f>IF($D96="","",COUNTA($D$4:$D96))</f>
        <v/>
      </c>
      <c r="B96" s="17" t="n"/>
      <c r="C96" s="30" t="n"/>
      <c r="D96" s="17" t="n"/>
      <c r="E96" s="24">
        <f>IF($D96="","",IFERROR(VLOOKUP($D96,物料档案!$A$4:$P$1203,3,0),"※编码不在物料档案里"))</f>
        <v/>
      </c>
      <c r="F96" s="24">
        <f>IF($D96="","",IFERROR(VLOOKUP($D96,物料档案!$A$4:$P$1203,4,0),"※编码不在物料档案里"))</f>
        <v/>
      </c>
      <c r="G96" s="24">
        <f>IF($D96="","",IFERROR(VLOOKUP($D96,物料档案!$A$4:$P$1203,5,0),"※编码不在物料档案里"))</f>
        <v/>
      </c>
      <c r="H96" s="24">
        <f>IF($D96="","",IFERROR(VLOOKUP($D96,物料档案!$A$4:$P$1203,2,0),"※编码不在物料档案里"))</f>
        <v/>
      </c>
      <c r="I96" s="24">
        <f>IF($D96="","",IFERROR(VLOOKUP($D96,物料档案!$A$4:$P$1203,6,0),"※编码不在物料档案里"))</f>
        <v/>
      </c>
      <c r="J96" s="23" t="n"/>
      <c r="K96" s="17" t="n"/>
      <c r="L96" s="17" t="n"/>
      <c r="M96" s="17" t="n"/>
      <c r="N96" s="17" t="n"/>
      <c r="O96" s="26">
        <f>IF($D96="","",IFERROR(VLOOKUP($D96,物料档案!$A$4:$P$1203,10,0),0))</f>
        <v/>
      </c>
      <c r="P96" s="32" t="n"/>
      <c r="Q96" s="26">
        <f>IF($D96="","",IF($K96&lt;&gt;"对外销售",0,ROUND(N($J96)*IF($P96="",N($O96),N($P96)),0)))</f>
        <v/>
      </c>
      <c r="R96" s="26">
        <f>IF($D96="","",IFERROR(VLOOKUP($D96,库存台账!$A$5:$Y$1204,11,0),0))</f>
        <v/>
      </c>
      <c r="S96" s="26">
        <f>IF($D96="","",ROUND(N($J96)*N($R96),0))</f>
        <v/>
      </c>
      <c r="T96" s="26">
        <f>IF($D96="","",IF($K96&lt;&gt;"对外销售","",ROUND($Q96-$S96,0)))</f>
        <v/>
      </c>
      <c r="U96" s="17" t="n"/>
      <c r="V96" s="17" t="n"/>
      <c r="W96" s="24">
        <f>IF($D96="","",IF($E96="※编码不在物料档案里","※物料编码不在档案里",IF(N($J96)&lt;=0,"※出库数量要大于 0",IF($K96="","※没填去向类型",IF($L96="","※没填去向矿区",IF(AND($C96&lt;&gt;"",$C96&lt;=结账锁),"※日期早于已结账截止日，不能再录",IF(AND($K96="自用消耗",COUNTIF({"一矿区";"二矿区"},$L96)=0),"※自用消耗的去向只能是一矿区或二矿区",IF(AND($K96="对外销售",COUNTIF({"三矿区";"六矿区"},$L96)=0),"※对外销售的去向只能是三矿区或六矿区",IF(AND($K96="对外销售",ROUND($Q96,0)=0),"※外销却没有售价，请填实际售价",IF(AND($K96="对外销售",$T96&lt;&gt;"",$T96&lt;0),"※这一笔外销是亏的，请核对售价",IF(IFERROR(VLOOKUP($D96,库存台账!$A$5:$Y$1204,24,0),0)&lt;-0.001,"※这个物料账面已经变成负数了，查一下是不是漏记入库","")))))))))))</f>
        <v/>
      </c>
    </row>
    <row r="97">
      <c r="A97" s="24">
        <f>IF($D97="","",COUNTA($D$4:$D97))</f>
        <v/>
      </c>
      <c r="B97" s="17" t="n"/>
      <c r="C97" s="30" t="n"/>
      <c r="D97" s="17" t="n"/>
      <c r="E97" s="24">
        <f>IF($D97="","",IFERROR(VLOOKUP($D97,物料档案!$A$4:$P$1203,3,0),"※编码不在物料档案里"))</f>
        <v/>
      </c>
      <c r="F97" s="24">
        <f>IF($D97="","",IFERROR(VLOOKUP($D97,物料档案!$A$4:$P$1203,4,0),"※编码不在物料档案里"))</f>
        <v/>
      </c>
      <c r="G97" s="24">
        <f>IF($D97="","",IFERROR(VLOOKUP($D97,物料档案!$A$4:$P$1203,5,0),"※编码不在物料档案里"))</f>
        <v/>
      </c>
      <c r="H97" s="24">
        <f>IF($D97="","",IFERROR(VLOOKUP($D97,物料档案!$A$4:$P$1203,2,0),"※编码不在物料档案里"))</f>
        <v/>
      </c>
      <c r="I97" s="24">
        <f>IF($D97="","",IFERROR(VLOOKUP($D97,物料档案!$A$4:$P$1203,6,0),"※编码不在物料档案里"))</f>
        <v/>
      </c>
      <c r="J97" s="23" t="n"/>
      <c r="K97" s="17" t="n"/>
      <c r="L97" s="17" t="n"/>
      <c r="M97" s="17" t="n"/>
      <c r="N97" s="17" t="n"/>
      <c r="O97" s="26">
        <f>IF($D97="","",IFERROR(VLOOKUP($D97,物料档案!$A$4:$P$1203,10,0),0))</f>
        <v/>
      </c>
      <c r="P97" s="32" t="n"/>
      <c r="Q97" s="26">
        <f>IF($D97="","",IF($K97&lt;&gt;"对外销售",0,ROUND(N($J97)*IF($P97="",N($O97),N($P97)),0)))</f>
        <v/>
      </c>
      <c r="R97" s="26">
        <f>IF($D97="","",IFERROR(VLOOKUP($D97,库存台账!$A$5:$Y$1204,11,0),0))</f>
        <v/>
      </c>
      <c r="S97" s="26">
        <f>IF($D97="","",ROUND(N($J97)*N($R97),0))</f>
        <v/>
      </c>
      <c r="T97" s="26">
        <f>IF($D97="","",IF($K97&lt;&gt;"对外销售","",ROUND($Q97-$S97,0)))</f>
        <v/>
      </c>
      <c r="U97" s="17" t="n"/>
      <c r="V97" s="17" t="n"/>
      <c r="W97" s="24">
        <f>IF($D97="","",IF($E97="※编码不在物料档案里","※物料编码不在档案里",IF(N($J97)&lt;=0,"※出库数量要大于 0",IF($K97="","※没填去向类型",IF($L97="","※没填去向矿区",IF(AND($C97&lt;&gt;"",$C97&lt;=结账锁),"※日期早于已结账截止日，不能再录",IF(AND($K97="自用消耗",COUNTIF({"一矿区";"二矿区"},$L97)=0),"※自用消耗的去向只能是一矿区或二矿区",IF(AND($K97="对外销售",COUNTIF({"三矿区";"六矿区"},$L97)=0),"※对外销售的去向只能是三矿区或六矿区",IF(AND($K97="对外销售",ROUND($Q97,0)=0),"※外销却没有售价，请填实际售价",IF(AND($K97="对外销售",$T97&lt;&gt;"",$T97&lt;0),"※这一笔外销是亏的，请核对售价",IF(IFERROR(VLOOKUP($D97,库存台账!$A$5:$Y$1204,24,0),0)&lt;-0.001,"※这个物料账面已经变成负数了，查一下是不是漏记入库","")))))))))))</f>
        <v/>
      </c>
    </row>
    <row r="98">
      <c r="A98" s="24">
        <f>IF($D98="","",COUNTA($D$4:$D98))</f>
        <v/>
      </c>
      <c r="B98" s="17" t="n"/>
      <c r="C98" s="30" t="n"/>
      <c r="D98" s="17" t="n"/>
      <c r="E98" s="24">
        <f>IF($D98="","",IFERROR(VLOOKUP($D98,物料档案!$A$4:$P$1203,3,0),"※编码不在物料档案里"))</f>
        <v/>
      </c>
      <c r="F98" s="24">
        <f>IF($D98="","",IFERROR(VLOOKUP($D98,物料档案!$A$4:$P$1203,4,0),"※编码不在物料档案里"))</f>
        <v/>
      </c>
      <c r="G98" s="24">
        <f>IF($D98="","",IFERROR(VLOOKUP($D98,物料档案!$A$4:$P$1203,5,0),"※编码不在物料档案里"))</f>
        <v/>
      </c>
      <c r="H98" s="24">
        <f>IF($D98="","",IFERROR(VLOOKUP($D98,物料档案!$A$4:$P$1203,2,0),"※编码不在物料档案里"))</f>
        <v/>
      </c>
      <c r="I98" s="24">
        <f>IF($D98="","",IFERROR(VLOOKUP($D98,物料档案!$A$4:$P$1203,6,0),"※编码不在物料档案里"))</f>
        <v/>
      </c>
      <c r="J98" s="23" t="n"/>
      <c r="K98" s="17" t="n"/>
      <c r="L98" s="17" t="n"/>
      <c r="M98" s="17" t="n"/>
      <c r="N98" s="17" t="n"/>
      <c r="O98" s="26">
        <f>IF($D98="","",IFERROR(VLOOKUP($D98,物料档案!$A$4:$P$1203,10,0),0))</f>
        <v/>
      </c>
      <c r="P98" s="32" t="n"/>
      <c r="Q98" s="26">
        <f>IF($D98="","",IF($K98&lt;&gt;"对外销售",0,ROUND(N($J98)*IF($P98="",N($O98),N($P98)),0)))</f>
        <v/>
      </c>
      <c r="R98" s="26">
        <f>IF($D98="","",IFERROR(VLOOKUP($D98,库存台账!$A$5:$Y$1204,11,0),0))</f>
        <v/>
      </c>
      <c r="S98" s="26">
        <f>IF($D98="","",ROUND(N($J98)*N($R98),0))</f>
        <v/>
      </c>
      <c r="T98" s="26">
        <f>IF($D98="","",IF($K98&lt;&gt;"对外销售","",ROUND($Q98-$S98,0)))</f>
        <v/>
      </c>
      <c r="U98" s="17" t="n"/>
      <c r="V98" s="17" t="n"/>
      <c r="W98" s="24">
        <f>IF($D98="","",IF($E98="※编码不在物料档案里","※物料编码不在档案里",IF(N($J98)&lt;=0,"※出库数量要大于 0",IF($K98="","※没填去向类型",IF($L98="","※没填去向矿区",IF(AND($C98&lt;&gt;"",$C98&lt;=结账锁),"※日期早于已结账截止日，不能再录",IF(AND($K98="自用消耗",COUNTIF({"一矿区";"二矿区"},$L98)=0),"※自用消耗的去向只能是一矿区或二矿区",IF(AND($K98="对外销售",COUNTIF({"三矿区";"六矿区"},$L98)=0),"※对外销售的去向只能是三矿区或六矿区",IF(AND($K98="对外销售",ROUND($Q98,0)=0),"※外销却没有售价，请填实际售价",IF(AND($K98="对外销售",$T98&lt;&gt;"",$T98&lt;0),"※这一笔外销是亏的，请核对售价",IF(IFERROR(VLOOKUP($D98,库存台账!$A$5:$Y$1204,24,0),0)&lt;-0.001,"※这个物料账面已经变成负数了，查一下是不是漏记入库","")))))))))))</f>
        <v/>
      </c>
    </row>
    <row r="99">
      <c r="A99" s="24">
        <f>IF($D99="","",COUNTA($D$4:$D99))</f>
        <v/>
      </c>
      <c r="B99" s="17" t="n"/>
      <c r="C99" s="30" t="n"/>
      <c r="D99" s="17" t="n"/>
      <c r="E99" s="24">
        <f>IF($D99="","",IFERROR(VLOOKUP($D99,物料档案!$A$4:$P$1203,3,0),"※编码不在物料档案里"))</f>
        <v/>
      </c>
      <c r="F99" s="24">
        <f>IF($D99="","",IFERROR(VLOOKUP($D99,物料档案!$A$4:$P$1203,4,0),"※编码不在物料档案里"))</f>
        <v/>
      </c>
      <c r="G99" s="24">
        <f>IF($D99="","",IFERROR(VLOOKUP($D99,物料档案!$A$4:$P$1203,5,0),"※编码不在物料档案里"))</f>
        <v/>
      </c>
      <c r="H99" s="24">
        <f>IF($D99="","",IFERROR(VLOOKUP($D99,物料档案!$A$4:$P$1203,2,0),"※编码不在物料档案里"))</f>
        <v/>
      </c>
      <c r="I99" s="24">
        <f>IF($D99="","",IFERROR(VLOOKUP($D99,物料档案!$A$4:$P$1203,6,0),"※编码不在物料档案里"))</f>
        <v/>
      </c>
      <c r="J99" s="23" t="n"/>
      <c r="K99" s="17" t="n"/>
      <c r="L99" s="17" t="n"/>
      <c r="M99" s="17" t="n"/>
      <c r="N99" s="17" t="n"/>
      <c r="O99" s="26">
        <f>IF($D99="","",IFERROR(VLOOKUP($D99,物料档案!$A$4:$P$1203,10,0),0))</f>
        <v/>
      </c>
      <c r="P99" s="32" t="n"/>
      <c r="Q99" s="26">
        <f>IF($D99="","",IF($K99&lt;&gt;"对外销售",0,ROUND(N($J99)*IF($P99="",N($O99),N($P99)),0)))</f>
        <v/>
      </c>
      <c r="R99" s="26">
        <f>IF($D99="","",IFERROR(VLOOKUP($D99,库存台账!$A$5:$Y$1204,11,0),0))</f>
        <v/>
      </c>
      <c r="S99" s="26">
        <f>IF($D99="","",ROUND(N($J99)*N($R99),0))</f>
        <v/>
      </c>
      <c r="T99" s="26">
        <f>IF($D99="","",IF($K99&lt;&gt;"对外销售","",ROUND($Q99-$S99,0)))</f>
        <v/>
      </c>
      <c r="U99" s="17" t="n"/>
      <c r="V99" s="17" t="n"/>
      <c r="W99" s="24">
        <f>IF($D99="","",IF($E99="※编码不在物料档案里","※物料编码不在档案里",IF(N($J99)&lt;=0,"※出库数量要大于 0",IF($K99="","※没填去向类型",IF($L99="","※没填去向矿区",IF(AND($C99&lt;&gt;"",$C99&lt;=结账锁),"※日期早于已结账截止日，不能再录",IF(AND($K99="自用消耗",COUNTIF({"一矿区";"二矿区"},$L99)=0),"※自用消耗的去向只能是一矿区或二矿区",IF(AND($K99="对外销售",COUNTIF({"三矿区";"六矿区"},$L99)=0),"※对外销售的去向只能是三矿区或六矿区",IF(AND($K99="对外销售",ROUND($Q99,0)=0),"※外销却没有售价，请填实际售价",IF(AND($K99="对外销售",$T99&lt;&gt;"",$T99&lt;0),"※这一笔外销是亏的，请核对售价",IF(IFERROR(VLOOKUP($D99,库存台账!$A$5:$Y$1204,24,0),0)&lt;-0.001,"※这个物料账面已经变成负数了，查一下是不是漏记入库","")))))))))))</f>
        <v/>
      </c>
    </row>
    <row r="100">
      <c r="A100" s="24">
        <f>IF($D100="","",COUNTA($D$4:$D100))</f>
        <v/>
      </c>
      <c r="B100" s="17" t="n"/>
      <c r="C100" s="30" t="n"/>
      <c r="D100" s="17" t="n"/>
      <c r="E100" s="24">
        <f>IF($D100="","",IFERROR(VLOOKUP($D100,物料档案!$A$4:$P$1203,3,0),"※编码不在物料档案里"))</f>
        <v/>
      </c>
      <c r="F100" s="24">
        <f>IF($D100="","",IFERROR(VLOOKUP($D100,物料档案!$A$4:$P$1203,4,0),"※编码不在物料档案里"))</f>
        <v/>
      </c>
      <c r="G100" s="24">
        <f>IF($D100="","",IFERROR(VLOOKUP($D100,物料档案!$A$4:$P$1203,5,0),"※编码不在物料档案里"))</f>
        <v/>
      </c>
      <c r="H100" s="24">
        <f>IF($D100="","",IFERROR(VLOOKUP($D100,物料档案!$A$4:$P$1203,2,0),"※编码不在物料档案里"))</f>
        <v/>
      </c>
      <c r="I100" s="24">
        <f>IF($D100="","",IFERROR(VLOOKUP($D100,物料档案!$A$4:$P$1203,6,0),"※编码不在物料档案里"))</f>
        <v/>
      </c>
      <c r="J100" s="23" t="n"/>
      <c r="K100" s="17" t="n"/>
      <c r="L100" s="17" t="n"/>
      <c r="M100" s="17" t="n"/>
      <c r="N100" s="17" t="n"/>
      <c r="O100" s="26">
        <f>IF($D100="","",IFERROR(VLOOKUP($D100,物料档案!$A$4:$P$1203,10,0),0))</f>
        <v/>
      </c>
      <c r="P100" s="32" t="n"/>
      <c r="Q100" s="26">
        <f>IF($D100="","",IF($K100&lt;&gt;"对外销售",0,ROUND(N($J100)*IF($P100="",N($O100),N($P100)),0)))</f>
        <v/>
      </c>
      <c r="R100" s="26">
        <f>IF($D100="","",IFERROR(VLOOKUP($D100,库存台账!$A$5:$Y$1204,11,0),0))</f>
        <v/>
      </c>
      <c r="S100" s="26">
        <f>IF($D100="","",ROUND(N($J100)*N($R100),0))</f>
        <v/>
      </c>
      <c r="T100" s="26">
        <f>IF($D100="","",IF($K100&lt;&gt;"对外销售","",ROUND($Q100-$S100,0)))</f>
        <v/>
      </c>
      <c r="U100" s="17" t="n"/>
      <c r="V100" s="17" t="n"/>
      <c r="W100" s="24">
        <f>IF($D100="","",IF($E100="※编码不在物料档案里","※物料编码不在档案里",IF(N($J100)&lt;=0,"※出库数量要大于 0",IF($K100="","※没填去向类型",IF($L100="","※没填去向矿区",IF(AND($C100&lt;&gt;"",$C100&lt;=结账锁),"※日期早于已结账截止日，不能再录",IF(AND($K100="自用消耗",COUNTIF({"一矿区";"二矿区"},$L100)=0),"※自用消耗的去向只能是一矿区或二矿区",IF(AND($K100="对外销售",COUNTIF({"三矿区";"六矿区"},$L100)=0),"※对外销售的去向只能是三矿区或六矿区",IF(AND($K100="对外销售",ROUND($Q100,0)=0),"※外销却没有售价，请填实际售价",IF(AND($K100="对外销售",$T100&lt;&gt;"",$T100&lt;0),"※这一笔外销是亏的，请核对售价",IF(IFERROR(VLOOKUP($D100,库存台账!$A$5:$Y$1204,24,0),0)&lt;-0.001,"※这个物料账面已经变成负数了，查一下是不是漏记入库","")))))))))))</f>
        <v/>
      </c>
    </row>
    <row r="101">
      <c r="A101" s="24">
        <f>IF($D101="","",COUNTA($D$4:$D101))</f>
        <v/>
      </c>
      <c r="B101" s="17" t="n"/>
      <c r="C101" s="30" t="n"/>
      <c r="D101" s="17" t="n"/>
      <c r="E101" s="24">
        <f>IF($D101="","",IFERROR(VLOOKUP($D101,物料档案!$A$4:$P$1203,3,0),"※编码不在物料档案里"))</f>
        <v/>
      </c>
      <c r="F101" s="24">
        <f>IF($D101="","",IFERROR(VLOOKUP($D101,物料档案!$A$4:$P$1203,4,0),"※编码不在物料档案里"))</f>
        <v/>
      </c>
      <c r="G101" s="24">
        <f>IF($D101="","",IFERROR(VLOOKUP($D101,物料档案!$A$4:$P$1203,5,0),"※编码不在物料档案里"))</f>
        <v/>
      </c>
      <c r="H101" s="24">
        <f>IF($D101="","",IFERROR(VLOOKUP($D101,物料档案!$A$4:$P$1203,2,0),"※编码不在物料档案里"))</f>
        <v/>
      </c>
      <c r="I101" s="24">
        <f>IF($D101="","",IFERROR(VLOOKUP($D101,物料档案!$A$4:$P$1203,6,0),"※编码不在物料档案里"))</f>
        <v/>
      </c>
      <c r="J101" s="23" t="n"/>
      <c r="K101" s="17" t="n"/>
      <c r="L101" s="17" t="n"/>
      <c r="M101" s="17" t="n"/>
      <c r="N101" s="17" t="n"/>
      <c r="O101" s="26">
        <f>IF($D101="","",IFERROR(VLOOKUP($D101,物料档案!$A$4:$P$1203,10,0),0))</f>
        <v/>
      </c>
      <c r="P101" s="32" t="n"/>
      <c r="Q101" s="26">
        <f>IF($D101="","",IF($K101&lt;&gt;"对外销售",0,ROUND(N($J101)*IF($P101="",N($O101),N($P101)),0)))</f>
        <v/>
      </c>
      <c r="R101" s="26">
        <f>IF($D101="","",IFERROR(VLOOKUP($D101,库存台账!$A$5:$Y$1204,11,0),0))</f>
        <v/>
      </c>
      <c r="S101" s="26">
        <f>IF($D101="","",ROUND(N($J101)*N($R101),0))</f>
        <v/>
      </c>
      <c r="T101" s="26">
        <f>IF($D101="","",IF($K101&lt;&gt;"对外销售","",ROUND($Q101-$S101,0)))</f>
        <v/>
      </c>
      <c r="U101" s="17" t="n"/>
      <c r="V101" s="17" t="n"/>
      <c r="W101" s="24">
        <f>IF($D101="","",IF($E101="※编码不在物料档案里","※物料编码不在档案里",IF(N($J101)&lt;=0,"※出库数量要大于 0",IF($K101="","※没填去向类型",IF($L101="","※没填去向矿区",IF(AND($C101&lt;&gt;"",$C101&lt;=结账锁),"※日期早于已结账截止日，不能再录",IF(AND($K101="自用消耗",COUNTIF({"一矿区";"二矿区"},$L101)=0),"※自用消耗的去向只能是一矿区或二矿区",IF(AND($K101="对外销售",COUNTIF({"三矿区";"六矿区"},$L101)=0),"※对外销售的去向只能是三矿区或六矿区",IF(AND($K101="对外销售",ROUND($Q101,0)=0),"※外销却没有售价，请填实际售价",IF(AND($K101="对外销售",$T101&lt;&gt;"",$T101&lt;0),"※这一笔外销是亏的，请核对售价",IF(IFERROR(VLOOKUP($D101,库存台账!$A$5:$Y$1204,24,0),0)&lt;-0.001,"※这个物料账面已经变成负数了，查一下是不是漏记入库","")))))))))))</f>
        <v/>
      </c>
    </row>
    <row r="102">
      <c r="A102" s="24">
        <f>IF($D102="","",COUNTA($D$4:$D102))</f>
        <v/>
      </c>
      <c r="B102" s="17" t="n"/>
      <c r="C102" s="30" t="n"/>
      <c r="D102" s="17" t="n"/>
      <c r="E102" s="24">
        <f>IF($D102="","",IFERROR(VLOOKUP($D102,物料档案!$A$4:$P$1203,3,0),"※编码不在物料档案里"))</f>
        <v/>
      </c>
      <c r="F102" s="24">
        <f>IF($D102="","",IFERROR(VLOOKUP($D102,物料档案!$A$4:$P$1203,4,0),"※编码不在物料档案里"))</f>
        <v/>
      </c>
      <c r="G102" s="24">
        <f>IF($D102="","",IFERROR(VLOOKUP($D102,物料档案!$A$4:$P$1203,5,0),"※编码不在物料档案里"))</f>
        <v/>
      </c>
      <c r="H102" s="24">
        <f>IF($D102="","",IFERROR(VLOOKUP($D102,物料档案!$A$4:$P$1203,2,0),"※编码不在物料档案里"))</f>
        <v/>
      </c>
      <c r="I102" s="24">
        <f>IF($D102="","",IFERROR(VLOOKUP($D102,物料档案!$A$4:$P$1203,6,0),"※编码不在物料档案里"))</f>
        <v/>
      </c>
      <c r="J102" s="23" t="n"/>
      <c r="K102" s="17" t="n"/>
      <c r="L102" s="17" t="n"/>
      <c r="M102" s="17" t="n"/>
      <c r="N102" s="17" t="n"/>
      <c r="O102" s="26">
        <f>IF($D102="","",IFERROR(VLOOKUP($D102,物料档案!$A$4:$P$1203,10,0),0))</f>
        <v/>
      </c>
      <c r="P102" s="32" t="n"/>
      <c r="Q102" s="26">
        <f>IF($D102="","",IF($K102&lt;&gt;"对外销售",0,ROUND(N($J102)*IF($P102="",N($O102),N($P102)),0)))</f>
        <v/>
      </c>
      <c r="R102" s="26">
        <f>IF($D102="","",IFERROR(VLOOKUP($D102,库存台账!$A$5:$Y$1204,11,0),0))</f>
        <v/>
      </c>
      <c r="S102" s="26">
        <f>IF($D102="","",ROUND(N($J102)*N($R102),0))</f>
        <v/>
      </c>
      <c r="T102" s="26">
        <f>IF($D102="","",IF($K102&lt;&gt;"对外销售","",ROUND($Q102-$S102,0)))</f>
        <v/>
      </c>
      <c r="U102" s="17" t="n"/>
      <c r="V102" s="17" t="n"/>
      <c r="W102" s="24">
        <f>IF($D102="","",IF($E102="※编码不在物料档案里","※物料编码不在档案里",IF(N($J102)&lt;=0,"※出库数量要大于 0",IF($K102="","※没填去向类型",IF($L102="","※没填去向矿区",IF(AND($C102&lt;&gt;"",$C102&lt;=结账锁),"※日期早于已结账截止日，不能再录",IF(AND($K102="自用消耗",COUNTIF({"一矿区";"二矿区"},$L102)=0),"※自用消耗的去向只能是一矿区或二矿区",IF(AND($K102="对外销售",COUNTIF({"三矿区";"六矿区"},$L102)=0),"※对外销售的去向只能是三矿区或六矿区",IF(AND($K102="对外销售",ROUND($Q102,0)=0),"※外销却没有售价，请填实际售价",IF(AND($K102="对外销售",$T102&lt;&gt;"",$T102&lt;0),"※这一笔外销是亏的，请核对售价",IF(IFERROR(VLOOKUP($D102,库存台账!$A$5:$Y$1204,24,0),0)&lt;-0.001,"※这个物料账面已经变成负数了，查一下是不是漏记入库","")))))))))))</f>
        <v/>
      </c>
    </row>
    <row r="103">
      <c r="A103" s="24">
        <f>IF($D103="","",COUNTA($D$4:$D103))</f>
        <v/>
      </c>
      <c r="B103" s="17" t="n"/>
      <c r="C103" s="30" t="n"/>
      <c r="D103" s="17" t="n"/>
      <c r="E103" s="24">
        <f>IF($D103="","",IFERROR(VLOOKUP($D103,物料档案!$A$4:$P$1203,3,0),"※编码不在物料档案里"))</f>
        <v/>
      </c>
      <c r="F103" s="24">
        <f>IF($D103="","",IFERROR(VLOOKUP($D103,物料档案!$A$4:$P$1203,4,0),"※编码不在物料档案里"))</f>
        <v/>
      </c>
      <c r="G103" s="24">
        <f>IF($D103="","",IFERROR(VLOOKUP($D103,物料档案!$A$4:$P$1203,5,0),"※编码不在物料档案里"))</f>
        <v/>
      </c>
      <c r="H103" s="24">
        <f>IF($D103="","",IFERROR(VLOOKUP($D103,物料档案!$A$4:$P$1203,2,0),"※编码不在物料档案里"))</f>
        <v/>
      </c>
      <c r="I103" s="24">
        <f>IF($D103="","",IFERROR(VLOOKUP($D103,物料档案!$A$4:$P$1203,6,0),"※编码不在物料档案里"))</f>
        <v/>
      </c>
      <c r="J103" s="23" t="n"/>
      <c r="K103" s="17" t="n"/>
      <c r="L103" s="17" t="n"/>
      <c r="M103" s="17" t="n"/>
      <c r="N103" s="17" t="n"/>
      <c r="O103" s="26">
        <f>IF($D103="","",IFERROR(VLOOKUP($D103,物料档案!$A$4:$P$1203,10,0),0))</f>
        <v/>
      </c>
      <c r="P103" s="32" t="n"/>
      <c r="Q103" s="26">
        <f>IF($D103="","",IF($K103&lt;&gt;"对外销售",0,ROUND(N($J103)*IF($P103="",N($O103),N($P103)),0)))</f>
        <v/>
      </c>
      <c r="R103" s="26">
        <f>IF($D103="","",IFERROR(VLOOKUP($D103,库存台账!$A$5:$Y$1204,11,0),0))</f>
        <v/>
      </c>
      <c r="S103" s="26">
        <f>IF($D103="","",ROUND(N($J103)*N($R103),0))</f>
        <v/>
      </c>
      <c r="T103" s="26">
        <f>IF($D103="","",IF($K103&lt;&gt;"对外销售","",ROUND($Q103-$S103,0)))</f>
        <v/>
      </c>
      <c r="U103" s="17" t="n"/>
      <c r="V103" s="17" t="n"/>
      <c r="W103" s="24">
        <f>IF($D103="","",IF($E103="※编码不在物料档案里","※物料编码不在档案里",IF(N($J103)&lt;=0,"※出库数量要大于 0",IF($K103="","※没填去向类型",IF($L103="","※没填去向矿区",IF(AND($C103&lt;&gt;"",$C103&lt;=结账锁),"※日期早于已结账截止日，不能再录",IF(AND($K103="自用消耗",COUNTIF({"一矿区";"二矿区"},$L103)=0),"※自用消耗的去向只能是一矿区或二矿区",IF(AND($K103="对外销售",COUNTIF({"三矿区";"六矿区"},$L103)=0),"※对外销售的去向只能是三矿区或六矿区",IF(AND($K103="对外销售",ROUND($Q103,0)=0),"※外销却没有售价，请填实际售价",IF(AND($K103="对外销售",$T103&lt;&gt;"",$T103&lt;0),"※这一笔外销是亏的，请核对售价",IF(IFERROR(VLOOKUP($D103,库存台账!$A$5:$Y$1204,24,0),0)&lt;-0.001,"※这个物料账面已经变成负数了，查一下是不是漏记入库","")))))))))))</f>
        <v/>
      </c>
    </row>
    <row r="104">
      <c r="A104" s="24">
        <f>IF($D104="","",COUNTA($D$4:$D104))</f>
        <v/>
      </c>
      <c r="B104" s="17" t="n"/>
      <c r="C104" s="30" t="n"/>
      <c r="D104" s="17" t="n"/>
      <c r="E104" s="24">
        <f>IF($D104="","",IFERROR(VLOOKUP($D104,物料档案!$A$4:$P$1203,3,0),"※编码不在物料档案里"))</f>
        <v/>
      </c>
      <c r="F104" s="24">
        <f>IF($D104="","",IFERROR(VLOOKUP($D104,物料档案!$A$4:$P$1203,4,0),"※编码不在物料档案里"))</f>
        <v/>
      </c>
      <c r="G104" s="24">
        <f>IF($D104="","",IFERROR(VLOOKUP($D104,物料档案!$A$4:$P$1203,5,0),"※编码不在物料档案里"))</f>
        <v/>
      </c>
      <c r="H104" s="24">
        <f>IF($D104="","",IFERROR(VLOOKUP($D104,物料档案!$A$4:$P$1203,2,0),"※编码不在物料档案里"))</f>
        <v/>
      </c>
      <c r="I104" s="24">
        <f>IF($D104="","",IFERROR(VLOOKUP($D104,物料档案!$A$4:$P$1203,6,0),"※编码不在物料档案里"))</f>
        <v/>
      </c>
      <c r="J104" s="23" t="n"/>
      <c r="K104" s="17" t="n"/>
      <c r="L104" s="17" t="n"/>
      <c r="M104" s="17" t="n"/>
      <c r="N104" s="17" t="n"/>
      <c r="O104" s="26">
        <f>IF($D104="","",IFERROR(VLOOKUP($D104,物料档案!$A$4:$P$1203,10,0),0))</f>
        <v/>
      </c>
      <c r="P104" s="32" t="n"/>
      <c r="Q104" s="26">
        <f>IF($D104="","",IF($K104&lt;&gt;"对外销售",0,ROUND(N($J104)*IF($P104="",N($O104),N($P104)),0)))</f>
        <v/>
      </c>
      <c r="R104" s="26">
        <f>IF($D104="","",IFERROR(VLOOKUP($D104,库存台账!$A$5:$Y$1204,11,0),0))</f>
        <v/>
      </c>
      <c r="S104" s="26">
        <f>IF($D104="","",ROUND(N($J104)*N($R104),0))</f>
        <v/>
      </c>
      <c r="T104" s="26">
        <f>IF($D104="","",IF($K104&lt;&gt;"对外销售","",ROUND($Q104-$S104,0)))</f>
        <v/>
      </c>
      <c r="U104" s="17" t="n"/>
      <c r="V104" s="17" t="n"/>
      <c r="W104" s="24">
        <f>IF($D104="","",IF($E104="※编码不在物料档案里","※物料编码不在档案里",IF(N($J104)&lt;=0,"※出库数量要大于 0",IF($K104="","※没填去向类型",IF($L104="","※没填去向矿区",IF(AND($C104&lt;&gt;"",$C104&lt;=结账锁),"※日期早于已结账截止日，不能再录",IF(AND($K104="自用消耗",COUNTIF({"一矿区";"二矿区"},$L104)=0),"※自用消耗的去向只能是一矿区或二矿区",IF(AND($K104="对外销售",COUNTIF({"三矿区";"六矿区"},$L104)=0),"※对外销售的去向只能是三矿区或六矿区",IF(AND($K104="对外销售",ROUND($Q104,0)=0),"※外销却没有售价，请填实际售价",IF(AND($K104="对外销售",$T104&lt;&gt;"",$T104&lt;0),"※这一笔外销是亏的，请核对售价",IF(IFERROR(VLOOKUP($D104,库存台账!$A$5:$Y$1204,24,0),0)&lt;-0.001,"※这个物料账面已经变成负数了，查一下是不是漏记入库","")))))))))))</f>
        <v/>
      </c>
    </row>
    <row r="105">
      <c r="A105" s="24">
        <f>IF($D105="","",COUNTA($D$4:$D105))</f>
        <v/>
      </c>
      <c r="B105" s="17" t="n"/>
      <c r="C105" s="30" t="n"/>
      <c r="D105" s="17" t="n"/>
      <c r="E105" s="24">
        <f>IF($D105="","",IFERROR(VLOOKUP($D105,物料档案!$A$4:$P$1203,3,0),"※编码不在物料档案里"))</f>
        <v/>
      </c>
      <c r="F105" s="24">
        <f>IF($D105="","",IFERROR(VLOOKUP($D105,物料档案!$A$4:$P$1203,4,0),"※编码不在物料档案里"))</f>
        <v/>
      </c>
      <c r="G105" s="24">
        <f>IF($D105="","",IFERROR(VLOOKUP($D105,物料档案!$A$4:$P$1203,5,0),"※编码不在物料档案里"))</f>
        <v/>
      </c>
      <c r="H105" s="24">
        <f>IF($D105="","",IFERROR(VLOOKUP($D105,物料档案!$A$4:$P$1203,2,0),"※编码不在物料档案里"))</f>
        <v/>
      </c>
      <c r="I105" s="24">
        <f>IF($D105="","",IFERROR(VLOOKUP($D105,物料档案!$A$4:$P$1203,6,0),"※编码不在物料档案里"))</f>
        <v/>
      </c>
      <c r="J105" s="23" t="n"/>
      <c r="K105" s="17" t="n"/>
      <c r="L105" s="17" t="n"/>
      <c r="M105" s="17" t="n"/>
      <c r="N105" s="17" t="n"/>
      <c r="O105" s="26">
        <f>IF($D105="","",IFERROR(VLOOKUP($D105,物料档案!$A$4:$P$1203,10,0),0))</f>
        <v/>
      </c>
      <c r="P105" s="32" t="n"/>
      <c r="Q105" s="26">
        <f>IF($D105="","",IF($K105&lt;&gt;"对外销售",0,ROUND(N($J105)*IF($P105="",N($O105),N($P105)),0)))</f>
        <v/>
      </c>
      <c r="R105" s="26">
        <f>IF($D105="","",IFERROR(VLOOKUP($D105,库存台账!$A$5:$Y$1204,11,0),0))</f>
        <v/>
      </c>
      <c r="S105" s="26">
        <f>IF($D105="","",ROUND(N($J105)*N($R105),0))</f>
        <v/>
      </c>
      <c r="T105" s="26">
        <f>IF($D105="","",IF($K105&lt;&gt;"对外销售","",ROUND($Q105-$S105,0)))</f>
        <v/>
      </c>
      <c r="U105" s="17" t="n"/>
      <c r="V105" s="17" t="n"/>
      <c r="W105" s="24">
        <f>IF($D105="","",IF($E105="※编码不在物料档案里","※物料编码不在档案里",IF(N($J105)&lt;=0,"※出库数量要大于 0",IF($K105="","※没填去向类型",IF($L105="","※没填去向矿区",IF(AND($C105&lt;&gt;"",$C105&lt;=结账锁),"※日期早于已结账截止日，不能再录",IF(AND($K105="自用消耗",COUNTIF({"一矿区";"二矿区"},$L105)=0),"※自用消耗的去向只能是一矿区或二矿区",IF(AND($K105="对外销售",COUNTIF({"三矿区";"六矿区"},$L105)=0),"※对外销售的去向只能是三矿区或六矿区",IF(AND($K105="对外销售",ROUND($Q105,0)=0),"※外销却没有售价，请填实际售价",IF(AND($K105="对外销售",$T105&lt;&gt;"",$T105&lt;0),"※这一笔外销是亏的，请核对售价",IF(IFERROR(VLOOKUP($D105,库存台账!$A$5:$Y$1204,24,0),0)&lt;-0.001,"※这个物料账面已经变成负数了，查一下是不是漏记入库","")))))))))))</f>
        <v/>
      </c>
    </row>
    <row r="106">
      <c r="A106" s="24">
        <f>IF($D106="","",COUNTA($D$4:$D106))</f>
        <v/>
      </c>
      <c r="B106" s="17" t="n"/>
      <c r="C106" s="30" t="n"/>
      <c r="D106" s="17" t="n"/>
      <c r="E106" s="24">
        <f>IF($D106="","",IFERROR(VLOOKUP($D106,物料档案!$A$4:$P$1203,3,0),"※编码不在物料档案里"))</f>
        <v/>
      </c>
      <c r="F106" s="24">
        <f>IF($D106="","",IFERROR(VLOOKUP($D106,物料档案!$A$4:$P$1203,4,0),"※编码不在物料档案里"))</f>
        <v/>
      </c>
      <c r="G106" s="24">
        <f>IF($D106="","",IFERROR(VLOOKUP($D106,物料档案!$A$4:$P$1203,5,0),"※编码不在物料档案里"))</f>
        <v/>
      </c>
      <c r="H106" s="24">
        <f>IF($D106="","",IFERROR(VLOOKUP($D106,物料档案!$A$4:$P$1203,2,0),"※编码不在物料档案里"))</f>
        <v/>
      </c>
      <c r="I106" s="24">
        <f>IF($D106="","",IFERROR(VLOOKUP($D106,物料档案!$A$4:$P$1203,6,0),"※编码不在物料档案里"))</f>
        <v/>
      </c>
      <c r="J106" s="23" t="n"/>
      <c r="K106" s="17" t="n"/>
      <c r="L106" s="17" t="n"/>
      <c r="M106" s="17" t="n"/>
      <c r="N106" s="17" t="n"/>
      <c r="O106" s="26">
        <f>IF($D106="","",IFERROR(VLOOKUP($D106,物料档案!$A$4:$P$1203,10,0),0))</f>
        <v/>
      </c>
      <c r="P106" s="32" t="n"/>
      <c r="Q106" s="26">
        <f>IF($D106="","",IF($K106&lt;&gt;"对外销售",0,ROUND(N($J106)*IF($P106="",N($O106),N($P106)),0)))</f>
        <v/>
      </c>
      <c r="R106" s="26">
        <f>IF($D106="","",IFERROR(VLOOKUP($D106,库存台账!$A$5:$Y$1204,11,0),0))</f>
        <v/>
      </c>
      <c r="S106" s="26">
        <f>IF($D106="","",ROUND(N($J106)*N($R106),0))</f>
        <v/>
      </c>
      <c r="T106" s="26">
        <f>IF($D106="","",IF($K106&lt;&gt;"对外销售","",ROUND($Q106-$S106,0)))</f>
        <v/>
      </c>
      <c r="U106" s="17" t="n"/>
      <c r="V106" s="17" t="n"/>
      <c r="W106" s="24">
        <f>IF($D106="","",IF($E106="※编码不在物料档案里","※物料编码不在档案里",IF(N($J106)&lt;=0,"※出库数量要大于 0",IF($K106="","※没填去向类型",IF($L106="","※没填去向矿区",IF(AND($C106&lt;&gt;"",$C106&lt;=结账锁),"※日期早于已结账截止日，不能再录",IF(AND($K106="自用消耗",COUNTIF({"一矿区";"二矿区"},$L106)=0),"※自用消耗的去向只能是一矿区或二矿区",IF(AND($K106="对外销售",COUNTIF({"三矿区";"六矿区"},$L106)=0),"※对外销售的去向只能是三矿区或六矿区",IF(AND($K106="对外销售",ROUND($Q106,0)=0),"※外销却没有售价，请填实际售价",IF(AND($K106="对外销售",$T106&lt;&gt;"",$T106&lt;0),"※这一笔外销是亏的，请核对售价",IF(IFERROR(VLOOKUP($D106,库存台账!$A$5:$Y$1204,24,0),0)&lt;-0.001,"※这个物料账面已经变成负数了，查一下是不是漏记入库","")))))))))))</f>
        <v/>
      </c>
    </row>
    <row r="107">
      <c r="A107" s="24">
        <f>IF($D107="","",COUNTA($D$4:$D107))</f>
        <v/>
      </c>
      <c r="B107" s="17" t="n"/>
      <c r="C107" s="30" t="n"/>
      <c r="D107" s="17" t="n"/>
      <c r="E107" s="24">
        <f>IF($D107="","",IFERROR(VLOOKUP($D107,物料档案!$A$4:$P$1203,3,0),"※编码不在物料档案里"))</f>
        <v/>
      </c>
      <c r="F107" s="24">
        <f>IF($D107="","",IFERROR(VLOOKUP($D107,物料档案!$A$4:$P$1203,4,0),"※编码不在物料档案里"))</f>
        <v/>
      </c>
      <c r="G107" s="24">
        <f>IF($D107="","",IFERROR(VLOOKUP($D107,物料档案!$A$4:$P$1203,5,0),"※编码不在物料档案里"))</f>
        <v/>
      </c>
      <c r="H107" s="24">
        <f>IF($D107="","",IFERROR(VLOOKUP($D107,物料档案!$A$4:$P$1203,2,0),"※编码不在物料档案里"))</f>
        <v/>
      </c>
      <c r="I107" s="24">
        <f>IF($D107="","",IFERROR(VLOOKUP($D107,物料档案!$A$4:$P$1203,6,0),"※编码不在物料档案里"))</f>
        <v/>
      </c>
      <c r="J107" s="23" t="n"/>
      <c r="K107" s="17" t="n"/>
      <c r="L107" s="17" t="n"/>
      <c r="M107" s="17" t="n"/>
      <c r="N107" s="17" t="n"/>
      <c r="O107" s="26">
        <f>IF($D107="","",IFERROR(VLOOKUP($D107,物料档案!$A$4:$P$1203,10,0),0))</f>
        <v/>
      </c>
      <c r="P107" s="32" t="n"/>
      <c r="Q107" s="26">
        <f>IF($D107="","",IF($K107&lt;&gt;"对外销售",0,ROUND(N($J107)*IF($P107="",N($O107),N($P107)),0)))</f>
        <v/>
      </c>
      <c r="R107" s="26">
        <f>IF($D107="","",IFERROR(VLOOKUP($D107,库存台账!$A$5:$Y$1204,11,0),0))</f>
        <v/>
      </c>
      <c r="S107" s="26">
        <f>IF($D107="","",ROUND(N($J107)*N($R107),0))</f>
        <v/>
      </c>
      <c r="T107" s="26">
        <f>IF($D107="","",IF($K107&lt;&gt;"对外销售","",ROUND($Q107-$S107,0)))</f>
        <v/>
      </c>
      <c r="U107" s="17" t="n"/>
      <c r="V107" s="17" t="n"/>
      <c r="W107" s="24">
        <f>IF($D107="","",IF($E107="※编码不在物料档案里","※物料编码不在档案里",IF(N($J107)&lt;=0,"※出库数量要大于 0",IF($K107="","※没填去向类型",IF($L107="","※没填去向矿区",IF(AND($C107&lt;&gt;"",$C107&lt;=结账锁),"※日期早于已结账截止日，不能再录",IF(AND($K107="自用消耗",COUNTIF({"一矿区";"二矿区"},$L107)=0),"※自用消耗的去向只能是一矿区或二矿区",IF(AND($K107="对外销售",COUNTIF({"三矿区";"六矿区"},$L107)=0),"※对外销售的去向只能是三矿区或六矿区",IF(AND($K107="对外销售",ROUND($Q107,0)=0),"※外销却没有售价，请填实际售价",IF(AND($K107="对外销售",$T107&lt;&gt;"",$T107&lt;0),"※这一笔外销是亏的，请核对售价",IF(IFERROR(VLOOKUP($D107,库存台账!$A$5:$Y$1204,24,0),0)&lt;-0.001,"※这个物料账面已经变成负数了，查一下是不是漏记入库","")))))))))))</f>
        <v/>
      </c>
    </row>
    <row r="108">
      <c r="A108" s="24">
        <f>IF($D108="","",COUNTA($D$4:$D108))</f>
        <v/>
      </c>
      <c r="B108" s="17" t="n"/>
      <c r="C108" s="30" t="n"/>
      <c r="D108" s="17" t="n"/>
      <c r="E108" s="24">
        <f>IF($D108="","",IFERROR(VLOOKUP($D108,物料档案!$A$4:$P$1203,3,0),"※编码不在物料档案里"))</f>
        <v/>
      </c>
      <c r="F108" s="24">
        <f>IF($D108="","",IFERROR(VLOOKUP($D108,物料档案!$A$4:$P$1203,4,0),"※编码不在物料档案里"))</f>
        <v/>
      </c>
      <c r="G108" s="24">
        <f>IF($D108="","",IFERROR(VLOOKUP($D108,物料档案!$A$4:$P$1203,5,0),"※编码不在物料档案里"))</f>
        <v/>
      </c>
      <c r="H108" s="24">
        <f>IF($D108="","",IFERROR(VLOOKUP($D108,物料档案!$A$4:$P$1203,2,0),"※编码不在物料档案里"))</f>
        <v/>
      </c>
      <c r="I108" s="24">
        <f>IF($D108="","",IFERROR(VLOOKUP($D108,物料档案!$A$4:$P$1203,6,0),"※编码不在物料档案里"))</f>
        <v/>
      </c>
      <c r="J108" s="23" t="n"/>
      <c r="K108" s="17" t="n"/>
      <c r="L108" s="17" t="n"/>
      <c r="M108" s="17" t="n"/>
      <c r="N108" s="17" t="n"/>
      <c r="O108" s="26">
        <f>IF($D108="","",IFERROR(VLOOKUP($D108,物料档案!$A$4:$P$1203,10,0),0))</f>
        <v/>
      </c>
      <c r="P108" s="32" t="n"/>
      <c r="Q108" s="26">
        <f>IF($D108="","",IF($K108&lt;&gt;"对外销售",0,ROUND(N($J108)*IF($P108="",N($O108),N($P108)),0)))</f>
        <v/>
      </c>
      <c r="R108" s="26">
        <f>IF($D108="","",IFERROR(VLOOKUP($D108,库存台账!$A$5:$Y$1204,11,0),0))</f>
        <v/>
      </c>
      <c r="S108" s="26">
        <f>IF($D108="","",ROUND(N($J108)*N($R108),0))</f>
        <v/>
      </c>
      <c r="T108" s="26">
        <f>IF($D108="","",IF($K108&lt;&gt;"对外销售","",ROUND($Q108-$S108,0)))</f>
        <v/>
      </c>
      <c r="U108" s="17" t="n"/>
      <c r="V108" s="17" t="n"/>
      <c r="W108" s="24">
        <f>IF($D108="","",IF($E108="※编码不在物料档案里","※物料编码不在档案里",IF(N($J108)&lt;=0,"※出库数量要大于 0",IF($K108="","※没填去向类型",IF($L108="","※没填去向矿区",IF(AND($C108&lt;&gt;"",$C108&lt;=结账锁),"※日期早于已结账截止日，不能再录",IF(AND($K108="自用消耗",COUNTIF({"一矿区";"二矿区"},$L108)=0),"※自用消耗的去向只能是一矿区或二矿区",IF(AND($K108="对外销售",COUNTIF({"三矿区";"六矿区"},$L108)=0),"※对外销售的去向只能是三矿区或六矿区",IF(AND($K108="对外销售",ROUND($Q108,0)=0),"※外销却没有售价，请填实际售价",IF(AND($K108="对外销售",$T108&lt;&gt;"",$T108&lt;0),"※这一笔外销是亏的，请核对售价",IF(IFERROR(VLOOKUP($D108,库存台账!$A$5:$Y$1204,24,0),0)&lt;-0.001,"※这个物料账面已经变成负数了，查一下是不是漏记入库","")))))))))))</f>
        <v/>
      </c>
    </row>
    <row r="109">
      <c r="A109" s="24">
        <f>IF($D109="","",COUNTA($D$4:$D109))</f>
        <v/>
      </c>
      <c r="B109" s="17" t="n"/>
      <c r="C109" s="30" t="n"/>
      <c r="D109" s="17" t="n"/>
      <c r="E109" s="24">
        <f>IF($D109="","",IFERROR(VLOOKUP($D109,物料档案!$A$4:$P$1203,3,0),"※编码不在物料档案里"))</f>
        <v/>
      </c>
      <c r="F109" s="24">
        <f>IF($D109="","",IFERROR(VLOOKUP($D109,物料档案!$A$4:$P$1203,4,0),"※编码不在物料档案里"))</f>
        <v/>
      </c>
      <c r="G109" s="24">
        <f>IF($D109="","",IFERROR(VLOOKUP($D109,物料档案!$A$4:$P$1203,5,0),"※编码不在物料档案里"))</f>
        <v/>
      </c>
      <c r="H109" s="24">
        <f>IF($D109="","",IFERROR(VLOOKUP($D109,物料档案!$A$4:$P$1203,2,0),"※编码不在物料档案里"))</f>
        <v/>
      </c>
      <c r="I109" s="24">
        <f>IF($D109="","",IFERROR(VLOOKUP($D109,物料档案!$A$4:$P$1203,6,0),"※编码不在物料档案里"))</f>
        <v/>
      </c>
      <c r="J109" s="23" t="n"/>
      <c r="K109" s="17" t="n"/>
      <c r="L109" s="17" t="n"/>
      <c r="M109" s="17" t="n"/>
      <c r="N109" s="17" t="n"/>
      <c r="O109" s="26">
        <f>IF($D109="","",IFERROR(VLOOKUP($D109,物料档案!$A$4:$P$1203,10,0),0))</f>
        <v/>
      </c>
      <c r="P109" s="32" t="n"/>
      <c r="Q109" s="26">
        <f>IF($D109="","",IF($K109&lt;&gt;"对外销售",0,ROUND(N($J109)*IF($P109="",N($O109),N($P109)),0)))</f>
        <v/>
      </c>
      <c r="R109" s="26">
        <f>IF($D109="","",IFERROR(VLOOKUP($D109,库存台账!$A$5:$Y$1204,11,0),0))</f>
        <v/>
      </c>
      <c r="S109" s="26">
        <f>IF($D109="","",ROUND(N($J109)*N($R109),0))</f>
        <v/>
      </c>
      <c r="T109" s="26">
        <f>IF($D109="","",IF($K109&lt;&gt;"对外销售","",ROUND($Q109-$S109,0)))</f>
        <v/>
      </c>
      <c r="U109" s="17" t="n"/>
      <c r="V109" s="17" t="n"/>
      <c r="W109" s="24">
        <f>IF($D109="","",IF($E109="※编码不在物料档案里","※物料编码不在档案里",IF(N($J109)&lt;=0,"※出库数量要大于 0",IF($K109="","※没填去向类型",IF($L109="","※没填去向矿区",IF(AND($C109&lt;&gt;"",$C109&lt;=结账锁),"※日期早于已结账截止日，不能再录",IF(AND($K109="自用消耗",COUNTIF({"一矿区";"二矿区"},$L109)=0),"※自用消耗的去向只能是一矿区或二矿区",IF(AND($K109="对外销售",COUNTIF({"三矿区";"六矿区"},$L109)=0),"※对外销售的去向只能是三矿区或六矿区",IF(AND($K109="对外销售",ROUND($Q109,0)=0),"※外销却没有售价，请填实际售价",IF(AND($K109="对外销售",$T109&lt;&gt;"",$T109&lt;0),"※这一笔外销是亏的，请核对售价",IF(IFERROR(VLOOKUP($D109,库存台账!$A$5:$Y$1204,24,0),0)&lt;-0.001,"※这个物料账面已经变成负数了，查一下是不是漏记入库","")))))))))))</f>
        <v/>
      </c>
    </row>
    <row r="110">
      <c r="A110" s="24">
        <f>IF($D110="","",COUNTA($D$4:$D110))</f>
        <v/>
      </c>
      <c r="B110" s="17" t="n"/>
      <c r="C110" s="30" t="n"/>
      <c r="D110" s="17" t="n"/>
      <c r="E110" s="24">
        <f>IF($D110="","",IFERROR(VLOOKUP($D110,物料档案!$A$4:$P$1203,3,0),"※编码不在物料档案里"))</f>
        <v/>
      </c>
      <c r="F110" s="24">
        <f>IF($D110="","",IFERROR(VLOOKUP($D110,物料档案!$A$4:$P$1203,4,0),"※编码不在物料档案里"))</f>
        <v/>
      </c>
      <c r="G110" s="24">
        <f>IF($D110="","",IFERROR(VLOOKUP($D110,物料档案!$A$4:$P$1203,5,0),"※编码不在物料档案里"))</f>
        <v/>
      </c>
      <c r="H110" s="24">
        <f>IF($D110="","",IFERROR(VLOOKUP($D110,物料档案!$A$4:$P$1203,2,0),"※编码不在物料档案里"))</f>
        <v/>
      </c>
      <c r="I110" s="24">
        <f>IF($D110="","",IFERROR(VLOOKUP($D110,物料档案!$A$4:$P$1203,6,0),"※编码不在物料档案里"))</f>
        <v/>
      </c>
      <c r="J110" s="23" t="n"/>
      <c r="K110" s="17" t="n"/>
      <c r="L110" s="17" t="n"/>
      <c r="M110" s="17" t="n"/>
      <c r="N110" s="17" t="n"/>
      <c r="O110" s="26">
        <f>IF($D110="","",IFERROR(VLOOKUP($D110,物料档案!$A$4:$P$1203,10,0),0))</f>
        <v/>
      </c>
      <c r="P110" s="32" t="n"/>
      <c r="Q110" s="26">
        <f>IF($D110="","",IF($K110&lt;&gt;"对外销售",0,ROUND(N($J110)*IF($P110="",N($O110),N($P110)),0)))</f>
        <v/>
      </c>
      <c r="R110" s="26">
        <f>IF($D110="","",IFERROR(VLOOKUP($D110,库存台账!$A$5:$Y$1204,11,0),0))</f>
        <v/>
      </c>
      <c r="S110" s="26">
        <f>IF($D110="","",ROUND(N($J110)*N($R110),0))</f>
        <v/>
      </c>
      <c r="T110" s="26">
        <f>IF($D110="","",IF($K110&lt;&gt;"对外销售","",ROUND($Q110-$S110,0)))</f>
        <v/>
      </c>
      <c r="U110" s="17" t="n"/>
      <c r="V110" s="17" t="n"/>
      <c r="W110" s="24">
        <f>IF($D110="","",IF($E110="※编码不在物料档案里","※物料编码不在档案里",IF(N($J110)&lt;=0,"※出库数量要大于 0",IF($K110="","※没填去向类型",IF($L110="","※没填去向矿区",IF(AND($C110&lt;&gt;"",$C110&lt;=结账锁),"※日期早于已结账截止日，不能再录",IF(AND($K110="自用消耗",COUNTIF({"一矿区";"二矿区"},$L110)=0),"※自用消耗的去向只能是一矿区或二矿区",IF(AND($K110="对外销售",COUNTIF({"三矿区";"六矿区"},$L110)=0),"※对外销售的去向只能是三矿区或六矿区",IF(AND($K110="对外销售",ROUND($Q110,0)=0),"※外销却没有售价，请填实际售价",IF(AND($K110="对外销售",$T110&lt;&gt;"",$T110&lt;0),"※这一笔外销是亏的，请核对售价",IF(IFERROR(VLOOKUP($D110,库存台账!$A$5:$Y$1204,24,0),0)&lt;-0.001,"※这个物料账面已经变成负数了，查一下是不是漏记入库","")))))))))))</f>
        <v/>
      </c>
    </row>
    <row r="111">
      <c r="A111" s="24">
        <f>IF($D111="","",COUNTA($D$4:$D111))</f>
        <v/>
      </c>
      <c r="B111" s="17" t="n"/>
      <c r="C111" s="30" t="n"/>
      <c r="D111" s="17" t="n"/>
      <c r="E111" s="24">
        <f>IF($D111="","",IFERROR(VLOOKUP($D111,物料档案!$A$4:$P$1203,3,0),"※编码不在物料档案里"))</f>
        <v/>
      </c>
      <c r="F111" s="24">
        <f>IF($D111="","",IFERROR(VLOOKUP($D111,物料档案!$A$4:$P$1203,4,0),"※编码不在物料档案里"))</f>
        <v/>
      </c>
      <c r="G111" s="24">
        <f>IF($D111="","",IFERROR(VLOOKUP($D111,物料档案!$A$4:$P$1203,5,0),"※编码不在物料档案里"))</f>
        <v/>
      </c>
      <c r="H111" s="24">
        <f>IF($D111="","",IFERROR(VLOOKUP($D111,物料档案!$A$4:$P$1203,2,0),"※编码不在物料档案里"))</f>
        <v/>
      </c>
      <c r="I111" s="24">
        <f>IF($D111="","",IFERROR(VLOOKUP($D111,物料档案!$A$4:$P$1203,6,0),"※编码不在物料档案里"))</f>
        <v/>
      </c>
      <c r="J111" s="23" t="n"/>
      <c r="K111" s="17" t="n"/>
      <c r="L111" s="17" t="n"/>
      <c r="M111" s="17" t="n"/>
      <c r="N111" s="17" t="n"/>
      <c r="O111" s="26">
        <f>IF($D111="","",IFERROR(VLOOKUP($D111,物料档案!$A$4:$P$1203,10,0),0))</f>
        <v/>
      </c>
      <c r="P111" s="32" t="n"/>
      <c r="Q111" s="26">
        <f>IF($D111="","",IF($K111&lt;&gt;"对外销售",0,ROUND(N($J111)*IF($P111="",N($O111),N($P111)),0)))</f>
        <v/>
      </c>
      <c r="R111" s="26">
        <f>IF($D111="","",IFERROR(VLOOKUP($D111,库存台账!$A$5:$Y$1204,11,0),0))</f>
        <v/>
      </c>
      <c r="S111" s="26">
        <f>IF($D111="","",ROUND(N($J111)*N($R111),0))</f>
        <v/>
      </c>
      <c r="T111" s="26">
        <f>IF($D111="","",IF($K111&lt;&gt;"对外销售","",ROUND($Q111-$S111,0)))</f>
        <v/>
      </c>
      <c r="U111" s="17" t="n"/>
      <c r="V111" s="17" t="n"/>
      <c r="W111" s="24">
        <f>IF($D111="","",IF($E111="※编码不在物料档案里","※物料编码不在档案里",IF(N($J111)&lt;=0,"※出库数量要大于 0",IF($K111="","※没填去向类型",IF($L111="","※没填去向矿区",IF(AND($C111&lt;&gt;"",$C111&lt;=结账锁),"※日期早于已结账截止日，不能再录",IF(AND($K111="自用消耗",COUNTIF({"一矿区";"二矿区"},$L111)=0),"※自用消耗的去向只能是一矿区或二矿区",IF(AND($K111="对外销售",COUNTIF({"三矿区";"六矿区"},$L111)=0),"※对外销售的去向只能是三矿区或六矿区",IF(AND($K111="对外销售",ROUND($Q111,0)=0),"※外销却没有售价，请填实际售价",IF(AND($K111="对外销售",$T111&lt;&gt;"",$T111&lt;0),"※这一笔外销是亏的，请核对售价",IF(IFERROR(VLOOKUP($D111,库存台账!$A$5:$Y$1204,24,0),0)&lt;-0.001,"※这个物料账面已经变成负数了，查一下是不是漏记入库","")))))))))))</f>
        <v/>
      </c>
    </row>
    <row r="112">
      <c r="A112" s="24">
        <f>IF($D112="","",COUNTA($D$4:$D112))</f>
        <v/>
      </c>
      <c r="B112" s="17" t="n"/>
      <c r="C112" s="30" t="n"/>
      <c r="D112" s="17" t="n"/>
      <c r="E112" s="24">
        <f>IF($D112="","",IFERROR(VLOOKUP($D112,物料档案!$A$4:$P$1203,3,0),"※编码不在物料档案里"))</f>
        <v/>
      </c>
      <c r="F112" s="24">
        <f>IF($D112="","",IFERROR(VLOOKUP($D112,物料档案!$A$4:$P$1203,4,0),"※编码不在物料档案里"))</f>
        <v/>
      </c>
      <c r="G112" s="24">
        <f>IF($D112="","",IFERROR(VLOOKUP($D112,物料档案!$A$4:$P$1203,5,0),"※编码不在物料档案里"))</f>
        <v/>
      </c>
      <c r="H112" s="24">
        <f>IF($D112="","",IFERROR(VLOOKUP($D112,物料档案!$A$4:$P$1203,2,0),"※编码不在物料档案里"))</f>
        <v/>
      </c>
      <c r="I112" s="24">
        <f>IF($D112="","",IFERROR(VLOOKUP($D112,物料档案!$A$4:$P$1203,6,0),"※编码不在物料档案里"))</f>
        <v/>
      </c>
      <c r="J112" s="23" t="n"/>
      <c r="K112" s="17" t="n"/>
      <c r="L112" s="17" t="n"/>
      <c r="M112" s="17" t="n"/>
      <c r="N112" s="17" t="n"/>
      <c r="O112" s="26">
        <f>IF($D112="","",IFERROR(VLOOKUP($D112,物料档案!$A$4:$P$1203,10,0),0))</f>
        <v/>
      </c>
      <c r="P112" s="32" t="n"/>
      <c r="Q112" s="26">
        <f>IF($D112="","",IF($K112&lt;&gt;"对外销售",0,ROUND(N($J112)*IF($P112="",N($O112),N($P112)),0)))</f>
        <v/>
      </c>
      <c r="R112" s="26">
        <f>IF($D112="","",IFERROR(VLOOKUP($D112,库存台账!$A$5:$Y$1204,11,0),0))</f>
        <v/>
      </c>
      <c r="S112" s="26">
        <f>IF($D112="","",ROUND(N($J112)*N($R112),0))</f>
        <v/>
      </c>
      <c r="T112" s="26">
        <f>IF($D112="","",IF($K112&lt;&gt;"对外销售","",ROUND($Q112-$S112,0)))</f>
        <v/>
      </c>
      <c r="U112" s="17" t="n"/>
      <c r="V112" s="17" t="n"/>
      <c r="W112" s="24">
        <f>IF($D112="","",IF($E112="※编码不在物料档案里","※物料编码不在档案里",IF(N($J112)&lt;=0,"※出库数量要大于 0",IF($K112="","※没填去向类型",IF($L112="","※没填去向矿区",IF(AND($C112&lt;&gt;"",$C112&lt;=结账锁),"※日期早于已结账截止日，不能再录",IF(AND($K112="自用消耗",COUNTIF({"一矿区";"二矿区"},$L112)=0),"※自用消耗的去向只能是一矿区或二矿区",IF(AND($K112="对外销售",COUNTIF({"三矿区";"六矿区"},$L112)=0),"※对外销售的去向只能是三矿区或六矿区",IF(AND($K112="对外销售",ROUND($Q112,0)=0),"※外销却没有售价，请填实际售价",IF(AND($K112="对外销售",$T112&lt;&gt;"",$T112&lt;0),"※这一笔外销是亏的，请核对售价",IF(IFERROR(VLOOKUP($D112,库存台账!$A$5:$Y$1204,24,0),0)&lt;-0.001,"※这个物料账面已经变成负数了，查一下是不是漏记入库","")))))))))))</f>
        <v/>
      </c>
    </row>
    <row r="113">
      <c r="A113" s="24">
        <f>IF($D113="","",COUNTA($D$4:$D113))</f>
        <v/>
      </c>
      <c r="B113" s="17" t="n"/>
      <c r="C113" s="30" t="n"/>
      <c r="D113" s="17" t="n"/>
      <c r="E113" s="24">
        <f>IF($D113="","",IFERROR(VLOOKUP($D113,物料档案!$A$4:$P$1203,3,0),"※编码不在物料档案里"))</f>
        <v/>
      </c>
      <c r="F113" s="24">
        <f>IF($D113="","",IFERROR(VLOOKUP($D113,物料档案!$A$4:$P$1203,4,0),"※编码不在物料档案里"))</f>
        <v/>
      </c>
      <c r="G113" s="24">
        <f>IF($D113="","",IFERROR(VLOOKUP($D113,物料档案!$A$4:$P$1203,5,0),"※编码不在物料档案里"))</f>
        <v/>
      </c>
      <c r="H113" s="24">
        <f>IF($D113="","",IFERROR(VLOOKUP($D113,物料档案!$A$4:$P$1203,2,0),"※编码不在物料档案里"))</f>
        <v/>
      </c>
      <c r="I113" s="24">
        <f>IF($D113="","",IFERROR(VLOOKUP($D113,物料档案!$A$4:$P$1203,6,0),"※编码不在物料档案里"))</f>
        <v/>
      </c>
      <c r="J113" s="23" t="n"/>
      <c r="K113" s="17" t="n"/>
      <c r="L113" s="17" t="n"/>
      <c r="M113" s="17" t="n"/>
      <c r="N113" s="17" t="n"/>
      <c r="O113" s="26">
        <f>IF($D113="","",IFERROR(VLOOKUP($D113,物料档案!$A$4:$P$1203,10,0),0))</f>
        <v/>
      </c>
      <c r="P113" s="32" t="n"/>
      <c r="Q113" s="26">
        <f>IF($D113="","",IF($K113&lt;&gt;"对外销售",0,ROUND(N($J113)*IF($P113="",N($O113),N($P113)),0)))</f>
        <v/>
      </c>
      <c r="R113" s="26">
        <f>IF($D113="","",IFERROR(VLOOKUP($D113,库存台账!$A$5:$Y$1204,11,0),0))</f>
        <v/>
      </c>
      <c r="S113" s="26">
        <f>IF($D113="","",ROUND(N($J113)*N($R113),0))</f>
        <v/>
      </c>
      <c r="T113" s="26">
        <f>IF($D113="","",IF($K113&lt;&gt;"对外销售","",ROUND($Q113-$S113,0)))</f>
        <v/>
      </c>
      <c r="U113" s="17" t="n"/>
      <c r="V113" s="17" t="n"/>
      <c r="W113" s="24">
        <f>IF($D113="","",IF($E113="※编码不在物料档案里","※物料编码不在档案里",IF(N($J113)&lt;=0,"※出库数量要大于 0",IF($K113="","※没填去向类型",IF($L113="","※没填去向矿区",IF(AND($C113&lt;&gt;"",$C113&lt;=结账锁),"※日期早于已结账截止日，不能再录",IF(AND($K113="自用消耗",COUNTIF({"一矿区";"二矿区"},$L113)=0),"※自用消耗的去向只能是一矿区或二矿区",IF(AND($K113="对外销售",COUNTIF({"三矿区";"六矿区"},$L113)=0),"※对外销售的去向只能是三矿区或六矿区",IF(AND($K113="对外销售",ROUND($Q113,0)=0),"※外销却没有售价，请填实际售价",IF(AND($K113="对外销售",$T113&lt;&gt;"",$T113&lt;0),"※这一笔外销是亏的，请核对售价",IF(IFERROR(VLOOKUP($D113,库存台账!$A$5:$Y$1204,24,0),0)&lt;-0.001,"※这个物料账面已经变成负数了，查一下是不是漏记入库","")))))))))))</f>
        <v/>
      </c>
    </row>
    <row r="114">
      <c r="A114" s="24">
        <f>IF($D114="","",COUNTA($D$4:$D114))</f>
        <v/>
      </c>
      <c r="B114" s="17" t="n"/>
      <c r="C114" s="30" t="n"/>
      <c r="D114" s="17" t="n"/>
      <c r="E114" s="24">
        <f>IF($D114="","",IFERROR(VLOOKUP($D114,物料档案!$A$4:$P$1203,3,0),"※编码不在物料档案里"))</f>
        <v/>
      </c>
      <c r="F114" s="24">
        <f>IF($D114="","",IFERROR(VLOOKUP($D114,物料档案!$A$4:$P$1203,4,0),"※编码不在物料档案里"))</f>
        <v/>
      </c>
      <c r="G114" s="24">
        <f>IF($D114="","",IFERROR(VLOOKUP($D114,物料档案!$A$4:$P$1203,5,0),"※编码不在物料档案里"))</f>
        <v/>
      </c>
      <c r="H114" s="24">
        <f>IF($D114="","",IFERROR(VLOOKUP($D114,物料档案!$A$4:$P$1203,2,0),"※编码不在物料档案里"))</f>
        <v/>
      </c>
      <c r="I114" s="24">
        <f>IF($D114="","",IFERROR(VLOOKUP($D114,物料档案!$A$4:$P$1203,6,0),"※编码不在物料档案里"))</f>
        <v/>
      </c>
      <c r="J114" s="23" t="n"/>
      <c r="K114" s="17" t="n"/>
      <c r="L114" s="17" t="n"/>
      <c r="M114" s="17" t="n"/>
      <c r="N114" s="17" t="n"/>
      <c r="O114" s="26">
        <f>IF($D114="","",IFERROR(VLOOKUP($D114,物料档案!$A$4:$P$1203,10,0),0))</f>
        <v/>
      </c>
      <c r="P114" s="32" t="n"/>
      <c r="Q114" s="26">
        <f>IF($D114="","",IF($K114&lt;&gt;"对外销售",0,ROUND(N($J114)*IF($P114="",N($O114),N($P114)),0)))</f>
        <v/>
      </c>
      <c r="R114" s="26">
        <f>IF($D114="","",IFERROR(VLOOKUP($D114,库存台账!$A$5:$Y$1204,11,0),0))</f>
        <v/>
      </c>
      <c r="S114" s="26">
        <f>IF($D114="","",ROUND(N($J114)*N($R114),0))</f>
        <v/>
      </c>
      <c r="T114" s="26">
        <f>IF($D114="","",IF($K114&lt;&gt;"对外销售","",ROUND($Q114-$S114,0)))</f>
        <v/>
      </c>
      <c r="U114" s="17" t="n"/>
      <c r="V114" s="17" t="n"/>
      <c r="W114" s="24">
        <f>IF($D114="","",IF($E114="※编码不在物料档案里","※物料编码不在档案里",IF(N($J114)&lt;=0,"※出库数量要大于 0",IF($K114="","※没填去向类型",IF($L114="","※没填去向矿区",IF(AND($C114&lt;&gt;"",$C114&lt;=结账锁),"※日期早于已结账截止日，不能再录",IF(AND($K114="自用消耗",COUNTIF({"一矿区";"二矿区"},$L114)=0),"※自用消耗的去向只能是一矿区或二矿区",IF(AND($K114="对外销售",COUNTIF({"三矿区";"六矿区"},$L114)=0),"※对外销售的去向只能是三矿区或六矿区",IF(AND($K114="对外销售",ROUND($Q114,0)=0),"※外销却没有售价，请填实际售价",IF(AND($K114="对外销售",$T114&lt;&gt;"",$T114&lt;0),"※这一笔外销是亏的，请核对售价",IF(IFERROR(VLOOKUP($D114,库存台账!$A$5:$Y$1204,24,0),0)&lt;-0.001,"※这个物料账面已经变成负数了，查一下是不是漏记入库","")))))))))))</f>
        <v/>
      </c>
    </row>
    <row r="115">
      <c r="A115" s="24">
        <f>IF($D115="","",COUNTA($D$4:$D115))</f>
        <v/>
      </c>
      <c r="B115" s="17" t="n"/>
      <c r="C115" s="30" t="n"/>
      <c r="D115" s="17" t="n"/>
      <c r="E115" s="24">
        <f>IF($D115="","",IFERROR(VLOOKUP($D115,物料档案!$A$4:$P$1203,3,0),"※编码不在物料档案里"))</f>
        <v/>
      </c>
      <c r="F115" s="24">
        <f>IF($D115="","",IFERROR(VLOOKUP($D115,物料档案!$A$4:$P$1203,4,0),"※编码不在物料档案里"))</f>
        <v/>
      </c>
      <c r="G115" s="24">
        <f>IF($D115="","",IFERROR(VLOOKUP($D115,物料档案!$A$4:$P$1203,5,0),"※编码不在物料档案里"))</f>
        <v/>
      </c>
      <c r="H115" s="24">
        <f>IF($D115="","",IFERROR(VLOOKUP($D115,物料档案!$A$4:$P$1203,2,0),"※编码不在物料档案里"))</f>
        <v/>
      </c>
      <c r="I115" s="24">
        <f>IF($D115="","",IFERROR(VLOOKUP($D115,物料档案!$A$4:$P$1203,6,0),"※编码不在物料档案里"))</f>
        <v/>
      </c>
      <c r="J115" s="23" t="n"/>
      <c r="K115" s="17" t="n"/>
      <c r="L115" s="17" t="n"/>
      <c r="M115" s="17" t="n"/>
      <c r="N115" s="17" t="n"/>
      <c r="O115" s="26">
        <f>IF($D115="","",IFERROR(VLOOKUP($D115,物料档案!$A$4:$P$1203,10,0),0))</f>
        <v/>
      </c>
      <c r="P115" s="32" t="n"/>
      <c r="Q115" s="26">
        <f>IF($D115="","",IF($K115&lt;&gt;"对外销售",0,ROUND(N($J115)*IF($P115="",N($O115),N($P115)),0)))</f>
        <v/>
      </c>
      <c r="R115" s="26">
        <f>IF($D115="","",IFERROR(VLOOKUP($D115,库存台账!$A$5:$Y$1204,11,0),0))</f>
        <v/>
      </c>
      <c r="S115" s="26">
        <f>IF($D115="","",ROUND(N($J115)*N($R115),0))</f>
        <v/>
      </c>
      <c r="T115" s="26">
        <f>IF($D115="","",IF($K115&lt;&gt;"对外销售","",ROUND($Q115-$S115,0)))</f>
        <v/>
      </c>
      <c r="U115" s="17" t="n"/>
      <c r="V115" s="17" t="n"/>
      <c r="W115" s="24">
        <f>IF($D115="","",IF($E115="※编码不在物料档案里","※物料编码不在档案里",IF(N($J115)&lt;=0,"※出库数量要大于 0",IF($K115="","※没填去向类型",IF($L115="","※没填去向矿区",IF(AND($C115&lt;&gt;"",$C115&lt;=结账锁),"※日期早于已结账截止日，不能再录",IF(AND($K115="自用消耗",COUNTIF({"一矿区";"二矿区"},$L115)=0),"※自用消耗的去向只能是一矿区或二矿区",IF(AND($K115="对外销售",COUNTIF({"三矿区";"六矿区"},$L115)=0),"※对外销售的去向只能是三矿区或六矿区",IF(AND($K115="对外销售",ROUND($Q115,0)=0),"※外销却没有售价，请填实际售价",IF(AND($K115="对外销售",$T115&lt;&gt;"",$T115&lt;0),"※这一笔外销是亏的，请核对售价",IF(IFERROR(VLOOKUP($D115,库存台账!$A$5:$Y$1204,24,0),0)&lt;-0.001,"※这个物料账面已经变成负数了，查一下是不是漏记入库","")))))))))))</f>
        <v/>
      </c>
    </row>
    <row r="116">
      <c r="A116" s="24">
        <f>IF($D116="","",COUNTA($D$4:$D116))</f>
        <v/>
      </c>
      <c r="B116" s="17" t="n"/>
      <c r="C116" s="30" t="n"/>
      <c r="D116" s="17" t="n"/>
      <c r="E116" s="24">
        <f>IF($D116="","",IFERROR(VLOOKUP($D116,物料档案!$A$4:$P$1203,3,0),"※编码不在物料档案里"))</f>
        <v/>
      </c>
      <c r="F116" s="24">
        <f>IF($D116="","",IFERROR(VLOOKUP($D116,物料档案!$A$4:$P$1203,4,0),"※编码不在物料档案里"))</f>
        <v/>
      </c>
      <c r="G116" s="24">
        <f>IF($D116="","",IFERROR(VLOOKUP($D116,物料档案!$A$4:$P$1203,5,0),"※编码不在物料档案里"))</f>
        <v/>
      </c>
      <c r="H116" s="24">
        <f>IF($D116="","",IFERROR(VLOOKUP($D116,物料档案!$A$4:$P$1203,2,0),"※编码不在物料档案里"))</f>
        <v/>
      </c>
      <c r="I116" s="24">
        <f>IF($D116="","",IFERROR(VLOOKUP($D116,物料档案!$A$4:$P$1203,6,0),"※编码不在物料档案里"))</f>
        <v/>
      </c>
      <c r="J116" s="23" t="n"/>
      <c r="K116" s="17" t="n"/>
      <c r="L116" s="17" t="n"/>
      <c r="M116" s="17" t="n"/>
      <c r="N116" s="17" t="n"/>
      <c r="O116" s="26">
        <f>IF($D116="","",IFERROR(VLOOKUP($D116,物料档案!$A$4:$P$1203,10,0),0))</f>
        <v/>
      </c>
      <c r="P116" s="32" t="n"/>
      <c r="Q116" s="26">
        <f>IF($D116="","",IF($K116&lt;&gt;"对外销售",0,ROUND(N($J116)*IF($P116="",N($O116),N($P116)),0)))</f>
        <v/>
      </c>
      <c r="R116" s="26">
        <f>IF($D116="","",IFERROR(VLOOKUP($D116,库存台账!$A$5:$Y$1204,11,0),0))</f>
        <v/>
      </c>
      <c r="S116" s="26">
        <f>IF($D116="","",ROUND(N($J116)*N($R116),0))</f>
        <v/>
      </c>
      <c r="T116" s="26">
        <f>IF($D116="","",IF($K116&lt;&gt;"对外销售","",ROUND($Q116-$S116,0)))</f>
        <v/>
      </c>
      <c r="U116" s="17" t="n"/>
      <c r="V116" s="17" t="n"/>
      <c r="W116" s="24">
        <f>IF($D116="","",IF($E116="※编码不在物料档案里","※物料编码不在档案里",IF(N($J116)&lt;=0,"※出库数量要大于 0",IF($K116="","※没填去向类型",IF($L116="","※没填去向矿区",IF(AND($C116&lt;&gt;"",$C116&lt;=结账锁),"※日期早于已结账截止日，不能再录",IF(AND($K116="自用消耗",COUNTIF({"一矿区";"二矿区"},$L116)=0),"※自用消耗的去向只能是一矿区或二矿区",IF(AND($K116="对外销售",COUNTIF({"三矿区";"六矿区"},$L116)=0),"※对外销售的去向只能是三矿区或六矿区",IF(AND($K116="对外销售",ROUND($Q116,0)=0),"※外销却没有售价，请填实际售价",IF(AND($K116="对外销售",$T116&lt;&gt;"",$T116&lt;0),"※这一笔外销是亏的，请核对售价",IF(IFERROR(VLOOKUP($D116,库存台账!$A$5:$Y$1204,24,0),0)&lt;-0.001,"※这个物料账面已经变成负数了，查一下是不是漏记入库","")))))))))))</f>
        <v/>
      </c>
    </row>
    <row r="117">
      <c r="A117" s="24">
        <f>IF($D117="","",COUNTA($D$4:$D117))</f>
        <v/>
      </c>
      <c r="B117" s="17" t="n"/>
      <c r="C117" s="30" t="n"/>
      <c r="D117" s="17" t="n"/>
      <c r="E117" s="24">
        <f>IF($D117="","",IFERROR(VLOOKUP($D117,物料档案!$A$4:$P$1203,3,0),"※编码不在物料档案里"))</f>
        <v/>
      </c>
      <c r="F117" s="24">
        <f>IF($D117="","",IFERROR(VLOOKUP($D117,物料档案!$A$4:$P$1203,4,0),"※编码不在物料档案里"))</f>
        <v/>
      </c>
      <c r="G117" s="24">
        <f>IF($D117="","",IFERROR(VLOOKUP($D117,物料档案!$A$4:$P$1203,5,0),"※编码不在物料档案里"))</f>
        <v/>
      </c>
      <c r="H117" s="24">
        <f>IF($D117="","",IFERROR(VLOOKUP($D117,物料档案!$A$4:$P$1203,2,0),"※编码不在物料档案里"))</f>
        <v/>
      </c>
      <c r="I117" s="24">
        <f>IF($D117="","",IFERROR(VLOOKUP($D117,物料档案!$A$4:$P$1203,6,0),"※编码不在物料档案里"))</f>
        <v/>
      </c>
      <c r="J117" s="23" t="n"/>
      <c r="K117" s="17" t="n"/>
      <c r="L117" s="17" t="n"/>
      <c r="M117" s="17" t="n"/>
      <c r="N117" s="17" t="n"/>
      <c r="O117" s="26">
        <f>IF($D117="","",IFERROR(VLOOKUP($D117,物料档案!$A$4:$P$1203,10,0),0))</f>
        <v/>
      </c>
      <c r="P117" s="32" t="n"/>
      <c r="Q117" s="26">
        <f>IF($D117="","",IF($K117&lt;&gt;"对外销售",0,ROUND(N($J117)*IF($P117="",N($O117),N($P117)),0)))</f>
        <v/>
      </c>
      <c r="R117" s="26">
        <f>IF($D117="","",IFERROR(VLOOKUP($D117,库存台账!$A$5:$Y$1204,11,0),0))</f>
        <v/>
      </c>
      <c r="S117" s="26">
        <f>IF($D117="","",ROUND(N($J117)*N($R117),0))</f>
        <v/>
      </c>
      <c r="T117" s="26">
        <f>IF($D117="","",IF($K117&lt;&gt;"对外销售","",ROUND($Q117-$S117,0)))</f>
        <v/>
      </c>
      <c r="U117" s="17" t="n"/>
      <c r="V117" s="17" t="n"/>
      <c r="W117" s="24">
        <f>IF($D117="","",IF($E117="※编码不在物料档案里","※物料编码不在档案里",IF(N($J117)&lt;=0,"※出库数量要大于 0",IF($K117="","※没填去向类型",IF($L117="","※没填去向矿区",IF(AND($C117&lt;&gt;"",$C117&lt;=结账锁),"※日期早于已结账截止日，不能再录",IF(AND($K117="自用消耗",COUNTIF({"一矿区";"二矿区"},$L117)=0),"※自用消耗的去向只能是一矿区或二矿区",IF(AND($K117="对外销售",COUNTIF({"三矿区";"六矿区"},$L117)=0),"※对外销售的去向只能是三矿区或六矿区",IF(AND($K117="对外销售",ROUND($Q117,0)=0),"※外销却没有售价，请填实际售价",IF(AND($K117="对外销售",$T117&lt;&gt;"",$T117&lt;0),"※这一笔外销是亏的，请核对售价",IF(IFERROR(VLOOKUP($D117,库存台账!$A$5:$Y$1204,24,0),0)&lt;-0.001,"※这个物料账面已经变成负数了，查一下是不是漏记入库","")))))))))))</f>
        <v/>
      </c>
    </row>
    <row r="118">
      <c r="A118" s="24">
        <f>IF($D118="","",COUNTA($D$4:$D118))</f>
        <v/>
      </c>
      <c r="B118" s="17" t="n"/>
      <c r="C118" s="30" t="n"/>
      <c r="D118" s="17" t="n"/>
      <c r="E118" s="24">
        <f>IF($D118="","",IFERROR(VLOOKUP($D118,物料档案!$A$4:$P$1203,3,0),"※编码不在物料档案里"))</f>
        <v/>
      </c>
      <c r="F118" s="24">
        <f>IF($D118="","",IFERROR(VLOOKUP($D118,物料档案!$A$4:$P$1203,4,0),"※编码不在物料档案里"))</f>
        <v/>
      </c>
      <c r="G118" s="24">
        <f>IF($D118="","",IFERROR(VLOOKUP($D118,物料档案!$A$4:$P$1203,5,0),"※编码不在物料档案里"))</f>
        <v/>
      </c>
      <c r="H118" s="24">
        <f>IF($D118="","",IFERROR(VLOOKUP($D118,物料档案!$A$4:$P$1203,2,0),"※编码不在物料档案里"))</f>
        <v/>
      </c>
      <c r="I118" s="24">
        <f>IF($D118="","",IFERROR(VLOOKUP($D118,物料档案!$A$4:$P$1203,6,0),"※编码不在物料档案里"))</f>
        <v/>
      </c>
      <c r="J118" s="23" t="n"/>
      <c r="K118" s="17" t="n"/>
      <c r="L118" s="17" t="n"/>
      <c r="M118" s="17" t="n"/>
      <c r="N118" s="17" t="n"/>
      <c r="O118" s="26">
        <f>IF($D118="","",IFERROR(VLOOKUP($D118,物料档案!$A$4:$P$1203,10,0),0))</f>
        <v/>
      </c>
      <c r="P118" s="32" t="n"/>
      <c r="Q118" s="26">
        <f>IF($D118="","",IF($K118&lt;&gt;"对外销售",0,ROUND(N($J118)*IF($P118="",N($O118),N($P118)),0)))</f>
        <v/>
      </c>
      <c r="R118" s="26">
        <f>IF($D118="","",IFERROR(VLOOKUP($D118,库存台账!$A$5:$Y$1204,11,0),0))</f>
        <v/>
      </c>
      <c r="S118" s="26">
        <f>IF($D118="","",ROUND(N($J118)*N($R118),0))</f>
        <v/>
      </c>
      <c r="T118" s="26">
        <f>IF($D118="","",IF($K118&lt;&gt;"对外销售","",ROUND($Q118-$S118,0)))</f>
        <v/>
      </c>
      <c r="U118" s="17" t="n"/>
      <c r="V118" s="17" t="n"/>
      <c r="W118" s="24">
        <f>IF($D118="","",IF($E118="※编码不在物料档案里","※物料编码不在档案里",IF(N($J118)&lt;=0,"※出库数量要大于 0",IF($K118="","※没填去向类型",IF($L118="","※没填去向矿区",IF(AND($C118&lt;&gt;"",$C118&lt;=结账锁),"※日期早于已结账截止日，不能再录",IF(AND($K118="自用消耗",COUNTIF({"一矿区";"二矿区"},$L118)=0),"※自用消耗的去向只能是一矿区或二矿区",IF(AND($K118="对外销售",COUNTIF({"三矿区";"六矿区"},$L118)=0),"※对外销售的去向只能是三矿区或六矿区",IF(AND($K118="对外销售",ROUND($Q118,0)=0),"※外销却没有售价，请填实际售价",IF(AND($K118="对外销售",$T118&lt;&gt;"",$T118&lt;0),"※这一笔外销是亏的，请核对售价",IF(IFERROR(VLOOKUP($D118,库存台账!$A$5:$Y$1204,24,0),0)&lt;-0.001,"※这个物料账面已经变成负数了，查一下是不是漏记入库","")))))))))))</f>
        <v/>
      </c>
    </row>
    <row r="119">
      <c r="A119" s="24">
        <f>IF($D119="","",COUNTA($D$4:$D119))</f>
        <v/>
      </c>
      <c r="B119" s="17" t="n"/>
      <c r="C119" s="30" t="n"/>
      <c r="D119" s="17" t="n"/>
      <c r="E119" s="24">
        <f>IF($D119="","",IFERROR(VLOOKUP($D119,物料档案!$A$4:$P$1203,3,0),"※编码不在物料档案里"))</f>
        <v/>
      </c>
      <c r="F119" s="24">
        <f>IF($D119="","",IFERROR(VLOOKUP($D119,物料档案!$A$4:$P$1203,4,0),"※编码不在物料档案里"))</f>
        <v/>
      </c>
      <c r="G119" s="24">
        <f>IF($D119="","",IFERROR(VLOOKUP($D119,物料档案!$A$4:$P$1203,5,0),"※编码不在物料档案里"))</f>
        <v/>
      </c>
      <c r="H119" s="24">
        <f>IF($D119="","",IFERROR(VLOOKUP($D119,物料档案!$A$4:$P$1203,2,0),"※编码不在物料档案里"))</f>
        <v/>
      </c>
      <c r="I119" s="24">
        <f>IF($D119="","",IFERROR(VLOOKUP($D119,物料档案!$A$4:$P$1203,6,0),"※编码不在物料档案里"))</f>
        <v/>
      </c>
      <c r="J119" s="23" t="n"/>
      <c r="K119" s="17" t="n"/>
      <c r="L119" s="17" t="n"/>
      <c r="M119" s="17" t="n"/>
      <c r="N119" s="17" t="n"/>
      <c r="O119" s="26">
        <f>IF($D119="","",IFERROR(VLOOKUP($D119,物料档案!$A$4:$P$1203,10,0),0))</f>
        <v/>
      </c>
      <c r="P119" s="32" t="n"/>
      <c r="Q119" s="26">
        <f>IF($D119="","",IF($K119&lt;&gt;"对外销售",0,ROUND(N($J119)*IF($P119="",N($O119),N($P119)),0)))</f>
        <v/>
      </c>
      <c r="R119" s="26">
        <f>IF($D119="","",IFERROR(VLOOKUP($D119,库存台账!$A$5:$Y$1204,11,0),0))</f>
        <v/>
      </c>
      <c r="S119" s="26">
        <f>IF($D119="","",ROUND(N($J119)*N($R119),0))</f>
        <v/>
      </c>
      <c r="T119" s="26">
        <f>IF($D119="","",IF($K119&lt;&gt;"对外销售","",ROUND($Q119-$S119,0)))</f>
        <v/>
      </c>
      <c r="U119" s="17" t="n"/>
      <c r="V119" s="17" t="n"/>
      <c r="W119" s="24">
        <f>IF($D119="","",IF($E119="※编码不在物料档案里","※物料编码不在档案里",IF(N($J119)&lt;=0,"※出库数量要大于 0",IF($K119="","※没填去向类型",IF($L119="","※没填去向矿区",IF(AND($C119&lt;&gt;"",$C119&lt;=结账锁),"※日期早于已结账截止日，不能再录",IF(AND($K119="自用消耗",COUNTIF({"一矿区";"二矿区"},$L119)=0),"※自用消耗的去向只能是一矿区或二矿区",IF(AND($K119="对外销售",COUNTIF({"三矿区";"六矿区"},$L119)=0),"※对外销售的去向只能是三矿区或六矿区",IF(AND($K119="对外销售",ROUND($Q119,0)=0),"※外销却没有售价，请填实际售价",IF(AND($K119="对外销售",$T119&lt;&gt;"",$T119&lt;0),"※这一笔外销是亏的，请核对售价",IF(IFERROR(VLOOKUP($D119,库存台账!$A$5:$Y$1204,24,0),0)&lt;-0.001,"※这个物料账面已经变成负数了，查一下是不是漏记入库","")))))))))))</f>
        <v/>
      </c>
    </row>
    <row r="120">
      <c r="A120" s="24">
        <f>IF($D120="","",COUNTA($D$4:$D120))</f>
        <v/>
      </c>
      <c r="B120" s="17" t="n"/>
      <c r="C120" s="30" t="n"/>
      <c r="D120" s="17" t="n"/>
      <c r="E120" s="24">
        <f>IF($D120="","",IFERROR(VLOOKUP($D120,物料档案!$A$4:$P$1203,3,0),"※编码不在物料档案里"))</f>
        <v/>
      </c>
      <c r="F120" s="24">
        <f>IF($D120="","",IFERROR(VLOOKUP($D120,物料档案!$A$4:$P$1203,4,0),"※编码不在物料档案里"))</f>
        <v/>
      </c>
      <c r="G120" s="24">
        <f>IF($D120="","",IFERROR(VLOOKUP($D120,物料档案!$A$4:$P$1203,5,0),"※编码不在物料档案里"))</f>
        <v/>
      </c>
      <c r="H120" s="24">
        <f>IF($D120="","",IFERROR(VLOOKUP($D120,物料档案!$A$4:$P$1203,2,0),"※编码不在物料档案里"))</f>
        <v/>
      </c>
      <c r="I120" s="24">
        <f>IF($D120="","",IFERROR(VLOOKUP($D120,物料档案!$A$4:$P$1203,6,0),"※编码不在物料档案里"))</f>
        <v/>
      </c>
      <c r="J120" s="23" t="n"/>
      <c r="K120" s="17" t="n"/>
      <c r="L120" s="17" t="n"/>
      <c r="M120" s="17" t="n"/>
      <c r="N120" s="17" t="n"/>
      <c r="O120" s="26">
        <f>IF($D120="","",IFERROR(VLOOKUP($D120,物料档案!$A$4:$P$1203,10,0),0))</f>
        <v/>
      </c>
      <c r="P120" s="32" t="n"/>
      <c r="Q120" s="26">
        <f>IF($D120="","",IF($K120&lt;&gt;"对外销售",0,ROUND(N($J120)*IF($P120="",N($O120),N($P120)),0)))</f>
        <v/>
      </c>
      <c r="R120" s="26">
        <f>IF($D120="","",IFERROR(VLOOKUP($D120,库存台账!$A$5:$Y$1204,11,0),0))</f>
        <v/>
      </c>
      <c r="S120" s="26">
        <f>IF($D120="","",ROUND(N($J120)*N($R120),0))</f>
        <v/>
      </c>
      <c r="T120" s="26">
        <f>IF($D120="","",IF($K120&lt;&gt;"对外销售","",ROUND($Q120-$S120,0)))</f>
        <v/>
      </c>
      <c r="U120" s="17" t="n"/>
      <c r="V120" s="17" t="n"/>
      <c r="W120" s="24">
        <f>IF($D120="","",IF($E120="※编码不在物料档案里","※物料编码不在档案里",IF(N($J120)&lt;=0,"※出库数量要大于 0",IF($K120="","※没填去向类型",IF($L120="","※没填去向矿区",IF(AND($C120&lt;&gt;"",$C120&lt;=结账锁),"※日期早于已结账截止日，不能再录",IF(AND($K120="自用消耗",COUNTIF({"一矿区";"二矿区"},$L120)=0),"※自用消耗的去向只能是一矿区或二矿区",IF(AND($K120="对外销售",COUNTIF({"三矿区";"六矿区"},$L120)=0),"※对外销售的去向只能是三矿区或六矿区",IF(AND($K120="对外销售",ROUND($Q120,0)=0),"※外销却没有售价，请填实际售价",IF(AND($K120="对外销售",$T120&lt;&gt;"",$T120&lt;0),"※这一笔外销是亏的，请核对售价",IF(IFERROR(VLOOKUP($D120,库存台账!$A$5:$Y$1204,24,0),0)&lt;-0.001,"※这个物料账面已经变成负数了，查一下是不是漏记入库","")))))))))))</f>
        <v/>
      </c>
    </row>
    <row r="121">
      <c r="A121" s="24">
        <f>IF($D121="","",COUNTA($D$4:$D121))</f>
        <v/>
      </c>
      <c r="B121" s="17" t="n"/>
      <c r="C121" s="30" t="n"/>
      <c r="D121" s="17" t="n"/>
      <c r="E121" s="24">
        <f>IF($D121="","",IFERROR(VLOOKUP($D121,物料档案!$A$4:$P$1203,3,0),"※编码不在物料档案里"))</f>
        <v/>
      </c>
      <c r="F121" s="24">
        <f>IF($D121="","",IFERROR(VLOOKUP($D121,物料档案!$A$4:$P$1203,4,0),"※编码不在物料档案里"))</f>
        <v/>
      </c>
      <c r="G121" s="24">
        <f>IF($D121="","",IFERROR(VLOOKUP($D121,物料档案!$A$4:$P$1203,5,0),"※编码不在物料档案里"))</f>
        <v/>
      </c>
      <c r="H121" s="24">
        <f>IF($D121="","",IFERROR(VLOOKUP($D121,物料档案!$A$4:$P$1203,2,0),"※编码不在物料档案里"))</f>
        <v/>
      </c>
      <c r="I121" s="24">
        <f>IF($D121="","",IFERROR(VLOOKUP($D121,物料档案!$A$4:$P$1203,6,0),"※编码不在物料档案里"))</f>
        <v/>
      </c>
      <c r="J121" s="23" t="n"/>
      <c r="K121" s="17" t="n"/>
      <c r="L121" s="17" t="n"/>
      <c r="M121" s="17" t="n"/>
      <c r="N121" s="17" t="n"/>
      <c r="O121" s="26">
        <f>IF($D121="","",IFERROR(VLOOKUP($D121,物料档案!$A$4:$P$1203,10,0),0))</f>
        <v/>
      </c>
      <c r="P121" s="32" t="n"/>
      <c r="Q121" s="26">
        <f>IF($D121="","",IF($K121&lt;&gt;"对外销售",0,ROUND(N($J121)*IF($P121="",N($O121),N($P121)),0)))</f>
        <v/>
      </c>
      <c r="R121" s="26">
        <f>IF($D121="","",IFERROR(VLOOKUP($D121,库存台账!$A$5:$Y$1204,11,0),0))</f>
        <v/>
      </c>
      <c r="S121" s="26">
        <f>IF($D121="","",ROUND(N($J121)*N($R121),0))</f>
        <v/>
      </c>
      <c r="T121" s="26">
        <f>IF($D121="","",IF($K121&lt;&gt;"对外销售","",ROUND($Q121-$S121,0)))</f>
        <v/>
      </c>
      <c r="U121" s="17" t="n"/>
      <c r="V121" s="17" t="n"/>
      <c r="W121" s="24">
        <f>IF($D121="","",IF($E121="※编码不在物料档案里","※物料编码不在档案里",IF(N($J121)&lt;=0,"※出库数量要大于 0",IF($K121="","※没填去向类型",IF($L121="","※没填去向矿区",IF(AND($C121&lt;&gt;"",$C121&lt;=结账锁),"※日期早于已结账截止日，不能再录",IF(AND($K121="自用消耗",COUNTIF({"一矿区";"二矿区"},$L121)=0),"※自用消耗的去向只能是一矿区或二矿区",IF(AND($K121="对外销售",COUNTIF({"三矿区";"六矿区"},$L121)=0),"※对外销售的去向只能是三矿区或六矿区",IF(AND($K121="对外销售",ROUND($Q121,0)=0),"※外销却没有售价，请填实际售价",IF(AND($K121="对外销售",$T121&lt;&gt;"",$T121&lt;0),"※这一笔外销是亏的，请核对售价",IF(IFERROR(VLOOKUP($D121,库存台账!$A$5:$Y$1204,24,0),0)&lt;-0.001,"※这个物料账面已经变成负数了，查一下是不是漏记入库","")))))))))))</f>
        <v/>
      </c>
    </row>
    <row r="122">
      <c r="A122" s="24">
        <f>IF($D122="","",COUNTA($D$4:$D122))</f>
        <v/>
      </c>
      <c r="B122" s="17" t="n"/>
      <c r="C122" s="30" t="n"/>
      <c r="D122" s="17" t="n"/>
      <c r="E122" s="24">
        <f>IF($D122="","",IFERROR(VLOOKUP($D122,物料档案!$A$4:$P$1203,3,0),"※编码不在物料档案里"))</f>
        <v/>
      </c>
      <c r="F122" s="24">
        <f>IF($D122="","",IFERROR(VLOOKUP($D122,物料档案!$A$4:$P$1203,4,0),"※编码不在物料档案里"))</f>
        <v/>
      </c>
      <c r="G122" s="24">
        <f>IF($D122="","",IFERROR(VLOOKUP($D122,物料档案!$A$4:$P$1203,5,0),"※编码不在物料档案里"))</f>
        <v/>
      </c>
      <c r="H122" s="24">
        <f>IF($D122="","",IFERROR(VLOOKUP($D122,物料档案!$A$4:$P$1203,2,0),"※编码不在物料档案里"))</f>
        <v/>
      </c>
      <c r="I122" s="24">
        <f>IF($D122="","",IFERROR(VLOOKUP($D122,物料档案!$A$4:$P$1203,6,0),"※编码不在物料档案里"))</f>
        <v/>
      </c>
      <c r="J122" s="23" t="n"/>
      <c r="K122" s="17" t="n"/>
      <c r="L122" s="17" t="n"/>
      <c r="M122" s="17" t="n"/>
      <c r="N122" s="17" t="n"/>
      <c r="O122" s="26">
        <f>IF($D122="","",IFERROR(VLOOKUP($D122,物料档案!$A$4:$P$1203,10,0),0))</f>
        <v/>
      </c>
      <c r="P122" s="32" t="n"/>
      <c r="Q122" s="26">
        <f>IF($D122="","",IF($K122&lt;&gt;"对外销售",0,ROUND(N($J122)*IF($P122="",N($O122),N($P122)),0)))</f>
        <v/>
      </c>
      <c r="R122" s="26">
        <f>IF($D122="","",IFERROR(VLOOKUP($D122,库存台账!$A$5:$Y$1204,11,0),0))</f>
        <v/>
      </c>
      <c r="S122" s="26">
        <f>IF($D122="","",ROUND(N($J122)*N($R122),0))</f>
        <v/>
      </c>
      <c r="T122" s="26">
        <f>IF($D122="","",IF($K122&lt;&gt;"对外销售","",ROUND($Q122-$S122,0)))</f>
        <v/>
      </c>
      <c r="U122" s="17" t="n"/>
      <c r="V122" s="17" t="n"/>
      <c r="W122" s="24">
        <f>IF($D122="","",IF($E122="※编码不在物料档案里","※物料编码不在档案里",IF(N($J122)&lt;=0,"※出库数量要大于 0",IF($K122="","※没填去向类型",IF($L122="","※没填去向矿区",IF(AND($C122&lt;&gt;"",$C122&lt;=结账锁),"※日期早于已结账截止日，不能再录",IF(AND($K122="自用消耗",COUNTIF({"一矿区";"二矿区"},$L122)=0),"※自用消耗的去向只能是一矿区或二矿区",IF(AND($K122="对外销售",COUNTIF({"三矿区";"六矿区"},$L122)=0),"※对外销售的去向只能是三矿区或六矿区",IF(AND($K122="对外销售",ROUND($Q122,0)=0),"※外销却没有售价，请填实际售价",IF(AND($K122="对外销售",$T122&lt;&gt;"",$T122&lt;0),"※这一笔外销是亏的，请核对售价",IF(IFERROR(VLOOKUP($D122,库存台账!$A$5:$Y$1204,24,0),0)&lt;-0.001,"※这个物料账面已经变成负数了，查一下是不是漏记入库","")))))))))))</f>
        <v/>
      </c>
    </row>
    <row r="123">
      <c r="A123" s="24">
        <f>IF($D123="","",COUNTA($D$4:$D123))</f>
        <v/>
      </c>
      <c r="B123" s="17" t="n"/>
      <c r="C123" s="30" t="n"/>
      <c r="D123" s="17" t="n"/>
      <c r="E123" s="24">
        <f>IF($D123="","",IFERROR(VLOOKUP($D123,物料档案!$A$4:$P$1203,3,0),"※编码不在物料档案里"))</f>
        <v/>
      </c>
      <c r="F123" s="24">
        <f>IF($D123="","",IFERROR(VLOOKUP($D123,物料档案!$A$4:$P$1203,4,0),"※编码不在物料档案里"))</f>
        <v/>
      </c>
      <c r="G123" s="24">
        <f>IF($D123="","",IFERROR(VLOOKUP($D123,物料档案!$A$4:$P$1203,5,0),"※编码不在物料档案里"))</f>
        <v/>
      </c>
      <c r="H123" s="24">
        <f>IF($D123="","",IFERROR(VLOOKUP($D123,物料档案!$A$4:$P$1203,2,0),"※编码不在物料档案里"))</f>
        <v/>
      </c>
      <c r="I123" s="24">
        <f>IF($D123="","",IFERROR(VLOOKUP($D123,物料档案!$A$4:$P$1203,6,0),"※编码不在物料档案里"))</f>
        <v/>
      </c>
      <c r="J123" s="23" t="n"/>
      <c r="K123" s="17" t="n"/>
      <c r="L123" s="17" t="n"/>
      <c r="M123" s="17" t="n"/>
      <c r="N123" s="17" t="n"/>
      <c r="O123" s="26">
        <f>IF($D123="","",IFERROR(VLOOKUP($D123,物料档案!$A$4:$P$1203,10,0),0))</f>
        <v/>
      </c>
      <c r="P123" s="32" t="n"/>
      <c r="Q123" s="26">
        <f>IF($D123="","",IF($K123&lt;&gt;"对外销售",0,ROUND(N($J123)*IF($P123="",N($O123),N($P123)),0)))</f>
        <v/>
      </c>
      <c r="R123" s="26">
        <f>IF($D123="","",IFERROR(VLOOKUP($D123,库存台账!$A$5:$Y$1204,11,0),0))</f>
        <v/>
      </c>
      <c r="S123" s="26">
        <f>IF($D123="","",ROUND(N($J123)*N($R123),0))</f>
        <v/>
      </c>
      <c r="T123" s="26">
        <f>IF($D123="","",IF($K123&lt;&gt;"对外销售","",ROUND($Q123-$S123,0)))</f>
        <v/>
      </c>
      <c r="U123" s="17" t="n"/>
      <c r="V123" s="17" t="n"/>
      <c r="W123" s="24">
        <f>IF($D123="","",IF($E123="※编码不在物料档案里","※物料编码不在档案里",IF(N($J123)&lt;=0,"※出库数量要大于 0",IF($K123="","※没填去向类型",IF($L123="","※没填去向矿区",IF(AND($C123&lt;&gt;"",$C123&lt;=结账锁),"※日期早于已结账截止日，不能再录",IF(AND($K123="自用消耗",COUNTIF({"一矿区";"二矿区"},$L123)=0),"※自用消耗的去向只能是一矿区或二矿区",IF(AND($K123="对外销售",COUNTIF({"三矿区";"六矿区"},$L123)=0),"※对外销售的去向只能是三矿区或六矿区",IF(AND($K123="对外销售",ROUND($Q123,0)=0),"※外销却没有售价，请填实际售价",IF(AND($K123="对外销售",$T123&lt;&gt;"",$T123&lt;0),"※这一笔外销是亏的，请核对售价",IF(IFERROR(VLOOKUP($D123,库存台账!$A$5:$Y$1204,24,0),0)&lt;-0.001,"※这个物料账面已经变成负数了，查一下是不是漏记入库","")))))))))))</f>
        <v/>
      </c>
    </row>
    <row r="124">
      <c r="A124" s="24">
        <f>IF($D124="","",COUNTA($D$4:$D124))</f>
        <v/>
      </c>
      <c r="B124" s="17" t="n"/>
      <c r="C124" s="30" t="n"/>
      <c r="D124" s="17" t="n"/>
      <c r="E124" s="24">
        <f>IF($D124="","",IFERROR(VLOOKUP($D124,物料档案!$A$4:$P$1203,3,0),"※编码不在物料档案里"))</f>
        <v/>
      </c>
      <c r="F124" s="24">
        <f>IF($D124="","",IFERROR(VLOOKUP($D124,物料档案!$A$4:$P$1203,4,0),"※编码不在物料档案里"))</f>
        <v/>
      </c>
      <c r="G124" s="24">
        <f>IF($D124="","",IFERROR(VLOOKUP($D124,物料档案!$A$4:$P$1203,5,0),"※编码不在物料档案里"))</f>
        <v/>
      </c>
      <c r="H124" s="24">
        <f>IF($D124="","",IFERROR(VLOOKUP($D124,物料档案!$A$4:$P$1203,2,0),"※编码不在物料档案里"))</f>
        <v/>
      </c>
      <c r="I124" s="24">
        <f>IF($D124="","",IFERROR(VLOOKUP($D124,物料档案!$A$4:$P$1203,6,0),"※编码不在物料档案里"))</f>
        <v/>
      </c>
      <c r="J124" s="23" t="n"/>
      <c r="K124" s="17" t="n"/>
      <c r="L124" s="17" t="n"/>
      <c r="M124" s="17" t="n"/>
      <c r="N124" s="17" t="n"/>
      <c r="O124" s="26">
        <f>IF($D124="","",IFERROR(VLOOKUP($D124,物料档案!$A$4:$P$1203,10,0),0))</f>
        <v/>
      </c>
      <c r="P124" s="32" t="n"/>
      <c r="Q124" s="26">
        <f>IF($D124="","",IF($K124&lt;&gt;"对外销售",0,ROUND(N($J124)*IF($P124="",N($O124),N($P124)),0)))</f>
        <v/>
      </c>
      <c r="R124" s="26">
        <f>IF($D124="","",IFERROR(VLOOKUP($D124,库存台账!$A$5:$Y$1204,11,0),0))</f>
        <v/>
      </c>
      <c r="S124" s="26">
        <f>IF($D124="","",ROUND(N($J124)*N($R124),0))</f>
        <v/>
      </c>
      <c r="T124" s="26">
        <f>IF($D124="","",IF($K124&lt;&gt;"对外销售","",ROUND($Q124-$S124,0)))</f>
        <v/>
      </c>
      <c r="U124" s="17" t="n"/>
      <c r="V124" s="17" t="n"/>
      <c r="W124" s="24">
        <f>IF($D124="","",IF($E124="※编码不在物料档案里","※物料编码不在档案里",IF(N($J124)&lt;=0,"※出库数量要大于 0",IF($K124="","※没填去向类型",IF($L124="","※没填去向矿区",IF(AND($C124&lt;&gt;"",$C124&lt;=结账锁),"※日期早于已结账截止日，不能再录",IF(AND($K124="自用消耗",COUNTIF({"一矿区";"二矿区"},$L124)=0),"※自用消耗的去向只能是一矿区或二矿区",IF(AND($K124="对外销售",COUNTIF({"三矿区";"六矿区"},$L124)=0),"※对外销售的去向只能是三矿区或六矿区",IF(AND($K124="对外销售",ROUND($Q124,0)=0),"※外销却没有售价，请填实际售价",IF(AND($K124="对外销售",$T124&lt;&gt;"",$T124&lt;0),"※这一笔外销是亏的，请核对售价",IF(IFERROR(VLOOKUP($D124,库存台账!$A$5:$Y$1204,24,0),0)&lt;-0.001,"※这个物料账面已经变成负数了，查一下是不是漏记入库","")))))))))))</f>
        <v/>
      </c>
    </row>
    <row r="125">
      <c r="A125" s="24">
        <f>IF($D125="","",COUNTA($D$4:$D125))</f>
        <v/>
      </c>
      <c r="B125" s="17" t="n"/>
      <c r="C125" s="30" t="n"/>
      <c r="D125" s="17" t="n"/>
      <c r="E125" s="24">
        <f>IF($D125="","",IFERROR(VLOOKUP($D125,物料档案!$A$4:$P$1203,3,0),"※编码不在物料档案里"))</f>
        <v/>
      </c>
      <c r="F125" s="24">
        <f>IF($D125="","",IFERROR(VLOOKUP($D125,物料档案!$A$4:$P$1203,4,0),"※编码不在物料档案里"))</f>
        <v/>
      </c>
      <c r="G125" s="24">
        <f>IF($D125="","",IFERROR(VLOOKUP($D125,物料档案!$A$4:$P$1203,5,0),"※编码不在物料档案里"))</f>
        <v/>
      </c>
      <c r="H125" s="24">
        <f>IF($D125="","",IFERROR(VLOOKUP($D125,物料档案!$A$4:$P$1203,2,0),"※编码不在物料档案里"))</f>
        <v/>
      </c>
      <c r="I125" s="24">
        <f>IF($D125="","",IFERROR(VLOOKUP($D125,物料档案!$A$4:$P$1203,6,0),"※编码不在物料档案里"))</f>
        <v/>
      </c>
      <c r="J125" s="23" t="n"/>
      <c r="K125" s="17" t="n"/>
      <c r="L125" s="17" t="n"/>
      <c r="M125" s="17" t="n"/>
      <c r="N125" s="17" t="n"/>
      <c r="O125" s="26">
        <f>IF($D125="","",IFERROR(VLOOKUP($D125,物料档案!$A$4:$P$1203,10,0),0))</f>
        <v/>
      </c>
      <c r="P125" s="32" t="n"/>
      <c r="Q125" s="26">
        <f>IF($D125="","",IF($K125&lt;&gt;"对外销售",0,ROUND(N($J125)*IF($P125="",N($O125),N($P125)),0)))</f>
        <v/>
      </c>
      <c r="R125" s="26">
        <f>IF($D125="","",IFERROR(VLOOKUP($D125,库存台账!$A$5:$Y$1204,11,0),0))</f>
        <v/>
      </c>
      <c r="S125" s="26">
        <f>IF($D125="","",ROUND(N($J125)*N($R125),0))</f>
        <v/>
      </c>
      <c r="T125" s="26">
        <f>IF($D125="","",IF($K125&lt;&gt;"对外销售","",ROUND($Q125-$S125,0)))</f>
        <v/>
      </c>
      <c r="U125" s="17" t="n"/>
      <c r="V125" s="17" t="n"/>
      <c r="W125" s="24">
        <f>IF($D125="","",IF($E125="※编码不在物料档案里","※物料编码不在档案里",IF(N($J125)&lt;=0,"※出库数量要大于 0",IF($K125="","※没填去向类型",IF($L125="","※没填去向矿区",IF(AND($C125&lt;&gt;"",$C125&lt;=结账锁),"※日期早于已结账截止日，不能再录",IF(AND($K125="自用消耗",COUNTIF({"一矿区";"二矿区"},$L125)=0),"※自用消耗的去向只能是一矿区或二矿区",IF(AND($K125="对外销售",COUNTIF({"三矿区";"六矿区"},$L125)=0),"※对外销售的去向只能是三矿区或六矿区",IF(AND($K125="对外销售",ROUND($Q125,0)=0),"※外销却没有售价，请填实际售价",IF(AND($K125="对外销售",$T125&lt;&gt;"",$T125&lt;0),"※这一笔外销是亏的，请核对售价",IF(IFERROR(VLOOKUP($D125,库存台账!$A$5:$Y$1204,24,0),0)&lt;-0.001,"※这个物料账面已经变成负数了，查一下是不是漏记入库","")))))))))))</f>
        <v/>
      </c>
    </row>
    <row r="126">
      <c r="A126" s="24">
        <f>IF($D126="","",COUNTA($D$4:$D126))</f>
        <v/>
      </c>
      <c r="B126" s="17" t="n"/>
      <c r="C126" s="30" t="n"/>
      <c r="D126" s="17" t="n"/>
      <c r="E126" s="24">
        <f>IF($D126="","",IFERROR(VLOOKUP($D126,物料档案!$A$4:$P$1203,3,0),"※编码不在物料档案里"))</f>
        <v/>
      </c>
      <c r="F126" s="24">
        <f>IF($D126="","",IFERROR(VLOOKUP($D126,物料档案!$A$4:$P$1203,4,0),"※编码不在物料档案里"))</f>
        <v/>
      </c>
      <c r="G126" s="24">
        <f>IF($D126="","",IFERROR(VLOOKUP($D126,物料档案!$A$4:$P$1203,5,0),"※编码不在物料档案里"))</f>
        <v/>
      </c>
      <c r="H126" s="24">
        <f>IF($D126="","",IFERROR(VLOOKUP($D126,物料档案!$A$4:$P$1203,2,0),"※编码不在物料档案里"))</f>
        <v/>
      </c>
      <c r="I126" s="24">
        <f>IF($D126="","",IFERROR(VLOOKUP($D126,物料档案!$A$4:$P$1203,6,0),"※编码不在物料档案里"))</f>
        <v/>
      </c>
      <c r="J126" s="23" t="n"/>
      <c r="K126" s="17" t="n"/>
      <c r="L126" s="17" t="n"/>
      <c r="M126" s="17" t="n"/>
      <c r="N126" s="17" t="n"/>
      <c r="O126" s="26">
        <f>IF($D126="","",IFERROR(VLOOKUP($D126,物料档案!$A$4:$P$1203,10,0),0))</f>
        <v/>
      </c>
      <c r="P126" s="32" t="n"/>
      <c r="Q126" s="26">
        <f>IF($D126="","",IF($K126&lt;&gt;"对外销售",0,ROUND(N($J126)*IF($P126="",N($O126),N($P126)),0)))</f>
        <v/>
      </c>
      <c r="R126" s="26">
        <f>IF($D126="","",IFERROR(VLOOKUP($D126,库存台账!$A$5:$Y$1204,11,0),0))</f>
        <v/>
      </c>
      <c r="S126" s="26">
        <f>IF($D126="","",ROUND(N($J126)*N($R126),0))</f>
        <v/>
      </c>
      <c r="T126" s="26">
        <f>IF($D126="","",IF($K126&lt;&gt;"对外销售","",ROUND($Q126-$S126,0)))</f>
        <v/>
      </c>
      <c r="U126" s="17" t="n"/>
      <c r="V126" s="17" t="n"/>
      <c r="W126" s="24">
        <f>IF($D126="","",IF($E126="※编码不在物料档案里","※物料编码不在档案里",IF(N($J126)&lt;=0,"※出库数量要大于 0",IF($K126="","※没填去向类型",IF($L126="","※没填去向矿区",IF(AND($C126&lt;&gt;"",$C126&lt;=结账锁),"※日期早于已结账截止日，不能再录",IF(AND($K126="自用消耗",COUNTIF({"一矿区";"二矿区"},$L126)=0),"※自用消耗的去向只能是一矿区或二矿区",IF(AND($K126="对外销售",COUNTIF({"三矿区";"六矿区"},$L126)=0),"※对外销售的去向只能是三矿区或六矿区",IF(AND($K126="对外销售",ROUND($Q126,0)=0),"※外销却没有售价，请填实际售价",IF(AND($K126="对外销售",$T126&lt;&gt;"",$T126&lt;0),"※这一笔外销是亏的，请核对售价",IF(IFERROR(VLOOKUP($D126,库存台账!$A$5:$Y$1204,24,0),0)&lt;-0.001,"※这个物料账面已经变成负数了，查一下是不是漏记入库","")))))))))))</f>
        <v/>
      </c>
    </row>
    <row r="127">
      <c r="A127" s="24">
        <f>IF($D127="","",COUNTA($D$4:$D127))</f>
        <v/>
      </c>
      <c r="B127" s="17" t="n"/>
      <c r="C127" s="30" t="n"/>
      <c r="D127" s="17" t="n"/>
      <c r="E127" s="24">
        <f>IF($D127="","",IFERROR(VLOOKUP($D127,物料档案!$A$4:$P$1203,3,0),"※编码不在物料档案里"))</f>
        <v/>
      </c>
      <c r="F127" s="24">
        <f>IF($D127="","",IFERROR(VLOOKUP($D127,物料档案!$A$4:$P$1203,4,0),"※编码不在物料档案里"))</f>
        <v/>
      </c>
      <c r="G127" s="24">
        <f>IF($D127="","",IFERROR(VLOOKUP($D127,物料档案!$A$4:$P$1203,5,0),"※编码不在物料档案里"))</f>
        <v/>
      </c>
      <c r="H127" s="24">
        <f>IF($D127="","",IFERROR(VLOOKUP($D127,物料档案!$A$4:$P$1203,2,0),"※编码不在物料档案里"))</f>
        <v/>
      </c>
      <c r="I127" s="24">
        <f>IF($D127="","",IFERROR(VLOOKUP($D127,物料档案!$A$4:$P$1203,6,0),"※编码不在物料档案里"))</f>
        <v/>
      </c>
      <c r="J127" s="23" t="n"/>
      <c r="K127" s="17" t="n"/>
      <c r="L127" s="17" t="n"/>
      <c r="M127" s="17" t="n"/>
      <c r="N127" s="17" t="n"/>
      <c r="O127" s="26">
        <f>IF($D127="","",IFERROR(VLOOKUP($D127,物料档案!$A$4:$P$1203,10,0),0))</f>
        <v/>
      </c>
      <c r="P127" s="32" t="n"/>
      <c r="Q127" s="26">
        <f>IF($D127="","",IF($K127&lt;&gt;"对外销售",0,ROUND(N($J127)*IF($P127="",N($O127),N($P127)),0)))</f>
        <v/>
      </c>
      <c r="R127" s="26">
        <f>IF($D127="","",IFERROR(VLOOKUP($D127,库存台账!$A$5:$Y$1204,11,0),0))</f>
        <v/>
      </c>
      <c r="S127" s="26">
        <f>IF($D127="","",ROUND(N($J127)*N($R127),0))</f>
        <v/>
      </c>
      <c r="T127" s="26">
        <f>IF($D127="","",IF($K127&lt;&gt;"对外销售","",ROUND($Q127-$S127,0)))</f>
        <v/>
      </c>
      <c r="U127" s="17" t="n"/>
      <c r="V127" s="17" t="n"/>
      <c r="W127" s="24">
        <f>IF($D127="","",IF($E127="※编码不在物料档案里","※物料编码不在档案里",IF(N($J127)&lt;=0,"※出库数量要大于 0",IF($K127="","※没填去向类型",IF($L127="","※没填去向矿区",IF(AND($C127&lt;&gt;"",$C127&lt;=结账锁),"※日期早于已结账截止日，不能再录",IF(AND($K127="自用消耗",COUNTIF({"一矿区";"二矿区"},$L127)=0),"※自用消耗的去向只能是一矿区或二矿区",IF(AND($K127="对外销售",COUNTIF({"三矿区";"六矿区"},$L127)=0),"※对外销售的去向只能是三矿区或六矿区",IF(AND($K127="对外销售",ROUND($Q127,0)=0),"※外销却没有售价，请填实际售价",IF(AND($K127="对外销售",$T127&lt;&gt;"",$T127&lt;0),"※这一笔外销是亏的，请核对售价",IF(IFERROR(VLOOKUP($D127,库存台账!$A$5:$Y$1204,24,0),0)&lt;-0.001,"※这个物料账面已经变成负数了，查一下是不是漏记入库","")))))))))))</f>
        <v/>
      </c>
    </row>
    <row r="128">
      <c r="A128" s="24">
        <f>IF($D128="","",COUNTA($D$4:$D128))</f>
        <v/>
      </c>
      <c r="B128" s="17" t="n"/>
      <c r="C128" s="30" t="n"/>
      <c r="D128" s="17" t="n"/>
      <c r="E128" s="24">
        <f>IF($D128="","",IFERROR(VLOOKUP($D128,物料档案!$A$4:$P$1203,3,0),"※编码不在物料档案里"))</f>
        <v/>
      </c>
      <c r="F128" s="24">
        <f>IF($D128="","",IFERROR(VLOOKUP($D128,物料档案!$A$4:$P$1203,4,0),"※编码不在物料档案里"))</f>
        <v/>
      </c>
      <c r="G128" s="24">
        <f>IF($D128="","",IFERROR(VLOOKUP($D128,物料档案!$A$4:$P$1203,5,0),"※编码不在物料档案里"))</f>
        <v/>
      </c>
      <c r="H128" s="24">
        <f>IF($D128="","",IFERROR(VLOOKUP($D128,物料档案!$A$4:$P$1203,2,0),"※编码不在物料档案里"))</f>
        <v/>
      </c>
      <c r="I128" s="24">
        <f>IF($D128="","",IFERROR(VLOOKUP($D128,物料档案!$A$4:$P$1203,6,0),"※编码不在物料档案里"))</f>
        <v/>
      </c>
      <c r="J128" s="23" t="n"/>
      <c r="K128" s="17" t="n"/>
      <c r="L128" s="17" t="n"/>
      <c r="M128" s="17" t="n"/>
      <c r="N128" s="17" t="n"/>
      <c r="O128" s="26">
        <f>IF($D128="","",IFERROR(VLOOKUP($D128,物料档案!$A$4:$P$1203,10,0),0))</f>
        <v/>
      </c>
      <c r="P128" s="32" t="n"/>
      <c r="Q128" s="26">
        <f>IF($D128="","",IF($K128&lt;&gt;"对外销售",0,ROUND(N($J128)*IF($P128="",N($O128),N($P128)),0)))</f>
        <v/>
      </c>
      <c r="R128" s="26">
        <f>IF($D128="","",IFERROR(VLOOKUP($D128,库存台账!$A$5:$Y$1204,11,0),0))</f>
        <v/>
      </c>
      <c r="S128" s="26">
        <f>IF($D128="","",ROUND(N($J128)*N($R128),0))</f>
        <v/>
      </c>
      <c r="T128" s="26">
        <f>IF($D128="","",IF($K128&lt;&gt;"对外销售","",ROUND($Q128-$S128,0)))</f>
        <v/>
      </c>
      <c r="U128" s="17" t="n"/>
      <c r="V128" s="17" t="n"/>
      <c r="W128" s="24">
        <f>IF($D128="","",IF($E128="※编码不在物料档案里","※物料编码不在档案里",IF(N($J128)&lt;=0,"※出库数量要大于 0",IF($K128="","※没填去向类型",IF($L128="","※没填去向矿区",IF(AND($C128&lt;&gt;"",$C128&lt;=结账锁),"※日期早于已结账截止日，不能再录",IF(AND($K128="自用消耗",COUNTIF({"一矿区";"二矿区"},$L128)=0),"※自用消耗的去向只能是一矿区或二矿区",IF(AND($K128="对外销售",COUNTIF({"三矿区";"六矿区"},$L128)=0),"※对外销售的去向只能是三矿区或六矿区",IF(AND($K128="对外销售",ROUND($Q128,0)=0),"※外销却没有售价，请填实际售价",IF(AND($K128="对外销售",$T128&lt;&gt;"",$T128&lt;0),"※这一笔外销是亏的，请核对售价",IF(IFERROR(VLOOKUP($D128,库存台账!$A$5:$Y$1204,24,0),0)&lt;-0.001,"※这个物料账面已经变成负数了，查一下是不是漏记入库","")))))))))))</f>
        <v/>
      </c>
    </row>
    <row r="129">
      <c r="A129" s="24">
        <f>IF($D129="","",COUNTA($D$4:$D129))</f>
        <v/>
      </c>
      <c r="B129" s="17" t="n"/>
      <c r="C129" s="30" t="n"/>
      <c r="D129" s="17" t="n"/>
      <c r="E129" s="24">
        <f>IF($D129="","",IFERROR(VLOOKUP($D129,物料档案!$A$4:$P$1203,3,0),"※编码不在物料档案里"))</f>
        <v/>
      </c>
      <c r="F129" s="24">
        <f>IF($D129="","",IFERROR(VLOOKUP($D129,物料档案!$A$4:$P$1203,4,0),"※编码不在物料档案里"))</f>
        <v/>
      </c>
      <c r="G129" s="24">
        <f>IF($D129="","",IFERROR(VLOOKUP($D129,物料档案!$A$4:$P$1203,5,0),"※编码不在物料档案里"))</f>
        <v/>
      </c>
      <c r="H129" s="24">
        <f>IF($D129="","",IFERROR(VLOOKUP($D129,物料档案!$A$4:$P$1203,2,0),"※编码不在物料档案里"))</f>
        <v/>
      </c>
      <c r="I129" s="24">
        <f>IF($D129="","",IFERROR(VLOOKUP($D129,物料档案!$A$4:$P$1203,6,0),"※编码不在物料档案里"))</f>
        <v/>
      </c>
      <c r="J129" s="23" t="n"/>
      <c r="K129" s="17" t="n"/>
      <c r="L129" s="17" t="n"/>
      <c r="M129" s="17" t="n"/>
      <c r="N129" s="17" t="n"/>
      <c r="O129" s="26">
        <f>IF($D129="","",IFERROR(VLOOKUP($D129,物料档案!$A$4:$P$1203,10,0),0))</f>
        <v/>
      </c>
      <c r="P129" s="32" t="n"/>
      <c r="Q129" s="26">
        <f>IF($D129="","",IF($K129&lt;&gt;"对外销售",0,ROUND(N($J129)*IF($P129="",N($O129),N($P129)),0)))</f>
        <v/>
      </c>
      <c r="R129" s="26">
        <f>IF($D129="","",IFERROR(VLOOKUP($D129,库存台账!$A$5:$Y$1204,11,0),0))</f>
        <v/>
      </c>
      <c r="S129" s="26">
        <f>IF($D129="","",ROUND(N($J129)*N($R129),0))</f>
        <v/>
      </c>
      <c r="T129" s="26">
        <f>IF($D129="","",IF($K129&lt;&gt;"对外销售","",ROUND($Q129-$S129,0)))</f>
        <v/>
      </c>
      <c r="U129" s="17" t="n"/>
      <c r="V129" s="17" t="n"/>
      <c r="W129" s="24">
        <f>IF($D129="","",IF($E129="※编码不在物料档案里","※物料编码不在档案里",IF(N($J129)&lt;=0,"※出库数量要大于 0",IF($K129="","※没填去向类型",IF($L129="","※没填去向矿区",IF(AND($C129&lt;&gt;"",$C129&lt;=结账锁),"※日期早于已结账截止日，不能再录",IF(AND($K129="自用消耗",COUNTIF({"一矿区";"二矿区"},$L129)=0),"※自用消耗的去向只能是一矿区或二矿区",IF(AND($K129="对外销售",COUNTIF({"三矿区";"六矿区"},$L129)=0),"※对外销售的去向只能是三矿区或六矿区",IF(AND($K129="对外销售",ROUND($Q129,0)=0),"※外销却没有售价，请填实际售价",IF(AND($K129="对外销售",$T129&lt;&gt;"",$T129&lt;0),"※这一笔外销是亏的，请核对售价",IF(IFERROR(VLOOKUP($D129,库存台账!$A$5:$Y$1204,24,0),0)&lt;-0.001,"※这个物料账面已经变成负数了，查一下是不是漏记入库","")))))))))))</f>
        <v/>
      </c>
    </row>
    <row r="130">
      <c r="A130" s="24">
        <f>IF($D130="","",COUNTA($D$4:$D130))</f>
        <v/>
      </c>
      <c r="B130" s="17" t="n"/>
      <c r="C130" s="30" t="n"/>
      <c r="D130" s="17" t="n"/>
      <c r="E130" s="24">
        <f>IF($D130="","",IFERROR(VLOOKUP($D130,物料档案!$A$4:$P$1203,3,0),"※编码不在物料档案里"))</f>
        <v/>
      </c>
      <c r="F130" s="24">
        <f>IF($D130="","",IFERROR(VLOOKUP($D130,物料档案!$A$4:$P$1203,4,0),"※编码不在物料档案里"))</f>
        <v/>
      </c>
      <c r="G130" s="24">
        <f>IF($D130="","",IFERROR(VLOOKUP($D130,物料档案!$A$4:$P$1203,5,0),"※编码不在物料档案里"))</f>
        <v/>
      </c>
      <c r="H130" s="24">
        <f>IF($D130="","",IFERROR(VLOOKUP($D130,物料档案!$A$4:$P$1203,2,0),"※编码不在物料档案里"))</f>
        <v/>
      </c>
      <c r="I130" s="24">
        <f>IF($D130="","",IFERROR(VLOOKUP($D130,物料档案!$A$4:$P$1203,6,0),"※编码不在物料档案里"))</f>
        <v/>
      </c>
      <c r="J130" s="23" t="n"/>
      <c r="K130" s="17" t="n"/>
      <c r="L130" s="17" t="n"/>
      <c r="M130" s="17" t="n"/>
      <c r="N130" s="17" t="n"/>
      <c r="O130" s="26">
        <f>IF($D130="","",IFERROR(VLOOKUP($D130,物料档案!$A$4:$P$1203,10,0),0))</f>
        <v/>
      </c>
      <c r="P130" s="32" t="n"/>
      <c r="Q130" s="26">
        <f>IF($D130="","",IF($K130&lt;&gt;"对外销售",0,ROUND(N($J130)*IF($P130="",N($O130),N($P130)),0)))</f>
        <v/>
      </c>
      <c r="R130" s="26">
        <f>IF($D130="","",IFERROR(VLOOKUP($D130,库存台账!$A$5:$Y$1204,11,0),0))</f>
        <v/>
      </c>
      <c r="S130" s="26">
        <f>IF($D130="","",ROUND(N($J130)*N($R130),0))</f>
        <v/>
      </c>
      <c r="T130" s="26">
        <f>IF($D130="","",IF($K130&lt;&gt;"对外销售","",ROUND($Q130-$S130,0)))</f>
        <v/>
      </c>
      <c r="U130" s="17" t="n"/>
      <c r="V130" s="17" t="n"/>
      <c r="W130" s="24">
        <f>IF($D130="","",IF($E130="※编码不在物料档案里","※物料编码不在档案里",IF(N($J130)&lt;=0,"※出库数量要大于 0",IF($K130="","※没填去向类型",IF($L130="","※没填去向矿区",IF(AND($C130&lt;&gt;"",$C130&lt;=结账锁),"※日期早于已结账截止日，不能再录",IF(AND($K130="自用消耗",COUNTIF({"一矿区";"二矿区"},$L130)=0),"※自用消耗的去向只能是一矿区或二矿区",IF(AND($K130="对外销售",COUNTIF({"三矿区";"六矿区"},$L130)=0),"※对外销售的去向只能是三矿区或六矿区",IF(AND($K130="对外销售",ROUND($Q130,0)=0),"※外销却没有售价，请填实际售价",IF(AND($K130="对外销售",$T130&lt;&gt;"",$T130&lt;0),"※这一笔外销是亏的，请核对售价",IF(IFERROR(VLOOKUP($D130,库存台账!$A$5:$Y$1204,24,0),0)&lt;-0.001,"※这个物料账面已经变成负数了，查一下是不是漏记入库","")))))))))))</f>
        <v/>
      </c>
    </row>
    <row r="131">
      <c r="A131" s="24">
        <f>IF($D131="","",COUNTA($D$4:$D131))</f>
        <v/>
      </c>
      <c r="B131" s="17" t="n"/>
      <c r="C131" s="30" t="n"/>
      <c r="D131" s="17" t="n"/>
      <c r="E131" s="24">
        <f>IF($D131="","",IFERROR(VLOOKUP($D131,物料档案!$A$4:$P$1203,3,0),"※编码不在物料档案里"))</f>
        <v/>
      </c>
      <c r="F131" s="24">
        <f>IF($D131="","",IFERROR(VLOOKUP($D131,物料档案!$A$4:$P$1203,4,0),"※编码不在物料档案里"))</f>
        <v/>
      </c>
      <c r="G131" s="24">
        <f>IF($D131="","",IFERROR(VLOOKUP($D131,物料档案!$A$4:$P$1203,5,0),"※编码不在物料档案里"))</f>
        <v/>
      </c>
      <c r="H131" s="24">
        <f>IF($D131="","",IFERROR(VLOOKUP($D131,物料档案!$A$4:$P$1203,2,0),"※编码不在物料档案里"))</f>
        <v/>
      </c>
      <c r="I131" s="24">
        <f>IF($D131="","",IFERROR(VLOOKUP($D131,物料档案!$A$4:$P$1203,6,0),"※编码不在物料档案里"))</f>
        <v/>
      </c>
      <c r="J131" s="23" t="n"/>
      <c r="K131" s="17" t="n"/>
      <c r="L131" s="17" t="n"/>
      <c r="M131" s="17" t="n"/>
      <c r="N131" s="17" t="n"/>
      <c r="O131" s="26">
        <f>IF($D131="","",IFERROR(VLOOKUP($D131,物料档案!$A$4:$P$1203,10,0),0))</f>
        <v/>
      </c>
      <c r="P131" s="32" t="n"/>
      <c r="Q131" s="26">
        <f>IF($D131="","",IF($K131&lt;&gt;"对外销售",0,ROUND(N($J131)*IF($P131="",N($O131),N($P131)),0)))</f>
        <v/>
      </c>
      <c r="R131" s="26">
        <f>IF($D131="","",IFERROR(VLOOKUP($D131,库存台账!$A$5:$Y$1204,11,0),0))</f>
        <v/>
      </c>
      <c r="S131" s="26">
        <f>IF($D131="","",ROUND(N($J131)*N($R131),0))</f>
        <v/>
      </c>
      <c r="T131" s="26">
        <f>IF($D131="","",IF($K131&lt;&gt;"对外销售","",ROUND($Q131-$S131,0)))</f>
        <v/>
      </c>
      <c r="U131" s="17" t="n"/>
      <c r="V131" s="17" t="n"/>
      <c r="W131" s="24">
        <f>IF($D131="","",IF($E131="※编码不在物料档案里","※物料编码不在档案里",IF(N($J131)&lt;=0,"※出库数量要大于 0",IF($K131="","※没填去向类型",IF($L131="","※没填去向矿区",IF(AND($C131&lt;&gt;"",$C131&lt;=结账锁),"※日期早于已结账截止日，不能再录",IF(AND($K131="自用消耗",COUNTIF({"一矿区";"二矿区"},$L131)=0),"※自用消耗的去向只能是一矿区或二矿区",IF(AND($K131="对外销售",COUNTIF({"三矿区";"六矿区"},$L131)=0),"※对外销售的去向只能是三矿区或六矿区",IF(AND($K131="对外销售",ROUND($Q131,0)=0),"※外销却没有售价，请填实际售价",IF(AND($K131="对外销售",$T131&lt;&gt;"",$T131&lt;0),"※这一笔外销是亏的，请核对售价",IF(IFERROR(VLOOKUP($D131,库存台账!$A$5:$Y$1204,24,0),0)&lt;-0.001,"※这个物料账面已经变成负数了，查一下是不是漏记入库","")))))))))))</f>
        <v/>
      </c>
    </row>
    <row r="132">
      <c r="A132" s="24">
        <f>IF($D132="","",COUNTA($D$4:$D132))</f>
        <v/>
      </c>
      <c r="B132" s="17" t="n"/>
      <c r="C132" s="30" t="n"/>
      <c r="D132" s="17" t="n"/>
      <c r="E132" s="24">
        <f>IF($D132="","",IFERROR(VLOOKUP($D132,物料档案!$A$4:$P$1203,3,0),"※编码不在物料档案里"))</f>
        <v/>
      </c>
      <c r="F132" s="24">
        <f>IF($D132="","",IFERROR(VLOOKUP($D132,物料档案!$A$4:$P$1203,4,0),"※编码不在物料档案里"))</f>
        <v/>
      </c>
      <c r="G132" s="24">
        <f>IF($D132="","",IFERROR(VLOOKUP($D132,物料档案!$A$4:$P$1203,5,0),"※编码不在物料档案里"))</f>
        <v/>
      </c>
      <c r="H132" s="24">
        <f>IF($D132="","",IFERROR(VLOOKUP($D132,物料档案!$A$4:$P$1203,2,0),"※编码不在物料档案里"))</f>
        <v/>
      </c>
      <c r="I132" s="24">
        <f>IF($D132="","",IFERROR(VLOOKUP($D132,物料档案!$A$4:$P$1203,6,0),"※编码不在物料档案里"))</f>
        <v/>
      </c>
      <c r="J132" s="23" t="n"/>
      <c r="K132" s="17" t="n"/>
      <c r="L132" s="17" t="n"/>
      <c r="M132" s="17" t="n"/>
      <c r="N132" s="17" t="n"/>
      <c r="O132" s="26">
        <f>IF($D132="","",IFERROR(VLOOKUP($D132,物料档案!$A$4:$P$1203,10,0),0))</f>
        <v/>
      </c>
      <c r="P132" s="32" t="n"/>
      <c r="Q132" s="26">
        <f>IF($D132="","",IF($K132&lt;&gt;"对外销售",0,ROUND(N($J132)*IF($P132="",N($O132),N($P132)),0)))</f>
        <v/>
      </c>
      <c r="R132" s="26">
        <f>IF($D132="","",IFERROR(VLOOKUP($D132,库存台账!$A$5:$Y$1204,11,0),0))</f>
        <v/>
      </c>
      <c r="S132" s="26">
        <f>IF($D132="","",ROUND(N($J132)*N($R132),0))</f>
        <v/>
      </c>
      <c r="T132" s="26">
        <f>IF($D132="","",IF($K132&lt;&gt;"对外销售","",ROUND($Q132-$S132,0)))</f>
        <v/>
      </c>
      <c r="U132" s="17" t="n"/>
      <c r="V132" s="17" t="n"/>
      <c r="W132" s="24">
        <f>IF($D132="","",IF($E132="※编码不在物料档案里","※物料编码不在档案里",IF(N($J132)&lt;=0,"※出库数量要大于 0",IF($K132="","※没填去向类型",IF($L132="","※没填去向矿区",IF(AND($C132&lt;&gt;"",$C132&lt;=结账锁),"※日期早于已结账截止日，不能再录",IF(AND($K132="自用消耗",COUNTIF({"一矿区";"二矿区"},$L132)=0),"※自用消耗的去向只能是一矿区或二矿区",IF(AND($K132="对外销售",COUNTIF({"三矿区";"六矿区"},$L132)=0),"※对外销售的去向只能是三矿区或六矿区",IF(AND($K132="对外销售",ROUND($Q132,0)=0),"※外销却没有售价，请填实际售价",IF(AND($K132="对外销售",$T132&lt;&gt;"",$T132&lt;0),"※这一笔外销是亏的，请核对售价",IF(IFERROR(VLOOKUP($D132,库存台账!$A$5:$Y$1204,24,0),0)&lt;-0.001,"※这个物料账面已经变成负数了，查一下是不是漏记入库","")))))))))))</f>
        <v/>
      </c>
    </row>
    <row r="133">
      <c r="A133" s="24">
        <f>IF($D133="","",COUNTA($D$4:$D133))</f>
        <v/>
      </c>
      <c r="B133" s="17" t="n"/>
      <c r="C133" s="30" t="n"/>
      <c r="D133" s="17" t="n"/>
      <c r="E133" s="24">
        <f>IF($D133="","",IFERROR(VLOOKUP($D133,物料档案!$A$4:$P$1203,3,0),"※编码不在物料档案里"))</f>
        <v/>
      </c>
      <c r="F133" s="24">
        <f>IF($D133="","",IFERROR(VLOOKUP($D133,物料档案!$A$4:$P$1203,4,0),"※编码不在物料档案里"))</f>
        <v/>
      </c>
      <c r="G133" s="24">
        <f>IF($D133="","",IFERROR(VLOOKUP($D133,物料档案!$A$4:$P$1203,5,0),"※编码不在物料档案里"))</f>
        <v/>
      </c>
      <c r="H133" s="24">
        <f>IF($D133="","",IFERROR(VLOOKUP($D133,物料档案!$A$4:$P$1203,2,0),"※编码不在物料档案里"))</f>
        <v/>
      </c>
      <c r="I133" s="24">
        <f>IF($D133="","",IFERROR(VLOOKUP($D133,物料档案!$A$4:$P$1203,6,0),"※编码不在物料档案里"))</f>
        <v/>
      </c>
      <c r="J133" s="23" t="n"/>
      <c r="K133" s="17" t="n"/>
      <c r="L133" s="17" t="n"/>
      <c r="M133" s="17" t="n"/>
      <c r="N133" s="17" t="n"/>
      <c r="O133" s="26">
        <f>IF($D133="","",IFERROR(VLOOKUP($D133,物料档案!$A$4:$P$1203,10,0),0))</f>
        <v/>
      </c>
      <c r="P133" s="32" t="n"/>
      <c r="Q133" s="26">
        <f>IF($D133="","",IF($K133&lt;&gt;"对外销售",0,ROUND(N($J133)*IF($P133="",N($O133),N($P133)),0)))</f>
        <v/>
      </c>
      <c r="R133" s="26">
        <f>IF($D133="","",IFERROR(VLOOKUP($D133,库存台账!$A$5:$Y$1204,11,0),0))</f>
        <v/>
      </c>
      <c r="S133" s="26">
        <f>IF($D133="","",ROUND(N($J133)*N($R133),0))</f>
        <v/>
      </c>
      <c r="T133" s="26">
        <f>IF($D133="","",IF($K133&lt;&gt;"对外销售","",ROUND($Q133-$S133,0)))</f>
        <v/>
      </c>
      <c r="U133" s="17" t="n"/>
      <c r="V133" s="17" t="n"/>
      <c r="W133" s="24">
        <f>IF($D133="","",IF($E133="※编码不在物料档案里","※物料编码不在档案里",IF(N($J133)&lt;=0,"※出库数量要大于 0",IF($K133="","※没填去向类型",IF($L133="","※没填去向矿区",IF(AND($C133&lt;&gt;"",$C133&lt;=结账锁),"※日期早于已结账截止日，不能再录",IF(AND($K133="自用消耗",COUNTIF({"一矿区";"二矿区"},$L133)=0),"※自用消耗的去向只能是一矿区或二矿区",IF(AND($K133="对外销售",COUNTIF({"三矿区";"六矿区"},$L133)=0),"※对外销售的去向只能是三矿区或六矿区",IF(AND($K133="对外销售",ROUND($Q133,0)=0),"※外销却没有售价，请填实际售价",IF(AND($K133="对外销售",$T133&lt;&gt;"",$T133&lt;0),"※这一笔外销是亏的，请核对售价",IF(IFERROR(VLOOKUP($D133,库存台账!$A$5:$Y$1204,24,0),0)&lt;-0.001,"※这个物料账面已经变成负数了，查一下是不是漏记入库","")))))))))))</f>
        <v/>
      </c>
    </row>
    <row r="134">
      <c r="A134" s="24">
        <f>IF($D134="","",COUNTA($D$4:$D134))</f>
        <v/>
      </c>
      <c r="B134" s="17" t="n"/>
      <c r="C134" s="30" t="n"/>
      <c r="D134" s="17" t="n"/>
      <c r="E134" s="24">
        <f>IF($D134="","",IFERROR(VLOOKUP($D134,物料档案!$A$4:$P$1203,3,0),"※编码不在物料档案里"))</f>
        <v/>
      </c>
      <c r="F134" s="24">
        <f>IF($D134="","",IFERROR(VLOOKUP($D134,物料档案!$A$4:$P$1203,4,0),"※编码不在物料档案里"))</f>
        <v/>
      </c>
      <c r="G134" s="24">
        <f>IF($D134="","",IFERROR(VLOOKUP($D134,物料档案!$A$4:$P$1203,5,0),"※编码不在物料档案里"))</f>
        <v/>
      </c>
      <c r="H134" s="24">
        <f>IF($D134="","",IFERROR(VLOOKUP($D134,物料档案!$A$4:$P$1203,2,0),"※编码不在物料档案里"))</f>
        <v/>
      </c>
      <c r="I134" s="24">
        <f>IF($D134="","",IFERROR(VLOOKUP($D134,物料档案!$A$4:$P$1203,6,0),"※编码不在物料档案里"))</f>
        <v/>
      </c>
      <c r="J134" s="23" t="n"/>
      <c r="K134" s="17" t="n"/>
      <c r="L134" s="17" t="n"/>
      <c r="M134" s="17" t="n"/>
      <c r="N134" s="17" t="n"/>
      <c r="O134" s="26">
        <f>IF($D134="","",IFERROR(VLOOKUP($D134,物料档案!$A$4:$P$1203,10,0),0))</f>
        <v/>
      </c>
      <c r="P134" s="32" t="n"/>
      <c r="Q134" s="26">
        <f>IF($D134="","",IF($K134&lt;&gt;"对外销售",0,ROUND(N($J134)*IF($P134="",N($O134),N($P134)),0)))</f>
        <v/>
      </c>
      <c r="R134" s="26">
        <f>IF($D134="","",IFERROR(VLOOKUP($D134,库存台账!$A$5:$Y$1204,11,0),0))</f>
        <v/>
      </c>
      <c r="S134" s="26">
        <f>IF($D134="","",ROUND(N($J134)*N($R134),0))</f>
        <v/>
      </c>
      <c r="T134" s="26">
        <f>IF($D134="","",IF($K134&lt;&gt;"对外销售","",ROUND($Q134-$S134,0)))</f>
        <v/>
      </c>
      <c r="U134" s="17" t="n"/>
      <c r="V134" s="17" t="n"/>
      <c r="W134" s="24">
        <f>IF($D134="","",IF($E134="※编码不在物料档案里","※物料编码不在档案里",IF(N($J134)&lt;=0,"※出库数量要大于 0",IF($K134="","※没填去向类型",IF($L134="","※没填去向矿区",IF(AND($C134&lt;&gt;"",$C134&lt;=结账锁),"※日期早于已结账截止日，不能再录",IF(AND($K134="自用消耗",COUNTIF({"一矿区";"二矿区"},$L134)=0),"※自用消耗的去向只能是一矿区或二矿区",IF(AND($K134="对外销售",COUNTIF({"三矿区";"六矿区"},$L134)=0),"※对外销售的去向只能是三矿区或六矿区",IF(AND($K134="对外销售",ROUND($Q134,0)=0),"※外销却没有售价，请填实际售价",IF(AND($K134="对外销售",$T134&lt;&gt;"",$T134&lt;0),"※这一笔外销是亏的，请核对售价",IF(IFERROR(VLOOKUP($D134,库存台账!$A$5:$Y$1204,24,0),0)&lt;-0.001,"※这个物料账面已经变成负数了，查一下是不是漏记入库","")))))))))))</f>
        <v/>
      </c>
    </row>
    <row r="135">
      <c r="A135" s="24">
        <f>IF($D135="","",COUNTA($D$4:$D135))</f>
        <v/>
      </c>
      <c r="B135" s="17" t="n"/>
      <c r="C135" s="30" t="n"/>
      <c r="D135" s="17" t="n"/>
      <c r="E135" s="24">
        <f>IF($D135="","",IFERROR(VLOOKUP($D135,物料档案!$A$4:$P$1203,3,0),"※编码不在物料档案里"))</f>
        <v/>
      </c>
      <c r="F135" s="24">
        <f>IF($D135="","",IFERROR(VLOOKUP($D135,物料档案!$A$4:$P$1203,4,0),"※编码不在物料档案里"))</f>
        <v/>
      </c>
      <c r="G135" s="24">
        <f>IF($D135="","",IFERROR(VLOOKUP($D135,物料档案!$A$4:$P$1203,5,0),"※编码不在物料档案里"))</f>
        <v/>
      </c>
      <c r="H135" s="24">
        <f>IF($D135="","",IFERROR(VLOOKUP($D135,物料档案!$A$4:$P$1203,2,0),"※编码不在物料档案里"))</f>
        <v/>
      </c>
      <c r="I135" s="24">
        <f>IF($D135="","",IFERROR(VLOOKUP($D135,物料档案!$A$4:$P$1203,6,0),"※编码不在物料档案里"))</f>
        <v/>
      </c>
      <c r="J135" s="23" t="n"/>
      <c r="K135" s="17" t="n"/>
      <c r="L135" s="17" t="n"/>
      <c r="M135" s="17" t="n"/>
      <c r="N135" s="17" t="n"/>
      <c r="O135" s="26">
        <f>IF($D135="","",IFERROR(VLOOKUP($D135,物料档案!$A$4:$P$1203,10,0),0))</f>
        <v/>
      </c>
      <c r="P135" s="32" t="n"/>
      <c r="Q135" s="26">
        <f>IF($D135="","",IF($K135&lt;&gt;"对外销售",0,ROUND(N($J135)*IF($P135="",N($O135),N($P135)),0)))</f>
        <v/>
      </c>
      <c r="R135" s="26">
        <f>IF($D135="","",IFERROR(VLOOKUP($D135,库存台账!$A$5:$Y$1204,11,0),0))</f>
        <v/>
      </c>
      <c r="S135" s="26">
        <f>IF($D135="","",ROUND(N($J135)*N($R135),0))</f>
        <v/>
      </c>
      <c r="T135" s="26">
        <f>IF($D135="","",IF($K135&lt;&gt;"对外销售","",ROUND($Q135-$S135,0)))</f>
        <v/>
      </c>
      <c r="U135" s="17" t="n"/>
      <c r="V135" s="17" t="n"/>
      <c r="W135" s="24">
        <f>IF($D135="","",IF($E135="※编码不在物料档案里","※物料编码不在档案里",IF(N($J135)&lt;=0,"※出库数量要大于 0",IF($K135="","※没填去向类型",IF($L135="","※没填去向矿区",IF(AND($C135&lt;&gt;"",$C135&lt;=结账锁),"※日期早于已结账截止日，不能再录",IF(AND($K135="自用消耗",COUNTIF({"一矿区";"二矿区"},$L135)=0),"※自用消耗的去向只能是一矿区或二矿区",IF(AND($K135="对外销售",COUNTIF({"三矿区";"六矿区"},$L135)=0),"※对外销售的去向只能是三矿区或六矿区",IF(AND($K135="对外销售",ROUND($Q135,0)=0),"※外销却没有售价，请填实际售价",IF(AND($K135="对外销售",$T135&lt;&gt;"",$T135&lt;0),"※这一笔外销是亏的，请核对售价",IF(IFERROR(VLOOKUP($D135,库存台账!$A$5:$Y$1204,24,0),0)&lt;-0.001,"※这个物料账面已经变成负数了，查一下是不是漏记入库","")))))))))))</f>
        <v/>
      </c>
    </row>
    <row r="136">
      <c r="A136" s="24">
        <f>IF($D136="","",COUNTA($D$4:$D136))</f>
        <v/>
      </c>
      <c r="B136" s="17" t="n"/>
      <c r="C136" s="30" t="n"/>
      <c r="D136" s="17" t="n"/>
      <c r="E136" s="24">
        <f>IF($D136="","",IFERROR(VLOOKUP($D136,物料档案!$A$4:$P$1203,3,0),"※编码不在物料档案里"))</f>
        <v/>
      </c>
      <c r="F136" s="24">
        <f>IF($D136="","",IFERROR(VLOOKUP($D136,物料档案!$A$4:$P$1203,4,0),"※编码不在物料档案里"))</f>
        <v/>
      </c>
      <c r="G136" s="24">
        <f>IF($D136="","",IFERROR(VLOOKUP($D136,物料档案!$A$4:$P$1203,5,0),"※编码不在物料档案里"))</f>
        <v/>
      </c>
      <c r="H136" s="24">
        <f>IF($D136="","",IFERROR(VLOOKUP($D136,物料档案!$A$4:$P$1203,2,0),"※编码不在物料档案里"))</f>
        <v/>
      </c>
      <c r="I136" s="24">
        <f>IF($D136="","",IFERROR(VLOOKUP($D136,物料档案!$A$4:$P$1203,6,0),"※编码不在物料档案里"))</f>
        <v/>
      </c>
      <c r="J136" s="23" t="n"/>
      <c r="K136" s="17" t="n"/>
      <c r="L136" s="17" t="n"/>
      <c r="M136" s="17" t="n"/>
      <c r="N136" s="17" t="n"/>
      <c r="O136" s="26">
        <f>IF($D136="","",IFERROR(VLOOKUP($D136,物料档案!$A$4:$P$1203,10,0),0))</f>
        <v/>
      </c>
      <c r="P136" s="32" t="n"/>
      <c r="Q136" s="26">
        <f>IF($D136="","",IF($K136&lt;&gt;"对外销售",0,ROUND(N($J136)*IF($P136="",N($O136),N($P136)),0)))</f>
        <v/>
      </c>
      <c r="R136" s="26">
        <f>IF($D136="","",IFERROR(VLOOKUP($D136,库存台账!$A$5:$Y$1204,11,0),0))</f>
        <v/>
      </c>
      <c r="S136" s="26">
        <f>IF($D136="","",ROUND(N($J136)*N($R136),0))</f>
        <v/>
      </c>
      <c r="T136" s="26">
        <f>IF($D136="","",IF($K136&lt;&gt;"对外销售","",ROUND($Q136-$S136,0)))</f>
        <v/>
      </c>
      <c r="U136" s="17" t="n"/>
      <c r="V136" s="17" t="n"/>
      <c r="W136" s="24">
        <f>IF($D136="","",IF($E136="※编码不在物料档案里","※物料编码不在档案里",IF(N($J136)&lt;=0,"※出库数量要大于 0",IF($K136="","※没填去向类型",IF($L136="","※没填去向矿区",IF(AND($C136&lt;&gt;"",$C136&lt;=结账锁),"※日期早于已结账截止日，不能再录",IF(AND($K136="自用消耗",COUNTIF({"一矿区";"二矿区"},$L136)=0),"※自用消耗的去向只能是一矿区或二矿区",IF(AND($K136="对外销售",COUNTIF({"三矿区";"六矿区"},$L136)=0),"※对外销售的去向只能是三矿区或六矿区",IF(AND($K136="对外销售",ROUND($Q136,0)=0),"※外销却没有售价，请填实际售价",IF(AND($K136="对外销售",$T136&lt;&gt;"",$T136&lt;0),"※这一笔外销是亏的，请核对售价",IF(IFERROR(VLOOKUP($D136,库存台账!$A$5:$Y$1204,24,0),0)&lt;-0.001,"※这个物料账面已经变成负数了，查一下是不是漏记入库","")))))))))))</f>
        <v/>
      </c>
    </row>
    <row r="137">
      <c r="A137" s="24">
        <f>IF($D137="","",COUNTA($D$4:$D137))</f>
        <v/>
      </c>
      <c r="B137" s="17" t="n"/>
      <c r="C137" s="30" t="n"/>
      <c r="D137" s="17" t="n"/>
      <c r="E137" s="24">
        <f>IF($D137="","",IFERROR(VLOOKUP($D137,物料档案!$A$4:$P$1203,3,0),"※编码不在物料档案里"))</f>
        <v/>
      </c>
      <c r="F137" s="24">
        <f>IF($D137="","",IFERROR(VLOOKUP($D137,物料档案!$A$4:$P$1203,4,0),"※编码不在物料档案里"))</f>
        <v/>
      </c>
      <c r="G137" s="24">
        <f>IF($D137="","",IFERROR(VLOOKUP($D137,物料档案!$A$4:$P$1203,5,0),"※编码不在物料档案里"))</f>
        <v/>
      </c>
      <c r="H137" s="24">
        <f>IF($D137="","",IFERROR(VLOOKUP($D137,物料档案!$A$4:$P$1203,2,0),"※编码不在物料档案里"))</f>
        <v/>
      </c>
      <c r="I137" s="24">
        <f>IF($D137="","",IFERROR(VLOOKUP($D137,物料档案!$A$4:$P$1203,6,0),"※编码不在物料档案里"))</f>
        <v/>
      </c>
      <c r="J137" s="23" t="n"/>
      <c r="K137" s="17" t="n"/>
      <c r="L137" s="17" t="n"/>
      <c r="M137" s="17" t="n"/>
      <c r="N137" s="17" t="n"/>
      <c r="O137" s="26">
        <f>IF($D137="","",IFERROR(VLOOKUP($D137,物料档案!$A$4:$P$1203,10,0),0))</f>
        <v/>
      </c>
      <c r="P137" s="32" t="n"/>
      <c r="Q137" s="26">
        <f>IF($D137="","",IF($K137&lt;&gt;"对外销售",0,ROUND(N($J137)*IF($P137="",N($O137),N($P137)),0)))</f>
        <v/>
      </c>
      <c r="R137" s="26">
        <f>IF($D137="","",IFERROR(VLOOKUP($D137,库存台账!$A$5:$Y$1204,11,0),0))</f>
        <v/>
      </c>
      <c r="S137" s="26">
        <f>IF($D137="","",ROUND(N($J137)*N($R137),0))</f>
        <v/>
      </c>
      <c r="T137" s="26">
        <f>IF($D137="","",IF($K137&lt;&gt;"对外销售","",ROUND($Q137-$S137,0)))</f>
        <v/>
      </c>
      <c r="U137" s="17" t="n"/>
      <c r="V137" s="17" t="n"/>
      <c r="W137" s="24">
        <f>IF($D137="","",IF($E137="※编码不在物料档案里","※物料编码不在档案里",IF(N($J137)&lt;=0,"※出库数量要大于 0",IF($K137="","※没填去向类型",IF($L137="","※没填去向矿区",IF(AND($C137&lt;&gt;"",$C137&lt;=结账锁),"※日期早于已结账截止日，不能再录",IF(AND($K137="自用消耗",COUNTIF({"一矿区";"二矿区"},$L137)=0),"※自用消耗的去向只能是一矿区或二矿区",IF(AND($K137="对外销售",COUNTIF({"三矿区";"六矿区"},$L137)=0),"※对外销售的去向只能是三矿区或六矿区",IF(AND($K137="对外销售",ROUND($Q137,0)=0),"※外销却没有售价，请填实际售价",IF(AND($K137="对外销售",$T137&lt;&gt;"",$T137&lt;0),"※这一笔外销是亏的，请核对售价",IF(IFERROR(VLOOKUP($D137,库存台账!$A$5:$Y$1204,24,0),0)&lt;-0.001,"※这个物料账面已经变成负数了，查一下是不是漏记入库","")))))))))))</f>
        <v/>
      </c>
    </row>
    <row r="138">
      <c r="A138" s="24">
        <f>IF($D138="","",COUNTA($D$4:$D138))</f>
        <v/>
      </c>
      <c r="B138" s="17" t="n"/>
      <c r="C138" s="30" t="n"/>
      <c r="D138" s="17" t="n"/>
      <c r="E138" s="24">
        <f>IF($D138="","",IFERROR(VLOOKUP($D138,物料档案!$A$4:$P$1203,3,0),"※编码不在物料档案里"))</f>
        <v/>
      </c>
      <c r="F138" s="24">
        <f>IF($D138="","",IFERROR(VLOOKUP($D138,物料档案!$A$4:$P$1203,4,0),"※编码不在物料档案里"))</f>
        <v/>
      </c>
      <c r="G138" s="24">
        <f>IF($D138="","",IFERROR(VLOOKUP($D138,物料档案!$A$4:$P$1203,5,0),"※编码不在物料档案里"))</f>
        <v/>
      </c>
      <c r="H138" s="24">
        <f>IF($D138="","",IFERROR(VLOOKUP($D138,物料档案!$A$4:$P$1203,2,0),"※编码不在物料档案里"))</f>
        <v/>
      </c>
      <c r="I138" s="24">
        <f>IF($D138="","",IFERROR(VLOOKUP($D138,物料档案!$A$4:$P$1203,6,0),"※编码不在物料档案里"))</f>
        <v/>
      </c>
      <c r="J138" s="23" t="n"/>
      <c r="K138" s="17" t="n"/>
      <c r="L138" s="17" t="n"/>
      <c r="M138" s="17" t="n"/>
      <c r="N138" s="17" t="n"/>
      <c r="O138" s="26">
        <f>IF($D138="","",IFERROR(VLOOKUP($D138,物料档案!$A$4:$P$1203,10,0),0))</f>
        <v/>
      </c>
      <c r="P138" s="32" t="n"/>
      <c r="Q138" s="26">
        <f>IF($D138="","",IF($K138&lt;&gt;"对外销售",0,ROUND(N($J138)*IF($P138="",N($O138),N($P138)),0)))</f>
        <v/>
      </c>
      <c r="R138" s="26">
        <f>IF($D138="","",IFERROR(VLOOKUP($D138,库存台账!$A$5:$Y$1204,11,0),0))</f>
        <v/>
      </c>
      <c r="S138" s="26">
        <f>IF($D138="","",ROUND(N($J138)*N($R138),0))</f>
        <v/>
      </c>
      <c r="T138" s="26">
        <f>IF($D138="","",IF($K138&lt;&gt;"对外销售","",ROUND($Q138-$S138,0)))</f>
        <v/>
      </c>
      <c r="U138" s="17" t="n"/>
      <c r="V138" s="17" t="n"/>
      <c r="W138" s="24">
        <f>IF($D138="","",IF($E138="※编码不在物料档案里","※物料编码不在档案里",IF(N($J138)&lt;=0,"※出库数量要大于 0",IF($K138="","※没填去向类型",IF($L138="","※没填去向矿区",IF(AND($C138&lt;&gt;"",$C138&lt;=结账锁),"※日期早于已结账截止日，不能再录",IF(AND($K138="自用消耗",COUNTIF({"一矿区";"二矿区"},$L138)=0),"※自用消耗的去向只能是一矿区或二矿区",IF(AND($K138="对外销售",COUNTIF({"三矿区";"六矿区"},$L138)=0),"※对外销售的去向只能是三矿区或六矿区",IF(AND($K138="对外销售",ROUND($Q138,0)=0),"※外销却没有售价，请填实际售价",IF(AND($K138="对外销售",$T138&lt;&gt;"",$T138&lt;0),"※这一笔外销是亏的，请核对售价",IF(IFERROR(VLOOKUP($D138,库存台账!$A$5:$Y$1204,24,0),0)&lt;-0.001,"※这个物料账面已经变成负数了，查一下是不是漏记入库","")))))))))))</f>
        <v/>
      </c>
    </row>
    <row r="139">
      <c r="A139" s="24">
        <f>IF($D139="","",COUNTA($D$4:$D139))</f>
        <v/>
      </c>
      <c r="B139" s="17" t="n"/>
      <c r="C139" s="30" t="n"/>
      <c r="D139" s="17" t="n"/>
      <c r="E139" s="24">
        <f>IF($D139="","",IFERROR(VLOOKUP($D139,物料档案!$A$4:$P$1203,3,0),"※编码不在物料档案里"))</f>
        <v/>
      </c>
      <c r="F139" s="24">
        <f>IF($D139="","",IFERROR(VLOOKUP($D139,物料档案!$A$4:$P$1203,4,0),"※编码不在物料档案里"))</f>
        <v/>
      </c>
      <c r="G139" s="24">
        <f>IF($D139="","",IFERROR(VLOOKUP($D139,物料档案!$A$4:$P$1203,5,0),"※编码不在物料档案里"))</f>
        <v/>
      </c>
      <c r="H139" s="24">
        <f>IF($D139="","",IFERROR(VLOOKUP($D139,物料档案!$A$4:$P$1203,2,0),"※编码不在物料档案里"))</f>
        <v/>
      </c>
      <c r="I139" s="24">
        <f>IF($D139="","",IFERROR(VLOOKUP($D139,物料档案!$A$4:$P$1203,6,0),"※编码不在物料档案里"))</f>
        <v/>
      </c>
      <c r="J139" s="23" t="n"/>
      <c r="K139" s="17" t="n"/>
      <c r="L139" s="17" t="n"/>
      <c r="M139" s="17" t="n"/>
      <c r="N139" s="17" t="n"/>
      <c r="O139" s="26">
        <f>IF($D139="","",IFERROR(VLOOKUP($D139,物料档案!$A$4:$P$1203,10,0),0))</f>
        <v/>
      </c>
      <c r="P139" s="32" t="n"/>
      <c r="Q139" s="26">
        <f>IF($D139="","",IF($K139&lt;&gt;"对外销售",0,ROUND(N($J139)*IF($P139="",N($O139),N($P139)),0)))</f>
        <v/>
      </c>
      <c r="R139" s="26">
        <f>IF($D139="","",IFERROR(VLOOKUP($D139,库存台账!$A$5:$Y$1204,11,0),0))</f>
        <v/>
      </c>
      <c r="S139" s="26">
        <f>IF($D139="","",ROUND(N($J139)*N($R139),0))</f>
        <v/>
      </c>
      <c r="T139" s="26">
        <f>IF($D139="","",IF($K139&lt;&gt;"对外销售","",ROUND($Q139-$S139,0)))</f>
        <v/>
      </c>
      <c r="U139" s="17" t="n"/>
      <c r="V139" s="17" t="n"/>
      <c r="W139" s="24">
        <f>IF($D139="","",IF($E139="※编码不在物料档案里","※物料编码不在档案里",IF(N($J139)&lt;=0,"※出库数量要大于 0",IF($K139="","※没填去向类型",IF($L139="","※没填去向矿区",IF(AND($C139&lt;&gt;"",$C139&lt;=结账锁),"※日期早于已结账截止日，不能再录",IF(AND($K139="自用消耗",COUNTIF({"一矿区";"二矿区"},$L139)=0),"※自用消耗的去向只能是一矿区或二矿区",IF(AND($K139="对外销售",COUNTIF({"三矿区";"六矿区"},$L139)=0),"※对外销售的去向只能是三矿区或六矿区",IF(AND($K139="对外销售",ROUND($Q139,0)=0),"※外销却没有售价，请填实际售价",IF(AND($K139="对外销售",$T139&lt;&gt;"",$T139&lt;0),"※这一笔外销是亏的，请核对售价",IF(IFERROR(VLOOKUP($D139,库存台账!$A$5:$Y$1204,24,0),0)&lt;-0.001,"※这个物料账面已经变成负数了，查一下是不是漏记入库","")))))))))))</f>
        <v/>
      </c>
    </row>
    <row r="140">
      <c r="A140" s="24">
        <f>IF($D140="","",COUNTA($D$4:$D140))</f>
        <v/>
      </c>
      <c r="B140" s="17" t="n"/>
      <c r="C140" s="30" t="n"/>
      <c r="D140" s="17" t="n"/>
      <c r="E140" s="24">
        <f>IF($D140="","",IFERROR(VLOOKUP($D140,物料档案!$A$4:$P$1203,3,0),"※编码不在物料档案里"))</f>
        <v/>
      </c>
      <c r="F140" s="24">
        <f>IF($D140="","",IFERROR(VLOOKUP($D140,物料档案!$A$4:$P$1203,4,0),"※编码不在物料档案里"))</f>
        <v/>
      </c>
      <c r="G140" s="24">
        <f>IF($D140="","",IFERROR(VLOOKUP($D140,物料档案!$A$4:$P$1203,5,0),"※编码不在物料档案里"))</f>
        <v/>
      </c>
      <c r="H140" s="24">
        <f>IF($D140="","",IFERROR(VLOOKUP($D140,物料档案!$A$4:$P$1203,2,0),"※编码不在物料档案里"))</f>
        <v/>
      </c>
      <c r="I140" s="24">
        <f>IF($D140="","",IFERROR(VLOOKUP($D140,物料档案!$A$4:$P$1203,6,0),"※编码不在物料档案里"))</f>
        <v/>
      </c>
      <c r="J140" s="23" t="n"/>
      <c r="K140" s="17" t="n"/>
      <c r="L140" s="17" t="n"/>
      <c r="M140" s="17" t="n"/>
      <c r="N140" s="17" t="n"/>
      <c r="O140" s="26">
        <f>IF($D140="","",IFERROR(VLOOKUP($D140,物料档案!$A$4:$P$1203,10,0),0))</f>
        <v/>
      </c>
      <c r="P140" s="32" t="n"/>
      <c r="Q140" s="26">
        <f>IF($D140="","",IF($K140&lt;&gt;"对外销售",0,ROUND(N($J140)*IF($P140="",N($O140),N($P140)),0)))</f>
        <v/>
      </c>
      <c r="R140" s="26">
        <f>IF($D140="","",IFERROR(VLOOKUP($D140,库存台账!$A$5:$Y$1204,11,0),0))</f>
        <v/>
      </c>
      <c r="S140" s="26">
        <f>IF($D140="","",ROUND(N($J140)*N($R140),0))</f>
        <v/>
      </c>
      <c r="T140" s="26">
        <f>IF($D140="","",IF($K140&lt;&gt;"对外销售","",ROUND($Q140-$S140,0)))</f>
        <v/>
      </c>
      <c r="U140" s="17" t="n"/>
      <c r="V140" s="17" t="n"/>
      <c r="W140" s="24">
        <f>IF($D140="","",IF($E140="※编码不在物料档案里","※物料编码不在档案里",IF(N($J140)&lt;=0,"※出库数量要大于 0",IF($K140="","※没填去向类型",IF($L140="","※没填去向矿区",IF(AND($C140&lt;&gt;"",$C140&lt;=结账锁),"※日期早于已结账截止日，不能再录",IF(AND($K140="自用消耗",COUNTIF({"一矿区";"二矿区"},$L140)=0),"※自用消耗的去向只能是一矿区或二矿区",IF(AND($K140="对外销售",COUNTIF({"三矿区";"六矿区"},$L140)=0),"※对外销售的去向只能是三矿区或六矿区",IF(AND($K140="对外销售",ROUND($Q140,0)=0),"※外销却没有售价，请填实际售价",IF(AND($K140="对外销售",$T140&lt;&gt;"",$T140&lt;0),"※这一笔外销是亏的，请核对售价",IF(IFERROR(VLOOKUP($D140,库存台账!$A$5:$Y$1204,24,0),0)&lt;-0.001,"※这个物料账面已经变成负数了，查一下是不是漏记入库","")))))))))))</f>
        <v/>
      </c>
    </row>
    <row r="141">
      <c r="A141" s="24">
        <f>IF($D141="","",COUNTA($D$4:$D141))</f>
        <v/>
      </c>
      <c r="B141" s="17" t="n"/>
      <c r="C141" s="30" t="n"/>
      <c r="D141" s="17" t="n"/>
      <c r="E141" s="24">
        <f>IF($D141="","",IFERROR(VLOOKUP($D141,物料档案!$A$4:$P$1203,3,0),"※编码不在物料档案里"))</f>
        <v/>
      </c>
      <c r="F141" s="24">
        <f>IF($D141="","",IFERROR(VLOOKUP($D141,物料档案!$A$4:$P$1203,4,0),"※编码不在物料档案里"))</f>
        <v/>
      </c>
      <c r="G141" s="24">
        <f>IF($D141="","",IFERROR(VLOOKUP($D141,物料档案!$A$4:$P$1203,5,0),"※编码不在物料档案里"))</f>
        <v/>
      </c>
      <c r="H141" s="24">
        <f>IF($D141="","",IFERROR(VLOOKUP($D141,物料档案!$A$4:$P$1203,2,0),"※编码不在物料档案里"))</f>
        <v/>
      </c>
      <c r="I141" s="24">
        <f>IF($D141="","",IFERROR(VLOOKUP($D141,物料档案!$A$4:$P$1203,6,0),"※编码不在物料档案里"))</f>
        <v/>
      </c>
      <c r="J141" s="23" t="n"/>
      <c r="K141" s="17" t="n"/>
      <c r="L141" s="17" t="n"/>
      <c r="M141" s="17" t="n"/>
      <c r="N141" s="17" t="n"/>
      <c r="O141" s="26">
        <f>IF($D141="","",IFERROR(VLOOKUP($D141,物料档案!$A$4:$P$1203,10,0),0))</f>
        <v/>
      </c>
      <c r="P141" s="32" t="n"/>
      <c r="Q141" s="26">
        <f>IF($D141="","",IF($K141&lt;&gt;"对外销售",0,ROUND(N($J141)*IF($P141="",N($O141),N($P141)),0)))</f>
        <v/>
      </c>
      <c r="R141" s="26">
        <f>IF($D141="","",IFERROR(VLOOKUP($D141,库存台账!$A$5:$Y$1204,11,0),0))</f>
        <v/>
      </c>
      <c r="S141" s="26">
        <f>IF($D141="","",ROUND(N($J141)*N($R141),0))</f>
        <v/>
      </c>
      <c r="T141" s="26">
        <f>IF($D141="","",IF($K141&lt;&gt;"对外销售","",ROUND($Q141-$S141,0)))</f>
        <v/>
      </c>
      <c r="U141" s="17" t="n"/>
      <c r="V141" s="17" t="n"/>
      <c r="W141" s="24">
        <f>IF($D141="","",IF($E141="※编码不在物料档案里","※物料编码不在档案里",IF(N($J141)&lt;=0,"※出库数量要大于 0",IF($K141="","※没填去向类型",IF($L141="","※没填去向矿区",IF(AND($C141&lt;&gt;"",$C141&lt;=结账锁),"※日期早于已结账截止日，不能再录",IF(AND($K141="自用消耗",COUNTIF({"一矿区";"二矿区"},$L141)=0),"※自用消耗的去向只能是一矿区或二矿区",IF(AND($K141="对外销售",COUNTIF({"三矿区";"六矿区"},$L141)=0),"※对外销售的去向只能是三矿区或六矿区",IF(AND($K141="对外销售",ROUND($Q141,0)=0),"※外销却没有售价，请填实际售价",IF(AND($K141="对外销售",$T141&lt;&gt;"",$T141&lt;0),"※这一笔外销是亏的，请核对售价",IF(IFERROR(VLOOKUP($D141,库存台账!$A$5:$Y$1204,24,0),0)&lt;-0.001,"※这个物料账面已经变成负数了，查一下是不是漏记入库","")))))))))))</f>
        <v/>
      </c>
    </row>
    <row r="142">
      <c r="A142" s="24">
        <f>IF($D142="","",COUNTA($D$4:$D142))</f>
        <v/>
      </c>
      <c r="B142" s="17" t="n"/>
      <c r="C142" s="30" t="n"/>
      <c r="D142" s="17" t="n"/>
      <c r="E142" s="24">
        <f>IF($D142="","",IFERROR(VLOOKUP($D142,物料档案!$A$4:$P$1203,3,0),"※编码不在物料档案里"))</f>
        <v/>
      </c>
      <c r="F142" s="24">
        <f>IF($D142="","",IFERROR(VLOOKUP($D142,物料档案!$A$4:$P$1203,4,0),"※编码不在物料档案里"))</f>
        <v/>
      </c>
      <c r="G142" s="24">
        <f>IF($D142="","",IFERROR(VLOOKUP($D142,物料档案!$A$4:$P$1203,5,0),"※编码不在物料档案里"))</f>
        <v/>
      </c>
      <c r="H142" s="24">
        <f>IF($D142="","",IFERROR(VLOOKUP($D142,物料档案!$A$4:$P$1203,2,0),"※编码不在物料档案里"))</f>
        <v/>
      </c>
      <c r="I142" s="24">
        <f>IF($D142="","",IFERROR(VLOOKUP($D142,物料档案!$A$4:$P$1203,6,0),"※编码不在物料档案里"))</f>
        <v/>
      </c>
      <c r="J142" s="23" t="n"/>
      <c r="K142" s="17" t="n"/>
      <c r="L142" s="17" t="n"/>
      <c r="M142" s="17" t="n"/>
      <c r="N142" s="17" t="n"/>
      <c r="O142" s="26">
        <f>IF($D142="","",IFERROR(VLOOKUP($D142,物料档案!$A$4:$P$1203,10,0),0))</f>
        <v/>
      </c>
      <c r="P142" s="32" t="n"/>
      <c r="Q142" s="26">
        <f>IF($D142="","",IF($K142&lt;&gt;"对外销售",0,ROUND(N($J142)*IF($P142="",N($O142),N($P142)),0)))</f>
        <v/>
      </c>
      <c r="R142" s="26">
        <f>IF($D142="","",IFERROR(VLOOKUP($D142,库存台账!$A$5:$Y$1204,11,0),0))</f>
        <v/>
      </c>
      <c r="S142" s="26">
        <f>IF($D142="","",ROUND(N($J142)*N($R142),0))</f>
        <v/>
      </c>
      <c r="T142" s="26">
        <f>IF($D142="","",IF($K142&lt;&gt;"对外销售","",ROUND($Q142-$S142,0)))</f>
        <v/>
      </c>
      <c r="U142" s="17" t="n"/>
      <c r="V142" s="17" t="n"/>
      <c r="W142" s="24">
        <f>IF($D142="","",IF($E142="※编码不在物料档案里","※物料编码不在档案里",IF(N($J142)&lt;=0,"※出库数量要大于 0",IF($K142="","※没填去向类型",IF($L142="","※没填去向矿区",IF(AND($C142&lt;&gt;"",$C142&lt;=结账锁),"※日期早于已结账截止日，不能再录",IF(AND($K142="自用消耗",COUNTIF({"一矿区";"二矿区"},$L142)=0),"※自用消耗的去向只能是一矿区或二矿区",IF(AND($K142="对外销售",COUNTIF({"三矿区";"六矿区"},$L142)=0),"※对外销售的去向只能是三矿区或六矿区",IF(AND($K142="对外销售",ROUND($Q142,0)=0),"※外销却没有售价，请填实际售价",IF(AND($K142="对外销售",$T142&lt;&gt;"",$T142&lt;0),"※这一笔外销是亏的，请核对售价",IF(IFERROR(VLOOKUP($D142,库存台账!$A$5:$Y$1204,24,0),0)&lt;-0.001,"※这个物料账面已经变成负数了，查一下是不是漏记入库","")))))))))))</f>
        <v/>
      </c>
    </row>
    <row r="143">
      <c r="A143" s="24">
        <f>IF($D143="","",COUNTA($D$4:$D143))</f>
        <v/>
      </c>
      <c r="B143" s="17" t="n"/>
      <c r="C143" s="30" t="n"/>
      <c r="D143" s="17" t="n"/>
      <c r="E143" s="24">
        <f>IF($D143="","",IFERROR(VLOOKUP($D143,物料档案!$A$4:$P$1203,3,0),"※编码不在物料档案里"))</f>
        <v/>
      </c>
      <c r="F143" s="24">
        <f>IF($D143="","",IFERROR(VLOOKUP($D143,物料档案!$A$4:$P$1203,4,0),"※编码不在物料档案里"))</f>
        <v/>
      </c>
      <c r="G143" s="24">
        <f>IF($D143="","",IFERROR(VLOOKUP($D143,物料档案!$A$4:$P$1203,5,0),"※编码不在物料档案里"))</f>
        <v/>
      </c>
      <c r="H143" s="24">
        <f>IF($D143="","",IFERROR(VLOOKUP($D143,物料档案!$A$4:$P$1203,2,0),"※编码不在物料档案里"))</f>
        <v/>
      </c>
      <c r="I143" s="24">
        <f>IF($D143="","",IFERROR(VLOOKUP($D143,物料档案!$A$4:$P$1203,6,0),"※编码不在物料档案里"))</f>
        <v/>
      </c>
      <c r="J143" s="23" t="n"/>
      <c r="K143" s="17" t="n"/>
      <c r="L143" s="17" t="n"/>
      <c r="M143" s="17" t="n"/>
      <c r="N143" s="17" t="n"/>
      <c r="O143" s="26">
        <f>IF($D143="","",IFERROR(VLOOKUP($D143,物料档案!$A$4:$P$1203,10,0),0))</f>
        <v/>
      </c>
      <c r="P143" s="32" t="n"/>
      <c r="Q143" s="26">
        <f>IF($D143="","",IF($K143&lt;&gt;"对外销售",0,ROUND(N($J143)*IF($P143="",N($O143),N($P143)),0)))</f>
        <v/>
      </c>
      <c r="R143" s="26">
        <f>IF($D143="","",IFERROR(VLOOKUP($D143,库存台账!$A$5:$Y$1204,11,0),0))</f>
        <v/>
      </c>
      <c r="S143" s="26">
        <f>IF($D143="","",ROUND(N($J143)*N($R143),0))</f>
        <v/>
      </c>
      <c r="T143" s="26">
        <f>IF($D143="","",IF($K143&lt;&gt;"对外销售","",ROUND($Q143-$S143,0)))</f>
        <v/>
      </c>
      <c r="U143" s="17" t="n"/>
      <c r="V143" s="17" t="n"/>
      <c r="W143" s="24">
        <f>IF($D143="","",IF($E143="※编码不在物料档案里","※物料编码不在档案里",IF(N($J143)&lt;=0,"※出库数量要大于 0",IF($K143="","※没填去向类型",IF($L143="","※没填去向矿区",IF(AND($C143&lt;&gt;"",$C143&lt;=结账锁),"※日期早于已结账截止日，不能再录",IF(AND($K143="自用消耗",COUNTIF({"一矿区";"二矿区"},$L143)=0),"※自用消耗的去向只能是一矿区或二矿区",IF(AND($K143="对外销售",COUNTIF({"三矿区";"六矿区"},$L143)=0),"※对外销售的去向只能是三矿区或六矿区",IF(AND($K143="对外销售",ROUND($Q143,0)=0),"※外销却没有售价，请填实际售价",IF(AND($K143="对外销售",$T143&lt;&gt;"",$T143&lt;0),"※这一笔外销是亏的，请核对售价",IF(IFERROR(VLOOKUP($D143,库存台账!$A$5:$Y$1204,24,0),0)&lt;-0.001,"※这个物料账面已经变成负数了，查一下是不是漏记入库","")))))))))))</f>
        <v/>
      </c>
    </row>
    <row r="144">
      <c r="A144" s="24">
        <f>IF($D144="","",COUNTA($D$4:$D144))</f>
        <v/>
      </c>
      <c r="B144" s="17" t="n"/>
      <c r="C144" s="30" t="n"/>
      <c r="D144" s="17" t="n"/>
      <c r="E144" s="24">
        <f>IF($D144="","",IFERROR(VLOOKUP($D144,物料档案!$A$4:$P$1203,3,0),"※编码不在物料档案里"))</f>
        <v/>
      </c>
      <c r="F144" s="24">
        <f>IF($D144="","",IFERROR(VLOOKUP($D144,物料档案!$A$4:$P$1203,4,0),"※编码不在物料档案里"))</f>
        <v/>
      </c>
      <c r="G144" s="24">
        <f>IF($D144="","",IFERROR(VLOOKUP($D144,物料档案!$A$4:$P$1203,5,0),"※编码不在物料档案里"))</f>
        <v/>
      </c>
      <c r="H144" s="24">
        <f>IF($D144="","",IFERROR(VLOOKUP($D144,物料档案!$A$4:$P$1203,2,0),"※编码不在物料档案里"))</f>
        <v/>
      </c>
      <c r="I144" s="24">
        <f>IF($D144="","",IFERROR(VLOOKUP($D144,物料档案!$A$4:$P$1203,6,0),"※编码不在物料档案里"))</f>
        <v/>
      </c>
      <c r="J144" s="23" t="n"/>
      <c r="K144" s="17" t="n"/>
      <c r="L144" s="17" t="n"/>
      <c r="M144" s="17" t="n"/>
      <c r="N144" s="17" t="n"/>
      <c r="O144" s="26">
        <f>IF($D144="","",IFERROR(VLOOKUP($D144,物料档案!$A$4:$P$1203,10,0),0))</f>
        <v/>
      </c>
      <c r="P144" s="32" t="n"/>
      <c r="Q144" s="26">
        <f>IF($D144="","",IF($K144&lt;&gt;"对外销售",0,ROUND(N($J144)*IF($P144="",N($O144),N($P144)),0)))</f>
        <v/>
      </c>
      <c r="R144" s="26">
        <f>IF($D144="","",IFERROR(VLOOKUP($D144,库存台账!$A$5:$Y$1204,11,0),0))</f>
        <v/>
      </c>
      <c r="S144" s="26">
        <f>IF($D144="","",ROUND(N($J144)*N($R144),0))</f>
        <v/>
      </c>
      <c r="T144" s="26">
        <f>IF($D144="","",IF($K144&lt;&gt;"对外销售","",ROUND($Q144-$S144,0)))</f>
        <v/>
      </c>
      <c r="U144" s="17" t="n"/>
      <c r="V144" s="17" t="n"/>
      <c r="W144" s="24">
        <f>IF($D144="","",IF($E144="※编码不在物料档案里","※物料编码不在档案里",IF(N($J144)&lt;=0,"※出库数量要大于 0",IF($K144="","※没填去向类型",IF($L144="","※没填去向矿区",IF(AND($C144&lt;&gt;"",$C144&lt;=结账锁),"※日期早于已结账截止日，不能再录",IF(AND($K144="自用消耗",COUNTIF({"一矿区";"二矿区"},$L144)=0),"※自用消耗的去向只能是一矿区或二矿区",IF(AND($K144="对外销售",COUNTIF({"三矿区";"六矿区"},$L144)=0),"※对外销售的去向只能是三矿区或六矿区",IF(AND($K144="对外销售",ROUND($Q144,0)=0),"※外销却没有售价，请填实际售价",IF(AND($K144="对外销售",$T144&lt;&gt;"",$T144&lt;0),"※这一笔外销是亏的，请核对售价",IF(IFERROR(VLOOKUP($D144,库存台账!$A$5:$Y$1204,24,0),0)&lt;-0.001,"※这个物料账面已经变成负数了，查一下是不是漏记入库","")))))))))))</f>
        <v/>
      </c>
    </row>
    <row r="145">
      <c r="A145" s="24">
        <f>IF($D145="","",COUNTA($D$4:$D145))</f>
        <v/>
      </c>
      <c r="B145" s="17" t="n"/>
      <c r="C145" s="30" t="n"/>
      <c r="D145" s="17" t="n"/>
      <c r="E145" s="24">
        <f>IF($D145="","",IFERROR(VLOOKUP($D145,物料档案!$A$4:$P$1203,3,0),"※编码不在物料档案里"))</f>
        <v/>
      </c>
      <c r="F145" s="24">
        <f>IF($D145="","",IFERROR(VLOOKUP($D145,物料档案!$A$4:$P$1203,4,0),"※编码不在物料档案里"))</f>
        <v/>
      </c>
      <c r="G145" s="24">
        <f>IF($D145="","",IFERROR(VLOOKUP($D145,物料档案!$A$4:$P$1203,5,0),"※编码不在物料档案里"))</f>
        <v/>
      </c>
      <c r="H145" s="24">
        <f>IF($D145="","",IFERROR(VLOOKUP($D145,物料档案!$A$4:$P$1203,2,0),"※编码不在物料档案里"))</f>
        <v/>
      </c>
      <c r="I145" s="24">
        <f>IF($D145="","",IFERROR(VLOOKUP($D145,物料档案!$A$4:$P$1203,6,0),"※编码不在物料档案里"))</f>
        <v/>
      </c>
      <c r="J145" s="23" t="n"/>
      <c r="K145" s="17" t="n"/>
      <c r="L145" s="17" t="n"/>
      <c r="M145" s="17" t="n"/>
      <c r="N145" s="17" t="n"/>
      <c r="O145" s="26">
        <f>IF($D145="","",IFERROR(VLOOKUP($D145,物料档案!$A$4:$P$1203,10,0),0))</f>
        <v/>
      </c>
      <c r="P145" s="32" t="n"/>
      <c r="Q145" s="26">
        <f>IF($D145="","",IF($K145&lt;&gt;"对外销售",0,ROUND(N($J145)*IF($P145="",N($O145),N($P145)),0)))</f>
        <v/>
      </c>
      <c r="R145" s="26">
        <f>IF($D145="","",IFERROR(VLOOKUP($D145,库存台账!$A$5:$Y$1204,11,0),0))</f>
        <v/>
      </c>
      <c r="S145" s="26">
        <f>IF($D145="","",ROUND(N($J145)*N($R145),0))</f>
        <v/>
      </c>
      <c r="T145" s="26">
        <f>IF($D145="","",IF($K145&lt;&gt;"对外销售","",ROUND($Q145-$S145,0)))</f>
        <v/>
      </c>
      <c r="U145" s="17" t="n"/>
      <c r="V145" s="17" t="n"/>
      <c r="W145" s="24">
        <f>IF($D145="","",IF($E145="※编码不在物料档案里","※物料编码不在档案里",IF(N($J145)&lt;=0,"※出库数量要大于 0",IF($K145="","※没填去向类型",IF($L145="","※没填去向矿区",IF(AND($C145&lt;&gt;"",$C145&lt;=结账锁),"※日期早于已结账截止日，不能再录",IF(AND($K145="自用消耗",COUNTIF({"一矿区";"二矿区"},$L145)=0),"※自用消耗的去向只能是一矿区或二矿区",IF(AND($K145="对外销售",COUNTIF({"三矿区";"六矿区"},$L145)=0),"※对外销售的去向只能是三矿区或六矿区",IF(AND($K145="对外销售",ROUND($Q145,0)=0),"※外销却没有售价，请填实际售价",IF(AND($K145="对外销售",$T145&lt;&gt;"",$T145&lt;0),"※这一笔外销是亏的，请核对售价",IF(IFERROR(VLOOKUP($D145,库存台账!$A$5:$Y$1204,24,0),0)&lt;-0.001,"※这个物料账面已经变成负数了，查一下是不是漏记入库","")))))))))))</f>
        <v/>
      </c>
    </row>
    <row r="146">
      <c r="A146" s="24">
        <f>IF($D146="","",COUNTA($D$4:$D146))</f>
        <v/>
      </c>
      <c r="B146" s="17" t="n"/>
      <c r="C146" s="30" t="n"/>
      <c r="D146" s="17" t="n"/>
      <c r="E146" s="24">
        <f>IF($D146="","",IFERROR(VLOOKUP($D146,物料档案!$A$4:$P$1203,3,0),"※编码不在物料档案里"))</f>
        <v/>
      </c>
      <c r="F146" s="24">
        <f>IF($D146="","",IFERROR(VLOOKUP($D146,物料档案!$A$4:$P$1203,4,0),"※编码不在物料档案里"))</f>
        <v/>
      </c>
      <c r="G146" s="24">
        <f>IF($D146="","",IFERROR(VLOOKUP($D146,物料档案!$A$4:$P$1203,5,0),"※编码不在物料档案里"))</f>
        <v/>
      </c>
      <c r="H146" s="24">
        <f>IF($D146="","",IFERROR(VLOOKUP($D146,物料档案!$A$4:$P$1203,2,0),"※编码不在物料档案里"))</f>
        <v/>
      </c>
      <c r="I146" s="24">
        <f>IF($D146="","",IFERROR(VLOOKUP($D146,物料档案!$A$4:$P$1203,6,0),"※编码不在物料档案里"))</f>
        <v/>
      </c>
      <c r="J146" s="23" t="n"/>
      <c r="K146" s="17" t="n"/>
      <c r="L146" s="17" t="n"/>
      <c r="M146" s="17" t="n"/>
      <c r="N146" s="17" t="n"/>
      <c r="O146" s="26">
        <f>IF($D146="","",IFERROR(VLOOKUP($D146,物料档案!$A$4:$P$1203,10,0),0))</f>
        <v/>
      </c>
      <c r="P146" s="32" t="n"/>
      <c r="Q146" s="26">
        <f>IF($D146="","",IF($K146&lt;&gt;"对外销售",0,ROUND(N($J146)*IF($P146="",N($O146),N($P146)),0)))</f>
        <v/>
      </c>
      <c r="R146" s="26">
        <f>IF($D146="","",IFERROR(VLOOKUP($D146,库存台账!$A$5:$Y$1204,11,0),0))</f>
        <v/>
      </c>
      <c r="S146" s="26">
        <f>IF($D146="","",ROUND(N($J146)*N($R146),0))</f>
        <v/>
      </c>
      <c r="T146" s="26">
        <f>IF($D146="","",IF($K146&lt;&gt;"对外销售","",ROUND($Q146-$S146,0)))</f>
        <v/>
      </c>
      <c r="U146" s="17" t="n"/>
      <c r="V146" s="17" t="n"/>
      <c r="W146" s="24">
        <f>IF($D146="","",IF($E146="※编码不在物料档案里","※物料编码不在档案里",IF(N($J146)&lt;=0,"※出库数量要大于 0",IF($K146="","※没填去向类型",IF($L146="","※没填去向矿区",IF(AND($C146&lt;&gt;"",$C146&lt;=结账锁),"※日期早于已结账截止日，不能再录",IF(AND($K146="自用消耗",COUNTIF({"一矿区";"二矿区"},$L146)=0),"※自用消耗的去向只能是一矿区或二矿区",IF(AND($K146="对外销售",COUNTIF({"三矿区";"六矿区"},$L146)=0),"※对外销售的去向只能是三矿区或六矿区",IF(AND($K146="对外销售",ROUND($Q146,0)=0),"※外销却没有售价，请填实际售价",IF(AND($K146="对外销售",$T146&lt;&gt;"",$T146&lt;0),"※这一笔外销是亏的，请核对售价",IF(IFERROR(VLOOKUP($D146,库存台账!$A$5:$Y$1204,24,0),0)&lt;-0.001,"※这个物料账面已经变成负数了，查一下是不是漏记入库","")))))))))))</f>
        <v/>
      </c>
    </row>
    <row r="147">
      <c r="A147" s="24">
        <f>IF($D147="","",COUNTA($D$4:$D147))</f>
        <v/>
      </c>
      <c r="B147" s="17" t="n"/>
      <c r="C147" s="30" t="n"/>
      <c r="D147" s="17" t="n"/>
      <c r="E147" s="24">
        <f>IF($D147="","",IFERROR(VLOOKUP($D147,物料档案!$A$4:$P$1203,3,0),"※编码不在物料档案里"))</f>
        <v/>
      </c>
      <c r="F147" s="24">
        <f>IF($D147="","",IFERROR(VLOOKUP($D147,物料档案!$A$4:$P$1203,4,0),"※编码不在物料档案里"))</f>
        <v/>
      </c>
      <c r="G147" s="24">
        <f>IF($D147="","",IFERROR(VLOOKUP($D147,物料档案!$A$4:$P$1203,5,0),"※编码不在物料档案里"))</f>
        <v/>
      </c>
      <c r="H147" s="24">
        <f>IF($D147="","",IFERROR(VLOOKUP($D147,物料档案!$A$4:$P$1203,2,0),"※编码不在物料档案里"))</f>
        <v/>
      </c>
      <c r="I147" s="24">
        <f>IF($D147="","",IFERROR(VLOOKUP($D147,物料档案!$A$4:$P$1203,6,0),"※编码不在物料档案里"))</f>
        <v/>
      </c>
      <c r="J147" s="23" t="n"/>
      <c r="K147" s="17" t="n"/>
      <c r="L147" s="17" t="n"/>
      <c r="M147" s="17" t="n"/>
      <c r="N147" s="17" t="n"/>
      <c r="O147" s="26">
        <f>IF($D147="","",IFERROR(VLOOKUP($D147,物料档案!$A$4:$P$1203,10,0),0))</f>
        <v/>
      </c>
      <c r="P147" s="32" t="n"/>
      <c r="Q147" s="26">
        <f>IF($D147="","",IF($K147&lt;&gt;"对外销售",0,ROUND(N($J147)*IF($P147="",N($O147),N($P147)),0)))</f>
        <v/>
      </c>
      <c r="R147" s="26">
        <f>IF($D147="","",IFERROR(VLOOKUP($D147,库存台账!$A$5:$Y$1204,11,0),0))</f>
        <v/>
      </c>
      <c r="S147" s="26">
        <f>IF($D147="","",ROUND(N($J147)*N($R147),0))</f>
        <v/>
      </c>
      <c r="T147" s="26">
        <f>IF($D147="","",IF($K147&lt;&gt;"对外销售","",ROUND($Q147-$S147,0)))</f>
        <v/>
      </c>
      <c r="U147" s="17" t="n"/>
      <c r="V147" s="17" t="n"/>
      <c r="W147" s="24">
        <f>IF($D147="","",IF($E147="※编码不在物料档案里","※物料编码不在档案里",IF(N($J147)&lt;=0,"※出库数量要大于 0",IF($K147="","※没填去向类型",IF($L147="","※没填去向矿区",IF(AND($C147&lt;&gt;"",$C147&lt;=结账锁),"※日期早于已结账截止日，不能再录",IF(AND($K147="自用消耗",COUNTIF({"一矿区";"二矿区"},$L147)=0),"※自用消耗的去向只能是一矿区或二矿区",IF(AND($K147="对外销售",COUNTIF({"三矿区";"六矿区"},$L147)=0),"※对外销售的去向只能是三矿区或六矿区",IF(AND($K147="对外销售",ROUND($Q147,0)=0),"※外销却没有售价，请填实际售价",IF(AND($K147="对外销售",$T147&lt;&gt;"",$T147&lt;0),"※这一笔外销是亏的，请核对售价",IF(IFERROR(VLOOKUP($D147,库存台账!$A$5:$Y$1204,24,0),0)&lt;-0.001,"※这个物料账面已经变成负数了，查一下是不是漏记入库","")))))))))))</f>
        <v/>
      </c>
    </row>
    <row r="148">
      <c r="A148" s="24">
        <f>IF($D148="","",COUNTA($D$4:$D148))</f>
        <v/>
      </c>
      <c r="B148" s="17" t="n"/>
      <c r="C148" s="30" t="n"/>
      <c r="D148" s="17" t="n"/>
      <c r="E148" s="24">
        <f>IF($D148="","",IFERROR(VLOOKUP($D148,物料档案!$A$4:$P$1203,3,0),"※编码不在物料档案里"))</f>
        <v/>
      </c>
      <c r="F148" s="24">
        <f>IF($D148="","",IFERROR(VLOOKUP($D148,物料档案!$A$4:$P$1203,4,0),"※编码不在物料档案里"))</f>
        <v/>
      </c>
      <c r="G148" s="24">
        <f>IF($D148="","",IFERROR(VLOOKUP($D148,物料档案!$A$4:$P$1203,5,0),"※编码不在物料档案里"))</f>
        <v/>
      </c>
      <c r="H148" s="24">
        <f>IF($D148="","",IFERROR(VLOOKUP($D148,物料档案!$A$4:$P$1203,2,0),"※编码不在物料档案里"))</f>
        <v/>
      </c>
      <c r="I148" s="24">
        <f>IF($D148="","",IFERROR(VLOOKUP($D148,物料档案!$A$4:$P$1203,6,0),"※编码不在物料档案里"))</f>
        <v/>
      </c>
      <c r="J148" s="23" t="n"/>
      <c r="K148" s="17" t="n"/>
      <c r="L148" s="17" t="n"/>
      <c r="M148" s="17" t="n"/>
      <c r="N148" s="17" t="n"/>
      <c r="O148" s="26">
        <f>IF($D148="","",IFERROR(VLOOKUP($D148,物料档案!$A$4:$P$1203,10,0),0))</f>
        <v/>
      </c>
      <c r="P148" s="32" t="n"/>
      <c r="Q148" s="26">
        <f>IF($D148="","",IF($K148&lt;&gt;"对外销售",0,ROUND(N($J148)*IF($P148="",N($O148),N($P148)),0)))</f>
        <v/>
      </c>
      <c r="R148" s="26">
        <f>IF($D148="","",IFERROR(VLOOKUP($D148,库存台账!$A$5:$Y$1204,11,0),0))</f>
        <v/>
      </c>
      <c r="S148" s="26">
        <f>IF($D148="","",ROUND(N($J148)*N($R148),0))</f>
        <v/>
      </c>
      <c r="T148" s="26">
        <f>IF($D148="","",IF($K148&lt;&gt;"对外销售","",ROUND($Q148-$S148,0)))</f>
        <v/>
      </c>
      <c r="U148" s="17" t="n"/>
      <c r="V148" s="17" t="n"/>
      <c r="W148" s="24">
        <f>IF($D148="","",IF($E148="※编码不在物料档案里","※物料编码不在档案里",IF(N($J148)&lt;=0,"※出库数量要大于 0",IF($K148="","※没填去向类型",IF($L148="","※没填去向矿区",IF(AND($C148&lt;&gt;"",$C148&lt;=结账锁),"※日期早于已结账截止日，不能再录",IF(AND($K148="自用消耗",COUNTIF({"一矿区";"二矿区"},$L148)=0),"※自用消耗的去向只能是一矿区或二矿区",IF(AND($K148="对外销售",COUNTIF({"三矿区";"六矿区"},$L148)=0),"※对外销售的去向只能是三矿区或六矿区",IF(AND($K148="对外销售",ROUND($Q148,0)=0),"※外销却没有售价，请填实际售价",IF(AND($K148="对外销售",$T148&lt;&gt;"",$T148&lt;0),"※这一笔外销是亏的，请核对售价",IF(IFERROR(VLOOKUP($D148,库存台账!$A$5:$Y$1204,24,0),0)&lt;-0.001,"※这个物料账面已经变成负数了，查一下是不是漏记入库","")))))))))))</f>
        <v/>
      </c>
    </row>
    <row r="149">
      <c r="A149" s="24">
        <f>IF($D149="","",COUNTA($D$4:$D149))</f>
        <v/>
      </c>
      <c r="B149" s="17" t="n"/>
      <c r="C149" s="30" t="n"/>
      <c r="D149" s="17" t="n"/>
      <c r="E149" s="24">
        <f>IF($D149="","",IFERROR(VLOOKUP($D149,物料档案!$A$4:$P$1203,3,0),"※编码不在物料档案里"))</f>
        <v/>
      </c>
      <c r="F149" s="24">
        <f>IF($D149="","",IFERROR(VLOOKUP($D149,物料档案!$A$4:$P$1203,4,0),"※编码不在物料档案里"))</f>
        <v/>
      </c>
      <c r="G149" s="24">
        <f>IF($D149="","",IFERROR(VLOOKUP($D149,物料档案!$A$4:$P$1203,5,0),"※编码不在物料档案里"))</f>
        <v/>
      </c>
      <c r="H149" s="24">
        <f>IF($D149="","",IFERROR(VLOOKUP($D149,物料档案!$A$4:$P$1203,2,0),"※编码不在物料档案里"))</f>
        <v/>
      </c>
      <c r="I149" s="24">
        <f>IF($D149="","",IFERROR(VLOOKUP($D149,物料档案!$A$4:$P$1203,6,0),"※编码不在物料档案里"))</f>
        <v/>
      </c>
      <c r="J149" s="23" t="n"/>
      <c r="K149" s="17" t="n"/>
      <c r="L149" s="17" t="n"/>
      <c r="M149" s="17" t="n"/>
      <c r="N149" s="17" t="n"/>
      <c r="O149" s="26">
        <f>IF($D149="","",IFERROR(VLOOKUP($D149,物料档案!$A$4:$P$1203,10,0),0))</f>
        <v/>
      </c>
      <c r="P149" s="32" t="n"/>
      <c r="Q149" s="26">
        <f>IF($D149="","",IF($K149&lt;&gt;"对外销售",0,ROUND(N($J149)*IF($P149="",N($O149),N($P149)),0)))</f>
        <v/>
      </c>
      <c r="R149" s="26">
        <f>IF($D149="","",IFERROR(VLOOKUP($D149,库存台账!$A$5:$Y$1204,11,0),0))</f>
        <v/>
      </c>
      <c r="S149" s="26">
        <f>IF($D149="","",ROUND(N($J149)*N($R149),0))</f>
        <v/>
      </c>
      <c r="T149" s="26">
        <f>IF($D149="","",IF($K149&lt;&gt;"对外销售","",ROUND($Q149-$S149,0)))</f>
        <v/>
      </c>
      <c r="U149" s="17" t="n"/>
      <c r="V149" s="17" t="n"/>
      <c r="W149" s="24">
        <f>IF($D149="","",IF($E149="※编码不在物料档案里","※物料编码不在档案里",IF(N($J149)&lt;=0,"※出库数量要大于 0",IF($K149="","※没填去向类型",IF($L149="","※没填去向矿区",IF(AND($C149&lt;&gt;"",$C149&lt;=结账锁),"※日期早于已结账截止日，不能再录",IF(AND($K149="自用消耗",COUNTIF({"一矿区";"二矿区"},$L149)=0),"※自用消耗的去向只能是一矿区或二矿区",IF(AND($K149="对外销售",COUNTIF({"三矿区";"六矿区"},$L149)=0),"※对外销售的去向只能是三矿区或六矿区",IF(AND($K149="对外销售",ROUND($Q149,0)=0),"※外销却没有售价，请填实际售价",IF(AND($K149="对外销售",$T149&lt;&gt;"",$T149&lt;0),"※这一笔外销是亏的，请核对售价",IF(IFERROR(VLOOKUP($D149,库存台账!$A$5:$Y$1204,24,0),0)&lt;-0.001,"※这个物料账面已经变成负数了，查一下是不是漏记入库","")))))))))))</f>
        <v/>
      </c>
    </row>
    <row r="150">
      <c r="A150" s="24">
        <f>IF($D150="","",COUNTA($D$4:$D150))</f>
        <v/>
      </c>
      <c r="B150" s="17" t="n"/>
      <c r="C150" s="30" t="n"/>
      <c r="D150" s="17" t="n"/>
      <c r="E150" s="24">
        <f>IF($D150="","",IFERROR(VLOOKUP($D150,物料档案!$A$4:$P$1203,3,0),"※编码不在物料档案里"))</f>
        <v/>
      </c>
      <c r="F150" s="24">
        <f>IF($D150="","",IFERROR(VLOOKUP($D150,物料档案!$A$4:$P$1203,4,0),"※编码不在物料档案里"))</f>
        <v/>
      </c>
      <c r="G150" s="24">
        <f>IF($D150="","",IFERROR(VLOOKUP($D150,物料档案!$A$4:$P$1203,5,0),"※编码不在物料档案里"))</f>
        <v/>
      </c>
      <c r="H150" s="24">
        <f>IF($D150="","",IFERROR(VLOOKUP($D150,物料档案!$A$4:$P$1203,2,0),"※编码不在物料档案里"))</f>
        <v/>
      </c>
      <c r="I150" s="24">
        <f>IF($D150="","",IFERROR(VLOOKUP($D150,物料档案!$A$4:$P$1203,6,0),"※编码不在物料档案里"))</f>
        <v/>
      </c>
      <c r="J150" s="23" t="n"/>
      <c r="K150" s="17" t="n"/>
      <c r="L150" s="17" t="n"/>
      <c r="M150" s="17" t="n"/>
      <c r="N150" s="17" t="n"/>
      <c r="O150" s="26">
        <f>IF($D150="","",IFERROR(VLOOKUP($D150,物料档案!$A$4:$P$1203,10,0),0))</f>
        <v/>
      </c>
      <c r="P150" s="32" t="n"/>
      <c r="Q150" s="26">
        <f>IF($D150="","",IF($K150&lt;&gt;"对外销售",0,ROUND(N($J150)*IF($P150="",N($O150),N($P150)),0)))</f>
        <v/>
      </c>
      <c r="R150" s="26">
        <f>IF($D150="","",IFERROR(VLOOKUP($D150,库存台账!$A$5:$Y$1204,11,0),0))</f>
        <v/>
      </c>
      <c r="S150" s="26">
        <f>IF($D150="","",ROUND(N($J150)*N($R150),0))</f>
        <v/>
      </c>
      <c r="T150" s="26">
        <f>IF($D150="","",IF($K150&lt;&gt;"对外销售","",ROUND($Q150-$S150,0)))</f>
        <v/>
      </c>
      <c r="U150" s="17" t="n"/>
      <c r="V150" s="17" t="n"/>
      <c r="W150" s="24">
        <f>IF($D150="","",IF($E150="※编码不在物料档案里","※物料编码不在档案里",IF(N($J150)&lt;=0,"※出库数量要大于 0",IF($K150="","※没填去向类型",IF($L150="","※没填去向矿区",IF(AND($C150&lt;&gt;"",$C150&lt;=结账锁),"※日期早于已结账截止日，不能再录",IF(AND($K150="自用消耗",COUNTIF({"一矿区";"二矿区"},$L150)=0),"※自用消耗的去向只能是一矿区或二矿区",IF(AND($K150="对外销售",COUNTIF({"三矿区";"六矿区"},$L150)=0),"※对外销售的去向只能是三矿区或六矿区",IF(AND($K150="对外销售",ROUND($Q150,0)=0),"※外销却没有售价，请填实际售价",IF(AND($K150="对外销售",$T150&lt;&gt;"",$T150&lt;0),"※这一笔外销是亏的，请核对售价",IF(IFERROR(VLOOKUP($D150,库存台账!$A$5:$Y$1204,24,0),0)&lt;-0.001,"※这个物料账面已经变成负数了，查一下是不是漏记入库","")))))))))))</f>
        <v/>
      </c>
    </row>
    <row r="151">
      <c r="A151" s="24">
        <f>IF($D151="","",COUNTA($D$4:$D151))</f>
        <v/>
      </c>
      <c r="B151" s="17" t="n"/>
      <c r="C151" s="30" t="n"/>
      <c r="D151" s="17" t="n"/>
      <c r="E151" s="24">
        <f>IF($D151="","",IFERROR(VLOOKUP($D151,物料档案!$A$4:$P$1203,3,0),"※编码不在物料档案里"))</f>
        <v/>
      </c>
      <c r="F151" s="24">
        <f>IF($D151="","",IFERROR(VLOOKUP($D151,物料档案!$A$4:$P$1203,4,0),"※编码不在物料档案里"))</f>
        <v/>
      </c>
      <c r="G151" s="24">
        <f>IF($D151="","",IFERROR(VLOOKUP($D151,物料档案!$A$4:$P$1203,5,0),"※编码不在物料档案里"))</f>
        <v/>
      </c>
      <c r="H151" s="24">
        <f>IF($D151="","",IFERROR(VLOOKUP($D151,物料档案!$A$4:$P$1203,2,0),"※编码不在物料档案里"))</f>
        <v/>
      </c>
      <c r="I151" s="24">
        <f>IF($D151="","",IFERROR(VLOOKUP($D151,物料档案!$A$4:$P$1203,6,0),"※编码不在物料档案里"))</f>
        <v/>
      </c>
      <c r="J151" s="23" t="n"/>
      <c r="K151" s="17" t="n"/>
      <c r="L151" s="17" t="n"/>
      <c r="M151" s="17" t="n"/>
      <c r="N151" s="17" t="n"/>
      <c r="O151" s="26">
        <f>IF($D151="","",IFERROR(VLOOKUP($D151,物料档案!$A$4:$P$1203,10,0),0))</f>
        <v/>
      </c>
      <c r="P151" s="32" t="n"/>
      <c r="Q151" s="26">
        <f>IF($D151="","",IF($K151&lt;&gt;"对外销售",0,ROUND(N($J151)*IF($P151="",N($O151),N($P151)),0)))</f>
        <v/>
      </c>
      <c r="R151" s="26">
        <f>IF($D151="","",IFERROR(VLOOKUP($D151,库存台账!$A$5:$Y$1204,11,0),0))</f>
        <v/>
      </c>
      <c r="S151" s="26">
        <f>IF($D151="","",ROUND(N($J151)*N($R151),0))</f>
        <v/>
      </c>
      <c r="T151" s="26">
        <f>IF($D151="","",IF($K151&lt;&gt;"对外销售","",ROUND($Q151-$S151,0)))</f>
        <v/>
      </c>
      <c r="U151" s="17" t="n"/>
      <c r="V151" s="17" t="n"/>
      <c r="W151" s="24">
        <f>IF($D151="","",IF($E151="※编码不在物料档案里","※物料编码不在档案里",IF(N($J151)&lt;=0,"※出库数量要大于 0",IF($K151="","※没填去向类型",IF($L151="","※没填去向矿区",IF(AND($C151&lt;&gt;"",$C151&lt;=结账锁),"※日期早于已结账截止日，不能再录",IF(AND($K151="自用消耗",COUNTIF({"一矿区";"二矿区"},$L151)=0),"※自用消耗的去向只能是一矿区或二矿区",IF(AND($K151="对外销售",COUNTIF({"三矿区";"六矿区"},$L151)=0),"※对外销售的去向只能是三矿区或六矿区",IF(AND($K151="对外销售",ROUND($Q151,0)=0),"※外销却没有售价，请填实际售价",IF(AND($K151="对外销售",$T151&lt;&gt;"",$T151&lt;0),"※这一笔外销是亏的，请核对售价",IF(IFERROR(VLOOKUP($D151,库存台账!$A$5:$Y$1204,24,0),0)&lt;-0.001,"※这个物料账面已经变成负数了，查一下是不是漏记入库","")))))))))))</f>
        <v/>
      </c>
    </row>
    <row r="152">
      <c r="A152" s="24">
        <f>IF($D152="","",COUNTA($D$4:$D152))</f>
        <v/>
      </c>
      <c r="B152" s="17" t="n"/>
      <c r="C152" s="30" t="n"/>
      <c r="D152" s="17" t="n"/>
      <c r="E152" s="24">
        <f>IF($D152="","",IFERROR(VLOOKUP($D152,物料档案!$A$4:$P$1203,3,0),"※编码不在物料档案里"))</f>
        <v/>
      </c>
      <c r="F152" s="24">
        <f>IF($D152="","",IFERROR(VLOOKUP($D152,物料档案!$A$4:$P$1203,4,0),"※编码不在物料档案里"))</f>
        <v/>
      </c>
      <c r="G152" s="24">
        <f>IF($D152="","",IFERROR(VLOOKUP($D152,物料档案!$A$4:$P$1203,5,0),"※编码不在物料档案里"))</f>
        <v/>
      </c>
      <c r="H152" s="24">
        <f>IF($D152="","",IFERROR(VLOOKUP($D152,物料档案!$A$4:$P$1203,2,0),"※编码不在物料档案里"))</f>
        <v/>
      </c>
      <c r="I152" s="24">
        <f>IF($D152="","",IFERROR(VLOOKUP($D152,物料档案!$A$4:$P$1203,6,0),"※编码不在物料档案里"))</f>
        <v/>
      </c>
      <c r="J152" s="23" t="n"/>
      <c r="K152" s="17" t="n"/>
      <c r="L152" s="17" t="n"/>
      <c r="M152" s="17" t="n"/>
      <c r="N152" s="17" t="n"/>
      <c r="O152" s="26">
        <f>IF($D152="","",IFERROR(VLOOKUP($D152,物料档案!$A$4:$P$1203,10,0),0))</f>
        <v/>
      </c>
      <c r="P152" s="32" t="n"/>
      <c r="Q152" s="26">
        <f>IF($D152="","",IF($K152&lt;&gt;"对外销售",0,ROUND(N($J152)*IF($P152="",N($O152),N($P152)),0)))</f>
        <v/>
      </c>
      <c r="R152" s="26">
        <f>IF($D152="","",IFERROR(VLOOKUP($D152,库存台账!$A$5:$Y$1204,11,0),0))</f>
        <v/>
      </c>
      <c r="S152" s="26">
        <f>IF($D152="","",ROUND(N($J152)*N($R152),0))</f>
        <v/>
      </c>
      <c r="T152" s="26">
        <f>IF($D152="","",IF($K152&lt;&gt;"对外销售","",ROUND($Q152-$S152,0)))</f>
        <v/>
      </c>
      <c r="U152" s="17" t="n"/>
      <c r="V152" s="17" t="n"/>
      <c r="W152" s="24">
        <f>IF($D152="","",IF($E152="※编码不在物料档案里","※物料编码不在档案里",IF(N($J152)&lt;=0,"※出库数量要大于 0",IF($K152="","※没填去向类型",IF($L152="","※没填去向矿区",IF(AND($C152&lt;&gt;"",$C152&lt;=结账锁),"※日期早于已结账截止日，不能再录",IF(AND($K152="自用消耗",COUNTIF({"一矿区";"二矿区"},$L152)=0),"※自用消耗的去向只能是一矿区或二矿区",IF(AND($K152="对外销售",COUNTIF({"三矿区";"六矿区"},$L152)=0),"※对外销售的去向只能是三矿区或六矿区",IF(AND($K152="对外销售",ROUND($Q152,0)=0),"※外销却没有售价，请填实际售价",IF(AND($K152="对外销售",$T152&lt;&gt;"",$T152&lt;0),"※这一笔外销是亏的，请核对售价",IF(IFERROR(VLOOKUP($D152,库存台账!$A$5:$Y$1204,24,0),0)&lt;-0.001,"※这个物料账面已经变成负数了，查一下是不是漏记入库","")))))))))))</f>
        <v/>
      </c>
    </row>
    <row r="153">
      <c r="A153" s="24">
        <f>IF($D153="","",COUNTA($D$4:$D153))</f>
        <v/>
      </c>
      <c r="B153" s="17" t="n"/>
      <c r="C153" s="30" t="n"/>
      <c r="D153" s="17" t="n"/>
      <c r="E153" s="24">
        <f>IF($D153="","",IFERROR(VLOOKUP($D153,物料档案!$A$4:$P$1203,3,0),"※编码不在物料档案里"))</f>
        <v/>
      </c>
      <c r="F153" s="24">
        <f>IF($D153="","",IFERROR(VLOOKUP($D153,物料档案!$A$4:$P$1203,4,0),"※编码不在物料档案里"))</f>
        <v/>
      </c>
      <c r="G153" s="24">
        <f>IF($D153="","",IFERROR(VLOOKUP($D153,物料档案!$A$4:$P$1203,5,0),"※编码不在物料档案里"))</f>
        <v/>
      </c>
      <c r="H153" s="24">
        <f>IF($D153="","",IFERROR(VLOOKUP($D153,物料档案!$A$4:$P$1203,2,0),"※编码不在物料档案里"))</f>
        <v/>
      </c>
      <c r="I153" s="24">
        <f>IF($D153="","",IFERROR(VLOOKUP($D153,物料档案!$A$4:$P$1203,6,0),"※编码不在物料档案里"))</f>
        <v/>
      </c>
      <c r="J153" s="23" t="n"/>
      <c r="K153" s="17" t="n"/>
      <c r="L153" s="17" t="n"/>
      <c r="M153" s="17" t="n"/>
      <c r="N153" s="17" t="n"/>
      <c r="O153" s="26">
        <f>IF($D153="","",IFERROR(VLOOKUP($D153,物料档案!$A$4:$P$1203,10,0),0))</f>
        <v/>
      </c>
      <c r="P153" s="32" t="n"/>
      <c r="Q153" s="26">
        <f>IF($D153="","",IF($K153&lt;&gt;"对外销售",0,ROUND(N($J153)*IF($P153="",N($O153),N($P153)),0)))</f>
        <v/>
      </c>
      <c r="R153" s="26">
        <f>IF($D153="","",IFERROR(VLOOKUP($D153,库存台账!$A$5:$Y$1204,11,0),0))</f>
        <v/>
      </c>
      <c r="S153" s="26">
        <f>IF($D153="","",ROUND(N($J153)*N($R153),0))</f>
        <v/>
      </c>
      <c r="T153" s="26">
        <f>IF($D153="","",IF($K153&lt;&gt;"对外销售","",ROUND($Q153-$S153,0)))</f>
        <v/>
      </c>
      <c r="U153" s="17" t="n"/>
      <c r="V153" s="17" t="n"/>
      <c r="W153" s="24">
        <f>IF($D153="","",IF($E153="※编码不在物料档案里","※物料编码不在档案里",IF(N($J153)&lt;=0,"※出库数量要大于 0",IF($K153="","※没填去向类型",IF($L153="","※没填去向矿区",IF(AND($C153&lt;&gt;"",$C153&lt;=结账锁),"※日期早于已结账截止日，不能再录",IF(AND($K153="自用消耗",COUNTIF({"一矿区";"二矿区"},$L153)=0),"※自用消耗的去向只能是一矿区或二矿区",IF(AND($K153="对外销售",COUNTIF({"三矿区";"六矿区"},$L153)=0),"※对外销售的去向只能是三矿区或六矿区",IF(AND($K153="对外销售",ROUND($Q153,0)=0),"※外销却没有售价，请填实际售价",IF(AND($K153="对外销售",$T153&lt;&gt;"",$T153&lt;0),"※这一笔外销是亏的，请核对售价",IF(IFERROR(VLOOKUP($D153,库存台账!$A$5:$Y$1204,24,0),0)&lt;-0.001,"※这个物料账面已经变成负数了，查一下是不是漏记入库","")))))))))))</f>
        <v/>
      </c>
    </row>
    <row r="154">
      <c r="A154" s="24">
        <f>IF($D154="","",COUNTA($D$4:$D154))</f>
        <v/>
      </c>
      <c r="B154" s="17" t="n"/>
      <c r="C154" s="30" t="n"/>
      <c r="D154" s="17" t="n"/>
      <c r="E154" s="24">
        <f>IF($D154="","",IFERROR(VLOOKUP($D154,物料档案!$A$4:$P$1203,3,0),"※编码不在物料档案里"))</f>
        <v/>
      </c>
      <c r="F154" s="24">
        <f>IF($D154="","",IFERROR(VLOOKUP($D154,物料档案!$A$4:$P$1203,4,0),"※编码不在物料档案里"))</f>
        <v/>
      </c>
      <c r="G154" s="24">
        <f>IF($D154="","",IFERROR(VLOOKUP($D154,物料档案!$A$4:$P$1203,5,0),"※编码不在物料档案里"))</f>
        <v/>
      </c>
      <c r="H154" s="24">
        <f>IF($D154="","",IFERROR(VLOOKUP($D154,物料档案!$A$4:$P$1203,2,0),"※编码不在物料档案里"))</f>
        <v/>
      </c>
      <c r="I154" s="24">
        <f>IF($D154="","",IFERROR(VLOOKUP($D154,物料档案!$A$4:$P$1203,6,0),"※编码不在物料档案里"))</f>
        <v/>
      </c>
      <c r="J154" s="23" t="n"/>
      <c r="K154" s="17" t="n"/>
      <c r="L154" s="17" t="n"/>
      <c r="M154" s="17" t="n"/>
      <c r="N154" s="17" t="n"/>
      <c r="O154" s="26">
        <f>IF($D154="","",IFERROR(VLOOKUP($D154,物料档案!$A$4:$P$1203,10,0),0))</f>
        <v/>
      </c>
      <c r="P154" s="32" t="n"/>
      <c r="Q154" s="26">
        <f>IF($D154="","",IF($K154&lt;&gt;"对外销售",0,ROUND(N($J154)*IF($P154="",N($O154),N($P154)),0)))</f>
        <v/>
      </c>
      <c r="R154" s="26">
        <f>IF($D154="","",IFERROR(VLOOKUP($D154,库存台账!$A$5:$Y$1204,11,0),0))</f>
        <v/>
      </c>
      <c r="S154" s="26">
        <f>IF($D154="","",ROUND(N($J154)*N($R154),0))</f>
        <v/>
      </c>
      <c r="T154" s="26">
        <f>IF($D154="","",IF($K154&lt;&gt;"对外销售","",ROUND($Q154-$S154,0)))</f>
        <v/>
      </c>
      <c r="U154" s="17" t="n"/>
      <c r="V154" s="17" t="n"/>
      <c r="W154" s="24">
        <f>IF($D154="","",IF($E154="※编码不在物料档案里","※物料编码不在档案里",IF(N($J154)&lt;=0,"※出库数量要大于 0",IF($K154="","※没填去向类型",IF($L154="","※没填去向矿区",IF(AND($C154&lt;&gt;"",$C154&lt;=结账锁),"※日期早于已结账截止日，不能再录",IF(AND($K154="自用消耗",COUNTIF({"一矿区";"二矿区"},$L154)=0),"※自用消耗的去向只能是一矿区或二矿区",IF(AND($K154="对外销售",COUNTIF({"三矿区";"六矿区"},$L154)=0),"※对外销售的去向只能是三矿区或六矿区",IF(AND($K154="对外销售",ROUND($Q154,0)=0),"※外销却没有售价，请填实际售价",IF(AND($K154="对外销售",$T154&lt;&gt;"",$T154&lt;0),"※这一笔外销是亏的，请核对售价",IF(IFERROR(VLOOKUP($D154,库存台账!$A$5:$Y$1204,24,0),0)&lt;-0.001,"※这个物料账面已经变成负数了，查一下是不是漏记入库","")))))))))))</f>
        <v/>
      </c>
    </row>
    <row r="155">
      <c r="A155" s="24">
        <f>IF($D155="","",COUNTA($D$4:$D155))</f>
        <v/>
      </c>
      <c r="B155" s="17" t="n"/>
      <c r="C155" s="30" t="n"/>
      <c r="D155" s="17" t="n"/>
      <c r="E155" s="24">
        <f>IF($D155="","",IFERROR(VLOOKUP($D155,物料档案!$A$4:$P$1203,3,0),"※编码不在物料档案里"))</f>
        <v/>
      </c>
      <c r="F155" s="24">
        <f>IF($D155="","",IFERROR(VLOOKUP($D155,物料档案!$A$4:$P$1203,4,0),"※编码不在物料档案里"))</f>
        <v/>
      </c>
      <c r="G155" s="24">
        <f>IF($D155="","",IFERROR(VLOOKUP($D155,物料档案!$A$4:$P$1203,5,0),"※编码不在物料档案里"))</f>
        <v/>
      </c>
      <c r="H155" s="24">
        <f>IF($D155="","",IFERROR(VLOOKUP($D155,物料档案!$A$4:$P$1203,2,0),"※编码不在物料档案里"))</f>
        <v/>
      </c>
      <c r="I155" s="24">
        <f>IF($D155="","",IFERROR(VLOOKUP($D155,物料档案!$A$4:$P$1203,6,0),"※编码不在物料档案里"))</f>
        <v/>
      </c>
      <c r="J155" s="23" t="n"/>
      <c r="K155" s="17" t="n"/>
      <c r="L155" s="17" t="n"/>
      <c r="M155" s="17" t="n"/>
      <c r="N155" s="17" t="n"/>
      <c r="O155" s="26">
        <f>IF($D155="","",IFERROR(VLOOKUP($D155,物料档案!$A$4:$P$1203,10,0),0))</f>
        <v/>
      </c>
      <c r="P155" s="32" t="n"/>
      <c r="Q155" s="26">
        <f>IF($D155="","",IF($K155&lt;&gt;"对外销售",0,ROUND(N($J155)*IF($P155="",N($O155),N($P155)),0)))</f>
        <v/>
      </c>
      <c r="R155" s="26">
        <f>IF($D155="","",IFERROR(VLOOKUP($D155,库存台账!$A$5:$Y$1204,11,0),0))</f>
        <v/>
      </c>
      <c r="S155" s="26">
        <f>IF($D155="","",ROUND(N($J155)*N($R155),0))</f>
        <v/>
      </c>
      <c r="T155" s="26">
        <f>IF($D155="","",IF($K155&lt;&gt;"对外销售","",ROUND($Q155-$S155,0)))</f>
        <v/>
      </c>
      <c r="U155" s="17" t="n"/>
      <c r="V155" s="17" t="n"/>
      <c r="W155" s="24">
        <f>IF($D155="","",IF($E155="※编码不在物料档案里","※物料编码不在档案里",IF(N($J155)&lt;=0,"※出库数量要大于 0",IF($K155="","※没填去向类型",IF($L155="","※没填去向矿区",IF(AND($C155&lt;&gt;"",$C155&lt;=结账锁),"※日期早于已结账截止日，不能再录",IF(AND($K155="自用消耗",COUNTIF({"一矿区";"二矿区"},$L155)=0),"※自用消耗的去向只能是一矿区或二矿区",IF(AND($K155="对外销售",COUNTIF({"三矿区";"六矿区"},$L155)=0),"※对外销售的去向只能是三矿区或六矿区",IF(AND($K155="对外销售",ROUND($Q155,0)=0),"※外销却没有售价，请填实际售价",IF(AND($K155="对外销售",$T155&lt;&gt;"",$T155&lt;0),"※这一笔外销是亏的，请核对售价",IF(IFERROR(VLOOKUP($D155,库存台账!$A$5:$Y$1204,24,0),0)&lt;-0.001,"※这个物料账面已经变成负数了，查一下是不是漏记入库","")))))))))))</f>
        <v/>
      </c>
    </row>
    <row r="156">
      <c r="A156" s="24">
        <f>IF($D156="","",COUNTA($D$4:$D156))</f>
        <v/>
      </c>
      <c r="B156" s="17" t="n"/>
      <c r="C156" s="30" t="n"/>
      <c r="D156" s="17" t="n"/>
      <c r="E156" s="24">
        <f>IF($D156="","",IFERROR(VLOOKUP($D156,物料档案!$A$4:$P$1203,3,0),"※编码不在物料档案里"))</f>
        <v/>
      </c>
      <c r="F156" s="24">
        <f>IF($D156="","",IFERROR(VLOOKUP($D156,物料档案!$A$4:$P$1203,4,0),"※编码不在物料档案里"))</f>
        <v/>
      </c>
      <c r="G156" s="24">
        <f>IF($D156="","",IFERROR(VLOOKUP($D156,物料档案!$A$4:$P$1203,5,0),"※编码不在物料档案里"))</f>
        <v/>
      </c>
      <c r="H156" s="24">
        <f>IF($D156="","",IFERROR(VLOOKUP($D156,物料档案!$A$4:$P$1203,2,0),"※编码不在物料档案里"))</f>
        <v/>
      </c>
      <c r="I156" s="24">
        <f>IF($D156="","",IFERROR(VLOOKUP($D156,物料档案!$A$4:$P$1203,6,0),"※编码不在物料档案里"))</f>
        <v/>
      </c>
      <c r="J156" s="23" t="n"/>
      <c r="K156" s="17" t="n"/>
      <c r="L156" s="17" t="n"/>
      <c r="M156" s="17" t="n"/>
      <c r="N156" s="17" t="n"/>
      <c r="O156" s="26">
        <f>IF($D156="","",IFERROR(VLOOKUP($D156,物料档案!$A$4:$P$1203,10,0),0))</f>
        <v/>
      </c>
      <c r="P156" s="32" t="n"/>
      <c r="Q156" s="26">
        <f>IF($D156="","",IF($K156&lt;&gt;"对外销售",0,ROUND(N($J156)*IF($P156="",N($O156),N($P156)),0)))</f>
        <v/>
      </c>
      <c r="R156" s="26">
        <f>IF($D156="","",IFERROR(VLOOKUP($D156,库存台账!$A$5:$Y$1204,11,0),0))</f>
        <v/>
      </c>
      <c r="S156" s="26">
        <f>IF($D156="","",ROUND(N($J156)*N($R156),0))</f>
        <v/>
      </c>
      <c r="T156" s="26">
        <f>IF($D156="","",IF($K156&lt;&gt;"对外销售","",ROUND($Q156-$S156,0)))</f>
        <v/>
      </c>
      <c r="U156" s="17" t="n"/>
      <c r="V156" s="17" t="n"/>
      <c r="W156" s="24">
        <f>IF($D156="","",IF($E156="※编码不在物料档案里","※物料编码不在档案里",IF(N($J156)&lt;=0,"※出库数量要大于 0",IF($K156="","※没填去向类型",IF($L156="","※没填去向矿区",IF(AND($C156&lt;&gt;"",$C156&lt;=结账锁),"※日期早于已结账截止日，不能再录",IF(AND($K156="自用消耗",COUNTIF({"一矿区";"二矿区"},$L156)=0),"※自用消耗的去向只能是一矿区或二矿区",IF(AND($K156="对外销售",COUNTIF({"三矿区";"六矿区"},$L156)=0),"※对外销售的去向只能是三矿区或六矿区",IF(AND($K156="对外销售",ROUND($Q156,0)=0),"※外销却没有售价，请填实际售价",IF(AND($K156="对外销售",$T156&lt;&gt;"",$T156&lt;0),"※这一笔外销是亏的，请核对售价",IF(IFERROR(VLOOKUP($D156,库存台账!$A$5:$Y$1204,24,0),0)&lt;-0.001,"※这个物料账面已经变成负数了，查一下是不是漏记入库","")))))))))))</f>
        <v/>
      </c>
    </row>
    <row r="157">
      <c r="A157" s="24">
        <f>IF($D157="","",COUNTA($D$4:$D157))</f>
        <v/>
      </c>
      <c r="B157" s="17" t="n"/>
      <c r="C157" s="30" t="n"/>
      <c r="D157" s="17" t="n"/>
      <c r="E157" s="24">
        <f>IF($D157="","",IFERROR(VLOOKUP($D157,物料档案!$A$4:$P$1203,3,0),"※编码不在物料档案里"))</f>
        <v/>
      </c>
      <c r="F157" s="24">
        <f>IF($D157="","",IFERROR(VLOOKUP($D157,物料档案!$A$4:$P$1203,4,0),"※编码不在物料档案里"))</f>
        <v/>
      </c>
      <c r="G157" s="24">
        <f>IF($D157="","",IFERROR(VLOOKUP($D157,物料档案!$A$4:$P$1203,5,0),"※编码不在物料档案里"))</f>
        <v/>
      </c>
      <c r="H157" s="24">
        <f>IF($D157="","",IFERROR(VLOOKUP($D157,物料档案!$A$4:$P$1203,2,0),"※编码不在物料档案里"))</f>
        <v/>
      </c>
      <c r="I157" s="24">
        <f>IF($D157="","",IFERROR(VLOOKUP($D157,物料档案!$A$4:$P$1203,6,0),"※编码不在物料档案里"))</f>
        <v/>
      </c>
      <c r="J157" s="23" t="n"/>
      <c r="K157" s="17" t="n"/>
      <c r="L157" s="17" t="n"/>
      <c r="M157" s="17" t="n"/>
      <c r="N157" s="17" t="n"/>
      <c r="O157" s="26">
        <f>IF($D157="","",IFERROR(VLOOKUP($D157,物料档案!$A$4:$P$1203,10,0),0))</f>
        <v/>
      </c>
      <c r="P157" s="32" t="n"/>
      <c r="Q157" s="26">
        <f>IF($D157="","",IF($K157&lt;&gt;"对外销售",0,ROUND(N($J157)*IF($P157="",N($O157),N($P157)),0)))</f>
        <v/>
      </c>
      <c r="R157" s="26">
        <f>IF($D157="","",IFERROR(VLOOKUP($D157,库存台账!$A$5:$Y$1204,11,0),0))</f>
        <v/>
      </c>
      <c r="S157" s="26">
        <f>IF($D157="","",ROUND(N($J157)*N($R157),0))</f>
        <v/>
      </c>
      <c r="T157" s="26">
        <f>IF($D157="","",IF($K157&lt;&gt;"对外销售","",ROUND($Q157-$S157,0)))</f>
        <v/>
      </c>
      <c r="U157" s="17" t="n"/>
      <c r="V157" s="17" t="n"/>
      <c r="W157" s="24">
        <f>IF($D157="","",IF($E157="※编码不在物料档案里","※物料编码不在档案里",IF(N($J157)&lt;=0,"※出库数量要大于 0",IF($K157="","※没填去向类型",IF($L157="","※没填去向矿区",IF(AND($C157&lt;&gt;"",$C157&lt;=结账锁),"※日期早于已结账截止日，不能再录",IF(AND($K157="自用消耗",COUNTIF({"一矿区";"二矿区"},$L157)=0),"※自用消耗的去向只能是一矿区或二矿区",IF(AND($K157="对外销售",COUNTIF({"三矿区";"六矿区"},$L157)=0),"※对外销售的去向只能是三矿区或六矿区",IF(AND($K157="对外销售",ROUND($Q157,0)=0),"※外销却没有售价，请填实际售价",IF(AND($K157="对外销售",$T157&lt;&gt;"",$T157&lt;0),"※这一笔外销是亏的，请核对售价",IF(IFERROR(VLOOKUP($D157,库存台账!$A$5:$Y$1204,24,0),0)&lt;-0.001,"※这个物料账面已经变成负数了，查一下是不是漏记入库","")))))))))))</f>
        <v/>
      </c>
    </row>
    <row r="158">
      <c r="A158" s="24">
        <f>IF($D158="","",COUNTA($D$4:$D158))</f>
        <v/>
      </c>
      <c r="B158" s="17" t="n"/>
      <c r="C158" s="30" t="n"/>
      <c r="D158" s="17" t="n"/>
      <c r="E158" s="24">
        <f>IF($D158="","",IFERROR(VLOOKUP($D158,物料档案!$A$4:$P$1203,3,0),"※编码不在物料档案里"))</f>
        <v/>
      </c>
      <c r="F158" s="24">
        <f>IF($D158="","",IFERROR(VLOOKUP($D158,物料档案!$A$4:$P$1203,4,0),"※编码不在物料档案里"))</f>
        <v/>
      </c>
      <c r="G158" s="24">
        <f>IF($D158="","",IFERROR(VLOOKUP($D158,物料档案!$A$4:$P$1203,5,0),"※编码不在物料档案里"))</f>
        <v/>
      </c>
      <c r="H158" s="24">
        <f>IF($D158="","",IFERROR(VLOOKUP($D158,物料档案!$A$4:$P$1203,2,0),"※编码不在物料档案里"))</f>
        <v/>
      </c>
      <c r="I158" s="24">
        <f>IF($D158="","",IFERROR(VLOOKUP($D158,物料档案!$A$4:$P$1203,6,0),"※编码不在物料档案里"))</f>
        <v/>
      </c>
      <c r="J158" s="23" t="n"/>
      <c r="K158" s="17" t="n"/>
      <c r="L158" s="17" t="n"/>
      <c r="M158" s="17" t="n"/>
      <c r="N158" s="17" t="n"/>
      <c r="O158" s="26">
        <f>IF($D158="","",IFERROR(VLOOKUP($D158,物料档案!$A$4:$P$1203,10,0),0))</f>
        <v/>
      </c>
      <c r="P158" s="32" t="n"/>
      <c r="Q158" s="26">
        <f>IF($D158="","",IF($K158&lt;&gt;"对外销售",0,ROUND(N($J158)*IF($P158="",N($O158),N($P158)),0)))</f>
        <v/>
      </c>
      <c r="R158" s="26">
        <f>IF($D158="","",IFERROR(VLOOKUP($D158,库存台账!$A$5:$Y$1204,11,0),0))</f>
        <v/>
      </c>
      <c r="S158" s="26">
        <f>IF($D158="","",ROUND(N($J158)*N($R158),0))</f>
        <v/>
      </c>
      <c r="T158" s="26">
        <f>IF($D158="","",IF($K158&lt;&gt;"对外销售","",ROUND($Q158-$S158,0)))</f>
        <v/>
      </c>
      <c r="U158" s="17" t="n"/>
      <c r="V158" s="17" t="n"/>
      <c r="W158" s="24">
        <f>IF($D158="","",IF($E158="※编码不在物料档案里","※物料编码不在档案里",IF(N($J158)&lt;=0,"※出库数量要大于 0",IF($K158="","※没填去向类型",IF($L158="","※没填去向矿区",IF(AND($C158&lt;&gt;"",$C158&lt;=结账锁),"※日期早于已结账截止日，不能再录",IF(AND($K158="自用消耗",COUNTIF({"一矿区";"二矿区"},$L158)=0),"※自用消耗的去向只能是一矿区或二矿区",IF(AND($K158="对外销售",COUNTIF({"三矿区";"六矿区"},$L158)=0),"※对外销售的去向只能是三矿区或六矿区",IF(AND($K158="对外销售",ROUND($Q158,0)=0),"※外销却没有售价，请填实际售价",IF(AND($K158="对外销售",$T158&lt;&gt;"",$T158&lt;0),"※这一笔外销是亏的，请核对售价",IF(IFERROR(VLOOKUP($D158,库存台账!$A$5:$Y$1204,24,0),0)&lt;-0.001,"※这个物料账面已经变成负数了，查一下是不是漏记入库","")))))))))))</f>
        <v/>
      </c>
    </row>
    <row r="159">
      <c r="A159" s="24">
        <f>IF($D159="","",COUNTA($D$4:$D159))</f>
        <v/>
      </c>
      <c r="B159" s="17" t="n"/>
      <c r="C159" s="30" t="n"/>
      <c r="D159" s="17" t="n"/>
      <c r="E159" s="24">
        <f>IF($D159="","",IFERROR(VLOOKUP($D159,物料档案!$A$4:$P$1203,3,0),"※编码不在物料档案里"))</f>
        <v/>
      </c>
      <c r="F159" s="24">
        <f>IF($D159="","",IFERROR(VLOOKUP($D159,物料档案!$A$4:$P$1203,4,0),"※编码不在物料档案里"))</f>
        <v/>
      </c>
      <c r="G159" s="24">
        <f>IF($D159="","",IFERROR(VLOOKUP($D159,物料档案!$A$4:$P$1203,5,0),"※编码不在物料档案里"))</f>
        <v/>
      </c>
      <c r="H159" s="24">
        <f>IF($D159="","",IFERROR(VLOOKUP($D159,物料档案!$A$4:$P$1203,2,0),"※编码不在物料档案里"))</f>
        <v/>
      </c>
      <c r="I159" s="24">
        <f>IF($D159="","",IFERROR(VLOOKUP($D159,物料档案!$A$4:$P$1203,6,0),"※编码不在物料档案里"))</f>
        <v/>
      </c>
      <c r="J159" s="23" t="n"/>
      <c r="K159" s="17" t="n"/>
      <c r="L159" s="17" t="n"/>
      <c r="M159" s="17" t="n"/>
      <c r="N159" s="17" t="n"/>
      <c r="O159" s="26">
        <f>IF($D159="","",IFERROR(VLOOKUP($D159,物料档案!$A$4:$P$1203,10,0),0))</f>
        <v/>
      </c>
      <c r="P159" s="32" t="n"/>
      <c r="Q159" s="26">
        <f>IF($D159="","",IF($K159&lt;&gt;"对外销售",0,ROUND(N($J159)*IF($P159="",N($O159),N($P159)),0)))</f>
        <v/>
      </c>
      <c r="R159" s="26">
        <f>IF($D159="","",IFERROR(VLOOKUP($D159,库存台账!$A$5:$Y$1204,11,0),0))</f>
        <v/>
      </c>
      <c r="S159" s="26">
        <f>IF($D159="","",ROUND(N($J159)*N($R159),0))</f>
        <v/>
      </c>
      <c r="T159" s="26">
        <f>IF($D159="","",IF($K159&lt;&gt;"对外销售","",ROUND($Q159-$S159,0)))</f>
        <v/>
      </c>
      <c r="U159" s="17" t="n"/>
      <c r="V159" s="17" t="n"/>
      <c r="W159" s="24">
        <f>IF($D159="","",IF($E159="※编码不在物料档案里","※物料编码不在档案里",IF(N($J159)&lt;=0,"※出库数量要大于 0",IF($K159="","※没填去向类型",IF($L159="","※没填去向矿区",IF(AND($C159&lt;&gt;"",$C159&lt;=结账锁),"※日期早于已结账截止日，不能再录",IF(AND($K159="自用消耗",COUNTIF({"一矿区";"二矿区"},$L159)=0),"※自用消耗的去向只能是一矿区或二矿区",IF(AND($K159="对外销售",COUNTIF({"三矿区";"六矿区"},$L159)=0),"※对外销售的去向只能是三矿区或六矿区",IF(AND($K159="对外销售",ROUND($Q159,0)=0),"※外销却没有售价，请填实际售价",IF(AND($K159="对外销售",$T159&lt;&gt;"",$T159&lt;0),"※这一笔外销是亏的，请核对售价",IF(IFERROR(VLOOKUP($D159,库存台账!$A$5:$Y$1204,24,0),0)&lt;-0.001,"※这个物料账面已经变成负数了，查一下是不是漏记入库","")))))))))))</f>
        <v/>
      </c>
    </row>
    <row r="160">
      <c r="A160" s="24">
        <f>IF($D160="","",COUNTA($D$4:$D160))</f>
        <v/>
      </c>
      <c r="B160" s="17" t="n"/>
      <c r="C160" s="30" t="n"/>
      <c r="D160" s="17" t="n"/>
      <c r="E160" s="24">
        <f>IF($D160="","",IFERROR(VLOOKUP($D160,物料档案!$A$4:$P$1203,3,0),"※编码不在物料档案里"))</f>
        <v/>
      </c>
      <c r="F160" s="24">
        <f>IF($D160="","",IFERROR(VLOOKUP($D160,物料档案!$A$4:$P$1203,4,0),"※编码不在物料档案里"))</f>
        <v/>
      </c>
      <c r="G160" s="24">
        <f>IF($D160="","",IFERROR(VLOOKUP($D160,物料档案!$A$4:$P$1203,5,0),"※编码不在物料档案里"))</f>
        <v/>
      </c>
      <c r="H160" s="24">
        <f>IF($D160="","",IFERROR(VLOOKUP($D160,物料档案!$A$4:$P$1203,2,0),"※编码不在物料档案里"))</f>
        <v/>
      </c>
      <c r="I160" s="24">
        <f>IF($D160="","",IFERROR(VLOOKUP($D160,物料档案!$A$4:$P$1203,6,0),"※编码不在物料档案里"))</f>
        <v/>
      </c>
      <c r="J160" s="23" t="n"/>
      <c r="K160" s="17" t="n"/>
      <c r="L160" s="17" t="n"/>
      <c r="M160" s="17" t="n"/>
      <c r="N160" s="17" t="n"/>
      <c r="O160" s="26">
        <f>IF($D160="","",IFERROR(VLOOKUP($D160,物料档案!$A$4:$P$1203,10,0),0))</f>
        <v/>
      </c>
      <c r="P160" s="32" t="n"/>
      <c r="Q160" s="26">
        <f>IF($D160="","",IF($K160&lt;&gt;"对外销售",0,ROUND(N($J160)*IF($P160="",N($O160),N($P160)),0)))</f>
        <v/>
      </c>
      <c r="R160" s="26">
        <f>IF($D160="","",IFERROR(VLOOKUP($D160,库存台账!$A$5:$Y$1204,11,0),0))</f>
        <v/>
      </c>
      <c r="S160" s="26">
        <f>IF($D160="","",ROUND(N($J160)*N($R160),0))</f>
        <v/>
      </c>
      <c r="T160" s="26">
        <f>IF($D160="","",IF($K160&lt;&gt;"对外销售","",ROUND($Q160-$S160,0)))</f>
        <v/>
      </c>
      <c r="U160" s="17" t="n"/>
      <c r="V160" s="17" t="n"/>
      <c r="W160" s="24">
        <f>IF($D160="","",IF($E160="※编码不在物料档案里","※物料编码不在档案里",IF(N($J160)&lt;=0,"※出库数量要大于 0",IF($K160="","※没填去向类型",IF($L160="","※没填去向矿区",IF(AND($C160&lt;&gt;"",$C160&lt;=结账锁),"※日期早于已结账截止日，不能再录",IF(AND($K160="自用消耗",COUNTIF({"一矿区";"二矿区"},$L160)=0),"※自用消耗的去向只能是一矿区或二矿区",IF(AND($K160="对外销售",COUNTIF({"三矿区";"六矿区"},$L160)=0),"※对外销售的去向只能是三矿区或六矿区",IF(AND($K160="对外销售",ROUND($Q160,0)=0),"※外销却没有售价，请填实际售价",IF(AND($K160="对外销售",$T160&lt;&gt;"",$T160&lt;0),"※这一笔外销是亏的，请核对售价",IF(IFERROR(VLOOKUP($D160,库存台账!$A$5:$Y$1204,24,0),0)&lt;-0.001,"※这个物料账面已经变成负数了，查一下是不是漏记入库","")))))))))))</f>
        <v/>
      </c>
    </row>
    <row r="161">
      <c r="A161" s="24">
        <f>IF($D161="","",COUNTA($D$4:$D161))</f>
        <v/>
      </c>
      <c r="B161" s="17" t="n"/>
      <c r="C161" s="30" t="n"/>
      <c r="D161" s="17" t="n"/>
      <c r="E161" s="24">
        <f>IF($D161="","",IFERROR(VLOOKUP($D161,物料档案!$A$4:$P$1203,3,0),"※编码不在物料档案里"))</f>
        <v/>
      </c>
      <c r="F161" s="24">
        <f>IF($D161="","",IFERROR(VLOOKUP($D161,物料档案!$A$4:$P$1203,4,0),"※编码不在物料档案里"))</f>
        <v/>
      </c>
      <c r="G161" s="24">
        <f>IF($D161="","",IFERROR(VLOOKUP($D161,物料档案!$A$4:$P$1203,5,0),"※编码不在物料档案里"))</f>
        <v/>
      </c>
      <c r="H161" s="24">
        <f>IF($D161="","",IFERROR(VLOOKUP($D161,物料档案!$A$4:$P$1203,2,0),"※编码不在物料档案里"))</f>
        <v/>
      </c>
      <c r="I161" s="24">
        <f>IF($D161="","",IFERROR(VLOOKUP($D161,物料档案!$A$4:$P$1203,6,0),"※编码不在物料档案里"))</f>
        <v/>
      </c>
      <c r="J161" s="23" t="n"/>
      <c r="K161" s="17" t="n"/>
      <c r="L161" s="17" t="n"/>
      <c r="M161" s="17" t="n"/>
      <c r="N161" s="17" t="n"/>
      <c r="O161" s="26">
        <f>IF($D161="","",IFERROR(VLOOKUP($D161,物料档案!$A$4:$P$1203,10,0),0))</f>
        <v/>
      </c>
      <c r="P161" s="32" t="n"/>
      <c r="Q161" s="26">
        <f>IF($D161="","",IF($K161&lt;&gt;"对外销售",0,ROUND(N($J161)*IF($P161="",N($O161),N($P161)),0)))</f>
        <v/>
      </c>
      <c r="R161" s="26">
        <f>IF($D161="","",IFERROR(VLOOKUP($D161,库存台账!$A$5:$Y$1204,11,0),0))</f>
        <v/>
      </c>
      <c r="S161" s="26">
        <f>IF($D161="","",ROUND(N($J161)*N($R161),0))</f>
        <v/>
      </c>
      <c r="T161" s="26">
        <f>IF($D161="","",IF($K161&lt;&gt;"对外销售","",ROUND($Q161-$S161,0)))</f>
        <v/>
      </c>
      <c r="U161" s="17" t="n"/>
      <c r="V161" s="17" t="n"/>
      <c r="W161" s="24">
        <f>IF($D161="","",IF($E161="※编码不在物料档案里","※物料编码不在档案里",IF(N($J161)&lt;=0,"※出库数量要大于 0",IF($K161="","※没填去向类型",IF($L161="","※没填去向矿区",IF(AND($C161&lt;&gt;"",$C161&lt;=结账锁),"※日期早于已结账截止日，不能再录",IF(AND($K161="自用消耗",COUNTIF({"一矿区";"二矿区"},$L161)=0),"※自用消耗的去向只能是一矿区或二矿区",IF(AND($K161="对外销售",COUNTIF({"三矿区";"六矿区"},$L161)=0),"※对外销售的去向只能是三矿区或六矿区",IF(AND($K161="对外销售",ROUND($Q161,0)=0),"※外销却没有售价，请填实际售价",IF(AND($K161="对外销售",$T161&lt;&gt;"",$T161&lt;0),"※这一笔外销是亏的，请核对售价",IF(IFERROR(VLOOKUP($D161,库存台账!$A$5:$Y$1204,24,0),0)&lt;-0.001,"※这个物料账面已经变成负数了，查一下是不是漏记入库","")))))))))))</f>
        <v/>
      </c>
    </row>
    <row r="162">
      <c r="A162" s="24">
        <f>IF($D162="","",COUNTA($D$4:$D162))</f>
        <v/>
      </c>
      <c r="B162" s="17" t="n"/>
      <c r="C162" s="30" t="n"/>
      <c r="D162" s="17" t="n"/>
      <c r="E162" s="24">
        <f>IF($D162="","",IFERROR(VLOOKUP($D162,物料档案!$A$4:$P$1203,3,0),"※编码不在物料档案里"))</f>
        <v/>
      </c>
      <c r="F162" s="24">
        <f>IF($D162="","",IFERROR(VLOOKUP($D162,物料档案!$A$4:$P$1203,4,0),"※编码不在物料档案里"))</f>
        <v/>
      </c>
      <c r="G162" s="24">
        <f>IF($D162="","",IFERROR(VLOOKUP($D162,物料档案!$A$4:$P$1203,5,0),"※编码不在物料档案里"))</f>
        <v/>
      </c>
      <c r="H162" s="24">
        <f>IF($D162="","",IFERROR(VLOOKUP($D162,物料档案!$A$4:$P$1203,2,0),"※编码不在物料档案里"))</f>
        <v/>
      </c>
      <c r="I162" s="24">
        <f>IF($D162="","",IFERROR(VLOOKUP($D162,物料档案!$A$4:$P$1203,6,0),"※编码不在物料档案里"))</f>
        <v/>
      </c>
      <c r="J162" s="23" t="n"/>
      <c r="K162" s="17" t="n"/>
      <c r="L162" s="17" t="n"/>
      <c r="M162" s="17" t="n"/>
      <c r="N162" s="17" t="n"/>
      <c r="O162" s="26">
        <f>IF($D162="","",IFERROR(VLOOKUP($D162,物料档案!$A$4:$P$1203,10,0),0))</f>
        <v/>
      </c>
      <c r="P162" s="32" t="n"/>
      <c r="Q162" s="26">
        <f>IF($D162="","",IF($K162&lt;&gt;"对外销售",0,ROUND(N($J162)*IF($P162="",N($O162),N($P162)),0)))</f>
        <v/>
      </c>
      <c r="R162" s="26">
        <f>IF($D162="","",IFERROR(VLOOKUP($D162,库存台账!$A$5:$Y$1204,11,0),0))</f>
        <v/>
      </c>
      <c r="S162" s="26">
        <f>IF($D162="","",ROUND(N($J162)*N($R162),0))</f>
        <v/>
      </c>
      <c r="T162" s="26">
        <f>IF($D162="","",IF($K162&lt;&gt;"对外销售","",ROUND($Q162-$S162,0)))</f>
        <v/>
      </c>
      <c r="U162" s="17" t="n"/>
      <c r="V162" s="17" t="n"/>
      <c r="W162" s="24">
        <f>IF($D162="","",IF($E162="※编码不在物料档案里","※物料编码不在档案里",IF(N($J162)&lt;=0,"※出库数量要大于 0",IF($K162="","※没填去向类型",IF($L162="","※没填去向矿区",IF(AND($C162&lt;&gt;"",$C162&lt;=结账锁),"※日期早于已结账截止日，不能再录",IF(AND($K162="自用消耗",COUNTIF({"一矿区";"二矿区"},$L162)=0),"※自用消耗的去向只能是一矿区或二矿区",IF(AND($K162="对外销售",COUNTIF({"三矿区";"六矿区"},$L162)=0),"※对外销售的去向只能是三矿区或六矿区",IF(AND($K162="对外销售",ROUND($Q162,0)=0),"※外销却没有售价，请填实际售价",IF(AND($K162="对外销售",$T162&lt;&gt;"",$T162&lt;0),"※这一笔外销是亏的，请核对售价",IF(IFERROR(VLOOKUP($D162,库存台账!$A$5:$Y$1204,24,0),0)&lt;-0.001,"※这个物料账面已经变成负数了，查一下是不是漏记入库","")))))))))))</f>
        <v/>
      </c>
    </row>
    <row r="163">
      <c r="A163" s="24">
        <f>IF($D163="","",COUNTA($D$4:$D163))</f>
        <v/>
      </c>
      <c r="B163" s="17" t="n"/>
      <c r="C163" s="30" t="n"/>
      <c r="D163" s="17" t="n"/>
      <c r="E163" s="24">
        <f>IF($D163="","",IFERROR(VLOOKUP($D163,物料档案!$A$4:$P$1203,3,0),"※编码不在物料档案里"))</f>
        <v/>
      </c>
      <c r="F163" s="24">
        <f>IF($D163="","",IFERROR(VLOOKUP($D163,物料档案!$A$4:$P$1203,4,0),"※编码不在物料档案里"))</f>
        <v/>
      </c>
      <c r="G163" s="24">
        <f>IF($D163="","",IFERROR(VLOOKUP($D163,物料档案!$A$4:$P$1203,5,0),"※编码不在物料档案里"))</f>
        <v/>
      </c>
      <c r="H163" s="24">
        <f>IF($D163="","",IFERROR(VLOOKUP($D163,物料档案!$A$4:$P$1203,2,0),"※编码不在物料档案里"))</f>
        <v/>
      </c>
      <c r="I163" s="24">
        <f>IF($D163="","",IFERROR(VLOOKUP($D163,物料档案!$A$4:$P$1203,6,0),"※编码不在物料档案里"))</f>
        <v/>
      </c>
      <c r="J163" s="23" t="n"/>
      <c r="K163" s="17" t="n"/>
      <c r="L163" s="17" t="n"/>
      <c r="M163" s="17" t="n"/>
      <c r="N163" s="17" t="n"/>
      <c r="O163" s="26">
        <f>IF($D163="","",IFERROR(VLOOKUP($D163,物料档案!$A$4:$P$1203,10,0),0))</f>
        <v/>
      </c>
      <c r="P163" s="32" t="n"/>
      <c r="Q163" s="26">
        <f>IF($D163="","",IF($K163&lt;&gt;"对外销售",0,ROUND(N($J163)*IF($P163="",N($O163),N($P163)),0)))</f>
        <v/>
      </c>
      <c r="R163" s="26">
        <f>IF($D163="","",IFERROR(VLOOKUP($D163,库存台账!$A$5:$Y$1204,11,0),0))</f>
        <v/>
      </c>
      <c r="S163" s="26">
        <f>IF($D163="","",ROUND(N($J163)*N($R163),0))</f>
        <v/>
      </c>
      <c r="T163" s="26">
        <f>IF($D163="","",IF($K163&lt;&gt;"对外销售","",ROUND($Q163-$S163,0)))</f>
        <v/>
      </c>
      <c r="U163" s="17" t="n"/>
      <c r="V163" s="17" t="n"/>
      <c r="W163" s="24">
        <f>IF($D163="","",IF($E163="※编码不在物料档案里","※物料编码不在档案里",IF(N($J163)&lt;=0,"※出库数量要大于 0",IF($K163="","※没填去向类型",IF($L163="","※没填去向矿区",IF(AND($C163&lt;&gt;"",$C163&lt;=结账锁),"※日期早于已结账截止日，不能再录",IF(AND($K163="自用消耗",COUNTIF({"一矿区";"二矿区"},$L163)=0),"※自用消耗的去向只能是一矿区或二矿区",IF(AND($K163="对外销售",COUNTIF({"三矿区";"六矿区"},$L163)=0),"※对外销售的去向只能是三矿区或六矿区",IF(AND($K163="对外销售",ROUND($Q163,0)=0),"※外销却没有售价，请填实际售价",IF(AND($K163="对外销售",$T163&lt;&gt;"",$T163&lt;0),"※这一笔外销是亏的，请核对售价",IF(IFERROR(VLOOKUP($D163,库存台账!$A$5:$Y$1204,24,0),0)&lt;-0.001,"※这个物料账面已经变成负数了，查一下是不是漏记入库","")))))))))))</f>
        <v/>
      </c>
    </row>
    <row r="164">
      <c r="A164" s="24">
        <f>IF($D164="","",COUNTA($D$4:$D164))</f>
        <v/>
      </c>
      <c r="B164" s="17" t="n"/>
      <c r="C164" s="30" t="n"/>
      <c r="D164" s="17" t="n"/>
      <c r="E164" s="24">
        <f>IF($D164="","",IFERROR(VLOOKUP($D164,物料档案!$A$4:$P$1203,3,0),"※编码不在物料档案里"))</f>
        <v/>
      </c>
      <c r="F164" s="24">
        <f>IF($D164="","",IFERROR(VLOOKUP($D164,物料档案!$A$4:$P$1203,4,0),"※编码不在物料档案里"))</f>
        <v/>
      </c>
      <c r="G164" s="24">
        <f>IF($D164="","",IFERROR(VLOOKUP($D164,物料档案!$A$4:$P$1203,5,0),"※编码不在物料档案里"))</f>
        <v/>
      </c>
      <c r="H164" s="24">
        <f>IF($D164="","",IFERROR(VLOOKUP($D164,物料档案!$A$4:$P$1203,2,0),"※编码不在物料档案里"))</f>
        <v/>
      </c>
      <c r="I164" s="24">
        <f>IF($D164="","",IFERROR(VLOOKUP($D164,物料档案!$A$4:$P$1203,6,0),"※编码不在物料档案里"))</f>
        <v/>
      </c>
      <c r="J164" s="23" t="n"/>
      <c r="K164" s="17" t="n"/>
      <c r="L164" s="17" t="n"/>
      <c r="M164" s="17" t="n"/>
      <c r="N164" s="17" t="n"/>
      <c r="O164" s="26">
        <f>IF($D164="","",IFERROR(VLOOKUP($D164,物料档案!$A$4:$P$1203,10,0),0))</f>
        <v/>
      </c>
      <c r="P164" s="32" t="n"/>
      <c r="Q164" s="26">
        <f>IF($D164="","",IF($K164&lt;&gt;"对外销售",0,ROUND(N($J164)*IF($P164="",N($O164),N($P164)),0)))</f>
        <v/>
      </c>
      <c r="R164" s="26">
        <f>IF($D164="","",IFERROR(VLOOKUP($D164,库存台账!$A$5:$Y$1204,11,0),0))</f>
        <v/>
      </c>
      <c r="S164" s="26">
        <f>IF($D164="","",ROUND(N($J164)*N($R164),0))</f>
        <v/>
      </c>
      <c r="T164" s="26">
        <f>IF($D164="","",IF($K164&lt;&gt;"对外销售","",ROUND($Q164-$S164,0)))</f>
        <v/>
      </c>
      <c r="U164" s="17" t="n"/>
      <c r="V164" s="17" t="n"/>
      <c r="W164" s="24">
        <f>IF($D164="","",IF($E164="※编码不在物料档案里","※物料编码不在档案里",IF(N($J164)&lt;=0,"※出库数量要大于 0",IF($K164="","※没填去向类型",IF($L164="","※没填去向矿区",IF(AND($C164&lt;&gt;"",$C164&lt;=结账锁),"※日期早于已结账截止日，不能再录",IF(AND($K164="自用消耗",COUNTIF({"一矿区";"二矿区"},$L164)=0),"※自用消耗的去向只能是一矿区或二矿区",IF(AND($K164="对外销售",COUNTIF({"三矿区";"六矿区"},$L164)=0),"※对外销售的去向只能是三矿区或六矿区",IF(AND($K164="对外销售",ROUND($Q164,0)=0),"※外销却没有售价，请填实际售价",IF(AND($K164="对外销售",$T164&lt;&gt;"",$T164&lt;0),"※这一笔外销是亏的，请核对售价",IF(IFERROR(VLOOKUP($D164,库存台账!$A$5:$Y$1204,24,0),0)&lt;-0.001,"※这个物料账面已经变成负数了，查一下是不是漏记入库","")))))))))))</f>
        <v/>
      </c>
    </row>
    <row r="165">
      <c r="A165" s="24">
        <f>IF($D165="","",COUNTA($D$4:$D165))</f>
        <v/>
      </c>
      <c r="B165" s="17" t="n"/>
      <c r="C165" s="30" t="n"/>
      <c r="D165" s="17" t="n"/>
      <c r="E165" s="24">
        <f>IF($D165="","",IFERROR(VLOOKUP($D165,物料档案!$A$4:$P$1203,3,0),"※编码不在物料档案里"))</f>
        <v/>
      </c>
      <c r="F165" s="24">
        <f>IF($D165="","",IFERROR(VLOOKUP($D165,物料档案!$A$4:$P$1203,4,0),"※编码不在物料档案里"))</f>
        <v/>
      </c>
      <c r="G165" s="24">
        <f>IF($D165="","",IFERROR(VLOOKUP($D165,物料档案!$A$4:$P$1203,5,0),"※编码不在物料档案里"))</f>
        <v/>
      </c>
      <c r="H165" s="24">
        <f>IF($D165="","",IFERROR(VLOOKUP($D165,物料档案!$A$4:$P$1203,2,0),"※编码不在物料档案里"))</f>
        <v/>
      </c>
      <c r="I165" s="24">
        <f>IF($D165="","",IFERROR(VLOOKUP($D165,物料档案!$A$4:$P$1203,6,0),"※编码不在物料档案里"))</f>
        <v/>
      </c>
      <c r="J165" s="23" t="n"/>
      <c r="K165" s="17" t="n"/>
      <c r="L165" s="17" t="n"/>
      <c r="M165" s="17" t="n"/>
      <c r="N165" s="17" t="n"/>
      <c r="O165" s="26">
        <f>IF($D165="","",IFERROR(VLOOKUP($D165,物料档案!$A$4:$P$1203,10,0),0))</f>
        <v/>
      </c>
      <c r="P165" s="32" t="n"/>
      <c r="Q165" s="26">
        <f>IF($D165="","",IF($K165&lt;&gt;"对外销售",0,ROUND(N($J165)*IF($P165="",N($O165),N($P165)),0)))</f>
        <v/>
      </c>
      <c r="R165" s="26">
        <f>IF($D165="","",IFERROR(VLOOKUP($D165,库存台账!$A$5:$Y$1204,11,0),0))</f>
        <v/>
      </c>
      <c r="S165" s="26">
        <f>IF($D165="","",ROUND(N($J165)*N($R165),0))</f>
        <v/>
      </c>
      <c r="T165" s="26">
        <f>IF($D165="","",IF($K165&lt;&gt;"对外销售","",ROUND($Q165-$S165,0)))</f>
        <v/>
      </c>
      <c r="U165" s="17" t="n"/>
      <c r="V165" s="17" t="n"/>
      <c r="W165" s="24">
        <f>IF($D165="","",IF($E165="※编码不在物料档案里","※物料编码不在档案里",IF(N($J165)&lt;=0,"※出库数量要大于 0",IF($K165="","※没填去向类型",IF($L165="","※没填去向矿区",IF(AND($C165&lt;&gt;"",$C165&lt;=结账锁),"※日期早于已结账截止日，不能再录",IF(AND($K165="自用消耗",COUNTIF({"一矿区";"二矿区"},$L165)=0),"※自用消耗的去向只能是一矿区或二矿区",IF(AND($K165="对外销售",COUNTIF({"三矿区";"六矿区"},$L165)=0),"※对外销售的去向只能是三矿区或六矿区",IF(AND($K165="对外销售",ROUND($Q165,0)=0),"※外销却没有售价，请填实际售价",IF(AND($K165="对外销售",$T165&lt;&gt;"",$T165&lt;0),"※这一笔外销是亏的，请核对售价",IF(IFERROR(VLOOKUP($D165,库存台账!$A$5:$Y$1204,24,0),0)&lt;-0.001,"※这个物料账面已经变成负数了，查一下是不是漏记入库","")))))))))))</f>
        <v/>
      </c>
    </row>
    <row r="166">
      <c r="A166" s="24">
        <f>IF($D166="","",COUNTA($D$4:$D166))</f>
        <v/>
      </c>
      <c r="B166" s="17" t="n"/>
      <c r="C166" s="30" t="n"/>
      <c r="D166" s="17" t="n"/>
      <c r="E166" s="24">
        <f>IF($D166="","",IFERROR(VLOOKUP($D166,物料档案!$A$4:$P$1203,3,0),"※编码不在物料档案里"))</f>
        <v/>
      </c>
      <c r="F166" s="24">
        <f>IF($D166="","",IFERROR(VLOOKUP($D166,物料档案!$A$4:$P$1203,4,0),"※编码不在物料档案里"))</f>
        <v/>
      </c>
      <c r="G166" s="24">
        <f>IF($D166="","",IFERROR(VLOOKUP($D166,物料档案!$A$4:$P$1203,5,0),"※编码不在物料档案里"))</f>
        <v/>
      </c>
      <c r="H166" s="24">
        <f>IF($D166="","",IFERROR(VLOOKUP($D166,物料档案!$A$4:$P$1203,2,0),"※编码不在物料档案里"))</f>
        <v/>
      </c>
      <c r="I166" s="24">
        <f>IF($D166="","",IFERROR(VLOOKUP($D166,物料档案!$A$4:$P$1203,6,0),"※编码不在物料档案里"))</f>
        <v/>
      </c>
      <c r="J166" s="23" t="n"/>
      <c r="K166" s="17" t="n"/>
      <c r="L166" s="17" t="n"/>
      <c r="M166" s="17" t="n"/>
      <c r="N166" s="17" t="n"/>
      <c r="O166" s="26">
        <f>IF($D166="","",IFERROR(VLOOKUP($D166,物料档案!$A$4:$P$1203,10,0),0))</f>
        <v/>
      </c>
      <c r="P166" s="32" t="n"/>
      <c r="Q166" s="26">
        <f>IF($D166="","",IF($K166&lt;&gt;"对外销售",0,ROUND(N($J166)*IF($P166="",N($O166),N($P166)),0)))</f>
        <v/>
      </c>
      <c r="R166" s="26">
        <f>IF($D166="","",IFERROR(VLOOKUP($D166,库存台账!$A$5:$Y$1204,11,0),0))</f>
        <v/>
      </c>
      <c r="S166" s="26">
        <f>IF($D166="","",ROUND(N($J166)*N($R166),0))</f>
        <v/>
      </c>
      <c r="T166" s="26">
        <f>IF($D166="","",IF($K166&lt;&gt;"对外销售","",ROUND($Q166-$S166,0)))</f>
        <v/>
      </c>
      <c r="U166" s="17" t="n"/>
      <c r="V166" s="17" t="n"/>
      <c r="W166" s="24">
        <f>IF($D166="","",IF($E166="※编码不在物料档案里","※物料编码不在档案里",IF(N($J166)&lt;=0,"※出库数量要大于 0",IF($K166="","※没填去向类型",IF($L166="","※没填去向矿区",IF(AND($C166&lt;&gt;"",$C166&lt;=结账锁),"※日期早于已结账截止日，不能再录",IF(AND($K166="自用消耗",COUNTIF({"一矿区";"二矿区"},$L166)=0),"※自用消耗的去向只能是一矿区或二矿区",IF(AND($K166="对外销售",COUNTIF({"三矿区";"六矿区"},$L166)=0),"※对外销售的去向只能是三矿区或六矿区",IF(AND($K166="对外销售",ROUND($Q166,0)=0),"※外销却没有售价，请填实际售价",IF(AND($K166="对外销售",$T166&lt;&gt;"",$T166&lt;0),"※这一笔外销是亏的，请核对售价",IF(IFERROR(VLOOKUP($D166,库存台账!$A$5:$Y$1204,24,0),0)&lt;-0.001,"※这个物料账面已经变成负数了，查一下是不是漏记入库","")))))))))))</f>
        <v/>
      </c>
    </row>
    <row r="167">
      <c r="A167" s="24">
        <f>IF($D167="","",COUNTA($D$4:$D167))</f>
        <v/>
      </c>
      <c r="B167" s="17" t="n"/>
      <c r="C167" s="30" t="n"/>
      <c r="D167" s="17" t="n"/>
      <c r="E167" s="24">
        <f>IF($D167="","",IFERROR(VLOOKUP($D167,物料档案!$A$4:$P$1203,3,0),"※编码不在物料档案里"))</f>
        <v/>
      </c>
      <c r="F167" s="24">
        <f>IF($D167="","",IFERROR(VLOOKUP($D167,物料档案!$A$4:$P$1203,4,0),"※编码不在物料档案里"))</f>
        <v/>
      </c>
      <c r="G167" s="24">
        <f>IF($D167="","",IFERROR(VLOOKUP($D167,物料档案!$A$4:$P$1203,5,0),"※编码不在物料档案里"))</f>
        <v/>
      </c>
      <c r="H167" s="24">
        <f>IF($D167="","",IFERROR(VLOOKUP($D167,物料档案!$A$4:$P$1203,2,0),"※编码不在物料档案里"))</f>
        <v/>
      </c>
      <c r="I167" s="24">
        <f>IF($D167="","",IFERROR(VLOOKUP($D167,物料档案!$A$4:$P$1203,6,0),"※编码不在物料档案里"))</f>
        <v/>
      </c>
      <c r="J167" s="23" t="n"/>
      <c r="K167" s="17" t="n"/>
      <c r="L167" s="17" t="n"/>
      <c r="M167" s="17" t="n"/>
      <c r="N167" s="17" t="n"/>
      <c r="O167" s="26">
        <f>IF($D167="","",IFERROR(VLOOKUP($D167,物料档案!$A$4:$P$1203,10,0),0))</f>
        <v/>
      </c>
      <c r="P167" s="32" t="n"/>
      <c r="Q167" s="26">
        <f>IF($D167="","",IF($K167&lt;&gt;"对外销售",0,ROUND(N($J167)*IF($P167="",N($O167),N($P167)),0)))</f>
        <v/>
      </c>
      <c r="R167" s="26">
        <f>IF($D167="","",IFERROR(VLOOKUP($D167,库存台账!$A$5:$Y$1204,11,0),0))</f>
        <v/>
      </c>
      <c r="S167" s="26">
        <f>IF($D167="","",ROUND(N($J167)*N($R167),0))</f>
        <v/>
      </c>
      <c r="T167" s="26">
        <f>IF($D167="","",IF($K167&lt;&gt;"对外销售","",ROUND($Q167-$S167,0)))</f>
        <v/>
      </c>
      <c r="U167" s="17" t="n"/>
      <c r="V167" s="17" t="n"/>
      <c r="W167" s="24">
        <f>IF($D167="","",IF($E167="※编码不在物料档案里","※物料编码不在档案里",IF(N($J167)&lt;=0,"※出库数量要大于 0",IF($K167="","※没填去向类型",IF($L167="","※没填去向矿区",IF(AND($C167&lt;&gt;"",$C167&lt;=结账锁),"※日期早于已结账截止日，不能再录",IF(AND($K167="自用消耗",COUNTIF({"一矿区";"二矿区"},$L167)=0),"※自用消耗的去向只能是一矿区或二矿区",IF(AND($K167="对外销售",COUNTIF({"三矿区";"六矿区"},$L167)=0),"※对外销售的去向只能是三矿区或六矿区",IF(AND($K167="对外销售",ROUND($Q167,0)=0),"※外销却没有售价，请填实际售价",IF(AND($K167="对外销售",$T167&lt;&gt;"",$T167&lt;0),"※这一笔外销是亏的，请核对售价",IF(IFERROR(VLOOKUP($D167,库存台账!$A$5:$Y$1204,24,0),0)&lt;-0.001,"※这个物料账面已经变成负数了，查一下是不是漏记入库","")))))))))))</f>
        <v/>
      </c>
    </row>
    <row r="168">
      <c r="A168" s="24">
        <f>IF($D168="","",COUNTA($D$4:$D168))</f>
        <v/>
      </c>
      <c r="B168" s="17" t="n"/>
      <c r="C168" s="30" t="n"/>
      <c r="D168" s="17" t="n"/>
      <c r="E168" s="24">
        <f>IF($D168="","",IFERROR(VLOOKUP($D168,物料档案!$A$4:$P$1203,3,0),"※编码不在物料档案里"))</f>
        <v/>
      </c>
      <c r="F168" s="24">
        <f>IF($D168="","",IFERROR(VLOOKUP($D168,物料档案!$A$4:$P$1203,4,0),"※编码不在物料档案里"))</f>
        <v/>
      </c>
      <c r="G168" s="24">
        <f>IF($D168="","",IFERROR(VLOOKUP($D168,物料档案!$A$4:$P$1203,5,0),"※编码不在物料档案里"))</f>
        <v/>
      </c>
      <c r="H168" s="24">
        <f>IF($D168="","",IFERROR(VLOOKUP($D168,物料档案!$A$4:$P$1203,2,0),"※编码不在物料档案里"))</f>
        <v/>
      </c>
      <c r="I168" s="24">
        <f>IF($D168="","",IFERROR(VLOOKUP($D168,物料档案!$A$4:$P$1203,6,0),"※编码不在物料档案里"))</f>
        <v/>
      </c>
      <c r="J168" s="23" t="n"/>
      <c r="K168" s="17" t="n"/>
      <c r="L168" s="17" t="n"/>
      <c r="M168" s="17" t="n"/>
      <c r="N168" s="17" t="n"/>
      <c r="O168" s="26">
        <f>IF($D168="","",IFERROR(VLOOKUP($D168,物料档案!$A$4:$P$1203,10,0),0))</f>
        <v/>
      </c>
      <c r="P168" s="32" t="n"/>
      <c r="Q168" s="26">
        <f>IF($D168="","",IF($K168&lt;&gt;"对外销售",0,ROUND(N($J168)*IF($P168="",N($O168),N($P168)),0)))</f>
        <v/>
      </c>
      <c r="R168" s="26">
        <f>IF($D168="","",IFERROR(VLOOKUP($D168,库存台账!$A$5:$Y$1204,11,0),0))</f>
        <v/>
      </c>
      <c r="S168" s="26">
        <f>IF($D168="","",ROUND(N($J168)*N($R168),0))</f>
        <v/>
      </c>
      <c r="T168" s="26">
        <f>IF($D168="","",IF($K168&lt;&gt;"对外销售","",ROUND($Q168-$S168,0)))</f>
        <v/>
      </c>
      <c r="U168" s="17" t="n"/>
      <c r="V168" s="17" t="n"/>
      <c r="W168" s="24">
        <f>IF($D168="","",IF($E168="※编码不在物料档案里","※物料编码不在档案里",IF(N($J168)&lt;=0,"※出库数量要大于 0",IF($K168="","※没填去向类型",IF($L168="","※没填去向矿区",IF(AND($C168&lt;&gt;"",$C168&lt;=结账锁),"※日期早于已结账截止日，不能再录",IF(AND($K168="自用消耗",COUNTIF({"一矿区";"二矿区"},$L168)=0),"※自用消耗的去向只能是一矿区或二矿区",IF(AND($K168="对外销售",COUNTIF({"三矿区";"六矿区"},$L168)=0),"※对外销售的去向只能是三矿区或六矿区",IF(AND($K168="对外销售",ROUND($Q168,0)=0),"※外销却没有售价，请填实际售价",IF(AND($K168="对外销售",$T168&lt;&gt;"",$T168&lt;0),"※这一笔外销是亏的，请核对售价",IF(IFERROR(VLOOKUP($D168,库存台账!$A$5:$Y$1204,24,0),0)&lt;-0.001,"※这个物料账面已经变成负数了，查一下是不是漏记入库","")))))))))))</f>
        <v/>
      </c>
    </row>
    <row r="169">
      <c r="A169" s="24">
        <f>IF($D169="","",COUNTA($D$4:$D169))</f>
        <v/>
      </c>
      <c r="B169" s="17" t="n"/>
      <c r="C169" s="30" t="n"/>
      <c r="D169" s="17" t="n"/>
      <c r="E169" s="24">
        <f>IF($D169="","",IFERROR(VLOOKUP($D169,物料档案!$A$4:$P$1203,3,0),"※编码不在物料档案里"))</f>
        <v/>
      </c>
      <c r="F169" s="24">
        <f>IF($D169="","",IFERROR(VLOOKUP($D169,物料档案!$A$4:$P$1203,4,0),"※编码不在物料档案里"))</f>
        <v/>
      </c>
      <c r="G169" s="24">
        <f>IF($D169="","",IFERROR(VLOOKUP($D169,物料档案!$A$4:$P$1203,5,0),"※编码不在物料档案里"))</f>
        <v/>
      </c>
      <c r="H169" s="24">
        <f>IF($D169="","",IFERROR(VLOOKUP($D169,物料档案!$A$4:$P$1203,2,0),"※编码不在物料档案里"))</f>
        <v/>
      </c>
      <c r="I169" s="24">
        <f>IF($D169="","",IFERROR(VLOOKUP($D169,物料档案!$A$4:$P$1203,6,0),"※编码不在物料档案里"))</f>
        <v/>
      </c>
      <c r="J169" s="23" t="n"/>
      <c r="K169" s="17" t="n"/>
      <c r="L169" s="17" t="n"/>
      <c r="M169" s="17" t="n"/>
      <c r="N169" s="17" t="n"/>
      <c r="O169" s="26">
        <f>IF($D169="","",IFERROR(VLOOKUP($D169,物料档案!$A$4:$P$1203,10,0),0))</f>
        <v/>
      </c>
      <c r="P169" s="32" t="n"/>
      <c r="Q169" s="26">
        <f>IF($D169="","",IF($K169&lt;&gt;"对外销售",0,ROUND(N($J169)*IF($P169="",N($O169),N($P169)),0)))</f>
        <v/>
      </c>
      <c r="R169" s="26">
        <f>IF($D169="","",IFERROR(VLOOKUP($D169,库存台账!$A$5:$Y$1204,11,0),0))</f>
        <v/>
      </c>
      <c r="S169" s="26">
        <f>IF($D169="","",ROUND(N($J169)*N($R169),0))</f>
        <v/>
      </c>
      <c r="T169" s="26">
        <f>IF($D169="","",IF($K169&lt;&gt;"对外销售","",ROUND($Q169-$S169,0)))</f>
        <v/>
      </c>
      <c r="U169" s="17" t="n"/>
      <c r="V169" s="17" t="n"/>
      <c r="W169" s="24">
        <f>IF($D169="","",IF($E169="※编码不在物料档案里","※物料编码不在档案里",IF(N($J169)&lt;=0,"※出库数量要大于 0",IF($K169="","※没填去向类型",IF($L169="","※没填去向矿区",IF(AND($C169&lt;&gt;"",$C169&lt;=结账锁),"※日期早于已结账截止日，不能再录",IF(AND($K169="自用消耗",COUNTIF({"一矿区";"二矿区"},$L169)=0),"※自用消耗的去向只能是一矿区或二矿区",IF(AND($K169="对外销售",COUNTIF({"三矿区";"六矿区"},$L169)=0),"※对外销售的去向只能是三矿区或六矿区",IF(AND($K169="对外销售",ROUND($Q169,0)=0),"※外销却没有售价，请填实际售价",IF(AND($K169="对外销售",$T169&lt;&gt;"",$T169&lt;0),"※这一笔外销是亏的，请核对售价",IF(IFERROR(VLOOKUP($D169,库存台账!$A$5:$Y$1204,24,0),0)&lt;-0.001,"※这个物料账面已经变成负数了，查一下是不是漏记入库","")))))))))))</f>
        <v/>
      </c>
    </row>
    <row r="170">
      <c r="A170" s="24">
        <f>IF($D170="","",COUNTA($D$4:$D170))</f>
        <v/>
      </c>
      <c r="B170" s="17" t="n"/>
      <c r="C170" s="30" t="n"/>
      <c r="D170" s="17" t="n"/>
      <c r="E170" s="24">
        <f>IF($D170="","",IFERROR(VLOOKUP($D170,物料档案!$A$4:$P$1203,3,0),"※编码不在物料档案里"))</f>
        <v/>
      </c>
      <c r="F170" s="24">
        <f>IF($D170="","",IFERROR(VLOOKUP($D170,物料档案!$A$4:$P$1203,4,0),"※编码不在物料档案里"))</f>
        <v/>
      </c>
      <c r="G170" s="24">
        <f>IF($D170="","",IFERROR(VLOOKUP($D170,物料档案!$A$4:$P$1203,5,0),"※编码不在物料档案里"))</f>
        <v/>
      </c>
      <c r="H170" s="24">
        <f>IF($D170="","",IFERROR(VLOOKUP($D170,物料档案!$A$4:$P$1203,2,0),"※编码不在物料档案里"))</f>
        <v/>
      </c>
      <c r="I170" s="24">
        <f>IF($D170="","",IFERROR(VLOOKUP($D170,物料档案!$A$4:$P$1203,6,0),"※编码不在物料档案里"))</f>
        <v/>
      </c>
      <c r="J170" s="23" t="n"/>
      <c r="K170" s="17" t="n"/>
      <c r="L170" s="17" t="n"/>
      <c r="M170" s="17" t="n"/>
      <c r="N170" s="17" t="n"/>
      <c r="O170" s="26">
        <f>IF($D170="","",IFERROR(VLOOKUP($D170,物料档案!$A$4:$P$1203,10,0),0))</f>
        <v/>
      </c>
      <c r="P170" s="32" t="n"/>
      <c r="Q170" s="26">
        <f>IF($D170="","",IF($K170&lt;&gt;"对外销售",0,ROUND(N($J170)*IF($P170="",N($O170),N($P170)),0)))</f>
        <v/>
      </c>
      <c r="R170" s="26">
        <f>IF($D170="","",IFERROR(VLOOKUP($D170,库存台账!$A$5:$Y$1204,11,0),0))</f>
        <v/>
      </c>
      <c r="S170" s="26">
        <f>IF($D170="","",ROUND(N($J170)*N($R170),0))</f>
        <v/>
      </c>
      <c r="T170" s="26">
        <f>IF($D170="","",IF($K170&lt;&gt;"对外销售","",ROUND($Q170-$S170,0)))</f>
        <v/>
      </c>
      <c r="U170" s="17" t="n"/>
      <c r="V170" s="17" t="n"/>
      <c r="W170" s="24">
        <f>IF($D170="","",IF($E170="※编码不在物料档案里","※物料编码不在档案里",IF(N($J170)&lt;=0,"※出库数量要大于 0",IF($K170="","※没填去向类型",IF($L170="","※没填去向矿区",IF(AND($C170&lt;&gt;"",$C170&lt;=结账锁),"※日期早于已结账截止日，不能再录",IF(AND($K170="自用消耗",COUNTIF({"一矿区";"二矿区"},$L170)=0),"※自用消耗的去向只能是一矿区或二矿区",IF(AND($K170="对外销售",COUNTIF({"三矿区";"六矿区"},$L170)=0),"※对外销售的去向只能是三矿区或六矿区",IF(AND($K170="对外销售",ROUND($Q170,0)=0),"※外销却没有售价，请填实际售价",IF(AND($K170="对外销售",$T170&lt;&gt;"",$T170&lt;0),"※这一笔外销是亏的，请核对售价",IF(IFERROR(VLOOKUP($D170,库存台账!$A$5:$Y$1204,24,0),0)&lt;-0.001,"※这个物料账面已经变成负数了，查一下是不是漏记入库","")))))))))))</f>
        <v/>
      </c>
    </row>
    <row r="171">
      <c r="A171" s="24">
        <f>IF($D171="","",COUNTA($D$4:$D171))</f>
        <v/>
      </c>
      <c r="B171" s="17" t="n"/>
      <c r="C171" s="30" t="n"/>
      <c r="D171" s="17" t="n"/>
      <c r="E171" s="24">
        <f>IF($D171="","",IFERROR(VLOOKUP($D171,物料档案!$A$4:$P$1203,3,0),"※编码不在物料档案里"))</f>
        <v/>
      </c>
      <c r="F171" s="24">
        <f>IF($D171="","",IFERROR(VLOOKUP($D171,物料档案!$A$4:$P$1203,4,0),"※编码不在物料档案里"))</f>
        <v/>
      </c>
      <c r="G171" s="24">
        <f>IF($D171="","",IFERROR(VLOOKUP($D171,物料档案!$A$4:$P$1203,5,0),"※编码不在物料档案里"))</f>
        <v/>
      </c>
      <c r="H171" s="24">
        <f>IF($D171="","",IFERROR(VLOOKUP($D171,物料档案!$A$4:$P$1203,2,0),"※编码不在物料档案里"))</f>
        <v/>
      </c>
      <c r="I171" s="24">
        <f>IF($D171="","",IFERROR(VLOOKUP($D171,物料档案!$A$4:$P$1203,6,0),"※编码不在物料档案里"))</f>
        <v/>
      </c>
      <c r="J171" s="23" t="n"/>
      <c r="K171" s="17" t="n"/>
      <c r="L171" s="17" t="n"/>
      <c r="M171" s="17" t="n"/>
      <c r="N171" s="17" t="n"/>
      <c r="O171" s="26">
        <f>IF($D171="","",IFERROR(VLOOKUP($D171,物料档案!$A$4:$P$1203,10,0),0))</f>
        <v/>
      </c>
      <c r="P171" s="32" t="n"/>
      <c r="Q171" s="26">
        <f>IF($D171="","",IF($K171&lt;&gt;"对外销售",0,ROUND(N($J171)*IF($P171="",N($O171),N($P171)),0)))</f>
        <v/>
      </c>
      <c r="R171" s="26">
        <f>IF($D171="","",IFERROR(VLOOKUP($D171,库存台账!$A$5:$Y$1204,11,0),0))</f>
        <v/>
      </c>
      <c r="S171" s="26">
        <f>IF($D171="","",ROUND(N($J171)*N($R171),0))</f>
        <v/>
      </c>
      <c r="T171" s="26">
        <f>IF($D171="","",IF($K171&lt;&gt;"对外销售","",ROUND($Q171-$S171,0)))</f>
        <v/>
      </c>
      <c r="U171" s="17" t="n"/>
      <c r="V171" s="17" t="n"/>
      <c r="W171" s="24">
        <f>IF($D171="","",IF($E171="※编码不在物料档案里","※物料编码不在档案里",IF(N($J171)&lt;=0,"※出库数量要大于 0",IF($K171="","※没填去向类型",IF($L171="","※没填去向矿区",IF(AND($C171&lt;&gt;"",$C171&lt;=结账锁),"※日期早于已结账截止日，不能再录",IF(AND($K171="自用消耗",COUNTIF({"一矿区";"二矿区"},$L171)=0),"※自用消耗的去向只能是一矿区或二矿区",IF(AND($K171="对外销售",COUNTIF({"三矿区";"六矿区"},$L171)=0),"※对外销售的去向只能是三矿区或六矿区",IF(AND($K171="对外销售",ROUND($Q171,0)=0),"※外销却没有售价，请填实际售价",IF(AND($K171="对外销售",$T171&lt;&gt;"",$T171&lt;0),"※这一笔外销是亏的，请核对售价",IF(IFERROR(VLOOKUP($D171,库存台账!$A$5:$Y$1204,24,0),0)&lt;-0.001,"※这个物料账面已经变成负数了，查一下是不是漏记入库","")))))))))))</f>
        <v/>
      </c>
    </row>
    <row r="172">
      <c r="A172" s="24">
        <f>IF($D172="","",COUNTA($D$4:$D172))</f>
        <v/>
      </c>
      <c r="B172" s="17" t="n"/>
      <c r="C172" s="30" t="n"/>
      <c r="D172" s="17" t="n"/>
      <c r="E172" s="24">
        <f>IF($D172="","",IFERROR(VLOOKUP($D172,物料档案!$A$4:$P$1203,3,0),"※编码不在物料档案里"))</f>
        <v/>
      </c>
      <c r="F172" s="24">
        <f>IF($D172="","",IFERROR(VLOOKUP($D172,物料档案!$A$4:$P$1203,4,0),"※编码不在物料档案里"))</f>
        <v/>
      </c>
      <c r="G172" s="24">
        <f>IF($D172="","",IFERROR(VLOOKUP($D172,物料档案!$A$4:$P$1203,5,0),"※编码不在物料档案里"))</f>
        <v/>
      </c>
      <c r="H172" s="24">
        <f>IF($D172="","",IFERROR(VLOOKUP($D172,物料档案!$A$4:$P$1203,2,0),"※编码不在物料档案里"))</f>
        <v/>
      </c>
      <c r="I172" s="24">
        <f>IF($D172="","",IFERROR(VLOOKUP($D172,物料档案!$A$4:$P$1203,6,0),"※编码不在物料档案里"))</f>
        <v/>
      </c>
      <c r="J172" s="23" t="n"/>
      <c r="K172" s="17" t="n"/>
      <c r="L172" s="17" t="n"/>
      <c r="M172" s="17" t="n"/>
      <c r="N172" s="17" t="n"/>
      <c r="O172" s="26">
        <f>IF($D172="","",IFERROR(VLOOKUP($D172,物料档案!$A$4:$P$1203,10,0),0))</f>
        <v/>
      </c>
      <c r="P172" s="32" t="n"/>
      <c r="Q172" s="26">
        <f>IF($D172="","",IF($K172&lt;&gt;"对外销售",0,ROUND(N($J172)*IF($P172="",N($O172),N($P172)),0)))</f>
        <v/>
      </c>
      <c r="R172" s="26">
        <f>IF($D172="","",IFERROR(VLOOKUP($D172,库存台账!$A$5:$Y$1204,11,0),0))</f>
        <v/>
      </c>
      <c r="S172" s="26">
        <f>IF($D172="","",ROUND(N($J172)*N($R172),0))</f>
        <v/>
      </c>
      <c r="T172" s="26">
        <f>IF($D172="","",IF($K172&lt;&gt;"对外销售","",ROUND($Q172-$S172,0)))</f>
        <v/>
      </c>
      <c r="U172" s="17" t="n"/>
      <c r="V172" s="17" t="n"/>
      <c r="W172" s="24">
        <f>IF($D172="","",IF($E172="※编码不在物料档案里","※物料编码不在档案里",IF(N($J172)&lt;=0,"※出库数量要大于 0",IF($K172="","※没填去向类型",IF($L172="","※没填去向矿区",IF(AND($C172&lt;&gt;"",$C172&lt;=结账锁),"※日期早于已结账截止日，不能再录",IF(AND($K172="自用消耗",COUNTIF({"一矿区";"二矿区"},$L172)=0),"※自用消耗的去向只能是一矿区或二矿区",IF(AND($K172="对外销售",COUNTIF({"三矿区";"六矿区"},$L172)=0),"※对外销售的去向只能是三矿区或六矿区",IF(AND($K172="对外销售",ROUND($Q172,0)=0),"※外销却没有售价，请填实际售价",IF(AND($K172="对外销售",$T172&lt;&gt;"",$T172&lt;0),"※这一笔外销是亏的，请核对售价",IF(IFERROR(VLOOKUP($D172,库存台账!$A$5:$Y$1204,24,0),0)&lt;-0.001,"※这个物料账面已经变成负数了，查一下是不是漏记入库","")))))))))))</f>
        <v/>
      </c>
    </row>
    <row r="173">
      <c r="A173" s="24">
        <f>IF($D173="","",COUNTA($D$4:$D173))</f>
        <v/>
      </c>
      <c r="B173" s="17" t="n"/>
      <c r="C173" s="30" t="n"/>
      <c r="D173" s="17" t="n"/>
      <c r="E173" s="24">
        <f>IF($D173="","",IFERROR(VLOOKUP($D173,物料档案!$A$4:$P$1203,3,0),"※编码不在物料档案里"))</f>
        <v/>
      </c>
      <c r="F173" s="24">
        <f>IF($D173="","",IFERROR(VLOOKUP($D173,物料档案!$A$4:$P$1203,4,0),"※编码不在物料档案里"))</f>
        <v/>
      </c>
      <c r="G173" s="24">
        <f>IF($D173="","",IFERROR(VLOOKUP($D173,物料档案!$A$4:$P$1203,5,0),"※编码不在物料档案里"))</f>
        <v/>
      </c>
      <c r="H173" s="24">
        <f>IF($D173="","",IFERROR(VLOOKUP($D173,物料档案!$A$4:$P$1203,2,0),"※编码不在物料档案里"))</f>
        <v/>
      </c>
      <c r="I173" s="24">
        <f>IF($D173="","",IFERROR(VLOOKUP($D173,物料档案!$A$4:$P$1203,6,0),"※编码不在物料档案里"))</f>
        <v/>
      </c>
      <c r="J173" s="23" t="n"/>
      <c r="K173" s="17" t="n"/>
      <c r="L173" s="17" t="n"/>
      <c r="M173" s="17" t="n"/>
      <c r="N173" s="17" t="n"/>
      <c r="O173" s="26">
        <f>IF($D173="","",IFERROR(VLOOKUP($D173,物料档案!$A$4:$P$1203,10,0),0))</f>
        <v/>
      </c>
      <c r="P173" s="32" t="n"/>
      <c r="Q173" s="26">
        <f>IF($D173="","",IF($K173&lt;&gt;"对外销售",0,ROUND(N($J173)*IF($P173="",N($O173),N($P173)),0)))</f>
        <v/>
      </c>
      <c r="R173" s="26">
        <f>IF($D173="","",IFERROR(VLOOKUP($D173,库存台账!$A$5:$Y$1204,11,0),0))</f>
        <v/>
      </c>
      <c r="S173" s="26">
        <f>IF($D173="","",ROUND(N($J173)*N($R173),0))</f>
        <v/>
      </c>
      <c r="T173" s="26">
        <f>IF($D173="","",IF($K173&lt;&gt;"对外销售","",ROUND($Q173-$S173,0)))</f>
        <v/>
      </c>
      <c r="U173" s="17" t="n"/>
      <c r="V173" s="17" t="n"/>
      <c r="W173" s="24">
        <f>IF($D173="","",IF($E173="※编码不在物料档案里","※物料编码不在档案里",IF(N($J173)&lt;=0,"※出库数量要大于 0",IF($K173="","※没填去向类型",IF($L173="","※没填去向矿区",IF(AND($C173&lt;&gt;"",$C173&lt;=结账锁),"※日期早于已结账截止日，不能再录",IF(AND($K173="自用消耗",COUNTIF({"一矿区";"二矿区"},$L173)=0),"※自用消耗的去向只能是一矿区或二矿区",IF(AND($K173="对外销售",COUNTIF({"三矿区";"六矿区"},$L173)=0),"※对外销售的去向只能是三矿区或六矿区",IF(AND($K173="对外销售",ROUND($Q173,0)=0),"※外销却没有售价，请填实际售价",IF(AND($K173="对外销售",$T173&lt;&gt;"",$T173&lt;0),"※这一笔外销是亏的，请核对售价",IF(IFERROR(VLOOKUP($D173,库存台账!$A$5:$Y$1204,24,0),0)&lt;-0.001,"※这个物料账面已经变成负数了，查一下是不是漏记入库","")))))))))))</f>
        <v/>
      </c>
    </row>
    <row r="174">
      <c r="A174" s="24">
        <f>IF($D174="","",COUNTA($D$4:$D174))</f>
        <v/>
      </c>
      <c r="B174" s="17" t="n"/>
      <c r="C174" s="30" t="n"/>
      <c r="D174" s="17" t="n"/>
      <c r="E174" s="24">
        <f>IF($D174="","",IFERROR(VLOOKUP($D174,物料档案!$A$4:$P$1203,3,0),"※编码不在物料档案里"))</f>
        <v/>
      </c>
      <c r="F174" s="24">
        <f>IF($D174="","",IFERROR(VLOOKUP($D174,物料档案!$A$4:$P$1203,4,0),"※编码不在物料档案里"))</f>
        <v/>
      </c>
      <c r="G174" s="24">
        <f>IF($D174="","",IFERROR(VLOOKUP($D174,物料档案!$A$4:$P$1203,5,0),"※编码不在物料档案里"))</f>
        <v/>
      </c>
      <c r="H174" s="24">
        <f>IF($D174="","",IFERROR(VLOOKUP($D174,物料档案!$A$4:$P$1203,2,0),"※编码不在物料档案里"))</f>
        <v/>
      </c>
      <c r="I174" s="24">
        <f>IF($D174="","",IFERROR(VLOOKUP($D174,物料档案!$A$4:$P$1203,6,0),"※编码不在物料档案里"))</f>
        <v/>
      </c>
      <c r="J174" s="23" t="n"/>
      <c r="K174" s="17" t="n"/>
      <c r="L174" s="17" t="n"/>
      <c r="M174" s="17" t="n"/>
      <c r="N174" s="17" t="n"/>
      <c r="O174" s="26">
        <f>IF($D174="","",IFERROR(VLOOKUP($D174,物料档案!$A$4:$P$1203,10,0),0))</f>
        <v/>
      </c>
      <c r="P174" s="32" t="n"/>
      <c r="Q174" s="26">
        <f>IF($D174="","",IF($K174&lt;&gt;"对外销售",0,ROUND(N($J174)*IF($P174="",N($O174),N($P174)),0)))</f>
        <v/>
      </c>
      <c r="R174" s="26">
        <f>IF($D174="","",IFERROR(VLOOKUP($D174,库存台账!$A$5:$Y$1204,11,0),0))</f>
        <v/>
      </c>
      <c r="S174" s="26">
        <f>IF($D174="","",ROUND(N($J174)*N($R174),0))</f>
        <v/>
      </c>
      <c r="T174" s="26">
        <f>IF($D174="","",IF($K174&lt;&gt;"对外销售","",ROUND($Q174-$S174,0)))</f>
        <v/>
      </c>
      <c r="U174" s="17" t="n"/>
      <c r="V174" s="17" t="n"/>
      <c r="W174" s="24">
        <f>IF($D174="","",IF($E174="※编码不在物料档案里","※物料编码不在档案里",IF(N($J174)&lt;=0,"※出库数量要大于 0",IF($K174="","※没填去向类型",IF($L174="","※没填去向矿区",IF(AND($C174&lt;&gt;"",$C174&lt;=结账锁),"※日期早于已结账截止日，不能再录",IF(AND($K174="自用消耗",COUNTIF({"一矿区";"二矿区"},$L174)=0),"※自用消耗的去向只能是一矿区或二矿区",IF(AND($K174="对外销售",COUNTIF({"三矿区";"六矿区"},$L174)=0),"※对外销售的去向只能是三矿区或六矿区",IF(AND($K174="对外销售",ROUND($Q174,0)=0),"※外销却没有售价，请填实际售价",IF(AND($K174="对外销售",$T174&lt;&gt;"",$T174&lt;0),"※这一笔外销是亏的，请核对售价",IF(IFERROR(VLOOKUP($D174,库存台账!$A$5:$Y$1204,24,0),0)&lt;-0.001,"※这个物料账面已经变成负数了，查一下是不是漏记入库","")))))))))))</f>
        <v/>
      </c>
    </row>
    <row r="175">
      <c r="A175" s="24">
        <f>IF($D175="","",COUNTA($D$4:$D175))</f>
        <v/>
      </c>
      <c r="B175" s="17" t="n"/>
      <c r="C175" s="30" t="n"/>
      <c r="D175" s="17" t="n"/>
      <c r="E175" s="24">
        <f>IF($D175="","",IFERROR(VLOOKUP($D175,物料档案!$A$4:$P$1203,3,0),"※编码不在物料档案里"))</f>
        <v/>
      </c>
      <c r="F175" s="24">
        <f>IF($D175="","",IFERROR(VLOOKUP($D175,物料档案!$A$4:$P$1203,4,0),"※编码不在物料档案里"))</f>
        <v/>
      </c>
      <c r="G175" s="24">
        <f>IF($D175="","",IFERROR(VLOOKUP($D175,物料档案!$A$4:$P$1203,5,0),"※编码不在物料档案里"))</f>
        <v/>
      </c>
      <c r="H175" s="24">
        <f>IF($D175="","",IFERROR(VLOOKUP($D175,物料档案!$A$4:$P$1203,2,0),"※编码不在物料档案里"))</f>
        <v/>
      </c>
      <c r="I175" s="24">
        <f>IF($D175="","",IFERROR(VLOOKUP($D175,物料档案!$A$4:$P$1203,6,0),"※编码不在物料档案里"))</f>
        <v/>
      </c>
      <c r="J175" s="23" t="n"/>
      <c r="K175" s="17" t="n"/>
      <c r="L175" s="17" t="n"/>
      <c r="M175" s="17" t="n"/>
      <c r="N175" s="17" t="n"/>
      <c r="O175" s="26">
        <f>IF($D175="","",IFERROR(VLOOKUP($D175,物料档案!$A$4:$P$1203,10,0),0))</f>
        <v/>
      </c>
      <c r="P175" s="32" t="n"/>
      <c r="Q175" s="26">
        <f>IF($D175="","",IF($K175&lt;&gt;"对外销售",0,ROUND(N($J175)*IF($P175="",N($O175),N($P175)),0)))</f>
        <v/>
      </c>
      <c r="R175" s="26">
        <f>IF($D175="","",IFERROR(VLOOKUP($D175,库存台账!$A$5:$Y$1204,11,0),0))</f>
        <v/>
      </c>
      <c r="S175" s="26">
        <f>IF($D175="","",ROUND(N($J175)*N($R175),0))</f>
        <v/>
      </c>
      <c r="T175" s="26">
        <f>IF($D175="","",IF($K175&lt;&gt;"对外销售","",ROUND($Q175-$S175,0)))</f>
        <v/>
      </c>
      <c r="U175" s="17" t="n"/>
      <c r="V175" s="17" t="n"/>
      <c r="W175" s="24">
        <f>IF($D175="","",IF($E175="※编码不在物料档案里","※物料编码不在档案里",IF(N($J175)&lt;=0,"※出库数量要大于 0",IF($K175="","※没填去向类型",IF($L175="","※没填去向矿区",IF(AND($C175&lt;&gt;"",$C175&lt;=结账锁),"※日期早于已结账截止日，不能再录",IF(AND($K175="自用消耗",COUNTIF({"一矿区";"二矿区"},$L175)=0),"※自用消耗的去向只能是一矿区或二矿区",IF(AND($K175="对外销售",COUNTIF({"三矿区";"六矿区"},$L175)=0),"※对外销售的去向只能是三矿区或六矿区",IF(AND($K175="对外销售",ROUND($Q175,0)=0),"※外销却没有售价，请填实际售价",IF(AND($K175="对外销售",$T175&lt;&gt;"",$T175&lt;0),"※这一笔外销是亏的，请核对售价",IF(IFERROR(VLOOKUP($D175,库存台账!$A$5:$Y$1204,24,0),0)&lt;-0.001,"※这个物料账面已经变成负数了，查一下是不是漏记入库","")))))))))))</f>
        <v/>
      </c>
    </row>
    <row r="176">
      <c r="A176" s="24">
        <f>IF($D176="","",COUNTA($D$4:$D176))</f>
        <v/>
      </c>
      <c r="B176" s="17" t="n"/>
      <c r="C176" s="30" t="n"/>
      <c r="D176" s="17" t="n"/>
      <c r="E176" s="24">
        <f>IF($D176="","",IFERROR(VLOOKUP($D176,物料档案!$A$4:$P$1203,3,0),"※编码不在物料档案里"))</f>
        <v/>
      </c>
      <c r="F176" s="24">
        <f>IF($D176="","",IFERROR(VLOOKUP($D176,物料档案!$A$4:$P$1203,4,0),"※编码不在物料档案里"))</f>
        <v/>
      </c>
      <c r="G176" s="24">
        <f>IF($D176="","",IFERROR(VLOOKUP($D176,物料档案!$A$4:$P$1203,5,0),"※编码不在物料档案里"))</f>
        <v/>
      </c>
      <c r="H176" s="24">
        <f>IF($D176="","",IFERROR(VLOOKUP($D176,物料档案!$A$4:$P$1203,2,0),"※编码不在物料档案里"))</f>
        <v/>
      </c>
      <c r="I176" s="24">
        <f>IF($D176="","",IFERROR(VLOOKUP($D176,物料档案!$A$4:$P$1203,6,0),"※编码不在物料档案里"))</f>
        <v/>
      </c>
      <c r="J176" s="23" t="n"/>
      <c r="K176" s="17" t="n"/>
      <c r="L176" s="17" t="n"/>
      <c r="M176" s="17" t="n"/>
      <c r="N176" s="17" t="n"/>
      <c r="O176" s="26">
        <f>IF($D176="","",IFERROR(VLOOKUP($D176,物料档案!$A$4:$P$1203,10,0),0))</f>
        <v/>
      </c>
      <c r="P176" s="32" t="n"/>
      <c r="Q176" s="26">
        <f>IF($D176="","",IF($K176&lt;&gt;"对外销售",0,ROUND(N($J176)*IF($P176="",N($O176),N($P176)),0)))</f>
        <v/>
      </c>
      <c r="R176" s="26">
        <f>IF($D176="","",IFERROR(VLOOKUP($D176,库存台账!$A$5:$Y$1204,11,0),0))</f>
        <v/>
      </c>
      <c r="S176" s="26">
        <f>IF($D176="","",ROUND(N($J176)*N($R176),0))</f>
        <v/>
      </c>
      <c r="T176" s="26">
        <f>IF($D176="","",IF($K176&lt;&gt;"对外销售","",ROUND($Q176-$S176,0)))</f>
        <v/>
      </c>
      <c r="U176" s="17" t="n"/>
      <c r="V176" s="17" t="n"/>
      <c r="W176" s="24">
        <f>IF($D176="","",IF($E176="※编码不在物料档案里","※物料编码不在档案里",IF(N($J176)&lt;=0,"※出库数量要大于 0",IF($K176="","※没填去向类型",IF($L176="","※没填去向矿区",IF(AND($C176&lt;&gt;"",$C176&lt;=结账锁),"※日期早于已结账截止日，不能再录",IF(AND($K176="自用消耗",COUNTIF({"一矿区";"二矿区"},$L176)=0),"※自用消耗的去向只能是一矿区或二矿区",IF(AND($K176="对外销售",COUNTIF({"三矿区";"六矿区"},$L176)=0),"※对外销售的去向只能是三矿区或六矿区",IF(AND($K176="对外销售",ROUND($Q176,0)=0),"※外销却没有售价，请填实际售价",IF(AND($K176="对外销售",$T176&lt;&gt;"",$T176&lt;0),"※这一笔外销是亏的，请核对售价",IF(IFERROR(VLOOKUP($D176,库存台账!$A$5:$Y$1204,24,0),0)&lt;-0.001,"※这个物料账面已经变成负数了，查一下是不是漏记入库","")))))))))))</f>
        <v/>
      </c>
    </row>
    <row r="177">
      <c r="A177" s="24">
        <f>IF($D177="","",COUNTA($D$4:$D177))</f>
        <v/>
      </c>
      <c r="B177" s="17" t="n"/>
      <c r="C177" s="30" t="n"/>
      <c r="D177" s="17" t="n"/>
      <c r="E177" s="24">
        <f>IF($D177="","",IFERROR(VLOOKUP($D177,物料档案!$A$4:$P$1203,3,0),"※编码不在物料档案里"))</f>
        <v/>
      </c>
      <c r="F177" s="24">
        <f>IF($D177="","",IFERROR(VLOOKUP($D177,物料档案!$A$4:$P$1203,4,0),"※编码不在物料档案里"))</f>
        <v/>
      </c>
      <c r="G177" s="24">
        <f>IF($D177="","",IFERROR(VLOOKUP($D177,物料档案!$A$4:$P$1203,5,0),"※编码不在物料档案里"))</f>
        <v/>
      </c>
      <c r="H177" s="24">
        <f>IF($D177="","",IFERROR(VLOOKUP($D177,物料档案!$A$4:$P$1203,2,0),"※编码不在物料档案里"))</f>
        <v/>
      </c>
      <c r="I177" s="24">
        <f>IF($D177="","",IFERROR(VLOOKUP($D177,物料档案!$A$4:$P$1203,6,0),"※编码不在物料档案里"))</f>
        <v/>
      </c>
      <c r="J177" s="23" t="n"/>
      <c r="K177" s="17" t="n"/>
      <c r="L177" s="17" t="n"/>
      <c r="M177" s="17" t="n"/>
      <c r="N177" s="17" t="n"/>
      <c r="O177" s="26">
        <f>IF($D177="","",IFERROR(VLOOKUP($D177,物料档案!$A$4:$P$1203,10,0),0))</f>
        <v/>
      </c>
      <c r="P177" s="32" t="n"/>
      <c r="Q177" s="26">
        <f>IF($D177="","",IF($K177&lt;&gt;"对外销售",0,ROUND(N($J177)*IF($P177="",N($O177),N($P177)),0)))</f>
        <v/>
      </c>
      <c r="R177" s="26">
        <f>IF($D177="","",IFERROR(VLOOKUP($D177,库存台账!$A$5:$Y$1204,11,0),0))</f>
        <v/>
      </c>
      <c r="S177" s="26">
        <f>IF($D177="","",ROUND(N($J177)*N($R177),0))</f>
        <v/>
      </c>
      <c r="T177" s="26">
        <f>IF($D177="","",IF($K177&lt;&gt;"对外销售","",ROUND($Q177-$S177,0)))</f>
        <v/>
      </c>
      <c r="U177" s="17" t="n"/>
      <c r="V177" s="17" t="n"/>
      <c r="W177" s="24">
        <f>IF($D177="","",IF($E177="※编码不在物料档案里","※物料编码不在档案里",IF(N($J177)&lt;=0,"※出库数量要大于 0",IF($K177="","※没填去向类型",IF($L177="","※没填去向矿区",IF(AND($C177&lt;&gt;"",$C177&lt;=结账锁),"※日期早于已结账截止日，不能再录",IF(AND($K177="自用消耗",COUNTIF({"一矿区";"二矿区"},$L177)=0),"※自用消耗的去向只能是一矿区或二矿区",IF(AND($K177="对外销售",COUNTIF({"三矿区";"六矿区"},$L177)=0),"※对外销售的去向只能是三矿区或六矿区",IF(AND($K177="对外销售",ROUND($Q177,0)=0),"※外销却没有售价，请填实际售价",IF(AND($K177="对外销售",$T177&lt;&gt;"",$T177&lt;0),"※这一笔外销是亏的，请核对售价",IF(IFERROR(VLOOKUP($D177,库存台账!$A$5:$Y$1204,24,0),0)&lt;-0.001,"※这个物料账面已经变成负数了，查一下是不是漏记入库","")))))))))))</f>
        <v/>
      </c>
    </row>
    <row r="178">
      <c r="A178" s="24">
        <f>IF($D178="","",COUNTA($D$4:$D178))</f>
        <v/>
      </c>
      <c r="B178" s="17" t="n"/>
      <c r="C178" s="30" t="n"/>
      <c r="D178" s="17" t="n"/>
      <c r="E178" s="24">
        <f>IF($D178="","",IFERROR(VLOOKUP($D178,物料档案!$A$4:$P$1203,3,0),"※编码不在物料档案里"))</f>
        <v/>
      </c>
      <c r="F178" s="24">
        <f>IF($D178="","",IFERROR(VLOOKUP($D178,物料档案!$A$4:$P$1203,4,0),"※编码不在物料档案里"))</f>
        <v/>
      </c>
      <c r="G178" s="24">
        <f>IF($D178="","",IFERROR(VLOOKUP($D178,物料档案!$A$4:$P$1203,5,0),"※编码不在物料档案里"))</f>
        <v/>
      </c>
      <c r="H178" s="24">
        <f>IF($D178="","",IFERROR(VLOOKUP($D178,物料档案!$A$4:$P$1203,2,0),"※编码不在物料档案里"))</f>
        <v/>
      </c>
      <c r="I178" s="24">
        <f>IF($D178="","",IFERROR(VLOOKUP($D178,物料档案!$A$4:$P$1203,6,0),"※编码不在物料档案里"))</f>
        <v/>
      </c>
      <c r="J178" s="23" t="n"/>
      <c r="K178" s="17" t="n"/>
      <c r="L178" s="17" t="n"/>
      <c r="M178" s="17" t="n"/>
      <c r="N178" s="17" t="n"/>
      <c r="O178" s="26">
        <f>IF($D178="","",IFERROR(VLOOKUP($D178,物料档案!$A$4:$P$1203,10,0),0))</f>
        <v/>
      </c>
      <c r="P178" s="32" t="n"/>
      <c r="Q178" s="26">
        <f>IF($D178="","",IF($K178&lt;&gt;"对外销售",0,ROUND(N($J178)*IF($P178="",N($O178),N($P178)),0)))</f>
        <v/>
      </c>
      <c r="R178" s="26">
        <f>IF($D178="","",IFERROR(VLOOKUP($D178,库存台账!$A$5:$Y$1204,11,0),0))</f>
        <v/>
      </c>
      <c r="S178" s="26">
        <f>IF($D178="","",ROUND(N($J178)*N($R178),0))</f>
        <v/>
      </c>
      <c r="T178" s="26">
        <f>IF($D178="","",IF($K178&lt;&gt;"对外销售","",ROUND($Q178-$S178,0)))</f>
        <v/>
      </c>
      <c r="U178" s="17" t="n"/>
      <c r="V178" s="17" t="n"/>
      <c r="W178" s="24">
        <f>IF($D178="","",IF($E178="※编码不在物料档案里","※物料编码不在档案里",IF(N($J178)&lt;=0,"※出库数量要大于 0",IF($K178="","※没填去向类型",IF($L178="","※没填去向矿区",IF(AND($C178&lt;&gt;"",$C178&lt;=结账锁),"※日期早于已结账截止日，不能再录",IF(AND($K178="自用消耗",COUNTIF({"一矿区";"二矿区"},$L178)=0),"※自用消耗的去向只能是一矿区或二矿区",IF(AND($K178="对外销售",COUNTIF({"三矿区";"六矿区"},$L178)=0),"※对外销售的去向只能是三矿区或六矿区",IF(AND($K178="对外销售",ROUND($Q178,0)=0),"※外销却没有售价，请填实际售价",IF(AND($K178="对外销售",$T178&lt;&gt;"",$T178&lt;0),"※这一笔外销是亏的，请核对售价",IF(IFERROR(VLOOKUP($D178,库存台账!$A$5:$Y$1204,24,0),0)&lt;-0.001,"※这个物料账面已经变成负数了，查一下是不是漏记入库","")))))))))))</f>
        <v/>
      </c>
    </row>
    <row r="179">
      <c r="A179" s="24">
        <f>IF($D179="","",COUNTA($D$4:$D179))</f>
        <v/>
      </c>
      <c r="B179" s="17" t="n"/>
      <c r="C179" s="30" t="n"/>
      <c r="D179" s="17" t="n"/>
      <c r="E179" s="24">
        <f>IF($D179="","",IFERROR(VLOOKUP($D179,物料档案!$A$4:$P$1203,3,0),"※编码不在物料档案里"))</f>
        <v/>
      </c>
      <c r="F179" s="24">
        <f>IF($D179="","",IFERROR(VLOOKUP($D179,物料档案!$A$4:$P$1203,4,0),"※编码不在物料档案里"))</f>
        <v/>
      </c>
      <c r="G179" s="24">
        <f>IF($D179="","",IFERROR(VLOOKUP($D179,物料档案!$A$4:$P$1203,5,0),"※编码不在物料档案里"))</f>
        <v/>
      </c>
      <c r="H179" s="24">
        <f>IF($D179="","",IFERROR(VLOOKUP($D179,物料档案!$A$4:$P$1203,2,0),"※编码不在物料档案里"))</f>
        <v/>
      </c>
      <c r="I179" s="24">
        <f>IF($D179="","",IFERROR(VLOOKUP($D179,物料档案!$A$4:$P$1203,6,0),"※编码不在物料档案里"))</f>
        <v/>
      </c>
      <c r="J179" s="23" t="n"/>
      <c r="K179" s="17" t="n"/>
      <c r="L179" s="17" t="n"/>
      <c r="M179" s="17" t="n"/>
      <c r="N179" s="17" t="n"/>
      <c r="O179" s="26">
        <f>IF($D179="","",IFERROR(VLOOKUP($D179,物料档案!$A$4:$P$1203,10,0),0))</f>
        <v/>
      </c>
      <c r="P179" s="32" t="n"/>
      <c r="Q179" s="26">
        <f>IF($D179="","",IF($K179&lt;&gt;"对外销售",0,ROUND(N($J179)*IF($P179="",N($O179),N($P179)),0)))</f>
        <v/>
      </c>
      <c r="R179" s="26">
        <f>IF($D179="","",IFERROR(VLOOKUP($D179,库存台账!$A$5:$Y$1204,11,0),0))</f>
        <v/>
      </c>
      <c r="S179" s="26">
        <f>IF($D179="","",ROUND(N($J179)*N($R179),0))</f>
        <v/>
      </c>
      <c r="T179" s="26">
        <f>IF($D179="","",IF($K179&lt;&gt;"对外销售","",ROUND($Q179-$S179,0)))</f>
        <v/>
      </c>
      <c r="U179" s="17" t="n"/>
      <c r="V179" s="17" t="n"/>
      <c r="W179" s="24">
        <f>IF($D179="","",IF($E179="※编码不在物料档案里","※物料编码不在档案里",IF(N($J179)&lt;=0,"※出库数量要大于 0",IF($K179="","※没填去向类型",IF($L179="","※没填去向矿区",IF(AND($C179&lt;&gt;"",$C179&lt;=结账锁),"※日期早于已结账截止日，不能再录",IF(AND($K179="自用消耗",COUNTIF({"一矿区";"二矿区"},$L179)=0),"※自用消耗的去向只能是一矿区或二矿区",IF(AND($K179="对外销售",COUNTIF({"三矿区";"六矿区"},$L179)=0),"※对外销售的去向只能是三矿区或六矿区",IF(AND($K179="对外销售",ROUND($Q179,0)=0),"※外销却没有售价，请填实际售价",IF(AND($K179="对外销售",$T179&lt;&gt;"",$T179&lt;0),"※这一笔外销是亏的，请核对售价",IF(IFERROR(VLOOKUP($D179,库存台账!$A$5:$Y$1204,24,0),0)&lt;-0.001,"※这个物料账面已经变成负数了，查一下是不是漏记入库","")))))))))))</f>
        <v/>
      </c>
    </row>
    <row r="180">
      <c r="A180" s="24">
        <f>IF($D180="","",COUNTA($D$4:$D180))</f>
        <v/>
      </c>
      <c r="B180" s="17" t="n"/>
      <c r="C180" s="30" t="n"/>
      <c r="D180" s="17" t="n"/>
      <c r="E180" s="24">
        <f>IF($D180="","",IFERROR(VLOOKUP($D180,物料档案!$A$4:$P$1203,3,0),"※编码不在物料档案里"))</f>
        <v/>
      </c>
      <c r="F180" s="24">
        <f>IF($D180="","",IFERROR(VLOOKUP($D180,物料档案!$A$4:$P$1203,4,0),"※编码不在物料档案里"))</f>
        <v/>
      </c>
      <c r="G180" s="24">
        <f>IF($D180="","",IFERROR(VLOOKUP($D180,物料档案!$A$4:$P$1203,5,0),"※编码不在物料档案里"))</f>
        <v/>
      </c>
      <c r="H180" s="24">
        <f>IF($D180="","",IFERROR(VLOOKUP($D180,物料档案!$A$4:$P$1203,2,0),"※编码不在物料档案里"))</f>
        <v/>
      </c>
      <c r="I180" s="24">
        <f>IF($D180="","",IFERROR(VLOOKUP($D180,物料档案!$A$4:$P$1203,6,0),"※编码不在物料档案里"))</f>
        <v/>
      </c>
      <c r="J180" s="23" t="n"/>
      <c r="K180" s="17" t="n"/>
      <c r="L180" s="17" t="n"/>
      <c r="M180" s="17" t="n"/>
      <c r="N180" s="17" t="n"/>
      <c r="O180" s="26">
        <f>IF($D180="","",IFERROR(VLOOKUP($D180,物料档案!$A$4:$P$1203,10,0),0))</f>
        <v/>
      </c>
      <c r="P180" s="32" t="n"/>
      <c r="Q180" s="26">
        <f>IF($D180="","",IF($K180&lt;&gt;"对外销售",0,ROUND(N($J180)*IF($P180="",N($O180),N($P180)),0)))</f>
        <v/>
      </c>
      <c r="R180" s="26">
        <f>IF($D180="","",IFERROR(VLOOKUP($D180,库存台账!$A$5:$Y$1204,11,0),0))</f>
        <v/>
      </c>
      <c r="S180" s="26">
        <f>IF($D180="","",ROUND(N($J180)*N($R180),0))</f>
        <v/>
      </c>
      <c r="T180" s="26">
        <f>IF($D180="","",IF($K180&lt;&gt;"对外销售","",ROUND($Q180-$S180,0)))</f>
        <v/>
      </c>
      <c r="U180" s="17" t="n"/>
      <c r="V180" s="17" t="n"/>
      <c r="W180" s="24">
        <f>IF($D180="","",IF($E180="※编码不在物料档案里","※物料编码不在档案里",IF(N($J180)&lt;=0,"※出库数量要大于 0",IF($K180="","※没填去向类型",IF($L180="","※没填去向矿区",IF(AND($C180&lt;&gt;"",$C180&lt;=结账锁),"※日期早于已结账截止日，不能再录",IF(AND($K180="自用消耗",COUNTIF({"一矿区";"二矿区"},$L180)=0),"※自用消耗的去向只能是一矿区或二矿区",IF(AND($K180="对外销售",COUNTIF({"三矿区";"六矿区"},$L180)=0),"※对外销售的去向只能是三矿区或六矿区",IF(AND($K180="对外销售",ROUND($Q180,0)=0),"※外销却没有售价，请填实际售价",IF(AND($K180="对外销售",$T180&lt;&gt;"",$T180&lt;0),"※这一笔外销是亏的，请核对售价",IF(IFERROR(VLOOKUP($D180,库存台账!$A$5:$Y$1204,24,0),0)&lt;-0.001,"※这个物料账面已经变成负数了，查一下是不是漏记入库","")))))))))))</f>
        <v/>
      </c>
    </row>
    <row r="181">
      <c r="A181" s="24">
        <f>IF($D181="","",COUNTA($D$4:$D181))</f>
        <v/>
      </c>
      <c r="B181" s="17" t="n"/>
      <c r="C181" s="30" t="n"/>
      <c r="D181" s="17" t="n"/>
      <c r="E181" s="24">
        <f>IF($D181="","",IFERROR(VLOOKUP($D181,物料档案!$A$4:$P$1203,3,0),"※编码不在物料档案里"))</f>
        <v/>
      </c>
      <c r="F181" s="24">
        <f>IF($D181="","",IFERROR(VLOOKUP($D181,物料档案!$A$4:$P$1203,4,0),"※编码不在物料档案里"))</f>
        <v/>
      </c>
      <c r="G181" s="24">
        <f>IF($D181="","",IFERROR(VLOOKUP($D181,物料档案!$A$4:$P$1203,5,0),"※编码不在物料档案里"))</f>
        <v/>
      </c>
      <c r="H181" s="24">
        <f>IF($D181="","",IFERROR(VLOOKUP($D181,物料档案!$A$4:$P$1203,2,0),"※编码不在物料档案里"))</f>
        <v/>
      </c>
      <c r="I181" s="24">
        <f>IF($D181="","",IFERROR(VLOOKUP($D181,物料档案!$A$4:$P$1203,6,0),"※编码不在物料档案里"))</f>
        <v/>
      </c>
      <c r="J181" s="23" t="n"/>
      <c r="K181" s="17" t="n"/>
      <c r="L181" s="17" t="n"/>
      <c r="M181" s="17" t="n"/>
      <c r="N181" s="17" t="n"/>
      <c r="O181" s="26">
        <f>IF($D181="","",IFERROR(VLOOKUP($D181,物料档案!$A$4:$P$1203,10,0),0))</f>
        <v/>
      </c>
      <c r="P181" s="32" t="n"/>
      <c r="Q181" s="26">
        <f>IF($D181="","",IF($K181&lt;&gt;"对外销售",0,ROUND(N($J181)*IF($P181="",N($O181),N($P181)),0)))</f>
        <v/>
      </c>
      <c r="R181" s="26">
        <f>IF($D181="","",IFERROR(VLOOKUP($D181,库存台账!$A$5:$Y$1204,11,0),0))</f>
        <v/>
      </c>
      <c r="S181" s="26">
        <f>IF($D181="","",ROUND(N($J181)*N($R181),0))</f>
        <v/>
      </c>
      <c r="T181" s="26">
        <f>IF($D181="","",IF($K181&lt;&gt;"对外销售","",ROUND($Q181-$S181,0)))</f>
        <v/>
      </c>
      <c r="U181" s="17" t="n"/>
      <c r="V181" s="17" t="n"/>
      <c r="W181" s="24">
        <f>IF($D181="","",IF($E181="※编码不在物料档案里","※物料编码不在档案里",IF(N($J181)&lt;=0,"※出库数量要大于 0",IF($K181="","※没填去向类型",IF($L181="","※没填去向矿区",IF(AND($C181&lt;&gt;"",$C181&lt;=结账锁),"※日期早于已结账截止日，不能再录",IF(AND($K181="自用消耗",COUNTIF({"一矿区";"二矿区"},$L181)=0),"※自用消耗的去向只能是一矿区或二矿区",IF(AND($K181="对外销售",COUNTIF({"三矿区";"六矿区"},$L181)=0),"※对外销售的去向只能是三矿区或六矿区",IF(AND($K181="对外销售",ROUND($Q181,0)=0),"※外销却没有售价，请填实际售价",IF(AND($K181="对外销售",$T181&lt;&gt;"",$T181&lt;0),"※这一笔外销是亏的，请核对售价",IF(IFERROR(VLOOKUP($D181,库存台账!$A$5:$Y$1204,24,0),0)&lt;-0.001,"※这个物料账面已经变成负数了，查一下是不是漏记入库","")))))))))))</f>
        <v/>
      </c>
    </row>
    <row r="182">
      <c r="A182" s="24">
        <f>IF($D182="","",COUNTA($D$4:$D182))</f>
        <v/>
      </c>
      <c r="B182" s="17" t="n"/>
      <c r="C182" s="30" t="n"/>
      <c r="D182" s="17" t="n"/>
      <c r="E182" s="24">
        <f>IF($D182="","",IFERROR(VLOOKUP($D182,物料档案!$A$4:$P$1203,3,0),"※编码不在物料档案里"))</f>
        <v/>
      </c>
      <c r="F182" s="24">
        <f>IF($D182="","",IFERROR(VLOOKUP($D182,物料档案!$A$4:$P$1203,4,0),"※编码不在物料档案里"))</f>
        <v/>
      </c>
      <c r="G182" s="24">
        <f>IF($D182="","",IFERROR(VLOOKUP($D182,物料档案!$A$4:$P$1203,5,0),"※编码不在物料档案里"))</f>
        <v/>
      </c>
      <c r="H182" s="24">
        <f>IF($D182="","",IFERROR(VLOOKUP($D182,物料档案!$A$4:$P$1203,2,0),"※编码不在物料档案里"))</f>
        <v/>
      </c>
      <c r="I182" s="24">
        <f>IF($D182="","",IFERROR(VLOOKUP($D182,物料档案!$A$4:$P$1203,6,0),"※编码不在物料档案里"))</f>
        <v/>
      </c>
      <c r="J182" s="23" t="n"/>
      <c r="K182" s="17" t="n"/>
      <c r="L182" s="17" t="n"/>
      <c r="M182" s="17" t="n"/>
      <c r="N182" s="17" t="n"/>
      <c r="O182" s="26">
        <f>IF($D182="","",IFERROR(VLOOKUP($D182,物料档案!$A$4:$P$1203,10,0),0))</f>
        <v/>
      </c>
      <c r="P182" s="32" t="n"/>
      <c r="Q182" s="26">
        <f>IF($D182="","",IF($K182&lt;&gt;"对外销售",0,ROUND(N($J182)*IF($P182="",N($O182),N($P182)),0)))</f>
        <v/>
      </c>
      <c r="R182" s="26">
        <f>IF($D182="","",IFERROR(VLOOKUP($D182,库存台账!$A$5:$Y$1204,11,0),0))</f>
        <v/>
      </c>
      <c r="S182" s="26">
        <f>IF($D182="","",ROUND(N($J182)*N($R182),0))</f>
        <v/>
      </c>
      <c r="T182" s="26">
        <f>IF($D182="","",IF($K182&lt;&gt;"对外销售","",ROUND($Q182-$S182,0)))</f>
        <v/>
      </c>
      <c r="U182" s="17" t="n"/>
      <c r="V182" s="17" t="n"/>
      <c r="W182" s="24">
        <f>IF($D182="","",IF($E182="※编码不在物料档案里","※物料编码不在档案里",IF(N($J182)&lt;=0,"※出库数量要大于 0",IF($K182="","※没填去向类型",IF($L182="","※没填去向矿区",IF(AND($C182&lt;&gt;"",$C182&lt;=结账锁),"※日期早于已结账截止日，不能再录",IF(AND($K182="自用消耗",COUNTIF({"一矿区";"二矿区"},$L182)=0),"※自用消耗的去向只能是一矿区或二矿区",IF(AND($K182="对外销售",COUNTIF({"三矿区";"六矿区"},$L182)=0),"※对外销售的去向只能是三矿区或六矿区",IF(AND($K182="对外销售",ROUND($Q182,0)=0),"※外销却没有售价，请填实际售价",IF(AND($K182="对外销售",$T182&lt;&gt;"",$T182&lt;0),"※这一笔外销是亏的，请核对售价",IF(IFERROR(VLOOKUP($D182,库存台账!$A$5:$Y$1204,24,0),0)&lt;-0.001,"※这个物料账面已经变成负数了，查一下是不是漏记入库","")))))))))))</f>
        <v/>
      </c>
    </row>
    <row r="183">
      <c r="A183" s="24">
        <f>IF($D183="","",COUNTA($D$4:$D183))</f>
        <v/>
      </c>
      <c r="B183" s="17" t="n"/>
      <c r="C183" s="30" t="n"/>
      <c r="D183" s="17" t="n"/>
      <c r="E183" s="24">
        <f>IF($D183="","",IFERROR(VLOOKUP($D183,物料档案!$A$4:$P$1203,3,0),"※编码不在物料档案里"))</f>
        <v/>
      </c>
      <c r="F183" s="24">
        <f>IF($D183="","",IFERROR(VLOOKUP($D183,物料档案!$A$4:$P$1203,4,0),"※编码不在物料档案里"))</f>
        <v/>
      </c>
      <c r="G183" s="24">
        <f>IF($D183="","",IFERROR(VLOOKUP($D183,物料档案!$A$4:$P$1203,5,0),"※编码不在物料档案里"))</f>
        <v/>
      </c>
      <c r="H183" s="24">
        <f>IF($D183="","",IFERROR(VLOOKUP($D183,物料档案!$A$4:$P$1203,2,0),"※编码不在物料档案里"))</f>
        <v/>
      </c>
      <c r="I183" s="24">
        <f>IF($D183="","",IFERROR(VLOOKUP($D183,物料档案!$A$4:$P$1203,6,0),"※编码不在物料档案里"))</f>
        <v/>
      </c>
      <c r="J183" s="23" t="n"/>
      <c r="K183" s="17" t="n"/>
      <c r="L183" s="17" t="n"/>
      <c r="M183" s="17" t="n"/>
      <c r="N183" s="17" t="n"/>
      <c r="O183" s="26">
        <f>IF($D183="","",IFERROR(VLOOKUP($D183,物料档案!$A$4:$P$1203,10,0),0))</f>
        <v/>
      </c>
      <c r="P183" s="32" t="n"/>
      <c r="Q183" s="26">
        <f>IF($D183="","",IF($K183&lt;&gt;"对外销售",0,ROUND(N($J183)*IF($P183="",N($O183),N($P183)),0)))</f>
        <v/>
      </c>
      <c r="R183" s="26">
        <f>IF($D183="","",IFERROR(VLOOKUP($D183,库存台账!$A$5:$Y$1204,11,0),0))</f>
        <v/>
      </c>
      <c r="S183" s="26">
        <f>IF($D183="","",ROUND(N($J183)*N($R183),0))</f>
        <v/>
      </c>
      <c r="T183" s="26">
        <f>IF($D183="","",IF($K183&lt;&gt;"对外销售","",ROUND($Q183-$S183,0)))</f>
        <v/>
      </c>
      <c r="U183" s="17" t="n"/>
      <c r="V183" s="17" t="n"/>
      <c r="W183" s="24">
        <f>IF($D183="","",IF($E183="※编码不在物料档案里","※物料编码不在档案里",IF(N($J183)&lt;=0,"※出库数量要大于 0",IF($K183="","※没填去向类型",IF($L183="","※没填去向矿区",IF(AND($C183&lt;&gt;"",$C183&lt;=结账锁),"※日期早于已结账截止日，不能再录",IF(AND($K183="自用消耗",COUNTIF({"一矿区";"二矿区"},$L183)=0),"※自用消耗的去向只能是一矿区或二矿区",IF(AND($K183="对外销售",COUNTIF({"三矿区";"六矿区"},$L183)=0),"※对外销售的去向只能是三矿区或六矿区",IF(AND($K183="对外销售",ROUND($Q183,0)=0),"※外销却没有售价，请填实际售价",IF(AND($K183="对外销售",$T183&lt;&gt;"",$T183&lt;0),"※这一笔外销是亏的，请核对售价",IF(IFERROR(VLOOKUP($D183,库存台账!$A$5:$Y$1204,24,0),0)&lt;-0.001,"※这个物料账面已经变成负数了，查一下是不是漏记入库","")))))))))))</f>
        <v/>
      </c>
    </row>
    <row r="184">
      <c r="A184" s="24">
        <f>IF($D184="","",COUNTA($D$4:$D184))</f>
        <v/>
      </c>
      <c r="B184" s="17" t="n"/>
      <c r="C184" s="30" t="n"/>
      <c r="D184" s="17" t="n"/>
      <c r="E184" s="24">
        <f>IF($D184="","",IFERROR(VLOOKUP($D184,物料档案!$A$4:$P$1203,3,0),"※编码不在物料档案里"))</f>
        <v/>
      </c>
      <c r="F184" s="24">
        <f>IF($D184="","",IFERROR(VLOOKUP($D184,物料档案!$A$4:$P$1203,4,0),"※编码不在物料档案里"))</f>
        <v/>
      </c>
      <c r="G184" s="24">
        <f>IF($D184="","",IFERROR(VLOOKUP($D184,物料档案!$A$4:$P$1203,5,0),"※编码不在物料档案里"))</f>
        <v/>
      </c>
      <c r="H184" s="24">
        <f>IF($D184="","",IFERROR(VLOOKUP($D184,物料档案!$A$4:$P$1203,2,0),"※编码不在物料档案里"))</f>
        <v/>
      </c>
      <c r="I184" s="24">
        <f>IF($D184="","",IFERROR(VLOOKUP($D184,物料档案!$A$4:$P$1203,6,0),"※编码不在物料档案里"))</f>
        <v/>
      </c>
      <c r="J184" s="23" t="n"/>
      <c r="K184" s="17" t="n"/>
      <c r="L184" s="17" t="n"/>
      <c r="M184" s="17" t="n"/>
      <c r="N184" s="17" t="n"/>
      <c r="O184" s="26">
        <f>IF($D184="","",IFERROR(VLOOKUP($D184,物料档案!$A$4:$P$1203,10,0),0))</f>
        <v/>
      </c>
      <c r="P184" s="32" t="n"/>
      <c r="Q184" s="26">
        <f>IF($D184="","",IF($K184&lt;&gt;"对外销售",0,ROUND(N($J184)*IF($P184="",N($O184),N($P184)),0)))</f>
        <v/>
      </c>
      <c r="R184" s="26">
        <f>IF($D184="","",IFERROR(VLOOKUP($D184,库存台账!$A$5:$Y$1204,11,0),0))</f>
        <v/>
      </c>
      <c r="S184" s="26">
        <f>IF($D184="","",ROUND(N($J184)*N($R184),0))</f>
        <v/>
      </c>
      <c r="T184" s="26">
        <f>IF($D184="","",IF($K184&lt;&gt;"对外销售","",ROUND($Q184-$S184,0)))</f>
        <v/>
      </c>
      <c r="U184" s="17" t="n"/>
      <c r="V184" s="17" t="n"/>
      <c r="W184" s="24">
        <f>IF($D184="","",IF($E184="※编码不在物料档案里","※物料编码不在档案里",IF(N($J184)&lt;=0,"※出库数量要大于 0",IF($K184="","※没填去向类型",IF($L184="","※没填去向矿区",IF(AND($C184&lt;&gt;"",$C184&lt;=结账锁),"※日期早于已结账截止日，不能再录",IF(AND($K184="自用消耗",COUNTIF({"一矿区";"二矿区"},$L184)=0),"※自用消耗的去向只能是一矿区或二矿区",IF(AND($K184="对外销售",COUNTIF({"三矿区";"六矿区"},$L184)=0),"※对外销售的去向只能是三矿区或六矿区",IF(AND($K184="对外销售",ROUND($Q184,0)=0),"※外销却没有售价，请填实际售价",IF(AND($K184="对外销售",$T184&lt;&gt;"",$T184&lt;0),"※这一笔外销是亏的，请核对售价",IF(IFERROR(VLOOKUP($D184,库存台账!$A$5:$Y$1204,24,0),0)&lt;-0.001,"※这个物料账面已经变成负数了，查一下是不是漏记入库","")))))))))))</f>
        <v/>
      </c>
    </row>
    <row r="185">
      <c r="A185" s="24">
        <f>IF($D185="","",COUNTA($D$4:$D185))</f>
        <v/>
      </c>
      <c r="B185" s="17" t="n"/>
      <c r="C185" s="30" t="n"/>
      <c r="D185" s="17" t="n"/>
      <c r="E185" s="24">
        <f>IF($D185="","",IFERROR(VLOOKUP($D185,物料档案!$A$4:$P$1203,3,0),"※编码不在物料档案里"))</f>
        <v/>
      </c>
      <c r="F185" s="24">
        <f>IF($D185="","",IFERROR(VLOOKUP($D185,物料档案!$A$4:$P$1203,4,0),"※编码不在物料档案里"))</f>
        <v/>
      </c>
      <c r="G185" s="24">
        <f>IF($D185="","",IFERROR(VLOOKUP($D185,物料档案!$A$4:$P$1203,5,0),"※编码不在物料档案里"))</f>
        <v/>
      </c>
      <c r="H185" s="24">
        <f>IF($D185="","",IFERROR(VLOOKUP($D185,物料档案!$A$4:$P$1203,2,0),"※编码不在物料档案里"))</f>
        <v/>
      </c>
      <c r="I185" s="24">
        <f>IF($D185="","",IFERROR(VLOOKUP($D185,物料档案!$A$4:$P$1203,6,0),"※编码不在物料档案里"))</f>
        <v/>
      </c>
      <c r="J185" s="23" t="n"/>
      <c r="K185" s="17" t="n"/>
      <c r="L185" s="17" t="n"/>
      <c r="M185" s="17" t="n"/>
      <c r="N185" s="17" t="n"/>
      <c r="O185" s="26">
        <f>IF($D185="","",IFERROR(VLOOKUP($D185,物料档案!$A$4:$P$1203,10,0),0))</f>
        <v/>
      </c>
      <c r="P185" s="32" t="n"/>
      <c r="Q185" s="26">
        <f>IF($D185="","",IF($K185&lt;&gt;"对外销售",0,ROUND(N($J185)*IF($P185="",N($O185),N($P185)),0)))</f>
        <v/>
      </c>
      <c r="R185" s="26">
        <f>IF($D185="","",IFERROR(VLOOKUP($D185,库存台账!$A$5:$Y$1204,11,0),0))</f>
        <v/>
      </c>
      <c r="S185" s="26">
        <f>IF($D185="","",ROUND(N($J185)*N($R185),0))</f>
        <v/>
      </c>
      <c r="T185" s="26">
        <f>IF($D185="","",IF($K185&lt;&gt;"对外销售","",ROUND($Q185-$S185,0)))</f>
        <v/>
      </c>
      <c r="U185" s="17" t="n"/>
      <c r="V185" s="17" t="n"/>
      <c r="W185" s="24">
        <f>IF($D185="","",IF($E185="※编码不在物料档案里","※物料编码不在档案里",IF(N($J185)&lt;=0,"※出库数量要大于 0",IF($K185="","※没填去向类型",IF($L185="","※没填去向矿区",IF(AND($C185&lt;&gt;"",$C185&lt;=结账锁),"※日期早于已结账截止日，不能再录",IF(AND($K185="自用消耗",COUNTIF({"一矿区";"二矿区"},$L185)=0),"※自用消耗的去向只能是一矿区或二矿区",IF(AND($K185="对外销售",COUNTIF({"三矿区";"六矿区"},$L185)=0),"※对外销售的去向只能是三矿区或六矿区",IF(AND($K185="对外销售",ROUND($Q185,0)=0),"※外销却没有售价，请填实际售价",IF(AND($K185="对外销售",$T185&lt;&gt;"",$T185&lt;0),"※这一笔外销是亏的，请核对售价",IF(IFERROR(VLOOKUP($D185,库存台账!$A$5:$Y$1204,24,0),0)&lt;-0.001,"※这个物料账面已经变成负数了，查一下是不是漏记入库","")))))))))))</f>
        <v/>
      </c>
    </row>
    <row r="186">
      <c r="A186" s="24">
        <f>IF($D186="","",COUNTA($D$4:$D186))</f>
        <v/>
      </c>
      <c r="B186" s="17" t="n"/>
      <c r="C186" s="30" t="n"/>
      <c r="D186" s="17" t="n"/>
      <c r="E186" s="24">
        <f>IF($D186="","",IFERROR(VLOOKUP($D186,物料档案!$A$4:$P$1203,3,0),"※编码不在物料档案里"))</f>
        <v/>
      </c>
      <c r="F186" s="24">
        <f>IF($D186="","",IFERROR(VLOOKUP($D186,物料档案!$A$4:$P$1203,4,0),"※编码不在物料档案里"))</f>
        <v/>
      </c>
      <c r="G186" s="24">
        <f>IF($D186="","",IFERROR(VLOOKUP($D186,物料档案!$A$4:$P$1203,5,0),"※编码不在物料档案里"))</f>
        <v/>
      </c>
      <c r="H186" s="24">
        <f>IF($D186="","",IFERROR(VLOOKUP($D186,物料档案!$A$4:$P$1203,2,0),"※编码不在物料档案里"))</f>
        <v/>
      </c>
      <c r="I186" s="24">
        <f>IF($D186="","",IFERROR(VLOOKUP($D186,物料档案!$A$4:$P$1203,6,0),"※编码不在物料档案里"))</f>
        <v/>
      </c>
      <c r="J186" s="23" t="n"/>
      <c r="K186" s="17" t="n"/>
      <c r="L186" s="17" t="n"/>
      <c r="M186" s="17" t="n"/>
      <c r="N186" s="17" t="n"/>
      <c r="O186" s="26">
        <f>IF($D186="","",IFERROR(VLOOKUP($D186,物料档案!$A$4:$P$1203,10,0),0))</f>
        <v/>
      </c>
      <c r="P186" s="32" t="n"/>
      <c r="Q186" s="26">
        <f>IF($D186="","",IF($K186&lt;&gt;"对外销售",0,ROUND(N($J186)*IF($P186="",N($O186),N($P186)),0)))</f>
        <v/>
      </c>
      <c r="R186" s="26">
        <f>IF($D186="","",IFERROR(VLOOKUP($D186,库存台账!$A$5:$Y$1204,11,0),0))</f>
        <v/>
      </c>
      <c r="S186" s="26">
        <f>IF($D186="","",ROUND(N($J186)*N($R186),0))</f>
        <v/>
      </c>
      <c r="T186" s="26">
        <f>IF($D186="","",IF($K186&lt;&gt;"对外销售","",ROUND($Q186-$S186,0)))</f>
        <v/>
      </c>
      <c r="U186" s="17" t="n"/>
      <c r="V186" s="17" t="n"/>
      <c r="W186" s="24">
        <f>IF($D186="","",IF($E186="※编码不在物料档案里","※物料编码不在档案里",IF(N($J186)&lt;=0,"※出库数量要大于 0",IF($K186="","※没填去向类型",IF($L186="","※没填去向矿区",IF(AND($C186&lt;&gt;"",$C186&lt;=结账锁),"※日期早于已结账截止日，不能再录",IF(AND($K186="自用消耗",COUNTIF({"一矿区";"二矿区"},$L186)=0),"※自用消耗的去向只能是一矿区或二矿区",IF(AND($K186="对外销售",COUNTIF({"三矿区";"六矿区"},$L186)=0),"※对外销售的去向只能是三矿区或六矿区",IF(AND($K186="对外销售",ROUND($Q186,0)=0),"※外销却没有售价，请填实际售价",IF(AND($K186="对外销售",$T186&lt;&gt;"",$T186&lt;0),"※这一笔外销是亏的，请核对售价",IF(IFERROR(VLOOKUP($D186,库存台账!$A$5:$Y$1204,24,0),0)&lt;-0.001,"※这个物料账面已经变成负数了，查一下是不是漏记入库","")))))))))))</f>
        <v/>
      </c>
    </row>
    <row r="187">
      <c r="A187" s="24">
        <f>IF($D187="","",COUNTA($D$4:$D187))</f>
        <v/>
      </c>
      <c r="B187" s="17" t="n"/>
      <c r="C187" s="30" t="n"/>
      <c r="D187" s="17" t="n"/>
      <c r="E187" s="24">
        <f>IF($D187="","",IFERROR(VLOOKUP($D187,物料档案!$A$4:$P$1203,3,0),"※编码不在物料档案里"))</f>
        <v/>
      </c>
      <c r="F187" s="24">
        <f>IF($D187="","",IFERROR(VLOOKUP($D187,物料档案!$A$4:$P$1203,4,0),"※编码不在物料档案里"))</f>
        <v/>
      </c>
      <c r="G187" s="24">
        <f>IF($D187="","",IFERROR(VLOOKUP($D187,物料档案!$A$4:$P$1203,5,0),"※编码不在物料档案里"))</f>
        <v/>
      </c>
      <c r="H187" s="24">
        <f>IF($D187="","",IFERROR(VLOOKUP($D187,物料档案!$A$4:$P$1203,2,0),"※编码不在物料档案里"))</f>
        <v/>
      </c>
      <c r="I187" s="24">
        <f>IF($D187="","",IFERROR(VLOOKUP($D187,物料档案!$A$4:$P$1203,6,0),"※编码不在物料档案里"))</f>
        <v/>
      </c>
      <c r="J187" s="23" t="n"/>
      <c r="K187" s="17" t="n"/>
      <c r="L187" s="17" t="n"/>
      <c r="M187" s="17" t="n"/>
      <c r="N187" s="17" t="n"/>
      <c r="O187" s="26">
        <f>IF($D187="","",IFERROR(VLOOKUP($D187,物料档案!$A$4:$P$1203,10,0),0))</f>
        <v/>
      </c>
      <c r="P187" s="32" t="n"/>
      <c r="Q187" s="26">
        <f>IF($D187="","",IF($K187&lt;&gt;"对外销售",0,ROUND(N($J187)*IF($P187="",N($O187),N($P187)),0)))</f>
        <v/>
      </c>
      <c r="R187" s="26">
        <f>IF($D187="","",IFERROR(VLOOKUP($D187,库存台账!$A$5:$Y$1204,11,0),0))</f>
        <v/>
      </c>
      <c r="S187" s="26">
        <f>IF($D187="","",ROUND(N($J187)*N($R187),0))</f>
        <v/>
      </c>
      <c r="T187" s="26">
        <f>IF($D187="","",IF($K187&lt;&gt;"对外销售","",ROUND($Q187-$S187,0)))</f>
        <v/>
      </c>
      <c r="U187" s="17" t="n"/>
      <c r="V187" s="17" t="n"/>
      <c r="W187" s="24">
        <f>IF($D187="","",IF($E187="※编码不在物料档案里","※物料编码不在档案里",IF(N($J187)&lt;=0,"※出库数量要大于 0",IF($K187="","※没填去向类型",IF($L187="","※没填去向矿区",IF(AND($C187&lt;&gt;"",$C187&lt;=结账锁),"※日期早于已结账截止日，不能再录",IF(AND($K187="自用消耗",COUNTIF({"一矿区";"二矿区"},$L187)=0),"※自用消耗的去向只能是一矿区或二矿区",IF(AND($K187="对外销售",COUNTIF({"三矿区";"六矿区"},$L187)=0),"※对外销售的去向只能是三矿区或六矿区",IF(AND($K187="对外销售",ROUND($Q187,0)=0),"※外销却没有售价，请填实际售价",IF(AND($K187="对外销售",$T187&lt;&gt;"",$T187&lt;0),"※这一笔外销是亏的，请核对售价",IF(IFERROR(VLOOKUP($D187,库存台账!$A$5:$Y$1204,24,0),0)&lt;-0.001,"※这个物料账面已经变成负数了，查一下是不是漏记入库","")))))))))))</f>
        <v/>
      </c>
    </row>
    <row r="188">
      <c r="A188" s="24">
        <f>IF($D188="","",COUNTA($D$4:$D188))</f>
        <v/>
      </c>
      <c r="B188" s="17" t="n"/>
      <c r="C188" s="30" t="n"/>
      <c r="D188" s="17" t="n"/>
      <c r="E188" s="24">
        <f>IF($D188="","",IFERROR(VLOOKUP($D188,物料档案!$A$4:$P$1203,3,0),"※编码不在物料档案里"))</f>
        <v/>
      </c>
      <c r="F188" s="24">
        <f>IF($D188="","",IFERROR(VLOOKUP($D188,物料档案!$A$4:$P$1203,4,0),"※编码不在物料档案里"))</f>
        <v/>
      </c>
      <c r="G188" s="24">
        <f>IF($D188="","",IFERROR(VLOOKUP($D188,物料档案!$A$4:$P$1203,5,0),"※编码不在物料档案里"))</f>
        <v/>
      </c>
      <c r="H188" s="24">
        <f>IF($D188="","",IFERROR(VLOOKUP($D188,物料档案!$A$4:$P$1203,2,0),"※编码不在物料档案里"))</f>
        <v/>
      </c>
      <c r="I188" s="24">
        <f>IF($D188="","",IFERROR(VLOOKUP($D188,物料档案!$A$4:$P$1203,6,0),"※编码不在物料档案里"))</f>
        <v/>
      </c>
      <c r="J188" s="23" t="n"/>
      <c r="K188" s="17" t="n"/>
      <c r="L188" s="17" t="n"/>
      <c r="M188" s="17" t="n"/>
      <c r="N188" s="17" t="n"/>
      <c r="O188" s="26">
        <f>IF($D188="","",IFERROR(VLOOKUP($D188,物料档案!$A$4:$P$1203,10,0),0))</f>
        <v/>
      </c>
      <c r="P188" s="32" t="n"/>
      <c r="Q188" s="26">
        <f>IF($D188="","",IF($K188&lt;&gt;"对外销售",0,ROUND(N($J188)*IF($P188="",N($O188),N($P188)),0)))</f>
        <v/>
      </c>
      <c r="R188" s="26">
        <f>IF($D188="","",IFERROR(VLOOKUP($D188,库存台账!$A$5:$Y$1204,11,0),0))</f>
        <v/>
      </c>
      <c r="S188" s="26">
        <f>IF($D188="","",ROUND(N($J188)*N($R188),0))</f>
        <v/>
      </c>
      <c r="T188" s="26">
        <f>IF($D188="","",IF($K188&lt;&gt;"对外销售","",ROUND($Q188-$S188,0)))</f>
        <v/>
      </c>
      <c r="U188" s="17" t="n"/>
      <c r="V188" s="17" t="n"/>
      <c r="W188" s="24">
        <f>IF($D188="","",IF($E188="※编码不在物料档案里","※物料编码不在档案里",IF(N($J188)&lt;=0,"※出库数量要大于 0",IF($K188="","※没填去向类型",IF($L188="","※没填去向矿区",IF(AND($C188&lt;&gt;"",$C188&lt;=结账锁),"※日期早于已结账截止日，不能再录",IF(AND($K188="自用消耗",COUNTIF({"一矿区";"二矿区"},$L188)=0),"※自用消耗的去向只能是一矿区或二矿区",IF(AND($K188="对外销售",COUNTIF({"三矿区";"六矿区"},$L188)=0),"※对外销售的去向只能是三矿区或六矿区",IF(AND($K188="对外销售",ROUND($Q188,0)=0),"※外销却没有售价，请填实际售价",IF(AND($K188="对外销售",$T188&lt;&gt;"",$T188&lt;0),"※这一笔外销是亏的，请核对售价",IF(IFERROR(VLOOKUP($D188,库存台账!$A$5:$Y$1204,24,0),0)&lt;-0.001,"※这个物料账面已经变成负数了，查一下是不是漏记入库","")))))))))))</f>
        <v/>
      </c>
    </row>
    <row r="189">
      <c r="A189" s="24">
        <f>IF($D189="","",COUNTA($D$4:$D189))</f>
        <v/>
      </c>
      <c r="B189" s="17" t="n"/>
      <c r="C189" s="30" t="n"/>
      <c r="D189" s="17" t="n"/>
      <c r="E189" s="24">
        <f>IF($D189="","",IFERROR(VLOOKUP($D189,物料档案!$A$4:$P$1203,3,0),"※编码不在物料档案里"))</f>
        <v/>
      </c>
      <c r="F189" s="24">
        <f>IF($D189="","",IFERROR(VLOOKUP($D189,物料档案!$A$4:$P$1203,4,0),"※编码不在物料档案里"))</f>
        <v/>
      </c>
      <c r="G189" s="24">
        <f>IF($D189="","",IFERROR(VLOOKUP($D189,物料档案!$A$4:$P$1203,5,0),"※编码不在物料档案里"))</f>
        <v/>
      </c>
      <c r="H189" s="24">
        <f>IF($D189="","",IFERROR(VLOOKUP($D189,物料档案!$A$4:$P$1203,2,0),"※编码不在物料档案里"))</f>
        <v/>
      </c>
      <c r="I189" s="24">
        <f>IF($D189="","",IFERROR(VLOOKUP($D189,物料档案!$A$4:$P$1203,6,0),"※编码不在物料档案里"))</f>
        <v/>
      </c>
      <c r="J189" s="23" t="n"/>
      <c r="K189" s="17" t="n"/>
      <c r="L189" s="17" t="n"/>
      <c r="M189" s="17" t="n"/>
      <c r="N189" s="17" t="n"/>
      <c r="O189" s="26">
        <f>IF($D189="","",IFERROR(VLOOKUP($D189,物料档案!$A$4:$P$1203,10,0),0))</f>
        <v/>
      </c>
      <c r="P189" s="32" t="n"/>
      <c r="Q189" s="26">
        <f>IF($D189="","",IF($K189&lt;&gt;"对外销售",0,ROUND(N($J189)*IF($P189="",N($O189),N($P189)),0)))</f>
        <v/>
      </c>
      <c r="R189" s="26">
        <f>IF($D189="","",IFERROR(VLOOKUP($D189,库存台账!$A$5:$Y$1204,11,0),0))</f>
        <v/>
      </c>
      <c r="S189" s="26">
        <f>IF($D189="","",ROUND(N($J189)*N($R189),0))</f>
        <v/>
      </c>
      <c r="T189" s="26">
        <f>IF($D189="","",IF($K189&lt;&gt;"对外销售","",ROUND($Q189-$S189,0)))</f>
        <v/>
      </c>
      <c r="U189" s="17" t="n"/>
      <c r="V189" s="17" t="n"/>
      <c r="W189" s="24">
        <f>IF($D189="","",IF($E189="※编码不在物料档案里","※物料编码不在档案里",IF(N($J189)&lt;=0,"※出库数量要大于 0",IF($K189="","※没填去向类型",IF($L189="","※没填去向矿区",IF(AND($C189&lt;&gt;"",$C189&lt;=结账锁),"※日期早于已结账截止日，不能再录",IF(AND($K189="自用消耗",COUNTIF({"一矿区";"二矿区"},$L189)=0),"※自用消耗的去向只能是一矿区或二矿区",IF(AND($K189="对外销售",COUNTIF({"三矿区";"六矿区"},$L189)=0),"※对外销售的去向只能是三矿区或六矿区",IF(AND($K189="对外销售",ROUND($Q189,0)=0),"※外销却没有售价，请填实际售价",IF(AND($K189="对外销售",$T189&lt;&gt;"",$T189&lt;0),"※这一笔外销是亏的，请核对售价",IF(IFERROR(VLOOKUP($D189,库存台账!$A$5:$Y$1204,24,0),0)&lt;-0.001,"※这个物料账面已经变成负数了，查一下是不是漏记入库","")))))))))))</f>
        <v/>
      </c>
    </row>
    <row r="190">
      <c r="A190" s="24">
        <f>IF($D190="","",COUNTA($D$4:$D190))</f>
        <v/>
      </c>
      <c r="B190" s="17" t="n"/>
      <c r="C190" s="30" t="n"/>
      <c r="D190" s="17" t="n"/>
      <c r="E190" s="24">
        <f>IF($D190="","",IFERROR(VLOOKUP($D190,物料档案!$A$4:$P$1203,3,0),"※编码不在物料档案里"))</f>
        <v/>
      </c>
      <c r="F190" s="24">
        <f>IF($D190="","",IFERROR(VLOOKUP($D190,物料档案!$A$4:$P$1203,4,0),"※编码不在物料档案里"))</f>
        <v/>
      </c>
      <c r="G190" s="24">
        <f>IF($D190="","",IFERROR(VLOOKUP($D190,物料档案!$A$4:$P$1203,5,0),"※编码不在物料档案里"))</f>
        <v/>
      </c>
      <c r="H190" s="24">
        <f>IF($D190="","",IFERROR(VLOOKUP($D190,物料档案!$A$4:$P$1203,2,0),"※编码不在物料档案里"))</f>
        <v/>
      </c>
      <c r="I190" s="24">
        <f>IF($D190="","",IFERROR(VLOOKUP($D190,物料档案!$A$4:$P$1203,6,0),"※编码不在物料档案里"))</f>
        <v/>
      </c>
      <c r="J190" s="23" t="n"/>
      <c r="K190" s="17" t="n"/>
      <c r="L190" s="17" t="n"/>
      <c r="M190" s="17" t="n"/>
      <c r="N190" s="17" t="n"/>
      <c r="O190" s="26">
        <f>IF($D190="","",IFERROR(VLOOKUP($D190,物料档案!$A$4:$P$1203,10,0),0))</f>
        <v/>
      </c>
      <c r="P190" s="32" t="n"/>
      <c r="Q190" s="26">
        <f>IF($D190="","",IF($K190&lt;&gt;"对外销售",0,ROUND(N($J190)*IF($P190="",N($O190),N($P190)),0)))</f>
        <v/>
      </c>
      <c r="R190" s="26">
        <f>IF($D190="","",IFERROR(VLOOKUP($D190,库存台账!$A$5:$Y$1204,11,0),0))</f>
        <v/>
      </c>
      <c r="S190" s="26">
        <f>IF($D190="","",ROUND(N($J190)*N($R190),0))</f>
        <v/>
      </c>
      <c r="T190" s="26">
        <f>IF($D190="","",IF($K190&lt;&gt;"对外销售","",ROUND($Q190-$S190,0)))</f>
        <v/>
      </c>
      <c r="U190" s="17" t="n"/>
      <c r="V190" s="17" t="n"/>
      <c r="W190" s="24">
        <f>IF($D190="","",IF($E190="※编码不在物料档案里","※物料编码不在档案里",IF(N($J190)&lt;=0,"※出库数量要大于 0",IF($K190="","※没填去向类型",IF($L190="","※没填去向矿区",IF(AND($C190&lt;&gt;"",$C190&lt;=结账锁),"※日期早于已结账截止日，不能再录",IF(AND($K190="自用消耗",COUNTIF({"一矿区";"二矿区"},$L190)=0),"※自用消耗的去向只能是一矿区或二矿区",IF(AND($K190="对外销售",COUNTIF({"三矿区";"六矿区"},$L190)=0),"※对外销售的去向只能是三矿区或六矿区",IF(AND($K190="对外销售",ROUND($Q190,0)=0),"※外销却没有售价，请填实际售价",IF(AND($K190="对外销售",$T190&lt;&gt;"",$T190&lt;0),"※这一笔外销是亏的，请核对售价",IF(IFERROR(VLOOKUP($D190,库存台账!$A$5:$Y$1204,24,0),0)&lt;-0.001,"※这个物料账面已经变成负数了，查一下是不是漏记入库","")))))))))))</f>
        <v/>
      </c>
    </row>
    <row r="191">
      <c r="A191" s="24">
        <f>IF($D191="","",COUNTA($D$4:$D191))</f>
        <v/>
      </c>
      <c r="B191" s="17" t="n"/>
      <c r="C191" s="30" t="n"/>
      <c r="D191" s="17" t="n"/>
      <c r="E191" s="24">
        <f>IF($D191="","",IFERROR(VLOOKUP($D191,物料档案!$A$4:$P$1203,3,0),"※编码不在物料档案里"))</f>
        <v/>
      </c>
      <c r="F191" s="24">
        <f>IF($D191="","",IFERROR(VLOOKUP($D191,物料档案!$A$4:$P$1203,4,0),"※编码不在物料档案里"))</f>
        <v/>
      </c>
      <c r="G191" s="24">
        <f>IF($D191="","",IFERROR(VLOOKUP($D191,物料档案!$A$4:$P$1203,5,0),"※编码不在物料档案里"))</f>
        <v/>
      </c>
      <c r="H191" s="24">
        <f>IF($D191="","",IFERROR(VLOOKUP($D191,物料档案!$A$4:$P$1203,2,0),"※编码不在物料档案里"))</f>
        <v/>
      </c>
      <c r="I191" s="24">
        <f>IF($D191="","",IFERROR(VLOOKUP($D191,物料档案!$A$4:$P$1203,6,0),"※编码不在物料档案里"))</f>
        <v/>
      </c>
      <c r="J191" s="23" t="n"/>
      <c r="K191" s="17" t="n"/>
      <c r="L191" s="17" t="n"/>
      <c r="M191" s="17" t="n"/>
      <c r="N191" s="17" t="n"/>
      <c r="O191" s="26">
        <f>IF($D191="","",IFERROR(VLOOKUP($D191,物料档案!$A$4:$P$1203,10,0),0))</f>
        <v/>
      </c>
      <c r="P191" s="32" t="n"/>
      <c r="Q191" s="26">
        <f>IF($D191="","",IF($K191&lt;&gt;"对外销售",0,ROUND(N($J191)*IF($P191="",N($O191),N($P191)),0)))</f>
        <v/>
      </c>
      <c r="R191" s="26">
        <f>IF($D191="","",IFERROR(VLOOKUP($D191,库存台账!$A$5:$Y$1204,11,0),0))</f>
        <v/>
      </c>
      <c r="S191" s="26">
        <f>IF($D191="","",ROUND(N($J191)*N($R191),0))</f>
        <v/>
      </c>
      <c r="T191" s="26">
        <f>IF($D191="","",IF($K191&lt;&gt;"对外销售","",ROUND($Q191-$S191,0)))</f>
        <v/>
      </c>
      <c r="U191" s="17" t="n"/>
      <c r="V191" s="17" t="n"/>
      <c r="W191" s="24">
        <f>IF($D191="","",IF($E191="※编码不在物料档案里","※物料编码不在档案里",IF(N($J191)&lt;=0,"※出库数量要大于 0",IF($K191="","※没填去向类型",IF($L191="","※没填去向矿区",IF(AND($C191&lt;&gt;"",$C191&lt;=结账锁),"※日期早于已结账截止日，不能再录",IF(AND($K191="自用消耗",COUNTIF({"一矿区";"二矿区"},$L191)=0),"※自用消耗的去向只能是一矿区或二矿区",IF(AND($K191="对外销售",COUNTIF({"三矿区";"六矿区"},$L191)=0),"※对外销售的去向只能是三矿区或六矿区",IF(AND($K191="对外销售",ROUND($Q191,0)=0),"※外销却没有售价，请填实际售价",IF(AND($K191="对外销售",$T191&lt;&gt;"",$T191&lt;0),"※这一笔外销是亏的，请核对售价",IF(IFERROR(VLOOKUP($D191,库存台账!$A$5:$Y$1204,24,0),0)&lt;-0.001,"※这个物料账面已经变成负数了，查一下是不是漏记入库","")))))))))))</f>
        <v/>
      </c>
    </row>
    <row r="192">
      <c r="A192" s="24">
        <f>IF($D192="","",COUNTA($D$4:$D192))</f>
        <v/>
      </c>
      <c r="B192" s="17" t="n"/>
      <c r="C192" s="30" t="n"/>
      <c r="D192" s="17" t="n"/>
      <c r="E192" s="24">
        <f>IF($D192="","",IFERROR(VLOOKUP($D192,物料档案!$A$4:$P$1203,3,0),"※编码不在物料档案里"))</f>
        <v/>
      </c>
      <c r="F192" s="24">
        <f>IF($D192="","",IFERROR(VLOOKUP($D192,物料档案!$A$4:$P$1203,4,0),"※编码不在物料档案里"))</f>
        <v/>
      </c>
      <c r="G192" s="24">
        <f>IF($D192="","",IFERROR(VLOOKUP($D192,物料档案!$A$4:$P$1203,5,0),"※编码不在物料档案里"))</f>
        <v/>
      </c>
      <c r="H192" s="24">
        <f>IF($D192="","",IFERROR(VLOOKUP($D192,物料档案!$A$4:$P$1203,2,0),"※编码不在物料档案里"))</f>
        <v/>
      </c>
      <c r="I192" s="24">
        <f>IF($D192="","",IFERROR(VLOOKUP($D192,物料档案!$A$4:$P$1203,6,0),"※编码不在物料档案里"))</f>
        <v/>
      </c>
      <c r="J192" s="23" t="n"/>
      <c r="K192" s="17" t="n"/>
      <c r="L192" s="17" t="n"/>
      <c r="M192" s="17" t="n"/>
      <c r="N192" s="17" t="n"/>
      <c r="O192" s="26">
        <f>IF($D192="","",IFERROR(VLOOKUP($D192,物料档案!$A$4:$P$1203,10,0),0))</f>
        <v/>
      </c>
      <c r="P192" s="32" t="n"/>
      <c r="Q192" s="26">
        <f>IF($D192="","",IF($K192&lt;&gt;"对外销售",0,ROUND(N($J192)*IF($P192="",N($O192),N($P192)),0)))</f>
        <v/>
      </c>
      <c r="R192" s="26">
        <f>IF($D192="","",IFERROR(VLOOKUP($D192,库存台账!$A$5:$Y$1204,11,0),0))</f>
        <v/>
      </c>
      <c r="S192" s="26">
        <f>IF($D192="","",ROUND(N($J192)*N($R192),0))</f>
        <v/>
      </c>
      <c r="T192" s="26">
        <f>IF($D192="","",IF($K192&lt;&gt;"对外销售","",ROUND($Q192-$S192,0)))</f>
        <v/>
      </c>
      <c r="U192" s="17" t="n"/>
      <c r="V192" s="17" t="n"/>
      <c r="W192" s="24">
        <f>IF($D192="","",IF($E192="※编码不在物料档案里","※物料编码不在档案里",IF(N($J192)&lt;=0,"※出库数量要大于 0",IF($K192="","※没填去向类型",IF($L192="","※没填去向矿区",IF(AND($C192&lt;&gt;"",$C192&lt;=结账锁),"※日期早于已结账截止日，不能再录",IF(AND($K192="自用消耗",COUNTIF({"一矿区";"二矿区"},$L192)=0),"※自用消耗的去向只能是一矿区或二矿区",IF(AND($K192="对外销售",COUNTIF({"三矿区";"六矿区"},$L192)=0),"※对外销售的去向只能是三矿区或六矿区",IF(AND($K192="对外销售",ROUND($Q192,0)=0),"※外销却没有售价，请填实际售价",IF(AND($K192="对外销售",$T192&lt;&gt;"",$T192&lt;0),"※这一笔外销是亏的，请核对售价",IF(IFERROR(VLOOKUP($D192,库存台账!$A$5:$Y$1204,24,0),0)&lt;-0.001,"※这个物料账面已经变成负数了，查一下是不是漏记入库","")))))))))))</f>
        <v/>
      </c>
    </row>
    <row r="193">
      <c r="A193" s="24">
        <f>IF($D193="","",COUNTA($D$4:$D193))</f>
        <v/>
      </c>
      <c r="B193" s="17" t="n"/>
      <c r="C193" s="30" t="n"/>
      <c r="D193" s="17" t="n"/>
      <c r="E193" s="24">
        <f>IF($D193="","",IFERROR(VLOOKUP($D193,物料档案!$A$4:$P$1203,3,0),"※编码不在物料档案里"))</f>
        <v/>
      </c>
      <c r="F193" s="24">
        <f>IF($D193="","",IFERROR(VLOOKUP($D193,物料档案!$A$4:$P$1203,4,0),"※编码不在物料档案里"))</f>
        <v/>
      </c>
      <c r="G193" s="24">
        <f>IF($D193="","",IFERROR(VLOOKUP($D193,物料档案!$A$4:$P$1203,5,0),"※编码不在物料档案里"))</f>
        <v/>
      </c>
      <c r="H193" s="24">
        <f>IF($D193="","",IFERROR(VLOOKUP($D193,物料档案!$A$4:$P$1203,2,0),"※编码不在物料档案里"))</f>
        <v/>
      </c>
      <c r="I193" s="24">
        <f>IF($D193="","",IFERROR(VLOOKUP($D193,物料档案!$A$4:$P$1203,6,0),"※编码不在物料档案里"))</f>
        <v/>
      </c>
      <c r="J193" s="23" t="n"/>
      <c r="K193" s="17" t="n"/>
      <c r="L193" s="17" t="n"/>
      <c r="M193" s="17" t="n"/>
      <c r="N193" s="17" t="n"/>
      <c r="O193" s="26">
        <f>IF($D193="","",IFERROR(VLOOKUP($D193,物料档案!$A$4:$P$1203,10,0),0))</f>
        <v/>
      </c>
      <c r="P193" s="32" t="n"/>
      <c r="Q193" s="26">
        <f>IF($D193="","",IF($K193&lt;&gt;"对外销售",0,ROUND(N($J193)*IF($P193="",N($O193),N($P193)),0)))</f>
        <v/>
      </c>
      <c r="R193" s="26">
        <f>IF($D193="","",IFERROR(VLOOKUP($D193,库存台账!$A$5:$Y$1204,11,0),0))</f>
        <v/>
      </c>
      <c r="S193" s="26">
        <f>IF($D193="","",ROUND(N($J193)*N($R193),0))</f>
        <v/>
      </c>
      <c r="T193" s="26">
        <f>IF($D193="","",IF($K193&lt;&gt;"对外销售","",ROUND($Q193-$S193,0)))</f>
        <v/>
      </c>
      <c r="U193" s="17" t="n"/>
      <c r="V193" s="17" t="n"/>
      <c r="W193" s="24">
        <f>IF($D193="","",IF($E193="※编码不在物料档案里","※物料编码不在档案里",IF(N($J193)&lt;=0,"※出库数量要大于 0",IF($K193="","※没填去向类型",IF($L193="","※没填去向矿区",IF(AND($C193&lt;&gt;"",$C193&lt;=结账锁),"※日期早于已结账截止日，不能再录",IF(AND($K193="自用消耗",COUNTIF({"一矿区";"二矿区"},$L193)=0),"※自用消耗的去向只能是一矿区或二矿区",IF(AND($K193="对外销售",COUNTIF({"三矿区";"六矿区"},$L193)=0),"※对外销售的去向只能是三矿区或六矿区",IF(AND($K193="对外销售",ROUND($Q193,0)=0),"※外销却没有售价，请填实际售价",IF(AND($K193="对外销售",$T193&lt;&gt;"",$T193&lt;0),"※这一笔外销是亏的，请核对售价",IF(IFERROR(VLOOKUP($D193,库存台账!$A$5:$Y$1204,24,0),0)&lt;-0.001,"※这个物料账面已经变成负数了，查一下是不是漏记入库","")))))))))))</f>
        <v/>
      </c>
    </row>
    <row r="194">
      <c r="A194" s="24">
        <f>IF($D194="","",COUNTA($D$4:$D194))</f>
        <v/>
      </c>
      <c r="B194" s="17" t="n"/>
      <c r="C194" s="30" t="n"/>
      <c r="D194" s="17" t="n"/>
      <c r="E194" s="24">
        <f>IF($D194="","",IFERROR(VLOOKUP($D194,物料档案!$A$4:$P$1203,3,0),"※编码不在物料档案里"))</f>
        <v/>
      </c>
      <c r="F194" s="24">
        <f>IF($D194="","",IFERROR(VLOOKUP($D194,物料档案!$A$4:$P$1203,4,0),"※编码不在物料档案里"))</f>
        <v/>
      </c>
      <c r="G194" s="24">
        <f>IF($D194="","",IFERROR(VLOOKUP($D194,物料档案!$A$4:$P$1203,5,0),"※编码不在物料档案里"))</f>
        <v/>
      </c>
      <c r="H194" s="24">
        <f>IF($D194="","",IFERROR(VLOOKUP($D194,物料档案!$A$4:$P$1203,2,0),"※编码不在物料档案里"))</f>
        <v/>
      </c>
      <c r="I194" s="24">
        <f>IF($D194="","",IFERROR(VLOOKUP($D194,物料档案!$A$4:$P$1203,6,0),"※编码不在物料档案里"))</f>
        <v/>
      </c>
      <c r="J194" s="23" t="n"/>
      <c r="K194" s="17" t="n"/>
      <c r="L194" s="17" t="n"/>
      <c r="M194" s="17" t="n"/>
      <c r="N194" s="17" t="n"/>
      <c r="O194" s="26">
        <f>IF($D194="","",IFERROR(VLOOKUP($D194,物料档案!$A$4:$P$1203,10,0),0))</f>
        <v/>
      </c>
      <c r="P194" s="32" t="n"/>
      <c r="Q194" s="26">
        <f>IF($D194="","",IF($K194&lt;&gt;"对外销售",0,ROUND(N($J194)*IF($P194="",N($O194),N($P194)),0)))</f>
        <v/>
      </c>
      <c r="R194" s="26">
        <f>IF($D194="","",IFERROR(VLOOKUP($D194,库存台账!$A$5:$Y$1204,11,0),0))</f>
        <v/>
      </c>
      <c r="S194" s="26">
        <f>IF($D194="","",ROUND(N($J194)*N($R194),0))</f>
        <v/>
      </c>
      <c r="T194" s="26">
        <f>IF($D194="","",IF($K194&lt;&gt;"对外销售","",ROUND($Q194-$S194,0)))</f>
        <v/>
      </c>
      <c r="U194" s="17" t="n"/>
      <c r="V194" s="17" t="n"/>
      <c r="W194" s="24">
        <f>IF($D194="","",IF($E194="※编码不在物料档案里","※物料编码不在档案里",IF(N($J194)&lt;=0,"※出库数量要大于 0",IF($K194="","※没填去向类型",IF($L194="","※没填去向矿区",IF(AND($C194&lt;&gt;"",$C194&lt;=结账锁),"※日期早于已结账截止日，不能再录",IF(AND($K194="自用消耗",COUNTIF({"一矿区";"二矿区"},$L194)=0),"※自用消耗的去向只能是一矿区或二矿区",IF(AND($K194="对外销售",COUNTIF({"三矿区";"六矿区"},$L194)=0),"※对外销售的去向只能是三矿区或六矿区",IF(AND($K194="对外销售",ROUND($Q194,0)=0),"※外销却没有售价，请填实际售价",IF(AND($K194="对外销售",$T194&lt;&gt;"",$T194&lt;0),"※这一笔外销是亏的，请核对售价",IF(IFERROR(VLOOKUP($D194,库存台账!$A$5:$Y$1204,24,0),0)&lt;-0.001,"※这个物料账面已经变成负数了，查一下是不是漏记入库","")))))))))))</f>
        <v/>
      </c>
    </row>
    <row r="195">
      <c r="A195" s="24">
        <f>IF($D195="","",COUNTA($D$4:$D195))</f>
        <v/>
      </c>
      <c r="B195" s="17" t="n"/>
      <c r="C195" s="30" t="n"/>
      <c r="D195" s="17" t="n"/>
      <c r="E195" s="24">
        <f>IF($D195="","",IFERROR(VLOOKUP($D195,物料档案!$A$4:$P$1203,3,0),"※编码不在物料档案里"))</f>
        <v/>
      </c>
      <c r="F195" s="24">
        <f>IF($D195="","",IFERROR(VLOOKUP($D195,物料档案!$A$4:$P$1203,4,0),"※编码不在物料档案里"))</f>
        <v/>
      </c>
      <c r="G195" s="24">
        <f>IF($D195="","",IFERROR(VLOOKUP($D195,物料档案!$A$4:$P$1203,5,0),"※编码不在物料档案里"))</f>
        <v/>
      </c>
      <c r="H195" s="24">
        <f>IF($D195="","",IFERROR(VLOOKUP($D195,物料档案!$A$4:$P$1203,2,0),"※编码不在物料档案里"))</f>
        <v/>
      </c>
      <c r="I195" s="24">
        <f>IF($D195="","",IFERROR(VLOOKUP($D195,物料档案!$A$4:$P$1203,6,0),"※编码不在物料档案里"))</f>
        <v/>
      </c>
      <c r="J195" s="23" t="n"/>
      <c r="K195" s="17" t="n"/>
      <c r="L195" s="17" t="n"/>
      <c r="M195" s="17" t="n"/>
      <c r="N195" s="17" t="n"/>
      <c r="O195" s="26">
        <f>IF($D195="","",IFERROR(VLOOKUP($D195,物料档案!$A$4:$P$1203,10,0),0))</f>
        <v/>
      </c>
      <c r="P195" s="32" t="n"/>
      <c r="Q195" s="26">
        <f>IF($D195="","",IF($K195&lt;&gt;"对外销售",0,ROUND(N($J195)*IF($P195="",N($O195),N($P195)),0)))</f>
        <v/>
      </c>
      <c r="R195" s="26">
        <f>IF($D195="","",IFERROR(VLOOKUP($D195,库存台账!$A$5:$Y$1204,11,0),0))</f>
        <v/>
      </c>
      <c r="S195" s="26">
        <f>IF($D195="","",ROUND(N($J195)*N($R195),0))</f>
        <v/>
      </c>
      <c r="T195" s="26">
        <f>IF($D195="","",IF($K195&lt;&gt;"对外销售","",ROUND($Q195-$S195,0)))</f>
        <v/>
      </c>
      <c r="U195" s="17" t="n"/>
      <c r="V195" s="17" t="n"/>
      <c r="W195" s="24">
        <f>IF($D195="","",IF($E195="※编码不在物料档案里","※物料编码不在档案里",IF(N($J195)&lt;=0,"※出库数量要大于 0",IF($K195="","※没填去向类型",IF($L195="","※没填去向矿区",IF(AND($C195&lt;&gt;"",$C195&lt;=结账锁),"※日期早于已结账截止日，不能再录",IF(AND($K195="自用消耗",COUNTIF({"一矿区";"二矿区"},$L195)=0),"※自用消耗的去向只能是一矿区或二矿区",IF(AND($K195="对外销售",COUNTIF({"三矿区";"六矿区"},$L195)=0),"※对外销售的去向只能是三矿区或六矿区",IF(AND($K195="对外销售",ROUND($Q195,0)=0),"※外销却没有售价，请填实际售价",IF(AND($K195="对外销售",$T195&lt;&gt;"",$T195&lt;0),"※这一笔外销是亏的，请核对售价",IF(IFERROR(VLOOKUP($D195,库存台账!$A$5:$Y$1204,24,0),0)&lt;-0.001,"※这个物料账面已经变成负数了，查一下是不是漏记入库","")))))))))))</f>
        <v/>
      </c>
    </row>
    <row r="196">
      <c r="A196" s="24">
        <f>IF($D196="","",COUNTA($D$4:$D196))</f>
        <v/>
      </c>
      <c r="B196" s="17" t="n"/>
      <c r="C196" s="30" t="n"/>
      <c r="D196" s="17" t="n"/>
      <c r="E196" s="24">
        <f>IF($D196="","",IFERROR(VLOOKUP($D196,物料档案!$A$4:$P$1203,3,0),"※编码不在物料档案里"))</f>
        <v/>
      </c>
      <c r="F196" s="24">
        <f>IF($D196="","",IFERROR(VLOOKUP($D196,物料档案!$A$4:$P$1203,4,0),"※编码不在物料档案里"))</f>
        <v/>
      </c>
      <c r="G196" s="24">
        <f>IF($D196="","",IFERROR(VLOOKUP($D196,物料档案!$A$4:$P$1203,5,0),"※编码不在物料档案里"))</f>
        <v/>
      </c>
      <c r="H196" s="24">
        <f>IF($D196="","",IFERROR(VLOOKUP($D196,物料档案!$A$4:$P$1203,2,0),"※编码不在物料档案里"))</f>
        <v/>
      </c>
      <c r="I196" s="24">
        <f>IF($D196="","",IFERROR(VLOOKUP($D196,物料档案!$A$4:$P$1203,6,0),"※编码不在物料档案里"))</f>
        <v/>
      </c>
      <c r="J196" s="23" t="n"/>
      <c r="K196" s="17" t="n"/>
      <c r="L196" s="17" t="n"/>
      <c r="M196" s="17" t="n"/>
      <c r="N196" s="17" t="n"/>
      <c r="O196" s="26">
        <f>IF($D196="","",IFERROR(VLOOKUP($D196,物料档案!$A$4:$P$1203,10,0),0))</f>
        <v/>
      </c>
      <c r="P196" s="32" t="n"/>
      <c r="Q196" s="26">
        <f>IF($D196="","",IF($K196&lt;&gt;"对外销售",0,ROUND(N($J196)*IF($P196="",N($O196),N($P196)),0)))</f>
        <v/>
      </c>
      <c r="R196" s="26">
        <f>IF($D196="","",IFERROR(VLOOKUP($D196,库存台账!$A$5:$Y$1204,11,0),0))</f>
        <v/>
      </c>
      <c r="S196" s="26">
        <f>IF($D196="","",ROUND(N($J196)*N($R196),0))</f>
        <v/>
      </c>
      <c r="T196" s="26">
        <f>IF($D196="","",IF($K196&lt;&gt;"对外销售","",ROUND($Q196-$S196,0)))</f>
        <v/>
      </c>
      <c r="U196" s="17" t="n"/>
      <c r="V196" s="17" t="n"/>
      <c r="W196" s="24">
        <f>IF($D196="","",IF($E196="※编码不在物料档案里","※物料编码不在档案里",IF(N($J196)&lt;=0,"※出库数量要大于 0",IF($K196="","※没填去向类型",IF($L196="","※没填去向矿区",IF(AND($C196&lt;&gt;"",$C196&lt;=结账锁),"※日期早于已结账截止日，不能再录",IF(AND($K196="自用消耗",COUNTIF({"一矿区";"二矿区"},$L196)=0),"※自用消耗的去向只能是一矿区或二矿区",IF(AND($K196="对外销售",COUNTIF({"三矿区";"六矿区"},$L196)=0),"※对外销售的去向只能是三矿区或六矿区",IF(AND($K196="对外销售",ROUND($Q196,0)=0),"※外销却没有售价，请填实际售价",IF(AND($K196="对外销售",$T196&lt;&gt;"",$T196&lt;0),"※这一笔外销是亏的，请核对售价",IF(IFERROR(VLOOKUP($D196,库存台账!$A$5:$Y$1204,24,0),0)&lt;-0.001,"※这个物料账面已经变成负数了，查一下是不是漏记入库","")))))))))))</f>
        <v/>
      </c>
    </row>
    <row r="197">
      <c r="A197" s="24">
        <f>IF($D197="","",COUNTA($D$4:$D197))</f>
        <v/>
      </c>
      <c r="B197" s="17" t="n"/>
      <c r="C197" s="30" t="n"/>
      <c r="D197" s="17" t="n"/>
      <c r="E197" s="24">
        <f>IF($D197="","",IFERROR(VLOOKUP($D197,物料档案!$A$4:$P$1203,3,0),"※编码不在物料档案里"))</f>
        <v/>
      </c>
      <c r="F197" s="24">
        <f>IF($D197="","",IFERROR(VLOOKUP($D197,物料档案!$A$4:$P$1203,4,0),"※编码不在物料档案里"))</f>
        <v/>
      </c>
      <c r="G197" s="24">
        <f>IF($D197="","",IFERROR(VLOOKUP($D197,物料档案!$A$4:$P$1203,5,0),"※编码不在物料档案里"))</f>
        <v/>
      </c>
      <c r="H197" s="24">
        <f>IF($D197="","",IFERROR(VLOOKUP($D197,物料档案!$A$4:$P$1203,2,0),"※编码不在物料档案里"))</f>
        <v/>
      </c>
      <c r="I197" s="24">
        <f>IF($D197="","",IFERROR(VLOOKUP($D197,物料档案!$A$4:$P$1203,6,0),"※编码不在物料档案里"))</f>
        <v/>
      </c>
      <c r="J197" s="23" t="n"/>
      <c r="K197" s="17" t="n"/>
      <c r="L197" s="17" t="n"/>
      <c r="M197" s="17" t="n"/>
      <c r="N197" s="17" t="n"/>
      <c r="O197" s="26">
        <f>IF($D197="","",IFERROR(VLOOKUP($D197,物料档案!$A$4:$P$1203,10,0),0))</f>
        <v/>
      </c>
      <c r="P197" s="32" t="n"/>
      <c r="Q197" s="26">
        <f>IF($D197="","",IF($K197&lt;&gt;"对外销售",0,ROUND(N($J197)*IF($P197="",N($O197),N($P197)),0)))</f>
        <v/>
      </c>
      <c r="R197" s="26">
        <f>IF($D197="","",IFERROR(VLOOKUP($D197,库存台账!$A$5:$Y$1204,11,0),0))</f>
        <v/>
      </c>
      <c r="S197" s="26">
        <f>IF($D197="","",ROUND(N($J197)*N($R197),0))</f>
        <v/>
      </c>
      <c r="T197" s="26">
        <f>IF($D197="","",IF($K197&lt;&gt;"对外销售","",ROUND($Q197-$S197,0)))</f>
        <v/>
      </c>
      <c r="U197" s="17" t="n"/>
      <c r="V197" s="17" t="n"/>
      <c r="W197" s="24">
        <f>IF($D197="","",IF($E197="※编码不在物料档案里","※物料编码不在档案里",IF(N($J197)&lt;=0,"※出库数量要大于 0",IF($K197="","※没填去向类型",IF($L197="","※没填去向矿区",IF(AND($C197&lt;&gt;"",$C197&lt;=结账锁),"※日期早于已结账截止日，不能再录",IF(AND($K197="自用消耗",COUNTIF({"一矿区";"二矿区"},$L197)=0),"※自用消耗的去向只能是一矿区或二矿区",IF(AND($K197="对外销售",COUNTIF({"三矿区";"六矿区"},$L197)=0),"※对外销售的去向只能是三矿区或六矿区",IF(AND($K197="对外销售",ROUND($Q197,0)=0),"※外销却没有售价，请填实际售价",IF(AND($K197="对外销售",$T197&lt;&gt;"",$T197&lt;0),"※这一笔外销是亏的，请核对售价",IF(IFERROR(VLOOKUP($D197,库存台账!$A$5:$Y$1204,24,0),0)&lt;-0.001,"※这个物料账面已经变成负数了，查一下是不是漏记入库","")))))))))))</f>
        <v/>
      </c>
    </row>
    <row r="198">
      <c r="A198" s="24">
        <f>IF($D198="","",COUNTA($D$4:$D198))</f>
        <v/>
      </c>
      <c r="B198" s="17" t="n"/>
      <c r="C198" s="30" t="n"/>
      <c r="D198" s="17" t="n"/>
      <c r="E198" s="24">
        <f>IF($D198="","",IFERROR(VLOOKUP($D198,物料档案!$A$4:$P$1203,3,0),"※编码不在物料档案里"))</f>
        <v/>
      </c>
      <c r="F198" s="24">
        <f>IF($D198="","",IFERROR(VLOOKUP($D198,物料档案!$A$4:$P$1203,4,0),"※编码不在物料档案里"))</f>
        <v/>
      </c>
      <c r="G198" s="24">
        <f>IF($D198="","",IFERROR(VLOOKUP($D198,物料档案!$A$4:$P$1203,5,0),"※编码不在物料档案里"))</f>
        <v/>
      </c>
      <c r="H198" s="24">
        <f>IF($D198="","",IFERROR(VLOOKUP($D198,物料档案!$A$4:$P$1203,2,0),"※编码不在物料档案里"))</f>
        <v/>
      </c>
      <c r="I198" s="24">
        <f>IF($D198="","",IFERROR(VLOOKUP($D198,物料档案!$A$4:$P$1203,6,0),"※编码不在物料档案里"))</f>
        <v/>
      </c>
      <c r="J198" s="23" t="n"/>
      <c r="K198" s="17" t="n"/>
      <c r="L198" s="17" t="n"/>
      <c r="M198" s="17" t="n"/>
      <c r="N198" s="17" t="n"/>
      <c r="O198" s="26">
        <f>IF($D198="","",IFERROR(VLOOKUP($D198,物料档案!$A$4:$P$1203,10,0),0))</f>
        <v/>
      </c>
      <c r="P198" s="32" t="n"/>
      <c r="Q198" s="26">
        <f>IF($D198="","",IF($K198&lt;&gt;"对外销售",0,ROUND(N($J198)*IF($P198="",N($O198),N($P198)),0)))</f>
        <v/>
      </c>
      <c r="R198" s="26">
        <f>IF($D198="","",IFERROR(VLOOKUP($D198,库存台账!$A$5:$Y$1204,11,0),0))</f>
        <v/>
      </c>
      <c r="S198" s="26">
        <f>IF($D198="","",ROUND(N($J198)*N($R198),0))</f>
        <v/>
      </c>
      <c r="T198" s="26">
        <f>IF($D198="","",IF($K198&lt;&gt;"对外销售","",ROUND($Q198-$S198,0)))</f>
        <v/>
      </c>
      <c r="U198" s="17" t="n"/>
      <c r="V198" s="17" t="n"/>
      <c r="W198" s="24">
        <f>IF($D198="","",IF($E198="※编码不在物料档案里","※物料编码不在档案里",IF(N($J198)&lt;=0,"※出库数量要大于 0",IF($K198="","※没填去向类型",IF($L198="","※没填去向矿区",IF(AND($C198&lt;&gt;"",$C198&lt;=结账锁),"※日期早于已结账截止日，不能再录",IF(AND($K198="自用消耗",COUNTIF({"一矿区";"二矿区"},$L198)=0),"※自用消耗的去向只能是一矿区或二矿区",IF(AND($K198="对外销售",COUNTIF({"三矿区";"六矿区"},$L198)=0),"※对外销售的去向只能是三矿区或六矿区",IF(AND($K198="对外销售",ROUND($Q198,0)=0),"※外销却没有售价，请填实际售价",IF(AND($K198="对外销售",$T198&lt;&gt;"",$T198&lt;0),"※这一笔外销是亏的，请核对售价",IF(IFERROR(VLOOKUP($D198,库存台账!$A$5:$Y$1204,24,0),0)&lt;-0.001,"※这个物料账面已经变成负数了，查一下是不是漏记入库","")))))))))))</f>
        <v/>
      </c>
    </row>
    <row r="199">
      <c r="A199" s="24">
        <f>IF($D199="","",COUNTA($D$4:$D199))</f>
        <v/>
      </c>
      <c r="B199" s="17" t="n"/>
      <c r="C199" s="30" t="n"/>
      <c r="D199" s="17" t="n"/>
      <c r="E199" s="24">
        <f>IF($D199="","",IFERROR(VLOOKUP($D199,物料档案!$A$4:$P$1203,3,0),"※编码不在物料档案里"))</f>
        <v/>
      </c>
      <c r="F199" s="24">
        <f>IF($D199="","",IFERROR(VLOOKUP($D199,物料档案!$A$4:$P$1203,4,0),"※编码不在物料档案里"))</f>
        <v/>
      </c>
      <c r="G199" s="24">
        <f>IF($D199="","",IFERROR(VLOOKUP($D199,物料档案!$A$4:$P$1203,5,0),"※编码不在物料档案里"))</f>
        <v/>
      </c>
      <c r="H199" s="24">
        <f>IF($D199="","",IFERROR(VLOOKUP($D199,物料档案!$A$4:$P$1203,2,0),"※编码不在物料档案里"))</f>
        <v/>
      </c>
      <c r="I199" s="24">
        <f>IF($D199="","",IFERROR(VLOOKUP($D199,物料档案!$A$4:$P$1203,6,0),"※编码不在物料档案里"))</f>
        <v/>
      </c>
      <c r="J199" s="23" t="n"/>
      <c r="K199" s="17" t="n"/>
      <c r="L199" s="17" t="n"/>
      <c r="M199" s="17" t="n"/>
      <c r="N199" s="17" t="n"/>
      <c r="O199" s="26">
        <f>IF($D199="","",IFERROR(VLOOKUP($D199,物料档案!$A$4:$P$1203,10,0),0))</f>
        <v/>
      </c>
      <c r="P199" s="32" t="n"/>
      <c r="Q199" s="26">
        <f>IF($D199="","",IF($K199&lt;&gt;"对外销售",0,ROUND(N($J199)*IF($P199="",N($O199),N($P199)),0)))</f>
        <v/>
      </c>
      <c r="R199" s="26">
        <f>IF($D199="","",IFERROR(VLOOKUP($D199,库存台账!$A$5:$Y$1204,11,0),0))</f>
        <v/>
      </c>
      <c r="S199" s="26">
        <f>IF($D199="","",ROUND(N($J199)*N($R199),0))</f>
        <v/>
      </c>
      <c r="T199" s="26">
        <f>IF($D199="","",IF($K199&lt;&gt;"对外销售","",ROUND($Q199-$S199,0)))</f>
        <v/>
      </c>
      <c r="U199" s="17" t="n"/>
      <c r="V199" s="17" t="n"/>
      <c r="W199" s="24">
        <f>IF($D199="","",IF($E199="※编码不在物料档案里","※物料编码不在档案里",IF(N($J199)&lt;=0,"※出库数量要大于 0",IF($K199="","※没填去向类型",IF($L199="","※没填去向矿区",IF(AND($C199&lt;&gt;"",$C199&lt;=结账锁),"※日期早于已结账截止日，不能再录",IF(AND($K199="自用消耗",COUNTIF({"一矿区";"二矿区"},$L199)=0),"※自用消耗的去向只能是一矿区或二矿区",IF(AND($K199="对外销售",COUNTIF({"三矿区";"六矿区"},$L199)=0),"※对外销售的去向只能是三矿区或六矿区",IF(AND($K199="对外销售",ROUND($Q199,0)=0),"※外销却没有售价，请填实际售价",IF(AND($K199="对外销售",$T199&lt;&gt;"",$T199&lt;0),"※这一笔外销是亏的，请核对售价",IF(IFERROR(VLOOKUP($D199,库存台账!$A$5:$Y$1204,24,0),0)&lt;-0.001,"※这个物料账面已经变成负数了，查一下是不是漏记入库","")))))))))))</f>
        <v/>
      </c>
    </row>
    <row r="200">
      <c r="A200" s="24">
        <f>IF($D200="","",COUNTA($D$4:$D200))</f>
        <v/>
      </c>
      <c r="B200" s="17" t="n"/>
      <c r="C200" s="30" t="n"/>
      <c r="D200" s="17" t="n"/>
      <c r="E200" s="24">
        <f>IF($D200="","",IFERROR(VLOOKUP($D200,物料档案!$A$4:$P$1203,3,0),"※编码不在物料档案里"))</f>
        <v/>
      </c>
      <c r="F200" s="24">
        <f>IF($D200="","",IFERROR(VLOOKUP($D200,物料档案!$A$4:$P$1203,4,0),"※编码不在物料档案里"))</f>
        <v/>
      </c>
      <c r="G200" s="24">
        <f>IF($D200="","",IFERROR(VLOOKUP($D200,物料档案!$A$4:$P$1203,5,0),"※编码不在物料档案里"))</f>
        <v/>
      </c>
      <c r="H200" s="24">
        <f>IF($D200="","",IFERROR(VLOOKUP($D200,物料档案!$A$4:$P$1203,2,0),"※编码不在物料档案里"))</f>
        <v/>
      </c>
      <c r="I200" s="24">
        <f>IF($D200="","",IFERROR(VLOOKUP($D200,物料档案!$A$4:$P$1203,6,0),"※编码不在物料档案里"))</f>
        <v/>
      </c>
      <c r="J200" s="23" t="n"/>
      <c r="K200" s="17" t="n"/>
      <c r="L200" s="17" t="n"/>
      <c r="M200" s="17" t="n"/>
      <c r="N200" s="17" t="n"/>
      <c r="O200" s="26">
        <f>IF($D200="","",IFERROR(VLOOKUP($D200,物料档案!$A$4:$P$1203,10,0),0))</f>
        <v/>
      </c>
      <c r="P200" s="32" t="n"/>
      <c r="Q200" s="26">
        <f>IF($D200="","",IF($K200&lt;&gt;"对外销售",0,ROUND(N($J200)*IF($P200="",N($O200),N($P200)),0)))</f>
        <v/>
      </c>
      <c r="R200" s="26">
        <f>IF($D200="","",IFERROR(VLOOKUP($D200,库存台账!$A$5:$Y$1204,11,0),0))</f>
        <v/>
      </c>
      <c r="S200" s="26">
        <f>IF($D200="","",ROUND(N($J200)*N($R200),0))</f>
        <v/>
      </c>
      <c r="T200" s="26">
        <f>IF($D200="","",IF($K200&lt;&gt;"对外销售","",ROUND($Q200-$S200,0)))</f>
        <v/>
      </c>
      <c r="U200" s="17" t="n"/>
      <c r="V200" s="17" t="n"/>
      <c r="W200" s="24">
        <f>IF($D200="","",IF($E200="※编码不在物料档案里","※物料编码不在档案里",IF(N($J200)&lt;=0,"※出库数量要大于 0",IF($K200="","※没填去向类型",IF($L200="","※没填去向矿区",IF(AND($C200&lt;&gt;"",$C200&lt;=结账锁),"※日期早于已结账截止日，不能再录",IF(AND($K200="自用消耗",COUNTIF({"一矿区";"二矿区"},$L200)=0),"※自用消耗的去向只能是一矿区或二矿区",IF(AND($K200="对外销售",COUNTIF({"三矿区";"六矿区"},$L200)=0),"※对外销售的去向只能是三矿区或六矿区",IF(AND($K200="对外销售",ROUND($Q200,0)=0),"※外销却没有售价，请填实际售价",IF(AND($K200="对外销售",$T200&lt;&gt;"",$T200&lt;0),"※这一笔外销是亏的，请核对售价",IF(IFERROR(VLOOKUP($D200,库存台账!$A$5:$Y$1204,24,0),0)&lt;-0.001,"※这个物料账面已经变成负数了，查一下是不是漏记入库","")))))))))))</f>
        <v/>
      </c>
    </row>
    <row r="201">
      <c r="A201" s="24">
        <f>IF($D201="","",COUNTA($D$4:$D201))</f>
        <v/>
      </c>
      <c r="B201" s="17" t="n"/>
      <c r="C201" s="30" t="n"/>
      <c r="D201" s="17" t="n"/>
      <c r="E201" s="24">
        <f>IF($D201="","",IFERROR(VLOOKUP($D201,物料档案!$A$4:$P$1203,3,0),"※编码不在物料档案里"))</f>
        <v/>
      </c>
      <c r="F201" s="24">
        <f>IF($D201="","",IFERROR(VLOOKUP($D201,物料档案!$A$4:$P$1203,4,0),"※编码不在物料档案里"))</f>
        <v/>
      </c>
      <c r="G201" s="24">
        <f>IF($D201="","",IFERROR(VLOOKUP($D201,物料档案!$A$4:$P$1203,5,0),"※编码不在物料档案里"))</f>
        <v/>
      </c>
      <c r="H201" s="24">
        <f>IF($D201="","",IFERROR(VLOOKUP($D201,物料档案!$A$4:$P$1203,2,0),"※编码不在物料档案里"))</f>
        <v/>
      </c>
      <c r="I201" s="24">
        <f>IF($D201="","",IFERROR(VLOOKUP($D201,物料档案!$A$4:$P$1203,6,0),"※编码不在物料档案里"))</f>
        <v/>
      </c>
      <c r="J201" s="23" t="n"/>
      <c r="K201" s="17" t="n"/>
      <c r="L201" s="17" t="n"/>
      <c r="M201" s="17" t="n"/>
      <c r="N201" s="17" t="n"/>
      <c r="O201" s="26">
        <f>IF($D201="","",IFERROR(VLOOKUP($D201,物料档案!$A$4:$P$1203,10,0),0))</f>
        <v/>
      </c>
      <c r="P201" s="32" t="n"/>
      <c r="Q201" s="26">
        <f>IF($D201="","",IF($K201&lt;&gt;"对外销售",0,ROUND(N($J201)*IF($P201="",N($O201),N($P201)),0)))</f>
        <v/>
      </c>
      <c r="R201" s="26">
        <f>IF($D201="","",IFERROR(VLOOKUP($D201,库存台账!$A$5:$Y$1204,11,0),0))</f>
        <v/>
      </c>
      <c r="S201" s="26">
        <f>IF($D201="","",ROUND(N($J201)*N($R201),0))</f>
        <v/>
      </c>
      <c r="T201" s="26">
        <f>IF($D201="","",IF($K201&lt;&gt;"对外销售","",ROUND($Q201-$S201,0)))</f>
        <v/>
      </c>
      <c r="U201" s="17" t="n"/>
      <c r="V201" s="17" t="n"/>
      <c r="W201" s="24">
        <f>IF($D201="","",IF($E201="※编码不在物料档案里","※物料编码不在档案里",IF(N($J201)&lt;=0,"※出库数量要大于 0",IF($K201="","※没填去向类型",IF($L201="","※没填去向矿区",IF(AND($C201&lt;&gt;"",$C201&lt;=结账锁),"※日期早于已结账截止日，不能再录",IF(AND($K201="自用消耗",COUNTIF({"一矿区";"二矿区"},$L201)=0),"※自用消耗的去向只能是一矿区或二矿区",IF(AND($K201="对外销售",COUNTIF({"三矿区";"六矿区"},$L201)=0),"※对外销售的去向只能是三矿区或六矿区",IF(AND($K201="对外销售",ROUND($Q201,0)=0),"※外销却没有售价，请填实际售价",IF(AND($K201="对外销售",$T201&lt;&gt;"",$T201&lt;0),"※这一笔外销是亏的，请核对售价",IF(IFERROR(VLOOKUP($D201,库存台账!$A$5:$Y$1204,24,0),0)&lt;-0.001,"※这个物料账面已经变成负数了，查一下是不是漏记入库","")))))))))))</f>
        <v/>
      </c>
    </row>
    <row r="202">
      <c r="A202" s="24">
        <f>IF($D202="","",COUNTA($D$4:$D202))</f>
        <v/>
      </c>
      <c r="B202" s="17" t="n"/>
      <c r="C202" s="30" t="n"/>
      <c r="D202" s="17" t="n"/>
      <c r="E202" s="24">
        <f>IF($D202="","",IFERROR(VLOOKUP($D202,物料档案!$A$4:$P$1203,3,0),"※编码不在物料档案里"))</f>
        <v/>
      </c>
      <c r="F202" s="24">
        <f>IF($D202="","",IFERROR(VLOOKUP($D202,物料档案!$A$4:$P$1203,4,0),"※编码不在物料档案里"))</f>
        <v/>
      </c>
      <c r="G202" s="24">
        <f>IF($D202="","",IFERROR(VLOOKUP($D202,物料档案!$A$4:$P$1203,5,0),"※编码不在物料档案里"))</f>
        <v/>
      </c>
      <c r="H202" s="24">
        <f>IF($D202="","",IFERROR(VLOOKUP($D202,物料档案!$A$4:$P$1203,2,0),"※编码不在物料档案里"))</f>
        <v/>
      </c>
      <c r="I202" s="24">
        <f>IF($D202="","",IFERROR(VLOOKUP($D202,物料档案!$A$4:$P$1203,6,0),"※编码不在物料档案里"))</f>
        <v/>
      </c>
      <c r="J202" s="23" t="n"/>
      <c r="K202" s="17" t="n"/>
      <c r="L202" s="17" t="n"/>
      <c r="M202" s="17" t="n"/>
      <c r="N202" s="17" t="n"/>
      <c r="O202" s="26">
        <f>IF($D202="","",IFERROR(VLOOKUP($D202,物料档案!$A$4:$P$1203,10,0),0))</f>
        <v/>
      </c>
      <c r="P202" s="32" t="n"/>
      <c r="Q202" s="26">
        <f>IF($D202="","",IF($K202&lt;&gt;"对外销售",0,ROUND(N($J202)*IF($P202="",N($O202),N($P202)),0)))</f>
        <v/>
      </c>
      <c r="R202" s="26">
        <f>IF($D202="","",IFERROR(VLOOKUP($D202,库存台账!$A$5:$Y$1204,11,0),0))</f>
        <v/>
      </c>
      <c r="S202" s="26">
        <f>IF($D202="","",ROUND(N($J202)*N($R202),0))</f>
        <v/>
      </c>
      <c r="T202" s="26">
        <f>IF($D202="","",IF($K202&lt;&gt;"对外销售","",ROUND($Q202-$S202,0)))</f>
        <v/>
      </c>
      <c r="U202" s="17" t="n"/>
      <c r="V202" s="17" t="n"/>
      <c r="W202" s="24">
        <f>IF($D202="","",IF($E202="※编码不在物料档案里","※物料编码不在档案里",IF(N($J202)&lt;=0,"※出库数量要大于 0",IF($K202="","※没填去向类型",IF($L202="","※没填去向矿区",IF(AND($C202&lt;&gt;"",$C202&lt;=结账锁),"※日期早于已结账截止日，不能再录",IF(AND($K202="自用消耗",COUNTIF({"一矿区";"二矿区"},$L202)=0),"※自用消耗的去向只能是一矿区或二矿区",IF(AND($K202="对外销售",COUNTIF({"三矿区";"六矿区"},$L202)=0),"※对外销售的去向只能是三矿区或六矿区",IF(AND($K202="对外销售",ROUND($Q202,0)=0),"※外销却没有售价，请填实际售价",IF(AND($K202="对外销售",$T202&lt;&gt;"",$T202&lt;0),"※这一笔外销是亏的，请核对售价",IF(IFERROR(VLOOKUP($D202,库存台账!$A$5:$Y$1204,24,0),0)&lt;-0.001,"※这个物料账面已经变成负数了，查一下是不是漏记入库","")))))))))))</f>
        <v/>
      </c>
    </row>
    <row r="203">
      <c r="A203" s="24">
        <f>IF($D203="","",COUNTA($D$4:$D203))</f>
        <v/>
      </c>
      <c r="B203" s="17" t="n"/>
      <c r="C203" s="30" t="n"/>
      <c r="D203" s="17" t="n"/>
      <c r="E203" s="24">
        <f>IF($D203="","",IFERROR(VLOOKUP($D203,物料档案!$A$4:$P$1203,3,0),"※编码不在物料档案里"))</f>
        <v/>
      </c>
      <c r="F203" s="24">
        <f>IF($D203="","",IFERROR(VLOOKUP($D203,物料档案!$A$4:$P$1203,4,0),"※编码不在物料档案里"))</f>
        <v/>
      </c>
      <c r="G203" s="24">
        <f>IF($D203="","",IFERROR(VLOOKUP($D203,物料档案!$A$4:$P$1203,5,0),"※编码不在物料档案里"))</f>
        <v/>
      </c>
      <c r="H203" s="24">
        <f>IF($D203="","",IFERROR(VLOOKUP($D203,物料档案!$A$4:$P$1203,2,0),"※编码不在物料档案里"))</f>
        <v/>
      </c>
      <c r="I203" s="24">
        <f>IF($D203="","",IFERROR(VLOOKUP($D203,物料档案!$A$4:$P$1203,6,0),"※编码不在物料档案里"))</f>
        <v/>
      </c>
      <c r="J203" s="23" t="n"/>
      <c r="K203" s="17" t="n"/>
      <c r="L203" s="17" t="n"/>
      <c r="M203" s="17" t="n"/>
      <c r="N203" s="17" t="n"/>
      <c r="O203" s="26">
        <f>IF($D203="","",IFERROR(VLOOKUP($D203,物料档案!$A$4:$P$1203,10,0),0))</f>
        <v/>
      </c>
      <c r="P203" s="32" t="n"/>
      <c r="Q203" s="26">
        <f>IF($D203="","",IF($K203&lt;&gt;"对外销售",0,ROUND(N($J203)*IF($P203="",N($O203),N($P203)),0)))</f>
        <v/>
      </c>
      <c r="R203" s="26">
        <f>IF($D203="","",IFERROR(VLOOKUP($D203,库存台账!$A$5:$Y$1204,11,0),0))</f>
        <v/>
      </c>
      <c r="S203" s="26">
        <f>IF($D203="","",ROUND(N($J203)*N($R203),0))</f>
        <v/>
      </c>
      <c r="T203" s="26">
        <f>IF($D203="","",IF($K203&lt;&gt;"对外销售","",ROUND($Q203-$S203,0)))</f>
        <v/>
      </c>
      <c r="U203" s="17" t="n"/>
      <c r="V203" s="17" t="n"/>
      <c r="W203" s="24">
        <f>IF($D203="","",IF($E203="※编码不在物料档案里","※物料编码不在档案里",IF(N($J203)&lt;=0,"※出库数量要大于 0",IF($K203="","※没填去向类型",IF($L203="","※没填去向矿区",IF(AND($C203&lt;&gt;"",$C203&lt;=结账锁),"※日期早于已结账截止日，不能再录",IF(AND($K203="自用消耗",COUNTIF({"一矿区";"二矿区"},$L203)=0),"※自用消耗的去向只能是一矿区或二矿区",IF(AND($K203="对外销售",COUNTIF({"三矿区";"六矿区"},$L203)=0),"※对外销售的去向只能是三矿区或六矿区",IF(AND($K203="对外销售",ROUND($Q203,0)=0),"※外销却没有售价，请填实际售价",IF(AND($K203="对外销售",$T203&lt;&gt;"",$T203&lt;0),"※这一笔外销是亏的，请核对售价",IF(IFERROR(VLOOKUP($D203,库存台账!$A$5:$Y$1204,24,0),0)&lt;-0.001,"※这个物料账面已经变成负数了，查一下是不是漏记入库","")))))))))))</f>
        <v/>
      </c>
    </row>
    <row r="204">
      <c r="A204" s="24">
        <f>IF($D204="","",COUNTA($D$4:$D204))</f>
        <v/>
      </c>
      <c r="B204" s="17" t="n"/>
      <c r="C204" s="30" t="n"/>
      <c r="D204" s="17" t="n"/>
      <c r="E204" s="24">
        <f>IF($D204="","",IFERROR(VLOOKUP($D204,物料档案!$A$4:$P$1203,3,0),"※编码不在物料档案里"))</f>
        <v/>
      </c>
      <c r="F204" s="24">
        <f>IF($D204="","",IFERROR(VLOOKUP($D204,物料档案!$A$4:$P$1203,4,0),"※编码不在物料档案里"))</f>
        <v/>
      </c>
      <c r="G204" s="24">
        <f>IF($D204="","",IFERROR(VLOOKUP($D204,物料档案!$A$4:$P$1203,5,0),"※编码不在物料档案里"))</f>
        <v/>
      </c>
      <c r="H204" s="24">
        <f>IF($D204="","",IFERROR(VLOOKUP($D204,物料档案!$A$4:$P$1203,2,0),"※编码不在物料档案里"))</f>
        <v/>
      </c>
      <c r="I204" s="24">
        <f>IF($D204="","",IFERROR(VLOOKUP($D204,物料档案!$A$4:$P$1203,6,0),"※编码不在物料档案里"))</f>
        <v/>
      </c>
      <c r="J204" s="23" t="n"/>
      <c r="K204" s="17" t="n"/>
      <c r="L204" s="17" t="n"/>
      <c r="M204" s="17" t="n"/>
      <c r="N204" s="17" t="n"/>
      <c r="O204" s="26">
        <f>IF($D204="","",IFERROR(VLOOKUP($D204,物料档案!$A$4:$P$1203,10,0),0))</f>
        <v/>
      </c>
      <c r="P204" s="32" t="n"/>
      <c r="Q204" s="26">
        <f>IF($D204="","",IF($K204&lt;&gt;"对外销售",0,ROUND(N($J204)*IF($P204="",N($O204),N($P204)),0)))</f>
        <v/>
      </c>
      <c r="R204" s="26">
        <f>IF($D204="","",IFERROR(VLOOKUP($D204,库存台账!$A$5:$Y$1204,11,0),0))</f>
        <v/>
      </c>
      <c r="S204" s="26">
        <f>IF($D204="","",ROUND(N($J204)*N($R204),0))</f>
        <v/>
      </c>
      <c r="T204" s="26">
        <f>IF($D204="","",IF($K204&lt;&gt;"对外销售","",ROUND($Q204-$S204,0)))</f>
        <v/>
      </c>
      <c r="U204" s="17" t="n"/>
      <c r="V204" s="17" t="n"/>
      <c r="W204" s="24">
        <f>IF($D204="","",IF($E204="※编码不在物料档案里","※物料编码不在档案里",IF(N($J204)&lt;=0,"※出库数量要大于 0",IF($K204="","※没填去向类型",IF($L204="","※没填去向矿区",IF(AND($C204&lt;&gt;"",$C204&lt;=结账锁),"※日期早于已结账截止日，不能再录",IF(AND($K204="自用消耗",COUNTIF({"一矿区";"二矿区"},$L204)=0),"※自用消耗的去向只能是一矿区或二矿区",IF(AND($K204="对外销售",COUNTIF({"三矿区";"六矿区"},$L204)=0),"※对外销售的去向只能是三矿区或六矿区",IF(AND($K204="对外销售",ROUND($Q204,0)=0),"※外销却没有售价，请填实际售价",IF(AND($K204="对外销售",$T204&lt;&gt;"",$T204&lt;0),"※这一笔外销是亏的，请核对售价",IF(IFERROR(VLOOKUP($D204,库存台账!$A$5:$Y$1204,24,0),0)&lt;-0.001,"※这个物料账面已经变成负数了，查一下是不是漏记入库","")))))))))))</f>
        <v/>
      </c>
    </row>
    <row r="205">
      <c r="A205" s="24">
        <f>IF($D205="","",COUNTA($D$4:$D205))</f>
        <v/>
      </c>
      <c r="B205" s="17" t="n"/>
      <c r="C205" s="30" t="n"/>
      <c r="D205" s="17" t="n"/>
      <c r="E205" s="24">
        <f>IF($D205="","",IFERROR(VLOOKUP($D205,物料档案!$A$4:$P$1203,3,0),"※编码不在物料档案里"))</f>
        <v/>
      </c>
      <c r="F205" s="24">
        <f>IF($D205="","",IFERROR(VLOOKUP($D205,物料档案!$A$4:$P$1203,4,0),"※编码不在物料档案里"))</f>
        <v/>
      </c>
      <c r="G205" s="24">
        <f>IF($D205="","",IFERROR(VLOOKUP($D205,物料档案!$A$4:$P$1203,5,0),"※编码不在物料档案里"))</f>
        <v/>
      </c>
      <c r="H205" s="24">
        <f>IF($D205="","",IFERROR(VLOOKUP($D205,物料档案!$A$4:$P$1203,2,0),"※编码不在物料档案里"))</f>
        <v/>
      </c>
      <c r="I205" s="24">
        <f>IF($D205="","",IFERROR(VLOOKUP($D205,物料档案!$A$4:$P$1203,6,0),"※编码不在物料档案里"))</f>
        <v/>
      </c>
      <c r="J205" s="23" t="n"/>
      <c r="K205" s="17" t="n"/>
      <c r="L205" s="17" t="n"/>
      <c r="M205" s="17" t="n"/>
      <c r="N205" s="17" t="n"/>
      <c r="O205" s="26">
        <f>IF($D205="","",IFERROR(VLOOKUP($D205,物料档案!$A$4:$P$1203,10,0),0))</f>
        <v/>
      </c>
      <c r="P205" s="32" t="n"/>
      <c r="Q205" s="26">
        <f>IF($D205="","",IF($K205&lt;&gt;"对外销售",0,ROUND(N($J205)*IF($P205="",N($O205),N($P205)),0)))</f>
        <v/>
      </c>
      <c r="R205" s="26">
        <f>IF($D205="","",IFERROR(VLOOKUP($D205,库存台账!$A$5:$Y$1204,11,0),0))</f>
        <v/>
      </c>
      <c r="S205" s="26">
        <f>IF($D205="","",ROUND(N($J205)*N($R205),0))</f>
        <v/>
      </c>
      <c r="T205" s="26">
        <f>IF($D205="","",IF($K205&lt;&gt;"对外销售","",ROUND($Q205-$S205,0)))</f>
        <v/>
      </c>
      <c r="U205" s="17" t="n"/>
      <c r="V205" s="17" t="n"/>
      <c r="W205" s="24">
        <f>IF($D205="","",IF($E205="※编码不在物料档案里","※物料编码不在档案里",IF(N($J205)&lt;=0,"※出库数量要大于 0",IF($K205="","※没填去向类型",IF($L205="","※没填去向矿区",IF(AND($C205&lt;&gt;"",$C205&lt;=结账锁),"※日期早于已结账截止日，不能再录",IF(AND($K205="自用消耗",COUNTIF({"一矿区";"二矿区"},$L205)=0),"※自用消耗的去向只能是一矿区或二矿区",IF(AND($K205="对外销售",COUNTIF({"三矿区";"六矿区"},$L205)=0),"※对外销售的去向只能是三矿区或六矿区",IF(AND($K205="对外销售",ROUND($Q205,0)=0),"※外销却没有售价，请填实际售价",IF(AND($K205="对外销售",$T205&lt;&gt;"",$T205&lt;0),"※这一笔外销是亏的，请核对售价",IF(IFERROR(VLOOKUP($D205,库存台账!$A$5:$Y$1204,24,0),0)&lt;-0.001,"※这个物料账面已经变成负数了，查一下是不是漏记入库","")))))))))))</f>
        <v/>
      </c>
    </row>
    <row r="206">
      <c r="A206" s="24">
        <f>IF($D206="","",COUNTA($D$4:$D206))</f>
        <v/>
      </c>
      <c r="B206" s="17" t="n"/>
      <c r="C206" s="30" t="n"/>
      <c r="D206" s="17" t="n"/>
      <c r="E206" s="24">
        <f>IF($D206="","",IFERROR(VLOOKUP($D206,物料档案!$A$4:$P$1203,3,0),"※编码不在物料档案里"))</f>
        <v/>
      </c>
      <c r="F206" s="24">
        <f>IF($D206="","",IFERROR(VLOOKUP($D206,物料档案!$A$4:$P$1203,4,0),"※编码不在物料档案里"))</f>
        <v/>
      </c>
      <c r="G206" s="24">
        <f>IF($D206="","",IFERROR(VLOOKUP($D206,物料档案!$A$4:$P$1203,5,0),"※编码不在物料档案里"))</f>
        <v/>
      </c>
      <c r="H206" s="24">
        <f>IF($D206="","",IFERROR(VLOOKUP($D206,物料档案!$A$4:$P$1203,2,0),"※编码不在物料档案里"))</f>
        <v/>
      </c>
      <c r="I206" s="24">
        <f>IF($D206="","",IFERROR(VLOOKUP($D206,物料档案!$A$4:$P$1203,6,0),"※编码不在物料档案里"))</f>
        <v/>
      </c>
      <c r="J206" s="23" t="n"/>
      <c r="K206" s="17" t="n"/>
      <c r="L206" s="17" t="n"/>
      <c r="M206" s="17" t="n"/>
      <c r="N206" s="17" t="n"/>
      <c r="O206" s="26">
        <f>IF($D206="","",IFERROR(VLOOKUP($D206,物料档案!$A$4:$P$1203,10,0),0))</f>
        <v/>
      </c>
      <c r="P206" s="32" t="n"/>
      <c r="Q206" s="26">
        <f>IF($D206="","",IF($K206&lt;&gt;"对外销售",0,ROUND(N($J206)*IF($P206="",N($O206),N($P206)),0)))</f>
        <v/>
      </c>
      <c r="R206" s="26">
        <f>IF($D206="","",IFERROR(VLOOKUP($D206,库存台账!$A$5:$Y$1204,11,0),0))</f>
        <v/>
      </c>
      <c r="S206" s="26">
        <f>IF($D206="","",ROUND(N($J206)*N($R206),0))</f>
        <v/>
      </c>
      <c r="T206" s="26">
        <f>IF($D206="","",IF($K206&lt;&gt;"对外销售","",ROUND($Q206-$S206,0)))</f>
        <v/>
      </c>
      <c r="U206" s="17" t="n"/>
      <c r="V206" s="17" t="n"/>
      <c r="W206" s="24">
        <f>IF($D206="","",IF($E206="※编码不在物料档案里","※物料编码不在档案里",IF(N($J206)&lt;=0,"※出库数量要大于 0",IF($K206="","※没填去向类型",IF($L206="","※没填去向矿区",IF(AND($C206&lt;&gt;"",$C206&lt;=结账锁),"※日期早于已结账截止日，不能再录",IF(AND($K206="自用消耗",COUNTIF({"一矿区";"二矿区"},$L206)=0),"※自用消耗的去向只能是一矿区或二矿区",IF(AND($K206="对外销售",COUNTIF({"三矿区";"六矿区"},$L206)=0),"※对外销售的去向只能是三矿区或六矿区",IF(AND($K206="对外销售",ROUND($Q206,0)=0),"※外销却没有售价，请填实际售价",IF(AND($K206="对外销售",$T206&lt;&gt;"",$T206&lt;0),"※这一笔外销是亏的，请核对售价",IF(IFERROR(VLOOKUP($D206,库存台账!$A$5:$Y$1204,24,0),0)&lt;-0.001,"※这个物料账面已经变成负数了，查一下是不是漏记入库","")))))))))))</f>
        <v/>
      </c>
    </row>
    <row r="207">
      <c r="A207" s="24">
        <f>IF($D207="","",COUNTA($D$4:$D207))</f>
        <v/>
      </c>
      <c r="B207" s="17" t="n"/>
      <c r="C207" s="30" t="n"/>
      <c r="D207" s="17" t="n"/>
      <c r="E207" s="24">
        <f>IF($D207="","",IFERROR(VLOOKUP($D207,物料档案!$A$4:$P$1203,3,0),"※编码不在物料档案里"))</f>
        <v/>
      </c>
      <c r="F207" s="24">
        <f>IF($D207="","",IFERROR(VLOOKUP($D207,物料档案!$A$4:$P$1203,4,0),"※编码不在物料档案里"))</f>
        <v/>
      </c>
      <c r="G207" s="24">
        <f>IF($D207="","",IFERROR(VLOOKUP($D207,物料档案!$A$4:$P$1203,5,0),"※编码不在物料档案里"))</f>
        <v/>
      </c>
      <c r="H207" s="24">
        <f>IF($D207="","",IFERROR(VLOOKUP($D207,物料档案!$A$4:$P$1203,2,0),"※编码不在物料档案里"))</f>
        <v/>
      </c>
      <c r="I207" s="24">
        <f>IF($D207="","",IFERROR(VLOOKUP($D207,物料档案!$A$4:$P$1203,6,0),"※编码不在物料档案里"))</f>
        <v/>
      </c>
      <c r="J207" s="23" t="n"/>
      <c r="K207" s="17" t="n"/>
      <c r="L207" s="17" t="n"/>
      <c r="M207" s="17" t="n"/>
      <c r="N207" s="17" t="n"/>
      <c r="O207" s="26">
        <f>IF($D207="","",IFERROR(VLOOKUP($D207,物料档案!$A$4:$P$1203,10,0),0))</f>
        <v/>
      </c>
      <c r="P207" s="32" t="n"/>
      <c r="Q207" s="26">
        <f>IF($D207="","",IF($K207&lt;&gt;"对外销售",0,ROUND(N($J207)*IF($P207="",N($O207),N($P207)),0)))</f>
        <v/>
      </c>
      <c r="R207" s="26">
        <f>IF($D207="","",IFERROR(VLOOKUP($D207,库存台账!$A$5:$Y$1204,11,0),0))</f>
        <v/>
      </c>
      <c r="S207" s="26">
        <f>IF($D207="","",ROUND(N($J207)*N($R207),0))</f>
        <v/>
      </c>
      <c r="T207" s="26">
        <f>IF($D207="","",IF($K207&lt;&gt;"对外销售","",ROUND($Q207-$S207,0)))</f>
        <v/>
      </c>
      <c r="U207" s="17" t="n"/>
      <c r="V207" s="17" t="n"/>
      <c r="W207" s="24">
        <f>IF($D207="","",IF($E207="※编码不在物料档案里","※物料编码不在档案里",IF(N($J207)&lt;=0,"※出库数量要大于 0",IF($K207="","※没填去向类型",IF($L207="","※没填去向矿区",IF(AND($C207&lt;&gt;"",$C207&lt;=结账锁),"※日期早于已结账截止日，不能再录",IF(AND($K207="自用消耗",COUNTIF({"一矿区";"二矿区"},$L207)=0),"※自用消耗的去向只能是一矿区或二矿区",IF(AND($K207="对外销售",COUNTIF({"三矿区";"六矿区"},$L207)=0),"※对外销售的去向只能是三矿区或六矿区",IF(AND($K207="对外销售",ROUND($Q207,0)=0),"※外销却没有售价，请填实际售价",IF(AND($K207="对外销售",$T207&lt;&gt;"",$T207&lt;0),"※这一笔外销是亏的，请核对售价",IF(IFERROR(VLOOKUP($D207,库存台账!$A$5:$Y$1204,24,0),0)&lt;-0.001,"※这个物料账面已经变成负数了，查一下是不是漏记入库","")))))))))))</f>
        <v/>
      </c>
    </row>
    <row r="208">
      <c r="A208" s="24">
        <f>IF($D208="","",COUNTA($D$4:$D208))</f>
        <v/>
      </c>
      <c r="B208" s="17" t="n"/>
      <c r="C208" s="30" t="n"/>
      <c r="D208" s="17" t="n"/>
      <c r="E208" s="24">
        <f>IF($D208="","",IFERROR(VLOOKUP($D208,物料档案!$A$4:$P$1203,3,0),"※编码不在物料档案里"))</f>
        <v/>
      </c>
      <c r="F208" s="24">
        <f>IF($D208="","",IFERROR(VLOOKUP($D208,物料档案!$A$4:$P$1203,4,0),"※编码不在物料档案里"))</f>
        <v/>
      </c>
      <c r="G208" s="24">
        <f>IF($D208="","",IFERROR(VLOOKUP($D208,物料档案!$A$4:$P$1203,5,0),"※编码不在物料档案里"))</f>
        <v/>
      </c>
      <c r="H208" s="24">
        <f>IF($D208="","",IFERROR(VLOOKUP($D208,物料档案!$A$4:$P$1203,2,0),"※编码不在物料档案里"))</f>
        <v/>
      </c>
      <c r="I208" s="24">
        <f>IF($D208="","",IFERROR(VLOOKUP($D208,物料档案!$A$4:$P$1203,6,0),"※编码不在物料档案里"))</f>
        <v/>
      </c>
      <c r="J208" s="23" t="n"/>
      <c r="K208" s="17" t="n"/>
      <c r="L208" s="17" t="n"/>
      <c r="M208" s="17" t="n"/>
      <c r="N208" s="17" t="n"/>
      <c r="O208" s="26">
        <f>IF($D208="","",IFERROR(VLOOKUP($D208,物料档案!$A$4:$P$1203,10,0),0))</f>
        <v/>
      </c>
      <c r="P208" s="32" t="n"/>
      <c r="Q208" s="26">
        <f>IF($D208="","",IF($K208&lt;&gt;"对外销售",0,ROUND(N($J208)*IF($P208="",N($O208),N($P208)),0)))</f>
        <v/>
      </c>
      <c r="R208" s="26">
        <f>IF($D208="","",IFERROR(VLOOKUP($D208,库存台账!$A$5:$Y$1204,11,0),0))</f>
        <v/>
      </c>
      <c r="S208" s="26">
        <f>IF($D208="","",ROUND(N($J208)*N($R208),0))</f>
        <v/>
      </c>
      <c r="T208" s="26">
        <f>IF($D208="","",IF($K208&lt;&gt;"对外销售","",ROUND($Q208-$S208,0)))</f>
        <v/>
      </c>
      <c r="U208" s="17" t="n"/>
      <c r="V208" s="17" t="n"/>
      <c r="W208" s="24">
        <f>IF($D208="","",IF($E208="※编码不在物料档案里","※物料编码不在档案里",IF(N($J208)&lt;=0,"※出库数量要大于 0",IF($K208="","※没填去向类型",IF($L208="","※没填去向矿区",IF(AND($C208&lt;&gt;"",$C208&lt;=结账锁),"※日期早于已结账截止日，不能再录",IF(AND($K208="自用消耗",COUNTIF({"一矿区";"二矿区"},$L208)=0),"※自用消耗的去向只能是一矿区或二矿区",IF(AND($K208="对外销售",COUNTIF({"三矿区";"六矿区"},$L208)=0),"※对外销售的去向只能是三矿区或六矿区",IF(AND($K208="对外销售",ROUND($Q208,0)=0),"※外销却没有售价，请填实际售价",IF(AND($K208="对外销售",$T208&lt;&gt;"",$T208&lt;0),"※这一笔外销是亏的，请核对售价",IF(IFERROR(VLOOKUP($D208,库存台账!$A$5:$Y$1204,24,0),0)&lt;-0.001,"※这个物料账面已经变成负数了，查一下是不是漏记入库","")))))))))))</f>
        <v/>
      </c>
    </row>
    <row r="209">
      <c r="A209" s="24">
        <f>IF($D209="","",COUNTA($D$4:$D209))</f>
        <v/>
      </c>
      <c r="B209" s="17" t="n"/>
      <c r="C209" s="30" t="n"/>
      <c r="D209" s="17" t="n"/>
      <c r="E209" s="24">
        <f>IF($D209="","",IFERROR(VLOOKUP($D209,物料档案!$A$4:$P$1203,3,0),"※编码不在物料档案里"))</f>
        <v/>
      </c>
      <c r="F209" s="24">
        <f>IF($D209="","",IFERROR(VLOOKUP($D209,物料档案!$A$4:$P$1203,4,0),"※编码不在物料档案里"))</f>
        <v/>
      </c>
      <c r="G209" s="24">
        <f>IF($D209="","",IFERROR(VLOOKUP($D209,物料档案!$A$4:$P$1203,5,0),"※编码不在物料档案里"))</f>
        <v/>
      </c>
      <c r="H209" s="24">
        <f>IF($D209="","",IFERROR(VLOOKUP($D209,物料档案!$A$4:$P$1203,2,0),"※编码不在物料档案里"))</f>
        <v/>
      </c>
      <c r="I209" s="24">
        <f>IF($D209="","",IFERROR(VLOOKUP($D209,物料档案!$A$4:$P$1203,6,0),"※编码不在物料档案里"))</f>
        <v/>
      </c>
      <c r="J209" s="23" t="n"/>
      <c r="K209" s="17" t="n"/>
      <c r="L209" s="17" t="n"/>
      <c r="M209" s="17" t="n"/>
      <c r="N209" s="17" t="n"/>
      <c r="O209" s="26">
        <f>IF($D209="","",IFERROR(VLOOKUP($D209,物料档案!$A$4:$P$1203,10,0),0))</f>
        <v/>
      </c>
      <c r="P209" s="32" t="n"/>
      <c r="Q209" s="26">
        <f>IF($D209="","",IF($K209&lt;&gt;"对外销售",0,ROUND(N($J209)*IF($P209="",N($O209),N($P209)),0)))</f>
        <v/>
      </c>
      <c r="R209" s="26">
        <f>IF($D209="","",IFERROR(VLOOKUP($D209,库存台账!$A$5:$Y$1204,11,0),0))</f>
        <v/>
      </c>
      <c r="S209" s="26">
        <f>IF($D209="","",ROUND(N($J209)*N($R209),0))</f>
        <v/>
      </c>
      <c r="T209" s="26">
        <f>IF($D209="","",IF($K209&lt;&gt;"对外销售","",ROUND($Q209-$S209,0)))</f>
        <v/>
      </c>
      <c r="U209" s="17" t="n"/>
      <c r="V209" s="17" t="n"/>
      <c r="W209" s="24">
        <f>IF($D209="","",IF($E209="※编码不在物料档案里","※物料编码不在档案里",IF(N($J209)&lt;=0,"※出库数量要大于 0",IF($K209="","※没填去向类型",IF($L209="","※没填去向矿区",IF(AND($C209&lt;&gt;"",$C209&lt;=结账锁),"※日期早于已结账截止日，不能再录",IF(AND($K209="自用消耗",COUNTIF({"一矿区";"二矿区"},$L209)=0),"※自用消耗的去向只能是一矿区或二矿区",IF(AND($K209="对外销售",COUNTIF({"三矿区";"六矿区"},$L209)=0),"※对外销售的去向只能是三矿区或六矿区",IF(AND($K209="对外销售",ROUND($Q209,0)=0),"※外销却没有售价，请填实际售价",IF(AND($K209="对外销售",$T209&lt;&gt;"",$T209&lt;0),"※这一笔外销是亏的，请核对售价",IF(IFERROR(VLOOKUP($D209,库存台账!$A$5:$Y$1204,24,0),0)&lt;-0.001,"※这个物料账面已经变成负数了，查一下是不是漏记入库","")))))))))))</f>
        <v/>
      </c>
    </row>
    <row r="210">
      <c r="A210" s="24">
        <f>IF($D210="","",COUNTA($D$4:$D210))</f>
        <v/>
      </c>
      <c r="B210" s="17" t="n"/>
      <c r="C210" s="30" t="n"/>
      <c r="D210" s="17" t="n"/>
      <c r="E210" s="24">
        <f>IF($D210="","",IFERROR(VLOOKUP($D210,物料档案!$A$4:$P$1203,3,0),"※编码不在物料档案里"))</f>
        <v/>
      </c>
      <c r="F210" s="24">
        <f>IF($D210="","",IFERROR(VLOOKUP($D210,物料档案!$A$4:$P$1203,4,0),"※编码不在物料档案里"))</f>
        <v/>
      </c>
      <c r="G210" s="24">
        <f>IF($D210="","",IFERROR(VLOOKUP($D210,物料档案!$A$4:$P$1203,5,0),"※编码不在物料档案里"))</f>
        <v/>
      </c>
      <c r="H210" s="24">
        <f>IF($D210="","",IFERROR(VLOOKUP($D210,物料档案!$A$4:$P$1203,2,0),"※编码不在物料档案里"))</f>
        <v/>
      </c>
      <c r="I210" s="24">
        <f>IF($D210="","",IFERROR(VLOOKUP($D210,物料档案!$A$4:$P$1203,6,0),"※编码不在物料档案里"))</f>
        <v/>
      </c>
      <c r="J210" s="23" t="n"/>
      <c r="K210" s="17" t="n"/>
      <c r="L210" s="17" t="n"/>
      <c r="M210" s="17" t="n"/>
      <c r="N210" s="17" t="n"/>
      <c r="O210" s="26">
        <f>IF($D210="","",IFERROR(VLOOKUP($D210,物料档案!$A$4:$P$1203,10,0),0))</f>
        <v/>
      </c>
      <c r="P210" s="32" t="n"/>
      <c r="Q210" s="26">
        <f>IF($D210="","",IF($K210&lt;&gt;"对外销售",0,ROUND(N($J210)*IF($P210="",N($O210),N($P210)),0)))</f>
        <v/>
      </c>
      <c r="R210" s="26">
        <f>IF($D210="","",IFERROR(VLOOKUP($D210,库存台账!$A$5:$Y$1204,11,0),0))</f>
        <v/>
      </c>
      <c r="S210" s="26">
        <f>IF($D210="","",ROUND(N($J210)*N($R210),0))</f>
        <v/>
      </c>
      <c r="T210" s="26">
        <f>IF($D210="","",IF($K210&lt;&gt;"对外销售","",ROUND($Q210-$S210,0)))</f>
        <v/>
      </c>
      <c r="U210" s="17" t="n"/>
      <c r="V210" s="17" t="n"/>
      <c r="W210" s="24">
        <f>IF($D210="","",IF($E210="※编码不在物料档案里","※物料编码不在档案里",IF(N($J210)&lt;=0,"※出库数量要大于 0",IF($K210="","※没填去向类型",IF($L210="","※没填去向矿区",IF(AND($C210&lt;&gt;"",$C210&lt;=结账锁),"※日期早于已结账截止日，不能再录",IF(AND($K210="自用消耗",COUNTIF({"一矿区";"二矿区"},$L210)=0),"※自用消耗的去向只能是一矿区或二矿区",IF(AND($K210="对外销售",COUNTIF({"三矿区";"六矿区"},$L210)=0),"※对外销售的去向只能是三矿区或六矿区",IF(AND($K210="对外销售",ROUND($Q210,0)=0),"※外销却没有售价，请填实际售价",IF(AND($K210="对外销售",$T210&lt;&gt;"",$T210&lt;0),"※这一笔外销是亏的，请核对售价",IF(IFERROR(VLOOKUP($D210,库存台账!$A$5:$Y$1204,24,0),0)&lt;-0.001,"※这个物料账面已经变成负数了，查一下是不是漏记入库","")))))))))))</f>
        <v/>
      </c>
    </row>
    <row r="211">
      <c r="A211" s="24">
        <f>IF($D211="","",COUNTA($D$4:$D211))</f>
        <v/>
      </c>
      <c r="B211" s="17" t="n"/>
      <c r="C211" s="30" t="n"/>
      <c r="D211" s="17" t="n"/>
      <c r="E211" s="24">
        <f>IF($D211="","",IFERROR(VLOOKUP($D211,物料档案!$A$4:$P$1203,3,0),"※编码不在物料档案里"))</f>
        <v/>
      </c>
      <c r="F211" s="24">
        <f>IF($D211="","",IFERROR(VLOOKUP($D211,物料档案!$A$4:$P$1203,4,0),"※编码不在物料档案里"))</f>
        <v/>
      </c>
      <c r="G211" s="24">
        <f>IF($D211="","",IFERROR(VLOOKUP($D211,物料档案!$A$4:$P$1203,5,0),"※编码不在物料档案里"))</f>
        <v/>
      </c>
      <c r="H211" s="24">
        <f>IF($D211="","",IFERROR(VLOOKUP($D211,物料档案!$A$4:$P$1203,2,0),"※编码不在物料档案里"))</f>
        <v/>
      </c>
      <c r="I211" s="24">
        <f>IF($D211="","",IFERROR(VLOOKUP($D211,物料档案!$A$4:$P$1203,6,0),"※编码不在物料档案里"))</f>
        <v/>
      </c>
      <c r="J211" s="23" t="n"/>
      <c r="K211" s="17" t="n"/>
      <c r="L211" s="17" t="n"/>
      <c r="M211" s="17" t="n"/>
      <c r="N211" s="17" t="n"/>
      <c r="O211" s="26">
        <f>IF($D211="","",IFERROR(VLOOKUP($D211,物料档案!$A$4:$P$1203,10,0),0))</f>
        <v/>
      </c>
      <c r="P211" s="32" t="n"/>
      <c r="Q211" s="26">
        <f>IF($D211="","",IF($K211&lt;&gt;"对外销售",0,ROUND(N($J211)*IF($P211="",N($O211),N($P211)),0)))</f>
        <v/>
      </c>
      <c r="R211" s="26">
        <f>IF($D211="","",IFERROR(VLOOKUP($D211,库存台账!$A$5:$Y$1204,11,0),0))</f>
        <v/>
      </c>
      <c r="S211" s="26">
        <f>IF($D211="","",ROUND(N($J211)*N($R211),0))</f>
        <v/>
      </c>
      <c r="T211" s="26">
        <f>IF($D211="","",IF($K211&lt;&gt;"对外销售","",ROUND($Q211-$S211,0)))</f>
        <v/>
      </c>
      <c r="U211" s="17" t="n"/>
      <c r="V211" s="17" t="n"/>
      <c r="W211" s="24">
        <f>IF($D211="","",IF($E211="※编码不在物料档案里","※物料编码不在档案里",IF(N($J211)&lt;=0,"※出库数量要大于 0",IF($K211="","※没填去向类型",IF($L211="","※没填去向矿区",IF(AND($C211&lt;&gt;"",$C211&lt;=结账锁),"※日期早于已结账截止日，不能再录",IF(AND($K211="自用消耗",COUNTIF({"一矿区";"二矿区"},$L211)=0),"※自用消耗的去向只能是一矿区或二矿区",IF(AND($K211="对外销售",COUNTIF({"三矿区";"六矿区"},$L211)=0),"※对外销售的去向只能是三矿区或六矿区",IF(AND($K211="对外销售",ROUND($Q211,0)=0),"※外销却没有售价，请填实际售价",IF(AND($K211="对外销售",$T211&lt;&gt;"",$T211&lt;0),"※这一笔外销是亏的，请核对售价",IF(IFERROR(VLOOKUP($D211,库存台账!$A$5:$Y$1204,24,0),0)&lt;-0.001,"※这个物料账面已经变成负数了，查一下是不是漏记入库","")))))))))))</f>
        <v/>
      </c>
    </row>
    <row r="212">
      <c r="A212" s="24">
        <f>IF($D212="","",COUNTA($D$4:$D212))</f>
        <v/>
      </c>
      <c r="B212" s="17" t="n"/>
      <c r="C212" s="30" t="n"/>
      <c r="D212" s="17" t="n"/>
      <c r="E212" s="24">
        <f>IF($D212="","",IFERROR(VLOOKUP($D212,物料档案!$A$4:$P$1203,3,0),"※编码不在物料档案里"))</f>
        <v/>
      </c>
      <c r="F212" s="24">
        <f>IF($D212="","",IFERROR(VLOOKUP($D212,物料档案!$A$4:$P$1203,4,0),"※编码不在物料档案里"))</f>
        <v/>
      </c>
      <c r="G212" s="24">
        <f>IF($D212="","",IFERROR(VLOOKUP($D212,物料档案!$A$4:$P$1203,5,0),"※编码不在物料档案里"))</f>
        <v/>
      </c>
      <c r="H212" s="24">
        <f>IF($D212="","",IFERROR(VLOOKUP($D212,物料档案!$A$4:$P$1203,2,0),"※编码不在物料档案里"))</f>
        <v/>
      </c>
      <c r="I212" s="24">
        <f>IF($D212="","",IFERROR(VLOOKUP($D212,物料档案!$A$4:$P$1203,6,0),"※编码不在物料档案里"))</f>
        <v/>
      </c>
      <c r="J212" s="23" t="n"/>
      <c r="K212" s="17" t="n"/>
      <c r="L212" s="17" t="n"/>
      <c r="M212" s="17" t="n"/>
      <c r="N212" s="17" t="n"/>
      <c r="O212" s="26">
        <f>IF($D212="","",IFERROR(VLOOKUP($D212,物料档案!$A$4:$P$1203,10,0),0))</f>
        <v/>
      </c>
      <c r="P212" s="32" t="n"/>
      <c r="Q212" s="26">
        <f>IF($D212="","",IF($K212&lt;&gt;"对外销售",0,ROUND(N($J212)*IF($P212="",N($O212),N($P212)),0)))</f>
        <v/>
      </c>
      <c r="R212" s="26">
        <f>IF($D212="","",IFERROR(VLOOKUP($D212,库存台账!$A$5:$Y$1204,11,0),0))</f>
        <v/>
      </c>
      <c r="S212" s="26">
        <f>IF($D212="","",ROUND(N($J212)*N($R212),0))</f>
        <v/>
      </c>
      <c r="T212" s="26">
        <f>IF($D212="","",IF($K212&lt;&gt;"对外销售","",ROUND($Q212-$S212,0)))</f>
        <v/>
      </c>
      <c r="U212" s="17" t="n"/>
      <c r="V212" s="17" t="n"/>
      <c r="W212" s="24">
        <f>IF($D212="","",IF($E212="※编码不在物料档案里","※物料编码不在档案里",IF(N($J212)&lt;=0,"※出库数量要大于 0",IF($K212="","※没填去向类型",IF($L212="","※没填去向矿区",IF(AND($C212&lt;&gt;"",$C212&lt;=结账锁),"※日期早于已结账截止日，不能再录",IF(AND($K212="自用消耗",COUNTIF({"一矿区";"二矿区"},$L212)=0),"※自用消耗的去向只能是一矿区或二矿区",IF(AND($K212="对外销售",COUNTIF({"三矿区";"六矿区"},$L212)=0),"※对外销售的去向只能是三矿区或六矿区",IF(AND($K212="对外销售",ROUND($Q212,0)=0),"※外销却没有售价，请填实际售价",IF(AND($K212="对外销售",$T212&lt;&gt;"",$T212&lt;0),"※这一笔外销是亏的，请核对售价",IF(IFERROR(VLOOKUP($D212,库存台账!$A$5:$Y$1204,24,0),0)&lt;-0.001,"※这个物料账面已经变成负数了，查一下是不是漏记入库","")))))))))))</f>
        <v/>
      </c>
    </row>
    <row r="213">
      <c r="A213" s="24">
        <f>IF($D213="","",COUNTA($D$4:$D213))</f>
        <v/>
      </c>
      <c r="B213" s="17" t="n"/>
      <c r="C213" s="30" t="n"/>
      <c r="D213" s="17" t="n"/>
      <c r="E213" s="24">
        <f>IF($D213="","",IFERROR(VLOOKUP($D213,物料档案!$A$4:$P$1203,3,0),"※编码不在物料档案里"))</f>
        <v/>
      </c>
      <c r="F213" s="24">
        <f>IF($D213="","",IFERROR(VLOOKUP($D213,物料档案!$A$4:$P$1203,4,0),"※编码不在物料档案里"))</f>
        <v/>
      </c>
      <c r="G213" s="24">
        <f>IF($D213="","",IFERROR(VLOOKUP($D213,物料档案!$A$4:$P$1203,5,0),"※编码不在物料档案里"))</f>
        <v/>
      </c>
      <c r="H213" s="24">
        <f>IF($D213="","",IFERROR(VLOOKUP($D213,物料档案!$A$4:$P$1203,2,0),"※编码不在物料档案里"))</f>
        <v/>
      </c>
      <c r="I213" s="24">
        <f>IF($D213="","",IFERROR(VLOOKUP($D213,物料档案!$A$4:$P$1203,6,0),"※编码不在物料档案里"))</f>
        <v/>
      </c>
      <c r="J213" s="23" t="n"/>
      <c r="K213" s="17" t="n"/>
      <c r="L213" s="17" t="n"/>
      <c r="M213" s="17" t="n"/>
      <c r="N213" s="17" t="n"/>
      <c r="O213" s="26">
        <f>IF($D213="","",IFERROR(VLOOKUP($D213,物料档案!$A$4:$P$1203,10,0),0))</f>
        <v/>
      </c>
      <c r="P213" s="32" t="n"/>
      <c r="Q213" s="26">
        <f>IF($D213="","",IF($K213&lt;&gt;"对外销售",0,ROUND(N($J213)*IF($P213="",N($O213),N($P213)),0)))</f>
        <v/>
      </c>
      <c r="R213" s="26">
        <f>IF($D213="","",IFERROR(VLOOKUP($D213,库存台账!$A$5:$Y$1204,11,0),0))</f>
        <v/>
      </c>
      <c r="S213" s="26">
        <f>IF($D213="","",ROUND(N($J213)*N($R213),0))</f>
        <v/>
      </c>
      <c r="T213" s="26">
        <f>IF($D213="","",IF($K213&lt;&gt;"对外销售","",ROUND($Q213-$S213,0)))</f>
        <v/>
      </c>
      <c r="U213" s="17" t="n"/>
      <c r="V213" s="17" t="n"/>
      <c r="W213" s="24">
        <f>IF($D213="","",IF($E213="※编码不在物料档案里","※物料编码不在档案里",IF(N($J213)&lt;=0,"※出库数量要大于 0",IF($K213="","※没填去向类型",IF($L213="","※没填去向矿区",IF(AND($C213&lt;&gt;"",$C213&lt;=结账锁),"※日期早于已结账截止日，不能再录",IF(AND($K213="自用消耗",COUNTIF({"一矿区";"二矿区"},$L213)=0),"※自用消耗的去向只能是一矿区或二矿区",IF(AND($K213="对外销售",COUNTIF({"三矿区";"六矿区"},$L213)=0),"※对外销售的去向只能是三矿区或六矿区",IF(AND($K213="对外销售",ROUND($Q213,0)=0),"※外销却没有售价，请填实际售价",IF(AND($K213="对外销售",$T213&lt;&gt;"",$T213&lt;0),"※这一笔外销是亏的，请核对售价",IF(IFERROR(VLOOKUP($D213,库存台账!$A$5:$Y$1204,24,0),0)&lt;-0.001,"※这个物料账面已经变成负数了，查一下是不是漏记入库","")))))))))))</f>
        <v/>
      </c>
    </row>
    <row r="214">
      <c r="A214" s="24">
        <f>IF($D214="","",COUNTA($D$4:$D214))</f>
        <v/>
      </c>
      <c r="B214" s="17" t="n"/>
      <c r="C214" s="30" t="n"/>
      <c r="D214" s="17" t="n"/>
      <c r="E214" s="24">
        <f>IF($D214="","",IFERROR(VLOOKUP($D214,物料档案!$A$4:$P$1203,3,0),"※编码不在物料档案里"))</f>
        <v/>
      </c>
      <c r="F214" s="24">
        <f>IF($D214="","",IFERROR(VLOOKUP($D214,物料档案!$A$4:$P$1203,4,0),"※编码不在物料档案里"))</f>
        <v/>
      </c>
      <c r="G214" s="24">
        <f>IF($D214="","",IFERROR(VLOOKUP($D214,物料档案!$A$4:$P$1203,5,0),"※编码不在物料档案里"))</f>
        <v/>
      </c>
      <c r="H214" s="24">
        <f>IF($D214="","",IFERROR(VLOOKUP($D214,物料档案!$A$4:$P$1203,2,0),"※编码不在物料档案里"))</f>
        <v/>
      </c>
      <c r="I214" s="24">
        <f>IF($D214="","",IFERROR(VLOOKUP($D214,物料档案!$A$4:$P$1203,6,0),"※编码不在物料档案里"))</f>
        <v/>
      </c>
      <c r="J214" s="23" t="n"/>
      <c r="K214" s="17" t="n"/>
      <c r="L214" s="17" t="n"/>
      <c r="M214" s="17" t="n"/>
      <c r="N214" s="17" t="n"/>
      <c r="O214" s="26">
        <f>IF($D214="","",IFERROR(VLOOKUP($D214,物料档案!$A$4:$P$1203,10,0),0))</f>
        <v/>
      </c>
      <c r="P214" s="32" t="n"/>
      <c r="Q214" s="26">
        <f>IF($D214="","",IF($K214&lt;&gt;"对外销售",0,ROUND(N($J214)*IF($P214="",N($O214),N($P214)),0)))</f>
        <v/>
      </c>
      <c r="R214" s="26">
        <f>IF($D214="","",IFERROR(VLOOKUP($D214,库存台账!$A$5:$Y$1204,11,0),0))</f>
        <v/>
      </c>
      <c r="S214" s="26">
        <f>IF($D214="","",ROUND(N($J214)*N($R214),0))</f>
        <v/>
      </c>
      <c r="T214" s="26">
        <f>IF($D214="","",IF($K214&lt;&gt;"对外销售","",ROUND($Q214-$S214,0)))</f>
        <v/>
      </c>
      <c r="U214" s="17" t="n"/>
      <c r="V214" s="17" t="n"/>
      <c r="W214" s="24">
        <f>IF($D214="","",IF($E214="※编码不在物料档案里","※物料编码不在档案里",IF(N($J214)&lt;=0,"※出库数量要大于 0",IF($K214="","※没填去向类型",IF($L214="","※没填去向矿区",IF(AND($C214&lt;&gt;"",$C214&lt;=结账锁),"※日期早于已结账截止日，不能再录",IF(AND($K214="自用消耗",COUNTIF({"一矿区";"二矿区"},$L214)=0),"※自用消耗的去向只能是一矿区或二矿区",IF(AND($K214="对外销售",COUNTIF({"三矿区";"六矿区"},$L214)=0),"※对外销售的去向只能是三矿区或六矿区",IF(AND($K214="对外销售",ROUND($Q214,0)=0),"※外销却没有售价，请填实际售价",IF(AND($K214="对外销售",$T214&lt;&gt;"",$T214&lt;0),"※这一笔外销是亏的，请核对售价",IF(IFERROR(VLOOKUP($D214,库存台账!$A$5:$Y$1204,24,0),0)&lt;-0.001,"※这个物料账面已经变成负数了，查一下是不是漏记入库","")))))))))))</f>
        <v/>
      </c>
    </row>
    <row r="215">
      <c r="A215" s="24">
        <f>IF($D215="","",COUNTA($D$4:$D215))</f>
        <v/>
      </c>
      <c r="B215" s="17" t="n"/>
      <c r="C215" s="30" t="n"/>
      <c r="D215" s="17" t="n"/>
      <c r="E215" s="24">
        <f>IF($D215="","",IFERROR(VLOOKUP($D215,物料档案!$A$4:$P$1203,3,0),"※编码不在物料档案里"))</f>
        <v/>
      </c>
      <c r="F215" s="24">
        <f>IF($D215="","",IFERROR(VLOOKUP($D215,物料档案!$A$4:$P$1203,4,0),"※编码不在物料档案里"))</f>
        <v/>
      </c>
      <c r="G215" s="24">
        <f>IF($D215="","",IFERROR(VLOOKUP($D215,物料档案!$A$4:$P$1203,5,0),"※编码不在物料档案里"))</f>
        <v/>
      </c>
      <c r="H215" s="24">
        <f>IF($D215="","",IFERROR(VLOOKUP($D215,物料档案!$A$4:$P$1203,2,0),"※编码不在物料档案里"))</f>
        <v/>
      </c>
      <c r="I215" s="24">
        <f>IF($D215="","",IFERROR(VLOOKUP($D215,物料档案!$A$4:$P$1203,6,0),"※编码不在物料档案里"))</f>
        <v/>
      </c>
      <c r="J215" s="23" t="n"/>
      <c r="K215" s="17" t="n"/>
      <c r="L215" s="17" t="n"/>
      <c r="M215" s="17" t="n"/>
      <c r="N215" s="17" t="n"/>
      <c r="O215" s="26">
        <f>IF($D215="","",IFERROR(VLOOKUP($D215,物料档案!$A$4:$P$1203,10,0),0))</f>
        <v/>
      </c>
      <c r="P215" s="32" t="n"/>
      <c r="Q215" s="26">
        <f>IF($D215="","",IF($K215&lt;&gt;"对外销售",0,ROUND(N($J215)*IF($P215="",N($O215),N($P215)),0)))</f>
        <v/>
      </c>
      <c r="R215" s="26">
        <f>IF($D215="","",IFERROR(VLOOKUP($D215,库存台账!$A$5:$Y$1204,11,0),0))</f>
        <v/>
      </c>
      <c r="S215" s="26">
        <f>IF($D215="","",ROUND(N($J215)*N($R215),0))</f>
        <v/>
      </c>
      <c r="T215" s="26">
        <f>IF($D215="","",IF($K215&lt;&gt;"对外销售","",ROUND($Q215-$S215,0)))</f>
        <v/>
      </c>
      <c r="U215" s="17" t="n"/>
      <c r="V215" s="17" t="n"/>
      <c r="W215" s="24">
        <f>IF($D215="","",IF($E215="※编码不在物料档案里","※物料编码不在档案里",IF(N($J215)&lt;=0,"※出库数量要大于 0",IF($K215="","※没填去向类型",IF($L215="","※没填去向矿区",IF(AND($C215&lt;&gt;"",$C215&lt;=结账锁),"※日期早于已结账截止日，不能再录",IF(AND($K215="自用消耗",COUNTIF({"一矿区";"二矿区"},$L215)=0),"※自用消耗的去向只能是一矿区或二矿区",IF(AND($K215="对外销售",COUNTIF({"三矿区";"六矿区"},$L215)=0),"※对外销售的去向只能是三矿区或六矿区",IF(AND($K215="对外销售",ROUND($Q215,0)=0),"※外销却没有售价，请填实际售价",IF(AND($K215="对外销售",$T215&lt;&gt;"",$T215&lt;0),"※这一笔外销是亏的，请核对售价",IF(IFERROR(VLOOKUP($D215,库存台账!$A$5:$Y$1204,24,0),0)&lt;-0.001,"※这个物料账面已经变成负数了，查一下是不是漏记入库","")))))))))))</f>
        <v/>
      </c>
    </row>
    <row r="216">
      <c r="A216" s="24">
        <f>IF($D216="","",COUNTA($D$4:$D216))</f>
        <v/>
      </c>
      <c r="B216" s="17" t="n"/>
      <c r="C216" s="30" t="n"/>
      <c r="D216" s="17" t="n"/>
      <c r="E216" s="24">
        <f>IF($D216="","",IFERROR(VLOOKUP($D216,物料档案!$A$4:$P$1203,3,0),"※编码不在物料档案里"))</f>
        <v/>
      </c>
      <c r="F216" s="24">
        <f>IF($D216="","",IFERROR(VLOOKUP($D216,物料档案!$A$4:$P$1203,4,0),"※编码不在物料档案里"))</f>
        <v/>
      </c>
      <c r="G216" s="24">
        <f>IF($D216="","",IFERROR(VLOOKUP($D216,物料档案!$A$4:$P$1203,5,0),"※编码不在物料档案里"))</f>
        <v/>
      </c>
      <c r="H216" s="24">
        <f>IF($D216="","",IFERROR(VLOOKUP($D216,物料档案!$A$4:$P$1203,2,0),"※编码不在物料档案里"))</f>
        <v/>
      </c>
      <c r="I216" s="24">
        <f>IF($D216="","",IFERROR(VLOOKUP($D216,物料档案!$A$4:$P$1203,6,0),"※编码不在物料档案里"))</f>
        <v/>
      </c>
      <c r="J216" s="23" t="n"/>
      <c r="K216" s="17" t="n"/>
      <c r="L216" s="17" t="n"/>
      <c r="M216" s="17" t="n"/>
      <c r="N216" s="17" t="n"/>
      <c r="O216" s="26">
        <f>IF($D216="","",IFERROR(VLOOKUP($D216,物料档案!$A$4:$P$1203,10,0),0))</f>
        <v/>
      </c>
      <c r="P216" s="32" t="n"/>
      <c r="Q216" s="26">
        <f>IF($D216="","",IF($K216&lt;&gt;"对外销售",0,ROUND(N($J216)*IF($P216="",N($O216),N($P216)),0)))</f>
        <v/>
      </c>
      <c r="R216" s="26">
        <f>IF($D216="","",IFERROR(VLOOKUP($D216,库存台账!$A$5:$Y$1204,11,0),0))</f>
        <v/>
      </c>
      <c r="S216" s="26">
        <f>IF($D216="","",ROUND(N($J216)*N($R216),0))</f>
        <v/>
      </c>
      <c r="T216" s="26">
        <f>IF($D216="","",IF($K216&lt;&gt;"对外销售","",ROUND($Q216-$S216,0)))</f>
        <v/>
      </c>
      <c r="U216" s="17" t="n"/>
      <c r="V216" s="17" t="n"/>
      <c r="W216" s="24">
        <f>IF($D216="","",IF($E216="※编码不在物料档案里","※物料编码不在档案里",IF(N($J216)&lt;=0,"※出库数量要大于 0",IF($K216="","※没填去向类型",IF($L216="","※没填去向矿区",IF(AND($C216&lt;&gt;"",$C216&lt;=结账锁),"※日期早于已结账截止日，不能再录",IF(AND($K216="自用消耗",COUNTIF({"一矿区";"二矿区"},$L216)=0),"※自用消耗的去向只能是一矿区或二矿区",IF(AND($K216="对外销售",COUNTIF({"三矿区";"六矿区"},$L216)=0),"※对外销售的去向只能是三矿区或六矿区",IF(AND($K216="对外销售",ROUND($Q216,0)=0),"※外销却没有售价，请填实际售价",IF(AND($K216="对外销售",$T216&lt;&gt;"",$T216&lt;0),"※这一笔外销是亏的，请核对售价",IF(IFERROR(VLOOKUP($D216,库存台账!$A$5:$Y$1204,24,0),0)&lt;-0.001,"※这个物料账面已经变成负数了，查一下是不是漏记入库","")))))))))))</f>
        <v/>
      </c>
    </row>
    <row r="217">
      <c r="A217" s="24">
        <f>IF($D217="","",COUNTA($D$4:$D217))</f>
        <v/>
      </c>
      <c r="B217" s="17" t="n"/>
      <c r="C217" s="30" t="n"/>
      <c r="D217" s="17" t="n"/>
      <c r="E217" s="24">
        <f>IF($D217="","",IFERROR(VLOOKUP($D217,物料档案!$A$4:$P$1203,3,0),"※编码不在物料档案里"))</f>
        <v/>
      </c>
      <c r="F217" s="24">
        <f>IF($D217="","",IFERROR(VLOOKUP($D217,物料档案!$A$4:$P$1203,4,0),"※编码不在物料档案里"))</f>
        <v/>
      </c>
      <c r="G217" s="24">
        <f>IF($D217="","",IFERROR(VLOOKUP($D217,物料档案!$A$4:$P$1203,5,0),"※编码不在物料档案里"))</f>
        <v/>
      </c>
      <c r="H217" s="24">
        <f>IF($D217="","",IFERROR(VLOOKUP($D217,物料档案!$A$4:$P$1203,2,0),"※编码不在物料档案里"))</f>
        <v/>
      </c>
      <c r="I217" s="24">
        <f>IF($D217="","",IFERROR(VLOOKUP($D217,物料档案!$A$4:$P$1203,6,0),"※编码不在物料档案里"))</f>
        <v/>
      </c>
      <c r="J217" s="23" t="n"/>
      <c r="K217" s="17" t="n"/>
      <c r="L217" s="17" t="n"/>
      <c r="M217" s="17" t="n"/>
      <c r="N217" s="17" t="n"/>
      <c r="O217" s="26">
        <f>IF($D217="","",IFERROR(VLOOKUP($D217,物料档案!$A$4:$P$1203,10,0),0))</f>
        <v/>
      </c>
      <c r="P217" s="32" t="n"/>
      <c r="Q217" s="26">
        <f>IF($D217="","",IF($K217&lt;&gt;"对外销售",0,ROUND(N($J217)*IF($P217="",N($O217),N($P217)),0)))</f>
        <v/>
      </c>
      <c r="R217" s="26">
        <f>IF($D217="","",IFERROR(VLOOKUP($D217,库存台账!$A$5:$Y$1204,11,0),0))</f>
        <v/>
      </c>
      <c r="S217" s="26">
        <f>IF($D217="","",ROUND(N($J217)*N($R217),0))</f>
        <v/>
      </c>
      <c r="T217" s="26">
        <f>IF($D217="","",IF($K217&lt;&gt;"对外销售","",ROUND($Q217-$S217,0)))</f>
        <v/>
      </c>
      <c r="U217" s="17" t="n"/>
      <c r="V217" s="17" t="n"/>
      <c r="W217" s="24">
        <f>IF($D217="","",IF($E217="※编码不在物料档案里","※物料编码不在档案里",IF(N($J217)&lt;=0,"※出库数量要大于 0",IF($K217="","※没填去向类型",IF($L217="","※没填去向矿区",IF(AND($C217&lt;&gt;"",$C217&lt;=结账锁),"※日期早于已结账截止日，不能再录",IF(AND($K217="自用消耗",COUNTIF({"一矿区";"二矿区"},$L217)=0),"※自用消耗的去向只能是一矿区或二矿区",IF(AND($K217="对外销售",COUNTIF({"三矿区";"六矿区"},$L217)=0),"※对外销售的去向只能是三矿区或六矿区",IF(AND($K217="对外销售",ROUND($Q217,0)=0),"※外销却没有售价，请填实际售价",IF(AND($K217="对外销售",$T217&lt;&gt;"",$T217&lt;0),"※这一笔外销是亏的，请核对售价",IF(IFERROR(VLOOKUP($D217,库存台账!$A$5:$Y$1204,24,0),0)&lt;-0.001,"※这个物料账面已经变成负数了，查一下是不是漏记入库","")))))))))))</f>
        <v/>
      </c>
    </row>
    <row r="218">
      <c r="A218" s="24">
        <f>IF($D218="","",COUNTA($D$4:$D218))</f>
        <v/>
      </c>
      <c r="B218" s="17" t="n"/>
      <c r="C218" s="30" t="n"/>
      <c r="D218" s="17" t="n"/>
      <c r="E218" s="24">
        <f>IF($D218="","",IFERROR(VLOOKUP($D218,物料档案!$A$4:$P$1203,3,0),"※编码不在物料档案里"))</f>
        <v/>
      </c>
      <c r="F218" s="24">
        <f>IF($D218="","",IFERROR(VLOOKUP($D218,物料档案!$A$4:$P$1203,4,0),"※编码不在物料档案里"))</f>
        <v/>
      </c>
      <c r="G218" s="24">
        <f>IF($D218="","",IFERROR(VLOOKUP($D218,物料档案!$A$4:$P$1203,5,0),"※编码不在物料档案里"))</f>
        <v/>
      </c>
      <c r="H218" s="24">
        <f>IF($D218="","",IFERROR(VLOOKUP($D218,物料档案!$A$4:$P$1203,2,0),"※编码不在物料档案里"))</f>
        <v/>
      </c>
      <c r="I218" s="24">
        <f>IF($D218="","",IFERROR(VLOOKUP($D218,物料档案!$A$4:$P$1203,6,0),"※编码不在物料档案里"))</f>
        <v/>
      </c>
      <c r="J218" s="23" t="n"/>
      <c r="K218" s="17" t="n"/>
      <c r="L218" s="17" t="n"/>
      <c r="M218" s="17" t="n"/>
      <c r="N218" s="17" t="n"/>
      <c r="O218" s="26">
        <f>IF($D218="","",IFERROR(VLOOKUP($D218,物料档案!$A$4:$P$1203,10,0),0))</f>
        <v/>
      </c>
      <c r="P218" s="32" t="n"/>
      <c r="Q218" s="26">
        <f>IF($D218="","",IF($K218&lt;&gt;"对外销售",0,ROUND(N($J218)*IF($P218="",N($O218),N($P218)),0)))</f>
        <v/>
      </c>
      <c r="R218" s="26">
        <f>IF($D218="","",IFERROR(VLOOKUP($D218,库存台账!$A$5:$Y$1204,11,0),0))</f>
        <v/>
      </c>
      <c r="S218" s="26">
        <f>IF($D218="","",ROUND(N($J218)*N($R218),0))</f>
        <v/>
      </c>
      <c r="T218" s="26">
        <f>IF($D218="","",IF($K218&lt;&gt;"对外销售","",ROUND($Q218-$S218,0)))</f>
        <v/>
      </c>
      <c r="U218" s="17" t="n"/>
      <c r="V218" s="17" t="n"/>
      <c r="W218" s="24">
        <f>IF($D218="","",IF($E218="※编码不在物料档案里","※物料编码不在档案里",IF(N($J218)&lt;=0,"※出库数量要大于 0",IF($K218="","※没填去向类型",IF($L218="","※没填去向矿区",IF(AND($C218&lt;&gt;"",$C218&lt;=结账锁),"※日期早于已结账截止日，不能再录",IF(AND($K218="自用消耗",COUNTIF({"一矿区";"二矿区"},$L218)=0),"※自用消耗的去向只能是一矿区或二矿区",IF(AND($K218="对外销售",COUNTIF({"三矿区";"六矿区"},$L218)=0),"※对外销售的去向只能是三矿区或六矿区",IF(AND($K218="对外销售",ROUND($Q218,0)=0),"※外销却没有售价，请填实际售价",IF(AND($K218="对外销售",$T218&lt;&gt;"",$T218&lt;0),"※这一笔外销是亏的，请核对售价",IF(IFERROR(VLOOKUP($D218,库存台账!$A$5:$Y$1204,24,0),0)&lt;-0.001,"※这个物料账面已经变成负数了，查一下是不是漏记入库","")))))))))))</f>
        <v/>
      </c>
    </row>
    <row r="219">
      <c r="A219" s="24">
        <f>IF($D219="","",COUNTA($D$4:$D219))</f>
        <v/>
      </c>
      <c r="B219" s="17" t="n"/>
      <c r="C219" s="30" t="n"/>
      <c r="D219" s="17" t="n"/>
      <c r="E219" s="24">
        <f>IF($D219="","",IFERROR(VLOOKUP($D219,物料档案!$A$4:$P$1203,3,0),"※编码不在物料档案里"))</f>
        <v/>
      </c>
      <c r="F219" s="24">
        <f>IF($D219="","",IFERROR(VLOOKUP($D219,物料档案!$A$4:$P$1203,4,0),"※编码不在物料档案里"))</f>
        <v/>
      </c>
      <c r="G219" s="24">
        <f>IF($D219="","",IFERROR(VLOOKUP($D219,物料档案!$A$4:$P$1203,5,0),"※编码不在物料档案里"))</f>
        <v/>
      </c>
      <c r="H219" s="24">
        <f>IF($D219="","",IFERROR(VLOOKUP($D219,物料档案!$A$4:$P$1203,2,0),"※编码不在物料档案里"))</f>
        <v/>
      </c>
      <c r="I219" s="24">
        <f>IF($D219="","",IFERROR(VLOOKUP($D219,物料档案!$A$4:$P$1203,6,0),"※编码不在物料档案里"))</f>
        <v/>
      </c>
      <c r="J219" s="23" t="n"/>
      <c r="K219" s="17" t="n"/>
      <c r="L219" s="17" t="n"/>
      <c r="M219" s="17" t="n"/>
      <c r="N219" s="17" t="n"/>
      <c r="O219" s="26">
        <f>IF($D219="","",IFERROR(VLOOKUP($D219,物料档案!$A$4:$P$1203,10,0),0))</f>
        <v/>
      </c>
      <c r="P219" s="32" t="n"/>
      <c r="Q219" s="26">
        <f>IF($D219="","",IF($K219&lt;&gt;"对外销售",0,ROUND(N($J219)*IF($P219="",N($O219),N($P219)),0)))</f>
        <v/>
      </c>
      <c r="R219" s="26">
        <f>IF($D219="","",IFERROR(VLOOKUP($D219,库存台账!$A$5:$Y$1204,11,0),0))</f>
        <v/>
      </c>
      <c r="S219" s="26">
        <f>IF($D219="","",ROUND(N($J219)*N($R219),0))</f>
        <v/>
      </c>
      <c r="T219" s="26">
        <f>IF($D219="","",IF($K219&lt;&gt;"对外销售","",ROUND($Q219-$S219,0)))</f>
        <v/>
      </c>
      <c r="U219" s="17" t="n"/>
      <c r="V219" s="17" t="n"/>
      <c r="W219" s="24">
        <f>IF($D219="","",IF($E219="※编码不在物料档案里","※物料编码不在档案里",IF(N($J219)&lt;=0,"※出库数量要大于 0",IF($K219="","※没填去向类型",IF($L219="","※没填去向矿区",IF(AND($C219&lt;&gt;"",$C219&lt;=结账锁),"※日期早于已结账截止日，不能再录",IF(AND($K219="自用消耗",COUNTIF({"一矿区";"二矿区"},$L219)=0),"※自用消耗的去向只能是一矿区或二矿区",IF(AND($K219="对外销售",COUNTIF({"三矿区";"六矿区"},$L219)=0),"※对外销售的去向只能是三矿区或六矿区",IF(AND($K219="对外销售",ROUND($Q219,0)=0),"※外销却没有售价，请填实际售价",IF(AND($K219="对外销售",$T219&lt;&gt;"",$T219&lt;0),"※这一笔外销是亏的，请核对售价",IF(IFERROR(VLOOKUP($D219,库存台账!$A$5:$Y$1204,24,0),0)&lt;-0.001,"※这个物料账面已经变成负数了，查一下是不是漏记入库","")))))))))))</f>
        <v/>
      </c>
    </row>
    <row r="220">
      <c r="A220" s="24">
        <f>IF($D220="","",COUNTA($D$4:$D220))</f>
        <v/>
      </c>
      <c r="B220" s="17" t="n"/>
      <c r="C220" s="30" t="n"/>
      <c r="D220" s="17" t="n"/>
      <c r="E220" s="24">
        <f>IF($D220="","",IFERROR(VLOOKUP($D220,物料档案!$A$4:$P$1203,3,0),"※编码不在物料档案里"))</f>
        <v/>
      </c>
      <c r="F220" s="24">
        <f>IF($D220="","",IFERROR(VLOOKUP($D220,物料档案!$A$4:$P$1203,4,0),"※编码不在物料档案里"))</f>
        <v/>
      </c>
      <c r="G220" s="24">
        <f>IF($D220="","",IFERROR(VLOOKUP($D220,物料档案!$A$4:$P$1203,5,0),"※编码不在物料档案里"))</f>
        <v/>
      </c>
      <c r="H220" s="24">
        <f>IF($D220="","",IFERROR(VLOOKUP($D220,物料档案!$A$4:$P$1203,2,0),"※编码不在物料档案里"))</f>
        <v/>
      </c>
      <c r="I220" s="24">
        <f>IF($D220="","",IFERROR(VLOOKUP($D220,物料档案!$A$4:$P$1203,6,0),"※编码不在物料档案里"))</f>
        <v/>
      </c>
      <c r="J220" s="23" t="n"/>
      <c r="K220" s="17" t="n"/>
      <c r="L220" s="17" t="n"/>
      <c r="M220" s="17" t="n"/>
      <c r="N220" s="17" t="n"/>
      <c r="O220" s="26">
        <f>IF($D220="","",IFERROR(VLOOKUP($D220,物料档案!$A$4:$P$1203,10,0),0))</f>
        <v/>
      </c>
      <c r="P220" s="32" t="n"/>
      <c r="Q220" s="26">
        <f>IF($D220="","",IF($K220&lt;&gt;"对外销售",0,ROUND(N($J220)*IF($P220="",N($O220),N($P220)),0)))</f>
        <v/>
      </c>
      <c r="R220" s="26">
        <f>IF($D220="","",IFERROR(VLOOKUP($D220,库存台账!$A$5:$Y$1204,11,0),0))</f>
        <v/>
      </c>
      <c r="S220" s="26">
        <f>IF($D220="","",ROUND(N($J220)*N($R220),0))</f>
        <v/>
      </c>
      <c r="T220" s="26">
        <f>IF($D220="","",IF($K220&lt;&gt;"对外销售","",ROUND($Q220-$S220,0)))</f>
        <v/>
      </c>
      <c r="U220" s="17" t="n"/>
      <c r="V220" s="17" t="n"/>
      <c r="W220" s="24">
        <f>IF($D220="","",IF($E220="※编码不在物料档案里","※物料编码不在档案里",IF(N($J220)&lt;=0,"※出库数量要大于 0",IF($K220="","※没填去向类型",IF($L220="","※没填去向矿区",IF(AND($C220&lt;&gt;"",$C220&lt;=结账锁),"※日期早于已结账截止日，不能再录",IF(AND($K220="自用消耗",COUNTIF({"一矿区";"二矿区"},$L220)=0),"※自用消耗的去向只能是一矿区或二矿区",IF(AND($K220="对外销售",COUNTIF({"三矿区";"六矿区"},$L220)=0),"※对外销售的去向只能是三矿区或六矿区",IF(AND($K220="对外销售",ROUND($Q220,0)=0),"※外销却没有售价，请填实际售价",IF(AND($K220="对外销售",$T220&lt;&gt;"",$T220&lt;0),"※这一笔外销是亏的，请核对售价",IF(IFERROR(VLOOKUP($D220,库存台账!$A$5:$Y$1204,24,0),0)&lt;-0.001,"※这个物料账面已经变成负数了，查一下是不是漏记入库","")))))))))))</f>
        <v/>
      </c>
    </row>
    <row r="221">
      <c r="A221" s="24">
        <f>IF($D221="","",COUNTA($D$4:$D221))</f>
        <v/>
      </c>
      <c r="B221" s="17" t="n"/>
      <c r="C221" s="30" t="n"/>
      <c r="D221" s="17" t="n"/>
      <c r="E221" s="24">
        <f>IF($D221="","",IFERROR(VLOOKUP($D221,物料档案!$A$4:$P$1203,3,0),"※编码不在物料档案里"))</f>
        <v/>
      </c>
      <c r="F221" s="24">
        <f>IF($D221="","",IFERROR(VLOOKUP($D221,物料档案!$A$4:$P$1203,4,0),"※编码不在物料档案里"))</f>
        <v/>
      </c>
      <c r="G221" s="24">
        <f>IF($D221="","",IFERROR(VLOOKUP($D221,物料档案!$A$4:$P$1203,5,0),"※编码不在物料档案里"))</f>
        <v/>
      </c>
      <c r="H221" s="24">
        <f>IF($D221="","",IFERROR(VLOOKUP($D221,物料档案!$A$4:$P$1203,2,0),"※编码不在物料档案里"))</f>
        <v/>
      </c>
      <c r="I221" s="24">
        <f>IF($D221="","",IFERROR(VLOOKUP($D221,物料档案!$A$4:$P$1203,6,0),"※编码不在物料档案里"))</f>
        <v/>
      </c>
      <c r="J221" s="23" t="n"/>
      <c r="K221" s="17" t="n"/>
      <c r="L221" s="17" t="n"/>
      <c r="M221" s="17" t="n"/>
      <c r="N221" s="17" t="n"/>
      <c r="O221" s="26">
        <f>IF($D221="","",IFERROR(VLOOKUP($D221,物料档案!$A$4:$P$1203,10,0),0))</f>
        <v/>
      </c>
      <c r="P221" s="32" t="n"/>
      <c r="Q221" s="26">
        <f>IF($D221="","",IF($K221&lt;&gt;"对外销售",0,ROUND(N($J221)*IF($P221="",N($O221),N($P221)),0)))</f>
        <v/>
      </c>
      <c r="R221" s="26">
        <f>IF($D221="","",IFERROR(VLOOKUP($D221,库存台账!$A$5:$Y$1204,11,0),0))</f>
        <v/>
      </c>
      <c r="S221" s="26">
        <f>IF($D221="","",ROUND(N($J221)*N($R221),0))</f>
        <v/>
      </c>
      <c r="T221" s="26">
        <f>IF($D221="","",IF($K221&lt;&gt;"对外销售","",ROUND($Q221-$S221,0)))</f>
        <v/>
      </c>
      <c r="U221" s="17" t="n"/>
      <c r="V221" s="17" t="n"/>
      <c r="W221" s="24">
        <f>IF($D221="","",IF($E221="※编码不在物料档案里","※物料编码不在档案里",IF(N($J221)&lt;=0,"※出库数量要大于 0",IF($K221="","※没填去向类型",IF($L221="","※没填去向矿区",IF(AND($C221&lt;&gt;"",$C221&lt;=结账锁),"※日期早于已结账截止日，不能再录",IF(AND($K221="自用消耗",COUNTIF({"一矿区";"二矿区"},$L221)=0),"※自用消耗的去向只能是一矿区或二矿区",IF(AND($K221="对外销售",COUNTIF({"三矿区";"六矿区"},$L221)=0),"※对外销售的去向只能是三矿区或六矿区",IF(AND($K221="对外销售",ROUND($Q221,0)=0),"※外销却没有售价，请填实际售价",IF(AND($K221="对外销售",$T221&lt;&gt;"",$T221&lt;0),"※这一笔外销是亏的，请核对售价",IF(IFERROR(VLOOKUP($D221,库存台账!$A$5:$Y$1204,24,0),0)&lt;-0.001,"※这个物料账面已经变成负数了，查一下是不是漏记入库","")))))))))))</f>
        <v/>
      </c>
    </row>
    <row r="222">
      <c r="A222" s="24">
        <f>IF($D222="","",COUNTA($D$4:$D222))</f>
        <v/>
      </c>
      <c r="B222" s="17" t="n"/>
      <c r="C222" s="30" t="n"/>
      <c r="D222" s="17" t="n"/>
      <c r="E222" s="24">
        <f>IF($D222="","",IFERROR(VLOOKUP($D222,物料档案!$A$4:$P$1203,3,0),"※编码不在物料档案里"))</f>
        <v/>
      </c>
      <c r="F222" s="24">
        <f>IF($D222="","",IFERROR(VLOOKUP($D222,物料档案!$A$4:$P$1203,4,0),"※编码不在物料档案里"))</f>
        <v/>
      </c>
      <c r="G222" s="24">
        <f>IF($D222="","",IFERROR(VLOOKUP($D222,物料档案!$A$4:$P$1203,5,0),"※编码不在物料档案里"))</f>
        <v/>
      </c>
      <c r="H222" s="24">
        <f>IF($D222="","",IFERROR(VLOOKUP($D222,物料档案!$A$4:$P$1203,2,0),"※编码不在物料档案里"))</f>
        <v/>
      </c>
      <c r="I222" s="24">
        <f>IF($D222="","",IFERROR(VLOOKUP($D222,物料档案!$A$4:$P$1203,6,0),"※编码不在物料档案里"))</f>
        <v/>
      </c>
      <c r="J222" s="23" t="n"/>
      <c r="K222" s="17" t="n"/>
      <c r="L222" s="17" t="n"/>
      <c r="M222" s="17" t="n"/>
      <c r="N222" s="17" t="n"/>
      <c r="O222" s="26">
        <f>IF($D222="","",IFERROR(VLOOKUP($D222,物料档案!$A$4:$P$1203,10,0),0))</f>
        <v/>
      </c>
      <c r="P222" s="32" t="n"/>
      <c r="Q222" s="26">
        <f>IF($D222="","",IF($K222&lt;&gt;"对外销售",0,ROUND(N($J222)*IF($P222="",N($O222),N($P222)),0)))</f>
        <v/>
      </c>
      <c r="R222" s="26">
        <f>IF($D222="","",IFERROR(VLOOKUP($D222,库存台账!$A$5:$Y$1204,11,0),0))</f>
        <v/>
      </c>
      <c r="S222" s="26">
        <f>IF($D222="","",ROUND(N($J222)*N($R222),0))</f>
        <v/>
      </c>
      <c r="T222" s="26">
        <f>IF($D222="","",IF($K222&lt;&gt;"对外销售","",ROUND($Q222-$S222,0)))</f>
        <v/>
      </c>
      <c r="U222" s="17" t="n"/>
      <c r="V222" s="17" t="n"/>
      <c r="W222" s="24">
        <f>IF($D222="","",IF($E222="※编码不在物料档案里","※物料编码不在档案里",IF(N($J222)&lt;=0,"※出库数量要大于 0",IF($K222="","※没填去向类型",IF($L222="","※没填去向矿区",IF(AND($C222&lt;&gt;"",$C222&lt;=结账锁),"※日期早于已结账截止日，不能再录",IF(AND($K222="自用消耗",COUNTIF({"一矿区";"二矿区"},$L222)=0),"※自用消耗的去向只能是一矿区或二矿区",IF(AND($K222="对外销售",COUNTIF({"三矿区";"六矿区"},$L222)=0),"※对外销售的去向只能是三矿区或六矿区",IF(AND($K222="对外销售",ROUND($Q222,0)=0),"※外销却没有售价，请填实际售价",IF(AND($K222="对外销售",$T222&lt;&gt;"",$T222&lt;0),"※这一笔外销是亏的，请核对售价",IF(IFERROR(VLOOKUP($D222,库存台账!$A$5:$Y$1204,24,0),0)&lt;-0.001,"※这个物料账面已经变成负数了，查一下是不是漏记入库","")))))))))))</f>
        <v/>
      </c>
    </row>
    <row r="223">
      <c r="A223" s="24">
        <f>IF($D223="","",COUNTA($D$4:$D223))</f>
        <v/>
      </c>
      <c r="B223" s="17" t="n"/>
      <c r="C223" s="30" t="n"/>
      <c r="D223" s="17" t="n"/>
      <c r="E223" s="24">
        <f>IF($D223="","",IFERROR(VLOOKUP($D223,物料档案!$A$4:$P$1203,3,0),"※编码不在物料档案里"))</f>
        <v/>
      </c>
      <c r="F223" s="24">
        <f>IF($D223="","",IFERROR(VLOOKUP($D223,物料档案!$A$4:$P$1203,4,0),"※编码不在物料档案里"))</f>
        <v/>
      </c>
      <c r="G223" s="24">
        <f>IF($D223="","",IFERROR(VLOOKUP($D223,物料档案!$A$4:$P$1203,5,0),"※编码不在物料档案里"))</f>
        <v/>
      </c>
      <c r="H223" s="24">
        <f>IF($D223="","",IFERROR(VLOOKUP($D223,物料档案!$A$4:$P$1203,2,0),"※编码不在物料档案里"))</f>
        <v/>
      </c>
      <c r="I223" s="24">
        <f>IF($D223="","",IFERROR(VLOOKUP($D223,物料档案!$A$4:$P$1203,6,0),"※编码不在物料档案里"))</f>
        <v/>
      </c>
      <c r="J223" s="23" t="n"/>
      <c r="K223" s="17" t="n"/>
      <c r="L223" s="17" t="n"/>
      <c r="M223" s="17" t="n"/>
      <c r="N223" s="17" t="n"/>
      <c r="O223" s="26">
        <f>IF($D223="","",IFERROR(VLOOKUP($D223,物料档案!$A$4:$P$1203,10,0),0))</f>
        <v/>
      </c>
      <c r="P223" s="32" t="n"/>
      <c r="Q223" s="26">
        <f>IF($D223="","",IF($K223&lt;&gt;"对外销售",0,ROUND(N($J223)*IF($P223="",N($O223),N($P223)),0)))</f>
        <v/>
      </c>
      <c r="R223" s="26">
        <f>IF($D223="","",IFERROR(VLOOKUP($D223,库存台账!$A$5:$Y$1204,11,0),0))</f>
        <v/>
      </c>
      <c r="S223" s="26">
        <f>IF($D223="","",ROUND(N($J223)*N($R223),0))</f>
        <v/>
      </c>
      <c r="T223" s="26">
        <f>IF($D223="","",IF($K223&lt;&gt;"对外销售","",ROUND($Q223-$S223,0)))</f>
        <v/>
      </c>
      <c r="U223" s="17" t="n"/>
      <c r="V223" s="17" t="n"/>
      <c r="W223" s="24">
        <f>IF($D223="","",IF($E223="※编码不在物料档案里","※物料编码不在档案里",IF(N($J223)&lt;=0,"※出库数量要大于 0",IF($K223="","※没填去向类型",IF($L223="","※没填去向矿区",IF(AND($C223&lt;&gt;"",$C223&lt;=结账锁),"※日期早于已结账截止日，不能再录",IF(AND($K223="自用消耗",COUNTIF({"一矿区";"二矿区"},$L223)=0),"※自用消耗的去向只能是一矿区或二矿区",IF(AND($K223="对外销售",COUNTIF({"三矿区";"六矿区"},$L223)=0),"※对外销售的去向只能是三矿区或六矿区",IF(AND($K223="对外销售",ROUND($Q223,0)=0),"※外销却没有售价，请填实际售价",IF(AND($K223="对外销售",$T223&lt;&gt;"",$T223&lt;0),"※这一笔外销是亏的，请核对售价",IF(IFERROR(VLOOKUP($D223,库存台账!$A$5:$Y$1204,24,0),0)&lt;-0.001,"※这个物料账面已经变成负数了，查一下是不是漏记入库","")))))))))))</f>
        <v/>
      </c>
    </row>
    <row r="224">
      <c r="A224" s="24">
        <f>IF($D224="","",COUNTA($D$4:$D224))</f>
        <v/>
      </c>
      <c r="B224" s="17" t="n"/>
      <c r="C224" s="30" t="n"/>
      <c r="D224" s="17" t="n"/>
      <c r="E224" s="24">
        <f>IF($D224="","",IFERROR(VLOOKUP($D224,物料档案!$A$4:$P$1203,3,0),"※编码不在物料档案里"))</f>
        <v/>
      </c>
      <c r="F224" s="24">
        <f>IF($D224="","",IFERROR(VLOOKUP($D224,物料档案!$A$4:$P$1203,4,0),"※编码不在物料档案里"))</f>
        <v/>
      </c>
      <c r="G224" s="24">
        <f>IF($D224="","",IFERROR(VLOOKUP($D224,物料档案!$A$4:$P$1203,5,0),"※编码不在物料档案里"))</f>
        <v/>
      </c>
      <c r="H224" s="24">
        <f>IF($D224="","",IFERROR(VLOOKUP($D224,物料档案!$A$4:$P$1203,2,0),"※编码不在物料档案里"))</f>
        <v/>
      </c>
      <c r="I224" s="24">
        <f>IF($D224="","",IFERROR(VLOOKUP($D224,物料档案!$A$4:$P$1203,6,0),"※编码不在物料档案里"))</f>
        <v/>
      </c>
      <c r="J224" s="23" t="n"/>
      <c r="K224" s="17" t="n"/>
      <c r="L224" s="17" t="n"/>
      <c r="M224" s="17" t="n"/>
      <c r="N224" s="17" t="n"/>
      <c r="O224" s="26">
        <f>IF($D224="","",IFERROR(VLOOKUP($D224,物料档案!$A$4:$P$1203,10,0),0))</f>
        <v/>
      </c>
      <c r="P224" s="32" t="n"/>
      <c r="Q224" s="26">
        <f>IF($D224="","",IF($K224&lt;&gt;"对外销售",0,ROUND(N($J224)*IF($P224="",N($O224),N($P224)),0)))</f>
        <v/>
      </c>
      <c r="R224" s="26">
        <f>IF($D224="","",IFERROR(VLOOKUP($D224,库存台账!$A$5:$Y$1204,11,0),0))</f>
        <v/>
      </c>
      <c r="S224" s="26">
        <f>IF($D224="","",ROUND(N($J224)*N($R224),0))</f>
        <v/>
      </c>
      <c r="T224" s="26">
        <f>IF($D224="","",IF($K224&lt;&gt;"对外销售","",ROUND($Q224-$S224,0)))</f>
        <v/>
      </c>
      <c r="U224" s="17" t="n"/>
      <c r="V224" s="17" t="n"/>
      <c r="W224" s="24">
        <f>IF($D224="","",IF($E224="※编码不在物料档案里","※物料编码不在档案里",IF(N($J224)&lt;=0,"※出库数量要大于 0",IF($K224="","※没填去向类型",IF($L224="","※没填去向矿区",IF(AND($C224&lt;&gt;"",$C224&lt;=结账锁),"※日期早于已结账截止日，不能再录",IF(AND($K224="自用消耗",COUNTIF({"一矿区";"二矿区"},$L224)=0),"※自用消耗的去向只能是一矿区或二矿区",IF(AND($K224="对外销售",COUNTIF({"三矿区";"六矿区"},$L224)=0),"※对外销售的去向只能是三矿区或六矿区",IF(AND($K224="对外销售",ROUND($Q224,0)=0),"※外销却没有售价，请填实际售价",IF(AND($K224="对外销售",$T224&lt;&gt;"",$T224&lt;0),"※这一笔外销是亏的，请核对售价",IF(IFERROR(VLOOKUP($D224,库存台账!$A$5:$Y$1204,24,0),0)&lt;-0.001,"※这个物料账面已经变成负数了，查一下是不是漏记入库","")))))))))))</f>
        <v/>
      </c>
    </row>
    <row r="225">
      <c r="A225" s="24">
        <f>IF($D225="","",COUNTA($D$4:$D225))</f>
        <v/>
      </c>
      <c r="B225" s="17" t="n"/>
      <c r="C225" s="30" t="n"/>
      <c r="D225" s="17" t="n"/>
      <c r="E225" s="24">
        <f>IF($D225="","",IFERROR(VLOOKUP($D225,物料档案!$A$4:$P$1203,3,0),"※编码不在物料档案里"))</f>
        <v/>
      </c>
      <c r="F225" s="24">
        <f>IF($D225="","",IFERROR(VLOOKUP($D225,物料档案!$A$4:$P$1203,4,0),"※编码不在物料档案里"))</f>
        <v/>
      </c>
      <c r="G225" s="24">
        <f>IF($D225="","",IFERROR(VLOOKUP($D225,物料档案!$A$4:$P$1203,5,0),"※编码不在物料档案里"))</f>
        <v/>
      </c>
      <c r="H225" s="24">
        <f>IF($D225="","",IFERROR(VLOOKUP($D225,物料档案!$A$4:$P$1203,2,0),"※编码不在物料档案里"))</f>
        <v/>
      </c>
      <c r="I225" s="24">
        <f>IF($D225="","",IFERROR(VLOOKUP($D225,物料档案!$A$4:$P$1203,6,0),"※编码不在物料档案里"))</f>
        <v/>
      </c>
      <c r="J225" s="23" t="n"/>
      <c r="K225" s="17" t="n"/>
      <c r="L225" s="17" t="n"/>
      <c r="M225" s="17" t="n"/>
      <c r="N225" s="17" t="n"/>
      <c r="O225" s="26">
        <f>IF($D225="","",IFERROR(VLOOKUP($D225,物料档案!$A$4:$P$1203,10,0),0))</f>
        <v/>
      </c>
      <c r="P225" s="32" t="n"/>
      <c r="Q225" s="26">
        <f>IF($D225="","",IF($K225&lt;&gt;"对外销售",0,ROUND(N($J225)*IF($P225="",N($O225),N($P225)),0)))</f>
        <v/>
      </c>
      <c r="R225" s="26">
        <f>IF($D225="","",IFERROR(VLOOKUP($D225,库存台账!$A$5:$Y$1204,11,0),0))</f>
        <v/>
      </c>
      <c r="S225" s="26">
        <f>IF($D225="","",ROUND(N($J225)*N($R225),0))</f>
        <v/>
      </c>
      <c r="T225" s="26">
        <f>IF($D225="","",IF($K225&lt;&gt;"对外销售","",ROUND($Q225-$S225,0)))</f>
        <v/>
      </c>
      <c r="U225" s="17" t="n"/>
      <c r="V225" s="17" t="n"/>
      <c r="W225" s="24">
        <f>IF($D225="","",IF($E225="※编码不在物料档案里","※物料编码不在档案里",IF(N($J225)&lt;=0,"※出库数量要大于 0",IF($K225="","※没填去向类型",IF($L225="","※没填去向矿区",IF(AND($C225&lt;&gt;"",$C225&lt;=结账锁),"※日期早于已结账截止日，不能再录",IF(AND($K225="自用消耗",COUNTIF({"一矿区";"二矿区"},$L225)=0),"※自用消耗的去向只能是一矿区或二矿区",IF(AND($K225="对外销售",COUNTIF({"三矿区";"六矿区"},$L225)=0),"※对外销售的去向只能是三矿区或六矿区",IF(AND($K225="对外销售",ROUND($Q225,0)=0),"※外销却没有售价，请填实际售价",IF(AND($K225="对外销售",$T225&lt;&gt;"",$T225&lt;0),"※这一笔外销是亏的，请核对售价",IF(IFERROR(VLOOKUP($D225,库存台账!$A$5:$Y$1204,24,0),0)&lt;-0.001,"※这个物料账面已经变成负数了，查一下是不是漏记入库","")))))))))))</f>
        <v/>
      </c>
    </row>
    <row r="226">
      <c r="A226" s="24">
        <f>IF($D226="","",COUNTA($D$4:$D226))</f>
        <v/>
      </c>
      <c r="B226" s="17" t="n"/>
      <c r="C226" s="30" t="n"/>
      <c r="D226" s="17" t="n"/>
      <c r="E226" s="24">
        <f>IF($D226="","",IFERROR(VLOOKUP($D226,物料档案!$A$4:$P$1203,3,0),"※编码不在物料档案里"))</f>
        <v/>
      </c>
      <c r="F226" s="24">
        <f>IF($D226="","",IFERROR(VLOOKUP($D226,物料档案!$A$4:$P$1203,4,0),"※编码不在物料档案里"))</f>
        <v/>
      </c>
      <c r="G226" s="24">
        <f>IF($D226="","",IFERROR(VLOOKUP($D226,物料档案!$A$4:$P$1203,5,0),"※编码不在物料档案里"))</f>
        <v/>
      </c>
      <c r="H226" s="24">
        <f>IF($D226="","",IFERROR(VLOOKUP($D226,物料档案!$A$4:$P$1203,2,0),"※编码不在物料档案里"))</f>
        <v/>
      </c>
      <c r="I226" s="24">
        <f>IF($D226="","",IFERROR(VLOOKUP($D226,物料档案!$A$4:$P$1203,6,0),"※编码不在物料档案里"))</f>
        <v/>
      </c>
      <c r="J226" s="23" t="n"/>
      <c r="K226" s="17" t="n"/>
      <c r="L226" s="17" t="n"/>
      <c r="M226" s="17" t="n"/>
      <c r="N226" s="17" t="n"/>
      <c r="O226" s="26">
        <f>IF($D226="","",IFERROR(VLOOKUP($D226,物料档案!$A$4:$P$1203,10,0),0))</f>
        <v/>
      </c>
      <c r="P226" s="32" t="n"/>
      <c r="Q226" s="26">
        <f>IF($D226="","",IF($K226&lt;&gt;"对外销售",0,ROUND(N($J226)*IF($P226="",N($O226),N($P226)),0)))</f>
        <v/>
      </c>
      <c r="R226" s="26">
        <f>IF($D226="","",IFERROR(VLOOKUP($D226,库存台账!$A$5:$Y$1204,11,0),0))</f>
        <v/>
      </c>
      <c r="S226" s="26">
        <f>IF($D226="","",ROUND(N($J226)*N($R226),0))</f>
        <v/>
      </c>
      <c r="T226" s="26">
        <f>IF($D226="","",IF($K226&lt;&gt;"对外销售","",ROUND($Q226-$S226,0)))</f>
        <v/>
      </c>
      <c r="U226" s="17" t="n"/>
      <c r="V226" s="17" t="n"/>
      <c r="W226" s="24">
        <f>IF($D226="","",IF($E226="※编码不在物料档案里","※物料编码不在档案里",IF(N($J226)&lt;=0,"※出库数量要大于 0",IF($K226="","※没填去向类型",IF($L226="","※没填去向矿区",IF(AND($C226&lt;&gt;"",$C226&lt;=结账锁),"※日期早于已结账截止日，不能再录",IF(AND($K226="自用消耗",COUNTIF({"一矿区";"二矿区"},$L226)=0),"※自用消耗的去向只能是一矿区或二矿区",IF(AND($K226="对外销售",COUNTIF({"三矿区";"六矿区"},$L226)=0),"※对外销售的去向只能是三矿区或六矿区",IF(AND($K226="对外销售",ROUND($Q226,0)=0),"※外销却没有售价，请填实际售价",IF(AND($K226="对外销售",$T226&lt;&gt;"",$T226&lt;0),"※这一笔外销是亏的，请核对售价",IF(IFERROR(VLOOKUP($D226,库存台账!$A$5:$Y$1204,24,0),0)&lt;-0.001,"※这个物料账面已经变成负数了，查一下是不是漏记入库","")))))))))))</f>
        <v/>
      </c>
    </row>
    <row r="227">
      <c r="A227" s="24">
        <f>IF($D227="","",COUNTA($D$4:$D227))</f>
        <v/>
      </c>
      <c r="B227" s="17" t="n"/>
      <c r="C227" s="30" t="n"/>
      <c r="D227" s="17" t="n"/>
      <c r="E227" s="24">
        <f>IF($D227="","",IFERROR(VLOOKUP($D227,物料档案!$A$4:$P$1203,3,0),"※编码不在物料档案里"))</f>
        <v/>
      </c>
      <c r="F227" s="24">
        <f>IF($D227="","",IFERROR(VLOOKUP($D227,物料档案!$A$4:$P$1203,4,0),"※编码不在物料档案里"))</f>
        <v/>
      </c>
      <c r="G227" s="24">
        <f>IF($D227="","",IFERROR(VLOOKUP($D227,物料档案!$A$4:$P$1203,5,0),"※编码不在物料档案里"))</f>
        <v/>
      </c>
      <c r="H227" s="24">
        <f>IF($D227="","",IFERROR(VLOOKUP($D227,物料档案!$A$4:$P$1203,2,0),"※编码不在物料档案里"))</f>
        <v/>
      </c>
      <c r="I227" s="24">
        <f>IF($D227="","",IFERROR(VLOOKUP($D227,物料档案!$A$4:$P$1203,6,0),"※编码不在物料档案里"))</f>
        <v/>
      </c>
      <c r="J227" s="23" t="n"/>
      <c r="K227" s="17" t="n"/>
      <c r="L227" s="17" t="n"/>
      <c r="M227" s="17" t="n"/>
      <c r="N227" s="17" t="n"/>
      <c r="O227" s="26">
        <f>IF($D227="","",IFERROR(VLOOKUP($D227,物料档案!$A$4:$P$1203,10,0),0))</f>
        <v/>
      </c>
      <c r="P227" s="32" t="n"/>
      <c r="Q227" s="26">
        <f>IF($D227="","",IF($K227&lt;&gt;"对外销售",0,ROUND(N($J227)*IF($P227="",N($O227),N($P227)),0)))</f>
        <v/>
      </c>
      <c r="R227" s="26">
        <f>IF($D227="","",IFERROR(VLOOKUP($D227,库存台账!$A$5:$Y$1204,11,0),0))</f>
        <v/>
      </c>
      <c r="S227" s="26">
        <f>IF($D227="","",ROUND(N($J227)*N($R227),0))</f>
        <v/>
      </c>
      <c r="T227" s="26">
        <f>IF($D227="","",IF($K227&lt;&gt;"对外销售","",ROUND($Q227-$S227,0)))</f>
        <v/>
      </c>
      <c r="U227" s="17" t="n"/>
      <c r="V227" s="17" t="n"/>
      <c r="W227" s="24">
        <f>IF($D227="","",IF($E227="※编码不在物料档案里","※物料编码不在档案里",IF(N($J227)&lt;=0,"※出库数量要大于 0",IF($K227="","※没填去向类型",IF($L227="","※没填去向矿区",IF(AND($C227&lt;&gt;"",$C227&lt;=结账锁),"※日期早于已结账截止日，不能再录",IF(AND($K227="自用消耗",COUNTIF({"一矿区";"二矿区"},$L227)=0),"※自用消耗的去向只能是一矿区或二矿区",IF(AND($K227="对外销售",COUNTIF({"三矿区";"六矿区"},$L227)=0),"※对外销售的去向只能是三矿区或六矿区",IF(AND($K227="对外销售",ROUND($Q227,0)=0),"※外销却没有售价，请填实际售价",IF(AND($K227="对外销售",$T227&lt;&gt;"",$T227&lt;0),"※这一笔外销是亏的，请核对售价",IF(IFERROR(VLOOKUP($D227,库存台账!$A$5:$Y$1204,24,0),0)&lt;-0.001,"※这个物料账面已经变成负数了，查一下是不是漏记入库","")))))))))))</f>
        <v/>
      </c>
    </row>
    <row r="228">
      <c r="A228" s="24">
        <f>IF($D228="","",COUNTA($D$4:$D228))</f>
        <v/>
      </c>
      <c r="B228" s="17" t="n"/>
      <c r="C228" s="30" t="n"/>
      <c r="D228" s="17" t="n"/>
      <c r="E228" s="24">
        <f>IF($D228="","",IFERROR(VLOOKUP($D228,物料档案!$A$4:$P$1203,3,0),"※编码不在物料档案里"))</f>
        <v/>
      </c>
      <c r="F228" s="24">
        <f>IF($D228="","",IFERROR(VLOOKUP($D228,物料档案!$A$4:$P$1203,4,0),"※编码不在物料档案里"))</f>
        <v/>
      </c>
      <c r="G228" s="24">
        <f>IF($D228="","",IFERROR(VLOOKUP($D228,物料档案!$A$4:$P$1203,5,0),"※编码不在物料档案里"))</f>
        <v/>
      </c>
      <c r="H228" s="24">
        <f>IF($D228="","",IFERROR(VLOOKUP($D228,物料档案!$A$4:$P$1203,2,0),"※编码不在物料档案里"))</f>
        <v/>
      </c>
      <c r="I228" s="24">
        <f>IF($D228="","",IFERROR(VLOOKUP($D228,物料档案!$A$4:$P$1203,6,0),"※编码不在物料档案里"))</f>
        <v/>
      </c>
      <c r="J228" s="23" t="n"/>
      <c r="K228" s="17" t="n"/>
      <c r="L228" s="17" t="n"/>
      <c r="M228" s="17" t="n"/>
      <c r="N228" s="17" t="n"/>
      <c r="O228" s="26">
        <f>IF($D228="","",IFERROR(VLOOKUP($D228,物料档案!$A$4:$P$1203,10,0),0))</f>
        <v/>
      </c>
      <c r="P228" s="32" t="n"/>
      <c r="Q228" s="26">
        <f>IF($D228="","",IF($K228&lt;&gt;"对外销售",0,ROUND(N($J228)*IF($P228="",N($O228),N($P228)),0)))</f>
        <v/>
      </c>
      <c r="R228" s="26">
        <f>IF($D228="","",IFERROR(VLOOKUP($D228,库存台账!$A$5:$Y$1204,11,0),0))</f>
        <v/>
      </c>
      <c r="S228" s="26">
        <f>IF($D228="","",ROUND(N($J228)*N($R228),0))</f>
        <v/>
      </c>
      <c r="T228" s="26">
        <f>IF($D228="","",IF($K228&lt;&gt;"对外销售","",ROUND($Q228-$S228,0)))</f>
        <v/>
      </c>
      <c r="U228" s="17" t="n"/>
      <c r="V228" s="17" t="n"/>
      <c r="W228" s="24">
        <f>IF($D228="","",IF($E228="※编码不在物料档案里","※物料编码不在档案里",IF(N($J228)&lt;=0,"※出库数量要大于 0",IF($K228="","※没填去向类型",IF($L228="","※没填去向矿区",IF(AND($C228&lt;&gt;"",$C228&lt;=结账锁),"※日期早于已结账截止日，不能再录",IF(AND($K228="自用消耗",COUNTIF({"一矿区";"二矿区"},$L228)=0),"※自用消耗的去向只能是一矿区或二矿区",IF(AND($K228="对外销售",COUNTIF({"三矿区";"六矿区"},$L228)=0),"※对外销售的去向只能是三矿区或六矿区",IF(AND($K228="对外销售",ROUND($Q228,0)=0),"※外销却没有售价，请填实际售价",IF(AND($K228="对外销售",$T228&lt;&gt;"",$T228&lt;0),"※这一笔外销是亏的，请核对售价",IF(IFERROR(VLOOKUP($D228,库存台账!$A$5:$Y$1204,24,0),0)&lt;-0.001,"※这个物料账面已经变成负数了，查一下是不是漏记入库","")))))))))))</f>
        <v/>
      </c>
    </row>
    <row r="229">
      <c r="A229" s="24">
        <f>IF($D229="","",COUNTA($D$4:$D229))</f>
        <v/>
      </c>
      <c r="B229" s="17" t="n"/>
      <c r="C229" s="30" t="n"/>
      <c r="D229" s="17" t="n"/>
      <c r="E229" s="24">
        <f>IF($D229="","",IFERROR(VLOOKUP($D229,物料档案!$A$4:$P$1203,3,0),"※编码不在物料档案里"))</f>
        <v/>
      </c>
      <c r="F229" s="24">
        <f>IF($D229="","",IFERROR(VLOOKUP($D229,物料档案!$A$4:$P$1203,4,0),"※编码不在物料档案里"))</f>
        <v/>
      </c>
      <c r="G229" s="24">
        <f>IF($D229="","",IFERROR(VLOOKUP($D229,物料档案!$A$4:$P$1203,5,0),"※编码不在物料档案里"))</f>
        <v/>
      </c>
      <c r="H229" s="24">
        <f>IF($D229="","",IFERROR(VLOOKUP($D229,物料档案!$A$4:$P$1203,2,0),"※编码不在物料档案里"))</f>
        <v/>
      </c>
      <c r="I229" s="24">
        <f>IF($D229="","",IFERROR(VLOOKUP($D229,物料档案!$A$4:$P$1203,6,0),"※编码不在物料档案里"))</f>
        <v/>
      </c>
      <c r="J229" s="23" t="n"/>
      <c r="K229" s="17" t="n"/>
      <c r="L229" s="17" t="n"/>
      <c r="M229" s="17" t="n"/>
      <c r="N229" s="17" t="n"/>
      <c r="O229" s="26">
        <f>IF($D229="","",IFERROR(VLOOKUP($D229,物料档案!$A$4:$P$1203,10,0),0))</f>
        <v/>
      </c>
      <c r="P229" s="32" t="n"/>
      <c r="Q229" s="26">
        <f>IF($D229="","",IF($K229&lt;&gt;"对外销售",0,ROUND(N($J229)*IF($P229="",N($O229),N($P229)),0)))</f>
        <v/>
      </c>
      <c r="R229" s="26">
        <f>IF($D229="","",IFERROR(VLOOKUP($D229,库存台账!$A$5:$Y$1204,11,0),0))</f>
        <v/>
      </c>
      <c r="S229" s="26">
        <f>IF($D229="","",ROUND(N($J229)*N($R229),0))</f>
        <v/>
      </c>
      <c r="T229" s="26">
        <f>IF($D229="","",IF($K229&lt;&gt;"对外销售","",ROUND($Q229-$S229,0)))</f>
        <v/>
      </c>
      <c r="U229" s="17" t="n"/>
      <c r="V229" s="17" t="n"/>
      <c r="W229" s="24">
        <f>IF($D229="","",IF($E229="※编码不在物料档案里","※物料编码不在档案里",IF(N($J229)&lt;=0,"※出库数量要大于 0",IF($K229="","※没填去向类型",IF($L229="","※没填去向矿区",IF(AND($C229&lt;&gt;"",$C229&lt;=结账锁),"※日期早于已结账截止日，不能再录",IF(AND($K229="自用消耗",COUNTIF({"一矿区";"二矿区"},$L229)=0),"※自用消耗的去向只能是一矿区或二矿区",IF(AND($K229="对外销售",COUNTIF({"三矿区";"六矿区"},$L229)=0),"※对外销售的去向只能是三矿区或六矿区",IF(AND($K229="对外销售",ROUND($Q229,0)=0),"※外销却没有售价，请填实际售价",IF(AND($K229="对外销售",$T229&lt;&gt;"",$T229&lt;0),"※这一笔外销是亏的，请核对售价",IF(IFERROR(VLOOKUP($D229,库存台账!$A$5:$Y$1204,24,0),0)&lt;-0.001,"※这个物料账面已经变成负数了，查一下是不是漏记入库","")))))))))))</f>
        <v/>
      </c>
    </row>
    <row r="230">
      <c r="A230" s="24">
        <f>IF($D230="","",COUNTA($D$4:$D230))</f>
        <v/>
      </c>
      <c r="B230" s="17" t="n"/>
      <c r="C230" s="30" t="n"/>
      <c r="D230" s="17" t="n"/>
      <c r="E230" s="24">
        <f>IF($D230="","",IFERROR(VLOOKUP($D230,物料档案!$A$4:$P$1203,3,0),"※编码不在物料档案里"))</f>
        <v/>
      </c>
      <c r="F230" s="24">
        <f>IF($D230="","",IFERROR(VLOOKUP($D230,物料档案!$A$4:$P$1203,4,0),"※编码不在物料档案里"))</f>
        <v/>
      </c>
      <c r="G230" s="24">
        <f>IF($D230="","",IFERROR(VLOOKUP($D230,物料档案!$A$4:$P$1203,5,0),"※编码不在物料档案里"))</f>
        <v/>
      </c>
      <c r="H230" s="24">
        <f>IF($D230="","",IFERROR(VLOOKUP($D230,物料档案!$A$4:$P$1203,2,0),"※编码不在物料档案里"))</f>
        <v/>
      </c>
      <c r="I230" s="24">
        <f>IF($D230="","",IFERROR(VLOOKUP($D230,物料档案!$A$4:$P$1203,6,0),"※编码不在物料档案里"))</f>
        <v/>
      </c>
      <c r="J230" s="23" t="n"/>
      <c r="K230" s="17" t="n"/>
      <c r="L230" s="17" t="n"/>
      <c r="M230" s="17" t="n"/>
      <c r="N230" s="17" t="n"/>
      <c r="O230" s="26">
        <f>IF($D230="","",IFERROR(VLOOKUP($D230,物料档案!$A$4:$P$1203,10,0),0))</f>
        <v/>
      </c>
      <c r="P230" s="32" t="n"/>
      <c r="Q230" s="26">
        <f>IF($D230="","",IF($K230&lt;&gt;"对外销售",0,ROUND(N($J230)*IF($P230="",N($O230),N($P230)),0)))</f>
        <v/>
      </c>
      <c r="R230" s="26">
        <f>IF($D230="","",IFERROR(VLOOKUP($D230,库存台账!$A$5:$Y$1204,11,0),0))</f>
        <v/>
      </c>
      <c r="S230" s="26">
        <f>IF($D230="","",ROUND(N($J230)*N($R230),0))</f>
        <v/>
      </c>
      <c r="T230" s="26">
        <f>IF($D230="","",IF($K230&lt;&gt;"对外销售","",ROUND($Q230-$S230,0)))</f>
        <v/>
      </c>
      <c r="U230" s="17" t="n"/>
      <c r="V230" s="17" t="n"/>
      <c r="W230" s="24">
        <f>IF($D230="","",IF($E230="※编码不在物料档案里","※物料编码不在档案里",IF(N($J230)&lt;=0,"※出库数量要大于 0",IF($K230="","※没填去向类型",IF($L230="","※没填去向矿区",IF(AND($C230&lt;&gt;"",$C230&lt;=结账锁),"※日期早于已结账截止日，不能再录",IF(AND($K230="自用消耗",COUNTIF({"一矿区";"二矿区"},$L230)=0),"※自用消耗的去向只能是一矿区或二矿区",IF(AND($K230="对外销售",COUNTIF({"三矿区";"六矿区"},$L230)=0),"※对外销售的去向只能是三矿区或六矿区",IF(AND($K230="对外销售",ROUND($Q230,0)=0),"※外销却没有售价，请填实际售价",IF(AND($K230="对外销售",$T230&lt;&gt;"",$T230&lt;0),"※这一笔外销是亏的，请核对售价",IF(IFERROR(VLOOKUP($D230,库存台账!$A$5:$Y$1204,24,0),0)&lt;-0.001,"※这个物料账面已经变成负数了，查一下是不是漏记入库","")))))))))))</f>
        <v/>
      </c>
    </row>
    <row r="231">
      <c r="A231" s="24">
        <f>IF($D231="","",COUNTA($D$4:$D231))</f>
        <v/>
      </c>
      <c r="B231" s="17" t="n"/>
      <c r="C231" s="30" t="n"/>
      <c r="D231" s="17" t="n"/>
      <c r="E231" s="24">
        <f>IF($D231="","",IFERROR(VLOOKUP($D231,物料档案!$A$4:$P$1203,3,0),"※编码不在物料档案里"))</f>
        <v/>
      </c>
      <c r="F231" s="24">
        <f>IF($D231="","",IFERROR(VLOOKUP($D231,物料档案!$A$4:$P$1203,4,0),"※编码不在物料档案里"))</f>
        <v/>
      </c>
      <c r="G231" s="24">
        <f>IF($D231="","",IFERROR(VLOOKUP($D231,物料档案!$A$4:$P$1203,5,0),"※编码不在物料档案里"))</f>
        <v/>
      </c>
      <c r="H231" s="24">
        <f>IF($D231="","",IFERROR(VLOOKUP($D231,物料档案!$A$4:$P$1203,2,0),"※编码不在物料档案里"))</f>
        <v/>
      </c>
      <c r="I231" s="24">
        <f>IF($D231="","",IFERROR(VLOOKUP($D231,物料档案!$A$4:$P$1203,6,0),"※编码不在物料档案里"))</f>
        <v/>
      </c>
      <c r="J231" s="23" t="n"/>
      <c r="K231" s="17" t="n"/>
      <c r="L231" s="17" t="n"/>
      <c r="M231" s="17" t="n"/>
      <c r="N231" s="17" t="n"/>
      <c r="O231" s="26">
        <f>IF($D231="","",IFERROR(VLOOKUP($D231,物料档案!$A$4:$P$1203,10,0),0))</f>
        <v/>
      </c>
      <c r="P231" s="32" t="n"/>
      <c r="Q231" s="26">
        <f>IF($D231="","",IF($K231&lt;&gt;"对外销售",0,ROUND(N($J231)*IF($P231="",N($O231),N($P231)),0)))</f>
        <v/>
      </c>
      <c r="R231" s="26">
        <f>IF($D231="","",IFERROR(VLOOKUP($D231,库存台账!$A$5:$Y$1204,11,0),0))</f>
        <v/>
      </c>
      <c r="S231" s="26">
        <f>IF($D231="","",ROUND(N($J231)*N($R231),0))</f>
        <v/>
      </c>
      <c r="T231" s="26">
        <f>IF($D231="","",IF($K231&lt;&gt;"对外销售","",ROUND($Q231-$S231,0)))</f>
        <v/>
      </c>
      <c r="U231" s="17" t="n"/>
      <c r="V231" s="17" t="n"/>
      <c r="W231" s="24">
        <f>IF($D231="","",IF($E231="※编码不在物料档案里","※物料编码不在档案里",IF(N($J231)&lt;=0,"※出库数量要大于 0",IF($K231="","※没填去向类型",IF($L231="","※没填去向矿区",IF(AND($C231&lt;&gt;"",$C231&lt;=结账锁),"※日期早于已结账截止日，不能再录",IF(AND($K231="自用消耗",COUNTIF({"一矿区";"二矿区"},$L231)=0),"※自用消耗的去向只能是一矿区或二矿区",IF(AND($K231="对外销售",COUNTIF({"三矿区";"六矿区"},$L231)=0),"※对外销售的去向只能是三矿区或六矿区",IF(AND($K231="对外销售",ROUND($Q231,0)=0),"※外销却没有售价，请填实际售价",IF(AND($K231="对外销售",$T231&lt;&gt;"",$T231&lt;0),"※这一笔外销是亏的，请核对售价",IF(IFERROR(VLOOKUP($D231,库存台账!$A$5:$Y$1204,24,0),0)&lt;-0.001,"※这个物料账面已经变成负数了，查一下是不是漏记入库","")))))))))))</f>
        <v/>
      </c>
    </row>
    <row r="232">
      <c r="A232" s="24">
        <f>IF($D232="","",COUNTA($D$4:$D232))</f>
        <v/>
      </c>
      <c r="B232" s="17" t="n"/>
      <c r="C232" s="30" t="n"/>
      <c r="D232" s="17" t="n"/>
      <c r="E232" s="24">
        <f>IF($D232="","",IFERROR(VLOOKUP($D232,物料档案!$A$4:$P$1203,3,0),"※编码不在物料档案里"))</f>
        <v/>
      </c>
      <c r="F232" s="24">
        <f>IF($D232="","",IFERROR(VLOOKUP($D232,物料档案!$A$4:$P$1203,4,0),"※编码不在物料档案里"))</f>
        <v/>
      </c>
      <c r="G232" s="24">
        <f>IF($D232="","",IFERROR(VLOOKUP($D232,物料档案!$A$4:$P$1203,5,0),"※编码不在物料档案里"))</f>
        <v/>
      </c>
      <c r="H232" s="24">
        <f>IF($D232="","",IFERROR(VLOOKUP($D232,物料档案!$A$4:$P$1203,2,0),"※编码不在物料档案里"))</f>
        <v/>
      </c>
      <c r="I232" s="24">
        <f>IF($D232="","",IFERROR(VLOOKUP($D232,物料档案!$A$4:$P$1203,6,0),"※编码不在物料档案里"))</f>
        <v/>
      </c>
      <c r="J232" s="23" t="n"/>
      <c r="K232" s="17" t="n"/>
      <c r="L232" s="17" t="n"/>
      <c r="M232" s="17" t="n"/>
      <c r="N232" s="17" t="n"/>
      <c r="O232" s="26">
        <f>IF($D232="","",IFERROR(VLOOKUP($D232,物料档案!$A$4:$P$1203,10,0),0))</f>
        <v/>
      </c>
      <c r="P232" s="32" t="n"/>
      <c r="Q232" s="26">
        <f>IF($D232="","",IF($K232&lt;&gt;"对外销售",0,ROUND(N($J232)*IF($P232="",N($O232),N($P232)),0)))</f>
        <v/>
      </c>
      <c r="R232" s="26">
        <f>IF($D232="","",IFERROR(VLOOKUP($D232,库存台账!$A$5:$Y$1204,11,0),0))</f>
        <v/>
      </c>
      <c r="S232" s="26">
        <f>IF($D232="","",ROUND(N($J232)*N($R232),0))</f>
        <v/>
      </c>
      <c r="T232" s="26">
        <f>IF($D232="","",IF($K232&lt;&gt;"对外销售","",ROUND($Q232-$S232,0)))</f>
        <v/>
      </c>
      <c r="U232" s="17" t="n"/>
      <c r="V232" s="17" t="n"/>
      <c r="W232" s="24">
        <f>IF($D232="","",IF($E232="※编码不在物料档案里","※物料编码不在档案里",IF(N($J232)&lt;=0,"※出库数量要大于 0",IF($K232="","※没填去向类型",IF($L232="","※没填去向矿区",IF(AND($C232&lt;&gt;"",$C232&lt;=结账锁),"※日期早于已结账截止日，不能再录",IF(AND($K232="自用消耗",COUNTIF({"一矿区";"二矿区"},$L232)=0),"※自用消耗的去向只能是一矿区或二矿区",IF(AND($K232="对外销售",COUNTIF({"三矿区";"六矿区"},$L232)=0),"※对外销售的去向只能是三矿区或六矿区",IF(AND($K232="对外销售",ROUND($Q232,0)=0),"※外销却没有售价，请填实际售价",IF(AND($K232="对外销售",$T232&lt;&gt;"",$T232&lt;0),"※这一笔外销是亏的，请核对售价",IF(IFERROR(VLOOKUP($D232,库存台账!$A$5:$Y$1204,24,0),0)&lt;-0.001,"※这个物料账面已经变成负数了，查一下是不是漏记入库","")))))))))))</f>
        <v/>
      </c>
    </row>
    <row r="233">
      <c r="A233" s="24">
        <f>IF($D233="","",COUNTA($D$4:$D233))</f>
        <v/>
      </c>
      <c r="B233" s="17" t="n"/>
      <c r="C233" s="30" t="n"/>
      <c r="D233" s="17" t="n"/>
      <c r="E233" s="24">
        <f>IF($D233="","",IFERROR(VLOOKUP($D233,物料档案!$A$4:$P$1203,3,0),"※编码不在物料档案里"))</f>
        <v/>
      </c>
      <c r="F233" s="24">
        <f>IF($D233="","",IFERROR(VLOOKUP($D233,物料档案!$A$4:$P$1203,4,0),"※编码不在物料档案里"))</f>
        <v/>
      </c>
      <c r="G233" s="24">
        <f>IF($D233="","",IFERROR(VLOOKUP($D233,物料档案!$A$4:$P$1203,5,0),"※编码不在物料档案里"))</f>
        <v/>
      </c>
      <c r="H233" s="24">
        <f>IF($D233="","",IFERROR(VLOOKUP($D233,物料档案!$A$4:$P$1203,2,0),"※编码不在物料档案里"))</f>
        <v/>
      </c>
      <c r="I233" s="24">
        <f>IF($D233="","",IFERROR(VLOOKUP($D233,物料档案!$A$4:$P$1203,6,0),"※编码不在物料档案里"))</f>
        <v/>
      </c>
      <c r="J233" s="23" t="n"/>
      <c r="K233" s="17" t="n"/>
      <c r="L233" s="17" t="n"/>
      <c r="M233" s="17" t="n"/>
      <c r="N233" s="17" t="n"/>
      <c r="O233" s="26">
        <f>IF($D233="","",IFERROR(VLOOKUP($D233,物料档案!$A$4:$P$1203,10,0),0))</f>
        <v/>
      </c>
      <c r="P233" s="32" t="n"/>
      <c r="Q233" s="26">
        <f>IF($D233="","",IF($K233&lt;&gt;"对外销售",0,ROUND(N($J233)*IF($P233="",N($O233),N($P233)),0)))</f>
        <v/>
      </c>
      <c r="R233" s="26">
        <f>IF($D233="","",IFERROR(VLOOKUP($D233,库存台账!$A$5:$Y$1204,11,0),0))</f>
        <v/>
      </c>
      <c r="S233" s="26">
        <f>IF($D233="","",ROUND(N($J233)*N($R233),0))</f>
        <v/>
      </c>
      <c r="T233" s="26">
        <f>IF($D233="","",IF($K233&lt;&gt;"对外销售","",ROUND($Q233-$S233,0)))</f>
        <v/>
      </c>
      <c r="U233" s="17" t="n"/>
      <c r="V233" s="17" t="n"/>
      <c r="W233" s="24">
        <f>IF($D233="","",IF($E233="※编码不在物料档案里","※物料编码不在档案里",IF(N($J233)&lt;=0,"※出库数量要大于 0",IF($K233="","※没填去向类型",IF($L233="","※没填去向矿区",IF(AND($C233&lt;&gt;"",$C233&lt;=结账锁),"※日期早于已结账截止日，不能再录",IF(AND($K233="自用消耗",COUNTIF({"一矿区";"二矿区"},$L233)=0),"※自用消耗的去向只能是一矿区或二矿区",IF(AND($K233="对外销售",COUNTIF({"三矿区";"六矿区"},$L233)=0),"※对外销售的去向只能是三矿区或六矿区",IF(AND($K233="对外销售",ROUND($Q233,0)=0),"※外销却没有售价，请填实际售价",IF(AND($K233="对外销售",$T233&lt;&gt;"",$T233&lt;0),"※这一笔外销是亏的，请核对售价",IF(IFERROR(VLOOKUP($D233,库存台账!$A$5:$Y$1204,24,0),0)&lt;-0.001,"※这个物料账面已经变成负数了，查一下是不是漏记入库","")))))))))))</f>
        <v/>
      </c>
    </row>
    <row r="234">
      <c r="A234" s="24">
        <f>IF($D234="","",COUNTA($D$4:$D234))</f>
        <v/>
      </c>
      <c r="B234" s="17" t="n"/>
      <c r="C234" s="30" t="n"/>
      <c r="D234" s="17" t="n"/>
      <c r="E234" s="24">
        <f>IF($D234="","",IFERROR(VLOOKUP($D234,物料档案!$A$4:$P$1203,3,0),"※编码不在物料档案里"))</f>
        <v/>
      </c>
      <c r="F234" s="24">
        <f>IF($D234="","",IFERROR(VLOOKUP($D234,物料档案!$A$4:$P$1203,4,0),"※编码不在物料档案里"))</f>
        <v/>
      </c>
      <c r="G234" s="24">
        <f>IF($D234="","",IFERROR(VLOOKUP($D234,物料档案!$A$4:$P$1203,5,0),"※编码不在物料档案里"))</f>
        <v/>
      </c>
      <c r="H234" s="24">
        <f>IF($D234="","",IFERROR(VLOOKUP($D234,物料档案!$A$4:$P$1203,2,0),"※编码不在物料档案里"))</f>
        <v/>
      </c>
      <c r="I234" s="24">
        <f>IF($D234="","",IFERROR(VLOOKUP($D234,物料档案!$A$4:$P$1203,6,0),"※编码不在物料档案里"))</f>
        <v/>
      </c>
      <c r="J234" s="23" t="n"/>
      <c r="K234" s="17" t="n"/>
      <c r="L234" s="17" t="n"/>
      <c r="M234" s="17" t="n"/>
      <c r="N234" s="17" t="n"/>
      <c r="O234" s="26">
        <f>IF($D234="","",IFERROR(VLOOKUP($D234,物料档案!$A$4:$P$1203,10,0),0))</f>
        <v/>
      </c>
      <c r="P234" s="32" t="n"/>
      <c r="Q234" s="26">
        <f>IF($D234="","",IF($K234&lt;&gt;"对外销售",0,ROUND(N($J234)*IF($P234="",N($O234),N($P234)),0)))</f>
        <v/>
      </c>
      <c r="R234" s="26">
        <f>IF($D234="","",IFERROR(VLOOKUP($D234,库存台账!$A$5:$Y$1204,11,0),0))</f>
        <v/>
      </c>
      <c r="S234" s="26">
        <f>IF($D234="","",ROUND(N($J234)*N($R234),0))</f>
        <v/>
      </c>
      <c r="T234" s="26">
        <f>IF($D234="","",IF($K234&lt;&gt;"对外销售","",ROUND($Q234-$S234,0)))</f>
        <v/>
      </c>
      <c r="U234" s="17" t="n"/>
      <c r="V234" s="17" t="n"/>
      <c r="W234" s="24">
        <f>IF($D234="","",IF($E234="※编码不在物料档案里","※物料编码不在档案里",IF(N($J234)&lt;=0,"※出库数量要大于 0",IF($K234="","※没填去向类型",IF($L234="","※没填去向矿区",IF(AND($C234&lt;&gt;"",$C234&lt;=结账锁),"※日期早于已结账截止日，不能再录",IF(AND($K234="自用消耗",COUNTIF({"一矿区";"二矿区"},$L234)=0),"※自用消耗的去向只能是一矿区或二矿区",IF(AND($K234="对外销售",COUNTIF({"三矿区";"六矿区"},$L234)=0),"※对外销售的去向只能是三矿区或六矿区",IF(AND($K234="对外销售",ROUND($Q234,0)=0),"※外销却没有售价，请填实际售价",IF(AND($K234="对外销售",$T234&lt;&gt;"",$T234&lt;0),"※这一笔外销是亏的，请核对售价",IF(IFERROR(VLOOKUP($D234,库存台账!$A$5:$Y$1204,24,0),0)&lt;-0.001,"※这个物料账面已经变成负数了，查一下是不是漏记入库","")))))))))))</f>
        <v/>
      </c>
    </row>
    <row r="235">
      <c r="A235" s="24">
        <f>IF($D235="","",COUNTA($D$4:$D235))</f>
        <v/>
      </c>
      <c r="B235" s="17" t="n"/>
      <c r="C235" s="30" t="n"/>
      <c r="D235" s="17" t="n"/>
      <c r="E235" s="24">
        <f>IF($D235="","",IFERROR(VLOOKUP($D235,物料档案!$A$4:$P$1203,3,0),"※编码不在物料档案里"))</f>
        <v/>
      </c>
      <c r="F235" s="24">
        <f>IF($D235="","",IFERROR(VLOOKUP($D235,物料档案!$A$4:$P$1203,4,0),"※编码不在物料档案里"))</f>
        <v/>
      </c>
      <c r="G235" s="24">
        <f>IF($D235="","",IFERROR(VLOOKUP($D235,物料档案!$A$4:$P$1203,5,0),"※编码不在物料档案里"))</f>
        <v/>
      </c>
      <c r="H235" s="24">
        <f>IF($D235="","",IFERROR(VLOOKUP($D235,物料档案!$A$4:$P$1203,2,0),"※编码不在物料档案里"))</f>
        <v/>
      </c>
      <c r="I235" s="24">
        <f>IF($D235="","",IFERROR(VLOOKUP($D235,物料档案!$A$4:$P$1203,6,0),"※编码不在物料档案里"))</f>
        <v/>
      </c>
      <c r="J235" s="23" t="n"/>
      <c r="K235" s="17" t="n"/>
      <c r="L235" s="17" t="n"/>
      <c r="M235" s="17" t="n"/>
      <c r="N235" s="17" t="n"/>
      <c r="O235" s="26">
        <f>IF($D235="","",IFERROR(VLOOKUP($D235,物料档案!$A$4:$P$1203,10,0),0))</f>
        <v/>
      </c>
      <c r="P235" s="32" t="n"/>
      <c r="Q235" s="26">
        <f>IF($D235="","",IF($K235&lt;&gt;"对外销售",0,ROUND(N($J235)*IF($P235="",N($O235),N($P235)),0)))</f>
        <v/>
      </c>
      <c r="R235" s="26">
        <f>IF($D235="","",IFERROR(VLOOKUP($D235,库存台账!$A$5:$Y$1204,11,0),0))</f>
        <v/>
      </c>
      <c r="S235" s="26">
        <f>IF($D235="","",ROUND(N($J235)*N($R235),0))</f>
        <v/>
      </c>
      <c r="T235" s="26">
        <f>IF($D235="","",IF($K235&lt;&gt;"对外销售","",ROUND($Q235-$S235,0)))</f>
        <v/>
      </c>
      <c r="U235" s="17" t="n"/>
      <c r="V235" s="17" t="n"/>
      <c r="W235" s="24">
        <f>IF($D235="","",IF($E235="※编码不在物料档案里","※物料编码不在档案里",IF(N($J235)&lt;=0,"※出库数量要大于 0",IF($K235="","※没填去向类型",IF($L235="","※没填去向矿区",IF(AND($C235&lt;&gt;"",$C235&lt;=结账锁),"※日期早于已结账截止日，不能再录",IF(AND($K235="自用消耗",COUNTIF({"一矿区";"二矿区"},$L235)=0),"※自用消耗的去向只能是一矿区或二矿区",IF(AND($K235="对外销售",COUNTIF({"三矿区";"六矿区"},$L235)=0),"※对外销售的去向只能是三矿区或六矿区",IF(AND($K235="对外销售",ROUND($Q235,0)=0),"※外销却没有售价，请填实际售价",IF(AND($K235="对外销售",$T235&lt;&gt;"",$T235&lt;0),"※这一笔外销是亏的，请核对售价",IF(IFERROR(VLOOKUP($D235,库存台账!$A$5:$Y$1204,24,0),0)&lt;-0.001,"※这个物料账面已经变成负数了，查一下是不是漏记入库","")))))))))))</f>
        <v/>
      </c>
    </row>
    <row r="236">
      <c r="A236" s="24">
        <f>IF($D236="","",COUNTA($D$4:$D236))</f>
        <v/>
      </c>
      <c r="B236" s="17" t="n"/>
      <c r="C236" s="30" t="n"/>
      <c r="D236" s="17" t="n"/>
      <c r="E236" s="24">
        <f>IF($D236="","",IFERROR(VLOOKUP($D236,物料档案!$A$4:$P$1203,3,0),"※编码不在物料档案里"))</f>
        <v/>
      </c>
      <c r="F236" s="24">
        <f>IF($D236="","",IFERROR(VLOOKUP($D236,物料档案!$A$4:$P$1203,4,0),"※编码不在物料档案里"))</f>
        <v/>
      </c>
      <c r="G236" s="24">
        <f>IF($D236="","",IFERROR(VLOOKUP($D236,物料档案!$A$4:$P$1203,5,0),"※编码不在物料档案里"))</f>
        <v/>
      </c>
      <c r="H236" s="24">
        <f>IF($D236="","",IFERROR(VLOOKUP($D236,物料档案!$A$4:$P$1203,2,0),"※编码不在物料档案里"))</f>
        <v/>
      </c>
      <c r="I236" s="24">
        <f>IF($D236="","",IFERROR(VLOOKUP($D236,物料档案!$A$4:$P$1203,6,0),"※编码不在物料档案里"))</f>
        <v/>
      </c>
      <c r="J236" s="23" t="n"/>
      <c r="K236" s="17" t="n"/>
      <c r="L236" s="17" t="n"/>
      <c r="M236" s="17" t="n"/>
      <c r="N236" s="17" t="n"/>
      <c r="O236" s="26">
        <f>IF($D236="","",IFERROR(VLOOKUP($D236,物料档案!$A$4:$P$1203,10,0),0))</f>
        <v/>
      </c>
      <c r="P236" s="32" t="n"/>
      <c r="Q236" s="26">
        <f>IF($D236="","",IF($K236&lt;&gt;"对外销售",0,ROUND(N($J236)*IF($P236="",N($O236),N($P236)),0)))</f>
        <v/>
      </c>
      <c r="R236" s="26">
        <f>IF($D236="","",IFERROR(VLOOKUP($D236,库存台账!$A$5:$Y$1204,11,0),0))</f>
        <v/>
      </c>
      <c r="S236" s="26">
        <f>IF($D236="","",ROUND(N($J236)*N($R236),0))</f>
        <v/>
      </c>
      <c r="T236" s="26">
        <f>IF($D236="","",IF($K236&lt;&gt;"对外销售","",ROUND($Q236-$S236,0)))</f>
        <v/>
      </c>
      <c r="U236" s="17" t="n"/>
      <c r="V236" s="17" t="n"/>
      <c r="W236" s="24">
        <f>IF($D236="","",IF($E236="※编码不在物料档案里","※物料编码不在档案里",IF(N($J236)&lt;=0,"※出库数量要大于 0",IF($K236="","※没填去向类型",IF($L236="","※没填去向矿区",IF(AND($C236&lt;&gt;"",$C236&lt;=结账锁),"※日期早于已结账截止日，不能再录",IF(AND($K236="自用消耗",COUNTIF({"一矿区";"二矿区"},$L236)=0),"※自用消耗的去向只能是一矿区或二矿区",IF(AND($K236="对外销售",COUNTIF({"三矿区";"六矿区"},$L236)=0),"※对外销售的去向只能是三矿区或六矿区",IF(AND($K236="对外销售",ROUND($Q236,0)=0),"※外销却没有售价，请填实际售价",IF(AND($K236="对外销售",$T236&lt;&gt;"",$T236&lt;0),"※这一笔外销是亏的，请核对售价",IF(IFERROR(VLOOKUP($D236,库存台账!$A$5:$Y$1204,24,0),0)&lt;-0.001,"※这个物料账面已经变成负数了，查一下是不是漏记入库","")))))))))))</f>
        <v/>
      </c>
    </row>
    <row r="237">
      <c r="A237" s="24">
        <f>IF($D237="","",COUNTA($D$4:$D237))</f>
        <v/>
      </c>
      <c r="B237" s="17" t="n"/>
      <c r="C237" s="30" t="n"/>
      <c r="D237" s="17" t="n"/>
      <c r="E237" s="24">
        <f>IF($D237="","",IFERROR(VLOOKUP($D237,物料档案!$A$4:$P$1203,3,0),"※编码不在物料档案里"))</f>
        <v/>
      </c>
      <c r="F237" s="24">
        <f>IF($D237="","",IFERROR(VLOOKUP($D237,物料档案!$A$4:$P$1203,4,0),"※编码不在物料档案里"))</f>
        <v/>
      </c>
      <c r="G237" s="24">
        <f>IF($D237="","",IFERROR(VLOOKUP($D237,物料档案!$A$4:$P$1203,5,0),"※编码不在物料档案里"))</f>
        <v/>
      </c>
      <c r="H237" s="24">
        <f>IF($D237="","",IFERROR(VLOOKUP($D237,物料档案!$A$4:$P$1203,2,0),"※编码不在物料档案里"))</f>
        <v/>
      </c>
      <c r="I237" s="24">
        <f>IF($D237="","",IFERROR(VLOOKUP($D237,物料档案!$A$4:$P$1203,6,0),"※编码不在物料档案里"))</f>
        <v/>
      </c>
      <c r="J237" s="23" t="n"/>
      <c r="K237" s="17" t="n"/>
      <c r="L237" s="17" t="n"/>
      <c r="M237" s="17" t="n"/>
      <c r="N237" s="17" t="n"/>
      <c r="O237" s="26">
        <f>IF($D237="","",IFERROR(VLOOKUP($D237,物料档案!$A$4:$P$1203,10,0),0))</f>
        <v/>
      </c>
      <c r="P237" s="32" t="n"/>
      <c r="Q237" s="26">
        <f>IF($D237="","",IF($K237&lt;&gt;"对外销售",0,ROUND(N($J237)*IF($P237="",N($O237),N($P237)),0)))</f>
        <v/>
      </c>
      <c r="R237" s="26">
        <f>IF($D237="","",IFERROR(VLOOKUP($D237,库存台账!$A$5:$Y$1204,11,0),0))</f>
        <v/>
      </c>
      <c r="S237" s="26">
        <f>IF($D237="","",ROUND(N($J237)*N($R237),0))</f>
        <v/>
      </c>
      <c r="T237" s="26">
        <f>IF($D237="","",IF($K237&lt;&gt;"对外销售","",ROUND($Q237-$S237,0)))</f>
        <v/>
      </c>
      <c r="U237" s="17" t="n"/>
      <c r="V237" s="17" t="n"/>
      <c r="W237" s="24">
        <f>IF($D237="","",IF($E237="※编码不在物料档案里","※物料编码不在档案里",IF(N($J237)&lt;=0,"※出库数量要大于 0",IF($K237="","※没填去向类型",IF($L237="","※没填去向矿区",IF(AND($C237&lt;&gt;"",$C237&lt;=结账锁),"※日期早于已结账截止日，不能再录",IF(AND($K237="自用消耗",COUNTIF({"一矿区";"二矿区"},$L237)=0),"※自用消耗的去向只能是一矿区或二矿区",IF(AND($K237="对外销售",COUNTIF({"三矿区";"六矿区"},$L237)=0),"※对外销售的去向只能是三矿区或六矿区",IF(AND($K237="对外销售",ROUND($Q237,0)=0),"※外销却没有售价，请填实际售价",IF(AND($K237="对外销售",$T237&lt;&gt;"",$T237&lt;0),"※这一笔外销是亏的，请核对售价",IF(IFERROR(VLOOKUP($D237,库存台账!$A$5:$Y$1204,24,0),0)&lt;-0.001,"※这个物料账面已经变成负数了，查一下是不是漏记入库","")))))))))))</f>
        <v/>
      </c>
    </row>
    <row r="238">
      <c r="A238" s="24">
        <f>IF($D238="","",COUNTA($D$4:$D238))</f>
        <v/>
      </c>
      <c r="B238" s="17" t="n"/>
      <c r="C238" s="30" t="n"/>
      <c r="D238" s="17" t="n"/>
      <c r="E238" s="24">
        <f>IF($D238="","",IFERROR(VLOOKUP($D238,物料档案!$A$4:$P$1203,3,0),"※编码不在物料档案里"))</f>
        <v/>
      </c>
      <c r="F238" s="24">
        <f>IF($D238="","",IFERROR(VLOOKUP($D238,物料档案!$A$4:$P$1203,4,0),"※编码不在物料档案里"))</f>
        <v/>
      </c>
      <c r="G238" s="24">
        <f>IF($D238="","",IFERROR(VLOOKUP($D238,物料档案!$A$4:$P$1203,5,0),"※编码不在物料档案里"))</f>
        <v/>
      </c>
      <c r="H238" s="24">
        <f>IF($D238="","",IFERROR(VLOOKUP($D238,物料档案!$A$4:$P$1203,2,0),"※编码不在物料档案里"))</f>
        <v/>
      </c>
      <c r="I238" s="24">
        <f>IF($D238="","",IFERROR(VLOOKUP($D238,物料档案!$A$4:$P$1203,6,0),"※编码不在物料档案里"))</f>
        <v/>
      </c>
      <c r="J238" s="23" t="n"/>
      <c r="K238" s="17" t="n"/>
      <c r="L238" s="17" t="n"/>
      <c r="M238" s="17" t="n"/>
      <c r="N238" s="17" t="n"/>
      <c r="O238" s="26">
        <f>IF($D238="","",IFERROR(VLOOKUP($D238,物料档案!$A$4:$P$1203,10,0),0))</f>
        <v/>
      </c>
      <c r="P238" s="32" t="n"/>
      <c r="Q238" s="26">
        <f>IF($D238="","",IF($K238&lt;&gt;"对外销售",0,ROUND(N($J238)*IF($P238="",N($O238),N($P238)),0)))</f>
        <v/>
      </c>
      <c r="R238" s="26">
        <f>IF($D238="","",IFERROR(VLOOKUP($D238,库存台账!$A$5:$Y$1204,11,0),0))</f>
        <v/>
      </c>
      <c r="S238" s="26">
        <f>IF($D238="","",ROUND(N($J238)*N($R238),0))</f>
        <v/>
      </c>
      <c r="T238" s="26">
        <f>IF($D238="","",IF($K238&lt;&gt;"对外销售","",ROUND($Q238-$S238,0)))</f>
        <v/>
      </c>
      <c r="U238" s="17" t="n"/>
      <c r="V238" s="17" t="n"/>
      <c r="W238" s="24">
        <f>IF($D238="","",IF($E238="※编码不在物料档案里","※物料编码不在档案里",IF(N($J238)&lt;=0,"※出库数量要大于 0",IF($K238="","※没填去向类型",IF($L238="","※没填去向矿区",IF(AND($C238&lt;&gt;"",$C238&lt;=结账锁),"※日期早于已结账截止日，不能再录",IF(AND($K238="自用消耗",COUNTIF({"一矿区";"二矿区"},$L238)=0),"※自用消耗的去向只能是一矿区或二矿区",IF(AND($K238="对外销售",COUNTIF({"三矿区";"六矿区"},$L238)=0),"※对外销售的去向只能是三矿区或六矿区",IF(AND($K238="对外销售",ROUND($Q238,0)=0),"※外销却没有售价，请填实际售价",IF(AND($K238="对外销售",$T238&lt;&gt;"",$T238&lt;0),"※这一笔外销是亏的，请核对售价",IF(IFERROR(VLOOKUP($D238,库存台账!$A$5:$Y$1204,24,0),0)&lt;-0.001,"※这个物料账面已经变成负数了，查一下是不是漏记入库","")))))))))))</f>
        <v/>
      </c>
    </row>
    <row r="239">
      <c r="A239" s="24">
        <f>IF($D239="","",COUNTA($D$4:$D239))</f>
        <v/>
      </c>
      <c r="B239" s="17" t="n"/>
      <c r="C239" s="30" t="n"/>
      <c r="D239" s="17" t="n"/>
      <c r="E239" s="24">
        <f>IF($D239="","",IFERROR(VLOOKUP($D239,物料档案!$A$4:$P$1203,3,0),"※编码不在物料档案里"))</f>
        <v/>
      </c>
      <c r="F239" s="24">
        <f>IF($D239="","",IFERROR(VLOOKUP($D239,物料档案!$A$4:$P$1203,4,0),"※编码不在物料档案里"))</f>
        <v/>
      </c>
      <c r="G239" s="24">
        <f>IF($D239="","",IFERROR(VLOOKUP($D239,物料档案!$A$4:$P$1203,5,0),"※编码不在物料档案里"))</f>
        <v/>
      </c>
      <c r="H239" s="24">
        <f>IF($D239="","",IFERROR(VLOOKUP($D239,物料档案!$A$4:$P$1203,2,0),"※编码不在物料档案里"))</f>
        <v/>
      </c>
      <c r="I239" s="24">
        <f>IF($D239="","",IFERROR(VLOOKUP($D239,物料档案!$A$4:$P$1203,6,0),"※编码不在物料档案里"))</f>
        <v/>
      </c>
      <c r="J239" s="23" t="n"/>
      <c r="K239" s="17" t="n"/>
      <c r="L239" s="17" t="n"/>
      <c r="M239" s="17" t="n"/>
      <c r="N239" s="17" t="n"/>
      <c r="O239" s="26">
        <f>IF($D239="","",IFERROR(VLOOKUP($D239,物料档案!$A$4:$P$1203,10,0),0))</f>
        <v/>
      </c>
      <c r="P239" s="32" t="n"/>
      <c r="Q239" s="26">
        <f>IF($D239="","",IF($K239&lt;&gt;"对外销售",0,ROUND(N($J239)*IF($P239="",N($O239),N($P239)),0)))</f>
        <v/>
      </c>
      <c r="R239" s="26">
        <f>IF($D239="","",IFERROR(VLOOKUP($D239,库存台账!$A$5:$Y$1204,11,0),0))</f>
        <v/>
      </c>
      <c r="S239" s="26">
        <f>IF($D239="","",ROUND(N($J239)*N($R239),0))</f>
        <v/>
      </c>
      <c r="T239" s="26">
        <f>IF($D239="","",IF($K239&lt;&gt;"对外销售","",ROUND($Q239-$S239,0)))</f>
        <v/>
      </c>
      <c r="U239" s="17" t="n"/>
      <c r="V239" s="17" t="n"/>
      <c r="W239" s="24">
        <f>IF($D239="","",IF($E239="※编码不在物料档案里","※物料编码不在档案里",IF(N($J239)&lt;=0,"※出库数量要大于 0",IF($K239="","※没填去向类型",IF($L239="","※没填去向矿区",IF(AND($C239&lt;&gt;"",$C239&lt;=结账锁),"※日期早于已结账截止日，不能再录",IF(AND($K239="自用消耗",COUNTIF({"一矿区";"二矿区"},$L239)=0),"※自用消耗的去向只能是一矿区或二矿区",IF(AND($K239="对外销售",COUNTIF({"三矿区";"六矿区"},$L239)=0),"※对外销售的去向只能是三矿区或六矿区",IF(AND($K239="对外销售",ROUND($Q239,0)=0),"※外销却没有售价，请填实际售价",IF(AND($K239="对外销售",$T239&lt;&gt;"",$T239&lt;0),"※这一笔外销是亏的，请核对售价",IF(IFERROR(VLOOKUP($D239,库存台账!$A$5:$Y$1204,24,0),0)&lt;-0.001,"※这个物料账面已经变成负数了，查一下是不是漏记入库","")))))))))))</f>
        <v/>
      </c>
    </row>
    <row r="240">
      <c r="A240" s="24">
        <f>IF($D240="","",COUNTA($D$4:$D240))</f>
        <v/>
      </c>
      <c r="B240" s="17" t="n"/>
      <c r="C240" s="30" t="n"/>
      <c r="D240" s="17" t="n"/>
      <c r="E240" s="24">
        <f>IF($D240="","",IFERROR(VLOOKUP($D240,物料档案!$A$4:$P$1203,3,0),"※编码不在物料档案里"))</f>
        <v/>
      </c>
      <c r="F240" s="24">
        <f>IF($D240="","",IFERROR(VLOOKUP($D240,物料档案!$A$4:$P$1203,4,0),"※编码不在物料档案里"))</f>
        <v/>
      </c>
      <c r="G240" s="24">
        <f>IF($D240="","",IFERROR(VLOOKUP($D240,物料档案!$A$4:$P$1203,5,0),"※编码不在物料档案里"))</f>
        <v/>
      </c>
      <c r="H240" s="24">
        <f>IF($D240="","",IFERROR(VLOOKUP($D240,物料档案!$A$4:$P$1203,2,0),"※编码不在物料档案里"))</f>
        <v/>
      </c>
      <c r="I240" s="24">
        <f>IF($D240="","",IFERROR(VLOOKUP($D240,物料档案!$A$4:$P$1203,6,0),"※编码不在物料档案里"))</f>
        <v/>
      </c>
      <c r="J240" s="23" t="n"/>
      <c r="K240" s="17" t="n"/>
      <c r="L240" s="17" t="n"/>
      <c r="M240" s="17" t="n"/>
      <c r="N240" s="17" t="n"/>
      <c r="O240" s="26">
        <f>IF($D240="","",IFERROR(VLOOKUP($D240,物料档案!$A$4:$P$1203,10,0),0))</f>
        <v/>
      </c>
      <c r="P240" s="32" t="n"/>
      <c r="Q240" s="26">
        <f>IF($D240="","",IF($K240&lt;&gt;"对外销售",0,ROUND(N($J240)*IF($P240="",N($O240),N($P240)),0)))</f>
        <v/>
      </c>
      <c r="R240" s="26">
        <f>IF($D240="","",IFERROR(VLOOKUP($D240,库存台账!$A$5:$Y$1204,11,0),0))</f>
        <v/>
      </c>
      <c r="S240" s="26">
        <f>IF($D240="","",ROUND(N($J240)*N($R240),0))</f>
        <v/>
      </c>
      <c r="T240" s="26">
        <f>IF($D240="","",IF($K240&lt;&gt;"对外销售","",ROUND($Q240-$S240,0)))</f>
        <v/>
      </c>
      <c r="U240" s="17" t="n"/>
      <c r="V240" s="17" t="n"/>
      <c r="W240" s="24">
        <f>IF($D240="","",IF($E240="※编码不在物料档案里","※物料编码不在档案里",IF(N($J240)&lt;=0,"※出库数量要大于 0",IF($K240="","※没填去向类型",IF($L240="","※没填去向矿区",IF(AND($C240&lt;&gt;"",$C240&lt;=结账锁),"※日期早于已结账截止日，不能再录",IF(AND($K240="自用消耗",COUNTIF({"一矿区";"二矿区"},$L240)=0),"※自用消耗的去向只能是一矿区或二矿区",IF(AND($K240="对外销售",COUNTIF({"三矿区";"六矿区"},$L240)=0),"※对外销售的去向只能是三矿区或六矿区",IF(AND($K240="对外销售",ROUND($Q240,0)=0),"※外销却没有售价，请填实际售价",IF(AND($K240="对外销售",$T240&lt;&gt;"",$T240&lt;0),"※这一笔外销是亏的，请核对售价",IF(IFERROR(VLOOKUP($D240,库存台账!$A$5:$Y$1204,24,0),0)&lt;-0.001,"※这个物料账面已经变成负数了，查一下是不是漏记入库","")))))))))))</f>
        <v/>
      </c>
    </row>
    <row r="241">
      <c r="A241" s="24">
        <f>IF($D241="","",COUNTA($D$4:$D241))</f>
        <v/>
      </c>
      <c r="B241" s="17" t="n"/>
      <c r="C241" s="30" t="n"/>
      <c r="D241" s="17" t="n"/>
      <c r="E241" s="24">
        <f>IF($D241="","",IFERROR(VLOOKUP($D241,物料档案!$A$4:$P$1203,3,0),"※编码不在物料档案里"))</f>
        <v/>
      </c>
      <c r="F241" s="24">
        <f>IF($D241="","",IFERROR(VLOOKUP($D241,物料档案!$A$4:$P$1203,4,0),"※编码不在物料档案里"))</f>
        <v/>
      </c>
      <c r="G241" s="24">
        <f>IF($D241="","",IFERROR(VLOOKUP($D241,物料档案!$A$4:$P$1203,5,0),"※编码不在物料档案里"))</f>
        <v/>
      </c>
      <c r="H241" s="24">
        <f>IF($D241="","",IFERROR(VLOOKUP($D241,物料档案!$A$4:$P$1203,2,0),"※编码不在物料档案里"))</f>
        <v/>
      </c>
      <c r="I241" s="24">
        <f>IF($D241="","",IFERROR(VLOOKUP($D241,物料档案!$A$4:$P$1203,6,0),"※编码不在物料档案里"))</f>
        <v/>
      </c>
      <c r="J241" s="23" t="n"/>
      <c r="K241" s="17" t="n"/>
      <c r="L241" s="17" t="n"/>
      <c r="M241" s="17" t="n"/>
      <c r="N241" s="17" t="n"/>
      <c r="O241" s="26">
        <f>IF($D241="","",IFERROR(VLOOKUP($D241,物料档案!$A$4:$P$1203,10,0),0))</f>
        <v/>
      </c>
      <c r="P241" s="32" t="n"/>
      <c r="Q241" s="26">
        <f>IF($D241="","",IF($K241&lt;&gt;"对外销售",0,ROUND(N($J241)*IF($P241="",N($O241),N($P241)),0)))</f>
        <v/>
      </c>
      <c r="R241" s="26">
        <f>IF($D241="","",IFERROR(VLOOKUP($D241,库存台账!$A$5:$Y$1204,11,0),0))</f>
        <v/>
      </c>
      <c r="S241" s="26">
        <f>IF($D241="","",ROUND(N($J241)*N($R241),0))</f>
        <v/>
      </c>
      <c r="T241" s="26">
        <f>IF($D241="","",IF($K241&lt;&gt;"对外销售","",ROUND($Q241-$S241,0)))</f>
        <v/>
      </c>
      <c r="U241" s="17" t="n"/>
      <c r="V241" s="17" t="n"/>
      <c r="W241" s="24">
        <f>IF($D241="","",IF($E241="※编码不在物料档案里","※物料编码不在档案里",IF(N($J241)&lt;=0,"※出库数量要大于 0",IF($K241="","※没填去向类型",IF($L241="","※没填去向矿区",IF(AND($C241&lt;&gt;"",$C241&lt;=结账锁),"※日期早于已结账截止日，不能再录",IF(AND($K241="自用消耗",COUNTIF({"一矿区";"二矿区"},$L241)=0),"※自用消耗的去向只能是一矿区或二矿区",IF(AND($K241="对外销售",COUNTIF({"三矿区";"六矿区"},$L241)=0),"※对外销售的去向只能是三矿区或六矿区",IF(AND($K241="对外销售",ROUND($Q241,0)=0),"※外销却没有售价，请填实际售价",IF(AND($K241="对外销售",$T241&lt;&gt;"",$T241&lt;0),"※这一笔外销是亏的，请核对售价",IF(IFERROR(VLOOKUP($D241,库存台账!$A$5:$Y$1204,24,0),0)&lt;-0.001,"※这个物料账面已经变成负数了，查一下是不是漏记入库","")))))))))))</f>
        <v/>
      </c>
    </row>
    <row r="242">
      <c r="A242" s="24">
        <f>IF($D242="","",COUNTA($D$4:$D242))</f>
        <v/>
      </c>
      <c r="B242" s="17" t="n"/>
      <c r="C242" s="30" t="n"/>
      <c r="D242" s="17" t="n"/>
      <c r="E242" s="24">
        <f>IF($D242="","",IFERROR(VLOOKUP($D242,物料档案!$A$4:$P$1203,3,0),"※编码不在物料档案里"))</f>
        <v/>
      </c>
      <c r="F242" s="24">
        <f>IF($D242="","",IFERROR(VLOOKUP($D242,物料档案!$A$4:$P$1203,4,0),"※编码不在物料档案里"))</f>
        <v/>
      </c>
      <c r="G242" s="24">
        <f>IF($D242="","",IFERROR(VLOOKUP($D242,物料档案!$A$4:$P$1203,5,0),"※编码不在物料档案里"))</f>
        <v/>
      </c>
      <c r="H242" s="24">
        <f>IF($D242="","",IFERROR(VLOOKUP($D242,物料档案!$A$4:$P$1203,2,0),"※编码不在物料档案里"))</f>
        <v/>
      </c>
      <c r="I242" s="24">
        <f>IF($D242="","",IFERROR(VLOOKUP($D242,物料档案!$A$4:$P$1203,6,0),"※编码不在物料档案里"))</f>
        <v/>
      </c>
      <c r="J242" s="23" t="n"/>
      <c r="K242" s="17" t="n"/>
      <c r="L242" s="17" t="n"/>
      <c r="M242" s="17" t="n"/>
      <c r="N242" s="17" t="n"/>
      <c r="O242" s="26">
        <f>IF($D242="","",IFERROR(VLOOKUP($D242,物料档案!$A$4:$P$1203,10,0),0))</f>
        <v/>
      </c>
      <c r="P242" s="32" t="n"/>
      <c r="Q242" s="26">
        <f>IF($D242="","",IF($K242&lt;&gt;"对外销售",0,ROUND(N($J242)*IF($P242="",N($O242),N($P242)),0)))</f>
        <v/>
      </c>
      <c r="R242" s="26">
        <f>IF($D242="","",IFERROR(VLOOKUP($D242,库存台账!$A$5:$Y$1204,11,0),0))</f>
        <v/>
      </c>
      <c r="S242" s="26">
        <f>IF($D242="","",ROUND(N($J242)*N($R242),0))</f>
        <v/>
      </c>
      <c r="T242" s="26">
        <f>IF($D242="","",IF($K242&lt;&gt;"对外销售","",ROUND($Q242-$S242,0)))</f>
        <v/>
      </c>
      <c r="U242" s="17" t="n"/>
      <c r="V242" s="17" t="n"/>
      <c r="W242" s="24">
        <f>IF($D242="","",IF($E242="※编码不在物料档案里","※物料编码不在档案里",IF(N($J242)&lt;=0,"※出库数量要大于 0",IF($K242="","※没填去向类型",IF($L242="","※没填去向矿区",IF(AND($C242&lt;&gt;"",$C242&lt;=结账锁),"※日期早于已结账截止日，不能再录",IF(AND($K242="自用消耗",COUNTIF({"一矿区";"二矿区"},$L242)=0),"※自用消耗的去向只能是一矿区或二矿区",IF(AND($K242="对外销售",COUNTIF({"三矿区";"六矿区"},$L242)=0),"※对外销售的去向只能是三矿区或六矿区",IF(AND($K242="对外销售",ROUND($Q242,0)=0),"※外销却没有售价，请填实际售价",IF(AND($K242="对外销售",$T242&lt;&gt;"",$T242&lt;0),"※这一笔外销是亏的，请核对售价",IF(IFERROR(VLOOKUP($D242,库存台账!$A$5:$Y$1204,24,0),0)&lt;-0.001,"※这个物料账面已经变成负数了，查一下是不是漏记入库","")))))))))))</f>
        <v/>
      </c>
    </row>
    <row r="243">
      <c r="A243" s="24">
        <f>IF($D243="","",COUNTA($D$4:$D243))</f>
        <v/>
      </c>
      <c r="B243" s="17" t="n"/>
      <c r="C243" s="30" t="n"/>
      <c r="D243" s="17" t="n"/>
      <c r="E243" s="24">
        <f>IF($D243="","",IFERROR(VLOOKUP($D243,物料档案!$A$4:$P$1203,3,0),"※编码不在物料档案里"))</f>
        <v/>
      </c>
      <c r="F243" s="24">
        <f>IF($D243="","",IFERROR(VLOOKUP($D243,物料档案!$A$4:$P$1203,4,0),"※编码不在物料档案里"))</f>
        <v/>
      </c>
      <c r="G243" s="24">
        <f>IF($D243="","",IFERROR(VLOOKUP($D243,物料档案!$A$4:$P$1203,5,0),"※编码不在物料档案里"))</f>
        <v/>
      </c>
      <c r="H243" s="24">
        <f>IF($D243="","",IFERROR(VLOOKUP($D243,物料档案!$A$4:$P$1203,2,0),"※编码不在物料档案里"))</f>
        <v/>
      </c>
      <c r="I243" s="24">
        <f>IF($D243="","",IFERROR(VLOOKUP($D243,物料档案!$A$4:$P$1203,6,0),"※编码不在物料档案里"))</f>
        <v/>
      </c>
      <c r="J243" s="23" t="n"/>
      <c r="K243" s="17" t="n"/>
      <c r="L243" s="17" t="n"/>
      <c r="M243" s="17" t="n"/>
      <c r="N243" s="17" t="n"/>
      <c r="O243" s="26">
        <f>IF($D243="","",IFERROR(VLOOKUP($D243,物料档案!$A$4:$P$1203,10,0),0))</f>
        <v/>
      </c>
      <c r="P243" s="32" t="n"/>
      <c r="Q243" s="26">
        <f>IF($D243="","",IF($K243&lt;&gt;"对外销售",0,ROUND(N($J243)*IF($P243="",N($O243),N($P243)),0)))</f>
        <v/>
      </c>
      <c r="R243" s="26">
        <f>IF($D243="","",IFERROR(VLOOKUP($D243,库存台账!$A$5:$Y$1204,11,0),0))</f>
        <v/>
      </c>
      <c r="S243" s="26">
        <f>IF($D243="","",ROUND(N($J243)*N($R243),0))</f>
        <v/>
      </c>
      <c r="T243" s="26">
        <f>IF($D243="","",IF($K243&lt;&gt;"对外销售","",ROUND($Q243-$S243,0)))</f>
        <v/>
      </c>
      <c r="U243" s="17" t="n"/>
      <c r="V243" s="17" t="n"/>
      <c r="W243" s="24">
        <f>IF($D243="","",IF($E243="※编码不在物料档案里","※物料编码不在档案里",IF(N($J243)&lt;=0,"※出库数量要大于 0",IF($K243="","※没填去向类型",IF($L243="","※没填去向矿区",IF(AND($C243&lt;&gt;"",$C243&lt;=结账锁),"※日期早于已结账截止日，不能再录",IF(AND($K243="自用消耗",COUNTIF({"一矿区";"二矿区"},$L243)=0),"※自用消耗的去向只能是一矿区或二矿区",IF(AND($K243="对外销售",COUNTIF({"三矿区";"六矿区"},$L243)=0),"※对外销售的去向只能是三矿区或六矿区",IF(AND($K243="对外销售",ROUND($Q243,0)=0),"※外销却没有售价，请填实际售价",IF(AND($K243="对外销售",$T243&lt;&gt;"",$T243&lt;0),"※这一笔外销是亏的，请核对售价",IF(IFERROR(VLOOKUP($D243,库存台账!$A$5:$Y$1204,24,0),0)&lt;-0.001,"※这个物料账面已经变成负数了，查一下是不是漏记入库","")))))))))))</f>
        <v/>
      </c>
    </row>
    <row r="244">
      <c r="A244" s="24">
        <f>IF($D244="","",COUNTA($D$4:$D244))</f>
        <v/>
      </c>
      <c r="B244" s="17" t="n"/>
      <c r="C244" s="30" t="n"/>
      <c r="D244" s="17" t="n"/>
      <c r="E244" s="24">
        <f>IF($D244="","",IFERROR(VLOOKUP($D244,物料档案!$A$4:$P$1203,3,0),"※编码不在物料档案里"))</f>
        <v/>
      </c>
      <c r="F244" s="24">
        <f>IF($D244="","",IFERROR(VLOOKUP($D244,物料档案!$A$4:$P$1203,4,0),"※编码不在物料档案里"))</f>
        <v/>
      </c>
      <c r="G244" s="24">
        <f>IF($D244="","",IFERROR(VLOOKUP($D244,物料档案!$A$4:$P$1203,5,0),"※编码不在物料档案里"))</f>
        <v/>
      </c>
      <c r="H244" s="24">
        <f>IF($D244="","",IFERROR(VLOOKUP($D244,物料档案!$A$4:$P$1203,2,0),"※编码不在物料档案里"))</f>
        <v/>
      </c>
      <c r="I244" s="24">
        <f>IF($D244="","",IFERROR(VLOOKUP($D244,物料档案!$A$4:$P$1203,6,0),"※编码不在物料档案里"))</f>
        <v/>
      </c>
      <c r="J244" s="23" t="n"/>
      <c r="K244" s="17" t="n"/>
      <c r="L244" s="17" t="n"/>
      <c r="M244" s="17" t="n"/>
      <c r="N244" s="17" t="n"/>
      <c r="O244" s="26">
        <f>IF($D244="","",IFERROR(VLOOKUP($D244,物料档案!$A$4:$P$1203,10,0),0))</f>
        <v/>
      </c>
      <c r="P244" s="32" t="n"/>
      <c r="Q244" s="26">
        <f>IF($D244="","",IF($K244&lt;&gt;"对外销售",0,ROUND(N($J244)*IF($P244="",N($O244),N($P244)),0)))</f>
        <v/>
      </c>
      <c r="R244" s="26">
        <f>IF($D244="","",IFERROR(VLOOKUP($D244,库存台账!$A$5:$Y$1204,11,0),0))</f>
        <v/>
      </c>
      <c r="S244" s="26">
        <f>IF($D244="","",ROUND(N($J244)*N($R244),0))</f>
        <v/>
      </c>
      <c r="T244" s="26">
        <f>IF($D244="","",IF($K244&lt;&gt;"对外销售","",ROUND($Q244-$S244,0)))</f>
        <v/>
      </c>
      <c r="U244" s="17" t="n"/>
      <c r="V244" s="17" t="n"/>
      <c r="W244" s="24">
        <f>IF($D244="","",IF($E244="※编码不在物料档案里","※物料编码不在档案里",IF(N($J244)&lt;=0,"※出库数量要大于 0",IF($K244="","※没填去向类型",IF($L244="","※没填去向矿区",IF(AND($C244&lt;&gt;"",$C244&lt;=结账锁),"※日期早于已结账截止日，不能再录",IF(AND($K244="自用消耗",COUNTIF({"一矿区";"二矿区"},$L244)=0),"※自用消耗的去向只能是一矿区或二矿区",IF(AND($K244="对外销售",COUNTIF({"三矿区";"六矿区"},$L244)=0),"※对外销售的去向只能是三矿区或六矿区",IF(AND($K244="对外销售",ROUND($Q244,0)=0),"※外销却没有售价，请填实际售价",IF(AND($K244="对外销售",$T244&lt;&gt;"",$T244&lt;0),"※这一笔外销是亏的，请核对售价",IF(IFERROR(VLOOKUP($D244,库存台账!$A$5:$Y$1204,24,0),0)&lt;-0.001,"※这个物料账面已经变成负数了，查一下是不是漏记入库","")))))))))))</f>
        <v/>
      </c>
    </row>
    <row r="245">
      <c r="A245" s="24">
        <f>IF($D245="","",COUNTA($D$4:$D245))</f>
        <v/>
      </c>
      <c r="B245" s="17" t="n"/>
      <c r="C245" s="30" t="n"/>
      <c r="D245" s="17" t="n"/>
      <c r="E245" s="24">
        <f>IF($D245="","",IFERROR(VLOOKUP($D245,物料档案!$A$4:$P$1203,3,0),"※编码不在物料档案里"))</f>
        <v/>
      </c>
      <c r="F245" s="24">
        <f>IF($D245="","",IFERROR(VLOOKUP($D245,物料档案!$A$4:$P$1203,4,0),"※编码不在物料档案里"))</f>
        <v/>
      </c>
      <c r="G245" s="24">
        <f>IF($D245="","",IFERROR(VLOOKUP($D245,物料档案!$A$4:$P$1203,5,0),"※编码不在物料档案里"))</f>
        <v/>
      </c>
      <c r="H245" s="24">
        <f>IF($D245="","",IFERROR(VLOOKUP($D245,物料档案!$A$4:$P$1203,2,0),"※编码不在物料档案里"))</f>
        <v/>
      </c>
      <c r="I245" s="24">
        <f>IF($D245="","",IFERROR(VLOOKUP($D245,物料档案!$A$4:$P$1203,6,0),"※编码不在物料档案里"))</f>
        <v/>
      </c>
      <c r="J245" s="23" t="n"/>
      <c r="K245" s="17" t="n"/>
      <c r="L245" s="17" t="n"/>
      <c r="M245" s="17" t="n"/>
      <c r="N245" s="17" t="n"/>
      <c r="O245" s="26">
        <f>IF($D245="","",IFERROR(VLOOKUP($D245,物料档案!$A$4:$P$1203,10,0),0))</f>
        <v/>
      </c>
      <c r="P245" s="32" t="n"/>
      <c r="Q245" s="26">
        <f>IF($D245="","",IF($K245&lt;&gt;"对外销售",0,ROUND(N($J245)*IF($P245="",N($O245),N($P245)),0)))</f>
        <v/>
      </c>
      <c r="R245" s="26">
        <f>IF($D245="","",IFERROR(VLOOKUP($D245,库存台账!$A$5:$Y$1204,11,0),0))</f>
        <v/>
      </c>
      <c r="S245" s="26">
        <f>IF($D245="","",ROUND(N($J245)*N($R245),0))</f>
        <v/>
      </c>
      <c r="T245" s="26">
        <f>IF($D245="","",IF($K245&lt;&gt;"对外销售","",ROUND($Q245-$S245,0)))</f>
        <v/>
      </c>
      <c r="U245" s="17" t="n"/>
      <c r="V245" s="17" t="n"/>
      <c r="W245" s="24">
        <f>IF($D245="","",IF($E245="※编码不在物料档案里","※物料编码不在档案里",IF(N($J245)&lt;=0,"※出库数量要大于 0",IF($K245="","※没填去向类型",IF($L245="","※没填去向矿区",IF(AND($C245&lt;&gt;"",$C245&lt;=结账锁),"※日期早于已结账截止日，不能再录",IF(AND($K245="自用消耗",COUNTIF({"一矿区";"二矿区"},$L245)=0),"※自用消耗的去向只能是一矿区或二矿区",IF(AND($K245="对外销售",COUNTIF({"三矿区";"六矿区"},$L245)=0),"※对外销售的去向只能是三矿区或六矿区",IF(AND($K245="对外销售",ROUND($Q245,0)=0),"※外销却没有售价，请填实际售价",IF(AND($K245="对外销售",$T245&lt;&gt;"",$T245&lt;0),"※这一笔外销是亏的，请核对售价",IF(IFERROR(VLOOKUP($D245,库存台账!$A$5:$Y$1204,24,0),0)&lt;-0.001,"※这个物料账面已经变成负数了，查一下是不是漏记入库","")))))))))))</f>
        <v/>
      </c>
    </row>
    <row r="246">
      <c r="A246" s="24">
        <f>IF($D246="","",COUNTA($D$4:$D246))</f>
        <v/>
      </c>
      <c r="B246" s="17" t="n"/>
      <c r="C246" s="30" t="n"/>
      <c r="D246" s="17" t="n"/>
      <c r="E246" s="24">
        <f>IF($D246="","",IFERROR(VLOOKUP($D246,物料档案!$A$4:$P$1203,3,0),"※编码不在物料档案里"))</f>
        <v/>
      </c>
      <c r="F246" s="24">
        <f>IF($D246="","",IFERROR(VLOOKUP($D246,物料档案!$A$4:$P$1203,4,0),"※编码不在物料档案里"))</f>
        <v/>
      </c>
      <c r="G246" s="24">
        <f>IF($D246="","",IFERROR(VLOOKUP($D246,物料档案!$A$4:$P$1203,5,0),"※编码不在物料档案里"))</f>
        <v/>
      </c>
      <c r="H246" s="24">
        <f>IF($D246="","",IFERROR(VLOOKUP($D246,物料档案!$A$4:$P$1203,2,0),"※编码不在物料档案里"))</f>
        <v/>
      </c>
      <c r="I246" s="24">
        <f>IF($D246="","",IFERROR(VLOOKUP($D246,物料档案!$A$4:$P$1203,6,0),"※编码不在物料档案里"))</f>
        <v/>
      </c>
      <c r="J246" s="23" t="n"/>
      <c r="K246" s="17" t="n"/>
      <c r="L246" s="17" t="n"/>
      <c r="M246" s="17" t="n"/>
      <c r="N246" s="17" t="n"/>
      <c r="O246" s="26">
        <f>IF($D246="","",IFERROR(VLOOKUP($D246,物料档案!$A$4:$P$1203,10,0),0))</f>
        <v/>
      </c>
      <c r="P246" s="32" t="n"/>
      <c r="Q246" s="26">
        <f>IF($D246="","",IF($K246&lt;&gt;"对外销售",0,ROUND(N($J246)*IF($P246="",N($O246),N($P246)),0)))</f>
        <v/>
      </c>
      <c r="R246" s="26">
        <f>IF($D246="","",IFERROR(VLOOKUP($D246,库存台账!$A$5:$Y$1204,11,0),0))</f>
        <v/>
      </c>
      <c r="S246" s="26">
        <f>IF($D246="","",ROUND(N($J246)*N($R246),0))</f>
        <v/>
      </c>
      <c r="T246" s="26">
        <f>IF($D246="","",IF($K246&lt;&gt;"对外销售","",ROUND($Q246-$S246,0)))</f>
        <v/>
      </c>
      <c r="U246" s="17" t="n"/>
      <c r="V246" s="17" t="n"/>
      <c r="W246" s="24">
        <f>IF($D246="","",IF($E246="※编码不在物料档案里","※物料编码不在档案里",IF(N($J246)&lt;=0,"※出库数量要大于 0",IF($K246="","※没填去向类型",IF($L246="","※没填去向矿区",IF(AND($C246&lt;&gt;"",$C246&lt;=结账锁),"※日期早于已结账截止日，不能再录",IF(AND($K246="自用消耗",COUNTIF({"一矿区";"二矿区"},$L246)=0),"※自用消耗的去向只能是一矿区或二矿区",IF(AND($K246="对外销售",COUNTIF({"三矿区";"六矿区"},$L246)=0),"※对外销售的去向只能是三矿区或六矿区",IF(AND($K246="对外销售",ROUND($Q246,0)=0),"※外销却没有售价，请填实际售价",IF(AND($K246="对外销售",$T246&lt;&gt;"",$T246&lt;0),"※这一笔外销是亏的，请核对售价",IF(IFERROR(VLOOKUP($D246,库存台账!$A$5:$Y$1204,24,0),0)&lt;-0.001,"※这个物料账面已经变成负数了，查一下是不是漏记入库","")))))))))))</f>
        <v/>
      </c>
    </row>
    <row r="247">
      <c r="A247" s="24">
        <f>IF($D247="","",COUNTA($D$4:$D247))</f>
        <v/>
      </c>
      <c r="B247" s="17" t="n"/>
      <c r="C247" s="30" t="n"/>
      <c r="D247" s="17" t="n"/>
      <c r="E247" s="24">
        <f>IF($D247="","",IFERROR(VLOOKUP($D247,物料档案!$A$4:$P$1203,3,0),"※编码不在物料档案里"))</f>
        <v/>
      </c>
      <c r="F247" s="24">
        <f>IF($D247="","",IFERROR(VLOOKUP($D247,物料档案!$A$4:$P$1203,4,0),"※编码不在物料档案里"))</f>
        <v/>
      </c>
      <c r="G247" s="24">
        <f>IF($D247="","",IFERROR(VLOOKUP($D247,物料档案!$A$4:$P$1203,5,0),"※编码不在物料档案里"))</f>
        <v/>
      </c>
      <c r="H247" s="24">
        <f>IF($D247="","",IFERROR(VLOOKUP($D247,物料档案!$A$4:$P$1203,2,0),"※编码不在物料档案里"))</f>
        <v/>
      </c>
      <c r="I247" s="24">
        <f>IF($D247="","",IFERROR(VLOOKUP($D247,物料档案!$A$4:$P$1203,6,0),"※编码不在物料档案里"))</f>
        <v/>
      </c>
      <c r="J247" s="23" t="n"/>
      <c r="K247" s="17" t="n"/>
      <c r="L247" s="17" t="n"/>
      <c r="M247" s="17" t="n"/>
      <c r="N247" s="17" t="n"/>
      <c r="O247" s="26">
        <f>IF($D247="","",IFERROR(VLOOKUP($D247,物料档案!$A$4:$P$1203,10,0),0))</f>
        <v/>
      </c>
      <c r="P247" s="32" t="n"/>
      <c r="Q247" s="26">
        <f>IF($D247="","",IF($K247&lt;&gt;"对外销售",0,ROUND(N($J247)*IF($P247="",N($O247),N($P247)),0)))</f>
        <v/>
      </c>
      <c r="R247" s="26">
        <f>IF($D247="","",IFERROR(VLOOKUP($D247,库存台账!$A$5:$Y$1204,11,0),0))</f>
        <v/>
      </c>
      <c r="S247" s="26">
        <f>IF($D247="","",ROUND(N($J247)*N($R247),0))</f>
        <v/>
      </c>
      <c r="T247" s="26">
        <f>IF($D247="","",IF($K247&lt;&gt;"对外销售","",ROUND($Q247-$S247,0)))</f>
        <v/>
      </c>
      <c r="U247" s="17" t="n"/>
      <c r="V247" s="17" t="n"/>
      <c r="W247" s="24">
        <f>IF($D247="","",IF($E247="※编码不在物料档案里","※物料编码不在档案里",IF(N($J247)&lt;=0,"※出库数量要大于 0",IF($K247="","※没填去向类型",IF($L247="","※没填去向矿区",IF(AND($C247&lt;&gt;"",$C247&lt;=结账锁),"※日期早于已结账截止日，不能再录",IF(AND($K247="自用消耗",COUNTIF({"一矿区";"二矿区"},$L247)=0),"※自用消耗的去向只能是一矿区或二矿区",IF(AND($K247="对外销售",COUNTIF({"三矿区";"六矿区"},$L247)=0),"※对外销售的去向只能是三矿区或六矿区",IF(AND($K247="对外销售",ROUND($Q247,0)=0),"※外销却没有售价，请填实际售价",IF(AND($K247="对外销售",$T247&lt;&gt;"",$T247&lt;0),"※这一笔外销是亏的，请核对售价",IF(IFERROR(VLOOKUP($D247,库存台账!$A$5:$Y$1204,24,0),0)&lt;-0.001,"※这个物料账面已经变成负数了，查一下是不是漏记入库","")))))))))))</f>
        <v/>
      </c>
    </row>
    <row r="248">
      <c r="A248" s="24">
        <f>IF($D248="","",COUNTA($D$4:$D248))</f>
        <v/>
      </c>
      <c r="B248" s="17" t="n"/>
      <c r="C248" s="30" t="n"/>
      <c r="D248" s="17" t="n"/>
      <c r="E248" s="24">
        <f>IF($D248="","",IFERROR(VLOOKUP($D248,物料档案!$A$4:$P$1203,3,0),"※编码不在物料档案里"))</f>
        <v/>
      </c>
      <c r="F248" s="24">
        <f>IF($D248="","",IFERROR(VLOOKUP($D248,物料档案!$A$4:$P$1203,4,0),"※编码不在物料档案里"))</f>
        <v/>
      </c>
      <c r="G248" s="24">
        <f>IF($D248="","",IFERROR(VLOOKUP($D248,物料档案!$A$4:$P$1203,5,0),"※编码不在物料档案里"))</f>
        <v/>
      </c>
      <c r="H248" s="24">
        <f>IF($D248="","",IFERROR(VLOOKUP($D248,物料档案!$A$4:$P$1203,2,0),"※编码不在物料档案里"))</f>
        <v/>
      </c>
      <c r="I248" s="24">
        <f>IF($D248="","",IFERROR(VLOOKUP($D248,物料档案!$A$4:$P$1203,6,0),"※编码不在物料档案里"))</f>
        <v/>
      </c>
      <c r="J248" s="23" t="n"/>
      <c r="K248" s="17" t="n"/>
      <c r="L248" s="17" t="n"/>
      <c r="M248" s="17" t="n"/>
      <c r="N248" s="17" t="n"/>
      <c r="O248" s="26">
        <f>IF($D248="","",IFERROR(VLOOKUP($D248,物料档案!$A$4:$P$1203,10,0),0))</f>
        <v/>
      </c>
      <c r="P248" s="32" t="n"/>
      <c r="Q248" s="26">
        <f>IF($D248="","",IF($K248&lt;&gt;"对外销售",0,ROUND(N($J248)*IF($P248="",N($O248),N($P248)),0)))</f>
        <v/>
      </c>
      <c r="R248" s="26">
        <f>IF($D248="","",IFERROR(VLOOKUP($D248,库存台账!$A$5:$Y$1204,11,0),0))</f>
        <v/>
      </c>
      <c r="S248" s="26">
        <f>IF($D248="","",ROUND(N($J248)*N($R248),0))</f>
        <v/>
      </c>
      <c r="T248" s="26">
        <f>IF($D248="","",IF($K248&lt;&gt;"对外销售","",ROUND($Q248-$S248,0)))</f>
        <v/>
      </c>
      <c r="U248" s="17" t="n"/>
      <c r="V248" s="17" t="n"/>
      <c r="W248" s="24">
        <f>IF($D248="","",IF($E248="※编码不在物料档案里","※物料编码不在档案里",IF(N($J248)&lt;=0,"※出库数量要大于 0",IF($K248="","※没填去向类型",IF($L248="","※没填去向矿区",IF(AND($C248&lt;&gt;"",$C248&lt;=结账锁),"※日期早于已结账截止日，不能再录",IF(AND($K248="自用消耗",COUNTIF({"一矿区";"二矿区"},$L248)=0),"※自用消耗的去向只能是一矿区或二矿区",IF(AND($K248="对外销售",COUNTIF({"三矿区";"六矿区"},$L248)=0),"※对外销售的去向只能是三矿区或六矿区",IF(AND($K248="对外销售",ROUND($Q248,0)=0),"※外销却没有售价，请填实际售价",IF(AND($K248="对外销售",$T248&lt;&gt;"",$T248&lt;0),"※这一笔外销是亏的，请核对售价",IF(IFERROR(VLOOKUP($D248,库存台账!$A$5:$Y$1204,24,0),0)&lt;-0.001,"※这个物料账面已经变成负数了，查一下是不是漏记入库","")))))))))))</f>
        <v/>
      </c>
    </row>
    <row r="249">
      <c r="A249" s="24">
        <f>IF($D249="","",COUNTA($D$4:$D249))</f>
        <v/>
      </c>
      <c r="B249" s="17" t="n"/>
      <c r="C249" s="30" t="n"/>
      <c r="D249" s="17" t="n"/>
      <c r="E249" s="24">
        <f>IF($D249="","",IFERROR(VLOOKUP($D249,物料档案!$A$4:$P$1203,3,0),"※编码不在物料档案里"))</f>
        <v/>
      </c>
      <c r="F249" s="24">
        <f>IF($D249="","",IFERROR(VLOOKUP($D249,物料档案!$A$4:$P$1203,4,0),"※编码不在物料档案里"))</f>
        <v/>
      </c>
      <c r="G249" s="24">
        <f>IF($D249="","",IFERROR(VLOOKUP($D249,物料档案!$A$4:$P$1203,5,0),"※编码不在物料档案里"))</f>
        <v/>
      </c>
      <c r="H249" s="24">
        <f>IF($D249="","",IFERROR(VLOOKUP($D249,物料档案!$A$4:$P$1203,2,0),"※编码不在物料档案里"))</f>
        <v/>
      </c>
      <c r="I249" s="24">
        <f>IF($D249="","",IFERROR(VLOOKUP($D249,物料档案!$A$4:$P$1203,6,0),"※编码不在物料档案里"))</f>
        <v/>
      </c>
      <c r="J249" s="23" t="n"/>
      <c r="K249" s="17" t="n"/>
      <c r="L249" s="17" t="n"/>
      <c r="M249" s="17" t="n"/>
      <c r="N249" s="17" t="n"/>
      <c r="O249" s="26">
        <f>IF($D249="","",IFERROR(VLOOKUP($D249,物料档案!$A$4:$P$1203,10,0),0))</f>
        <v/>
      </c>
      <c r="P249" s="32" t="n"/>
      <c r="Q249" s="26">
        <f>IF($D249="","",IF($K249&lt;&gt;"对外销售",0,ROUND(N($J249)*IF($P249="",N($O249),N($P249)),0)))</f>
        <v/>
      </c>
      <c r="R249" s="26">
        <f>IF($D249="","",IFERROR(VLOOKUP($D249,库存台账!$A$5:$Y$1204,11,0),0))</f>
        <v/>
      </c>
      <c r="S249" s="26">
        <f>IF($D249="","",ROUND(N($J249)*N($R249),0))</f>
        <v/>
      </c>
      <c r="T249" s="26">
        <f>IF($D249="","",IF($K249&lt;&gt;"对外销售","",ROUND($Q249-$S249,0)))</f>
        <v/>
      </c>
      <c r="U249" s="17" t="n"/>
      <c r="V249" s="17" t="n"/>
      <c r="W249" s="24">
        <f>IF($D249="","",IF($E249="※编码不在物料档案里","※物料编码不在档案里",IF(N($J249)&lt;=0,"※出库数量要大于 0",IF($K249="","※没填去向类型",IF($L249="","※没填去向矿区",IF(AND($C249&lt;&gt;"",$C249&lt;=结账锁),"※日期早于已结账截止日，不能再录",IF(AND($K249="自用消耗",COUNTIF({"一矿区";"二矿区"},$L249)=0),"※自用消耗的去向只能是一矿区或二矿区",IF(AND($K249="对外销售",COUNTIF({"三矿区";"六矿区"},$L249)=0),"※对外销售的去向只能是三矿区或六矿区",IF(AND($K249="对外销售",ROUND($Q249,0)=0),"※外销却没有售价，请填实际售价",IF(AND($K249="对外销售",$T249&lt;&gt;"",$T249&lt;0),"※这一笔外销是亏的，请核对售价",IF(IFERROR(VLOOKUP($D249,库存台账!$A$5:$Y$1204,24,0),0)&lt;-0.001,"※这个物料账面已经变成负数了，查一下是不是漏记入库","")))))))))))</f>
        <v/>
      </c>
    </row>
    <row r="250">
      <c r="A250" s="24">
        <f>IF($D250="","",COUNTA($D$4:$D250))</f>
        <v/>
      </c>
      <c r="B250" s="17" t="n"/>
      <c r="C250" s="30" t="n"/>
      <c r="D250" s="17" t="n"/>
      <c r="E250" s="24">
        <f>IF($D250="","",IFERROR(VLOOKUP($D250,物料档案!$A$4:$P$1203,3,0),"※编码不在物料档案里"))</f>
        <v/>
      </c>
      <c r="F250" s="24">
        <f>IF($D250="","",IFERROR(VLOOKUP($D250,物料档案!$A$4:$P$1203,4,0),"※编码不在物料档案里"))</f>
        <v/>
      </c>
      <c r="G250" s="24">
        <f>IF($D250="","",IFERROR(VLOOKUP($D250,物料档案!$A$4:$P$1203,5,0),"※编码不在物料档案里"))</f>
        <v/>
      </c>
      <c r="H250" s="24">
        <f>IF($D250="","",IFERROR(VLOOKUP($D250,物料档案!$A$4:$P$1203,2,0),"※编码不在物料档案里"))</f>
        <v/>
      </c>
      <c r="I250" s="24">
        <f>IF($D250="","",IFERROR(VLOOKUP($D250,物料档案!$A$4:$P$1203,6,0),"※编码不在物料档案里"))</f>
        <v/>
      </c>
      <c r="J250" s="23" t="n"/>
      <c r="K250" s="17" t="n"/>
      <c r="L250" s="17" t="n"/>
      <c r="M250" s="17" t="n"/>
      <c r="N250" s="17" t="n"/>
      <c r="O250" s="26">
        <f>IF($D250="","",IFERROR(VLOOKUP($D250,物料档案!$A$4:$P$1203,10,0),0))</f>
        <v/>
      </c>
      <c r="P250" s="32" t="n"/>
      <c r="Q250" s="26">
        <f>IF($D250="","",IF($K250&lt;&gt;"对外销售",0,ROUND(N($J250)*IF($P250="",N($O250),N($P250)),0)))</f>
        <v/>
      </c>
      <c r="R250" s="26">
        <f>IF($D250="","",IFERROR(VLOOKUP($D250,库存台账!$A$5:$Y$1204,11,0),0))</f>
        <v/>
      </c>
      <c r="S250" s="26">
        <f>IF($D250="","",ROUND(N($J250)*N($R250),0))</f>
        <v/>
      </c>
      <c r="T250" s="26">
        <f>IF($D250="","",IF($K250&lt;&gt;"对外销售","",ROUND($Q250-$S250,0)))</f>
        <v/>
      </c>
      <c r="U250" s="17" t="n"/>
      <c r="V250" s="17" t="n"/>
      <c r="W250" s="24">
        <f>IF($D250="","",IF($E250="※编码不在物料档案里","※物料编码不在档案里",IF(N($J250)&lt;=0,"※出库数量要大于 0",IF($K250="","※没填去向类型",IF($L250="","※没填去向矿区",IF(AND($C250&lt;&gt;"",$C250&lt;=结账锁),"※日期早于已结账截止日，不能再录",IF(AND($K250="自用消耗",COUNTIF({"一矿区";"二矿区"},$L250)=0),"※自用消耗的去向只能是一矿区或二矿区",IF(AND($K250="对外销售",COUNTIF({"三矿区";"六矿区"},$L250)=0),"※对外销售的去向只能是三矿区或六矿区",IF(AND($K250="对外销售",ROUND($Q250,0)=0),"※外销却没有售价，请填实际售价",IF(AND($K250="对外销售",$T250&lt;&gt;"",$T250&lt;0),"※这一笔外销是亏的，请核对售价",IF(IFERROR(VLOOKUP($D250,库存台账!$A$5:$Y$1204,24,0),0)&lt;-0.001,"※这个物料账面已经变成负数了，查一下是不是漏记入库","")))))))))))</f>
        <v/>
      </c>
    </row>
    <row r="251">
      <c r="A251" s="24">
        <f>IF($D251="","",COUNTA($D$4:$D251))</f>
        <v/>
      </c>
      <c r="B251" s="17" t="n"/>
      <c r="C251" s="30" t="n"/>
      <c r="D251" s="17" t="n"/>
      <c r="E251" s="24">
        <f>IF($D251="","",IFERROR(VLOOKUP($D251,物料档案!$A$4:$P$1203,3,0),"※编码不在物料档案里"))</f>
        <v/>
      </c>
      <c r="F251" s="24">
        <f>IF($D251="","",IFERROR(VLOOKUP($D251,物料档案!$A$4:$P$1203,4,0),"※编码不在物料档案里"))</f>
        <v/>
      </c>
      <c r="G251" s="24">
        <f>IF($D251="","",IFERROR(VLOOKUP($D251,物料档案!$A$4:$P$1203,5,0),"※编码不在物料档案里"))</f>
        <v/>
      </c>
      <c r="H251" s="24">
        <f>IF($D251="","",IFERROR(VLOOKUP($D251,物料档案!$A$4:$P$1203,2,0),"※编码不在物料档案里"))</f>
        <v/>
      </c>
      <c r="I251" s="24">
        <f>IF($D251="","",IFERROR(VLOOKUP($D251,物料档案!$A$4:$P$1203,6,0),"※编码不在物料档案里"))</f>
        <v/>
      </c>
      <c r="J251" s="23" t="n"/>
      <c r="K251" s="17" t="n"/>
      <c r="L251" s="17" t="n"/>
      <c r="M251" s="17" t="n"/>
      <c r="N251" s="17" t="n"/>
      <c r="O251" s="26">
        <f>IF($D251="","",IFERROR(VLOOKUP($D251,物料档案!$A$4:$P$1203,10,0),0))</f>
        <v/>
      </c>
      <c r="P251" s="32" t="n"/>
      <c r="Q251" s="26">
        <f>IF($D251="","",IF($K251&lt;&gt;"对外销售",0,ROUND(N($J251)*IF($P251="",N($O251),N($P251)),0)))</f>
        <v/>
      </c>
      <c r="R251" s="26">
        <f>IF($D251="","",IFERROR(VLOOKUP($D251,库存台账!$A$5:$Y$1204,11,0),0))</f>
        <v/>
      </c>
      <c r="S251" s="26">
        <f>IF($D251="","",ROUND(N($J251)*N($R251),0))</f>
        <v/>
      </c>
      <c r="T251" s="26">
        <f>IF($D251="","",IF($K251&lt;&gt;"对外销售","",ROUND($Q251-$S251,0)))</f>
        <v/>
      </c>
      <c r="U251" s="17" t="n"/>
      <c r="V251" s="17" t="n"/>
      <c r="W251" s="24">
        <f>IF($D251="","",IF($E251="※编码不在物料档案里","※物料编码不在档案里",IF(N($J251)&lt;=0,"※出库数量要大于 0",IF($K251="","※没填去向类型",IF($L251="","※没填去向矿区",IF(AND($C251&lt;&gt;"",$C251&lt;=结账锁),"※日期早于已结账截止日，不能再录",IF(AND($K251="自用消耗",COUNTIF({"一矿区";"二矿区"},$L251)=0),"※自用消耗的去向只能是一矿区或二矿区",IF(AND($K251="对外销售",COUNTIF({"三矿区";"六矿区"},$L251)=0),"※对外销售的去向只能是三矿区或六矿区",IF(AND($K251="对外销售",ROUND($Q251,0)=0),"※外销却没有售价，请填实际售价",IF(AND($K251="对外销售",$T251&lt;&gt;"",$T251&lt;0),"※这一笔外销是亏的，请核对售价",IF(IFERROR(VLOOKUP($D251,库存台账!$A$5:$Y$1204,24,0),0)&lt;-0.001,"※这个物料账面已经变成负数了，查一下是不是漏记入库","")))))))))))</f>
        <v/>
      </c>
    </row>
    <row r="252">
      <c r="A252" s="24">
        <f>IF($D252="","",COUNTA($D$4:$D252))</f>
        <v/>
      </c>
      <c r="B252" s="17" t="n"/>
      <c r="C252" s="30" t="n"/>
      <c r="D252" s="17" t="n"/>
      <c r="E252" s="24">
        <f>IF($D252="","",IFERROR(VLOOKUP($D252,物料档案!$A$4:$P$1203,3,0),"※编码不在物料档案里"))</f>
        <v/>
      </c>
      <c r="F252" s="24">
        <f>IF($D252="","",IFERROR(VLOOKUP($D252,物料档案!$A$4:$P$1203,4,0),"※编码不在物料档案里"))</f>
        <v/>
      </c>
      <c r="G252" s="24">
        <f>IF($D252="","",IFERROR(VLOOKUP($D252,物料档案!$A$4:$P$1203,5,0),"※编码不在物料档案里"))</f>
        <v/>
      </c>
      <c r="H252" s="24">
        <f>IF($D252="","",IFERROR(VLOOKUP($D252,物料档案!$A$4:$P$1203,2,0),"※编码不在物料档案里"))</f>
        <v/>
      </c>
      <c r="I252" s="24">
        <f>IF($D252="","",IFERROR(VLOOKUP($D252,物料档案!$A$4:$P$1203,6,0),"※编码不在物料档案里"))</f>
        <v/>
      </c>
      <c r="J252" s="23" t="n"/>
      <c r="K252" s="17" t="n"/>
      <c r="L252" s="17" t="n"/>
      <c r="M252" s="17" t="n"/>
      <c r="N252" s="17" t="n"/>
      <c r="O252" s="26">
        <f>IF($D252="","",IFERROR(VLOOKUP($D252,物料档案!$A$4:$P$1203,10,0),0))</f>
        <v/>
      </c>
      <c r="P252" s="32" t="n"/>
      <c r="Q252" s="26">
        <f>IF($D252="","",IF($K252&lt;&gt;"对外销售",0,ROUND(N($J252)*IF($P252="",N($O252),N($P252)),0)))</f>
        <v/>
      </c>
      <c r="R252" s="26">
        <f>IF($D252="","",IFERROR(VLOOKUP($D252,库存台账!$A$5:$Y$1204,11,0),0))</f>
        <v/>
      </c>
      <c r="S252" s="26">
        <f>IF($D252="","",ROUND(N($J252)*N($R252),0))</f>
        <v/>
      </c>
      <c r="T252" s="26">
        <f>IF($D252="","",IF($K252&lt;&gt;"对外销售","",ROUND($Q252-$S252,0)))</f>
        <v/>
      </c>
      <c r="U252" s="17" t="n"/>
      <c r="V252" s="17" t="n"/>
      <c r="W252" s="24">
        <f>IF($D252="","",IF($E252="※编码不在物料档案里","※物料编码不在档案里",IF(N($J252)&lt;=0,"※出库数量要大于 0",IF($K252="","※没填去向类型",IF($L252="","※没填去向矿区",IF(AND($C252&lt;&gt;"",$C252&lt;=结账锁),"※日期早于已结账截止日，不能再录",IF(AND($K252="自用消耗",COUNTIF({"一矿区";"二矿区"},$L252)=0),"※自用消耗的去向只能是一矿区或二矿区",IF(AND($K252="对外销售",COUNTIF({"三矿区";"六矿区"},$L252)=0),"※对外销售的去向只能是三矿区或六矿区",IF(AND($K252="对外销售",ROUND($Q252,0)=0),"※外销却没有售价，请填实际售价",IF(AND($K252="对外销售",$T252&lt;&gt;"",$T252&lt;0),"※这一笔外销是亏的，请核对售价",IF(IFERROR(VLOOKUP($D252,库存台账!$A$5:$Y$1204,24,0),0)&lt;-0.001,"※这个物料账面已经变成负数了，查一下是不是漏记入库","")))))))))))</f>
        <v/>
      </c>
    </row>
    <row r="253">
      <c r="A253" s="24">
        <f>IF($D253="","",COUNTA($D$4:$D253))</f>
        <v/>
      </c>
      <c r="B253" s="17" t="n"/>
      <c r="C253" s="30" t="n"/>
      <c r="D253" s="17" t="n"/>
      <c r="E253" s="24">
        <f>IF($D253="","",IFERROR(VLOOKUP($D253,物料档案!$A$4:$P$1203,3,0),"※编码不在物料档案里"))</f>
        <v/>
      </c>
      <c r="F253" s="24">
        <f>IF($D253="","",IFERROR(VLOOKUP($D253,物料档案!$A$4:$P$1203,4,0),"※编码不在物料档案里"))</f>
        <v/>
      </c>
      <c r="G253" s="24">
        <f>IF($D253="","",IFERROR(VLOOKUP($D253,物料档案!$A$4:$P$1203,5,0),"※编码不在物料档案里"))</f>
        <v/>
      </c>
      <c r="H253" s="24">
        <f>IF($D253="","",IFERROR(VLOOKUP($D253,物料档案!$A$4:$P$1203,2,0),"※编码不在物料档案里"))</f>
        <v/>
      </c>
      <c r="I253" s="24">
        <f>IF($D253="","",IFERROR(VLOOKUP($D253,物料档案!$A$4:$P$1203,6,0),"※编码不在物料档案里"))</f>
        <v/>
      </c>
      <c r="J253" s="23" t="n"/>
      <c r="K253" s="17" t="n"/>
      <c r="L253" s="17" t="n"/>
      <c r="M253" s="17" t="n"/>
      <c r="N253" s="17" t="n"/>
      <c r="O253" s="26">
        <f>IF($D253="","",IFERROR(VLOOKUP($D253,物料档案!$A$4:$P$1203,10,0),0))</f>
        <v/>
      </c>
      <c r="P253" s="32" t="n"/>
      <c r="Q253" s="26">
        <f>IF($D253="","",IF($K253&lt;&gt;"对外销售",0,ROUND(N($J253)*IF($P253="",N($O253),N($P253)),0)))</f>
        <v/>
      </c>
      <c r="R253" s="26">
        <f>IF($D253="","",IFERROR(VLOOKUP($D253,库存台账!$A$5:$Y$1204,11,0),0))</f>
        <v/>
      </c>
      <c r="S253" s="26">
        <f>IF($D253="","",ROUND(N($J253)*N($R253),0))</f>
        <v/>
      </c>
      <c r="T253" s="26">
        <f>IF($D253="","",IF($K253&lt;&gt;"对外销售","",ROUND($Q253-$S253,0)))</f>
        <v/>
      </c>
      <c r="U253" s="17" t="n"/>
      <c r="V253" s="17" t="n"/>
      <c r="W253" s="24">
        <f>IF($D253="","",IF($E253="※编码不在物料档案里","※物料编码不在档案里",IF(N($J253)&lt;=0,"※出库数量要大于 0",IF($K253="","※没填去向类型",IF($L253="","※没填去向矿区",IF(AND($C253&lt;&gt;"",$C253&lt;=结账锁),"※日期早于已结账截止日，不能再录",IF(AND($K253="自用消耗",COUNTIF({"一矿区";"二矿区"},$L253)=0),"※自用消耗的去向只能是一矿区或二矿区",IF(AND($K253="对外销售",COUNTIF({"三矿区";"六矿区"},$L253)=0),"※对外销售的去向只能是三矿区或六矿区",IF(AND($K253="对外销售",ROUND($Q253,0)=0),"※外销却没有售价，请填实际售价",IF(AND($K253="对外销售",$T253&lt;&gt;"",$T253&lt;0),"※这一笔外销是亏的，请核对售价",IF(IFERROR(VLOOKUP($D253,库存台账!$A$5:$Y$1204,24,0),0)&lt;-0.001,"※这个物料账面已经变成负数了，查一下是不是漏记入库","")))))))))))</f>
        <v/>
      </c>
    </row>
    <row r="254">
      <c r="A254" s="24">
        <f>IF($D254="","",COUNTA($D$4:$D254))</f>
        <v/>
      </c>
      <c r="B254" s="17" t="n"/>
      <c r="C254" s="30" t="n"/>
      <c r="D254" s="17" t="n"/>
      <c r="E254" s="24">
        <f>IF($D254="","",IFERROR(VLOOKUP($D254,物料档案!$A$4:$P$1203,3,0),"※编码不在物料档案里"))</f>
        <v/>
      </c>
      <c r="F254" s="24">
        <f>IF($D254="","",IFERROR(VLOOKUP($D254,物料档案!$A$4:$P$1203,4,0),"※编码不在物料档案里"))</f>
        <v/>
      </c>
      <c r="G254" s="24">
        <f>IF($D254="","",IFERROR(VLOOKUP($D254,物料档案!$A$4:$P$1203,5,0),"※编码不在物料档案里"))</f>
        <v/>
      </c>
      <c r="H254" s="24">
        <f>IF($D254="","",IFERROR(VLOOKUP($D254,物料档案!$A$4:$P$1203,2,0),"※编码不在物料档案里"))</f>
        <v/>
      </c>
      <c r="I254" s="24">
        <f>IF($D254="","",IFERROR(VLOOKUP($D254,物料档案!$A$4:$P$1203,6,0),"※编码不在物料档案里"))</f>
        <v/>
      </c>
      <c r="J254" s="23" t="n"/>
      <c r="K254" s="17" t="n"/>
      <c r="L254" s="17" t="n"/>
      <c r="M254" s="17" t="n"/>
      <c r="N254" s="17" t="n"/>
      <c r="O254" s="26">
        <f>IF($D254="","",IFERROR(VLOOKUP($D254,物料档案!$A$4:$P$1203,10,0),0))</f>
        <v/>
      </c>
      <c r="P254" s="32" t="n"/>
      <c r="Q254" s="26">
        <f>IF($D254="","",IF($K254&lt;&gt;"对外销售",0,ROUND(N($J254)*IF($P254="",N($O254),N($P254)),0)))</f>
        <v/>
      </c>
      <c r="R254" s="26">
        <f>IF($D254="","",IFERROR(VLOOKUP($D254,库存台账!$A$5:$Y$1204,11,0),0))</f>
        <v/>
      </c>
      <c r="S254" s="26">
        <f>IF($D254="","",ROUND(N($J254)*N($R254),0))</f>
        <v/>
      </c>
      <c r="T254" s="26">
        <f>IF($D254="","",IF($K254&lt;&gt;"对外销售","",ROUND($Q254-$S254,0)))</f>
        <v/>
      </c>
      <c r="U254" s="17" t="n"/>
      <c r="V254" s="17" t="n"/>
      <c r="W254" s="24">
        <f>IF($D254="","",IF($E254="※编码不在物料档案里","※物料编码不在档案里",IF(N($J254)&lt;=0,"※出库数量要大于 0",IF($K254="","※没填去向类型",IF($L254="","※没填去向矿区",IF(AND($C254&lt;&gt;"",$C254&lt;=结账锁),"※日期早于已结账截止日，不能再录",IF(AND($K254="自用消耗",COUNTIF({"一矿区";"二矿区"},$L254)=0),"※自用消耗的去向只能是一矿区或二矿区",IF(AND($K254="对外销售",COUNTIF({"三矿区";"六矿区"},$L254)=0),"※对外销售的去向只能是三矿区或六矿区",IF(AND($K254="对外销售",ROUND($Q254,0)=0),"※外销却没有售价，请填实际售价",IF(AND($K254="对外销售",$T254&lt;&gt;"",$T254&lt;0),"※这一笔外销是亏的，请核对售价",IF(IFERROR(VLOOKUP($D254,库存台账!$A$5:$Y$1204,24,0),0)&lt;-0.001,"※这个物料账面已经变成负数了，查一下是不是漏记入库","")))))))))))</f>
        <v/>
      </c>
    </row>
    <row r="255">
      <c r="A255" s="24">
        <f>IF($D255="","",COUNTA($D$4:$D255))</f>
        <v/>
      </c>
      <c r="B255" s="17" t="n"/>
      <c r="C255" s="30" t="n"/>
      <c r="D255" s="17" t="n"/>
      <c r="E255" s="24">
        <f>IF($D255="","",IFERROR(VLOOKUP($D255,物料档案!$A$4:$P$1203,3,0),"※编码不在物料档案里"))</f>
        <v/>
      </c>
      <c r="F255" s="24">
        <f>IF($D255="","",IFERROR(VLOOKUP($D255,物料档案!$A$4:$P$1203,4,0),"※编码不在物料档案里"))</f>
        <v/>
      </c>
      <c r="G255" s="24">
        <f>IF($D255="","",IFERROR(VLOOKUP($D255,物料档案!$A$4:$P$1203,5,0),"※编码不在物料档案里"))</f>
        <v/>
      </c>
      <c r="H255" s="24">
        <f>IF($D255="","",IFERROR(VLOOKUP($D255,物料档案!$A$4:$P$1203,2,0),"※编码不在物料档案里"))</f>
        <v/>
      </c>
      <c r="I255" s="24">
        <f>IF($D255="","",IFERROR(VLOOKUP($D255,物料档案!$A$4:$P$1203,6,0),"※编码不在物料档案里"))</f>
        <v/>
      </c>
      <c r="J255" s="23" t="n"/>
      <c r="K255" s="17" t="n"/>
      <c r="L255" s="17" t="n"/>
      <c r="M255" s="17" t="n"/>
      <c r="N255" s="17" t="n"/>
      <c r="O255" s="26">
        <f>IF($D255="","",IFERROR(VLOOKUP($D255,物料档案!$A$4:$P$1203,10,0),0))</f>
        <v/>
      </c>
      <c r="P255" s="32" t="n"/>
      <c r="Q255" s="26">
        <f>IF($D255="","",IF($K255&lt;&gt;"对外销售",0,ROUND(N($J255)*IF($P255="",N($O255),N($P255)),0)))</f>
        <v/>
      </c>
      <c r="R255" s="26">
        <f>IF($D255="","",IFERROR(VLOOKUP($D255,库存台账!$A$5:$Y$1204,11,0),0))</f>
        <v/>
      </c>
      <c r="S255" s="26">
        <f>IF($D255="","",ROUND(N($J255)*N($R255),0))</f>
        <v/>
      </c>
      <c r="T255" s="26">
        <f>IF($D255="","",IF($K255&lt;&gt;"对外销售","",ROUND($Q255-$S255,0)))</f>
        <v/>
      </c>
      <c r="U255" s="17" t="n"/>
      <c r="V255" s="17" t="n"/>
      <c r="W255" s="24">
        <f>IF($D255="","",IF($E255="※编码不在物料档案里","※物料编码不在档案里",IF(N($J255)&lt;=0,"※出库数量要大于 0",IF($K255="","※没填去向类型",IF($L255="","※没填去向矿区",IF(AND($C255&lt;&gt;"",$C255&lt;=结账锁),"※日期早于已结账截止日，不能再录",IF(AND($K255="自用消耗",COUNTIF({"一矿区";"二矿区"},$L255)=0),"※自用消耗的去向只能是一矿区或二矿区",IF(AND($K255="对外销售",COUNTIF({"三矿区";"六矿区"},$L255)=0),"※对外销售的去向只能是三矿区或六矿区",IF(AND($K255="对外销售",ROUND($Q255,0)=0),"※外销却没有售价，请填实际售价",IF(AND($K255="对外销售",$T255&lt;&gt;"",$T255&lt;0),"※这一笔外销是亏的，请核对售价",IF(IFERROR(VLOOKUP($D255,库存台账!$A$5:$Y$1204,24,0),0)&lt;-0.001,"※这个物料账面已经变成负数了，查一下是不是漏记入库","")))))))))))</f>
        <v/>
      </c>
    </row>
    <row r="256">
      <c r="A256" s="24">
        <f>IF($D256="","",COUNTA($D$4:$D256))</f>
        <v/>
      </c>
      <c r="B256" s="17" t="n"/>
      <c r="C256" s="30" t="n"/>
      <c r="D256" s="17" t="n"/>
      <c r="E256" s="24">
        <f>IF($D256="","",IFERROR(VLOOKUP($D256,物料档案!$A$4:$P$1203,3,0),"※编码不在物料档案里"))</f>
        <v/>
      </c>
      <c r="F256" s="24">
        <f>IF($D256="","",IFERROR(VLOOKUP($D256,物料档案!$A$4:$P$1203,4,0),"※编码不在物料档案里"))</f>
        <v/>
      </c>
      <c r="G256" s="24">
        <f>IF($D256="","",IFERROR(VLOOKUP($D256,物料档案!$A$4:$P$1203,5,0),"※编码不在物料档案里"))</f>
        <v/>
      </c>
      <c r="H256" s="24">
        <f>IF($D256="","",IFERROR(VLOOKUP($D256,物料档案!$A$4:$P$1203,2,0),"※编码不在物料档案里"))</f>
        <v/>
      </c>
      <c r="I256" s="24">
        <f>IF($D256="","",IFERROR(VLOOKUP($D256,物料档案!$A$4:$P$1203,6,0),"※编码不在物料档案里"))</f>
        <v/>
      </c>
      <c r="J256" s="23" t="n"/>
      <c r="K256" s="17" t="n"/>
      <c r="L256" s="17" t="n"/>
      <c r="M256" s="17" t="n"/>
      <c r="N256" s="17" t="n"/>
      <c r="O256" s="26">
        <f>IF($D256="","",IFERROR(VLOOKUP($D256,物料档案!$A$4:$P$1203,10,0),0))</f>
        <v/>
      </c>
      <c r="P256" s="32" t="n"/>
      <c r="Q256" s="26">
        <f>IF($D256="","",IF($K256&lt;&gt;"对外销售",0,ROUND(N($J256)*IF($P256="",N($O256),N($P256)),0)))</f>
        <v/>
      </c>
      <c r="R256" s="26">
        <f>IF($D256="","",IFERROR(VLOOKUP($D256,库存台账!$A$5:$Y$1204,11,0),0))</f>
        <v/>
      </c>
      <c r="S256" s="26">
        <f>IF($D256="","",ROUND(N($J256)*N($R256),0))</f>
        <v/>
      </c>
      <c r="T256" s="26">
        <f>IF($D256="","",IF($K256&lt;&gt;"对外销售","",ROUND($Q256-$S256,0)))</f>
        <v/>
      </c>
      <c r="U256" s="17" t="n"/>
      <c r="V256" s="17" t="n"/>
      <c r="W256" s="24">
        <f>IF($D256="","",IF($E256="※编码不在物料档案里","※物料编码不在档案里",IF(N($J256)&lt;=0,"※出库数量要大于 0",IF($K256="","※没填去向类型",IF($L256="","※没填去向矿区",IF(AND($C256&lt;&gt;"",$C256&lt;=结账锁),"※日期早于已结账截止日，不能再录",IF(AND($K256="自用消耗",COUNTIF({"一矿区";"二矿区"},$L256)=0),"※自用消耗的去向只能是一矿区或二矿区",IF(AND($K256="对外销售",COUNTIF({"三矿区";"六矿区"},$L256)=0),"※对外销售的去向只能是三矿区或六矿区",IF(AND($K256="对外销售",ROUND($Q256,0)=0),"※外销却没有售价，请填实际售价",IF(AND($K256="对外销售",$T256&lt;&gt;"",$T256&lt;0),"※这一笔外销是亏的，请核对售价",IF(IFERROR(VLOOKUP($D256,库存台账!$A$5:$Y$1204,24,0),0)&lt;-0.001,"※这个物料账面已经变成负数了，查一下是不是漏记入库","")))))))))))</f>
        <v/>
      </c>
    </row>
    <row r="257">
      <c r="A257" s="24">
        <f>IF($D257="","",COUNTA($D$4:$D257))</f>
        <v/>
      </c>
      <c r="B257" s="17" t="n"/>
      <c r="C257" s="30" t="n"/>
      <c r="D257" s="17" t="n"/>
      <c r="E257" s="24">
        <f>IF($D257="","",IFERROR(VLOOKUP($D257,物料档案!$A$4:$P$1203,3,0),"※编码不在物料档案里"))</f>
        <v/>
      </c>
      <c r="F257" s="24">
        <f>IF($D257="","",IFERROR(VLOOKUP($D257,物料档案!$A$4:$P$1203,4,0),"※编码不在物料档案里"))</f>
        <v/>
      </c>
      <c r="G257" s="24">
        <f>IF($D257="","",IFERROR(VLOOKUP($D257,物料档案!$A$4:$P$1203,5,0),"※编码不在物料档案里"))</f>
        <v/>
      </c>
      <c r="H257" s="24">
        <f>IF($D257="","",IFERROR(VLOOKUP($D257,物料档案!$A$4:$P$1203,2,0),"※编码不在物料档案里"))</f>
        <v/>
      </c>
      <c r="I257" s="24">
        <f>IF($D257="","",IFERROR(VLOOKUP($D257,物料档案!$A$4:$P$1203,6,0),"※编码不在物料档案里"))</f>
        <v/>
      </c>
      <c r="J257" s="23" t="n"/>
      <c r="K257" s="17" t="n"/>
      <c r="L257" s="17" t="n"/>
      <c r="M257" s="17" t="n"/>
      <c r="N257" s="17" t="n"/>
      <c r="O257" s="26">
        <f>IF($D257="","",IFERROR(VLOOKUP($D257,物料档案!$A$4:$P$1203,10,0),0))</f>
        <v/>
      </c>
      <c r="P257" s="32" t="n"/>
      <c r="Q257" s="26">
        <f>IF($D257="","",IF($K257&lt;&gt;"对外销售",0,ROUND(N($J257)*IF($P257="",N($O257),N($P257)),0)))</f>
        <v/>
      </c>
      <c r="R257" s="26">
        <f>IF($D257="","",IFERROR(VLOOKUP($D257,库存台账!$A$5:$Y$1204,11,0),0))</f>
        <v/>
      </c>
      <c r="S257" s="26">
        <f>IF($D257="","",ROUND(N($J257)*N($R257),0))</f>
        <v/>
      </c>
      <c r="T257" s="26">
        <f>IF($D257="","",IF($K257&lt;&gt;"对外销售","",ROUND($Q257-$S257,0)))</f>
        <v/>
      </c>
      <c r="U257" s="17" t="n"/>
      <c r="V257" s="17" t="n"/>
      <c r="W257" s="24">
        <f>IF($D257="","",IF($E257="※编码不在物料档案里","※物料编码不在档案里",IF(N($J257)&lt;=0,"※出库数量要大于 0",IF($K257="","※没填去向类型",IF($L257="","※没填去向矿区",IF(AND($C257&lt;&gt;"",$C257&lt;=结账锁),"※日期早于已结账截止日，不能再录",IF(AND($K257="自用消耗",COUNTIF({"一矿区";"二矿区"},$L257)=0),"※自用消耗的去向只能是一矿区或二矿区",IF(AND($K257="对外销售",COUNTIF({"三矿区";"六矿区"},$L257)=0),"※对外销售的去向只能是三矿区或六矿区",IF(AND($K257="对外销售",ROUND($Q257,0)=0),"※外销却没有售价，请填实际售价",IF(AND($K257="对外销售",$T257&lt;&gt;"",$T257&lt;0),"※这一笔外销是亏的，请核对售价",IF(IFERROR(VLOOKUP($D257,库存台账!$A$5:$Y$1204,24,0),0)&lt;-0.001,"※这个物料账面已经变成负数了，查一下是不是漏记入库","")))))))))))</f>
        <v/>
      </c>
    </row>
    <row r="258">
      <c r="A258" s="24">
        <f>IF($D258="","",COUNTA($D$4:$D258))</f>
        <v/>
      </c>
      <c r="B258" s="17" t="n"/>
      <c r="C258" s="30" t="n"/>
      <c r="D258" s="17" t="n"/>
      <c r="E258" s="24">
        <f>IF($D258="","",IFERROR(VLOOKUP($D258,物料档案!$A$4:$P$1203,3,0),"※编码不在物料档案里"))</f>
        <v/>
      </c>
      <c r="F258" s="24">
        <f>IF($D258="","",IFERROR(VLOOKUP($D258,物料档案!$A$4:$P$1203,4,0),"※编码不在物料档案里"))</f>
        <v/>
      </c>
      <c r="G258" s="24">
        <f>IF($D258="","",IFERROR(VLOOKUP($D258,物料档案!$A$4:$P$1203,5,0),"※编码不在物料档案里"))</f>
        <v/>
      </c>
      <c r="H258" s="24">
        <f>IF($D258="","",IFERROR(VLOOKUP($D258,物料档案!$A$4:$P$1203,2,0),"※编码不在物料档案里"))</f>
        <v/>
      </c>
      <c r="I258" s="24">
        <f>IF($D258="","",IFERROR(VLOOKUP($D258,物料档案!$A$4:$P$1203,6,0),"※编码不在物料档案里"))</f>
        <v/>
      </c>
      <c r="J258" s="23" t="n"/>
      <c r="K258" s="17" t="n"/>
      <c r="L258" s="17" t="n"/>
      <c r="M258" s="17" t="n"/>
      <c r="N258" s="17" t="n"/>
      <c r="O258" s="26">
        <f>IF($D258="","",IFERROR(VLOOKUP($D258,物料档案!$A$4:$P$1203,10,0),0))</f>
        <v/>
      </c>
      <c r="P258" s="32" t="n"/>
      <c r="Q258" s="26">
        <f>IF($D258="","",IF($K258&lt;&gt;"对外销售",0,ROUND(N($J258)*IF($P258="",N($O258),N($P258)),0)))</f>
        <v/>
      </c>
      <c r="R258" s="26">
        <f>IF($D258="","",IFERROR(VLOOKUP($D258,库存台账!$A$5:$Y$1204,11,0),0))</f>
        <v/>
      </c>
      <c r="S258" s="26">
        <f>IF($D258="","",ROUND(N($J258)*N($R258),0))</f>
        <v/>
      </c>
      <c r="T258" s="26">
        <f>IF($D258="","",IF($K258&lt;&gt;"对外销售","",ROUND($Q258-$S258,0)))</f>
        <v/>
      </c>
      <c r="U258" s="17" t="n"/>
      <c r="V258" s="17" t="n"/>
      <c r="W258" s="24">
        <f>IF($D258="","",IF($E258="※编码不在物料档案里","※物料编码不在档案里",IF(N($J258)&lt;=0,"※出库数量要大于 0",IF($K258="","※没填去向类型",IF($L258="","※没填去向矿区",IF(AND($C258&lt;&gt;"",$C258&lt;=结账锁),"※日期早于已结账截止日，不能再录",IF(AND($K258="自用消耗",COUNTIF({"一矿区";"二矿区"},$L258)=0),"※自用消耗的去向只能是一矿区或二矿区",IF(AND($K258="对外销售",COUNTIF({"三矿区";"六矿区"},$L258)=0),"※对外销售的去向只能是三矿区或六矿区",IF(AND($K258="对外销售",ROUND($Q258,0)=0),"※外销却没有售价，请填实际售价",IF(AND($K258="对外销售",$T258&lt;&gt;"",$T258&lt;0),"※这一笔外销是亏的，请核对售价",IF(IFERROR(VLOOKUP($D258,库存台账!$A$5:$Y$1204,24,0),0)&lt;-0.001,"※这个物料账面已经变成负数了，查一下是不是漏记入库","")))))))))))</f>
        <v/>
      </c>
    </row>
    <row r="259">
      <c r="A259" s="24">
        <f>IF($D259="","",COUNTA($D$4:$D259))</f>
        <v/>
      </c>
      <c r="B259" s="17" t="n"/>
      <c r="C259" s="30" t="n"/>
      <c r="D259" s="17" t="n"/>
      <c r="E259" s="24">
        <f>IF($D259="","",IFERROR(VLOOKUP($D259,物料档案!$A$4:$P$1203,3,0),"※编码不在物料档案里"))</f>
        <v/>
      </c>
      <c r="F259" s="24">
        <f>IF($D259="","",IFERROR(VLOOKUP($D259,物料档案!$A$4:$P$1203,4,0),"※编码不在物料档案里"))</f>
        <v/>
      </c>
      <c r="G259" s="24">
        <f>IF($D259="","",IFERROR(VLOOKUP($D259,物料档案!$A$4:$P$1203,5,0),"※编码不在物料档案里"))</f>
        <v/>
      </c>
      <c r="H259" s="24">
        <f>IF($D259="","",IFERROR(VLOOKUP($D259,物料档案!$A$4:$P$1203,2,0),"※编码不在物料档案里"))</f>
        <v/>
      </c>
      <c r="I259" s="24">
        <f>IF($D259="","",IFERROR(VLOOKUP($D259,物料档案!$A$4:$P$1203,6,0),"※编码不在物料档案里"))</f>
        <v/>
      </c>
      <c r="J259" s="23" t="n"/>
      <c r="K259" s="17" t="n"/>
      <c r="L259" s="17" t="n"/>
      <c r="M259" s="17" t="n"/>
      <c r="N259" s="17" t="n"/>
      <c r="O259" s="26">
        <f>IF($D259="","",IFERROR(VLOOKUP($D259,物料档案!$A$4:$P$1203,10,0),0))</f>
        <v/>
      </c>
      <c r="P259" s="32" t="n"/>
      <c r="Q259" s="26">
        <f>IF($D259="","",IF($K259&lt;&gt;"对外销售",0,ROUND(N($J259)*IF($P259="",N($O259),N($P259)),0)))</f>
        <v/>
      </c>
      <c r="R259" s="26">
        <f>IF($D259="","",IFERROR(VLOOKUP($D259,库存台账!$A$5:$Y$1204,11,0),0))</f>
        <v/>
      </c>
      <c r="S259" s="26">
        <f>IF($D259="","",ROUND(N($J259)*N($R259),0))</f>
        <v/>
      </c>
      <c r="T259" s="26">
        <f>IF($D259="","",IF($K259&lt;&gt;"对外销售","",ROUND($Q259-$S259,0)))</f>
        <v/>
      </c>
      <c r="U259" s="17" t="n"/>
      <c r="V259" s="17" t="n"/>
      <c r="W259" s="24">
        <f>IF($D259="","",IF($E259="※编码不在物料档案里","※物料编码不在档案里",IF(N($J259)&lt;=0,"※出库数量要大于 0",IF($K259="","※没填去向类型",IF($L259="","※没填去向矿区",IF(AND($C259&lt;&gt;"",$C259&lt;=结账锁),"※日期早于已结账截止日，不能再录",IF(AND($K259="自用消耗",COUNTIF({"一矿区";"二矿区"},$L259)=0),"※自用消耗的去向只能是一矿区或二矿区",IF(AND($K259="对外销售",COUNTIF({"三矿区";"六矿区"},$L259)=0),"※对外销售的去向只能是三矿区或六矿区",IF(AND($K259="对外销售",ROUND($Q259,0)=0),"※外销却没有售价，请填实际售价",IF(AND($K259="对外销售",$T259&lt;&gt;"",$T259&lt;0),"※这一笔外销是亏的，请核对售价",IF(IFERROR(VLOOKUP($D259,库存台账!$A$5:$Y$1204,24,0),0)&lt;-0.001,"※这个物料账面已经变成负数了，查一下是不是漏记入库","")))))))))))</f>
        <v/>
      </c>
    </row>
    <row r="260">
      <c r="A260" s="24">
        <f>IF($D260="","",COUNTA($D$4:$D260))</f>
        <v/>
      </c>
      <c r="B260" s="17" t="n"/>
      <c r="C260" s="30" t="n"/>
      <c r="D260" s="17" t="n"/>
      <c r="E260" s="24">
        <f>IF($D260="","",IFERROR(VLOOKUP($D260,物料档案!$A$4:$P$1203,3,0),"※编码不在物料档案里"))</f>
        <v/>
      </c>
      <c r="F260" s="24">
        <f>IF($D260="","",IFERROR(VLOOKUP($D260,物料档案!$A$4:$P$1203,4,0),"※编码不在物料档案里"))</f>
        <v/>
      </c>
      <c r="G260" s="24">
        <f>IF($D260="","",IFERROR(VLOOKUP($D260,物料档案!$A$4:$P$1203,5,0),"※编码不在物料档案里"))</f>
        <v/>
      </c>
      <c r="H260" s="24">
        <f>IF($D260="","",IFERROR(VLOOKUP($D260,物料档案!$A$4:$P$1203,2,0),"※编码不在物料档案里"))</f>
        <v/>
      </c>
      <c r="I260" s="24">
        <f>IF($D260="","",IFERROR(VLOOKUP($D260,物料档案!$A$4:$P$1203,6,0),"※编码不在物料档案里"))</f>
        <v/>
      </c>
      <c r="J260" s="23" t="n"/>
      <c r="K260" s="17" t="n"/>
      <c r="L260" s="17" t="n"/>
      <c r="M260" s="17" t="n"/>
      <c r="N260" s="17" t="n"/>
      <c r="O260" s="26">
        <f>IF($D260="","",IFERROR(VLOOKUP($D260,物料档案!$A$4:$P$1203,10,0),0))</f>
        <v/>
      </c>
      <c r="P260" s="32" t="n"/>
      <c r="Q260" s="26">
        <f>IF($D260="","",IF($K260&lt;&gt;"对外销售",0,ROUND(N($J260)*IF($P260="",N($O260),N($P260)),0)))</f>
        <v/>
      </c>
      <c r="R260" s="26">
        <f>IF($D260="","",IFERROR(VLOOKUP($D260,库存台账!$A$5:$Y$1204,11,0),0))</f>
        <v/>
      </c>
      <c r="S260" s="26">
        <f>IF($D260="","",ROUND(N($J260)*N($R260),0))</f>
        <v/>
      </c>
      <c r="T260" s="26">
        <f>IF($D260="","",IF($K260&lt;&gt;"对外销售","",ROUND($Q260-$S260,0)))</f>
        <v/>
      </c>
      <c r="U260" s="17" t="n"/>
      <c r="V260" s="17" t="n"/>
      <c r="W260" s="24">
        <f>IF($D260="","",IF($E260="※编码不在物料档案里","※物料编码不在档案里",IF(N($J260)&lt;=0,"※出库数量要大于 0",IF($K260="","※没填去向类型",IF($L260="","※没填去向矿区",IF(AND($C260&lt;&gt;"",$C260&lt;=结账锁),"※日期早于已结账截止日，不能再录",IF(AND($K260="自用消耗",COUNTIF({"一矿区";"二矿区"},$L260)=0),"※自用消耗的去向只能是一矿区或二矿区",IF(AND($K260="对外销售",COUNTIF({"三矿区";"六矿区"},$L260)=0),"※对外销售的去向只能是三矿区或六矿区",IF(AND($K260="对外销售",ROUND($Q260,0)=0),"※外销却没有售价，请填实际售价",IF(AND($K260="对外销售",$T260&lt;&gt;"",$T260&lt;0),"※这一笔外销是亏的，请核对售价",IF(IFERROR(VLOOKUP($D260,库存台账!$A$5:$Y$1204,24,0),0)&lt;-0.001,"※这个物料账面已经变成负数了，查一下是不是漏记入库","")))))))))))</f>
        <v/>
      </c>
    </row>
    <row r="261">
      <c r="A261" s="24">
        <f>IF($D261="","",COUNTA($D$4:$D261))</f>
        <v/>
      </c>
      <c r="B261" s="17" t="n"/>
      <c r="C261" s="30" t="n"/>
      <c r="D261" s="17" t="n"/>
      <c r="E261" s="24">
        <f>IF($D261="","",IFERROR(VLOOKUP($D261,物料档案!$A$4:$P$1203,3,0),"※编码不在物料档案里"))</f>
        <v/>
      </c>
      <c r="F261" s="24">
        <f>IF($D261="","",IFERROR(VLOOKUP($D261,物料档案!$A$4:$P$1203,4,0),"※编码不在物料档案里"))</f>
        <v/>
      </c>
      <c r="G261" s="24">
        <f>IF($D261="","",IFERROR(VLOOKUP($D261,物料档案!$A$4:$P$1203,5,0),"※编码不在物料档案里"))</f>
        <v/>
      </c>
      <c r="H261" s="24">
        <f>IF($D261="","",IFERROR(VLOOKUP($D261,物料档案!$A$4:$P$1203,2,0),"※编码不在物料档案里"))</f>
        <v/>
      </c>
      <c r="I261" s="24">
        <f>IF($D261="","",IFERROR(VLOOKUP($D261,物料档案!$A$4:$P$1203,6,0),"※编码不在物料档案里"))</f>
        <v/>
      </c>
      <c r="J261" s="23" t="n"/>
      <c r="K261" s="17" t="n"/>
      <c r="L261" s="17" t="n"/>
      <c r="M261" s="17" t="n"/>
      <c r="N261" s="17" t="n"/>
      <c r="O261" s="26">
        <f>IF($D261="","",IFERROR(VLOOKUP($D261,物料档案!$A$4:$P$1203,10,0),0))</f>
        <v/>
      </c>
      <c r="P261" s="32" t="n"/>
      <c r="Q261" s="26">
        <f>IF($D261="","",IF($K261&lt;&gt;"对外销售",0,ROUND(N($J261)*IF($P261="",N($O261),N($P261)),0)))</f>
        <v/>
      </c>
      <c r="R261" s="26">
        <f>IF($D261="","",IFERROR(VLOOKUP($D261,库存台账!$A$5:$Y$1204,11,0),0))</f>
        <v/>
      </c>
      <c r="S261" s="26">
        <f>IF($D261="","",ROUND(N($J261)*N($R261),0))</f>
        <v/>
      </c>
      <c r="T261" s="26">
        <f>IF($D261="","",IF($K261&lt;&gt;"对外销售","",ROUND($Q261-$S261,0)))</f>
        <v/>
      </c>
      <c r="U261" s="17" t="n"/>
      <c r="V261" s="17" t="n"/>
      <c r="W261" s="24">
        <f>IF($D261="","",IF($E261="※编码不在物料档案里","※物料编码不在档案里",IF(N($J261)&lt;=0,"※出库数量要大于 0",IF($K261="","※没填去向类型",IF($L261="","※没填去向矿区",IF(AND($C261&lt;&gt;"",$C261&lt;=结账锁),"※日期早于已结账截止日，不能再录",IF(AND($K261="自用消耗",COUNTIF({"一矿区";"二矿区"},$L261)=0),"※自用消耗的去向只能是一矿区或二矿区",IF(AND($K261="对外销售",COUNTIF({"三矿区";"六矿区"},$L261)=0),"※对外销售的去向只能是三矿区或六矿区",IF(AND($K261="对外销售",ROUND($Q261,0)=0),"※外销却没有售价，请填实际售价",IF(AND($K261="对外销售",$T261&lt;&gt;"",$T261&lt;0),"※这一笔外销是亏的，请核对售价",IF(IFERROR(VLOOKUP($D261,库存台账!$A$5:$Y$1204,24,0),0)&lt;-0.001,"※这个物料账面已经变成负数了，查一下是不是漏记入库","")))))))))))</f>
        <v/>
      </c>
    </row>
    <row r="262">
      <c r="A262" s="24">
        <f>IF($D262="","",COUNTA($D$4:$D262))</f>
        <v/>
      </c>
      <c r="B262" s="17" t="n"/>
      <c r="C262" s="30" t="n"/>
      <c r="D262" s="17" t="n"/>
      <c r="E262" s="24">
        <f>IF($D262="","",IFERROR(VLOOKUP($D262,物料档案!$A$4:$P$1203,3,0),"※编码不在物料档案里"))</f>
        <v/>
      </c>
      <c r="F262" s="24">
        <f>IF($D262="","",IFERROR(VLOOKUP($D262,物料档案!$A$4:$P$1203,4,0),"※编码不在物料档案里"))</f>
        <v/>
      </c>
      <c r="G262" s="24">
        <f>IF($D262="","",IFERROR(VLOOKUP($D262,物料档案!$A$4:$P$1203,5,0),"※编码不在物料档案里"))</f>
        <v/>
      </c>
      <c r="H262" s="24">
        <f>IF($D262="","",IFERROR(VLOOKUP($D262,物料档案!$A$4:$P$1203,2,0),"※编码不在物料档案里"))</f>
        <v/>
      </c>
      <c r="I262" s="24">
        <f>IF($D262="","",IFERROR(VLOOKUP($D262,物料档案!$A$4:$P$1203,6,0),"※编码不在物料档案里"))</f>
        <v/>
      </c>
      <c r="J262" s="23" t="n"/>
      <c r="K262" s="17" t="n"/>
      <c r="L262" s="17" t="n"/>
      <c r="M262" s="17" t="n"/>
      <c r="N262" s="17" t="n"/>
      <c r="O262" s="26">
        <f>IF($D262="","",IFERROR(VLOOKUP($D262,物料档案!$A$4:$P$1203,10,0),0))</f>
        <v/>
      </c>
      <c r="P262" s="32" t="n"/>
      <c r="Q262" s="26">
        <f>IF($D262="","",IF($K262&lt;&gt;"对外销售",0,ROUND(N($J262)*IF($P262="",N($O262),N($P262)),0)))</f>
        <v/>
      </c>
      <c r="R262" s="26">
        <f>IF($D262="","",IFERROR(VLOOKUP($D262,库存台账!$A$5:$Y$1204,11,0),0))</f>
        <v/>
      </c>
      <c r="S262" s="26">
        <f>IF($D262="","",ROUND(N($J262)*N($R262),0))</f>
        <v/>
      </c>
      <c r="T262" s="26">
        <f>IF($D262="","",IF($K262&lt;&gt;"对外销售","",ROUND($Q262-$S262,0)))</f>
        <v/>
      </c>
      <c r="U262" s="17" t="n"/>
      <c r="V262" s="17" t="n"/>
      <c r="W262" s="24">
        <f>IF($D262="","",IF($E262="※编码不在物料档案里","※物料编码不在档案里",IF(N($J262)&lt;=0,"※出库数量要大于 0",IF($K262="","※没填去向类型",IF($L262="","※没填去向矿区",IF(AND($C262&lt;&gt;"",$C262&lt;=结账锁),"※日期早于已结账截止日，不能再录",IF(AND($K262="自用消耗",COUNTIF({"一矿区";"二矿区"},$L262)=0),"※自用消耗的去向只能是一矿区或二矿区",IF(AND($K262="对外销售",COUNTIF({"三矿区";"六矿区"},$L262)=0),"※对外销售的去向只能是三矿区或六矿区",IF(AND($K262="对外销售",ROUND($Q262,0)=0),"※外销却没有售价，请填实际售价",IF(AND($K262="对外销售",$T262&lt;&gt;"",$T262&lt;0),"※这一笔外销是亏的，请核对售价",IF(IFERROR(VLOOKUP($D262,库存台账!$A$5:$Y$1204,24,0),0)&lt;-0.001,"※这个物料账面已经变成负数了，查一下是不是漏记入库","")))))))))))</f>
        <v/>
      </c>
    </row>
    <row r="263">
      <c r="A263" s="24">
        <f>IF($D263="","",COUNTA($D$4:$D263))</f>
        <v/>
      </c>
      <c r="B263" s="17" t="n"/>
      <c r="C263" s="30" t="n"/>
      <c r="D263" s="17" t="n"/>
      <c r="E263" s="24">
        <f>IF($D263="","",IFERROR(VLOOKUP($D263,物料档案!$A$4:$P$1203,3,0),"※编码不在物料档案里"))</f>
        <v/>
      </c>
      <c r="F263" s="24">
        <f>IF($D263="","",IFERROR(VLOOKUP($D263,物料档案!$A$4:$P$1203,4,0),"※编码不在物料档案里"))</f>
        <v/>
      </c>
      <c r="G263" s="24">
        <f>IF($D263="","",IFERROR(VLOOKUP($D263,物料档案!$A$4:$P$1203,5,0),"※编码不在物料档案里"))</f>
        <v/>
      </c>
      <c r="H263" s="24">
        <f>IF($D263="","",IFERROR(VLOOKUP($D263,物料档案!$A$4:$P$1203,2,0),"※编码不在物料档案里"))</f>
        <v/>
      </c>
      <c r="I263" s="24">
        <f>IF($D263="","",IFERROR(VLOOKUP($D263,物料档案!$A$4:$P$1203,6,0),"※编码不在物料档案里"))</f>
        <v/>
      </c>
      <c r="J263" s="23" t="n"/>
      <c r="K263" s="17" t="n"/>
      <c r="L263" s="17" t="n"/>
      <c r="M263" s="17" t="n"/>
      <c r="N263" s="17" t="n"/>
      <c r="O263" s="26">
        <f>IF($D263="","",IFERROR(VLOOKUP($D263,物料档案!$A$4:$P$1203,10,0),0))</f>
        <v/>
      </c>
      <c r="P263" s="32" t="n"/>
      <c r="Q263" s="26">
        <f>IF($D263="","",IF($K263&lt;&gt;"对外销售",0,ROUND(N($J263)*IF($P263="",N($O263),N($P263)),0)))</f>
        <v/>
      </c>
      <c r="R263" s="26">
        <f>IF($D263="","",IFERROR(VLOOKUP($D263,库存台账!$A$5:$Y$1204,11,0),0))</f>
        <v/>
      </c>
      <c r="S263" s="26">
        <f>IF($D263="","",ROUND(N($J263)*N($R263),0))</f>
        <v/>
      </c>
      <c r="T263" s="26">
        <f>IF($D263="","",IF($K263&lt;&gt;"对外销售","",ROUND($Q263-$S263,0)))</f>
        <v/>
      </c>
      <c r="U263" s="17" t="n"/>
      <c r="V263" s="17" t="n"/>
      <c r="W263" s="24">
        <f>IF($D263="","",IF($E263="※编码不在物料档案里","※物料编码不在档案里",IF(N($J263)&lt;=0,"※出库数量要大于 0",IF($K263="","※没填去向类型",IF($L263="","※没填去向矿区",IF(AND($C263&lt;&gt;"",$C263&lt;=结账锁),"※日期早于已结账截止日，不能再录",IF(AND($K263="自用消耗",COUNTIF({"一矿区";"二矿区"},$L263)=0),"※自用消耗的去向只能是一矿区或二矿区",IF(AND($K263="对外销售",COUNTIF({"三矿区";"六矿区"},$L263)=0),"※对外销售的去向只能是三矿区或六矿区",IF(AND($K263="对外销售",ROUND($Q263,0)=0),"※外销却没有售价，请填实际售价",IF(AND($K263="对外销售",$T263&lt;&gt;"",$T263&lt;0),"※这一笔外销是亏的，请核对售价",IF(IFERROR(VLOOKUP($D263,库存台账!$A$5:$Y$1204,24,0),0)&lt;-0.001,"※这个物料账面已经变成负数了，查一下是不是漏记入库","")))))))))))</f>
        <v/>
      </c>
    </row>
    <row r="264">
      <c r="A264" s="24">
        <f>IF($D264="","",COUNTA($D$4:$D264))</f>
        <v/>
      </c>
      <c r="B264" s="17" t="n"/>
      <c r="C264" s="30" t="n"/>
      <c r="D264" s="17" t="n"/>
      <c r="E264" s="24">
        <f>IF($D264="","",IFERROR(VLOOKUP($D264,物料档案!$A$4:$P$1203,3,0),"※编码不在物料档案里"))</f>
        <v/>
      </c>
      <c r="F264" s="24">
        <f>IF($D264="","",IFERROR(VLOOKUP($D264,物料档案!$A$4:$P$1203,4,0),"※编码不在物料档案里"))</f>
        <v/>
      </c>
      <c r="G264" s="24">
        <f>IF($D264="","",IFERROR(VLOOKUP($D264,物料档案!$A$4:$P$1203,5,0),"※编码不在物料档案里"))</f>
        <v/>
      </c>
      <c r="H264" s="24">
        <f>IF($D264="","",IFERROR(VLOOKUP($D264,物料档案!$A$4:$P$1203,2,0),"※编码不在物料档案里"))</f>
        <v/>
      </c>
      <c r="I264" s="24">
        <f>IF($D264="","",IFERROR(VLOOKUP($D264,物料档案!$A$4:$P$1203,6,0),"※编码不在物料档案里"))</f>
        <v/>
      </c>
      <c r="J264" s="23" t="n"/>
      <c r="K264" s="17" t="n"/>
      <c r="L264" s="17" t="n"/>
      <c r="M264" s="17" t="n"/>
      <c r="N264" s="17" t="n"/>
      <c r="O264" s="26">
        <f>IF($D264="","",IFERROR(VLOOKUP($D264,物料档案!$A$4:$P$1203,10,0),0))</f>
        <v/>
      </c>
      <c r="P264" s="32" t="n"/>
      <c r="Q264" s="26">
        <f>IF($D264="","",IF($K264&lt;&gt;"对外销售",0,ROUND(N($J264)*IF($P264="",N($O264),N($P264)),0)))</f>
        <v/>
      </c>
      <c r="R264" s="26">
        <f>IF($D264="","",IFERROR(VLOOKUP($D264,库存台账!$A$5:$Y$1204,11,0),0))</f>
        <v/>
      </c>
      <c r="S264" s="26">
        <f>IF($D264="","",ROUND(N($J264)*N($R264),0))</f>
        <v/>
      </c>
      <c r="T264" s="26">
        <f>IF($D264="","",IF($K264&lt;&gt;"对外销售","",ROUND($Q264-$S264,0)))</f>
        <v/>
      </c>
      <c r="U264" s="17" t="n"/>
      <c r="V264" s="17" t="n"/>
      <c r="W264" s="24">
        <f>IF($D264="","",IF($E264="※编码不在物料档案里","※物料编码不在档案里",IF(N($J264)&lt;=0,"※出库数量要大于 0",IF($K264="","※没填去向类型",IF($L264="","※没填去向矿区",IF(AND($C264&lt;&gt;"",$C264&lt;=结账锁),"※日期早于已结账截止日，不能再录",IF(AND($K264="自用消耗",COUNTIF({"一矿区";"二矿区"},$L264)=0),"※自用消耗的去向只能是一矿区或二矿区",IF(AND($K264="对外销售",COUNTIF({"三矿区";"六矿区"},$L264)=0),"※对外销售的去向只能是三矿区或六矿区",IF(AND($K264="对外销售",ROUND($Q264,0)=0),"※外销却没有售价，请填实际售价",IF(AND($K264="对外销售",$T264&lt;&gt;"",$T264&lt;0),"※这一笔外销是亏的，请核对售价",IF(IFERROR(VLOOKUP($D264,库存台账!$A$5:$Y$1204,24,0),0)&lt;-0.001,"※这个物料账面已经变成负数了，查一下是不是漏记入库","")))))))))))</f>
        <v/>
      </c>
    </row>
    <row r="265">
      <c r="A265" s="24">
        <f>IF($D265="","",COUNTA($D$4:$D265))</f>
        <v/>
      </c>
      <c r="B265" s="17" t="n"/>
      <c r="C265" s="30" t="n"/>
      <c r="D265" s="17" t="n"/>
      <c r="E265" s="24">
        <f>IF($D265="","",IFERROR(VLOOKUP($D265,物料档案!$A$4:$P$1203,3,0),"※编码不在物料档案里"))</f>
        <v/>
      </c>
      <c r="F265" s="24">
        <f>IF($D265="","",IFERROR(VLOOKUP($D265,物料档案!$A$4:$P$1203,4,0),"※编码不在物料档案里"))</f>
        <v/>
      </c>
      <c r="G265" s="24">
        <f>IF($D265="","",IFERROR(VLOOKUP($D265,物料档案!$A$4:$P$1203,5,0),"※编码不在物料档案里"))</f>
        <v/>
      </c>
      <c r="H265" s="24">
        <f>IF($D265="","",IFERROR(VLOOKUP($D265,物料档案!$A$4:$P$1203,2,0),"※编码不在物料档案里"))</f>
        <v/>
      </c>
      <c r="I265" s="24">
        <f>IF($D265="","",IFERROR(VLOOKUP($D265,物料档案!$A$4:$P$1203,6,0),"※编码不在物料档案里"))</f>
        <v/>
      </c>
      <c r="J265" s="23" t="n"/>
      <c r="K265" s="17" t="n"/>
      <c r="L265" s="17" t="n"/>
      <c r="M265" s="17" t="n"/>
      <c r="N265" s="17" t="n"/>
      <c r="O265" s="26">
        <f>IF($D265="","",IFERROR(VLOOKUP($D265,物料档案!$A$4:$P$1203,10,0),0))</f>
        <v/>
      </c>
      <c r="P265" s="32" t="n"/>
      <c r="Q265" s="26">
        <f>IF($D265="","",IF($K265&lt;&gt;"对外销售",0,ROUND(N($J265)*IF($P265="",N($O265),N($P265)),0)))</f>
        <v/>
      </c>
      <c r="R265" s="26">
        <f>IF($D265="","",IFERROR(VLOOKUP($D265,库存台账!$A$5:$Y$1204,11,0),0))</f>
        <v/>
      </c>
      <c r="S265" s="26">
        <f>IF($D265="","",ROUND(N($J265)*N($R265),0))</f>
        <v/>
      </c>
      <c r="T265" s="26">
        <f>IF($D265="","",IF($K265&lt;&gt;"对外销售","",ROUND($Q265-$S265,0)))</f>
        <v/>
      </c>
      <c r="U265" s="17" t="n"/>
      <c r="V265" s="17" t="n"/>
      <c r="W265" s="24">
        <f>IF($D265="","",IF($E265="※编码不在物料档案里","※物料编码不在档案里",IF(N($J265)&lt;=0,"※出库数量要大于 0",IF($K265="","※没填去向类型",IF($L265="","※没填去向矿区",IF(AND($C265&lt;&gt;"",$C265&lt;=结账锁),"※日期早于已结账截止日，不能再录",IF(AND($K265="自用消耗",COUNTIF({"一矿区";"二矿区"},$L265)=0),"※自用消耗的去向只能是一矿区或二矿区",IF(AND($K265="对外销售",COUNTIF({"三矿区";"六矿区"},$L265)=0),"※对外销售的去向只能是三矿区或六矿区",IF(AND($K265="对外销售",ROUND($Q265,0)=0),"※外销却没有售价，请填实际售价",IF(AND($K265="对外销售",$T265&lt;&gt;"",$T265&lt;0),"※这一笔外销是亏的，请核对售价",IF(IFERROR(VLOOKUP($D265,库存台账!$A$5:$Y$1204,24,0),0)&lt;-0.001,"※这个物料账面已经变成负数了，查一下是不是漏记入库","")))))))))))</f>
        <v/>
      </c>
    </row>
    <row r="266">
      <c r="A266" s="24">
        <f>IF($D266="","",COUNTA($D$4:$D266))</f>
        <v/>
      </c>
      <c r="B266" s="17" t="n"/>
      <c r="C266" s="30" t="n"/>
      <c r="D266" s="17" t="n"/>
      <c r="E266" s="24">
        <f>IF($D266="","",IFERROR(VLOOKUP($D266,物料档案!$A$4:$P$1203,3,0),"※编码不在物料档案里"))</f>
        <v/>
      </c>
      <c r="F266" s="24">
        <f>IF($D266="","",IFERROR(VLOOKUP($D266,物料档案!$A$4:$P$1203,4,0),"※编码不在物料档案里"))</f>
        <v/>
      </c>
      <c r="G266" s="24">
        <f>IF($D266="","",IFERROR(VLOOKUP($D266,物料档案!$A$4:$P$1203,5,0),"※编码不在物料档案里"))</f>
        <v/>
      </c>
      <c r="H266" s="24">
        <f>IF($D266="","",IFERROR(VLOOKUP($D266,物料档案!$A$4:$P$1203,2,0),"※编码不在物料档案里"))</f>
        <v/>
      </c>
      <c r="I266" s="24">
        <f>IF($D266="","",IFERROR(VLOOKUP($D266,物料档案!$A$4:$P$1203,6,0),"※编码不在物料档案里"))</f>
        <v/>
      </c>
      <c r="J266" s="23" t="n"/>
      <c r="K266" s="17" t="n"/>
      <c r="L266" s="17" t="n"/>
      <c r="M266" s="17" t="n"/>
      <c r="N266" s="17" t="n"/>
      <c r="O266" s="26">
        <f>IF($D266="","",IFERROR(VLOOKUP($D266,物料档案!$A$4:$P$1203,10,0),0))</f>
        <v/>
      </c>
      <c r="P266" s="32" t="n"/>
      <c r="Q266" s="26">
        <f>IF($D266="","",IF($K266&lt;&gt;"对外销售",0,ROUND(N($J266)*IF($P266="",N($O266),N($P266)),0)))</f>
        <v/>
      </c>
      <c r="R266" s="26">
        <f>IF($D266="","",IFERROR(VLOOKUP($D266,库存台账!$A$5:$Y$1204,11,0),0))</f>
        <v/>
      </c>
      <c r="S266" s="26">
        <f>IF($D266="","",ROUND(N($J266)*N($R266),0))</f>
        <v/>
      </c>
      <c r="T266" s="26">
        <f>IF($D266="","",IF($K266&lt;&gt;"对外销售","",ROUND($Q266-$S266,0)))</f>
        <v/>
      </c>
      <c r="U266" s="17" t="n"/>
      <c r="V266" s="17" t="n"/>
      <c r="W266" s="24">
        <f>IF($D266="","",IF($E266="※编码不在物料档案里","※物料编码不在档案里",IF(N($J266)&lt;=0,"※出库数量要大于 0",IF($K266="","※没填去向类型",IF($L266="","※没填去向矿区",IF(AND($C266&lt;&gt;"",$C266&lt;=结账锁),"※日期早于已结账截止日，不能再录",IF(AND($K266="自用消耗",COUNTIF({"一矿区";"二矿区"},$L266)=0),"※自用消耗的去向只能是一矿区或二矿区",IF(AND($K266="对外销售",COUNTIF({"三矿区";"六矿区"},$L266)=0),"※对外销售的去向只能是三矿区或六矿区",IF(AND($K266="对外销售",ROUND($Q266,0)=0),"※外销却没有售价，请填实际售价",IF(AND($K266="对外销售",$T266&lt;&gt;"",$T266&lt;0),"※这一笔外销是亏的，请核对售价",IF(IFERROR(VLOOKUP($D266,库存台账!$A$5:$Y$1204,24,0),0)&lt;-0.001,"※这个物料账面已经变成负数了，查一下是不是漏记入库","")))))))))))</f>
        <v/>
      </c>
    </row>
    <row r="267">
      <c r="A267" s="24">
        <f>IF($D267="","",COUNTA($D$4:$D267))</f>
        <v/>
      </c>
      <c r="B267" s="17" t="n"/>
      <c r="C267" s="30" t="n"/>
      <c r="D267" s="17" t="n"/>
      <c r="E267" s="24">
        <f>IF($D267="","",IFERROR(VLOOKUP($D267,物料档案!$A$4:$P$1203,3,0),"※编码不在物料档案里"))</f>
        <v/>
      </c>
      <c r="F267" s="24">
        <f>IF($D267="","",IFERROR(VLOOKUP($D267,物料档案!$A$4:$P$1203,4,0),"※编码不在物料档案里"))</f>
        <v/>
      </c>
      <c r="G267" s="24">
        <f>IF($D267="","",IFERROR(VLOOKUP($D267,物料档案!$A$4:$P$1203,5,0),"※编码不在物料档案里"))</f>
        <v/>
      </c>
      <c r="H267" s="24">
        <f>IF($D267="","",IFERROR(VLOOKUP($D267,物料档案!$A$4:$P$1203,2,0),"※编码不在物料档案里"))</f>
        <v/>
      </c>
      <c r="I267" s="24">
        <f>IF($D267="","",IFERROR(VLOOKUP($D267,物料档案!$A$4:$P$1203,6,0),"※编码不在物料档案里"))</f>
        <v/>
      </c>
      <c r="J267" s="23" t="n"/>
      <c r="K267" s="17" t="n"/>
      <c r="L267" s="17" t="n"/>
      <c r="M267" s="17" t="n"/>
      <c r="N267" s="17" t="n"/>
      <c r="O267" s="26">
        <f>IF($D267="","",IFERROR(VLOOKUP($D267,物料档案!$A$4:$P$1203,10,0),0))</f>
        <v/>
      </c>
      <c r="P267" s="32" t="n"/>
      <c r="Q267" s="26">
        <f>IF($D267="","",IF($K267&lt;&gt;"对外销售",0,ROUND(N($J267)*IF($P267="",N($O267),N($P267)),0)))</f>
        <v/>
      </c>
      <c r="R267" s="26">
        <f>IF($D267="","",IFERROR(VLOOKUP($D267,库存台账!$A$5:$Y$1204,11,0),0))</f>
        <v/>
      </c>
      <c r="S267" s="26">
        <f>IF($D267="","",ROUND(N($J267)*N($R267),0))</f>
        <v/>
      </c>
      <c r="T267" s="26">
        <f>IF($D267="","",IF($K267&lt;&gt;"对外销售","",ROUND($Q267-$S267,0)))</f>
        <v/>
      </c>
      <c r="U267" s="17" t="n"/>
      <c r="V267" s="17" t="n"/>
      <c r="W267" s="24">
        <f>IF($D267="","",IF($E267="※编码不在物料档案里","※物料编码不在档案里",IF(N($J267)&lt;=0,"※出库数量要大于 0",IF($K267="","※没填去向类型",IF($L267="","※没填去向矿区",IF(AND($C267&lt;&gt;"",$C267&lt;=结账锁),"※日期早于已结账截止日，不能再录",IF(AND($K267="自用消耗",COUNTIF({"一矿区";"二矿区"},$L267)=0),"※自用消耗的去向只能是一矿区或二矿区",IF(AND($K267="对外销售",COUNTIF({"三矿区";"六矿区"},$L267)=0),"※对外销售的去向只能是三矿区或六矿区",IF(AND($K267="对外销售",ROUND($Q267,0)=0),"※外销却没有售价，请填实际售价",IF(AND($K267="对外销售",$T267&lt;&gt;"",$T267&lt;0),"※这一笔外销是亏的，请核对售价",IF(IFERROR(VLOOKUP($D267,库存台账!$A$5:$Y$1204,24,0),0)&lt;-0.001,"※这个物料账面已经变成负数了，查一下是不是漏记入库","")))))))))))</f>
        <v/>
      </c>
    </row>
    <row r="268">
      <c r="A268" s="24">
        <f>IF($D268="","",COUNTA($D$4:$D268))</f>
        <v/>
      </c>
      <c r="B268" s="17" t="n"/>
      <c r="C268" s="30" t="n"/>
      <c r="D268" s="17" t="n"/>
      <c r="E268" s="24">
        <f>IF($D268="","",IFERROR(VLOOKUP($D268,物料档案!$A$4:$P$1203,3,0),"※编码不在物料档案里"))</f>
        <v/>
      </c>
      <c r="F268" s="24">
        <f>IF($D268="","",IFERROR(VLOOKUP($D268,物料档案!$A$4:$P$1203,4,0),"※编码不在物料档案里"))</f>
        <v/>
      </c>
      <c r="G268" s="24">
        <f>IF($D268="","",IFERROR(VLOOKUP($D268,物料档案!$A$4:$P$1203,5,0),"※编码不在物料档案里"))</f>
        <v/>
      </c>
      <c r="H268" s="24">
        <f>IF($D268="","",IFERROR(VLOOKUP($D268,物料档案!$A$4:$P$1203,2,0),"※编码不在物料档案里"))</f>
        <v/>
      </c>
      <c r="I268" s="24">
        <f>IF($D268="","",IFERROR(VLOOKUP($D268,物料档案!$A$4:$P$1203,6,0),"※编码不在物料档案里"))</f>
        <v/>
      </c>
      <c r="J268" s="23" t="n"/>
      <c r="K268" s="17" t="n"/>
      <c r="L268" s="17" t="n"/>
      <c r="M268" s="17" t="n"/>
      <c r="N268" s="17" t="n"/>
      <c r="O268" s="26">
        <f>IF($D268="","",IFERROR(VLOOKUP($D268,物料档案!$A$4:$P$1203,10,0),0))</f>
        <v/>
      </c>
      <c r="P268" s="32" t="n"/>
      <c r="Q268" s="26">
        <f>IF($D268="","",IF($K268&lt;&gt;"对外销售",0,ROUND(N($J268)*IF($P268="",N($O268),N($P268)),0)))</f>
        <v/>
      </c>
      <c r="R268" s="26">
        <f>IF($D268="","",IFERROR(VLOOKUP($D268,库存台账!$A$5:$Y$1204,11,0),0))</f>
        <v/>
      </c>
      <c r="S268" s="26">
        <f>IF($D268="","",ROUND(N($J268)*N($R268),0))</f>
        <v/>
      </c>
      <c r="T268" s="26">
        <f>IF($D268="","",IF($K268&lt;&gt;"对外销售","",ROUND($Q268-$S268,0)))</f>
        <v/>
      </c>
      <c r="U268" s="17" t="n"/>
      <c r="V268" s="17" t="n"/>
      <c r="W268" s="24">
        <f>IF($D268="","",IF($E268="※编码不在物料档案里","※物料编码不在档案里",IF(N($J268)&lt;=0,"※出库数量要大于 0",IF($K268="","※没填去向类型",IF($L268="","※没填去向矿区",IF(AND($C268&lt;&gt;"",$C268&lt;=结账锁),"※日期早于已结账截止日，不能再录",IF(AND($K268="自用消耗",COUNTIF({"一矿区";"二矿区"},$L268)=0),"※自用消耗的去向只能是一矿区或二矿区",IF(AND($K268="对外销售",COUNTIF({"三矿区";"六矿区"},$L268)=0),"※对外销售的去向只能是三矿区或六矿区",IF(AND($K268="对外销售",ROUND($Q268,0)=0),"※外销却没有售价，请填实际售价",IF(AND($K268="对外销售",$T268&lt;&gt;"",$T268&lt;0),"※这一笔外销是亏的，请核对售价",IF(IFERROR(VLOOKUP($D268,库存台账!$A$5:$Y$1204,24,0),0)&lt;-0.001,"※这个物料账面已经变成负数了，查一下是不是漏记入库","")))))))))))</f>
        <v/>
      </c>
    </row>
    <row r="269">
      <c r="A269" s="24">
        <f>IF($D269="","",COUNTA($D$4:$D269))</f>
        <v/>
      </c>
      <c r="B269" s="17" t="n"/>
      <c r="C269" s="30" t="n"/>
      <c r="D269" s="17" t="n"/>
      <c r="E269" s="24">
        <f>IF($D269="","",IFERROR(VLOOKUP($D269,物料档案!$A$4:$P$1203,3,0),"※编码不在物料档案里"))</f>
        <v/>
      </c>
      <c r="F269" s="24">
        <f>IF($D269="","",IFERROR(VLOOKUP($D269,物料档案!$A$4:$P$1203,4,0),"※编码不在物料档案里"))</f>
        <v/>
      </c>
      <c r="G269" s="24">
        <f>IF($D269="","",IFERROR(VLOOKUP($D269,物料档案!$A$4:$P$1203,5,0),"※编码不在物料档案里"))</f>
        <v/>
      </c>
      <c r="H269" s="24">
        <f>IF($D269="","",IFERROR(VLOOKUP($D269,物料档案!$A$4:$P$1203,2,0),"※编码不在物料档案里"))</f>
        <v/>
      </c>
      <c r="I269" s="24">
        <f>IF($D269="","",IFERROR(VLOOKUP($D269,物料档案!$A$4:$P$1203,6,0),"※编码不在物料档案里"))</f>
        <v/>
      </c>
      <c r="J269" s="23" t="n"/>
      <c r="K269" s="17" t="n"/>
      <c r="L269" s="17" t="n"/>
      <c r="M269" s="17" t="n"/>
      <c r="N269" s="17" t="n"/>
      <c r="O269" s="26">
        <f>IF($D269="","",IFERROR(VLOOKUP($D269,物料档案!$A$4:$P$1203,10,0),0))</f>
        <v/>
      </c>
      <c r="P269" s="32" t="n"/>
      <c r="Q269" s="26">
        <f>IF($D269="","",IF($K269&lt;&gt;"对外销售",0,ROUND(N($J269)*IF($P269="",N($O269),N($P269)),0)))</f>
        <v/>
      </c>
      <c r="R269" s="26">
        <f>IF($D269="","",IFERROR(VLOOKUP($D269,库存台账!$A$5:$Y$1204,11,0),0))</f>
        <v/>
      </c>
      <c r="S269" s="26">
        <f>IF($D269="","",ROUND(N($J269)*N($R269),0))</f>
        <v/>
      </c>
      <c r="T269" s="26">
        <f>IF($D269="","",IF($K269&lt;&gt;"对外销售","",ROUND($Q269-$S269,0)))</f>
        <v/>
      </c>
      <c r="U269" s="17" t="n"/>
      <c r="V269" s="17" t="n"/>
      <c r="W269" s="24">
        <f>IF($D269="","",IF($E269="※编码不在物料档案里","※物料编码不在档案里",IF(N($J269)&lt;=0,"※出库数量要大于 0",IF($K269="","※没填去向类型",IF($L269="","※没填去向矿区",IF(AND($C269&lt;&gt;"",$C269&lt;=结账锁),"※日期早于已结账截止日，不能再录",IF(AND($K269="自用消耗",COUNTIF({"一矿区";"二矿区"},$L269)=0),"※自用消耗的去向只能是一矿区或二矿区",IF(AND($K269="对外销售",COUNTIF({"三矿区";"六矿区"},$L269)=0),"※对外销售的去向只能是三矿区或六矿区",IF(AND($K269="对外销售",ROUND($Q269,0)=0),"※外销却没有售价，请填实际售价",IF(AND($K269="对外销售",$T269&lt;&gt;"",$T269&lt;0),"※这一笔外销是亏的，请核对售价",IF(IFERROR(VLOOKUP($D269,库存台账!$A$5:$Y$1204,24,0),0)&lt;-0.001,"※这个物料账面已经变成负数了，查一下是不是漏记入库","")))))))))))</f>
        <v/>
      </c>
    </row>
    <row r="270">
      <c r="A270" s="24">
        <f>IF($D270="","",COUNTA($D$4:$D270))</f>
        <v/>
      </c>
      <c r="B270" s="17" t="n"/>
      <c r="C270" s="30" t="n"/>
      <c r="D270" s="17" t="n"/>
      <c r="E270" s="24">
        <f>IF($D270="","",IFERROR(VLOOKUP($D270,物料档案!$A$4:$P$1203,3,0),"※编码不在物料档案里"))</f>
        <v/>
      </c>
      <c r="F270" s="24">
        <f>IF($D270="","",IFERROR(VLOOKUP($D270,物料档案!$A$4:$P$1203,4,0),"※编码不在物料档案里"))</f>
        <v/>
      </c>
      <c r="G270" s="24">
        <f>IF($D270="","",IFERROR(VLOOKUP($D270,物料档案!$A$4:$P$1203,5,0),"※编码不在物料档案里"))</f>
        <v/>
      </c>
      <c r="H270" s="24">
        <f>IF($D270="","",IFERROR(VLOOKUP($D270,物料档案!$A$4:$P$1203,2,0),"※编码不在物料档案里"))</f>
        <v/>
      </c>
      <c r="I270" s="24">
        <f>IF($D270="","",IFERROR(VLOOKUP($D270,物料档案!$A$4:$P$1203,6,0),"※编码不在物料档案里"))</f>
        <v/>
      </c>
      <c r="J270" s="23" t="n"/>
      <c r="K270" s="17" t="n"/>
      <c r="L270" s="17" t="n"/>
      <c r="M270" s="17" t="n"/>
      <c r="N270" s="17" t="n"/>
      <c r="O270" s="26">
        <f>IF($D270="","",IFERROR(VLOOKUP($D270,物料档案!$A$4:$P$1203,10,0),0))</f>
        <v/>
      </c>
      <c r="P270" s="32" t="n"/>
      <c r="Q270" s="26">
        <f>IF($D270="","",IF($K270&lt;&gt;"对外销售",0,ROUND(N($J270)*IF($P270="",N($O270),N($P270)),0)))</f>
        <v/>
      </c>
      <c r="R270" s="26">
        <f>IF($D270="","",IFERROR(VLOOKUP($D270,库存台账!$A$5:$Y$1204,11,0),0))</f>
        <v/>
      </c>
      <c r="S270" s="26">
        <f>IF($D270="","",ROUND(N($J270)*N($R270),0))</f>
        <v/>
      </c>
      <c r="T270" s="26">
        <f>IF($D270="","",IF($K270&lt;&gt;"对外销售","",ROUND($Q270-$S270,0)))</f>
        <v/>
      </c>
      <c r="U270" s="17" t="n"/>
      <c r="V270" s="17" t="n"/>
      <c r="W270" s="24">
        <f>IF($D270="","",IF($E270="※编码不在物料档案里","※物料编码不在档案里",IF(N($J270)&lt;=0,"※出库数量要大于 0",IF($K270="","※没填去向类型",IF($L270="","※没填去向矿区",IF(AND($C270&lt;&gt;"",$C270&lt;=结账锁),"※日期早于已结账截止日，不能再录",IF(AND($K270="自用消耗",COUNTIF({"一矿区";"二矿区"},$L270)=0),"※自用消耗的去向只能是一矿区或二矿区",IF(AND($K270="对外销售",COUNTIF({"三矿区";"六矿区"},$L270)=0),"※对外销售的去向只能是三矿区或六矿区",IF(AND($K270="对外销售",ROUND($Q270,0)=0),"※外销却没有售价，请填实际售价",IF(AND($K270="对外销售",$T270&lt;&gt;"",$T270&lt;0),"※这一笔外销是亏的，请核对售价",IF(IFERROR(VLOOKUP($D270,库存台账!$A$5:$Y$1204,24,0),0)&lt;-0.001,"※这个物料账面已经变成负数了，查一下是不是漏记入库","")))))))))))</f>
        <v/>
      </c>
    </row>
    <row r="271">
      <c r="A271" s="24">
        <f>IF($D271="","",COUNTA($D$4:$D271))</f>
        <v/>
      </c>
      <c r="B271" s="17" t="n"/>
      <c r="C271" s="30" t="n"/>
      <c r="D271" s="17" t="n"/>
      <c r="E271" s="24">
        <f>IF($D271="","",IFERROR(VLOOKUP($D271,物料档案!$A$4:$P$1203,3,0),"※编码不在物料档案里"))</f>
        <v/>
      </c>
      <c r="F271" s="24">
        <f>IF($D271="","",IFERROR(VLOOKUP($D271,物料档案!$A$4:$P$1203,4,0),"※编码不在物料档案里"))</f>
        <v/>
      </c>
      <c r="G271" s="24">
        <f>IF($D271="","",IFERROR(VLOOKUP($D271,物料档案!$A$4:$P$1203,5,0),"※编码不在物料档案里"))</f>
        <v/>
      </c>
      <c r="H271" s="24">
        <f>IF($D271="","",IFERROR(VLOOKUP($D271,物料档案!$A$4:$P$1203,2,0),"※编码不在物料档案里"))</f>
        <v/>
      </c>
      <c r="I271" s="24">
        <f>IF($D271="","",IFERROR(VLOOKUP($D271,物料档案!$A$4:$P$1203,6,0),"※编码不在物料档案里"))</f>
        <v/>
      </c>
      <c r="J271" s="23" t="n"/>
      <c r="K271" s="17" t="n"/>
      <c r="L271" s="17" t="n"/>
      <c r="M271" s="17" t="n"/>
      <c r="N271" s="17" t="n"/>
      <c r="O271" s="26">
        <f>IF($D271="","",IFERROR(VLOOKUP($D271,物料档案!$A$4:$P$1203,10,0),0))</f>
        <v/>
      </c>
      <c r="P271" s="32" t="n"/>
      <c r="Q271" s="26">
        <f>IF($D271="","",IF($K271&lt;&gt;"对外销售",0,ROUND(N($J271)*IF($P271="",N($O271),N($P271)),0)))</f>
        <v/>
      </c>
      <c r="R271" s="26">
        <f>IF($D271="","",IFERROR(VLOOKUP($D271,库存台账!$A$5:$Y$1204,11,0),0))</f>
        <v/>
      </c>
      <c r="S271" s="26">
        <f>IF($D271="","",ROUND(N($J271)*N($R271),0))</f>
        <v/>
      </c>
      <c r="T271" s="26">
        <f>IF($D271="","",IF($K271&lt;&gt;"对外销售","",ROUND($Q271-$S271,0)))</f>
        <v/>
      </c>
      <c r="U271" s="17" t="n"/>
      <c r="V271" s="17" t="n"/>
      <c r="W271" s="24">
        <f>IF($D271="","",IF($E271="※编码不在物料档案里","※物料编码不在档案里",IF(N($J271)&lt;=0,"※出库数量要大于 0",IF($K271="","※没填去向类型",IF($L271="","※没填去向矿区",IF(AND($C271&lt;&gt;"",$C271&lt;=结账锁),"※日期早于已结账截止日，不能再录",IF(AND($K271="自用消耗",COUNTIF({"一矿区";"二矿区"},$L271)=0),"※自用消耗的去向只能是一矿区或二矿区",IF(AND($K271="对外销售",COUNTIF({"三矿区";"六矿区"},$L271)=0),"※对外销售的去向只能是三矿区或六矿区",IF(AND($K271="对外销售",ROUND($Q271,0)=0),"※外销却没有售价，请填实际售价",IF(AND($K271="对外销售",$T271&lt;&gt;"",$T271&lt;0),"※这一笔外销是亏的，请核对售价",IF(IFERROR(VLOOKUP($D271,库存台账!$A$5:$Y$1204,24,0),0)&lt;-0.001,"※这个物料账面已经变成负数了，查一下是不是漏记入库","")))))))))))</f>
        <v/>
      </c>
    </row>
    <row r="272">
      <c r="A272" s="24">
        <f>IF($D272="","",COUNTA($D$4:$D272))</f>
        <v/>
      </c>
      <c r="B272" s="17" t="n"/>
      <c r="C272" s="30" t="n"/>
      <c r="D272" s="17" t="n"/>
      <c r="E272" s="24">
        <f>IF($D272="","",IFERROR(VLOOKUP($D272,物料档案!$A$4:$P$1203,3,0),"※编码不在物料档案里"))</f>
        <v/>
      </c>
      <c r="F272" s="24">
        <f>IF($D272="","",IFERROR(VLOOKUP($D272,物料档案!$A$4:$P$1203,4,0),"※编码不在物料档案里"))</f>
        <v/>
      </c>
      <c r="G272" s="24">
        <f>IF($D272="","",IFERROR(VLOOKUP($D272,物料档案!$A$4:$P$1203,5,0),"※编码不在物料档案里"))</f>
        <v/>
      </c>
      <c r="H272" s="24">
        <f>IF($D272="","",IFERROR(VLOOKUP($D272,物料档案!$A$4:$P$1203,2,0),"※编码不在物料档案里"))</f>
        <v/>
      </c>
      <c r="I272" s="24">
        <f>IF($D272="","",IFERROR(VLOOKUP($D272,物料档案!$A$4:$P$1203,6,0),"※编码不在物料档案里"))</f>
        <v/>
      </c>
      <c r="J272" s="23" t="n"/>
      <c r="K272" s="17" t="n"/>
      <c r="L272" s="17" t="n"/>
      <c r="M272" s="17" t="n"/>
      <c r="N272" s="17" t="n"/>
      <c r="O272" s="26">
        <f>IF($D272="","",IFERROR(VLOOKUP($D272,物料档案!$A$4:$P$1203,10,0),0))</f>
        <v/>
      </c>
      <c r="P272" s="32" t="n"/>
      <c r="Q272" s="26">
        <f>IF($D272="","",IF($K272&lt;&gt;"对外销售",0,ROUND(N($J272)*IF($P272="",N($O272),N($P272)),0)))</f>
        <v/>
      </c>
      <c r="R272" s="26">
        <f>IF($D272="","",IFERROR(VLOOKUP($D272,库存台账!$A$5:$Y$1204,11,0),0))</f>
        <v/>
      </c>
      <c r="S272" s="26">
        <f>IF($D272="","",ROUND(N($J272)*N($R272),0))</f>
        <v/>
      </c>
      <c r="T272" s="26">
        <f>IF($D272="","",IF($K272&lt;&gt;"对外销售","",ROUND($Q272-$S272,0)))</f>
        <v/>
      </c>
      <c r="U272" s="17" t="n"/>
      <c r="V272" s="17" t="n"/>
      <c r="W272" s="24">
        <f>IF($D272="","",IF($E272="※编码不在物料档案里","※物料编码不在档案里",IF(N($J272)&lt;=0,"※出库数量要大于 0",IF($K272="","※没填去向类型",IF($L272="","※没填去向矿区",IF(AND($C272&lt;&gt;"",$C272&lt;=结账锁),"※日期早于已结账截止日，不能再录",IF(AND($K272="自用消耗",COUNTIF({"一矿区";"二矿区"},$L272)=0),"※自用消耗的去向只能是一矿区或二矿区",IF(AND($K272="对外销售",COUNTIF({"三矿区";"六矿区"},$L272)=0),"※对外销售的去向只能是三矿区或六矿区",IF(AND($K272="对外销售",ROUND($Q272,0)=0),"※外销却没有售价，请填实际售价",IF(AND($K272="对外销售",$T272&lt;&gt;"",$T272&lt;0),"※这一笔外销是亏的，请核对售价",IF(IFERROR(VLOOKUP($D272,库存台账!$A$5:$Y$1204,24,0),0)&lt;-0.001,"※这个物料账面已经变成负数了，查一下是不是漏记入库","")))))))))))</f>
        <v/>
      </c>
    </row>
    <row r="273">
      <c r="A273" s="24">
        <f>IF($D273="","",COUNTA($D$4:$D273))</f>
        <v/>
      </c>
      <c r="B273" s="17" t="n"/>
      <c r="C273" s="30" t="n"/>
      <c r="D273" s="17" t="n"/>
      <c r="E273" s="24">
        <f>IF($D273="","",IFERROR(VLOOKUP($D273,物料档案!$A$4:$P$1203,3,0),"※编码不在物料档案里"))</f>
        <v/>
      </c>
      <c r="F273" s="24">
        <f>IF($D273="","",IFERROR(VLOOKUP($D273,物料档案!$A$4:$P$1203,4,0),"※编码不在物料档案里"))</f>
        <v/>
      </c>
      <c r="G273" s="24">
        <f>IF($D273="","",IFERROR(VLOOKUP($D273,物料档案!$A$4:$P$1203,5,0),"※编码不在物料档案里"))</f>
        <v/>
      </c>
      <c r="H273" s="24">
        <f>IF($D273="","",IFERROR(VLOOKUP($D273,物料档案!$A$4:$P$1203,2,0),"※编码不在物料档案里"))</f>
        <v/>
      </c>
      <c r="I273" s="24">
        <f>IF($D273="","",IFERROR(VLOOKUP($D273,物料档案!$A$4:$P$1203,6,0),"※编码不在物料档案里"))</f>
        <v/>
      </c>
      <c r="J273" s="23" t="n"/>
      <c r="K273" s="17" t="n"/>
      <c r="L273" s="17" t="n"/>
      <c r="M273" s="17" t="n"/>
      <c r="N273" s="17" t="n"/>
      <c r="O273" s="26">
        <f>IF($D273="","",IFERROR(VLOOKUP($D273,物料档案!$A$4:$P$1203,10,0),0))</f>
        <v/>
      </c>
      <c r="P273" s="32" t="n"/>
      <c r="Q273" s="26">
        <f>IF($D273="","",IF($K273&lt;&gt;"对外销售",0,ROUND(N($J273)*IF($P273="",N($O273),N($P273)),0)))</f>
        <v/>
      </c>
      <c r="R273" s="26">
        <f>IF($D273="","",IFERROR(VLOOKUP($D273,库存台账!$A$5:$Y$1204,11,0),0))</f>
        <v/>
      </c>
      <c r="S273" s="26">
        <f>IF($D273="","",ROUND(N($J273)*N($R273),0))</f>
        <v/>
      </c>
      <c r="T273" s="26">
        <f>IF($D273="","",IF($K273&lt;&gt;"对外销售","",ROUND($Q273-$S273,0)))</f>
        <v/>
      </c>
      <c r="U273" s="17" t="n"/>
      <c r="V273" s="17" t="n"/>
      <c r="W273" s="24">
        <f>IF($D273="","",IF($E273="※编码不在物料档案里","※物料编码不在档案里",IF(N($J273)&lt;=0,"※出库数量要大于 0",IF($K273="","※没填去向类型",IF($L273="","※没填去向矿区",IF(AND($C273&lt;&gt;"",$C273&lt;=结账锁),"※日期早于已结账截止日，不能再录",IF(AND($K273="自用消耗",COUNTIF({"一矿区";"二矿区"},$L273)=0),"※自用消耗的去向只能是一矿区或二矿区",IF(AND($K273="对外销售",COUNTIF({"三矿区";"六矿区"},$L273)=0),"※对外销售的去向只能是三矿区或六矿区",IF(AND($K273="对外销售",ROUND($Q273,0)=0),"※外销却没有售价，请填实际售价",IF(AND($K273="对外销售",$T273&lt;&gt;"",$T273&lt;0),"※这一笔外销是亏的，请核对售价",IF(IFERROR(VLOOKUP($D273,库存台账!$A$5:$Y$1204,24,0),0)&lt;-0.001,"※这个物料账面已经变成负数了，查一下是不是漏记入库","")))))))))))</f>
        <v/>
      </c>
    </row>
    <row r="274">
      <c r="A274" s="24">
        <f>IF($D274="","",COUNTA($D$4:$D274))</f>
        <v/>
      </c>
      <c r="B274" s="17" t="n"/>
      <c r="C274" s="30" t="n"/>
      <c r="D274" s="17" t="n"/>
      <c r="E274" s="24">
        <f>IF($D274="","",IFERROR(VLOOKUP($D274,物料档案!$A$4:$P$1203,3,0),"※编码不在物料档案里"))</f>
        <v/>
      </c>
      <c r="F274" s="24">
        <f>IF($D274="","",IFERROR(VLOOKUP($D274,物料档案!$A$4:$P$1203,4,0),"※编码不在物料档案里"))</f>
        <v/>
      </c>
      <c r="G274" s="24">
        <f>IF($D274="","",IFERROR(VLOOKUP($D274,物料档案!$A$4:$P$1203,5,0),"※编码不在物料档案里"))</f>
        <v/>
      </c>
      <c r="H274" s="24">
        <f>IF($D274="","",IFERROR(VLOOKUP($D274,物料档案!$A$4:$P$1203,2,0),"※编码不在物料档案里"))</f>
        <v/>
      </c>
      <c r="I274" s="24">
        <f>IF($D274="","",IFERROR(VLOOKUP($D274,物料档案!$A$4:$P$1203,6,0),"※编码不在物料档案里"))</f>
        <v/>
      </c>
      <c r="J274" s="23" t="n"/>
      <c r="K274" s="17" t="n"/>
      <c r="L274" s="17" t="n"/>
      <c r="M274" s="17" t="n"/>
      <c r="N274" s="17" t="n"/>
      <c r="O274" s="26">
        <f>IF($D274="","",IFERROR(VLOOKUP($D274,物料档案!$A$4:$P$1203,10,0),0))</f>
        <v/>
      </c>
      <c r="P274" s="32" t="n"/>
      <c r="Q274" s="26">
        <f>IF($D274="","",IF($K274&lt;&gt;"对外销售",0,ROUND(N($J274)*IF($P274="",N($O274),N($P274)),0)))</f>
        <v/>
      </c>
      <c r="R274" s="26">
        <f>IF($D274="","",IFERROR(VLOOKUP($D274,库存台账!$A$5:$Y$1204,11,0),0))</f>
        <v/>
      </c>
      <c r="S274" s="26">
        <f>IF($D274="","",ROUND(N($J274)*N($R274),0))</f>
        <v/>
      </c>
      <c r="T274" s="26">
        <f>IF($D274="","",IF($K274&lt;&gt;"对外销售","",ROUND($Q274-$S274,0)))</f>
        <v/>
      </c>
      <c r="U274" s="17" t="n"/>
      <c r="V274" s="17" t="n"/>
      <c r="W274" s="24">
        <f>IF($D274="","",IF($E274="※编码不在物料档案里","※物料编码不在档案里",IF(N($J274)&lt;=0,"※出库数量要大于 0",IF($K274="","※没填去向类型",IF($L274="","※没填去向矿区",IF(AND($C274&lt;&gt;"",$C274&lt;=结账锁),"※日期早于已结账截止日，不能再录",IF(AND($K274="自用消耗",COUNTIF({"一矿区";"二矿区"},$L274)=0),"※自用消耗的去向只能是一矿区或二矿区",IF(AND($K274="对外销售",COUNTIF({"三矿区";"六矿区"},$L274)=0),"※对外销售的去向只能是三矿区或六矿区",IF(AND($K274="对外销售",ROUND($Q274,0)=0),"※外销却没有售价，请填实际售价",IF(AND($K274="对外销售",$T274&lt;&gt;"",$T274&lt;0),"※这一笔外销是亏的，请核对售价",IF(IFERROR(VLOOKUP($D274,库存台账!$A$5:$Y$1204,24,0),0)&lt;-0.001,"※这个物料账面已经变成负数了，查一下是不是漏记入库","")))))))))))</f>
        <v/>
      </c>
    </row>
    <row r="275">
      <c r="A275" s="24">
        <f>IF($D275="","",COUNTA($D$4:$D275))</f>
        <v/>
      </c>
      <c r="B275" s="17" t="n"/>
      <c r="C275" s="30" t="n"/>
      <c r="D275" s="17" t="n"/>
      <c r="E275" s="24">
        <f>IF($D275="","",IFERROR(VLOOKUP($D275,物料档案!$A$4:$P$1203,3,0),"※编码不在物料档案里"))</f>
        <v/>
      </c>
      <c r="F275" s="24">
        <f>IF($D275="","",IFERROR(VLOOKUP($D275,物料档案!$A$4:$P$1203,4,0),"※编码不在物料档案里"))</f>
        <v/>
      </c>
      <c r="G275" s="24">
        <f>IF($D275="","",IFERROR(VLOOKUP($D275,物料档案!$A$4:$P$1203,5,0),"※编码不在物料档案里"))</f>
        <v/>
      </c>
      <c r="H275" s="24">
        <f>IF($D275="","",IFERROR(VLOOKUP($D275,物料档案!$A$4:$P$1203,2,0),"※编码不在物料档案里"))</f>
        <v/>
      </c>
      <c r="I275" s="24">
        <f>IF($D275="","",IFERROR(VLOOKUP($D275,物料档案!$A$4:$P$1203,6,0),"※编码不在物料档案里"))</f>
        <v/>
      </c>
      <c r="J275" s="23" t="n"/>
      <c r="K275" s="17" t="n"/>
      <c r="L275" s="17" t="n"/>
      <c r="M275" s="17" t="n"/>
      <c r="N275" s="17" t="n"/>
      <c r="O275" s="26">
        <f>IF($D275="","",IFERROR(VLOOKUP($D275,物料档案!$A$4:$P$1203,10,0),0))</f>
        <v/>
      </c>
      <c r="P275" s="32" t="n"/>
      <c r="Q275" s="26">
        <f>IF($D275="","",IF($K275&lt;&gt;"对外销售",0,ROUND(N($J275)*IF($P275="",N($O275),N($P275)),0)))</f>
        <v/>
      </c>
      <c r="R275" s="26">
        <f>IF($D275="","",IFERROR(VLOOKUP($D275,库存台账!$A$5:$Y$1204,11,0),0))</f>
        <v/>
      </c>
      <c r="S275" s="26">
        <f>IF($D275="","",ROUND(N($J275)*N($R275),0))</f>
        <v/>
      </c>
      <c r="T275" s="26">
        <f>IF($D275="","",IF($K275&lt;&gt;"对外销售","",ROUND($Q275-$S275,0)))</f>
        <v/>
      </c>
      <c r="U275" s="17" t="n"/>
      <c r="V275" s="17" t="n"/>
      <c r="W275" s="24">
        <f>IF($D275="","",IF($E275="※编码不在物料档案里","※物料编码不在档案里",IF(N($J275)&lt;=0,"※出库数量要大于 0",IF($K275="","※没填去向类型",IF($L275="","※没填去向矿区",IF(AND($C275&lt;&gt;"",$C275&lt;=结账锁),"※日期早于已结账截止日，不能再录",IF(AND($K275="自用消耗",COUNTIF({"一矿区";"二矿区"},$L275)=0),"※自用消耗的去向只能是一矿区或二矿区",IF(AND($K275="对外销售",COUNTIF({"三矿区";"六矿区"},$L275)=0),"※对外销售的去向只能是三矿区或六矿区",IF(AND($K275="对外销售",ROUND($Q275,0)=0),"※外销却没有售价，请填实际售价",IF(AND($K275="对外销售",$T275&lt;&gt;"",$T275&lt;0),"※这一笔外销是亏的，请核对售价",IF(IFERROR(VLOOKUP($D275,库存台账!$A$5:$Y$1204,24,0),0)&lt;-0.001,"※这个物料账面已经变成负数了，查一下是不是漏记入库","")))))))))))</f>
        <v/>
      </c>
    </row>
    <row r="276">
      <c r="A276" s="24">
        <f>IF($D276="","",COUNTA($D$4:$D276))</f>
        <v/>
      </c>
      <c r="B276" s="17" t="n"/>
      <c r="C276" s="30" t="n"/>
      <c r="D276" s="17" t="n"/>
      <c r="E276" s="24">
        <f>IF($D276="","",IFERROR(VLOOKUP($D276,物料档案!$A$4:$P$1203,3,0),"※编码不在物料档案里"))</f>
        <v/>
      </c>
      <c r="F276" s="24">
        <f>IF($D276="","",IFERROR(VLOOKUP($D276,物料档案!$A$4:$P$1203,4,0),"※编码不在物料档案里"))</f>
        <v/>
      </c>
      <c r="G276" s="24">
        <f>IF($D276="","",IFERROR(VLOOKUP($D276,物料档案!$A$4:$P$1203,5,0),"※编码不在物料档案里"))</f>
        <v/>
      </c>
      <c r="H276" s="24">
        <f>IF($D276="","",IFERROR(VLOOKUP($D276,物料档案!$A$4:$P$1203,2,0),"※编码不在物料档案里"))</f>
        <v/>
      </c>
      <c r="I276" s="24">
        <f>IF($D276="","",IFERROR(VLOOKUP($D276,物料档案!$A$4:$P$1203,6,0),"※编码不在物料档案里"))</f>
        <v/>
      </c>
      <c r="J276" s="23" t="n"/>
      <c r="K276" s="17" t="n"/>
      <c r="L276" s="17" t="n"/>
      <c r="M276" s="17" t="n"/>
      <c r="N276" s="17" t="n"/>
      <c r="O276" s="26">
        <f>IF($D276="","",IFERROR(VLOOKUP($D276,物料档案!$A$4:$P$1203,10,0),0))</f>
        <v/>
      </c>
      <c r="P276" s="32" t="n"/>
      <c r="Q276" s="26">
        <f>IF($D276="","",IF($K276&lt;&gt;"对外销售",0,ROUND(N($J276)*IF($P276="",N($O276),N($P276)),0)))</f>
        <v/>
      </c>
      <c r="R276" s="26">
        <f>IF($D276="","",IFERROR(VLOOKUP($D276,库存台账!$A$5:$Y$1204,11,0),0))</f>
        <v/>
      </c>
      <c r="S276" s="26">
        <f>IF($D276="","",ROUND(N($J276)*N($R276),0))</f>
        <v/>
      </c>
      <c r="T276" s="26">
        <f>IF($D276="","",IF($K276&lt;&gt;"对外销售","",ROUND($Q276-$S276,0)))</f>
        <v/>
      </c>
      <c r="U276" s="17" t="n"/>
      <c r="V276" s="17" t="n"/>
      <c r="W276" s="24">
        <f>IF($D276="","",IF($E276="※编码不在物料档案里","※物料编码不在档案里",IF(N($J276)&lt;=0,"※出库数量要大于 0",IF($K276="","※没填去向类型",IF($L276="","※没填去向矿区",IF(AND($C276&lt;&gt;"",$C276&lt;=结账锁),"※日期早于已结账截止日，不能再录",IF(AND($K276="自用消耗",COUNTIF({"一矿区";"二矿区"},$L276)=0),"※自用消耗的去向只能是一矿区或二矿区",IF(AND($K276="对外销售",COUNTIF({"三矿区";"六矿区"},$L276)=0),"※对外销售的去向只能是三矿区或六矿区",IF(AND($K276="对外销售",ROUND($Q276,0)=0),"※外销却没有售价，请填实际售价",IF(AND($K276="对外销售",$T276&lt;&gt;"",$T276&lt;0),"※这一笔外销是亏的，请核对售价",IF(IFERROR(VLOOKUP($D276,库存台账!$A$5:$Y$1204,24,0),0)&lt;-0.001,"※这个物料账面已经变成负数了，查一下是不是漏记入库","")))))))))))</f>
        <v/>
      </c>
    </row>
    <row r="277">
      <c r="A277" s="24">
        <f>IF($D277="","",COUNTA($D$4:$D277))</f>
        <v/>
      </c>
      <c r="B277" s="17" t="n"/>
      <c r="C277" s="30" t="n"/>
      <c r="D277" s="17" t="n"/>
      <c r="E277" s="24">
        <f>IF($D277="","",IFERROR(VLOOKUP($D277,物料档案!$A$4:$P$1203,3,0),"※编码不在物料档案里"))</f>
        <v/>
      </c>
      <c r="F277" s="24">
        <f>IF($D277="","",IFERROR(VLOOKUP($D277,物料档案!$A$4:$P$1203,4,0),"※编码不在物料档案里"))</f>
        <v/>
      </c>
      <c r="G277" s="24">
        <f>IF($D277="","",IFERROR(VLOOKUP($D277,物料档案!$A$4:$P$1203,5,0),"※编码不在物料档案里"))</f>
        <v/>
      </c>
      <c r="H277" s="24">
        <f>IF($D277="","",IFERROR(VLOOKUP($D277,物料档案!$A$4:$P$1203,2,0),"※编码不在物料档案里"))</f>
        <v/>
      </c>
      <c r="I277" s="24">
        <f>IF($D277="","",IFERROR(VLOOKUP($D277,物料档案!$A$4:$P$1203,6,0),"※编码不在物料档案里"))</f>
        <v/>
      </c>
      <c r="J277" s="23" t="n"/>
      <c r="K277" s="17" t="n"/>
      <c r="L277" s="17" t="n"/>
      <c r="M277" s="17" t="n"/>
      <c r="N277" s="17" t="n"/>
      <c r="O277" s="26">
        <f>IF($D277="","",IFERROR(VLOOKUP($D277,物料档案!$A$4:$P$1203,10,0),0))</f>
        <v/>
      </c>
      <c r="P277" s="32" t="n"/>
      <c r="Q277" s="26">
        <f>IF($D277="","",IF($K277&lt;&gt;"对外销售",0,ROUND(N($J277)*IF($P277="",N($O277),N($P277)),0)))</f>
        <v/>
      </c>
      <c r="R277" s="26">
        <f>IF($D277="","",IFERROR(VLOOKUP($D277,库存台账!$A$5:$Y$1204,11,0),0))</f>
        <v/>
      </c>
      <c r="S277" s="26">
        <f>IF($D277="","",ROUND(N($J277)*N($R277),0))</f>
        <v/>
      </c>
      <c r="T277" s="26">
        <f>IF($D277="","",IF($K277&lt;&gt;"对外销售","",ROUND($Q277-$S277,0)))</f>
        <v/>
      </c>
      <c r="U277" s="17" t="n"/>
      <c r="V277" s="17" t="n"/>
      <c r="W277" s="24">
        <f>IF($D277="","",IF($E277="※编码不在物料档案里","※物料编码不在档案里",IF(N($J277)&lt;=0,"※出库数量要大于 0",IF($K277="","※没填去向类型",IF($L277="","※没填去向矿区",IF(AND($C277&lt;&gt;"",$C277&lt;=结账锁),"※日期早于已结账截止日，不能再录",IF(AND($K277="自用消耗",COUNTIF({"一矿区";"二矿区"},$L277)=0),"※自用消耗的去向只能是一矿区或二矿区",IF(AND($K277="对外销售",COUNTIF({"三矿区";"六矿区"},$L277)=0),"※对外销售的去向只能是三矿区或六矿区",IF(AND($K277="对外销售",ROUND($Q277,0)=0),"※外销却没有售价，请填实际售价",IF(AND($K277="对外销售",$T277&lt;&gt;"",$T277&lt;0),"※这一笔外销是亏的，请核对售价",IF(IFERROR(VLOOKUP($D277,库存台账!$A$5:$Y$1204,24,0),0)&lt;-0.001,"※这个物料账面已经变成负数了，查一下是不是漏记入库","")))))))))))</f>
        <v/>
      </c>
    </row>
    <row r="278">
      <c r="A278" s="24">
        <f>IF($D278="","",COUNTA($D$4:$D278))</f>
        <v/>
      </c>
      <c r="B278" s="17" t="n"/>
      <c r="C278" s="30" t="n"/>
      <c r="D278" s="17" t="n"/>
      <c r="E278" s="24">
        <f>IF($D278="","",IFERROR(VLOOKUP($D278,物料档案!$A$4:$P$1203,3,0),"※编码不在物料档案里"))</f>
        <v/>
      </c>
      <c r="F278" s="24">
        <f>IF($D278="","",IFERROR(VLOOKUP($D278,物料档案!$A$4:$P$1203,4,0),"※编码不在物料档案里"))</f>
        <v/>
      </c>
      <c r="G278" s="24">
        <f>IF($D278="","",IFERROR(VLOOKUP($D278,物料档案!$A$4:$P$1203,5,0),"※编码不在物料档案里"))</f>
        <v/>
      </c>
      <c r="H278" s="24">
        <f>IF($D278="","",IFERROR(VLOOKUP($D278,物料档案!$A$4:$P$1203,2,0),"※编码不在物料档案里"))</f>
        <v/>
      </c>
      <c r="I278" s="24">
        <f>IF($D278="","",IFERROR(VLOOKUP($D278,物料档案!$A$4:$P$1203,6,0),"※编码不在物料档案里"))</f>
        <v/>
      </c>
      <c r="J278" s="23" t="n"/>
      <c r="K278" s="17" t="n"/>
      <c r="L278" s="17" t="n"/>
      <c r="M278" s="17" t="n"/>
      <c r="N278" s="17" t="n"/>
      <c r="O278" s="26">
        <f>IF($D278="","",IFERROR(VLOOKUP($D278,物料档案!$A$4:$P$1203,10,0),0))</f>
        <v/>
      </c>
      <c r="P278" s="32" t="n"/>
      <c r="Q278" s="26">
        <f>IF($D278="","",IF($K278&lt;&gt;"对外销售",0,ROUND(N($J278)*IF($P278="",N($O278),N($P278)),0)))</f>
        <v/>
      </c>
      <c r="R278" s="26">
        <f>IF($D278="","",IFERROR(VLOOKUP($D278,库存台账!$A$5:$Y$1204,11,0),0))</f>
        <v/>
      </c>
      <c r="S278" s="26">
        <f>IF($D278="","",ROUND(N($J278)*N($R278),0))</f>
        <v/>
      </c>
      <c r="T278" s="26">
        <f>IF($D278="","",IF($K278&lt;&gt;"对外销售","",ROUND($Q278-$S278,0)))</f>
        <v/>
      </c>
      <c r="U278" s="17" t="n"/>
      <c r="V278" s="17" t="n"/>
      <c r="W278" s="24">
        <f>IF($D278="","",IF($E278="※编码不在物料档案里","※物料编码不在档案里",IF(N($J278)&lt;=0,"※出库数量要大于 0",IF($K278="","※没填去向类型",IF($L278="","※没填去向矿区",IF(AND($C278&lt;&gt;"",$C278&lt;=结账锁),"※日期早于已结账截止日，不能再录",IF(AND($K278="自用消耗",COUNTIF({"一矿区";"二矿区"},$L278)=0),"※自用消耗的去向只能是一矿区或二矿区",IF(AND($K278="对外销售",COUNTIF({"三矿区";"六矿区"},$L278)=0),"※对外销售的去向只能是三矿区或六矿区",IF(AND($K278="对外销售",ROUND($Q278,0)=0),"※外销却没有售价，请填实际售价",IF(AND($K278="对外销售",$T278&lt;&gt;"",$T278&lt;0),"※这一笔外销是亏的，请核对售价",IF(IFERROR(VLOOKUP($D278,库存台账!$A$5:$Y$1204,24,0),0)&lt;-0.001,"※这个物料账面已经变成负数了，查一下是不是漏记入库","")))))))))))</f>
        <v/>
      </c>
    </row>
    <row r="279">
      <c r="A279" s="24">
        <f>IF($D279="","",COUNTA($D$4:$D279))</f>
        <v/>
      </c>
      <c r="B279" s="17" t="n"/>
      <c r="C279" s="30" t="n"/>
      <c r="D279" s="17" t="n"/>
      <c r="E279" s="24">
        <f>IF($D279="","",IFERROR(VLOOKUP($D279,物料档案!$A$4:$P$1203,3,0),"※编码不在物料档案里"))</f>
        <v/>
      </c>
      <c r="F279" s="24">
        <f>IF($D279="","",IFERROR(VLOOKUP($D279,物料档案!$A$4:$P$1203,4,0),"※编码不在物料档案里"))</f>
        <v/>
      </c>
      <c r="G279" s="24">
        <f>IF($D279="","",IFERROR(VLOOKUP($D279,物料档案!$A$4:$P$1203,5,0),"※编码不在物料档案里"))</f>
        <v/>
      </c>
      <c r="H279" s="24">
        <f>IF($D279="","",IFERROR(VLOOKUP($D279,物料档案!$A$4:$P$1203,2,0),"※编码不在物料档案里"))</f>
        <v/>
      </c>
      <c r="I279" s="24">
        <f>IF($D279="","",IFERROR(VLOOKUP($D279,物料档案!$A$4:$P$1203,6,0),"※编码不在物料档案里"))</f>
        <v/>
      </c>
      <c r="J279" s="23" t="n"/>
      <c r="K279" s="17" t="n"/>
      <c r="L279" s="17" t="n"/>
      <c r="M279" s="17" t="n"/>
      <c r="N279" s="17" t="n"/>
      <c r="O279" s="26">
        <f>IF($D279="","",IFERROR(VLOOKUP($D279,物料档案!$A$4:$P$1203,10,0),0))</f>
        <v/>
      </c>
      <c r="P279" s="32" t="n"/>
      <c r="Q279" s="26">
        <f>IF($D279="","",IF($K279&lt;&gt;"对外销售",0,ROUND(N($J279)*IF($P279="",N($O279),N($P279)),0)))</f>
        <v/>
      </c>
      <c r="R279" s="26">
        <f>IF($D279="","",IFERROR(VLOOKUP($D279,库存台账!$A$5:$Y$1204,11,0),0))</f>
        <v/>
      </c>
      <c r="S279" s="26">
        <f>IF($D279="","",ROUND(N($J279)*N($R279),0))</f>
        <v/>
      </c>
      <c r="T279" s="26">
        <f>IF($D279="","",IF($K279&lt;&gt;"对外销售","",ROUND($Q279-$S279,0)))</f>
        <v/>
      </c>
      <c r="U279" s="17" t="n"/>
      <c r="V279" s="17" t="n"/>
      <c r="W279" s="24">
        <f>IF($D279="","",IF($E279="※编码不在物料档案里","※物料编码不在档案里",IF(N($J279)&lt;=0,"※出库数量要大于 0",IF($K279="","※没填去向类型",IF($L279="","※没填去向矿区",IF(AND($C279&lt;&gt;"",$C279&lt;=结账锁),"※日期早于已结账截止日，不能再录",IF(AND($K279="自用消耗",COUNTIF({"一矿区";"二矿区"},$L279)=0),"※自用消耗的去向只能是一矿区或二矿区",IF(AND($K279="对外销售",COUNTIF({"三矿区";"六矿区"},$L279)=0),"※对外销售的去向只能是三矿区或六矿区",IF(AND($K279="对外销售",ROUND($Q279,0)=0),"※外销却没有售价，请填实际售价",IF(AND($K279="对外销售",$T279&lt;&gt;"",$T279&lt;0),"※这一笔外销是亏的，请核对售价",IF(IFERROR(VLOOKUP($D279,库存台账!$A$5:$Y$1204,24,0),0)&lt;-0.001,"※这个物料账面已经变成负数了，查一下是不是漏记入库","")))))))))))</f>
        <v/>
      </c>
    </row>
    <row r="280">
      <c r="A280" s="24">
        <f>IF($D280="","",COUNTA($D$4:$D280))</f>
        <v/>
      </c>
      <c r="B280" s="17" t="n"/>
      <c r="C280" s="30" t="n"/>
      <c r="D280" s="17" t="n"/>
      <c r="E280" s="24">
        <f>IF($D280="","",IFERROR(VLOOKUP($D280,物料档案!$A$4:$P$1203,3,0),"※编码不在物料档案里"))</f>
        <v/>
      </c>
      <c r="F280" s="24">
        <f>IF($D280="","",IFERROR(VLOOKUP($D280,物料档案!$A$4:$P$1203,4,0),"※编码不在物料档案里"))</f>
        <v/>
      </c>
      <c r="G280" s="24">
        <f>IF($D280="","",IFERROR(VLOOKUP($D280,物料档案!$A$4:$P$1203,5,0),"※编码不在物料档案里"))</f>
        <v/>
      </c>
      <c r="H280" s="24">
        <f>IF($D280="","",IFERROR(VLOOKUP($D280,物料档案!$A$4:$P$1203,2,0),"※编码不在物料档案里"))</f>
        <v/>
      </c>
      <c r="I280" s="24">
        <f>IF($D280="","",IFERROR(VLOOKUP($D280,物料档案!$A$4:$P$1203,6,0),"※编码不在物料档案里"))</f>
        <v/>
      </c>
      <c r="J280" s="23" t="n"/>
      <c r="K280" s="17" t="n"/>
      <c r="L280" s="17" t="n"/>
      <c r="M280" s="17" t="n"/>
      <c r="N280" s="17" t="n"/>
      <c r="O280" s="26">
        <f>IF($D280="","",IFERROR(VLOOKUP($D280,物料档案!$A$4:$P$1203,10,0),0))</f>
        <v/>
      </c>
      <c r="P280" s="32" t="n"/>
      <c r="Q280" s="26">
        <f>IF($D280="","",IF($K280&lt;&gt;"对外销售",0,ROUND(N($J280)*IF($P280="",N($O280),N($P280)),0)))</f>
        <v/>
      </c>
      <c r="R280" s="26">
        <f>IF($D280="","",IFERROR(VLOOKUP($D280,库存台账!$A$5:$Y$1204,11,0),0))</f>
        <v/>
      </c>
      <c r="S280" s="26">
        <f>IF($D280="","",ROUND(N($J280)*N($R280),0))</f>
        <v/>
      </c>
      <c r="T280" s="26">
        <f>IF($D280="","",IF($K280&lt;&gt;"对外销售","",ROUND($Q280-$S280,0)))</f>
        <v/>
      </c>
      <c r="U280" s="17" t="n"/>
      <c r="V280" s="17" t="n"/>
      <c r="W280" s="24">
        <f>IF($D280="","",IF($E280="※编码不在物料档案里","※物料编码不在档案里",IF(N($J280)&lt;=0,"※出库数量要大于 0",IF($K280="","※没填去向类型",IF($L280="","※没填去向矿区",IF(AND($C280&lt;&gt;"",$C280&lt;=结账锁),"※日期早于已结账截止日，不能再录",IF(AND($K280="自用消耗",COUNTIF({"一矿区";"二矿区"},$L280)=0),"※自用消耗的去向只能是一矿区或二矿区",IF(AND($K280="对外销售",COUNTIF({"三矿区";"六矿区"},$L280)=0),"※对外销售的去向只能是三矿区或六矿区",IF(AND($K280="对外销售",ROUND($Q280,0)=0),"※外销却没有售价，请填实际售价",IF(AND($K280="对外销售",$T280&lt;&gt;"",$T280&lt;0),"※这一笔外销是亏的，请核对售价",IF(IFERROR(VLOOKUP($D280,库存台账!$A$5:$Y$1204,24,0),0)&lt;-0.001,"※这个物料账面已经变成负数了，查一下是不是漏记入库","")))))))))))</f>
        <v/>
      </c>
    </row>
    <row r="281">
      <c r="A281" s="24">
        <f>IF($D281="","",COUNTA($D$4:$D281))</f>
        <v/>
      </c>
      <c r="B281" s="17" t="n"/>
      <c r="C281" s="30" t="n"/>
      <c r="D281" s="17" t="n"/>
      <c r="E281" s="24">
        <f>IF($D281="","",IFERROR(VLOOKUP($D281,物料档案!$A$4:$P$1203,3,0),"※编码不在物料档案里"))</f>
        <v/>
      </c>
      <c r="F281" s="24">
        <f>IF($D281="","",IFERROR(VLOOKUP($D281,物料档案!$A$4:$P$1203,4,0),"※编码不在物料档案里"))</f>
        <v/>
      </c>
      <c r="G281" s="24">
        <f>IF($D281="","",IFERROR(VLOOKUP($D281,物料档案!$A$4:$P$1203,5,0),"※编码不在物料档案里"))</f>
        <v/>
      </c>
      <c r="H281" s="24">
        <f>IF($D281="","",IFERROR(VLOOKUP($D281,物料档案!$A$4:$P$1203,2,0),"※编码不在物料档案里"))</f>
        <v/>
      </c>
      <c r="I281" s="24">
        <f>IF($D281="","",IFERROR(VLOOKUP($D281,物料档案!$A$4:$P$1203,6,0),"※编码不在物料档案里"))</f>
        <v/>
      </c>
      <c r="J281" s="23" t="n"/>
      <c r="K281" s="17" t="n"/>
      <c r="L281" s="17" t="n"/>
      <c r="M281" s="17" t="n"/>
      <c r="N281" s="17" t="n"/>
      <c r="O281" s="26">
        <f>IF($D281="","",IFERROR(VLOOKUP($D281,物料档案!$A$4:$P$1203,10,0),0))</f>
        <v/>
      </c>
      <c r="P281" s="32" t="n"/>
      <c r="Q281" s="26">
        <f>IF($D281="","",IF($K281&lt;&gt;"对外销售",0,ROUND(N($J281)*IF($P281="",N($O281),N($P281)),0)))</f>
        <v/>
      </c>
      <c r="R281" s="26">
        <f>IF($D281="","",IFERROR(VLOOKUP($D281,库存台账!$A$5:$Y$1204,11,0),0))</f>
        <v/>
      </c>
      <c r="S281" s="26">
        <f>IF($D281="","",ROUND(N($J281)*N($R281),0))</f>
        <v/>
      </c>
      <c r="T281" s="26">
        <f>IF($D281="","",IF($K281&lt;&gt;"对外销售","",ROUND($Q281-$S281,0)))</f>
        <v/>
      </c>
      <c r="U281" s="17" t="n"/>
      <c r="V281" s="17" t="n"/>
      <c r="W281" s="24">
        <f>IF($D281="","",IF($E281="※编码不在物料档案里","※物料编码不在档案里",IF(N($J281)&lt;=0,"※出库数量要大于 0",IF($K281="","※没填去向类型",IF($L281="","※没填去向矿区",IF(AND($C281&lt;&gt;"",$C281&lt;=结账锁),"※日期早于已结账截止日，不能再录",IF(AND($K281="自用消耗",COUNTIF({"一矿区";"二矿区"},$L281)=0),"※自用消耗的去向只能是一矿区或二矿区",IF(AND($K281="对外销售",COUNTIF({"三矿区";"六矿区"},$L281)=0),"※对外销售的去向只能是三矿区或六矿区",IF(AND($K281="对外销售",ROUND($Q281,0)=0),"※外销却没有售价，请填实际售价",IF(AND($K281="对外销售",$T281&lt;&gt;"",$T281&lt;0),"※这一笔外销是亏的，请核对售价",IF(IFERROR(VLOOKUP($D281,库存台账!$A$5:$Y$1204,24,0),0)&lt;-0.001,"※这个物料账面已经变成负数了，查一下是不是漏记入库","")))))))))))</f>
        <v/>
      </c>
    </row>
    <row r="282">
      <c r="A282" s="24">
        <f>IF($D282="","",COUNTA($D$4:$D282))</f>
        <v/>
      </c>
      <c r="B282" s="17" t="n"/>
      <c r="C282" s="30" t="n"/>
      <c r="D282" s="17" t="n"/>
      <c r="E282" s="24">
        <f>IF($D282="","",IFERROR(VLOOKUP($D282,物料档案!$A$4:$P$1203,3,0),"※编码不在物料档案里"))</f>
        <v/>
      </c>
      <c r="F282" s="24">
        <f>IF($D282="","",IFERROR(VLOOKUP($D282,物料档案!$A$4:$P$1203,4,0),"※编码不在物料档案里"))</f>
        <v/>
      </c>
      <c r="G282" s="24">
        <f>IF($D282="","",IFERROR(VLOOKUP($D282,物料档案!$A$4:$P$1203,5,0),"※编码不在物料档案里"))</f>
        <v/>
      </c>
      <c r="H282" s="24">
        <f>IF($D282="","",IFERROR(VLOOKUP($D282,物料档案!$A$4:$P$1203,2,0),"※编码不在物料档案里"))</f>
        <v/>
      </c>
      <c r="I282" s="24">
        <f>IF($D282="","",IFERROR(VLOOKUP($D282,物料档案!$A$4:$P$1203,6,0),"※编码不在物料档案里"))</f>
        <v/>
      </c>
      <c r="J282" s="23" t="n"/>
      <c r="K282" s="17" t="n"/>
      <c r="L282" s="17" t="n"/>
      <c r="M282" s="17" t="n"/>
      <c r="N282" s="17" t="n"/>
      <c r="O282" s="26">
        <f>IF($D282="","",IFERROR(VLOOKUP($D282,物料档案!$A$4:$P$1203,10,0),0))</f>
        <v/>
      </c>
      <c r="P282" s="32" t="n"/>
      <c r="Q282" s="26">
        <f>IF($D282="","",IF($K282&lt;&gt;"对外销售",0,ROUND(N($J282)*IF($P282="",N($O282),N($P282)),0)))</f>
        <v/>
      </c>
      <c r="R282" s="26">
        <f>IF($D282="","",IFERROR(VLOOKUP($D282,库存台账!$A$5:$Y$1204,11,0),0))</f>
        <v/>
      </c>
      <c r="S282" s="26">
        <f>IF($D282="","",ROUND(N($J282)*N($R282),0))</f>
        <v/>
      </c>
      <c r="T282" s="26">
        <f>IF($D282="","",IF($K282&lt;&gt;"对外销售","",ROUND($Q282-$S282,0)))</f>
        <v/>
      </c>
      <c r="U282" s="17" t="n"/>
      <c r="V282" s="17" t="n"/>
      <c r="W282" s="24">
        <f>IF($D282="","",IF($E282="※编码不在物料档案里","※物料编码不在档案里",IF(N($J282)&lt;=0,"※出库数量要大于 0",IF($K282="","※没填去向类型",IF($L282="","※没填去向矿区",IF(AND($C282&lt;&gt;"",$C282&lt;=结账锁),"※日期早于已结账截止日，不能再录",IF(AND($K282="自用消耗",COUNTIF({"一矿区";"二矿区"},$L282)=0),"※自用消耗的去向只能是一矿区或二矿区",IF(AND($K282="对外销售",COUNTIF({"三矿区";"六矿区"},$L282)=0),"※对外销售的去向只能是三矿区或六矿区",IF(AND($K282="对外销售",ROUND($Q282,0)=0),"※外销却没有售价，请填实际售价",IF(AND($K282="对外销售",$T282&lt;&gt;"",$T282&lt;0),"※这一笔外销是亏的，请核对售价",IF(IFERROR(VLOOKUP($D282,库存台账!$A$5:$Y$1204,24,0),0)&lt;-0.001,"※这个物料账面已经变成负数了，查一下是不是漏记入库","")))))))))))</f>
        <v/>
      </c>
    </row>
    <row r="283">
      <c r="A283" s="24">
        <f>IF($D283="","",COUNTA($D$4:$D283))</f>
        <v/>
      </c>
      <c r="B283" s="17" t="n"/>
      <c r="C283" s="30" t="n"/>
      <c r="D283" s="17" t="n"/>
      <c r="E283" s="24">
        <f>IF($D283="","",IFERROR(VLOOKUP($D283,物料档案!$A$4:$P$1203,3,0),"※编码不在物料档案里"))</f>
        <v/>
      </c>
      <c r="F283" s="24">
        <f>IF($D283="","",IFERROR(VLOOKUP($D283,物料档案!$A$4:$P$1203,4,0),"※编码不在物料档案里"))</f>
        <v/>
      </c>
      <c r="G283" s="24">
        <f>IF($D283="","",IFERROR(VLOOKUP($D283,物料档案!$A$4:$P$1203,5,0),"※编码不在物料档案里"))</f>
        <v/>
      </c>
      <c r="H283" s="24">
        <f>IF($D283="","",IFERROR(VLOOKUP($D283,物料档案!$A$4:$P$1203,2,0),"※编码不在物料档案里"))</f>
        <v/>
      </c>
      <c r="I283" s="24">
        <f>IF($D283="","",IFERROR(VLOOKUP($D283,物料档案!$A$4:$P$1203,6,0),"※编码不在物料档案里"))</f>
        <v/>
      </c>
      <c r="J283" s="23" t="n"/>
      <c r="K283" s="17" t="n"/>
      <c r="L283" s="17" t="n"/>
      <c r="M283" s="17" t="n"/>
      <c r="N283" s="17" t="n"/>
      <c r="O283" s="26">
        <f>IF($D283="","",IFERROR(VLOOKUP($D283,物料档案!$A$4:$P$1203,10,0),0))</f>
        <v/>
      </c>
      <c r="P283" s="32" t="n"/>
      <c r="Q283" s="26">
        <f>IF($D283="","",IF($K283&lt;&gt;"对外销售",0,ROUND(N($J283)*IF($P283="",N($O283),N($P283)),0)))</f>
        <v/>
      </c>
      <c r="R283" s="26">
        <f>IF($D283="","",IFERROR(VLOOKUP($D283,库存台账!$A$5:$Y$1204,11,0),0))</f>
        <v/>
      </c>
      <c r="S283" s="26">
        <f>IF($D283="","",ROUND(N($J283)*N($R283),0))</f>
        <v/>
      </c>
      <c r="T283" s="26">
        <f>IF($D283="","",IF($K283&lt;&gt;"对外销售","",ROUND($Q283-$S283,0)))</f>
        <v/>
      </c>
      <c r="U283" s="17" t="n"/>
      <c r="V283" s="17" t="n"/>
      <c r="W283" s="24">
        <f>IF($D283="","",IF($E283="※编码不在物料档案里","※物料编码不在档案里",IF(N($J283)&lt;=0,"※出库数量要大于 0",IF($K283="","※没填去向类型",IF($L283="","※没填去向矿区",IF(AND($C283&lt;&gt;"",$C283&lt;=结账锁),"※日期早于已结账截止日，不能再录",IF(AND($K283="自用消耗",COUNTIF({"一矿区";"二矿区"},$L283)=0),"※自用消耗的去向只能是一矿区或二矿区",IF(AND($K283="对外销售",COUNTIF({"三矿区";"六矿区"},$L283)=0),"※对外销售的去向只能是三矿区或六矿区",IF(AND($K283="对外销售",ROUND($Q283,0)=0),"※外销却没有售价，请填实际售价",IF(AND($K283="对外销售",$T283&lt;&gt;"",$T283&lt;0),"※这一笔外销是亏的，请核对售价",IF(IFERROR(VLOOKUP($D283,库存台账!$A$5:$Y$1204,24,0),0)&lt;-0.001,"※这个物料账面已经变成负数了，查一下是不是漏记入库","")))))))))))</f>
        <v/>
      </c>
    </row>
    <row r="284">
      <c r="A284" s="24">
        <f>IF($D284="","",COUNTA($D$4:$D284))</f>
        <v/>
      </c>
      <c r="B284" s="17" t="n"/>
      <c r="C284" s="30" t="n"/>
      <c r="D284" s="17" t="n"/>
      <c r="E284" s="24">
        <f>IF($D284="","",IFERROR(VLOOKUP($D284,物料档案!$A$4:$P$1203,3,0),"※编码不在物料档案里"))</f>
        <v/>
      </c>
      <c r="F284" s="24">
        <f>IF($D284="","",IFERROR(VLOOKUP($D284,物料档案!$A$4:$P$1203,4,0),"※编码不在物料档案里"))</f>
        <v/>
      </c>
      <c r="G284" s="24">
        <f>IF($D284="","",IFERROR(VLOOKUP($D284,物料档案!$A$4:$P$1203,5,0),"※编码不在物料档案里"))</f>
        <v/>
      </c>
      <c r="H284" s="24">
        <f>IF($D284="","",IFERROR(VLOOKUP($D284,物料档案!$A$4:$P$1203,2,0),"※编码不在物料档案里"))</f>
        <v/>
      </c>
      <c r="I284" s="24">
        <f>IF($D284="","",IFERROR(VLOOKUP($D284,物料档案!$A$4:$P$1203,6,0),"※编码不在物料档案里"))</f>
        <v/>
      </c>
      <c r="J284" s="23" t="n"/>
      <c r="K284" s="17" t="n"/>
      <c r="L284" s="17" t="n"/>
      <c r="M284" s="17" t="n"/>
      <c r="N284" s="17" t="n"/>
      <c r="O284" s="26">
        <f>IF($D284="","",IFERROR(VLOOKUP($D284,物料档案!$A$4:$P$1203,10,0),0))</f>
        <v/>
      </c>
      <c r="P284" s="32" t="n"/>
      <c r="Q284" s="26">
        <f>IF($D284="","",IF($K284&lt;&gt;"对外销售",0,ROUND(N($J284)*IF($P284="",N($O284),N($P284)),0)))</f>
        <v/>
      </c>
      <c r="R284" s="26">
        <f>IF($D284="","",IFERROR(VLOOKUP($D284,库存台账!$A$5:$Y$1204,11,0),0))</f>
        <v/>
      </c>
      <c r="S284" s="26">
        <f>IF($D284="","",ROUND(N($J284)*N($R284),0))</f>
        <v/>
      </c>
      <c r="T284" s="26">
        <f>IF($D284="","",IF($K284&lt;&gt;"对外销售","",ROUND($Q284-$S284,0)))</f>
        <v/>
      </c>
      <c r="U284" s="17" t="n"/>
      <c r="V284" s="17" t="n"/>
      <c r="W284" s="24">
        <f>IF($D284="","",IF($E284="※编码不在物料档案里","※物料编码不在档案里",IF(N($J284)&lt;=0,"※出库数量要大于 0",IF($K284="","※没填去向类型",IF($L284="","※没填去向矿区",IF(AND($C284&lt;&gt;"",$C284&lt;=结账锁),"※日期早于已结账截止日，不能再录",IF(AND($K284="自用消耗",COUNTIF({"一矿区";"二矿区"},$L284)=0),"※自用消耗的去向只能是一矿区或二矿区",IF(AND($K284="对外销售",COUNTIF({"三矿区";"六矿区"},$L284)=0),"※对外销售的去向只能是三矿区或六矿区",IF(AND($K284="对外销售",ROUND($Q284,0)=0),"※外销却没有售价，请填实际售价",IF(AND($K284="对外销售",$T284&lt;&gt;"",$T284&lt;0),"※这一笔外销是亏的，请核对售价",IF(IFERROR(VLOOKUP($D284,库存台账!$A$5:$Y$1204,24,0),0)&lt;-0.001,"※这个物料账面已经变成负数了，查一下是不是漏记入库","")))))))))))</f>
        <v/>
      </c>
    </row>
    <row r="285">
      <c r="A285" s="24">
        <f>IF($D285="","",COUNTA($D$4:$D285))</f>
        <v/>
      </c>
      <c r="B285" s="17" t="n"/>
      <c r="C285" s="30" t="n"/>
      <c r="D285" s="17" t="n"/>
      <c r="E285" s="24">
        <f>IF($D285="","",IFERROR(VLOOKUP($D285,物料档案!$A$4:$P$1203,3,0),"※编码不在物料档案里"))</f>
        <v/>
      </c>
      <c r="F285" s="24">
        <f>IF($D285="","",IFERROR(VLOOKUP($D285,物料档案!$A$4:$P$1203,4,0),"※编码不在物料档案里"))</f>
        <v/>
      </c>
      <c r="G285" s="24">
        <f>IF($D285="","",IFERROR(VLOOKUP($D285,物料档案!$A$4:$P$1203,5,0),"※编码不在物料档案里"))</f>
        <v/>
      </c>
      <c r="H285" s="24">
        <f>IF($D285="","",IFERROR(VLOOKUP($D285,物料档案!$A$4:$P$1203,2,0),"※编码不在物料档案里"))</f>
        <v/>
      </c>
      <c r="I285" s="24">
        <f>IF($D285="","",IFERROR(VLOOKUP($D285,物料档案!$A$4:$P$1203,6,0),"※编码不在物料档案里"))</f>
        <v/>
      </c>
      <c r="J285" s="23" t="n"/>
      <c r="K285" s="17" t="n"/>
      <c r="L285" s="17" t="n"/>
      <c r="M285" s="17" t="n"/>
      <c r="N285" s="17" t="n"/>
      <c r="O285" s="26">
        <f>IF($D285="","",IFERROR(VLOOKUP($D285,物料档案!$A$4:$P$1203,10,0),0))</f>
        <v/>
      </c>
      <c r="P285" s="32" t="n"/>
      <c r="Q285" s="26">
        <f>IF($D285="","",IF($K285&lt;&gt;"对外销售",0,ROUND(N($J285)*IF($P285="",N($O285),N($P285)),0)))</f>
        <v/>
      </c>
      <c r="R285" s="26">
        <f>IF($D285="","",IFERROR(VLOOKUP($D285,库存台账!$A$5:$Y$1204,11,0),0))</f>
        <v/>
      </c>
      <c r="S285" s="26">
        <f>IF($D285="","",ROUND(N($J285)*N($R285),0))</f>
        <v/>
      </c>
      <c r="T285" s="26">
        <f>IF($D285="","",IF($K285&lt;&gt;"对外销售","",ROUND($Q285-$S285,0)))</f>
        <v/>
      </c>
      <c r="U285" s="17" t="n"/>
      <c r="V285" s="17" t="n"/>
      <c r="W285" s="24">
        <f>IF($D285="","",IF($E285="※编码不在物料档案里","※物料编码不在档案里",IF(N($J285)&lt;=0,"※出库数量要大于 0",IF($K285="","※没填去向类型",IF($L285="","※没填去向矿区",IF(AND($C285&lt;&gt;"",$C285&lt;=结账锁),"※日期早于已结账截止日，不能再录",IF(AND($K285="自用消耗",COUNTIF({"一矿区";"二矿区"},$L285)=0),"※自用消耗的去向只能是一矿区或二矿区",IF(AND($K285="对外销售",COUNTIF({"三矿区";"六矿区"},$L285)=0),"※对外销售的去向只能是三矿区或六矿区",IF(AND($K285="对外销售",ROUND($Q285,0)=0),"※外销却没有售价，请填实际售价",IF(AND($K285="对外销售",$T285&lt;&gt;"",$T285&lt;0),"※这一笔外销是亏的，请核对售价",IF(IFERROR(VLOOKUP($D285,库存台账!$A$5:$Y$1204,24,0),0)&lt;-0.001,"※这个物料账面已经变成负数了，查一下是不是漏记入库","")))))))))))</f>
        <v/>
      </c>
    </row>
    <row r="286">
      <c r="A286" s="24">
        <f>IF($D286="","",COUNTA($D$4:$D286))</f>
        <v/>
      </c>
      <c r="B286" s="17" t="n"/>
      <c r="C286" s="30" t="n"/>
      <c r="D286" s="17" t="n"/>
      <c r="E286" s="24">
        <f>IF($D286="","",IFERROR(VLOOKUP($D286,物料档案!$A$4:$P$1203,3,0),"※编码不在物料档案里"))</f>
        <v/>
      </c>
      <c r="F286" s="24">
        <f>IF($D286="","",IFERROR(VLOOKUP($D286,物料档案!$A$4:$P$1203,4,0),"※编码不在物料档案里"))</f>
        <v/>
      </c>
      <c r="G286" s="24">
        <f>IF($D286="","",IFERROR(VLOOKUP($D286,物料档案!$A$4:$P$1203,5,0),"※编码不在物料档案里"))</f>
        <v/>
      </c>
      <c r="H286" s="24">
        <f>IF($D286="","",IFERROR(VLOOKUP($D286,物料档案!$A$4:$P$1203,2,0),"※编码不在物料档案里"))</f>
        <v/>
      </c>
      <c r="I286" s="24">
        <f>IF($D286="","",IFERROR(VLOOKUP($D286,物料档案!$A$4:$P$1203,6,0),"※编码不在物料档案里"))</f>
        <v/>
      </c>
      <c r="J286" s="23" t="n"/>
      <c r="K286" s="17" t="n"/>
      <c r="L286" s="17" t="n"/>
      <c r="M286" s="17" t="n"/>
      <c r="N286" s="17" t="n"/>
      <c r="O286" s="26">
        <f>IF($D286="","",IFERROR(VLOOKUP($D286,物料档案!$A$4:$P$1203,10,0),0))</f>
        <v/>
      </c>
      <c r="P286" s="32" t="n"/>
      <c r="Q286" s="26">
        <f>IF($D286="","",IF($K286&lt;&gt;"对外销售",0,ROUND(N($J286)*IF($P286="",N($O286),N($P286)),0)))</f>
        <v/>
      </c>
      <c r="R286" s="26">
        <f>IF($D286="","",IFERROR(VLOOKUP($D286,库存台账!$A$5:$Y$1204,11,0),0))</f>
        <v/>
      </c>
      <c r="S286" s="26">
        <f>IF($D286="","",ROUND(N($J286)*N($R286),0))</f>
        <v/>
      </c>
      <c r="T286" s="26">
        <f>IF($D286="","",IF($K286&lt;&gt;"对外销售","",ROUND($Q286-$S286,0)))</f>
        <v/>
      </c>
      <c r="U286" s="17" t="n"/>
      <c r="V286" s="17" t="n"/>
      <c r="W286" s="24">
        <f>IF($D286="","",IF($E286="※编码不在物料档案里","※物料编码不在档案里",IF(N($J286)&lt;=0,"※出库数量要大于 0",IF($K286="","※没填去向类型",IF($L286="","※没填去向矿区",IF(AND($C286&lt;&gt;"",$C286&lt;=结账锁),"※日期早于已结账截止日，不能再录",IF(AND($K286="自用消耗",COUNTIF({"一矿区";"二矿区"},$L286)=0),"※自用消耗的去向只能是一矿区或二矿区",IF(AND($K286="对外销售",COUNTIF({"三矿区";"六矿区"},$L286)=0),"※对外销售的去向只能是三矿区或六矿区",IF(AND($K286="对外销售",ROUND($Q286,0)=0),"※外销却没有售价，请填实际售价",IF(AND($K286="对外销售",$T286&lt;&gt;"",$T286&lt;0),"※这一笔外销是亏的，请核对售价",IF(IFERROR(VLOOKUP($D286,库存台账!$A$5:$Y$1204,24,0),0)&lt;-0.001,"※这个物料账面已经变成负数了，查一下是不是漏记入库","")))))))))))</f>
        <v/>
      </c>
    </row>
    <row r="287">
      <c r="A287" s="24">
        <f>IF($D287="","",COUNTA($D$4:$D287))</f>
        <v/>
      </c>
      <c r="B287" s="17" t="n"/>
      <c r="C287" s="30" t="n"/>
      <c r="D287" s="17" t="n"/>
      <c r="E287" s="24">
        <f>IF($D287="","",IFERROR(VLOOKUP($D287,物料档案!$A$4:$P$1203,3,0),"※编码不在物料档案里"))</f>
        <v/>
      </c>
      <c r="F287" s="24">
        <f>IF($D287="","",IFERROR(VLOOKUP($D287,物料档案!$A$4:$P$1203,4,0),"※编码不在物料档案里"))</f>
        <v/>
      </c>
      <c r="G287" s="24">
        <f>IF($D287="","",IFERROR(VLOOKUP($D287,物料档案!$A$4:$P$1203,5,0),"※编码不在物料档案里"))</f>
        <v/>
      </c>
      <c r="H287" s="24">
        <f>IF($D287="","",IFERROR(VLOOKUP($D287,物料档案!$A$4:$P$1203,2,0),"※编码不在物料档案里"))</f>
        <v/>
      </c>
      <c r="I287" s="24">
        <f>IF($D287="","",IFERROR(VLOOKUP($D287,物料档案!$A$4:$P$1203,6,0),"※编码不在物料档案里"))</f>
        <v/>
      </c>
      <c r="J287" s="23" t="n"/>
      <c r="K287" s="17" t="n"/>
      <c r="L287" s="17" t="n"/>
      <c r="M287" s="17" t="n"/>
      <c r="N287" s="17" t="n"/>
      <c r="O287" s="26">
        <f>IF($D287="","",IFERROR(VLOOKUP($D287,物料档案!$A$4:$P$1203,10,0),0))</f>
        <v/>
      </c>
      <c r="P287" s="32" t="n"/>
      <c r="Q287" s="26">
        <f>IF($D287="","",IF($K287&lt;&gt;"对外销售",0,ROUND(N($J287)*IF($P287="",N($O287),N($P287)),0)))</f>
        <v/>
      </c>
      <c r="R287" s="26">
        <f>IF($D287="","",IFERROR(VLOOKUP($D287,库存台账!$A$5:$Y$1204,11,0),0))</f>
        <v/>
      </c>
      <c r="S287" s="26">
        <f>IF($D287="","",ROUND(N($J287)*N($R287),0))</f>
        <v/>
      </c>
      <c r="T287" s="26">
        <f>IF($D287="","",IF($K287&lt;&gt;"对外销售","",ROUND($Q287-$S287,0)))</f>
        <v/>
      </c>
      <c r="U287" s="17" t="n"/>
      <c r="V287" s="17" t="n"/>
      <c r="W287" s="24">
        <f>IF($D287="","",IF($E287="※编码不在物料档案里","※物料编码不在档案里",IF(N($J287)&lt;=0,"※出库数量要大于 0",IF($K287="","※没填去向类型",IF($L287="","※没填去向矿区",IF(AND($C287&lt;&gt;"",$C287&lt;=结账锁),"※日期早于已结账截止日，不能再录",IF(AND($K287="自用消耗",COUNTIF({"一矿区";"二矿区"},$L287)=0),"※自用消耗的去向只能是一矿区或二矿区",IF(AND($K287="对外销售",COUNTIF({"三矿区";"六矿区"},$L287)=0),"※对外销售的去向只能是三矿区或六矿区",IF(AND($K287="对外销售",ROUND($Q287,0)=0),"※外销却没有售价，请填实际售价",IF(AND($K287="对外销售",$T287&lt;&gt;"",$T287&lt;0),"※这一笔外销是亏的，请核对售价",IF(IFERROR(VLOOKUP($D287,库存台账!$A$5:$Y$1204,24,0),0)&lt;-0.001,"※这个物料账面已经变成负数了，查一下是不是漏记入库","")))))))))))</f>
        <v/>
      </c>
    </row>
    <row r="288">
      <c r="A288" s="24">
        <f>IF($D288="","",COUNTA($D$4:$D288))</f>
        <v/>
      </c>
      <c r="B288" s="17" t="n"/>
      <c r="C288" s="30" t="n"/>
      <c r="D288" s="17" t="n"/>
      <c r="E288" s="24">
        <f>IF($D288="","",IFERROR(VLOOKUP($D288,物料档案!$A$4:$P$1203,3,0),"※编码不在物料档案里"))</f>
        <v/>
      </c>
      <c r="F288" s="24">
        <f>IF($D288="","",IFERROR(VLOOKUP($D288,物料档案!$A$4:$P$1203,4,0),"※编码不在物料档案里"))</f>
        <v/>
      </c>
      <c r="G288" s="24">
        <f>IF($D288="","",IFERROR(VLOOKUP($D288,物料档案!$A$4:$P$1203,5,0),"※编码不在物料档案里"))</f>
        <v/>
      </c>
      <c r="H288" s="24">
        <f>IF($D288="","",IFERROR(VLOOKUP($D288,物料档案!$A$4:$P$1203,2,0),"※编码不在物料档案里"))</f>
        <v/>
      </c>
      <c r="I288" s="24">
        <f>IF($D288="","",IFERROR(VLOOKUP($D288,物料档案!$A$4:$P$1203,6,0),"※编码不在物料档案里"))</f>
        <v/>
      </c>
      <c r="J288" s="23" t="n"/>
      <c r="K288" s="17" t="n"/>
      <c r="L288" s="17" t="n"/>
      <c r="M288" s="17" t="n"/>
      <c r="N288" s="17" t="n"/>
      <c r="O288" s="26">
        <f>IF($D288="","",IFERROR(VLOOKUP($D288,物料档案!$A$4:$P$1203,10,0),0))</f>
        <v/>
      </c>
      <c r="P288" s="32" t="n"/>
      <c r="Q288" s="26">
        <f>IF($D288="","",IF($K288&lt;&gt;"对外销售",0,ROUND(N($J288)*IF($P288="",N($O288),N($P288)),0)))</f>
        <v/>
      </c>
      <c r="R288" s="26">
        <f>IF($D288="","",IFERROR(VLOOKUP($D288,库存台账!$A$5:$Y$1204,11,0),0))</f>
        <v/>
      </c>
      <c r="S288" s="26">
        <f>IF($D288="","",ROUND(N($J288)*N($R288),0))</f>
        <v/>
      </c>
      <c r="T288" s="26">
        <f>IF($D288="","",IF($K288&lt;&gt;"对外销售","",ROUND($Q288-$S288,0)))</f>
        <v/>
      </c>
      <c r="U288" s="17" t="n"/>
      <c r="V288" s="17" t="n"/>
      <c r="W288" s="24">
        <f>IF($D288="","",IF($E288="※编码不在物料档案里","※物料编码不在档案里",IF(N($J288)&lt;=0,"※出库数量要大于 0",IF($K288="","※没填去向类型",IF($L288="","※没填去向矿区",IF(AND($C288&lt;&gt;"",$C288&lt;=结账锁),"※日期早于已结账截止日，不能再录",IF(AND($K288="自用消耗",COUNTIF({"一矿区";"二矿区"},$L288)=0),"※自用消耗的去向只能是一矿区或二矿区",IF(AND($K288="对外销售",COUNTIF({"三矿区";"六矿区"},$L288)=0),"※对外销售的去向只能是三矿区或六矿区",IF(AND($K288="对外销售",ROUND($Q288,0)=0),"※外销却没有售价，请填实际售价",IF(AND($K288="对外销售",$T288&lt;&gt;"",$T288&lt;0),"※这一笔外销是亏的，请核对售价",IF(IFERROR(VLOOKUP($D288,库存台账!$A$5:$Y$1204,24,0),0)&lt;-0.001,"※这个物料账面已经变成负数了，查一下是不是漏记入库","")))))))))))</f>
        <v/>
      </c>
    </row>
    <row r="289">
      <c r="A289" s="24">
        <f>IF($D289="","",COUNTA($D$4:$D289))</f>
        <v/>
      </c>
      <c r="B289" s="17" t="n"/>
      <c r="C289" s="30" t="n"/>
      <c r="D289" s="17" t="n"/>
      <c r="E289" s="24">
        <f>IF($D289="","",IFERROR(VLOOKUP($D289,物料档案!$A$4:$P$1203,3,0),"※编码不在物料档案里"))</f>
        <v/>
      </c>
      <c r="F289" s="24">
        <f>IF($D289="","",IFERROR(VLOOKUP($D289,物料档案!$A$4:$P$1203,4,0),"※编码不在物料档案里"))</f>
        <v/>
      </c>
      <c r="G289" s="24">
        <f>IF($D289="","",IFERROR(VLOOKUP($D289,物料档案!$A$4:$P$1203,5,0),"※编码不在物料档案里"))</f>
        <v/>
      </c>
      <c r="H289" s="24">
        <f>IF($D289="","",IFERROR(VLOOKUP($D289,物料档案!$A$4:$P$1203,2,0),"※编码不在物料档案里"))</f>
        <v/>
      </c>
      <c r="I289" s="24">
        <f>IF($D289="","",IFERROR(VLOOKUP($D289,物料档案!$A$4:$P$1203,6,0),"※编码不在物料档案里"))</f>
        <v/>
      </c>
      <c r="J289" s="23" t="n"/>
      <c r="K289" s="17" t="n"/>
      <c r="L289" s="17" t="n"/>
      <c r="M289" s="17" t="n"/>
      <c r="N289" s="17" t="n"/>
      <c r="O289" s="26">
        <f>IF($D289="","",IFERROR(VLOOKUP($D289,物料档案!$A$4:$P$1203,10,0),0))</f>
        <v/>
      </c>
      <c r="P289" s="32" t="n"/>
      <c r="Q289" s="26">
        <f>IF($D289="","",IF($K289&lt;&gt;"对外销售",0,ROUND(N($J289)*IF($P289="",N($O289),N($P289)),0)))</f>
        <v/>
      </c>
      <c r="R289" s="26">
        <f>IF($D289="","",IFERROR(VLOOKUP($D289,库存台账!$A$5:$Y$1204,11,0),0))</f>
        <v/>
      </c>
      <c r="S289" s="26">
        <f>IF($D289="","",ROUND(N($J289)*N($R289),0))</f>
        <v/>
      </c>
      <c r="T289" s="26">
        <f>IF($D289="","",IF($K289&lt;&gt;"对外销售","",ROUND($Q289-$S289,0)))</f>
        <v/>
      </c>
      <c r="U289" s="17" t="n"/>
      <c r="V289" s="17" t="n"/>
      <c r="W289" s="24">
        <f>IF($D289="","",IF($E289="※编码不在物料档案里","※物料编码不在档案里",IF(N($J289)&lt;=0,"※出库数量要大于 0",IF($K289="","※没填去向类型",IF($L289="","※没填去向矿区",IF(AND($C289&lt;&gt;"",$C289&lt;=结账锁),"※日期早于已结账截止日，不能再录",IF(AND($K289="自用消耗",COUNTIF({"一矿区";"二矿区"},$L289)=0),"※自用消耗的去向只能是一矿区或二矿区",IF(AND($K289="对外销售",COUNTIF({"三矿区";"六矿区"},$L289)=0),"※对外销售的去向只能是三矿区或六矿区",IF(AND($K289="对外销售",ROUND($Q289,0)=0),"※外销却没有售价，请填实际售价",IF(AND($K289="对外销售",$T289&lt;&gt;"",$T289&lt;0),"※这一笔外销是亏的，请核对售价",IF(IFERROR(VLOOKUP($D289,库存台账!$A$5:$Y$1204,24,0),0)&lt;-0.001,"※这个物料账面已经变成负数了，查一下是不是漏记入库","")))))))))))</f>
        <v/>
      </c>
    </row>
    <row r="290">
      <c r="A290" s="24">
        <f>IF($D290="","",COUNTA($D$4:$D290))</f>
        <v/>
      </c>
      <c r="B290" s="17" t="n"/>
      <c r="C290" s="30" t="n"/>
      <c r="D290" s="17" t="n"/>
      <c r="E290" s="24">
        <f>IF($D290="","",IFERROR(VLOOKUP($D290,物料档案!$A$4:$P$1203,3,0),"※编码不在物料档案里"))</f>
        <v/>
      </c>
      <c r="F290" s="24">
        <f>IF($D290="","",IFERROR(VLOOKUP($D290,物料档案!$A$4:$P$1203,4,0),"※编码不在物料档案里"))</f>
        <v/>
      </c>
      <c r="G290" s="24">
        <f>IF($D290="","",IFERROR(VLOOKUP($D290,物料档案!$A$4:$P$1203,5,0),"※编码不在物料档案里"))</f>
        <v/>
      </c>
      <c r="H290" s="24">
        <f>IF($D290="","",IFERROR(VLOOKUP($D290,物料档案!$A$4:$P$1203,2,0),"※编码不在物料档案里"))</f>
        <v/>
      </c>
      <c r="I290" s="24">
        <f>IF($D290="","",IFERROR(VLOOKUP($D290,物料档案!$A$4:$P$1203,6,0),"※编码不在物料档案里"))</f>
        <v/>
      </c>
      <c r="J290" s="23" t="n"/>
      <c r="K290" s="17" t="n"/>
      <c r="L290" s="17" t="n"/>
      <c r="M290" s="17" t="n"/>
      <c r="N290" s="17" t="n"/>
      <c r="O290" s="26">
        <f>IF($D290="","",IFERROR(VLOOKUP($D290,物料档案!$A$4:$P$1203,10,0),0))</f>
        <v/>
      </c>
      <c r="P290" s="32" t="n"/>
      <c r="Q290" s="26">
        <f>IF($D290="","",IF($K290&lt;&gt;"对外销售",0,ROUND(N($J290)*IF($P290="",N($O290),N($P290)),0)))</f>
        <v/>
      </c>
      <c r="R290" s="26">
        <f>IF($D290="","",IFERROR(VLOOKUP($D290,库存台账!$A$5:$Y$1204,11,0),0))</f>
        <v/>
      </c>
      <c r="S290" s="26">
        <f>IF($D290="","",ROUND(N($J290)*N($R290),0))</f>
        <v/>
      </c>
      <c r="T290" s="26">
        <f>IF($D290="","",IF($K290&lt;&gt;"对外销售","",ROUND($Q290-$S290,0)))</f>
        <v/>
      </c>
      <c r="U290" s="17" t="n"/>
      <c r="V290" s="17" t="n"/>
      <c r="W290" s="24">
        <f>IF($D290="","",IF($E290="※编码不在物料档案里","※物料编码不在档案里",IF(N($J290)&lt;=0,"※出库数量要大于 0",IF($K290="","※没填去向类型",IF($L290="","※没填去向矿区",IF(AND($C290&lt;&gt;"",$C290&lt;=结账锁),"※日期早于已结账截止日，不能再录",IF(AND($K290="自用消耗",COUNTIF({"一矿区";"二矿区"},$L290)=0),"※自用消耗的去向只能是一矿区或二矿区",IF(AND($K290="对外销售",COUNTIF({"三矿区";"六矿区"},$L290)=0),"※对外销售的去向只能是三矿区或六矿区",IF(AND($K290="对外销售",ROUND($Q290,0)=0),"※外销却没有售价，请填实际售价",IF(AND($K290="对外销售",$T290&lt;&gt;"",$T290&lt;0),"※这一笔外销是亏的，请核对售价",IF(IFERROR(VLOOKUP($D290,库存台账!$A$5:$Y$1204,24,0),0)&lt;-0.001,"※这个物料账面已经变成负数了，查一下是不是漏记入库","")))))))))))</f>
        <v/>
      </c>
    </row>
    <row r="291">
      <c r="A291" s="24">
        <f>IF($D291="","",COUNTA($D$4:$D291))</f>
        <v/>
      </c>
      <c r="B291" s="17" t="n"/>
      <c r="C291" s="30" t="n"/>
      <c r="D291" s="17" t="n"/>
      <c r="E291" s="24">
        <f>IF($D291="","",IFERROR(VLOOKUP($D291,物料档案!$A$4:$P$1203,3,0),"※编码不在物料档案里"))</f>
        <v/>
      </c>
      <c r="F291" s="24">
        <f>IF($D291="","",IFERROR(VLOOKUP($D291,物料档案!$A$4:$P$1203,4,0),"※编码不在物料档案里"))</f>
        <v/>
      </c>
      <c r="G291" s="24">
        <f>IF($D291="","",IFERROR(VLOOKUP($D291,物料档案!$A$4:$P$1203,5,0),"※编码不在物料档案里"))</f>
        <v/>
      </c>
      <c r="H291" s="24">
        <f>IF($D291="","",IFERROR(VLOOKUP($D291,物料档案!$A$4:$P$1203,2,0),"※编码不在物料档案里"))</f>
        <v/>
      </c>
      <c r="I291" s="24">
        <f>IF($D291="","",IFERROR(VLOOKUP($D291,物料档案!$A$4:$P$1203,6,0),"※编码不在物料档案里"))</f>
        <v/>
      </c>
      <c r="J291" s="23" t="n"/>
      <c r="K291" s="17" t="n"/>
      <c r="L291" s="17" t="n"/>
      <c r="M291" s="17" t="n"/>
      <c r="N291" s="17" t="n"/>
      <c r="O291" s="26">
        <f>IF($D291="","",IFERROR(VLOOKUP($D291,物料档案!$A$4:$P$1203,10,0),0))</f>
        <v/>
      </c>
      <c r="P291" s="32" t="n"/>
      <c r="Q291" s="26">
        <f>IF($D291="","",IF($K291&lt;&gt;"对外销售",0,ROUND(N($J291)*IF($P291="",N($O291),N($P291)),0)))</f>
        <v/>
      </c>
      <c r="R291" s="26">
        <f>IF($D291="","",IFERROR(VLOOKUP($D291,库存台账!$A$5:$Y$1204,11,0),0))</f>
        <v/>
      </c>
      <c r="S291" s="26">
        <f>IF($D291="","",ROUND(N($J291)*N($R291),0))</f>
        <v/>
      </c>
      <c r="T291" s="26">
        <f>IF($D291="","",IF($K291&lt;&gt;"对外销售","",ROUND($Q291-$S291,0)))</f>
        <v/>
      </c>
      <c r="U291" s="17" t="n"/>
      <c r="V291" s="17" t="n"/>
      <c r="W291" s="24">
        <f>IF($D291="","",IF($E291="※编码不在物料档案里","※物料编码不在档案里",IF(N($J291)&lt;=0,"※出库数量要大于 0",IF($K291="","※没填去向类型",IF($L291="","※没填去向矿区",IF(AND($C291&lt;&gt;"",$C291&lt;=结账锁),"※日期早于已结账截止日，不能再录",IF(AND($K291="自用消耗",COUNTIF({"一矿区";"二矿区"},$L291)=0),"※自用消耗的去向只能是一矿区或二矿区",IF(AND($K291="对外销售",COUNTIF({"三矿区";"六矿区"},$L291)=0),"※对外销售的去向只能是三矿区或六矿区",IF(AND($K291="对外销售",ROUND($Q291,0)=0),"※外销却没有售价，请填实际售价",IF(AND($K291="对外销售",$T291&lt;&gt;"",$T291&lt;0),"※这一笔外销是亏的，请核对售价",IF(IFERROR(VLOOKUP($D291,库存台账!$A$5:$Y$1204,24,0),0)&lt;-0.001,"※这个物料账面已经变成负数了，查一下是不是漏记入库","")))))))))))</f>
        <v/>
      </c>
    </row>
    <row r="292">
      <c r="A292" s="24">
        <f>IF($D292="","",COUNTA($D$4:$D292))</f>
        <v/>
      </c>
      <c r="B292" s="17" t="n"/>
      <c r="C292" s="30" t="n"/>
      <c r="D292" s="17" t="n"/>
      <c r="E292" s="24">
        <f>IF($D292="","",IFERROR(VLOOKUP($D292,物料档案!$A$4:$P$1203,3,0),"※编码不在物料档案里"))</f>
        <v/>
      </c>
      <c r="F292" s="24">
        <f>IF($D292="","",IFERROR(VLOOKUP($D292,物料档案!$A$4:$P$1203,4,0),"※编码不在物料档案里"))</f>
        <v/>
      </c>
      <c r="G292" s="24">
        <f>IF($D292="","",IFERROR(VLOOKUP($D292,物料档案!$A$4:$P$1203,5,0),"※编码不在物料档案里"))</f>
        <v/>
      </c>
      <c r="H292" s="24">
        <f>IF($D292="","",IFERROR(VLOOKUP($D292,物料档案!$A$4:$P$1203,2,0),"※编码不在物料档案里"))</f>
        <v/>
      </c>
      <c r="I292" s="24">
        <f>IF($D292="","",IFERROR(VLOOKUP($D292,物料档案!$A$4:$P$1203,6,0),"※编码不在物料档案里"))</f>
        <v/>
      </c>
      <c r="J292" s="23" t="n"/>
      <c r="K292" s="17" t="n"/>
      <c r="L292" s="17" t="n"/>
      <c r="M292" s="17" t="n"/>
      <c r="N292" s="17" t="n"/>
      <c r="O292" s="26">
        <f>IF($D292="","",IFERROR(VLOOKUP($D292,物料档案!$A$4:$P$1203,10,0),0))</f>
        <v/>
      </c>
      <c r="P292" s="32" t="n"/>
      <c r="Q292" s="26">
        <f>IF($D292="","",IF($K292&lt;&gt;"对外销售",0,ROUND(N($J292)*IF($P292="",N($O292),N($P292)),0)))</f>
        <v/>
      </c>
      <c r="R292" s="26">
        <f>IF($D292="","",IFERROR(VLOOKUP($D292,库存台账!$A$5:$Y$1204,11,0),0))</f>
        <v/>
      </c>
      <c r="S292" s="26">
        <f>IF($D292="","",ROUND(N($J292)*N($R292),0))</f>
        <v/>
      </c>
      <c r="T292" s="26">
        <f>IF($D292="","",IF($K292&lt;&gt;"对外销售","",ROUND($Q292-$S292,0)))</f>
        <v/>
      </c>
      <c r="U292" s="17" t="n"/>
      <c r="V292" s="17" t="n"/>
      <c r="W292" s="24">
        <f>IF($D292="","",IF($E292="※编码不在物料档案里","※物料编码不在档案里",IF(N($J292)&lt;=0,"※出库数量要大于 0",IF($K292="","※没填去向类型",IF($L292="","※没填去向矿区",IF(AND($C292&lt;&gt;"",$C292&lt;=结账锁),"※日期早于已结账截止日，不能再录",IF(AND($K292="自用消耗",COUNTIF({"一矿区";"二矿区"},$L292)=0),"※自用消耗的去向只能是一矿区或二矿区",IF(AND($K292="对外销售",COUNTIF({"三矿区";"六矿区"},$L292)=0),"※对外销售的去向只能是三矿区或六矿区",IF(AND($K292="对外销售",ROUND($Q292,0)=0),"※外销却没有售价，请填实际售价",IF(AND($K292="对外销售",$T292&lt;&gt;"",$T292&lt;0),"※这一笔外销是亏的，请核对售价",IF(IFERROR(VLOOKUP($D292,库存台账!$A$5:$Y$1204,24,0),0)&lt;-0.001,"※这个物料账面已经变成负数了，查一下是不是漏记入库","")))))))))))</f>
        <v/>
      </c>
    </row>
    <row r="293">
      <c r="A293" s="24">
        <f>IF($D293="","",COUNTA($D$4:$D293))</f>
        <v/>
      </c>
      <c r="B293" s="17" t="n"/>
      <c r="C293" s="30" t="n"/>
      <c r="D293" s="17" t="n"/>
      <c r="E293" s="24">
        <f>IF($D293="","",IFERROR(VLOOKUP($D293,物料档案!$A$4:$P$1203,3,0),"※编码不在物料档案里"))</f>
        <v/>
      </c>
      <c r="F293" s="24">
        <f>IF($D293="","",IFERROR(VLOOKUP($D293,物料档案!$A$4:$P$1203,4,0),"※编码不在物料档案里"))</f>
        <v/>
      </c>
      <c r="G293" s="24">
        <f>IF($D293="","",IFERROR(VLOOKUP($D293,物料档案!$A$4:$P$1203,5,0),"※编码不在物料档案里"))</f>
        <v/>
      </c>
      <c r="H293" s="24">
        <f>IF($D293="","",IFERROR(VLOOKUP($D293,物料档案!$A$4:$P$1203,2,0),"※编码不在物料档案里"))</f>
        <v/>
      </c>
      <c r="I293" s="24">
        <f>IF($D293="","",IFERROR(VLOOKUP($D293,物料档案!$A$4:$P$1203,6,0),"※编码不在物料档案里"))</f>
        <v/>
      </c>
      <c r="J293" s="23" t="n"/>
      <c r="K293" s="17" t="n"/>
      <c r="L293" s="17" t="n"/>
      <c r="M293" s="17" t="n"/>
      <c r="N293" s="17" t="n"/>
      <c r="O293" s="26">
        <f>IF($D293="","",IFERROR(VLOOKUP($D293,物料档案!$A$4:$P$1203,10,0),0))</f>
        <v/>
      </c>
      <c r="P293" s="32" t="n"/>
      <c r="Q293" s="26">
        <f>IF($D293="","",IF($K293&lt;&gt;"对外销售",0,ROUND(N($J293)*IF($P293="",N($O293),N($P293)),0)))</f>
        <v/>
      </c>
      <c r="R293" s="26">
        <f>IF($D293="","",IFERROR(VLOOKUP($D293,库存台账!$A$5:$Y$1204,11,0),0))</f>
        <v/>
      </c>
      <c r="S293" s="26">
        <f>IF($D293="","",ROUND(N($J293)*N($R293),0))</f>
        <v/>
      </c>
      <c r="T293" s="26">
        <f>IF($D293="","",IF($K293&lt;&gt;"对外销售","",ROUND($Q293-$S293,0)))</f>
        <v/>
      </c>
      <c r="U293" s="17" t="n"/>
      <c r="V293" s="17" t="n"/>
      <c r="W293" s="24">
        <f>IF($D293="","",IF($E293="※编码不在物料档案里","※物料编码不在档案里",IF(N($J293)&lt;=0,"※出库数量要大于 0",IF($K293="","※没填去向类型",IF($L293="","※没填去向矿区",IF(AND($C293&lt;&gt;"",$C293&lt;=结账锁),"※日期早于已结账截止日，不能再录",IF(AND($K293="自用消耗",COUNTIF({"一矿区";"二矿区"},$L293)=0),"※自用消耗的去向只能是一矿区或二矿区",IF(AND($K293="对外销售",COUNTIF({"三矿区";"六矿区"},$L293)=0),"※对外销售的去向只能是三矿区或六矿区",IF(AND($K293="对外销售",ROUND($Q293,0)=0),"※外销却没有售价，请填实际售价",IF(AND($K293="对外销售",$T293&lt;&gt;"",$T293&lt;0),"※这一笔外销是亏的，请核对售价",IF(IFERROR(VLOOKUP($D293,库存台账!$A$5:$Y$1204,24,0),0)&lt;-0.001,"※这个物料账面已经变成负数了，查一下是不是漏记入库","")))))))))))</f>
        <v/>
      </c>
    </row>
    <row r="294">
      <c r="A294" s="24">
        <f>IF($D294="","",COUNTA($D$4:$D294))</f>
        <v/>
      </c>
      <c r="B294" s="17" t="n"/>
      <c r="C294" s="30" t="n"/>
      <c r="D294" s="17" t="n"/>
      <c r="E294" s="24">
        <f>IF($D294="","",IFERROR(VLOOKUP($D294,物料档案!$A$4:$P$1203,3,0),"※编码不在物料档案里"))</f>
        <v/>
      </c>
      <c r="F294" s="24">
        <f>IF($D294="","",IFERROR(VLOOKUP($D294,物料档案!$A$4:$P$1203,4,0),"※编码不在物料档案里"))</f>
        <v/>
      </c>
      <c r="G294" s="24">
        <f>IF($D294="","",IFERROR(VLOOKUP($D294,物料档案!$A$4:$P$1203,5,0),"※编码不在物料档案里"))</f>
        <v/>
      </c>
      <c r="H294" s="24">
        <f>IF($D294="","",IFERROR(VLOOKUP($D294,物料档案!$A$4:$P$1203,2,0),"※编码不在物料档案里"))</f>
        <v/>
      </c>
      <c r="I294" s="24">
        <f>IF($D294="","",IFERROR(VLOOKUP($D294,物料档案!$A$4:$P$1203,6,0),"※编码不在物料档案里"))</f>
        <v/>
      </c>
      <c r="J294" s="23" t="n"/>
      <c r="K294" s="17" t="n"/>
      <c r="L294" s="17" t="n"/>
      <c r="M294" s="17" t="n"/>
      <c r="N294" s="17" t="n"/>
      <c r="O294" s="26">
        <f>IF($D294="","",IFERROR(VLOOKUP($D294,物料档案!$A$4:$P$1203,10,0),0))</f>
        <v/>
      </c>
      <c r="P294" s="32" t="n"/>
      <c r="Q294" s="26">
        <f>IF($D294="","",IF($K294&lt;&gt;"对外销售",0,ROUND(N($J294)*IF($P294="",N($O294),N($P294)),0)))</f>
        <v/>
      </c>
      <c r="R294" s="26">
        <f>IF($D294="","",IFERROR(VLOOKUP($D294,库存台账!$A$5:$Y$1204,11,0),0))</f>
        <v/>
      </c>
      <c r="S294" s="26">
        <f>IF($D294="","",ROUND(N($J294)*N($R294),0))</f>
        <v/>
      </c>
      <c r="T294" s="26">
        <f>IF($D294="","",IF($K294&lt;&gt;"对外销售","",ROUND($Q294-$S294,0)))</f>
        <v/>
      </c>
      <c r="U294" s="17" t="n"/>
      <c r="V294" s="17" t="n"/>
      <c r="W294" s="24">
        <f>IF($D294="","",IF($E294="※编码不在物料档案里","※物料编码不在档案里",IF(N($J294)&lt;=0,"※出库数量要大于 0",IF($K294="","※没填去向类型",IF($L294="","※没填去向矿区",IF(AND($C294&lt;&gt;"",$C294&lt;=结账锁),"※日期早于已结账截止日，不能再录",IF(AND($K294="自用消耗",COUNTIF({"一矿区";"二矿区"},$L294)=0),"※自用消耗的去向只能是一矿区或二矿区",IF(AND($K294="对外销售",COUNTIF({"三矿区";"六矿区"},$L294)=0),"※对外销售的去向只能是三矿区或六矿区",IF(AND($K294="对外销售",ROUND($Q294,0)=0),"※外销却没有售价，请填实际售价",IF(AND($K294="对外销售",$T294&lt;&gt;"",$T294&lt;0),"※这一笔外销是亏的，请核对售价",IF(IFERROR(VLOOKUP($D294,库存台账!$A$5:$Y$1204,24,0),0)&lt;-0.001,"※这个物料账面已经变成负数了，查一下是不是漏记入库","")))))))))))</f>
        <v/>
      </c>
    </row>
    <row r="295">
      <c r="A295" s="24">
        <f>IF($D295="","",COUNTA($D$4:$D295))</f>
        <v/>
      </c>
      <c r="B295" s="17" t="n"/>
      <c r="C295" s="30" t="n"/>
      <c r="D295" s="17" t="n"/>
      <c r="E295" s="24">
        <f>IF($D295="","",IFERROR(VLOOKUP($D295,物料档案!$A$4:$P$1203,3,0),"※编码不在物料档案里"))</f>
        <v/>
      </c>
      <c r="F295" s="24">
        <f>IF($D295="","",IFERROR(VLOOKUP($D295,物料档案!$A$4:$P$1203,4,0),"※编码不在物料档案里"))</f>
        <v/>
      </c>
      <c r="G295" s="24">
        <f>IF($D295="","",IFERROR(VLOOKUP($D295,物料档案!$A$4:$P$1203,5,0),"※编码不在物料档案里"))</f>
        <v/>
      </c>
      <c r="H295" s="24">
        <f>IF($D295="","",IFERROR(VLOOKUP($D295,物料档案!$A$4:$P$1203,2,0),"※编码不在物料档案里"))</f>
        <v/>
      </c>
      <c r="I295" s="24">
        <f>IF($D295="","",IFERROR(VLOOKUP($D295,物料档案!$A$4:$P$1203,6,0),"※编码不在物料档案里"))</f>
        <v/>
      </c>
      <c r="J295" s="23" t="n"/>
      <c r="K295" s="17" t="n"/>
      <c r="L295" s="17" t="n"/>
      <c r="M295" s="17" t="n"/>
      <c r="N295" s="17" t="n"/>
      <c r="O295" s="26">
        <f>IF($D295="","",IFERROR(VLOOKUP($D295,物料档案!$A$4:$P$1203,10,0),0))</f>
        <v/>
      </c>
      <c r="P295" s="32" t="n"/>
      <c r="Q295" s="26">
        <f>IF($D295="","",IF($K295&lt;&gt;"对外销售",0,ROUND(N($J295)*IF($P295="",N($O295),N($P295)),0)))</f>
        <v/>
      </c>
      <c r="R295" s="26">
        <f>IF($D295="","",IFERROR(VLOOKUP($D295,库存台账!$A$5:$Y$1204,11,0),0))</f>
        <v/>
      </c>
      <c r="S295" s="26">
        <f>IF($D295="","",ROUND(N($J295)*N($R295),0))</f>
        <v/>
      </c>
      <c r="T295" s="26">
        <f>IF($D295="","",IF($K295&lt;&gt;"对外销售","",ROUND($Q295-$S295,0)))</f>
        <v/>
      </c>
      <c r="U295" s="17" t="n"/>
      <c r="V295" s="17" t="n"/>
      <c r="W295" s="24">
        <f>IF($D295="","",IF($E295="※编码不在物料档案里","※物料编码不在档案里",IF(N($J295)&lt;=0,"※出库数量要大于 0",IF($K295="","※没填去向类型",IF($L295="","※没填去向矿区",IF(AND($C295&lt;&gt;"",$C295&lt;=结账锁),"※日期早于已结账截止日，不能再录",IF(AND($K295="自用消耗",COUNTIF({"一矿区";"二矿区"},$L295)=0),"※自用消耗的去向只能是一矿区或二矿区",IF(AND($K295="对外销售",COUNTIF({"三矿区";"六矿区"},$L295)=0),"※对外销售的去向只能是三矿区或六矿区",IF(AND($K295="对外销售",ROUND($Q295,0)=0),"※外销却没有售价，请填实际售价",IF(AND($K295="对外销售",$T295&lt;&gt;"",$T295&lt;0),"※这一笔外销是亏的，请核对售价",IF(IFERROR(VLOOKUP($D295,库存台账!$A$5:$Y$1204,24,0),0)&lt;-0.001,"※这个物料账面已经变成负数了，查一下是不是漏记入库","")))))))))))</f>
        <v/>
      </c>
    </row>
    <row r="296">
      <c r="A296" s="24">
        <f>IF($D296="","",COUNTA($D$4:$D296))</f>
        <v/>
      </c>
      <c r="B296" s="17" t="n"/>
      <c r="C296" s="30" t="n"/>
      <c r="D296" s="17" t="n"/>
      <c r="E296" s="24">
        <f>IF($D296="","",IFERROR(VLOOKUP($D296,物料档案!$A$4:$P$1203,3,0),"※编码不在物料档案里"))</f>
        <v/>
      </c>
      <c r="F296" s="24">
        <f>IF($D296="","",IFERROR(VLOOKUP($D296,物料档案!$A$4:$P$1203,4,0),"※编码不在物料档案里"))</f>
        <v/>
      </c>
      <c r="G296" s="24">
        <f>IF($D296="","",IFERROR(VLOOKUP($D296,物料档案!$A$4:$P$1203,5,0),"※编码不在物料档案里"))</f>
        <v/>
      </c>
      <c r="H296" s="24">
        <f>IF($D296="","",IFERROR(VLOOKUP($D296,物料档案!$A$4:$P$1203,2,0),"※编码不在物料档案里"))</f>
        <v/>
      </c>
      <c r="I296" s="24">
        <f>IF($D296="","",IFERROR(VLOOKUP($D296,物料档案!$A$4:$P$1203,6,0),"※编码不在物料档案里"))</f>
        <v/>
      </c>
      <c r="J296" s="23" t="n"/>
      <c r="K296" s="17" t="n"/>
      <c r="L296" s="17" t="n"/>
      <c r="M296" s="17" t="n"/>
      <c r="N296" s="17" t="n"/>
      <c r="O296" s="26">
        <f>IF($D296="","",IFERROR(VLOOKUP($D296,物料档案!$A$4:$P$1203,10,0),0))</f>
        <v/>
      </c>
      <c r="P296" s="32" t="n"/>
      <c r="Q296" s="26">
        <f>IF($D296="","",IF($K296&lt;&gt;"对外销售",0,ROUND(N($J296)*IF($P296="",N($O296),N($P296)),0)))</f>
        <v/>
      </c>
      <c r="R296" s="26">
        <f>IF($D296="","",IFERROR(VLOOKUP($D296,库存台账!$A$5:$Y$1204,11,0),0))</f>
        <v/>
      </c>
      <c r="S296" s="26">
        <f>IF($D296="","",ROUND(N($J296)*N($R296),0))</f>
        <v/>
      </c>
      <c r="T296" s="26">
        <f>IF($D296="","",IF($K296&lt;&gt;"对外销售","",ROUND($Q296-$S296,0)))</f>
        <v/>
      </c>
      <c r="U296" s="17" t="n"/>
      <c r="V296" s="17" t="n"/>
      <c r="W296" s="24">
        <f>IF($D296="","",IF($E296="※编码不在物料档案里","※物料编码不在档案里",IF(N($J296)&lt;=0,"※出库数量要大于 0",IF($K296="","※没填去向类型",IF($L296="","※没填去向矿区",IF(AND($C296&lt;&gt;"",$C296&lt;=结账锁),"※日期早于已结账截止日，不能再录",IF(AND($K296="自用消耗",COUNTIF({"一矿区";"二矿区"},$L296)=0),"※自用消耗的去向只能是一矿区或二矿区",IF(AND($K296="对外销售",COUNTIF({"三矿区";"六矿区"},$L296)=0),"※对外销售的去向只能是三矿区或六矿区",IF(AND($K296="对外销售",ROUND($Q296,0)=0),"※外销却没有售价，请填实际售价",IF(AND($K296="对外销售",$T296&lt;&gt;"",$T296&lt;0),"※这一笔外销是亏的，请核对售价",IF(IFERROR(VLOOKUP($D296,库存台账!$A$5:$Y$1204,24,0),0)&lt;-0.001,"※这个物料账面已经变成负数了，查一下是不是漏记入库","")))))))))))</f>
        <v/>
      </c>
    </row>
    <row r="297">
      <c r="A297" s="24">
        <f>IF($D297="","",COUNTA($D$4:$D297))</f>
        <v/>
      </c>
      <c r="B297" s="17" t="n"/>
      <c r="C297" s="30" t="n"/>
      <c r="D297" s="17" t="n"/>
      <c r="E297" s="24">
        <f>IF($D297="","",IFERROR(VLOOKUP($D297,物料档案!$A$4:$P$1203,3,0),"※编码不在物料档案里"))</f>
        <v/>
      </c>
      <c r="F297" s="24">
        <f>IF($D297="","",IFERROR(VLOOKUP($D297,物料档案!$A$4:$P$1203,4,0),"※编码不在物料档案里"))</f>
        <v/>
      </c>
      <c r="G297" s="24">
        <f>IF($D297="","",IFERROR(VLOOKUP($D297,物料档案!$A$4:$P$1203,5,0),"※编码不在物料档案里"))</f>
        <v/>
      </c>
      <c r="H297" s="24">
        <f>IF($D297="","",IFERROR(VLOOKUP($D297,物料档案!$A$4:$P$1203,2,0),"※编码不在物料档案里"))</f>
        <v/>
      </c>
      <c r="I297" s="24">
        <f>IF($D297="","",IFERROR(VLOOKUP($D297,物料档案!$A$4:$P$1203,6,0),"※编码不在物料档案里"))</f>
        <v/>
      </c>
      <c r="J297" s="23" t="n"/>
      <c r="K297" s="17" t="n"/>
      <c r="L297" s="17" t="n"/>
      <c r="M297" s="17" t="n"/>
      <c r="N297" s="17" t="n"/>
      <c r="O297" s="26">
        <f>IF($D297="","",IFERROR(VLOOKUP($D297,物料档案!$A$4:$P$1203,10,0),0))</f>
        <v/>
      </c>
      <c r="P297" s="32" t="n"/>
      <c r="Q297" s="26">
        <f>IF($D297="","",IF($K297&lt;&gt;"对外销售",0,ROUND(N($J297)*IF($P297="",N($O297),N($P297)),0)))</f>
        <v/>
      </c>
      <c r="R297" s="26">
        <f>IF($D297="","",IFERROR(VLOOKUP($D297,库存台账!$A$5:$Y$1204,11,0),0))</f>
        <v/>
      </c>
      <c r="S297" s="26">
        <f>IF($D297="","",ROUND(N($J297)*N($R297),0))</f>
        <v/>
      </c>
      <c r="T297" s="26">
        <f>IF($D297="","",IF($K297&lt;&gt;"对外销售","",ROUND($Q297-$S297,0)))</f>
        <v/>
      </c>
      <c r="U297" s="17" t="n"/>
      <c r="V297" s="17" t="n"/>
      <c r="W297" s="24">
        <f>IF($D297="","",IF($E297="※编码不在物料档案里","※物料编码不在档案里",IF(N($J297)&lt;=0,"※出库数量要大于 0",IF($K297="","※没填去向类型",IF($L297="","※没填去向矿区",IF(AND($C297&lt;&gt;"",$C297&lt;=结账锁),"※日期早于已结账截止日，不能再录",IF(AND($K297="自用消耗",COUNTIF({"一矿区";"二矿区"},$L297)=0),"※自用消耗的去向只能是一矿区或二矿区",IF(AND($K297="对外销售",COUNTIF({"三矿区";"六矿区"},$L297)=0),"※对外销售的去向只能是三矿区或六矿区",IF(AND($K297="对外销售",ROUND($Q297,0)=0),"※外销却没有售价，请填实际售价",IF(AND($K297="对外销售",$T297&lt;&gt;"",$T297&lt;0),"※这一笔外销是亏的，请核对售价",IF(IFERROR(VLOOKUP($D297,库存台账!$A$5:$Y$1204,24,0),0)&lt;-0.001,"※这个物料账面已经变成负数了，查一下是不是漏记入库","")))))))))))</f>
        <v/>
      </c>
    </row>
    <row r="298">
      <c r="A298" s="24">
        <f>IF($D298="","",COUNTA($D$4:$D298))</f>
        <v/>
      </c>
      <c r="B298" s="17" t="n"/>
      <c r="C298" s="30" t="n"/>
      <c r="D298" s="17" t="n"/>
      <c r="E298" s="24">
        <f>IF($D298="","",IFERROR(VLOOKUP($D298,物料档案!$A$4:$P$1203,3,0),"※编码不在物料档案里"))</f>
        <v/>
      </c>
      <c r="F298" s="24">
        <f>IF($D298="","",IFERROR(VLOOKUP($D298,物料档案!$A$4:$P$1203,4,0),"※编码不在物料档案里"))</f>
        <v/>
      </c>
      <c r="G298" s="24">
        <f>IF($D298="","",IFERROR(VLOOKUP($D298,物料档案!$A$4:$P$1203,5,0),"※编码不在物料档案里"))</f>
        <v/>
      </c>
      <c r="H298" s="24">
        <f>IF($D298="","",IFERROR(VLOOKUP($D298,物料档案!$A$4:$P$1203,2,0),"※编码不在物料档案里"))</f>
        <v/>
      </c>
      <c r="I298" s="24">
        <f>IF($D298="","",IFERROR(VLOOKUP($D298,物料档案!$A$4:$P$1203,6,0),"※编码不在物料档案里"))</f>
        <v/>
      </c>
      <c r="J298" s="23" t="n"/>
      <c r="K298" s="17" t="n"/>
      <c r="L298" s="17" t="n"/>
      <c r="M298" s="17" t="n"/>
      <c r="N298" s="17" t="n"/>
      <c r="O298" s="26">
        <f>IF($D298="","",IFERROR(VLOOKUP($D298,物料档案!$A$4:$P$1203,10,0),0))</f>
        <v/>
      </c>
      <c r="P298" s="32" t="n"/>
      <c r="Q298" s="26">
        <f>IF($D298="","",IF($K298&lt;&gt;"对外销售",0,ROUND(N($J298)*IF($P298="",N($O298),N($P298)),0)))</f>
        <v/>
      </c>
      <c r="R298" s="26">
        <f>IF($D298="","",IFERROR(VLOOKUP($D298,库存台账!$A$5:$Y$1204,11,0),0))</f>
        <v/>
      </c>
      <c r="S298" s="26">
        <f>IF($D298="","",ROUND(N($J298)*N($R298),0))</f>
        <v/>
      </c>
      <c r="T298" s="26">
        <f>IF($D298="","",IF($K298&lt;&gt;"对外销售","",ROUND($Q298-$S298,0)))</f>
        <v/>
      </c>
      <c r="U298" s="17" t="n"/>
      <c r="V298" s="17" t="n"/>
      <c r="W298" s="24">
        <f>IF($D298="","",IF($E298="※编码不在物料档案里","※物料编码不在档案里",IF(N($J298)&lt;=0,"※出库数量要大于 0",IF($K298="","※没填去向类型",IF($L298="","※没填去向矿区",IF(AND($C298&lt;&gt;"",$C298&lt;=结账锁),"※日期早于已结账截止日，不能再录",IF(AND($K298="自用消耗",COUNTIF({"一矿区";"二矿区"},$L298)=0),"※自用消耗的去向只能是一矿区或二矿区",IF(AND($K298="对外销售",COUNTIF({"三矿区";"六矿区"},$L298)=0),"※对外销售的去向只能是三矿区或六矿区",IF(AND($K298="对外销售",ROUND($Q298,0)=0),"※外销却没有售价，请填实际售价",IF(AND($K298="对外销售",$T298&lt;&gt;"",$T298&lt;0),"※这一笔外销是亏的，请核对售价",IF(IFERROR(VLOOKUP($D298,库存台账!$A$5:$Y$1204,24,0),0)&lt;-0.001,"※这个物料账面已经变成负数了，查一下是不是漏记入库","")))))))))))</f>
        <v/>
      </c>
    </row>
    <row r="299">
      <c r="A299" s="24">
        <f>IF($D299="","",COUNTA($D$4:$D299))</f>
        <v/>
      </c>
      <c r="B299" s="17" t="n"/>
      <c r="C299" s="30" t="n"/>
      <c r="D299" s="17" t="n"/>
      <c r="E299" s="24">
        <f>IF($D299="","",IFERROR(VLOOKUP($D299,物料档案!$A$4:$P$1203,3,0),"※编码不在物料档案里"))</f>
        <v/>
      </c>
      <c r="F299" s="24">
        <f>IF($D299="","",IFERROR(VLOOKUP($D299,物料档案!$A$4:$P$1203,4,0),"※编码不在物料档案里"))</f>
        <v/>
      </c>
      <c r="G299" s="24">
        <f>IF($D299="","",IFERROR(VLOOKUP($D299,物料档案!$A$4:$P$1203,5,0),"※编码不在物料档案里"))</f>
        <v/>
      </c>
      <c r="H299" s="24">
        <f>IF($D299="","",IFERROR(VLOOKUP($D299,物料档案!$A$4:$P$1203,2,0),"※编码不在物料档案里"))</f>
        <v/>
      </c>
      <c r="I299" s="24">
        <f>IF($D299="","",IFERROR(VLOOKUP($D299,物料档案!$A$4:$P$1203,6,0),"※编码不在物料档案里"))</f>
        <v/>
      </c>
      <c r="J299" s="23" t="n"/>
      <c r="K299" s="17" t="n"/>
      <c r="L299" s="17" t="n"/>
      <c r="M299" s="17" t="n"/>
      <c r="N299" s="17" t="n"/>
      <c r="O299" s="26">
        <f>IF($D299="","",IFERROR(VLOOKUP($D299,物料档案!$A$4:$P$1203,10,0),0))</f>
        <v/>
      </c>
      <c r="P299" s="32" t="n"/>
      <c r="Q299" s="26">
        <f>IF($D299="","",IF($K299&lt;&gt;"对外销售",0,ROUND(N($J299)*IF($P299="",N($O299),N($P299)),0)))</f>
        <v/>
      </c>
      <c r="R299" s="26">
        <f>IF($D299="","",IFERROR(VLOOKUP($D299,库存台账!$A$5:$Y$1204,11,0),0))</f>
        <v/>
      </c>
      <c r="S299" s="26">
        <f>IF($D299="","",ROUND(N($J299)*N($R299),0))</f>
        <v/>
      </c>
      <c r="T299" s="26">
        <f>IF($D299="","",IF($K299&lt;&gt;"对外销售","",ROUND($Q299-$S299,0)))</f>
        <v/>
      </c>
      <c r="U299" s="17" t="n"/>
      <c r="V299" s="17" t="n"/>
      <c r="W299" s="24">
        <f>IF($D299="","",IF($E299="※编码不在物料档案里","※物料编码不在档案里",IF(N($J299)&lt;=0,"※出库数量要大于 0",IF($K299="","※没填去向类型",IF($L299="","※没填去向矿区",IF(AND($C299&lt;&gt;"",$C299&lt;=结账锁),"※日期早于已结账截止日，不能再录",IF(AND($K299="自用消耗",COUNTIF({"一矿区";"二矿区"},$L299)=0),"※自用消耗的去向只能是一矿区或二矿区",IF(AND($K299="对外销售",COUNTIF({"三矿区";"六矿区"},$L299)=0),"※对外销售的去向只能是三矿区或六矿区",IF(AND($K299="对外销售",ROUND($Q299,0)=0),"※外销却没有售价，请填实际售价",IF(AND($K299="对外销售",$T299&lt;&gt;"",$T299&lt;0),"※这一笔外销是亏的，请核对售价",IF(IFERROR(VLOOKUP($D299,库存台账!$A$5:$Y$1204,24,0),0)&lt;-0.001,"※这个物料账面已经变成负数了，查一下是不是漏记入库","")))))))))))</f>
        <v/>
      </c>
    </row>
    <row r="300">
      <c r="A300" s="24">
        <f>IF($D300="","",COUNTA($D$4:$D300))</f>
        <v/>
      </c>
      <c r="B300" s="17" t="n"/>
      <c r="C300" s="30" t="n"/>
      <c r="D300" s="17" t="n"/>
      <c r="E300" s="24">
        <f>IF($D300="","",IFERROR(VLOOKUP($D300,物料档案!$A$4:$P$1203,3,0),"※编码不在物料档案里"))</f>
        <v/>
      </c>
      <c r="F300" s="24">
        <f>IF($D300="","",IFERROR(VLOOKUP($D300,物料档案!$A$4:$P$1203,4,0),"※编码不在物料档案里"))</f>
        <v/>
      </c>
      <c r="G300" s="24">
        <f>IF($D300="","",IFERROR(VLOOKUP($D300,物料档案!$A$4:$P$1203,5,0),"※编码不在物料档案里"))</f>
        <v/>
      </c>
      <c r="H300" s="24">
        <f>IF($D300="","",IFERROR(VLOOKUP($D300,物料档案!$A$4:$P$1203,2,0),"※编码不在物料档案里"))</f>
        <v/>
      </c>
      <c r="I300" s="24">
        <f>IF($D300="","",IFERROR(VLOOKUP($D300,物料档案!$A$4:$P$1203,6,0),"※编码不在物料档案里"))</f>
        <v/>
      </c>
      <c r="J300" s="23" t="n"/>
      <c r="K300" s="17" t="n"/>
      <c r="L300" s="17" t="n"/>
      <c r="M300" s="17" t="n"/>
      <c r="N300" s="17" t="n"/>
      <c r="O300" s="26">
        <f>IF($D300="","",IFERROR(VLOOKUP($D300,物料档案!$A$4:$P$1203,10,0),0))</f>
        <v/>
      </c>
      <c r="P300" s="32" t="n"/>
      <c r="Q300" s="26">
        <f>IF($D300="","",IF($K300&lt;&gt;"对外销售",0,ROUND(N($J300)*IF($P300="",N($O300),N($P300)),0)))</f>
        <v/>
      </c>
      <c r="R300" s="26">
        <f>IF($D300="","",IFERROR(VLOOKUP($D300,库存台账!$A$5:$Y$1204,11,0),0))</f>
        <v/>
      </c>
      <c r="S300" s="26">
        <f>IF($D300="","",ROUND(N($J300)*N($R300),0))</f>
        <v/>
      </c>
      <c r="T300" s="26">
        <f>IF($D300="","",IF($K300&lt;&gt;"对外销售","",ROUND($Q300-$S300,0)))</f>
        <v/>
      </c>
      <c r="U300" s="17" t="n"/>
      <c r="V300" s="17" t="n"/>
      <c r="W300" s="24">
        <f>IF($D300="","",IF($E300="※编码不在物料档案里","※物料编码不在档案里",IF(N($J300)&lt;=0,"※出库数量要大于 0",IF($K300="","※没填去向类型",IF($L300="","※没填去向矿区",IF(AND($C300&lt;&gt;"",$C300&lt;=结账锁),"※日期早于已结账截止日，不能再录",IF(AND($K300="自用消耗",COUNTIF({"一矿区";"二矿区"},$L300)=0),"※自用消耗的去向只能是一矿区或二矿区",IF(AND($K300="对外销售",COUNTIF({"三矿区";"六矿区"},$L300)=0),"※对外销售的去向只能是三矿区或六矿区",IF(AND($K300="对外销售",ROUND($Q300,0)=0),"※外销却没有售价，请填实际售价",IF(AND($K300="对外销售",$T300&lt;&gt;"",$T300&lt;0),"※这一笔外销是亏的，请核对售价",IF(IFERROR(VLOOKUP($D300,库存台账!$A$5:$Y$1204,24,0),0)&lt;-0.001,"※这个物料账面已经变成负数了，查一下是不是漏记入库","")))))))))))</f>
        <v/>
      </c>
    </row>
    <row r="301">
      <c r="A301" s="24">
        <f>IF($D301="","",COUNTA($D$4:$D301))</f>
        <v/>
      </c>
      <c r="B301" s="17" t="n"/>
      <c r="C301" s="30" t="n"/>
      <c r="D301" s="17" t="n"/>
      <c r="E301" s="24">
        <f>IF($D301="","",IFERROR(VLOOKUP($D301,物料档案!$A$4:$P$1203,3,0),"※编码不在物料档案里"))</f>
        <v/>
      </c>
      <c r="F301" s="24">
        <f>IF($D301="","",IFERROR(VLOOKUP($D301,物料档案!$A$4:$P$1203,4,0),"※编码不在物料档案里"))</f>
        <v/>
      </c>
      <c r="G301" s="24">
        <f>IF($D301="","",IFERROR(VLOOKUP($D301,物料档案!$A$4:$P$1203,5,0),"※编码不在物料档案里"))</f>
        <v/>
      </c>
      <c r="H301" s="24">
        <f>IF($D301="","",IFERROR(VLOOKUP($D301,物料档案!$A$4:$P$1203,2,0),"※编码不在物料档案里"))</f>
        <v/>
      </c>
      <c r="I301" s="24">
        <f>IF($D301="","",IFERROR(VLOOKUP($D301,物料档案!$A$4:$P$1203,6,0),"※编码不在物料档案里"))</f>
        <v/>
      </c>
      <c r="J301" s="23" t="n"/>
      <c r="K301" s="17" t="n"/>
      <c r="L301" s="17" t="n"/>
      <c r="M301" s="17" t="n"/>
      <c r="N301" s="17" t="n"/>
      <c r="O301" s="26">
        <f>IF($D301="","",IFERROR(VLOOKUP($D301,物料档案!$A$4:$P$1203,10,0),0))</f>
        <v/>
      </c>
      <c r="P301" s="32" t="n"/>
      <c r="Q301" s="26">
        <f>IF($D301="","",IF($K301&lt;&gt;"对外销售",0,ROUND(N($J301)*IF($P301="",N($O301),N($P301)),0)))</f>
        <v/>
      </c>
      <c r="R301" s="26">
        <f>IF($D301="","",IFERROR(VLOOKUP($D301,库存台账!$A$5:$Y$1204,11,0),0))</f>
        <v/>
      </c>
      <c r="S301" s="26">
        <f>IF($D301="","",ROUND(N($J301)*N($R301),0))</f>
        <v/>
      </c>
      <c r="T301" s="26">
        <f>IF($D301="","",IF($K301&lt;&gt;"对外销售","",ROUND($Q301-$S301,0)))</f>
        <v/>
      </c>
      <c r="U301" s="17" t="n"/>
      <c r="V301" s="17" t="n"/>
      <c r="W301" s="24">
        <f>IF($D301="","",IF($E301="※编码不在物料档案里","※物料编码不在档案里",IF(N($J301)&lt;=0,"※出库数量要大于 0",IF($K301="","※没填去向类型",IF($L301="","※没填去向矿区",IF(AND($C301&lt;&gt;"",$C301&lt;=结账锁),"※日期早于已结账截止日，不能再录",IF(AND($K301="自用消耗",COUNTIF({"一矿区";"二矿区"},$L301)=0),"※自用消耗的去向只能是一矿区或二矿区",IF(AND($K301="对外销售",COUNTIF({"三矿区";"六矿区"},$L301)=0),"※对外销售的去向只能是三矿区或六矿区",IF(AND($K301="对外销售",ROUND($Q301,0)=0),"※外销却没有售价，请填实际售价",IF(AND($K301="对外销售",$T301&lt;&gt;"",$T301&lt;0),"※这一笔外销是亏的，请核对售价",IF(IFERROR(VLOOKUP($D301,库存台账!$A$5:$Y$1204,24,0),0)&lt;-0.001,"※这个物料账面已经变成负数了，查一下是不是漏记入库","")))))))))))</f>
        <v/>
      </c>
    </row>
    <row r="302">
      <c r="A302" s="24">
        <f>IF($D302="","",COUNTA($D$4:$D302))</f>
        <v/>
      </c>
      <c r="B302" s="17" t="n"/>
      <c r="C302" s="30" t="n"/>
      <c r="D302" s="17" t="n"/>
      <c r="E302" s="24">
        <f>IF($D302="","",IFERROR(VLOOKUP($D302,物料档案!$A$4:$P$1203,3,0),"※编码不在物料档案里"))</f>
        <v/>
      </c>
      <c r="F302" s="24">
        <f>IF($D302="","",IFERROR(VLOOKUP($D302,物料档案!$A$4:$P$1203,4,0),"※编码不在物料档案里"))</f>
        <v/>
      </c>
      <c r="G302" s="24">
        <f>IF($D302="","",IFERROR(VLOOKUP($D302,物料档案!$A$4:$P$1203,5,0),"※编码不在物料档案里"))</f>
        <v/>
      </c>
      <c r="H302" s="24">
        <f>IF($D302="","",IFERROR(VLOOKUP($D302,物料档案!$A$4:$P$1203,2,0),"※编码不在物料档案里"))</f>
        <v/>
      </c>
      <c r="I302" s="24">
        <f>IF($D302="","",IFERROR(VLOOKUP($D302,物料档案!$A$4:$P$1203,6,0),"※编码不在物料档案里"))</f>
        <v/>
      </c>
      <c r="J302" s="23" t="n"/>
      <c r="K302" s="17" t="n"/>
      <c r="L302" s="17" t="n"/>
      <c r="M302" s="17" t="n"/>
      <c r="N302" s="17" t="n"/>
      <c r="O302" s="26">
        <f>IF($D302="","",IFERROR(VLOOKUP($D302,物料档案!$A$4:$P$1203,10,0),0))</f>
        <v/>
      </c>
      <c r="P302" s="32" t="n"/>
      <c r="Q302" s="26">
        <f>IF($D302="","",IF($K302&lt;&gt;"对外销售",0,ROUND(N($J302)*IF($P302="",N($O302),N($P302)),0)))</f>
        <v/>
      </c>
      <c r="R302" s="26">
        <f>IF($D302="","",IFERROR(VLOOKUP($D302,库存台账!$A$5:$Y$1204,11,0),0))</f>
        <v/>
      </c>
      <c r="S302" s="26">
        <f>IF($D302="","",ROUND(N($J302)*N($R302),0))</f>
        <v/>
      </c>
      <c r="T302" s="26">
        <f>IF($D302="","",IF($K302&lt;&gt;"对外销售","",ROUND($Q302-$S302,0)))</f>
        <v/>
      </c>
      <c r="U302" s="17" t="n"/>
      <c r="V302" s="17" t="n"/>
      <c r="W302" s="24">
        <f>IF($D302="","",IF($E302="※编码不在物料档案里","※物料编码不在档案里",IF(N($J302)&lt;=0,"※出库数量要大于 0",IF($K302="","※没填去向类型",IF($L302="","※没填去向矿区",IF(AND($C302&lt;&gt;"",$C302&lt;=结账锁),"※日期早于已结账截止日，不能再录",IF(AND($K302="自用消耗",COUNTIF({"一矿区";"二矿区"},$L302)=0),"※自用消耗的去向只能是一矿区或二矿区",IF(AND($K302="对外销售",COUNTIF({"三矿区";"六矿区"},$L302)=0),"※对外销售的去向只能是三矿区或六矿区",IF(AND($K302="对外销售",ROUND($Q302,0)=0),"※外销却没有售价，请填实际售价",IF(AND($K302="对外销售",$T302&lt;&gt;"",$T302&lt;0),"※这一笔外销是亏的，请核对售价",IF(IFERROR(VLOOKUP($D302,库存台账!$A$5:$Y$1204,24,0),0)&lt;-0.001,"※这个物料账面已经变成负数了，查一下是不是漏记入库","")))))))))))</f>
        <v/>
      </c>
    </row>
    <row r="303">
      <c r="A303" s="24">
        <f>IF($D303="","",COUNTA($D$4:$D303))</f>
        <v/>
      </c>
      <c r="B303" s="17" t="n"/>
      <c r="C303" s="30" t="n"/>
      <c r="D303" s="17" t="n"/>
      <c r="E303" s="24">
        <f>IF($D303="","",IFERROR(VLOOKUP($D303,物料档案!$A$4:$P$1203,3,0),"※编码不在物料档案里"))</f>
        <v/>
      </c>
      <c r="F303" s="24">
        <f>IF($D303="","",IFERROR(VLOOKUP($D303,物料档案!$A$4:$P$1203,4,0),"※编码不在物料档案里"))</f>
        <v/>
      </c>
      <c r="G303" s="24">
        <f>IF($D303="","",IFERROR(VLOOKUP($D303,物料档案!$A$4:$P$1203,5,0),"※编码不在物料档案里"))</f>
        <v/>
      </c>
      <c r="H303" s="24">
        <f>IF($D303="","",IFERROR(VLOOKUP($D303,物料档案!$A$4:$P$1203,2,0),"※编码不在物料档案里"))</f>
        <v/>
      </c>
      <c r="I303" s="24">
        <f>IF($D303="","",IFERROR(VLOOKUP($D303,物料档案!$A$4:$P$1203,6,0),"※编码不在物料档案里"))</f>
        <v/>
      </c>
      <c r="J303" s="23" t="n"/>
      <c r="K303" s="17" t="n"/>
      <c r="L303" s="17" t="n"/>
      <c r="M303" s="17" t="n"/>
      <c r="N303" s="17" t="n"/>
      <c r="O303" s="26">
        <f>IF($D303="","",IFERROR(VLOOKUP($D303,物料档案!$A$4:$P$1203,10,0),0))</f>
        <v/>
      </c>
      <c r="P303" s="32" t="n"/>
      <c r="Q303" s="26">
        <f>IF($D303="","",IF($K303&lt;&gt;"对外销售",0,ROUND(N($J303)*IF($P303="",N($O303),N($P303)),0)))</f>
        <v/>
      </c>
      <c r="R303" s="26">
        <f>IF($D303="","",IFERROR(VLOOKUP($D303,库存台账!$A$5:$Y$1204,11,0),0))</f>
        <v/>
      </c>
      <c r="S303" s="26">
        <f>IF($D303="","",ROUND(N($J303)*N($R303),0))</f>
        <v/>
      </c>
      <c r="T303" s="26">
        <f>IF($D303="","",IF($K303&lt;&gt;"对外销售","",ROUND($Q303-$S303,0)))</f>
        <v/>
      </c>
      <c r="U303" s="17" t="n"/>
      <c r="V303" s="17" t="n"/>
      <c r="W303" s="24">
        <f>IF($D303="","",IF($E303="※编码不在物料档案里","※物料编码不在档案里",IF(N($J303)&lt;=0,"※出库数量要大于 0",IF($K303="","※没填去向类型",IF($L303="","※没填去向矿区",IF(AND($C303&lt;&gt;"",$C303&lt;=结账锁),"※日期早于已结账截止日，不能再录",IF(AND($K303="自用消耗",COUNTIF({"一矿区";"二矿区"},$L303)=0),"※自用消耗的去向只能是一矿区或二矿区",IF(AND($K303="对外销售",COUNTIF({"三矿区";"六矿区"},$L303)=0),"※对外销售的去向只能是三矿区或六矿区",IF(AND($K303="对外销售",ROUND($Q303,0)=0),"※外销却没有售价，请填实际售价",IF(AND($K303="对外销售",$T303&lt;&gt;"",$T303&lt;0),"※这一笔外销是亏的，请核对售价",IF(IFERROR(VLOOKUP($D303,库存台账!$A$5:$Y$1204,24,0),0)&lt;-0.001,"※这个物料账面已经变成负数了，查一下是不是漏记入库","")))))))))))</f>
        <v/>
      </c>
    </row>
    <row r="304">
      <c r="A304" s="24">
        <f>IF($D304="","",COUNTA($D$4:$D304))</f>
        <v/>
      </c>
      <c r="B304" s="17" t="n"/>
      <c r="C304" s="30" t="n"/>
      <c r="D304" s="17" t="n"/>
      <c r="E304" s="24">
        <f>IF($D304="","",IFERROR(VLOOKUP($D304,物料档案!$A$4:$P$1203,3,0),"※编码不在物料档案里"))</f>
        <v/>
      </c>
      <c r="F304" s="24">
        <f>IF($D304="","",IFERROR(VLOOKUP($D304,物料档案!$A$4:$P$1203,4,0),"※编码不在物料档案里"))</f>
        <v/>
      </c>
      <c r="G304" s="24">
        <f>IF($D304="","",IFERROR(VLOOKUP($D304,物料档案!$A$4:$P$1203,5,0),"※编码不在物料档案里"))</f>
        <v/>
      </c>
      <c r="H304" s="24">
        <f>IF($D304="","",IFERROR(VLOOKUP($D304,物料档案!$A$4:$P$1203,2,0),"※编码不在物料档案里"))</f>
        <v/>
      </c>
      <c r="I304" s="24">
        <f>IF($D304="","",IFERROR(VLOOKUP($D304,物料档案!$A$4:$P$1203,6,0),"※编码不在物料档案里"))</f>
        <v/>
      </c>
      <c r="J304" s="23" t="n"/>
      <c r="K304" s="17" t="n"/>
      <c r="L304" s="17" t="n"/>
      <c r="M304" s="17" t="n"/>
      <c r="N304" s="17" t="n"/>
      <c r="O304" s="26">
        <f>IF($D304="","",IFERROR(VLOOKUP($D304,物料档案!$A$4:$P$1203,10,0),0))</f>
        <v/>
      </c>
      <c r="P304" s="32" t="n"/>
      <c r="Q304" s="26">
        <f>IF($D304="","",IF($K304&lt;&gt;"对外销售",0,ROUND(N($J304)*IF($P304="",N($O304),N($P304)),0)))</f>
        <v/>
      </c>
      <c r="R304" s="26">
        <f>IF($D304="","",IFERROR(VLOOKUP($D304,库存台账!$A$5:$Y$1204,11,0),0))</f>
        <v/>
      </c>
      <c r="S304" s="26">
        <f>IF($D304="","",ROUND(N($J304)*N($R304),0))</f>
        <v/>
      </c>
      <c r="T304" s="26">
        <f>IF($D304="","",IF($K304&lt;&gt;"对外销售","",ROUND($Q304-$S304,0)))</f>
        <v/>
      </c>
      <c r="U304" s="17" t="n"/>
      <c r="V304" s="17" t="n"/>
      <c r="W304" s="24">
        <f>IF($D304="","",IF($E304="※编码不在物料档案里","※物料编码不在档案里",IF(N($J304)&lt;=0,"※出库数量要大于 0",IF($K304="","※没填去向类型",IF($L304="","※没填去向矿区",IF(AND($C304&lt;&gt;"",$C304&lt;=结账锁),"※日期早于已结账截止日，不能再录",IF(AND($K304="自用消耗",COUNTIF({"一矿区";"二矿区"},$L304)=0),"※自用消耗的去向只能是一矿区或二矿区",IF(AND($K304="对外销售",COUNTIF({"三矿区";"六矿区"},$L304)=0),"※对外销售的去向只能是三矿区或六矿区",IF(AND($K304="对外销售",ROUND($Q304,0)=0),"※外销却没有售价，请填实际售价",IF(AND($K304="对外销售",$T304&lt;&gt;"",$T304&lt;0),"※这一笔外销是亏的，请核对售价",IF(IFERROR(VLOOKUP($D304,库存台账!$A$5:$Y$1204,24,0),0)&lt;-0.001,"※这个物料账面已经变成负数了，查一下是不是漏记入库","")))))))))))</f>
        <v/>
      </c>
    </row>
    <row r="305">
      <c r="A305" s="24">
        <f>IF($D305="","",COUNTA($D$4:$D305))</f>
        <v/>
      </c>
      <c r="B305" s="17" t="n"/>
      <c r="C305" s="30" t="n"/>
      <c r="D305" s="17" t="n"/>
      <c r="E305" s="24">
        <f>IF($D305="","",IFERROR(VLOOKUP($D305,物料档案!$A$4:$P$1203,3,0),"※编码不在物料档案里"))</f>
        <v/>
      </c>
      <c r="F305" s="24">
        <f>IF($D305="","",IFERROR(VLOOKUP($D305,物料档案!$A$4:$P$1203,4,0),"※编码不在物料档案里"))</f>
        <v/>
      </c>
      <c r="G305" s="24">
        <f>IF($D305="","",IFERROR(VLOOKUP($D305,物料档案!$A$4:$P$1203,5,0),"※编码不在物料档案里"))</f>
        <v/>
      </c>
      <c r="H305" s="24">
        <f>IF($D305="","",IFERROR(VLOOKUP($D305,物料档案!$A$4:$P$1203,2,0),"※编码不在物料档案里"))</f>
        <v/>
      </c>
      <c r="I305" s="24">
        <f>IF($D305="","",IFERROR(VLOOKUP($D305,物料档案!$A$4:$P$1203,6,0),"※编码不在物料档案里"))</f>
        <v/>
      </c>
      <c r="J305" s="23" t="n"/>
      <c r="K305" s="17" t="n"/>
      <c r="L305" s="17" t="n"/>
      <c r="M305" s="17" t="n"/>
      <c r="N305" s="17" t="n"/>
      <c r="O305" s="26">
        <f>IF($D305="","",IFERROR(VLOOKUP($D305,物料档案!$A$4:$P$1203,10,0),0))</f>
        <v/>
      </c>
      <c r="P305" s="32" t="n"/>
      <c r="Q305" s="26">
        <f>IF($D305="","",IF($K305&lt;&gt;"对外销售",0,ROUND(N($J305)*IF($P305="",N($O305),N($P305)),0)))</f>
        <v/>
      </c>
      <c r="R305" s="26">
        <f>IF($D305="","",IFERROR(VLOOKUP($D305,库存台账!$A$5:$Y$1204,11,0),0))</f>
        <v/>
      </c>
      <c r="S305" s="26">
        <f>IF($D305="","",ROUND(N($J305)*N($R305),0))</f>
        <v/>
      </c>
      <c r="T305" s="26">
        <f>IF($D305="","",IF($K305&lt;&gt;"对外销售","",ROUND($Q305-$S305,0)))</f>
        <v/>
      </c>
      <c r="U305" s="17" t="n"/>
      <c r="V305" s="17" t="n"/>
      <c r="W305" s="24">
        <f>IF($D305="","",IF($E305="※编码不在物料档案里","※物料编码不在档案里",IF(N($J305)&lt;=0,"※出库数量要大于 0",IF($K305="","※没填去向类型",IF($L305="","※没填去向矿区",IF(AND($C305&lt;&gt;"",$C305&lt;=结账锁),"※日期早于已结账截止日，不能再录",IF(AND($K305="自用消耗",COUNTIF({"一矿区";"二矿区"},$L305)=0),"※自用消耗的去向只能是一矿区或二矿区",IF(AND($K305="对外销售",COUNTIF({"三矿区";"六矿区"},$L305)=0),"※对外销售的去向只能是三矿区或六矿区",IF(AND($K305="对外销售",ROUND($Q305,0)=0),"※外销却没有售价，请填实际售价",IF(AND($K305="对外销售",$T305&lt;&gt;"",$T305&lt;0),"※这一笔外销是亏的，请核对售价",IF(IFERROR(VLOOKUP($D305,库存台账!$A$5:$Y$1204,24,0),0)&lt;-0.001,"※这个物料账面已经变成负数了，查一下是不是漏记入库","")))))))))))</f>
        <v/>
      </c>
    </row>
    <row r="306">
      <c r="A306" s="24">
        <f>IF($D306="","",COUNTA($D$4:$D306))</f>
        <v/>
      </c>
      <c r="B306" s="17" t="n"/>
      <c r="C306" s="30" t="n"/>
      <c r="D306" s="17" t="n"/>
      <c r="E306" s="24">
        <f>IF($D306="","",IFERROR(VLOOKUP($D306,物料档案!$A$4:$P$1203,3,0),"※编码不在物料档案里"))</f>
        <v/>
      </c>
      <c r="F306" s="24">
        <f>IF($D306="","",IFERROR(VLOOKUP($D306,物料档案!$A$4:$P$1203,4,0),"※编码不在物料档案里"))</f>
        <v/>
      </c>
      <c r="G306" s="24">
        <f>IF($D306="","",IFERROR(VLOOKUP($D306,物料档案!$A$4:$P$1203,5,0),"※编码不在物料档案里"))</f>
        <v/>
      </c>
      <c r="H306" s="24">
        <f>IF($D306="","",IFERROR(VLOOKUP($D306,物料档案!$A$4:$P$1203,2,0),"※编码不在物料档案里"))</f>
        <v/>
      </c>
      <c r="I306" s="24">
        <f>IF($D306="","",IFERROR(VLOOKUP($D306,物料档案!$A$4:$P$1203,6,0),"※编码不在物料档案里"))</f>
        <v/>
      </c>
      <c r="J306" s="23" t="n"/>
      <c r="K306" s="17" t="n"/>
      <c r="L306" s="17" t="n"/>
      <c r="M306" s="17" t="n"/>
      <c r="N306" s="17" t="n"/>
      <c r="O306" s="26">
        <f>IF($D306="","",IFERROR(VLOOKUP($D306,物料档案!$A$4:$P$1203,10,0),0))</f>
        <v/>
      </c>
      <c r="P306" s="32" t="n"/>
      <c r="Q306" s="26">
        <f>IF($D306="","",IF($K306&lt;&gt;"对外销售",0,ROUND(N($J306)*IF($P306="",N($O306),N($P306)),0)))</f>
        <v/>
      </c>
      <c r="R306" s="26">
        <f>IF($D306="","",IFERROR(VLOOKUP($D306,库存台账!$A$5:$Y$1204,11,0),0))</f>
        <v/>
      </c>
      <c r="S306" s="26">
        <f>IF($D306="","",ROUND(N($J306)*N($R306),0))</f>
        <v/>
      </c>
      <c r="T306" s="26">
        <f>IF($D306="","",IF($K306&lt;&gt;"对外销售","",ROUND($Q306-$S306,0)))</f>
        <v/>
      </c>
      <c r="U306" s="17" t="n"/>
      <c r="V306" s="17" t="n"/>
      <c r="W306" s="24">
        <f>IF($D306="","",IF($E306="※编码不在物料档案里","※物料编码不在档案里",IF(N($J306)&lt;=0,"※出库数量要大于 0",IF($K306="","※没填去向类型",IF($L306="","※没填去向矿区",IF(AND($C306&lt;&gt;"",$C306&lt;=结账锁),"※日期早于已结账截止日，不能再录",IF(AND($K306="自用消耗",COUNTIF({"一矿区";"二矿区"},$L306)=0),"※自用消耗的去向只能是一矿区或二矿区",IF(AND($K306="对外销售",COUNTIF({"三矿区";"六矿区"},$L306)=0),"※对外销售的去向只能是三矿区或六矿区",IF(AND($K306="对外销售",ROUND($Q306,0)=0),"※外销却没有售价，请填实际售价",IF(AND($K306="对外销售",$T306&lt;&gt;"",$T306&lt;0),"※这一笔外销是亏的，请核对售价",IF(IFERROR(VLOOKUP($D306,库存台账!$A$5:$Y$1204,24,0),0)&lt;-0.001,"※这个物料账面已经变成负数了，查一下是不是漏记入库","")))))))))))</f>
        <v/>
      </c>
    </row>
    <row r="307">
      <c r="A307" s="24">
        <f>IF($D307="","",COUNTA($D$4:$D307))</f>
        <v/>
      </c>
      <c r="B307" s="17" t="n"/>
      <c r="C307" s="30" t="n"/>
      <c r="D307" s="17" t="n"/>
      <c r="E307" s="24">
        <f>IF($D307="","",IFERROR(VLOOKUP($D307,物料档案!$A$4:$P$1203,3,0),"※编码不在物料档案里"))</f>
        <v/>
      </c>
      <c r="F307" s="24">
        <f>IF($D307="","",IFERROR(VLOOKUP($D307,物料档案!$A$4:$P$1203,4,0),"※编码不在物料档案里"))</f>
        <v/>
      </c>
      <c r="G307" s="24">
        <f>IF($D307="","",IFERROR(VLOOKUP($D307,物料档案!$A$4:$P$1203,5,0),"※编码不在物料档案里"))</f>
        <v/>
      </c>
      <c r="H307" s="24">
        <f>IF($D307="","",IFERROR(VLOOKUP($D307,物料档案!$A$4:$P$1203,2,0),"※编码不在物料档案里"))</f>
        <v/>
      </c>
      <c r="I307" s="24">
        <f>IF($D307="","",IFERROR(VLOOKUP($D307,物料档案!$A$4:$P$1203,6,0),"※编码不在物料档案里"))</f>
        <v/>
      </c>
      <c r="J307" s="23" t="n"/>
      <c r="K307" s="17" t="n"/>
      <c r="L307" s="17" t="n"/>
      <c r="M307" s="17" t="n"/>
      <c r="N307" s="17" t="n"/>
      <c r="O307" s="26">
        <f>IF($D307="","",IFERROR(VLOOKUP($D307,物料档案!$A$4:$P$1203,10,0),0))</f>
        <v/>
      </c>
      <c r="P307" s="32" t="n"/>
      <c r="Q307" s="26">
        <f>IF($D307="","",IF($K307&lt;&gt;"对外销售",0,ROUND(N($J307)*IF($P307="",N($O307),N($P307)),0)))</f>
        <v/>
      </c>
      <c r="R307" s="26">
        <f>IF($D307="","",IFERROR(VLOOKUP($D307,库存台账!$A$5:$Y$1204,11,0),0))</f>
        <v/>
      </c>
      <c r="S307" s="26">
        <f>IF($D307="","",ROUND(N($J307)*N($R307),0))</f>
        <v/>
      </c>
      <c r="T307" s="26">
        <f>IF($D307="","",IF($K307&lt;&gt;"对外销售","",ROUND($Q307-$S307,0)))</f>
        <v/>
      </c>
      <c r="U307" s="17" t="n"/>
      <c r="V307" s="17" t="n"/>
      <c r="W307" s="24">
        <f>IF($D307="","",IF($E307="※编码不在物料档案里","※物料编码不在档案里",IF(N($J307)&lt;=0,"※出库数量要大于 0",IF($K307="","※没填去向类型",IF($L307="","※没填去向矿区",IF(AND($C307&lt;&gt;"",$C307&lt;=结账锁),"※日期早于已结账截止日，不能再录",IF(AND($K307="自用消耗",COUNTIF({"一矿区";"二矿区"},$L307)=0),"※自用消耗的去向只能是一矿区或二矿区",IF(AND($K307="对外销售",COUNTIF({"三矿区";"六矿区"},$L307)=0),"※对外销售的去向只能是三矿区或六矿区",IF(AND($K307="对外销售",ROUND($Q307,0)=0),"※外销却没有售价，请填实际售价",IF(AND($K307="对外销售",$T307&lt;&gt;"",$T307&lt;0),"※这一笔外销是亏的，请核对售价",IF(IFERROR(VLOOKUP($D307,库存台账!$A$5:$Y$1204,24,0),0)&lt;-0.001,"※这个物料账面已经变成负数了，查一下是不是漏记入库","")))))))))))</f>
        <v/>
      </c>
    </row>
    <row r="308">
      <c r="A308" s="24">
        <f>IF($D308="","",COUNTA($D$4:$D308))</f>
        <v/>
      </c>
      <c r="B308" s="17" t="n"/>
      <c r="C308" s="30" t="n"/>
      <c r="D308" s="17" t="n"/>
      <c r="E308" s="24">
        <f>IF($D308="","",IFERROR(VLOOKUP($D308,物料档案!$A$4:$P$1203,3,0),"※编码不在物料档案里"))</f>
        <v/>
      </c>
      <c r="F308" s="24">
        <f>IF($D308="","",IFERROR(VLOOKUP($D308,物料档案!$A$4:$P$1203,4,0),"※编码不在物料档案里"))</f>
        <v/>
      </c>
      <c r="G308" s="24">
        <f>IF($D308="","",IFERROR(VLOOKUP($D308,物料档案!$A$4:$P$1203,5,0),"※编码不在物料档案里"))</f>
        <v/>
      </c>
      <c r="H308" s="24">
        <f>IF($D308="","",IFERROR(VLOOKUP($D308,物料档案!$A$4:$P$1203,2,0),"※编码不在物料档案里"))</f>
        <v/>
      </c>
      <c r="I308" s="24">
        <f>IF($D308="","",IFERROR(VLOOKUP($D308,物料档案!$A$4:$P$1203,6,0),"※编码不在物料档案里"))</f>
        <v/>
      </c>
      <c r="J308" s="23" t="n"/>
      <c r="K308" s="17" t="n"/>
      <c r="L308" s="17" t="n"/>
      <c r="M308" s="17" t="n"/>
      <c r="N308" s="17" t="n"/>
      <c r="O308" s="26">
        <f>IF($D308="","",IFERROR(VLOOKUP($D308,物料档案!$A$4:$P$1203,10,0),0))</f>
        <v/>
      </c>
      <c r="P308" s="32" t="n"/>
      <c r="Q308" s="26">
        <f>IF($D308="","",IF($K308&lt;&gt;"对外销售",0,ROUND(N($J308)*IF($P308="",N($O308),N($P308)),0)))</f>
        <v/>
      </c>
      <c r="R308" s="26">
        <f>IF($D308="","",IFERROR(VLOOKUP($D308,库存台账!$A$5:$Y$1204,11,0),0))</f>
        <v/>
      </c>
      <c r="S308" s="26">
        <f>IF($D308="","",ROUND(N($J308)*N($R308),0))</f>
        <v/>
      </c>
      <c r="T308" s="26">
        <f>IF($D308="","",IF($K308&lt;&gt;"对外销售","",ROUND($Q308-$S308,0)))</f>
        <v/>
      </c>
      <c r="U308" s="17" t="n"/>
      <c r="V308" s="17" t="n"/>
      <c r="W308" s="24">
        <f>IF($D308="","",IF($E308="※编码不在物料档案里","※物料编码不在档案里",IF(N($J308)&lt;=0,"※出库数量要大于 0",IF($K308="","※没填去向类型",IF($L308="","※没填去向矿区",IF(AND($C308&lt;&gt;"",$C308&lt;=结账锁),"※日期早于已结账截止日，不能再录",IF(AND($K308="自用消耗",COUNTIF({"一矿区";"二矿区"},$L308)=0),"※自用消耗的去向只能是一矿区或二矿区",IF(AND($K308="对外销售",COUNTIF({"三矿区";"六矿区"},$L308)=0),"※对外销售的去向只能是三矿区或六矿区",IF(AND($K308="对外销售",ROUND($Q308,0)=0),"※外销却没有售价，请填实际售价",IF(AND($K308="对外销售",$T308&lt;&gt;"",$T308&lt;0),"※这一笔外销是亏的，请核对售价",IF(IFERROR(VLOOKUP($D308,库存台账!$A$5:$Y$1204,24,0),0)&lt;-0.001,"※这个物料账面已经变成负数了，查一下是不是漏记入库","")))))))))))</f>
        <v/>
      </c>
    </row>
    <row r="309">
      <c r="A309" s="24">
        <f>IF($D309="","",COUNTA($D$4:$D309))</f>
        <v/>
      </c>
      <c r="B309" s="17" t="n"/>
      <c r="C309" s="30" t="n"/>
      <c r="D309" s="17" t="n"/>
      <c r="E309" s="24">
        <f>IF($D309="","",IFERROR(VLOOKUP($D309,物料档案!$A$4:$P$1203,3,0),"※编码不在物料档案里"))</f>
        <v/>
      </c>
      <c r="F309" s="24">
        <f>IF($D309="","",IFERROR(VLOOKUP($D309,物料档案!$A$4:$P$1203,4,0),"※编码不在物料档案里"))</f>
        <v/>
      </c>
      <c r="G309" s="24">
        <f>IF($D309="","",IFERROR(VLOOKUP($D309,物料档案!$A$4:$P$1203,5,0),"※编码不在物料档案里"))</f>
        <v/>
      </c>
      <c r="H309" s="24">
        <f>IF($D309="","",IFERROR(VLOOKUP($D309,物料档案!$A$4:$P$1203,2,0),"※编码不在物料档案里"))</f>
        <v/>
      </c>
      <c r="I309" s="24">
        <f>IF($D309="","",IFERROR(VLOOKUP($D309,物料档案!$A$4:$P$1203,6,0),"※编码不在物料档案里"))</f>
        <v/>
      </c>
      <c r="J309" s="23" t="n"/>
      <c r="K309" s="17" t="n"/>
      <c r="L309" s="17" t="n"/>
      <c r="M309" s="17" t="n"/>
      <c r="N309" s="17" t="n"/>
      <c r="O309" s="26">
        <f>IF($D309="","",IFERROR(VLOOKUP($D309,物料档案!$A$4:$P$1203,10,0),0))</f>
        <v/>
      </c>
      <c r="P309" s="32" t="n"/>
      <c r="Q309" s="26">
        <f>IF($D309="","",IF($K309&lt;&gt;"对外销售",0,ROUND(N($J309)*IF($P309="",N($O309),N($P309)),0)))</f>
        <v/>
      </c>
      <c r="R309" s="26">
        <f>IF($D309="","",IFERROR(VLOOKUP($D309,库存台账!$A$5:$Y$1204,11,0),0))</f>
        <v/>
      </c>
      <c r="S309" s="26">
        <f>IF($D309="","",ROUND(N($J309)*N($R309),0))</f>
        <v/>
      </c>
      <c r="T309" s="26">
        <f>IF($D309="","",IF($K309&lt;&gt;"对外销售","",ROUND($Q309-$S309,0)))</f>
        <v/>
      </c>
      <c r="U309" s="17" t="n"/>
      <c r="V309" s="17" t="n"/>
      <c r="W309" s="24">
        <f>IF($D309="","",IF($E309="※编码不在物料档案里","※物料编码不在档案里",IF(N($J309)&lt;=0,"※出库数量要大于 0",IF($K309="","※没填去向类型",IF($L309="","※没填去向矿区",IF(AND($C309&lt;&gt;"",$C309&lt;=结账锁),"※日期早于已结账截止日，不能再录",IF(AND($K309="自用消耗",COUNTIF({"一矿区";"二矿区"},$L309)=0),"※自用消耗的去向只能是一矿区或二矿区",IF(AND($K309="对外销售",COUNTIF({"三矿区";"六矿区"},$L309)=0),"※对外销售的去向只能是三矿区或六矿区",IF(AND($K309="对外销售",ROUND($Q309,0)=0),"※外销却没有售价，请填实际售价",IF(AND($K309="对外销售",$T309&lt;&gt;"",$T309&lt;0),"※这一笔外销是亏的，请核对售价",IF(IFERROR(VLOOKUP($D309,库存台账!$A$5:$Y$1204,24,0),0)&lt;-0.001,"※这个物料账面已经变成负数了，查一下是不是漏记入库","")))))))))))</f>
        <v/>
      </c>
    </row>
    <row r="310">
      <c r="A310" s="24">
        <f>IF($D310="","",COUNTA($D$4:$D310))</f>
        <v/>
      </c>
      <c r="B310" s="17" t="n"/>
      <c r="C310" s="30" t="n"/>
      <c r="D310" s="17" t="n"/>
      <c r="E310" s="24">
        <f>IF($D310="","",IFERROR(VLOOKUP($D310,物料档案!$A$4:$P$1203,3,0),"※编码不在物料档案里"))</f>
        <v/>
      </c>
      <c r="F310" s="24">
        <f>IF($D310="","",IFERROR(VLOOKUP($D310,物料档案!$A$4:$P$1203,4,0),"※编码不在物料档案里"))</f>
        <v/>
      </c>
      <c r="G310" s="24">
        <f>IF($D310="","",IFERROR(VLOOKUP($D310,物料档案!$A$4:$P$1203,5,0),"※编码不在物料档案里"))</f>
        <v/>
      </c>
      <c r="H310" s="24">
        <f>IF($D310="","",IFERROR(VLOOKUP($D310,物料档案!$A$4:$P$1203,2,0),"※编码不在物料档案里"))</f>
        <v/>
      </c>
      <c r="I310" s="24">
        <f>IF($D310="","",IFERROR(VLOOKUP($D310,物料档案!$A$4:$P$1203,6,0),"※编码不在物料档案里"))</f>
        <v/>
      </c>
      <c r="J310" s="23" t="n"/>
      <c r="K310" s="17" t="n"/>
      <c r="L310" s="17" t="n"/>
      <c r="M310" s="17" t="n"/>
      <c r="N310" s="17" t="n"/>
      <c r="O310" s="26">
        <f>IF($D310="","",IFERROR(VLOOKUP($D310,物料档案!$A$4:$P$1203,10,0),0))</f>
        <v/>
      </c>
      <c r="P310" s="32" t="n"/>
      <c r="Q310" s="26">
        <f>IF($D310="","",IF($K310&lt;&gt;"对外销售",0,ROUND(N($J310)*IF($P310="",N($O310),N($P310)),0)))</f>
        <v/>
      </c>
      <c r="R310" s="26">
        <f>IF($D310="","",IFERROR(VLOOKUP($D310,库存台账!$A$5:$Y$1204,11,0),0))</f>
        <v/>
      </c>
      <c r="S310" s="26">
        <f>IF($D310="","",ROUND(N($J310)*N($R310),0))</f>
        <v/>
      </c>
      <c r="T310" s="26">
        <f>IF($D310="","",IF($K310&lt;&gt;"对外销售","",ROUND($Q310-$S310,0)))</f>
        <v/>
      </c>
      <c r="U310" s="17" t="n"/>
      <c r="V310" s="17" t="n"/>
      <c r="W310" s="24">
        <f>IF($D310="","",IF($E310="※编码不在物料档案里","※物料编码不在档案里",IF(N($J310)&lt;=0,"※出库数量要大于 0",IF($K310="","※没填去向类型",IF($L310="","※没填去向矿区",IF(AND($C310&lt;&gt;"",$C310&lt;=结账锁),"※日期早于已结账截止日，不能再录",IF(AND($K310="自用消耗",COUNTIF({"一矿区";"二矿区"},$L310)=0),"※自用消耗的去向只能是一矿区或二矿区",IF(AND($K310="对外销售",COUNTIF({"三矿区";"六矿区"},$L310)=0),"※对外销售的去向只能是三矿区或六矿区",IF(AND($K310="对外销售",ROUND($Q310,0)=0),"※外销却没有售价，请填实际售价",IF(AND($K310="对外销售",$T310&lt;&gt;"",$T310&lt;0),"※这一笔外销是亏的，请核对售价",IF(IFERROR(VLOOKUP($D310,库存台账!$A$5:$Y$1204,24,0),0)&lt;-0.001,"※这个物料账面已经变成负数了，查一下是不是漏记入库","")))))))))))</f>
        <v/>
      </c>
    </row>
    <row r="311">
      <c r="A311" s="24">
        <f>IF($D311="","",COUNTA($D$4:$D311))</f>
        <v/>
      </c>
      <c r="B311" s="17" t="n"/>
      <c r="C311" s="30" t="n"/>
      <c r="D311" s="17" t="n"/>
      <c r="E311" s="24">
        <f>IF($D311="","",IFERROR(VLOOKUP($D311,物料档案!$A$4:$P$1203,3,0),"※编码不在物料档案里"))</f>
        <v/>
      </c>
      <c r="F311" s="24">
        <f>IF($D311="","",IFERROR(VLOOKUP($D311,物料档案!$A$4:$P$1203,4,0),"※编码不在物料档案里"))</f>
        <v/>
      </c>
      <c r="G311" s="24">
        <f>IF($D311="","",IFERROR(VLOOKUP($D311,物料档案!$A$4:$P$1203,5,0),"※编码不在物料档案里"))</f>
        <v/>
      </c>
      <c r="H311" s="24">
        <f>IF($D311="","",IFERROR(VLOOKUP($D311,物料档案!$A$4:$P$1203,2,0),"※编码不在物料档案里"))</f>
        <v/>
      </c>
      <c r="I311" s="24">
        <f>IF($D311="","",IFERROR(VLOOKUP($D311,物料档案!$A$4:$P$1203,6,0),"※编码不在物料档案里"))</f>
        <v/>
      </c>
      <c r="J311" s="23" t="n"/>
      <c r="K311" s="17" t="n"/>
      <c r="L311" s="17" t="n"/>
      <c r="M311" s="17" t="n"/>
      <c r="N311" s="17" t="n"/>
      <c r="O311" s="26">
        <f>IF($D311="","",IFERROR(VLOOKUP($D311,物料档案!$A$4:$P$1203,10,0),0))</f>
        <v/>
      </c>
      <c r="P311" s="32" t="n"/>
      <c r="Q311" s="26">
        <f>IF($D311="","",IF($K311&lt;&gt;"对外销售",0,ROUND(N($J311)*IF($P311="",N($O311),N($P311)),0)))</f>
        <v/>
      </c>
      <c r="R311" s="26">
        <f>IF($D311="","",IFERROR(VLOOKUP($D311,库存台账!$A$5:$Y$1204,11,0),0))</f>
        <v/>
      </c>
      <c r="S311" s="26">
        <f>IF($D311="","",ROUND(N($J311)*N($R311),0))</f>
        <v/>
      </c>
      <c r="T311" s="26">
        <f>IF($D311="","",IF($K311&lt;&gt;"对外销售","",ROUND($Q311-$S311,0)))</f>
        <v/>
      </c>
      <c r="U311" s="17" t="n"/>
      <c r="V311" s="17" t="n"/>
      <c r="W311" s="24">
        <f>IF($D311="","",IF($E311="※编码不在物料档案里","※物料编码不在档案里",IF(N($J311)&lt;=0,"※出库数量要大于 0",IF($K311="","※没填去向类型",IF($L311="","※没填去向矿区",IF(AND($C311&lt;&gt;"",$C311&lt;=结账锁),"※日期早于已结账截止日，不能再录",IF(AND($K311="自用消耗",COUNTIF({"一矿区";"二矿区"},$L311)=0),"※自用消耗的去向只能是一矿区或二矿区",IF(AND($K311="对外销售",COUNTIF({"三矿区";"六矿区"},$L311)=0),"※对外销售的去向只能是三矿区或六矿区",IF(AND($K311="对外销售",ROUND($Q311,0)=0),"※外销却没有售价，请填实际售价",IF(AND($K311="对外销售",$T311&lt;&gt;"",$T311&lt;0),"※这一笔外销是亏的，请核对售价",IF(IFERROR(VLOOKUP($D311,库存台账!$A$5:$Y$1204,24,0),0)&lt;-0.001,"※这个物料账面已经变成负数了，查一下是不是漏记入库","")))))))))))</f>
        <v/>
      </c>
    </row>
    <row r="312">
      <c r="A312" s="24">
        <f>IF($D312="","",COUNTA($D$4:$D312))</f>
        <v/>
      </c>
      <c r="B312" s="17" t="n"/>
      <c r="C312" s="30" t="n"/>
      <c r="D312" s="17" t="n"/>
      <c r="E312" s="24">
        <f>IF($D312="","",IFERROR(VLOOKUP($D312,物料档案!$A$4:$P$1203,3,0),"※编码不在物料档案里"))</f>
        <v/>
      </c>
      <c r="F312" s="24">
        <f>IF($D312="","",IFERROR(VLOOKUP($D312,物料档案!$A$4:$P$1203,4,0),"※编码不在物料档案里"))</f>
        <v/>
      </c>
      <c r="G312" s="24">
        <f>IF($D312="","",IFERROR(VLOOKUP($D312,物料档案!$A$4:$P$1203,5,0),"※编码不在物料档案里"))</f>
        <v/>
      </c>
      <c r="H312" s="24">
        <f>IF($D312="","",IFERROR(VLOOKUP($D312,物料档案!$A$4:$P$1203,2,0),"※编码不在物料档案里"))</f>
        <v/>
      </c>
      <c r="I312" s="24">
        <f>IF($D312="","",IFERROR(VLOOKUP($D312,物料档案!$A$4:$P$1203,6,0),"※编码不在物料档案里"))</f>
        <v/>
      </c>
      <c r="J312" s="23" t="n"/>
      <c r="K312" s="17" t="n"/>
      <c r="L312" s="17" t="n"/>
      <c r="M312" s="17" t="n"/>
      <c r="N312" s="17" t="n"/>
      <c r="O312" s="26">
        <f>IF($D312="","",IFERROR(VLOOKUP($D312,物料档案!$A$4:$P$1203,10,0),0))</f>
        <v/>
      </c>
      <c r="P312" s="32" t="n"/>
      <c r="Q312" s="26">
        <f>IF($D312="","",IF($K312&lt;&gt;"对外销售",0,ROUND(N($J312)*IF($P312="",N($O312),N($P312)),0)))</f>
        <v/>
      </c>
      <c r="R312" s="26">
        <f>IF($D312="","",IFERROR(VLOOKUP($D312,库存台账!$A$5:$Y$1204,11,0),0))</f>
        <v/>
      </c>
      <c r="S312" s="26">
        <f>IF($D312="","",ROUND(N($J312)*N($R312),0))</f>
        <v/>
      </c>
      <c r="T312" s="26">
        <f>IF($D312="","",IF($K312&lt;&gt;"对外销售","",ROUND($Q312-$S312,0)))</f>
        <v/>
      </c>
      <c r="U312" s="17" t="n"/>
      <c r="V312" s="17" t="n"/>
      <c r="W312" s="24">
        <f>IF($D312="","",IF($E312="※编码不在物料档案里","※物料编码不在档案里",IF(N($J312)&lt;=0,"※出库数量要大于 0",IF($K312="","※没填去向类型",IF($L312="","※没填去向矿区",IF(AND($C312&lt;&gt;"",$C312&lt;=结账锁),"※日期早于已结账截止日，不能再录",IF(AND($K312="自用消耗",COUNTIF({"一矿区";"二矿区"},$L312)=0),"※自用消耗的去向只能是一矿区或二矿区",IF(AND($K312="对外销售",COUNTIF({"三矿区";"六矿区"},$L312)=0),"※对外销售的去向只能是三矿区或六矿区",IF(AND($K312="对外销售",ROUND($Q312,0)=0),"※外销却没有售价，请填实际售价",IF(AND($K312="对外销售",$T312&lt;&gt;"",$T312&lt;0),"※这一笔外销是亏的，请核对售价",IF(IFERROR(VLOOKUP($D312,库存台账!$A$5:$Y$1204,24,0),0)&lt;-0.001,"※这个物料账面已经变成负数了，查一下是不是漏记入库","")))))))))))</f>
        <v/>
      </c>
    </row>
    <row r="313">
      <c r="A313" s="24">
        <f>IF($D313="","",COUNTA($D$4:$D313))</f>
        <v/>
      </c>
      <c r="B313" s="17" t="n"/>
      <c r="C313" s="30" t="n"/>
      <c r="D313" s="17" t="n"/>
      <c r="E313" s="24">
        <f>IF($D313="","",IFERROR(VLOOKUP($D313,物料档案!$A$4:$P$1203,3,0),"※编码不在物料档案里"))</f>
        <v/>
      </c>
      <c r="F313" s="24">
        <f>IF($D313="","",IFERROR(VLOOKUP($D313,物料档案!$A$4:$P$1203,4,0),"※编码不在物料档案里"))</f>
        <v/>
      </c>
      <c r="G313" s="24">
        <f>IF($D313="","",IFERROR(VLOOKUP($D313,物料档案!$A$4:$P$1203,5,0),"※编码不在物料档案里"))</f>
        <v/>
      </c>
      <c r="H313" s="24">
        <f>IF($D313="","",IFERROR(VLOOKUP($D313,物料档案!$A$4:$P$1203,2,0),"※编码不在物料档案里"))</f>
        <v/>
      </c>
      <c r="I313" s="24">
        <f>IF($D313="","",IFERROR(VLOOKUP($D313,物料档案!$A$4:$P$1203,6,0),"※编码不在物料档案里"))</f>
        <v/>
      </c>
      <c r="J313" s="23" t="n"/>
      <c r="K313" s="17" t="n"/>
      <c r="L313" s="17" t="n"/>
      <c r="M313" s="17" t="n"/>
      <c r="N313" s="17" t="n"/>
      <c r="O313" s="26">
        <f>IF($D313="","",IFERROR(VLOOKUP($D313,物料档案!$A$4:$P$1203,10,0),0))</f>
        <v/>
      </c>
      <c r="P313" s="32" t="n"/>
      <c r="Q313" s="26">
        <f>IF($D313="","",IF($K313&lt;&gt;"对外销售",0,ROUND(N($J313)*IF($P313="",N($O313),N($P313)),0)))</f>
        <v/>
      </c>
      <c r="R313" s="26">
        <f>IF($D313="","",IFERROR(VLOOKUP($D313,库存台账!$A$5:$Y$1204,11,0),0))</f>
        <v/>
      </c>
      <c r="S313" s="26">
        <f>IF($D313="","",ROUND(N($J313)*N($R313),0))</f>
        <v/>
      </c>
      <c r="T313" s="26">
        <f>IF($D313="","",IF($K313&lt;&gt;"对外销售","",ROUND($Q313-$S313,0)))</f>
        <v/>
      </c>
      <c r="U313" s="17" t="n"/>
      <c r="V313" s="17" t="n"/>
      <c r="W313" s="24">
        <f>IF($D313="","",IF($E313="※编码不在物料档案里","※物料编码不在档案里",IF(N($J313)&lt;=0,"※出库数量要大于 0",IF($K313="","※没填去向类型",IF($L313="","※没填去向矿区",IF(AND($C313&lt;&gt;"",$C313&lt;=结账锁),"※日期早于已结账截止日，不能再录",IF(AND($K313="自用消耗",COUNTIF({"一矿区";"二矿区"},$L313)=0),"※自用消耗的去向只能是一矿区或二矿区",IF(AND($K313="对外销售",COUNTIF({"三矿区";"六矿区"},$L313)=0),"※对外销售的去向只能是三矿区或六矿区",IF(AND($K313="对外销售",ROUND($Q313,0)=0),"※外销却没有售价，请填实际售价",IF(AND($K313="对外销售",$T313&lt;&gt;"",$T313&lt;0),"※这一笔外销是亏的，请核对售价",IF(IFERROR(VLOOKUP($D313,库存台账!$A$5:$Y$1204,24,0),0)&lt;-0.001,"※这个物料账面已经变成负数了，查一下是不是漏记入库","")))))))))))</f>
        <v/>
      </c>
    </row>
    <row r="314">
      <c r="A314" s="24">
        <f>IF($D314="","",COUNTA($D$4:$D314))</f>
        <v/>
      </c>
      <c r="B314" s="17" t="n"/>
      <c r="C314" s="30" t="n"/>
      <c r="D314" s="17" t="n"/>
      <c r="E314" s="24">
        <f>IF($D314="","",IFERROR(VLOOKUP($D314,物料档案!$A$4:$P$1203,3,0),"※编码不在物料档案里"))</f>
        <v/>
      </c>
      <c r="F314" s="24">
        <f>IF($D314="","",IFERROR(VLOOKUP($D314,物料档案!$A$4:$P$1203,4,0),"※编码不在物料档案里"))</f>
        <v/>
      </c>
      <c r="G314" s="24">
        <f>IF($D314="","",IFERROR(VLOOKUP($D314,物料档案!$A$4:$P$1203,5,0),"※编码不在物料档案里"))</f>
        <v/>
      </c>
      <c r="H314" s="24">
        <f>IF($D314="","",IFERROR(VLOOKUP($D314,物料档案!$A$4:$P$1203,2,0),"※编码不在物料档案里"))</f>
        <v/>
      </c>
      <c r="I314" s="24">
        <f>IF($D314="","",IFERROR(VLOOKUP($D314,物料档案!$A$4:$P$1203,6,0),"※编码不在物料档案里"))</f>
        <v/>
      </c>
      <c r="J314" s="23" t="n"/>
      <c r="K314" s="17" t="n"/>
      <c r="L314" s="17" t="n"/>
      <c r="M314" s="17" t="n"/>
      <c r="N314" s="17" t="n"/>
      <c r="O314" s="26">
        <f>IF($D314="","",IFERROR(VLOOKUP($D314,物料档案!$A$4:$P$1203,10,0),0))</f>
        <v/>
      </c>
      <c r="P314" s="32" t="n"/>
      <c r="Q314" s="26">
        <f>IF($D314="","",IF($K314&lt;&gt;"对外销售",0,ROUND(N($J314)*IF($P314="",N($O314),N($P314)),0)))</f>
        <v/>
      </c>
      <c r="R314" s="26">
        <f>IF($D314="","",IFERROR(VLOOKUP($D314,库存台账!$A$5:$Y$1204,11,0),0))</f>
        <v/>
      </c>
      <c r="S314" s="26">
        <f>IF($D314="","",ROUND(N($J314)*N($R314),0))</f>
        <v/>
      </c>
      <c r="T314" s="26">
        <f>IF($D314="","",IF($K314&lt;&gt;"对外销售","",ROUND($Q314-$S314,0)))</f>
        <v/>
      </c>
      <c r="U314" s="17" t="n"/>
      <c r="V314" s="17" t="n"/>
      <c r="W314" s="24">
        <f>IF($D314="","",IF($E314="※编码不在物料档案里","※物料编码不在档案里",IF(N($J314)&lt;=0,"※出库数量要大于 0",IF($K314="","※没填去向类型",IF($L314="","※没填去向矿区",IF(AND($C314&lt;&gt;"",$C314&lt;=结账锁),"※日期早于已结账截止日，不能再录",IF(AND($K314="自用消耗",COUNTIF({"一矿区";"二矿区"},$L314)=0),"※自用消耗的去向只能是一矿区或二矿区",IF(AND($K314="对外销售",COUNTIF({"三矿区";"六矿区"},$L314)=0),"※对外销售的去向只能是三矿区或六矿区",IF(AND($K314="对外销售",ROUND($Q314,0)=0),"※外销却没有售价，请填实际售价",IF(AND($K314="对外销售",$T314&lt;&gt;"",$T314&lt;0),"※这一笔外销是亏的，请核对售价",IF(IFERROR(VLOOKUP($D314,库存台账!$A$5:$Y$1204,24,0),0)&lt;-0.001,"※这个物料账面已经变成负数了，查一下是不是漏记入库","")))))))))))</f>
        <v/>
      </c>
    </row>
    <row r="315">
      <c r="A315" s="24">
        <f>IF($D315="","",COUNTA($D$4:$D315))</f>
        <v/>
      </c>
      <c r="B315" s="17" t="n"/>
      <c r="C315" s="30" t="n"/>
      <c r="D315" s="17" t="n"/>
      <c r="E315" s="24">
        <f>IF($D315="","",IFERROR(VLOOKUP($D315,物料档案!$A$4:$P$1203,3,0),"※编码不在物料档案里"))</f>
        <v/>
      </c>
      <c r="F315" s="24">
        <f>IF($D315="","",IFERROR(VLOOKUP($D315,物料档案!$A$4:$P$1203,4,0),"※编码不在物料档案里"))</f>
        <v/>
      </c>
      <c r="G315" s="24">
        <f>IF($D315="","",IFERROR(VLOOKUP($D315,物料档案!$A$4:$P$1203,5,0),"※编码不在物料档案里"))</f>
        <v/>
      </c>
      <c r="H315" s="24">
        <f>IF($D315="","",IFERROR(VLOOKUP($D315,物料档案!$A$4:$P$1203,2,0),"※编码不在物料档案里"))</f>
        <v/>
      </c>
      <c r="I315" s="24">
        <f>IF($D315="","",IFERROR(VLOOKUP($D315,物料档案!$A$4:$P$1203,6,0),"※编码不在物料档案里"))</f>
        <v/>
      </c>
      <c r="J315" s="23" t="n"/>
      <c r="K315" s="17" t="n"/>
      <c r="L315" s="17" t="n"/>
      <c r="M315" s="17" t="n"/>
      <c r="N315" s="17" t="n"/>
      <c r="O315" s="26">
        <f>IF($D315="","",IFERROR(VLOOKUP($D315,物料档案!$A$4:$P$1203,10,0),0))</f>
        <v/>
      </c>
      <c r="P315" s="32" t="n"/>
      <c r="Q315" s="26">
        <f>IF($D315="","",IF($K315&lt;&gt;"对外销售",0,ROUND(N($J315)*IF($P315="",N($O315),N($P315)),0)))</f>
        <v/>
      </c>
      <c r="R315" s="26">
        <f>IF($D315="","",IFERROR(VLOOKUP($D315,库存台账!$A$5:$Y$1204,11,0),0))</f>
        <v/>
      </c>
      <c r="S315" s="26">
        <f>IF($D315="","",ROUND(N($J315)*N($R315),0))</f>
        <v/>
      </c>
      <c r="T315" s="26">
        <f>IF($D315="","",IF($K315&lt;&gt;"对外销售","",ROUND($Q315-$S315,0)))</f>
        <v/>
      </c>
      <c r="U315" s="17" t="n"/>
      <c r="V315" s="17" t="n"/>
      <c r="W315" s="24">
        <f>IF($D315="","",IF($E315="※编码不在物料档案里","※物料编码不在档案里",IF(N($J315)&lt;=0,"※出库数量要大于 0",IF($K315="","※没填去向类型",IF($L315="","※没填去向矿区",IF(AND($C315&lt;&gt;"",$C315&lt;=结账锁),"※日期早于已结账截止日，不能再录",IF(AND($K315="自用消耗",COUNTIF({"一矿区";"二矿区"},$L315)=0),"※自用消耗的去向只能是一矿区或二矿区",IF(AND($K315="对外销售",COUNTIF({"三矿区";"六矿区"},$L315)=0),"※对外销售的去向只能是三矿区或六矿区",IF(AND($K315="对外销售",ROUND($Q315,0)=0),"※外销却没有售价，请填实际售价",IF(AND($K315="对外销售",$T315&lt;&gt;"",$T315&lt;0),"※这一笔外销是亏的，请核对售价",IF(IFERROR(VLOOKUP($D315,库存台账!$A$5:$Y$1204,24,0),0)&lt;-0.001,"※这个物料账面已经变成负数了，查一下是不是漏记入库","")))))))))))</f>
        <v/>
      </c>
    </row>
    <row r="316">
      <c r="A316" s="24">
        <f>IF($D316="","",COUNTA($D$4:$D316))</f>
        <v/>
      </c>
      <c r="B316" s="17" t="n"/>
      <c r="C316" s="30" t="n"/>
      <c r="D316" s="17" t="n"/>
      <c r="E316" s="24">
        <f>IF($D316="","",IFERROR(VLOOKUP($D316,物料档案!$A$4:$P$1203,3,0),"※编码不在物料档案里"))</f>
        <v/>
      </c>
      <c r="F316" s="24">
        <f>IF($D316="","",IFERROR(VLOOKUP($D316,物料档案!$A$4:$P$1203,4,0),"※编码不在物料档案里"))</f>
        <v/>
      </c>
      <c r="G316" s="24">
        <f>IF($D316="","",IFERROR(VLOOKUP($D316,物料档案!$A$4:$P$1203,5,0),"※编码不在物料档案里"))</f>
        <v/>
      </c>
      <c r="H316" s="24">
        <f>IF($D316="","",IFERROR(VLOOKUP($D316,物料档案!$A$4:$P$1203,2,0),"※编码不在物料档案里"))</f>
        <v/>
      </c>
      <c r="I316" s="24">
        <f>IF($D316="","",IFERROR(VLOOKUP($D316,物料档案!$A$4:$P$1203,6,0),"※编码不在物料档案里"))</f>
        <v/>
      </c>
      <c r="J316" s="23" t="n"/>
      <c r="K316" s="17" t="n"/>
      <c r="L316" s="17" t="n"/>
      <c r="M316" s="17" t="n"/>
      <c r="N316" s="17" t="n"/>
      <c r="O316" s="26">
        <f>IF($D316="","",IFERROR(VLOOKUP($D316,物料档案!$A$4:$P$1203,10,0),0))</f>
        <v/>
      </c>
      <c r="P316" s="32" t="n"/>
      <c r="Q316" s="26">
        <f>IF($D316="","",IF($K316&lt;&gt;"对外销售",0,ROUND(N($J316)*IF($P316="",N($O316),N($P316)),0)))</f>
        <v/>
      </c>
      <c r="R316" s="26">
        <f>IF($D316="","",IFERROR(VLOOKUP($D316,库存台账!$A$5:$Y$1204,11,0),0))</f>
        <v/>
      </c>
      <c r="S316" s="26">
        <f>IF($D316="","",ROUND(N($J316)*N($R316),0))</f>
        <v/>
      </c>
      <c r="T316" s="26">
        <f>IF($D316="","",IF($K316&lt;&gt;"对外销售","",ROUND($Q316-$S316,0)))</f>
        <v/>
      </c>
      <c r="U316" s="17" t="n"/>
      <c r="V316" s="17" t="n"/>
      <c r="W316" s="24">
        <f>IF($D316="","",IF($E316="※编码不在物料档案里","※物料编码不在档案里",IF(N($J316)&lt;=0,"※出库数量要大于 0",IF($K316="","※没填去向类型",IF($L316="","※没填去向矿区",IF(AND($C316&lt;&gt;"",$C316&lt;=结账锁),"※日期早于已结账截止日，不能再录",IF(AND($K316="自用消耗",COUNTIF({"一矿区";"二矿区"},$L316)=0),"※自用消耗的去向只能是一矿区或二矿区",IF(AND($K316="对外销售",COUNTIF({"三矿区";"六矿区"},$L316)=0),"※对外销售的去向只能是三矿区或六矿区",IF(AND($K316="对外销售",ROUND($Q316,0)=0),"※外销却没有售价，请填实际售价",IF(AND($K316="对外销售",$T316&lt;&gt;"",$T316&lt;0),"※这一笔外销是亏的，请核对售价",IF(IFERROR(VLOOKUP($D316,库存台账!$A$5:$Y$1204,24,0),0)&lt;-0.001,"※这个物料账面已经变成负数了，查一下是不是漏记入库","")))))))))))</f>
        <v/>
      </c>
    </row>
    <row r="317">
      <c r="A317" s="24">
        <f>IF($D317="","",COUNTA($D$4:$D317))</f>
        <v/>
      </c>
      <c r="B317" s="17" t="n"/>
      <c r="C317" s="30" t="n"/>
      <c r="D317" s="17" t="n"/>
      <c r="E317" s="24">
        <f>IF($D317="","",IFERROR(VLOOKUP($D317,物料档案!$A$4:$P$1203,3,0),"※编码不在物料档案里"))</f>
        <v/>
      </c>
      <c r="F317" s="24">
        <f>IF($D317="","",IFERROR(VLOOKUP($D317,物料档案!$A$4:$P$1203,4,0),"※编码不在物料档案里"))</f>
        <v/>
      </c>
      <c r="G317" s="24">
        <f>IF($D317="","",IFERROR(VLOOKUP($D317,物料档案!$A$4:$P$1203,5,0),"※编码不在物料档案里"))</f>
        <v/>
      </c>
      <c r="H317" s="24">
        <f>IF($D317="","",IFERROR(VLOOKUP($D317,物料档案!$A$4:$P$1203,2,0),"※编码不在物料档案里"))</f>
        <v/>
      </c>
      <c r="I317" s="24">
        <f>IF($D317="","",IFERROR(VLOOKUP($D317,物料档案!$A$4:$P$1203,6,0),"※编码不在物料档案里"))</f>
        <v/>
      </c>
      <c r="J317" s="23" t="n"/>
      <c r="K317" s="17" t="n"/>
      <c r="L317" s="17" t="n"/>
      <c r="M317" s="17" t="n"/>
      <c r="N317" s="17" t="n"/>
      <c r="O317" s="26">
        <f>IF($D317="","",IFERROR(VLOOKUP($D317,物料档案!$A$4:$P$1203,10,0),0))</f>
        <v/>
      </c>
      <c r="P317" s="32" t="n"/>
      <c r="Q317" s="26">
        <f>IF($D317="","",IF($K317&lt;&gt;"对外销售",0,ROUND(N($J317)*IF($P317="",N($O317),N($P317)),0)))</f>
        <v/>
      </c>
      <c r="R317" s="26">
        <f>IF($D317="","",IFERROR(VLOOKUP($D317,库存台账!$A$5:$Y$1204,11,0),0))</f>
        <v/>
      </c>
      <c r="S317" s="26">
        <f>IF($D317="","",ROUND(N($J317)*N($R317),0))</f>
        <v/>
      </c>
      <c r="T317" s="26">
        <f>IF($D317="","",IF($K317&lt;&gt;"对外销售","",ROUND($Q317-$S317,0)))</f>
        <v/>
      </c>
      <c r="U317" s="17" t="n"/>
      <c r="V317" s="17" t="n"/>
      <c r="W317" s="24">
        <f>IF($D317="","",IF($E317="※编码不在物料档案里","※物料编码不在档案里",IF(N($J317)&lt;=0,"※出库数量要大于 0",IF($K317="","※没填去向类型",IF($L317="","※没填去向矿区",IF(AND($C317&lt;&gt;"",$C317&lt;=结账锁),"※日期早于已结账截止日，不能再录",IF(AND($K317="自用消耗",COUNTIF({"一矿区";"二矿区"},$L317)=0),"※自用消耗的去向只能是一矿区或二矿区",IF(AND($K317="对外销售",COUNTIF({"三矿区";"六矿区"},$L317)=0),"※对外销售的去向只能是三矿区或六矿区",IF(AND($K317="对外销售",ROUND($Q317,0)=0),"※外销却没有售价，请填实际售价",IF(AND($K317="对外销售",$T317&lt;&gt;"",$T317&lt;0),"※这一笔外销是亏的，请核对售价",IF(IFERROR(VLOOKUP($D317,库存台账!$A$5:$Y$1204,24,0),0)&lt;-0.001,"※这个物料账面已经变成负数了，查一下是不是漏记入库","")))))))))))</f>
        <v/>
      </c>
    </row>
    <row r="318">
      <c r="A318" s="24">
        <f>IF($D318="","",COUNTA($D$4:$D318))</f>
        <v/>
      </c>
      <c r="B318" s="17" t="n"/>
      <c r="C318" s="30" t="n"/>
      <c r="D318" s="17" t="n"/>
      <c r="E318" s="24">
        <f>IF($D318="","",IFERROR(VLOOKUP($D318,物料档案!$A$4:$P$1203,3,0),"※编码不在物料档案里"))</f>
        <v/>
      </c>
      <c r="F318" s="24">
        <f>IF($D318="","",IFERROR(VLOOKUP($D318,物料档案!$A$4:$P$1203,4,0),"※编码不在物料档案里"))</f>
        <v/>
      </c>
      <c r="G318" s="24">
        <f>IF($D318="","",IFERROR(VLOOKUP($D318,物料档案!$A$4:$P$1203,5,0),"※编码不在物料档案里"))</f>
        <v/>
      </c>
      <c r="H318" s="24">
        <f>IF($D318="","",IFERROR(VLOOKUP($D318,物料档案!$A$4:$P$1203,2,0),"※编码不在物料档案里"))</f>
        <v/>
      </c>
      <c r="I318" s="24">
        <f>IF($D318="","",IFERROR(VLOOKUP($D318,物料档案!$A$4:$P$1203,6,0),"※编码不在物料档案里"))</f>
        <v/>
      </c>
      <c r="J318" s="23" t="n"/>
      <c r="K318" s="17" t="n"/>
      <c r="L318" s="17" t="n"/>
      <c r="M318" s="17" t="n"/>
      <c r="N318" s="17" t="n"/>
      <c r="O318" s="26">
        <f>IF($D318="","",IFERROR(VLOOKUP($D318,物料档案!$A$4:$P$1203,10,0),0))</f>
        <v/>
      </c>
      <c r="P318" s="32" t="n"/>
      <c r="Q318" s="26">
        <f>IF($D318="","",IF($K318&lt;&gt;"对外销售",0,ROUND(N($J318)*IF($P318="",N($O318),N($P318)),0)))</f>
        <v/>
      </c>
      <c r="R318" s="26">
        <f>IF($D318="","",IFERROR(VLOOKUP($D318,库存台账!$A$5:$Y$1204,11,0),0))</f>
        <v/>
      </c>
      <c r="S318" s="26">
        <f>IF($D318="","",ROUND(N($J318)*N($R318),0))</f>
        <v/>
      </c>
      <c r="T318" s="26">
        <f>IF($D318="","",IF($K318&lt;&gt;"对外销售","",ROUND($Q318-$S318,0)))</f>
        <v/>
      </c>
      <c r="U318" s="17" t="n"/>
      <c r="V318" s="17" t="n"/>
      <c r="W318" s="24">
        <f>IF($D318="","",IF($E318="※编码不在物料档案里","※物料编码不在档案里",IF(N($J318)&lt;=0,"※出库数量要大于 0",IF($K318="","※没填去向类型",IF($L318="","※没填去向矿区",IF(AND($C318&lt;&gt;"",$C318&lt;=结账锁),"※日期早于已结账截止日，不能再录",IF(AND($K318="自用消耗",COUNTIF({"一矿区";"二矿区"},$L318)=0),"※自用消耗的去向只能是一矿区或二矿区",IF(AND($K318="对外销售",COUNTIF({"三矿区";"六矿区"},$L318)=0),"※对外销售的去向只能是三矿区或六矿区",IF(AND($K318="对外销售",ROUND($Q318,0)=0),"※外销却没有售价，请填实际售价",IF(AND($K318="对外销售",$T318&lt;&gt;"",$T318&lt;0),"※这一笔外销是亏的，请核对售价",IF(IFERROR(VLOOKUP($D318,库存台账!$A$5:$Y$1204,24,0),0)&lt;-0.001,"※这个物料账面已经变成负数了，查一下是不是漏记入库","")))))))))))</f>
        <v/>
      </c>
    </row>
    <row r="319">
      <c r="A319" s="24">
        <f>IF($D319="","",COUNTA($D$4:$D319))</f>
        <v/>
      </c>
      <c r="B319" s="17" t="n"/>
      <c r="C319" s="30" t="n"/>
      <c r="D319" s="17" t="n"/>
      <c r="E319" s="24">
        <f>IF($D319="","",IFERROR(VLOOKUP($D319,物料档案!$A$4:$P$1203,3,0),"※编码不在物料档案里"))</f>
        <v/>
      </c>
      <c r="F319" s="24">
        <f>IF($D319="","",IFERROR(VLOOKUP($D319,物料档案!$A$4:$P$1203,4,0),"※编码不在物料档案里"))</f>
        <v/>
      </c>
      <c r="G319" s="24">
        <f>IF($D319="","",IFERROR(VLOOKUP($D319,物料档案!$A$4:$P$1203,5,0),"※编码不在物料档案里"))</f>
        <v/>
      </c>
      <c r="H319" s="24">
        <f>IF($D319="","",IFERROR(VLOOKUP($D319,物料档案!$A$4:$P$1203,2,0),"※编码不在物料档案里"))</f>
        <v/>
      </c>
      <c r="I319" s="24">
        <f>IF($D319="","",IFERROR(VLOOKUP($D319,物料档案!$A$4:$P$1203,6,0),"※编码不在物料档案里"))</f>
        <v/>
      </c>
      <c r="J319" s="23" t="n"/>
      <c r="K319" s="17" t="n"/>
      <c r="L319" s="17" t="n"/>
      <c r="M319" s="17" t="n"/>
      <c r="N319" s="17" t="n"/>
      <c r="O319" s="26">
        <f>IF($D319="","",IFERROR(VLOOKUP($D319,物料档案!$A$4:$P$1203,10,0),0))</f>
        <v/>
      </c>
      <c r="P319" s="32" t="n"/>
      <c r="Q319" s="26">
        <f>IF($D319="","",IF($K319&lt;&gt;"对外销售",0,ROUND(N($J319)*IF($P319="",N($O319),N($P319)),0)))</f>
        <v/>
      </c>
      <c r="R319" s="26">
        <f>IF($D319="","",IFERROR(VLOOKUP($D319,库存台账!$A$5:$Y$1204,11,0),0))</f>
        <v/>
      </c>
      <c r="S319" s="26">
        <f>IF($D319="","",ROUND(N($J319)*N($R319),0))</f>
        <v/>
      </c>
      <c r="T319" s="26">
        <f>IF($D319="","",IF($K319&lt;&gt;"对外销售","",ROUND($Q319-$S319,0)))</f>
        <v/>
      </c>
      <c r="U319" s="17" t="n"/>
      <c r="V319" s="17" t="n"/>
      <c r="W319" s="24">
        <f>IF($D319="","",IF($E319="※编码不在物料档案里","※物料编码不在档案里",IF(N($J319)&lt;=0,"※出库数量要大于 0",IF($K319="","※没填去向类型",IF($L319="","※没填去向矿区",IF(AND($C319&lt;&gt;"",$C319&lt;=结账锁),"※日期早于已结账截止日，不能再录",IF(AND($K319="自用消耗",COUNTIF({"一矿区";"二矿区"},$L319)=0),"※自用消耗的去向只能是一矿区或二矿区",IF(AND($K319="对外销售",COUNTIF({"三矿区";"六矿区"},$L319)=0),"※对外销售的去向只能是三矿区或六矿区",IF(AND($K319="对外销售",ROUND($Q319,0)=0),"※外销却没有售价，请填实际售价",IF(AND($K319="对外销售",$T319&lt;&gt;"",$T319&lt;0),"※这一笔外销是亏的，请核对售价",IF(IFERROR(VLOOKUP($D319,库存台账!$A$5:$Y$1204,24,0),0)&lt;-0.001,"※这个物料账面已经变成负数了，查一下是不是漏记入库","")))))))))))</f>
        <v/>
      </c>
    </row>
    <row r="320">
      <c r="A320" s="24">
        <f>IF($D320="","",COUNTA($D$4:$D320))</f>
        <v/>
      </c>
      <c r="B320" s="17" t="n"/>
      <c r="C320" s="30" t="n"/>
      <c r="D320" s="17" t="n"/>
      <c r="E320" s="24">
        <f>IF($D320="","",IFERROR(VLOOKUP($D320,物料档案!$A$4:$P$1203,3,0),"※编码不在物料档案里"))</f>
        <v/>
      </c>
      <c r="F320" s="24">
        <f>IF($D320="","",IFERROR(VLOOKUP($D320,物料档案!$A$4:$P$1203,4,0),"※编码不在物料档案里"))</f>
        <v/>
      </c>
      <c r="G320" s="24">
        <f>IF($D320="","",IFERROR(VLOOKUP($D320,物料档案!$A$4:$P$1203,5,0),"※编码不在物料档案里"))</f>
        <v/>
      </c>
      <c r="H320" s="24">
        <f>IF($D320="","",IFERROR(VLOOKUP($D320,物料档案!$A$4:$P$1203,2,0),"※编码不在物料档案里"))</f>
        <v/>
      </c>
      <c r="I320" s="24">
        <f>IF($D320="","",IFERROR(VLOOKUP($D320,物料档案!$A$4:$P$1203,6,0),"※编码不在物料档案里"))</f>
        <v/>
      </c>
      <c r="J320" s="23" t="n"/>
      <c r="K320" s="17" t="n"/>
      <c r="L320" s="17" t="n"/>
      <c r="M320" s="17" t="n"/>
      <c r="N320" s="17" t="n"/>
      <c r="O320" s="26">
        <f>IF($D320="","",IFERROR(VLOOKUP($D320,物料档案!$A$4:$P$1203,10,0),0))</f>
        <v/>
      </c>
      <c r="P320" s="32" t="n"/>
      <c r="Q320" s="26">
        <f>IF($D320="","",IF($K320&lt;&gt;"对外销售",0,ROUND(N($J320)*IF($P320="",N($O320),N($P320)),0)))</f>
        <v/>
      </c>
      <c r="R320" s="26">
        <f>IF($D320="","",IFERROR(VLOOKUP($D320,库存台账!$A$5:$Y$1204,11,0),0))</f>
        <v/>
      </c>
      <c r="S320" s="26">
        <f>IF($D320="","",ROUND(N($J320)*N($R320),0))</f>
        <v/>
      </c>
      <c r="T320" s="26">
        <f>IF($D320="","",IF($K320&lt;&gt;"对外销售","",ROUND($Q320-$S320,0)))</f>
        <v/>
      </c>
      <c r="U320" s="17" t="n"/>
      <c r="V320" s="17" t="n"/>
      <c r="W320" s="24">
        <f>IF($D320="","",IF($E320="※编码不在物料档案里","※物料编码不在档案里",IF(N($J320)&lt;=0,"※出库数量要大于 0",IF($K320="","※没填去向类型",IF($L320="","※没填去向矿区",IF(AND($C320&lt;&gt;"",$C320&lt;=结账锁),"※日期早于已结账截止日，不能再录",IF(AND($K320="自用消耗",COUNTIF({"一矿区";"二矿区"},$L320)=0),"※自用消耗的去向只能是一矿区或二矿区",IF(AND($K320="对外销售",COUNTIF({"三矿区";"六矿区"},$L320)=0),"※对外销售的去向只能是三矿区或六矿区",IF(AND($K320="对外销售",ROUND($Q320,0)=0),"※外销却没有售价，请填实际售价",IF(AND($K320="对外销售",$T320&lt;&gt;"",$T320&lt;0),"※这一笔外销是亏的，请核对售价",IF(IFERROR(VLOOKUP($D320,库存台账!$A$5:$Y$1204,24,0),0)&lt;-0.001,"※这个物料账面已经变成负数了，查一下是不是漏记入库","")))))))))))</f>
        <v/>
      </c>
    </row>
    <row r="321">
      <c r="A321" s="24">
        <f>IF($D321="","",COUNTA($D$4:$D321))</f>
        <v/>
      </c>
      <c r="B321" s="17" t="n"/>
      <c r="C321" s="30" t="n"/>
      <c r="D321" s="17" t="n"/>
      <c r="E321" s="24">
        <f>IF($D321="","",IFERROR(VLOOKUP($D321,物料档案!$A$4:$P$1203,3,0),"※编码不在物料档案里"))</f>
        <v/>
      </c>
      <c r="F321" s="24">
        <f>IF($D321="","",IFERROR(VLOOKUP($D321,物料档案!$A$4:$P$1203,4,0),"※编码不在物料档案里"))</f>
        <v/>
      </c>
      <c r="G321" s="24">
        <f>IF($D321="","",IFERROR(VLOOKUP($D321,物料档案!$A$4:$P$1203,5,0),"※编码不在物料档案里"))</f>
        <v/>
      </c>
      <c r="H321" s="24">
        <f>IF($D321="","",IFERROR(VLOOKUP($D321,物料档案!$A$4:$P$1203,2,0),"※编码不在物料档案里"))</f>
        <v/>
      </c>
      <c r="I321" s="24">
        <f>IF($D321="","",IFERROR(VLOOKUP($D321,物料档案!$A$4:$P$1203,6,0),"※编码不在物料档案里"))</f>
        <v/>
      </c>
      <c r="J321" s="23" t="n"/>
      <c r="K321" s="17" t="n"/>
      <c r="L321" s="17" t="n"/>
      <c r="M321" s="17" t="n"/>
      <c r="N321" s="17" t="n"/>
      <c r="O321" s="26">
        <f>IF($D321="","",IFERROR(VLOOKUP($D321,物料档案!$A$4:$P$1203,10,0),0))</f>
        <v/>
      </c>
      <c r="P321" s="32" t="n"/>
      <c r="Q321" s="26">
        <f>IF($D321="","",IF($K321&lt;&gt;"对外销售",0,ROUND(N($J321)*IF($P321="",N($O321),N($P321)),0)))</f>
        <v/>
      </c>
      <c r="R321" s="26">
        <f>IF($D321="","",IFERROR(VLOOKUP($D321,库存台账!$A$5:$Y$1204,11,0),0))</f>
        <v/>
      </c>
      <c r="S321" s="26">
        <f>IF($D321="","",ROUND(N($J321)*N($R321),0))</f>
        <v/>
      </c>
      <c r="T321" s="26">
        <f>IF($D321="","",IF($K321&lt;&gt;"对外销售","",ROUND($Q321-$S321,0)))</f>
        <v/>
      </c>
      <c r="U321" s="17" t="n"/>
      <c r="V321" s="17" t="n"/>
      <c r="W321" s="24">
        <f>IF($D321="","",IF($E321="※编码不在物料档案里","※物料编码不在档案里",IF(N($J321)&lt;=0,"※出库数量要大于 0",IF($K321="","※没填去向类型",IF($L321="","※没填去向矿区",IF(AND($C321&lt;&gt;"",$C321&lt;=结账锁),"※日期早于已结账截止日，不能再录",IF(AND($K321="自用消耗",COUNTIF({"一矿区";"二矿区"},$L321)=0),"※自用消耗的去向只能是一矿区或二矿区",IF(AND($K321="对外销售",COUNTIF({"三矿区";"六矿区"},$L321)=0),"※对外销售的去向只能是三矿区或六矿区",IF(AND($K321="对外销售",ROUND($Q321,0)=0),"※外销却没有售价，请填实际售价",IF(AND($K321="对外销售",$T321&lt;&gt;"",$T321&lt;0),"※这一笔外销是亏的，请核对售价",IF(IFERROR(VLOOKUP($D321,库存台账!$A$5:$Y$1204,24,0),0)&lt;-0.001,"※这个物料账面已经变成负数了，查一下是不是漏记入库","")))))))))))</f>
        <v/>
      </c>
    </row>
    <row r="322">
      <c r="A322" s="24">
        <f>IF($D322="","",COUNTA($D$4:$D322))</f>
        <v/>
      </c>
      <c r="B322" s="17" t="n"/>
      <c r="C322" s="30" t="n"/>
      <c r="D322" s="17" t="n"/>
      <c r="E322" s="24">
        <f>IF($D322="","",IFERROR(VLOOKUP($D322,物料档案!$A$4:$P$1203,3,0),"※编码不在物料档案里"))</f>
        <v/>
      </c>
      <c r="F322" s="24">
        <f>IF($D322="","",IFERROR(VLOOKUP($D322,物料档案!$A$4:$P$1203,4,0),"※编码不在物料档案里"))</f>
        <v/>
      </c>
      <c r="G322" s="24">
        <f>IF($D322="","",IFERROR(VLOOKUP($D322,物料档案!$A$4:$P$1203,5,0),"※编码不在物料档案里"))</f>
        <v/>
      </c>
      <c r="H322" s="24">
        <f>IF($D322="","",IFERROR(VLOOKUP($D322,物料档案!$A$4:$P$1203,2,0),"※编码不在物料档案里"))</f>
        <v/>
      </c>
      <c r="I322" s="24">
        <f>IF($D322="","",IFERROR(VLOOKUP($D322,物料档案!$A$4:$P$1203,6,0),"※编码不在物料档案里"))</f>
        <v/>
      </c>
      <c r="J322" s="23" t="n"/>
      <c r="K322" s="17" t="n"/>
      <c r="L322" s="17" t="n"/>
      <c r="M322" s="17" t="n"/>
      <c r="N322" s="17" t="n"/>
      <c r="O322" s="26">
        <f>IF($D322="","",IFERROR(VLOOKUP($D322,物料档案!$A$4:$P$1203,10,0),0))</f>
        <v/>
      </c>
      <c r="P322" s="32" t="n"/>
      <c r="Q322" s="26">
        <f>IF($D322="","",IF($K322&lt;&gt;"对外销售",0,ROUND(N($J322)*IF($P322="",N($O322),N($P322)),0)))</f>
        <v/>
      </c>
      <c r="R322" s="26">
        <f>IF($D322="","",IFERROR(VLOOKUP($D322,库存台账!$A$5:$Y$1204,11,0),0))</f>
        <v/>
      </c>
      <c r="S322" s="26">
        <f>IF($D322="","",ROUND(N($J322)*N($R322),0))</f>
        <v/>
      </c>
      <c r="T322" s="26">
        <f>IF($D322="","",IF($K322&lt;&gt;"对外销售","",ROUND($Q322-$S322,0)))</f>
        <v/>
      </c>
      <c r="U322" s="17" t="n"/>
      <c r="V322" s="17" t="n"/>
      <c r="W322" s="24">
        <f>IF($D322="","",IF($E322="※编码不在物料档案里","※物料编码不在档案里",IF(N($J322)&lt;=0,"※出库数量要大于 0",IF($K322="","※没填去向类型",IF($L322="","※没填去向矿区",IF(AND($C322&lt;&gt;"",$C322&lt;=结账锁),"※日期早于已结账截止日，不能再录",IF(AND($K322="自用消耗",COUNTIF({"一矿区";"二矿区"},$L322)=0),"※自用消耗的去向只能是一矿区或二矿区",IF(AND($K322="对外销售",COUNTIF({"三矿区";"六矿区"},$L322)=0),"※对外销售的去向只能是三矿区或六矿区",IF(AND($K322="对外销售",ROUND($Q322,0)=0),"※外销却没有售价，请填实际售价",IF(AND($K322="对外销售",$T322&lt;&gt;"",$T322&lt;0),"※这一笔外销是亏的，请核对售价",IF(IFERROR(VLOOKUP($D322,库存台账!$A$5:$Y$1204,24,0),0)&lt;-0.001,"※这个物料账面已经变成负数了，查一下是不是漏记入库","")))))))))))</f>
        <v/>
      </c>
    </row>
    <row r="323">
      <c r="A323" s="24">
        <f>IF($D323="","",COUNTA($D$4:$D323))</f>
        <v/>
      </c>
      <c r="B323" s="17" t="n"/>
      <c r="C323" s="30" t="n"/>
      <c r="D323" s="17" t="n"/>
      <c r="E323" s="24">
        <f>IF($D323="","",IFERROR(VLOOKUP($D323,物料档案!$A$4:$P$1203,3,0),"※编码不在物料档案里"))</f>
        <v/>
      </c>
      <c r="F323" s="24">
        <f>IF($D323="","",IFERROR(VLOOKUP($D323,物料档案!$A$4:$P$1203,4,0),"※编码不在物料档案里"))</f>
        <v/>
      </c>
      <c r="G323" s="24">
        <f>IF($D323="","",IFERROR(VLOOKUP($D323,物料档案!$A$4:$P$1203,5,0),"※编码不在物料档案里"))</f>
        <v/>
      </c>
      <c r="H323" s="24">
        <f>IF($D323="","",IFERROR(VLOOKUP($D323,物料档案!$A$4:$P$1203,2,0),"※编码不在物料档案里"))</f>
        <v/>
      </c>
      <c r="I323" s="24">
        <f>IF($D323="","",IFERROR(VLOOKUP($D323,物料档案!$A$4:$P$1203,6,0),"※编码不在物料档案里"))</f>
        <v/>
      </c>
      <c r="J323" s="23" t="n"/>
      <c r="K323" s="17" t="n"/>
      <c r="L323" s="17" t="n"/>
      <c r="M323" s="17" t="n"/>
      <c r="N323" s="17" t="n"/>
      <c r="O323" s="26">
        <f>IF($D323="","",IFERROR(VLOOKUP($D323,物料档案!$A$4:$P$1203,10,0),0))</f>
        <v/>
      </c>
      <c r="P323" s="32" t="n"/>
      <c r="Q323" s="26">
        <f>IF($D323="","",IF($K323&lt;&gt;"对外销售",0,ROUND(N($J323)*IF($P323="",N($O323),N($P323)),0)))</f>
        <v/>
      </c>
      <c r="R323" s="26">
        <f>IF($D323="","",IFERROR(VLOOKUP($D323,库存台账!$A$5:$Y$1204,11,0),0))</f>
        <v/>
      </c>
      <c r="S323" s="26">
        <f>IF($D323="","",ROUND(N($J323)*N($R323),0))</f>
        <v/>
      </c>
      <c r="T323" s="26">
        <f>IF($D323="","",IF($K323&lt;&gt;"对外销售","",ROUND($Q323-$S323,0)))</f>
        <v/>
      </c>
      <c r="U323" s="17" t="n"/>
      <c r="V323" s="17" t="n"/>
      <c r="W323" s="24">
        <f>IF($D323="","",IF($E323="※编码不在物料档案里","※物料编码不在档案里",IF(N($J323)&lt;=0,"※出库数量要大于 0",IF($K323="","※没填去向类型",IF($L323="","※没填去向矿区",IF(AND($C323&lt;&gt;"",$C323&lt;=结账锁),"※日期早于已结账截止日，不能再录",IF(AND($K323="自用消耗",COUNTIF({"一矿区";"二矿区"},$L323)=0),"※自用消耗的去向只能是一矿区或二矿区",IF(AND($K323="对外销售",COUNTIF({"三矿区";"六矿区"},$L323)=0),"※对外销售的去向只能是三矿区或六矿区",IF(AND($K323="对外销售",ROUND($Q323,0)=0),"※外销却没有售价，请填实际售价",IF(AND($K323="对外销售",$T323&lt;&gt;"",$T323&lt;0),"※这一笔外销是亏的，请核对售价",IF(IFERROR(VLOOKUP($D323,库存台账!$A$5:$Y$1204,24,0),0)&lt;-0.001,"※这个物料账面已经变成负数了，查一下是不是漏记入库","")))))))))))</f>
        <v/>
      </c>
    </row>
    <row r="324">
      <c r="A324" s="24">
        <f>IF($D324="","",COUNTA($D$4:$D324))</f>
        <v/>
      </c>
      <c r="B324" s="17" t="n"/>
      <c r="C324" s="30" t="n"/>
      <c r="D324" s="17" t="n"/>
      <c r="E324" s="24">
        <f>IF($D324="","",IFERROR(VLOOKUP($D324,物料档案!$A$4:$P$1203,3,0),"※编码不在物料档案里"))</f>
        <v/>
      </c>
      <c r="F324" s="24">
        <f>IF($D324="","",IFERROR(VLOOKUP($D324,物料档案!$A$4:$P$1203,4,0),"※编码不在物料档案里"))</f>
        <v/>
      </c>
      <c r="G324" s="24">
        <f>IF($D324="","",IFERROR(VLOOKUP($D324,物料档案!$A$4:$P$1203,5,0),"※编码不在物料档案里"))</f>
        <v/>
      </c>
      <c r="H324" s="24">
        <f>IF($D324="","",IFERROR(VLOOKUP($D324,物料档案!$A$4:$P$1203,2,0),"※编码不在物料档案里"))</f>
        <v/>
      </c>
      <c r="I324" s="24">
        <f>IF($D324="","",IFERROR(VLOOKUP($D324,物料档案!$A$4:$P$1203,6,0),"※编码不在物料档案里"))</f>
        <v/>
      </c>
      <c r="J324" s="23" t="n"/>
      <c r="K324" s="17" t="n"/>
      <c r="L324" s="17" t="n"/>
      <c r="M324" s="17" t="n"/>
      <c r="N324" s="17" t="n"/>
      <c r="O324" s="26">
        <f>IF($D324="","",IFERROR(VLOOKUP($D324,物料档案!$A$4:$P$1203,10,0),0))</f>
        <v/>
      </c>
      <c r="P324" s="32" t="n"/>
      <c r="Q324" s="26">
        <f>IF($D324="","",IF($K324&lt;&gt;"对外销售",0,ROUND(N($J324)*IF($P324="",N($O324),N($P324)),0)))</f>
        <v/>
      </c>
      <c r="R324" s="26">
        <f>IF($D324="","",IFERROR(VLOOKUP($D324,库存台账!$A$5:$Y$1204,11,0),0))</f>
        <v/>
      </c>
      <c r="S324" s="26">
        <f>IF($D324="","",ROUND(N($J324)*N($R324),0))</f>
        <v/>
      </c>
      <c r="T324" s="26">
        <f>IF($D324="","",IF($K324&lt;&gt;"对外销售","",ROUND($Q324-$S324,0)))</f>
        <v/>
      </c>
      <c r="U324" s="17" t="n"/>
      <c r="V324" s="17" t="n"/>
      <c r="W324" s="24">
        <f>IF($D324="","",IF($E324="※编码不在物料档案里","※物料编码不在档案里",IF(N($J324)&lt;=0,"※出库数量要大于 0",IF($K324="","※没填去向类型",IF($L324="","※没填去向矿区",IF(AND($C324&lt;&gt;"",$C324&lt;=结账锁),"※日期早于已结账截止日，不能再录",IF(AND($K324="自用消耗",COUNTIF({"一矿区";"二矿区"},$L324)=0),"※自用消耗的去向只能是一矿区或二矿区",IF(AND($K324="对外销售",COUNTIF({"三矿区";"六矿区"},$L324)=0),"※对外销售的去向只能是三矿区或六矿区",IF(AND($K324="对外销售",ROUND($Q324,0)=0),"※外销却没有售价，请填实际售价",IF(AND($K324="对外销售",$T324&lt;&gt;"",$T324&lt;0),"※这一笔外销是亏的，请核对售价",IF(IFERROR(VLOOKUP($D324,库存台账!$A$5:$Y$1204,24,0),0)&lt;-0.001,"※这个物料账面已经变成负数了，查一下是不是漏记入库","")))))))))))</f>
        <v/>
      </c>
    </row>
    <row r="325">
      <c r="A325" s="24">
        <f>IF($D325="","",COUNTA($D$4:$D325))</f>
        <v/>
      </c>
      <c r="B325" s="17" t="n"/>
      <c r="C325" s="30" t="n"/>
      <c r="D325" s="17" t="n"/>
      <c r="E325" s="24">
        <f>IF($D325="","",IFERROR(VLOOKUP($D325,物料档案!$A$4:$P$1203,3,0),"※编码不在物料档案里"))</f>
        <v/>
      </c>
      <c r="F325" s="24">
        <f>IF($D325="","",IFERROR(VLOOKUP($D325,物料档案!$A$4:$P$1203,4,0),"※编码不在物料档案里"))</f>
        <v/>
      </c>
      <c r="G325" s="24">
        <f>IF($D325="","",IFERROR(VLOOKUP($D325,物料档案!$A$4:$P$1203,5,0),"※编码不在物料档案里"))</f>
        <v/>
      </c>
      <c r="H325" s="24">
        <f>IF($D325="","",IFERROR(VLOOKUP($D325,物料档案!$A$4:$P$1203,2,0),"※编码不在物料档案里"))</f>
        <v/>
      </c>
      <c r="I325" s="24">
        <f>IF($D325="","",IFERROR(VLOOKUP($D325,物料档案!$A$4:$P$1203,6,0),"※编码不在物料档案里"))</f>
        <v/>
      </c>
      <c r="J325" s="23" t="n"/>
      <c r="K325" s="17" t="n"/>
      <c r="L325" s="17" t="n"/>
      <c r="M325" s="17" t="n"/>
      <c r="N325" s="17" t="n"/>
      <c r="O325" s="26">
        <f>IF($D325="","",IFERROR(VLOOKUP($D325,物料档案!$A$4:$P$1203,10,0),0))</f>
        <v/>
      </c>
      <c r="P325" s="32" t="n"/>
      <c r="Q325" s="26">
        <f>IF($D325="","",IF($K325&lt;&gt;"对外销售",0,ROUND(N($J325)*IF($P325="",N($O325),N($P325)),0)))</f>
        <v/>
      </c>
      <c r="R325" s="26">
        <f>IF($D325="","",IFERROR(VLOOKUP($D325,库存台账!$A$5:$Y$1204,11,0),0))</f>
        <v/>
      </c>
      <c r="S325" s="26">
        <f>IF($D325="","",ROUND(N($J325)*N($R325),0))</f>
        <v/>
      </c>
      <c r="T325" s="26">
        <f>IF($D325="","",IF($K325&lt;&gt;"对外销售","",ROUND($Q325-$S325,0)))</f>
        <v/>
      </c>
      <c r="U325" s="17" t="n"/>
      <c r="V325" s="17" t="n"/>
      <c r="W325" s="24">
        <f>IF($D325="","",IF($E325="※编码不在物料档案里","※物料编码不在档案里",IF(N($J325)&lt;=0,"※出库数量要大于 0",IF($K325="","※没填去向类型",IF($L325="","※没填去向矿区",IF(AND($C325&lt;&gt;"",$C325&lt;=结账锁),"※日期早于已结账截止日，不能再录",IF(AND($K325="自用消耗",COUNTIF({"一矿区";"二矿区"},$L325)=0),"※自用消耗的去向只能是一矿区或二矿区",IF(AND($K325="对外销售",COUNTIF({"三矿区";"六矿区"},$L325)=0),"※对外销售的去向只能是三矿区或六矿区",IF(AND($K325="对外销售",ROUND($Q325,0)=0),"※外销却没有售价，请填实际售价",IF(AND($K325="对外销售",$T325&lt;&gt;"",$T325&lt;0),"※这一笔外销是亏的，请核对售价",IF(IFERROR(VLOOKUP($D325,库存台账!$A$5:$Y$1204,24,0),0)&lt;-0.001,"※这个物料账面已经变成负数了，查一下是不是漏记入库","")))))))))))</f>
        <v/>
      </c>
    </row>
    <row r="326">
      <c r="A326" s="24">
        <f>IF($D326="","",COUNTA($D$4:$D326))</f>
        <v/>
      </c>
      <c r="B326" s="17" t="n"/>
      <c r="C326" s="30" t="n"/>
      <c r="D326" s="17" t="n"/>
      <c r="E326" s="24">
        <f>IF($D326="","",IFERROR(VLOOKUP($D326,物料档案!$A$4:$P$1203,3,0),"※编码不在物料档案里"))</f>
        <v/>
      </c>
      <c r="F326" s="24">
        <f>IF($D326="","",IFERROR(VLOOKUP($D326,物料档案!$A$4:$P$1203,4,0),"※编码不在物料档案里"))</f>
        <v/>
      </c>
      <c r="G326" s="24">
        <f>IF($D326="","",IFERROR(VLOOKUP($D326,物料档案!$A$4:$P$1203,5,0),"※编码不在物料档案里"))</f>
        <v/>
      </c>
      <c r="H326" s="24">
        <f>IF($D326="","",IFERROR(VLOOKUP($D326,物料档案!$A$4:$P$1203,2,0),"※编码不在物料档案里"))</f>
        <v/>
      </c>
      <c r="I326" s="24">
        <f>IF($D326="","",IFERROR(VLOOKUP($D326,物料档案!$A$4:$P$1203,6,0),"※编码不在物料档案里"))</f>
        <v/>
      </c>
      <c r="J326" s="23" t="n"/>
      <c r="K326" s="17" t="n"/>
      <c r="L326" s="17" t="n"/>
      <c r="M326" s="17" t="n"/>
      <c r="N326" s="17" t="n"/>
      <c r="O326" s="26">
        <f>IF($D326="","",IFERROR(VLOOKUP($D326,物料档案!$A$4:$P$1203,10,0),0))</f>
        <v/>
      </c>
      <c r="P326" s="32" t="n"/>
      <c r="Q326" s="26">
        <f>IF($D326="","",IF($K326&lt;&gt;"对外销售",0,ROUND(N($J326)*IF($P326="",N($O326),N($P326)),0)))</f>
        <v/>
      </c>
      <c r="R326" s="26">
        <f>IF($D326="","",IFERROR(VLOOKUP($D326,库存台账!$A$5:$Y$1204,11,0),0))</f>
        <v/>
      </c>
      <c r="S326" s="26">
        <f>IF($D326="","",ROUND(N($J326)*N($R326),0))</f>
        <v/>
      </c>
      <c r="T326" s="26">
        <f>IF($D326="","",IF($K326&lt;&gt;"对外销售","",ROUND($Q326-$S326,0)))</f>
        <v/>
      </c>
      <c r="U326" s="17" t="n"/>
      <c r="V326" s="17" t="n"/>
      <c r="W326" s="24">
        <f>IF($D326="","",IF($E326="※编码不在物料档案里","※物料编码不在档案里",IF(N($J326)&lt;=0,"※出库数量要大于 0",IF($K326="","※没填去向类型",IF($L326="","※没填去向矿区",IF(AND($C326&lt;&gt;"",$C326&lt;=结账锁),"※日期早于已结账截止日，不能再录",IF(AND($K326="自用消耗",COUNTIF({"一矿区";"二矿区"},$L326)=0),"※自用消耗的去向只能是一矿区或二矿区",IF(AND($K326="对外销售",COUNTIF({"三矿区";"六矿区"},$L326)=0),"※对外销售的去向只能是三矿区或六矿区",IF(AND($K326="对外销售",ROUND($Q326,0)=0),"※外销却没有售价，请填实际售价",IF(AND($K326="对外销售",$T326&lt;&gt;"",$T326&lt;0),"※这一笔外销是亏的，请核对售价",IF(IFERROR(VLOOKUP($D326,库存台账!$A$5:$Y$1204,24,0),0)&lt;-0.001,"※这个物料账面已经变成负数了，查一下是不是漏记入库","")))))))))))</f>
        <v/>
      </c>
    </row>
    <row r="327">
      <c r="A327" s="24">
        <f>IF($D327="","",COUNTA($D$4:$D327))</f>
        <v/>
      </c>
      <c r="B327" s="17" t="n"/>
      <c r="C327" s="30" t="n"/>
      <c r="D327" s="17" t="n"/>
      <c r="E327" s="24">
        <f>IF($D327="","",IFERROR(VLOOKUP($D327,物料档案!$A$4:$P$1203,3,0),"※编码不在物料档案里"))</f>
        <v/>
      </c>
      <c r="F327" s="24">
        <f>IF($D327="","",IFERROR(VLOOKUP($D327,物料档案!$A$4:$P$1203,4,0),"※编码不在物料档案里"))</f>
        <v/>
      </c>
      <c r="G327" s="24">
        <f>IF($D327="","",IFERROR(VLOOKUP($D327,物料档案!$A$4:$P$1203,5,0),"※编码不在物料档案里"))</f>
        <v/>
      </c>
      <c r="H327" s="24">
        <f>IF($D327="","",IFERROR(VLOOKUP($D327,物料档案!$A$4:$P$1203,2,0),"※编码不在物料档案里"))</f>
        <v/>
      </c>
      <c r="I327" s="24">
        <f>IF($D327="","",IFERROR(VLOOKUP($D327,物料档案!$A$4:$P$1203,6,0),"※编码不在物料档案里"))</f>
        <v/>
      </c>
      <c r="J327" s="23" t="n"/>
      <c r="K327" s="17" t="n"/>
      <c r="L327" s="17" t="n"/>
      <c r="M327" s="17" t="n"/>
      <c r="N327" s="17" t="n"/>
      <c r="O327" s="26">
        <f>IF($D327="","",IFERROR(VLOOKUP($D327,物料档案!$A$4:$P$1203,10,0),0))</f>
        <v/>
      </c>
      <c r="P327" s="32" t="n"/>
      <c r="Q327" s="26">
        <f>IF($D327="","",IF($K327&lt;&gt;"对外销售",0,ROUND(N($J327)*IF($P327="",N($O327),N($P327)),0)))</f>
        <v/>
      </c>
      <c r="R327" s="26">
        <f>IF($D327="","",IFERROR(VLOOKUP($D327,库存台账!$A$5:$Y$1204,11,0),0))</f>
        <v/>
      </c>
      <c r="S327" s="26">
        <f>IF($D327="","",ROUND(N($J327)*N($R327),0))</f>
        <v/>
      </c>
      <c r="T327" s="26">
        <f>IF($D327="","",IF($K327&lt;&gt;"对外销售","",ROUND($Q327-$S327,0)))</f>
        <v/>
      </c>
      <c r="U327" s="17" t="n"/>
      <c r="V327" s="17" t="n"/>
      <c r="W327" s="24">
        <f>IF($D327="","",IF($E327="※编码不在物料档案里","※物料编码不在档案里",IF(N($J327)&lt;=0,"※出库数量要大于 0",IF($K327="","※没填去向类型",IF($L327="","※没填去向矿区",IF(AND($C327&lt;&gt;"",$C327&lt;=结账锁),"※日期早于已结账截止日，不能再录",IF(AND($K327="自用消耗",COUNTIF({"一矿区";"二矿区"},$L327)=0),"※自用消耗的去向只能是一矿区或二矿区",IF(AND($K327="对外销售",COUNTIF({"三矿区";"六矿区"},$L327)=0),"※对外销售的去向只能是三矿区或六矿区",IF(AND($K327="对外销售",ROUND($Q327,0)=0),"※外销却没有售价，请填实际售价",IF(AND($K327="对外销售",$T327&lt;&gt;"",$T327&lt;0),"※这一笔外销是亏的，请核对售价",IF(IFERROR(VLOOKUP($D327,库存台账!$A$5:$Y$1204,24,0),0)&lt;-0.001,"※这个物料账面已经变成负数了，查一下是不是漏记入库","")))))))))))</f>
        <v/>
      </c>
    </row>
    <row r="328">
      <c r="A328" s="24">
        <f>IF($D328="","",COUNTA($D$4:$D328))</f>
        <v/>
      </c>
      <c r="B328" s="17" t="n"/>
      <c r="C328" s="30" t="n"/>
      <c r="D328" s="17" t="n"/>
      <c r="E328" s="24">
        <f>IF($D328="","",IFERROR(VLOOKUP($D328,物料档案!$A$4:$P$1203,3,0),"※编码不在物料档案里"))</f>
        <v/>
      </c>
      <c r="F328" s="24">
        <f>IF($D328="","",IFERROR(VLOOKUP($D328,物料档案!$A$4:$P$1203,4,0),"※编码不在物料档案里"))</f>
        <v/>
      </c>
      <c r="G328" s="24">
        <f>IF($D328="","",IFERROR(VLOOKUP($D328,物料档案!$A$4:$P$1203,5,0),"※编码不在物料档案里"))</f>
        <v/>
      </c>
      <c r="H328" s="24">
        <f>IF($D328="","",IFERROR(VLOOKUP($D328,物料档案!$A$4:$P$1203,2,0),"※编码不在物料档案里"))</f>
        <v/>
      </c>
      <c r="I328" s="24">
        <f>IF($D328="","",IFERROR(VLOOKUP($D328,物料档案!$A$4:$P$1203,6,0),"※编码不在物料档案里"))</f>
        <v/>
      </c>
      <c r="J328" s="23" t="n"/>
      <c r="K328" s="17" t="n"/>
      <c r="L328" s="17" t="n"/>
      <c r="M328" s="17" t="n"/>
      <c r="N328" s="17" t="n"/>
      <c r="O328" s="26">
        <f>IF($D328="","",IFERROR(VLOOKUP($D328,物料档案!$A$4:$P$1203,10,0),0))</f>
        <v/>
      </c>
      <c r="P328" s="32" t="n"/>
      <c r="Q328" s="26">
        <f>IF($D328="","",IF($K328&lt;&gt;"对外销售",0,ROUND(N($J328)*IF($P328="",N($O328),N($P328)),0)))</f>
        <v/>
      </c>
      <c r="R328" s="26">
        <f>IF($D328="","",IFERROR(VLOOKUP($D328,库存台账!$A$5:$Y$1204,11,0),0))</f>
        <v/>
      </c>
      <c r="S328" s="26">
        <f>IF($D328="","",ROUND(N($J328)*N($R328),0))</f>
        <v/>
      </c>
      <c r="T328" s="26">
        <f>IF($D328="","",IF($K328&lt;&gt;"对外销售","",ROUND($Q328-$S328,0)))</f>
        <v/>
      </c>
      <c r="U328" s="17" t="n"/>
      <c r="V328" s="17" t="n"/>
      <c r="W328" s="24">
        <f>IF($D328="","",IF($E328="※编码不在物料档案里","※物料编码不在档案里",IF(N($J328)&lt;=0,"※出库数量要大于 0",IF($K328="","※没填去向类型",IF($L328="","※没填去向矿区",IF(AND($C328&lt;&gt;"",$C328&lt;=结账锁),"※日期早于已结账截止日，不能再录",IF(AND($K328="自用消耗",COUNTIF({"一矿区";"二矿区"},$L328)=0),"※自用消耗的去向只能是一矿区或二矿区",IF(AND($K328="对外销售",COUNTIF({"三矿区";"六矿区"},$L328)=0),"※对外销售的去向只能是三矿区或六矿区",IF(AND($K328="对外销售",ROUND($Q328,0)=0),"※外销却没有售价，请填实际售价",IF(AND($K328="对外销售",$T328&lt;&gt;"",$T328&lt;0),"※这一笔外销是亏的，请核对售价",IF(IFERROR(VLOOKUP($D328,库存台账!$A$5:$Y$1204,24,0),0)&lt;-0.001,"※这个物料账面已经变成负数了，查一下是不是漏记入库","")))))))))))</f>
        <v/>
      </c>
    </row>
    <row r="329">
      <c r="A329" s="24">
        <f>IF($D329="","",COUNTA($D$4:$D329))</f>
        <v/>
      </c>
      <c r="B329" s="17" t="n"/>
      <c r="C329" s="30" t="n"/>
      <c r="D329" s="17" t="n"/>
      <c r="E329" s="24">
        <f>IF($D329="","",IFERROR(VLOOKUP($D329,物料档案!$A$4:$P$1203,3,0),"※编码不在物料档案里"))</f>
        <v/>
      </c>
      <c r="F329" s="24">
        <f>IF($D329="","",IFERROR(VLOOKUP($D329,物料档案!$A$4:$P$1203,4,0),"※编码不在物料档案里"))</f>
        <v/>
      </c>
      <c r="G329" s="24">
        <f>IF($D329="","",IFERROR(VLOOKUP($D329,物料档案!$A$4:$P$1203,5,0),"※编码不在物料档案里"))</f>
        <v/>
      </c>
      <c r="H329" s="24">
        <f>IF($D329="","",IFERROR(VLOOKUP($D329,物料档案!$A$4:$P$1203,2,0),"※编码不在物料档案里"))</f>
        <v/>
      </c>
      <c r="I329" s="24">
        <f>IF($D329="","",IFERROR(VLOOKUP($D329,物料档案!$A$4:$P$1203,6,0),"※编码不在物料档案里"))</f>
        <v/>
      </c>
      <c r="J329" s="23" t="n"/>
      <c r="K329" s="17" t="n"/>
      <c r="L329" s="17" t="n"/>
      <c r="M329" s="17" t="n"/>
      <c r="N329" s="17" t="n"/>
      <c r="O329" s="26">
        <f>IF($D329="","",IFERROR(VLOOKUP($D329,物料档案!$A$4:$P$1203,10,0),0))</f>
        <v/>
      </c>
      <c r="P329" s="32" t="n"/>
      <c r="Q329" s="26">
        <f>IF($D329="","",IF($K329&lt;&gt;"对外销售",0,ROUND(N($J329)*IF($P329="",N($O329),N($P329)),0)))</f>
        <v/>
      </c>
      <c r="R329" s="26">
        <f>IF($D329="","",IFERROR(VLOOKUP($D329,库存台账!$A$5:$Y$1204,11,0),0))</f>
        <v/>
      </c>
      <c r="S329" s="26">
        <f>IF($D329="","",ROUND(N($J329)*N($R329),0))</f>
        <v/>
      </c>
      <c r="T329" s="26">
        <f>IF($D329="","",IF($K329&lt;&gt;"对外销售","",ROUND($Q329-$S329,0)))</f>
        <v/>
      </c>
      <c r="U329" s="17" t="n"/>
      <c r="V329" s="17" t="n"/>
      <c r="W329" s="24">
        <f>IF($D329="","",IF($E329="※编码不在物料档案里","※物料编码不在档案里",IF(N($J329)&lt;=0,"※出库数量要大于 0",IF($K329="","※没填去向类型",IF($L329="","※没填去向矿区",IF(AND($C329&lt;&gt;"",$C329&lt;=结账锁),"※日期早于已结账截止日，不能再录",IF(AND($K329="自用消耗",COUNTIF({"一矿区";"二矿区"},$L329)=0),"※自用消耗的去向只能是一矿区或二矿区",IF(AND($K329="对外销售",COUNTIF({"三矿区";"六矿区"},$L329)=0),"※对外销售的去向只能是三矿区或六矿区",IF(AND($K329="对外销售",ROUND($Q329,0)=0),"※外销却没有售价，请填实际售价",IF(AND($K329="对外销售",$T329&lt;&gt;"",$T329&lt;0),"※这一笔外销是亏的，请核对售价",IF(IFERROR(VLOOKUP($D329,库存台账!$A$5:$Y$1204,24,0),0)&lt;-0.001,"※这个物料账面已经变成负数了，查一下是不是漏记入库","")))))))))))</f>
        <v/>
      </c>
    </row>
    <row r="330">
      <c r="A330" s="24">
        <f>IF($D330="","",COUNTA($D$4:$D330))</f>
        <v/>
      </c>
      <c r="B330" s="17" t="n"/>
      <c r="C330" s="30" t="n"/>
      <c r="D330" s="17" t="n"/>
      <c r="E330" s="24">
        <f>IF($D330="","",IFERROR(VLOOKUP($D330,物料档案!$A$4:$P$1203,3,0),"※编码不在物料档案里"))</f>
        <v/>
      </c>
      <c r="F330" s="24">
        <f>IF($D330="","",IFERROR(VLOOKUP($D330,物料档案!$A$4:$P$1203,4,0),"※编码不在物料档案里"))</f>
        <v/>
      </c>
      <c r="G330" s="24">
        <f>IF($D330="","",IFERROR(VLOOKUP($D330,物料档案!$A$4:$P$1203,5,0),"※编码不在物料档案里"))</f>
        <v/>
      </c>
      <c r="H330" s="24">
        <f>IF($D330="","",IFERROR(VLOOKUP($D330,物料档案!$A$4:$P$1203,2,0),"※编码不在物料档案里"))</f>
        <v/>
      </c>
      <c r="I330" s="24">
        <f>IF($D330="","",IFERROR(VLOOKUP($D330,物料档案!$A$4:$P$1203,6,0),"※编码不在物料档案里"))</f>
        <v/>
      </c>
      <c r="J330" s="23" t="n"/>
      <c r="K330" s="17" t="n"/>
      <c r="L330" s="17" t="n"/>
      <c r="M330" s="17" t="n"/>
      <c r="N330" s="17" t="n"/>
      <c r="O330" s="26">
        <f>IF($D330="","",IFERROR(VLOOKUP($D330,物料档案!$A$4:$P$1203,10,0),0))</f>
        <v/>
      </c>
      <c r="P330" s="32" t="n"/>
      <c r="Q330" s="26">
        <f>IF($D330="","",IF($K330&lt;&gt;"对外销售",0,ROUND(N($J330)*IF($P330="",N($O330),N($P330)),0)))</f>
        <v/>
      </c>
      <c r="R330" s="26">
        <f>IF($D330="","",IFERROR(VLOOKUP($D330,库存台账!$A$5:$Y$1204,11,0),0))</f>
        <v/>
      </c>
      <c r="S330" s="26">
        <f>IF($D330="","",ROUND(N($J330)*N($R330),0))</f>
        <v/>
      </c>
      <c r="T330" s="26">
        <f>IF($D330="","",IF($K330&lt;&gt;"对外销售","",ROUND($Q330-$S330,0)))</f>
        <v/>
      </c>
      <c r="U330" s="17" t="n"/>
      <c r="V330" s="17" t="n"/>
      <c r="W330" s="24">
        <f>IF($D330="","",IF($E330="※编码不在物料档案里","※物料编码不在档案里",IF(N($J330)&lt;=0,"※出库数量要大于 0",IF($K330="","※没填去向类型",IF($L330="","※没填去向矿区",IF(AND($C330&lt;&gt;"",$C330&lt;=结账锁),"※日期早于已结账截止日，不能再录",IF(AND($K330="自用消耗",COUNTIF({"一矿区";"二矿区"},$L330)=0),"※自用消耗的去向只能是一矿区或二矿区",IF(AND($K330="对外销售",COUNTIF({"三矿区";"六矿区"},$L330)=0),"※对外销售的去向只能是三矿区或六矿区",IF(AND($K330="对外销售",ROUND($Q330,0)=0),"※外销却没有售价，请填实际售价",IF(AND($K330="对外销售",$T330&lt;&gt;"",$T330&lt;0),"※这一笔外销是亏的，请核对售价",IF(IFERROR(VLOOKUP($D330,库存台账!$A$5:$Y$1204,24,0),0)&lt;-0.001,"※这个物料账面已经变成负数了，查一下是不是漏记入库","")))))))))))</f>
        <v/>
      </c>
    </row>
    <row r="331">
      <c r="A331" s="24">
        <f>IF($D331="","",COUNTA($D$4:$D331))</f>
        <v/>
      </c>
      <c r="B331" s="17" t="n"/>
      <c r="C331" s="30" t="n"/>
      <c r="D331" s="17" t="n"/>
      <c r="E331" s="24">
        <f>IF($D331="","",IFERROR(VLOOKUP($D331,物料档案!$A$4:$P$1203,3,0),"※编码不在物料档案里"))</f>
        <v/>
      </c>
      <c r="F331" s="24">
        <f>IF($D331="","",IFERROR(VLOOKUP($D331,物料档案!$A$4:$P$1203,4,0),"※编码不在物料档案里"))</f>
        <v/>
      </c>
      <c r="G331" s="24">
        <f>IF($D331="","",IFERROR(VLOOKUP($D331,物料档案!$A$4:$P$1203,5,0),"※编码不在物料档案里"))</f>
        <v/>
      </c>
      <c r="H331" s="24">
        <f>IF($D331="","",IFERROR(VLOOKUP($D331,物料档案!$A$4:$P$1203,2,0),"※编码不在物料档案里"))</f>
        <v/>
      </c>
      <c r="I331" s="24">
        <f>IF($D331="","",IFERROR(VLOOKUP($D331,物料档案!$A$4:$P$1203,6,0),"※编码不在物料档案里"))</f>
        <v/>
      </c>
      <c r="J331" s="23" t="n"/>
      <c r="K331" s="17" t="n"/>
      <c r="L331" s="17" t="n"/>
      <c r="M331" s="17" t="n"/>
      <c r="N331" s="17" t="n"/>
      <c r="O331" s="26">
        <f>IF($D331="","",IFERROR(VLOOKUP($D331,物料档案!$A$4:$P$1203,10,0),0))</f>
        <v/>
      </c>
      <c r="P331" s="32" t="n"/>
      <c r="Q331" s="26">
        <f>IF($D331="","",IF($K331&lt;&gt;"对外销售",0,ROUND(N($J331)*IF($P331="",N($O331),N($P331)),0)))</f>
        <v/>
      </c>
      <c r="R331" s="26">
        <f>IF($D331="","",IFERROR(VLOOKUP($D331,库存台账!$A$5:$Y$1204,11,0),0))</f>
        <v/>
      </c>
      <c r="S331" s="26">
        <f>IF($D331="","",ROUND(N($J331)*N($R331),0))</f>
        <v/>
      </c>
      <c r="T331" s="26">
        <f>IF($D331="","",IF($K331&lt;&gt;"对外销售","",ROUND($Q331-$S331,0)))</f>
        <v/>
      </c>
      <c r="U331" s="17" t="n"/>
      <c r="V331" s="17" t="n"/>
      <c r="W331" s="24">
        <f>IF($D331="","",IF($E331="※编码不在物料档案里","※物料编码不在档案里",IF(N($J331)&lt;=0,"※出库数量要大于 0",IF($K331="","※没填去向类型",IF($L331="","※没填去向矿区",IF(AND($C331&lt;&gt;"",$C331&lt;=结账锁),"※日期早于已结账截止日，不能再录",IF(AND($K331="自用消耗",COUNTIF({"一矿区";"二矿区"},$L331)=0),"※自用消耗的去向只能是一矿区或二矿区",IF(AND($K331="对外销售",COUNTIF({"三矿区";"六矿区"},$L331)=0),"※对外销售的去向只能是三矿区或六矿区",IF(AND($K331="对外销售",ROUND($Q331,0)=0),"※外销却没有售价，请填实际售价",IF(AND($K331="对外销售",$T331&lt;&gt;"",$T331&lt;0),"※这一笔外销是亏的，请核对售价",IF(IFERROR(VLOOKUP($D331,库存台账!$A$5:$Y$1204,24,0),0)&lt;-0.001,"※这个物料账面已经变成负数了，查一下是不是漏记入库","")))))))))))</f>
        <v/>
      </c>
    </row>
    <row r="332">
      <c r="A332" s="24">
        <f>IF($D332="","",COUNTA($D$4:$D332))</f>
        <v/>
      </c>
      <c r="B332" s="17" t="n"/>
      <c r="C332" s="30" t="n"/>
      <c r="D332" s="17" t="n"/>
      <c r="E332" s="24">
        <f>IF($D332="","",IFERROR(VLOOKUP($D332,物料档案!$A$4:$P$1203,3,0),"※编码不在物料档案里"))</f>
        <v/>
      </c>
      <c r="F332" s="24">
        <f>IF($D332="","",IFERROR(VLOOKUP($D332,物料档案!$A$4:$P$1203,4,0),"※编码不在物料档案里"))</f>
        <v/>
      </c>
      <c r="G332" s="24">
        <f>IF($D332="","",IFERROR(VLOOKUP($D332,物料档案!$A$4:$P$1203,5,0),"※编码不在物料档案里"))</f>
        <v/>
      </c>
      <c r="H332" s="24">
        <f>IF($D332="","",IFERROR(VLOOKUP($D332,物料档案!$A$4:$P$1203,2,0),"※编码不在物料档案里"))</f>
        <v/>
      </c>
      <c r="I332" s="24">
        <f>IF($D332="","",IFERROR(VLOOKUP($D332,物料档案!$A$4:$P$1203,6,0),"※编码不在物料档案里"))</f>
        <v/>
      </c>
      <c r="J332" s="23" t="n"/>
      <c r="K332" s="17" t="n"/>
      <c r="L332" s="17" t="n"/>
      <c r="M332" s="17" t="n"/>
      <c r="N332" s="17" t="n"/>
      <c r="O332" s="26">
        <f>IF($D332="","",IFERROR(VLOOKUP($D332,物料档案!$A$4:$P$1203,10,0),0))</f>
        <v/>
      </c>
      <c r="P332" s="32" t="n"/>
      <c r="Q332" s="26">
        <f>IF($D332="","",IF($K332&lt;&gt;"对外销售",0,ROUND(N($J332)*IF($P332="",N($O332),N($P332)),0)))</f>
        <v/>
      </c>
      <c r="R332" s="26">
        <f>IF($D332="","",IFERROR(VLOOKUP($D332,库存台账!$A$5:$Y$1204,11,0),0))</f>
        <v/>
      </c>
      <c r="S332" s="26">
        <f>IF($D332="","",ROUND(N($J332)*N($R332),0))</f>
        <v/>
      </c>
      <c r="T332" s="26">
        <f>IF($D332="","",IF($K332&lt;&gt;"对外销售","",ROUND($Q332-$S332,0)))</f>
        <v/>
      </c>
      <c r="U332" s="17" t="n"/>
      <c r="V332" s="17" t="n"/>
      <c r="W332" s="24">
        <f>IF($D332="","",IF($E332="※编码不在物料档案里","※物料编码不在档案里",IF(N($J332)&lt;=0,"※出库数量要大于 0",IF($K332="","※没填去向类型",IF($L332="","※没填去向矿区",IF(AND($C332&lt;&gt;"",$C332&lt;=结账锁),"※日期早于已结账截止日，不能再录",IF(AND($K332="自用消耗",COUNTIF({"一矿区";"二矿区"},$L332)=0),"※自用消耗的去向只能是一矿区或二矿区",IF(AND($K332="对外销售",COUNTIF({"三矿区";"六矿区"},$L332)=0),"※对外销售的去向只能是三矿区或六矿区",IF(AND($K332="对外销售",ROUND($Q332,0)=0),"※外销却没有售价，请填实际售价",IF(AND($K332="对外销售",$T332&lt;&gt;"",$T332&lt;0),"※这一笔外销是亏的，请核对售价",IF(IFERROR(VLOOKUP($D332,库存台账!$A$5:$Y$1204,24,0),0)&lt;-0.001,"※这个物料账面已经变成负数了，查一下是不是漏记入库","")))))))))))</f>
        <v/>
      </c>
    </row>
    <row r="333">
      <c r="A333" s="24">
        <f>IF($D333="","",COUNTA($D$4:$D333))</f>
        <v/>
      </c>
      <c r="B333" s="17" t="n"/>
      <c r="C333" s="30" t="n"/>
      <c r="D333" s="17" t="n"/>
      <c r="E333" s="24">
        <f>IF($D333="","",IFERROR(VLOOKUP($D333,物料档案!$A$4:$P$1203,3,0),"※编码不在物料档案里"))</f>
        <v/>
      </c>
      <c r="F333" s="24">
        <f>IF($D333="","",IFERROR(VLOOKUP($D333,物料档案!$A$4:$P$1203,4,0),"※编码不在物料档案里"))</f>
        <v/>
      </c>
      <c r="G333" s="24">
        <f>IF($D333="","",IFERROR(VLOOKUP($D333,物料档案!$A$4:$P$1203,5,0),"※编码不在物料档案里"))</f>
        <v/>
      </c>
      <c r="H333" s="24">
        <f>IF($D333="","",IFERROR(VLOOKUP($D333,物料档案!$A$4:$P$1203,2,0),"※编码不在物料档案里"))</f>
        <v/>
      </c>
      <c r="I333" s="24">
        <f>IF($D333="","",IFERROR(VLOOKUP($D333,物料档案!$A$4:$P$1203,6,0),"※编码不在物料档案里"))</f>
        <v/>
      </c>
      <c r="J333" s="23" t="n"/>
      <c r="K333" s="17" t="n"/>
      <c r="L333" s="17" t="n"/>
      <c r="M333" s="17" t="n"/>
      <c r="N333" s="17" t="n"/>
      <c r="O333" s="26">
        <f>IF($D333="","",IFERROR(VLOOKUP($D333,物料档案!$A$4:$P$1203,10,0),0))</f>
        <v/>
      </c>
      <c r="P333" s="32" t="n"/>
      <c r="Q333" s="26">
        <f>IF($D333="","",IF($K333&lt;&gt;"对外销售",0,ROUND(N($J333)*IF($P333="",N($O333),N($P333)),0)))</f>
        <v/>
      </c>
      <c r="R333" s="26">
        <f>IF($D333="","",IFERROR(VLOOKUP($D333,库存台账!$A$5:$Y$1204,11,0),0))</f>
        <v/>
      </c>
      <c r="S333" s="26">
        <f>IF($D333="","",ROUND(N($J333)*N($R333),0))</f>
        <v/>
      </c>
      <c r="T333" s="26">
        <f>IF($D333="","",IF($K333&lt;&gt;"对外销售","",ROUND($Q333-$S333,0)))</f>
        <v/>
      </c>
      <c r="U333" s="17" t="n"/>
      <c r="V333" s="17" t="n"/>
      <c r="W333" s="24">
        <f>IF($D333="","",IF($E333="※编码不在物料档案里","※物料编码不在档案里",IF(N($J333)&lt;=0,"※出库数量要大于 0",IF($K333="","※没填去向类型",IF($L333="","※没填去向矿区",IF(AND($C333&lt;&gt;"",$C333&lt;=结账锁),"※日期早于已结账截止日，不能再录",IF(AND($K333="自用消耗",COUNTIF({"一矿区";"二矿区"},$L333)=0),"※自用消耗的去向只能是一矿区或二矿区",IF(AND($K333="对外销售",COUNTIF({"三矿区";"六矿区"},$L333)=0),"※对外销售的去向只能是三矿区或六矿区",IF(AND($K333="对外销售",ROUND($Q333,0)=0),"※外销却没有售价，请填实际售价",IF(AND($K333="对外销售",$T333&lt;&gt;"",$T333&lt;0),"※这一笔外销是亏的，请核对售价",IF(IFERROR(VLOOKUP($D333,库存台账!$A$5:$Y$1204,24,0),0)&lt;-0.001,"※这个物料账面已经变成负数了，查一下是不是漏记入库","")))))))))))</f>
        <v/>
      </c>
    </row>
    <row r="334">
      <c r="A334" s="24">
        <f>IF($D334="","",COUNTA($D$4:$D334))</f>
        <v/>
      </c>
      <c r="B334" s="17" t="n"/>
      <c r="C334" s="30" t="n"/>
      <c r="D334" s="17" t="n"/>
      <c r="E334" s="24">
        <f>IF($D334="","",IFERROR(VLOOKUP($D334,物料档案!$A$4:$P$1203,3,0),"※编码不在物料档案里"))</f>
        <v/>
      </c>
      <c r="F334" s="24">
        <f>IF($D334="","",IFERROR(VLOOKUP($D334,物料档案!$A$4:$P$1203,4,0),"※编码不在物料档案里"))</f>
        <v/>
      </c>
      <c r="G334" s="24">
        <f>IF($D334="","",IFERROR(VLOOKUP($D334,物料档案!$A$4:$P$1203,5,0),"※编码不在物料档案里"))</f>
        <v/>
      </c>
      <c r="H334" s="24">
        <f>IF($D334="","",IFERROR(VLOOKUP($D334,物料档案!$A$4:$P$1203,2,0),"※编码不在物料档案里"))</f>
        <v/>
      </c>
      <c r="I334" s="24">
        <f>IF($D334="","",IFERROR(VLOOKUP($D334,物料档案!$A$4:$P$1203,6,0),"※编码不在物料档案里"))</f>
        <v/>
      </c>
      <c r="J334" s="23" t="n"/>
      <c r="K334" s="17" t="n"/>
      <c r="L334" s="17" t="n"/>
      <c r="M334" s="17" t="n"/>
      <c r="N334" s="17" t="n"/>
      <c r="O334" s="26">
        <f>IF($D334="","",IFERROR(VLOOKUP($D334,物料档案!$A$4:$P$1203,10,0),0))</f>
        <v/>
      </c>
      <c r="P334" s="32" t="n"/>
      <c r="Q334" s="26">
        <f>IF($D334="","",IF($K334&lt;&gt;"对外销售",0,ROUND(N($J334)*IF($P334="",N($O334),N($P334)),0)))</f>
        <v/>
      </c>
      <c r="R334" s="26">
        <f>IF($D334="","",IFERROR(VLOOKUP($D334,库存台账!$A$5:$Y$1204,11,0),0))</f>
        <v/>
      </c>
      <c r="S334" s="26">
        <f>IF($D334="","",ROUND(N($J334)*N($R334),0))</f>
        <v/>
      </c>
      <c r="T334" s="26">
        <f>IF($D334="","",IF($K334&lt;&gt;"对外销售","",ROUND($Q334-$S334,0)))</f>
        <v/>
      </c>
      <c r="U334" s="17" t="n"/>
      <c r="V334" s="17" t="n"/>
      <c r="W334" s="24">
        <f>IF($D334="","",IF($E334="※编码不在物料档案里","※物料编码不在档案里",IF(N($J334)&lt;=0,"※出库数量要大于 0",IF($K334="","※没填去向类型",IF($L334="","※没填去向矿区",IF(AND($C334&lt;&gt;"",$C334&lt;=结账锁),"※日期早于已结账截止日，不能再录",IF(AND($K334="自用消耗",COUNTIF({"一矿区";"二矿区"},$L334)=0),"※自用消耗的去向只能是一矿区或二矿区",IF(AND($K334="对外销售",COUNTIF({"三矿区";"六矿区"},$L334)=0),"※对外销售的去向只能是三矿区或六矿区",IF(AND($K334="对外销售",ROUND($Q334,0)=0),"※外销却没有售价，请填实际售价",IF(AND($K334="对外销售",$T334&lt;&gt;"",$T334&lt;0),"※这一笔外销是亏的，请核对售价",IF(IFERROR(VLOOKUP($D334,库存台账!$A$5:$Y$1204,24,0),0)&lt;-0.001,"※这个物料账面已经变成负数了，查一下是不是漏记入库","")))))))))))</f>
        <v/>
      </c>
    </row>
    <row r="335">
      <c r="A335" s="24">
        <f>IF($D335="","",COUNTA($D$4:$D335))</f>
        <v/>
      </c>
      <c r="B335" s="17" t="n"/>
      <c r="C335" s="30" t="n"/>
      <c r="D335" s="17" t="n"/>
      <c r="E335" s="24">
        <f>IF($D335="","",IFERROR(VLOOKUP($D335,物料档案!$A$4:$P$1203,3,0),"※编码不在物料档案里"))</f>
        <v/>
      </c>
      <c r="F335" s="24">
        <f>IF($D335="","",IFERROR(VLOOKUP($D335,物料档案!$A$4:$P$1203,4,0),"※编码不在物料档案里"))</f>
        <v/>
      </c>
      <c r="G335" s="24">
        <f>IF($D335="","",IFERROR(VLOOKUP($D335,物料档案!$A$4:$P$1203,5,0),"※编码不在物料档案里"))</f>
        <v/>
      </c>
      <c r="H335" s="24">
        <f>IF($D335="","",IFERROR(VLOOKUP($D335,物料档案!$A$4:$P$1203,2,0),"※编码不在物料档案里"))</f>
        <v/>
      </c>
      <c r="I335" s="24">
        <f>IF($D335="","",IFERROR(VLOOKUP($D335,物料档案!$A$4:$P$1203,6,0),"※编码不在物料档案里"))</f>
        <v/>
      </c>
      <c r="J335" s="23" t="n"/>
      <c r="K335" s="17" t="n"/>
      <c r="L335" s="17" t="n"/>
      <c r="M335" s="17" t="n"/>
      <c r="N335" s="17" t="n"/>
      <c r="O335" s="26">
        <f>IF($D335="","",IFERROR(VLOOKUP($D335,物料档案!$A$4:$P$1203,10,0),0))</f>
        <v/>
      </c>
      <c r="P335" s="32" t="n"/>
      <c r="Q335" s="26">
        <f>IF($D335="","",IF($K335&lt;&gt;"对外销售",0,ROUND(N($J335)*IF($P335="",N($O335),N($P335)),0)))</f>
        <v/>
      </c>
      <c r="R335" s="26">
        <f>IF($D335="","",IFERROR(VLOOKUP($D335,库存台账!$A$5:$Y$1204,11,0),0))</f>
        <v/>
      </c>
      <c r="S335" s="26">
        <f>IF($D335="","",ROUND(N($J335)*N($R335),0))</f>
        <v/>
      </c>
      <c r="T335" s="26">
        <f>IF($D335="","",IF($K335&lt;&gt;"对外销售","",ROUND($Q335-$S335,0)))</f>
        <v/>
      </c>
      <c r="U335" s="17" t="n"/>
      <c r="V335" s="17" t="n"/>
      <c r="W335" s="24">
        <f>IF($D335="","",IF($E335="※编码不在物料档案里","※物料编码不在档案里",IF(N($J335)&lt;=0,"※出库数量要大于 0",IF($K335="","※没填去向类型",IF($L335="","※没填去向矿区",IF(AND($C335&lt;&gt;"",$C335&lt;=结账锁),"※日期早于已结账截止日，不能再录",IF(AND($K335="自用消耗",COUNTIF({"一矿区";"二矿区"},$L335)=0),"※自用消耗的去向只能是一矿区或二矿区",IF(AND($K335="对外销售",COUNTIF({"三矿区";"六矿区"},$L335)=0),"※对外销售的去向只能是三矿区或六矿区",IF(AND($K335="对外销售",ROUND($Q335,0)=0),"※外销却没有售价，请填实际售价",IF(AND($K335="对外销售",$T335&lt;&gt;"",$T335&lt;0),"※这一笔外销是亏的，请核对售价",IF(IFERROR(VLOOKUP($D335,库存台账!$A$5:$Y$1204,24,0),0)&lt;-0.001,"※这个物料账面已经变成负数了，查一下是不是漏记入库","")))))))))))</f>
        <v/>
      </c>
    </row>
    <row r="336">
      <c r="A336" s="24">
        <f>IF($D336="","",COUNTA($D$4:$D336))</f>
        <v/>
      </c>
      <c r="B336" s="17" t="n"/>
      <c r="C336" s="30" t="n"/>
      <c r="D336" s="17" t="n"/>
      <c r="E336" s="24">
        <f>IF($D336="","",IFERROR(VLOOKUP($D336,物料档案!$A$4:$P$1203,3,0),"※编码不在物料档案里"))</f>
        <v/>
      </c>
      <c r="F336" s="24">
        <f>IF($D336="","",IFERROR(VLOOKUP($D336,物料档案!$A$4:$P$1203,4,0),"※编码不在物料档案里"))</f>
        <v/>
      </c>
      <c r="G336" s="24">
        <f>IF($D336="","",IFERROR(VLOOKUP($D336,物料档案!$A$4:$P$1203,5,0),"※编码不在物料档案里"))</f>
        <v/>
      </c>
      <c r="H336" s="24">
        <f>IF($D336="","",IFERROR(VLOOKUP($D336,物料档案!$A$4:$P$1203,2,0),"※编码不在物料档案里"))</f>
        <v/>
      </c>
      <c r="I336" s="24">
        <f>IF($D336="","",IFERROR(VLOOKUP($D336,物料档案!$A$4:$P$1203,6,0),"※编码不在物料档案里"))</f>
        <v/>
      </c>
      <c r="J336" s="23" t="n"/>
      <c r="K336" s="17" t="n"/>
      <c r="L336" s="17" t="n"/>
      <c r="M336" s="17" t="n"/>
      <c r="N336" s="17" t="n"/>
      <c r="O336" s="26">
        <f>IF($D336="","",IFERROR(VLOOKUP($D336,物料档案!$A$4:$P$1203,10,0),0))</f>
        <v/>
      </c>
      <c r="P336" s="32" t="n"/>
      <c r="Q336" s="26">
        <f>IF($D336="","",IF($K336&lt;&gt;"对外销售",0,ROUND(N($J336)*IF($P336="",N($O336),N($P336)),0)))</f>
        <v/>
      </c>
      <c r="R336" s="26">
        <f>IF($D336="","",IFERROR(VLOOKUP($D336,库存台账!$A$5:$Y$1204,11,0),0))</f>
        <v/>
      </c>
      <c r="S336" s="26">
        <f>IF($D336="","",ROUND(N($J336)*N($R336),0))</f>
        <v/>
      </c>
      <c r="T336" s="26">
        <f>IF($D336="","",IF($K336&lt;&gt;"对外销售","",ROUND($Q336-$S336,0)))</f>
        <v/>
      </c>
      <c r="U336" s="17" t="n"/>
      <c r="V336" s="17" t="n"/>
      <c r="W336" s="24">
        <f>IF($D336="","",IF($E336="※编码不在物料档案里","※物料编码不在档案里",IF(N($J336)&lt;=0,"※出库数量要大于 0",IF($K336="","※没填去向类型",IF($L336="","※没填去向矿区",IF(AND($C336&lt;&gt;"",$C336&lt;=结账锁),"※日期早于已结账截止日，不能再录",IF(AND($K336="自用消耗",COUNTIF({"一矿区";"二矿区"},$L336)=0),"※自用消耗的去向只能是一矿区或二矿区",IF(AND($K336="对外销售",COUNTIF({"三矿区";"六矿区"},$L336)=0),"※对外销售的去向只能是三矿区或六矿区",IF(AND($K336="对外销售",ROUND($Q336,0)=0),"※外销却没有售价，请填实际售价",IF(AND($K336="对外销售",$T336&lt;&gt;"",$T336&lt;0),"※这一笔外销是亏的，请核对售价",IF(IFERROR(VLOOKUP($D336,库存台账!$A$5:$Y$1204,24,0),0)&lt;-0.001,"※这个物料账面已经变成负数了，查一下是不是漏记入库","")))))))))))</f>
        <v/>
      </c>
    </row>
    <row r="337">
      <c r="A337" s="24">
        <f>IF($D337="","",COUNTA($D$4:$D337))</f>
        <v/>
      </c>
      <c r="B337" s="17" t="n"/>
      <c r="C337" s="30" t="n"/>
      <c r="D337" s="17" t="n"/>
      <c r="E337" s="24">
        <f>IF($D337="","",IFERROR(VLOOKUP($D337,物料档案!$A$4:$P$1203,3,0),"※编码不在物料档案里"))</f>
        <v/>
      </c>
      <c r="F337" s="24">
        <f>IF($D337="","",IFERROR(VLOOKUP($D337,物料档案!$A$4:$P$1203,4,0),"※编码不在物料档案里"))</f>
        <v/>
      </c>
      <c r="G337" s="24">
        <f>IF($D337="","",IFERROR(VLOOKUP($D337,物料档案!$A$4:$P$1203,5,0),"※编码不在物料档案里"))</f>
        <v/>
      </c>
      <c r="H337" s="24">
        <f>IF($D337="","",IFERROR(VLOOKUP($D337,物料档案!$A$4:$P$1203,2,0),"※编码不在物料档案里"))</f>
        <v/>
      </c>
      <c r="I337" s="24">
        <f>IF($D337="","",IFERROR(VLOOKUP($D337,物料档案!$A$4:$P$1203,6,0),"※编码不在物料档案里"))</f>
        <v/>
      </c>
      <c r="J337" s="23" t="n"/>
      <c r="K337" s="17" t="n"/>
      <c r="L337" s="17" t="n"/>
      <c r="M337" s="17" t="n"/>
      <c r="N337" s="17" t="n"/>
      <c r="O337" s="26">
        <f>IF($D337="","",IFERROR(VLOOKUP($D337,物料档案!$A$4:$P$1203,10,0),0))</f>
        <v/>
      </c>
      <c r="P337" s="32" t="n"/>
      <c r="Q337" s="26">
        <f>IF($D337="","",IF($K337&lt;&gt;"对外销售",0,ROUND(N($J337)*IF($P337="",N($O337),N($P337)),0)))</f>
        <v/>
      </c>
      <c r="R337" s="26">
        <f>IF($D337="","",IFERROR(VLOOKUP($D337,库存台账!$A$5:$Y$1204,11,0),0))</f>
        <v/>
      </c>
      <c r="S337" s="26">
        <f>IF($D337="","",ROUND(N($J337)*N($R337),0))</f>
        <v/>
      </c>
      <c r="T337" s="26">
        <f>IF($D337="","",IF($K337&lt;&gt;"对外销售","",ROUND($Q337-$S337,0)))</f>
        <v/>
      </c>
      <c r="U337" s="17" t="n"/>
      <c r="V337" s="17" t="n"/>
      <c r="W337" s="24">
        <f>IF($D337="","",IF($E337="※编码不在物料档案里","※物料编码不在档案里",IF(N($J337)&lt;=0,"※出库数量要大于 0",IF($K337="","※没填去向类型",IF($L337="","※没填去向矿区",IF(AND($C337&lt;&gt;"",$C337&lt;=结账锁),"※日期早于已结账截止日，不能再录",IF(AND($K337="自用消耗",COUNTIF({"一矿区";"二矿区"},$L337)=0),"※自用消耗的去向只能是一矿区或二矿区",IF(AND($K337="对外销售",COUNTIF({"三矿区";"六矿区"},$L337)=0),"※对外销售的去向只能是三矿区或六矿区",IF(AND($K337="对外销售",ROUND($Q337,0)=0),"※外销却没有售价，请填实际售价",IF(AND($K337="对外销售",$T337&lt;&gt;"",$T337&lt;0),"※这一笔外销是亏的，请核对售价",IF(IFERROR(VLOOKUP($D337,库存台账!$A$5:$Y$1204,24,0),0)&lt;-0.001,"※这个物料账面已经变成负数了，查一下是不是漏记入库","")))))))))))</f>
        <v/>
      </c>
    </row>
    <row r="338">
      <c r="A338" s="24">
        <f>IF($D338="","",COUNTA($D$4:$D338))</f>
        <v/>
      </c>
      <c r="B338" s="17" t="n"/>
      <c r="C338" s="30" t="n"/>
      <c r="D338" s="17" t="n"/>
      <c r="E338" s="24">
        <f>IF($D338="","",IFERROR(VLOOKUP($D338,物料档案!$A$4:$P$1203,3,0),"※编码不在物料档案里"))</f>
        <v/>
      </c>
      <c r="F338" s="24">
        <f>IF($D338="","",IFERROR(VLOOKUP($D338,物料档案!$A$4:$P$1203,4,0),"※编码不在物料档案里"))</f>
        <v/>
      </c>
      <c r="G338" s="24">
        <f>IF($D338="","",IFERROR(VLOOKUP($D338,物料档案!$A$4:$P$1203,5,0),"※编码不在物料档案里"))</f>
        <v/>
      </c>
      <c r="H338" s="24">
        <f>IF($D338="","",IFERROR(VLOOKUP($D338,物料档案!$A$4:$P$1203,2,0),"※编码不在物料档案里"))</f>
        <v/>
      </c>
      <c r="I338" s="24">
        <f>IF($D338="","",IFERROR(VLOOKUP($D338,物料档案!$A$4:$P$1203,6,0),"※编码不在物料档案里"))</f>
        <v/>
      </c>
      <c r="J338" s="23" t="n"/>
      <c r="K338" s="17" t="n"/>
      <c r="L338" s="17" t="n"/>
      <c r="M338" s="17" t="n"/>
      <c r="N338" s="17" t="n"/>
      <c r="O338" s="26">
        <f>IF($D338="","",IFERROR(VLOOKUP($D338,物料档案!$A$4:$P$1203,10,0),0))</f>
        <v/>
      </c>
      <c r="P338" s="32" t="n"/>
      <c r="Q338" s="26">
        <f>IF($D338="","",IF($K338&lt;&gt;"对外销售",0,ROUND(N($J338)*IF($P338="",N($O338),N($P338)),0)))</f>
        <v/>
      </c>
      <c r="R338" s="26">
        <f>IF($D338="","",IFERROR(VLOOKUP($D338,库存台账!$A$5:$Y$1204,11,0),0))</f>
        <v/>
      </c>
      <c r="S338" s="26">
        <f>IF($D338="","",ROUND(N($J338)*N($R338),0))</f>
        <v/>
      </c>
      <c r="T338" s="26">
        <f>IF($D338="","",IF($K338&lt;&gt;"对外销售","",ROUND($Q338-$S338,0)))</f>
        <v/>
      </c>
      <c r="U338" s="17" t="n"/>
      <c r="V338" s="17" t="n"/>
      <c r="W338" s="24">
        <f>IF($D338="","",IF($E338="※编码不在物料档案里","※物料编码不在档案里",IF(N($J338)&lt;=0,"※出库数量要大于 0",IF($K338="","※没填去向类型",IF($L338="","※没填去向矿区",IF(AND($C338&lt;&gt;"",$C338&lt;=结账锁),"※日期早于已结账截止日，不能再录",IF(AND($K338="自用消耗",COUNTIF({"一矿区";"二矿区"},$L338)=0),"※自用消耗的去向只能是一矿区或二矿区",IF(AND($K338="对外销售",COUNTIF({"三矿区";"六矿区"},$L338)=0),"※对外销售的去向只能是三矿区或六矿区",IF(AND($K338="对外销售",ROUND($Q338,0)=0),"※外销却没有售价，请填实际售价",IF(AND($K338="对外销售",$T338&lt;&gt;"",$T338&lt;0),"※这一笔外销是亏的，请核对售价",IF(IFERROR(VLOOKUP($D338,库存台账!$A$5:$Y$1204,24,0),0)&lt;-0.001,"※这个物料账面已经变成负数了，查一下是不是漏记入库","")))))))))))</f>
        <v/>
      </c>
    </row>
    <row r="339">
      <c r="A339" s="24">
        <f>IF($D339="","",COUNTA($D$4:$D339))</f>
        <v/>
      </c>
      <c r="B339" s="17" t="n"/>
      <c r="C339" s="30" t="n"/>
      <c r="D339" s="17" t="n"/>
      <c r="E339" s="24">
        <f>IF($D339="","",IFERROR(VLOOKUP($D339,物料档案!$A$4:$P$1203,3,0),"※编码不在物料档案里"))</f>
        <v/>
      </c>
      <c r="F339" s="24">
        <f>IF($D339="","",IFERROR(VLOOKUP($D339,物料档案!$A$4:$P$1203,4,0),"※编码不在物料档案里"))</f>
        <v/>
      </c>
      <c r="G339" s="24">
        <f>IF($D339="","",IFERROR(VLOOKUP($D339,物料档案!$A$4:$P$1203,5,0),"※编码不在物料档案里"))</f>
        <v/>
      </c>
      <c r="H339" s="24">
        <f>IF($D339="","",IFERROR(VLOOKUP($D339,物料档案!$A$4:$P$1203,2,0),"※编码不在物料档案里"))</f>
        <v/>
      </c>
      <c r="I339" s="24">
        <f>IF($D339="","",IFERROR(VLOOKUP($D339,物料档案!$A$4:$P$1203,6,0),"※编码不在物料档案里"))</f>
        <v/>
      </c>
      <c r="J339" s="23" t="n"/>
      <c r="K339" s="17" t="n"/>
      <c r="L339" s="17" t="n"/>
      <c r="M339" s="17" t="n"/>
      <c r="N339" s="17" t="n"/>
      <c r="O339" s="26">
        <f>IF($D339="","",IFERROR(VLOOKUP($D339,物料档案!$A$4:$P$1203,10,0),0))</f>
        <v/>
      </c>
      <c r="P339" s="32" t="n"/>
      <c r="Q339" s="26">
        <f>IF($D339="","",IF($K339&lt;&gt;"对外销售",0,ROUND(N($J339)*IF($P339="",N($O339),N($P339)),0)))</f>
        <v/>
      </c>
      <c r="R339" s="26">
        <f>IF($D339="","",IFERROR(VLOOKUP($D339,库存台账!$A$5:$Y$1204,11,0),0))</f>
        <v/>
      </c>
      <c r="S339" s="26">
        <f>IF($D339="","",ROUND(N($J339)*N($R339),0))</f>
        <v/>
      </c>
      <c r="T339" s="26">
        <f>IF($D339="","",IF($K339&lt;&gt;"对外销售","",ROUND($Q339-$S339,0)))</f>
        <v/>
      </c>
      <c r="U339" s="17" t="n"/>
      <c r="V339" s="17" t="n"/>
      <c r="W339" s="24">
        <f>IF($D339="","",IF($E339="※编码不在物料档案里","※物料编码不在档案里",IF(N($J339)&lt;=0,"※出库数量要大于 0",IF($K339="","※没填去向类型",IF($L339="","※没填去向矿区",IF(AND($C339&lt;&gt;"",$C339&lt;=结账锁),"※日期早于已结账截止日，不能再录",IF(AND($K339="自用消耗",COUNTIF({"一矿区";"二矿区"},$L339)=0),"※自用消耗的去向只能是一矿区或二矿区",IF(AND($K339="对外销售",COUNTIF({"三矿区";"六矿区"},$L339)=0),"※对外销售的去向只能是三矿区或六矿区",IF(AND($K339="对外销售",ROUND($Q339,0)=0),"※外销却没有售价，请填实际售价",IF(AND($K339="对外销售",$T339&lt;&gt;"",$T339&lt;0),"※这一笔外销是亏的，请核对售价",IF(IFERROR(VLOOKUP($D339,库存台账!$A$5:$Y$1204,24,0),0)&lt;-0.001,"※这个物料账面已经变成负数了，查一下是不是漏记入库","")))))))))))</f>
        <v/>
      </c>
    </row>
    <row r="340">
      <c r="A340" s="24">
        <f>IF($D340="","",COUNTA($D$4:$D340))</f>
        <v/>
      </c>
      <c r="B340" s="17" t="n"/>
      <c r="C340" s="30" t="n"/>
      <c r="D340" s="17" t="n"/>
      <c r="E340" s="24">
        <f>IF($D340="","",IFERROR(VLOOKUP($D340,物料档案!$A$4:$P$1203,3,0),"※编码不在物料档案里"))</f>
        <v/>
      </c>
      <c r="F340" s="24">
        <f>IF($D340="","",IFERROR(VLOOKUP($D340,物料档案!$A$4:$P$1203,4,0),"※编码不在物料档案里"))</f>
        <v/>
      </c>
      <c r="G340" s="24">
        <f>IF($D340="","",IFERROR(VLOOKUP($D340,物料档案!$A$4:$P$1203,5,0),"※编码不在物料档案里"))</f>
        <v/>
      </c>
      <c r="H340" s="24">
        <f>IF($D340="","",IFERROR(VLOOKUP($D340,物料档案!$A$4:$P$1203,2,0),"※编码不在物料档案里"))</f>
        <v/>
      </c>
      <c r="I340" s="24">
        <f>IF($D340="","",IFERROR(VLOOKUP($D340,物料档案!$A$4:$P$1203,6,0),"※编码不在物料档案里"))</f>
        <v/>
      </c>
      <c r="J340" s="23" t="n"/>
      <c r="K340" s="17" t="n"/>
      <c r="L340" s="17" t="n"/>
      <c r="M340" s="17" t="n"/>
      <c r="N340" s="17" t="n"/>
      <c r="O340" s="26">
        <f>IF($D340="","",IFERROR(VLOOKUP($D340,物料档案!$A$4:$P$1203,10,0),0))</f>
        <v/>
      </c>
      <c r="P340" s="32" t="n"/>
      <c r="Q340" s="26">
        <f>IF($D340="","",IF($K340&lt;&gt;"对外销售",0,ROUND(N($J340)*IF($P340="",N($O340),N($P340)),0)))</f>
        <v/>
      </c>
      <c r="R340" s="26">
        <f>IF($D340="","",IFERROR(VLOOKUP($D340,库存台账!$A$5:$Y$1204,11,0),0))</f>
        <v/>
      </c>
      <c r="S340" s="26">
        <f>IF($D340="","",ROUND(N($J340)*N($R340),0))</f>
        <v/>
      </c>
      <c r="T340" s="26">
        <f>IF($D340="","",IF($K340&lt;&gt;"对外销售","",ROUND($Q340-$S340,0)))</f>
        <v/>
      </c>
      <c r="U340" s="17" t="n"/>
      <c r="V340" s="17" t="n"/>
      <c r="W340" s="24">
        <f>IF($D340="","",IF($E340="※编码不在物料档案里","※物料编码不在档案里",IF(N($J340)&lt;=0,"※出库数量要大于 0",IF($K340="","※没填去向类型",IF($L340="","※没填去向矿区",IF(AND($C340&lt;&gt;"",$C340&lt;=结账锁),"※日期早于已结账截止日，不能再录",IF(AND($K340="自用消耗",COUNTIF({"一矿区";"二矿区"},$L340)=0),"※自用消耗的去向只能是一矿区或二矿区",IF(AND($K340="对外销售",COUNTIF({"三矿区";"六矿区"},$L340)=0),"※对外销售的去向只能是三矿区或六矿区",IF(AND($K340="对外销售",ROUND($Q340,0)=0),"※外销却没有售价，请填实际售价",IF(AND($K340="对外销售",$T340&lt;&gt;"",$T340&lt;0),"※这一笔外销是亏的，请核对售价",IF(IFERROR(VLOOKUP($D340,库存台账!$A$5:$Y$1204,24,0),0)&lt;-0.001,"※这个物料账面已经变成负数了，查一下是不是漏记入库","")))))))))))</f>
        <v/>
      </c>
    </row>
    <row r="341">
      <c r="A341" s="24">
        <f>IF($D341="","",COUNTA($D$4:$D341))</f>
        <v/>
      </c>
      <c r="B341" s="17" t="n"/>
      <c r="C341" s="30" t="n"/>
      <c r="D341" s="17" t="n"/>
      <c r="E341" s="24">
        <f>IF($D341="","",IFERROR(VLOOKUP($D341,物料档案!$A$4:$P$1203,3,0),"※编码不在物料档案里"))</f>
        <v/>
      </c>
      <c r="F341" s="24">
        <f>IF($D341="","",IFERROR(VLOOKUP($D341,物料档案!$A$4:$P$1203,4,0),"※编码不在物料档案里"))</f>
        <v/>
      </c>
      <c r="G341" s="24">
        <f>IF($D341="","",IFERROR(VLOOKUP($D341,物料档案!$A$4:$P$1203,5,0),"※编码不在物料档案里"))</f>
        <v/>
      </c>
      <c r="H341" s="24">
        <f>IF($D341="","",IFERROR(VLOOKUP($D341,物料档案!$A$4:$P$1203,2,0),"※编码不在物料档案里"))</f>
        <v/>
      </c>
      <c r="I341" s="24">
        <f>IF($D341="","",IFERROR(VLOOKUP($D341,物料档案!$A$4:$P$1203,6,0),"※编码不在物料档案里"))</f>
        <v/>
      </c>
      <c r="J341" s="23" t="n"/>
      <c r="K341" s="17" t="n"/>
      <c r="L341" s="17" t="n"/>
      <c r="M341" s="17" t="n"/>
      <c r="N341" s="17" t="n"/>
      <c r="O341" s="26">
        <f>IF($D341="","",IFERROR(VLOOKUP($D341,物料档案!$A$4:$P$1203,10,0),0))</f>
        <v/>
      </c>
      <c r="P341" s="32" t="n"/>
      <c r="Q341" s="26">
        <f>IF($D341="","",IF($K341&lt;&gt;"对外销售",0,ROUND(N($J341)*IF($P341="",N($O341),N($P341)),0)))</f>
        <v/>
      </c>
      <c r="R341" s="26">
        <f>IF($D341="","",IFERROR(VLOOKUP($D341,库存台账!$A$5:$Y$1204,11,0),0))</f>
        <v/>
      </c>
      <c r="S341" s="26">
        <f>IF($D341="","",ROUND(N($J341)*N($R341),0))</f>
        <v/>
      </c>
      <c r="T341" s="26">
        <f>IF($D341="","",IF($K341&lt;&gt;"对外销售","",ROUND($Q341-$S341,0)))</f>
        <v/>
      </c>
      <c r="U341" s="17" t="n"/>
      <c r="V341" s="17" t="n"/>
      <c r="W341" s="24">
        <f>IF($D341="","",IF($E341="※编码不在物料档案里","※物料编码不在档案里",IF(N($J341)&lt;=0,"※出库数量要大于 0",IF($K341="","※没填去向类型",IF($L341="","※没填去向矿区",IF(AND($C341&lt;&gt;"",$C341&lt;=结账锁),"※日期早于已结账截止日，不能再录",IF(AND($K341="自用消耗",COUNTIF({"一矿区";"二矿区"},$L341)=0),"※自用消耗的去向只能是一矿区或二矿区",IF(AND($K341="对外销售",COUNTIF({"三矿区";"六矿区"},$L341)=0),"※对外销售的去向只能是三矿区或六矿区",IF(AND($K341="对外销售",ROUND($Q341,0)=0),"※外销却没有售价，请填实际售价",IF(AND($K341="对外销售",$T341&lt;&gt;"",$T341&lt;0),"※这一笔外销是亏的，请核对售价",IF(IFERROR(VLOOKUP($D341,库存台账!$A$5:$Y$1204,24,0),0)&lt;-0.001,"※这个物料账面已经变成负数了，查一下是不是漏记入库","")))))))))))</f>
        <v/>
      </c>
    </row>
    <row r="342">
      <c r="A342" s="24">
        <f>IF($D342="","",COUNTA($D$4:$D342))</f>
        <v/>
      </c>
      <c r="B342" s="17" t="n"/>
      <c r="C342" s="30" t="n"/>
      <c r="D342" s="17" t="n"/>
      <c r="E342" s="24">
        <f>IF($D342="","",IFERROR(VLOOKUP($D342,物料档案!$A$4:$P$1203,3,0),"※编码不在物料档案里"))</f>
        <v/>
      </c>
      <c r="F342" s="24">
        <f>IF($D342="","",IFERROR(VLOOKUP($D342,物料档案!$A$4:$P$1203,4,0),"※编码不在物料档案里"))</f>
        <v/>
      </c>
      <c r="G342" s="24">
        <f>IF($D342="","",IFERROR(VLOOKUP($D342,物料档案!$A$4:$P$1203,5,0),"※编码不在物料档案里"))</f>
        <v/>
      </c>
      <c r="H342" s="24">
        <f>IF($D342="","",IFERROR(VLOOKUP($D342,物料档案!$A$4:$P$1203,2,0),"※编码不在物料档案里"))</f>
        <v/>
      </c>
      <c r="I342" s="24">
        <f>IF($D342="","",IFERROR(VLOOKUP($D342,物料档案!$A$4:$P$1203,6,0),"※编码不在物料档案里"))</f>
        <v/>
      </c>
      <c r="J342" s="23" t="n"/>
      <c r="K342" s="17" t="n"/>
      <c r="L342" s="17" t="n"/>
      <c r="M342" s="17" t="n"/>
      <c r="N342" s="17" t="n"/>
      <c r="O342" s="26">
        <f>IF($D342="","",IFERROR(VLOOKUP($D342,物料档案!$A$4:$P$1203,10,0),0))</f>
        <v/>
      </c>
      <c r="P342" s="32" t="n"/>
      <c r="Q342" s="26">
        <f>IF($D342="","",IF($K342&lt;&gt;"对外销售",0,ROUND(N($J342)*IF($P342="",N($O342),N($P342)),0)))</f>
        <v/>
      </c>
      <c r="R342" s="26">
        <f>IF($D342="","",IFERROR(VLOOKUP($D342,库存台账!$A$5:$Y$1204,11,0),0))</f>
        <v/>
      </c>
      <c r="S342" s="26">
        <f>IF($D342="","",ROUND(N($J342)*N($R342),0))</f>
        <v/>
      </c>
      <c r="T342" s="26">
        <f>IF($D342="","",IF($K342&lt;&gt;"对外销售","",ROUND($Q342-$S342,0)))</f>
        <v/>
      </c>
      <c r="U342" s="17" t="n"/>
      <c r="V342" s="17" t="n"/>
      <c r="W342" s="24">
        <f>IF($D342="","",IF($E342="※编码不在物料档案里","※物料编码不在档案里",IF(N($J342)&lt;=0,"※出库数量要大于 0",IF($K342="","※没填去向类型",IF($L342="","※没填去向矿区",IF(AND($C342&lt;&gt;"",$C342&lt;=结账锁),"※日期早于已结账截止日，不能再录",IF(AND($K342="自用消耗",COUNTIF({"一矿区";"二矿区"},$L342)=0),"※自用消耗的去向只能是一矿区或二矿区",IF(AND($K342="对外销售",COUNTIF({"三矿区";"六矿区"},$L342)=0),"※对外销售的去向只能是三矿区或六矿区",IF(AND($K342="对外销售",ROUND($Q342,0)=0),"※外销却没有售价，请填实际售价",IF(AND($K342="对外销售",$T342&lt;&gt;"",$T342&lt;0),"※这一笔外销是亏的，请核对售价",IF(IFERROR(VLOOKUP($D342,库存台账!$A$5:$Y$1204,24,0),0)&lt;-0.001,"※这个物料账面已经变成负数了，查一下是不是漏记入库","")))))))))))</f>
        <v/>
      </c>
    </row>
    <row r="343">
      <c r="A343" s="24">
        <f>IF($D343="","",COUNTA($D$4:$D343))</f>
        <v/>
      </c>
      <c r="B343" s="17" t="n"/>
      <c r="C343" s="30" t="n"/>
      <c r="D343" s="17" t="n"/>
      <c r="E343" s="24">
        <f>IF($D343="","",IFERROR(VLOOKUP($D343,物料档案!$A$4:$P$1203,3,0),"※编码不在物料档案里"))</f>
        <v/>
      </c>
      <c r="F343" s="24">
        <f>IF($D343="","",IFERROR(VLOOKUP($D343,物料档案!$A$4:$P$1203,4,0),"※编码不在物料档案里"))</f>
        <v/>
      </c>
      <c r="G343" s="24">
        <f>IF($D343="","",IFERROR(VLOOKUP($D343,物料档案!$A$4:$P$1203,5,0),"※编码不在物料档案里"))</f>
        <v/>
      </c>
      <c r="H343" s="24">
        <f>IF($D343="","",IFERROR(VLOOKUP($D343,物料档案!$A$4:$P$1203,2,0),"※编码不在物料档案里"))</f>
        <v/>
      </c>
      <c r="I343" s="24">
        <f>IF($D343="","",IFERROR(VLOOKUP($D343,物料档案!$A$4:$P$1203,6,0),"※编码不在物料档案里"))</f>
        <v/>
      </c>
      <c r="J343" s="23" t="n"/>
      <c r="K343" s="17" t="n"/>
      <c r="L343" s="17" t="n"/>
      <c r="M343" s="17" t="n"/>
      <c r="N343" s="17" t="n"/>
      <c r="O343" s="26">
        <f>IF($D343="","",IFERROR(VLOOKUP($D343,物料档案!$A$4:$P$1203,10,0),0))</f>
        <v/>
      </c>
      <c r="P343" s="32" t="n"/>
      <c r="Q343" s="26">
        <f>IF($D343="","",IF($K343&lt;&gt;"对外销售",0,ROUND(N($J343)*IF($P343="",N($O343),N($P343)),0)))</f>
        <v/>
      </c>
      <c r="R343" s="26">
        <f>IF($D343="","",IFERROR(VLOOKUP($D343,库存台账!$A$5:$Y$1204,11,0),0))</f>
        <v/>
      </c>
      <c r="S343" s="26">
        <f>IF($D343="","",ROUND(N($J343)*N($R343),0))</f>
        <v/>
      </c>
      <c r="T343" s="26">
        <f>IF($D343="","",IF($K343&lt;&gt;"对外销售","",ROUND($Q343-$S343,0)))</f>
        <v/>
      </c>
      <c r="U343" s="17" t="n"/>
      <c r="V343" s="17" t="n"/>
      <c r="W343" s="24">
        <f>IF($D343="","",IF($E343="※编码不在物料档案里","※物料编码不在档案里",IF(N($J343)&lt;=0,"※出库数量要大于 0",IF($K343="","※没填去向类型",IF($L343="","※没填去向矿区",IF(AND($C343&lt;&gt;"",$C343&lt;=结账锁),"※日期早于已结账截止日，不能再录",IF(AND($K343="自用消耗",COUNTIF({"一矿区";"二矿区"},$L343)=0),"※自用消耗的去向只能是一矿区或二矿区",IF(AND($K343="对外销售",COUNTIF({"三矿区";"六矿区"},$L343)=0),"※对外销售的去向只能是三矿区或六矿区",IF(AND($K343="对外销售",ROUND($Q343,0)=0),"※外销却没有售价，请填实际售价",IF(AND($K343="对外销售",$T343&lt;&gt;"",$T343&lt;0),"※这一笔外销是亏的，请核对售价",IF(IFERROR(VLOOKUP($D343,库存台账!$A$5:$Y$1204,24,0),0)&lt;-0.001,"※这个物料账面已经变成负数了，查一下是不是漏记入库","")))))))))))</f>
        <v/>
      </c>
    </row>
    <row r="344">
      <c r="A344" s="24">
        <f>IF($D344="","",COUNTA($D$4:$D344))</f>
        <v/>
      </c>
      <c r="B344" s="17" t="n"/>
      <c r="C344" s="30" t="n"/>
      <c r="D344" s="17" t="n"/>
      <c r="E344" s="24">
        <f>IF($D344="","",IFERROR(VLOOKUP($D344,物料档案!$A$4:$P$1203,3,0),"※编码不在物料档案里"))</f>
        <v/>
      </c>
      <c r="F344" s="24">
        <f>IF($D344="","",IFERROR(VLOOKUP($D344,物料档案!$A$4:$P$1203,4,0),"※编码不在物料档案里"))</f>
        <v/>
      </c>
      <c r="G344" s="24">
        <f>IF($D344="","",IFERROR(VLOOKUP($D344,物料档案!$A$4:$P$1203,5,0),"※编码不在物料档案里"))</f>
        <v/>
      </c>
      <c r="H344" s="24">
        <f>IF($D344="","",IFERROR(VLOOKUP($D344,物料档案!$A$4:$P$1203,2,0),"※编码不在物料档案里"))</f>
        <v/>
      </c>
      <c r="I344" s="24">
        <f>IF($D344="","",IFERROR(VLOOKUP($D344,物料档案!$A$4:$P$1203,6,0),"※编码不在物料档案里"))</f>
        <v/>
      </c>
      <c r="J344" s="23" t="n"/>
      <c r="K344" s="17" t="n"/>
      <c r="L344" s="17" t="n"/>
      <c r="M344" s="17" t="n"/>
      <c r="N344" s="17" t="n"/>
      <c r="O344" s="26">
        <f>IF($D344="","",IFERROR(VLOOKUP($D344,物料档案!$A$4:$P$1203,10,0),0))</f>
        <v/>
      </c>
      <c r="P344" s="32" t="n"/>
      <c r="Q344" s="26">
        <f>IF($D344="","",IF($K344&lt;&gt;"对外销售",0,ROUND(N($J344)*IF($P344="",N($O344),N($P344)),0)))</f>
        <v/>
      </c>
      <c r="R344" s="26">
        <f>IF($D344="","",IFERROR(VLOOKUP($D344,库存台账!$A$5:$Y$1204,11,0),0))</f>
        <v/>
      </c>
      <c r="S344" s="26">
        <f>IF($D344="","",ROUND(N($J344)*N($R344),0))</f>
        <v/>
      </c>
      <c r="T344" s="26">
        <f>IF($D344="","",IF($K344&lt;&gt;"对外销售","",ROUND($Q344-$S344,0)))</f>
        <v/>
      </c>
      <c r="U344" s="17" t="n"/>
      <c r="V344" s="17" t="n"/>
      <c r="W344" s="24">
        <f>IF($D344="","",IF($E344="※编码不在物料档案里","※物料编码不在档案里",IF(N($J344)&lt;=0,"※出库数量要大于 0",IF($K344="","※没填去向类型",IF($L344="","※没填去向矿区",IF(AND($C344&lt;&gt;"",$C344&lt;=结账锁),"※日期早于已结账截止日，不能再录",IF(AND($K344="自用消耗",COUNTIF({"一矿区";"二矿区"},$L344)=0),"※自用消耗的去向只能是一矿区或二矿区",IF(AND($K344="对外销售",COUNTIF({"三矿区";"六矿区"},$L344)=0),"※对外销售的去向只能是三矿区或六矿区",IF(AND($K344="对外销售",ROUND($Q344,0)=0),"※外销却没有售价，请填实际售价",IF(AND($K344="对外销售",$T344&lt;&gt;"",$T344&lt;0),"※这一笔外销是亏的，请核对售价",IF(IFERROR(VLOOKUP($D344,库存台账!$A$5:$Y$1204,24,0),0)&lt;-0.001,"※这个物料账面已经变成负数了，查一下是不是漏记入库","")))))))))))</f>
        <v/>
      </c>
    </row>
    <row r="345">
      <c r="A345" s="24">
        <f>IF($D345="","",COUNTA($D$4:$D345))</f>
        <v/>
      </c>
      <c r="B345" s="17" t="n"/>
      <c r="C345" s="30" t="n"/>
      <c r="D345" s="17" t="n"/>
      <c r="E345" s="24">
        <f>IF($D345="","",IFERROR(VLOOKUP($D345,物料档案!$A$4:$P$1203,3,0),"※编码不在物料档案里"))</f>
        <v/>
      </c>
      <c r="F345" s="24">
        <f>IF($D345="","",IFERROR(VLOOKUP($D345,物料档案!$A$4:$P$1203,4,0),"※编码不在物料档案里"))</f>
        <v/>
      </c>
      <c r="G345" s="24">
        <f>IF($D345="","",IFERROR(VLOOKUP($D345,物料档案!$A$4:$P$1203,5,0),"※编码不在物料档案里"))</f>
        <v/>
      </c>
      <c r="H345" s="24">
        <f>IF($D345="","",IFERROR(VLOOKUP($D345,物料档案!$A$4:$P$1203,2,0),"※编码不在物料档案里"))</f>
        <v/>
      </c>
      <c r="I345" s="24">
        <f>IF($D345="","",IFERROR(VLOOKUP($D345,物料档案!$A$4:$P$1203,6,0),"※编码不在物料档案里"))</f>
        <v/>
      </c>
      <c r="J345" s="23" t="n"/>
      <c r="K345" s="17" t="n"/>
      <c r="L345" s="17" t="n"/>
      <c r="M345" s="17" t="n"/>
      <c r="N345" s="17" t="n"/>
      <c r="O345" s="26">
        <f>IF($D345="","",IFERROR(VLOOKUP($D345,物料档案!$A$4:$P$1203,10,0),0))</f>
        <v/>
      </c>
      <c r="P345" s="32" t="n"/>
      <c r="Q345" s="26">
        <f>IF($D345="","",IF($K345&lt;&gt;"对外销售",0,ROUND(N($J345)*IF($P345="",N($O345),N($P345)),0)))</f>
        <v/>
      </c>
      <c r="R345" s="26">
        <f>IF($D345="","",IFERROR(VLOOKUP($D345,库存台账!$A$5:$Y$1204,11,0),0))</f>
        <v/>
      </c>
      <c r="S345" s="26">
        <f>IF($D345="","",ROUND(N($J345)*N($R345),0))</f>
        <v/>
      </c>
      <c r="T345" s="26">
        <f>IF($D345="","",IF($K345&lt;&gt;"对外销售","",ROUND($Q345-$S345,0)))</f>
        <v/>
      </c>
      <c r="U345" s="17" t="n"/>
      <c r="V345" s="17" t="n"/>
      <c r="W345" s="24">
        <f>IF($D345="","",IF($E345="※编码不在物料档案里","※物料编码不在档案里",IF(N($J345)&lt;=0,"※出库数量要大于 0",IF($K345="","※没填去向类型",IF($L345="","※没填去向矿区",IF(AND($C345&lt;&gt;"",$C345&lt;=结账锁),"※日期早于已结账截止日，不能再录",IF(AND($K345="自用消耗",COUNTIF({"一矿区";"二矿区"},$L345)=0),"※自用消耗的去向只能是一矿区或二矿区",IF(AND($K345="对外销售",COUNTIF({"三矿区";"六矿区"},$L345)=0),"※对外销售的去向只能是三矿区或六矿区",IF(AND($K345="对外销售",ROUND($Q345,0)=0),"※外销却没有售价，请填实际售价",IF(AND($K345="对外销售",$T345&lt;&gt;"",$T345&lt;0),"※这一笔外销是亏的，请核对售价",IF(IFERROR(VLOOKUP($D345,库存台账!$A$5:$Y$1204,24,0),0)&lt;-0.001,"※这个物料账面已经变成负数了，查一下是不是漏记入库","")))))))))))</f>
        <v/>
      </c>
    </row>
    <row r="346">
      <c r="A346" s="24">
        <f>IF($D346="","",COUNTA($D$4:$D346))</f>
        <v/>
      </c>
      <c r="B346" s="17" t="n"/>
      <c r="C346" s="30" t="n"/>
      <c r="D346" s="17" t="n"/>
      <c r="E346" s="24">
        <f>IF($D346="","",IFERROR(VLOOKUP($D346,物料档案!$A$4:$P$1203,3,0),"※编码不在物料档案里"))</f>
        <v/>
      </c>
      <c r="F346" s="24">
        <f>IF($D346="","",IFERROR(VLOOKUP($D346,物料档案!$A$4:$P$1203,4,0),"※编码不在物料档案里"))</f>
        <v/>
      </c>
      <c r="G346" s="24">
        <f>IF($D346="","",IFERROR(VLOOKUP($D346,物料档案!$A$4:$P$1203,5,0),"※编码不在物料档案里"))</f>
        <v/>
      </c>
      <c r="H346" s="24">
        <f>IF($D346="","",IFERROR(VLOOKUP($D346,物料档案!$A$4:$P$1203,2,0),"※编码不在物料档案里"))</f>
        <v/>
      </c>
      <c r="I346" s="24">
        <f>IF($D346="","",IFERROR(VLOOKUP($D346,物料档案!$A$4:$P$1203,6,0),"※编码不在物料档案里"))</f>
        <v/>
      </c>
      <c r="J346" s="23" t="n"/>
      <c r="K346" s="17" t="n"/>
      <c r="L346" s="17" t="n"/>
      <c r="M346" s="17" t="n"/>
      <c r="N346" s="17" t="n"/>
      <c r="O346" s="26">
        <f>IF($D346="","",IFERROR(VLOOKUP($D346,物料档案!$A$4:$P$1203,10,0),0))</f>
        <v/>
      </c>
      <c r="P346" s="32" t="n"/>
      <c r="Q346" s="26">
        <f>IF($D346="","",IF($K346&lt;&gt;"对外销售",0,ROUND(N($J346)*IF($P346="",N($O346),N($P346)),0)))</f>
        <v/>
      </c>
      <c r="R346" s="26">
        <f>IF($D346="","",IFERROR(VLOOKUP($D346,库存台账!$A$5:$Y$1204,11,0),0))</f>
        <v/>
      </c>
      <c r="S346" s="26">
        <f>IF($D346="","",ROUND(N($J346)*N($R346),0))</f>
        <v/>
      </c>
      <c r="T346" s="26">
        <f>IF($D346="","",IF($K346&lt;&gt;"对外销售","",ROUND($Q346-$S346,0)))</f>
        <v/>
      </c>
      <c r="U346" s="17" t="n"/>
      <c r="V346" s="17" t="n"/>
      <c r="W346" s="24">
        <f>IF($D346="","",IF($E346="※编码不在物料档案里","※物料编码不在档案里",IF(N($J346)&lt;=0,"※出库数量要大于 0",IF($K346="","※没填去向类型",IF($L346="","※没填去向矿区",IF(AND($C346&lt;&gt;"",$C346&lt;=结账锁),"※日期早于已结账截止日，不能再录",IF(AND($K346="自用消耗",COUNTIF({"一矿区";"二矿区"},$L346)=0),"※自用消耗的去向只能是一矿区或二矿区",IF(AND($K346="对外销售",COUNTIF({"三矿区";"六矿区"},$L346)=0),"※对外销售的去向只能是三矿区或六矿区",IF(AND($K346="对外销售",ROUND($Q346,0)=0),"※外销却没有售价，请填实际售价",IF(AND($K346="对外销售",$T346&lt;&gt;"",$T346&lt;0),"※这一笔外销是亏的，请核对售价",IF(IFERROR(VLOOKUP($D346,库存台账!$A$5:$Y$1204,24,0),0)&lt;-0.001,"※这个物料账面已经变成负数了，查一下是不是漏记入库","")))))))))))</f>
        <v/>
      </c>
    </row>
    <row r="347">
      <c r="A347" s="24">
        <f>IF($D347="","",COUNTA($D$4:$D347))</f>
        <v/>
      </c>
      <c r="B347" s="17" t="n"/>
      <c r="C347" s="30" t="n"/>
      <c r="D347" s="17" t="n"/>
      <c r="E347" s="24">
        <f>IF($D347="","",IFERROR(VLOOKUP($D347,物料档案!$A$4:$P$1203,3,0),"※编码不在物料档案里"))</f>
        <v/>
      </c>
      <c r="F347" s="24">
        <f>IF($D347="","",IFERROR(VLOOKUP($D347,物料档案!$A$4:$P$1203,4,0),"※编码不在物料档案里"))</f>
        <v/>
      </c>
      <c r="G347" s="24">
        <f>IF($D347="","",IFERROR(VLOOKUP($D347,物料档案!$A$4:$P$1203,5,0),"※编码不在物料档案里"))</f>
        <v/>
      </c>
      <c r="H347" s="24">
        <f>IF($D347="","",IFERROR(VLOOKUP($D347,物料档案!$A$4:$P$1203,2,0),"※编码不在物料档案里"))</f>
        <v/>
      </c>
      <c r="I347" s="24">
        <f>IF($D347="","",IFERROR(VLOOKUP($D347,物料档案!$A$4:$P$1203,6,0),"※编码不在物料档案里"))</f>
        <v/>
      </c>
      <c r="J347" s="23" t="n"/>
      <c r="K347" s="17" t="n"/>
      <c r="L347" s="17" t="n"/>
      <c r="M347" s="17" t="n"/>
      <c r="N347" s="17" t="n"/>
      <c r="O347" s="26">
        <f>IF($D347="","",IFERROR(VLOOKUP($D347,物料档案!$A$4:$P$1203,10,0),0))</f>
        <v/>
      </c>
      <c r="P347" s="32" t="n"/>
      <c r="Q347" s="26">
        <f>IF($D347="","",IF($K347&lt;&gt;"对外销售",0,ROUND(N($J347)*IF($P347="",N($O347),N($P347)),0)))</f>
        <v/>
      </c>
      <c r="R347" s="26">
        <f>IF($D347="","",IFERROR(VLOOKUP($D347,库存台账!$A$5:$Y$1204,11,0),0))</f>
        <v/>
      </c>
      <c r="S347" s="26">
        <f>IF($D347="","",ROUND(N($J347)*N($R347),0))</f>
        <v/>
      </c>
      <c r="T347" s="26">
        <f>IF($D347="","",IF($K347&lt;&gt;"对外销售","",ROUND($Q347-$S347,0)))</f>
        <v/>
      </c>
      <c r="U347" s="17" t="n"/>
      <c r="V347" s="17" t="n"/>
      <c r="W347" s="24">
        <f>IF($D347="","",IF($E347="※编码不在物料档案里","※物料编码不在档案里",IF(N($J347)&lt;=0,"※出库数量要大于 0",IF($K347="","※没填去向类型",IF($L347="","※没填去向矿区",IF(AND($C347&lt;&gt;"",$C347&lt;=结账锁),"※日期早于已结账截止日，不能再录",IF(AND($K347="自用消耗",COUNTIF({"一矿区";"二矿区"},$L347)=0),"※自用消耗的去向只能是一矿区或二矿区",IF(AND($K347="对外销售",COUNTIF({"三矿区";"六矿区"},$L347)=0),"※对外销售的去向只能是三矿区或六矿区",IF(AND($K347="对外销售",ROUND($Q347,0)=0),"※外销却没有售价，请填实际售价",IF(AND($K347="对外销售",$T347&lt;&gt;"",$T347&lt;0),"※这一笔外销是亏的，请核对售价",IF(IFERROR(VLOOKUP($D347,库存台账!$A$5:$Y$1204,24,0),0)&lt;-0.001,"※这个物料账面已经变成负数了，查一下是不是漏记入库","")))))))))))</f>
        <v/>
      </c>
    </row>
    <row r="348">
      <c r="A348" s="24">
        <f>IF($D348="","",COUNTA($D$4:$D348))</f>
        <v/>
      </c>
      <c r="B348" s="17" t="n"/>
      <c r="C348" s="30" t="n"/>
      <c r="D348" s="17" t="n"/>
      <c r="E348" s="24">
        <f>IF($D348="","",IFERROR(VLOOKUP($D348,物料档案!$A$4:$P$1203,3,0),"※编码不在物料档案里"))</f>
        <v/>
      </c>
      <c r="F348" s="24">
        <f>IF($D348="","",IFERROR(VLOOKUP($D348,物料档案!$A$4:$P$1203,4,0),"※编码不在物料档案里"))</f>
        <v/>
      </c>
      <c r="G348" s="24">
        <f>IF($D348="","",IFERROR(VLOOKUP($D348,物料档案!$A$4:$P$1203,5,0),"※编码不在物料档案里"))</f>
        <v/>
      </c>
      <c r="H348" s="24">
        <f>IF($D348="","",IFERROR(VLOOKUP($D348,物料档案!$A$4:$P$1203,2,0),"※编码不在物料档案里"))</f>
        <v/>
      </c>
      <c r="I348" s="24">
        <f>IF($D348="","",IFERROR(VLOOKUP($D348,物料档案!$A$4:$P$1203,6,0),"※编码不在物料档案里"))</f>
        <v/>
      </c>
      <c r="J348" s="23" t="n"/>
      <c r="K348" s="17" t="n"/>
      <c r="L348" s="17" t="n"/>
      <c r="M348" s="17" t="n"/>
      <c r="N348" s="17" t="n"/>
      <c r="O348" s="26">
        <f>IF($D348="","",IFERROR(VLOOKUP($D348,物料档案!$A$4:$P$1203,10,0),0))</f>
        <v/>
      </c>
      <c r="P348" s="32" t="n"/>
      <c r="Q348" s="26">
        <f>IF($D348="","",IF($K348&lt;&gt;"对外销售",0,ROUND(N($J348)*IF($P348="",N($O348),N($P348)),0)))</f>
        <v/>
      </c>
      <c r="R348" s="26">
        <f>IF($D348="","",IFERROR(VLOOKUP($D348,库存台账!$A$5:$Y$1204,11,0),0))</f>
        <v/>
      </c>
      <c r="S348" s="26">
        <f>IF($D348="","",ROUND(N($J348)*N($R348),0))</f>
        <v/>
      </c>
      <c r="T348" s="26">
        <f>IF($D348="","",IF($K348&lt;&gt;"对外销售","",ROUND($Q348-$S348,0)))</f>
        <v/>
      </c>
      <c r="U348" s="17" t="n"/>
      <c r="V348" s="17" t="n"/>
      <c r="W348" s="24">
        <f>IF($D348="","",IF($E348="※编码不在物料档案里","※物料编码不在档案里",IF(N($J348)&lt;=0,"※出库数量要大于 0",IF($K348="","※没填去向类型",IF($L348="","※没填去向矿区",IF(AND($C348&lt;&gt;"",$C348&lt;=结账锁),"※日期早于已结账截止日，不能再录",IF(AND($K348="自用消耗",COUNTIF({"一矿区";"二矿区"},$L348)=0),"※自用消耗的去向只能是一矿区或二矿区",IF(AND($K348="对外销售",COUNTIF({"三矿区";"六矿区"},$L348)=0),"※对外销售的去向只能是三矿区或六矿区",IF(AND($K348="对外销售",ROUND($Q348,0)=0),"※外销却没有售价，请填实际售价",IF(AND($K348="对外销售",$T348&lt;&gt;"",$T348&lt;0),"※这一笔外销是亏的，请核对售价",IF(IFERROR(VLOOKUP($D348,库存台账!$A$5:$Y$1204,24,0),0)&lt;-0.001,"※这个物料账面已经变成负数了，查一下是不是漏记入库","")))))))))))</f>
        <v/>
      </c>
    </row>
    <row r="349">
      <c r="A349" s="24">
        <f>IF($D349="","",COUNTA($D$4:$D349))</f>
        <v/>
      </c>
      <c r="B349" s="17" t="n"/>
      <c r="C349" s="30" t="n"/>
      <c r="D349" s="17" t="n"/>
      <c r="E349" s="24">
        <f>IF($D349="","",IFERROR(VLOOKUP($D349,物料档案!$A$4:$P$1203,3,0),"※编码不在物料档案里"))</f>
        <v/>
      </c>
      <c r="F349" s="24">
        <f>IF($D349="","",IFERROR(VLOOKUP($D349,物料档案!$A$4:$P$1203,4,0),"※编码不在物料档案里"))</f>
        <v/>
      </c>
      <c r="G349" s="24">
        <f>IF($D349="","",IFERROR(VLOOKUP($D349,物料档案!$A$4:$P$1203,5,0),"※编码不在物料档案里"))</f>
        <v/>
      </c>
      <c r="H349" s="24">
        <f>IF($D349="","",IFERROR(VLOOKUP($D349,物料档案!$A$4:$P$1203,2,0),"※编码不在物料档案里"))</f>
        <v/>
      </c>
      <c r="I349" s="24">
        <f>IF($D349="","",IFERROR(VLOOKUP($D349,物料档案!$A$4:$P$1203,6,0),"※编码不在物料档案里"))</f>
        <v/>
      </c>
      <c r="J349" s="23" t="n"/>
      <c r="K349" s="17" t="n"/>
      <c r="L349" s="17" t="n"/>
      <c r="M349" s="17" t="n"/>
      <c r="N349" s="17" t="n"/>
      <c r="O349" s="26">
        <f>IF($D349="","",IFERROR(VLOOKUP($D349,物料档案!$A$4:$P$1203,10,0),0))</f>
        <v/>
      </c>
      <c r="P349" s="32" t="n"/>
      <c r="Q349" s="26">
        <f>IF($D349="","",IF($K349&lt;&gt;"对外销售",0,ROUND(N($J349)*IF($P349="",N($O349),N($P349)),0)))</f>
        <v/>
      </c>
      <c r="R349" s="26">
        <f>IF($D349="","",IFERROR(VLOOKUP($D349,库存台账!$A$5:$Y$1204,11,0),0))</f>
        <v/>
      </c>
      <c r="S349" s="26">
        <f>IF($D349="","",ROUND(N($J349)*N($R349),0))</f>
        <v/>
      </c>
      <c r="T349" s="26">
        <f>IF($D349="","",IF($K349&lt;&gt;"对外销售","",ROUND($Q349-$S349,0)))</f>
        <v/>
      </c>
      <c r="U349" s="17" t="n"/>
      <c r="V349" s="17" t="n"/>
      <c r="W349" s="24">
        <f>IF($D349="","",IF($E349="※编码不在物料档案里","※物料编码不在档案里",IF(N($J349)&lt;=0,"※出库数量要大于 0",IF($K349="","※没填去向类型",IF($L349="","※没填去向矿区",IF(AND($C349&lt;&gt;"",$C349&lt;=结账锁),"※日期早于已结账截止日，不能再录",IF(AND($K349="自用消耗",COUNTIF({"一矿区";"二矿区"},$L349)=0),"※自用消耗的去向只能是一矿区或二矿区",IF(AND($K349="对外销售",COUNTIF({"三矿区";"六矿区"},$L349)=0),"※对外销售的去向只能是三矿区或六矿区",IF(AND($K349="对外销售",ROUND($Q349,0)=0),"※外销却没有售价，请填实际售价",IF(AND($K349="对外销售",$T349&lt;&gt;"",$T349&lt;0),"※这一笔外销是亏的，请核对售价",IF(IFERROR(VLOOKUP($D349,库存台账!$A$5:$Y$1204,24,0),0)&lt;-0.001,"※这个物料账面已经变成负数了，查一下是不是漏记入库","")))))))))))</f>
        <v/>
      </c>
    </row>
    <row r="350">
      <c r="A350" s="24">
        <f>IF($D350="","",COUNTA($D$4:$D350))</f>
        <v/>
      </c>
      <c r="B350" s="17" t="n"/>
      <c r="C350" s="30" t="n"/>
      <c r="D350" s="17" t="n"/>
      <c r="E350" s="24">
        <f>IF($D350="","",IFERROR(VLOOKUP($D350,物料档案!$A$4:$P$1203,3,0),"※编码不在物料档案里"))</f>
        <v/>
      </c>
      <c r="F350" s="24">
        <f>IF($D350="","",IFERROR(VLOOKUP($D350,物料档案!$A$4:$P$1203,4,0),"※编码不在物料档案里"))</f>
        <v/>
      </c>
      <c r="G350" s="24">
        <f>IF($D350="","",IFERROR(VLOOKUP($D350,物料档案!$A$4:$P$1203,5,0),"※编码不在物料档案里"))</f>
        <v/>
      </c>
      <c r="H350" s="24">
        <f>IF($D350="","",IFERROR(VLOOKUP($D350,物料档案!$A$4:$P$1203,2,0),"※编码不在物料档案里"))</f>
        <v/>
      </c>
      <c r="I350" s="24">
        <f>IF($D350="","",IFERROR(VLOOKUP($D350,物料档案!$A$4:$P$1203,6,0),"※编码不在物料档案里"))</f>
        <v/>
      </c>
      <c r="J350" s="23" t="n"/>
      <c r="K350" s="17" t="n"/>
      <c r="L350" s="17" t="n"/>
      <c r="M350" s="17" t="n"/>
      <c r="N350" s="17" t="n"/>
      <c r="O350" s="26">
        <f>IF($D350="","",IFERROR(VLOOKUP($D350,物料档案!$A$4:$P$1203,10,0),0))</f>
        <v/>
      </c>
      <c r="P350" s="32" t="n"/>
      <c r="Q350" s="26">
        <f>IF($D350="","",IF($K350&lt;&gt;"对外销售",0,ROUND(N($J350)*IF($P350="",N($O350),N($P350)),0)))</f>
        <v/>
      </c>
      <c r="R350" s="26">
        <f>IF($D350="","",IFERROR(VLOOKUP($D350,库存台账!$A$5:$Y$1204,11,0),0))</f>
        <v/>
      </c>
      <c r="S350" s="26">
        <f>IF($D350="","",ROUND(N($J350)*N($R350),0))</f>
        <v/>
      </c>
      <c r="T350" s="26">
        <f>IF($D350="","",IF($K350&lt;&gt;"对外销售","",ROUND($Q350-$S350,0)))</f>
        <v/>
      </c>
      <c r="U350" s="17" t="n"/>
      <c r="V350" s="17" t="n"/>
      <c r="W350" s="24">
        <f>IF($D350="","",IF($E350="※编码不在物料档案里","※物料编码不在档案里",IF(N($J350)&lt;=0,"※出库数量要大于 0",IF($K350="","※没填去向类型",IF($L350="","※没填去向矿区",IF(AND($C350&lt;&gt;"",$C350&lt;=结账锁),"※日期早于已结账截止日，不能再录",IF(AND($K350="自用消耗",COUNTIF({"一矿区";"二矿区"},$L350)=0),"※自用消耗的去向只能是一矿区或二矿区",IF(AND($K350="对外销售",COUNTIF({"三矿区";"六矿区"},$L350)=0),"※对外销售的去向只能是三矿区或六矿区",IF(AND($K350="对外销售",ROUND($Q350,0)=0),"※外销却没有售价，请填实际售价",IF(AND($K350="对外销售",$T350&lt;&gt;"",$T350&lt;0),"※这一笔外销是亏的，请核对售价",IF(IFERROR(VLOOKUP($D350,库存台账!$A$5:$Y$1204,24,0),0)&lt;-0.001,"※这个物料账面已经变成负数了，查一下是不是漏记入库","")))))))))))</f>
        <v/>
      </c>
    </row>
    <row r="351">
      <c r="A351" s="24">
        <f>IF($D351="","",COUNTA($D$4:$D351))</f>
        <v/>
      </c>
      <c r="B351" s="17" t="n"/>
      <c r="C351" s="30" t="n"/>
      <c r="D351" s="17" t="n"/>
      <c r="E351" s="24">
        <f>IF($D351="","",IFERROR(VLOOKUP($D351,物料档案!$A$4:$P$1203,3,0),"※编码不在物料档案里"))</f>
        <v/>
      </c>
      <c r="F351" s="24">
        <f>IF($D351="","",IFERROR(VLOOKUP($D351,物料档案!$A$4:$P$1203,4,0),"※编码不在物料档案里"))</f>
        <v/>
      </c>
      <c r="G351" s="24">
        <f>IF($D351="","",IFERROR(VLOOKUP($D351,物料档案!$A$4:$P$1203,5,0),"※编码不在物料档案里"))</f>
        <v/>
      </c>
      <c r="H351" s="24">
        <f>IF($D351="","",IFERROR(VLOOKUP($D351,物料档案!$A$4:$P$1203,2,0),"※编码不在物料档案里"))</f>
        <v/>
      </c>
      <c r="I351" s="24">
        <f>IF($D351="","",IFERROR(VLOOKUP($D351,物料档案!$A$4:$P$1203,6,0),"※编码不在物料档案里"))</f>
        <v/>
      </c>
      <c r="J351" s="23" t="n"/>
      <c r="K351" s="17" t="n"/>
      <c r="L351" s="17" t="n"/>
      <c r="M351" s="17" t="n"/>
      <c r="N351" s="17" t="n"/>
      <c r="O351" s="26">
        <f>IF($D351="","",IFERROR(VLOOKUP($D351,物料档案!$A$4:$P$1203,10,0),0))</f>
        <v/>
      </c>
      <c r="P351" s="32" t="n"/>
      <c r="Q351" s="26">
        <f>IF($D351="","",IF($K351&lt;&gt;"对外销售",0,ROUND(N($J351)*IF($P351="",N($O351),N($P351)),0)))</f>
        <v/>
      </c>
      <c r="R351" s="26">
        <f>IF($D351="","",IFERROR(VLOOKUP($D351,库存台账!$A$5:$Y$1204,11,0),0))</f>
        <v/>
      </c>
      <c r="S351" s="26">
        <f>IF($D351="","",ROUND(N($J351)*N($R351),0))</f>
        <v/>
      </c>
      <c r="T351" s="26">
        <f>IF($D351="","",IF($K351&lt;&gt;"对外销售","",ROUND($Q351-$S351,0)))</f>
        <v/>
      </c>
      <c r="U351" s="17" t="n"/>
      <c r="V351" s="17" t="n"/>
      <c r="W351" s="24">
        <f>IF($D351="","",IF($E351="※编码不在物料档案里","※物料编码不在档案里",IF(N($J351)&lt;=0,"※出库数量要大于 0",IF($K351="","※没填去向类型",IF($L351="","※没填去向矿区",IF(AND($C351&lt;&gt;"",$C351&lt;=结账锁),"※日期早于已结账截止日，不能再录",IF(AND($K351="自用消耗",COUNTIF({"一矿区";"二矿区"},$L351)=0),"※自用消耗的去向只能是一矿区或二矿区",IF(AND($K351="对外销售",COUNTIF({"三矿区";"六矿区"},$L351)=0),"※对外销售的去向只能是三矿区或六矿区",IF(AND($K351="对外销售",ROUND($Q351,0)=0),"※外销却没有售价，请填实际售价",IF(AND($K351="对外销售",$T351&lt;&gt;"",$T351&lt;0),"※这一笔外销是亏的，请核对售价",IF(IFERROR(VLOOKUP($D351,库存台账!$A$5:$Y$1204,24,0),0)&lt;-0.001,"※这个物料账面已经变成负数了，查一下是不是漏记入库","")))))))))))</f>
        <v/>
      </c>
    </row>
    <row r="352">
      <c r="A352" s="24">
        <f>IF($D352="","",COUNTA($D$4:$D352))</f>
        <v/>
      </c>
      <c r="B352" s="17" t="n"/>
      <c r="C352" s="30" t="n"/>
      <c r="D352" s="17" t="n"/>
      <c r="E352" s="24">
        <f>IF($D352="","",IFERROR(VLOOKUP($D352,物料档案!$A$4:$P$1203,3,0),"※编码不在物料档案里"))</f>
        <v/>
      </c>
      <c r="F352" s="24">
        <f>IF($D352="","",IFERROR(VLOOKUP($D352,物料档案!$A$4:$P$1203,4,0),"※编码不在物料档案里"))</f>
        <v/>
      </c>
      <c r="G352" s="24">
        <f>IF($D352="","",IFERROR(VLOOKUP($D352,物料档案!$A$4:$P$1203,5,0),"※编码不在物料档案里"))</f>
        <v/>
      </c>
      <c r="H352" s="24">
        <f>IF($D352="","",IFERROR(VLOOKUP($D352,物料档案!$A$4:$P$1203,2,0),"※编码不在物料档案里"))</f>
        <v/>
      </c>
      <c r="I352" s="24">
        <f>IF($D352="","",IFERROR(VLOOKUP($D352,物料档案!$A$4:$P$1203,6,0),"※编码不在物料档案里"))</f>
        <v/>
      </c>
      <c r="J352" s="23" t="n"/>
      <c r="K352" s="17" t="n"/>
      <c r="L352" s="17" t="n"/>
      <c r="M352" s="17" t="n"/>
      <c r="N352" s="17" t="n"/>
      <c r="O352" s="26">
        <f>IF($D352="","",IFERROR(VLOOKUP($D352,物料档案!$A$4:$P$1203,10,0),0))</f>
        <v/>
      </c>
      <c r="P352" s="32" t="n"/>
      <c r="Q352" s="26">
        <f>IF($D352="","",IF($K352&lt;&gt;"对外销售",0,ROUND(N($J352)*IF($P352="",N($O352),N($P352)),0)))</f>
        <v/>
      </c>
      <c r="R352" s="26">
        <f>IF($D352="","",IFERROR(VLOOKUP($D352,库存台账!$A$5:$Y$1204,11,0),0))</f>
        <v/>
      </c>
      <c r="S352" s="26">
        <f>IF($D352="","",ROUND(N($J352)*N($R352),0))</f>
        <v/>
      </c>
      <c r="T352" s="26">
        <f>IF($D352="","",IF($K352&lt;&gt;"对外销售","",ROUND($Q352-$S352,0)))</f>
        <v/>
      </c>
      <c r="U352" s="17" t="n"/>
      <c r="V352" s="17" t="n"/>
      <c r="W352" s="24">
        <f>IF($D352="","",IF($E352="※编码不在物料档案里","※物料编码不在档案里",IF(N($J352)&lt;=0,"※出库数量要大于 0",IF($K352="","※没填去向类型",IF($L352="","※没填去向矿区",IF(AND($C352&lt;&gt;"",$C352&lt;=结账锁),"※日期早于已结账截止日，不能再录",IF(AND($K352="自用消耗",COUNTIF({"一矿区";"二矿区"},$L352)=0),"※自用消耗的去向只能是一矿区或二矿区",IF(AND($K352="对外销售",COUNTIF({"三矿区";"六矿区"},$L352)=0),"※对外销售的去向只能是三矿区或六矿区",IF(AND($K352="对外销售",ROUND($Q352,0)=0),"※外销却没有售价，请填实际售价",IF(AND($K352="对外销售",$T352&lt;&gt;"",$T352&lt;0),"※这一笔外销是亏的，请核对售价",IF(IFERROR(VLOOKUP($D352,库存台账!$A$5:$Y$1204,24,0),0)&lt;-0.001,"※这个物料账面已经变成负数了，查一下是不是漏记入库","")))))))))))</f>
        <v/>
      </c>
    </row>
    <row r="353">
      <c r="A353" s="24">
        <f>IF($D353="","",COUNTA($D$4:$D353))</f>
        <v/>
      </c>
      <c r="B353" s="17" t="n"/>
      <c r="C353" s="30" t="n"/>
      <c r="D353" s="17" t="n"/>
      <c r="E353" s="24">
        <f>IF($D353="","",IFERROR(VLOOKUP($D353,物料档案!$A$4:$P$1203,3,0),"※编码不在物料档案里"))</f>
        <v/>
      </c>
      <c r="F353" s="24">
        <f>IF($D353="","",IFERROR(VLOOKUP($D353,物料档案!$A$4:$P$1203,4,0),"※编码不在物料档案里"))</f>
        <v/>
      </c>
      <c r="G353" s="24">
        <f>IF($D353="","",IFERROR(VLOOKUP($D353,物料档案!$A$4:$P$1203,5,0),"※编码不在物料档案里"))</f>
        <v/>
      </c>
      <c r="H353" s="24">
        <f>IF($D353="","",IFERROR(VLOOKUP($D353,物料档案!$A$4:$P$1203,2,0),"※编码不在物料档案里"))</f>
        <v/>
      </c>
      <c r="I353" s="24">
        <f>IF($D353="","",IFERROR(VLOOKUP($D353,物料档案!$A$4:$P$1203,6,0),"※编码不在物料档案里"))</f>
        <v/>
      </c>
      <c r="J353" s="23" t="n"/>
      <c r="K353" s="17" t="n"/>
      <c r="L353" s="17" t="n"/>
      <c r="M353" s="17" t="n"/>
      <c r="N353" s="17" t="n"/>
      <c r="O353" s="26">
        <f>IF($D353="","",IFERROR(VLOOKUP($D353,物料档案!$A$4:$P$1203,10,0),0))</f>
        <v/>
      </c>
      <c r="P353" s="32" t="n"/>
      <c r="Q353" s="26">
        <f>IF($D353="","",IF($K353&lt;&gt;"对外销售",0,ROUND(N($J353)*IF($P353="",N($O353),N($P353)),0)))</f>
        <v/>
      </c>
      <c r="R353" s="26">
        <f>IF($D353="","",IFERROR(VLOOKUP($D353,库存台账!$A$5:$Y$1204,11,0),0))</f>
        <v/>
      </c>
      <c r="S353" s="26">
        <f>IF($D353="","",ROUND(N($J353)*N($R353),0))</f>
        <v/>
      </c>
      <c r="T353" s="26">
        <f>IF($D353="","",IF($K353&lt;&gt;"对外销售","",ROUND($Q353-$S353,0)))</f>
        <v/>
      </c>
      <c r="U353" s="17" t="n"/>
      <c r="V353" s="17" t="n"/>
      <c r="W353" s="24">
        <f>IF($D353="","",IF($E353="※编码不在物料档案里","※物料编码不在档案里",IF(N($J353)&lt;=0,"※出库数量要大于 0",IF($K353="","※没填去向类型",IF($L353="","※没填去向矿区",IF(AND($C353&lt;&gt;"",$C353&lt;=结账锁),"※日期早于已结账截止日，不能再录",IF(AND($K353="自用消耗",COUNTIF({"一矿区";"二矿区"},$L353)=0),"※自用消耗的去向只能是一矿区或二矿区",IF(AND($K353="对外销售",COUNTIF({"三矿区";"六矿区"},$L353)=0),"※对外销售的去向只能是三矿区或六矿区",IF(AND($K353="对外销售",ROUND($Q353,0)=0),"※外销却没有售价，请填实际售价",IF(AND($K353="对外销售",$T353&lt;&gt;"",$T353&lt;0),"※这一笔外销是亏的，请核对售价",IF(IFERROR(VLOOKUP($D353,库存台账!$A$5:$Y$1204,24,0),0)&lt;-0.001,"※这个物料账面已经变成负数了，查一下是不是漏记入库","")))))))))))</f>
        <v/>
      </c>
    </row>
    <row r="354">
      <c r="A354" s="24">
        <f>IF($D354="","",COUNTA($D$4:$D354))</f>
        <v/>
      </c>
      <c r="B354" s="17" t="n"/>
      <c r="C354" s="30" t="n"/>
      <c r="D354" s="17" t="n"/>
      <c r="E354" s="24">
        <f>IF($D354="","",IFERROR(VLOOKUP($D354,物料档案!$A$4:$P$1203,3,0),"※编码不在物料档案里"))</f>
        <v/>
      </c>
      <c r="F354" s="24">
        <f>IF($D354="","",IFERROR(VLOOKUP($D354,物料档案!$A$4:$P$1203,4,0),"※编码不在物料档案里"))</f>
        <v/>
      </c>
      <c r="G354" s="24">
        <f>IF($D354="","",IFERROR(VLOOKUP($D354,物料档案!$A$4:$P$1203,5,0),"※编码不在物料档案里"))</f>
        <v/>
      </c>
      <c r="H354" s="24">
        <f>IF($D354="","",IFERROR(VLOOKUP($D354,物料档案!$A$4:$P$1203,2,0),"※编码不在物料档案里"))</f>
        <v/>
      </c>
      <c r="I354" s="24">
        <f>IF($D354="","",IFERROR(VLOOKUP($D354,物料档案!$A$4:$P$1203,6,0),"※编码不在物料档案里"))</f>
        <v/>
      </c>
      <c r="J354" s="23" t="n"/>
      <c r="K354" s="17" t="n"/>
      <c r="L354" s="17" t="n"/>
      <c r="M354" s="17" t="n"/>
      <c r="N354" s="17" t="n"/>
      <c r="O354" s="26">
        <f>IF($D354="","",IFERROR(VLOOKUP($D354,物料档案!$A$4:$P$1203,10,0),0))</f>
        <v/>
      </c>
      <c r="P354" s="32" t="n"/>
      <c r="Q354" s="26">
        <f>IF($D354="","",IF($K354&lt;&gt;"对外销售",0,ROUND(N($J354)*IF($P354="",N($O354),N($P354)),0)))</f>
        <v/>
      </c>
      <c r="R354" s="26">
        <f>IF($D354="","",IFERROR(VLOOKUP($D354,库存台账!$A$5:$Y$1204,11,0),0))</f>
        <v/>
      </c>
      <c r="S354" s="26">
        <f>IF($D354="","",ROUND(N($J354)*N($R354),0))</f>
        <v/>
      </c>
      <c r="T354" s="26">
        <f>IF($D354="","",IF($K354&lt;&gt;"对外销售","",ROUND($Q354-$S354,0)))</f>
        <v/>
      </c>
      <c r="U354" s="17" t="n"/>
      <c r="V354" s="17" t="n"/>
      <c r="W354" s="24">
        <f>IF($D354="","",IF($E354="※编码不在物料档案里","※物料编码不在档案里",IF(N($J354)&lt;=0,"※出库数量要大于 0",IF($K354="","※没填去向类型",IF($L354="","※没填去向矿区",IF(AND($C354&lt;&gt;"",$C354&lt;=结账锁),"※日期早于已结账截止日，不能再录",IF(AND($K354="自用消耗",COUNTIF({"一矿区";"二矿区"},$L354)=0),"※自用消耗的去向只能是一矿区或二矿区",IF(AND($K354="对外销售",COUNTIF({"三矿区";"六矿区"},$L354)=0),"※对外销售的去向只能是三矿区或六矿区",IF(AND($K354="对外销售",ROUND($Q354,0)=0),"※外销却没有售价，请填实际售价",IF(AND($K354="对外销售",$T354&lt;&gt;"",$T354&lt;0),"※这一笔外销是亏的，请核对售价",IF(IFERROR(VLOOKUP($D354,库存台账!$A$5:$Y$1204,24,0),0)&lt;-0.001,"※这个物料账面已经变成负数了，查一下是不是漏记入库","")))))))))))</f>
        <v/>
      </c>
    </row>
    <row r="355">
      <c r="A355" s="24">
        <f>IF($D355="","",COUNTA($D$4:$D355))</f>
        <v/>
      </c>
      <c r="B355" s="17" t="n"/>
      <c r="C355" s="30" t="n"/>
      <c r="D355" s="17" t="n"/>
      <c r="E355" s="24">
        <f>IF($D355="","",IFERROR(VLOOKUP($D355,物料档案!$A$4:$P$1203,3,0),"※编码不在物料档案里"))</f>
        <v/>
      </c>
      <c r="F355" s="24">
        <f>IF($D355="","",IFERROR(VLOOKUP($D355,物料档案!$A$4:$P$1203,4,0),"※编码不在物料档案里"))</f>
        <v/>
      </c>
      <c r="G355" s="24">
        <f>IF($D355="","",IFERROR(VLOOKUP($D355,物料档案!$A$4:$P$1203,5,0),"※编码不在物料档案里"))</f>
        <v/>
      </c>
      <c r="H355" s="24">
        <f>IF($D355="","",IFERROR(VLOOKUP($D355,物料档案!$A$4:$P$1203,2,0),"※编码不在物料档案里"))</f>
        <v/>
      </c>
      <c r="I355" s="24">
        <f>IF($D355="","",IFERROR(VLOOKUP($D355,物料档案!$A$4:$P$1203,6,0),"※编码不在物料档案里"))</f>
        <v/>
      </c>
      <c r="J355" s="23" t="n"/>
      <c r="K355" s="17" t="n"/>
      <c r="L355" s="17" t="n"/>
      <c r="M355" s="17" t="n"/>
      <c r="N355" s="17" t="n"/>
      <c r="O355" s="26">
        <f>IF($D355="","",IFERROR(VLOOKUP($D355,物料档案!$A$4:$P$1203,10,0),0))</f>
        <v/>
      </c>
      <c r="P355" s="32" t="n"/>
      <c r="Q355" s="26">
        <f>IF($D355="","",IF($K355&lt;&gt;"对外销售",0,ROUND(N($J355)*IF($P355="",N($O355),N($P355)),0)))</f>
        <v/>
      </c>
      <c r="R355" s="26">
        <f>IF($D355="","",IFERROR(VLOOKUP($D355,库存台账!$A$5:$Y$1204,11,0),0))</f>
        <v/>
      </c>
      <c r="S355" s="26">
        <f>IF($D355="","",ROUND(N($J355)*N($R355),0))</f>
        <v/>
      </c>
      <c r="T355" s="26">
        <f>IF($D355="","",IF($K355&lt;&gt;"对外销售","",ROUND($Q355-$S355,0)))</f>
        <v/>
      </c>
      <c r="U355" s="17" t="n"/>
      <c r="V355" s="17" t="n"/>
      <c r="W355" s="24">
        <f>IF($D355="","",IF($E355="※编码不在物料档案里","※物料编码不在档案里",IF(N($J355)&lt;=0,"※出库数量要大于 0",IF($K355="","※没填去向类型",IF($L355="","※没填去向矿区",IF(AND($C355&lt;&gt;"",$C355&lt;=结账锁),"※日期早于已结账截止日，不能再录",IF(AND($K355="自用消耗",COUNTIF({"一矿区";"二矿区"},$L355)=0),"※自用消耗的去向只能是一矿区或二矿区",IF(AND($K355="对外销售",COUNTIF({"三矿区";"六矿区"},$L355)=0),"※对外销售的去向只能是三矿区或六矿区",IF(AND($K355="对外销售",ROUND($Q355,0)=0),"※外销却没有售价，请填实际售价",IF(AND($K355="对外销售",$T355&lt;&gt;"",$T355&lt;0),"※这一笔外销是亏的，请核对售价",IF(IFERROR(VLOOKUP($D355,库存台账!$A$5:$Y$1204,24,0),0)&lt;-0.001,"※这个物料账面已经变成负数了，查一下是不是漏记入库","")))))))))))</f>
        <v/>
      </c>
    </row>
    <row r="356">
      <c r="A356" s="24">
        <f>IF($D356="","",COUNTA($D$4:$D356))</f>
        <v/>
      </c>
      <c r="B356" s="17" t="n"/>
      <c r="C356" s="30" t="n"/>
      <c r="D356" s="17" t="n"/>
      <c r="E356" s="24">
        <f>IF($D356="","",IFERROR(VLOOKUP($D356,物料档案!$A$4:$P$1203,3,0),"※编码不在物料档案里"))</f>
        <v/>
      </c>
      <c r="F356" s="24">
        <f>IF($D356="","",IFERROR(VLOOKUP($D356,物料档案!$A$4:$P$1203,4,0),"※编码不在物料档案里"))</f>
        <v/>
      </c>
      <c r="G356" s="24">
        <f>IF($D356="","",IFERROR(VLOOKUP($D356,物料档案!$A$4:$P$1203,5,0),"※编码不在物料档案里"))</f>
        <v/>
      </c>
      <c r="H356" s="24">
        <f>IF($D356="","",IFERROR(VLOOKUP($D356,物料档案!$A$4:$P$1203,2,0),"※编码不在物料档案里"))</f>
        <v/>
      </c>
      <c r="I356" s="24">
        <f>IF($D356="","",IFERROR(VLOOKUP($D356,物料档案!$A$4:$P$1203,6,0),"※编码不在物料档案里"))</f>
        <v/>
      </c>
      <c r="J356" s="23" t="n"/>
      <c r="K356" s="17" t="n"/>
      <c r="L356" s="17" t="n"/>
      <c r="M356" s="17" t="n"/>
      <c r="N356" s="17" t="n"/>
      <c r="O356" s="26">
        <f>IF($D356="","",IFERROR(VLOOKUP($D356,物料档案!$A$4:$P$1203,10,0),0))</f>
        <v/>
      </c>
      <c r="P356" s="32" t="n"/>
      <c r="Q356" s="26">
        <f>IF($D356="","",IF($K356&lt;&gt;"对外销售",0,ROUND(N($J356)*IF($P356="",N($O356),N($P356)),0)))</f>
        <v/>
      </c>
      <c r="R356" s="26">
        <f>IF($D356="","",IFERROR(VLOOKUP($D356,库存台账!$A$5:$Y$1204,11,0),0))</f>
        <v/>
      </c>
      <c r="S356" s="26">
        <f>IF($D356="","",ROUND(N($J356)*N($R356),0))</f>
        <v/>
      </c>
      <c r="T356" s="26">
        <f>IF($D356="","",IF($K356&lt;&gt;"对外销售","",ROUND($Q356-$S356,0)))</f>
        <v/>
      </c>
      <c r="U356" s="17" t="n"/>
      <c r="V356" s="17" t="n"/>
      <c r="W356" s="24">
        <f>IF($D356="","",IF($E356="※编码不在物料档案里","※物料编码不在档案里",IF(N($J356)&lt;=0,"※出库数量要大于 0",IF($K356="","※没填去向类型",IF($L356="","※没填去向矿区",IF(AND($C356&lt;&gt;"",$C356&lt;=结账锁),"※日期早于已结账截止日，不能再录",IF(AND($K356="自用消耗",COUNTIF({"一矿区";"二矿区"},$L356)=0),"※自用消耗的去向只能是一矿区或二矿区",IF(AND($K356="对外销售",COUNTIF({"三矿区";"六矿区"},$L356)=0),"※对外销售的去向只能是三矿区或六矿区",IF(AND($K356="对外销售",ROUND($Q356,0)=0),"※外销却没有售价，请填实际售价",IF(AND($K356="对外销售",$T356&lt;&gt;"",$T356&lt;0),"※这一笔外销是亏的，请核对售价",IF(IFERROR(VLOOKUP($D356,库存台账!$A$5:$Y$1204,24,0),0)&lt;-0.001,"※这个物料账面已经变成负数了，查一下是不是漏记入库","")))))))))))</f>
        <v/>
      </c>
    </row>
    <row r="357">
      <c r="A357" s="24">
        <f>IF($D357="","",COUNTA($D$4:$D357))</f>
        <v/>
      </c>
      <c r="B357" s="17" t="n"/>
      <c r="C357" s="30" t="n"/>
      <c r="D357" s="17" t="n"/>
      <c r="E357" s="24">
        <f>IF($D357="","",IFERROR(VLOOKUP($D357,物料档案!$A$4:$P$1203,3,0),"※编码不在物料档案里"))</f>
        <v/>
      </c>
      <c r="F357" s="24">
        <f>IF($D357="","",IFERROR(VLOOKUP($D357,物料档案!$A$4:$P$1203,4,0),"※编码不在物料档案里"))</f>
        <v/>
      </c>
      <c r="G357" s="24">
        <f>IF($D357="","",IFERROR(VLOOKUP($D357,物料档案!$A$4:$P$1203,5,0),"※编码不在物料档案里"))</f>
        <v/>
      </c>
      <c r="H357" s="24">
        <f>IF($D357="","",IFERROR(VLOOKUP($D357,物料档案!$A$4:$P$1203,2,0),"※编码不在物料档案里"))</f>
        <v/>
      </c>
      <c r="I357" s="24">
        <f>IF($D357="","",IFERROR(VLOOKUP($D357,物料档案!$A$4:$P$1203,6,0),"※编码不在物料档案里"))</f>
        <v/>
      </c>
      <c r="J357" s="23" t="n"/>
      <c r="K357" s="17" t="n"/>
      <c r="L357" s="17" t="n"/>
      <c r="M357" s="17" t="n"/>
      <c r="N357" s="17" t="n"/>
      <c r="O357" s="26">
        <f>IF($D357="","",IFERROR(VLOOKUP($D357,物料档案!$A$4:$P$1203,10,0),0))</f>
        <v/>
      </c>
      <c r="P357" s="32" t="n"/>
      <c r="Q357" s="26">
        <f>IF($D357="","",IF($K357&lt;&gt;"对外销售",0,ROUND(N($J357)*IF($P357="",N($O357),N($P357)),0)))</f>
        <v/>
      </c>
      <c r="R357" s="26">
        <f>IF($D357="","",IFERROR(VLOOKUP($D357,库存台账!$A$5:$Y$1204,11,0),0))</f>
        <v/>
      </c>
      <c r="S357" s="26">
        <f>IF($D357="","",ROUND(N($J357)*N($R357),0))</f>
        <v/>
      </c>
      <c r="T357" s="26">
        <f>IF($D357="","",IF($K357&lt;&gt;"对外销售","",ROUND($Q357-$S357,0)))</f>
        <v/>
      </c>
      <c r="U357" s="17" t="n"/>
      <c r="V357" s="17" t="n"/>
      <c r="W357" s="24">
        <f>IF($D357="","",IF($E357="※编码不在物料档案里","※物料编码不在档案里",IF(N($J357)&lt;=0,"※出库数量要大于 0",IF($K357="","※没填去向类型",IF($L357="","※没填去向矿区",IF(AND($C357&lt;&gt;"",$C357&lt;=结账锁),"※日期早于已结账截止日，不能再录",IF(AND($K357="自用消耗",COUNTIF({"一矿区";"二矿区"},$L357)=0),"※自用消耗的去向只能是一矿区或二矿区",IF(AND($K357="对外销售",COUNTIF({"三矿区";"六矿区"},$L357)=0),"※对外销售的去向只能是三矿区或六矿区",IF(AND($K357="对外销售",ROUND($Q357,0)=0),"※外销却没有售价，请填实际售价",IF(AND($K357="对外销售",$T357&lt;&gt;"",$T357&lt;0),"※这一笔外销是亏的，请核对售价",IF(IFERROR(VLOOKUP($D357,库存台账!$A$5:$Y$1204,24,0),0)&lt;-0.001,"※这个物料账面已经变成负数了，查一下是不是漏记入库","")))))))))))</f>
        <v/>
      </c>
    </row>
    <row r="358">
      <c r="A358" s="24">
        <f>IF($D358="","",COUNTA($D$4:$D358))</f>
        <v/>
      </c>
      <c r="B358" s="17" t="n"/>
      <c r="C358" s="30" t="n"/>
      <c r="D358" s="17" t="n"/>
      <c r="E358" s="24">
        <f>IF($D358="","",IFERROR(VLOOKUP($D358,物料档案!$A$4:$P$1203,3,0),"※编码不在物料档案里"))</f>
        <v/>
      </c>
      <c r="F358" s="24">
        <f>IF($D358="","",IFERROR(VLOOKUP($D358,物料档案!$A$4:$P$1203,4,0),"※编码不在物料档案里"))</f>
        <v/>
      </c>
      <c r="G358" s="24">
        <f>IF($D358="","",IFERROR(VLOOKUP($D358,物料档案!$A$4:$P$1203,5,0),"※编码不在物料档案里"))</f>
        <v/>
      </c>
      <c r="H358" s="24">
        <f>IF($D358="","",IFERROR(VLOOKUP($D358,物料档案!$A$4:$P$1203,2,0),"※编码不在物料档案里"))</f>
        <v/>
      </c>
      <c r="I358" s="24">
        <f>IF($D358="","",IFERROR(VLOOKUP($D358,物料档案!$A$4:$P$1203,6,0),"※编码不在物料档案里"))</f>
        <v/>
      </c>
      <c r="J358" s="23" t="n"/>
      <c r="K358" s="17" t="n"/>
      <c r="L358" s="17" t="n"/>
      <c r="M358" s="17" t="n"/>
      <c r="N358" s="17" t="n"/>
      <c r="O358" s="26">
        <f>IF($D358="","",IFERROR(VLOOKUP($D358,物料档案!$A$4:$P$1203,10,0),0))</f>
        <v/>
      </c>
      <c r="P358" s="32" t="n"/>
      <c r="Q358" s="26">
        <f>IF($D358="","",IF($K358&lt;&gt;"对外销售",0,ROUND(N($J358)*IF($P358="",N($O358),N($P358)),0)))</f>
        <v/>
      </c>
      <c r="R358" s="26">
        <f>IF($D358="","",IFERROR(VLOOKUP($D358,库存台账!$A$5:$Y$1204,11,0),0))</f>
        <v/>
      </c>
      <c r="S358" s="26">
        <f>IF($D358="","",ROUND(N($J358)*N($R358),0))</f>
        <v/>
      </c>
      <c r="T358" s="26">
        <f>IF($D358="","",IF($K358&lt;&gt;"对外销售","",ROUND($Q358-$S358,0)))</f>
        <v/>
      </c>
      <c r="U358" s="17" t="n"/>
      <c r="V358" s="17" t="n"/>
      <c r="W358" s="24">
        <f>IF($D358="","",IF($E358="※编码不在物料档案里","※物料编码不在档案里",IF(N($J358)&lt;=0,"※出库数量要大于 0",IF($K358="","※没填去向类型",IF($L358="","※没填去向矿区",IF(AND($C358&lt;&gt;"",$C358&lt;=结账锁),"※日期早于已结账截止日，不能再录",IF(AND($K358="自用消耗",COUNTIF({"一矿区";"二矿区"},$L358)=0),"※自用消耗的去向只能是一矿区或二矿区",IF(AND($K358="对外销售",COUNTIF({"三矿区";"六矿区"},$L358)=0),"※对外销售的去向只能是三矿区或六矿区",IF(AND($K358="对外销售",ROUND($Q358,0)=0),"※外销却没有售价，请填实际售价",IF(AND($K358="对外销售",$T358&lt;&gt;"",$T358&lt;0),"※这一笔外销是亏的，请核对售价",IF(IFERROR(VLOOKUP($D358,库存台账!$A$5:$Y$1204,24,0),0)&lt;-0.001,"※这个物料账面已经变成负数了，查一下是不是漏记入库","")))))))))))</f>
        <v/>
      </c>
    </row>
    <row r="359">
      <c r="A359" s="24">
        <f>IF($D359="","",COUNTA($D$4:$D359))</f>
        <v/>
      </c>
      <c r="B359" s="17" t="n"/>
      <c r="C359" s="30" t="n"/>
      <c r="D359" s="17" t="n"/>
      <c r="E359" s="24">
        <f>IF($D359="","",IFERROR(VLOOKUP($D359,物料档案!$A$4:$P$1203,3,0),"※编码不在物料档案里"))</f>
        <v/>
      </c>
      <c r="F359" s="24">
        <f>IF($D359="","",IFERROR(VLOOKUP($D359,物料档案!$A$4:$P$1203,4,0),"※编码不在物料档案里"))</f>
        <v/>
      </c>
      <c r="G359" s="24">
        <f>IF($D359="","",IFERROR(VLOOKUP($D359,物料档案!$A$4:$P$1203,5,0),"※编码不在物料档案里"))</f>
        <v/>
      </c>
      <c r="H359" s="24">
        <f>IF($D359="","",IFERROR(VLOOKUP($D359,物料档案!$A$4:$P$1203,2,0),"※编码不在物料档案里"))</f>
        <v/>
      </c>
      <c r="I359" s="24">
        <f>IF($D359="","",IFERROR(VLOOKUP($D359,物料档案!$A$4:$P$1203,6,0),"※编码不在物料档案里"))</f>
        <v/>
      </c>
      <c r="J359" s="23" t="n"/>
      <c r="K359" s="17" t="n"/>
      <c r="L359" s="17" t="n"/>
      <c r="M359" s="17" t="n"/>
      <c r="N359" s="17" t="n"/>
      <c r="O359" s="26">
        <f>IF($D359="","",IFERROR(VLOOKUP($D359,物料档案!$A$4:$P$1203,10,0),0))</f>
        <v/>
      </c>
      <c r="P359" s="32" t="n"/>
      <c r="Q359" s="26">
        <f>IF($D359="","",IF($K359&lt;&gt;"对外销售",0,ROUND(N($J359)*IF($P359="",N($O359),N($P359)),0)))</f>
        <v/>
      </c>
      <c r="R359" s="26">
        <f>IF($D359="","",IFERROR(VLOOKUP($D359,库存台账!$A$5:$Y$1204,11,0),0))</f>
        <v/>
      </c>
      <c r="S359" s="26">
        <f>IF($D359="","",ROUND(N($J359)*N($R359),0))</f>
        <v/>
      </c>
      <c r="T359" s="26">
        <f>IF($D359="","",IF($K359&lt;&gt;"对外销售","",ROUND($Q359-$S359,0)))</f>
        <v/>
      </c>
      <c r="U359" s="17" t="n"/>
      <c r="V359" s="17" t="n"/>
      <c r="W359" s="24">
        <f>IF($D359="","",IF($E359="※编码不在物料档案里","※物料编码不在档案里",IF(N($J359)&lt;=0,"※出库数量要大于 0",IF($K359="","※没填去向类型",IF($L359="","※没填去向矿区",IF(AND($C359&lt;&gt;"",$C359&lt;=结账锁),"※日期早于已结账截止日，不能再录",IF(AND($K359="自用消耗",COUNTIF({"一矿区";"二矿区"},$L359)=0),"※自用消耗的去向只能是一矿区或二矿区",IF(AND($K359="对外销售",COUNTIF({"三矿区";"六矿区"},$L359)=0),"※对外销售的去向只能是三矿区或六矿区",IF(AND($K359="对外销售",ROUND($Q359,0)=0),"※外销却没有售价，请填实际售价",IF(AND($K359="对外销售",$T359&lt;&gt;"",$T359&lt;0),"※这一笔外销是亏的，请核对售价",IF(IFERROR(VLOOKUP($D359,库存台账!$A$5:$Y$1204,24,0),0)&lt;-0.001,"※这个物料账面已经变成负数了，查一下是不是漏记入库","")))))))))))</f>
        <v/>
      </c>
    </row>
    <row r="360">
      <c r="A360" s="24">
        <f>IF($D360="","",COUNTA($D$4:$D360))</f>
        <v/>
      </c>
      <c r="B360" s="17" t="n"/>
      <c r="C360" s="30" t="n"/>
      <c r="D360" s="17" t="n"/>
      <c r="E360" s="24">
        <f>IF($D360="","",IFERROR(VLOOKUP($D360,物料档案!$A$4:$P$1203,3,0),"※编码不在物料档案里"))</f>
        <v/>
      </c>
      <c r="F360" s="24">
        <f>IF($D360="","",IFERROR(VLOOKUP($D360,物料档案!$A$4:$P$1203,4,0),"※编码不在物料档案里"))</f>
        <v/>
      </c>
      <c r="G360" s="24">
        <f>IF($D360="","",IFERROR(VLOOKUP($D360,物料档案!$A$4:$P$1203,5,0),"※编码不在物料档案里"))</f>
        <v/>
      </c>
      <c r="H360" s="24">
        <f>IF($D360="","",IFERROR(VLOOKUP($D360,物料档案!$A$4:$P$1203,2,0),"※编码不在物料档案里"))</f>
        <v/>
      </c>
      <c r="I360" s="24">
        <f>IF($D360="","",IFERROR(VLOOKUP($D360,物料档案!$A$4:$P$1203,6,0),"※编码不在物料档案里"))</f>
        <v/>
      </c>
      <c r="J360" s="23" t="n"/>
      <c r="K360" s="17" t="n"/>
      <c r="L360" s="17" t="n"/>
      <c r="M360" s="17" t="n"/>
      <c r="N360" s="17" t="n"/>
      <c r="O360" s="26">
        <f>IF($D360="","",IFERROR(VLOOKUP($D360,物料档案!$A$4:$P$1203,10,0),0))</f>
        <v/>
      </c>
      <c r="P360" s="32" t="n"/>
      <c r="Q360" s="26">
        <f>IF($D360="","",IF($K360&lt;&gt;"对外销售",0,ROUND(N($J360)*IF($P360="",N($O360),N($P360)),0)))</f>
        <v/>
      </c>
      <c r="R360" s="26">
        <f>IF($D360="","",IFERROR(VLOOKUP($D360,库存台账!$A$5:$Y$1204,11,0),0))</f>
        <v/>
      </c>
      <c r="S360" s="26">
        <f>IF($D360="","",ROUND(N($J360)*N($R360),0))</f>
        <v/>
      </c>
      <c r="T360" s="26">
        <f>IF($D360="","",IF($K360&lt;&gt;"对外销售","",ROUND($Q360-$S360,0)))</f>
        <v/>
      </c>
      <c r="U360" s="17" t="n"/>
      <c r="V360" s="17" t="n"/>
      <c r="W360" s="24">
        <f>IF($D360="","",IF($E360="※编码不在物料档案里","※物料编码不在档案里",IF(N($J360)&lt;=0,"※出库数量要大于 0",IF($K360="","※没填去向类型",IF($L360="","※没填去向矿区",IF(AND($C360&lt;&gt;"",$C360&lt;=结账锁),"※日期早于已结账截止日，不能再录",IF(AND($K360="自用消耗",COUNTIF({"一矿区";"二矿区"},$L360)=0),"※自用消耗的去向只能是一矿区或二矿区",IF(AND($K360="对外销售",COUNTIF({"三矿区";"六矿区"},$L360)=0),"※对外销售的去向只能是三矿区或六矿区",IF(AND($K360="对外销售",ROUND($Q360,0)=0),"※外销却没有售价，请填实际售价",IF(AND($K360="对外销售",$T360&lt;&gt;"",$T360&lt;0),"※这一笔外销是亏的，请核对售价",IF(IFERROR(VLOOKUP($D360,库存台账!$A$5:$Y$1204,24,0),0)&lt;-0.001,"※这个物料账面已经变成负数了，查一下是不是漏记入库","")))))))))))</f>
        <v/>
      </c>
    </row>
    <row r="361">
      <c r="A361" s="24">
        <f>IF($D361="","",COUNTA($D$4:$D361))</f>
        <v/>
      </c>
      <c r="B361" s="17" t="n"/>
      <c r="C361" s="30" t="n"/>
      <c r="D361" s="17" t="n"/>
      <c r="E361" s="24">
        <f>IF($D361="","",IFERROR(VLOOKUP($D361,物料档案!$A$4:$P$1203,3,0),"※编码不在物料档案里"))</f>
        <v/>
      </c>
      <c r="F361" s="24">
        <f>IF($D361="","",IFERROR(VLOOKUP($D361,物料档案!$A$4:$P$1203,4,0),"※编码不在物料档案里"))</f>
        <v/>
      </c>
      <c r="G361" s="24">
        <f>IF($D361="","",IFERROR(VLOOKUP($D361,物料档案!$A$4:$P$1203,5,0),"※编码不在物料档案里"))</f>
        <v/>
      </c>
      <c r="H361" s="24">
        <f>IF($D361="","",IFERROR(VLOOKUP($D361,物料档案!$A$4:$P$1203,2,0),"※编码不在物料档案里"))</f>
        <v/>
      </c>
      <c r="I361" s="24">
        <f>IF($D361="","",IFERROR(VLOOKUP($D361,物料档案!$A$4:$P$1203,6,0),"※编码不在物料档案里"))</f>
        <v/>
      </c>
      <c r="J361" s="23" t="n"/>
      <c r="K361" s="17" t="n"/>
      <c r="L361" s="17" t="n"/>
      <c r="M361" s="17" t="n"/>
      <c r="N361" s="17" t="n"/>
      <c r="O361" s="26">
        <f>IF($D361="","",IFERROR(VLOOKUP($D361,物料档案!$A$4:$P$1203,10,0),0))</f>
        <v/>
      </c>
      <c r="P361" s="32" t="n"/>
      <c r="Q361" s="26">
        <f>IF($D361="","",IF($K361&lt;&gt;"对外销售",0,ROUND(N($J361)*IF($P361="",N($O361),N($P361)),0)))</f>
        <v/>
      </c>
      <c r="R361" s="26">
        <f>IF($D361="","",IFERROR(VLOOKUP($D361,库存台账!$A$5:$Y$1204,11,0),0))</f>
        <v/>
      </c>
      <c r="S361" s="26">
        <f>IF($D361="","",ROUND(N($J361)*N($R361),0))</f>
        <v/>
      </c>
      <c r="T361" s="26">
        <f>IF($D361="","",IF($K361&lt;&gt;"对外销售","",ROUND($Q361-$S361,0)))</f>
        <v/>
      </c>
      <c r="U361" s="17" t="n"/>
      <c r="V361" s="17" t="n"/>
      <c r="W361" s="24">
        <f>IF($D361="","",IF($E361="※编码不在物料档案里","※物料编码不在档案里",IF(N($J361)&lt;=0,"※出库数量要大于 0",IF($K361="","※没填去向类型",IF($L361="","※没填去向矿区",IF(AND($C361&lt;&gt;"",$C361&lt;=结账锁),"※日期早于已结账截止日，不能再录",IF(AND($K361="自用消耗",COUNTIF({"一矿区";"二矿区"},$L361)=0),"※自用消耗的去向只能是一矿区或二矿区",IF(AND($K361="对外销售",COUNTIF({"三矿区";"六矿区"},$L361)=0),"※对外销售的去向只能是三矿区或六矿区",IF(AND($K361="对外销售",ROUND($Q361,0)=0),"※外销却没有售价，请填实际售价",IF(AND($K361="对外销售",$T361&lt;&gt;"",$T361&lt;0),"※这一笔外销是亏的，请核对售价",IF(IFERROR(VLOOKUP($D361,库存台账!$A$5:$Y$1204,24,0),0)&lt;-0.001,"※这个物料账面已经变成负数了，查一下是不是漏记入库","")))))))))))</f>
        <v/>
      </c>
    </row>
    <row r="362">
      <c r="A362" s="24">
        <f>IF($D362="","",COUNTA($D$4:$D362))</f>
        <v/>
      </c>
      <c r="B362" s="17" t="n"/>
      <c r="C362" s="30" t="n"/>
      <c r="D362" s="17" t="n"/>
      <c r="E362" s="24">
        <f>IF($D362="","",IFERROR(VLOOKUP($D362,物料档案!$A$4:$P$1203,3,0),"※编码不在物料档案里"))</f>
        <v/>
      </c>
      <c r="F362" s="24">
        <f>IF($D362="","",IFERROR(VLOOKUP($D362,物料档案!$A$4:$P$1203,4,0),"※编码不在物料档案里"))</f>
        <v/>
      </c>
      <c r="G362" s="24">
        <f>IF($D362="","",IFERROR(VLOOKUP($D362,物料档案!$A$4:$P$1203,5,0),"※编码不在物料档案里"))</f>
        <v/>
      </c>
      <c r="H362" s="24">
        <f>IF($D362="","",IFERROR(VLOOKUP($D362,物料档案!$A$4:$P$1203,2,0),"※编码不在物料档案里"))</f>
        <v/>
      </c>
      <c r="I362" s="24">
        <f>IF($D362="","",IFERROR(VLOOKUP($D362,物料档案!$A$4:$P$1203,6,0),"※编码不在物料档案里"))</f>
        <v/>
      </c>
      <c r="J362" s="23" t="n"/>
      <c r="K362" s="17" t="n"/>
      <c r="L362" s="17" t="n"/>
      <c r="M362" s="17" t="n"/>
      <c r="N362" s="17" t="n"/>
      <c r="O362" s="26">
        <f>IF($D362="","",IFERROR(VLOOKUP($D362,物料档案!$A$4:$P$1203,10,0),0))</f>
        <v/>
      </c>
      <c r="P362" s="32" t="n"/>
      <c r="Q362" s="26">
        <f>IF($D362="","",IF($K362&lt;&gt;"对外销售",0,ROUND(N($J362)*IF($P362="",N($O362),N($P362)),0)))</f>
        <v/>
      </c>
      <c r="R362" s="26">
        <f>IF($D362="","",IFERROR(VLOOKUP($D362,库存台账!$A$5:$Y$1204,11,0),0))</f>
        <v/>
      </c>
      <c r="S362" s="26">
        <f>IF($D362="","",ROUND(N($J362)*N($R362),0))</f>
        <v/>
      </c>
      <c r="T362" s="26">
        <f>IF($D362="","",IF($K362&lt;&gt;"对外销售","",ROUND($Q362-$S362,0)))</f>
        <v/>
      </c>
      <c r="U362" s="17" t="n"/>
      <c r="V362" s="17" t="n"/>
      <c r="W362" s="24">
        <f>IF($D362="","",IF($E362="※编码不在物料档案里","※物料编码不在档案里",IF(N($J362)&lt;=0,"※出库数量要大于 0",IF($K362="","※没填去向类型",IF($L362="","※没填去向矿区",IF(AND($C362&lt;&gt;"",$C362&lt;=结账锁),"※日期早于已结账截止日，不能再录",IF(AND($K362="自用消耗",COUNTIF({"一矿区";"二矿区"},$L362)=0),"※自用消耗的去向只能是一矿区或二矿区",IF(AND($K362="对外销售",COUNTIF({"三矿区";"六矿区"},$L362)=0),"※对外销售的去向只能是三矿区或六矿区",IF(AND($K362="对外销售",ROUND($Q362,0)=0),"※外销却没有售价，请填实际售价",IF(AND($K362="对外销售",$T362&lt;&gt;"",$T362&lt;0),"※这一笔外销是亏的，请核对售价",IF(IFERROR(VLOOKUP($D362,库存台账!$A$5:$Y$1204,24,0),0)&lt;-0.001,"※这个物料账面已经变成负数了，查一下是不是漏记入库","")))))))))))</f>
        <v/>
      </c>
    </row>
    <row r="363">
      <c r="A363" s="24">
        <f>IF($D363="","",COUNTA($D$4:$D363))</f>
        <v/>
      </c>
      <c r="B363" s="17" t="n"/>
      <c r="C363" s="30" t="n"/>
      <c r="D363" s="17" t="n"/>
      <c r="E363" s="24">
        <f>IF($D363="","",IFERROR(VLOOKUP($D363,物料档案!$A$4:$P$1203,3,0),"※编码不在物料档案里"))</f>
        <v/>
      </c>
      <c r="F363" s="24">
        <f>IF($D363="","",IFERROR(VLOOKUP($D363,物料档案!$A$4:$P$1203,4,0),"※编码不在物料档案里"))</f>
        <v/>
      </c>
      <c r="G363" s="24">
        <f>IF($D363="","",IFERROR(VLOOKUP($D363,物料档案!$A$4:$P$1203,5,0),"※编码不在物料档案里"))</f>
        <v/>
      </c>
      <c r="H363" s="24">
        <f>IF($D363="","",IFERROR(VLOOKUP($D363,物料档案!$A$4:$P$1203,2,0),"※编码不在物料档案里"))</f>
        <v/>
      </c>
      <c r="I363" s="24">
        <f>IF($D363="","",IFERROR(VLOOKUP($D363,物料档案!$A$4:$P$1203,6,0),"※编码不在物料档案里"))</f>
        <v/>
      </c>
      <c r="J363" s="23" t="n"/>
      <c r="K363" s="17" t="n"/>
      <c r="L363" s="17" t="n"/>
      <c r="M363" s="17" t="n"/>
      <c r="N363" s="17" t="n"/>
      <c r="O363" s="26">
        <f>IF($D363="","",IFERROR(VLOOKUP($D363,物料档案!$A$4:$P$1203,10,0),0))</f>
        <v/>
      </c>
      <c r="P363" s="32" t="n"/>
      <c r="Q363" s="26">
        <f>IF($D363="","",IF($K363&lt;&gt;"对外销售",0,ROUND(N($J363)*IF($P363="",N($O363),N($P363)),0)))</f>
        <v/>
      </c>
      <c r="R363" s="26">
        <f>IF($D363="","",IFERROR(VLOOKUP($D363,库存台账!$A$5:$Y$1204,11,0),0))</f>
        <v/>
      </c>
      <c r="S363" s="26">
        <f>IF($D363="","",ROUND(N($J363)*N($R363),0))</f>
        <v/>
      </c>
      <c r="T363" s="26">
        <f>IF($D363="","",IF($K363&lt;&gt;"对外销售","",ROUND($Q363-$S363,0)))</f>
        <v/>
      </c>
      <c r="U363" s="17" t="n"/>
      <c r="V363" s="17" t="n"/>
      <c r="W363" s="24">
        <f>IF($D363="","",IF($E363="※编码不在物料档案里","※物料编码不在档案里",IF(N($J363)&lt;=0,"※出库数量要大于 0",IF($K363="","※没填去向类型",IF($L363="","※没填去向矿区",IF(AND($C363&lt;&gt;"",$C363&lt;=结账锁),"※日期早于已结账截止日，不能再录",IF(AND($K363="自用消耗",COUNTIF({"一矿区";"二矿区"},$L363)=0),"※自用消耗的去向只能是一矿区或二矿区",IF(AND($K363="对外销售",COUNTIF({"三矿区";"六矿区"},$L363)=0),"※对外销售的去向只能是三矿区或六矿区",IF(AND($K363="对外销售",ROUND($Q363,0)=0),"※外销却没有售价，请填实际售价",IF(AND($K363="对外销售",$T363&lt;&gt;"",$T363&lt;0),"※这一笔外销是亏的，请核对售价",IF(IFERROR(VLOOKUP($D363,库存台账!$A$5:$Y$1204,24,0),0)&lt;-0.001,"※这个物料账面已经变成负数了，查一下是不是漏记入库","")))))))))))</f>
        <v/>
      </c>
    </row>
    <row r="364">
      <c r="A364" s="24">
        <f>IF($D364="","",COUNTA($D$4:$D364))</f>
        <v/>
      </c>
      <c r="B364" s="17" t="n"/>
      <c r="C364" s="30" t="n"/>
      <c r="D364" s="17" t="n"/>
      <c r="E364" s="24">
        <f>IF($D364="","",IFERROR(VLOOKUP($D364,物料档案!$A$4:$P$1203,3,0),"※编码不在物料档案里"))</f>
        <v/>
      </c>
      <c r="F364" s="24">
        <f>IF($D364="","",IFERROR(VLOOKUP($D364,物料档案!$A$4:$P$1203,4,0),"※编码不在物料档案里"))</f>
        <v/>
      </c>
      <c r="G364" s="24">
        <f>IF($D364="","",IFERROR(VLOOKUP($D364,物料档案!$A$4:$P$1203,5,0),"※编码不在物料档案里"))</f>
        <v/>
      </c>
      <c r="H364" s="24">
        <f>IF($D364="","",IFERROR(VLOOKUP($D364,物料档案!$A$4:$P$1203,2,0),"※编码不在物料档案里"))</f>
        <v/>
      </c>
      <c r="I364" s="24">
        <f>IF($D364="","",IFERROR(VLOOKUP($D364,物料档案!$A$4:$P$1203,6,0),"※编码不在物料档案里"))</f>
        <v/>
      </c>
      <c r="J364" s="23" t="n"/>
      <c r="K364" s="17" t="n"/>
      <c r="L364" s="17" t="n"/>
      <c r="M364" s="17" t="n"/>
      <c r="N364" s="17" t="n"/>
      <c r="O364" s="26">
        <f>IF($D364="","",IFERROR(VLOOKUP($D364,物料档案!$A$4:$P$1203,10,0),0))</f>
        <v/>
      </c>
      <c r="P364" s="32" t="n"/>
      <c r="Q364" s="26">
        <f>IF($D364="","",IF($K364&lt;&gt;"对外销售",0,ROUND(N($J364)*IF($P364="",N($O364),N($P364)),0)))</f>
        <v/>
      </c>
      <c r="R364" s="26">
        <f>IF($D364="","",IFERROR(VLOOKUP($D364,库存台账!$A$5:$Y$1204,11,0),0))</f>
        <v/>
      </c>
      <c r="S364" s="26">
        <f>IF($D364="","",ROUND(N($J364)*N($R364),0))</f>
        <v/>
      </c>
      <c r="T364" s="26">
        <f>IF($D364="","",IF($K364&lt;&gt;"对外销售","",ROUND($Q364-$S364,0)))</f>
        <v/>
      </c>
      <c r="U364" s="17" t="n"/>
      <c r="V364" s="17" t="n"/>
      <c r="W364" s="24">
        <f>IF($D364="","",IF($E364="※编码不在物料档案里","※物料编码不在档案里",IF(N($J364)&lt;=0,"※出库数量要大于 0",IF($K364="","※没填去向类型",IF($L364="","※没填去向矿区",IF(AND($C364&lt;&gt;"",$C364&lt;=结账锁),"※日期早于已结账截止日，不能再录",IF(AND($K364="自用消耗",COUNTIF({"一矿区";"二矿区"},$L364)=0),"※自用消耗的去向只能是一矿区或二矿区",IF(AND($K364="对外销售",COUNTIF({"三矿区";"六矿区"},$L364)=0),"※对外销售的去向只能是三矿区或六矿区",IF(AND($K364="对外销售",ROUND($Q364,0)=0),"※外销却没有售价，请填实际售价",IF(AND($K364="对外销售",$T364&lt;&gt;"",$T364&lt;0),"※这一笔外销是亏的，请核对售价",IF(IFERROR(VLOOKUP($D364,库存台账!$A$5:$Y$1204,24,0),0)&lt;-0.001,"※这个物料账面已经变成负数了，查一下是不是漏记入库","")))))))))))</f>
        <v/>
      </c>
    </row>
    <row r="365">
      <c r="A365" s="24">
        <f>IF($D365="","",COUNTA($D$4:$D365))</f>
        <v/>
      </c>
      <c r="B365" s="17" t="n"/>
      <c r="C365" s="30" t="n"/>
      <c r="D365" s="17" t="n"/>
      <c r="E365" s="24">
        <f>IF($D365="","",IFERROR(VLOOKUP($D365,物料档案!$A$4:$P$1203,3,0),"※编码不在物料档案里"))</f>
        <v/>
      </c>
      <c r="F365" s="24">
        <f>IF($D365="","",IFERROR(VLOOKUP($D365,物料档案!$A$4:$P$1203,4,0),"※编码不在物料档案里"))</f>
        <v/>
      </c>
      <c r="G365" s="24">
        <f>IF($D365="","",IFERROR(VLOOKUP($D365,物料档案!$A$4:$P$1203,5,0),"※编码不在物料档案里"))</f>
        <v/>
      </c>
      <c r="H365" s="24">
        <f>IF($D365="","",IFERROR(VLOOKUP($D365,物料档案!$A$4:$P$1203,2,0),"※编码不在物料档案里"))</f>
        <v/>
      </c>
      <c r="I365" s="24">
        <f>IF($D365="","",IFERROR(VLOOKUP($D365,物料档案!$A$4:$P$1203,6,0),"※编码不在物料档案里"))</f>
        <v/>
      </c>
      <c r="J365" s="23" t="n"/>
      <c r="K365" s="17" t="n"/>
      <c r="L365" s="17" t="n"/>
      <c r="M365" s="17" t="n"/>
      <c r="N365" s="17" t="n"/>
      <c r="O365" s="26">
        <f>IF($D365="","",IFERROR(VLOOKUP($D365,物料档案!$A$4:$P$1203,10,0),0))</f>
        <v/>
      </c>
      <c r="P365" s="32" t="n"/>
      <c r="Q365" s="26">
        <f>IF($D365="","",IF($K365&lt;&gt;"对外销售",0,ROUND(N($J365)*IF($P365="",N($O365),N($P365)),0)))</f>
        <v/>
      </c>
      <c r="R365" s="26">
        <f>IF($D365="","",IFERROR(VLOOKUP($D365,库存台账!$A$5:$Y$1204,11,0),0))</f>
        <v/>
      </c>
      <c r="S365" s="26">
        <f>IF($D365="","",ROUND(N($J365)*N($R365),0))</f>
        <v/>
      </c>
      <c r="T365" s="26">
        <f>IF($D365="","",IF($K365&lt;&gt;"对外销售","",ROUND($Q365-$S365,0)))</f>
        <v/>
      </c>
      <c r="U365" s="17" t="n"/>
      <c r="V365" s="17" t="n"/>
      <c r="W365" s="24">
        <f>IF($D365="","",IF($E365="※编码不在物料档案里","※物料编码不在档案里",IF(N($J365)&lt;=0,"※出库数量要大于 0",IF($K365="","※没填去向类型",IF($L365="","※没填去向矿区",IF(AND($C365&lt;&gt;"",$C365&lt;=结账锁),"※日期早于已结账截止日，不能再录",IF(AND($K365="自用消耗",COUNTIF({"一矿区";"二矿区"},$L365)=0),"※自用消耗的去向只能是一矿区或二矿区",IF(AND($K365="对外销售",COUNTIF({"三矿区";"六矿区"},$L365)=0),"※对外销售的去向只能是三矿区或六矿区",IF(AND($K365="对外销售",ROUND($Q365,0)=0),"※外销却没有售价，请填实际售价",IF(AND($K365="对外销售",$T365&lt;&gt;"",$T365&lt;0),"※这一笔外销是亏的，请核对售价",IF(IFERROR(VLOOKUP($D365,库存台账!$A$5:$Y$1204,24,0),0)&lt;-0.001,"※这个物料账面已经变成负数了，查一下是不是漏记入库","")))))))))))</f>
        <v/>
      </c>
    </row>
    <row r="366">
      <c r="A366" s="24">
        <f>IF($D366="","",COUNTA($D$4:$D366))</f>
        <v/>
      </c>
      <c r="B366" s="17" t="n"/>
      <c r="C366" s="30" t="n"/>
      <c r="D366" s="17" t="n"/>
      <c r="E366" s="24">
        <f>IF($D366="","",IFERROR(VLOOKUP($D366,物料档案!$A$4:$P$1203,3,0),"※编码不在物料档案里"))</f>
        <v/>
      </c>
      <c r="F366" s="24">
        <f>IF($D366="","",IFERROR(VLOOKUP($D366,物料档案!$A$4:$P$1203,4,0),"※编码不在物料档案里"))</f>
        <v/>
      </c>
      <c r="G366" s="24">
        <f>IF($D366="","",IFERROR(VLOOKUP($D366,物料档案!$A$4:$P$1203,5,0),"※编码不在物料档案里"))</f>
        <v/>
      </c>
      <c r="H366" s="24">
        <f>IF($D366="","",IFERROR(VLOOKUP($D366,物料档案!$A$4:$P$1203,2,0),"※编码不在物料档案里"))</f>
        <v/>
      </c>
      <c r="I366" s="24">
        <f>IF($D366="","",IFERROR(VLOOKUP($D366,物料档案!$A$4:$P$1203,6,0),"※编码不在物料档案里"))</f>
        <v/>
      </c>
      <c r="J366" s="23" t="n"/>
      <c r="K366" s="17" t="n"/>
      <c r="L366" s="17" t="n"/>
      <c r="M366" s="17" t="n"/>
      <c r="N366" s="17" t="n"/>
      <c r="O366" s="26">
        <f>IF($D366="","",IFERROR(VLOOKUP($D366,物料档案!$A$4:$P$1203,10,0),0))</f>
        <v/>
      </c>
      <c r="P366" s="32" t="n"/>
      <c r="Q366" s="26">
        <f>IF($D366="","",IF($K366&lt;&gt;"对外销售",0,ROUND(N($J366)*IF($P366="",N($O366),N($P366)),0)))</f>
        <v/>
      </c>
      <c r="R366" s="26">
        <f>IF($D366="","",IFERROR(VLOOKUP($D366,库存台账!$A$5:$Y$1204,11,0),0))</f>
        <v/>
      </c>
      <c r="S366" s="26">
        <f>IF($D366="","",ROUND(N($J366)*N($R366),0))</f>
        <v/>
      </c>
      <c r="T366" s="26">
        <f>IF($D366="","",IF($K366&lt;&gt;"对外销售","",ROUND($Q366-$S366,0)))</f>
        <v/>
      </c>
      <c r="U366" s="17" t="n"/>
      <c r="V366" s="17" t="n"/>
      <c r="W366" s="24">
        <f>IF($D366="","",IF($E366="※编码不在物料档案里","※物料编码不在档案里",IF(N($J366)&lt;=0,"※出库数量要大于 0",IF($K366="","※没填去向类型",IF($L366="","※没填去向矿区",IF(AND($C366&lt;&gt;"",$C366&lt;=结账锁),"※日期早于已结账截止日，不能再录",IF(AND($K366="自用消耗",COUNTIF({"一矿区";"二矿区"},$L366)=0),"※自用消耗的去向只能是一矿区或二矿区",IF(AND($K366="对外销售",COUNTIF({"三矿区";"六矿区"},$L366)=0),"※对外销售的去向只能是三矿区或六矿区",IF(AND($K366="对外销售",ROUND($Q366,0)=0),"※外销却没有售价，请填实际售价",IF(AND($K366="对外销售",$T366&lt;&gt;"",$T366&lt;0),"※这一笔外销是亏的，请核对售价",IF(IFERROR(VLOOKUP($D366,库存台账!$A$5:$Y$1204,24,0),0)&lt;-0.001,"※这个物料账面已经变成负数了，查一下是不是漏记入库","")))))))))))</f>
        <v/>
      </c>
    </row>
    <row r="367">
      <c r="A367" s="24">
        <f>IF($D367="","",COUNTA($D$4:$D367))</f>
        <v/>
      </c>
      <c r="B367" s="17" t="n"/>
      <c r="C367" s="30" t="n"/>
      <c r="D367" s="17" t="n"/>
      <c r="E367" s="24">
        <f>IF($D367="","",IFERROR(VLOOKUP($D367,物料档案!$A$4:$P$1203,3,0),"※编码不在物料档案里"))</f>
        <v/>
      </c>
      <c r="F367" s="24">
        <f>IF($D367="","",IFERROR(VLOOKUP($D367,物料档案!$A$4:$P$1203,4,0),"※编码不在物料档案里"))</f>
        <v/>
      </c>
      <c r="G367" s="24">
        <f>IF($D367="","",IFERROR(VLOOKUP($D367,物料档案!$A$4:$P$1203,5,0),"※编码不在物料档案里"))</f>
        <v/>
      </c>
      <c r="H367" s="24">
        <f>IF($D367="","",IFERROR(VLOOKUP($D367,物料档案!$A$4:$P$1203,2,0),"※编码不在物料档案里"))</f>
        <v/>
      </c>
      <c r="I367" s="24">
        <f>IF($D367="","",IFERROR(VLOOKUP($D367,物料档案!$A$4:$P$1203,6,0),"※编码不在物料档案里"))</f>
        <v/>
      </c>
      <c r="J367" s="23" t="n"/>
      <c r="K367" s="17" t="n"/>
      <c r="L367" s="17" t="n"/>
      <c r="M367" s="17" t="n"/>
      <c r="N367" s="17" t="n"/>
      <c r="O367" s="26">
        <f>IF($D367="","",IFERROR(VLOOKUP($D367,物料档案!$A$4:$P$1203,10,0),0))</f>
        <v/>
      </c>
      <c r="P367" s="32" t="n"/>
      <c r="Q367" s="26">
        <f>IF($D367="","",IF($K367&lt;&gt;"对外销售",0,ROUND(N($J367)*IF($P367="",N($O367),N($P367)),0)))</f>
        <v/>
      </c>
      <c r="R367" s="26">
        <f>IF($D367="","",IFERROR(VLOOKUP($D367,库存台账!$A$5:$Y$1204,11,0),0))</f>
        <v/>
      </c>
      <c r="S367" s="26">
        <f>IF($D367="","",ROUND(N($J367)*N($R367),0))</f>
        <v/>
      </c>
      <c r="T367" s="26">
        <f>IF($D367="","",IF($K367&lt;&gt;"对外销售","",ROUND($Q367-$S367,0)))</f>
        <v/>
      </c>
      <c r="U367" s="17" t="n"/>
      <c r="V367" s="17" t="n"/>
      <c r="W367" s="24">
        <f>IF($D367="","",IF($E367="※编码不在物料档案里","※物料编码不在档案里",IF(N($J367)&lt;=0,"※出库数量要大于 0",IF($K367="","※没填去向类型",IF($L367="","※没填去向矿区",IF(AND($C367&lt;&gt;"",$C367&lt;=结账锁),"※日期早于已结账截止日，不能再录",IF(AND($K367="自用消耗",COUNTIF({"一矿区";"二矿区"},$L367)=0),"※自用消耗的去向只能是一矿区或二矿区",IF(AND($K367="对外销售",COUNTIF({"三矿区";"六矿区"},$L367)=0),"※对外销售的去向只能是三矿区或六矿区",IF(AND($K367="对外销售",ROUND($Q367,0)=0),"※外销却没有售价，请填实际售价",IF(AND($K367="对外销售",$T367&lt;&gt;"",$T367&lt;0),"※这一笔外销是亏的，请核对售价",IF(IFERROR(VLOOKUP($D367,库存台账!$A$5:$Y$1204,24,0),0)&lt;-0.001,"※这个物料账面已经变成负数了，查一下是不是漏记入库","")))))))))))</f>
        <v/>
      </c>
    </row>
    <row r="368">
      <c r="A368" s="24">
        <f>IF($D368="","",COUNTA($D$4:$D368))</f>
        <v/>
      </c>
      <c r="B368" s="17" t="n"/>
      <c r="C368" s="30" t="n"/>
      <c r="D368" s="17" t="n"/>
      <c r="E368" s="24">
        <f>IF($D368="","",IFERROR(VLOOKUP($D368,物料档案!$A$4:$P$1203,3,0),"※编码不在物料档案里"))</f>
        <v/>
      </c>
      <c r="F368" s="24">
        <f>IF($D368="","",IFERROR(VLOOKUP($D368,物料档案!$A$4:$P$1203,4,0),"※编码不在物料档案里"))</f>
        <v/>
      </c>
      <c r="G368" s="24">
        <f>IF($D368="","",IFERROR(VLOOKUP($D368,物料档案!$A$4:$P$1203,5,0),"※编码不在物料档案里"))</f>
        <v/>
      </c>
      <c r="H368" s="24">
        <f>IF($D368="","",IFERROR(VLOOKUP($D368,物料档案!$A$4:$P$1203,2,0),"※编码不在物料档案里"))</f>
        <v/>
      </c>
      <c r="I368" s="24">
        <f>IF($D368="","",IFERROR(VLOOKUP($D368,物料档案!$A$4:$P$1203,6,0),"※编码不在物料档案里"))</f>
        <v/>
      </c>
      <c r="J368" s="23" t="n"/>
      <c r="K368" s="17" t="n"/>
      <c r="L368" s="17" t="n"/>
      <c r="M368" s="17" t="n"/>
      <c r="N368" s="17" t="n"/>
      <c r="O368" s="26">
        <f>IF($D368="","",IFERROR(VLOOKUP($D368,物料档案!$A$4:$P$1203,10,0),0))</f>
        <v/>
      </c>
      <c r="P368" s="32" t="n"/>
      <c r="Q368" s="26">
        <f>IF($D368="","",IF($K368&lt;&gt;"对外销售",0,ROUND(N($J368)*IF($P368="",N($O368),N($P368)),0)))</f>
        <v/>
      </c>
      <c r="R368" s="26">
        <f>IF($D368="","",IFERROR(VLOOKUP($D368,库存台账!$A$5:$Y$1204,11,0),0))</f>
        <v/>
      </c>
      <c r="S368" s="26">
        <f>IF($D368="","",ROUND(N($J368)*N($R368),0))</f>
        <v/>
      </c>
      <c r="T368" s="26">
        <f>IF($D368="","",IF($K368&lt;&gt;"对外销售","",ROUND($Q368-$S368,0)))</f>
        <v/>
      </c>
      <c r="U368" s="17" t="n"/>
      <c r="V368" s="17" t="n"/>
      <c r="W368" s="24">
        <f>IF($D368="","",IF($E368="※编码不在物料档案里","※物料编码不在档案里",IF(N($J368)&lt;=0,"※出库数量要大于 0",IF($K368="","※没填去向类型",IF($L368="","※没填去向矿区",IF(AND($C368&lt;&gt;"",$C368&lt;=结账锁),"※日期早于已结账截止日，不能再录",IF(AND($K368="自用消耗",COUNTIF({"一矿区";"二矿区"},$L368)=0),"※自用消耗的去向只能是一矿区或二矿区",IF(AND($K368="对外销售",COUNTIF({"三矿区";"六矿区"},$L368)=0),"※对外销售的去向只能是三矿区或六矿区",IF(AND($K368="对外销售",ROUND($Q368,0)=0),"※外销却没有售价，请填实际售价",IF(AND($K368="对外销售",$T368&lt;&gt;"",$T368&lt;0),"※这一笔外销是亏的，请核对售价",IF(IFERROR(VLOOKUP($D368,库存台账!$A$5:$Y$1204,24,0),0)&lt;-0.001,"※这个物料账面已经变成负数了，查一下是不是漏记入库","")))))))))))</f>
        <v/>
      </c>
    </row>
    <row r="369">
      <c r="A369" s="24">
        <f>IF($D369="","",COUNTA($D$4:$D369))</f>
        <v/>
      </c>
      <c r="B369" s="17" t="n"/>
      <c r="C369" s="30" t="n"/>
      <c r="D369" s="17" t="n"/>
      <c r="E369" s="24">
        <f>IF($D369="","",IFERROR(VLOOKUP($D369,物料档案!$A$4:$P$1203,3,0),"※编码不在物料档案里"))</f>
        <v/>
      </c>
      <c r="F369" s="24">
        <f>IF($D369="","",IFERROR(VLOOKUP($D369,物料档案!$A$4:$P$1203,4,0),"※编码不在物料档案里"))</f>
        <v/>
      </c>
      <c r="G369" s="24">
        <f>IF($D369="","",IFERROR(VLOOKUP($D369,物料档案!$A$4:$P$1203,5,0),"※编码不在物料档案里"))</f>
        <v/>
      </c>
      <c r="H369" s="24">
        <f>IF($D369="","",IFERROR(VLOOKUP($D369,物料档案!$A$4:$P$1203,2,0),"※编码不在物料档案里"))</f>
        <v/>
      </c>
      <c r="I369" s="24">
        <f>IF($D369="","",IFERROR(VLOOKUP($D369,物料档案!$A$4:$P$1203,6,0),"※编码不在物料档案里"))</f>
        <v/>
      </c>
      <c r="J369" s="23" t="n"/>
      <c r="K369" s="17" t="n"/>
      <c r="L369" s="17" t="n"/>
      <c r="M369" s="17" t="n"/>
      <c r="N369" s="17" t="n"/>
      <c r="O369" s="26">
        <f>IF($D369="","",IFERROR(VLOOKUP($D369,物料档案!$A$4:$P$1203,10,0),0))</f>
        <v/>
      </c>
      <c r="P369" s="32" t="n"/>
      <c r="Q369" s="26">
        <f>IF($D369="","",IF($K369&lt;&gt;"对外销售",0,ROUND(N($J369)*IF($P369="",N($O369),N($P369)),0)))</f>
        <v/>
      </c>
      <c r="R369" s="26">
        <f>IF($D369="","",IFERROR(VLOOKUP($D369,库存台账!$A$5:$Y$1204,11,0),0))</f>
        <v/>
      </c>
      <c r="S369" s="26">
        <f>IF($D369="","",ROUND(N($J369)*N($R369),0))</f>
        <v/>
      </c>
      <c r="T369" s="26">
        <f>IF($D369="","",IF($K369&lt;&gt;"对外销售","",ROUND($Q369-$S369,0)))</f>
        <v/>
      </c>
      <c r="U369" s="17" t="n"/>
      <c r="V369" s="17" t="n"/>
      <c r="W369" s="24">
        <f>IF($D369="","",IF($E369="※编码不在物料档案里","※物料编码不在档案里",IF(N($J369)&lt;=0,"※出库数量要大于 0",IF($K369="","※没填去向类型",IF($L369="","※没填去向矿区",IF(AND($C369&lt;&gt;"",$C369&lt;=结账锁),"※日期早于已结账截止日，不能再录",IF(AND($K369="自用消耗",COUNTIF({"一矿区";"二矿区"},$L369)=0),"※自用消耗的去向只能是一矿区或二矿区",IF(AND($K369="对外销售",COUNTIF({"三矿区";"六矿区"},$L369)=0),"※对外销售的去向只能是三矿区或六矿区",IF(AND($K369="对外销售",ROUND($Q369,0)=0),"※外销却没有售价，请填实际售价",IF(AND($K369="对外销售",$T369&lt;&gt;"",$T369&lt;0),"※这一笔外销是亏的，请核对售价",IF(IFERROR(VLOOKUP($D369,库存台账!$A$5:$Y$1204,24,0),0)&lt;-0.001,"※这个物料账面已经变成负数了，查一下是不是漏记入库","")))))))))))</f>
        <v/>
      </c>
    </row>
    <row r="370">
      <c r="A370" s="24">
        <f>IF($D370="","",COUNTA($D$4:$D370))</f>
        <v/>
      </c>
      <c r="B370" s="17" t="n"/>
      <c r="C370" s="30" t="n"/>
      <c r="D370" s="17" t="n"/>
      <c r="E370" s="24">
        <f>IF($D370="","",IFERROR(VLOOKUP($D370,物料档案!$A$4:$P$1203,3,0),"※编码不在物料档案里"))</f>
        <v/>
      </c>
      <c r="F370" s="24">
        <f>IF($D370="","",IFERROR(VLOOKUP($D370,物料档案!$A$4:$P$1203,4,0),"※编码不在物料档案里"))</f>
        <v/>
      </c>
      <c r="G370" s="24">
        <f>IF($D370="","",IFERROR(VLOOKUP($D370,物料档案!$A$4:$P$1203,5,0),"※编码不在物料档案里"))</f>
        <v/>
      </c>
      <c r="H370" s="24">
        <f>IF($D370="","",IFERROR(VLOOKUP($D370,物料档案!$A$4:$P$1203,2,0),"※编码不在物料档案里"))</f>
        <v/>
      </c>
      <c r="I370" s="24">
        <f>IF($D370="","",IFERROR(VLOOKUP($D370,物料档案!$A$4:$P$1203,6,0),"※编码不在物料档案里"))</f>
        <v/>
      </c>
      <c r="J370" s="23" t="n"/>
      <c r="K370" s="17" t="n"/>
      <c r="L370" s="17" t="n"/>
      <c r="M370" s="17" t="n"/>
      <c r="N370" s="17" t="n"/>
      <c r="O370" s="26">
        <f>IF($D370="","",IFERROR(VLOOKUP($D370,物料档案!$A$4:$P$1203,10,0),0))</f>
        <v/>
      </c>
      <c r="P370" s="32" t="n"/>
      <c r="Q370" s="26">
        <f>IF($D370="","",IF($K370&lt;&gt;"对外销售",0,ROUND(N($J370)*IF($P370="",N($O370),N($P370)),0)))</f>
        <v/>
      </c>
      <c r="R370" s="26">
        <f>IF($D370="","",IFERROR(VLOOKUP($D370,库存台账!$A$5:$Y$1204,11,0),0))</f>
        <v/>
      </c>
      <c r="S370" s="26">
        <f>IF($D370="","",ROUND(N($J370)*N($R370),0))</f>
        <v/>
      </c>
      <c r="T370" s="26">
        <f>IF($D370="","",IF($K370&lt;&gt;"对外销售","",ROUND($Q370-$S370,0)))</f>
        <v/>
      </c>
      <c r="U370" s="17" t="n"/>
      <c r="V370" s="17" t="n"/>
      <c r="W370" s="24">
        <f>IF($D370="","",IF($E370="※编码不在物料档案里","※物料编码不在档案里",IF(N($J370)&lt;=0,"※出库数量要大于 0",IF($K370="","※没填去向类型",IF($L370="","※没填去向矿区",IF(AND($C370&lt;&gt;"",$C370&lt;=结账锁),"※日期早于已结账截止日，不能再录",IF(AND($K370="自用消耗",COUNTIF({"一矿区";"二矿区"},$L370)=0),"※自用消耗的去向只能是一矿区或二矿区",IF(AND($K370="对外销售",COUNTIF({"三矿区";"六矿区"},$L370)=0),"※对外销售的去向只能是三矿区或六矿区",IF(AND($K370="对外销售",ROUND($Q370,0)=0),"※外销却没有售价，请填实际售价",IF(AND($K370="对外销售",$T370&lt;&gt;"",$T370&lt;0),"※这一笔外销是亏的，请核对售价",IF(IFERROR(VLOOKUP($D370,库存台账!$A$5:$Y$1204,24,0),0)&lt;-0.001,"※这个物料账面已经变成负数了，查一下是不是漏记入库","")))))))))))</f>
        <v/>
      </c>
    </row>
    <row r="371">
      <c r="A371" s="24">
        <f>IF($D371="","",COUNTA($D$4:$D371))</f>
        <v/>
      </c>
      <c r="B371" s="17" t="n"/>
      <c r="C371" s="30" t="n"/>
      <c r="D371" s="17" t="n"/>
      <c r="E371" s="24">
        <f>IF($D371="","",IFERROR(VLOOKUP($D371,物料档案!$A$4:$P$1203,3,0),"※编码不在物料档案里"))</f>
        <v/>
      </c>
      <c r="F371" s="24">
        <f>IF($D371="","",IFERROR(VLOOKUP($D371,物料档案!$A$4:$P$1203,4,0),"※编码不在物料档案里"))</f>
        <v/>
      </c>
      <c r="G371" s="24">
        <f>IF($D371="","",IFERROR(VLOOKUP($D371,物料档案!$A$4:$P$1203,5,0),"※编码不在物料档案里"))</f>
        <v/>
      </c>
      <c r="H371" s="24">
        <f>IF($D371="","",IFERROR(VLOOKUP($D371,物料档案!$A$4:$P$1203,2,0),"※编码不在物料档案里"))</f>
        <v/>
      </c>
      <c r="I371" s="24">
        <f>IF($D371="","",IFERROR(VLOOKUP($D371,物料档案!$A$4:$P$1203,6,0),"※编码不在物料档案里"))</f>
        <v/>
      </c>
      <c r="J371" s="23" t="n"/>
      <c r="K371" s="17" t="n"/>
      <c r="L371" s="17" t="n"/>
      <c r="M371" s="17" t="n"/>
      <c r="N371" s="17" t="n"/>
      <c r="O371" s="26">
        <f>IF($D371="","",IFERROR(VLOOKUP($D371,物料档案!$A$4:$P$1203,10,0),0))</f>
        <v/>
      </c>
      <c r="P371" s="32" t="n"/>
      <c r="Q371" s="26">
        <f>IF($D371="","",IF($K371&lt;&gt;"对外销售",0,ROUND(N($J371)*IF($P371="",N($O371),N($P371)),0)))</f>
        <v/>
      </c>
      <c r="R371" s="26">
        <f>IF($D371="","",IFERROR(VLOOKUP($D371,库存台账!$A$5:$Y$1204,11,0),0))</f>
        <v/>
      </c>
      <c r="S371" s="26">
        <f>IF($D371="","",ROUND(N($J371)*N($R371),0))</f>
        <v/>
      </c>
      <c r="T371" s="26">
        <f>IF($D371="","",IF($K371&lt;&gt;"对外销售","",ROUND($Q371-$S371,0)))</f>
        <v/>
      </c>
      <c r="U371" s="17" t="n"/>
      <c r="V371" s="17" t="n"/>
      <c r="W371" s="24">
        <f>IF($D371="","",IF($E371="※编码不在物料档案里","※物料编码不在档案里",IF(N($J371)&lt;=0,"※出库数量要大于 0",IF($K371="","※没填去向类型",IF($L371="","※没填去向矿区",IF(AND($C371&lt;&gt;"",$C371&lt;=结账锁),"※日期早于已结账截止日，不能再录",IF(AND($K371="自用消耗",COUNTIF({"一矿区";"二矿区"},$L371)=0),"※自用消耗的去向只能是一矿区或二矿区",IF(AND($K371="对外销售",COUNTIF({"三矿区";"六矿区"},$L371)=0),"※对外销售的去向只能是三矿区或六矿区",IF(AND($K371="对外销售",ROUND($Q371,0)=0),"※外销却没有售价，请填实际售价",IF(AND($K371="对外销售",$T371&lt;&gt;"",$T371&lt;0),"※这一笔外销是亏的，请核对售价",IF(IFERROR(VLOOKUP($D371,库存台账!$A$5:$Y$1204,24,0),0)&lt;-0.001,"※这个物料账面已经变成负数了，查一下是不是漏记入库","")))))))))))</f>
        <v/>
      </c>
    </row>
    <row r="372">
      <c r="A372" s="24">
        <f>IF($D372="","",COUNTA($D$4:$D372))</f>
        <v/>
      </c>
      <c r="B372" s="17" t="n"/>
      <c r="C372" s="30" t="n"/>
      <c r="D372" s="17" t="n"/>
      <c r="E372" s="24">
        <f>IF($D372="","",IFERROR(VLOOKUP($D372,物料档案!$A$4:$P$1203,3,0),"※编码不在物料档案里"))</f>
        <v/>
      </c>
      <c r="F372" s="24">
        <f>IF($D372="","",IFERROR(VLOOKUP($D372,物料档案!$A$4:$P$1203,4,0),"※编码不在物料档案里"))</f>
        <v/>
      </c>
      <c r="G372" s="24">
        <f>IF($D372="","",IFERROR(VLOOKUP($D372,物料档案!$A$4:$P$1203,5,0),"※编码不在物料档案里"))</f>
        <v/>
      </c>
      <c r="H372" s="24">
        <f>IF($D372="","",IFERROR(VLOOKUP($D372,物料档案!$A$4:$P$1203,2,0),"※编码不在物料档案里"))</f>
        <v/>
      </c>
      <c r="I372" s="24">
        <f>IF($D372="","",IFERROR(VLOOKUP($D372,物料档案!$A$4:$P$1203,6,0),"※编码不在物料档案里"))</f>
        <v/>
      </c>
      <c r="J372" s="23" t="n"/>
      <c r="K372" s="17" t="n"/>
      <c r="L372" s="17" t="n"/>
      <c r="M372" s="17" t="n"/>
      <c r="N372" s="17" t="n"/>
      <c r="O372" s="26">
        <f>IF($D372="","",IFERROR(VLOOKUP($D372,物料档案!$A$4:$P$1203,10,0),0))</f>
        <v/>
      </c>
      <c r="P372" s="32" t="n"/>
      <c r="Q372" s="26">
        <f>IF($D372="","",IF($K372&lt;&gt;"对外销售",0,ROUND(N($J372)*IF($P372="",N($O372),N($P372)),0)))</f>
        <v/>
      </c>
      <c r="R372" s="26">
        <f>IF($D372="","",IFERROR(VLOOKUP($D372,库存台账!$A$5:$Y$1204,11,0),0))</f>
        <v/>
      </c>
      <c r="S372" s="26">
        <f>IF($D372="","",ROUND(N($J372)*N($R372),0))</f>
        <v/>
      </c>
      <c r="T372" s="26">
        <f>IF($D372="","",IF($K372&lt;&gt;"对外销售","",ROUND($Q372-$S372,0)))</f>
        <v/>
      </c>
      <c r="U372" s="17" t="n"/>
      <c r="V372" s="17" t="n"/>
      <c r="W372" s="24">
        <f>IF($D372="","",IF($E372="※编码不在物料档案里","※物料编码不在档案里",IF(N($J372)&lt;=0,"※出库数量要大于 0",IF($K372="","※没填去向类型",IF($L372="","※没填去向矿区",IF(AND($C372&lt;&gt;"",$C372&lt;=结账锁),"※日期早于已结账截止日，不能再录",IF(AND($K372="自用消耗",COUNTIF({"一矿区";"二矿区"},$L372)=0),"※自用消耗的去向只能是一矿区或二矿区",IF(AND($K372="对外销售",COUNTIF({"三矿区";"六矿区"},$L372)=0),"※对外销售的去向只能是三矿区或六矿区",IF(AND($K372="对外销售",ROUND($Q372,0)=0),"※外销却没有售价，请填实际售价",IF(AND($K372="对外销售",$T372&lt;&gt;"",$T372&lt;0),"※这一笔外销是亏的，请核对售价",IF(IFERROR(VLOOKUP($D372,库存台账!$A$5:$Y$1204,24,0),0)&lt;-0.001,"※这个物料账面已经变成负数了，查一下是不是漏记入库","")))))))))))</f>
        <v/>
      </c>
    </row>
    <row r="373">
      <c r="A373" s="24">
        <f>IF($D373="","",COUNTA($D$4:$D373))</f>
        <v/>
      </c>
      <c r="B373" s="17" t="n"/>
      <c r="C373" s="30" t="n"/>
      <c r="D373" s="17" t="n"/>
      <c r="E373" s="24">
        <f>IF($D373="","",IFERROR(VLOOKUP($D373,物料档案!$A$4:$P$1203,3,0),"※编码不在物料档案里"))</f>
        <v/>
      </c>
      <c r="F373" s="24">
        <f>IF($D373="","",IFERROR(VLOOKUP($D373,物料档案!$A$4:$P$1203,4,0),"※编码不在物料档案里"))</f>
        <v/>
      </c>
      <c r="G373" s="24">
        <f>IF($D373="","",IFERROR(VLOOKUP($D373,物料档案!$A$4:$P$1203,5,0),"※编码不在物料档案里"))</f>
        <v/>
      </c>
      <c r="H373" s="24">
        <f>IF($D373="","",IFERROR(VLOOKUP($D373,物料档案!$A$4:$P$1203,2,0),"※编码不在物料档案里"))</f>
        <v/>
      </c>
      <c r="I373" s="24">
        <f>IF($D373="","",IFERROR(VLOOKUP($D373,物料档案!$A$4:$P$1203,6,0),"※编码不在物料档案里"))</f>
        <v/>
      </c>
      <c r="J373" s="23" t="n"/>
      <c r="K373" s="17" t="n"/>
      <c r="L373" s="17" t="n"/>
      <c r="M373" s="17" t="n"/>
      <c r="N373" s="17" t="n"/>
      <c r="O373" s="26">
        <f>IF($D373="","",IFERROR(VLOOKUP($D373,物料档案!$A$4:$P$1203,10,0),0))</f>
        <v/>
      </c>
      <c r="P373" s="32" t="n"/>
      <c r="Q373" s="26">
        <f>IF($D373="","",IF($K373&lt;&gt;"对外销售",0,ROUND(N($J373)*IF($P373="",N($O373),N($P373)),0)))</f>
        <v/>
      </c>
      <c r="R373" s="26">
        <f>IF($D373="","",IFERROR(VLOOKUP($D373,库存台账!$A$5:$Y$1204,11,0),0))</f>
        <v/>
      </c>
      <c r="S373" s="26">
        <f>IF($D373="","",ROUND(N($J373)*N($R373),0))</f>
        <v/>
      </c>
      <c r="T373" s="26">
        <f>IF($D373="","",IF($K373&lt;&gt;"对外销售","",ROUND($Q373-$S373,0)))</f>
        <v/>
      </c>
      <c r="U373" s="17" t="n"/>
      <c r="V373" s="17" t="n"/>
      <c r="W373" s="24">
        <f>IF($D373="","",IF($E373="※编码不在物料档案里","※物料编码不在档案里",IF(N($J373)&lt;=0,"※出库数量要大于 0",IF($K373="","※没填去向类型",IF($L373="","※没填去向矿区",IF(AND($C373&lt;&gt;"",$C373&lt;=结账锁),"※日期早于已结账截止日，不能再录",IF(AND($K373="自用消耗",COUNTIF({"一矿区";"二矿区"},$L373)=0),"※自用消耗的去向只能是一矿区或二矿区",IF(AND($K373="对外销售",COUNTIF({"三矿区";"六矿区"},$L373)=0),"※对外销售的去向只能是三矿区或六矿区",IF(AND($K373="对外销售",ROUND($Q373,0)=0),"※外销却没有售价，请填实际售价",IF(AND($K373="对外销售",$T373&lt;&gt;"",$T373&lt;0),"※这一笔外销是亏的，请核对售价",IF(IFERROR(VLOOKUP($D373,库存台账!$A$5:$Y$1204,24,0),0)&lt;-0.001,"※这个物料账面已经变成负数了，查一下是不是漏记入库","")))))))))))</f>
        <v/>
      </c>
    </row>
    <row r="374">
      <c r="A374" s="24">
        <f>IF($D374="","",COUNTA($D$4:$D374))</f>
        <v/>
      </c>
      <c r="B374" s="17" t="n"/>
      <c r="C374" s="30" t="n"/>
      <c r="D374" s="17" t="n"/>
      <c r="E374" s="24">
        <f>IF($D374="","",IFERROR(VLOOKUP($D374,物料档案!$A$4:$P$1203,3,0),"※编码不在物料档案里"))</f>
        <v/>
      </c>
      <c r="F374" s="24">
        <f>IF($D374="","",IFERROR(VLOOKUP($D374,物料档案!$A$4:$P$1203,4,0),"※编码不在物料档案里"))</f>
        <v/>
      </c>
      <c r="G374" s="24">
        <f>IF($D374="","",IFERROR(VLOOKUP($D374,物料档案!$A$4:$P$1203,5,0),"※编码不在物料档案里"))</f>
        <v/>
      </c>
      <c r="H374" s="24">
        <f>IF($D374="","",IFERROR(VLOOKUP($D374,物料档案!$A$4:$P$1203,2,0),"※编码不在物料档案里"))</f>
        <v/>
      </c>
      <c r="I374" s="24">
        <f>IF($D374="","",IFERROR(VLOOKUP($D374,物料档案!$A$4:$P$1203,6,0),"※编码不在物料档案里"))</f>
        <v/>
      </c>
      <c r="J374" s="23" t="n"/>
      <c r="K374" s="17" t="n"/>
      <c r="L374" s="17" t="n"/>
      <c r="M374" s="17" t="n"/>
      <c r="N374" s="17" t="n"/>
      <c r="O374" s="26">
        <f>IF($D374="","",IFERROR(VLOOKUP($D374,物料档案!$A$4:$P$1203,10,0),0))</f>
        <v/>
      </c>
      <c r="P374" s="32" t="n"/>
      <c r="Q374" s="26">
        <f>IF($D374="","",IF($K374&lt;&gt;"对外销售",0,ROUND(N($J374)*IF($P374="",N($O374),N($P374)),0)))</f>
        <v/>
      </c>
      <c r="R374" s="26">
        <f>IF($D374="","",IFERROR(VLOOKUP($D374,库存台账!$A$5:$Y$1204,11,0),0))</f>
        <v/>
      </c>
      <c r="S374" s="26">
        <f>IF($D374="","",ROUND(N($J374)*N($R374),0))</f>
        <v/>
      </c>
      <c r="T374" s="26">
        <f>IF($D374="","",IF($K374&lt;&gt;"对外销售","",ROUND($Q374-$S374,0)))</f>
        <v/>
      </c>
      <c r="U374" s="17" t="n"/>
      <c r="V374" s="17" t="n"/>
      <c r="W374" s="24">
        <f>IF($D374="","",IF($E374="※编码不在物料档案里","※物料编码不在档案里",IF(N($J374)&lt;=0,"※出库数量要大于 0",IF($K374="","※没填去向类型",IF($L374="","※没填去向矿区",IF(AND($C374&lt;&gt;"",$C374&lt;=结账锁),"※日期早于已结账截止日，不能再录",IF(AND($K374="自用消耗",COUNTIF({"一矿区";"二矿区"},$L374)=0),"※自用消耗的去向只能是一矿区或二矿区",IF(AND($K374="对外销售",COUNTIF({"三矿区";"六矿区"},$L374)=0),"※对外销售的去向只能是三矿区或六矿区",IF(AND($K374="对外销售",ROUND($Q374,0)=0),"※外销却没有售价，请填实际售价",IF(AND($K374="对外销售",$T374&lt;&gt;"",$T374&lt;0),"※这一笔外销是亏的，请核对售价",IF(IFERROR(VLOOKUP($D374,库存台账!$A$5:$Y$1204,24,0),0)&lt;-0.001,"※这个物料账面已经变成负数了，查一下是不是漏记入库","")))))))))))</f>
        <v/>
      </c>
    </row>
    <row r="375">
      <c r="A375" s="24">
        <f>IF($D375="","",COUNTA($D$4:$D375))</f>
        <v/>
      </c>
      <c r="B375" s="17" t="n"/>
      <c r="C375" s="30" t="n"/>
      <c r="D375" s="17" t="n"/>
      <c r="E375" s="24">
        <f>IF($D375="","",IFERROR(VLOOKUP($D375,物料档案!$A$4:$P$1203,3,0),"※编码不在物料档案里"))</f>
        <v/>
      </c>
      <c r="F375" s="24">
        <f>IF($D375="","",IFERROR(VLOOKUP($D375,物料档案!$A$4:$P$1203,4,0),"※编码不在物料档案里"))</f>
        <v/>
      </c>
      <c r="G375" s="24">
        <f>IF($D375="","",IFERROR(VLOOKUP($D375,物料档案!$A$4:$P$1203,5,0),"※编码不在物料档案里"))</f>
        <v/>
      </c>
      <c r="H375" s="24">
        <f>IF($D375="","",IFERROR(VLOOKUP($D375,物料档案!$A$4:$P$1203,2,0),"※编码不在物料档案里"))</f>
        <v/>
      </c>
      <c r="I375" s="24">
        <f>IF($D375="","",IFERROR(VLOOKUP($D375,物料档案!$A$4:$P$1203,6,0),"※编码不在物料档案里"))</f>
        <v/>
      </c>
      <c r="J375" s="23" t="n"/>
      <c r="K375" s="17" t="n"/>
      <c r="L375" s="17" t="n"/>
      <c r="M375" s="17" t="n"/>
      <c r="N375" s="17" t="n"/>
      <c r="O375" s="26">
        <f>IF($D375="","",IFERROR(VLOOKUP($D375,物料档案!$A$4:$P$1203,10,0),0))</f>
        <v/>
      </c>
      <c r="P375" s="32" t="n"/>
      <c r="Q375" s="26">
        <f>IF($D375="","",IF($K375&lt;&gt;"对外销售",0,ROUND(N($J375)*IF($P375="",N($O375),N($P375)),0)))</f>
        <v/>
      </c>
      <c r="R375" s="26">
        <f>IF($D375="","",IFERROR(VLOOKUP($D375,库存台账!$A$5:$Y$1204,11,0),0))</f>
        <v/>
      </c>
      <c r="S375" s="26">
        <f>IF($D375="","",ROUND(N($J375)*N($R375),0))</f>
        <v/>
      </c>
      <c r="T375" s="26">
        <f>IF($D375="","",IF($K375&lt;&gt;"对外销售","",ROUND($Q375-$S375,0)))</f>
        <v/>
      </c>
      <c r="U375" s="17" t="n"/>
      <c r="V375" s="17" t="n"/>
      <c r="W375" s="24">
        <f>IF($D375="","",IF($E375="※编码不在物料档案里","※物料编码不在档案里",IF(N($J375)&lt;=0,"※出库数量要大于 0",IF($K375="","※没填去向类型",IF($L375="","※没填去向矿区",IF(AND($C375&lt;&gt;"",$C375&lt;=结账锁),"※日期早于已结账截止日，不能再录",IF(AND($K375="自用消耗",COUNTIF({"一矿区";"二矿区"},$L375)=0),"※自用消耗的去向只能是一矿区或二矿区",IF(AND($K375="对外销售",COUNTIF({"三矿区";"六矿区"},$L375)=0),"※对外销售的去向只能是三矿区或六矿区",IF(AND($K375="对外销售",ROUND($Q375,0)=0),"※外销却没有售价，请填实际售价",IF(AND($K375="对外销售",$T375&lt;&gt;"",$T375&lt;0),"※这一笔外销是亏的，请核对售价",IF(IFERROR(VLOOKUP($D375,库存台账!$A$5:$Y$1204,24,0),0)&lt;-0.001,"※这个物料账面已经变成负数了，查一下是不是漏记入库","")))))))))))</f>
        <v/>
      </c>
    </row>
    <row r="376">
      <c r="A376" s="24">
        <f>IF($D376="","",COUNTA($D$4:$D376))</f>
        <v/>
      </c>
      <c r="B376" s="17" t="n"/>
      <c r="C376" s="30" t="n"/>
      <c r="D376" s="17" t="n"/>
      <c r="E376" s="24">
        <f>IF($D376="","",IFERROR(VLOOKUP($D376,物料档案!$A$4:$P$1203,3,0),"※编码不在物料档案里"))</f>
        <v/>
      </c>
      <c r="F376" s="24">
        <f>IF($D376="","",IFERROR(VLOOKUP($D376,物料档案!$A$4:$P$1203,4,0),"※编码不在物料档案里"))</f>
        <v/>
      </c>
      <c r="G376" s="24">
        <f>IF($D376="","",IFERROR(VLOOKUP($D376,物料档案!$A$4:$P$1203,5,0),"※编码不在物料档案里"))</f>
        <v/>
      </c>
      <c r="H376" s="24">
        <f>IF($D376="","",IFERROR(VLOOKUP($D376,物料档案!$A$4:$P$1203,2,0),"※编码不在物料档案里"))</f>
        <v/>
      </c>
      <c r="I376" s="24">
        <f>IF($D376="","",IFERROR(VLOOKUP($D376,物料档案!$A$4:$P$1203,6,0),"※编码不在物料档案里"))</f>
        <v/>
      </c>
      <c r="J376" s="23" t="n"/>
      <c r="K376" s="17" t="n"/>
      <c r="L376" s="17" t="n"/>
      <c r="M376" s="17" t="n"/>
      <c r="N376" s="17" t="n"/>
      <c r="O376" s="26">
        <f>IF($D376="","",IFERROR(VLOOKUP($D376,物料档案!$A$4:$P$1203,10,0),0))</f>
        <v/>
      </c>
      <c r="P376" s="32" t="n"/>
      <c r="Q376" s="26">
        <f>IF($D376="","",IF($K376&lt;&gt;"对外销售",0,ROUND(N($J376)*IF($P376="",N($O376),N($P376)),0)))</f>
        <v/>
      </c>
      <c r="R376" s="26">
        <f>IF($D376="","",IFERROR(VLOOKUP($D376,库存台账!$A$5:$Y$1204,11,0),0))</f>
        <v/>
      </c>
      <c r="S376" s="26">
        <f>IF($D376="","",ROUND(N($J376)*N($R376),0))</f>
        <v/>
      </c>
      <c r="T376" s="26">
        <f>IF($D376="","",IF($K376&lt;&gt;"对外销售","",ROUND($Q376-$S376,0)))</f>
        <v/>
      </c>
      <c r="U376" s="17" t="n"/>
      <c r="V376" s="17" t="n"/>
      <c r="W376" s="24">
        <f>IF($D376="","",IF($E376="※编码不在物料档案里","※物料编码不在档案里",IF(N($J376)&lt;=0,"※出库数量要大于 0",IF($K376="","※没填去向类型",IF($L376="","※没填去向矿区",IF(AND($C376&lt;&gt;"",$C376&lt;=结账锁),"※日期早于已结账截止日，不能再录",IF(AND($K376="自用消耗",COUNTIF({"一矿区";"二矿区"},$L376)=0),"※自用消耗的去向只能是一矿区或二矿区",IF(AND($K376="对外销售",COUNTIF({"三矿区";"六矿区"},$L376)=0),"※对外销售的去向只能是三矿区或六矿区",IF(AND($K376="对外销售",ROUND($Q376,0)=0),"※外销却没有售价，请填实际售价",IF(AND($K376="对外销售",$T376&lt;&gt;"",$T376&lt;0),"※这一笔外销是亏的，请核对售价",IF(IFERROR(VLOOKUP($D376,库存台账!$A$5:$Y$1204,24,0),0)&lt;-0.001,"※这个物料账面已经变成负数了，查一下是不是漏记入库","")))))))))))</f>
        <v/>
      </c>
    </row>
    <row r="377">
      <c r="A377" s="24">
        <f>IF($D377="","",COUNTA($D$4:$D377))</f>
        <v/>
      </c>
      <c r="B377" s="17" t="n"/>
      <c r="C377" s="30" t="n"/>
      <c r="D377" s="17" t="n"/>
      <c r="E377" s="24">
        <f>IF($D377="","",IFERROR(VLOOKUP($D377,物料档案!$A$4:$P$1203,3,0),"※编码不在物料档案里"))</f>
        <v/>
      </c>
      <c r="F377" s="24">
        <f>IF($D377="","",IFERROR(VLOOKUP($D377,物料档案!$A$4:$P$1203,4,0),"※编码不在物料档案里"))</f>
        <v/>
      </c>
      <c r="G377" s="24">
        <f>IF($D377="","",IFERROR(VLOOKUP($D377,物料档案!$A$4:$P$1203,5,0),"※编码不在物料档案里"))</f>
        <v/>
      </c>
      <c r="H377" s="24">
        <f>IF($D377="","",IFERROR(VLOOKUP($D377,物料档案!$A$4:$P$1203,2,0),"※编码不在物料档案里"))</f>
        <v/>
      </c>
      <c r="I377" s="24">
        <f>IF($D377="","",IFERROR(VLOOKUP($D377,物料档案!$A$4:$P$1203,6,0),"※编码不在物料档案里"))</f>
        <v/>
      </c>
      <c r="J377" s="23" t="n"/>
      <c r="K377" s="17" t="n"/>
      <c r="L377" s="17" t="n"/>
      <c r="M377" s="17" t="n"/>
      <c r="N377" s="17" t="n"/>
      <c r="O377" s="26">
        <f>IF($D377="","",IFERROR(VLOOKUP($D377,物料档案!$A$4:$P$1203,10,0),0))</f>
        <v/>
      </c>
      <c r="P377" s="32" t="n"/>
      <c r="Q377" s="26">
        <f>IF($D377="","",IF($K377&lt;&gt;"对外销售",0,ROUND(N($J377)*IF($P377="",N($O377),N($P377)),0)))</f>
        <v/>
      </c>
      <c r="R377" s="26">
        <f>IF($D377="","",IFERROR(VLOOKUP($D377,库存台账!$A$5:$Y$1204,11,0),0))</f>
        <v/>
      </c>
      <c r="S377" s="26">
        <f>IF($D377="","",ROUND(N($J377)*N($R377),0))</f>
        <v/>
      </c>
      <c r="T377" s="26">
        <f>IF($D377="","",IF($K377&lt;&gt;"对外销售","",ROUND($Q377-$S377,0)))</f>
        <v/>
      </c>
      <c r="U377" s="17" t="n"/>
      <c r="V377" s="17" t="n"/>
      <c r="W377" s="24">
        <f>IF($D377="","",IF($E377="※编码不在物料档案里","※物料编码不在档案里",IF(N($J377)&lt;=0,"※出库数量要大于 0",IF($K377="","※没填去向类型",IF($L377="","※没填去向矿区",IF(AND($C377&lt;&gt;"",$C377&lt;=结账锁),"※日期早于已结账截止日，不能再录",IF(AND($K377="自用消耗",COUNTIF({"一矿区";"二矿区"},$L377)=0),"※自用消耗的去向只能是一矿区或二矿区",IF(AND($K377="对外销售",COUNTIF({"三矿区";"六矿区"},$L377)=0),"※对外销售的去向只能是三矿区或六矿区",IF(AND($K377="对外销售",ROUND($Q377,0)=0),"※外销却没有售价，请填实际售价",IF(AND($K377="对外销售",$T377&lt;&gt;"",$T377&lt;0),"※这一笔外销是亏的，请核对售价",IF(IFERROR(VLOOKUP($D377,库存台账!$A$5:$Y$1204,24,0),0)&lt;-0.001,"※这个物料账面已经变成负数了，查一下是不是漏记入库","")))))))))))</f>
        <v/>
      </c>
    </row>
    <row r="378">
      <c r="A378" s="24">
        <f>IF($D378="","",COUNTA($D$4:$D378))</f>
        <v/>
      </c>
      <c r="B378" s="17" t="n"/>
      <c r="C378" s="30" t="n"/>
      <c r="D378" s="17" t="n"/>
      <c r="E378" s="24">
        <f>IF($D378="","",IFERROR(VLOOKUP($D378,物料档案!$A$4:$P$1203,3,0),"※编码不在物料档案里"))</f>
        <v/>
      </c>
      <c r="F378" s="24">
        <f>IF($D378="","",IFERROR(VLOOKUP($D378,物料档案!$A$4:$P$1203,4,0),"※编码不在物料档案里"))</f>
        <v/>
      </c>
      <c r="G378" s="24">
        <f>IF($D378="","",IFERROR(VLOOKUP($D378,物料档案!$A$4:$P$1203,5,0),"※编码不在物料档案里"))</f>
        <v/>
      </c>
      <c r="H378" s="24">
        <f>IF($D378="","",IFERROR(VLOOKUP($D378,物料档案!$A$4:$P$1203,2,0),"※编码不在物料档案里"))</f>
        <v/>
      </c>
      <c r="I378" s="24">
        <f>IF($D378="","",IFERROR(VLOOKUP($D378,物料档案!$A$4:$P$1203,6,0),"※编码不在物料档案里"))</f>
        <v/>
      </c>
      <c r="J378" s="23" t="n"/>
      <c r="K378" s="17" t="n"/>
      <c r="L378" s="17" t="n"/>
      <c r="M378" s="17" t="n"/>
      <c r="N378" s="17" t="n"/>
      <c r="O378" s="26">
        <f>IF($D378="","",IFERROR(VLOOKUP($D378,物料档案!$A$4:$P$1203,10,0),0))</f>
        <v/>
      </c>
      <c r="P378" s="32" t="n"/>
      <c r="Q378" s="26">
        <f>IF($D378="","",IF($K378&lt;&gt;"对外销售",0,ROUND(N($J378)*IF($P378="",N($O378),N($P378)),0)))</f>
        <v/>
      </c>
      <c r="R378" s="26">
        <f>IF($D378="","",IFERROR(VLOOKUP($D378,库存台账!$A$5:$Y$1204,11,0),0))</f>
        <v/>
      </c>
      <c r="S378" s="26">
        <f>IF($D378="","",ROUND(N($J378)*N($R378),0))</f>
        <v/>
      </c>
      <c r="T378" s="26">
        <f>IF($D378="","",IF($K378&lt;&gt;"对外销售","",ROUND($Q378-$S378,0)))</f>
        <v/>
      </c>
      <c r="U378" s="17" t="n"/>
      <c r="V378" s="17" t="n"/>
      <c r="W378" s="24">
        <f>IF($D378="","",IF($E378="※编码不在物料档案里","※物料编码不在档案里",IF(N($J378)&lt;=0,"※出库数量要大于 0",IF($K378="","※没填去向类型",IF($L378="","※没填去向矿区",IF(AND($C378&lt;&gt;"",$C378&lt;=结账锁),"※日期早于已结账截止日，不能再录",IF(AND($K378="自用消耗",COUNTIF({"一矿区";"二矿区"},$L378)=0),"※自用消耗的去向只能是一矿区或二矿区",IF(AND($K378="对外销售",COUNTIF({"三矿区";"六矿区"},$L378)=0),"※对外销售的去向只能是三矿区或六矿区",IF(AND($K378="对外销售",ROUND($Q378,0)=0),"※外销却没有售价，请填实际售价",IF(AND($K378="对外销售",$T378&lt;&gt;"",$T378&lt;0),"※这一笔外销是亏的，请核对售价",IF(IFERROR(VLOOKUP($D378,库存台账!$A$5:$Y$1204,24,0),0)&lt;-0.001,"※这个物料账面已经变成负数了，查一下是不是漏记入库","")))))))))))</f>
        <v/>
      </c>
    </row>
    <row r="379">
      <c r="A379" s="24">
        <f>IF($D379="","",COUNTA($D$4:$D379))</f>
        <v/>
      </c>
      <c r="B379" s="17" t="n"/>
      <c r="C379" s="30" t="n"/>
      <c r="D379" s="17" t="n"/>
      <c r="E379" s="24">
        <f>IF($D379="","",IFERROR(VLOOKUP($D379,物料档案!$A$4:$P$1203,3,0),"※编码不在物料档案里"))</f>
        <v/>
      </c>
      <c r="F379" s="24">
        <f>IF($D379="","",IFERROR(VLOOKUP($D379,物料档案!$A$4:$P$1203,4,0),"※编码不在物料档案里"))</f>
        <v/>
      </c>
      <c r="G379" s="24">
        <f>IF($D379="","",IFERROR(VLOOKUP($D379,物料档案!$A$4:$P$1203,5,0),"※编码不在物料档案里"))</f>
        <v/>
      </c>
      <c r="H379" s="24">
        <f>IF($D379="","",IFERROR(VLOOKUP($D379,物料档案!$A$4:$P$1203,2,0),"※编码不在物料档案里"))</f>
        <v/>
      </c>
      <c r="I379" s="24">
        <f>IF($D379="","",IFERROR(VLOOKUP($D379,物料档案!$A$4:$P$1203,6,0),"※编码不在物料档案里"))</f>
        <v/>
      </c>
      <c r="J379" s="23" t="n"/>
      <c r="K379" s="17" t="n"/>
      <c r="L379" s="17" t="n"/>
      <c r="M379" s="17" t="n"/>
      <c r="N379" s="17" t="n"/>
      <c r="O379" s="26">
        <f>IF($D379="","",IFERROR(VLOOKUP($D379,物料档案!$A$4:$P$1203,10,0),0))</f>
        <v/>
      </c>
      <c r="P379" s="32" t="n"/>
      <c r="Q379" s="26">
        <f>IF($D379="","",IF($K379&lt;&gt;"对外销售",0,ROUND(N($J379)*IF($P379="",N($O379),N($P379)),0)))</f>
        <v/>
      </c>
      <c r="R379" s="26">
        <f>IF($D379="","",IFERROR(VLOOKUP($D379,库存台账!$A$5:$Y$1204,11,0),0))</f>
        <v/>
      </c>
      <c r="S379" s="26">
        <f>IF($D379="","",ROUND(N($J379)*N($R379),0))</f>
        <v/>
      </c>
      <c r="T379" s="26">
        <f>IF($D379="","",IF($K379&lt;&gt;"对外销售","",ROUND($Q379-$S379,0)))</f>
        <v/>
      </c>
      <c r="U379" s="17" t="n"/>
      <c r="V379" s="17" t="n"/>
      <c r="W379" s="24">
        <f>IF($D379="","",IF($E379="※编码不在物料档案里","※物料编码不在档案里",IF(N($J379)&lt;=0,"※出库数量要大于 0",IF($K379="","※没填去向类型",IF($L379="","※没填去向矿区",IF(AND($C379&lt;&gt;"",$C379&lt;=结账锁),"※日期早于已结账截止日，不能再录",IF(AND($K379="自用消耗",COUNTIF({"一矿区";"二矿区"},$L379)=0),"※自用消耗的去向只能是一矿区或二矿区",IF(AND($K379="对外销售",COUNTIF({"三矿区";"六矿区"},$L379)=0),"※对外销售的去向只能是三矿区或六矿区",IF(AND($K379="对外销售",ROUND($Q379,0)=0),"※外销却没有售价，请填实际售价",IF(AND($K379="对外销售",$T379&lt;&gt;"",$T379&lt;0),"※这一笔外销是亏的，请核对售价",IF(IFERROR(VLOOKUP($D379,库存台账!$A$5:$Y$1204,24,0),0)&lt;-0.001,"※这个物料账面已经变成负数了，查一下是不是漏记入库","")))))))))))</f>
        <v/>
      </c>
    </row>
    <row r="380">
      <c r="A380" s="24">
        <f>IF($D380="","",COUNTA($D$4:$D380))</f>
        <v/>
      </c>
      <c r="B380" s="17" t="n"/>
      <c r="C380" s="30" t="n"/>
      <c r="D380" s="17" t="n"/>
      <c r="E380" s="24">
        <f>IF($D380="","",IFERROR(VLOOKUP($D380,物料档案!$A$4:$P$1203,3,0),"※编码不在物料档案里"))</f>
        <v/>
      </c>
      <c r="F380" s="24">
        <f>IF($D380="","",IFERROR(VLOOKUP($D380,物料档案!$A$4:$P$1203,4,0),"※编码不在物料档案里"))</f>
        <v/>
      </c>
      <c r="G380" s="24">
        <f>IF($D380="","",IFERROR(VLOOKUP($D380,物料档案!$A$4:$P$1203,5,0),"※编码不在物料档案里"))</f>
        <v/>
      </c>
      <c r="H380" s="24">
        <f>IF($D380="","",IFERROR(VLOOKUP($D380,物料档案!$A$4:$P$1203,2,0),"※编码不在物料档案里"))</f>
        <v/>
      </c>
      <c r="I380" s="24">
        <f>IF($D380="","",IFERROR(VLOOKUP($D380,物料档案!$A$4:$P$1203,6,0),"※编码不在物料档案里"))</f>
        <v/>
      </c>
      <c r="J380" s="23" t="n"/>
      <c r="K380" s="17" t="n"/>
      <c r="L380" s="17" t="n"/>
      <c r="M380" s="17" t="n"/>
      <c r="N380" s="17" t="n"/>
      <c r="O380" s="26">
        <f>IF($D380="","",IFERROR(VLOOKUP($D380,物料档案!$A$4:$P$1203,10,0),0))</f>
        <v/>
      </c>
      <c r="P380" s="32" t="n"/>
      <c r="Q380" s="26">
        <f>IF($D380="","",IF($K380&lt;&gt;"对外销售",0,ROUND(N($J380)*IF($P380="",N($O380),N($P380)),0)))</f>
        <v/>
      </c>
      <c r="R380" s="26">
        <f>IF($D380="","",IFERROR(VLOOKUP($D380,库存台账!$A$5:$Y$1204,11,0),0))</f>
        <v/>
      </c>
      <c r="S380" s="26">
        <f>IF($D380="","",ROUND(N($J380)*N($R380),0))</f>
        <v/>
      </c>
      <c r="T380" s="26">
        <f>IF($D380="","",IF($K380&lt;&gt;"对外销售","",ROUND($Q380-$S380,0)))</f>
        <v/>
      </c>
      <c r="U380" s="17" t="n"/>
      <c r="V380" s="17" t="n"/>
      <c r="W380" s="24">
        <f>IF($D380="","",IF($E380="※编码不在物料档案里","※物料编码不在档案里",IF(N($J380)&lt;=0,"※出库数量要大于 0",IF($K380="","※没填去向类型",IF($L380="","※没填去向矿区",IF(AND($C380&lt;&gt;"",$C380&lt;=结账锁),"※日期早于已结账截止日，不能再录",IF(AND($K380="自用消耗",COUNTIF({"一矿区";"二矿区"},$L380)=0),"※自用消耗的去向只能是一矿区或二矿区",IF(AND($K380="对外销售",COUNTIF({"三矿区";"六矿区"},$L380)=0),"※对外销售的去向只能是三矿区或六矿区",IF(AND($K380="对外销售",ROUND($Q380,0)=0),"※外销却没有售价，请填实际售价",IF(AND($K380="对外销售",$T380&lt;&gt;"",$T380&lt;0),"※这一笔外销是亏的，请核对售价",IF(IFERROR(VLOOKUP($D380,库存台账!$A$5:$Y$1204,24,0),0)&lt;-0.001,"※这个物料账面已经变成负数了，查一下是不是漏记入库","")))))))))))</f>
        <v/>
      </c>
    </row>
    <row r="381">
      <c r="A381" s="24">
        <f>IF($D381="","",COUNTA($D$4:$D381))</f>
        <v/>
      </c>
      <c r="B381" s="17" t="n"/>
      <c r="C381" s="30" t="n"/>
      <c r="D381" s="17" t="n"/>
      <c r="E381" s="24">
        <f>IF($D381="","",IFERROR(VLOOKUP($D381,物料档案!$A$4:$P$1203,3,0),"※编码不在物料档案里"))</f>
        <v/>
      </c>
      <c r="F381" s="24">
        <f>IF($D381="","",IFERROR(VLOOKUP($D381,物料档案!$A$4:$P$1203,4,0),"※编码不在物料档案里"))</f>
        <v/>
      </c>
      <c r="G381" s="24">
        <f>IF($D381="","",IFERROR(VLOOKUP($D381,物料档案!$A$4:$P$1203,5,0),"※编码不在物料档案里"))</f>
        <v/>
      </c>
      <c r="H381" s="24">
        <f>IF($D381="","",IFERROR(VLOOKUP($D381,物料档案!$A$4:$P$1203,2,0),"※编码不在物料档案里"))</f>
        <v/>
      </c>
      <c r="I381" s="24">
        <f>IF($D381="","",IFERROR(VLOOKUP($D381,物料档案!$A$4:$P$1203,6,0),"※编码不在物料档案里"))</f>
        <v/>
      </c>
      <c r="J381" s="23" t="n"/>
      <c r="K381" s="17" t="n"/>
      <c r="L381" s="17" t="n"/>
      <c r="M381" s="17" t="n"/>
      <c r="N381" s="17" t="n"/>
      <c r="O381" s="26">
        <f>IF($D381="","",IFERROR(VLOOKUP($D381,物料档案!$A$4:$P$1203,10,0),0))</f>
        <v/>
      </c>
      <c r="P381" s="32" t="n"/>
      <c r="Q381" s="26">
        <f>IF($D381="","",IF($K381&lt;&gt;"对外销售",0,ROUND(N($J381)*IF($P381="",N($O381),N($P381)),0)))</f>
        <v/>
      </c>
      <c r="R381" s="26">
        <f>IF($D381="","",IFERROR(VLOOKUP($D381,库存台账!$A$5:$Y$1204,11,0),0))</f>
        <v/>
      </c>
      <c r="S381" s="26">
        <f>IF($D381="","",ROUND(N($J381)*N($R381),0))</f>
        <v/>
      </c>
      <c r="T381" s="26">
        <f>IF($D381="","",IF($K381&lt;&gt;"对外销售","",ROUND($Q381-$S381,0)))</f>
        <v/>
      </c>
      <c r="U381" s="17" t="n"/>
      <c r="V381" s="17" t="n"/>
      <c r="W381" s="24">
        <f>IF($D381="","",IF($E381="※编码不在物料档案里","※物料编码不在档案里",IF(N($J381)&lt;=0,"※出库数量要大于 0",IF($K381="","※没填去向类型",IF($L381="","※没填去向矿区",IF(AND($C381&lt;&gt;"",$C381&lt;=结账锁),"※日期早于已结账截止日，不能再录",IF(AND($K381="自用消耗",COUNTIF({"一矿区";"二矿区"},$L381)=0),"※自用消耗的去向只能是一矿区或二矿区",IF(AND($K381="对外销售",COUNTIF({"三矿区";"六矿区"},$L381)=0),"※对外销售的去向只能是三矿区或六矿区",IF(AND($K381="对外销售",ROUND($Q381,0)=0),"※外销却没有售价，请填实际售价",IF(AND($K381="对外销售",$T381&lt;&gt;"",$T381&lt;0),"※这一笔外销是亏的，请核对售价",IF(IFERROR(VLOOKUP($D381,库存台账!$A$5:$Y$1204,24,0),0)&lt;-0.001,"※这个物料账面已经变成负数了，查一下是不是漏记入库","")))))))))))</f>
        <v/>
      </c>
    </row>
    <row r="382">
      <c r="A382" s="24">
        <f>IF($D382="","",COUNTA($D$4:$D382))</f>
        <v/>
      </c>
      <c r="B382" s="17" t="n"/>
      <c r="C382" s="30" t="n"/>
      <c r="D382" s="17" t="n"/>
      <c r="E382" s="24">
        <f>IF($D382="","",IFERROR(VLOOKUP($D382,物料档案!$A$4:$P$1203,3,0),"※编码不在物料档案里"))</f>
        <v/>
      </c>
      <c r="F382" s="24">
        <f>IF($D382="","",IFERROR(VLOOKUP($D382,物料档案!$A$4:$P$1203,4,0),"※编码不在物料档案里"))</f>
        <v/>
      </c>
      <c r="G382" s="24">
        <f>IF($D382="","",IFERROR(VLOOKUP($D382,物料档案!$A$4:$P$1203,5,0),"※编码不在物料档案里"))</f>
        <v/>
      </c>
      <c r="H382" s="24">
        <f>IF($D382="","",IFERROR(VLOOKUP($D382,物料档案!$A$4:$P$1203,2,0),"※编码不在物料档案里"))</f>
        <v/>
      </c>
      <c r="I382" s="24">
        <f>IF($D382="","",IFERROR(VLOOKUP($D382,物料档案!$A$4:$P$1203,6,0),"※编码不在物料档案里"))</f>
        <v/>
      </c>
      <c r="J382" s="23" t="n"/>
      <c r="K382" s="17" t="n"/>
      <c r="L382" s="17" t="n"/>
      <c r="M382" s="17" t="n"/>
      <c r="N382" s="17" t="n"/>
      <c r="O382" s="26">
        <f>IF($D382="","",IFERROR(VLOOKUP($D382,物料档案!$A$4:$P$1203,10,0),0))</f>
        <v/>
      </c>
      <c r="P382" s="32" t="n"/>
      <c r="Q382" s="26">
        <f>IF($D382="","",IF($K382&lt;&gt;"对外销售",0,ROUND(N($J382)*IF($P382="",N($O382),N($P382)),0)))</f>
        <v/>
      </c>
      <c r="R382" s="26">
        <f>IF($D382="","",IFERROR(VLOOKUP($D382,库存台账!$A$5:$Y$1204,11,0),0))</f>
        <v/>
      </c>
      <c r="S382" s="26">
        <f>IF($D382="","",ROUND(N($J382)*N($R382),0))</f>
        <v/>
      </c>
      <c r="T382" s="26">
        <f>IF($D382="","",IF($K382&lt;&gt;"对外销售","",ROUND($Q382-$S382,0)))</f>
        <v/>
      </c>
      <c r="U382" s="17" t="n"/>
      <c r="V382" s="17" t="n"/>
      <c r="W382" s="24">
        <f>IF($D382="","",IF($E382="※编码不在物料档案里","※物料编码不在档案里",IF(N($J382)&lt;=0,"※出库数量要大于 0",IF($K382="","※没填去向类型",IF($L382="","※没填去向矿区",IF(AND($C382&lt;&gt;"",$C382&lt;=结账锁),"※日期早于已结账截止日，不能再录",IF(AND($K382="自用消耗",COUNTIF({"一矿区";"二矿区"},$L382)=0),"※自用消耗的去向只能是一矿区或二矿区",IF(AND($K382="对外销售",COUNTIF({"三矿区";"六矿区"},$L382)=0),"※对外销售的去向只能是三矿区或六矿区",IF(AND($K382="对外销售",ROUND($Q382,0)=0),"※外销却没有售价，请填实际售价",IF(AND($K382="对外销售",$T382&lt;&gt;"",$T382&lt;0),"※这一笔外销是亏的，请核对售价",IF(IFERROR(VLOOKUP($D382,库存台账!$A$5:$Y$1204,24,0),0)&lt;-0.001,"※这个物料账面已经变成负数了，查一下是不是漏记入库","")))))))))))</f>
        <v/>
      </c>
    </row>
    <row r="383">
      <c r="A383" s="24">
        <f>IF($D383="","",COUNTA($D$4:$D383))</f>
        <v/>
      </c>
      <c r="B383" s="17" t="n"/>
      <c r="C383" s="30" t="n"/>
      <c r="D383" s="17" t="n"/>
      <c r="E383" s="24">
        <f>IF($D383="","",IFERROR(VLOOKUP($D383,物料档案!$A$4:$P$1203,3,0),"※编码不在物料档案里"))</f>
        <v/>
      </c>
      <c r="F383" s="24">
        <f>IF($D383="","",IFERROR(VLOOKUP($D383,物料档案!$A$4:$P$1203,4,0),"※编码不在物料档案里"))</f>
        <v/>
      </c>
      <c r="G383" s="24">
        <f>IF($D383="","",IFERROR(VLOOKUP($D383,物料档案!$A$4:$P$1203,5,0),"※编码不在物料档案里"))</f>
        <v/>
      </c>
      <c r="H383" s="24">
        <f>IF($D383="","",IFERROR(VLOOKUP($D383,物料档案!$A$4:$P$1203,2,0),"※编码不在物料档案里"))</f>
        <v/>
      </c>
      <c r="I383" s="24">
        <f>IF($D383="","",IFERROR(VLOOKUP($D383,物料档案!$A$4:$P$1203,6,0),"※编码不在物料档案里"))</f>
        <v/>
      </c>
      <c r="J383" s="23" t="n"/>
      <c r="K383" s="17" t="n"/>
      <c r="L383" s="17" t="n"/>
      <c r="M383" s="17" t="n"/>
      <c r="N383" s="17" t="n"/>
      <c r="O383" s="26">
        <f>IF($D383="","",IFERROR(VLOOKUP($D383,物料档案!$A$4:$P$1203,10,0),0))</f>
        <v/>
      </c>
      <c r="P383" s="32" t="n"/>
      <c r="Q383" s="26">
        <f>IF($D383="","",IF($K383&lt;&gt;"对外销售",0,ROUND(N($J383)*IF($P383="",N($O383),N($P383)),0)))</f>
        <v/>
      </c>
      <c r="R383" s="26">
        <f>IF($D383="","",IFERROR(VLOOKUP($D383,库存台账!$A$5:$Y$1204,11,0),0))</f>
        <v/>
      </c>
      <c r="S383" s="26">
        <f>IF($D383="","",ROUND(N($J383)*N($R383),0))</f>
        <v/>
      </c>
      <c r="T383" s="26">
        <f>IF($D383="","",IF($K383&lt;&gt;"对外销售","",ROUND($Q383-$S383,0)))</f>
        <v/>
      </c>
      <c r="U383" s="17" t="n"/>
      <c r="V383" s="17" t="n"/>
      <c r="W383" s="24">
        <f>IF($D383="","",IF($E383="※编码不在物料档案里","※物料编码不在档案里",IF(N($J383)&lt;=0,"※出库数量要大于 0",IF($K383="","※没填去向类型",IF($L383="","※没填去向矿区",IF(AND($C383&lt;&gt;"",$C383&lt;=结账锁),"※日期早于已结账截止日，不能再录",IF(AND($K383="自用消耗",COUNTIF({"一矿区";"二矿区"},$L383)=0),"※自用消耗的去向只能是一矿区或二矿区",IF(AND($K383="对外销售",COUNTIF({"三矿区";"六矿区"},$L383)=0),"※对外销售的去向只能是三矿区或六矿区",IF(AND($K383="对外销售",ROUND($Q383,0)=0),"※外销却没有售价，请填实际售价",IF(AND($K383="对外销售",$T383&lt;&gt;"",$T383&lt;0),"※这一笔外销是亏的，请核对售价",IF(IFERROR(VLOOKUP($D383,库存台账!$A$5:$Y$1204,24,0),0)&lt;-0.001,"※这个物料账面已经变成负数了，查一下是不是漏记入库","")))))))))))</f>
        <v/>
      </c>
    </row>
    <row r="384">
      <c r="A384" s="24">
        <f>IF($D384="","",COUNTA($D$4:$D384))</f>
        <v/>
      </c>
      <c r="B384" s="17" t="n"/>
      <c r="C384" s="30" t="n"/>
      <c r="D384" s="17" t="n"/>
      <c r="E384" s="24">
        <f>IF($D384="","",IFERROR(VLOOKUP($D384,物料档案!$A$4:$P$1203,3,0),"※编码不在物料档案里"))</f>
        <v/>
      </c>
      <c r="F384" s="24">
        <f>IF($D384="","",IFERROR(VLOOKUP($D384,物料档案!$A$4:$P$1203,4,0),"※编码不在物料档案里"))</f>
        <v/>
      </c>
      <c r="G384" s="24">
        <f>IF($D384="","",IFERROR(VLOOKUP($D384,物料档案!$A$4:$P$1203,5,0),"※编码不在物料档案里"))</f>
        <v/>
      </c>
      <c r="H384" s="24">
        <f>IF($D384="","",IFERROR(VLOOKUP($D384,物料档案!$A$4:$P$1203,2,0),"※编码不在物料档案里"))</f>
        <v/>
      </c>
      <c r="I384" s="24">
        <f>IF($D384="","",IFERROR(VLOOKUP($D384,物料档案!$A$4:$P$1203,6,0),"※编码不在物料档案里"))</f>
        <v/>
      </c>
      <c r="J384" s="23" t="n"/>
      <c r="K384" s="17" t="n"/>
      <c r="L384" s="17" t="n"/>
      <c r="M384" s="17" t="n"/>
      <c r="N384" s="17" t="n"/>
      <c r="O384" s="26">
        <f>IF($D384="","",IFERROR(VLOOKUP($D384,物料档案!$A$4:$P$1203,10,0),0))</f>
        <v/>
      </c>
      <c r="P384" s="32" t="n"/>
      <c r="Q384" s="26">
        <f>IF($D384="","",IF($K384&lt;&gt;"对外销售",0,ROUND(N($J384)*IF($P384="",N($O384),N($P384)),0)))</f>
        <v/>
      </c>
      <c r="R384" s="26">
        <f>IF($D384="","",IFERROR(VLOOKUP($D384,库存台账!$A$5:$Y$1204,11,0),0))</f>
        <v/>
      </c>
      <c r="S384" s="26">
        <f>IF($D384="","",ROUND(N($J384)*N($R384),0))</f>
        <v/>
      </c>
      <c r="T384" s="26">
        <f>IF($D384="","",IF($K384&lt;&gt;"对外销售","",ROUND($Q384-$S384,0)))</f>
        <v/>
      </c>
      <c r="U384" s="17" t="n"/>
      <c r="V384" s="17" t="n"/>
      <c r="W384" s="24">
        <f>IF($D384="","",IF($E384="※编码不在物料档案里","※物料编码不在档案里",IF(N($J384)&lt;=0,"※出库数量要大于 0",IF($K384="","※没填去向类型",IF($L384="","※没填去向矿区",IF(AND($C384&lt;&gt;"",$C384&lt;=结账锁),"※日期早于已结账截止日，不能再录",IF(AND($K384="自用消耗",COUNTIF({"一矿区";"二矿区"},$L384)=0),"※自用消耗的去向只能是一矿区或二矿区",IF(AND($K384="对外销售",COUNTIF({"三矿区";"六矿区"},$L384)=0),"※对外销售的去向只能是三矿区或六矿区",IF(AND($K384="对外销售",ROUND($Q384,0)=0),"※外销却没有售价，请填实际售价",IF(AND($K384="对外销售",$T384&lt;&gt;"",$T384&lt;0),"※这一笔外销是亏的，请核对售价",IF(IFERROR(VLOOKUP($D384,库存台账!$A$5:$Y$1204,24,0),0)&lt;-0.001,"※这个物料账面已经变成负数了，查一下是不是漏记入库","")))))))))))</f>
        <v/>
      </c>
    </row>
    <row r="385">
      <c r="A385" s="24">
        <f>IF($D385="","",COUNTA($D$4:$D385))</f>
        <v/>
      </c>
      <c r="B385" s="17" t="n"/>
      <c r="C385" s="30" t="n"/>
      <c r="D385" s="17" t="n"/>
      <c r="E385" s="24">
        <f>IF($D385="","",IFERROR(VLOOKUP($D385,物料档案!$A$4:$P$1203,3,0),"※编码不在物料档案里"))</f>
        <v/>
      </c>
      <c r="F385" s="24">
        <f>IF($D385="","",IFERROR(VLOOKUP($D385,物料档案!$A$4:$P$1203,4,0),"※编码不在物料档案里"))</f>
        <v/>
      </c>
      <c r="G385" s="24">
        <f>IF($D385="","",IFERROR(VLOOKUP($D385,物料档案!$A$4:$P$1203,5,0),"※编码不在物料档案里"))</f>
        <v/>
      </c>
      <c r="H385" s="24">
        <f>IF($D385="","",IFERROR(VLOOKUP($D385,物料档案!$A$4:$P$1203,2,0),"※编码不在物料档案里"))</f>
        <v/>
      </c>
      <c r="I385" s="24">
        <f>IF($D385="","",IFERROR(VLOOKUP($D385,物料档案!$A$4:$P$1203,6,0),"※编码不在物料档案里"))</f>
        <v/>
      </c>
      <c r="J385" s="23" t="n"/>
      <c r="K385" s="17" t="n"/>
      <c r="L385" s="17" t="n"/>
      <c r="M385" s="17" t="n"/>
      <c r="N385" s="17" t="n"/>
      <c r="O385" s="26">
        <f>IF($D385="","",IFERROR(VLOOKUP($D385,物料档案!$A$4:$P$1203,10,0),0))</f>
        <v/>
      </c>
      <c r="P385" s="32" t="n"/>
      <c r="Q385" s="26">
        <f>IF($D385="","",IF($K385&lt;&gt;"对外销售",0,ROUND(N($J385)*IF($P385="",N($O385),N($P385)),0)))</f>
        <v/>
      </c>
      <c r="R385" s="26">
        <f>IF($D385="","",IFERROR(VLOOKUP($D385,库存台账!$A$5:$Y$1204,11,0),0))</f>
        <v/>
      </c>
      <c r="S385" s="26">
        <f>IF($D385="","",ROUND(N($J385)*N($R385),0))</f>
        <v/>
      </c>
      <c r="T385" s="26">
        <f>IF($D385="","",IF($K385&lt;&gt;"对外销售","",ROUND($Q385-$S385,0)))</f>
        <v/>
      </c>
      <c r="U385" s="17" t="n"/>
      <c r="V385" s="17" t="n"/>
      <c r="W385" s="24">
        <f>IF($D385="","",IF($E385="※编码不在物料档案里","※物料编码不在档案里",IF(N($J385)&lt;=0,"※出库数量要大于 0",IF($K385="","※没填去向类型",IF($L385="","※没填去向矿区",IF(AND($C385&lt;&gt;"",$C385&lt;=结账锁),"※日期早于已结账截止日，不能再录",IF(AND($K385="自用消耗",COUNTIF({"一矿区";"二矿区"},$L385)=0),"※自用消耗的去向只能是一矿区或二矿区",IF(AND($K385="对外销售",COUNTIF({"三矿区";"六矿区"},$L385)=0),"※对外销售的去向只能是三矿区或六矿区",IF(AND($K385="对外销售",ROUND($Q385,0)=0),"※外销却没有售价，请填实际售价",IF(AND($K385="对外销售",$T385&lt;&gt;"",$T385&lt;0),"※这一笔外销是亏的，请核对售价",IF(IFERROR(VLOOKUP($D385,库存台账!$A$5:$Y$1204,24,0),0)&lt;-0.001,"※这个物料账面已经变成负数了，查一下是不是漏记入库","")))))))))))</f>
        <v/>
      </c>
    </row>
    <row r="386">
      <c r="A386" s="24">
        <f>IF($D386="","",COUNTA($D$4:$D386))</f>
        <v/>
      </c>
      <c r="B386" s="17" t="n"/>
      <c r="C386" s="30" t="n"/>
      <c r="D386" s="17" t="n"/>
      <c r="E386" s="24">
        <f>IF($D386="","",IFERROR(VLOOKUP($D386,物料档案!$A$4:$P$1203,3,0),"※编码不在物料档案里"))</f>
        <v/>
      </c>
      <c r="F386" s="24">
        <f>IF($D386="","",IFERROR(VLOOKUP($D386,物料档案!$A$4:$P$1203,4,0),"※编码不在物料档案里"))</f>
        <v/>
      </c>
      <c r="G386" s="24">
        <f>IF($D386="","",IFERROR(VLOOKUP($D386,物料档案!$A$4:$P$1203,5,0),"※编码不在物料档案里"))</f>
        <v/>
      </c>
      <c r="H386" s="24">
        <f>IF($D386="","",IFERROR(VLOOKUP($D386,物料档案!$A$4:$P$1203,2,0),"※编码不在物料档案里"))</f>
        <v/>
      </c>
      <c r="I386" s="24">
        <f>IF($D386="","",IFERROR(VLOOKUP($D386,物料档案!$A$4:$P$1203,6,0),"※编码不在物料档案里"))</f>
        <v/>
      </c>
      <c r="J386" s="23" t="n"/>
      <c r="K386" s="17" t="n"/>
      <c r="L386" s="17" t="n"/>
      <c r="M386" s="17" t="n"/>
      <c r="N386" s="17" t="n"/>
      <c r="O386" s="26">
        <f>IF($D386="","",IFERROR(VLOOKUP($D386,物料档案!$A$4:$P$1203,10,0),0))</f>
        <v/>
      </c>
      <c r="P386" s="32" t="n"/>
      <c r="Q386" s="26">
        <f>IF($D386="","",IF($K386&lt;&gt;"对外销售",0,ROUND(N($J386)*IF($P386="",N($O386),N($P386)),0)))</f>
        <v/>
      </c>
      <c r="R386" s="26">
        <f>IF($D386="","",IFERROR(VLOOKUP($D386,库存台账!$A$5:$Y$1204,11,0),0))</f>
        <v/>
      </c>
      <c r="S386" s="26">
        <f>IF($D386="","",ROUND(N($J386)*N($R386),0))</f>
        <v/>
      </c>
      <c r="T386" s="26">
        <f>IF($D386="","",IF($K386&lt;&gt;"对外销售","",ROUND($Q386-$S386,0)))</f>
        <v/>
      </c>
      <c r="U386" s="17" t="n"/>
      <c r="V386" s="17" t="n"/>
      <c r="W386" s="24">
        <f>IF($D386="","",IF($E386="※编码不在物料档案里","※物料编码不在档案里",IF(N($J386)&lt;=0,"※出库数量要大于 0",IF($K386="","※没填去向类型",IF($L386="","※没填去向矿区",IF(AND($C386&lt;&gt;"",$C386&lt;=结账锁),"※日期早于已结账截止日，不能再录",IF(AND($K386="自用消耗",COUNTIF({"一矿区";"二矿区"},$L386)=0),"※自用消耗的去向只能是一矿区或二矿区",IF(AND($K386="对外销售",COUNTIF({"三矿区";"六矿区"},$L386)=0),"※对外销售的去向只能是三矿区或六矿区",IF(AND($K386="对外销售",ROUND($Q386,0)=0),"※外销却没有售价，请填实际售价",IF(AND($K386="对外销售",$T386&lt;&gt;"",$T386&lt;0),"※这一笔外销是亏的，请核对售价",IF(IFERROR(VLOOKUP($D386,库存台账!$A$5:$Y$1204,24,0),0)&lt;-0.001,"※这个物料账面已经变成负数了，查一下是不是漏记入库","")))))))))))</f>
        <v/>
      </c>
    </row>
    <row r="387">
      <c r="A387" s="24">
        <f>IF($D387="","",COUNTA($D$4:$D387))</f>
        <v/>
      </c>
      <c r="B387" s="17" t="n"/>
      <c r="C387" s="30" t="n"/>
      <c r="D387" s="17" t="n"/>
      <c r="E387" s="24">
        <f>IF($D387="","",IFERROR(VLOOKUP($D387,物料档案!$A$4:$P$1203,3,0),"※编码不在物料档案里"))</f>
        <v/>
      </c>
      <c r="F387" s="24">
        <f>IF($D387="","",IFERROR(VLOOKUP($D387,物料档案!$A$4:$P$1203,4,0),"※编码不在物料档案里"))</f>
        <v/>
      </c>
      <c r="G387" s="24">
        <f>IF($D387="","",IFERROR(VLOOKUP($D387,物料档案!$A$4:$P$1203,5,0),"※编码不在物料档案里"))</f>
        <v/>
      </c>
      <c r="H387" s="24">
        <f>IF($D387="","",IFERROR(VLOOKUP($D387,物料档案!$A$4:$P$1203,2,0),"※编码不在物料档案里"))</f>
        <v/>
      </c>
      <c r="I387" s="24">
        <f>IF($D387="","",IFERROR(VLOOKUP($D387,物料档案!$A$4:$P$1203,6,0),"※编码不在物料档案里"))</f>
        <v/>
      </c>
      <c r="J387" s="23" t="n"/>
      <c r="K387" s="17" t="n"/>
      <c r="L387" s="17" t="n"/>
      <c r="M387" s="17" t="n"/>
      <c r="N387" s="17" t="n"/>
      <c r="O387" s="26">
        <f>IF($D387="","",IFERROR(VLOOKUP($D387,物料档案!$A$4:$P$1203,10,0),0))</f>
        <v/>
      </c>
      <c r="P387" s="32" t="n"/>
      <c r="Q387" s="26">
        <f>IF($D387="","",IF($K387&lt;&gt;"对外销售",0,ROUND(N($J387)*IF($P387="",N($O387),N($P387)),0)))</f>
        <v/>
      </c>
      <c r="R387" s="26">
        <f>IF($D387="","",IFERROR(VLOOKUP($D387,库存台账!$A$5:$Y$1204,11,0),0))</f>
        <v/>
      </c>
      <c r="S387" s="26">
        <f>IF($D387="","",ROUND(N($J387)*N($R387),0))</f>
        <v/>
      </c>
      <c r="T387" s="26">
        <f>IF($D387="","",IF($K387&lt;&gt;"对外销售","",ROUND($Q387-$S387,0)))</f>
        <v/>
      </c>
      <c r="U387" s="17" t="n"/>
      <c r="V387" s="17" t="n"/>
      <c r="W387" s="24">
        <f>IF($D387="","",IF($E387="※编码不在物料档案里","※物料编码不在档案里",IF(N($J387)&lt;=0,"※出库数量要大于 0",IF($K387="","※没填去向类型",IF($L387="","※没填去向矿区",IF(AND($C387&lt;&gt;"",$C387&lt;=结账锁),"※日期早于已结账截止日，不能再录",IF(AND($K387="自用消耗",COUNTIF({"一矿区";"二矿区"},$L387)=0),"※自用消耗的去向只能是一矿区或二矿区",IF(AND($K387="对外销售",COUNTIF({"三矿区";"六矿区"},$L387)=0),"※对外销售的去向只能是三矿区或六矿区",IF(AND($K387="对外销售",ROUND($Q387,0)=0),"※外销却没有售价，请填实际售价",IF(AND($K387="对外销售",$T387&lt;&gt;"",$T387&lt;0),"※这一笔外销是亏的，请核对售价",IF(IFERROR(VLOOKUP($D387,库存台账!$A$5:$Y$1204,24,0),0)&lt;-0.001,"※这个物料账面已经变成负数了，查一下是不是漏记入库","")))))))))))</f>
        <v/>
      </c>
    </row>
    <row r="388">
      <c r="A388" s="24">
        <f>IF($D388="","",COUNTA($D$4:$D388))</f>
        <v/>
      </c>
      <c r="B388" s="17" t="n"/>
      <c r="C388" s="30" t="n"/>
      <c r="D388" s="17" t="n"/>
      <c r="E388" s="24">
        <f>IF($D388="","",IFERROR(VLOOKUP($D388,物料档案!$A$4:$P$1203,3,0),"※编码不在物料档案里"))</f>
        <v/>
      </c>
      <c r="F388" s="24">
        <f>IF($D388="","",IFERROR(VLOOKUP($D388,物料档案!$A$4:$P$1203,4,0),"※编码不在物料档案里"))</f>
        <v/>
      </c>
      <c r="G388" s="24">
        <f>IF($D388="","",IFERROR(VLOOKUP($D388,物料档案!$A$4:$P$1203,5,0),"※编码不在物料档案里"))</f>
        <v/>
      </c>
      <c r="H388" s="24">
        <f>IF($D388="","",IFERROR(VLOOKUP($D388,物料档案!$A$4:$P$1203,2,0),"※编码不在物料档案里"))</f>
        <v/>
      </c>
      <c r="I388" s="24">
        <f>IF($D388="","",IFERROR(VLOOKUP($D388,物料档案!$A$4:$P$1203,6,0),"※编码不在物料档案里"))</f>
        <v/>
      </c>
      <c r="J388" s="23" t="n"/>
      <c r="K388" s="17" t="n"/>
      <c r="L388" s="17" t="n"/>
      <c r="M388" s="17" t="n"/>
      <c r="N388" s="17" t="n"/>
      <c r="O388" s="26">
        <f>IF($D388="","",IFERROR(VLOOKUP($D388,物料档案!$A$4:$P$1203,10,0),0))</f>
        <v/>
      </c>
      <c r="P388" s="32" t="n"/>
      <c r="Q388" s="26">
        <f>IF($D388="","",IF($K388&lt;&gt;"对外销售",0,ROUND(N($J388)*IF($P388="",N($O388),N($P388)),0)))</f>
        <v/>
      </c>
      <c r="R388" s="26">
        <f>IF($D388="","",IFERROR(VLOOKUP($D388,库存台账!$A$5:$Y$1204,11,0),0))</f>
        <v/>
      </c>
      <c r="S388" s="26">
        <f>IF($D388="","",ROUND(N($J388)*N($R388),0))</f>
        <v/>
      </c>
      <c r="T388" s="26">
        <f>IF($D388="","",IF($K388&lt;&gt;"对外销售","",ROUND($Q388-$S388,0)))</f>
        <v/>
      </c>
      <c r="U388" s="17" t="n"/>
      <c r="V388" s="17" t="n"/>
      <c r="W388" s="24">
        <f>IF($D388="","",IF($E388="※编码不在物料档案里","※物料编码不在档案里",IF(N($J388)&lt;=0,"※出库数量要大于 0",IF($K388="","※没填去向类型",IF($L388="","※没填去向矿区",IF(AND($C388&lt;&gt;"",$C388&lt;=结账锁),"※日期早于已结账截止日，不能再录",IF(AND($K388="自用消耗",COUNTIF({"一矿区";"二矿区"},$L388)=0),"※自用消耗的去向只能是一矿区或二矿区",IF(AND($K388="对外销售",COUNTIF({"三矿区";"六矿区"},$L388)=0),"※对外销售的去向只能是三矿区或六矿区",IF(AND($K388="对外销售",ROUND($Q388,0)=0),"※外销却没有售价，请填实际售价",IF(AND($K388="对外销售",$T388&lt;&gt;"",$T388&lt;0),"※这一笔外销是亏的，请核对售价",IF(IFERROR(VLOOKUP($D388,库存台账!$A$5:$Y$1204,24,0),0)&lt;-0.001,"※这个物料账面已经变成负数了，查一下是不是漏记入库","")))))))))))</f>
        <v/>
      </c>
    </row>
    <row r="389">
      <c r="A389" s="24">
        <f>IF($D389="","",COUNTA($D$4:$D389))</f>
        <v/>
      </c>
      <c r="B389" s="17" t="n"/>
      <c r="C389" s="30" t="n"/>
      <c r="D389" s="17" t="n"/>
      <c r="E389" s="24">
        <f>IF($D389="","",IFERROR(VLOOKUP($D389,物料档案!$A$4:$P$1203,3,0),"※编码不在物料档案里"))</f>
        <v/>
      </c>
      <c r="F389" s="24">
        <f>IF($D389="","",IFERROR(VLOOKUP($D389,物料档案!$A$4:$P$1203,4,0),"※编码不在物料档案里"))</f>
        <v/>
      </c>
      <c r="G389" s="24">
        <f>IF($D389="","",IFERROR(VLOOKUP($D389,物料档案!$A$4:$P$1203,5,0),"※编码不在物料档案里"))</f>
        <v/>
      </c>
      <c r="H389" s="24">
        <f>IF($D389="","",IFERROR(VLOOKUP($D389,物料档案!$A$4:$P$1203,2,0),"※编码不在物料档案里"))</f>
        <v/>
      </c>
      <c r="I389" s="24">
        <f>IF($D389="","",IFERROR(VLOOKUP($D389,物料档案!$A$4:$P$1203,6,0),"※编码不在物料档案里"))</f>
        <v/>
      </c>
      <c r="J389" s="23" t="n"/>
      <c r="K389" s="17" t="n"/>
      <c r="L389" s="17" t="n"/>
      <c r="M389" s="17" t="n"/>
      <c r="N389" s="17" t="n"/>
      <c r="O389" s="26">
        <f>IF($D389="","",IFERROR(VLOOKUP($D389,物料档案!$A$4:$P$1203,10,0),0))</f>
        <v/>
      </c>
      <c r="P389" s="32" t="n"/>
      <c r="Q389" s="26">
        <f>IF($D389="","",IF($K389&lt;&gt;"对外销售",0,ROUND(N($J389)*IF($P389="",N($O389),N($P389)),0)))</f>
        <v/>
      </c>
      <c r="R389" s="26">
        <f>IF($D389="","",IFERROR(VLOOKUP($D389,库存台账!$A$5:$Y$1204,11,0),0))</f>
        <v/>
      </c>
      <c r="S389" s="26">
        <f>IF($D389="","",ROUND(N($J389)*N($R389),0))</f>
        <v/>
      </c>
      <c r="T389" s="26">
        <f>IF($D389="","",IF($K389&lt;&gt;"对外销售","",ROUND($Q389-$S389,0)))</f>
        <v/>
      </c>
      <c r="U389" s="17" t="n"/>
      <c r="V389" s="17" t="n"/>
      <c r="W389" s="24">
        <f>IF($D389="","",IF($E389="※编码不在物料档案里","※物料编码不在档案里",IF(N($J389)&lt;=0,"※出库数量要大于 0",IF($K389="","※没填去向类型",IF($L389="","※没填去向矿区",IF(AND($C389&lt;&gt;"",$C389&lt;=结账锁),"※日期早于已结账截止日，不能再录",IF(AND($K389="自用消耗",COUNTIF({"一矿区";"二矿区"},$L389)=0),"※自用消耗的去向只能是一矿区或二矿区",IF(AND($K389="对外销售",COUNTIF({"三矿区";"六矿区"},$L389)=0),"※对外销售的去向只能是三矿区或六矿区",IF(AND($K389="对外销售",ROUND($Q389,0)=0),"※外销却没有售价，请填实际售价",IF(AND($K389="对外销售",$T389&lt;&gt;"",$T389&lt;0),"※这一笔外销是亏的，请核对售价",IF(IFERROR(VLOOKUP($D389,库存台账!$A$5:$Y$1204,24,0),0)&lt;-0.001,"※这个物料账面已经变成负数了，查一下是不是漏记入库","")))))))))))</f>
        <v/>
      </c>
    </row>
    <row r="390">
      <c r="A390" s="24">
        <f>IF($D390="","",COUNTA($D$4:$D390))</f>
        <v/>
      </c>
      <c r="B390" s="17" t="n"/>
      <c r="C390" s="30" t="n"/>
      <c r="D390" s="17" t="n"/>
      <c r="E390" s="24">
        <f>IF($D390="","",IFERROR(VLOOKUP($D390,物料档案!$A$4:$P$1203,3,0),"※编码不在物料档案里"))</f>
        <v/>
      </c>
      <c r="F390" s="24">
        <f>IF($D390="","",IFERROR(VLOOKUP($D390,物料档案!$A$4:$P$1203,4,0),"※编码不在物料档案里"))</f>
        <v/>
      </c>
      <c r="G390" s="24">
        <f>IF($D390="","",IFERROR(VLOOKUP($D390,物料档案!$A$4:$P$1203,5,0),"※编码不在物料档案里"))</f>
        <v/>
      </c>
      <c r="H390" s="24">
        <f>IF($D390="","",IFERROR(VLOOKUP($D390,物料档案!$A$4:$P$1203,2,0),"※编码不在物料档案里"))</f>
        <v/>
      </c>
      <c r="I390" s="24">
        <f>IF($D390="","",IFERROR(VLOOKUP($D390,物料档案!$A$4:$P$1203,6,0),"※编码不在物料档案里"))</f>
        <v/>
      </c>
      <c r="J390" s="23" t="n"/>
      <c r="K390" s="17" t="n"/>
      <c r="L390" s="17" t="n"/>
      <c r="M390" s="17" t="n"/>
      <c r="N390" s="17" t="n"/>
      <c r="O390" s="26">
        <f>IF($D390="","",IFERROR(VLOOKUP($D390,物料档案!$A$4:$P$1203,10,0),0))</f>
        <v/>
      </c>
      <c r="P390" s="32" t="n"/>
      <c r="Q390" s="26">
        <f>IF($D390="","",IF($K390&lt;&gt;"对外销售",0,ROUND(N($J390)*IF($P390="",N($O390),N($P390)),0)))</f>
        <v/>
      </c>
      <c r="R390" s="26">
        <f>IF($D390="","",IFERROR(VLOOKUP($D390,库存台账!$A$5:$Y$1204,11,0),0))</f>
        <v/>
      </c>
      <c r="S390" s="26">
        <f>IF($D390="","",ROUND(N($J390)*N($R390),0))</f>
        <v/>
      </c>
      <c r="T390" s="26">
        <f>IF($D390="","",IF($K390&lt;&gt;"对外销售","",ROUND($Q390-$S390,0)))</f>
        <v/>
      </c>
      <c r="U390" s="17" t="n"/>
      <c r="V390" s="17" t="n"/>
      <c r="W390" s="24">
        <f>IF($D390="","",IF($E390="※编码不在物料档案里","※物料编码不在档案里",IF(N($J390)&lt;=0,"※出库数量要大于 0",IF($K390="","※没填去向类型",IF($L390="","※没填去向矿区",IF(AND($C390&lt;&gt;"",$C390&lt;=结账锁),"※日期早于已结账截止日，不能再录",IF(AND($K390="自用消耗",COUNTIF({"一矿区";"二矿区"},$L390)=0),"※自用消耗的去向只能是一矿区或二矿区",IF(AND($K390="对外销售",COUNTIF({"三矿区";"六矿区"},$L390)=0),"※对外销售的去向只能是三矿区或六矿区",IF(AND($K390="对外销售",ROUND($Q390,0)=0),"※外销却没有售价，请填实际售价",IF(AND($K390="对外销售",$T390&lt;&gt;"",$T390&lt;0),"※这一笔外销是亏的，请核对售价",IF(IFERROR(VLOOKUP($D390,库存台账!$A$5:$Y$1204,24,0),0)&lt;-0.001,"※这个物料账面已经变成负数了，查一下是不是漏记入库","")))))))))))</f>
        <v/>
      </c>
    </row>
    <row r="391">
      <c r="A391" s="24">
        <f>IF($D391="","",COUNTA($D$4:$D391))</f>
        <v/>
      </c>
      <c r="B391" s="17" t="n"/>
      <c r="C391" s="30" t="n"/>
      <c r="D391" s="17" t="n"/>
      <c r="E391" s="24">
        <f>IF($D391="","",IFERROR(VLOOKUP($D391,物料档案!$A$4:$P$1203,3,0),"※编码不在物料档案里"))</f>
        <v/>
      </c>
      <c r="F391" s="24">
        <f>IF($D391="","",IFERROR(VLOOKUP($D391,物料档案!$A$4:$P$1203,4,0),"※编码不在物料档案里"))</f>
        <v/>
      </c>
      <c r="G391" s="24">
        <f>IF($D391="","",IFERROR(VLOOKUP($D391,物料档案!$A$4:$P$1203,5,0),"※编码不在物料档案里"))</f>
        <v/>
      </c>
      <c r="H391" s="24">
        <f>IF($D391="","",IFERROR(VLOOKUP($D391,物料档案!$A$4:$P$1203,2,0),"※编码不在物料档案里"))</f>
        <v/>
      </c>
      <c r="I391" s="24">
        <f>IF($D391="","",IFERROR(VLOOKUP($D391,物料档案!$A$4:$P$1203,6,0),"※编码不在物料档案里"))</f>
        <v/>
      </c>
      <c r="J391" s="23" t="n"/>
      <c r="K391" s="17" t="n"/>
      <c r="L391" s="17" t="n"/>
      <c r="M391" s="17" t="n"/>
      <c r="N391" s="17" t="n"/>
      <c r="O391" s="26">
        <f>IF($D391="","",IFERROR(VLOOKUP($D391,物料档案!$A$4:$P$1203,10,0),0))</f>
        <v/>
      </c>
      <c r="P391" s="32" t="n"/>
      <c r="Q391" s="26">
        <f>IF($D391="","",IF($K391&lt;&gt;"对外销售",0,ROUND(N($J391)*IF($P391="",N($O391),N($P391)),0)))</f>
        <v/>
      </c>
      <c r="R391" s="26">
        <f>IF($D391="","",IFERROR(VLOOKUP($D391,库存台账!$A$5:$Y$1204,11,0),0))</f>
        <v/>
      </c>
      <c r="S391" s="26">
        <f>IF($D391="","",ROUND(N($J391)*N($R391),0))</f>
        <v/>
      </c>
      <c r="T391" s="26">
        <f>IF($D391="","",IF($K391&lt;&gt;"对外销售","",ROUND($Q391-$S391,0)))</f>
        <v/>
      </c>
      <c r="U391" s="17" t="n"/>
      <c r="V391" s="17" t="n"/>
      <c r="W391" s="24">
        <f>IF($D391="","",IF($E391="※编码不在物料档案里","※物料编码不在档案里",IF(N($J391)&lt;=0,"※出库数量要大于 0",IF($K391="","※没填去向类型",IF($L391="","※没填去向矿区",IF(AND($C391&lt;&gt;"",$C391&lt;=结账锁),"※日期早于已结账截止日，不能再录",IF(AND($K391="自用消耗",COUNTIF({"一矿区";"二矿区"},$L391)=0),"※自用消耗的去向只能是一矿区或二矿区",IF(AND($K391="对外销售",COUNTIF({"三矿区";"六矿区"},$L391)=0),"※对外销售的去向只能是三矿区或六矿区",IF(AND($K391="对外销售",ROUND($Q391,0)=0),"※外销却没有售价，请填实际售价",IF(AND($K391="对外销售",$T391&lt;&gt;"",$T391&lt;0),"※这一笔外销是亏的，请核对售价",IF(IFERROR(VLOOKUP($D391,库存台账!$A$5:$Y$1204,24,0),0)&lt;-0.001,"※这个物料账面已经变成负数了，查一下是不是漏记入库","")))))))))))</f>
        <v/>
      </c>
    </row>
    <row r="392">
      <c r="A392" s="24">
        <f>IF($D392="","",COUNTA($D$4:$D392))</f>
        <v/>
      </c>
      <c r="B392" s="17" t="n"/>
      <c r="C392" s="30" t="n"/>
      <c r="D392" s="17" t="n"/>
      <c r="E392" s="24">
        <f>IF($D392="","",IFERROR(VLOOKUP($D392,物料档案!$A$4:$P$1203,3,0),"※编码不在物料档案里"))</f>
        <v/>
      </c>
      <c r="F392" s="24">
        <f>IF($D392="","",IFERROR(VLOOKUP($D392,物料档案!$A$4:$P$1203,4,0),"※编码不在物料档案里"))</f>
        <v/>
      </c>
      <c r="G392" s="24">
        <f>IF($D392="","",IFERROR(VLOOKUP($D392,物料档案!$A$4:$P$1203,5,0),"※编码不在物料档案里"))</f>
        <v/>
      </c>
      <c r="H392" s="24">
        <f>IF($D392="","",IFERROR(VLOOKUP($D392,物料档案!$A$4:$P$1203,2,0),"※编码不在物料档案里"))</f>
        <v/>
      </c>
      <c r="I392" s="24">
        <f>IF($D392="","",IFERROR(VLOOKUP($D392,物料档案!$A$4:$P$1203,6,0),"※编码不在物料档案里"))</f>
        <v/>
      </c>
      <c r="J392" s="23" t="n"/>
      <c r="K392" s="17" t="n"/>
      <c r="L392" s="17" t="n"/>
      <c r="M392" s="17" t="n"/>
      <c r="N392" s="17" t="n"/>
      <c r="O392" s="26">
        <f>IF($D392="","",IFERROR(VLOOKUP($D392,物料档案!$A$4:$P$1203,10,0),0))</f>
        <v/>
      </c>
      <c r="P392" s="32" t="n"/>
      <c r="Q392" s="26">
        <f>IF($D392="","",IF($K392&lt;&gt;"对外销售",0,ROUND(N($J392)*IF($P392="",N($O392),N($P392)),0)))</f>
        <v/>
      </c>
      <c r="R392" s="26">
        <f>IF($D392="","",IFERROR(VLOOKUP($D392,库存台账!$A$5:$Y$1204,11,0),0))</f>
        <v/>
      </c>
      <c r="S392" s="26">
        <f>IF($D392="","",ROUND(N($J392)*N($R392),0))</f>
        <v/>
      </c>
      <c r="T392" s="26">
        <f>IF($D392="","",IF($K392&lt;&gt;"对外销售","",ROUND($Q392-$S392,0)))</f>
        <v/>
      </c>
      <c r="U392" s="17" t="n"/>
      <c r="V392" s="17" t="n"/>
      <c r="W392" s="24">
        <f>IF($D392="","",IF($E392="※编码不在物料档案里","※物料编码不在档案里",IF(N($J392)&lt;=0,"※出库数量要大于 0",IF($K392="","※没填去向类型",IF($L392="","※没填去向矿区",IF(AND($C392&lt;&gt;"",$C392&lt;=结账锁),"※日期早于已结账截止日，不能再录",IF(AND($K392="自用消耗",COUNTIF({"一矿区";"二矿区"},$L392)=0),"※自用消耗的去向只能是一矿区或二矿区",IF(AND($K392="对外销售",COUNTIF({"三矿区";"六矿区"},$L392)=0),"※对外销售的去向只能是三矿区或六矿区",IF(AND($K392="对外销售",ROUND($Q392,0)=0),"※外销却没有售价，请填实际售价",IF(AND($K392="对外销售",$T392&lt;&gt;"",$T392&lt;0),"※这一笔外销是亏的，请核对售价",IF(IFERROR(VLOOKUP($D392,库存台账!$A$5:$Y$1204,24,0),0)&lt;-0.001,"※这个物料账面已经变成负数了，查一下是不是漏记入库","")))))))))))</f>
        <v/>
      </c>
    </row>
    <row r="393">
      <c r="A393" s="24">
        <f>IF($D393="","",COUNTA($D$4:$D393))</f>
        <v/>
      </c>
      <c r="B393" s="17" t="n"/>
      <c r="C393" s="30" t="n"/>
      <c r="D393" s="17" t="n"/>
      <c r="E393" s="24">
        <f>IF($D393="","",IFERROR(VLOOKUP($D393,物料档案!$A$4:$P$1203,3,0),"※编码不在物料档案里"))</f>
        <v/>
      </c>
      <c r="F393" s="24">
        <f>IF($D393="","",IFERROR(VLOOKUP($D393,物料档案!$A$4:$P$1203,4,0),"※编码不在物料档案里"))</f>
        <v/>
      </c>
      <c r="G393" s="24">
        <f>IF($D393="","",IFERROR(VLOOKUP($D393,物料档案!$A$4:$P$1203,5,0),"※编码不在物料档案里"))</f>
        <v/>
      </c>
      <c r="H393" s="24">
        <f>IF($D393="","",IFERROR(VLOOKUP($D393,物料档案!$A$4:$P$1203,2,0),"※编码不在物料档案里"))</f>
        <v/>
      </c>
      <c r="I393" s="24">
        <f>IF($D393="","",IFERROR(VLOOKUP($D393,物料档案!$A$4:$P$1203,6,0),"※编码不在物料档案里"))</f>
        <v/>
      </c>
      <c r="J393" s="23" t="n"/>
      <c r="K393" s="17" t="n"/>
      <c r="L393" s="17" t="n"/>
      <c r="M393" s="17" t="n"/>
      <c r="N393" s="17" t="n"/>
      <c r="O393" s="26">
        <f>IF($D393="","",IFERROR(VLOOKUP($D393,物料档案!$A$4:$P$1203,10,0),0))</f>
        <v/>
      </c>
      <c r="P393" s="32" t="n"/>
      <c r="Q393" s="26">
        <f>IF($D393="","",IF($K393&lt;&gt;"对外销售",0,ROUND(N($J393)*IF($P393="",N($O393),N($P393)),0)))</f>
        <v/>
      </c>
      <c r="R393" s="26">
        <f>IF($D393="","",IFERROR(VLOOKUP($D393,库存台账!$A$5:$Y$1204,11,0),0))</f>
        <v/>
      </c>
      <c r="S393" s="26">
        <f>IF($D393="","",ROUND(N($J393)*N($R393),0))</f>
        <v/>
      </c>
      <c r="T393" s="26">
        <f>IF($D393="","",IF($K393&lt;&gt;"对外销售","",ROUND($Q393-$S393,0)))</f>
        <v/>
      </c>
      <c r="U393" s="17" t="n"/>
      <c r="V393" s="17" t="n"/>
      <c r="W393" s="24">
        <f>IF($D393="","",IF($E393="※编码不在物料档案里","※物料编码不在档案里",IF(N($J393)&lt;=0,"※出库数量要大于 0",IF($K393="","※没填去向类型",IF($L393="","※没填去向矿区",IF(AND($C393&lt;&gt;"",$C393&lt;=结账锁),"※日期早于已结账截止日，不能再录",IF(AND($K393="自用消耗",COUNTIF({"一矿区";"二矿区"},$L393)=0),"※自用消耗的去向只能是一矿区或二矿区",IF(AND($K393="对外销售",COUNTIF({"三矿区";"六矿区"},$L393)=0),"※对外销售的去向只能是三矿区或六矿区",IF(AND($K393="对外销售",ROUND($Q393,0)=0),"※外销却没有售价，请填实际售价",IF(AND($K393="对外销售",$T393&lt;&gt;"",$T393&lt;0),"※这一笔外销是亏的，请核对售价",IF(IFERROR(VLOOKUP($D393,库存台账!$A$5:$Y$1204,24,0),0)&lt;-0.001,"※这个物料账面已经变成负数了，查一下是不是漏记入库","")))))))))))</f>
        <v/>
      </c>
    </row>
    <row r="394">
      <c r="A394" s="24">
        <f>IF($D394="","",COUNTA($D$4:$D394))</f>
        <v/>
      </c>
      <c r="B394" s="17" t="n"/>
      <c r="C394" s="30" t="n"/>
      <c r="D394" s="17" t="n"/>
      <c r="E394" s="24">
        <f>IF($D394="","",IFERROR(VLOOKUP($D394,物料档案!$A$4:$P$1203,3,0),"※编码不在物料档案里"))</f>
        <v/>
      </c>
      <c r="F394" s="24">
        <f>IF($D394="","",IFERROR(VLOOKUP($D394,物料档案!$A$4:$P$1203,4,0),"※编码不在物料档案里"))</f>
        <v/>
      </c>
      <c r="G394" s="24">
        <f>IF($D394="","",IFERROR(VLOOKUP($D394,物料档案!$A$4:$P$1203,5,0),"※编码不在物料档案里"))</f>
        <v/>
      </c>
      <c r="H394" s="24">
        <f>IF($D394="","",IFERROR(VLOOKUP($D394,物料档案!$A$4:$P$1203,2,0),"※编码不在物料档案里"))</f>
        <v/>
      </c>
      <c r="I394" s="24">
        <f>IF($D394="","",IFERROR(VLOOKUP($D394,物料档案!$A$4:$P$1203,6,0),"※编码不在物料档案里"))</f>
        <v/>
      </c>
      <c r="J394" s="23" t="n"/>
      <c r="K394" s="17" t="n"/>
      <c r="L394" s="17" t="n"/>
      <c r="M394" s="17" t="n"/>
      <c r="N394" s="17" t="n"/>
      <c r="O394" s="26">
        <f>IF($D394="","",IFERROR(VLOOKUP($D394,物料档案!$A$4:$P$1203,10,0),0))</f>
        <v/>
      </c>
      <c r="P394" s="32" t="n"/>
      <c r="Q394" s="26">
        <f>IF($D394="","",IF($K394&lt;&gt;"对外销售",0,ROUND(N($J394)*IF($P394="",N($O394),N($P394)),0)))</f>
        <v/>
      </c>
      <c r="R394" s="26">
        <f>IF($D394="","",IFERROR(VLOOKUP($D394,库存台账!$A$5:$Y$1204,11,0),0))</f>
        <v/>
      </c>
      <c r="S394" s="26">
        <f>IF($D394="","",ROUND(N($J394)*N($R394),0))</f>
        <v/>
      </c>
      <c r="T394" s="26">
        <f>IF($D394="","",IF($K394&lt;&gt;"对外销售","",ROUND($Q394-$S394,0)))</f>
        <v/>
      </c>
      <c r="U394" s="17" t="n"/>
      <c r="V394" s="17" t="n"/>
      <c r="W394" s="24">
        <f>IF($D394="","",IF($E394="※编码不在物料档案里","※物料编码不在档案里",IF(N($J394)&lt;=0,"※出库数量要大于 0",IF($K394="","※没填去向类型",IF($L394="","※没填去向矿区",IF(AND($C394&lt;&gt;"",$C394&lt;=结账锁),"※日期早于已结账截止日，不能再录",IF(AND($K394="自用消耗",COUNTIF({"一矿区";"二矿区"},$L394)=0),"※自用消耗的去向只能是一矿区或二矿区",IF(AND($K394="对外销售",COUNTIF({"三矿区";"六矿区"},$L394)=0),"※对外销售的去向只能是三矿区或六矿区",IF(AND($K394="对外销售",ROUND($Q394,0)=0),"※外销却没有售价，请填实际售价",IF(AND($K394="对外销售",$T394&lt;&gt;"",$T394&lt;0),"※这一笔外销是亏的，请核对售价",IF(IFERROR(VLOOKUP($D394,库存台账!$A$5:$Y$1204,24,0),0)&lt;-0.001,"※这个物料账面已经变成负数了，查一下是不是漏记入库","")))))))))))</f>
        <v/>
      </c>
    </row>
    <row r="395">
      <c r="A395" s="24">
        <f>IF($D395="","",COUNTA($D$4:$D395))</f>
        <v/>
      </c>
      <c r="B395" s="17" t="n"/>
      <c r="C395" s="30" t="n"/>
      <c r="D395" s="17" t="n"/>
      <c r="E395" s="24">
        <f>IF($D395="","",IFERROR(VLOOKUP($D395,物料档案!$A$4:$P$1203,3,0),"※编码不在物料档案里"))</f>
        <v/>
      </c>
      <c r="F395" s="24">
        <f>IF($D395="","",IFERROR(VLOOKUP($D395,物料档案!$A$4:$P$1203,4,0),"※编码不在物料档案里"))</f>
        <v/>
      </c>
      <c r="G395" s="24">
        <f>IF($D395="","",IFERROR(VLOOKUP($D395,物料档案!$A$4:$P$1203,5,0),"※编码不在物料档案里"))</f>
        <v/>
      </c>
      <c r="H395" s="24">
        <f>IF($D395="","",IFERROR(VLOOKUP($D395,物料档案!$A$4:$P$1203,2,0),"※编码不在物料档案里"))</f>
        <v/>
      </c>
      <c r="I395" s="24">
        <f>IF($D395="","",IFERROR(VLOOKUP($D395,物料档案!$A$4:$P$1203,6,0),"※编码不在物料档案里"))</f>
        <v/>
      </c>
      <c r="J395" s="23" t="n"/>
      <c r="K395" s="17" t="n"/>
      <c r="L395" s="17" t="n"/>
      <c r="M395" s="17" t="n"/>
      <c r="N395" s="17" t="n"/>
      <c r="O395" s="26">
        <f>IF($D395="","",IFERROR(VLOOKUP($D395,物料档案!$A$4:$P$1203,10,0),0))</f>
        <v/>
      </c>
      <c r="P395" s="32" t="n"/>
      <c r="Q395" s="26">
        <f>IF($D395="","",IF($K395&lt;&gt;"对外销售",0,ROUND(N($J395)*IF($P395="",N($O395),N($P395)),0)))</f>
        <v/>
      </c>
      <c r="R395" s="26">
        <f>IF($D395="","",IFERROR(VLOOKUP($D395,库存台账!$A$5:$Y$1204,11,0),0))</f>
        <v/>
      </c>
      <c r="S395" s="26">
        <f>IF($D395="","",ROUND(N($J395)*N($R395),0))</f>
        <v/>
      </c>
      <c r="T395" s="26">
        <f>IF($D395="","",IF($K395&lt;&gt;"对外销售","",ROUND($Q395-$S395,0)))</f>
        <v/>
      </c>
      <c r="U395" s="17" t="n"/>
      <c r="V395" s="17" t="n"/>
      <c r="W395" s="24">
        <f>IF($D395="","",IF($E395="※编码不在物料档案里","※物料编码不在档案里",IF(N($J395)&lt;=0,"※出库数量要大于 0",IF($K395="","※没填去向类型",IF($L395="","※没填去向矿区",IF(AND($C395&lt;&gt;"",$C395&lt;=结账锁),"※日期早于已结账截止日，不能再录",IF(AND($K395="自用消耗",COUNTIF({"一矿区";"二矿区"},$L395)=0),"※自用消耗的去向只能是一矿区或二矿区",IF(AND($K395="对外销售",COUNTIF({"三矿区";"六矿区"},$L395)=0),"※对外销售的去向只能是三矿区或六矿区",IF(AND($K395="对外销售",ROUND($Q395,0)=0),"※外销却没有售价，请填实际售价",IF(AND($K395="对外销售",$T395&lt;&gt;"",$T395&lt;0),"※这一笔外销是亏的，请核对售价",IF(IFERROR(VLOOKUP($D395,库存台账!$A$5:$Y$1204,24,0),0)&lt;-0.001,"※这个物料账面已经变成负数了，查一下是不是漏记入库","")))))))))))</f>
        <v/>
      </c>
    </row>
    <row r="396">
      <c r="A396" s="24">
        <f>IF($D396="","",COUNTA($D$4:$D396))</f>
        <v/>
      </c>
      <c r="B396" s="17" t="n"/>
      <c r="C396" s="30" t="n"/>
      <c r="D396" s="17" t="n"/>
      <c r="E396" s="24">
        <f>IF($D396="","",IFERROR(VLOOKUP($D396,物料档案!$A$4:$P$1203,3,0),"※编码不在物料档案里"))</f>
        <v/>
      </c>
      <c r="F396" s="24">
        <f>IF($D396="","",IFERROR(VLOOKUP($D396,物料档案!$A$4:$P$1203,4,0),"※编码不在物料档案里"))</f>
        <v/>
      </c>
      <c r="G396" s="24">
        <f>IF($D396="","",IFERROR(VLOOKUP($D396,物料档案!$A$4:$P$1203,5,0),"※编码不在物料档案里"))</f>
        <v/>
      </c>
      <c r="H396" s="24">
        <f>IF($D396="","",IFERROR(VLOOKUP($D396,物料档案!$A$4:$P$1203,2,0),"※编码不在物料档案里"))</f>
        <v/>
      </c>
      <c r="I396" s="24">
        <f>IF($D396="","",IFERROR(VLOOKUP($D396,物料档案!$A$4:$P$1203,6,0),"※编码不在物料档案里"))</f>
        <v/>
      </c>
      <c r="J396" s="23" t="n"/>
      <c r="K396" s="17" t="n"/>
      <c r="L396" s="17" t="n"/>
      <c r="M396" s="17" t="n"/>
      <c r="N396" s="17" t="n"/>
      <c r="O396" s="26">
        <f>IF($D396="","",IFERROR(VLOOKUP($D396,物料档案!$A$4:$P$1203,10,0),0))</f>
        <v/>
      </c>
      <c r="P396" s="32" t="n"/>
      <c r="Q396" s="26">
        <f>IF($D396="","",IF($K396&lt;&gt;"对外销售",0,ROUND(N($J396)*IF($P396="",N($O396),N($P396)),0)))</f>
        <v/>
      </c>
      <c r="R396" s="26">
        <f>IF($D396="","",IFERROR(VLOOKUP($D396,库存台账!$A$5:$Y$1204,11,0),0))</f>
        <v/>
      </c>
      <c r="S396" s="26">
        <f>IF($D396="","",ROUND(N($J396)*N($R396),0))</f>
        <v/>
      </c>
      <c r="T396" s="26">
        <f>IF($D396="","",IF($K396&lt;&gt;"对外销售","",ROUND($Q396-$S396,0)))</f>
        <v/>
      </c>
      <c r="U396" s="17" t="n"/>
      <c r="V396" s="17" t="n"/>
      <c r="W396" s="24">
        <f>IF($D396="","",IF($E396="※编码不在物料档案里","※物料编码不在档案里",IF(N($J396)&lt;=0,"※出库数量要大于 0",IF($K396="","※没填去向类型",IF($L396="","※没填去向矿区",IF(AND($C396&lt;&gt;"",$C396&lt;=结账锁),"※日期早于已结账截止日，不能再录",IF(AND($K396="自用消耗",COUNTIF({"一矿区";"二矿区"},$L396)=0),"※自用消耗的去向只能是一矿区或二矿区",IF(AND($K396="对外销售",COUNTIF({"三矿区";"六矿区"},$L396)=0),"※对外销售的去向只能是三矿区或六矿区",IF(AND($K396="对外销售",ROUND($Q396,0)=0),"※外销却没有售价，请填实际售价",IF(AND($K396="对外销售",$T396&lt;&gt;"",$T396&lt;0),"※这一笔外销是亏的，请核对售价",IF(IFERROR(VLOOKUP($D396,库存台账!$A$5:$Y$1204,24,0),0)&lt;-0.001,"※这个物料账面已经变成负数了，查一下是不是漏记入库","")))))))))))</f>
        <v/>
      </c>
    </row>
    <row r="397">
      <c r="A397" s="24">
        <f>IF($D397="","",COUNTA($D$4:$D397))</f>
        <v/>
      </c>
      <c r="B397" s="17" t="n"/>
      <c r="C397" s="30" t="n"/>
      <c r="D397" s="17" t="n"/>
      <c r="E397" s="24">
        <f>IF($D397="","",IFERROR(VLOOKUP($D397,物料档案!$A$4:$P$1203,3,0),"※编码不在物料档案里"))</f>
        <v/>
      </c>
      <c r="F397" s="24">
        <f>IF($D397="","",IFERROR(VLOOKUP($D397,物料档案!$A$4:$P$1203,4,0),"※编码不在物料档案里"))</f>
        <v/>
      </c>
      <c r="G397" s="24">
        <f>IF($D397="","",IFERROR(VLOOKUP($D397,物料档案!$A$4:$P$1203,5,0),"※编码不在物料档案里"))</f>
        <v/>
      </c>
      <c r="H397" s="24">
        <f>IF($D397="","",IFERROR(VLOOKUP($D397,物料档案!$A$4:$P$1203,2,0),"※编码不在物料档案里"))</f>
        <v/>
      </c>
      <c r="I397" s="24">
        <f>IF($D397="","",IFERROR(VLOOKUP($D397,物料档案!$A$4:$P$1203,6,0),"※编码不在物料档案里"))</f>
        <v/>
      </c>
      <c r="J397" s="23" t="n"/>
      <c r="K397" s="17" t="n"/>
      <c r="L397" s="17" t="n"/>
      <c r="M397" s="17" t="n"/>
      <c r="N397" s="17" t="n"/>
      <c r="O397" s="26">
        <f>IF($D397="","",IFERROR(VLOOKUP($D397,物料档案!$A$4:$P$1203,10,0),0))</f>
        <v/>
      </c>
      <c r="P397" s="32" t="n"/>
      <c r="Q397" s="26">
        <f>IF($D397="","",IF($K397&lt;&gt;"对外销售",0,ROUND(N($J397)*IF($P397="",N($O397),N($P397)),0)))</f>
        <v/>
      </c>
      <c r="R397" s="26">
        <f>IF($D397="","",IFERROR(VLOOKUP($D397,库存台账!$A$5:$Y$1204,11,0),0))</f>
        <v/>
      </c>
      <c r="S397" s="26">
        <f>IF($D397="","",ROUND(N($J397)*N($R397),0))</f>
        <v/>
      </c>
      <c r="T397" s="26">
        <f>IF($D397="","",IF($K397&lt;&gt;"对外销售","",ROUND($Q397-$S397,0)))</f>
        <v/>
      </c>
      <c r="U397" s="17" t="n"/>
      <c r="V397" s="17" t="n"/>
      <c r="W397" s="24">
        <f>IF($D397="","",IF($E397="※编码不在物料档案里","※物料编码不在档案里",IF(N($J397)&lt;=0,"※出库数量要大于 0",IF($K397="","※没填去向类型",IF($L397="","※没填去向矿区",IF(AND($C397&lt;&gt;"",$C397&lt;=结账锁),"※日期早于已结账截止日，不能再录",IF(AND($K397="自用消耗",COUNTIF({"一矿区";"二矿区"},$L397)=0),"※自用消耗的去向只能是一矿区或二矿区",IF(AND($K397="对外销售",COUNTIF({"三矿区";"六矿区"},$L397)=0),"※对外销售的去向只能是三矿区或六矿区",IF(AND($K397="对外销售",ROUND($Q397,0)=0),"※外销却没有售价，请填实际售价",IF(AND($K397="对外销售",$T397&lt;&gt;"",$T397&lt;0),"※这一笔外销是亏的，请核对售价",IF(IFERROR(VLOOKUP($D397,库存台账!$A$5:$Y$1204,24,0),0)&lt;-0.001,"※这个物料账面已经变成负数了，查一下是不是漏记入库","")))))))))))</f>
        <v/>
      </c>
    </row>
    <row r="398">
      <c r="A398" s="24">
        <f>IF($D398="","",COUNTA($D$4:$D398))</f>
        <v/>
      </c>
      <c r="B398" s="17" t="n"/>
      <c r="C398" s="30" t="n"/>
      <c r="D398" s="17" t="n"/>
      <c r="E398" s="24">
        <f>IF($D398="","",IFERROR(VLOOKUP($D398,物料档案!$A$4:$P$1203,3,0),"※编码不在物料档案里"))</f>
        <v/>
      </c>
      <c r="F398" s="24">
        <f>IF($D398="","",IFERROR(VLOOKUP($D398,物料档案!$A$4:$P$1203,4,0),"※编码不在物料档案里"))</f>
        <v/>
      </c>
      <c r="G398" s="24">
        <f>IF($D398="","",IFERROR(VLOOKUP($D398,物料档案!$A$4:$P$1203,5,0),"※编码不在物料档案里"))</f>
        <v/>
      </c>
      <c r="H398" s="24">
        <f>IF($D398="","",IFERROR(VLOOKUP($D398,物料档案!$A$4:$P$1203,2,0),"※编码不在物料档案里"))</f>
        <v/>
      </c>
      <c r="I398" s="24">
        <f>IF($D398="","",IFERROR(VLOOKUP($D398,物料档案!$A$4:$P$1203,6,0),"※编码不在物料档案里"))</f>
        <v/>
      </c>
      <c r="J398" s="23" t="n"/>
      <c r="K398" s="17" t="n"/>
      <c r="L398" s="17" t="n"/>
      <c r="M398" s="17" t="n"/>
      <c r="N398" s="17" t="n"/>
      <c r="O398" s="26">
        <f>IF($D398="","",IFERROR(VLOOKUP($D398,物料档案!$A$4:$P$1203,10,0),0))</f>
        <v/>
      </c>
      <c r="P398" s="32" t="n"/>
      <c r="Q398" s="26">
        <f>IF($D398="","",IF($K398&lt;&gt;"对外销售",0,ROUND(N($J398)*IF($P398="",N($O398),N($P398)),0)))</f>
        <v/>
      </c>
      <c r="R398" s="26">
        <f>IF($D398="","",IFERROR(VLOOKUP($D398,库存台账!$A$5:$Y$1204,11,0),0))</f>
        <v/>
      </c>
      <c r="S398" s="26">
        <f>IF($D398="","",ROUND(N($J398)*N($R398),0))</f>
        <v/>
      </c>
      <c r="T398" s="26">
        <f>IF($D398="","",IF($K398&lt;&gt;"对外销售","",ROUND($Q398-$S398,0)))</f>
        <v/>
      </c>
      <c r="U398" s="17" t="n"/>
      <c r="V398" s="17" t="n"/>
      <c r="W398" s="24">
        <f>IF($D398="","",IF($E398="※编码不在物料档案里","※物料编码不在档案里",IF(N($J398)&lt;=0,"※出库数量要大于 0",IF($K398="","※没填去向类型",IF($L398="","※没填去向矿区",IF(AND($C398&lt;&gt;"",$C398&lt;=结账锁),"※日期早于已结账截止日，不能再录",IF(AND($K398="自用消耗",COUNTIF({"一矿区";"二矿区"},$L398)=0),"※自用消耗的去向只能是一矿区或二矿区",IF(AND($K398="对外销售",COUNTIF({"三矿区";"六矿区"},$L398)=0),"※对外销售的去向只能是三矿区或六矿区",IF(AND($K398="对外销售",ROUND($Q398,0)=0),"※外销却没有售价，请填实际售价",IF(AND($K398="对外销售",$T398&lt;&gt;"",$T398&lt;0),"※这一笔外销是亏的，请核对售价",IF(IFERROR(VLOOKUP($D398,库存台账!$A$5:$Y$1204,24,0),0)&lt;-0.001,"※这个物料账面已经变成负数了，查一下是不是漏记入库","")))))))))))</f>
        <v/>
      </c>
    </row>
    <row r="399">
      <c r="A399" s="24">
        <f>IF($D399="","",COUNTA($D$4:$D399))</f>
        <v/>
      </c>
      <c r="B399" s="17" t="n"/>
      <c r="C399" s="30" t="n"/>
      <c r="D399" s="17" t="n"/>
      <c r="E399" s="24">
        <f>IF($D399="","",IFERROR(VLOOKUP($D399,物料档案!$A$4:$P$1203,3,0),"※编码不在物料档案里"))</f>
        <v/>
      </c>
      <c r="F399" s="24">
        <f>IF($D399="","",IFERROR(VLOOKUP($D399,物料档案!$A$4:$P$1203,4,0),"※编码不在物料档案里"))</f>
        <v/>
      </c>
      <c r="G399" s="24">
        <f>IF($D399="","",IFERROR(VLOOKUP($D399,物料档案!$A$4:$P$1203,5,0),"※编码不在物料档案里"))</f>
        <v/>
      </c>
      <c r="H399" s="24">
        <f>IF($D399="","",IFERROR(VLOOKUP($D399,物料档案!$A$4:$P$1203,2,0),"※编码不在物料档案里"))</f>
        <v/>
      </c>
      <c r="I399" s="24">
        <f>IF($D399="","",IFERROR(VLOOKUP($D399,物料档案!$A$4:$P$1203,6,0),"※编码不在物料档案里"))</f>
        <v/>
      </c>
      <c r="J399" s="23" t="n"/>
      <c r="K399" s="17" t="n"/>
      <c r="L399" s="17" t="n"/>
      <c r="M399" s="17" t="n"/>
      <c r="N399" s="17" t="n"/>
      <c r="O399" s="26">
        <f>IF($D399="","",IFERROR(VLOOKUP($D399,物料档案!$A$4:$P$1203,10,0),0))</f>
        <v/>
      </c>
      <c r="P399" s="32" t="n"/>
      <c r="Q399" s="26">
        <f>IF($D399="","",IF($K399&lt;&gt;"对外销售",0,ROUND(N($J399)*IF($P399="",N($O399),N($P399)),0)))</f>
        <v/>
      </c>
      <c r="R399" s="26">
        <f>IF($D399="","",IFERROR(VLOOKUP($D399,库存台账!$A$5:$Y$1204,11,0),0))</f>
        <v/>
      </c>
      <c r="S399" s="26">
        <f>IF($D399="","",ROUND(N($J399)*N($R399),0))</f>
        <v/>
      </c>
      <c r="T399" s="26">
        <f>IF($D399="","",IF($K399&lt;&gt;"对外销售","",ROUND($Q399-$S399,0)))</f>
        <v/>
      </c>
      <c r="U399" s="17" t="n"/>
      <c r="V399" s="17" t="n"/>
      <c r="W399" s="24">
        <f>IF($D399="","",IF($E399="※编码不在物料档案里","※物料编码不在档案里",IF(N($J399)&lt;=0,"※出库数量要大于 0",IF($K399="","※没填去向类型",IF($L399="","※没填去向矿区",IF(AND($C399&lt;&gt;"",$C399&lt;=结账锁),"※日期早于已结账截止日，不能再录",IF(AND($K399="自用消耗",COUNTIF({"一矿区";"二矿区"},$L399)=0),"※自用消耗的去向只能是一矿区或二矿区",IF(AND($K399="对外销售",COUNTIF({"三矿区";"六矿区"},$L399)=0),"※对外销售的去向只能是三矿区或六矿区",IF(AND($K399="对外销售",ROUND($Q399,0)=0),"※外销却没有售价，请填实际售价",IF(AND($K399="对外销售",$T399&lt;&gt;"",$T399&lt;0),"※这一笔外销是亏的，请核对售价",IF(IFERROR(VLOOKUP($D399,库存台账!$A$5:$Y$1204,24,0),0)&lt;-0.001,"※这个物料账面已经变成负数了，查一下是不是漏记入库","")))))))))))</f>
        <v/>
      </c>
    </row>
    <row r="400">
      <c r="A400" s="24">
        <f>IF($D400="","",COUNTA($D$4:$D400))</f>
        <v/>
      </c>
      <c r="B400" s="17" t="n"/>
      <c r="C400" s="30" t="n"/>
      <c r="D400" s="17" t="n"/>
      <c r="E400" s="24">
        <f>IF($D400="","",IFERROR(VLOOKUP($D400,物料档案!$A$4:$P$1203,3,0),"※编码不在物料档案里"))</f>
        <v/>
      </c>
      <c r="F400" s="24">
        <f>IF($D400="","",IFERROR(VLOOKUP($D400,物料档案!$A$4:$P$1203,4,0),"※编码不在物料档案里"))</f>
        <v/>
      </c>
      <c r="G400" s="24">
        <f>IF($D400="","",IFERROR(VLOOKUP($D400,物料档案!$A$4:$P$1203,5,0),"※编码不在物料档案里"))</f>
        <v/>
      </c>
      <c r="H400" s="24">
        <f>IF($D400="","",IFERROR(VLOOKUP($D400,物料档案!$A$4:$P$1203,2,0),"※编码不在物料档案里"))</f>
        <v/>
      </c>
      <c r="I400" s="24">
        <f>IF($D400="","",IFERROR(VLOOKUP($D400,物料档案!$A$4:$P$1203,6,0),"※编码不在物料档案里"))</f>
        <v/>
      </c>
      <c r="J400" s="23" t="n"/>
      <c r="K400" s="17" t="n"/>
      <c r="L400" s="17" t="n"/>
      <c r="M400" s="17" t="n"/>
      <c r="N400" s="17" t="n"/>
      <c r="O400" s="26">
        <f>IF($D400="","",IFERROR(VLOOKUP($D400,物料档案!$A$4:$P$1203,10,0),0))</f>
        <v/>
      </c>
      <c r="P400" s="32" t="n"/>
      <c r="Q400" s="26">
        <f>IF($D400="","",IF($K400&lt;&gt;"对外销售",0,ROUND(N($J400)*IF($P400="",N($O400),N($P400)),0)))</f>
        <v/>
      </c>
      <c r="R400" s="26">
        <f>IF($D400="","",IFERROR(VLOOKUP($D400,库存台账!$A$5:$Y$1204,11,0),0))</f>
        <v/>
      </c>
      <c r="S400" s="26">
        <f>IF($D400="","",ROUND(N($J400)*N($R400),0))</f>
        <v/>
      </c>
      <c r="T400" s="26">
        <f>IF($D400="","",IF($K400&lt;&gt;"对外销售","",ROUND($Q400-$S400,0)))</f>
        <v/>
      </c>
      <c r="U400" s="17" t="n"/>
      <c r="V400" s="17" t="n"/>
      <c r="W400" s="24">
        <f>IF($D400="","",IF($E400="※编码不在物料档案里","※物料编码不在档案里",IF(N($J400)&lt;=0,"※出库数量要大于 0",IF($K400="","※没填去向类型",IF($L400="","※没填去向矿区",IF(AND($C400&lt;&gt;"",$C400&lt;=结账锁),"※日期早于已结账截止日，不能再录",IF(AND($K400="自用消耗",COUNTIF({"一矿区";"二矿区"},$L400)=0),"※自用消耗的去向只能是一矿区或二矿区",IF(AND($K400="对外销售",COUNTIF({"三矿区";"六矿区"},$L400)=0),"※对外销售的去向只能是三矿区或六矿区",IF(AND($K400="对外销售",ROUND($Q400,0)=0),"※外销却没有售价，请填实际售价",IF(AND($K400="对外销售",$T400&lt;&gt;"",$T400&lt;0),"※这一笔外销是亏的，请核对售价",IF(IFERROR(VLOOKUP($D400,库存台账!$A$5:$Y$1204,24,0),0)&lt;-0.001,"※这个物料账面已经变成负数了，查一下是不是漏记入库","")))))))))))</f>
        <v/>
      </c>
    </row>
    <row r="401">
      <c r="A401" s="24">
        <f>IF($D401="","",COUNTA($D$4:$D401))</f>
        <v/>
      </c>
      <c r="B401" s="17" t="n"/>
      <c r="C401" s="30" t="n"/>
      <c r="D401" s="17" t="n"/>
      <c r="E401" s="24">
        <f>IF($D401="","",IFERROR(VLOOKUP($D401,物料档案!$A$4:$P$1203,3,0),"※编码不在物料档案里"))</f>
        <v/>
      </c>
      <c r="F401" s="24">
        <f>IF($D401="","",IFERROR(VLOOKUP($D401,物料档案!$A$4:$P$1203,4,0),"※编码不在物料档案里"))</f>
        <v/>
      </c>
      <c r="G401" s="24">
        <f>IF($D401="","",IFERROR(VLOOKUP($D401,物料档案!$A$4:$P$1203,5,0),"※编码不在物料档案里"))</f>
        <v/>
      </c>
      <c r="H401" s="24">
        <f>IF($D401="","",IFERROR(VLOOKUP($D401,物料档案!$A$4:$P$1203,2,0),"※编码不在物料档案里"))</f>
        <v/>
      </c>
      <c r="I401" s="24">
        <f>IF($D401="","",IFERROR(VLOOKUP($D401,物料档案!$A$4:$P$1203,6,0),"※编码不在物料档案里"))</f>
        <v/>
      </c>
      <c r="J401" s="23" t="n"/>
      <c r="K401" s="17" t="n"/>
      <c r="L401" s="17" t="n"/>
      <c r="M401" s="17" t="n"/>
      <c r="N401" s="17" t="n"/>
      <c r="O401" s="26">
        <f>IF($D401="","",IFERROR(VLOOKUP($D401,物料档案!$A$4:$P$1203,10,0),0))</f>
        <v/>
      </c>
      <c r="P401" s="32" t="n"/>
      <c r="Q401" s="26">
        <f>IF($D401="","",IF($K401&lt;&gt;"对外销售",0,ROUND(N($J401)*IF($P401="",N($O401),N($P401)),0)))</f>
        <v/>
      </c>
      <c r="R401" s="26">
        <f>IF($D401="","",IFERROR(VLOOKUP($D401,库存台账!$A$5:$Y$1204,11,0),0))</f>
        <v/>
      </c>
      <c r="S401" s="26">
        <f>IF($D401="","",ROUND(N($J401)*N($R401),0))</f>
        <v/>
      </c>
      <c r="T401" s="26">
        <f>IF($D401="","",IF($K401&lt;&gt;"对外销售","",ROUND($Q401-$S401,0)))</f>
        <v/>
      </c>
      <c r="U401" s="17" t="n"/>
      <c r="V401" s="17" t="n"/>
      <c r="W401" s="24">
        <f>IF($D401="","",IF($E401="※编码不在物料档案里","※物料编码不在档案里",IF(N($J401)&lt;=0,"※出库数量要大于 0",IF($K401="","※没填去向类型",IF($L401="","※没填去向矿区",IF(AND($C401&lt;&gt;"",$C401&lt;=结账锁),"※日期早于已结账截止日，不能再录",IF(AND($K401="自用消耗",COUNTIF({"一矿区";"二矿区"},$L401)=0),"※自用消耗的去向只能是一矿区或二矿区",IF(AND($K401="对外销售",COUNTIF({"三矿区";"六矿区"},$L401)=0),"※对外销售的去向只能是三矿区或六矿区",IF(AND($K401="对外销售",ROUND($Q401,0)=0),"※外销却没有售价，请填实际售价",IF(AND($K401="对外销售",$T401&lt;&gt;"",$T401&lt;0),"※这一笔外销是亏的，请核对售价",IF(IFERROR(VLOOKUP($D401,库存台账!$A$5:$Y$1204,24,0),0)&lt;-0.001,"※这个物料账面已经变成负数了，查一下是不是漏记入库","")))))))))))</f>
        <v/>
      </c>
    </row>
    <row r="402">
      <c r="A402" s="24">
        <f>IF($D402="","",COUNTA($D$4:$D402))</f>
        <v/>
      </c>
      <c r="B402" s="17" t="n"/>
      <c r="C402" s="30" t="n"/>
      <c r="D402" s="17" t="n"/>
      <c r="E402" s="24">
        <f>IF($D402="","",IFERROR(VLOOKUP($D402,物料档案!$A$4:$P$1203,3,0),"※编码不在物料档案里"))</f>
        <v/>
      </c>
      <c r="F402" s="24">
        <f>IF($D402="","",IFERROR(VLOOKUP($D402,物料档案!$A$4:$P$1203,4,0),"※编码不在物料档案里"))</f>
        <v/>
      </c>
      <c r="G402" s="24">
        <f>IF($D402="","",IFERROR(VLOOKUP($D402,物料档案!$A$4:$P$1203,5,0),"※编码不在物料档案里"))</f>
        <v/>
      </c>
      <c r="H402" s="24">
        <f>IF($D402="","",IFERROR(VLOOKUP($D402,物料档案!$A$4:$P$1203,2,0),"※编码不在物料档案里"))</f>
        <v/>
      </c>
      <c r="I402" s="24">
        <f>IF($D402="","",IFERROR(VLOOKUP($D402,物料档案!$A$4:$P$1203,6,0),"※编码不在物料档案里"))</f>
        <v/>
      </c>
      <c r="J402" s="23" t="n"/>
      <c r="K402" s="17" t="n"/>
      <c r="L402" s="17" t="n"/>
      <c r="M402" s="17" t="n"/>
      <c r="N402" s="17" t="n"/>
      <c r="O402" s="26">
        <f>IF($D402="","",IFERROR(VLOOKUP($D402,物料档案!$A$4:$P$1203,10,0),0))</f>
        <v/>
      </c>
      <c r="P402" s="32" t="n"/>
      <c r="Q402" s="26">
        <f>IF($D402="","",IF($K402&lt;&gt;"对外销售",0,ROUND(N($J402)*IF($P402="",N($O402),N($P402)),0)))</f>
        <v/>
      </c>
      <c r="R402" s="26">
        <f>IF($D402="","",IFERROR(VLOOKUP($D402,库存台账!$A$5:$Y$1204,11,0),0))</f>
        <v/>
      </c>
      <c r="S402" s="26">
        <f>IF($D402="","",ROUND(N($J402)*N($R402),0))</f>
        <v/>
      </c>
      <c r="T402" s="26">
        <f>IF($D402="","",IF($K402&lt;&gt;"对外销售","",ROUND($Q402-$S402,0)))</f>
        <v/>
      </c>
      <c r="U402" s="17" t="n"/>
      <c r="V402" s="17" t="n"/>
      <c r="W402" s="24">
        <f>IF($D402="","",IF($E402="※编码不在物料档案里","※物料编码不在档案里",IF(N($J402)&lt;=0,"※出库数量要大于 0",IF($K402="","※没填去向类型",IF($L402="","※没填去向矿区",IF(AND($C402&lt;&gt;"",$C402&lt;=结账锁),"※日期早于已结账截止日，不能再录",IF(AND($K402="自用消耗",COUNTIF({"一矿区";"二矿区"},$L402)=0),"※自用消耗的去向只能是一矿区或二矿区",IF(AND($K402="对外销售",COUNTIF({"三矿区";"六矿区"},$L402)=0),"※对外销售的去向只能是三矿区或六矿区",IF(AND($K402="对外销售",ROUND($Q402,0)=0),"※外销却没有售价，请填实际售价",IF(AND($K402="对外销售",$T402&lt;&gt;"",$T402&lt;0),"※这一笔外销是亏的，请核对售价",IF(IFERROR(VLOOKUP($D402,库存台账!$A$5:$Y$1204,24,0),0)&lt;-0.001,"※这个物料账面已经变成负数了，查一下是不是漏记入库","")))))))))))</f>
        <v/>
      </c>
    </row>
    <row r="403">
      <c r="A403" s="24">
        <f>IF($D403="","",COUNTA($D$4:$D403))</f>
        <v/>
      </c>
      <c r="B403" s="17" t="n"/>
      <c r="C403" s="30" t="n"/>
      <c r="D403" s="17" t="n"/>
      <c r="E403" s="24">
        <f>IF($D403="","",IFERROR(VLOOKUP($D403,物料档案!$A$4:$P$1203,3,0),"※编码不在物料档案里"))</f>
        <v/>
      </c>
      <c r="F403" s="24">
        <f>IF($D403="","",IFERROR(VLOOKUP($D403,物料档案!$A$4:$P$1203,4,0),"※编码不在物料档案里"))</f>
        <v/>
      </c>
      <c r="G403" s="24">
        <f>IF($D403="","",IFERROR(VLOOKUP($D403,物料档案!$A$4:$P$1203,5,0),"※编码不在物料档案里"))</f>
        <v/>
      </c>
      <c r="H403" s="24">
        <f>IF($D403="","",IFERROR(VLOOKUP($D403,物料档案!$A$4:$P$1203,2,0),"※编码不在物料档案里"))</f>
        <v/>
      </c>
      <c r="I403" s="24">
        <f>IF($D403="","",IFERROR(VLOOKUP($D403,物料档案!$A$4:$P$1203,6,0),"※编码不在物料档案里"))</f>
        <v/>
      </c>
      <c r="J403" s="23" t="n"/>
      <c r="K403" s="17" t="n"/>
      <c r="L403" s="17" t="n"/>
      <c r="M403" s="17" t="n"/>
      <c r="N403" s="17" t="n"/>
      <c r="O403" s="26">
        <f>IF($D403="","",IFERROR(VLOOKUP($D403,物料档案!$A$4:$P$1203,10,0),0))</f>
        <v/>
      </c>
      <c r="P403" s="32" t="n"/>
      <c r="Q403" s="26">
        <f>IF($D403="","",IF($K403&lt;&gt;"对外销售",0,ROUND(N($J403)*IF($P403="",N($O403),N($P403)),0)))</f>
        <v/>
      </c>
      <c r="R403" s="26">
        <f>IF($D403="","",IFERROR(VLOOKUP($D403,库存台账!$A$5:$Y$1204,11,0),0))</f>
        <v/>
      </c>
      <c r="S403" s="26">
        <f>IF($D403="","",ROUND(N($J403)*N($R403),0))</f>
        <v/>
      </c>
      <c r="T403" s="26">
        <f>IF($D403="","",IF($K403&lt;&gt;"对外销售","",ROUND($Q403-$S403,0)))</f>
        <v/>
      </c>
      <c r="U403" s="17" t="n"/>
      <c r="V403" s="17" t="n"/>
      <c r="W403" s="24">
        <f>IF($D403="","",IF($E403="※编码不在物料档案里","※物料编码不在档案里",IF(N($J403)&lt;=0,"※出库数量要大于 0",IF($K403="","※没填去向类型",IF($L403="","※没填去向矿区",IF(AND($C403&lt;&gt;"",$C403&lt;=结账锁),"※日期早于已结账截止日，不能再录",IF(AND($K403="自用消耗",COUNTIF({"一矿区";"二矿区"},$L403)=0),"※自用消耗的去向只能是一矿区或二矿区",IF(AND($K403="对外销售",COUNTIF({"三矿区";"六矿区"},$L403)=0),"※对外销售的去向只能是三矿区或六矿区",IF(AND($K403="对外销售",ROUND($Q403,0)=0),"※外销却没有售价，请填实际售价",IF(AND($K403="对外销售",$T403&lt;&gt;"",$T403&lt;0),"※这一笔外销是亏的，请核对售价",IF(IFERROR(VLOOKUP($D403,库存台账!$A$5:$Y$1204,24,0),0)&lt;-0.001,"※这个物料账面已经变成负数了，查一下是不是漏记入库","")))))))))))</f>
        <v/>
      </c>
    </row>
    <row r="404">
      <c r="A404" s="24">
        <f>IF($D404="","",COUNTA($D$4:$D404))</f>
        <v/>
      </c>
      <c r="B404" s="17" t="n"/>
      <c r="C404" s="30" t="n"/>
      <c r="D404" s="17" t="n"/>
      <c r="E404" s="24">
        <f>IF($D404="","",IFERROR(VLOOKUP($D404,物料档案!$A$4:$P$1203,3,0),"※编码不在物料档案里"))</f>
        <v/>
      </c>
      <c r="F404" s="24">
        <f>IF($D404="","",IFERROR(VLOOKUP($D404,物料档案!$A$4:$P$1203,4,0),"※编码不在物料档案里"))</f>
        <v/>
      </c>
      <c r="G404" s="24">
        <f>IF($D404="","",IFERROR(VLOOKUP($D404,物料档案!$A$4:$P$1203,5,0),"※编码不在物料档案里"))</f>
        <v/>
      </c>
      <c r="H404" s="24">
        <f>IF($D404="","",IFERROR(VLOOKUP($D404,物料档案!$A$4:$P$1203,2,0),"※编码不在物料档案里"))</f>
        <v/>
      </c>
      <c r="I404" s="24">
        <f>IF($D404="","",IFERROR(VLOOKUP($D404,物料档案!$A$4:$P$1203,6,0),"※编码不在物料档案里"))</f>
        <v/>
      </c>
      <c r="J404" s="23" t="n"/>
      <c r="K404" s="17" t="n"/>
      <c r="L404" s="17" t="n"/>
      <c r="M404" s="17" t="n"/>
      <c r="N404" s="17" t="n"/>
      <c r="O404" s="26">
        <f>IF($D404="","",IFERROR(VLOOKUP($D404,物料档案!$A$4:$P$1203,10,0),0))</f>
        <v/>
      </c>
      <c r="P404" s="32" t="n"/>
      <c r="Q404" s="26">
        <f>IF($D404="","",IF($K404&lt;&gt;"对外销售",0,ROUND(N($J404)*IF($P404="",N($O404),N($P404)),0)))</f>
        <v/>
      </c>
      <c r="R404" s="26">
        <f>IF($D404="","",IFERROR(VLOOKUP($D404,库存台账!$A$5:$Y$1204,11,0),0))</f>
        <v/>
      </c>
      <c r="S404" s="26">
        <f>IF($D404="","",ROUND(N($J404)*N($R404),0))</f>
        <v/>
      </c>
      <c r="T404" s="26">
        <f>IF($D404="","",IF($K404&lt;&gt;"对外销售","",ROUND($Q404-$S404,0)))</f>
        <v/>
      </c>
      <c r="U404" s="17" t="n"/>
      <c r="V404" s="17" t="n"/>
      <c r="W404" s="24">
        <f>IF($D404="","",IF($E404="※编码不在物料档案里","※物料编码不在档案里",IF(N($J404)&lt;=0,"※出库数量要大于 0",IF($K404="","※没填去向类型",IF($L404="","※没填去向矿区",IF(AND($C404&lt;&gt;"",$C404&lt;=结账锁),"※日期早于已结账截止日，不能再录",IF(AND($K404="自用消耗",COUNTIF({"一矿区";"二矿区"},$L404)=0),"※自用消耗的去向只能是一矿区或二矿区",IF(AND($K404="对外销售",COUNTIF({"三矿区";"六矿区"},$L404)=0),"※对外销售的去向只能是三矿区或六矿区",IF(AND($K404="对外销售",ROUND($Q404,0)=0),"※外销却没有售价，请填实际售价",IF(AND($K404="对外销售",$T404&lt;&gt;"",$T404&lt;0),"※这一笔外销是亏的，请核对售价",IF(IFERROR(VLOOKUP($D404,库存台账!$A$5:$Y$1204,24,0),0)&lt;-0.001,"※这个物料账面已经变成负数了，查一下是不是漏记入库","")))))))))))</f>
        <v/>
      </c>
    </row>
    <row r="405">
      <c r="A405" s="24">
        <f>IF($D405="","",COUNTA($D$4:$D405))</f>
        <v/>
      </c>
      <c r="B405" s="17" t="n"/>
      <c r="C405" s="30" t="n"/>
      <c r="D405" s="17" t="n"/>
      <c r="E405" s="24">
        <f>IF($D405="","",IFERROR(VLOOKUP($D405,物料档案!$A$4:$P$1203,3,0),"※编码不在物料档案里"))</f>
        <v/>
      </c>
      <c r="F405" s="24">
        <f>IF($D405="","",IFERROR(VLOOKUP($D405,物料档案!$A$4:$P$1203,4,0),"※编码不在物料档案里"))</f>
        <v/>
      </c>
      <c r="G405" s="24">
        <f>IF($D405="","",IFERROR(VLOOKUP($D405,物料档案!$A$4:$P$1203,5,0),"※编码不在物料档案里"))</f>
        <v/>
      </c>
      <c r="H405" s="24">
        <f>IF($D405="","",IFERROR(VLOOKUP($D405,物料档案!$A$4:$P$1203,2,0),"※编码不在物料档案里"))</f>
        <v/>
      </c>
      <c r="I405" s="24">
        <f>IF($D405="","",IFERROR(VLOOKUP($D405,物料档案!$A$4:$P$1203,6,0),"※编码不在物料档案里"))</f>
        <v/>
      </c>
      <c r="J405" s="23" t="n"/>
      <c r="K405" s="17" t="n"/>
      <c r="L405" s="17" t="n"/>
      <c r="M405" s="17" t="n"/>
      <c r="N405" s="17" t="n"/>
      <c r="O405" s="26">
        <f>IF($D405="","",IFERROR(VLOOKUP($D405,物料档案!$A$4:$P$1203,10,0),0))</f>
        <v/>
      </c>
      <c r="P405" s="32" t="n"/>
      <c r="Q405" s="26">
        <f>IF($D405="","",IF($K405&lt;&gt;"对外销售",0,ROUND(N($J405)*IF($P405="",N($O405),N($P405)),0)))</f>
        <v/>
      </c>
      <c r="R405" s="26">
        <f>IF($D405="","",IFERROR(VLOOKUP($D405,库存台账!$A$5:$Y$1204,11,0),0))</f>
        <v/>
      </c>
      <c r="S405" s="26">
        <f>IF($D405="","",ROUND(N($J405)*N($R405),0))</f>
        <v/>
      </c>
      <c r="T405" s="26">
        <f>IF($D405="","",IF($K405&lt;&gt;"对外销售","",ROUND($Q405-$S405,0)))</f>
        <v/>
      </c>
      <c r="U405" s="17" t="n"/>
      <c r="V405" s="17" t="n"/>
      <c r="W405" s="24">
        <f>IF($D405="","",IF($E405="※编码不在物料档案里","※物料编码不在档案里",IF(N($J405)&lt;=0,"※出库数量要大于 0",IF($K405="","※没填去向类型",IF($L405="","※没填去向矿区",IF(AND($C405&lt;&gt;"",$C405&lt;=结账锁),"※日期早于已结账截止日，不能再录",IF(AND($K405="自用消耗",COUNTIF({"一矿区";"二矿区"},$L405)=0),"※自用消耗的去向只能是一矿区或二矿区",IF(AND($K405="对外销售",COUNTIF({"三矿区";"六矿区"},$L405)=0),"※对外销售的去向只能是三矿区或六矿区",IF(AND($K405="对外销售",ROUND($Q405,0)=0),"※外销却没有售价，请填实际售价",IF(AND($K405="对外销售",$T405&lt;&gt;"",$T405&lt;0),"※这一笔外销是亏的，请核对售价",IF(IFERROR(VLOOKUP($D405,库存台账!$A$5:$Y$1204,24,0),0)&lt;-0.001,"※这个物料账面已经变成负数了，查一下是不是漏记入库","")))))))))))</f>
        <v/>
      </c>
    </row>
    <row r="406">
      <c r="A406" s="24">
        <f>IF($D406="","",COUNTA($D$4:$D406))</f>
        <v/>
      </c>
      <c r="B406" s="17" t="n"/>
      <c r="C406" s="30" t="n"/>
      <c r="D406" s="17" t="n"/>
      <c r="E406" s="24">
        <f>IF($D406="","",IFERROR(VLOOKUP($D406,物料档案!$A$4:$P$1203,3,0),"※编码不在物料档案里"))</f>
        <v/>
      </c>
      <c r="F406" s="24">
        <f>IF($D406="","",IFERROR(VLOOKUP($D406,物料档案!$A$4:$P$1203,4,0),"※编码不在物料档案里"))</f>
        <v/>
      </c>
      <c r="G406" s="24">
        <f>IF($D406="","",IFERROR(VLOOKUP($D406,物料档案!$A$4:$P$1203,5,0),"※编码不在物料档案里"))</f>
        <v/>
      </c>
      <c r="H406" s="24">
        <f>IF($D406="","",IFERROR(VLOOKUP($D406,物料档案!$A$4:$P$1203,2,0),"※编码不在物料档案里"))</f>
        <v/>
      </c>
      <c r="I406" s="24">
        <f>IF($D406="","",IFERROR(VLOOKUP($D406,物料档案!$A$4:$P$1203,6,0),"※编码不在物料档案里"))</f>
        <v/>
      </c>
      <c r="J406" s="23" t="n"/>
      <c r="K406" s="17" t="n"/>
      <c r="L406" s="17" t="n"/>
      <c r="M406" s="17" t="n"/>
      <c r="N406" s="17" t="n"/>
      <c r="O406" s="26">
        <f>IF($D406="","",IFERROR(VLOOKUP($D406,物料档案!$A$4:$P$1203,10,0),0))</f>
        <v/>
      </c>
      <c r="P406" s="32" t="n"/>
      <c r="Q406" s="26">
        <f>IF($D406="","",IF($K406&lt;&gt;"对外销售",0,ROUND(N($J406)*IF($P406="",N($O406),N($P406)),0)))</f>
        <v/>
      </c>
      <c r="R406" s="26">
        <f>IF($D406="","",IFERROR(VLOOKUP($D406,库存台账!$A$5:$Y$1204,11,0),0))</f>
        <v/>
      </c>
      <c r="S406" s="26">
        <f>IF($D406="","",ROUND(N($J406)*N($R406),0))</f>
        <v/>
      </c>
      <c r="T406" s="26">
        <f>IF($D406="","",IF($K406&lt;&gt;"对外销售","",ROUND($Q406-$S406,0)))</f>
        <v/>
      </c>
      <c r="U406" s="17" t="n"/>
      <c r="V406" s="17" t="n"/>
      <c r="W406" s="24">
        <f>IF($D406="","",IF($E406="※编码不在物料档案里","※物料编码不在档案里",IF(N($J406)&lt;=0,"※出库数量要大于 0",IF($K406="","※没填去向类型",IF($L406="","※没填去向矿区",IF(AND($C406&lt;&gt;"",$C406&lt;=结账锁),"※日期早于已结账截止日，不能再录",IF(AND($K406="自用消耗",COUNTIF({"一矿区";"二矿区"},$L406)=0),"※自用消耗的去向只能是一矿区或二矿区",IF(AND($K406="对外销售",COUNTIF({"三矿区";"六矿区"},$L406)=0),"※对外销售的去向只能是三矿区或六矿区",IF(AND($K406="对外销售",ROUND($Q406,0)=0),"※外销却没有售价，请填实际售价",IF(AND($K406="对外销售",$T406&lt;&gt;"",$T406&lt;0),"※这一笔外销是亏的，请核对售价",IF(IFERROR(VLOOKUP($D406,库存台账!$A$5:$Y$1204,24,0),0)&lt;-0.001,"※这个物料账面已经变成负数了，查一下是不是漏记入库","")))))))))))</f>
        <v/>
      </c>
    </row>
    <row r="407">
      <c r="A407" s="24">
        <f>IF($D407="","",COUNTA($D$4:$D407))</f>
        <v/>
      </c>
      <c r="B407" s="17" t="n"/>
      <c r="C407" s="30" t="n"/>
      <c r="D407" s="17" t="n"/>
      <c r="E407" s="24">
        <f>IF($D407="","",IFERROR(VLOOKUP($D407,物料档案!$A$4:$P$1203,3,0),"※编码不在物料档案里"))</f>
        <v/>
      </c>
      <c r="F407" s="24">
        <f>IF($D407="","",IFERROR(VLOOKUP($D407,物料档案!$A$4:$P$1203,4,0),"※编码不在物料档案里"))</f>
        <v/>
      </c>
      <c r="G407" s="24">
        <f>IF($D407="","",IFERROR(VLOOKUP($D407,物料档案!$A$4:$P$1203,5,0),"※编码不在物料档案里"))</f>
        <v/>
      </c>
      <c r="H407" s="24">
        <f>IF($D407="","",IFERROR(VLOOKUP($D407,物料档案!$A$4:$P$1203,2,0),"※编码不在物料档案里"))</f>
        <v/>
      </c>
      <c r="I407" s="24">
        <f>IF($D407="","",IFERROR(VLOOKUP($D407,物料档案!$A$4:$P$1203,6,0),"※编码不在物料档案里"))</f>
        <v/>
      </c>
      <c r="J407" s="23" t="n"/>
      <c r="K407" s="17" t="n"/>
      <c r="L407" s="17" t="n"/>
      <c r="M407" s="17" t="n"/>
      <c r="N407" s="17" t="n"/>
      <c r="O407" s="26">
        <f>IF($D407="","",IFERROR(VLOOKUP($D407,物料档案!$A$4:$P$1203,10,0),0))</f>
        <v/>
      </c>
      <c r="P407" s="32" t="n"/>
      <c r="Q407" s="26">
        <f>IF($D407="","",IF($K407&lt;&gt;"对外销售",0,ROUND(N($J407)*IF($P407="",N($O407),N($P407)),0)))</f>
        <v/>
      </c>
      <c r="R407" s="26">
        <f>IF($D407="","",IFERROR(VLOOKUP($D407,库存台账!$A$5:$Y$1204,11,0),0))</f>
        <v/>
      </c>
      <c r="S407" s="26">
        <f>IF($D407="","",ROUND(N($J407)*N($R407),0))</f>
        <v/>
      </c>
      <c r="T407" s="26">
        <f>IF($D407="","",IF($K407&lt;&gt;"对外销售","",ROUND($Q407-$S407,0)))</f>
        <v/>
      </c>
      <c r="U407" s="17" t="n"/>
      <c r="V407" s="17" t="n"/>
      <c r="W407" s="24">
        <f>IF($D407="","",IF($E407="※编码不在物料档案里","※物料编码不在档案里",IF(N($J407)&lt;=0,"※出库数量要大于 0",IF($K407="","※没填去向类型",IF($L407="","※没填去向矿区",IF(AND($C407&lt;&gt;"",$C407&lt;=结账锁),"※日期早于已结账截止日，不能再录",IF(AND($K407="自用消耗",COUNTIF({"一矿区";"二矿区"},$L407)=0),"※自用消耗的去向只能是一矿区或二矿区",IF(AND($K407="对外销售",COUNTIF({"三矿区";"六矿区"},$L407)=0),"※对外销售的去向只能是三矿区或六矿区",IF(AND($K407="对外销售",ROUND($Q407,0)=0),"※外销却没有售价，请填实际售价",IF(AND($K407="对外销售",$T407&lt;&gt;"",$T407&lt;0),"※这一笔外销是亏的，请核对售价",IF(IFERROR(VLOOKUP($D407,库存台账!$A$5:$Y$1204,24,0),0)&lt;-0.001,"※这个物料账面已经变成负数了，查一下是不是漏记入库","")))))))))))</f>
        <v/>
      </c>
    </row>
    <row r="408">
      <c r="A408" s="24">
        <f>IF($D408="","",COUNTA($D$4:$D408))</f>
        <v/>
      </c>
      <c r="B408" s="17" t="n"/>
      <c r="C408" s="30" t="n"/>
      <c r="D408" s="17" t="n"/>
      <c r="E408" s="24">
        <f>IF($D408="","",IFERROR(VLOOKUP($D408,物料档案!$A$4:$P$1203,3,0),"※编码不在物料档案里"))</f>
        <v/>
      </c>
      <c r="F408" s="24">
        <f>IF($D408="","",IFERROR(VLOOKUP($D408,物料档案!$A$4:$P$1203,4,0),"※编码不在物料档案里"))</f>
        <v/>
      </c>
      <c r="G408" s="24">
        <f>IF($D408="","",IFERROR(VLOOKUP($D408,物料档案!$A$4:$P$1203,5,0),"※编码不在物料档案里"))</f>
        <v/>
      </c>
      <c r="H408" s="24">
        <f>IF($D408="","",IFERROR(VLOOKUP($D408,物料档案!$A$4:$P$1203,2,0),"※编码不在物料档案里"))</f>
        <v/>
      </c>
      <c r="I408" s="24">
        <f>IF($D408="","",IFERROR(VLOOKUP($D408,物料档案!$A$4:$P$1203,6,0),"※编码不在物料档案里"))</f>
        <v/>
      </c>
      <c r="J408" s="23" t="n"/>
      <c r="K408" s="17" t="n"/>
      <c r="L408" s="17" t="n"/>
      <c r="M408" s="17" t="n"/>
      <c r="N408" s="17" t="n"/>
      <c r="O408" s="26">
        <f>IF($D408="","",IFERROR(VLOOKUP($D408,物料档案!$A$4:$P$1203,10,0),0))</f>
        <v/>
      </c>
      <c r="P408" s="32" t="n"/>
      <c r="Q408" s="26">
        <f>IF($D408="","",IF($K408&lt;&gt;"对外销售",0,ROUND(N($J408)*IF($P408="",N($O408),N($P408)),0)))</f>
        <v/>
      </c>
      <c r="R408" s="26">
        <f>IF($D408="","",IFERROR(VLOOKUP($D408,库存台账!$A$5:$Y$1204,11,0),0))</f>
        <v/>
      </c>
      <c r="S408" s="26">
        <f>IF($D408="","",ROUND(N($J408)*N($R408),0))</f>
        <v/>
      </c>
      <c r="T408" s="26">
        <f>IF($D408="","",IF($K408&lt;&gt;"对外销售","",ROUND($Q408-$S408,0)))</f>
        <v/>
      </c>
      <c r="U408" s="17" t="n"/>
      <c r="V408" s="17" t="n"/>
      <c r="W408" s="24">
        <f>IF($D408="","",IF($E408="※编码不在物料档案里","※物料编码不在档案里",IF(N($J408)&lt;=0,"※出库数量要大于 0",IF($K408="","※没填去向类型",IF($L408="","※没填去向矿区",IF(AND($C408&lt;&gt;"",$C408&lt;=结账锁),"※日期早于已结账截止日，不能再录",IF(AND($K408="自用消耗",COUNTIF({"一矿区";"二矿区"},$L408)=0),"※自用消耗的去向只能是一矿区或二矿区",IF(AND($K408="对外销售",COUNTIF({"三矿区";"六矿区"},$L408)=0),"※对外销售的去向只能是三矿区或六矿区",IF(AND($K408="对外销售",ROUND($Q408,0)=0),"※外销却没有售价，请填实际售价",IF(AND($K408="对外销售",$T408&lt;&gt;"",$T408&lt;0),"※这一笔外销是亏的，请核对售价",IF(IFERROR(VLOOKUP($D408,库存台账!$A$5:$Y$1204,24,0),0)&lt;-0.001,"※这个物料账面已经变成负数了，查一下是不是漏记入库","")))))))))))</f>
        <v/>
      </c>
    </row>
    <row r="409">
      <c r="A409" s="24">
        <f>IF($D409="","",COUNTA($D$4:$D409))</f>
        <v/>
      </c>
      <c r="B409" s="17" t="n"/>
      <c r="C409" s="30" t="n"/>
      <c r="D409" s="17" t="n"/>
      <c r="E409" s="24">
        <f>IF($D409="","",IFERROR(VLOOKUP($D409,物料档案!$A$4:$P$1203,3,0),"※编码不在物料档案里"))</f>
        <v/>
      </c>
      <c r="F409" s="24">
        <f>IF($D409="","",IFERROR(VLOOKUP($D409,物料档案!$A$4:$P$1203,4,0),"※编码不在物料档案里"))</f>
        <v/>
      </c>
      <c r="G409" s="24">
        <f>IF($D409="","",IFERROR(VLOOKUP($D409,物料档案!$A$4:$P$1203,5,0),"※编码不在物料档案里"))</f>
        <v/>
      </c>
      <c r="H409" s="24">
        <f>IF($D409="","",IFERROR(VLOOKUP($D409,物料档案!$A$4:$P$1203,2,0),"※编码不在物料档案里"))</f>
        <v/>
      </c>
      <c r="I409" s="24">
        <f>IF($D409="","",IFERROR(VLOOKUP($D409,物料档案!$A$4:$P$1203,6,0),"※编码不在物料档案里"))</f>
        <v/>
      </c>
      <c r="J409" s="23" t="n"/>
      <c r="K409" s="17" t="n"/>
      <c r="L409" s="17" t="n"/>
      <c r="M409" s="17" t="n"/>
      <c r="N409" s="17" t="n"/>
      <c r="O409" s="26">
        <f>IF($D409="","",IFERROR(VLOOKUP($D409,物料档案!$A$4:$P$1203,10,0),0))</f>
        <v/>
      </c>
      <c r="P409" s="32" t="n"/>
      <c r="Q409" s="26">
        <f>IF($D409="","",IF($K409&lt;&gt;"对外销售",0,ROUND(N($J409)*IF($P409="",N($O409),N($P409)),0)))</f>
        <v/>
      </c>
      <c r="R409" s="26">
        <f>IF($D409="","",IFERROR(VLOOKUP($D409,库存台账!$A$5:$Y$1204,11,0),0))</f>
        <v/>
      </c>
      <c r="S409" s="26">
        <f>IF($D409="","",ROUND(N($J409)*N($R409),0))</f>
        <v/>
      </c>
      <c r="T409" s="26">
        <f>IF($D409="","",IF($K409&lt;&gt;"对外销售","",ROUND($Q409-$S409,0)))</f>
        <v/>
      </c>
      <c r="U409" s="17" t="n"/>
      <c r="V409" s="17" t="n"/>
      <c r="W409" s="24">
        <f>IF($D409="","",IF($E409="※编码不在物料档案里","※物料编码不在档案里",IF(N($J409)&lt;=0,"※出库数量要大于 0",IF($K409="","※没填去向类型",IF($L409="","※没填去向矿区",IF(AND($C409&lt;&gt;"",$C409&lt;=结账锁),"※日期早于已结账截止日，不能再录",IF(AND($K409="自用消耗",COUNTIF({"一矿区";"二矿区"},$L409)=0),"※自用消耗的去向只能是一矿区或二矿区",IF(AND($K409="对外销售",COUNTIF({"三矿区";"六矿区"},$L409)=0),"※对外销售的去向只能是三矿区或六矿区",IF(AND($K409="对外销售",ROUND($Q409,0)=0),"※外销却没有售价，请填实际售价",IF(AND($K409="对外销售",$T409&lt;&gt;"",$T409&lt;0),"※这一笔外销是亏的，请核对售价",IF(IFERROR(VLOOKUP($D409,库存台账!$A$5:$Y$1204,24,0),0)&lt;-0.001,"※这个物料账面已经变成负数了，查一下是不是漏记入库","")))))))))))</f>
        <v/>
      </c>
    </row>
    <row r="410">
      <c r="A410" s="24">
        <f>IF($D410="","",COUNTA($D$4:$D410))</f>
        <v/>
      </c>
      <c r="B410" s="17" t="n"/>
      <c r="C410" s="30" t="n"/>
      <c r="D410" s="17" t="n"/>
      <c r="E410" s="24">
        <f>IF($D410="","",IFERROR(VLOOKUP($D410,物料档案!$A$4:$P$1203,3,0),"※编码不在物料档案里"))</f>
        <v/>
      </c>
      <c r="F410" s="24">
        <f>IF($D410="","",IFERROR(VLOOKUP($D410,物料档案!$A$4:$P$1203,4,0),"※编码不在物料档案里"))</f>
        <v/>
      </c>
      <c r="G410" s="24">
        <f>IF($D410="","",IFERROR(VLOOKUP($D410,物料档案!$A$4:$P$1203,5,0),"※编码不在物料档案里"))</f>
        <v/>
      </c>
      <c r="H410" s="24">
        <f>IF($D410="","",IFERROR(VLOOKUP($D410,物料档案!$A$4:$P$1203,2,0),"※编码不在物料档案里"))</f>
        <v/>
      </c>
      <c r="I410" s="24">
        <f>IF($D410="","",IFERROR(VLOOKUP($D410,物料档案!$A$4:$P$1203,6,0),"※编码不在物料档案里"))</f>
        <v/>
      </c>
      <c r="J410" s="23" t="n"/>
      <c r="K410" s="17" t="n"/>
      <c r="L410" s="17" t="n"/>
      <c r="M410" s="17" t="n"/>
      <c r="N410" s="17" t="n"/>
      <c r="O410" s="26">
        <f>IF($D410="","",IFERROR(VLOOKUP($D410,物料档案!$A$4:$P$1203,10,0),0))</f>
        <v/>
      </c>
      <c r="P410" s="32" t="n"/>
      <c r="Q410" s="26">
        <f>IF($D410="","",IF($K410&lt;&gt;"对外销售",0,ROUND(N($J410)*IF($P410="",N($O410),N($P410)),0)))</f>
        <v/>
      </c>
      <c r="R410" s="26">
        <f>IF($D410="","",IFERROR(VLOOKUP($D410,库存台账!$A$5:$Y$1204,11,0),0))</f>
        <v/>
      </c>
      <c r="S410" s="26">
        <f>IF($D410="","",ROUND(N($J410)*N($R410),0))</f>
        <v/>
      </c>
      <c r="T410" s="26">
        <f>IF($D410="","",IF($K410&lt;&gt;"对外销售","",ROUND($Q410-$S410,0)))</f>
        <v/>
      </c>
      <c r="U410" s="17" t="n"/>
      <c r="V410" s="17" t="n"/>
      <c r="W410" s="24">
        <f>IF($D410="","",IF($E410="※编码不在物料档案里","※物料编码不在档案里",IF(N($J410)&lt;=0,"※出库数量要大于 0",IF($K410="","※没填去向类型",IF($L410="","※没填去向矿区",IF(AND($C410&lt;&gt;"",$C410&lt;=结账锁),"※日期早于已结账截止日，不能再录",IF(AND($K410="自用消耗",COUNTIF({"一矿区";"二矿区"},$L410)=0),"※自用消耗的去向只能是一矿区或二矿区",IF(AND($K410="对外销售",COUNTIF({"三矿区";"六矿区"},$L410)=0),"※对外销售的去向只能是三矿区或六矿区",IF(AND($K410="对外销售",ROUND($Q410,0)=0),"※外销却没有售价，请填实际售价",IF(AND($K410="对外销售",$T410&lt;&gt;"",$T410&lt;0),"※这一笔外销是亏的，请核对售价",IF(IFERROR(VLOOKUP($D410,库存台账!$A$5:$Y$1204,24,0),0)&lt;-0.001,"※这个物料账面已经变成负数了，查一下是不是漏记入库","")))))))))))</f>
        <v/>
      </c>
    </row>
    <row r="411">
      <c r="A411" s="24">
        <f>IF($D411="","",COUNTA($D$4:$D411))</f>
        <v/>
      </c>
      <c r="B411" s="17" t="n"/>
      <c r="C411" s="30" t="n"/>
      <c r="D411" s="17" t="n"/>
      <c r="E411" s="24">
        <f>IF($D411="","",IFERROR(VLOOKUP($D411,物料档案!$A$4:$P$1203,3,0),"※编码不在物料档案里"))</f>
        <v/>
      </c>
      <c r="F411" s="24">
        <f>IF($D411="","",IFERROR(VLOOKUP($D411,物料档案!$A$4:$P$1203,4,0),"※编码不在物料档案里"))</f>
        <v/>
      </c>
      <c r="G411" s="24">
        <f>IF($D411="","",IFERROR(VLOOKUP($D411,物料档案!$A$4:$P$1203,5,0),"※编码不在物料档案里"))</f>
        <v/>
      </c>
      <c r="H411" s="24">
        <f>IF($D411="","",IFERROR(VLOOKUP($D411,物料档案!$A$4:$P$1203,2,0),"※编码不在物料档案里"))</f>
        <v/>
      </c>
      <c r="I411" s="24">
        <f>IF($D411="","",IFERROR(VLOOKUP($D411,物料档案!$A$4:$P$1203,6,0),"※编码不在物料档案里"))</f>
        <v/>
      </c>
      <c r="J411" s="23" t="n"/>
      <c r="K411" s="17" t="n"/>
      <c r="L411" s="17" t="n"/>
      <c r="M411" s="17" t="n"/>
      <c r="N411" s="17" t="n"/>
      <c r="O411" s="26">
        <f>IF($D411="","",IFERROR(VLOOKUP($D411,物料档案!$A$4:$P$1203,10,0),0))</f>
        <v/>
      </c>
      <c r="P411" s="32" t="n"/>
      <c r="Q411" s="26">
        <f>IF($D411="","",IF($K411&lt;&gt;"对外销售",0,ROUND(N($J411)*IF($P411="",N($O411),N($P411)),0)))</f>
        <v/>
      </c>
      <c r="R411" s="26">
        <f>IF($D411="","",IFERROR(VLOOKUP($D411,库存台账!$A$5:$Y$1204,11,0),0))</f>
        <v/>
      </c>
      <c r="S411" s="26">
        <f>IF($D411="","",ROUND(N($J411)*N($R411),0))</f>
        <v/>
      </c>
      <c r="T411" s="26">
        <f>IF($D411="","",IF($K411&lt;&gt;"对外销售","",ROUND($Q411-$S411,0)))</f>
        <v/>
      </c>
      <c r="U411" s="17" t="n"/>
      <c r="V411" s="17" t="n"/>
      <c r="W411" s="24">
        <f>IF($D411="","",IF($E411="※编码不在物料档案里","※物料编码不在档案里",IF(N($J411)&lt;=0,"※出库数量要大于 0",IF($K411="","※没填去向类型",IF($L411="","※没填去向矿区",IF(AND($C411&lt;&gt;"",$C411&lt;=结账锁),"※日期早于已结账截止日，不能再录",IF(AND($K411="自用消耗",COUNTIF({"一矿区";"二矿区"},$L411)=0),"※自用消耗的去向只能是一矿区或二矿区",IF(AND($K411="对外销售",COUNTIF({"三矿区";"六矿区"},$L411)=0),"※对外销售的去向只能是三矿区或六矿区",IF(AND($K411="对外销售",ROUND($Q411,0)=0),"※外销却没有售价，请填实际售价",IF(AND($K411="对外销售",$T411&lt;&gt;"",$T411&lt;0),"※这一笔外销是亏的，请核对售价",IF(IFERROR(VLOOKUP($D411,库存台账!$A$5:$Y$1204,24,0),0)&lt;-0.001,"※这个物料账面已经变成负数了，查一下是不是漏记入库","")))))))))))</f>
        <v/>
      </c>
    </row>
    <row r="412">
      <c r="A412" s="24">
        <f>IF($D412="","",COUNTA($D$4:$D412))</f>
        <v/>
      </c>
      <c r="B412" s="17" t="n"/>
      <c r="C412" s="30" t="n"/>
      <c r="D412" s="17" t="n"/>
      <c r="E412" s="24">
        <f>IF($D412="","",IFERROR(VLOOKUP($D412,物料档案!$A$4:$P$1203,3,0),"※编码不在物料档案里"))</f>
        <v/>
      </c>
      <c r="F412" s="24">
        <f>IF($D412="","",IFERROR(VLOOKUP($D412,物料档案!$A$4:$P$1203,4,0),"※编码不在物料档案里"))</f>
        <v/>
      </c>
      <c r="G412" s="24">
        <f>IF($D412="","",IFERROR(VLOOKUP($D412,物料档案!$A$4:$P$1203,5,0),"※编码不在物料档案里"))</f>
        <v/>
      </c>
      <c r="H412" s="24">
        <f>IF($D412="","",IFERROR(VLOOKUP($D412,物料档案!$A$4:$P$1203,2,0),"※编码不在物料档案里"))</f>
        <v/>
      </c>
      <c r="I412" s="24">
        <f>IF($D412="","",IFERROR(VLOOKUP($D412,物料档案!$A$4:$P$1203,6,0),"※编码不在物料档案里"))</f>
        <v/>
      </c>
      <c r="J412" s="23" t="n"/>
      <c r="K412" s="17" t="n"/>
      <c r="L412" s="17" t="n"/>
      <c r="M412" s="17" t="n"/>
      <c r="N412" s="17" t="n"/>
      <c r="O412" s="26">
        <f>IF($D412="","",IFERROR(VLOOKUP($D412,物料档案!$A$4:$P$1203,10,0),0))</f>
        <v/>
      </c>
      <c r="P412" s="32" t="n"/>
      <c r="Q412" s="26">
        <f>IF($D412="","",IF($K412&lt;&gt;"对外销售",0,ROUND(N($J412)*IF($P412="",N($O412),N($P412)),0)))</f>
        <v/>
      </c>
      <c r="R412" s="26">
        <f>IF($D412="","",IFERROR(VLOOKUP($D412,库存台账!$A$5:$Y$1204,11,0),0))</f>
        <v/>
      </c>
      <c r="S412" s="26">
        <f>IF($D412="","",ROUND(N($J412)*N($R412),0))</f>
        <v/>
      </c>
      <c r="T412" s="26">
        <f>IF($D412="","",IF($K412&lt;&gt;"对外销售","",ROUND($Q412-$S412,0)))</f>
        <v/>
      </c>
      <c r="U412" s="17" t="n"/>
      <c r="V412" s="17" t="n"/>
      <c r="W412" s="24">
        <f>IF($D412="","",IF($E412="※编码不在物料档案里","※物料编码不在档案里",IF(N($J412)&lt;=0,"※出库数量要大于 0",IF($K412="","※没填去向类型",IF($L412="","※没填去向矿区",IF(AND($C412&lt;&gt;"",$C412&lt;=结账锁),"※日期早于已结账截止日，不能再录",IF(AND($K412="自用消耗",COUNTIF({"一矿区";"二矿区"},$L412)=0),"※自用消耗的去向只能是一矿区或二矿区",IF(AND($K412="对外销售",COUNTIF({"三矿区";"六矿区"},$L412)=0),"※对外销售的去向只能是三矿区或六矿区",IF(AND($K412="对外销售",ROUND($Q412,0)=0),"※外销却没有售价，请填实际售价",IF(AND($K412="对外销售",$T412&lt;&gt;"",$T412&lt;0),"※这一笔外销是亏的，请核对售价",IF(IFERROR(VLOOKUP($D412,库存台账!$A$5:$Y$1204,24,0),0)&lt;-0.001,"※这个物料账面已经变成负数了，查一下是不是漏记入库","")))))))))))</f>
        <v/>
      </c>
    </row>
    <row r="413">
      <c r="A413" s="24">
        <f>IF($D413="","",COUNTA($D$4:$D413))</f>
        <v/>
      </c>
      <c r="B413" s="17" t="n"/>
      <c r="C413" s="30" t="n"/>
      <c r="D413" s="17" t="n"/>
      <c r="E413" s="24">
        <f>IF($D413="","",IFERROR(VLOOKUP($D413,物料档案!$A$4:$P$1203,3,0),"※编码不在物料档案里"))</f>
        <v/>
      </c>
      <c r="F413" s="24">
        <f>IF($D413="","",IFERROR(VLOOKUP($D413,物料档案!$A$4:$P$1203,4,0),"※编码不在物料档案里"))</f>
        <v/>
      </c>
      <c r="G413" s="24">
        <f>IF($D413="","",IFERROR(VLOOKUP($D413,物料档案!$A$4:$P$1203,5,0),"※编码不在物料档案里"))</f>
        <v/>
      </c>
      <c r="H413" s="24">
        <f>IF($D413="","",IFERROR(VLOOKUP($D413,物料档案!$A$4:$P$1203,2,0),"※编码不在物料档案里"))</f>
        <v/>
      </c>
      <c r="I413" s="24">
        <f>IF($D413="","",IFERROR(VLOOKUP($D413,物料档案!$A$4:$P$1203,6,0),"※编码不在物料档案里"))</f>
        <v/>
      </c>
      <c r="J413" s="23" t="n"/>
      <c r="K413" s="17" t="n"/>
      <c r="L413" s="17" t="n"/>
      <c r="M413" s="17" t="n"/>
      <c r="N413" s="17" t="n"/>
      <c r="O413" s="26">
        <f>IF($D413="","",IFERROR(VLOOKUP($D413,物料档案!$A$4:$P$1203,10,0),0))</f>
        <v/>
      </c>
      <c r="P413" s="32" t="n"/>
      <c r="Q413" s="26">
        <f>IF($D413="","",IF($K413&lt;&gt;"对外销售",0,ROUND(N($J413)*IF($P413="",N($O413),N($P413)),0)))</f>
        <v/>
      </c>
      <c r="R413" s="26">
        <f>IF($D413="","",IFERROR(VLOOKUP($D413,库存台账!$A$5:$Y$1204,11,0),0))</f>
        <v/>
      </c>
      <c r="S413" s="26">
        <f>IF($D413="","",ROUND(N($J413)*N($R413),0))</f>
        <v/>
      </c>
      <c r="T413" s="26">
        <f>IF($D413="","",IF($K413&lt;&gt;"对外销售","",ROUND($Q413-$S413,0)))</f>
        <v/>
      </c>
      <c r="U413" s="17" t="n"/>
      <c r="V413" s="17" t="n"/>
      <c r="W413" s="24">
        <f>IF($D413="","",IF($E413="※编码不在物料档案里","※物料编码不在档案里",IF(N($J413)&lt;=0,"※出库数量要大于 0",IF($K413="","※没填去向类型",IF($L413="","※没填去向矿区",IF(AND($C413&lt;&gt;"",$C413&lt;=结账锁),"※日期早于已结账截止日，不能再录",IF(AND($K413="自用消耗",COUNTIF({"一矿区";"二矿区"},$L413)=0),"※自用消耗的去向只能是一矿区或二矿区",IF(AND($K413="对外销售",COUNTIF({"三矿区";"六矿区"},$L413)=0),"※对外销售的去向只能是三矿区或六矿区",IF(AND($K413="对外销售",ROUND($Q413,0)=0),"※外销却没有售价，请填实际售价",IF(AND($K413="对外销售",$T413&lt;&gt;"",$T413&lt;0),"※这一笔外销是亏的，请核对售价",IF(IFERROR(VLOOKUP($D413,库存台账!$A$5:$Y$1204,24,0),0)&lt;-0.001,"※这个物料账面已经变成负数了，查一下是不是漏记入库","")))))))))))</f>
        <v/>
      </c>
    </row>
    <row r="414">
      <c r="A414" s="24">
        <f>IF($D414="","",COUNTA($D$4:$D414))</f>
        <v/>
      </c>
      <c r="B414" s="17" t="n"/>
      <c r="C414" s="30" t="n"/>
      <c r="D414" s="17" t="n"/>
      <c r="E414" s="24">
        <f>IF($D414="","",IFERROR(VLOOKUP($D414,物料档案!$A$4:$P$1203,3,0),"※编码不在物料档案里"))</f>
        <v/>
      </c>
      <c r="F414" s="24">
        <f>IF($D414="","",IFERROR(VLOOKUP($D414,物料档案!$A$4:$P$1203,4,0),"※编码不在物料档案里"))</f>
        <v/>
      </c>
      <c r="G414" s="24">
        <f>IF($D414="","",IFERROR(VLOOKUP($D414,物料档案!$A$4:$P$1203,5,0),"※编码不在物料档案里"))</f>
        <v/>
      </c>
      <c r="H414" s="24">
        <f>IF($D414="","",IFERROR(VLOOKUP($D414,物料档案!$A$4:$P$1203,2,0),"※编码不在物料档案里"))</f>
        <v/>
      </c>
      <c r="I414" s="24">
        <f>IF($D414="","",IFERROR(VLOOKUP($D414,物料档案!$A$4:$P$1203,6,0),"※编码不在物料档案里"))</f>
        <v/>
      </c>
      <c r="J414" s="23" t="n"/>
      <c r="K414" s="17" t="n"/>
      <c r="L414" s="17" t="n"/>
      <c r="M414" s="17" t="n"/>
      <c r="N414" s="17" t="n"/>
      <c r="O414" s="26">
        <f>IF($D414="","",IFERROR(VLOOKUP($D414,物料档案!$A$4:$P$1203,10,0),0))</f>
        <v/>
      </c>
      <c r="P414" s="32" t="n"/>
      <c r="Q414" s="26">
        <f>IF($D414="","",IF($K414&lt;&gt;"对外销售",0,ROUND(N($J414)*IF($P414="",N($O414),N($P414)),0)))</f>
        <v/>
      </c>
      <c r="R414" s="26">
        <f>IF($D414="","",IFERROR(VLOOKUP($D414,库存台账!$A$5:$Y$1204,11,0),0))</f>
        <v/>
      </c>
      <c r="S414" s="26">
        <f>IF($D414="","",ROUND(N($J414)*N($R414),0))</f>
        <v/>
      </c>
      <c r="T414" s="26">
        <f>IF($D414="","",IF($K414&lt;&gt;"对外销售","",ROUND($Q414-$S414,0)))</f>
        <v/>
      </c>
      <c r="U414" s="17" t="n"/>
      <c r="V414" s="17" t="n"/>
      <c r="W414" s="24">
        <f>IF($D414="","",IF($E414="※编码不在物料档案里","※物料编码不在档案里",IF(N($J414)&lt;=0,"※出库数量要大于 0",IF($K414="","※没填去向类型",IF($L414="","※没填去向矿区",IF(AND($C414&lt;&gt;"",$C414&lt;=结账锁),"※日期早于已结账截止日，不能再录",IF(AND($K414="自用消耗",COUNTIF({"一矿区";"二矿区"},$L414)=0),"※自用消耗的去向只能是一矿区或二矿区",IF(AND($K414="对外销售",COUNTIF({"三矿区";"六矿区"},$L414)=0),"※对外销售的去向只能是三矿区或六矿区",IF(AND($K414="对外销售",ROUND($Q414,0)=0),"※外销却没有售价，请填实际售价",IF(AND($K414="对外销售",$T414&lt;&gt;"",$T414&lt;0),"※这一笔外销是亏的，请核对售价",IF(IFERROR(VLOOKUP($D414,库存台账!$A$5:$Y$1204,24,0),0)&lt;-0.001,"※这个物料账面已经变成负数了，查一下是不是漏记入库","")))))))))))</f>
        <v/>
      </c>
    </row>
    <row r="415">
      <c r="A415" s="24">
        <f>IF($D415="","",COUNTA($D$4:$D415))</f>
        <v/>
      </c>
      <c r="B415" s="17" t="n"/>
      <c r="C415" s="30" t="n"/>
      <c r="D415" s="17" t="n"/>
      <c r="E415" s="24">
        <f>IF($D415="","",IFERROR(VLOOKUP($D415,物料档案!$A$4:$P$1203,3,0),"※编码不在物料档案里"))</f>
        <v/>
      </c>
      <c r="F415" s="24">
        <f>IF($D415="","",IFERROR(VLOOKUP($D415,物料档案!$A$4:$P$1203,4,0),"※编码不在物料档案里"))</f>
        <v/>
      </c>
      <c r="G415" s="24">
        <f>IF($D415="","",IFERROR(VLOOKUP($D415,物料档案!$A$4:$P$1203,5,0),"※编码不在物料档案里"))</f>
        <v/>
      </c>
      <c r="H415" s="24">
        <f>IF($D415="","",IFERROR(VLOOKUP($D415,物料档案!$A$4:$P$1203,2,0),"※编码不在物料档案里"))</f>
        <v/>
      </c>
      <c r="I415" s="24">
        <f>IF($D415="","",IFERROR(VLOOKUP($D415,物料档案!$A$4:$P$1203,6,0),"※编码不在物料档案里"))</f>
        <v/>
      </c>
      <c r="J415" s="23" t="n"/>
      <c r="K415" s="17" t="n"/>
      <c r="L415" s="17" t="n"/>
      <c r="M415" s="17" t="n"/>
      <c r="N415" s="17" t="n"/>
      <c r="O415" s="26">
        <f>IF($D415="","",IFERROR(VLOOKUP($D415,物料档案!$A$4:$P$1203,10,0),0))</f>
        <v/>
      </c>
      <c r="P415" s="32" t="n"/>
      <c r="Q415" s="26">
        <f>IF($D415="","",IF($K415&lt;&gt;"对外销售",0,ROUND(N($J415)*IF($P415="",N($O415),N($P415)),0)))</f>
        <v/>
      </c>
      <c r="R415" s="26">
        <f>IF($D415="","",IFERROR(VLOOKUP($D415,库存台账!$A$5:$Y$1204,11,0),0))</f>
        <v/>
      </c>
      <c r="S415" s="26">
        <f>IF($D415="","",ROUND(N($J415)*N($R415),0))</f>
        <v/>
      </c>
      <c r="T415" s="26">
        <f>IF($D415="","",IF($K415&lt;&gt;"对外销售","",ROUND($Q415-$S415,0)))</f>
        <v/>
      </c>
      <c r="U415" s="17" t="n"/>
      <c r="V415" s="17" t="n"/>
      <c r="W415" s="24">
        <f>IF($D415="","",IF($E415="※编码不在物料档案里","※物料编码不在档案里",IF(N($J415)&lt;=0,"※出库数量要大于 0",IF($K415="","※没填去向类型",IF($L415="","※没填去向矿区",IF(AND($C415&lt;&gt;"",$C415&lt;=结账锁),"※日期早于已结账截止日，不能再录",IF(AND($K415="自用消耗",COUNTIF({"一矿区";"二矿区"},$L415)=0),"※自用消耗的去向只能是一矿区或二矿区",IF(AND($K415="对外销售",COUNTIF({"三矿区";"六矿区"},$L415)=0),"※对外销售的去向只能是三矿区或六矿区",IF(AND($K415="对外销售",ROUND($Q415,0)=0),"※外销却没有售价，请填实际售价",IF(AND($K415="对外销售",$T415&lt;&gt;"",$T415&lt;0),"※这一笔外销是亏的，请核对售价",IF(IFERROR(VLOOKUP($D415,库存台账!$A$5:$Y$1204,24,0),0)&lt;-0.001,"※这个物料账面已经变成负数了，查一下是不是漏记入库","")))))))))))</f>
        <v/>
      </c>
    </row>
    <row r="416">
      <c r="A416" s="24">
        <f>IF($D416="","",COUNTA($D$4:$D416))</f>
        <v/>
      </c>
      <c r="B416" s="17" t="n"/>
      <c r="C416" s="30" t="n"/>
      <c r="D416" s="17" t="n"/>
      <c r="E416" s="24">
        <f>IF($D416="","",IFERROR(VLOOKUP($D416,物料档案!$A$4:$P$1203,3,0),"※编码不在物料档案里"))</f>
        <v/>
      </c>
      <c r="F416" s="24">
        <f>IF($D416="","",IFERROR(VLOOKUP($D416,物料档案!$A$4:$P$1203,4,0),"※编码不在物料档案里"))</f>
        <v/>
      </c>
      <c r="G416" s="24">
        <f>IF($D416="","",IFERROR(VLOOKUP($D416,物料档案!$A$4:$P$1203,5,0),"※编码不在物料档案里"))</f>
        <v/>
      </c>
      <c r="H416" s="24">
        <f>IF($D416="","",IFERROR(VLOOKUP($D416,物料档案!$A$4:$P$1203,2,0),"※编码不在物料档案里"))</f>
        <v/>
      </c>
      <c r="I416" s="24">
        <f>IF($D416="","",IFERROR(VLOOKUP($D416,物料档案!$A$4:$P$1203,6,0),"※编码不在物料档案里"))</f>
        <v/>
      </c>
      <c r="J416" s="23" t="n"/>
      <c r="K416" s="17" t="n"/>
      <c r="L416" s="17" t="n"/>
      <c r="M416" s="17" t="n"/>
      <c r="N416" s="17" t="n"/>
      <c r="O416" s="26">
        <f>IF($D416="","",IFERROR(VLOOKUP($D416,物料档案!$A$4:$P$1203,10,0),0))</f>
        <v/>
      </c>
      <c r="P416" s="32" t="n"/>
      <c r="Q416" s="26">
        <f>IF($D416="","",IF($K416&lt;&gt;"对外销售",0,ROUND(N($J416)*IF($P416="",N($O416),N($P416)),0)))</f>
        <v/>
      </c>
      <c r="R416" s="26">
        <f>IF($D416="","",IFERROR(VLOOKUP($D416,库存台账!$A$5:$Y$1204,11,0),0))</f>
        <v/>
      </c>
      <c r="S416" s="26">
        <f>IF($D416="","",ROUND(N($J416)*N($R416),0))</f>
        <v/>
      </c>
      <c r="T416" s="26">
        <f>IF($D416="","",IF($K416&lt;&gt;"对外销售","",ROUND($Q416-$S416,0)))</f>
        <v/>
      </c>
      <c r="U416" s="17" t="n"/>
      <c r="V416" s="17" t="n"/>
      <c r="W416" s="24">
        <f>IF($D416="","",IF($E416="※编码不在物料档案里","※物料编码不在档案里",IF(N($J416)&lt;=0,"※出库数量要大于 0",IF($K416="","※没填去向类型",IF($L416="","※没填去向矿区",IF(AND($C416&lt;&gt;"",$C416&lt;=结账锁),"※日期早于已结账截止日，不能再录",IF(AND($K416="自用消耗",COUNTIF({"一矿区";"二矿区"},$L416)=0),"※自用消耗的去向只能是一矿区或二矿区",IF(AND($K416="对外销售",COUNTIF({"三矿区";"六矿区"},$L416)=0),"※对外销售的去向只能是三矿区或六矿区",IF(AND($K416="对外销售",ROUND($Q416,0)=0),"※外销却没有售价，请填实际售价",IF(AND($K416="对外销售",$T416&lt;&gt;"",$T416&lt;0),"※这一笔外销是亏的，请核对售价",IF(IFERROR(VLOOKUP($D416,库存台账!$A$5:$Y$1204,24,0),0)&lt;-0.001,"※这个物料账面已经变成负数了，查一下是不是漏记入库","")))))))))))</f>
        <v/>
      </c>
    </row>
    <row r="417">
      <c r="A417" s="24">
        <f>IF($D417="","",COUNTA($D$4:$D417))</f>
        <v/>
      </c>
      <c r="B417" s="17" t="n"/>
      <c r="C417" s="30" t="n"/>
      <c r="D417" s="17" t="n"/>
      <c r="E417" s="24">
        <f>IF($D417="","",IFERROR(VLOOKUP($D417,物料档案!$A$4:$P$1203,3,0),"※编码不在物料档案里"))</f>
        <v/>
      </c>
      <c r="F417" s="24">
        <f>IF($D417="","",IFERROR(VLOOKUP($D417,物料档案!$A$4:$P$1203,4,0),"※编码不在物料档案里"))</f>
        <v/>
      </c>
      <c r="G417" s="24">
        <f>IF($D417="","",IFERROR(VLOOKUP($D417,物料档案!$A$4:$P$1203,5,0),"※编码不在物料档案里"))</f>
        <v/>
      </c>
      <c r="H417" s="24">
        <f>IF($D417="","",IFERROR(VLOOKUP($D417,物料档案!$A$4:$P$1203,2,0),"※编码不在物料档案里"))</f>
        <v/>
      </c>
      <c r="I417" s="24">
        <f>IF($D417="","",IFERROR(VLOOKUP($D417,物料档案!$A$4:$P$1203,6,0),"※编码不在物料档案里"))</f>
        <v/>
      </c>
      <c r="J417" s="23" t="n"/>
      <c r="K417" s="17" t="n"/>
      <c r="L417" s="17" t="n"/>
      <c r="M417" s="17" t="n"/>
      <c r="N417" s="17" t="n"/>
      <c r="O417" s="26">
        <f>IF($D417="","",IFERROR(VLOOKUP($D417,物料档案!$A$4:$P$1203,10,0),0))</f>
        <v/>
      </c>
      <c r="P417" s="32" t="n"/>
      <c r="Q417" s="26">
        <f>IF($D417="","",IF($K417&lt;&gt;"对外销售",0,ROUND(N($J417)*IF($P417="",N($O417),N($P417)),0)))</f>
        <v/>
      </c>
      <c r="R417" s="26">
        <f>IF($D417="","",IFERROR(VLOOKUP($D417,库存台账!$A$5:$Y$1204,11,0),0))</f>
        <v/>
      </c>
      <c r="S417" s="26">
        <f>IF($D417="","",ROUND(N($J417)*N($R417),0))</f>
        <v/>
      </c>
      <c r="T417" s="26">
        <f>IF($D417="","",IF($K417&lt;&gt;"对外销售","",ROUND($Q417-$S417,0)))</f>
        <v/>
      </c>
      <c r="U417" s="17" t="n"/>
      <c r="V417" s="17" t="n"/>
      <c r="W417" s="24">
        <f>IF($D417="","",IF($E417="※编码不在物料档案里","※物料编码不在档案里",IF(N($J417)&lt;=0,"※出库数量要大于 0",IF($K417="","※没填去向类型",IF($L417="","※没填去向矿区",IF(AND($C417&lt;&gt;"",$C417&lt;=结账锁),"※日期早于已结账截止日，不能再录",IF(AND($K417="自用消耗",COUNTIF({"一矿区";"二矿区"},$L417)=0),"※自用消耗的去向只能是一矿区或二矿区",IF(AND($K417="对外销售",COUNTIF({"三矿区";"六矿区"},$L417)=0),"※对外销售的去向只能是三矿区或六矿区",IF(AND($K417="对外销售",ROUND($Q417,0)=0),"※外销却没有售价，请填实际售价",IF(AND($K417="对外销售",$T417&lt;&gt;"",$T417&lt;0),"※这一笔外销是亏的，请核对售价",IF(IFERROR(VLOOKUP($D417,库存台账!$A$5:$Y$1204,24,0),0)&lt;-0.001,"※这个物料账面已经变成负数了，查一下是不是漏记入库","")))))))))))</f>
        <v/>
      </c>
    </row>
    <row r="418">
      <c r="A418" s="24">
        <f>IF($D418="","",COUNTA($D$4:$D418))</f>
        <v/>
      </c>
      <c r="B418" s="17" t="n"/>
      <c r="C418" s="30" t="n"/>
      <c r="D418" s="17" t="n"/>
      <c r="E418" s="24">
        <f>IF($D418="","",IFERROR(VLOOKUP($D418,物料档案!$A$4:$P$1203,3,0),"※编码不在物料档案里"))</f>
        <v/>
      </c>
      <c r="F418" s="24">
        <f>IF($D418="","",IFERROR(VLOOKUP($D418,物料档案!$A$4:$P$1203,4,0),"※编码不在物料档案里"))</f>
        <v/>
      </c>
      <c r="G418" s="24">
        <f>IF($D418="","",IFERROR(VLOOKUP($D418,物料档案!$A$4:$P$1203,5,0),"※编码不在物料档案里"))</f>
        <v/>
      </c>
      <c r="H418" s="24">
        <f>IF($D418="","",IFERROR(VLOOKUP($D418,物料档案!$A$4:$P$1203,2,0),"※编码不在物料档案里"))</f>
        <v/>
      </c>
      <c r="I418" s="24">
        <f>IF($D418="","",IFERROR(VLOOKUP($D418,物料档案!$A$4:$P$1203,6,0),"※编码不在物料档案里"))</f>
        <v/>
      </c>
      <c r="J418" s="23" t="n"/>
      <c r="K418" s="17" t="n"/>
      <c r="L418" s="17" t="n"/>
      <c r="M418" s="17" t="n"/>
      <c r="N418" s="17" t="n"/>
      <c r="O418" s="26">
        <f>IF($D418="","",IFERROR(VLOOKUP($D418,物料档案!$A$4:$P$1203,10,0),0))</f>
        <v/>
      </c>
      <c r="P418" s="32" t="n"/>
      <c r="Q418" s="26">
        <f>IF($D418="","",IF($K418&lt;&gt;"对外销售",0,ROUND(N($J418)*IF($P418="",N($O418),N($P418)),0)))</f>
        <v/>
      </c>
      <c r="R418" s="26">
        <f>IF($D418="","",IFERROR(VLOOKUP($D418,库存台账!$A$5:$Y$1204,11,0),0))</f>
        <v/>
      </c>
      <c r="S418" s="26">
        <f>IF($D418="","",ROUND(N($J418)*N($R418),0))</f>
        <v/>
      </c>
      <c r="T418" s="26">
        <f>IF($D418="","",IF($K418&lt;&gt;"对外销售","",ROUND($Q418-$S418,0)))</f>
        <v/>
      </c>
      <c r="U418" s="17" t="n"/>
      <c r="V418" s="17" t="n"/>
      <c r="W418" s="24">
        <f>IF($D418="","",IF($E418="※编码不在物料档案里","※物料编码不在档案里",IF(N($J418)&lt;=0,"※出库数量要大于 0",IF($K418="","※没填去向类型",IF($L418="","※没填去向矿区",IF(AND($C418&lt;&gt;"",$C418&lt;=结账锁),"※日期早于已结账截止日，不能再录",IF(AND($K418="自用消耗",COUNTIF({"一矿区";"二矿区"},$L418)=0),"※自用消耗的去向只能是一矿区或二矿区",IF(AND($K418="对外销售",COUNTIF({"三矿区";"六矿区"},$L418)=0),"※对外销售的去向只能是三矿区或六矿区",IF(AND($K418="对外销售",ROUND($Q418,0)=0),"※外销却没有售价，请填实际售价",IF(AND($K418="对外销售",$T418&lt;&gt;"",$T418&lt;0),"※这一笔外销是亏的，请核对售价",IF(IFERROR(VLOOKUP($D418,库存台账!$A$5:$Y$1204,24,0),0)&lt;-0.001,"※这个物料账面已经变成负数了，查一下是不是漏记入库","")))))))))))</f>
        <v/>
      </c>
    </row>
    <row r="419">
      <c r="A419" s="24">
        <f>IF($D419="","",COUNTA($D$4:$D419))</f>
        <v/>
      </c>
      <c r="B419" s="17" t="n"/>
      <c r="C419" s="30" t="n"/>
      <c r="D419" s="17" t="n"/>
      <c r="E419" s="24">
        <f>IF($D419="","",IFERROR(VLOOKUP($D419,物料档案!$A$4:$P$1203,3,0),"※编码不在物料档案里"))</f>
        <v/>
      </c>
      <c r="F419" s="24">
        <f>IF($D419="","",IFERROR(VLOOKUP($D419,物料档案!$A$4:$P$1203,4,0),"※编码不在物料档案里"))</f>
        <v/>
      </c>
      <c r="G419" s="24">
        <f>IF($D419="","",IFERROR(VLOOKUP($D419,物料档案!$A$4:$P$1203,5,0),"※编码不在物料档案里"))</f>
        <v/>
      </c>
      <c r="H419" s="24">
        <f>IF($D419="","",IFERROR(VLOOKUP($D419,物料档案!$A$4:$P$1203,2,0),"※编码不在物料档案里"))</f>
        <v/>
      </c>
      <c r="I419" s="24">
        <f>IF($D419="","",IFERROR(VLOOKUP($D419,物料档案!$A$4:$P$1203,6,0),"※编码不在物料档案里"))</f>
        <v/>
      </c>
      <c r="J419" s="23" t="n"/>
      <c r="K419" s="17" t="n"/>
      <c r="L419" s="17" t="n"/>
      <c r="M419" s="17" t="n"/>
      <c r="N419" s="17" t="n"/>
      <c r="O419" s="26">
        <f>IF($D419="","",IFERROR(VLOOKUP($D419,物料档案!$A$4:$P$1203,10,0),0))</f>
        <v/>
      </c>
      <c r="P419" s="32" t="n"/>
      <c r="Q419" s="26">
        <f>IF($D419="","",IF($K419&lt;&gt;"对外销售",0,ROUND(N($J419)*IF($P419="",N($O419),N($P419)),0)))</f>
        <v/>
      </c>
      <c r="R419" s="26">
        <f>IF($D419="","",IFERROR(VLOOKUP($D419,库存台账!$A$5:$Y$1204,11,0),0))</f>
        <v/>
      </c>
      <c r="S419" s="26">
        <f>IF($D419="","",ROUND(N($J419)*N($R419),0))</f>
        <v/>
      </c>
      <c r="T419" s="26">
        <f>IF($D419="","",IF($K419&lt;&gt;"对外销售","",ROUND($Q419-$S419,0)))</f>
        <v/>
      </c>
      <c r="U419" s="17" t="n"/>
      <c r="V419" s="17" t="n"/>
      <c r="W419" s="24">
        <f>IF($D419="","",IF($E419="※编码不在物料档案里","※物料编码不在档案里",IF(N($J419)&lt;=0,"※出库数量要大于 0",IF($K419="","※没填去向类型",IF($L419="","※没填去向矿区",IF(AND($C419&lt;&gt;"",$C419&lt;=结账锁),"※日期早于已结账截止日，不能再录",IF(AND($K419="自用消耗",COUNTIF({"一矿区";"二矿区"},$L419)=0),"※自用消耗的去向只能是一矿区或二矿区",IF(AND($K419="对外销售",COUNTIF({"三矿区";"六矿区"},$L419)=0),"※对外销售的去向只能是三矿区或六矿区",IF(AND($K419="对外销售",ROUND($Q419,0)=0),"※外销却没有售价，请填实际售价",IF(AND($K419="对外销售",$T419&lt;&gt;"",$T419&lt;0),"※这一笔外销是亏的，请核对售价",IF(IFERROR(VLOOKUP($D419,库存台账!$A$5:$Y$1204,24,0),0)&lt;-0.001,"※这个物料账面已经变成负数了，查一下是不是漏记入库","")))))))))))</f>
        <v/>
      </c>
    </row>
    <row r="420">
      <c r="A420" s="24">
        <f>IF($D420="","",COUNTA($D$4:$D420))</f>
        <v/>
      </c>
      <c r="B420" s="17" t="n"/>
      <c r="C420" s="30" t="n"/>
      <c r="D420" s="17" t="n"/>
      <c r="E420" s="24">
        <f>IF($D420="","",IFERROR(VLOOKUP($D420,物料档案!$A$4:$P$1203,3,0),"※编码不在物料档案里"))</f>
        <v/>
      </c>
      <c r="F420" s="24">
        <f>IF($D420="","",IFERROR(VLOOKUP($D420,物料档案!$A$4:$P$1203,4,0),"※编码不在物料档案里"))</f>
        <v/>
      </c>
      <c r="G420" s="24">
        <f>IF($D420="","",IFERROR(VLOOKUP($D420,物料档案!$A$4:$P$1203,5,0),"※编码不在物料档案里"))</f>
        <v/>
      </c>
      <c r="H420" s="24">
        <f>IF($D420="","",IFERROR(VLOOKUP($D420,物料档案!$A$4:$P$1203,2,0),"※编码不在物料档案里"))</f>
        <v/>
      </c>
      <c r="I420" s="24">
        <f>IF($D420="","",IFERROR(VLOOKUP($D420,物料档案!$A$4:$P$1203,6,0),"※编码不在物料档案里"))</f>
        <v/>
      </c>
      <c r="J420" s="23" t="n"/>
      <c r="K420" s="17" t="n"/>
      <c r="L420" s="17" t="n"/>
      <c r="M420" s="17" t="n"/>
      <c r="N420" s="17" t="n"/>
      <c r="O420" s="26">
        <f>IF($D420="","",IFERROR(VLOOKUP($D420,物料档案!$A$4:$P$1203,10,0),0))</f>
        <v/>
      </c>
      <c r="P420" s="32" t="n"/>
      <c r="Q420" s="26">
        <f>IF($D420="","",IF($K420&lt;&gt;"对外销售",0,ROUND(N($J420)*IF($P420="",N($O420),N($P420)),0)))</f>
        <v/>
      </c>
      <c r="R420" s="26">
        <f>IF($D420="","",IFERROR(VLOOKUP($D420,库存台账!$A$5:$Y$1204,11,0),0))</f>
        <v/>
      </c>
      <c r="S420" s="26">
        <f>IF($D420="","",ROUND(N($J420)*N($R420),0))</f>
        <v/>
      </c>
      <c r="T420" s="26">
        <f>IF($D420="","",IF($K420&lt;&gt;"对外销售","",ROUND($Q420-$S420,0)))</f>
        <v/>
      </c>
      <c r="U420" s="17" t="n"/>
      <c r="V420" s="17" t="n"/>
      <c r="W420" s="24">
        <f>IF($D420="","",IF($E420="※编码不在物料档案里","※物料编码不在档案里",IF(N($J420)&lt;=0,"※出库数量要大于 0",IF($K420="","※没填去向类型",IF($L420="","※没填去向矿区",IF(AND($C420&lt;&gt;"",$C420&lt;=结账锁),"※日期早于已结账截止日，不能再录",IF(AND($K420="自用消耗",COUNTIF({"一矿区";"二矿区"},$L420)=0),"※自用消耗的去向只能是一矿区或二矿区",IF(AND($K420="对外销售",COUNTIF({"三矿区";"六矿区"},$L420)=0),"※对外销售的去向只能是三矿区或六矿区",IF(AND($K420="对外销售",ROUND($Q420,0)=0),"※外销却没有售价，请填实际售价",IF(AND($K420="对外销售",$T420&lt;&gt;"",$T420&lt;0),"※这一笔外销是亏的，请核对售价",IF(IFERROR(VLOOKUP($D420,库存台账!$A$5:$Y$1204,24,0),0)&lt;-0.001,"※这个物料账面已经变成负数了，查一下是不是漏记入库","")))))))))))</f>
        <v/>
      </c>
    </row>
    <row r="421">
      <c r="A421" s="24">
        <f>IF($D421="","",COUNTA($D$4:$D421))</f>
        <v/>
      </c>
      <c r="B421" s="17" t="n"/>
      <c r="C421" s="30" t="n"/>
      <c r="D421" s="17" t="n"/>
      <c r="E421" s="24">
        <f>IF($D421="","",IFERROR(VLOOKUP($D421,物料档案!$A$4:$P$1203,3,0),"※编码不在物料档案里"))</f>
        <v/>
      </c>
      <c r="F421" s="24">
        <f>IF($D421="","",IFERROR(VLOOKUP($D421,物料档案!$A$4:$P$1203,4,0),"※编码不在物料档案里"))</f>
        <v/>
      </c>
      <c r="G421" s="24">
        <f>IF($D421="","",IFERROR(VLOOKUP($D421,物料档案!$A$4:$P$1203,5,0),"※编码不在物料档案里"))</f>
        <v/>
      </c>
      <c r="H421" s="24">
        <f>IF($D421="","",IFERROR(VLOOKUP($D421,物料档案!$A$4:$P$1203,2,0),"※编码不在物料档案里"))</f>
        <v/>
      </c>
      <c r="I421" s="24">
        <f>IF($D421="","",IFERROR(VLOOKUP($D421,物料档案!$A$4:$P$1203,6,0),"※编码不在物料档案里"))</f>
        <v/>
      </c>
      <c r="J421" s="23" t="n"/>
      <c r="K421" s="17" t="n"/>
      <c r="L421" s="17" t="n"/>
      <c r="M421" s="17" t="n"/>
      <c r="N421" s="17" t="n"/>
      <c r="O421" s="26">
        <f>IF($D421="","",IFERROR(VLOOKUP($D421,物料档案!$A$4:$P$1203,10,0),0))</f>
        <v/>
      </c>
      <c r="P421" s="32" t="n"/>
      <c r="Q421" s="26">
        <f>IF($D421="","",IF($K421&lt;&gt;"对外销售",0,ROUND(N($J421)*IF($P421="",N($O421),N($P421)),0)))</f>
        <v/>
      </c>
      <c r="R421" s="26">
        <f>IF($D421="","",IFERROR(VLOOKUP($D421,库存台账!$A$5:$Y$1204,11,0),0))</f>
        <v/>
      </c>
      <c r="S421" s="26">
        <f>IF($D421="","",ROUND(N($J421)*N($R421),0))</f>
        <v/>
      </c>
      <c r="T421" s="26">
        <f>IF($D421="","",IF($K421&lt;&gt;"对外销售","",ROUND($Q421-$S421,0)))</f>
        <v/>
      </c>
      <c r="U421" s="17" t="n"/>
      <c r="V421" s="17" t="n"/>
      <c r="W421" s="24">
        <f>IF($D421="","",IF($E421="※编码不在物料档案里","※物料编码不在档案里",IF(N($J421)&lt;=0,"※出库数量要大于 0",IF($K421="","※没填去向类型",IF($L421="","※没填去向矿区",IF(AND($C421&lt;&gt;"",$C421&lt;=结账锁),"※日期早于已结账截止日，不能再录",IF(AND($K421="自用消耗",COUNTIF({"一矿区";"二矿区"},$L421)=0),"※自用消耗的去向只能是一矿区或二矿区",IF(AND($K421="对外销售",COUNTIF({"三矿区";"六矿区"},$L421)=0),"※对外销售的去向只能是三矿区或六矿区",IF(AND($K421="对外销售",ROUND($Q421,0)=0),"※外销却没有售价，请填实际售价",IF(AND($K421="对外销售",$T421&lt;&gt;"",$T421&lt;0),"※这一笔外销是亏的，请核对售价",IF(IFERROR(VLOOKUP($D421,库存台账!$A$5:$Y$1204,24,0),0)&lt;-0.001,"※这个物料账面已经变成负数了，查一下是不是漏记入库","")))))))))))</f>
        <v/>
      </c>
    </row>
    <row r="422">
      <c r="A422" s="24">
        <f>IF($D422="","",COUNTA($D$4:$D422))</f>
        <v/>
      </c>
      <c r="B422" s="17" t="n"/>
      <c r="C422" s="30" t="n"/>
      <c r="D422" s="17" t="n"/>
      <c r="E422" s="24">
        <f>IF($D422="","",IFERROR(VLOOKUP($D422,物料档案!$A$4:$P$1203,3,0),"※编码不在物料档案里"))</f>
        <v/>
      </c>
      <c r="F422" s="24">
        <f>IF($D422="","",IFERROR(VLOOKUP($D422,物料档案!$A$4:$P$1203,4,0),"※编码不在物料档案里"))</f>
        <v/>
      </c>
      <c r="G422" s="24">
        <f>IF($D422="","",IFERROR(VLOOKUP($D422,物料档案!$A$4:$P$1203,5,0),"※编码不在物料档案里"))</f>
        <v/>
      </c>
      <c r="H422" s="24">
        <f>IF($D422="","",IFERROR(VLOOKUP($D422,物料档案!$A$4:$P$1203,2,0),"※编码不在物料档案里"))</f>
        <v/>
      </c>
      <c r="I422" s="24">
        <f>IF($D422="","",IFERROR(VLOOKUP($D422,物料档案!$A$4:$P$1203,6,0),"※编码不在物料档案里"))</f>
        <v/>
      </c>
      <c r="J422" s="23" t="n"/>
      <c r="K422" s="17" t="n"/>
      <c r="L422" s="17" t="n"/>
      <c r="M422" s="17" t="n"/>
      <c r="N422" s="17" t="n"/>
      <c r="O422" s="26">
        <f>IF($D422="","",IFERROR(VLOOKUP($D422,物料档案!$A$4:$P$1203,10,0),0))</f>
        <v/>
      </c>
      <c r="P422" s="32" t="n"/>
      <c r="Q422" s="26">
        <f>IF($D422="","",IF($K422&lt;&gt;"对外销售",0,ROUND(N($J422)*IF($P422="",N($O422),N($P422)),0)))</f>
        <v/>
      </c>
      <c r="R422" s="26">
        <f>IF($D422="","",IFERROR(VLOOKUP($D422,库存台账!$A$5:$Y$1204,11,0),0))</f>
        <v/>
      </c>
      <c r="S422" s="26">
        <f>IF($D422="","",ROUND(N($J422)*N($R422),0))</f>
        <v/>
      </c>
      <c r="T422" s="26">
        <f>IF($D422="","",IF($K422&lt;&gt;"对外销售","",ROUND($Q422-$S422,0)))</f>
        <v/>
      </c>
      <c r="U422" s="17" t="n"/>
      <c r="V422" s="17" t="n"/>
      <c r="W422" s="24">
        <f>IF($D422="","",IF($E422="※编码不在物料档案里","※物料编码不在档案里",IF(N($J422)&lt;=0,"※出库数量要大于 0",IF($K422="","※没填去向类型",IF($L422="","※没填去向矿区",IF(AND($C422&lt;&gt;"",$C422&lt;=结账锁),"※日期早于已结账截止日，不能再录",IF(AND($K422="自用消耗",COUNTIF({"一矿区";"二矿区"},$L422)=0),"※自用消耗的去向只能是一矿区或二矿区",IF(AND($K422="对外销售",COUNTIF({"三矿区";"六矿区"},$L422)=0),"※对外销售的去向只能是三矿区或六矿区",IF(AND($K422="对外销售",ROUND($Q422,0)=0),"※外销却没有售价，请填实际售价",IF(AND($K422="对外销售",$T422&lt;&gt;"",$T422&lt;0),"※这一笔外销是亏的，请核对售价",IF(IFERROR(VLOOKUP($D422,库存台账!$A$5:$Y$1204,24,0),0)&lt;-0.001,"※这个物料账面已经变成负数了，查一下是不是漏记入库","")))))))))))</f>
        <v/>
      </c>
    </row>
    <row r="423">
      <c r="A423" s="24">
        <f>IF($D423="","",COUNTA($D$4:$D423))</f>
        <v/>
      </c>
      <c r="B423" s="17" t="n"/>
      <c r="C423" s="30" t="n"/>
      <c r="D423" s="17" t="n"/>
      <c r="E423" s="24">
        <f>IF($D423="","",IFERROR(VLOOKUP($D423,物料档案!$A$4:$P$1203,3,0),"※编码不在物料档案里"))</f>
        <v/>
      </c>
      <c r="F423" s="24">
        <f>IF($D423="","",IFERROR(VLOOKUP($D423,物料档案!$A$4:$P$1203,4,0),"※编码不在物料档案里"))</f>
        <v/>
      </c>
      <c r="G423" s="24">
        <f>IF($D423="","",IFERROR(VLOOKUP($D423,物料档案!$A$4:$P$1203,5,0),"※编码不在物料档案里"))</f>
        <v/>
      </c>
      <c r="H423" s="24">
        <f>IF($D423="","",IFERROR(VLOOKUP($D423,物料档案!$A$4:$P$1203,2,0),"※编码不在物料档案里"))</f>
        <v/>
      </c>
      <c r="I423" s="24">
        <f>IF($D423="","",IFERROR(VLOOKUP($D423,物料档案!$A$4:$P$1203,6,0),"※编码不在物料档案里"))</f>
        <v/>
      </c>
      <c r="J423" s="23" t="n"/>
      <c r="K423" s="17" t="n"/>
      <c r="L423" s="17" t="n"/>
      <c r="M423" s="17" t="n"/>
      <c r="N423" s="17" t="n"/>
      <c r="O423" s="26">
        <f>IF($D423="","",IFERROR(VLOOKUP($D423,物料档案!$A$4:$P$1203,10,0),0))</f>
        <v/>
      </c>
      <c r="P423" s="32" t="n"/>
      <c r="Q423" s="26">
        <f>IF($D423="","",IF($K423&lt;&gt;"对外销售",0,ROUND(N($J423)*IF($P423="",N($O423),N($P423)),0)))</f>
        <v/>
      </c>
      <c r="R423" s="26">
        <f>IF($D423="","",IFERROR(VLOOKUP($D423,库存台账!$A$5:$Y$1204,11,0),0))</f>
        <v/>
      </c>
      <c r="S423" s="26">
        <f>IF($D423="","",ROUND(N($J423)*N($R423),0))</f>
        <v/>
      </c>
      <c r="T423" s="26">
        <f>IF($D423="","",IF($K423&lt;&gt;"对外销售","",ROUND($Q423-$S423,0)))</f>
        <v/>
      </c>
      <c r="U423" s="17" t="n"/>
      <c r="V423" s="17" t="n"/>
      <c r="W423" s="24">
        <f>IF($D423="","",IF($E423="※编码不在物料档案里","※物料编码不在档案里",IF(N($J423)&lt;=0,"※出库数量要大于 0",IF($K423="","※没填去向类型",IF($L423="","※没填去向矿区",IF(AND($C423&lt;&gt;"",$C423&lt;=结账锁),"※日期早于已结账截止日，不能再录",IF(AND($K423="自用消耗",COUNTIF({"一矿区";"二矿区"},$L423)=0),"※自用消耗的去向只能是一矿区或二矿区",IF(AND($K423="对外销售",COUNTIF({"三矿区";"六矿区"},$L423)=0),"※对外销售的去向只能是三矿区或六矿区",IF(AND($K423="对外销售",ROUND($Q423,0)=0),"※外销却没有售价，请填实际售价",IF(AND($K423="对外销售",$T423&lt;&gt;"",$T423&lt;0),"※这一笔外销是亏的，请核对售价",IF(IFERROR(VLOOKUP($D423,库存台账!$A$5:$Y$1204,24,0),0)&lt;-0.001,"※这个物料账面已经变成负数了，查一下是不是漏记入库","")))))))))))</f>
        <v/>
      </c>
    </row>
    <row r="424">
      <c r="A424" s="24">
        <f>IF($D424="","",COUNTA($D$4:$D424))</f>
        <v/>
      </c>
      <c r="B424" s="17" t="n"/>
      <c r="C424" s="30" t="n"/>
      <c r="D424" s="17" t="n"/>
      <c r="E424" s="24">
        <f>IF($D424="","",IFERROR(VLOOKUP($D424,物料档案!$A$4:$P$1203,3,0),"※编码不在物料档案里"))</f>
        <v/>
      </c>
      <c r="F424" s="24">
        <f>IF($D424="","",IFERROR(VLOOKUP($D424,物料档案!$A$4:$P$1203,4,0),"※编码不在物料档案里"))</f>
        <v/>
      </c>
      <c r="G424" s="24">
        <f>IF($D424="","",IFERROR(VLOOKUP($D424,物料档案!$A$4:$P$1203,5,0),"※编码不在物料档案里"))</f>
        <v/>
      </c>
      <c r="H424" s="24">
        <f>IF($D424="","",IFERROR(VLOOKUP($D424,物料档案!$A$4:$P$1203,2,0),"※编码不在物料档案里"))</f>
        <v/>
      </c>
      <c r="I424" s="24">
        <f>IF($D424="","",IFERROR(VLOOKUP($D424,物料档案!$A$4:$P$1203,6,0),"※编码不在物料档案里"))</f>
        <v/>
      </c>
      <c r="J424" s="23" t="n"/>
      <c r="K424" s="17" t="n"/>
      <c r="L424" s="17" t="n"/>
      <c r="M424" s="17" t="n"/>
      <c r="N424" s="17" t="n"/>
      <c r="O424" s="26">
        <f>IF($D424="","",IFERROR(VLOOKUP($D424,物料档案!$A$4:$P$1203,10,0),0))</f>
        <v/>
      </c>
      <c r="P424" s="32" t="n"/>
      <c r="Q424" s="26">
        <f>IF($D424="","",IF($K424&lt;&gt;"对外销售",0,ROUND(N($J424)*IF($P424="",N($O424),N($P424)),0)))</f>
        <v/>
      </c>
      <c r="R424" s="26">
        <f>IF($D424="","",IFERROR(VLOOKUP($D424,库存台账!$A$5:$Y$1204,11,0),0))</f>
        <v/>
      </c>
      <c r="S424" s="26">
        <f>IF($D424="","",ROUND(N($J424)*N($R424),0))</f>
        <v/>
      </c>
      <c r="T424" s="26">
        <f>IF($D424="","",IF($K424&lt;&gt;"对外销售","",ROUND($Q424-$S424,0)))</f>
        <v/>
      </c>
      <c r="U424" s="17" t="n"/>
      <c r="V424" s="17" t="n"/>
      <c r="W424" s="24">
        <f>IF($D424="","",IF($E424="※编码不在物料档案里","※物料编码不在档案里",IF(N($J424)&lt;=0,"※出库数量要大于 0",IF($K424="","※没填去向类型",IF($L424="","※没填去向矿区",IF(AND($C424&lt;&gt;"",$C424&lt;=结账锁),"※日期早于已结账截止日，不能再录",IF(AND($K424="自用消耗",COUNTIF({"一矿区";"二矿区"},$L424)=0),"※自用消耗的去向只能是一矿区或二矿区",IF(AND($K424="对外销售",COUNTIF({"三矿区";"六矿区"},$L424)=0),"※对外销售的去向只能是三矿区或六矿区",IF(AND($K424="对外销售",ROUND($Q424,0)=0),"※外销却没有售价，请填实际售价",IF(AND($K424="对外销售",$T424&lt;&gt;"",$T424&lt;0),"※这一笔外销是亏的，请核对售价",IF(IFERROR(VLOOKUP($D424,库存台账!$A$5:$Y$1204,24,0),0)&lt;-0.001,"※这个物料账面已经变成负数了，查一下是不是漏记入库","")))))))))))</f>
        <v/>
      </c>
    </row>
    <row r="425">
      <c r="A425" s="24">
        <f>IF($D425="","",COUNTA($D$4:$D425))</f>
        <v/>
      </c>
      <c r="B425" s="17" t="n"/>
      <c r="C425" s="30" t="n"/>
      <c r="D425" s="17" t="n"/>
      <c r="E425" s="24">
        <f>IF($D425="","",IFERROR(VLOOKUP($D425,物料档案!$A$4:$P$1203,3,0),"※编码不在物料档案里"))</f>
        <v/>
      </c>
      <c r="F425" s="24">
        <f>IF($D425="","",IFERROR(VLOOKUP($D425,物料档案!$A$4:$P$1203,4,0),"※编码不在物料档案里"))</f>
        <v/>
      </c>
      <c r="G425" s="24">
        <f>IF($D425="","",IFERROR(VLOOKUP($D425,物料档案!$A$4:$P$1203,5,0),"※编码不在物料档案里"))</f>
        <v/>
      </c>
      <c r="H425" s="24">
        <f>IF($D425="","",IFERROR(VLOOKUP($D425,物料档案!$A$4:$P$1203,2,0),"※编码不在物料档案里"))</f>
        <v/>
      </c>
      <c r="I425" s="24">
        <f>IF($D425="","",IFERROR(VLOOKUP($D425,物料档案!$A$4:$P$1203,6,0),"※编码不在物料档案里"))</f>
        <v/>
      </c>
      <c r="J425" s="23" t="n"/>
      <c r="K425" s="17" t="n"/>
      <c r="L425" s="17" t="n"/>
      <c r="M425" s="17" t="n"/>
      <c r="N425" s="17" t="n"/>
      <c r="O425" s="26">
        <f>IF($D425="","",IFERROR(VLOOKUP($D425,物料档案!$A$4:$P$1203,10,0),0))</f>
        <v/>
      </c>
      <c r="P425" s="32" t="n"/>
      <c r="Q425" s="26">
        <f>IF($D425="","",IF($K425&lt;&gt;"对外销售",0,ROUND(N($J425)*IF($P425="",N($O425),N($P425)),0)))</f>
        <v/>
      </c>
      <c r="R425" s="26">
        <f>IF($D425="","",IFERROR(VLOOKUP($D425,库存台账!$A$5:$Y$1204,11,0),0))</f>
        <v/>
      </c>
      <c r="S425" s="26">
        <f>IF($D425="","",ROUND(N($J425)*N($R425),0))</f>
        <v/>
      </c>
      <c r="T425" s="26">
        <f>IF($D425="","",IF($K425&lt;&gt;"对外销售","",ROUND($Q425-$S425,0)))</f>
        <v/>
      </c>
      <c r="U425" s="17" t="n"/>
      <c r="V425" s="17" t="n"/>
      <c r="W425" s="24">
        <f>IF($D425="","",IF($E425="※编码不在物料档案里","※物料编码不在档案里",IF(N($J425)&lt;=0,"※出库数量要大于 0",IF($K425="","※没填去向类型",IF($L425="","※没填去向矿区",IF(AND($C425&lt;&gt;"",$C425&lt;=结账锁),"※日期早于已结账截止日，不能再录",IF(AND($K425="自用消耗",COUNTIF({"一矿区";"二矿区"},$L425)=0),"※自用消耗的去向只能是一矿区或二矿区",IF(AND($K425="对外销售",COUNTIF({"三矿区";"六矿区"},$L425)=0),"※对外销售的去向只能是三矿区或六矿区",IF(AND($K425="对外销售",ROUND($Q425,0)=0),"※外销却没有售价，请填实际售价",IF(AND($K425="对外销售",$T425&lt;&gt;"",$T425&lt;0),"※这一笔外销是亏的，请核对售价",IF(IFERROR(VLOOKUP($D425,库存台账!$A$5:$Y$1204,24,0),0)&lt;-0.001,"※这个物料账面已经变成负数了，查一下是不是漏记入库","")))))))))))</f>
        <v/>
      </c>
    </row>
    <row r="426">
      <c r="A426" s="24">
        <f>IF($D426="","",COUNTA($D$4:$D426))</f>
        <v/>
      </c>
      <c r="B426" s="17" t="n"/>
      <c r="C426" s="30" t="n"/>
      <c r="D426" s="17" t="n"/>
      <c r="E426" s="24">
        <f>IF($D426="","",IFERROR(VLOOKUP($D426,物料档案!$A$4:$P$1203,3,0),"※编码不在物料档案里"))</f>
        <v/>
      </c>
      <c r="F426" s="24">
        <f>IF($D426="","",IFERROR(VLOOKUP($D426,物料档案!$A$4:$P$1203,4,0),"※编码不在物料档案里"))</f>
        <v/>
      </c>
      <c r="G426" s="24">
        <f>IF($D426="","",IFERROR(VLOOKUP($D426,物料档案!$A$4:$P$1203,5,0),"※编码不在物料档案里"))</f>
        <v/>
      </c>
      <c r="H426" s="24">
        <f>IF($D426="","",IFERROR(VLOOKUP($D426,物料档案!$A$4:$P$1203,2,0),"※编码不在物料档案里"))</f>
        <v/>
      </c>
      <c r="I426" s="24">
        <f>IF($D426="","",IFERROR(VLOOKUP($D426,物料档案!$A$4:$P$1203,6,0),"※编码不在物料档案里"))</f>
        <v/>
      </c>
      <c r="J426" s="23" t="n"/>
      <c r="K426" s="17" t="n"/>
      <c r="L426" s="17" t="n"/>
      <c r="M426" s="17" t="n"/>
      <c r="N426" s="17" t="n"/>
      <c r="O426" s="26">
        <f>IF($D426="","",IFERROR(VLOOKUP($D426,物料档案!$A$4:$P$1203,10,0),0))</f>
        <v/>
      </c>
      <c r="P426" s="32" t="n"/>
      <c r="Q426" s="26">
        <f>IF($D426="","",IF($K426&lt;&gt;"对外销售",0,ROUND(N($J426)*IF($P426="",N($O426),N($P426)),0)))</f>
        <v/>
      </c>
      <c r="R426" s="26">
        <f>IF($D426="","",IFERROR(VLOOKUP($D426,库存台账!$A$5:$Y$1204,11,0),0))</f>
        <v/>
      </c>
      <c r="S426" s="26">
        <f>IF($D426="","",ROUND(N($J426)*N($R426),0))</f>
        <v/>
      </c>
      <c r="T426" s="26">
        <f>IF($D426="","",IF($K426&lt;&gt;"对外销售","",ROUND($Q426-$S426,0)))</f>
        <v/>
      </c>
      <c r="U426" s="17" t="n"/>
      <c r="V426" s="17" t="n"/>
      <c r="W426" s="24">
        <f>IF($D426="","",IF($E426="※编码不在物料档案里","※物料编码不在档案里",IF(N($J426)&lt;=0,"※出库数量要大于 0",IF($K426="","※没填去向类型",IF($L426="","※没填去向矿区",IF(AND($C426&lt;&gt;"",$C426&lt;=结账锁),"※日期早于已结账截止日，不能再录",IF(AND($K426="自用消耗",COUNTIF({"一矿区";"二矿区"},$L426)=0),"※自用消耗的去向只能是一矿区或二矿区",IF(AND($K426="对外销售",COUNTIF({"三矿区";"六矿区"},$L426)=0),"※对外销售的去向只能是三矿区或六矿区",IF(AND($K426="对外销售",ROUND($Q426,0)=0),"※外销却没有售价，请填实际售价",IF(AND($K426="对外销售",$T426&lt;&gt;"",$T426&lt;0),"※这一笔外销是亏的，请核对售价",IF(IFERROR(VLOOKUP($D426,库存台账!$A$5:$Y$1204,24,0),0)&lt;-0.001,"※这个物料账面已经变成负数了，查一下是不是漏记入库","")))))))))))</f>
        <v/>
      </c>
    </row>
    <row r="427">
      <c r="A427" s="24">
        <f>IF($D427="","",COUNTA($D$4:$D427))</f>
        <v/>
      </c>
      <c r="B427" s="17" t="n"/>
      <c r="C427" s="30" t="n"/>
      <c r="D427" s="17" t="n"/>
      <c r="E427" s="24">
        <f>IF($D427="","",IFERROR(VLOOKUP($D427,物料档案!$A$4:$P$1203,3,0),"※编码不在物料档案里"))</f>
        <v/>
      </c>
      <c r="F427" s="24">
        <f>IF($D427="","",IFERROR(VLOOKUP($D427,物料档案!$A$4:$P$1203,4,0),"※编码不在物料档案里"))</f>
        <v/>
      </c>
      <c r="G427" s="24">
        <f>IF($D427="","",IFERROR(VLOOKUP($D427,物料档案!$A$4:$P$1203,5,0),"※编码不在物料档案里"))</f>
        <v/>
      </c>
      <c r="H427" s="24">
        <f>IF($D427="","",IFERROR(VLOOKUP($D427,物料档案!$A$4:$P$1203,2,0),"※编码不在物料档案里"))</f>
        <v/>
      </c>
      <c r="I427" s="24">
        <f>IF($D427="","",IFERROR(VLOOKUP($D427,物料档案!$A$4:$P$1203,6,0),"※编码不在物料档案里"))</f>
        <v/>
      </c>
      <c r="J427" s="23" t="n"/>
      <c r="K427" s="17" t="n"/>
      <c r="L427" s="17" t="n"/>
      <c r="M427" s="17" t="n"/>
      <c r="N427" s="17" t="n"/>
      <c r="O427" s="26">
        <f>IF($D427="","",IFERROR(VLOOKUP($D427,物料档案!$A$4:$P$1203,10,0),0))</f>
        <v/>
      </c>
      <c r="P427" s="32" t="n"/>
      <c r="Q427" s="26">
        <f>IF($D427="","",IF($K427&lt;&gt;"对外销售",0,ROUND(N($J427)*IF($P427="",N($O427),N($P427)),0)))</f>
        <v/>
      </c>
      <c r="R427" s="26">
        <f>IF($D427="","",IFERROR(VLOOKUP($D427,库存台账!$A$5:$Y$1204,11,0),0))</f>
        <v/>
      </c>
      <c r="S427" s="26">
        <f>IF($D427="","",ROUND(N($J427)*N($R427),0))</f>
        <v/>
      </c>
      <c r="T427" s="26">
        <f>IF($D427="","",IF($K427&lt;&gt;"对外销售","",ROUND($Q427-$S427,0)))</f>
        <v/>
      </c>
      <c r="U427" s="17" t="n"/>
      <c r="V427" s="17" t="n"/>
      <c r="W427" s="24">
        <f>IF($D427="","",IF($E427="※编码不在物料档案里","※物料编码不在档案里",IF(N($J427)&lt;=0,"※出库数量要大于 0",IF($K427="","※没填去向类型",IF($L427="","※没填去向矿区",IF(AND($C427&lt;&gt;"",$C427&lt;=结账锁),"※日期早于已结账截止日，不能再录",IF(AND($K427="自用消耗",COUNTIF({"一矿区";"二矿区"},$L427)=0),"※自用消耗的去向只能是一矿区或二矿区",IF(AND($K427="对外销售",COUNTIF({"三矿区";"六矿区"},$L427)=0),"※对外销售的去向只能是三矿区或六矿区",IF(AND($K427="对外销售",ROUND($Q427,0)=0),"※外销却没有售价，请填实际售价",IF(AND($K427="对外销售",$T427&lt;&gt;"",$T427&lt;0),"※这一笔外销是亏的，请核对售价",IF(IFERROR(VLOOKUP($D427,库存台账!$A$5:$Y$1204,24,0),0)&lt;-0.001,"※这个物料账面已经变成负数了，查一下是不是漏记入库","")))))))))))</f>
        <v/>
      </c>
    </row>
    <row r="428">
      <c r="A428" s="24">
        <f>IF($D428="","",COUNTA($D$4:$D428))</f>
        <v/>
      </c>
      <c r="B428" s="17" t="n"/>
      <c r="C428" s="30" t="n"/>
      <c r="D428" s="17" t="n"/>
      <c r="E428" s="24">
        <f>IF($D428="","",IFERROR(VLOOKUP($D428,物料档案!$A$4:$P$1203,3,0),"※编码不在物料档案里"))</f>
        <v/>
      </c>
      <c r="F428" s="24">
        <f>IF($D428="","",IFERROR(VLOOKUP($D428,物料档案!$A$4:$P$1203,4,0),"※编码不在物料档案里"))</f>
        <v/>
      </c>
      <c r="G428" s="24">
        <f>IF($D428="","",IFERROR(VLOOKUP($D428,物料档案!$A$4:$P$1203,5,0),"※编码不在物料档案里"))</f>
        <v/>
      </c>
      <c r="H428" s="24">
        <f>IF($D428="","",IFERROR(VLOOKUP($D428,物料档案!$A$4:$P$1203,2,0),"※编码不在物料档案里"))</f>
        <v/>
      </c>
      <c r="I428" s="24">
        <f>IF($D428="","",IFERROR(VLOOKUP($D428,物料档案!$A$4:$P$1203,6,0),"※编码不在物料档案里"))</f>
        <v/>
      </c>
      <c r="J428" s="23" t="n"/>
      <c r="K428" s="17" t="n"/>
      <c r="L428" s="17" t="n"/>
      <c r="M428" s="17" t="n"/>
      <c r="N428" s="17" t="n"/>
      <c r="O428" s="26">
        <f>IF($D428="","",IFERROR(VLOOKUP($D428,物料档案!$A$4:$P$1203,10,0),0))</f>
        <v/>
      </c>
      <c r="P428" s="32" t="n"/>
      <c r="Q428" s="26">
        <f>IF($D428="","",IF($K428&lt;&gt;"对外销售",0,ROUND(N($J428)*IF($P428="",N($O428),N($P428)),0)))</f>
        <v/>
      </c>
      <c r="R428" s="26">
        <f>IF($D428="","",IFERROR(VLOOKUP($D428,库存台账!$A$5:$Y$1204,11,0),0))</f>
        <v/>
      </c>
      <c r="S428" s="26">
        <f>IF($D428="","",ROUND(N($J428)*N($R428),0))</f>
        <v/>
      </c>
      <c r="T428" s="26">
        <f>IF($D428="","",IF($K428&lt;&gt;"对外销售","",ROUND($Q428-$S428,0)))</f>
        <v/>
      </c>
      <c r="U428" s="17" t="n"/>
      <c r="V428" s="17" t="n"/>
      <c r="W428" s="24">
        <f>IF($D428="","",IF($E428="※编码不在物料档案里","※物料编码不在档案里",IF(N($J428)&lt;=0,"※出库数量要大于 0",IF($K428="","※没填去向类型",IF($L428="","※没填去向矿区",IF(AND($C428&lt;&gt;"",$C428&lt;=结账锁),"※日期早于已结账截止日，不能再录",IF(AND($K428="自用消耗",COUNTIF({"一矿区";"二矿区"},$L428)=0),"※自用消耗的去向只能是一矿区或二矿区",IF(AND($K428="对外销售",COUNTIF({"三矿区";"六矿区"},$L428)=0),"※对外销售的去向只能是三矿区或六矿区",IF(AND($K428="对外销售",ROUND($Q428,0)=0),"※外销却没有售价，请填实际售价",IF(AND($K428="对外销售",$T428&lt;&gt;"",$T428&lt;0),"※这一笔外销是亏的，请核对售价",IF(IFERROR(VLOOKUP($D428,库存台账!$A$5:$Y$1204,24,0),0)&lt;-0.001,"※这个物料账面已经变成负数了，查一下是不是漏记入库","")))))))))))</f>
        <v/>
      </c>
    </row>
    <row r="429">
      <c r="A429" s="24">
        <f>IF($D429="","",COUNTA($D$4:$D429))</f>
        <v/>
      </c>
      <c r="B429" s="17" t="n"/>
      <c r="C429" s="30" t="n"/>
      <c r="D429" s="17" t="n"/>
      <c r="E429" s="24">
        <f>IF($D429="","",IFERROR(VLOOKUP($D429,物料档案!$A$4:$P$1203,3,0),"※编码不在物料档案里"))</f>
        <v/>
      </c>
      <c r="F429" s="24">
        <f>IF($D429="","",IFERROR(VLOOKUP($D429,物料档案!$A$4:$P$1203,4,0),"※编码不在物料档案里"))</f>
        <v/>
      </c>
      <c r="G429" s="24">
        <f>IF($D429="","",IFERROR(VLOOKUP($D429,物料档案!$A$4:$P$1203,5,0),"※编码不在物料档案里"))</f>
        <v/>
      </c>
      <c r="H429" s="24">
        <f>IF($D429="","",IFERROR(VLOOKUP($D429,物料档案!$A$4:$P$1203,2,0),"※编码不在物料档案里"))</f>
        <v/>
      </c>
      <c r="I429" s="24">
        <f>IF($D429="","",IFERROR(VLOOKUP($D429,物料档案!$A$4:$P$1203,6,0),"※编码不在物料档案里"))</f>
        <v/>
      </c>
      <c r="J429" s="23" t="n"/>
      <c r="K429" s="17" t="n"/>
      <c r="L429" s="17" t="n"/>
      <c r="M429" s="17" t="n"/>
      <c r="N429" s="17" t="n"/>
      <c r="O429" s="26">
        <f>IF($D429="","",IFERROR(VLOOKUP($D429,物料档案!$A$4:$P$1203,10,0),0))</f>
        <v/>
      </c>
      <c r="P429" s="32" t="n"/>
      <c r="Q429" s="26">
        <f>IF($D429="","",IF($K429&lt;&gt;"对外销售",0,ROUND(N($J429)*IF($P429="",N($O429),N($P429)),0)))</f>
        <v/>
      </c>
      <c r="R429" s="26">
        <f>IF($D429="","",IFERROR(VLOOKUP($D429,库存台账!$A$5:$Y$1204,11,0),0))</f>
        <v/>
      </c>
      <c r="S429" s="26">
        <f>IF($D429="","",ROUND(N($J429)*N($R429),0))</f>
        <v/>
      </c>
      <c r="T429" s="26">
        <f>IF($D429="","",IF($K429&lt;&gt;"对外销售","",ROUND($Q429-$S429,0)))</f>
        <v/>
      </c>
      <c r="U429" s="17" t="n"/>
      <c r="V429" s="17" t="n"/>
      <c r="W429" s="24">
        <f>IF($D429="","",IF($E429="※编码不在物料档案里","※物料编码不在档案里",IF(N($J429)&lt;=0,"※出库数量要大于 0",IF($K429="","※没填去向类型",IF($L429="","※没填去向矿区",IF(AND($C429&lt;&gt;"",$C429&lt;=结账锁),"※日期早于已结账截止日，不能再录",IF(AND($K429="自用消耗",COUNTIF({"一矿区";"二矿区"},$L429)=0),"※自用消耗的去向只能是一矿区或二矿区",IF(AND($K429="对外销售",COUNTIF({"三矿区";"六矿区"},$L429)=0),"※对外销售的去向只能是三矿区或六矿区",IF(AND($K429="对外销售",ROUND($Q429,0)=0),"※外销却没有售价，请填实际售价",IF(AND($K429="对外销售",$T429&lt;&gt;"",$T429&lt;0),"※这一笔外销是亏的，请核对售价",IF(IFERROR(VLOOKUP($D429,库存台账!$A$5:$Y$1204,24,0),0)&lt;-0.001,"※这个物料账面已经变成负数了，查一下是不是漏记入库","")))))))))))</f>
        <v/>
      </c>
    </row>
    <row r="430">
      <c r="A430" s="24">
        <f>IF($D430="","",COUNTA($D$4:$D430))</f>
        <v/>
      </c>
      <c r="B430" s="17" t="n"/>
      <c r="C430" s="30" t="n"/>
      <c r="D430" s="17" t="n"/>
      <c r="E430" s="24">
        <f>IF($D430="","",IFERROR(VLOOKUP($D430,物料档案!$A$4:$P$1203,3,0),"※编码不在物料档案里"))</f>
        <v/>
      </c>
      <c r="F430" s="24">
        <f>IF($D430="","",IFERROR(VLOOKUP($D430,物料档案!$A$4:$P$1203,4,0),"※编码不在物料档案里"))</f>
        <v/>
      </c>
      <c r="G430" s="24">
        <f>IF($D430="","",IFERROR(VLOOKUP($D430,物料档案!$A$4:$P$1203,5,0),"※编码不在物料档案里"))</f>
        <v/>
      </c>
      <c r="H430" s="24">
        <f>IF($D430="","",IFERROR(VLOOKUP($D430,物料档案!$A$4:$P$1203,2,0),"※编码不在物料档案里"))</f>
        <v/>
      </c>
      <c r="I430" s="24">
        <f>IF($D430="","",IFERROR(VLOOKUP($D430,物料档案!$A$4:$P$1203,6,0),"※编码不在物料档案里"))</f>
        <v/>
      </c>
      <c r="J430" s="23" t="n"/>
      <c r="K430" s="17" t="n"/>
      <c r="L430" s="17" t="n"/>
      <c r="M430" s="17" t="n"/>
      <c r="N430" s="17" t="n"/>
      <c r="O430" s="26">
        <f>IF($D430="","",IFERROR(VLOOKUP($D430,物料档案!$A$4:$P$1203,10,0),0))</f>
        <v/>
      </c>
      <c r="P430" s="32" t="n"/>
      <c r="Q430" s="26">
        <f>IF($D430="","",IF($K430&lt;&gt;"对外销售",0,ROUND(N($J430)*IF($P430="",N($O430),N($P430)),0)))</f>
        <v/>
      </c>
      <c r="R430" s="26">
        <f>IF($D430="","",IFERROR(VLOOKUP($D430,库存台账!$A$5:$Y$1204,11,0),0))</f>
        <v/>
      </c>
      <c r="S430" s="26">
        <f>IF($D430="","",ROUND(N($J430)*N($R430),0))</f>
        <v/>
      </c>
      <c r="T430" s="26">
        <f>IF($D430="","",IF($K430&lt;&gt;"对外销售","",ROUND($Q430-$S430,0)))</f>
        <v/>
      </c>
      <c r="U430" s="17" t="n"/>
      <c r="V430" s="17" t="n"/>
      <c r="W430" s="24">
        <f>IF($D430="","",IF($E430="※编码不在物料档案里","※物料编码不在档案里",IF(N($J430)&lt;=0,"※出库数量要大于 0",IF($K430="","※没填去向类型",IF($L430="","※没填去向矿区",IF(AND($C430&lt;&gt;"",$C430&lt;=结账锁),"※日期早于已结账截止日，不能再录",IF(AND($K430="自用消耗",COUNTIF({"一矿区";"二矿区"},$L430)=0),"※自用消耗的去向只能是一矿区或二矿区",IF(AND($K430="对外销售",COUNTIF({"三矿区";"六矿区"},$L430)=0),"※对外销售的去向只能是三矿区或六矿区",IF(AND($K430="对外销售",ROUND($Q430,0)=0),"※外销却没有售价，请填实际售价",IF(AND($K430="对外销售",$T430&lt;&gt;"",$T430&lt;0),"※这一笔外销是亏的，请核对售价",IF(IFERROR(VLOOKUP($D430,库存台账!$A$5:$Y$1204,24,0),0)&lt;-0.001,"※这个物料账面已经变成负数了，查一下是不是漏记入库","")))))))))))</f>
        <v/>
      </c>
    </row>
    <row r="431">
      <c r="A431" s="24">
        <f>IF($D431="","",COUNTA($D$4:$D431))</f>
        <v/>
      </c>
      <c r="B431" s="17" t="n"/>
      <c r="C431" s="30" t="n"/>
      <c r="D431" s="17" t="n"/>
      <c r="E431" s="24">
        <f>IF($D431="","",IFERROR(VLOOKUP($D431,物料档案!$A$4:$P$1203,3,0),"※编码不在物料档案里"))</f>
        <v/>
      </c>
      <c r="F431" s="24">
        <f>IF($D431="","",IFERROR(VLOOKUP($D431,物料档案!$A$4:$P$1203,4,0),"※编码不在物料档案里"))</f>
        <v/>
      </c>
      <c r="G431" s="24">
        <f>IF($D431="","",IFERROR(VLOOKUP($D431,物料档案!$A$4:$P$1203,5,0),"※编码不在物料档案里"))</f>
        <v/>
      </c>
      <c r="H431" s="24">
        <f>IF($D431="","",IFERROR(VLOOKUP($D431,物料档案!$A$4:$P$1203,2,0),"※编码不在物料档案里"))</f>
        <v/>
      </c>
      <c r="I431" s="24">
        <f>IF($D431="","",IFERROR(VLOOKUP($D431,物料档案!$A$4:$P$1203,6,0),"※编码不在物料档案里"))</f>
        <v/>
      </c>
      <c r="J431" s="23" t="n"/>
      <c r="K431" s="17" t="n"/>
      <c r="L431" s="17" t="n"/>
      <c r="M431" s="17" t="n"/>
      <c r="N431" s="17" t="n"/>
      <c r="O431" s="26">
        <f>IF($D431="","",IFERROR(VLOOKUP($D431,物料档案!$A$4:$P$1203,10,0),0))</f>
        <v/>
      </c>
      <c r="P431" s="32" t="n"/>
      <c r="Q431" s="26">
        <f>IF($D431="","",IF($K431&lt;&gt;"对外销售",0,ROUND(N($J431)*IF($P431="",N($O431),N($P431)),0)))</f>
        <v/>
      </c>
      <c r="R431" s="26">
        <f>IF($D431="","",IFERROR(VLOOKUP($D431,库存台账!$A$5:$Y$1204,11,0),0))</f>
        <v/>
      </c>
      <c r="S431" s="26">
        <f>IF($D431="","",ROUND(N($J431)*N($R431),0))</f>
        <v/>
      </c>
      <c r="T431" s="26">
        <f>IF($D431="","",IF($K431&lt;&gt;"对外销售","",ROUND($Q431-$S431,0)))</f>
        <v/>
      </c>
      <c r="U431" s="17" t="n"/>
      <c r="V431" s="17" t="n"/>
      <c r="W431" s="24">
        <f>IF($D431="","",IF($E431="※编码不在物料档案里","※物料编码不在档案里",IF(N($J431)&lt;=0,"※出库数量要大于 0",IF($K431="","※没填去向类型",IF($L431="","※没填去向矿区",IF(AND($C431&lt;&gt;"",$C431&lt;=结账锁),"※日期早于已结账截止日，不能再录",IF(AND($K431="自用消耗",COUNTIF({"一矿区";"二矿区"},$L431)=0),"※自用消耗的去向只能是一矿区或二矿区",IF(AND($K431="对外销售",COUNTIF({"三矿区";"六矿区"},$L431)=0),"※对外销售的去向只能是三矿区或六矿区",IF(AND($K431="对外销售",ROUND($Q431,0)=0),"※外销却没有售价，请填实际售价",IF(AND($K431="对外销售",$T431&lt;&gt;"",$T431&lt;0),"※这一笔外销是亏的，请核对售价",IF(IFERROR(VLOOKUP($D431,库存台账!$A$5:$Y$1204,24,0),0)&lt;-0.001,"※这个物料账面已经变成负数了，查一下是不是漏记入库","")))))))))))</f>
        <v/>
      </c>
    </row>
    <row r="432">
      <c r="A432" s="24">
        <f>IF($D432="","",COUNTA($D$4:$D432))</f>
        <v/>
      </c>
      <c r="B432" s="17" t="n"/>
      <c r="C432" s="30" t="n"/>
      <c r="D432" s="17" t="n"/>
      <c r="E432" s="24">
        <f>IF($D432="","",IFERROR(VLOOKUP($D432,物料档案!$A$4:$P$1203,3,0),"※编码不在物料档案里"))</f>
        <v/>
      </c>
      <c r="F432" s="24">
        <f>IF($D432="","",IFERROR(VLOOKUP($D432,物料档案!$A$4:$P$1203,4,0),"※编码不在物料档案里"))</f>
        <v/>
      </c>
      <c r="G432" s="24">
        <f>IF($D432="","",IFERROR(VLOOKUP($D432,物料档案!$A$4:$P$1203,5,0),"※编码不在物料档案里"))</f>
        <v/>
      </c>
      <c r="H432" s="24">
        <f>IF($D432="","",IFERROR(VLOOKUP($D432,物料档案!$A$4:$P$1203,2,0),"※编码不在物料档案里"))</f>
        <v/>
      </c>
      <c r="I432" s="24">
        <f>IF($D432="","",IFERROR(VLOOKUP($D432,物料档案!$A$4:$P$1203,6,0),"※编码不在物料档案里"))</f>
        <v/>
      </c>
      <c r="J432" s="23" t="n"/>
      <c r="K432" s="17" t="n"/>
      <c r="L432" s="17" t="n"/>
      <c r="M432" s="17" t="n"/>
      <c r="N432" s="17" t="n"/>
      <c r="O432" s="26">
        <f>IF($D432="","",IFERROR(VLOOKUP($D432,物料档案!$A$4:$P$1203,10,0),0))</f>
        <v/>
      </c>
      <c r="P432" s="32" t="n"/>
      <c r="Q432" s="26">
        <f>IF($D432="","",IF($K432&lt;&gt;"对外销售",0,ROUND(N($J432)*IF($P432="",N($O432),N($P432)),0)))</f>
        <v/>
      </c>
      <c r="R432" s="26">
        <f>IF($D432="","",IFERROR(VLOOKUP($D432,库存台账!$A$5:$Y$1204,11,0),0))</f>
        <v/>
      </c>
      <c r="S432" s="26">
        <f>IF($D432="","",ROUND(N($J432)*N($R432),0))</f>
        <v/>
      </c>
      <c r="T432" s="26">
        <f>IF($D432="","",IF($K432&lt;&gt;"对外销售","",ROUND($Q432-$S432,0)))</f>
        <v/>
      </c>
      <c r="U432" s="17" t="n"/>
      <c r="V432" s="17" t="n"/>
      <c r="W432" s="24">
        <f>IF($D432="","",IF($E432="※编码不在物料档案里","※物料编码不在档案里",IF(N($J432)&lt;=0,"※出库数量要大于 0",IF($K432="","※没填去向类型",IF($L432="","※没填去向矿区",IF(AND($C432&lt;&gt;"",$C432&lt;=结账锁),"※日期早于已结账截止日，不能再录",IF(AND($K432="自用消耗",COUNTIF({"一矿区";"二矿区"},$L432)=0),"※自用消耗的去向只能是一矿区或二矿区",IF(AND($K432="对外销售",COUNTIF({"三矿区";"六矿区"},$L432)=0),"※对外销售的去向只能是三矿区或六矿区",IF(AND($K432="对外销售",ROUND($Q432,0)=0),"※外销却没有售价，请填实际售价",IF(AND($K432="对外销售",$T432&lt;&gt;"",$T432&lt;0),"※这一笔外销是亏的，请核对售价",IF(IFERROR(VLOOKUP($D432,库存台账!$A$5:$Y$1204,24,0),0)&lt;-0.001,"※这个物料账面已经变成负数了，查一下是不是漏记入库","")))))))))))</f>
        <v/>
      </c>
    </row>
    <row r="433">
      <c r="A433" s="24">
        <f>IF($D433="","",COUNTA($D$4:$D433))</f>
        <v/>
      </c>
      <c r="B433" s="17" t="n"/>
      <c r="C433" s="30" t="n"/>
      <c r="D433" s="17" t="n"/>
      <c r="E433" s="24">
        <f>IF($D433="","",IFERROR(VLOOKUP($D433,物料档案!$A$4:$P$1203,3,0),"※编码不在物料档案里"))</f>
        <v/>
      </c>
      <c r="F433" s="24">
        <f>IF($D433="","",IFERROR(VLOOKUP($D433,物料档案!$A$4:$P$1203,4,0),"※编码不在物料档案里"))</f>
        <v/>
      </c>
      <c r="G433" s="24">
        <f>IF($D433="","",IFERROR(VLOOKUP($D433,物料档案!$A$4:$P$1203,5,0),"※编码不在物料档案里"))</f>
        <v/>
      </c>
      <c r="H433" s="24">
        <f>IF($D433="","",IFERROR(VLOOKUP($D433,物料档案!$A$4:$P$1203,2,0),"※编码不在物料档案里"))</f>
        <v/>
      </c>
      <c r="I433" s="24">
        <f>IF($D433="","",IFERROR(VLOOKUP($D433,物料档案!$A$4:$P$1203,6,0),"※编码不在物料档案里"))</f>
        <v/>
      </c>
      <c r="J433" s="23" t="n"/>
      <c r="K433" s="17" t="n"/>
      <c r="L433" s="17" t="n"/>
      <c r="M433" s="17" t="n"/>
      <c r="N433" s="17" t="n"/>
      <c r="O433" s="26">
        <f>IF($D433="","",IFERROR(VLOOKUP($D433,物料档案!$A$4:$P$1203,10,0),0))</f>
        <v/>
      </c>
      <c r="P433" s="32" t="n"/>
      <c r="Q433" s="26">
        <f>IF($D433="","",IF($K433&lt;&gt;"对外销售",0,ROUND(N($J433)*IF($P433="",N($O433),N($P433)),0)))</f>
        <v/>
      </c>
      <c r="R433" s="26">
        <f>IF($D433="","",IFERROR(VLOOKUP($D433,库存台账!$A$5:$Y$1204,11,0),0))</f>
        <v/>
      </c>
      <c r="S433" s="26">
        <f>IF($D433="","",ROUND(N($J433)*N($R433),0))</f>
        <v/>
      </c>
      <c r="T433" s="26">
        <f>IF($D433="","",IF($K433&lt;&gt;"对外销售","",ROUND($Q433-$S433,0)))</f>
        <v/>
      </c>
      <c r="U433" s="17" t="n"/>
      <c r="V433" s="17" t="n"/>
      <c r="W433" s="24">
        <f>IF($D433="","",IF($E433="※编码不在物料档案里","※物料编码不在档案里",IF(N($J433)&lt;=0,"※出库数量要大于 0",IF($K433="","※没填去向类型",IF($L433="","※没填去向矿区",IF(AND($C433&lt;&gt;"",$C433&lt;=结账锁),"※日期早于已结账截止日，不能再录",IF(AND($K433="自用消耗",COUNTIF({"一矿区";"二矿区"},$L433)=0),"※自用消耗的去向只能是一矿区或二矿区",IF(AND($K433="对外销售",COUNTIF({"三矿区";"六矿区"},$L433)=0),"※对外销售的去向只能是三矿区或六矿区",IF(AND($K433="对外销售",ROUND($Q433,0)=0),"※外销却没有售价，请填实际售价",IF(AND($K433="对外销售",$T433&lt;&gt;"",$T433&lt;0),"※这一笔外销是亏的，请核对售价",IF(IFERROR(VLOOKUP($D433,库存台账!$A$5:$Y$1204,24,0),0)&lt;-0.001,"※这个物料账面已经变成负数了，查一下是不是漏记入库","")))))))))))</f>
        <v/>
      </c>
    </row>
    <row r="434">
      <c r="A434" s="24">
        <f>IF($D434="","",COUNTA($D$4:$D434))</f>
        <v/>
      </c>
      <c r="B434" s="17" t="n"/>
      <c r="C434" s="30" t="n"/>
      <c r="D434" s="17" t="n"/>
      <c r="E434" s="24">
        <f>IF($D434="","",IFERROR(VLOOKUP($D434,物料档案!$A$4:$P$1203,3,0),"※编码不在物料档案里"))</f>
        <v/>
      </c>
      <c r="F434" s="24">
        <f>IF($D434="","",IFERROR(VLOOKUP($D434,物料档案!$A$4:$P$1203,4,0),"※编码不在物料档案里"))</f>
        <v/>
      </c>
      <c r="G434" s="24">
        <f>IF($D434="","",IFERROR(VLOOKUP($D434,物料档案!$A$4:$P$1203,5,0),"※编码不在物料档案里"))</f>
        <v/>
      </c>
      <c r="H434" s="24">
        <f>IF($D434="","",IFERROR(VLOOKUP($D434,物料档案!$A$4:$P$1203,2,0),"※编码不在物料档案里"))</f>
        <v/>
      </c>
      <c r="I434" s="24">
        <f>IF($D434="","",IFERROR(VLOOKUP($D434,物料档案!$A$4:$P$1203,6,0),"※编码不在物料档案里"))</f>
        <v/>
      </c>
      <c r="J434" s="23" t="n"/>
      <c r="K434" s="17" t="n"/>
      <c r="L434" s="17" t="n"/>
      <c r="M434" s="17" t="n"/>
      <c r="N434" s="17" t="n"/>
      <c r="O434" s="26">
        <f>IF($D434="","",IFERROR(VLOOKUP($D434,物料档案!$A$4:$P$1203,10,0),0))</f>
        <v/>
      </c>
      <c r="P434" s="32" t="n"/>
      <c r="Q434" s="26">
        <f>IF($D434="","",IF($K434&lt;&gt;"对外销售",0,ROUND(N($J434)*IF($P434="",N($O434),N($P434)),0)))</f>
        <v/>
      </c>
      <c r="R434" s="26">
        <f>IF($D434="","",IFERROR(VLOOKUP($D434,库存台账!$A$5:$Y$1204,11,0),0))</f>
        <v/>
      </c>
      <c r="S434" s="26">
        <f>IF($D434="","",ROUND(N($J434)*N($R434),0))</f>
        <v/>
      </c>
      <c r="T434" s="26">
        <f>IF($D434="","",IF($K434&lt;&gt;"对外销售","",ROUND($Q434-$S434,0)))</f>
        <v/>
      </c>
      <c r="U434" s="17" t="n"/>
      <c r="V434" s="17" t="n"/>
      <c r="W434" s="24">
        <f>IF($D434="","",IF($E434="※编码不在物料档案里","※物料编码不在档案里",IF(N($J434)&lt;=0,"※出库数量要大于 0",IF($K434="","※没填去向类型",IF($L434="","※没填去向矿区",IF(AND($C434&lt;&gt;"",$C434&lt;=结账锁),"※日期早于已结账截止日，不能再录",IF(AND($K434="自用消耗",COUNTIF({"一矿区";"二矿区"},$L434)=0),"※自用消耗的去向只能是一矿区或二矿区",IF(AND($K434="对外销售",COUNTIF({"三矿区";"六矿区"},$L434)=0),"※对外销售的去向只能是三矿区或六矿区",IF(AND($K434="对外销售",ROUND($Q434,0)=0),"※外销却没有售价，请填实际售价",IF(AND($K434="对外销售",$T434&lt;&gt;"",$T434&lt;0),"※这一笔外销是亏的，请核对售价",IF(IFERROR(VLOOKUP($D434,库存台账!$A$5:$Y$1204,24,0),0)&lt;-0.001,"※这个物料账面已经变成负数了，查一下是不是漏记入库","")))))))))))</f>
        <v/>
      </c>
    </row>
    <row r="435">
      <c r="A435" s="24">
        <f>IF($D435="","",COUNTA($D$4:$D435))</f>
        <v/>
      </c>
      <c r="B435" s="17" t="n"/>
      <c r="C435" s="30" t="n"/>
      <c r="D435" s="17" t="n"/>
      <c r="E435" s="24">
        <f>IF($D435="","",IFERROR(VLOOKUP($D435,物料档案!$A$4:$P$1203,3,0),"※编码不在物料档案里"))</f>
        <v/>
      </c>
      <c r="F435" s="24">
        <f>IF($D435="","",IFERROR(VLOOKUP($D435,物料档案!$A$4:$P$1203,4,0),"※编码不在物料档案里"))</f>
        <v/>
      </c>
      <c r="G435" s="24">
        <f>IF($D435="","",IFERROR(VLOOKUP($D435,物料档案!$A$4:$P$1203,5,0),"※编码不在物料档案里"))</f>
        <v/>
      </c>
      <c r="H435" s="24">
        <f>IF($D435="","",IFERROR(VLOOKUP($D435,物料档案!$A$4:$P$1203,2,0),"※编码不在物料档案里"))</f>
        <v/>
      </c>
      <c r="I435" s="24">
        <f>IF($D435="","",IFERROR(VLOOKUP($D435,物料档案!$A$4:$P$1203,6,0),"※编码不在物料档案里"))</f>
        <v/>
      </c>
      <c r="J435" s="23" t="n"/>
      <c r="K435" s="17" t="n"/>
      <c r="L435" s="17" t="n"/>
      <c r="M435" s="17" t="n"/>
      <c r="N435" s="17" t="n"/>
      <c r="O435" s="26">
        <f>IF($D435="","",IFERROR(VLOOKUP($D435,物料档案!$A$4:$P$1203,10,0),0))</f>
        <v/>
      </c>
      <c r="P435" s="32" t="n"/>
      <c r="Q435" s="26">
        <f>IF($D435="","",IF($K435&lt;&gt;"对外销售",0,ROUND(N($J435)*IF($P435="",N($O435),N($P435)),0)))</f>
        <v/>
      </c>
      <c r="R435" s="26">
        <f>IF($D435="","",IFERROR(VLOOKUP($D435,库存台账!$A$5:$Y$1204,11,0),0))</f>
        <v/>
      </c>
      <c r="S435" s="26">
        <f>IF($D435="","",ROUND(N($J435)*N($R435),0))</f>
        <v/>
      </c>
      <c r="T435" s="26">
        <f>IF($D435="","",IF($K435&lt;&gt;"对外销售","",ROUND($Q435-$S435,0)))</f>
        <v/>
      </c>
      <c r="U435" s="17" t="n"/>
      <c r="V435" s="17" t="n"/>
      <c r="W435" s="24">
        <f>IF($D435="","",IF($E435="※编码不在物料档案里","※物料编码不在档案里",IF(N($J435)&lt;=0,"※出库数量要大于 0",IF($K435="","※没填去向类型",IF($L435="","※没填去向矿区",IF(AND($C435&lt;&gt;"",$C435&lt;=结账锁),"※日期早于已结账截止日，不能再录",IF(AND($K435="自用消耗",COUNTIF({"一矿区";"二矿区"},$L435)=0),"※自用消耗的去向只能是一矿区或二矿区",IF(AND($K435="对外销售",COUNTIF({"三矿区";"六矿区"},$L435)=0),"※对外销售的去向只能是三矿区或六矿区",IF(AND($K435="对外销售",ROUND($Q435,0)=0),"※外销却没有售价，请填实际售价",IF(AND($K435="对外销售",$T435&lt;&gt;"",$T435&lt;0),"※这一笔外销是亏的，请核对售价",IF(IFERROR(VLOOKUP($D435,库存台账!$A$5:$Y$1204,24,0),0)&lt;-0.001,"※这个物料账面已经变成负数了，查一下是不是漏记入库","")))))))))))</f>
        <v/>
      </c>
    </row>
    <row r="436">
      <c r="A436" s="24">
        <f>IF($D436="","",COUNTA($D$4:$D436))</f>
        <v/>
      </c>
      <c r="B436" s="17" t="n"/>
      <c r="C436" s="30" t="n"/>
      <c r="D436" s="17" t="n"/>
      <c r="E436" s="24">
        <f>IF($D436="","",IFERROR(VLOOKUP($D436,物料档案!$A$4:$P$1203,3,0),"※编码不在物料档案里"))</f>
        <v/>
      </c>
      <c r="F436" s="24">
        <f>IF($D436="","",IFERROR(VLOOKUP($D436,物料档案!$A$4:$P$1203,4,0),"※编码不在物料档案里"))</f>
        <v/>
      </c>
      <c r="G436" s="24">
        <f>IF($D436="","",IFERROR(VLOOKUP($D436,物料档案!$A$4:$P$1203,5,0),"※编码不在物料档案里"))</f>
        <v/>
      </c>
      <c r="H436" s="24">
        <f>IF($D436="","",IFERROR(VLOOKUP($D436,物料档案!$A$4:$P$1203,2,0),"※编码不在物料档案里"))</f>
        <v/>
      </c>
      <c r="I436" s="24">
        <f>IF($D436="","",IFERROR(VLOOKUP($D436,物料档案!$A$4:$P$1203,6,0),"※编码不在物料档案里"))</f>
        <v/>
      </c>
      <c r="J436" s="23" t="n"/>
      <c r="K436" s="17" t="n"/>
      <c r="L436" s="17" t="n"/>
      <c r="M436" s="17" t="n"/>
      <c r="N436" s="17" t="n"/>
      <c r="O436" s="26">
        <f>IF($D436="","",IFERROR(VLOOKUP($D436,物料档案!$A$4:$P$1203,10,0),0))</f>
        <v/>
      </c>
      <c r="P436" s="32" t="n"/>
      <c r="Q436" s="26">
        <f>IF($D436="","",IF($K436&lt;&gt;"对外销售",0,ROUND(N($J436)*IF($P436="",N($O436),N($P436)),0)))</f>
        <v/>
      </c>
      <c r="R436" s="26">
        <f>IF($D436="","",IFERROR(VLOOKUP($D436,库存台账!$A$5:$Y$1204,11,0),0))</f>
        <v/>
      </c>
      <c r="S436" s="26">
        <f>IF($D436="","",ROUND(N($J436)*N($R436),0))</f>
        <v/>
      </c>
      <c r="T436" s="26">
        <f>IF($D436="","",IF($K436&lt;&gt;"对外销售","",ROUND($Q436-$S436,0)))</f>
        <v/>
      </c>
      <c r="U436" s="17" t="n"/>
      <c r="V436" s="17" t="n"/>
      <c r="W436" s="24">
        <f>IF($D436="","",IF($E436="※编码不在物料档案里","※物料编码不在档案里",IF(N($J436)&lt;=0,"※出库数量要大于 0",IF($K436="","※没填去向类型",IF($L436="","※没填去向矿区",IF(AND($C436&lt;&gt;"",$C436&lt;=结账锁),"※日期早于已结账截止日，不能再录",IF(AND($K436="自用消耗",COUNTIF({"一矿区";"二矿区"},$L436)=0),"※自用消耗的去向只能是一矿区或二矿区",IF(AND($K436="对外销售",COUNTIF({"三矿区";"六矿区"},$L436)=0),"※对外销售的去向只能是三矿区或六矿区",IF(AND($K436="对外销售",ROUND($Q436,0)=0),"※外销却没有售价，请填实际售价",IF(AND($K436="对外销售",$T436&lt;&gt;"",$T436&lt;0),"※这一笔外销是亏的，请核对售价",IF(IFERROR(VLOOKUP($D436,库存台账!$A$5:$Y$1204,24,0),0)&lt;-0.001,"※这个物料账面已经变成负数了，查一下是不是漏记入库","")))))))))))</f>
        <v/>
      </c>
    </row>
    <row r="437">
      <c r="A437" s="24">
        <f>IF($D437="","",COUNTA($D$4:$D437))</f>
        <v/>
      </c>
      <c r="B437" s="17" t="n"/>
      <c r="C437" s="30" t="n"/>
      <c r="D437" s="17" t="n"/>
      <c r="E437" s="24">
        <f>IF($D437="","",IFERROR(VLOOKUP($D437,物料档案!$A$4:$P$1203,3,0),"※编码不在物料档案里"))</f>
        <v/>
      </c>
      <c r="F437" s="24">
        <f>IF($D437="","",IFERROR(VLOOKUP($D437,物料档案!$A$4:$P$1203,4,0),"※编码不在物料档案里"))</f>
        <v/>
      </c>
      <c r="G437" s="24">
        <f>IF($D437="","",IFERROR(VLOOKUP($D437,物料档案!$A$4:$P$1203,5,0),"※编码不在物料档案里"))</f>
        <v/>
      </c>
      <c r="H437" s="24">
        <f>IF($D437="","",IFERROR(VLOOKUP($D437,物料档案!$A$4:$P$1203,2,0),"※编码不在物料档案里"))</f>
        <v/>
      </c>
      <c r="I437" s="24">
        <f>IF($D437="","",IFERROR(VLOOKUP($D437,物料档案!$A$4:$P$1203,6,0),"※编码不在物料档案里"))</f>
        <v/>
      </c>
      <c r="J437" s="23" t="n"/>
      <c r="K437" s="17" t="n"/>
      <c r="L437" s="17" t="n"/>
      <c r="M437" s="17" t="n"/>
      <c r="N437" s="17" t="n"/>
      <c r="O437" s="26">
        <f>IF($D437="","",IFERROR(VLOOKUP($D437,物料档案!$A$4:$P$1203,10,0),0))</f>
        <v/>
      </c>
      <c r="P437" s="32" t="n"/>
      <c r="Q437" s="26">
        <f>IF($D437="","",IF($K437&lt;&gt;"对外销售",0,ROUND(N($J437)*IF($P437="",N($O437),N($P437)),0)))</f>
        <v/>
      </c>
      <c r="R437" s="26">
        <f>IF($D437="","",IFERROR(VLOOKUP($D437,库存台账!$A$5:$Y$1204,11,0),0))</f>
        <v/>
      </c>
      <c r="S437" s="26">
        <f>IF($D437="","",ROUND(N($J437)*N($R437),0))</f>
        <v/>
      </c>
      <c r="T437" s="26">
        <f>IF($D437="","",IF($K437&lt;&gt;"对外销售","",ROUND($Q437-$S437,0)))</f>
        <v/>
      </c>
      <c r="U437" s="17" t="n"/>
      <c r="V437" s="17" t="n"/>
      <c r="W437" s="24">
        <f>IF($D437="","",IF($E437="※编码不在物料档案里","※物料编码不在档案里",IF(N($J437)&lt;=0,"※出库数量要大于 0",IF($K437="","※没填去向类型",IF($L437="","※没填去向矿区",IF(AND($C437&lt;&gt;"",$C437&lt;=结账锁),"※日期早于已结账截止日，不能再录",IF(AND($K437="自用消耗",COUNTIF({"一矿区";"二矿区"},$L437)=0),"※自用消耗的去向只能是一矿区或二矿区",IF(AND($K437="对外销售",COUNTIF({"三矿区";"六矿区"},$L437)=0),"※对外销售的去向只能是三矿区或六矿区",IF(AND($K437="对外销售",ROUND($Q437,0)=0),"※外销却没有售价，请填实际售价",IF(AND($K437="对外销售",$T437&lt;&gt;"",$T437&lt;0),"※这一笔外销是亏的，请核对售价",IF(IFERROR(VLOOKUP($D437,库存台账!$A$5:$Y$1204,24,0),0)&lt;-0.001,"※这个物料账面已经变成负数了，查一下是不是漏记入库","")))))))))))</f>
        <v/>
      </c>
    </row>
    <row r="438">
      <c r="A438" s="24">
        <f>IF($D438="","",COUNTA($D$4:$D438))</f>
        <v/>
      </c>
      <c r="B438" s="17" t="n"/>
      <c r="C438" s="30" t="n"/>
      <c r="D438" s="17" t="n"/>
      <c r="E438" s="24">
        <f>IF($D438="","",IFERROR(VLOOKUP($D438,物料档案!$A$4:$P$1203,3,0),"※编码不在物料档案里"))</f>
        <v/>
      </c>
      <c r="F438" s="24">
        <f>IF($D438="","",IFERROR(VLOOKUP($D438,物料档案!$A$4:$P$1203,4,0),"※编码不在物料档案里"))</f>
        <v/>
      </c>
      <c r="G438" s="24">
        <f>IF($D438="","",IFERROR(VLOOKUP($D438,物料档案!$A$4:$P$1203,5,0),"※编码不在物料档案里"))</f>
        <v/>
      </c>
      <c r="H438" s="24">
        <f>IF($D438="","",IFERROR(VLOOKUP($D438,物料档案!$A$4:$P$1203,2,0),"※编码不在物料档案里"))</f>
        <v/>
      </c>
      <c r="I438" s="24">
        <f>IF($D438="","",IFERROR(VLOOKUP($D438,物料档案!$A$4:$P$1203,6,0),"※编码不在物料档案里"))</f>
        <v/>
      </c>
      <c r="J438" s="23" t="n"/>
      <c r="K438" s="17" t="n"/>
      <c r="L438" s="17" t="n"/>
      <c r="M438" s="17" t="n"/>
      <c r="N438" s="17" t="n"/>
      <c r="O438" s="26">
        <f>IF($D438="","",IFERROR(VLOOKUP($D438,物料档案!$A$4:$P$1203,10,0),0))</f>
        <v/>
      </c>
      <c r="P438" s="32" t="n"/>
      <c r="Q438" s="26">
        <f>IF($D438="","",IF($K438&lt;&gt;"对外销售",0,ROUND(N($J438)*IF($P438="",N($O438),N($P438)),0)))</f>
        <v/>
      </c>
      <c r="R438" s="26">
        <f>IF($D438="","",IFERROR(VLOOKUP($D438,库存台账!$A$5:$Y$1204,11,0),0))</f>
        <v/>
      </c>
      <c r="S438" s="26">
        <f>IF($D438="","",ROUND(N($J438)*N($R438),0))</f>
        <v/>
      </c>
      <c r="T438" s="26">
        <f>IF($D438="","",IF($K438&lt;&gt;"对外销售","",ROUND($Q438-$S438,0)))</f>
        <v/>
      </c>
      <c r="U438" s="17" t="n"/>
      <c r="V438" s="17" t="n"/>
      <c r="W438" s="24">
        <f>IF($D438="","",IF($E438="※编码不在物料档案里","※物料编码不在档案里",IF(N($J438)&lt;=0,"※出库数量要大于 0",IF($K438="","※没填去向类型",IF($L438="","※没填去向矿区",IF(AND($C438&lt;&gt;"",$C438&lt;=结账锁),"※日期早于已结账截止日，不能再录",IF(AND($K438="自用消耗",COUNTIF({"一矿区";"二矿区"},$L438)=0),"※自用消耗的去向只能是一矿区或二矿区",IF(AND($K438="对外销售",COUNTIF({"三矿区";"六矿区"},$L438)=0),"※对外销售的去向只能是三矿区或六矿区",IF(AND($K438="对外销售",ROUND($Q438,0)=0),"※外销却没有售价，请填实际售价",IF(AND($K438="对外销售",$T438&lt;&gt;"",$T438&lt;0),"※这一笔外销是亏的，请核对售价",IF(IFERROR(VLOOKUP($D438,库存台账!$A$5:$Y$1204,24,0),0)&lt;-0.001,"※这个物料账面已经变成负数了，查一下是不是漏记入库","")))))))))))</f>
        <v/>
      </c>
    </row>
    <row r="439">
      <c r="A439" s="24">
        <f>IF($D439="","",COUNTA($D$4:$D439))</f>
        <v/>
      </c>
      <c r="B439" s="17" t="n"/>
      <c r="C439" s="30" t="n"/>
      <c r="D439" s="17" t="n"/>
      <c r="E439" s="24">
        <f>IF($D439="","",IFERROR(VLOOKUP($D439,物料档案!$A$4:$P$1203,3,0),"※编码不在物料档案里"))</f>
        <v/>
      </c>
      <c r="F439" s="24">
        <f>IF($D439="","",IFERROR(VLOOKUP($D439,物料档案!$A$4:$P$1203,4,0),"※编码不在物料档案里"))</f>
        <v/>
      </c>
      <c r="G439" s="24">
        <f>IF($D439="","",IFERROR(VLOOKUP($D439,物料档案!$A$4:$P$1203,5,0),"※编码不在物料档案里"))</f>
        <v/>
      </c>
      <c r="H439" s="24">
        <f>IF($D439="","",IFERROR(VLOOKUP($D439,物料档案!$A$4:$P$1203,2,0),"※编码不在物料档案里"))</f>
        <v/>
      </c>
      <c r="I439" s="24">
        <f>IF($D439="","",IFERROR(VLOOKUP($D439,物料档案!$A$4:$P$1203,6,0),"※编码不在物料档案里"))</f>
        <v/>
      </c>
      <c r="J439" s="23" t="n"/>
      <c r="K439" s="17" t="n"/>
      <c r="L439" s="17" t="n"/>
      <c r="M439" s="17" t="n"/>
      <c r="N439" s="17" t="n"/>
      <c r="O439" s="26">
        <f>IF($D439="","",IFERROR(VLOOKUP($D439,物料档案!$A$4:$P$1203,10,0),0))</f>
        <v/>
      </c>
      <c r="P439" s="32" t="n"/>
      <c r="Q439" s="26">
        <f>IF($D439="","",IF($K439&lt;&gt;"对外销售",0,ROUND(N($J439)*IF($P439="",N($O439),N($P439)),0)))</f>
        <v/>
      </c>
      <c r="R439" s="26">
        <f>IF($D439="","",IFERROR(VLOOKUP($D439,库存台账!$A$5:$Y$1204,11,0),0))</f>
        <v/>
      </c>
      <c r="S439" s="26">
        <f>IF($D439="","",ROUND(N($J439)*N($R439),0))</f>
        <v/>
      </c>
      <c r="T439" s="26">
        <f>IF($D439="","",IF($K439&lt;&gt;"对外销售","",ROUND($Q439-$S439,0)))</f>
        <v/>
      </c>
      <c r="U439" s="17" t="n"/>
      <c r="V439" s="17" t="n"/>
      <c r="W439" s="24">
        <f>IF($D439="","",IF($E439="※编码不在物料档案里","※物料编码不在档案里",IF(N($J439)&lt;=0,"※出库数量要大于 0",IF($K439="","※没填去向类型",IF($L439="","※没填去向矿区",IF(AND($C439&lt;&gt;"",$C439&lt;=结账锁),"※日期早于已结账截止日，不能再录",IF(AND($K439="自用消耗",COUNTIF({"一矿区";"二矿区"},$L439)=0),"※自用消耗的去向只能是一矿区或二矿区",IF(AND($K439="对外销售",COUNTIF({"三矿区";"六矿区"},$L439)=0),"※对外销售的去向只能是三矿区或六矿区",IF(AND($K439="对外销售",ROUND($Q439,0)=0),"※外销却没有售价，请填实际售价",IF(AND($K439="对外销售",$T439&lt;&gt;"",$T439&lt;0),"※这一笔外销是亏的，请核对售价",IF(IFERROR(VLOOKUP($D439,库存台账!$A$5:$Y$1204,24,0),0)&lt;-0.001,"※这个物料账面已经变成负数了，查一下是不是漏记入库","")))))))))))</f>
        <v/>
      </c>
    </row>
    <row r="440">
      <c r="A440" s="24">
        <f>IF($D440="","",COUNTA($D$4:$D440))</f>
        <v/>
      </c>
      <c r="B440" s="17" t="n"/>
      <c r="C440" s="30" t="n"/>
      <c r="D440" s="17" t="n"/>
      <c r="E440" s="24">
        <f>IF($D440="","",IFERROR(VLOOKUP($D440,物料档案!$A$4:$P$1203,3,0),"※编码不在物料档案里"))</f>
        <v/>
      </c>
      <c r="F440" s="24">
        <f>IF($D440="","",IFERROR(VLOOKUP($D440,物料档案!$A$4:$P$1203,4,0),"※编码不在物料档案里"))</f>
        <v/>
      </c>
      <c r="G440" s="24">
        <f>IF($D440="","",IFERROR(VLOOKUP($D440,物料档案!$A$4:$P$1203,5,0),"※编码不在物料档案里"))</f>
        <v/>
      </c>
      <c r="H440" s="24">
        <f>IF($D440="","",IFERROR(VLOOKUP($D440,物料档案!$A$4:$P$1203,2,0),"※编码不在物料档案里"))</f>
        <v/>
      </c>
      <c r="I440" s="24">
        <f>IF($D440="","",IFERROR(VLOOKUP($D440,物料档案!$A$4:$P$1203,6,0),"※编码不在物料档案里"))</f>
        <v/>
      </c>
      <c r="J440" s="23" t="n"/>
      <c r="K440" s="17" t="n"/>
      <c r="L440" s="17" t="n"/>
      <c r="M440" s="17" t="n"/>
      <c r="N440" s="17" t="n"/>
      <c r="O440" s="26">
        <f>IF($D440="","",IFERROR(VLOOKUP($D440,物料档案!$A$4:$P$1203,10,0),0))</f>
        <v/>
      </c>
      <c r="P440" s="32" t="n"/>
      <c r="Q440" s="26">
        <f>IF($D440="","",IF($K440&lt;&gt;"对外销售",0,ROUND(N($J440)*IF($P440="",N($O440),N($P440)),0)))</f>
        <v/>
      </c>
      <c r="R440" s="26">
        <f>IF($D440="","",IFERROR(VLOOKUP($D440,库存台账!$A$5:$Y$1204,11,0),0))</f>
        <v/>
      </c>
      <c r="S440" s="26">
        <f>IF($D440="","",ROUND(N($J440)*N($R440),0))</f>
        <v/>
      </c>
      <c r="T440" s="26">
        <f>IF($D440="","",IF($K440&lt;&gt;"对外销售","",ROUND($Q440-$S440,0)))</f>
        <v/>
      </c>
      <c r="U440" s="17" t="n"/>
      <c r="V440" s="17" t="n"/>
      <c r="W440" s="24">
        <f>IF($D440="","",IF($E440="※编码不在物料档案里","※物料编码不在档案里",IF(N($J440)&lt;=0,"※出库数量要大于 0",IF($K440="","※没填去向类型",IF($L440="","※没填去向矿区",IF(AND($C440&lt;&gt;"",$C440&lt;=结账锁),"※日期早于已结账截止日，不能再录",IF(AND($K440="自用消耗",COUNTIF({"一矿区";"二矿区"},$L440)=0),"※自用消耗的去向只能是一矿区或二矿区",IF(AND($K440="对外销售",COUNTIF({"三矿区";"六矿区"},$L440)=0),"※对外销售的去向只能是三矿区或六矿区",IF(AND($K440="对外销售",ROUND($Q440,0)=0),"※外销却没有售价，请填实际售价",IF(AND($K440="对外销售",$T440&lt;&gt;"",$T440&lt;0),"※这一笔外销是亏的，请核对售价",IF(IFERROR(VLOOKUP($D440,库存台账!$A$5:$Y$1204,24,0),0)&lt;-0.001,"※这个物料账面已经变成负数了，查一下是不是漏记入库","")))))))))))</f>
        <v/>
      </c>
    </row>
    <row r="441">
      <c r="A441" s="24">
        <f>IF($D441="","",COUNTA($D$4:$D441))</f>
        <v/>
      </c>
      <c r="B441" s="17" t="n"/>
      <c r="C441" s="30" t="n"/>
      <c r="D441" s="17" t="n"/>
      <c r="E441" s="24">
        <f>IF($D441="","",IFERROR(VLOOKUP($D441,物料档案!$A$4:$P$1203,3,0),"※编码不在物料档案里"))</f>
        <v/>
      </c>
      <c r="F441" s="24">
        <f>IF($D441="","",IFERROR(VLOOKUP($D441,物料档案!$A$4:$P$1203,4,0),"※编码不在物料档案里"))</f>
        <v/>
      </c>
      <c r="G441" s="24">
        <f>IF($D441="","",IFERROR(VLOOKUP($D441,物料档案!$A$4:$P$1203,5,0),"※编码不在物料档案里"))</f>
        <v/>
      </c>
      <c r="H441" s="24">
        <f>IF($D441="","",IFERROR(VLOOKUP($D441,物料档案!$A$4:$P$1203,2,0),"※编码不在物料档案里"))</f>
        <v/>
      </c>
      <c r="I441" s="24">
        <f>IF($D441="","",IFERROR(VLOOKUP($D441,物料档案!$A$4:$P$1203,6,0),"※编码不在物料档案里"))</f>
        <v/>
      </c>
      <c r="J441" s="23" t="n"/>
      <c r="K441" s="17" t="n"/>
      <c r="L441" s="17" t="n"/>
      <c r="M441" s="17" t="n"/>
      <c r="N441" s="17" t="n"/>
      <c r="O441" s="26">
        <f>IF($D441="","",IFERROR(VLOOKUP($D441,物料档案!$A$4:$P$1203,10,0),0))</f>
        <v/>
      </c>
      <c r="P441" s="32" t="n"/>
      <c r="Q441" s="26">
        <f>IF($D441="","",IF($K441&lt;&gt;"对外销售",0,ROUND(N($J441)*IF($P441="",N($O441),N($P441)),0)))</f>
        <v/>
      </c>
      <c r="R441" s="26">
        <f>IF($D441="","",IFERROR(VLOOKUP($D441,库存台账!$A$5:$Y$1204,11,0),0))</f>
        <v/>
      </c>
      <c r="S441" s="26">
        <f>IF($D441="","",ROUND(N($J441)*N($R441),0))</f>
        <v/>
      </c>
      <c r="T441" s="26">
        <f>IF($D441="","",IF($K441&lt;&gt;"对外销售","",ROUND($Q441-$S441,0)))</f>
        <v/>
      </c>
      <c r="U441" s="17" t="n"/>
      <c r="V441" s="17" t="n"/>
      <c r="W441" s="24">
        <f>IF($D441="","",IF($E441="※编码不在物料档案里","※物料编码不在档案里",IF(N($J441)&lt;=0,"※出库数量要大于 0",IF($K441="","※没填去向类型",IF($L441="","※没填去向矿区",IF(AND($C441&lt;&gt;"",$C441&lt;=结账锁),"※日期早于已结账截止日，不能再录",IF(AND($K441="自用消耗",COUNTIF({"一矿区";"二矿区"},$L441)=0),"※自用消耗的去向只能是一矿区或二矿区",IF(AND($K441="对外销售",COUNTIF({"三矿区";"六矿区"},$L441)=0),"※对外销售的去向只能是三矿区或六矿区",IF(AND($K441="对外销售",ROUND($Q441,0)=0),"※外销却没有售价，请填实际售价",IF(AND($K441="对外销售",$T441&lt;&gt;"",$T441&lt;0),"※这一笔外销是亏的，请核对售价",IF(IFERROR(VLOOKUP($D441,库存台账!$A$5:$Y$1204,24,0),0)&lt;-0.001,"※这个物料账面已经变成负数了，查一下是不是漏记入库","")))))))))))</f>
        <v/>
      </c>
    </row>
    <row r="442">
      <c r="A442" s="24">
        <f>IF($D442="","",COUNTA($D$4:$D442))</f>
        <v/>
      </c>
      <c r="B442" s="17" t="n"/>
      <c r="C442" s="30" t="n"/>
      <c r="D442" s="17" t="n"/>
      <c r="E442" s="24">
        <f>IF($D442="","",IFERROR(VLOOKUP($D442,物料档案!$A$4:$P$1203,3,0),"※编码不在物料档案里"))</f>
        <v/>
      </c>
      <c r="F442" s="24">
        <f>IF($D442="","",IFERROR(VLOOKUP($D442,物料档案!$A$4:$P$1203,4,0),"※编码不在物料档案里"))</f>
        <v/>
      </c>
      <c r="G442" s="24">
        <f>IF($D442="","",IFERROR(VLOOKUP($D442,物料档案!$A$4:$P$1203,5,0),"※编码不在物料档案里"))</f>
        <v/>
      </c>
      <c r="H442" s="24">
        <f>IF($D442="","",IFERROR(VLOOKUP($D442,物料档案!$A$4:$P$1203,2,0),"※编码不在物料档案里"))</f>
        <v/>
      </c>
      <c r="I442" s="24">
        <f>IF($D442="","",IFERROR(VLOOKUP($D442,物料档案!$A$4:$P$1203,6,0),"※编码不在物料档案里"))</f>
        <v/>
      </c>
      <c r="J442" s="23" t="n"/>
      <c r="K442" s="17" t="n"/>
      <c r="L442" s="17" t="n"/>
      <c r="M442" s="17" t="n"/>
      <c r="N442" s="17" t="n"/>
      <c r="O442" s="26">
        <f>IF($D442="","",IFERROR(VLOOKUP($D442,物料档案!$A$4:$P$1203,10,0),0))</f>
        <v/>
      </c>
      <c r="P442" s="32" t="n"/>
      <c r="Q442" s="26">
        <f>IF($D442="","",IF($K442&lt;&gt;"对外销售",0,ROUND(N($J442)*IF($P442="",N($O442),N($P442)),0)))</f>
        <v/>
      </c>
      <c r="R442" s="26">
        <f>IF($D442="","",IFERROR(VLOOKUP($D442,库存台账!$A$5:$Y$1204,11,0),0))</f>
        <v/>
      </c>
      <c r="S442" s="26">
        <f>IF($D442="","",ROUND(N($J442)*N($R442),0))</f>
        <v/>
      </c>
      <c r="T442" s="26">
        <f>IF($D442="","",IF($K442&lt;&gt;"对外销售","",ROUND($Q442-$S442,0)))</f>
        <v/>
      </c>
      <c r="U442" s="17" t="n"/>
      <c r="V442" s="17" t="n"/>
      <c r="W442" s="24">
        <f>IF($D442="","",IF($E442="※编码不在物料档案里","※物料编码不在档案里",IF(N($J442)&lt;=0,"※出库数量要大于 0",IF($K442="","※没填去向类型",IF($L442="","※没填去向矿区",IF(AND($C442&lt;&gt;"",$C442&lt;=结账锁),"※日期早于已结账截止日，不能再录",IF(AND($K442="自用消耗",COUNTIF({"一矿区";"二矿区"},$L442)=0),"※自用消耗的去向只能是一矿区或二矿区",IF(AND($K442="对外销售",COUNTIF({"三矿区";"六矿区"},$L442)=0),"※对外销售的去向只能是三矿区或六矿区",IF(AND($K442="对外销售",ROUND($Q442,0)=0),"※外销却没有售价，请填实际售价",IF(AND($K442="对外销售",$T442&lt;&gt;"",$T442&lt;0),"※这一笔外销是亏的，请核对售价",IF(IFERROR(VLOOKUP($D442,库存台账!$A$5:$Y$1204,24,0),0)&lt;-0.001,"※这个物料账面已经变成负数了，查一下是不是漏记入库","")))))))))))</f>
        <v/>
      </c>
    </row>
    <row r="443">
      <c r="A443" s="24">
        <f>IF($D443="","",COUNTA($D$4:$D443))</f>
        <v/>
      </c>
      <c r="B443" s="17" t="n"/>
      <c r="C443" s="30" t="n"/>
      <c r="D443" s="17" t="n"/>
      <c r="E443" s="24">
        <f>IF($D443="","",IFERROR(VLOOKUP($D443,物料档案!$A$4:$P$1203,3,0),"※编码不在物料档案里"))</f>
        <v/>
      </c>
      <c r="F443" s="24">
        <f>IF($D443="","",IFERROR(VLOOKUP($D443,物料档案!$A$4:$P$1203,4,0),"※编码不在物料档案里"))</f>
        <v/>
      </c>
      <c r="G443" s="24">
        <f>IF($D443="","",IFERROR(VLOOKUP($D443,物料档案!$A$4:$P$1203,5,0),"※编码不在物料档案里"))</f>
        <v/>
      </c>
      <c r="H443" s="24">
        <f>IF($D443="","",IFERROR(VLOOKUP($D443,物料档案!$A$4:$P$1203,2,0),"※编码不在物料档案里"))</f>
        <v/>
      </c>
      <c r="I443" s="24">
        <f>IF($D443="","",IFERROR(VLOOKUP($D443,物料档案!$A$4:$P$1203,6,0),"※编码不在物料档案里"))</f>
        <v/>
      </c>
      <c r="J443" s="23" t="n"/>
      <c r="K443" s="17" t="n"/>
      <c r="L443" s="17" t="n"/>
      <c r="M443" s="17" t="n"/>
      <c r="N443" s="17" t="n"/>
      <c r="O443" s="26">
        <f>IF($D443="","",IFERROR(VLOOKUP($D443,物料档案!$A$4:$P$1203,10,0),0))</f>
        <v/>
      </c>
      <c r="P443" s="32" t="n"/>
      <c r="Q443" s="26">
        <f>IF($D443="","",IF($K443&lt;&gt;"对外销售",0,ROUND(N($J443)*IF($P443="",N($O443),N($P443)),0)))</f>
        <v/>
      </c>
      <c r="R443" s="26">
        <f>IF($D443="","",IFERROR(VLOOKUP($D443,库存台账!$A$5:$Y$1204,11,0),0))</f>
        <v/>
      </c>
      <c r="S443" s="26">
        <f>IF($D443="","",ROUND(N($J443)*N($R443),0))</f>
        <v/>
      </c>
      <c r="T443" s="26">
        <f>IF($D443="","",IF($K443&lt;&gt;"对外销售","",ROUND($Q443-$S443,0)))</f>
        <v/>
      </c>
      <c r="U443" s="17" t="n"/>
      <c r="V443" s="17" t="n"/>
      <c r="W443" s="24">
        <f>IF($D443="","",IF($E443="※编码不在物料档案里","※物料编码不在档案里",IF(N($J443)&lt;=0,"※出库数量要大于 0",IF($K443="","※没填去向类型",IF($L443="","※没填去向矿区",IF(AND($C443&lt;&gt;"",$C443&lt;=结账锁),"※日期早于已结账截止日，不能再录",IF(AND($K443="自用消耗",COUNTIF({"一矿区";"二矿区"},$L443)=0),"※自用消耗的去向只能是一矿区或二矿区",IF(AND($K443="对外销售",COUNTIF({"三矿区";"六矿区"},$L443)=0),"※对外销售的去向只能是三矿区或六矿区",IF(AND($K443="对外销售",ROUND($Q443,0)=0),"※外销却没有售价，请填实际售价",IF(AND($K443="对外销售",$T443&lt;&gt;"",$T443&lt;0),"※这一笔外销是亏的，请核对售价",IF(IFERROR(VLOOKUP($D443,库存台账!$A$5:$Y$1204,24,0),0)&lt;-0.001,"※这个物料账面已经变成负数了，查一下是不是漏记入库","")))))))))))</f>
        <v/>
      </c>
    </row>
    <row r="444">
      <c r="A444" s="24">
        <f>IF($D444="","",COUNTA($D$4:$D444))</f>
        <v/>
      </c>
      <c r="B444" s="17" t="n"/>
      <c r="C444" s="30" t="n"/>
      <c r="D444" s="17" t="n"/>
      <c r="E444" s="24">
        <f>IF($D444="","",IFERROR(VLOOKUP($D444,物料档案!$A$4:$P$1203,3,0),"※编码不在物料档案里"))</f>
        <v/>
      </c>
      <c r="F444" s="24">
        <f>IF($D444="","",IFERROR(VLOOKUP($D444,物料档案!$A$4:$P$1203,4,0),"※编码不在物料档案里"))</f>
        <v/>
      </c>
      <c r="G444" s="24">
        <f>IF($D444="","",IFERROR(VLOOKUP($D444,物料档案!$A$4:$P$1203,5,0),"※编码不在物料档案里"))</f>
        <v/>
      </c>
      <c r="H444" s="24">
        <f>IF($D444="","",IFERROR(VLOOKUP($D444,物料档案!$A$4:$P$1203,2,0),"※编码不在物料档案里"))</f>
        <v/>
      </c>
      <c r="I444" s="24">
        <f>IF($D444="","",IFERROR(VLOOKUP($D444,物料档案!$A$4:$P$1203,6,0),"※编码不在物料档案里"))</f>
        <v/>
      </c>
      <c r="J444" s="23" t="n"/>
      <c r="K444" s="17" t="n"/>
      <c r="L444" s="17" t="n"/>
      <c r="M444" s="17" t="n"/>
      <c r="N444" s="17" t="n"/>
      <c r="O444" s="26">
        <f>IF($D444="","",IFERROR(VLOOKUP($D444,物料档案!$A$4:$P$1203,10,0),0))</f>
        <v/>
      </c>
      <c r="P444" s="32" t="n"/>
      <c r="Q444" s="26">
        <f>IF($D444="","",IF($K444&lt;&gt;"对外销售",0,ROUND(N($J444)*IF($P444="",N($O444),N($P444)),0)))</f>
        <v/>
      </c>
      <c r="R444" s="26">
        <f>IF($D444="","",IFERROR(VLOOKUP($D444,库存台账!$A$5:$Y$1204,11,0),0))</f>
        <v/>
      </c>
      <c r="S444" s="26">
        <f>IF($D444="","",ROUND(N($J444)*N($R444),0))</f>
        <v/>
      </c>
      <c r="T444" s="26">
        <f>IF($D444="","",IF($K444&lt;&gt;"对外销售","",ROUND($Q444-$S444,0)))</f>
        <v/>
      </c>
      <c r="U444" s="17" t="n"/>
      <c r="V444" s="17" t="n"/>
      <c r="W444" s="24">
        <f>IF($D444="","",IF($E444="※编码不在物料档案里","※物料编码不在档案里",IF(N($J444)&lt;=0,"※出库数量要大于 0",IF($K444="","※没填去向类型",IF($L444="","※没填去向矿区",IF(AND($C444&lt;&gt;"",$C444&lt;=结账锁),"※日期早于已结账截止日，不能再录",IF(AND($K444="自用消耗",COUNTIF({"一矿区";"二矿区"},$L444)=0),"※自用消耗的去向只能是一矿区或二矿区",IF(AND($K444="对外销售",COUNTIF({"三矿区";"六矿区"},$L444)=0),"※对外销售的去向只能是三矿区或六矿区",IF(AND($K444="对外销售",ROUND($Q444,0)=0),"※外销却没有售价，请填实际售价",IF(AND($K444="对外销售",$T444&lt;&gt;"",$T444&lt;0),"※这一笔外销是亏的，请核对售价",IF(IFERROR(VLOOKUP($D444,库存台账!$A$5:$Y$1204,24,0),0)&lt;-0.001,"※这个物料账面已经变成负数了，查一下是不是漏记入库","")))))))))))</f>
        <v/>
      </c>
    </row>
    <row r="445">
      <c r="A445" s="24">
        <f>IF($D445="","",COUNTA($D$4:$D445))</f>
        <v/>
      </c>
      <c r="B445" s="17" t="n"/>
      <c r="C445" s="30" t="n"/>
      <c r="D445" s="17" t="n"/>
      <c r="E445" s="24">
        <f>IF($D445="","",IFERROR(VLOOKUP($D445,物料档案!$A$4:$P$1203,3,0),"※编码不在物料档案里"))</f>
        <v/>
      </c>
      <c r="F445" s="24">
        <f>IF($D445="","",IFERROR(VLOOKUP($D445,物料档案!$A$4:$P$1203,4,0),"※编码不在物料档案里"))</f>
        <v/>
      </c>
      <c r="G445" s="24">
        <f>IF($D445="","",IFERROR(VLOOKUP($D445,物料档案!$A$4:$P$1203,5,0),"※编码不在物料档案里"))</f>
        <v/>
      </c>
      <c r="H445" s="24">
        <f>IF($D445="","",IFERROR(VLOOKUP($D445,物料档案!$A$4:$P$1203,2,0),"※编码不在物料档案里"))</f>
        <v/>
      </c>
      <c r="I445" s="24">
        <f>IF($D445="","",IFERROR(VLOOKUP($D445,物料档案!$A$4:$P$1203,6,0),"※编码不在物料档案里"))</f>
        <v/>
      </c>
      <c r="J445" s="23" t="n"/>
      <c r="K445" s="17" t="n"/>
      <c r="L445" s="17" t="n"/>
      <c r="M445" s="17" t="n"/>
      <c r="N445" s="17" t="n"/>
      <c r="O445" s="26">
        <f>IF($D445="","",IFERROR(VLOOKUP($D445,物料档案!$A$4:$P$1203,10,0),0))</f>
        <v/>
      </c>
      <c r="P445" s="32" t="n"/>
      <c r="Q445" s="26">
        <f>IF($D445="","",IF($K445&lt;&gt;"对外销售",0,ROUND(N($J445)*IF($P445="",N($O445),N($P445)),0)))</f>
        <v/>
      </c>
      <c r="R445" s="26">
        <f>IF($D445="","",IFERROR(VLOOKUP($D445,库存台账!$A$5:$Y$1204,11,0),0))</f>
        <v/>
      </c>
      <c r="S445" s="26">
        <f>IF($D445="","",ROUND(N($J445)*N($R445),0))</f>
        <v/>
      </c>
      <c r="T445" s="26">
        <f>IF($D445="","",IF($K445&lt;&gt;"对外销售","",ROUND($Q445-$S445,0)))</f>
        <v/>
      </c>
      <c r="U445" s="17" t="n"/>
      <c r="V445" s="17" t="n"/>
      <c r="W445" s="24">
        <f>IF($D445="","",IF($E445="※编码不在物料档案里","※物料编码不在档案里",IF(N($J445)&lt;=0,"※出库数量要大于 0",IF($K445="","※没填去向类型",IF($L445="","※没填去向矿区",IF(AND($C445&lt;&gt;"",$C445&lt;=结账锁),"※日期早于已结账截止日，不能再录",IF(AND($K445="自用消耗",COUNTIF({"一矿区";"二矿区"},$L445)=0),"※自用消耗的去向只能是一矿区或二矿区",IF(AND($K445="对外销售",COUNTIF({"三矿区";"六矿区"},$L445)=0),"※对外销售的去向只能是三矿区或六矿区",IF(AND($K445="对外销售",ROUND($Q445,0)=0),"※外销却没有售价，请填实际售价",IF(AND($K445="对外销售",$T445&lt;&gt;"",$T445&lt;0),"※这一笔外销是亏的，请核对售价",IF(IFERROR(VLOOKUP($D445,库存台账!$A$5:$Y$1204,24,0),0)&lt;-0.001,"※这个物料账面已经变成负数了，查一下是不是漏记入库","")))))))))))</f>
        <v/>
      </c>
    </row>
    <row r="446">
      <c r="A446" s="24">
        <f>IF($D446="","",COUNTA($D$4:$D446))</f>
        <v/>
      </c>
      <c r="B446" s="17" t="n"/>
      <c r="C446" s="30" t="n"/>
      <c r="D446" s="17" t="n"/>
      <c r="E446" s="24">
        <f>IF($D446="","",IFERROR(VLOOKUP($D446,物料档案!$A$4:$P$1203,3,0),"※编码不在物料档案里"))</f>
        <v/>
      </c>
      <c r="F446" s="24">
        <f>IF($D446="","",IFERROR(VLOOKUP($D446,物料档案!$A$4:$P$1203,4,0),"※编码不在物料档案里"))</f>
        <v/>
      </c>
      <c r="G446" s="24">
        <f>IF($D446="","",IFERROR(VLOOKUP($D446,物料档案!$A$4:$P$1203,5,0),"※编码不在物料档案里"))</f>
        <v/>
      </c>
      <c r="H446" s="24">
        <f>IF($D446="","",IFERROR(VLOOKUP($D446,物料档案!$A$4:$P$1203,2,0),"※编码不在物料档案里"))</f>
        <v/>
      </c>
      <c r="I446" s="24">
        <f>IF($D446="","",IFERROR(VLOOKUP($D446,物料档案!$A$4:$P$1203,6,0),"※编码不在物料档案里"))</f>
        <v/>
      </c>
      <c r="J446" s="23" t="n"/>
      <c r="K446" s="17" t="n"/>
      <c r="L446" s="17" t="n"/>
      <c r="M446" s="17" t="n"/>
      <c r="N446" s="17" t="n"/>
      <c r="O446" s="26">
        <f>IF($D446="","",IFERROR(VLOOKUP($D446,物料档案!$A$4:$P$1203,10,0),0))</f>
        <v/>
      </c>
      <c r="P446" s="32" t="n"/>
      <c r="Q446" s="26">
        <f>IF($D446="","",IF($K446&lt;&gt;"对外销售",0,ROUND(N($J446)*IF($P446="",N($O446),N($P446)),0)))</f>
        <v/>
      </c>
      <c r="R446" s="26">
        <f>IF($D446="","",IFERROR(VLOOKUP($D446,库存台账!$A$5:$Y$1204,11,0),0))</f>
        <v/>
      </c>
      <c r="S446" s="26">
        <f>IF($D446="","",ROUND(N($J446)*N($R446),0))</f>
        <v/>
      </c>
      <c r="T446" s="26">
        <f>IF($D446="","",IF($K446&lt;&gt;"对外销售","",ROUND($Q446-$S446,0)))</f>
        <v/>
      </c>
      <c r="U446" s="17" t="n"/>
      <c r="V446" s="17" t="n"/>
      <c r="W446" s="24">
        <f>IF($D446="","",IF($E446="※编码不在物料档案里","※物料编码不在档案里",IF(N($J446)&lt;=0,"※出库数量要大于 0",IF($K446="","※没填去向类型",IF($L446="","※没填去向矿区",IF(AND($C446&lt;&gt;"",$C446&lt;=结账锁),"※日期早于已结账截止日，不能再录",IF(AND($K446="自用消耗",COUNTIF({"一矿区";"二矿区"},$L446)=0),"※自用消耗的去向只能是一矿区或二矿区",IF(AND($K446="对外销售",COUNTIF({"三矿区";"六矿区"},$L446)=0),"※对外销售的去向只能是三矿区或六矿区",IF(AND($K446="对外销售",ROUND($Q446,0)=0),"※外销却没有售价，请填实际售价",IF(AND($K446="对外销售",$T446&lt;&gt;"",$T446&lt;0),"※这一笔外销是亏的，请核对售价",IF(IFERROR(VLOOKUP($D446,库存台账!$A$5:$Y$1204,24,0),0)&lt;-0.001,"※这个物料账面已经变成负数了，查一下是不是漏记入库","")))))))))))</f>
        <v/>
      </c>
    </row>
    <row r="447">
      <c r="A447" s="24">
        <f>IF($D447="","",COUNTA($D$4:$D447))</f>
        <v/>
      </c>
      <c r="B447" s="17" t="n"/>
      <c r="C447" s="30" t="n"/>
      <c r="D447" s="17" t="n"/>
      <c r="E447" s="24">
        <f>IF($D447="","",IFERROR(VLOOKUP($D447,物料档案!$A$4:$P$1203,3,0),"※编码不在物料档案里"))</f>
        <v/>
      </c>
      <c r="F447" s="24">
        <f>IF($D447="","",IFERROR(VLOOKUP($D447,物料档案!$A$4:$P$1203,4,0),"※编码不在物料档案里"))</f>
        <v/>
      </c>
      <c r="G447" s="24">
        <f>IF($D447="","",IFERROR(VLOOKUP($D447,物料档案!$A$4:$P$1203,5,0),"※编码不在物料档案里"))</f>
        <v/>
      </c>
      <c r="H447" s="24">
        <f>IF($D447="","",IFERROR(VLOOKUP($D447,物料档案!$A$4:$P$1203,2,0),"※编码不在物料档案里"))</f>
        <v/>
      </c>
      <c r="I447" s="24">
        <f>IF($D447="","",IFERROR(VLOOKUP($D447,物料档案!$A$4:$P$1203,6,0),"※编码不在物料档案里"))</f>
        <v/>
      </c>
      <c r="J447" s="23" t="n"/>
      <c r="K447" s="17" t="n"/>
      <c r="L447" s="17" t="n"/>
      <c r="M447" s="17" t="n"/>
      <c r="N447" s="17" t="n"/>
      <c r="O447" s="26">
        <f>IF($D447="","",IFERROR(VLOOKUP($D447,物料档案!$A$4:$P$1203,10,0),0))</f>
        <v/>
      </c>
      <c r="P447" s="32" t="n"/>
      <c r="Q447" s="26">
        <f>IF($D447="","",IF($K447&lt;&gt;"对外销售",0,ROUND(N($J447)*IF($P447="",N($O447),N($P447)),0)))</f>
        <v/>
      </c>
      <c r="R447" s="26">
        <f>IF($D447="","",IFERROR(VLOOKUP($D447,库存台账!$A$5:$Y$1204,11,0),0))</f>
        <v/>
      </c>
      <c r="S447" s="26">
        <f>IF($D447="","",ROUND(N($J447)*N($R447),0))</f>
        <v/>
      </c>
      <c r="T447" s="26">
        <f>IF($D447="","",IF($K447&lt;&gt;"对外销售","",ROUND($Q447-$S447,0)))</f>
        <v/>
      </c>
      <c r="U447" s="17" t="n"/>
      <c r="V447" s="17" t="n"/>
      <c r="W447" s="24">
        <f>IF($D447="","",IF($E447="※编码不在物料档案里","※物料编码不在档案里",IF(N($J447)&lt;=0,"※出库数量要大于 0",IF($K447="","※没填去向类型",IF($L447="","※没填去向矿区",IF(AND($C447&lt;&gt;"",$C447&lt;=结账锁),"※日期早于已结账截止日，不能再录",IF(AND($K447="自用消耗",COUNTIF({"一矿区";"二矿区"},$L447)=0),"※自用消耗的去向只能是一矿区或二矿区",IF(AND($K447="对外销售",COUNTIF({"三矿区";"六矿区"},$L447)=0),"※对外销售的去向只能是三矿区或六矿区",IF(AND($K447="对外销售",ROUND($Q447,0)=0),"※外销却没有售价，请填实际售价",IF(AND($K447="对外销售",$T447&lt;&gt;"",$T447&lt;0),"※这一笔外销是亏的，请核对售价",IF(IFERROR(VLOOKUP($D447,库存台账!$A$5:$Y$1204,24,0),0)&lt;-0.001,"※这个物料账面已经变成负数了，查一下是不是漏记入库","")))))))))))</f>
        <v/>
      </c>
    </row>
    <row r="448">
      <c r="A448" s="24">
        <f>IF($D448="","",COUNTA($D$4:$D448))</f>
        <v/>
      </c>
      <c r="B448" s="17" t="n"/>
      <c r="C448" s="30" t="n"/>
      <c r="D448" s="17" t="n"/>
      <c r="E448" s="24">
        <f>IF($D448="","",IFERROR(VLOOKUP($D448,物料档案!$A$4:$P$1203,3,0),"※编码不在物料档案里"))</f>
        <v/>
      </c>
      <c r="F448" s="24">
        <f>IF($D448="","",IFERROR(VLOOKUP($D448,物料档案!$A$4:$P$1203,4,0),"※编码不在物料档案里"))</f>
        <v/>
      </c>
      <c r="G448" s="24">
        <f>IF($D448="","",IFERROR(VLOOKUP($D448,物料档案!$A$4:$P$1203,5,0),"※编码不在物料档案里"))</f>
        <v/>
      </c>
      <c r="H448" s="24">
        <f>IF($D448="","",IFERROR(VLOOKUP($D448,物料档案!$A$4:$P$1203,2,0),"※编码不在物料档案里"))</f>
        <v/>
      </c>
      <c r="I448" s="24">
        <f>IF($D448="","",IFERROR(VLOOKUP($D448,物料档案!$A$4:$P$1203,6,0),"※编码不在物料档案里"))</f>
        <v/>
      </c>
      <c r="J448" s="23" t="n"/>
      <c r="K448" s="17" t="n"/>
      <c r="L448" s="17" t="n"/>
      <c r="M448" s="17" t="n"/>
      <c r="N448" s="17" t="n"/>
      <c r="O448" s="26">
        <f>IF($D448="","",IFERROR(VLOOKUP($D448,物料档案!$A$4:$P$1203,10,0),0))</f>
        <v/>
      </c>
      <c r="P448" s="32" t="n"/>
      <c r="Q448" s="26">
        <f>IF($D448="","",IF($K448&lt;&gt;"对外销售",0,ROUND(N($J448)*IF($P448="",N($O448),N($P448)),0)))</f>
        <v/>
      </c>
      <c r="R448" s="26">
        <f>IF($D448="","",IFERROR(VLOOKUP($D448,库存台账!$A$5:$Y$1204,11,0),0))</f>
        <v/>
      </c>
      <c r="S448" s="26">
        <f>IF($D448="","",ROUND(N($J448)*N($R448),0))</f>
        <v/>
      </c>
      <c r="T448" s="26">
        <f>IF($D448="","",IF($K448&lt;&gt;"对外销售","",ROUND($Q448-$S448,0)))</f>
        <v/>
      </c>
      <c r="U448" s="17" t="n"/>
      <c r="V448" s="17" t="n"/>
      <c r="W448" s="24">
        <f>IF($D448="","",IF($E448="※编码不在物料档案里","※物料编码不在档案里",IF(N($J448)&lt;=0,"※出库数量要大于 0",IF($K448="","※没填去向类型",IF($L448="","※没填去向矿区",IF(AND($C448&lt;&gt;"",$C448&lt;=结账锁),"※日期早于已结账截止日，不能再录",IF(AND($K448="自用消耗",COUNTIF({"一矿区";"二矿区"},$L448)=0),"※自用消耗的去向只能是一矿区或二矿区",IF(AND($K448="对外销售",COUNTIF({"三矿区";"六矿区"},$L448)=0),"※对外销售的去向只能是三矿区或六矿区",IF(AND($K448="对外销售",ROUND($Q448,0)=0),"※外销却没有售价，请填实际售价",IF(AND($K448="对外销售",$T448&lt;&gt;"",$T448&lt;0),"※这一笔外销是亏的，请核对售价",IF(IFERROR(VLOOKUP($D448,库存台账!$A$5:$Y$1204,24,0),0)&lt;-0.001,"※这个物料账面已经变成负数了，查一下是不是漏记入库","")))))))))))</f>
        <v/>
      </c>
    </row>
    <row r="449">
      <c r="A449" s="24">
        <f>IF($D449="","",COUNTA($D$4:$D449))</f>
        <v/>
      </c>
      <c r="B449" s="17" t="n"/>
      <c r="C449" s="30" t="n"/>
      <c r="D449" s="17" t="n"/>
      <c r="E449" s="24">
        <f>IF($D449="","",IFERROR(VLOOKUP($D449,物料档案!$A$4:$P$1203,3,0),"※编码不在物料档案里"))</f>
        <v/>
      </c>
      <c r="F449" s="24">
        <f>IF($D449="","",IFERROR(VLOOKUP($D449,物料档案!$A$4:$P$1203,4,0),"※编码不在物料档案里"))</f>
        <v/>
      </c>
      <c r="G449" s="24">
        <f>IF($D449="","",IFERROR(VLOOKUP($D449,物料档案!$A$4:$P$1203,5,0),"※编码不在物料档案里"))</f>
        <v/>
      </c>
      <c r="H449" s="24">
        <f>IF($D449="","",IFERROR(VLOOKUP($D449,物料档案!$A$4:$P$1203,2,0),"※编码不在物料档案里"))</f>
        <v/>
      </c>
      <c r="I449" s="24">
        <f>IF($D449="","",IFERROR(VLOOKUP($D449,物料档案!$A$4:$P$1203,6,0),"※编码不在物料档案里"))</f>
        <v/>
      </c>
      <c r="J449" s="23" t="n"/>
      <c r="K449" s="17" t="n"/>
      <c r="L449" s="17" t="n"/>
      <c r="M449" s="17" t="n"/>
      <c r="N449" s="17" t="n"/>
      <c r="O449" s="26">
        <f>IF($D449="","",IFERROR(VLOOKUP($D449,物料档案!$A$4:$P$1203,10,0),0))</f>
        <v/>
      </c>
      <c r="P449" s="32" t="n"/>
      <c r="Q449" s="26">
        <f>IF($D449="","",IF($K449&lt;&gt;"对外销售",0,ROUND(N($J449)*IF($P449="",N($O449),N($P449)),0)))</f>
        <v/>
      </c>
      <c r="R449" s="26">
        <f>IF($D449="","",IFERROR(VLOOKUP($D449,库存台账!$A$5:$Y$1204,11,0),0))</f>
        <v/>
      </c>
      <c r="S449" s="26">
        <f>IF($D449="","",ROUND(N($J449)*N($R449),0))</f>
        <v/>
      </c>
      <c r="T449" s="26">
        <f>IF($D449="","",IF($K449&lt;&gt;"对外销售","",ROUND($Q449-$S449,0)))</f>
        <v/>
      </c>
      <c r="U449" s="17" t="n"/>
      <c r="V449" s="17" t="n"/>
      <c r="W449" s="24">
        <f>IF($D449="","",IF($E449="※编码不在物料档案里","※物料编码不在档案里",IF(N($J449)&lt;=0,"※出库数量要大于 0",IF($K449="","※没填去向类型",IF($L449="","※没填去向矿区",IF(AND($C449&lt;&gt;"",$C449&lt;=结账锁),"※日期早于已结账截止日，不能再录",IF(AND($K449="自用消耗",COUNTIF({"一矿区";"二矿区"},$L449)=0),"※自用消耗的去向只能是一矿区或二矿区",IF(AND($K449="对外销售",COUNTIF({"三矿区";"六矿区"},$L449)=0),"※对外销售的去向只能是三矿区或六矿区",IF(AND($K449="对外销售",ROUND($Q449,0)=0),"※外销却没有售价，请填实际售价",IF(AND($K449="对外销售",$T449&lt;&gt;"",$T449&lt;0),"※这一笔外销是亏的，请核对售价",IF(IFERROR(VLOOKUP($D449,库存台账!$A$5:$Y$1204,24,0),0)&lt;-0.001,"※这个物料账面已经变成负数了，查一下是不是漏记入库","")))))))))))</f>
        <v/>
      </c>
    </row>
    <row r="450">
      <c r="A450" s="24">
        <f>IF($D450="","",COUNTA($D$4:$D450))</f>
        <v/>
      </c>
      <c r="B450" s="17" t="n"/>
      <c r="C450" s="30" t="n"/>
      <c r="D450" s="17" t="n"/>
      <c r="E450" s="24">
        <f>IF($D450="","",IFERROR(VLOOKUP($D450,物料档案!$A$4:$P$1203,3,0),"※编码不在物料档案里"))</f>
        <v/>
      </c>
      <c r="F450" s="24">
        <f>IF($D450="","",IFERROR(VLOOKUP($D450,物料档案!$A$4:$P$1203,4,0),"※编码不在物料档案里"))</f>
        <v/>
      </c>
      <c r="G450" s="24">
        <f>IF($D450="","",IFERROR(VLOOKUP($D450,物料档案!$A$4:$P$1203,5,0),"※编码不在物料档案里"))</f>
        <v/>
      </c>
      <c r="H450" s="24">
        <f>IF($D450="","",IFERROR(VLOOKUP($D450,物料档案!$A$4:$P$1203,2,0),"※编码不在物料档案里"))</f>
        <v/>
      </c>
      <c r="I450" s="24">
        <f>IF($D450="","",IFERROR(VLOOKUP($D450,物料档案!$A$4:$P$1203,6,0),"※编码不在物料档案里"))</f>
        <v/>
      </c>
      <c r="J450" s="23" t="n"/>
      <c r="K450" s="17" t="n"/>
      <c r="L450" s="17" t="n"/>
      <c r="M450" s="17" t="n"/>
      <c r="N450" s="17" t="n"/>
      <c r="O450" s="26">
        <f>IF($D450="","",IFERROR(VLOOKUP($D450,物料档案!$A$4:$P$1203,10,0),0))</f>
        <v/>
      </c>
      <c r="P450" s="32" t="n"/>
      <c r="Q450" s="26">
        <f>IF($D450="","",IF($K450&lt;&gt;"对外销售",0,ROUND(N($J450)*IF($P450="",N($O450),N($P450)),0)))</f>
        <v/>
      </c>
      <c r="R450" s="26">
        <f>IF($D450="","",IFERROR(VLOOKUP($D450,库存台账!$A$5:$Y$1204,11,0),0))</f>
        <v/>
      </c>
      <c r="S450" s="26">
        <f>IF($D450="","",ROUND(N($J450)*N($R450),0))</f>
        <v/>
      </c>
      <c r="T450" s="26">
        <f>IF($D450="","",IF($K450&lt;&gt;"对外销售","",ROUND($Q450-$S450,0)))</f>
        <v/>
      </c>
      <c r="U450" s="17" t="n"/>
      <c r="V450" s="17" t="n"/>
      <c r="W450" s="24">
        <f>IF($D450="","",IF($E450="※编码不在物料档案里","※物料编码不在档案里",IF(N($J450)&lt;=0,"※出库数量要大于 0",IF($K450="","※没填去向类型",IF($L450="","※没填去向矿区",IF(AND($C450&lt;&gt;"",$C450&lt;=结账锁),"※日期早于已结账截止日，不能再录",IF(AND($K450="自用消耗",COUNTIF({"一矿区";"二矿区"},$L450)=0),"※自用消耗的去向只能是一矿区或二矿区",IF(AND($K450="对外销售",COUNTIF({"三矿区";"六矿区"},$L450)=0),"※对外销售的去向只能是三矿区或六矿区",IF(AND($K450="对外销售",ROUND($Q450,0)=0),"※外销却没有售价，请填实际售价",IF(AND($K450="对外销售",$T450&lt;&gt;"",$T450&lt;0),"※这一笔外销是亏的，请核对售价",IF(IFERROR(VLOOKUP($D450,库存台账!$A$5:$Y$1204,24,0),0)&lt;-0.001,"※这个物料账面已经变成负数了，查一下是不是漏记入库","")))))))))))</f>
        <v/>
      </c>
    </row>
    <row r="451">
      <c r="A451" s="24">
        <f>IF($D451="","",COUNTA($D$4:$D451))</f>
        <v/>
      </c>
      <c r="B451" s="17" t="n"/>
      <c r="C451" s="30" t="n"/>
      <c r="D451" s="17" t="n"/>
      <c r="E451" s="24">
        <f>IF($D451="","",IFERROR(VLOOKUP($D451,物料档案!$A$4:$P$1203,3,0),"※编码不在物料档案里"))</f>
        <v/>
      </c>
      <c r="F451" s="24">
        <f>IF($D451="","",IFERROR(VLOOKUP($D451,物料档案!$A$4:$P$1203,4,0),"※编码不在物料档案里"))</f>
        <v/>
      </c>
      <c r="G451" s="24">
        <f>IF($D451="","",IFERROR(VLOOKUP($D451,物料档案!$A$4:$P$1203,5,0),"※编码不在物料档案里"))</f>
        <v/>
      </c>
      <c r="H451" s="24">
        <f>IF($D451="","",IFERROR(VLOOKUP($D451,物料档案!$A$4:$P$1203,2,0),"※编码不在物料档案里"))</f>
        <v/>
      </c>
      <c r="I451" s="24">
        <f>IF($D451="","",IFERROR(VLOOKUP($D451,物料档案!$A$4:$P$1203,6,0),"※编码不在物料档案里"))</f>
        <v/>
      </c>
      <c r="J451" s="23" t="n"/>
      <c r="K451" s="17" t="n"/>
      <c r="L451" s="17" t="n"/>
      <c r="M451" s="17" t="n"/>
      <c r="N451" s="17" t="n"/>
      <c r="O451" s="26">
        <f>IF($D451="","",IFERROR(VLOOKUP($D451,物料档案!$A$4:$P$1203,10,0),0))</f>
        <v/>
      </c>
      <c r="P451" s="32" t="n"/>
      <c r="Q451" s="26">
        <f>IF($D451="","",IF($K451&lt;&gt;"对外销售",0,ROUND(N($J451)*IF($P451="",N($O451),N($P451)),0)))</f>
        <v/>
      </c>
      <c r="R451" s="26">
        <f>IF($D451="","",IFERROR(VLOOKUP($D451,库存台账!$A$5:$Y$1204,11,0),0))</f>
        <v/>
      </c>
      <c r="S451" s="26">
        <f>IF($D451="","",ROUND(N($J451)*N($R451),0))</f>
        <v/>
      </c>
      <c r="T451" s="26">
        <f>IF($D451="","",IF($K451&lt;&gt;"对外销售","",ROUND($Q451-$S451,0)))</f>
        <v/>
      </c>
      <c r="U451" s="17" t="n"/>
      <c r="V451" s="17" t="n"/>
      <c r="W451" s="24">
        <f>IF($D451="","",IF($E451="※编码不在物料档案里","※物料编码不在档案里",IF(N($J451)&lt;=0,"※出库数量要大于 0",IF($K451="","※没填去向类型",IF($L451="","※没填去向矿区",IF(AND($C451&lt;&gt;"",$C451&lt;=结账锁),"※日期早于已结账截止日，不能再录",IF(AND($K451="自用消耗",COUNTIF({"一矿区";"二矿区"},$L451)=0),"※自用消耗的去向只能是一矿区或二矿区",IF(AND($K451="对外销售",COUNTIF({"三矿区";"六矿区"},$L451)=0),"※对外销售的去向只能是三矿区或六矿区",IF(AND($K451="对外销售",ROUND($Q451,0)=0),"※外销却没有售价，请填实际售价",IF(AND($K451="对外销售",$T451&lt;&gt;"",$T451&lt;0),"※这一笔外销是亏的，请核对售价",IF(IFERROR(VLOOKUP($D451,库存台账!$A$5:$Y$1204,24,0),0)&lt;-0.001,"※这个物料账面已经变成负数了，查一下是不是漏记入库","")))))))))))</f>
        <v/>
      </c>
    </row>
    <row r="452">
      <c r="A452" s="24">
        <f>IF($D452="","",COUNTA($D$4:$D452))</f>
        <v/>
      </c>
      <c r="B452" s="17" t="n"/>
      <c r="C452" s="30" t="n"/>
      <c r="D452" s="17" t="n"/>
      <c r="E452" s="24">
        <f>IF($D452="","",IFERROR(VLOOKUP($D452,物料档案!$A$4:$P$1203,3,0),"※编码不在物料档案里"))</f>
        <v/>
      </c>
      <c r="F452" s="24">
        <f>IF($D452="","",IFERROR(VLOOKUP($D452,物料档案!$A$4:$P$1203,4,0),"※编码不在物料档案里"))</f>
        <v/>
      </c>
      <c r="G452" s="24">
        <f>IF($D452="","",IFERROR(VLOOKUP($D452,物料档案!$A$4:$P$1203,5,0),"※编码不在物料档案里"))</f>
        <v/>
      </c>
      <c r="H452" s="24">
        <f>IF($D452="","",IFERROR(VLOOKUP($D452,物料档案!$A$4:$P$1203,2,0),"※编码不在物料档案里"))</f>
        <v/>
      </c>
      <c r="I452" s="24">
        <f>IF($D452="","",IFERROR(VLOOKUP($D452,物料档案!$A$4:$P$1203,6,0),"※编码不在物料档案里"))</f>
        <v/>
      </c>
      <c r="J452" s="23" t="n"/>
      <c r="K452" s="17" t="n"/>
      <c r="L452" s="17" t="n"/>
      <c r="M452" s="17" t="n"/>
      <c r="N452" s="17" t="n"/>
      <c r="O452" s="26">
        <f>IF($D452="","",IFERROR(VLOOKUP($D452,物料档案!$A$4:$P$1203,10,0),0))</f>
        <v/>
      </c>
      <c r="P452" s="32" t="n"/>
      <c r="Q452" s="26">
        <f>IF($D452="","",IF($K452&lt;&gt;"对外销售",0,ROUND(N($J452)*IF($P452="",N($O452),N($P452)),0)))</f>
        <v/>
      </c>
      <c r="R452" s="26">
        <f>IF($D452="","",IFERROR(VLOOKUP($D452,库存台账!$A$5:$Y$1204,11,0),0))</f>
        <v/>
      </c>
      <c r="S452" s="26">
        <f>IF($D452="","",ROUND(N($J452)*N($R452),0))</f>
        <v/>
      </c>
      <c r="T452" s="26">
        <f>IF($D452="","",IF($K452&lt;&gt;"对外销售","",ROUND($Q452-$S452,0)))</f>
        <v/>
      </c>
      <c r="U452" s="17" t="n"/>
      <c r="V452" s="17" t="n"/>
      <c r="W452" s="24">
        <f>IF($D452="","",IF($E452="※编码不在物料档案里","※物料编码不在档案里",IF(N($J452)&lt;=0,"※出库数量要大于 0",IF($K452="","※没填去向类型",IF($L452="","※没填去向矿区",IF(AND($C452&lt;&gt;"",$C452&lt;=结账锁),"※日期早于已结账截止日，不能再录",IF(AND($K452="自用消耗",COUNTIF({"一矿区";"二矿区"},$L452)=0),"※自用消耗的去向只能是一矿区或二矿区",IF(AND($K452="对外销售",COUNTIF({"三矿区";"六矿区"},$L452)=0),"※对外销售的去向只能是三矿区或六矿区",IF(AND($K452="对外销售",ROUND($Q452,0)=0),"※外销却没有售价，请填实际售价",IF(AND($K452="对外销售",$T452&lt;&gt;"",$T452&lt;0),"※这一笔外销是亏的，请核对售价",IF(IFERROR(VLOOKUP($D452,库存台账!$A$5:$Y$1204,24,0),0)&lt;-0.001,"※这个物料账面已经变成负数了，查一下是不是漏记入库","")))))))))))</f>
        <v/>
      </c>
    </row>
    <row r="453">
      <c r="A453" s="24">
        <f>IF($D453="","",COUNTA($D$4:$D453))</f>
        <v/>
      </c>
      <c r="B453" s="17" t="n"/>
      <c r="C453" s="30" t="n"/>
      <c r="D453" s="17" t="n"/>
      <c r="E453" s="24">
        <f>IF($D453="","",IFERROR(VLOOKUP($D453,物料档案!$A$4:$P$1203,3,0),"※编码不在物料档案里"))</f>
        <v/>
      </c>
      <c r="F453" s="24">
        <f>IF($D453="","",IFERROR(VLOOKUP($D453,物料档案!$A$4:$P$1203,4,0),"※编码不在物料档案里"))</f>
        <v/>
      </c>
      <c r="G453" s="24">
        <f>IF($D453="","",IFERROR(VLOOKUP($D453,物料档案!$A$4:$P$1203,5,0),"※编码不在物料档案里"))</f>
        <v/>
      </c>
      <c r="H453" s="24">
        <f>IF($D453="","",IFERROR(VLOOKUP($D453,物料档案!$A$4:$P$1203,2,0),"※编码不在物料档案里"))</f>
        <v/>
      </c>
      <c r="I453" s="24">
        <f>IF($D453="","",IFERROR(VLOOKUP($D453,物料档案!$A$4:$P$1203,6,0),"※编码不在物料档案里"))</f>
        <v/>
      </c>
      <c r="J453" s="23" t="n"/>
      <c r="K453" s="17" t="n"/>
      <c r="L453" s="17" t="n"/>
      <c r="M453" s="17" t="n"/>
      <c r="N453" s="17" t="n"/>
      <c r="O453" s="26">
        <f>IF($D453="","",IFERROR(VLOOKUP($D453,物料档案!$A$4:$P$1203,10,0),0))</f>
        <v/>
      </c>
      <c r="P453" s="32" t="n"/>
      <c r="Q453" s="26">
        <f>IF($D453="","",IF($K453&lt;&gt;"对外销售",0,ROUND(N($J453)*IF($P453="",N($O453),N($P453)),0)))</f>
        <v/>
      </c>
      <c r="R453" s="26">
        <f>IF($D453="","",IFERROR(VLOOKUP($D453,库存台账!$A$5:$Y$1204,11,0),0))</f>
        <v/>
      </c>
      <c r="S453" s="26">
        <f>IF($D453="","",ROUND(N($J453)*N($R453),0))</f>
        <v/>
      </c>
      <c r="T453" s="26">
        <f>IF($D453="","",IF($K453&lt;&gt;"对外销售","",ROUND($Q453-$S453,0)))</f>
        <v/>
      </c>
      <c r="U453" s="17" t="n"/>
      <c r="V453" s="17" t="n"/>
      <c r="W453" s="24">
        <f>IF($D453="","",IF($E453="※编码不在物料档案里","※物料编码不在档案里",IF(N($J453)&lt;=0,"※出库数量要大于 0",IF($K453="","※没填去向类型",IF($L453="","※没填去向矿区",IF(AND($C453&lt;&gt;"",$C453&lt;=结账锁),"※日期早于已结账截止日，不能再录",IF(AND($K453="自用消耗",COUNTIF({"一矿区";"二矿区"},$L453)=0),"※自用消耗的去向只能是一矿区或二矿区",IF(AND($K453="对外销售",COUNTIF({"三矿区";"六矿区"},$L453)=0),"※对外销售的去向只能是三矿区或六矿区",IF(AND($K453="对外销售",ROUND($Q453,0)=0),"※外销却没有售价，请填实际售价",IF(AND($K453="对外销售",$T453&lt;&gt;"",$T453&lt;0),"※这一笔外销是亏的，请核对售价",IF(IFERROR(VLOOKUP($D453,库存台账!$A$5:$Y$1204,24,0),0)&lt;-0.001,"※这个物料账面已经变成负数了，查一下是不是漏记入库","")))))))))))</f>
        <v/>
      </c>
    </row>
    <row r="454">
      <c r="A454" s="24">
        <f>IF($D454="","",COUNTA($D$4:$D454))</f>
        <v/>
      </c>
      <c r="B454" s="17" t="n"/>
      <c r="C454" s="30" t="n"/>
      <c r="D454" s="17" t="n"/>
      <c r="E454" s="24">
        <f>IF($D454="","",IFERROR(VLOOKUP($D454,物料档案!$A$4:$P$1203,3,0),"※编码不在物料档案里"))</f>
        <v/>
      </c>
      <c r="F454" s="24">
        <f>IF($D454="","",IFERROR(VLOOKUP($D454,物料档案!$A$4:$P$1203,4,0),"※编码不在物料档案里"))</f>
        <v/>
      </c>
      <c r="G454" s="24">
        <f>IF($D454="","",IFERROR(VLOOKUP($D454,物料档案!$A$4:$P$1203,5,0),"※编码不在物料档案里"))</f>
        <v/>
      </c>
      <c r="H454" s="24">
        <f>IF($D454="","",IFERROR(VLOOKUP($D454,物料档案!$A$4:$P$1203,2,0),"※编码不在物料档案里"))</f>
        <v/>
      </c>
      <c r="I454" s="24">
        <f>IF($D454="","",IFERROR(VLOOKUP($D454,物料档案!$A$4:$P$1203,6,0),"※编码不在物料档案里"))</f>
        <v/>
      </c>
      <c r="J454" s="23" t="n"/>
      <c r="K454" s="17" t="n"/>
      <c r="L454" s="17" t="n"/>
      <c r="M454" s="17" t="n"/>
      <c r="N454" s="17" t="n"/>
      <c r="O454" s="26">
        <f>IF($D454="","",IFERROR(VLOOKUP($D454,物料档案!$A$4:$P$1203,10,0),0))</f>
        <v/>
      </c>
      <c r="P454" s="32" t="n"/>
      <c r="Q454" s="26">
        <f>IF($D454="","",IF($K454&lt;&gt;"对外销售",0,ROUND(N($J454)*IF($P454="",N($O454),N($P454)),0)))</f>
        <v/>
      </c>
      <c r="R454" s="26">
        <f>IF($D454="","",IFERROR(VLOOKUP($D454,库存台账!$A$5:$Y$1204,11,0),0))</f>
        <v/>
      </c>
      <c r="S454" s="26">
        <f>IF($D454="","",ROUND(N($J454)*N($R454),0))</f>
        <v/>
      </c>
      <c r="T454" s="26">
        <f>IF($D454="","",IF($K454&lt;&gt;"对外销售","",ROUND($Q454-$S454,0)))</f>
        <v/>
      </c>
      <c r="U454" s="17" t="n"/>
      <c r="V454" s="17" t="n"/>
      <c r="W454" s="24">
        <f>IF($D454="","",IF($E454="※编码不在物料档案里","※物料编码不在档案里",IF(N($J454)&lt;=0,"※出库数量要大于 0",IF($K454="","※没填去向类型",IF($L454="","※没填去向矿区",IF(AND($C454&lt;&gt;"",$C454&lt;=结账锁),"※日期早于已结账截止日，不能再录",IF(AND($K454="自用消耗",COUNTIF({"一矿区";"二矿区"},$L454)=0),"※自用消耗的去向只能是一矿区或二矿区",IF(AND($K454="对外销售",COUNTIF({"三矿区";"六矿区"},$L454)=0),"※对外销售的去向只能是三矿区或六矿区",IF(AND($K454="对外销售",ROUND($Q454,0)=0),"※外销却没有售价，请填实际售价",IF(AND($K454="对外销售",$T454&lt;&gt;"",$T454&lt;0),"※这一笔外销是亏的，请核对售价",IF(IFERROR(VLOOKUP($D454,库存台账!$A$5:$Y$1204,24,0),0)&lt;-0.001,"※这个物料账面已经变成负数了，查一下是不是漏记入库","")))))))))))</f>
        <v/>
      </c>
    </row>
    <row r="455">
      <c r="A455" s="24">
        <f>IF($D455="","",COUNTA($D$4:$D455))</f>
        <v/>
      </c>
      <c r="B455" s="17" t="n"/>
      <c r="C455" s="30" t="n"/>
      <c r="D455" s="17" t="n"/>
      <c r="E455" s="24">
        <f>IF($D455="","",IFERROR(VLOOKUP($D455,物料档案!$A$4:$P$1203,3,0),"※编码不在物料档案里"))</f>
        <v/>
      </c>
      <c r="F455" s="24">
        <f>IF($D455="","",IFERROR(VLOOKUP($D455,物料档案!$A$4:$P$1203,4,0),"※编码不在物料档案里"))</f>
        <v/>
      </c>
      <c r="G455" s="24">
        <f>IF($D455="","",IFERROR(VLOOKUP($D455,物料档案!$A$4:$P$1203,5,0),"※编码不在物料档案里"))</f>
        <v/>
      </c>
      <c r="H455" s="24">
        <f>IF($D455="","",IFERROR(VLOOKUP($D455,物料档案!$A$4:$P$1203,2,0),"※编码不在物料档案里"))</f>
        <v/>
      </c>
      <c r="I455" s="24">
        <f>IF($D455="","",IFERROR(VLOOKUP($D455,物料档案!$A$4:$P$1203,6,0),"※编码不在物料档案里"))</f>
        <v/>
      </c>
      <c r="J455" s="23" t="n"/>
      <c r="K455" s="17" t="n"/>
      <c r="L455" s="17" t="n"/>
      <c r="M455" s="17" t="n"/>
      <c r="N455" s="17" t="n"/>
      <c r="O455" s="26">
        <f>IF($D455="","",IFERROR(VLOOKUP($D455,物料档案!$A$4:$P$1203,10,0),0))</f>
        <v/>
      </c>
      <c r="P455" s="32" t="n"/>
      <c r="Q455" s="26">
        <f>IF($D455="","",IF($K455&lt;&gt;"对外销售",0,ROUND(N($J455)*IF($P455="",N($O455),N($P455)),0)))</f>
        <v/>
      </c>
      <c r="R455" s="26">
        <f>IF($D455="","",IFERROR(VLOOKUP($D455,库存台账!$A$5:$Y$1204,11,0),0))</f>
        <v/>
      </c>
      <c r="S455" s="26">
        <f>IF($D455="","",ROUND(N($J455)*N($R455),0))</f>
        <v/>
      </c>
      <c r="T455" s="26">
        <f>IF($D455="","",IF($K455&lt;&gt;"对外销售","",ROUND($Q455-$S455,0)))</f>
        <v/>
      </c>
      <c r="U455" s="17" t="n"/>
      <c r="V455" s="17" t="n"/>
      <c r="W455" s="24">
        <f>IF($D455="","",IF($E455="※编码不在物料档案里","※物料编码不在档案里",IF(N($J455)&lt;=0,"※出库数量要大于 0",IF($K455="","※没填去向类型",IF($L455="","※没填去向矿区",IF(AND($C455&lt;&gt;"",$C455&lt;=结账锁),"※日期早于已结账截止日，不能再录",IF(AND($K455="自用消耗",COUNTIF({"一矿区";"二矿区"},$L455)=0),"※自用消耗的去向只能是一矿区或二矿区",IF(AND($K455="对外销售",COUNTIF({"三矿区";"六矿区"},$L455)=0),"※对外销售的去向只能是三矿区或六矿区",IF(AND($K455="对外销售",ROUND($Q455,0)=0),"※外销却没有售价，请填实际售价",IF(AND($K455="对外销售",$T455&lt;&gt;"",$T455&lt;0),"※这一笔外销是亏的，请核对售价",IF(IFERROR(VLOOKUP($D455,库存台账!$A$5:$Y$1204,24,0),0)&lt;-0.001,"※这个物料账面已经变成负数了，查一下是不是漏记入库","")))))))))))</f>
        <v/>
      </c>
    </row>
    <row r="456">
      <c r="A456" s="24">
        <f>IF($D456="","",COUNTA($D$4:$D456))</f>
        <v/>
      </c>
      <c r="B456" s="17" t="n"/>
      <c r="C456" s="30" t="n"/>
      <c r="D456" s="17" t="n"/>
      <c r="E456" s="24">
        <f>IF($D456="","",IFERROR(VLOOKUP($D456,物料档案!$A$4:$P$1203,3,0),"※编码不在物料档案里"))</f>
        <v/>
      </c>
      <c r="F456" s="24">
        <f>IF($D456="","",IFERROR(VLOOKUP($D456,物料档案!$A$4:$P$1203,4,0),"※编码不在物料档案里"))</f>
        <v/>
      </c>
      <c r="G456" s="24">
        <f>IF($D456="","",IFERROR(VLOOKUP($D456,物料档案!$A$4:$P$1203,5,0),"※编码不在物料档案里"))</f>
        <v/>
      </c>
      <c r="H456" s="24">
        <f>IF($D456="","",IFERROR(VLOOKUP($D456,物料档案!$A$4:$P$1203,2,0),"※编码不在物料档案里"))</f>
        <v/>
      </c>
      <c r="I456" s="24">
        <f>IF($D456="","",IFERROR(VLOOKUP($D456,物料档案!$A$4:$P$1203,6,0),"※编码不在物料档案里"))</f>
        <v/>
      </c>
      <c r="J456" s="23" t="n"/>
      <c r="K456" s="17" t="n"/>
      <c r="L456" s="17" t="n"/>
      <c r="M456" s="17" t="n"/>
      <c r="N456" s="17" t="n"/>
      <c r="O456" s="26">
        <f>IF($D456="","",IFERROR(VLOOKUP($D456,物料档案!$A$4:$P$1203,10,0),0))</f>
        <v/>
      </c>
      <c r="P456" s="32" t="n"/>
      <c r="Q456" s="26">
        <f>IF($D456="","",IF($K456&lt;&gt;"对外销售",0,ROUND(N($J456)*IF($P456="",N($O456),N($P456)),0)))</f>
        <v/>
      </c>
      <c r="R456" s="26">
        <f>IF($D456="","",IFERROR(VLOOKUP($D456,库存台账!$A$5:$Y$1204,11,0),0))</f>
        <v/>
      </c>
      <c r="S456" s="26">
        <f>IF($D456="","",ROUND(N($J456)*N($R456),0))</f>
        <v/>
      </c>
      <c r="T456" s="26">
        <f>IF($D456="","",IF($K456&lt;&gt;"对外销售","",ROUND($Q456-$S456,0)))</f>
        <v/>
      </c>
      <c r="U456" s="17" t="n"/>
      <c r="V456" s="17" t="n"/>
      <c r="W456" s="24">
        <f>IF($D456="","",IF($E456="※编码不在物料档案里","※物料编码不在档案里",IF(N($J456)&lt;=0,"※出库数量要大于 0",IF($K456="","※没填去向类型",IF($L456="","※没填去向矿区",IF(AND($C456&lt;&gt;"",$C456&lt;=结账锁),"※日期早于已结账截止日，不能再录",IF(AND($K456="自用消耗",COUNTIF({"一矿区";"二矿区"},$L456)=0),"※自用消耗的去向只能是一矿区或二矿区",IF(AND($K456="对外销售",COUNTIF({"三矿区";"六矿区"},$L456)=0),"※对外销售的去向只能是三矿区或六矿区",IF(AND($K456="对外销售",ROUND($Q456,0)=0),"※外销却没有售价，请填实际售价",IF(AND($K456="对外销售",$T456&lt;&gt;"",$T456&lt;0),"※这一笔外销是亏的，请核对售价",IF(IFERROR(VLOOKUP($D456,库存台账!$A$5:$Y$1204,24,0),0)&lt;-0.001,"※这个物料账面已经变成负数了，查一下是不是漏记入库","")))))))))))</f>
        <v/>
      </c>
    </row>
    <row r="457">
      <c r="A457" s="24">
        <f>IF($D457="","",COUNTA($D$4:$D457))</f>
        <v/>
      </c>
      <c r="B457" s="17" t="n"/>
      <c r="C457" s="30" t="n"/>
      <c r="D457" s="17" t="n"/>
      <c r="E457" s="24">
        <f>IF($D457="","",IFERROR(VLOOKUP($D457,物料档案!$A$4:$P$1203,3,0),"※编码不在物料档案里"))</f>
        <v/>
      </c>
      <c r="F457" s="24">
        <f>IF($D457="","",IFERROR(VLOOKUP($D457,物料档案!$A$4:$P$1203,4,0),"※编码不在物料档案里"))</f>
        <v/>
      </c>
      <c r="G457" s="24">
        <f>IF($D457="","",IFERROR(VLOOKUP($D457,物料档案!$A$4:$P$1203,5,0),"※编码不在物料档案里"))</f>
        <v/>
      </c>
      <c r="H457" s="24">
        <f>IF($D457="","",IFERROR(VLOOKUP($D457,物料档案!$A$4:$P$1203,2,0),"※编码不在物料档案里"))</f>
        <v/>
      </c>
      <c r="I457" s="24">
        <f>IF($D457="","",IFERROR(VLOOKUP($D457,物料档案!$A$4:$P$1203,6,0),"※编码不在物料档案里"))</f>
        <v/>
      </c>
      <c r="J457" s="23" t="n"/>
      <c r="K457" s="17" t="n"/>
      <c r="L457" s="17" t="n"/>
      <c r="M457" s="17" t="n"/>
      <c r="N457" s="17" t="n"/>
      <c r="O457" s="26">
        <f>IF($D457="","",IFERROR(VLOOKUP($D457,物料档案!$A$4:$P$1203,10,0),0))</f>
        <v/>
      </c>
      <c r="P457" s="32" t="n"/>
      <c r="Q457" s="26">
        <f>IF($D457="","",IF($K457&lt;&gt;"对外销售",0,ROUND(N($J457)*IF($P457="",N($O457),N($P457)),0)))</f>
        <v/>
      </c>
      <c r="R457" s="26">
        <f>IF($D457="","",IFERROR(VLOOKUP($D457,库存台账!$A$5:$Y$1204,11,0),0))</f>
        <v/>
      </c>
      <c r="S457" s="26">
        <f>IF($D457="","",ROUND(N($J457)*N($R457),0))</f>
        <v/>
      </c>
      <c r="T457" s="26">
        <f>IF($D457="","",IF($K457&lt;&gt;"对外销售","",ROUND($Q457-$S457,0)))</f>
        <v/>
      </c>
      <c r="U457" s="17" t="n"/>
      <c r="V457" s="17" t="n"/>
      <c r="W457" s="24">
        <f>IF($D457="","",IF($E457="※编码不在物料档案里","※物料编码不在档案里",IF(N($J457)&lt;=0,"※出库数量要大于 0",IF($K457="","※没填去向类型",IF($L457="","※没填去向矿区",IF(AND($C457&lt;&gt;"",$C457&lt;=结账锁),"※日期早于已结账截止日，不能再录",IF(AND($K457="自用消耗",COUNTIF({"一矿区";"二矿区"},$L457)=0),"※自用消耗的去向只能是一矿区或二矿区",IF(AND($K457="对外销售",COUNTIF({"三矿区";"六矿区"},$L457)=0),"※对外销售的去向只能是三矿区或六矿区",IF(AND($K457="对外销售",ROUND($Q457,0)=0),"※外销却没有售价，请填实际售价",IF(AND($K457="对外销售",$T457&lt;&gt;"",$T457&lt;0),"※这一笔外销是亏的，请核对售价",IF(IFERROR(VLOOKUP($D457,库存台账!$A$5:$Y$1204,24,0),0)&lt;-0.001,"※这个物料账面已经变成负数了，查一下是不是漏记入库","")))))))))))</f>
        <v/>
      </c>
    </row>
    <row r="458">
      <c r="A458" s="24">
        <f>IF($D458="","",COUNTA($D$4:$D458))</f>
        <v/>
      </c>
      <c r="B458" s="17" t="n"/>
      <c r="C458" s="30" t="n"/>
      <c r="D458" s="17" t="n"/>
      <c r="E458" s="24">
        <f>IF($D458="","",IFERROR(VLOOKUP($D458,物料档案!$A$4:$P$1203,3,0),"※编码不在物料档案里"))</f>
        <v/>
      </c>
      <c r="F458" s="24">
        <f>IF($D458="","",IFERROR(VLOOKUP($D458,物料档案!$A$4:$P$1203,4,0),"※编码不在物料档案里"))</f>
        <v/>
      </c>
      <c r="G458" s="24">
        <f>IF($D458="","",IFERROR(VLOOKUP($D458,物料档案!$A$4:$P$1203,5,0),"※编码不在物料档案里"))</f>
        <v/>
      </c>
      <c r="H458" s="24">
        <f>IF($D458="","",IFERROR(VLOOKUP($D458,物料档案!$A$4:$P$1203,2,0),"※编码不在物料档案里"))</f>
        <v/>
      </c>
      <c r="I458" s="24">
        <f>IF($D458="","",IFERROR(VLOOKUP($D458,物料档案!$A$4:$P$1203,6,0),"※编码不在物料档案里"))</f>
        <v/>
      </c>
      <c r="J458" s="23" t="n"/>
      <c r="K458" s="17" t="n"/>
      <c r="L458" s="17" t="n"/>
      <c r="M458" s="17" t="n"/>
      <c r="N458" s="17" t="n"/>
      <c r="O458" s="26">
        <f>IF($D458="","",IFERROR(VLOOKUP($D458,物料档案!$A$4:$P$1203,10,0),0))</f>
        <v/>
      </c>
      <c r="P458" s="32" t="n"/>
      <c r="Q458" s="26">
        <f>IF($D458="","",IF($K458&lt;&gt;"对外销售",0,ROUND(N($J458)*IF($P458="",N($O458),N($P458)),0)))</f>
        <v/>
      </c>
      <c r="R458" s="26">
        <f>IF($D458="","",IFERROR(VLOOKUP($D458,库存台账!$A$5:$Y$1204,11,0),0))</f>
        <v/>
      </c>
      <c r="S458" s="26">
        <f>IF($D458="","",ROUND(N($J458)*N($R458),0))</f>
        <v/>
      </c>
      <c r="T458" s="26">
        <f>IF($D458="","",IF($K458&lt;&gt;"对外销售","",ROUND($Q458-$S458,0)))</f>
        <v/>
      </c>
      <c r="U458" s="17" t="n"/>
      <c r="V458" s="17" t="n"/>
      <c r="W458" s="24">
        <f>IF($D458="","",IF($E458="※编码不在物料档案里","※物料编码不在档案里",IF(N($J458)&lt;=0,"※出库数量要大于 0",IF($K458="","※没填去向类型",IF($L458="","※没填去向矿区",IF(AND($C458&lt;&gt;"",$C458&lt;=结账锁),"※日期早于已结账截止日，不能再录",IF(AND($K458="自用消耗",COUNTIF({"一矿区";"二矿区"},$L458)=0),"※自用消耗的去向只能是一矿区或二矿区",IF(AND($K458="对外销售",COUNTIF({"三矿区";"六矿区"},$L458)=0),"※对外销售的去向只能是三矿区或六矿区",IF(AND($K458="对外销售",ROUND($Q458,0)=0),"※外销却没有售价，请填实际售价",IF(AND($K458="对外销售",$T458&lt;&gt;"",$T458&lt;0),"※这一笔外销是亏的，请核对售价",IF(IFERROR(VLOOKUP($D458,库存台账!$A$5:$Y$1204,24,0),0)&lt;-0.001,"※这个物料账面已经变成负数了，查一下是不是漏记入库","")))))))))))</f>
        <v/>
      </c>
    </row>
    <row r="459">
      <c r="A459" s="24">
        <f>IF($D459="","",COUNTA($D$4:$D459))</f>
        <v/>
      </c>
      <c r="B459" s="17" t="n"/>
      <c r="C459" s="30" t="n"/>
      <c r="D459" s="17" t="n"/>
      <c r="E459" s="24">
        <f>IF($D459="","",IFERROR(VLOOKUP($D459,物料档案!$A$4:$P$1203,3,0),"※编码不在物料档案里"))</f>
        <v/>
      </c>
      <c r="F459" s="24">
        <f>IF($D459="","",IFERROR(VLOOKUP($D459,物料档案!$A$4:$P$1203,4,0),"※编码不在物料档案里"))</f>
        <v/>
      </c>
      <c r="G459" s="24">
        <f>IF($D459="","",IFERROR(VLOOKUP($D459,物料档案!$A$4:$P$1203,5,0),"※编码不在物料档案里"))</f>
        <v/>
      </c>
      <c r="H459" s="24">
        <f>IF($D459="","",IFERROR(VLOOKUP($D459,物料档案!$A$4:$P$1203,2,0),"※编码不在物料档案里"))</f>
        <v/>
      </c>
      <c r="I459" s="24">
        <f>IF($D459="","",IFERROR(VLOOKUP($D459,物料档案!$A$4:$P$1203,6,0),"※编码不在物料档案里"))</f>
        <v/>
      </c>
      <c r="J459" s="23" t="n"/>
      <c r="K459" s="17" t="n"/>
      <c r="L459" s="17" t="n"/>
      <c r="M459" s="17" t="n"/>
      <c r="N459" s="17" t="n"/>
      <c r="O459" s="26">
        <f>IF($D459="","",IFERROR(VLOOKUP($D459,物料档案!$A$4:$P$1203,10,0),0))</f>
        <v/>
      </c>
      <c r="P459" s="32" t="n"/>
      <c r="Q459" s="26">
        <f>IF($D459="","",IF($K459&lt;&gt;"对外销售",0,ROUND(N($J459)*IF($P459="",N($O459),N($P459)),0)))</f>
        <v/>
      </c>
      <c r="R459" s="26">
        <f>IF($D459="","",IFERROR(VLOOKUP($D459,库存台账!$A$5:$Y$1204,11,0),0))</f>
        <v/>
      </c>
      <c r="S459" s="26">
        <f>IF($D459="","",ROUND(N($J459)*N($R459),0))</f>
        <v/>
      </c>
      <c r="T459" s="26">
        <f>IF($D459="","",IF($K459&lt;&gt;"对外销售","",ROUND($Q459-$S459,0)))</f>
        <v/>
      </c>
      <c r="U459" s="17" t="n"/>
      <c r="V459" s="17" t="n"/>
      <c r="W459" s="24">
        <f>IF($D459="","",IF($E459="※编码不在物料档案里","※物料编码不在档案里",IF(N($J459)&lt;=0,"※出库数量要大于 0",IF($K459="","※没填去向类型",IF($L459="","※没填去向矿区",IF(AND($C459&lt;&gt;"",$C459&lt;=结账锁),"※日期早于已结账截止日，不能再录",IF(AND($K459="自用消耗",COUNTIF({"一矿区";"二矿区"},$L459)=0),"※自用消耗的去向只能是一矿区或二矿区",IF(AND($K459="对外销售",COUNTIF({"三矿区";"六矿区"},$L459)=0),"※对外销售的去向只能是三矿区或六矿区",IF(AND($K459="对外销售",ROUND($Q459,0)=0),"※外销却没有售价，请填实际售价",IF(AND($K459="对外销售",$T459&lt;&gt;"",$T459&lt;0),"※这一笔外销是亏的，请核对售价",IF(IFERROR(VLOOKUP($D459,库存台账!$A$5:$Y$1204,24,0),0)&lt;-0.001,"※这个物料账面已经变成负数了，查一下是不是漏记入库","")))))))))))</f>
        <v/>
      </c>
    </row>
    <row r="460">
      <c r="A460" s="24">
        <f>IF($D460="","",COUNTA($D$4:$D460))</f>
        <v/>
      </c>
      <c r="B460" s="17" t="n"/>
      <c r="C460" s="30" t="n"/>
      <c r="D460" s="17" t="n"/>
      <c r="E460" s="24">
        <f>IF($D460="","",IFERROR(VLOOKUP($D460,物料档案!$A$4:$P$1203,3,0),"※编码不在物料档案里"))</f>
        <v/>
      </c>
      <c r="F460" s="24">
        <f>IF($D460="","",IFERROR(VLOOKUP($D460,物料档案!$A$4:$P$1203,4,0),"※编码不在物料档案里"))</f>
        <v/>
      </c>
      <c r="G460" s="24">
        <f>IF($D460="","",IFERROR(VLOOKUP($D460,物料档案!$A$4:$P$1203,5,0),"※编码不在物料档案里"))</f>
        <v/>
      </c>
      <c r="H460" s="24">
        <f>IF($D460="","",IFERROR(VLOOKUP($D460,物料档案!$A$4:$P$1203,2,0),"※编码不在物料档案里"))</f>
        <v/>
      </c>
      <c r="I460" s="24">
        <f>IF($D460="","",IFERROR(VLOOKUP($D460,物料档案!$A$4:$P$1203,6,0),"※编码不在物料档案里"))</f>
        <v/>
      </c>
      <c r="J460" s="23" t="n"/>
      <c r="K460" s="17" t="n"/>
      <c r="L460" s="17" t="n"/>
      <c r="M460" s="17" t="n"/>
      <c r="N460" s="17" t="n"/>
      <c r="O460" s="26">
        <f>IF($D460="","",IFERROR(VLOOKUP($D460,物料档案!$A$4:$P$1203,10,0),0))</f>
        <v/>
      </c>
      <c r="P460" s="32" t="n"/>
      <c r="Q460" s="26">
        <f>IF($D460="","",IF($K460&lt;&gt;"对外销售",0,ROUND(N($J460)*IF($P460="",N($O460),N($P460)),0)))</f>
        <v/>
      </c>
      <c r="R460" s="26">
        <f>IF($D460="","",IFERROR(VLOOKUP($D460,库存台账!$A$5:$Y$1204,11,0),0))</f>
        <v/>
      </c>
      <c r="S460" s="26">
        <f>IF($D460="","",ROUND(N($J460)*N($R460),0))</f>
        <v/>
      </c>
      <c r="T460" s="26">
        <f>IF($D460="","",IF($K460&lt;&gt;"对外销售","",ROUND($Q460-$S460,0)))</f>
        <v/>
      </c>
      <c r="U460" s="17" t="n"/>
      <c r="V460" s="17" t="n"/>
      <c r="W460" s="24">
        <f>IF($D460="","",IF($E460="※编码不在物料档案里","※物料编码不在档案里",IF(N($J460)&lt;=0,"※出库数量要大于 0",IF($K460="","※没填去向类型",IF($L460="","※没填去向矿区",IF(AND($C460&lt;&gt;"",$C460&lt;=结账锁),"※日期早于已结账截止日，不能再录",IF(AND($K460="自用消耗",COUNTIF({"一矿区";"二矿区"},$L460)=0),"※自用消耗的去向只能是一矿区或二矿区",IF(AND($K460="对外销售",COUNTIF({"三矿区";"六矿区"},$L460)=0),"※对外销售的去向只能是三矿区或六矿区",IF(AND($K460="对外销售",ROUND($Q460,0)=0),"※外销却没有售价，请填实际售价",IF(AND($K460="对外销售",$T460&lt;&gt;"",$T460&lt;0),"※这一笔外销是亏的，请核对售价",IF(IFERROR(VLOOKUP($D460,库存台账!$A$5:$Y$1204,24,0),0)&lt;-0.001,"※这个物料账面已经变成负数了，查一下是不是漏记入库","")))))))))))</f>
        <v/>
      </c>
    </row>
    <row r="461">
      <c r="A461" s="24">
        <f>IF($D461="","",COUNTA($D$4:$D461))</f>
        <v/>
      </c>
      <c r="B461" s="17" t="n"/>
      <c r="C461" s="30" t="n"/>
      <c r="D461" s="17" t="n"/>
      <c r="E461" s="24">
        <f>IF($D461="","",IFERROR(VLOOKUP($D461,物料档案!$A$4:$P$1203,3,0),"※编码不在物料档案里"))</f>
        <v/>
      </c>
      <c r="F461" s="24">
        <f>IF($D461="","",IFERROR(VLOOKUP($D461,物料档案!$A$4:$P$1203,4,0),"※编码不在物料档案里"))</f>
        <v/>
      </c>
      <c r="G461" s="24">
        <f>IF($D461="","",IFERROR(VLOOKUP($D461,物料档案!$A$4:$P$1203,5,0),"※编码不在物料档案里"))</f>
        <v/>
      </c>
      <c r="H461" s="24">
        <f>IF($D461="","",IFERROR(VLOOKUP($D461,物料档案!$A$4:$P$1203,2,0),"※编码不在物料档案里"))</f>
        <v/>
      </c>
      <c r="I461" s="24">
        <f>IF($D461="","",IFERROR(VLOOKUP($D461,物料档案!$A$4:$P$1203,6,0),"※编码不在物料档案里"))</f>
        <v/>
      </c>
      <c r="J461" s="23" t="n"/>
      <c r="K461" s="17" t="n"/>
      <c r="L461" s="17" t="n"/>
      <c r="M461" s="17" t="n"/>
      <c r="N461" s="17" t="n"/>
      <c r="O461" s="26">
        <f>IF($D461="","",IFERROR(VLOOKUP($D461,物料档案!$A$4:$P$1203,10,0),0))</f>
        <v/>
      </c>
      <c r="P461" s="32" t="n"/>
      <c r="Q461" s="26">
        <f>IF($D461="","",IF($K461&lt;&gt;"对外销售",0,ROUND(N($J461)*IF($P461="",N($O461),N($P461)),0)))</f>
        <v/>
      </c>
      <c r="R461" s="26">
        <f>IF($D461="","",IFERROR(VLOOKUP($D461,库存台账!$A$5:$Y$1204,11,0),0))</f>
        <v/>
      </c>
      <c r="S461" s="26">
        <f>IF($D461="","",ROUND(N($J461)*N($R461),0))</f>
        <v/>
      </c>
      <c r="T461" s="26">
        <f>IF($D461="","",IF($K461&lt;&gt;"对外销售","",ROUND($Q461-$S461,0)))</f>
        <v/>
      </c>
      <c r="U461" s="17" t="n"/>
      <c r="V461" s="17" t="n"/>
      <c r="W461" s="24">
        <f>IF($D461="","",IF($E461="※编码不在物料档案里","※物料编码不在档案里",IF(N($J461)&lt;=0,"※出库数量要大于 0",IF($K461="","※没填去向类型",IF($L461="","※没填去向矿区",IF(AND($C461&lt;&gt;"",$C461&lt;=结账锁),"※日期早于已结账截止日，不能再录",IF(AND($K461="自用消耗",COUNTIF({"一矿区";"二矿区"},$L461)=0),"※自用消耗的去向只能是一矿区或二矿区",IF(AND($K461="对外销售",COUNTIF({"三矿区";"六矿区"},$L461)=0),"※对外销售的去向只能是三矿区或六矿区",IF(AND($K461="对外销售",ROUND($Q461,0)=0),"※外销却没有售价，请填实际售价",IF(AND($K461="对外销售",$T461&lt;&gt;"",$T461&lt;0),"※这一笔外销是亏的，请核对售价",IF(IFERROR(VLOOKUP($D461,库存台账!$A$5:$Y$1204,24,0),0)&lt;-0.001,"※这个物料账面已经变成负数了，查一下是不是漏记入库","")))))))))))</f>
        <v/>
      </c>
    </row>
    <row r="462">
      <c r="A462" s="24">
        <f>IF($D462="","",COUNTA($D$4:$D462))</f>
        <v/>
      </c>
      <c r="B462" s="17" t="n"/>
      <c r="C462" s="30" t="n"/>
      <c r="D462" s="17" t="n"/>
      <c r="E462" s="24">
        <f>IF($D462="","",IFERROR(VLOOKUP($D462,物料档案!$A$4:$P$1203,3,0),"※编码不在物料档案里"))</f>
        <v/>
      </c>
      <c r="F462" s="24">
        <f>IF($D462="","",IFERROR(VLOOKUP($D462,物料档案!$A$4:$P$1203,4,0),"※编码不在物料档案里"))</f>
        <v/>
      </c>
      <c r="G462" s="24">
        <f>IF($D462="","",IFERROR(VLOOKUP($D462,物料档案!$A$4:$P$1203,5,0),"※编码不在物料档案里"))</f>
        <v/>
      </c>
      <c r="H462" s="24">
        <f>IF($D462="","",IFERROR(VLOOKUP($D462,物料档案!$A$4:$P$1203,2,0),"※编码不在物料档案里"))</f>
        <v/>
      </c>
      <c r="I462" s="24">
        <f>IF($D462="","",IFERROR(VLOOKUP($D462,物料档案!$A$4:$P$1203,6,0),"※编码不在物料档案里"))</f>
        <v/>
      </c>
      <c r="J462" s="23" t="n"/>
      <c r="K462" s="17" t="n"/>
      <c r="L462" s="17" t="n"/>
      <c r="M462" s="17" t="n"/>
      <c r="N462" s="17" t="n"/>
      <c r="O462" s="26">
        <f>IF($D462="","",IFERROR(VLOOKUP($D462,物料档案!$A$4:$P$1203,10,0),0))</f>
        <v/>
      </c>
      <c r="P462" s="32" t="n"/>
      <c r="Q462" s="26">
        <f>IF($D462="","",IF($K462&lt;&gt;"对外销售",0,ROUND(N($J462)*IF($P462="",N($O462),N($P462)),0)))</f>
        <v/>
      </c>
      <c r="R462" s="26">
        <f>IF($D462="","",IFERROR(VLOOKUP($D462,库存台账!$A$5:$Y$1204,11,0),0))</f>
        <v/>
      </c>
      <c r="S462" s="26">
        <f>IF($D462="","",ROUND(N($J462)*N($R462),0))</f>
        <v/>
      </c>
      <c r="T462" s="26">
        <f>IF($D462="","",IF($K462&lt;&gt;"对外销售","",ROUND($Q462-$S462,0)))</f>
        <v/>
      </c>
      <c r="U462" s="17" t="n"/>
      <c r="V462" s="17" t="n"/>
      <c r="W462" s="24">
        <f>IF($D462="","",IF($E462="※编码不在物料档案里","※物料编码不在档案里",IF(N($J462)&lt;=0,"※出库数量要大于 0",IF($K462="","※没填去向类型",IF($L462="","※没填去向矿区",IF(AND($C462&lt;&gt;"",$C462&lt;=结账锁),"※日期早于已结账截止日，不能再录",IF(AND($K462="自用消耗",COUNTIF({"一矿区";"二矿区"},$L462)=0),"※自用消耗的去向只能是一矿区或二矿区",IF(AND($K462="对外销售",COUNTIF({"三矿区";"六矿区"},$L462)=0),"※对外销售的去向只能是三矿区或六矿区",IF(AND($K462="对外销售",ROUND($Q462,0)=0),"※外销却没有售价，请填实际售价",IF(AND($K462="对外销售",$T462&lt;&gt;"",$T462&lt;0),"※这一笔外销是亏的，请核对售价",IF(IFERROR(VLOOKUP($D462,库存台账!$A$5:$Y$1204,24,0),0)&lt;-0.001,"※这个物料账面已经变成负数了，查一下是不是漏记入库","")))))))))))</f>
        <v/>
      </c>
    </row>
    <row r="463">
      <c r="A463" s="24">
        <f>IF($D463="","",COUNTA($D$4:$D463))</f>
        <v/>
      </c>
      <c r="B463" s="17" t="n"/>
      <c r="C463" s="30" t="n"/>
      <c r="D463" s="17" t="n"/>
      <c r="E463" s="24">
        <f>IF($D463="","",IFERROR(VLOOKUP($D463,物料档案!$A$4:$P$1203,3,0),"※编码不在物料档案里"))</f>
        <v/>
      </c>
      <c r="F463" s="24">
        <f>IF($D463="","",IFERROR(VLOOKUP($D463,物料档案!$A$4:$P$1203,4,0),"※编码不在物料档案里"))</f>
        <v/>
      </c>
      <c r="G463" s="24">
        <f>IF($D463="","",IFERROR(VLOOKUP($D463,物料档案!$A$4:$P$1203,5,0),"※编码不在物料档案里"))</f>
        <v/>
      </c>
      <c r="H463" s="24">
        <f>IF($D463="","",IFERROR(VLOOKUP($D463,物料档案!$A$4:$P$1203,2,0),"※编码不在物料档案里"))</f>
        <v/>
      </c>
      <c r="I463" s="24">
        <f>IF($D463="","",IFERROR(VLOOKUP($D463,物料档案!$A$4:$P$1203,6,0),"※编码不在物料档案里"))</f>
        <v/>
      </c>
      <c r="J463" s="23" t="n"/>
      <c r="K463" s="17" t="n"/>
      <c r="L463" s="17" t="n"/>
      <c r="M463" s="17" t="n"/>
      <c r="N463" s="17" t="n"/>
      <c r="O463" s="26">
        <f>IF($D463="","",IFERROR(VLOOKUP($D463,物料档案!$A$4:$P$1203,10,0),0))</f>
        <v/>
      </c>
      <c r="P463" s="32" t="n"/>
      <c r="Q463" s="26">
        <f>IF($D463="","",IF($K463&lt;&gt;"对外销售",0,ROUND(N($J463)*IF($P463="",N($O463),N($P463)),0)))</f>
        <v/>
      </c>
      <c r="R463" s="26">
        <f>IF($D463="","",IFERROR(VLOOKUP($D463,库存台账!$A$5:$Y$1204,11,0),0))</f>
        <v/>
      </c>
      <c r="S463" s="26">
        <f>IF($D463="","",ROUND(N($J463)*N($R463),0))</f>
        <v/>
      </c>
      <c r="T463" s="26">
        <f>IF($D463="","",IF($K463&lt;&gt;"对外销售","",ROUND($Q463-$S463,0)))</f>
        <v/>
      </c>
      <c r="U463" s="17" t="n"/>
      <c r="V463" s="17" t="n"/>
      <c r="W463" s="24">
        <f>IF($D463="","",IF($E463="※编码不在物料档案里","※物料编码不在档案里",IF(N($J463)&lt;=0,"※出库数量要大于 0",IF($K463="","※没填去向类型",IF($L463="","※没填去向矿区",IF(AND($C463&lt;&gt;"",$C463&lt;=结账锁),"※日期早于已结账截止日，不能再录",IF(AND($K463="自用消耗",COUNTIF({"一矿区";"二矿区"},$L463)=0),"※自用消耗的去向只能是一矿区或二矿区",IF(AND($K463="对外销售",COUNTIF({"三矿区";"六矿区"},$L463)=0),"※对外销售的去向只能是三矿区或六矿区",IF(AND($K463="对外销售",ROUND($Q463,0)=0),"※外销却没有售价，请填实际售价",IF(AND($K463="对外销售",$T463&lt;&gt;"",$T463&lt;0),"※这一笔外销是亏的，请核对售价",IF(IFERROR(VLOOKUP($D463,库存台账!$A$5:$Y$1204,24,0),0)&lt;-0.001,"※这个物料账面已经变成负数了，查一下是不是漏记入库","")))))))))))</f>
        <v/>
      </c>
    </row>
    <row r="464">
      <c r="A464" s="24">
        <f>IF($D464="","",COUNTA($D$4:$D464))</f>
        <v/>
      </c>
      <c r="B464" s="17" t="n"/>
      <c r="C464" s="30" t="n"/>
      <c r="D464" s="17" t="n"/>
      <c r="E464" s="24">
        <f>IF($D464="","",IFERROR(VLOOKUP($D464,物料档案!$A$4:$P$1203,3,0),"※编码不在物料档案里"))</f>
        <v/>
      </c>
      <c r="F464" s="24">
        <f>IF($D464="","",IFERROR(VLOOKUP($D464,物料档案!$A$4:$P$1203,4,0),"※编码不在物料档案里"))</f>
        <v/>
      </c>
      <c r="G464" s="24">
        <f>IF($D464="","",IFERROR(VLOOKUP($D464,物料档案!$A$4:$P$1203,5,0),"※编码不在物料档案里"))</f>
        <v/>
      </c>
      <c r="H464" s="24">
        <f>IF($D464="","",IFERROR(VLOOKUP($D464,物料档案!$A$4:$P$1203,2,0),"※编码不在物料档案里"))</f>
        <v/>
      </c>
      <c r="I464" s="24">
        <f>IF($D464="","",IFERROR(VLOOKUP($D464,物料档案!$A$4:$P$1203,6,0),"※编码不在物料档案里"))</f>
        <v/>
      </c>
      <c r="J464" s="23" t="n"/>
      <c r="K464" s="17" t="n"/>
      <c r="L464" s="17" t="n"/>
      <c r="M464" s="17" t="n"/>
      <c r="N464" s="17" t="n"/>
      <c r="O464" s="26">
        <f>IF($D464="","",IFERROR(VLOOKUP($D464,物料档案!$A$4:$P$1203,10,0),0))</f>
        <v/>
      </c>
      <c r="P464" s="32" t="n"/>
      <c r="Q464" s="26">
        <f>IF($D464="","",IF($K464&lt;&gt;"对外销售",0,ROUND(N($J464)*IF($P464="",N($O464),N($P464)),0)))</f>
        <v/>
      </c>
      <c r="R464" s="26">
        <f>IF($D464="","",IFERROR(VLOOKUP($D464,库存台账!$A$5:$Y$1204,11,0),0))</f>
        <v/>
      </c>
      <c r="S464" s="26">
        <f>IF($D464="","",ROUND(N($J464)*N($R464),0))</f>
        <v/>
      </c>
      <c r="T464" s="26">
        <f>IF($D464="","",IF($K464&lt;&gt;"对外销售","",ROUND($Q464-$S464,0)))</f>
        <v/>
      </c>
      <c r="U464" s="17" t="n"/>
      <c r="V464" s="17" t="n"/>
      <c r="W464" s="24">
        <f>IF($D464="","",IF($E464="※编码不在物料档案里","※物料编码不在档案里",IF(N($J464)&lt;=0,"※出库数量要大于 0",IF($K464="","※没填去向类型",IF($L464="","※没填去向矿区",IF(AND($C464&lt;&gt;"",$C464&lt;=结账锁),"※日期早于已结账截止日，不能再录",IF(AND($K464="自用消耗",COUNTIF({"一矿区";"二矿区"},$L464)=0),"※自用消耗的去向只能是一矿区或二矿区",IF(AND($K464="对外销售",COUNTIF({"三矿区";"六矿区"},$L464)=0),"※对外销售的去向只能是三矿区或六矿区",IF(AND($K464="对外销售",ROUND($Q464,0)=0),"※外销却没有售价，请填实际售价",IF(AND($K464="对外销售",$T464&lt;&gt;"",$T464&lt;0),"※这一笔外销是亏的，请核对售价",IF(IFERROR(VLOOKUP($D464,库存台账!$A$5:$Y$1204,24,0),0)&lt;-0.001,"※这个物料账面已经变成负数了，查一下是不是漏记入库","")))))))))))</f>
        <v/>
      </c>
    </row>
    <row r="465">
      <c r="A465" s="24">
        <f>IF($D465="","",COUNTA($D$4:$D465))</f>
        <v/>
      </c>
      <c r="B465" s="17" t="n"/>
      <c r="C465" s="30" t="n"/>
      <c r="D465" s="17" t="n"/>
      <c r="E465" s="24">
        <f>IF($D465="","",IFERROR(VLOOKUP($D465,物料档案!$A$4:$P$1203,3,0),"※编码不在物料档案里"))</f>
        <v/>
      </c>
      <c r="F465" s="24">
        <f>IF($D465="","",IFERROR(VLOOKUP($D465,物料档案!$A$4:$P$1203,4,0),"※编码不在物料档案里"))</f>
        <v/>
      </c>
      <c r="G465" s="24">
        <f>IF($D465="","",IFERROR(VLOOKUP($D465,物料档案!$A$4:$P$1203,5,0),"※编码不在物料档案里"))</f>
        <v/>
      </c>
      <c r="H465" s="24">
        <f>IF($D465="","",IFERROR(VLOOKUP($D465,物料档案!$A$4:$P$1203,2,0),"※编码不在物料档案里"))</f>
        <v/>
      </c>
      <c r="I465" s="24">
        <f>IF($D465="","",IFERROR(VLOOKUP($D465,物料档案!$A$4:$P$1203,6,0),"※编码不在物料档案里"))</f>
        <v/>
      </c>
      <c r="J465" s="23" t="n"/>
      <c r="K465" s="17" t="n"/>
      <c r="L465" s="17" t="n"/>
      <c r="M465" s="17" t="n"/>
      <c r="N465" s="17" t="n"/>
      <c r="O465" s="26">
        <f>IF($D465="","",IFERROR(VLOOKUP($D465,物料档案!$A$4:$P$1203,10,0),0))</f>
        <v/>
      </c>
      <c r="P465" s="32" t="n"/>
      <c r="Q465" s="26">
        <f>IF($D465="","",IF($K465&lt;&gt;"对外销售",0,ROUND(N($J465)*IF($P465="",N($O465),N($P465)),0)))</f>
        <v/>
      </c>
      <c r="R465" s="26">
        <f>IF($D465="","",IFERROR(VLOOKUP($D465,库存台账!$A$5:$Y$1204,11,0),0))</f>
        <v/>
      </c>
      <c r="S465" s="26">
        <f>IF($D465="","",ROUND(N($J465)*N($R465),0))</f>
        <v/>
      </c>
      <c r="T465" s="26">
        <f>IF($D465="","",IF($K465&lt;&gt;"对外销售","",ROUND($Q465-$S465,0)))</f>
        <v/>
      </c>
      <c r="U465" s="17" t="n"/>
      <c r="V465" s="17" t="n"/>
      <c r="W465" s="24">
        <f>IF($D465="","",IF($E465="※编码不在物料档案里","※物料编码不在档案里",IF(N($J465)&lt;=0,"※出库数量要大于 0",IF($K465="","※没填去向类型",IF($L465="","※没填去向矿区",IF(AND($C465&lt;&gt;"",$C465&lt;=结账锁),"※日期早于已结账截止日，不能再录",IF(AND($K465="自用消耗",COUNTIF({"一矿区";"二矿区"},$L465)=0),"※自用消耗的去向只能是一矿区或二矿区",IF(AND($K465="对外销售",COUNTIF({"三矿区";"六矿区"},$L465)=0),"※对外销售的去向只能是三矿区或六矿区",IF(AND($K465="对外销售",ROUND($Q465,0)=0),"※外销却没有售价，请填实际售价",IF(AND($K465="对外销售",$T465&lt;&gt;"",$T465&lt;0),"※这一笔外销是亏的，请核对售价",IF(IFERROR(VLOOKUP($D465,库存台账!$A$5:$Y$1204,24,0),0)&lt;-0.001,"※这个物料账面已经变成负数了，查一下是不是漏记入库","")))))))))))</f>
        <v/>
      </c>
    </row>
    <row r="466">
      <c r="A466" s="24">
        <f>IF($D466="","",COUNTA($D$4:$D466))</f>
        <v/>
      </c>
      <c r="B466" s="17" t="n"/>
      <c r="C466" s="30" t="n"/>
      <c r="D466" s="17" t="n"/>
      <c r="E466" s="24">
        <f>IF($D466="","",IFERROR(VLOOKUP($D466,物料档案!$A$4:$P$1203,3,0),"※编码不在物料档案里"))</f>
        <v/>
      </c>
      <c r="F466" s="24">
        <f>IF($D466="","",IFERROR(VLOOKUP($D466,物料档案!$A$4:$P$1203,4,0),"※编码不在物料档案里"))</f>
        <v/>
      </c>
      <c r="G466" s="24">
        <f>IF($D466="","",IFERROR(VLOOKUP($D466,物料档案!$A$4:$P$1203,5,0),"※编码不在物料档案里"))</f>
        <v/>
      </c>
      <c r="H466" s="24">
        <f>IF($D466="","",IFERROR(VLOOKUP($D466,物料档案!$A$4:$P$1203,2,0),"※编码不在物料档案里"))</f>
        <v/>
      </c>
      <c r="I466" s="24">
        <f>IF($D466="","",IFERROR(VLOOKUP($D466,物料档案!$A$4:$P$1203,6,0),"※编码不在物料档案里"))</f>
        <v/>
      </c>
      <c r="J466" s="23" t="n"/>
      <c r="K466" s="17" t="n"/>
      <c r="L466" s="17" t="n"/>
      <c r="M466" s="17" t="n"/>
      <c r="N466" s="17" t="n"/>
      <c r="O466" s="26">
        <f>IF($D466="","",IFERROR(VLOOKUP($D466,物料档案!$A$4:$P$1203,10,0),0))</f>
        <v/>
      </c>
      <c r="P466" s="32" t="n"/>
      <c r="Q466" s="26">
        <f>IF($D466="","",IF($K466&lt;&gt;"对外销售",0,ROUND(N($J466)*IF($P466="",N($O466),N($P466)),0)))</f>
        <v/>
      </c>
      <c r="R466" s="26">
        <f>IF($D466="","",IFERROR(VLOOKUP($D466,库存台账!$A$5:$Y$1204,11,0),0))</f>
        <v/>
      </c>
      <c r="S466" s="26">
        <f>IF($D466="","",ROUND(N($J466)*N($R466),0))</f>
        <v/>
      </c>
      <c r="T466" s="26">
        <f>IF($D466="","",IF($K466&lt;&gt;"对外销售","",ROUND($Q466-$S466,0)))</f>
        <v/>
      </c>
      <c r="U466" s="17" t="n"/>
      <c r="V466" s="17" t="n"/>
      <c r="W466" s="24">
        <f>IF($D466="","",IF($E466="※编码不在物料档案里","※物料编码不在档案里",IF(N($J466)&lt;=0,"※出库数量要大于 0",IF($K466="","※没填去向类型",IF($L466="","※没填去向矿区",IF(AND($C466&lt;&gt;"",$C466&lt;=结账锁),"※日期早于已结账截止日，不能再录",IF(AND($K466="自用消耗",COUNTIF({"一矿区";"二矿区"},$L466)=0),"※自用消耗的去向只能是一矿区或二矿区",IF(AND($K466="对外销售",COUNTIF({"三矿区";"六矿区"},$L466)=0),"※对外销售的去向只能是三矿区或六矿区",IF(AND($K466="对外销售",ROUND($Q466,0)=0),"※外销却没有售价，请填实际售价",IF(AND($K466="对外销售",$T466&lt;&gt;"",$T466&lt;0),"※这一笔外销是亏的，请核对售价",IF(IFERROR(VLOOKUP($D466,库存台账!$A$5:$Y$1204,24,0),0)&lt;-0.001,"※这个物料账面已经变成负数了，查一下是不是漏记入库","")))))))))))</f>
        <v/>
      </c>
    </row>
    <row r="467">
      <c r="A467" s="24">
        <f>IF($D467="","",COUNTA($D$4:$D467))</f>
        <v/>
      </c>
      <c r="B467" s="17" t="n"/>
      <c r="C467" s="30" t="n"/>
      <c r="D467" s="17" t="n"/>
      <c r="E467" s="24">
        <f>IF($D467="","",IFERROR(VLOOKUP($D467,物料档案!$A$4:$P$1203,3,0),"※编码不在物料档案里"))</f>
        <v/>
      </c>
      <c r="F467" s="24">
        <f>IF($D467="","",IFERROR(VLOOKUP($D467,物料档案!$A$4:$P$1203,4,0),"※编码不在物料档案里"))</f>
        <v/>
      </c>
      <c r="G467" s="24">
        <f>IF($D467="","",IFERROR(VLOOKUP($D467,物料档案!$A$4:$P$1203,5,0),"※编码不在物料档案里"))</f>
        <v/>
      </c>
      <c r="H467" s="24">
        <f>IF($D467="","",IFERROR(VLOOKUP($D467,物料档案!$A$4:$P$1203,2,0),"※编码不在物料档案里"))</f>
        <v/>
      </c>
      <c r="I467" s="24">
        <f>IF($D467="","",IFERROR(VLOOKUP($D467,物料档案!$A$4:$P$1203,6,0),"※编码不在物料档案里"))</f>
        <v/>
      </c>
      <c r="J467" s="23" t="n"/>
      <c r="K467" s="17" t="n"/>
      <c r="L467" s="17" t="n"/>
      <c r="M467" s="17" t="n"/>
      <c r="N467" s="17" t="n"/>
      <c r="O467" s="26">
        <f>IF($D467="","",IFERROR(VLOOKUP($D467,物料档案!$A$4:$P$1203,10,0),0))</f>
        <v/>
      </c>
      <c r="P467" s="32" t="n"/>
      <c r="Q467" s="26">
        <f>IF($D467="","",IF($K467&lt;&gt;"对外销售",0,ROUND(N($J467)*IF($P467="",N($O467),N($P467)),0)))</f>
        <v/>
      </c>
      <c r="R467" s="26">
        <f>IF($D467="","",IFERROR(VLOOKUP($D467,库存台账!$A$5:$Y$1204,11,0),0))</f>
        <v/>
      </c>
      <c r="S467" s="26">
        <f>IF($D467="","",ROUND(N($J467)*N($R467),0))</f>
        <v/>
      </c>
      <c r="T467" s="26">
        <f>IF($D467="","",IF($K467&lt;&gt;"对外销售","",ROUND($Q467-$S467,0)))</f>
        <v/>
      </c>
      <c r="U467" s="17" t="n"/>
      <c r="V467" s="17" t="n"/>
      <c r="W467" s="24">
        <f>IF($D467="","",IF($E467="※编码不在物料档案里","※物料编码不在档案里",IF(N($J467)&lt;=0,"※出库数量要大于 0",IF($K467="","※没填去向类型",IF($L467="","※没填去向矿区",IF(AND($C467&lt;&gt;"",$C467&lt;=结账锁),"※日期早于已结账截止日，不能再录",IF(AND($K467="自用消耗",COUNTIF({"一矿区";"二矿区"},$L467)=0),"※自用消耗的去向只能是一矿区或二矿区",IF(AND($K467="对外销售",COUNTIF({"三矿区";"六矿区"},$L467)=0),"※对外销售的去向只能是三矿区或六矿区",IF(AND($K467="对外销售",ROUND($Q467,0)=0),"※外销却没有售价，请填实际售价",IF(AND($K467="对外销售",$T467&lt;&gt;"",$T467&lt;0),"※这一笔外销是亏的，请核对售价",IF(IFERROR(VLOOKUP($D467,库存台账!$A$5:$Y$1204,24,0),0)&lt;-0.001,"※这个物料账面已经变成负数了，查一下是不是漏记入库","")))))))))))</f>
        <v/>
      </c>
    </row>
    <row r="468">
      <c r="A468" s="24">
        <f>IF($D468="","",COUNTA($D$4:$D468))</f>
        <v/>
      </c>
      <c r="B468" s="17" t="n"/>
      <c r="C468" s="30" t="n"/>
      <c r="D468" s="17" t="n"/>
      <c r="E468" s="24">
        <f>IF($D468="","",IFERROR(VLOOKUP($D468,物料档案!$A$4:$P$1203,3,0),"※编码不在物料档案里"))</f>
        <v/>
      </c>
      <c r="F468" s="24">
        <f>IF($D468="","",IFERROR(VLOOKUP($D468,物料档案!$A$4:$P$1203,4,0),"※编码不在物料档案里"))</f>
        <v/>
      </c>
      <c r="G468" s="24">
        <f>IF($D468="","",IFERROR(VLOOKUP($D468,物料档案!$A$4:$P$1203,5,0),"※编码不在物料档案里"))</f>
        <v/>
      </c>
      <c r="H468" s="24">
        <f>IF($D468="","",IFERROR(VLOOKUP($D468,物料档案!$A$4:$P$1203,2,0),"※编码不在物料档案里"))</f>
        <v/>
      </c>
      <c r="I468" s="24">
        <f>IF($D468="","",IFERROR(VLOOKUP($D468,物料档案!$A$4:$P$1203,6,0),"※编码不在物料档案里"))</f>
        <v/>
      </c>
      <c r="J468" s="23" t="n"/>
      <c r="K468" s="17" t="n"/>
      <c r="L468" s="17" t="n"/>
      <c r="M468" s="17" t="n"/>
      <c r="N468" s="17" t="n"/>
      <c r="O468" s="26">
        <f>IF($D468="","",IFERROR(VLOOKUP($D468,物料档案!$A$4:$P$1203,10,0),0))</f>
        <v/>
      </c>
      <c r="P468" s="32" t="n"/>
      <c r="Q468" s="26">
        <f>IF($D468="","",IF($K468&lt;&gt;"对外销售",0,ROUND(N($J468)*IF($P468="",N($O468),N($P468)),0)))</f>
        <v/>
      </c>
      <c r="R468" s="26">
        <f>IF($D468="","",IFERROR(VLOOKUP($D468,库存台账!$A$5:$Y$1204,11,0),0))</f>
        <v/>
      </c>
      <c r="S468" s="26">
        <f>IF($D468="","",ROUND(N($J468)*N($R468),0))</f>
        <v/>
      </c>
      <c r="T468" s="26">
        <f>IF($D468="","",IF($K468&lt;&gt;"对外销售","",ROUND($Q468-$S468,0)))</f>
        <v/>
      </c>
      <c r="U468" s="17" t="n"/>
      <c r="V468" s="17" t="n"/>
      <c r="W468" s="24">
        <f>IF($D468="","",IF($E468="※编码不在物料档案里","※物料编码不在档案里",IF(N($J468)&lt;=0,"※出库数量要大于 0",IF($K468="","※没填去向类型",IF($L468="","※没填去向矿区",IF(AND($C468&lt;&gt;"",$C468&lt;=结账锁),"※日期早于已结账截止日，不能再录",IF(AND($K468="自用消耗",COUNTIF({"一矿区";"二矿区"},$L468)=0),"※自用消耗的去向只能是一矿区或二矿区",IF(AND($K468="对外销售",COUNTIF({"三矿区";"六矿区"},$L468)=0),"※对外销售的去向只能是三矿区或六矿区",IF(AND($K468="对外销售",ROUND($Q468,0)=0),"※外销却没有售价，请填实际售价",IF(AND($K468="对外销售",$T468&lt;&gt;"",$T468&lt;0),"※这一笔外销是亏的，请核对售价",IF(IFERROR(VLOOKUP($D468,库存台账!$A$5:$Y$1204,24,0),0)&lt;-0.001,"※这个物料账面已经变成负数了，查一下是不是漏记入库","")))))))))))</f>
        <v/>
      </c>
    </row>
    <row r="469">
      <c r="A469" s="24">
        <f>IF($D469="","",COUNTA($D$4:$D469))</f>
        <v/>
      </c>
      <c r="B469" s="17" t="n"/>
      <c r="C469" s="30" t="n"/>
      <c r="D469" s="17" t="n"/>
      <c r="E469" s="24">
        <f>IF($D469="","",IFERROR(VLOOKUP($D469,物料档案!$A$4:$P$1203,3,0),"※编码不在物料档案里"))</f>
        <v/>
      </c>
      <c r="F469" s="24">
        <f>IF($D469="","",IFERROR(VLOOKUP($D469,物料档案!$A$4:$P$1203,4,0),"※编码不在物料档案里"))</f>
        <v/>
      </c>
      <c r="G469" s="24">
        <f>IF($D469="","",IFERROR(VLOOKUP($D469,物料档案!$A$4:$P$1203,5,0),"※编码不在物料档案里"))</f>
        <v/>
      </c>
      <c r="H469" s="24">
        <f>IF($D469="","",IFERROR(VLOOKUP($D469,物料档案!$A$4:$P$1203,2,0),"※编码不在物料档案里"))</f>
        <v/>
      </c>
      <c r="I469" s="24">
        <f>IF($D469="","",IFERROR(VLOOKUP($D469,物料档案!$A$4:$P$1203,6,0),"※编码不在物料档案里"))</f>
        <v/>
      </c>
      <c r="J469" s="23" t="n"/>
      <c r="K469" s="17" t="n"/>
      <c r="L469" s="17" t="n"/>
      <c r="M469" s="17" t="n"/>
      <c r="N469" s="17" t="n"/>
      <c r="O469" s="26">
        <f>IF($D469="","",IFERROR(VLOOKUP($D469,物料档案!$A$4:$P$1203,10,0),0))</f>
        <v/>
      </c>
      <c r="P469" s="32" t="n"/>
      <c r="Q469" s="26">
        <f>IF($D469="","",IF($K469&lt;&gt;"对外销售",0,ROUND(N($J469)*IF($P469="",N($O469),N($P469)),0)))</f>
        <v/>
      </c>
      <c r="R469" s="26">
        <f>IF($D469="","",IFERROR(VLOOKUP($D469,库存台账!$A$5:$Y$1204,11,0),0))</f>
        <v/>
      </c>
      <c r="S469" s="26">
        <f>IF($D469="","",ROUND(N($J469)*N($R469),0))</f>
        <v/>
      </c>
      <c r="T469" s="26">
        <f>IF($D469="","",IF($K469&lt;&gt;"对外销售","",ROUND($Q469-$S469,0)))</f>
        <v/>
      </c>
      <c r="U469" s="17" t="n"/>
      <c r="V469" s="17" t="n"/>
      <c r="W469" s="24">
        <f>IF($D469="","",IF($E469="※编码不在物料档案里","※物料编码不在档案里",IF(N($J469)&lt;=0,"※出库数量要大于 0",IF($K469="","※没填去向类型",IF($L469="","※没填去向矿区",IF(AND($C469&lt;&gt;"",$C469&lt;=结账锁),"※日期早于已结账截止日，不能再录",IF(AND($K469="自用消耗",COUNTIF({"一矿区";"二矿区"},$L469)=0),"※自用消耗的去向只能是一矿区或二矿区",IF(AND($K469="对外销售",COUNTIF({"三矿区";"六矿区"},$L469)=0),"※对外销售的去向只能是三矿区或六矿区",IF(AND($K469="对外销售",ROUND($Q469,0)=0),"※外销却没有售价，请填实际售价",IF(AND($K469="对外销售",$T469&lt;&gt;"",$T469&lt;0),"※这一笔外销是亏的，请核对售价",IF(IFERROR(VLOOKUP($D469,库存台账!$A$5:$Y$1204,24,0),0)&lt;-0.001,"※这个物料账面已经变成负数了，查一下是不是漏记入库","")))))))))))</f>
        <v/>
      </c>
    </row>
    <row r="470">
      <c r="A470" s="24">
        <f>IF($D470="","",COUNTA($D$4:$D470))</f>
        <v/>
      </c>
      <c r="B470" s="17" t="n"/>
      <c r="C470" s="30" t="n"/>
      <c r="D470" s="17" t="n"/>
      <c r="E470" s="24">
        <f>IF($D470="","",IFERROR(VLOOKUP($D470,物料档案!$A$4:$P$1203,3,0),"※编码不在物料档案里"))</f>
        <v/>
      </c>
      <c r="F470" s="24">
        <f>IF($D470="","",IFERROR(VLOOKUP($D470,物料档案!$A$4:$P$1203,4,0),"※编码不在物料档案里"))</f>
        <v/>
      </c>
      <c r="G470" s="24">
        <f>IF($D470="","",IFERROR(VLOOKUP($D470,物料档案!$A$4:$P$1203,5,0),"※编码不在物料档案里"))</f>
        <v/>
      </c>
      <c r="H470" s="24">
        <f>IF($D470="","",IFERROR(VLOOKUP($D470,物料档案!$A$4:$P$1203,2,0),"※编码不在物料档案里"))</f>
        <v/>
      </c>
      <c r="I470" s="24">
        <f>IF($D470="","",IFERROR(VLOOKUP($D470,物料档案!$A$4:$P$1203,6,0),"※编码不在物料档案里"))</f>
        <v/>
      </c>
      <c r="J470" s="23" t="n"/>
      <c r="K470" s="17" t="n"/>
      <c r="L470" s="17" t="n"/>
      <c r="M470" s="17" t="n"/>
      <c r="N470" s="17" t="n"/>
      <c r="O470" s="26">
        <f>IF($D470="","",IFERROR(VLOOKUP($D470,物料档案!$A$4:$P$1203,10,0),0))</f>
        <v/>
      </c>
      <c r="P470" s="32" t="n"/>
      <c r="Q470" s="26">
        <f>IF($D470="","",IF($K470&lt;&gt;"对外销售",0,ROUND(N($J470)*IF($P470="",N($O470),N($P470)),0)))</f>
        <v/>
      </c>
      <c r="R470" s="26">
        <f>IF($D470="","",IFERROR(VLOOKUP($D470,库存台账!$A$5:$Y$1204,11,0),0))</f>
        <v/>
      </c>
      <c r="S470" s="26">
        <f>IF($D470="","",ROUND(N($J470)*N($R470),0))</f>
        <v/>
      </c>
      <c r="T470" s="26">
        <f>IF($D470="","",IF($K470&lt;&gt;"对外销售","",ROUND($Q470-$S470,0)))</f>
        <v/>
      </c>
      <c r="U470" s="17" t="n"/>
      <c r="V470" s="17" t="n"/>
      <c r="W470" s="24">
        <f>IF($D470="","",IF($E470="※编码不在物料档案里","※物料编码不在档案里",IF(N($J470)&lt;=0,"※出库数量要大于 0",IF($K470="","※没填去向类型",IF($L470="","※没填去向矿区",IF(AND($C470&lt;&gt;"",$C470&lt;=结账锁),"※日期早于已结账截止日，不能再录",IF(AND($K470="自用消耗",COUNTIF({"一矿区";"二矿区"},$L470)=0),"※自用消耗的去向只能是一矿区或二矿区",IF(AND($K470="对外销售",COUNTIF({"三矿区";"六矿区"},$L470)=0),"※对外销售的去向只能是三矿区或六矿区",IF(AND($K470="对外销售",ROUND($Q470,0)=0),"※外销却没有售价，请填实际售价",IF(AND($K470="对外销售",$T470&lt;&gt;"",$T470&lt;0),"※这一笔外销是亏的，请核对售价",IF(IFERROR(VLOOKUP($D470,库存台账!$A$5:$Y$1204,24,0),0)&lt;-0.001,"※这个物料账面已经变成负数了，查一下是不是漏记入库","")))))))))))</f>
        <v/>
      </c>
    </row>
    <row r="471">
      <c r="A471" s="24">
        <f>IF($D471="","",COUNTA($D$4:$D471))</f>
        <v/>
      </c>
      <c r="B471" s="17" t="n"/>
      <c r="C471" s="30" t="n"/>
      <c r="D471" s="17" t="n"/>
      <c r="E471" s="24">
        <f>IF($D471="","",IFERROR(VLOOKUP($D471,物料档案!$A$4:$P$1203,3,0),"※编码不在物料档案里"))</f>
        <v/>
      </c>
      <c r="F471" s="24">
        <f>IF($D471="","",IFERROR(VLOOKUP($D471,物料档案!$A$4:$P$1203,4,0),"※编码不在物料档案里"))</f>
        <v/>
      </c>
      <c r="G471" s="24">
        <f>IF($D471="","",IFERROR(VLOOKUP($D471,物料档案!$A$4:$P$1203,5,0),"※编码不在物料档案里"))</f>
        <v/>
      </c>
      <c r="H471" s="24">
        <f>IF($D471="","",IFERROR(VLOOKUP($D471,物料档案!$A$4:$P$1203,2,0),"※编码不在物料档案里"))</f>
        <v/>
      </c>
      <c r="I471" s="24">
        <f>IF($D471="","",IFERROR(VLOOKUP($D471,物料档案!$A$4:$P$1203,6,0),"※编码不在物料档案里"))</f>
        <v/>
      </c>
      <c r="J471" s="23" t="n"/>
      <c r="K471" s="17" t="n"/>
      <c r="L471" s="17" t="n"/>
      <c r="M471" s="17" t="n"/>
      <c r="N471" s="17" t="n"/>
      <c r="O471" s="26">
        <f>IF($D471="","",IFERROR(VLOOKUP($D471,物料档案!$A$4:$P$1203,10,0),0))</f>
        <v/>
      </c>
      <c r="P471" s="32" t="n"/>
      <c r="Q471" s="26">
        <f>IF($D471="","",IF($K471&lt;&gt;"对外销售",0,ROUND(N($J471)*IF($P471="",N($O471),N($P471)),0)))</f>
        <v/>
      </c>
      <c r="R471" s="26">
        <f>IF($D471="","",IFERROR(VLOOKUP($D471,库存台账!$A$5:$Y$1204,11,0),0))</f>
        <v/>
      </c>
      <c r="S471" s="26">
        <f>IF($D471="","",ROUND(N($J471)*N($R471),0))</f>
        <v/>
      </c>
      <c r="T471" s="26">
        <f>IF($D471="","",IF($K471&lt;&gt;"对外销售","",ROUND($Q471-$S471,0)))</f>
        <v/>
      </c>
      <c r="U471" s="17" t="n"/>
      <c r="V471" s="17" t="n"/>
      <c r="W471" s="24">
        <f>IF($D471="","",IF($E471="※编码不在物料档案里","※物料编码不在档案里",IF(N($J471)&lt;=0,"※出库数量要大于 0",IF($K471="","※没填去向类型",IF($L471="","※没填去向矿区",IF(AND($C471&lt;&gt;"",$C471&lt;=结账锁),"※日期早于已结账截止日，不能再录",IF(AND($K471="自用消耗",COUNTIF({"一矿区";"二矿区"},$L471)=0),"※自用消耗的去向只能是一矿区或二矿区",IF(AND($K471="对外销售",COUNTIF({"三矿区";"六矿区"},$L471)=0),"※对外销售的去向只能是三矿区或六矿区",IF(AND($K471="对外销售",ROUND($Q471,0)=0),"※外销却没有售价，请填实际售价",IF(AND($K471="对外销售",$T471&lt;&gt;"",$T471&lt;0),"※这一笔外销是亏的，请核对售价",IF(IFERROR(VLOOKUP($D471,库存台账!$A$5:$Y$1204,24,0),0)&lt;-0.001,"※这个物料账面已经变成负数了，查一下是不是漏记入库","")))))))))))</f>
        <v/>
      </c>
    </row>
    <row r="472">
      <c r="A472" s="24">
        <f>IF($D472="","",COUNTA($D$4:$D472))</f>
        <v/>
      </c>
      <c r="B472" s="17" t="n"/>
      <c r="C472" s="30" t="n"/>
      <c r="D472" s="17" t="n"/>
      <c r="E472" s="24">
        <f>IF($D472="","",IFERROR(VLOOKUP($D472,物料档案!$A$4:$P$1203,3,0),"※编码不在物料档案里"))</f>
        <v/>
      </c>
      <c r="F472" s="24">
        <f>IF($D472="","",IFERROR(VLOOKUP($D472,物料档案!$A$4:$P$1203,4,0),"※编码不在物料档案里"))</f>
        <v/>
      </c>
      <c r="G472" s="24">
        <f>IF($D472="","",IFERROR(VLOOKUP($D472,物料档案!$A$4:$P$1203,5,0),"※编码不在物料档案里"))</f>
        <v/>
      </c>
      <c r="H472" s="24">
        <f>IF($D472="","",IFERROR(VLOOKUP($D472,物料档案!$A$4:$P$1203,2,0),"※编码不在物料档案里"))</f>
        <v/>
      </c>
      <c r="I472" s="24">
        <f>IF($D472="","",IFERROR(VLOOKUP($D472,物料档案!$A$4:$P$1203,6,0),"※编码不在物料档案里"))</f>
        <v/>
      </c>
      <c r="J472" s="23" t="n"/>
      <c r="K472" s="17" t="n"/>
      <c r="L472" s="17" t="n"/>
      <c r="M472" s="17" t="n"/>
      <c r="N472" s="17" t="n"/>
      <c r="O472" s="26">
        <f>IF($D472="","",IFERROR(VLOOKUP($D472,物料档案!$A$4:$P$1203,10,0),0))</f>
        <v/>
      </c>
      <c r="P472" s="32" t="n"/>
      <c r="Q472" s="26">
        <f>IF($D472="","",IF($K472&lt;&gt;"对外销售",0,ROUND(N($J472)*IF($P472="",N($O472),N($P472)),0)))</f>
        <v/>
      </c>
      <c r="R472" s="26">
        <f>IF($D472="","",IFERROR(VLOOKUP($D472,库存台账!$A$5:$Y$1204,11,0),0))</f>
        <v/>
      </c>
      <c r="S472" s="26">
        <f>IF($D472="","",ROUND(N($J472)*N($R472),0))</f>
        <v/>
      </c>
      <c r="T472" s="26">
        <f>IF($D472="","",IF($K472&lt;&gt;"对外销售","",ROUND($Q472-$S472,0)))</f>
        <v/>
      </c>
      <c r="U472" s="17" t="n"/>
      <c r="V472" s="17" t="n"/>
      <c r="W472" s="24">
        <f>IF($D472="","",IF($E472="※编码不在物料档案里","※物料编码不在档案里",IF(N($J472)&lt;=0,"※出库数量要大于 0",IF($K472="","※没填去向类型",IF($L472="","※没填去向矿区",IF(AND($C472&lt;&gt;"",$C472&lt;=结账锁),"※日期早于已结账截止日，不能再录",IF(AND($K472="自用消耗",COUNTIF({"一矿区";"二矿区"},$L472)=0),"※自用消耗的去向只能是一矿区或二矿区",IF(AND($K472="对外销售",COUNTIF({"三矿区";"六矿区"},$L472)=0),"※对外销售的去向只能是三矿区或六矿区",IF(AND($K472="对外销售",ROUND($Q472,0)=0),"※外销却没有售价，请填实际售价",IF(AND($K472="对外销售",$T472&lt;&gt;"",$T472&lt;0),"※这一笔外销是亏的，请核对售价",IF(IFERROR(VLOOKUP($D472,库存台账!$A$5:$Y$1204,24,0),0)&lt;-0.001,"※这个物料账面已经变成负数了，查一下是不是漏记入库","")))))))))))</f>
        <v/>
      </c>
    </row>
    <row r="473">
      <c r="A473" s="24">
        <f>IF($D473="","",COUNTA($D$4:$D473))</f>
        <v/>
      </c>
      <c r="B473" s="17" t="n"/>
      <c r="C473" s="30" t="n"/>
      <c r="D473" s="17" t="n"/>
      <c r="E473" s="24">
        <f>IF($D473="","",IFERROR(VLOOKUP($D473,物料档案!$A$4:$P$1203,3,0),"※编码不在物料档案里"))</f>
        <v/>
      </c>
      <c r="F473" s="24">
        <f>IF($D473="","",IFERROR(VLOOKUP($D473,物料档案!$A$4:$P$1203,4,0),"※编码不在物料档案里"))</f>
        <v/>
      </c>
      <c r="G473" s="24">
        <f>IF($D473="","",IFERROR(VLOOKUP($D473,物料档案!$A$4:$P$1203,5,0),"※编码不在物料档案里"))</f>
        <v/>
      </c>
      <c r="H473" s="24">
        <f>IF($D473="","",IFERROR(VLOOKUP($D473,物料档案!$A$4:$P$1203,2,0),"※编码不在物料档案里"))</f>
        <v/>
      </c>
      <c r="I473" s="24">
        <f>IF($D473="","",IFERROR(VLOOKUP($D473,物料档案!$A$4:$P$1203,6,0),"※编码不在物料档案里"))</f>
        <v/>
      </c>
      <c r="J473" s="23" t="n"/>
      <c r="K473" s="17" t="n"/>
      <c r="L473" s="17" t="n"/>
      <c r="M473" s="17" t="n"/>
      <c r="N473" s="17" t="n"/>
      <c r="O473" s="26">
        <f>IF($D473="","",IFERROR(VLOOKUP($D473,物料档案!$A$4:$P$1203,10,0),0))</f>
        <v/>
      </c>
      <c r="P473" s="32" t="n"/>
      <c r="Q473" s="26">
        <f>IF($D473="","",IF($K473&lt;&gt;"对外销售",0,ROUND(N($J473)*IF($P473="",N($O473),N($P473)),0)))</f>
        <v/>
      </c>
      <c r="R473" s="26">
        <f>IF($D473="","",IFERROR(VLOOKUP($D473,库存台账!$A$5:$Y$1204,11,0),0))</f>
        <v/>
      </c>
      <c r="S473" s="26">
        <f>IF($D473="","",ROUND(N($J473)*N($R473),0))</f>
        <v/>
      </c>
      <c r="T473" s="26">
        <f>IF($D473="","",IF($K473&lt;&gt;"对外销售","",ROUND($Q473-$S473,0)))</f>
        <v/>
      </c>
      <c r="U473" s="17" t="n"/>
      <c r="V473" s="17" t="n"/>
      <c r="W473" s="24">
        <f>IF($D473="","",IF($E473="※编码不在物料档案里","※物料编码不在档案里",IF(N($J473)&lt;=0,"※出库数量要大于 0",IF($K473="","※没填去向类型",IF($L473="","※没填去向矿区",IF(AND($C473&lt;&gt;"",$C473&lt;=结账锁),"※日期早于已结账截止日，不能再录",IF(AND($K473="自用消耗",COUNTIF({"一矿区";"二矿区"},$L473)=0),"※自用消耗的去向只能是一矿区或二矿区",IF(AND($K473="对外销售",COUNTIF({"三矿区";"六矿区"},$L473)=0),"※对外销售的去向只能是三矿区或六矿区",IF(AND($K473="对外销售",ROUND($Q473,0)=0),"※外销却没有售价，请填实际售价",IF(AND($K473="对外销售",$T473&lt;&gt;"",$T473&lt;0),"※这一笔外销是亏的，请核对售价",IF(IFERROR(VLOOKUP($D473,库存台账!$A$5:$Y$1204,24,0),0)&lt;-0.001,"※这个物料账面已经变成负数了，查一下是不是漏记入库","")))))))))))</f>
        <v/>
      </c>
    </row>
    <row r="474">
      <c r="A474" s="24">
        <f>IF($D474="","",COUNTA($D$4:$D474))</f>
        <v/>
      </c>
      <c r="B474" s="17" t="n"/>
      <c r="C474" s="30" t="n"/>
      <c r="D474" s="17" t="n"/>
      <c r="E474" s="24">
        <f>IF($D474="","",IFERROR(VLOOKUP($D474,物料档案!$A$4:$P$1203,3,0),"※编码不在物料档案里"))</f>
        <v/>
      </c>
      <c r="F474" s="24">
        <f>IF($D474="","",IFERROR(VLOOKUP($D474,物料档案!$A$4:$P$1203,4,0),"※编码不在物料档案里"))</f>
        <v/>
      </c>
      <c r="G474" s="24">
        <f>IF($D474="","",IFERROR(VLOOKUP($D474,物料档案!$A$4:$P$1203,5,0),"※编码不在物料档案里"))</f>
        <v/>
      </c>
      <c r="H474" s="24">
        <f>IF($D474="","",IFERROR(VLOOKUP($D474,物料档案!$A$4:$P$1203,2,0),"※编码不在物料档案里"))</f>
        <v/>
      </c>
      <c r="I474" s="24">
        <f>IF($D474="","",IFERROR(VLOOKUP($D474,物料档案!$A$4:$P$1203,6,0),"※编码不在物料档案里"))</f>
        <v/>
      </c>
      <c r="J474" s="23" t="n"/>
      <c r="K474" s="17" t="n"/>
      <c r="L474" s="17" t="n"/>
      <c r="M474" s="17" t="n"/>
      <c r="N474" s="17" t="n"/>
      <c r="O474" s="26">
        <f>IF($D474="","",IFERROR(VLOOKUP($D474,物料档案!$A$4:$P$1203,10,0),0))</f>
        <v/>
      </c>
      <c r="P474" s="32" t="n"/>
      <c r="Q474" s="26">
        <f>IF($D474="","",IF($K474&lt;&gt;"对外销售",0,ROUND(N($J474)*IF($P474="",N($O474),N($P474)),0)))</f>
        <v/>
      </c>
      <c r="R474" s="26">
        <f>IF($D474="","",IFERROR(VLOOKUP($D474,库存台账!$A$5:$Y$1204,11,0),0))</f>
        <v/>
      </c>
      <c r="S474" s="26">
        <f>IF($D474="","",ROUND(N($J474)*N($R474),0))</f>
        <v/>
      </c>
      <c r="T474" s="26">
        <f>IF($D474="","",IF($K474&lt;&gt;"对外销售","",ROUND($Q474-$S474,0)))</f>
        <v/>
      </c>
      <c r="U474" s="17" t="n"/>
      <c r="V474" s="17" t="n"/>
      <c r="W474" s="24">
        <f>IF($D474="","",IF($E474="※编码不在物料档案里","※物料编码不在档案里",IF(N($J474)&lt;=0,"※出库数量要大于 0",IF($K474="","※没填去向类型",IF($L474="","※没填去向矿区",IF(AND($C474&lt;&gt;"",$C474&lt;=结账锁),"※日期早于已结账截止日，不能再录",IF(AND($K474="自用消耗",COUNTIF({"一矿区";"二矿区"},$L474)=0),"※自用消耗的去向只能是一矿区或二矿区",IF(AND($K474="对外销售",COUNTIF({"三矿区";"六矿区"},$L474)=0),"※对外销售的去向只能是三矿区或六矿区",IF(AND($K474="对外销售",ROUND($Q474,0)=0),"※外销却没有售价，请填实际售价",IF(AND($K474="对外销售",$T474&lt;&gt;"",$T474&lt;0),"※这一笔外销是亏的，请核对售价",IF(IFERROR(VLOOKUP($D474,库存台账!$A$5:$Y$1204,24,0),0)&lt;-0.001,"※这个物料账面已经变成负数了，查一下是不是漏记入库","")))))))))))</f>
        <v/>
      </c>
    </row>
    <row r="475">
      <c r="A475" s="24">
        <f>IF($D475="","",COUNTA($D$4:$D475))</f>
        <v/>
      </c>
      <c r="B475" s="17" t="n"/>
      <c r="C475" s="30" t="n"/>
      <c r="D475" s="17" t="n"/>
      <c r="E475" s="24">
        <f>IF($D475="","",IFERROR(VLOOKUP($D475,物料档案!$A$4:$P$1203,3,0),"※编码不在物料档案里"))</f>
        <v/>
      </c>
      <c r="F475" s="24">
        <f>IF($D475="","",IFERROR(VLOOKUP($D475,物料档案!$A$4:$P$1203,4,0),"※编码不在物料档案里"))</f>
        <v/>
      </c>
      <c r="G475" s="24">
        <f>IF($D475="","",IFERROR(VLOOKUP($D475,物料档案!$A$4:$P$1203,5,0),"※编码不在物料档案里"))</f>
        <v/>
      </c>
      <c r="H475" s="24">
        <f>IF($D475="","",IFERROR(VLOOKUP($D475,物料档案!$A$4:$P$1203,2,0),"※编码不在物料档案里"))</f>
        <v/>
      </c>
      <c r="I475" s="24">
        <f>IF($D475="","",IFERROR(VLOOKUP($D475,物料档案!$A$4:$P$1203,6,0),"※编码不在物料档案里"))</f>
        <v/>
      </c>
      <c r="J475" s="23" t="n"/>
      <c r="K475" s="17" t="n"/>
      <c r="L475" s="17" t="n"/>
      <c r="M475" s="17" t="n"/>
      <c r="N475" s="17" t="n"/>
      <c r="O475" s="26">
        <f>IF($D475="","",IFERROR(VLOOKUP($D475,物料档案!$A$4:$P$1203,10,0),0))</f>
        <v/>
      </c>
      <c r="P475" s="32" t="n"/>
      <c r="Q475" s="26">
        <f>IF($D475="","",IF($K475&lt;&gt;"对外销售",0,ROUND(N($J475)*IF($P475="",N($O475),N($P475)),0)))</f>
        <v/>
      </c>
      <c r="R475" s="26">
        <f>IF($D475="","",IFERROR(VLOOKUP($D475,库存台账!$A$5:$Y$1204,11,0),0))</f>
        <v/>
      </c>
      <c r="S475" s="26">
        <f>IF($D475="","",ROUND(N($J475)*N($R475),0))</f>
        <v/>
      </c>
      <c r="T475" s="26">
        <f>IF($D475="","",IF($K475&lt;&gt;"对外销售","",ROUND($Q475-$S475,0)))</f>
        <v/>
      </c>
      <c r="U475" s="17" t="n"/>
      <c r="V475" s="17" t="n"/>
      <c r="W475" s="24">
        <f>IF($D475="","",IF($E475="※编码不在物料档案里","※物料编码不在档案里",IF(N($J475)&lt;=0,"※出库数量要大于 0",IF($K475="","※没填去向类型",IF($L475="","※没填去向矿区",IF(AND($C475&lt;&gt;"",$C475&lt;=结账锁),"※日期早于已结账截止日，不能再录",IF(AND($K475="自用消耗",COUNTIF({"一矿区";"二矿区"},$L475)=0),"※自用消耗的去向只能是一矿区或二矿区",IF(AND($K475="对外销售",COUNTIF({"三矿区";"六矿区"},$L475)=0),"※对外销售的去向只能是三矿区或六矿区",IF(AND($K475="对外销售",ROUND($Q475,0)=0),"※外销却没有售价，请填实际售价",IF(AND($K475="对外销售",$T475&lt;&gt;"",$T475&lt;0),"※这一笔外销是亏的，请核对售价",IF(IFERROR(VLOOKUP($D475,库存台账!$A$5:$Y$1204,24,0),0)&lt;-0.001,"※这个物料账面已经变成负数了，查一下是不是漏记入库","")))))))))))</f>
        <v/>
      </c>
    </row>
    <row r="476">
      <c r="A476" s="24">
        <f>IF($D476="","",COUNTA($D$4:$D476))</f>
        <v/>
      </c>
      <c r="B476" s="17" t="n"/>
      <c r="C476" s="30" t="n"/>
      <c r="D476" s="17" t="n"/>
      <c r="E476" s="24">
        <f>IF($D476="","",IFERROR(VLOOKUP($D476,物料档案!$A$4:$P$1203,3,0),"※编码不在物料档案里"))</f>
        <v/>
      </c>
      <c r="F476" s="24">
        <f>IF($D476="","",IFERROR(VLOOKUP($D476,物料档案!$A$4:$P$1203,4,0),"※编码不在物料档案里"))</f>
        <v/>
      </c>
      <c r="G476" s="24">
        <f>IF($D476="","",IFERROR(VLOOKUP($D476,物料档案!$A$4:$P$1203,5,0),"※编码不在物料档案里"))</f>
        <v/>
      </c>
      <c r="H476" s="24">
        <f>IF($D476="","",IFERROR(VLOOKUP($D476,物料档案!$A$4:$P$1203,2,0),"※编码不在物料档案里"))</f>
        <v/>
      </c>
      <c r="I476" s="24">
        <f>IF($D476="","",IFERROR(VLOOKUP($D476,物料档案!$A$4:$P$1203,6,0),"※编码不在物料档案里"))</f>
        <v/>
      </c>
      <c r="J476" s="23" t="n"/>
      <c r="K476" s="17" t="n"/>
      <c r="L476" s="17" t="n"/>
      <c r="M476" s="17" t="n"/>
      <c r="N476" s="17" t="n"/>
      <c r="O476" s="26">
        <f>IF($D476="","",IFERROR(VLOOKUP($D476,物料档案!$A$4:$P$1203,10,0),0))</f>
        <v/>
      </c>
      <c r="P476" s="32" t="n"/>
      <c r="Q476" s="26">
        <f>IF($D476="","",IF($K476&lt;&gt;"对外销售",0,ROUND(N($J476)*IF($P476="",N($O476),N($P476)),0)))</f>
        <v/>
      </c>
      <c r="R476" s="26">
        <f>IF($D476="","",IFERROR(VLOOKUP($D476,库存台账!$A$5:$Y$1204,11,0),0))</f>
        <v/>
      </c>
      <c r="S476" s="26">
        <f>IF($D476="","",ROUND(N($J476)*N($R476),0))</f>
        <v/>
      </c>
      <c r="T476" s="26">
        <f>IF($D476="","",IF($K476&lt;&gt;"对外销售","",ROUND($Q476-$S476,0)))</f>
        <v/>
      </c>
      <c r="U476" s="17" t="n"/>
      <c r="V476" s="17" t="n"/>
      <c r="W476" s="24">
        <f>IF($D476="","",IF($E476="※编码不在物料档案里","※物料编码不在档案里",IF(N($J476)&lt;=0,"※出库数量要大于 0",IF($K476="","※没填去向类型",IF($L476="","※没填去向矿区",IF(AND($C476&lt;&gt;"",$C476&lt;=结账锁),"※日期早于已结账截止日，不能再录",IF(AND($K476="自用消耗",COUNTIF({"一矿区";"二矿区"},$L476)=0),"※自用消耗的去向只能是一矿区或二矿区",IF(AND($K476="对外销售",COUNTIF({"三矿区";"六矿区"},$L476)=0),"※对外销售的去向只能是三矿区或六矿区",IF(AND($K476="对外销售",ROUND($Q476,0)=0),"※外销却没有售价，请填实际售价",IF(AND($K476="对外销售",$T476&lt;&gt;"",$T476&lt;0),"※这一笔外销是亏的，请核对售价",IF(IFERROR(VLOOKUP($D476,库存台账!$A$5:$Y$1204,24,0),0)&lt;-0.001,"※这个物料账面已经变成负数了，查一下是不是漏记入库","")))))))))))</f>
        <v/>
      </c>
    </row>
    <row r="477">
      <c r="A477" s="24">
        <f>IF($D477="","",COUNTA($D$4:$D477))</f>
        <v/>
      </c>
      <c r="B477" s="17" t="n"/>
      <c r="C477" s="30" t="n"/>
      <c r="D477" s="17" t="n"/>
      <c r="E477" s="24">
        <f>IF($D477="","",IFERROR(VLOOKUP($D477,物料档案!$A$4:$P$1203,3,0),"※编码不在物料档案里"))</f>
        <v/>
      </c>
      <c r="F477" s="24">
        <f>IF($D477="","",IFERROR(VLOOKUP($D477,物料档案!$A$4:$P$1203,4,0),"※编码不在物料档案里"))</f>
        <v/>
      </c>
      <c r="G477" s="24">
        <f>IF($D477="","",IFERROR(VLOOKUP($D477,物料档案!$A$4:$P$1203,5,0),"※编码不在物料档案里"))</f>
        <v/>
      </c>
      <c r="H477" s="24">
        <f>IF($D477="","",IFERROR(VLOOKUP($D477,物料档案!$A$4:$P$1203,2,0),"※编码不在物料档案里"))</f>
        <v/>
      </c>
      <c r="I477" s="24">
        <f>IF($D477="","",IFERROR(VLOOKUP($D477,物料档案!$A$4:$P$1203,6,0),"※编码不在物料档案里"))</f>
        <v/>
      </c>
      <c r="J477" s="23" t="n"/>
      <c r="K477" s="17" t="n"/>
      <c r="L477" s="17" t="n"/>
      <c r="M477" s="17" t="n"/>
      <c r="N477" s="17" t="n"/>
      <c r="O477" s="26">
        <f>IF($D477="","",IFERROR(VLOOKUP($D477,物料档案!$A$4:$P$1203,10,0),0))</f>
        <v/>
      </c>
      <c r="P477" s="32" t="n"/>
      <c r="Q477" s="26">
        <f>IF($D477="","",IF($K477&lt;&gt;"对外销售",0,ROUND(N($J477)*IF($P477="",N($O477),N($P477)),0)))</f>
        <v/>
      </c>
      <c r="R477" s="26">
        <f>IF($D477="","",IFERROR(VLOOKUP($D477,库存台账!$A$5:$Y$1204,11,0),0))</f>
        <v/>
      </c>
      <c r="S477" s="26">
        <f>IF($D477="","",ROUND(N($J477)*N($R477),0))</f>
        <v/>
      </c>
      <c r="T477" s="26">
        <f>IF($D477="","",IF($K477&lt;&gt;"对外销售","",ROUND($Q477-$S477,0)))</f>
        <v/>
      </c>
      <c r="U477" s="17" t="n"/>
      <c r="V477" s="17" t="n"/>
      <c r="W477" s="24">
        <f>IF($D477="","",IF($E477="※编码不在物料档案里","※物料编码不在档案里",IF(N($J477)&lt;=0,"※出库数量要大于 0",IF($K477="","※没填去向类型",IF($L477="","※没填去向矿区",IF(AND($C477&lt;&gt;"",$C477&lt;=结账锁),"※日期早于已结账截止日，不能再录",IF(AND($K477="自用消耗",COUNTIF({"一矿区";"二矿区"},$L477)=0),"※自用消耗的去向只能是一矿区或二矿区",IF(AND($K477="对外销售",COUNTIF({"三矿区";"六矿区"},$L477)=0),"※对外销售的去向只能是三矿区或六矿区",IF(AND($K477="对外销售",ROUND($Q477,0)=0),"※外销却没有售价，请填实际售价",IF(AND($K477="对外销售",$T477&lt;&gt;"",$T477&lt;0),"※这一笔外销是亏的，请核对售价",IF(IFERROR(VLOOKUP($D477,库存台账!$A$5:$Y$1204,24,0),0)&lt;-0.001,"※这个物料账面已经变成负数了，查一下是不是漏记入库","")))))))))))</f>
        <v/>
      </c>
    </row>
    <row r="478">
      <c r="A478" s="24">
        <f>IF($D478="","",COUNTA($D$4:$D478))</f>
        <v/>
      </c>
      <c r="B478" s="17" t="n"/>
      <c r="C478" s="30" t="n"/>
      <c r="D478" s="17" t="n"/>
      <c r="E478" s="24">
        <f>IF($D478="","",IFERROR(VLOOKUP($D478,物料档案!$A$4:$P$1203,3,0),"※编码不在物料档案里"))</f>
        <v/>
      </c>
      <c r="F478" s="24">
        <f>IF($D478="","",IFERROR(VLOOKUP($D478,物料档案!$A$4:$P$1203,4,0),"※编码不在物料档案里"))</f>
        <v/>
      </c>
      <c r="G478" s="24">
        <f>IF($D478="","",IFERROR(VLOOKUP($D478,物料档案!$A$4:$P$1203,5,0),"※编码不在物料档案里"))</f>
        <v/>
      </c>
      <c r="H478" s="24">
        <f>IF($D478="","",IFERROR(VLOOKUP($D478,物料档案!$A$4:$P$1203,2,0),"※编码不在物料档案里"))</f>
        <v/>
      </c>
      <c r="I478" s="24">
        <f>IF($D478="","",IFERROR(VLOOKUP($D478,物料档案!$A$4:$P$1203,6,0),"※编码不在物料档案里"))</f>
        <v/>
      </c>
      <c r="J478" s="23" t="n"/>
      <c r="K478" s="17" t="n"/>
      <c r="L478" s="17" t="n"/>
      <c r="M478" s="17" t="n"/>
      <c r="N478" s="17" t="n"/>
      <c r="O478" s="26">
        <f>IF($D478="","",IFERROR(VLOOKUP($D478,物料档案!$A$4:$P$1203,10,0),0))</f>
        <v/>
      </c>
      <c r="P478" s="32" t="n"/>
      <c r="Q478" s="26">
        <f>IF($D478="","",IF($K478&lt;&gt;"对外销售",0,ROUND(N($J478)*IF($P478="",N($O478),N($P478)),0)))</f>
        <v/>
      </c>
      <c r="R478" s="26">
        <f>IF($D478="","",IFERROR(VLOOKUP($D478,库存台账!$A$5:$Y$1204,11,0),0))</f>
        <v/>
      </c>
      <c r="S478" s="26">
        <f>IF($D478="","",ROUND(N($J478)*N($R478),0))</f>
        <v/>
      </c>
      <c r="T478" s="26">
        <f>IF($D478="","",IF($K478&lt;&gt;"对外销售","",ROUND($Q478-$S478,0)))</f>
        <v/>
      </c>
      <c r="U478" s="17" t="n"/>
      <c r="V478" s="17" t="n"/>
      <c r="W478" s="24">
        <f>IF($D478="","",IF($E478="※编码不在物料档案里","※物料编码不在档案里",IF(N($J478)&lt;=0,"※出库数量要大于 0",IF($K478="","※没填去向类型",IF($L478="","※没填去向矿区",IF(AND($C478&lt;&gt;"",$C478&lt;=结账锁),"※日期早于已结账截止日，不能再录",IF(AND($K478="自用消耗",COUNTIF({"一矿区";"二矿区"},$L478)=0),"※自用消耗的去向只能是一矿区或二矿区",IF(AND($K478="对外销售",COUNTIF({"三矿区";"六矿区"},$L478)=0),"※对外销售的去向只能是三矿区或六矿区",IF(AND($K478="对外销售",ROUND($Q478,0)=0),"※外销却没有售价，请填实际售价",IF(AND($K478="对外销售",$T478&lt;&gt;"",$T478&lt;0),"※这一笔外销是亏的，请核对售价",IF(IFERROR(VLOOKUP($D478,库存台账!$A$5:$Y$1204,24,0),0)&lt;-0.001,"※这个物料账面已经变成负数了，查一下是不是漏记入库","")))))))))))</f>
        <v/>
      </c>
    </row>
    <row r="479">
      <c r="A479" s="24">
        <f>IF($D479="","",COUNTA($D$4:$D479))</f>
        <v/>
      </c>
      <c r="B479" s="17" t="n"/>
      <c r="C479" s="30" t="n"/>
      <c r="D479" s="17" t="n"/>
      <c r="E479" s="24">
        <f>IF($D479="","",IFERROR(VLOOKUP($D479,物料档案!$A$4:$P$1203,3,0),"※编码不在物料档案里"))</f>
        <v/>
      </c>
      <c r="F479" s="24">
        <f>IF($D479="","",IFERROR(VLOOKUP($D479,物料档案!$A$4:$P$1203,4,0),"※编码不在物料档案里"))</f>
        <v/>
      </c>
      <c r="G479" s="24">
        <f>IF($D479="","",IFERROR(VLOOKUP($D479,物料档案!$A$4:$P$1203,5,0),"※编码不在物料档案里"))</f>
        <v/>
      </c>
      <c r="H479" s="24">
        <f>IF($D479="","",IFERROR(VLOOKUP($D479,物料档案!$A$4:$P$1203,2,0),"※编码不在物料档案里"))</f>
        <v/>
      </c>
      <c r="I479" s="24">
        <f>IF($D479="","",IFERROR(VLOOKUP($D479,物料档案!$A$4:$P$1203,6,0),"※编码不在物料档案里"))</f>
        <v/>
      </c>
      <c r="J479" s="23" t="n"/>
      <c r="K479" s="17" t="n"/>
      <c r="L479" s="17" t="n"/>
      <c r="M479" s="17" t="n"/>
      <c r="N479" s="17" t="n"/>
      <c r="O479" s="26">
        <f>IF($D479="","",IFERROR(VLOOKUP($D479,物料档案!$A$4:$P$1203,10,0),0))</f>
        <v/>
      </c>
      <c r="P479" s="32" t="n"/>
      <c r="Q479" s="26">
        <f>IF($D479="","",IF($K479&lt;&gt;"对外销售",0,ROUND(N($J479)*IF($P479="",N($O479),N($P479)),0)))</f>
        <v/>
      </c>
      <c r="R479" s="26">
        <f>IF($D479="","",IFERROR(VLOOKUP($D479,库存台账!$A$5:$Y$1204,11,0),0))</f>
        <v/>
      </c>
      <c r="S479" s="26">
        <f>IF($D479="","",ROUND(N($J479)*N($R479),0))</f>
        <v/>
      </c>
      <c r="T479" s="26">
        <f>IF($D479="","",IF($K479&lt;&gt;"对外销售","",ROUND($Q479-$S479,0)))</f>
        <v/>
      </c>
      <c r="U479" s="17" t="n"/>
      <c r="V479" s="17" t="n"/>
      <c r="W479" s="24">
        <f>IF($D479="","",IF($E479="※编码不在物料档案里","※物料编码不在档案里",IF(N($J479)&lt;=0,"※出库数量要大于 0",IF($K479="","※没填去向类型",IF($L479="","※没填去向矿区",IF(AND($C479&lt;&gt;"",$C479&lt;=结账锁),"※日期早于已结账截止日，不能再录",IF(AND($K479="自用消耗",COUNTIF({"一矿区";"二矿区"},$L479)=0),"※自用消耗的去向只能是一矿区或二矿区",IF(AND($K479="对外销售",COUNTIF({"三矿区";"六矿区"},$L479)=0),"※对外销售的去向只能是三矿区或六矿区",IF(AND($K479="对外销售",ROUND($Q479,0)=0),"※外销却没有售价，请填实际售价",IF(AND($K479="对外销售",$T479&lt;&gt;"",$T479&lt;0),"※这一笔外销是亏的，请核对售价",IF(IFERROR(VLOOKUP($D479,库存台账!$A$5:$Y$1204,24,0),0)&lt;-0.001,"※这个物料账面已经变成负数了，查一下是不是漏记入库","")))))))))))</f>
        <v/>
      </c>
    </row>
    <row r="480">
      <c r="A480" s="24">
        <f>IF($D480="","",COUNTA($D$4:$D480))</f>
        <v/>
      </c>
      <c r="B480" s="17" t="n"/>
      <c r="C480" s="30" t="n"/>
      <c r="D480" s="17" t="n"/>
      <c r="E480" s="24">
        <f>IF($D480="","",IFERROR(VLOOKUP($D480,物料档案!$A$4:$P$1203,3,0),"※编码不在物料档案里"))</f>
        <v/>
      </c>
      <c r="F480" s="24">
        <f>IF($D480="","",IFERROR(VLOOKUP($D480,物料档案!$A$4:$P$1203,4,0),"※编码不在物料档案里"))</f>
        <v/>
      </c>
      <c r="G480" s="24">
        <f>IF($D480="","",IFERROR(VLOOKUP($D480,物料档案!$A$4:$P$1203,5,0),"※编码不在物料档案里"))</f>
        <v/>
      </c>
      <c r="H480" s="24">
        <f>IF($D480="","",IFERROR(VLOOKUP($D480,物料档案!$A$4:$P$1203,2,0),"※编码不在物料档案里"))</f>
        <v/>
      </c>
      <c r="I480" s="24">
        <f>IF($D480="","",IFERROR(VLOOKUP($D480,物料档案!$A$4:$P$1203,6,0),"※编码不在物料档案里"))</f>
        <v/>
      </c>
      <c r="J480" s="23" t="n"/>
      <c r="K480" s="17" t="n"/>
      <c r="L480" s="17" t="n"/>
      <c r="M480" s="17" t="n"/>
      <c r="N480" s="17" t="n"/>
      <c r="O480" s="26">
        <f>IF($D480="","",IFERROR(VLOOKUP($D480,物料档案!$A$4:$P$1203,10,0),0))</f>
        <v/>
      </c>
      <c r="P480" s="32" t="n"/>
      <c r="Q480" s="26">
        <f>IF($D480="","",IF($K480&lt;&gt;"对外销售",0,ROUND(N($J480)*IF($P480="",N($O480),N($P480)),0)))</f>
        <v/>
      </c>
      <c r="R480" s="26">
        <f>IF($D480="","",IFERROR(VLOOKUP($D480,库存台账!$A$5:$Y$1204,11,0),0))</f>
        <v/>
      </c>
      <c r="S480" s="26">
        <f>IF($D480="","",ROUND(N($J480)*N($R480),0))</f>
        <v/>
      </c>
      <c r="T480" s="26">
        <f>IF($D480="","",IF($K480&lt;&gt;"对外销售","",ROUND($Q480-$S480,0)))</f>
        <v/>
      </c>
      <c r="U480" s="17" t="n"/>
      <c r="V480" s="17" t="n"/>
      <c r="W480" s="24">
        <f>IF($D480="","",IF($E480="※编码不在物料档案里","※物料编码不在档案里",IF(N($J480)&lt;=0,"※出库数量要大于 0",IF($K480="","※没填去向类型",IF($L480="","※没填去向矿区",IF(AND($C480&lt;&gt;"",$C480&lt;=结账锁),"※日期早于已结账截止日，不能再录",IF(AND($K480="自用消耗",COUNTIF({"一矿区";"二矿区"},$L480)=0),"※自用消耗的去向只能是一矿区或二矿区",IF(AND($K480="对外销售",COUNTIF({"三矿区";"六矿区"},$L480)=0),"※对外销售的去向只能是三矿区或六矿区",IF(AND($K480="对外销售",ROUND($Q480,0)=0),"※外销却没有售价，请填实际售价",IF(AND($K480="对外销售",$T480&lt;&gt;"",$T480&lt;0),"※这一笔外销是亏的，请核对售价",IF(IFERROR(VLOOKUP($D480,库存台账!$A$5:$Y$1204,24,0),0)&lt;-0.001,"※这个物料账面已经变成负数了，查一下是不是漏记入库","")))))))))))</f>
        <v/>
      </c>
    </row>
    <row r="481">
      <c r="A481" s="24">
        <f>IF($D481="","",COUNTA($D$4:$D481))</f>
        <v/>
      </c>
      <c r="B481" s="17" t="n"/>
      <c r="C481" s="30" t="n"/>
      <c r="D481" s="17" t="n"/>
      <c r="E481" s="24">
        <f>IF($D481="","",IFERROR(VLOOKUP($D481,物料档案!$A$4:$P$1203,3,0),"※编码不在物料档案里"))</f>
        <v/>
      </c>
      <c r="F481" s="24">
        <f>IF($D481="","",IFERROR(VLOOKUP($D481,物料档案!$A$4:$P$1203,4,0),"※编码不在物料档案里"))</f>
        <v/>
      </c>
      <c r="G481" s="24">
        <f>IF($D481="","",IFERROR(VLOOKUP($D481,物料档案!$A$4:$P$1203,5,0),"※编码不在物料档案里"))</f>
        <v/>
      </c>
      <c r="H481" s="24">
        <f>IF($D481="","",IFERROR(VLOOKUP($D481,物料档案!$A$4:$P$1203,2,0),"※编码不在物料档案里"))</f>
        <v/>
      </c>
      <c r="I481" s="24">
        <f>IF($D481="","",IFERROR(VLOOKUP($D481,物料档案!$A$4:$P$1203,6,0),"※编码不在物料档案里"))</f>
        <v/>
      </c>
      <c r="J481" s="23" t="n"/>
      <c r="K481" s="17" t="n"/>
      <c r="L481" s="17" t="n"/>
      <c r="M481" s="17" t="n"/>
      <c r="N481" s="17" t="n"/>
      <c r="O481" s="26">
        <f>IF($D481="","",IFERROR(VLOOKUP($D481,物料档案!$A$4:$P$1203,10,0),0))</f>
        <v/>
      </c>
      <c r="P481" s="32" t="n"/>
      <c r="Q481" s="26">
        <f>IF($D481="","",IF($K481&lt;&gt;"对外销售",0,ROUND(N($J481)*IF($P481="",N($O481),N($P481)),0)))</f>
        <v/>
      </c>
      <c r="R481" s="26">
        <f>IF($D481="","",IFERROR(VLOOKUP($D481,库存台账!$A$5:$Y$1204,11,0),0))</f>
        <v/>
      </c>
      <c r="S481" s="26">
        <f>IF($D481="","",ROUND(N($J481)*N($R481),0))</f>
        <v/>
      </c>
      <c r="T481" s="26">
        <f>IF($D481="","",IF($K481&lt;&gt;"对外销售","",ROUND($Q481-$S481,0)))</f>
        <v/>
      </c>
      <c r="U481" s="17" t="n"/>
      <c r="V481" s="17" t="n"/>
      <c r="W481" s="24">
        <f>IF($D481="","",IF($E481="※编码不在物料档案里","※物料编码不在档案里",IF(N($J481)&lt;=0,"※出库数量要大于 0",IF($K481="","※没填去向类型",IF($L481="","※没填去向矿区",IF(AND($C481&lt;&gt;"",$C481&lt;=结账锁),"※日期早于已结账截止日，不能再录",IF(AND($K481="自用消耗",COUNTIF({"一矿区";"二矿区"},$L481)=0),"※自用消耗的去向只能是一矿区或二矿区",IF(AND($K481="对外销售",COUNTIF({"三矿区";"六矿区"},$L481)=0),"※对外销售的去向只能是三矿区或六矿区",IF(AND($K481="对外销售",ROUND($Q481,0)=0),"※外销却没有售价，请填实际售价",IF(AND($K481="对外销售",$T481&lt;&gt;"",$T481&lt;0),"※这一笔外销是亏的，请核对售价",IF(IFERROR(VLOOKUP($D481,库存台账!$A$5:$Y$1204,24,0),0)&lt;-0.001,"※这个物料账面已经变成负数了，查一下是不是漏记入库","")))))))))))</f>
        <v/>
      </c>
    </row>
    <row r="482">
      <c r="A482" s="24">
        <f>IF($D482="","",COUNTA($D$4:$D482))</f>
        <v/>
      </c>
      <c r="B482" s="17" t="n"/>
      <c r="C482" s="30" t="n"/>
      <c r="D482" s="17" t="n"/>
      <c r="E482" s="24">
        <f>IF($D482="","",IFERROR(VLOOKUP($D482,物料档案!$A$4:$P$1203,3,0),"※编码不在物料档案里"))</f>
        <v/>
      </c>
      <c r="F482" s="24">
        <f>IF($D482="","",IFERROR(VLOOKUP($D482,物料档案!$A$4:$P$1203,4,0),"※编码不在物料档案里"))</f>
        <v/>
      </c>
      <c r="G482" s="24">
        <f>IF($D482="","",IFERROR(VLOOKUP($D482,物料档案!$A$4:$P$1203,5,0),"※编码不在物料档案里"))</f>
        <v/>
      </c>
      <c r="H482" s="24">
        <f>IF($D482="","",IFERROR(VLOOKUP($D482,物料档案!$A$4:$P$1203,2,0),"※编码不在物料档案里"))</f>
        <v/>
      </c>
      <c r="I482" s="24">
        <f>IF($D482="","",IFERROR(VLOOKUP($D482,物料档案!$A$4:$P$1203,6,0),"※编码不在物料档案里"))</f>
        <v/>
      </c>
      <c r="J482" s="23" t="n"/>
      <c r="K482" s="17" t="n"/>
      <c r="L482" s="17" t="n"/>
      <c r="M482" s="17" t="n"/>
      <c r="N482" s="17" t="n"/>
      <c r="O482" s="26">
        <f>IF($D482="","",IFERROR(VLOOKUP($D482,物料档案!$A$4:$P$1203,10,0),0))</f>
        <v/>
      </c>
      <c r="P482" s="32" t="n"/>
      <c r="Q482" s="26">
        <f>IF($D482="","",IF($K482&lt;&gt;"对外销售",0,ROUND(N($J482)*IF($P482="",N($O482),N($P482)),0)))</f>
        <v/>
      </c>
      <c r="R482" s="26">
        <f>IF($D482="","",IFERROR(VLOOKUP($D482,库存台账!$A$5:$Y$1204,11,0),0))</f>
        <v/>
      </c>
      <c r="S482" s="26">
        <f>IF($D482="","",ROUND(N($J482)*N($R482),0))</f>
        <v/>
      </c>
      <c r="T482" s="26">
        <f>IF($D482="","",IF($K482&lt;&gt;"对外销售","",ROUND($Q482-$S482,0)))</f>
        <v/>
      </c>
      <c r="U482" s="17" t="n"/>
      <c r="V482" s="17" t="n"/>
      <c r="W482" s="24">
        <f>IF($D482="","",IF($E482="※编码不在物料档案里","※物料编码不在档案里",IF(N($J482)&lt;=0,"※出库数量要大于 0",IF($K482="","※没填去向类型",IF($L482="","※没填去向矿区",IF(AND($C482&lt;&gt;"",$C482&lt;=结账锁),"※日期早于已结账截止日，不能再录",IF(AND($K482="自用消耗",COUNTIF({"一矿区";"二矿区"},$L482)=0),"※自用消耗的去向只能是一矿区或二矿区",IF(AND($K482="对外销售",COUNTIF({"三矿区";"六矿区"},$L482)=0),"※对外销售的去向只能是三矿区或六矿区",IF(AND($K482="对外销售",ROUND($Q482,0)=0),"※外销却没有售价，请填实际售价",IF(AND($K482="对外销售",$T482&lt;&gt;"",$T482&lt;0),"※这一笔外销是亏的，请核对售价",IF(IFERROR(VLOOKUP($D482,库存台账!$A$5:$Y$1204,24,0),0)&lt;-0.001,"※这个物料账面已经变成负数了，查一下是不是漏记入库","")))))))))))</f>
        <v/>
      </c>
    </row>
    <row r="483">
      <c r="A483" s="24">
        <f>IF($D483="","",COUNTA($D$4:$D483))</f>
        <v/>
      </c>
      <c r="B483" s="17" t="n"/>
      <c r="C483" s="30" t="n"/>
      <c r="D483" s="17" t="n"/>
      <c r="E483" s="24">
        <f>IF($D483="","",IFERROR(VLOOKUP($D483,物料档案!$A$4:$P$1203,3,0),"※编码不在物料档案里"))</f>
        <v/>
      </c>
      <c r="F483" s="24">
        <f>IF($D483="","",IFERROR(VLOOKUP($D483,物料档案!$A$4:$P$1203,4,0),"※编码不在物料档案里"))</f>
        <v/>
      </c>
      <c r="G483" s="24">
        <f>IF($D483="","",IFERROR(VLOOKUP($D483,物料档案!$A$4:$P$1203,5,0),"※编码不在物料档案里"))</f>
        <v/>
      </c>
      <c r="H483" s="24">
        <f>IF($D483="","",IFERROR(VLOOKUP($D483,物料档案!$A$4:$P$1203,2,0),"※编码不在物料档案里"))</f>
        <v/>
      </c>
      <c r="I483" s="24">
        <f>IF($D483="","",IFERROR(VLOOKUP($D483,物料档案!$A$4:$P$1203,6,0),"※编码不在物料档案里"))</f>
        <v/>
      </c>
      <c r="J483" s="23" t="n"/>
      <c r="K483" s="17" t="n"/>
      <c r="L483" s="17" t="n"/>
      <c r="M483" s="17" t="n"/>
      <c r="N483" s="17" t="n"/>
      <c r="O483" s="26">
        <f>IF($D483="","",IFERROR(VLOOKUP($D483,物料档案!$A$4:$P$1203,10,0),0))</f>
        <v/>
      </c>
      <c r="P483" s="32" t="n"/>
      <c r="Q483" s="26">
        <f>IF($D483="","",IF($K483&lt;&gt;"对外销售",0,ROUND(N($J483)*IF($P483="",N($O483),N($P483)),0)))</f>
        <v/>
      </c>
      <c r="R483" s="26">
        <f>IF($D483="","",IFERROR(VLOOKUP($D483,库存台账!$A$5:$Y$1204,11,0),0))</f>
        <v/>
      </c>
      <c r="S483" s="26">
        <f>IF($D483="","",ROUND(N($J483)*N($R483),0))</f>
        <v/>
      </c>
      <c r="T483" s="26">
        <f>IF($D483="","",IF($K483&lt;&gt;"对外销售","",ROUND($Q483-$S483,0)))</f>
        <v/>
      </c>
      <c r="U483" s="17" t="n"/>
      <c r="V483" s="17" t="n"/>
      <c r="W483" s="24">
        <f>IF($D483="","",IF($E483="※编码不在物料档案里","※物料编码不在档案里",IF(N($J483)&lt;=0,"※出库数量要大于 0",IF($K483="","※没填去向类型",IF($L483="","※没填去向矿区",IF(AND($C483&lt;&gt;"",$C483&lt;=结账锁),"※日期早于已结账截止日，不能再录",IF(AND($K483="自用消耗",COUNTIF({"一矿区";"二矿区"},$L483)=0),"※自用消耗的去向只能是一矿区或二矿区",IF(AND($K483="对外销售",COUNTIF({"三矿区";"六矿区"},$L483)=0),"※对外销售的去向只能是三矿区或六矿区",IF(AND($K483="对外销售",ROUND($Q483,0)=0),"※外销却没有售价，请填实际售价",IF(AND($K483="对外销售",$T483&lt;&gt;"",$T483&lt;0),"※这一笔外销是亏的，请核对售价",IF(IFERROR(VLOOKUP($D483,库存台账!$A$5:$Y$1204,24,0),0)&lt;-0.001,"※这个物料账面已经变成负数了，查一下是不是漏记入库","")))))))))))</f>
        <v/>
      </c>
    </row>
    <row r="484">
      <c r="A484" s="24">
        <f>IF($D484="","",COUNTA($D$4:$D484))</f>
        <v/>
      </c>
      <c r="B484" s="17" t="n"/>
      <c r="C484" s="30" t="n"/>
      <c r="D484" s="17" t="n"/>
      <c r="E484" s="24">
        <f>IF($D484="","",IFERROR(VLOOKUP($D484,物料档案!$A$4:$P$1203,3,0),"※编码不在物料档案里"))</f>
        <v/>
      </c>
      <c r="F484" s="24">
        <f>IF($D484="","",IFERROR(VLOOKUP($D484,物料档案!$A$4:$P$1203,4,0),"※编码不在物料档案里"))</f>
        <v/>
      </c>
      <c r="G484" s="24">
        <f>IF($D484="","",IFERROR(VLOOKUP($D484,物料档案!$A$4:$P$1203,5,0),"※编码不在物料档案里"))</f>
        <v/>
      </c>
      <c r="H484" s="24">
        <f>IF($D484="","",IFERROR(VLOOKUP($D484,物料档案!$A$4:$P$1203,2,0),"※编码不在物料档案里"))</f>
        <v/>
      </c>
      <c r="I484" s="24">
        <f>IF($D484="","",IFERROR(VLOOKUP($D484,物料档案!$A$4:$P$1203,6,0),"※编码不在物料档案里"))</f>
        <v/>
      </c>
      <c r="J484" s="23" t="n"/>
      <c r="K484" s="17" t="n"/>
      <c r="L484" s="17" t="n"/>
      <c r="M484" s="17" t="n"/>
      <c r="N484" s="17" t="n"/>
      <c r="O484" s="26">
        <f>IF($D484="","",IFERROR(VLOOKUP($D484,物料档案!$A$4:$P$1203,10,0),0))</f>
        <v/>
      </c>
      <c r="P484" s="32" t="n"/>
      <c r="Q484" s="26">
        <f>IF($D484="","",IF($K484&lt;&gt;"对外销售",0,ROUND(N($J484)*IF($P484="",N($O484),N($P484)),0)))</f>
        <v/>
      </c>
      <c r="R484" s="26">
        <f>IF($D484="","",IFERROR(VLOOKUP($D484,库存台账!$A$5:$Y$1204,11,0),0))</f>
        <v/>
      </c>
      <c r="S484" s="26">
        <f>IF($D484="","",ROUND(N($J484)*N($R484),0))</f>
        <v/>
      </c>
      <c r="T484" s="26">
        <f>IF($D484="","",IF($K484&lt;&gt;"对外销售","",ROUND($Q484-$S484,0)))</f>
        <v/>
      </c>
      <c r="U484" s="17" t="n"/>
      <c r="V484" s="17" t="n"/>
      <c r="W484" s="24">
        <f>IF($D484="","",IF($E484="※编码不在物料档案里","※物料编码不在档案里",IF(N($J484)&lt;=0,"※出库数量要大于 0",IF($K484="","※没填去向类型",IF($L484="","※没填去向矿区",IF(AND($C484&lt;&gt;"",$C484&lt;=结账锁),"※日期早于已结账截止日，不能再录",IF(AND($K484="自用消耗",COUNTIF({"一矿区";"二矿区"},$L484)=0),"※自用消耗的去向只能是一矿区或二矿区",IF(AND($K484="对外销售",COUNTIF({"三矿区";"六矿区"},$L484)=0),"※对外销售的去向只能是三矿区或六矿区",IF(AND($K484="对外销售",ROUND($Q484,0)=0),"※外销却没有售价，请填实际售价",IF(AND($K484="对外销售",$T484&lt;&gt;"",$T484&lt;0),"※这一笔外销是亏的，请核对售价",IF(IFERROR(VLOOKUP($D484,库存台账!$A$5:$Y$1204,24,0),0)&lt;-0.001,"※这个物料账面已经变成负数了，查一下是不是漏记入库","")))))))))))</f>
        <v/>
      </c>
    </row>
    <row r="485">
      <c r="A485" s="24">
        <f>IF($D485="","",COUNTA($D$4:$D485))</f>
        <v/>
      </c>
      <c r="B485" s="17" t="n"/>
      <c r="C485" s="30" t="n"/>
      <c r="D485" s="17" t="n"/>
      <c r="E485" s="24">
        <f>IF($D485="","",IFERROR(VLOOKUP($D485,物料档案!$A$4:$P$1203,3,0),"※编码不在物料档案里"))</f>
        <v/>
      </c>
      <c r="F485" s="24">
        <f>IF($D485="","",IFERROR(VLOOKUP($D485,物料档案!$A$4:$P$1203,4,0),"※编码不在物料档案里"))</f>
        <v/>
      </c>
      <c r="G485" s="24">
        <f>IF($D485="","",IFERROR(VLOOKUP($D485,物料档案!$A$4:$P$1203,5,0),"※编码不在物料档案里"))</f>
        <v/>
      </c>
      <c r="H485" s="24">
        <f>IF($D485="","",IFERROR(VLOOKUP($D485,物料档案!$A$4:$P$1203,2,0),"※编码不在物料档案里"))</f>
        <v/>
      </c>
      <c r="I485" s="24">
        <f>IF($D485="","",IFERROR(VLOOKUP($D485,物料档案!$A$4:$P$1203,6,0),"※编码不在物料档案里"))</f>
        <v/>
      </c>
      <c r="J485" s="23" t="n"/>
      <c r="K485" s="17" t="n"/>
      <c r="L485" s="17" t="n"/>
      <c r="M485" s="17" t="n"/>
      <c r="N485" s="17" t="n"/>
      <c r="O485" s="26">
        <f>IF($D485="","",IFERROR(VLOOKUP($D485,物料档案!$A$4:$P$1203,10,0),0))</f>
        <v/>
      </c>
      <c r="P485" s="32" t="n"/>
      <c r="Q485" s="26">
        <f>IF($D485="","",IF($K485&lt;&gt;"对外销售",0,ROUND(N($J485)*IF($P485="",N($O485),N($P485)),0)))</f>
        <v/>
      </c>
      <c r="R485" s="26">
        <f>IF($D485="","",IFERROR(VLOOKUP($D485,库存台账!$A$5:$Y$1204,11,0),0))</f>
        <v/>
      </c>
      <c r="S485" s="26">
        <f>IF($D485="","",ROUND(N($J485)*N($R485),0))</f>
        <v/>
      </c>
      <c r="T485" s="26">
        <f>IF($D485="","",IF($K485&lt;&gt;"对外销售","",ROUND($Q485-$S485,0)))</f>
        <v/>
      </c>
      <c r="U485" s="17" t="n"/>
      <c r="V485" s="17" t="n"/>
      <c r="W485" s="24">
        <f>IF($D485="","",IF($E485="※编码不在物料档案里","※物料编码不在档案里",IF(N($J485)&lt;=0,"※出库数量要大于 0",IF($K485="","※没填去向类型",IF($L485="","※没填去向矿区",IF(AND($C485&lt;&gt;"",$C485&lt;=结账锁),"※日期早于已结账截止日，不能再录",IF(AND($K485="自用消耗",COUNTIF({"一矿区";"二矿区"},$L485)=0),"※自用消耗的去向只能是一矿区或二矿区",IF(AND($K485="对外销售",COUNTIF({"三矿区";"六矿区"},$L485)=0),"※对外销售的去向只能是三矿区或六矿区",IF(AND($K485="对外销售",ROUND($Q485,0)=0),"※外销却没有售价，请填实际售价",IF(AND($K485="对外销售",$T485&lt;&gt;"",$T485&lt;0),"※这一笔外销是亏的，请核对售价",IF(IFERROR(VLOOKUP($D485,库存台账!$A$5:$Y$1204,24,0),0)&lt;-0.001,"※这个物料账面已经变成负数了，查一下是不是漏记入库","")))))))))))</f>
        <v/>
      </c>
    </row>
    <row r="486">
      <c r="A486" s="24">
        <f>IF($D486="","",COUNTA($D$4:$D486))</f>
        <v/>
      </c>
      <c r="B486" s="17" t="n"/>
      <c r="C486" s="30" t="n"/>
      <c r="D486" s="17" t="n"/>
      <c r="E486" s="24">
        <f>IF($D486="","",IFERROR(VLOOKUP($D486,物料档案!$A$4:$P$1203,3,0),"※编码不在物料档案里"))</f>
        <v/>
      </c>
      <c r="F486" s="24">
        <f>IF($D486="","",IFERROR(VLOOKUP($D486,物料档案!$A$4:$P$1203,4,0),"※编码不在物料档案里"))</f>
        <v/>
      </c>
      <c r="G486" s="24">
        <f>IF($D486="","",IFERROR(VLOOKUP($D486,物料档案!$A$4:$P$1203,5,0),"※编码不在物料档案里"))</f>
        <v/>
      </c>
      <c r="H486" s="24">
        <f>IF($D486="","",IFERROR(VLOOKUP($D486,物料档案!$A$4:$P$1203,2,0),"※编码不在物料档案里"))</f>
        <v/>
      </c>
      <c r="I486" s="24">
        <f>IF($D486="","",IFERROR(VLOOKUP($D486,物料档案!$A$4:$P$1203,6,0),"※编码不在物料档案里"))</f>
        <v/>
      </c>
      <c r="J486" s="23" t="n"/>
      <c r="K486" s="17" t="n"/>
      <c r="L486" s="17" t="n"/>
      <c r="M486" s="17" t="n"/>
      <c r="N486" s="17" t="n"/>
      <c r="O486" s="26">
        <f>IF($D486="","",IFERROR(VLOOKUP($D486,物料档案!$A$4:$P$1203,10,0),0))</f>
        <v/>
      </c>
      <c r="P486" s="32" t="n"/>
      <c r="Q486" s="26">
        <f>IF($D486="","",IF($K486&lt;&gt;"对外销售",0,ROUND(N($J486)*IF($P486="",N($O486),N($P486)),0)))</f>
        <v/>
      </c>
      <c r="R486" s="26">
        <f>IF($D486="","",IFERROR(VLOOKUP($D486,库存台账!$A$5:$Y$1204,11,0),0))</f>
        <v/>
      </c>
      <c r="S486" s="26">
        <f>IF($D486="","",ROUND(N($J486)*N($R486),0))</f>
        <v/>
      </c>
      <c r="T486" s="26">
        <f>IF($D486="","",IF($K486&lt;&gt;"对外销售","",ROUND($Q486-$S486,0)))</f>
        <v/>
      </c>
      <c r="U486" s="17" t="n"/>
      <c r="V486" s="17" t="n"/>
      <c r="W486" s="24">
        <f>IF($D486="","",IF($E486="※编码不在物料档案里","※物料编码不在档案里",IF(N($J486)&lt;=0,"※出库数量要大于 0",IF($K486="","※没填去向类型",IF($L486="","※没填去向矿区",IF(AND($C486&lt;&gt;"",$C486&lt;=结账锁),"※日期早于已结账截止日，不能再录",IF(AND($K486="自用消耗",COUNTIF({"一矿区";"二矿区"},$L486)=0),"※自用消耗的去向只能是一矿区或二矿区",IF(AND($K486="对外销售",COUNTIF({"三矿区";"六矿区"},$L486)=0),"※对外销售的去向只能是三矿区或六矿区",IF(AND($K486="对外销售",ROUND($Q486,0)=0),"※外销却没有售价，请填实际售价",IF(AND($K486="对外销售",$T486&lt;&gt;"",$T486&lt;0),"※这一笔外销是亏的，请核对售价",IF(IFERROR(VLOOKUP($D486,库存台账!$A$5:$Y$1204,24,0),0)&lt;-0.001,"※这个物料账面已经变成负数了，查一下是不是漏记入库","")))))))))))</f>
        <v/>
      </c>
    </row>
    <row r="487">
      <c r="A487" s="24">
        <f>IF($D487="","",COUNTA($D$4:$D487))</f>
        <v/>
      </c>
      <c r="B487" s="17" t="n"/>
      <c r="C487" s="30" t="n"/>
      <c r="D487" s="17" t="n"/>
      <c r="E487" s="24">
        <f>IF($D487="","",IFERROR(VLOOKUP($D487,物料档案!$A$4:$P$1203,3,0),"※编码不在物料档案里"))</f>
        <v/>
      </c>
      <c r="F487" s="24">
        <f>IF($D487="","",IFERROR(VLOOKUP($D487,物料档案!$A$4:$P$1203,4,0),"※编码不在物料档案里"))</f>
        <v/>
      </c>
      <c r="G487" s="24">
        <f>IF($D487="","",IFERROR(VLOOKUP($D487,物料档案!$A$4:$P$1203,5,0),"※编码不在物料档案里"))</f>
        <v/>
      </c>
      <c r="H487" s="24">
        <f>IF($D487="","",IFERROR(VLOOKUP($D487,物料档案!$A$4:$P$1203,2,0),"※编码不在物料档案里"))</f>
        <v/>
      </c>
      <c r="I487" s="24">
        <f>IF($D487="","",IFERROR(VLOOKUP($D487,物料档案!$A$4:$P$1203,6,0),"※编码不在物料档案里"))</f>
        <v/>
      </c>
      <c r="J487" s="23" t="n"/>
      <c r="K487" s="17" t="n"/>
      <c r="L487" s="17" t="n"/>
      <c r="M487" s="17" t="n"/>
      <c r="N487" s="17" t="n"/>
      <c r="O487" s="26">
        <f>IF($D487="","",IFERROR(VLOOKUP($D487,物料档案!$A$4:$P$1203,10,0),0))</f>
        <v/>
      </c>
      <c r="P487" s="32" t="n"/>
      <c r="Q487" s="26">
        <f>IF($D487="","",IF($K487&lt;&gt;"对外销售",0,ROUND(N($J487)*IF($P487="",N($O487),N($P487)),0)))</f>
        <v/>
      </c>
      <c r="R487" s="26">
        <f>IF($D487="","",IFERROR(VLOOKUP($D487,库存台账!$A$5:$Y$1204,11,0),0))</f>
        <v/>
      </c>
      <c r="S487" s="26">
        <f>IF($D487="","",ROUND(N($J487)*N($R487),0))</f>
        <v/>
      </c>
      <c r="T487" s="26">
        <f>IF($D487="","",IF($K487&lt;&gt;"对外销售","",ROUND($Q487-$S487,0)))</f>
        <v/>
      </c>
      <c r="U487" s="17" t="n"/>
      <c r="V487" s="17" t="n"/>
      <c r="W487" s="24">
        <f>IF($D487="","",IF($E487="※编码不在物料档案里","※物料编码不在档案里",IF(N($J487)&lt;=0,"※出库数量要大于 0",IF($K487="","※没填去向类型",IF($L487="","※没填去向矿区",IF(AND($C487&lt;&gt;"",$C487&lt;=结账锁),"※日期早于已结账截止日，不能再录",IF(AND($K487="自用消耗",COUNTIF({"一矿区";"二矿区"},$L487)=0),"※自用消耗的去向只能是一矿区或二矿区",IF(AND($K487="对外销售",COUNTIF({"三矿区";"六矿区"},$L487)=0),"※对外销售的去向只能是三矿区或六矿区",IF(AND($K487="对外销售",ROUND($Q487,0)=0),"※外销却没有售价，请填实际售价",IF(AND($K487="对外销售",$T487&lt;&gt;"",$T487&lt;0),"※这一笔外销是亏的，请核对售价",IF(IFERROR(VLOOKUP($D487,库存台账!$A$5:$Y$1204,24,0),0)&lt;-0.001,"※这个物料账面已经变成负数了，查一下是不是漏记入库","")))))))))))</f>
        <v/>
      </c>
    </row>
    <row r="488">
      <c r="A488" s="24">
        <f>IF($D488="","",COUNTA($D$4:$D488))</f>
        <v/>
      </c>
      <c r="B488" s="17" t="n"/>
      <c r="C488" s="30" t="n"/>
      <c r="D488" s="17" t="n"/>
      <c r="E488" s="24">
        <f>IF($D488="","",IFERROR(VLOOKUP($D488,物料档案!$A$4:$P$1203,3,0),"※编码不在物料档案里"))</f>
        <v/>
      </c>
      <c r="F488" s="24">
        <f>IF($D488="","",IFERROR(VLOOKUP($D488,物料档案!$A$4:$P$1203,4,0),"※编码不在物料档案里"))</f>
        <v/>
      </c>
      <c r="G488" s="24">
        <f>IF($D488="","",IFERROR(VLOOKUP($D488,物料档案!$A$4:$P$1203,5,0),"※编码不在物料档案里"))</f>
        <v/>
      </c>
      <c r="H488" s="24">
        <f>IF($D488="","",IFERROR(VLOOKUP($D488,物料档案!$A$4:$P$1203,2,0),"※编码不在物料档案里"))</f>
        <v/>
      </c>
      <c r="I488" s="24">
        <f>IF($D488="","",IFERROR(VLOOKUP($D488,物料档案!$A$4:$P$1203,6,0),"※编码不在物料档案里"))</f>
        <v/>
      </c>
      <c r="J488" s="23" t="n"/>
      <c r="K488" s="17" t="n"/>
      <c r="L488" s="17" t="n"/>
      <c r="M488" s="17" t="n"/>
      <c r="N488" s="17" t="n"/>
      <c r="O488" s="26">
        <f>IF($D488="","",IFERROR(VLOOKUP($D488,物料档案!$A$4:$P$1203,10,0),0))</f>
        <v/>
      </c>
      <c r="P488" s="32" t="n"/>
      <c r="Q488" s="26">
        <f>IF($D488="","",IF($K488&lt;&gt;"对外销售",0,ROUND(N($J488)*IF($P488="",N($O488),N($P488)),0)))</f>
        <v/>
      </c>
      <c r="R488" s="26">
        <f>IF($D488="","",IFERROR(VLOOKUP($D488,库存台账!$A$5:$Y$1204,11,0),0))</f>
        <v/>
      </c>
      <c r="S488" s="26">
        <f>IF($D488="","",ROUND(N($J488)*N($R488),0))</f>
        <v/>
      </c>
      <c r="T488" s="26">
        <f>IF($D488="","",IF($K488&lt;&gt;"对外销售","",ROUND($Q488-$S488,0)))</f>
        <v/>
      </c>
      <c r="U488" s="17" t="n"/>
      <c r="V488" s="17" t="n"/>
      <c r="W488" s="24">
        <f>IF($D488="","",IF($E488="※编码不在物料档案里","※物料编码不在档案里",IF(N($J488)&lt;=0,"※出库数量要大于 0",IF($K488="","※没填去向类型",IF($L488="","※没填去向矿区",IF(AND($C488&lt;&gt;"",$C488&lt;=结账锁),"※日期早于已结账截止日，不能再录",IF(AND($K488="自用消耗",COUNTIF({"一矿区";"二矿区"},$L488)=0),"※自用消耗的去向只能是一矿区或二矿区",IF(AND($K488="对外销售",COUNTIF({"三矿区";"六矿区"},$L488)=0),"※对外销售的去向只能是三矿区或六矿区",IF(AND($K488="对外销售",ROUND($Q488,0)=0),"※外销却没有售价，请填实际售价",IF(AND($K488="对外销售",$T488&lt;&gt;"",$T488&lt;0),"※这一笔外销是亏的，请核对售价",IF(IFERROR(VLOOKUP($D488,库存台账!$A$5:$Y$1204,24,0),0)&lt;-0.001,"※这个物料账面已经变成负数了，查一下是不是漏记入库","")))))))))))</f>
        <v/>
      </c>
    </row>
    <row r="489">
      <c r="A489" s="24">
        <f>IF($D489="","",COUNTA($D$4:$D489))</f>
        <v/>
      </c>
      <c r="B489" s="17" t="n"/>
      <c r="C489" s="30" t="n"/>
      <c r="D489" s="17" t="n"/>
      <c r="E489" s="24">
        <f>IF($D489="","",IFERROR(VLOOKUP($D489,物料档案!$A$4:$P$1203,3,0),"※编码不在物料档案里"))</f>
        <v/>
      </c>
      <c r="F489" s="24">
        <f>IF($D489="","",IFERROR(VLOOKUP($D489,物料档案!$A$4:$P$1203,4,0),"※编码不在物料档案里"))</f>
        <v/>
      </c>
      <c r="G489" s="24">
        <f>IF($D489="","",IFERROR(VLOOKUP($D489,物料档案!$A$4:$P$1203,5,0),"※编码不在物料档案里"))</f>
        <v/>
      </c>
      <c r="H489" s="24">
        <f>IF($D489="","",IFERROR(VLOOKUP($D489,物料档案!$A$4:$P$1203,2,0),"※编码不在物料档案里"))</f>
        <v/>
      </c>
      <c r="I489" s="24">
        <f>IF($D489="","",IFERROR(VLOOKUP($D489,物料档案!$A$4:$P$1203,6,0),"※编码不在物料档案里"))</f>
        <v/>
      </c>
      <c r="J489" s="23" t="n"/>
      <c r="K489" s="17" t="n"/>
      <c r="L489" s="17" t="n"/>
      <c r="M489" s="17" t="n"/>
      <c r="N489" s="17" t="n"/>
      <c r="O489" s="26">
        <f>IF($D489="","",IFERROR(VLOOKUP($D489,物料档案!$A$4:$P$1203,10,0),0))</f>
        <v/>
      </c>
      <c r="P489" s="32" t="n"/>
      <c r="Q489" s="26">
        <f>IF($D489="","",IF($K489&lt;&gt;"对外销售",0,ROUND(N($J489)*IF($P489="",N($O489),N($P489)),0)))</f>
        <v/>
      </c>
      <c r="R489" s="26">
        <f>IF($D489="","",IFERROR(VLOOKUP($D489,库存台账!$A$5:$Y$1204,11,0),0))</f>
        <v/>
      </c>
      <c r="S489" s="26">
        <f>IF($D489="","",ROUND(N($J489)*N($R489),0))</f>
        <v/>
      </c>
      <c r="T489" s="26">
        <f>IF($D489="","",IF($K489&lt;&gt;"对外销售","",ROUND($Q489-$S489,0)))</f>
        <v/>
      </c>
      <c r="U489" s="17" t="n"/>
      <c r="V489" s="17" t="n"/>
      <c r="W489" s="24">
        <f>IF($D489="","",IF($E489="※编码不在物料档案里","※物料编码不在档案里",IF(N($J489)&lt;=0,"※出库数量要大于 0",IF($K489="","※没填去向类型",IF($L489="","※没填去向矿区",IF(AND($C489&lt;&gt;"",$C489&lt;=结账锁),"※日期早于已结账截止日，不能再录",IF(AND($K489="自用消耗",COUNTIF({"一矿区";"二矿区"},$L489)=0),"※自用消耗的去向只能是一矿区或二矿区",IF(AND($K489="对外销售",COUNTIF({"三矿区";"六矿区"},$L489)=0),"※对外销售的去向只能是三矿区或六矿区",IF(AND($K489="对外销售",ROUND($Q489,0)=0),"※外销却没有售价，请填实际售价",IF(AND($K489="对外销售",$T489&lt;&gt;"",$T489&lt;0),"※这一笔外销是亏的，请核对售价",IF(IFERROR(VLOOKUP($D489,库存台账!$A$5:$Y$1204,24,0),0)&lt;-0.001,"※这个物料账面已经变成负数了，查一下是不是漏记入库","")))))))))))</f>
        <v/>
      </c>
    </row>
    <row r="490">
      <c r="A490" s="24">
        <f>IF($D490="","",COUNTA($D$4:$D490))</f>
        <v/>
      </c>
      <c r="B490" s="17" t="n"/>
      <c r="C490" s="30" t="n"/>
      <c r="D490" s="17" t="n"/>
      <c r="E490" s="24">
        <f>IF($D490="","",IFERROR(VLOOKUP($D490,物料档案!$A$4:$P$1203,3,0),"※编码不在物料档案里"))</f>
        <v/>
      </c>
      <c r="F490" s="24">
        <f>IF($D490="","",IFERROR(VLOOKUP($D490,物料档案!$A$4:$P$1203,4,0),"※编码不在物料档案里"))</f>
        <v/>
      </c>
      <c r="G490" s="24">
        <f>IF($D490="","",IFERROR(VLOOKUP($D490,物料档案!$A$4:$P$1203,5,0),"※编码不在物料档案里"))</f>
        <v/>
      </c>
      <c r="H490" s="24">
        <f>IF($D490="","",IFERROR(VLOOKUP($D490,物料档案!$A$4:$P$1203,2,0),"※编码不在物料档案里"))</f>
        <v/>
      </c>
      <c r="I490" s="24">
        <f>IF($D490="","",IFERROR(VLOOKUP($D490,物料档案!$A$4:$P$1203,6,0),"※编码不在物料档案里"))</f>
        <v/>
      </c>
      <c r="J490" s="23" t="n"/>
      <c r="K490" s="17" t="n"/>
      <c r="L490" s="17" t="n"/>
      <c r="M490" s="17" t="n"/>
      <c r="N490" s="17" t="n"/>
      <c r="O490" s="26">
        <f>IF($D490="","",IFERROR(VLOOKUP($D490,物料档案!$A$4:$P$1203,10,0),0))</f>
        <v/>
      </c>
      <c r="P490" s="32" t="n"/>
      <c r="Q490" s="26">
        <f>IF($D490="","",IF($K490&lt;&gt;"对外销售",0,ROUND(N($J490)*IF($P490="",N($O490),N($P490)),0)))</f>
        <v/>
      </c>
      <c r="R490" s="26">
        <f>IF($D490="","",IFERROR(VLOOKUP($D490,库存台账!$A$5:$Y$1204,11,0),0))</f>
        <v/>
      </c>
      <c r="S490" s="26">
        <f>IF($D490="","",ROUND(N($J490)*N($R490),0))</f>
        <v/>
      </c>
      <c r="T490" s="26">
        <f>IF($D490="","",IF($K490&lt;&gt;"对外销售","",ROUND($Q490-$S490,0)))</f>
        <v/>
      </c>
      <c r="U490" s="17" t="n"/>
      <c r="V490" s="17" t="n"/>
      <c r="W490" s="24">
        <f>IF($D490="","",IF($E490="※编码不在物料档案里","※物料编码不在档案里",IF(N($J490)&lt;=0,"※出库数量要大于 0",IF($K490="","※没填去向类型",IF($L490="","※没填去向矿区",IF(AND($C490&lt;&gt;"",$C490&lt;=结账锁),"※日期早于已结账截止日，不能再录",IF(AND($K490="自用消耗",COUNTIF({"一矿区";"二矿区"},$L490)=0),"※自用消耗的去向只能是一矿区或二矿区",IF(AND($K490="对外销售",COUNTIF({"三矿区";"六矿区"},$L490)=0),"※对外销售的去向只能是三矿区或六矿区",IF(AND($K490="对外销售",ROUND($Q490,0)=0),"※外销却没有售价，请填实际售价",IF(AND($K490="对外销售",$T490&lt;&gt;"",$T490&lt;0),"※这一笔外销是亏的，请核对售价",IF(IFERROR(VLOOKUP($D490,库存台账!$A$5:$Y$1204,24,0),0)&lt;-0.001,"※这个物料账面已经变成负数了，查一下是不是漏记入库","")))))))))))</f>
        <v/>
      </c>
    </row>
    <row r="491">
      <c r="A491" s="24">
        <f>IF($D491="","",COUNTA($D$4:$D491))</f>
        <v/>
      </c>
      <c r="B491" s="17" t="n"/>
      <c r="C491" s="30" t="n"/>
      <c r="D491" s="17" t="n"/>
      <c r="E491" s="24">
        <f>IF($D491="","",IFERROR(VLOOKUP($D491,物料档案!$A$4:$P$1203,3,0),"※编码不在物料档案里"))</f>
        <v/>
      </c>
      <c r="F491" s="24">
        <f>IF($D491="","",IFERROR(VLOOKUP($D491,物料档案!$A$4:$P$1203,4,0),"※编码不在物料档案里"))</f>
        <v/>
      </c>
      <c r="G491" s="24">
        <f>IF($D491="","",IFERROR(VLOOKUP($D491,物料档案!$A$4:$P$1203,5,0),"※编码不在物料档案里"))</f>
        <v/>
      </c>
      <c r="H491" s="24">
        <f>IF($D491="","",IFERROR(VLOOKUP($D491,物料档案!$A$4:$P$1203,2,0),"※编码不在物料档案里"))</f>
        <v/>
      </c>
      <c r="I491" s="24">
        <f>IF($D491="","",IFERROR(VLOOKUP($D491,物料档案!$A$4:$P$1203,6,0),"※编码不在物料档案里"))</f>
        <v/>
      </c>
      <c r="J491" s="23" t="n"/>
      <c r="K491" s="17" t="n"/>
      <c r="L491" s="17" t="n"/>
      <c r="M491" s="17" t="n"/>
      <c r="N491" s="17" t="n"/>
      <c r="O491" s="26">
        <f>IF($D491="","",IFERROR(VLOOKUP($D491,物料档案!$A$4:$P$1203,10,0),0))</f>
        <v/>
      </c>
      <c r="P491" s="32" t="n"/>
      <c r="Q491" s="26">
        <f>IF($D491="","",IF($K491&lt;&gt;"对外销售",0,ROUND(N($J491)*IF($P491="",N($O491),N($P491)),0)))</f>
        <v/>
      </c>
      <c r="R491" s="26">
        <f>IF($D491="","",IFERROR(VLOOKUP($D491,库存台账!$A$5:$Y$1204,11,0),0))</f>
        <v/>
      </c>
      <c r="S491" s="26">
        <f>IF($D491="","",ROUND(N($J491)*N($R491),0))</f>
        <v/>
      </c>
      <c r="T491" s="26">
        <f>IF($D491="","",IF($K491&lt;&gt;"对外销售","",ROUND($Q491-$S491,0)))</f>
        <v/>
      </c>
      <c r="U491" s="17" t="n"/>
      <c r="V491" s="17" t="n"/>
      <c r="W491" s="24">
        <f>IF($D491="","",IF($E491="※编码不在物料档案里","※物料编码不在档案里",IF(N($J491)&lt;=0,"※出库数量要大于 0",IF($K491="","※没填去向类型",IF($L491="","※没填去向矿区",IF(AND($C491&lt;&gt;"",$C491&lt;=结账锁),"※日期早于已结账截止日，不能再录",IF(AND($K491="自用消耗",COUNTIF({"一矿区";"二矿区"},$L491)=0),"※自用消耗的去向只能是一矿区或二矿区",IF(AND($K491="对外销售",COUNTIF({"三矿区";"六矿区"},$L491)=0),"※对外销售的去向只能是三矿区或六矿区",IF(AND($K491="对外销售",ROUND($Q491,0)=0),"※外销却没有售价，请填实际售价",IF(AND($K491="对外销售",$T491&lt;&gt;"",$T491&lt;0),"※这一笔外销是亏的，请核对售价",IF(IFERROR(VLOOKUP($D491,库存台账!$A$5:$Y$1204,24,0),0)&lt;-0.001,"※这个物料账面已经变成负数了，查一下是不是漏记入库","")))))))))))</f>
        <v/>
      </c>
    </row>
    <row r="492">
      <c r="A492" s="24">
        <f>IF($D492="","",COUNTA($D$4:$D492))</f>
        <v/>
      </c>
      <c r="B492" s="17" t="n"/>
      <c r="C492" s="30" t="n"/>
      <c r="D492" s="17" t="n"/>
      <c r="E492" s="24">
        <f>IF($D492="","",IFERROR(VLOOKUP($D492,物料档案!$A$4:$P$1203,3,0),"※编码不在物料档案里"))</f>
        <v/>
      </c>
      <c r="F492" s="24">
        <f>IF($D492="","",IFERROR(VLOOKUP($D492,物料档案!$A$4:$P$1203,4,0),"※编码不在物料档案里"))</f>
        <v/>
      </c>
      <c r="G492" s="24">
        <f>IF($D492="","",IFERROR(VLOOKUP($D492,物料档案!$A$4:$P$1203,5,0),"※编码不在物料档案里"))</f>
        <v/>
      </c>
      <c r="H492" s="24">
        <f>IF($D492="","",IFERROR(VLOOKUP($D492,物料档案!$A$4:$P$1203,2,0),"※编码不在物料档案里"))</f>
        <v/>
      </c>
      <c r="I492" s="24">
        <f>IF($D492="","",IFERROR(VLOOKUP($D492,物料档案!$A$4:$P$1203,6,0),"※编码不在物料档案里"))</f>
        <v/>
      </c>
      <c r="J492" s="23" t="n"/>
      <c r="K492" s="17" t="n"/>
      <c r="L492" s="17" t="n"/>
      <c r="M492" s="17" t="n"/>
      <c r="N492" s="17" t="n"/>
      <c r="O492" s="26">
        <f>IF($D492="","",IFERROR(VLOOKUP($D492,物料档案!$A$4:$P$1203,10,0),0))</f>
        <v/>
      </c>
      <c r="P492" s="32" t="n"/>
      <c r="Q492" s="26">
        <f>IF($D492="","",IF($K492&lt;&gt;"对外销售",0,ROUND(N($J492)*IF($P492="",N($O492),N($P492)),0)))</f>
        <v/>
      </c>
      <c r="R492" s="26">
        <f>IF($D492="","",IFERROR(VLOOKUP($D492,库存台账!$A$5:$Y$1204,11,0),0))</f>
        <v/>
      </c>
      <c r="S492" s="26">
        <f>IF($D492="","",ROUND(N($J492)*N($R492),0))</f>
        <v/>
      </c>
      <c r="T492" s="26">
        <f>IF($D492="","",IF($K492&lt;&gt;"对外销售","",ROUND($Q492-$S492,0)))</f>
        <v/>
      </c>
      <c r="U492" s="17" t="n"/>
      <c r="V492" s="17" t="n"/>
      <c r="W492" s="24">
        <f>IF($D492="","",IF($E492="※编码不在物料档案里","※物料编码不在档案里",IF(N($J492)&lt;=0,"※出库数量要大于 0",IF($K492="","※没填去向类型",IF($L492="","※没填去向矿区",IF(AND($C492&lt;&gt;"",$C492&lt;=结账锁),"※日期早于已结账截止日，不能再录",IF(AND($K492="自用消耗",COUNTIF({"一矿区";"二矿区"},$L492)=0),"※自用消耗的去向只能是一矿区或二矿区",IF(AND($K492="对外销售",COUNTIF({"三矿区";"六矿区"},$L492)=0),"※对外销售的去向只能是三矿区或六矿区",IF(AND($K492="对外销售",ROUND($Q492,0)=0),"※外销却没有售价，请填实际售价",IF(AND($K492="对外销售",$T492&lt;&gt;"",$T492&lt;0),"※这一笔外销是亏的，请核对售价",IF(IFERROR(VLOOKUP($D492,库存台账!$A$5:$Y$1204,24,0),0)&lt;-0.001,"※这个物料账面已经变成负数了，查一下是不是漏记入库","")))))))))))</f>
        <v/>
      </c>
    </row>
    <row r="493">
      <c r="A493" s="24">
        <f>IF($D493="","",COUNTA($D$4:$D493))</f>
        <v/>
      </c>
      <c r="B493" s="17" t="n"/>
      <c r="C493" s="30" t="n"/>
      <c r="D493" s="17" t="n"/>
      <c r="E493" s="24">
        <f>IF($D493="","",IFERROR(VLOOKUP($D493,物料档案!$A$4:$P$1203,3,0),"※编码不在物料档案里"))</f>
        <v/>
      </c>
      <c r="F493" s="24">
        <f>IF($D493="","",IFERROR(VLOOKUP($D493,物料档案!$A$4:$P$1203,4,0),"※编码不在物料档案里"))</f>
        <v/>
      </c>
      <c r="G493" s="24">
        <f>IF($D493="","",IFERROR(VLOOKUP($D493,物料档案!$A$4:$P$1203,5,0),"※编码不在物料档案里"))</f>
        <v/>
      </c>
      <c r="H493" s="24">
        <f>IF($D493="","",IFERROR(VLOOKUP($D493,物料档案!$A$4:$P$1203,2,0),"※编码不在物料档案里"))</f>
        <v/>
      </c>
      <c r="I493" s="24">
        <f>IF($D493="","",IFERROR(VLOOKUP($D493,物料档案!$A$4:$P$1203,6,0),"※编码不在物料档案里"))</f>
        <v/>
      </c>
      <c r="J493" s="23" t="n"/>
      <c r="K493" s="17" t="n"/>
      <c r="L493" s="17" t="n"/>
      <c r="M493" s="17" t="n"/>
      <c r="N493" s="17" t="n"/>
      <c r="O493" s="26">
        <f>IF($D493="","",IFERROR(VLOOKUP($D493,物料档案!$A$4:$P$1203,10,0),0))</f>
        <v/>
      </c>
      <c r="P493" s="32" t="n"/>
      <c r="Q493" s="26">
        <f>IF($D493="","",IF($K493&lt;&gt;"对外销售",0,ROUND(N($J493)*IF($P493="",N($O493),N($P493)),0)))</f>
        <v/>
      </c>
      <c r="R493" s="26">
        <f>IF($D493="","",IFERROR(VLOOKUP($D493,库存台账!$A$5:$Y$1204,11,0),0))</f>
        <v/>
      </c>
      <c r="S493" s="26">
        <f>IF($D493="","",ROUND(N($J493)*N($R493),0))</f>
        <v/>
      </c>
      <c r="T493" s="26">
        <f>IF($D493="","",IF($K493&lt;&gt;"对外销售","",ROUND($Q493-$S493,0)))</f>
        <v/>
      </c>
      <c r="U493" s="17" t="n"/>
      <c r="V493" s="17" t="n"/>
      <c r="W493" s="24">
        <f>IF($D493="","",IF($E493="※编码不在物料档案里","※物料编码不在档案里",IF(N($J493)&lt;=0,"※出库数量要大于 0",IF($K493="","※没填去向类型",IF($L493="","※没填去向矿区",IF(AND($C493&lt;&gt;"",$C493&lt;=结账锁),"※日期早于已结账截止日，不能再录",IF(AND($K493="自用消耗",COUNTIF({"一矿区";"二矿区"},$L493)=0),"※自用消耗的去向只能是一矿区或二矿区",IF(AND($K493="对外销售",COUNTIF({"三矿区";"六矿区"},$L493)=0),"※对外销售的去向只能是三矿区或六矿区",IF(AND($K493="对外销售",ROUND($Q493,0)=0),"※外销却没有售价，请填实际售价",IF(AND($K493="对外销售",$T493&lt;&gt;"",$T493&lt;0),"※这一笔外销是亏的，请核对售价",IF(IFERROR(VLOOKUP($D493,库存台账!$A$5:$Y$1204,24,0),0)&lt;-0.001,"※这个物料账面已经变成负数了，查一下是不是漏记入库","")))))))))))</f>
        <v/>
      </c>
    </row>
    <row r="494">
      <c r="A494" s="24">
        <f>IF($D494="","",COUNTA($D$4:$D494))</f>
        <v/>
      </c>
      <c r="B494" s="17" t="n"/>
      <c r="C494" s="30" t="n"/>
      <c r="D494" s="17" t="n"/>
      <c r="E494" s="24">
        <f>IF($D494="","",IFERROR(VLOOKUP($D494,物料档案!$A$4:$P$1203,3,0),"※编码不在物料档案里"))</f>
        <v/>
      </c>
      <c r="F494" s="24">
        <f>IF($D494="","",IFERROR(VLOOKUP($D494,物料档案!$A$4:$P$1203,4,0),"※编码不在物料档案里"))</f>
        <v/>
      </c>
      <c r="G494" s="24">
        <f>IF($D494="","",IFERROR(VLOOKUP($D494,物料档案!$A$4:$P$1203,5,0),"※编码不在物料档案里"))</f>
        <v/>
      </c>
      <c r="H494" s="24">
        <f>IF($D494="","",IFERROR(VLOOKUP($D494,物料档案!$A$4:$P$1203,2,0),"※编码不在物料档案里"))</f>
        <v/>
      </c>
      <c r="I494" s="24">
        <f>IF($D494="","",IFERROR(VLOOKUP($D494,物料档案!$A$4:$P$1203,6,0),"※编码不在物料档案里"))</f>
        <v/>
      </c>
      <c r="J494" s="23" t="n"/>
      <c r="K494" s="17" t="n"/>
      <c r="L494" s="17" t="n"/>
      <c r="M494" s="17" t="n"/>
      <c r="N494" s="17" t="n"/>
      <c r="O494" s="26">
        <f>IF($D494="","",IFERROR(VLOOKUP($D494,物料档案!$A$4:$P$1203,10,0),0))</f>
        <v/>
      </c>
      <c r="P494" s="32" t="n"/>
      <c r="Q494" s="26">
        <f>IF($D494="","",IF($K494&lt;&gt;"对外销售",0,ROUND(N($J494)*IF($P494="",N($O494),N($P494)),0)))</f>
        <v/>
      </c>
      <c r="R494" s="26">
        <f>IF($D494="","",IFERROR(VLOOKUP($D494,库存台账!$A$5:$Y$1204,11,0),0))</f>
        <v/>
      </c>
      <c r="S494" s="26">
        <f>IF($D494="","",ROUND(N($J494)*N($R494),0))</f>
        <v/>
      </c>
      <c r="T494" s="26">
        <f>IF($D494="","",IF($K494&lt;&gt;"对外销售","",ROUND($Q494-$S494,0)))</f>
        <v/>
      </c>
      <c r="U494" s="17" t="n"/>
      <c r="V494" s="17" t="n"/>
      <c r="W494" s="24">
        <f>IF($D494="","",IF($E494="※编码不在物料档案里","※物料编码不在档案里",IF(N($J494)&lt;=0,"※出库数量要大于 0",IF($K494="","※没填去向类型",IF($L494="","※没填去向矿区",IF(AND($C494&lt;&gt;"",$C494&lt;=结账锁),"※日期早于已结账截止日，不能再录",IF(AND($K494="自用消耗",COUNTIF({"一矿区";"二矿区"},$L494)=0),"※自用消耗的去向只能是一矿区或二矿区",IF(AND($K494="对外销售",COUNTIF({"三矿区";"六矿区"},$L494)=0),"※对外销售的去向只能是三矿区或六矿区",IF(AND($K494="对外销售",ROUND($Q494,0)=0),"※外销却没有售价，请填实际售价",IF(AND($K494="对外销售",$T494&lt;&gt;"",$T494&lt;0),"※这一笔外销是亏的，请核对售价",IF(IFERROR(VLOOKUP($D494,库存台账!$A$5:$Y$1204,24,0),0)&lt;-0.001,"※这个物料账面已经变成负数了，查一下是不是漏记入库","")))))))))))</f>
        <v/>
      </c>
    </row>
    <row r="495">
      <c r="A495" s="24">
        <f>IF($D495="","",COUNTA($D$4:$D495))</f>
        <v/>
      </c>
      <c r="B495" s="17" t="n"/>
      <c r="C495" s="30" t="n"/>
      <c r="D495" s="17" t="n"/>
      <c r="E495" s="24">
        <f>IF($D495="","",IFERROR(VLOOKUP($D495,物料档案!$A$4:$P$1203,3,0),"※编码不在物料档案里"))</f>
        <v/>
      </c>
      <c r="F495" s="24">
        <f>IF($D495="","",IFERROR(VLOOKUP($D495,物料档案!$A$4:$P$1203,4,0),"※编码不在物料档案里"))</f>
        <v/>
      </c>
      <c r="G495" s="24">
        <f>IF($D495="","",IFERROR(VLOOKUP($D495,物料档案!$A$4:$P$1203,5,0),"※编码不在物料档案里"))</f>
        <v/>
      </c>
      <c r="H495" s="24">
        <f>IF($D495="","",IFERROR(VLOOKUP($D495,物料档案!$A$4:$P$1203,2,0),"※编码不在物料档案里"))</f>
        <v/>
      </c>
      <c r="I495" s="24">
        <f>IF($D495="","",IFERROR(VLOOKUP($D495,物料档案!$A$4:$P$1203,6,0),"※编码不在物料档案里"))</f>
        <v/>
      </c>
      <c r="J495" s="23" t="n"/>
      <c r="K495" s="17" t="n"/>
      <c r="L495" s="17" t="n"/>
      <c r="M495" s="17" t="n"/>
      <c r="N495" s="17" t="n"/>
      <c r="O495" s="26">
        <f>IF($D495="","",IFERROR(VLOOKUP($D495,物料档案!$A$4:$P$1203,10,0),0))</f>
        <v/>
      </c>
      <c r="P495" s="32" t="n"/>
      <c r="Q495" s="26">
        <f>IF($D495="","",IF($K495&lt;&gt;"对外销售",0,ROUND(N($J495)*IF($P495="",N($O495),N($P495)),0)))</f>
        <v/>
      </c>
      <c r="R495" s="26">
        <f>IF($D495="","",IFERROR(VLOOKUP($D495,库存台账!$A$5:$Y$1204,11,0),0))</f>
        <v/>
      </c>
      <c r="S495" s="26">
        <f>IF($D495="","",ROUND(N($J495)*N($R495),0))</f>
        <v/>
      </c>
      <c r="T495" s="26">
        <f>IF($D495="","",IF($K495&lt;&gt;"对外销售","",ROUND($Q495-$S495,0)))</f>
        <v/>
      </c>
      <c r="U495" s="17" t="n"/>
      <c r="V495" s="17" t="n"/>
      <c r="W495" s="24">
        <f>IF($D495="","",IF($E495="※编码不在物料档案里","※物料编码不在档案里",IF(N($J495)&lt;=0,"※出库数量要大于 0",IF($K495="","※没填去向类型",IF($L495="","※没填去向矿区",IF(AND($C495&lt;&gt;"",$C495&lt;=结账锁),"※日期早于已结账截止日，不能再录",IF(AND($K495="自用消耗",COUNTIF({"一矿区";"二矿区"},$L495)=0),"※自用消耗的去向只能是一矿区或二矿区",IF(AND($K495="对外销售",COUNTIF({"三矿区";"六矿区"},$L495)=0),"※对外销售的去向只能是三矿区或六矿区",IF(AND($K495="对外销售",ROUND($Q495,0)=0),"※外销却没有售价，请填实际售价",IF(AND($K495="对外销售",$T495&lt;&gt;"",$T495&lt;0),"※这一笔外销是亏的，请核对售价",IF(IFERROR(VLOOKUP($D495,库存台账!$A$5:$Y$1204,24,0),0)&lt;-0.001,"※这个物料账面已经变成负数了，查一下是不是漏记入库","")))))))))))</f>
        <v/>
      </c>
    </row>
    <row r="496">
      <c r="A496" s="24">
        <f>IF($D496="","",COUNTA($D$4:$D496))</f>
        <v/>
      </c>
      <c r="B496" s="17" t="n"/>
      <c r="C496" s="30" t="n"/>
      <c r="D496" s="17" t="n"/>
      <c r="E496" s="24">
        <f>IF($D496="","",IFERROR(VLOOKUP($D496,物料档案!$A$4:$P$1203,3,0),"※编码不在物料档案里"))</f>
        <v/>
      </c>
      <c r="F496" s="24">
        <f>IF($D496="","",IFERROR(VLOOKUP($D496,物料档案!$A$4:$P$1203,4,0),"※编码不在物料档案里"))</f>
        <v/>
      </c>
      <c r="G496" s="24">
        <f>IF($D496="","",IFERROR(VLOOKUP($D496,物料档案!$A$4:$P$1203,5,0),"※编码不在物料档案里"))</f>
        <v/>
      </c>
      <c r="H496" s="24">
        <f>IF($D496="","",IFERROR(VLOOKUP($D496,物料档案!$A$4:$P$1203,2,0),"※编码不在物料档案里"))</f>
        <v/>
      </c>
      <c r="I496" s="24">
        <f>IF($D496="","",IFERROR(VLOOKUP($D496,物料档案!$A$4:$P$1203,6,0),"※编码不在物料档案里"))</f>
        <v/>
      </c>
      <c r="J496" s="23" t="n"/>
      <c r="K496" s="17" t="n"/>
      <c r="L496" s="17" t="n"/>
      <c r="M496" s="17" t="n"/>
      <c r="N496" s="17" t="n"/>
      <c r="O496" s="26">
        <f>IF($D496="","",IFERROR(VLOOKUP($D496,物料档案!$A$4:$P$1203,10,0),0))</f>
        <v/>
      </c>
      <c r="P496" s="32" t="n"/>
      <c r="Q496" s="26">
        <f>IF($D496="","",IF($K496&lt;&gt;"对外销售",0,ROUND(N($J496)*IF($P496="",N($O496),N($P496)),0)))</f>
        <v/>
      </c>
      <c r="R496" s="26">
        <f>IF($D496="","",IFERROR(VLOOKUP($D496,库存台账!$A$5:$Y$1204,11,0),0))</f>
        <v/>
      </c>
      <c r="S496" s="26">
        <f>IF($D496="","",ROUND(N($J496)*N($R496),0))</f>
        <v/>
      </c>
      <c r="T496" s="26">
        <f>IF($D496="","",IF($K496&lt;&gt;"对外销售","",ROUND($Q496-$S496,0)))</f>
        <v/>
      </c>
      <c r="U496" s="17" t="n"/>
      <c r="V496" s="17" t="n"/>
      <c r="W496" s="24">
        <f>IF($D496="","",IF($E496="※编码不在物料档案里","※物料编码不在档案里",IF(N($J496)&lt;=0,"※出库数量要大于 0",IF($K496="","※没填去向类型",IF($L496="","※没填去向矿区",IF(AND($C496&lt;&gt;"",$C496&lt;=结账锁),"※日期早于已结账截止日，不能再录",IF(AND($K496="自用消耗",COUNTIF({"一矿区";"二矿区"},$L496)=0),"※自用消耗的去向只能是一矿区或二矿区",IF(AND($K496="对外销售",COUNTIF({"三矿区";"六矿区"},$L496)=0),"※对外销售的去向只能是三矿区或六矿区",IF(AND($K496="对外销售",ROUND($Q496,0)=0),"※外销却没有售价，请填实际售价",IF(AND($K496="对外销售",$T496&lt;&gt;"",$T496&lt;0),"※这一笔外销是亏的，请核对售价",IF(IFERROR(VLOOKUP($D496,库存台账!$A$5:$Y$1204,24,0),0)&lt;-0.001,"※这个物料账面已经变成负数了，查一下是不是漏记入库","")))))))))))</f>
        <v/>
      </c>
    </row>
    <row r="497">
      <c r="A497" s="24">
        <f>IF($D497="","",COUNTA($D$4:$D497))</f>
        <v/>
      </c>
      <c r="B497" s="17" t="n"/>
      <c r="C497" s="30" t="n"/>
      <c r="D497" s="17" t="n"/>
      <c r="E497" s="24">
        <f>IF($D497="","",IFERROR(VLOOKUP($D497,物料档案!$A$4:$P$1203,3,0),"※编码不在物料档案里"))</f>
        <v/>
      </c>
      <c r="F497" s="24">
        <f>IF($D497="","",IFERROR(VLOOKUP($D497,物料档案!$A$4:$P$1203,4,0),"※编码不在物料档案里"))</f>
        <v/>
      </c>
      <c r="G497" s="24">
        <f>IF($D497="","",IFERROR(VLOOKUP($D497,物料档案!$A$4:$P$1203,5,0),"※编码不在物料档案里"))</f>
        <v/>
      </c>
      <c r="H497" s="24">
        <f>IF($D497="","",IFERROR(VLOOKUP($D497,物料档案!$A$4:$P$1203,2,0),"※编码不在物料档案里"))</f>
        <v/>
      </c>
      <c r="I497" s="24">
        <f>IF($D497="","",IFERROR(VLOOKUP($D497,物料档案!$A$4:$P$1203,6,0),"※编码不在物料档案里"))</f>
        <v/>
      </c>
      <c r="J497" s="23" t="n"/>
      <c r="K497" s="17" t="n"/>
      <c r="L497" s="17" t="n"/>
      <c r="M497" s="17" t="n"/>
      <c r="N497" s="17" t="n"/>
      <c r="O497" s="26">
        <f>IF($D497="","",IFERROR(VLOOKUP($D497,物料档案!$A$4:$P$1203,10,0),0))</f>
        <v/>
      </c>
      <c r="P497" s="32" t="n"/>
      <c r="Q497" s="26">
        <f>IF($D497="","",IF($K497&lt;&gt;"对外销售",0,ROUND(N($J497)*IF($P497="",N($O497),N($P497)),0)))</f>
        <v/>
      </c>
      <c r="R497" s="26">
        <f>IF($D497="","",IFERROR(VLOOKUP($D497,库存台账!$A$5:$Y$1204,11,0),0))</f>
        <v/>
      </c>
      <c r="S497" s="26">
        <f>IF($D497="","",ROUND(N($J497)*N($R497),0))</f>
        <v/>
      </c>
      <c r="T497" s="26">
        <f>IF($D497="","",IF($K497&lt;&gt;"对外销售","",ROUND($Q497-$S497,0)))</f>
        <v/>
      </c>
      <c r="U497" s="17" t="n"/>
      <c r="V497" s="17" t="n"/>
      <c r="W497" s="24">
        <f>IF($D497="","",IF($E497="※编码不在物料档案里","※物料编码不在档案里",IF(N($J497)&lt;=0,"※出库数量要大于 0",IF($K497="","※没填去向类型",IF($L497="","※没填去向矿区",IF(AND($C497&lt;&gt;"",$C497&lt;=结账锁),"※日期早于已结账截止日，不能再录",IF(AND($K497="自用消耗",COUNTIF({"一矿区";"二矿区"},$L497)=0),"※自用消耗的去向只能是一矿区或二矿区",IF(AND($K497="对外销售",COUNTIF({"三矿区";"六矿区"},$L497)=0),"※对外销售的去向只能是三矿区或六矿区",IF(AND($K497="对外销售",ROUND($Q497,0)=0),"※外销却没有售价，请填实际售价",IF(AND($K497="对外销售",$T497&lt;&gt;"",$T497&lt;0),"※这一笔外销是亏的，请核对售价",IF(IFERROR(VLOOKUP($D497,库存台账!$A$5:$Y$1204,24,0),0)&lt;-0.001,"※这个物料账面已经变成负数了，查一下是不是漏记入库","")))))))))))</f>
        <v/>
      </c>
    </row>
    <row r="498">
      <c r="A498" s="24">
        <f>IF($D498="","",COUNTA($D$4:$D498))</f>
        <v/>
      </c>
      <c r="B498" s="17" t="n"/>
      <c r="C498" s="30" t="n"/>
      <c r="D498" s="17" t="n"/>
      <c r="E498" s="24">
        <f>IF($D498="","",IFERROR(VLOOKUP($D498,物料档案!$A$4:$P$1203,3,0),"※编码不在物料档案里"))</f>
        <v/>
      </c>
      <c r="F498" s="24">
        <f>IF($D498="","",IFERROR(VLOOKUP($D498,物料档案!$A$4:$P$1203,4,0),"※编码不在物料档案里"))</f>
        <v/>
      </c>
      <c r="G498" s="24">
        <f>IF($D498="","",IFERROR(VLOOKUP($D498,物料档案!$A$4:$P$1203,5,0),"※编码不在物料档案里"))</f>
        <v/>
      </c>
      <c r="H498" s="24">
        <f>IF($D498="","",IFERROR(VLOOKUP($D498,物料档案!$A$4:$P$1203,2,0),"※编码不在物料档案里"))</f>
        <v/>
      </c>
      <c r="I498" s="24">
        <f>IF($D498="","",IFERROR(VLOOKUP($D498,物料档案!$A$4:$P$1203,6,0),"※编码不在物料档案里"))</f>
        <v/>
      </c>
      <c r="J498" s="23" t="n"/>
      <c r="K498" s="17" t="n"/>
      <c r="L498" s="17" t="n"/>
      <c r="M498" s="17" t="n"/>
      <c r="N498" s="17" t="n"/>
      <c r="O498" s="26">
        <f>IF($D498="","",IFERROR(VLOOKUP($D498,物料档案!$A$4:$P$1203,10,0),0))</f>
        <v/>
      </c>
      <c r="P498" s="32" t="n"/>
      <c r="Q498" s="26">
        <f>IF($D498="","",IF($K498&lt;&gt;"对外销售",0,ROUND(N($J498)*IF($P498="",N($O498),N($P498)),0)))</f>
        <v/>
      </c>
      <c r="R498" s="26">
        <f>IF($D498="","",IFERROR(VLOOKUP($D498,库存台账!$A$5:$Y$1204,11,0),0))</f>
        <v/>
      </c>
      <c r="S498" s="26">
        <f>IF($D498="","",ROUND(N($J498)*N($R498),0))</f>
        <v/>
      </c>
      <c r="T498" s="26">
        <f>IF($D498="","",IF($K498&lt;&gt;"对外销售","",ROUND($Q498-$S498,0)))</f>
        <v/>
      </c>
      <c r="U498" s="17" t="n"/>
      <c r="V498" s="17" t="n"/>
      <c r="W498" s="24">
        <f>IF($D498="","",IF($E498="※编码不在物料档案里","※物料编码不在档案里",IF(N($J498)&lt;=0,"※出库数量要大于 0",IF($K498="","※没填去向类型",IF($L498="","※没填去向矿区",IF(AND($C498&lt;&gt;"",$C498&lt;=结账锁),"※日期早于已结账截止日，不能再录",IF(AND($K498="自用消耗",COUNTIF({"一矿区";"二矿区"},$L498)=0),"※自用消耗的去向只能是一矿区或二矿区",IF(AND($K498="对外销售",COUNTIF({"三矿区";"六矿区"},$L498)=0),"※对外销售的去向只能是三矿区或六矿区",IF(AND($K498="对外销售",ROUND($Q498,0)=0),"※外销却没有售价，请填实际售价",IF(AND($K498="对外销售",$T498&lt;&gt;"",$T498&lt;0),"※这一笔外销是亏的，请核对售价",IF(IFERROR(VLOOKUP($D498,库存台账!$A$5:$Y$1204,24,0),0)&lt;-0.001,"※这个物料账面已经变成负数了，查一下是不是漏记入库","")))))))))))</f>
        <v/>
      </c>
    </row>
    <row r="499">
      <c r="A499" s="24">
        <f>IF($D499="","",COUNTA($D$4:$D499))</f>
        <v/>
      </c>
      <c r="B499" s="17" t="n"/>
      <c r="C499" s="30" t="n"/>
      <c r="D499" s="17" t="n"/>
      <c r="E499" s="24">
        <f>IF($D499="","",IFERROR(VLOOKUP($D499,物料档案!$A$4:$P$1203,3,0),"※编码不在物料档案里"))</f>
        <v/>
      </c>
      <c r="F499" s="24">
        <f>IF($D499="","",IFERROR(VLOOKUP($D499,物料档案!$A$4:$P$1203,4,0),"※编码不在物料档案里"))</f>
        <v/>
      </c>
      <c r="G499" s="24">
        <f>IF($D499="","",IFERROR(VLOOKUP($D499,物料档案!$A$4:$P$1203,5,0),"※编码不在物料档案里"))</f>
        <v/>
      </c>
      <c r="H499" s="24">
        <f>IF($D499="","",IFERROR(VLOOKUP($D499,物料档案!$A$4:$P$1203,2,0),"※编码不在物料档案里"))</f>
        <v/>
      </c>
      <c r="I499" s="24">
        <f>IF($D499="","",IFERROR(VLOOKUP($D499,物料档案!$A$4:$P$1203,6,0),"※编码不在物料档案里"))</f>
        <v/>
      </c>
      <c r="J499" s="23" t="n"/>
      <c r="K499" s="17" t="n"/>
      <c r="L499" s="17" t="n"/>
      <c r="M499" s="17" t="n"/>
      <c r="N499" s="17" t="n"/>
      <c r="O499" s="26">
        <f>IF($D499="","",IFERROR(VLOOKUP($D499,物料档案!$A$4:$P$1203,10,0),0))</f>
        <v/>
      </c>
      <c r="P499" s="32" t="n"/>
      <c r="Q499" s="26">
        <f>IF($D499="","",IF($K499&lt;&gt;"对外销售",0,ROUND(N($J499)*IF($P499="",N($O499),N($P499)),0)))</f>
        <v/>
      </c>
      <c r="R499" s="26">
        <f>IF($D499="","",IFERROR(VLOOKUP($D499,库存台账!$A$5:$Y$1204,11,0),0))</f>
        <v/>
      </c>
      <c r="S499" s="26">
        <f>IF($D499="","",ROUND(N($J499)*N($R499),0))</f>
        <v/>
      </c>
      <c r="T499" s="26">
        <f>IF($D499="","",IF($K499&lt;&gt;"对外销售","",ROUND($Q499-$S499,0)))</f>
        <v/>
      </c>
      <c r="U499" s="17" t="n"/>
      <c r="V499" s="17" t="n"/>
      <c r="W499" s="24">
        <f>IF($D499="","",IF($E499="※编码不在物料档案里","※物料编码不在档案里",IF(N($J499)&lt;=0,"※出库数量要大于 0",IF($K499="","※没填去向类型",IF($L499="","※没填去向矿区",IF(AND($C499&lt;&gt;"",$C499&lt;=结账锁),"※日期早于已结账截止日，不能再录",IF(AND($K499="自用消耗",COUNTIF({"一矿区";"二矿区"},$L499)=0),"※自用消耗的去向只能是一矿区或二矿区",IF(AND($K499="对外销售",COUNTIF({"三矿区";"六矿区"},$L499)=0),"※对外销售的去向只能是三矿区或六矿区",IF(AND($K499="对外销售",ROUND($Q499,0)=0),"※外销却没有售价，请填实际售价",IF(AND($K499="对外销售",$T499&lt;&gt;"",$T499&lt;0),"※这一笔外销是亏的，请核对售价",IF(IFERROR(VLOOKUP($D499,库存台账!$A$5:$Y$1204,24,0),0)&lt;-0.001,"※这个物料账面已经变成负数了，查一下是不是漏记入库","")))))))))))</f>
        <v/>
      </c>
    </row>
    <row r="500">
      <c r="A500" s="24">
        <f>IF($D500="","",COUNTA($D$4:$D500))</f>
        <v/>
      </c>
      <c r="B500" s="17" t="n"/>
      <c r="C500" s="30" t="n"/>
      <c r="D500" s="17" t="n"/>
      <c r="E500" s="24">
        <f>IF($D500="","",IFERROR(VLOOKUP($D500,物料档案!$A$4:$P$1203,3,0),"※编码不在物料档案里"))</f>
        <v/>
      </c>
      <c r="F500" s="24">
        <f>IF($D500="","",IFERROR(VLOOKUP($D500,物料档案!$A$4:$P$1203,4,0),"※编码不在物料档案里"))</f>
        <v/>
      </c>
      <c r="G500" s="24">
        <f>IF($D500="","",IFERROR(VLOOKUP($D500,物料档案!$A$4:$P$1203,5,0),"※编码不在物料档案里"))</f>
        <v/>
      </c>
      <c r="H500" s="24">
        <f>IF($D500="","",IFERROR(VLOOKUP($D500,物料档案!$A$4:$P$1203,2,0),"※编码不在物料档案里"))</f>
        <v/>
      </c>
      <c r="I500" s="24">
        <f>IF($D500="","",IFERROR(VLOOKUP($D500,物料档案!$A$4:$P$1203,6,0),"※编码不在物料档案里"))</f>
        <v/>
      </c>
      <c r="J500" s="23" t="n"/>
      <c r="K500" s="17" t="n"/>
      <c r="L500" s="17" t="n"/>
      <c r="M500" s="17" t="n"/>
      <c r="N500" s="17" t="n"/>
      <c r="O500" s="26">
        <f>IF($D500="","",IFERROR(VLOOKUP($D500,物料档案!$A$4:$P$1203,10,0),0))</f>
        <v/>
      </c>
      <c r="P500" s="32" t="n"/>
      <c r="Q500" s="26">
        <f>IF($D500="","",IF($K500&lt;&gt;"对外销售",0,ROUND(N($J500)*IF($P500="",N($O500),N($P500)),0)))</f>
        <v/>
      </c>
      <c r="R500" s="26">
        <f>IF($D500="","",IFERROR(VLOOKUP($D500,库存台账!$A$5:$Y$1204,11,0),0))</f>
        <v/>
      </c>
      <c r="S500" s="26">
        <f>IF($D500="","",ROUND(N($J500)*N($R500),0))</f>
        <v/>
      </c>
      <c r="T500" s="26">
        <f>IF($D500="","",IF($K500&lt;&gt;"对外销售","",ROUND($Q500-$S500,0)))</f>
        <v/>
      </c>
      <c r="U500" s="17" t="n"/>
      <c r="V500" s="17" t="n"/>
      <c r="W500" s="24">
        <f>IF($D500="","",IF($E500="※编码不在物料档案里","※物料编码不在档案里",IF(N($J500)&lt;=0,"※出库数量要大于 0",IF($K500="","※没填去向类型",IF($L500="","※没填去向矿区",IF(AND($C500&lt;&gt;"",$C500&lt;=结账锁),"※日期早于已结账截止日，不能再录",IF(AND($K500="自用消耗",COUNTIF({"一矿区";"二矿区"},$L500)=0),"※自用消耗的去向只能是一矿区或二矿区",IF(AND($K500="对外销售",COUNTIF({"三矿区";"六矿区"},$L500)=0),"※对外销售的去向只能是三矿区或六矿区",IF(AND($K500="对外销售",ROUND($Q500,0)=0),"※外销却没有售价，请填实际售价",IF(AND($K500="对外销售",$T500&lt;&gt;"",$T500&lt;0),"※这一笔外销是亏的，请核对售价",IF(IFERROR(VLOOKUP($D500,库存台账!$A$5:$Y$1204,24,0),0)&lt;-0.001,"※这个物料账面已经变成负数了，查一下是不是漏记入库","")))))))))))</f>
        <v/>
      </c>
    </row>
    <row r="501">
      <c r="A501" s="24">
        <f>IF($D501="","",COUNTA($D$4:$D501))</f>
        <v/>
      </c>
      <c r="B501" s="17" t="n"/>
      <c r="C501" s="30" t="n"/>
      <c r="D501" s="17" t="n"/>
      <c r="E501" s="24">
        <f>IF($D501="","",IFERROR(VLOOKUP($D501,物料档案!$A$4:$P$1203,3,0),"※编码不在物料档案里"))</f>
        <v/>
      </c>
      <c r="F501" s="24">
        <f>IF($D501="","",IFERROR(VLOOKUP($D501,物料档案!$A$4:$P$1203,4,0),"※编码不在物料档案里"))</f>
        <v/>
      </c>
      <c r="G501" s="24">
        <f>IF($D501="","",IFERROR(VLOOKUP($D501,物料档案!$A$4:$P$1203,5,0),"※编码不在物料档案里"))</f>
        <v/>
      </c>
      <c r="H501" s="24">
        <f>IF($D501="","",IFERROR(VLOOKUP($D501,物料档案!$A$4:$P$1203,2,0),"※编码不在物料档案里"))</f>
        <v/>
      </c>
      <c r="I501" s="24">
        <f>IF($D501="","",IFERROR(VLOOKUP($D501,物料档案!$A$4:$P$1203,6,0),"※编码不在物料档案里"))</f>
        <v/>
      </c>
      <c r="J501" s="23" t="n"/>
      <c r="K501" s="17" t="n"/>
      <c r="L501" s="17" t="n"/>
      <c r="M501" s="17" t="n"/>
      <c r="N501" s="17" t="n"/>
      <c r="O501" s="26">
        <f>IF($D501="","",IFERROR(VLOOKUP($D501,物料档案!$A$4:$P$1203,10,0),0))</f>
        <v/>
      </c>
      <c r="P501" s="32" t="n"/>
      <c r="Q501" s="26">
        <f>IF($D501="","",IF($K501&lt;&gt;"对外销售",0,ROUND(N($J501)*IF($P501="",N($O501),N($P501)),0)))</f>
        <v/>
      </c>
      <c r="R501" s="26">
        <f>IF($D501="","",IFERROR(VLOOKUP($D501,库存台账!$A$5:$Y$1204,11,0),0))</f>
        <v/>
      </c>
      <c r="S501" s="26">
        <f>IF($D501="","",ROUND(N($J501)*N($R501),0))</f>
        <v/>
      </c>
      <c r="T501" s="26">
        <f>IF($D501="","",IF($K501&lt;&gt;"对外销售","",ROUND($Q501-$S501,0)))</f>
        <v/>
      </c>
      <c r="U501" s="17" t="n"/>
      <c r="V501" s="17" t="n"/>
      <c r="W501" s="24">
        <f>IF($D501="","",IF($E501="※编码不在物料档案里","※物料编码不在档案里",IF(N($J501)&lt;=0,"※出库数量要大于 0",IF($K501="","※没填去向类型",IF($L501="","※没填去向矿区",IF(AND($C501&lt;&gt;"",$C501&lt;=结账锁),"※日期早于已结账截止日，不能再录",IF(AND($K501="自用消耗",COUNTIF({"一矿区";"二矿区"},$L501)=0),"※自用消耗的去向只能是一矿区或二矿区",IF(AND($K501="对外销售",COUNTIF({"三矿区";"六矿区"},$L501)=0),"※对外销售的去向只能是三矿区或六矿区",IF(AND($K501="对外销售",ROUND($Q501,0)=0),"※外销却没有售价，请填实际售价",IF(AND($K501="对外销售",$T501&lt;&gt;"",$T501&lt;0),"※这一笔外销是亏的，请核对售价",IF(IFERROR(VLOOKUP($D501,库存台账!$A$5:$Y$1204,24,0),0)&lt;-0.001,"※这个物料账面已经变成负数了，查一下是不是漏记入库","")))))))))))</f>
        <v/>
      </c>
    </row>
    <row r="502">
      <c r="A502" s="24">
        <f>IF($D502="","",COUNTA($D$4:$D502))</f>
        <v/>
      </c>
      <c r="B502" s="17" t="n"/>
      <c r="C502" s="30" t="n"/>
      <c r="D502" s="17" t="n"/>
      <c r="E502" s="24">
        <f>IF($D502="","",IFERROR(VLOOKUP($D502,物料档案!$A$4:$P$1203,3,0),"※编码不在物料档案里"))</f>
        <v/>
      </c>
      <c r="F502" s="24">
        <f>IF($D502="","",IFERROR(VLOOKUP($D502,物料档案!$A$4:$P$1203,4,0),"※编码不在物料档案里"))</f>
        <v/>
      </c>
      <c r="G502" s="24">
        <f>IF($D502="","",IFERROR(VLOOKUP($D502,物料档案!$A$4:$P$1203,5,0),"※编码不在物料档案里"))</f>
        <v/>
      </c>
      <c r="H502" s="24">
        <f>IF($D502="","",IFERROR(VLOOKUP($D502,物料档案!$A$4:$P$1203,2,0),"※编码不在物料档案里"))</f>
        <v/>
      </c>
      <c r="I502" s="24">
        <f>IF($D502="","",IFERROR(VLOOKUP($D502,物料档案!$A$4:$P$1203,6,0),"※编码不在物料档案里"))</f>
        <v/>
      </c>
      <c r="J502" s="23" t="n"/>
      <c r="K502" s="17" t="n"/>
      <c r="L502" s="17" t="n"/>
      <c r="M502" s="17" t="n"/>
      <c r="N502" s="17" t="n"/>
      <c r="O502" s="26">
        <f>IF($D502="","",IFERROR(VLOOKUP($D502,物料档案!$A$4:$P$1203,10,0),0))</f>
        <v/>
      </c>
      <c r="P502" s="32" t="n"/>
      <c r="Q502" s="26">
        <f>IF($D502="","",IF($K502&lt;&gt;"对外销售",0,ROUND(N($J502)*IF($P502="",N($O502),N($P502)),0)))</f>
        <v/>
      </c>
      <c r="R502" s="26">
        <f>IF($D502="","",IFERROR(VLOOKUP($D502,库存台账!$A$5:$Y$1204,11,0),0))</f>
        <v/>
      </c>
      <c r="S502" s="26">
        <f>IF($D502="","",ROUND(N($J502)*N($R502),0))</f>
        <v/>
      </c>
      <c r="T502" s="26">
        <f>IF($D502="","",IF($K502&lt;&gt;"对外销售","",ROUND($Q502-$S502,0)))</f>
        <v/>
      </c>
      <c r="U502" s="17" t="n"/>
      <c r="V502" s="17" t="n"/>
      <c r="W502" s="24">
        <f>IF($D502="","",IF($E502="※编码不在物料档案里","※物料编码不在档案里",IF(N($J502)&lt;=0,"※出库数量要大于 0",IF($K502="","※没填去向类型",IF($L502="","※没填去向矿区",IF(AND($C502&lt;&gt;"",$C502&lt;=结账锁),"※日期早于已结账截止日，不能再录",IF(AND($K502="自用消耗",COUNTIF({"一矿区";"二矿区"},$L502)=0),"※自用消耗的去向只能是一矿区或二矿区",IF(AND($K502="对外销售",COUNTIF({"三矿区";"六矿区"},$L502)=0),"※对外销售的去向只能是三矿区或六矿区",IF(AND($K502="对外销售",ROUND($Q502,0)=0),"※外销却没有售价，请填实际售价",IF(AND($K502="对外销售",$T502&lt;&gt;"",$T502&lt;0),"※这一笔外销是亏的，请核对售价",IF(IFERROR(VLOOKUP($D502,库存台账!$A$5:$Y$1204,24,0),0)&lt;-0.001,"※这个物料账面已经变成负数了，查一下是不是漏记入库","")))))))))))</f>
        <v/>
      </c>
    </row>
    <row r="503">
      <c r="A503" s="24">
        <f>IF($D503="","",COUNTA($D$4:$D503))</f>
        <v/>
      </c>
      <c r="B503" s="17" t="n"/>
      <c r="C503" s="30" t="n"/>
      <c r="D503" s="17" t="n"/>
      <c r="E503" s="24">
        <f>IF($D503="","",IFERROR(VLOOKUP($D503,物料档案!$A$4:$P$1203,3,0),"※编码不在物料档案里"))</f>
        <v/>
      </c>
      <c r="F503" s="24">
        <f>IF($D503="","",IFERROR(VLOOKUP($D503,物料档案!$A$4:$P$1203,4,0),"※编码不在物料档案里"))</f>
        <v/>
      </c>
      <c r="G503" s="24">
        <f>IF($D503="","",IFERROR(VLOOKUP($D503,物料档案!$A$4:$P$1203,5,0),"※编码不在物料档案里"))</f>
        <v/>
      </c>
      <c r="H503" s="24">
        <f>IF($D503="","",IFERROR(VLOOKUP($D503,物料档案!$A$4:$P$1203,2,0),"※编码不在物料档案里"))</f>
        <v/>
      </c>
      <c r="I503" s="24">
        <f>IF($D503="","",IFERROR(VLOOKUP($D503,物料档案!$A$4:$P$1203,6,0),"※编码不在物料档案里"))</f>
        <v/>
      </c>
      <c r="J503" s="23" t="n"/>
      <c r="K503" s="17" t="n"/>
      <c r="L503" s="17" t="n"/>
      <c r="M503" s="17" t="n"/>
      <c r="N503" s="17" t="n"/>
      <c r="O503" s="26">
        <f>IF($D503="","",IFERROR(VLOOKUP($D503,物料档案!$A$4:$P$1203,10,0),0))</f>
        <v/>
      </c>
      <c r="P503" s="32" t="n"/>
      <c r="Q503" s="26">
        <f>IF($D503="","",IF($K503&lt;&gt;"对外销售",0,ROUND(N($J503)*IF($P503="",N($O503),N($P503)),0)))</f>
        <v/>
      </c>
      <c r="R503" s="26">
        <f>IF($D503="","",IFERROR(VLOOKUP($D503,库存台账!$A$5:$Y$1204,11,0),0))</f>
        <v/>
      </c>
      <c r="S503" s="26">
        <f>IF($D503="","",ROUND(N($J503)*N($R503),0))</f>
        <v/>
      </c>
      <c r="T503" s="26">
        <f>IF($D503="","",IF($K503&lt;&gt;"对外销售","",ROUND($Q503-$S503,0)))</f>
        <v/>
      </c>
      <c r="U503" s="17" t="n"/>
      <c r="V503" s="17" t="n"/>
      <c r="W503" s="24">
        <f>IF($D503="","",IF($E503="※编码不在物料档案里","※物料编码不在档案里",IF(N($J503)&lt;=0,"※出库数量要大于 0",IF($K503="","※没填去向类型",IF($L503="","※没填去向矿区",IF(AND($C503&lt;&gt;"",$C503&lt;=结账锁),"※日期早于已结账截止日，不能再录",IF(AND($K503="自用消耗",COUNTIF({"一矿区";"二矿区"},$L503)=0),"※自用消耗的去向只能是一矿区或二矿区",IF(AND($K503="对外销售",COUNTIF({"三矿区";"六矿区"},$L503)=0),"※对外销售的去向只能是三矿区或六矿区",IF(AND($K503="对外销售",ROUND($Q503,0)=0),"※外销却没有售价，请填实际售价",IF(AND($K503="对外销售",$T503&lt;&gt;"",$T503&lt;0),"※这一笔外销是亏的，请核对售价",IF(IFERROR(VLOOKUP($D503,库存台账!$A$5:$Y$1204,24,0),0)&lt;-0.001,"※这个物料账面已经变成负数了，查一下是不是漏记入库","")))))))))))</f>
        <v/>
      </c>
    </row>
    <row r="504">
      <c r="A504" s="24">
        <f>IF($D504="","",COUNTA($D$4:$D504))</f>
        <v/>
      </c>
      <c r="B504" s="17" t="n"/>
      <c r="C504" s="30" t="n"/>
      <c r="D504" s="17" t="n"/>
      <c r="E504" s="24">
        <f>IF($D504="","",IFERROR(VLOOKUP($D504,物料档案!$A$4:$P$1203,3,0),"※编码不在物料档案里"))</f>
        <v/>
      </c>
      <c r="F504" s="24">
        <f>IF($D504="","",IFERROR(VLOOKUP($D504,物料档案!$A$4:$P$1203,4,0),"※编码不在物料档案里"))</f>
        <v/>
      </c>
      <c r="G504" s="24">
        <f>IF($D504="","",IFERROR(VLOOKUP($D504,物料档案!$A$4:$P$1203,5,0),"※编码不在物料档案里"))</f>
        <v/>
      </c>
      <c r="H504" s="24">
        <f>IF($D504="","",IFERROR(VLOOKUP($D504,物料档案!$A$4:$P$1203,2,0),"※编码不在物料档案里"))</f>
        <v/>
      </c>
      <c r="I504" s="24">
        <f>IF($D504="","",IFERROR(VLOOKUP($D504,物料档案!$A$4:$P$1203,6,0),"※编码不在物料档案里"))</f>
        <v/>
      </c>
      <c r="J504" s="23" t="n"/>
      <c r="K504" s="17" t="n"/>
      <c r="L504" s="17" t="n"/>
      <c r="M504" s="17" t="n"/>
      <c r="N504" s="17" t="n"/>
      <c r="O504" s="26">
        <f>IF($D504="","",IFERROR(VLOOKUP($D504,物料档案!$A$4:$P$1203,10,0),0))</f>
        <v/>
      </c>
      <c r="P504" s="32" t="n"/>
      <c r="Q504" s="26">
        <f>IF($D504="","",IF($K504&lt;&gt;"对外销售",0,ROUND(N($J504)*IF($P504="",N($O504),N($P504)),0)))</f>
        <v/>
      </c>
      <c r="R504" s="26">
        <f>IF($D504="","",IFERROR(VLOOKUP($D504,库存台账!$A$5:$Y$1204,11,0),0))</f>
        <v/>
      </c>
      <c r="S504" s="26">
        <f>IF($D504="","",ROUND(N($J504)*N($R504),0))</f>
        <v/>
      </c>
      <c r="T504" s="26">
        <f>IF($D504="","",IF($K504&lt;&gt;"对外销售","",ROUND($Q504-$S504,0)))</f>
        <v/>
      </c>
      <c r="U504" s="17" t="n"/>
      <c r="V504" s="17" t="n"/>
      <c r="W504" s="24">
        <f>IF($D504="","",IF($E504="※编码不在物料档案里","※物料编码不在档案里",IF(N($J504)&lt;=0,"※出库数量要大于 0",IF($K504="","※没填去向类型",IF($L504="","※没填去向矿区",IF(AND($C504&lt;&gt;"",$C504&lt;=结账锁),"※日期早于已结账截止日，不能再录",IF(AND($K504="自用消耗",COUNTIF({"一矿区";"二矿区"},$L504)=0),"※自用消耗的去向只能是一矿区或二矿区",IF(AND($K504="对外销售",COUNTIF({"三矿区";"六矿区"},$L504)=0),"※对外销售的去向只能是三矿区或六矿区",IF(AND($K504="对外销售",ROUND($Q504,0)=0),"※外销却没有售价，请填实际售价",IF(AND($K504="对外销售",$T504&lt;&gt;"",$T504&lt;0),"※这一笔外销是亏的，请核对售价",IF(IFERROR(VLOOKUP($D504,库存台账!$A$5:$Y$1204,24,0),0)&lt;-0.001,"※这个物料账面已经变成负数了，查一下是不是漏记入库","")))))))))))</f>
        <v/>
      </c>
    </row>
    <row r="505">
      <c r="A505" s="24">
        <f>IF($D505="","",COUNTA($D$4:$D505))</f>
        <v/>
      </c>
      <c r="B505" s="17" t="n"/>
      <c r="C505" s="30" t="n"/>
      <c r="D505" s="17" t="n"/>
      <c r="E505" s="24">
        <f>IF($D505="","",IFERROR(VLOOKUP($D505,物料档案!$A$4:$P$1203,3,0),"※编码不在物料档案里"))</f>
        <v/>
      </c>
      <c r="F505" s="24">
        <f>IF($D505="","",IFERROR(VLOOKUP($D505,物料档案!$A$4:$P$1203,4,0),"※编码不在物料档案里"))</f>
        <v/>
      </c>
      <c r="G505" s="24">
        <f>IF($D505="","",IFERROR(VLOOKUP($D505,物料档案!$A$4:$P$1203,5,0),"※编码不在物料档案里"))</f>
        <v/>
      </c>
      <c r="H505" s="24">
        <f>IF($D505="","",IFERROR(VLOOKUP($D505,物料档案!$A$4:$P$1203,2,0),"※编码不在物料档案里"))</f>
        <v/>
      </c>
      <c r="I505" s="24">
        <f>IF($D505="","",IFERROR(VLOOKUP($D505,物料档案!$A$4:$P$1203,6,0),"※编码不在物料档案里"))</f>
        <v/>
      </c>
      <c r="J505" s="23" t="n"/>
      <c r="K505" s="17" t="n"/>
      <c r="L505" s="17" t="n"/>
      <c r="M505" s="17" t="n"/>
      <c r="N505" s="17" t="n"/>
      <c r="O505" s="26">
        <f>IF($D505="","",IFERROR(VLOOKUP($D505,物料档案!$A$4:$P$1203,10,0),0))</f>
        <v/>
      </c>
      <c r="P505" s="32" t="n"/>
      <c r="Q505" s="26">
        <f>IF($D505="","",IF($K505&lt;&gt;"对外销售",0,ROUND(N($J505)*IF($P505="",N($O505),N($P505)),0)))</f>
        <v/>
      </c>
      <c r="R505" s="26">
        <f>IF($D505="","",IFERROR(VLOOKUP($D505,库存台账!$A$5:$Y$1204,11,0),0))</f>
        <v/>
      </c>
      <c r="S505" s="26">
        <f>IF($D505="","",ROUND(N($J505)*N($R505),0))</f>
        <v/>
      </c>
      <c r="T505" s="26">
        <f>IF($D505="","",IF($K505&lt;&gt;"对外销售","",ROUND($Q505-$S505,0)))</f>
        <v/>
      </c>
      <c r="U505" s="17" t="n"/>
      <c r="V505" s="17" t="n"/>
      <c r="W505" s="24">
        <f>IF($D505="","",IF($E505="※编码不在物料档案里","※物料编码不在档案里",IF(N($J505)&lt;=0,"※出库数量要大于 0",IF($K505="","※没填去向类型",IF($L505="","※没填去向矿区",IF(AND($C505&lt;&gt;"",$C505&lt;=结账锁),"※日期早于已结账截止日，不能再录",IF(AND($K505="自用消耗",COUNTIF({"一矿区";"二矿区"},$L505)=0),"※自用消耗的去向只能是一矿区或二矿区",IF(AND($K505="对外销售",COUNTIF({"三矿区";"六矿区"},$L505)=0),"※对外销售的去向只能是三矿区或六矿区",IF(AND($K505="对外销售",ROUND($Q505,0)=0),"※外销却没有售价，请填实际售价",IF(AND($K505="对外销售",$T505&lt;&gt;"",$T505&lt;0),"※这一笔外销是亏的，请核对售价",IF(IFERROR(VLOOKUP($D505,库存台账!$A$5:$Y$1204,24,0),0)&lt;-0.001,"※这个物料账面已经变成负数了，查一下是不是漏记入库","")))))))))))</f>
        <v/>
      </c>
    </row>
    <row r="506">
      <c r="A506" s="24">
        <f>IF($D506="","",COUNTA($D$4:$D506))</f>
        <v/>
      </c>
      <c r="B506" s="17" t="n"/>
      <c r="C506" s="30" t="n"/>
      <c r="D506" s="17" t="n"/>
      <c r="E506" s="24">
        <f>IF($D506="","",IFERROR(VLOOKUP($D506,物料档案!$A$4:$P$1203,3,0),"※编码不在物料档案里"))</f>
        <v/>
      </c>
      <c r="F506" s="24">
        <f>IF($D506="","",IFERROR(VLOOKUP($D506,物料档案!$A$4:$P$1203,4,0),"※编码不在物料档案里"))</f>
        <v/>
      </c>
      <c r="G506" s="24">
        <f>IF($D506="","",IFERROR(VLOOKUP($D506,物料档案!$A$4:$P$1203,5,0),"※编码不在物料档案里"))</f>
        <v/>
      </c>
      <c r="H506" s="24">
        <f>IF($D506="","",IFERROR(VLOOKUP($D506,物料档案!$A$4:$P$1203,2,0),"※编码不在物料档案里"))</f>
        <v/>
      </c>
      <c r="I506" s="24">
        <f>IF($D506="","",IFERROR(VLOOKUP($D506,物料档案!$A$4:$P$1203,6,0),"※编码不在物料档案里"))</f>
        <v/>
      </c>
      <c r="J506" s="23" t="n"/>
      <c r="K506" s="17" t="n"/>
      <c r="L506" s="17" t="n"/>
      <c r="M506" s="17" t="n"/>
      <c r="N506" s="17" t="n"/>
      <c r="O506" s="26">
        <f>IF($D506="","",IFERROR(VLOOKUP($D506,物料档案!$A$4:$P$1203,10,0),0))</f>
        <v/>
      </c>
      <c r="P506" s="32" t="n"/>
      <c r="Q506" s="26">
        <f>IF($D506="","",IF($K506&lt;&gt;"对外销售",0,ROUND(N($J506)*IF($P506="",N($O506),N($P506)),0)))</f>
        <v/>
      </c>
      <c r="R506" s="26">
        <f>IF($D506="","",IFERROR(VLOOKUP($D506,库存台账!$A$5:$Y$1204,11,0),0))</f>
        <v/>
      </c>
      <c r="S506" s="26">
        <f>IF($D506="","",ROUND(N($J506)*N($R506),0))</f>
        <v/>
      </c>
      <c r="T506" s="26">
        <f>IF($D506="","",IF($K506&lt;&gt;"对外销售","",ROUND($Q506-$S506,0)))</f>
        <v/>
      </c>
      <c r="U506" s="17" t="n"/>
      <c r="V506" s="17" t="n"/>
      <c r="W506" s="24">
        <f>IF($D506="","",IF($E506="※编码不在物料档案里","※物料编码不在档案里",IF(N($J506)&lt;=0,"※出库数量要大于 0",IF($K506="","※没填去向类型",IF($L506="","※没填去向矿区",IF(AND($C506&lt;&gt;"",$C506&lt;=结账锁),"※日期早于已结账截止日，不能再录",IF(AND($K506="自用消耗",COUNTIF({"一矿区";"二矿区"},$L506)=0),"※自用消耗的去向只能是一矿区或二矿区",IF(AND($K506="对外销售",COUNTIF({"三矿区";"六矿区"},$L506)=0),"※对外销售的去向只能是三矿区或六矿区",IF(AND($K506="对外销售",ROUND($Q506,0)=0),"※外销却没有售价，请填实际售价",IF(AND($K506="对外销售",$T506&lt;&gt;"",$T506&lt;0),"※这一笔外销是亏的，请核对售价",IF(IFERROR(VLOOKUP($D506,库存台账!$A$5:$Y$1204,24,0),0)&lt;-0.001,"※这个物料账面已经变成负数了，查一下是不是漏记入库","")))))))))))</f>
        <v/>
      </c>
    </row>
    <row r="507">
      <c r="A507" s="24">
        <f>IF($D507="","",COUNTA($D$4:$D507))</f>
        <v/>
      </c>
      <c r="B507" s="17" t="n"/>
      <c r="C507" s="30" t="n"/>
      <c r="D507" s="17" t="n"/>
      <c r="E507" s="24">
        <f>IF($D507="","",IFERROR(VLOOKUP($D507,物料档案!$A$4:$P$1203,3,0),"※编码不在物料档案里"))</f>
        <v/>
      </c>
      <c r="F507" s="24">
        <f>IF($D507="","",IFERROR(VLOOKUP($D507,物料档案!$A$4:$P$1203,4,0),"※编码不在物料档案里"))</f>
        <v/>
      </c>
      <c r="G507" s="24">
        <f>IF($D507="","",IFERROR(VLOOKUP($D507,物料档案!$A$4:$P$1203,5,0),"※编码不在物料档案里"))</f>
        <v/>
      </c>
      <c r="H507" s="24">
        <f>IF($D507="","",IFERROR(VLOOKUP($D507,物料档案!$A$4:$P$1203,2,0),"※编码不在物料档案里"))</f>
        <v/>
      </c>
      <c r="I507" s="24">
        <f>IF($D507="","",IFERROR(VLOOKUP($D507,物料档案!$A$4:$P$1203,6,0),"※编码不在物料档案里"))</f>
        <v/>
      </c>
      <c r="J507" s="23" t="n"/>
      <c r="K507" s="17" t="n"/>
      <c r="L507" s="17" t="n"/>
      <c r="M507" s="17" t="n"/>
      <c r="N507" s="17" t="n"/>
      <c r="O507" s="26">
        <f>IF($D507="","",IFERROR(VLOOKUP($D507,物料档案!$A$4:$P$1203,10,0),0))</f>
        <v/>
      </c>
      <c r="P507" s="32" t="n"/>
      <c r="Q507" s="26">
        <f>IF($D507="","",IF($K507&lt;&gt;"对外销售",0,ROUND(N($J507)*IF($P507="",N($O507),N($P507)),0)))</f>
        <v/>
      </c>
      <c r="R507" s="26">
        <f>IF($D507="","",IFERROR(VLOOKUP($D507,库存台账!$A$5:$Y$1204,11,0),0))</f>
        <v/>
      </c>
      <c r="S507" s="26">
        <f>IF($D507="","",ROUND(N($J507)*N($R507),0))</f>
        <v/>
      </c>
      <c r="T507" s="26">
        <f>IF($D507="","",IF($K507&lt;&gt;"对外销售","",ROUND($Q507-$S507,0)))</f>
        <v/>
      </c>
      <c r="U507" s="17" t="n"/>
      <c r="V507" s="17" t="n"/>
      <c r="W507" s="24">
        <f>IF($D507="","",IF($E507="※编码不在物料档案里","※物料编码不在档案里",IF(N($J507)&lt;=0,"※出库数量要大于 0",IF($K507="","※没填去向类型",IF($L507="","※没填去向矿区",IF(AND($C507&lt;&gt;"",$C507&lt;=结账锁),"※日期早于已结账截止日，不能再录",IF(AND($K507="自用消耗",COUNTIF({"一矿区";"二矿区"},$L507)=0),"※自用消耗的去向只能是一矿区或二矿区",IF(AND($K507="对外销售",COUNTIF({"三矿区";"六矿区"},$L507)=0),"※对外销售的去向只能是三矿区或六矿区",IF(AND($K507="对外销售",ROUND($Q507,0)=0),"※外销却没有售价，请填实际售价",IF(AND($K507="对外销售",$T507&lt;&gt;"",$T507&lt;0),"※这一笔外销是亏的，请核对售价",IF(IFERROR(VLOOKUP($D507,库存台账!$A$5:$Y$1204,24,0),0)&lt;-0.001,"※这个物料账面已经变成负数了，查一下是不是漏记入库","")))))))))))</f>
        <v/>
      </c>
    </row>
    <row r="508">
      <c r="A508" s="24">
        <f>IF($D508="","",COUNTA($D$4:$D508))</f>
        <v/>
      </c>
      <c r="B508" s="17" t="n"/>
      <c r="C508" s="30" t="n"/>
      <c r="D508" s="17" t="n"/>
      <c r="E508" s="24">
        <f>IF($D508="","",IFERROR(VLOOKUP($D508,物料档案!$A$4:$P$1203,3,0),"※编码不在物料档案里"))</f>
        <v/>
      </c>
      <c r="F508" s="24">
        <f>IF($D508="","",IFERROR(VLOOKUP($D508,物料档案!$A$4:$P$1203,4,0),"※编码不在物料档案里"))</f>
        <v/>
      </c>
      <c r="G508" s="24">
        <f>IF($D508="","",IFERROR(VLOOKUP($D508,物料档案!$A$4:$P$1203,5,0),"※编码不在物料档案里"))</f>
        <v/>
      </c>
      <c r="H508" s="24">
        <f>IF($D508="","",IFERROR(VLOOKUP($D508,物料档案!$A$4:$P$1203,2,0),"※编码不在物料档案里"))</f>
        <v/>
      </c>
      <c r="I508" s="24">
        <f>IF($D508="","",IFERROR(VLOOKUP($D508,物料档案!$A$4:$P$1203,6,0),"※编码不在物料档案里"))</f>
        <v/>
      </c>
      <c r="J508" s="23" t="n"/>
      <c r="K508" s="17" t="n"/>
      <c r="L508" s="17" t="n"/>
      <c r="M508" s="17" t="n"/>
      <c r="N508" s="17" t="n"/>
      <c r="O508" s="26">
        <f>IF($D508="","",IFERROR(VLOOKUP($D508,物料档案!$A$4:$P$1203,10,0),0))</f>
        <v/>
      </c>
      <c r="P508" s="32" t="n"/>
      <c r="Q508" s="26">
        <f>IF($D508="","",IF($K508&lt;&gt;"对外销售",0,ROUND(N($J508)*IF($P508="",N($O508),N($P508)),0)))</f>
        <v/>
      </c>
      <c r="R508" s="26">
        <f>IF($D508="","",IFERROR(VLOOKUP($D508,库存台账!$A$5:$Y$1204,11,0),0))</f>
        <v/>
      </c>
      <c r="S508" s="26">
        <f>IF($D508="","",ROUND(N($J508)*N($R508),0))</f>
        <v/>
      </c>
      <c r="T508" s="26">
        <f>IF($D508="","",IF($K508&lt;&gt;"对外销售","",ROUND($Q508-$S508,0)))</f>
        <v/>
      </c>
      <c r="U508" s="17" t="n"/>
      <c r="V508" s="17" t="n"/>
      <c r="W508" s="24">
        <f>IF($D508="","",IF($E508="※编码不在物料档案里","※物料编码不在档案里",IF(N($J508)&lt;=0,"※出库数量要大于 0",IF($K508="","※没填去向类型",IF($L508="","※没填去向矿区",IF(AND($C508&lt;&gt;"",$C508&lt;=结账锁),"※日期早于已结账截止日，不能再录",IF(AND($K508="自用消耗",COUNTIF({"一矿区";"二矿区"},$L508)=0),"※自用消耗的去向只能是一矿区或二矿区",IF(AND($K508="对外销售",COUNTIF({"三矿区";"六矿区"},$L508)=0),"※对外销售的去向只能是三矿区或六矿区",IF(AND($K508="对外销售",ROUND($Q508,0)=0),"※外销却没有售价，请填实际售价",IF(AND($K508="对外销售",$T508&lt;&gt;"",$T508&lt;0),"※这一笔外销是亏的，请核对售价",IF(IFERROR(VLOOKUP($D508,库存台账!$A$5:$Y$1204,24,0),0)&lt;-0.001,"※这个物料账面已经变成负数了，查一下是不是漏记入库","")))))))))))</f>
        <v/>
      </c>
    </row>
    <row r="509">
      <c r="A509" s="24">
        <f>IF($D509="","",COUNTA($D$4:$D509))</f>
        <v/>
      </c>
      <c r="B509" s="17" t="n"/>
      <c r="C509" s="30" t="n"/>
      <c r="D509" s="17" t="n"/>
      <c r="E509" s="24">
        <f>IF($D509="","",IFERROR(VLOOKUP($D509,物料档案!$A$4:$P$1203,3,0),"※编码不在物料档案里"))</f>
        <v/>
      </c>
      <c r="F509" s="24">
        <f>IF($D509="","",IFERROR(VLOOKUP($D509,物料档案!$A$4:$P$1203,4,0),"※编码不在物料档案里"))</f>
        <v/>
      </c>
      <c r="G509" s="24">
        <f>IF($D509="","",IFERROR(VLOOKUP($D509,物料档案!$A$4:$P$1203,5,0),"※编码不在物料档案里"))</f>
        <v/>
      </c>
      <c r="H509" s="24">
        <f>IF($D509="","",IFERROR(VLOOKUP($D509,物料档案!$A$4:$P$1203,2,0),"※编码不在物料档案里"))</f>
        <v/>
      </c>
      <c r="I509" s="24">
        <f>IF($D509="","",IFERROR(VLOOKUP($D509,物料档案!$A$4:$P$1203,6,0),"※编码不在物料档案里"))</f>
        <v/>
      </c>
      <c r="J509" s="23" t="n"/>
      <c r="K509" s="17" t="n"/>
      <c r="L509" s="17" t="n"/>
      <c r="M509" s="17" t="n"/>
      <c r="N509" s="17" t="n"/>
      <c r="O509" s="26">
        <f>IF($D509="","",IFERROR(VLOOKUP($D509,物料档案!$A$4:$P$1203,10,0),0))</f>
        <v/>
      </c>
      <c r="P509" s="32" t="n"/>
      <c r="Q509" s="26">
        <f>IF($D509="","",IF($K509&lt;&gt;"对外销售",0,ROUND(N($J509)*IF($P509="",N($O509),N($P509)),0)))</f>
        <v/>
      </c>
      <c r="R509" s="26">
        <f>IF($D509="","",IFERROR(VLOOKUP($D509,库存台账!$A$5:$Y$1204,11,0),0))</f>
        <v/>
      </c>
      <c r="S509" s="26">
        <f>IF($D509="","",ROUND(N($J509)*N($R509),0))</f>
        <v/>
      </c>
      <c r="T509" s="26">
        <f>IF($D509="","",IF($K509&lt;&gt;"对外销售","",ROUND($Q509-$S509,0)))</f>
        <v/>
      </c>
      <c r="U509" s="17" t="n"/>
      <c r="V509" s="17" t="n"/>
      <c r="W509" s="24">
        <f>IF($D509="","",IF($E509="※编码不在物料档案里","※物料编码不在档案里",IF(N($J509)&lt;=0,"※出库数量要大于 0",IF($K509="","※没填去向类型",IF($L509="","※没填去向矿区",IF(AND($C509&lt;&gt;"",$C509&lt;=结账锁),"※日期早于已结账截止日，不能再录",IF(AND($K509="自用消耗",COUNTIF({"一矿区";"二矿区"},$L509)=0),"※自用消耗的去向只能是一矿区或二矿区",IF(AND($K509="对外销售",COUNTIF({"三矿区";"六矿区"},$L509)=0),"※对外销售的去向只能是三矿区或六矿区",IF(AND($K509="对外销售",ROUND($Q509,0)=0),"※外销却没有售价，请填实际售价",IF(AND($K509="对外销售",$T509&lt;&gt;"",$T509&lt;0),"※这一笔外销是亏的，请核对售价",IF(IFERROR(VLOOKUP($D509,库存台账!$A$5:$Y$1204,24,0),0)&lt;-0.001,"※这个物料账面已经变成负数了，查一下是不是漏记入库","")))))))))))</f>
        <v/>
      </c>
    </row>
    <row r="510">
      <c r="A510" s="24">
        <f>IF($D510="","",COUNTA($D$4:$D510))</f>
        <v/>
      </c>
      <c r="B510" s="17" t="n"/>
      <c r="C510" s="30" t="n"/>
      <c r="D510" s="17" t="n"/>
      <c r="E510" s="24">
        <f>IF($D510="","",IFERROR(VLOOKUP($D510,物料档案!$A$4:$P$1203,3,0),"※编码不在物料档案里"))</f>
        <v/>
      </c>
      <c r="F510" s="24">
        <f>IF($D510="","",IFERROR(VLOOKUP($D510,物料档案!$A$4:$P$1203,4,0),"※编码不在物料档案里"))</f>
        <v/>
      </c>
      <c r="G510" s="24">
        <f>IF($D510="","",IFERROR(VLOOKUP($D510,物料档案!$A$4:$P$1203,5,0),"※编码不在物料档案里"))</f>
        <v/>
      </c>
      <c r="H510" s="24">
        <f>IF($D510="","",IFERROR(VLOOKUP($D510,物料档案!$A$4:$P$1203,2,0),"※编码不在物料档案里"))</f>
        <v/>
      </c>
      <c r="I510" s="24">
        <f>IF($D510="","",IFERROR(VLOOKUP($D510,物料档案!$A$4:$P$1203,6,0),"※编码不在物料档案里"))</f>
        <v/>
      </c>
      <c r="J510" s="23" t="n"/>
      <c r="K510" s="17" t="n"/>
      <c r="L510" s="17" t="n"/>
      <c r="M510" s="17" t="n"/>
      <c r="N510" s="17" t="n"/>
      <c r="O510" s="26">
        <f>IF($D510="","",IFERROR(VLOOKUP($D510,物料档案!$A$4:$P$1203,10,0),0))</f>
        <v/>
      </c>
      <c r="P510" s="32" t="n"/>
      <c r="Q510" s="26">
        <f>IF($D510="","",IF($K510&lt;&gt;"对外销售",0,ROUND(N($J510)*IF($P510="",N($O510),N($P510)),0)))</f>
        <v/>
      </c>
      <c r="R510" s="26">
        <f>IF($D510="","",IFERROR(VLOOKUP($D510,库存台账!$A$5:$Y$1204,11,0),0))</f>
        <v/>
      </c>
      <c r="S510" s="26">
        <f>IF($D510="","",ROUND(N($J510)*N($R510),0))</f>
        <v/>
      </c>
      <c r="T510" s="26">
        <f>IF($D510="","",IF($K510&lt;&gt;"对外销售","",ROUND($Q510-$S510,0)))</f>
        <v/>
      </c>
      <c r="U510" s="17" t="n"/>
      <c r="V510" s="17" t="n"/>
      <c r="W510" s="24">
        <f>IF($D510="","",IF($E510="※编码不在物料档案里","※物料编码不在档案里",IF(N($J510)&lt;=0,"※出库数量要大于 0",IF($K510="","※没填去向类型",IF($L510="","※没填去向矿区",IF(AND($C510&lt;&gt;"",$C510&lt;=结账锁),"※日期早于已结账截止日，不能再录",IF(AND($K510="自用消耗",COUNTIF({"一矿区";"二矿区"},$L510)=0),"※自用消耗的去向只能是一矿区或二矿区",IF(AND($K510="对外销售",COUNTIF({"三矿区";"六矿区"},$L510)=0),"※对外销售的去向只能是三矿区或六矿区",IF(AND($K510="对外销售",ROUND($Q510,0)=0),"※外销却没有售价，请填实际售价",IF(AND($K510="对外销售",$T510&lt;&gt;"",$T510&lt;0),"※这一笔外销是亏的，请核对售价",IF(IFERROR(VLOOKUP($D510,库存台账!$A$5:$Y$1204,24,0),0)&lt;-0.001,"※这个物料账面已经变成负数了，查一下是不是漏记入库","")))))))))))</f>
        <v/>
      </c>
    </row>
    <row r="511">
      <c r="A511" s="24">
        <f>IF($D511="","",COUNTA($D$4:$D511))</f>
        <v/>
      </c>
      <c r="B511" s="17" t="n"/>
      <c r="C511" s="30" t="n"/>
      <c r="D511" s="17" t="n"/>
      <c r="E511" s="24">
        <f>IF($D511="","",IFERROR(VLOOKUP($D511,物料档案!$A$4:$P$1203,3,0),"※编码不在物料档案里"))</f>
        <v/>
      </c>
      <c r="F511" s="24">
        <f>IF($D511="","",IFERROR(VLOOKUP($D511,物料档案!$A$4:$P$1203,4,0),"※编码不在物料档案里"))</f>
        <v/>
      </c>
      <c r="G511" s="24">
        <f>IF($D511="","",IFERROR(VLOOKUP($D511,物料档案!$A$4:$P$1203,5,0),"※编码不在物料档案里"))</f>
        <v/>
      </c>
      <c r="H511" s="24">
        <f>IF($D511="","",IFERROR(VLOOKUP($D511,物料档案!$A$4:$P$1203,2,0),"※编码不在物料档案里"))</f>
        <v/>
      </c>
      <c r="I511" s="24">
        <f>IF($D511="","",IFERROR(VLOOKUP($D511,物料档案!$A$4:$P$1203,6,0),"※编码不在物料档案里"))</f>
        <v/>
      </c>
      <c r="J511" s="23" t="n"/>
      <c r="K511" s="17" t="n"/>
      <c r="L511" s="17" t="n"/>
      <c r="M511" s="17" t="n"/>
      <c r="N511" s="17" t="n"/>
      <c r="O511" s="26">
        <f>IF($D511="","",IFERROR(VLOOKUP($D511,物料档案!$A$4:$P$1203,10,0),0))</f>
        <v/>
      </c>
      <c r="P511" s="32" t="n"/>
      <c r="Q511" s="26">
        <f>IF($D511="","",IF($K511&lt;&gt;"对外销售",0,ROUND(N($J511)*IF($P511="",N($O511),N($P511)),0)))</f>
        <v/>
      </c>
      <c r="R511" s="26">
        <f>IF($D511="","",IFERROR(VLOOKUP($D511,库存台账!$A$5:$Y$1204,11,0),0))</f>
        <v/>
      </c>
      <c r="S511" s="26">
        <f>IF($D511="","",ROUND(N($J511)*N($R511),0))</f>
        <v/>
      </c>
      <c r="T511" s="26">
        <f>IF($D511="","",IF($K511&lt;&gt;"对外销售","",ROUND($Q511-$S511,0)))</f>
        <v/>
      </c>
      <c r="U511" s="17" t="n"/>
      <c r="V511" s="17" t="n"/>
      <c r="W511" s="24">
        <f>IF($D511="","",IF($E511="※编码不在物料档案里","※物料编码不在档案里",IF(N($J511)&lt;=0,"※出库数量要大于 0",IF($K511="","※没填去向类型",IF($L511="","※没填去向矿区",IF(AND($C511&lt;&gt;"",$C511&lt;=结账锁),"※日期早于已结账截止日，不能再录",IF(AND($K511="自用消耗",COUNTIF({"一矿区";"二矿区"},$L511)=0),"※自用消耗的去向只能是一矿区或二矿区",IF(AND($K511="对外销售",COUNTIF({"三矿区";"六矿区"},$L511)=0),"※对外销售的去向只能是三矿区或六矿区",IF(AND($K511="对外销售",ROUND($Q511,0)=0),"※外销却没有售价，请填实际售价",IF(AND($K511="对外销售",$T511&lt;&gt;"",$T511&lt;0),"※这一笔外销是亏的，请核对售价",IF(IFERROR(VLOOKUP($D511,库存台账!$A$5:$Y$1204,24,0),0)&lt;-0.001,"※这个物料账面已经变成负数了，查一下是不是漏记入库","")))))))))))</f>
        <v/>
      </c>
    </row>
    <row r="512">
      <c r="A512" s="24">
        <f>IF($D512="","",COUNTA($D$4:$D512))</f>
        <v/>
      </c>
      <c r="B512" s="17" t="n"/>
      <c r="C512" s="30" t="n"/>
      <c r="D512" s="17" t="n"/>
      <c r="E512" s="24">
        <f>IF($D512="","",IFERROR(VLOOKUP($D512,物料档案!$A$4:$P$1203,3,0),"※编码不在物料档案里"))</f>
        <v/>
      </c>
      <c r="F512" s="24">
        <f>IF($D512="","",IFERROR(VLOOKUP($D512,物料档案!$A$4:$P$1203,4,0),"※编码不在物料档案里"))</f>
        <v/>
      </c>
      <c r="G512" s="24">
        <f>IF($D512="","",IFERROR(VLOOKUP($D512,物料档案!$A$4:$P$1203,5,0),"※编码不在物料档案里"))</f>
        <v/>
      </c>
      <c r="H512" s="24">
        <f>IF($D512="","",IFERROR(VLOOKUP($D512,物料档案!$A$4:$P$1203,2,0),"※编码不在物料档案里"))</f>
        <v/>
      </c>
      <c r="I512" s="24">
        <f>IF($D512="","",IFERROR(VLOOKUP($D512,物料档案!$A$4:$P$1203,6,0),"※编码不在物料档案里"))</f>
        <v/>
      </c>
      <c r="J512" s="23" t="n"/>
      <c r="K512" s="17" t="n"/>
      <c r="L512" s="17" t="n"/>
      <c r="M512" s="17" t="n"/>
      <c r="N512" s="17" t="n"/>
      <c r="O512" s="26">
        <f>IF($D512="","",IFERROR(VLOOKUP($D512,物料档案!$A$4:$P$1203,10,0),0))</f>
        <v/>
      </c>
      <c r="P512" s="32" t="n"/>
      <c r="Q512" s="26">
        <f>IF($D512="","",IF($K512&lt;&gt;"对外销售",0,ROUND(N($J512)*IF($P512="",N($O512),N($P512)),0)))</f>
        <v/>
      </c>
      <c r="R512" s="26">
        <f>IF($D512="","",IFERROR(VLOOKUP($D512,库存台账!$A$5:$Y$1204,11,0),0))</f>
        <v/>
      </c>
      <c r="S512" s="26">
        <f>IF($D512="","",ROUND(N($J512)*N($R512),0))</f>
        <v/>
      </c>
      <c r="T512" s="26">
        <f>IF($D512="","",IF($K512&lt;&gt;"对外销售","",ROUND($Q512-$S512,0)))</f>
        <v/>
      </c>
      <c r="U512" s="17" t="n"/>
      <c r="V512" s="17" t="n"/>
      <c r="W512" s="24">
        <f>IF($D512="","",IF($E512="※编码不在物料档案里","※物料编码不在档案里",IF(N($J512)&lt;=0,"※出库数量要大于 0",IF($K512="","※没填去向类型",IF($L512="","※没填去向矿区",IF(AND($C512&lt;&gt;"",$C512&lt;=结账锁),"※日期早于已结账截止日，不能再录",IF(AND($K512="自用消耗",COUNTIF({"一矿区";"二矿区"},$L512)=0),"※自用消耗的去向只能是一矿区或二矿区",IF(AND($K512="对外销售",COUNTIF({"三矿区";"六矿区"},$L512)=0),"※对外销售的去向只能是三矿区或六矿区",IF(AND($K512="对外销售",ROUND($Q512,0)=0),"※外销却没有售价，请填实际售价",IF(AND($K512="对外销售",$T512&lt;&gt;"",$T512&lt;0),"※这一笔外销是亏的，请核对售价",IF(IFERROR(VLOOKUP($D512,库存台账!$A$5:$Y$1204,24,0),0)&lt;-0.001,"※这个物料账面已经变成负数了，查一下是不是漏记入库","")))))))))))</f>
        <v/>
      </c>
    </row>
    <row r="513">
      <c r="A513" s="24">
        <f>IF($D513="","",COUNTA($D$4:$D513))</f>
        <v/>
      </c>
      <c r="B513" s="17" t="n"/>
      <c r="C513" s="30" t="n"/>
      <c r="D513" s="17" t="n"/>
      <c r="E513" s="24">
        <f>IF($D513="","",IFERROR(VLOOKUP($D513,物料档案!$A$4:$P$1203,3,0),"※编码不在物料档案里"))</f>
        <v/>
      </c>
      <c r="F513" s="24">
        <f>IF($D513="","",IFERROR(VLOOKUP($D513,物料档案!$A$4:$P$1203,4,0),"※编码不在物料档案里"))</f>
        <v/>
      </c>
      <c r="G513" s="24">
        <f>IF($D513="","",IFERROR(VLOOKUP($D513,物料档案!$A$4:$P$1203,5,0),"※编码不在物料档案里"))</f>
        <v/>
      </c>
      <c r="H513" s="24">
        <f>IF($D513="","",IFERROR(VLOOKUP($D513,物料档案!$A$4:$P$1203,2,0),"※编码不在物料档案里"))</f>
        <v/>
      </c>
      <c r="I513" s="24">
        <f>IF($D513="","",IFERROR(VLOOKUP($D513,物料档案!$A$4:$P$1203,6,0),"※编码不在物料档案里"))</f>
        <v/>
      </c>
      <c r="J513" s="23" t="n"/>
      <c r="K513" s="17" t="n"/>
      <c r="L513" s="17" t="n"/>
      <c r="M513" s="17" t="n"/>
      <c r="N513" s="17" t="n"/>
      <c r="O513" s="26">
        <f>IF($D513="","",IFERROR(VLOOKUP($D513,物料档案!$A$4:$P$1203,10,0),0))</f>
        <v/>
      </c>
      <c r="P513" s="32" t="n"/>
      <c r="Q513" s="26">
        <f>IF($D513="","",IF($K513&lt;&gt;"对外销售",0,ROUND(N($J513)*IF($P513="",N($O513),N($P513)),0)))</f>
        <v/>
      </c>
      <c r="R513" s="26">
        <f>IF($D513="","",IFERROR(VLOOKUP($D513,库存台账!$A$5:$Y$1204,11,0),0))</f>
        <v/>
      </c>
      <c r="S513" s="26">
        <f>IF($D513="","",ROUND(N($J513)*N($R513),0))</f>
        <v/>
      </c>
      <c r="T513" s="26">
        <f>IF($D513="","",IF($K513&lt;&gt;"对外销售","",ROUND($Q513-$S513,0)))</f>
        <v/>
      </c>
      <c r="U513" s="17" t="n"/>
      <c r="V513" s="17" t="n"/>
      <c r="W513" s="24">
        <f>IF($D513="","",IF($E513="※编码不在物料档案里","※物料编码不在档案里",IF(N($J513)&lt;=0,"※出库数量要大于 0",IF($K513="","※没填去向类型",IF($L513="","※没填去向矿区",IF(AND($C513&lt;&gt;"",$C513&lt;=结账锁),"※日期早于已结账截止日，不能再录",IF(AND($K513="自用消耗",COUNTIF({"一矿区";"二矿区"},$L513)=0),"※自用消耗的去向只能是一矿区或二矿区",IF(AND($K513="对外销售",COUNTIF({"三矿区";"六矿区"},$L513)=0),"※对外销售的去向只能是三矿区或六矿区",IF(AND($K513="对外销售",ROUND($Q513,0)=0),"※外销却没有售价，请填实际售价",IF(AND($K513="对外销售",$T513&lt;&gt;"",$T513&lt;0),"※这一笔外销是亏的，请核对售价",IF(IFERROR(VLOOKUP($D513,库存台账!$A$5:$Y$1204,24,0),0)&lt;-0.001,"※这个物料账面已经变成负数了，查一下是不是漏记入库","")))))))))))</f>
        <v/>
      </c>
    </row>
    <row r="514">
      <c r="A514" s="24">
        <f>IF($D514="","",COUNTA($D$4:$D514))</f>
        <v/>
      </c>
      <c r="B514" s="17" t="n"/>
      <c r="C514" s="30" t="n"/>
      <c r="D514" s="17" t="n"/>
      <c r="E514" s="24">
        <f>IF($D514="","",IFERROR(VLOOKUP($D514,物料档案!$A$4:$P$1203,3,0),"※编码不在物料档案里"))</f>
        <v/>
      </c>
      <c r="F514" s="24">
        <f>IF($D514="","",IFERROR(VLOOKUP($D514,物料档案!$A$4:$P$1203,4,0),"※编码不在物料档案里"))</f>
        <v/>
      </c>
      <c r="G514" s="24">
        <f>IF($D514="","",IFERROR(VLOOKUP($D514,物料档案!$A$4:$P$1203,5,0),"※编码不在物料档案里"))</f>
        <v/>
      </c>
      <c r="H514" s="24">
        <f>IF($D514="","",IFERROR(VLOOKUP($D514,物料档案!$A$4:$P$1203,2,0),"※编码不在物料档案里"))</f>
        <v/>
      </c>
      <c r="I514" s="24">
        <f>IF($D514="","",IFERROR(VLOOKUP($D514,物料档案!$A$4:$P$1203,6,0),"※编码不在物料档案里"))</f>
        <v/>
      </c>
      <c r="J514" s="23" t="n"/>
      <c r="K514" s="17" t="n"/>
      <c r="L514" s="17" t="n"/>
      <c r="M514" s="17" t="n"/>
      <c r="N514" s="17" t="n"/>
      <c r="O514" s="26">
        <f>IF($D514="","",IFERROR(VLOOKUP($D514,物料档案!$A$4:$P$1203,10,0),0))</f>
        <v/>
      </c>
      <c r="P514" s="32" t="n"/>
      <c r="Q514" s="26">
        <f>IF($D514="","",IF($K514&lt;&gt;"对外销售",0,ROUND(N($J514)*IF($P514="",N($O514),N($P514)),0)))</f>
        <v/>
      </c>
      <c r="R514" s="26">
        <f>IF($D514="","",IFERROR(VLOOKUP($D514,库存台账!$A$5:$Y$1204,11,0),0))</f>
        <v/>
      </c>
      <c r="S514" s="26">
        <f>IF($D514="","",ROUND(N($J514)*N($R514),0))</f>
        <v/>
      </c>
      <c r="T514" s="26">
        <f>IF($D514="","",IF($K514&lt;&gt;"对外销售","",ROUND($Q514-$S514,0)))</f>
        <v/>
      </c>
      <c r="U514" s="17" t="n"/>
      <c r="V514" s="17" t="n"/>
      <c r="W514" s="24">
        <f>IF($D514="","",IF($E514="※编码不在物料档案里","※物料编码不在档案里",IF(N($J514)&lt;=0,"※出库数量要大于 0",IF($K514="","※没填去向类型",IF($L514="","※没填去向矿区",IF(AND($C514&lt;&gt;"",$C514&lt;=结账锁),"※日期早于已结账截止日，不能再录",IF(AND($K514="自用消耗",COUNTIF({"一矿区";"二矿区"},$L514)=0),"※自用消耗的去向只能是一矿区或二矿区",IF(AND($K514="对外销售",COUNTIF({"三矿区";"六矿区"},$L514)=0),"※对外销售的去向只能是三矿区或六矿区",IF(AND($K514="对外销售",ROUND($Q514,0)=0),"※外销却没有售价，请填实际售价",IF(AND($K514="对外销售",$T514&lt;&gt;"",$T514&lt;0),"※这一笔外销是亏的，请核对售价",IF(IFERROR(VLOOKUP($D514,库存台账!$A$5:$Y$1204,24,0),0)&lt;-0.001,"※这个物料账面已经变成负数了，查一下是不是漏记入库","")))))))))))</f>
        <v/>
      </c>
    </row>
    <row r="515">
      <c r="A515" s="24">
        <f>IF($D515="","",COUNTA($D$4:$D515))</f>
        <v/>
      </c>
      <c r="B515" s="17" t="n"/>
      <c r="C515" s="30" t="n"/>
      <c r="D515" s="17" t="n"/>
      <c r="E515" s="24">
        <f>IF($D515="","",IFERROR(VLOOKUP($D515,物料档案!$A$4:$P$1203,3,0),"※编码不在物料档案里"))</f>
        <v/>
      </c>
      <c r="F515" s="24">
        <f>IF($D515="","",IFERROR(VLOOKUP($D515,物料档案!$A$4:$P$1203,4,0),"※编码不在物料档案里"))</f>
        <v/>
      </c>
      <c r="G515" s="24">
        <f>IF($D515="","",IFERROR(VLOOKUP($D515,物料档案!$A$4:$P$1203,5,0),"※编码不在物料档案里"))</f>
        <v/>
      </c>
      <c r="H515" s="24">
        <f>IF($D515="","",IFERROR(VLOOKUP($D515,物料档案!$A$4:$P$1203,2,0),"※编码不在物料档案里"))</f>
        <v/>
      </c>
      <c r="I515" s="24">
        <f>IF($D515="","",IFERROR(VLOOKUP($D515,物料档案!$A$4:$P$1203,6,0),"※编码不在物料档案里"))</f>
        <v/>
      </c>
      <c r="J515" s="23" t="n"/>
      <c r="K515" s="17" t="n"/>
      <c r="L515" s="17" t="n"/>
      <c r="M515" s="17" t="n"/>
      <c r="N515" s="17" t="n"/>
      <c r="O515" s="26">
        <f>IF($D515="","",IFERROR(VLOOKUP($D515,物料档案!$A$4:$P$1203,10,0),0))</f>
        <v/>
      </c>
      <c r="P515" s="32" t="n"/>
      <c r="Q515" s="26">
        <f>IF($D515="","",IF($K515&lt;&gt;"对外销售",0,ROUND(N($J515)*IF($P515="",N($O515),N($P515)),0)))</f>
        <v/>
      </c>
      <c r="R515" s="26">
        <f>IF($D515="","",IFERROR(VLOOKUP($D515,库存台账!$A$5:$Y$1204,11,0),0))</f>
        <v/>
      </c>
      <c r="S515" s="26">
        <f>IF($D515="","",ROUND(N($J515)*N($R515),0))</f>
        <v/>
      </c>
      <c r="T515" s="26">
        <f>IF($D515="","",IF($K515&lt;&gt;"对外销售","",ROUND($Q515-$S515,0)))</f>
        <v/>
      </c>
      <c r="U515" s="17" t="n"/>
      <c r="V515" s="17" t="n"/>
      <c r="W515" s="24">
        <f>IF($D515="","",IF($E515="※编码不在物料档案里","※物料编码不在档案里",IF(N($J515)&lt;=0,"※出库数量要大于 0",IF($K515="","※没填去向类型",IF($L515="","※没填去向矿区",IF(AND($C515&lt;&gt;"",$C515&lt;=结账锁),"※日期早于已结账截止日，不能再录",IF(AND($K515="自用消耗",COUNTIF({"一矿区";"二矿区"},$L515)=0),"※自用消耗的去向只能是一矿区或二矿区",IF(AND($K515="对外销售",COUNTIF({"三矿区";"六矿区"},$L515)=0),"※对外销售的去向只能是三矿区或六矿区",IF(AND($K515="对外销售",ROUND($Q515,0)=0),"※外销却没有售价，请填实际售价",IF(AND($K515="对外销售",$T515&lt;&gt;"",$T515&lt;0),"※这一笔外销是亏的，请核对售价",IF(IFERROR(VLOOKUP($D515,库存台账!$A$5:$Y$1204,24,0),0)&lt;-0.001,"※这个物料账面已经变成负数了，查一下是不是漏记入库","")))))))))))</f>
        <v/>
      </c>
    </row>
    <row r="516">
      <c r="A516" s="24">
        <f>IF($D516="","",COUNTA($D$4:$D516))</f>
        <v/>
      </c>
      <c r="B516" s="17" t="n"/>
      <c r="C516" s="30" t="n"/>
      <c r="D516" s="17" t="n"/>
      <c r="E516" s="24">
        <f>IF($D516="","",IFERROR(VLOOKUP($D516,物料档案!$A$4:$P$1203,3,0),"※编码不在物料档案里"))</f>
        <v/>
      </c>
      <c r="F516" s="24">
        <f>IF($D516="","",IFERROR(VLOOKUP($D516,物料档案!$A$4:$P$1203,4,0),"※编码不在物料档案里"))</f>
        <v/>
      </c>
      <c r="G516" s="24">
        <f>IF($D516="","",IFERROR(VLOOKUP($D516,物料档案!$A$4:$P$1203,5,0),"※编码不在物料档案里"))</f>
        <v/>
      </c>
      <c r="H516" s="24">
        <f>IF($D516="","",IFERROR(VLOOKUP($D516,物料档案!$A$4:$P$1203,2,0),"※编码不在物料档案里"))</f>
        <v/>
      </c>
      <c r="I516" s="24">
        <f>IF($D516="","",IFERROR(VLOOKUP($D516,物料档案!$A$4:$P$1203,6,0),"※编码不在物料档案里"))</f>
        <v/>
      </c>
      <c r="J516" s="23" t="n"/>
      <c r="K516" s="17" t="n"/>
      <c r="L516" s="17" t="n"/>
      <c r="M516" s="17" t="n"/>
      <c r="N516" s="17" t="n"/>
      <c r="O516" s="26">
        <f>IF($D516="","",IFERROR(VLOOKUP($D516,物料档案!$A$4:$P$1203,10,0),0))</f>
        <v/>
      </c>
      <c r="P516" s="32" t="n"/>
      <c r="Q516" s="26">
        <f>IF($D516="","",IF($K516&lt;&gt;"对外销售",0,ROUND(N($J516)*IF($P516="",N($O516),N($P516)),0)))</f>
        <v/>
      </c>
      <c r="R516" s="26">
        <f>IF($D516="","",IFERROR(VLOOKUP($D516,库存台账!$A$5:$Y$1204,11,0),0))</f>
        <v/>
      </c>
      <c r="S516" s="26">
        <f>IF($D516="","",ROUND(N($J516)*N($R516),0))</f>
        <v/>
      </c>
      <c r="T516" s="26">
        <f>IF($D516="","",IF($K516&lt;&gt;"对外销售","",ROUND($Q516-$S516,0)))</f>
        <v/>
      </c>
      <c r="U516" s="17" t="n"/>
      <c r="V516" s="17" t="n"/>
      <c r="W516" s="24">
        <f>IF($D516="","",IF($E516="※编码不在物料档案里","※物料编码不在档案里",IF(N($J516)&lt;=0,"※出库数量要大于 0",IF($K516="","※没填去向类型",IF($L516="","※没填去向矿区",IF(AND($C516&lt;&gt;"",$C516&lt;=结账锁),"※日期早于已结账截止日，不能再录",IF(AND($K516="自用消耗",COUNTIF({"一矿区";"二矿区"},$L516)=0),"※自用消耗的去向只能是一矿区或二矿区",IF(AND($K516="对外销售",COUNTIF({"三矿区";"六矿区"},$L516)=0),"※对外销售的去向只能是三矿区或六矿区",IF(AND($K516="对外销售",ROUND($Q516,0)=0),"※外销却没有售价，请填实际售价",IF(AND($K516="对外销售",$T516&lt;&gt;"",$T516&lt;0),"※这一笔外销是亏的，请核对售价",IF(IFERROR(VLOOKUP($D516,库存台账!$A$5:$Y$1204,24,0),0)&lt;-0.001,"※这个物料账面已经变成负数了，查一下是不是漏记入库","")))))))))))</f>
        <v/>
      </c>
    </row>
    <row r="517">
      <c r="A517" s="24">
        <f>IF($D517="","",COUNTA($D$4:$D517))</f>
        <v/>
      </c>
      <c r="B517" s="17" t="n"/>
      <c r="C517" s="30" t="n"/>
      <c r="D517" s="17" t="n"/>
      <c r="E517" s="24">
        <f>IF($D517="","",IFERROR(VLOOKUP($D517,物料档案!$A$4:$P$1203,3,0),"※编码不在物料档案里"))</f>
        <v/>
      </c>
      <c r="F517" s="24">
        <f>IF($D517="","",IFERROR(VLOOKUP($D517,物料档案!$A$4:$P$1203,4,0),"※编码不在物料档案里"))</f>
        <v/>
      </c>
      <c r="G517" s="24">
        <f>IF($D517="","",IFERROR(VLOOKUP($D517,物料档案!$A$4:$P$1203,5,0),"※编码不在物料档案里"))</f>
        <v/>
      </c>
      <c r="H517" s="24">
        <f>IF($D517="","",IFERROR(VLOOKUP($D517,物料档案!$A$4:$P$1203,2,0),"※编码不在物料档案里"))</f>
        <v/>
      </c>
      <c r="I517" s="24">
        <f>IF($D517="","",IFERROR(VLOOKUP($D517,物料档案!$A$4:$P$1203,6,0),"※编码不在物料档案里"))</f>
        <v/>
      </c>
      <c r="J517" s="23" t="n"/>
      <c r="K517" s="17" t="n"/>
      <c r="L517" s="17" t="n"/>
      <c r="M517" s="17" t="n"/>
      <c r="N517" s="17" t="n"/>
      <c r="O517" s="26">
        <f>IF($D517="","",IFERROR(VLOOKUP($D517,物料档案!$A$4:$P$1203,10,0),0))</f>
        <v/>
      </c>
      <c r="P517" s="32" t="n"/>
      <c r="Q517" s="26">
        <f>IF($D517="","",IF($K517&lt;&gt;"对外销售",0,ROUND(N($J517)*IF($P517="",N($O517),N($P517)),0)))</f>
        <v/>
      </c>
      <c r="R517" s="26">
        <f>IF($D517="","",IFERROR(VLOOKUP($D517,库存台账!$A$5:$Y$1204,11,0),0))</f>
        <v/>
      </c>
      <c r="S517" s="26">
        <f>IF($D517="","",ROUND(N($J517)*N($R517),0))</f>
        <v/>
      </c>
      <c r="T517" s="26">
        <f>IF($D517="","",IF($K517&lt;&gt;"对外销售","",ROUND($Q517-$S517,0)))</f>
        <v/>
      </c>
      <c r="U517" s="17" t="n"/>
      <c r="V517" s="17" t="n"/>
      <c r="W517" s="24">
        <f>IF($D517="","",IF($E517="※编码不在物料档案里","※物料编码不在档案里",IF(N($J517)&lt;=0,"※出库数量要大于 0",IF($K517="","※没填去向类型",IF($L517="","※没填去向矿区",IF(AND($C517&lt;&gt;"",$C517&lt;=结账锁),"※日期早于已结账截止日，不能再录",IF(AND($K517="自用消耗",COUNTIF({"一矿区";"二矿区"},$L517)=0),"※自用消耗的去向只能是一矿区或二矿区",IF(AND($K517="对外销售",COUNTIF({"三矿区";"六矿区"},$L517)=0),"※对外销售的去向只能是三矿区或六矿区",IF(AND($K517="对外销售",ROUND($Q517,0)=0),"※外销却没有售价，请填实际售价",IF(AND($K517="对外销售",$T517&lt;&gt;"",$T517&lt;0),"※这一笔外销是亏的，请核对售价",IF(IFERROR(VLOOKUP($D517,库存台账!$A$5:$Y$1204,24,0),0)&lt;-0.001,"※这个物料账面已经变成负数了，查一下是不是漏记入库","")))))))))))</f>
        <v/>
      </c>
    </row>
    <row r="518">
      <c r="A518" s="24">
        <f>IF($D518="","",COUNTA($D$4:$D518))</f>
        <v/>
      </c>
      <c r="B518" s="17" t="n"/>
      <c r="C518" s="30" t="n"/>
      <c r="D518" s="17" t="n"/>
      <c r="E518" s="24">
        <f>IF($D518="","",IFERROR(VLOOKUP($D518,物料档案!$A$4:$P$1203,3,0),"※编码不在物料档案里"))</f>
        <v/>
      </c>
      <c r="F518" s="24">
        <f>IF($D518="","",IFERROR(VLOOKUP($D518,物料档案!$A$4:$P$1203,4,0),"※编码不在物料档案里"))</f>
        <v/>
      </c>
      <c r="G518" s="24">
        <f>IF($D518="","",IFERROR(VLOOKUP($D518,物料档案!$A$4:$P$1203,5,0),"※编码不在物料档案里"))</f>
        <v/>
      </c>
      <c r="H518" s="24">
        <f>IF($D518="","",IFERROR(VLOOKUP($D518,物料档案!$A$4:$P$1203,2,0),"※编码不在物料档案里"))</f>
        <v/>
      </c>
      <c r="I518" s="24">
        <f>IF($D518="","",IFERROR(VLOOKUP($D518,物料档案!$A$4:$P$1203,6,0),"※编码不在物料档案里"))</f>
        <v/>
      </c>
      <c r="J518" s="23" t="n"/>
      <c r="K518" s="17" t="n"/>
      <c r="L518" s="17" t="n"/>
      <c r="M518" s="17" t="n"/>
      <c r="N518" s="17" t="n"/>
      <c r="O518" s="26">
        <f>IF($D518="","",IFERROR(VLOOKUP($D518,物料档案!$A$4:$P$1203,10,0),0))</f>
        <v/>
      </c>
      <c r="P518" s="32" t="n"/>
      <c r="Q518" s="26">
        <f>IF($D518="","",IF($K518&lt;&gt;"对外销售",0,ROUND(N($J518)*IF($P518="",N($O518),N($P518)),0)))</f>
        <v/>
      </c>
      <c r="R518" s="26">
        <f>IF($D518="","",IFERROR(VLOOKUP($D518,库存台账!$A$5:$Y$1204,11,0),0))</f>
        <v/>
      </c>
      <c r="S518" s="26">
        <f>IF($D518="","",ROUND(N($J518)*N($R518),0))</f>
        <v/>
      </c>
      <c r="T518" s="26">
        <f>IF($D518="","",IF($K518&lt;&gt;"对外销售","",ROUND($Q518-$S518,0)))</f>
        <v/>
      </c>
      <c r="U518" s="17" t="n"/>
      <c r="V518" s="17" t="n"/>
      <c r="W518" s="24">
        <f>IF($D518="","",IF($E518="※编码不在物料档案里","※物料编码不在档案里",IF(N($J518)&lt;=0,"※出库数量要大于 0",IF($K518="","※没填去向类型",IF($L518="","※没填去向矿区",IF(AND($C518&lt;&gt;"",$C518&lt;=结账锁),"※日期早于已结账截止日，不能再录",IF(AND($K518="自用消耗",COUNTIF({"一矿区";"二矿区"},$L518)=0),"※自用消耗的去向只能是一矿区或二矿区",IF(AND($K518="对外销售",COUNTIF({"三矿区";"六矿区"},$L518)=0),"※对外销售的去向只能是三矿区或六矿区",IF(AND($K518="对外销售",ROUND($Q518,0)=0),"※外销却没有售价，请填实际售价",IF(AND($K518="对外销售",$T518&lt;&gt;"",$T518&lt;0),"※这一笔外销是亏的，请核对售价",IF(IFERROR(VLOOKUP($D518,库存台账!$A$5:$Y$1204,24,0),0)&lt;-0.001,"※这个物料账面已经变成负数了，查一下是不是漏记入库","")))))))))))</f>
        <v/>
      </c>
    </row>
    <row r="519">
      <c r="A519" s="24">
        <f>IF($D519="","",COUNTA($D$4:$D519))</f>
        <v/>
      </c>
      <c r="B519" s="17" t="n"/>
      <c r="C519" s="30" t="n"/>
      <c r="D519" s="17" t="n"/>
      <c r="E519" s="24">
        <f>IF($D519="","",IFERROR(VLOOKUP($D519,物料档案!$A$4:$P$1203,3,0),"※编码不在物料档案里"))</f>
        <v/>
      </c>
      <c r="F519" s="24">
        <f>IF($D519="","",IFERROR(VLOOKUP($D519,物料档案!$A$4:$P$1203,4,0),"※编码不在物料档案里"))</f>
        <v/>
      </c>
      <c r="G519" s="24">
        <f>IF($D519="","",IFERROR(VLOOKUP($D519,物料档案!$A$4:$P$1203,5,0),"※编码不在物料档案里"))</f>
        <v/>
      </c>
      <c r="H519" s="24">
        <f>IF($D519="","",IFERROR(VLOOKUP($D519,物料档案!$A$4:$P$1203,2,0),"※编码不在物料档案里"))</f>
        <v/>
      </c>
      <c r="I519" s="24">
        <f>IF($D519="","",IFERROR(VLOOKUP($D519,物料档案!$A$4:$P$1203,6,0),"※编码不在物料档案里"))</f>
        <v/>
      </c>
      <c r="J519" s="23" t="n"/>
      <c r="K519" s="17" t="n"/>
      <c r="L519" s="17" t="n"/>
      <c r="M519" s="17" t="n"/>
      <c r="N519" s="17" t="n"/>
      <c r="O519" s="26">
        <f>IF($D519="","",IFERROR(VLOOKUP($D519,物料档案!$A$4:$P$1203,10,0),0))</f>
        <v/>
      </c>
      <c r="P519" s="32" t="n"/>
      <c r="Q519" s="26">
        <f>IF($D519="","",IF($K519&lt;&gt;"对外销售",0,ROUND(N($J519)*IF($P519="",N($O519),N($P519)),0)))</f>
        <v/>
      </c>
      <c r="R519" s="26">
        <f>IF($D519="","",IFERROR(VLOOKUP($D519,库存台账!$A$5:$Y$1204,11,0),0))</f>
        <v/>
      </c>
      <c r="S519" s="26">
        <f>IF($D519="","",ROUND(N($J519)*N($R519),0))</f>
        <v/>
      </c>
      <c r="T519" s="26">
        <f>IF($D519="","",IF($K519&lt;&gt;"对外销售","",ROUND($Q519-$S519,0)))</f>
        <v/>
      </c>
      <c r="U519" s="17" t="n"/>
      <c r="V519" s="17" t="n"/>
      <c r="W519" s="24">
        <f>IF($D519="","",IF($E519="※编码不在物料档案里","※物料编码不在档案里",IF(N($J519)&lt;=0,"※出库数量要大于 0",IF($K519="","※没填去向类型",IF($L519="","※没填去向矿区",IF(AND($C519&lt;&gt;"",$C519&lt;=结账锁),"※日期早于已结账截止日，不能再录",IF(AND($K519="自用消耗",COUNTIF({"一矿区";"二矿区"},$L519)=0),"※自用消耗的去向只能是一矿区或二矿区",IF(AND($K519="对外销售",COUNTIF({"三矿区";"六矿区"},$L519)=0),"※对外销售的去向只能是三矿区或六矿区",IF(AND($K519="对外销售",ROUND($Q519,0)=0),"※外销却没有售价，请填实际售价",IF(AND($K519="对外销售",$T519&lt;&gt;"",$T519&lt;0),"※这一笔外销是亏的，请核对售价",IF(IFERROR(VLOOKUP($D519,库存台账!$A$5:$Y$1204,24,0),0)&lt;-0.001,"※这个物料账面已经变成负数了，查一下是不是漏记入库","")))))))))))</f>
        <v/>
      </c>
    </row>
    <row r="520">
      <c r="A520" s="24">
        <f>IF($D520="","",COUNTA($D$4:$D520))</f>
        <v/>
      </c>
      <c r="B520" s="17" t="n"/>
      <c r="C520" s="30" t="n"/>
      <c r="D520" s="17" t="n"/>
      <c r="E520" s="24">
        <f>IF($D520="","",IFERROR(VLOOKUP($D520,物料档案!$A$4:$P$1203,3,0),"※编码不在物料档案里"))</f>
        <v/>
      </c>
      <c r="F520" s="24">
        <f>IF($D520="","",IFERROR(VLOOKUP($D520,物料档案!$A$4:$P$1203,4,0),"※编码不在物料档案里"))</f>
        <v/>
      </c>
      <c r="G520" s="24">
        <f>IF($D520="","",IFERROR(VLOOKUP($D520,物料档案!$A$4:$P$1203,5,0),"※编码不在物料档案里"))</f>
        <v/>
      </c>
      <c r="H520" s="24">
        <f>IF($D520="","",IFERROR(VLOOKUP($D520,物料档案!$A$4:$P$1203,2,0),"※编码不在物料档案里"))</f>
        <v/>
      </c>
      <c r="I520" s="24">
        <f>IF($D520="","",IFERROR(VLOOKUP($D520,物料档案!$A$4:$P$1203,6,0),"※编码不在物料档案里"))</f>
        <v/>
      </c>
      <c r="J520" s="23" t="n"/>
      <c r="K520" s="17" t="n"/>
      <c r="L520" s="17" t="n"/>
      <c r="M520" s="17" t="n"/>
      <c r="N520" s="17" t="n"/>
      <c r="O520" s="26">
        <f>IF($D520="","",IFERROR(VLOOKUP($D520,物料档案!$A$4:$P$1203,10,0),0))</f>
        <v/>
      </c>
      <c r="P520" s="32" t="n"/>
      <c r="Q520" s="26">
        <f>IF($D520="","",IF($K520&lt;&gt;"对外销售",0,ROUND(N($J520)*IF($P520="",N($O520),N($P520)),0)))</f>
        <v/>
      </c>
      <c r="R520" s="26">
        <f>IF($D520="","",IFERROR(VLOOKUP($D520,库存台账!$A$5:$Y$1204,11,0),0))</f>
        <v/>
      </c>
      <c r="S520" s="26">
        <f>IF($D520="","",ROUND(N($J520)*N($R520),0))</f>
        <v/>
      </c>
      <c r="T520" s="26">
        <f>IF($D520="","",IF($K520&lt;&gt;"对外销售","",ROUND($Q520-$S520,0)))</f>
        <v/>
      </c>
      <c r="U520" s="17" t="n"/>
      <c r="V520" s="17" t="n"/>
      <c r="W520" s="24">
        <f>IF($D520="","",IF($E520="※编码不在物料档案里","※物料编码不在档案里",IF(N($J520)&lt;=0,"※出库数量要大于 0",IF($K520="","※没填去向类型",IF($L520="","※没填去向矿区",IF(AND($C520&lt;&gt;"",$C520&lt;=结账锁),"※日期早于已结账截止日，不能再录",IF(AND($K520="自用消耗",COUNTIF({"一矿区";"二矿区"},$L520)=0),"※自用消耗的去向只能是一矿区或二矿区",IF(AND($K520="对外销售",COUNTIF({"三矿区";"六矿区"},$L520)=0),"※对外销售的去向只能是三矿区或六矿区",IF(AND($K520="对外销售",ROUND($Q520,0)=0),"※外销却没有售价，请填实际售价",IF(AND($K520="对外销售",$T520&lt;&gt;"",$T520&lt;0),"※这一笔外销是亏的，请核对售价",IF(IFERROR(VLOOKUP($D520,库存台账!$A$5:$Y$1204,24,0),0)&lt;-0.001,"※这个物料账面已经变成负数了，查一下是不是漏记入库","")))))))))))</f>
        <v/>
      </c>
    </row>
    <row r="521">
      <c r="A521" s="24">
        <f>IF($D521="","",COUNTA($D$4:$D521))</f>
        <v/>
      </c>
      <c r="B521" s="17" t="n"/>
      <c r="C521" s="30" t="n"/>
      <c r="D521" s="17" t="n"/>
      <c r="E521" s="24">
        <f>IF($D521="","",IFERROR(VLOOKUP($D521,物料档案!$A$4:$P$1203,3,0),"※编码不在物料档案里"))</f>
        <v/>
      </c>
      <c r="F521" s="24">
        <f>IF($D521="","",IFERROR(VLOOKUP($D521,物料档案!$A$4:$P$1203,4,0),"※编码不在物料档案里"))</f>
        <v/>
      </c>
      <c r="G521" s="24">
        <f>IF($D521="","",IFERROR(VLOOKUP($D521,物料档案!$A$4:$P$1203,5,0),"※编码不在物料档案里"))</f>
        <v/>
      </c>
      <c r="H521" s="24">
        <f>IF($D521="","",IFERROR(VLOOKUP($D521,物料档案!$A$4:$P$1203,2,0),"※编码不在物料档案里"))</f>
        <v/>
      </c>
      <c r="I521" s="24">
        <f>IF($D521="","",IFERROR(VLOOKUP($D521,物料档案!$A$4:$P$1203,6,0),"※编码不在物料档案里"))</f>
        <v/>
      </c>
      <c r="J521" s="23" t="n"/>
      <c r="K521" s="17" t="n"/>
      <c r="L521" s="17" t="n"/>
      <c r="M521" s="17" t="n"/>
      <c r="N521" s="17" t="n"/>
      <c r="O521" s="26">
        <f>IF($D521="","",IFERROR(VLOOKUP($D521,物料档案!$A$4:$P$1203,10,0),0))</f>
        <v/>
      </c>
      <c r="P521" s="32" t="n"/>
      <c r="Q521" s="26">
        <f>IF($D521="","",IF($K521&lt;&gt;"对外销售",0,ROUND(N($J521)*IF($P521="",N($O521),N($P521)),0)))</f>
        <v/>
      </c>
      <c r="R521" s="26">
        <f>IF($D521="","",IFERROR(VLOOKUP($D521,库存台账!$A$5:$Y$1204,11,0),0))</f>
        <v/>
      </c>
      <c r="S521" s="26">
        <f>IF($D521="","",ROUND(N($J521)*N($R521),0))</f>
        <v/>
      </c>
      <c r="T521" s="26">
        <f>IF($D521="","",IF($K521&lt;&gt;"对外销售","",ROUND($Q521-$S521,0)))</f>
        <v/>
      </c>
      <c r="U521" s="17" t="n"/>
      <c r="V521" s="17" t="n"/>
      <c r="W521" s="24">
        <f>IF($D521="","",IF($E521="※编码不在物料档案里","※物料编码不在档案里",IF(N($J521)&lt;=0,"※出库数量要大于 0",IF($K521="","※没填去向类型",IF($L521="","※没填去向矿区",IF(AND($C521&lt;&gt;"",$C521&lt;=结账锁),"※日期早于已结账截止日，不能再录",IF(AND($K521="自用消耗",COUNTIF({"一矿区";"二矿区"},$L521)=0),"※自用消耗的去向只能是一矿区或二矿区",IF(AND($K521="对外销售",COUNTIF({"三矿区";"六矿区"},$L521)=0),"※对外销售的去向只能是三矿区或六矿区",IF(AND($K521="对外销售",ROUND($Q521,0)=0),"※外销却没有售价，请填实际售价",IF(AND($K521="对外销售",$T521&lt;&gt;"",$T521&lt;0),"※这一笔外销是亏的，请核对售价",IF(IFERROR(VLOOKUP($D521,库存台账!$A$5:$Y$1204,24,0),0)&lt;-0.001,"※这个物料账面已经变成负数了，查一下是不是漏记入库","")))))))))))</f>
        <v/>
      </c>
    </row>
    <row r="522">
      <c r="A522" s="24">
        <f>IF($D522="","",COUNTA($D$4:$D522))</f>
        <v/>
      </c>
      <c r="B522" s="17" t="n"/>
      <c r="C522" s="30" t="n"/>
      <c r="D522" s="17" t="n"/>
      <c r="E522" s="24">
        <f>IF($D522="","",IFERROR(VLOOKUP($D522,物料档案!$A$4:$P$1203,3,0),"※编码不在物料档案里"))</f>
        <v/>
      </c>
      <c r="F522" s="24">
        <f>IF($D522="","",IFERROR(VLOOKUP($D522,物料档案!$A$4:$P$1203,4,0),"※编码不在物料档案里"))</f>
        <v/>
      </c>
      <c r="G522" s="24">
        <f>IF($D522="","",IFERROR(VLOOKUP($D522,物料档案!$A$4:$P$1203,5,0),"※编码不在物料档案里"))</f>
        <v/>
      </c>
      <c r="H522" s="24">
        <f>IF($D522="","",IFERROR(VLOOKUP($D522,物料档案!$A$4:$P$1203,2,0),"※编码不在物料档案里"))</f>
        <v/>
      </c>
      <c r="I522" s="24">
        <f>IF($D522="","",IFERROR(VLOOKUP($D522,物料档案!$A$4:$P$1203,6,0),"※编码不在物料档案里"))</f>
        <v/>
      </c>
      <c r="J522" s="23" t="n"/>
      <c r="K522" s="17" t="n"/>
      <c r="L522" s="17" t="n"/>
      <c r="M522" s="17" t="n"/>
      <c r="N522" s="17" t="n"/>
      <c r="O522" s="26">
        <f>IF($D522="","",IFERROR(VLOOKUP($D522,物料档案!$A$4:$P$1203,10,0),0))</f>
        <v/>
      </c>
      <c r="P522" s="32" t="n"/>
      <c r="Q522" s="26">
        <f>IF($D522="","",IF($K522&lt;&gt;"对外销售",0,ROUND(N($J522)*IF($P522="",N($O522),N($P522)),0)))</f>
        <v/>
      </c>
      <c r="R522" s="26">
        <f>IF($D522="","",IFERROR(VLOOKUP($D522,库存台账!$A$5:$Y$1204,11,0),0))</f>
        <v/>
      </c>
      <c r="S522" s="26">
        <f>IF($D522="","",ROUND(N($J522)*N($R522),0))</f>
        <v/>
      </c>
      <c r="T522" s="26">
        <f>IF($D522="","",IF($K522&lt;&gt;"对外销售","",ROUND($Q522-$S522,0)))</f>
        <v/>
      </c>
      <c r="U522" s="17" t="n"/>
      <c r="V522" s="17" t="n"/>
      <c r="W522" s="24">
        <f>IF($D522="","",IF($E522="※编码不在物料档案里","※物料编码不在档案里",IF(N($J522)&lt;=0,"※出库数量要大于 0",IF($K522="","※没填去向类型",IF($L522="","※没填去向矿区",IF(AND($C522&lt;&gt;"",$C522&lt;=结账锁),"※日期早于已结账截止日，不能再录",IF(AND($K522="自用消耗",COUNTIF({"一矿区";"二矿区"},$L522)=0),"※自用消耗的去向只能是一矿区或二矿区",IF(AND($K522="对外销售",COUNTIF({"三矿区";"六矿区"},$L522)=0),"※对外销售的去向只能是三矿区或六矿区",IF(AND($K522="对外销售",ROUND($Q522,0)=0),"※外销却没有售价，请填实际售价",IF(AND($K522="对外销售",$T522&lt;&gt;"",$T522&lt;0),"※这一笔外销是亏的，请核对售价",IF(IFERROR(VLOOKUP($D522,库存台账!$A$5:$Y$1204,24,0),0)&lt;-0.001,"※这个物料账面已经变成负数了，查一下是不是漏记入库","")))))))))))</f>
        <v/>
      </c>
    </row>
    <row r="523">
      <c r="A523" s="24">
        <f>IF($D523="","",COUNTA($D$4:$D523))</f>
        <v/>
      </c>
      <c r="B523" s="17" t="n"/>
      <c r="C523" s="30" t="n"/>
      <c r="D523" s="17" t="n"/>
      <c r="E523" s="24">
        <f>IF($D523="","",IFERROR(VLOOKUP($D523,物料档案!$A$4:$P$1203,3,0),"※编码不在物料档案里"))</f>
        <v/>
      </c>
      <c r="F523" s="24">
        <f>IF($D523="","",IFERROR(VLOOKUP($D523,物料档案!$A$4:$P$1203,4,0),"※编码不在物料档案里"))</f>
        <v/>
      </c>
      <c r="G523" s="24">
        <f>IF($D523="","",IFERROR(VLOOKUP($D523,物料档案!$A$4:$P$1203,5,0),"※编码不在物料档案里"))</f>
        <v/>
      </c>
      <c r="H523" s="24">
        <f>IF($D523="","",IFERROR(VLOOKUP($D523,物料档案!$A$4:$P$1203,2,0),"※编码不在物料档案里"))</f>
        <v/>
      </c>
      <c r="I523" s="24">
        <f>IF($D523="","",IFERROR(VLOOKUP($D523,物料档案!$A$4:$P$1203,6,0),"※编码不在物料档案里"))</f>
        <v/>
      </c>
      <c r="J523" s="23" t="n"/>
      <c r="K523" s="17" t="n"/>
      <c r="L523" s="17" t="n"/>
      <c r="M523" s="17" t="n"/>
      <c r="N523" s="17" t="n"/>
      <c r="O523" s="26">
        <f>IF($D523="","",IFERROR(VLOOKUP($D523,物料档案!$A$4:$P$1203,10,0),0))</f>
        <v/>
      </c>
      <c r="P523" s="32" t="n"/>
      <c r="Q523" s="26">
        <f>IF($D523="","",IF($K523&lt;&gt;"对外销售",0,ROUND(N($J523)*IF($P523="",N($O523),N($P523)),0)))</f>
        <v/>
      </c>
      <c r="R523" s="26">
        <f>IF($D523="","",IFERROR(VLOOKUP($D523,库存台账!$A$5:$Y$1204,11,0),0))</f>
        <v/>
      </c>
      <c r="S523" s="26">
        <f>IF($D523="","",ROUND(N($J523)*N($R523),0))</f>
        <v/>
      </c>
      <c r="T523" s="26">
        <f>IF($D523="","",IF($K523&lt;&gt;"对外销售","",ROUND($Q523-$S523,0)))</f>
        <v/>
      </c>
      <c r="U523" s="17" t="n"/>
      <c r="V523" s="17" t="n"/>
      <c r="W523" s="24">
        <f>IF($D523="","",IF($E523="※编码不在物料档案里","※物料编码不在档案里",IF(N($J523)&lt;=0,"※出库数量要大于 0",IF($K523="","※没填去向类型",IF($L523="","※没填去向矿区",IF(AND($C523&lt;&gt;"",$C523&lt;=结账锁),"※日期早于已结账截止日，不能再录",IF(AND($K523="自用消耗",COUNTIF({"一矿区";"二矿区"},$L523)=0),"※自用消耗的去向只能是一矿区或二矿区",IF(AND($K523="对外销售",COUNTIF({"三矿区";"六矿区"},$L523)=0),"※对外销售的去向只能是三矿区或六矿区",IF(AND($K523="对外销售",ROUND($Q523,0)=0),"※外销却没有售价，请填实际售价",IF(AND($K523="对外销售",$T523&lt;&gt;"",$T523&lt;0),"※这一笔外销是亏的，请核对售价",IF(IFERROR(VLOOKUP($D523,库存台账!$A$5:$Y$1204,24,0),0)&lt;-0.001,"※这个物料账面已经变成负数了，查一下是不是漏记入库","")))))))))))</f>
        <v/>
      </c>
    </row>
    <row r="524">
      <c r="A524" s="24">
        <f>IF($D524="","",COUNTA($D$4:$D524))</f>
        <v/>
      </c>
      <c r="B524" s="17" t="n"/>
      <c r="C524" s="30" t="n"/>
      <c r="D524" s="17" t="n"/>
      <c r="E524" s="24">
        <f>IF($D524="","",IFERROR(VLOOKUP($D524,物料档案!$A$4:$P$1203,3,0),"※编码不在物料档案里"))</f>
        <v/>
      </c>
      <c r="F524" s="24">
        <f>IF($D524="","",IFERROR(VLOOKUP($D524,物料档案!$A$4:$P$1203,4,0),"※编码不在物料档案里"))</f>
        <v/>
      </c>
      <c r="G524" s="24">
        <f>IF($D524="","",IFERROR(VLOOKUP($D524,物料档案!$A$4:$P$1203,5,0),"※编码不在物料档案里"))</f>
        <v/>
      </c>
      <c r="H524" s="24">
        <f>IF($D524="","",IFERROR(VLOOKUP($D524,物料档案!$A$4:$P$1203,2,0),"※编码不在物料档案里"))</f>
        <v/>
      </c>
      <c r="I524" s="24">
        <f>IF($D524="","",IFERROR(VLOOKUP($D524,物料档案!$A$4:$P$1203,6,0),"※编码不在物料档案里"))</f>
        <v/>
      </c>
      <c r="J524" s="23" t="n"/>
      <c r="K524" s="17" t="n"/>
      <c r="L524" s="17" t="n"/>
      <c r="M524" s="17" t="n"/>
      <c r="N524" s="17" t="n"/>
      <c r="O524" s="26">
        <f>IF($D524="","",IFERROR(VLOOKUP($D524,物料档案!$A$4:$P$1203,10,0),0))</f>
        <v/>
      </c>
      <c r="P524" s="32" t="n"/>
      <c r="Q524" s="26">
        <f>IF($D524="","",IF($K524&lt;&gt;"对外销售",0,ROUND(N($J524)*IF($P524="",N($O524),N($P524)),0)))</f>
        <v/>
      </c>
      <c r="R524" s="26">
        <f>IF($D524="","",IFERROR(VLOOKUP($D524,库存台账!$A$5:$Y$1204,11,0),0))</f>
        <v/>
      </c>
      <c r="S524" s="26">
        <f>IF($D524="","",ROUND(N($J524)*N($R524),0))</f>
        <v/>
      </c>
      <c r="T524" s="26">
        <f>IF($D524="","",IF($K524&lt;&gt;"对外销售","",ROUND($Q524-$S524,0)))</f>
        <v/>
      </c>
      <c r="U524" s="17" t="n"/>
      <c r="V524" s="17" t="n"/>
      <c r="W524" s="24">
        <f>IF($D524="","",IF($E524="※编码不在物料档案里","※物料编码不在档案里",IF(N($J524)&lt;=0,"※出库数量要大于 0",IF($K524="","※没填去向类型",IF($L524="","※没填去向矿区",IF(AND($C524&lt;&gt;"",$C524&lt;=结账锁),"※日期早于已结账截止日，不能再录",IF(AND($K524="自用消耗",COUNTIF({"一矿区";"二矿区"},$L524)=0),"※自用消耗的去向只能是一矿区或二矿区",IF(AND($K524="对外销售",COUNTIF({"三矿区";"六矿区"},$L524)=0),"※对外销售的去向只能是三矿区或六矿区",IF(AND($K524="对外销售",ROUND($Q524,0)=0),"※外销却没有售价，请填实际售价",IF(AND($K524="对外销售",$T524&lt;&gt;"",$T524&lt;0),"※这一笔外销是亏的，请核对售价",IF(IFERROR(VLOOKUP($D524,库存台账!$A$5:$Y$1204,24,0),0)&lt;-0.001,"※这个物料账面已经变成负数了，查一下是不是漏记入库","")))))))))))</f>
        <v/>
      </c>
    </row>
    <row r="525">
      <c r="A525" s="24">
        <f>IF($D525="","",COUNTA($D$4:$D525))</f>
        <v/>
      </c>
      <c r="B525" s="17" t="n"/>
      <c r="C525" s="30" t="n"/>
      <c r="D525" s="17" t="n"/>
      <c r="E525" s="24">
        <f>IF($D525="","",IFERROR(VLOOKUP($D525,物料档案!$A$4:$P$1203,3,0),"※编码不在物料档案里"))</f>
        <v/>
      </c>
      <c r="F525" s="24">
        <f>IF($D525="","",IFERROR(VLOOKUP($D525,物料档案!$A$4:$P$1203,4,0),"※编码不在物料档案里"))</f>
        <v/>
      </c>
      <c r="G525" s="24">
        <f>IF($D525="","",IFERROR(VLOOKUP($D525,物料档案!$A$4:$P$1203,5,0),"※编码不在物料档案里"))</f>
        <v/>
      </c>
      <c r="H525" s="24">
        <f>IF($D525="","",IFERROR(VLOOKUP($D525,物料档案!$A$4:$P$1203,2,0),"※编码不在物料档案里"))</f>
        <v/>
      </c>
      <c r="I525" s="24">
        <f>IF($D525="","",IFERROR(VLOOKUP($D525,物料档案!$A$4:$P$1203,6,0),"※编码不在物料档案里"))</f>
        <v/>
      </c>
      <c r="J525" s="23" t="n"/>
      <c r="K525" s="17" t="n"/>
      <c r="L525" s="17" t="n"/>
      <c r="M525" s="17" t="n"/>
      <c r="N525" s="17" t="n"/>
      <c r="O525" s="26">
        <f>IF($D525="","",IFERROR(VLOOKUP($D525,物料档案!$A$4:$P$1203,10,0),0))</f>
        <v/>
      </c>
      <c r="P525" s="32" t="n"/>
      <c r="Q525" s="26">
        <f>IF($D525="","",IF($K525&lt;&gt;"对外销售",0,ROUND(N($J525)*IF($P525="",N($O525),N($P525)),0)))</f>
        <v/>
      </c>
      <c r="R525" s="26">
        <f>IF($D525="","",IFERROR(VLOOKUP($D525,库存台账!$A$5:$Y$1204,11,0),0))</f>
        <v/>
      </c>
      <c r="S525" s="26">
        <f>IF($D525="","",ROUND(N($J525)*N($R525),0))</f>
        <v/>
      </c>
      <c r="T525" s="26">
        <f>IF($D525="","",IF($K525&lt;&gt;"对外销售","",ROUND($Q525-$S525,0)))</f>
        <v/>
      </c>
      <c r="U525" s="17" t="n"/>
      <c r="V525" s="17" t="n"/>
      <c r="W525" s="24">
        <f>IF($D525="","",IF($E525="※编码不在物料档案里","※物料编码不在档案里",IF(N($J525)&lt;=0,"※出库数量要大于 0",IF($K525="","※没填去向类型",IF($L525="","※没填去向矿区",IF(AND($C525&lt;&gt;"",$C525&lt;=结账锁),"※日期早于已结账截止日，不能再录",IF(AND($K525="自用消耗",COUNTIF({"一矿区";"二矿区"},$L525)=0),"※自用消耗的去向只能是一矿区或二矿区",IF(AND($K525="对外销售",COUNTIF({"三矿区";"六矿区"},$L525)=0),"※对外销售的去向只能是三矿区或六矿区",IF(AND($K525="对外销售",ROUND($Q525,0)=0),"※外销却没有售价，请填实际售价",IF(AND($K525="对外销售",$T525&lt;&gt;"",$T525&lt;0),"※这一笔外销是亏的，请核对售价",IF(IFERROR(VLOOKUP($D525,库存台账!$A$5:$Y$1204,24,0),0)&lt;-0.001,"※这个物料账面已经变成负数了，查一下是不是漏记入库","")))))))))))</f>
        <v/>
      </c>
    </row>
    <row r="526">
      <c r="A526" s="24">
        <f>IF($D526="","",COUNTA($D$4:$D526))</f>
        <v/>
      </c>
      <c r="B526" s="17" t="n"/>
      <c r="C526" s="30" t="n"/>
      <c r="D526" s="17" t="n"/>
      <c r="E526" s="24">
        <f>IF($D526="","",IFERROR(VLOOKUP($D526,物料档案!$A$4:$P$1203,3,0),"※编码不在物料档案里"))</f>
        <v/>
      </c>
      <c r="F526" s="24">
        <f>IF($D526="","",IFERROR(VLOOKUP($D526,物料档案!$A$4:$P$1203,4,0),"※编码不在物料档案里"))</f>
        <v/>
      </c>
      <c r="G526" s="24">
        <f>IF($D526="","",IFERROR(VLOOKUP($D526,物料档案!$A$4:$P$1203,5,0),"※编码不在物料档案里"))</f>
        <v/>
      </c>
      <c r="H526" s="24">
        <f>IF($D526="","",IFERROR(VLOOKUP($D526,物料档案!$A$4:$P$1203,2,0),"※编码不在物料档案里"))</f>
        <v/>
      </c>
      <c r="I526" s="24">
        <f>IF($D526="","",IFERROR(VLOOKUP($D526,物料档案!$A$4:$P$1203,6,0),"※编码不在物料档案里"))</f>
        <v/>
      </c>
      <c r="J526" s="23" t="n"/>
      <c r="K526" s="17" t="n"/>
      <c r="L526" s="17" t="n"/>
      <c r="M526" s="17" t="n"/>
      <c r="N526" s="17" t="n"/>
      <c r="O526" s="26">
        <f>IF($D526="","",IFERROR(VLOOKUP($D526,物料档案!$A$4:$P$1203,10,0),0))</f>
        <v/>
      </c>
      <c r="P526" s="32" t="n"/>
      <c r="Q526" s="26">
        <f>IF($D526="","",IF($K526&lt;&gt;"对外销售",0,ROUND(N($J526)*IF($P526="",N($O526),N($P526)),0)))</f>
        <v/>
      </c>
      <c r="R526" s="26">
        <f>IF($D526="","",IFERROR(VLOOKUP($D526,库存台账!$A$5:$Y$1204,11,0),0))</f>
        <v/>
      </c>
      <c r="S526" s="26">
        <f>IF($D526="","",ROUND(N($J526)*N($R526),0))</f>
        <v/>
      </c>
      <c r="T526" s="26">
        <f>IF($D526="","",IF($K526&lt;&gt;"对外销售","",ROUND($Q526-$S526,0)))</f>
        <v/>
      </c>
      <c r="U526" s="17" t="n"/>
      <c r="V526" s="17" t="n"/>
      <c r="W526" s="24">
        <f>IF($D526="","",IF($E526="※编码不在物料档案里","※物料编码不在档案里",IF(N($J526)&lt;=0,"※出库数量要大于 0",IF($K526="","※没填去向类型",IF($L526="","※没填去向矿区",IF(AND($C526&lt;&gt;"",$C526&lt;=结账锁),"※日期早于已结账截止日，不能再录",IF(AND($K526="自用消耗",COUNTIF({"一矿区";"二矿区"},$L526)=0),"※自用消耗的去向只能是一矿区或二矿区",IF(AND($K526="对外销售",COUNTIF({"三矿区";"六矿区"},$L526)=0),"※对外销售的去向只能是三矿区或六矿区",IF(AND($K526="对外销售",ROUND($Q526,0)=0),"※外销却没有售价，请填实际售价",IF(AND($K526="对外销售",$T526&lt;&gt;"",$T526&lt;0),"※这一笔外销是亏的，请核对售价",IF(IFERROR(VLOOKUP($D526,库存台账!$A$5:$Y$1204,24,0),0)&lt;-0.001,"※这个物料账面已经变成负数了，查一下是不是漏记入库","")))))))))))</f>
        <v/>
      </c>
    </row>
    <row r="527">
      <c r="A527" s="24">
        <f>IF($D527="","",COUNTA($D$4:$D527))</f>
        <v/>
      </c>
      <c r="B527" s="17" t="n"/>
      <c r="C527" s="30" t="n"/>
      <c r="D527" s="17" t="n"/>
      <c r="E527" s="24">
        <f>IF($D527="","",IFERROR(VLOOKUP($D527,物料档案!$A$4:$P$1203,3,0),"※编码不在物料档案里"))</f>
        <v/>
      </c>
      <c r="F527" s="24">
        <f>IF($D527="","",IFERROR(VLOOKUP($D527,物料档案!$A$4:$P$1203,4,0),"※编码不在物料档案里"))</f>
        <v/>
      </c>
      <c r="G527" s="24">
        <f>IF($D527="","",IFERROR(VLOOKUP($D527,物料档案!$A$4:$P$1203,5,0),"※编码不在物料档案里"))</f>
        <v/>
      </c>
      <c r="H527" s="24">
        <f>IF($D527="","",IFERROR(VLOOKUP($D527,物料档案!$A$4:$P$1203,2,0),"※编码不在物料档案里"))</f>
        <v/>
      </c>
      <c r="I527" s="24">
        <f>IF($D527="","",IFERROR(VLOOKUP($D527,物料档案!$A$4:$P$1203,6,0),"※编码不在物料档案里"))</f>
        <v/>
      </c>
      <c r="J527" s="23" t="n"/>
      <c r="K527" s="17" t="n"/>
      <c r="L527" s="17" t="n"/>
      <c r="M527" s="17" t="n"/>
      <c r="N527" s="17" t="n"/>
      <c r="O527" s="26">
        <f>IF($D527="","",IFERROR(VLOOKUP($D527,物料档案!$A$4:$P$1203,10,0),0))</f>
        <v/>
      </c>
      <c r="P527" s="32" t="n"/>
      <c r="Q527" s="26">
        <f>IF($D527="","",IF($K527&lt;&gt;"对外销售",0,ROUND(N($J527)*IF($P527="",N($O527),N($P527)),0)))</f>
        <v/>
      </c>
      <c r="R527" s="26">
        <f>IF($D527="","",IFERROR(VLOOKUP($D527,库存台账!$A$5:$Y$1204,11,0),0))</f>
        <v/>
      </c>
      <c r="S527" s="26">
        <f>IF($D527="","",ROUND(N($J527)*N($R527),0))</f>
        <v/>
      </c>
      <c r="T527" s="26">
        <f>IF($D527="","",IF($K527&lt;&gt;"对外销售","",ROUND($Q527-$S527,0)))</f>
        <v/>
      </c>
      <c r="U527" s="17" t="n"/>
      <c r="V527" s="17" t="n"/>
      <c r="W527" s="24">
        <f>IF($D527="","",IF($E527="※编码不在物料档案里","※物料编码不在档案里",IF(N($J527)&lt;=0,"※出库数量要大于 0",IF($K527="","※没填去向类型",IF($L527="","※没填去向矿区",IF(AND($C527&lt;&gt;"",$C527&lt;=结账锁),"※日期早于已结账截止日，不能再录",IF(AND($K527="自用消耗",COUNTIF({"一矿区";"二矿区"},$L527)=0),"※自用消耗的去向只能是一矿区或二矿区",IF(AND($K527="对外销售",COUNTIF({"三矿区";"六矿区"},$L527)=0),"※对外销售的去向只能是三矿区或六矿区",IF(AND($K527="对外销售",ROUND($Q527,0)=0),"※外销却没有售价，请填实际售价",IF(AND($K527="对外销售",$T527&lt;&gt;"",$T527&lt;0),"※这一笔外销是亏的，请核对售价",IF(IFERROR(VLOOKUP($D527,库存台账!$A$5:$Y$1204,24,0),0)&lt;-0.001,"※这个物料账面已经变成负数了，查一下是不是漏记入库","")))))))))))</f>
        <v/>
      </c>
    </row>
    <row r="528">
      <c r="A528" s="24">
        <f>IF($D528="","",COUNTA($D$4:$D528))</f>
        <v/>
      </c>
      <c r="B528" s="17" t="n"/>
      <c r="C528" s="30" t="n"/>
      <c r="D528" s="17" t="n"/>
      <c r="E528" s="24">
        <f>IF($D528="","",IFERROR(VLOOKUP($D528,物料档案!$A$4:$P$1203,3,0),"※编码不在物料档案里"))</f>
        <v/>
      </c>
      <c r="F528" s="24">
        <f>IF($D528="","",IFERROR(VLOOKUP($D528,物料档案!$A$4:$P$1203,4,0),"※编码不在物料档案里"))</f>
        <v/>
      </c>
      <c r="G528" s="24">
        <f>IF($D528="","",IFERROR(VLOOKUP($D528,物料档案!$A$4:$P$1203,5,0),"※编码不在物料档案里"))</f>
        <v/>
      </c>
      <c r="H528" s="24">
        <f>IF($D528="","",IFERROR(VLOOKUP($D528,物料档案!$A$4:$P$1203,2,0),"※编码不在物料档案里"))</f>
        <v/>
      </c>
      <c r="I528" s="24">
        <f>IF($D528="","",IFERROR(VLOOKUP($D528,物料档案!$A$4:$P$1203,6,0),"※编码不在物料档案里"))</f>
        <v/>
      </c>
      <c r="J528" s="23" t="n"/>
      <c r="K528" s="17" t="n"/>
      <c r="L528" s="17" t="n"/>
      <c r="M528" s="17" t="n"/>
      <c r="N528" s="17" t="n"/>
      <c r="O528" s="26">
        <f>IF($D528="","",IFERROR(VLOOKUP($D528,物料档案!$A$4:$P$1203,10,0),0))</f>
        <v/>
      </c>
      <c r="P528" s="32" t="n"/>
      <c r="Q528" s="26">
        <f>IF($D528="","",IF($K528&lt;&gt;"对外销售",0,ROUND(N($J528)*IF($P528="",N($O528),N($P528)),0)))</f>
        <v/>
      </c>
      <c r="R528" s="26">
        <f>IF($D528="","",IFERROR(VLOOKUP($D528,库存台账!$A$5:$Y$1204,11,0),0))</f>
        <v/>
      </c>
      <c r="S528" s="26">
        <f>IF($D528="","",ROUND(N($J528)*N($R528),0))</f>
        <v/>
      </c>
      <c r="T528" s="26">
        <f>IF($D528="","",IF($K528&lt;&gt;"对外销售","",ROUND($Q528-$S528,0)))</f>
        <v/>
      </c>
      <c r="U528" s="17" t="n"/>
      <c r="V528" s="17" t="n"/>
      <c r="W528" s="24">
        <f>IF($D528="","",IF($E528="※编码不在物料档案里","※物料编码不在档案里",IF(N($J528)&lt;=0,"※出库数量要大于 0",IF($K528="","※没填去向类型",IF($L528="","※没填去向矿区",IF(AND($C528&lt;&gt;"",$C528&lt;=结账锁),"※日期早于已结账截止日，不能再录",IF(AND($K528="自用消耗",COUNTIF({"一矿区";"二矿区"},$L528)=0),"※自用消耗的去向只能是一矿区或二矿区",IF(AND($K528="对外销售",COUNTIF({"三矿区";"六矿区"},$L528)=0),"※对外销售的去向只能是三矿区或六矿区",IF(AND($K528="对外销售",ROUND($Q528,0)=0),"※外销却没有售价，请填实际售价",IF(AND($K528="对外销售",$T528&lt;&gt;"",$T528&lt;0),"※这一笔外销是亏的，请核对售价",IF(IFERROR(VLOOKUP($D528,库存台账!$A$5:$Y$1204,24,0),0)&lt;-0.001,"※这个物料账面已经变成负数了，查一下是不是漏记入库","")))))))))))</f>
        <v/>
      </c>
    </row>
    <row r="529">
      <c r="A529" s="24">
        <f>IF($D529="","",COUNTA($D$4:$D529))</f>
        <v/>
      </c>
      <c r="B529" s="17" t="n"/>
      <c r="C529" s="30" t="n"/>
      <c r="D529" s="17" t="n"/>
      <c r="E529" s="24">
        <f>IF($D529="","",IFERROR(VLOOKUP($D529,物料档案!$A$4:$P$1203,3,0),"※编码不在物料档案里"))</f>
        <v/>
      </c>
      <c r="F529" s="24">
        <f>IF($D529="","",IFERROR(VLOOKUP($D529,物料档案!$A$4:$P$1203,4,0),"※编码不在物料档案里"))</f>
        <v/>
      </c>
      <c r="G529" s="24">
        <f>IF($D529="","",IFERROR(VLOOKUP($D529,物料档案!$A$4:$P$1203,5,0),"※编码不在物料档案里"))</f>
        <v/>
      </c>
      <c r="H529" s="24">
        <f>IF($D529="","",IFERROR(VLOOKUP($D529,物料档案!$A$4:$P$1203,2,0),"※编码不在物料档案里"))</f>
        <v/>
      </c>
      <c r="I529" s="24">
        <f>IF($D529="","",IFERROR(VLOOKUP($D529,物料档案!$A$4:$P$1203,6,0),"※编码不在物料档案里"))</f>
        <v/>
      </c>
      <c r="J529" s="23" t="n"/>
      <c r="K529" s="17" t="n"/>
      <c r="L529" s="17" t="n"/>
      <c r="M529" s="17" t="n"/>
      <c r="N529" s="17" t="n"/>
      <c r="O529" s="26">
        <f>IF($D529="","",IFERROR(VLOOKUP($D529,物料档案!$A$4:$P$1203,10,0),0))</f>
        <v/>
      </c>
      <c r="P529" s="32" t="n"/>
      <c r="Q529" s="26">
        <f>IF($D529="","",IF($K529&lt;&gt;"对外销售",0,ROUND(N($J529)*IF($P529="",N($O529),N($P529)),0)))</f>
        <v/>
      </c>
      <c r="R529" s="26">
        <f>IF($D529="","",IFERROR(VLOOKUP($D529,库存台账!$A$5:$Y$1204,11,0),0))</f>
        <v/>
      </c>
      <c r="S529" s="26">
        <f>IF($D529="","",ROUND(N($J529)*N($R529),0))</f>
        <v/>
      </c>
      <c r="T529" s="26">
        <f>IF($D529="","",IF($K529&lt;&gt;"对外销售","",ROUND($Q529-$S529,0)))</f>
        <v/>
      </c>
      <c r="U529" s="17" t="n"/>
      <c r="V529" s="17" t="n"/>
      <c r="W529" s="24">
        <f>IF($D529="","",IF($E529="※编码不在物料档案里","※物料编码不在档案里",IF(N($J529)&lt;=0,"※出库数量要大于 0",IF($K529="","※没填去向类型",IF($L529="","※没填去向矿区",IF(AND($C529&lt;&gt;"",$C529&lt;=结账锁),"※日期早于已结账截止日，不能再录",IF(AND($K529="自用消耗",COUNTIF({"一矿区";"二矿区"},$L529)=0),"※自用消耗的去向只能是一矿区或二矿区",IF(AND($K529="对外销售",COUNTIF({"三矿区";"六矿区"},$L529)=0),"※对外销售的去向只能是三矿区或六矿区",IF(AND($K529="对外销售",ROUND($Q529,0)=0),"※外销却没有售价，请填实际售价",IF(AND($K529="对外销售",$T529&lt;&gt;"",$T529&lt;0),"※这一笔外销是亏的，请核对售价",IF(IFERROR(VLOOKUP($D529,库存台账!$A$5:$Y$1204,24,0),0)&lt;-0.001,"※这个物料账面已经变成负数了，查一下是不是漏记入库","")))))))))))</f>
        <v/>
      </c>
    </row>
    <row r="530">
      <c r="A530" s="24">
        <f>IF($D530="","",COUNTA($D$4:$D530))</f>
        <v/>
      </c>
      <c r="B530" s="17" t="n"/>
      <c r="C530" s="30" t="n"/>
      <c r="D530" s="17" t="n"/>
      <c r="E530" s="24">
        <f>IF($D530="","",IFERROR(VLOOKUP($D530,物料档案!$A$4:$P$1203,3,0),"※编码不在物料档案里"))</f>
        <v/>
      </c>
      <c r="F530" s="24">
        <f>IF($D530="","",IFERROR(VLOOKUP($D530,物料档案!$A$4:$P$1203,4,0),"※编码不在物料档案里"))</f>
        <v/>
      </c>
      <c r="G530" s="24">
        <f>IF($D530="","",IFERROR(VLOOKUP($D530,物料档案!$A$4:$P$1203,5,0),"※编码不在物料档案里"))</f>
        <v/>
      </c>
      <c r="H530" s="24">
        <f>IF($D530="","",IFERROR(VLOOKUP($D530,物料档案!$A$4:$P$1203,2,0),"※编码不在物料档案里"))</f>
        <v/>
      </c>
      <c r="I530" s="24">
        <f>IF($D530="","",IFERROR(VLOOKUP($D530,物料档案!$A$4:$P$1203,6,0),"※编码不在物料档案里"))</f>
        <v/>
      </c>
      <c r="J530" s="23" t="n"/>
      <c r="K530" s="17" t="n"/>
      <c r="L530" s="17" t="n"/>
      <c r="M530" s="17" t="n"/>
      <c r="N530" s="17" t="n"/>
      <c r="O530" s="26">
        <f>IF($D530="","",IFERROR(VLOOKUP($D530,物料档案!$A$4:$P$1203,10,0),0))</f>
        <v/>
      </c>
      <c r="P530" s="32" t="n"/>
      <c r="Q530" s="26">
        <f>IF($D530="","",IF($K530&lt;&gt;"对外销售",0,ROUND(N($J530)*IF($P530="",N($O530),N($P530)),0)))</f>
        <v/>
      </c>
      <c r="R530" s="26">
        <f>IF($D530="","",IFERROR(VLOOKUP($D530,库存台账!$A$5:$Y$1204,11,0),0))</f>
        <v/>
      </c>
      <c r="S530" s="26">
        <f>IF($D530="","",ROUND(N($J530)*N($R530),0))</f>
        <v/>
      </c>
      <c r="T530" s="26">
        <f>IF($D530="","",IF($K530&lt;&gt;"对外销售","",ROUND($Q530-$S530,0)))</f>
        <v/>
      </c>
      <c r="U530" s="17" t="n"/>
      <c r="V530" s="17" t="n"/>
      <c r="W530" s="24">
        <f>IF($D530="","",IF($E530="※编码不在物料档案里","※物料编码不在档案里",IF(N($J530)&lt;=0,"※出库数量要大于 0",IF($K530="","※没填去向类型",IF($L530="","※没填去向矿区",IF(AND($C530&lt;&gt;"",$C530&lt;=结账锁),"※日期早于已结账截止日，不能再录",IF(AND($K530="自用消耗",COUNTIF({"一矿区";"二矿区"},$L530)=0),"※自用消耗的去向只能是一矿区或二矿区",IF(AND($K530="对外销售",COUNTIF({"三矿区";"六矿区"},$L530)=0),"※对外销售的去向只能是三矿区或六矿区",IF(AND($K530="对外销售",ROUND($Q530,0)=0),"※外销却没有售价，请填实际售价",IF(AND($K530="对外销售",$T530&lt;&gt;"",$T530&lt;0),"※这一笔外销是亏的，请核对售价",IF(IFERROR(VLOOKUP($D530,库存台账!$A$5:$Y$1204,24,0),0)&lt;-0.001,"※这个物料账面已经变成负数了，查一下是不是漏记入库","")))))))))))</f>
        <v/>
      </c>
    </row>
    <row r="531">
      <c r="A531" s="24">
        <f>IF($D531="","",COUNTA($D$4:$D531))</f>
        <v/>
      </c>
      <c r="B531" s="17" t="n"/>
      <c r="C531" s="30" t="n"/>
      <c r="D531" s="17" t="n"/>
      <c r="E531" s="24">
        <f>IF($D531="","",IFERROR(VLOOKUP($D531,物料档案!$A$4:$P$1203,3,0),"※编码不在物料档案里"))</f>
        <v/>
      </c>
      <c r="F531" s="24">
        <f>IF($D531="","",IFERROR(VLOOKUP($D531,物料档案!$A$4:$P$1203,4,0),"※编码不在物料档案里"))</f>
        <v/>
      </c>
      <c r="G531" s="24">
        <f>IF($D531="","",IFERROR(VLOOKUP($D531,物料档案!$A$4:$P$1203,5,0),"※编码不在物料档案里"))</f>
        <v/>
      </c>
      <c r="H531" s="24">
        <f>IF($D531="","",IFERROR(VLOOKUP($D531,物料档案!$A$4:$P$1203,2,0),"※编码不在物料档案里"))</f>
        <v/>
      </c>
      <c r="I531" s="24">
        <f>IF($D531="","",IFERROR(VLOOKUP($D531,物料档案!$A$4:$P$1203,6,0),"※编码不在物料档案里"))</f>
        <v/>
      </c>
      <c r="J531" s="23" t="n"/>
      <c r="K531" s="17" t="n"/>
      <c r="L531" s="17" t="n"/>
      <c r="M531" s="17" t="n"/>
      <c r="N531" s="17" t="n"/>
      <c r="O531" s="26">
        <f>IF($D531="","",IFERROR(VLOOKUP($D531,物料档案!$A$4:$P$1203,10,0),0))</f>
        <v/>
      </c>
      <c r="P531" s="32" t="n"/>
      <c r="Q531" s="26">
        <f>IF($D531="","",IF($K531&lt;&gt;"对外销售",0,ROUND(N($J531)*IF($P531="",N($O531),N($P531)),0)))</f>
        <v/>
      </c>
      <c r="R531" s="26">
        <f>IF($D531="","",IFERROR(VLOOKUP($D531,库存台账!$A$5:$Y$1204,11,0),0))</f>
        <v/>
      </c>
      <c r="S531" s="26">
        <f>IF($D531="","",ROUND(N($J531)*N($R531),0))</f>
        <v/>
      </c>
      <c r="T531" s="26">
        <f>IF($D531="","",IF($K531&lt;&gt;"对外销售","",ROUND($Q531-$S531,0)))</f>
        <v/>
      </c>
      <c r="U531" s="17" t="n"/>
      <c r="V531" s="17" t="n"/>
      <c r="W531" s="24">
        <f>IF($D531="","",IF($E531="※编码不在物料档案里","※物料编码不在档案里",IF(N($J531)&lt;=0,"※出库数量要大于 0",IF($K531="","※没填去向类型",IF($L531="","※没填去向矿区",IF(AND($C531&lt;&gt;"",$C531&lt;=结账锁),"※日期早于已结账截止日，不能再录",IF(AND($K531="自用消耗",COUNTIF({"一矿区";"二矿区"},$L531)=0),"※自用消耗的去向只能是一矿区或二矿区",IF(AND($K531="对外销售",COUNTIF({"三矿区";"六矿区"},$L531)=0),"※对外销售的去向只能是三矿区或六矿区",IF(AND($K531="对外销售",ROUND($Q531,0)=0),"※外销却没有售价，请填实际售价",IF(AND($K531="对外销售",$T531&lt;&gt;"",$T531&lt;0),"※这一笔外销是亏的，请核对售价",IF(IFERROR(VLOOKUP($D531,库存台账!$A$5:$Y$1204,24,0),0)&lt;-0.001,"※这个物料账面已经变成负数了，查一下是不是漏记入库","")))))))))))</f>
        <v/>
      </c>
    </row>
    <row r="532">
      <c r="A532" s="24">
        <f>IF($D532="","",COUNTA($D$4:$D532))</f>
        <v/>
      </c>
      <c r="B532" s="17" t="n"/>
      <c r="C532" s="30" t="n"/>
      <c r="D532" s="17" t="n"/>
      <c r="E532" s="24">
        <f>IF($D532="","",IFERROR(VLOOKUP($D532,物料档案!$A$4:$P$1203,3,0),"※编码不在物料档案里"))</f>
        <v/>
      </c>
      <c r="F532" s="24">
        <f>IF($D532="","",IFERROR(VLOOKUP($D532,物料档案!$A$4:$P$1203,4,0),"※编码不在物料档案里"))</f>
        <v/>
      </c>
      <c r="G532" s="24">
        <f>IF($D532="","",IFERROR(VLOOKUP($D532,物料档案!$A$4:$P$1203,5,0),"※编码不在物料档案里"))</f>
        <v/>
      </c>
      <c r="H532" s="24">
        <f>IF($D532="","",IFERROR(VLOOKUP($D532,物料档案!$A$4:$P$1203,2,0),"※编码不在物料档案里"))</f>
        <v/>
      </c>
      <c r="I532" s="24">
        <f>IF($D532="","",IFERROR(VLOOKUP($D532,物料档案!$A$4:$P$1203,6,0),"※编码不在物料档案里"))</f>
        <v/>
      </c>
      <c r="J532" s="23" t="n"/>
      <c r="K532" s="17" t="n"/>
      <c r="L532" s="17" t="n"/>
      <c r="M532" s="17" t="n"/>
      <c r="N532" s="17" t="n"/>
      <c r="O532" s="26">
        <f>IF($D532="","",IFERROR(VLOOKUP($D532,物料档案!$A$4:$P$1203,10,0),0))</f>
        <v/>
      </c>
      <c r="P532" s="32" t="n"/>
      <c r="Q532" s="26">
        <f>IF($D532="","",IF($K532&lt;&gt;"对外销售",0,ROUND(N($J532)*IF($P532="",N($O532),N($P532)),0)))</f>
        <v/>
      </c>
      <c r="R532" s="26">
        <f>IF($D532="","",IFERROR(VLOOKUP($D532,库存台账!$A$5:$Y$1204,11,0),0))</f>
        <v/>
      </c>
      <c r="S532" s="26">
        <f>IF($D532="","",ROUND(N($J532)*N($R532),0))</f>
        <v/>
      </c>
      <c r="T532" s="26">
        <f>IF($D532="","",IF($K532&lt;&gt;"对外销售","",ROUND($Q532-$S532,0)))</f>
        <v/>
      </c>
      <c r="U532" s="17" t="n"/>
      <c r="V532" s="17" t="n"/>
      <c r="W532" s="24">
        <f>IF($D532="","",IF($E532="※编码不在物料档案里","※物料编码不在档案里",IF(N($J532)&lt;=0,"※出库数量要大于 0",IF($K532="","※没填去向类型",IF($L532="","※没填去向矿区",IF(AND($C532&lt;&gt;"",$C532&lt;=结账锁),"※日期早于已结账截止日，不能再录",IF(AND($K532="自用消耗",COUNTIF({"一矿区";"二矿区"},$L532)=0),"※自用消耗的去向只能是一矿区或二矿区",IF(AND($K532="对外销售",COUNTIF({"三矿区";"六矿区"},$L532)=0),"※对外销售的去向只能是三矿区或六矿区",IF(AND($K532="对外销售",ROUND($Q532,0)=0),"※外销却没有售价，请填实际售价",IF(AND($K532="对外销售",$T532&lt;&gt;"",$T532&lt;0),"※这一笔外销是亏的，请核对售价",IF(IFERROR(VLOOKUP($D532,库存台账!$A$5:$Y$1204,24,0),0)&lt;-0.001,"※这个物料账面已经变成负数了，查一下是不是漏记入库","")))))))))))</f>
        <v/>
      </c>
    </row>
    <row r="533">
      <c r="A533" s="24">
        <f>IF($D533="","",COUNTA($D$4:$D533))</f>
        <v/>
      </c>
      <c r="B533" s="17" t="n"/>
      <c r="C533" s="30" t="n"/>
      <c r="D533" s="17" t="n"/>
      <c r="E533" s="24">
        <f>IF($D533="","",IFERROR(VLOOKUP($D533,物料档案!$A$4:$P$1203,3,0),"※编码不在物料档案里"))</f>
        <v/>
      </c>
      <c r="F533" s="24">
        <f>IF($D533="","",IFERROR(VLOOKUP($D533,物料档案!$A$4:$P$1203,4,0),"※编码不在物料档案里"))</f>
        <v/>
      </c>
      <c r="G533" s="24">
        <f>IF($D533="","",IFERROR(VLOOKUP($D533,物料档案!$A$4:$P$1203,5,0),"※编码不在物料档案里"))</f>
        <v/>
      </c>
      <c r="H533" s="24">
        <f>IF($D533="","",IFERROR(VLOOKUP($D533,物料档案!$A$4:$P$1203,2,0),"※编码不在物料档案里"))</f>
        <v/>
      </c>
      <c r="I533" s="24">
        <f>IF($D533="","",IFERROR(VLOOKUP($D533,物料档案!$A$4:$P$1203,6,0),"※编码不在物料档案里"))</f>
        <v/>
      </c>
      <c r="J533" s="23" t="n"/>
      <c r="K533" s="17" t="n"/>
      <c r="L533" s="17" t="n"/>
      <c r="M533" s="17" t="n"/>
      <c r="N533" s="17" t="n"/>
      <c r="O533" s="26">
        <f>IF($D533="","",IFERROR(VLOOKUP($D533,物料档案!$A$4:$P$1203,10,0),0))</f>
        <v/>
      </c>
      <c r="P533" s="32" t="n"/>
      <c r="Q533" s="26">
        <f>IF($D533="","",IF($K533&lt;&gt;"对外销售",0,ROUND(N($J533)*IF($P533="",N($O533),N($P533)),0)))</f>
        <v/>
      </c>
      <c r="R533" s="26">
        <f>IF($D533="","",IFERROR(VLOOKUP($D533,库存台账!$A$5:$Y$1204,11,0),0))</f>
        <v/>
      </c>
      <c r="S533" s="26">
        <f>IF($D533="","",ROUND(N($J533)*N($R533),0))</f>
        <v/>
      </c>
      <c r="T533" s="26">
        <f>IF($D533="","",IF($K533&lt;&gt;"对外销售","",ROUND($Q533-$S533,0)))</f>
        <v/>
      </c>
      <c r="U533" s="17" t="n"/>
      <c r="V533" s="17" t="n"/>
      <c r="W533" s="24">
        <f>IF($D533="","",IF($E533="※编码不在物料档案里","※物料编码不在档案里",IF(N($J533)&lt;=0,"※出库数量要大于 0",IF($K533="","※没填去向类型",IF($L533="","※没填去向矿区",IF(AND($C533&lt;&gt;"",$C533&lt;=结账锁),"※日期早于已结账截止日，不能再录",IF(AND($K533="自用消耗",COUNTIF({"一矿区";"二矿区"},$L533)=0),"※自用消耗的去向只能是一矿区或二矿区",IF(AND($K533="对外销售",COUNTIF({"三矿区";"六矿区"},$L533)=0),"※对外销售的去向只能是三矿区或六矿区",IF(AND($K533="对外销售",ROUND($Q533,0)=0),"※外销却没有售价，请填实际售价",IF(AND($K533="对外销售",$T533&lt;&gt;"",$T533&lt;0),"※这一笔外销是亏的，请核对售价",IF(IFERROR(VLOOKUP($D533,库存台账!$A$5:$Y$1204,24,0),0)&lt;-0.001,"※这个物料账面已经变成负数了，查一下是不是漏记入库","")))))))))))</f>
        <v/>
      </c>
    </row>
    <row r="534">
      <c r="A534" s="24">
        <f>IF($D534="","",COUNTA($D$4:$D534))</f>
        <v/>
      </c>
      <c r="B534" s="17" t="n"/>
      <c r="C534" s="30" t="n"/>
      <c r="D534" s="17" t="n"/>
      <c r="E534" s="24">
        <f>IF($D534="","",IFERROR(VLOOKUP($D534,物料档案!$A$4:$P$1203,3,0),"※编码不在物料档案里"))</f>
        <v/>
      </c>
      <c r="F534" s="24">
        <f>IF($D534="","",IFERROR(VLOOKUP($D534,物料档案!$A$4:$P$1203,4,0),"※编码不在物料档案里"))</f>
        <v/>
      </c>
      <c r="G534" s="24">
        <f>IF($D534="","",IFERROR(VLOOKUP($D534,物料档案!$A$4:$P$1203,5,0),"※编码不在物料档案里"))</f>
        <v/>
      </c>
      <c r="H534" s="24">
        <f>IF($D534="","",IFERROR(VLOOKUP($D534,物料档案!$A$4:$P$1203,2,0),"※编码不在物料档案里"))</f>
        <v/>
      </c>
      <c r="I534" s="24">
        <f>IF($D534="","",IFERROR(VLOOKUP($D534,物料档案!$A$4:$P$1203,6,0),"※编码不在物料档案里"))</f>
        <v/>
      </c>
      <c r="J534" s="23" t="n"/>
      <c r="K534" s="17" t="n"/>
      <c r="L534" s="17" t="n"/>
      <c r="M534" s="17" t="n"/>
      <c r="N534" s="17" t="n"/>
      <c r="O534" s="26">
        <f>IF($D534="","",IFERROR(VLOOKUP($D534,物料档案!$A$4:$P$1203,10,0),0))</f>
        <v/>
      </c>
      <c r="P534" s="32" t="n"/>
      <c r="Q534" s="26">
        <f>IF($D534="","",IF($K534&lt;&gt;"对外销售",0,ROUND(N($J534)*IF($P534="",N($O534),N($P534)),0)))</f>
        <v/>
      </c>
      <c r="R534" s="26">
        <f>IF($D534="","",IFERROR(VLOOKUP($D534,库存台账!$A$5:$Y$1204,11,0),0))</f>
        <v/>
      </c>
      <c r="S534" s="26">
        <f>IF($D534="","",ROUND(N($J534)*N($R534),0))</f>
        <v/>
      </c>
      <c r="T534" s="26">
        <f>IF($D534="","",IF($K534&lt;&gt;"对外销售","",ROUND($Q534-$S534,0)))</f>
        <v/>
      </c>
      <c r="U534" s="17" t="n"/>
      <c r="V534" s="17" t="n"/>
      <c r="W534" s="24">
        <f>IF($D534="","",IF($E534="※编码不在物料档案里","※物料编码不在档案里",IF(N($J534)&lt;=0,"※出库数量要大于 0",IF($K534="","※没填去向类型",IF($L534="","※没填去向矿区",IF(AND($C534&lt;&gt;"",$C534&lt;=结账锁),"※日期早于已结账截止日，不能再录",IF(AND($K534="自用消耗",COUNTIF({"一矿区";"二矿区"},$L534)=0),"※自用消耗的去向只能是一矿区或二矿区",IF(AND($K534="对外销售",COUNTIF({"三矿区";"六矿区"},$L534)=0),"※对外销售的去向只能是三矿区或六矿区",IF(AND($K534="对外销售",ROUND($Q534,0)=0),"※外销却没有售价，请填实际售价",IF(AND($K534="对外销售",$T534&lt;&gt;"",$T534&lt;0),"※这一笔外销是亏的，请核对售价",IF(IFERROR(VLOOKUP($D534,库存台账!$A$5:$Y$1204,24,0),0)&lt;-0.001,"※这个物料账面已经变成负数了，查一下是不是漏记入库","")))))))))))</f>
        <v/>
      </c>
    </row>
    <row r="535">
      <c r="A535" s="24">
        <f>IF($D535="","",COUNTA($D$4:$D535))</f>
        <v/>
      </c>
      <c r="B535" s="17" t="n"/>
      <c r="C535" s="30" t="n"/>
      <c r="D535" s="17" t="n"/>
      <c r="E535" s="24">
        <f>IF($D535="","",IFERROR(VLOOKUP($D535,物料档案!$A$4:$P$1203,3,0),"※编码不在物料档案里"))</f>
        <v/>
      </c>
      <c r="F535" s="24">
        <f>IF($D535="","",IFERROR(VLOOKUP($D535,物料档案!$A$4:$P$1203,4,0),"※编码不在物料档案里"))</f>
        <v/>
      </c>
      <c r="G535" s="24">
        <f>IF($D535="","",IFERROR(VLOOKUP($D535,物料档案!$A$4:$P$1203,5,0),"※编码不在物料档案里"))</f>
        <v/>
      </c>
      <c r="H535" s="24">
        <f>IF($D535="","",IFERROR(VLOOKUP($D535,物料档案!$A$4:$P$1203,2,0),"※编码不在物料档案里"))</f>
        <v/>
      </c>
      <c r="I535" s="24">
        <f>IF($D535="","",IFERROR(VLOOKUP($D535,物料档案!$A$4:$P$1203,6,0),"※编码不在物料档案里"))</f>
        <v/>
      </c>
      <c r="J535" s="23" t="n"/>
      <c r="K535" s="17" t="n"/>
      <c r="L535" s="17" t="n"/>
      <c r="M535" s="17" t="n"/>
      <c r="N535" s="17" t="n"/>
      <c r="O535" s="26">
        <f>IF($D535="","",IFERROR(VLOOKUP($D535,物料档案!$A$4:$P$1203,10,0),0))</f>
        <v/>
      </c>
      <c r="P535" s="32" t="n"/>
      <c r="Q535" s="26">
        <f>IF($D535="","",IF($K535&lt;&gt;"对外销售",0,ROUND(N($J535)*IF($P535="",N($O535),N($P535)),0)))</f>
        <v/>
      </c>
      <c r="R535" s="26">
        <f>IF($D535="","",IFERROR(VLOOKUP($D535,库存台账!$A$5:$Y$1204,11,0),0))</f>
        <v/>
      </c>
      <c r="S535" s="26">
        <f>IF($D535="","",ROUND(N($J535)*N($R535),0))</f>
        <v/>
      </c>
      <c r="T535" s="26">
        <f>IF($D535="","",IF($K535&lt;&gt;"对外销售","",ROUND($Q535-$S535,0)))</f>
        <v/>
      </c>
      <c r="U535" s="17" t="n"/>
      <c r="V535" s="17" t="n"/>
      <c r="W535" s="24">
        <f>IF($D535="","",IF($E535="※编码不在物料档案里","※物料编码不在档案里",IF(N($J535)&lt;=0,"※出库数量要大于 0",IF($K535="","※没填去向类型",IF($L535="","※没填去向矿区",IF(AND($C535&lt;&gt;"",$C535&lt;=结账锁),"※日期早于已结账截止日，不能再录",IF(AND($K535="自用消耗",COUNTIF({"一矿区";"二矿区"},$L535)=0),"※自用消耗的去向只能是一矿区或二矿区",IF(AND($K535="对外销售",COUNTIF({"三矿区";"六矿区"},$L535)=0),"※对外销售的去向只能是三矿区或六矿区",IF(AND($K535="对外销售",ROUND($Q535,0)=0),"※外销却没有售价，请填实际售价",IF(AND($K535="对外销售",$T535&lt;&gt;"",$T535&lt;0),"※这一笔外销是亏的，请核对售价",IF(IFERROR(VLOOKUP($D535,库存台账!$A$5:$Y$1204,24,0),0)&lt;-0.001,"※这个物料账面已经变成负数了，查一下是不是漏记入库","")))))))))))</f>
        <v/>
      </c>
    </row>
    <row r="536">
      <c r="A536" s="24">
        <f>IF($D536="","",COUNTA($D$4:$D536))</f>
        <v/>
      </c>
      <c r="B536" s="17" t="n"/>
      <c r="C536" s="30" t="n"/>
      <c r="D536" s="17" t="n"/>
      <c r="E536" s="24">
        <f>IF($D536="","",IFERROR(VLOOKUP($D536,物料档案!$A$4:$P$1203,3,0),"※编码不在物料档案里"))</f>
        <v/>
      </c>
      <c r="F536" s="24">
        <f>IF($D536="","",IFERROR(VLOOKUP($D536,物料档案!$A$4:$P$1203,4,0),"※编码不在物料档案里"))</f>
        <v/>
      </c>
      <c r="G536" s="24">
        <f>IF($D536="","",IFERROR(VLOOKUP($D536,物料档案!$A$4:$P$1203,5,0),"※编码不在物料档案里"))</f>
        <v/>
      </c>
      <c r="H536" s="24">
        <f>IF($D536="","",IFERROR(VLOOKUP($D536,物料档案!$A$4:$P$1203,2,0),"※编码不在物料档案里"))</f>
        <v/>
      </c>
      <c r="I536" s="24">
        <f>IF($D536="","",IFERROR(VLOOKUP($D536,物料档案!$A$4:$P$1203,6,0),"※编码不在物料档案里"))</f>
        <v/>
      </c>
      <c r="J536" s="23" t="n"/>
      <c r="K536" s="17" t="n"/>
      <c r="L536" s="17" t="n"/>
      <c r="M536" s="17" t="n"/>
      <c r="N536" s="17" t="n"/>
      <c r="O536" s="26">
        <f>IF($D536="","",IFERROR(VLOOKUP($D536,物料档案!$A$4:$P$1203,10,0),0))</f>
        <v/>
      </c>
      <c r="P536" s="32" t="n"/>
      <c r="Q536" s="26">
        <f>IF($D536="","",IF($K536&lt;&gt;"对外销售",0,ROUND(N($J536)*IF($P536="",N($O536),N($P536)),0)))</f>
        <v/>
      </c>
      <c r="R536" s="26">
        <f>IF($D536="","",IFERROR(VLOOKUP($D536,库存台账!$A$5:$Y$1204,11,0),0))</f>
        <v/>
      </c>
      <c r="S536" s="26">
        <f>IF($D536="","",ROUND(N($J536)*N($R536),0))</f>
        <v/>
      </c>
      <c r="T536" s="26">
        <f>IF($D536="","",IF($K536&lt;&gt;"对外销售","",ROUND($Q536-$S536,0)))</f>
        <v/>
      </c>
      <c r="U536" s="17" t="n"/>
      <c r="V536" s="17" t="n"/>
      <c r="W536" s="24">
        <f>IF($D536="","",IF($E536="※编码不在物料档案里","※物料编码不在档案里",IF(N($J536)&lt;=0,"※出库数量要大于 0",IF($K536="","※没填去向类型",IF($L536="","※没填去向矿区",IF(AND($C536&lt;&gt;"",$C536&lt;=结账锁),"※日期早于已结账截止日，不能再录",IF(AND($K536="自用消耗",COUNTIF({"一矿区";"二矿区"},$L536)=0),"※自用消耗的去向只能是一矿区或二矿区",IF(AND($K536="对外销售",COUNTIF({"三矿区";"六矿区"},$L536)=0),"※对外销售的去向只能是三矿区或六矿区",IF(AND($K536="对外销售",ROUND($Q536,0)=0),"※外销却没有售价，请填实际售价",IF(AND($K536="对外销售",$T536&lt;&gt;"",$T536&lt;0),"※这一笔外销是亏的，请核对售价",IF(IFERROR(VLOOKUP($D536,库存台账!$A$5:$Y$1204,24,0),0)&lt;-0.001,"※这个物料账面已经变成负数了，查一下是不是漏记入库","")))))))))))</f>
        <v/>
      </c>
    </row>
    <row r="537">
      <c r="A537" s="24">
        <f>IF($D537="","",COUNTA($D$4:$D537))</f>
        <v/>
      </c>
      <c r="B537" s="17" t="n"/>
      <c r="C537" s="30" t="n"/>
      <c r="D537" s="17" t="n"/>
      <c r="E537" s="24">
        <f>IF($D537="","",IFERROR(VLOOKUP($D537,物料档案!$A$4:$P$1203,3,0),"※编码不在物料档案里"))</f>
        <v/>
      </c>
      <c r="F537" s="24">
        <f>IF($D537="","",IFERROR(VLOOKUP($D537,物料档案!$A$4:$P$1203,4,0),"※编码不在物料档案里"))</f>
        <v/>
      </c>
      <c r="G537" s="24">
        <f>IF($D537="","",IFERROR(VLOOKUP($D537,物料档案!$A$4:$P$1203,5,0),"※编码不在物料档案里"))</f>
        <v/>
      </c>
      <c r="H537" s="24">
        <f>IF($D537="","",IFERROR(VLOOKUP($D537,物料档案!$A$4:$P$1203,2,0),"※编码不在物料档案里"))</f>
        <v/>
      </c>
      <c r="I537" s="24">
        <f>IF($D537="","",IFERROR(VLOOKUP($D537,物料档案!$A$4:$P$1203,6,0),"※编码不在物料档案里"))</f>
        <v/>
      </c>
      <c r="J537" s="23" t="n"/>
      <c r="K537" s="17" t="n"/>
      <c r="L537" s="17" t="n"/>
      <c r="M537" s="17" t="n"/>
      <c r="N537" s="17" t="n"/>
      <c r="O537" s="26">
        <f>IF($D537="","",IFERROR(VLOOKUP($D537,物料档案!$A$4:$P$1203,10,0),0))</f>
        <v/>
      </c>
      <c r="P537" s="32" t="n"/>
      <c r="Q537" s="26">
        <f>IF($D537="","",IF($K537&lt;&gt;"对外销售",0,ROUND(N($J537)*IF($P537="",N($O537),N($P537)),0)))</f>
        <v/>
      </c>
      <c r="R537" s="26">
        <f>IF($D537="","",IFERROR(VLOOKUP($D537,库存台账!$A$5:$Y$1204,11,0),0))</f>
        <v/>
      </c>
      <c r="S537" s="26">
        <f>IF($D537="","",ROUND(N($J537)*N($R537),0))</f>
        <v/>
      </c>
      <c r="T537" s="26">
        <f>IF($D537="","",IF($K537&lt;&gt;"对外销售","",ROUND($Q537-$S537,0)))</f>
        <v/>
      </c>
      <c r="U537" s="17" t="n"/>
      <c r="V537" s="17" t="n"/>
      <c r="W537" s="24">
        <f>IF($D537="","",IF($E537="※编码不在物料档案里","※物料编码不在档案里",IF(N($J537)&lt;=0,"※出库数量要大于 0",IF($K537="","※没填去向类型",IF($L537="","※没填去向矿区",IF(AND($C537&lt;&gt;"",$C537&lt;=结账锁),"※日期早于已结账截止日，不能再录",IF(AND($K537="自用消耗",COUNTIF({"一矿区";"二矿区"},$L537)=0),"※自用消耗的去向只能是一矿区或二矿区",IF(AND($K537="对外销售",COUNTIF({"三矿区";"六矿区"},$L537)=0),"※对外销售的去向只能是三矿区或六矿区",IF(AND($K537="对外销售",ROUND($Q537,0)=0),"※外销却没有售价，请填实际售价",IF(AND($K537="对外销售",$T537&lt;&gt;"",$T537&lt;0),"※这一笔外销是亏的，请核对售价",IF(IFERROR(VLOOKUP($D537,库存台账!$A$5:$Y$1204,24,0),0)&lt;-0.001,"※这个物料账面已经变成负数了，查一下是不是漏记入库","")))))))))))</f>
        <v/>
      </c>
    </row>
    <row r="538">
      <c r="A538" s="24">
        <f>IF($D538="","",COUNTA($D$4:$D538))</f>
        <v/>
      </c>
      <c r="B538" s="17" t="n"/>
      <c r="C538" s="30" t="n"/>
      <c r="D538" s="17" t="n"/>
      <c r="E538" s="24">
        <f>IF($D538="","",IFERROR(VLOOKUP($D538,物料档案!$A$4:$P$1203,3,0),"※编码不在物料档案里"))</f>
        <v/>
      </c>
      <c r="F538" s="24">
        <f>IF($D538="","",IFERROR(VLOOKUP($D538,物料档案!$A$4:$P$1203,4,0),"※编码不在物料档案里"))</f>
        <v/>
      </c>
      <c r="G538" s="24">
        <f>IF($D538="","",IFERROR(VLOOKUP($D538,物料档案!$A$4:$P$1203,5,0),"※编码不在物料档案里"))</f>
        <v/>
      </c>
      <c r="H538" s="24">
        <f>IF($D538="","",IFERROR(VLOOKUP($D538,物料档案!$A$4:$P$1203,2,0),"※编码不在物料档案里"))</f>
        <v/>
      </c>
      <c r="I538" s="24">
        <f>IF($D538="","",IFERROR(VLOOKUP($D538,物料档案!$A$4:$P$1203,6,0),"※编码不在物料档案里"))</f>
        <v/>
      </c>
      <c r="J538" s="23" t="n"/>
      <c r="K538" s="17" t="n"/>
      <c r="L538" s="17" t="n"/>
      <c r="M538" s="17" t="n"/>
      <c r="N538" s="17" t="n"/>
      <c r="O538" s="26">
        <f>IF($D538="","",IFERROR(VLOOKUP($D538,物料档案!$A$4:$P$1203,10,0),0))</f>
        <v/>
      </c>
      <c r="P538" s="32" t="n"/>
      <c r="Q538" s="26">
        <f>IF($D538="","",IF($K538&lt;&gt;"对外销售",0,ROUND(N($J538)*IF($P538="",N($O538),N($P538)),0)))</f>
        <v/>
      </c>
      <c r="R538" s="26">
        <f>IF($D538="","",IFERROR(VLOOKUP($D538,库存台账!$A$5:$Y$1204,11,0),0))</f>
        <v/>
      </c>
      <c r="S538" s="26">
        <f>IF($D538="","",ROUND(N($J538)*N($R538),0))</f>
        <v/>
      </c>
      <c r="T538" s="26">
        <f>IF($D538="","",IF($K538&lt;&gt;"对外销售","",ROUND($Q538-$S538,0)))</f>
        <v/>
      </c>
      <c r="U538" s="17" t="n"/>
      <c r="V538" s="17" t="n"/>
      <c r="W538" s="24">
        <f>IF($D538="","",IF($E538="※编码不在物料档案里","※物料编码不在档案里",IF(N($J538)&lt;=0,"※出库数量要大于 0",IF($K538="","※没填去向类型",IF($L538="","※没填去向矿区",IF(AND($C538&lt;&gt;"",$C538&lt;=结账锁),"※日期早于已结账截止日，不能再录",IF(AND($K538="自用消耗",COUNTIF({"一矿区";"二矿区"},$L538)=0),"※自用消耗的去向只能是一矿区或二矿区",IF(AND($K538="对外销售",COUNTIF({"三矿区";"六矿区"},$L538)=0),"※对外销售的去向只能是三矿区或六矿区",IF(AND($K538="对外销售",ROUND($Q538,0)=0),"※外销却没有售价，请填实际售价",IF(AND($K538="对外销售",$T538&lt;&gt;"",$T538&lt;0),"※这一笔外销是亏的，请核对售价",IF(IFERROR(VLOOKUP($D538,库存台账!$A$5:$Y$1204,24,0),0)&lt;-0.001,"※这个物料账面已经变成负数了，查一下是不是漏记入库","")))))))))))</f>
        <v/>
      </c>
    </row>
    <row r="539">
      <c r="A539" s="24">
        <f>IF($D539="","",COUNTA($D$4:$D539))</f>
        <v/>
      </c>
      <c r="B539" s="17" t="n"/>
      <c r="C539" s="30" t="n"/>
      <c r="D539" s="17" t="n"/>
      <c r="E539" s="24">
        <f>IF($D539="","",IFERROR(VLOOKUP($D539,物料档案!$A$4:$P$1203,3,0),"※编码不在物料档案里"))</f>
        <v/>
      </c>
      <c r="F539" s="24">
        <f>IF($D539="","",IFERROR(VLOOKUP($D539,物料档案!$A$4:$P$1203,4,0),"※编码不在物料档案里"))</f>
        <v/>
      </c>
      <c r="G539" s="24">
        <f>IF($D539="","",IFERROR(VLOOKUP($D539,物料档案!$A$4:$P$1203,5,0),"※编码不在物料档案里"))</f>
        <v/>
      </c>
      <c r="H539" s="24">
        <f>IF($D539="","",IFERROR(VLOOKUP($D539,物料档案!$A$4:$P$1203,2,0),"※编码不在物料档案里"))</f>
        <v/>
      </c>
      <c r="I539" s="24">
        <f>IF($D539="","",IFERROR(VLOOKUP($D539,物料档案!$A$4:$P$1203,6,0),"※编码不在物料档案里"))</f>
        <v/>
      </c>
      <c r="J539" s="23" t="n"/>
      <c r="K539" s="17" t="n"/>
      <c r="L539" s="17" t="n"/>
      <c r="M539" s="17" t="n"/>
      <c r="N539" s="17" t="n"/>
      <c r="O539" s="26">
        <f>IF($D539="","",IFERROR(VLOOKUP($D539,物料档案!$A$4:$P$1203,10,0),0))</f>
        <v/>
      </c>
      <c r="P539" s="32" t="n"/>
      <c r="Q539" s="26">
        <f>IF($D539="","",IF($K539&lt;&gt;"对外销售",0,ROUND(N($J539)*IF($P539="",N($O539),N($P539)),0)))</f>
        <v/>
      </c>
      <c r="R539" s="26">
        <f>IF($D539="","",IFERROR(VLOOKUP($D539,库存台账!$A$5:$Y$1204,11,0),0))</f>
        <v/>
      </c>
      <c r="S539" s="26">
        <f>IF($D539="","",ROUND(N($J539)*N($R539),0))</f>
        <v/>
      </c>
      <c r="T539" s="26">
        <f>IF($D539="","",IF($K539&lt;&gt;"对外销售","",ROUND($Q539-$S539,0)))</f>
        <v/>
      </c>
      <c r="U539" s="17" t="n"/>
      <c r="V539" s="17" t="n"/>
      <c r="W539" s="24">
        <f>IF($D539="","",IF($E539="※编码不在物料档案里","※物料编码不在档案里",IF(N($J539)&lt;=0,"※出库数量要大于 0",IF($K539="","※没填去向类型",IF($L539="","※没填去向矿区",IF(AND($C539&lt;&gt;"",$C539&lt;=结账锁),"※日期早于已结账截止日，不能再录",IF(AND($K539="自用消耗",COUNTIF({"一矿区";"二矿区"},$L539)=0),"※自用消耗的去向只能是一矿区或二矿区",IF(AND($K539="对外销售",COUNTIF({"三矿区";"六矿区"},$L539)=0),"※对外销售的去向只能是三矿区或六矿区",IF(AND($K539="对外销售",ROUND($Q539,0)=0),"※外销却没有售价，请填实际售价",IF(AND($K539="对外销售",$T539&lt;&gt;"",$T539&lt;0),"※这一笔外销是亏的，请核对售价",IF(IFERROR(VLOOKUP($D539,库存台账!$A$5:$Y$1204,24,0),0)&lt;-0.001,"※这个物料账面已经变成负数了，查一下是不是漏记入库","")))))))))))</f>
        <v/>
      </c>
    </row>
    <row r="540">
      <c r="A540" s="24">
        <f>IF($D540="","",COUNTA($D$4:$D540))</f>
        <v/>
      </c>
      <c r="B540" s="17" t="n"/>
      <c r="C540" s="30" t="n"/>
      <c r="D540" s="17" t="n"/>
      <c r="E540" s="24">
        <f>IF($D540="","",IFERROR(VLOOKUP($D540,物料档案!$A$4:$P$1203,3,0),"※编码不在物料档案里"))</f>
        <v/>
      </c>
      <c r="F540" s="24">
        <f>IF($D540="","",IFERROR(VLOOKUP($D540,物料档案!$A$4:$P$1203,4,0),"※编码不在物料档案里"))</f>
        <v/>
      </c>
      <c r="G540" s="24">
        <f>IF($D540="","",IFERROR(VLOOKUP($D540,物料档案!$A$4:$P$1203,5,0),"※编码不在物料档案里"))</f>
        <v/>
      </c>
      <c r="H540" s="24">
        <f>IF($D540="","",IFERROR(VLOOKUP($D540,物料档案!$A$4:$P$1203,2,0),"※编码不在物料档案里"))</f>
        <v/>
      </c>
      <c r="I540" s="24">
        <f>IF($D540="","",IFERROR(VLOOKUP($D540,物料档案!$A$4:$P$1203,6,0),"※编码不在物料档案里"))</f>
        <v/>
      </c>
      <c r="J540" s="23" t="n"/>
      <c r="K540" s="17" t="n"/>
      <c r="L540" s="17" t="n"/>
      <c r="M540" s="17" t="n"/>
      <c r="N540" s="17" t="n"/>
      <c r="O540" s="26">
        <f>IF($D540="","",IFERROR(VLOOKUP($D540,物料档案!$A$4:$P$1203,10,0),0))</f>
        <v/>
      </c>
      <c r="P540" s="32" t="n"/>
      <c r="Q540" s="26">
        <f>IF($D540="","",IF($K540&lt;&gt;"对外销售",0,ROUND(N($J540)*IF($P540="",N($O540),N($P540)),0)))</f>
        <v/>
      </c>
      <c r="R540" s="26">
        <f>IF($D540="","",IFERROR(VLOOKUP($D540,库存台账!$A$5:$Y$1204,11,0),0))</f>
        <v/>
      </c>
      <c r="S540" s="26">
        <f>IF($D540="","",ROUND(N($J540)*N($R540),0))</f>
        <v/>
      </c>
      <c r="T540" s="26">
        <f>IF($D540="","",IF($K540&lt;&gt;"对外销售","",ROUND($Q540-$S540,0)))</f>
        <v/>
      </c>
      <c r="U540" s="17" t="n"/>
      <c r="V540" s="17" t="n"/>
      <c r="W540" s="24">
        <f>IF($D540="","",IF($E540="※编码不在物料档案里","※物料编码不在档案里",IF(N($J540)&lt;=0,"※出库数量要大于 0",IF($K540="","※没填去向类型",IF($L540="","※没填去向矿区",IF(AND($C540&lt;&gt;"",$C540&lt;=结账锁),"※日期早于已结账截止日，不能再录",IF(AND($K540="自用消耗",COUNTIF({"一矿区";"二矿区"},$L540)=0),"※自用消耗的去向只能是一矿区或二矿区",IF(AND($K540="对外销售",COUNTIF({"三矿区";"六矿区"},$L540)=0),"※对外销售的去向只能是三矿区或六矿区",IF(AND($K540="对外销售",ROUND($Q540,0)=0),"※外销却没有售价，请填实际售价",IF(AND($K540="对外销售",$T540&lt;&gt;"",$T540&lt;0),"※这一笔外销是亏的，请核对售价",IF(IFERROR(VLOOKUP($D540,库存台账!$A$5:$Y$1204,24,0),0)&lt;-0.001,"※这个物料账面已经变成负数了，查一下是不是漏记入库","")))))))))))</f>
        <v/>
      </c>
    </row>
    <row r="541">
      <c r="A541" s="24">
        <f>IF($D541="","",COUNTA($D$4:$D541))</f>
        <v/>
      </c>
      <c r="B541" s="17" t="n"/>
      <c r="C541" s="30" t="n"/>
      <c r="D541" s="17" t="n"/>
      <c r="E541" s="24">
        <f>IF($D541="","",IFERROR(VLOOKUP($D541,物料档案!$A$4:$P$1203,3,0),"※编码不在物料档案里"))</f>
        <v/>
      </c>
      <c r="F541" s="24">
        <f>IF($D541="","",IFERROR(VLOOKUP($D541,物料档案!$A$4:$P$1203,4,0),"※编码不在物料档案里"))</f>
        <v/>
      </c>
      <c r="G541" s="24">
        <f>IF($D541="","",IFERROR(VLOOKUP($D541,物料档案!$A$4:$P$1203,5,0),"※编码不在物料档案里"))</f>
        <v/>
      </c>
      <c r="H541" s="24">
        <f>IF($D541="","",IFERROR(VLOOKUP($D541,物料档案!$A$4:$P$1203,2,0),"※编码不在物料档案里"))</f>
        <v/>
      </c>
      <c r="I541" s="24">
        <f>IF($D541="","",IFERROR(VLOOKUP($D541,物料档案!$A$4:$P$1203,6,0),"※编码不在物料档案里"))</f>
        <v/>
      </c>
      <c r="J541" s="23" t="n"/>
      <c r="K541" s="17" t="n"/>
      <c r="L541" s="17" t="n"/>
      <c r="M541" s="17" t="n"/>
      <c r="N541" s="17" t="n"/>
      <c r="O541" s="26">
        <f>IF($D541="","",IFERROR(VLOOKUP($D541,物料档案!$A$4:$P$1203,10,0),0))</f>
        <v/>
      </c>
      <c r="P541" s="32" t="n"/>
      <c r="Q541" s="26">
        <f>IF($D541="","",IF($K541&lt;&gt;"对外销售",0,ROUND(N($J541)*IF($P541="",N($O541),N($P541)),0)))</f>
        <v/>
      </c>
      <c r="R541" s="26">
        <f>IF($D541="","",IFERROR(VLOOKUP($D541,库存台账!$A$5:$Y$1204,11,0),0))</f>
        <v/>
      </c>
      <c r="S541" s="26">
        <f>IF($D541="","",ROUND(N($J541)*N($R541),0))</f>
        <v/>
      </c>
      <c r="T541" s="26">
        <f>IF($D541="","",IF($K541&lt;&gt;"对外销售","",ROUND($Q541-$S541,0)))</f>
        <v/>
      </c>
      <c r="U541" s="17" t="n"/>
      <c r="V541" s="17" t="n"/>
      <c r="W541" s="24">
        <f>IF($D541="","",IF($E541="※编码不在物料档案里","※物料编码不在档案里",IF(N($J541)&lt;=0,"※出库数量要大于 0",IF($K541="","※没填去向类型",IF($L541="","※没填去向矿区",IF(AND($C541&lt;&gt;"",$C541&lt;=结账锁),"※日期早于已结账截止日，不能再录",IF(AND($K541="自用消耗",COUNTIF({"一矿区";"二矿区"},$L541)=0),"※自用消耗的去向只能是一矿区或二矿区",IF(AND($K541="对外销售",COUNTIF({"三矿区";"六矿区"},$L541)=0),"※对外销售的去向只能是三矿区或六矿区",IF(AND($K541="对外销售",ROUND($Q541,0)=0),"※外销却没有售价，请填实际售价",IF(AND($K541="对外销售",$T541&lt;&gt;"",$T541&lt;0),"※这一笔外销是亏的，请核对售价",IF(IFERROR(VLOOKUP($D541,库存台账!$A$5:$Y$1204,24,0),0)&lt;-0.001,"※这个物料账面已经变成负数了，查一下是不是漏记入库","")))))))))))</f>
        <v/>
      </c>
    </row>
    <row r="542">
      <c r="A542" s="24">
        <f>IF($D542="","",COUNTA($D$4:$D542))</f>
        <v/>
      </c>
      <c r="B542" s="17" t="n"/>
      <c r="C542" s="30" t="n"/>
      <c r="D542" s="17" t="n"/>
      <c r="E542" s="24">
        <f>IF($D542="","",IFERROR(VLOOKUP($D542,物料档案!$A$4:$P$1203,3,0),"※编码不在物料档案里"))</f>
        <v/>
      </c>
      <c r="F542" s="24">
        <f>IF($D542="","",IFERROR(VLOOKUP($D542,物料档案!$A$4:$P$1203,4,0),"※编码不在物料档案里"))</f>
        <v/>
      </c>
      <c r="G542" s="24">
        <f>IF($D542="","",IFERROR(VLOOKUP($D542,物料档案!$A$4:$P$1203,5,0),"※编码不在物料档案里"))</f>
        <v/>
      </c>
      <c r="H542" s="24">
        <f>IF($D542="","",IFERROR(VLOOKUP($D542,物料档案!$A$4:$P$1203,2,0),"※编码不在物料档案里"))</f>
        <v/>
      </c>
      <c r="I542" s="24">
        <f>IF($D542="","",IFERROR(VLOOKUP($D542,物料档案!$A$4:$P$1203,6,0),"※编码不在物料档案里"))</f>
        <v/>
      </c>
      <c r="J542" s="23" t="n"/>
      <c r="K542" s="17" t="n"/>
      <c r="L542" s="17" t="n"/>
      <c r="M542" s="17" t="n"/>
      <c r="N542" s="17" t="n"/>
      <c r="O542" s="26">
        <f>IF($D542="","",IFERROR(VLOOKUP($D542,物料档案!$A$4:$P$1203,10,0),0))</f>
        <v/>
      </c>
      <c r="P542" s="32" t="n"/>
      <c r="Q542" s="26">
        <f>IF($D542="","",IF($K542&lt;&gt;"对外销售",0,ROUND(N($J542)*IF($P542="",N($O542),N($P542)),0)))</f>
        <v/>
      </c>
      <c r="R542" s="26">
        <f>IF($D542="","",IFERROR(VLOOKUP($D542,库存台账!$A$5:$Y$1204,11,0),0))</f>
        <v/>
      </c>
      <c r="S542" s="26">
        <f>IF($D542="","",ROUND(N($J542)*N($R542),0))</f>
        <v/>
      </c>
      <c r="T542" s="26">
        <f>IF($D542="","",IF($K542&lt;&gt;"对外销售","",ROUND($Q542-$S542,0)))</f>
        <v/>
      </c>
      <c r="U542" s="17" t="n"/>
      <c r="V542" s="17" t="n"/>
      <c r="W542" s="24">
        <f>IF($D542="","",IF($E542="※编码不在物料档案里","※物料编码不在档案里",IF(N($J542)&lt;=0,"※出库数量要大于 0",IF($K542="","※没填去向类型",IF($L542="","※没填去向矿区",IF(AND($C542&lt;&gt;"",$C542&lt;=结账锁),"※日期早于已结账截止日，不能再录",IF(AND($K542="自用消耗",COUNTIF({"一矿区";"二矿区"},$L542)=0),"※自用消耗的去向只能是一矿区或二矿区",IF(AND($K542="对外销售",COUNTIF({"三矿区";"六矿区"},$L542)=0),"※对外销售的去向只能是三矿区或六矿区",IF(AND($K542="对外销售",ROUND($Q542,0)=0),"※外销却没有售价，请填实际售价",IF(AND($K542="对外销售",$T542&lt;&gt;"",$T542&lt;0),"※这一笔外销是亏的，请核对售价",IF(IFERROR(VLOOKUP($D542,库存台账!$A$5:$Y$1204,24,0),0)&lt;-0.001,"※这个物料账面已经变成负数了，查一下是不是漏记入库","")))))))))))</f>
        <v/>
      </c>
    </row>
    <row r="543">
      <c r="A543" s="24">
        <f>IF($D543="","",COUNTA($D$4:$D543))</f>
        <v/>
      </c>
      <c r="B543" s="17" t="n"/>
      <c r="C543" s="30" t="n"/>
      <c r="D543" s="17" t="n"/>
      <c r="E543" s="24">
        <f>IF($D543="","",IFERROR(VLOOKUP($D543,物料档案!$A$4:$P$1203,3,0),"※编码不在物料档案里"))</f>
        <v/>
      </c>
      <c r="F543" s="24">
        <f>IF($D543="","",IFERROR(VLOOKUP($D543,物料档案!$A$4:$P$1203,4,0),"※编码不在物料档案里"))</f>
        <v/>
      </c>
      <c r="G543" s="24">
        <f>IF($D543="","",IFERROR(VLOOKUP($D543,物料档案!$A$4:$P$1203,5,0),"※编码不在物料档案里"))</f>
        <v/>
      </c>
      <c r="H543" s="24">
        <f>IF($D543="","",IFERROR(VLOOKUP($D543,物料档案!$A$4:$P$1203,2,0),"※编码不在物料档案里"))</f>
        <v/>
      </c>
      <c r="I543" s="24">
        <f>IF($D543="","",IFERROR(VLOOKUP($D543,物料档案!$A$4:$P$1203,6,0),"※编码不在物料档案里"))</f>
        <v/>
      </c>
      <c r="J543" s="23" t="n"/>
      <c r="K543" s="17" t="n"/>
      <c r="L543" s="17" t="n"/>
      <c r="M543" s="17" t="n"/>
      <c r="N543" s="17" t="n"/>
      <c r="O543" s="26">
        <f>IF($D543="","",IFERROR(VLOOKUP($D543,物料档案!$A$4:$P$1203,10,0),0))</f>
        <v/>
      </c>
      <c r="P543" s="32" t="n"/>
      <c r="Q543" s="26">
        <f>IF($D543="","",IF($K543&lt;&gt;"对外销售",0,ROUND(N($J543)*IF($P543="",N($O543),N($P543)),0)))</f>
        <v/>
      </c>
      <c r="R543" s="26">
        <f>IF($D543="","",IFERROR(VLOOKUP($D543,库存台账!$A$5:$Y$1204,11,0),0))</f>
        <v/>
      </c>
      <c r="S543" s="26">
        <f>IF($D543="","",ROUND(N($J543)*N($R543),0))</f>
        <v/>
      </c>
      <c r="T543" s="26">
        <f>IF($D543="","",IF($K543&lt;&gt;"对外销售","",ROUND($Q543-$S543,0)))</f>
        <v/>
      </c>
      <c r="U543" s="17" t="n"/>
      <c r="V543" s="17" t="n"/>
      <c r="W543" s="24">
        <f>IF($D543="","",IF($E543="※编码不在物料档案里","※物料编码不在档案里",IF(N($J543)&lt;=0,"※出库数量要大于 0",IF($K543="","※没填去向类型",IF($L543="","※没填去向矿区",IF(AND($C543&lt;&gt;"",$C543&lt;=结账锁),"※日期早于已结账截止日，不能再录",IF(AND($K543="自用消耗",COUNTIF({"一矿区";"二矿区"},$L543)=0),"※自用消耗的去向只能是一矿区或二矿区",IF(AND($K543="对外销售",COUNTIF({"三矿区";"六矿区"},$L543)=0),"※对外销售的去向只能是三矿区或六矿区",IF(AND($K543="对外销售",ROUND($Q543,0)=0),"※外销却没有售价，请填实际售价",IF(AND($K543="对外销售",$T543&lt;&gt;"",$T543&lt;0),"※这一笔外销是亏的，请核对售价",IF(IFERROR(VLOOKUP($D543,库存台账!$A$5:$Y$1204,24,0),0)&lt;-0.001,"※这个物料账面已经变成负数了，查一下是不是漏记入库","")))))))))))</f>
        <v/>
      </c>
    </row>
    <row r="544">
      <c r="A544" s="24">
        <f>IF($D544="","",COUNTA($D$4:$D544))</f>
        <v/>
      </c>
      <c r="B544" s="17" t="n"/>
      <c r="C544" s="30" t="n"/>
      <c r="D544" s="17" t="n"/>
      <c r="E544" s="24">
        <f>IF($D544="","",IFERROR(VLOOKUP($D544,物料档案!$A$4:$P$1203,3,0),"※编码不在物料档案里"))</f>
        <v/>
      </c>
      <c r="F544" s="24">
        <f>IF($D544="","",IFERROR(VLOOKUP($D544,物料档案!$A$4:$P$1203,4,0),"※编码不在物料档案里"))</f>
        <v/>
      </c>
      <c r="G544" s="24">
        <f>IF($D544="","",IFERROR(VLOOKUP($D544,物料档案!$A$4:$P$1203,5,0),"※编码不在物料档案里"))</f>
        <v/>
      </c>
      <c r="H544" s="24">
        <f>IF($D544="","",IFERROR(VLOOKUP($D544,物料档案!$A$4:$P$1203,2,0),"※编码不在物料档案里"))</f>
        <v/>
      </c>
      <c r="I544" s="24">
        <f>IF($D544="","",IFERROR(VLOOKUP($D544,物料档案!$A$4:$P$1203,6,0),"※编码不在物料档案里"))</f>
        <v/>
      </c>
      <c r="J544" s="23" t="n"/>
      <c r="K544" s="17" t="n"/>
      <c r="L544" s="17" t="n"/>
      <c r="M544" s="17" t="n"/>
      <c r="N544" s="17" t="n"/>
      <c r="O544" s="26">
        <f>IF($D544="","",IFERROR(VLOOKUP($D544,物料档案!$A$4:$P$1203,10,0),0))</f>
        <v/>
      </c>
      <c r="P544" s="32" t="n"/>
      <c r="Q544" s="26">
        <f>IF($D544="","",IF($K544&lt;&gt;"对外销售",0,ROUND(N($J544)*IF($P544="",N($O544),N($P544)),0)))</f>
        <v/>
      </c>
      <c r="R544" s="26">
        <f>IF($D544="","",IFERROR(VLOOKUP($D544,库存台账!$A$5:$Y$1204,11,0),0))</f>
        <v/>
      </c>
      <c r="S544" s="26">
        <f>IF($D544="","",ROUND(N($J544)*N($R544),0))</f>
        <v/>
      </c>
      <c r="T544" s="26">
        <f>IF($D544="","",IF($K544&lt;&gt;"对外销售","",ROUND($Q544-$S544,0)))</f>
        <v/>
      </c>
      <c r="U544" s="17" t="n"/>
      <c r="V544" s="17" t="n"/>
      <c r="W544" s="24">
        <f>IF($D544="","",IF($E544="※编码不在物料档案里","※物料编码不在档案里",IF(N($J544)&lt;=0,"※出库数量要大于 0",IF($K544="","※没填去向类型",IF($L544="","※没填去向矿区",IF(AND($C544&lt;&gt;"",$C544&lt;=结账锁),"※日期早于已结账截止日，不能再录",IF(AND($K544="自用消耗",COUNTIF({"一矿区";"二矿区"},$L544)=0),"※自用消耗的去向只能是一矿区或二矿区",IF(AND($K544="对外销售",COUNTIF({"三矿区";"六矿区"},$L544)=0),"※对外销售的去向只能是三矿区或六矿区",IF(AND($K544="对外销售",ROUND($Q544,0)=0),"※外销却没有售价，请填实际售价",IF(AND($K544="对外销售",$T544&lt;&gt;"",$T544&lt;0),"※这一笔外销是亏的，请核对售价",IF(IFERROR(VLOOKUP($D544,库存台账!$A$5:$Y$1204,24,0),0)&lt;-0.001,"※这个物料账面已经变成负数了，查一下是不是漏记入库","")))))))))))</f>
        <v/>
      </c>
    </row>
    <row r="545">
      <c r="A545" s="24">
        <f>IF($D545="","",COUNTA($D$4:$D545))</f>
        <v/>
      </c>
      <c r="B545" s="17" t="n"/>
      <c r="C545" s="30" t="n"/>
      <c r="D545" s="17" t="n"/>
      <c r="E545" s="24">
        <f>IF($D545="","",IFERROR(VLOOKUP($D545,物料档案!$A$4:$P$1203,3,0),"※编码不在物料档案里"))</f>
        <v/>
      </c>
      <c r="F545" s="24">
        <f>IF($D545="","",IFERROR(VLOOKUP($D545,物料档案!$A$4:$P$1203,4,0),"※编码不在物料档案里"))</f>
        <v/>
      </c>
      <c r="G545" s="24">
        <f>IF($D545="","",IFERROR(VLOOKUP($D545,物料档案!$A$4:$P$1203,5,0),"※编码不在物料档案里"))</f>
        <v/>
      </c>
      <c r="H545" s="24">
        <f>IF($D545="","",IFERROR(VLOOKUP($D545,物料档案!$A$4:$P$1203,2,0),"※编码不在物料档案里"))</f>
        <v/>
      </c>
      <c r="I545" s="24">
        <f>IF($D545="","",IFERROR(VLOOKUP($D545,物料档案!$A$4:$P$1203,6,0),"※编码不在物料档案里"))</f>
        <v/>
      </c>
      <c r="J545" s="23" t="n"/>
      <c r="K545" s="17" t="n"/>
      <c r="L545" s="17" t="n"/>
      <c r="M545" s="17" t="n"/>
      <c r="N545" s="17" t="n"/>
      <c r="O545" s="26">
        <f>IF($D545="","",IFERROR(VLOOKUP($D545,物料档案!$A$4:$P$1203,10,0),0))</f>
        <v/>
      </c>
      <c r="P545" s="32" t="n"/>
      <c r="Q545" s="26">
        <f>IF($D545="","",IF($K545&lt;&gt;"对外销售",0,ROUND(N($J545)*IF($P545="",N($O545),N($P545)),0)))</f>
        <v/>
      </c>
      <c r="R545" s="26">
        <f>IF($D545="","",IFERROR(VLOOKUP($D545,库存台账!$A$5:$Y$1204,11,0),0))</f>
        <v/>
      </c>
      <c r="S545" s="26">
        <f>IF($D545="","",ROUND(N($J545)*N($R545),0))</f>
        <v/>
      </c>
      <c r="T545" s="26">
        <f>IF($D545="","",IF($K545&lt;&gt;"对外销售","",ROUND($Q545-$S545,0)))</f>
        <v/>
      </c>
      <c r="U545" s="17" t="n"/>
      <c r="V545" s="17" t="n"/>
      <c r="W545" s="24">
        <f>IF($D545="","",IF($E545="※编码不在物料档案里","※物料编码不在档案里",IF(N($J545)&lt;=0,"※出库数量要大于 0",IF($K545="","※没填去向类型",IF($L545="","※没填去向矿区",IF(AND($C545&lt;&gt;"",$C545&lt;=结账锁),"※日期早于已结账截止日，不能再录",IF(AND($K545="自用消耗",COUNTIF({"一矿区";"二矿区"},$L545)=0),"※自用消耗的去向只能是一矿区或二矿区",IF(AND($K545="对外销售",COUNTIF({"三矿区";"六矿区"},$L545)=0),"※对外销售的去向只能是三矿区或六矿区",IF(AND($K545="对外销售",ROUND($Q545,0)=0),"※外销却没有售价，请填实际售价",IF(AND($K545="对外销售",$T545&lt;&gt;"",$T545&lt;0),"※这一笔外销是亏的，请核对售价",IF(IFERROR(VLOOKUP($D545,库存台账!$A$5:$Y$1204,24,0),0)&lt;-0.001,"※这个物料账面已经变成负数了，查一下是不是漏记入库","")))))))))))</f>
        <v/>
      </c>
    </row>
    <row r="546">
      <c r="A546" s="24">
        <f>IF($D546="","",COUNTA($D$4:$D546))</f>
        <v/>
      </c>
      <c r="B546" s="17" t="n"/>
      <c r="C546" s="30" t="n"/>
      <c r="D546" s="17" t="n"/>
      <c r="E546" s="24">
        <f>IF($D546="","",IFERROR(VLOOKUP($D546,物料档案!$A$4:$P$1203,3,0),"※编码不在物料档案里"))</f>
        <v/>
      </c>
      <c r="F546" s="24">
        <f>IF($D546="","",IFERROR(VLOOKUP($D546,物料档案!$A$4:$P$1203,4,0),"※编码不在物料档案里"))</f>
        <v/>
      </c>
      <c r="G546" s="24">
        <f>IF($D546="","",IFERROR(VLOOKUP($D546,物料档案!$A$4:$P$1203,5,0),"※编码不在物料档案里"))</f>
        <v/>
      </c>
      <c r="H546" s="24">
        <f>IF($D546="","",IFERROR(VLOOKUP($D546,物料档案!$A$4:$P$1203,2,0),"※编码不在物料档案里"))</f>
        <v/>
      </c>
      <c r="I546" s="24">
        <f>IF($D546="","",IFERROR(VLOOKUP($D546,物料档案!$A$4:$P$1203,6,0),"※编码不在物料档案里"))</f>
        <v/>
      </c>
      <c r="J546" s="23" t="n"/>
      <c r="K546" s="17" t="n"/>
      <c r="L546" s="17" t="n"/>
      <c r="M546" s="17" t="n"/>
      <c r="N546" s="17" t="n"/>
      <c r="O546" s="26">
        <f>IF($D546="","",IFERROR(VLOOKUP($D546,物料档案!$A$4:$P$1203,10,0),0))</f>
        <v/>
      </c>
      <c r="P546" s="32" t="n"/>
      <c r="Q546" s="26">
        <f>IF($D546="","",IF($K546&lt;&gt;"对外销售",0,ROUND(N($J546)*IF($P546="",N($O546),N($P546)),0)))</f>
        <v/>
      </c>
      <c r="R546" s="26">
        <f>IF($D546="","",IFERROR(VLOOKUP($D546,库存台账!$A$5:$Y$1204,11,0),0))</f>
        <v/>
      </c>
      <c r="S546" s="26">
        <f>IF($D546="","",ROUND(N($J546)*N($R546),0))</f>
        <v/>
      </c>
      <c r="T546" s="26">
        <f>IF($D546="","",IF($K546&lt;&gt;"对外销售","",ROUND($Q546-$S546,0)))</f>
        <v/>
      </c>
      <c r="U546" s="17" t="n"/>
      <c r="V546" s="17" t="n"/>
      <c r="W546" s="24">
        <f>IF($D546="","",IF($E546="※编码不在物料档案里","※物料编码不在档案里",IF(N($J546)&lt;=0,"※出库数量要大于 0",IF($K546="","※没填去向类型",IF($L546="","※没填去向矿区",IF(AND($C546&lt;&gt;"",$C546&lt;=结账锁),"※日期早于已结账截止日，不能再录",IF(AND($K546="自用消耗",COUNTIF({"一矿区";"二矿区"},$L546)=0),"※自用消耗的去向只能是一矿区或二矿区",IF(AND($K546="对外销售",COUNTIF({"三矿区";"六矿区"},$L546)=0),"※对外销售的去向只能是三矿区或六矿区",IF(AND($K546="对外销售",ROUND($Q546,0)=0),"※外销却没有售价，请填实际售价",IF(AND($K546="对外销售",$T546&lt;&gt;"",$T546&lt;0),"※这一笔外销是亏的，请核对售价",IF(IFERROR(VLOOKUP($D546,库存台账!$A$5:$Y$1204,24,0),0)&lt;-0.001,"※这个物料账面已经变成负数了，查一下是不是漏记入库","")))))))))))</f>
        <v/>
      </c>
    </row>
    <row r="547">
      <c r="A547" s="24">
        <f>IF($D547="","",COUNTA($D$4:$D547))</f>
        <v/>
      </c>
      <c r="B547" s="17" t="n"/>
      <c r="C547" s="30" t="n"/>
      <c r="D547" s="17" t="n"/>
      <c r="E547" s="24">
        <f>IF($D547="","",IFERROR(VLOOKUP($D547,物料档案!$A$4:$P$1203,3,0),"※编码不在物料档案里"))</f>
        <v/>
      </c>
      <c r="F547" s="24">
        <f>IF($D547="","",IFERROR(VLOOKUP($D547,物料档案!$A$4:$P$1203,4,0),"※编码不在物料档案里"))</f>
        <v/>
      </c>
      <c r="G547" s="24">
        <f>IF($D547="","",IFERROR(VLOOKUP($D547,物料档案!$A$4:$P$1203,5,0),"※编码不在物料档案里"))</f>
        <v/>
      </c>
      <c r="H547" s="24">
        <f>IF($D547="","",IFERROR(VLOOKUP($D547,物料档案!$A$4:$P$1203,2,0),"※编码不在物料档案里"))</f>
        <v/>
      </c>
      <c r="I547" s="24">
        <f>IF($D547="","",IFERROR(VLOOKUP($D547,物料档案!$A$4:$P$1203,6,0),"※编码不在物料档案里"))</f>
        <v/>
      </c>
      <c r="J547" s="23" t="n"/>
      <c r="K547" s="17" t="n"/>
      <c r="L547" s="17" t="n"/>
      <c r="M547" s="17" t="n"/>
      <c r="N547" s="17" t="n"/>
      <c r="O547" s="26">
        <f>IF($D547="","",IFERROR(VLOOKUP($D547,物料档案!$A$4:$P$1203,10,0),0))</f>
        <v/>
      </c>
      <c r="P547" s="32" t="n"/>
      <c r="Q547" s="26">
        <f>IF($D547="","",IF($K547&lt;&gt;"对外销售",0,ROUND(N($J547)*IF($P547="",N($O547),N($P547)),0)))</f>
        <v/>
      </c>
      <c r="R547" s="26">
        <f>IF($D547="","",IFERROR(VLOOKUP($D547,库存台账!$A$5:$Y$1204,11,0),0))</f>
        <v/>
      </c>
      <c r="S547" s="26">
        <f>IF($D547="","",ROUND(N($J547)*N($R547),0))</f>
        <v/>
      </c>
      <c r="T547" s="26">
        <f>IF($D547="","",IF($K547&lt;&gt;"对外销售","",ROUND($Q547-$S547,0)))</f>
        <v/>
      </c>
      <c r="U547" s="17" t="n"/>
      <c r="V547" s="17" t="n"/>
      <c r="W547" s="24">
        <f>IF($D547="","",IF($E547="※编码不在物料档案里","※物料编码不在档案里",IF(N($J547)&lt;=0,"※出库数量要大于 0",IF($K547="","※没填去向类型",IF($L547="","※没填去向矿区",IF(AND($C547&lt;&gt;"",$C547&lt;=结账锁),"※日期早于已结账截止日，不能再录",IF(AND($K547="自用消耗",COUNTIF({"一矿区";"二矿区"},$L547)=0),"※自用消耗的去向只能是一矿区或二矿区",IF(AND($K547="对外销售",COUNTIF({"三矿区";"六矿区"},$L547)=0),"※对外销售的去向只能是三矿区或六矿区",IF(AND($K547="对外销售",ROUND($Q547,0)=0),"※外销却没有售价，请填实际售价",IF(AND($K547="对外销售",$T547&lt;&gt;"",$T547&lt;0),"※这一笔外销是亏的，请核对售价",IF(IFERROR(VLOOKUP($D547,库存台账!$A$5:$Y$1204,24,0),0)&lt;-0.001,"※这个物料账面已经变成负数了，查一下是不是漏记入库","")))))))))))</f>
        <v/>
      </c>
    </row>
    <row r="548">
      <c r="A548" s="24">
        <f>IF($D548="","",COUNTA($D$4:$D548))</f>
        <v/>
      </c>
      <c r="B548" s="17" t="n"/>
      <c r="C548" s="30" t="n"/>
      <c r="D548" s="17" t="n"/>
      <c r="E548" s="24">
        <f>IF($D548="","",IFERROR(VLOOKUP($D548,物料档案!$A$4:$P$1203,3,0),"※编码不在物料档案里"))</f>
        <v/>
      </c>
      <c r="F548" s="24">
        <f>IF($D548="","",IFERROR(VLOOKUP($D548,物料档案!$A$4:$P$1203,4,0),"※编码不在物料档案里"))</f>
        <v/>
      </c>
      <c r="G548" s="24">
        <f>IF($D548="","",IFERROR(VLOOKUP($D548,物料档案!$A$4:$P$1203,5,0),"※编码不在物料档案里"))</f>
        <v/>
      </c>
      <c r="H548" s="24">
        <f>IF($D548="","",IFERROR(VLOOKUP($D548,物料档案!$A$4:$P$1203,2,0),"※编码不在物料档案里"))</f>
        <v/>
      </c>
      <c r="I548" s="24">
        <f>IF($D548="","",IFERROR(VLOOKUP($D548,物料档案!$A$4:$P$1203,6,0),"※编码不在物料档案里"))</f>
        <v/>
      </c>
      <c r="J548" s="23" t="n"/>
      <c r="K548" s="17" t="n"/>
      <c r="L548" s="17" t="n"/>
      <c r="M548" s="17" t="n"/>
      <c r="N548" s="17" t="n"/>
      <c r="O548" s="26">
        <f>IF($D548="","",IFERROR(VLOOKUP($D548,物料档案!$A$4:$P$1203,10,0),0))</f>
        <v/>
      </c>
      <c r="P548" s="32" t="n"/>
      <c r="Q548" s="26">
        <f>IF($D548="","",IF($K548&lt;&gt;"对外销售",0,ROUND(N($J548)*IF($P548="",N($O548),N($P548)),0)))</f>
        <v/>
      </c>
      <c r="R548" s="26">
        <f>IF($D548="","",IFERROR(VLOOKUP($D548,库存台账!$A$5:$Y$1204,11,0),0))</f>
        <v/>
      </c>
      <c r="S548" s="26">
        <f>IF($D548="","",ROUND(N($J548)*N($R548),0))</f>
        <v/>
      </c>
      <c r="T548" s="26">
        <f>IF($D548="","",IF($K548&lt;&gt;"对外销售","",ROUND($Q548-$S548,0)))</f>
        <v/>
      </c>
      <c r="U548" s="17" t="n"/>
      <c r="V548" s="17" t="n"/>
      <c r="W548" s="24">
        <f>IF($D548="","",IF($E548="※编码不在物料档案里","※物料编码不在档案里",IF(N($J548)&lt;=0,"※出库数量要大于 0",IF($K548="","※没填去向类型",IF($L548="","※没填去向矿区",IF(AND($C548&lt;&gt;"",$C548&lt;=结账锁),"※日期早于已结账截止日，不能再录",IF(AND($K548="自用消耗",COUNTIF({"一矿区";"二矿区"},$L548)=0),"※自用消耗的去向只能是一矿区或二矿区",IF(AND($K548="对外销售",COUNTIF({"三矿区";"六矿区"},$L548)=0),"※对外销售的去向只能是三矿区或六矿区",IF(AND($K548="对外销售",ROUND($Q548,0)=0),"※外销却没有售价，请填实际售价",IF(AND($K548="对外销售",$T548&lt;&gt;"",$T548&lt;0),"※这一笔外销是亏的，请核对售价",IF(IFERROR(VLOOKUP($D548,库存台账!$A$5:$Y$1204,24,0),0)&lt;-0.001,"※这个物料账面已经变成负数了，查一下是不是漏记入库","")))))))))))</f>
        <v/>
      </c>
    </row>
    <row r="549">
      <c r="A549" s="24">
        <f>IF($D549="","",COUNTA($D$4:$D549))</f>
        <v/>
      </c>
      <c r="B549" s="17" t="n"/>
      <c r="C549" s="30" t="n"/>
      <c r="D549" s="17" t="n"/>
      <c r="E549" s="24">
        <f>IF($D549="","",IFERROR(VLOOKUP($D549,物料档案!$A$4:$P$1203,3,0),"※编码不在物料档案里"))</f>
        <v/>
      </c>
      <c r="F549" s="24">
        <f>IF($D549="","",IFERROR(VLOOKUP($D549,物料档案!$A$4:$P$1203,4,0),"※编码不在物料档案里"))</f>
        <v/>
      </c>
      <c r="G549" s="24">
        <f>IF($D549="","",IFERROR(VLOOKUP($D549,物料档案!$A$4:$P$1203,5,0),"※编码不在物料档案里"))</f>
        <v/>
      </c>
      <c r="H549" s="24">
        <f>IF($D549="","",IFERROR(VLOOKUP($D549,物料档案!$A$4:$P$1203,2,0),"※编码不在物料档案里"))</f>
        <v/>
      </c>
      <c r="I549" s="24">
        <f>IF($D549="","",IFERROR(VLOOKUP($D549,物料档案!$A$4:$P$1203,6,0),"※编码不在物料档案里"))</f>
        <v/>
      </c>
      <c r="J549" s="23" t="n"/>
      <c r="K549" s="17" t="n"/>
      <c r="L549" s="17" t="n"/>
      <c r="M549" s="17" t="n"/>
      <c r="N549" s="17" t="n"/>
      <c r="O549" s="26">
        <f>IF($D549="","",IFERROR(VLOOKUP($D549,物料档案!$A$4:$P$1203,10,0),0))</f>
        <v/>
      </c>
      <c r="P549" s="32" t="n"/>
      <c r="Q549" s="26">
        <f>IF($D549="","",IF($K549&lt;&gt;"对外销售",0,ROUND(N($J549)*IF($P549="",N($O549),N($P549)),0)))</f>
        <v/>
      </c>
      <c r="R549" s="26">
        <f>IF($D549="","",IFERROR(VLOOKUP($D549,库存台账!$A$5:$Y$1204,11,0),0))</f>
        <v/>
      </c>
      <c r="S549" s="26">
        <f>IF($D549="","",ROUND(N($J549)*N($R549),0))</f>
        <v/>
      </c>
      <c r="T549" s="26">
        <f>IF($D549="","",IF($K549&lt;&gt;"对外销售","",ROUND($Q549-$S549,0)))</f>
        <v/>
      </c>
      <c r="U549" s="17" t="n"/>
      <c r="V549" s="17" t="n"/>
      <c r="W549" s="24">
        <f>IF($D549="","",IF($E549="※编码不在物料档案里","※物料编码不在档案里",IF(N($J549)&lt;=0,"※出库数量要大于 0",IF($K549="","※没填去向类型",IF($L549="","※没填去向矿区",IF(AND($C549&lt;&gt;"",$C549&lt;=结账锁),"※日期早于已结账截止日，不能再录",IF(AND($K549="自用消耗",COUNTIF({"一矿区";"二矿区"},$L549)=0),"※自用消耗的去向只能是一矿区或二矿区",IF(AND($K549="对外销售",COUNTIF({"三矿区";"六矿区"},$L549)=0),"※对外销售的去向只能是三矿区或六矿区",IF(AND($K549="对外销售",ROUND($Q549,0)=0),"※外销却没有售价，请填实际售价",IF(AND($K549="对外销售",$T549&lt;&gt;"",$T549&lt;0),"※这一笔外销是亏的，请核对售价",IF(IFERROR(VLOOKUP($D549,库存台账!$A$5:$Y$1204,24,0),0)&lt;-0.001,"※这个物料账面已经变成负数了，查一下是不是漏记入库","")))))))))))</f>
        <v/>
      </c>
    </row>
    <row r="550">
      <c r="A550" s="24">
        <f>IF($D550="","",COUNTA($D$4:$D550))</f>
        <v/>
      </c>
      <c r="B550" s="17" t="n"/>
      <c r="C550" s="30" t="n"/>
      <c r="D550" s="17" t="n"/>
      <c r="E550" s="24">
        <f>IF($D550="","",IFERROR(VLOOKUP($D550,物料档案!$A$4:$P$1203,3,0),"※编码不在物料档案里"))</f>
        <v/>
      </c>
      <c r="F550" s="24">
        <f>IF($D550="","",IFERROR(VLOOKUP($D550,物料档案!$A$4:$P$1203,4,0),"※编码不在物料档案里"))</f>
        <v/>
      </c>
      <c r="G550" s="24">
        <f>IF($D550="","",IFERROR(VLOOKUP($D550,物料档案!$A$4:$P$1203,5,0),"※编码不在物料档案里"))</f>
        <v/>
      </c>
      <c r="H550" s="24">
        <f>IF($D550="","",IFERROR(VLOOKUP($D550,物料档案!$A$4:$P$1203,2,0),"※编码不在物料档案里"))</f>
        <v/>
      </c>
      <c r="I550" s="24">
        <f>IF($D550="","",IFERROR(VLOOKUP($D550,物料档案!$A$4:$P$1203,6,0),"※编码不在物料档案里"))</f>
        <v/>
      </c>
      <c r="J550" s="23" t="n"/>
      <c r="K550" s="17" t="n"/>
      <c r="L550" s="17" t="n"/>
      <c r="M550" s="17" t="n"/>
      <c r="N550" s="17" t="n"/>
      <c r="O550" s="26">
        <f>IF($D550="","",IFERROR(VLOOKUP($D550,物料档案!$A$4:$P$1203,10,0),0))</f>
        <v/>
      </c>
      <c r="P550" s="32" t="n"/>
      <c r="Q550" s="26">
        <f>IF($D550="","",IF($K550&lt;&gt;"对外销售",0,ROUND(N($J550)*IF($P550="",N($O550),N($P550)),0)))</f>
        <v/>
      </c>
      <c r="R550" s="26">
        <f>IF($D550="","",IFERROR(VLOOKUP($D550,库存台账!$A$5:$Y$1204,11,0),0))</f>
        <v/>
      </c>
      <c r="S550" s="26">
        <f>IF($D550="","",ROUND(N($J550)*N($R550),0))</f>
        <v/>
      </c>
      <c r="T550" s="26">
        <f>IF($D550="","",IF($K550&lt;&gt;"对外销售","",ROUND($Q550-$S550,0)))</f>
        <v/>
      </c>
      <c r="U550" s="17" t="n"/>
      <c r="V550" s="17" t="n"/>
      <c r="W550" s="24">
        <f>IF($D550="","",IF($E550="※编码不在物料档案里","※物料编码不在档案里",IF(N($J550)&lt;=0,"※出库数量要大于 0",IF($K550="","※没填去向类型",IF($L550="","※没填去向矿区",IF(AND($C550&lt;&gt;"",$C550&lt;=结账锁),"※日期早于已结账截止日，不能再录",IF(AND($K550="自用消耗",COUNTIF({"一矿区";"二矿区"},$L550)=0),"※自用消耗的去向只能是一矿区或二矿区",IF(AND($K550="对外销售",COUNTIF({"三矿区";"六矿区"},$L550)=0),"※对外销售的去向只能是三矿区或六矿区",IF(AND($K550="对外销售",ROUND($Q550,0)=0),"※外销却没有售价，请填实际售价",IF(AND($K550="对外销售",$T550&lt;&gt;"",$T550&lt;0),"※这一笔外销是亏的，请核对售价",IF(IFERROR(VLOOKUP($D550,库存台账!$A$5:$Y$1204,24,0),0)&lt;-0.001,"※这个物料账面已经变成负数了，查一下是不是漏记入库","")))))))))))</f>
        <v/>
      </c>
    </row>
    <row r="551">
      <c r="A551" s="24">
        <f>IF($D551="","",COUNTA($D$4:$D551))</f>
        <v/>
      </c>
      <c r="B551" s="17" t="n"/>
      <c r="C551" s="30" t="n"/>
      <c r="D551" s="17" t="n"/>
      <c r="E551" s="24">
        <f>IF($D551="","",IFERROR(VLOOKUP($D551,物料档案!$A$4:$P$1203,3,0),"※编码不在物料档案里"))</f>
        <v/>
      </c>
      <c r="F551" s="24">
        <f>IF($D551="","",IFERROR(VLOOKUP($D551,物料档案!$A$4:$P$1203,4,0),"※编码不在物料档案里"))</f>
        <v/>
      </c>
      <c r="G551" s="24">
        <f>IF($D551="","",IFERROR(VLOOKUP($D551,物料档案!$A$4:$P$1203,5,0),"※编码不在物料档案里"))</f>
        <v/>
      </c>
      <c r="H551" s="24">
        <f>IF($D551="","",IFERROR(VLOOKUP($D551,物料档案!$A$4:$P$1203,2,0),"※编码不在物料档案里"))</f>
        <v/>
      </c>
      <c r="I551" s="24">
        <f>IF($D551="","",IFERROR(VLOOKUP($D551,物料档案!$A$4:$P$1203,6,0),"※编码不在物料档案里"))</f>
        <v/>
      </c>
      <c r="J551" s="23" t="n"/>
      <c r="K551" s="17" t="n"/>
      <c r="L551" s="17" t="n"/>
      <c r="M551" s="17" t="n"/>
      <c r="N551" s="17" t="n"/>
      <c r="O551" s="26">
        <f>IF($D551="","",IFERROR(VLOOKUP($D551,物料档案!$A$4:$P$1203,10,0),0))</f>
        <v/>
      </c>
      <c r="P551" s="32" t="n"/>
      <c r="Q551" s="26">
        <f>IF($D551="","",IF($K551&lt;&gt;"对外销售",0,ROUND(N($J551)*IF($P551="",N($O551),N($P551)),0)))</f>
        <v/>
      </c>
      <c r="R551" s="26">
        <f>IF($D551="","",IFERROR(VLOOKUP($D551,库存台账!$A$5:$Y$1204,11,0),0))</f>
        <v/>
      </c>
      <c r="S551" s="26">
        <f>IF($D551="","",ROUND(N($J551)*N($R551),0))</f>
        <v/>
      </c>
      <c r="T551" s="26">
        <f>IF($D551="","",IF($K551&lt;&gt;"对外销售","",ROUND($Q551-$S551,0)))</f>
        <v/>
      </c>
      <c r="U551" s="17" t="n"/>
      <c r="V551" s="17" t="n"/>
      <c r="W551" s="24">
        <f>IF($D551="","",IF($E551="※编码不在物料档案里","※物料编码不在档案里",IF(N($J551)&lt;=0,"※出库数量要大于 0",IF($K551="","※没填去向类型",IF($L551="","※没填去向矿区",IF(AND($C551&lt;&gt;"",$C551&lt;=结账锁),"※日期早于已结账截止日，不能再录",IF(AND($K551="自用消耗",COUNTIF({"一矿区";"二矿区"},$L551)=0),"※自用消耗的去向只能是一矿区或二矿区",IF(AND($K551="对外销售",COUNTIF({"三矿区";"六矿区"},$L551)=0),"※对外销售的去向只能是三矿区或六矿区",IF(AND($K551="对外销售",ROUND($Q551,0)=0),"※外销却没有售价，请填实际售价",IF(AND($K551="对外销售",$T551&lt;&gt;"",$T551&lt;0),"※这一笔外销是亏的，请核对售价",IF(IFERROR(VLOOKUP($D551,库存台账!$A$5:$Y$1204,24,0),0)&lt;-0.001,"※这个物料账面已经变成负数了，查一下是不是漏记入库","")))))))))))</f>
        <v/>
      </c>
    </row>
    <row r="552">
      <c r="A552" s="24">
        <f>IF($D552="","",COUNTA($D$4:$D552))</f>
        <v/>
      </c>
      <c r="B552" s="17" t="n"/>
      <c r="C552" s="30" t="n"/>
      <c r="D552" s="17" t="n"/>
      <c r="E552" s="24">
        <f>IF($D552="","",IFERROR(VLOOKUP($D552,物料档案!$A$4:$P$1203,3,0),"※编码不在物料档案里"))</f>
        <v/>
      </c>
      <c r="F552" s="24">
        <f>IF($D552="","",IFERROR(VLOOKUP($D552,物料档案!$A$4:$P$1203,4,0),"※编码不在物料档案里"))</f>
        <v/>
      </c>
      <c r="G552" s="24">
        <f>IF($D552="","",IFERROR(VLOOKUP($D552,物料档案!$A$4:$P$1203,5,0),"※编码不在物料档案里"))</f>
        <v/>
      </c>
      <c r="H552" s="24">
        <f>IF($D552="","",IFERROR(VLOOKUP($D552,物料档案!$A$4:$P$1203,2,0),"※编码不在物料档案里"))</f>
        <v/>
      </c>
      <c r="I552" s="24">
        <f>IF($D552="","",IFERROR(VLOOKUP($D552,物料档案!$A$4:$P$1203,6,0),"※编码不在物料档案里"))</f>
        <v/>
      </c>
      <c r="J552" s="23" t="n"/>
      <c r="K552" s="17" t="n"/>
      <c r="L552" s="17" t="n"/>
      <c r="M552" s="17" t="n"/>
      <c r="N552" s="17" t="n"/>
      <c r="O552" s="26">
        <f>IF($D552="","",IFERROR(VLOOKUP($D552,物料档案!$A$4:$P$1203,10,0),0))</f>
        <v/>
      </c>
      <c r="P552" s="32" t="n"/>
      <c r="Q552" s="26">
        <f>IF($D552="","",IF($K552&lt;&gt;"对外销售",0,ROUND(N($J552)*IF($P552="",N($O552),N($P552)),0)))</f>
        <v/>
      </c>
      <c r="R552" s="26">
        <f>IF($D552="","",IFERROR(VLOOKUP($D552,库存台账!$A$5:$Y$1204,11,0),0))</f>
        <v/>
      </c>
      <c r="S552" s="26">
        <f>IF($D552="","",ROUND(N($J552)*N($R552),0))</f>
        <v/>
      </c>
      <c r="T552" s="26">
        <f>IF($D552="","",IF($K552&lt;&gt;"对外销售","",ROUND($Q552-$S552,0)))</f>
        <v/>
      </c>
      <c r="U552" s="17" t="n"/>
      <c r="V552" s="17" t="n"/>
      <c r="W552" s="24">
        <f>IF($D552="","",IF($E552="※编码不在物料档案里","※物料编码不在档案里",IF(N($J552)&lt;=0,"※出库数量要大于 0",IF($K552="","※没填去向类型",IF($L552="","※没填去向矿区",IF(AND($C552&lt;&gt;"",$C552&lt;=结账锁),"※日期早于已结账截止日，不能再录",IF(AND($K552="自用消耗",COUNTIF({"一矿区";"二矿区"},$L552)=0),"※自用消耗的去向只能是一矿区或二矿区",IF(AND($K552="对外销售",COUNTIF({"三矿区";"六矿区"},$L552)=0),"※对外销售的去向只能是三矿区或六矿区",IF(AND($K552="对外销售",ROUND($Q552,0)=0),"※外销却没有售价，请填实际售价",IF(AND($K552="对外销售",$T552&lt;&gt;"",$T552&lt;0),"※这一笔外销是亏的，请核对售价",IF(IFERROR(VLOOKUP($D552,库存台账!$A$5:$Y$1204,24,0),0)&lt;-0.001,"※这个物料账面已经变成负数了，查一下是不是漏记入库","")))))))))))</f>
        <v/>
      </c>
    </row>
    <row r="553">
      <c r="A553" s="24">
        <f>IF($D553="","",COUNTA($D$4:$D553))</f>
        <v/>
      </c>
      <c r="B553" s="17" t="n"/>
      <c r="C553" s="30" t="n"/>
      <c r="D553" s="17" t="n"/>
      <c r="E553" s="24">
        <f>IF($D553="","",IFERROR(VLOOKUP($D553,物料档案!$A$4:$P$1203,3,0),"※编码不在物料档案里"))</f>
        <v/>
      </c>
      <c r="F553" s="24">
        <f>IF($D553="","",IFERROR(VLOOKUP($D553,物料档案!$A$4:$P$1203,4,0),"※编码不在物料档案里"))</f>
        <v/>
      </c>
      <c r="G553" s="24">
        <f>IF($D553="","",IFERROR(VLOOKUP($D553,物料档案!$A$4:$P$1203,5,0),"※编码不在物料档案里"))</f>
        <v/>
      </c>
      <c r="H553" s="24">
        <f>IF($D553="","",IFERROR(VLOOKUP($D553,物料档案!$A$4:$P$1203,2,0),"※编码不在物料档案里"))</f>
        <v/>
      </c>
      <c r="I553" s="24">
        <f>IF($D553="","",IFERROR(VLOOKUP($D553,物料档案!$A$4:$P$1203,6,0),"※编码不在物料档案里"))</f>
        <v/>
      </c>
      <c r="J553" s="23" t="n"/>
      <c r="K553" s="17" t="n"/>
      <c r="L553" s="17" t="n"/>
      <c r="M553" s="17" t="n"/>
      <c r="N553" s="17" t="n"/>
      <c r="O553" s="26">
        <f>IF($D553="","",IFERROR(VLOOKUP($D553,物料档案!$A$4:$P$1203,10,0),0))</f>
        <v/>
      </c>
      <c r="P553" s="32" t="n"/>
      <c r="Q553" s="26">
        <f>IF($D553="","",IF($K553&lt;&gt;"对外销售",0,ROUND(N($J553)*IF($P553="",N($O553),N($P553)),0)))</f>
        <v/>
      </c>
      <c r="R553" s="26">
        <f>IF($D553="","",IFERROR(VLOOKUP($D553,库存台账!$A$5:$Y$1204,11,0),0))</f>
        <v/>
      </c>
      <c r="S553" s="26">
        <f>IF($D553="","",ROUND(N($J553)*N($R553),0))</f>
        <v/>
      </c>
      <c r="T553" s="26">
        <f>IF($D553="","",IF($K553&lt;&gt;"对外销售","",ROUND($Q553-$S553,0)))</f>
        <v/>
      </c>
      <c r="U553" s="17" t="n"/>
      <c r="V553" s="17" t="n"/>
      <c r="W553" s="24">
        <f>IF($D553="","",IF($E553="※编码不在物料档案里","※物料编码不在档案里",IF(N($J553)&lt;=0,"※出库数量要大于 0",IF($K553="","※没填去向类型",IF($L553="","※没填去向矿区",IF(AND($C553&lt;&gt;"",$C553&lt;=结账锁),"※日期早于已结账截止日，不能再录",IF(AND($K553="自用消耗",COUNTIF({"一矿区";"二矿区"},$L553)=0),"※自用消耗的去向只能是一矿区或二矿区",IF(AND($K553="对外销售",COUNTIF({"三矿区";"六矿区"},$L553)=0),"※对外销售的去向只能是三矿区或六矿区",IF(AND($K553="对外销售",ROUND($Q553,0)=0),"※外销却没有售价，请填实际售价",IF(AND($K553="对外销售",$T553&lt;&gt;"",$T553&lt;0),"※这一笔外销是亏的，请核对售价",IF(IFERROR(VLOOKUP($D553,库存台账!$A$5:$Y$1204,24,0),0)&lt;-0.001,"※这个物料账面已经变成负数了，查一下是不是漏记入库","")))))))))))</f>
        <v/>
      </c>
    </row>
    <row r="554">
      <c r="A554" s="24">
        <f>IF($D554="","",COUNTA($D$4:$D554))</f>
        <v/>
      </c>
      <c r="B554" s="17" t="n"/>
      <c r="C554" s="30" t="n"/>
      <c r="D554" s="17" t="n"/>
      <c r="E554" s="24">
        <f>IF($D554="","",IFERROR(VLOOKUP($D554,物料档案!$A$4:$P$1203,3,0),"※编码不在物料档案里"))</f>
        <v/>
      </c>
      <c r="F554" s="24">
        <f>IF($D554="","",IFERROR(VLOOKUP($D554,物料档案!$A$4:$P$1203,4,0),"※编码不在物料档案里"))</f>
        <v/>
      </c>
      <c r="G554" s="24">
        <f>IF($D554="","",IFERROR(VLOOKUP($D554,物料档案!$A$4:$P$1203,5,0),"※编码不在物料档案里"))</f>
        <v/>
      </c>
      <c r="H554" s="24">
        <f>IF($D554="","",IFERROR(VLOOKUP($D554,物料档案!$A$4:$P$1203,2,0),"※编码不在物料档案里"))</f>
        <v/>
      </c>
      <c r="I554" s="24">
        <f>IF($D554="","",IFERROR(VLOOKUP($D554,物料档案!$A$4:$P$1203,6,0),"※编码不在物料档案里"))</f>
        <v/>
      </c>
      <c r="J554" s="23" t="n"/>
      <c r="K554" s="17" t="n"/>
      <c r="L554" s="17" t="n"/>
      <c r="M554" s="17" t="n"/>
      <c r="N554" s="17" t="n"/>
      <c r="O554" s="26">
        <f>IF($D554="","",IFERROR(VLOOKUP($D554,物料档案!$A$4:$P$1203,10,0),0))</f>
        <v/>
      </c>
      <c r="P554" s="32" t="n"/>
      <c r="Q554" s="26">
        <f>IF($D554="","",IF($K554&lt;&gt;"对外销售",0,ROUND(N($J554)*IF($P554="",N($O554),N($P554)),0)))</f>
        <v/>
      </c>
      <c r="R554" s="26">
        <f>IF($D554="","",IFERROR(VLOOKUP($D554,库存台账!$A$5:$Y$1204,11,0),0))</f>
        <v/>
      </c>
      <c r="S554" s="26">
        <f>IF($D554="","",ROUND(N($J554)*N($R554),0))</f>
        <v/>
      </c>
      <c r="T554" s="26">
        <f>IF($D554="","",IF($K554&lt;&gt;"对外销售","",ROUND($Q554-$S554,0)))</f>
        <v/>
      </c>
      <c r="U554" s="17" t="n"/>
      <c r="V554" s="17" t="n"/>
      <c r="W554" s="24">
        <f>IF($D554="","",IF($E554="※编码不在物料档案里","※物料编码不在档案里",IF(N($J554)&lt;=0,"※出库数量要大于 0",IF($K554="","※没填去向类型",IF($L554="","※没填去向矿区",IF(AND($C554&lt;&gt;"",$C554&lt;=结账锁),"※日期早于已结账截止日，不能再录",IF(AND($K554="自用消耗",COUNTIF({"一矿区";"二矿区"},$L554)=0),"※自用消耗的去向只能是一矿区或二矿区",IF(AND($K554="对外销售",COUNTIF({"三矿区";"六矿区"},$L554)=0),"※对外销售的去向只能是三矿区或六矿区",IF(AND($K554="对外销售",ROUND($Q554,0)=0),"※外销却没有售价，请填实际售价",IF(AND($K554="对外销售",$T554&lt;&gt;"",$T554&lt;0),"※这一笔外销是亏的，请核对售价",IF(IFERROR(VLOOKUP($D554,库存台账!$A$5:$Y$1204,24,0),0)&lt;-0.001,"※这个物料账面已经变成负数了，查一下是不是漏记入库","")))))))))))</f>
        <v/>
      </c>
    </row>
    <row r="555">
      <c r="A555" s="24">
        <f>IF($D555="","",COUNTA($D$4:$D555))</f>
        <v/>
      </c>
      <c r="B555" s="17" t="n"/>
      <c r="C555" s="30" t="n"/>
      <c r="D555" s="17" t="n"/>
      <c r="E555" s="24">
        <f>IF($D555="","",IFERROR(VLOOKUP($D555,物料档案!$A$4:$P$1203,3,0),"※编码不在物料档案里"))</f>
        <v/>
      </c>
      <c r="F555" s="24">
        <f>IF($D555="","",IFERROR(VLOOKUP($D555,物料档案!$A$4:$P$1203,4,0),"※编码不在物料档案里"))</f>
        <v/>
      </c>
      <c r="G555" s="24">
        <f>IF($D555="","",IFERROR(VLOOKUP($D555,物料档案!$A$4:$P$1203,5,0),"※编码不在物料档案里"))</f>
        <v/>
      </c>
      <c r="H555" s="24">
        <f>IF($D555="","",IFERROR(VLOOKUP($D555,物料档案!$A$4:$P$1203,2,0),"※编码不在物料档案里"))</f>
        <v/>
      </c>
      <c r="I555" s="24">
        <f>IF($D555="","",IFERROR(VLOOKUP($D555,物料档案!$A$4:$P$1203,6,0),"※编码不在物料档案里"))</f>
        <v/>
      </c>
      <c r="J555" s="23" t="n"/>
      <c r="K555" s="17" t="n"/>
      <c r="L555" s="17" t="n"/>
      <c r="M555" s="17" t="n"/>
      <c r="N555" s="17" t="n"/>
      <c r="O555" s="26">
        <f>IF($D555="","",IFERROR(VLOOKUP($D555,物料档案!$A$4:$P$1203,10,0),0))</f>
        <v/>
      </c>
      <c r="P555" s="32" t="n"/>
      <c r="Q555" s="26">
        <f>IF($D555="","",IF($K555&lt;&gt;"对外销售",0,ROUND(N($J555)*IF($P555="",N($O555),N($P555)),0)))</f>
        <v/>
      </c>
      <c r="R555" s="26">
        <f>IF($D555="","",IFERROR(VLOOKUP($D555,库存台账!$A$5:$Y$1204,11,0),0))</f>
        <v/>
      </c>
      <c r="S555" s="26">
        <f>IF($D555="","",ROUND(N($J555)*N($R555),0))</f>
        <v/>
      </c>
      <c r="T555" s="26">
        <f>IF($D555="","",IF($K555&lt;&gt;"对外销售","",ROUND($Q555-$S555,0)))</f>
        <v/>
      </c>
      <c r="U555" s="17" t="n"/>
      <c r="V555" s="17" t="n"/>
      <c r="W555" s="24">
        <f>IF($D555="","",IF($E555="※编码不在物料档案里","※物料编码不在档案里",IF(N($J555)&lt;=0,"※出库数量要大于 0",IF($K555="","※没填去向类型",IF($L555="","※没填去向矿区",IF(AND($C555&lt;&gt;"",$C555&lt;=结账锁),"※日期早于已结账截止日，不能再录",IF(AND($K555="自用消耗",COUNTIF({"一矿区";"二矿区"},$L555)=0),"※自用消耗的去向只能是一矿区或二矿区",IF(AND($K555="对外销售",COUNTIF({"三矿区";"六矿区"},$L555)=0),"※对外销售的去向只能是三矿区或六矿区",IF(AND($K555="对外销售",ROUND($Q555,0)=0),"※外销却没有售价，请填实际售价",IF(AND($K555="对外销售",$T555&lt;&gt;"",$T555&lt;0),"※这一笔外销是亏的，请核对售价",IF(IFERROR(VLOOKUP($D555,库存台账!$A$5:$Y$1204,24,0),0)&lt;-0.001,"※这个物料账面已经变成负数了，查一下是不是漏记入库","")))))))))))</f>
        <v/>
      </c>
    </row>
    <row r="556">
      <c r="A556" s="24">
        <f>IF($D556="","",COUNTA($D$4:$D556))</f>
        <v/>
      </c>
      <c r="B556" s="17" t="n"/>
      <c r="C556" s="30" t="n"/>
      <c r="D556" s="17" t="n"/>
      <c r="E556" s="24">
        <f>IF($D556="","",IFERROR(VLOOKUP($D556,物料档案!$A$4:$P$1203,3,0),"※编码不在物料档案里"))</f>
        <v/>
      </c>
      <c r="F556" s="24">
        <f>IF($D556="","",IFERROR(VLOOKUP($D556,物料档案!$A$4:$P$1203,4,0),"※编码不在物料档案里"))</f>
        <v/>
      </c>
      <c r="G556" s="24">
        <f>IF($D556="","",IFERROR(VLOOKUP($D556,物料档案!$A$4:$P$1203,5,0),"※编码不在物料档案里"))</f>
        <v/>
      </c>
      <c r="H556" s="24">
        <f>IF($D556="","",IFERROR(VLOOKUP($D556,物料档案!$A$4:$P$1203,2,0),"※编码不在物料档案里"))</f>
        <v/>
      </c>
      <c r="I556" s="24">
        <f>IF($D556="","",IFERROR(VLOOKUP($D556,物料档案!$A$4:$P$1203,6,0),"※编码不在物料档案里"))</f>
        <v/>
      </c>
      <c r="J556" s="23" t="n"/>
      <c r="K556" s="17" t="n"/>
      <c r="L556" s="17" t="n"/>
      <c r="M556" s="17" t="n"/>
      <c r="N556" s="17" t="n"/>
      <c r="O556" s="26">
        <f>IF($D556="","",IFERROR(VLOOKUP($D556,物料档案!$A$4:$P$1203,10,0),0))</f>
        <v/>
      </c>
      <c r="P556" s="32" t="n"/>
      <c r="Q556" s="26">
        <f>IF($D556="","",IF($K556&lt;&gt;"对外销售",0,ROUND(N($J556)*IF($P556="",N($O556),N($P556)),0)))</f>
        <v/>
      </c>
      <c r="R556" s="26">
        <f>IF($D556="","",IFERROR(VLOOKUP($D556,库存台账!$A$5:$Y$1204,11,0),0))</f>
        <v/>
      </c>
      <c r="S556" s="26">
        <f>IF($D556="","",ROUND(N($J556)*N($R556),0))</f>
        <v/>
      </c>
      <c r="T556" s="26">
        <f>IF($D556="","",IF($K556&lt;&gt;"对外销售","",ROUND($Q556-$S556,0)))</f>
        <v/>
      </c>
      <c r="U556" s="17" t="n"/>
      <c r="V556" s="17" t="n"/>
      <c r="W556" s="24">
        <f>IF($D556="","",IF($E556="※编码不在物料档案里","※物料编码不在档案里",IF(N($J556)&lt;=0,"※出库数量要大于 0",IF($K556="","※没填去向类型",IF($L556="","※没填去向矿区",IF(AND($C556&lt;&gt;"",$C556&lt;=结账锁),"※日期早于已结账截止日，不能再录",IF(AND($K556="自用消耗",COUNTIF({"一矿区";"二矿区"},$L556)=0),"※自用消耗的去向只能是一矿区或二矿区",IF(AND($K556="对外销售",COUNTIF({"三矿区";"六矿区"},$L556)=0),"※对外销售的去向只能是三矿区或六矿区",IF(AND($K556="对外销售",ROUND($Q556,0)=0),"※外销却没有售价，请填实际售价",IF(AND($K556="对外销售",$T556&lt;&gt;"",$T556&lt;0),"※这一笔外销是亏的，请核对售价",IF(IFERROR(VLOOKUP($D556,库存台账!$A$5:$Y$1204,24,0),0)&lt;-0.001,"※这个物料账面已经变成负数了，查一下是不是漏记入库","")))))))))))</f>
        <v/>
      </c>
    </row>
    <row r="557">
      <c r="A557" s="24">
        <f>IF($D557="","",COUNTA($D$4:$D557))</f>
        <v/>
      </c>
      <c r="B557" s="17" t="n"/>
      <c r="C557" s="30" t="n"/>
      <c r="D557" s="17" t="n"/>
      <c r="E557" s="24">
        <f>IF($D557="","",IFERROR(VLOOKUP($D557,物料档案!$A$4:$P$1203,3,0),"※编码不在物料档案里"))</f>
        <v/>
      </c>
      <c r="F557" s="24">
        <f>IF($D557="","",IFERROR(VLOOKUP($D557,物料档案!$A$4:$P$1203,4,0),"※编码不在物料档案里"))</f>
        <v/>
      </c>
      <c r="G557" s="24">
        <f>IF($D557="","",IFERROR(VLOOKUP($D557,物料档案!$A$4:$P$1203,5,0),"※编码不在物料档案里"))</f>
        <v/>
      </c>
      <c r="H557" s="24">
        <f>IF($D557="","",IFERROR(VLOOKUP($D557,物料档案!$A$4:$P$1203,2,0),"※编码不在物料档案里"))</f>
        <v/>
      </c>
      <c r="I557" s="24">
        <f>IF($D557="","",IFERROR(VLOOKUP($D557,物料档案!$A$4:$P$1203,6,0),"※编码不在物料档案里"))</f>
        <v/>
      </c>
      <c r="J557" s="23" t="n"/>
      <c r="K557" s="17" t="n"/>
      <c r="L557" s="17" t="n"/>
      <c r="M557" s="17" t="n"/>
      <c r="N557" s="17" t="n"/>
      <c r="O557" s="26">
        <f>IF($D557="","",IFERROR(VLOOKUP($D557,物料档案!$A$4:$P$1203,10,0),0))</f>
        <v/>
      </c>
      <c r="P557" s="32" t="n"/>
      <c r="Q557" s="26">
        <f>IF($D557="","",IF($K557&lt;&gt;"对外销售",0,ROUND(N($J557)*IF($P557="",N($O557),N($P557)),0)))</f>
        <v/>
      </c>
      <c r="R557" s="26">
        <f>IF($D557="","",IFERROR(VLOOKUP($D557,库存台账!$A$5:$Y$1204,11,0),0))</f>
        <v/>
      </c>
      <c r="S557" s="26">
        <f>IF($D557="","",ROUND(N($J557)*N($R557),0))</f>
        <v/>
      </c>
      <c r="T557" s="26">
        <f>IF($D557="","",IF($K557&lt;&gt;"对外销售","",ROUND($Q557-$S557,0)))</f>
        <v/>
      </c>
      <c r="U557" s="17" t="n"/>
      <c r="V557" s="17" t="n"/>
      <c r="W557" s="24">
        <f>IF($D557="","",IF($E557="※编码不在物料档案里","※物料编码不在档案里",IF(N($J557)&lt;=0,"※出库数量要大于 0",IF($K557="","※没填去向类型",IF($L557="","※没填去向矿区",IF(AND($C557&lt;&gt;"",$C557&lt;=结账锁),"※日期早于已结账截止日，不能再录",IF(AND($K557="自用消耗",COUNTIF({"一矿区";"二矿区"},$L557)=0),"※自用消耗的去向只能是一矿区或二矿区",IF(AND($K557="对外销售",COUNTIF({"三矿区";"六矿区"},$L557)=0),"※对外销售的去向只能是三矿区或六矿区",IF(AND($K557="对外销售",ROUND($Q557,0)=0),"※外销却没有售价，请填实际售价",IF(AND($K557="对外销售",$T557&lt;&gt;"",$T557&lt;0),"※这一笔外销是亏的，请核对售价",IF(IFERROR(VLOOKUP($D557,库存台账!$A$5:$Y$1204,24,0),0)&lt;-0.001,"※这个物料账面已经变成负数了，查一下是不是漏记入库","")))))))))))</f>
        <v/>
      </c>
    </row>
    <row r="558">
      <c r="A558" s="24">
        <f>IF($D558="","",COUNTA($D$4:$D558))</f>
        <v/>
      </c>
      <c r="B558" s="17" t="n"/>
      <c r="C558" s="30" t="n"/>
      <c r="D558" s="17" t="n"/>
      <c r="E558" s="24">
        <f>IF($D558="","",IFERROR(VLOOKUP($D558,物料档案!$A$4:$P$1203,3,0),"※编码不在物料档案里"))</f>
        <v/>
      </c>
      <c r="F558" s="24">
        <f>IF($D558="","",IFERROR(VLOOKUP($D558,物料档案!$A$4:$P$1203,4,0),"※编码不在物料档案里"))</f>
        <v/>
      </c>
      <c r="G558" s="24">
        <f>IF($D558="","",IFERROR(VLOOKUP($D558,物料档案!$A$4:$P$1203,5,0),"※编码不在物料档案里"))</f>
        <v/>
      </c>
      <c r="H558" s="24">
        <f>IF($D558="","",IFERROR(VLOOKUP($D558,物料档案!$A$4:$P$1203,2,0),"※编码不在物料档案里"))</f>
        <v/>
      </c>
      <c r="I558" s="24">
        <f>IF($D558="","",IFERROR(VLOOKUP($D558,物料档案!$A$4:$P$1203,6,0),"※编码不在物料档案里"))</f>
        <v/>
      </c>
      <c r="J558" s="23" t="n"/>
      <c r="K558" s="17" t="n"/>
      <c r="L558" s="17" t="n"/>
      <c r="M558" s="17" t="n"/>
      <c r="N558" s="17" t="n"/>
      <c r="O558" s="26">
        <f>IF($D558="","",IFERROR(VLOOKUP($D558,物料档案!$A$4:$P$1203,10,0),0))</f>
        <v/>
      </c>
      <c r="P558" s="32" t="n"/>
      <c r="Q558" s="26">
        <f>IF($D558="","",IF($K558&lt;&gt;"对外销售",0,ROUND(N($J558)*IF($P558="",N($O558),N($P558)),0)))</f>
        <v/>
      </c>
      <c r="R558" s="26">
        <f>IF($D558="","",IFERROR(VLOOKUP($D558,库存台账!$A$5:$Y$1204,11,0),0))</f>
        <v/>
      </c>
      <c r="S558" s="26">
        <f>IF($D558="","",ROUND(N($J558)*N($R558),0))</f>
        <v/>
      </c>
      <c r="T558" s="26">
        <f>IF($D558="","",IF($K558&lt;&gt;"对外销售","",ROUND($Q558-$S558,0)))</f>
        <v/>
      </c>
      <c r="U558" s="17" t="n"/>
      <c r="V558" s="17" t="n"/>
      <c r="W558" s="24">
        <f>IF($D558="","",IF($E558="※编码不在物料档案里","※物料编码不在档案里",IF(N($J558)&lt;=0,"※出库数量要大于 0",IF($K558="","※没填去向类型",IF($L558="","※没填去向矿区",IF(AND($C558&lt;&gt;"",$C558&lt;=结账锁),"※日期早于已结账截止日，不能再录",IF(AND($K558="自用消耗",COUNTIF({"一矿区";"二矿区"},$L558)=0),"※自用消耗的去向只能是一矿区或二矿区",IF(AND($K558="对外销售",COUNTIF({"三矿区";"六矿区"},$L558)=0),"※对外销售的去向只能是三矿区或六矿区",IF(AND($K558="对外销售",ROUND($Q558,0)=0),"※外销却没有售价，请填实际售价",IF(AND($K558="对外销售",$T558&lt;&gt;"",$T558&lt;0),"※这一笔外销是亏的，请核对售价",IF(IFERROR(VLOOKUP($D558,库存台账!$A$5:$Y$1204,24,0),0)&lt;-0.001,"※这个物料账面已经变成负数了，查一下是不是漏记入库","")))))))))))</f>
        <v/>
      </c>
    </row>
    <row r="559">
      <c r="A559" s="24">
        <f>IF($D559="","",COUNTA($D$4:$D559))</f>
        <v/>
      </c>
      <c r="B559" s="17" t="n"/>
      <c r="C559" s="30" t="n"/>
      <c r="D559" s="17" t="n"/>
      <c r="E559" s="24">
        <f>IF($D559="","",IFERROR(VLOOKUP($D559,物料档案!$A$4:$P$1203,3,0),"※编码不在物料档案里"))</f>
        <v/>
      </c>
      <c r="F559" s="24">
        <f>IF($D559="","",IFERROR(VLOOKUP($D559,物料档案!$A$4:$P$1203,4,0),"※编码不在物料档案里"))</f>
        <v/>
      </c>
      <c r="G559" s="24">
        <f>IF($D559="","",IFERROR(VLOOKUP($D559,物料档案!$A$4:$P$1203,5,0),"※编码不在物料档案里"))</f>
        <v/>
      </c>
      <c r="H559" s="24">
        <f>IF($D559="","",IFERROR(VLOOKUP($D559,物料档案!$A$4:$P$1203,2,0),"※编码不在物料档案里"))</f>
        <v/>
      </c>
      <c r="I559" s="24">
        <f>IF($D559="","",IFERROR(VLOOKUP($D559,物料档案!$A$4:$P$1203,6,0),"※编码不在物料档案里"))</f>
        <v/>
      </c>
      <c r="J559" s="23" t="n"/>
      <c r="K559" s="17" t="n"/>
      <c r="L559" s="17" t="n"/>
      <c r="M559" s="17" t="n"/>
      <c r="N559" s="17" t="n"/>
      <c r="O559" s="26">
        <f>IF($D559="","",IFERROR(VLOOKUP($D559,物料档案!$A$4:$P$1203,10,0),0))</f>
        <v/>
      </c>
      <c r="P559" s="32" t="n"/>
      <c r="Q559" s="26">
        <f>IF($D559="","",IF($K559&lt;&gt;"对外销售",0,ROUND(N($J559)*IF($P559="",N($O559),N($P559)),0)))</f>
        <v/>
      </c>
      <c r="R559" s="26">
        <f>IF($D559="","",IFERROR(VLOOKUP($D559,库存台账!$A$5:$Y$1204,11,0),0))</f>
        <v/>
      </c>
      <c r="S559" s="26">
        <f>IF($D559="","",ROUND(N($J559)*N($R559),0))</f>
        <v/>
      </c>
      <c r="T559" s="26">
        <f>IF($D559="","",IF($K559&lt;&gt;"对外销售","",ROUND($Q559-$S559,0)))</f>
        <v/>
      </c>
      <c r="U559" s="17" t="n"/>
      <c r="V559" s="17" t="n"/>
      <c r="W559" s="24">
        <f>IF($D559="","",IF($E559="※编码不在物料档案里","※物料编码不在档案里",IF(N($J559)&lt;=0,"※出库数量要大于 0",IF($K559="","※没填去向类型",IF($L559="","※没填去向矿区",IF(AND($C559&lt;&gt;"",$C559&lt;=结账锁),"※日期早于已结账截止日，不能再录",IF(AND($K559="自用消耗",COUNTIF({"一矿区";"二矿区"},$L559)=0),"※自用消耗的去向只能是一矿区或二矿区",IF(AND($K559="对外销售",COUNTIF({"三矿区";"六矿区"},$L559)=0),"※对外销售的去向只能是三矿区或六矿区",IF(AND($K559="对外销售",ROUND($Q559,0)=0),"※外销却没有售价，请填实际售价",IF(AND($K559="对外销售",$T559&lt;&gt;"",$T559&lt;0),"※这一笔外销是亏的，请核对售价",IF(IFERROR(VLOOKUP($D559,库存台账!$A$5:$Y$1204,24,0),0)&lt;-0.001,"※这个物料账面已经变成负数了，查一下是不是漏记入库","")))))))))))</f>
        <v/>
      </c>
    </row>
    <row r="560">
      <c r="A560" s="24">
        <f>IF($D560="","",COUNTA($D$4:$D560))</f>
        <v/>
      </c>
      <c r="B560" s="17" t="n"/>
      <c r="C560" s="30" t="n"/>
      <c r="D560" s="17" t="n"/>
      <c r="E560" s="24">
        <f>IF($D560="","",IFERROR(VLOOKUP($D560,物料档案!$A$4:$P$1203,3,0),"※编码不在物料档案里"))</f>
        <v/>
      </c>
      <c r="F560" s="24">
        <f>IF($D560="","",IFERROR(VLOOKUP($D560,物料档案!$A$4:$P$1203,4,0),"※编码不在物料档案里"))</f>
        <v/>
      </c>
      <c r="G560" s="24">
        <f>IF($D560="","",IFERROR(VLOOKUP($D560,物料档案!$A$4:$P$1203,5,0),"※编码不在物料档案里"))</f>
        <v/>
      </c>
      <c r="H560" s="24">
        <f>IF($D560="","",IFERROR(VLOOKUP($D560,物料档案!$A$4:$P$1203,2,0),"※编码不在物料档案里"))</f>
        <v/>
      </c>
      <c r="I560" s="24">
        <f>IF($D560="","",IFERROR(VLOOKUP($D560,物料档案!$A$4:$P$1203,6,0),"※编码不在物料档案里"))</f>
        <v/>
      </c>
      <c r="J560" s="23" t="n"/>
      <c r="K560" s="17" t="n"/>
      <c r="L560" s="17" t="n"/>
      <c r="M560" s="17" t="n"/>
      <c r="N560" s="17" t="n"/>
      <c r="O560" s="26">
        <f>IF($D560="","",IFERROR(VLOOKUP($D560,物料档案!$A$4:$P$1203,10,0),0))</f>
        <v/>
      </c>
      <c r="P560" s="32" t="n"/>
      <c r="Q560" s="26">
        <f>IF($D560="","",IF($K560&lt;&gt;"对外销售",0,ROUND(N($J560)*IF($P560="",N($O560),N($P560)),0)))</f>
        <v/>
      </c>
      <c r="R560" s="26">
        <f>IF($D560="","",IFERROR(VLOOKUP($D560,库存台账!$A$5:$Y$1204,11,0),0))</f>
        <v/>
      </c>
      <c r="S560" s="26">
        <f>IF($D560="","",ROUND(N($J560)*N($R560),0))</f>
        <v/>
      </c>
      <c r="T560" s="26">
        <f>IF($D560="","",IF($K560&lt;&gt;"对外销售","",ROUND($Q560-$S560,0)))</f>
        <v/>
      </c>
      <c r="U560" s="17" t="n"/>
      <c r="V560" s="17" t="n"/>
      <c r="W560" s="24">
        <f>IF($D560="","",IF($E560="※编码不在物料档案里","※物料编码不在档案里",IF(N($J560)&lt;=0,"※出库数量要大于 0",IF($K560="","※没填去向类型",IF($L560="","※没填去向矿区",IF(AND($C560&lt;&gt;"",$C560&lt;=结账锁),"※日期早于已结账截止日，不能再录",IF(AND($K560="自用消耗",COUNTIF({"一矿区";"二矿区"},$L560)=0),"※自用消耗的去向只能是一矿区或二矿区",IF(AND($K560="对外销售",COUNTIF({"三矿区";"六矿区"},$L560)=0),"※对外销售的去向只能是三矿区或六矿区",IF(AND($K560="对外销售",ROUND($Q560,0)=0),"※外销却没有售价，请填实际售价",IF(AND($K560="对外销售",$T560&lt;&gt;"",$T560&lt;0),"※这一笔外销是亏的，请核对售价",IF(IFERROR(VLOOKUP($D560,库存台账!$A$5:$Y$1204,24,0),0)&lt;-0.001,"※这个物料账面已经变成负数了，查一下是不是漏记入库","")))))))))))</f>
        <v/>
      </c>
    </row>
    <row r="561">
      <c r="A561" s="24">
        <f>IF($D561="","",COUNTA($D$4:$D561))</f>
        <v/>
      </c>
      <c r="B561" s="17" t="n"/>
      <c r="C561" s="30" t="n"/>
      <c r="D561" s="17" t="n"/>
      <c r="E561" s="24">
        <f>IF($D561="","",IFERROR(VLOOKUP($D561,物料档案!$A$4:$P$1203,3,0),"※编码不在物料档案里"))</f>
        <v/>
      </c>
      <c r="F561" s="24">
        <f>IF($D561="","",IFERROR(VLOOKUP($D561,物料档案!$A$4:$P$1203,4,0),"※编码不在物料档案里"))</f>
        <v/>
      </c>
      <c r="G561" s="24">
        <f>IF($D561="","",IFERROR(VLOOKUP($D561,物料档案!$A$4:$P$1203,5,0),"※编码不在物料档案里"))</f>
        <v/>
      </c>
      <c r="H561" s="24">
        <f>IF($D561="","",IFERROR(VLOOKUP($D561,物料档案!$A$4:$P$1203,2,0),"※编码不在物料档案里"))</f>
        <v/>
      </c>
      <c r="I561" s="24">
        <f>IF($D561="","",IFERROR(VLOOKUP($D561,物料档案!$A$4:$P$1203,6,0),"※编码不在物料档案里"))</f>
        <v/>
      </c>
      <c r="J561" s="23" t="n"/>
      <c r="K561" s="17" t="n"/>
      <c r="L561" s="17" t="n"/>
      <c r="M561" s="17" t="n"/>
      <c r="N561" s="17" t="n"/>
      <c r="O561" s="26">
        <f>IF($D561="","",IFERROR(VLOOKUP($D561,物料档案!$A$4:$P$1203,10,0),0))</f>
        <v/>
      </c>
      <c r="P561" s="32" t="n"/>
      <c r="Q561" s="26">
        <f>IF($D561="","",IF($K561&lt;&gt;"对外销售",0,ROUND(N($J561)*IF($P561="",N($O561),N($P561)),0)))</f>
        <v/>
      </c>
      <c r="R561" s="26">
        <f>IF($D561="","",IFERROR(VLOOKUP($D561,库存台账!$A$5:$Y$1204,11,0),0))</f>
        <v/>
      </c>
      <c r="S561" s="26">
        <f>IF($D561="","",ROUND(N($J561)*N($R561),0))</f>
        <v/>
      </c>
      <c r="T561" s="26">
        <f>IF($D561="","",IF($K561&lt;&gt;"对外销售","",ROUND($Q561-$S561,0)))</f>
        <v/>
      </c>
      <c r="U561" s="17" t="n"/>
      <c r="V561" s="17" t="n"/>
      <c r="W561" s="24">
        <f>IF($D561="","",IF($E561="※编码不在物料档案里","※物料编码不在档案里",IF(N($J561)&lt;=0,"※出库数量要大于 0",IF($K561="","※没填去向类型",IF($L561="","※没填去向矿区",IF(AND($C561&lt;&gt;"",$C561&lt;=结账锁),"※日期早于已结账截止日，不能再录",IF(AND($K561="自用消耗",COUNTIF({"一矿区";"二矿区"},$L561)=0),"※自用消耗的去向只能是一矿区或二矿区",IF(AND($K561="对外销售",COUNTIF({"三矿区";"六矿区"},$L561)=0),"※对外销售的去向只能是三矿区或六矿区",IF(AND($K561="对外销售",ROUND($Q561,0)=0),"※外销却没有售价，请填实际售价",IF(AND($K561="对外销售",$T561&lt;&gt;"",$T561&lt;0),"※这一笔外销是亏的，请核对售价",IF(IFERROR(VLOOKUP($D561,库存台账!$A$5:$Y$1204,24,0),0)&lt;-0.001,"※这个物料账面已经变成负数了，查一下是不是漏记入库","")))))))))))</f>
        <v/>
      </c>
    </row>
    <row r="562">
      <c r="A562" s="24">
        <f>IF($D562="","",COUNTA($D$4:$D562))</f>
        <v/>
      </c>
      <c r="B562" s="17" t="n"/>
      <c r="C562" s="30" t="n"/>
      <c r="D562" s="17" t="n"/>
      <c r="E562" s="24">
        <f>IF($D562="","",IFERROR(VLOOKUP($D562,物料档案!$A$4:$P$1203,3,0),"※编码不在物料档案里"))</f>
        <v/>
      </c>
      <c r="F562" s="24">
        <f>IF($D562="","",IFERROR(VLOOKUP($D562,物料档案!$A$4:$P$1203,4,0),"※编码不在物料档案里"))</f>
        <v/>
      </c>
      <c r="G562" s="24">
        <f>IF($D562="","",IFERROR(VLOOKUP($D562,物料档案!$A$4:$P$1203,5,0),"※编码不在物料档案里"))</f>
        <v/>
      </c>
      <c r="H562" s="24">
        <f>IF($D562="","",IFERROR(VLOOKUP($D562,物料档案!$A$4:$P$1203,2,0),"※编码不在物料档案里"))</f>
        <v/>
      </c>
      <c r="I562" s="24">
        <f>IF($D562="","",IFERROR(VLOOKUP($D562,物料档案!$A$4:$P$1203,6,0),"※编码不在物料档案里"))</f>
        <v/>
      </c>
      <c r="J562" s="23" t="n"/>
      <c r="K562" s="17" t="n"/>
      <c r="L562" s="17" t="n"/>
      <c r="M562" s="17" t="n"/>
      <c r="N562" s="17" t="n"/>
      <c r="O562" s="26">
        <f>IF($D562="","",IFERROR(VLOOKUP($D562,物料档案!$A$4:$P$1203,10,0),0))</f>
        <v/>
      </c>
      <c r="P562" s="32" t="n"/>
      <c r="Q562" s="26">
        <f>IF($D562="","",IF($K562&lt;&gt;"对外销售",0,ROUND(N($J562)*IF($P562="",N($O562),N($P562)),0)))</f>
        <v/>
      </c>
      <c r="R562" s="26">
        <f>IF($D562="","",IFERROR(VLOOKUP($D562,库存台账!$A$5:$Y$1204,11,0),0))</f>
        <v/>
      </c>
      <c r="S562" s="26">
        <f>IF($D562="","",ROUND(N($J562)*N($R562),0))</f>
        <v/>
      </c>
      <c r="T562" s="26">
        <f>IF($D562="","",IF($K562&lt;&gt;"对外销售","",ROUND($Q562-$S562,0)))</f>
        <v/>
      </c>
      <c r="U562" s="17" t="n"/>
      <c r="V562" s="17" t="n"/>
      <c r="W562" s="24">
        <f>IF($D562="","",IF($E562="※编码不在物料档案里","※物料编码不在档案里",IF(N($J562)&lt;=0,"※出库数量要大于 0",IF($K562="","※没填去向类型",IF($L562="","※没填去向矿区",IF(AND($C562&lt;&gt;"",$C562&lt;=结账锁),"※日期早于已结账截止日，不能再录",IF(AND($K562="自用消耗",COUNTIF({"一矿区";"二矿区"},$L562)=0),"※自用消耗的去向只能是一矿区或二矿区",IF(AND($K562="对外销售",COUNTIF({"三矿区";"六矿区"},$L562)=0),"※对外销售的去向只能是三矿区或六矿区",IF(AND($K562="对外销售",ROUND($Q562,0)=0),"※外销却没有售价，请填实际售价",IF(AND($K562="对外销售",$T562&lt;&gt;"",$T562&lt;0),"※这一笔外销是亏的，请核对售价",IF(IFERROR(VLOOKUP($D562,库存台账!$A$5:$Y$1204,24,0),0)&lt;-0.001,"※这个物料账面已经变成负数了，查一下是不是漏记入库","")))))))))))</f>
        <v/>
      </c>
    </row>
    <row r="563">
      <c r="A563" s="24">
        <f>IF($D563="","",COUNTA($D$4:$D563))</f>
        <v/>
      </c>
      <c r="B563" s="17" t="n"/>
      <c r="C563" s="30" t="n"/>
      <c r="D563" s="17" t="n"/>
      <c r="E563" s="24">
        <f>IF($D563="","",IFERROR(VLOOKUP($D563,物料档案!$A$4:$P$1203,3,0),"※编码不在物料档案里"))</f>
        <v/>
      </c>
      <c r="F563" s="24">
        <f>IF($D563="","",IFERROR(VLOOKUP($D563,物料档案!$A$4:$P$1203,4,0),"※编码不在物料档案里"))</f>
        <v/>
      </c>
      <c r="G563" s="24">
        <f>IF($D563="","",IFERROR(VLOOKUP($D563,物料档案!$A$4:$P$1203,5,0),"※编码不在物料档案里"))</f>
        <v/>
      </c>
      <c r="H563" s="24">
        <f>IF($D563="","",IFERROR(VLOOKUP($D563,物料档案!$A$4:$P$1203,2,0),"※编码不在物料档案里"))</f>
        <v/>
      </c>
      <c r="I563" s="24">
        <f>IF($D563="","",IFERROR(VLOOKUP($D563,物料档案!$A$4:$P$1203,6,0),"※编码不在物料档案里"))</f>
        <v/>
      </c>
      <c r="J563" s="23" t="n"/>
      <c r="K563" s="17" t="n"/>
      <c r="L563" s="17" t="n"/>
      <c r="M563" s="17" t="n"/>
      <c r="N563" s="17" t="n"/>
      <c r="O563" s="26">
        <f>IF($D563="","",IFERROR(VLOOKUP($D563,物料档案!$A$4:$P$1203,10,0),0))</f>
        <v/>
      </c>
      <c r="P563" s="32" t="n"/>
      <c r="Q563" s="26">
        <f>IF($D563="","",IF($K563&lt;&gt;"对外销售",0,ROUND(N($J563)*IF($P563="",N($O563),N($P563)),0)))</f>
        <v/>
      </c>
      <c r="R563" s="26">
        <f>IF($D563="","",IFERROR(VLOOKUP($D563,库存台账!$A$5:$Y$1204,11,0),0))</f>
        <v/>
      </c>
      <c r="S563" s="26">
        <f>IF($D563="","",ROUND(N($J563)*N($R563),0))</f>
        <v/>
      </c>
      <c r="T563" s="26">
        <f>IF($D563="","",IF($K563&lt;&gt;"对外销售","",ROUND($Q563-$S563,0)))</f>
        <v/>
      </c>
      <c r="U563" s="17" t="n"/>
      <c r="V563" s="17" t="n"/>
      <c r="W563" s="24">
        <f>IF($D563="","",IF($E563="※编码不在物料档案里","※物料编码不在档案里",IF(N($J563)&lt;=0,"※出库数量要大于 0",IF($K563="","※没填去向类型",IF($L563="","※没填去向矿区",IF(AND($C563&lt;&gt;"",$C563&lt;=结账锁),"※日期早于已结账截止日，不能再录",IF(AND($K563="自用消耗",COUNTIF({"一矿区";"二矿区"},$L563)=0),"※自用消耗的去向只能是一矿区或二矿区",IF(AND($K563="对外销售",COUNTIF({"三矿区";"六矿区"},$L563)=0),"※对外销售的去向只能是三矿区或六矿区",IF(AND($K563="对外销售",ROUND($Q563,0)=0),"※外销却没有售价，请填实际售价",IF(AND($K563="对外销售",$T563&lt;&gt;"",$T563&lt;0),"※这一笔外销是亏的，请核对售价",IF(IFERROR(VLOOKUP($D563,库存台账!$A$5:$Y$1204,24,0),0)&lt;-0.001,"※这个物料账面已经变成负数了，查一下是不是漏记入库","")))))))))))</f>
        <v/>
      </c>
    </row>
    <row r="564">
      <c r="A564" s="24">
        <f>IF($D564="","",COUNTA($D$4:$D564))</f>
        <v/>
      </c>
      <c r="B564" s="17" t="n"/>
      <c r="C564" s="30" t="n"/>
      <c r="D564" s="17" t="n"/>
      <c r="E564" s="24">
        <f>IF($D564="","",IFERROR(VLOOKUP($D564,物料档案!$A$4:$P$1203,3,0),"※编码不在物料档案里"))</f>
        <v/>
      </c>
      <c r="F564" s="24">
        <f>IF($D564="","",IFERROR(VLOOKUP($D564,物料档案!$A$4:$P$1203,4,0),"※编码不在物料档案里"))</f>
        <v/>
      </c>
      <c r="G564" s="24">
        <f>IF($D564="","",IFERROR(VLOOKUP($D564,物料档案!$A$4:$P$1203,5,0),"※编码不在物料档案里"))</f>
        <v/>
      </c>
      <c r="H564" s="24">
        <f>IF($D564="","",IFERROR(VLOOKUP($D564,物料档案!$A$4:$P$1203,2,0),"※编码不在物料档案里"))</f>
        <v/>
      </c>
      <c r="I564" s="24">
        <f>IF($D564="","",IFERROR(VLOOKUP($D564,物料档案!$A$4:$P$1203,6,0),"※编码不在物料档案里"))</f>
        <v/>
      </c>
      <c r="J564" s="23" t="n"/>
      <c r="K564" s="17" t="n"/>
      <c r="L564" s="17" t="n"/>
      <c r="M564" s="17" t="n"/>
      <c r="N564" s="17" t="n"/>
      <c r="O564" s="26">
        <f>IF($D564="","",IFERROR(VLOOKUP($D564,物料档案!$A$4:$P$1203,10,0),0))</f>
        <v/>
      </c>
      <c r="P564" s="32" t="n"/>
      <c r="Q564" s="26">
        <f>IF($D564="","",IF($K564&lt;&gt;"对外销售",0,ROUND(N($J564)*IF($P564="",N($O564),N($P564)),0)))</f>
        <v/>
      </c>
      <c r="R564" s="26">
        <f>IF($D564="","",IFERROR(VLOOKUP($D564,库存台账!$A$5:$Y$1204,11,0),0))</f>
        <v/>
      </c>
      <c r="S564" s="26">
        <f>IF($D564="","",ROUND(N($J564)*N($R564),0))</f>
        <v/>
      </c>
      <c r="T564" s="26">
        <f>IF($D564="","",IF($K564&lt;&gt;"对外销售","",ROUND($Q564-$S564,0)))</f>
        <v/>
      </c>
      <c r="U564" s="17" t="n"/>
      <c r="V564" s="17" t="n"/>
      <c r="W564" s="24">
        <f>IF($D564="","",IF($E564="※编码不在物料档案里","※物料编码不在档案里",IF(N($J564)&lt;=0,"※出库数量要大于 0",IF($K564="","※没填去向类型",IF($L564="","※没填去向矿区",IF(AND($C564&lt;&gt;"",$C564&lt;=结账锁),"※日期早于已结账截止日，不能再录",IF(AND($K564="自用消耗",COUNTIF({"一矿区";"二矿区"},$L564)=0),"※自用消耗的去向只能是一矿区或二矿区",IF(AND($K564="对外销售",COUNTIF({"三矿区";"六矿区"},$L564)=0),"※对外销售的去向只能是三矿区或六矿区",IF(AND($K564="对外销售",ROUND($Q564,0)=0),"※外销却没有售价，请填实际售价",IF(AND($K564="对外销售",$T564&lt;&gt;"",$T564&lt;0),"※这一笔外销是亏的，请核对售价",IF(IFERROR(VLOOKUP($D564,库存台账!$A$5:$Y$1204,24,0),0)&lt;-0.001,"※这个物料账面已经变成负数了，查一下是不是漏记入库","")))))))))))</f>
        <v/>
      </c>
    </row>
    <row r="565">
      <c r="A565" s="24">
        <f>IF($D565="","",COUNTA($D$4:$D565))</f>
        <v/>
      </c>
      <c r="B565" s="17" t="n"/>
      <c r="C565" s="30" t="n"/>
      <c r="D565" s="17" t="n"/>
      <c r="E565" s="24">
        <f>IF($D565="","",IFERROR(VLOOKUP($D565,物料档案!$A$4:$P$1203,3,0),"※编码不在物料档案里"))</f>
        <v/>
      </c>
      <c r="F565" s="24">
        <f>IF($D565="","",IFERROR(VLOOKUP($D565,物料档案!$A$4:$P$1203,4,0),"※编码不在物料档案里"))</f>
        <v/>
      </c>
      <c r="G565" s="24">
        <f>IF($D565="","",IFERROR(VLOOKUP($D565,物料档案!$A$4:$P$1203,5,0),"※编码不在物料档案里"))</f>
        <v/>
      </c>
      <c r="H565" s="24">
        <f>IF($D565="","",IFERROR(VLOOKUP($D565,物料档案!$A$4:$P$1203,2,0),"※编码不在物料档案里"))</f>
        <v/>
      </c>
      <c r="I565" s="24">
        <f>IF($D565="","",IFERROR(VLOOKUP($D565,物料档案!$A$4:$P$1203,6,0),"※编码不在物料档案里"))</f>
        <v/>
      </c>
      <c r="J565" s="23" t="n"/>
      <c r="K565" s="17" t="n"/>
      <c r="L565" s="17" t="n"/>
      <c r="M565" s="17" t="n"/>
      <c r="N565" s="17" t="n"/>
      <c r="O565" s="26">
        <f>IF($D565="","",IFERROR(VLOOKUP($D565,物料档案!$A$4:$P$1203,10,0),0))</f>
        <v/>
      </c>
      <c r="P565" s="32" t="n"/>
      <c r="Q565" s="26">
        <f>IF($D565="","",IF($K565&lt;&gt;"对外销售",0,ROUND(N($J565)*IF($P565="",N($O565),N($P565)),0)))</f>
        <v/>
      </c>
      <c r="R565" s="26">
        <f>IF($D565="","",IFERROR(VLOOKUP($D565,库存台账!$A$5:$Y$1204,11,0),0))</f>
        <v/>
      </c>
      <c r="S565" s="26">
        <f>IF($D565="","",ROUND(N($J565)*N($R565),0))</f>
        <v/>
      </c>
      <c r="T565" s="26">
        <f>IF($D565="","",IF($K565&lt;&gt;"对外销售","",ROUND($Q565-$S565,0)))</f>
        <v/>
      </c>
      <c r="U565" s="17" t="n"/>
      <c r="V565" s="17" t="n"/>
      <c r="W565" s="24">
        <f>IF($D565="","",IF($E565="※编码不在物料档案里","※物料编码不在档案里",IF(N($J565)&lt;=0,"※出库数量要大于 0",IF($K565="","※没填去向类型",IF($L565="","※没填去向矿区",IF(AND($C565&lt;&gt;"",$C565&lt;=结账锁),"※日期早于已结账截止日，不能再录",IF(AND($K565="自用消耗",COUNTIF({"一矿区";"二矿区"},$L565)=0),"※自用消耗的去向只能是一矿区或二矿区",IF(AND($K565="对外销售",COUNTIF({"三矿区";"六矿区"},$L565)=0),"※对外销售的去向只能是三矿区或六矿区",IF(AND($K565="对外销售",ROUND($Q565,0)=0),"※外销却没有售价，请填实际售价",IF(AND($K565="对外销售",$T565&lt;&gt;"",$T565&lt;0),"※这一笔外销是亏的，请核对售价",IF(IFERROR(VLOOKUP($D565,库存台账!$A$5:$Y$1204,24,0),0)&lt;-0.001,"※这个物料账面已经变成负数了，查一下是不是漏记入库","")))))))))))</f>
        <v/>
      </c>
    </row>
    <row r="566">
      <c r="A566" s="24">
        <f>IF($D566="","",COUNTA($D$4:$D566))</f>
        <v/>
      </c>
      <c r="B566" s="17" t="n"/>
      <c r="C566" s="30" t="n"/>
      <c r="D566" s="17" t="n"/>
      <c r="E566" s="24">
        <f>IF($D566="","",IFERROR(VLOOKUP($D566,物料档案!$A$4:$P$1203,3,0),"※编码不在物料档案里"))</f>
        <v/>
      </c>
      <c r="F566" s="24">
        <f>IF($D566="","",IFERROR(VLOOKUP($D566,物料档案!$A$4:$P$1203,4,0),"※编码不在物料档案里"))</f>
        <v/>
      </c>
      <c r="G566" s="24">
        <f>IF($D566="","",IFERROR(VLOOKUP($D566,物料档案!$A$4:$P$1203,5,0),"※编码不在物料档案里"))</f>
        <v/>
      </c>
      <c r="H566" s="24">
        <f>IF($D566="","",IFERROR(VLOOKUP($D566,物料档案!$A$4:$P$1203,2,0),"※编码不在物料档案里"))</f>
        <v/>
      </c>
      <c r="I566" s="24">
        <f>IF($D566="","",IFERROR(VLOOKUP($D566,物料档案!$A$4:$P$1203,6,0),"※编码不在物料档案里"))</f>
        <v/>
      </c>
      <c r="J566" s="23" t="n"/>
      <c r="K566" s="17" t="n"/>
      <c r="L566" s="17" t="n"/>
      <c r="M566" s="17" t="n"/>
      <c r="N566" s="17" t="n"/>
      <c r="O566" s="26">
        <f>IF($D566="","",IFERROR(VLOOKUP($D566,物料档案!$A$4:$P$1203,10,0),0))</f>
        <v/>
      </c>
      <c r="P566" s="32" t="n"/>
      <c r="Q566" s="26">
        <f>IF($D566="","",IF($K566&lt;&gt;"对外销售",0,ROUND(N($J566)*IF($P566="",N($O566),N($P566)),0)))</f>
        <v/>
      </c>
      <c r="R566" s="26">
        <f>IF($D566="","",IFERROR(VLOOKUP($D566,库存台账!$A$5:$Y$1204,11,0),0))</f>
        <v/>
      </c>
      <c r="S566" s="26">
        <f>IF($D566="","",ROUND(N($J566)*N($R566),0))</f>
        <v/>
      </c>
      <c r="T566" s="26">
        <f>IF($D566="","",IF($K566&lt;&gt;"对外销售","",ROUND($Q566-$S566,0)))</f>
        <v/>
      </c>
      <c r="U566" s="17" t="n"/>
      <c r="V566" s="17" t="n"/>
      <c r="W566" s="24">
        <f>IF($D566="","",IF($E566="※编码不在物料档案里","※物料编码不在档案里",IF(N($J566)&lt;=0,"※出库数量要大于 0",IF($K566="","※没填去向类型",IF($L566="","※没填去向矿区",IF(AND($C566&lt;&gt;"",$C566&lt;=结账锁),"※日期早于已结账截止日，不能再录",IF(AND($K566="自用消耗",COUNTIF({"一矿区";"二矿区"},$L566)=0),"※自用消耗的去向只能是一矿区或二矿区",IF(AND($K566="对外销售",COUNTIF({"三矿区";"六矿区"},$L566)=0),"※对外销售的去向只能是三矿区或六矿区",IF(AND($K566="对外销售",ROUND($Q566,0)=0),"※外销却没有售价，请填实际售价",IF(AND($K566="对外销售",$T566&lt;&gt;"",$T566&lt;0),"※这一笔外销是亏的，请核对售价",IF(IFERROR(VLOOKUP($D566,库存台账!$A$5:$Y$1204,24,0),0)&lt;-0.001,"※这个物料账面已经变成负数了，查一下是不是漏记入库","")))))))))))</f>
        <v/>
      </c>
    </row>
    <row r="567">
      <c r="A567" s="24">
        <f>IF($D567="","",COUNTA($D$4:$D567))</f>
        <v/>
      </c>
      <c r="B567" s="17" t="n"/>
      <c r="C567" s="30" t="n"/>
      <c r="D567" s="17" t="n"/>
      <c r="E567" s="24">
        <f>IF($D567="","",IFERROR(VLOOKUP($D567,物料档案!$A$4:$P$1203,3,0),"※编码不在物料档案里"))</f>
        <v/>
      </c>
      <c r="F567" s="24">
        <f>IF($D567="","",IFERROR(VLOOKUP($D567,物料档案!$A$4:$P$1203,4,0),"※编码不在物料档案里"))</f>
        <v/>
      </c>
      <c r="G567" s="24">
        <f>IF($D567="","",IFERROR(VLOOKUP($D567,物料档案!$A$4:$P$1203,5,0),"※编码不在物料档案里"))</f>
        <v/>
      </c>
      <c r="H567" s="24">
        <f>IF($D567="","",IFERROR(VLOOKUP($D567,物料档案!$A$4:$P$1203,2,0),"※编码不在物料档案里"))</f>
        <v/>
      </c>
      <c r="I567" s="24">
        <f>IF($D567="","",IFERROR(VLOOKUP($D567,物料档案!$A$4:$P$1203,6,0),"※编码不在物料档案里"))</f>
        <v/>
      </c>
      <c r="J567" s="23" t="n"/>
      <c r="K567" s="17" t="n"/>
      <c r="L567" s="17" t="n"/>
      <c r="M567" s="17" t="n"/>
      <c r="N567" s="17" t="n"/>
      <c r="O567" s="26">
        <f>IF($D567="","",IFERROR(VLOOKUP($D567,物料档案!$A$4:$P$1203,10,0),0))</f>
        <v/>
      </c>
      <c r="P567" s="32" t="n"/>
      <c r="Q567" s="26">
        <f>IF($D567="","",IF($K567&lt;&gt;"对外销售",0,ROUND(N($J567)*IF($P567="",N($O567),N($P567)),0)))</f>
        <v/>
      </c>
      <c r="R567" s="26">
        <f>IF($D567="","",IFERROR(VLOOKUP($D567,库存台账!$A$5:$Y$1204,11,0),0))</f>
        <v/>
      </c>
      <c r="S567" s="26">
        <f>IF($D567="","",ROUND(N($J567)*N($R567),0))</f>
        <v/>
      </c>
      <c r="T567" s="26">
        <f>IF($D567="","",IF($K567&lt;&gt;"对外销售","",ROUND($Q567-$S567,0)))</f>
        <v/>
      </c>
      <c r="U567" s="17" t="n"/>
      <c r="V567" s="17" t="n"/>
      <c r="W567" s="24">
        <f>IF($D567="","",IF($E567="※编码不在物料档案里","※物料编码不在档案里",IF(N($J567)&lt;=0,"※出库数量要大于 0",IF($K567="","※没填去向类型",IF($L567="","※没填去向矿区",IF(AND($C567&lt;&gt;"",$C567&lt;=结账锁),"※日期早于已结账截止日，不能再录",IF(AND($K567="自用消耗",COUNTIF({"一矿区";"二矿区"},$L567)=0),"※自用消耗的去向只能是一矿区或二矿区",IF(AND($K567="对外销售",COUNTIF({"三矿区";"六矿区"},$L567)=0),"※对外销售的去向只能是三矿区或六矿区",IF(AND($K567="对外销售",ROUND($Q567,0)=0),"※外销却没有售价，请填实际售价",IF(AND($K567="对外销售",$T567&lt;&gt;"",$T567&lt;0),"※这一笔外销是亏的，请核对售价",IF(IFERROR(VLOOKUP($D567,库存台账!$A$5:$Y$1204,24,0),0)&lt;-0.001,"※这个物料账面已经变成负数了，查一下是不是漏记入库","")))))))))))</f>
        <v/>
      </c>
    </row>
    <row r="568">
      <c r="A568" s="24">
        <f>IF($D568="","",COUNTA($D$4:$D568))</f>
        <v/>
      </c>
      <c r="B568" s="17" t="n"/>
      <c r="C568" s="30" t="n"/>
      <c r="D568" s="17" t="n"/>
      <c r="E568" s="24">
        <f>IF($D568="","",IFERROR(VLOOKUP($D568,物料档案!$A$4:$P$1203,3,0),"※编码不在物料档案里"))</f>
        <v/>
      </c>
      <c r="F568" s="24">
        <f>IF($D568="","",IFERROR(VLOOKUP($D568,物料档案!$A$4:$P$1203,4,0),"※编码不在物料档案里"))</f>
        <v/>
      </c>
      <c r="G568" s="24">
        <f>IF($D568="","",IFERROR(VLOOKUP($D568,物料档案!$A$4:$P$1203,5,0),"※编码不在物料档案里"))</f>
        <v/>
      </c>
      <c r="H568" s="24">
        <f>IF($D568="","",IFERROR(VLOOKUP($D568,物料档案!$A$4:$P$1203,2,0),"※编码不在物料档案里"))</f>
        <v/>
      </c>
      <c r="I568" s="24">
        <f>IF($D568="","",IFERROR(VLOOKUP($D568,物料档案!$A$4:$P$1203,6,0),"※编码不在物料档案里"))</f>
        <v/>
      </c>
      <c r="J568" s="23" t="n"/>
      <c r="K568" s="17" t="n"/>
      <c r="L568" s="17" t="n"/>
      <c r="M568" s="17" t="n"/>
      <c r="N568" s="17" t="n"/>
      <c r="O568" s="26">
        <f>IF($D568="","",IFERROR(VLOOKUP($D568,物料档案!$A$4:$P$1203,10,0),0))</f>
        <v/>
      </c>
      <c r="P568" s="32" t="n"/>
      <c r="Q568" s="26">
        <f>IF($D568="","",IF($K568&lt;&gt;"对外销售",0,ROUND(N($J568)*IF($P568="",N($O568),N($P568)),0)))</f>
        <v/>
      </c>
      <c r="R568" s="26">
        <f>IF($D568="","",IFERROR(VLOOKUP($D568,库存台账!$A$5:$Y$1204,11,0),0))</f>
        <v/>
      </c>
      <c r="S568" s="26">
        <f>IF($D568="","",ROUND(N($J568)*N($R568),0))</f>
        <v/>
      </c>
      <c r="T568" s="26">
        <f>IF($D568="","",IF($K568&lt;&gt;"对外销售","",ROUND($Q568-$S568,0)))</f>
        <v/>
      </c>
      <c r="U568" s="17" t="n"/>
      <c r="V568" s="17" t="n"/>
      <c r="W568" s="24">
        <f>IF($D568="","",IF($E568="※编码不在物料档案里","※物料编码不在档案里",IF(N($J568)&lt;=0,"※出库数量要大于 0",IF($K568="","※没填去向类型",IF($L568="","※没填去向矿区",IF(AND($C568&lt;&gt;"",$C568&lt;=结账锁),"※日期早于已结账截止日，不能再录",IF(AND($K568="自用消耗",COUNTIF({"一矿区";"二矿区"},$L568)=0),"※自用消耗的去向只能是一矿区或二矿区",IF(AND($K568="对外销售",COUNTIF({"三矿区";"六矿区"},$L568)=0),"※对外销售的去向只能是三矿区或六矿区",IF(AND($K568="对外销售",ROUND($Q568,0)=0),"※外销却没有售价，请填实际售价",IF(AND($K568="对外销售",$T568&lt;&gt;"",$T568&lt;0),"※这一笔外销是亏的，请核对售价",IF(IFERROR(VLOOKUP($D568,库存台账!$A$5:$Y$1204,24,0),0)&lt;-0.001,"※这个物料账面已经变成负数了，查一下是不是漏记入库","")))))))))))</f>
        <v/>
      </c>
    </row>
    <row r="569">
      <c r="A569" s="24">
        <f>IF($D569="","",COUNTA($D$4:$D569))</f>
        <v/>
      </c>
      <c r="B569" s="17" t="n"/>
      <c r="C569" s="30" t="n"/>
      <c r="D569" s="17" t="n"/>
      <c r="E569" s="24">
        <f>IF($D569="","",IFERROR(VLOOKUP($D569,物料档案!$A$4:$P$1203,3,0),"※编码不在物料档案里"))</f>
        <v/>
      </c>
      <c r="F569" s="24">
        <f>IF($D569="","",IFERROR(VLOOKUP($D569,物料档案!$A$4:$P$1203,4,0),"※编码不在物料档案里"))</f>
        <v/>
      </c>
      <c r="G569" s="24">
        <f>IF($D569="","",IFERROR(VLOOKUP($D569,物料档案!$A$4:$P$1203,5,0),"※编码不在物料档案里"))</f>
        <v/>
      </c>
      <c r="H569" s="24">
        <f>IF($D569="","",IFERROR(VLOOKUP($D569,物料档案!$A$4:$P$1203,2,0),"※编码不在物料档案里"))</f>
        <v/>
      </c>
      <c r="I569" s="24">
        <f>IF($D569="","",IFERROR(VLOOKUP($D569,物料档案!$A$4:$P$1203,6,0),"※编码不在物料档案里"))</f>
        <v/>
      </c>
      <c r="J569" s="23" t="n"/>
      <c r="K569" s="17" t="n"/>
      <c r="L569" s="17" t="n"/>
      <c r="M569" s="17" t="n"/>
      <c r="N569" s="17" t="n"/>
      <c r="O569" s="26">
        <f>IF($D569="","",IFERROR(VLOOKUP($D569,物料档案!$A$4:$P$1203,10,0),0))</f>
        <v/>
      </c>
      <c r="P569" s="32" t="n"/>
      <c r="Q569" s="26">
        <f>IF($D569="","",IF($K569&lt;&gt;"对外销售",0,ROUND(N($J569)*IF($P569="",N($O569),N($P569)),0)))</f>
        <v/>
      </c>
      <c r="R569" s="26">
        <f>IF($D569="","",IFERROR(VLOOKUP($D569,库存台账!$A$5:$Y$1204,11,0),0))</f>
        <v/>
      </c>
      <c r="S569" s="26">
        <f>IF($D569="","",ROUND(N($J569)*N($R569),0))</f>
        <v/>
      </c>
      <c r="T569" s="26">
        <f>IF($D569="","",IF($K569&lt;&gt;"对外销售","",ROUND($Q569-$S569,0)))</f>
        <v/>
      </c>
      <c r="U569" s="17" t="n"/>
      <c r="V569" s="17" t="n"/>
      <c r="W569" s="24">
        <f>IF($D569="","",IF($E569="※编码不在物料档案里","※物料编码不在档案里",IF(N($J569)&lt;=0,"※出库数量要大于 0",IF($K569="","※没填去向类型",IF($L569="","※没填去向矿区",IF(AND($C569&lt;&gt;"",$C569&lt;=结账锁),"※日期早于已结账截止日，不能再录",IF(AND($K569="自用消耗",COUNTIF({"一矿区";"二矿区"},$L569)=0),"※自用消耗的去向只能是一矿区或二矿区",IF(AND($K569="对外销售",COUNTIF({"三矿区";"六矿区"},$L569)=0),"※对外销售的去向只能是三矿区或六矿区",IF(AND($K569="对外销售",ROUND($Q569,0)=0),"※外销却没有售价，请填实际售价",IF(AND($K569="对外销售",$T569&lt;&gt;"",$T569&lt;0),"※这一笔外销是亏的，请核对售价",IF(IFERROR(VLOOKUP($D569,库存台账!$A$5:$Y$1204,24,0),0)&lt;-0.001,"※这个物料账面已经变成负数了，查一下是不是漏记入库","")))))))))))</f>
        <v/>
      </c>
    </row>
    <row r="570">
      <c r="A570" s="24">
        <f>IF($D570="","",COUNTA($D$4:$D570))</f>
        <v/>
      </c>
      <c r="B570" s="17" t="n"/>
      <c r="C570" s="30" t="n"/>
      <c r="D570" s="17" t="n"/>
      <c r="E570" s="24">
        <f>IF($D570="","",IFERROR(VLOOKUP($D570,物料档案!$A$4:$P$1203,3,0),"※编码不在物料档案里"))</f>
        <v/>
      </c>
      <c r="F570" s="24">
        <f>IF($D570="","",IFERROR(VLOOKUP($D570,物料档案!$A$4:$P$1203,4,0),"※编码不在物料档案里"))</f>
        <v/>
      </c>
      <c r="G570" s="24">
        <f>IF($D570="","",IFERROR(VLOOKUP($D570,物料档案!$A$4:$P$1203,5,0),"※编码不在物料档案里"))</f>
        <v/>
      </c>
      <c r="H570" s="24">
        <f>IF($D570="","",IFERROR(VLOOKUP($D570,物料档案!$A$4:$P$1203,2,0),"※编码不在物料档案里"))</f>
        <v/>
      </c>
      <c r="I570" s="24">
        <f>IF($D570="","",IFERROR(VLOOKUP($D570,物料档案!$A$4:$P$1203,6,0),"※编码不在物料档案里"))</f>
        <v/>
      </c>
      <c r="J570" s="23" t="n"/>
      <c r="K570" s="17" t="n"/>
      <c r="L570" s="17" t="n"/>
      <c r="M570" s="17" t="n"/>
      <c r="N570" s="17" t="n"/>
      <c r="O570" s="26">
        <f>IF($D570="","",IFERROR(VLOOKUP($D570,物料档案!$A$4:$P$1203,10,0),0))</f>
        <v/>
      </c>
      <c r="P570" s="32" t="n"/>
      <c r="Q570" s="26">
        <f>IF($D570="","",IF($K570&lt;&gt;"对外销售",0,ROUND(N($J570)*IF($P570="",N($O570),N($P570)),0)))</f>
        <v/>
      </c>
      <c r="R570" s="26">
        <f>IF($D570="","",IFERROR(VLOOKUP($D570,库存台账!$A$5:$Y$1204,11,0),0))</f>
        <v/>
      </c>
      <c r="S570" s="26">
        <f>IF($D570="","",ROUND(N($J570)*N($R570),0))</f>
        <v/>
      </c>
      <c r="T570" s="26">
        <f>IF($D570="","",IF($K570&lt;&gt;"对外销售","",ROUND($Q570-$S570,0)))</f>
        <v/>
      </c>
      <c r="U570" s="17" t="n"/>
      <c r="V570" s="17" t="n"/>
      <c r="W570" s="24">
        <f>IF($D570="","",IF($E570="※编码不在物料档案里","※物料编码不在档案里",IF(N($J570)&lt;=0,"※出库数量要大于 0",IF($K570="","※没填去向类型",IF($L570="","※没填去向矿区",IF(AND($C570&lt;&gt;"",$C570&lt;=结账锁),"※日期早于已结账截止日，不能再录",IF(AND($K570="自用消耗",COUNTIF({"一矿区";"二矿区"},$L570)=0),"※自用消耗的去向只能是一矿区或二矿区",IF(AND($K570="对外销售",COUNTIF({"三矿区";"六矿区"},$L570)=0),"※对外销售的去向只能是三矿区或六矿区",IF(AND($K570="对外销售",ROUND($Q570,0)=0),"※外销却没有售价，请填实际售价",IF(AND($K570="对外销售",$T570&lt;&gt;"",$T570&lt;0),"※这一笔外销是亏的，请核对售价",IF(IFERROR(VLOOKUP($D570,库存台账!$A$5:$Y$1204,24,0),0)&lt;-0.001,"※这个物料账面已经变成负数了，查一下是不是漏记入库","")))))))))))</f>
        <v/>
      </c>
    </row>
    <row r="571">
      <c r="A571" s="24">
        <f>IF($D571="","",COUNTA($D$4:$D571))</f>
        <v/>
      </c>
      <c r="B571" s="17" t="n"/>
      <c r="C571" s="30" t="n"/>
      <c r="D571" s="17" t="n"/>
      <c r="E571" s="24">
        <f>IF($D571="","",IFERROR(VLOOKUP($D571,物料档案!$A$4:$P$1203,3,0),"※编码不在物料档案里"))</f>
        <v/>
      </c>
      <c r="F571" s="24">
        <f>IF($D571="","",IFERROR(VLOOKUP($D571,物料档案!$A$4:$P$1203,4,0),"※编码不在物料档案里"))</f>
        <v/>
      </c>
      <c r="G571" s="24">
        <f>IF($D571="","",IFERROR(VLOOKUP($D571,物料档案!$A$4:$P$1203,5,0),"※编码不在物料档案里"))</f>
        <v/>
      </c>
      <c r="H571" s="24">
        <f>IF($D571="","",IFERROR(VLOOKUP($D571,物料档案!$A$4:$P$1203,2,0),"※编码不在物料档案里"))</f>
        <v/>
      </c>
      <c r="I571" s="24">
        <f>IF($D571="","",IFERROR(VLOOKUP($D571,物料档案!$A$4:$P$1203,6,0),"※编码不在物料档案里"))</f>
        <v/>
      </c>
      <c r="J571" s="23" t="n"/>
      <c r="K571" s="17" t="n"/>
      <c r="L571" s="17" t="n"/>
      <c r="M571" s="17" t="n"/>
      <c r="N571" s="17" t="n"/>
      <c r="O571" s="26">
        <f>IF($D571="","",IFERROR(VLOOKUP($D571,物料档案!$A$4:$P$1203,10,0),0))</f>
        <v/>
      </c>
      <c r="P571" s="32" t="n"/>
      <c r="Q571" s="26">
        <f>IF($D571="","",IF($K571&lt;&gt;"对外销售",0,ROUND(N($J571)*IF($P571="",N($O571),N($P571)),0)))</f>
        <v/>
      </c>
      <c r="R571" s="26">
        <f>IF($D571="","",IFERROR(VLOOKUP($D571,库存台账!$A$5:$Y$1204,11,0),0))</f>
        <v/>
      </c>
      <c r="S571" s="26">
        <f>IF($D571="","",ROUND(N($J571)*N($R571),0))</f>
        <v/>
      </c>
      <c r="T571" s="26">
        <f>IF($D571="","",IF($K571&lt;&gt;"对外销售","",ROUND($Q571-$S571,0)))</f>
        <v/>
      </c>
      <c r="U571" s="17" t="n"/>
      <c r="V571" s="17" t="n"/>
      <c r="W571" s="24">
        <f>IF($D571="","",IF($E571="※编码不在物料档案里","※物料编码不在档案里",IF(N($J571)&lt;=0,"※出库数量要大于 0",IF($K571="","※没填去向类型",IF($L571="","※没填去向矿区",IF(AND($C571&lt;&gt;"",$C571&lt;=结账锁),"※日期早于已结账截止日，不能再录",IF(AND($K571="自用消耗",COUNTIF({"一矿区";"二矿区"},$L571)=0),"※自用消耗的去向只能是一矿区或二矿区",IF(AND($K571="对外销售",COUNTIF({"三矿区";"六矿区"},$L571)=0),"※对外销售的去向只能是三矿区或六矿区",IF(AND($K571="对外销售",ROUND($Q571,0)=0),"※外销却没有售价，请填实际售价",IF(AND($K571="对外销售",$T571&lt;&gt;"",$T571&lt;0),"※这一笔外销是亏的，请核对售价",IF(IFERROR(VLOOKUP($D571,库存台账!$A$5:$Y$1204,24,0),0)&lt;-0.001,"※这个物料账面已经变成负数了，查一下是不是漏记入库","")))))))))))</f>
        <v/>
      </c>
    </row>
    <row r="572">
      <c r="A572" s="24">
        <f>IF($D572="","",COUNTA($D$4:$D572))</f>
        <v/>
      </c>
      <c r="B572" s="17" t="n"/>
      <c r="C572" s="30" t="n"/>
      <c r="D572" s="17" t="n"/>
      <c r="E572" s="24">
        <f>IF($D572="","",IFERROR(VLOOKUP($D572,物料档案!$A$4:$P$1203,3,0),"※编码不在物料档案里"))</f>
        <v/>
      </c>
      <c r="F572" s="24">
        <f>IF($D572="","",IFERROR(VLOOKUP($D572,物料档案!$A$4:$P$1203,4,0),"※编码不在物料档案里"))</f>
        <v/>
      </c>
      <c r="G572" s="24">
        <f>IF($D572="","",IFERROR(VLOOKUP($D572,物料档案!$A$4:$P$1203,5,0),"※编码不在物料档案里"))</f>
        <v/>
      </c>
      <c r="H572" s="24">
        <f>IF($D572="","",IFERROR(VLOOKUP($D572,物料档案!$A$4:$P$1203,2,0),"※编码不在物料档案里"))</f>
        <v/>
      </c>
      <c r="I572" s="24">
        <f>IF($D572="","",IFERROR(VLOOKUP($D572,物料档案!$A$4:$P$1203,6,0),"※编码不在物料档案里"))</f>
        <v/>
      </c>
      <c r="J572" s="23" t="n"/>
      <c r="K572" s="17" t="n"/>
      <c r="L572" s="17" t="n"/>
      <c r="M572" s="17" t="n"/>
      <c r="N572" s="17" t="n"/>
      <c r="O572" s="26">
        <f>IF($D572="","",IFERROR(VLOOKUP($D572,物料档案!$A$4:$P$1203,10,0),0))</f>
        <v/>
      </c>
      <c r="P572" s="32" t="n"/>
      <c r="Q572" s="26">
        <f>IF($D572="","",IF($K572&lt;&gt;"对外销售",0,ROUND(N($J572)*IF($P572="",N($O572),N($P572)),0)))</f>
        <v/>
      </c>
      <c r="R572" s="26">
        <f>IF($D572="","",IFERROR(VLOOKUP($D572,库存台账!$A$5:$Y$1204,11,0),0))</f>
        <v/>
      </c>
      <c r="S572" s="26">
        <f>IF($D572="","",ROUND(N($J572)*N($R572),0))</f>
        <v/>
      </c>
      <c r="T572" s="26">
        <f>IF($D572="","",IF($K572&lt;&gt;"对外销售","",ROUND($Q572-$S572,0)))</f>
        <v/>
      </c>
      <c r="U572" s="17" t="n"/>
      <c r="V572" s="17" t="n"/>
      <c r="W572" s="24">
        <f>IF($D572="","",IF($E572="※编码不在物料档案里","※物料编码不在档案里",IF(N($J572)&lt;=0,"※出库数量要大于 0",IF($K572="","※没填去向类型",IF($L572="","※没填去向矿区",IF(AND($C572&lt;&gt;"",$C572&lt;=结账锁),"※日期早于已结账截止日，不能再录",IF(AND($K572="自用消耗",COUNTIF({"一矿区";"二矿区"},$L572)=0),"※自用消耗的去向只能是一矿区或二矿区",IF(AND($K572="对外销售",COUNTIF({"三矿区";"六矿区"},$L572)=0),"※对外销售的去向只能是三矿区或六矿区",IF(AND($K572="对外销售",ROUND($Q572,0)=0),"※外销却没有售价，请填实际售价",IF(AND($K572="对外销售",$T572&lt;&gt;"",$T572&lt;0),"※这一笔外销是亏的，请核对售价",IF(IFERROR(VLOOKUP($D572,库存台账!$A$5:$Y$1204,24,0),0)&lt;-0.001,"※这个物料账面已经变成负数了，查一下是不是漏记入库","")))))))))))</f>
        <v/>
      </c>
    </row>
    <row r="573">
      <c r="A573" s="24">
        <f>IF($D573="","",COUNTA($D$4:$D573))</f>
        <v/>
      </c>
      <c r="B573" s="17" t="n"/>
      <c r="C573" s="30" t="n"/>
      <c r="D573" s="17" t="n"/>
      <c r="E573" s="24">
        <f>IF($D573="","",IFERROR(VLOOKUP($D573,物料档案!$A$4:$P$1203,3,0),"※编码不在物料档案里"))</f>
        <v/>
      </c>
      <c r="F573" s="24">
        <f>IF($D573="","",IFERROR(VLOOKUP($D573,物料档案!$A$4:$P$1203,4,0),"※编码不在物料档案里"))</f>
        <v/>
      </c>
      <c r="G573" s="24">
        <f>IF($D573="","",IFERROR(VLOOKUP($D573,物料档案!$A$4:$P$1203,5,0),"※编码不在物料档案里"))</f>
        <v/>
      </c>
      <c r="H573" s="24">
        <f>IF($D573="","",IFERROR(VLOOKUP($D573,物料档案!$A$4:$P$1203,2,0),"※编码不在物料档案里"))</f>
        <v/>
      </c>
      <c r="I573" s="24">
        <f>IF($D573="","",IFERROR(VLOOKUP($D573,物料档案!$A$4:$P$1203,6,0),"※编码不在物料档案里"))</f>
        <v/>
      </c>
      <c r="J573" s="23" t="n"/>
      <c r="K573" s="17" t="n"/>
      <c r="L573" s="17" t="n"/>
      <c r="M573" s="17" t="n"/>
      <c r="N573" s="17" t="n"/>
      <c r="O573" s="26">
        <f>IF($D573="","",IFERROR(VLOOKUP($D573,物料档案!$A$4:$P$1203,10,0),0))</f>
        <v/>
      </c>
      <c r="P573" s="32" t="n"/>
      <c r="Q573" s="26">
        <f>IF($D573="","",IF($K573&lt;&gt;"对外销售",0,ROUND(N($J573)*IF($P573="",N($O573),N($P573)),0)))</f>
        <v/>
      </c>
      <c r="R573" s="26">
        <f>IF($D573="","",IFERROR(VLOOKUP($D573,库存台账!$A$5:$Y$1204,11,0),0))</f>
        <v/>
      </c>
      <c r="S573" s="26">
        <f>IF($D573="","",ROUND(N($J573)*N($R573),0))</f>
        <v/>
      </c>
      <c r="T573" s="26">
        <f>IF($D573="","",IF($K573&lt;&gt;"对外销售","",ROUND($Q573-$S573,0)))</f>
        <v/>
      </c>
      <c r="U573" s="17" t="n"/>
      <c r="V573" s="17" t="n"/>
      <c r="W573" s="24">
        <f>IF($D573="","",IF($E573="※编码不在物料档案里","※物料编码不在档案里",IF(N($J573)&lt;=0,"※出库数量要大于 0",IF($K573="","※没填去向类型",IF($L573="","※没填去向矿区",IF(AND($C573&lt;&gt;"",$C573&lt;=结账锁),"※日期早于已结账截止日，不能再录",IF(AND($K573="自用消耗",COUNTIF({"一矿区";"二矿区"},$L573)=0),"※自用消耗的去向只能是一矿区或二矿区",IF(AND($K573="对外销售",COUNTIF({"三矿区";"六矿区"},$L573)=0),"※对外销售的去向只能是三矿区或六矿区",IF(AND($K573="对外销售",ROUND($Q573,0)=0),"※外销却没有售价，请填实际售价",IF(AND($K573="对外销售",$T573&lt;&gt;"",$T573&lt;0),"※这一笔外销是亏的，请核对售价",IF(IFERROR(VLOOKUP($D573,库存台账!$A$5:$Y$1204,24,0),0)&lt;-0.001,"※这个物料账面已经变成负数了，查一下是不是漏记入库","")))))))))))</f>
        <v/>
      </c>
    </row>
    <row r="574">
      <c r="A574" s="24">
        <f>IF($D574="","",COUNTA($D$4:$D574))</f>
        <v/>
      </c>
      <c r="B574" s="17" t="n"/>
      <c r="C574" s="30" t="n"/>
      <c r="D574" s="17" t="n"/>
      <c r="E574" s="24">
        <f>IF($D574="","",IFERROR(VLOOKUP($D574,物料档案!$A$4:$P$1203,3,0),"※编码不在物料档案里"))</f>
        <v/>
      </c>
      <c r="F574" s="24">
        <f>IF($D574="","",IFERROR(VLOOKUP($D574,物料档案!$A$4:$P$1203,4,0),"※编码不在物料档案里"))</f>
        <v/>
      </c>
      <c r="G574" s="24">
        <f>IF($D574="","",IFERROR(VLOOKUP($D574,物料档案!$A$4:$P$1203,5,0),"※编码不在物料档案里"))</f>
        <v/>
      </c>
      <c r="H574" s="24">
        <f>IF($D574="","",IFERROR(VLOOKUP($D574,物料档案!$A$4:$P$1203,2,0),"※编码不在物料档案里"))</f>
        <v/>
      </c>
      <c r="I574" s="24">
        <f>IF($D574="","",IFERROR(VLOOKUP($D574,物料档案!$A$4:$P$1203,6,0),"※编码不在物料档案里"))</f>
        <v/>
      </c>
      <c r="J574" s="23" t="n"/>
      <c r="K574" s="17" t="n"/>
      <c r="L574" s="17" t="n"/>
      <c r="M574" s="17" t="n"/>
      <c r="N574" s="17" t="n"/>
      <c r="O574" s="26">
        <f>IF($D574="","",IFERROR(VLOOKUP($D574,物料档案!$A$4:$P$1203,10,0),0))</f>
        <v/>
      </c>
      <c r="P574" s="32" t="n"/>
      <c r="Q574" s="26">
        <f>IF($D574="","",IF($K574&lt;&gt;"对外销售",0,ROUND(N($J574)*IF($P574="",N($O574),N($P574)),0)))</f>
        <v/>
      </c>
      <c r="R574" s="26">
        <f>IF($D574="","",IFERROR(VLOOKUP($D574,库存台账!$A$5:$Y$1204,11,0),0))</f>
        <v/>
      </c>
      <c r="S574" s="26">
        <f>IF($D574="","",ROUND(N($J574)*N($R574),0))</f>
        <v/>
      </c>
      <c r="T574" s="26">
        <f>IF($D574="","",IF($K574&lt;&gt;"对外销售","",ROUND($Q574-$S574,0)))</f>
        <v/>
      </c>
      <c r="U574" s="17" t="n"/>
      <c r="V574" s="17" t="n"/>
      <c r="W574" s="24">
        <f>IF($D574="","",IF($E574="※编码不在物料档案里","※物料编码不在档案里",IF(N($J574)&lt;=0,"※出库数量要大于 0",IF($K574="","※没填去向类型",IF($L574="","※没填去向矿区",IF(AND($C574&lt;&gt;"",$C574&lt;=结账锁),"※日期早于已结账截止日，不能再录",IF(AND($K574="自用消耗",COUNTIF({"一矿区";"二矿区"},$L574)=0),"※自用消耗的去向只能是一矿区或二矿区",IF(AND($K574="对外销售",COUNTIF({"三矿区";"六矿区"},$L574)=0),"※对外销售的去向只能是三矿区或六矿区",IF(AND($K574="对外销售",ROUND($Q574,0)=0),"※外销却没有售价，请填实际售价",IF(AND($K574="对外销售",$T574&lt;&gt;"",$T574&lt;0),"※这一笔外销是亏的，请核对售价",IF(IFERROR(VLOOKUP($D574,库存台账!$A$5:$Y$1204,24,0),0)&lt;-0.001,"※这个物料账面已经变成负数了，查一下是不是漏记入库","")))))))))))</f>
        <v/>
      </c>
    </row>
    <row r="575">
      <c r="A575" s="24">
        <f>IF($D575="","",COUNTA($D$4:$D575))</f>
        <v/>
      </c>
      <c r="B575" s="17" t="n"/>
      <c r="C575" s="30" t="n"/>
      <c r="D575" s="17" t="n"/>
      <c r="E575" s="24">
        <f>IF($D575="","",IFERROR(VLOOKUP($D575,物料档案!$A$4:$P$1203,3,0),"※编码不在物料档案里"))</f>
        <v/>
      </c>
      <c r="F575" s="24">
        <f>IF($D575="","",IFERROR(VLOOKUP($D575,物料档案!$A$4:$P$1203,4,0),"※编码不在物料档案里"))</f>
        <v/>
      </c>
      <c r="G575" s="24">
        <f>IF($D575="","",IFERROR(VLOOKUP($D575,物料档案!$A$4:$P$1203,5,0),"※编码不在物料档案里"))</f>
        <v/>
      </c>
      <c r="H575" s="24">
        <f>IF($D575="","",IFERROR(VLOOKUP($D575,物料档案!$A$4:$P$1203,2,0),"※编码不在物料档案里"))</f>
        <v/>
      </c>
      <c r="I575" s="24">
        <f>IF($D575="","",IFERROR(VLOOKUP($D575,物料档案!$A$4:$P$1203,6,0),"※编码不在物料档案里"))</f>
        <v/>
      </c>
      <c r="J575" s="23" t="n"/>
      <c r="K575" s="17" t="n"/>
      <c r="L575" s="17" t="n"/>
      <c r="M575" s="17" t="n"/>
      <c r="N575" s="17" t="n"/>
      <c r="O575" s="26">
        <f>IF($D575="","",IFERROR(VLOOKUP($D575,物料档案!$A$4:$P$1203,10,0),0))</f>
        <v/>
      </c>
      <c r="P575" s="32" t="n"/>
      <c r="Q575" s="26">
        <f>IF($D575="","",IF($K575&lt;&gt;"对外销售",0,ROUND(N($J575)*IF($P575="",N($O575),N($P575)),0)))</f>
        <v/>
      </c>
      <c r="R575" s="26">
        <f>IF($D575="","",IFERROR(VLOOKUP($D575,库存台账!$A$5:$Y$1204,11,0),0))</f>
        <v/>
      </c>
      <c r="S575" s="26">
        <f>IF($D575="","",ROUND(N($J575)*N($R575),0))</f>
        <v/>
      </c>
      <c r="T575" s="26">
        <f>IF($D575="","",IF($K575&lt;&gt;"对外销售","",ROUND($Q575-$S575,0)))</f>
        <v/>
      </c>
      <c r="U575" s="17" t="n"/>
      <c r="V575" s="17" t="n"/>
      <c r="W575" s="24">
        <f>IF($D575="","",IF($E575="※编码不在物料档案里","※物料编码不在档案里",IF(N($J575)&lt;=0,"※出库数量要大于 0",IF($K575="","※没填去向类型",IF($L575="","※没填去向矿区",IF(AND($C575&lt;&gt;"",$C575&lt;=结账锁),"※日期早于已结账截止日，不能再录",IF(AND($K575="自用消耗",COUNTIF({"一矿区";"二矿区"},$L575)=0),"※自用消耗的去向只能是一矿区或二矿区",IF(AND($K575="对外销售",COUNTIF({"三矿区";"六矿区"},$L575)=0),"※对外销售的去向只能是三矿区或六矿区",IF(AND($K575="对外销售",ROUND($Q575,0)=0),"※外销却没有售价，请填实际售价",IF(AND($K575="对外销售",$T575&lt;&gt;"",$T575&lt;0),"※这一笔外销是亏的，请核对售价",IF(IFERROR(VLOOKUP($D575,库存台账!$A$5:$Y$1204,24,0),0)&lt;-0.001,"※这个物料账面已经变成负数了，查一下是不是漏记入库","")))))))))))</f>
        <v/>
      </c>
    </row>
    <row r="576">
      <c r="A576" s="24">
        <f>IF($D576="","",COUNTA($D$4:$D576))</f>
        <v/>
      </c>
      <c r="B576" s="17" t="n"/>
      <c r="C576" s="30" t="n"/>
      <c r="D576" s="17" t="n"/>
      <c r="E576" s="24">
        <f>IF($D576="","",IFERROR(VLOOKUP($D576,物料档案!$A$4:$P$1203,3,0),"※编码不在物料档案里"))</f>
        <v/>
      </c>
      <c r="F576" s="24">
        <f>IF($D576="","",IFERROR(VLOOKUP($D576,物料档案!$A$4:$P$1203,4,0),"※编码不在物料档案里"))</f>
        <v/>
      </c>
      <c r="G576" s="24">
        <f>IF($D576="","",IFERROR(VLOOKUP($D576,物料档案!$A$4:$P$1203,5,0),"※编码不在物料档案里"))</f>
        <v/>
      </c>
      <c r="H576" s="24">
        <f>IF($D576="","",IFERROR(VLOOKUP($D576,物料档案!$A$4:$P$1203,2,0),"※编码不在物料档案里"))</f>
        <v/>
      </c>
      <c r="I576" s="24">
        <f>IF($D576="","",IFERROR(VLOOKUP($D576,物料档案!$A$4:$P$1203,6,0),"※编码不在物料档案里"))</f>
        <v/>
      </c>
      <c r="J576" s="23" t="n"/>
      <c r="K576" s="17" t="n"/>
      <c r="L576" s="17" t="n"/>
      <c r="M576" s="17" t="n"/>
      <c r="N576" s="17" t="n"/>
      <c r="O576" s="26">
        <f>IF($D576="","",IFERROR(VLOOKUP($D576,物料档案!$A$4:$P$1203,10,0),0))</f>
        <v/>
      </c>
      <c r="P576" s="32" t="n"/>
      <c r="Q576" s="26">
        <f>IF($D576="","",IF($K576&lt;&gt;"对外销售",0,ROUND(N($J576)*IF($P576="",N($O576),N($P576)),0)))</f>
        <v/>
      </c>
      <c r="R576" s="26">
        <f>IF($D576="","",IFERROR(VLOOKUP($D576,库存台账!$A$5:$Y$1204,11,0),0))</f>
        <v/>
      </c>
      <c r="S576" s="26">
        <f>IF($D576="","",ROUND(N($J576)*N($R576),0))</f>
        <v/>
      </c>
      <c r="T576" s="26">
        <f>IF($D576="","",IF($K576&lt;&gt;"对外销售","",ROUND($Q576-$S576,0)))</f>
        <v/>
      </c>
      <c r="U576" s="17" t="n"/>
      <c r="V576" s="17" t="n"/>
      <c r="W576" s="24">
        <f>IF($D576="","",IF($E576="※编码不在物料档案里","※物料编码不在档案里",IF(N($J576)&lt;=0,"※出库数量要大于 0",IF($K576="","※没填去向类型",IF($L576="","※没填去向矿区",IF(AND($C576&lt;&gt;"",$C576&lt;=结账锁),"※日期早于已结账截止日，不能再录",IF(AND($K576="自用消耗",COUNTIF({"一矿区";"二矿区"},$L576)=0),"※自用消耗的去向只能是一矿区或二矿区",IF(AND($K576="对外销售",COUNTIF({"三矿区";"六矿区"},$L576)=0),"※对外销售的去向只能是三矿区或六矿区",IF(AND($K576="对外销售",ROUND($Q576,0)=0),"※外销却没有售价，请填实际售价",IF(AND($K576="对外销售",$T576&lt;&gt;"",$T576&lt;0),"※这一笔外销是亏的，请核对售价",IF(IFERROR(VLOOKUP($D576,库存台账!$A$5:$Y$1204,24,0),0)&lt;-0.001,"※这个物料账面已经变成负数了，查一下是不是漏记入库","")))))))))))</f>
        <v/>
      </c>
    </row>
    <row r="577">
      <c r="A577" s="24">
        <f>IF($D577="","",COUNTA($D$4:$D577))</f>
        <v/>
      </c>
      <c r="B577" s="17" t="n"/>
      <c r="C577" s="30" t="n"/>
      <c r="D577" s="17" t="n"/>
      <c r="E577" s="24">
        <f>IF($D577="","",IFERROR(VLOOKUP($D577,物料档案!$A$4:$P$1203,3,0),"※编码不在物料档案里"))</f>
        <v/>
      </c>
      <c r="F577" s="24">
        <f>IF($D577="","",IFERROR(VLOOKUP($D577,物料档案!$A$4:$P$1203,4,0),"※编码不在物料档案里"))</f>
        <v/>
      </c>
      <c r="G577" s="24">
        <f>IF($D577="","",IFERROR(VLOOKUP($D577,物料档案!$A$4:$P$1203,5,0),"※编码不在物料档案里"))</f>
        <v/>
      </c>
      <c r="H577" s="24">
        <f>IF($D577="","",IFERROR(VLOOKUP($D577,物料档案!$A$4:$P$1203,2,0),"※编码不在物料档案里"))</f>
        <v/>
      </c>
      <c r="I577" s="24">
        <f>IF($D577="","",IFERROR(VLOOKUP($D577,物料档案!$A$4:$P$1203,6,0),"※编码不在物料档案里"))</f>
        <v/>
      </c>
      <c r="J577" s="23" t="n"/>
      <c r="K577" s="17" t="n"/>
      <c r="L577" s="17" t="n"/>
      <c r="M577" s="17" t="n"/>
      <c r="N577" s="17" t="n"/>
      <c r="O577" s="26">
        <f>IF($D577="","",IFERROR(VLOOKUP($D577,物料档案!$A$4:$P$1203,10,0),0))</f>
        <v/>
      </c>
      <c r="P577" s="32" t="n"/>
      <c r="Q577" s="26">
        <f>IF($D577="","",IF($K577&lt;&gt;"对外销售",0,ROUND(N($J577)*IF($P577="",N($O577),N($P577)),0)))</f>
        <v/>
      </c>
      <c r="R577" s="26">
        <f>IF($D577="","",IFERROR(VLOOKUP($D577,库存台账!$A$5:$Y$1204,11,0),0))</f>
        <v/>
      </c>
      <c r="S577" s="26">
        <f>IF($D577="","",ROUND(N($J577)*N($R577),0))</f>
        <v/>
      </c>
      <c r="T577" s="26">
        <f>IF($D577="","",IF($K577&lt;&gt;"对外销售","",ROUND($Q577-$S577,0)))</f>
        <v/>
      </c>
      <c r="U577" s="17" t="n"/>
      <c r="V577" s="17" t="n"/>
      <c r="W577" s="24">
        <f>IF($D577="","",IF($E577="※编码不在物料档案里","※物料编码不在档案里",IF(N($J577)&lt;=0,"※出库数量要大于 0",IF($K577="","※没填去向类型",IF($L577="","※没填去向矿区",IF(AND($C577&lt;&gt;"",$C577&lt;=结账锁),"※日期早于已结账截止日，不能再录",IF(AND($K577="自用消耗",COUNTIF({"一矿区";"二矿区"},$L577)=0),"※自用消耗的去向只能是一矿区或二矿区",IF(AND($K577="对外销售",COUNTIF({"三矿区";"六矿区"},$L577)=0),"※对外销售的去向只能是三矿区或六矿区",IF(AND($K577="对外销售",ROUND($Q577,0)=0),"※外销却没有售价，请填实际售价",IF(AND($K577="对外销售",$T577&lt;&gt;"",$T577&lt;0),"※这一笔外销是亏的，请核对售价",IF(IFERROR(VLOOKUP($D577,库存台账!$A$5:$Y$1204,24,0),0)&lt;-0.001,"※这个物料账面已经变成负数了，查一下是不是漏记入库","")))))))))))</f>
        <v/>
      </c>
    </row>
    <row r="578">
      <c r="A578" s="24">
        <f>IF($D578="","",COUNTA($D$4:$D578))</f>
        <v/>
      </c>
      <c r="B578" s="17" t="n"/>
      <c r="C578" s="30" t="n"/>
      <c r="D578" s="17" t="n"/>
      <c r="E578" s="24">
        <f>IF($D578="","",IFERROR(VLOOKUP($D578,物料档案!$A$4:$P$1203,3,0),"※编码不在物料档案里"))</f>
        <v/>
      </c>
      <c r="F578" s="24">
        <f>IF($D578="","",IFERROR(VLOOKUP($D578,物料档案!$A$4:$P$1203,4,0),"※编码不在物料档案里"))</f>
        <v/>
      </c>
      <c r="G578" s="24">
        <f>IF($D578="","",IFERROR(VLOOKUP($D578,物料档案!$A$4:$P$1203,5,0),"※编码不在物料档案里"))</f>
        <v/>
      </c>
      <c r="H578" s="24">
        <f>IF($D578="","",IFERROR(VLOOKUP($D578,物料档案!$A$4:$P$1203,2,0),"※编码不在物料档案里"))</f>
        <v/>
      </c>
      <c r="I578" s="24">
        <f>IF($D578="","",IFERROR(VLOOKUP($D578,物料档案!$A$4:$P$1203,6,0),"※编码不在物料档案里"))</f>
        <v/>
      </c>
      <c r="J578" s="23" t="n"/>
      <c r="K578" s="17" t="n"/>
      <c r="L578" s="17" t="n"/>
      <c r="M578" s="17" t="n"/>
      <c r="N578" s="17" t="n"/>
      <c r="O578" s="26">
        <f>IF($D578="","",IFERROR(VLOOKUP($D578,物料档案!$A$4:$P$1203,10,0),0))</f>
        <v/>
      </c>
      <c r="P578" s="32" t="n"/>
      <c r="Q578" s="26">
        <f>IF($D578="","",IF($K578&lt;&gt;"对外销售",0,ROUND(N($J578)*IF($P578="",N($O578),N($P578)),0)))</f>
        <v/>
      </c>
      <c r="R578" s="26">
        <f>IF($D578="","",IFERROR(VLOOKUP($D578,库存台账!$A$5:$Y$1204,11,0),0))</f>
        <v/>
      </c>
      <c r="S578" s="26">
        <f>IF($D578="","",ROUND(N($J578)*N($R578),0))</f>
        <v/>
      </c>
      <c r="T578" s="26">
        <f>IF($D578="","",IF($K578&lt;&gt;"对外销售","",ROUND($Q578-$S578,0)))</f>
        <v/>
      </c>
      <c r="U578" s="17" t="n"/>
      <c r="V578" s="17" t="n"/>
      <c r="W578" s="24">
        <f>IF($D578="","",IF($E578="※编码不在物料档案里","※物料编码不在档案里",IF(N($J578)&lt;=0,"※出库数量要大于 0",IF($K578="","※没填去向类型",IF($L578="","※没填去向矿区",IF(AND($C578&lt;&gt;"",$C578&lt;=结账锁),"※日期早于已结账截止日，不能再录",IF(AND($K578="自用消耗",COUNTIF({"一矿区";"二矿区"},$L578)=0),"※自用消耗的去向只能是一矿区或二矿区",IF(AND($K578="对外销售",COUNTIF({"三矿区";"六矿区"},$L578)=0),"※对外销售的去向只能是三矿区或六矿区",IF(AND($K578="对外销售",ROUND($Q578,0)=0),"※外销却没有售价，请填实际售价",IF(AND($K578="对外销售",$T578&lt;&gt;"",$T578&lt;0),"※这一笔外销是亏的，请核对售价",IF(IFERROR(VLOOKUP($D578,库存台账!$A$5:$Y$1204,24,0),0)&lt;-0.001,"※这个物料账面已经变成负数了，查一下是不是漏记入库","")))))))))))</f>
        <v/>
      </c>
    </row>
    <row r="579">
      <c r="A579" s="24">
        <f>IF($D579="","",COUNTA($D$4:$D579))</f>
        <v/>
      </c>
      <c r="B579" s="17" t="n"/>
      <c r="C579" s="30" t="n"/>
      <c r="D579" s="17" t="n"/>
      <c r="E579" s="24">
        <f>IF($D579="","",IFERROR(VLOOKUP($D579,物料档案!$A$4:$P$1203,3,0),"※编码不在物料档案里"))</f>
        <v/>
      </c>
      <c r="F579" s="24">
        <f>IF($D579="","",IFERROR(VLOOKUP($D579,物料档案!$A$4:$P$1203,4,0),"※编码不在物料档案里"))</f>
        <v/>
      </c>
      <c r="G579" s="24">
        <f>IF($D579="","",IFERROR(VLOOKUP($D579,物料档案!$A$4:$P$1203,5,0),"※编码不在物料档案里"))</f>
        <v/>
      </c>
      <c r="H579" s="24">
        <f>IF($D579="","",IFERROR(VLOOKUP($D579,物料档案!$A$4:$P$1203,2,0),"※编码不在物料档案里"))</f>
        <v/>
      </c>
      <c r="I579" s="24">
        <f>IF($D579="","",IFERROR(VLOOKUP($D579,物料档案!$A$4:$P$1203,6,0),"※编码不在物料档案里"))</f>
        <v/>
      </c>
      <c r="J579" s="23" t="n"/>
      <c r="K579" s="17" t="n"/>
      <c r="L579" s="17" t="n"/>
      <c r="M579" s="17" t="n"/>
      <c r="N579" s="17" t="n"/>
      <c r="O579" s="26">
        <f>IF($D579="","",IFERROR(VLOOKUP($D579,物料档案!$A$4:$P$1203,10,0),0))</f>
        <v/>
      </c>
      <c r="P579" s="32" t="n"/>
      <c r="Q579" s="26">
        <f>IF($D579="","",IF($K579&lt;&gt;"对外销售",0,ROUND(N($J579)*IF($P579="",N($O579),N($P579)),0)))</f>
        <v/>
      </c>
      <c r="R579" s="26">
        <f>IF($D579="","",IFERROR(VLOOKUP($D579,库存台账!$A$5:$Y$1204,11,0),0))</f>
        <v/>
      </c>
      <c r="S579" s="26">
        <f>IF($D579="","",ROUND(N($J579)*N($R579),0))</f>
        <v/>
      </c>
      <c r="T579" s="26">
        <f>IF($D579="","",IF($K579&lt;&gt;"对外销售","",ROUND($Q579-$S579,0)))</f>
        <v/>
      </c>
      <c r="U579" s="17" t="n"/>
      <c r="V579" s="17" t="n"/>
      <c r="W579" s="24">
        <f>IF($D579="","",IF($E579="※编码不在物料档案里","※物料编码不在档案里",IF(N($J579)&lt;=0,"※出库数量要大于 0",IF($K579="","※没填去向类型",IF($L579="","※没填去向矿区",IF(AND($C579&lt;&gt;"",$C579&lt;=结账锁),"※日期早于已结账截止日，不能再录",IF(AND($K579="自用消耗",COUNTIF({"一矿区";"二矿区"},$L579)=0),"※自用消耗的去向只能是一矿区或二矿区",IF(AND($K579="对外销售",COUNTIF({"三矿区";"六矿区"},$L579)=0),"※对外销售的去向只能是三矿区或六矿区",IF(AND($K579="对外销售",ROUND($Q579,0)=0),"※外销却没有售价，请填实际售价",IF(AND($K579="对外销售",$T579&lt;&gt;"",$T579&lt;0),"※这一笔外销是亏的，请核对售价",IF(IFERROR(VLOOKUP($D579,库存台账!$A$5:$Y$1204,24,0),0)&lt;-0.001,"※这个物料账面已经变成负数了，查一下是不是漏记入库","")))))))))))</f>
        <v/>
      </c>
    </row>
    <row r="580">
      <c r="A580" s="24">
        <f>IF($D580="","",COUNTA($D$4:$D580))</f>
        <v/>
      </c>
      <c r="B580" s="17" t="n"/>
      <c r="C580" s="30" t="n"/>
      <c r="D580" s="17" t="n"/>
      <c r="E580" s="24">
        <f>IF($D580="","",IFERROR(VLOOKUP($D580,物料档案!$A$4:$P$1203,3,0),"※编码不在物料档案里"))</f>
        <v/>
      </c>
      <c r="F580" s="24">
        <f>IF($D580="","",IFERROR(VLOOKUP($D580,物料档案!$A$4:$P$1203,4,0),"※编码不在物料档案里"))</f>
        <v/>
      </c>
      <c r="G580" s="24">
        <f>IF($D580="","",IFERROR(VLOOKUP($D580,物料档案!$A$4:$P$1203,5,0),"※编码不在物料档案里"))</f>
        <v/>
      </c>
      <c r="H580" s="24">
        <f>IF($D580="","",IFERROR(VLOOKUP($D580,物料档案!$A$4:$P$1203,2,0),"※编码不在物料档案里"))</f>
        <v/>
      </c>
      <c r="I580" s="24">
        <f>IF($D580="","",IFERROR(VLOOKUP($D580,物料档案!$A$4:$P$1203,6,0),"※编码不在物料档案里"))</f>
        <v/>
      </c>
      <c r="J580" s="23" t="n"/>
      <c r="K580" s="17" t="n"/>
      <c r="L580" s="17" t="n"/>
      <c r="M580" s="17" t="n"/>
      <c r="N580" s="17" t="n"/>
      <c r="O580" s="26">
        <f>IF($D580="","",IFERROR(VLOOKUP($D580,物料档案!$A$4:$P$1203,10,0),0))</f>
        <v/>
      </c>
      <c r="P580" s="32" t="n"/>
      <c r="Q580" s="26">
        <f>IF($D580="","",IF($K580&lt;&gt;"对外销售",0,ROUND(N($J580)*IF($P580="",N($O580),N($P580)),0)))</f>
        <v/>
      </c>
      <c r="R580" s="26">
        <f>IF($D580="","",IFERROR(VLOOKUP($D580,库存台账!$A$5:$Y$1204,11,0),0))</f>
        <v/>
      </c>
      <c r="S580" s="26">
        <f>IF($D580="","",ROUND(N($J580)*N($R580),0))</f>
        <v/>
      </c>
      <c r="T580" s="26">
        <f>IF($D580="","",IF($K580&lt;&gt;"对外销售","",ROUND($Q580-$S580,0)))</f>
        <v/>
      </c>
      <c r="U580" s="17" t="n"/>
      <c r="V580" s="17" t="n"/>
      <c r="W580" s="24">
        <f>IF($D580="","",IF($E580="※编码不在物料档案里","※物料编码不在档案里",IF(N($J580)&lt;=0,"※出库数量要大于 0",IF($K580="","※没填去向类型",IF($L580="","※没填去向矿区",IF(AND($C580&lt;&gt;"",$C580&lt;=结账锁),"※日期早于已结账截止日，不能再录",IF(AND($K580="自用消耗",COUNTIF({"一矿区";"二矿区"},$L580)=0),"※自用消耗的去向只能是一矿区或二矿区",IF(AND($K580="对外销售",COUNTIF({"三矿区";"六矿区"},$L580)=0),"※对外销售的去向只能是三矿区或六矿区",IF(AND($K580="对外销售",ROUND($Q580,0)=0),"※外销却没有售价，请填实际售价",IF(AND($K580="对外销售",$T580&lt;&gt;"",$T580&lt;0),"※这一笔外销是亏的，请核对售价",IF(IFERROR(VLOOKUP($D580,库存台账!$A$5:$Y$1204,24,0),0)&lt;-0.001,"※这个物料账面已经变成负数了，查一下是不是漏记入库","")))))))))))</f>
        <v/>
      </c>
    </row>
    <row r="581">
      <c r="A581" s="24">
        <f>IF($D581="","",COUNTA($D$4:$D581))</f>
        <v/>
      </c>
      <c r="B581" s="17" t="n"/>
      <c r="C581" s="30" t="n"/>
      <c r="D581" s="17" t="n"/>
      <c r="E581" s="24">
        <f>IF($D581="","",IFERROR(VLOOKUP($D581,物料档案!$A$4:$P$1203,3,0),"※编码不在物料档案里"))</f>
        <v/>
      </c>
      <c r="F581" s="24">
        <f>IF($D581="","",IFERROR(VLOOKUP($D581,物料档案!$A$4:$P$1203,4,0),"※编码不在物料档案里"))</f>
        <v/>
      </c>
      <c r="G581" s="24">
        <f>IF($D581="","",IFERROR(VLOOKUP($D581,物料档案!$A$4:$P$1203,5,0),"※编码不在物料档案里"))</f>
        <v/>
      </c>
      <c r="H581" s="24">
        <f>IF($D581="","",IFERROR(VLOOKUP($D581,物料档案!$A$4:$P$1203,2,0),"※编码不在物料档案里"))</f>
        <v/>
      </c>
      <c r="I581" s="24">
        <f>IF($D581="","",IFERROR(VLOOKUP($D581,物料档案!$A$4:$P$1203,6,0),"※编码不在物料档案里"))</f>
        <v/>
      </c>
      <c r="J581" s="23" t="n"/>
      <c r="K581" s="17" t="n"/>
      <c r="L581" s="17" t="n"/>
      <c r="M581" s="17" t="n"/>
      <c r="N581" s="17" t="n"/>
      <c r="O581" s="26">
        <f>IF($D581="","",IFERROR(VLOOKUP($D581,物料档案!$A$4:$P$1203,10,0),0))</f>
        <v/>
      </c>
      <c r="P581" s="32" t="n"/>
      <c r="Q581" s="26">
        <f>IF($D581="","",IF($K581&lt;&gt;"对外销售",0,ROUND(N($J581)*IF($P581="",N($O581),N($P581)),0)))</f>
        <v/>
      </c>
      <c r="R581" s="26">
        <f>IF($D581="","",IFERROR(VLOOKUP($D581,库存台账!$A$5:$Y$1204,11,0),0))</f>
        <v/>
      </c>
      <c r="S581" s="26">
        <f>IF($D581="","",ROUND(N($J581)*N($R581),0))</f>
        <v/>
      </c>
      <c r="T581" s="26">
        <f>IF($D581="","",IF($K581&lt;&gt;"对外销售","",ROUND($Q581-$S581,0)))</f>
        <v/>
      </c>
      <c r="U581" s="17" t="n"/>
      <c r="V581" s="17" t="n"/>
      <c r="W581" s="24">
        <f>IF($D581="","",IF($E581="※编码不在物料档案里","※物料编码不在档案里",IF(N($J581)&lt;=0,"※出库数量要大于 0",IF($K581="","※没填去向类型",IF($L581="","※没填去向矿区",IF(AND($C581&lt;&gt;"",$C581&lt;=结账锁),"※日期早于已结账截止日，不能再录",IF(AND($K581="自用消耗",COUNTIF({"一矿区";"二矿区"},$L581)=0),"※自用消耗的去向只能是一矿区或二矿区",IF(AND($K581="对外销售",COUNTIF({"三矿区";"六矿区"},$L581)=0),"※对外销售的去向只能是三矿区或六矿区",IF(AND($K581="对外销售",ROUND($Q581,0)=0),"※外销却没有售价，请填实际售价",IF(AND($K581="对外销售",$T581&lt;&gt;"",$T581&lt;0),"※这一笔外销是亏的，请核对售价",IF(IFERROR(VLOOKUP($D581,库存台账!$A$5:$Y$1204,24,0),0)&lt;-0.001,"※这个物料账面已经变成负数了，查一下是不是漏记入库","")))))))))))</f>
        <v/>
      </c>
    </row>
    <row r="582">
      <c r="A582" s="24">
        <f>IF($D582="","",COUNTA($D$4:$D582))</f>
        <v/>
      </c>
      <c r="B582" s="17" t="n"/>
      <c r="C582" s="30" t="n"/>
      <c r="D582" s="17" t="n"/>
      <c r="E582" s="24">
        <f>IF($D582="","",IFERROR(VLOOKUP($D582,物料档案!$A$4:$P$1203,3,0),"※编码不在物料档案里"))</f>
        <v/>
      </c>
      <c r="F582" s="24">
        <f>IF($D582="","",IFERROR(VLOOKUP($D582,物料档案!$A$4:$P$1203,4,0),"※编码不在物料档案里"))</f>
        <v/>
      </c>
      <c r="G582" s="24">
        <f>IF($D582="","",IFERROR(VLOOKUP($D582,物料档案!$A$4:$P$1203,5,0),"※编码不在物料档案里"))</f>
        <v/>
      </c>
      <c r="H582" s="24">
        <f>IF($D582="","",IFERROR(VLOOKUP($D582,物料档案!$A$4:$P$1203,2,0),"※编码不在物料档案里"))</f>
        <v/>
      </c>
      <c r="I582" s="24">
        <f>IF($D582="","",IFERROR(VLOOKUP($D582,物料档案!$A$4:$P$1203,6,0),"※编码不在物料档案里"))</f>
        <v/>
      </c>
      <c r="J582" s="23" t="n"/>
      <c r="K582" s="17" t="n"/>
      <c r="L582" s="17" t="n"/>
      <c r="M582" s="17" t="n"/>
      <c r="N582" s="17" t="n"/>
      <c r="O582" s="26">
        <f>IF($D582="","",IFERROR(VLOOKUP($D582,物料档案!$A$4:$P$1203,10,0),0))</f>
        <v/>
      </c>
      <c r="P582" s="32" t="n"/>
      <c r="Q582" s="26">
        <f>IF($D582="","",IF($K582&lt;&gt;"对外销售",0,ROUND(N($J582)*IF($P582="",N($O582),N($P582)),0)))</f>
        <v/>
      </c>
      <c r="R582" s="26">
        <f>IF($D582="","",IFERROR(VLOOKUP($D582,库存台账!$A$5:$Y$1204,11,0),0))</f>
        <v/>
      </c>
      <c r="S582" s="26">
        <f>IF($D582="","",ROUND(N($J582)*N($R582),0))</f>
        <v/>
      </c>
      <c r="T582" s="26">
        <f>IF($D582="","",IF($K582&lt;&gt;"对外销售","",ROUND($Q582-$S582,0)))</f>
        <v/>
      </c>
      <c r="U582" s="17" t="n"/>
      <c r="V582" s="17" t="n"/>
      <c r="W582" s="24">
        <f>IF($D582="","",IF($E582="※编码不在物料档案里","※物料编码不在档案里",IF(N($J582)&lt;=0,"※出库数量要大于 0",IF($K582="","※没填去向类型",IF($L582="","※没填去向矿区",IF(AND($C582&lt;&gt;"",$C582&lt;=结账锁),"※日期早于已结账截止日，不能再录",IF(AND($K582="自用消耗",COUNTIF({"一矿区";"二矿区"},$L582)=0),"※自用消耗的去向只能是一矿区或二矿区",IF(AND($K582="对外销售",COUNTIF({"三矿区";"六矿区"},$L582)=0),"※对外销售的去向只能是三矿区或六矿区",IF(AND($K582="对外销售",ROUND($Q582,0)=0),"※外销却没有售价，请填实际售价",IF(AND($K582="对外销售",$T582&lt;&gt;"",$T582&lt;0),"※这一笔外销是亏的，请核对售价",IF(IFERROR(VLOOKUP($D582,库存台账!$A$5:$Y$1204,24,0),0)&lt;-0.001,"※这个物料账面已经变成负数了，查一下是不是漏记入库","")))))))))))</f>
        <v/>
      </c>
    </row>
    <row r="583">
      <c r="A583" s="24">
        <f>IF($D583="","",COUNTA($D$4:$D583))</f>
        <v/>
      </c>
      <c r="B583" s="17" t="n"/>
      <c r="C583" s="30" t="n"/>
      <c r="D583" s="17" t="n"/>
      <c r="E583" s="24">
        <f>IF($D583="","",IFERROR(VLOOKUP($D583,物料档案!$A$4:$P$1203,3,0),"※编码不在物料档案里"))</f>
        <v/>
      </c>
      <c r="F583" s="24">
        <f>IF($D583="","",IFERROR(VLOOKUP($D583,物料档案!$A$4:$P$1203,4,0),"※编码不在物料档案里"))</f>
        <v/>
      </c>
      <c r="G583" s="24">
        <f>IF($D583="","",IFERROR(VLOOKUP($D583,物料档案!$A$4:$P$1203,5,0),"※编码不在物料档案里"))</f>
        <v/>
      </c>
      <c r="H583" s="24">
        <f>IF($D583="","",IFERROR(VLOOKUP($D583,物料档案!$A$4:$P$1203,2,0),"※编码不在物料档案里"))</f>
        <v/>
      </c>
      <c r="I583" s="24">
        <f>IF($D583="","",IFERROR(VLOOKUP($D583,物料档案!$A$4:$P$1203,6,0),"※编码不在物料档案里"))</f>
        <v/>
      </c>
      <c r="J583" s="23" t="n"/>
      <c r="K583" s="17" t="n"/>
      <c r="L583" s="17" t="n"/>
      <c r="M583" s="17" t="n"/>
      <c r="N583" s="17" t="n"/>
      <c r="O583" s="26">
        <f>IF($D583="","",IFERROR(VLOOKUP($D583,物料档案!$A$4:$P$1203,10,0),0))</f>
        <v/>
      </c>
      <c r="P583" s="32" t="n"/>
      <c r="Q583" s="26">
        <f>IF($D583="","",IF($K583&lt;&gt;"对外销售",0,ROUND(N($J583)*IF($P583="",N($O583),N($P583)),0)))</f>
        <v/>
      </c>
      <c r="R583" s="26">
        <f>IF($D583="","",IFERROR(VLOOKUP($D583,库存台账!$A$5:$Y$1204,11,0),0))</f>
        <v/>
      </c>
      <c r="S583" s="26">
        <f>IF($D583="","",ROUND(N($J583)*N($R583),0))</f>
        <v/>
      </c>
      <c r="T583" s="26">
        <f>IF($D583="","",IF($K583&lt;&gt;"对外销售","",ROUND($Q583-$S583,0)))</f>
        <v/>
      </c>
      <c r="U583" s="17" t="n"/>
      <c r="V583" s="17" t="n"/>
      <c r="W583" s="24">
        <f>IF($D583="","",IF($E583="※编码不在物料档案里","※物料编码不在档案里",IF(N($J583)&lt;=0,"※出库数量要大于 0",IF($K583="","※没填去向类型",IF($L583="","※没填去向矿区",IF(AND($C583&lt;&gt;"",$C583&lt;=结账锁),"※日期早于已结账截止日，不能再录",IF(AND($K583="自用消耗",COUNTIF({"一矿区";"二矿区"},$L583)=0),"※自用消耗的去向只能是一矿区或二矿区",IF(AND($K583="对外销售",COUNTIF({"三矿区";"六矿区"},$L583)=0),"※对外销售的去向只能是三矿区或六矿区",IF(AND($K583="对外销售",ROUND($Q583,0)=0),"※外销却没有售价，请填实际售价",IF(AND($K583="对外销售",$T583&lt;&gt;"",$T583&lt;0),"※这一笔外销是亏的，请核对售价",IF(IFERROR(VLOOKUP($D583,库存台账!$A$5:$Y$1204,24,0),0)&lt;-0.001,"※这个物料账面已经变成负数了，查一下是不是漏记入库","")))))))))))</f>
        <v/>
      </c>
    </row>
    <row r="584">
      <c r="A584" s="24">
        <f>IF($D584="","",COUNTA($D$4:$D584))</f>
        <v/>
      </c>
      <c r="B584" s="17" t="n"/>
      <c r="C584" s="30" t="n"/>
      <c r="D584" s="17" t="n"/>
      <c r="E584" s="24">
        <f>IF($D584="","",IFERROR(VLOOKUP($D584,物料档案!$A$4:$P$1203,3,0),"※编码不在物料档案里"))</f>
        <v/>
      </c>
      <c r="F584" s="24">
        <f>IF($D584="","",IFERROR(VLOOKUP($D584,物料档案!$A$4:$P$1203,4,0),"※编码不在物料档案里"))</f>
        <v/>
      </c>
      <c r="G584" s="24">
        <f>IF($D584="","",IFERROR(VLOOKUP($D584,物料档案!$A$4:$P$1203,5,0),"※编码不在物料档案里"))</f>
        <v/>
      </c>
      <c r="H584" s="24">
        <f>IF($D584="","",IFERROR(VLOOKUP($D584,物料档案!$A$4:$P$1203,2,0),"※编码不在物料档案里"))</f>
        <v/>
      </c>
      <c r="I584" s="24">
        <f>IF($D584="","",IFERROR(VLOOKUP($D584,物料档案!$A$4:$P$1203,6,0),"※编码不在物料档案里"))</f>
        <v/>
      </c>
      <c r="J584" s="23" t="n"/>
      <c r="K584" s="17" t="n"/>
      <c r="L584" s="17" t="n"/>
      <c r="M584" s="17" t="n"/>
      <c r="N584" s="17" t="n"/>
      <c r="O584" s="26">
        <f>IF($D584="","",IFERROR(VLOOKUP($D584,物料档案!$A$4:$P$1203,10,0),0))</f>
        <v/>
      </c>
      <c r="P584" s="32" t="n"/>
      <c r="Q584" s="26">
        <f>IF($D584="","",IF($K584&lt;&gt;"对外销售",0,ROUND(N($J584)*IF($P584="",N($O584),N($P584)),0)))</f>
        <v/>
      </c>
      <c r="R584" s="26">
        <f>IF($D584="","",IFERROR(VLOOKUP($D584,库存台账!$A$5:$Y$1204,11,0),0))</f>
        <v/>
      </c>
      <c r="S584" s="26">
        <f>IF($D584="","",ROUND(N($J584)*N($R584),0))</f>
        <v/>
      </c>
      <c r="T584" s="26">
        <f>IF($D584="","",IF($K584&lt;&gt;"对外销售","",ROUND($Q584-$S584,0)))</f>
        <v/>
      </c>
      <c r="U584" s="17" t="n"/>
      <c r="V584" s="17" t="n"/>
      <c r="W584" s="24">
        <f>IF($D584="","",IF($E584="※编码不在物料档案里","※物料编码不在档案里",IF(N($J584)&lt;=0,"※出库数量要大于 0",IF($K584="","※没填去向类型",IF($L584="","※没填去向矿区",IF(AND($C584&lt;&gt;"",$C584&lt;=结账锁),"※日期早于已结账截止日，不能再录",IF(AND($K584="自用消耗",COUNTIF({"一矿区";"二矿区"},$L584)=0),"※自用消耗的去向只能是一矿区或二矿区",IF(AND($K584="对外销售",COUNTIF({"三矿区";"六矿区"},$L584)=0),"※对外销售的去向只能是三矿区或六矿区",IF(AND($K584="对外销售",ROUND($Q584,0)=0),"※外销却没有售价，请填实际售价",IF(AND($K584="对外销售",$T584&lt;&gt;"",$T584&lt;0),"※这一笔外销是亏的，请核对售价",IF(IFERROR(VLOOKUP($D584,库存台账!$A$5:$Y$1204,24,0),0)&lt;-0.001,"※这个物料账面已经变成负数了，查一下是不是漏记入库","")))))))))))</f>
        <v/>
      </c>
    </row>
    <row r="585">
      <c r="A585" s="24">
        <f>IF($D585="","",COUNTA($D$4:$D585))</f>
        <v/>
      </c>
      <c r="B585" s="17" t="n"/>
      <c r="C585" s="30" t="n"/>
      <c r="D585" s="17" t="n"/>
      <c r="E585" s="24">
        <f>IF($D585="","",IFERROR(VLOOKUP($D585,物料档案!$A$4:$P$1203,3,0),"※编码不在物料档案里"))</f>
        <v/>
      </c>
      <c r="F585" s="24">
        <f>IF($D585="","",IFERROR(VLOOKUP($D585,物料档案!$A$4:$P$1203,4,0),"※编码不在物料档案里"))</f>
        <v/>
      </c>
      <c r="G585" s="24">
        <f>IF($D585="","",IFERROR(VLOOKUP($D585,物料档案!$A$4:$P$1203,5,0),"※编码不在物料档案里"))</f>
        <v/>
      </c>
      <c r="H585" s="24">
        <f>IF($D585="","",IFERROR(VLOOKUP($D585,物料档案!$A$4:$P$1203,2,0),"※编码不在物料档案里"))</f>
        <v/>
      </c>
      <c r="I585" s="24">
        <f>IF($D585="","",IFERROR(VLOOKUP($D585,物料档案!$A$4:$P$1203,6,0),"※编码不在物料档案里"))</f>
        <v/>
      </c>
      <c r="J585" s="23" t="n"/>
      <c r="K585" s="17" t="n"/>
      <c r="L585" s="17" t="n"/>
      <c r="M585" s="17" t="n"/>
      <c r="N585" s="17" t="n"/>
      <c r="O585" s="26">
        <f>IF($D585="","",IFERROR(VLOOKUP($D585,物料档案!$A$4:$P$1203,10,0),0))</f>
        <v/>
      </c>
      <c r="P585" s="32" t="n"/>
      <c r="Q585" s="26">
        <f>IF($D585="","",IF($K585&lt;&gt;"对外销售",0,ROUND(N($J585)*IF($P585="",N($O585),N($P585)),0)))</f>
        <v/>
      </c>
      <c r="R585" s="26">
        <f>IF($D585="","",IFERROR(VLOOKUP($D585,库存台账!$A$5:$Y$1204,11,0),0))</f>
        <v/>
      </c>
      <c r="S585" s="26">
        <f>IF($D585="","",ROUND(N($J585)*N($R585),0))</f>
        <v/>
      </c>
      <c r="T585" s="26">
        <f>IF($D585="","",IF($K585&lt;&gt;"对外销售","",ROUND($Q585-$S585,0)))</f>
        <v/>
      </c>
      <c r="U585" s="17" t="n"/>
      <c r="V585" s="17" t="n"/>
      <c r="W585" s="24">
        <f>IF($D585="","",IF($E585="※编码不在物料档案里","※物料编码不在档案里",IF(N($J585)&lt;=0,"※出库数量要大于 0",IF($K585="","※没填去向类型",IF($L585="","※没填去向矿区",IF(AND($C585&lt;&gt;"",$C585&lt;=结账锁),"※日期早于已结账截止日，不能再录",IF(AND($K585="自用消耗",COUNTIF({"一矿区";"二矿区"},$L585)=0),"※自用消耗的去向只能是一矿区或二矿区",IF(AND($K585="对外销售",COUNTIF({"三矿区";"六矿区"},$L585)=0),"※对外销售的去向只能是三矿区或六矿区",IF(AND($K585="对外销售",ROUND($Q585,0)=0),"※外销却没有售价，请填实际售价",IF(AND($K585="对外销售",$T585&lt;&gt;"",$T585&lt;0),"※这一笔外销是亏的，请核对售价",IF(IFERROR(VLOOKUP($D585,库存台账!$A$5:$Y$1204,24,0),0)&lt;-0.001,"※这个物料账面已经变成负数了，查一下是不是漏记入库","")))))))))))</f>
        <v/>
      </c>
    </row>
    <row r="586">
      <c r="A586" s="24">
        <f>IF($D586="","",COUNTA($D$4:$D586))</f>
        <v/>
      </c>
      <c r="B586" s="17" t="n"/>
      <c r="C586" s="30" t="n"/>
      <c r="D586" s="17" t="n"/>
      <c r="E586" s="24">
        <f>IF($D586="","",IFERROR(VLOOKUP($D586,物料档案!$A$4:$P$1203,3,0),"※编码不在物料档案里"))</f>
        <v/>
      </c>
      <c r="F586" s="24">
        <f>IF($D586="","",IFERROR(VLOOKUP($D586,物料档案!$A$4:$P$1203,4,0),"※编码不在物料档案里"))</f>
        <v/>
      </c>
      <c r="G586" s="24">
        <f>IF($D586="","",IFERROR(VLOOKUP($D586,物料档案!$A$4:$P$1203,5,0),"※编码不在物料档案里"))</f>
        <v/>
      </c>
      <c r="H586" s="24">
        <f>IF($D586="","",IFERROR(VLOOKUP($D586,物料档案!$A$4:$P$1203,2,0),"※编码不在物料档案里"))</f>
        <v/>
      </c>
      <c r="I586" s="24">
        <f>IF($D586="","",IFERROR(VLOOKUP($D586,物料档案!$A$4:$P$1203,6,0),"※编码不在物料档案里"))</f>
        <v/>
      </c>
      <c r="J586" s="23" t="n"/>
      <c r="K586" s="17" t="n"/>
      <c r="L586" s="17" t="n"/>
      <c r="M586" s="17" t="n"/>
      <c r="N586" s="17" t="n"/>
      <c r="O586" s="26">
        <f>IF($D586="","",IFERROR(VLOOKUP($D586,物料档案!$A$4:$P$1203,10,0),0))</f>
        <v/>
      </c>
      <c r="P586" s="32" t="n"/>
      <c r="Q586" s="26">
        <f>IF($D586="","",IF($K586&lt;&gt;"对外销售",0,ROUND(N($J586)*IF($P586="",N($O586),N($P586)),0)))</f>
        <v/>
      </c>
      <c r="R586" s="26">
        <f>IF($D586="","",IFERROR(VLOOKUP($D586,库存台账!$A$5:$Y$1204,11,0),0))</f>
        <v/>
      </c>
      <c r="S586" s="26">
        <f>IF($D586="","",ROUND(N($J586)*N($R586),0))</f>
        <v/>
      </c>
      <c r="T586" s="26">
        <f>IF($D586="","",IF($K586&lt;&gt;"对外销售","",ROUND($Q586-$S586,0)))</f>
        <v/>
      </c>
      <c r="U586" s="17" t="n"/>
      <c r="V586" s="17" t="n"/>
      <c r="W586" s="24">
        <f>IF($D586="","",IF($E586="※编码不在物料档案里","※物料编码不在档案里",IF(N($J586)&lt;=0,"※出库数量要大于 0",IF($K586="","※没填去向类型",IF($L586="","※没填去向矿区",IF(AND($C586&lt;&gt;"",$C586&lt;=结账锁),"※日期早于已结账截止日，不能再录",IF(AND($K586="自用消耗",COUNTIF({"一矿区";"二矿区"},$L586)=0),"※自用消耗的去向只能是一矿区或二矿区",IF(AND($K586="对外销售",COUNTIF({"三矿区";"六矿区"},$L586)=0),"※对外销售的去向只能是三矿区或六矿区",IF(AND($K586="对外销售",ROUND($Q586,0)=0),"※外销却没有售价，请填实际售价",IF(AND($K586="对外销售",$T586&lt;&gt;"",$T586&lt;0),"※这一笔外销是亏的，请核对售价",IF(IFERROR(VLOOKUP($D586,库存台账!$A$5:$Y$1204,24,0),0)&lt;-0.001,"※这个物料账面已经变成负数了，查一下是不是漏记入库","")))))))))))</f>
        <v/>
      </c>
    </row>
    <row r="587">
      <c r="A587" s="24">
        <f>IF($D587="","",COUNTA($D$4:$D587))</f>
        <v/>
      </c>
      <c r="B587" s="17" t="n"/>
      <c r="C587" s="30" t="n"/>
      <c r="D587" s="17" t="n"/>
      <c r="E587" s="24">
        <f>IF($D587="","",IFERROR(VLOOKUP($D587,物料档案!$A$4:$P$1203,3,0),"※编码不在物料档案里"))</f>
        <v/>
      </c>
      <c r="F587" s="24">
        <f>IF($D587="","",IFERROR(VLOOKUP($D587,物料档案!$A$4:$P$1203,4,0),"※编码不在物料档案里"))</f>
        <v/>
      </c>
      <c r="G587" s="24">
        <f>IF($D587="","",IFERROR(VLOOKUP($D587,物料档案!$A$4:$P$1203,5,0),"※编码不在物料档案里"))</f>
        <v/>
      </c>
      <c r="H587" s="24">
        <f>IF($D587="","",IFERROR(VLOOKUP($D587,物料档案!$A$4:$P$1203,2,0),"※编码不在物料档案里"))</f>
        <v/>
      </c>
      <c r="I587" s="24">
        <f>IF($D587="","",IFERROR(VLOOKUP($D587,物料档案!$A$4:$P$1203,6,0),"※编码不在物料档案里"))</f>
        <v/>
      </c>
      <c r="J587" s="23" t="n"/>
      <c r="K587" s="17" t="n"/>
      <c r="L587" s="17" t="n"/>
      <c r="M587" s="17" t="n"/>
      <c r="N587" s="17" t="n"/>
      <c r="O587" s="26">
        <f>IF($D587="","",IFERROR(VLOOKUP($D587,物料档案!$A$4:$P$1203,10,0),0))</f>
        <v/>
      </c>
      <c r="P587" s="32" t="n"/>
      <c r="Q587" s="26">
        <f>IF($D587="","",IF($K587&lt;&gt;"对外销售",0,ROUND(N($J587)*IF($P587="",N($O587),N($P587)),0)))</f>
        <v/>
      </c>
      <c r="R587" s="26">
        <f>IF($D587="","",IFERROR(VLOOKUP($D587,库存台账!$A$5:$Y$1204,11,0),0))</f>
        <v/>
      </c>
      <c r="S587" s="26">
        <f>IF($D587="","",ROUND(N($J587)*N($R587),0))</f>
        <v/>
      </c>
      <c r="T587" s="26">
        <f>IF($D587="","",IF($K587&lt;&gt;"对外销售","",ROUND($Q587-$S587,0)))</f>
        <v/>
      </c>
      <c r="U587" s="17" t="n"/>
      <c r="V587" s="17" t="n"/>
      <c r="W587" s="24">
        <f>IF($D587="","",IF($E587="※编码不在物料档案里","※物料编码不在档案里",IF(N($J587)&lt;=0,"※出库数量要大于 0",IF($K587="","※没填去向类型",IF($L587="","※没填去向矿区",IF(AND($C587&lt;&gt;"",$C587&lt;=结账锁),"※日期早于已结账截止日，不能再录",IF(AND($K587="自用消耗",COUNTIF({"一矿区";"二矿区"},$L587)=0),"※自用消耗的去向只能是一矿区或二矿区",IF(AND($K587="对外销售",COUNTIF({"三矿区";"六矿区"},$L587)=0),"※对外销售的去向只能是三矿区或六矿区",IF(AND($K587="对外销售",ROUND($Q587,0)=0),"※外销却没有售价，请填实际售价",IF(AND($K587="对外销售",$T587&lt;&gt;"",$T587&lt;0),"※这一笔外销是亏的，请核对售价",IF(IFERROR(VLOOKUP($D587,库存台账!$A$5:$Y$1204,24,0),0)&lt;-0.001,"※这个物料账面已经变成负数了，查一下是不是漏记入库","")))))))))))</f>
        <v/>
      </c>
    </row>
    <row r="588">
      <c r="A588" s="24">
        <f>IF($D588="","",COUNTA($D$4:$D588))</f>
        <v/>
      </c>
      <c r="B588" s="17" t="n"/>
      <c r="C588" s="30" t="n"/>
      <c r="D588" s="17" t="n"/>
      <c r="E588" s="24">
        <f>IF($D588="","",IFERROR(VLOOKUP($D588,物料档案!$A$4:$P$1203,3,0),"※编码不在物料档案里"))</f>
        <v/>
      </c>
      <c r="F588" s="24">
        <f>IF($D588="","",IFERROR(VLOOKUP($D588,物料档案!$A$4:$P$1203,4,0),"※编码不在物料档案里"))</f>
        <v/>
      </c>
      <c r="G588" s="24">
        <f>IF($D588="","",IFERROR(VLOOKUP($D588,物料档案!$A$4:$P$1203,5,0),"※编码不在物料档案里"))</f>
        <v/>
      </c>
      <c r="H588" s="24">
        <f>IF($D588="","",IFERROR(VLOOKUP($D588,物料档案!$A$4:$P$1203,2,0),"※编码不在物料档案里"))</f>
        <v/>
      </c>
      <c r="I588" s="24">
        <f>IF($D588="","",IFERROR(VLOOKUP($D588,物料档案!$A$4:$P$1203,6,0),"※编码不在物料档案里"))</f>
        <v/>
      </c>
      <c r="J588" s="23" t="n"/>
      <c r="K588" s="17" t="n"/>
      <c r="L588" s="17" t="n"/>
      <c r="M588" s="17" t="n"/>
      <c r="N588" s="17" t="n"/>
      <c r="O588" s="26">
        <f>IF($D588="","",IFERROR(VLOOKUP($D588,物料档案!$A$4:$P$1203,10,0),0))</f>
        <v/>
      </c>
      <c r="P588" s="32" t="n"/>
      <c r="Q588" s="26">
        <f>IF($D588="","",IF($K588&lt;&gt;"对外销售",0,ROUND(N($J588)*IF($P588="",N($O588),N($P588)),0)))</f>
        <v/>
      </c>
      <c r="R588" s="26">
        <f>IF($D588="","",IFERROR(VLOOKUP($D588,库存台账!$A$5:$Y$1204,11,0),0))</f>
        <v/>
      </c>
      <c r="S588" s="26">
        <f>IF($D588="","",ROUND(N($J588)*N($R588),0))</f>
        <v/>
      </c>
      <c r="T588" s="26">
        <f>IF($D588="","",IF($K588&lt;&gt;"对外销售","",ROUND($Q588-$S588,0)))</f>
        <v/>
      </c>
      <c r="U588" s="17" t="n"/>
      <c r="V588" s="17" t="n"/>
      <c r="W588" s="24">
        <f>IF($D588="","",IF($E588="※编码不在物料档案里","※物料编码不在档案里",IF(N($J588)&lt;=0,"※出库数量要大于 0",IF($K588="","※没填去向类型",IF($L588="","※没填去向矿区",IF(AND($C588&lt;&gt;"",$C588&lt;=结账锁),"※日期早于已结账截止日，不能再录",IF(AND($K588="自用消耗",COUNTIF({"一矿区";"二矿区"},$L588)=0),"※自用消耗的去向只能是一矿区或二矿区",IF(AND($K588="对外销售",COUNTIF({"三矿区";"六矿区"},$L588)=0),"※对外销售的去向只能是三矿区或六矿区",IF(AND($K588="对外销售",ROUND($Q588,0)=0),"※外销却没有售价，请填实际售价",IF(AND($K588="对外销售",$T588&lt;&gt;"",$T588&lt;0),"※这一笔外销是亏的，请核对售价",IF(IFERROR(VLOOKUP($D588,库存台账!$A$5:$Y$1204,24,0),0)&lt;-0.001,"※这个物料账面已经变成负数了，查一下是不是漏记入库","")))))))))))</f>
        <v/>
      </c>
    </row>
    <row r="589">
      <c r="A589" s="24">
        <f>IF($D589="","",COUNTA($D$4:$D589))</f>
        <v/>
      </c>
      <c r="B589" s="17" t="n"/>
      <c r="C589" s="30" t="n"/>
      <c r="D589" s="17" t="n"/>
      <c r="E589" s="24">
        <f>IF($D589="","",IFERROR(VLOOKUP($D589,物料档案!$A$4:$P$1203,3,0),"※编码不在物料档案里"))</f>
        <v/>
      </c>
      <c r="F589" s="24">
        <f>IF($D589="","",IFERROR(VLOOKUP($D589,物料档案!$A$4:$P$1203,4,0),"※编码不在物料档案里"))</f>
        <v/>
      </c>
      <c r="G589" s="24">
        <f>IF($D589="","",IFERROR(VLOOKUP($D589,物料档案!$A$4:$P$1203,5,0),"※编码不在物料档案里"))</f>
        <v/>
      </c>
      <c r="H589" s="24">
        <f>IF($D589="","",IFERROR(VLOOKUP($D589,物料档案!$A$4:$P$1203,2,0),"※编码不在物料档案里"))</f>
        <v/>
      </c>
      <c r="I589" s="24">
        <f>IF($D589="","",IFERROR(VLOOKUP($D589,物料档案!$A$4:$P$1203,6,0),"※编码不在物料档案里"))</f>
        <v/>
      </c>
      <c r="J589" s="23" t="n"/>
      <c r="K589" s="17" t="n"/>
      <c r="L589" s="17" t="n"/>
      <c r="M589" s="17" t="n"/>
      <c r="N589" s="17" t="n"/>
      <c r="O589" s="26">
        <f>IF($D589="","",IFERROR(VLOOKUP($D589,物料档案!$A$4:$P$1203,10,0),0))</f>
        <v/>
      </c>
      <c r="P589" s="32" t="n"/>
      <c r="Q589" s="26">
        <f>IF($D589="","",IF($K589&lt;&gt;"对外销售",0,ROUND(N($J589)*IF($P589="",N($O589),N($P589)),0)))</f>
        <v/>
      </c>
      <c r="R589" s="26">
        <f>IF($D589="","",IFERROR(VLOOKUP($D589,库存台账!$A$5:$Y$1204,11,0),0))</f>
        <v/>
      </c>
      <c r="S589" s="26">
        <f>IF($D589="","",ROUND(N($J589)*N($R589),0))</f>
        <v/>
      </c>
      <c r="T589" s="26">
        <f>IF($D589="","",IF($K589&lt;&gt;"对外销售","",ROUND($Q589-$S589,0)))</f>
        <v/>
      </c>
      <c r="U589" s="17" t="n"/>
      <c r="V589" s="17" t="n"/>
      <c r="W589" s="24">
        <f>IF($D589="","",IF($E589="※编码不在物料档案里","※物料编码不在档案里",IF(N($J589)&lt;=0,"※出库数量要大于 0",IF($K589="","※没填去向类型",IF($L589="","※没填去向矿区",IF(AND($C589&lt;&gt;"",$C589&lt;=结账锁),"※日期早于已结账截止日，不能再录",IF(AND($K589="自用消耗",COUNTIF({"一矿区";"二矿区"},$L589)=0),"※自用消耗的去向只能是一矿区或二矿区",IF(AND($K589="对外销售",COUNTIF({"三矿区";"六矿区"},$L589)=0),"※对外销售的去向只能是三矿区或六矿区",IF(AND($K589="对外销售",ROUND($Q589,0)=0),"※外销却没有售价，请填实际售价",IF(AND($K589="对外销售",$T589&lt;&gt;"",$T589&lt;0),"※这一笔外销是亏的，请核对售价",IF(IFERROR(VLOOKUP($D589,库存台账!$A$5:$Y$1204,24,0),0)&lt;-0.001,"※这个物料账面已经变成负数了，查一下是不是漏记入库","")))))))))))</f>
        <v/>
      </c>
    </row>
    <row r="590">
      <c r="A590" s="24">
        <f>IF($D590="","",COUNTA($D$4:$D590))</f>
        <v/>
      </c>
      <c r="B590" s="17" t="n"/>
      <c r="C590" s="30" t="n"/>
      <c r="D590" s="17" t="n"/>
      <c r="E590" s="24">
        <f>IF($D590="","",IFERROR(VLOOKUP($D590,物料档案!$A$4:$P$1203,3,0),"※编码不在物料档案里"))</f>
        <v/>
      </c>
      <c r="F590" s="24">
        <f>IF($D590="","",IFERROR(VLOOKUP($D590,物料档案!$A$4:$P$1203,4,0),"※编码不在物料档案里"))</f>
        <v/>
      </c>
      <c r="G590" s="24">
        <f>IF($D590="","",IFERROR(VLOOKUP($D590,物料档案!$A$4:$P$1203,5,0),"※编码不在物料档案里"))</f>
        <v/>
      </c>
      <c r="H590" s="24">
        <f>IF($D590="","",IFERROR(VLOOKUP($D590,物料档案!$A$4:$P$1203,2,0),"※编码不在物料档案里"))</f>
        <v/>
      </c>
      <c r="I590" s="24">
        <f>IF($D590="","",IFERROR(VLOOKUP($D590,物料档案!$A$4:$P$1203,6,0),"※编码不在物料档案里"))</f>
        <v/>
      </c>
      <c r="J590" s="23" t="n"/>
      <c r="K590" s="17" t="n"/>
      <c r="L590" s="17" t="n"/>
      <c r="M590" s="17" t="n"/>
      <c r="N590" s="17" t="n"/>
      <c r="O590" s="26">
        <f>IF($D590="","",IFERROR(VLOOKUP($D590,物料档案!$A$4:$P$1203,10,0),0))</f>
        <v/>
      </c>
      <c r="P590" s="32" t="n"/>
      <c r="Q590" s="26">
        <f>IF($D590="","",IF($K590&lt;&gt;"对外销售",0,ROUND(N($J590)*IF($P590="",N($O590),N($P590)),0)))</f>
        <v/>
      </c>
      <c r="R590" s="26">
        <f>IF($D590="","",IFERROR(VLOOKUP($D590,库存台账!$A$5:$Y$1204,11,0),0))</f>
        <v/>
      </c>
      <c r="S590" s="26">
        <f>IF($D590="","",ROUND(N($J590)*N($R590),0))</f>
        <v/>
      </c>
      <c r="T590" s="26">
        <f>IF($D590="","",IF($K590&lt;&gt;"对外销售","",ROUND($Q590-$S590,0)))</f>
        <v/>
      </c>
      <c r="U590" s="17" t="n"/>
      <c r="V590" s="17" t="n"/>
      <c r="W590" s="24">
        <f>IF($D590="","",IF($E590="※编码不在物料档案里","※物料编码不在档案里",IF(N($J590)&lt;=0,"※出库数量要大于 0",IF($K590="","※没填去向类型",IF($L590="","※没填去向矿区",IF(AND($C590&lt;&gt;"",$C590&lt;=结账锁),"※日期早于已结账截止日，不能再录",IF(AND($K590="自用消耗",COUNTIF({"一矿区";"二矿区"},$L590)=0),"※自用消耗的去向只能是一矿区或二矿区",IF(AND($K590="对外销售",COUNTIF({"三矿区";"六矿区"},$L590)=0),"※对外销售的去向只能是三矿区或六矿区",IF(AND($K590="对外销售",ROUND($Q590,0)=0),"※外销却没有售价，请填实际售价",IF(AND($K590="对外销售",$T590&lt;&gt;"",$T590&lt;0),"※这一笔外销是亏的，请核对售价",IF(IFERROR(VLOOKUP($D590,库存台账!$A$5:$Y$1204,24,0),0)&lt;-0.001,"※这个物料账面已经变成负数了，查一下是不是漏记入库","")))))))))))</f>
        <v/>
      </c>
    </row>
    <row r="591">
      <c r="A591" s="24">
        <f>IF($D591="","",COUNTA($D$4:$D591))</f>
        <v/>
      </c>
      <c r="B591" s="17" t="n"/>
      <c r="C591" s="30" t="n"/>
      <c r="D591" s="17" t="n"/>
      <c r="E591" s="24">
        <f>IF($D591="","",IFERROR(VLOOKUP($D591,物料档案!$A$4:$P$1203,3,0),"※编码不在物料档案里"))</f>
        <v/>
      </c>
      <c r="F591" s="24">
        <f>IF($D591="","",IFERROR(VLOOKUP($D591,物料档案!$A$4:$P$1203,4,0),"※编码不在物料档案里"))</f>
        <v/>
      </c>
      <c r="G591" s="24">
        <f>IF($D591="","",IFERROR(VLOOKUP($D591,物料档案!$A$4:$P$1203,5,0),"※编码不在物料档案里"))</f>
        <v/>
      </c>
      <c r="H591" s="24">
        <f>IF($D591="","",IFERROR(VLOOKUP($D591,物料档案!$A$4:$P$1203,2,0),"※编码不在物料档案里"))</f>
        <v/>
      </c>
      <c r="I591" s="24">
        <f>IF($D591="","",IFERROR(VLOOKUP($D591,物料档案!$A$4:$P$1203,6,0),"※编码不在物料档案里"))</f>
        <v/>
      </c>
      <c r="J591" s="23" t="n"/>
      <c r="K591" s="17" t="n"/>
      <c r="L591" s="17" t="n"/>
      <c r="M591" s="17" t="n"/>
      <c r="N591" s="17" t="n"/>
      <c r="O591" s="26">
        <f>IF($D591="","",IFERROR(VLOOKUP($D591,物料档案!$A$4:$P$1203,10,0),0))</f>
        <v/>
      </c>
      <c r="P591" s="32" t="n"/>
      <c r="Q591" s="26">
        <f>IF($D591="","",IF($K591&lt;&gt;"对外销售",0,ROUND(N($J591)*IF($P591="",N($O591),N($P591)),0)))</f>
        <v/>
      </c>
      <c r="R591" s="26">
        <f>IF($D591="","",IFERROR(VLOOKUP($D591,库存台账!$A$5:$Y$1204,11,0),0))</f>
        <v/>
      </c>
      <c r="S591" s="26">
        <f>IF($D591="","",ROUND(N($J591)*N($R591),0))</f>
        <v/>
      </c>
      <c r="T591" s="26">
        <f>IF($D591="","",IF($K591&lt;&gt;"对外销售","",ROUND($Q591-$S591,0)))</f>
        <v/>
      </c>
      <c r="U591" s="17" t="n"/>
      <c r="V591" s="17" t="n"/>
      <c r="W591" s="24">
        <f>IF($D591="","",IF($E591="※编码不在物料档案里","※物料编码不在档案里",IF(N($J591)&lt;=0,"※出库数量要大于 0",IF($K591="","※没填去向类型",IF($L591="","※没填去向矿区",IF(AND($C591&lt;&gt;"",$C591&lt;=结账锁),"※日期早于已结账截止日，不能再录",IF(AND($K591="自用消耗",COUNTIF({"一矿区";"二矿区"},$L591)=0),"※自用消耗的去向只能是一矿区或二矿区",IF(AND($K591="对外销售",COUNTIF({"三矿区";"六矿区"},$L591)=0),"※对外销售的去向只能是三矿区或六矿区",IF(AND($K591="对外销售",ROUND($Q591,0)=0),"※外销却没有售价，请填实际售价",IF(AND($K591="对外销售",$T591&lt;&gt;"",$T591&lt;0),"※这一笔外销是亏的，请核对售价",IF(IFERROR(VLOOKUP($D591,库存台账!$A$5:$Y$1204,24,0),0)&lt;-0.001,"※这个物料账面已经变成负数了，查一下是不是漏记入库","")))))))))))</f>
        <v/>
      </c>
    </row>
    <row r="592">
      <c r="A592" s="24">
        <f>IF($D592="","",COUNTA($D$4:$D592))</f>
        <v/>
      </c>
      <c r="B592" s="17" t="n"/>
      <c r="C592" s="30" t="n"/>
      <c r="D592" s="17" t="n"/>
      <c r="E592" s="24">
        <f>IF($D592="","",IFERROR(VLOOKUP($D592,物料档案!$A$4:$P$1203,3,0),"※编码不在物料档案里"))</f>
        <v/>
      </c>
      <c r="F592" s="24">
        <f>IF($D592="","",IFERROR(VLOOKUP($D592,物料档案!$A$4:$P$1203,4,0),"※编码不在物料档案里"))</f>
        <v/>
      </c>
      <c r="G592" s="24">
        <f>IF($D592="","",IFERROR(VLOOKUP($D592,物料档案!$A$4:$P$1203,5,0),"※编码不在物料档案里"))</f>
        <v/>
      </c>
      <c r="H592" s="24">
        <f>IF($D592="","",IFERROR(VLOOKUP($D592,物料档案!$A$4:$P$1203,2,0),"※编码不在物料档案里"))</f>
        <v/>
      </c>
      <c r="I592" s="24">
        <f>IF($D592="","",IFERROR(VLOOKUP($D592,物料档案!$A$4:$P$1203,6,0),"※编码不在物料档案里"))</f>
        <v/>
      </c>
      <c r="J592" s="23" t="n"/>
      <c r="K592" s="17" t="n"/>
      <c r="L592" s="17" t="n"/>
      <c r="M592" s="17" t="n"/>
      <c r="N592" s="17" t="n"/>
      <c r="O592" s="26">
        <f>IF($D592="","",IFERROR(VLOOKUP($D592,物料档案!$A$4:$P$1203,10,0),0))</f>
        <v/>
      </c>
      <c r="P592" s="32" t="n"/>
      <c r="Q592" s="26">
        <f>IF($D592="","",IF($K592&lt;&gt;"对外销售",0,ROUND(N($J592)*IF($P592="",N($O592),N($P592)),0)))</f>
        <v/>
      </c>
      <c r="R592" s="26">
        <f>IF($D592="","",IFERROR(VLOOKUP($D592,库存台账!$A$5:$Y$1204,11,0),0))</f>
        <v/>
      </c>
      <c r="S592" s="26">
        <f>IF($D592="","",ROUND(N($J592)*N($R592),0))</f>
        <v/>
      </c>
      <c r="T592" s="26">
        <f>IF($D592="","",IF($K592&lt;&gt;"对外销售","",ROUND($Q592-$S592,0)))</f>
        <v/>
      </c>
      <c r="U592" s="17" t="n"/>
      <c r="V592" s="17" t="n"/>
      <c r="W592" s="24">
        <f>IF($D592="","",IF($E592="※编码不在物料档案里","※物料编码不在档案里",IF(N($J592)&lt;=0,"※出库数量要大于 0",IF($K592="","※没填去向类型",IF($L592="","※没填去向矿区",IF(AND($C592&lt;&gt;"",$C592&lt;=结账锁),"※日期早于已结账截止日，不能再录",IF(AND($K592="自用消耗",COUNTIF({"一矿区";"二矿区"},$L592)=0),"※自用消耗的去向只能是一矿区或二矿区",IF(AND($K592="对外销售",COUNTIF({"三矿区";"六矿区"},$L592)=0),"※对外销售的去向只能是三矿区或六矿区",IF(AND($K592="对外销售",ROUND($Q592,0)=0),"※外销却没有售价，请填实际售价",IF(AND($K592="对外销售",$T592&lt;&gt;"",$T592&lt;0),"※这一笔外销是亏的，请核对售价",IF(IFERROR(VLOOKUP($D592,库存台账!$A$5:$Y$1204,24,0),0)&lt;-0.001,"※这个物料账面已经变成负数了，查一下是不是漏记入库","")))))))))))</f>
        <v/>
      </c>
    </row>
    <row r="593">
      <c r="A593" s="24">
        <f>IF($D593="","",COUNTA($D$4:$D593))</f>
        <v/>
      </c>
      <c r="B593" s="17" t="n"/>
      <c r="C593" s="30" t="n"/>
      <c r="D593" s="17" t="n"/>
      <c r="E593" s="24">
        <f>IF($D593="","",IFERROR(VLOOKUP($D593,物料档案!$A$4:$P$1203,3,0),"※编码不在物料档案里"))</f>
        <v/>
      </c>
      <c r="F593" s="24">
        <f>IF($D593="","",IFERROR(VLOOKUP($D593,物料档案!$A$4:$P$1203,4,0),"※编码不在物料档案里"))</f>
        <v/>
      </c>
      <c r="G593" s="24">
        <f>IF($D593="","",IFERROR(VLOOKUP($D593,物料档案!$A$4:$P$1203,5,0),"※编码不在物料档案里"))</f>
        <v/>
      </c>
      <c r="H593" s="24">
        <f>IF($D593="","",IFERROR(VLOOKUP($D593,物料档案!$A$4:$P$1203,2,0),"※编码不在物料档案里"))</f>
        <v/>
      </c>
      <c r="I593" s="24">
        <f>IF($D593="","",IFERROR(VLOOKUP($D593,物料档案!$A$4:$P$1203,6,0),"※编码不在物料档案里"))</f>
        <v/>
      </c>
      <c r="J593" s="23" t="n"/>
      <c r="K593" s="17" t="n"/>
      <c r="L593" s="17" t="n"/>
      <c r="M593" s="17" t="n"/>
      <c r="N593" s="17" t="n"/>
      <c r="O593" s="26">
        <f>IF($D593="","",IFERROR(VLOOKUP($D593,物料档案!$A$4:$P$1203,10,0),0))</f>
        <v/>
      </c>
      <c r="P593" s="32" t="n"/>
      <c r="Q593" s="26">
        <f>IF($D593="","",IF($K593&lt;&gt;"对外销售",0,ROUND(N($J593)*IF($P593="",N($O593),N($P593)),0)))</f>
        <v/>
      </c>
      <c r="R593" s="26">
        <f>IF($D593="","",IFERROR(VLOOKUP($D593,库存台账!$A$5:$Y$1204,11,0),0))</f>
        <v/>
      </c>
      <c r="S593" s="26">
        <f>IF($D593="","",ROUND(N($J593)*N($R593),0))</f>
        <v/>
      </c>
      <c r="T593" s="26">
        <f>IF($D593="","",IF($K593&lt;&gt;"对外销售","",ROUND($Q593-$S593,0)))</f>
        <v/>
      </c>
      <c r="U593" s="17" t="n"/>
      <c r="V593" s="17" t="n"/>
      <c r="W593" s="24">
        <f>IF($D593="","",IF($E593="※编码不在物料档案里","※物料编码不在档案里",IF(N($J593)&lt;=0,"※出库数量要大于 0",IF($K593="","※没填去向类型",IF($L593="","※没填去向矿区",IF(AND($C593&lt;&gt;"",$C593&lt;=结账锁),"※日期早于已结账截止日，不能再录",IF(AND($K593="自用消耗",COUNTIF({"一矿区";"二矿区"},$L593)=0),"※自用消耗的去向只能是一矿区或二矿区",IF(AND($K593="对外销售",COUNTIF({"三矿区";"六矿区"},$L593)=0),"※对外销售的去向只能是三矿区或六矿区",IF(AND($K593="对外销售",ROUND($Q593,0)=0),"※外销却没有售价，请填实际售价",IF(AND($K593="对外销售",$T593&lt;&gt;"",$T593&lt;0),"※这一笔外销是亏的，请核对售价",IF(IFERROR(VLOOKUP($D593,库存台账!$A$5:$Y$1204,24,0),0)&lt;-0.001,"※这个物料账面已经变成负数了，查一下是不是漏记入库","")))))))))))</f>
        <v/>
      </c>
    </row>
    <row r="594">
      <c r="A594" s="24">
        <f>IF($D594="","",COUNTA($D$4:$D594))</f>
        <v/>
      </c>
      <c r="B594" s="17" t="n"/>
      <c r="C594" s="30" t="n"/>
      <c r="D594" s="17" t="n"/>
      <c r="E594" s="24">
        <f>IF($D594="","",IFERROR(VLOOKUP($D594,物料档案!$A$4:$P$1203,3,0),"※编码不在物料档案里"))</f>
        <v/>
      </c>
      <c r="F594" s="24">
        <f>IF($D594="","",IFERROR(VLOOKUP($D594,物料档案!$A$4:$P$1203,4,0),"※编码不在物料档案里"))</f>
        <v/>
      </c>
      <c r="G594" s="24">
        <f>IF($D594="","",IFERROR(VLOOKUP($D594,物料档案!$A$4:$P$1203,5,0),"※编码不在物料档案里"))</f>
        <v/>
      </c>
      <c r="H594" s="24">
        <f>IF($D594="","",IFERROR(VLOOKUP($D594,物料档案!$A$4:$P$1203,2,0),"※编码不在物料档案里"))</f>
        <v/>
      </c>
      <c r="I594" s="24">
        <f>IF($D594="","",IFERROR(VLOOKUP($D594,物料档案!$A$4:$P$1203,6,0),"※编码不在物料档案里"))</f>
        <v/>
      </c>
      <c r="J594" s="23" t="n"/>
      <c r="K594" s="17" t="n"/>
      <c r="L594" s="17" t="n"/>
      <c r="M594" s="17" t="n"/>
      <c r="N594" s="17" t="n"/>
      <c r="O594" s="26">
        <f>IF($D594="","",IFERROR(VLOOKUP($D594,物料档案!$A$4:$P$1203,10,0),0))</f>
        <v/>
      </c>
      <c r="P594" s="32" t="n"/>
      <c r="Q594" s="26">
        <f>IF($D594="","",IF($K594&lt;&gt;"对外销售",0,ROUND(N($J594)*IF($P594="",N($O594),N($P594)),0)))</f>
        <v/>
      </c>
      <c r="R594" s="26">
        <f>IF($D594="","",IFERROR(VLOOKUP($D594,库存台账!$A$5:$Y$1204,11,0),0))</f>
        <v/>
      </c>
      <c r="S594" s="26">
        <f>IF($D594="","",ROUND(N($J594)*N($R594),0))</f>
        <v/>
      </c>
      <c r="T594" s="26">
        <f>IF($D594="","",IF($K594&lt;&gt;"对外销售","",ROUND($Q594-$S594,0)))</f>
        <v/>
      </c>
      <c r="U594" s="17" t="n"/>
      <c r="V594" s="17" t="n"/>
      <c r="W594" s="24">
        <f>IF($D594="","",IF($E594="※编码不在物料档案里","※物料编码不在档案里",IF(N($J594)&lt;=0,"※出库数量要大于 0",IF($K594="","※没填去向类型",IF($L594="","※没填去向矿区",IF(AND($C594&lt;&gt;"",$C594&lt;=结账锁),"※日期早于已结账截止日，不能再录",IF(AND($K594="自用消耗",COUNTIF({"一矿区";"二矿区"},$L594)=0),"※自用消耗的去向只能是一矿区或二矿区",IF(AND($K594="对外销售",COUNTIF({"三矿区";"六矿区"},$L594)=0),"※对外销售的去向只能是三矿区或六矿区",IF(AND($K594="对外销售",ROUND($Q594,0)=0),"※外销却没有售价，请填实际售价",IF(AND($K594="对外销售",$T594&lt;&gt;"",$T594&lt;0),"※这一笔外销是亏的，请核对售价",IF(IFERROR(VLOOKUP($D594,库存台账!$A$5:$Y$1204,24,0),0)&lt;-0.001,"※这个物料账面已经变成负数了，查一下是不是漏记入库","")))))))))))</f>
        <v/>
      </c>
    </row>
    <row r="595">
      <c r="A595" s="24">
        <f>IF($D595="","",COUNTA($D$4:$D595))</f>
        <v/>
      </c>
      <c r="B595" s="17" t="n"/>
      <c r="C595" s="30" t="n"/>
      <c r="D595" s="17" t="n"/>
      <c r="E595" s="24">
        <f>IF($D595="","",IFERROR(VLOOKUP($D595,物料档案!$A$4:$P$1203,3,0),"※编码不在物料档案里"))</f>
        <v/>
      </c>
      <c r="F595" s="24">
        <f>IF($D595="","",IFERROR(VLOOKUP($D595,物料档案!$A$4:$P$1203,4,0),"※编码不在物料档案里"))</f>
        <v/>
      </c>
      <c r="G595" s="24">
        <f>IF($D595="","",IFERROR(VLOOKUP($D595,物料档案!$A$4:$P$1203,5,0),"※编码不在物料档案里"))</f>
        <v/>
      </c>
      <c r="H595" s="24">
        <f>IF($D595="","",IFERROR(VLOOKUP($D595,物料档案!$A$4:$P$1203,2,0),"※编码不在物料档案里"))</f>
        <v/>
      </c>
      <c r="I595" s="24">
        <f>IF($D595="","",IFERROR(VLOOKUP($D595,物料档案!$A$4:$P$1203,6,0),"※编码不在物料档案里"))</f>
        <v/>
      </c>
      <c r="J595" s="23" t="n"/>
      <c r="K595" s="17" t="n"/>
      <c r="L595" s="17" t="n"/>
      <c r="M595" s="17" t="n"/>
      <c r="N595" s="17" t="n"/>
      <c r="O595" s="26">
        <f>IF($D595="","",IFERROR(VLOOKUP($D595,物料档案!$A$4:$P$1203,10,0),0))</f>
        <v/>
      </c>
      <c r="P595" s="32" t="n"/>
      <c r="Q595" s="26">
        <f>IF($D595="","",IF($K595&lt;&gt;"对外销售",0,ROUND(N($J595)*IF($P595="",N($O595),N($P595)),0)))</f>
        <v/>
      </c>
      <c r="R595" s="26">
        <f>IF($D595="","",IFERROR(VLOOKUP($D595,库存台账!$A$5:$Y$1204,11,0),0))</f>
        <v/>
      </c>
      <c r="S595" s="26">
        <f>IF($D595="","",ROUND(N($J595)*N($R595),0))</f>
        <v/>
      </c>
      <c r="T595" s="26">
        <f>IF($D595="","",IF($K595&lt;&gt;"对外销售","",ROUND($Q595-$S595,0)))</f>
        <v/>
      </c>
      <c r="U595" s="17" t="n"/>
      <c r="V595" s="17" t="n"/>
      <c r="W595" s="24">
        <f>IF($D595="","",IF($E595="※编码不在物料档案里","※物料编码不在档案里",IF(N($J595)&lt;=0,"※出库数量要大于 0",IF($K595="","※没填去向类型",IF($L595="","※没填去向矿区",IF(AND($C595&lt;&gt;"",$C595&lt;=结账锁),"※日期早于已结账截止日，不能再录",IF(AND($K595="自用消耗",COUNTIF({"一矿区";"二矿区"},$L595)=0),"※自用消耗的去向只能是一矿区或二矿区",IF(AND($K595="对外销售",COUNTIF({"三矿区";"六矿区"},$L595)=0),"※对外销售的去向只能是三矿区或六矿区",IF(AND($K595="对外销售",ROUND($Q595,0)=0),"※外销却没有售价，请填实际售价",IF(AND($K595="对外销售",$T595&lt;&gt;"",$T595&lt;0),"※这一笔外销是亏的，请核对售价",IF(IFERROR(VLOOKUP($D595,库存台账!$A$5:$Y$1204,24,0),0)&lt;-0.001,"※这个物料账面已经变成负数了，查一下是不是漏记入库","")))))))))))</f>
        <v/>
      </c>
    </row>
    <row r="596">
      <c r="A596" s="24">
        <f>IF($D596="","",COUNTA($D$4:$D596))</f>
        <v/>
      </c>
      <c r="B596" s="17" t="n"/>
      <c r="C596" s="30" t="n"/>
      <c r="D596" s="17" t="n"/>
      <c r="E596" s="24">
        <f>IF($D596="","",IFERROR(VLOOKUP($D596,物料档案!$A$4:$P$1203,3,0),"※编码不在物料档案里"))</f>
        <v/>
      </c>
      <c r="F596" s="24">
        <f>IF($D596="","",IFERROR(VLOOKUP($D596,物料档案!$A$4:$P$1203,4,0),"※编码不在物料档案里"))</f>
        <v/>
      </c>
      <c r="G596" s="24">
        <f>IF($D596="","",IFERROR(VLOOKUP($D596,物料档案!$A$4:$P$1203,5,0),"※编码不在物料档案里"))</f>
        <v/>
      </c>
      <c r="H596" s="24">
        <f>IF($D596="","",IFERROR(VLOOKUP($D596,物料档案!$A$4:$P$1203,2,0),"※编码不在物料档案里"))</f>
        <v/>
      </c>
      <c r="I596" s="24">
        <f>IF($D596="","",IFERROR(VLOOKUP($D596,物料档案!$A$4:$P$1203,6,0),"※编码不在物料档案里"))</f>
        <v/>
      </c>
      <c r="J596" s="23" t="n"/>
      <c r="K596" s="17" t="n"/>
      <c r="L596" s="17" t="n"/>
      <c r="M596" s="17" t="n"/>
      <c r="N596" s="17" t="n"/>
      <c r="O596" s="26">
        <f>IF($D596="","",IFERROR(VLOOKUP($D596,物料档案!$A$4:$P$1203,10,0),0))</f>
        <v/>
      </c>
      <c r="P596" s="32" t="n"/>
      <c r="Q596" s="26">
        <f>IF($D596="","",IF($K596&lt;&gt;"对外销售",0,ROUND(N($J596)*IF($P596="",N($O596),N($P596)),0)))</f>
        <v/>
      </c>
      <c r="R596" s="26">
        <f>IF($D596="","",IFERROR(VLOOKUP($D596,库存台账!$A$5:$Y$1204,11,0),0))</f>
        <v/>
      </c>
      <c r="S596" s="26">
        <f>IF($D596="","",ROUND(N($J596)*N($R596),0))</f>
        <v/>
      </c>
      <c r="T596" s="26">
        <f>IF($D596="","",IF($K596&lt;&gt;"对外销售","",ROUND($Q596-$S596,0)))</f>
        <v/>
      </c>
      <c r="U596" s="17" t="n"/>
      <c r="V596" s="17" t="n"/>
      <c r="W596" s="24">
        <f>IF($D596="","",IF($E596="※编码不在物料档案里","※物料编码不在档案里",IF(N($J596)&lt;=0,"※出库数量要大于 0",IF($K596="","※没填去向类型",IF($L596="","※没填去向矿区",IF(AND($C596&lt;&gt;"",$C596&lt;=结账锁),"※日期早于已结账截止日，不能再录",IF(AND($K596="自用消耗",COUNTIF({"一矿区";"二矿区"},$L596)=0),"※自用消耗的去向只能是一矿区或二矿区",IF(AND($K596="对外销售",COUNTIF({"三矿区";"六矿区"},$L596)=0),"※对外销售的去向只能是三矿区或六矿区",IF(AND($K596="对外销售",ROUND($Q596,0)=0),"※外销却没有售价，请填实际售价",IF(AND($K596="对外销售",$T596&lt;&gt;"",$T596&lt;0),"※这一笔外销是亏的，请核对售价",IF(IFERROR(VLOOKUP($D596,库存台账!$A$5:$Y$1204,24,0),0)&lt;-0.001,"※这个物料账面已经变成负数了，查一下是不是漏记入库","")))))))))))</f>
        <v/>
      </c>
    </row>
    <row r="597">
      <c r="A597" s="24">
        <f>IF($D597="","",COUNTA($D$4:$D597))</f>
        <v/>
      </c>
      <c r="B597" s="17" t="n"/>
      <c r="C597" s="30" t="n"/>
      <c r="D597" s="17" t="n"/>
      <c r="E597" s="24">
        <f>IF($D597="","",IFERROR(VLOOKUP($D597,物料档案!$A$4:$P$1203,3,0),"※编码不在物料档案里"))</f>
        <v/>
      </c>
      <c r="F597" s="24">
        <f>IF($D597="","",IFERROR(VLOOKUP($D597,物料档案!$A$4:$P$1203,4,0),"※编码不在物料档案里"))</f>
        <v/>
      </c>
      <c r="G597" s="24">
        <f>IF($D597="","",IFERROR(VLOOKUP($D597,物料档案!$A$4:$P$1203,5,0),"※编码不在物料档案里"))</f>
        <v/>
      </c>
      <c r="H597" s="24">
        <f>IF($D597="","",IFERROR(VLOOKUP($D597,物料档案!$A$4:$P$1203,2,0),"※编码不在物料档案里"))</f>
        <v/>
      </c>
      <c r="I597" s="24">
        <f>IF($D597="","",IFERROR(VLOOKUP($D597,物料档案!$A$4:$P$1203,6,0),"※编码不在物料档案里"))</f>
        <v/>
      </c>
      <c r="J597" s="23" t="n"/>
      <c r="K597" s="17" t="n"/>
      <c r="L597" s="17" t="n"/>
      <c r="M597" s="17" t="n"/>
      <c r="N597" s="17" t="n"/>
      <c r="O597" s="26">
        <f>IF($D597="","",IFERROR(VLOOKUP($D597,物料档案!$A$4:$P$1203,10,0),0))</f>
        <v/>
      </c>
      <c r="P597" s="32" t="n"/>
      <c r="Q597" s="26">
        <f>IF($D597="","",IF($K597&lt;&gt;"对外销售",0,ROUND(N($J597)*IF($P597="",N($O597),N($P597)),0)))</f>
        <v/>
      </c>
      <c r="R597" s="26">
        <f>IF($D597="","",IFERROR(VLOOKUP($D597,库存台账!$A$5:$Y$1204,11,0),0))</f>
        <v/>
      </c>
      <c r="S597" s="26">
        <f>IF($D597="","",ROUND(N($J597)*N($R597),0))</f>
        <v/>
      </c>
      <c r="T597" s="26">
        <f>IF($D597="","",IF($K597&lt;&gt;"对外销售","",ROUND($Q597-$S597,0)))</f>
        <v/>
      </c>
      <c r="U597" s="17" t="n"/>
      <c r="V597" s="17" t="n"/>
      <c r="W597" s="24">
        <f>IF($D597="","",IF($E597="※编码不在物料档案里","※物料编码不在档案里",IF(N($J597)&lt;=0,"※出库数量要大于 0",IF($K597="","※没填去向类型",IF($L597="","※没填去向矿区",IF(AND($C597&lt;&gt;"",$C597&lt;=结账锁),"※日期早于已结账截止日，不能再录",IF(AND($K597="自用消耗",COUNTIF({"一矿区";"二矿区"},$L597)=0),"※自用消耗的去向只能是一矿区或二矿区",IF(AND($K597="对外销售",COUNTIF({"三矿区";"六矿区"},$L597)=0),"※对外销售的去向只能是三矿区或六矿区",IF(AND($K597="对外销售",ROUND($Q597,0)=0),"※外销却没有售价，请填实际售价",IF(AND($K597="对外销售",$T597&lt;&gt;"",$T597&lt;0),"※这一笔外销是亏的，请核对售价",IF(IFERROR(VLOOKUP($D597,库存台账!$A$5:$Y$1204,24,0),0)&lt;-0.001,"※这个物料账面已经变成负数了，查一下是不是漏记入库","")))))))))))</f>
        <v/>
      </c>
    </row>
    <row r="598">
      <c r="A598" s="24">
        <f>IF($D598="","",COUNTA($D$4:$D598))</f>
        <v/>
      </c>
      <c r="B598" s="17" t="n"/>
      <c r="C598" s="30" t="n"/>
      <c r="D598" s="17" t="n"/>
      <c r="E598" s="24">
        <f>IF($D598="","",IFERROR(VLOOKUP($D598,物料档案!$A$4:$P$1203,3,0),"※编码不在物料档案里"))</f>
        <v/>
      </c>
      <c r="F598" s="24">
        <f>IF($D598="","",IFERROR(VLOOKUP($D598,物料档案!$A$4:$P$1203,4,0),"※编码不在物料档案里"))</f>
        <v/>
      </c>
      <c r="G598" s="24">
        <f>IF($D598="","",IFERROR(VLOOKUP($D598,物料档案!$A$4:$P$1203,5,0),"※编码不在物料档案里"))</f>
        <v/>
      </c>
      <c r="H598" s="24">
        <f>IF($D598="","",IFERROR(VLOOKUP($D598,物料档案!$A$4:$P$1203,2,0),"※编码不在物料档案里"))</f>
        <v/>
      </c>
      <c r="I598" s="24">
        <f>IF($D598="","",IFERROR(VLOOKUP($D598,物料档案!$A$4:$P$1203,6,0),"※编码不在物料档案里"))</f>
        <v/>
      </c>
      <c r="J598" s="23" t="n"/>
      <c r="K598" s="17" t="n"/>
      <c r="L598" s="17" t="n"/>
      <c r="M598" s="17" t="n"/>
      <c r="N598" s="17" t="n"/>
      <c r="O598" s="26">
        <f>IF($D598="","",IFERROR(VLOOKUP($D598,物料档案!$A$4:$P$1203,10,0),0))</f>
        <v/>
      </c>
      <c r="P598" s="32" t="n"/>
      <c r="Q598" s="26">
        <f>IF($D598="","",IF($K598&lt;&gt;"对外销售",0,ROUND(N($J598)*IF($P598="",N($O598),N($P598)),0)))</f>
        <v/>
      </c>
      <c r="R598" s="26">
        <f>IF($D598="","",IFERROR(VLOOKUP($D598,库存台账!$A$5:$Y$1204,11,0),0))</f>
        <v/>
      </c>
      <c r="S598" s="26">
        <f>IF($D598="","",ROUND(N($J598)*N($R598),0))</f>
        <v/>
      </c>
      <c r="T598" s="26">
        <f>IF($D598="","",IF($K598&lt;&gt;"对外销售","",ROUND($Q598-$S598,0)))</f>
        <v/>
      </c>
      <c r="U598" s="17" t="n"/>
      <c r="V598" s="17" t="n"/>
      <c r="W598" s="24">
        <f>IF($D598="","",IF($E598="※编码不在物料档案里","※物料编码不在档案里",IF(N($J598)&lt;=0,"※出库数量要大于 0",IF($K598="","※没填去向类型",IF($L598="","※没填去向矿区",IF(AND($C598&lt;&gt;"",$C598&lt;=结账锁),"※日期早于已结账截止日，不能再录",IF(AND($K598="自用消耗",COUNTIF({"一矿区";"二矿区"},$L598)=0),"※自用消耗的去向只能是一矿区或二矿区",IF(AND($K598="对外销售",COUNTIF({"三矿区";"六矿区"},$L598)=0),"※对外销售的去向只能是三矿区或六矿区",IF(AND($K598="对外销售",ROUND($Q598,0)=0),"※外销却没有售价，请填实际售价",IF(AND($K598="对外销售",$T598&lt;&gt;"",$T598&lt;0),"※这一笔外销是亏的，请核对售价",IF(IFERROR(VLOOKUP($D598,库存台账!$A$5:$Y$1204,24,0),0)&lt;-0.001,"※这个物料账面已经变成负数了，查一下是不是漏记入库","")))))))))))</f>
        <v/>
      </c>
    </row>
    <row r="599">
      <c r="A599" s="24">
        <f>IF($D599="","",COUNTA($D$4:$D599))</f>
        <v/>
      </c>
      <c r="B599" s="17" t="n"/>
      <c r="C599" s="30" t="n"/>
      <c r="D599" s="17" t="n"/>
      <c r="E599" s="24">
        <f>IF($D599="","",IFERROR(VLOOKUP($D599,物料档案!$A$4:$P$1203,3,0),"※编码不在物料档案里"))</f>
        <v/>
      </c>
      <c r="F599" s="24">
        <f>IF($D599="","",IFERROR(VLOOKUP($D599,物料档案!$A$4:$P$1203,4,0),"※编码不在物料档案里"))</f>
        <v/>
      </c>
      <c r="G599" s="24">
        <f>IF($D599="","",IFERROR(VLOOKUP($D599,物料档案!$A$4:$P$1203,5,0),"※编码不在物料档案里"))</f>
        <v/>
      </c>
      <c r="H599" s="24">
        <f>IF($D599="","",IFERROR(VLOOKUP($D599,物料档案!$A$4:$P$1203,2,0),"※编码不在物料档案里"))</f>
        <v/>
      </c>
      <c r="I599" s="24">
        <f>IF($D599="","",IFERROR(VLOOKUP($D599,物料档案!$A$4:$P$1203,6,0),"※编码不在物料档案里"))</f>
        <v/>
      </c>
      <c r="J599" s="23" t="n"/>
      <c r="K599" s="17" t="n"/>
      <c r="L599" s="17" t="n"/>
      <c r="M599" s="17" t="n"/>
      <c r="N599" s="17" t="n"/>
      <c r="O599" s="26">
        <f>IF($D599="","",IFERROR(VLOOKUP($D599,物料档案!$A$4:$P$1203,10,0),0))</f>
        <v/>
      </c>
      <c r="P599" s="32" t="n"/>
      <c r="Q599" s="26">
        <f>IF($D599="","",IF($K599&lt;&gt;"对外销售",0,ROUND(N($J599)*IF($P599="",N($O599),N($P599)),0)))</f>
        <v/>
      </c>
      <c r="R599" s="26">
        <f>IF($D599="","",IFERROR(VLOOKUP($D599,库存台账!$A$5:$Y$1204,11,0),0))</f>
        <v/>
      </c>
      <c r="S599" s="26">
        <f>IF($D599="","",ROUND(N($J599)*N($R599),0))</f>
        <v/>
      </c>
      <c r="T599" s="26">
        <f>IF($D599="","",IF($K599&lt;&gt;"对外销售","",ROUND($Q599-$S599,0)))</f>
        <v/>
      </c>
      <c r="U599" s="17" t="n"/>
      <c r="V599" s="17" t="n"/>
      <c r="W599" s="24">
        <f>IF($D599="","",IF($E599="※编码不在物料档案里","※物料编码不在档案里",IF(N($J599)&lt;=0,"※出库数量要大于 0",IF($K599="","※没填去向类型",IF($L599="","※没填去向矿区",IF(AND($C599&lt;&gt;"",$C599&lt;=结账锁),"※日期早于已结账截止日，不能再录",IF(AND($K599="自用消耗",COUNTIF({"一矿区";"二矿区"},$L599)=0),"※自用消耗的去向只能是一矿区或二矿区",IF(AND($K599="对外销售",COUNTIF({"三矿区";"六矿区"},$L599)=0),"※对外销售的去向只能是三矿区或六矿区",IF(AND($K599="对外销售",ROUND($Q599,0)=0),"※外销却没有售价，请填实际售价",IF(AND($K599="对外销售",$T599&lt;&gt;"",$T599&lt;0),"※这一笔外销是亏的，请核对售价",IF(IFERROR(VLOOKUP($D599,库存台账!$A$5:$Y$1204,24,0),0)&lt;-0.001,"※这个物料账面已经变成负数了，查一下是不是漏记入库","")))))))))))</f>
        <v/>
      </c>
    </row>
    <row r="600">
      <c r="A600" s="24">
        <f>IF($D600="","",COUNTA($D$4:$D600))</f>
        <v/>
      </c>
      <c r="B600" s="17" t="n"/>
      <c r="C600" s="30" t="n"/>
      <c r="D600" s="17" t="n"/>
      <c r="E600" s="24">
        <f>IF($D600="","",IFERROR(VLOOKUP($D600,物料档案!$A$4:$P$1203,3,0),"※编码不在物料档案里"))</f>
        <v/>
      </c>
      <c r="F600" s="24">
        <f>IF($D600="","",IFERROR(VLOOKUP($D600,物料档案!$A$4:$P$1203,4,0),"※编码不在物料档案里"))</f>
        <v/>
      </c>
      <c r="G600" s="24">
        <f>IF($D600="","",IFERROR(VLOOKUP($D600,物料档案!$A$4:$P$1203,5,0),"※编码不在物料档案里"))</f>
        <v/>
      </c>
      <c r="H600" s="24">
        <f>IF($D600="","",IFERROR(VLOOKUP($D600,物料档案!$A$4:$P$1203,2,0),"※编码不在物料档案里"))</f>
        <v/>
      </c>
      <c r="I600" s="24">
        <f>IF($D600="","",IFERROR(VLOOKUP($D600,物料档案!$A$4:$P$1203,6,0),"※编码不在物料档案里"))</f>
        <v/>
      </c>
      <c r="J600" s="23" t="n"/>
      <c r="K600" s="17" t="n"/>
      <c r="L600" s="17" t="n"/>
      <c r="M600" s="17" t="n"/>
      <c r="N600" s="17" t="n"/>
      <c r="O600" s="26">
        <f>IF($D600="","",IFERROR(VLOOKUP($D600,物料档案!$A$4:$P$1203,10,0),0))</f>
        <v/>
      </c>
      <c r="P600" s="32" t="n"/>
      <c r="Q600" s="26">
        <f>IF($D600="","",IF($K600&lt;&gt;"对外销售",0,ROUND(N($J600)*IF($P600="",N($O600),N($P600)),0)))</f>
        <v/>
      </c>
      <c r="R600" s="26">
        <f>IF($D600="","",IFERROR(VLOOKUP($D600,库存台账!$A$5:$Y$1204,11,0),0))</f>
        <v/>
      </c>
      <c r="S600" s="26">
        <f>IF($D600="","",ROUND(N($J600)*N($R600),0))</f>
        <v/>
      </c>
      <c r="T600" s="26">
        <f>IF($D600="","",IF($K600&lt;&gt;"对外销售","",ROUND($Q600-$S600,0)))</f>
        <v/>
      </c>
      <c r="U600" s="17" t="n"/>
      <c r="V600" s="17" t="n"/>
      <c r="W600" s="24">
        <f>IF($D600="","",IF($E600="※编码不在物料档案里","※物料编码不在档案里",IF(N($J600)&lt;=0,"※出库数量要大于 0",IF($K600="","※没填去向类型",IF($L600="","※没填去向矿区",IF(AND($C600&lt;&gt;"",$C600&lt;=结账锁),"※日期早于已结账截止日，不能再录",IF(AND($K600="自用消耗",COUNTIF({"一矿区";"二矿区"},$L600)=0),"※自用消耗的去向只能是一矿区或二矿区",IF(AND($K600="对外销售",COUNTIF({"三矿区";"六矿区"},$L600)=0),"※对外销售的去向只能是三矿区或六矿区",IF(AND($K600="对外销售",ROUND($Q600,0)=0),"※外销却没有售价，请填实际售价",IF(AND($K600="对外销售",$T600&lt;&gt;"",$T600&lt;0),"※这一笔外销是亏的，请核对售价",IF(IFERROR(VLOOKUP($D600,库存台账!$A$5:$Y$1204,24,0),0)&lt;-0.001,"※这个物料账面已经变成负数了，查一下是不是漏记入库","")))))))))))</f>
        <v/>
      </c>
    </row>
    <row r="601">
      <c r="A601" s="24">
        <f>IF($D601="","",COUNTA($D$4:$D601))</f>
        <v/>
      </c>
      <c r="B601" s="17" t="n"/>
      <c r="C601" s="30" t="n"/>
      <c r="D601" s="17" t="n"/>
      <c r="E601" s="24">
        <f>IF($D601="","",IFERROR(VLOOKUP($D601,物料档案!$A$4:$P$1203,3,0),"※编码不在物料档案里"))</f>
        <v/>
      </c>
      <c r="F601" s="24">
        <f>IF($D601="","",IFERROR(VLOOKUP($D601,物料档案!$A$4:$P$1203,4,0),"※编码不在物料档案里"))</f>
        <v/>
      </c>
      <c r="G601" s="24">
        <f>IF($D601="","",IFERROR(VLOOKUP($D601,物料档案!$A$4:$P$1203,5,0),"※编码不在物料档案里"))</f>
        <v/>
      </c>
      <c r="H601" s="24">
        <f>IF($D601="","",IFERROR(VLOOKUP($D601,物料档案!$A$4:$P$1203,2,0),"※编码不在物料档案里"))</f>
        <v/>
      </c>
      <c r="I601" s="24">
        <f>IF($D601="","",IFERROR(VLOOKUP($D601,物料档案!$A$4:$P$1203,6,0),"※编码不在物料档案里"))</f>
        <v/>
      </c>
      <c r="J601" s="23" t="n"/>
      <c r="K601" s="17" t="n"/>
      <c r="L601" s="17" t="n"/>
      <c r="M601" s="17" t="n"/>
      <c r="N601" s="17" t="n"/>
      <c r="O601" s="26">
        <f>IF($D601="","",IFERROR(VLOOKUP($D601,物料档案!$A$4:$P$1203,10,0),0))</f>
        <v/>
      </c>
      <c r="P601" s="32" t="n"/>
      <c r="Q601" s="26">
        <f>IF($D601="","",IF($K601&lt;&gt;"对外销售",0,ROUND(N($J601)*IF($P601="",N($O601),N($P601)),0)))</f>
        <v/>
      </c>
      <c r="R601" s="26">
        <f>IF($D601="","",IFERROR(VLOOKUP($D601,库存台账!$A$5:$Y$1204,11,0),0))</f>
        <v/>
      </c>
      <c r="S601" s="26">
        <f>IF($D601="","",ROUND(N($J601)*N($R601),0))</f>
        <v/>
      </c>
      <c r="T601" s="26">
        <f>IF($D601="","",IF($K601&lt;&gt;"对外销售","",ROUND($Q601-$S601,0)))</f>
        <v/>
      </c>
      <c r="U601" s="17" t="n"/>
      <c r="V601" s="17" t="n"/>
      <c r="W601" s="24">
        <f>IF($D601="","",IF($E601="※编码不在物料档案里","※物料编码不在档案里",IF(N($J601)&lt;=0,"※出库数量要大于 0",IF($K601="","※没填去向类型",IF($L601="","※没填去向矿区",IF(AND($C601&lt;&gt;"",$C601&lt;=结账锁),"※日期早于已结账截止日，不能再录",IF(AND($K601="自用消耗",COUNTIF({"一矿区";"二矿区"},$L601)=0),"※自用消耗的去向只能是一矿区或二矿区",IF(AND($K601="对外销售",COUNTIF({"三矿区";"六矿区"},$L601)=0),"※对外销售的去向只能是三矿区或六矿区",IF(AND($K601="对外销售",ROUND($Q601,0)=0),"※外销却没有售价，请填实际售价",IF(AND($K601="对外销售",$T601&lt;&gt;"",$T601&lt;0),"※这一笔外销是亏的，请核对售价",IF(IFERROR(VLOOKUP($D601,库存台账!$A$5:$Y$1204,24,0),0)&lt;-0.001,"※这个物料账面已经变成负数了，查一下是不是漏记入库","")))))))))))</f>
        <v/>
      </c>
    </row>
    <row r="602">
      <c r="A602" s="24">
        <f>IF($D602="","",COUNTA($D$4:$D602))</f>
        <v/>
      </c>
      <c r="B602" s="17" t="n"/>
      <c r="C602" s="30" t="n"/>
      <c r="D602" s="17" t="n"/>
      <c r="E602" s="24">
        <f>IF($D602="","",IFERROR(VLOOKUP($D602,物料档案!$A$4:$P$1203,3,0),"※编码不在物料档案里"))</f>
        <v/>
      </c>
      <c r="F602" s="24">
        <f>IF($D602="","",IFERROR(VLOOKUP($D602,物料档案!$A$4:$P$1203,4,0),"※编码不在物料档案里"))</f>
        <v/>
      </c>
      <c r="G602" s="24">
        <f>IF($D602="","",IFERROR(VLOOKUP($D602,物料档案!$A$4:$P$1203,5,0),"※编码不在物料档案里"))</f>
        <v/>
      </c>
      <c r="H602" s="24">
        <f>IF($D602="","",IFERROR(VLOOKUP($D602,物料档案!$A$4:$P$1203,2,0),"※编码不在物料档案里"))</f>
        <v/>
      </c>
      <c r="I602" s="24">
        <f>IF($D602="","",IFERROR(VLOOKUP($D602,物料档案!$A$4:$P$1203,6,0),"※编码不在物料档案里"))</f>
        <v/>
      </c>
      <c r="J602" s="23" t="n"/>
      <c r="K602" s="17" t="n"/>
      <c r="L602" s="17" t="n"/>
      <c r="M602" s="17" t="n"/>
      <c r="N602" s="17" t="n"/>
      <c r="O602" s="26">
        <f>IF($D602="","",IFERROR(VLOOKUP($D602,物料档案!$A$4:$P$1203,10,0),0))</f>
        <v/>
      </c>
      <c r="P602" s="32" t="n"/>
      <c r="Q602" s="26">
        <f>IF($D602="","",IF($K602&lt;&gt;"对外销售",0,ROUND(N($J602)*IF($P602="",N($O602),N($P602)),0)))</f>
        <v/>
      </c>
      <c r="R602" s="26">
        <f>IF($D602="","",IFERROR(VLOOKUP($D602,库存台账!$A$5:$Y$1204,11,0),0))</f>
        <v/>
      </c>
      <c r="S602" s="26">
        <f>IF($D602="","",ROUND(N($J602)*N($R602),0))</f>
        <v/>
      </c>
      <c r="T602" s="26">
        <f>IF($D602="","",IF($K602&lt;&gt;"对外销售","",ROUND($Q602-$S602,0)))</f>
        <v/>
      </c>
      <c r="U602" s="17" t="n"/>
      <c r="V602" s="17" t="n"/>
      <c r="W602" s="24">
        <f>IF($D602="","",IF($E602="※编码不在物料档案里","※物料编码不在档案里",IF(N($J602)&lt;=0,"※出库数量要大于 0",IF($K602="","※没填去向类型",IF($L602="","※没填去向矿区",IF(AND($C602&lt;&gt;"",$C602&lt;=结账锁),"※日期早于已结账截止日，不能再录",IF(AND($K602="自用消耗",COUNTIF({"一矿区";"二矿区"},$L602)=0),"※自用消耗的去向只能是一矿区或二矿区",IF(AND($K602="对外销售",COUNTIF({"三矿区";"六矿区"},$L602)=0),"※对外销售的去向只能是三矿区或六矿区",IF(AND($K602="对外销售",ROUND($Q602,0)=0),"※外销却没有售价，请填实际售价",IF(AND($K602="对外销售",$T602&lt;&gt;"",$T602&lt;0),"※这一笔外销是亏的，请核对售价",IF(IFERROR(VLOOKUP($D602,库存台账!$A$5:$Y$1204,24,0),0)&lt;-0.001,"※这个物料账面已经变成负数了，查一下是不是漏记入库","")))))))))))</f>
        <v/>
      </c>
    </row>
    <row r="603">
      <c r="A603" s="24">
        <f>IF($D603="","",COUNTA($D$4:$D603))</f>
        <v/>
      </c>
      <c r="B603" s="17" t="n"/>
      <c r="C603" s="30" t="n"/>
      <c r="D603" s="17" t="n"/>
      <c r="E603" s="24">
        <f>IF($D603="","",IFERROR(VLOOKUP($D603,物料档案!$A$4:$P$1203,3,0),"※编码不在物料档案里"))</f>
        <v/>
      </c>
      <c r="F603" s="24">
        <f>IF($D603="","",IFERROR(VLOOKUP($D603,物料档案!$A$4:$P$1203,4,0),"※编码不在物料档案里"))</f>
        <v/>
      </c>
      <c r="G603" s="24">
        <f>IF($D603="","",IFERROR(VLOOKUP($D603,物料档案!$A$4:$P$1203,5,0),"※编码不在物料档案里"))</f>
        <v/>
      </c>
      <c r="H603" s="24">
        <f>IF($D603="","",IFERROR(VLOOKUP($D603,物料档案!$A$4:$P$1203,2,0),"※编码不在物料档案里"))</f>
        <v/>
      </c>
      <c r="I603" s="24">
        <f>IF($D603="","",IFERROR(VLOOKUP($D603,物料档案!$A$4:$P$1203,6,0),"※编码不在物料档案里"))</f>
        <v/>
      </c>
      <c r="J603" s="23" t="n"/>
      <c r="K603" s="17" t="n"/>
      <c r="L603" s="17" t="n"/>
      <c r="M603" s="17" t="n"/>
      <c r="N603" s="17" t="n"/>
      <c r="O603" s="26">
        <f>IF($D603="","",IFERROR(VLOOKUP($D603,物料档案!$A$4:$P$1203,10,0),0))</f>
        <v/>
      </c>
      <c r="P603" s="32" t="n"/>
      <c r="Q603" s="26">
        <f>IF($D603="","",IF($K603&lt;&gt;"对外销售",0,ROUND(N($J603)*IF($P603="",N($O603),N($P603)),0)))</f>
        <v/>
      </c>
      <c r="R603" s="26">
        <f>IF($D603="","",IFERROR(VLOOKUP($D603,库存台账!$A$5:$Y$1204,11,0),0))</f>
        <v/>
      </c>
      <c r="S603" s="26">
        <f>IF($D603="","",ROUND(N($J603)*N($R603),0))</f>
        <v/>
      </c>
      <c r="T603" s="26">
        <f>IF($D603="","",IF($K603&lt;&gt;"对外销售","",ROUND($Q603-$S603,0)))</f>
        <v/>
      </c>
      <c r="U603" s="17" t="n"/>
      <c r="V603" s="17" t="n"/>
      <c r="W603" s="24">
        <f>IF($D603="","",IF($E603="※编码不在物料档案里","※物料编码不在档案里",IF(N($J603)&lt;=0,"※出库数量要大于 0",IF($K603="","※没填去向类型",IF($L603="","※没填去向矿区",IF(AND($C603&lt;&gt;"",$C603&lt;=结账锁),"※日期早于已结账截止日，不能再录",IF(AND($K603="自用消耗",COUNTIF({"一矿区";"二矿区"},$L603)=0),"※自用消耗的去向只能是一矿区或二矿区",IF(AND($K603="对外销售",COUNTIF({"三矿区";"六矿区"},$L603)=0),"※对外销售的去向只能是三矿区或六矿区",IF(AND($K603="对外销售",ROUND($Q603,0)=0),"※外销却没有售价，请填实际售价",IF(AND($K603="对外销售",$T603&lt;&gt;"",$T603&lt;0),"※这一笔外销是亏的，请核对售价",IF(IFERROR(VLOOKUP($D603,库存台账!$A$5:$Y$1204,24,0),0)&lt;-0.001,"※这个物料账面已经变成负数了，查一下是不是漏记入库","")))))))))))</f>
        <v/>
      </c>
    </row>
    <row r="604">
      <c r="A604" s="24">
        <f>IF($D604="","",COUNTA($D$4:$D604))</f>
        <v/>
      </c>
      <c r="B604" s="17" t="n"/>
      <c r="C604" s="30" t="n"/>
      <c r="D604" s="17" t="n"/>
      <c r="E604" s="24">
        <f>IF($D604="","",IFERROR(VLOOKUP($D604,物料档案!$A$4:$P$1203,3,0),"※编码不在物料档案里"))</f>
        <v/>
      </c>
      <c r="F604" s="24">
        <f>IF($D604="","",IFERROR(VLOOKUP($D604,物料档案!$A$4:$P$1203,4,0),"※编码不在物料档案里"))</f>
        <v/>
      </c>
      <c r="G604" s="24">
        <f>IF($D604="","",IFERROR(VLOOKUP($D604,物料档案!$A$4:$P$1203,5,0),"※编码不在物料档案里"))</f>
        <v/>
      </c>
      <c r="H604" s="24">
        <f>IF($D604="","",IFERROR(VLOOKUP($D604,物料档案!$A$4:$P$1203,2,0),"※编码不在物料档案里"))</f>
        <v/>
      </c>
      <c r="I604" s="24">
        <f>IF($D604="","",IFERROR(VLOOKUP($D604,物料档案!$A$4:$P$1203,6,0),"※编码不在物料档案里"))</f>
        <v/>
      </c>
      <c r="J604" s="23" t="n"/>
      <c r="K604" s="17" t="n"/>
      <c r="L604" s="17" t="n"/>
      <c r="M604" s="17" t="n"/>
      <c r="N604" s="17" t="n"/>
      <c r="O604" s="26">
        <f>IF($D604="","",IFERROR(VLOOKUP($D604,物料档案!$A$4:$P$1203,10,0),0))</f>
        <v/>
      </c>
      <c r="P604" s="32" t="n"/>
      <c r="Q604" s="26">
        <f>IF($D604="","",IF($K604&lt;&gt;"对外销售",0,ROUND(N($J604)*IF($P604="",N($O604),N($P604)),0)))</f>
        <v/>
      </c>
      <c r="R604" s="26">
        <f>IF($D604="","",IFERROR(VLOOKUP($D604,库存台账!$A$5:$Y$1204,11,0),0))</f>
        <v/>
      </c>
      <c r="S604" s="26">
        <f>IF($D604="","",ROUND(N($J604)*N($R604),0))</f>
        <v/>
      </c>
      <c r="T604" s="26">
        <f>IF($D604="","",IF($K604&lt;&gt;"对外销售","",ROUND($Q604-$S604,0)))</f>
        <v/>
      </c>
      <c r="U604" s="17" t="n"/>
      <c r="V604" s="17" t="n"/>
      <c r="W604" s="24">
        <f>IF($D604="","",IF($E604="※编码不在物料档案里","※物料编码不在档案里",IF(N($J604)&lt;=0,"※出库数量要大于 0",IF($K604="","※没填去向类型",IF($L604="","※没填去向矿区",IF(AND($C604&lt;&gt;"",$C604&lt;=结账锁),"※日期早于已结账截止日，不能再录",IF(AND($K604="自用消耗",COUNTIF({"一矿区";"二矿区"},$L604)=0),"※自用消耗的去向只能是一矿区或二矿区",IF(AND($K604="对外销售",COUNTIF({"三矿区";"六矿区"},$L604)=0),"※对外销售的去向只能是三矿区或六矿区",IF(AND($K604="对外销售",ROUND($Q604,0)=0),"※外销却没有售价，请填实际售价",IF(AND($K604="对外销售",$T604&lt;&gt;"",$T604&lt;0),"※这一笔外销是亏的，请核对售价",IF(IFERROR(VLOOKUP($D604,库存台账!$A$5:$Y$1204,24,0),0)&lt;-0.001,"※这个物料账面已经变成负数了，查一下是不是漏记入库","")))))))))))</f>
        <v/>
      </c>
    </row>
    <row r="605">
      <c r="A605" s="24">
        <f>IF($D605="","",COUNTA($D$4:$D605))</f>
        <v/>
      </c>
      <c r="B605" s="17" t="n"/>
      <c r="C605" s="30" t="n"/>
      <c r="D605" s="17" t="n"/>
      <c r="E605" s="24">
        <f>IF($D605="","",IFERROR(VLOOKUP($D605,物料档案!$A$4:$P$1203,3,0),"※编码不在物料档案里"))</f>
        <v/>
      </c>
      <c r="F605" s="24">
        <f>IF($D605="","",IFERROR(VLOOKUP($D605,物料档案!$A$4:$P$1203,4,0),"※编码不在物料档案里"))</f>
        <v/>
      </c>
      <c r="G605" s="24">
        <f>IF($D605="","",IFERROR(VLOOKUP($D605,物料档案!$A$4:$P$1203,5,0),"※编码不在物料档案里"))</f>
        <v/>
      </c>
      <c r="H605" s="24">
        <f>IF($D605="","",IFERROR(VLOOKUP($D605,物料档案!$A$4:$P$1203,2,0),"※编码不在物料档案里"))</f>
        <v/>
      </c>
      <c r="I605" s="24">
        <f>IF($D605="","",IFERROR(VLOOKUP($D605,物料档案!$A$4:$P$1203,6,0),"※编码不在物料档案里"))</f>
        <v/>
      </c>
      <c r="J605" s="23" t="n"/>
      <c r="K605" s="17" t="n"/>
      <c r="L605" s="17" t="n"/>
      <c r="M605" s="17" t="n"/>
      <c r="N605" s="17" t="n"/>
      <c r="O605" s="26">
        <f>IF($D605="","",IFERROR(VLOOKUP($D605,物料档案!$A$4:$P$1203,10,0),0))</f>
        <v/>
      </c>
      <c r="P605" s="32" t="n"/>
      <c r="Q605" s="26">
        <f>IF($D605="","",IF($K605&lt;&gt;"对外销售",0,ROUND(N($J605)*IF($P605="",N($O605),N($P605)),0)))</f>
        <v/>
      </c>
      <c r="R605" s="26">
        <f>IF($D605="","",IFERROR(VLOOKUP($D605,库存台账!$A$5:$Y$1204,11,0),0))</f>
        <v/>
      </c>
      <c r="S605" s="26">
        <f>IF($D605="","",ROUND(N($J605)*N($R605),0))</f>
        <v/>
      </c>
      <c r="T605" s="26">
        <f>IF($D605="","",IF($K605&lt;&gt;"对外销售","",ROUND($Q605-$S605,0)))</f>
        <v/>
      </c>
      <c r="U605" s="17" t="n"/>
      <c r="V605" s="17" t="n"/>
      <c r="W605" s="24">
        <f>IF($D605="","",IF($E605="※编码不在物料档案里","※物料编码不在档案里",IF(N($J605)&lt;=0,"※出库数量要大于 0",IF($K605="","※没填去向类型",IF($L605="","※没填去向矿区",IF(AND($C605&lt;&gt;"",$C605&lt;=结账锁),"※日期早于已结账截止日，不能再录",IF(AND($K605="自用消耗",COUNTIF({"一矿区";"二矿区"},$L605)=0),"※自用消耗的去向只能是一矿区或二矿区",IF(AND($K605="对外销售",COUNTIF({"三矿区";"六矿区"},$L605)=0),"※对外销售的去向只能是三矿区或六矿区",IF(AND($K605="对外销售",ROUND($Q605,0)=0),"※外销却没有售价，请填实际售价",IF(AND($K605="对外销售",$T605&lt;&gt;"",$T605&lt;0),"※这一笔外销是亏的，请核对售价",IF(IFERROR(VLOOKUP($D605,库存台账!$A$5:$Y$1204,24,0),0)&lt;-0.001,"※这个物料账面已经变成负数了，查一下是不是漏记入库","")))))))))))</f>
        <v/>
      </c>
    </row>
    <row r="606">
      <c r="A606" s="24">
        <f>IF($D606="","",COUNTA($D$4:$D606))</f>
        <v/>
      </c>
      <c r="B606" s="17" t="n"/>
      <c r="C606" s="30" t="n"/>
      <c r="D606" s="17" t="n"/>
      <c r="E606" s="24">
        <f>IF($D606="","",IFERROR(VLOOKUP($D606,物料档案!$A$4:$P$1203,3,0),"※编码不在物料档案里"))</f>
        <v/>
      </c>
      <c r="F606" s="24">
        <f>IF($D606="","",IFERROR(VLOOKUP($D606,物料档案!$A$4:$P$1203,4,0),"※编码不在物料档案里"))</f>
        <v/>
      </c>
      <c r="G606" s="24">
        <f>IF($D606="","",IFERROR(VLOOKUP($D606,物料档案!$A$4:$P$1203,5,0),"※编码不在物料档案里"))</f>
        <v/>
      </c>
      <c r="H606" s="24">
        <f>IF($D606="","",IFERROR(VLOOKUP($D606,物料档案!$A$4:$P$1203,2,0),"※编码不在物料档案里"))</f>
        <v/>
      </c>
      <c r="I606" s="24">
        <f>IF($D606="","",IFERROR(VLOOKUP($D606,物料档案!$A$4:$P$1203,6,0),"※编码不在物料档案里"))</f>
        <v/>
      </c>
      <c r="J606" s="23" t="n"/>
      <c r="K606" s="17" t="n"/>
      <c r="L606" s="17" t="n"/>
      <c r="M606" s="17" t="n"/>
      <c r="N606" s="17" t="n"/>
      <c r="O606" s="26">
        <f>IF($D606="","",IFERROR(VLOOKUP($D606,物料档案!$A$4:$P$1203,10,0),0))</f>
        <v/>
      </c>
      <c r="P606" s="32" t="n"/>
      <c r="Q606" s="26">
        <f>IF($D606="","",IF($K606&lt;&gt;"对外销售",0,ROUND(N($J606)*IF($P606="",N($O606),N($P606)),0)))</f>
        <v/>
      </c>
      <c r="R606" s="26">
        <f>IF($D606="","",IFERROR(VLOOKUP($D606,库存台账!$A$5:$Y$1204,11,0),0))</f>
        <v/>
      </c>
      <c r="S606" s="26">
        <f>IF($D606="","",ROUND(N($J606)*N($R606),0))</f>
        <v/>
      </c>
      <c r="T606" s="26">
        <f>IF($D606="","",IF($K606&lt;&gt;"对外销售","",ROUND($Q606-$S606,0)))</f>
        <v/>
      </c>
      <c r="U606" s="17" t="n"/>
      <c r="V606" s="17" t="n"/>
      <c r="W606" s="24">
        <f>IF($D606="","",IF($E606="※编码不在物料档案里","※物料编码不在档案里",IF(N($J606)&lt;=0,"※出库数量要大于 0",IF($K606="","※没填去向类型",IF($L606="","※没填去向矿区",IF(AND($C606&lt;&gt;"",$C606&lt;=结账锁),"※日期早于已结账截止日，不能再录",IF(AND($K606="自用消耗",COUNTIF({"一矿区";"二矿区"},$L606)=0),"※自用消耗的去向只能是一矿区或二矿区",IF(AND($K606="对外销售",COUNTIF({"三矿区";"六矿区"},$L606)=0),"※对外销售的去向只能是三矿区或六矿区",IF(AND($K606="对外销售",ROUND($Q606,0)=0),"※外销却没有售价，请填实际售价",IF(AND($K606="对外销售",$T606&lt;&gt;"",$T606&lt;0),"※这一笔外销是亏的，请核对售价",IF(IFERROR(VLOOKUP($D606,库存台账!$A$5:$Y$1204,24,0),0)&lt;-0.001,"※这个物料账面已经变成负数了，查一下是不是漏记入库","")))))))))))</f>
        <v/>
      </c>
    </row>
    <row r="607">
      <c r="A607" s="24">
        <f>IF($D607="","",COUNTA($D$4:$D607))</f>
        <v/>
      </c>
      <c r="B607" s="17" t="n"/>
      <c r="C607" s="30" t="n"/>
      <c r="D607" s="17" t="n"/>
      <c r="E607" s="24">
        <f>IF($D607="","",IFERROR(VLOOKUP($D607,物料档案!$A$4:$P$1203,3,0),"※编码不在物料档案里"))</f>
        <v/>
      </c>
      <c r="F607" s="24">
        <f>IF($D607="","",IFERROR(VLOOKUP($D607,物料档案!$A$4:$P$1203,4,0),"※编码不在物料档案里"))</f>
        <v/>
      </c>
      <c r="G607" s="24">
        <f>IF($D607="","",IFERROR(VLOOKUP($D607,物料档案!$A$4:$P$1203,5,0),"※编码不在物料档案里"))</f>
        <v/>
      </c>
      <c r="H607" s="24">
        <f>IF($D607="","",IFERROR(VLOOKUP($D607,物料档案!$A$4:$P$1203,2,0),"※编码不在物料档案里"))</f>
        <v/>
      </c>
      <c r="I607" s="24">
        <f>IF($D607="","",IFERROR(VLOOKUP($D607,物料档案!$A$4:$P$1203,6,0),"※编码不在物料档案里"))</f>
        <v/>
      </c>
      <c r="J607" s="23" t="n"/>
      <c r="K607" s="17" t="n"/>
      <c r="L607" s="17" t="n"/>
      <c r="M607" s="17" t="n"/>
      <c r="N607" s="17" t="n"/>
      <c r="O607" s="26">
        <f>IF($D607="","",IFERROR(VLOOKUP($D607,物料档案!$A$4:$P$1203,10,0),0))</f>
        <v/>
      </c>
      <c r="P607" s="32" t="n"/>
      <c r="Q607" s="26">
        <f>IF($D607="","",IF($K607&lt;&gt;"对外销售",0,ROUND(N($J607)*IF($P607="",N($O607),N($P607)),0)))</f>
        <v/>
      </c>
      <c r="R607" s="26">
        <f>IF($D607="","",IFERROR(VLOOKUP($D607,库存台账!$A$5:$Y$1204,11,0),0))</f>
        <v/>
      </c>
      <c r="S607" s="26">
        <f>IF($D607="","",ROUND(N($J607)*N($R607),0))</f>
        <v/>
      </c>
      <c r="T607" s="26">
        <f>IF($D607="","",IF($K607&lt;&gt;"对外销售","",ROUND($Q607-$S607,0)))</f>
        <v/>
      </c>
      <c r="U607" s="17" t="n"/>
      <c r="V607" s="17" t="n"/>
      <c r="W607" s="24">
        <f>IF($D607="","",IF($E607="※编码不在物料档案里","※物料编码不在档案里",IF(N($J607)&lt;=0,"※出库数量要大于 0",IF($K607="","※没填去向类型",IF($L607="","※没填去向矿区",IF(AND($C607&lt;&gt;"",$C607&lt;=结账锁),"※日期早于已结账截止日，不能再录",IF(AND($K607="自用消耗",COUNTIF({"一矿区";"二矿区"},$L607)=0),"※自用消耗的去向只能是一矿区或二矿区",IF(AND($K607="对外销售",COUNTIF({"三矿区";"六矿区"},$L607)=0),"※对外销售的去向只能是三矿区或六矿区",IF(AND($K607="对外销售",ROUND($Q607,0)=0),"※外销却没有售价，请填实际售价",IF(AND($K607="对外销售",$T607&lt;&gt;"",$T607&lt;0),"※这一笔外销是亏的，请核对售价",IF(IFERROR(VLOOKUP($D607,库存台账!$A$5:$Y$1204,24,0),0)&lt;-0.001,"※这个物料账面已经变成负数了，查一下是不是漏记入库","")))))))))))</f>
        <v/>
      </c>
    </row>
    <row r="608">
      <c r="A608" s="24">
        <f>IF($D608="","",COUNTA($D$4:$D608))</f>
        <v/>
      </c>
      <c r="B608" s="17" t="n"/>
      <c r="C608" s="30" t="n"/>
      <c r="D608" s="17" t="n"/>
      <c r="E608" s="24">
        <f>IF($D608="","",IFERROR(VLOOKUP($D608,物料档案!$A$4:$P$1203,3,0),"※编码不在物料档案里"))</f>
        <v/>
      </c>
      <c r="F608" s="24">
        <f>IF($D608="","",IFERROR(VLOOKUP($D608,物料档案!$A$4:$P$1203,4,0),"※编码不在物料档案里"))</f>
        <v/>
      </c>
      <c r="G608" s="24">
        <f>IF($D608="","",IFERROR(VLOOKUP($D608,物料档案!$A$4:$P$1203,5,0),"※编码不在物料档案里"))</f>
        <v/>
      </c>
      <c r="H608" s="24">
        <f>IF($D608="","",IFERROR(VLOOKUP($D608,物料档案!$A$4:$P$1203,2,0),"※编码不在物料档案里"))</f>
        <v/>
      </c>
      <c r="I608" s="24">
        <f>IF($D608="","",IFERROR(VLOOKUP($D608,物料档案!$A$4:$P$1203,6,0),"※编码不在物料档案里"))</f>
        <v/>
      </c>
      <c r="J608" s="23" t="n"/>
      <c r="K608" s="17" t="n"/>
      <c r="L608" s="17" t="n"/>
      <c r="M608" s="17" t="n"/>
      <c r="N608" s="17" t="n"/>
      <c r="O608" s="26">
        <f>IF($D608="","",IFERROR(VLOOKUP($D608,物料档案!$A$4:$P$1203,10,0),0))</f>
        <v/>
      </c>
      <c r="P608" s="32" t="n"/>
      <c r="Q608" s="26">
        <f>IF($D608="","",IF($K608&lt;&gt;"对外销售",0,ROUND(N($J608)*IF($P608="",N($O608),N($P608)),0)))</f>
        <v/>
      </c>
      <c r="R608" s="26">
        <f>IF($D608="","",IFERROR(VLOOKUP($D608,库存台账!$A$5:$Y$1204,11,0),0))</f>
        <v/>
      </c>
      <c r="S608" s="26">
        <f>IF($D608="","",ROUND(N($J608)*N($R608),0))</f>
        <v/>
      </c>
      <c r="T608" s="26">
        <f>IF($D608="","",IF($K608&lt;&gt;"对外销售","",ROUND($Q608-$S608,0)))</f>
        <v/>
      </c>
      <c r="U608" s="17" t="n"/>
      <c r="V608" s="17" t="n"/>
      <c r="W608" s="24">
        <f>IF($D608="","",IF($E608="※编码不在物料档案里","※物料编码不在档案里",IF(N($J608)&lt;=0,"※出库数量要大于 0",IF($K608="","※没填去向类型",IF($L608="","※没填去向矿区",IF(AND($C608&lt;&gt;"",$C608&lt;=结账锁),"※日期早于已结账截止日，不能再录",IF(AND($K608="自用消耗",COUNTIF({"一矿区";"二矿区"},$L608)=0),"※自用消耗的去向只能是一矿区或二矿区",IF(AND($K608="对外销售",COUNTIF({"三矿区";"六矿区"},$L608)=0),"※对外销售的去向只能是三矿区或六矿区",IF(AND($K608="对外销售",ROUND($Q608,0)=0),"※外销却没有售价，请填实际售价",IF(AND($K608="对外销售",$T608&lt;&gt;"",$T608&lt;0),"※这一笔外销是亏的，请核对售价",IF(IFERROR(VLOOKUP($D608,库存台账!$A$5:$Y$1204,24,0),0)&lt;-0.001,"※这个物料账面已经变成负数了，查一下是不是漏记入库","")))))))))))</f>
        <v/>
      </c>
    </row>
    <row r="609">
      <c r="A609" s="24">
        <f>IF($D609="","",COUNTA($D$4:$D609))</f>
        <v/>
      </c>
      <c r="B609" s="17" t="n"/>
      <c r="C609" s="30" t="n"/>
      <c r="D609" s="17" t="n"/>
      <c r="E609" s="24">
        <f>IF($D609="","",IFERROR(VLOOKUP($D609,物料档案!$A$4:$P$1203,3,0),"※编码不在物料档案里"))</f>
        <v/>
      </c>
      <c r="F609" s="24">
        <f>IF($D609="","",IFERROR(VLOOKUP($D609,物料档案!$A$4:$P$1203,4,0),"※编码不在物料档案里"))</f>
        <v/>
      </c>
      <c r="G609" s="24">
        <f>IF($D609="","",IFERROR(VLOOKUP($D609,物料档案!$A$4:$P$1203,5,0),"※编码不在物料档案里"))</f>
        <v/>
      </c>
      <c r="H609" s="24">
        <f>IF($D609="","",IFERROR(VLOOKUP($D609,物料档案!$A$4:$P$1203,2,0),"※编码不在物料档案里"))</f>
        <v/>
      </c>
      <c r="I609" s="24">
        <f>IF($D609="","",IFERROR(VLOOKUP($D609,物料档案!$A$4:$P$1203,6,0),"※编码不在物料档案里"))</f>
        <v/>
      </c>
      <c r="J609" s="23" t="n"/>
      <c r="K609" s="17" t="n"/>
      <c r="L609" s="17" t="n"/>
      <c r="M609" s="17" t="n"/>
      <c r="N609" s="17" t="n"/>
      <c r="O609" s="26">
        <f>IF($D609="","",IFERROR(VLOOKUP($D609,物料档案!$A$4:$P$1203,10,0),0))</f>
        <v/>
      </c>
      <c r="P609" s="32" t="n"/>
      <c r="Q609" s="26">
        <f>IF($D609="","",IF($K609&lt;&gt;"对外销售",0,ROUND(N($J609)*IF($P609="",N($O609),N($P609)),0)))</f>
        <v/>
      </c>
      <c r="R609" s="26">
        <f>IF($D609="","",IFERROR(VLOOKUP($D609,库存台账!$A$5:$Y$1204,11,0),0))</f>
        <v/>
      </c>
      <c r="S609" s="26">
        <f>IF($D609="","",ROUND(N($J609)*N($R609),0))</f>
        <v/>
      </c>
      <c r="T609" s="26">
        <f>IF($D609="","",IF($K609&lt;&gt;"对外销售","",ROUND($Q609-$S609,0)))</f>
        <v/>
      </c>
      <c r="U609" s="17" t="n"/>
      <c r="V609" s="17" t="n"/>
      <c r="W609" s="24">
        <f>IF($D609="","",IF($E609="※编码不在物料档案里","※物料编码不在档案里",IF(N($J609)&lt;=0,"※出库数量要大于 0",IF($K609="","※没填去向类型",IF($L609="","※没填去向矿区",IF(AND($C609&lt;&gt;"",$C609&lt;=结账锁),"※日期早于已结账截止日，不能再录",IF(AND($K609="自用消耗",COUNTIF({"一矿区";"二矿区"},$L609)=0),"※自用消耗的去向只能是一矿区或二矿区",IF(AND($K609="对外销售",COUNTIF({"三矿区";"六矿区"},$L609)=0),"※对外销售的去向只能是三矿区或六矿区",IF(AND($K609="对外销售",ROUND($Q609,0)=0),"※外销却没有售价，请填实际售价",IF(AND($K609="对外销售",$T609&lt;&gt;"",$T609&lt;0),"※这一笔外销是亏的，请核对售价",IF(IFERROR(VLOOKUP($D609,库存台账!$A$5:$Y$1204,24,0),0)&lt;-0.001,"※这个物料账面已经变成负数了，查一下是不是漏记入库","")))))))))))</f>
        <v/>
      </c>
    </row>
    <row r="610">
      <c r="A610" s="24">
        <f>IF($D610="","",COUNTA($D$4:$D610))</f>
        <v/>
      </c>
      <c r="B610" s="17" t="n"/>
      <c r="C610" s="30" t="n"/>
      <c r="D610" s="17" t="n"/>
      <c r="E610" s="24">
        <f>IF($D610="","",IFERROR(VLOOKUP($D610,物料档案!$A$4:$P$1203,3,0),"※编码不在物料档案里"))</f>
        <v/>
      </c>
      <c r="F610" s="24">
        <f>IF($D610="","",IFERROR(VLOOKUP($D610,物料档案!$A$4:$P$1203,4,0),"※编码不在物料档案里"))</f>
        <v/>
      </c>
      <c r="G610" s="24">
        <f>IF($D610="","",IFERROR(VLOOKUP($D610,物料档案!$A$4:$P$1203,5,0),"※编码不在物料档案里"))</f>
        <v/>
      </c>
      <c r="H610" s="24">
        <f>IF($D610="","",IFERROR(VLOOKUP($D610,物料档案!$A$4:$P$1203,2,0),"※编码不在物料档案里"))</f>
        <v/>
      </c>
      <c r="I610" s="24">
        <f>IF($D610="","",IFERROR(VLOOKUP($D610,物料档案!$A$4:$P$1203,6,0),"※编码不在物料档案里"))</f>
        <v/>
      </c>
      <c r="J610" s="23" t="n"/>
      <c r="K610" s="17" t="n"/>
      <c r="L610" s="17" t="n"/>
      <c r="M610" s="17" t="n"/>
      <c r="N610" s="17" t="n"/>
      <c r="O610" s="26">
        <f>IF($D610="","",IFERROR(VLOOKUP($D610,物料档案!$A$4:$P$1203,10,0),0))</f>
        <v/>
      </c>
      <c r="P610" s="32" t="n"/>
      <c r="Q610" s="26">
        <f>IF($D610="","",IF($K610&lt;&gt;"对外销售",0,ROUND(N($J610)*IF($P610="",N($O610),N($P610)),0)))</f>
        <v/>
      </c>
      <c r="R610" s="26">
        <f>IF($D610="","",IFERROR(VLOOKUP($D610,库存台账!$A$5:$Y$1204,11,0),0))</f>
        <v/>
      </c>
      <c r="S610" s="26">
        <f>IF($D610="","",ROUND(N($J610)*N($R610),0))</f>
        <v/>
      </c>
      <c r="T610" s="26">
        <f>IF($D610="","",IF($K610&lt;&gt;"对外销售","",ROUND($Q610-$S610,0)))</f>
        <v/>
      </c>
      <c r="U610" s="17" t="n"/>
      <c r="V610" s="17" t="n"/>
      <c r="W610" s="24">
        <f>IF($D610="","",IF($E610="※编码不在物料档案里","※物料编码不在档案里",IF(N($J610)&lt;=0,"※出库数量要大于 0",IF($K610="","※没填去向类型",IF($L610="","※没填去向矿区",IF(AND($C610&lt;&gt;"",$C610&lt;=结账锁),"※日期早于已结账截止日，不能再录",IF(AND($K610="自用消耗",COUNTIF({"一矿区";"二矿区"},$L610)=0),"※自用消耗的去向只能是一矿区或二矿区",IF(AND($K610="对外销售",COUNTIF({"三矿区";"六矿区"},$L610)=0),"※对外销售的去向只能是三矿区或六矿区",IF(AND($K610="对外销售",ROUND($Q610,0)=0),"※外销却没有售价，请填实际售价",IF(AND($K610="对外销售",$T610&lt;&gt;"",$T610&lt;0),"※这一笔外销是亏的，请核对售价",IF(IFERROR(VLOOKUP($D610,库存台账!$A$5:$Y$1204,24,0),0)&lt;-0.001,"※这个物料账面已经变成负数了，查一下是不是漏记入库","")))))))))))</f>
        <v/>
      </c>
    </row>
    <row r="611">
      <c r="A611" s="24">
        <f>IF($D611="","",COUNTA($D$4:$D611))</f>
        <v/>
      </c>
      <c r="B611" s="17" t="n"/>
      <c r="C611" s="30" t="n"/>
      <c r="D611" s="17" t="n"/>
      <c r="E611" s="24">
        <f>IF($D611="","",IFERROR(VLOOKUP($D611,物料档案!$A$4:$P$1203,3,0),"※编码不在物料档案里"))</f>
        <v/>
      </c>
      <c r="F611" s="24">
        <f>IF($D611="","",IFERROR(VLOOKUP($D611,物料档案!$A$4:$P$1203,4,0),"※编码不在物料档案里"))</f>
        <v/>
      </c>
      <c r="G611" s="24">
        <f>IF($D611="","",IFERROR(VLOOKUP($D611,物料档案!$A$4:$P$1203,5,0),"※编码不在物料档案里"))</f>
        <v/>
      </c>
      <c r="H611" s="24">
        <f>IF($D611="","",IFERROR(VLOOKUP($D611,物料档案!$A$4:$P$1203,2,0),"※编码不在物料档案里"))</f>
        <v/>
      </c>
      <c r="I611" s="24">
        <f>IF($D611="","",IFERROR(VLOOKUP($D611,物料档案!$A$4:$P$1203,6,0),"※编码不在物料档案里"))</f>
        <v/>
      </c>
      <c r="J611" s="23" t="n"/>
      <c r="K611" s="17" t="n"/>
      <c r="L611" s="17" t="n"/>
      <c r="M611" s="17" t="n"/>
      <c r="N611" s="17" t="n"/>
      <c r="O611" s="26">
        <f>IF($D611="","",IFERROR(VLOOKUP($D611,物料档案!$A$4:$P$1203,10,0),0))</f>
        <v/>
      </c>
      <c r="P611" s="32" t="n"/>
      <c r="Q611" s="26">
        <f>IF($D611="","",IF($K611&lt;&gt;"对外销售",0,ROUND(N($J611)*IF($P611="",N($O611),N($P611)),0)))</f>
        <v/>
      </c>
      <c r="R611" s="26">
        <f>IF($D611="","",IFERROR(VLOOKUP($D611,库存台账!$A$5:$Y$1204,11,0),0))</f>
        <v/>
      </c>
      <c r="S611" s="26">
        <f>IF($D611="","",ROUND(N($J611)*N($R611),0))</f>
        <v/>
      </c>
      <c r="T611" s="26">
        <f>IF($D611="","",IF($K611&lt;&gt;"对外销售","",ROUND($Q611-$S611,0)))</f>
        <v/>
      </c>
      <c r="U611" s="17" t="n"/>
      <c r="V611" s="17" t="n"/>
      <c r="W611" s="24">
        <f>IF($D611="","",IF($E611="※编码不在物料档案里","※物料编码不在档案里",IF(N($J611)&lt;=0,"※出库数量要大于 0",IF($K611="","※没填去向类型",IF($L611="","※没填去向矿区",IF(AND($C611&lt;&gt;"",$C611&lt;=结账锁),"※日期早于已结账截止日，不能再录",IF(AND($K611="自用消耗",COUNTIF({"一矿区";"二矿区"},$L611)=0),"※自用消耗的去向只能是一矿区或二矿区",IF(AND($K611="对外销售",COUNTIF({"三矿区";"六矿区"},$L611)=0),"※对外销售的去向只能是三矿区或六矿区",IF(AND($K611="对外销售",ROUND($Q611,0)=0),"※外销却没有售价，请填实际售价",IF(AND($K611="对外销售",$T611&lt;&gt;"",$T611&lt;0),"※这一笔外销是亏的，请核对售价",IF(IFERROR(VLOOKUP($D611,库存台账!$A$5:$Y$1204,24,0),0)&lt;-0.001,"※这个物料账面已经变成负数了，查一下是不是漏记入库","")))))))))))</f>
        <v/>
      </c>
    </row>
    <row r="612">
      <c r="A612" s="24">
        <f>IF($D612="","",COUNTA($D$4:$D612))</f>
        <v/>
      </c>
      <c r="B612" s="17" t="n"/>
      <c r="C612" s="30" t="n"/>
      <c r="D612" s="17" t="n"/>
      <c r="E612" s="24">
        <f>IF($D612="","",IFERROR(VLOOKUP($D612,物料档案!$A$4:$P$1203,3,0),"※编码不在物料档案里"))</f>
        <v/>
      </c>
      <c r="F612" s="24">
        <f>IF($D612="","",IFERROR(VLOOKUP($D612,物料档案!$A$4:$P$1203,4,0),"※编码不在物料档案里"))</f>
        <v/>
      </c>
      <c r="G612" s="24">
        <f>IF($D612="","",IFERROR(VLOOKUP($D612,物料档案!$A$4:$P$1203,5,0),"※编码不在物料档案里"))</f>
        <v/>
      </c>
      <c r="H612" s="24">
        <f>IF($D612="","",IFERROR(VLOOKUP($D612,物料档案!$A$4:$P$1203,2,0),"※编码不在物料档案里"))</f>
        <v/>
      </c>
      <c r="I612" s="24">
        <f>IF($D612="","",IFERROR(VLOOKUP($D612,物料档案!$A$4:$P$1203,6,0),"※编码不在物料档案里"))</f>
        <v/>
      </c>
      <c r="J612" s="23" t="n"/>
      <c r="K612" s="17" t="n"/>
      <c r="L612" s="17" t="n"/>
      <c r="M612" s="17" t="n"/>
      <c r="N612" s="17" t="n"/>
      <c r="O612" s="26">
        <f>IF($D612="","",IFERROR(VLOOKUP($D612,物料档案!$A$4:$P$1203,10,0),0))</f>
        <v/>
      </c>
      <c r="P612" s="32" t="n"/>
      <c r="Q612" s="26">
        <f>IF($D612="","",IF($K612&lt;&gt;"对外销售",0,ROUND(N($J612)*IF($P612="",N($O612),N($P612)),0)))</f>
        <v/>
      </c>
      <c r="R612" s="26">
        <f>IF($D612="","",IFERROR(VLOOKUP($D612,库存台账!$A$5:$Y$1204,11,0),0))</f>
        <v/>
      </c>
      <c r="S612" s="26">
        <f>IF($D612="","",ROUND(N($J612)*N($R612),0))</f>
        <v/>
      </c>
      <c r="T612" s="26">
        <f>IF($D612="","",IF($K612&lt;&gt;"对外销售","",ROUND($Q612-$S612,0)))</f>
        <v/>
      </c>
      <c r="U612" s="17" t="n"/>
      <c r="V612" s="17" t="n"/>
      <c r="W612" s="24">
        <f>IF($D612="","",IF($E612="※编码不在物料档案里","※物料编码不在档案里",IF(N($J612)&lt;=0,"※出库数量要大于 0",IF($K612="","※没填去向类型",IF($L612="","※没填去向矿区",IF(AND($C612&lt;&gt;"",$C612&lt;=结账锁),"※日期早于已结账截止日，不能再录",IF(AND($K612="自用消耗",COUNTIF({"一矿区";"二矿区"},$L612)=0),"※自用消耗的去向只能是一矿区或二矿区",IF(AND($K612="对外销售",COUNTIF({"三矿区";"六矿区"},$L612)=0),"※对外销售的去向只能是三矿区或六矿区",IF(AND($K612="对外销售",ROUND($Q612,0)=0),"※外销却没有售价，请填实际售价",IF(AND($K612="对外销售",$T612&lt;&gt;"",$T612&lt;0),"※这一笔外销是亏的，请核对售价",IF(IFERROR(VLOOKUP($D612,库存台账!$A$5:$Y$1204,24,0),0)&lt;-0.001,"※这个物料账面已经变成负数了，查一下是不是漏记入库","")))))))))))</f>
        <v/>
      </c>
    </row>
    <row r="613">
      <c r="A613" s="24">
        <f>IF($D613="","",COUNTA($D$4:$D613))</f>
        <v/>
      </c>
      <c r="B613" s="17" t="n"/>
      <c r="C613" s="30" t="n"/>
      <c r="D613" s="17" t="n"/>
      <c r="E613" s="24">
        <f>IF($D613="","",IFERROR(VLOOKUP($D613,物料档案!$A$4:$P$1203,3,0),"※编码不在物料档案里"))</f>
        <v/>
      </c>
      <c r="F613" s="24">
        <f>IF($D613="","",IFERROR(VLOOKUP($D613,物料档案!$A$4:$P$1203,4,0),"※编码不在物料档案里"))</f>
        <v/>
      </c>
      <c r="G613" s="24">
        <f>IF($D613="","",IFERROR(VLOOKUP($D613,物料档案!$A$4:$P$1203,5,0),"※编码不在物料档案里"))</f>
        <v/>
      </c>
      <c r="H613" s="24">
        <f>IF($D613="","",IFERROR(VLOOKUP($D613,物料档案!$A$4:$P$1203,2,0),"※编码不在物料档案里"))</f>
        <v/>
      </c>
      <c r="I613" s="24">
        <f>IF($D613="","",IFERROR(VLOOKUP($D613,物料档案!$A$4:$P$1203,6,0),"※编码不在物料档案里"))</f>
        <v/>
      </c>
      <c r="J613" s="23" t="n"/>
      <c r="K613" s="17" t="n"/>
      <c r="L613" s="17" t="n"/>
      <c r="M613" s="17" t="n"/>
      <c r="N613" s="17" t="n"/>
      <c r="O613" s="26">
        <f>IF($D613="","",IFERROR(VLOOKUP($D613,物料档案!$A$4:$P$1203,10,0),0))</f>
        <v/>
      </c>
      <c r="P613" s="32" t="n"/>
      <c r="Q613" s="26">
        <f>IF($D613="","",IF($K613&lt;&gt;"对外销售",0,ROUND(N($J613)*IF($P613="",N($O613),N($P613)),0)))</f>
        <v/>
      </c>
      <c r="R613" s="26">
        <f>IF($D613="","",IFERROR(VLOOKUP($D613,库存台账!$A$5:$Y$1204,11,0),0))</f>
        <v/>
      </c>
      <c r="S613" s="26">
        <f>IF($D613="","",ROUND(N($J613)*N($R613),0))</f>
        <v/>
      </c>
      <c r="T613" s="26">
        <f>IF($D613="","",IF($K613&lt;&gt;"对外销售","",ROUND($Q613-$S613,0)))</f>
        <v/>
      </c>
      <c r="U613" s="17" t="n"/>
      <c r="V613" s="17" t="n"/>
      <c r="W613" s="24">
        <f>IF($D613="","",IF($E613="※编码不在物料档案里","※物料编码不在档案里",IF(N($J613)&lt;=0,"※出库数量要大于 0",IF($K613="","※没填去向类型",IF($L613="","※没填去向矿区",IF(AND($C613&lt;&gt;"",$C613&lt;=结账锁),"※日期早于已结账截止日，不能再录",IF(AND($K613="自用消耗",COUNTIF({"一矿区";"二矿区"},$L613)=0),"※自用消耗的去向只能是一矿区或二矿区",IF(AND($K613="对外销售",COUNTIF({"三矿区";"六矿区"},$L613)=0),"※对外销售的去向只能是三矿区或六矿区",IF(AND($K613="对外销售",ROUND($Q613,0)=0),"※外销却没有售价，请填实际售价",IF(AND($K613="对外销售",$T613&lt;&gt;"",$T613&lt;0),"※这一笔外销是亏的，请核对售价",IF(IFERROR(VLOOKUP($D613,库存台账!$A$5:$Y$1204,24,0),0)&lt;-0.001,"※这个物料账面已经变成负数了，查一下是不是漏记入库","")))))))))))</f>
        <v/>
      </c>
    </row>
    <row r="614">
      <c r="A614" s="24">
        <f>IF($D614="","",COUNTA($D$4:$D614))</f>
        <v/>
      </c>
      <c r="B614" s="17" t="n"/>
      <c r="C614" s="30" t="n"/>
      <c r="D614" s="17" t="n"/>
      <c r="E614" s="24">
        <f>IF($D614="","",IFERROR(VLOOKUP($D614,物料档案!$A$4:$P$1203,3,0),"※编码不在物料档案里"))</f>
        <v/>
      </c>
      <c r="F614" s="24">
        <f>IF($D614="","",IFERROR(VLOOKUP($D614,物料档案!$A$4:$P$1203,4,0),"※编码不在物料档案里"))</f>
        <v/>
      </c>
      <c r="G614" s="24">
        <f>IF($D614="","",IFERROR(VLOOKUP($D614,物料档案!$A$4:$P$1203,5,0),"※编码不在物料档案里"))</f>
        <v/>
      </c>
      <c r="H614" s="24">
        <f>IF($D614="","",IFERROR(VLOOKUP($D614,物料档案!$A$4:$P$1203,2,0),"※编码不在物料档案里"))</f>
        <v/>
      </c>
      <c r="I614" s="24">
        <f>IF($D614="","",IFERROR(VLOOKUP($D614,物料档案!$A$4:$P$1203,6,0),"※编码不在物料档案里"))</f>
        <v/>
      </c>
      <c r="J614" s="23" t="n"/>
      <c r="K614" s="17" t="n"/>
      <c r="L614" s="17" t="n"/>
      <c r="M614" s="17" t="n"/>
      <c r="N614" s="17" t="n"/>
      <c r="O614" s="26">
        <f>IF($D614="","",IFERROR(VLOOKUP($D614,物料档案!$A$4:$P$1203,10,0),0))</f>
        <v/>
      </c>
      <c r="P614" s="32" t="n"/>
      <c r="Q614" s="26">
        <f>IF($D614="","",IF($K614&lt;&gt;"对外销售",0,ROUND(N($J614)*IF($P614="",N($O614),N($P614)),0)))</f>
        <v/>
      </c>
      <c r="R614" s="26">
        <f>IF($D614="","",IFERROR(VLOOKUP($D614,库存台账!$A$5:$Y$1204,11,0),0))</f>
        <v/>
      </c>
      <c r="S614" s="26">
        <f>IF($D614="","",ROUND(N($J614)*N($R614),0))</f>
        <v/>
      </c>
      <c r="T614" s="26">
        <f>IF($D614="","",IF($K614&lt;&gt;"对外销售","",ROUND($Q614-$S614,0)))</f>
        <v/>
      </c>
      <c r="U614" s="17" t="n"/>
      <c r="V614" s="17" t="n"/>
      <c r="W614" s="24">
        <f>IF($D614="","",IF($E614="※编码不在物料档案里","※物料编码不在档案里",IF(N($J614)&lt;=0,"※出库数量要大于 0",IF($K614="","※没填去向类型",IF($L614="","※没填去向矿区",IF(AND($C614&lt;&gt;"",$C614&lt;=结账锁),"※日期早于已结账截止日，不能再录",IF(AND($K614="自用消耗",COUNTIF({"一矿区";"二矿区"},$L614)=0),"※自用消耗的去向只能是一矿区或二矿区",IF(AND($K614="对外销售",COUNTIF({"三矿区";"六矿区"},$L614)=0),"※对外销售的去向只能是三矿区或六矿区",IF(AND($K614="对外销售",ROUND($Q614,0)=0),"※外销却没有售价，请填实际售价",IF(AND($K614="对外销售",$T614&lt;&gt;"",$T614&lt;0),"※这一笔外销是亏的，请核对售价",IF(IFERROR(VLOOKUP($D614,库存台账!$A$5:$Y$1204,24,0),0)&lt;-0.001,"※这个物料账面已经变成负数了，查一下是不是漏记入库","")))))))))))</f>
        <v/>
      </c>
    </row>
    <row r="615">
      <c r="A615" s="24">
        <f>IF($D615="","",COUNTA($D$4:$D615))</f>
        <v/>
      </c>
      <c r="B615" s="17" t="n"/>
      <c r="C615" s="30" t="n"/>
      <c r="D615" s="17" t="n"/>
      <c r="E615" s="24">
        <f>IF($D615="","",IFERROR(VLOOKUP($D615,物料档案!$A$4:$P$1203,3,0),"※编码不在物料档案里"))</f>
        <v/>
      </c>
      <c r="F615" s="24">
        <f>IF($D615="","",IFERROR(VLOOKUP($D615,物料档案!$A$4:$P$1203,4,0),"※编码不在物料档案里"))</f>
        <v/>
      </c>
      <c r="G615" s="24">
        <f>IF($D615="","",IFERROR(VLOOKUP($D615,物料档案!$A$4:$P$1203,5,0),"※编码不在物料档案里"))</f>
        <v/>
      </c>
      <c r="H615" s="24">
        <f>IF($D615="","",IFERROR(VLOOKUP($D615,物料档案!$A$4:$P$1203,2,0),"※编码不在物料档案里"))</f>
        <v/>
      </c>
      <c r="I615" s="24">
        <f>IF($D615="","",IFERROR(VLOOKUP($D615,物料档案!$A$4:$P$1203,6,0),"※编码不在物料档案里"))</f>
        <v/>
      </c>
      <c r="J615" s="23" t="n"/>
      <c r="K615" s="17" t="n"/>
      <c r="L615" s="17" t="n"/>
      <c r="M615" s="17" t="n"/>
      <c r="N615" s="17" t="n"/>
      <c r="O615" s="26">
        <f>IF($D615="","",IFERROR(VLOOKUP($D615,物料档案!$A$4:$P$1203,10,0),0))</f>
        <v/>
      </c>
      <c r="P615" s="32" t="n"/>
      <c r="Q615" s="26">
        <f>IF($D615="","",IF($K615&lt;&gt;"对外销售",0,ROUND(N($J615)*IF($P615="",N($O615),N($P615)),0)))</f>
        <v/>
      </c>
      <c r="R615" s="26">
        <f>IF($D615="","",IFERROR(VLOOKUP($D615,库存台账!$A$5:$Y$1204,11,0),0))</f>
        <v/>
      </c>
      <c r="S615" s="26">
        <f>IF($D615="","",ROUND(N($J615)*N($R615),0))</f>
        <v/>
      </c>
      <c r="T615" s="26">
        <f>IF($D615="","",IF($K615&lt;&gt;"对外销售","",ROUND($Q615-$S615,0)))</f>
        <v/>
      </c>
      <c r="U615" s="17" t="n"/>
      <c r="V615" s="17" t="n"/>
      <c r="W615" s="24">
        <f>IF($D615="","",IF($E615="※编码不在物料档案里","※物料编码不在档案里",IF(N($J615)&lt;=0,"※出库数量要大于 0",IF($K615="","※没填去向类型",IF($L615="","※没填去向矿区",IF(AND($C615&lt;&gt;"",$C615&lt;=结账锁),"※日期早于已结账截止日，不能再录",IF(AND($K615="自用消耗",COUNTIF({"一矿区";"二矿区"},$L615)=0),"※自用消耗的去向只能是一矿区或二矿区",IF(AND($K615="对外销售",COUNTIF({"三矿区";"六矿区"},$L615)=0),"※对外销售的去向只能是三矿区或六矿区",IF(AND($K615="对外销售",ROUND($Q615,0)=0),"※外销却没有售价，请填实际售价",IF(AND($K615="对外销售",$T615&lt;&gt;"",$T615&lt;0),"※这一笔外销是亏的，请核对售价",IF(IFERROR(VLOOKUP($D615,库存台账!$A$5:$Y$1204,24,0),0)&lt;-0.001,"※这个物料账面已经变成负数了，查一下是不是漏记入库","")))))))))))</f>
        <v/>
      </c>
    </row>
    <row r="616">
      <c r="A616" s="24">
        <f>IF($D616="","",COUNTA($D$4:$D616))</f>
        <v/>
      </c>
      <c r="B616" s="17" t="n"/>
      <c r="C616" s="30" t="n"/>
      <c r="D616" s="17" t="n"/>
      <c r="E616" s="24">
        <f>IF($D616="","",IFERROR(VLOOKUP($D616,物料档案!$A$4:$P$1203,3,0),"※编码不在物料档案里"))</f>
        <v/>
      </c>
      <c r="F616" s="24">
        <f>IF($D616="","",IFERROR(VLOOKUP($D616,物料档案!$A$4:$P$1203,4,0),"※编码不在物料档案里"))</f>
        <v/>
      </c>
      <c r="G616" s="24">
        <f>IF($D616="","",IFERROR(VLOOKUP($D616,物料档案!$A$4:$P$1203,5,0),"※编码不在物料档案里"))</f>
        <v/>
      </c>
      <c r="H616" s="24">
        <f>IF($D616="","",IFERROR(VLOOKUP($D616,物料档案!$A$4:$P$1203,2,0),"※编码不在物料档案里"))</f>
        <v/>
      </c>
      <c r="I616" s="24">
        <f>IF($D616="","",IFERROR(VLOOKUP($D616,物料档案!$A$4:$P$1203,6,0),"※编码不在物料档案里"))</f>
        <v/>
      </c>
      <c r="J616" s="23" t="n"/>
      <c r="K616" s="17" t="n"/>
      <c r="L616" s="17" t="n"/>
      <c r="M616" s="17" t="n"/>
      <c r="N616" s="17" t="n"/>
      <c r="O616" s="26">
        <f>IF($D616="","",IFERROR(VLOOKUP($D616,物料档案!$A$4:$P$1203,10,0),0))</f>
        <v/>
      </c>
      <c r="P616" s="32" t="n"/>
      <c r="Q616" s="26">
        <f>IF($D616="","",IF($K616&lt;&gt;"对外销售",0,ROUND(N($J616)*IF($P616="",N($O616),N($P616)),0)))</f>
        <v/>
      </c>
      <c r="R616" s="26">
        <f>IF($D616="","",IFERROR(VLOOKUP($D616,库存台账!$A$5:$Y$1204,11,0),0))</f>
        <v/>
      </c>
      <c r="S616" s="26">
        <f>IF($D616="","",ROUND(N($J616)*N($R616),0))</f>
        <v/>
      </c>
      <c r="T616" s="26">
        <f>IF($D616="","",IF($K616&lt;&gt;"对外销售","",ROUND($Q616-$S616,0)))</f>
        <v/>
      </c>
      <c r="U616" s="17" t="n"/>
      <c r="V616" s="17" t="n"/>
      <c r="W616" s="24">
        <f>IF($D616="","",IF($E616="※编码不在物料档案里","※物料编码不在档案里",IF(N($J616)&lt;=0,"※出库数量要大于 0",IF($K616="","※没填去向类型",IF($L616="","※没填去向矿区",IF(AND($C616&lt;&gt;"",$C616&lt;=结账锁),"※日期早于已结账截止日，不能再录",IF(AND($K616="自用消耗",COUNTIF({"一矿区";"二矿区"},$L616)=0),"※自用消耗的去向只能是一矿区或二矿区",IF(AND($K616="对外销售",COUNTIF({"三矿区";"六矿区"},$L616)=0),"※对外销售的去向只能是三矿区或六矿区",IF(AND($K616="对外销售",ROUND($Q616,0)=0),"※外销却没有售价，请填实际售价",IF(AND($K616="对外销售",$T616&lt;&gt;"",$T616&lt;0),"※这一笔外销是亏的，请核对售价",IF(IFERROR(VLOOKUP($D616,库存台账!$A$5:$Y$1204,24,0),0)&lt;-0.001,"※这个物料账面已经变成负数了，查一下是不是漏记入库","")))))))))))</f>
        <v/>
      </c>
    </row>
    <row r="617">
      <c r="A617" s="24">
        <f>IF($D617="","",COUNTA($D$4:$D617))</f>
        <v/>
      </c>
      <c r="B617" s="17" t="n"/>
      <c r="C617" s="30" t="n"/>
      <c r="D617" s="17" t="n"/>
      <c r="E617" s="24">
        <f>IF($D617="","",IFERROR(VLOOKUP($D617,物料档案!$A$4:$P$1203,3,0),"※编码不在物料档案里"))</f>
        <v/>
      </c>
      <c r="F617" s="24">
        <f>IF($D617="","",IFERROR(VLOOKUP($D617,物料档案!$A$4:$P$1203,4,0),"※编码不在物料档案里"))</f>
        <v/>
      </c>
      <c r="G617" s="24">
        <f>IF($D617="","",IFERROR(VLOOKUP($D617,物料档案!$A$4:$P$1203,5,0),"※编码不在物料档案里"))</f>
        <v/>
      </c>
      <c r="H617" s="24">
        <f>IF($D617="","",IFERROR(VLOOKUP($D617,物料档案!$A$4:$P$1203,2,0),"※编码不在物料档案里"))</f>
        <v/>
      </c>
      <c r="I617" s="24">
        <f>IF($D617="","",IFERROR(VLOOKUP($D617,物料档案!$A$4:$P$1203,6,0),"※编码不在物料档案里"))</f>
        <v/>
      </c>
      <c r="J617" s="23" t="n"/>
      <c r="K617" s="17" t="n"/>
      <c r="L617" s="17" t="n"/>
      <c r="M617" s="17" t="n"/>
      <c r="N617" s="17" t="n"/>
      <c r="O617" s="26">
        <f>IF($D617="","",IFERROR(VLOOKUP($D617,物料档案!$A$4:$P$1203,10,0),0))</f>
        <v/>
      </c>
      <c r="P617" s="32" t="n"/>
      <c r="Q617" s="26">
        <f>IF($D617="","",IF($K617&lt;&gt;"对外销售",0,ROUND(N($J617)*IF($P617="",N($O617),N($P617)),0)))</f>
        <v/>
      </c>
      <c r="R617" s="26">
        <f>IF($D617="","",IFERROR(VLOOKUP($D617,库存台账!$A$5:$Y$1204,11,0),0))</f>
        <v/>
      </c>
      <c r="S617" s="26">
        <f>IF($D617="","",ROUND(N($J617)*N($R617),0))</f>
        <v/>
      </c>
      <c r="T617" s="26">
        <f>IF($D617="","",IF($K617&lt;&gt;"对外销售","",ROUND($Q617-$S617,0)))</f>
        <v/>
      </c>
      <c r="U617" s="17" t="n"/>
      <c r="V617" s="17" t="n"/>
      <c r="W617" s="24">
        <f>IF($D617="","",IF($E617="※编码不在物料档案里","※物料编码不在档案里",IF(N($J617)&lt;=0,"※出库数量要大于 0",IF($K617="","※没填去向类型",IF($L617="","※没填去向矿区",IF(AND($C617&lt;&gt;"",$C617&lt;=结账锁),"※日期早于已结账截止日，不能再录",IF(AND($K617="自用消耗",COUNTIF({"一矿区";"二矿区"},$L617)=0),"※自用消耗的去向只能是一矿区或二矿区",IF(AND($K617="对外销售",COUNTIF({"三矿区";"六矿区"},$L617)=0),"※对外销售的去向只能是三矿区或六矿区",IF(AND($K617="对外销售",ROUND($Q617,0)=0),"※外销却没有售价，请填实际售价",IF(AND($K617="对外销售",$T617&lt;&gt;"",$T617&lt;0),"※这一笔外销是亏的，请核对售价",IF(IFERROR(VLOOKUP($D617,库存台账!$A$5:$Y$1204,24,0),0)&lt;-0.001,"※这个物料账面已经变成负数了，查一下是不是漏记入库","")))))))))))</f>
        <v/>
      </c>
    </row>
    <row r="618">
      <c r="A618" s="24">
        <f>IF($D618="","",COUNTA($D$4:$D618))</f>
        <v/>
      </c>
      <c r="B618" s="17" t="n"/>
      <c r="C618" s="30" t="n"/>
      <c r="D618" s="17" t="n"/>
      <c r="E618" s="24">
        <f>IF($D618="","",IFERROR(VLOOKUP($D618,物料档案!$A$4:$P$1203,3,0),"※编码不在物料档案里"))</f>
        <v/>
      </c>
      <c r="F618" s="24">
        <f>IF($D618="","",IFERROR(VLOOKUP($D618,物料档案!$A$4:$P$1203,4,0),"※编码不在物料档案里"))</f>
        <v/>
      </c>
      <c r="G618" s="24">
        <f>IF($D618="","",IFERROR(VLOOKUP($D618,物料档案!$A$4:$P$1203,5,0),"※编码不在物料档案里"))</f>
        <v/>
      </c>
      <c r="H618" s="24">
        <f>IF($D618="","",IFERROR(VLOOKUP($D618,物料档案!$A$4:$P$1203,2,0),"※编码不在物料档案里"))</f>
        <v/>
      </c>
      <c r="I618" s="24">
        <f>IF($D618="","",IFERROR(VLOOKUP($D618,物料档案!$A$4:$P$1203,6,0),"※编码不在物料档案里"))</f>
        <v/>
      </c>
      <c r="J618" s="23" t="n"/>
      <c r="K618" s="17" t="n"/>
      <c r="L618" s="17" t="n"/>
      <c r="M618" s="17" t="n"/>
      <c r="N618" s="17" t="n"/>
      <c r="O618" s="26">
        <f>IF($D618="","",IFERROR(VLOOKUP($D618,物料档案!$A$4:$P$1203,10,0),0))</f>
        <v/>
      </c>
      <c r="P618" s="32" t="n"/>
      <c r="Q618" s="26">
        <f>IF($D618="","",IF($K618&lt;&gt;"对外销售",0,ROUND(N($J618)*IF($P618="",N($O618),N($P618)),0)))</f>
        <v/>
      </c>
      <c r="R618" s="26">
        <f>IF($D618="","",IFERROR(VLOOKUP($D618,库存台账!$A$5:$Y$1204,11,0),0))</f>
        <v/>
      </c>
      <c r="S618" s="26">
        <f>IF($D618="","",ROUND(N($J618)*N($R618),0))</f>
        <v/>
      </c>
      <c r="T618" s="26">
        <f>IF($D618="","",IF($K618&lt;&gt;"对外销售","",ROUND($Q618-$S618,0)))</f>
        <v/>
      </c>
      <c r="U618" s="17" t="n"/>
      <c r="V618" s="17" t="n"/>
      <c r="W618" s="24">
        <f>IF($D618="","",IF($E618="※编码不在物料档案里","※物料编码不在档案里",IF(N($J618)&lt;=0,"※出库数量要大于 0",IF($K618="","※没填去向类型",IF($L618="","※没填去向矿区",IF(AND($C618&lt;&gt;"",$C618&lt;=结账锁),"※日期早于已结账截止日，不能再录",IF(AND($K618="自用消耗",COUNTIF({"一矿区";"二矿区"},$L618)=0),"※自用消耗的去向只能是一矿区或二矿区",IF(AND($K618="对外销售",COUNTIF({"三矿区";"六矿区"},$L618)=0),"※对外销售的去向只能是三矿区或六矿区",IF(AND($K618="对外销售",ROUND($Q618,0)=0),"※外销却没有售价，请填实际售价",IF(AND($K618="对外销售",$T618&lt;&gt;"",$T618&lt;0),"※这一笔外销是亏的，请核对售价",IF(IFERROR(VLOOKUP($D618,库存台账!$A$5:$Y$1204,24,0),0)&lt;-0.001,"※这个物料账面已经变成负数了，查一下是不是漏记入库","")))))))))))</f>
        <v/>
      </c>
    </row>
    <row r="619">
      <c r="A619" s="24">
        <f>IF($D619="","",COUNTA($D$4:$D619))</f>
        <v/>
      </c>
      <c r="B619" s="17" t="n"/>
      <c r="C619" s="30" t="n"/>
      <c r="D619" s="17" t="n"/>
      <c r="E619" s="24">
        <f>IF($D619="","",IFERROR(VLOOKUP($D619,物料档案!$A$4:$P$1203,3,0),"※编码不在物料档案里"))</f>
        <v/>
      </c>
      <c r="F619" s="24">
        <f>IF($D619="","",IFERROR(VLOOKUP($D619,物料档案!$A$4:$P$1203,4,0),"※编码不在物料档案里"))</f>
        <v/>
      </c>
      <c r="G619" s="24">
        <f>IF($D619="","",IFERROR(VLOOKUP($D619,物料档案!$A$4:$P$1203,5,0),"※编码不在物料档案里"))</f>
        <v/>
      </c>
      <c r="H619" s="24">
        <f>IF($D619="","",IFERROR(VLOOKUP($D619,物料档案!$A$4:$P$1203,2,0),"※编码不在物料档案里"))</f>
        <v/>
      </c>
      <c r="I619" s="24">
        <f>IF($D619="","",IFERROR(VLOOKUP($D619,物料档案!$A$4:$P$1203,6,0),"※编码不在物料档案里"))</f>
        <v/>
      </c>
      <c r="J619" s="23" t="n"/>
      <c r="K619" s="17" t="n"/>
      <c r="L619" s="17" t="n"/>
      <c r="M619" s="17" t="n"/>
      <c r="N619" s="17" t="n"/>
      <c r="O619" s="26">
        <f>IF($D619="","",IFERROR(VLOOKUP($D619,物料档案!$A$4:$P$1203,10,0),0))</f>
        <v/>
      </c>
      <c r="P619" s="32" t="n"/>
      <c r="Q619" s="26">
        <f>IF($D619="","",IF($K619&lt;&gt;"对外销售",0,ROUND(N($J619)*IF($P619="",N($O619),N($P619)),0)))</f>
        <v/>
      </c>
      <c r="R619" s="26">
        <f>IF($D619="","",IFERROR(VLOOKUP($D619,库存台账!$A$5:$Y$1204,11,0),0))</f>
        <v/>
      </c>
      <c r="S619" s="26">
        <f>IF($D619="","",ROUND(N($J619)*N($R619),0))</f>
        <v/>
      </c>
      <c r="T619" s="26">
        <f>IF($D619="","",IF($K619&lt;&gt;"对外销售","",ROUND($Q619-$S619,0)))</f>
        <v/>
      </c>
      <c r="U619" s="17" t="n"/>
      <c r="V619" s="17" t="n"/>
      <c r="W619" s="24">
        <f>IF($D619="","",IF($E619="※编码不在物料档案里","※物料编码不在档案里",IF(N($J619)&lt;=0,"※出库数量要大于 0",IF($K619="","※没填去向类型",IF($L619="","※没填去向矿区",IF(AND($C619&lt;&gt;"",$C619&lt;=结账锁),"※日期早于已结账截止日，不能再录",IF(AND($K619="自用消耗",COUNTIF({"一矿区";"二矿区"},$L619)=0),"※自用消耗的去向只能是一矿区或二矿区",IF(AND($K619="对外销售",COUNTIF({"三矿区";"六矿区"},$L619)=0),"※对外销售的去向只能是三矿区或六矿区",IF(AND($K619="对外销售",ROUND($Q619,0)=0),"※外销却没有售价，请填实际售价",IF(AND($K619="对外销售",$T619&lt;&gt;"",$T619&lt;0),"※这一笔外销是亏的，请核对售价",IF(IFERROR(VLOOKUP($D619,库存台账!$A$5:$Y$1204,24,0),0)&lt;-0.001,"※这个物料账面已经变成负数了，查一下是不是漏记入库","")))))))))))</f>
        <v/>
      </c>
    </row>
    <row r="620">
      <c r="A620" s="24">
        <f>IF($D620="","",COUNTA($D$4:$D620))</f>
        <v/>
      </c>
      <c r="B620" s="17" t="n"/>
      <c r="C620" s="30" t="n"/>
      <c r="D620" s="17" t="n"/>
      <c r="E620" s="24">
        <f>IF($D620="","",IFERROR(VLOOKUP($D620,物料档案!$A$4:$P$1203,3,0),"※编码不在物料档案里"))</f>
        <v/>
      </c>
      <c r="F620" s="24">
        <f>IF($D620="","",IFERROR(VLOOKUP($D620,物料档案!$A$4:$P$1203,4,0),"※编码不在物料档案里"))</f>
        <v/>
      </c>
      <c r="G620" s="24">
        <f>IF($D620="","",IFERROR(VLOOKUP($D620,物料档案!$A$4:$P$1203,5,0),"※编码不在物料档案里"))</f>
        <v/>
      </c>
      <c r="H620" s="24">
        <f>IF($D620="","",IFERROR(VLOOKUP($D620,物料档案!$A$4:$P$1203,2,0),"※编码不在物料档案里"))</f>
        <v/>
      </c>
      <c r="I620" s="24">
        <f>IF($D620="","",IFERROR(VLOOKUP($D620,物料档案!$A$4:$P$1203,6,0),"※编码不在物料档案里"))</f>
        <v/>
      </c>
      <c r="J620" s="23" t="n"/>
      <c r="K620" s="17" t="n"/>
      <c r="L620" s="17" t="n"/>
      <c r="M620" s="17" t="n"/>
      <c r="N620" s="17" t="n"/>
      <c r="O620" s="26">
        <f>IF($D620="","",IFERROR(VLOOKUP($D620,物料档案!$A$4:$P$1203,10,0),0))</f>
        <v/>
      </c>
      <c r="P620" s="32" t="n"/>
      <c r="Q620" s="26">
        <f>IF($D620="","",IF($K620&lt;&gt;"对外销售",0,ROUND(N($J620)*IF($P620="",N($O620),N($P620)),0)))</f>
        <v/>
      </c>
      <c r="R620" s="26">
        <f>IF($D620="","",IFERROR(VLOOKUP($D620,库存台账!$A$5:$Y$1204,11,0),0))</f>
        <v/>
      </c>
      <c r="S620" s="26">
        <f>IF($D620="","",ROUND(N($J620)*N($R620),0))</f>
        <v/>
      </c>
      <c r="T620" s="26">
        <f>IF($D620="","",IF($K620&lt;&gt;"对外销售","",ROUND($Q620-$S620,0)))</f>
        <v/>
      </c>
      <c r="U620" s="17" t="n"/>
      <c r="V620" s="17" t="n"/>
      <c r="W620" s="24">
        <f>IF($D620="","",IF($E620="※编码不在物料档案里","※物料编码不在档案里",IF(N($J620)&lt;=0,"※出库数量要大于 0",IF($K620="","※没填去向类型",IF($L620="","※没填去向矿区",IF(AND($C620&lt;&gt;"",$C620&lt;=结账锁),"※日期早于已结账截止日，不能再录",IF(AND($K620="自用消耗",COUNTIF({"一矿区";"二矿区"},$L620)=0),"※自用消耗的去向只能是一矿区或二矿区",IF(AND($K620="对外销售",COUNTIF({"三矿区";"六矿区"},$L620)=0),"※对外销售的去向只能是三矿区或六矿区",IF(AND($K620="对外销售",ROUND($Q620,0)=0),"※外销却没有售价，请填实际售价",IF(AND($K620="对外销售",$T620&lt;&gt;"",$T620&lt;0),"※这一笔外销是亏的，请核对售价",IF(IFERROR(VLOOKUP($D620,库存台账!$A$5:$Y$1204,24,0),0)&lt;-0.001,"※这个物料账面已经变成负数了，查一下是不是漏记入库","")))))))))))</f>
        <v/>
      </c>
    </row>
    <row r="621">
      <c r="A621" s="24">
        <f>IF($D621="","",COUNTA($D$4:$D621))</f>
        <v/>
      </c>
      <c r="B621" s="17" t="n"/>
      <c r="C621" s="30" t="n"/>
      <c r="D621" s="17" t="n"/>
      <c r="E621" s="24">
        <f>IF($D621="","",IFERROR(VLOOKUP($D621,物料档案!$A$4:$P$1203,3,0),"※编码不在物料档案里"))</f>
        <v/>
      </c>
      <c r="F621" s="24">
        <f>IF($D621="","",IFERROR(VLOOKUP($D621,物料档案!$A$4:$P$1203,4,0),"※编码不在物料档案里"))</f>
        <v/>
      </c>
      <c r="G621" s="24">
        <f>IF($D621="","",IFERROR(VLOOKUP($D621,物料档案!$A$4:$P$1203,5,0),"※编码不在物料档案里"))</f>
        <v/>
      </c>
      <c r="H621" s="24">
        <f>IF($D621="","",IFERROR(VLOOKUP($D621,物料档案!$A$4:$P$1203,2,0),"※编码不在物料档案里"))</f>
        <v/>
      </c>
      <c r="I621" s="24">
        <f>IF($D621="","",IFERROR(VLOOKUP($D621,物料档案!$A$4:$P$1203,6,0),"※编码不在物料档案里"))</f>
        <v/>
      </c>
      <c r="J621" s="23" t="n"/>
      <c r="K621" s="17" t="n"/>
      <c r="L621" s="17" t="n"/>
      <c r="M621" s="17" t="n"/>
      <c r="N621" s="17" t="n"/>
      <c r="O621" s="26">
        <f>IF($D621="","",IFERROR(VLOOKUP($D621,物料档案!$A$4:$P$1203,10,0),0))</f>
        <v/>
      </c>
      <c r="P621" s="32" t="n"/>
      <c r="Q621" s="26">
        <f>IF($D621="","",IF($K621&lt;&gt;"对外销售",0,ROUND(N($J621)*IF($P621="",N($O621),N($P621)),0)))</f>
        <v/>
      </c>
      <c r="R621" s="26">
        <f>IF($D621="","",IFERROR(VLOOKUP($D621,库存台账!$A$5:$Y$1204,11,0),0))</f>
        <v/>
      </c>
      <c r="S621" s="26">
        <f>IF($D621="","",ROUND(N($J621)*N($R621),0))</f>
        <v/>
      </c>
      <c r="T621" s="26">
        <f>IF($D621="","",IF($K621&lt;&gt;"对外销售","",ROUND($Q621-$S621,0)))</f>
        <v/>
      </c>
      <c r="U621" s="17" t="n"/>
      <c r="V621" s="17" t="n"/>
      <c r="W621" s="24">
        <f>IF($D621="","",IF($E621="※编码不在物料档案里","※物料编码不在档案里",IF(N($J621)&lt;=0,"※出库数量要大于 0",IF($K621="","※没填去向类型",IF($L621="","※没填去向矿区",IF(AND($C621&lt;&gt;"",$C621&lt;=结账锁),"※日期早于已结账截止日，不能再录",IF(AND($K621="自用消耗",COUNTIF({"一矿区";"二矿区"},$L621)=0),"※自用消耗的去向只能是一矿区或二矿区",IF(AND($K621="对外销售",COUNTIF({"三矿区";"六矿区"},$L621)=0),"※对外销售的去向只能是三矿区或六矿区",IF(AND($K621="对外销售",ROUND($Q621,0)=0),"※外销却没有售价，请填实际售价",IF(AND($K621="对外销售",$T621&lt;&gt;"",$T621&lt;0),"※这一笔外销是亏的，请核对售价",IF(IFERROR(VLOOKUP($D621,库存台账!$A$5:$Y$1204,24,0),0)&lt;-0.001,"※这个物料账面已经变成负数了，查一下是不是漏记入库","")))))))))))</f>
        <v/>
      </c>
    </row>
    <row r="622">
      <c r="A622" s="24">
        <f>IF($D622="","",COUNTA($D$4:$D622))</f>
        <v/>
      </c>
      <c r="B622" s="17" t="n"/>
      <c r="C622" s="30" t="n"/>
      <c r="D622" s="17" t="n"/>
      <c r="E622" s="24">
        <f>IF($D622="","",IFERROR(VLOOKUP($D622,物料档案!$A$4:$P$1203,3,0),"※编码不在物料档案里"))</f>
        <v/>
      </c>
      <c r="F622" s="24">
        <f>IF($D622="","",IFERROR(VLOOKUP($D622,物料档案!$A$4:$P$1203,4,0),"※编码不在物料档案里"))</f>
        <v/>
      </c>
      <c r="G622" s="24">
        <f>IF($D622="","",IFERROR(VLOOKUP($D622,物料档案!$A$4:$P$1203,5,0),"※编码不在物料档案里"))</f>
        <v/>
      </c>
      <c r="H622" s="24">
        <f>IF($D622="","",IFERROR(VLOOKUP($D622,物料档案!$A$4:$P$1203,2,0),"※编码不在物料档案里"))</f>
        <v/>
      </c>
      <c r="I622" s="24">
        <f>IF($D622="","",IFERROR(VLOOKUP($D622,物料档案!$A$4:$P$1203,6,0),"※编码不在物料档案里"))</f>
        <v/>
      </c>
      <c r="J622" s="23" t="n"/>
      <c r="K622" s="17" t="n"/>
      <c r="L622" s="17" t="n"/>
      <c r="M622" s="17" t="n"/>
      <c r="N622" s="17" t="n"/>
      <c r="O622" s="26">
        <f>IF($D622="","",IFERROR(VLOOKUP($D622,物料档案!$A$4:$P$1203,10,0),0))</f>
        <v/>
      </c>
      <c r="P622" s="32" t="n"/>
      <c r="Q622" s="26">
        <f>IF($D622="","",IF($K622&lt;&gt;"对外销售",0,ROUND(N($J622)*IF($P622="",N($O622),N($P622)),0)))</f>
        <v/>
      </c>
      <c r="R622" s="26">
        <f>IF($D622="","",IFERROR(VLOOKUP($D622,库存台账!$A$5:$Y$1204,11,0),0))</f>
        <v/>
      </c>
      <c r="S622" s="26">
        <f>IF($D622="","",ROUND(N($J622)*N($R622),0))</f>
        <v/>
      </c>
      <c r="T622" s="26">
        <f>IF($D622="","",IF($K622&lt;&gt;"对外销售","",ROUND($Q622-$S622,0)))</f>
        <v/>
      </c>
      <c r="U622" s="17" t="n"/>
      <c r="V622" s="17" t="n"/>
      <c r="W622" s="24">
        <f>IF($D622="","",IF($E622="※编码不在物料档案里","※物料编码不在档案里",IF(N($J622)&lt;=0,"※出库数量要大于 0",IF($K622="","※没填去向类型",IF($L622="","※没填去向矿区",IF(AND($C622&lt;&gt;"",$C622&lt;=结账锁),"※日期早于已结账截止日，不能再录",IF(AND($K622="自用消耗",COUNTIF({"一矿区";"二矿区"},$L622)=0),"※自用消耗的去向只能是一矿区或二矿区",IF(AND($K622="对外销售",COUNTIF({"三矿区";"六矿区"},$L622)=0),"※对外销售的去向只能是三矿区或六矿区",IF(AND($K622="对外销售",ROUND($Q622,0)=0),"※外销却没有售价，请填实际售价",IF(AND($K622="对外销售",$T622&lt;&gt;"",$T622&lt;0),"※这一笔外销是亏的，请核对售价",IF(IFERROR(VLOOKUP($D622,库存台账!$A$5:$Y$1204,24,0),0)&lt;-0.001,"※这个物料账面已经变成负数了，查一下是不是漏记入库","")))))))))))</f>
        <v/>
      </c>
    </row>
    <row r="623">
      <c r="A623" s="24">
        <f>IF($D623="","",COUNTA($D$4:$D623))</f>
        <v/>
      </c>
      <c r="B623" s="17" t="n"/>
      <c r="C623" s="30" t="n"/>
      <c r="D623" s="17" t="n"/>
      <c r="E623" s="24">
        <f>IF($D623="","",IFERROR(VLOOKUP($D623,物料档案!$A$4:$P$1203,3,0),"※编码不在物料档案里"))</f>
        <v/>
      </c>
      <c r="F623" s="24">
        <f>IF($D623="","",IFERROR(VLOOKUP($D623,物料档案!$A$4:$P$1203,4,0),"※编码不在物料档案里"))</f>
        <v/>
      </c>
      <c r="G623" s="24">
        <f>IF($D623="","",IFERROR(VLOOKUP($D623,物料档案!$A$4:$P$1203,5,0),"※编码不在物料档案里"))</f>
        <v/>
      </c>
      <c r="H623" s="24">
        <f>IF($D623="","",IFERROR(VLOOKUP($D623,物料档案!$A$4:$P$1203,2,0),"※编码不在物料档案里"))</f>
        <v/>
      </c>
      <c r="I623" s="24">
        <f>IF($D623="","",IFERROR(VLOOKUP($D623,物料档案!$A$4:$P$1203,6,0),"※编码不在物料档案里"))</f>
        <v/>
      </c>
      <c r="J623" s="23" t="n"/>
      <c r="K623" s="17" t="n"/>
      <c r="L623" s="17" t="n"/>
      <c r="M623" s="17" t="n"/>
      <c r="N623" s="17" t="n"/>
      <c r="O623" s="26">
        <f>IF($D623="","",IFERROR(VLOOKUP($D623,物料档案!$A$4:$P$1203,10,0),0))</f>
        <v/>
      </c>
      <c r="P623" s="32" t="n"/>
      <c r="Q623" s="26">
        <f>IF($D623="","",IF($K623&lt;&gt;"对外销售",0,ROUND(N($J623)*IF($P623="",N($O623),N($P623)),0)))</f>
        <v/>
      </c>
      <c r="R623" s="26">
        <f>IF($D623="","",IFERROR(VLOOKUP($D623,库存台账!$A$5:$Y$1204,11,0),0))</f>
        <v/>
      </c>
      <c r="S623" s="26">
        <f>IF($D623="","",ROUND(N($J623)*N($R623),0))</f>
        <v/>
      </c>
      <c r="T623" s="26">
        <f>IF($D623="","",IF($K623&lt;&gt;"对外销售","",ROUND($Q623-$S623,0)))</f>
        <v/>
      </c>
      <c r="U623" s="17" t="n"/>
      <c r="V623" s="17" t="n"/>
      <c r="W623" s="24">
        <f>IF($D623="","",IF($E623="※编码不在物料档案里","※物料编码不在档案里",IF(N($J623)&lt;=0,"※出库数量要大于 0",IF($K623="","※没填去向类型",IF($L623="","※没填去向矿区",IF(AND($C623&lt;&gt;"",$C623&lt;=结账锁),"※日期早于已结账截止日，不能再录",IF(AND($K623="自用消耗",COUNTIF({"一矿区";"二矿区"},$L623)=0),"※自用消耗的去向只能是一矿区或二矿区",IF(AND($K623="对外销售",COUNTIF({"三矿区";"六矿区"},$L623)=0),"※对外销售的去向只能是三矿区或六矿区",IF(AND($K623="对外销售",ROUND($Q623,0)=0),"※外销却没有售价，请填实际售价",IF(AND($K623="对外销售",$T623&lt;&gt;"",$T623&lt;0),"※这一笔外销是亏的，请核对售价",IF(IFERROR(VLOOKUP($D623,库存台账!$A$5:$Y$1204,24,0),0)&lt;-0.001,"※这个物料账面已经变成负数了，查一下是不是漏记入库","")))))))))))</f>
        <v/>
      </c>
    </row>
    <row r="624">
      <c r="A624" s="24">
        <f>IF($D624="","",COUNTA($D$4:$D624))</f>
        <v/>
      </c>
      <c r="B624" s="17" t="n"/>
      <c r="C624" s="30" t="n"/>
      <c r="D624" s="17" t="n"/>
      <c r="E624" s="24">
        <f>IF($D624="","",IFERROR(VLOOKUP($D624,物料档案!$A$4:$P$1203,3,0),"※编码不在物料档案里"))</f>
        <v/>
      </c>
      <c r="F624" s="24">
        <f>IF($D624="","",IFERROR(VLOOKUP($D624,物料档案!$A$4:$P$1203,4,0),"※编码不在物料档案里"))</f>
        <v/>
      </c>
      <c r="G624" s="24">
        <f>IF($D624="","",IFERROR(VLOOKUP($D624,物料档案!$A$4:$P$1203,5,0),"※编码不在物料档案里"))</f>
        <v/>
      </c>
      <c r="H624" s="24">
        <f>IF($D624="","",IFERROR(VLOOKUP($D624,物料档案!$A$4:$P$1203,2,0),"※编码不在物料档案里"))</f>
        <v/>
      </c>
      <c r="I624" s="24">
        <f>IF($D624="","",IFERROR(VLOOKUP($D624,物料档案!$A$4:$P$1203,6,0),"※编码不在物料档案里"))</f>
        <v/>
      </c>
      <c r="J624" s="23" t="n"/>
      <c r="K624" s="17" t="n"/>
      <c r="L624" s="17" t="n"/>
      <c r="M624" s="17" t="n"/>
      <c r="N624" s="17" t="n"/>
      <c r="O624" s="26">
        <f>IF($D624="","",IFERROR(VLOOKUP($D624,物料档案!$A$4:$P$1203,10,0),0))</f>
        <v/>
      </c>
      <c r="P624" s="32" t="n"/>
      <c r="Q624" s="26">
        <f>IF($D624="","",IF($K624&lt;&gt;"对外销售",0,ROUND(N($J624)*IF($P624="",N($O624),N($P624)),0)))</f>
        <v/>
      </c>
      <c r="R624" s="26">
        <f>IF($D624="","",IFERROR(VLOOKUP($D624,库存台账!$A$5:$Y$1204,11,0),0))</f>
        <v/>
      </c>
      <c r="S624" s="26">
        <f>IF($D624="","",ROUND(N($J624)*N($R624),0))</f>
        <v/>
      </c>
      <c r="T624" s="26">
        <f>IF($D624="","",IF($K624&lt;&gt;"对外销售","",ROUND($Q624-$S624,0)))</f>
        <v/>
      </c>
      <c r="U624" s="17" t="n"/>
      <c r="V624" s="17" t="n"/>
      <c r="W624" s="24">
        <f>IF($D624="","",IF($E624="※编码不在物料档案里","※物料编码不在档案里",IF(N($J624)&lt;=0,"※出库数量要大于 0",IF($K624="","※没填去向类型",IF($L624="","※没填去向矿区",IF(AND($C624&lt;&gt;"",$C624&lt;=结账锁),"※日期早于已结账截止日，不能再录",IF(AND($K624="自用消耗",COUNTIF({"一矿区";"二矿区"},$L624)=0),"※自用消耗的去向只能是一矿区或二矿区",IF(AND($K624="对外销售",COUNTIF({"三矿区";"六矿区"},$L624)=0),"※对外销售的去向只能是三矿区或六矿区",IF(AND($K624="对外销售",ROUND($Q624,0)=0),"※外销却没有售价，请填实际售价",IF(AND($K624="对外销售",$T624&lt;&gt;"",$T624&lt;0),"※这一笔外销是亏的，请核对售价",IF(IFERROR(VLOOKUP($D624,库存台账!$A$5:$Y$1204,24,0),0)&lt;-0.001,"※这个物料账面已经变成负数了，查一下是不是漏记入库","")))))))))))</f>
        <v/>
      </c>
    </row>
    <row r="625">
      <c r="A625" s="24">
        <f>IF($D625="","",COUNTA($D$4:$D625))</f>
        <v/>
      </c>
      <c r="B625" s="17" t="n"/>
      <c r="C625" s="30" t="n"/>
      <c r="D625" s="17" t="n"/>
      <c r="E625" s="24">
        <f>IF($D625="","",IFERROR(VLOOKUP($D625,物料档案!$A$4:$P$1203,3,0),"※编码不在物料档案里"))</f>
        <v/>
      </c>
      <c r="F625" s="24">
        <f>IF($D625="","",IFERROR(VLOOKUP($D625,物料档案!$A$4:$P$1203,4,0),"※编码不在物料档案里"))</f>
        <v/>
      </c>
      <c r="G625" s="24">
        <f>IF($D625="","",IFERROR(VLOOKUP($D625,物料档案!$A$4:$P$1203,5,0),"※编码不在物料档案里"))</f>
        <v/>
      </c>
      <c r="H625" s="24">
        <f>IF($D625="","",IFERROR(VLOOKUP($D625,物料档案!$A$4:$P$1203,2,0),"※编码不在物料档案里"))</f>
        <v/>
      </c>
      <c r="I625" s="24">
        <f>IF($D625="","",IFERROR(VLOOKUP($D625,物料档案!$A$4:$P$1203,6,0),"※编码不在物料档案里"))</f>
        <v/>
      </c>
      <c r="J625" s="23" t="n"/>
      <c r="K625" s="17" t="n"/>
      <c r="L625" s="17" t="n"/>
      <c r="M625" s="17" t="n"/>
      <c r="N625" s="17" t="n"/>
      <c r="O625" s="26">
        <f>IF($D625="","",IFERROR(VLOOKUP($D625,物料档案!$A$4:$P$1203,10,0),0))</f>
        <v/>
      </c>
      <c r="P625" s="32" t="n"/>
      <c r="Q625" s="26">
        <f>IF($D625="","",IF($K625&lt;&gt;"对外销售",0,ROUND(N($J625)*IF($P625="",N($O625),N($P625)),0)))</f>
        <v/>
      </c>
      <c r="R625" s="26">
        <f>IF($D625="","",IFERROR(VLOOKUP($D625,库存台账!$A$5:$Y$1204,11,0),0))</f>
        <v/>
      </c>
      <c r="S625" s="26">
        <f>IF($D625="","",ROUND(N($J625)*N($R625),0))</f>
        <v/>
      </c>
      <c r="T625" s="26">
        <f>IF($D625="","",IF($K625&lt;&gt;"对外销售","",ROUND($Q625-$S625,0)))</f>
        <v/>
      </c>
      <c r="U625" s="17" t="n"/>
      <c r="V625" s="17" t="n"/>
      <c r="W625" s="24">
        <f>IF($D625="","",IF($E625="※编码不在物料档案里","※物料编码不在档案里",IF(N($J625)&lt;=0,"※出库数量要大于 0",IF($K625="","※没填去向类型",IF($L625="","※没填去向矿区",IF(AND($C625&lt;&gt;"",$C625&lt;=结账锁),"※日期早于已结账截止日，不能再录",IF(AND($K625="自用消耗",COUNTIF({"一矿区";"二矿区"},$L625)=0),"※自用消耗的去向只能是一矿区或二矿区",IF(AND($K625="对外销售",COUNTIF({"三矿区";"六矿区"},$L625)=0),"※对外销售的去向只能是三矿区或六矿区",IF(AND($K625="对外销售",ROUND($Q625,0)=0),"※外销却没有售价，请填实际售价",IF(AND($K625="对外销售",$T625&lt;&gt;"",$T625&lt;0),"※这一笔外销是亏的，请核对售价",IF(IFERROR(VLOOKUP($D625,库存台账!$A$5:$Y$1204,24,0),0)&lt;-0.001,"※这个物料账面已经变成负数了，查一下是不是漏记入库","")))))))))))</f>
        <v/>
      </c>
    </row>
    <row r="626">
      <c r="A626" s="24">
        <f>IF($D626="","",COUNTA($D$4:$D626))</f>
        <v/>
      </c>
      <c r="B626" s="17" t="n"/>
      <c r="C626" s="30" t="n"/>
      <c r="D626" s="17" t="n"/>
      <c r="E626" s="24">
        <f>IF($D626="","",IFERROR(VLOOKUP($D626,物料档案!$A$4:$P$1203,3,0),"※编码不在物料档案里"))</f>
        <v/>
      </c>
      <c r="F626" s="24">
        <f>IF($D626="","",IFERROR(VLOOKUP($D626,物料档案!$A$4:$P$1203,4,0),"※编码不在物料档案里"))</f>
        <v/>
      </c>
      <c r="G626" s="24">
        <f>IF($D626="","",IFERROR(VLOOKUP($D626,物料档案!$A$4:$P$1203,5,0),"※编码不在物料档案里"))</f>
        <v/>
      </c>
      <c r="H626" s="24">
        <f>IF($D626="","",IFERROR(VLOOKUP($D626,物料档案!$A$4:$P$1203,2,0),"※编码不在物料档案里"))</f>
        <v/>
      </c>
      <c r="I626" s="24">
        <f>IF($D626="","",IFERROR(VLOOKUP($D626,物料档案!$A$4:$P$1203,6,0),"※编码不在物料档案里"))</f>
        <v/>
      </c>
      <c r="J626" s="23" t="n"/>
      <c r="K626" s="17" t="n"/>
      <c r="L626" s="17" t="n"/>
      <c r="M626" s="17" t="n"/>
      <c r="N626" s="17" t="n"/>
      <c r="O626" s="26">
        <f>IF($D626="","",IFERROR(VLOOKUP($D626,物料档案!$A$4:$P$1203,10,0),0))</f>
        <v/>
      </c>
      <c r="P626" s="32" t="n"/>
      <c r="Q626" s="26">
        <f>IF($D626="","",IF($K626&lt;&gt;"对外销售",0,ROUND(N($J626)*IF($P626="",N($O626),N($P626)),0)))</f>
        <v/>
      </c>
      <c r="R626" s="26">
        <f>IF($D626="","",IFERROR(VLOOKUP($D626,库存台账!$A$5:$Y$1204,11,0),0))</f>
        <v/>
      </c>
      <c r="S626" s="26">
        <f>IF($D626="","",ROUND(N($J626)*N($R626),0))</f>
        <v/>
      </c>
      <c r="T626" s="26">
        <f>IF($D626="","",IF($K626&lt;&gt;"对外销售","",ROUND($Q626-$S626,0)))</f>
        <v/>
      </c>
      <c r="U626" s="17" t="n"/>
      <c r="V626" s="17" t="n"/>
      <c r="W626" s="24">
        <f>IF($D626="","",IF($E626="※编码不在物料档案里","※物料编码不在档案里",IF(N($J626)&lt;=0,"※出库数量要大于 0",IF($K626="","※没填去向类型",IF($L626="","※没填去向矿区",IF(AND($C626&lt;&gt;"",$C626&lt;=结账锁),"※日期早于已结账截止日，不能再录",IF(AND($K626="自用消耗",COUNTIF({"一矿区";"二矿区"},$L626)=0),"※自用消耗的去向只能是一矿区或二矿区",IF(AND($K626="对外销售",COUNTIF({"三矿区";"六矿区"},$L626)=0),"※对外销售的去向只能是三矿区或六矿区",IF(AND($K626="对外销售",ROUND($Q626,0)=0),"※外销却没有售价，请填实际售价",IF(AND($K626="对外销售",$T626&lt;&gt;"",$T626&lt;0),"※这一笔外销是亏的，请核对售价",IF(IFERROR(VLOOKUP($D626,库存台账!$A$5:$Y$1204,24,0),0)&lt;-0.001,"※这个物料账面已经变成负数了，查一下是不是漏记入库","")))))))))))</f>
        <v/>
      </c>
    </row>
    <row r="627">
      <c r="A627" s="24">
        <f>IF($D627="","",COUNTA($D$4:$D627))</f>
        <v/>
      </c>
      <c r="B627" s="17" t="n"/>
      <c r="C627" s="30" t="n"/>
      <c r="D627" s="17" t="n"/>
      <c r="E627" s="24">
        <f>IF($D627="","",IFERROR(VLOOKUP($D627,物料档案!$A$4:$P$1203,3,0),"※编码不在物料档案里"))</f>
        <v/>
      </c>
      <c r="F627" s="24">
        <f>IF($D627="","",IFERROR(VLOOKUP($D627,物料档案!$A$4:$P$1203,4,0),"※编码不在物料档案里"))</f>
        <v/>
      </c>
      <c r="G627" s="24">
        <f>IF($D627="","",IFERROR(VLOOKUP($D627,物料档案!$A$4:$P$1203,5,0),"※编码不在物料档案里"))</f>
        <v/>
      </c>
      <c r="H627" s="24">
        <f>IF($D627="","",IFERROR(VLOOKUP($D627,物料档案!$A$4:$P$1203,2,0),"※编码不在物料档案里"))</f>
        <v/>
      </c>
      <c r="I627" s="24">
        <f>IF($D627="","",IFERROR(VLOOKUP($D627,物料档案!$A$4:$P$1203,6,0),"※编码不在物料档案里"))</f>
        <v/>
      </c>
      <c r="J627" s="23" t="n"/>
      <c r="K627" s="17" t="n"/>
      <c r="L627" s="17" t="n"/>
      <c r="M627" s="17" t="n"/>
      <c r="N627" s="17" t="n"/>
      <c r="O627" s="26">
        <f>IF($D627="","",IFERROR(VLOOKUP($D627,物料档案!$A$4:$P$1203,10,0),0))</f>
        <v/>
      </c>
      <c r="P627" s="32" t="n"/>
      <c r="Q627" s="26">
        <f>IF($D627="","",IF($K627&lt;&gt;"对外销售",0,ROUND(N($J627)*IF($P627="",N($O627),N($P627)),0)))</f>
        <v/>
      </c>
      <c r="R627" s="26">
        <f>IF($D627="","",IFERROR(VLOOKUP($D627,库存台账!$A$5:$Y$1204,11,0),0))</f>
        <v/>
      </c>
      <c r="S627" s="26">
        <f>IF($D627="","",ROUND(N($J627)*N($R627),0))</f>
        <v/>
      </c>
      <c r="T627" s="26">
        <f>IF($D627="","",IF($K627&lt;&gt;"对外销售","",ROUND($Q627-$S627,0)))</f>
        <v/>
      </c>
      <c r="U627" s="17" t="n"/>
      <c r="V627" s="17" t="n"/>
      <c r="W627" s="24">
        <f>IF($D627="","",IF($E627="※编码不在物料档案里","※物料编码不在档案里",IF(N($J627)&lt;=0,"※出库数量要大于 0",IF($K627="","※没填去向类型",IF($L627="","※没填去向矿区",IF(AND($C627&lt;&gt;"",$C627&lt;=结账锁),"※日期早于已结账截止日，不能再录",IF(AND($K627="自用消耗",COUNTIF({"一矿区";"二矿区"},$L627)=0),"※自用消耗的去向只能是一矿区或二矿区",IF(AND($K627="对外销售",COUNTIF({"三矿区";"六矿区"},$L627)=0),"※对外销售的去向只能是三矿区或六矿区",IF(AND($K627="对外销售",ROUND($Q627,0)=0),"※外销却没有售价，请填实际售价",IF(AND($K627="对外销售",$T627&lt;&gt;"",$T627&lt;0),"※这一笔外销是亏的，请核对售价",IF(IFERROR(VLOOKUP($D627,库存台账!$A$5:$Y$1204,24,0),0)&lt;-0.001,"※这个物料账面已经变成负数了，查一下是不是漏记入库","")))))))))))</f>
        <v/>
      </c>
    </row>
    <row r="628">
      <c r="A628" s="24">
        <f>IF($D628="","",COUNTA($D$4:$D628))</f>
        <v/>
      </c>
      <c r="B628" s="17" t="n"/>
      <c r="C628" s="30" t="n"/>
      <c r="D628" s="17" t="n"/>
      <c r="E628" s="24">
        <f>IF($D628="","",IFERROR(VLOOKUP($D628,物料档案!$A$4:$P$1203,3,0),"※编码不在物料档案里"))</f>
        <v/>
      </c>
      <c r="F628" s="24">
        <f>IF($D628="","",IFERROR(VLOOKUP($D628,物料档案!$A$4:$P$1203,4,0),"※编码不在物料档案里"))</f>
        <v/>
      </c>
      <c r="G628" s="24">
        <f>IF($D628="","",IFERROR(VLOOKUP($D628,物料档案!$A$4:$P$1203,5,0),"※编码不在物料档案里"))</f>
        <v/>
      </c>
      <c r="H628" s="24">
        <f>IF($D628="","",IFERROR(VLOOKUP($D628,物料档案!$A$4:$P$1203,2,0),"※编码不在物料档案里"))</f>
        <v/>
      </c>
      <c r="I628" s="24">
        <f>IF($D628="","",IFERROR(VLOOKUP($D628,物料档案!$A$4:$P$1203,6,0),"※编码不在物料档案里"))</f>
        <v/>
      </c>
      <c r="J628" s="23" t="n"/>
      <c r="K628" s="17" t="n"/>
      <c r="L628" s="17" t="n"/>
      <c r="M628" s="17" t="n"/>
      <c r="N628" s="17" t="n"/>
      <c r="O628" s="26">
        <f>IF($D628="","",IFERROR(VLOOKUP($D628,物料档案!$A$4:$P$1203,10,0),0))</f>
        <v/>
      </c>
      <c r="P628" s="32" t="n"/>
      <c r="Q628" s="26">
        <f>IF($D628="","",IF($K628&lt;&gt;"对外销售",0,ROUND(N($J628)*IF($P628="",N($O628),N($P628)),0)))</f>
        <v/>
      </c>
      <c r="R628" s="26">
        <f>IF($D628="","",IFERROR(VLOOKUP($D628,库存台账!$A$5:$Y$1204,11,0),0))</f>
        <v/>
      </c>
      <c r="S628" s="26">
        <f>IF($D628="","",ROUND(N($J628)*N($R628),0))</f>
        <v/>
      </c>
      <c r="T628" s="26">
        <f>IF($D628="","",IF($K628&lt;&gt;"对外销售","",ROUND($Q628-$S628,0)))</f>
        <v/>
      </c>
      <c r="U628" s="17" t="n"/>
      <c r="V628" s="17" t="n"/>
      <c r="W628" s="24">
        <f>IF($D628="","",IF($E628="※编码不在物料档案里","※物料编码不在档案里",IF(N($J628)&lt;=0,"※出库数量要大于 0",IF($K628="","※没填去向类型",IF($L628="","※没填去向矿区",IF(AND($C628&lt;&gt;"",$C628&lt;=结账锁),"※日期早于已结账截止日，不能再录",IF(AND($K628="自用消耗",COUNTIF({"一矿区";"二矿区"},$L628)=0),"※自用消耗的去向只能是一矿区或二矿区",IF(AND($K628="对外销售",COUNTIF({"三矿区";"六矿区"},$L628)=0),"※对外销售的去向只能是三矿区或六矿区",IF(AND($K628="对外销售",ROUND($Q628,0)=0),"※外销却没有售价，请填实际售价",IF(AND($K628="对外销售",$T628&lt;&gt;"",$T628&lt;0),"※这一笔外销是亏的，请核对售价",IF(IFERROR(VLOOKUP($D628,库存台账!$A$5:$Y$1204,24,0),0)&lt;-0.001,"※这个物料账面已经变成负数了，查一下是不是漏记入库","")))))))))))</f>
        <v/>
      </c>
    </row>
    <row r="629">
      <c r="A629" s="24">
        <f>IF($D629="","",COUNTA($D$4:$D629))</f>
        <v/>
      </c>
      <c r="B629" s="17" t="n"/>
      <c r="C629" s="30" t="n"/>
      <c r="D629" s="17" t="n"/>
      <c r="E629" s="24">
        <f>IF($D629="","",IFERROR(VLOOKUP($D629,物料档案!$A$4:$P$1203,3,0),"※编码不在物料档案里"))</f>
        <v/>
      </c>
      <c r="F629" s="24">
        <f>IF($D629="","",IFERROR(VLOOKUP($D629,物料档案!$A$4:$P$1203,4,0),"※编码不在物料档案里"))</f>
        <v/>
      </c>
      <c r="G629" s="24">
        <f>IF($D629="","",IFERROR(VLOOKUP($D629,物料档案!$A$4:$P$1203,5,0),"※编码不在物料档案里"))</f>
        <v/>
      </c>
      <c r="H629" s="24">
        <f>IF($D629="","",IFERROR(VLOOKUP($D629,物料档案!$A$4:$P$1203,2,0),"※编码不在物料档案里"))</f>
        <v/>
      </c>
      <c r="I629" s="24">
        <f>IF($D629="","",IFERROR(VLOOKUP($D629,物料档案!$A$4:$P$1203,6,0),"※编码不在物料档案里"))</f>
        <v/>
      </c>
      <c r="J629" s="23" t="n"/>
      <c r="K629" s="17" t="n"/>
      <c r="L629" s="17" t="n"/>
      <c r="M629" s="17" t="n"/>
      <c r="N629" s="17" t="n"/>
      <c r="O629" s="26">
        <f>IF($D629="","",IFERROR(VLOOKUP($D629,物料档案!$A$4:$P$1203,10,0),0))</f>
        <v/>
      </c>
      <c r="P629" s="32" t="n"/>
      <c r="Q629" s="26">
        <f>IF($D629="","",IF($K629&lt;&gt;"对外销售",0,ROUND(N($J629)*IF($P629="",N($O629),N($P629)),0)))</f>
        <v/>
      </c>
      <c r="R629" s="26">
        <f>IF($D629="","",IFERROR(VLOOKUP($D629,库存台账!$A$5:$Y$1204,11,0),0))</f>
        <v/>
      </c>
      <c r="S629" s="26">
        <f>IF($D629="","",ROUND(N($J629)*N($R629),0))</f>
        <v/>
      </c>
      <c r="T629" s="26">
        <f>IF($D629="","",IF($K629&lt;&gt;"对外销售","",ROUND($Q629-$S629,0)))</f>
        <v/>
      </c>
      <c r="U629" s="17" t="n"/>
      <c r="V629" s="17" t="n"/>
      <c r="W629" s="24">
        <f>IF($D629="","",IF($E629="※编码不在物料档案里","※物料编码不在档案里",IF(N($J629)&lt;=0,"※出库数量要大于 0",IF($K629="","※没填去向类型",IF($L629="","※没填去向矿区",IF(AND($C629&lt;&gt;"",$C629&lt;=结账锁),"※日期早于已结账截止日，不能再录",IF(AND($K629="自用消耗",COUNTIF({"一矿区";"二矿区"},$L629)=0),"※自用消耗的去向只能是一矿区或二矿区",IF(AND($K629="对外销售",COUNTIF({"三矿区";"六矿区"},$L629)=0),"※对外销售的去向只能是三矿区或六矿区",IF(AND($K629="对外销售",ROUND($Q629,0)=0),"※外销却没有售价，请填实际售价",IF(AND($K629="对外销售",$T629&lt;&gt;"",$T629&lt;0),"※这一笔外销是亏的，请核对售价",IF(IFERROR(VLOOKUP($D629,库存台账!$A$5:$Y$1204,24,0),0)&lt;-0.001,"※这个物料账面已经变成负数了，查一下是不是漏记入库","")))))))))))</f>
        <v/>
      </c>
    </row>
    <row r="630">
      <c r="A630" s="24">
        <f>IF($D630="","",COUNTA($D$4:$D630))</f>
        <v/>
      </c>
      <c r="B630" s="17" t="n"/>
      <c r="C630" s="30" t="n"/>
      <c r="D630" s="17" t="n"/>
      <c r="E630" s="24">
        <f>IF($D630="","",IFERROR(VLOOKUP($D630,物料档案!$A$4:$P$1203,3,0),"※编码不在物料档案里"))</f>
        <v/>
      </c>
      <c r="F630" s="24">
        <f>IF($D630="","",IFERROR(VLOOKUP($D630,物料档案!$A$4:$P$1203,4,0),"※编码不在物料档案里"))</f>
        <v/>
      </c>
      <c r="G630" s="24">
        <f>IF($D630="","",IFERROR(VLOOKUP($D630,物料档案!$A$4:$P$1203,5,0),"※编码不在物料档案里"))</f>
        <v/>
      </c>
      <c r="H630" s="24">
        <f>IF($D630="","",IFERROR(VLOOKUP($D630,物料档案!$A$4:$P$1203,2,0),"※编码不在物料档案里"))</f>
        <v/>
      </c>
      <c r="I630" s="24">
        <f>IF($D630="","",IFERROR(VLOOKUP($D630,物料档案!$A$4:$P$1203,6,0),"※编码不在物料档案里"))</f>
        <v/>
      </c>
      <c r="J630" s="23" t="n"/>
      <c r="K630" s="17" t="n"/>
      <c r="L630" s="17" t="n"/>
      <c r="M630" s="17" t="n"/>
      <c r="N630" s="17" t="n"/>
      <c r="O630" s="26">
        <f>IF($D630="","",IFERROR(VLOOKUP($D630,物料档案!$A$4:$P$1203,10,0),0))</f>
        <v/>
      </c>
      <c r="P630" s="32" t="n"/>
      <c r="Q630" s="26">
        <f>IF($D630="","",IF($K630&lt;&gt;"对外销售",0,ROUND(N($J630)*IF($P630="",N($O630),N($P630)),0)))</f>
        <v/>
      </c>
      <c r="R630" s="26">
        <f>IF($D630="","",IFERROR(VLOOKUP($D630,库存台账!$A$5:$Y$1204,11,0),0))</f>
        <v/>
      </c>
      <c r="S630" s="26">
        <f>IF($D630="","",ROUND(N($J630)*N($R630),0))</f>
        <v/>
      </c>
      <c r="T630" s="26">
        <f>IF($D630="","",IF($K630&lt;&gt;"对外销售","",ROUND($Q630-$S630,0)))</f>
        <v/>
      </c>
      <c r="U630" s="17" t="n"/>
      <c r="V630" s="17" t="n"/>
      <c r="W630" s="24">
        <f>IF($D630="","",IF($E630="※编码不在物料档案里","※物料编码不在档案里",IF(N($J630)&lt;=0,"※出库数量要大于 0",IF($K630="","※没填去向类型",IF($L630="","※没填去向矿区",IF(AND($C630&lt;&gt;"",$C630&lt;=结账锁),"※日期早于已结账截止日，不能再录",IF(AND($K630="自用消耗",COUNTIF({"一矿区";"二矿区"},$L630)=0),"※自用消耗的去向只能是一矿区或二矿区",IF(AND($K630="对外销售",COUNTIF({"三矿区";"六矿区"},$L630)=0),"※对外销售的去向只能是三矿区或六矿区",IF(AND($K630="对外销售",ROUND($Q630,0)=0),"※外销却没有售价，请填实际售价",IF(AND($K630="对外销售",$T630&lt;&gt;"",$T630&lt;0),"※这一笔外销是亏的，请核对售价",IF(IFERROR(VLOOKUP($D630,库存台账!$A$5:$Y$1204,24,0),0)&lt;-0.001,"※这个物料账面已经变成负数了，查一下是不是漏记入库","")))))))))))</f>
        <v/>
      </c>
    </row>
    <row r="631">
      <c r="A631" s="24">
        <f>IF($D631="","",COUNTA($D$4:$D631))</f>
        <v/>
      </c>
      <c r="B631" s="17" t="n"/>
      <c r="C631" s="30" t="n"/>
      <c r="D631" s="17" t="n"/>
      <c r="E631" s="24">
        <f>IF($D631="","",IFERROR(VLOOKUP($D631,物料档案!$A$4:$P$1203,3,0),"※编码不在物料档案里"))</f>
        <v/>
      </c>
      <c r="F631" s="24">
        <f>IF($D631="","",IFERROR(VLOOKUP($D631,物料档案!$A$4:$P$1203,4,0),"※编码不在物料档案里"))</f>
        <v/>
      </c>
      <c r="G631" s="24">
        <f>IF($D631="","",IFERROR(VLOOKUP($D631,物料档案!$A$4:$P$1203,5,0),"※编码不在物料档案里"))</f>
        <v/>
      </c>
      <c r="H631" s="24">
        <f>IF($D631="","",IFERROR(VLOOKUP($D631,物料档案!$A$4:$P$1203,2,0),"※编码不在物料档案里"))</f>
        <v/>
      </c>
      <c r="I631" s="24">
        <f>IF($D631="","",IFERROR(VLOOKUP($D631,物料档案!$A$4:$P$1203,6,0),"※编码不在物料档案里"))</f>
        <v/>
      </c>
      <c r="J631" s="23" t="n"/>
      <c r="K631" s="17" t="n"/>
      <c r="L631" s="17" t="n"/>
      <c r="M631" s="17" t="n"/>
      <c r="N631" s="17" t="n"/>
      <c r="O631" s="26">
        <f>IF($D631="","",IFERROR(VLOOKUP($D631,物料档案!$A$4:$P$1203,10,0),0))</f>
        <v/>
      </c>
      <c r="P631" s="32" t="n"/>
      <c r="Q631" s="26">
        <f>IF($D631="","",IF($K631&lt;&gt;"对外销售",0,ROUND(N($J631)*IF($P631="",N($O631),N($P631)),0)))</f>
        <v/>
      </c>
      <c r="R631" s="26">
        <f>IF($D631="","",IFERROR(VLOOKUP($D631,库存台账!$A$5:$Y$1204,11,0),0))</f>
        <v/>
      </c>
      <c r="S631" s="26">
        <f>IF($D631="","",ROUND(N($J631)*N($R631),0))</f>
        <v/>
      </c>
      <c r="T631" s="26">
        <f>IF($D631="","",IF($K631&lt;&gt;"对外销售","",ROUND($Q631-$S631,0)))</f>
        <v/>
      </c>
      <c r="U631" s="17" t="n"/>
      <c r="V631" s="17" t="n"/>
      <c r="W631" s="24">
        <f>IF($D631="","",IF($E631="※编码不在物料档案里","※物料编码不在档案里",IF(N($J631)&lt;=0,"※出库数量要大于 0",IF($K631="","※没填去向类型",IF($L631="","※没填去向矿区",IF(AND($C631&lt;&gt;"",$C631&lt;=结账锁),"※日期早于已结账截止日，不能再录",IF(AND($K631="自用消耗",COUNTIF({"一矿区";"二矿区"},$L631)=0),"※自用消耗的去向只能是一矿区或二矿区",IF(AND($K631="对外销售",COUNTIF({"三矿区";"六矿区"},$L631)=0),"※对外销售的去向只能是三矿区或六矿区",IF(AND($K631="对外销售",ROUND($Q631,0)=0),"※外销却没有售价，请填实际售价",IF(AND($K631="对外销售",$T631&lt;&gt;"",$T631&lt;0),"※这一笔外销是亏的，请核对售价",IF(IFERROR(VLOOKUP($D631,库存台账!$A$5:$Y$1204,24,0),0)&lt;-0.001,"※这个物料账面已经变成负数了，查一下是不是漏记入库","")))))))))))</f>
        <v/>
      </c>
    </row>
    <row r="632">
      <c r="A632" s="24">
        <f>IF($D632="","",COUNTA($D$4:$D632))</f>
        <v/>
      </c>
      <c r="B632" s="17" t="n"/>
      <c r="C632" s="30" t="n"/>
      <c r="D632" s="17" t="n"/>
      <c r="E632" s="24">
        <f>IF($D632="","",IFERROR(VLOOKUP($D632,物料档案!$A$4:$P$1203,3,0),"※编码不在物料档案里"))</f>
        <v/>
      </c>
      <c r="F632" s="24">
        <f>IF($D632="","",IFERROR(VLOOKUP($D632,物料档案!$A$4:$P$1203,4,0),"※编码不在物料档案里"))</f>
        <v/>
      </c>
      <c r="G632" s="24">
        <f>IF($D632="","",IFERROR(VLOOKUP($D632,物料档案!$A$4:$P$1203,5,0),"※编码不在物料档案里"))</f>
        <v/>
      </c>
      <c r="H632" s="24">
        <f>IF($D632="","",IFERROR(VLOOKUP($D632,物料档案!$A$4:$P$1203,2,0),"※编码不在物料档案里"))</f>
        <v/>
      </c>
      <c r="I632" s="24">
        <f>IF($D632="","",IFERROR(VLOOKUP($D632,物料档案!$A$4:$P$1203,6,0),"※编码不在物料档案里"))</f>
        <v/>
      </c>
      <c r="J632" s="23" t="n"/>
      <c r="K632" s="17" t="n"/>
      <c r="L632" s="17" t="n"/>
      <c r="M632" s="17" t="n"/>
      <c r="N632" s="17" t="n"/>
      <c r="O632" s="26">
        <f>IF($D632="","",IFERROR(VLOOKUP($D632,物料档案!$A$4:$P$1203,10,0),0))</f>
        <v/>
      </c>
      <c r="P632" s="32" t="n"/>
      <c r="Q632" s="26">
        <f>IF($D632="","",IF($K632&lt;&gt;"对外销售",0,ROUND(N($J632)*IF($P632="",N($O632),N($P632)),0)))</f>
        <v/>
      </c>
      <c r="R632" s="26">
        <f>IF($D632="","",IFERROR(VLOOKUP($D632,库存台账!$A$5:$Y$1204,11,0),0))</f>
        <v/>
      </c>
      <c r="S632" s="26">
        <f>IF($D632="","",ROUND(N($J632)*N($R632),0))</f>
        <v/>
      </c>
      <c r="T632" s="26">
        <f>IF($D632="","",IF($K632&lt;&gt;"对外销售","",ROUND($Q632-$S632,0)))</f>
        <v/>
      </c>
      <c r="U632" s="17" t="n"/>
      <c r="V632" s="17" t="n"/>
      <c r="W632" s="24">
        <f>IF($D632="","",IF($E632="※编码不在物料档案里","※物料编码不在档案里",IF(N($J632)&lt;=0,"※出库数量要大于 0",IF($K632="","※没填去向类型",IF($L632="","※没填去向矿区",IF(AND($C632&lt;&gt;"",$C632&lt;=结账锁),"※日期早于已结账截止日，不能再录",IF(AND($K632="自用消耗",COUNTIF({"一矿区";"二矿区"},$L632)=0),"※自用消耗的去向只能是一矿区或二矿区",IF(AND($K632="对外销售",COUNTIF({"三矿区";"六矿区"},$L632)=0),"※对外销售的去向只能是三矿区或六矿区",IF(AND($K632="对外销售",ROUND($Q632,0)=0),"※外销却没有售价，请填实际售价",IF(AND($K632="对外销售",$T632&lt;&gt;"",$T632&lt;0),"※这一笔外销是亏的，请核对售价",IF(IFERROR(VLOOKUP($D632,库存台账!$A$5:$Y$1204,24,0),0)&lt;-0.001,"※这个物料账面已经变成负数了，查一下是不是漏记入库","")))))))))))</f>
        <v/>
      </c>
    </row>
    <row r="633">
      <c r="A633" s="24">
        <f>IF($D633="","",COUNTA($D$4:$D633))</f>
        <v/>
      </c>
      <c r="B633" s="17" t="n"/>
      <c r="C633" s="30" t="n"/>
      <c r="D633" s="17" t="n"/>
      <c r="E633" s="24">
        <f>IF($D633="","",IFERROR(VLOOKUP($D633,物料档案!$A$4:$P$1203,3,0),"※编码不在物料档案里"))</f>
        <v/>
      </c>
      <c r="F633" s="24">
        <f>IF($D633="","",IFERROR(VLOOKUP($D633,物料档案!$A$4:$P$1203,4,0),"※编码不在物料档案里"))</f>
        <v/>
      </c>
      <c r="G633" s="24">
        <f>IF($D633="","",IFERROR(VLOOKUP($D633,物料档案!$A$4:$P$1203,5,0),"※编码不在物料档案里"))</f>
        <v/>
      </c>
      <c r="H633" s="24">
        <f>IF($D633="","",IFERROR(VLOOKUP($D633,物料档案!$A$4:$P$1203,2,0),"※编码不在物料档案里"))</f>
        <v/>
      </c>
      <c r="I633" s="24">
        <f>IF($D633="","",IFERROR(VLOOKUP($D633,物料档案!$A$4:$P$1203,6,0),"※编码不在物料档案里"))</f>
        <v/>
      </c>
      <c r="J633" s="23" t="n"/>
      <c r="K633" s="17" t="n"/>
      <c r="L633" s="17" t="n"/>
      <c r="M633" s="17" t="n"/>
      <c r="N633" s="17" t="n"/>
      <c r="O633" s="26">
        <f>IF($D633="","",IFERROR(VLOOKUP($D633,物料档案!$A$4:$P$1203,10,0),0))</f>
        <v/>
      </c>
      <c r="P633" s="32" t="n"/>
      <c r="Q633" s="26">
        <f>IF($D633="","",IF($K633&lt;&gt;"对外销售",0,ROUND(N($J633)*IF($P633="",N($O633),N($P633)),0)))</f>
        <v/>
      </c>
      <c r="R633" s="26">
        <f>IF($D633="","",IFERROR(VLOOKUP($D633,库存台账!$A$5:$Y$1204,11,0),0))</f>
        <v/>
      </c>
      <c r="S633" s="26">
        <f>IF($D633="","",ROUND(N($J633)*N($R633),0))</f>
        <v/>
      </c>
      <c r="T633" s="26">
        <f>IF($D633="","",IF($K633&lt;&gt;"对外销售","",ROUND($Q633-$S633,0)))</f>
        <v/>
      </c>
      <c r="U633" s="17" t="n"/>
      <c r="V633" s="17" t="n"/>
      <c r="W633" s="24">
        <f>IF($D633="","",IF($E633="※编码不在物料档案里","※物料编码不在档案里",IF(N($J633)&lt;=0,"※出库数量要大于 0",IF($K633="","※没填去向类型",IF($L633="","※没填去向矿区",IF(AND($C633&lt;&gt;"",$C633&lt;=结账锁),"※日期早于已结账截止日，不能再录",IF(AND($K633="自用消耗",COUNTIF({"一矿区";"二矿区"},$L633)=0),"※自用消耗的去向只能是一矿区或二矿区",IF(AND($K633="对外销售",COUNTIF({"三矿区";"六矿区"},$L633)=0),"※对外销售的去向只能是三矿区或六矿区",IF(AND($K633="对外销售",ROUND($Q633,0)=0),"※外销却没有售价，请填实际售价",IF(AND($K633="对外销售",$T633&lt;&gt;"",$T633&lt;0),"※这一笔外销是亏的，请核对售价",IF(IFERROR(VLOOKUP($D633,库存台账!$A$5:$Y$1204,24,0),0)&lt;-0.001,"※这个物料账面已经变成负数了，查一下是不是漏记入库","")))))))))))</f>
        <v/>
      </c>
    </row>
    <row r="634">
      <c r="A634" s="24">
        <f>IF($D634="","",COUNTA($D$4:$D634))</f>
        <v/>
      </c>
      <c r="B634" s="17" t="n"/>
      <c r="C634" s="30" t="n"/>
      <c r="D634" s="17" t="n"/>
      <c r="E634" s="24">
        <f>IF($D634="","",IFERROR(VLOOKUP($D634,物料档案!$A$4:$P$1203,3,0),"※编码不在物料档案里"))</f>
        <v/>
      </c>
      <c r="F634" s="24">
        <f>IF($D634="","",IFERROR(VLOOKUP($D634,物料档案!$A$4:$P$1203,4,0),"※编码不在物料档案里"))</f>
        <v/>
      </c>
      <c r="G634" s="24">
        <f>IF($D634="","",IFERROR(VLOOKUP($D634,物料档案!$A$4:$P$1203,5,0),"※编码不在物料档案里"))</f>
        <v/>
      </c>
      <c r="H634" s="24">
        <f>IF($D634="","",IFERROR(VLOOKUP($D634,物料档案!$A$4:$P$1203,2,0),"※编码不在物料档案里"))</f>
        <v/>
      </c>
      <c r="I634" s="24">
        <f>IF($D634="","",IFERROR(VLOOKUP($D634,物料档案!$A$4:$P$1203,6,0),"※编码不在物料档案里"))</f>
        <v/>
      </c>
      <c r="J634" s="23" t="n"/>
      <c r="K634" s="17" t="n"/>
      <c r="L634" s="17" t="n"/>
      <c r="M634" s="17" t="n"/>
      <c r="N634" s="17" t="n"/>
      <c r="O634" s="26">
        <f>IF($D634="","",IFERROR(VLOOKUP($D634,物料档案!$A$4:$P$1203,10,0),0))</f>
        <v/>
      </c>
      <c r="P634" s="32" t="n"/>
      <c r="Q634" s="26">
        <f>IF($D634="","",IF($K634&lt;&gt;"对外销售",0,ROUND(N($J634)*IF($P634="",N($O634),N($P634)),0)))</f>
        <v/>
      </c>
      <c r="R634" s="26">
        <f>IF($D634="","",IFERROR(VLOOKUP($D634,库存台账!$A$5:$Y$1204,11,0),0))</f>
        <v/>
      </c>
      <c r="S634" s="26">
        <f>IF($D634="","",ROUND(N($J634)*N($R634),0))</f>
        <v/>
      </c>
      <c r="T634" s="26">
        <f>IF($D634="","",IF($K634&lt;&gt;"对外销售","",ROUND($Q634-$S634,0)))</f>
        <v/>
      </c>
      <c r="U634" s="17" t="n"/>
      <c r="V634" s="17" t="n"/>
      <c r="W634" s="24">
        <f>IF($D634="","",IF($E634="※编码不在物料档案里","※物料编码不在档案里",IF(N($J634)&lt;=0,"※出库数量要大于 0",IF($K634="","※没填去向类型",IF($L634="","※没填去向矿区",IF(AND($C634&lt;&gt;"",$C634&lt;=结账锁),"※日期早于已结账截止日，不能再录",IF(AND($K634="自用消耗",COUNTIF({"一矿区";"二矿区"},$L634)=0),"※自用消耗的去向只能是一矿区或二矿区",IF(AND($K634="对外销售",COUNTIF({"三矿区";"六矿区"},$L634)=0),"※对外销售的去向只能是三矿区或六矿区",IF(AND($K634="对外销售",ROUND($Q634,0)=0),"※外销却没有售价，请填实际售价",IF(AND($K634="对外销售",$T634&lt;&gt;"",$T634&lt;0),"※这一笔外销是亏的，请核对售价",IF(IFERROR(VLOOKUP($D634,库存台账!$A$5:$Y$1204,24,0),0)&lt;-0.001,"※这个物料账面已经变成负数了，查一下是不是漏记入库","")))))))))))</f>
        <v/>
      </c>
    </row>
    <row r="635">
      <c r="A635" s="24">
        <f>IF($D635="","",COUNTA($D$4:$D635))</f>
        <v/>
      </c>
      <c r="B635" s="17" t="n"/>
      <c r="C635" s="30" t="n"/>
      <c r="D635" s="17" t="n"/>
      <c r="E635" s="24">
        <f>IF($D635="","",IFERROR(VLOOKUP($D635,物料档案!$A$4:$P$1203,3,0),"※编码不在物料档案里"))</f>
        <v/>
      </c>
      <c r="F635" s="24">
        <f>IF($D635="","",IFERROR(VLOOKUP($D635,物料档案!$A$4:$P$1203,4,0),"※编码不在物料档案里"))</f>
        <v/>
      </c>
      <c r="G635" s="24">
        <f>IF($D635="","",IFERROR(VLOOKUP($D635,物料档案!$A$4:$P$1203,5,0),"※编码不在物料档案里"))</f>
        <v/>
      </c>
      <c r="H635" s="24">
        <f>IF($D635="","",IFERROR(VLOOKUP($D635,物料档案!$A$4:$P$1203,2,0),"※编码不在物料档案里"))</f>
        <v/>
      </c>
      <c r="I635" s="24">
        <f>IF($D635="","",IFERROR(VLOOKUP($D635,物料档案!$A$4:$P$1203,6,0),"※编码不在物料档案里"))</f>
        <v/>
      </c>
      <c r="J635" s="23" t="n"/>
      <c r="K635" s="17" t="n"/>
      <c r="L635" s="17" t="n"/>
      <c r="M635" s="17" t="n"/>
      <c r="N635" s="17" t="n"/>
      <c r="O635" s="26">
        <f>IF($D635="","",IFERROR(VLOOKUP($D635,物料档案!$A$4:$P$1203,10,0),0))</f>
        <v/>
      </c>
      <c r="P635" s="32" t="n"/>
      <c r="Q635" s="26">
        <f>IF($D635="","",IF($K635&lt;&gt;"对外销售",0,ROUND(N($J635)*IF($P635="",N($O635),N($P635)),0)))</f>
        <v/>
      </c>
      <c r="R635" s="26">
        <f>IF($D635="","",IFERROR(VLOOKUP($D635,库存台账!$A$5:$Y$1204,11,0),0))</f>
        <v/>
      </c>
      <c r="S635" s="26">
        <f>IF($D635="","",ROUND(N($J635)*N($R635),0))</f>
        <v/>
      </c>
      <c r="T635" s="26">
        <f>IF($D635="","",IF($K635&lt;&gt;"对外销售","",ROUND($Q635-$S635,0)))</f>
        <v/>
      </c>
      <c r="U635" s="17" t="n"/>
      <c r="V635" s="17" t="n"/>
      <c r="W635" s="24">
        <f>IF($D635="","",IF($E635="※编码不在物料档案里","※物料编码不在档案里",IF(N($J635)&lt;=0,"※出库数量要大于 0",IF($K635="","※没填去向类型",IF($L635="","※没填去向矿区",IF(AND($C635&lt;&gt;"",$C635&lt;=结账锁),"※日期早于已结账截止日，不能再录",IF(AND($K635="自用消耗",COUNTIF({"一矿区";"二矿区"},$L635)=0),"※自用消耗的去向只能是一矿区或二矿区",IF(AND($K635="对外销售",COUNTIF({"三矿区";"六矿区"},$L635)=0),"※对外销售的去向只能是三矿区或六矿区",IF(AND($K635="对外销售",ROUND($Q635,0)=0),"※外销却没有售价，请填实际售价",IF(AND($K635="对外销售",$T635&lt;&gt;"",$T635&lt;0),"※这一笔外销是亏的，请核对售价",IF(IFERROR(VLOOKUP($D635,库存台账!$A$5:$Y$1204,24,0),0)&lt;-0.001,"※这个物料账面已经变成负数了，查一下是不是漏记入库","")))))))))))</f>
        <v/>
      </c>
    </row>
    <row r="636">
      <c r="A636" s="24">
        <f>IF($D636="","",COUNTA($D$4:$D636))</f>
        <v/>
      </c>
      <c r="B636" s="17" t="n"/>
      <c r="C636" s="30" t="n"/>
      <c r="D636" s="17" t="n"/>
      <c r="E636" s="24">
        <f>IF($D636="","",IFERROR(VLOOKUP($D636,物料档案!$A$4:$P$1203,3,0),"※编码不在物料档案里"))</f>
        <v/>
      </c>
      <c r="F636" s="24">
        <f>IF($D636="","",IFERROR(VLOOKUP($D636,物料档案!$A$4:$P$1203,4,0),"※编码不在物料档案里"))</f>
        <v/>
      </c>
      <c r="G636" s="24">
        <f>IF($D636="","",IFERROR(VLOOKUP($D636,物料档案!$A$4:$P$1203,5,0),"※编码不在物料档案里"))</f>
        <v/>
      </c>
      <c r="H636" s="24">
        <f>IF($D636="","",IFERROR(VLOOKUP($D636,物料档案!$A$4:$P$1203,2,0),"※编码不在物料档案里"))</f>
        <v/>
      </c>
      <c r="I636" s="24">
        <f>IF($D636="","",IFERROR(VLOOKUP($D636,物料档案!$A$4:$P$1203,6,0),"※编码不在物料档案里"))</f>
        <v/>
      </c>
      <c r="J636" s="23" t="n"/>
      <c r="K636" s="17" t="n"/>
      <c r="L636" s="17" t="n"/>
      <c r="M636" s="17" t="n"/>
      <c r="N636" s="17" t="n"/>
      <c r="O636" s="26">
        <f>IF($D636="","",IFERROR(VLOOKUP($D636,物料档案!$A$4:$P$1203,10,0),0))</f>
        <v/>
      </c>
      <c r="P636" s="32" t="n"/>
      <c r="Q636" s="26">
        <f>IF($D636="","",IF($K636&lt;&gt;"对外销售",0,ROUND(N($J636)*IF($P636="",N($O636),N($P636)),0)))</f>
        <v/>
      </c>
      <c r="R636" s="26">
        <f>IF($D636="","",IFERROR(VLOOKUP($D636,库存台账!$A$5:$Y$1204,11,0),0))</f>
        <v/>
      </c>
      <c r="S636" s="26">
        <f>IF($D636="","",ROUND(N($J636)*N($R636),0))</f>
        <v/>
      </c>
      <c r="T636" s="26">
        <f>IF($D636="","",IF($K636&lt;&gt;"对外销售","",ROUND($Q636-$S636,0)))</f>
        <v/>
      </c>
      <c r="U636" s="17" t="n"/>
      <c r="V636" s="17" t="n"/>
      <c r="W636" s="24">
        <f>IF($D636="","",IF($E636="※编码不在物料档案里","※物料编码不在档案里",IF(N($J636)&lt;=0,"※出库数量要大于 0",IF($K636="","※没填去向类型",IF($L636="","※没填去向矿区",IF(AND($C636&lt;&gt;"",$C636&lt;=结账锁),"※日期早于已结账截止日，不能再录",IF(AND($K636="自用消耗",COUNTIF({"一矿区";"二矿区"},$L636)=0),"※自用消耗的去向只能是一矿区或二矿区",IF(AND($K636="对外销售",COUNTIF({"三矿区";"六矿区"},$L636)=0),"※对外销售的去向只能是三矿区或六矿区",IF(AND($K636="对外销售",ROUND($Q636,0)=0),"※外销却没有售价，请填实际售价",IF(AND($K636="对外销售",$T636&lt;&gt;"",$T636&lt;0),"※这一笔外销是亏的，请核对售价",IF(IFERROR(VLOOKUP($D636,库存台账!$A$5:$Y$1204,24,0),0)&lt;-0.001,"※这个物料账面已经变成负数了，查一下是不是漏记入库","")))))))))))</f>
        <v/>
      </c>
    </row>
    <row r="637">
      <c r="A637" s="24">
        <f>IF($D637="","",COUNTA($D$4:$D637))</f>
        <v/>
      </c>
      <c r="B637" s="17" t="n"/>
      <c r="C637" s="30" t="n"/>
      <c r="D637" s="17" t="n"/>
      <c r="E637" s="24">
        <f>IF($D637="","",IFERROR(VLOOKUP($D637,物料档案!$A$4:$P$1203,3,0),"※编码不在物料档案里"))</f>
        <v/>
      </c>
      <c r="F637" s="24">
        <f>IF($D637="","",IFERROR(VLOOKUP($D637,物料档案!$A$4:$P$1203,4,0),"※编码不在物料档案里"))</f>
        <v/>
      </c>
      <c r="G637" s="24">
        <f>IF($D637="","",IFERROR(VLOOKUP($D637,物料档案!$A$4:$P$1203,5,0),"※编码不在物料档案里"))</f>
        <v/>
      </c>
      <c r="H637" s="24">
        <f>IF($D637="","",IFERROR(VLOOKUP($D637,物料档案!$A$4:$P$1203,2,0),"※编码不在物料档案里"))</f>
        <v/>
      </c>
      <c r="I637" s="24">
        <f>IF($D637="","",IFERROR(VLOOKUP($D637,物料档案!$A$4:$P$1203,6,0),"※编码不在物料档案里"))</f>
        <v/>
      </c>
      <c r="J637" s="23" t="n"/>
      <c r="K637" s="17" t="n"/>
      <c r="L637" s="17" t="n"/>
      <c r="M637" s="17" t="n"/>
      <c r="N637" s="17" t="n"/>
      <c r="O637" s="26">
        <f>IF($D637="","",IFERROR(VLOOKUP($D637,物料档案!$A$4:$P$1203,10,0),0))</f>
        <v/>
      </c>
      <c r="P637" s="32" t="n"/>
      <c r="Q637" s="26">
        <f>IF($D637="","",IF($K637&lt;&gt;"对外销售",0,ROUND(N($J637)*IF($P637="",N($O637),N($P637)),0)))</f>
        <v/>
      </c>
      <c r="R637" s="26">
        <f>IF($D637="","",IFERROR(VLOOKUP($D637,库存台账!$A$5:$Y$1204,11,0),0))</f>
        <v/>
      </c>
      <c r="S637" s="26">
        <f>IF($D637="","",ROUND(N($J637)*N($R637),0))</f>
        <v/>
      </c>
      <c r="T637" s="26">
        <f>IF($D637="","",IF($K637&lt;&gt;"对外销售","",ROUND($Q637-$S637,0)))</f>
        <v/>
      </c>
      <c r="U637" s="17" t="n"/>
      <c r="V637" s="17" t="n"/>
      <c r="W637" s="24">
        <f>IF($D637="","",IF($E637="※编码不在物料档案里","※物料编码不在档案里",IF(N($J637)&lt;=0,"※出库数量要大于 0",IF($K637="","※没填去向类型",IF($L637="","※没填去向矿区",IF(AND($C637&lt;&gt;"",$C637&lt;=结账锁),"※日期早于已结账截止日，不能再录",IF(AND($K637="自用消耗",COUNTIF({"一矿区";"二矿区"},$L637)=0),"※自用消耗的去向只能是一矿区或二矿区",IF(AND($K637="对外销售",COUNTIF({"三矿区";"六矿区"},$L637)=0),"※对外销售的去向只能是三矿区或六矿区",IF(AND($K637="对外销售",ROUND($Q637,0)=0),"※外销却没有售价，请填实际售价",IF(AND($K637="对外销售",$T637&lt;&gt;"",$T637&lt;0),"※这一笔外销是亏的，请核对售价",IF(IFERROR(VLOOKUP($D637,库存台账!$A$5:$Y$1204,24,0),0)&lt;-0.001,"※这个物料账面已经变成负数了，查一下是不是漏记入库","")))))))))))</f>
        <v/>
      </c>
    </row>
    <row r="638">
      <c r="A638" s="24">
        <f>IF($D638="","",COUNTA($D$4:$D638))</f>
        <v/>
      </c>
      <c r="B638" s="17" t="n"/>
      <c r="C638" s="30" t="n"/>
      <c r="D638" s="17" t="n"/>
      <c r="E638" s="24">
        <f>IF($D638="","",IFERROR(VLOOKUP($D638,物料档案!$A$4:$P$1203,3,0),"※编码不在物料档案里"))</f>
        <v/>
      </c>
      <c r="F638" s="24">
        <f>IF($D638="","",IFERROR(VLOOKUP($D638,物料档案!$A$4:$P$1203,4,0),"※编码不在物料档案里"))</f>
        <v/>
      </c>
      <c r="G638" s="24">
        <f>IF($D638="","",IFERROR(VLOOKUP($D638,物料档案!$A$4:$P$1203,5,0),"※编码不在物料档案里"))</f>
        <v/>
      </c>
      <c r="H638" s="24">
        <f>IF($D638="","",IFERROR(VLOOKUP($D638,物料档案!$A$4:$P$1203,2,0),"※编码不在物料档案里"))</f>
        <v/>
      </c>
      <c r="I638" s="24">
        <f>IF($D638="","",IFERROR(VLOOKUP($D638,物料档案!$A$4:$P$1203,6,0),"※编码不在物料档案里"))</f>
        <v/>
      </c>
      <c r="J638" s="23" t="n"/>
      <c r="K638" s="17" t="n"/>
      <c r="L638" s="17" t="n"/>
      <c r="M638" s="17" t="n"/>
      <c r="N638" s="17" t="n"/>
      <c r="O638" s="26">
        <f>IF($D638="","",IFERROR(VLOOKUP($D638,物料档案!$A$4:$P$1203,10,0),0))</f>
        <v/>
      </c>
      <c r="P638" s="32" t="n"/>
      <c r="Q638" s="26">
        <f>IF($D638="","",IF($K638&lt;&gt;"对外销售",0,ROUND(N($J638)*IF($P638="",N($O638),N($P638)),0)))</f>
        <v/>
      </c>
      <c r="R638" s="26">
        <f>IF($D638="","",IFERROR(VLOOKUP($D638,库存台账!$A$5:$Y$1204,11,0),0))</f>
        <v/>
      </c>
      <c r="S638" s="26">
        <f>IF($D638="","",ROUND(N($J638)*N($R638),0))</f>
        <v/>
      </c>
      <c r="T638" s="26">
        <f>IF($D638="","",IF($K638&lt;&gt;"对外销售","",ROUND($Q638-$S638,0)))</f>
        <v/>
      </c>
      <c r="U638" s="17" t="n"/>
      <c r="V638" s="17" t="n"/>
      <c r="W638" s="24">
        <f>IF($D638="","",IF($E638="※编码不在物料档案里","※物料编码不在档案里",IF(N($J638)&lt;=0,"※出库数量要大于 0",IF($K638="","※没填去向类型",IF($L638="","※没填去向矿区",IF(AND($C638&lt;&gt;"",$C638&lt;=结账锁),"※日期早于已结账截止日，不能再录",IF(AND($K638="自用消耗",COUNTIF({"一矿区";"二矿区"},$L638)=0),"※自用消耗的去向只能是一矿区或二矿区",IF(AND($K638="对外销售",COUNTIF({"三矿区";"六矿区"},$L638)=0),"※对外销售的去向只能是三矿区或六矿区",IF(AND($K638="对外销售",ROUND($Q638,0)=0),"※外销却没有售价，请填实际售价",IF(AND($K638="对外销售",$T638&lt;&gt;"",$T638&lt;0),"※这一笔外销是亏的，请核对售价",IF(IFERROR(VLOOKUP($D638,库存台账!$A$5:$Y$1204,24,0),0)&lt;-0.001,"※这个物料账面已经变成负数了，查一下是不是漏记入库","")))))))))))</f>
        <v/>
      </c>
    </row>
    <row r="639">
      <c r="A639" s="24">
        <f>IF($D639="","",COUNTA($D$4:$D639))</f>
        <v/>
      </c>
      <c r="B639" s="17" t="n"/>
      <c r="C639" s="30" t="n"/>
      <c r="D639" s="17" t="n"/>
      <c r="E639" s="24">
        <f>IF($D639="","",IFERROR(VLOOKUP($D639,物料档案!$A$4:$P$1203,3,0),"※编码不在物料档案里"))</f>
        <v/>
      </c>
      <c r="F639" s="24">
        <f>IF($D639="","",IFERROR(VLOOKUP($D639,物料档案!$A$4:$P$1203,4,0),"※编码不在物料档案里"))</f>
        <v/>
      </c>
      <c r="G639" s="24">
        <f>IF($D639="","",IFERROR(VLOOKUP($D639,物料档案!$A$4:$P$1203,5,0),"※编码不在物料档案里"))</f>
        <v/>
      </c>
      <c r="H639" s="24">
        <f>IF($D639="","",IFERROR(VLOOKUP($D639,物料档案!$A$4:$P$1203,2,0),"※编码不在物料档案里"))</f>
        <v/>
      </c>
      <c r="I639" s="24">
        <f>IF($D639="","",IFERROR(VLOOKUP($D639,物料档案!$A$4:$P$1203,6,0),"※编码不在物料档案里"))</f>
        <v/>
      </c>
      <c r="J639" s="23" t="n"/>
      <c r="K639" s="17" t="n"/>
      <c r="L639" s="17" t="n"/>
      <c r="M639" s="17" t="n"/>
      <c r="N639" s="17" t="n"/>
      <c r="O639" s="26">
        <f>IF($D639="","",IFERROR(VLOOKUP($D639,物料档案!$A$4:$P$1203,10,0),0))</f>
        <v/>
      </c>
      <c r="P639" s="32" t="n"/>
      <c r="Q639" s="26">
        <f>IF($D639="","",IF($K639&lt;&gt;"对外销售",0,ROUND(N($J639)*IF($P639="",N($O639),N($P639)),0)))</f>
        <v/>
      </c>
      <c r="R639" s="26">
        <f>IF($D639="","",IFERROR(VLOOKUP($D639,库存台账!$A$5:$Y$1204,11,0),0))</f>
        <v/>
      </c>
      <c r="S639" s="26">
        <f>IF($D639="","",ROUND(N($J639)*N($R639),0))</f>
        <v/>
      </c>
      <c r="T639" s="26">
        <f>IF($D639="","",IF($K639&lt;&gt;"对外销售","",ROUND($Q639-$S639,0)))</f>
        <v/>
      </c>
      <c r="U639" s="17" t="n"/>
      <c r="V639" s="17" t="n"/>
      <c r="W639" s="24">
        <f>IF($D639="","",IF($E639="※编码不在物料档案里","※物料编码不在档案里",IF(N($J639)&lt;=0,"※出库数量要大于 0",IF($K639="","※没填去向类型",IF($L639="","※没填去向矿区",IF(AND($C639&lt;&gt;"",$C639&lt;=结账锁),"※日期早于已结账截止日，不能再录",IF(AND($K639="自用消耗",COUNTIF({"一矿区";"二矿区"},$L639)=0),"※自用消耗的去向只能是一矿区或二矿区",IF(AND($K639="对外销售",COUNTIF({"三矿区";"六矿区"},$L639)=0),"※对外销售的去向只能是三矿区或六矿区",IF(AND($K639="对外销售",ROUND($Q639,0)=0),"※外销却没有售价，请填实际售价",IF(AND($K639="对外销售",$T639&lt;&gt;"",$T639&lt;0),"※这一笔外销是亏的，请核对售价",IF(IFERROR(VLOOKUP($D639,库存台账!$A$5:$Y$1204,24,0),0)&lt;-0.001,"※这个物料账面已经变成负数了，查一下是不是漏记入库","")))))))))))</f>
        <v/>
      </c>
    </row>
    <row r="640">
      <c r="A640" s="24">
        <f>IF($D640="","",COUNTA($D$4:$D640))</f>
        <v/>
      </c>
      <c r="B640" s="17" t="n"/>
      <c r="C640" s="30" t="n"/>
      <c r="D640" s="17" t="n"/>
      <c r="E640" s="24">
        <f>IF($D640="","",IFERROR(VLOOKUP($D640,物料档案!$A$4:$P$1203,3,0),"※编码不在物料档案里"))</f>
        <v/>
      </c>
      <c r="F640" s="24">
        <f>IF($D640="","",IFERROR(VLOOKUP($D640,物料档案!$A$4:$P$1203,4,0),"※编码不在物料档案里"))</f>
        <v/>
      </c>
      <c r="G640" s="24">
        <f>IF($D640="","",IFERROR(VLOOKUP($D640,物料档案!$A$4:$P$1203,5,0),"※编码不在物料档案里"))</f>
        <v/>
      </c>
      <c r="H640" s="24">
        <f>IF($D640="","",IFERROR(VLOOKUP($D640,物料档案!$A$4:$P$1203,2,0),"※编码不在物料档案里"))</f>
        <v/>
      </c>
      <c r="I640" s="24">
        <f>IF($D640="","",IFERROR(VLOOKUP($D640,物料档案!$A$4:$P$1203,6,0),"※编码不在物料档案里"))</f>
        <v/>
      </c>
      <c r="J640" s="23" t="n"/>
      <c r="K640" s="17" t="n"/>
      <c r="L640" s="17" t="n"/>
      <c r="M640" s="17" t="n"/>
      <c r="N640" s="17" t="n"/>
      <c r="O640" s="26">
        <f>IF($D640="","",IFERROR(VLOOKUP($D640,物料档案!$A$4:$P$1203,10,0),0))</f>
        <v/>
      </c>
      <c r="P640" s="32" t="n"/>
      <c r="Q640" s="26">
        <f>IF($D640="","",IF($K640&lt;&gt;"对外销售",0,ROUND(N($J640)*IF($P640="",N($O640),N($P640)),0)))</f>
        <v/>
      </c>
      <c r="R640" s="26">
        <f>IF($D640="","",IFERROR(VLOOKUP($D640,库存台账!$A$5:$Y$1204,11,0),0))</f>
        <v/>
      </c>
      <c r="S640" s="26">
        <f>IF($D640="","",ROUND(N($J640)*N($R640),0))</f>
        <v/>
      </c>
      <c r="T640" s="26">
        <f>IF($D640="","",IF($K640&lt;&gt;"对外销售","",ROUND($Q640-$S640,0)))</f>
        <v/>
      </c>
      <c r="U640" s="17" t="n"/>
      <c r="V640" s="17" t="n"/>
      <c r="W640" s="24">
        <f>IF($D640="","",IF($E640="※编码不在物料档案里","※物料编码不在档案里",IF(N($J640)&lt;=0,"※出库数量要大于 0",IF($K640="","※没填去向类型",IF($L640="","※没填去向矿区",IF(AND($C640&lt;&gt;"",$C640&lt;=结账锁),"※日期早于已结账截止日，不能再录",IF(AND($K640="自用消耗",COUNTIF({"一矿区";"二矿区"},$L640)=0),"※自用消耗的去向只能是一矿区或二矿区",IF(AND($K640="对外销售",COUNTIF({"三矿区";"六矿区"},$L640)=0),"※对外销售的去向只能是三矿区或六矿区",IF(AND($K640="对外销售",ROUND($Q640,0)=0),"※外销却没有售价，请填实际售价",IF(AND($K640="对外销售",$T640&lt;&gt;"",$T640&lt;0),"※这一笔外销是亏的，请核对售价",IF(IFERROR(VLOOKUP($D640,库存台账!$A$5:$Y$1204,24,0),0)&lt;-0.001,"※这个物料账面已经变成负数了，查一下是不是漏记入库","")))))))))))</f>
        <v/>
      </c>
    </row>
    <row r="641">
      <c r="A641" s="24">
        <f>IF($D641="","",COUNTA($D$4:$D641))</f>
        <v/>
      </c>
      <c r="B641" s="17" t="n"/>
      <c r="C641" s="30" t="n"/>
      <c r="D641" s="17" t="n"/>
      <c r="E641" s="24">
        <f>IF($D641="","",IFERROR(VLOOKUP($D641,物料档案!$A$4:$P$1203,3,0),"※编码不在物料档案里"))</f>
        <v/>
      </c>
      <c r="F641" s="24">
        <f>IF($D641="","",IFERROR(VLOOKUP($D641,物料档案!$A$4:$P$1203,4,0),"※编码不在物料档案里"))</f>
        <v/>
      </c>
      <c r="G641" s="24">
        <f>IF($D641="","",IFERROR(VLOOKUP($D641,物料档案!$A$4:$P$1203,5,0),"※编码不在物料档案里"))</f>
        <v/>
      </c>
      <c r="H641" s="24">
        <f>IF($D641="","",IFERROR(VLOOKUP($D641,物料档案!$A$4:$P$1203,2,0),"※编码不在物料档案里"))</f>
        <v/>
      </c>
      <c r="I641" s="24">
        <f>IF($D641="","",IFERROR(VLOOKUP($D641,物料档案!$A$4:$P$1203,6,0),"※编码不在物料档案里"))</f>
        <v/>
      </c>
      <c r="J641" s="23" t="n"/>
      <c r="K641" s="17" t="n"/>
      <c r="L641" s="17" t="n"/>
      <c r="M641" s="17" t="n"/>
      <c r="N641" s="17" t="n"/>
      <c r="O641" s="26">
        <f>IF($D641="","",IFERROR(VLOOKUP($D641,物料档案!$A$4:$P$1203,10,0),0))</f>
        <v/>
      </c>
      <c r="P641" s="32" t="n"/>
      <c r="Q641" s="26">
        <f>IF($D641="","",IF($K641&lt;&gt;"对外销售",0,ROUND(N($J641)*IF($P641="",N($O641),N($P641)),0)))</f>
        <v/>
      </c>
      <c r="R641" s="26">
        <f>IF($D641="","",IFERROR(VLOOKUP($D641,库存台账!$A$5:$Y$1204,11,0),0))</f>
        <v/>
      </c>
      <c r="S641" s="26">
        <f>IF($D641="","",ROUND(N($J641)*N($R641),0))</f>
        <v/>
      </c>
      <c r="T641" s="26">
        <f>IF($D641="","",IF($K641&lt;&gt;"对外销售","",ROUND($Q641-$S641,0)))</f>
        <v/>
      </c>
      <c r="U641" s="17" t="n"/>
      <c r="V641" s="17" t="n"/>
      <c r="W641" s="24">
        <f>IF($D641="","",IF($E641="※编码不在物料档案里","※物料编码不在档案里",IF(N($J641)&lt;=0,"※出库数量要大于 0",IF($K641="","※没填去向类型",IF($L641="","※没填去向矿区",IF(AND($C641&lt;&gt;"",$C641&lt;=结账锁),"※日期早于已结账截止日，不能再录",IF(AND($K641="自用消耗",COUNTIF({"一矿区";"二矿区"},$L641)=0),"※自用消耗的去向只能是一矿区或二矿区",IF(AND($K641="对外销售",COUNTIF({"三矿区";"六矿区"},$L641)=0),"※对外销售的去向只能是三矿区或六矿区",IF(AND($K641="对外销售",ROUND($Q641,0)=0),"※外销却没有售价，请填实际售价",IF(AND($K641="对外销售",$T641&lt;&gt;"",$T641&lt;0),"※这一笔外销是亏的，请核对售价",IF(IFERROR(VLOOKUP($D641,库存台账!$A$5:$Y$1204,24,0),0)&lt;-0.001,"※这个物料账面已经变成负数了，查一下是不是漏记入库","")))))))))))</f>
        <v/>
      </c>
    </row>
    <row r="642">
      <c r="A642" s="24">
        <f>IF($D642="","",COUNTA($D$4:$D642))</f>
        <v/>
      </c>
      <c r="B642" s="17" t="n"/>
      <c r="C642" s="30" t="n"/>
      <c r="D642" s="17" t="n"/>
      <c r="E642" s="24">
        <f>IF($D642="","",IFERROR(VLOOKUP($D642,物料档案!$A$4:$P$1203,3,0),"※编码不在物料档案里"))</f>
        <v/>
      </c>
      <c r="F642" s="24">
        <f>IF($D642="","",IFERROR(VLOOKUP($D642,物料档案!$A$4:$P$1203,4,0),"※编码不在物料档案里"))</f>
        <v/>
      </c>
      <c r="G642" s="24">
        <f>IF($D642="","",IFERROR(VLOOKUP($D642,物料档案!$A$4:$P$1203,5,0),"※编码不在物料档案里"))</f>
        <v/>
      </c>
      <c r="H642" s="24">
        <f>IF($D642="","",IFERROR(VLOOKUP($D642,物料档案!$A$4:$P$1203,2,0),"※编码不在物料档案里"))</f>
        <v/>
      </c>
      <c r="I642" s="24">
        <f>IF($D642="","",IFERROR(VLOOKUP($D642,物料档案!$A$4:$P$1203,6,0),"※编码不在物料档案里"))</f>
        <v/>
      </c>
      <c r="J642" s="23" t="n"/>
      <c r="K642" s="17" t="n"/>
      <c r="L642" s="17" t="n"/>
      <c r="M642" s="17" t="n"/>
      <c r="N642" s="17" t="n"/>
      <c r="O642" s="26">
        <f>IF($D642="","",IFERROR(VLOOKUP($D642,物料档案!$A$4:$P$1203,10,0),0))</f>
        <v/>
      </c>
      <c r="P642" s="32" t="n"/>
      <c r="Q642" s="26">
        <f>IF($D642="","",IF($K642&lt;&gt;"对外销售",0,ROUND(N($J642)*IF($P642="",N($O642),N($P642)),0)))</f>
        <v/>
      </c>
      <c r="R642" s="26">
        <f>IF($D642="","",IFERROR(VLOOKUP($D642,库存台账!$A$5:$Y$1204,11,0),0))</f>
        <v/>
      </c>
      <c r="S642" s="26">
        <f>IF($D642="","",ROUND(N($J642)*N($R642),0))</f>
        <v/>
      </c>
      <c r="T642" s="26">
        <f>IF($D642="","",IF($K642&lt;&gt;"对外销售","",ROUND($Q642-$S642,0)))</f>
        <v/>
      </c>
      <c r="U642" s="17" t="n"/>
      <c r="V642" s="17" t="n"/>
      <c r="W642" s="24">
        <f>IF($D642="","",IF($E642="※编码不在物料档案里","※物料编码不在档案里",IF(N($J642)&lt;=0,"※出库数量要大于 0",IF($K642="","※没填去向类型",IF($L642="","※没填去向矿区",IF(AND($C642&lt;&gt;"",$C642&lt;=结账锁),"※日期早于已结账截止日，不能再录",IF(AND($K642="自用消耗",COUNTIF({"一矿区";"二矿区"},$L642)=0),"※自用消耗的去向只能是一矿区或二矿区",IF(AND($K642="对外销售",COUNTIF({"三矿区";"六矿区"},$L642)=0),"※对外销售的去向只能是三矿区或六矿区",IF(AND($K642="对外销售",ROUND($Q642,0)=0),"※外销却没有售价，请填实际售价",IF(AND($K642="对外销售",$T642&lt;&gt;"",$T642&lt;0),"※这一笔外销是亏的，请核对售价",IF(IFERROR(VLOOKUP($D642,库存台账!$A$5:$Y$1204,24,0),0)&lt;-0.001,"※这个物料账面已经变成负数了，查一下是不是漏记入库","")))))))))))</f>
        <v/>
      </c>
    </row>
    <row r="643">
      <c r="A643" s="24">
        <f>IF($D643="","",COUNTA($D$4:$D643))</f>
        <v/>
      </c>
      <c r="B643" s="17" t="n"/>
      <c r="C643" s="30" t="n"/>
      <c r="D643" s="17" t="n"/>
      <c r="E643" s="24">
        <f>IF($D643="","",IFERROR(VLOOKUP($D643,物料档案!$A$4:$P$1203,3,0),"※编码不在物料档案里"))</f>
        <v/>
      </c>
      <c r="F643" s="24">
        <f>IF($D643="","",IFERROR(VLOOKUP($D643,物料档案!$A$4:$P$1203,4,0),"※编码不在物料档案里"))</f>
        <v/>
      </c>
      <c r="G643" s="24">
        <f>IF($D643="","",IFERROR(VLOOKUP($D643,物料档案!$A$4:$P$1203,5,0),"※编码不在物料档案里"))</f>
        <v/>
      </c>
      <c r="H643" s="24">
        <f>IF($D643="","",IFERROR(VLOOKUP($D643,物料档案!$A$4:$P$1203,2,0),"※编码不在物料档案里"))</f>
        <v/>
      </c>
      <c r="I643" s="24">
        <f>IF($D643="","",IFERROR(VLOOKUP($D643,物料档案!$A$4:$P$1203,6,0),"※编码不在物料档案里"))</f>
        <v/>
      </c>
      <c r="J643" s="23" t="n"/>
      <c r="K643" s="17" t="n"/>
      <c r="L643" s="17" t="n"/>
      <c r="M643" s="17" t="n"/>
      <c r="N643" s="17" t="n"/>
      <c r="O643" s="26">
        <f>IF($D643="","",IFERROR(VLOOKUP($D643,物料档案!$A$4:$P$1203,10,0),0))</f>
        <v/>
      </c>
      <c r="P643" s="32" t="n"/>
      <c r="Q643" s="26">
        <f>IF($D643="","",IF($K643&lt;&gt;"对外销售",0,ROUND(N($J643)*IF($P643="",N($O643),N($P643)),0)))</f>
        <v/>
      </c>
      <c r="R643" s="26">
        <f>IF($D643="","",IFERROR(VLOOKUP($D643,库存台账!$A$5:$Y$1204,11,0),0))</f>
        <v/>
      </c>
      <c r="S643" s="26">
        <f>IF($D643="","",ROUND(N($J643)*N($R643),0))</f>
        <v/>
      </c>
      <c r="T643" s="26">
        <f>IF($D643="","",IF($K643&lt;&gt;"对外销售","",ROUND($Q643-$S643,0)))</f>
        <v/>
      </c>
      <c r="U643" s="17" t="n"/>
      <c r="V643" s="17" t="n"/>
      <c r="W643" s="24">
        <f>IF($D643="","",IF($E643="※编码不在物料档案里","※物料编码不在档案里",IF(N($J643)&lt;=0,"※出库数量要大于 0",IF($K643="","※没填去向类型",IF($L643="","※没填去向矿区",IF(AND($C643&lt;&gt;"",$C643&lt;=结账锁),"※日期早于已结账截止日，不能再录",IF(AND($K643="自用消耗",COUNTIF({"一矿区";"二矿区"},$L643)=0),"※自用消耗的去向只能是一矿区或二矿区",IF(AND($K643="对外销售",COUNTIF({"三矿区";"六矿区"},$L643)=0),"※对外销售的去向只能是三矿区或六矿区",IF(AND($K643="对外销售",ROUND($Q643,0)=0),"※外销却没有售价，请填实际售价",IF(AND($K643="对外销售",$T643&lt;&gt;"",$T643&lt;0),"※这一笔外销是亏的，请核对售价",IF(IFERROR(VLOOKUP($D643,库存台账!$A$5:$Y$1204,24,0),0)&lt;-0.001,"※这个物料账面已经变成负数了，查一下是不是漏记入库","")))))))))))</f>
        <v/>
      </c>
    </row>
    <row r="644">
      <c r="A644" s="24">
        <f>IF($D644="","",COUNTA($D$4:$D644))</f>
        <v/>
      </c>
      <c r="B644" s="17" t="n"/>
      <c r="C644" s="30" t="n"/>
      <c r="D644" s="17" t="n"/>
      <c r="E644" s="24">
        <f>IF($D644="","",IFERROR(VLOOKUP($D644,物料档案!$A$4:$P$1203,3,0),"※编码不在物料档案里"))</f>
        <v/>
      </c>
      <c r="F644" s="24">
        <f>IF($D644="","",IFERROR(VLOOKUP($D644,物料档案!$A$4:$P$1203,4,0),"※编码不在物料档案里"))</f>
        <v/>
      </c>
      <c r="G644" s="24">
        <f>IF($D644="","",IFERROR(VLOOKUP($D644,物料档案!$A$4:$P$1203,5,0),"※编码不在物料档案里"))</f>
        <v/>
      </c>
      <c r="H644" s="24">
        <f>IF($D644="","",IFERROR(VLOOKUP($D644,物料档案!$A$4:$P$1203,2,0),"※编码不在物料档案里"))</f>
        <v/>
      </c>
      <c r="I644" s="24">
        <f>IF($D644="","",IFERROR(VLOOKUP($D644,物料档案!$A$4:$P$1203,6,0),"※编码不在物料档案里"))</f>
        <v/>
      </c>
      <c r="J644" s="23" t="n"/>
      <c r="K644" s="17" t="n"/>
      <c r="L644" s="17" t="n"/>
      <c r="M644" s="17" t="n"/>
      <c r="N644" s="17" t="n"/>
      <c r="O644" s="26">
        <f>IF($D644="","",IFERROR(VLOOKUP($D644,物料档案!$A$4:$P$1203,10,0),0))</f>
        <v/>
      </c>
      <c r="P644" s="32" t="n"/>
      <c r="Q644" s="26">
        <f>IF($D644="","",IF($K644&lt;&gt;"对外销售",0,ROUND(N($J644)*IF($P644="",N($O644),N($P644)),0)))</f>
        <v/>
      </c>
      <c r="R644" s="26">
        <f>IF($D644="","",IFERROR(VLOOKUP($D644,库存台账!$A$5:$Y$1204,11,0),0))</f>
        <v/>
      </c>
      <c r="S644" s="26">
        <f>IF($D644="","",ROUND(N($J644)*N($R644),0))</f>
        <v/>
      </c>
      <c r="T644" s="26">
        <f>IF($D644="","",IF($K644&lt;&gt;"对外销售","",ROUND($Q644-$S644,0)))</f>
        <v/>
      </c>
      <c r="U644" s="17" t="n"/>
      <c r="V644" s="17" t="n"/>
      <c r="W644" s="24">
        <f>IF($D644="","",IF($E644="※编码不在物料档案里","※物料编码不在档案里",IF(N($J644)&lt;=0,"※出库数量要大于 0",IF($K644="","※没填去向类型",IF($L644="","※没填去向矿区",IF(AND($C644&lt;&gt;"",$C644&lt;=结账锁),"※日期早于已结账截止日，不能再录",IF(AND($K644="自用消耗",COUNTIF({"一矿区";"二矿区"},$L644)=0),"※自用消耗的去向只能是一矿区或二矿区",IF(AND($K644="对外销售",COUNTIF({"三矿区";"六矿区"},$L644)=0),"※对外销售的去向只能是三矿区或六矿区",IF(AND($K644="对外销售",ROUND($Q644,0)=0),"※外销却没有售价，请填实际售价",IF(AND($K644="对外销售",$T644&lt;&gt;"",$T644&lt;0),"※这一笔外销是亏的，请核对售价",IF(IFERROR(VLOOKUP($D644,库存台账!$A$5:$Y$1204,24,0),0)&lt;-0.001,"※这个物料账面已经变成负数了，查一下是不是漏记入库","")))))))))))</f>
        <v/>
      </c>
    </row>
    <row r="645">
      <c r="A645" s="24">
        <f>IF($D645="","",COUNTA($D$4:$D645))</f>
        <v/>
      </c>
      <c r="B645" s="17" t="n"/>
      <c r="C645" s="30" t="n"/>
      <c r="D645" s="17" t="n"/>
      <c r="E645" s="24">
        <f>IF($D645="","",IFERROR(VLOOKUP($D645,物料档案!$A$4:$P$1203,3,0),"※编码不在物料档案里"))</f>
        <v/>
      </c>
      <c r="F645" s="24">
        <f>IF($D645="","",IFERROR(VLOOKUP($D645,物料档案!$A$4:$P$1203,4,0),"※编码不在物料档案里"))</f>
        <v/>
      </c>
      <c r="G645" s="24">
        <f>IF($D645="","",IFERROR(VLOOKUP($D645,物料档案!$A$4:$P$1203,5,0),"※编码不在物料档案里"))</f>
        <v/>
      </c>
      <c r="H645" s="24">
        <f>IF($D645="","",IFERROR(VLOOKUP($D645,物料档案!$A$4:$P$1203,2,0),"※编码不在物料档案里"))</f>
        <v/>
      </c>
      <c r="I645" s="24">
        <f>IF($D645="","",IFERROR(VLOOKUP($D645,物料档案!$A$4:$P$1203,6,0),"※编码不在物料档案里"))</f>
        <v/>
      </c>
      <c r="J645" s="23" t="n"/>
      <c r="K645" s="17" t="n"/>
      <c r="L645" s="17" t="n"/>
      <c r="M645" s="17" t="n"/>
      <c r="N645" s="17" t="n"/>
      <c r="O645" s="26">
        <f>IF($D645="","",IFERROR(VLOOKUP($D645,物料档案!$A$4:$P$1203,10,0),0))</f>
        <v/>
      </c>
      <c r="P645" s="32" t="n"/>
      <c r="Q645" s="26">
        <f>IF($D645="","",IF($K645&lt;&gt;"对外销售",0,ROUND(N($J645)*IF($P645="",N($O645),N($P645)),0)))</f>
        <v/>
      </c>
      <c r="R645" s="26">
        <f>IF($D645="","",IFERROR(VLOOKUP($D645,库存台账!$A$5:$Y$1204,11,0),0))</f>
        <v/>
      </c>
      <c r="S645" s="26">
        <f>IF($D645="","",ROUND(N($J645)*N($R645),0))</f>
        <v/>
      </c>
      <c r="T645" s="26">
        <f>IF($D645="","",IF($K645&lt;&gt;"对外销售","",ROUND($Q645-$S645,0)))</f>
        <v/>
      </c>
      <c r="U645" s="17" t="n"/>
      <c r="V645" s="17" t="n"/>
      <c r="W645" s="24">
        <f>IF($D645="","",IF($E645="※编码不在物料档案里","※物料编码不在档案里",IF(N($J645)&lt;=0,"※出库数量要大于 0",IF($K645="","※没填去向类型",IF($L645="","※没填去向矿区",IF(AND($C645&lt;&gt;"",$C645&lt;=结账锁),"※日期早于已结账截止日，不能再录",IF(AND($K645="自用消耗",COUNTIF({"一矿区";"二矿区"},$L645)=0),"※自用消耗的去向只能是一矿区或二矿区",IF(AND($K645="对外销售",COUNTIF({"三矿区";"六矿区"},$L645)=0),"※对外销售的去向只能是三矿区或六矿区",IF(AND($K645="对外销售",ROUND($Q645,0)=0),"※外销却没有售价，请填实际售价",IF(AND($K645="对外销售",$T645&lt;&gt;"",$T645&lt;0),"※这一笔外销是亏的，请核对售价",IF(IFERROR(VLOOKUP($D645,库存台账!$A$5:$Y$1204,24,0),0)&lt;-0.001,"※这个物料账面已经变成负数了，查一下是不是漏记入库","")))))))))))</f>
        <v/>
      </c>
    </row>
    <row r="646">
      <c r="A646" s="24">
        <f>IF($D646="","",COUNTA($D$4:$D646))</f>
        <v/>
      </c>
      <c r="B646" s="17" t="n"/>
      <c r="C646" s="30" t="n"/>
      <c r="D646" s="17" t="n"/>
      <c r="E646" s="24">
        <f>IF($D646="","",IFERROR(VLOOKUP($D646,物料档案!$A$4:$P$1203,3,0),"※编码不在物料档案里"))</f>
        <v/>
      </c>
      <c r="F646" s="24">
        <f>IF($D646="","",IFERROR(VLOOKUP($D646,物料档案!$A$4:$P$1203,4,0),"※编码不在物料档案里"))</f>
        <v/>
      </c>
      <c r="G646" s="24">
        <f>IF($D646="","",IFERROR(VLOOKUP($D646,物料档案!$A$4:$P$1203,5,0),"※编码不在物料档案里"))</f>
        <v/>
      </c>
      <c r="H646" s="24">
        <f>IF($D646="","",IFERROR(VLOOKUP($D646,物料档案!$A$4:$P$1203,2,0),"※编码不在物料档案里"))</f>
        <v/>
      </c>
      <c r="I646" s="24">
        <f>IF($D646="","",IFERROR(VLOOKUP($D646,物料档案!$A$4:$P$1203,6,0),"※编码不在物料档案里"))</f>
        <v/>
      </c>
      <c r="J646" s="23" t="n"/>
      <c r="K646" s="17" t="n"/>
      <c r="L646" s="17" t="n"/>
      <c r="M646" s="17" t="n"/>
      <c r="N646" s="17" t="n"/>
      <c r="O646" s="26">
        <f>IF($D646="","",IFERROR(VLOOKUP($D646,物料档案!$A$4:$P$1203,10,0),0))</f>
        <v/>
      </c>
      <c r="P646" s="32" t="n"/>
      <c r="Q646" s="26">
        <f>IF($D646="","",IF($K646&lt;&gt;"对外销售",0,ROUND(N($J646)*IF($P646="",N($O646),N($P646)),0)))</f>
        <v/>
      </c>
      <c r="R646" s="26">
        <f>IF($D646="","",IFERROR(VLOOKUP($D646,库存台账!$A$5:$Y$1204,11,0),0))</f>
        <v/>
      </c>
      <c r="S646" s="26">
        <f>IF($D646="","",ROUND(N($J646)*N($R646),0))</f>
        <v/>
      </c>
      <c r="T646" s="26">
        <f>IF($D646="","",IF($K646&lt;&gt;"对外销售","",ROUND($Q646-$S646,0)))</f>
        <v/>
      </c>
      <c r="U646" s="17" t="n"/>
      <c r="V646" s="17" t="n"/>
      <c r="W646" s="24">
        <f>IF($D646="","",IF($E646="※编码不在物料档案里","※物料编码不在档案里",IF(N($J646)&lt;=0,"※出库数量要大于 0",IF($K646="","※没填去向类型",IF($L646="","※没填去向矿区",IF(AND($C646&lt;&gt;"",$C646&lt;=结账锁),"※日期早于已结账截止日，不能再录",IF(AND($K646="自用消耗",COUNTIF({"一矿区";"二矿区"},$L646)=0),"※自用消耗的去向只能是一矿区或二矿区",IF(AND($K646="对外销售",COUNTIF({"三矿区";"六矿区"},$L646)=0),"※对外销售的去向只能是三矿区或六矿区",IF(AND($K646="对外销售",ROUND($Q646,0)=0),"※外销却没有售价，请填实际售价",IF(AND($K646="对外销售",$T646&lt;&gt;"",$T646&lt;0),"※这一笔外销是亏的，请核对售价",IF(IFERROR(VLOOKUP($D646,库存台账!$A$5:$Y$1204,24,0),0)&lt;-0.001,"※这个物料账面已经变成负数了，查一下是不是漏记入库","")))))))))))</f>
        <v/>
      </c>
    </row>
    <row r="647">
      <c r="A647" s="24">
        <f>IF($D647="","",COUNTA($D$4:$D647))</f>
        <v/>
      </c>
      <c r="B647" s="17" t="n"/>
      <c r="C647" s="30" t="n"/>
      <c r="D647" s="17" t="n"/>
      <c r="E647" s="24">
        <f>IF($D647="","",IFERROR(VLOOKUP($D647,物料档案!$A$4:$P$1203,3,0),"※编码不在物料档案里"))</f>
        <v/>
      </c>
      <c r="F647" s="24">
        <f>IF($D647="","",IFERROR(VLOOKUP($D647,物料档案!$A$4:$P$1203,4,0),"※编码不在物料档案里"))</f>
        <v/>
      </c>
      <c r="G647" s="24">
        <f>IF($D647="","",IFERROR(VLOOKUP($D647,物料档案!$A$4:$P$1203,5,0),"※编码不在物料档案里"))</f>
        <v/>
      </c>
      <c r="H647" s="24">
        <f>IF($D647="","",IFERROR(VLOOKUP($D647,物料档案!$A$4:$P$1203,2,0),"※编码不在物料档案里"))</f>
        <v/>
      </c>
      <c r="I647" s="24">
        <f>IF($D647="","",IFERROR(VLOOKUP($D647,物料档案!$A$4:$P$1203,6,0),"※编码不在物料档案里"))</f>
        <v/>
      </c>
      <c r="J647" s="23" t="n"/>
      <c r="K647" s="17" t="n"/>
      <c r="L647" s="17" t="n"/>
      <c r="M647" s="17" t="n"/>
      <c r="N647" s="17" t="n"/>
      <c r="O647" s="26">
        <f>IF($D647="","",IFERROR(VLOOKUP($D647,物料档案!$A$4:$P$1203,10,0),0))</f>
        <v/>
      </c>
      <c r="P647" s="32" t="n"/>
      <c r="Q647" s="26">
        <f>IF($D647="","",IF($K647&lt;&gt;"对外销售",0,ROUND(N($J647)*IF($P647="",N($O647),N($P647)),0)))</f>
        <v/>
      </c>
      <c r="R647" s="26">
        <f>IF($D647="","",IFERROR(VLOOKUP($D647,库存台账!$A$5:$Y$1204,11,0),0))</f>
        <v/>
      </c>
      <c r="S647" s="26">
        <f>IF($D647="","",ROUND(N($J647)*N($R647),0))</f>
        <v/>
      </c>
      <c r="T647" s="26">
        <f>IF($D647="","",IF($K647&lt;&gt;"对外销售","",ROUND($Q647-$S647,0)))</f>
        <v/>
      </c>
      <c r="U647" s="17" t="n"/>
      <c r="V647" s="17" t="n"/>
      <c r="W647" s="24">
        <f>IF($D647="","",IF($E647="※编码不在物料档案里","※物料编码不在档案里",IF(N($J647)&lt;=0,"※出库数量要大于 0",IF($K647="","※没填去向类型",IF($L647="","※没填去向矿区",IF(AND($C647&lt;&gt;"",$C647&lt;=结账锁),"※日期早于已结账截止日，不能再录",IF(AND($K647="自用消耗",COUNTIF({"一矿区";"二矿区"},$L647)=0),"※自用消耗的去向只能是一矿区或二矿区",IF(AND($K647="对外销售",COUNTIF({"三矿区";"六矿区"},$L647)=0),"※对外销售的去向只能是三矿区或六矿区",IF(AND($K647="对外销售",ROUND($Q647,0)=0),"※外销却没有售价，请填实际售价",IF(AND($K647="对外销售",$T647&lt;&gt;"",$T647&lt;0),"※这一笔外销是亏的，请核对售价",IF(IFERROR(VLOOKUP($D647,库存台账!$A$5:$Y$1204,24,0),0)&lt;-0.001,"※这个物料账面已经变成负数了，查一下是不是漏记入库","")))))))))))</f>
        <v/>
      </c>
    </row>
    <row r="648">
      <c r="A648" s="24">
        <f>IF($D648="","",COUNTA($D$4:$D648))</f>
        <v/>
      </c>
      <c r="B648" s="17" t="n"/>
      <c r="C648" s="30" t="n"/>
      <c r="D648" s="17" t="n"/>
      <c r="E648" s="24">
        <f>IF($D648="","",IFERROR(VLOOKUP($D648,物料档案!$A$4:$P$1203,3,0),"※编码不在物料档案里"))</f>
        <v/>
      </c>
      <c r="F648" s="24">
        <f>IF($D648="","",IFERROR(VLOOKUP($D648,物料档案!$A$4:$P$1203,4,0),"※编码不在物料档案里"))</f>
        <v/>
      </c>
      <c r="G648" s="24">
        <f>IF($D648="","",IFERROR(VLOOKUP($D648,物料档案!$A$4:$P$1203,5,0),"※编码不在物料档案里"))</f>
        <v/>
      </c>
      <c r="H648" s="24">
        <f>IF($D648="","",IFERROR(VLOOKUP($D648,物料档案!$A$4:$P$1203,2,0),"※编码不在物料档案里"))</f>
        <v/>
      </c>
      <c r="I648" s="24">
        <f>IF($D648="","",IFERROR(VLOOKUP($D648,物料档案!$A$4:$P$1203,6,0),"※编码不在物料档案里"))</f>
        <v/>
      </c>
      <c r="J648" s="23" t="n"/>
      <c r="K648" s="17" t="n"/>
      <c r="L648" s="17" t="n"/>
      <c r="M648" s="17" t="n"/>
      <c r="N648" s="17" t="n"/>
      <c r="O648" s="26">
        <f>IF($D648="","",IFERROR(VLOOKUP($D648,物料档案!$A$4:$P$1203,10,0),0))</f>
        <v/>
      </c>
      <c r="P648" s="32" t="n"/>
      <c r="Q648" s="26">
        <f>IF($D648="","",IF($K648&lt;&gt;"对外销售",0,ROUND(N($J648)*IF($P648="",N($O648),N($P648)),0)))</f>
        <v/>
      </c>
      <c r="R648" s="26">
        <f>IF($D648="","",IFERROR(VLOOKUP($D648,库存台账!$A$5:$Y$1204,11,0),0))</f>
        <v/>
      </c>
      <c r="S648" s="26">
        <f>IF($D648="","",ROUND(N($J648)*N($R648),0))</f>
        <v/>
      </c>
      <c r="T648" s="26">
        <f>IF($D648="","",IF($K648&lt;&gt;"对外销售","",ROUND($Q648-$S648,0)))</f>
        <v/>
      </c>
      <c r="U648" s="17" t="n"/>
      <c r="V648" s="17" t="n"/>
      <c r="W648" s="24">
        <f>IF($D648="","",IF($E648="※编码不在物料档案里","※物料编码不在档案里",IF(N($J648)&lt;=0,"※出库数量要大于 0",IF($K648="","※没填去向类型",IF($L648="","※没填去向矿区",IF(AND($C648&lt;&gt;"",$C648&lt;=结账锁),"※日期早于已结账截止日，不能再录",IF(AND($K648="自用消耗",COUNTIF({"一矿区";"二矿区"},$L648)=0),"※自用消耗的去向只能是一矿区或二矿区",IF(AND($K648="对外销售",COUNTIF({"三矿区";"六矿区"},$L648)=0),"※对外销售的去向只能是三矿区或六矿区",IF(AND($K648="对外销售",ROUND($Q648,0)=0),"※外销却没有售价，请填实际售价",IF(AND($K648="对外销售",$T648&lt;&gt;"",$T648&lt;0),"※这一笔外销是亏的，请核对售价",IF(IFERROR(VLOOKUP($D648,库存台账!$A$5:$Y$1204,24,0),0)&lt;-0.001,"※这个物料账面已经变成负数了，查一下是不是漏记入库","")))))))))))</f>
        <v/>
      </c>
    </row>
    <row r="649">
      <c r="A649" s="24">
        <f>IF($D649="","",COUNTA($D$4:$D649))</f>
        <v/>
      </c>
      <c r="B649" s="17" t="n"/>
      <c r="C649" s="30" t="n"/>
      <c r="D649" s="17" t="n"/>
      <c r="E649" s="24">
        <f>IF($D649="","",IFERROR(VLOOKUP($D649,物料档案!$A$4:$P$1203,3,0),"※编码不在物料档案里"))</f>
        <v/>
      </c>
      <c r="F649" s="24">
        <f>IF($D649="","",IFERROR(VLOOKUP($D649,物料档案!$A$4:$P$1203,4,0),"※编码不在物料档案里"))</f>
        <v/>
      </c>
      <c r="G649" s="24">
        <f>IF($D649="","",IFERROR(VLOOKUP($D649,物料档案!$A$4:$P$1203,5,0),"※编码不在物料档案里"))</f>
        <v/>
      </c>
      <c r="H649" s="24">
        <f>IF($D649="","",IFERROR(VLOOKUP($D649,物料档案!$A$4:$P$1203,2,0),"※编码不在物料档案里"))</f>
        <v/>
      </c>
      <c r="I649" s="24">
        <f>IF($D649="","",IFERROR(VLOOKUP($D649,物料档案!$A$4:$P$1203,6,0),"※编码不在物料档案里"))</f>
        <v/>
      </c>
      <c r="J649" s="23" t="n"/>
      <c r="K649" s="17" t="n"/>
      <c r="L649" s="17" t="n"/>
      <c r="M649" s="17" t="n"/>
      <c r="N649" s="17" t="n"/>
      <c r="O649" s="26">
        <f>IF($D649="","",IFERROR(VLOOKUP($D649,物料档案!$A$4:$P$1203,10,0),0))</f>
        <v/>
      </c>
      <c r="P649" s="32" t="n"/>
      <c r="Q649" s="26">
        <f>IF($D649="","",IF($K649&lt;&gt;"对外销售",0,ROUND(N($J649)*IF($P649="",N($O649),N($P649)),0)))</f>
        <v/>
      </c>
      <c r="R649" s="26">
        <f>IF($D649="","",IFERROR(VLOOKUP($D649,库存台账!$A$5:$Y$1204,11,0),0))</f>
        <v/>
      </c>
      <c r="S649" s="26">
        <f>IF($D649="","",ROUND(N($J649)*N($R649),0))</f>
        <v/>
      </c>
      <c r="T649" s="26">
        <f>IF($D649="","",IF($K649&lt;&gt;"对外销售","",ROUND($Q649-$S649,0)))</f>
        <v/>
      </c>
      <c r="U649" s="17" t="n"/>
      <c r="V649" s="17" t="n"/>
      <c r="W649" s="24">
        <f>IF($D649="","",IF($E649="※编码不在物料档案里","※物料编码不在档案里",IF(N($J649)&lt;=0,"※出库数量要大于 0",IF($K649="","※没填去向类型",IF($L649="","※没填去向矿区",IF(AND($C649&lt;&gt;"",$C649&lt;=结账锁),"※日期早于已结账截止日，不能再录",IF(AND($K649="自用消耗",COUNTIF({"一矿区";"二矿区"},$L649)=0),"※自用消耗的去向只能是一矿区或二矿区",IF(AND($K649="对外销售",COUNTIF({"三矿区";"六矿区"},$L649)=0),"※对外销售的去向只能是三矿区或六矿区",IF(AND($K649="对外销售",ROUND($Q649,0)=0),"※外销却没有售价，请填实际售价",IF(AND($K649="对外销售",$T649&lt;&gt;"",$T649&lt;0),"※这一笔外销是亏的，请核对售价",IF(IFERROR(VLOOKUP($D649,库存台账!$A$5:$Y$1204,24,0),0)&lt;-0.001,"※这个物料账面已经变成负数了，查一下是不是漏记入库","")))))))))))</f>
        <v/>
      </c>
    </row>
    <row r="650">
      <c r="A650" s="24">
        <f>IF($D650="","",COUNTA($D$4:$D650))</f>
        <v/>
      </c>
      <c r="B650" s="17" t="n"/>
      <c r="C650" s="30" t="n"/>
      <c r="D650" s="17" t="n"/>
      <c r="E650" s="24">
        <f>IF($D650="","",IFERROR(VLOOKUP($D650,物料档案!$A$4:$P$1203,3,0),"※编码不在物料档案里"))</f>
        <v/>
      </c>
      <c r="F650" s="24">
        <f>IF($D650="","",IFERROR(VLOOKUP($D650,物料档案!$A$4:$P$1203,4,0),"※编码不在物料档案里"))</f>
        <v/>
      </c>
      <c r="G650" s="24">
        <f>IF($D650="","",IFERROR(VLOOKUP($D650,物料档案!$A$4:$P$1203,5,0),"※编码不在物料档案里"))</f>
        <v/>
      </c>
      <c r="H650" s="24">
        <f>IF($D650="","",IFERROR(VLOOKUP($D650,物料档案!$A$4:$P$1203,2,0),"※编码不在物料档案里"))</f>
        <v/>
      </c>
      <c r="I650" s="24">
        <f>IF($D650="","",IFERROR(VLOOKUP($D650,物料档案!$A$4:$P$1203,6,0),"※编码不在物料档案里"))</f>
        <v/>
      </c>
      <c r="J650" s="23" t="n"/>
      <c r="K650" s="17" t="n"/>
      <c r="L650" s="17" t="n"/>
      <c r="M650" s="17" t="n"/>
      <c r="N650" s="17" t="n"/>
      <c r="O650" s="26">
        <f>IF($D650="","",IFERROR(VLOOKUP($D650,物料档案!$A$4:$P$1203,10,0),0))</f>
        <v/>
      </c>
      <c r="P650" s="32" t="n"/>
      <c r="Q650" s="26">
        <f>IF($D650="","",IF($K650&lt;&gt;"对外销售",0,ROUND(N($J650)*IF($P650="",N($O650),N($P650)),0)))</f>
        <v/>
      </c>
      <c r="R650" s="26">
        <f>IF($D650="","",IFERROR(VLOOKUP($D650,库存台账!$A$5:$Y$1204,11,0),0))</f>
        <v/>
      </c>
      <c r="S650" s="26">
        <f>IF($D650="","",ROUND(N($J650)*N($R650),0))</f>
        <v/>
      </c>
      <c r="T650" s="26">
        <f>IF($D650="","",IF($K650&lt;&gt;"对外销售","",ROUND($Q650-$S650,0)))</f>
        <v/>
      </c>
      <c r="U650" s="17" t="n"/>
      <c r="V650" s="17" t="n"/>
      <c r="W650" s="24">
        <f>IF($D650="","",IF($E650="※编码不在物料档案里","※物料编码不在档案里",IF(N($J650)&lt;=0,"※出库数量要大于 0",IF($K650="","※没填去向类型",IF($L650="","※没填去向矿区",IF(AND($C650&lt;&gt;"",$C650&lt;=结账锁),"※日期早于已结账截止日，不能再录",IF(AND($K650="自用消耗",COUNTIF({"一矿区";"二矿区"},$L650)=0),"※自用消耗的去向只能是一矿区或二矿区",IF(AND($K650="对外销售",COUNTIF({"三矿区";"六矿区"},$L650)=0),"※对外销售的去向只能是三矿区或六矿区",IF(AND($K650="对外销售",ROUND($Q650,0)=0),"※外销却没有售价，请填实际售价",IF(AND($K650="对外销售",$T650&lt;&gt;"",$T650&lt;0),"※这一笔外销是亏的，请核对售价",IF(IFERROR(VLOOKUP($D650,库存台账!$A$5:$Y$1204,24,0),0)&lt;-0.001,"※这个物料账面已经变成负数了，查一下是不是漏记入库","")))))))))))</f>
        <v/>
      </c>
    </row>
    <row r="651">
      <c r="A651" s="24">
        <f>IF($D651="","",COUNTA($D$4:$D651))</f>
        <v/>
      </c>
      <c r="B651" s="17" t="n"/>
      <c r="C651" s="30" t="n"/>
      <c r="D651" s="17" t="n"/>
      <c r="E651" s="24">
        <f>IF($D651="","",IFERROR(VLOOKUP($D651,物料档案!$A$4:$P$1203,3,0),"※编码不在物料档案里"))</f>
        <v/>
      </c>
      <c r="F651" s="24">
        <f>IF($D651="","",IFERROR(VLOOKUP($D651,物料档案!$A$4:$P$1203,4,0),"※编码不在物料档案里"))</f>
        <v/>
      </c>
      <c r="G651" s="24">
        <f>IF($D651="","",IFERROR(VLOOKUP($D651,物料档案!$A$4:$P$1203,5,0),"※编码不在物料档案里"))</f>
        <v/>
      </c>
      <c r="H651" s="24">
        <f>IF($D651="","",IFERROR(VLOOKUP($D651,物料档案!$A$4:$P$1203,2,0),"※编码不在物料档案里"))</f>
        <v/>
      </c>
      <c r="I651" s="24">
        <f>IF($D651="","",IFERROR(VLOOKUP($D651,物料档案!$A$4:$P$1203,6,0),"※编码不在物料档案里"))</f>
        <v/>
      </c>
      <c r="J651" s="23" t="n"/>
      <c r="K651" s="17" t="n"/>
      <c r="L651" s="17" t="n"/>
      <c r="M651" s="17" t="n"/>
      <c r="N651" s="17" t="n"/>
      <c r="O651" s="26">
        <f>IF($D651="","",IFERROR(VLOOKUP($D651,物料档案!$A$4:$P$1203,10,0),0))</f>
        <v/>
      </c>
      <c r="P651" s="32" t="n"/>
      <c r="Q651" s="26">
        <f>IF($D651="","",IF($K651&lt;&gt;"对外销售",0,ROUND(N($J651)*IF($P651="",N($O651),N($P651)),0)))</f>
        <v/>
      </c>
      <c r="R651" s="26">
        <f>IF($D651="","",IFERROR(VLOOKUP($D651,库存台账!$A$5:$Y$1204,11,0),0))</f>
        <v/>
      </c>
      <c r="S651" s="26">
        <f>IF($D651="","",ROUND(N($J651)*N($R651),0))</f>
        <v/>
      </c>
      <c r="T651" s="26">
        <f>IF($D651="","",IF($K651&lt;&gt;"对外销售","",ROUND($Q651-$S651,0)))</f>
        <v/>
      </c>
      <c r="U651" s="17" t="n"/>
      <c r="V651" s="17" t="n"/>
      <c r="W651" s="24">
        <f>IF($D651="","",IF($E651="※编码不在物料档案里","※物料编码不在档案里",IF(N($J651)&lt;=0,"※出库数量要大于 0",IF($K651="","※没填去向类型",IF($L651="","※没填去向矿区",IF(AND($C651&lt;&gt;"",$C651&lt;=结账锁),"※日期早于已结账截止日，不能再录",IF(AND($K651="自用消耗",COUNTIF({"一矿区";"二矿区"},$L651)=0),"※自用消耗的去向只能是一矿区或二矿区",IF(AND($K651="对外销售",COUNTIF({"三矿区";"六矿区"},$L651)=0),"※对外销售的去向只能是三矿区或六矿区",IF(AND($K651="对外销售",ROUND($Q651,0)=0),"※外销却没有售价，请填实际售价",IF(AND($K651="对外销售",$T651&lt;&gt;"",$T651&lt;0),"※这一笔外销是亏的，请核对售价",IF(IFERROR(VLOOKUP($D651,库存台账!$A$5:$Y$1204,24,0),0)&lt;-0.001,"※这个物料账面已经变成负数了，查一下是不是漏记入库","")))))))))))</f>
        <v/>
      </c>
    </row>
    <row r="652">
      <c r="A652" s="24">
        <f>IF($D652="","",COUNTA($D$4:$D652))</f>
        <v/>
      </c>
      <c r="B652" s="17" t="n"/>
      <c r="C652" s="30" t="n"/>
      <c r="D652" s="17" t="n"/>
      <c r="E652" s="24">
        <f>IF($D652="","",IFERROR(VLOOKUP($D652,物料档案!$A$4:$P$1203,3,0),"※编码不在物料档案里"))</f>
        <v/>
      </c>
      <c r="F652" s="24">
        <f>IF($D652="","",IFERROR(VLOOKUP($D652,物料档案!$A$4:$P$1203,4,0),"※编码不在物料档案里"))</f>
        <v/>
      </c>
      <c r="G652" s="24">
        <f>IF($D652="","",IFERROR(VLOOKUP($D652,物料档案!$A$4:$P$1203,5,0),"※编码不在物料档案里"))</f>
        <v/>
      </c>
      <c r="H652" s="24">
        <f>IF($D652="","",IFERROR(VLOOKUP($D652,物料档案!$A$4:$P$1203,2,0),"※编码不在物料档案里"))</f>
        <v/>
      </c>
      <c r="I652" s="24">
        <f>IF($D652="","",IFERROR(VLOOKUP($D652,物料档案!$A$4:$P$1203,6,0),"※编码不在物料档案里"))</f>
        <v/>
      </c>
      <c r="J652" s="23" t="n"/>
      <c r="K652" s="17" t="n"/>
      <c r="L652" s="17" t="n"/>
      <c r="M652" s="17" t="n"/>
      <c r="N652" s="17" t="n"/>
      <c r="O652" s="26">
        <f>IF($D652="","",IFERROR(VLOOKUP($D652,物料档案!$A$4:$P$1203,10,0),0))</f>
        <v/>
      </c>
      <c r="P652" s="32" t="n"/>
      <c r="Q652" s="26">
        <f>IF($D652="","",IF($K652&lt;&gt;"对外销售",0,ROUND(N($J652)*IF($P652="",N($O652),N($P652)),0)))</f>
        <v/>
      </c>
      <c r="R652" s="26">
        <f>IF($D652="","",IFERROR(VLOOKUP($D652,库存台账!$A$5:$Y$1204,11,0),0))</f>
        <v/>
      </c>
      <c r="S652" s="26">
        <f>IF($D652="","",ROUND(N($J652)*N($R652),0))</f>
        <v/>
      </c>
      <c r="T652" s="26">
        <f>IF($D652="","",IF($K652&lt;&gt;"对外销售","",ROUND($Q652-$S652,0)))</f>
        <v/>
      </c>
      <c r="U652" s="17" t="n"/>
      <c r="V652" s="17" t="n"/>
      <c r="W652" s="24">
        <f>IF($D652="","",IF($E652="※编码不在物料档案里","※物料编码不在档案里",IF(N($J652)&lt;=0,"※出库数量要大于 0",IF($K652="","※没填去向类型",IF($L652="","※没填去向矿区",IF(AND($C652&lt;&gt;"",$C652&lt;=结账锁),"※日期早于已结账截止日，不能再录",IF(AND($K652="自用消耗",COUNTIF({"一矿区";"二矿区"},$L652)=0),"※自用消耗的去向只能是一矿区或二矿区",IF(AND($K652="对外销售",COUNTIF({"三矿区";"六矿区"},$L652)=0),"※对外销售的去向只能是三矿区或六矿区",IF(AND($K652="对外销售",ROUND($Q652,0)=0),"※外销却没有售价，请填实际售价",IF(AND($K652="对外销售",$T652&lt;&gt;"",$T652&lt;0),"※这一笔外销是亏的，请核对售价",IF(IFERROR(VLOOKUP($D652,库存台账!$A$5:$Y$1204,24,0),0)&lt;-0.001,"※这个物料账面已经变成负数了，查一下是不是漏记入库","")))))))))))</f>
        <v/>
      </c>
    </row>
    <row r="653">
      <c r="A653" s="24">
        <f>IF($D653="","",COUNTA($D$4:$D653))</f>
        <v/>
      </c>
      <c r="B653" s="17" t="n"/>
      <c r="C653" s="30" t="n"/>
      <c r="D653" s="17" t="n"/>
      <c r="E653" s="24">
        <f>IF($D653="","",IFERROR(VLOOKUP($D653,物料档案!$A$4:$P$1203,3,0),"※编码不在物料档案里"))</f>
        <v/>
      </c>
      <c r="F653" s="24">
        <f>IF($D653="","",IFERROR(VLOOKUP($D653,物料档案!$A$4:$P$1203,4,0),"※编码不在物料档案里"))</f>
        <v/>
      </c>
      <c r="G653" s="24">
        <f>IF($D653="","",IFERROR(VLOOKUP($D653,物料档案!$A$4:$P$1203,5,0),"※编码不在物料档案里"))</f>
        <v/>
      </c>
      <c r="H653" s="24">
        <f>IF($D653="","",IFERROR(VLOOKUP($D653,物料档案!$A$4:$P$1203,2,0),"※编码不在物料档案里"))</f>
        <v/>
      </c>
      <c r="I653" s="24">
        <f>IF($D653="","",IFERROR(VLOOKUP($D653,物料档案!$A$4:$P$1203,6,0),"※编码不在物料档案里"))</f>
        <v/>
      </c>
      <c r="J653" s="23" t="n"/>
      <c r="K653" s="17" t="n"/>
      <c r="L653" s="17" t="n"/>
      <c r="M653" s="17" t="n"/>
      <c r="N653" s="17" t="n"/>
      <c r="O653" s="26">
        <f>IF($D653="","",IFERROR(VLOOKUP($D653,物料档案!$A$4:$P$1203,10,0),0))</f>
        <v/>
      </c>
      <c r="P653" s="32" t="n"/>
      <c r="Q653" s="26">
        <f>IF($D653="","",IF($K653&lt;&gt;"对外销售",0,ROUND(N($J653)*IF($P653="",N($O653),N($P653)),0)))</f>
        <v/>
      </c>
      <c r="R653" s="26">
        <f>IF($D653="","",IFERROR(VLOOKUP($D653,库存台账!$A$5:$Y$1204,11,0),0))</f>
        <v/>
      </c>
      <c r="S653" s="26">
        <f>IF($D653="","",ROUND(N($J653)*N($R653),0))</f>
        <v/>
      </c>
      <c r="T653" s="26">
        <f>IF($D653="","",IF($K653&lt;&gt;"对外销售","",ROUND($Q653-$S653,0)))</f>
        <v/>
      </c>
      <c r="U653" s="17" t="n"/>
      <c r="V653" s="17" t="n"/>
      <c r="W653" s="24">
        <f>IF($D653="","",IF($E653="※编码不在物料档案里","※物料编码不在档案里",IF(N($J653)&lt;=0,"※出库数量要大于 0",IF($K653="","※没填去向类型",IF($L653="","※没填去向矿区",IF(AND($C653&lt;&gt;"",$C653&lt;=结账锁),"※日期早于已结账截止日，不能再录",IF(AND($K653="自用消耗",COUNTIF({"一矿区";"二矿区"},$L653)=0),"※自用消耗的去向只能是一矿区或二矿区",IF(AND($K653="对外销售",COUNTIF({"三矿区";"六矿区"},$L653)=0),"※对外销售的去向只能是三矿区或六矿区",IF(AND($K653="对外销售",ROUND($Q653,0)=0),"※外销却没有售价，请填实际售价",IF(AND($K653="对外销售",$T653&lt;&gt;"",$T653&lt;0),"※这一笔外销是亏的，请核对售价",IF(IFERROR(VLOOKUP($D653,库存台账!$A$5:$Y$1204,24,0),0)&lt;-0.001,"※这个物料账面已经变成负数了，查一下是不是漏记入库","")))))))))))</f>
        <v/>
      </c>
    </row>
    <row r="654">
      <c r="A654" s="24">
        <f>IF($D654="","",COUNTA($D$4:$D654))</f>
        <v/>
      </c>
      <c r="B654" s="17" t="n"/>
      <c r="C654" s="30" t="n"/>
      <c r="D654" s="17" t="n"/>
      <c r="E654" s="24">
        <f>IF($D654="","",IFERROR(VLOOKUP($D654,物料档案!$A$4:$P$1203,3,0),"※编码不在物料档案里"))</f>
        <v/>
      </c>
      <c r="F654" s="24">
        <f>IF($D654="","",IFERROR(VLOOKUP($D654,物料档案!$A$4:$P$1203,4,0),"※编码不在物料档案里"))</f>
        <v/>
      </c>
      <c r="G654" s="24">
        <f>IF($D654="","",IFERROR(VLOOKUP($D654,物料档案!$A$4:$P$1203,5,0),"※编码不在物料档案里"))</f>
        <v/>
      </c>
      <c r="H654" s="24">
        <f>IF($D654="","",IFERROR(VLOOKUP($D654,物料档案!$A$4:$P$1203,2,0),"※编码不在物料档案里"))</f>
        <v/>
      </c>
      <c r="I654" s="24">
        <f>IF($D654="","",IFERROR(VLOOKUP($D654,物料档案!$A$4:$P$1203,6,0),"※编码不在物料档案里"))</f>
        <v/>
      </c>
      <c r="J654" s="23" t="n"/>
      <c r="K654" s="17" t="n"/>
      <c r="L654" s="17" t="n"/>
      <c r="M654" s="17" t="n"/>
      <c r="N654" s="17" t="n"/>
      <c r="O654" s="26">
        <f>IF($D654="","",IFERROR(VLOOKUP($D654,物料档案!$A$4:$P$1203,10,0),0))</f>
        <v/>
      </c>
      <c r="P654" s="32" t="n"/>
      <c r="Q654" s="26">
        <f>IF($D654="","",IF($K654&lt;&gt;"对外销售",0,ROUND(N($J654)*IF($P654="",N($O654),N($P654)),0)))</f>
        <v/>
      </c>
      <c r="R654" s="26">
        <f>IF($D654="","",IFERROR(VLOOKUP($D654,库存台账!$A$5:$Y$1204,11,0),0))</f>
        <v/>
      </c>
      <c r="S654" s="26">
        <f>IF($D654="","",ROUND(N($J654)*N($R654),0))</f>
        <v/>
      </c>
      <c r="T654" s="26">
        <f>IF($D654="","",IF($K654&lt;&gt;"对外销售","",ROUND($Q654-$S654,0)))</f>
        <v/>
      </c>
      <c r="U654" s="17" t="n"/>
      <c r="V654" s="17" t="n"/>
      <c r="W654" s="24">
        <f>IF($D654="","",IF($E654="※编码不在物料档案里","※物料编码不在档案里",IF(N($J654)&lt;=0,"※出库数量要大于 0",IF($K654="","※没填去向类型",IF($L654="","※没填去向矿区",IF(AND($C654&lt;&gt;"",$C654&lt;=结账锁),"※日期早于已结账截止日，不能再录",IF(AND($K654="自用消耗",COUNTIF({"一矿区";"二矿区"},$L654)=0),"※自用消耗的去向只能是一矿区或二矿区",IF(AND($K654="对外销售",COUNTIF({"三矿区";"六矿区"},$L654)=0),"※对外销售的去向只能是三矿区或六矿区",IF(AND($K654="对外销售",ROUND($Q654,0)=0),"※外销却没有售价，请填实际售价",IF(AND($K654="对外销售",$T654&lt;&gt;"",$T654&lt;0),"※这一笔外销是亏的，请核对售价",IF(IFERROR(VLOOKUP($D654,库存台账!$A$5:$Y$1204,24,0),0)&lt;-0.001,"※这个物料账面已经变成负数了，查一下是不是漏记入库","")))))))))))</f>
        <v/>
      </c>
    </row>
    <row r="655">
      <c r="A655" s="24">
        <f>IF($D655="","",COUNTA($D$4:$D655))</f>
        <v/>
      </c>
      <c r="B655" s="17" t="n"/>
      <c r="C655" s="30" t="n"/>
      <c r="D655" s="17" t="n"/>
      <c r="E655" s="24">
        <f>IF($D655="","",IFERROR(VLOOKUP($D655,物料档案!$A$4:$P$1203,3,0),"※编码不在物料档案里"))</f>
        <v/>
      </c>
      <c r="F655" s="24">
        <f>IF($D655="","",IFERROR(VLOOKUP($D655,物料档案!$A$4:$P$1203,4,0),"※编码不在物料档案里"))</f>
        <v/>
      </c>
      <c r="G655" s="24">
        <f>IF($D655="","",IFERROR(VLOOKUP($D655,物料档案!$A$4:$P$1203,5,0),"※编码不在物料档案里"))</f>
        <v/>
      </c>
      <c r="H655" s="24">
        <f>IF($D655="","",IFERROR(VLOOKUP($D655,物料档案!$A$4:$P$1203,2,0),"※编码不在物料档案里"))</f>
        <v/>
      </c>
      <c r="I655" s="24">
        <f>IF($D655="","",IFERROR(VLOOKUP($D655,物料档案!$A$4:$P$1203,6,0),"※编码不在物料档案里"))</f>
        <v/>
      </c>
      <c r="J655" s="23" t="n"/>
      <c r="K655" s="17" t="n"/>
      <c r="L655" s="17" t="n"/>
      <c r="M655" s="17" t="n"/>
      <c r="N655" s="17" t="n"/>
      <c r="O655" s="26">
        <f>IF($D655="","",IFERROR(VLOOKUP($D655,物料档案!$A$4:$P$1203,10,0),0))</f>
        <v/>
      </c>
      <c r="P655" s="32" t="n"/>
      <c r="Q655" s="26">
        <f>IF($D655="","",IF($K655&lt;&gt;"对外销售",0,ROUND(N($J655)*IF($P655="",N($O655),N($P655)),0)))</f>
        <v/>
      </c>
      <c r="R655" s="26">
        <f>IF($D655="","",IFERROR(VLOOKUP($D655,库存台账!$A$5:$Y$1204,11,0),0))</f>
        <v/>
      </c>
      <c r="S655" s="26">
        <f>IF($D655="","",ROUND(N($J655)*N($R655),0))</f>
        <v/>
      </c>
      <c r="T655" s="26">
        <f>IF($D655="","",IF($K655&lt;&gt;"对外销售","",ROUND($Q655-$S655,0)))</f>
        <v/>
      </c>
      <c r="U655" s="17" t="n"/>
      <c r="V655" s="17" t="n"/>
      <c r="W655" s="24">
        <f>IF($D655="","",IF($E655="※编码不在物料档案里","※物料编码不在档案里",IF(N($J655)&lt;=0,"※出库数量要大于 0",IF($K655="","※没填去向类型",IF($L655="","※没填去向矿区",IF(AND($C655&lt;&gt;"",$C655&lt;=结账锁),"※日期早于已结账截止日，不能再录",IF(AND($K655="自用消耗",COUNTIF({"一矿区";"二矿区"},$L655)=0),"※自用消耗的去向只能是一矿区或二矿区",IF(AND($K655="对外销售",COUNTIF({"三矿区";"六矿区"},$L655)=0),"※对外销售的去向只能是三矿区或六矿区",IF(AND($K655="对外销售",ROUND($Q655,0)=0),"※外销却没有售价，请填实际售价",IF(AND($K655="对外销售",$T655&lt;&gt;"",$T655&lt;0),"※这一笔外销是亏的，请核对售价",IF(IFERROR(VLOOKUP($D655,库存台账!$A$5:$Y$1204,24,0),0)&lt;-0.001,"※这个物料账面已经变成负数了，查一下是不是漏记入库","")))))))))))</f>
        <v/>
      </c>
    </row>
    <row r="656">
      <c r="A656" s="24">
        <f>IF($D656="","",COUNTA($D$4:$D656))</f>
        <v/>
      </c>
      <c r="B656" s="17" t="n"/>
      <c r="C656" s="30" t="n"/>
      <c r="D656" s="17" t="n"/>
      <c r="E656" s="24">
        <f>IF($D656="","",IFERROR(VLOOKUP($D656,物料档案!$A$4:$P$1203,3,0),"※编码不在物料档案里"))</f>
        <v/>
      </c>
      <c r="F656" s="24">
        <f>IF($D656="","",IFERROR(VLOOKUP($D656,物料档案!$A$4:$P$1203,4,0),"※编码不在物料档案里"))</f>
        <v/>
      </c>
      <c r="G656" s="24">
        <f>IF($D656="","",IFERROR(VLOOKUP($D656,物料档案!$A$4:$P$1203,5,0),"※编码不在物料档案里"))</f>
        <v/>
      </c>
      <c r="H656" s="24">
        <f>IF($D656="","",IFERROR(VLOOKUP($D656,物料档案!$A$4:$P$1203,2,0),"※编码不在物料档案里"))</f>
        <v/>
      </c>
      <c r="I656" s="24">
        <f>IF($D656="","",IFERROR(VLOOKUP($D656,物料档案!$A$4:$P$1203,6,0),"※编码不在物料档案里"))</f>
        <v/>
      </c>
      <c r="J656" s="23" t="n"/>
      <c r="K656" s="17" t="n"/>
      <c r="L656" s="17" t="n"/>
      <c r="M656" s="17" t="n"/>
      <c r="N656" s="17" t="n"/>
      <c r="O656" s="26">
        <f>IF($D656="","",IFERROR(VLOOKUP($D656,物料档案!$A$4:$P$1203,10,0),0))</f>
        <v/>
      </c>
      <c r="P656" s="32" t="n"/>
      <c r="Q656" s="26">
        <f>IF($D656="","",IF($K656&lt;&gt;"对外销售",0,ROUND(N($J656)*IF($P656="",N($O656),N($P656)),0)))</f>
        <v/>
      </c>
      <c r="R656" s="26">
        <f>IF($D656="","",IFERROR(VLOOKUP($D656,库存台账!$A$5:$Y$1204,11,0),0))</f>
        <v/>
      </c>
      <c r="S656" s="26">
        <f>IF($D656="","",ROUND(N($J656)*N($R656),0))</f>
        <v/>
      </c>
      <c r="T656" s="26">
        <f>IF($D656="","",IF($K656&lt;&gt;"对外销售","",ROUND($Q656-$S656,0)))</f>
        <v/>
      </c>
      <c r="U656" s="17" t="n"/>
      <c r="V656" s="17" t="n"/>
      <c r="W656" s="24">
        <f>IF($D656="","",IF($E656="※编码不在物料档案里","※物料编码不在档案里",IF(N($J656)&lt;=0,"※出库数量要大于 0",IF($K656="","※没填去向类型",IF($L656="","※没填去向矿区",IF(AND($C656&lt;&gt;"",$C656&lt;=结账锁),"※日期早于已结账截止日，不能再录",IF(AND($K656="自用消耗",COUNTIF({"一矿区";"二矿区"},$L656)=0),"※自用消耗的去向只能是一矿区或二矿区",IF(AND($K656="对外销售",COUNTIF({"三矿区";"六矿区"},$L656)=0),"※对外销售的去向只能是三矿区或六矿区",IF(AND($K656="对外销售",ROUND($Q656,0)=0),"※外销却没有售价，请填实际售价",IF(AND($K656="对外销售",$T656&lt;&gt;"",$T656&lt;0),"※这一笔外销是亏的，请核对售价",IF(IFERROR(VLOOKUP($D656,库存台账!$A$5:$Y$1204,24,0),0)&lt;-0.001,"※这个物料账面已经变成负数了，查一下是不是漏记入库","")))))))))))</f>
        <v/>
      </c>
    </row>
    <row r="657">
      <c r="A657" s="24">
        <f>IF($D657="","",COUNTA($D$4:$D657))</f>
        <v/>
      </c>
      <c r="B657" s="17" t="n"/>
      <c r="C657" s="30" t="n"/>
      <c r="D657" s="17" t="n"/>
      <c r="E657" s="24">
        <f>IF($D657="","",IFERROR(VLOOKUP($D657,物料档案!$A$4:$P$1203,3,0),"※编码不在物料档案里"))</f>
        <v/>
      </c>
      <c r="F657" s="24">
        <f>IF($D657="","",IFERROR(VLOOKUP($D657,物料档案!$A$4:$P$1203,4,0),"※编码不在物料档案里"))</f>
        <v/>
      </c>
      <c r="G657" s="24">
        <f>IF($D657="","",IFERROR(VLOOKUP($D657,物料档案!$A$4:$P$1203,5,0),"※编码不在物料档案里"))</f>
        <v/>
      </c>
      <c r="H657" s="24">
        <f>IF($D657="","",IFERROR(VLOOKUP($D657,物料档案!$A$4:$P$1203,2,0),"※编码不在物料档案里"))</f>
        <v/>
      </c>
      <c r="I657" s="24">
        <f>IF($D657="","",IFERROR(VLOOKUP($D657,物料档案!$A$4:$P$1203,6,0),"※编码不在物料档案里"))</f>
        <v/>
      </c>
      <c r="J657" s="23" t="n"/>
      <c r="K657" s="17" t="n"/>
      <c r="L657" s="17" t="n"/>
      <c r="M657" s="17" t="n"/>
      <c r="N657" s="17" t="n"/>
      <c r="O657" s="26">
        <f>IF($D657="","",IFERROR(VLOOKUP($D657,物料档案!$A$4:$P$1203,10,0),0))</f>
        <v/>
      </c>
      <c r="P657" s="32" t="n"/>
      <c r="Q657" s="26">
        <f>IF($D657="","",IF($K657&lt;&gt;"对外销售",0,ROUND(N($J657)*IF($P657="",N($O657),N($P657)),0)))</f>
        <v/>
      </c>
      <c r="R657" s="26">
        <f>IF($D657="","",IFERROR(VLOOKUP($D657,库存台账!$A$5:$Y$1204,11,0),0))</f>
        <v/>
      </c>
      <c r="S657" s="26">
        <f>IF($D657="","",ROUND(N($J657)*N($R657),0))</f>
        <v/>
      </c>
      <c r="T657" s="26">
        <f>IF($D657="","",IF($K657&lt;&gt;"对外销售","",ROUND($Q657-$S657,0)))</f>
        <v/>
      </c>
      <c r="U657" s="17" t="n"/>
      <c r="V657" s="17" t="n"/>
      <c r="W657" s="24">
        <f>IF($D657="","",IF($E657="※编码不在物料档案里","※物料编码不在档案里",IF(N($J657)&lt;=0,"※出库数量要大于 0",IF($K657="","※没填去向类型",IF($L657="","※没填去向矿区",IF(AND($C657&lt;&gt;"",$C657&lt;=结账锁),"※日期早于已结账截止日，不能再录",IF(AND($K657="自用消耗",COUNTIF({"一矿区";"二矿区"},$L657)=0),"※自用消耗的去向只能是一矿区或二矿区",IF(AND($K657="对外销售",COUNTIF({"三矿区";"六矿区"},$L657)=0),"※对外销售的去向只能是三矿区或六矿区",IF(AND($K657="对外销售",ROUND($Q657,0)=0),"※外销却没有售价，请填实际售价",IF(AND($K657="对外销售",$T657&lt;&gt;"",$T657&lt;0),"※这一笔外销是亏的，请核对售价",IF(IFERROR(VLOOKUP($D657,库存台账!$A$5:$Y$1204,24,0),0)&lt;-0.001,"※这个物料账面已经变成负数了，查一下是不是漏记入库","")))))))))))</f>
        <v/>
      </c>
    </row>
    <row r="658">
      <c r="A658" s="24">
        <f>IF($D658="","",COUNTA($D$4:$D658))</f>
        <v/>
      </c>
      <c r="B658" s="17" t="n"/>
      <c r="C658" s="30" t="n"/>
      <c r="D658" s="17" t="n"/>
      <c r="E658" s="24">
        <f>IF($D658="","",IFERROR(VLOOKUP($D658,物料档案!$A$4:$P$1203,3,0),"※编码不在物料档案里"))</f>
        <v/>
      </c>
      <c r="F658" s="24">
        <f>IF($D658="","",IFERROR(VLOOKUP($D658,物料档案!$A$4:$P$1203,4,0),"※编码不在物料档案里"))</f>
        <v/>
      </c>
      <c r="G658" s="24">
        <f>IF($D658="","",IFERROR(VLOOKUP($D658,物料档案!$A$4:$P$1203,5,0),"※编码不在物料档案里"))</f>
        <v/>
      </c>
      <c r="H658" s="24">
        <f>IF($D658="","",IFERROR(VLOOKUP($D658,物料档案!$A$4:$P$1203,2,0),"※编码不在物料档案里"))</f>
        <v/>
      </c>
      <c r="I658" s="24">
        <f>IF($D658="","",IFERROR(VLOOKUP($D658,物料档案!$A$4:$P$1203,6,0),"※编码不在物料档案里"))</f>
        <v/>
      </c>
      <c r="J658" s="23" t="n"/>
      <c r="K658" s="17" t="n"/>
      <c r="L658" s="17" t="n"/>
      <c r="M658" s="17" t="n"/>
      <c r="N658" s="17" t="n"/>
      <c r="O658" s="26">
        <f>IF($D658="","",IFERROR(VLOOKUP($D658,物料档案!$A$4:$P$1203,10,0),0))</f>
        <v/>
      </c>
      <c r="P658" s="32" t="n"/>
      <c r="Q658" s="26">
        <f>IF($D658="","",IF($K658&lt;&gt;"对外销售",0,ROUND(N($J658)*IF($P658="",N($O658),N($P658)),0)))</f>
        <v/>
      </c>
      <c r="R658" s="26">
        <f>IF($D658="","",IFERROR(VLOOKUP($D658,库存台账!$A$5:$Y$1204,11,0),0))</f>
        <v/>
      </c>
      <c r="S658" s="26">
        <f>IF($D658="","",ROUND(N($J658)*N($R658),0))</f>
        <v/>
      </c>
      <c r="T658" s="26">
        <f>IF($D658="","",IF($K658&lt;&gt;"对外销售","",ROUND($Q658-$S658,0)))</f>
        <v/>
      </c>
      <c r="U658" s="17" t="n"/>
      <c r="V658" s="17" t="n"/>
      <c r="W658" s="24">
        <f>IF($D658="","",IF($E658="※编码不在物料档案里","※物料编码不在档案里",IF(N($J658)&lt;=0,"※出库数量要大于 0",IF($K658="","※没填去向类型",IF($L658="","※没填去向矿区",IF(AND($C658&lt;&gt;"",$C658&lt;=结账锁),"※日期早于已结账截止日，不能再录",IF(AND($K658="自用消耗",COUNTIF({"一矿区";"二矿区"},$L658)=0),"※自用消耗的去向只能是一矿区或二矿区",IF(AND($K658="对外销售",COUNTIF({"三矿区";"六矿区"},$L658)=0),"※对外销售的去向只能是三矿区或六矿区",IF(AND($K658="对外销售",ROUND($Q658,0)=0),"※外销却没有售价，请填实际售价",IF(AND($K658="对外销售",$T658&lt;&gt;"",$T658&lt;0),"※这一笔外销是亏的，请核对售价",IF(IFERROR(VLOOKUP($D658,库存台账!$A$5:$Y$1204,24,0),0)&lt;-0.001,"※这个物料账面已经变成负数了，查一下是不是漏记入库","")))))))))))</f>
        <v/>
      </c>
    </row>
    <row r="659">
      <c r="A659" s="24">
        <f>IF($D659="","",COUNTA($D$4:$D659))</f>
        <v/>
      </c>
      <c r="B659" s="17" t="n"/>
      <c r="C659" s="30" t="n"/>
      <c r="D659" s="17" t="n"/>
      <c r="E659" s="24">
        <f>IF($D659="","",IFERROR(VLOOKUP($D659,物料档案!$A$4:$P$1203,3,0),"※编码不在物料档案里"))</f>
        <v/>
      </c>
      <c r="F659" s="24">
        <f>IF($D659="","",IFERROR(VLOOKUP($D659,物料档案!$A$4:$P$1203,4,0),"※编码不在物料档案里"))</f>
        <v/>
      </c>
      <c r="G659" s="24">
        <f>IF($D659="","",IFERROR(VLOOKUP($D659,物料档案!$A$4:$P$1203,5,0),"※编码不在物料档案里"))</f>
        <v/>
      </c>
      <c r="H659" s="24">
        <f>IF($D659="","",IFERROR(VLOOKUP($D659,物料档案!$A$4:$P$1203,2,0),"※编码不在物料档案里"))</f>
        <v/>
      </c>
      <c r="I659" s="24">
        <f>IF($D659="","",IFERROR(VLOOKUP($D659,物料档案!$A$4:$P$1203,6,0),"※编码不在物料档案里"))</f>
        <v/>
      </c>
      <c r="J659" s="23" t="n"/>
      <c r="K659" s="17" t="n"/>
      <c r="L659" s="17" t="n"/>
      <c r="M659" s="17" t="n"/>
      <c r="N659" s="17" t="n"/>
      <c r="O659" s="26">
        <f>IF($D659="","",IFERROR(VLOOKUP($D659,物料档案!$A$4:$P$1203,10,0),0))</f>
        <v/>
      </c>
      <c r="P659" s="32" t="n"/>
      <c r="Q659" s="26">
        <f>IF($D659="","",IF($K659&lt;&gt;"对外销售",0,ROUND(N($J659)*IF($P659="",N($O659),N($P659)),0)))</f>
        <v/>
      </c>
      <c r="R659" s="26">
        <f>IF($D659="","",IFERROR(VLOOKUP($D659,库存台账!$A$5:$Y$1204,11,0),0))</f>
        <v/>
      </c>
      <c r="S659" s="26">
        <f>IF($D659="","",ROUND(N($J659)*N($R659),0))</f>
        <v/>
      </c>
      <c r="T659" s="26">
        <f>IF($D659="","",IF($K659&lt;&gt;"对外销售","",ROUND($Q659-$S659,0)))</f>
        <v/>
      </c>
      <c r="U659" s="17" t="n"/>
      <c r="V659" s="17" t="n"/>
      <c r="W659" s="24">
        <f>IF($D659="","",IF($E659="※编码不在物料档案里","※物料编码不在档案里",IF(N($J659)&lt;=0,"※出库数量要大于 0",IF($K659="","※没填去向类型",IF($L659="","※没填去向矿区",IF(AND($C659&lt;&gt;"",$C659&lt;=结账锁),"※日期早于已结账截止日，不能再录",IF(AND($K659="自用消耗",COUNTIF({"一矿区";"二矿区"},$L659)=0),"※自用消耗的去向只能是一矿区或二矿区",IF(AND($K659="对外销售",COUNTIF({"三矿区";"六矿区"},$L659)=0),"※对外销售的去向只能是三矿区或六矿区",IF(AND($K659="对外销售",ROUND($Q659,0)=0),"※外销却没有售价，请填实际售价",IF(AND($K659="对外销售",$T659&lt;&gt;"",$T659&lt;0),"※这一笔外销是亏的，请核对售价",IF(IFERROR(VLOOKUP($D659,库存台账!$A$5:$Y$1204,24,0),0)&lt;-0.001,"※这个物料账面已经变成负数了，查一下是不是漏记入库","")))))))))))</f>
        <v/>
      </c>
    </row>
    <row r="660">
      <c r="A660" s="24">
        <f>IF($D660="","",COUNTA($D$4:$D660))</f>
        <v/>
      </c>
      <c r="B660" s="17" t="n"/>
      <c r="C660" s="30" t="n"/>
      <c r="D660" s="17" t="n"/>
      <c r="E660" s="24">
        <f>IF($D660="","",IFERROR(VLOOKUP($D660,物料档案!$A$4:$P$1203,3,0),"※编码不在物料档案里"))</f>
        <v/>
      </c>
      <c r="F660" s="24">
        <f>IF($D660="","",IFERROR(VLOOKUP($D660,物料档案!$A$4:$P$1203,4,0),"※编码不在物料档案里"))</f>
        <v/>
      </c>
      <c r="G660" s="24">
        <f>IF($D660="","",IFERROR(VLOOKUP($D660,物料档案!$A$4:$P$1203,5,0),"※编码不在物料档案里"))</f>
        <v/>
      </c>
      <c r="H660" s="24">
        <f>IF($D660="","",IFERROR(VLOOKUP($D660,物料档案!$A$4:$P$1203,2,0),"※编码不在物料档案里"))</f>
        <v/>
      </c>
      <c r="I660" s="24">
        <f>IF($D660="","",IFERROR(VLOOKUP($D660,物料档案!$A$4:$P$1203,6,0),"※编码不在物料档案里"))</f>
        <v/>
      </c>
      <c r="J660" s="23" t="n"/>
      <c r="K660" s="17" t="n"/>
      <c r="L660" s="17" t="n"/>
      <c r="M660" s="17" t="n"/>
      <c r="N660" s="17" t="n"/>
      <c r="O660" s="26">
        <f>IF($D660="","",IFERROR(VLOOKUP($D660,物料档案!$A$4:$P$1203,10,0),0))</f>
        <v/>
      </c>
      <c r="P660" s="32" t="n"/>
      <c r="Q660" s="26">
        <f>IF($D660="","",IF($K660&lt;&gt;"对外销售",0,ROUND(N($J660)*IF($P660="",N($O660),N($P660)),0)))</f>
        <v/>
      </c>
      <c r="R660" s="26">
        <f>IF($D660="","",IFERROR(VLOOKUP($D660,库存台账!$A$5:$Y$1204,11,0),0))</f>
        <v/>
      </c>
      <c r="S660" s="26">
        <f>IF($D660="","",ROUND(N($J660)*N($R660),0))</f>
        <v/>
      </c>
      <c r="T660" s="26">
        <f>IF($D660="","",IF($K660&lt;&gt;"对外销售","",ROUND($Q660-$S660,0)))</f>
        <v/>
      </c>
      <c r="U660" s="17" t="n"/>
      <c r="V660" s="17" t="n"/>
      <c r="W660" s="24">
        <f>IF($D660="","",IF($E660="※编码不在物料档案里","※物料编码不在档案里",IF(N($J660)&lt;=0,"※出库数量要大于 0",IF($K660="","※没填去向类型",IF($L660="","※没填去向矿区",IF(AND($C660&lt;&gt;"",$C660&lt;=结账锁),"※日期早于已结账截止日，不能再录",IF(AND($K660="自用消耗",COUNTIF({"一矿区";"二矿区"},$L660)=0),"※自用消耗的去向只能是一矿区或二矿区",IF(AND($K660="对外销售",COUNTIF({"三矿区";"六矿区"},$L660)=0),"※对外销售的去向只能是三矿区或六矿区",IF(AND($K660="对外销售",ROUND($Q660,0)=0),"※外销却没有售价，请填实际售价",IF(AND($K660="对外销售",$T660&lt;&gt;"",$T660&lt;0),"※这一笔外销是亏的，请核对售价",IF(IFERROR(VLOOKUP($D660,库存台账!$A$5:$Y$1204,24,0),0)&lt;-0.001,"※这个物料账面已经变成负数了，查一下是不是漏记入库","")))))))))))</f>
        <v/>
      </c>
    </row>
    <row r="661">
      <c r="A661" s="24">
        <f>IF($D661="","",COUNTA($D$4:$D661))</f>
        <v/>
      </c>
      <c r="B661" s="17" t="n"/>
      <c r="C661" s="30" t="n"/>
      <c r="D661" s="17" t="n"/>
      <c r="E661" s="24">
        <f>IF($D661="","",IFERROR(VLOOKUP($D661,物料档案!$A$4:$P$1203,3,0),"※编码不在物料档案里"))</f>
        <v/>
      </c>
      <c r="F661" s="24">
        <f>IF($D661="","",IFERROR(VLOOKUP($D661,物料档案!$A$4:$P$1203,4,0),"※编码不在物料档案里"))</f>
        <v/>
      </c>
      <c r="G661" s="24">
        <f>IF($D661="","",IFERROR(VLOOKUP($D661,物料档案!$A$4:$P$1203,5,0),"※编码不在物料档案里"))</f>
        <v/>
      </c>
      <c r="H661" s="24">
        <f>IF($D661="","",IFERROR(VLOOKUP($D661,物料档案!$A$4:$P$1203,2,0),"※编码不在物料档案里"))</f>
        <v/>
      </c>
      <c r="I661" s="24">
        <f>IF($D661="","",IFERROR(VLOOKUP($D661,物料档案!$A$4:$P$1203,6,0),"※编码不在物料档案里"))</f>
        <v/>
      </c>
      <c r="J661" s="23" t="n"/>
      <c r="K661" s="17" t="n"/>
      <c r="L661" s="17" t="n"/>
      <c r="M661" s="17" t="n"/>
      <c r="N661" s="17" t="n"/>
      <c r="O661" s="26">
        <f>IF($D661="","",IFERROR(VLOOKUP($D661,物料档案!$A$4:$P$1203,10,0),0))</f>
        <v/>
      </c>
      <c r="P661" s="32" t="n"/>
      <c r="Q661" s="26">
        <f>IF($D661="","",IF($K661&lt;&gt;"对外销售",0,ROUND(N($J661)*IF($P661="",N($O661),N($P661)),0)))</f>
        <v/>
      </c>
      <c r="R661" s="26">
        <f>IF($D661="","",IFERROR(VLOOKUP($D661,库存台账!$A$5:$Y$1204,11,0),0))</f>
        <v/>
      </c>
      <c r="S661" s="26">
        <f>IF($D661="","",ROUND(N($J661)*N($R661),0))</f>
        <v/>
      </c>
      <c r="T661" s="26">
        <f>IF($D661="","",IF($K661&lt;&gt;"对外销售","",ROUND($Q661-$S661,0)))</f>
        <v/>
      </c>
      <c r="U661" s="17" t="n"/>
      <c r="V661" s="17" t="n"/>
      <c r="W661" s="24">
        <f>IF($D661="","",IF($E661="※编码不在物料档案里","※物料编码不在档案里",IF(N($J661)&lt;=0,"※出库数量要大于 0",IF($K661="","※没填去向类型",IF($L661="","※没填去向矿区",IF(AND($C661&lt;&gt;"",$C661&lt;=结账锁),"※日期早于已结账截止日，不能再录",IF(AND($K661="自用消耗",COUNTIF({"一矿区";"二矿区"},$L661)=0),"※自用消耗的去向只能是一矿区或二矿区",IF(AND($K661="对外销售",COUNTIF({"三矿区";"六矿区"},$L661)=0),"※对外销售的去向只能是三矿区或六矿区",IF(AND($K661="对外销售",ROUND($Q661,0)=0),"※外销却没有售价，请填实际售价",IF(AND($K661="对外销售",$T661&lt;&gt;"",$T661&lt;0),"※这一笔外销是亏的，请核对售价",IF(IFERROR(VLOOKUP($D661,库存台账!$A$5:$Y$1204,24,0),0)&lt;-0.001,"※这个物料账面已经变成负数了，查一下是不是漏记入库","")))))))))))</f>
        <v/>
      </c>
    </row>
    <row r="662">
      <c r="A662" s="24">
        <f>IF($D662="","",COUNTA($D$4:$D662))</f>
        <v/>
      </c>
      <c r="B662" s="17" t="n"/>
      <c r="C662" s="30" t="n"/>
      <c r="D662" s="17" t="n"/>
      <c r="E662" s="24">
        <f>IF($D662="","",IFERROR(VLOOKUP($D662,物料档案!$A$4:$P$1203,3,0),"※编码不在物料档案里"))</f>
        <v/>
      </c>
      <c r="F662" s="24">
        <f>IF($D662="","",IFERROR(VLOOKUP($D662,物料档案!$A$4:$P$1203,4,0),"※编码不在物料档案里"))</f>
        <v/>
      </c>
      <c r="G662" s="24">
        <f>IF($D662="","",IFERROR(VLOOKUP($D662,物料档案!$A$4:$P$1203,5,0),"※编码不在物料档案里"))</f>
        <v/>
      </c>
      <c r="H662" s="24">
        <f>IF($D662="","",IFERROR(VLOOKUP($D662,物料档案!$A$4:$P$1203,2,0),"※编码不在物料档案里"))</f>
        <v/>
      </c>
      <c r="I662" s="24">
        <f>IF($D662="","",IFERROR(VLOOKUP($D662,物料档案!$A$4:$P$1203,6,0),"※编码不在物料档案里"))</f>
        <v/>
      </c>
      <c r="J662" s="23" t="n"/>
      <c r="K662" s="17" t="n"/>
      <c r="L662" s="17" t="n"/>
      <c r="M662" s="17" t="n"/>
      <c r="N662" s="17" t="n"/>
      <c r="O662" s="26">
        <f>IF($D662="","",IFERROR(VLOOKUP($D662,物料档案!$A$4:$P$1203,10,0),0))</f>
        <v/>
      </c>
      <c r="P662" s="32" t="n"/>
      <c r="Q662" s="26">
        <f>IF($D662="","",IF($K662&lt;&gt;"对外销售",0,ROUND(N($J662)*IF($P662="",N($O662),N($P662)),0)))</f>
        <v/>
      </c>
      <c r="R662" s="26">
        <f>IF($D662="","",IFERROR(VLOOKUP($D662,库存台账!$A$5:$Y$1204,11,0),0))</f>
        <v/>
      </c>
      <c r="S662" s="26">
        <f>IF($D662="","",ROUND(N($J662)*N($R662),0))</f>
        <v/>
      </c>
      <c r="T662" s="26">
        <f>IF($D662="","",IF($K662&lt;&gt;"对外销售","",ROUND($Q662-$S662,0)))</f>
        <v/>
      </c>
      <c r="U662" s="17" t="n"/>
      <c r="V662" s="17" t="n"/>
      <c r="W662" s="24">
        <f>IF($D662="","",IF($E662="※编码不在物料档案里","※物料编码不在档案里",IF(N($J662)&lt;=0,"※出库数量要大于 0",IF($K662="","※没填去向类型",IF($L662="","※没填去向矿区",IF(AND($C662&lt;&gt;"",$C662&lt;=结账锁),"※日期早于已结账截止日，不能再录",IF(AND($K662="自用消耗",COUNTIF({"一矿区";"二矿区"},$L662)=0),"※自用消耗的去向只能是一矿区或二矿区",IF(AND($K662="对外销售",COUNTIF({"三矿区";"六矿区"},$L662)=0),"※对外销售的去向只能是三矿区或六矿区",IF(AND($K662="对外销售",ROUND($Q662,0)=0),"※外销却没有售价，请填实际售价",IF(AND($K662="对外销售",$T662&lt;&gt;"",$T662&lt;0),"※这一笔外销是亏的，请核对售价",IF(IFERROR(VLOOKUP($D662,库存台账!$A$5:$Y$1204,24,0),0)&lt;-0.001,"※这个物料账面已经变成负数了，查一下是不是漏记入库","")))))))))))</f>
        <v/>
      </c>
    </row>
    <row r="663">
      <c r="A663" s="24">
        <f>IF($D663="","",COUNTA($D$4:$D663))</f>
        <v/>
      </c>
      <c r="B663" s="17" t="n"/>
      <c r="C663" s="30" t="n"/>
      <c r="D663" s="17" t="n"/>
      <c r="E663" s="24">
        <f>IF($D663="","",IFERROR(VLOOKUP($D663,物料档案!$A$4:$P$1203,3,0),"※编码不在物料档案里"))</f>
        <v/>
      </c>
      <c r="F663" s="24">
        <f>IF($D663="","",IFERROR(VLOOKUP($D663,物料档案!$A$4:$P$1203,4,0),"※编码不在物料档案里"))</f>
        <v/>
      </c>
      <c r="G663" s="24">
        <f>IF($D663="","",IFERROR(VLOOKUP($D663,物料档案!$A$4:$P$1203,5,0),"※编码不在物料档案里"))</f>
        <v/>
      </c>
      <c r="H663" s="24">
        <f>IF($D663="","",IFERROR(VLOOKUP($D663,物料档案!$A$4:$P$1203,2,0),"※编码不在物料档案里"))</f>
        <v/>
      </c>
      <c r="I663" s="24">
        <f>IF($D663="","",IFERROR(VLOOKUP($D663,物料档案!$A$4:$P$1203,6,0),"※编码不在物料档案里"))</f>
        <v/>
      </c>
      <c r="J663" s="23" t="n"/>
      <c r="K663" s="17" t="n"/>
      <c r="L663" s="17" t="n"/>
      <c r="M663" s="17" t="n"/>
      <c r="N663" s="17" t="n"/>
      <c r="O663" s="26">
        <f>IF($D663="","",IFERROR(VLOOKUP($D663,物料档案!$A$4:$P$1203,10,0),0))</f>
        <v/>
      </c>
      <c r="P663" s="32" t="n"/>
      <c r="Q663" s="26">
        <f>IF($D663="","",IF($K663&lt;&gt;"对外销售",0,ROUND(N($J663)*IF($P663="",N($O663),N($P663)),0)))</f>
        <v/>
      </c>
      <c r="R663" s="26">
        <f>IF($D663="","",IFERROR(VLOOKUP($D663,库存台账!$A$5:$Y$1204,11,0),0))</f>
        <v/>
      </c>
      <c r="S663" s="26">
        <f>IF($D663="","",ROUND(N($J663)*N($R663),0))</f>
        <v/>
      </c>
      <c r="T663" s="26">
        <f>IF($D663="","",IF($K663&lt;&gt;"对外销售","",ROUND($Q663-$S663,0)))</f>
        <v/>
      </c>
      <c r="U663" s="17" t="n"/>
      <c r="V663" s="17" t="n"/>
      <c r="W663" s="24">
        <f>IF($D663="","",IF($E663="※编码不在物料档案里","※物料编码不在档案里",IF(N($J663)&lt;=0,"※出库数量要大于 0",IF($K663="","※没填去向类型",IF($L663="","※没填去向矿区",IF(AND($C663&lt;&gt;"",$C663&lt;=结账锁),"※日期早于已结账截止日，不能再录",IF(AND($K663="自用消耗",COUNTIF({"一矿区";"二矿区"},$L663)=0),"※自用消耗的去向只能是一矿区或二矿区",IF(AND($K663="对外销售",COUNTIF({"三矿区";"六矿区"},$L663)=0),"※对外销售的去向只能是三矿区或六矿区",IF(AND($K663="对外销售",ROUND($Q663,0)=0),"※外销却没有售价，请填实际售价",IF(AND($K663="对外销售",$T663&lt;&gt;"",$T663&lt;0),"※这一笔外销是亏的，请核对售价",IF(IFERROR(VLOOKUP($D663,库存台账!$A$5:$Y$1204,24,0),0)&lt;-0.001,"※这个物料账面已经变成负数了，查一下是不是漏记入库","")))))))))))</f>
        <v/>
      </c>
    </row>
    <row r="664">
      <c r="A664" s="24">
        <f>IF($D664="","",COUNTA($D$4:$D664))</f>
        <v/>
      </c>
      <c r="B664" s="17" t="n"/>
      <c r="C664" s="30" t="n"/>
      <c r="D664" s="17" t="n"/>
      <c r="E664" s="24">
        <f>IF($D664="","",IFERROR(VLOOKUP($D664,物料档案!$A$4:$P$1203,3,0),"※编码不在物料档案里"))</f>
        <v/>
      </c>
      <c r="F664" s="24">
        <f>IF($D664="","",IFERROR(VLOOKUP($D664,物料档案!$A$4:$P$1203,4,0),"※编码不在物料档案里"))</f>
        <v/>
      </c>
      <c r="G664" s="24">
        <f>IF($D664="","",IFERROR(VLOOKUP($D664,物料档案!$A$4:$P$1203,5,0),"※编码不在物料档案里"))</f>
        <v/>
      </c>
      <c r="H664" s="24">
        <f>IF($D664="","",IFERROR(VLOOKUP($D664,物料档案!$A$4:$P$1203,2,0),"※编码不在物料档案里"))</f>
        <v/>
      </c>
      <c r="I664" s="24">
        <f>IF($D664="","",IFERROR(VLOOKUP($D664,物料档案!$A$4:$P$1203,6,0),"※编码不在物料档案里"))</f>
        <v/>
      </c>
      <c r="J664" s="23" t="n"/>
      <c r="K664" s="17" t="n"/>
      <c r="L664" s="17" t="n"/>
      <c r="M664" s="17" t="n"/>
      <c r="N664" s="17" t="n"/>
      <c r="O664" s="26">
        <f>IF($D664="","",IFERROR(VLOOKUP($D664,物料档案!$A$4:$P$1203,10,0),0))</f>
        <v/>
      </c>
      <c r="P664" s="32" t="n"/>
      <c r="Q664" s="26">
        <f>IF($D664="","",IF($K664&lt;&gt;"对外销售",0,ROUND(N($J664)*IF($P664="",N($O664),N($P664)),0)))</f>
        <v/>
      </c>
      <c r="R664" s="26">
        <f>IF($D664="","",IFERROR(VLOOKUP($D664,库存台账!$A$5:$Y$1204,11,0),0))</f>
        <v/>
      </c>
      <c r="S664" s="26">
        <f>IF($D664="","",ROUND(N($J664)*N($R664),0))</f>
        <v/>
      </c>
      <c r="T664" s="26">
        <f>IF($D664="","",IF($K664&lt;&gt;"对外销售","",ROUND($Q664-$S664,0)))</f>
        <v/>
      </c>
      <c r="U664" s="17" t="n"/>
      <c r="V664" s="17" t="n"/>
      <c r="W664" s="24">
        <f>IF($D664="","",IF($E664="※编码不在物料档案里","※物料编码不在档案里",IF(N($J664)&lt;=0,"※出库数量要大于 0",IF($K664="","※没填去向类型",IF($L664="","※没填去向矿区",IF(AND($C664&lt;&gt;"",$C664&lt;=结账锁),"※日期早于已结账截止日，不能再录",IF(AND($K664="自用消耗",COUNTIF({"一矿区";"二矿区"},$L664)=0),"※自用消耗的去向只能是一矿区或二矿区",IF(AND($K664="对外销售",COUNTIF({"三矿区";"六矿区"},$L664)=0),"※对外销售的去向只能是三矿区或六矿区",IF(AND($K664="对外销售",ROUND($Q664,0)=0),"※外销却没有售价，请填实际售价",IF(AND($K664="对外销售",$T664&lt;&gt;"",$T664&lt;0),"※这一笔外销是亏的，请核对售价",IF(IFERROR(VLOOKUP($D664,库存台账!$A$5:$Y$1204,24,0),0)&lt;-0.001,"※这个物料账面已经变成负数了，查一下是不是漏记入库","")))))))))))</f>
        <v/>
      </c>
    </row>
    <row r="665">
      <c r="A665" s="24">
        <f>IF($D665="","",COUNTA($D$4:$D665))</f>
        <v/>
      </c>
      <c r="B665" s="17" t="n"/>
      <c r="C665" s="30" t="n"/>
      <c r="D665" s="17" t="n"/>
      <c r="E665" s="24">
        <f>IF($D665="","",IFERROR(VLOOKUP($D665,物料档案!$A$4:$P$1203,3,0),"※编码不在物料档案里"))</f>
        <v/>
      </c>
      <c r="F665" s="24">
        <f>IF($D665="","",IFERROR(VLOOKUP($D665,物料档案!$A$4:$P$1203,4,0),"※编码不在物料档案里"))</f>
        <v/>
      </c>
      <c r="G665" s="24">
        <f>IF($D665="","",IFERROR(VLOOKUP($D665,物料档案!$A$4:$P$1203,5,0),"※编码不在物料档案里"))</f>
        <v/>
      </c>
      <c r="H665" s="24">
        <f>IF($D665="","",IFERROR(VLOOKUP($D665,物料档案!$A$4:$P$1203,2,0),"※编码不在物料档案里"))</f>
        <v/>
      </c>
      <c r="I665" s="24">
        <f>IF($D665="","",IFERROR(VLOOKUP($D665,物料档案!$A$4:$P$1203,6,0),"※编码不在物料档案里"))</f>
        <v/>
      </c>
      <c r="J665" s="23" t="n"/>
      <c r="K665" s="17" t="n"/>
      <c r="L665" s="17" t="n"/>
      <c r="M665" s="17" t="n"/>
      <c r="N665" s="17" t="n"/>
      <c r="O665" s="26">
        <f>IF($D665="","",IFERROR(VLOOKUP($D665,物料档案!$A$4:$P$1203,10,0),0))</f>
        <v/>
      </c>
      <c r="P665" s="32" t="n"/>
      <c r="Q665" s="26">
        <f>IF($D665="","",IF($K665&lt;&gt;"对外销售",0,ROUND(N($J665)*IF($P665="",N($O665),N($P665)),0)))</f>
        <v/>
      </c>
      <c r="R665" s="26">
        <f>IF($D665="","",IFERROR(VLOOKUP($D665,库存台账!$A$5:$Y$1204,11,0),0))</f>
        <v/>
      </c>
      <c r="S665" s="26">
        <f>IF($D665="","",ROUND(N($J665)*N($R665),0))</f>
        <v/>
      </c>
      <c r="T665" s="26">
        <f>IF($D665="","",IF($K665&lt;&gt;"对外销售","",ROUND($Q665-$S665,0)))</f>
        <v/>
      </c>
      <c r="U665" s="17" t="n"/>
      <c r="V665" s="17" t="n"/>
      <c r="W665" s="24">
        <f>IF($D665="","",IF($E665="※编码不在物料档案里","※物料编码不在档案里",IF(N($J665)&lt;=0,"※出库数量要大于 0",IF($K665="","※没填去向类型",IF($L665="","※没填去向矿区",IF(AND($C665&lt;&gt;"",$C665&lt;=结账锁),"※日期早于已结账截止日，不能再录",IF(AND($K665="自用消耗",COUNTIF({"一矿区";"二矿区"},$L665)=0),"※自用消耗的去向只能是一矿区或二矿区",IF(AND($K665="对外销售",COUNTIF({"三矿区";"六矿区"},$L665)=0),"※对外销售的去向只能是三矿区或六矿区",IF(AND($K665="对外销售",ROUND($Q665,0)=0),"※外销却没有售价，请填实际售价",IF(AND($K665="对外销售",$T665&lt;&gt;"",$T665&lt;0),"※这一笔外销是亏的，请核对售价",IF(IFERROR(VLOOKUP($D665,库存台账!$A$5:$Y$1204,24,0),0)&lt;-0.001,"※这个物料账面已经变成负数了，查一下是不是漏记入库","")))))))))))</f>
        <v/>
      </c>
    </row>
    <row r="666">
      <c r="A666" s="24">
        <f>IF($D666="","",COUNTA($D$4:$D666))</f>
        <v/>
      </c>
      <c r="B666" s="17" t="n"/>
      <c r="C666" s="30" t="n"/>
      <c r="D666" s="17" t="n"/>
      <c r="E666" s="24">
        <f>IF($D666="","",IFERROR(VLOOKUP($D666,物料档案!$A$4:$P$1203,3,0),"※编码不在物料档案里"))</f>
        <v/>
      </c>
      <c r="F666" s="24">
        <f>IF($D666="","",IFERROR(VLOOKUP($D666,物料档案!$A$4:$P$1203,4,0),"※编码不在物料档案里"))</f>
        <v/>
      </c>
      <c r="G666" s="24">
        <f>IF($D666="","",IFERROR(VLOOKUP($D666,物料档案!$A$4:$P$1203,5,0),"※编码不在物料档案里"))</f>
        <v/>
      </c>
      <c r="H666" s="24">
        <f>IF($D666="","",IFERROR(VLOOKUP($D666,物料档案!$A$4:$P$1203,2,0),"※编码不在物料档案里"))</f>
        <v/>
      </c>
      <c r="I666" s="24">
        <f>IF($D666="","",IFERROR(VLOOKUP($D666,物料档案!$A$4:$P$1203,6,0),"※编码不在物料档案里"))</f>
        <v/>
      </c>
      <c r="J666" s="23" t="n"/>
      <c r="K666" s="17" t="n"/>
      <c r="L666" s="17" t="n"/>
      <c r="M666" s="17" t="n"/>
      <c r="N666" s="17" t="n"/>
      <c r="O666" s="26">
        <f>IF($D666="","",IFERROR(VLOOKUP($D666,物料档案!$A$4:$P$1203,10,0),0))</f>
        <v/>
      </c>
      <c r="P666" s="32" t="n"/>
      <c r="Q666" s="26">
        <f>IF($D666="","",IF($K666&lt;&gt;"对外销售",0,ROUND(N($J666)*IF($P666="",N($O666),N($P666)),0)))</f>
        <v/>
      </c>
      <c r="R666" s="26">
        <f>IF($D666="","",IFERROR(VLOOKUP($D666,库存台账!$A$5:$Y$1204,11,0),0))</f>
        <v/>
      </c>
      <c r="S666" s="26">
        <f>IF($D666="","",ROUND(N($J666)*N($R666),0))</f>
        <v/>
      </c>
      <c r="T666" s="26">
        <f>IF($D666="","",IF($K666&lt;&gt;"对外销售","",ROUND($Q666-$S666,0)))</f>
        <v/>
      </c>
      <c r="U666" s="17" t="n"/>
      <c r="V666" s="17" t="n"/>
      <c r="W666" s="24">
        <f>IF($D666="","",IF($E666="※编码不在物料档案里","※物料编码不在档案里",IF(N($J666)&lt;=0,"※出库数量要大于 0",IF($K666="","※没填去向类型",IF($L666="","※没填去向矿区",IF(AND($C666&lt;&gt;"",$C666&lt;=结账锁),"※日期早于已结账截止日，不能再录",IF(AND($K666="自用消耗",COUNTIF({"一矿区";"二矿区"},$L666)=0),"※自用消耗的去向只能是一矿区或二矿区",IF(AND($K666="对外销售",COUNTIF({"三矿区";"六矿区"},$L666)=0),"※对外销售的去向只能是三矿区或六矿区",IF(AND($K666="对外销售",ROUND($Q666,0)=0),"※外销却没有售价，请填实际售价",IF(AND($K666="对外销售",$T666&lt;&gt;"",$T666&lt;0),"※这一笔外销是亏的，请核对售价",IF(IFERROR(VLOOKUP($D666,库存台账!$A$5:$Y$1204,24,0),0)&lt;-0.001,"※这个物料账面已经变成负数了，查一下是不是漏记入库","")))))))))))</f>
        <v/>
      </c>
    </row>
    <row r="667">
      <c r="A667" s="24">
        <f>IF($D667="","",COUNTA($D$4:$D667))</f>
        <v/>
      </c>
      <c r="B667" s="17" t="n"/>
      <c r="C667" s="30" t="n"/>
      <c r="D667" s="17" t="n"/>
      <c r="E667" s="24">
        <f>IF($D667="","",IFERROR(VLOOKUP($D667,物料档案!$A$4:$P$1203,3,0),"※编码不在物料档案里"))</f>
        <v/>
      </c>
      <c r="F667" s="24">
        <f>IF($D667="","",IFERROR(VLOOKUP($D667,物料档案!$A$4:$P$1203,4,0),"※编码不在物料档案里"))</f>
        <v/>
      </c>
      <c r="G667" s="24">
        <f>IF($D667="","",IFERROR(VLOOKUP($D667,物料档案!$A$4:$P$1203,5,0),"※编码不在物料档案里"))</f>
        <v/>
      </c>
      <c r="H667" s="24">
        <f>IF($D667="","",IFERROR(VLOOKUP($D667,物料档案!$A$4:$P$1203,2,0),"※编码不在物料档案里"))</f>
        <v/>
      </c>
      <c r="I667" s="24">
        <f>IF($D667="","",IFERROR(VLOOKUP($D667,物料档案!$A$4:$P$1203,6,0),"※编码不在物料档案里"))</f>
        <v/>
      </c>
      <c r="J667" s="23" t="n"/>
      <c r="K667" s="17" t="n"/>
      <c r="L667" s="17" t="n"/>
      <c r="M667" s="17" t="n"/>
      <c r="N667" s="17" t="n"/>
      <c r="O667" s="26">
        <f>IF($D667="","",IFERROR(VLOOKUP($D667,物料档案!$A$4:$P$1203,10,0),0))</f>
        <v/>
      </c>
      <c r="P667" s="32" t="n"/>
      <c r="Q667" s="26">
        <f>IF($D667="","",IF($K667&lt;&gt;"对外销售",0,ROUND(N($J667)*IF($P667="",N($O667),N($P667)),0)))</f>
        <v/>
      </c>
      <c r="R667" s="26">
        <f>IF($D667="","",IFERROR(VLOOKUP($D667,库存台账!$A$5:$Y$1204,11,0),0))</f>
        <v/>
      </c>
      <c r="S667" s="26">
        <f>IF($D667="","",ROUND(N($J667)*N($R667),0))</f>
        <v/>
      </c>
      <c r="T667" s="26">
        <f>IF($D667="","",IF($K667&lt;&gt;"对外销售","",ROUND($Q667-$S667,0)))</f>
        <v/>
      </c>
      <c r="U667" s="17" t="n"/>
      <c r="V667" s="17" t="n"/>
      <c r="W667" s="24">
        <f>IF($D667="","",IF($E667="※编码不在物料档案里","※物料编码不在档案里",IF(N($J667)&lt;=0,"※出库数量要大于 0",IF($K667="","※没填去向类型",IF($L667="","※没填去向矿区",IF(AND($C667&lt;&gt;"",$C667&lt;=结账锁),"※日期早于已结账截止日，不能再录",IF(AND($K667="自用消耗",COUNTIF({"一矿区";"二矿区"},$L667)=0),"※自用消耗的去向只能是一矿区或二矿区",IF(AND($K667="对外销售",COUNTIF({"三矿区";"六矿区"},$L667)=0),"※对外销售的去向只能是三矿区或六矿区",IF(AND($K667="对外销售",ROUND($Q667,0)=0),"※外销却没有售价，请填实际售价",IF(AND($K667="对外销售",$T667&lt;&gt;"",$T667&lt;0),"※这一笔外销是亏的，请核对售价",IF(IFERROR(VLOOKUP($D667,库存台账!$A$5:$Y$1204,24,0),0)&lt;-0.001,"※这个物料账面已经变成负数了，查一下是不是漏记入库","")))))))))))</f>
        <v/>
      </c>
    </row>
    <row r="668">
      <c r="A668" s="24">
        <f>IF($D668="","",COUNTA($D$4:$D668))</f>
        <v/>
      </c>
      <c r="B668" s="17" t="n"/>
      <c r="C668" s="30" t="n"/>
      <c r="D668" s="17" t="n"/>
      <c r="E668" s="24">
        <f>IF($D668="","",IFERROR(VLOOKUP($D668,物料档案!$A$4:$P$1203,3,0),"※编码不在物料档案里"))</f>
        <v/>
      </c>
      <c r="F668" s="24">
        <f>IF($D668="","",IFERROR(VLOOKUP($D668,物料档案!$A$4:$P$1203,4,0),"※编码不在物料档案里"))</f>
        <v/>
      </c>
      <c r="G668" s="24">
        <f>IF($D668="","",IFERROR(VLOOKUP($D668,物料档案!$A$4:$P$1203,5,0),"※编码不在物料档案里"))</f>
        <v/>
      </c>
      <c r="H668" s="24">
        <f>IF($D668="","",IFERROR(VLOOKUP($D668,物料档案!$A$4:$P$1203,2,0),"※编码不在物料档案里"))</f>
        <v/>
      </c>
      <c r="I668" s="24">
        <f>IF($D668="","",IFERROR(VLOOKUP($D668,物料档案!$A$4:$P$1203,6,0),"※编码不在物料档案里"))</f>
        <v/>
      </c>
      <c r="J668" s="23" t="n"/>
      <c r="K668" s="17" t="n"/>
      <c r="L668" s="17" t="n"/>
      <c r="M668" s="17" t="n"/>
      <c r="N668" s="17" t="n"/>
      <c r="O668" s="26">
        <f>IF($D668="","",IFERROR(VLOOKUP($D668,物料档案!$A$4:$P$1203,10,0),0))</f>
        <v/>
      </c>
      <c r="P668" s="32" t="n"/>
      <c r="Q668" s="26">
        <f>IF($D668="","",IF($K668&lt;&gt;"对外销售",0,ROUND(N($J668)*IF($P668="",N($O668),N($P668)),0)))</f>
        <v/>
      </c>
      <c r="R668" s="26">
        <f>IF($D668="","",IFERROR(VLOOKUP($D668,库存台账!$A$5:$Y$1204,11,0),0))</f>
        <v/>
      </c>
      <c r="S668" s="26">
        <f>IF($D668="","",ROUND(N($J668)*N($R668),0))</f>
        <v/>
      </c>
      <c r="T668" s="26">
        <f>IF($D668="","",IF($K668&lt;&gt;"对外销售","",ROUND($Q668-$S668,0)))</f>
        <v/>
      </c>
      <c r="U668" s="17" t="n"/>
      <c r="V668" s="17" t="n"/>
      <c r="W668" s="24">
        <f>IF($D668="","",IF($E668="※编码不在物料档案里","※物料编码不在档案里",IF(N($J668)&lt;=0,"※出库数量要大于 0",IF($K668="","※没填去向类型",IF($L668="","※没填去向矿区",IF(AND($C668&lt;&gt;"",$C668&lt;=结账锁),"※日期早于已结账截止日，不能再录",IF(AND($K668="自用消耗",COUNTIF({"一矿区";"二矿区"},$L668)=0),"※自用消耗的去向只能是一矿区或二矿区",IF(AND($K668="对外销售",COUNTIF({"三矿区";"六矿区"},$L668)=0),"※对外销售的去向只能是三矿区或六矿区",IF(AND($K668="对外销售",ROUND($Q668,0)=0),"※外销却没有售价，请填实际售价",IF(AND($K668="对外销售",$T668&lt;&gt;"",$T668&lt;0),"※这一笔外销是亏的，请核对售价",IF(IFERROR(VLOOKUP($D668,库存台账!$A$5:$Y$1204,24,0),0)&lt;-0.001,"※这个物料账面已经变成负数了，查一下是不是漏记入库","")))))))))))</f>
        <v/>
      </c>
    </row>
    <row r="669">
      <c r="A669" s="24">
        <f>IF($D669="","",COUNTA($D$4:$D669))</f>
        <v/>
      </c>
      <c r="B669" s="17" t="n"/>
      <c r="C669" s="30" t="n"/>
      <c r="D669" s="17" t="n"/>
      <c r="E669" s="24">
        <f>IF($D669="","",IFERROR(VLOOKUP($D669,物料档案!$A$4:$P$1203,3,0),"※编码不在物料档案里"))</f>
        <v/>
      </c>
      <c r="F669" s="24">
        <f>IF($D669="","",IFERROR(VLOOKUP($D669,物料档案!$A$4:$P$1203,4,0),"※编码不在物料档案里"))</f>
        <v/>
      </c>
      <c r="G669" s="24">
        <f>IF($D669="","",IFERROR(VLOOKUP($D669,物料档案!$A$4:$P$1203,5,0),"※编码不在物料档案里"))</f>
        <v/>
      </c>
      <c r="H669" s="24">
        <f>IF($D669="","",IFERROR(VLOOKUP($D669,物料档案!$A$4:$P$1203,2,0),"※编码不在物料档案里"))</f>
        <v/>
      </c>
      <c r="I669" s="24">
        <f>IF($D669="","",IFERROR(VLOOKUP($D669,物料档案!$A$4:$P$1203,6,0),"※编码不在物料档案里"))</f>
        <v/>
      </c>
      <c r="J669" s="23" t="n"/>
      <c r="K669" s="17" t="n"/>
      <c r="L669" s="17" t="n"/>
      <c r="M669" s="17" t="n"/>
      <c r="N669" s="17" t="n"/>
      <c r="O669" s="26">
        <f>IF($D669="","",IFERROR(VLOOKUP($D669,物料档案!$A$4:$P$1203,10,0),0))</f>
        <v/>
      </c>
      <c r="P669" s="32" t="n"/>
      <c r="Q669" s="26">
        <f>IF($D669="","",IF($K669&lt;&gt;"对外销售",0,ROUND(N($J669)*IF($P669="",N($O669),N($P669)),0)))</f>
        <v/>
      </c>
      <c r="R669" s="26">
        <f>IF($D669="","",IFERROR(VLOOKUP($D669,库存台账!$A$5:$Y$1204,11,0),0))</f>
        <v/>
      </c>
      <c r="S669" s="26">
        <f>IF($D669="","",ROUND(N($J669)*N($R669),0))</f>
        <v/>
      </c>
      <c r="T669" s="26">
        <f>IF($D669="","",IF($K669&lt;&gt;"对外销售","",ROUND($Q669-$S669,0)))</f>
        <v/>
      </c>
      <c r="U669" s="17" t="n"/>
      <c r="V669" s="17" t="n"/>
      <c r="W669" s="24">
        <f>IF($D669="","",IF($E669="※编码不在物料档案里","※物料编码不在档案里",IF(N($J669)&lt;=0,"※出库数量要大于 0",IF($K669="","※没填去向类型",IF($L669="","※没填去向矿区",IF(AND($C669&lt;&gt;"",$C669&lt;=结账锁),"※日期早于已结账截止日，不能再录",IF(AND($K669="自用消耗",COUNTIF({"一矿区";"二矿区"},$L669)=0),"※自用消耗的去向只能是一矿区或二矿区",IF(AND($K669="对外销售",COUNTIF({"三矿区";"六矿区"},$L669)=0),"※对外销售的去向只能是三矿区或六矿区",IF(AND($K669="对外销售",ROUND($Q669,0)=0),"※外销却没有售价，请填实际售价",IF(AND($K669="对外销售",$T669&lt;&gt;"",$T669&lt;0),"※这一笔外销是亏的，请核对售价",IF(IFERROR(VLOOKUP($D669,库存台账!$A$5:$Y$1204,24,0),0)&lt;-0.001,"※这个物料账面已经变成负数了，查一下是不是漏记入库","")))))))))))</f>
        <v/>
      </c>
    </row>
    <row r="670">
      <c r="A670" s="24">
        <f>IF($D670="","",COUNTA($D$4:$D670))</f>
        <v/>
      </c>
      <c r="B670" s="17" t="n"/>
      <c r="C670" s="30" t="n"/>
      <c r="D670" s="17" t="n"/>
      <c r="E670" s="24">
        <f>IF($D670="","",IFERROR(VLOOKUP($D670,物料档案!$A$4:$P$1203,3,0),"※编码不在物料档案里"))</f>
        <v/>
      </c>
      <c r="F670" s="24">
        <f>IF($D670="","",IFERROR(VLOOKUP($D670,物料档案!$A$4:$P$1203,4,0),"※编码不在物料档案里"))</f>
        <v/>
      </c>
      <c r="G670" s="24">
        <f>IF($D670="","",IFERROR(VLOOKUP($D670,物料档案!$A$4:$P$1203,5,0),"※编码不在物料档案里"))</f>
        <v/>
      </c>
      <c r="H670" s="24">
        <f>IF($D670="","",IFERROR(VLOOKUP($D670,物料档案!$A$4:$P$1203,2,0),"※编码不在物料档案里"))</f>
        <v/>
      </c>
      <c r="I670" s="24">
        <f>IF($D670="","",IFERROR(VLOOKUP($D670,物料档案!$A$4:$P$1203,6,0),"※编码不在物料档案里"))</f>
        <v/>
      </c>
      <c r="J670" s="23" t="n"/>
      <c r="K670" s="17" t="n"/>
      <c r="L670" s="17" t="n"/>
      <c r="M670" s="17" t="n"/>
      <c r="N670" s="17" t="n"/>
      <c r="O670" s="26">
        <f>IF($D670="","",IFERROR(VLOOKUP($D670,物料档案!$A$4:$P$1203,10,0),0))</f>
        <v/>
      </c>
      <c r="P670" s="32" t="n"/>
      <c r="Q670" s="26">
        <f>IF($D670="","",IF($K670&lt;&gt;"对外销售",0,ROUND(N($J670)*IF($P670="",N($O670),N($P670)),0)))</f>
        <v/>
      </c>
      <c r="R670" s="26">
        <f>IF($D670="","",IFERROR(VLOOKUP($D670,库存台账!$A$5:$Y$1204,11,0),0))</f>
        <v/>
      </c>
      <c r="S670" s="26">
        <f>IF($D670="","",ROUND(N($J670)*N($R670),0))</f>
        <v/>
      </c>
      <c r="T670" s="26">
        <f>IF($D670="","",IF($K670&lt;&gt;"对外销售","",ROUND($Q670-$S670,0)))</f>
        <v/>
      </c>
      <c r="U670" s="17" t="n"/>
      <c r="V670" s="17" t="n"/>
      <c r="W670" s="24">
        <f>IF($D670="","",IF($E670="※编码不在物料档案里","※物料编码不在档案里",IF(N($J670)&lt;=0,"※出库数量要大于 0",IF($K670="","※没填去向类型",IF($L670="","※没填去向矿区",IF(AND($C670&lt;&gt;"",$C670&lt;=结账锁),"※日期早于已结账截止日，不能再录",IF(AND($K670="自用消耗",COUNTIF({"一矿区";"二矿区"},$L670)=0),"※自用消耗的去向只能是一矿区或二矿区",IF(AND($K670="对外销售",COUNTIF({"三矿区";"六矿区"},$L670)=0),"※对外销售的去向只能是三矿区或六矿区",IF(AND($K670="对外销售",ROUND($Q670,0)=0),"※外销却没有售价，请填实际售价",IF(AND($K670="对外销售",$T670&lt;&gt;"",$T670&lt;0),"※这一笔外销是亏的，请核对售价",IF(IFERROR(VLOOKUP($D670,库存台账!$A$5:$Y$1204,24,0),0)&lt;-0.001,"※这个物料账面已经变成负数了，查一下是不是漏记入库","")))))))))))</f>
        <v/>
      </c>
    </row>
    <row r="671">
      <c r="A671" s="24">
        <f>IF($D671="","",COUNTA($D$4:$D671))</f>
        <v/>
      </c>
      <c r="B671" s="17" t="n"/>
      <c r="C671" s="30" t="n"/>
      <c r="D671" s="17" t="n"/>
      <c r="E671" s="24">
        <f>IF($D671="","",IFERROR(VLOOKUP($D671,物料档案!$A$4:$P$1203,3,0),"※编码不在物料档案里"))</f>
        <v/>
      </c>
      <c r="F671" s="24">
        <f>IF($D671="","",IFERROR(VLOOKUP($D671,物料档案!$A$4:$P$1203,4,0),"※编码不在物料档案里"))</f>
        <v/>
      </c>
      <c r="G671" s="24">
        <f>IF($D671="","",IFERROR(VLOOKUP($D671,物料档案!$A$4:$P$1203,5,0),"※编码不在物料档案里"))</f>
        <v/>
      </c>
      <c r="H671" s="24">
        <f>IF($D671="","",IFERROR(VLOOKUP($D671,物料档案!$A$4:$P$1203,2,0),"※编码不在物料档案里"))</f>
        <v/>
      </c>
      <c r="I671" s="24">
        <f>IF($D671="","",IFERROR(VLOOKUP($D671,物料档案!$A$4:$P$1203,6,0),"※编码不在物料档案里"))</f>
        <v/>
      </c>
      <c r="J671" s="23" t="n"/>
      <c r="K671" s="17" t="n"/>
      <c r="L671" s="17" t="n"/>
      <c r="M671" s="17" t="n"/>
      <c r="N671" s="17" t="n"/>
      <c r="O671" s="26">
        <f>IF($D671="","",IFERROR(VLOOKUP($D671,物料档案!$A$4:$P$1203,10,0),0))</f>
        <v/>
      </c>
      <c r="P671" s="32" t="n"/>
      <c r="Q671" s="26">
        <f>IF($D671="","",IF($K671&lt;&gt;"对外销售",0,ROUND(N($J671)*IF($P671="",N($O671),N($P671)),0)))</f>
        <v/>
      </c>
      <c r="R671" s="26">
        <f>IF($D671="","",IFERROR(VLOOKUP($D671,库存台账!$A$5:$Y$1204,11,0),0))</f>
        <v/>
      </c>
      <c r="S671" s="26">
        <f>IF($D671="","",ROUND(N($J671)*N($R671),0))</f>
        <v/>
      </c>
      <c r="T671" s="26">
        <f>IF($D671="","",IF($K671&lt;&gt;"对外销售","",ROUND($Q671-$S671,0)))</f>
        <v/>
      </c>
      <c r="U671" s="17" t="n"/>
      <c r="V671" s="17" t="n"/>
      <c r="W671" s="24">
        <f>IF($D671="","",IF($E671="※编码不在物料档案里","※物料编码不在档案里",IF(N($J671)&lt;=0,"※出库数量要大于 0",IF($K671="","※没填去向类型",IF($L671="","※没填去向矿区",IF(AND($C671&lt;&gt;"",$C671&lt;=结账锁),"※日期早于已结账截止日，不能再录",IF(AND($K671="自用消耗",COUNTIF({"一矿区";"二矿区"},$L671)=0),"※自用消耗的去向只能是一矿区或二矿区",IF(AND($K671="对外销售",COUNTIF({"三矿区";"六矿区"},$L671)=0),"※对外销售的去向只能是三矿区或六矿区",IF(AND($K671="对外销售",ROUND($Q671,0)=0),"※外销却没有售价，请填实际售价",IF(AND($K671="对外销售",$T671&lt;&gt;"",$T671&lt;0),"※这一笔外销是亏的，请核对售价",IF(IFERROR(VLOOKUP($D671,库存台账!$A$5:$Y$1204,24,0),0)&lt;-0.001,"※这个物料账面已经变成负数了，查一下是不是漏记入库","")))))))))))</f>
        <v/>
      </c>
    </row>
    <row r="672">
      <c r="A672" s="24">
        <f>IF($D672="","",COUNTA($D$4:$D672))</f>
        <v/>
      </c>
      <c r="B672" s="17" t="n"/>
      <c r="C672" s="30" t="n"/>
      <c r="D672" s="17" t="n"/>
      <c r="E672" s="24">
        <f>IF($D672="","",IFERROR(VLOOKUP($D672,物料档案!$A$4:$P$1203,3,0),"※编码不在物料档案里"))</f>
        <v/>
      </c>
      <c r="F672" s="24">
        <f>IF($D672="","",IFERROR(VLOOKUP($D672,物料档案!$A$4:$P$1203,4,0),"※编码不在物料档案里"))</f>
        <v/>
      </c>
      <c r="G672" s="24">
        <f>IF($D672="","",IFERROR(VLOOKUP($D672,物料档案!$A$4:$P$1203,5,0),"※编码不在物料档案里"))</f>
        <v/>
      </c>
      <c r="H672" s="24">
        <f>IF($D672="","",IFERROR(VLOOKUP($D672,物料档案!$A$4:$P$1203,2,0),"※编码不在物料档案里"))</f>
        <v/>
      </c>
      <c r="I672" s="24">
        <f>IF($D672="","",IFERROR(VLOOKUP($D672,物料档案!$A$4:$P$1203,6,0),"※编码不在物料档案里"))</f>
        <v/>
      </c>
      <c r="J672" s="23" t="n"/>
      <c r="K672" s="17" t="n"/>
      <c r="L672" s="17" t="n"/>
      <c r="M672" s="17" t="n"/>
      <c r="N672" s="17" t="n"/>
      <c r="O672" s="26">
        <f>IF($D672="","",IFERROR(VLOOKUP($D672,物料档案!$A$4:$P$1203,10,0),0))</f>
        <v/>
      </c>
      <c r="P672" s="32" t="n"/>
      <c r="Q672" s="26">
        <f>IF($D672="","",IF($K672&lt;&gt;"对外销售",0,ROUND(N($J672)*IF($P672="",N($O672),N($P672)),0)))</f>
        <v/>
      </c>
      <c r="R672" s="26">
        <f>IF($D672="","",IFERROR(VLOOKUP($D672,库存台账!$A$5:$Y$1204,11,0),0))</f>
        <v/>
      </c>
      <c r="S672" s="26">
        <f>IF($D672="","",ROUND(N($J672)*N($R672),0))</f>
        <v/>
      </c>
      <c r="T672" s="26">
        <f>IF($D672="","",IF($K672&lt;&gt;"对外销售","",ROUND($Q672-$S672,0)))</f>
        <v/>
      </c>
      <c r="U672" s="17" t="n"/>
      <c r="V672" s="17" t="n"/>
      <c r="W672" s="24">
        <f>IF($D672="","",IF($E672="※编码不在物料档案里","※物料编码不在档案里",IF(N($J672)&lt;=0,"※出库数量要大于 0",IF($K672="","※没填去向类型",IF($L672="","※没填去向矿区",IF(AND($C672&lt;&gt;"",$C672&lt;=结账锁),"※日期早于已结账截止日，不能再录",IF(AND($K672="自用消耗",COUNTIF({"一矿区";"二矿区"},$L672)=0),"※自用消耗的去向只能是一矿区或二矿区",IF(AND($K672="对外销售",COUNTIF({"三矿区";"六矿区"},$L672)=0),"※对外销售的去向只能是三矿区或六矿区",IF(AND($K672="对外销售",ROUND($Q672,0)=0),"※外销却没有售价，请填实际售价",IF(AND($K672="对外销售",$T672&lt;&gt;"",$T672&lt;0),"※这一笔外销是亏的，请核对售价",IF(IFERROR(VLOOKUP($D672,库存台账!$A$5:$Y$1204,24,0),0)&lt;-0.001,"※这个物料账面已经变成负数了，查一下是不是漏记入库","")))))))))))</f>
        <v/>
      </c>
    </row>
    <row r="673">
      <c r="A673" s="24">
        <f>IF($D673="","",COUNTA($D$4:$D673))</f>
        <v/>
      </c>
      <c r="B673" s="17" t="n"/>
      <c r="C673" s="30" t="n"/>
      <c r="D673" s="17" t="n"/>
      <c r="E673" s="24">
        <f>IF($D673="","",IFERROR(VLOOKUP($D673,物料档案!$A$4:$P$1203,3,0),"※编码不在物料档案里"))</f>
        <v/>
      </c>
      <c r="F673" s="24">
        <f>IF($D673="","",IFERROR(VLOOKUP($D673,物料档案!$A$4:$P$1203,4,0),"※编码不在物料档案里"))</f>
        <v/>
      </c>
      <c r="G673" s="24">
        <f>IF($D673="","",IFERROR(VLOOKUP($D673,物料档案!$A$4:$P$1203,5,0),"※编码不在物料档案里"))</f>
        <v/>
      </c>
      <c r="H673" s="24">
        <f>IF($D673="","",IFERROR(VLOOKUP($D673,物料档案!$A$4:$P$1203,2,0),"※编码不在物料档案里"))</f>
        <v/>
      </c>
      <c r="I673" s="24">
        <f>IF($D673="","",IFERROR(VLOOKUP($D673,物料档案!$A$4:$P$1203,6,0),"※编码不在物料档案里"))</f>
        <v/>
      </c>
      <c r="J673" s="23" t="n"/>
      <c r="K673" s="17" t="n"/>
      <c r="L673" s="17" t="n"/>
      <c r="M673" s="17" t="n"/>
      <c r="N673" s="17" t="n"/>
      <c r="O673" s="26">
        <f>IF($D673="","",IFERROR(VLOOKUP($D673,物料档案!$A$4:$P$1203,10,0),0))</f>
        <v/>
      </c>
      <c r="P673" s="32" t="n"/>
      <c r="Q673" s="26">
        <f>IF($D673="","",IF($K673&lt;&gt;"对外销售",0,ROUND(N($J673)*IF($P673="",N($O673),N($P673)),0)))</f>
        <v/>
      </c>
      <c r="R673" s="26">
        <f>IF($D673="","",IFERROR(VLOOKUP($D673,库存台账!$A$5:$Y$1204,11,0),0))</f>
        <v/>
      </c>
      <c r="S673" s="26">
        <f>IF($D673="","",ROUND(N($J673)*N($R673),0))</f>
        <v/>
      </c>
      <c r="T673" s="26">
        <f>IF($D673="","",IF($K673&lt;&gt;"对外销售","",ROUND($Q673-$S673,0)))</f>
        <v/>
      </c>
      <c r="U673" s="17" t="n"/>
      <c r="V673" s="17" t="n"/>
      <c r="W673" s="24">
        <f>IF($D673="","",IF($E673="※编码不在物料档案里","※物料编码不在档案里",IF(N($J673)&lt;=0,"※出库数量要大于 0",IF($K673="","※没填去向类型",IF($L673="","※没填去向矿区",IF(AND($C673&lt;&gt;"",$C673&lt;=结账锁),"※日期早于已结账截止日，不能再录",IF(AND($K673="自用消耗",COUNTIF({"一矿区";"二矿区"},$L673)=0),"※自用消耗的去向只能是一矿区或二矿区",IF(AND($K673="对外销售",COUNTIF({"三矿区";"六矿区"},$L673)=0),"※对外销售的去向只能是三矿区或六矿区",IF(AND($K673="对外销售",ROUND($Q673,0)=0),"※外销却没有售价，请填实际售价",IF(AND($K673="对外销售",$T673&lt;&gt;"",$T673&lt;0),"※这一笔外销是亏的，请核对售价",IF(IFERROR(VLOOKUP($D673,库存台账!$A$5:$Y$1204,24,0),0)&lt;-0.001,"※这个物料账面已经变成负数了，查一下是不是漏记入库","")))))))))))</f>
        <v/>
      </c>
    </row>
    <row r="674">
      <c r="A674" s="24">
        <f>IF($D674="","",COUNTA($D$4:$D674))</f>
        <v/>
      </c>
      <c r="B674" s="17" t="n"/>
      <c r="C674" s="30" t="n"/>
      <c r="D674" s="17" t="n"/>
      <c r="E674" s="24">
        <f>IF($D674="","",IFERROR(VLOOKUP($D674,物料档案!$A$4:$P$1203,3,0),"※编码不在物料档案里"))</f>
        <v/>
      </c>
      <c r="F674" s="24">
        <f>IF($D674="","",IFERROR(VLOOKUP($D674,物料档案!$A$4:$P$1203,4,0),"※编码不在物料档案里"))</f>
        <v/>
      </c>
      <c r="G674" s="24">
        <f>IF($D674="","",IFERROR(VLOOKUP($D674,物料档案!$A$4:$P$1203,5,0),"※编码不在物料档案里"))</f>
        <v/>
      </c>
      <c r="H674" s="24">
        <f>IF($D674="","",IFERROR(VLOOKUP($D674,物料档案!$A$4:$P$1203,2,0),"※编码不在物料档案里"))</f>
        <v/>
      </c>
      <c r="I674" s="24">
        <f>IF($D674="","",IFERROR(VLOOKUP($D674,物料档案!$A$4:$P$1203,6,0),"※编码不在物料档案里"))</f>
        <v/>
      </c>
      <c r="J674" s="23" t="n"/>
      <c r="K674" s="17" t="n"/>
      <c r="L674" s="17" t="n"/>
      <c r="M674" s="17" t="n"/>
      <c r="N674" s="17" t="n"/>
      <c r="O674" s="26">
        <f>IF($D674="","",IFERROR(VLOOKUP($D674,物料档案!$A$4:$P$1203,10,0),0))</f>
        <v/>
      </c>
      <c r="P674" s="32" t="n"/>
      <c r="Q674" s="26">
        <f>IF($D674="","",IF($K674&lt;&gt;"对外销售",0,ROUND(N($J674)*IF($P674="",N($O674),N($P674)),0)))</f>
        <v/>
      </c>
      <c r="R674" s="26">
        <f>IF($D674="","",IFERROR(VLOOKUP($D674,库存台账!$A$5:$Y$1204,11,0),0))</f>
        <v/>
      </c>
      <c r="S674" s="26">
        <f>IF($D674="","",ROUND(N($J674)*N($R674),0))</f>
        <v/>
      </c>
      <c r="T674" s="26">
        <f>IF($D674="","",IF($K674&lt;&gt;"对外销售","",ROUND($Q674-$S674,0)))</f>
        <v/>
      </c>
      <c r="U674" s="17" t="n"/>
      <c r="V674" s="17" t="n"/>
      <c r="W674" s="24">
        <f>IF($D674="","",IF($E674="※编码不在物料档案里","※物料编码不在档案里",IF(N($J674)&lt;=0,"※出库数量要大于 0",IF($K674="","※没填去向类型",IF($L674="","※没填去向矿区",IF(AND($C674&lt;&gt;"",$C674&lt;=结账锁),"※日期早于已结账截止日，不能再录",IF(AND($K674="自用消耗",COUNTIF({"一矿区";"二矿区"},$L674)=0),"※自用消耗的去向只能是一矿区或二矿区",IF(AND($K674="对外销售",COUNTIF({"三矿区";"六矿区"},$L674)=0),"※对外销售的去向只能是三矿区或六矿区",IF(AND($K674="对外销售",ROUND($Q674,0)=0),"※外销却没有售价，请填实际售价",IF(AND($K674="对外销售",$T674&lt;&gt;"",$T674&lt;0),"※这一笔外销是亏的，请核对售价",IF(IFERROR(VLOOKUP($D674,库存台账!$A$5:$Y$1204,24,0),0)&lt;-0.001,"※这个物料账面已经变成负数了，查一下是不是漏记入库","")))))))))))</f>
        <v/>
      </c>
    </row>
    <row r="675">
      <c r="A675" s="24">
        <f>IF($D675="","",COUNTA($D$4:$D675))</f>
        <v/>
      </c>
      <c r="B675" s="17" t="n"/>
      <c r="C675" s="30" t="n"/>
      <c r="D675" s="17" t="n"/>
      <c r="E675" s="24">
        <f>IF($D675="","",IFERROR(VLOOKUP($D675,物料档案!$A$4:$P$1203,3,0),"※编码不在物料档案里"))</f>
        <v/>
      </c>
      <c r="F675" s="24">
        <f>IF($D675="","",IFERROR(VLOOKUP($D675,物料档案!$A$4:$P$1203,4,0),"※编码不在物料档案里"))</f>
        <v/>
      </c>
      <c r="G675" s="24">
        <f>IF($D675="","",IFERROR(VLOOKUP($D675,物料档案!$A$4:$P$1203,5,0),"※编码不在物料档案里"))</f>
        <v/>
      </c>
      <c r="H675" s="24">
        <f>IF($D675="","",IFERROR(VLOOKUP($D675,物料档案!$A$4:$P$1203,2,0),"※编码不在物料档案里"))</f>
        <v/>
      </c>
      <c r="I675" s="24">
        <f>IF($D675="","",IFERROR(VLOOKUP($D675,物料档案!$A$4:$P$1203,6,0),"※编码不在物料档案里"))</f>
        <v/>
      </c>
      <c r="J675" s="23" t="n"/>
      <c r="K675" s="17" t="n"/>
      <c r="L675" s="17" t="n"/>
      <c r="M675" s="17" t="n"/>
      <c r="N675" s="17" t="n"/>
      <c r="O675" s="26">
        <f>IF($D675="","",IFERROR(VLOOKUP($D675,物料档案!$A$4:$P$1203,10,0),0))</f>
        <v/>
      </c>
      <c r="P675" s="32" t="n"/>
      <c r="Q675" s="26">
        <f>IF($D675="","",IF($K675&lt;&gt;"对外销售",0,ROUND(N($J675)*IF($P675="",N($O675),N($P675)),0)))</f>
        <v/>
      </c>
      <c r="R675" s="26">
        <f>IF($D675="","",IFERROR(VLOOKUP($D675,库存台账!$A$5:$Y$1204,11,0),0))</f>
        <v/>
      </c>
      <c r="S675" s="26">
        <f>IF($D675="","",ROUND(N($J675)*N($R675),0))</f>
        <v/>
      </c>
      <c r="T675" s="26">
        <f>IF($D675="","",IF($K675&lt;&gt;"对外销售","",ROUND($Q675-$S675,0)))</f>
        <v/>
      </c>
      <c r="U675" s="17" t="n"/>
      <c r="V675" s="17" t="n"/>
      <c r="W675" s="24">
        <f>IF($D675="","",IF($E675="※编码不在物料档案里","※物料编码不在档案里",IF(N($J675)&lt;=0,"※出库数量要大于 0",IF($K675="","※没填去向类型",IF($L675="","※没填去向矿区",IF(AND($C675&lt;&gt;"",$C675&lt;=结账锁),"※日期早于已结账截止日，不能再录",IF(AND($K675="自用消耗",COUNTIF({"一矿区";"二矿区"},$L675)=0),"※自用消耗的去向只能是一矿区或二矿区",IF(AND($K675="对外销售",COUNTIF({"三矿区";"六矿区"},$L675)=0),"※对外销售的去向只能是三矿区或六矿区",IF(AND($K675="对外销售",ROUND($Q675,0)=0),"※外销却没有售价，请填实际售价",IF(AND($K675="对外销售",$T675&lt;&gt;"",$T675&lt;0),"※这一笔外销是亏的，请核对售价",IF(IFERROR(VLOOKUP($D675,库存台账!$A$5:$Y$1204,24,0),0)&lt;-0.001,"※这个物料账面已经变成负数了，查一下是不是漏记入库","")))))))))))</f>
        <v/>
      </c>
    </row>
    <row r="676">
      <c r="A676" s="24">
        <f>IF($D676="","",COUNTA($D$4:$D676))</f>
        <v/>
      </c>
      <c r="B676" s="17" t="n"/>
      <c r="C676" s="30" t="n"/>
      <c r="D676" s="17" t="n"/>
      <c r="E676" s="24">
        <f>IF($D676="","",IFERROR(VLOOKUP($D676,物料档案!$A$4:$P$1203,3,0),"※编码不在物料档案里"))</f>
        <v/>
      </c>
      <c r="F676" s="24">
        <f>IF($D676="","",IFERROR(VLOOKUP($D676,物料档案!$A$4:$P$1203,4,0),"※编码不在物料档案里"))</f>
        <v/>
      </c>
      <c r="G676" s="24">
        <f>IF($D676="","",IFERROR(VLOOKUP($D676,物料档案!$A$4:$P$1203,5,0),"※编码不在物料档案里"))</f>
        <v/>
      </c>
      <c r="H676" s="24">
        <f>IF($D676="","",IFERROR(VLOOKUP($D676,物料档案!$A$4:$P$1203,2,0),"※编码不在物料档案里"))</f>
        <v/>
      </c>
      <c r="I676" s="24">
        <f>IF($D676="","",IFERROR(VLOOKUP($D676,物料档案!$A$4:$P$1203,6,0),"※编码不在物料档案里"))</f>
        <v/>
      </c>
      <c r="J676" s="23" t="n"/>
      <c r="K676" s="17" t="n"/>
      <c r="L676" s="17" t="n"/>
      <c r="M676" s="17" t="n"/>
      <c r="N676" s="17" t="n"/>
      <c r="O676" s="26">
        <f>IF($D676="","",IFERROR(VLOOKUP($D676,物料档案!$A$4:$P$1203,10,0),0))</f>
        <v/>
      </c>
      <c r="P676" s="32" t="n"/>
      <c r="Q676" s="26">
        <f>IF($D676="","",IF($K676&lt;&gt;"对外销售",0,ROUND(N($J676)*IF($P676="",N($O676),N($P676)),0)))</f>
        <v/>
      </c>
      <c r="R676" s="26">
        <f>IF($D676="","",IFERROR(VLOOKUP($D676,库存台账!$A$5:$Y$1204,11,0),0))</f>
        <v/>
      </c>
      <c r="S676" s="26">
        <f>IF($D676="","",ROUND(N($J676)*N($R676),0))</f>
        <v/>
      </c>
      <c r="T676" s="26">
        <f>IF($D676="","",IF($K676&lt;&gt;"对外销售","",ROUND($Q676-$S676,0)))</f>
        <v/>
      </c>
      <c r="U676" s="17" t="n"/>
      <c r="V676" s="17" t="n"/>
      <c r="W676" s="24">
        <f>IF($D676="","",IF($E676="※编码不在物料档案里","※物料编码不在档案里",IF(N($J676)&lt;=0,"※出库数量要大于 0",IF($K676="","※没填去向类型",IF($L676="","※没填去向矿区",IF(AND($C676&lt;&gt;"",$C676&lt;=结账锁),"※日期早于已结账截止日，不能再录",IF(AND($K676="自用消耗",COUNTIF({"一矿区";"二矿区"},$L676)=0),"※自用消耗的去向只能是一矿区或二矿区",IF(AND($K676="对外销售",COUNTIF({"三矿区";"六矿区"},$L676)=0),"※对外销售的去向只能是三矿区或六矿区",IF(AND($K676="对外销售",ROUND($Q676,0)=0),"※外销却没有售价，请填实际售价",IF(AND($K676="对外销售",$T676&lt;&gt;"",$T676&lt;0),"※这一笔外销是亏的，请核对售价",IF(IFERROR(VLOOKUP($D676,库存台账!$A$5:$Y$1204,24,0),0)&lt;-0.001,"※这个物料账面已经变成负数了，查一下是不是漏记入库","")))))))))))</f>
        <v/>
      </c>
    </row>
    <row r="677">
      <c r="A677" s="24">
        <f>IF($D677="","",COUNTA($D$4:$D677))</f>
        <v/>
      </c>
      <c r="B677" s="17" t="n"/>
      <c r="C677" s="30" t="n"/>
      <c r="D677" s="17" t="n"/>
      <c r="E677" s="24">
        <f>IF($D677="","",IFERROR(VLOOKUP($D677,物料档案!$A$4:$P$1203,3,0),"※编码不在物料档案里"))</f>
        <v/>
      </c>
      <c r="F677" s="24">
        <f>IF($D677="","",IFERROR(VLOOKUP($D677,物料档案!$A$4:$P$1203,4,0),"※编码不在物料档案里"))</f>
        <v/>
      </c>
      <c r="G677" s="24">
        <f>IF($D677="","",IFERROR(VLOOKUP($D677,物料档案!$A$4:$P$1203,5,0),"※编码不在物料档案里"))</f>
        <v/>
      </c>
      <c r="H677" s="24">
        <f>IF($D677="","",IFERROR(VLOOKUP($D677,物料档案!$A$4:$P$1203,2,0),"※编码不在物料档案里"))</f>
        <v/>
      </c>
      <c r="I677" s="24">
        <f>IF($D677="","",IFERROR(VLOOKUP($D677,物料档案!$A$4:$P$1203,6,0),"※编码不在物料档案里"))</f>
        <v/>
      </c>
      <c r="J677" s="23" t="n"/>
      <c r="K677" s="17" t="n"/>
      <c r="L677" s="17" t="n"/>
      <c r="M677" s="17" t="n"/>
      <c r="N677" s="17" t="n"/>
      <c r="O677" s="26">
        <f>IF($D677="","",IFERROR(VLOOKUP($D677,物料档案!$A$4:$P$1203,10,0),0))</f>
        <v/>
      </c>
      <c r="P677" s="32" t="n"/>
      <c r="Q677" s="26">
        <f>IF($D677="","",IF($K677&lt;&gt;"对外销售",0,ROUND(N($J677)*IF($P677="",N($O677),N($P677)),0)))</f>
        <v/>
      </c>
      <c r="R677" s="26">
        <f>IF($D677="","",IFERROR(VLOOKUP($D677,库存台账!$A$5:$Y$1204,11,0),0))</f>
        <v/>
      </c>
      <c r="S677" s="26">
        <f>IF($D677="","",ROUND(N($J677)*N($R677),0))</f>
        <v/>
      </c>
      <c r="T677" s="26">
        <f>IF($D677="","",IF($K677&lt;&gt;"对外销售","",ROUND($Q677-$S677,0)))</f>
        <v/>
      </c>
      <c r="U677" s="17" t="n"/>
      <c r="V677" s="17" t="n"/>
      <c r="W677" s="24">
        <f>IF($D677="","",IF($E677="※编码不在物料档案里","※物料编码不在档案里",IF(N($J677)&lt;=0,"※出库数量要大于 0",IF($K677="","※没填去向类型",IF($L677="","※没填去向矿区",IF(AND($C677&lt;&gt;"",$C677&lt;=结账锁),"※日期早于已结账截止日，不能再录",IF(AND($K677="自用消耗",COUNTIF({"一矿区";"二矿区"},$L677)=0),"※自用消耗的去向只能是一矿区或二矿区",IF(AND($K677="对外销售",COUNTIF({"三矿区";"六矿区"},$L677)=0),"※对外销售的去向只能是三矿区或六矿区",IF(AND($K677="对外销售",ROUND($Q677,0)=0),"※外销却没有售价，请填实际售价",IF(AND($K677="对外销售",$T677&lt;&gt;"",$T677&lt;0),"※这一笔外销是亏的，请核对售价",IF(IFERROR(VLOOKUP($D677,库存台账!$A$5:$Y$1204,24,0),0)&lt;-0.001,"※这个物料账面已经变成负数了，查一下是不是漏记入库","")))))))))))</f>
        <v/>
      </c>
    </row>
    <row r="678">
      <c r="A678" s="24">
        <f>IF($D678="","",COUNTA($D$4:$D678))</f>
        <v/>
      </c>
      <c r="B678" s="17" t="n"/>
      <c r="C678" s="30" t="n"/>
      <c r="D678" s="17" t="n"/>
      <c r="E678" s="24">
        <f>IF($D678="","",IFERROR(VLOOKUP($D678,物料档案!$A$4:$P$1203,3,0),"※编码不在物料档案里"))</f>
        <v/>
      </c>
      <c r="F678" s="24">
        <f>IF($D678="","",IFERROR(VLOOKUP($D678,物料档案!$A$4:$P$1203,4,0),"※编码不在物料档案里"))</f>
        <v/>
      </c>
      <c r="G678" s="24">
        <f>IF($D678="","",IFERROR(VLOOKUP($D678,物料档案!$A$4:$P$1203,5,0),"※编码不在物料档案里"))</f>
        <v/>
      </c>
      <c r="H678" s="24">
        <f>IF($D678="","",IFERROR(VLOOKUP($D678,物料档案!$A$4:$P$1203,2,0),"※编码不在物料档案里"))</f>
        <v/>
      </c>
      <c r="I678" s="24">
        <f>IF($D678="","",IFERROR(VLOOKUP($D678,物料档案!$A$4:$P$1203,6,0),"※编码不在物料档案里"))</f>
        <v/>
      </c>
      <c r="J678" s="23" t="n"/>
      <c r="K678" s="17" t="n"/>
      <c r="L678" s="17" t="n"/>
      <c r="M678" s="17" t="n"/>
      <c r="N678" s="17" t="n"/>
      <c r="O678" s="26">
        <f>IF($D678="","",IFERROR(VLOOKUP($D678,物料档案!$A$4:$P$1203,10,0),0))</f>
        <v/>
      </c>
      <c r="P678" s="32" t="n"/>
      <c r="Q678" s="26">
        <f>IF($D678="","",IF($K678&lt;&gt;"对外销售",0,ROUND(N($J678)*IF($P678="",N($O678),N($P678)),0)))</f>
        <v/>
      </c>
      <c r="R678" s="26">
        <f>IF($D678="","",IFERROR(VLOOKUP($D678,库存台账!$A$5:$Y$1204,11,0),0))</f>
        <v/>
      </c>
      <c r="S678" s="26">
        <f>IF($D678="","",ROUND(N($J678)*N($R678),0))</f>
        <v/>
      </c>
      <c r="T678" s="26">
        <f>IF($D678="","",IF($K678&lt;&gt;"对外销售","",ROUND($Q678-$S678,0)))</f>
        <v/>
      </c>
      <c r="U678" s="17" t="n"/>
      <c r="V678" s="17" t="n"/>
      <c r="W678" s="24">
        <f>IF($D678="","",IF($E678="※编码不在物料档案里","※物料编码不在档案里",IF(N($J678)&lt;=0,"※出库数量要大于 0",IF($K678="","※没填去向类型",IF($L678="","※没填去向矿区",IF(AND($C678&lt;&gt;"",$C678&lt;=结账锁),"※日期早于已结账截止日，不能再录",IF(AND($K678="自用消耗",COUNTIF({"一矿区";"二矿区"},$L678)=0),"※自用消耗的去向只能是一矿区或二矿区",IF(AND($K678="对外销售",COUNTIF({"三矿区";"六矿区"},$L678)=0),"※对外销售的去向只能是三矿区或六矿区",IF(AND($K678="对外销售",ROUND($Q678,0)=0),"※外销却没有售价，请填实际售价",IF(AND($K678="对外销售",$T678&lt;&gt;"",$T678&lt;0),"※这一笔外销是亏的，请核对售价",IF(IFERROR(VLOOKUP($D678,库存台账!$A$5:$Y$1204,24,0),0)&lt;-0.001,"※这个物料账面已经变成负数了，查一下是不是漏记入库","")))))))))))</f>
        <v/>
      </c>
    </row>
    <row r="679">
      <c r="A679" s="24">
        <f>IF($D679="","",COUNTA($D$4:$D679))</f>
        <v/>
      </c>
      <c r="B679" s="17" t="n"/>
      <c r="C679" s="30" t="n"/>
      <c r="D679" s="17" t="n"/>
      <c r="E679" s="24">
        <f>IF($D679="","",IFERROR(VLOOKUP($D679,物料档案!$A$4:$P$1203,3,0),"※编码不在物料档案里"))</f>
        <v/>
      </c>
      <c r="F679" s="24">
        <f>IF($D679="","",IFERROR(VLOOKUP($D679,物料档案!$A$4:$P$1203,4,0),"※编码不在物料档案里"))</f>
        <v/>
      </c>
      <c r="G679" s="24">
        <f>IF($D679="","",IFERROR(VLOOKUP($D679,物料档案!$A$4:$P$1203,5,0),"※编码不在物料档案里"))</f>
        <v/>
      </c>
      <c r="H679" s="24">
        <f>IF($D679="","",IFERROR(VLOOKUP($D679,物料档案!$A$4:$P$1203,2,0),"※编码不在物料档案里"))</f>
        <v/>
      </c>
      <c r="I679" s="24">
        <f>IF($D679="","",IFERROR(VLOOKUP($D679,物料档案!$A$4:$P$1203,6,0),"※编码不在物料档案里"))</f>
        <v/>
      </c>
      <c r="J679" s="23" t="n"/>
      <c r="K679" s="17" t="n"/>
      <c r="L679" s="17" t="n"/>
      <c r="M679" s="17" t="n"/>
      <c r="N679" s="17" t="n"/>
      <c r="O679" s="26">
        <f>IF($D679="","",IFERROR(VLOOKUP($D679,物料档案!$A$4:$P$1203,10,0),0))</f>
        <v/>
      </c>
      <c r="P679" s="32" t="n"/>
      <c r="Q679" s="26">
        <f>IF($D679="","",IF($K679&lt;&gt;"对外销售",0,ROUND(N($J679)*IF($P679="",N($O679),N($P679)),0)))</f>
        <v/>
      </c>
      <c r="R679" s="26">
        <f>IF($D679="","",IFERROR(VLOOKUP($D679,库存台账!$A$5:$Y$1204,11,0),0))</f>
        <v/>
      </c>
      <c r="S679" s="26">
        <f>IF($D679="","",ROUND(N($J679)*N($R679),0))</f>
        <v/>
      </c>
      <c r="T679" s="26">
        <f>IF($D679="","",IF($K679&lt;&gt;"对外销售","",ROUND($Q679-$S679,0)))</f>
        <v/>
      </c>
      <c r="U679" s="17" t="n"/>
      <c r="V679" s="17" t="n"/>
      <c r="W679" s="24">
        <f>IF($D679="","",IF($E679="※编码不在物料档案里","※物料编码不在档案里",IF(N($J679)&lt;=0,"※出库数量要大于 0",IF($K679="","※没填去向类型",IF($L679="","※没填去向矿区",IF(AND($C679&lt;&gt;"",$C679&lt;=结账锁),"※日期早于已结账截止日，不能再录",IF(AND($K679="自用消耗",COUNTIF({"一矿区";"二矿区"},$L679)=0),"※自用消耗的去向只能是一矿区或二矿区",IF(AND($K679="对外销售",COUNTIF({"三矿区";"六矿区"},$L679)=0),"※对外销售的去向只能是三矿区或六矿区",IF(AND($K679="对外销售",ROUND($Q679,0)=0),"※外销却没有售价，请填实际售价",IF(AND($K679="对外销售",$T679&lt;&gt;"",$T679&lt;0),"※这一笔外销是亏的，请核对售价",IF(IFERROR(VLOOKUP($D679,库存台账!$A$5:$Y$1204,24,0),0)&lt;-0.001,"※这个物料账面已经变成负数了，查一下是不是漏记入库","")))))))))))</f>
        <v/>
      </c>
    </row>
    <row r="680">
      <c r="A680" s="24">
        <f>IF($D680="","",COUNTA($D$4:$D680))</f>
        <v/>
      </c>
      <c r="B680" s="17" t="n"/>
      <c r="C680" s="30" t="n"/>
      <c r="D680" s="17" t="n"/>
      <c r="E680" s="24">
        <f>IF($D680="","",IFERROR(VLOOKUP($D680,物料档案!$A$4:$P$1203,3,0),"※编码不在物料档案里"))</f>
        <v/>
      </c>
      <c r="F680" s="24">
        <f>IF($D680="","",IFERROR(VLOOKUP($D680,物料档案!$A$4:$P$1203,4,0),"※编码不在物料档案里"))</f>
        <v/>
      </c>
      <c r="G680" s="24">
        <f>IF($D680="","",IFERROR(VLOOKUP($D680,物料档案!$A$4:$P$1203,5,0),"※编码不在物料档案里"))</f>
        <v/>
      </c>
      <c r="H680" s="24">
        <f>IF($D680="","",IFERROR(VLOOKUP($D680,物料档案!$A$4:$P$1203,2,0),"※编码不在物料档案里"))</f>
        <v/>
      </c>
      <c r="I680" s="24">
        <f>IF($D680="","",IFERROR(VLOOKUP($D680,物料档案!$A$4:$P$1203,6,0),"※编码不在物料档案里"))</f>
        <v/>
      </c>
      <c r="J680" s="23" t="n"/>
      <c r="K680" s="17" t="n"/>
      <c r="L680" s="17" t="n"/>
      <c r="M680" s="17" t="n"/>
      <c r="N680" s="17" t="n"/>
      <c r="O680" s="26">
        <f>IF($D680="","",IFERROR(VLOOKUP($D680,物料档案!$A$4:$P$1203,10,0),0))</f>
        <v/>
      </c>
      <c r="P680" s="32" t="n"/>
      <c r="Q680" s="26">
        <f>IF($D680="","",IF($K680&lt;&gt;"对外销售",0,ROUND(N($J680)*IF($P680="",N($O680),N($P680)),0)))</f>
        <v/>
      </c>
      <c r="R680" s="26">
        <f>IF($D680="","",IFERROR(VLOOKUP($D680,库存台账!$A$5:$Y$1204,11,0),0))</f>
        <v/>
      </c>
      <c r="S680" s="26">
        <f>IF($D680="","",ROUND(N($J680)*N($R680),0))</f>
        <v/>
      </c>
      <c r="T680" s="26">
        <f>IF($D680="","",IF($K680&lt;&gt;"对外销售","",ROUND($Q680-$S680,0)))</f>
        <v/>
      </c>
      <c r="U680" s="17" t="n"/>
      <c r="V680" s="17" t="n"/>
      <c r="W680" s="24">
        <f>IF($D680="","",IF($E680="※编码不在物料档案里","※物料编码不在档案里",IF(N($J680)&lt;=0,"※出库数量要大于 0",IF($K680="","※没填去向类型",IF($L680="","※没填去向矿区",IF(AND($C680&lt;&gt;"",$C680&lt;=结账锁),"※日期早于已结账截止日，不能再录",IF(AND($K680="自用消耗",COUNTIF({"一矿区";"二矿区"},$L680)=0),"※自用消耗的去向只能是一矿区或二矿区",IF(AND($K680="对外销售",COUNTIF({"三矿区";"六矿区"},$L680)=0),"※对外销售的去向只能是三矿区或六矿区",IF(AND($K680="对外销售",ROUND($Q680,0)=0),"※外销却没有售价，请填实际售价",IF(AND($K680="对外销售",$T680&lt;&gt;"",$T680&lt;0),"※这一笔外销是亏的，请核对售价",IF(IFERROR(VLOOKUP($D680,库存台账!$A$5:$Y$1204,24,0),0)&lt;-0.001,"※这个物料账面已经变成负数了，查一下是不是漏记入库","")))))))))))</f>
        <v/>
      </c>
    </row>
    <row r="681">
      <c r="A681" s="24">
        <f>IF($D681="","",COUNTA($D$4:$D681))</f>
        <v/>
      </c>
      <c r="B681" s="17" t="n"/>
      <c r="C681" s="30" t="n"/>
      <c r="D681" s="17" t="n"/>
      <c r="E681" s="24">
        <f>IF($D681="","",IFERROR(VLOOKUP($D681,物料档案!$A$4:$P$1203,3,0),"※编码不在物料档案里"))</f>
        <v/>
      </c>
      <c r="F681" s="24">
        <f>IF($D681="","",IFERROR(VLOOKUP($D681,物料档案!$A$4:$P$1203,4,0),"※编码不在物料档案里"))</f>
        <v/>
      </c>
      <c r="G681" s="24">
        <f>IF($D681="","",IFERROR(VLOOKUP($D681,物料档案!$A$4:$P$1203,5,0),"※编码不在物料档案里"))</f>
        <v/>
      </c>
      <c r="H681" s="24">
        <f>IF($D681="","",IFERROR(VLOOKUP($D681,物料档案!$A$4:$P$1203,2,0),"※编码不在物料档案里"))</f>
        <v/>
      </c>
      <c r="I681" s="24">
        <f>IF($D681="","",IFERROR(VLOOKUP($D681,物料档案!$A$4:$P$1203,6,0),"※编码不在物料档案里"))</f>
        <v/>
      </c>
      <c r="J681" s="23" t="n"/>
      <c r="K681" s="17" t="n"/>
      <c r="L681" s="17" t="n"/>
      <c r="M681" s="17" t="n"/>
      <c r="N681" s="17" t="n"/>
      <c r="O681" s="26">
        <f>IF($D681="","",IFERROR(VLOOKUP($D681,物料档案!$A$4:$P$1203,10,0),0))</f>
        <v/>
      </c>
      <c r="P681" s="32" t="n"/>
      <c r="Q681" s="26">
        <f>IF($D681="","",IF($K681&lt;&gt;"对外销售",0,ROUND(N($J681)*IF($P681="",N($O681),N($P681)),0)))</f>
        <v/>
      </c>
      <c r="R681" s="26">
        <f>IF($D681="","",IFERROR(VLOOKUP($D681,库存台账!$A$5:$Y$1204,11,0),0))</f>
        <v/>
      </c>
      <c r="S681" s="26">
        <f>IF($D681="","",ROUND(N($J681)*N($R681),0))</f>
        <v/>
      </c>
      <c r="T681" s="26">
        <f>IF($D681="","",IF($K681&lt;&gt;"对外销售","",ROUND($Q681-$S681,0)))</f>
        <v/>
      </c>
      <c r="U681" s="17" t="n"/>
      <c r="V681" s="17" t="n"/>
      <c r="W681" s="24">
        <f>IF($D681="","",IF($E681="※编码不在物料档案里","※物料编码不在档案里",IF(N($J681)&lt;=0,"※出库数量要大于 0",IF($K681="","※没填去向类型",IF($L681="","※没填去向矿区",IF(AND($C681&lt;&gt;"",$C681&lt;=结账锁),"※日期早于已结账截止日，不能再录",IF(AND($K681="自用消耗",COUNTIF({"一矿区";"二矿区"},$L681)=0),"※自用消耗的去向只能是一矿区或二矿区",IF(AND($K681="对外销售",COUNTIF({"三矿区";"六矿区"},$L681)=0),"※对外销售的去向只能是三矿区或六矿区",IF(AND($K681="对外销售",ROUND($Q681,0)=0),"※外销却没有售价，请填实际售价",IF(AND($K681="对外销售",$T681&lt;&gt;"",$T681&lt;0),"※这一笔外销是亏的，请核对售价",IF(IFERROR(VLOOKUP($D681,库存台账!$A$5:$Y$1204,24,0),0)&lt;-0.001,"※这个物料账面已经变成负数了，查一下是不是漏记入库","")))))))))))</f>
        <v/>
      </c>
    </row>
    <row r="682">
      <c r="A682" s="24">
        <f>IF($D682="","",COUNTA($D$4:$D682))</f>
        <v/>
      </c>
      <c r="B682" s="17" t="n"/>
      <c r="C682" s="30" t="n"/>
      <c r="D682" s="17" t="n"/>
      <c r="E682" s="24">
        <f>IF($D682="","",IFERROR(VLOOKUP($D682,物料档案!$A$4:$P$1203,3,0),"※编码不在物料档案里"))</f>
        <v/>
      </c>
      <c r="F682" s="24">
        <f>IF($D682="","",IFERROR(VLOOKUP($D682,物料档案!$A$4:$P$1203,4,0),"※编码不在物料档案里"))</f>
        <v/>
      </c>
      <c r="G682" s="24">
        <f>IF($D682="","",IFERROR(VLOOKUP($D682,物料档案!$A$4:$P$1203,5,0),"※编码不在物料档案里"))</f>
        <v/>
      </c>
      <c r="H682" s="24">
        <f>IF($D682="","",IFERROR(VLOOKUP($D682,物料档案!$A$4:$P$1203,2,0),"※编码不在物料档案里"))</f>
        <v/>
      </c>
      <c r="I682" s="24">
        <f>IF($D682="","",IFERROR(VLOOKUP($D682,物料档案!$A$4:$P$1203,6,0),"※编码不在物料档案里"))</f>
        <v/>
      </c>
      <c r="J682" s="23" t="n"/>
      <c r="K682" s="17" t="n"/>
      <c r="L682" s="17" t="n"/>
      <c r="M682" s="17" t="n"/>
      <c r="N682" s="17" t="n"/>
      <c r="O682" s="26">
        <f>IF($D682="","",IFERROR(VLOOKUP($D682,物料档案!$A$4:$P$1203,10,0),0))</f>
        <v/>
      </c>
      <c r="P682" s="32" t="n"/>
      <c r="Q682" s="26">
        <f>IF($D682="","",IF($K682&lt;&gt;"对外销售",0,ROUND(N($J682)*IF($P682="",N($O682),N($P682)),0)))</f>
        <v/>
      </c>
      <c r="R682" s="26">
        <f>IF($D682="","",IFERROR(VLOOKUP($D682,库存台账!$A$5:$Y$1204,11,0),0))</f>
        <v/>
      </c>
      <c r="S682" s="26">
        <f>IF($D682="","",ROUND(N($J682)*N($R682),0))</f>
        <v/>
      </c>
      <c r="T682" s="26">
        <f>IF($D682="","",IF($K682&lt;&gt;"对外销售","",ROUND($Q682-$S682,0)))</f>
        <v/>
      </c>
      <c r="U682" s="17" t="n"/>
      <c r="V682" s="17" t="n"/>
      <c r="W682" s="24">
        <f>IF($D682="","",IF($E682="※编码不在物料档案里","※物料编码不在档案里",IF(N($J682)&lt;=0,"※出库数量要大于 0",IF($K682="","※没填去向类型",IF($L682="","※没填去向矿区",IF(AND($C682&lt;&gt;"",$C682&lt;=结账锁),"※日期早于已结账截止日，不能再录",IF(AND($K682="自用消耗",COUNTIF({"一矿区";"二矿区"},$L682)=0),"※自用消耗的去向只能是一矿区或二矿区",IF(AND($K682="对外销售",COUNTIF({"三矿区";"六矿区"},$L682)=0),"※对外销售的去向只能是三矿区或六矿区",IF(AND($K682="对外销售",ROUND($Q682,0)=0),"※外销却没有售价，请填实际售价",IF(AND($K682="对外销售",$T682&lt;&gt;"",$T682&lt;0),"※这一笔外销是亏的，请核对售价",IF(IFERROR(VLOOKUP($D682,库存台账!$A$5:$Y$1204,24,0),0)&lt;-0.001,"※这个物料账面已经变成负数了，查一下是不是漏记入库","")))))))))))</f>
        <v/>
      </c>
    </row>
    <row r="683">
      <c r="A683" s="24">
        <f>IF($D683="","",COUNTA($D$4:$D683))</f>
        <v/>
      </c>
      <c r="B683" s="17" t="n"/>
      <c r="C683" s="30" t="n"/>
      <c r="D683" s="17" t="n"/>
      <c r="E683" s="24">
        <f>IF($D683="","",IFERROR(VLOOKUP($D683,物料档案!$A$4:$P$1203,3,0),"※编码不在物料档案里"))</f>
        <v/>
      </c>
      <c r="F683" s="24">
        <f>IF($D683="","",IFERROR(VLOOKUP($D683,物料档案!$A$4:$P$1203,4,0),"※编码不在物料档案里"))</f>
        <v/>
      </c>
      <c r="G683" s="24">
        <f>IF($D683="","",IFERROR(VLOOKUP($D683,物料档案!$A$4:$P$1203,5,0),"※编码不在物料档案里"))</f>
        <v/>
      </c>
      <c r="H683" s="24">
        <f>IF($D683="","",IFERROR(VLOOKUP($D683,物料档案!$A$4:$P$1203,2,0),"※编码不在物料档案里"))</f>
        <v/>
      </c>
      <c r="I683" s="24">
        <f>IF($D683="","",IFERROR(VLOOKUP($D683,物料档案!$A$4:$P$1203,6,0),"※编码不在物料档案里"))</f>
        <v/>
      </c>
      <c r="J683" s="23" t="n"/>
      <c r="K683" s="17" t="n"/>
      <c r="L683" s="17" t="n"/>
      <c r="M683" s="17" t="n"/>
      <c r="N683" s="17" t="n"/>
      <c r="O683" s="26">
        <f>IF($D683="","",IFERROR(VLOOKUP($D683,物料档案!$A$4:$P$1203,10,0),0))</f>
        <v/>
      </c>
      <c r="P683" s="32" t="n"/>
      <c r="Q683" s="26">
        <f>IF($D683="","",IF($K683&lt;&gt;"对外销售",0,ROUND(N($J683)*IF($P683="",N($O683),N($P683)),0)))</f>
        <v/>
      </c>
      <c r="R683" s="26">
        <f>IF($D683="","",IFERROR(VLOOKUP($D683,库存台账!$A$5:$Y$1204,11,0),0))</f>
        <v/>
      </c>
      <c r="S683" s="26">
        <f>IF($D683="","",ROUND(N($J683)*N($R683),0))</f>
        <v/>
      </c>
      <c r="T683" s="26">
        <f>IF($D683="","",IF($K683&lt;&gt;"对外销售","",ROUND($Q683-$S683,0)))</f>
        <v/>
      </c>
      <c r="U683" s="17" t="n"/>
      <c r="V683" s="17" t="n"/>
      <c r="W683" s="24">
        <f>IF($D683="","",IF($E683="※编码不在物料档案里","※物料编码不在档案里",IF(N($J683)&lt;=0,"※出库数量要大于 0",IF($K683="","※没填去向类型",IF($L683="","※没填去向矿区",IF(AND($C683&lt;&gt;"",$C683&lt;=结账锁),"※日期早于已结账截止日，不能再录",IF(AND($K683="自用消耗",COUNTIF({"一矿区";"二矿区"},$L683)=0),"※自用消耗的去向只能是一矿区或二矿区",IF(AND($K683="对外销售",COUNTIF({"三矿区";"六矿区"},$L683)=0),"※对外销售的去向只能是三矿区或六矿区",IF(AND($K683="对外销售",ROUND($Q683,0)=0),"※外销却没有售价，请填实际售价",IF(AND($K683="对外销售",$T683&lt;&gt;"",$T683&lt;0),"※这一笔外销是亏的，请核对售价",IF(IFERROR(VLOOKUP($D683,库存台账!$A$5:$Y$1204,24,0),0)&lt;-0.001,"※这个物料账面已经变成负数了，查一下是不是漏记入库","")))))))))))</f>
        <v/>
      </c>
    </row>
    <row r="684">
      <c r="A684" s="24">
        <f>IF($D684="","",COUNTA($D$4:$D684))</f>
        <v/>
      </c>
      <c r="B684" s="17" t="n"/>
      <c r="C684" s="30" t="n"/>
      <c r="D684" s="17" t="n"/>
      <c r="E684" s="24">
        <f>IF($D684="","",IFERROR(VLOOKUP($D684,物料档案!$A$4:$P$1203,3,0),"※编码不在物料档案里"))</f>
        <v/>
      </c>
      <c r="F684" s="24">
        <f>IF($D684="","",IFERROR(VLOOKUP($D684,物料档案!$A$4:$P$1203,4,0),"※编码不在物料档案里"))</f>
        <v/>
      </c>
      <c r="G684" s="24">
        <f>IF($D684="","",IFERROR(VLOOKUP($D684,物料档案!$A$4:$P$1203,5,0),"※编码不在物料档案里"))</f>
        <v/>
      </c>
      <c r="H684" s="24">
        <f>IF($D684="","",IFERROR(VLOOKUP($D684,物料档案!$A$4:$P$1203,2,0),"※编码不在物料档案里"))</f>
        <v/>
      </c>
      <c r="I684" s="24">
        <f>IF($D684="","",IFERROR(VLOOKUP($D684,物料档案!$A$4:$P$1203,6,0),"※编码不在物料档案里"))</f>
        <v/>
      </c>
      <c r="J684" s="23" t="n"/>
      <c r="K684" s="17" t="n"/>
      <c r="L684" s="17" t="n"/>
      <c r="M684" s="17" t="n"/>
      <c r="N684" s="17" t="n"/>
      <c r="O684" s="26">
        <f>IF($D684="","",IFERROR(VLOOKUP($D684,物料档案!$A$4:$P$1203,10,0),0))</f>
        <v/>
      </c>
      <c r="P684" s="32" t="n"/>
      <c r="Q684" s="26">
        <f>IF($D684="","",IF($K684&lt;&gt;"对外销售",0,ROUND(N($J684)*IF($P684="",N($O684),N($P684)),0)))</f>
        <v/>
      </c>
      <c r="R684" s="26">
        <f>IF($D684="","",IFERROR(VLOOKUP($D684,库存台账!$A$5:$Y$1204,11,0),0))</f>
        <v/>
      </c>
      <c r="S684" s="26">
        <f>IF($D684="","",ROUND(N($J684)*N($R684),0))</f>
        <v/>
      </c>
      <c r="T684" s="26">
        <f>IF($D684="","",IF($K684&lt;&gt;"对外销售","",ROUND($Q684-$S684,0)))</f>
        <v/>
      </c>
      <c r="U684" s="17" t="n"/>
      <c r="V684" s="17" t="n"/>
      <c r="W684" s="24">
        <f>IF($D684="","",IF($E684="※编码不在物料档案里","※物料编码不在档案里",IF(N($J684)&lt;=0,"※出库数量要大于 0",IF($K684="","※没填去向类型",IF($L684="","※没填去向矿区",IF(AND($C684&lt;&gt;"",$C684&lt;=结账锁),"※日期早于已结账截止日，不能再录",IF(AND($K684="自用消耗",COUNTIF({"一矿区";"二矿区"},$L684)=0),"※自用消耗的去向只能是一矿区或二矿区",IF(AND($K684="对外销售",COUNTIF({"三矿区";"六矿区"},$L684)=0),"※对外销售的去向只能是三矿区或六矿区",IF(AND($K684="对外销售",ROUND($Q684,0)=0),"※外销却没有售价，请填实际售价",IF(AND($K684="对外销售",$T684&lt;&gt;"",$T684&lt;0),"※这一笔外销是亏的，请核对售价",IF(IFERROR(VLOOKUP($D684,库存台账!$A$5:$Y$1204,24,0),0)&lt;-0.001,"※这个物料账面已经变成负数了，查一下是不是漏记入库","")))))))))))</f>
        <v/>
      </c>
    </row>
    <row r="685">
      <c r="A685" s="24">
        <f>IF($D685="","",COUNTA($D$4:$D685))</f>
        <v/>
      </c>
      <c r="B685" s="17" t="n"/>
      <c r="C685" s="30" t="n"/>
      <c r="D685" s="17" t="n"/>
      <c r="E685" s="24">
        <f>IF($D685="","",IFERROR(VLOOKUP($D685,物料档案!$A$4:$P$1203,3,0),"※编码不在物料档案里"))</f>
        <v/>
      </c>
      <c r="F685" s="24">
        <f>IF($D685="","",IFERROR(VLOOKUP($D685,物料档案!$A$4:$P$1203,4,0),"※编码不在物料档案里"))</f>
        <v/>
      </c>
      <c r="G685" s="24">
        <f>IF($D685="","",IFERROR(VLOOKUP($D685,物料档案!$A$4:$P$1203,5,0),"※编码不在物料档案里"))</f>
        <v/>
      </c>
      <c r="H685" s="24">
        <f>IF($D685="","",IFERROR(VLOOKUP($D685,物料档案!$A$4:$P$1203,2,0),"※编码不在物料档案里"))</f>
        <v/>
      </c>
      <c r="I685" s="24">
        <f>IF($D685="","",IFERROR(VLOOKUP($D685,物料档案!$A$4:$P$1203,6,0),"※编码不在物料档案里"))</f>
        <v/>
      </c>
      <c r="J685" s="23" t="n"/>
      <c r="K685" s="17" t="n"/>
      <c r="L685" s="17" t="n"/>
      <c r="M685" s="17" t="n"/>
      <c r="N685" s="17" t="n"/>
      <c r="O685" s="26">
        <f>IF($D685="","",IFERROR(VLOOKUP($D685,物料档案!$A$4:$P$1203,10,0),0))</f>
        <v/>
      </c>
      <c r="P685" s="32" t="n"/>
      <c r="Q685" s="26">
        <f>IF($D685="","",IF($K685&lt;&gt;"对外销售",0,ROUND(N($J685)*IF($P685="",N($O685),N($P685)),0)))</f>
        <v/>
      </c>
      <c r="R685" s="26">
        <f>IF($D685="","",IFERROR(VLOOKUP($D685,库存台账!$A$5:$Y$1204,11,0),0))</f>
        <v/>
      </c>
      <c r="S685" s="26">
        <f>IF($D685="","",ROUND(N($J685)*N($R685),0))</f>
        <v/>
      </c>
      <c r="T685" s="26">
        <f>IF($D685="","",IF($K685&lt;&gt;"对外销售","",ROUND($Q685-$S685,0)))</f>
        <v/>
      </c>
      <c r="U685" s="17" t="n"/>
      <c r="V685" s="17" t="n"/>
      <c r="W685" s="24">
        <f>IF($D685="","",IF($E685="※编码不在物料档案里","※物料编码不在档案里",IF(N($J685)&lt;=0,"※出库数量要大于 0",IF($K685="","※没填去向类型",IF($L685="","※没填去向矿区",IF(AND($C685&lt;&gt;"",$C685&lt;=结账锁),"※日期早于已结账截止日，不能再录",IF(AND($K685="自用消耗",COUNTIF({"一矿区";"二矿区"},$L685)=0),"※自用消耗的去向只能是一矿区或二矿区",IF(AND($K685="对外销售",COUNTIF({"三矿区";"六矿区"},$L685)=0),"※对外销售的去向只能是三矿区或六矿区",IF(AND($K685="对外销售",ROUND($Q685,0)=0),"※外销却没有售价，请填实际售价",IF(AND($K685="对外销售",$T685&lt;&gt;"",$T685&lt;0),"※这一笔外销是亏的，请核对售价",IF(IFERROR(VLOOKUP($D685,库存台账!$A$5:$Y$1204,24,0),0)&lt;-0.001,"※这个物料账面已经变成负数了，查一下是不是漏记入库","")))))))))))</f>
        <v/>
      </c>
    </row>
    <row r="686">
      <c r="A686" s="24">
        <f>IF($D686="","",COUNTA($D$4:$D686))</f>
        <v/>
      </c>
      <c r="B686" s="17" t="n"/>
      <c r="C686" s="30" t="n"/>
      <c r="D686" s="17" t="n"/>
      <c r="E686" s="24">
        <f>IF($D686="","",IFERROR(VLOOKUP($D686,物料档案!$A$4:$P$1203,3,0),"※编码不在物料档案里"))</f>
        <v/>
      </c>
      <c r="F686" s="24">
        <f>IF($D686="","",IFERROR(VLOOKUP($D686,物料档案!$A$4:$P$1203,4,0),"※编码不在物料档案里"))</f>
        <v/>
      </c>
      <c r="G686" s="24">
        <f>IF($D686="","",IFERROR(VLOOKUP($D686,物料档案!$A$4:$P$1203,5,0),"※编码不在物料档案里"))</f>
        <v/>
      </c>
      <c r="H686" s="24">
        <f>IF($D686="","",IFERROR(VLOOKUP($D686,物料档案!$A$4:$P$1203,2,0),"※编码不在物料档案里"))</f>
        <v/>
      </c>
      <c r="I686" s="24">
        <f>IF($D686="","",IFERROR(VLOOKUP($D686,物料档案!$A$4:$P$1203,6,0),"※编码不在物料档案里"))</f>
        <v/>
      </c>
      <c r="J686" s="23" t="n"/>
      <c r="K686" s="17" t="n"/>
      <c r="L686" s="17" t="n"/>
      <c r="M686" s="17" t="n"/>
      <c r="N686" s="17" t="n"/>
      <c r="O686" s="26">
        <f>IF($D686="","",IFERROR(VLOOKUP($D686,物料档案!$A$4:$P$1203,10,0),0))</f>
        <v/>
      </c>
      <c r="P686" s="32" t="n"/>
      <c r="Q686" s="26">
        <f>IF($D686="","",IF($K686&lt;&gt;"对外销售",0,ROUND(N($J686)*IF($P686="",N($O686),N($P686)),0)))</f>
        <v/>
      </c>
      <c r="R686" s="26">
        <f>IF($D686="","",IFERROR(VLOOKUP($D686,库存台账!$A$5:$Y$1204,11,0),0))</f>
        <v/>
      </c>
      <c r="S686" s="26">
        <f>IF($D686="","",ROUND(N($J686)*N($R686),0))</f>
        <v/>
      </c>
      <c r="T686" s="26">
        <f>IF($D686="","",IF($K686&lt;&gt;"对外销售","",ROUND($Q686-$S686,0)))</f>
        <v/>
      </c>
      <c r="U686" s="17" t="n"/>
      <c r="V686" s="17" t="n"/>
      <c r="W686" s="24">
        <f>IF($D686="","",IF($E686="※编码不在物料档案里","※物料编码不在档案里",IF(N($J686)&lt;=0,"※出库数量要大于 0",IF($K686="","※没填去向类型",IF($L686="","※没填去向矿区",IF(AND($C686&lt;&gt;"",$C686&lt;=结账锁),"※日期早于已结账截止日，不能再录",IF(AND($K686="自用消耗",COUNTIF({"一矿区";"二矿区"},$L686)=0),"※自用消耗的去向只能是一矿区或二矿区",IF(AND($K686="对外销售",COUNTIF({"三矿区";"六矿区"},$L686)=0),"※对外销售的去向只能是三矿区或六矿区",IF(AND($K686="对外销售",ROUND($Q686,0)=0),"※外销却没有售价，请填实际售价",IF(AND($K686="对外销售",$T686&lt;&gt;"",$T686&lt;0),"※这一笔外销是亏的，请核对售价",IF(IFERROR(VLOOKUP($D686,库存台账!$A$5:$Y$1204,24,0),0)&lt;-0.001,"※这个物料账面已经变成负数了，查一下是不是漏记入库","")))))))))))</f>
        <v/>
      </c>
    </row>
    <row r="687">
      <c r="A687" s="24">
        <f>IF($D687="","",COUNTA($D$4:$D687))</f>
        <v/>
      </c>
      <c r="B687" s="17" t="n"/>
      <c r="C687" s="30" t="n"/>
      <c r="D687" s="17" t="n"/>
      <c r="E687" s="24">
        <f>IF($D687="","",IFERROR(VLOOKUP($D687,物料档案!$A$4:$P$1203,3,0),"※编码不在物料档案里"))</f>
        <v/>
      </c>
      <c r="F687" s="24">
        <f>IF($D687="","",IFERROR(VLOOKUP($D687,物料档案!$A$4:$P$1203,4,0),"※编码不在物料档案里"))</f>
        <v/>
      </c>
      <c r="G687" s="24">
        <f>IF($D687="","",IFERROR(VLOOKUP($D687,物料档案!$A$4:$P$1203,5,0),"※编码不在物料档案里"))</f>
        <v/>
      </c>
      <c r="H687" s="24">
        <f>IF($D687="","",IFERROR(VLOOKUP($D687,物料档案!$A$4:$P$1203,2,0),"※编码不在物料档案里"))</f>
        <v/>
      </c>
      <c r="I687" s="24">
        <f>IF($D687="","",IFERROR(VLOOKUP($D687,物料档案!$A$4:$P$1203,6,0),"※编码不在物料档案里"))</f>
        <v/>
      </c>
      <c r="J687" s="23" t="n"/>
      <c r="K687" s="17" t="n"/>
      <c r="L687" s="17" t="n"/>
      <c r="M687" s="17" t="n"/>
      <c r="N687" s="17" t="n"/>
      <c r="O687" s="26">
        <f>IF($D687="","",IFERROR(VLOOKUP($D687,物料档案!$A$4:$P$1203,10,0),0))</f>
        <v/>
      </c>
      <c r="P687" s="32" t="n"/>
      <c r="Q687" s="26">
        <f>IF($D687="","",IF($K687&lt;&gt;"对外销售",0,ROUND(N($J687)*IF($P687="",N($O687),N($P687)),0)))</f>
        <v/>
      </c>
      <c r="R687" s="26">
        <f>IF($D687="","",IFERROR(VLOOKUP($D687,库存台账!$A$5:$Y$1204,11,0),0))</f>
        <v/>
      </c>
      <c r="S687" s="26">
        <f>IF($D687="","",ROUND(N($J687)*N($R687),0))</f>
        <v/>
      </c>
      <c r="T687" s="26">
        <f>IF($D687="","",IF($K687&lt;&gt;"对外销售","",ROUND($Q687-$S687,0)))</f>
        <v/>
      </c>
      <c r="U687" s="17" t="n"/>
      <c r="V687" s="17" t="n"/>
      <c r="W687" s="24">
        <f>IF($D687="","",IF($E687="※编码不在物料档案里","※物料编码不在档案里",IF(N($J687)&lt;=0,"※出库数量要大于 0",IF($K687="","※没填去向类型",IF($L687="","※没填去向矿区",IF(AND($C687&lt;&gt;"",$C687&lt;=结账锁),"※日期早于已结账截止日，不能再录",IF(AND($K687="自用消耗",COUNTIF({"一矿区";"二矿区"},$L687)=0),"※自用消耗的去向只能是一矿区或二矿区",IF(AND($K687="对外销售",COUNTIF({"三矿区";"六矿区"},$L687)=0),"※对外销售的去向只能是三矿区或六矿区",IF(AND($K687="对外销售",ROUND($Q687,0)=0),"※外销却没有售价，请填实际售价",IF(AND($K687="对外销售",$T687&lt;&gt;"",$T687&lt;0),"※这一笔外销是亏的，请核对售价",IF(IFERROR(VLOOKUP($D687,库存台账!$A$5:$Y$1204,24,0),0)&lt;-0.001,"※这个物料账面已经变成负数了，查一下是不是漏记入库","")))))))))))</f>
        <v/>
      </c>
    </row>
    <row r="688">
      <c r="A688" s="24">
        <f>IF($D688="","",COUNTA($D$4:$D688))</f>
        <v/>
      </c>
      <c r="B688" s="17" t="n"/>
      <c r="C688" s="30" t="n"/>
      <c r="D688" s="17" t="n"/>
      <c r="E688" s="24">
        <f>IF($D688="","",IFERROR(VLOOKUP($D688,物料档案!$A$4:$P$1203,3,0),"※编码不在物料档案里"))</f>
        <v/>
      </c>
      <c r="F688" s="24">
        <f>IF($D688="","",IFERROR(VLOOKUP($D688,物料档案!$A$4:$P$1203,4,0),"※编码不在物料档案里"))</f>
        <v/>
      </c>
      <c r="G688" s="24">
        <f>IF($D688="","",IFERROR(VLOOKUP($D688,物料档案!$A$4:$P$1203,5,0),"※编码不在物料档案里"))</f>
        <v/>
      </c>
      <c r="H688" s="24">
        <f>IF($D688="","",IFERROR(VLOOKUP($D688,物料档案!$A$4:$P$1203,2,0),"※编码不在物料档案里"))</f>
        <v/>
      </c>
      <c r="I688" s="24">
        <f>IF($D688="","",IFERROR(VLOOKUP($D688,物料档案!$A$4:$P$1203,6,0),"※编码不在物料档案里"))</f>
        <v/>
      </c>
      <c r="J688" s="23" t="n"/>
      <c r="K688" s="17" t="n"/>
      <c r="L688" s="17" t="n"/>
      <c r="M688" s="17" t="n"/>
      <c r="N688" s="17" t="n"/>
      <c r="O688" s="26">
        <f>IF($D688="","",IFERROR(VLOOKUP($D688,物料档案!$A$4:$P$1203,10,0),0))</f>
        <v/>
      </c>
      <c r="P688" s="32" t="n"/>
      <c r="Q688" s="26">
        <f>IF($D688="","",IF($K688&lt;&gt;"对外销售",0,ROUND(N($J688)*IF($P688="",N($O688),N($P688)),0)))</f>
        <v/>
      </c>
      <c r="R688" s="26">
        <f>IF($D688="","",IFERROR(VLOOKUP($D688,库存台账!$A$5:$Y$1204,11,0),0))</f>
        <v/>
      </c>
      <c r="S688" s="26">
        <f>IF($D688="","",ROUND(N($J688)*N($R688),0))</f>
        <v/>
      </c>
      <c r="T688" s="26">
        <f>IF($D688="","",IF($K688&lt;&gt;"对外销售","",ROUND($Q688-$S688,0)))</f>
        <v/>
      </c>
      <c r="U688" s="17" t="n"/>
      <c r="V688" s="17" t="n"/>
      <c r="W688" s="24">
        <f>IF($D688="","",IF($E688="※编码不在物料档案里","※物料编码不在档案里",IF(N($J688)&lt;=0,"※出库数量要大于 0",IF($K688="","※没填去向类型",IF($L688="","※没填去向矿区",IF(AND($C688&lt;&gt;"",$C688&lt;=结账锁),"※日期早于已结账截止日，不能再录",IF(AND($K688="自用消耗",COUNTIF({"一矿区";"二矿区"},$L688)=0),"※自用消耗的去向只能是一矿区或二矿区",IF(AND($K688="对外销售",COUNTIF({"三矿区";"六矿区"},$L688)=0),"※对外销售的去向只能是三矿区或六矿区",IF(AND($K688="对外销售",ROUND($Q688,0)=0),"※外销却没有售价，请填实际售价",IF(AND($K688="对外销售",$T688&lt;&gt;"",$T688&lt;0),"※这一笔外销是亏的，请核对售价",IF(IFERROR(VLOOKUP($D688,库存台账!$A$5:$Y$1204,24,0),0)&lt;-0.001,"※这个物料账面已经变成负数了，查一下是不是漏记入库","")))))))))))</f>
        <v/>
      </c>
    </row>
    <row r="689">
      <c r="A689" s="24">
        <f>IF($D689="","",COUNTA($D$4:$D689))</f>
        <v/>
      </c>
      <c r="B689" s="17" t="n"/>
      <c r="C689" s="30" t="n"/>
      <c r="D689" s="17" t="n"/>
      <c r="E689" s="24">
        <f>IF($D689="","",IFERROR(VLOOKUP($D689,物料档案!$A$4:$P$1203,3,0),"※编码不在物料档案里"))</f>
        <v/>
      </c>
      <c r="F689" s="24">
        <f>IF($D689="","",IFERROR(VLOOKUP($D689,物料档案!$A$4:$P$1203,4,0),"※编码不在物料档案里"))</f>
        <v/>
      </c>
      <c r="G689" s="24">
        <f>IF($D689="","",IFERROR(VLOOKUP($D689,物料档案!$A$4:$P$1203,5,0),"※编码不在物料档案里"))</f>
        <v/>
      </c>
      <c r="H689" s="24">
        <f>IF($D689="","",IFERROR(VLOOKUP($D689,物料档案!$A$4:$P$1203,2,0),"※编码不在物料档案里"))</f>
        <v/>
      </c>
      <c r="I689" s="24">
        <f>IF($D689="","",IFERROR(VLOOKUP($D689,物料档案!$A$4:$P$1203,6,0),"※编码不在物料档案里"))</f>
        <v/>
      </c>
      <c r="J689" s="23" t="n"/>
      <c r="K689" s="17" t="n"/>
      <c r="L689" s="17" t="n"/>
      <c r="M689" s="17" t="n"/>
      <c r="N689" s="17" t="n"/>
      <c r="O689" s="26">
        <f>IF($D689="","",IFERROR(VLOOKUP($D689,物料档案!$A$4:$P$1203,10,0),0))</f>
        <v/>
      </c>
      <c r="P689" s="32" t="n"/>
      <c r="Q689" s="26">
        <f>IF($D689="","",IF($K689&lt;&gt;"对外销售",0,ROUND(N($J689)*IF($P689="",N($O689),N($P689)),0)))</f>
        <v/>
      </c>
      <c r="R689" s="26">
        <f>IF($D689="","",IFERROR(VLOOKUP($D689,库存台账!$A$5:$Y$1204,11,0),0))</f>
        <v/>
      </c>
      <c r="S689" s="26">
        <f>IF($D689="","",ROUND(N($J689)*N($R689),0))</f>
        <v/>
      </c>
      <c r="T689" s="26">
        <f>IF($D689="","",IF($K689&lt;&gt;"对外销售","",ROUND($Q689-$S689,0)))</f>
        <v/>
      </c>
      <c r="U689" s="17" t="n"/>
      <c r="V689" s="17" t="n"/>
      <c r="W689" s="24">
        <f>IF($D689="","",IF($E689="※编码不在物料档案里","※物料编码不在档案里",IF(N($J689)&lt;=0,"※出库数量要大于 0",IF($K689="","※没填去向类型",IF($L689="","※没填去向矿区",IF(AND($C689&lt;&gt;"",$C689&lt;=结账锁),"※日期早于已结账截止日，不能再录",IF(AND($K689="自用消耗",COUNTIF({"一矿区";"二矿区"},$L689)=0),"※自用消耗的去向只能是一矿区或二矿区",IF(AND($K689="对外销售",COUNTIF({"三矿区";"六矿区"},$L689)=0),"※对外销售的去向只能是三矿区或六矿区",IF(AND($K689="对外销售",ROUND($Q689,0)=0),"※外销却没有售价，请填实际售价",IF(AND($K689="对外销售",$T689&lt;&gt;"",$T689&lt;0),"※这一笔外销是亏的，请核对售价",IF(IFERROR(VLOOKUP($D689,库存台账!$A$5:$Y$1204,24,0),0)&lt;-0.001,"※这个物料账面已经变成负数了，查一下是不是漏记入库","")))))))))))</f>
        <v/>
      </c>
    </row>
    <row r="690">
      <c r="A690" s="24">
        <f>IF($D690="","",COUNTA($D$4:$D690))</f>
        <v/>
      </c>
      <c r="B690" s="17" t="n"/>
      <c r="C690" s="30" t="n"/>
      <c r="D690" s="17" t="n"/>
      <c r="E690" s="24">
        <f>IF($D690="","",IFERROR(VLOOKUP($D690,物料档案!$A$4:$P$1203,3,0),"※编码不在物料档案里"))</f>
        <v/>
      </c>
      <c r="F690" s="24">
        <f>IF($D690="","",IFERROR(VLOOKUP($D690,物料档案!$A$4:$P$1203,4,0),"※编码不在物料档案里"))</f>
        <v/>
      </c>
      <c r="G690" s="24">
        <f>IF($D690="","",IFERROR(VLOOKUP($D690,物料档案!$A$4:$P$1203,5,0),"※编码不在物料档案里"))</f>
        <v/>
      </c>
      <c r="H690" s="24">
        <f>IF($D690="","",IFERROR(VLOOKUP($D690,物料档案!$A$4:$P$1203,2,0),"※编码不在物料档案里"))</f>
        <v/>
      </c>
      <c r="I690" s="24">
        <f>IF($D690="","",IFERROR(VLOOKUP($D690,物料档案!$A$4:$P$1203,6,0),"※编码不在物料档案里"))</f>
        <v/>
      </c>
      <c r="J690" s="23" t="n"/>
      <c r="K690" s="17" t="n"/>
      <c r="L690" s="17" t="n"/>
      <c r="M690" s="17" t="n"/>
      <c r="N690" s="17" t="n"/>
      <c r="O690" s="26">
        <f>IF($D690="","",IFERROR(VLOOKUP($D690,物料档案!$A$4:$P$1203,10,0),0))</f>
        <v/>
      </c>
      <c r="P690" s="32" t="n"/>
      <c r="Q690" s="26">
        <f>IF($D690="","",IF($K690&lt;&gt;"对外销售",0,ROUND(N($J690)*IF($P690="",N($O690),N($P690)),0)))</f>
        <v/>
      </c>
      <c r="R690" s="26">
        <f>IF($D690="","",IFERROR(VLOOKUP($D690,库存台账!$A$5:$Y$1204,11,0),0))</f>
        <v/>
      </c>
      <c r="S690" s="26">
        <f>IF($D690="","",ROUND(N($J690)*N($R690),0))</f>
        <v/>
      </c>
      <c r="T690" s="26">
        <f>IF($D690="","",IF($K690&lt;&gt;"对外销售","",ROUND($Q690-$S690,0)))</f>
        <v/>
      </c>
      <c r="U690" s="17" t="n"/>
      <c r="V690" s="17" t="n"/>
      <c r="W690" s="24">
        <f>IF($D690="","",IF($E690="※编码不在物料档案里","※物料编码不在档案里",IF(N($J690)&lt;=0,"※出库数量要大于 0",IF($K690="","※没填去向类型",IF($L690="","※没填去向矿区",IF(AND($C690&lt;&gt;"",$C690&lt;=结账锁),"※日期早于已结账截止日，不能再录",IF(AND($K690="自用消耗",COUNTIF({"一矿区";"二矿区"},$L690)=0),"※自用消耗的去向只能是一矿区或二矿区",IF(AND($K690="对外销售",COUNTIF({"三矿区";"六矿区"},$L690)=0),"※对外销售的去向只能是三矿区或六矿区",IF(AND($K690="对外销售",ROUND($Q690,0)=0),"※外销却没有售价，请填实际售价",IF(AND($K690="对外销售",$T690&lt;&gt;"",$T690&lt;0),"※这一笔外销是亏的，请核对售价",IF(IFERROR(VLOOKUP($D690,库存台账!$A$5:$Y$1204,24,0),0)&lt;-0.001,"※这个物料账面已经变成负数了，查一下是不是漏记入库","")))))))))))</f>
        <v/>
      </c>
    </row>
    <row r="691">
      <c r="A691" s="24">
        <f>IF($D691="","",COUNTA($D$4:$D691))</f>
        <v/>
      </c>
      <c r="B691" s="17" t="n"/>
      <c r="C691" s="30" t="n"/>
      <c r="D691" s="17" t="n"/>
      <c r="E691" s="24">
        <f>IF($D691="","",IFERROR(VLOOKUP($D691,物料档案!$A$4:$P$1203,3,0),"※编码不在物料档案里"))</f>
        <v/>
      </c>
      <c r="F691" s="24">
        <f>IF($D691="","",IFERROR(VLOOKUP($D691,物料档案!$A$4:$P$1203,4,0),"※编码不在物料档案里"))</f>
        <v/>
      </c>
      <c r="G691" s="24">
        <f>IF($D691="","",IFERROR(VLOOKUP($D691,物料档案!$A$4:$P$1203,5,0),"※编码不在物料档案里"))</f>
        <v/>
      </c>
      <c r="H691" s="24">
        <f>IF($D691="","",IFERROR(VLOOKUP($D691,物料档案!$A$4:$P$1203,2,0),"※编码不在物料档案里"))</f>
        <v/>
      </c>
      <c r="I691" s="24">
        <f>IF($D691="","",IFERROR(VLOOKUP($D691,物料档案!$A$4:$P$1203,6,0),"※编码不在物料档案里"))</f>
        <v/>
      </c>
      <c r="J691" s="23" t="n"/>
      <c r="K691" s="17" t="n"/>
      <c r="L691" s="17" t="n"/>
      <c r="M691" s="17" t="n"/>
      <c r="N691" s="17" t="n"/>
      <c r="O691" s="26">
        <f>IF($D691="","",IFERROR(VLOOKUP($D691,物料档案!$A$4:$P$1203,10,0),0))</f>
        <v/>
      </c>
      <c r="P691" s="32" t="n"/>
      <c r="Q691" s="26">
        <f>IF($D691="","",IF($K691&lt;&gt;"对外销售",0,ROUND(N($J691)*IF($P691="",N($O691),N($P691)),0)))</f>
        <v/>
      </c>
      <c r="R691" s="26">
        <f>IF($D691="","",IFERROR(VLOOKUP($D691,库存台账!$A$5:$Y$1204,11,0),0))</f>
        <v/>
      </c>
      <c r="S691" s="26">
        <f>IF($D691="","",ROUND(N($J691)*N($R691),0))</f>
        <v/>
      </c>
      <c r="T691" s="26">
        <f>IF($D691="","",IF($K691&lt;&gt;"对外销售","",ROUND($Q691-$S691,0)))</f>
        <v/>
      </c>
      <c r="U691" s="17" t="n"/>
      <c r="V691" s="17" t="n"/>
      <c r="W691" s="24">
        <f>IF($D691="","",IF($E691="※编码不在物料档案里","※物料编码不在档案里",IF(N($J691)&lt;=0,"※出库数量要大于 0",IF($K691="","※没填去向类型",IF($L691="","※没填去向矿区",IF(AND($C691&lt;&gt;"",$C691&lt;=结账锁),"※日期早于已结账截止日，不能再录",IF(AND($K691="自用消耗",COUNTIF({"一矿区";"二矿区"},$L691)=0),"※自用消耗的去向只能是一矿区或二矿区",IF(AND($K691="对外销售",COUNTIF({"三矿区";"六矿区"},$L691)=0),"※对外销售的去向只能是三矿区或六矿区",IF(AND($K691="对外销售",ROUND($Q691,0)=0),"※外销却没有售价，请填实际售价",IF(AND($K691="对外销售",$T691&lt;&gt;"",$T691&lt;0),"※这一笔外销是亏的，请核对售价",IF(IFERROR(VLOOKUP($D691,库存台账!$A$5:$Y$1204,24,0),0)&lt;-0.001,"※这个物料账面已经变成负数了，查一下是不是漏记入库","")))))))))))</f>
        <v/>
      </c>
    </row>
    <row r="692">
      <c r="A692" s="24">
        <f>IF($D692="","",COUNTA($D$4:$D692))</f>
        <v/>
      </c>
      <c r="B692" s="17" t="n"/>
      <c r="C692" s="30" t="n"/>
      <c r="D692" s="17" t="n"/>
      <c r="E692" s="24">
        <f>IF($D692="","",IFERROR(VLOOKUP($D692,物料档案!$A$4:$P$1203,3,0),"※编码不在物料档案里"))</f>
        <v/>
      </c>
      <c r="F692" s="24">
        <f>IF($D692="","",IFERROR(VLOOKUP($D692,物料档案!$A$4:$P$1203,4,0),"※编码不在物料档案里"))</f>
        <v/>
      </c>
      <c r="G692" s="24">
        <f>IF($D692="","",IFERROR(VLOOKUP($D692,物料档案!$A$4:$P$1203,5,0),"※编码不在物料档案里"))</f>
        <v/>
      </c>
      <c r="H692" s="24">
        <f>IF($D692="","",IFERROR(VLOOKUP($D692,物料档案!$A$4:$P$1203,2,0),"※编码不在物料档案里"))</f>
        <v/>
      </c>
      <c r="I692" s="24">
        <f>IF($D692="","",IFERROR(VLOOKUP($D692,物料档案!$A$4:$P$1203,6,0),"※编码不在物料档案里"))</f>
        <v/>
      </c>
      <c r="J692" s="23" t="n"/>
      <c r="K692" s="17" t="n"/>
      <c r="L692" s="17" t="n"/>
      <c r="M692" s="17" t="n"/>
      <c r="N692" s="17" t="n"/>
      <c r="O692" s="26">
        <f>IF($D692="","",IFERROR(VLOOKUP($D692,物料档案!$A$4:$P$1203,10,0),0))</f>
        <v/>
      </c>
      <c r="P692" s="32" t="n"/>
      <c r="Q692" s="26">
        <f>IF($D692="","",IF($K692&lt;&gt;"对外销售",0,ROUND(N($J692)*IF($P692="",N($O692),N($P692)),0)))</f>
        <v/>
      </c>
      <c r="R692" s="26">
        <f>IF($D692="","",IFERROR(VLOOKUP($D692,库存台账!$A$5:$Y$1204,11,0),0))</f>
        <v/>
      </c>
      <c r="S692" s="26">
        <f>IF($D692="","",ROUND(N($J692)*N($R692),0))</f>
        <v/>
      </c>
      <c r="T692" s="26">
        <f>IF($D692="","",IF($K692&lt;&gt;"对外销售","",ROUND($Q692-$S692,0)))</f>
        <v/>
      </c>
      <c r="U692" s="17" t="n"/>
      <c r="V692" s="17" t="n"/>
      <c r="W692" s="24">
        <f>IF($D692="","",IF($E692="※编码不在物料档案里","※物料编码不在档案里",IF(N($J692)&lt;=0,"※出库数量要大于 0",IF($K692="","※没填去向类型",IF($L692="","※没填去向矿区",IF(AND($C692&lt;&gt;"",$C692&lt;=结账锁),"※日期早于已结账截止日，不能再录",IF(AND($K692="自用消耗",COUNTIF({"一矿区";"二矿区"},$L692)=0),"※自用消耗的去向只能是一矿区或二矿区",IF(AND($K692="对外销售",COUNTIF({"三矿区";"六矿区"},$L692)=0),"※对外销售的去向只能是三矿区或六矿区",IF(AND($K692="对外销售",ROUND($Q692,0)=0),"※外销却没有售价，请填实际售价",IF(AND($K692="对外销售",$T692&lt;&gt;"",$T692&lt;0),"※这一笔外销是亏的，请核对售价",IF(IFERROR(VLOOKUP($D692,库存台账!$A$5:$Y$1204,24,0),0)&lt;-0.001,"※这个物料账面已经变成负数了，查一下是不是漏记入库","")))))))))))</f>
        <v/>
      </c>
    </row>
    <row r="693">
      <c r="A693" s="24">
        <f>IF($D693="","",COUNTA($D$4:$D693))</f>
        <v/>
      </c>
      <c r="B693" s="17" t="n"/>
      <c r="C693" s="30" t="n"/>
      <c r="D693" s="17" t="n"/>
      <c r="E693" s="24">
        <f>IF($D693="","",IFERROR(VLOOKUP($D693,物料档案!$A$4:$P$1203,3,0),"※编码不在物料档案里"))</f>
        <v/>
      </c>
      <c r="F693" s="24">
        <f>IF($D693="","",IFERROR(VLOOKUP($D693,物料档案!$A$4:$P$1203,4,0),"※编码不在物料档案里"))</f>
        <v/>
      </c>
      <c r="G693" s="24">
        <f>IF($D693="","",IFERROR(VLOOKUP($D693,物料档案!$A$4:$P$1203,5,0),"※编码不在物料档案里"))</f>
        <v/>
      </c>
      <c r="H693" s="24">
        <f>IF($D693="","",IFERROR(VLOOKUP($D693,物料档案!$A$4:$P$1203,2,0),"※编码不在物料档案里"))</f>
        <v/>
      </c>
      <c r="I693" s="24">
        <f>IF($D693="","",IFERROR(VLOOKUP($D693,物料档案!$A$4:$P$1203,6,0),"※编码不在物料档案里"))</f>
        <v/>
      </c>
      <c r="J693" s="23" t="n"/>
      <c r="K693" s="17" t="n"/>
      <c r="L693" s="17" t="n"/>
      <c r="M693" s="17" t="n"/>
      <c r="N693" s="17" t="n"/>
      <c r="O693" s="26">
        <f>IF($D693="","",IFERROR(VLOOKUP($D693,物料档案!$A$4:$P$1203,10,0),0))</f>
        <v/>
      </c>
      <c r="P693" s="32" t="n"/>
      <c r="Q693" s="26">
        <f>IF($D693="","",IF($K693&lt;&gt;"对外销售",0,ROUND(N($J693)*IF($P693="",N($O693),N($P693)),0)))</f>
        <v/>
      </c>
      <c r="R693" s="26">
        <f>IF($D693="","",IFERROR(VLOOKUP($D693,库存台账!$A$5:$Y$1204,11,0),0))</f>
        <v/>
      </c>
      <c r="S693" s="26">
        <f>IF($D693="","",ROUND(N($J693)*N($R693),0))</f>
        <v/>
      </c>
      <c r="T693" s="26">
        <f>IF($D693="","",IF($K693&lt;&gt;"对外销售","",ROUND($Q693-$S693,0)))</f>
        <v/>
      </c>
      <c r="U693" s="17" t="n"/>
      <c r="V693" s="17" t="n"/>
      <c r="W693" s="24">
        <f>IF($D693="","",IF($E693="※编码不在物料档案里","※物料编码不在档案里",IF(N($J693)&lt;=0,"※出库数量要大于 0",IF($K693="","※没填去向类型",IF($L693="","※没填去向矿区",IF(AND($C693&lt;&gt;"",$C693&lt;=结账锁),"※日期早于已结账截止日，不能再录",IF(AND($K693="自用消耗",COUNTIF({"一矿区";"二矿区"},$L693)=0),"※自用消耗的去向只能是一矿区或二矿区",IF(AND($K693="对外销售",COUNTIF({"三矿区";"六矿区"},$L693)=0),"※对外销售的去向只能是三矿区或六矿区",IF(AND($K693="对外销售",ROUND($Q693,0)=0),"※外销却没有售价，请填实际售价",IF(AND($K693="对外销售",$T693&lt;&gt;"",$T693&lt;0),"※这一笔外销是亏的，请核对售价",IF(IFERROR(VLOOKUP($D693,库存台账!$A$5:$Y$1204,24,0),0)&lt;-0.001,"※这个物料账面已经变成负数了，查一下是不是漏记入库","")))))))))))</f>
        <v/>
      </c>
    </row>
    <row r="694">
      <c r="A694" s="24">
        <f>IF($D694="","",COUNTA($D$4:$D694))</f>
        <v/>
      </c>
      <c r="B694" s="17" t="n"/>
      <c r="C694" s="30" t="n"/>
      <c r="D694" s="17" t="n"/>
      <c r="E694" s="24">
        <f>IF($D694="","",IFERROR(VLOOKUP($D694,物料档案!$A$4:$P$1203,3,0),"※编码不在物料档案里"))</f>
        <v/>
      </c>
      <c r="F694" s="24">
        <f>IF($D694="","",IFERROR(VLOOKUP($D694,物料档案!$A$4:$P$1203,4,0),"※编码不在物料档案里"))</f>
        <v/>
      </c>
      <c r="G694" s="24">
        <f>IF($D694="","",IFERROR(VLOOKUP($D694,物料档案!$A$4:$P$1203,5,0),"※编码不在物料档案里"))</f>
        <v/>
      </c>
      <c r="H694" s="24">
        <f>IF($D694="","",IFERROR(VLOOKUP($D694,物料档案!$A$4:$P$1203,2,0),"※编码不在物料档案里"))</f>
        <v/>
      </c>
      <c r="I694" s="24">
        <f>IF($D694="","",IFERROR(VLOOKUP($D694,物料档案!$A$4:$P$1203,6,0),"※编码不在物料档案里"))</f>
        <v/>
      </c>
      <c r="J694" s="23" t="n"/>
      <c r="K694" s="17" t="n"/>
      <c r="L694" s="17" t="n"/>
      <c r="M694" s="17" t="n"/>
      <c r="N694" s="17" t="n"/>
      <c r="O694" s="26">
        <f>IF($D694="","",IFERROR(VLOOKUP($D694,物料档案!$A$4:$P$1203,10,0),0))</f>
        <v/>
      </c>
      <c r="P694" s="32" t="n"/>
      <c r="Q694" s="26">
        <f>IF($D694="","",IF($K694&lt;&gt;"对外销售",0,ROUND(N($J694)*IF($P694="",N($O694),N($P694)),0)))</f>
        <v/>
      </c>
      <c r="R694" s="26">
        <f>IF($D694="","",IFERROR(VLOOKUP($D694,库存台账!$A$5:$Y$1204,11,0),0))</f>
        <v/>
      </c>
      <c r="S694" s="26">
        <f>IF($D694="","",ROUND(N($J694)*N($R694),0))</f>
        <v/>
      </c>
      <c r="T694" s="26">
        <f>IF($D694="","",IF($K694&lt;&gt;"对外销售","",ROUND($Q694-$S694,0)))</f>
        <v/>
      </c>
      <c r="U694" s="17" t="n"/>
      <c r="V694" s="17" t="n"/>
      <c r="W694" s="24">
        <f>IF($D694="","",IF($E694="※编码不在物料档案里","※物料编码不在档案里",IF(N($J694)&lt;=0,"※出库数量要大于 0",IF($K694="","※没填去向类型",IF($L694="","※没填去向矿区",IF(AND($C694&lt;&gt;"",$C694&lt;=结账锁),"※日期早于已结账截止日，不能再录",IF(AND($K694="自用消耗",COUNTIF({"一矿区";"二矿区"},$L694)=0),"※自用消耗的去向只能是一矿区或二矿区",IF(AND($K694="对外销售",COUNTIF({"三矿区";"六矿区"},$L694)=0),"※对外销售的去向只能是三矿区或六矿区",IF(AND($K694="对外销售",ROUND($Q694,0)=0),"※外销却没有售价，请填实际售价",IF(AND($K694="对外销售",$T694&lt;&gt;"",$T694&lt;0),"※这一笔外销是亏的，请核对售价",IF(IFERROR(VLOOKUP($D694,库存台账!$A$5:$Y$1204,24,0),0)&lt;-0.001,"※这个物料账面已经变成负数了，查一下是不是漏记入库","")))))))))))</f>
        <v/>
      </c>
    </row>
    <row r="695">
      <c r="A695" s="24">
        <f>IF($D695="","",COUNTA($D$4:$D695))</f>
        <v/>
      </c>
      <c r="B695" s="17" t="n"/>
      <c r="C695" s="30" t="n"/>
      <c r="D695" s="17" t="n"/>
      <c r="E695" s="24">
        <f>IF($D695="","",IFERROR(VLOOKUP($D695,物料档案!$A$4:$P$1203,3,0),"※编码不在物料档案里"))</f>
        <v/>
      </c>
      <c r="F695" s="24">
        <f>IF($D695="","",IFERROR(VLOOKUP($D695,物料档案!$A$4:$P$1203,4,0),"※编码不在物料档案里"))</f>
        <v/>
      </c>
      <c r="G695" s="24">
        <f>IF($D695="","",IFERROR(VLOOKUP($D695,物料档案!$A$4:$P$1203,5,0),"※编码不在物料档案里"))</f>
        <v/>
      </c>
      <c r="H695" s="24">
        <f>IF($D695="","",IFERROR(VLOOKUP($D695,物料档案!$A$4:$P$1203,2,0),"※编码不在物料档案里"))</f>
        <v/>
      </c>
      <c r="I695" s="24">
        <f>IF($D695="","",IFERROR(VLOOKUP($D695,物料档案!$A$4:$P$1203,6,0),"※编码不在物料档案里"))</f>
        <v/>
      </c>
      <c r="J695" s="23" t="n"/>
      <c r="K695" s="17" t="n"/>
      <c r="L695" s="17" t="n"/>
      <c r="M695" s="17" t="n"/>
      <c r="N695" s="17" t="n"/>
      <c r="O695" s="26">
        <f>IF($D695="","",IFERROR(VLOOKUP($D695,物料档案!$A$4:$P$1203,10,0),0))</f>
        <v/>
      </c>
      <c r="P695" s="32" t="n"/>
      <c r="Q695" s="26">
        <f>IF($D695="","",IF($K695&lt;&gt;"对外销售",0,ROUND(N($J695)*IF($P695="",N($O695),N($P695)),0)))</f>
        <v/>
      </c>
      <c r="R695" s="26">
        <f>IF($D695="","",IFERROR(VLOOKUP($D695,库存台账!$A$5:$Y$1204,11,0),0))</f>
        <v/>
      </c>
      <c r="S695" s="26">
        <f>IF($D695="","",ROUND(N($J695)*N($R695),0))</f>
        <v/>
      </c>
      <c r="T695" s="26">
        <f>IF($D695="","",IF($K695&lt;&gt;"对外销售","",ROUND($Q695-$S695,0)))</f>
        <v/>
      </c>
      <c r="U695" s="17" t="n"/>
      <c r="V695" s="17" t="n"/>
      <c r="W695" s="24">
        <f>IF($D695="","",IF($E695="※编码不在物料档案里","※物料编码不在档案里",IF(N($J695)&lt;=0,"※出库数量要大于 0",IF($K695="","※没填去向类型",IF($L695="","※没填去向矿区",IF(AND($C695&lt;&gt;"",$C695&lt;=结账锁),"※日期早于已结账截止日，不能再录",IF(AND($K695="自用消耗",COUNTIF({"一矿区";"二矿区"},$L695)=0),"※自用消耗的去向只能是一矿区或二矿区",IF(AND($K695="对外销售",COUNTIF({"三矿区";"六矿区"},$L695)=0),"※对外销售的去向只能是三矿区或六矿区",IF(AND($K695="对外销售",ROUND($Q695,0)=0),"※外销却没有售价，请填实际售价",IF(AND($K695="对外销售",$T695&lt;&gt;"",$T695&lt;0),"※这一笔外销是亏的，请核对售价",IF(IFERROR(VLOOKUP($D695,库存台账!$A$5:$Y$1204,24,0),0)&lt;-0.001,"※这个物料账面已经变成负数了，查一下是不是漏记入库","")))))))))))</f>
        <v/>
      </c>
    </row>
    <row r="696">
      <c r="A696" s="24">
        <f>IF($D696="","",COUNTA($D$4:$D696))</f>
        <v/>
      </c>
      <c r="B696" s="17" t="n"/>
      <c r="C696" s="30" t="n"/>
      <c r="D696" s="17" t="n"/>
      <c r="E696" s="24">
        <f>IF($D696="","",IFERROR(VLOOKUP($D696,物料档案!$A$4:$P$1203,3,0),"※编码不在物料档案里"))</f>
        <v/>
      </c>
      <c r="F696" s="24">
        <f>IF($D696="","",IFERROR(VLOOKUP($D696,物料档案!$A$4:$P$1203,4,0),"※编码不在物料档案里"))</f>
        <v/>
      </c>
      <c r="G696" s="24">
        <f>IF($D696="","",IFERROR(VLOOKUP($D696,物料档案!$A$4:$P$1203,5,0),"※编码不在物料档案里"))</f>
        <v/>
      </c>
      <c r="H696" s="24">
        <f>IF($D696="","",IFERROR(VLOOKUP($D696,物料档案!$A$4:$P$1203,2,0),"※编码不在物料档案里"))</f>
        <v/>
      </c>
      <c r="I696" s="24">
        <f>IF($D696="","",IFERROR(VLOOKUP($D696,物料档案!$A$4:$P$1203,6,0),"※编码不在物料档案里"))</f>
        <v/>
      </c>
      <c r="J696" s="23" t="n"/>
      <c r="K696" s="17" t="n"/>
      <c r="L696" s="17" t="n"/>
      <c r="M696" s="17" t="n"/>
      <c r="N696" s="17" t="n"/>
      <c r="O696" s="26">
        <f>IF($D696="","",IFERROR(VLOOKUP($D696,物料档案!$A$4:$P$1203,10,0),0))</f>
        <v/>
      </c>
      <c r="P696" s="32" t="n"/>
      <c r="Q696" s="26">
        <f>IF($D696="","",IF($K696&lt;&gt;"对外销售",0,ROUND(N($J696)*IF($P696="",N($O696),N($P696)),0)))</f>
        <v/>
      </c>
      <c r="R696" s="26">
        <f>IF($D696="","",IFERROR(VLOOKUP($D696,库存台账!$A$5:$Y$1204,11,0),0))</f>
        <v/>
      </c>
      <c r="S696" s="26">
        <f>IF($D696="","",ROUND(N($J696)*N($R696),0))</f>
        <v/>
      </c>
      <c r="T696" s="26">
        <f>IF($D696="","",IF($K696&lt;&gt;"对外销售","",ROUND($Q696-$S696,0)))</f>
        <v/>
      </c>
      <c r="U696" s="17" t="n"/>
      <c r="V696" s="17" t="n"/>
      <c r="W696" s="24">
        <f>IF($D696="","",IF($E696="※编码不在物料档案里","※物料编码不在档案里",IF(N($J696)&lt;=0,"※出库数量要大于 0",IF($K696="","※没填去向类型",IF($L696="","※没填去向矿区",IF(AND($C696&lt;&gt;"",$C696&lt;=结账锁),"※日期早于已结账截止日，不能再录",IF(AND($K696="自用消耗",COUNTIF({"一矿区";"二矿区"},$L696)=0),"※自用消耗的去向只能是一矿区或二矿区",IF(AND($K696="对外销售",COUNTIF({"三矿区";"六矿区"},$L696)=0),"※对外销售的去向只能是三矿区或六矿区",IF(AND($K696="对外销售",ROUND($Q696,0)=0),"※外销却没有售价，请填实际售价",IF(AND($K696="对外销售",$T696&lt;&gt;"",$T696&lt;0),"※这一笔外销是亏的，请核对售价",IF(IFERROR(VLOOKUP($D696,库存台账!$A$5:$Y$1204,24,0),0)&lt;-0.001,"※这个物料账面已经变成负数了，查一下是不是漏记入库","")))))))))))</f>
        <v/>
      </c>
    </row>
    <row r="697">
      <c r="A697" s="24">
        <f>IF($D697="","",COUNTA($D$4:$D697))</f>
        <v/>
      </c>
      <c r="B697" s="17" t="n"/>
      <c r="C697" s="30" t="n"/>
      <c r="D697" s="17" t="n"/>
      <c r="E697" s="24">
        <f>IF($D697="","",IFERROR(VLOOKUP($D697,物料档案!$A$4:$P$1203,3,0),"※编码不在物料档案里"))</f>
        <v/>
      </c>
      <c r="F697" s="24">
        <f>IF($D697="","",IFERROR(VLOOKUP($D697,物料档案!$A$4:$P$1203,4,0),"※编码不在物料档案里"))</f>
        <v/>
      </c>
      <c r="G697" s="24">
        <f>IF($D697="","",IFERROR(VLOOKUP($D697,物料档案!$A$4:$P$1203,5,0),"※编码不在物料档案里"))</f>
        <v/>
      </c>
      <c r="H697" s="24">
        <f>IF($D697="","",IFERROR(VLOOKUP($D697,物料档案!$A$4:$P$1203,2,0),"※编码不在物料档案里"))</f>
        <v/>
      </c>
      <c r="I697" s="24">
        <f>IF($D697="","",IFERROR(VLOOKUP($D697,物料档案!$A$4:$P$1203,6,0),"※编码不在物料档案里"))</f>
        <v/>
      </c>
      <c r="J697" s="23" t="n"/>
      <c r="K697" s="17" t="n"/>
      <c r="L697" s="17" t="n"/>
      <c r="M697" s="17" t="n"/>
      <c r="N697" s="17" t="n"/>
      <c r="O697" s="26">
        <f>IF($D697="","",IFERROR(VLOOKUP($D697,物料档案!$A$4:$P$1203,10,0),0))</f>
        <v/>
      </c>
      <c r="P697" s="32" t="n"/>
      <c r="Q697" s="26">
        <f>IF($D697="","",IF($K697&lt;&gt;"对外销售",0,ROUND(N($J697)*IF($P697="",N($O697),N($P697)),0)))</f>
        <v/>
      </c>
      <c r="R697" s="26">
        <f>IF($D697="","",IFERROR(VLOOKUP($D697,库存台账!$A$5:$Y$1204,11,0),0))</f>
        <v/>
      </c>
      <c r="S697" s="26">
        <f>IF($D697="","",ROUND(N($J697)*N($R697),0))</f>
        <v/>
      </c>
      <c r="T697" s="26">
        <f>IF($D697="","",IF($K697&lt;&gt;"对外销售","",ROUND($Q697-$S697,0)))</f>
        <v/>
      </c>
      <c r="U697" s="17" t="n"/>
      <c r="V697" s="17" t="n"/>
      <c r="W697" s="24">
        <f>IF($D697="","",IF($E697="※编码不在物料档案里","※物料编码不在档案里",IF(N($J697)&lt;=0,"※出库数量要大于 0",IF($K697="","※没填去向类型",IF($L697="","※没填去向矿区",IF(AND($C697&lt;&gt;"",$C697&lt;=结账锁),"※日期早于已结账截止日，不能再录",IF(AND($K697="自用消耗",COUNTIF({"一矿区";"二矿区"},$L697)=0),"※自用消耗的去向只能是一矿区或二矿区",IF(AND($K697="对外销售",COUNTIF({"三矿区";"六矿区"},$L697)=0),"※对外销售的去向只能是三矿区或六矿区",IF(AND($K697="对外销售",ROUND($Q697,0)=0),"※外销却没有售价，请填实际售价",IF(AND($K697="对外销售",$T697&lt;&gt;"",$T697&lt;0),"※这一笔外销是亏的，请核对售价",IF(IFERROR(VLOOKUP($D697,库存台账!$A$5:$Y$1204,24,0),0)&lt;-0.001,"※这个物料账面已经变成负数了，查一下是不是漏记入库","")))))))))))</f>
        <v/>
      </c>
    </row>
    <row r="698">
      <c r="A698" s="24">
        <f>IF($D698="","",COUNTA($D$4:$D698))</f>
        <v/>
      </c>
      <c r="B698" s="17" t="n"/>
      <c r="C698" s="30" t="n"/>
      <c r="D698" s="17" t="n"/>
      <c r="E698" s="24">
        <f>IF($D698="","",IFERROR(VLOOKUP($D698,物料档案!$A$4:$P$1203,3,0),"※编码不在物料档案里"))</f>
        <v/>
      </c>
      <c r="F698" s="24">
        <f>IF($D698="","",IFERROR(VLOOKUP($D698,物料档案!$A$4:$P$1203,4,0),"※编码不在物料档案里"))</f>
        <v/>
      </c>
      <c r="G698" s="24">
        <f>IF($D698="","",IFERROR(VLOOKUP($D698,物料档案!$A$4:$P$1203,5,0),"※编码不在物料档案里"))</f>
        <v/>
      </c>
      <c r="H698" s="24">
        <f>IF($D698="","",IFERROR(VLOOKUP($D698,物料档案!$A$4:$P$1203,2,0),"※编码不在物料档案里"))</f>
        <v/>
      </c>
      <c r="I698" s="24">
        <f>IF($D698="","",IFERROR(VLOOKUP($D698,物料档案!$A$4:$P$1203,6,0),"※编码不在物料档案里"))</f>
        <v/>
      </c>
      <c r="J698" s="23" t="n"/>
      <c r="K698" s="17" t="n"/>
      <c r="L698" s="17" t="n"/>
      <c r="M698" s="17" t="n"/>
      <c r="N698" s="17" t="n"/>
      <c r="O698" s="26">
        <f>IF($D698="","",IFERROR(VLOOKUP($D698,物料档案!$A$4:$P$1203,10,0),0))</f>
        <v/>
      </c>
      <c r="P698" s="32" t="n"/>
      <c r="Q698" s="26">
        <f>IF($D698="","",IF($K698&lt;&gt;"对外销售",0,ROUND(N($J698)*IF($P698="",N($O698),N($P698)),0)))</f>
        <v/>
      </c>
      <c r="R698" s="26">
        <f>IF($D698="","",IFERROR(VLOOKUP($D698,库存台账!$A$5:$Y$1204,11,0),0))</f>
        <v/>
      </c>
      <c r="S698" s="26">
        <f>IF($D698="","",ROUND(N($J698)*N($R698),0))</f>
        <v/>
      </c>
      <c r="T698" s="26">
        <f>IF($D698="","",IF($K698&lt;&gt;"对外销售","",ROUND($Q698-$S698,0)))</f>
        <v/>
      </c>
      <c r="U698" s="17" t="n"/>
      <c r="V698" s="17" t="n"/>
      <c r="W698" s="24">
        <f>IF($D698="","",IF($E698="※编码不在物料档案里","※物料编码不在档案里",IF(N($J698)&lt;=0,"※出库数量要大于 0",IF($K698="","※没填去向类型",IF($L698="","※没填去向矿区",IF(AND($C698&lt;&gt;"",$C698&lt;=结账锁),"※日期早于已结账截止日，不能再录",IF(AND($K698="自用消耗",COUNTIF({"一矿区";"二矿区"},$L698)=0),"※自用消耗的去向只能是一矿区或二矿区",IF(AND($K698="对外销售",COUNTIF({"三矿区";"六矿区"},$L698)=0),"※对外销售的去向只能是三矿区或六矿区",IF(AND($K698="对外销售",ROUND($Q698,0)=0),"※外销却没有售价，请填实际售价",IF(AND($K698="对外销售",$T698&lt;&gt;"",$T698&lt;0),"※这一笔外销是亏的，请核对售价",IF(IFERROR(VLOOKUP($D698,库存台账!$A$5:$Y$1204,24,0),0)&lt;-0.001,"※这个物料账面已经变成负数了，查一下是不是漏记入库","")))))))))))</f>
        <v/>
      </c>
    </row>
    <row r="699">
      <c r="A699" s="24">
        <f>IF($D699="","",COUNTA($D$4:$D699))</f>
        <v/>
      </c>
      <c r="B699" s="17" t="n"/>
      <c r="C699" s="30" t="n"/>
      <c r="D699" s="17" t="n"/>
      <c r="E699" s="24">
        <f>IF($D699="","",IFERROR(VLOOKUP($D699,物料档案!$A$4:$P$1203,3,0),"※编码不在物料档案里"))</f>
        <v/>
      </c>
      <c r="F699" s="24">
        <f>IF($D699="","",IFERROR(VLOOKUP($D699,物料档案!$A$4:$P$1203,4,0),"※编码不在物料档案里"))</f>
        <v/>
      </c>
      <c r="G699" s="24">
        <f>IF($D699="","",IFERROR(VLOOKUP($D699,物料档案!$A$4:$P$1203,5,0),"※编码不在物料档案里"))</f>
        <v/>
      </c>
      <c r="H699" s="24">
        <f>IF($D699="","",IFERROR(VLOOKUP($D699,物料档案!$A$4:$P$1203,2,0),"※编码不在物料档案里"))</f>
        <v/>
      </c>
      <c r="I699" s="24">
        <f>IF($D699="","",IFERROR(VLOOKUP($D699,物料档案!$A$4:$P$1203,6,0),"※编码不在物料档案里"))</f>
        <v/>
      </c>
      <c r="J699" s="23" t="n"/>
      <c r="K699" s="17" t="n"/>
      <c r="L699" s="17" t="n"/>
      <c r="M699" s="17" t="n"/>
      <c r="N699" s="17" t="n"/>
      <c r="O699" s="26">
        <f>IF($D699="","",IFERROR(VLOOKUP($D699,物料档案!$A$4:$P$1203,10,0),0))</f>
        <v/>
      </c>
      <c r="P699" s="32" t="n"/>
      <c r="Q699" s="26">
        <f>IF($D699="","",IF($K699&lt;&gt;"对外销售",0,ROUND(N($J699)*IF($P699="",N($O699),N($P699)),0)))</f>
        <v/>
      </c>
      <c r="R699" s="26">
        <f>IF($D699="","",IFERROR(VLOOKUP($D699,库存台账!$A$5:$Y$1204,11,0),0))</f>
        <v/>
      </c>
      <c r="S699" s="26">
        <f>IF($D699="","",ROUND(N($J699)*N($R699),0))</f>
        <v/>
      </c>
      <c r="T699" s="26">
        <f>IF($D699="","",IF($K699&lt;&gt;"对外销售","",ROUND($Q699-$S699,0)))</f>
        <v/>
      </c>
      <c r="U699" s="17" t="n"/>
      <c r="V699" s="17" t="n"/>
      <c r="W699" s="24">
        <f>IF($D699="","",IF($E699="※编码不在物料档案里","※物料编码不在档案里",IF(N($J699)&lt;=0,"※出库数量要大于 0",IF($K699="","※没填去向类型",IF($L699="","※没填去向矿区",IF(AND($C699&lt;&gt;"",$C699&lt;=结账锁),"※日期早于已结账截止日，不能再录",IF(AND($K699="自用消耗",COUNTIF({"一矿区";"二矿区"},$L699)=0),"※自用消耗的去向只能是一矿区或二矿区",IF(AND($K699="对外销售",COUNTIF({"三矿区";"六矿区"},$L699)=0),"※对外销售的去向只能是三矿区或六矿区",IF(AND($K699="对外销售",ROUND($Q699,0)=0),"※外销却没有售价，请填实际售价",IF(AND($K699="对外销售",$T699&lt;&gt;"",$T699&lt;0),"※这一笔外销是亏的，请核对售价",IF(IFERROR(VLOOKUP($D699,库存台账!$A$5:$Y$1204,24,0),0)&lt;-0.001,"※这个物料账面已经变成负数了，查一下是不是漏记入库","")))))))))))</f>
        <v/>
      </c>
    </row>
    <row r="700">
      <c r="A700" s="24">
        <f>IF($D700="","",COUNTA($D$4:$D700))</f>
        <v/>
      </c>
      <c r="B700" s="17" t="n"/>
      <c r="C700" s="30" t="n"/>
      <c r="D700" s="17" t="n"/>
      <c r="E700" s="24">
        <f>IF($D700="","",IFERROR(VLOOKUP($D700,物料档案!$A$4:$P$1203,3,0),"※编码不在物料档案里"))</f>
        <v/>
      </c>
      <c r="F700" s="24">
        <f>IF($D700="","",IFERROR(VLOOKUP($D700,物料档案!$A$4:$P$1203,4,0),"※编码不在物料档案里"))</f>
        <v/>
      </c>
      <c r="G700" s="24">
        <f>IF($D700="","",IFERROR(VLOOKUP($D700,物料档案!$A$4:$P$1203,5,0),"※编码不在物料档案里"))</f>
        <v/>
      </c>
      <c r="H700" s="24">
        <f>IF($D700="","",IFERROR(VLOOKUP($D700,物料档案!$A$4:$P$1203,2,0),"※编码不在物料档案里"))</f>
        <v/>
      </c>
      <c r="I700" s="24">
        <f>IF($D700="","",IFERROR(VLOOKUP($D700,物料档案!$A$4:$P$1203,6,0),"※编码不在物料档案里"))</f>
        <v/>
      </c>
      <c r="J700" s="23" t="n"/>
      <c r="K700" s="17" t="n"/>
      <c r="L700" s="17" t="n"/>
      <c r="M700" s="17" t="n"/>
      <c r="N700" s="17" t="n"/>
      <c r="O700" s="26">
        <f>IF($D700="","",IFERROR(VLOOKUP($D700,物料档案!$A$4:$P$1203,10,0),0))</f>
        <v/>
      </c>
      <c r="P700" s="32" t="n"/>
      <c r="Q700" s="26">
        <f>IF($D700="","",IF($K700&lt;&gt;"对外销售",0,ROUND(N($J700)*IF($P700="",N($O700),N($P700)),0)))</f>
        <v/>
      </c>
      <c r="R700" s="26">
        <f>IF($D700="","",IFERROR(VLOOKUP($D700,库存台账!$A$5:$Y$1204,11,0),0))</f>
        <v/>
      </c>
      <c r="S700" s="26">
        <f>IF($D700="","",ROUND(N($J700)*N($R700),0))</f>
        <v/>
      </c>
      <c r="T700" s="26">
        <f>IF($D700="","",IF($K700&lt;&gt;"对外销售","",ROUND($Q700-$S700,0)))</f>
        <v/>
      </c>
      <c r="U700" s="17" t="n"/>
      <c r="V700" s="17" t="n"/>
      <c r="W700" s="24">
        <f>IF($D700="","",IF($E700="※编码不在物料档案里","※物料编码不在档案里",IF(N($J700)&lt;=0,"※出库数量要大于 0",IF($K700="","※没填去向类型",IF($L700="","※没填去向矿区",IF(AND($C700&lt;&gt;"",$C700&lt;=结账锁),"※日期早于已结账截止日，不能再录",IF(AND($K700="自用消耗",COUNTIF({"一矿区";"二矿区"},$L700)=0),"※自用消耗的去向只能是一矿区或二矿区",IF(AND($K700="对外销售",COUNTIF({"三矿区";"六矿区"},$L700)=0),"※对外销售的去向只能是三矿区或六矿区",IF(AND($K700="对外销售",ROUND($Q700,0)=0),"※外销却没有售价，请填实际售价",IF(AND($K700="对外销售",$T700&lt;&gt;"",$T700&lt;0),"※这一笔外销是亏的，请核对售价",IF(IFERROR(VLOOKUP($D700,库存台账!$A$5:$Y$1204,24,0),0)&lt;-0.001,"※这个物料账面已经变成负数了，查一下是不是漏记入库","")))))))))))</f>
        <v/>
      </c>
    </row>
    <row r="701">
      <c r="A701" s="24">
        <f>IF($D701="","",COUNTA($D$4:$D701))</f>
        <v/>
      </c>
      <c r="B701" s="17" t="n"/>
      <c r="C701" s="30" t="n"/>
      <c r="D701" s="17" t="n"/>
      <c r="E701" s="24">
        <f>IF($D701="","",IFERROR(VLOOKUP($D701,物料档案!$A$4:$P$1203,3,0),"※编码不在物料档案里"))</f>
        <v/>
      </c>
      <c r="F701" s="24">
        <f>IF($D701="","",IFERROR(VLOOKUP($D701,物料档案!$A$4:$P$1203,4,0),"※编码不在物料档案里"))</f>
        <v/>
      </c>
      <c r="G701" s="24">
        <f>IF($D701="","",IFERROR(VLOOKUP($D701,物料档案!$A$4:$P$1203,5,0),"※编码不在物料档案里"))</f>
        <v/>
      </c>
      <c r="H701" s="24">
        <f>IF($D701="","",IFERROR(VLOOKUP($D701,物料档案!$A$4:$P$1203,2,0),"※编码不在物料档案里"))</f>
        <v/>
      </c>
      <c r="I701" s="24">
        <f>IF($D701="","",IFERROR(VLOOKUP($D701,物料档案!$A$4:$P$1203,6,0),"※编码不在物料档案里"))</f>
        <v/>
      </c>
      <c r="J701" s="23" t="n"/>
      <c r="K701" s="17" t="n"/>
      <c r="L701" s="17" t="n"/>
      <c r="M701" s="17" t="n"/>
      <c r="N701" s="17" t="n"/>
      <c r="O701" s="26">
        <f>IF($D701="","",IFERROR(VLOOKUP($D701,物料档案!$A$4:$P$1203,10,0),0))</f>
        <v/>
      </c>
      <c r="P701" s="32" t="n"/>
      <c r="Q701" s="26">
        <f>IF($D701="","",IF($K701&lt;&gt;"对外销售",0,ROUND(N($J701)*IF($P701="",N($O701),N($P701)),0)))</f>
        <v/>
      </c>
      <c r="R701" s="26">
        <f>IF($D701="","",IFERROR(VLOOKUP($D701,库存台账!$A$5:$Y$1204,11,0),0))</f>
        <v/>
      </c>
      <c r="S701" s="26">
        <f>IF($D701="","",ROUND(N($J701)*N($R701),0))</f>
        <v/>
      </c>
      <c r="T701" s="26">
        <f>IF($D701="","",IF($K701&lt;&gt;"对外销售","",ROUND($Q701-$S701,0)))</f>
        <v/>
      </c>
      <c r="U701" s="17" t="n"/>
      <c r="V701" s="17" t="n"/>
      <c r="W701" s="24">
        <f>IF($D701="","",IF($E701="※编码不在物料档案里","※物料编码不在档案里",IF(N($J701)&lt;=0,"※出库数量要大于 0",IF($K701="","※没填去向类型",IF($L701="","※没填去向矿区",IF(AND($C701&lt;&gt;"",$C701&lt;=结账锁),"※日期早于已结账截止日，不能再录",IF(AND($K701="自用消耗",COUNTIF({"一矿区";"二矿区"},$L701)=0),"※自用消耗的去向只能是一矿区或二矿区",IF(AND($K701="对外销售",COUNTIF({"三矿区";"六矿区"},$L701)=0),"※对外销售的去向只能是三矿区或六矿区",IF(AND($K701="对外销售",ROUND($Q701,0)=0),"※外销却没有售价，请填实际售价",IF(AND($K701="对外销售",$T701&lt;&gt;"",$T701&lt;0),"※这一笔外销是亏的，请核对售价",IF(IFERROR(VLOOKUP($D701,库存台账!$A$5:$Y$1204,24,0),0)&lt;-0.001,"※这个物料账面已经变成负数了，查一下是不是漏记入库","")))))))))))</f>
        <v/>
      </c>
    </row>
    <row r="702">
      <c r="A702" s="24">
        <f>IF($D702="","",COUNTA($D$4:$D702))</f>
        <v/>
      </c>
      <c r="B702" s="17" t="n"/>
      <c r="C702" s="30" t="n"/>
      <c r="D702" s="17" t="n"/>
      <c r="E702" s="24">
        <f>IF($D702="","",IFERROR(VLOOKUP($D702,物料档案!$A$4:$P$1203,3,0),"※编码不在物料档案里"))</f>
        <v/>
      </c>
      <c r="F702" s="24">
        <f>IF($D702="","",IFERROR(VLOOKUP($D702,物料档案!$A$4:$P$1203,4,0),"※编码不在物料档案里"))</f>
        <v/>
      </c>
      <c r="G702" s="24">
        <f>IF($D702="","",IFERROR(VLOOKUP($D702,物料档案!$A$4:$P$1203,5,0),"※编码不在物料档案里"))</f>
        <v/>
      </c>
      <c r="H702" s="24">
        <f>IF($D702="","",IFERROR(VLOOKUP($D702,物料档案!$A$4:$P$1203,2,0),"※编码不在物料档案里"))</f>
        <v/>
      </c>
      <c r="I702" s="24">
        <f>IF($D702="","",IFERROR(VLOOKUP($D702,物料档案!$A$4:$P$1203,6,0),"※编码不在物料档案里"))</f>
        <v/>
      </c>
      <c r="J702" s="23" t="n"/>
      <c r="K702" s="17" t="n"/>
      <c r="L702" s="17" t="n"/>
      <c r="M702" s="17" t="n"/>
      <c r="N702" s="17" t="n"/>
      <c r="O702" s="26">
        <f>IF($D702="","",IFERROR(VLOOKUP($D702,物料档案!$A$4:$P$1203,10,0),0))</f>
        <v/>
      </c>
      <c r="P702" s="32" t="n"/>
      <c r="Q702" s="26">
        <f>IF($D702="","",IF($K702&lt;&gt;"对外销售",0,ROUND(N($J702)*IF($P702="",N($O702),N($P702)),0)))</f>
        <v/>
      </c>
      <c r="R702" s="26">
        <f>IF($D702="","",IFERROR(VLOOKUP($D702,库存台账!$A$5:$Y$1204,11,0),0))</f>
        <v/>
      </c>
      <c r="S702" s="26">
        <f>IF($D702="","",ROUND(N($J702)*N($R702),0))</f>
        <v/>
      </c>
      <c r="T702" s="26">
        <f>IF($D702="","",IF($K702&lt;&gt;"对外销售","",ROUND($Q702-$S702,0)))</f>
        <v/>
      </c>
      <c r="U702" s="17" t="n"/>
      <c r="V702" s="17" t="n"/>
      <c r="W702" s="24">
        <f>IF($D702="","",IF($E702="※编码不在物料档案里","※物料编码不在档案里",IF(N($J702)&lt;=0,"※出库数量要大于 0",IF($K702="","※没填去向类型",IF($L702="","※没填去向矿区",IF(AND($C702&lt;&gt;"",$C702&lt;=结账锁),"※日期早于已结账截止日，不能再录",IF(AND($K702="自用消耗",COUNTIF({"一矿区";"二矿区"},$L702)=0),"※自用消耗的去向只能是一矿区或二矿区",IF(AND($K702="对外销售",COUNTIF({"三矿区";"六矿区"},$L702)=0),"※对外销售的去向只能是三矿区或六矿区",IF(AND($K702="对外销售",ROUND($Q702,0)=0),"※外销却没有售价，请填实际售价",IF(AND($K702="对外销售",$T702&lt;&gt;"",$T702&lt;0),"※这一笔外销是亏的，请核对售价",IF(IFERROR(VLOOKUP($D702,库存台账!$A$5:$Y$1204,24,0),0)&lt;-0.001,"※这个物料账面已经变成负数了，查一下是不是漏记入库","")))))))))))</f>
        <v/>
      </c>
    </row>
    <row r="703">
      <c r="A703" s="24">
        <f>IF($D703="","",COUNTA($D$4:$D703))</f>
        <v/>
      </c>
      <c r="B703" s="17" t="n"/>
      <c r="C703" s="30" t="n"/>
      <c r="D703" s="17" t="n"/>
      <c r="E703" s="24">
        <f>IF($D703="","",IFERROR(VLOOKUP($D703,物料档案!$A$4:$P$1203,3,0),"※编码不在物料档案里"))</f>
        <v/>
      </c>
      <c r="F703" s="24">
        <f>IF($D703="","",IFERROR(VLOOKUP($D703,物料档案!$A$4:$P$1203,4,0),"※编码不在物料档案里"))</f>
        <v/>
      </c>
      <c r="G703" s="24">
        <f>IF($D703="","",IFERROR(VLOOKUP($D703,物料档案!$A$4:$P$1203,5,0),"※编码不在物料档案里"))</f>
        <v/>
      </c>
      <c r="H703" s="24">
        <f>IF($D703="","",IFERROR(VLOOKUP($D703,物料档案!$A$4:$P$1203,2,0),"※编码不在物料档案里"))</f>
        <v/>
      </c>
      <c r="I703" s="24">
        <f>IF($D703="","",IFERROR(VLOOKUP($D703,物料档案!$A$4:$P$1203,6,0),"※编码不在物料档案里"))</f>
        <v/>
      </c>
      <c r="J703" s="23" t="n"/>
      <c r="K703" s="17" t="n"/>
      <c r="L703" s="17" t="n"/>
      <c r="M703" s="17" t="n"/>
      <c r="N703" s="17" t="n"/>
      <c r="O703" s="26">
        <f>IF($D703="","",IFERROR(VLOOKUP($D703,物料档案!$A$4:$P$1203,10,0),0))</f>
        <v/>
      </c>
      <c r="P703" s="32" t="n"/>
      <c r="Q703" s="26">
        <f>IF($D703="","",IF($K703&lt;&gt;"对外销售",0,ROUND(N($J703)*IF($P703="",N($O703),N($P703)),0)))</f>
        <v/>
      </c>
      <c r="R703" s="26">
        <f>IF($D703="","",IFERROR(VLOOKUP($D703,库存台账!$A$5:$Y$1204,11,0),0))</f>
        <v/>
      </c>
      <c r="S703" s="26">
        <f>IF($D703="","",ROUND(N($J703)*N($R703),0))</f>
        <v/>
      </c>
      <c r="T703" s="26">
        <f>IF($D703="","",IF($K703&lt;&gt;"对外销售","",ROUND($Q703-$S703,0)))</f>
        <v/>
      </c>
      <c r="U703" s="17" t="n"/>
      <c r="V703" s="17" t="n"/>
      <c r="W703" s="24">
        <f>IF($D703="","",IF($E703="※编码不在物料档案里","※物料编码不在档案里",IF(N($J703)&lt;=0,"※出库数量要大于 0",IF($K703="","※没填去向类型",IF($L703="","※没填去向矿区",IF(AND($C703&lt;&gt;"",$C703&lt;=结账锁),"※日期早于已结账截止日，不能再录",IF(AND($K703="自用消耗",COUNTIF({"一矿区";"二矿区"},$L703)=0),"※自用消耗的去向只能是一矿区或二矿区",IF(AND($K703="对外销售",COUNTIF({"三矿区";"六矿区"},$L703)=0),"※对外销售的去向只能是三矿区或六矿区",IF(AND($K703="对外销售",ROUND($Q703,0)=0),"※外销却没有售价，请填实际售价",IF(AND($K703="对外销售",$T703&lt;&gt;"",$T703&lt;0),"※这一笔外销是亏的，请核对售价",IF(IFERROR(VLOOKUP($D703,库存台账!$A$5:$Y$1204,24,0),0)&lt;-0.001,"※这个物料账面已经变成负数了，查一下是不是漏记入库","")))))))))))</f>
        <v/>
      </c>
    </row>
    <row r="704">
      <c r="A704" s="24">
        <f>IF($D704="","",COUNTA($D$4:$D704))</f>
        <v/>
      </c>
      <c r="B704" s="17" t="n"/>
      <c r="C704" s="30" t="n"/>
      <c r="D704" s="17" t="n"/>
      <c r="E704" s="24">
        <f>IF($D704="","",IFERROR(VLOOKUP($D704,物料档案!$A$4:$P$1203,3,0),"※编码不在物料档案里"))</f>
        <v/>
      </c>
      <c r="F704" s="24">
        <f>IF($D704="","",IFERROR(VLOOKUP($D704,物料档案!$A$4:$P$1203,4,0),"※编码不在物料档案里"))</f>
        <v/>
      </c>
      <c r="G704" s="24">
        <f>IF($D704="","",IFERROR(VLOOKUP($D704,物料档案!$A$4:$P$1203,5,0),"※编码不在物料档案里"))</f>
        <v/>
      </c>
      <c r="H704" s="24">
        <f>IF($D704="","",IFERROR(VLOOKUP($D704,物料档案!$A$4:$P$1203,2,0),"※编码不在物料档案里"))</f>
        <v/>
      </c>
      <c r="I704" s="24">
        <f>IF($D704="","",IFERROR(VLOOKUP($D704,物料档案!$A$4:$P$1203,6,0),"※编码不在物料档案里"))</f>
        <v/>
      </c>
      <c r="J704" s="23" t="n"/>
      <c r="K704" s="17" t="n"/>
      <c r="L704" s="17" t="n"/>
      <c r="M704" s="17" t="n"/>
      <c r="N704" s="17" t="n"/>
      <c r="O704" s="26">
        <f>IF($D704="","",IFERROR(VLOOKUP($D704,物料档案!$A$4:$P$1203,10,0),0))</f>
        <v/>
      </c>
      <c r="P704" s="32" t="n"/>
      <c r="Q704" s="26">
        <f>IF($D704="","",IF($K704&lt;&gt;"对外销售",0,ROUND(N($J704)*IF($P704="",N($O704),N($P704)),0)))</f>
        <v/>
      </c>
      <c r="R704" s="26">
        <f>IF($D704="","",IFERROR(VLOOKUP($D704,库存台账!$A$5:$Y$1204,11,0),0))</f>
        <v/>
      </c>
      <c r="S704" s="26">
        <f>IF($D704="","",ROUND(N($J704)*N($R704),0))</f>
        <v/>
      </c>
      <c r="T704" s="26">
        <f>IF($D704="","",IF($K704&lt;&gt;"对外销售","",ROUND($Q704-$S704,0)))</f>
        <v/>
      </c>
      <c r="U704" s="17" t="n"/>
      <c r="V704" s="17" t="n"/>
      <c r="W704" s="24">
        <f>IF($D704="","",IF($E704="※编码不在物料档案里","※物料编码不在档案里",IF(N($J704)&lt;=0,"※出库数量要大于 0",IF($K704="","※没填去向类型",IF($L704="","※没填去向矿区",IF(AND($C704&lt;&gt;"",$C704&lt;=结账锁),"※日期早于已结账截止日，不能再录",IF(AND($K704="自用消耗",COUNTIF({"一矿区";"二矿区"},$L704)=0),"※自用消耗的去向只能是一矿区或二矿区",IF(AND($K704="对外销售",COUNTIF({"三矿区";"六矿区"},$L704)=0),"※对外销售的去向只能是三矿区或六矿区",IF(AND($K704="对外销售",ROUND($Q704,0)=0),"※外销却没有售价，请填实际售价",IF(AND($K704="对外销售",$T704&lt;&gt;"",$T704&lt;0),"※这一笔外销是亏的，请核对售价",IF(IFERROR(VLOOKUP($D704,库存台账!$A$5:$Y$1204,24,0),0)&lt;-0.001,"※这个物料账面已经变成负数了，查一下是不是漏记入库","")))))))))))</f>
        <v/>
      </c>
    </row>
    <row r="705">
      <c r="A705" s="24">
        <f>IF($D705="","",COUNTA($D$4:$D705))</f>
        <v/>
      </c>
      <c r="B705" s="17" t="n"/>
      <c r="C705" s="30" t="n"/>
      <c r="D705" s="17" t="n"/>
      <c r="E705" s="24">
        <f>IF($D705="","",IFERROR(VLOOKUP($D705,物料档案!$A$4:$P$1203,3,0),"※编码不在物料档案里"))</f>
        <v/>
      </c>
      <c r="F705" s="24">
        <f>IF($D705="","",IFERROR(VLOOKUP($D705,物料档案!$A$4:$P$1203,4,0),"※编码不在物料档案里"))</f>
        <v/>
      </c>
      <c r="G705" s="24">
        <f>IF($D705="","",IFERROR(VLOOKUP($D705,物料档案!$A$4:$P$1203,5,0),"※编码不在物料档案里"))</f>
        <v/>
      </c>
      <c r="H705" s="24">
        <f>IF($D705="","",IFERROR(VLOOKUP($D705,物料档案!$A$4:$P$1203,2,0),"※编码不在物料档案里"))</f>
        <v/>
      </c>
      <c r="I705" s="24">
        <f>IF($D705="","",IFERROR(VLOOKUP($D705,物料档案!$A$4:$P$1203,6,0),"※编码不在物料档案里"))</f>
        <v/>
      </c>
      <c r="J705" s="23" t="n"/>
      <c r="K705" s="17" t="n"/>
      <c r="L705" s="17" t="n"/>
      <c r="M705" s="17" t="n"/>
      <c r="N705" s="17" t="n"/>
      <c r="O705" s="26">
        <f>IF($D705="","",IFERROR(VLOOKUP($D705,物料档案!$A$4:$P$1203,10,0),0))</f>
        <v/>
      </c>
      <c r="P705" s="32" t="n"/>
      <c r="Q705" s="26">
        <f>IF($D705="","",IF($K705&lt;&gt;"对外销售",0,ROUND(N($J705)*IF($P705="",N($O705),N($P705)),0)))</f>
        <v/>
      </c>
      <c r="R705" s="26">
        <f>IF($D705="","",IFERROR(VLOOKUP($D705,库存台账!$A$5:$Y$1204,11,0),0))</f>
        <v/>
      </c>
      <c r="S705" s="26">
        <f>IF($D705="","",ROUND(N($J705)*N($R705),0))</f>
        <v/>
      </c>
      <c r="T705" s="26">
        <f>IF($D705="","",IF($K705&lt;&gt;"对外销售","",ROUND($Q705-$S705,0)))</f>
        <v/>
      </c>
      <c r="U705" s="17" t="n"/>
      <c r="V705" s="17" t="n"/>
      <c r="W705" s="24">
        <f>IF($D705="","",IF($E705="※编码不在物料档案里","※物料编码不在档案里",IF(N($J705)&lt;=0,"※出库数量要大于 0",IF($K705="","※没填去向类型",IF($L705="","※没填去向矿区",IF(AND($C705&lt;&gt;"",$C705&lt;=结账锁),"※日期早于已结账截止日，不能再录",IF(AND($K705="自用消耗",COUNTIF({"一矿区";"二矿区"},$L705)=0),"※自用消耗的去向只能是一矿区或二矿区",IF(AND($K705="对外销售",COUNTIF({"三矿区";"六矿区"},$L705)=0),"※对外销售的去向只能是三矿区或六矿区",IF(AND($K705="对外销售",ROUND($Q705,0)=0),"※外销却没有售价，请填实际售价",IF(AND($K705="对外销售",$T705&lt;&gt;"",$T705&lt;0),"※这一笔外销是亏的，请核对售价",IF(IFERROR(VLOOKUP($D705,库存台账!$A$5:$Y$1204,24,0),0)&lt;-0.001,"※这个物料账面已经变成负数了，查一下是不是漏记入库","")))))))))))</f>
        <v/>
      </c>
    </row>
    <row r="706">
      <c r="A706" s="24">
        <f>IF($D706="","",COUNTA($D$4:$D706))</f>
        <v/>
      </c>
      <c r="B706" s="17" t="n"/>
      <c r="C706" s="30" t="n"/>
      <c r="D706" s="17" t="n"/>
      <c r="E706" s="24">
        <f>IF($D706="","",IFERROR(VLOOKUP($D706,物料档案!$A$4:$P$1203,3,0),"※编码不在物料档案里"))</f>
        <v/>
      </c>
      <c r="F706" s="24">
        <f>IF($D706="","",IFERROR(VLOOKUP($D706,物料档案!$A$4:$P$1203,4,0),"※编码不在物料档案里"))</f>
        <v/>
      </c>
      <c r="G706" s="24">
        <f>IF($D706="","",IFERROR(VLOOKUP($D706,物料档案!$A$4:$P$1203,5,0),"※编码不在物料档案里"))</f>
        <v/>
      </c>
      <c r="H706" s="24">
        <f>IF($D706="","",IFERROR(VLOOKUP($D706,物料档案!$A$4:$P$1203,2,0),"※编码不在物料档案里"))</f>
        <v/>
      </c>
      <c r="I706" s="24">
        <f>IF($D706="","",IFERROR(VLOOKUP($D706,物料档案!$A$4:$P$1203,6,0),"※编码不在物料档案里"))</f>
        <v/>
      </c>
      <c r="J706" s="23" t="n"/>
      <c r="K706" s="17" t="n"/>
      <c r="L706" s="17" t="n"/>
      <c r="M706" s="17" t="n"/>
      <c r="N706" s="17" t="n"/>
      <c r="O706" s="26">
        <f>IF($D706="","",IFERROR(VLOOKUP($D706,物料档案!$A$4:$P$1203,10,0),0))</f>
        <v/>
      </c>
      <c r="P706" s="32" t="n"/>
      <c r="Q706" s="26">
        <f>IF($D706="","",IF($K706&lt;&gt;"对外销售",0,ROUND(N($J706)*IF($P706="",N($O706),N($P706)),0)))</f>
        <v/>
      </c>
      <c r="R706" s="26">
        <f>IF($D706="","",IFERROR(VLOOKUP($D706,库存台账!$A$5:$Y$1204,11,0),0))</f>
        <v/>
      </c>
      <c r="S706" s="26">
        <f>IF($D706="","",ROUND(N($J706)*N($R706),0))</f>
        <v/>
      </c>
      <c r="T706" s="26">
        <f>IF($D706="","",IF($K706&lt;&gt;"对外销售","",ROUND($Q706-$S706,0)))</f>
        <v/>
      </c>
      <c r="U706" s="17" t="n"/>
      <c r="V706" s="17" t="n"/>
      <c r="W706" s="24">
        <f>IF($D706="","",IF($E706="※编码不在物料档案里","※物料编码不在档案里",IF(N($J706)&lt;=0,"※出库数量要大于 0",IF($K706="","※没填去向类型",IF($L706="","※没填去向矿区",IF(AND($C706&lt;&gt;"",$C706&lt;=结账锁),"※日期早于已结账截止日，不能再录",IF(AND($K706="自用消耗",COUNTIF({"一矿区";"二矿区"},$L706)=0),"※自用消耗的去向只能是一矿区或二矿区",IF(AND($K706="对外销售",COUNTIF({"三矿区";"六矿区"},$L706)=0),"※对外销售的去向只能是三矿区或六矿区",IF(AND($K706="对外销售",ROUND($Q706,0)=0),"※外销却没有售价，请填实际售价",IF(AND($K706="对外销售",$T706&lt;&gt;"",$T706&lt;0),"※这一笔外销是亏的，请核对售价",IF(IFERROR(VLOOKUP($D706,库存台账!$A$5:$Y$1204,24,0),0)&lt;-0.001,"※这个物料账面已经变成负数了，查一下是不是漏记入库","")))))))))))</f>
        <v/>
      </c>
    </row>
    <row r="707">
      <c r="A707" s="24">
        <f>IF($D707="","",COUNTA($D$4:$D707))</f>
        <v/>
      </c>
      <c r="B707" s="17" t="n"/>
      <c r="C707" s="30" t="n"/>
      <c r="D707" s="17" t="n"/>
      <c r="E707" s="24">
        <f>IF($D707="","",IFERROR(VLOOKUP($D707,物料档案!$A$4:$P$1203,3,0),"※编码不在物料档案里"))</f>
        <v/>
      </c>
      <c r="F707" s="24">
        <f>IF($D707="","",IFERROR(VLOOKUP($D707,物料档案!$A$4:$P$1203,4,0),"※编码不在物料档案里"))</f>
        <v/>
      </c>
      <c r="G707" s="24">
        <f>IF($D707="","",IFERROR(VLOOKUP($D707,物料档案!$A$4:$P$1203,5,0),"※编码不在物料档案里"))</f>
        <v/>
      </c>
      <c r="H707" s="24">
        <f>IF($D707="","",IFERROR(VLOOKUP($D707,物料档案!$A$4:$P$1203,2,0),"※编码不在物料档案里"))</f>
        <v/>
      </c>
      <c r="I707" s="24">
        <f>IF($D707="","",IFERROR(VLOOKUP($D707,物料档案!$A$4:$P$1203,6,0),"※编码不在物料档案里"))</f>
        <v/>
      </c>
      <c r="J707" s="23" t="n"/>
      <c r="K707" s="17" t="n"/>
      <c r="L707" s="17" t="n"/>
      <c r="M707" s="17" t="n"/>
      <c r="N707" s="17" t="n"/>
      <c r="O707" s="26">
        <f>IF($D707="","",IFERROR(VLOOKUP($D707,物料档案!$A$4:$P$1203,10,0),0))</f>
        <v/>
      </c>
      <c r="P707" s="32" t="n"/>
      <c r="Q707" s="26">
        <f>IF($D707="","",IF($K707&lt;&gt;"对外销售",0,ROUND(N($J707)*IF($P707="",N($O707),N($P707)),0)))</f>
        <v/>
      </c>
      <c r="R707" s="26">
        <f>IF($D707="","",IFERROR(VLOOKUP($D707,库存台账!$A$5:$Y$1204,11,0),0))</f>
        <v/>
      </c>
      <c r="S707" s="26">
        <f>IF($D707="","",ROUND(N($J707)*N($R707),0))</f>
        <v/>
      </c>
      <c r="T707" s="26">
        <f>IF($D707="","",IF($K707&lt;&gt;"对外销售","",ROUND($Q707-$S707,0)))</f>
        <v/>
      </c>
      <c r="U707" s="17" t="n"/>
      <c r="V707" s="17" t="n"/>
      <c r="W707" s="24">
        <f>IF($D707="","",IF($E707="※编码不在物料档案里","※物料编码不在档案里",IF(N($J707)&lt;=0,"※出库数量要大于 0",IF($K707="","※没填去向类型",IF($L707="","※没填去向矿区",IF(AND($C707&lt;&gt;"",$C707&lt;=结账锁),"※日期早于已结账截止日，不能再录",IF(AND($K707="自用消耗",COUNTIF({"一矿区";"二矿区"},$L707)=0),"※自用消耗的去向只能是一矿区或二矿区",IF(AND($K707="对外销售",COUNTIF({"三矿区";"六矿区"},$L707)=0),"※对外销售的去向只能是三矿区或六矿区",IF(AND($K707="对外销售",ROUND($Q707,0)=0),"※外销却没有售价，请填实际售价",IF(AND($K707="对外销售",$T707&lt;&gt;"",$T707&lt;0),"※这一笔外销是亏的，请核对售价",IF(IFERROR(VLOOKUP($D707,库存台账!$A$5:$Y$1204,24,0),0)&lt;-0.001,"※这个物料账面已经变成负数了，查一下是不是漏记入库","")))))))))))</f>
        <v/>
      </c>
    </row>
    <row r="708">
      <c r="A708" s="24">
        <f>IF($D708="","",COUNTA($D$4:$D708))</f>
        <v/>
      </c>
      <c r="B708" s="17" t="n"/>
      <c r="C708" s="30" t="n"/>
      <c r="D708" s="17" t="n"/>
      <c r="E708" s="24">
        <f>IF($D708="","",IFERROR(VLOOKUP($D708,物料档案!$A$4:$P$1203,3,0),"※编码不在物料档案里"))</f>
        <v/>
      </c>
      <c r="F708" s="24">
        <f>IF($D708="","",IFERROR(VLOOKUP($D708,物料档案!$A$4:$P$1203,4,0),"※编码不在物料档案里"))</f>
        <v/>
      </c>
      <c r="G708" s="24">
        <f>IF($D708="","",IFERROR(VLOOKUP($D708,物料档案!$A$4:$P$1203,5,0),"※编码不在物料档案里"))</f>
        <v/>
      </c>
      <c r="H708" s="24">
        <f>IF($D708="","",IFERROR(VLOOKUP($D708,物料档案!$A$4:$P$1203,2,0),"※编码不在物料档案里"))</f>
        <v/>
      </c>
      <c r="I708" s="24">
        <f>IF($D708="","",IFERROR(VLOOKUP($D708,物料档案!$A$4:$P$1203,6,0),"※编码不在物料档案里"))</f>
        <v/>
      </c>
      <c r="J708" s="23" t="n"/>
      <c r="K708" s="17" t="n"/>
      <c r="L708" s="17" t="n"/>
      <c r="M708" s="17" t="n"/>
      <c r="N708" s="17" t="n"/>
      <c r="O708" s="26">
        <f>IF($D708="","",IFERROR(VLOOKUP($D708,物料档案!$A$4:$P$1203,10,0),0))</f>
        <v/>
      </c>
      <c r="P708" s="32" t="n"/>
      <c r="Q708" s="26">
        <f>IF($D708="","",IF($K708&lt;&gt;"对外销售",0,ROUND(N($J708)*IF($P708="",N($O708),N($P708)),0)))</f>
        <v/>
      </c>
      <c r="R708" s="26">
        <f>IF($D708="","",IFERROR(VLOOKUP($D708,库存台账!$A$5:$Y$1204,11,0),0))</f>
        <v/>
      </c>
      <c r="S708" s="26">
        <f>IF($D708="","",ROUND(N($J708)*N($R708),0))</f>
        <v/>
      </c>
      <c r="T708" s="26">
        <f>IF($D708="","",IF($K708&lt;&gt;"对外销售","",ROUND($Q708-$S708,0)))</f>
        <v/>
      </c>
      <c r="U708" s="17" t="n"/>
      <c r="V708" s="17" t="n"/>
      <c r="W708" s="24">
        <f>IF($D708="","",IF($E708="※编码不在物料档案里","※物料编码不在档案里",IF(N($J708)&lt;=0,"※出库数量要大于 0",IF($K708="","※没填去向类型",IF($L708="","※没填去向矿区",IF(AND($C708&lt;&gt;"",$C708&lt;=结账锁),"※日期早于已结账截止日，不能再录",IF(AND($K708="自用消耗",COUNTIF({"一矿区";"二矿区"},$L708)=0),"※自用消耗的去向只能是一矿区或二矿区",IF(AND($K708="对外销售",COUNTIF({"三矿区";"六矿区"},$L708)=0),"※对外销售的去向只能是三矿区或六矿区",IF(AND($K708="对外销售",ROUND($Q708,0)=0),"※外销却没有售价，请填实际售价",IF(AND($K708="对外销售",$T708&lt;&gt;"",$T708&lt;0),"※这一笔外销是亏的，请核对售价",IF(IFERROR(VLOOKUP($D708,库存台账!$A$5:$Y$1204,24,0),0)&lt;-0.001,"※这个物料账面已经变成负数了，查一下是不是漏记入库","")))))))))))</f>
        <v/>
      </c>
    </row>
    <row r="709">
      <c r="A709" s="24">
        <f>IF($D709="","",COUNTA($D$4:$D709))</f>
        <v/>
      </c>
      <c r="B709" s="17" t="n"/>
      <c r="C709" s="30" t="n"/>
      <c r="D709" s="17" t="n"/>
      <c r="E709" s="24">
        <f>IF($D709="","",IFERROR(VLOOKUP($D709,物料档案!$A$4:$P$1203,3,0),"※编码不在物料档案里"))</f>
        <v/>
      </c>
      <c r="F709" s="24">
        <f>IF($D709="","",IFERROR(VLOOKUP($D709,物料档案!$A$4:$P$1203,4,0),"※编码不在物料档案里"))</f>
        <v/>
      </c>
      <c r="G709" s="24">
        <f>IF($D709="","",IFERROR(VLOOKUP($D709,物料档案!$A$4:$P$1203,5,0),"※编码不在物料档案里"))</f>
        <v/>
      </c>
      <c r="H709" s="24">
        <f>IF($D709="","",IFERROR(VLOOKUP($D709,物料档案!$A$4:$P$1203,2,0),"※编码不在物料档案里"))</f>
        <v/>
      </c>
      <c r="I709" s="24">
        <f>IF($D709="","",IFERROR(VLOOKUP($D709,物料档案!$A$4:$P$1203,6,0),"※编码不在物料档案里"))</f>
        <v/>
      </c>
      <c r="J709" s="23" t="n"/>
      <c r="K709" s="17" t="n"/>
      <c r="L709" s="17" t="n"/>
      <c r="M709" s="17" t="n"/>
      <c r="N709" s="17" t="n"/>
      <c r="O709" s="26">
        <f>IF($D709="","",IFERROR(VLOOKUP($D709,物料档案!$A$4:$P$1203,10,0),0))</f>
        <v/>
      </c>
      <c r="P709" s="32" t="n"/>
      <c r="Q709" s="26">
        <f>IF($D709="","",IF($K709&lt;&gt;"对外销售",0,ROUND(N($J709)*IF($P709="",N($O709),N($P709)),0)))</f>
        <v/>
      </c>
      <c r="R709" s="26">
        <f>IF($D709="","",IFERROR(VLOOKUP($D709,库存台账!$A$5:$Y$1204,11,0),0))</f>
        <v/>
      </c>
      <c r="S709" s="26">
        <f>IF($D709="","",ROUND(N($J709)*N($R709),0))</f>
        <v/>
      </c>
      <c r="T709" s="26">
        <f>IF($D709="","",IF($K709&lt;&gt;"对外销售","",ROUND($Q709-$S709,0)))</f>
        <v/>
      </c>
      <c r="U709" s="17" t="n"/>
      <c r="V709" s="17" t="n"/>
      <c r="W709" s="24">
        <f>IF($D709="","",IF($E709="※编码不在物料档案里","※物料编码不在档案里",IF(N($J709)&lt;=0,"※出库数量要大于 0",IF($K709="","※没填去向类型",IF($L709="","※没填去向矿区",IF(AND($C709&lt;&gt;"",$C709&lt;=结账锁),"※日期早于已结账截止日，不能再录",IF(AND($K709="自用消耗",COUNTIF({"一矿区";"二矿区"},$L709)=0),"※自用消耗的去向只能是一矿区或二矿区",IF(AND($K709="对外销售",COUNTIF({"三矿区";"六矿区"},$L709)=0),"※对外销售的去向只能是三矿区或六矿区",IF(AND($K709="对外销售",ROUND($Q709,0)=0),"※外销却没有售价，请填实际售价",IF(AND($K709="对外销售",$T709&lt;&gt;"",$T709&lt;0),"※这一笔外销是亏的，请核对售价",IF(IFERROR(VLOOKUP($D709,库存台账!$A$5:$Y$1204,24,0),0)&lt;-0.001,"※这个物料账面已经变成负数了，查一下是不是漏记入库","")))))))))))</f>
        <v/>
      </c>
    </row>
    <row r="710">
      <c r="A710" s="24">
        <f>IF($D710="","",COUNTA($D$4:$D710))</f>
        <v/>
      </c>
      <c r="B710" s="17" t="n"/>
      <c r="C710" s="30" t="n"/>
      <c r="D710" s="17" t="n"/>
      <c r="E710" s="24">
        <f>IF($D710="","",IFERROR(VLOOKUP($D710,物料档案!$A$4:$P$1203,3,0),"※编码不在物料档案里"))</f>
        <v/>
      </c>
      <c r="F710" s="24">
        <f>IF($D710="","",IFERROR(VLOOKUP($D710,物料档案!$A$4:$P$1203,4,0),"※编码不在物料档案里"))</f>
        <v/>
      </c>
      <c r="G710" s="24">
        <f>IF($D710="","",IFERROR(VLOOKUP($D710,物料档案!$A$4:$P$1203,5,0),"※编码不在物料档案里"))</f>
        <v/>
      </c>
      <c r="H710" s="24">
        <f>IF($D710="","",IFERROR(VLOOKUP($D710,物料档案!$A$4:$P$1203,2,0),"※编码不在物料档案里"))</f>
        <v/>
      </c>
      <c r="I710" s="24">
        <f>IF($D710="","",IFERROR(VLOOKUP($D710,物料档案!$A$4:$P$1203,6,0),"※编码不在物料档案里"))</f>
        <v/>
      </c>
      <c r="J710" s="23" t="n"/>
      <c r="K710" s="17" t="n"/>
      <c r="L710" s="17" t="n"/>
      <c r="M710" s="17" t="n"/>
      <c r="N710" s="17" t="n"/>
      <c r="O710" s="26">
        <f>IF($D710="","",IFERROR(VLOOKUP($D710,物料档案!$A$4:$P$1203,10,0),0))</f>
        <v/>
      </c>
      <c r="P710" s="32" t="n"/>
      <c r="Q710" s="26">
        <f>IF($D710="","",IF($K710&lt;&gt;"对外销售",0,ROUND(N($J710)*IF($P710="",N($O710),N($P710)),0)))</f>
        <v/>
      </c>
      <c r="R710" s="26">
        <f>IF($D710="","",IFERROR(VLOOKUP($D710,库存台账!$A$5:$Y$1204,11,0),0))</f>
        <v/>
      </c>
      <c r="S710" s="26">
        <f>IF($D710="","",ROUND(N($J710)*N($R710),0))</f>
        <v/>
      </c>
      <c r="T710" s="26">
        <f>IF($D710="","",IF($K710&lt;&gt;"对外销售","",ROUND($Q710-$S710,0)))</f>
        <v/>
      </c>
      <c r="U710" s="17" t="n"/>
      <c r="V710" s="17" t="n"/>
      <c r="W710" s="24">
        <f>IF($D710="","",IF($E710="※编码不在物料档案里","※物料编码不在档案里",IF(N($J710)&lt;=0,"※出库数量要大于 0",IF($K710="","※没填去向类型",IF($L710="","※没填去向矿区",IF(AND($C710&lt;&gt;"",$C710&lt;=结账锁),"※日期早于已结账截止日，不能再录",IF(AND($K710="自用消耗",COUNTIF({"一矿区";"二矿区"},$L710)=0),"※自用消耗的去向只能是一矿区或二矿区",IF(AND($K710="对外销售",COUNTIF({"三矿区";"六矿区"},$L710)=0),"※对外销售的去向只能是三矿区或六矿区",IF(AND($K710="对外销售",ROUND($Q710,0)=0),"※外销却没有售价，请填实际售价",IF(AND($K710="对外销售",$T710&lt;&gt;"",$T710&lt;0),"※这一笔外销是亏的，请核对售价",IF(IFERROR(VLOOKUP($D710,库存台账!$A$5:$Y$1204,24,0),0)&lt;-0.001,"※这个物料账面已经变成负数了，查一下是不是漏记入库","")))))))))))</f>
        <v/>
      </c>
    </row>
    <row r="711">
      <c r="A711" s="24">
        <f>IF($D711="","",COUNTA($D$4:$D711))</f>
        <v/>
      </c>
      <c r="B711" s="17" t="n"/>
      <c r="C711" s="30" t="n"/>
      <c r="D711" s="17" t="n"/>
      <c r="E711" s="24">
        <f>IF($D711="","",IFERROR(VLOOKUP($D711,物料档案!$A$4:$P$1203,3,0),"※编码不在物料档案里"))</f>
        <v/>
      </c>
      <c r="F711" s="24">
        <f>IF($D711="","",IFERROR(VLOOKUP($D711,物料档案!$A$4:$P$1203,4,0),"※编码不在物料档案里"))</f>
        <v/>
      </c>
      <c r="G711" s="24">
        <f>IF($D711="","",IFERROR(VLOOKUP($D711,物料档案!$A$4:$P$1203,5,0),"※编码不在物料档案里"))</f>
        <v/>
      </c>
      <c r="H711" s="24">
        <f>IF($D711="","",IFERROR(VLOOKUP($D711,物料档案!$A$4:$P$1203,2,0),"※编码不在物料档案里"))</f>
        <v/>
      </c>
      <c r="I711" s="24">
        <f>IF($D711="","",IFERROR(VLOOKUP($D711,物料档案!$A$4:$P$1203,6,0),"※编码不在物料档案里"))</f>
        <v/>
      </c>
      <c r="J711" s="23" t="n"/>
      <c r="K711" s="17" t="n"/>
      <c r="L711" s="17" t="n"/>
      <c r="M711" s="17" t="n"/>
      <c r="N711" s="17" t="n"/>
      <c r="O711" s="26">
        <f>IF($D711="","",IFERROR(VLOOKUP($D711,物料档案!$A$4:$P$1203,10,0),0))</f>
        <v/>
      </c>
      <c r="P711" s="32" t="n"/>
      <c r="Q711" s="26">
        <f>IF($D711="","",IF($K711&lt;&gt;"对外销售",0,ROUND(N($J711)*IF($P711="",N($O711),N($P711)),0)))</f>
        <v/>
      </c>
      <c r="R711" s="26">
        <f>IF($D711="","",IFERROR(VLOOKUP($D711,库存台账!$A$5:$Y$1204,11,0),0))</f>
        <v/>
      </c>
      <c r="S711" s="26">
        <f>IF($D711="","",ROUND(N($J711)*N($R711),0))</f>
        <v/>
      </c>
      <c r="T711" s="26">
        <f>IF($D711="","",IF($K711&lt;&gt;"对外销售","",ROUND($Q711-$S711,0)))</f>
        <v/>
      </c>
      <c r="U711" s="17" t="n"/>
      <c r="V711" s="17" t="n"/>
      <c r="W711" s="24">
        <f>IF($D711="","",IF($E711="※编码不在物料档案里","※物料编码不在档案里",IF(N($J711)&lt;=0,"※出库数量要大于 0",IF($K711="","※没填去向类型",IF($L711="","※没填去向矿区",IF(AND($C711&lt;&gt;"",$C711&lt;=结账锁),"※日期早于已结账截止日，不能再录",IF(AND($K711="自用消耗",COUNTIF({"一矿区";"二矿区"},$L711)=0),"※自用消耗的去向只能是一矿区或二矿区",IF(AND($K711="对外销售",COUNTIF({"三矿区";"六矿区"},$L711)=0),"※对外销售的去向只能是三矿区或六矿区",IF(AND($K711="对外销售",ROUND($Q711,0)=0),"※外销却没有售价，请填实际售价",IF(AND($K711="对外销售",$T711&lt;&gt;"",$T711&lt;0),"※这一笔外销是亏的，请核对售价",IF(IFERROR(VLOOKUP($D711,库存台账!$A$5:$Y$1204,24,0),0)&lt;-0.001,"※这个物料账面已经变成负数了，查一下是不是漏记入库","")))))))))))</f>
        <v/>
      </c>
    </row>
    <row r="712">
      <c r="A712" s="24">
        <f>IF($D712="","",COUNTA($D$4:$D712))</f>
        <v/>
      </c>
      <c r="B712" s="17" t="n"/>
      <c r="C712" s="30" t="n"/>
      <c r="D712" s="17" t="n"/>
      <c r="E712" s="24">
        <f>IF($D712="","",IFERROR(VLOOKUP($D712,物料档案!$A$4:$P$1203,3,0),"※编码不在物料档案里"))</f>
        <v/>
      </c>
      <c r="F712" s="24">
        <f>IF($D712="","",IFERROR(VLOOKUP($D712,物料档案!$A$4:$P$1203,4,0),"※编码不在物料档案里"))</f>
        <v/>
      </c>
      <c r="G712" s="24">
        <f>IF($D712="","",IFERROR(VLOOKUP($D712,物料档案!$A$4:$P$1203,5,0),"※编码不在物料档案里"))</f>
        <v/>
      </c>
      <c r="H712" s="24">
        <f>IF($D712="","",IFERROR(VLOOKUP($D712,物料档案!$A$4:$P$1203,2,0),"※编码不在物料档案里"))</f>
        <v/>
      </c>
      <c r="I712" s="24">
        <f>IF($D712="","",IFERROR(VLOOKUP($D712,物料档案!$A$4:$P$1203,6,0),"※编码不在物料档案里"))</f>
        <v/>
      </c>
      <c r="J712" s="23" t="n"/>
      <c r="K712" s="17" t="n"/>
      <c r="L712" s="17" t="n"/>
      <c r="M712" s="17" t="n"/>
      <c r="N712" s="17" t="n"/>
      <c r="O712" s="26">
        <f>IF($D712="","",IFERROR(VLOOKUP($D712,物料档案!$A$4:$P$1203,10,0),0))</f>
        <v/>
      </c>
      <c r="P712" s="32" t="n"/>
      <c r="Q712" s="26">
        <f>IF($D712="","",IF($K712&lt;&gt;"对外销售",0,ROUND(N($J712)*IF($P712="",N($O712),N($P712)),0)))</f>
        <v/>
      </c>
      <c r="R712" s="26">
        <f>IF($D712="","",IFERROR(VLOOKUP($D712,库存台账!$A$5:$Y$1204,11,0),0))</f>
        <v/>
      </c>
      <c r="S712" s="26">
        <f>IF($D712="","",ROUND(N($J712)*N($R712),0))</f>
        <v/>
      </c>
      <c r="T712" s="26">
        <f>IF($D712="","",IF($K712&lt;&gt;"对外销售","",ROUND($Q712-$S712,0)))</f>
        <v/>
      </c>
      <c r="U712" s="17" t="n"/>
      <c r="V712" s="17" t="n"/>
      <c r="W712" s="24">
        <f>IF($D712="","",IF($E712="※编码不在物料档案里","※物料编码不在档案里",IF(N($J712)&lt;=0,"※出库数量要大于 0",IF($K712="","※没填去向类型",IF($L712="","※没填去向矿区",IF(AND($C712&lt;&gt;"",$C712&lt;=结账锁),"※日期早于已结账截止日，不能再录",IF(AND($K712="自用消耗",COUNTIF({"一矿区";"二矿区"},$L712)=0),"※自用消耗的去向只能是一矿区或二矿区",IF(AND($K712="对外销售",COUNTIF({"三矿区";"六矿区"},$L712)=0),"※对外销售的去向只能是三矿区或六矿区",IF(AND($K712="对外销售",ROUND($Q712,0)=0),"※外销却没有售价，请填实际售价",IF(AND($K712="对外销售",$T712&lt;&gt;"",$T712&lt;0),"※这一笔外销是亏的，请核对售价",IF(IFERROR(VLOOKUP($D712,库存台账!$A$5:$Y$1204,24,0),0)&lt;-0.001,"※这个物料账面已经变成负数了，查一下是不是漏记入库","")))))))))))</f>
        <v/>
      </c>
    </row>
    <row r="713">
      <c r="A713" s="24">
        <f>IF($D713="","",COUNTA($D$4:$D713))</f>
        <v/>
      </c>
      <c r="B713" s="17" t="n"/>
      <c r="C713" s="30" t="n"/>
      <c r="D713" s="17" t="n"/>
      <c r="E713" s="24">
        <f>IF($D713="","",IFERROR(VLOOKUP($D713,物料档案!$A$4:$P$1203,3,0),"※编码不在物料档案里"))</f>
        <v/>
      </c>
      <c r="F713" s="24">
        <f>IF($D713="","",IFERROR(VLOOKUP($D713,物料档案!$A$4:$P$1203,4,0),"※编码不在物料档案里"))</f>
        <v/>
      </c>
      <c r="G713" s="24">
        <f>IF($D713="","",IFERROR(VLOOKUP($D713,物料档案!$A$4:$P$1203,5,0),"※编码不在物料档案里"))</f>
        <v/>
      </c>
      <c r="H713" s="24">
        <f>IF($D713="","",IFERROR(VLOOKUP($D713,物料档案!$A$4:$P$1203,2,0),"※编码不在物料档案里"))</f>
        <v/>
      </c>
      <c r="I713" s="24">
        <f>IF($D713="","",IFERROR(VLOOKUP($D713,物料档案!$A$4:$P$1203,6,0),"※编码不在物料档案里"))</f>
        <v/>
      </c>
      <c r="J713" s="23" t="n"/>
      <c r="K713" s="17" t="n"/>
      <c r="L713" s="17" t="n"/>
      <c r="M713" s="17" t="n"/>
      <c r="N713" s="17" t="n"/>
      <c r="O713" s="26">
        <f>IF($D713="","",IFERROR(VLOOKUP($D713,物料档案!$A$4:$P$1203,10,0),0))</f>
        <v/>
      </c>
      <c r="P713" s="32" t="n"/>
      <c r="Q713" s="26">
        <f>IF($D713="","",IF($K713&lt;&gt;"对外销售",0,ROUND(N($J713)*IF($P713="",N($O713),N($P713)),0)))</f>
        <v/>
      </c>
      <c r="R713" s="26">
        <f>IF($D713="","",IFERROR(VLOOKUP($D713,库存台账!$A$5:$Y$1204,11,0),0))</f>
        <v/>
      </c>
      <c r="S713" s="26">
        <f>IF($D713="","",ROUND(N($J713)*N($R713),0))</f>
        <v/>
      </c>
      <c r="T713" s="26">
        <f>IF($D713="","",IF($K713&lt;&gt;"对外销售","",ROUND($Q713-$S713,0)))</f>
        <v/>
      </c>
      <c r="U713" s="17" t="n"/>
      <c r="V713" s="17" t="n"/>
      <c r="W713" s="24">
        <f>IF($D713="","",IF($E713="※编码不在物料档案里","※物料编码不在档案里",IF(N($J713)&lt;=0,"※出库数量要大于 0",IF($K713="","※没填去向类型",IF($L713="","※没填去向矿区",IF(AND($C713&lt;&gt;"",$C713&lt;=结账锁),"※日期早于已结账截止日，不能再录",IF(AND($K713="自用消耗",COUNTIF({"一矿区";"二矿区"},$L713)=0),"※自用消耗的去向只能是一矿区或二矿区",IF(AND($K713="对外销售",COUNTIF({"三矿区";"六矿区"},$L713)=0),"※对外销售的去向只能是三矿区或六矿区",IF(AND($K713="对外销售",ROUND($Q713,0)=0),"※外销却没有售价，请填实际售价",IF(AND($K713="对外销售",$T713&lt;&gt;"",$T713&lt;0),"※这一笔外销是亏的，请核对售价",IF(IFERROR(VLOOKUP($D713,库存台账!$A$5:$Y$1204,24,0),0)&lt;-0.001,"※这个物料账面已经变成负数了，查一下是不是漏记入库","")))))))))))</f>
        <v/>
      </c>
    </row>
    <row r="714">
      <c r="A714" s="24">
        <f>IF($D714="","",COUNTA($D$4:$D714))</f>
        <v/>
      </c>
      <c r="B714" s="17" t="n"/>
      <c r="C714" s="30" t="n"/>
      <c r="D714" s="17" t="n"/>
      <c r="E714" s="24">
        <f>IF($D714="","",IFERROR(VLOOKUP($D714,物料档案!$A$4:$P$1203,3,0),"※编码不在物料档案里"))</f>
        <v/>
      </c>
      <c r="F714" s="24">
        <f>IF($D714="","",IFERROR(VLOOKUP($D714,物料档案!$A$4:$P$1203,4,0),"※编码不在物料档案里"))</f>
        <v/>
      </c>
      <c r="G714" s="24">
        <f>IF($D714="","",IFERROR(VLOOKUP($D714,物料档案!$A$4:$P$1203,5,0),"※编码不在物料档案里"))</f>
        <v/>
      </c>
      <c r="H714" s="24">
        <f>IF($D714="","",IFERROR(VLOOKUP($D714,物料档案!$A$4:$P$1203,2,0),"※编码不在物料档案里"))</f>
        <v/>
      </c>
      <c r="I714" s="24">
        <f>IF($D714="","",IFERROR(VLOOKUP($D714,物料档案!$A$4:$P$1203,6,0),"※编码不在物料档案里"))</f>
        <v/>
      </c>
      <c r="J714" s="23" t="n"/>
      <c r="K714" s="17" t="n"/>
      <c r="L714" s="17" t="n"/>
      <c r="M714" s="17" t="n"/>
      <c r="N714" s="17" t="n"/>
      <c r="O714" s="26">
        <f>IF($D714="","",IFERROR(VLOOKUP($D714,物料档案!$A$4:$P$1203,10,0),0))</f>
        <v/>
      </c>
      <c r="P714" s="32" t="n"/>
      <c r="Q714" s="26">
        <f>IF($D714="","",IF($K714&lt;&gt;"对外销售",0,ROUND(N($J714)*IF($P714="",N($O714),N($P714)),0)))</f>
        <v/>
      </c>
      <c r="R714" s="26">
        <f>IF($D714="","",IFERROR(VLOOKUP($D714,库存台账!$A$5:$Y$1204,11,0),0))</f>
        <v/>
      </c>
      <c r="S714" s="26">
        <f>IF($D714="","",ROUND(N($J714)*N($R714),0))</f>
        <v/>
      </c>
      <c r="T714" s="26">
        <f>IF($D714="","",IF($K714&lt;&gt;"对外销售","",ROUND($Q714-$S714,0)))</f>
        <v/>
      </c>
      <c r="U714" s="17" t="n"/>
      <c r="V714" s="17" t="n"/>
      <c r="W714" s="24">
        <f>IF($D714="","",IF($E714="※编码不在物料档案里","※物料编码不在档案里",IF(N($J714)&lt;=0,"※出库数量要大于 0",IF($K714="","※没填去向类型",IF($L714="","※没填去向矿区",IF(AND($C714&lt;&gt;"",$C714&lt;=结账锁),"※日期早于已结账截止日，不能再录",IF(AND($K714="自用消耗",COUNTIF({"一矿区";"二矿区"},$L714)=0),"※自用消耗的去向只能是一矿区或二矿区",IF(AND($K714="对外销售",COUNTIF({"三矿区";"六矿区"},$L714)=0),"※对外销售的去向只能是三矿区或六矿区",IF(AND($K714="对外销售",ROUND($Q714,0)=0),"※外销却没有售价，请填实际售价",IF(AND($K714="对外销售",$T714&lt;&gt;"",$T714&lt;0),"※这一笔外销是亏的，请核对售价",IF(IFERROR(VLOOKUP($D714,库存台账!$A$5:$Y$1204,24,0),0)&lt;-0.001,"※这个物料账面已经变成负数了，查一下是不是漏记入库","")))))))))))</f>
        <v/>
      </c>
    </row>
    <row r="715">
      <c r="A715" s="24">
        <f>IF($D715="","",COUNTA($D$4:$D715))</f>
        <v/>
      </c>
      <c r="B715" s="17" t="n"/>
      <c r="C715" s="30" t="n"/>
      <c r="D715" s="17" t="n"/>
      <c r="E715" s="24">
        <f>IF($D715="","",IFERROR(VLOOKUP($D715,物料档案!$A$4:$P$1203,3,0),"※编码不在物料档案里"))</f>
        <v/>
      </c>
      <c r="F715" s="24">
        <f>IF($D715="","",IFERROR(VLOOKUP($D715,物料档案!$A$4:$P$1203,4,0),"※编码不在物料档案里"))</f>
        <v/>
      </c>
      <c r="G715" s="24">
        <f>IF($D715="","",IFERROR(VLOOKUP($D715,物料档案!$A$4:$P$1203,5,0),"※编码不在物料档案里"))</f>
        <v/>
      </c>
      <c r="H715" s="24">
        <f>IF($D715="","",IFERROR(VLOOKUP($D715,物料档案!$A$4:$P$1203,2,0),"※编码不在物料档案里"))</f>
        <v/>
      </c>
      <c r="I715" s="24">
        <f>IF($D715="","",IFERROR(VLOOKUP($D715,物料档案!$A$4:$P$1203,6,0),"※编码不在物料档案里"))</f>
        <v/>
      </c>
      <c r="J715" s="23" t="n"/>
      <c r="K715" s="17" t="n"/>
      <c r="L715" s="17" t="n"/>
      <c r="M715" s="17" t="n"/>
      <c r="N715" s="17" t="n"/>
      <c r="O715" s="26">
        <f>IF($D715="","",IFERROR(VLOOKUP($D715,物料档案!$A$4:$P$1203,10,0),0))</f>
        <v/>
      </c>
      <c r="P715" s="32" t="n"/>
      <c r="Q715" s="26">
        <f>IF($D715="","",IF($K715&lt;&gt;"对外销售",0,ROUND(N($J715)*IF($P715="",N($O715),N($P715)),0)))</f>
        <v/>
      </c>
      <c r="R715" s="26">
        <f>IF($D715="","",IFERROR(VLOOKUP($D715,库存台账!$A$5:$Y$1204,11,0),0))</f>
        <v/>
      </c>
      <c r="S715" s="26">
        <f>IF($D715="","",ROUND(N($J715)*N($R715),0))</f>
        <v/>
      </c>
      <c r="T715" s="26">
        <f>IF($D715="","",IF($K715&lt;&gt;"对外销售","",ROUND($Q715-$S715,0)))</f>
        <v/>
      </c>
      <c r="U715" s="17" t="n"/>
      <c r="V715" s="17" t="n"/>
      <c r="W715" s="24">
        <f>IF($D715="","",IF($E715="※编码不在物料档案里","※物料编码不在档案里",IF(N($J715)&lt;=0,"※出库数量要大于 0",IF($K715="","※没填去向类型",IF($L715="","※没填去向矿区",IF(AND($C715&lt;&gt;"",$C715&lt;=结账锁),"※日期早于已结账截止日，不能再录",IF(AND($K715="自用消耗",COUNTIF({"一矿区";"二矿区"},$L715)=0),"※自用消耗的去向只能是一矿区或二矿区",IF(AND($K715="对外销售",COUNTIF({"三矿区";"六矿区"},$L715)=0),"※对外销售的去向只能是三矿区或六矿区",IF(AND($K715="对外销售",ROUND($Q715,0)=0),"※外销却没有售价，请填实际售价",IF(AND($K715="对外销售",$T715&lt;&gt;"",$T715&lt;0),"※这一笔外销是亏的，请核对售价",IF(IFERROR(VLOOKUP($D715,库存台账!$A$5:$Y$1204,24,0),0)&lt;-0.001,"※这个物料账面已经变成负数了，查一下是不是漏记入库","")))))))))))</f>
        <v/>
      </c>
    </row>
    <row r="716">
      <c r="A716" s="24">
        <f>IF($D716="","",COUNTA($D$4:$D716))</f>
        <v/>
      </c>
      <c r="B716" s="17" t="n"/>
      <c r="C716" s="30" t="n"/>
      <c r="D716" s="17" t="n"/>
      <c r="E716" s="24">
        <f>IF($D716="","",IFERROR(VLOOKUP($D716,物料档案!$A$4:$P$1203,3,0),"※编码不在物料档案里"))</f>
        <v/>
      </c>
      <c r="F716" s="24">
        <f>IF($D716="","",IFERROR(VLOOKUP($D716,物料档案!$A$4:$P$1203,4,0),"※编码不在物料档案里"))</f>
        <v/>
      </c>
      <c r="G716" s="24">
        <f>IF($D716="","",IFERROR(VLOOKUP($D716,物料档案!$A$4:$P$1203,5,0),"※编码不在物料档案里"))</f>
        <v/>
      </c>
      <c r="H716" s="24">
        <f>IF($D716="","",IFERROR(VLOOKUP($D716,物料档案!$A$4:$P$1203,2,0),"※编码不在物料档案里"))</f>
        <v/>
      </c>
      <c r="I716" s="24">
        <f>IF($D716="","",IFERROR(VLOOKUP($D716,物料档案!$A$4:$P$1203,6,0),"※编码不在物料档案里"))</f>
        <v/>
      </c>
      <c r="J716" s="23" t="n"/>
      <c r="K716" s="17" t="n"/>
      <c r="L716" s="17" t="n"/>
      <c r="M716" s="17" t="n"/>
      <c r="N716" s="17" t="n"/>
      <c r="O716" s="26">
        <f>IF($D716="","",IFERROR(VLOOKUP($D716,物料档案!$A$4:$P$1203,10,0),0))</f>
        <v/>
      </c>
      <c r="P716" s="32" t="n"/>
      <c r="Q716" s="26">
        <f>IF($D716="","",IF($K716&lt;&gt;"对外销售",0,ROUND(N($J716)*IF($P716="",N($O716),N($P716)),0)))</f>
        <v/>
      </c>
      <c r="R716" s="26">
        <f>IF($D716="","",IFERROR(VLOOKUP($D716,库存台账!$A$5:$Y$1204,11,0),0))</f>
        <v/>
      </c>
      <c r="S716" s="26">
        <f>IF($D716="","",ROUND(N($J716)*N($R716),0))</f>
        <v/>
      </c>
      <c r="T716" s="26">
        <f>IF($D716="","",IF($K716&lt;&gt;"对外销售","",ROUND($Q716-$S716,0)))</f>
        <v/>
      </c>
      <c r="U716" s="17" t="n"/>
      <c r="V716" s="17" t="n"/>
      <c r="W716" s="24">
        <f>IF($D716="","",IF($E716="※编码不在物料档案里","※物料编码不在档案里",IF(N($J716)&lt;=0,"※出库数量要大于 0",IF($K716="","※没填去向类型",IF($L716="","※没填去向矿区",IF(AND($C716&lt;&gt;"",$C716&lt;=结账锁),"※日期早于已结账截止日，不能再录",IF(AND($K716="自用消耗",COUNTIF({"一矿区";"二矿区"},$L716)=0),"※自用消耗的去向只能是一矿区或二矿区",IF(AND($K716="对外销售",COUNTIF({"三矿区";"六矿区"},$L716)=0),"※对外销售的去向只能是三矿区或六矿区",IF(AND($K716="对外销售",ROUND($Q716,0)=0),"※外销却没有售价，请填实际售价",IF(AND($K716="对外销售",$T716&lt;&gt;"",$T716&lt;0),"※这一笔外销是亏的，请核对售价",IF(IFERROR(VLOOKUP($D716,库存台账!$A$5:$Y$1204,24,0),0)&lt;-0.001,"※这个物料账面已经变成负数了，查一下是不是漏记入库","")))))))))))</f>
        <v/>
      </c>
    </row>
    <row r="717">
      <c r="A717" s="24">
        <f>IF($D717="","",COUNTA($D$4:$D717))</f>
        <v/>
      </c>
      <c r="B717" s="17" t="n"/>
      <c r="C717" s="30" t="n"/>
      <c r="D717" s="17" t="n"/>
      <c r="E717" s="24">
        <f>IF($D717="","",IFERROR(VLOOKUP($D717,物料档案!$A$4:$P$1203,3,0),"※编码不在物料档案里"))</f>
        <v/>
      </c>
      <c r="F717" s="24">
        <f>IF($D717="","",IFERROR(VLOOKUP($D717,物料档案!$A$4:$P$1203,4,0),"※编码不在物料档案里"))</f>
        <v/>
      </c>
      <c r="G717" s="24">
        <f>IF($D717="","",IFERROR(VLOOKUP($D717,物料档案!$A$4:$P$1203,5,0),"※编码不在物料档案里"))</f>
        <v/>
      </c>
      <c r="H717" s="24">
        <f>IF($D717="","",IFERROR(VLOOKUP($D717,物料档案!$A$4:$P$1203,2,0),"※编码不在物料档案里"))</f>
        <v/>
      </c>
      <c r="I717" s="24">
        <f>IF($D717="","",IFERROR(VLOOKUP($D717,物料档案!$A$4:$P$1203,6,0),"※编码不在物料档案里"))</f>
        <v/>
      </c>
      <c r="J717" s="23" t="n"/>
      <c r="K717" s="17" t="n"/>
      <c r="L717" s="17" t="n"/>
      <c r="M717" s="17" t="n"/>
      <c r="N717" s="17" t="n"/>
      <c r="O717" s="26">
        <f>IF($D717="","",IFERROR(VLOOKUP($D717,物料档案!$A$4:$P$1203,10,0),0))</f>
        <v/>
      </c>
      <c r="P717" s="32" t="n"/>
      <c r="Q717" s="26">
        <f>IF($D717="","",IF($K717&lt;&gt;"对外销售",0,ROUND(N($J717)*IF($P717="",N($O717),N($P717)),0)))</f>
        <v/>
      </c>
      <c r="R717" s="26">
        <f>IF($D717="","",IFERROR(VLOOKUP($D717,库存台账!$A$5:$Y$1204,11,0),0))</f>
        <v/>
      </c>
      <c r="S717" s="26">
        <f>IF($D717="","",ROUND(N($J717)*N($R717),0))</f>
        <v/>
      </c>
      <c r="T717" s="26">
        <f>IF($D717="","",IF($K717&lt;&gt;"对外销售","",ROUND($Q717-$S717,0)))</f>
        <v/>
      </c>
      <c r="U717" s="17" t="n"/>
      <c r="V717" s="17" t="n"/>
      <c r="W717" s="24">
        <f>IF($D717="","",IF($E717="※编码不在物料档案里","※物料编码不在档案里",IF(N($J717)&lt;=0,"※出库数量要大于 0",IF($K717="","※没填去向类型",IF($L717="","※没填去向矿区",IF(AND($C717&lt;&gt;"",$C717&lt;=结账锁),"※日期早于已结账截止日，不能再录",IF(AND($K717="自用消耗",COUNTIF({"一矿区";"二矿区"},$L717)=0),"※自用消耗的去向只能是一矿区或二矿区",IF(AND($K717="对外销售",COUNTIF({"三矿区";"六矿区"},$L717)=0),"※对外销售的去向只能是三矿区或六矿区",IF(AND($K717="对外销售",ROUND($Q717,0)=0),"※外销却没有售价，请填实际售价",IF(AND($K717="对外销售",$T717&lt;&gt;"",$T717&lt;0),"※这一笔外销是亏的，请核对售价",IF(IFERROR(VLOOKUP($D717,库存台账!$A$5:$Y$1204,24,0),0)&lt;-0.001,"※这个物料账面已经变成负数了，查一下是不是漏记入库","")))))))))))</f>
        <v/>
      </c>
    </row>
    <row r="718">
      <c r="A718" s="24">
        <f>IF($D718="","",COUNTA($D$4:$D718))</f>
        <v/>
      </c>
      <c r="B718" s="17" t="n"/>
      <c r="C718" s="30" t="n"/>
      <c r="D718" s="17" t="n"/>
      <c r="E718" s="24">
        <f>IF($D718="","",IFERROR(VLOOKUP($D718,物料档案!$A$4:$P$1203,3,0),"※编码不在物料档案里"))</f>
        <v/>
      </c>
      <c r="F718" s="24">
        <f>IF($D718="","",IFERROR(VLOOKUP($D718,物料档案!$A$4:$P$1203,4,0),"※编码不在物料档案里"))</f>
        <v/>
      </c>
      <c r="G718" s="24">
        <f>IF($D718="","",IFERROR(VLOOKUP($D718,物料档案!$A$4:$P$1203,5,0),"※编码不在物料档案里"))</f>
        <v/>
      </c>
      <c r="H718" s="24">
        <f>IF($D718="","",IFERROR(VLOOKUP($D718,物料档案!$A$4:$P$1203,2,0),"※编码不在物料档案里"))</f>
        <v/>
      </c>
      <c r="I718" s="24">
        <f>IF($D718="","",IFERROR(VLOOKUP($D718,物料档案!$A$4:$P$1203,6,0),"※编码不在物料档案里"))</f>
        <v/>
      </c>
      <c r="J718" s="23" t="n"/>
      <c r="K718" s="17" t="n"/>
      <c r="L718" s="17" t="n"/>
      <c r="M718" s="17" t="n"/>
      <c r="N718" s="17" t="n"/>
      <c r="O718" s="26">
        <f>IF($D718="","",IFERROR(VLOOKUP($D718,物料档案!$A$4:$P$1203,10,0),0))</f>
        <v/>
      </c>
      <c r="P718" s="32" t="n"/>
      <c r="Q718" s="26">
        <f>IF($D718="","",IF($K718&lt;&gt;"对外销售",0,ROUND(N($J718)*IF($P718="",N($O718),N($P718)),0)))</f>
        <v/>
      </c>
      <c r="R718" s="26">
        <f>IF($D718="","",IFERROR(VLOOKUP($D718,库存台账!$A$5:$Y$1204,11,0),0))</f>
        <v/>
      </c>
      <c r="S718" s="26">
        <f>IF($D718="","",ROUND(N($J718)*N($R718),0))</f>
        <v/>
      </c>
      <c r="T718" s="26">
        <f>IF($D718="","",IF($K718&lt;&gt;"对外销售","",ROUND($Q718-$S718,0)))</f>
        <v/>
      </c>
      <c r="U718" s="17" t="n"/>
      <c r="V718" s="17" t="n"/>
      <c r="W718" s="24">
        <f>IF($D718="","",IF($E718="※编码不在物料档案里","※物料编码不在档案里",IF(N($J718)&lt;=0,"※出库数量要大于 0",IF($K718="","※没填去向类型",IF($L718="","※没填去向矿区",IF(AND($C718&lt;&gt;"",$C718&lt;=结账锁),"※日期早于已结账截止日，不能再录",IF(AND($K718="自用消耗",COUNTIF({"一矿区";"二矿区"},$L718)=0),"※自用消耗的去向只能是一矿区或二矿区",IF(AND($K718="对外销售",COUNTIF({"三矿区";"六矿区"},$L718)=0),"※对外销售的去向只能是三矿区或六矿区",IF(AND($K718="对外销售",ROUND($Q718,0)=0),"※外销却没有售价，请填实际售价",IF(AND($K718="对外销售",$T718&lt;&gt;"",$T718&lt;0),"※这一笔外销是亏的，请核对售价",IF(IFERROR(VLOOKUP($D718,库存台账!$A$5:$Y$1204,24,0),0)&lt;-0.001,"※这个物料账面已经变成负数了，查一下是不是漏记入库","")))))))))))</f>
        <v/>
      </c>
    </row>
    <row r="719">
      <c r="A719" s="24">
        <f>IF($D719="","",COUNTA($D$4:$D719))</f>
        <v/>
      </c>
      <c r="B719" s="17" t="n"/>
      <c r="C719" s="30" t="n"/>
      <c r="D719" s="17" t="n"/>
      <c r="E719" s="24">
        <f>IF($D719="","",IFERROR(VLOOKUP($D719,物料档案!$A$4:$P$1203,3,0),"※编码不在物料档案里"))</f>
        <v/>
      </c>
      <c r="F719" s="24">
        <f>IF($D719="","",IFERROR(VLOOKUP($D719,物料档案!$A$4:$P$1203,4,0),"※编码不在物料档案里"))</f>
        <v/>
      </c>
      <c r="G719" s="24">
        <f>IF($D719="","",IFERROR(VLOOKUP($D719,物料档案!$A$4:$P$1203,5,0),"※编码不在物料档案里"))</f>
        <v/>
      </c>
      <c r="H719" s="24">
        <f>IF($D719="","",IFERROR(VLOOKUP($D719,物料档案!$A$4:$P$1203,2,0),"※编码不在物料档案里"))</f>
        <v/>
      </c>
      <c r="I719" s="24">
        <f>IF($D719="","",IFERROR(VLOOKUP($D719,物料档案!$A$4:$P$1203,6,0),"※编码不在物料档案里"))</f>
        <v/>
      </c>
      <c r="J719" s="23" t="n"/>
      <c r="K719" s="17" t="n"/>
      <c r="L719" s="17" t="n"/>
      <c r="M719" s="17" t="n"/>
      <c r="N719" s="17" t="n"/>
      <c r="O719" s="26">
        <f>IF($D719="","",IFERROR(VLOOKUP($D719,物料档案!$A$4:$P$1203,10,0),0))</f>
        <v/>
      </c>
      <c r="P719" s="32" t="n"/>
      <c r="Q719" s="26">
        <f>IF($D719="","",IF($K719&lt;&gt;"对外销售",0,ROUND(N($J719)*IF($P719="",N($O719),N($P719)),0)))</f>
        <v/>
      </c>
      <c r="R719" s="26">
        <f>IF($D719="","",IFERROR(VLOOKUP($D719,库存台账!$A$5:$Y$1204,11,0),0))</f>
        <v/>
      </c>
      <c r="S719" s="26">
        <f>IF($D719="","",ROUND(N($J719)*N($R719),0))</f>
        <v/>
      </c>
      <c r="T719" s="26">
        <f>IF($D719="","",IF($K719&lt;&gt;"对外销售","",ROUND($Q719-$S719,0)))</f>
        <v/>
      </c>
      <c r="U719" s="17" t="n"/>
      <c r="V719" s="17" t="n"/>
      <c r="W719" s="24">
        <f>IF($D719="","",IF($E719="※编码不在物料档案里","※物料编码不在档案里",IF(N($J719)&lt;=0,"※出库数量要大于 0",IF($K719="","※没填去向类型",IF($L719="","※没填去向矿区",IF(AND($C719&lt;&gt;"",$C719&lt;=结账锁),"※日期早于已结账截止日，不能再录",IF(AND($K719="自用消耗",COUNTIF({"一矿区";"二矿区"},$L719)=0),"※自用消耗的去向只能是一矿区或二矿区",IF(AND($K719="对外销售",COUNTIF({"三矿区";"六矿区"},$L719)=0),"※对外销售的去向只能是三矿区或六矿区",IF(AND($K719="对外销售",ROUND($Q719,0)=0),"※外销却没有售价，请填实际售价",IF(AND($K719="对外销售",$T719&lt;&gt;"",$T719&lt;0),"※这一笔外销是亏的，请核对售价",IF(IFERROR(VLOOKUP($D719,库存台账!$A$5:$Y$1204,24,0),0)&lt;-0.001,"※这个物料账面已经变成负数了，查一下是不是漏记入库","")))))))))))</f>
        <v/>
      </c>
    </row>
    <row r="720">
      <c r="A720" s="24">
        <f>IF($D720="","",COUNTA($D$4:$D720))</f>
        <v/>
      </c>
      <c r="B720" s="17" t="n"/>
      <c r="C720" s="30" t="n"/>
      <c r="D720" s="17" t="n"/>
      <c r="E720" s="24">
        <f>IF($D720="","",IFERROR(VLOOKUP($D720,物料档案!$A$4:$P$1203,3,0),"※编码不在物料档案里"))</f>
        <v/>
      </c>
      <c r="F720" s="24">
        <f>IF($D720="","",IFERROR(VLOOKUP($D720,物料档案!$A$4:$P$1203,4,0),"※编码不在物料档案里"))</f>
        <v/>
      </c>
      <c r="G720" s="24">
        <f>IF($D720="","",IFERROR(VLOOKUP($D720,物料档案!$A$4:$P$1203,5,0),"※编码不在物料档案里"))</f>
        <v/>
      </c>
      <c r="H720" s="24">
        <f>IF($D720="","",IFERROR(VLOOKUP($D720,物料档案!$A$4:$P$1203,2,0),"※编码不在物料档案里"))</f>
        <v/>
      </c>
      <c r="I720" s="24">
        <f>IF($D720="","",IFERROR(VLOOKUP($D720,物料档案!$A$4:$P$1203,6,0),"※编码不在物料档案里"))</f>
        <v/>
      </c>
      <c r="J720" s="23" t="n"/>
      <c r="K720" s="17" t="n"/>
      <c r="L720" s="17" t="n"/>
      <c r="M720" s="17" t="n"/>
      <c r="N720" s="17" t="n"/>
      <c r="O720" s="26">
        <f>IF($D720="","",IFERROR(VLOOKUP($D720,物料档案!$A$4:$P$1203,10,0),0))</f>
        <v/>
      </c>
      <c r="P720" s="32" t="n"/>
      <c r="Q720" s="26">
        <f>IF($D720="","",IF($K720&lt;&gt;"对外销售",0,ROUND(N($J720)*IF($P720="",N($O720),N($P720)),0)))</f>
        <v/>
      </c>
      <c r="R720" s="26">
        <f>IF($D720="","",IFERROR(VLOOKUP($D720,库存台账!$A$5:$Y$1204,11,0),0))</f>
        <v/>
      </c>
      <c r="S720" s="26">
        <f>IF($D720="","",ROUND(N($J720)*N($R720),0))</f>
        <v/>
      </c>
      <c r="T720" s="26">
        <f>IF($D720="","",IF($K720&lt;&gt;"对外销售","",ROUND($Q720-$S720,0)))</f>
        <v/>
      </c>
      <c r="U720" s="17" t="n"/>
      <c r="V720" s="17" t="n"/>
      <c r="W720" s="24">
        <f>IF($D720="","",IF($E720="※编码不在物料档案里","※物料编码不在档案里",IF(N($J720)&lt;=0,"※出库数量要大于 0",IF($K720="","※没填去向类型",IF($L720="","※没填去向矿区",IF(AND($C720&lt;&gt;"",$C720&lt;=结账锁),"※日期早于已结账截止日，不能再录",IF(AND($K720="自用消耗",COUNTIF({"一矿区";"二矿区"},$L720)=0),"※自用消耗的去向只能是一矿区或二矿区",IF(AND($K720="对外销售",COUNTIF({"三矿区";"六矿区"},$L720)=0),"※对外销售的去向只能是三矿区或六矿区",IF(AND($K720="对外销售",ROUND($Q720,0)=0),"※外销却没有售价，请填实际售价",IF(AND($K720="对外销售",$T720&lt;&gt;"",$T720&lt;0),"※这一笔外销是亏的，请核对售价",IF(IFERROR(VLOOKUP($D720,库存台账!$A$5:$Y$1204,24,0),0)&lt;-0.001,"※这个物料账面已经变成负数了，查一下是不是漏记入库","")))))))))))</f>
        <v/>
      </c>
    </row>
    <row r="721">
      <c r="A721" s="24">
        <f>IF($D721="","",COUNTA($D$4:$D721))</f>
        <v/>
      </c>
      <c r="B721" s="17" t="n"/>
      <c r="C721" s="30" t="n"/>
      <c r="D721" s="17" t="n"/>
      <c r="E721" s="24">
        <f>IF($D721="","",IFERROR(VLOOKUP($D721,物料档案!$A$4:$P$1203,3,0),"※编码不在物料档案里"))</f>
        <v/>
      </c>
      <c r="F721" s="24">
        <f>IF($D721="","",IFERROR(VLOOKUP($D721,物料档案!$A$4:$P$1203,4,0),"※编码不在物料档案里"))</f>
        <v/>
      </c>
      <c r="G721" s="24">
        <f>IF($D721="","",IFERROR(VLOOKUP($D721,物料档案!$A$4:$P$1203,5,0),"※编码不在物料档案里"))</f>
        <v/>
      </c>
      <c r="H721" s="24">
        <f>IF($D721="","",IFERROR(VLOOKUP($D721,物料档案!$A$4:$P$1203,2,0),"※编码不在物料档案里"))</f>
        <v/>
      </c>
      <c r="I721" s="24">
        <f>IF($D721="","",IFERROR(VLOOKUP($D721,物料档案!$A$4:$P$1203,6,0),"※编码不在物料档案里"))</f>
        <v/>
      </c>
      <c r="J721" s="23" t="n"/>
      <c r="K721" s="17" t="n"/>
      <c r="L721" s="17" t="n"/>
      <c r="M721" s="17" t="n"/>
      <c r="N721" s="17" t="n"/>
      <c r="O721" s="26">
        <f>IF($D721="","",IFERROR(VLOOKUP($D721,物料档案!$A$4:$P$1203,10,0),0))</f>
        <v/>
      </c>
      <c r="P721" s="32" t="n"/>
      <c r="Q721" s="26">
        <f>IF($D721="","",IF($K721&lt;&gt;"对外销售",0,ROUND(N($J721)*IF($P721="",N($O721),N($P721)),0)))</f>
        <v/>
      </c>
      <c r="R721" s="26">
        <f>IF($D721="","",IFERROR(VLOOKUP($D721,库存台账!$A$5:$Y$1204,11,0),0))</f>
        <v/>
      </c>
      <c r="S721" s="26">
        <f>IF($D721="","",ROUND(N($J721)*N($R721),0))</f>
        <v/>
      </c>
      <c r="T721" s="26">
        <f>IF($D721="","",IF($K721&lt;&gt;"对外销售","",ROUND($Q721-$S721,0)))</f>
        <v/>
      </c>
      <c r="U721" s="17" t="n"/>
      <c r="V721" s="17" t="n"/>
      <c r="W721" s="24">
        <f>IF($D721="","",IF($E721="※编码不在物料档案里","※物料编码不在档案里",IF(N($J721)&lt;=0,"※出库数量要大于 0",IF($K721="","※没填去向类型",IF($L721="","※没填去向矿区",IF(AND($C721&lt;&gt;"",$C721&lt;=结账锁),"※日期早于已结账截止日，不能再录",IF(AND($K721="自用消耗",COUNTIF({"一矿区";"二矿区"},$L721)=0),"※自用消耗的去向只能是一矿区或二矿区",IF(AND($K721="对外销售",COUNTIF({"三矿区";"六矿区"},$L721)=0),"※对外销售的去向只能是三矿区或六矿区",IF(AND($K721="对外销售",ROUND($Q721,0)=0),"※外销却没有售价，请填实际售价",IF(AND($K721="对外销售",$T721&lt;&gt;"",$T721&lt;0),"※这一笔外销是亏的，请核对售价",IF(IFERROR(VLOOKUP($D721,库存台账!$A$5:$Y$1204,24,0),0)&lt;-0.001,"※这个物料账面已经变成负数了，查一下是不是漏记入库","")))))))))))</f>
        <v/>
      </c>
    </row>
    <row r="722">
      <c r="A722" s="24">
        <f>IF($D722="","",COUNTA($D$4:$D722))</f>
        <v/>
      </c>
      <c r="B722" s="17" t="n"/>
      <c r="C722" s="30" t="n"/>
      <c r="D722" s="17" t="n"/>
      <c r="E722" s="24">
        <f>IF($D722="","",IFERROR(VLOOKUP($D722,物料档案!$A$4:$P$1203,3,0),"※编码不在物料档案里"))</f>
        <v/>
      </c>
      <c r="F722" s="24">
        <f>IF($D722="","",IFERROR(VLOOKUP($D722,物料档案!$A$4:$P$1203,4,0),"※编码不在物料档案里"))</f>
        <v/>
      </c>
      <c r="G722" s="24">
        <f>IF($D722="","",IFERROR(VLOOKUP($D722,物料档案!$A$4:$P$1203,5,0),"※编码不在物料档案里"))</f>
        <v/>
      </c>
      <c r="H722" s="24">
        <f>IF($D722="","",IFERROR(VLOOKUP($D722,物料档案!$A$4:$P$1203,2,0),"※编码不在物料档案里"))</f>
        <v/>
      </c>
      <c r="I722" s="24">
        <f>IF($D722="","",IFERROR(VLOOKUP($D722,物料档案!$A$4:$P$1203,6,0),"※编码不在物料档案里"))</f>
        <v/>
      </c>
      <c r="J722" s="23" t="n"/>
      <c r="K722" s="17" t="n"/>
      <c r="L722" s="17" t="n"/>
      <c r="M722" s="17" t="n"/>
      <c r="N722" s="17" t="n"/>
      <c r="O722" s="26">
        <f>IF($D722="","",IFERROR(VLOOKUP($D722,物料档案!$A$4:$P$1203,10,0),0))</f>
        <v/>
      </c>
      <c r="P722" s="32" t="n"/>
      <c r="Q722" s="26">
        <f>IF($D722="","",IF($K722&lt;&gt;"对外销售",0,ROUND(N($J722)*IF($P722="",N($O722),N($P722)),0)))</f>
        <v/>
      </c>
      <c r="R722" s="26">
        <f>IF($D722="","",IFERROR(VLOOKUP($D722,库存台账!$A$5:$Y$1204,11,0),0))</f>
        <v/>
      </c>
      <c r="S722" s="26">
        <f>IF($D722="","",ROUND(N($J722)*N($R722),0))</f>
        <v/>
      </c>
      <c r="T722" s="26">
        <f>IF($D722="","",IF($K722&lt;&gt;"对外销售","",ROUND($Q722-$S722,0)))</f>
        <v/>
      </c>
      <c r="U722" s="17" t="n"/>
      <c r="V722" s="17" t="n"/>
      <c r="W722" s="24">
        <f>IF($D722="","",IF($E722="※编码不在物料档案里","※物料编码不在档案里",IF(N($J722)&lt;=0,"※出库数量要大于 0",IF($K722="","※没填去向类型",IF($L722="","※没填去向矿区",IF(AND($C722&lt;&gt;"",$C722&lt;=结账锁),"※日期早于已结账截止日，不能再录",IF(AND($K722="自用消耗",COUNTIF({"一矿区";"二矿区"},$L722)=0),"※自用消耗的去向只能是一矿区或二矿区",IF(AND($K722="对外销售",COUNTIF({"三矿区";"六矿区"},$L722)=0),"※对外销售的去向只能是三矿区或六矿区",IF(AND($K722="对外销售",ROUND($Q722,0)=0),"※外销却没有售价，请填实际售价",IF(AND($K722="对外销售",$T722&lt;&gt;"",$T722&lt;0),"※这一笔外销是亏的，请核对售价",IF(IFERROR(VLOOKUP($D722,库存台账!$A$5:$Y$1204,24,0),0)&lt;-0.001,"※这个物料账面已经变成负数了，查一下是不是漏记入库","")))))))))))</f>
        <v/>
      </c>
    </row>
    <row r="723">
      <c r="A723" s="24">
        <f>IF($D723="","",COUNTA($D$4:$D723))</f>
        <v/>
      </c>
      <c r="B723" s="17" t="n"/>
      <c r="C723" s="30" t="n"/>
      <c r="D723" s="17" t="n"/>
      <c r="E723" s="24">
        <f>IF($D723="","",IFERROR(VLOOKUP($D723,物料档案!$A$4:$P$1203,3,0),"※编码不在物料档案里"))</f>
        <v/>
      </c>
      <c r="F723" s="24">
        <f>IF($D723="","",IFERROR(VLOOKUP($D723,物料档案!$A$4:$P$1203,4,0),"※编码不在物料档案里"))</f>
        <v/>
      </c>
      <c r="G723" s="24">
        <f>IF($D723="","",IFERROR(VLOOKUP($D723,物料档案!$A$4:$P$1203,5,0),"※编码不在物料档案里"))</f>
        <v/>
      </c>
      <c r="H723" s="24">
        <f>IF($D723="","",IFERROR(VLOOKUP($D723,物料档案!$A$4:$P$1203,2,0),"※编码不在物料档案里"))</f>
        <v/>
      </c>
      <c r="I723" s="24">
        <f>IF($D723="","",IFERROR(VLOOKUP($D723,物料档案!$A$4:$P$1203,6,0),"※编码不在物料档案里"))</f>
        <v/>
      </c>
      <c r="J723" s="23" t="n"/>
      <c r="K723" s="17" t="n"/>
      <c r="L723" s="17" t="n"/>
      <c r="M723" s="17" t="n"/>
      <c r="N723" s="17" t="n"/>
      <c r="O723" s="26">
        <f>IF($D723="","",IFERROR(VLOOKUP($D723,物料档案!$A$4:$P$1203,10,0),0))</f>
        <v/>
      </c>
      <c r="P723" s="32" t="n"/>
      <c r="Q723" s="26">
        <f>IF($D723="","",IF($K723&lt;&gt;"对外销售",0,ROUND(N($J723)*IF($P723="",N($O723),N($P723)),0)))</f>
        <v/>
      </c>
      <c r="R723" s="26">
        <f>IF($D723="","",IFERROR(VLOOKUP($D723,库存台账!$A$5:$Y$1204,11,0),0))</f>
        <v/>
      </c>
      <c r="S723" s="26">
        <f>IF($D723="","",ROUND(N($J723)*N($R723),0))</f>
        <v/>
      </c>
      <c r="T723" s="26">
        <f>IF($D723="","",IF($K723&lt;&gt;"对外销售","",ROUND($Q723-$S723,0)))</f>
        <v/>
      </c>
      <c r="U723" s="17" t="n"/>
      <c r="V723" s="17" t="n"/>
      <c r="W723" s="24">
        <f>IF($D723="","",IF($E723="※编码不在物料档案里","※物料编码不在档案里",IF(N($J723)&lt;=0,"※出库数量要大于 0",IF($K723="","※没填去向类型",IF($L723="","※没填去向矿区",IF(AND($C723&lt;&gt;"",$C723&lt;=结账锁),"※日期早于已结账截止日，不能再录",IF(AND($K723="自用消耗",COUNTIF({"一矿区";"二矿区"},$L723)=0),"※自用消耗的去向只能是一矿区或二矿区",IF(AND($K723="对外销售",COUNTIF({"三矿区";"六矿区"},$L723)=0),"※对外销售的去向只能是三矿区或六矿区",IF(AND($K723="对外销售",ROUND($Q723,0)=0),"※外销却没有售价，请填实际售价",IF(AND($K723="对外销售",$T723&lt;&gt;"",$T723&lt;0),"※这一笔外销是亏的，请核对售价",IF(IFERROR(VLOOKUP($D723,库存台账!$A$5:$Y$1204,24,0),0)&lt;-0.001,"※这个物料账面已经变成负数了，查一下是不是漏记入库","")))))))))))</f>
        <v/>
      </c>
    </row>
    <row r="724">
      <c r="A724" s="24">
        <f>IF($D724="","",COUNTA($D$4:$D724))</f>
        <v/>
      </c>
      <c r="B724" s="17" t="n"/>
      <c r="C724" s="30" t="n"/>
      <c r="D724" s="17" t="n"/>
      <c r="E724" s="24">
        <f>IF($D724="","",IFERROR(VLOOKUP($D724,物料档案!$A$4:$P$1203,3,0),"※编码不在物料档案里"))</f>
        <v/>
      </c>
      <c r="F724" s="24">
        <f>IF($D724="","",IFERROR(VLOOKUP($D724,物料档案!$A$4:$P$1203,4,0),"※编码不在物料档案里"))</f>
        <v/>
      </c>
      <c r="G724" s="24">
        <f>IF($D724="","",IFERROR(VLOOKUP($D724,物料档案!$A$4:$P$1203,5,0),"※编码不在物料档案里"))</f>
        <v/>
      </c>
      <c r="H724" s="24">
        <f>IF($D724="","",IFERROR(VLOOKUP($D724,物料档案!$A$4:$P$1203,2,0),"※编码不在物料档案里"))</f>
        <v/>
      </c>
      <c r="I724" s="24">
        <f>IF($D724="","",IFERROR(VLOOKUP($D724,物料档案!$A$4:$P$1203,6,0),"※编码不在物料档案里"))</f>
        <v/>
      </c>
      <c r="J724" s="23" t="n"/>
      <c r="K724" s="17" t="n"/>
      <c r="L724" s="17" t="n"/>
      <c r="M724" s="17" t="n"/>
      <c r="N724" s="17" t="n"/>
      <c r="O724" s="26">
        <f>IF($D724="","",IFERROR(VLOOKUP($D724,物料档案!$A$4:$P$1203,10,0),0))</f>
        <v/>
      </c>
      <c r="P724" s="32" t="n"/>
      <c r="Q724" s="26">
        <f>IF($D724="","",IF($K724&lt;&gt;"对外销售",0,ROUND(N($J724)*IF($P724="",N($O724),N($P724)),0)))</f>
        <v/>
      </c>
      <c r="R724" s="26">
        <f>IF($D724="","",IFERROR(VLOOKUP($D724,库存台账!$A$5:$Y$1204,11,0),0))</f>
        <v/>
      </c>
      <c r="S724" s="26">
        <f>IF($D724="","",ROUND(N($J724)*N($R724),0))</f>
        <v/>
      </c>
      <c r="T724" s="26">
        <f>IF($D724="","",IF($K724&lt;&gt;"对外销售","",ROUND($Q724-$S724,0)))</f>
        <v/>
      </c>
      <c r="U724" s="17" t="n"/>
      <c r="V724" s="17" t="n"/>
      <c r="W724" s="24">
        <f>IF($D724="","",IF($E724="※编码不在物料档案里","※物料编码不在档案里",IF(N($J724)&lt;=0,"※出库数量要大于 0",IF($K724="","※没填去向类型",IF($L724="","※没填去向矿区",IF(AND($C724&lt;&gt;"",$C724&lt;=结账锁),"※日期早于已结账截止日，不能再录",IF(AND($K724="自用消耗",COUNTIF({"一矿区";"二矿区"},$L724)=0),"※自用消耗的去向只能是一矿区或二矿区",IF(AND($K724="对外销售",COUNTIF({"三矿区";"六矿区"},$L724)=0),"※对外销售的去向只能是三矿区或六矿区",IF(AND($K724="对外销售",ROUND($Q724,0)=0),"※外销却没有售价，请填实际售价",IF(AND($K724="对外销售",$T724&lt;&gt;"",$T724&lt;0),"※这一笔外销是亏的，请核对售价",IF(IFERROR(VLOOKUP($D724,库存台账!$A$5:$Y$1204,24,0),0)&lt;-0.001,"※这个物料账面已经变成负数了，查一下是不是漏记入库","")))))))))))</f>
        <v/>
      </c>
    </row>
    <row r="725">
      <c r="A725" s="24">
        <f>IF($D725="","",COUNTA($D$4:$D725))</f>
        <v/>
      </c>
      <c r="B725" s="17" t="n"/>
      <c r="C725" s="30" t="n"/>
      <c r="D725" s="17" t="n"/>
      <c r="E725" s="24">
        <f>IF($D725="","",IFERROR(VLOOKUP($D725,物料档案!$A$4:$P$1203,3,0),"※编码不在物料档案里"))</f>
        <v/>
      </c>
      <c r="F725" s="24">
        <f>IF($D725="","",IFERROR(VLOOKUP($D725,物料档案!$A$4:$P$1203,4,0),"※编码不在物料档案里"))</f>
        <v/>
      </c>
      <c r="G725" s="24">
        <f>IF($D725="","",IFERROR(VLOOKUP($D725,物料档案!$A$4:$P$1203,5,0),"※编码不在物料档案里"))</f>
        <v/>
      </c>
      <c r="H725" s="24">
        <f>IF($D725="","",IFERROR(VLOOKUP($D725,物料档案!$A$4:$P$1203,2,0),"※编码不在物料档案里"))</f>
        <v/>
      </c>
      <c r="I725" s="24">
        <f>IF($D725="","",IFERROR(VLOOKUP($D725,物料档案!$A$4:$P$1203,6,0),"※编码不在物料档案里"))</f>
        <v/>
      </c>
      <c r="J725" s="23" t="n"/>
      <c r="K725" s="17" t="n"/>
      <c r="L725" s="17" t="n"/>
      <c r="M725" s="17" t="n"/>
      <c r="N725" s="17" t="n"/>
      <c r="O725" s="26">
        <f>IF($D725="","",IFERROR(VLOOKUP($D725,物料档案!$A$4:$P$1203,10,0),0))</f>
        <v/>
      </c>
      <c r="P725" s="32" t="n"/>
      <c r="Q725" s="26">
        <f>IF($D725="","",IF($K725&lt;&gt;"对外销售",0,ROUND(N($J725)*IF($P725="",N($O725),N($P725)),0)))</f>
        <v/>
      </c>
      <c r="R725" s="26">
        <f>IF($D725="","",IFERROR(VLOOKUP($D725,库存台账!$A$5:$Y$1204,11,0),0))</f>
        <v/>
      </c>
      <c r="S725" s="26">
        <f>IF($D725="","",ROUND(N($J725)*N($R725),0))</f>
        <v/>
      </c>
      <c r="T725" s="26">
        <f>IF($D725="","",IF($K725&lt;&gt;"对外销售","",ROUND($Q725-$S725,0)))</f>
        <v/>
      </c>
      <c r="U725" s="17" t="n"/>
      <c r="V725" s="17" t="n"/>
      <c r="W725" s="24">
        <f>IF($D725="","",IF($E725="※编码不在物料档案里","※物料编码不在档案里",IF(N($J725)&lt;=0,"※出库数量要大于 0",IF($K725="","※没填去向类型",IF($L725="","※没填去向矿区",IF(AND($C725&lt;&gt;"",$C725&lt;=结账锁),"※日期早于已结账截止日，不能再录",IF(AND($K725="自用消耗",COUNTIF({"一矿区";"二矿区"},$L725)=0),"※自用消耗的去向只能是一矿区或二矿区",IF(AND($K725="对外销售",COUNTIF({"三矿区";"六矿区"},$L725)=0),"※对外销售的去向只能是三矿区或六矿区",IF(AND($K725="对外销售",ROUND($Q725,0)=0),"※外销却没有售价，请填实际售价",IF(AND($K725="对外销售",$T725&lt;&gt;"",$T725&lt;0),"※这一笔外销是亏的，请核对售价",IF(IFERROR(VLOOKUP($D725,库存台账!$A$5:$Y$1204,24,0),0)&lt;-0.001,"※这个物料账面已经变成负数了，查一下是不是漏记入库","")))))))))))</f>
        <v/>
      </c>
    </row>
    <row r="726">
      <c r="A726" s="24">
        <f>IF($D726="","",COUNTA($D$4:$D726))</f>
        <v/>
      </c>
      <c r="B726" s="17" t="n"/>
      <c r="C726" s="30" t="n"/>
      <c r="D726" s="17" t="n"/>
      <c r="E726" s="24">
        <f>IF($D726="","",IFERROR(VLOOKUP($D726,物料档案!$A$4:$P$1203,3,0),"※编码不在物料档案里"))</f>
        <v/>
      </c>
      <c r="F726" s="24">
        <f>IF($D726="","",IFERROR(VLOOKUP($D726,物料档案!$A$4:$P$1203,4,0),"※编码不在物料档案里"))</f>
        <v/>
      </c>
      <c r="G726" s="24">
        <f>IF($D726="","",IFERROR(VLOOKUP($D726,物料档案!$A$4:$P$1203,5,0),"※编码不在物料档案里"))</f>
        <v/>
      </c>
      <c r="H726" s="24">
        <f>IF($D726="","",IFERROR(VLOOKUP($D726,物料档案!$A$4:$P$1203,2,0),"※编码不在物料档案里"))</f>
        <v/>
      </c>
      <c r="I726" s="24">
        <f>IF($D726="","",IFERROR(VLOOKUP($D726,物料档案!$A$4:$P$1203,6,0),"※编码不在物料档案里"))</f>
        <v/>
      </c>
      <c r="J726" s="23" t="n"/>
      <c r="K726" s="17" t="n"/>
      <c r="L726" s="17" t="n"/>
      <c r="M726" s="17" t="n"/>
      <c r="N726" s="17" t="n"/>
      <c r="O726" s="26">
        <f>IF($D726="","",IFERROR(VLOOKUP($D726,物料档案!$A$4:$P$1203,10,0),0))</f>
        <v/>
      </c>
      <c r="P726" s="32" t="n"/>
      <c r="Q726" s="26">
        <f>IF($D726="","",IF($K726&lt;&gt;"对外销售",0,ROUND(N($J726)*IF($P726="",N($O726),N($P726)),0)))</f>
        <v/>
      </c>
      <c r="R726" s="26">
        <f>IF($D726="","",IFERROR(VLOOKUP($D726,库存台账!$A$5:$Y$1204,11,0),0))</f>
        <v/>
      </c>
      <c r="S726" s="26">
        <f>IF($D726="","",ROUND(N($J726)*N($R726),0))</f>
        <v/>
      </c>
      <c r="T726" s="26">
        <f>IF($D726="","",IF($K726&lt;&gt;"对外销售","",ROUND($Q726-$S726,0)))</f>
        <v/>
      </c>
      <c r="U726" s="17" t="n"/>
      <c r="V726" s="17" t="n"/>
      <c r="W726" s="24">
        <f>IF($D726="","",IF($E726="※编码不在物料档案里","※物料编码不在档案里",IF(N($J726)&lt;=0,"※出库数量要大于 0",IF($K726="","※没填去向类型",IF($L726="","※没填去向矿区",IF(AND($C726&lt;&gt;"",$C726&lt;=结账锁),"※日期早于已结账截止日，不能再录",IF(AND($K726="自用消耗",COUNTIF({"一矿区";"二矿区"},$L726)=0),"※自用消耗的去向只能是一矿区或二矿区",IF(AND($K726="对外销售",COUNTIF({"三矿区";"六矿区"},$L726)=0),"※对外销售的去向只能是三矿区或六矿区",IF(AND($K726="对外销售",ROUND($Q726,0)=0),"※外销却没有售价，请填实际售价",IF(AND($K726="对外销售",$T726&lt;&gt;"",$T726&lt;0),"※这一笔外销是亏的，请核对售价",IF(IFERROR(VLOOKUP($D726,库存台账!$A$5:$Y$1204,24,0),0)&lt;-0.001,"※这个物料账面已经变成负数了，查一下是不是漏记入库","")))))))))))</f>
        <v/>
      </c>
    </row>
    <row r="727">
      <c r="A727" s="24">
        <f>IF($D727="","",COUNTA($D$4:$D727))</f>
        <v/>
      </c>
      <c r="B727" s="17" t="n"/>
      <c r="C727" s="30" t="n"/>
      <c r="D727" s="17" t="n"/>
      <c r="E727" s="24">
        <f>IF($D727="","",IFERROR(VLOOKUP($D727,物料档案!$A$4:$P$1203,3,0),"※编码不在物料档案里"))</f>
        <v/>
      </c>
      <c r="F727" s="24">
        <f>IF($D727="","",IFERROR(VLOOKUP($D727,物料档案!$A$4:$P$1203,4,0),"※编码不在物料档案里"))</f>
        <v/>
      </c>
      <c r="G727" s="24">
        <f>IF($D727="","",IFERROR(VLOOKUP($D727,物料档案!$A$4:$P$1203,5,0),"※编码不在物料档案里"))</f>
        <v/>
      </c>
      <c r="H727" s="24">
        <f>IF($D727="","",IFERROR(VLOOKUP($D727,物料档案!$A$4:$P$1203,2,0),"※编码不在物料档案里"))</f>
        <v/>
      </c>
      <c r="I727" s="24">
        <f>IF($D727="","",IFERROR(VLOOKUP($D727,物料档案!$A$4:$P$1203,6,0),"※编码不在物料档案里"))</f>
        <v/>
      </c>
      <c r="J727" s="23" t="n"/>
      <c r="K727" s="17" t="n"/>
      <c r="L727" s="17" t="n"/>
      <c r="M727" s="17" t="n"/>
      <c r="N727" s="17" t="n"/>
      <c r="O727" s="26">
        <f>IF($D727="","",IFERROR(VLOOKUP($D727,物料档案!$A$4:$P$1203,10,0),0))</f>
        <v/>
      </c>
      <c r="P727" s="32" t="n"/>
      <c r="Q727" s="26">
        <f>IF($D727="","",IF($K727&lt;&gt;"对外销售",0,ROUND(N($J727)*IF($P727="",N($O727),N($P727)),0)))</f>
        <v/>
      </c>
      <c r="R727" s="26">
        <f>IF($D727="","",IFERROR(VLOOKUP($D727,库存台账!$A$5:$Y$1204,11,0),0))</f>
        <v/>
      </c>
      <c r="S727" s="26">
        <f>IF($D727="","",ROUND(N($J727)*N($R727),0))</f>
        <v/>
      </c>
      <c r="T727" s="26">
        <f>IF($D727="","",IF($K727&lt;&gt;"对外销售","",ROUND($Q727-$S727,0)))</f>
        <v/>
      </c>
      <c r="U727" s="17" t="n"/>
      <c r="V727" s="17" t="n"/>
      <c r="W727" s="24">
        <f>IF($D727="","",IF($E727="※编码不在物料档案里","※物料编码不在档案里",IF(N($J727)&lt;=0,"※出库数量要大于 0",IF($K727="","※没填去向类型",IF($L727="","※没填去向矿区",IF(AND($C727&lt;&gt;"",$C727&lt;=结账锁),"※日期早于已结账截止日，不能再录",IF(AND($K727="自用消耗",COUNTIF({"一矿区";"二矿区"},$L727)=0),"※自用消耗的去向只能是一矿区或二矿区",IF(AND($K727="对外销售",COUNTIF({"三矿区";"六矿区"},$L727)=0),"※对外销售的去向只能是三矿区或六矿区",IF(AND($K727="对外销售",ROUND($Q727,0)=0),"※外销却没有售价，请填实际售价",IF(AND($K727="对外销售",$T727&lt;&gt;"",$T727&lt;0),"※这一笔外销是亏的，请核对售价",IF(IFERROR(VLOOKUP($D727,库存台账!$A$5:$Y$1204,24,0),0)&lt;-0.001,"※这个物料账面已经变成负数了，查一下是不是漏记入库","")))))))))))</f>
        <v/>
      </c>
    </row>
    <row r="728">
      <c r="A728" s="24">
        <f>IF($D728="","",COUNTA($D$4:$D728))</f>
        <v/>
      </c>
      <c r="B728" s="17" t="n"/>
      <c r="C728" s="30" t="n"/>
      <c r="D728" s="17" t="n"/>
      <c r="E728" s="24">
        <f>IF($D728="","",IFERROR(VLOOKUP($D728,物料档案!$A$4:$P$1203,3,0),"※编码不在物料档案里"))</f>
        <v/>
      </c>
      <c r="F728" s="24">
        <f>IF($D728="","",IFERROR(VLOOKUP($D728,物料档案!$A$4:$P$1203,4,0),"※编码不在物料档案里"))</f>
        <v/>
      </c>
      <c r="G728" s="24">
        <f>IF($D728="","",IFERROR(VLOOKUP($D728,物料档案!$A$4:$P$1203,5,0),"※编码不在物料档案里"))</f>
        <v/>
      </c>
      <c r="H728" s="24">
        <f>IF($D728="","",IFERROR(VLOOKUP($D728,物料档案!$A$4:$P$1203,2,0),"※编码不在物料档案里"))</f>
        <v/>
      </c>
      <c r="I728" s="24">
        <f>IF($D728="","",IFERROR(VLOOKUP($D728,物料档案!$A$4:$P$1203,6,0),"※编码不在物料档案里"))</f>
        <v/>
      </c>
      <c r="J728" s="23" t="n"/>
      <c r="K728" s="17" t="n"/>
      <c r="L728" s="17" t="n"/>
      <c r="M728" s="17" t="n"/>
      <c r="N728" s="17" t="n"/>
      <c r="O728" s="26">
        <f>IF($D728="","",IFERROR(VLOOKUP($D728,物料档案!$A$4:$P$1203,10,0),0))</f>
        <v/>
      </c>
      <c r="P728" s="32" t="n"/>
      <c r="Q728" s="26">
        <f>IF($D728="","",IF($K728&lt;&gt;"对外销售",0,ROUND(N($J728)*IF($P728="",N($O728),N($P728)),0)))</f>
        <v/>
      </c>
      <c r="R728" s="26">
        <f>IF($D728="","",IFERROR(VLOOKUP($D728,库存台账!$A$5:$Y$1204,11,0),0))</f>
        <v/>
      </c>
      <c r="S728" s="26">
        <f>IF($D728="","",ROUND(N($J728)*N($R728),0))</f>
        <v/>
      </c>
      <c r="T728" s="26">
        <f>IF($D728="","",IF($K728&lt;&gt;"对外销售","",ROUND($Q728-$S728,0)))</f>
        <v/>
      </c>
      <c r="U728" s="17" t="n"/>
      <c r="V728" s="17" t="n"/>
      <c r="W728" s="24">
        <f>IF($D728="","",IF($E728="※编码不在物料档案里","※物料编码不在档案里",IF(N($J728)&lt;=0,"※出库数量要大于 0",IF($K728="","※没填去向类型",IF($L728="","※没填去向矿区",IF(AND($C728&lt;&gt;"",$C728&lt;=结账锁),"※日期早于已结账截止日，不能再录",IF(AND($K728="自用消耗",COUNTIF({"一矿区";"二矿区"},$L728)=0),"※自用消耗的去向只能是一矿区或二矿区",IF(AND($K728="对外销售",COUNTIF({"三矿区";"六矿区"},$L728)=0),"※对外销售的去向只能是三矿区或六矿区",IF(AND($K728="对外销售",ROUND($Q728,0)=0),"※外销却没有售价，请填实际售价",IF(AND($K728="对外销售",$T728&lt;&gt;"",$T728&lt;0),"※这一笔外销是亏的，请核对售价",IF(IFERROR(VLOOKUP($D728,库存台账!$A$5:$Y$1204,24,0),0)&lt;-0.001,"※这个物料账面已经变成负数了，查一下是不是漏记入库","")))))))))))</f>
        <v/>
      </c>
    </row>
    <row r="729">
      <c r="A729" s="24">
        <f>IF($D729="","",COUNTA($D$4:$D729))</f>
        <v/>
      </c>
      <c r="B729" s="17" t="n"/>
      <c r="C729" s="30" t="n"/>
      <c r="D729" s="17" t="n"/>
      <c r="E729" s="24">
        <f>IF($D729="","",IFERROR(VLOOKUP($D729,物料档案!$A$4:$P$1203,3,0),"※编码不在物料档案里"))</f>
        <v/>
      </c>
      <c r="F729" s="24">
        <f>IF($D729="","",IFERROR(VLOOKUP($D729,物料档案!$A$4:$P$1203,4,0),"※编码不在物料档案里"))</f>
        <v/>
      </c>
      <c r="G729" s="24">
        <f>IF($D729="","",IFERROR(VLOOKUP($D729,物料档案!$A$4:$P$1203,5,0),"※编码不在物料档案里"))</f>
        <v/>
      </c>
      <c r="H729" s="24">
        <f>IF($D729="","",IFERROR(VLOOKUP($D729,物料档案!$A$4:$P$1203,2,0),"※编码不在物料档案里"))</f>
        <v/>
      </c>
      <c r="I729" s="24">
        <f>IF($D729="","",IFERROR(VLOOKUP($D729,物料档案!$A$4:$P$1203,6,0),"※编码不在物料档案里"))</f>
        <v/>
      </c>
      <c r="J729" s="23" t="n"/>
      <c r="K729" s="17" t="n"/>
      <c r="L729" s="17" t="n"/>
      <c r="M729" s="17" t="n"/>
      <c r="N729" s="17" t="n"/>
      <c r="O729" s="26">
        <f>IF($D729="","",IFERROR(VLOOKUP($D729,物料档案!$A$4:$P$1203,10,0),0))</f>
        <v/>
      </c>
      <c r="P729" s="32" t="n"/>
      <c r="Q729" s="26">
        <f>IF($D729="","",IF($K729&lt;&gt;"对外销售",0,ROUND(N($J729)*IF($P729="",N($O729),N($P729)),0)))</f>
        <v/>
      </c>
      <c r="R729" s="26">
        <f>IF($D729="","",IFERROR(VLOOKUP($D729,库存台账!$A$5:$Y$1204,11,0),0))</f>
        <v/>
      </c>
      <c r="S729" s="26">
        <f>IF($D729="","",ROUND(N($J729)*N($R729),0))</f>
        <v/>
      </c>
      <c r="T729" s="26">
        <f>IF($D729="","",IF($K729&lt;&gt;"对外销售","",ROUND($Q729-$S729,0)))</f>
        <v/>
      </c>
      <c r="U729" s="17" t="n"/>
      <c r="V729" s="17" t="n"/>
      <c r="W729" s="24">
        <f>IF($D729="","",IF($E729="※编码不在物料档案里","※物料编码不在档案里",IF(N($J729)&lt;=0,"※出库数量要大于 0",IF($K729="","※没填去向类型",IF($L729="","※没填去向矿区",IF(AND($C729&lt;&gt;"",$C729&lt;=结账锁),"※日期早于已结账截止日，不能再录",IF(AND($K729="自用消耗",COUNTIF({"一矿区";"二矿区"},$L729)=0),"※自用消耗的去向只能是一矿区或二矿区",IF(AND($K729="对外销售",COUNTIF({"三矿区";"六矿区"},$L729)=0),"※对外销售的去向只能是三矿区或六矿区",IF(AND($K729="对外销售",ROUND($Q729,0)=0),"※外销却没有售价，请填实际售价",IF(AND($K729="对外销售",$T729&lt;&gt;"",$T729&lt;0),"※这一笔外销是亏的，请核对售价",IF(IFERROR(VLOOKUP($D729,库存台账!$A$5:$Y$1204,24,0),0)&lt;-0.001,"※这个物料账面已经变成负数了，查一下是不是漏记入库","")))))))))))</f>
        <v/>
      </c>
    </row>
    <row r="730">
      <c r="A730" s="24">
        <f>IF($D730="","",COUNTA($D$4:$D730))</f>
        <v/>
      </c>
      <c r="B730" s="17" t="n"/>
      <c r="C730" s="30" t="n"/>
      <c r="D730" s="17" t="n"/>
      <c r="E730" s="24">
        <f>IF($D730="","",IFERROR(VLOOKUP($D730,物料档案!$A$4:$P$1203,3,0),"※编码不在物料档案里"))</f>
        <v/>
      </c>
      <c r="F730" s="24">
        <f>IF($D730="","",IFERROR(VLOOKUP($D730,物料档案!$A$4:$P$1203,4,0),"※编码不在物料档案里"))</f>
        <v/>
      </c>
      <c r="G730" s="24">
        <f>IF($D730="","",IFERROR(VLOOKUP($D730,物料档案!$A$4:$P$1203,5,0),"※编码不在物料档案里"))</f>
        <v/>
      </c>
      <c r="H730" s="24">
        <f>IF($D730="","",IFERROR(VLOOKUP($D730,物料档案!$A$4:$P$1203,2,0),"※编码不在物料档案里"))</f>
        <v/>
      </c>
      <c r="I730" s="24">
        <f>IF($D730="","",IFERROR(VLOOKUP($D730,物料档案!$A$4:$P$1203,6,0),"※编码不在物料档案里"))</f>
        <v/>
      </c>
      <c r="J730" s="23" t="n"/>
      <c r="K730" s="17" t="n"/>
      <c r="L730" s="17" t="n"/>
      <c r="M730" s="17" t="n"/>
      <c r="N730" s="17" t="n"/>
      <c r="O730" s="26">
        <f>IF($D730="","",IFERROR(VLOOKUP($D730,物料档案!$A$4:$P$1203,10,0),0))</f>
        <v/>
      </c>
      <c r="P730" s="32" t="n"/>
      <c r="Q730" s="26">
        <f>IF($D730="","",IF($K730&lt;&gt;"对外销售",0,ROUND(N($J730)*IF($P730="",N($O730),N($P730)),0)))</f>
        <v/>
      </c>
      <c r="R730" s="26">
        <f>IF($D730="","",IFERROR(VLOOKUP($D730,库存台账!$A$5:$Y$1204,11,0),0))</f>
        <v/>
      </c>
      <c r="S730" s="26">
        <f>IF($D730="","",ROUND(N($J730)*N($R730),0))</f>
        <v/>
      </c>
      <c r="T730" s="26">
        <f>IF($D730="","",IF($K730&lt;&gt;"对外销售","",ROUND($Q730-$S730,0)))</f>
        <v/>
      </c>
      <c r="U730" s="17" t="n"/>
      <c r="V730" s="17" t="n"/>
      <c r="W730" s="24">
        <f>IF($D730="","",IF($E730="※编码不在物料档案里","※物料编码不在档案里",IF(N($J730)&lt;=0,"※出库数量要大于 0",IF($K730="","※没填去向类型",IF($L730="","※没填去向矿区",IF(AND($C730&lt;&gt;"",$C730&lt;=结账锁),"※日期早于已结账截止日，不能再录",IF(AND($K730="自用消耗",COUNTIF({"一矿区";"二矿区"},$L730)=0),"※自用消耗的去向只能是一矿区或二矿区",IF(AND($K730="对外销售",COUNTIF({"三矿区";"六矿区"},$L730)=0),"※对外销售的去向只能是三矿区或六矿区",IF(AND($K730="对外销售",ROUND($Q730,0)=0),"※外销却没有售价，请填实际售价",IF(AND($K730="对外销售",$T730&lt;&gt;"",$T730&lt;0),"※这一笔外销是亏的，请核对售价",IF(IFERROR(VLOOKUP($D730,库存台账!$A$5:$Y$1204,24,0),0)&lt;-0.001,"※这个物料账面已经变成负数了，查一下是不是漏记入库","")))))))))))</f>
        <v/>
      </c>
    </row>
    <row r="731">
      <c r="A731" s="24">
        <f>IF($D731="","",COUNTA($D$4:$D731))</f>
        <v/>
      </c>
      <c r="B731" s="17" t="n"/>
      <c r="C731" s="30" t="n"/>
      <c r="D731" s="17" t="n"/>
      <c r="E731" s="24">
        <f>IF($D731="","",IFERROR(VLOOKUP($D731,物料档案!$A$4:$P$1203,3,0),"※编码不在物料档案里"))</f>
        <v/>
      </c>
      <c r="F731" s="24">
        <f>IF($D731="","",IFERROR(VLOOKUP($D731,物料档案!$A$4:$P$1203,4,0),"※编码不在物料档案里"))</f>
        <v/>
      </c>
      <c r="G731" s="24">
        <f>IF($D731="","",IFERROR(VLOOKUP($D731,物料档案!$A$4:$P$1203,5,0),"※编码不在物料档案里"))</f>
        <v/>
      </c>
      <c r="H731" s="24">
        <f>IF($D731="","",IFERROR(VLOOKUP($D731,物料档案!$A$4:$P$1203,2,0),"※编码不在物料档案里"))</f>
        <v/>
      </c>
      <c r="I731" s="24">
        <f>IF($D731="","",IFERROR(VLOOKUP($D731,物料档案!$A$4:$P$1203,6,0),"※编码不在物料档案里"))</f>
        <v/>
      </c>
      <c r="J731" s="23" t="n"/>
      <c r="K731" s="17" t="n"/>
      <c r="L731" s="17" t="n"/>
      <c r="M731" s="17" t="n"/>
      <c r="N731" s="17" t="n"/>
      <c r="O731" s="26">
        <f>IF($D731="","",IFERROR(VLOOKUP($D731,物料档案!$A$4:$P$1203,10,0),0))</f>
        <v/>
      </c>
      <c r="P731" s="32" t="n"/>
      <c r="Q731" s="26">
        <f>IF($D731="","",IF($K731&lt;&gt;"对外销售",0,ROUND(N($J731)*IF($P731="",N($O731),N($P731)),0)))</f>
        <v/>
      </c>
      <c r="R731" s="26">
        <f>IF($D731="","",IFERROR(VLOOKUP($D731,库存台账!$A$5:$Y$1204,11,0),0))</f>
        <v/>
      </c>
      <c r="S731" s="26">
        <f>IF($D731="","",ROUND(N($J731)*N($R731),0))</f>
        <v/>
      </c>
      <c r="T731" s="26">
        <f>IF($D731="","",IF($K731&lt;&gt;"对外销售","",ROUND($Q731-$S731,0)))</f>
        <v/>
      </c>
      <c r="U731" s="17" t="n"/>
      <c r="V731" s="17" t="n"/>
      <c r="W731" s="24">
        <f>IF($D731="","",IF($E731="※编码不在物料档案里","※物料编码不在档案里",IF(N($J731)&lt;=0,"※出库数量要大于 0",IF($K731="","※没填去向类型",IF($L731="","※没填去向矿区",IF(AND($C731&lt;&gt;"",$C731&lt;=结账锁),"※日期早于已结账截止日，不能再录",IF(AND($K731="自用消耗",COUNTIF({"一矿区";"二矿区"},$L731)=0),"※自用消耗的去向只能是一矿区或二矿区",IF(AND($K731="对外销售",COUNTIF({"三矿区";"六矿区"},$L731)=0),"※对外销售的去向只能是三矿区或六矿区",IF(AND($K731="对外销售",ROUND($Q731,0)=0),"※外销却没有售价，请填实际售价",IF(AND($K731="对外销售",$T731&lt;&gt;"",$T731&lt;0),"※这一笔外销是亏的，请核对售价",IF(IFERROR(VLOOKUP($D731,库存台账!$A$5:$Y$1204,24,0),0)&lt;-0.001,"※这个物料账面已经变成负数了，查一下是不是漏记入库","")))))))))))</f>
        <v/>
      </c>
    </row>
    <row r="732">
      <c r="A732" s="24">
        <f>IF($D732="","",COUNTA($D$4:$D732))</f>
        <v/>
      </c>
      <c r="B732" s="17" t="n"/>
      <c r="C732" s="30" t="n"/>
      <c r="D732" s="17" t="n"/>
      <c r="E732" s="24">
        <f>IF($D732="","",IFERROR(VLOOKUP($D732,物料档案!$A$4:$P$1203,3,0),"※编码不在物料档案里"))</f>
        <v/>
      </c>
      <c r="F732" s="24">
        <f>IF($D732="","",IFERROR(VLOOKUP($D732,物料档案!$A$4:$P$1203,4,0),"※编码不在物料档案里"))</f>
        <v/>
      </c>
      <c r="G732" s="24">
        <f>IF($D732="","",IFERROR(VLOOKUP($D732,物料档案!$A$4:$P$1203,5,0),"※编码不在物料档案里"))</f>
        <v/>
      </c>
      <c r="H732" s="24">
        <f>IF($D732="","",IFERROR(VLOOKUP($D732,物料档案!$A$4:$P$1203,2,0),"※编码不在物料档案里"))</f>
        <v/>
      </c>
      <c r="I732" s="24">
        <f>IF($D732="","",IFERROR(VLOOKUP($D732,物料档案!$A$4:$P$1203,6,0),"※编码不在物料档案里"))</f>
        <v/>
      </c>
      <c r="J732" s="23" t="n"/>
      <c r="K732" s="17" t="n"/>
      <c r="L732" s="17" t="n"/>
      <c r="M732" s="17" t="n"/>
      <c r="N732" s="17" t="n"/>
      <c r="O732" s="26">
        <f>IF($D732="","",IFERROR(VLOOKUP($D732,物料档案!$A$4:$P$1203,10,0),0))</f>
        <v/>
      </c>
      <c r="P732" s="32" t="n"/>
      <c r="Q732" s="26">
        <f>IF($D732="","",IF($K732&lt;&gt;"对外销售",0,ROUND(N($J732)*IF($P732="",N($O732),N($P732)),0)))</f>
        <v/>
      </c>
      <c r="R732" s="26">
        <f>IF($D732="","",IFERROR(VLOOKUP($D732,库存台账!$A$5:$Y$1204,11,0),0))</f>
        <v/>
      </c>
      <c r="S732" s="26">
        <f>IF($D732="","",ROUND(N($J732)*N($R732),0))</f>
        <v/>
      </c>
      <c r="T732" s="26">
        <f>IF($D732="","",IF($K732&lt;&gt;"对外销售","",ROUND($Q732-$S732,0)))</f>
        <v/>
      </c>
      <c r="U732" s="17" t="n"/>
      <c r="V732" s="17" t="n"/>
      <c r="W732" s="24">
        <f>IF($D732="","",IF($E732="※编码不在物料档案里","※物料编码不在档案里",IF(N($J732)&lt;=0,"※出库数量要大于 0",IF($K732="","※没填去向类型",IF($L732="","※没填去向矿区",IF(AND($C732&lt;&gt;"",$C732&lt;=结账锁),"※日期早于已结账截止日，不能再录",IF(AND($K732="自用消耗",COUNTIF({"一矿区";"二矿区"},$L732)=0),"※自用消耗的去向只能是一矿区或二矿区",IF(AND($K732="对外销售",COUNTIF({"三矿区";"六矿区"},$L732)=0),"※对外销售的去向只能是三矿区或六矿区",IF(AND($K732="对外销售",ROUND($Q732,0)=0),"※外销却没有售价，请填实际售价",IF(AND($K732="对外销售",$T732&lt;&gt;"",$T732&lt;0),"※这一笔外销是亏的，请核对售价",IF(IFERROR(VLOOKUP($D732,库存台账!$A$5:$Y$1204,24,0),0)&lt;-0.001,"※这个物料账面已经变成负数了，查一下是不是漏记入库","")))))))))))</f>
        <v/>
      </c>
    </row>
    <row r="733">
      <c r="A733" s="24">
        <f>IF($D733="","",COUNTA($D$4:$D733))</f>
        <v/>
      </c>
      <c r="B733" s="17" t="n"/>
      <c r="C733" s="30" t="n"/>
      <c r="D733" s="17" t="n"/>
      <c r="E733" s="24">
        <f>IF($D733="","",IFERROR(VLOOKUP($D733,物料档案!$A$4:$P$1203,3,0),"※编码不在物料档案里"))</f>
        <v/>
      </c>
      <c r="F733" s="24">
        <f>IF($D733="","",IFERROR(VLOOKUP($D733,物料档案!$A$4:$P$1203,4,0),"※编码不在物料档案里"))</f>
        <v/>
      </c>
      <c r="G733" s="24">
        <f>IF($D733="","",IFERROR(VLOOKUP($D733,物料档案!$A$4:$P$1203,5,0),"※编码不在物料档案里"))</f>
        <v/>
      </c>
      <c r="H733" s="24">
        <f>IF($D733="","",IFERROR(VLOOKUP($D733,物料档案!$A$4:$P$1203,2,0),"※编码不在物料档案里"))</f>
        <v/>
      </c>
      <c r="I733" s="24">
        <f>IF($D733="","",IFERROR(VLOOKUP($D733,物料档案!$A$4:$P$1203,6,0),"※编码不在物料档案里"))</f>
        <v/>
      </c>
      <c r="J733" s="23" t="n"/>
      <c r="K733" s="17" t="n"/>
      <c r="L733" s="17" t="n"/>
      <c r="M733" s="17" t="n"/>
      <c r="N733" s="17" t="n"/>
      <c r="O733" s="26">
        <f>IF($D733="","",IFERROR(VLOOKUP($D733,物料档案!$A$4:$P$1203,10,0),0))</f>
        <v/>
      </c>
      <c r="P733" s="32" t="n"/>
      <c r="Q733" s="26">
        <f>IF($D733="","",IF($K733&lt;&gt;"对外销售",0,ROUND(N($J733)*IF($P733="",N($O733),N($P733)),0)))</f>
        <v/>
      </c>
      <c r="R733" s="26">
        <f>IF($D733="","",IFERROR(VLOOKUP($D733,库存台账!$A$5:$Y$1204,11,0),0))</f>
        <v/>
      </c>
      <c r="S733" s="26">
        <f>IF($D733="","",ROUND(N($J733)*N($R733),0))</f>
        <v/>
      </c>
      <c r="T733" s="26">
        <f>IF($D733="","",IF($K733&lt;&gt;"对外销售","",ROUND($Q733-$S733,0)))</f>
        <v/>
      </c>
      <c r="U733" s="17" t="n"/>
      <c r="V733" s="17" t="n"/>
      <c r="W733" s="24">
        <f>IF($D733="","",IF($E733="※编码不在物料档案里","※物料编码不在档案里",IF(N($J733)&lt;=0,"※出库数量要大于 0",IF($K733="","※没填去向类型",IF($L733="","※没填去向矿区",IF(AND($C733&lt;&gt;"",$C733&lt;=结账锁),"※日期早于已结账截止日，不能再录",IF(AND($K733="自用消耗",COUNTIF({"一矿区";"二矿区"},$L733)=0),"※自用消耗的去向只能是一矿区或二矿区",IF(AND($K733="对外销售",COUNTIF({"三矿区";"六矿区"},$L733)=0),"※对外销售的去向只能是三矿区或六矿区",IF(AND($K733="对外销售",ROUND($Q733,0)=0),"※外销却没有售价，请填实际售价",IF(AND($K733="对外销售",$T733&lt;&gt;"",$T733&lt;0),"※这一笔外销是亏的，请核对售价",IF(IFERROR(VLOOKUP($D733,库存台账!$A$5:$Y$1204,24,0),0)&lt;-0.001,"※这个物料账面已经变成负数了，查一下是不是漏记入库","")))))))))))</f>
        <v/>
      </c>
    </row>
    <row r="734">
      <c r="A734" s="24">
        <f>IF($D734="","",COUNTA($D$4:$D734))</f>
        <v/>
      </c>
      <c r="B734" s="17" t="n"/>
      <c r="C734" s="30" t="n"/>
      <c r="D734" s="17" t="n"/>
      <c r="E734" s="24">
        <f>IF($D734="","",IFERROR(VLOOKUP($D734,物料档案!$A$4:$P$1203,3,0),"※编码不在物料档案里"))</f>
        <v/>
      </c>
      <c r="F734" s="24">
        <f>IF($D734="","",IFERROR(VLOOKUP($D734,物料档案!$A$4:$P$1203,4,0),"※编码不在物料档案里"))</f>
        <v/>
      </c>
      <c r="G734" s="24">
        <f>IF($D734="","",IFERROR(VLOOKUP($D734,物料档案!$A$4:$P$1203,5,0),"※编码不在物料档案里"))</f>
        <v/>
      </c>
      <c r="H734" s="24">
        <f>IF($D734="","",IFERROR(VLOOKUP($D734,物料档案!$A$4:$P$1203,2,0),"※编码不在物料档案里"))</f>
        <v/>
      </c>
      <c r="I734" s="24">
        <f>IF($D734="","",IFERROR(VLOOKUP($D734,物料档案!$A$4:$P$1203,6,0),"※编码不在物料档案里"))</f>
        <v/>
      </c>
      <c r="J734" s="23" t="n"/>
      <c r="K734" s="17" t="n"/>
      <c r="L734" s="17" t="n"/>
      <c r="M734" s="17" t="n"/>
      <c r="N734" s="17" t="n"/>
      <c r="O734" s="26">
        <f>IF($D734="","",IFERROR(VLOOKUP($D734,物料档案!$A$4:$P$1203,10,0),0))</f>
        <v/>
      </c>
      <c r="P734" s="32" t="n"/>
      <c r="Q734" s="26">
        <f>IF($D734="","",IF($K734&lt;&gt;"对外销售",0,ROUND(N($J734)*IF($P734="",N($O734),N($P734)),0)))</f>
        <v/>
      </c>
      <c r="R734" s="26">
        <f>IF($D734="","",IFERROR(VLOOKUP($D734,库存台账!$A$5:$Y$1204,11,0),0))</f>
        <v/>
      </c>
      <c r="S734" s="26">
        <f>IF($D734="","",ROUND(N($J734)*N($R734),0))</f>
        <v/>
      </c>
      <c r="T734" s="26">
        <f>IF($D734="","",IF($K734&lt;&gt;"对外销售","",ROUND($Q734-$S734,0)))</f>
        <v/>
      </c>
      <c r="U734" s="17" t="n"/>
      <c r="V734" s="17" t="n"/>
      <c r="W734" s="24">
        <f>IF($D734="","",IF($E734="※编码不在物料档案里","※物料编码不在档案里",IF(N($J734)&lt;=0,"※出库数量要大于 0",IF($K734="","※没填去向类型",IF($L734="","※没填去向矿区",IF(AND($C734&lt;&gt;"",$C734&lt;=结账锁),"※日期早于已结账截止日，不能再录",IF(AND($K734="自用消耗",COUNTIF({"一矿区";"二矿区"},$L734)=0),"※自用消耗的去向只能是一矿区或二矿区",IF(AND($K734="对外销售",COUNTIF({"三矿区";"六矿区"},$L734)=0),"※对外销售的去向只能是三矿区或六矿区",IF(AND($K734="对外销售",ROUND($Q734,0)=0),"※外销却没有售价，请填实际售价",IF(AND($K734="对外销售",$T734&lt;&gt;"",$T734&lt;0),"※这一笔外销是亏的，请核对售价",IF(IFERROR(VLOOKUP($D734,库存台账!$A$5:$Y$1204,24,0),0)&lt;-0.001,"※这个物料账面已经变成负数了，查一下是不是漏记入库","")))))))))))</f>
        <v/>
      </c>
    </row>
    <row r="735">
      <c r="A735" s="24">
        <f>IF($D735="","",COUNTA($D$4:$D735))</f>
        <v/>
      </c>
      <c r="B735" s="17" t="n"/>
      <c r="C735" s="30" t="n"/>
      <c r="D735" s="17" t="n"/>
      <c r="E735" s="24">
        <f>IF($D735="","",IFERROR(VLOOKUP($D735,物料档案!$A$4:$P$1203,3,0),"※编码不在物料档案里"))</f>
        <v/>
      </c>
      <c r="F735" s="24">
        <f>IF($D735="","",IFERROR(VLOOKUP($D735,物料档案!$A$4:$P$1203,4,0),"※编码不在物料档案里"))</f>
        <v/>
      </c>
      <c r="G735" s="24">
        <f>IF($D735="","",IFERROR(VLOOKUP($D735,物料档案!$A$4:$P$1203,5,0),"※编码不在物料档案里"))</f>
        <v/>
      </c>
      <c r="H735" s="24">
        <f>IF($D735="","",IFERROR(VLOOKUP($D735,物料档案!$A$4:$P$1203,2,0),"※编码不在物料档案里"))</f>
        <v/>
      </c>
      <c r="I735" s="24">
        <f>IF($D735="","",IFERROR(VLOOKUP($D735,物料档案!$A$4:$P$1203,6,0),"※编码不在物料档案里"))</f>
        <v/>
      </c>
      <c r="J735" s="23" t="n"/>
      <c r="K735" s="17" t="n"/>
      <c r="L735" s="17" t="n"/>
      <c r="M735" s="17" t="n"/>
      <c r="N735" s="17" t="n"/>
      <c r="O735" s="26">
        <f>IF($D735="","",IFERROR(VLOOKUP($D735,物料档案!$A$4:$P$1203,10,0),0))</f>
        <v/>
      </c>
      <c r="P735" s="32" t="n"/>
      <c r="Q735" s="26">
        <f>IF($D735="","",IF($K735&lt;&gt;"对外销售",0,ROUND(N($J735)*IF($P735="",N($O735),N($P735)),0)))</f>
        <v/>
      </c>
      <c r="R735" s="26">
        <f>IF($D735="","",IFERROR(VLOOKUP($D735,库存台账!$A$5:$Y$1204,11,0),0))</f>
        <v/>
      </c>
      <c r="S735" s="26">
        <f>IF($D735="","",ROUND(N($J735)*N($R735),0))</f>
        <v/>
      </c>
      <c r="T735" s="26">
        <f>IF($D735="","",IF($K735&lt;&gt;"对外销售","",ROUND($Q735-$S735,0)))</f>
        <v/>
      </c>
      <c r="U735" s="17" t="n"/>
      <c r="V735" s="17" t="n"/>
      <c r="W735" s="24">
        <f>IF($D735="","",IF($E735="※编码不在物料档案里","※物料编码不在档案里",IF(N($J735)&lt;=0,"※出库数量要大于 0",IF($K735="","※没填去向类型",IF($L735="","※没填去向矿区",IF(AND($C735&lt;&gt;"",$C735&lt;=结账锁),"※日期早于已结账截止日，不能再录",IF(AND($K735="自用消耗",COUNTIF({"一矿区";"二矿区"},$L735)=0),"※自用消耗的去向只能是一矿区或二矿区",IF(AND($K735="对外销售",COUNTIF({"三矿区";"六矿区"},$L735)=0),"※对外销售的去向只能是三矿区或六矿区",IF(AND($K735="对外销售",ROUND($Q735,0)=0),"※外销却没有售价，请填实际售价",IF(AND($K735="对外销售",$T735&lt;&gt;"",$T735&lt;0),"※这一笔外销是亏的，请核对售价",IF(IFERROR(VLOOKUP($D735,库存台账!$A$5:$Y$1204,24,0),0)&lt;-0.001,"※这个物料账面已经变成负数了，查一下是不是漏记入库","")))))))))))</f>
        <v/>
      </c>
    </row>
    <row r="736">
      <c r="A736" s="24">
        <f>IF($D736="","",COUNTA($D$4:$D736))</f>
        <v/>
      </c>
      <c r="B736" s="17" t="n"/>
      <c r="C736" s="30" t="n"/>
      <c r="D736" s="17" t="n"/>
      <c r="E736" s="24">
        <f>IF($D736="","",IFERROR(VLOOKUP($D736,物料档案!$A$4:$P$1203,3,0),"※编码不在物料档案里"))</f>
        <v/>
      </c>
      <c r="F736" s="24">
        <f>IF($D736="","",IFERROR(VLOOKUP($D736,物料档案!$A$4:$P$1203,4,0),"※编码不在物料档案里"))</f>
        <v/>
      </c>
      <c r="G736" s="24">
        <f>IF($D736="","",IFERROR(VLOOKUP($D736,物料档案!$A$4:$P$1203,5,0),"※编码不在物料档案里"))</f>
        <v/>
      </c>
      <c r="H736" s="24">
        <f>IF($D736="","",IFERROR(VLOOKUP($D736,物料档案!$A$4:$P$1203,2,0),"※编码不在物料档案里"))</f>
        <v/>
      </c>
      <c r="I736" s="24">
        <f>IF($D736="","",IFERROR(VLOOKUP($D736,物料档案!$A$4:$P$1203,6,0),"※编码不在物料档案里"))</f>
        <v/>
      </c>
      <c r="J736" s="23" t="n"/>
      <c r="K736" s="17" t="n"/>
      <c r="L736" s="17" t="n"/>
      <c r="M736" s="17" t="n"/>
      <c r="N736" s="17" t="n"/>
      <c r="O736" s="26">
        <f>IF($D736="","",IFERROR(VLOOKUP($D736,物料档案!$A$4:$P$1203,10,0),0))</f>
        <v/>
      </c>
      <c r="P736" s="32" t="n"/>
      <c r="Q736" s="26">
        <f>IF($D736="","",IF($K736&lt;&gt;"对外销售",0,ROUND(N($J736)*IF($P736="",N($O736),N($P736)),0)))</f>
        <v/>
      </c>
      <c r="R736" s="26">
        <f>IF($D736="","",IFERROR(VLOOKUP($D736,库存台账!$A$5:$Y$1204,11,0),0))</f>
        <v/>
      </c>
      <c r="S736" s="26">
        <f>IF($D736="","",ROUND(N($J736)*N($R736),0))</f>
        <v/>
      </c>
      <c r="T736" s="26">
        <f>IF($D736="","",IF($K736&lt;&gt;"对外销售","",ROUND($Q736-$S736,0)))</f>
        <v/>
      </c>
      <c r="U736" s="17" t="n"/>
      <c r="V736" s="17" t="n"/>
      <c r="W736" s="24">
        <f>IF($D736="","",IF($E736="※编码不在物料档案里","※物料编码不在档案里",IF(N($J736)&lt;=0,"※出库数量要大于 0",IF($K736="","※没填去向类型",IF($L736="","※没填去向矿区",IF(AND($C736&lt;&gt;"",$C736&lt;=结账锁),"※日期早于已结账截止日，不能再录",IF(AND($K736="自用消耗",COUNTIF({"一矿区";"二矿区"},$L736)=0),"※自用消耗的去向只能是一矿区或二矿区",IF(AND($K736="对外销售",COUNTIF({"三矿区";"六矿区"},$L736)=0),"※对外销售的去向只能是三矿区或六矿区",IF(AND($K736="对外销售",ROUND($Q736,0)=0),"※外销却没有售价，请填实际售价",IF(AND($K736="对外销售",$T736&lt;&gt;"",$T736&lt;0),"※这一笔外销是亏的，请核对售价",IF(IFERROR(VLOOKUP($D736,库存台账!$A$5:$Y$1204,24,0),0)&lt;-0.001,"※这个物料账面已经变成负数了，查一下是不是漏记入库","")))))))))))</f>
        <v/>
      </c>
    </row>
    <row r="737">
      <c r="A737" s="24">
        <f>IF($D737="","",COUNTA($D$4:$D737))</f>
        <v/>
      </c>
      <c r="B737" s="17" t="n"/>
      <c r="C737" s="30" t="n"/>
      <c r="D737" s="17" t="n"/>
      <c r="E737" s="24">
        <f>IF($D737="","",IFERROR(VLOOKUP($D737,物料档案!$A$4:$P$1203,3,0),"※编码不在物料档案里"))</f>
        <v/>
      </c>
      <c r="F737" s="24">
        <f>IF($D737="","",IFERROR(VLOOKUP($D737,物料档案!$A$4:$P$1203,4,0),"※编码不在物料档案里"))</f>
        <v/>
      </c>
      <c r="G737" s="24">
        <f>IF($D737="","",IFERROR(VLOOKUP($D737,物料档案!$A$4:$P$1203,5,0),"※编码不在物料档案里"))</f>
        <v/>
      </c>
      <c r="H737" s="24">
        <f>IF($D737="","",IFERROR(VLOOKUP($D737,物料档案!$A$4:$P$1203,2,0),"※编码不在物料档案里"))</f>
        <v/>
      </c>
      <c r="I737" s="24">
        <f>IF($D737="","",IFERROR(VLOOKUP($D737,物料档案!$A$4:$P$1203,6,0),"※编码不在物料档案里"))</f>
        <v/>
      </c>
      <c r="J737" s="23" t="n"/>
      <c r="K737" s="17" t="n"/>
      <c r="L737" s="17" t="n"/>
      <c r="M737" s="17" t="n"/>
      <c r="N737" s="17" t="n"/>
      <c r="O737" s="26">
        <f>IF($D737="","",IFERROR(VLOOKUP($D737,物料档案!$A$4:$P$1203,10,0),0))</f>
        <v/>
      </c>
      <c r="P737" s="32" t="n"/>
      <c r="Q737" s="26">
        <f>IF($D737="","",IF($K737&lt;&gt;"对外销售",0,ROUND(N($J737)*IF($P737="",N($O737),N($P737)),0)))</f>
        <v/>
      </c>
      <c r="R737" s="26">
        <f>IF($D737="","",IFERROR(VLOOKUP($D737,库存台账!$A$5:$Y$1204,11,0),0))</f>
        <v/>
      </c>
      <c r="S737" s="26">
        <f>IF($D737="","",ROUND(N($J737)*N($R737),0))</f>
        <v/>
      </c>
      <c r="T737" s="26">
        <f>IF($D737="","",IF($K737&lt;&gt;"对外销售","",ROUND($Q737-$S737,0)))</f>
        <v/>
      </c>
      <c r="U737" s="17" t="n"/>
      <c r="V737" s="17" t="n"/>
      <c r="W737" s="24">
        <f>IF($D737="","",IF($E737="※编码不在物料档案里","※物料编码不在档案里",IF(N($J737)&lt;=0,"※出库数量要大于 0",IF($K737="","※没填去向类型",IF($L737="","※没填去向矿区",IF(AND($C737&lt;&gt;"",$C737&lt;=结账锁),"※日期早于已结账截止日，不能再录",IF(AND($K737="自用消耗",COUNTIF({"一矿区";"二矿区"},$L737)=0),"※自用消耗的去向只能是一矿区或二矿区",IF(AND($K737="对外销售",COUNTIF({"三矿区";"六矿区"},$L737)=0),"※对外销售的去向只能是三矿区或六矿区",IF(AND($K737="对外销售",ROUND($Q737,0)=0),"※外销却没有售价，请填实际售价",IF(AND($K737="对外销售",$T737&lt;&gt;"",$T737&lt;0),"※这一笔外销是亏的，请核对售价",IF(IFERROR(VLOOKUP($D737,库存台账!$A$5:$Y$1204,24,0),0)&lt;-0.001,"※这个物料账面已经变成负数了，查一下是不是漏记入库","")))))))))))</f>
        <v/>
      </c>
    </row>
    <row r="738">
      <c r="A738" s="24">
        <f>IF($D738="","",COUNTA($D$4:$D738))</f>
        <v/>
      </c>
      <c r="B738" s="17" t="n"/>
      <c r="C738" s="30" t="n"/>
      <c r="D738" s="17" t="n"/>
      <c r="E738" s="24">
        <f>IF($D738="","",IFERROR(VLOOKUP($D738,物料档案!$A$4:$P$1203,3,0),"※编码不在物料档案里"))</f>
        <v/>
      </c>
      <c r="F738" s="24">
        <f>IF($D738="","",IFERROR(VLOOKUP($D738,物料档案!$A$4:$P$1203,4,0),"※编码不在物料档案里"))</f>
        <v/>
      </c>
      <c r="G738" s="24">
        <f>IF($D738="","",IFERROR(VLOOKUP($D738,物料档案!$A$4:$P$1203,5,0),"※编码不在物料档案里"))</f>
        <v/>
      </c>
      <c r="H738" s="24">
        <f>IF($D738="","",IFERROR(VLOOKUP($D738,物料档案!$A$4:$P$1203,2,0),"※编码不在物料档案里"))</f>
        <v/>
      </c>
      <c r="I738" s="24">
        <f>IF($D738="","",IFERROR(VLOOKUP($D738,物料档案!$A$4:$P$1203,6,0),"※编码不在物料档案里"))</f>
        <v/>
      </c>
      <c r="J738" s="23" t="n"/>
      <c r="K738" s="17" t="n"/>
      <c r="L738" s="17" t="n"/>
      <c r="M738" s="17" t="n"/>
      <c r="N738" s="17" t="n"/>
      <c r="O738" s="26">
        <f>IF($D738="","",IFERROR(VLOOKUP($D738,物料档案!$A$4:$P$1203,10,0),0))</f>
        <v/>
      </c>
      <c r="P738" s="32" t="n"/>
      <c r="Q738" s="26">
        <f>IF($D738="","",IF($K738&lt;&gt;"对外销售",0,ROUND(N($J738)*IF($P738="",N($O738),N($P738)),0)))</f>
        <v/>
      </c>
      <c r="R738" s="26">
        <f>IF($D738="","",IFERROR(VLOOKUP($D738,库存台账!$A$5:$Y$1204,11,0),0))</f>
        <v/>
      </c>
      <c r="S738" s="26">
        <f>IF($D738="","",ROUND(N($J738)*N($R738),0))</f>
        <v/>
      </c>
      <c r="T738" s="26">
        <f>IF($D738="","",IF($K738&lt;&gt;"对外销售","",ROUND($Q738-$S738,0)))</f>
        <v/>
      </c>
      <c r="U738" s="17" t="n"/>
      <c r="V738" s="17" t="n"/>
      <c r="W738" s="24">
        <f>IF($D738="","",IF($E738="※编码不在物料档案里","※物料编码不在档案里",IF(N($J738)&lt;=0,"※出库数量要大于 0",IF($K738="","※没填去向类型",IF($L738="","※没填去向矿区",IF(AND($C738&lt;&gt;"",$C738&lt;=结账锁),"※日期早于已结账截止日，不能再录",IF(AND($K738="自用消耗",COUNTIF({"一矿区";"二矿区"},$L738)=0),"※自用消耗的去向只能是一矿区或二矿区",IF(AND($K738="对外销售",COUNTIF({"三矿区";"六矿区"},$L738)=0),"※对外销售的去向只能是三矿区或六矿区",IF(AND($K738="对外销售",ROUND($Q738,0)=0),"※外销却没有售价，请填实际售价",IF(AND($K738="对外销售",$T738&lt;&gt;"",$T738&lt;0),"※这一笔外销是亏的，请核对售价",IF(IFERROR(VLOOKUP($D738,库存台账!$A$5:$Y$1204,24,0),0)&lt;-0.001,"※这个物料账面已经变成负数了，查一下是不是漏记入库","")))))))))))</f>
        <v/>
      </c>
    </row>
    <row r="739">
      <c r="A739" s="24">
        <f>IF($D739="","",COUNTA($D$4:$D739))</f>
        <v/>
      </c>
      <c r="B739" s="17" t="n"/>
      <c r="C739" s="30" t="n"/>
      <c r="D739" s="17" t="n"/>
      <c r="E739" s="24">
        <f>IF($D739="","",IFERROR(VLOOKUP($D739,物料档案!$A$4:$P$1203,3,0),"※编码不在物料档案里"))</f>
        <v/>
      </c>
      <c r="F739" s="24">
        <f>IF($D739="","",IFERROR(VLOOKUP($D739,物料档案!$A$4:$P$1203,4,0),"※编码不在物料档案里"))</f>
        <v/>
      </c>
      <c r="G739" s="24">
        <f>IF($D739="","",IFERROR(VLOOKUP($D739,物料档案!$A$4:$P$1203,5,0),"※编码不在物料档案里"))</f>
        <v/>
      </c>
      <c r="H739" s="24">
        <f>IF($D739="","",IFERROR(VLOOKUP($D739,物料档案!$A$4:$P$1203,2,0),"※编码不在物料档案里"))</f>
        <v/>
      </c>
      <c r="I739" s="24">
        <f>IF($D739="","",IFERROR(VLOOKUP($D739,物料档案!$A$4:$P$1203,6,0),"※编码不在物料档案里"))</f>
        <v/>
      </c>
      <c r="J739" s="23" t="n"/>
      <c r="K739" s="17" t="n"/>
      <c r="L739" s="17" t="n"/>
      <c r="M739" s="17" t="n"/>
      <c r="N739" s="17" t="n"/>
      <c r="O739" s="26">
        <f>IF($D739="","",IFERROR(VLOOKUP($D739,物料档案!$A$4:$P$1203,10,0),0))</f>
        <v/>
      </c>
      <c r="P739" s="32" t="n"/>
      <c r="Q739" s="26">
        <f>IF($D739="","",IF($K739&lt;&gt;"对外销售",0,ROUND(N($J739)*IF($P739="",N($O739),N($P739)),0)))</f>
        <v/>
      </c>
      <c r="R739" s="26">
        <f>IF($D739="","",IFERROR(VLOOKUP($D739,库存台账!$A$5:$Y$1204,11,0),0))</f>
        <v/>
      </c>
      <c r="S739" s="26">
        <f>IF($D739="","",ROUND(N($J739)*N($R739),0))</f>
        <v/>
      </c>
      <c r="T739" s="26">
        <f>IF($D739="","",IF($K739&lt;&gt;"对外销售","",ROUND($Q739-$S739,0)))</f>
        <v/>
      </c>
      <c r="U739" s="17" t="n"/>
      <c r="V739" s="17" t="n"/>
      <c r="W739" s="24">
        <f>IF($D739="","",IF($E739="※编码不在物料档案里","※物料编码不在档案里",IF(N($J739)&lt;=0,"※出库数量要大于 0",IF($K739="","※没填去向类型",IF($L739="","※没填去向矿区",IF(AND($C739&lt;&gt;"",$C739&lt;=结账锁),"※日期早于已结账截止日，不能再录",IF(AND($K739="自用消耗",COUNTIF({"一矿区";"二矿区"},$L739)=0),"※自用消耗的去向只能是一矿区或二矿区",IF(AND($K739="对外销售",COUNTIF({"三矿区";"六矿区"},$L739)=0),"※对外销售的去向只能是三矿区或六矿区",IF(AND($K739="对外销售",ROUND($Q739,0)=0),"※外销却没有售价，请填实际售价",IF(AND($K739="对外销售",$T739&lt;&gt;"",$T739&lt;0),"※这一笔外销是亏的，请核对售价",IF(IFERROR(VLOOKUP($D739,库存台账!$A$5:$Y$1204,24,0),0)&lt;-0.001,"※这个物料账面已经变成负数了，查一下是不是漏记入库","")))))))))))</f>
        <v/>
      </c>
    </row>
    <row r="740">
      <c r="A740" s="24">
        <f>IF($D740="","",COUNTA($D$4:$D740))</f>
        <v/>
      </c>
      <c r="B740" s="17" t="n"/>
      <c r="C740" s="30" t="n"/>
      <c r="D740" s="17" t="n"/>
      <c r="E740" s="24">
        <f>IF($D740="","",IFERROR(VLOOKUP($D740,物料档案!$A$4:$P$1203,3,0),"※编码不在物料档案里"))</f>
        <v/>
      </c>
      <c r="F740" s="24">
        <f>IF($D740="","",IFERROR(VLOOKUP($D740,物料档案!$A$4:$P$1203,4,0),"※编码不在物料档案里"))</f>
        <v/>
      </c>
      <c r="G740" s="24">
        <f>IF($D740="","",IFERROR(VLOOKUP($D740,物料档案!$A$4:$P$1203,5,0),"※编码不在物料档案里"))</f>
        <v/>
      </c>
      <c r="H740" s="24">
        <f>IF($D740="","",IFERROR(VLOOKUP($D740,物料档案!$A$4:$P$1203,2,0),"※编码不在物料档案里"))</f>
        <v/>
      </c>
      <c r="I740" s="24">
        <f>IF($D740="","",IFERROR(VLOOKUP($D740,物料档案!$A$4:$P$1203,6,0),"※编码不在物料档案里"))</f>
        <v/>
      </c>
      <c r="J740" s="23" t="n"/>
      <c r="K740" s="17" t="n"/>
      <c r="L740" s="17" t="n"/>
      <c r="M740" s="17" t="n"/>
      <c r="N740" s="17" t="n"/>
      <c r="O740" s="26">
        <f>IF($D740="","",IFERROR(VLOOKUP($D740,物料档案!$A$4:$P$1203,10,0),0))</f>
        <v/>
      </c>
      <c r="P740" s="32" t="n"/>
      <c r="Q740" s="26">
        <f>IF($D740="","",IF($K740&lt;&gt;"对外销售",0,ROUND(N($J740)*IF($P740="",N($O740),N($P740)),0)))</f>
        <v/>
      </c>
      <c r="R740" s="26">
        <f>IF($D740="","",IFERROR(VLOOKUP($D740,库存台账!$A$5:$Y$1204,11,0),0))</f>
        <v/>
      </c>
      <c r="S740" s="26">
        <f>IF($D740="","",ROUND(N($J740)*N($R740),0))</f>
        <v/>
      </c>
      <c r="T740" s="26">
        <f>IF($D740="","",IF($K740&lt;&gt;"对外销售","",ROUND($Q740-$S740,0)))</f>
        <v/>
      </c>
      <c r="U740" s="17" t="n"/>
      <c r="V740" s="17" t="n"/>
      <c r="W740" s="24">
        <f>IF($D740="","",IF($E740="※编码不在物料档案里","※物料编码不在档案里",IF(N($J740)&lt;=0,"※出库数量要大于 0",IF($K740="","※没填去向类型",IF($L740="","※没填去向矿区",IF(AND($C740&lt;&gt;"",$C740&lt;=结账锁),"※日期早于已结账截止日，不能再录",IF(AND($K740="自用消耗",COUNTIF({"一矿区";"二矿区"},$L740)=0),"※自用消耗的去向只能是一矿区或二矿区",IF(AND($K740="对外销售",COUNTIF({"三矿区";"六矿区"},$L740)=0),"※对外销售的去向只能是三矿区或六矿区",IF(AND($K740="对外销售",ROUND($Q740,0)=0),"※外销却没有售价，请填实际售价",IF(AND($K740="对外销售",$T740&lt;&gt;"",$T740&lt;0),"※这一笔外销是亏的，请核对售价",IF(IFERROR(VLOOKUP($D740,库存台账!$A$5:$Y$1204,24,0),0)&lt;-0.001,"※这个物料账面已经变成负数了，查一下是不是漏记入库","")))))))))))</f>
        <v/>
      </c>
    </row>
    <row r="741">
      <c r="A741" s="24">
        <f>IF($D741="","",COUNTA($D$4:$D741))</f>
        <v/>
      </c>
      <c r="B741" s="17" t="n"/>
      <c r="C741" s="30" t="n"/>
      <c r="D741" s="17" t="n"/>
      <c r="E741" s="24">
        <f>IF($D741="","",IFERROR(VLOOKUP($D741,物料档案!$A$4:$P$1203,3,0),"※编码不在物料档案里"))</f>
        <v/>
      </c>
      <c r="F741" s="24">
        <f>IF($D741="","",IFERROR(VLOOKUP($D741,物料档案!$A$4:$P$1203,4,0),"※编码不在物料档案里"))</f>
        <v/>
      </c>
      <c r="G741" s="24">
        <f>IF($D741="","",IFERROR(VLOOKUP($D741,物料档案!$A$4:$P$1203,5,0),"※编码不在物料档案里"))</f>
        <v/>
      </c>
      <c r="H741" s="24">
        <f>IF($D741="","",IFERROR(VLOOKUP($D741,物料档案!$A$4:$P$1203,2,0),"※编码不在物料档案里"))</f>
        <v/>
      </c>
      <c r="I741" s="24">
        <f>IF($D741="","",IFERROR(VLOOKUP($D741,物料档案!$A$4:$P$1203,6,0),"※编码不在物料档案里"))</f>
        <v/>
      </c>
      <c r="J741" s="23" t="n"/>
      <c r="K741" s="17" t="n"/>
      <c r="L741" s="17" t="n"/>
      <c r="M741" s="17" t="n"/>
      <c r="N741" s="17" t="n"/>
      <c r="O741" s="26">
        <f>IF($D741="","",IFERROR(VLOOKUP($D741,物料档案!$A$4:$P$1203,10,0),0))</f>
        <v/>
      </c>
      <c r="P741" s="32" t="n"/>
      <c r="Q741" s="26">
        <f>IF($D741="","",IF($K741&lt;&gt;"对外销售",0,ROUND(N($J741)*IF($P741="",N($O741),N($P741)),0)))</f>
        <v/>
      </c>
      <c r="R741" s="26">
        <f>IF($D741="","",IFERROR(VLOOKUP($D741,库存台账!$A$5:$Y$1204,11,0),0))</f>
        <v/>
      </c>
      <c r="S741" s="26">
        <f>IF($D741="","",ROUND(N($J741)*N($R741),0))</f>
        <v/>
      </c>
      <c r="T741" s="26">
        <f>IF($D741="","",IF($K741&lt;&gt;"对外销售","",ROUND($Q741-$S741,0)))</f>
        <v/>
      </c>
      <c r="U741" s="17" t="n"/>
      <c r="V741" s="17" t="n"/>
      <c r="W741" s="24">
        <f>IF($D741="","",IF($E741="※编码不在物料档案里","※物料编码不在档案里",IF(N($J741)&lt;=0,"※出库数量要大于 0",IF($K741="","※没填去向类型",IF($L741="","※没填去向矿区",IF(AND($C741&lt;&gt;"",$C741&lt;=结账锁),"※日期早于已结账截止日，不能再录",IF(AND($K741="自用消耗",COUNTIF({"一矿区";"二矿区"},$L741)=0),"※自用消耗的去向只能是一矿区或二矿区",IF(AND($K741="对外销售",COUNTIF({"三矿区";"六矿区"},$L741)=0),"※对外销售的去向只能是三矿区或六矿区",IF(AND($K741="对外销售",ROUND($Q741,0)=0),"※外销却没有售价，请填实际售价",IF(AND($K741="对外销售",$T741&lt;&gt;"",$T741&lt;0),"※这一笔外销是亏的，请核对售价",IF(IFERROR(VLOOKUP($D741,库存台账!$A$5:$Y$1204,24,0),0)&lt;-0.001,"※这个物料账面已经变成负数了，查一下是不是漏记入库","")))))))))))</f>
        <v/>
      </c>
    </row>
    <row r="742">
      <c r="A742" s="24">
        <f>IF($D742="","",COUNTA($D$4:$D742))</f>
        <v/>
      </c>
      <c r="B742" s="17" t="n"/>
      <c r="C742" s="30" t="n"/>
      <c r="D742" s="17" t="n"/>
      <c r="E742" s="24">
        <f>IF($D742="","",IFERROR(VLOOKUP($D742,物料档案!$A$4:$P$1203,3,0),"※编码不在物料档案里"))</f>
        <v/>
      </c>
      <c r="F742" s="24">
        <f>IF($D742="","",IFERROR(VLOOKUP($D742,物料档案!$A$4:$P$1203,4,0),"※编码不在物料档案里"))</f>
        <v/>
      </c>
      <c r="G742" s="24">
        <f>IF($D742="","",IFERROR(VLOOKUP($D742,物料档案!$A$4:$P$1203,5,0),"※编码不在物料档案里"))</f>
        <v/>
      </c>
      <c r="H742" s="24">
        <f>IF($D742="","",IFERROR(VLOOKUP($D742,物料档案!$A$4:$P$1203,2,0),"※编码不在物料档案里"))</f>
        <v/>
      </c>
      <c r="I742" s="24">
        <f>IF($D742="","",IFERROR(VLOOKUP($D742,物料档案!$A$4:$P$1203,6,0),"※编码不在物料档案里"))</f>
        <v/>
      </c>
      <c r="J742" s="23" t="n"/>
      <c r="K742" s="17" t="n"/>
      <c r="L742" s="17" t="n"/>
      <c r="M742" s="17" t="n"/>
      <c r="N742" s="17" t="n"/>
      <c r="O742" s="26">
        <f>IF($D742="","",IFERROR(VLOOKUP($D742,物料档案!$A$4:$P$1203,10,0),0))</f>
        <v/>
      </c>
      <c r="P742" s="32" t="n"/>
      <c r="Q742" s="26">
        <f>IF($D742="","",IF($K742&lt;&gt;"对外销售",0,ROUND(N($J742)*IF($P742="",N($O742),N($P742)),0)))</f>
        <v/>
      </c>
      <c r="R742" s="26">
        <f>IF($D742="","",IFERROR(VLOOKUP($D742,库存台账!$A$5:$Y$1204,11,0),0))</f>
        <v/>
      </c>
      <c r="S742" s="26">
        <f>IF($D742="","",ROUND(N($J742)*N($R742),0))</f>
        <v/>
      </c>
      <c r="T742" s="26">
        <f>IF($D742="","",IF($K742&lt;&gt;"对外销售","",ROUND($Q742-$S742,0)))</f>
        <v/>
      </c>
      <c r="U742" s="17" t="n"/>
      <c r="V742" s="17" t="n"/>
      <c r="W742" s="24">
        <f>IF($D742="","",IF($E742="※编码不在物料档案里","※物料编码不在档案里",IF(N($J742)&lt;=0,"※出库数量要大于 0",IF($K742="","※没填去向类型",IF($L742="","※没填去向矿区",IF(AND($C742&lt;&gt;"",$C742&lt;=结账锁),"※日期早于已结账截止日，不能再录",IF(AND($K742="自用消耗",COUNTIF({"一矿区";"二矿区"},$L742)=0),"※自用消耗的去向只能是一矿区或二矿区",IF(AND($K742="对外销售",COUNTIF({"三矿区";"六矿区"},$L742)=0),"※对外销售的去向只能是三矿区或六矿区",IF(AND($K742="对外销售",ROUND($Q742,0)=0),"※外销却没有售价，请填实际售价",IF(AND($K742="对外销售",$T742&lt;&gt;"",$T742&lt;0),"※这一笔外销是亏的，请核对售价",IF(IFERROR(VLOOKUP($D742,库存台账!$A$5:$Y$1204,24,0),0)&lt;-0.001,"※这个物料账面已经变成负数了，查一下是不是漏记入库","")))))))))))</f>
        <v/>
      </c>
    </row>
    <row r="743">
      <c r="A743" s="24">
        <f>IF($D743="","",COUNTA($D$4:$D743))</f>
        <v/>
      </c>
      <c r="B743" s="17" t="n"/>
      <c r="C743" s="30" t="n"/>
      <c r="D743" s="17" t="n"/>
      <c r="E743" s="24">
        <f>IF($D743="","",IFERROR(VLOOKUP($D743,物料档案!$A$4:$P$1203,3,0),"※编码不在物料档案里"))</f>
        <v/>
      </c>
      <c r="F743" s="24">
        <f>IF($D743="","",IFERROR(VLOOKUP($D743,物料档案!$A$4:$P$1203,4,0),"※编码不在物料档案里"))</f>
        <v/>
      </c>
      <c r="G743" s="24">
        <f>IF($D743="","",IFERROR(VLOOKUP($D743,物料档案!$A$4:$P$1203,5,0),"※编码不在物料档案里"))</f>
        <v/>
      </c>
      <c r="H743" s="24">
        <f>IF($D743="","",IFERROR(VLOOKUP($D743,物料档案!$A$4:$P$1203,2,0),"※编码不在物料档案里"))</f>
        <v/>
      </c>
      <c r="I743" s="24">
        <f>IF($D743="","",IFERROR(VLOOKUP($D743,物料档案!$A$4:$P$1203,6,0),"※编码不在物料档案里"))</f>
        <v/>
      </c>
      <c r="J743" s="23" t="n"/>
      <c r="K743" s="17" t="n"/>
      <c r="L743" s="17" t="n"/>
      <c r="M743" s="17" t="n"/>
      <c r="N743" s="17" t="n"/>
      <c r="O743" s="26">
        <f>IF($D743="","",IFERROR(VLOOKUP($D743,物料档案!$A$4:$P$1203,10,0),0))</f>
        <v/>
      </c>
      <c r="P743" s="32" t="n"/>
      <c r="Q743" s="26">
        <f>IF($D743="","",IF($K743&lt;&gt;"对外销售",0,ROUND(N($J743)*IF($P743="",N($O743),N($P743)),0)))</f>
        <v/>
      </c>
      <c r="R743" s="26">
        <f>IF($D743="","",IFERROR(VLOOKUP($D743,库存台账!$A$5:$Y$1204,11,0),0))</f>
        <v/>
      </c>
      <c r="S743" s="26">
        <f>IF($D743="","",ROUND(N($J743)*N($R743),0))</f>
        <v/>
      </c>
      <c r="T743" s="26">
        <f>IF($D743="","",IF($K743&lt;&gt;"对外销售","",ROUND($Q743-$S743,0)))</f>
        <v/>
      </c>
      <c r="U743" s="17" t="n"/>
      <c r="V743" s="17" t="n"/>
      <c r="W743" s="24">
        <f>IF($D743="","",IF($E743="※编码不在物料档案里","※物料编码不在档案里",IF(N($J743)&lt;=0,"※出库数量要大于 0",IF($K743="","※没填去向类型",IF($L743="","※没填去向矿区",IF(AND($C743&lt;&gt;"",$C743&lt;=结账锁),"※日期早于已结账截止日，不能再录",IF(AND($K743="自用消耗",COUNTIF({"一矿区";"二矿区"},$L743)=0),"※自用消耗的去向只能是一矿区或二矿区",IF(AND($K743="对外销售",COUNTIF({"三矿区";"六矿区"},$L743)=0),"※对外销售的去向只能是三矿区或六矿区",IF(AND($K743="对外销售",ROUND($Q743,0)=0),"※外销却没有售价，请填实际售价",IF(AND($K743="对外销售",$T743&lt;&gt;"",$T743&lt;0),"※这一笔外销是亏的，请核对售价",IF(IFERROR(VLOOKUP($D743,库存台账!$A$5:$Y$1204,24,0),0)&lt;-0.001,"※这个物料账面已经变成负数了，查一下是不是漏记入库","")))))))))))</f>
        <v/>
      </c>
    </row>
    <row r="744">
      <c r="A744" s="24">
        <f>IF($D744="","",COUNTA($D$4:$D744))</f>
        <v/>
      </c>
      <c r="B744" s="17" t="n"/>
      <c r="C744" s="30" t="n"/>
      <c r="D744" s="17" t="n"/>
      <c r="E744" s="24">
        <f>IF($D744="","",IFERROR(VLOOKUP($D744,物料档案!$A$4:$P$1203,3,0),"※编码不在物料档案里"))</f>
        <v/>
      </c>
      <c r="F744" s="24">
        <f>IF($D744="","",IFERROR(VLOOKUP($D744,物料档案!$A$4:$P$1203,4,0),"※编码不在物料档案里"))</f>
        <v/>
      </c>
      <c r="G744" s="24">
        <f>IF($D744="","",IFERROR(VLOOKUP($D744,物料档案!$A$4:$P$1203,5,0),"※编码不在物料档案里"))</f>
        <v/>
      </c>
      <c r="H744" s="24">
        <f>IF($D744="","",IFERROR(VLOOKUP($D744,物料档案!$A$4:$P$1203,2,0),"※编码不在物料档案里"))</f>
        <v/>
      </c>
      <c r="I744" s="24">
        <f>IF($D744="","",IFERROR(VLOOKUP($D744,物料档案!$A$4:$P$1203,6,0),"※编码不在物料档案里"))</f>
        <v/>
      </c>
      <c r="J744" s="23" t="n"/>
      <c r="K744" s="17" t="n"/>
      <c r="L744" s="17" t="n"/>
      <c r="M744" s="17" t="n"/>
      <c r="N744" s="17" t="n"/>
      <c r="O744" s="26">
        <f>IF($D744="","",IFERROR(VLOOKUP($D744,物料档案!$A$4:$P$1203,10,0),0))</f>
        <v/>
      </c>
      <c r="P744" s="32" t="n"/>
      <c r="Q744" s="26">
        <f>IF($D744="","",IF($K744&lt;&gt;"对外销售",0,ROUND(N($J744)*IF($P744="",N($O744),N($P744)),0)))</f>
        <v/>
      </c>
      <c r="R744" s="26">
        <f>IF($D744="","",IFERROR(VLOOKUP($D744,库存台账!$A$5:$Y$1204,11,0),0))</f>
        <v/>
      </c>
      <c r="S744" s="26">
        <f>IF($D744="","",ROUND(N($J744)*N($R744),0))</f>
        <v/>
      </c>
      <c r="T744" s="26">
        <f>IF($D744="","",IF($K744&lt;&gt;"对外销售","",ROUND($Q744-$S744,0)))</f>
        <v/>
      </c>
      <c r="U744" s="17" t="n"/>
      <c r="V744" s="17" t="n"/>
      <c r="W744" s="24">
        <f>IF($D744="","",IF($E744="※编码不在物料档案里","※物料编码不在档案里",IF(N($J744)&lt;=0,"※出库数量要大于 0",IF($K744="","※没填去向类型",IF($L744="","※没填去向矿区",IF(AND($C744&lt;&gt;"",$C744&lt;=结账锁),"※日期早于已结账截止日，不能再录",IF(AND($K744="自用消耗",COUNTIF({"一矿区";"二矿区"},$L744)=0),"※自用消耗的去向只能是一矿区或二矿区",IF(AND($K744="对外销售",COUNTIF({"三矿区";"六矿区"},$L744)=0),"※对外销售的去向只能是三矿区或六矿区",IF(AND($K744="对外销售",ROUND($Q744,0)=0),"※外销却没有售价，请填实际售价",IF(AND($K744="对外销售",$T744&lt;&gt;"",$T744&lt;0),"※这一笔外销是亏的，请核对售价",IF(IFERROR(VLOOKUP($D744,库存台账!$A$5:$Y$1204,24,0),0)&lt;-0.001,"※这个物料账面已经变成负数了，查一下是不是漏记入库","")))))))))))</f>
        <v/>
      </c>
    </row>
    <row r="745">
      <c r="A745" s="24">
        <f>IF($D745="","",COUNTA($D$4:$D745))</f>
        <v/>
      </c>
      <c r="B745" s="17" t="n"/>
      <c r="C745" s="30" t="n"/>
      <c r="D745" s="17" t="n"/>
      <c r="E745" s="24">
        <f>IF($D745="","",IFERROR(VLOOKUP($D745,物料档案!$A$4:$P$1203,3,0),"※编码不在物料档案里"))</f>
        <v/>
      </c>
      <c r="F745" s="24">
        <f>IF($D745="","",IFERROR(VLOOKUP($D745,物料档案!$A$4:$P$1203,4,0),"※编码不在物料档案里"))</f>
        <v/>
      </c>
      <c r="G745" s="24">
        <f>IF($D745="","",IFERROR(VLOOKUP($D745,物料档案!$A$4:$P$1203,5,0),"※编码不在物料档案里"))</f>
        <v/>
      </c>
      <c r="H745" s="24">
        <f>IF($D745="","",IFERROR(VLOOKUP($D745,物料档案!$A$4:$P$1203,2,0),"※编码不在物料档案里"))</f>
        <v/>
      </c>
      <c r="I745" s="24">
        <f>IF($D745="","",IFERROR(VLOOKUP($D745,物料档案!$A$4:$P$1203,6,0),"※编码不在物料档案里"))</f>
        <v/>
      </c>
      <c r="J745" s="23" t="n"/>
      <c r="K745" s="17" t="n"/>
      <c r="L745" s="17" t="n"/>
      <c r="M745" s="17" t="n"/>
      <c r="N745" s="17" t="n"/>
      <c r="O745" s="26">
        <f>IF($D745="","",IFERROR(VLOOKUP($D745,物料档案!$A$4:$P$1203,10,0),0))</f>
        <v/>
      </c>
      <c r="P745" s="32" t="n"/>
      <c r="Q745" s="26">
        <f>IF($D745="","",IF($K745&lt;&gt;"对外销售",0,ROUND(N($J745)*IF($P745="",N($O745),N($P745)),0)))</f>
        <v/>
      </c>
      <c r="R745" s="26">
        <f>IF($D745="","",IFERROR(VLOOKUP($D745,库存台账!$A$5:$Y$1204,11,0),0))</f>
        <v/>
      </c>
      <c r="S745" s="26">
        <f>IF($D745="","",ROUND(N($J745)*N($R745),0))</f>
        <v/>
      </c>
      <c r="T745" s="26">
        <f>IF($D745="","",IF($K745&lt;&gt;"对外销售","",ROUND($Q745-$S745,0)))</f>
        <v/>
      </c>
      <c r="U745" s="17" t="n"/>
      <c r="V745" s="17" t="n"/>
      <c r="W745" s="24">
        <f>IF($D745="","",IF($E745="※编码不在物料档案里","※物料编码不在档案里",IF(N($J745)&lt;=0,"※出库数量要大于 0",IF($K745="","※没填去向类型",IF($L745="","※没填去向矿区",IF(AND($C745&lt;&gt;"",$C745&lt;=结账锁),"※日期早于已结账截止日，不能再录",IF(AND($K745="自用消耗",COUNTIF({"一矿区";"二矿区"},$L745)=0),"※自用消耗的去向只能是一矿区或二矿区",IF(AND($K745="对外销售",COUNTIF({"三矿区";"六矿区"},$L745)=0),"※对外销售的去向只能是三矿区或六矿区",IF(AND($K745="对外销售",ROUND($Q745,0)=0),"※外销却没有售价，请填实际售价",IF(AND($K745="对外销售",$T745&lt;&gt;"",$T745&lt;0),"※这一笔外销是亏的，请核对售价",IF(IFERROR(VLOOKUP($D745,库存台账!$A$5:$Y$1204,24,0),0)&lt;-0.001,"※这个物料账面已经变成负数了，查一下是不是漏记入库","")))))))))))</f>
        <v/>
      </c>
    </row>
    <row r="746">
      <c r="A746" s="24">
        <f>IF($D746="","",COUNTA($D$4:$D746))</f>
        <v/>
      </c>
      <c r="B746" s="17" t="n"/>
      <c r="C746" s="30" t="n"/>
      <c r="D746" s="17" t="n"/>
      <c r="E746" s="24">
        <f>IF($D746="","",IFERROR(VLOOKUP($D746,物料档案!$A$4:$P$1203,3,0),"※编码不在物料档案里"))</f>
        <v/>
      </c>
      <c r="F746" s="24">
        <f>IF($D746="","",IFERROR(VLOOKUP($D746,物料档案!$A$4:$P$1203,4,0),"※编码不在物料档案里"))</f>
        <v/>
      </c>
      <c r="G746" s="24">
        <f>IF($D746="","",IFERROR(VLOOKUP($D746,物料档案!$A$4:$P$1203,5,0),"※编码不在物料档案里"))</f>
        <v/>
      </c>
      <c r="H746" s="24">
        <f>IF($D746="","",IFERROR(VLOOKUP($D746,物料档案!$A$4:$P$1203,2,0),"※编码不在物料档案里"))</f>
        <v/>
      </c>
      <c r="I746" s="24">
        <f>IF($D746="","",IFERROR(VLOOKUP($D746,物料档案!$A$4:$P$1203,6,0),"※编码不在物料档案里"))</f>
        <v/>
      </c>
      <c r="J746" s="23" t="n"/>
      <c r="K746" s="17" t="n"/>
      <c r="L746" s="17" t="n"/>
      <c r="M746" s="17" t="n"/>
      <c r="N746" s="17" t="n"/>
      <c r="O746" s="26">
        <f>IF($D746="","",IFERROR(VLOOKUP($D746,物料档案!$A$4:$P$1203,10,0),0))</f>
        <v/>
      </c>
      <c r="P746" s="32" t="n"/>
      <c r="Q746" s="26">
        <f>IF($D746="","",IF($K746&lt;&gt;"对外销售",0,ROUND(N($J746)*IF($P746="",N($O746),N($P746)),0)))</f>
        <v/>
      </c>
      <c r="R746" s="26">
        <f>IF($D746="","",IFERROR(VLOOKUP($D746,库存台账!$A$5:$Y$1204,11,0),0))</f>
        <v/>
      </c>
      <c r="S746" s="26">
        <f>IF($D746="","",ROUND(N($J746)*N($R746),0))</f>
        <v/>
      </c>
      <c r="T746" s="26">
        <f>IF($D746="","",IF($K746&lt;&gt;"对外销售","",ROUND($Q746-$S746,0)))</f>
        <v/>
      </c>
      <c r="U746" s="17" t="n"/>
      <c r="V746" s="17" t="n"/>
      <c r="W746" s="24">
        <f>IF($D746="","",IF($E746="※编码不在物料档案里","※物料编码不在档案里",IF(N($J746)&lt;=0,"※出库数量要大于 0",IF($K746="","※没填去向类型",IF($L746="","※没填去向矿区",IF(AND($C746&lt;&gt;"",$C746&lt;=结账锁),"※日期早于已结账截止日，不能再录",IF(AND($K746="自用消耗",COUNTIF({"一矿区";"二矿区"},$L746)=0),"※自用消耗的去向只能是一矿区或二矿区",IF(AND($K746="对外销售",COUNTIF({"三矿区";"六矿区"},$L746)=0),"※对外销售的去向只能是三矿区或六矿区",IF(AND($K746="对外销售",ROUND($Q746,0)=0),"※外销却没有售价，请填实际售价",IF(AND($K746="对外销售",$T746&lt;&gt;"",$T746&lt;0),"※这一笔外销是亏的，请核对售价",IF(IFERROR(VLOOKUP($D746,库存台账!$A$5:$Y$1204,24,0),0)&lt;-0.001,"※这个物料账面已经变成负数了，查一下是不是漏记入库","")))))))))))</f>
        <v/>
      </c>
    </row>
    <row r="747">
      <c r="A747" s="24">
        <f>IF($D747="","",COUNTA($D$4:$D747))</f>
        <v/>
      </c>
      <c r="B747" s="17" t="n"/>
      <c r="C747" s="30" t="n"/>
      <c r="D747" s="17" t="n"/>
      <c r="E747" s="24">
        <f>IF($D747="","",IFERROR(VLOOKUP($D747,物料档案!$A$4:$P$1203,3,0),"※编码不在物料档案里"))</f>
        <v/>
      </c>
      <c r="F747" s="24">
        <f>IF($D747="","",IFERROR(VLOOKUP($D747,物料档案!$A$4:$P$1203,4,0),"※编码不在物料档案里"))</f>
        <v/>
      </c>
      <c r="G747" s="24">
        <f>IF($D747="","",IFERROR(VLOOKUP($D747,物料档案!$A$4:$P$1203,5,0),"※编码不在物料档案里"))</f>
        <v/>
      </c>
      <c r="H747" s="24">
        <f>IF($D747="","",IFERROR(VLOOKUP($D747,物料档案!$A$4:$P$1203,2,0),"※编码不在物料档案里"))</f>
        <v/>
      </c>
      <c r="I747" s="24">
        <f>IF($D747="","",IFERROR(VLOOKUP($D747,物料档案!$A$4:$P$1203,6,0),"※编码不在物料档案里"))</f>
        <v/>
      </c>
      <c r="J747" s="23" t="n"/>
      <c r="K747" s="17" t="n"/>
      <c r="L747" s="17" t="n"/>
      <c r="M747" s="17" t="n"/>
      <c r="N747" s="17" t="n"/>
      <c r="O747" s="26">
        <f>IF($D747="","",IFERROR(VLOOKUP($D747,物料档案!$A$4:$P$1203,10,0),0))</f>
        <v/>
      </c>
      <c r="P747" s="32" t="n"/>
      <c r="Q747" s="26">
        <f>IF($D747="","",IF($K747&lt;&gt;"对外销售",0,ROUND(N($J747)*IF($P747="",N($O747),N($P747)),0)))</f>
        <v/>
      </c>
      <c r="R747" s="26">
        <f>IF($D747="","",IFERROR(VLOOKUP($D747,库存台账!$A$5:$Y$1204,11,0),0))</f>
        <v/>
      </c>
      <c r="S747" s="26">
        <f>IF($D747="","",ROUND(N($J747)*N($R747),0))</f>
        <v/>
      </c>
      <c r="T747" s="26">
        <f>IF($D747="","",IF($K747&lt;&gt;"对外销售","",ROUND($Q747-$S747,0)))</f>
        <v/>
      </c>
      <c r="U747" s="17" t="n"/>
      <c r="V747" s="17" t="n"/>
      <c r="W747" s="24">
        <f>IF($D747="","",IF($E747="※编码不在物料档案里","※物料编码不在档案里",IF(N($J747)&lt;=0,"※出库数量要大于 0",IF($K747="","※没填去向类型",IF($L747="","※没填去向矿区",IF(AND($C747&lt;&gt;"",$C747&lt;=结账锁),"※日期早于已结账截止日，不能再录",IF(AND($K747="自用消耗",COUNTIF({"一矿区";"二矿区"},$L747)=0),"※自用消耗的去向只能是一矿区或二矿区",IF(AND($K747="对外销售",COUNTIF({"三矿区";"六矿区"},$L747)=0),"※对外销售的去向只能是三矿区或六矿区",IF(AND($K747="对外销售",ROUND($Q747,0)=0),"※外销却没有售价，请填实际售价",IF(AND($K747="对外销售",$T747&lt;&gt;"",$T747&lt;0),"※这一笔外销是亏的，请核对售价",IF(IFERROR(VLOOKUP($D747,库存台账!$A$5:$Y$1204,24,0),0)&lt;-0.001,"※这个物料账面已经变成负数了，查一下是不是漏记入库","")))))))))))</f>
        <v/>
      </c>
    </row>
    <row r="748">
      <c r="A748" s="24">
        <f>IF($D748="","",COUNTA($D$4:$D748))</f>
        <v/>
      </c>
      <c r="B748" s="17" t="n"/>
      <c r="C748" s="30" t="n"/>
      <c r="D748" s="17" t="n"/>
      <c r="E748" s="24">
        <f>IF($D748="","",IFERROR(VLOOKUP($D748,物料档案!$A$4:$P$1203,3,0),"※编码不在物料档案里"))</f>
        <v/>
      </c>
      <c r="F748" s="24">
        <f>IF($D748="","",IFERROR(VLOOKUP($D748,物料档案!$A$4:$P$1203,4,0),"※编码不在物料档案里"))</f>
        <v/>
      </c>
      <c r="G748" s="24">
        <f>IF($D748="","",IFERROR(VLOOKUP($D748,物料档案!$A$4:$P$1203,5,0),"※编码不在物料档案里"))</f>
        <v/>
      </c>
      <c r="H748" s="24">
        <f>IF($D748="","",IFERROR(VLOOKUP($D748,物料档案!$A$4:$P$1203,2,0),"※编码不在物料档案里"))</f>
        <v/>
      </c>
      <c r="I748" s="24">
        <f>IF($D748="","",IFERROR(VLOOKUP($D748,物料档案!$A$4:$P$1203,6,0),"※编码不在物料档案里"))</f>
        <v/>
      </c>
      <c r="J748" s="23" t="n"/>
      <c r="K748" s="17" t="n"/>
      <c r="L748" s="17" t="n"/>
      <c r="M748" s="17" t="n"/>
      <c r="N748" s="17" t="n"/>
      <c r="O748" s="26">
        <f>IF($D748="","",IFERROR(VLOOKUP($D748,物料档案!$A$4:$P$1203,10,0),0))</f>
        <v/>
      </c>
      <c r="P748" s="32" t="n"/>
      <c r="Q748" s="26">
        <f>IF($D748="","",IF($K748&lt;&gt;"对外销售",0,ROUND(N($J748)*IF($P748="",N($O748),N($P748)),0)))</f>
        <v/>
      </c>
      <c r="R748" s="26">
        <f>IF($D748="","",IFERROR(VLOOKUP($D748,库存台账!$A$5:$Y$1204,11,0),0))</f>
        <v/>
      </c>
      <c r="S748" s="26">
        <f>IF($D748="","",ROUND(N($J748)*N($R748),0))</f>
        <v/>
      </c>
      <c r="T748" s="26">
        <f>IF($D748="","",IF($K748&lt;&gt;"对外销售","",ROUND($Q748-$S748,0)))</f>
        <v/>
      </c>
      <c r="U748" s="17" t="n"/>
      <c r="V748" s="17" t="n"/>
      <c r="W748" s="24">
        <f>IF($D748="","",IF($E748="※编码不在物料档案里","※物料编码不在档案里",IF(N($J748)&lt;=0,"※出库数量要大于 0",IF($K748="","※没填去向类型",IF($L748="","※没填去向矿区",IF(AND($C748&lt;&gt;"",$C748&lt;=结账锁),"※日期早于已结账截止日，不能再录",IF(AND($K748="自用消耗",COUNTIF({"一矿区";"二矿区"},$L748)=0),"※自用消耗的去向只能是一矿区或二矿区",IF(AND($K748="对外销售",COUNTIF({"三矿区";"六矿区"},$L748)=0),"※对外销售的去向只能是三矿区或六矿区",IF(AND($K748="对外销售",ROUND($Q748,0)=0),"※外销却没有售价，请填实际售价",IF(AND($K748="对外销售",$T748&lt;&gt;"",$T748&lt;0),"※这一笔外销是亏的，请核对售价",IF(IFERROR(VLOOKUP($D748,库存台账!$A$5:$Y$1204,24,0),0)&lt;-0.001,"※这个物料账面已经变成负数了，查一下是不是漏记入库","")))))))))))</f>
        <v/>
      </c>
    </row>
    <row r="749">
      <c r="A749" s="24">
        <f>IF($D749="","",COUNTA($D$4:$D749))</f>
        <v/>
      </c>
      <c r="B749" s="17" t="n"/>
      <c r="C749" s="30" t="n"/>
      <c r="D749" s="17" t="n"/>
      <c r="E749" s="24">
        <f>IF($D749="","",IFERROR(VLOOKUP($D749,物料档案!$A$4:$P$1203,3,0),"※编码不在物料档案里"))</f>
        <v/>
      </c>
      <c r="F749" s="24">
        <f>IF($D749="","",IFERROR(VLOOKUP($D749,物料档案!$A$4:$P$1203,4,0),"※编码不在物料档案里"))</f>
        <v/>
      </c>
      <c r="G749" s="24">
        <f>IF($D749="","",IFERROR(VLOOKUP($D749,物料档案!$A$4:$P$1203,5,0),"※编码不在物料档案里"))</f>
        <v/>
      </c>
      <c r="H749" s="24">
        <f>IF($D749="","",IFERROR(VLOOKUP($D749,物料档案!$A$4:$P$1203,2,0),"※编码不在物料档案里"))</f>
        <v/>
      </c>
      <c r="I749" s="24">
        <f>IF($D749="","",IFERROR(VLOOKUP($D749,物料档案!$A$4:$P$1203,6,0),"※编码不在物料档案里"))</f>
        <v/>
      </c>
      <c r="J749" s="23" t="n"/>
      <c r="K749" s="17" t="n"/>
      <c r="L749" s="17" t="n"/>
      <c r="M749" s="17" t="n"/>
      <c r="N749" s="17" t="n"/>
      <c r="O749" s="26">
        <f>IF($D749="","",IFERROR(VLOOKUP($D749,物料档案!$A$4:$P$1203,10,0),0))</f>
        <v/>
      </c>
      <c r="P749" s="32" t="n"/>
      <c r="Q749" s="26">
        <f>IF($D749="","",IF($K749&lt;&gt;"对外销售",0,ROUND(N($J749)*IF($P749="",N($O749),N($P749)),0)))</f>
        <v/>
      </c>
      <c r="R749" s="26">
        <f>IF($D749="","",IFERROR(VLOOKUP($D749,库存台账!$A$5:$Y$1204,11,0),0))</f>
        <v/>
      </c>
      <c r="S749" s="26">
        <f>IF($D749="","",ROUND(N($J749)*N($R749),0))</f>
        <v/>
      </c>
      <c r="T749" s="26">
        <f>IF($D749="","",IF($K749&lt;&gt;"对外销售","",ROUND($Q749-$S749,0)))</f>
        <v/>
      </c>
      <c r="U749" s="17" t="n"/>
      <c r="V749" s="17" t="n"/>
      <c r="W749" s="24">
        <f>IF($D749="","",IF($E749="※编码不在物料档案里","※物料编码不在档案里",IF(N($J749)&lt;=0,"※出库数量要大于 0",IF($K749="","※没填去向类型",IF($L749="","※没填去向矿区",IF(AND($C749&lt;&gt;"",$C749&lt;=结账锁),"※日期早于已结账截止日，不能再录",IF(AND($K749="自用消耗",COUNTIF({"一矿区";"二矿区"},$L749)=0),"※自用消耗的去向只能是一矿区或二矿区",IF(AND($K749="对外销售",COUNTIF({"三矿区";"六矿区"},$L749)=0),"※对外销售的去向只能是三矿区或六矿区",IF(AND($K749="对外销售",ROUND($Q749,0)=0),"※外销却没有售价，请填实际售价",IF(AND($K749="对外销售",$T749&lt;&gt;"",$T749&lt;0),"※这一笔外销是亏的，请核对售价",IF(IFERROR(VLOOKUP($D749,库存台账!$A$5:$Y$1204,24,0),0)&lt;-0.001,"※这个物料账面已经变成负数了，查一下是不是漏记入库","")))))))))))</f>
        <v/>
      </c>
    </row>
    <row r="750">
      <c r="A750" s="24">
        <f>IF($D750="","",COUNTA($D$4:$D750))</f>
        <v/>
      </c>
      <c r="B750" s="17" t="n"/>
      <c r="C750" s="30" t="n"/>
      <c r="D750" s="17" t="n"/>
      <c r="E750" s="24">
        <f>IF($D750="","",IFERROR(VLOOKUP($D750,物料档案!$A$4:$P$1203,3,0),"※编码不在物料档案里"))</f>
        <v/>
      </c>
      <c r="F750" s="24">
        <f>IF($D750="","",IFERROR(VLOOKUP($D750,物料档案!$A$4:$P$1203,4,0),"※编码不在物料档案里"))</f>
        <v/>
      </c>
      <c r="G750" s="24">
        <f>IF($D750="","",IFERROR(VLOOKUP($D750,物料档案!$A$4:$P$1203,5,0),"※编码不在物料档案里"))</f>
        <v/>
      </c>
      <c r="H750" s="24">
        <f>IF($D750="","",IFERROR(VLOOKUP($D750,物料档案!$A$4:$P$1203,2,0),"※编码不在物料档案里"))</f>
        <v/>
      </c>
      <c r="I750" s="24">
        <f>IF($D750="","",IFERROR(VLOOKUP($D750,物料档案!$A$4:$P$1203,6,0),"※编码不在物料档案里"))</f>
        <v/>
      </c>
      <c r="J750" s="23" t="n"/>
      <c r="K750" s="17" t="n"/>
      <c r="L750" s="17" t="n"/>
      <c r="M750" s="17" t="n"/>
      <c r="N750" s="17" t="n"/>
      <c r="O750" s="26">
        <f>IF($D750="","",IFERROR(VLOOKUP($D750,物料档案!$A$4:$P$1203,10,0),0))</f>
        <v/>
      </c>
      <c r="P750" s="32" t="n"/>
      <c r="Q750" s="26">
        <f>IF($D750="","",IF($K750&lt;&gt;"对外销售",0,ROUND(N($J750)*IF($P750="",N($O750),N($P750)),0)))</f>
        <v/>
      </c>
      <c r="R750" s="26">
        <f>IF($D750="","",IFERROR(VLOOKUP($D750,库存台账!$A$5:$Y$1204,11,0),0))</f>
        <v/>
      </c>
      <c r="S750" s="26">
        <f>IF($D750="","",ROUND(N($J750)*N($R750),0))</f>
        <v/>
      </c>
      <c r="T750" s="26">
        <f>IF($D750="","",IF($K750&lt;&gt;"对外销售","",ROUND($Q750-$S750,0)))</f>
        <v/>
      </c>
      <c r="U750" s="17" t="n"/>
      <c r="V750" s="17" t="n"/>
      <c r="W750" s="24">
        <f>IF($D750="","",IF($E750="※编码不在物料档案里","※物料编码不在档案里",IF(N($J750)&lt;=0,"※出库数量要大于 0",IF($K750="","※没填去向类型",IF($L750="","※没填去向矿区",IF(AND($C750&lt;&gt;"",$C750&lt;=结账锁),"※日期早于已结账截止日，不能再录",IF(AND($K750="自用消耗",COUNTIF({"一矿区";"二矿区"},$L750)=0),"※自用消耗的去向只能是一矿区或二矿区",IF(AND($K750="对外销售",COUNTIF({"三矿区";"六矿区"},$L750)=0),"※对外销售的去向只能是三矿区或六矿区",IF(AND($K750="对外销售",ROUND($Q750,0)=0),"※外销却没有售价，请填实际售价",IF(AND($K750="对外销售",$T750&lt;&gt;"",$T750&lt;0),"※这一笔外销是亏的，请核对售价",IF(IFERROR(VLOOKUP($D750,库存台账!$A$5:$Y$1204,24,0),0)&lt;-0.001,"※这个物料账面已经变成负数了，查一下是不是漏记入库","")))))))))))</f>
        <v/>
      </c>
    </row>
    <row r="751">
      <c r="A751" s="24">
        <f>IF($D751="","",COUNTA($D$4:$D751))</f>
        <v/>
      </c>
      <c r="B751" s="17" t="n"/>
      <c r="C751" s="30" t="n"/>
      <c r="D751" s="17" t="n"/>
      <c r="E751" s="24">
        <f>IF($D751="","",IFERROR(VLOOKUP($D751,物料档案!$A$4:$P$1203,3,0),"※编码不在物料档案里"))</f>
        <v/>
      </c>
      <c r="F751" s="24">
        <f>IF($D751="","",IFERROR(VLOOKUP($D751,物料档案!$A$4:$P$1203,4,0),"※编码不在物料档案里"))</f>
        <v/>
      </c>
      <c r="G751" s="24">
        <f>IF($D751="","",IFERROR(VLOOKUP($D751,物料档案!$A$4:$P$1203,5,0),"※编码不在物料档案里"))</f>
        <v/>
      </c>
      <c r="H751" s="24">
        <f>IF($D751="","",IFERROR(VLOOKUP($D751,物料档案!$A$4:$P$1203,2,0),"※编码不在物料档案里"))</f>
        <v/>
      </c>
      <c r="I751" s="24">
        <f>IF($D751="","",IFERROR(VLOOKUP($D751,物料档案!$A$4:$P$1203,6,0),"※编码不在物料档案里"))</f>
        <v/>
      </c>
      <c r="J751" s="23" t="n"/>
      <c r="K751" s="17" t="n"/>
      <c r="L751" s="17" t="n"/>
      <c r="M751" s="17" t="n"/>
      <c r="N751" s="17" t="n"/>
      <c r="O751" s="26">
        <f>IF($D751="","",IFERROR(VLOOKUP($D751,物料档案!$A$4:$P$1203,10,0),0))</f>
        <v/>
      </c>
      <c r="P751" s="32" t="n"/>
      <c r="Q751" s="26">
        <f>IF($D751="","",IF($K751&lt;&gt;"对外销售",0,ROUND(N($J751)*IF($P751="",N($O751),N($P751)),0)))</f>
        <v/>
      </c>
      <c r="R751" s="26">
        <f>IF($D751="","",IFERROR(VLOOKUP($D751,库存台账!$A$5:$Y$1204,11,0),0))</f>
        <v/>
      </c>
      <c r="S751" s="26">
        <f>IF($D751="","",ROUND(N($J751)*N($R751),0))</f>
        <v/>
      </c>
      <c r="T751" s="26">
        <f>IF($D751="","",IF($K751&lt;&gt;"对外销售","",ROUND($Q751-$S751,0)))</f>
        <v/>
      </c>
      <c r="U751" s="17" t="n"/>
      <c r="V751" s="17" t="n"/>
      <c r="W751" s="24">
        <f>IF($D751="","",IF($E751="※编码不在物料档案里","※物料编码不在档案里",IF(N($J751)&lt;=0,"※出库数量要大于 0",IF($K751="","※没填去向类型",IF($L751="","※没填去向矿区",IF(AND($C751&lt;&gt;"",$C751&lt;=结账锁),"※日期早于已结账截止日，不能再录",IF(AND($K751="自用消耗",COUNTIF({"一矿区";"二矿区"},$L751)=0),"※自用消耗的去向只能是一矿区或二矿区",IF(AND($K751="对外销售",COUNTIF({"三矿区";"六矿区"},$L751)=0),"※对外销售的去向只能是三矿区或六矿区",IF(AND($K751="对外销售",ROUND($Q751,0)=0),"※外销却没有售价，请填实际售价",IF(AND($K751="对外销售",$T751&lt;&gt;"",$T751&lt;0),"※这一笔外销是亏的，请核对售价",IF(IFERROR(VLOOKUP($D751,库存台账!$A$5:$Y$1204,24,0),0)&lt;-0.001,"※这个物料账面已经变成负数了，查一下是不是漏记入库","")))))))))))</f>
        <v/>
      </c>
    </row>
    <row r="752">
      <c r="A752" s="24">
        <f>IF($D752="","",COUNTA($D$4:$D752))</f>
        <v/>
      </c>
      <c r="B752" s="17" t="n"/>
      <c r="C752" s="30" t="n"/>
      <c r="D752" s="17" t="n"/>
      <c r="E752" s="24">
        <f>IF($D752="","",IFERROR(VLOOKUP($D752,物料档案!$A$4:$P$1203,3,0),"※编码不在物料档案里"))</f>
        <v/>
      </c>
      <c r="F752" s="24">
        <f>IF($D752="","",IFERROR(VLOOKUP($D752,物料档案!$A$4:$P$1203,4,0),"※编码不在物料档案里"))</f>
        <v/>
      </c>
      <c r="G752" s="24">
        <f>IF($D752="","",IFERROR(VLOOKUP($D752,物料档案!$A$4:$P$1203,5,0),"※编码不在物料档案里"))</f>
        <v/>
      </c>
      <c r="H752" s="24">
        <f>IF($D752="","",IFERROR(VLOOKUP($D752,物料档案!$A$4:$P$1203,2,0),"※编码不在物料档案里"))</f>
        <v/>
      </c>
      <c r="I752" s="24">
        <f>IF($D752="","",IFERROR(VLOOKUP($D752,物料档案!$A$4:$P$1203,6,0),"※编码不在物料档案里"))</f>
        <v/>
      </c>
      <c r="J752" s="23" t="n"/>
      <c r="K752" s="17" t="n"/>
      <c r="L752" s="17" t="n"/>
      <c r="M752" s="17" t="n"/>
      <c r="N752" s="17" t="n"/>
      <c r="O752" s="26">
        <f>IF($D752="","",IFERROR(VLOOKUP($D752,物料档案!$A$4:$P$1203,10,0),0))</f>
        <v/>
      </c>
      <c r="P752" s="32" t="n"/>
      <c r="Q752" s="26">
        <f>IF($D752="","",IF($K752&lt;&gt;"对外销售",0,ROUND(N($J752)*IF($P752="",N($O752),N($P752)),0)))</f>
        <v/>
      </c>
      <c r="R752" s="26">
        <f>IF($D752="","",IFERROR(VLOOKUP($D752,库存台账!$A$5:$Y$1204,11,0),0))</f>
        <v/>
      </c>
      <c r="S752" s="26">
        <f>IF($D752="","",ROUND(N($J752)*N($R752),0))</f>
        <v/>
      </c>
      <c r="T752" s="26">
        <f>IF($D752="","",IF($K752&lt;&gt;"对外销售","",ROUND($Q752-$S752,0)))</f>
        <v/>
      </c>
      <c r="U752" s="17" t="n"/>
      <c r="V752" s="17" t="n"/>
      <c r="W752" s="24">
        <f>IF($D752="","",IF($E752="※编码不在物料档案里","※物料编码不在档案里",IF(N($J752)&lt;=0,"※出库数量要大于 0",IF($K752="","※没填去向类型",IF($L752="","※没填去向矿区",IF(AND($C752&lt;&gt;"",$C752&lt;=结账锁),"※日期早于已结账截止日，不能再录",IF(AND($K752="自用消耗",COUNTIF({"一矿区";"二矿区"},$L752)=0),"※自用消耗的去向只能是一矿区或二矿区",IF(AND($K752="对外销售",COUNTIF({"三矿区";"六矿区"},$L752)=0),"※对外销售的去向只能是三矿区或六矿区",IF(AND($K752="对外销售",ROUND($Q752,0)=0),"※外销却没有售价，请填实际售价",IF(AND($K752="对外销售",$T752&lt;&gt;"",$T752&lt;0),"※这一笔外销是亏的，请核对售价",IF(IFERROR(VLOOKUP($D752,库存台账!$A$5:$Y$1204,24,0),0)&lt;-0.001,"※这个物料账面已经变成负数了，查一下是不是漏记入库","")))))))))))</f>
        <v/>
      </c>
    </row>
    <row r="753">
      <c r="A753" s="24">
        <f>IF($D753="","",COUNTA($D$4:$D753))</f>
        <v/>
      </c>
      <c r="B753" s="17" t="n"/>
      <c r="C753" s="30" t="n"/>
      <c r="D753" s="17" t="n"/>
      <c r="E753" s="24">
        <f>IF($D753="","",IFERROR(VLOOKUP($D753,物料档案!$A$4:$P$1203,3,0),"※编码不在物料档案里"))</f>
        <v/>
      </c>
      <c r="F753" s="24">
        <f>IF($D753="","",IFERROR(VLOOKUP($D753,物料档案!$A$4:$P$1203,4,0),"※编码不在物料档案里"))</f>
        <v/>
      </c>
      <c r="G753" s="24">
        <f>IF($D753="","",IFERROR(VLOOKUP($D753,物料档案!$A$4:$P$1203,5,0),"※编码不在物料档案里"))</f>
        <v/>
      </c>
      <c r="H753" s="24">
        <f>IF($D753="","",IFERROR(VLOOKUP($D753,物料档案!$A$4:$P$1203,2,0),"※编码不在物料档案里"))</f>
        <v/>
      </c>
      <c r="I753" s="24">
        <f>IF($D753="","",IFERROR(VLOOKUP($D753,物料档案!$A$4:$P$1203,6,0),"※编码不在物料档案里"))</f>
        <v/>
      </c>
      <c r="J753" s="23" t="n"/>
      <c r="K753" s="17" t="n"/>
      <c r="L753" s="17" t="n"/>
      <c r="M753" s="17" t="n"/>
      <c r="N753" s="17" t="n"/>
      <c r="O753" s="26">
        <f>IF($D753="","",IFERROR(VLOOKUP($D753,物料档案!$A$4:$P$1203,10,0),0))</f>
        <v/>
      </c>
      <c r="P753" s="32" t="n"/>
      <c r="Q753" s="26">
        <f>IF($D753="","",IF($K753&lt;&gt;"对外销售",0,ROUND(N($J753)*IF($P753="",N($O753),N($P753)),0)))</f>
        <v/>
      </c>
      <c r="R753" s="26">
        <f>IF($D753="","",IFERROR(VLOOKUP($D753,库存台账!$A$5:$Y$1204,11,0),0))</f>
        <v/>
      </c>
      <c r="S753" s="26">
        <f>IF($D753="","",ROUND(N($J753)*N($R753),0))</f>
        <v/>
      </c>
      <c r="T753" s="26">
        <f>IF($D753="","",IF($K753&lt;&gt;"对外销售","",ROUND($Q753-$S753,0)))</f>
        <v/>
      </c>
      <c r="U753" s="17" t="n"/>
      <c r="V753" s="17" t="n"/>
      <c r="W753" s="24">
        <f>IF($D753="","",IF($E753="※编码不在物料档案里","※物料编码不在档案里",IF(N($J753)&lt;=0,"※出库数量要大于 0",IF($K753="","※没填去向类型",IF($L753="","※没填去向矿区",IF(AND($C753&lt;&gt;"",$C753&lt;=结账锁),"※日期早于已结账截止日，不能再录",IF(AND($K753="自用消耗",COUNTIF({"一矿区";"二矿区"},$L753)=0),"※自用消耗的去向只能是一矿区或二矿区",IF(AND($K753="对外销售",COUNTIF({"三矿区";"六矿区"},$L753)=0),"※对外销售的去向只能是三矿区或六矿区",IF(AND($K753="对外销售",ROUND($Q753,0)=0),"※外销却没有售价，请填实际售价",IF(AND($K753="对外销售",$T753&lt;&gt;"",$T753&lt;0),"※这一笔外销是亏的，请核对售价",IF(IFERROR(VLOOKUP($D753,库存台账!$A$5:$Y$1204,24,0),0)&lt;-0.001,"※这个物料账面已经变成负数了，查一下是不是漏记入库","")))))))))))</f>
        <v/>
      </c>
    </row>
    <row r="754">
      <c r="A754" s="24">
        <f>IF($D754="","",COUNTA($D$4:$D754))</f>
        <v/>
      </c>
      <c r="B754" s="17" t="n"/>
      <c r="C754" s="30" t="n"/>
      <c r="D754" s="17" t="n"/>
      <c r="E754" s="24">
        <f>IF($D754="","",IFERROR(VLOOKUP($D754,物料档案!$A$4:$P$1203,3,0),"※编码不在物料档案里"))</f>
        <v/>
      </c>
      <c r="F754" s="24">
        <f>IF($D754="","",IFERROR(VLOOKUP($D754,物料档案!$A$4:$P$1203,4,0),"※编码不在物料档案里"))</f>
        <v/>
      </c>
      <c r="G754" s="24">
        <f>IF($D754="","",IFERROR(VLOOKUP($D754,物料档案!$A$4:$P$1203,5,0),"※编码不在物料档案里"))</f>
        <v/>
      </c>
      <c r="H754" s="24">
        <f>IF($D754="","",IFERROR(VLOOKUP($D754,物料档案!$A$4:$P$1203,2,0),"※编码不在物料档案里"))</f>
        <v/>
      </c>
      <c r="I754" s="24">
        <f>IF($D754="","",IFERROR(VLOOKUP($D754,物料档案!$A$4:$P$1203,6,0),"※编码不在物料档案里"))</f>
        <v/>
      </c>
      <c r="J754" s="23" t="n"/>
      <c r="K754" s="17" t="n"/>
      <c r="L754" s="17" t="n"/>
      <c r="M754" s="17" t="n"/>
      <c r="N754" s="17" t="n"/>
      <c r="O754" s="26">
        <f>IF($D754="","",IFERROR(VLOOKUP($D754,物料档案!$A$4:$P$1203,10,0),0))</f>
        <v/>
      </c>
      <c r="P754" s="32" t="n"/>
      <c r="Q754" s="26">
        <f>IF($D754="","",IF($K754&lt;&gt;"对外销售",0,ROUND(N($J754)*IF($P754="",N($O754),N($P754)),0)))</f>
        <v/>
      </c>
      <c r="R754" s="26">
        <f>IF($D754="","",IFERROR(VLOOKUP($D754,库存台账!$A$5:$Y$1204,11,0),0))</f>
        <v/>
      </c>
      <c r="S754" s="26">
        <f>IF($D754="","",ROUND(N($J754)*N($R754),0))</f>
        <v/>
      </c>
      <c r="T754" s="26">
        <f>IF($D754="","",IF($K754&lt;&gt;"对外销售","",ROUND($Q754-$S754,0)))</f>
        <v/>
      </c>
      <c r="U754" s="17" t="n"/>
      <c r="V754" s="17" t="n"/>
      <c r="W754" s="24">
        <f>IF($D754="","",IF($E754="※编码不在物料档案里","※物料编码不在档案里",IF(N($J754)&lt;=0,"※出库数量要大于 0",IF($K754="","※没填去向类型",IF($L754="","※没填去向矿区",IF(AND($C754&lt;&gt;"",$C754&lt;=结账锁),"※日期早于已结账截止日，不能再录",IF(AND($K754="自用消耗",COUNTIF({"一矿区";"二矿区"},$L754)=0),"※自用消耗的去向只能是一矿区或二矿区",IF(AND($K754="对外销售",COUNTIF({"三矿区";"六矿区"},$L754)=0),"※对外销售的去向只能是三矿区或六矿区",IF(AND($K754="对外销售",ROUND($Q754,0)=0),"※外销却没有售价，请填实际售价",IF(AND($K754="对外销售",$T754&lt;&gt;"",$T754&lt;0),"※这一笔外销是亏的，请核对售价",IF(IFERROR(VLOOKUP($D754,库存台账!$A$5:$Y$1204,24,0),0)&lt;-0.001,"※这个物料账面已经变成负数了，查一下是不是漏记入库","")))))))))))</f>
        <v/>
      </c>
    </row>
    <row r="755">
      <c r="A755" s="24">
        <f>IF($D755="","",COUNTA($D$4:$D755))</f>
        <v/>
      </c>
      <c r="B755" s="17" t="n"/>
      <c r="C755" s="30" t="n"/>
      <c r="D755" s="17" t="n"/>
      <c r="E755" s="24">
        <f>IF($D755="","",IFERROR(VLOOKUP($D755,物料档案!$A$4:$P$1203,3,0),"※编码不在物料档案里"))</f>
        <v/>
      </c>
      <c r="F755" s="24">
        <f>IF($D755="","",IFERROR(VLOOKUP($D755,物料档案!$A$4:$P$1203,4,0),"※编码不在物料档案里"))</f>
        <v/>
      </c>
      <c r="G755" s="24">
        <f>IF($D755="","",IFERROR(VLOOKUP($D755,物料档案!$A$4:$P$1203,5,0),"※编码不在物料档案里"))</f>
        <v/>
      </c>
      <c r="H755" s="24">
        <f>IF($D755="","",IFERROR(VLOOKUP($D755,物料档案!$A$4:$P$1203,2,0),"※编码不在物料档案里"))</f>
        <v/>
      </c>
      <c r="I755" s="24">
        <f>IF($D755="","",IFERROR(VLOOKUP($D755,物料档案!$A$4:$P$1203,6,0),"※编码不在物料档案里"))</f>
        <v/>
      </c>
      <c r="J755" s="23" t="n"/>
      <c r="K755" s="17" t="n"/>
      <c r="L755" s="17" t="n"/>
      <c r="M755" s="17" t="n"/>
      <c r="N755" s="17" t="n"/>
      <c r="O755" s="26">
        <f>IF($D755="","",IFERROR(VLOOKUP($D755,物料档案!$A$4:$P$1203,10,0),0))</f>
        <v/>
      </c>
      <c r="P755" s="32" t="n"/>
      <c r="Q755" s="26">
        <f>IF($D755="","",IF($K755&lt;&gt;"对外销售",0,ROUND(N($J755)*IF($P755="",N($O755),N($P755)),0)))</f>
        <v/>
      </c>
      <c r="R755" s="26">
        <f>IF($D755="","",IFERROR(VLOOKUP($D755,库存台账!$A$5:$Y$1204,11,0),0))</f>
        <v/>
      </c>
      <c r="S755" s="26">
        <f>IF($D755="","",ROUND(N($J755)*N($R755),0))</f>
        <v/>
      </c>
      <c r="T755" s="26">
        <f>IF($D755="","",IF($K755&lt;&gt;"对外销售","",ROUND($Q755-$S755,0)))</f>
        <v/>
      </c>
      <c r="U755" s="17" t="n"/>
      <c r="V755" s="17" t="n"/>
      <c r="W755" s="24">
        <f>IF($D755="","",IF($E755="※编码不在物料档案里","※物料编码不在档案里",IF(N($J755)&lt;=0,"※出库数量要大于 0",IF($K755="","※没填去向类型",IF($L755="","※没填去向矿区",IF(AND($C755&lt;&gt;"",$C755&lt;=结账锁),"※日期早于已结账截止日，不能再录",IF(AND($K755="自用消耗",COUNTIF({"一矿区";"二矿区"},$L755)=0),"※自用消耗的去向只能是一矿区或二矿区",IF(AND($K755="对外销售",COUNTIF({"三矿区";"六矿区"},$L755)=0),"※对外销售的去向只能是三矿区或六矿区",IF(AND($K755="对外销售",ROUND($Q755,0)=0),"※外销却没有售价，请填实际售价",IF(AND($K755="对外销售",$T755&lt;&gt;"",$T755&lt;0),"※这一笔外销是亏的，请核对售价",IF(IFERROR(VLOOKUP($D755,库存台账!$A$5:$Y$1204,24,0),0)&lt;-0.001,"※这个物料账面已经变成负数了，查一下是不是漏记入库","")))))))))))</f>
        <v/>
      </c>
    </row>
    <row r="756">
      <c r="A756" s="24">
        <f>IF($D756="","",COUNTA($D$4:$D756))</f>
        <v/>
      </c>
      <c r="B756" s="17" t="n"/>
      <c r="C756" s="30" t="n"/>
      <c r="D756" s="17" t="n"/>
      <c r="E756" s="24">
        <f>IF($D756="","",IFERROR(VLOOKUP($D756,物料档案!$A$4:$P$1203,3,0),"※编码不在物料档案里"))</f>
        <v/>
      </c>
      <c r="F756" s="24">
        <f>IF($D756="","",IFERROR(VLOOKUP($D756,物料档案!$A$4:$P$1203,4,0),"※编码不在物料档案里"))</f>
        <v/>
      </c>
      <c r="G756" s="24">
        <f>IF($D756="","",IFERROR(VLOOKUP($D756,物料档案!$A$4:$P$1203,5,0),"※编码不在物料档案里"))</f>
        <v/>
      </c>
      <c r="H756" s="24">
        <f>IF($D756="","",IFERROR(VLOOKUP($D756,物料档案!$A$4:$P$1203,2,0),"※编码不在物料档案里"))</f>
        <v/>
      </c>
      <c r="I756" s="24">
        <f>IF($D756="","",IFERROR(VLOOKUP($D756,物料档案!$A$4:$P$1203,6,0),"※编码不在物料档案里"))</f>
        <v/>
      </c>
      <c r="J756" s="23" t="n"/>
      <c r="K756" s="17" t="n"/>
      <c r="L756" s="17" t="n"/>
      <c r="M756" s="17" t="n"/>
      <c r="N756" s="17" t="n"/>
      <c r="O756" s="26">
        <f>IF($D756="","",IFERROR(VLOOKUP($D756,物料档案!$A$4:$P$1203,10,0),0))</f>
        <v/>
      </c>
      <c r="P756" s="32" t="n"/>
      <c r="Q756" s="26">
        <f>IF($D756="","",IF($K756&lt;&gt;"对外销售",0,ROUND(N($J756)*IF($P756="",N($O756),N($P756)),0)))</f>
        <v/>
      </c>
      <c r="R756" s="26">
        <f>IF($D756="","",IFERROR(VLOOKUP($D756,库存台账!$A$5:$Y$1204,11,0),0))</f>
        <v/>
      </c>
      <c r="S756" s="26">
        <f>IF($D756="","",ROUND(N($J756)*N($R756),0))</f>
        <v/>
      </c>
      <c r="T756" s="26">
        <f>IF($D756="","",IF($K756&lt;&gt;"对外销售","",ROUND($Q756-$S756,0)))</f>
        <v/>
      </c>
      <c r="U756" s="17" t="n"/>
      <c r="V756" s="17" t="n"/>
      <c r="W756" s="24">
        <f>IF($D756="","",IF($E756="※编码不在物料档案里","※物料编码不在档案里",IF(N($J756)&lt;=0,"※出库数量要大于 0",IF($K756="","※没填去向类型",IF($L756="","※没填去向矿区",IF(AND($C756&lt;&gt;"",$C756&lt;=结账锁),"※日期早于已结账截止日，不能再录",IF(AND($K756="自用消耗",COUNTIF({"一矿区";"二矿区"},$L756)=0),"※自用消耗的去向只能是一矿区或二矿区",IF(AND($K756="对外销售",COUNTIF({"三矿区";"六矿区"},$L756)=0),"※对外销售的去向只能是三矿区或六矿区",IF(AND($K756="对外销售",ROUND($Q756,0)=0),"※外销却没有售价，请填实际售价",IF(AND($K756="对外销售",$T756&lt;&gt;"",$T756&lt;0),"※这一笔外销是亏的，请核对售价",IF(IFERROR(VLOOKUP($D756,库存台账!$A$5:$Y$1204,24,0),0)&lt;-0.001,"※这个物料账面已经变成负数了，查一下是不是漏记入库","")))))))))))</f>
        <v/>
      </c>
    </row>
    <row r="757">
      <c r="A757" s="24">
        <f>IF($D757="","",COUNTA($D$4:$D757))</f>
        <v/>
      </c>
      <c r="B757" s="17" t="n"/>
      <c r="C757" s="30" t="n"/>
      <c r="D757" s="17" t="n"/>
      <c r="E757" s="24">
        <f>IF($D757="","",IFERROR(VLOOKUP($D757,物料档案!$A$4:$P$1203,3,0),"※编码不在物料档案里"))</f>
        <v/>
      </c>
      <c r="F757" s="24">
        <f>IF($D757="","",IFERROR(VLOOKUP($D757,物料档案!$A$4:$P$1203,4,0),"※编码不在物料档案里"))</f>
        <v/>
      </c>
      <c r="G757" s="24">
        <f>IF($D757="","",IFERROR(VLOOKUP($D757,物料档案!$A$4:$P$1203,5,0),"※编码不在物料档案里"))</f>
        <v/>
      </c>
      <c r="H757" s="24">
        <f>IF($D757="","",IFERROR(VLOOKUP($D757,物料档案!$A$4:$P$1203,2,0),"※编码不在物料档案里"))</f>
        <v/>
      </c>
      <c r="I757" s="24">
        <f>IF($D757="","",IFERROR(VLOOKUP($D757,物料档案!$A$4:$P$1203,6,0),"※编码不在物料档案里"))</f>
        <v/>
      </c>
      <c r="J757" s="23" t="n"/>
      <c r="K757" s="17" t="n"/>
      <c r="L757" s="17" t="n"/>
      <c r="M757" s="17" t="n"/>
      <c r="N757" s="17" t="n"/>
      <c r="O757" s="26">
        <f>IF($D757="","",IFERROR(VLOOKUP($D757,物料档案!$A$4:$P$1203,10,0),0))</f>
        <v/>
      </c>
      <c r="P757" s="32" t="n"/>
      <c r="Q757" s="26">
        <f>IF($D757="","",IF($K757&lt;&gt;"对外销售",0,ROUND(N($J757)*IF($P757="",N($O757),N($P757)),0)))</f>
        <v/>
      </c>
      <c r="R757" s="26">
        <f>IF($D757="","",IFERROR(VLOOKUP($D757,库存台账!$A$5:$Y$1204,11,0),0))</f>
        <v/>
      </c>
      <c r="S757" s="26">
        <f>IF($D757="","",ROUND(N($J757)*N($R757),0))</f>
        <v/>
      </c>
      <c r="T757" s="26">
        <f>IF($D757="","",IF($K757&lt;&gt;"对外销售","",ROUND($Q757-$S757,0)))</f>
        <v/>
      </c>
      <c r="U757" s="17" t="n"/>
      <c r="V757" s="17" t="n"/>
      <c r="W757" s="24">
        <f>IF($D757="","",IF($E757="※编码不在物料档案里","※物料编码不在档案里",IF(N($J757)&lt;=0,"※出库数量要大于 0",IF($K757="","※没填去向类型",IF($L757="","※没填去向矿区",IF(AND($C757&lt;&gt;"",$C757&lt;=结账锁),"※日期早于已结账截止日，不能再录",IF(AND($K757="自用消耗",COUNTIF({"一矿区";"二矿区"},$L757)=0),"※自用消耗的去向只能是一矿区或二矿区",IF(AND($K757="对外销售",COUNTIF({"三矿区";"六矿区"},$L757)=0),"※对外销售的去向只能是三矿区或六矿区",IF(AND($K757="对外销售",ROUND($Q757,0)=0),"※外销却没有售价，请填实际售价",IF(AND($K757="对外销售",$T757&lt;&gt;"",$T757&lt;0),"※这一笔外销是亏的，请核对售价",IF(IFERROR(VLOOKUP($D757,库存台账!$A$5:$Y$1204,24,0),0)&lt;-0.001,"※这个物料账面已经变成负数了，查一下是不是漏记入库","")))))))))))</f>
        <v/>
      </c>
    </row>
    <row r="758">
      <c r="A758" s="24">
        <f>IF($D758="","",COUNTA($D$4:$D758))</f>
        <v/>
      </c>
      <c r="B758" s="17" t="n"/>
      <c r="C758" s="30" t="n"/>
      <c r="D758" s="17" t="n"/>
      <c r="E758" s="24">
        <f>IF($D758="","",IFERROR(VLOOKUP($D758,物料档案!$A$4:$P$1203,3,0),"※编码不在物料档案里"))</f>
        <v/>
      </c>
      <c r="F758" s="24">
        <f>IF($D758="","",IFERROR(VLOOKUP($D758,物料档案!$A$4:$P$1203,4,0),"※编码不在物料档案里"))</f>
        <v/>
      </c>
      <c r="G758" s="24">
        <f>IF($D758="","",IFERROR(VLOOKUP($D758,物料档案!$A$4:$P$1203,5,0),"※编码不在物料档案里"))</f>
        <v/>
      </c>
      <c r="H758" s="24">
        <f>IF($D758="","",IFERROR(VLOOKUP($D758,物料档案!$A$4:$P$1203,2,0),"※编码不在物料档案里"))</f>
        <v/>
      </c>
      <c r="I758" s="24">
        <f>IF($D758="","",IFERROR(VLOOKUP($D758,物料档案!$A$4:$P$1203,6,0),"※编码不在物料档案里"))</f>
        <v/>
      </c>
      <c r="J758" s="23" t="n"/>
      <c r="K758" s="17" t="n"/>
      <c r="L758" s="17" t="n"/>
      <c r="M758" s="17" t="n"/>
      <c r="N758" s="17" t="n"/>
      <c r="O758" s="26">
        <f>IF($D758="","",IFERROR(VLOOKUP($D758,物料档案!$A$4:$P$1203,10,0),0))</f>
        <v/>
      </c>
      <c r="P758" s="32" t="n"/>
      <c r="Q758" s="26">
        <f>IF($D758="","",IF($K758&lt;&gt;"对外销售",0,ROUND(N($J758)*IF($P758="",N($O758),N($P758)),0)))</f>
        <v/>
      </c>
      <c r="R758" s="26">
        <f>IF($D758="","",IFERROR(VLOOKUP($D758,库存台账!$A$5:$Y$1204,11,0),0))</f>
        <v/>
      </c>
      <c r="S758" s="26">
        <f>IF($D758="","",ROUND(N($J758)*N($R758),0))</f>
        <v/>
      </c>
      <c r="T758" s="26">
        <f>IF($D758="","",IF($K758&lt;&gt;"对外销售","",ROUND($Q758-$S758,0)))</f>
        <v/>
      </c>
      <c r="U758" s="17" t="n"/>
      <c r="V758" s="17" t="n"/>
      <c r="W758" s="24">
        <f>IF($D758="","",IF($E758="※编码不在物料档案里","※物料编码不在档案里",IF(N($J758)&lt;=0,"※出库数量要大于 0",IF($K758="","※没填去向类型",IF($L758="","※没填去向矿区",IF(AND($C758&lt;&gt;"",$C758&lt;=结账锁),"※日期早于已结账截止日，不能再录",IF(AND($K758="自用消耗",COUNTIF({"一矿区";"二矿区"},$L758)=0),"※自用消耗的去向只能是一矿区或二矿区",IF(AND($K758="对外销售",COUNTIF({"三矿区";"六矿区"},$L758)=0),"※对外销售的去向只能是三矿区或六矿区",IF(AND($K758="对外销售",ROUND($Q758,0)=0),"※外销却没有售价，请填实际售价",IF(AND($K758="对外销售",$T758&lt;&gt;"",$T758&lt;0),"※这一笔外销是亏的，请核对售价",IF(IFERROR(VLOOKUP($D758,库存台账!$A$5:$Y$1204,24,0),0)&lt;-0.001,"※这个物料账面已经变成负数了，查一下是不是漏记入库","")))))))))))</f>
        <v/>
      </c>
    </row>
    <row r="759">
      <c r="A759" s="24">
        <f>IF($D759="","",COUNTA($D$4:$D759))</f>
        <v/>
      </c>
      <c r="B759" s="17" t="n"/>
      <c r="C759" s="30" t="n"/>
      <c r="D759" s="17" t="n"/>
      <c r="E759" s="24">
        <f>IF($D759="","",IFERROR(VLOOKUP($D759,物料档案!$A$4:$P$1203,3,0),"※编码不在物料档案里"))</f>
        <v/>
      </c>
      <c r="F759" s="24">
        <f>IF($D759="","",IFERROR(VLOOKUP($D759,物料档案!$A$4:$P$1203,4,0),"※编码不在物料档案里"))</f>
        <v/>
      </c>
      <c r="G759" s="24">
        <f>IF($D759="","",IFERROR(VLOOKUP($D759,物料档案!$A$4:$P$1203,5,0),"※编码不在物料档案里"))</f>
        <v/>
      </c>
      <c r="H759" s="24">
        <f>IF($D759="","",IFERROR(VLOOKUP($D759,物料档案!$A$4:$P$1203,2,0),"※编码不在物料档案里"))</f>
        <v/>
      </c>
      <c r="I759" s="24">
        <f>IF($D759="","",IFERROR(VLOOKUP($D759,物料档案!$A$4:$P$1203,6,0),"※编码不在物料档案里"))</f>
        <v/>
      </c>
      <c r="J759" s="23" t="n"/>
      <c r="K759" s="17" t="n"/>
      <c r="L759" s="17" t="n"/>
      <c r="M759" s="17" t="n"/>
      <c r="N759" s="17" t="n"/>
      <c r="O759" s="26">
        <f>IF($D759="","",IFERROR(VLOOKUP($D759,物料档案!$A$4:$P$1203,10,0),0))</f>
        <v/>
      </c>
      <c r="P759" s="32" t="n"/>
      <c r="Q759" s="26">
        <f>IF($D759="","",IF($K759&lt;&gt;"对外销售",0,ROUND(N($J759)*IF($P759="",N($O759),N($P759)),0)))</f>
        <v/>
      </c>
      <c r="R759" s="26">
        <f>IF($D759="","",IFERROR(VLOOKUP($D759,库存台账!$A$5:$Y$1204,11,0),0))</f>
        <v/>
      </c>
      <c r="S759" s="26">
        <f>IF($D759="","",ROUND(N($J759)*N($R759),0))</f>
        <v/>
      </c>
      <c r="T759" s="26">
        <f>IF($D759="","",IF($K759&lt;&gt;"对外销售","",ROUND($Q759-$S759,0)))</f>
        <v/>
      </c>
      <c r="U759" s="17" t="n"/>
      <c r="V759" s="17" t="n"/>
      <c r="W759" s="24">
        <f>IF($D759="","",IF($E759="※编码不在物料档案里","※物料编码不在档案里",IF(N($J759)&lt;=0,"※出库数量要大于 0",IF($K759="","※没填去向类型",IF($L759="","※没填去向矿区",IF(AND($C759&lt;&gt;"",$C759&lt;=结账锁),"※日期早于已结账截止日，不能再录",IF(AND($K759="自用消耗",COUNTIF({"一矿区";"二矿区"},$L759)=0),"※自用消耗的去向只能是一矿区或二矿区",IF(AND($K759="对外销售",COUNTIF({"三矿区";"六矿区"},$L759)=0),"※对外销售的去向只能是三矿区或六矿区",IF(AND($K759="对外销售",ROUND($Q759,0)=0),"※外销却没有售价，请填实际售价",IF(AND($K759="对外销售",$T759&lt;&gt;"",$T759&lt;0),"※这一笔外销是亏的，请核对售价",IF(IFERROR(VLOOKUP($D759,库存台账!$A$5:$Y$1204,24,0),0)&lt;-0.001,"※这个物料账面已经变成负数了，查一下是不是漏记入库","")))))))))))</f>
        <v/>
      </c>
    </row>
    <row r="760">
      <c r="A760" s="24">
        <f>IF($D760="","",COUNTA($D$4:$D760))</f>
        <v/>
      </c>
      <c r="B760" s="17" t="n"/>
      <c r="C760" s="30" t="n"/>
      <c r="D760" s="17" t="n"/>
      <c r="E760" s="24">
        <f>IF($D760="","",IFERROR(VLOOKUP($D760,物料档案!$A$4:$P$1203,3,0),"※编码不在物料档案里"))</f>
        <v/>
      </c>
      <c r="F760" s="24">
        <f>IF($D760="","",IFERROR(VLOOKUP($D760,物料档案!$A$4:$P$1203,4,0),"※编码不在物料档案里"))</f>
        <v/>
      </c>
      <c r="G760" s="24">
        <f>IF($D760="","",IFERROR(VLOOKUP($D760,物料档案!$A$4:$P$1203,5,0),"※编码不在物料档案里"))</f>
        <v/>
      </c>
      <c r="H760" s="24">
        <f>IF($D760="","",IFERROR(VLOOKUP($D760,物料档案!$A$4:$P$1203,2,0),"※编码不在物料档案里"))</f>
        <v/>
      </c>
      <c r="I760" s="24">
        <f>IF($D760="","",IFERROR(VLOOKUP($D760,物料档案!$A$4:$P$1203,6,0),"※编码不在物料档案里"))</f>
        <v/>
      </c>
      <c r="J760" s="23" t="n"/>
      <c r="K760" s="17" t="n"/>
      <c r="L760" s="17" t="n"/>
      <c r="M760" s="17" t="n"/>
      <c r="N760" s="17" t="n"/>
      <c r="O760" s="26">
        <f>IF($D760="","",IFERROR(VLOOKUP($D760,物料档案!$A$4:$P$1203,10,0),0))</f>
        <v/>
      </c>
      <c r="P760" s="32" t="n"/>
      <c r="Q760" s="26">
        <f>IF($D760="","",IF($K760&lt;&gt;"对外销售",0,ROUND(N($J760)*IF($P760="",N($O760),N($P760)),0)))</f>
        <v/>
      </c>
      <c r="R760" s="26">
        <f>IF($D760="","",IFERROR(VLOOKUP($D760,库存台账!$A$5:$Y$1204,11,0),0))</f>
        <v/>
      </c>
      <c r="S760" s="26">
        <f>IF($D760="","",ROUND(N($J760)*N($R760),0))</f>
        <v/>
      </c>
      <c r="T760" s="26">
        <f>IF($D760="","",IF($K760&lt;&gt;"对外销售","",ROUND($Q760-$S760,0)))</f>
        <v/>
      </c>
      <c r="U760" s="17" t="n"/>
      <c r="V760" s="17" t="n"/>
      <c r="W760" s="24">
        <f>IF($D760="","",IF($E760="※编码不在物料档案里","※物料编码不在档案里",IF(N($J760)&lt;=0,"※出库数量要大于 0",IF($K760="","※没填去向类型",IF($L760="","※没填去向矿区",IF(AND($C760&lt;&gt;"",$C760&lt;=结账锁),"※日期早于已结账截止日，不能再录",IF(AND($K760="自用消耗",COUNTIF({"一矿区";"二矿区"},$L760)=0),"※自用消耗的去向只能是一矿区或二矿区",IF(AND($K760="对外销售",COUNTIF({"三矿区";"六矿区"},$L760)=0),"※对外销售的去向只能是三矿区或六矿区",IF(AND($K760="对外销售",ROUND($Q760,0)=0),"※外销却没有售价，请填实际售价",IF(AND($K760="对外销售",$T760&lt;&gt;"",$T760&lt;0),"※这一笔外销是亏的，请核对售价",IF(IFERROR(VLOOKUP($D760,库存台账!$A$5:$Y$1204,24,0),0)&lt;-0.001,"※这个物料账面已经变成负数了，查一下是不是漏记入库","")))))))))))</f>
        <v/>
      </c>
    </row>
    <row r="761">
      <c r="A761" s="24">
        <f>IF($D761="","",COUNTA($D$4:$D761))</f>
        <v/>
      </c>
      <c r="B761" s="17" t="n"/>
      <c r="C761" s="30" t="n"/>
      <c r="D761" s="17" t="n"/>
      <c r="E761" s="24">
        <f>IF($D761="","",IFERROR(VLOOKUP($D761,物料档案!$A$4:$P$1203,3,0),"※编码不在物料档案里"))</f>
        <v/>
      </c>
      <c r="F761" s="24">
        <f>IF($D761="","",IFERROR(VLOOKUP($D761,物料档案!$A$4:$P$1203,4,0),"※编码不在物料档案里"))</f>
        <v/>
      </c>
      <c r="G761" s="24">
        <f>IF($D761="","",IFERROR(VLOOKUP($D761,物料档案!$A$4:$P$1203,5,0),"※编码不在物料档案里"))</f>
        <v/>
      </c>
      <c r="H761" s="24">
        <f>IF($D761="","",IFERROR(VLOOKUP($D761,物料档案!$A$4:$P$1203,2,0),"※编码不在物料档案里"))</f>
        <v/>
      </c>
      <c r="I761" s="24">
        <f>IF($D761="","",IFERROR(VLOOKUP($D761,物料档案!$A$4:$P$1203,6,0),"※编码不在物料档案里"))</f>
        <v/>
      </c>
      <c r="J761" s="23" t="n"/>
      <c r="K761" s="17" t="n"/>
      <c r="L761" s="17" t="n"/>
      <c r="M761" s="17" t="n"/>
      <c r="N761" s="17" t="n"/>
      <c r="O761" s="26">
        <f>IF($D761="","",IFERROR(VLOOKUP($D761,物料档案!$A$4:$P$1203,10,0),0))</f>
        <v/>
      </c>
      <c r="P761" s="32" t="n"/>
      <c r="Q761" s="26">
        <f>IF($D761="","",IF($K761&lt;&gt;"对外销售",0,ROUND(N($J761)*IF($P761="",N($O761),N($P761)),0)))</f>
        <v/>
      </c>
      <c r="R761" s="26">
        <f>IF($D761="","",IFERROR(VLOOKUP($D761,库存台账!$A$5:$Y$1204,11,0),0))</f>
        <v/>
      </c>
      <c r="S761" s="26">
        <f>IF($D761="","",ROUND(N($J761)*N($R761),0))</f>
        <v/>
      </c>
      <c r="T761" s="26">
        <f>IF($D761="","",IF($K761&lt;&gt;"对外销售","",ROUND($Q761-$S761,0)))</f>
        <v/>
      </c>
      <c r="U761" s="17" t="n"/>
      <c r="V761" s="17" t="n"/>
      <c r="W761" s="24">
        <f>IF($D761="","",IF($E761="※编码不在物料档案里","※物料编码不在档案里",IF(N($J761)&lt;=0,"※出库数量要大于 0",IF($K761="","※没填去向类型",IF($L761="","※没填去向矿区",IF(AND($C761&lt;&gt;"",$C761&lt;=结账锁),"※日期早于已结账截止日，不能再录",IF(AND($K761="自用消耗",COUNTIF({"一矿区";"二矿区"},$L761)=0),"※自用消耗的去向只能是一矿区或二矿区",IF(AND($K761="对外销售",COUNTIF({"三矿区";"六矿区"},$L761)=0),"※对外销售的去向只能是三矿区或六矿区",IF(AND($K761="对外销售",ROUND($Q761,0)=0),"※外销却没有售价，请填实际售价",IF(AND($K761="对外销售",$T761&lt;&gt;"",$T761&lt;0),"※这一笔外销是亏的，请核对售价",IF(IFERROR(VLOOKUP($D761,库存台账!$A$5:$Y$1204,24,0),0)&lt;-0.001,"※这个物料账面已经变成负数了，查一下是不是漏记入库","")))))))))))</f>
        <v/>
      </c>
    </row>
    <row r="762">
      <c r="A762" s="24">
        <f>IF($D762="","",COUNTA($D$4:$D762))</f>
        <v/>
      </c>
      <c r="B762" s="17" t="n"/>
      <c r="C762" s="30" t="n"/>
      <c r="D762" s="17" t="n"/>
      <c r="E762" s="24">
        <f>IF($D762="","",IFERROR(VLOOKUP($D762,物料档案!$A$4:$P$1203,3,0),"※编码不在物料档案里"))</f>
        <v/>
      </c>
      <c r="F762" s="24">
        <f>IF($D762="","",IFERROR(VLOOKUP($D762,物料档案!$A$4:$P$1203,4,0),"※编码不在物料档案里"))</f>
        <v/>
      </c>
      <c r="G762" s="24">
        <f>IF($D762="","",IFERROR(VLOOKUP($D762,物料档案!$A$4:$P$1203,5,0),"※编码不在物料档案里"))</f>
        <v/>
      </c>
      <c r="H762" s="24">
        <f>IF($D762="","",IFERROR(VLOOKUP($D762,物料档案!$A$4:$P$1203,2,0),"※编码不在物料档案里"))</f>
        <v/>
      </c>
      <c r="I762" s="24">
        <f>IF($D762="","",IFERROR(VLOOKUP($D762,物料档案!$A$4:$P$1203,6,0),"※编码不在物料档案里"))</f>
        <v/>
      </c>
      <c r="J762" s="23" t="n"/>
      <c r="K762" s="17" t="n"/>
      <c r="L762" s="17" t="n"/>
      <c r="M762" s="17" t="n"/>
      <c r="N762" s="17" t="n"/>
      <c r="O762" s="26">
        <f>IF($D762="","",IFERROR(VLOOKUP($D762,物料档案!$A$4:$P$1203,10,0),0))</f>
        <v/>
      </c>
      <c r="P762" s="32" t="n"/>
      <c r="Q762" s="26">
        <f>IF($D762="","",IF($K762&lt;&gt;"对外销售",0,ROUND(N($J762)*IF($P762="",N($O762),N($P762)),0)))</f>
        <v/>
      </c>
      <c r="R762" s="26">
        <f>IF($D762="","",IFERROR(VLOOKUP($D762,库存台账!$A$5:$Y$1204,11,0),0))</f>
        <v/>
      </c>
      <c r="S762" s="26">
        <f>IF($D762="","",ROUND(N($J762)*N($R762),0))</f>
        <v/>
      </c>
      <c r="T762" s="26">
        <f>IF($D762="","",IF($K762&lt;&gt;"对外销售","",ROUND($Q762-$S762,0)))</f>
        <v/>
      </c>
      <c r="U762" s="17" t="n"/>
      <c r="V762" s="17" t="n"/>
      <c r="W762" s="24">
        <f>IF($D762="","",IF($E762="※编码不在物料档案里","※物料编码不在档案里",IF(N($J762)&lt;=0,"※出库数量要大于 0",IF($K762="","※没填去向类型",IF($L762="","※没填去向矿区",IF(AND($C762&lt;&gt;"",$C762&lt;=结账锁),"※日期早于已结账截止日，不能再录",IF(AND($K762="自用消耗",COUNTIF({"一矿区";"二矿区"},$L762)=0),"※自用消耗的去向只能是一矿区或二矿区",IF(AND($K762="对外销售",COUNTIF({"三矿区";"六矿区"},$L762)=0),"※对外销售的去向只能是三矿区或六矿区",IF(AND($K762="对外销售",ROUND($Q762,0)=0),"※外销却没有售价，请填实际售价",IF(AND($K762="对外销售",$T762&lt;&gt;"",$T762&lt;0),"※这一笔外销是亏的，请核对售价",IF(IFERROR(VLOOKUP($D762,库存台账!$A$5:$Y$1204,24,0),0)&lt;-0.001,"※这个物料账面已经变成负数了，查一下是不是漏记入库","")))))))))))</f>
        <v/>
      </c>
    </row>
    <row r="763">
      <c r="A763" s="24">
        <f>IF($D763="","",COUNTA($D$4:$D763))</f>
        <v/>
      </c>
      <c r="B763" s="17" t="n"/>
      <c r="C763" s="30" t="n"/>
      <c r="D763" s="17" t="n"/>
      <c r="E763" s="24">
        <f>IF($D763="","",IFERROR(VLOOKUP($D763,物料档案!$A$4:$P$1203,3,0),"※编码不在物料档案里"))</f>
        <v/>
      </c>
      <c r="F763" s="24">
        <f>IF($D763="","",IFERROR(VLOOKUP($D763,物料档案!$A$4:$P$1203,4,0),"※编码不在物料档案里"))</f>
        <v/>
      </c>
      <c r="G763" s="24">
        <f>IF($D763="","",IFERROR(VLOOKUP($D763,物料档案!$A$4:$P$1203,5,0),"※编码不在物料档案里"))</f>
        <v/>
      </c>
      <c r="H763" s="24">
        <f>IF($D763="","",IFERROR(VLOOKUP($D763,物料档案!$A$4:$P$1203,2,0),"※编码不在物料档案里"))</f>
        <v/>
      </c>
      <c r="I763" s="24">
        <f>IF($D763="","",IFERROR(VLOOKUP($D763,物料档案!$A$4:$P$1203,6,0),"※编码不在物料档案里"))</f>
        <v/>
      </c>
      <c r="J763" s="23" t="n"/>
      <c r="K763" s="17" t="n"/>
      <c r="L763" s="17" t="n"/>
      <c r="M763" s="17" t="n"/>
      <c r="N763" s="17" t="n"/>
      <c r="O763" s="26">
        <f>IF($D763="","",IFERROR(VLOOKUP($D763,物料档案!$A$4:$P$1203,10,0),0))</f>
        <v/>
      </c>
      <c r="P763" s="32" t="n"/>
      <c r="Q763" s="26">
        <f>IF($D763="","",IF($K763&lt;&gt;"对外销售",0,ROUND(N($J763)*IF($P763="",N($O763),N($P763)),0)))</f>
        <v/>
      </c>
      <c r="R763" s="26">
        <f>IF($D763="","",IFERROR(VLOOKUP($D763,库存台账!$A$5:$Y$1204,11,0),0))</f>
        <v/>
      </c>
      <c r="S763" s="26">
        <f>IF($D763="","",ROUND(N($J763)*N($R763),0))</f>
        <v/>
      </c>
      <c r="T763" s="26">
        <f>IF($D763="","",IF($K763&lt;&gt;"对外销售","",ROUND($Q763-$S763,0)))</f>
        <v/>
      </c>
      <c r="U763" s="17" t="n"/>
      <c r="V763" s="17" t="n"/>
      <c r="W763" s="24">
        <f>IF($D763="","",IF($E763="※编码不在物料档案里","※物料编码不在档案里",IF(N($J763)&lt;=0,"※出库数量要大于 0",IF($K763="","※没填去向类型",IF($L763="","※没填去向矿区",IF(AND($C763&lt;&gt;"",$C763&lt;=结账锁),"※日期早于已结账截止日，不能再录",IF(AND($K763="自用消耗",COUNTIF({"一矿区";"二矿区"},$L763)=0),"※自用消耗的去向只能是一矿区或二矿区",IF(AND($K763="对外销售",COUNTIF({"三矿区";"六矿区"},$L763)=0),"※对外销售的去向只能是三矿区或六矿区",IF(AND($K763="对外销售",ROUND($Q763,0)=0),"※外销却没有售价，请填实际售价",IF(AND($K763="对外销售",$T763&lt;&gt;"",$T763&lt;0),"※这一笔外销是亏的，请核对售价",IF(IFERROR(VLOOKUP($D763,库存台账!$A$5:$Y$1204,24,0),0)&lt;-0.001,"※这个物料账面已经变成负数了，查一下是不是漏记入库","")))))))))))</f>
        <v/>
      </c>
    </row>
    <row r="764">
      <c r="A764" s="24">
        <f>IF($D764="","",COUNTA($D$4:$D764))</f>
        <v/>
      </c>
      <c r="B764" s="17" t="n"/>
      <c r="C764" s="30" t="n"/>
      <c r="D764" s="17" t="n"/>
      <c r="E764" s="24">
        <f>IF($D764="","",IFERROR(VLOOKUP($D764,物料档案!$A$4:$P$1203,3,0),"※编码不在物料档案里"))</f>
        <v/>
      </c>
      <c r="F764" s="24">
        <f>IF($D764="","",IFERROR(VLOOKUP($D764,物料档案!$A$4:$P$1203,4,0),"※编码不在物料档案里"))</f>
        <v/>
      </c>
      <c r="G764" s="24">
        <f>IF($D764="","",IFERROR(VLOOKUP($D764,物料档案!$A$4:$P$1203,5,0),"※编码不在物料档案里"))</f>
        <v/>
      </c>
      <c r="H764" s="24">
        <f>IF($D764="","",IFERROR(VLOOKUP($D764,物料档案!$A$4:$P$1203,2,0),"※编码不在物料档案里"))</f>
        <v/>
      </c>
      <c r="I764" s="24">
        <f>IF($D764="","",IFERROR(VLOOKUP($D764,物料档案!$A$4:$P$1203,6,0),"※编码不在物料档案里"))</f>
        <v/>
      </c>
      <c r="J764" s="23" t="n"/>
      <c r="K764" s="17" t="n"/>
      <c r="L764" s="17" t="n"/>
      <c r="M764" s="17" t="n"/>
      <c r="N764" s="17" t="n"/>
      <c r="O764" s="26">
        <f>IF($D764="","",IFERROR(VLOOKUP($D764,物料档案!$A$4:$P$1203,10,0),0))</f>
        <v/>
      </c>
      <c r="P764" s="32" t="n"/>
      <c r="Q764" s="26">
        <f>IF($D764="","",IF($K764&lt;&gt;"对外销售",0,ROUND(N($J764)*IF($P764="",N($O764),N($P764)),0)))</f>
        <v/>
      </c>
      <c r="R764" s="26">
        <f>IF($D764="","",IFERROR(VLOOKUP($D764,库存台账!$A$5:$Y$1204,11,0),0))</f>
        <v/>
      </c>
      <c r="S764" s="26">
        <f>IF($D764="","",ROUND(N($J764)*N($R764),0))</f>
        <v/>
      </c>
      <c r="T764" s="26">
        <f>IF($D764="","",IF($K764&lt;&gt;"对外销售","",ROUND($Q764-$S764,0)))</f>
        <v/>
      </c>
      <c r="U764" s="17" t="n"/>
      <c r="V764" s="17" t="n"/>
      <c r="W764" s="24">
        <f>IF($D764="","",IF($E764="※编码不在物料档案里","※物料编码不在档案里",IF(N($J764)&lt;=0,"※出库数量要大于 0",IF($K764="","※没填去向类型",IF($L764="","※没填去向矿区",IF(AND($C764&lt;&gt;"",$C764&lt;=结账锁),"※日期早于已结账截止日，不能再录",IF(AND($K764="自用消耗",COUNTIF({"一矿区";"二矿区"},$L764)=0),"※自用消耗的去向只能是一矿区或二矿区",IF(AND($K764="对外销售",COUNTIF({"三矿区";"六矿区"},$L764)=0),"※对外销售的去向只能是三矿区或六矿区",IF(AND($K764="对外销售",ROUND($Q764,0)=0),"※外销却没有售价，请填实际售价",IF(AND($K764="对外销售",$T764&lt;&gt;"",$T764&lt;0),"※这一笔外销是亏的，请核对售价",IF(IFERROR(VLOOKUP($D764,库存台账!$A$5:$Y$1204,24,0),0)&lt;-0.001,"※这个物料账面已经变成负数了，查一下是不是漏记入库","")))))))))))</f>
        <v/>
      </c>
    </row>
    <row r="765">
      <c r="A765" s="24">
        <f>IF($D765="","",COUNTA($D$4:$D765))</f>
        <v/>
      </c>
      <c r="B765" s="17" t="n"/>
      <c r="C765" s="30" t="n"/>
      <c r="D765" s="17" t="n"/>
      <c r="E765" s="24">
        <f>IF($D765="","",IFERROR(VLOOKUP($D765,物料档案!$A$4:$P$1203,3,0),"※编码不在物料档案里"))</f>
        <v/>
      </c>
      <c r="F765" s="24">
        <f>IF($D765="","",IFERROR(VLOOKUP($D765,物料档案!$A$4:$P$1203,4,0),"※编码不在物料档案里"))</f>
        <v/>
      </c>
      <c r="G765" s="24">
        <f>IF($D765="","",IFERROR(VLOOKUP($D765,物料档案!$A$4:$P$1203,5,0),"※编码不在物料档案里"))</f>
        <v/>
      </c>
      <c r="H765" s="24">
        <f>IF($D765="","",IFERROR(VLOOKUP($D765,物料档案!$A$4:$P$1203,2,0),"※编码不在物料档案里"))</f>
        <v/>
      </c>
      <c r="I765" s="24">
        <f>IF($D765="","",IFERROR(VLOOKUP($D765,物料档案!$A$4:$P$1203,6,0),"※编码不在物料档案里"))</f>
        <v/>
      </c>
      <c r="J765" s="23" t="n"/>
      <c r="K765" s="17" t="n"/>
      <c r="L765" s="17" t="n"/>
      <c r="M765" s="17" t="n"/>
      <c r="N765" s="17" t="n"/>
      <c r="O765" s="26">
        <f>IF($D765="","",IFERROR(VLOOKUP($D765,物料档案!$A$4:$P$1203,10,0),0))</f>
        <v/>
      </c>
      <c r="P765" s="32" t="n"/>
      <c r="Q765" s="26">
        <f>IF($D765="","",IF($K765&lt;&gt;"对外销售",0,ROUND(N($J765)*IF($P765="",N($O765),N($P765)),0)))</f>
        <v/>
      </c>
      <c r="R765" s="26">
        <f>IF($D765="","",IFERROR(VLOOKUP($D765,库存台账!$A$5:$Y$1204,11,0),0))</f>
        <v/>
      </c>
      <c r="S765" s="26">
        <f>IF($D765="","",ROUND(N($J765)*N($R765),0))</f>
        <v/>
      </c>
      <c r="T765" s="26">
        <f>IF($D765="","",IF($K765&lt;&gt;"对外销售","",ROUND($Q765-$S765,0)))</f>
        <v/>
      </c>
      <c r="U765" s="17" t="n"/>
      <c r="V765" s="17" t="n"/>
      <c r="W765" s="24">
        <f>IF($D765="","",IF($E765="※编码不在物料档案里","※物料编码不在档案里",IF(N($J765)&lt;=0,"※出库数量要大于 0",IF($K765="","※没填去向类型",IF($L765="","※没填去向矿区",IF(AND($C765&lt;&gt;"",$C765&lt;=结账锁),"※日期早于已结账截止日，不能再录",IF(AND($K765="自用消耗",COUNTIF({"一矿区";"二矿区"},$L765)=0),"※自用消耗的去向只能是一矿区或二矿区",IF(AND($K765="对外销售",COUNTIF({"三矿区";"六矿区"},$L765)=0),"※对外销售的去向只能是三矿区或六矿区",IF(AND($K765="对外销售",ROUND($Q765,0)=0),"※外销却没有售价，请填实际售价",IF(AND($K765="对外销售",$T765&lt;&gt;"",$T765&lt;0),"※这一笔外销是亏的，请核对售价",IF(IFERROR(VLOOKUP($D765,库存台账!$A$5:$Y$1204,24,0),0)&lt;-0.001,"※这个物料账面已经变成负数了，查一下是不是漏记入库","")))))))))))</f>
        <v/>
      </c>
    </row>
    <row r="766">
      <c r="A766" s="24">
        <f>IF($D766="","",COUNTA($D$4:$D766))</f>
        <v/>
      </c>
      <c r="B766" s="17" t="n"/>
      <c r="C766" s="30" t="n"/>
      <c r="D766" s="17" t="n"/>
      <c r="E766" s="24">
        <f>IF($D766="","",IFERROR(VLOOKUP($D766,物料档案!$A$4:$P$1203,3,0),"※编码不在物料档案里"))</f>
        <v/>
      </c>
      <c r="F766" s="24">
        <f>IF($D766="","",IFERROR(VLOOKUP($D766,物料档案!$A$4:$P$1203,4,0),"※编码不在物料档案里"))</f>
        <v/>
      </c>
      <c r="G766" s="24">
        <f>IF($D766="","",IFERROR(VLOOKUP($D766,物料档案!$A$4:$P$1203,5,0),"※编码不在物料档案里"))</f>
        <v/>
      </c>
      <c r="H766" s="24">
        <f>IF($D766="","",IFERROR(VLOOKUP($D766,物料档案!$A$4:$P$1203,2,0),"※编码不在物料档案里"))</f>
        <v/>
      </c>
      <c r="I766" s="24">
        <f>IF($D766="","",IFERROR(VLOOKUP($D766,物料档案!$A$4:$P$1203,6,0),"※编码不在物料档案里"))</f>
        <v/>
      </c>
      <c r="J766" s="23" t="n"/>
      <c r="K766" s="17" t="n"/>
      <c r="L766" s="17" t="n"/>
      <c r="M766" s="17" t="n"/>
      <c r="N766" s="17" t="n"/>
      <c r="O766" s="26">
        <f>IF($D766="","",IFERROR(VLOOKUP($D766,物料档案!$A$4:$P$1203,10,0),0))</f>
        <v/>
      </c>
      <c r="P766" s="32" t="n"/>
      <c r="Q766" s="26">
        <f>IF($D766="","",IF($K766&lt;&gt;"对外销售",0,ROUND(N($J766)*IF($P766="",N($O766),N($P766)),0)))</f>
        <v/>
      </c>
      <c r="R766" s="26">
        <f>IF($D766="","",IFERROR(VLOOKUP($D766,库存台账!$A$5:$Y$1204,11,0),0))</f>
        <v/>
      </c>
      <c r="S766" s="26">
        <f>IF($D766="","",ROUND(N($J766)*N($R766),0))</f>
        <v/>
      </c>
      <c r="T766" s="26">
        <f>IF($D766="","",IF($K766&lt;&gt;"对外销售","",ROUND($Q766-$S766,0)))</f>
        <v/>
      </c>
      <c r="U766" s="17" t="n"/>
      <c r="V766" s="17" t="n"/>
      <c r="W766" s="24">
        <f>IF($D766="","",IF($E766="※编码不在物料档案里","※物料编码不在档案里",IF(N($J766)&lt;=0,"※出库数量要大于 0",IF($K766="","※没填去向类型",IF($L766="","※没填去向矿区",IF(AND($C766&lt;&gt;"",$C766&lt;=结账锁),"※日期早于已结账截止日，不能再录",IF(AND($K766="自用消耗",COUNTIF({"一矿区";"二矿区"},$L766)=0),"※自用消耗的去向只能是一矿区或二矿区",IF(AND($K766="对外销售",COUNTIF({"三矿区";"六矿区"},$L766)=0),"※对外销售的去向只能是三矿区或六矿区",IF(AND($K766="对外销售",ROUND($Q766,0)=0),"※外销却没有售价，请填实际售价",IF(AND($K766="对外销售",$T766&lt;&gt;"",$T766&lt;0),"※这一笔外销是亏的，请核对售价",IF(IFERROR(VLOOKUP($D766,库存台账!$A$5:$Y$1204,24,0),0)&lt;-0.001,"※这个物料账面已经变成负数了，查一下是不是漏记入库","")))))))))))</f>
        <v/>
      </c>
    </row>
    <row r="767">
      <c r="A767" s="24">
        <f>IF($D767="","",COUNTA($D$4:$D767))</f>
        <v/>
      </c>
      <c r="B767" s="17" t="n"/>
      <c r="C767" s="30" t="n"/>
      <c r="D767" s="17" t="n"/>
      <c r="E767" s="24">
        <f>IF($D767="","",IFERROR(VLOOKUP($D767,物料档案!$A$4:$P$1203,3,0),"※编码不在物料档案里"))</f>
        <v/>
      </c>
      <c r="F767" s="24">
        <f>IF($D767="","",IFERROR(VLOOKUP($D767,物料档案!$A$4:$P$1203,4,0),"※编码不在物料档案里"))</f>
        <v/>
      </c>
      <c r="G767" s="24">
        <f>IF($D767="","",IFERROR(VLOOKUP($D767,物料档案!$A$4:$P$1203,5,0),"※编码不在物料档案里"))</f>
        <v/>
      </c>
      <c r="H767" s="24">
        <f>IF($D767="","",IFERROR(VLOOKUP($D767,物料档案!$A$4:$P$1203,2,0),"※编码不在物料档案里"))</f>
        <v/>
      </c>
      <c r="I767" s="24">
        <f>IF($D767="","",IFERROR(VLOOKUP($D767,物料档案!$A$4:$P$1203,6,0),"※编码不在物料档案里"))</f>
        <v/>
      </c>
      <c r="J767" s="23" t="n"/>
      <c r="K767" s="17" t="n"/>
      <c r="L767" s="17" t="n"/>
      <c r="M767" s="17" t="n"/>
      <c r="N767" s="17" t="n"/>
      <c r="O767" s="26">
        <f>IF($D767="","",IFERROR(VLOOKUP($D767,物料档案!$A$4:$P$1203,10,0),0))</f>
        <v/>
      </c>
      <c r="P767" s="32" t="n"/>
      <c r="Q767" s="26">
        <f>IF($D767="","",IF($K767&lt;&gt;"对外销售",0,ROUND(N($J767)*IF($P767="",N($O767),N($P767)),0)))</f>
        <v/>
      </c>
      <c r="R767" s="26">
        <f>IF($D767="","",IFERROR(VLOOKUP($D767,库存台账!$A$5:$Y$1204,11,0),0))</f>
        <v/>
      </c>
      <c r="S767" s="26">
        <f>IF($D767="","",ROUND(N($J767)*N($R767),0))</f>
        <v/>
      </c>
      <c r="T767" s="26">
        <f>IF($D767="","",IF($K767&lt;&gt;"对外销售","",ROUND($Q767-$S767,0)))</f>
        <v/>
      </c>
      <c r="U767" s="17" t="n"/>
      <c r="V767" s="17" t="n"/>
      <c r="W767" s="24">
        <f>IF($D767="","",IF($E767="※编码不在物料档案里","※物料编码不在档案里",IF(N($J767)&lt;=0,"※出库数量要大于 0",IF($K767="","※没填去向类型",IF($L767="","※没填去向矿区",IF(AND($C767&lt;&gt;"",$C767&lt;=结账锁),"※日期早于已结账截止日，不能再录",IF(AND($K767="自用消耗",COUNTIF({"一矿区";"二矿区"},$L767)=0),"※自用消耗的去向只能是一矿区或二矿区",IF(AND($K767="对外销售",COUNTIF({"三矿区";"六矿区"},$L767)=0),"※对外销售的去向只能是三矿区或六矿区",IF(AND($K767="对外销售",ROUND($Q767,0)=0),"※外销却没有售价，请填实际售价",IF(AND($K767="对外销售",$T767&lt;&gt;"",$T767&lt;0),"※这一笔外销是亏的，请核对售价",IF(IFERROR(VLOOKUP($D767,库存台账!$A$5:$Y$1204,24,0),0)&lt;-0.001,"※这个物料账面已经变成负数了，查一下是不是漏记入库","")))))))))))</f>
        <v/>
      </c>
    </row>
    <row r="768">
      <c r="A768" s="24">
        <f>IF($D768="","",COUNTA($D$4:$D768))</f>
        <v/>
      </c>
      <c r="B768" s="17" t="n"/>
      <c r="C768" s="30" t="n"/>
      <c r="D768" s="17" t="n"/>
      <c r="E768" s="24">
        <f>IF($D768="","",IFERROR(VLOOKUP($D768,物料档案!$A$4:$P$1203,3,0),"※编码不在物料档案里"))</f>
        <v/>
      </c>
      <c r="F768" s="24">
        <f>IF($D768="","",IFERROR(VLOOKUP($D768,物料档案!$A$4:$P$1203,4,0),"※编码不在物料档案里"))</f>
        <v/>
      </c>
      <c r="G768" s="24">
        <f>IF($D768="","",IFERROR(VLOOKUP($D768,物料档案!$A$4:$P$1203,5,0),"※编码不在物料档案里"))</f>
        <v/>
      </c>
      <c r="H768" s="24">
        <f>IF($D768="","",IFERROR(VLOOKUP($D768,物料档案!$A$4:$P$1203,2,0),"※编码不在物料档案里"))</f>
        <v/>
      </c>
      <c r="I768" s="24">
        <f>IF($D768="","",IFERROR(VLOOKUP($D768,物料档案!$A$4:$P$1203,6,0),"※编码不在物料档案里"))</f>
        <v/>
      </c>
      <c r="J768" s="23" t="n"/>
      <c r="K768" s="17" t="n"/>
      <c r="L768" s="17" t="n"/>
      <c r="M768" s="17" t="n"/>
      <c r="N768" s="17" t="n"/>
      <c r="O768" s="26">
        <f>IF($D768="","",IFERROR(VLOOKUP($D768,物料档案!$A$4:$P$1203,10,0),0))</f>
        <v/>
      </c>
      <c r="P768" s="32" t="n"/>
      <c r="Q768" s="26">
        <f>IF($D768="","",IF($K768&lt;&gt;"对外销售",0,ROUND(N($J768)*IF($P768="",N($O768),N($P768)),0)))</f>
        <v/>
      </c>
      <c r="R768" s="26">
        <f>IF($D768="","",IFERROR(VLOOKUP($D768,库存台账!$A$5:$Y$1204,11,0),0))</f>
        <v/>
      </c>
      <c r="S768" s="26">
        <f>IF($D768="","",ROUND(N($J768)*N($R768),0))</f>
        <v/>
      </c>
      <c r="T768" s="26">
        <f>IF($D768="","",IF($K768&lt;&gt;"对外销售","",ROUND($Q768-$S768,0)))</f>
        <v/>
      </c>
      <c r="U768" s="17" t="n"/>
      <c r="V768" s="17" t="n"/>
      <c r="W768" s="24">
        <f>IF($D768="","",IF($E768="※编码不在物料档案里","※物料编码不在档案里",IF(N($J768)&lt;=0,"※出库数量要大于 0",IF($K768="","※没填去向类型",IF($L768="","※没填去向矿区",IF(AND($C768&lt;&gt;"",$C768&lt;=结账锁),"※日期早于已结账截止日，不能再录",IF(AND($K768="自用消耗",COUNTIF({"一矿区";"二矿区"},$L768)=0),"※自用消耗的去向只能是一矿区或二矿区",IF(AND($K768="对外销售",COUNTIF({"三矿区";"六矿区"},$L768)=0),"※对外销售的去向只能是三矿区或六矿区",IF(AND($K768="对外销售",ROUND($Q768,0)=0),"※外销却没有售价，请填实际售价",IF(AND($K768="对外销售",$T768&lt;&gt;"",$T768&lt;0),"※这一笔外销是亏的，请核对售价",IF(IFERROR(VLOOKUP($D768,库存台账!$A$5:$Y$1204,24,0),0)&lt;-0.001,"※这个物料账面已经变成负数了，查一下是不是漏记入库","")))))))))))</f>
        <v/>
      </c>
    </row>
    <row r="769">
      <c r="A769" s="24">
        <f>IF($D769="","",COUNTA($D$4:$D769))</f>
        <v/>
      </c>
      <c r="B769" s="17" t="n"/>
      <c r="C769" s="30" t="n"/>
      <c r="D769" s="17" t="n"/>
      <c r="E769" s="24">
        <f>IF($D769="","",IFERROR(VLOOKUP($D769,物料档案!$A$4:$P$1203,3,0),"※编码不在物料档案里"))</f>
        <v/>
      </c>
      <c r="F769" s="24">
        <f>IF($D769="","",IFERROR(VLOOKUP($D769,物料档案!$A$4:$P$1203,4,0),"※编码不在物料档案里"))</f>
        <v/>
      </c>
      <c r="G769" s="24">
        <f>IF($D769="","",IFERROR(VLOOKUP($D769,物料档案!$A$4:$P$1203,5,0),"※编码不在物料档案里"))</f>
        <v/>
      </c>
      <c r="H769" s="24">
        <f>IF($D769="","",IFERROR(VLOOKUP($D769,物料档案!$A$4:$P$1203,2,0),"※编码不在物料档案里"))</f>
        <v/>
      </c>
      <c r="I769" s="24">
        <f>IF($D769="","",IFERROR(VLOOKUP($D769,物料档案!$A$4:$P$1203,6,0),"※编码不在物料档案里"))</f>
        <v/>
      </c>
      <c r="J769" s="23" t="n"/>
      <c r="K769" s="17" t="n"/>
      <c r="L769" s="17" t="n"/>
      <c r="M769" s="17" t="n"/>
      <c r="N769" s="17" t="n"/>
      <c r="O769" s="26">
        <f>IF($D769="","",IFERROR(VLOOKUP($D769,物料档案!$A$4:$P$1203,10,0),0))</f>
        <v/>
      </c>
      <c r="P769" s="32" t="n"/>
      <c r="Q769" s="26">
        <f>IF($D769="","",IF($K769&lt;&gt;"对外销售",0,ROUND(N($J769)*IF($P769="",N($O769),N($P769)),0)))</f>
        <v/>
      </c>
      <c r="R769" s="26">
        <f>IF($D769="","",IFERROR(VLOOKUP($D769,库存台账!$A$5:$Y$1204,11,0),0))</f>
        <v/>
      </c>
      <c r="S769" s="26">
        <f>IF($D769="","",ROUND(N($J769)*N($R769),0))</f>
        <v/>
      </c>
      <c r="T769" s="26">
        <f>IF($D769="","",IF($K769&lt;&gt;"对外销售","",ROUND($Q769-$S769,0)))</f>
        <v/>
      </c>
      <c r="U769" s="17" t="n"/>
      <c r="V769" s="17" t="n"/>
      <c r="W769" s="24">
        <f>IF($D769="","",IF($E769="※编码不在物料档案里","※物料编码不在档案里",IF(N($J769)&lt;=0,"※出库数量要大于 0",IF($K769="","※没填去向类型",IF($L769="","※没填去向矿区",IF(AND($C769&lt;&gt;"",$C769&lt;=结账锁),"※日期早于已结账截止日，不能再录",IF(AND($K769="自用消耗",COUNTIF({"一矿区";"二矿区"},$L769)=0),"※自用消耗的去向只能是一矿区或二矿区",IF(AND($K769="对外销售",COUNTIF({"三矿区";"六矿区"},$L769)=0),"※对外销售的去向只能是三矿区或六矿区",IF(AND($K769="对外销售",ROUND($Q769,0)=0),"※外销却没有售价，请填实际售价",IF(AND($K769="对外销售",$T769&lt;&gt;"",$T769&lt;0),"※这一笔外销是亏的，请核对售价",IF(IFERROR(VLOOKUP($D769,库存台账!$A$5:$Y$1204,24,0),0)&lt;-0.001,"※这个物料账面已经变成负数了，查一下是不是漏记入库","")))))))))))</f>
        <v/>
      </c>
    </row>
    <row r="770">
      <c r="A770" s="24">
        <f>IF($D770="","",COUNTA($D$4:$D770))</f>
        <v/>
      </c>
      <c r="B770" s="17" t="n"/>
      <c r="C770" s="30" t="n"/>
      <c r="D770" s="17" t="n"/>
      <c r="E770" s="24">
        <f>IF($D770="","",IFERROR(VLOOKUP($D770,物料档案!$A$4:$P$1203,3,0),"※编码不在物料档案里"))</f>
        <v/>
      </c>
      <c r="F770" s="24">
        <f>IF($D770="","",IFERROR(VLOOKUP($D770,物料档案!$A$4:$P$1203,4,0),"※编码不在物料档案里"))</f>
        <v/>
      </c>
      <c r="G770" s="24">
        <f>IF($D770="","",IFERROR(VLOOKUP($D770,物料档案!$A$4:$P$1203,5,0),"※编码不在物料档案里"))</f>
        <v/>
      </c>
      <c r="H770" s="24">
        <f>IF($D770="","",IFERROR(VLOOKUP($D770,物料档案!$A$4:$P$1203,2,0),"※编码不在物料档案里"))</f>
        <v/>
      </c>
      <c r="I770" s="24">
        <f>IF($D770="","",IFERROR(VLOOKUP($D770,物料档案!$A$4:$P$1203,6,0),"※编码不在物料档案里"))</f>
        <v/>
      </c>
      <c r="J770" s="23" t="n"/>
      <c r="K770" s="17" t="n"/>
      <c r="L770" s="17" t="n"/>
      <c r="M770" s="17" t="n"/>
      <c r="N770" s="17" t="n"/>
      <c r="O770" s="26">
        <f>IF($D770="","",IFERROR(VLOOKUP($D770,物料档案!$A$4:$P$1203,10,0),0))</f>
        <v/>
      </c>
      <c r="P770" s="32" t="n"/>
      <c r="Q770" s="26">
        <f>IF($D770="","",IF($K770&lt;&gt;"对外销售",0,ROUND(N($J770)*IF($P770="",N($O770),N($P770)),0)))</f>
        <v/>
      </c>
      <c r="R770" s="26">
        <f>IF($D770="","",IFERROR(VLOOKUP($D770,库存台账!$A$5:$Y$1204,11,0),0))</f>
        <v/>
      </c>
      <c r="S770" s="26">
        <f>IF($D770="","",ROUND(N($J770)*N($R770),0))</f>
        <v/>
      </c>
      <c r="T770" s="26">
        <f>IF($D770="","",IF($K770&lt;&gt;"对外销售","",ROUND($Q770-$S770,0)))</f>
        <v/>
      </c>
      <c r="U770" s="17" t="n"/>
      <c r="V770" s="17" t="n"/>
      <c r="W770" s="24">
        <f>IF($D770="","",IF($E770="※编码不在物料档案里","※物料编码不在档案里",IF(N($J770)&lt;=0,"※出库数量要大于 0",IF($K770="","※没填去向类型",IF($L770="","※没填去向矿区",IF(AND($C770&lt;&gt;"",$C770&lt;=结账锁),"※日期早于已结账截止日，不能再录",IF(AND($K770="自用消耗",COUNTIF({"一矿区";"二矿区"},$L770)=0),"※自用消耗的去向只能是一矿区或二矿区",IF(AND($K770="对外销售",COUNTIF({"三矿区";"六矿区"},$L770)=0),"※对外销售的去向只能是三矿区或六矿区",IF(AND($K770="对外销售",ROUND($Q770,0)=0),"※外销却没有售价，请填实际售价",IF(AND($K770="对外销售",$T770&lt;&gt;"",$T770&lt;0),"※这一笔外销是亏的，请核对售价",IF(IFERROR(VLOOKUP($D770,库存台账!$A$5:$Y$1204,24,0),0)&lt;-0.001,"※这个物料账面已经变成负数了，查一下是不是漏记入库","")))))))))))</f>
        <v/>
      </c>
    </row>
    <row r="771">
      <c r="A771" s="24">
        <f>IF($D771="","",COUNTA($D$4:$D771))</f>
        <v/>
      </c>
      <c r="B771" s="17" t="n"/>
      <c r="C771" s="30" t="n"/>
      <c r="D771" s="17" t="n"/>
      <c r="E771" s="24">
        <f>IF($D771="","",IFERROR(VLOOKUP($D771,物料档案!$A$4:$P$1203,3,0),"※编码不在物料档案里"))</f>
        <v/>
      </c>
      <c r="F771" s="24">
        <f>IF($D771="","",IFERROR(VLOOKUP($D771,物料档案!$A$4:$P$1203,4,0),"※编码不在物料档案里"))</f>
        <v/>
      </c>
      <c r="G771" s="24">
        <f>IF($D771="","",IFERROR(VLOOKUP($D771,物料档案!$A$4:$P$1203,5,0),"※编码不在物料档案里"))</f>
        <v/>
      </c>
      <c r="H771" s="24">
        <f>IF($D771="","",IFERROR(VLOOKUP($D771,物料档案!$A$4:$P$1203,2,0),"※编码不在物料档案里"))</f>
        <v/>
      </c>
      <c r="I771" s="24">
        <f>IF($D771="","",IFERROR(VLOOKUP($D771,物料档案!$A$4:$P$1203,6,0),"※编码不在物料档案里"))</f>
        <v/>
      </c>
      <c r="J771" s="23" t="n"/>
      <c r="K771" s="17" t="n"/>
      <c r="L771" s="17" t="n"/>
      <c r="M771" s="17" t="n"/>
      <c r="N771" s="17" t="n"/>
      <c r="O771" s="26">
        <f>IF($D771="","",IFERROR(VLOOKUP($D771,物料档案!$A$4:$P$1203,10,0),0))</f>
        <v/>
      </c>
      <c r="P771" s="32" t="n"/>
      <c r="Q771" s="26">
        <f>IF($D771="","",IF($K771&lt;&gt;"对外销售",0,ROUND(N($J771)*IF($P771="",N($O771),N($P771)),0)))</f>
        <v/>
      </c>
      <c r="R771" s="26">
        <f>IF($D771="","",IFERROR(VLOOKUP($D771,库存台账!$A$5:$Y$1204,11,0),0))</f>
        <v/>
      </c>
      <c r="S771" s="26">
        <f>IF($D771="","",ROUND(N($J771)*N($R771),0))</f>
        <v/>
      </c>
      <c r="T771" s="26">
        <f>IF($D771="","",IF($K771&lt;&gt;"对外销售","",ROUND($Q771-$S771,0)))</f>
        <v/>
      </c>
      <c r="U771" s="17" t="n"/>
      <c r="V771" s="17" t="n"/>
      <c r="W771" s="24">
        <f>IF($D771="","",IF($E771="※编码不在物料档案里","※物料编码不在档案里",IF(N($J771)&lt;=0,"※出库数量要大于 0",IF($K771="","※没填去向类型",IF($L771="","※没填去向矿区",IF(AND($C771&lt;&gt;"",$C771&lt;=结账锁),"※日期早于已结账截止日，不能再录",IF(AND($K771="自用消耗",COUNTIF({"一矿区";"二矿区"},$L771)=0),"※自用消耗的去向只能是一矿区或二矿区",IF(AND($K771="对外销售",COUNTIF({"三矿区";"六矿区"},$L771)=0),"※对外销售的去向只能是三矿区或六矿区",IF(AND($K771="对外销售",ROUND($Q771,0)=0),"※外销却没有售价，请填实际售价",IF(AND($K771="对外销售",$T771&lt;&gt;"",$T771&lt;0),"※这一笔外销是亏的，请核对售价",IF(IFERROR(VLOOKUP($D771,库存台账!$A$5:$Y$1204,24,0),0)&lt;-0.001,"※这个物料账面已经变成负数了，查一下是不是漏记入库","")))))))))))</f>
        <v/>
      </c>
    </row>
    <row r="772">
      <c r="A772" s="24">
        <f>IF($D772="","",COUNTA($D$4:$D772))</f>
        <v/>
      </c>
      <c r="B772" s="17" t="n"/>
      <c r="C772" s="30" t="n"/>
      <c r="D772" s="17" t="n"/>
      <c r="E772" s="24">
        <f>IF($D772="","",IFERROR(VLOOKUP($D772,物料档案!$A$4:$P$1203,3,0),"※编码不在物料档案里"))</f>
        <v/>
      </c>
      <c r="F772" s="24">
        <f>IF($D772="","",IFERROR(VLOOKUP($D772,物料档案!$A$4:$P$1203,4,0),"※编码不在物料档案里"))</f>
        <v/>
      </c>
      <c r="G772" s="24">
        <f>IF($D772="","",IFERROR(VLOOKUP($D772,物料档案!$A$4:$P$1203,5,0),"※编码不在物料档案里"))</f>
        <v/>
      </c>
      <c r="H772" s="24">
        <f>IF($D772="","",IFERROR(VLOOKUP($D772,物料档案!$A$4:$P$1203,2,0),"※编码不在物料档案里"))</f>
        <v/>
      </c>
      <c r="I772" s="24">
        <f>IF($D772="","",IFERROR(VLOOKUP($D772,物料档案!$A$4:$P$1203,6,0),"※编码不在物料档案里"))</f>
        <v/>
      </c>
      <c r="J772" s="23" t="n"/>
      <c r="K772" s="17" t="n"/>
      <c r="L772" s="17" t="n"/>
      <c r="M772" s="17" t="n"/>
      <c r="N772" s="17" t="n"/>
      <c r="O772" s="26">
        <f>IF($D772="","",IFERROR(VLOOKUP($D772,物料档案!$A$4:$P$1203,10,0),0))</f>
        <v/>
      </c>
      <c r="P772" s="32" t="n"/>
      <c r="Q772" s="26">
        <f>IF($D772="","",IF($K772&lt;&gt;"对外销售",0,ROUND(N($J772)*IF($P772="",N($O772),N($P772)),0)))</f>
        <v/>
      </c>
      <c r="R772" s="26">
        <f>IF($D772="","",IFERROR(VLOOKUP($D772,库存台账!$A$5:$Y$1204,11,0),0))</f>
        <v/>
      </c>
      <c r="S772" s="26">
        <f>IF($D772="","",ROUND(N($J772)*N($R772),0))</f>
        <v/>
      </c>
      <c r="T772" s="26">
        <f>IF($D772="","",IF($K772&lt;&gt;"对外销售","",ROUND($Q772-$S772,0)))</f>
        <v/>
      </c>
      <c r="U772" s="17" t="n"/>
      <c r="V772" s="17" t="n"/>
      <c r="W772" s="24">
        <f>IF($D772="","",IF($E772="※编码不在物料档案里","※物料编码不在档案里",IF(N($J772)&lt;=0,"※出库数量要大于 0",IF($K772="","※没填去向类型",IF($L772="","※没填去向矿区",IF(AND($C772&lt;&gt;"",$C772&lt;=结账锁),"※日期早于已结账截止日，不能再录",IF(AND($K772="自用消耗",COUNTIF({"一矿区";"二矿区"},$L772)=0),"※自用消耗的去向只能是一矿区或二矿区",IF(AND($K772="对外销售",COUNTIF({"三矿区";"六矿区"},$L772)=0),"※对外销售的去向只能是三矿区或六矿区",IF(AND($K772="对外销售",ROUND($Q772,0)=0),"※外销却没有售价，请填实际售价",IF(AND($K772="对外销售",$T772&lt;&gt;"",$T772&lt;0),"※这一笔外销是亏的，请核对售价",IF(IFERROR(VLOOKUP($D772,库存台账!$A$5:$Y$1204,24,0),0)&lt;-0.001,"※这个物料账面已经变成负数了，查一下是不是漏记入库","")))))))))))</f>
        <v/>
      </c>
    </row>
    <row r="773">
      <c r="A773" s="24">
        <f>IF($D773="","",COUNTA($D$4:$D773))</f>
        <v/>
      </c>
      <c r="B773" s="17" t="n"/>
      <c r="C773" s="30" t="n"/>
      <c r="D773" s="17" t="n"/>
      <c r="E773" s="24">
        <f>IF($D773="","",IFERROR(VLOOKUP($D773,物料档案!$A$4:$P$1203,3,0),"※编码不在物料档案里"))</f>
        <v/>
      </c>
      <c r="F773" s="24">
        <f>IF($D773="","",IFERROR(VLOOKUP($D773,物料档案!$A$4:$P$1203,4,0),"※编码不在物料档案里"))</f>
        <v/>
      </c>
      <c r="G773" s="24">
        <f>IF($D773="","",IFERROR(VLOOKUP($D773,物料档案!$A$4:$P$1203,5,0),"※编码不在物料档案里"))</f>
        <v/>
      </c>
      <c r="H773" s="24">
        <f>IF($D773="","",IFERROR(VLOOKUP($D773,物料档案!$A$4:$P$1203,2,0),"※编码不在物料档案里"))</f>
        <v/>
      </c>
      <c r="I773" s="24">
        <f>IF($D773="","",IFERROR(VLOOKUP($D773,物料档案!$A$4:$P$1203,6,0),"※编码不在物料档案里"))</f>
        <v/>
      </c>
      <c r="J773" s="23" t="n"/>
      <c r="K773" s="17" t="n"/>
      <c r="L773" s="17" t="n"/>
      <c r="M773" s="17" t="n"/>
      <c r="N773" s="17" t="n"/>
      <c r="O773" s="26">
        <f>IF($D773="","",IFERROR(VLOOKUP($D773,物料档案!$A$4:$P$1203,10,0),0))</f>
        <v/>
      </c>
      <c r="P773" s="32" t="n"/>
      <c r="Q773" s="26">
        <f>IF($D773="","",IF($K773&lt;&gt;"对外销售",0,ROUND(N($J773)*IF($P773="",N($O773),N($P773)),0)))</f>
        <v/>
      </c>
      <c r="R773" s="26">
        <f>IF($D773="","",IFERROR(VLOOKUP($D773,库存台账!$A$5:$Y$1204,11,0),0))</f>
        <v/>
      </c>
      <c r="S773" s="26">
        <f>IF($D773="","",ROUND(N($J773)*N($R773),0))</f>
        <v/>
      </c>
      <c r="T773" s="26">
        <f>IF($D773="","",IF($K773&lt;&gt;"对外销售","",ROUND($Q773-$S773,0)))</f>
        <v/>
      </c>
      <c r="U773" s="17" t="n"/>
      <c r="V773" s="17" t="n"/>
      <c r="W773" s="24">
        <f>IF($D773="","",IF($E773="※编码不在物料档案里","※物料编码不在档案里",IF(N($J773)&lt;=0,"※出库数量要大于 0",IF($K773="","※没填去向类型",IF($L773="","※没填去向矿区",IF(AND($C773&lt;&gt;"",$C773&lt;=结账锁),"※日期早于已结账截止日，不能再录",IF(AND($K773="自用消耗",COUNTIF({"一矿区";"二矿区"},$L773)=0),"※自用消耗的去向只能是一矿区或二矿区",IF(AND($K773="对外销售",COUNTIF({"三矿区";"六矿区"},$L773)=0),"※对外销售的去向只能是三矿区或六矿区",IF(AND($K773="对外销售",ROUND($Q773,0)=0),"※外销却没有售价，请填实际售价",IF(AND($K773="对外销售",$T773&lt;&gt;"",$T773&lt;0),"※这一笔外销是亏的，请核对售价",IF(IFERROR(VLOOKUP($D773,库存台账!$A$5:$Y$1204,24,0),0)&lt;-0.001,"※这个物料账面已经变成负数了，查一下是不是漏记入库","")))))))))))</f>
        <v/>
      </c>
    </row>
    <row r="774">
      <c r="A774" s="24">
        <f>IF($D774="","",COUNTA($D$4:$D774))</f>
        <v/>
      </c>
      <c r="B774" s="17" t="n"/>
      <c r="C774" s="30" t="n"/>
      <c r="D774" s="17" t="n"/>
      <c r="E774" s="24">
        <f>IF($D774="","",IFERROR(VLOOKUP($D774,物料档案!$A$4:$P$1203,3,0),"※编码不在物料档案里"))</f>
        <v/>
      </c>
      <c r="F774" s="24">
        <f>IF($D774="","",IFERROR(VLOOKUP($D774,物料档案!$A$4:$P$1203,4,0),"※编码不在物料档案里"))</f>
        <v/>
      </c>
      <c r="G774" s="24">
        <f>IF($D774="","",IFERROR(VLOOKUP($D774,物料档案!$A$4:$P$1203,5,0),"※编码不在物料档案里"))</f>
        <v/>
      </c>
      <c r="H774" s="24">
        <f>IF($D774="","",IFERROR(VLOOKUP($D774,物料档案!$A$4:$P$1203,2,0),"※编码不在物料档案里"))</f>
        <v/>
      </c>
      <c r="I774" s="24">
        <f>IF($D774="","",IFERROR(VLOOKUP($D774,物料档案!$A$4:$P$1203,6,0),"※编码不在物料档案里"))</f>
        <v/>
      </c>
      <c r="J774" s="23" t="n"/>
      <c r="K774" s="17" t="n"/>
      <c r="L774" s="17" t="n"/>
      <c r="M774" s="17" t="n"/>
      <c r="N774" s="17" t="n"/>
      <c r="O774" s="26">
        <f>IF($D774="","",IFERROR(VLOOKUP($D774,物料档案!$A$4:$P$1203,10,0),0))</f>
        <v/>
      </c>
      <c r="P774" s="32" t="n"/>
      <c r="Q774" s="26">
        <f>IF($D774="","",IF($K774&lt;&gt;"对外销售",0,ROUND(N($J774)*IF($P774="",N($O774),N($P774)),0)))</f>
        <v/>
      </c>
      <c r="R774" s="26">
        <f>IF($D774="","",IFERROR(VLOOKUP($D774,库存台账!$A$5:$Y$1204,11,0),0))</f>
        <v/>
      </c>
      <c r="S774" s="26">
        <f>IF($D774="","",ROUND(N($J774)*N($R774),0))</f>
        <v/>
      </c>
      <c r="T774" s="26">
        <f>IF($D774="","",IF($K774&lt;&gt;"对外销售","",ROUND($Q774-$S774,0)))</f>
        <v/>
      </c>
      <c r="U774" s="17" t="n"/>
      <c r="V774" s="17" t="n"/>
      <c r="W774" s="24">
        <f>IF($D774="","",IF($E774="※编码不在物料档案里","※物料编码不在档案里",IF(N($J774)&lt;=0,"※出库数量要大于 0",IF($K774="","※没填去向类型",IF($L774="","※没填去向矿区",IF(AND($C774&lt;&gt;"",$C774&lt;=结账锁),"※日期早于已结账截止日，不能再录",IF(AND($K774="自用消耗",COUNTIF({"一矿区";"二矿区"},$L774)=0),"※自用消耗的去向只能是一矿区或二矿区",IF(AND($K774="对外销售",COUNTIF({"三矿区";"六矿区"},$L774)=0),"※对外销售的去向只能是三矿区或六矿区",IF(AND($K774="对外销售",ROUND($Q774,0)=0),"※外销却没有售价，请填实际售价",IF(AND($K774="对外销售",$T774&lt;&gt;"",$T774&lt;0),"※这一笔外销是亏的，请核对售价",IF(IFERROR(VLOOKUP($D774,库存台账!$A$5:$Y$1204,24,0),0)&lt;-0.001,"※这个物料账面已经变成负数了，查一下是不是漏记入库","")))))))))))</f>
        <v/>
      </c>
    </row>
    <row r="775">
      <c r="A775" s="24">
        <f>IF($D775="","",COUNTA($D$4:$D775))</f>
        <v/>
      </c>
      <c r="B775" s="17" t="n"/>
      <c r="C775" s="30" t="n"/>
      <c r="D775" s="17" t="n"/>
      <c r="E775" s="24">
        <f>IF($D775="","",IFERROR(VLOOKUP($D775,物料档案!$A$4:$P$1203,3,0),"※编码不在物料档案里"))</f>
        <v/>
      </c>
      <c r="F775" s="24">
        <f>IF($D775="","",IFERROR(VLOOKUP($D775,物料档案!$A$4:$P$1203,4,0),"※编码不在物料档案里"))</f>
        <v/>
      </c>
      <c r="G775" s="24">
        <f>IF($D775="","",IFERROR(VLOOKUP($D775,物料档案!$A$4:$P$1203,5,0),"※编码不在物料档案里"))</f>
        <v/>
      </c>
      <c r="H775" s="24">
        <f>IF($D775="","",IFERROR(VLOOKUP($D775,物料档案!$A$4:$P$1203,2,0),"※编码不在物料档案里"))</f>
        <v/>
      </c>
      <c r="I775" s="24">
        <f>IF($D775="","",IFERROR(VLOOKUP($D775,物料档案!$A$4:$P$1203,6,0),"※编码不在物料档案里"))</f>
        <v/>
      </c>
      <c r="J775" s="23" t="n"/>
      <c r="K775" s="17" t="n"/>
      <c r="L775" s="17" t="n"/>
      <c r="M775" s="17" t="n"/>
      <c r="N775" s="17" t="n"/>
      <c r="O775" s="26">
        <f>IF($D775="","",IFERROR(VLOOKUP($D775,物料档案!$A$4:$P$1203,10,0),0))</f>
        <v/>
      </c>
      <c r="P775" s="32" t="n"/>
      <c r="Q775" s="26">
        <f>IF($D775="","",IF($K775&lt;&gt;"对外销售",0,ROUND(N($J775)*IF($P775="",N($O775),N($P775)),0)))</f>
        <v/>
      </c>
      <c r="R775" s="26">
        <f>IF($D775="","",IFERROR(VLOOKUP($D775,库存台账!$A$5:$Y$1204,11,0),0))</f>
        <v/>
      </c>
      <c r="S775" s="26">
        <f>IF($D775="","",ROUND(N($J775)*N($R775),0))</f>
        <v/>
      </c>
      <c r="T775" s="26">
        <f>IF($D775="","",IF($K775&lt;&gt;"对外销售","",ROUND($Q775-$S775,0)))</f>
        <v/>
      </c>
      <c r="U775" s="17" t="n"/>
      <c r="V775" s="17" t="n"/>
      <c r="W775" s="24">
        <f>IF($D775="","",IF($E775="※编码不在物料档案里","※物料编码不在档案里",IF(N($J775)&lt;=0,"※出库数量要大于 0",IF($K775="","※没填去向类型",IF($L775="","※没填去向矿区",IF(AND($C775&lt;&gt;"",$C775&lt;=结账锁),"※日期早于已结账截止日，不能再录",IF(AND($K775="自用消耗",COUNTIF({"一矿区";"二矿区"},$L775)=0),"※自用消耗的去向只能是一矿区或二矿区",IF(AND($K775="对外销售",COUNTIF({"三矿区";"六矿区"},$L775)=0),"※对外销售的去向只能是三矿区或六矿区",IF(AND($K775="对外销售",ROUND($Q775,0)=0),"※外销却没有售价，请填实际售价",IF(AND($K775="对外销售",$T775&lt;&gt;"",$T775&lt;0),"※这一笔外销是亏的，请核对售价",IF(IFERROR(VLOOKUP($D775,库存台账!$A$5:$Y$1204,24,0),0)&lt;-0.001,"※这个物料账面已经变成负数了，查一下是不是漏记入库","")))))))))))</f>
        <v/>
      </c>
    </row>
    <row r="776">
      <c r="A776" s="24">
        <f>IF($D776="","",COUNTA($D$4:$D776))</f>
        <v/>
      </c>
      <c r="B776" s="17" t="n"/>
      <c r="C776" s="30" t="n"/>
      <c r="D776" s="17" t="n"/>
      <c r="E776" s="24">
        <f>IF($D776="","",IFERROR(VLOOKUP($D776,物料档案!$A$4:$P$1203,3,0),"※编码不在物料档案里"))</f>
        <v/>
      </c>
      <c r="F776" s="24">
        <f>IF($D776="","",IFERROR(VLOOKUP($D776,物料档案!$A$4:$P$1203,4,0),"※编码不在物料档案里"))</f>
        <v/>
      </c>
      <c r="G776" s="24">
        <f>IF($D776="","",IFERROR(VLOOKUP($D776,物料档案!$A$4:$P$1203,5,0),"※编码不在物料档案里"))</f>
        <v/>
      </c>
      <c r="H776" s="24">
        <f>IF($D776="","",IFERROR(VLOOKUP($D776,物料档案!$A$4:$P$1203,2,0),"※编码不在物料档案里"))</f>
        <v/>
      </c>
      <c r="I776" s="24">
        <f>IF($D776="","",IFERROR(VLOOKUP($D776,物料档案!$A$4:$P$1203,6,0),"※编码不在物料档案里"))</f>
        <v/>
      </c>
      <c r="J776" s="23" t="n"/>
      <c r="K776" s="17" t="n"/>
      <c r="L776" s="17" t="n"/>
      <c r="M776" s="17" t="n"/>
      <c r="N776" s="17" t="n"/>
      <c r="O776" s="26">
        <f>IF($D776="","",IFERROR(VLOOKUP($D776,物料档案!$A$4:$P$1203,10,0),0))</f>
        <v/>
      </c>
      <c r="P776" s="32" t="n"/>
      <c r="Q776" s="26">
        <f>IF($D776="","",IF($K776&lt;&gt;"对外销售",0,ROUND(N($J776)*IF($P776="",N($O776),N($P776)),0)))</f>
        <v/>
      </c>
      <c r="R776" s="26">
        <f>IF($D776="","",IFERROR(VLOOKUP($D776,库存台账!$A$5:$Y$1204,11,0),0))</f>
        <v/>
      </c>
      <c r="S776" s="26">
        <f>IF($D776="","",ROUND(N($J776)*N($R776),0))</f>
        <v/>
      </c>
      <c r="T776" s="26">
        <f>IF($D776="","",IF($K776&lt;&gt;"对外销售","",ROUND($Q776-$S776,0)))</f>
        <v/>
      </c>
      <c r="U776" s="17" t="n"/>
      <c r="V776" s="17" t="n"/>
      <c r="W776" s="24">
        <f>IF($D776="","",IF($E776="※编码不在物料档案里","※物料编码不在档案里",IF(N($J776)&lt;=0,"※出库数量要大于 0",IF($K776="","※没填去向类型",IF($L776="","※没填去向矿区",IF(AND($C776&lt;&gt;"",$C776&lt;=结账锁),"※日期早于已结账截止日，不能再录",IF(AND($K776="自用消耗",COUNTIF({"一矿区";"二矿区"},$L776)=0),"※自用消耗的去向只能是一矿区或二矿区",IF(AND($K776="对外销售",COUNTIF({"三矿区";"六矿区"},$L776)=0),"※对外销售的去向只能是三矿区或六矿区",IF(AND($K776="对外销售",ROUND($Q776,0)=0),"※外销却没有售价，请填实际售价",IF(AND($K776="对外销售",$T776&lt;&gt;"",$T776&lt;0),"※这一笔外销是亏的，请核对售价",IF(IFERROR(VLOOKUP($D776,库存台账!$A$5:$Y$1204,24,0),0)&lt;-0.001,"※这个物料账面已经变成负数了，查一下是不是漏记入库","")))))))))))</f>
        <v/>
      </c>
    </row>
    <row r="777">
      <c r="A777" s="24">
        <f>IF($D777="","",COUNTA($D$4:$D777))</f>
        <v/>
      </c>
      <c r="B777" s="17" t="n"/>
      <c r="C777" s="30" t="n"/>
      <c r="D777" s="17" t="n"/>
      <c r="E777" s="24">
        <f>IF($D777="","",IFERROR(VLOOKUP($D777,物料档案!$A$4:$P$1203,3,0),"※编码不在物料档案里"))</f>
        <v/>
      </c>
      <c r="F777" s="24">
        <f>IF($D777="","",IFERROR(VLOOKUP($D777,物料档案!$A$4:$P$1203,4,0),"※编码不在物料档案里"))</f>
        <v/>
      </c>
      <c r="G777" s="24">
        <f>IF($D777="","",IFERROR(VLOOKUP($D777,物料档案!$A$4:$P$1203,5,0),"※编码不在物料档案里"))</f>
        <v/>
      </c>
      <c r="H777" s="24">
        <f>IF($D777="","",IFERROR(VLOOKUP($D777,物料档案!$A$4:$P$1203,2,0),"※编码不在物料档案里"))</f>
        <v/>
      </c>
      <c r="I777" s="24">
        <f>IF($D777="","",IFERROR(VLOOKUP($D777,物料档案!$A$4:$P$1203,6,0),"※编码不在物料档案里"))</f>
        <v/>
      </c>
      <c r="J777" s="23" t="n"/>
      <c r="K777" s="17" t="n"/>
      <c r="L777" s="17" t="n"/>
      <c r="M777" s="17" t="n"/>
      <c r="N777" s="17" t="n"/>
      <c r="O777" s="26">
        <f>IF($D777="","",IFERROR(VLOOKUP($D777,物料档案!$A$4:$P$1203,10,0),0))</f>
        <v/>
      </c>
      <c r="P777" s="32" t="n"/>
      <c r="Q777" s="26">
        <f>IF($D777="","",IF($K777&lt;&gt;"对外销售",0,ROUND(N($J777)*IF($P777="",N($O777),N($P777)),0)))</f>
        <v/>
      </c>
      <c r="R777" s="26">
        <f>IF($D777="","",IFERROR(VLOOKUP($D777,库存台账!$A$5:$Y$1204,11,0),0))</f>
        <v/>
      </c>
      <c r="S777" s="26">
        <f>IF($D777="","",ROUND(N($J777)*N($R777),0))</f>
        <v/>
      </c>
      <c r="T777" s="26">
        <f>IF($D777="","",IF($K777&lt;&gt;"对外销售","",ROUND($Q777-$S777,0)))</f>
        <v/>
      </c>
      <c r="U777" s="17" t="n"/>
      <c r="V777" s="17" t="n"/>
      <c r="W777" s="24">
        <f>IF($D777="","",IF($E777="※编码不在物料档案里","※物料编码不在档案里",IF(N($J777)&lt;=0,"※出库数量要大于 0",IF($K777="","※没填去向类型",IF($L777="","※没填去向矿区",IF(AND($C777&lt;&gt;"",$C777&lt;=结账锁),"※日期早于已结账截止日，不能再录",IF(AND($K777="自用消耗",COUNTIF({"一矿区";"二矿区"},$L777)=0),"※自用消耗的去向只能是一矿区或二矿区",IF(AND($K777="对外销售",COUNTIF({"三矿区";"六矿区"},$L777)=0),"※对外销售的去向只能是三矿区或六矿区",IF(AND($K777="对外销售",ROUND($Q777,0)=0),"※外销却没有售价，请填实际售价",IF(AND($K777="对外销售",$T777&lt;&gt;"",$T777&lt;0),"※这一笔外销是亏的，请核对售价",IF(IFERROR(VLOOKUP($D777,库存台账!$A$5:$Y$1204,24,0),0)&lt;-0.001,"※这个物料账面已经变成负数了，查一下是不是漏记入库","")))))))))))</f>
        <v/>
      </c>
    </row>
    <row r="778">
      <c r="A778" s="24">
        <f>IF($D778="","",COUNTA($D$4:$D778))</f>
        <v/>
      </c>
      <c r="B778" s="17" t="n"/>
      <c r="C778" s="30" t="n"/>
      <c r="D778" s="17" t="n"/>
      <c r="E778" s="24">
        <f>IF($D778="","",IFERROR(VLOOKUP($D778,物料档案!$A$4:$P$1203,3,0),"※编码不在物料档案里"))</f>
        <v/>
      </c>
      <c r="F778" s="24">
        <f>IF($D778="","",IFERROR(VLOOKUP($D778,物料档案!$A$4:$P$1203,4,0),"※编码不在物料档案里"))</f>
        <v/>
      </c>
      <c r="G778" s="24">
        <f>IF($D778="","",IFERROR(VLOOKUP($D778,物料档案!$A$4:$P$1203,5,0),"※编码不在物料档案里"))</f>
        <v/>
      </c>
      <c r="H778" s="24">
        <f>IF($D778="","",IFERROR(VLOOKUP($D778,物料档案!$A$4:$P$1203,2,0),"※编码不在物料档案里"))</f>
        <v/>
      </c>
      <c r="I778" s="24">
        <f>IF($D778="","",IFERROR(VLOOKUP($D778,物料档案!$A$4:$P$1203,6,0),"※编码不在物料档案里"))</f>
        <v/>
      </c>
      <c r="J778" s="23" t="n"/>
      <c r="K778" s="17" t="n"/>
      <c r="L778" s="17" t="n"/>
      <c r="M778" s="17" t="n"/>
      <c r="N778" s="17" t="n"/>
      <c r="O778" s="26">
        <f>IF($D778="","",IFERROR(VLOOKUP($D778,物料档案!$A$4:$P$1203,10,0),0))</f>
        <v/>
      </c>
      <c r="P778" s="32" t="n"/>
      <c r="Q778" s="26">
        <f>IF($D778="","",IF($K778&lt;&gt;"对外销售",0,ROUND(N($J778)*IF($P778="",N($O778),N($P778)),0)))</f>
        <v/>
      </c>
      <c r="R778" s="26">
        <f>IF($D778="","",IFERROR(VLOOKUP($D778,库存台账!$A$5:$Y$1204,11,0),0))</f>
        <v/>
      </c>
      <c r="S778" s="26">
        <f>IF($D778="","",ROUND(N($J778)*N($R778),0))</f>
        <v/>
      </c>
      <c r="T778" s="26">
        <f>IF($D778="","",IF($K778&lt;&gt;"对外销售","",ROUND($Q778-$S778,0)))</f>
        <v/>
      </c>
      <c r="U778" s="17" t="n"/>
      <c r="V778" s="17" t="n"/>
      <c r="W778" s="24">
        <f>IF($D778="","",IF($E778="※编码不在物料档案里","※物料编码不在档案里",IF(N($J778)&lt;=0,"※出库数量要大于 0",IF($K778="","※没填去向类型",IF($L778="","※没填去向矿区",IF(AND($C778&lt;&gt;"",$C778&lt;=结账锁),"※日期早于已结账截止日，不能再录",IF(AND($K778="自用消耗",COUNTIF({"一矿区";"二矿区"},$L778)=0),"※自用消耗的去向只能是一矿区或二矿区",IF(AND($K778="对外销售",COUNTIF({"三矿区";"六矿区"},$L778)=0),"※对外销售的去向只能是三矿区或六矿区",IF(AND($K778="对外销售",ROUND($Q778,0)=0),"※外销却没有售价，请填实际售价",IF(AND($K778="对外销售",$T778&lt;&gt;"",$T778&lt;0),"※这一笔外销是亏的，请核对售价",IF(IFERROR(VLOOKUP($D778,库存台账!$A$5:$Y$1204,24,0),0)&lt;-0.001,"※这个物料账面已经变成负数了，查一下是不是漏记入库","")))))))))))</f>
        <v/>
      </c>
    </row>
    <row r="779">
      <c r="A779" s="24">
        <f>IF($D779="","",COUNTA($D$4:$D779))</f>
        <v/>
      </c>
      <c r="B779" s="17" t="n"/>
      <c r="C779" s="30" t="n"/>
      <c r="D779" s="17" t="n"/>
      <c r="E779" s="24">
        <f>IF($D779="","",IFERROR(VLOOKUP($D779,物料档案!$A$4:$P$1203,3,0),"※编码不在物料档案里"))</f>
        <v/>
      </c>
      <c r="F779" s="24">
        <f>IF($D779="","",IFERROR(VLOOKUP($D779,物料档案!$A$4:$P$1203,4,0),"※编码不在物料档案里"))</f>
        <v/>
      </c>
      <c r="G779" s="24">
        <f>IF($D779="","",IFERROR(VLOOKUP($D779,物料档案!$A$4:$P$1203,5,0),"※编码不在物料档案里"))</f>
        <v/>
      </c>
      <c r="H779" s="24">
        <f>IF($D779="","",IFERROR(VLOOKUP($D779,物料档案!$A$4:$P$1203,2,0),"※编码不在物料档案里"))</f>
        <v/>
      </c>
      <c r="I779" s="24">
        <f>IF($D779="","",IFERROR(VLOOKUP($D779,物料档案!$A$4:$P$1203,6,0),"※编码不在物料档案里"))</f>
        <v/>
      </c>
      <c r="J779" s="23" t="n"/>
      <c r="K779" s="17" t="n"/>
      <c r="L779" s="17" t="n"/>
      <c r="M779" s="17" t="n"/>
      <c r="N779" s="17" t="n"/>
      <c r="O779" s="26">
        <f>IF($D779="","",IFERROR(VLOOKUP($D779,物料档案!$A$4:$P$1203,10,0),0))</f>
        <v/>
      </c>
      <c r="P779" s="32" t="n"/>
      <c r="Q779" s="26">
        <f>IF($D779="","",IF($K779&lt;&gt;"对外销售",0,ROUND(N($J779)*IF($P779="",N($O779),N($P779)),0)))</f>
        <v/>
      </c>
      <c r="R779" s="26">
        <f>IF($D779="","",IFERROR(VLOOKUP($D779,库存台账!$A$5:$Y$1204,11,0),0))</f>
        <v/>
      </c>
      <c r="S779" s="26">
        <f>IF($D779="","",ROUND(N($J779)*N($R779),0))</f>
        <v/>
      </c>
      <c r="T779" s="26">
        <f>IF($D779="","",IF($K779&lt;&gt;"对外销售","",ROUND($Q779-$S779,0)))</f>
        <v/>
      </c>
      <c r="U779" s="17" t="n"/>
      <c r="V779" s="17" t="n"/>
      <c r="W779" s="24">
        <f>IF($D779="","",IF($E779="※编码不在物料档案里","※物料编码不在档案里",IF(N($J779)&lt;=0,"※出库数量要大于 0",IF($K779="","※没填去向类型",IF($L779="","※没填去向矿区",IF(AND($C779&lt;&gt;"",$C779&lt;=结账锁),"※日期早于已结账截止日，不能再录",IF(AND($K779="自用消耗",COUNTIF({"一矿区";"二矿区"},$L779)=0),"※自用消耗的去向只能是一矿区或二矿区",IF(AND($K779="对外销售",COUNTIF({"三矿区";"六矿区"},$L779)=0),"※对外销售的去向只能是三矿区或六矿区",IF(AND($K779="对外销售",ROUND($Q779,0)=0),"※外销却没有售价，请填实际售价",IF(AND($K779="对外销售",$T779&lt;&gt;"",$T779&lt;0),"※这一笔外销是亏的，请核对售价",IF(IFERROR(VLOOKUP($D779,库存台账!$A$5:$Y$1204,24,0),0)&lt;-0.001,"※这个物料账面已经变成负数了，查一下是不是漏记入库","")))))))))))</f>
        <v/>
      </c>
    </row>
    <row r="780">
      <c r="A780" s="24">
        <f>IF($D780="","",COUNTA($D$4:$D780))</f>
        <v/>
      </c>
      <c r="B780" s="17" t="n"/>
      <c r="C780" s="30" t="n"/>
      <c r="D780" s="17" t="n"/>
      <c r="E780" s="24">
        <f>IF($D780="","",IFERROR(VLOOKUP($D780,物料档案!$A$4:$P$1203,3,0),"※编码不在物料档案里"))</f>
        <v/>
      </c>
      <c r="F780" s="24">
        <f>IF($D780="","",IFERROR(VLOOKUP($D780,物料档案!$A$4:$P$1203,4,0),"※编码不在物料档案里"))</f>
        <v/>
      </c>
      <c r="G780" s="24">
        <f>IF($D780="","",IFERROR(VLOOKUP($D780,物料档案!$A$4:$P$1203,5,0),"※编码不在物料档案里"))</f>
        <v/>
      </c>
      <c r="H780" s="24">
        <f>IF($D780="","",IFERROR(VLOOKUP($D780,物料档案!$A$4:$P$1203,2,0),"※编码不在物料档案里"))</f>
        <v/>
      </c>
      <c r="I780" s="24">
        <f>IF($D780="","",IFERROR(VLOOKUP($D780,物料档案!$A$4:$P$1203,6,0),"※编码不在物料档案里"))</f>
        <v/>
      </c>
      <c r="J780" s="23" t="n"/>
      <c r="K780" s="17" t="n"/>
      <c r="L780" s="17" t="n"/>
      <c r="M780" s="17" t="n"/>
      <c r="N780" s="17" t="n"/>
      <c r="O780" s="26">
        <f>IF($D780="","",IFERROR(VLOOKUP($D780,物料档案!$A$4:$P$1203,10,0),0))</f>
        <v/>
      </c>
      <c r="P780" s="32" t="n"/>
      <c r="Q780" s="26">
        <f>IF($D780="","",IF($K780&lt;&gt;"对外销售",0,ROUND(N($J780)*IF($P780="",N($O780),N($P780)),0)))</f>
        <v/>
      </c>
      <c r="R780" s="26">
        <f>IF($D780="","",IFERROR(VLOOKUP($D780,库存台账!$A$5:$Y$1204,11,0),0))</f>
        <v/>
      </c>
      <c r="S780" s="26">
        <f>IF($D780="","",ROUND(N($J780)*N($R780),0))</f>
        <v/>
      </c>
      <c r="T780" s="26">
        <f>IF($D780="","",IF($K780&lt;&gt;"对外销售","",ROUND($Q780-$S780,0)))</f>
        <v/>
      </c>
      <c r="U780" s="17" t="n"/>
      <c r="V780" s="17" t="n"/>
      <c r="W780" s="24">
        <f>IF($D780="","",IF($E780="※编码不在物料档案里","※物料编码不在档案里",IF(N($J780)&lt;=0,"※出库数量要大于 0",IF($K780="","※没填去向类型",IF($L780="","※没填去向矿区",IF(AND($C780&lt;&gt;"",$C780&lt;=结账锁),"※日期早于已结账截止日，不能再录",IF(AND($K780="自用消耗",COUNTIF({"一矿区";"二矿区"},$L780)=0),"※自用消耗的去向只能是一矿区或二矿区",IF(AND($K780="对外销售",COUNTIF({"三矿区";"六矿区"},$L780)=0),"※对外销售的去向只能是三矿区或六矿区",IF(AND($K780="对外销售",ROUND($Q780,0)=0),"※外销却没有售价，请填实际售价",IF(AND($K780="对外销售",$T780&lt;&gt;"",$T780&lt;0),"※这一笔外销是亏的，请核对售价",IF(IFERROR(VLOOKUP($D780,库存台账!$A$5:$Y$1204,24,0),0)&lt;-0.001,"※这个物料账面已经变成负数了，查一下是不是漏记入库","")))))))))))</f>
        <v/>
      </c>
    </row>
    <row r="781">
      <c r="A781" s="24">
        <f>IF($D781="","",COUNTA($D$4:$D781))</f>
        <v/>
      </c>
      <c r="B781" s="17" t="n"/>
      <c r="C781" s="30" t="n"/>
      <c r="D781" s="17" t="n"/>
      <c r="E781" s="24">
        <f>IF($D781="","",IFERROR(VLOOKUP($D781,物料档案!$A$4:$P$1203,3,0),"※编码不在物料档案里"))</f>
        <v/>
      </c>
      <c r="F781" s="24">
        <f>IF($D781="","",IFERROR(VLOOKUP($D781,物料档案!$A$4:$P$1203,4,0),"※编码不在物料档案里"))</f>
        <v/>
      </c>
      <c r="G781" s="24">
        <f>IF($D781="","",IFERROR(VLOOKUP($D781,物料档案!$A$4:$P$1203,5,0),"※编码不在物料档案里"))</f>
        <v/>
      </c>
      <c r="H781" s="24">
        <f>IF($D781="","",IFERROR(VLOOKUP($D781,物料档案!$A$4:$P$1203,2,0),"※编码不在物料档案里"))</f>
        <v/>
      </c>
      <c r="I781" s="24">
        <f>IF($D781="","",IFERROR(VLOOKUP($D781,物料档案!$A$4:$P$1203,6,0),"※编码不在物料档案里"))</f>
        <v/>
      </c>
      <c r="J781" s="23" t="n"/>
      <c r="K781" s="17" t="n"/>
      <c r="L781" s="17" t="n"/>
      <c r="M781" s="17" t="n"/>
      <c r="N781" s="17" t="n"/>
      <c r="O781" s="26">
        <f>IF($D781="","",IFERROR(VLOOKUP($D781,物料档案!$A$4:$P$1203,10,0),0))</f>
        <v/>
      </c>
      <c r="P781" s="32" t="n"/>
      <c r="Q781" s="26">
        <f>IF($D781="","",IF($K781&lt;&gt;"对外销售",0,ROUND(N($J781)*IF($P781="",N($O781),N($P781)),0)))</f>
        <v/>
      </c>
      <c r="R781" s="26">
        <f>IF($D781="","",IFERROR(VLOOKUP($D781,库存台账!$A$5:$Y$1204,11,0),0))</f>
        <v/>
      </c>
      <c r="S781" s="26">
        <f>IF($D781="","",ROUND(N($J781)*N($R781),0))</f>
        <v/>
      </c>
      <c r="T781" s="26">
        <f>IF($D781="","",IF($K781&lt;&gt;"对外销售","",ROUND($Q781-$S781,0)))</f>
        <v/>
      </c>
      <c r="U781" s="17" t="n"/>
      <c r="V781" s="17" t="n"/>
      <c r="W781" s="24">
        <f>IF($D781="","",IF($E781="※编码不在物料档案里","※物料编码不在档案里",IF(N($J781)&lt;=0,"※出库数量要大于 0",IF($K781="","※没填去向类型",IF($L781="","※没填去向矿区",IF(AND($C781&lt;&gt;"",$C781&lt;=结账锁),"※日期早于已结账截止日，不能再录",IF(AND($K781="自用消耗",COUNTIF({"一矿区";"二矿区"},$L781)=0),"※自用消耗的去向只能是一矿区或二矿区",IF(AND($K781="对外销售",COUNTIF({"三矿区";"六矿区"},$L781)=0),"※对外销售的去向只能是三矿区或六矿区",IF(AND($K781="对外销售",ROUND($Q781,0)=0),"※外销却没有售价，请填实际售价",IF(AND($K781="对外销售",$T781&lt;&gt;"",$T781&lt;0),"※这一笔外销是亏的，请核对售价",IF(IFERROR(VLOOKUP($D781,库存台账!$A$5:$Y$1204,24,0),0)&lt;-0.001,"※这个物料账面已经变成负数了，查一下是不是漏记入库","")))))))))))</f>
        <v/>
      </c>
    </row>
    <row r="782">
      <c r="A782" s="24">
        <f>IF($D782="","",COUNTA($D$4:$D782))</f>
        <v/>
      </c>
      <c r="B782" s="17" t="n"/>
      <c r="C782" s="30" t="n"/>
      <c r="D782" s="17" t="n"/>
      <c r="E782" s="24">
        <f>IF($D782="","",IFERROR(VLOOKUP($D782,物料档案!$A$4:$P$1203,3,0),"※编码不在物料档案里"))</f>
        <v/>
      </c>
      <c r="F782" s="24">
        <f>IF($D782="","",IFERROR(VLOOKUP($D782,物料档案!$A$4:$P$1203,4,0),"※编码不在物料档案里"))</f>
        <v/>
      </c>
      <c r="G782" s="24">
        <f>IF($D782="","",IFERROR(VLOOKUP($D782,物料档案!$A$4:$P$1203,5,0),"※编码不在物料档案里"))</f>
        <v/>
      </c>
      <c r="H782" s="24">
        <f>IF($D782="","",IFERROR(VLOOKUP($D782,物料档案!$A$4:$P$1203,2,0),"※编码不在物料档案里"))</f>
        <v/>
      </c>
      <c r="I782" s="24">
        <f>IF($D782="","",IFERROR(VLOOKUP($D782,物料档案!$A$4:$P$1203,6,0),"※编码不在物料档案里"))</f>
        <v/>
      </c>
      <c r="J782" s="23" t="n"/>
      <c r="K782" s="17" t="n"/>
      <c r="L782" s="17" t="n"/>
      <c r="M782" s="17" t="n"/>
      <c r="N782" s="17" t="n"/>
      <c r="O782" s="26">
        <f>IF($D782="","",IFERROR(VLOOKUP($D782,物料档案!$A$4:$P$1203,10,0),0))</f>
        <v/>
      </c>
      <c r="P782" s="32" t="n"/>
      <c r="Q782" s="26">
        <f>IF($D782="","",IF($K782&lt;&gt;"对外销售",0,ROUND(N($J782)*IF($P782="",N($O782),N($P782)),0)))</f>
        <v/>
      </c>
      <c r="R782" s="26">
        <f>IF($D782="","",IFERROR(VLOOKUP($D782,库存台账!$A$5:$Y$1204,11,0),0))</f>
        <v/>
      </c>
      <c r="S782" s="26">
        <f>IF($D782="","",ROUND(N($J782)*N($R782),0))</f>
        <v/>
      </c>
      <c r="T782" s="26">
        <f>IF($D782="","",IF($K782&lt;&gt;"对外销售","",ROUND($Q782-$S782,0)))</f>
        <v/>
      </c>
      <c r="U782" s="17" t="n"/>
      <c r="V782" s="17" t="n"/>
      <c r="W782" s="24">
        <f>IF($D782="","",IF($E782="※编码不在物料档案里","※物料编码不在档案里",IF(N($J782)&lt;=0,"※出库数量要大于 0",IF($K782="","※没填去向类型",IF($L782="","※没填去向矿区",IF(AND($C782&lt;&gt;"",$C782&lt;=结账锁),"※日期早于已结账截止日，不能再录",IF(AND($K782="自用消耗",COUNTIF({"一矿区";"二矿区"},$L782)=0),"※自用消耗的去向只能是一矿区或二矿区",IF(AND($K782="对外销售",COUNTIF({"三矿区";"六矿区"},$L782)=0),"※对外销售的去向只能是三矿区或六矿区",IF(AND($K782="对外销售",ROUND($Q782,0)=0),"※外销却没有售价，请填实际售价",IF(AND($K782="对外销售",$T782&lt;&gt;"",$T782&lt;0),"※这一笔外销是亏的，请核对售价",IF(IFERROR(VLOOKUP($D782,库存台账!$A$5:$Y$1204,24,0),0)&lt;-0.001,"※这个物料账面已经变成负数了，查一下是不是漏记入库","")))))))))))</f>
        <v/>
      </c>
    </row>
    <row r="783">
      <c r="A783" s="24">
        <f>IF($D783="","",COUNTA($D$4:$D783))</f>
        <v/>
      </c>
      <c r="B783" s="17" t="n"/>
      <c r="C783" s="30" t="n"/>
      <c r="D783" s="17" t="n"/>
      <c r="E783" s="24">
        <f>IF($D783="","",IFERROR(VLOOKUP($D783,物料档案!$A$4:$P$1203,3,0),"※编码不在物料档案里"))</f>
        <v/>
      </c>
      <c r="F783" s="24">
        <f>IF($D783="","",IFERROR(VLOOKUP($D783,物料档案!$A$4:$P$1203,4,0),"※编码不在物料档案里"))</f>
        <v/>
      </c>
      <c r="G783" s="24">
        <f>IF($D783="","",IFERROR(VLOOKUP($D783,物料档案!$A$4:$P$1203,5,0),"※编码不在物料档案里"))</f>
        <v/>
      </c>
      <c r="H783" s="24">
        <f>IF($D783="","",IFERROR(VLOOKUP($D783,物料档案!$A$4:$P$1203,2,0),"※编码不在物料档案里"))</f>
        <v/>
      </c>
      <c r="I783" s="24">
        <f>IF($D783="","",IFERROR(VLOOKUP($D783,物料档案!$A$4:$P$1203,6,0),"※编码不在物料档案里"))</f>
        <v/>
      </c>
      <c r="J783" s="23" t="n"/>
      <c r="K783" s="17" t="n"/>
      <c r="L783" s="17" t="n"/>
      <c r="M783" s="17" t="n"/>
      <c r="N783" s="17" t="n"/>
      <c r="O783" s="26">
        <f>IF($D783="","",IFERROR(VLOOKUP($D783,物料档案!$A$4:$P$1203,10,0),0))</f>
        <v/>
      </c>
      <c r="P783" s="32" t="n"/>
      <c r="Q783" s="26">
        <f>IF($D783="","",IF($K783&lt;&gt;"对外销售",0,ROUND(N($J783)*IF($P783="",N($O783),N($P783)),0)))</f>
        <v/>
      </c>
      <c r="R783" s="26">
        <f>IF($D783="","",IFERROR(VLOOKUP($D783,库存台账!$A$5:$Y$1204,11,0),0))</f>
        <v/>
      </c>
      <c r="S783" s="26">
        <f>IF($D783="","",ROUND(N($J783)*N($R783),0))</f>
        <v/>
      </c>
      <c r="T783" s="26">
        <f>IF($D783="","",IF($K783&lt;&gt;"对外销售","",ROUND($Q783-$S783,0)))</f>
        <v/>
      </c>
      <c r="U783" s="17" t="n"/>
      <c r="V783" s="17" t="n"/>
      <c r="W783" s="24">
        <f>IF($D783="","",IF($E783="※编码不在物料档案里","※物料编码不在档案里",IF(N($J783)&lt;=0,"※出库数量要大于 0",IF($K783="","※没填去向类型",IF($L783="","※没填去向矿区",IF(AND($C783&lt;&gt;"",$C783&lt;=结账锁),"※日期早于已结账截止日，不能再录",IF(AND($K783="自用消耗",COUNTIF({"一矿区";"二矿区"},$L783)=0),"※自用消耗的去向只能是一矿区或二矿区",IF(AND($K783="对外销售",COUNTIF({"三矿区";"六矿区"},$L783)=0),"※对外销售的去向只能是三矿区或六矿区",IF(AND($K783="对外销售",ROUND($Q783,0)=0),"※外销却没有售价，请填实际售价",IF(AND($K783="对外销售",$T783&lt;&gt;"",$T783&lt;0),"※这一笔外销是亏的，请核对售价",IF(IFERROR(VLOOKUP($D783,库存台账!$A$5:$Y$1204,24,0),0)&lt;-0.001,"※这个物料账面已经变成负数了，查一下是不是漏记入库","")))))))))))</f>
        <v/>
      </c>
    </row>
    <row r="784">
      <c r="A784" s="24">
        <f>IF($D784="","",COUNTA($D$4:$D784))</f>
        <v/>
      </c>
      <c r="B784" s="17" t="n"/>
      <c r="C784" s="30" t="n"/>
      <c r="D784" s="17" t="n"/>
      <c r="E784" s="24">
        <f>IF($D784="","",IFERROR(VLOOKUP($D784,物料档案!$A$4:$P$1203,3,0),"※编码不在物料档案里"))</f>
        <v/>
      </c>
      <c r="F784" s="24">
        <f>IF($D784="","",IFERROR(VLOOKUP($D784,物料档案!$A$4:$P$1203,4,0),"※编码不在物料档案里"))</f>
        <v/>
      </c>
      <c r="G784" s="24">
        <f>IF($D784="","",IFERROR(VLOOKUP($D784,物料档案!$A$4:$P$1203,5,0),"※编码不在物料档案里"))</f>
        <v/>
      </c>
      <c r="H784" s="24">
        <f>IF($D784="","",IFERROR(VLOOKUP($D784,物料档案!$A$4:$P$1203,2,0),"※编码不在物料档案里"))</f>
        <v/>
      </c>
      <c r="I784" s="24">
        <f>IF($D784="","",IFERROR(VLOOKUP($D784,物料档案!$A$4:$P$1203,6,0),"※编码不在物料档案里"))</f>
        <v/>
      </c>
      <c r="J784" s="23" t="n"/>
      <c r="K784" s="17" t="n"/>
      <c r="L784" s="17" t="n"/>
      <c r="M784" s="17" t="n"/>
      <c r="N784" s="17" t="n"/>
      <c r="O784" s="26">
        <f>IF($D784="","",IFERROR(VLOOKUP($D784,物料档案!$A$4:$P$1203,10,0),0))</f>
        <v/>
      </c>
      <c r="P784" s="32" t="n"/>
      <c r="Q784" s="26">
        <f>IF($D784="","",IF($K784&lt;&gt;"对外销售",0,ROUND(N($J784)*IF($P784="",N($O784),N($P784)),0)))</f>
        <v/>
      </c>
      <c r="R784" s="26">
        <f>IF($D784="","",IFERROR(VLOOKUP($D784,库存台账!$A$5:$Y$1204,11,0),0))</f>
        <v/>
      </c>
      <c r="S784" s="26">
        <f>IF($D784="","",ROUND(N($J784)*N($R784),0))</f>
        <v/>
      </c>
      <c r="T784" s="26">
        <f>IF($D784="","",IF($K784&lt;&gt;"对外销售","",ROUND($Q784-$S784,0)))</f>
        <v/>
      </c>
      <c r="U784" s="17" t="n"/>
      <c r="V784" s="17" t="n"/>
      <c r="W784" s="24">
        <f>IF($D784="","",IF($E784="※编码不在物料档案里","※物料编码不在档案里",IF(N($J784)&lt;=0,"※出库数量要大于 0",IF($K784="","※没填去向类型",IF($L784="","※没填去向矿区",IF(AND($C784&lt;&gt;"",$C784&lt;=结账锁),"※日期早于已结账截止日，不能再录",IF(AND($K784="自用消耗",COUNTIF({"一矿区";"二矿区"},$L784)=0),"※自用消耗的去向只能是一矿区或二矿区",IF(AND($K784="对外销售",COUNTIF({"三矿区";"六矿区"},$L784)=0),"※对外销售的去向只能是三矿区或六矿区",IF(AND($K784="对外销售",ROUND($Q784,0)=0),"※外销却没有售价，请填实际售价",IF(AND($K784="对外销售",$T784&lt;&gt;"",$T784&lt;0),"※这一笔外销是亏的，请核对售价",IF(IFERROR(VLOOKUP($D784,库存台账!$A$5:$Y$1204,24,0),0)&lt;-0.001,"※这个物料账面已经变成负数了，查一下是不是漏记入库","")))))))))))</f>
        <v/>
      </c>
    </row>
    <row r="785">
      <c r="A785" s="24">
        <f>IF($D785="","",COUNTA($D$4:$D785))</f>
        <v/>
      </c>
      <c r="B785" s="17" t="n"/>
      <c r="C785" s="30" t="n"/>
      <c r="D785" s="17" t="n"/>
      <c r="E785" s="24">
        <f>IF($D785="","",IFERROR(VLOOKUP($D785,物料档案!$A$4:$P$1203,3,0),"※编码不在物料档案里"))</f>
        <v/>
      </c>
      <c r="F785" s="24">
        <f>IF($D785="","",IFERROR(VLOOKUP($D785,物料档案!$A$4:$P$1203,4,0),"※编码不在物料档案里"))</f>
        <v/>
      </c>
      <c r="G785" s="24">
        <f>IF($D785="","",IFERROR(VLOOKUP($D785,物料档案!$A$4:$P$1203,5,0),"※编码不在物料档案里"))</f>
        <v/>
      </c>
      <c r="H785" s="24">
        <f>IF($D785="","",IFERROR(VLOOKUP($D785,物料档案!$A$4:$P$1203,2,0),"※编码不在物料档案里"))</f>
        <v/>
      </c>
      <c r="I785" s="24">
        <f>IF($D785="","",IFERROR(VLOOKUP($D785,物料档案!$A$4:$P$1203,6,0),"※编码不在物料档案里"))</f>
        <v/>
      </c>
      <c r="J785" s="23" t="n"/>
      <c r="K785" s="17" t="n"/>
      <c r="L785" s="17" t="n"/>
      <c r="M785" s="17" t="n"/>
      <c r="N785" s="17" t="n"/>
      <c r="O785" s="26">
        <f>IF($D785="","",IFERROR(VLOOKUP($D785,物料档案!$A$4:$P$1203,10,0),0))</f>
        <v/>
      </c>
      <c r="P785" s="32" t="n"/>
      <c r="Q785" s="26">
        <f>IF($D785="","",IF($K785&lt;&gt;"对外销售",0,ROUND(N($J785)*IF($P785="",N($O785),N($P785)),0)))</f>
        <v/>
      </c>
      <c r="R785" s="26">
        <f>IF($D785="","",IFERROR(VLOOKUP($D785,库存台账!$A$5:$Y$1204,11,0),0))</f>
        <v/>
      </c>
      <c r="S785" s="26">
        <f>IF($D785="","",ROUND(N($J785)*N($R785),0))</f>
        <v/>
      </c>
      <c r="T785" s="26">
        <f>IF($D785="","",IF($K785&lt;&gt;"对外销售","",ROUND($Q785-$S785,0)))</f>
        <v/>
      </c>
      <c r="U785" s="17" t="n"/>
      <c r="V785" s="17" t="n"/>
      <c r="W785" s="24">
        <f>IF($D785="","",IF($E785="※编码不在物料档案里","※物料编码不在档案里",IF(N($J785)&lt;=0,"※出库数量要大于 0",IF($K785="","※没填去向类型",IF($L785="","※没填去向矿区",IF(AND($C785&lt;&gt;"",$C785&lt;=结账锁),"※日期早于已结账截止日，不能再录",IF(AND($K785="自用消耗",COUNTIF({"一矿区";"二矿区"},$L785)=0),"※自用消耗的去向只能是一矿区或二矿区",IF(AND($K785="对外销售",COUNTIF({"三矿区";"六矿区"},$L785)=0),"※对外销售的去向只能是三矿区或六矿区",IF(AND($K785="对外销售",ROUND($Q785,0)=0),"※外销却没有售价，请填实际售价",IF(AND($K785="对外销售",$T785&lt;&gt;"",$T785&lt;0),"※这一笔外销是亏的，请核对售价",IF(IFERROR(VLOOKUP($D785,库存台账!$A$5:$Y$1204,24,0),0)&lt;-0.001,"※这个物料账面已经变成负数了，查一下是不是漏记入库","")))))))))))</f>
        <v/>
      </c>
    </row>
    <row r="786">
      <c r="A786" s="24">
        <f>IF($D786="","",COUNTA($D$4:$D786))</f>
        <v/>
      </c>
      <c r="B786" s="17" t="n"/>
      <c r="C786" s="30" t="n"/>
      <c r="D786" s="17" t="n"/>
      <c r="E786" s="24">
        <f>IF($D786="","",IFERROR(VLOOKUP($D786,物料档案!$A$4:$P$1203,3,0),"※编码不在物料档案里"))</f>
        <v/>
      </c>
      <c r="F786" s="24">
        <f>IF($D786="","",IFERROR(VLOOKUP($D786,物料档案!$A$4:$P$1203,4,0),"※编码不在物料档案里"))</f>
        <v/>
      </c>
      <c r="G786" s="24">
        <f>IF($D786="","",IFERROR(VLOOKUP($D786,物料档案!$A$4:$P$1203,5,0),"※编码不在物料档案里"))</f>
        <v/>
      </c>
      <c r="H786" s="24">
        <f>IF($D786="","",IFERROR(VLOOKUP($D786,物料档案!$A$4:$P$1203,2,0),"※编码不在物料档案里"))</f>
        <v/>
      </c>
      <c r="I786" s="24">
        <f>IF($D786="","",IFERROR(VLOOKUP($D786,物料档案!$A$4:$P$1203,6,0),"※编码不在物料档案里"))</f>
        <v/>
      </c>
      <c r="J786" s="23" t="n"/>
      <c r="K786" s="17" t="n"/>
      <c r="L786" s="17" t="n"/>
      <c r="M786" s="17" t="n"/>
      <c r="N786" s="17" t="n"/>
      <c r="O786" s="26">
        <f>IF($D786="","",IFERROR(VLOOKUP($D786,物料档案!$A$4:$P$1203,10,0),0))</f>
        <v/>
      </c>
      <c r="P786" s="32" t="n"/>
      <c r="Q786" s="26">
        <f>IF($D786="","",IF($K786&lt;&gt;"对外销售",0,ROUND(N($J786)*IF($P786="",N($O786),N($P786)),0)))</f>
        <v/>
      </c>
      <c r="R786" s="26">
        <f>IF($D786="","",IFERROR(VLOOKUP($D786,库存台账!$A$5:$Y$1204,11,0),0))</f>
        <v/>
      </c>
      <c r="S786" s="26">
        <f>IF($D786="","",ROUND(N($J786)*N($R786),0))</f>
        <v/>
      </c>
      <c r="T786" s="26">
        <f>IF($D786="","",IF($K786&lt;&gt;"对外销售","",ROUND($Q786-$S786,0)))</f>
        <v/>
      </c>
      <c r="U786" s="17" t="n"/>
      <c r="V786" s="17" t="n"/>
      <c r="W786" s="24">
        <f>IF($D786="","",IF($E786="※编码不在物料档案里","※物料编码不在档案里",IF(N($J786)&lt;=0,"※出库数量要大于 0",IF($K786="","※没填去向类型",IF($L786="","※没填去向矿区",IF(AND($C786&lt;&gt;"",$C786&lt;=结账锁),"※日期早于已结账截止日，不能再录",IF(AND($K786="自用消耗",COUNTIF({"一矿区";"二矿区"},$L786)=0),"※自用消耗的去向只能是一矿区或二矿区",IF(AND($K786="对外销售",COUNTIF({"三矿区";"六矿区"},$L786)=0),"※对外销售的去向只能是三矿区或六矿区",IF(AND($K786="对外销售",ROUND($Q786,0)=0),"※外销却没有售价，请填实际售价",IF(AND($K786="对外销售",$T786&lt;&gt;"",$T786&lt;0),"※这一笔外销是亏的，请核对售价",IF(IFERROR(VLOOKUP($D786,库存台账!$A$5:$Y$1204,24,0),0)&lt;-0.001,"※这个物料账面已经变成负数了，查一下是不是漏记入库","")))))))))))</f>
        <v/>
      </c>
    </row>
    <row r="787">
      <c r="A787" s="24">
        <f>IF($D787="","",COUNTA($D$4:$D787))</f>
        <v/>
      </c>
      <c r="B787" s="17" t="n"/>
      <c r="C787" s="30" t="n"/>
      <c r="D787" s="17" t="n"/>
      <c r="E787" s="24">
        <f>IF($D787="","",IFERROR(VLOOKUP($D787,物料档案!$A$4:$P$1203,3,0),"※编码不在物料档案里"))</f>
        <v/>
      </c>
      <c r="F787" s="24">
        <f>IF($D787="","",IFERROR(VLOOKUP($D787,物料档案!$A$4:$P$1203,4,0),"※编码不在物料档案里"))</f>
        <v/>
      </c>
      <c r="G787" s="24">
        <f>IF($D787="","",IFERROR(VLOOKUP($D787,物料档案!$A$4:$P$1203,5,0),"※编码不在物料档案里"))</f>
        <v/>
      </c>
      <c r="H787" s="24">
        <f>IF($D787="","",IFERROR(VLOOKUP($D787,物料档案!$A$4:$P$1203,2,0),"※编码不在物料档案里"))</f>
        <v/>
      </c>
      <c r="I787" s="24">
        <f>IF($D787="","",IFERROR(VLOOKUP($D787,物料档案!$A$4:$P$1203,6,0),"※编码不在物料档案里"))</f>
        <v/>
      </c>
      <c r="J787" s="23" t="n"/>
      <c r="K787" s="17" t="n"/>
      <c r="L787" s="17" t="n"/>
      <c r="M787" s="17" t="n"/>
      <c r="N787" s="17" t="n"/>
      <c r="O787" s="26">
        <f>IF($D787="","",IFERROR(VLOOKUP($D787,物料档案!$A$4:$P$1203,10,0),0))</f>
        <v/>
      </c>
      <c r="P787" s="32" t="n"/>
      <c r="Q787" s="26">
        <f>IF($D787="","",IF($K787&lt;&gt;"对外销售",0,ROUND(N($J787)*IF($P787="",N($O787),N($P787)),0)))</f>
        <v/>
      </c>
      <c r="R787" s="26">
        <f>IF($D787="","",IFERROR(VLOOKUP($D787,库存台账!$A$5:$Y$1204,11,0),0))</f>
        <v/>
      </c>
      <c r="S787" s="26">
        <f>IF($D787="","",ROUND(N($J787)*N($R787),0))</f>
        <v/>
      </c>
      <c r="T787" s="26">
        <f>IF($D787="","",IF($K787&lt;&gt;"对外销售","",ROUND($Q787-$S787,0)))</f>
        <v/>
      </c>
      <c r="U787" s="17" t="n"/>
      <c r="V787" s="17" t="n"/>
      <c r="W787" s="24">
        <f>IF($D787="","",IF($E787="※编码不在物料档案里","※物料编码不在档案里",IF(N($J787)&lt;=0,"※出库数量要大于 0",IF($K787="","※没填去向类型",IF($L787="","※没填去向矿区",IF(AND($C787&lt;&gt;"",$C787&lt;=结账锁),"※日期早于已结账截止日，不能再录",IF(AND($K787="自用消耗",COUNTIF({"一矿区";"二矿区"},$L787)=0),"※自用消耗的去向只能是一矿区或二矿区",IF(AND($K787="对外销售",COUNTIF({"三矿区";"六矿区"},$L787)=0),"※对外销售的去向只能是三矿区或六矿区",IF(AND($K787="对外销售",ROUND($Q787,0)=0),"※外销却没有售价，请填实际售价",IF(AND($K787="对外销售",$T787&lt;&gt;"",$T787&lt;0),"※这一笔外销是亏的，请核对售价",IF(IFERROR(VLOOKUP($D787,库存台账!$A$5:$Y$1204,24,0),0)&lt;-0.001,"※这个物料账面已经变成负数了，查一下是不是漏记入库","")))))))))))</f>
        <v/>
      </c>
    </row>
    <row r="788">
      <c r="A788" s="24">
        <f>IF($D788="","",COUNTA($D$4:$D788))</f>
        <v/>
      </c>
      <c r="B788" s="17" t="n"/>
      <c r="C788" s="30" t="n"/>
      <c r="D788" s="17" t="n"/>
      <c r="E788" s="24">
        <f>IF($D788="","",IFERROR(VLOOKUP($D788,物料档案!$A$4:$P$1203,3,0),"※编码不在物料档案里"))</f>
        <v/>
      </c>
      <c r="F788" s="24">
        <f>IF($D788="","",IFERROR(VLOOKUP($D788,物料档案!$A$4:$P$1203,4,0),"※编码不在物料档案里"))</f>
        <v/>
      </c>
      <c r="G788" s="24">
        <f>IF($D788="","",IFERROR(VLOOKUP($D788,物料档案!$A$4:$P$1203,5,0),"※编码不在物料档案里"))</f>
        <v/>
      </c>
      <c r="H788" s="24">
        <f>IF($D788="","",IFERROR(VLOOKUP($D788,物料档案!$A$4:$P$1203,2,0),"※编码不在物料档案里"))</f>
        <v/>
      </c>
      <c r="I788" s="24">
        <f>IF($D788="","",IFERROR(VLOOKUP($D788,物料档案!$A$4:$P$1203,6,0),"※编码不在物料档案里"))</f>
        <v/>
      </c>
      <c r="J788" s="23" t="n"/>
      <c r="K788" s="17" t="n"/>
      <c r="L788" s="17" t="n"/>
      <c r="M788" s="17" t="n"/>
      <c r="N788" s="17" t="n"/>
      <c r="O788" s="26">
        <f>IF($D788="","",IFERROR(VLOOKUP($D788,物料档案!$A$4:$P$1203,10,0),0))</f>
        <v/>
      </c>
      <c r="P788" s="32" t="n"/>
      <c r="Q788" s="26">
        <f>IF($D788="","",IF($K788&lt;&gt;"对外销售",0,ROUND(N($J788)*IF($P788="",N($O788),N($P788)),0)))</f>
        <v/>
      </c>
      <c r="R788" s="26">
        <f>IF($D788="","",IFERROR(VLOOKUP($D788,库存台账!$A$5:$Y$1204,11,0),0))</f>
        <v/>
      </c>
      <c r="S788" s="26">
        <f>IF($D788="","",ROUND(N($J788)*N($R788),0))</f>
        <v/>
      </c>
      <c r="T788" s="26">
        <f>IF($D788="","",IF($K788&lt;&gt;"对外销售","",ROUND($Q788-$S788,0)))</f>
        <v/>
      </c>
      <c r="U788" s="17" t="n"/>
      <c r="V788" s="17" t="n"/>
      <c r="W788" s="24">
        <f>IF($D788="","",IF($E788="※编码不在物料档案里","※物料编码不在档案里",IF(N($J788)&lt;=0,"※出库数量要大于 0",IF($K788="","※没填去向类型",IF($L788="","※没填去向矿区",IF(AND($C788&lt;&gt;"",$C788&lt;=结账锁),"※日期早于已结账截止日，不能再录",IF(AND($K788="自用消耗",COUNTIF({"一矿区";"二矿区"},$L788)=0),"※自用消耗的去向只能是一矿区或二矿区",IF(AND($K788="对外销售",COUNTIF({"三矿区";"六矿区"},$L788)=0),"※对外销售的去向只能是三矿区或六矿区",IF(AND($K788="对外销售",ROUND($Q788,0)=0),"※外销却没有售价，请填实际售价",IF(AND($K788="对外销售",$T788&lt;&gt;"",$T788&lt;0),"※这一笔外销是亏的，请核对售价",IF(IFERROR(VLOOKUP($D788,库存台账!$A$5:$Y$1204,24,0),0)&lt;-0.001,"※这个物料账面已经变成负数了，查一下是不是漏记入库","")))))))))))</f>
        <v/>
      </c>
    </row>
    <row r="789">
      <c r="A789" s="24">
        <f>IF($D789="","",COUNTA($D$4:$D789))</f>
        <v/>
      </c>
      <c r="B789" s="17" t="n"/>
      <c r="C789" s="30" t="n"/>
      <c r="D789" s="17" t="n"/>
      <c r="E789" s="24">
        <f>IF($D789="","",IFERROR(VLOOKUP($D789,物料档案!$A$4:$P$1203,3,0),"※编码不在物料档案里"))</f>
        <v/>
      </c>
      <c r="F789" s="24">
        <f>IF($D789="","",IFERROR(VLOOKUP($D789,物料档案!$A$4:$P$1203,4,0),"※编码不在物料档案里"))</f>
        <v/>
      </c>
      <c r="G789" s="24">
        <f>IF($D789="","",IFERROR(VLOOKUP($D789,物料档案!$A$4:$P$1203,5,0),"※编码不在物料档案里"))</f>
        <v/>
      </c>
      <c r="H789" s="24">
        <f>IF($D789="","",IFERROR(VLOOKUP($D789,物料档案!$A$4:$P$1203,2,0),"※编码不在物料档案里"))</f>
        <v/>
      </c>
      <c r="I789" s="24">
        <f>IF($D789="","",IFERROR(VLOOKUP($D789,物料档案!$A$4:$P$1203,6,0),"※编码不在物料档案里"))</f>
        <v/>
      </c>
      <c r="J789" s="23" t="n"/>
      <c r="K789" s="17" t="n"/>
      <c r="L789" s="17" t="n"/>
      <c r="M789" s="17" t="n"/>
      <c r="N789" s="17" t="n"/>
      <c r="O789" s="26">
        <f>IF($D789="","",IFERROR(VLOOKUP($D789,物料档案!$A$4:$P$1203,10,0),0))</f>
        <v/>
      </c>
      <c r="P789" s="32" t="n"/>
      <c r="Q789" s="26">
        <f>IF($D789="","",IF($K789&lt;&gt;"对外销售",0,ROUND(N($J789)*IF($P789="",N($O789),N($P789)),0)))</f>
        <v/>
      </c>
      <c r="R789" s="26">
        <f>IF($D789="","",IFERROR(VLOOKUP($D789,库存台账!$A$5:$Y$1204,11,0),0))</f>
        <v/>
      </c>
      <c r="S789" s="26">
        <f>IF($D789="","",ROUND(N($J789)*N($R789),0))</f>
        <v/>
      </c>
      <c r="T789" s="26">
        <f>IF($D789="","",IF($K789&lt;&gt;"对外销售","",ROUND($Q789-$S789,0)))</f>
        <v/>
      </c>
      <c r="U789" s="17" t="n"/>
      <c r="V789" s="17" t="n"/>
      <c r="W789" s="24">
        <f>IF($D789="","",IF($E789="※编码不在物料档案里","※物料编码不在档案里",IF(N($J789)&lt;=0,"※出库数量要大于 0",IF($K789="","※没填去向类型",IF($L789="","※没填去向矿区",IF(AND($C789&lt;&gt;"",$C789&lt;=结账锁),"※日期早于已结账截止日，不能再录",IF(AND($K789="自用消耗",COUNTIF({"一矿区";"二矿区"},$L789)=0),"※自用消耗的去向只能是一矿区或二矿区",IF(AND($K789="对外销售",COUNTIF({"三矿区";"六矿区"},$L789)=0),"※对外销售的去向只能是三矿区或六矿区",IF(AND($K789="对外销售",ROUND($Q789,0)=0),"※外销却没有售价，请填实际售价",IF(AND($K789="对外销售",$T789&lt;&gt;"",$T789&lt;0),"※这一笔外销是亏的，请核对售价",IF(IFERROR(VLOOKUP($D789,库存台账!$A$5:$Y$1204,24,0),0)&lt;-0.001,"※这个物料账面已经变成负数了，查一下是不是漏记入库","")))))))))))</f>
        <v/>
      </c>
    </row>
    <row r="790">
      <c r="A790" s="24">
        <f>IF($D790="","",COUNTA($D$4:$D790))</f>
        <v/>
      </c>
      <c r="B790" s="17" t="n"/>
      <c r="C790" s="30" t="n"/>
      <c r="D790" s="17" t="n"/>
      <c r="E790" s="24">
        <f>IF($D790="","",IFERROR(VLOOKUP($D790,物料档案!$A$4:$P$1203,3,0),"※编码不在物料档案里"))</f>
        <v/>
      </c>
      <c r="F790" s="24">
        <f>IF($D790="","",IFERROR(VLOOKUP($D790,物料档案!$A$4:$P$1203,4,0),"※编码不在物料档案里"))</f>
        <v/>
      </c>
      <c r="G790" s="24">
        <f>IF($D790="","",IFERROR(VLOOKUP($D790,物料档案!$A$4:$P$1203,5,0),"※编码不在物料档案里"))</f>
        <v/>
      </c>
      <c r="H790" s="24">
        <f>IF($D790="","",IFERROR(VLOOKUP($D790,物料档案!$A$4:$P$1203,2,0),"※编码不在物料档案里"))</f>
        <v/>
      </c>
      <c r="I790" s="24">
        <f>IF($D790="","",IFERROR(VLOOKUP($D790,物料档案!$A$4:$P$1203,6,0),"※编码不在物料档案里"))</f>
        <v/>
      </c>
      <c r="J790" s="23" t="n"/>
      <c r="K790" s="17" t="n"/>
      <c r="L790" s="17" t="n"/>
      <c r="M790" s="17" t="n"/>
      <c r="N790" s="17" t="n"/>
      <c r="O790" s="26">
        <f>IF($D790="","",IFERROR(VLOOKUP($D790,物料档案!$A$4:$P$1203,10,0),0))</f>
        <v/>
      </c>
      <c r="P790" s="32" t="n"/>
      <c r="Q790" s="26">
        <f>IF($D790="","",IF($K790&lt;&gt;"对外销售",0,ROUND(N($J790)*IF($P790="",N($O790),N($P790)),0)))</f>
        <v/>
      </c>
      <c r="R790" s="26">
        <f>IF($D790="","",IFERROR(VLOOKUP($D790,库存台账!$A$5:$Y$1204,11,0),0))</f>
        <v/>
      </c>
      <c r="S790" s="26">
        <f>IF($D790="","",ROUND(N($J790)*N($R790),0))</f>
        <v/>
      </c>
      <c r="T790" s="26">
        <f>IF($D790="","",IF($K790&lt;&gt;"对外销售","",ROUND($Q790-$S790,0)))</f>
        <v/>
      </c>
      <c r="U790" s="17" t="n"/>
      <c r="V790" s="17" t="n"/>
      <c r="W790" s="24">
        <f>IF($D790="","",IF($E790="※编码不在物料档案里","※物料编码不在档案里",IF(N($J790)&lt;=0,"※出库数量要大于 0",IF($K790="","※没填去向类型",IF($L790="","※没填去向矿区",IF(AND($C790&lt;&gt;"",$C790&lt;=结账锁),"※日期早于已结账截止日，不能再录",IF(AND($K790="自用消耗",COUNTIF({"一矿区";"二矿区"},$L790)=0),"※自用消耗的去向只能是一矿区或二矿区",IF(AND($K790="对外销售",COUNTIF({"三矿区";"六矿区"},$L790)=0),"※对外销售的去向只能是三矿区或六矿区",IF(AND($K790="对外销售",ROUND($Q790,0)=0),"※外销却没有售价，请填实际售价",IF(AND($K790="对外销售",$T790&lt;&gt;"",$T790&lt;0),"※这一笔外销是亏的，请核对售价",IF(IFERROR(VLOOKUP($D790,库存台账!$A$5:$Y$1204,24,0),0)&lt;-0.001,"※这个物料账面已经变成负数了，查一下是不是漏记入库","")))))))))))</f>
        <v/>
      </c>
    </row>
    <row r="791">
      <c r="A791" s="24">
        <f>IF($D791="","",COUNTA($D$4:$D791))</f>
        <v/>
      </c>
      <c r="B791" s="17" t="n"/>
      <c r="C791" s="30" t="n"/>
      <c r="D791" s="17" t="n"/>
      <c r="E791" s="24">
        <f>IF($D791="","",IFERROR(VLOOKUP($D791,物料档案!$A$4:$P$1203,3,0),"※编码不在物料档案里"))</f>
        <v/>
      </c>
      <c r="F791" s="24">
        <f>IF($D791="","",IFERROR(VLOOKUP($D791,物料档案!$A$4:$P$1203,4,0),"※编码不在物料档案里"))</f>
        <v/>
      </c>
      <c r="G791" s="24">
        <f>IF($D791="","",IFERROR(VLOOKUP($D791,物料档案!$A$4:$P$1203,5,0),"※编码不在物料档案里"))</f>
        <v/>
      </c>
      <c r="H791" s="24">
        <f>IF($D791="","",IFERROR(VLOOKUP($D791,物料档案!$A$4:$P$1203,2,0),"※编码不在物料档案里"))</f>
        <v/>
      </c>
      <c r="I791" s="24">
        <f>IF($D791="","",IFERROR(VLOOKUP($D791,物料档案!$A$4:$P$1203,6,0),"※编码不在物料档案里"))</f>
        <v/>
      </c>
      <c r="J791" s="23" t="n"/>
      <c r="K791" s="17" t="n"/>
      <c r="L791" s="17" t="n"/>
      <c r="M791" s="17" t="n"/>
      <c r="N791" s="17" t="n"/>
      <c r="O791" s="26">
        <f>IF($D791="","",IFERROR(VLOOKUP($D791,物料档案!$A$4:$P$1203,10,0),0))</f>
        <v/>
      </c>
      <c r="P791" s="32" t="n"/>
      <c r="Q791" s="26">
        <f>IF($D791="","",IF($K791&lt;&gt;"对外销售",0,ROUND(N($J791)*IF($P791="",N($O791),N($P791)),0)))</f>
        <v/>
      </c>
      <c r="R791" s="26">
        <f>IF($D791="","",IFERROR(VLOOKUP($D791,库存台账!$A$5:$Y$1204,11,0),0))</f>
        <v/>
      </c>
      <c r="S791" s="26">
        <f>IF($D791="","",ROUND(N($J791)*N($R791),0))</f>
        <v/>
      </c>
      <c r="T791" s="26">
        <f>IF($D791="","",IF($K791&lt;&gt;"对外销售","",ROUND($Q791-$S791,0)))</f>
        <v/>
      </c>
      <c r="U791" s="17" t="n"/>
      <c r="V791" s="17" t="n"/>
      <c r="W791" s="24">
        <f>IF($D791="","",IF($E791="※编码不在物料档案里","※物料编码不在档案里",IF(N($J791)&lt;=0,"※出库数量要大于 0",IF($K791="","※没填去向类型",IF($L791="","※没填去向矿区",IF(AND($C791&lt;&gt;"",$C791&lt;=结账锁),"※日期早于已结账截止日，不能再录",IF(AND($K791="自用消耗",COUNTIF({"一矿区";"二矿区"},$L791)=0),"※自用消耗的去向只能是一矿区或二矿区",IF(AND($K791="对外销售",COUNTIF({"三矿区";"六矿区"},$L791)=0),"※对外销售的去向只能是三矿区或六矿区",IF(AND($K791="对外销售",ROUND($Q791,0)=0),"※外销却没有售价，请填实际售价",IF(AND($K791="对外销售",$T791&lt;&gt;"",$T791&lt;0),"※这一笔外销是亏的，请核对售价",IF(IFERROR(VLOOKUP($D791,库存台账!$A$5:$Y$1204,24,0),0)&lt;-0.001,"※这个物料账面已经变成负数了，查一下是不是漏记入库","")))))))))))</f>
        <v/>
      </c>
    </row>
    <row r="792">
      <c r="A792" s="24">
        <f>IF($D792="","",COUNTA($D$4:$D792))</f>
        <v/>
      </c>
      <c r="B792" s="17" t="n"/>
      <c r="C792" s="30" t="n"/>
      <c r="D792" s="17" t="n"/>
      <c r="E792" s="24">
        <f>IF($D792="","",IFERROR(VLOOKUP($D792,物料档案!$A$4:$P$1203,3,0),"※编码不在物料档案里"))</f>
        <v/>
      </c>
      <c r="F792" s="24">
        <f>IF($D792="","",IFERROR(VLOOKUP($D792,物料档案!$A$4:$P$1203,4,0),"※编码不在物料档案里"))</f>
        <v/>
      </c>
      <c r="G792" s="24">
        <f>IF($D792="","",IFERROR(VLOOKUP($D792,物料档案!$A$4:$P$1203,5,0),"※编码不在物料档案里"))</f>
        <v/>
      </c>
      <c r="H792" s="24">
        <f>IF($D792="","",IFERROR(VLOOKUP($D792,物料档案!$A$4:$P$1203,2,0),"※编码不在物料档案里"))</f>
        <v/>
      </c>
      <c r="I792" s="24">
        <f>IF($D792="","",IFERROR(VLOOKUP($D792,物料档案!$A$4:$P$1203,6,0),"※编码不在物料档案里"))</f>
        <v/>
      </c>
      <c r="J792" s="23" t="n"/>
      <c r="K792" s="17" t="n"/>
      <c r="L792" s="17" t="n"/>
      <c r="M792" s="17" t="n"/>
      <c r="N792" s="17" t="n"/>
      <c r="O792" s="26">
        <f>IF($D792="","",IFERROR(VLOOKUP($D792,物料档案!$A$4:$P$1203,10,0),0))</f>
        <v/>
      </c>
      <c r="P792" s="32" t="n"/>
      <c r="Q792" s="26">
        <f>IF($D792="","",IF($K792&lt;&gt;"对外销售",0,ROUND(N($J792)*IF($P792="",N($O792),N($P792)),0)))</f>
        <v/>
      </c>
      <c r="R792" s="26">
        <f>IF($D792="","",IFERROR(VLOOKUP($D792,库存台账!$A$5:$Y$1204,11,0),0))</f>
        <v/>
      </c>
      <c r="S792" s="26">
        <f>IF($D792="","",ROUND(N($J792)*N($R792),0))</f>
        <v/>
      </c>
      <c r="T792" s="26">
        <f>IF($D792="","",IF($K792&lt;&gt;"对外销售","",ROUND($Q792-$S792,0)))</f>
        <v/>
      </c>
      <c r="U792" s="17" t="n"/>
      <c r="V792" s="17" t="n"/>
      <c r="W792" s="24">
        <f>IF($D792="","",IF($E792="※编码不在物料档案里","※物料编码不在档案里",IF(N($J792)&lt;=0,"※出库数量要大于 0",IF($K792="","※没填去向类型",IF($L792="","※没填去向矿区",IF(AND($C792&lt;&gt;"",$C792&lt;=结账锁),"※日期早于已结账截止日，不能再录",IF(AND($K792="自用消耗",COUNTIF({"一矿区";"二矿区"},$L792)=0),"※自用消耗的去向只能是一矿区或二矿区",IF(AND($K792="对外销售",COUNTIF({"三矿区";"六矿区"},$L792)=0),"※对外销售的去向只能是三矿区或六矿区",IF(AND($K792="对外销售",ROUND($Q792,0)=0),"※外销却没有售价，请填实际售价",IF(AND($K792="对外销售",$T792&lt;&gt;"",$T792&lt;0),"※这一笔外销是亏的，请核对售价",IF(IFERROR(VLOOKUP($D792,库存台账!$A$5:$Y$1204,24,0),0)&lt;-0.001,"※这个物料账面已经变成负数了，查一下是不是漏记入库","")))))))))))</f>
        <v/>
      </c>
    </row>
    <row r="793">
      <c r="A793" s="24">
        <f>IF($D793="","",COUNTA($D$4:$D793))</f>
        <v/>
      </c>
      <c r="B793" s="17" t="n"/>
      <c r="C793" s="30" t="n"/>
      <c r="D793" s="17" t="n"/>
      <c r="E793" s="24">
        <f>IF($D793="","",IFERROR(VLOOKUP($D793,物料档案!$A$4:$P$1203,3,0),"※编码不在物料档案里"))</f>
        <v/>
      </c>
      <c r="F793" s="24">
        <f>IF($D793="","",IFERROR(VLOOKUP($D793,物料档案!$A$4:$P$1203,4,0),"※编码不在物料档案里"))</f>
        <v/>
      </c>
      <c r="G793" s="24">
        <f>IF($D793="","",IFERROR(VLOOKUP($D793,物料档案!$A$4:$P$1203,5,0),"※编码不在物料档案里"))</f>
        <v/>
      </c>
      <c r="H793" s="24">
        <f>IF($D793="","",IFERROR(VLOOKUP($D793,物料档案!$A$4:$P$1203,2,0),"※编码不在物料档案里"))</f>
        <v/>
      </c>
      <c r="I793" s="24">
        <f>IF($D793="","",IFERROR(VLOOKUP($D793,物料档案!$A$4:$P$1203,6,0),"※编码不在物料档案里"))</f>
        <v/>
      </c>
      <c r="J793" s="23" t="n"/>
      <c r="K793" s="17" t="n"/>
      <c r="L793" s="17" t="n"/>
      <c r="M793" s="17" t="n"/>
      <c r="N793" s="17" t="n"/>
      <c r="O793" s="26">
        <f>IF($D793="","",IFERROR(VLOOKUP($D793,物料档案!$A$4:$P$1203,10,0),0))</f>
        <v/>
      </c>
      <c r="P793" s="32" t="n"/>
      <c r="Q793" s="26">
        <f>IF($D793="","",IF($K793&lt;&gt;"对外销售",0,ROUND(N($J793)*IF($P793="",N($O793),N($P793)),0)))</f>
        <v/>
      </c>
      <c r="R793" s="26">
        <f>IF($D793="","",IFERROR(VLOOKUP($D793,库存台账!$A$5:$Y$1204,11,0),0))</f>
        <v/>
      </c>
      <c r="S793" s="26">
        <f>IF($D793="","",ROUND(N($J793)*N($R793),0))</f>
        <v/>
      </c>
      <c r="T793" s="26">
        <f>IF($D793="","",IF($K793&lt;&gt;"对外销售","",ROUND($Q793-$S793,0)))</f>
        <v/>
      </c>
      <c r="U793" s="17" t="n"/>
      <c r="V793" s="17" t="n"/>
      <c r="W793" s="24">
        <f>IF($D793="","",IF($E793="※编码不在物料档案里","※物料编码不在档案里",IF(N($J793)&lt;=0,"※出库数量要大于 0",IF($K793="","※没填去向类型",IF($L793="","※没填去向矿区",IF(AND($C793&lt;&gt;"",$C793&lt;=结账锁),"※日期早于已结账截止日，不能再录",IF(AND($K793="自用消耗",COUNTIF({"一矿区";"二矿区"},$L793)=0),"※自用消耗的去向只能是一矿区或二矿区",IF(AND($K793="对外销售",COUNTIF({"三矿区";"六矿区"},$L793)=0),"※对外销售的去向只能是三矿区或六矿区",IF(AND($K793="对外销售",ROUND($Q793,0)=0),"※外销却没有售价，请填实际售价",IF(AND($K793="对外销售",$T793&lt;&gt;"",$T793&lt;0),"※这一笔外销是亏的，请核对售价",IF(IFERROR(VLOOKUP($D793,库存台账!$A$5:$Y$1204,24,0),0)&lt;-0.001,"※这个物料账面已经变成负数了，查一下是不是漏记入库","")))))))))))</f>
        <v/>
      </c>
    </row>
    <row r="794">
      <c r="A794" s="24">
        <f>IF($D794="","",COUNTA($D$4:$D794))</f>
        <v/>
      </c>
      <c r="B794" s="17" t="n"/>
      <c r="C794" s="30" t="n"/>
      <c r="D794" s="17" t="n"/>
      <c r="E794" s="24">
        <f>IF($D794="","",IFERROR(VLOOKUP($D794,物料档案!$A$4:$P$1203,3,0),"※编码不在物料档案里"))</f>
        <v/>
      </c>
      <c r="F794" s="24">
        <f>IF($D794="","",IFERROR(VLOOKUP($D794,物料档案!$A$4:$P$1203,4,0),"※编码不在物料档案里"))</f>
        <v/>
      </c>
      <c r="G794" s="24">
        <f>IF($D794="","",IFERROR(VLOOKUP($D794,物料档案!$A$4:$P$1203,5,0),"※编码不在物料档案里"))</f>
        <v/>
      </c>
      <c r="H794" s="24">
        <f>IF($D794="","",IFERROR(VLOOKUP($D794,物料档案!$A$4:$P$1203,2,0),"※编码不在物料档案里"))</f>
        <v/>
      </c>
      <c r="I794" s="24">
        <f>IF($D794="","",IFERROR(VLOOKUP($D794,物料档案!$A$4:$P$1203,6,0),"※编码不在物料档案里"))</f>
        <v/>
      </c>
      <c r="J794" s="23" t="n"/>
      <c r="K794" s="17" t="n"/>
      <c r="L794" s="17" t="n"/>
      <c r="M794" s="17" t="n"/>
      <c r="N794" s="17" t="n"/>
      <c r="O794" s="26">
        <f>IF($D794="","",IFERROR(VLOOKUP($D794,物料档案!$A$4:$P$1203,10,0),0))</f>
        <v/>
      </c>
      <c r="P794" s="32" t="n"/>
      <c r="Q794" s="26">
        <f>IF($D794="","",IF($K794&lt;&gt;"对外销售",0,ROUND(N($J794)*IF($P794="",N($O794),N($P794)),0)))</f>
        <v/>
      </c>
      <c r="R794" s="26">
        <f>IF($D794="","",IFERROR(VLOOKUP($D794,库存台账!$A$5:$Y$1204,11,0),0))</f>
        <v/>
      </c>
      <c r="S794" s="26">
        <f>IF($D794="","",ROUND(N($J794)*N($R794),0))</f>
        <v/>
      </c>
      <c r="T794" s="26">
        <f>IF($D794="","",IF($K794&lt;&gt;"对外销售","",ROUND($Q794-$S794,0)))</f>
        <v/>
      </c>
      <c r="U794" s="17" t="n"/>
      <c r="V794" s="17" t="n"/>
      <c r="W794" s="24">
        <f>IF($D794="","",IF($E794="※编码不在物料档案里","※物料编码不在档案里",IF(N($J794)&lt;=0,"※出库数量要大于 0",IF($K794="","※没填去向类型",IF($L794="","※没填去向矿区",IF(AND($C794&lt;&gt;"",$C794&lt;=结账锁),"※日期早于已结账截止日，不能再录",IF(AND($K794="自用消耗",COUNTIF({"一矿区";"二矿区"},$L794)=0),"※自用消耗的去向只能是一矿区或二矿区",IF(AND($K794="对外销售",COUNTIF({"三矿区";"六矿区"},$L794)=0),"※对外销售的去向只能是三矿区或六矿区",IF(AND($K794="对外销售",ROUND($Q794,0)=0),"※外销却没有售价，请填实际售价",IF(AND($K794="对外销售",$T794&lt;&gt;"",$T794&lt;0),"※这一笔外销是亏的，请核对售价",IF(IFERROR(VLOOKUP($D794,库存台账!$A$5:$Y$1204,24,0),0)&lt;-0.001,"※这个物料账面已经变成负数了，查一下是不是漏记入库","")))))))))))</f>
        <v/>
      </c>
    </row>
    <row r="795">
      <c r="A795" s="24">
        <f>IF($D795="","",COUNTA($D$4:$D795))</f>
        <v/>
      </c>
      <c r="B795" s="17" t="n"/>
      <c r="C795" s="30" t="n"/>
      <c r="D795" s="17" t="n"/>
      <c r="E795" s="24">
        <f>IF($D795="","",IFERROR(VLOOKUP($D795,物料档案!$A$4:$P$1203,3,0),"※编码不在物料档案里"))</f>
        <v/>
      </c>
      <c r="F795" s="24">
        <f>IF($D795="","",IFERROR(VLOOKUP($D795,物料档案!$A$4:$P$1203,4,0),"※编码不在物料档案里"))</f>
        <v/>
      </c>
      <c r="G795" s="24">
        <f>IF($D795="","",IFERROR(VLOOKUP($D795,物料档案!$A$4:$P$1203,5,0),"※编码不在物料档案里"))</f>
        <v/>
      </c>
      <c r="H795" s="24">
        <f>IF($D795="","",IFERROR(VLOOKUP($D795,物料档案!$A$4:$P$1203,2,0),"※编码不在物料档案里"))</f>
        <v/>
      </c>
      <c r="I795" s="24">
        <f>IF($D795="","",IFERROR(VLOOKUP($D795,物料档案!$A$4:$P$1203,6,0),"※编码不在物料档案里"))</f>
        <v/>
      </c>
      <c r="J795" s="23" t="n"/>
      <c r="K795" s="17" t="n"/>
      <c r="L795" s="17" t="n"/>
      <c r="M795" s="17" t="n"/>
      <c r="N795" s="17" t="n"/>
      <c r="O795" s="26">
        <f>IF($D795="","",IFERROR(VLOOKUP($D795,物料档案!$A$4:$P$1203,10,0),0))</f>
        <v/>
      </c>
      <c r="P795" s="32" t="n"/>
      <c r="Q795" s="26">
        <f>IF($D795="","",IF($K795&lt;&gt;"对外销售",0,ROUND(N($J795)*IF($P795="",N($O795),N($P795)),0)))</f>
        <v/>
      </c>
      <c r="R795" s="26">
        <f>IF($D795="","",IFERROR(VLOOKUP($D795,库存台账!$A$5:$Y$1204,11,0),0))</f>
        <v/>
      </c>
      <c r="S795" s="26">
        <f>IF($D795="","",ROUND(N($J795)*N($R795),0))</f>
        <v/>
      </c>
      <c r="T795" s="26">
        <f>IF($D795="","",IF($K795&lt;&gt;"对外销售","",ROUND($Q795-$S795,0)))</f>
        <v/>
      </c>
      <c r="U795" s="17" t="n"/>
      <c r="V795" s="17" t="n"/>
      <c r="W795" s="24">
        <f>IF($D795="","",IF($E795="※编码不在物料档案里","※物料编码不在档案里",IF(N($J795)&lt;=0,"※出库数量要大于 0",IF($K795="","※没填去向类型",IF($L795="","※没填去向矿区",IF(AND($C795&lt;&gt;"",$C795&lt;=结账锁),"※日期早于已结账截止日，不能再录",IF(AND($K795="自用消耗",COUNTIF({"一矿区";"二矿区"},$L795)=0),"※自用消耗的去向只能是一矿区或二矿区",IF(AND($K795="对外销售",COUNTIF({"三矿区";"六矿区"},$L795)=0),"※对外销售的去向只能是三矿区或六矿区",IF(AND($K795="对外销售",ROUND($Q795,0)=0),"※外销却没有售价，请填实际售价",IF(AND($K795="对外销售",$T795&lt;&gt;"",$T795&lt;0),"※这一笔外销是亏的，请核对售价",IF(IFERROR(VLOOKUP($D795,库存台账!$A$5:$Y$1204,24,0),0)&lt;-0.001,"※这个物料账面已经变成负数了，查一下是不是漏记入库","")))))))))))</f>
        <v/>
      </c>
    </row>
    <row r="796">
      <c r="A796" s="24">
        <f>IF($D796="","",COUNTA($D$4:$D796))</f>
        <v/>
      </c>
      <c r="B796" s="17" t="n"/>
      <c r="C796" s="30" t="n"/>
      <c r="D796" s="17" t="n"/>
      <c r="E796" s="24">
        <f>IF($D796="","",IFERROR(VLOOKUP($D796,物料档案!$A$4:$P$1203,3,0),"※编码不在物料档案里"))</f>
        <v/>
      </c>
      <c r="F796" s="24">
        <f>IF($D796="","",IFERROR(VLOOKUP($D796,物料档案!$A$4:$P$1203,4,0),"※编码不在物料档案里"))</f>
        <v/>
      </c>
      <c r="G796" s="24">
        <f>IF($D796="","",IFERROR(VLOOKUP($D796,物料档案!$A$4:$P$1203,5,0),"※编码不在物料档案里"))</f>
        <v/>
      </c>
      <c r="H796" s="24">
        <f>IF($D796="","",IFERROR(VLOOKUP($D796,物料档案!$A$4:$P$1203,2,0),"※编码不在物料档案里"))</f>
        <v/>
      </c>
      <c r="I796" s="24">
        <f>IF($D796="","",IFERROR(VLOOKUP($D796,物料档案!$A$4:$P$1203,6,0),"※编码不在物料档案里"))</f>
        <v/>
      </c>
      <c r="J796" s="23" t="n"/>
      <c r="K796" s="17" t="n"/>
      <c r="L796" s="17" t="n"/>
      <c r="M796" s="17" t="n"/>
      <c r="N796" s="17" t="n"/>
      <c r="O796" s="26">
        <f>IF($D796="","",IFERROR(VLOOKUP($D796,物料档案!$A$4:$P$1203,10,0),0))</f>
        <v/>
      </c>
      <c r="P796" s="32" t="n"/>
      <c r="Q796" s="26">
        <f>IF($D796="","",IF($K796&lt;&gt;"对外销售",0,ROUND(N($J796)*IF($P796="",N($O796),N($P796)),0)))</f>
        <v/>
      </c>
      <c r="R796" s="26">
        <f>IF($D796="","",IFERROR(VLOOKUP($D796,库存台账!$A$5:$Y$1204,11,0),0))</f>
        <v/>
      </c>
      <c r="S796" s="26">
        <f>IF($D796="","",ROUND(N($J796)*N($R796),0))</f>
        <v/>
      </c>
      <c r="T796" s="26">
        <f>IF($D796="","",IF($K796&lt;&gt;"对外销售","",ROUND($Q796-$S796,0)))</f>
        <v/>
      </c>
      <c r="U796" s="17" t="n"/>
      <c r="V796" s="17" t="n"/>
      <c r="W796" s="24">
        <f>IF($D796="","",IF($E796="※编码不在物料档案里","※物料编码不在档案里",IF(N($J796)&lt;=0,"※出库数量要大于 0",IF($K796="","※没填去向类型",IF($L796="","※没填去向矿区",IF(AND($C796&lt;&gt;"",$C796&lt;=结账锁),"※日期早于已结账截止日，不能再录",IF(AND($K796="自用消耗",COUNTIF({"一矿区";"二矿区"},$L796)=0),"※自用消耗的去向只能是一矿区或二矿区",IF(AND($K796="对外销售",COUNTIF({"三矿区";"六矿区"},$L796)=0),"※对外销售的去向只能是三矿区或六矿区",IF(AND($K796="对外销售",ROUND($Q796,0)=0),"※外销却没有售价，请填实际售价",IF(AND($K796="对外销售",$T796&lt;&gt;"",$T796&lt;0),"※这一笔外销是亏的，请核对售价",IF(IFERROR(VLOOKUP($D796,库存台账!$A$5:$Y$1204,24,0),0)&lt;-0.001,"※这个物料账面已经变成负数了，查一下是不是漏记入库","")))))))))))</f>
        <v/>
      </c>
    </row>
    <row r="797">
      <c r="A797" s="24">
        <f>IF($D797="","",COUNTA($D$4:$D797))</f>
        <v/>
      </c>
      <c r="B797" s="17" t="n"/>
      <c r="C797" s="30" t="n"/>
      <c r="D797" s="17" t="n"/>
      <c r="E797" s="24">
        <f>IF($D797="","",IFERROR(VLOOKUP($D797,物料档案!$A$4:$P$1203,3,0),"※编码不在物料档案里"))</f>
        <v/>
      </c>
      <c r="F797" s="24">
        <f>IF($D797="","",IFERROR(VLOOKUP($D797,物料档案!$A$4:$P$1203,4,0),"※编码不在物料档案里"))</f>
        <v/>
      </c>
      <c r="G797" s="24">
        <f>IF($D797="","",IFERROR(VLOOKUP($D797,物料档案!$A$4:$P$1203,5,0),"※编码不在物料档案里"))</f>
        <v/>
      </c>
      <c r="H797" s="24">
        <f>IF($D797="","",IFERROR(VLOOKUP($D797,物料档案!$A$4:$P$1203,2,0),"※编码不在物料档案里"))</f>
        <v/>
      </c>
      <c r="I797" s="24">
        <f>IF($D797="","",IFERROR(VLOOKUP($D797,物料档案!$A$4:$P$1203,6,0),"※编码不在物料档案里"))</f>
        <v/>
      </c>
      <c r="J797" s="23" t="n"/>
      <c r="K797" s="17" t="n"/>
      <c r="L797" s="17" t="n"/>
      <c r="M797" s="17" t="n"/>
      <c r="N797" s="17" t="n"/>
      <c r="O797" s="26">
        <f>IF($D797="","",IFERROR(VLOOKUP($D797,物料档案!$A$4:$P$1203,10,0),0))</f>
        <v/>
      </c>
      <c r="P797" s="32" t="n"/>
      <c r="Q797" s="26">
        <f>IF($D797="","",IF($K797&lt;&gt;"对外销售",0,ROUND(N($J797)*IF($P797="",N($O797),N($P797)),0)))</f>
        <v/>
      </c>
      <c r="R797" s="26">
        <f>IF($D797="","",IFERROR(VLOOKUP($D797,库存台账!$A$5:$Y$1204,11,0),0))</f>
        <v/>
      </c>
      <c r="S797" s="26">
        <f>IF($D797="","",ROUND(N($J797)*N($R797),0))</f>
        <v/>
      </c>
      <c r="T797" s="26">
        <f>IF($D797="","",IF($K797&lt;&gt;"对外销售","",ROUND($Q797-$S797,0)))</f>
        <v/>
      </c>
      <c r="U797" s="17" t="n"/>
      <c r="V797" s="17" t="n"/>
      <c r="W797" s="24">
        <f>IF($D797="","",IF($E797="※编码不在物料档案里","※物料编码不在档案里",IF(N($J797)&lt;=0,"※出库数量要大于 0",IF($K797="","※没填去向类型",IF($L797="","※没填去向矿区",IF(AND($C797&lt;&gt;"",$C797&lt;=结账锁),"※日期早于已结账截止日，不能再录",IF(AND($K797="自用消耗",COUNTIF({"一矿区";"二矿区"},$L797)=0),"※自用消耗的去向只能是一矿区或二矿区",IF(AND($K797="对外销售",COUNTIF({"三矿区";"六矿区"},$L797)=0),"※对外销售的去向只能是三矿区或六矿区",IF(AND($K797="对外销售",ROUND($Q797,0)=0),"※外销却没有售价，请填实际售价",IF(AND($K797="对外销售",$T797&lt;&gt;"",$T797&lt;0),"※这一笔外销是亏的，请核对售价",IF(IFERROR(VLOOKUP($D797,库存台账!$A$5:$Y$1204,24,0),0)&lt;-0.001,"※这个物料账面已经变成负数了，查一下是不是漏记入库","")))))))))))</f>
        <v/>
      </c>
    </row>
    <row r="798">
      <c r="A798" s="24">
        <f>IF($D798="","",COUNTA($D$4:$D798))</f>
        <v/>
      </c>
      <c r="B798" s="17" t="n"/>
      <c r="C798" s="30" t="n"/>
      <c r="D798" s="17" t="n"/>
      <c r="E798" s="24">
        <f>IF($D798="","",IFERROR(VLOOKUP($D798,物料档案!$A$4:$P$1203,3,0),"※编码不在物料档案里"))</f>
        <v/>
      </c>
      <c r="F798" s="24">
        <f>IF($D798="","",IFERROR(VLOOKUP($D798,物料档案!$A$4:$P$1203,4,0),"※编码不在物料档案里"))</f>
        <v/>
      </c>
      <c r="G798" s="24">
        <f>IF($D798="","",IFERROR(VLOOKUP($D798,物料档案!$A$4:$P$1203,5,0),"※编码不在物料档案里"))</f>
        <v/>
      </c>
      <c r="H798" s="24">
        <f>IF($D798="","",IFERROR(VLOOKUP($D798,物料档案!$A$4:$P$1203,2,0),"※编码不在物料档案里"))</f>
        <v/>
      </c>
      <c r="I798" s="24">
        <f>IF($D798="","",IFERROR(VLOOKUP($D798,物料档案!$A$4:$P$1203,6,0),"※编码不在物料档案里"))</f>
        <v/>
      </c>
      <c r="J798" s="23" t="n"/>
      <c r="K798" s="17" t="n"/>
      <c r="L798" s="17" t="n"/>
      <c r="M798" s="17" t="n"/>
      <c r="N798" s="17" t="n"/>
      <c r="O798" s="26">
        <f>IF($D798="","",IFERROR(VLOOKUP($D798,物料档案!$A$4:$P$1203,10,0),0))</f>
        <v/>
      </c>
      <c r="P798" s="32" t="n"/>
      <c r="Q798" s="26">
        <f>IF($D798="","",IF($K798&lt;&gt;"对外销售",0,ROUND(N($J798)*IF($P798="",N($O798),N($P798)),0)))</f>
        <v/>
      </c>
      <c r="R798" s="26">
        <f>IF($D798="","",IFERROR(VLOOKUP($D798,库存台账!$A$5:$Y$1204,11,0),0))</f>
        <v/>
      </c>
      <c r="S798" s="26">
        <f>IF($D798="","",ROUND(N($J798)*N($R798),0))</f>
        <v/>
      </c>
      <c r="T798" s="26">
        <f>IF($D798="","",IF($K798&lt;&gt;"对外销售","",ROUND($Q798-$S798,0)))</f>
        <v/>
      </c>
      <c r="U798" s="17" t="n"/>
      <c r="V798" s="17" t="n"/>
      <c r="W798" s="24">
        <f>IF($D798="","",IF($E798="※编码不在物料档案里","※物料编码不在档案里",IF(N($J798)&lt;=0,"※出库数量要大于 0",IF($K798="","※没填去向类型",IF($L798="","※没填去向矿区",IF(AND($C798&lt;&gt;"",$C798&lt;=结账锁),"※日期早于已结账截止日，不能再录",IF(AND($K798="自用消耗",COUNTIF({"一矿区";"二矿区"},$L798)=0),"※自用消耗的去向只能是一矿区或二矿区",IF(AND($K798="对外销售",COUNTIF({"三矿区";"六矿区"},$L798)=0),"※对外销售的去向只能是三矿区或六矿区",IF(AND($K798="对外销售",ROUND($Q798,0)=0),"※外销却没有售价，请填实际售价",IF(AND($K798="对外销售",$T798&lt;&gt;"",$T798&lt;0),"※这一笔外销是亏的，请核对售价",IF(IFERROR(VLOOKUP($D798,库存台账!$A$5:$Y$1204,24,0),0)&lt;-0.001,"※这个物料账面已经变成负数了，查一下是不是漏记入库","")))))))))))</f>
        <v/>
      </c>
    </row>
    <row r="799">
      <c r="A799" s="24">
        <f>IF($D799="","",COUNTA($D$4:$D799))</f>
        <v/>
      </c>
      <c r="B799" s="17" t="n"/>
      <c r="C799" s="30" t="n"/>
      <c r="D799" s="17" t="n"/>
      <c r="E799" s="24">
        <f>IF($D799="","",IFERROR(VLOOKUP($D799,物料档案!$A$4:$P$1203,3,0),"※编码不在物料档案里"))</f>
        <v/>
      </c>
      <c r="F799" s="24">
        <f>IF($D799="","",IFERROR(VLOOKUP($D799,物料档案!$A$4:$P$1203,4,0),"※编码不在物料档案里"))</f>
        <v/>
      </c>
      <c r="G799" s="24">
        <f>IF($D799="","",IFERROR(VLOOKUP($D799,物料档案!$A$4:$P$1203,5,0),"※编码不在物料档案里"))</f>
        <v/>
      </c>
      <c r="H799" s="24">
        <f>IF($D799="","",IFERROR(VLOOKUP($D799,物料档案!$A$4:$P$1203,2,0),"※编码不在物料档案里"))</f>
        <v/>
      </c>
      <c r="I799" s="24">
        <f>IF($D799="","",IFERROR(VLOOKUP($D799,物料档案!$A$4:$P$1203,6,0),"※编码不在物料档案里"))</f>
        <v/>
      </c>
      <c r="J799" s="23" t="n"/>
      <c r="K799" s="17" t="n"/>
      <c r="L799" s="17" t="n"/>
      <c r="M799" s="17" t="n"/>
      <c r="N799" s="17" t="n"/>
      <c r="O799" s="26">
        <f>IF($D799="","",IFERROR(VLOOKUP($D799,物料档案!$A$4:$P$1203,10,0),0))</f>
        <v/>
      </c>
      <c r="P799" s="32" t="n"/>
      <c r="Q799" s="26">
        <f>IF($D799="","",IF($K799&lt;&gt;"对外销售",0,ROUND(N($J799)*IF($P799="",N($O799),N($P799)),0)))</f>
        <v/>
      </c>
      <c r="R799" s="26">
        <f>IF($D799="","",IFERROR(VLOOKUP($D799,库存台账!$A$5:$Y$1204,11,0),0))</f>
        <v/>
      </c>
      <c r="S799" s="26">
        <f>IF($D799="","",ROUND(N($J799)*N($R799),0))</f>
        <v/>
      </c>
      <c r="T799" s="26">
        <f>IF($D799="","",IF($K799&lt;&gt;"对外销售","",ROUND($Q799-$S799,0)))</f>
        <v/>
      </c>
      <c r="U799" s="17" t="n"/>
      <c r="V799" s="17" t="n"/>
      <c r="W799" s="24">
        <f>IF($D799="","",IF($E799="※编码不在物料档案里","※物料编码不在档案里",IF(N($J799)&lt;=0,"※出库数量要大于 0",IF($K799="","※没填去向类型",IF($L799="","※没填去向矿区",IF(AND($C799&lt;&gt;"",$C799&lt;=结账锁),"※日期早于已结账截止日，不能再录",IF(AND($K799="自用消耗",COUNTIF({"一矿区";"二矿区"},$L799)=0),"※自用消耗的去向只能是一矿区或二矿区",IF(AND($K799="对外销售",COUNTIF({"三矿区";"六矿区"},$L799)=0),"※对外销售的去向只能是三矿区或六矿区",IF(AND($K799="对外销售",ROUND($Q799,0)=0),"※外销却没有售价，请填实际售价",IF(AND($K799="对外销售",$T799&lt;&gt;"",$T799&lt;0),"※这一笔外销是亏的，请核对售价",IF(IFERROR(VLOOKUP($D799,库存台账!$A$5:$Y$1204,24,0),0)&lt;-0.001,"※这个物料账面已经变成负数了，查一下是不是漏记入库","")))))))))))</f>
        <v/>
      </c>
    </row>
    <row r="800">
      <c r="A800" s="24">
        <f>IF($D800="","",COUNTA($D$4:$D800))</f>
        <v/>
      </c>
      <c r="B800" s="17" t="n"/>
      <c r="C800" s="30" t="n"/>
      <c r="D800" s="17" t="n"/>
      <c r="E800" s="24">
        <f>IF($D800="","",IFERROR(VLOOKUP($D800,物料档案!$A$4:$P$1203,3,0),"※编码不在物料档案里"))</f>
        <v/>
      </c>
      <c r="F800" s="24">
        <f>IF($D800="","",IFERROR(VLOOKUP($D800,物料档案!$A$4:$P$1203,4,0),"※编码不在物料档案里"))</f>
        <v/>
      </c>
      <c r="G800" s="24">
        <f>IF($D800="","",IFERROR(VLOOKUP($D800,物料档案!$A$4:$P$1203,5,0),"※编码不在物料档案里"))</f>
        <v/>
      </c>
      <c r="H800" s="24">
        <f>IF($D800="","",IFERROR(VLOOKUP($D800,物料档案!$A$4:$P$1203,2,0),"※编码不在物料档案里"))</f>
        <v/>
      </c>
      <c r="I800" s="24">
        <f>IF($D800="","",IFERROR(VLOOKUP($D800,物料档案!$A$4:$P$1203,6,0),"※编码不在物料档案里"))</f>
        <v/>
      </c>
      <c r="J800" s="23" t="n"/>
      <c r="K800" s="17" t="n"/>
      <c r="L800" s="17" t="n"/>
      <c r="M800" s="17" t="n"/>
      <c r="N800" s="17" t="n"/>
      <c r="O800" s="26">
        <f>IF($D800="","",IFERROR(VLOOKUP($D800,物料档案!$A$4:$P$1203,10,0),0))</f>
        <v/>
      </c>
      <c r="P800" s="32" t="n"/>
      <c r="Q800" s="26">
        <f>IF($D800="","",IF($K800&lt;&gt;"对外销售",0,ROUND(N($J800)*IF($P800="",N($O800),N($P800)),0)))</f>
        <v/>
      </c>
      <c r="R800" s="26">
        <f>IF($D800="","",IFERROR(VLOOKUP($D800,库存台账!$A$5:$Y$1204,11,0),0))</f>
        <v/>
      </c>
      <c r="S800" s="26">
        <f>IF($D800="","",ROUND(N($J800)*N($R800),0))</f>
        <v/>
      </c>
      <c r="T800" s="26">
        <f>IF($D800="","",IF($K800&lt;&gt;"对外销售","",ROUND($Q800-$S800,0)))</f>
        <v/>
      </c>
      <c r="U800" s="17" t="n"/>
      <c r="V800" s="17" t="n"/>
      <c r="W800" s="24">
        <f>IF($D800="","",IF($E800="※编码不在物料档案里","※物料编码不在档案里",IF(N($J800)&lt;=0,"※出库数量要大于 0",IF($K800="","※没填去向类型",IF($L800="","※没填去向矿区",IF(AND($C800&lt;&gt;"",$C800&lt;=结账锁),"※日期早于已结账截止日，不能再录",IF(AND($K800="自用消耗",COUNTIF({"一矿区";"二矿区"},$L800)=0),"※自用消耗的去向只能是一矿区或二矿区",IF(AND($K800="对外销售",COUNTIF({"三矿区";"六矿区"},$L800)=0),"※对外销售的去向只能是三矿区或六矿区",IF(AND($K800="对外销售",ROUND($Q800,0)=0),"※外销却没有售价，请填实际售价",IF(AND($K800="对外销售",$T800&lt;&gt;"",$T800&lt;0),"※这一笔外销是亏的，请核对售价",IF(IFERROR(VLOOKUP($D800,库存台账!$A$5:$Y$1204,24,0),0)&lt;-0.001,"※这个物料账面已经变成负数了，查一下是不是漏记入库","")))))))))))</f>
        <v/>
      </c>
    </row>
    <row r="801">
      <c r="A801" s="24">
        <f>IF($D801="","",COUNTA($D$4:$D801))</f>
        <v/>
      </c>
      <c r="B801" s="17" t="n"/>
      <c r="C801" s="30" t="n"/>
      <c r="D801" s="17" t="n"/>
      <c r="E801" s="24">
        <f>IF($D801="","",IFERROR(VLOOKUP($D801,物料档案!$A$4:$P$1203,3,0),"※编码不在物料档案里"))</f>
        <v/>
      </c>
      <c r="F801" s="24">
        <f>IF($D801="","",IFERROR(VLOOKUP($D801,物料档案!$A$4:$P$1203,4,0),"※编码不在物料档案里"))</f>
        <v/>
      </c>
      <c r="G801" s="24">
        <f>IF($D801="","",IFERROR(VLOOKUP($D801,物料档案!$A$4:$P$1203,5,0),"※编码不在物料档案里"))</f>
        <v/>
      </c>
      <c r="H801" s="24">
        <f>IF($D801="","",IFERROR(VLOOKUP($D801,物料档案!$A$4:$P$1203,2,0),"※编码不在物料档案里"))</f>
        <v/>
      </c>
      <c r="I801" s="24">
        <f>IF($D801="","",IFERROR(VLOOKUP($D801,物料档案!$A$4:$P$1203,6,0),"※编码不在物料档案里"))</f>
        <v/>
      </c>
      <c r="J801" s="23" t="n"/>
      <c r="K801" s="17" t="n"/>
      <c r="L801" s="17" t="n"/>
      <c r="M801" s="17" t="n"/>
      <c r="N801" s="17" t="n"/>
      <c r="O801" s="26">
        <f>IF($D801="","",IFERROR(VLOOKUP($D801,物料档案!$A$4:$P$1203,10,0),0))</f>
        <v/>
      </c>
      <c r="P801" s="32" t="n"/>
      <c r="Q801" s="26">
        <f>IF($D801="","",IF($K801&lt;&gt;"对外销售",0,ROUND(N($J801)*IF($P801="",N($O801),N($P801)),0)))</f>
        <v/>
      </c>
      <c r="R801" s="26">
        <f>IF($D801="","",IFERROR(VLOOKUP($D801,库存台账!$A$5:$Y$1204,11,0),0))</f>
        <v/>
      </c>
      <c r="S801" s="26">
        <f>IF($D801="","",ROUND(N($J801)*N($R801),0))</f>
        <v/>
      </c>
      <c r="T801" s="26">
        <f>IF($D801="","",IF($K801&lt;&gt;"对外销售","",ROUND($Q801-$S801,0)))</f>
        <v/>
      </c>
      <c r="U801" s="17" t="n"/>
      <c r="V801" s="17" t="n"/>
      <c r="W801" s="24">
        <f>IF($D801="","",IF($E801="※编码不在物料档案里","※物料编码不在档案里",IF(N($J801)&lt;=0,"※出库数量要大于 0",IF($K801="","※没填去向类型",IF($L801="","※没填去向矿区",IF(AND($C801&lt;&gt;"",$C801&lt;=结账锁),"※日期早于已结账截止日，不能再录",IF(AND($K801="自用消耗",COUNTIF({"一矿区";"二矿区"},$L801)=0),"※自用消耗的去向只能是一矿区或二矿区",IF(AND($K801="对外销售",COUNTIF({"三矿区";"六矿区"},$L801)=0),"※对外销售的去向只能是三矿区或六矿区",IF(AND($K801="对外销售",ROUND($Q801,0)=0),"※外销却没有售价，请填实际售价",IF(AND($K801="对外销售",$T801&lt;&gt;"",$T801&lt;0),"※这一笔外销是亏的，请核对售价",IF(IFERROR(VLOOKUP($D801,库存台账!$A$5:$Y$1204,24,0),0)&lt;-0.001,"※这个物料账面已经变成负数了，查一下是不是漏记入库","")))))))))))</f>
        <v/>
      </c>
    </row>
    <row r="802">
      <c r="A802" s="24">
        <f>IF($D802="","",COUNTA($D$4:$D802))</f>
        <v/>
      </c>
      <c r="B802" s="17" t="n"/>
      <c r="C802" s="30" t="n"/>
      <c r="D802" s="17" t="n"/>
      <c r="E802" s="24">
        <f>IF($D802="","",IFERROR(VLOOKUP($D802,物料档案!$A$4:$P$1203,3,0),"※编码不在物料档案里"))</f>
        <v/>
      </c>
      <c r="F802" s="24">
        <f>IF($D802="","",IFERROR(VLOOKUP($D802,物料档案!$A$4:$P$1203,4,0),"※编码不在物料档案里"))</f>
        <v/>
      </c>
      <c r="G802" s="24">
        <f>IF($D802="","",IFERROR(VLOOKUP($D802,物料档案!$A$4:$P$1203,5,0),"※编码不在物料档案里"))</f>
        <v/>
      </c>
      <c r="H802" s="24">
        <f>IF($D802="","",IFERROR(VLOOKUP($D802,物料档案!$A$4:$P$1203,2,0),"※编码不在物料档案里"))</f>
        <v/>
      </c>
      <c r="I802" s="24">
        <f>IF($D802="","",IFERROR(VLOOKUP($D802,物料档案!$A$4:$P$1203,6,0),"※编码不在物料档案里"))</f>
        <v/>
      </c>
      <c r="J802" s="23" t="n"/>
      <c r="K802" s="17" t="n"/>
      <c r="L802" s="17" t="n"/>
      <c r="M802" s="17" t="n"/>
      <c r="N802" s="17" t="n"/>
      <c r="O802" s="26">
        <f>IF($D802="","",IFERROR(VLOOKUP($D802,物料档案!$A$4:$P$1203,10,0),0))</f>
        <v/>
      </c>
      <c r="P802" s="32" t="n"/>
      <c r="Q802" s="26">
        <f>IF($D802="","",IF($K802&lt;&gt;"对外销售",0,ROUND(N($J802)*IF($P802="",N($O802),N($P802)),0)))</f>
        <v/>
      </c>
      <c r="R802" s="26">
        <f>IF($D802="","",IFERROR(VLOOKUP($D802,库存台账!$A$5:$Y$1204,11,0),0))</f>
        <v/>
      </c>
      <c r="S802" s="26">
        <f>IF($D802="","",ROUND(N($J802)*N($R802),0))</f>
        <v/>
      </c>
      <c r="T802" s="26">
        <f>IF($D802="","",IF($K802&lt;&gt;"对外销售","",ROUND($Q802-$S802,0)))</f>
        <v/>
      </c>
      <c r="U802" s="17" t="n"/>
      <c r="V802" s="17" t="n"/>
      <c r="W802" s="24">
        <f>IF($D802="","",IF($E802="※编码不在物料档案里","※物料编码不在档案里",IF(N($J802)&lt;=0,"※出库数量要大于 0",IF($K802="","※没填去向类型",IF($L802="","※没填去向矿区",IF(AND($C802&lt;&gt;"",$C802&lt;=结账锁),"※日期早于已结账截止日，不能再录",IF(AND($K802="自用消耗",COUNTIF({"一矿区";"二矿区"},$L802)=0),"※自用消耗的去向只能是一矿区或二矿区",IF(AND($K802="对外销售",COUNTIF({"三矿区";"六矿区"},$L802)=0),"※对外销售的去向只能是三矿区或六矿区",IF(AND($K802="对外销售",ROUND($Q802,0)=0),"※外销却没有售价，请填实际售价",IF(AND($K802="对外销售",$T802&lt;&gt;"",$T802&lt;0),"※这一笔外销是亏的，请核对售价",IF(IFERROR(VLOOKUP($D802,库存台账!$A$5:$Y$1204,24,0),0)&lt;-0.001,"※这个物料账面已经变成负数了，查一下是不是漏记入库","")))))))))))</f>
        <v/>
      </c>
    </row>
    <row r="803">
      <c r="A803" s="24">
        <f>IF($D803="","",COUNTA($D$4:$D803))</f>
        <v/>
      </c>
      <c r="B803" s="17" t="n"/>
      <c r="C803" s="30" t="n"/>
      <c r="D803" s="17" t="n"/>
      <c r="E803" s="24">
        <f>IF($D803="","",IFERROR(VLOOKUP($D803,物料档案!$A$4:$P$1203,3,0),"※编码不在物料档案里"))</f>
        <v/>
      </c>
      <c r="F803" s="24">
        <f>IF($D803="","",IFERROR(VLOOKUP($D803,物料档案!$A$4:$P$1203,4,0),"※编码不在物料档案里"))</f>
        <v/>
      </c>
      <c r="G803" s="24">
        <f>IF($D803="","",IFERROR(VLOOKUP($D803,物料档案!$A$4:$P$1203,5,0),"※编码不在物料档案里"))</f>
        <v/>
      </c>
      <c r="H803" s="24">
        <f>IF($D803="","",IFERROR(VLOOKUP($D803,物料档案!$A$4:$P$1203,2,0),"※编码不在物料档案里"))</f>
        <v/>
      </c>
      <c r="I803" s="24">
        <f>IF($D803="","",IFERROR(VLOOKUP($D803,物料档案!$A$4:$P$1203,6,0),"※编码不在物料档案里"))</f>
        <v/>
      </c>
      <c r="J803" s="23" t="n"/>
      <c r="K803" s="17" t="n"/>
      <c r="L803" s="17" t="n"/>
      <c r="M803" s="17" t="n"/>
      <c r="N803" s="17" t="n"/>
      <c r="O803" s="26">
        <f>IF($D803="","",IFERROR(VLOOKUP($D803,物料档案!$A$4:$P$1203,10,0),0))</f>
        <v/>
      </c>
      <c r="P803" s="32" t="n"/>
      <c r="Q803" s="26">
        <f>IF($D803="","",IF($K803&lt;&gt;"对外销售",0,ROUND(N($J803)*IF($P803="",N($O803),N($P803)),0)))</f>
        <v/>
      </c>
      <c r="R803" s="26">
        <f>IF($D803="","",IFERROR(VLOOKUP($D803,库存台账!$A$5:$Y$1204,11,0),0))</f>
        <v/>
      </c>
      <c r="S803" s="26">
        <f>IF($D803="","",ROUND(N($J803)*N($R803),0))</f>
        <v/>
      </c>
      <c r="T803" s="26">
        <f>IF($D803="","",IF($K803&lt;&gt;"对外销售","",ROUND($Q803-$S803,0)))</f>
        <v/>
      </c>
      <c r="U803" s="17" t="n"/>
      <c r="V803" s="17" t="n"/>
      <c r="W803" s="24">
        <f>IF($D803="","",IF($E803="※编码不在物料档案里","※物料编码不在档案里",IF(N($J803)&lt;=0,"※出库数量要大于 0",IF($K803="","※没填去向类型",IF($L803="","※没填去向矿区",IF(AND($C803&lt;&gt;"",$C803&lt;=结账锁),"※日期早于已结账截止日，不能再录",IF(AND($K803="自用消耗",COUNTIF({"一矿区";"二矿区"},$L803)=0),"※自用消耗的去向只能是一矿区或二矿区",IF(AND($K803="对外销售",COUNTIF({"三矿区";"六矿区"},$L803)=0),"※对外销售的去向只能是三矿区或六矿区",IF(AND($K803="对外销售",ROUND($Q803,0)=0),"※外销却没有售价，请填实际售价",IF(AND($K803="对外销售",$T803&lt;&gt;"",$T803&lt;0),"※这一笔外销是亏的，请核对售价",IF(IFERROR(VLOOKUP($D803,库存台账!$A$5:$Y$1204,24,0),0)&lt;-0.001,"※这个物料账面已经变成负数了，查一下是不是漏记入库","")))))))))))</f>
        <v/>
      </c>
    </row>
    <row r="804">
      <c r="A804" s="24">
        <f>IF($D804="","",COUNTA($D$4:$D804))</f>
        <v/>
      </c>
      <c r="B804" s="17" t="n"/>
      <c r="C804" s="30" t="n"/>
      <c r="D804" s="17" t="n"/>
      <c r="E804" s="24">
        <f>IF($D804="","",IFERROR(VLOOKUP($D804,物料档案!$A$4:$P$1203,3,0),"※编码不在物料档案里"))</f>
        <v/>
      </c>
      <c r="F804" s="24">
        <f>IF($D804="","",IFERROR(VLOOKUP($D804,物料档案!$A$4:$P$1203,4,0),"※编码不在物料档案里"))</f>
        <v/>
      </c>
      <c r="G804" s="24">
        <f>IF($D804="","",IFERROR(VLOOKUP($D804,物料档案!$A$4:$P$1203,5,0),"※编码不在物料档案里"))</f>
        <v/>
      </c>
      <c r="H804" s="24">
        <f>IF($D804="","",IFERROR(VLOOKUP($D804,物料档案!$A$4:$P$1203,2,0),"※编码不在物料档案里"))</f>
        <v/>
      </c>
      <c r="I804" s="24">
        <f>IF($D804="","",IFERROR(VLOOKUP($D804,物料档案!$A$4:$P$1203,6,0),"※编码不在物料档案里"))</f>
        <v/>
      </c>
      <c r="J804" s="23" t="n"/>
      <c r="K804" s="17" t="n"/>
      <c r="L804" s="17" t="n"/>
      <c r="M804" s="17" t="n"/>
      <c r="N804" s="17" t="n"/>
      <c r="O804" s="26">
        <f>IF($D804="","",IFERROR(VLOOKUP($D804,物料档案!$A$4:$P$1203,10,0),0))</f>
        <v/>
      </c>
      <c r="P804" s="32" t="n"/>
      <c r="Q804" s="26">
        <f>IF($D804="","",IF($K804&lt;&gt;"对外销售",0,ROUND(N($J804)*IF($P804="",N($O804),N($P804)),0)))</f>
        <v/>
      </c>
      <c r="R804" s="26">
        <f>IF($D804="","",IFERROR(VLOOKUP($D804,库存台账!$A$5:$Y$1204,11,0),0))</f>
        <v/>
      </c>
      <c r="S804" s="26">
        <f>IF($D804="","",ROUND(N($J804)*N($R804),0))</f>
        <v/>
      </c>
      <c r="T804" s="26">
        <f>IF($D804="","",IF($K804&lt;&gt;"对外销售","",ROUND($Q804-$S804,0)))</f>
        <v/>
      </c>
      <c r="U804" s="17" t="n"/>
      <c r="V804" s="17" t="n"/>
      <c r="W804" s="24">
        <f>IF($D804="","",IF($E804="※编码不在物料档案里","※物料编码不在档案里",IF(N($J804)&lt;=0,"※出库数量要大于 0",IF($K804="","※没填去向类型",IF($L804="","※没填去向矿区",IF(AND($C804&lt;&gt;"",$C804&lt;=结账锁),"※日期早于已结账截止日，不能再录",IF(AND($K804="自用消耗",COUNTIF({"一矿区";"二矿区"},$L804)=0),"※自用消耗的去向只能是一矿区或二矿区",IF(AND($K804="对外销售",COUNTIF({"三矿区";"六矿区"},$L804)=0),"※对外销售的去向只能是三矿区或六矿区",IF(AND($K804="对外销售",ROUND($Q804,0)=0),"※外销却没有售价，请填实际售价",IF(AND($K804="对外销售",$T804&lt;&gt;"",$T804&lt;0),"※这一笔外销是亏的，请核对售价",IF(IFERROR(VLOOKUP($D804,库存台账!$A$5:$Y$1204,24,0),0)&lt;-0.001,"※这个物料账面已经变成负数了，查一下是不是漏记入库","")))))))))))</f>
        <v/>
      </c>
    </row>
    <row r="805">
      <c r="A805" s="24">
        <f>IF($D805="","",COUNTA($D$4:$D805))</f>
        <v/>
      </c>
      <c r="B805" s="17" t="n"/>
      <c r="C805" s="30" t="n"/>
      <c r="D805" s="17" t="n"/>
      <c r="E805" s="24">
        <f>IF($D805="","",IFERROR(VLOOKUP($D805,物料档案!$A$4:$P$1203,3,0),"※编码不在物料档案里"))</f>
        <v/>
      </c>
      <c r="F805" s="24">
        <f>IF($D805="","",IFERROR(VLOOKUP($D805,物料档案!$A$4:$P$1203,4,0),"※编码不在物料档案里"))</f>
        <v/>
      </c>
      <c r="G805" s="24">
        <f>IF($D805="","",IFERROR(VLOOKUP($D805,物料档案!$A$4:$P$1203,5,0),"※编码不在物料档案里"))</f>
        <v/>
      </c>
      <c r="H805" s="24">
        <f>IF($D805="","",IFERROR(VLOOKUP($D805,物料档案!$A$4:$P$1203,2,0),"※编码不在物料档案里"))</f>
        <v/>
      </c>
      <c r="I805" s="24">
        <f>IF($D805="","",IFERROR(VLOOKUP($D805,物料档案!$A$4:$P$1203,6,0),"※编码不在物料档案里"))</f>
        <v/>
      </c>
      <c r="J805" s="23" t="n"/>
      <c r="K805" s="17" t="n"/>
      <c r="L805" s="17" t="n"/>
      <c r="M805" s="17" t="n"/>
      <c r="N805" s="17" t="n"/>
      <c r="O805" s="26">
        <f>IF($D805="","",IFERROR(VLOOKUP($D805,物料档案!$A$4:$P$1203,10,0),0))</f>
        <v/>
      </c>
      <c r="P805" s="32" t="n"/>
      <c r="Q805" s="26">
        <f>IF($D805="","",IF($K805&lt;&gt;"对外销售",0,ROUND(N($J805)*IF($P805="",N($O805),N($P805)),0)))</f>
        <v/>
      </c>
      <c r="R805" s="26">
        <f>IF($D805="","",IFERROR(VLOOKUP($D805,库存台账!$A$5:$Y$1204,11,0),0))</f>
        <v/>
      </c>
      <c r="S805" s="26">
        <f>IF($D805="","",ROUND(N($J805)*N($R805),0))</f>
        <v/>
      </c>
      <c r="T805" s="26">
        <f>IF($D805="","",IF($K805&lt;&gt;"对外销售","",ROUND($Q805-$S805,0)))</f>
        <v/>
      </c>
      <c r="U805" s="17" t="n"/>
      <c r="V805" s="17" t="n"/>
      <c r="W805" s="24">
        <f>IF($D805="","",IF($E805="※编码不在物料档案里","※物料编码不在档案里",IF(N($J805)&lt;=0,"※出库数量要大于 0",IF($K805="","※没填去向类型",IF($L805="","※没填去向矿区",IF(AND($C805&lt;&gt;"",$C805&lt;=结账锁),"※日期早于已结账截止日，不能再录",IF(AND($K805="自用消耗",COUNTIF({"一矿区";"二矿区"},$L805)=0),"※自用消耗的去向只能是一矿区或二矿区",IF(AND($K805="对外销售",COUNTIF({"三矿区";"六矿区"},$L805)=0),"※对外销售的去向只能是三矿区或六矿区",IF(AND($K805="对外销售",ROUND($Q805,0)=0),"※外销却没有售价，请填实际售价",IF(AND($K805="对外销售",$T805&lt;&gt;"",$T805&lt;0),"※这一笔外销是亏的，请核对售价",IF(IFERROR(VLOOKUP($D805,库存台账!$A$5:$Y$1204,24,0),0)&lt;-0.001,"※这个物料账面已经变成负数了，查一下是不是漏记入库","")))))))))))</f>
        <v/>
      </c>
    </row>
    <row r="806">
      <c r="A806" s="24">
        <f>IF($D806="","",COUNTA($D$4:$D806))</f>
        <v/>
      </c>
      <c r="B806" s="17" t="n"/>
      <c r="C806" s="30" t="n"/>
      <c r="D806" s="17" t="n"/>
      <c r="E806" s="24">
        <f>IF($D806="","",IFERROR(VLOOKUP($D806,物料档案!$A$4:$P$1203,3,0),"※编码不在物料档案里"))</f>
        <v/>
      </c>
      <c r="F806" s="24">
        <f>IF($D806="","",IFERROR(VLOOKUP($D806,物料档案!$A$4:$P$1203,4,0),"※编码不在物料档案里"))</f>
        <v/>
      </c>
      <c r="G806" s="24">
        <f>IF($D806="","",IFERROR(VLOOKUP($D806,物料档案!$A$4:$P$1203,5,0),"※编码不在物料档案里"))</f>
        <v/>
      </c>
      <c r="H806" s="24">
        <f>IF($D806="","",IFERROR(VLOOKUP($D806,物料档案!$A$4:$P$1203,2,0),"※编码不在物料档案里"))</f>
        <v/>
      </c>
      <c r="I806" s="24">
        <f>IF($D806="","",IFERROR(VLOOKUP($D806,物料档案!$A$4:$P$1203,6,0),"※编码不在物料档案里"))</f>
        <v/>
      </c>
      <c r="J806" s="23" t="n"/>
      <c r="K806" s="17" t="n"/>
      <c r="L806" s="17" t="n"/>
      <c r="M806" s="17" t="n"/>
      <c r="N806" s="17" t="n"/>
      <c r="O806" s="26">
        <f>IF($D806="","",IFERROR(VLOOKUP($D806,物料档案!$A$4:$P$1203,10,0),0))</f>
        <v/>
      </c>
      <c r="P806" s="32" t="n"/>
      <c r="Q806" s="26">
        <f>IF($D806="","",IF($K806&lt;&gt;"对外销售",0,ROUND(N($J806)*IF($P806="",N($O806),N($P806)),0)))</f>
        <v/>
      </c>
      <c r="R806" s="26">
        <f>IF($D806="","",IFERROR(VLOOKUP($D806,库存台账!$A$5:$Y$1204,11,0),0))</f>
        <v/>
      </c>
      <c r="S806" s="26">
        <f>IF($D806="","",ROUND(N($J806)*N($R806),0))</f>
        <v/>
      </c>
      <c r="T806" s="26">
        <f>IF($D806="","",IF($K806&lt;&gt;"对外销售","",ROUND($Q806-$S806,0)))</f>
        <v/>
      </c>
      <c r="U806" s="17" t="n"/>
      <c r="V806" s="17" t="n"/>
      <c r="W806" s="24">
        <f>IF($D806="","",IF($E806="※编码不在物料档案里","※物料编码不在档案里",IF(N($J806)&lt;=0,"※出库数量要大于 0",IF($K806="","※没填去向类型",IF($L806="","※没填去向矿区",IF(AND($C806&lt;&gt;"",$C806&lt;=结账锁),"※日期早于已结账截止日，不能再录",IF(AND($K806="自用消耗",COUNTIF({"一矿区";"二矿区"},$L806)=0),"※自用消耗的去向只能是一矿区或二矿区",IF(AND($K806="对外销售",COUNTIF({"三矿区";"六矿区"},$L806)=0),"※对外销售的去向只能是三矿区或六矿区",IF(AND($K806="对外销售",ROUND($Q806,0)=0),"※外销却没有售价，请填实际售价",IF(AND($K806="对外销售",$T806&lt;&gt;"",$T806&lt;0),"※这一笔外销是亏的，请核对售价",IF(IFERROR(VLOOKUP($D806,库存台账!$A$5:$Y$1204,24,0),0)&lt;-0.001,"※这个物料账面已经变成负数了，查一下是不是漏记入库","")))))))))))</f>
        <v/>
      </c>
    </row>
    <row r="807">
      <c r="A807" s="24">
        <f>IF($D807="","",COUNTA($D$4:$D807))</f>
        <v/>
      </c>
      <c r="B807" s="17" t="n"/>
      <c r="C807" s="30" t="n"/>
      <c r="D807" s="17" t="n"/>
      <c r="E807" s="24">
        <f>IF($D807="","",IFERROR(VLOOKUP($D807,物料档案!$A$4:$P$1203,3,0),"※编码不在物料档案里"))</f>
        <v/>
      </c>
      <c r="F807" s="24">
        <f>IF($D807="","",IFERROR(VLOOKUP($D807,物料档案!$A$4:$P$1203,4,0),"※编码不在物料档案里"))</f>
        <v/>
      </c>
      <c r="G807" s="24">
        <f>IF($D807="","",IFERROR(VLOOKUP($D807,物料档案!$A$4:$P$1203,5,0),"※编码不在物料档案里"))</f>
        <v/>
      </c>
      <c r="H807" s="24">
        <f>IF($D807="","",IFERROR(VLOOKUP($D807,物料档案!$A$4:$P$1203,2,0),"※编码不在物料档案里"))</f>
        <v/>
      </c>
      <c r="I807" s="24">
        <f>IF($D807="","",IFERROR(VLOOKUP($D807,物料档案!$A$4:$P$1203,6,0),"※编码不在物料档案里"))</f>
        <v/>
      </c>
      <c r="J807" s="23" t="n"/>
      <c r="K807" s="17" t="n"/>
      <c r="L807" s="17" t="n"/>
      <c r="M807" s="17" t="n"/>
      <c r="N807" s="17" t="n"/>
      <c r="O807" s="26">
        <f>IF($D807="","",IFERROR(VLOOKUP($D807,物料档案!$A$4:$P$1203,10,0),0))</f>
        <v/>
      </c>
      <c r="P807" s="32" t="n"/>
      <c r="Q807" s="26">
        <f>IF($D807="","",IF($K807&lt;&gt;"对外销售",0,ROUND(N($J807)*IF($P807="",N($O807),N($P807)),0)))</f>
        <v/>
      </c>
      <c r="R807" s="26">
        <f>IF($D807="","",IFERROR(VLOOKUP($D807,库存台账!$A$5:$Y$1204,11,0),0))</f>
        <v/>
      </c>
      <c r="S807" s="26">
        <f>IF($D807="","",ROUND(N($J807)*N($R807),0))</f>
        <v/>
      </c>
      <c r="T807" s="26">
        <f>IF($D807="","",IF($K807&lt;&gt;"对外销售","",ROUND($Q807-$S807,0)))</f>
        <v/>
      </c>
      <c r="U807" s="17" t="n"/>
      <c r="V807" s="17" t="n"/>
      <c r="W807" s="24">
        <f>IF($D807="","",IF($E807="※编码不在物料档案里","※物料编码不在档案里",IF(N($J807)&lt;=0,"※出库数量要大于 0",IF($K807="","※没填去向类型",IF($L807="","※没填去向矿区",IF(AND($C807&lt;&gt;"",$C807&lt;=结账锁),"※日期早于已结账截止日，不能再录",IF(AND($K807="自用消耗",COUNTIF({"一矿区";"二矿区"},$L807)=0),"※自用消耗的去向只能是一矿区或二矿区",IF(AND($K807="对外销售",COUNTIF({"三矿区";"六矿区"},$L807)=0),"※对外销售的去向只能是三矿区或六矿区",IF(AND($K807="对外销售",ROUND($Q807,0)=0),"※外销却没有售价，请填实际售价",IF(AND($K807="对外销售",$T807&lt;&gt;"",$T807&lt;0),"※这一笔外销是亏的，请核对售价",IF(IFERROR(VLOOKUP($D807,库存台账!$A$5:$Y$1204,24,0),0)&lt;-0.001,"※这个物料账面已经变成负数了，查一下是不是漏记入库","")))))))))))</f>
        <v/>
      </c>
    </row>
    <row r="808">
      <c r="A808" s="24">
        <f>IF($D808="","",COUNTA($D$4:$D808))</f>
        <v/>
      </c>
      <c r="B808" s="17" t="n"/>
      <c r="C808" s="30" t="n"/>
      <c r="D808" s="17" t="n"/>
      <c r="E808" s="24">
        <f>IF($D808="","",IFERROR(VLOOKUP($D808,物料档案!$A$4:$P$1203,3,0),"※编码不在物料档案里"))</f>
        <v/>
      </c>
      <c r="F808" s="24">
        <f>IF($D808="","",IFERROR(VLOOKUP($D808,物料档案!$A$4:$P$1203,4,0),"※编码不在物料档案里"))</f>
        <v/>
      </c>
      <c r="G808" s="24">
        <f>IF($D808="","",IFERROR(VLOOKUP($D808,物料档案!$A$4:$P$1203,5,0),"※编码不在物料档案里"))</f>
        <v/>
      </c>
      <c r="H808" s="24">
        <f>IF($D808="","",IFERROR(VLOOKUP($D808,物料档案!$A$4:$P$1203,2,0),"※编码不在物料档案里"))</f>
        <v/>
      </c>
      <c r="I808" s="24">
        <f>IF($D808="","",IFERROR(VLOOKUP($D808,物料档案!$A$4:$P$1203,6,0),"※编码不在物料档案里"))</f>
        <v/>
      </c>
      <c r="J808" s="23" t="n"/>
      <c r="K808" s="17" t="n"/>
      <c r="L808" s="17" t="n"/>
      <c r="M808" s="17" t="n"/>
      <c r="N808" s="17" t="n"/>
      <c r="O808" s="26">
        <f>IF($D808="","",IFERROR(VLOOKUP($D808,物料档案!$A$4:$P$1203,10,0),0))</f>
        <v/>
      </c>
      <c r="P808" s="32" t="n"/>
      <c r="Q808" s="26">
        <f>IF($D808="","",IF($K808&lt;&gt;"对外销售",0,ROUND(N($J808)*IF($P808="",N($O808),N($P808)),0)))</f>
        <v/>
      </c>
      <c r="R808" s="26">
        <f>IF($D808="","",IFERROR(VLOOKUP($D808,库存台账!$A$5:$Y$1204,11,0),0))</f>
        <v/>
      </c>
      <c r="S808" s="26">
        <f>IF($D808="","",ROUND(N($J808)*N($R808),0))</f>
        <v/>
      </c>
      <c r="T808" s="26">
        <f>IF($D808="","",IF($K808&lt;&gt;"对外销售","",ROUND($Q808-$S808,0)))</f>
        <v/>
      </c>
      <c r="U808" s="17" t="n"/>
      <c r="V808" s="17" t="n"/>
      <c r="W808" s="24">
        <f>IF($D808="","",IF($E808="※编码不在物料档案里","※物料编码不在档案里",IF(N($J808)&lt;=0,"※出库数量要大于 0",IF($K808="","※没填去向类型",IF($L808="","※没填去向矿区",IF(AND($C808&lt;&gt;"",$C808&lt;=结账锁),"※日期早于已结账截止日，不能再录",IF(AND($K808="自用消耗",COUNTIF({"一矿区";"二矿区"},$L808)=0),"※自用消耗的去向只能是一矿区或二矿区",IF(AND($K808="对外销售",COUNTIF({"三矿区";"六矿区"},$L808)=0),"※对外销售的去向只能是三矿区或六矿区",IF(AND($K808="对外销售",ROUND($Q808,0)=0),"※外销却没有售价，请填实际售价",IF(AND($K808="对外销售",$T808&lt;&gt;"",$T808&lt;0),"※这一笔外销是亏的，请核对售价",IF(IFERROR(VLOOKUP($D808,库存台账!$A$5:$Y$1204,24,0),0)&lt;-0.001,"※这个物料账面已经变成负数了，查一下是不是漏记入库","")))))))))))</f>
        <v/>
      </c>
    </row>
    <row r="809">
      <c r="A809" s="24">
        <f>IF($D809="","",COUNTA($D$4:$D809))</f>
        <v/>
      </c>
      <c r="B809" s="17" t="n"/>
      <c r="C809" s="30" t="n"/>
      <c r="D809" s="17" t="n"/>
      <c r="E809" s="24">
        <f>IF($D809="","",IFERROR(VLOOKUP($D809,物料档案!$A$4:$P$1203,3,0),"※编码不在物料档案里"))</f>
        <v/>
      </c>
      <c r="F809" s="24">
        <f>IF($D809="","",IFERROR(VLOOKUP($D809,物料档案!$A$4:$P$1203,4,0),"※编码不在物料档案里"))</f>
        <v/>
      </c>
      <c r="G809" s="24">
        <f>IF($D809="","",IFERROR(VLOOKUP($D809,物料档案!$A$4:$P$1203,5,0),"※编码不在物料档案里"))</f>
        <v/>
      </c>
      <c r="H809" s="24">
        <f>IF($D809="","",IFERROR(VLOOKUP($D809,物料档案!$A$4:$P$1203,2,0),"※编码不在物料档案里"))</f>
        <v/>
      </c>
      <c r="I809" s="24">
        <f>IF($D809="","",IFERROR(VLOOKUP($D809,物料档案!$A$4:$P$1203,6,0),"※编码不在物料档案里"))</f>
        <v/>
      </c>
      <c r="J809" s="23" t="n"/>
      <c r="K809" s="17" t="n"/>
      <c r="L809" s="17" t="n"/>
      <c r="M809" s="17" t="n"/>
      <c r="N809" s="17" t="n"/>
      <c r="O809" s="26">
        <f>IF($D809="","",IFERROR(VLOOKUP($D809,物料档案!$A$4:$P$1203,10,0),0))</f>
        <v/>
      </c>
      <c r="P809" s="32" t="n"/>
      <c r="Q809" s="26">
        <f>IF($D809="","",IF($K809&lt;&gt;"对外销售",0,ROUND(N($J809)*IF($P809="",N($O809),N($P809)),0)))</f>
        <v/>
      </c>
      <c r="R809" s="26">
        <f>IF($D809="","",IFERROR(VLOOKUP($D809,库存台账!$A$5:$Y$1204,11,0),0))</f>
        <v/>
      </c>
      <c r="S809" s="26">
        <f>IF($D809="","",ROUND(N($J809)*N($R809),0))</f>
        <v/>
      </c>
      <c r="T809" s="26">
        <f>IF($D809="","",IF($K809&lt;&gt;"对外销售","",ROUND($Q809-$S809,0)))</f>
        <v/>
      </c>
      <c r="U809" s="17" t="n"/>
      <c r="V809" s="17" t="n"/>
      <c r="W809" s="24">
        <f>IF($D809="","",IF($E809="※编码不在物料档案里","※物料编码不在档案里",IF(N($J809)&lt;=0,"※出库数量要大于 0",IF($K809="","※没填去向类型",IF($L809="","※没填去向矿区",IF(AND($C809&lt;&gt;"",$C809&lt;=结账锁),"※日期早于已结账截止日，不能再录",IF(AND($K809="自用消耗",COUNTIF({"一矿区";"二矿区"},$L809)=0),"※自用消耗的去向只能是一矿区或二矿区",IF(AND($K809="对外销售",COUNTIF({"三矿区";"六矿区"},$L809)=0),"※对外销售的去向只能是三矿区或六矿区",IF(AND($K809="对外销售",ROUND($Q809,0)=0),"※外销却没有售价，请填实际售价",IF(AND($K809="对外销售",$T809&lt;&gt;"",$T809&lt;0),"※这一笔外销是亏的，请核对售价",IF(IFERROR(VLOOKUP($D809,库存台账!$A$5:$Y$1204,24,0),0)&lt;-0.001,"※这个物料账面已经变成负数了，查一下是不是漏记入库","")))))))))))</f>
        <v/>
      </c>
    </row>
    <row r="810">
      <c r="A810" s="24">
        <f>IF($D810="","",COUNTA($D$4:$D810))</f>
        <v/>
      </c>
      <c r="B810" s="17" t="n"/>
      <c r="C810" s="30" t="n"/>
      <c r="D810" s="17" t="n"/>
      <c r="E810" s="24">
        <f>IF($D810="","",IFERROR(VLOOKUP($D810,物料档案!$A$4:$P$1203,3,0),"※编码不在物料档案里"))</f>
        <v/>
      </c>
      <c r="F810" s="24">
        <f>IF($D810="","",IFERROR(VLOOKUP($D810,物料档案!$A$4:$P$1203,4,0),"※编码不在物料档案里"))</f>
        <v/>
      </c>
      <c r="G810" s="24">
        <f>IF($D810="","",IFERROR(VLOOKUP($D810,物料档案!$A$4:$P$1203,5,0),"※编码不在物料档案里"))</f>
        <v/>
      </c>
      <c r="H810" s="24">
        <f>IF($D810="","",IFERROR(VLOOKUP($D810,物料档案!$A$4:$P$1203,2,0),"※编码不在物料档案里"))</f>
        <v/>
      </c>
      <c r="I810" s="24">
        <f>IF($D810="","",IFERROR(VLOOKUP($D810,物料档案!$A$4:$P$1203,6,0),"※编码不在物料档案里"))</f>
        <v/>
      </c>
      <c r="J810" s="23" t="n"/>
      <c r="K810" s="17" t="n"/>
      <c r="L810" s="17" t="n"/>
      <c r="M810" s="17" t="n"/>
      <c r="N810" s="17" t="n"/>
      <c r="O810" s="26">
        <f>IF($D810="","",IFERROR(VLOOKUP($D810,物料档案!$A$4:$P$1203,10,0),0))</f>
        <v/>
      </c>
      <c r="P810" s="32" t="n"/>
      <c r="Q810" s="26">
        <f>IF($D810="","",IF($K810&lt;&gt;"对外销售",0,ROUND(N($J810)*IF($P810="",N($O810),N($P810)),0)))</f>
        <v/>
      </c>
      <c r="R810" s="26">
        <f>IF($D810="","",IFERROR(VLOOKUP($D810,库存台账!$A$5:$Y$1204,11,0),0))</f>
        <v/>
      </c>
      <c r="S810" s="26">
        <f>IF($D810="","",ROUND(N($J810)*N($R810),0))</f>
        <v/>
      </c>
      <c r="T810" s="26">
        <f>IF($D810="","",IF($K810&lt;&gt;"对外销售","",ROUND($Q810-$S810,0)))</f>
        <v/>
      </c>
      <c r="U810" s="17" t="n"/>
      <c r="V810" s="17" t="n"/>
      <c r="W810" s="24">
        <f>IF($D810="","",IF($E810="※编码不在物料档案里","※物料编码不在档案里",IF(N($J810)&lt;=0,"※出库数量要大于 0",IF($K810="","※没填去向类型",IF($L810="","※没填去向矿区",IF(AND($C810&lt;&gt;"",$C810&lt;=结账锁),"※日期早于已结账截止日，不能再录",IF(AND($K810="自用消耗",COUNTIF({"一矿区";"二矿区"},$L810)=0),"※自用消耗的去向只能是一矿区或二矿区",IF(AND($K810="对外销售",COUNTIF({"三矿区";"六矿区"},$L810)=0),"※对外销售的去向只能是三矿区或六矿区",IF(AND($K810="对外销售",ROUND($Q810,0)=0),"※外销却没有售价，请填实际售价",IF(AND($K810="对外销售",$T810&lt;&gt;"",$T810&lt;0),"※这一笔外销是亏的，请核对售价",IF(IFERROR(VLOOKUP($D810,库存台账!$A$5:$Y$1204,24,0),0)&lt;-0.001,"※这个物料账面已经变成负数了，查一下是不是漏记入库","")))))))))))</f>
        <v/>
      </c>
    </row>
    <row r="811">
      <c r="A811" s="24">
        <f>IF($D811="","",COUNTA($D$4:$D811))</f>
        <v/>
      </c>
      <c r="B811" s="17" t="n"/>
      <c r="C811" s="30" t="n"/>
      <c r="D811" s="17" t="n"/>
      <c r="E811" s="24">
        <f>IF($D811="","",IFERROR(VLOOKUP($D811,物料档案!$A$4:$P$1203,3,0),"※编码不在物料档案里"))</f>
        <v/>
      </c>
      <c r="F811" s="24">
        <f>IF($D811="","",IFERROR(VLOOKUP($D811,物料档案!$A$4:$P$1203,4,0),"※编码不在物料档案里"))</f>
        <v/>
      </c>
      <c r="G811" s="24">
        <f>IF($D811="","",IFERROR(VLOOKUP($D811,物料档案!$A$4:$P$1203,5,0),"※编码不在物料档案里"))</f>
        <v/>
      </c>
      <c r="H811" s="24">
        <f>IF($D811="","",IFERROR(VLOOKUP($D811,物料档案!$A$4:$P$1203,2,0),"※编码不在物料档案里"))</f>
        <v/>
      </c>
      <c r="I811" s="24">
        <f>IF($D811="","",IFERROR(VLOOKUP($D811,物料档案!$A$4:$P$1203,6,0),"※编码不在物料档案里"))</f>
        <v/>
      </c>
      <c r="J811" s="23" t="n"/>
      <c r="K811" s="17" t="n"/>
      <c r="L811" s="17" t="n"/>
      <c r="M811" s="17" t="n"/>
      <c r="N811" s="17" t="n"/>
      <c r="O811" s="26">
        <f>IF($D811="","",IFERROR(VLOOKUP($D811,物料档案!$A$4:$P$1203,10,0),0))</f>
        <v/>
      </c>
      <c r="P811" s="32" t="n"/>
      <c r="Q811" s="26">
        <f>IF($D811="","",IF($K811&lt;&gt;"对外销售",0,ROUND(N($J811)*IF($P811="",N($O811),N($P811)),0)))</f>
        <v/>
      </c>
      <c r="R811" s="26">
        <f>IF($D811="","",IFERROR(VLOOKUP($D811,库存台账!$A$5:$Y$1204,11,0),0))</f>
        <v/>
      </c>
      <c r="S811" s="26">
        <f>IF($D811="","",ROUND(N($J811)*N($R811),0))</f>
        <v/>
      </c>
      <c r="T811" s="26">
        <f>IF($D811="","",IF($K811&lt;&gt;"对外销售","",ROUND($Q811-$S811,0)))</f>
        <v/>
      </c>
      <c r="U811" s="17" t="n"/>
      <c r="V811" s="17" t="n"/>
      <c r="W811" s="24">
        <f>IF($D811="","",IF($E811="※编码不在物料档案里","※物料编码不在档案里",IF(N($J811)&lt;=0,"※出库数量要大于 0",IF($K811="","※没填去向类型",IF($L811="","※没填去向矿区",IF(AND($C811&lt;&gt;"",$C811&lt;=结账锁),"※日期早于已结账截止日，不能再录",IF(AND($K811="自用消耗",COUNTIF({"一矿区";"二矿区"},$L811)=0),"※自用消耗的去向只能是一矿区或二矿区",IF(AND($K811="对外销售",COUNTIF({"三矿区";"六矿区"},$L811)=0),"※对外销售的去向只能是三矿区或六矿区",IF(AND($K811="对外销售",ROUND($Q811,0)=0),"※外销却没有售价，请填实际售价",IF(AND($K811="对外销售",$T811&lt;&gt;"",$T811&lt;0),"※这一笔外销是亏的，请核对售价",IF(IFERROR(VLOOKUP($D811,库存台账!$A$5:$Y$1204,24,0),0)&lt;-0.001,"※这个物料账面已经变成负数了，查一下是不是漏记入库","")))))))))))</f>
        <v/>
      </c>
    </row>
    <row r="812">
      <c r="A812" s="24">
        <f>IF($D812="","",COUNTA($D$4:$D812))</f>
        <v/>
      </c>
      <c r="B812" s="17" t="n"/>
      <c r="C812" s="30" t="n"/>
      <c r="D812" s="17" t="n"/>
      <c r="E812" s="24">
        <f>IF($D812="","",IFERROR(VLOOKUP($D812,物料档案!$A$4:$P$1203,3,0),"※编码不在物料档案里"))</f>
        <v/>
      </c>
      <c r="F812" s="24">
        <f>IF($D812="","",IFERROR(VLOOKUP($D812,物料档案!$A$4:$P$1203,4,0),"※编码不在物料档案里"))</f>
        <v/>
      </c>
      <c r="G812" s="24">
        <f>IF($D812="","",IFERROR(VLOOKUP($D812,物料档案!$A$4:$P$1203,5,0),"※编码不在物料档案里"))</f>
        <v/>
      </c>
      <c r="H812" s="24">
        <f>IF($D812="","",IFERROR(VLOOKUP($D812,物料档案!$A$4:$P$1203,2,0),"※编码不在物料档案里"))</f>
        <v/>
      </c>
      <c r="I812" s="24">
        <f>IF($D812="","",IFERROR(VLOOKUP($D812,物料档案!$A$4:$P$1203,6,0),"※编码不在物料档案里"))</f>
        <v/>
      </c>
      <c r="J812" s="23" t="n"/>
      <c r="K812" s="17" t="n"/>
      <c r="L812" s="17" t="n"/>
      <c r="M812" s="17" t="n"/>
      <c r="N812" s="17" t="n"/>
      <c r="O812" s="26">
        <f>IF($D812="","",IFERROR(VLOOKUP($D812,物料档案!$A$4:$P$1203,10,0),0))</f>
        <v/>
      </c>
      <c r="P812" s="32" t="n"/>
      <c r="Q812" s="26">
        <f>IF($D812="","",IF($K812&lt;&gt;"对外销售",0,ROUND(N($J812)*IF($P812="",N($O812),N($P812)),0)))</f>
        <v/>
      </c>
      <c r="R812" s="26">
        <f>IF($D812="","",IFERROR(VLOOKUP($D812,库存台账!$A$5:$Y$1204,11,0),0))</f>
        <v/>
      </c>
      <c r="S812" s="26">
        <f>IF($D812="","",ROUND(N($J812)*N($R812),0))</f>
        <v/>
      </c>
      <c r="T812" s="26">
        <f>IF($D812="","",IF($K812&lt;&gt;"对外销售","",ROUND($Q812-$S812,0)))</f>
        <v/>
      </c>
      <c r="U812" s="17" t="n"/>
      <c r="V812" s="17" t="n"/>
      <c r="W812" s="24">
        <f>IF($D812="","",IF($E812="※编码不在物料档案里","※物料编码不在档案里",IF(N($J812)&lt;=0,"※出库数量要大于 0",IF($K812="","※没填去向类型",IF($L812="","※没填去向矿区",IF(AND($C812&lt;&gt;"",$C812&lt;=结账锁),"※日期早于已结账截止日，不能再录",IF(AND($K812="自用消耗",COUNTIF({"一矿区";"二矿区"},$L812)=0),"※自用消耗的去向只能是一矿区或二矿区",IF(AND($K812="对外销售",COUNTIF({"三矿区";"六矿区"},$L812)=0),"※对外销售的去向只能是三矿区或六矿区",IF(AND($K812="对外销售",ROUND($Q812,0)=0),"※外销却没有售价，请填实际售价",IF(AND($K812="对外销售",$T812&lt;&gt;"",$T812&lt;0),"※这一笔外销是亏的，请核对售价",IF(IFERROR(VLOOKUP($D812,库存台账!$A$5:$Y$1204,24,0),0)&lt;-0.001,"※这个物料账面已经变成负数了，查一下是不是漏记入库","")))))))))))</f>
        <v/>
      </c>
    </row>
    <row r="813">
      <c r="A813" s="24">
        <f>IF($D813="","",COUNTA($D$4:$D813))</f>
        <v/>
      </c>
      <c r="B813" s="17" t="n"/>
      <c r="C813" s="30" t="n"/>
      <c r="D813" s="17" t="n"/>
      <c r="E813" s="24">
        <f>IF($D813="","",IFERROR(VLOOKUP($D813,物料档案!$A$4:$P$1203,3,0),"※编码不在物料档案里"))</f>
        <v/>
      </c>
      <c r="F813" s="24">
        <f>IF($D813="","",IFERROR(VLOOKUP($D813,物料档案!$A$4:$P$1203,4,0),"※编码不在物料档案里"))</f>
        <v/>
      </c>
      <c r="G813" s="24">
        <f>IF($D813="","",IFERROR(VLOOKUP($D813,物料档案!$A$4:$P$1203,5,0),"※编码不在物料档案里"))</f>
        <v/>
      </c>
      <c r="H813" s="24">
        <f>IF($D813="","",IFERROR(VLOOKUP($D813,物料档案!$A$4:$P$1203,2,0),"※编码不在物料档案里"))</f>
        <v/>
      </c>
      <c r="I813" s="24">
        <f>IF($D813="","",IFERROR(VLOOKUP($D813,物料档案!$A$4:$P$1203,6,0),"※编码不在物料档案里"))</f>
        <v/>
      </c>
      <c r="J813" s="23" t="n"/>
      <c r="K813" s="17" t="n"/>
      <c r="L813" s="17" t="n"/>
      <c r="M813" s="17" t="n"/>
      <c r="N813" s="17" t="n"/>
      <c r="O813" s="26">
        <f>IF($D813="","",IFERROR(VLOOKUP($D813,物料档案!$A$4:$P$1203,10,0),0))</f>
        <v/>
      </c>
      <c r="P813" s="32" t="n"/>
      <c r="Q813" s="26">
        <f>IF($D813="","",IF($K813&lt;&gt;"对外销售",0,ROUND(N($J813)*IF($P813="",N($O813),N($P813)),0)))</f>
        <v/>
      </c>
      <c r="R813" s="26">
        <f>IF($D813="","",IFERROR(VLOOKUP($D813,库存台账!$A$5:$Y$1204,11,0),0))</f>
        <v/>
      </c>
      <c r="S813" s="26">
        <f>IF($D813="","",ROUND(N($J813)*N($R813),0))</f>
        <v/>
      </c>
      <c r="T813" s="26">
        <f>IF($D813="","",IF($K813&lt;&gt;"对外销售","",ROUND($Q813-$S813,0)))</f>
        <v/>
      </c>
      <c r="U813" s="17" t="n"/>
      <c r="V813" s="17" t="n"/>
      <c r="W813" s="24">
        <f>IF($D813="","",IF($E813="※编码不在物料档案里","※物料编码不在档案里",IF(N($J813)&lt;=0,"※出库数量要大于 0",IF($K813="","※没填去向类型",IF($L813="","※没填去向矿区",IF(AND($C813&lt;&gt;"",$C813&lt;=结账锁),"※日期早于已结账截止日，不能再录",IF(AND($K813="自用消耗",COUNTIF({"一矿区";"二矿区"},$L813)=0),"※自用消耗的去向只能是一矿区或二矿区",IF(AND($K813="对外销售",COUNTIF({"三矿区";"六矿区"},$L813)=0),"※对外销售的去向只能是三矿区或六矿区",IF(AND($K813="对外销售",ROUND($Q813,0)=0),"※外销却没有售价，请填实际售价",IF(AND($K813="对外销售",$T813&lt;&gt;"",$T813&lt;0),"※这一笔外销是亏的，请核对售价",IF(IFERROR(VLOOKUP($D813,库存台账!$A$5:$Y$1204,24,0),0)&lt;-0.001,"※这个物料账面已经变成负数了，查一下是不是漏记入库","")))))))))))</f>
        <v/>
      </c>
    </row>
    <row r="814">
      <c r="A814" s="24">
        <f>IF($D814="","",COUNTA($D$4:$D814))</f>
        <v/>
      </c>
      <c r="B814" s="17" t="n"/>
      <c r="C814" s="30" t="n"/>
      <c r="D814" s="17" t="n"/>
      <c r="E814" s="24">
        <f>IF($D814="","",IFERROR(VLOOKUP($D814,物料档案!$A$4:$P$1203,3,0),"※编码不在物料档案里"))</f>
        <v/>
      </c>
      <c r="F814" s="24">
        <f>IF($D814="","",IFERROR(VLOOKUP($D814,物料档案!$A$4:$P$1203,4,0),"※编码不在物料档案里"))</f>
        <v/>
      </c>
      <c r="G814" s="24">
        <f>IF($D814="","",IFERROR(VLOOKUP($D814,物料档案!$A$4:$P$1203,5,0),"※编码不在物料档案里"))</f>
        <v/>
      </c>
      <c r="H814" s="24">
        <f>IF($D814="","",IFERROR(VLOOKUP($D814,物料档案!$A$4:$P$1203,2,0),"※编码不在物料档案里"))</f>
        <v/>
      </c>
      <c r="I814" s="24">
        <f>IF($D814="","",IFERROR(VLOOKUP($D814,物料档案!$A$4:$P$1203,6,0),"※编码不在物料档案里"))</f>
        <v/>
      </c>
      <c r="J814" s="23" t="n"/>
      <c r="K814" s="17" t="n"/>
      <c r="L814" s="17" t="n"/>
      <c r="M814" s="17" t="n"/>
      <c r="N814" s="17" t="n"/>
      <c r="O814" s="26">
        <f>IF($D814="","",IFERROR(VLOOKUP($D814,物料档案!$A$4:$P$1203,10,0),0))</f>
        <v/>
      </c>
      <c r="P814" s="32" t="n"/>
      <c r="Q814" s="26">
        <f>IF($D814="","",IF($K814&lt;&gt;"对外销售",0,ROUND(N($J814)*IF($P814="",N($O814),N($P814)),0)))</f>
        <v/>
      </c>
      <c r="R814" s="26">
        <f>IF($D814="","",IFERROR(VLOOKUP($D814,库存台账!$A$5:$Y$1204,11,0),0))</f>
        <v/>
      </c>
      <c r="S814" s="26">
        <f>IF($D814="","",ROUND(N($J814)*N($R814),0))</f>
        <v/>
      </c>
      <c r="T814" s="26">
        <f>IF($D814="","",IF($K814&lt;&gt;"对外销售","",ROUND($Q814-$S814,0)))</f>
        <v/>
      </c>
      <c r="U814" s="17" t="n"/>
      <c r="V814" s="17" t="n"/>
      <c r="W814" s="24">
        <f>IF($D814="","",IF($E814="※编码不在物料档案里","※物料编码不在档案里",IF(N($J814)&lt;=0,"※出库数量要大于 0",IF($K814="","※没填去向类型",IF($L814="","※没填去向矿区",IF(AND($C814&lt;&gt;"",$C814&lt;=结账锁),"※日期早于已结账截止日，不能再录",IF(AND($K814="自用消耗",COUNTIF({"一矿区";"二矿区"},$L814)=0),"※自用消耗的去向只能是一矿区或二矿区",IF(AND($K814="对外销售",COUNTIF({"三矿区";"六矿区"},$L814)=0),"※对外销售的去向只能是三矿区或六矿区",IF(AND($K814="对外销售",ROUND($Q814,0)=0),"※外销却没有售价，请填实际售价",IF(AND($K814="对外销售",$T814&lt;&gt;"",$T814&lt;0),"※这一笔外销是亏的，请核对售价",IF(IFERROR(VLOOKUP($D814,库存台账!$A$5:$Y$1204,24,0),0)&lt;-0.001,"※这个物料账面已经变成负数了，查一下是不是漏记入库","")))))))))))</f>
        <v/>
      </c>
    </row>
    <row r="815">
      <c r="A815" s="24">
        <f>IF($D815="","",COUNTA($D$4:$D815))</f>
        <v/>
      </c>
      <c r="B815" s="17" t="n"/>
      <c r="C815" s="30" t="n"/>
      <c r="D815" s="17" t="n"/>
      <c r="E815" s="24">
        <f>IF($D815="","",IFERROR(VLOOKUP($D815,物料档案!$A$4:$P$1203,3,0),"※编码不在物料档案里"))</f>
        <v/>
      </c>
      <c r="F815" s="24">
        <f>IF($D815="","",IFERROR(VLOOKUP($D815,物料档案!$A$4:$P$1203,4,0),"※编码不在物料档案里"))</f>
        <v/>
      </c>
      <c r="G815" s="24">
        <f>IF($D815="","",IFERROR(VLOOKUP($D815,物料档案!$A$4:$P$1203,5,0),"※编码不在物料档案里"))</f>
        <v/>
      </c>
      <c r="H815" s="24">
        <f>IF($D815="","",IFERROR(VLOOKUP($D815,物料档案!$A$4:$P$1203,2,0),"※编码不在物料档案里"))</f>
        <v/>
      </c>
      <c r="I815" s="24">
        <f>IF($D815="","",IFERROR(VLOOKUP($D815,物料档案!$A$4:$P$1203,6,0),"※编码不在物料档案里"))</f>
        <v/>
      </c>
      <c r="J815" s="23" t="n"/>
      <c r="K815" s="17" t="n"/>
      <c r="L815" s="17" t="n"/>
      <c r="M815" s="17" t="n"/>
      <c r="N815" s="17" t="n"/>
      <c r="O815" s="26">
        <f>IF($D815="","",IFERROR(VLOOKUP($D815,物料档案!$A$4:$P$1203,10,0),0))</f>
        <v/>
      </c>
      <c r="P815" s="32" t="n"/>
      <c r="Q815" s="26">
        <f>IF($D815="","",IF($K815&lt;&gt;"对外销售",0,ROUND(N($J815)*IF($P815="",N($O815),N($P815)),0)))</f>
        <v/>
      </c>
      <c r="R815" s="26">
        <f>IF($D815="","",IFERROR(VLOOKUP($D815,库存台账!$A$5:$Y$1204,11,0),0))</f>
        <v/>
      </c>
      <c r="S815" s="26">
        <f>IF($D815="","",ROUND(N($J815)*N($R815),0))</f>
        <v/>
      </c>
      <c r="T815" s="26">
        <f>IF($D815="","",IF($K815&lt;&gt;"对外销售","",ROUND($Q815-$S815,0)))</f>
        <v/>
      </c>
      <c r="U815" s="17" t="n"/>
      <c r="V815" s="17" t="n"/>
      <c r="W815" s="24">
        <f>IF($D815="","",IF($E815="※编码不在物料档案里","※物料编码不在档案里",IF(N($J815)&lt;=0,"※出库数量要大于 0",IF($K815="","※没填去向类型",IF($L815="","※没填去向矿区",IF(AND($C815&lt;&gt;"",$C815&lt;=结账锁),"※日期早于已结账截止日，不能再录",IF(AND($K815="自用消耗",COUNTIF({"一矿区";"二矿区"},$L815)=0),"※自用消耗的去向只能是一矿区或二矿区",IF(AND($K815="对外销售",COUNTIF({"三矿区";"六矿区"},$L815)=0),"※对外销售的去向只能是三矿区或六矿区",IF(AND($K815="对外销售",ROUND($Q815,0)=0),"※外销却没有售价，请填实际售价",IF(AND($K815="对外销售",$T815&lt;&gt;"",$T815&lt;0),"※这一笔外销是亏的，请核对售价",IF(IFERROR(VLOOKUP($D815,库存台账!$A$5:$Y$1204,24,0),0)&lt;-0.001,"※这个物料账面已经变成负数了，查一下是不是漏记入库","")))))))))))</f>
        <v/>
      </c>
    </row>
    <row r="816">
      <c r="A816" s="24">
        <f>IF($D816="","",COUNTA($D$4:$D816))</f>
        <v/>
      </c>
      <c r="B816" s="17" t="n"/>
      <c r="C816" s="30" t="n"/>
      <c r="D816" s="17" t="n"/>
      <c r="E816" s="24">
        <f>IF($D816="","",IFERROR(VLOOKUP($D816,物料档案!$A$4:$P$1203,3,0),"※编码不在物料档案里"))</f>
        <v/>
      </c>
      <c r="F816" s="24">
        <f>IF($D816="","",IFERROR(VLOOKUP($D816,物料档案!$A$4:$P$1203,4,0),"※编码不在物料档案里"))</f>
        <v/>
      </c>
      <c r="G816" s="24">
        <f>IF($D816="","",IFERROR(VLOOKUP($D816,物料档案!$A$4:$P$1203,5,0),"※编码不在物料档案里"))</f>
        <v/>
      </c>
      <c r="H816" s="24">
        <f>IF($D816="","",IFERROR(VLOOKUP($D816,物料档案!$A$4:$P$1203,2,0),"※编码不在物料档案里"))</f>
        <v/>
      </c>
      <c r="I816" s="24">
        <f>IF($D816="","",IFERROR(VLOOKUP($D816,物料档案!$A$4:$P$1203,6,0),"※编码不在物料档案里"))</f>
        <v/>
      </c>
      <c r="J816" s="23" t="n"/>
      <c r="K816" s="17" t="n"/>
      <c r="L816" s="17" t="n"/>
      <c r="M816" s="17" t="n"/>
      <c r="N816" s="17" t="n"/>
      <c r="O816" s="26">
        <f>IF($D816="","",IFERROR(VLOOKUP($D816,物料档案!$A$4:$P$1203,10,0),0))</f>
        <v/>
      </c>
      <c r="P816" s="32" t="n"/>
      <c r="Q816" s="26">
        <f>IF($D816="","",IF($K816&lt;&gt;"对外销售",0,ROUND(N($J816)*IF($P816="",N($O816),N($P816)),0)))</f>
        <v/>
      </c>
      <c r="R816" s="26">
        <f>IF($D816="","",IFERROR(VLOOKUP($D816,库存台账!$A$5:$Y$1204,11,0),0))</f>
        <v/>
      </c>
      <c r="S816" s="26">
        <f>IF($D816="","",ROUND(N($J816)*N($R816),0))</f>
        <v/>
      </c>
      <c r="T816" s="26">
        <f>IF($D816="","",IF($K816&lt;&gt;"对外销售","",ROUND($Q816-$S816,0)))</f>
        <v/>
      </c>
      <c r="U816" s="17" t="n"/>
      <c r="V816" s="17" t="n"/>
      <c r="W816" s="24">
        <f>IF($D816="","",IF($E816="※编码不在物料档案里","※物料编码不在档案里",IF(N($J816)&lt;=0,"※出库数量要大于 0",IF($K816="","※没填去向类型",IF($L816="","※没填去向矿区",IF(AND($C816&lt;&gt;"",$C816&lt;=结账锁),"※日期早于已结账截止日，不能再录",IF(AND($K816="自用消耗",COUNTIF({"一矿区";"二矿区"},$L816)=0),"※自用消耗的去向只能是一矿区或二矿区",IF(AND($K816="对外销售",COUNTIF({"三矿区";"六矿区"},$L816)=0),"※对外销售的去向只能是三矿区或六矿区",IF(AND($K816="对外销售",ROUND($Q816,0)=0),"※外销却没有售价，请填实际售价",IF(AND($K816="对外销售",$T816&lt;&gt;"",$T816&lt;0),"※这一笔外销是亏的，请核对售价",IF(IFERROR(VLOOKUP($D816,库存台账!$A$5:$Y$1204,24,0),0)&lt;-0.001,"※这个物料账面已经变成负数了，查一下是不是漏记入库","")))))))))))</f>
        <v/>
      </c>
    </row>
    <row r="817">
      <c r="A817" s="24">
        <f>IF($D817="","",COUNTA($D$4:$D817))</f>
        <v/>
      </c>
      <c r="B817" s="17" t="n"/>
      <c r="C817" s="30" t="n"/>
      <c r="D817" s="17" t="n"/>
      <c r="E817" s="24">
        <f>IF($D817="","",IFERROR(VLOOKUP($D817,物料档案!$A$4:$P$1203,3,0),"※编码不在物料档案里"))</f>
        <v/>
      </c>
      <c r="F817" s="24">
        <f>IF($D817="","",IFERROR(VLOOKUP($D817,物料档案!$A$4:$P$1203,4,0),"※编码不在物料档案里"))</f>
        <v/>
      </c>
      <c r="G817" s="24">
        <f>IF($D817="","",IFERROR(VLOOKUP($D817,物料档案!$A$4:$P$1203,5,0),"※编码不在物料档案里"))</f>
        <v/>
      </c>
      <c r="H817" s="24">
        <f>IF($D817="","",IFERROR(VLOOKUP($D817,物料档案!$A$4:$P$1203,2,0),"※编码不在物料档案里"))</f>
        <v/>
      </c>
      <c r="I817" s="24">
        <f>IF($D817="","",IFERROR(VLOOKUP($D817,物料档案!$A$4:$P$1203,6,0),"※编码不在物料档案里"))</f>
        <v/>
      </c>
      <c r="J817" s="23" t="n"/>
      <c r="K817" s="17" t="n"/>
      <c r="L817" s="17" t="n"/>
      <c r="M817" s="17" t="n"/>
      <c r="N817" s="17" t="n"/>
      <c r="O817" s="26">
        <f>IF($D817="","",IFERROR(VLOOKUP($D817,物料档案!$A$4:$P$1203,10,0),0))</f>
        <v/>
      </c>
      <c r="P817" s="32" t="n"/>
      <c r="Q817" s="26">
        <f>IF($D817="","",IF($K817&lt;&gt;"对外销售",0,ROUND(N($J817)*IF($P817="",N($O817),N($P817)),0)))</f>
        <v/>
      </c>
      <c r="R817" s="26">
        <f>IF($D817="","",IFERROR(VLOOKUP($D817,库存台账!$A$5:$Y$1204,11,0),0))</f>
        <v/>
      </c>
      <c r="S817" s="26">
        <f>IF($D817="","",ROUND(N($J817)*N($R817),0))</f>
        <v/>
      </c>
      <c r="T817" s="26">
        <f>IF($D817="","",IF($K817&lt;&gt;"对外销售","",ROUND($Q817-$S817,0)))</f>
        <v/>
      </c>
      <c r="U817" s="17" t="n"/>
      <c r="V817" s="17" t="n"/>
      <c r="W817" s="24">
        <f>IF($D817="","",IF($E817="※编码不在物料档案里","※物料编码不在档案里",IF(N($J817)&lt;=0,"※出库数量要大于 0",IF($K817="","※没填去向类型",IF($L817="","※没填去向矿区",IF(AND($C817&lt;&gt;"",$C817&lt;=结账锁),"※日期早于已结账截止日，不能再录",IF(AND($K817="自用消耗",COUNTIF({"一矿区";"二矿区"},$L817)=0),"※自用消耗的去向只能是一矿区或二矿区",IF(AND($K817="对外销售",COUNTIF({"三矿区";"六矿区"},$L817)=0),"※对外销售的去向只能是三矿区或六矿区",IF(AND($K817="对外销售",ROUND($Q817,0)=0),"※外销却没有售价，请填实际售价",IF(AND($K817="对外销售",$T817&lt;&gt;"",$T817&lt;0),"※这一笔外销是亏的，请核对售价",IF(IFERROR(VLOOKUP($D817,库存台账!$A$5:$Y$1204,24,0),0)&lt;-0.001,"※这个物料账面已经变成负数了，查一下是不是漏记入库","")))))))))))</f>
        <v/>
      </c>
    </row>
    <row r="818">
      <c r="A818" s="24">
        <f>IF($D818="","",COUNTA($D$4:$D818))</f>
        <v/>
      </c>
      <c r="B818" s="17" t="n"/>
      <c r="C818" s="30" t="n"/>
      <c r="D818" s="17" t="n"/>
      <c r="E818" s="24">
        <f>IF($D818="","",IFERROR(VLOOKUP($D818,物料档案!$A$4:$P$1203,3,0),"※编码不在物料档案里"))</f>
        <v/>
      </c>
      <c r="F818" s="24">
        <f>IF($D818="","",IFERROR(VLOOKUP($D818,物料档案!$A$4:$P$1203,4,0),"※编码不在物料档案里"))</f>
        <v/>
      </c>
      <c r="G818" s="24">
        <f>IF($D818="","",IFERROR(VLOOKUP($D818,物料档案!$A$4:$P$1203,5,0),"※编码不在物料档案里"))</f>
        <v/>
      </c>
      <c r="H818" s="24">
        <f>IF($D818="","",IFERROR(VLOOKUP($D818,物料档案!$A$4:$P$1203,2,0),"※编码不在物料档案里"))</f>
        <v/>
      </c>
      <c r="I818" s="24">
        <f>IF($D818="","",IFERROR(VLOOKUP($D818,物料档案!$A$4:$P$1203,6,0),"※编码不在物料档案里"))</f>
        <v/>
      </c>
      <c r="J818" s="23" t="n"/>
      <c r="K818" s="17" t="n"/>
      <c r="L818" s="17" t="n"/>
      <c r="M818" s="17" t="n"/>
      <c r="N818" s="17" t="n"/>
      <c r="O818" s="26">
        <f>IF($D818="","",IFERROR(VLOOKUP($D818,物料档案!$A$4:$P$1203,10,0),0))</f>
        <v/>
      </c>
      <c r="P818" s="32" t="n"/>
      <c r="Q818" s="26">
        <f>IF($D818="","",IF($K818&lt;&gt;"对外销售",0,ROUND(N($J818)*IF($P818="",N($O818),N($P818)),0)))</f>
        <v/>
      </c>
      <c r="R818" s="26">
        <f>IF($D818="","",IFERROR(VLOOKUP($D818,库存台账!$A$5:$Y$1204,11,0),0))</f>
        <v/>
      </c>
      <c r="S818" s="26">
        <f>IF($D818="","",ROUND(N($J818)*N($R818),0))</f>
        <v/>
      </c>
      <c r="T818" s="26">
        <f>IF($D818="","",IF($K818&lt;&gt;"对外销售","",ROUND($Q818-$S818,0)))</f>
        <v/>
      </c>
      <c r="U818" s="17" t="n"/>
      <c r="V818" s="17" t="n"/>
      <c r="W818" s="24">
        <f>IF($D818="","",IF($E818="※编码不在物料档案里","※物料编码不在档案里",IF(N($J818)&lt;=0,"※出库数量要大于 0",IF($K818="","※没填去向类型",IF($L818="","※没填去向矿区",IF(AND($C818&lt;&gt;"",$C818&lt;=结账锁),"※日期早于已结账截止日，不能再录",IF(AND($K818="自用消耗",COUNTIF({"一矿区";"二矿区"},$L818)=0),"※自用消耗的去向只能是一矿区或二矿区",IF(AND($K818="对外销售",COUNTIF({"三矿区";"六矿区"},$L818)=0),"※对外销售的去向只能是三矿区或六矿区",IF(AND($K818="对外销售",ROUND($Q818,0)=0),"※外销却没有售价，请填实际售价",IF(AND($K818="对外销售",$T818&lt;&gt;"",$T818&lt;0),"※这一笔外销是亏的，请核对售价",IF(IFERROR(VLOOKUP($D818,库存台账!$A$5:$Y$1204,24,0),0)&lt;-0.001,"※这个物料账面已经变成负数了，查一下是不是漏记入库","")))))))))))</f>
        <v/>
      </c>
    </row>
    <row r="819">
      <c r="A819" s="24">
        <f>IF($D819="","",COUNTA($D$4:$D819))</f>
        <v/>
      </c>
      <c r="B819" s="17" t="n"/>
      <c r="C819" s="30" t="n"/>
      <c r="D819" s="17" t="n"/>
      <c r="E819" s="24">
        <f>IF($D819="","",IFERROR(VLOOKUP($D819,物料档案!$A$4:$P$1203,3,0),"※编码不在物料档案里"))</f>
        <v/>
      </c>
      <c r="F819" s="24">
        <f>IF($D819="","",IFERROR(VLOOKUP($D819,物料档案!$A$4:$P$1203,4,0),"※编码不在物料档案里"))</f>
        <v/>
      </c>
      <c r="G819" s="24">
        <f>IF($D819="","",IFERROR(VLOOKUP($D819,物料档案!$A$4:$P$1203,5,0),"※编码不在物料档案里"))</f>
        <v/>
      </c>
      <c r="H819" s="24">
        <f>IF($D819="","",IFERROR(VLOOKUP($D819,物料档案!$A$4:$P$1203,2,0),"※编码不在物料档案里"))</f>
        <v/>
      </c>
      <c r="I819" s="24">
        <f>IF($D819="","",IFERROR(VLOOKUP($D819,物料档案!$A$4:$P$1203,6,0),"※编码不在物料档案里"))</f>
        <v/>
      </c>
      <c r="J819" s="23" t="n"/>
      <c r="K819" s="17" t="n"/>
      <c r="L819" s="17" t="n"/>
      <c r="M819" s="17" t="n"/>
      <c r="N819" s="17" t="n"/>
      <c r="O819" s="26">
        <f>IF($D819="","",IFERROR(VLOOKUP($D819,物料档案!$A$4:$P$1203,10,0),0))</f>
        <v/>
      </c>
      <c r="P819" s="32" t="n"/>
      <c r="Q819" s="26">
        <f>IF($D819="","",IF($K819&lt;&gt;"对外销售",0,ROUND(N($J819)*IF($P819="",N($O819),N($P819)),0)))</f>
        <v/>
      </c>
      <c r="R819" s="26">
        <f>IF($D819="","",IFERROR(VLOOKUP($D819,库存台账!$A$5:$Y$1204,11,0),0))</f>
        <v/>
      </c>
      <c r="S819" s="26">
        <f>IF($D819="","",ROUND(N($J819)*N($R819),0))</f>
        <v/>
      </c>
      <c r="T819" s="26">
        <f>IF($D819="","",IF($K819&lt;&gt;"对外销售","",ROUND($Q819-$S819,0)))</f>
        <v/>
      </c>
      <c r="U819" s="17" t="n"/>
      <c r="V819" s="17" t="n"/>
      <c r="W819" s="24">
        <f>IF($D819="","",IF($E819="※编码不在物料档案里","※物料编码不在档案里",IF(N($J819)&lt;=0,"※出库数量要大于 0",IF($K819="","※没填去向类型",IF($L819="","※没填去向矿区",IF(AND($C819&lt;&gt;"",$C819&lt;=结账锁),"※日期早于已结账截止日，不能再录",IF(AND($K819="自用消耗",COUNTIF({"一矿区";"二矿区"},$L819)=0),"※自用消耗的去向只能是一矿区或二矿区",IF(AND($K819="对外销售",COUNTIF({"三矿区";"六矿区"},$L819)=0),"※对外销售的去向只能是三矿区或六矿区",IF(AND($K819="对外销售",ROUND($Q819,0)=0),"※外销却没有售价，请填实际售价",IF(AND($K819="对外销售",$T819&lt;&gt;"",$T819&lt;0),"※这一笔外销是亏的，请核对售价",IF(IFERROR(VLOOKUP($D819,库存台账!$A$5:$Y$1204,24,0),0)&lt;-0.001,"※这个物料账面已经变成负数了，查一下是不是漏记入库","")))))))))))</f>
        <v/>
      </c>
    </row>
    <row r="820">
      <c r="A820" s="24">
        <f>IF($D820="","",COUNTA($D$4:$D820))</f>
        <v/>
      </c>
      <c r="B820" s="17" t="n"/>
      <c r="C820" s="30" t="n"/>
      <c r="D820" s="17" t="n"/>
      <c r="E820" s="24">
        <f>IF($D820="","",IFERROR(VLOOKUP($D820,物料档案!$A$4:$P$1203,3,0),"※编码不在物料档案里"))</f>
        <v/>
      </c>
      <c r="F820" s="24">
        <f>IF($D820="","",IFERROR(VLOOKUP($D820,物料档案!$A$4:$P$1203,4,0),"※编码不在物料档案里"))</f>
        <v/>
      </c>
      <c r="G820" s="24">
        <f>IF($D820="","",IFERROR(VLOOKUP($D820,物料档案!$A$4:$P$1203,5,0),"※编码不在物料档案里"))</f>
        <v/>
      </c>
      <c r="H820" s="24">
        <f>IF($D820="","",IFERROR(VLOOKUP($D820,物料档案!$A$4:$P$1203,2,0),"※编码不在物料档案里"))</f>
        <v/>
      </c>
      <c r="I820" s="24">
        <f>IF($D820="","",IFERROR(VLOOKUP($D820,物料档案!$A$4:$P$1203,6,0),"※编码不在物料档案里"))</f>
        <v/>
      </c>
      <c r="J820" s="23" t="n"/>
      <c r="K820" s="17" t="n"/>
      <c r="L820" s="17" t="n"/>
      <c r="M820" s="17" t="n"/>
      <c r="N820" s="17" t="n"/>
      <c r="O820" s="26">
        <f>IF($D820="","",IFERROR(VLOOKUP($D820,物料档案!$A$4:$P$1203,10,0),0))</f>
        <v/>
      </c>
      <c r="P820" s="32" t="n"/>
      <c r="Q820" s="26">
        <f>IF($D820="","",IF($K820&lt;&gt;"对外销售",0,ROUND(N($J820)*IF($P820="",N($O820),N($P820)),0)))</f>
        <v/>
      </c>
      <c r="R820" s="26">
        <f>IF($D820="","",IFERROR(VLOOKUP($D820,库存台账!$A$5:$Y$1204,11,0),0))</f>
        <v/>
      </c>
      <c r="S820" s="26">
        <f>IF($D820="","",ROUND(N($J820)*N($R820),0))</f>
        <v/>
      </c>
      <c r="T820" s="26">
        <f>IF($D820="","",IF($K820&lt;&gt;"对外销售","",ROUND($Q820-$S820,0)))</f>
        <v/>
      </c>
      <c r="U820" s="17" t="n"/>
      <c r="V820" s="17" t="n"/>
      <c r="W820" s="24">
        <f>IF($D820="","",IF($E820="※编码不在物料档案里","※物料编码不在档案里",IF(N($J820)&lt;=0,"※出库数量要大于 0",IF($K820="","※没填去向类型",IF($L820="","※没填去向矿区",IF(AND($C820&lt;&gt;"",$C820&lt;=结账锁),"※日期早于已结账截止日，不能再录",IF(AND($K820="自用消耗",COUNTIF({"一矿区";"二矿区"},$L820)=0),"※自用消耗的去向只能是一矿区或二矿区",IF(AND($K820="对外销售",COUNTIF({"三矿区";"六矿区"},$L820)=0),"※对外销售的去向只能是三矿区或六矿区",IF(AND($K820="对外销售",ROUND($Q820,0)=0),"※外销却没有售价，请填实际售价",IF(AND($K820="对外销售",$T820&lt;&gt;"",$T820&lt;0),"※这一笔外销是亏的，请核对售价",IF(IFERROR(VLOOKUP($D820,库存台账!$A$5:$Y$1204,24,0),0)&lt;-0.001,"※这个物料账面已经变成负数了，查一下是不是漏记入库","")))))))))))</f>
        <v/>
      </c>
    </row>
    <row r="821">
      <c r="A821" s="24">
        <f>IF($D821="","",COUNTA($D$4:$D821))</f>
        <v/>
      </c>
      <c r="B821" s="17" t="n"/>
      <c r="C821" s="30" t="n"/>
      <c r="D821" s="17" t="n"/>
      <c r="E821" s="24">
        <f>IF($D821="","",IFERROR(VLOOKUP($D821,物料档案!$A$4:$P$1203,3,0),"※编码不在物料档案里"))</f>
        <v/>
      </c>
      <c r="F821" s="24">
        <f>IF($D821="","",IFERROR(VLOOKUP($D821,物料档案!$A$4:$P$1203,4,0),"※编码不在物料档案里"))</f>
        <v/>
      </c>
      <c r="G821" s="24">
        <f>IF($D821="","",IFERROR(VLOOKUP($D821,物料档案!$A$4:$P$1203,5,0),"※编码不在物料档案里"))</f>
        <v/>
      </c>
      <c r="H821" s="24">
        <f>IF($D821="","",IFERROR(VLOOKUP($D821,物料档案!$A$4:$P$1203,2,0),"※编码不在物料档案里"))</f>
        <v/>
      </c>
      <c r="I821" s="24">
        <f>IF($D821="","",IFERROR(VLOOKUP($D821,物料档案!$A$4:$P$1203,6,0),"※编码不在物料档案里"))</f>
        <v/>
      </c>
      <c r="J821" s="23" t="n"/>
      <c r="K821" s="17" t="n"/>
      <c r="L821" s="17" t="n"/>
      <c r="M821" s="17" t="n"/>
      <c r="N821" s="17" t="n"/>
      <c r="O821" s="26">
        <f>IF($D821="","",IFERROR(VLOOKUP($D821,物料档案!$A$4:$P$1203,10,0),0))</f>
        <v/>
      </c>
      <c r="P821" s="32" t="n"/>
      <c r="Q821" s="26">
        <f>IF($D821="","",IF($K821&lt;&gt;"对外销售",0,ROUND(N($J821)*IF($P821="",N($O821),N($P821)),0)))</f>
        <v/>
      </c>
      <c r="R821" s="26">
        <f>IF($D821="","",IFERROR(VLOOKUP($D821,库存台账!$A$5:$Y$1204,11,0),0))</f>
        <v/>
      </c>
      <c r="S821" s="26">
        <f>IF($D821="","",ROUND(N($J821)*N($R821),0))</f>
        <v/>
      </c>
      <c r="T821" s="26">
        <f>IF($D821="","",IF($K821&lt;&gt;"对外销售","",ROUND($Q821-$S821,0)))</f>
        <v/>
      </c>
      <c r="U821" s="17" t="n"/>
      <c r="V821" s="17" t="n"/>
      <c r="W821" s="24">
        <f>IF($D821="","",IF($E821="※编码不在物料档案里","※物料编码不在档案里",IF(N($J821)&lt;=0,"※出库数量要大于 0",IF($K821="","※没填去向类型",IF($L821="","※没填去向矿区",IF(AND($C821&lt;&gt;"",$C821&lt;=结账锁),"※日期早于已结账截止日，不能再录",IF(AND($K821="自用消耗",COUNTIF({"一矿区";"二矿区"},$L821)=0),"※自用消耗的去向只能是一矿区或二矿区",IF(AND($K821="对外销售",COUNTIF({"三矿区";"六矿区"},$L821)=0),"※对外销售的去向只能是三矿区或六矿区",IF(AND($K821="对外销售",ROUND($Q821,0)=0),"※外销却没有售价，请填实际售价",IF(AND($K821="对外销售",$T821&lt;&gt;"",$T821&lt;0),"※这一笔外销是亏的，请核对售价",IF(IFERROR(VLOOKUP($D821,库存台账!$A$5:$Y$1204,24,0),0)&lt;-0.001,"※这个物料账面已经变成负数了，查一下是不是漏记入库","")))))))))))</f>
        <v/>
      </c>
    </row>
    <row r="822">
      <c r="A822" s="24">
        <f>IF($D822="","",COUNTA($D$4:$D822))</f>
        <v/>
      </c>
      <c r="B822" s="17" t="n"/>
      <c r="C822" s="30" t="n"/>
      <c r="D822" s="17" t="n"/>
      <c r="E822" s="24">
        <f>IF($D822="","",IFERROR(VLOOKUP($D822,物料档案!$A$4:$P$1203,3,0),"※编码不在物料档案里"))</f>
        <v/>
      </c>
      <c r="F822" s="24">
        <f>IF($D822="","",IFERROR(VLOOKUP($D822,物料档案!$A$4:$P$1203,4,0),"※编码不在物料档案里"))</f>
        <v/>
      </c>
      <c r="G822" s="24">
        <f>IF($D822="","",IFERROR(VLOOKUP($D822,物料档案!$A$4:$P$1203,5,0),"※编码不在物料档案里"))</f>
        <v/>
      </c>
      <c r="H822" s="24">
        <f>IF($D822="","",IFERROR(VLOOKUP($D822,物料档案!$A$4:$P$1203,2,0),"※编码不在物料档案里"))</f>
        <v/>
      </c>
      <c r="I822" s="24">
        <f>IF($D822="","",IFERROR(VLOOKUP($D822,物料档案!$A$4:$P$1203,6,0),"※编码不在物料档案里"))</f>
        <v/>
      </c>
      <c r="J822" s="23" t="n"/>
      <c r="K822" s="17" t="n"/>
      <c r="L822" s="17" t="n"/>
      <c r="M822" s="17" t="n"/>
      <c r="N822" s="17" t="n"/>
      <c r="O822" s="26">
        <f>IF($D822="","",IFERROR(VLOOKUP($D822,物料档案!$A$4:$P$1203,10,0),0))</f>
        <v/>
      </c>
      <c r="P822" s="32" t="n"/>
      <c r="Q822" s="26">
        <f>IF($D822="","",IF($K822&lt;&gt;"对外销售",0,ROUND(N($J822)*IF($P822="",N($O822),N($P822)),0)))</f>
        <v/>
      </c>
      <c r="R822" s="26">
        <f>IF($D822="","",IFERROR(VLOOKUP($D822,库存台账!$A$5:$Y$1204,11,0),0))</f>
        <v/>
      </c>
      <c r="S822" s="26">
        <f>IF($D822="","",ROUND(N($J822)*N($R822),0))</f>
        <v/>
      </c>
      <c r="T822" s="26">
        <f>IF($D822="","",IF($K822&lt;&gt;"对外销售","",ROUND($Q822-$S822,0)))</f>
        <v/>
      </c>
      <c r="U822" s="17" t="n"/>
      <c r="V822" s="17" t="n"/>
      <c r="W822" s="24">
        <f>IF($D822="","",IF($E822="※编码不在物料档案里","※物料编码不在档案里",IF(N($J822)&lt;=0,"※出库数量要大于 0",IF($K822="","※没填去向类型",IF($L822="","※没填去向矿区",IF(AND($C822&lt;&gt;"",$C822&lt;=结账锁),"※日期早于已结账截止日，不能再录",IF(AND($K822="自用消耗",COUNTIF({"一矿区";"二矿区"},$L822)=0),"※自用消耗的去向只能是一矿区或二矿区",IF(AND($K822="对外销售",COUNTIF({"三矿区";"六矿区"},$L822)=0),"※对外销售的去向只能是三矿区或六矿区",IF(AND($K822="对外销售",ROUND($Q822,0)=0),"※外销却没有售价，请填实际售价",IF(AND($K822="对外销售",$T822&lt;&gt;"",$T822&lt;0),"※这一笔外销是亏的，请核对售价",IF(IFERROR(VLOOKUP($D822,库存台账!$A$5:$Y$1204,24,0),0)&lt;-0.001,"※这个物料账面已经变成负数了，查一下是不是漏记入库","")))))))))))</f>
        <v/>
      </c>
    </row>
    <row r="823">
      <c r="A823" s="24">
        <f>IF($D823="","",COUNTA($D$4:$D823))</f>
        <v/>
      </c>
      <c r="B823" s="17" t="n"/>
      <c r="C823" s="30" t="n"/>
      <c r="D823" s="17" t="n"/>
      <c r="E823" s="24">
        <f>IF($D823="","",IFERROR(VLOOKUP($D823,物料档案!$A$4:$P$1203,3,0),"※编码不在物料档案里"))</f>
        <v/>
      </c>
      <c r="F823" s="24">
        <f>IF($D823="","",IFERROR(VLOOKUP($D823,物料档案!$A$4:$P$1203,4,0),"※编码不在物料档案里"))</f>
        <v/>
      </c>
      <c r="G823" s="24">
        <f>IF($D823="","",IFERROR(VLOOKUP($D823,物料档案!$A$4:$P$1203,5,0),"※编码不在物料档案里"))</f>
        <v/>
      </c>
      <c r="H823" s="24">
        <f>IF($D823="","",IFERROR(VLOOKUP($D823,物料档案!$A$4:$P$1203,2,0),"※编码不在物料档案里"))</f>
        <v/>
      </c>
      <c r="I823" s="24">
        <f>IF($D823="","",IFERROR(VLOOKUP($D823,物料档案!$A$4:$P$1203,6,0),"※编码不在物料档案里"))</f>
        <v/>
      </c>
      <c r="J823" s="23" t="n"/>
      <c r="K823" s="17" t="n"/>
      <c r="L823" s="17" t="n"/>
      <c r="M823" s="17" t="n"/>
      <c r="N823" s="17" t="n"/>
      <c r="O823" s="26">
        <f>IF($D823="","",IFERROR(VLOOKUP($D823,物料档案!$A$4:$P$1203,10,0),0))</f>
        <v/>
      </c>
      <c r="P823" s="32" t="n"/>
      <c r="Q823" s="26">
        <f>IF($D823="","",IF($K823&lt;&gt;"对外销售",0,ROUND(N($J823)*IF($P823="",N($O823),N($P823)),0)))</f>
        <v/>
      </c>
      <c r="R823" s="26">
        <f>IF($D823="","",IFERROR(VLOOKUP($D823,库存台账!$A$5:$Y$1204,11,0),0))</f>
        <v/>
      </c>
      <c r="S823" s="26">
        <f>IF($D823="","",ROUND(N($J823)*N($R823),0))</f>
        <v/>
      </c>
      <c r="T823" s="26">
        <f>IF($D823="","",IF($K823&lt;&gt;"对外销售","",ROUND($Q823-$S823,0)))</f>
        <v/>
      </c>
      <c r="U823" s="17" t="n"/>
      <c r="V823" s="17" t="n"/>
      <c r="W823" s="24">
        <f>IF($D823="","",IF($E823="※编码不在物料档案里","※物料编码不在档案里",IF(N($J823)&lt;=0,"※出库数量要大于 0",IF($K823="","※没填去向类型",IF($L823="","※没填去向矿区",IF(AND($C823&lt;&gt;"",$C823&lt;=结账锁),"※日期早于已结账截止日，不能再录",IF(AND($K823="自用消耗",COUNTIF({"一矿区";"二矿区"},$L823)=0),"※自用消耗的去向只能是一矿区或二矿区",IF(AND($K823="对外销售",COUNTIF({"三矿区";"六矿区"},$L823)=0),"※对外销售的去向只能是三矿区或六矿区",IF(AND($K823="对外销售",ROUND($Q823,0)=0),"※外销却没有售价，请填实际售价",IF(AND($K823="对外销售",$T823&lt;&gt;"",$T823&lt;0),"※这一笔外销是亏的，请核对售价",IF(IFERROR(VLOOKUP($D823,库存台账!$A$5:$Y$1204,24,0),0)&lt;-0.001,"※这个物料账面已经变成负数了，查一下是不是漏记入库","")))))))))))</f>
        <v/>
      </c>
    </row>
    <row r="824">
      <c r="A824" s="24">
        <f>IF($D824="","",COUNTA($D$4:$D824))</f>
        <v/>
      </c>
      <c r="B824" s="17" t="n"/>
      <c r="C824" s="30" t="n"/>
      <c r="D824" s="17" t="n"/>
      <c r="E824" s="24">
        <f>IF($D824="","",IFERROR(VLOOKUP($D824,物料档案!$A$4:$P$1203,3,0),"※编码不在物料档案里"))</f>
        <v/>
      </c>
      <c r="F824" s="24">
        <f>IF($D824="","",IFERROR(VLOOKUP($D824,物料档案!$A$4:$P$1203,4,0),"※编码不在物料档案里"))</f>
        <v/>
      </c>
      <c r="G824" s="24">
        <f>IF($D824="","",IFERROR(VLOOKUP($D824,物料档案!$A$4:$P$1203,5,0),"※编码不在物料档案里"))</f>
        <v/>
      </c>
      <c r="H824" s="24">
        <f>IF($D824="","",IFERROR(VLOOKUP($D824,物料档案!$A$4:$P$1203,2,0),"※编码不在物料档案里"))</f>
        <v/>
      </c>
      <c r="I824" s="24">
        <f>IF($D824="","",IFERROR(VLOOKUP($D824,物料档案!$A$4:$P$1203,6,0),"※编码不在物料档案里"))</f>
        <v/>
      </c>
      <c r="J824" s="23" t="n"/>
      <c r="K824" s="17" t="n"/>
      <c r="L824" s="17" t="n"/>
      <c r="M824" s="17" t="n"/>
      <c r="N824" s="17" t="n"/>
      <c r="O824" s="26">
        <f>IF($D824="","",IFERROR(VLOOKUP($D824,物料档案!$A$4:$P$1203,10,0),0))</f>
        <v/>
      </c>
      <c r="P824" s="32" t="n"/>
      <c r="Q824" s="26">
        <f>IF($D824="","",IF($K824&lt;&gt;"对外销售",0,ROUND(N($J824)*IF($P824="",N($O824),N($P824)),0)))</f>
        <v/>
      </c>
      <c r="R824" s="26">
        <f>IF($D824="","",IFERROR(VLOOKUP($D824,库存台账!$A$5:$Y$1204,11,0),0))</f>
        <v/>
      </c>
      <c r="S824" s="26">
        <f>IF($D824="","",ROUND(N($J824)*N($R824),0))</f>
        <v/>
      </c>
      <c r="T824" s="26">
        <f>IF($D824="","",IF($K824&lt;&gt;"对外销售","",ROUND($Q824-$S824,0)))</f>
        <v/>
      </c>
      <c r="U824" s="17" t="n"/>
      <c r="V824" s="17" t="n"/>
      <c r="W824" s="24">
        <f>IF($D824="","",IF($E824="※编码不在物料档案里","※物料编码不在档案里",IF(N($J824)&lt;=0,"※出库数量要大于 0",IF($K824="","※没填去向类型",IF($L824="","※没填去向矿区",IF(AND($C824&lt;&gt;"",$C824&lt;=结账锁),"※日期早于已结账截止日，不能再录",IF(AND($K824="自用消耗",COUNTIF({"一矿区";"二矿区"},$L824)=0),"※自用消耗的去向只能是一矿区或二矿区",IF(AND($K824="对外销售",COUNTIF({"三矿区";"六矿区"},$L824)=0),"※对外销售的去向只能是三矿区或六矿区",IF(AND($K824="对外销售",ROUND($Q824,0)=0),"※外销却没有售价，请填实际售价",IF(AND($K824="对外销售",$T824&lt;&gt;"",$T824&lt;0),"※这一笔外销是亏的，请核对售价",IF(IFERROR(VLOOKUP($D824,库存台账!$A$5:$Y$1204,24,0),0)&lt;-0.001,"※这个物料账面已经变成负数了，查一下是不是漏记入库","")))))))))))</f>
        <v/>
      </c>
    </row>
    <row r="825">
      <c r="A825" s="24">
        <f>IF($D825="","",COUNTA($D$4:$D825))</f>
        <v/>
      </c>
      <c r="B825" s="17" t="n"/>
      <c r="C825" s="30" t="n"/>
      <c r="D825" s="17" t="n"/>
      <c r="E825" s="24">
        <f>IF($D825="","",IFERROR(VLOOKUP($D825,物料档案!$A$4:$P$1203,3,0),"※编码不在物料档案里"))</f>
        <v/>
      </c>
      <c r="F825" s="24">
        <f>IF($D825="","",IFERROR(VLOOKUP($D825,物料档案!$A$4:$P$1203,4,0),"※编码不在物料档案里"))</f>
        <v/>
      </c>
      <c r="G825" s="24">
        <f>IF($D825="","",IFERROR(VLOOKUP($D825,物料档案!$A$4:$P$1203,5,0),"※编码不在物料档案里"))</f>
        <v/>
      </c>
      <c r="H825" s="24">
        <f>IF($D825="","",IFERROR(VLOOKUP($D825,物料档案!$A$4:$P$1203,2,0),"※编码不在物料档案里"))</f>
        <v/>
      </c>
      <c r="I825" s="24">
        <f>IF($D825="","",IFERROR(VLOOKUP($D825,物料档案!$A$4:$P$1203,6,0),"※编码不在物料档案里"))</f>
        <v/>
      </c>
      <c r="J825" s="23" t="n"/>
      <c r="K825" s="17" t="n"/>
      <c r="L825" s="17" t="n"/>
      <c r="M825" s="17" t="n"/>
      <c r="N825" s="17" t="n"/>
      <c r="O825" s="26">
        <f>IF($D825="","",IFERROR(VLOOKUP($D825,物料档案!$A$4:$P$1203,10,0),0))</f>
        <v/>
      </c>
      <c r="P825" s="32" t="n"/>
      <c r="Q825" s="26">
        <f>IF($D825="","",IF($K825&lt;&gt;"对外销售",0,ROUND(N($J825)*IF($P825="",N($O825),N($P825)),0)))</f>
        <v/>
      </c>
      <c r="R825" s="26">
        <f>IF($D825="","",IFERROR(VLOOKUP($D825,库存台账!$A$5:$Y$1204,11,0),0))</f>
        <v/>
      </c>
      <c r="S825" s="26">
        <f>IF($D825="","",ROUND(N($J825)*N($R825),0))</f>
        <v/>
      </c>
      <c r="T825" s="26">
        <f>IF($D825="","",IF($K825&lt;&gt;"对外销售","",ROUND($Q825-$S825,0)))</f>
        <v/>
      </c>
      <c r="U825" s="17" t="n"/>
      <c r="V825" s="17" t="n"/>
      <c r="W825" s="24">
        <f>IF($D825="","",IF($E825="※编码不在物料档案里","※物料编码不在档案里",IF(N($J825)&lt;=0,"※出库数量要大于 0",IF($K825="","※没填去向类型",IF($L825="","※没填去向矿区",IF(AND($C825&lt;&gt;"",$C825&lt;=结账锁),"※日期早于已结账截止日，不能再录",IF(AND($K825="自用消耗",COUNTIF({"一矿区";"二矿区"},$L825)=0),"※自用消耗的去向只能是一矿区或二矿区",IF(AND($K825="对外销售",COUNTIF({"三矿区";"六矿区"},$L825)=0),"※对外销售的去向只能是三矿区或六矿区",IF(AND($K825="对外销售",ROUND($Q825,0)=0),"※外销却没有售价，请填实际售价",IF(AND($K825="对外销售",$T825&lt;&gt;"",$T825&lt;0),"※这一笔外销是亏的，请核对售价",IF(IFERROR(VLOOKUP($D825,库存台账!$A$5:$Y$1204,24,0),0)&lt;-0.001,"※这个物料账面已经变成负数了，查一下是不是漏记入库","")))))))))))</f>
        <v/>
      </c>
    </row>
    <row r="826">
      <c r="A826" s="24">
        <f>IF($D826="","",COUNTA($D$4:$D826))</f>
        <v/>
      </c>
      <c r="B826" s="17" t="n"/>
      <c r="C826" s="30" t="n"/>
      <c r="D826" s="17" t="n"/>
      <c r="E826" s="24">
        <f>IF($D826="","",IFERROR(VLOOKUP($D826,物料档案!$A$4:$P$1203,3,0),"※编码不在物料档案里"))</f>
        <v/>
      </c>
      <c r="F826" s="24">
        <f>IF($D826="","",IFERROR(VLOOKUP($D826,物料档案!$A$4:$P$1203,4,0),"※编码不在物料档案里"))</f>
        <v/>
      </c>
      <c r="G826" s="24">
        <f>IF($D826="","",IFERROR(VLOOKUP($D826,物料档案!$A$4:$P$1203,5,0),"※编码不在物料档案里"))</f>
        <v/>
      </c>
      <c r="H826" s="24">
        <f>IF($D826="","",IFERROR(VLOOKUP($D826,物料档案!$A$4:$P$1203,2,0),"※编码不在物料档案里"))</f>
        <v/>
      </c>
      <c r="I826" s="24">
        <f>IF($D826="","",IFERROR(VLOOKUP($D826,物料档案!$A$4:$P$1203,6,0),"※编码不在物料档案里"))</f>
        <v/>
      </c>
      <c r="J826" s="23" t="n"/>
      <c r="K826" s="17" t="n"/>
      <c r="L826" s="17" t="n"/>
      <c r="M826" s="17" t="n"/>
      <c r="N826" s="17" t="n"/>
      <c r="O826" s="26">
        <f>IF($D826="","",IFERROR(VLOOKUP($D826,物料档案!$A$4:$P$1203,10,0),0))</f>
        <v/>
      </c>
      <c r="P826" s="32" t="n"/>
      <c r="Q826" s="26">
        <f>IF($D826="","",IF($K826&lt;&gt;"对外销售",0,ROUND(N($J826)*IF($P826="",N($O826),N($P826)),0)))</f>
        <v/>
      </c>
      <c r="R826" s="26">
        <f>IF($D826="","",IFERROR(VLOOKUP($D826,库存台账!$A$5:$Y$1204,11,0),0))</f>
        <v/>
      </c>
      <c r="S826" s="26">
        <f>IF($D826="","",ROUND(N($J826)*N($R826),0))</f>
        <v/>
      </c>
      <c r="T826" s="26">
        <f>IF($D826="","",IF($K826&lt;&gt;"对外销售","",ROUND($Q826-$S826,0)))</f>
        <v/>
      </c>
      <c r="U826" s="17" t="n"/>
      <c r="V826" s="17" t="n"/>
      <c r="W826" s="24">
        <f>IF($D826="","",IF($E826="※编码不在物料档案里","※物料编码不在档案里",IF(N($J826)&lt;=0,"※出库数量要大于 0",IF($K826="","※没填去向类型",IF($L826="","※没填去向矿区",IF(AND($C826&lt;&gt;"",$C826&lt;=结账锁),"※日期早于已结账截止日，不能再录",IF(AND($K826="自用消耗",COUNTIF({"一矿区";"二矿区"},$L826)=0),"※自用消耗的去向只能是一矿区或二矿区",IF(AND($K826="对外销售",COUNTIF({"三矿区";"六矿区"},$L826)=0),"※对外销售的去向只能是三矿区或六矿区",IF(AND($K826="对外销售",ROUND($Q826,0)=0),"※外销却没有售价，请填实际售价",IF(AND($K826="对外销售",$T826&lt;&gt;"",$T826&lt;0),"※这一笔外销是亏的，请核对售价",IF(IFERROR(VLOOKUP($D826,库存台账!$A$5:$Y$1204,24,0),0)&lt;-0.001,"※这个物料账面已经变成负数了，查一下是不是漏记入库","")))))))))))</f>
        <v/>
      </c>
    </row>
    <row r="827">
      <c r="A827" s="24">
        <f>IF($D827="","",COUNTA($D$4:$D827))</f>
        <v/>
      </c>
      <c r="B827" s="17" t="n"/>
      <c r="C827" s="30" t="n"/>
      <c r="D827" s="17" t="n"/>
      <c r="E827" s="24">
        <f>IF($D827="","",IFERROR(VLOOKUP($D827,物料档案!$A$4:$P$1203,3,0),"※编码不在物料档案里"))</f>
        <v/>
      </c>
      <c r="F827" s="24">
        <f>IF($D827="","",IFERROR(VLOOKUP($D827,物料档案!$A$4:$P$1203,4,0),"※编码不在物料档案里"))</f>
        <v/>
      </c>
      <c r="G827" s="24">
        <f>IF($D827="","",IFERROR(VLOOKUP($D827,物料档案!$A$4:$P$1203,5,0),"※编码不在物料档案里"))</f>
        <v/>
      </c>
      <c r="H827" s="24">
        <f>IF($D827="","",IFERROR(VLOOKUP($D827,物料档案!$A$4:$P$1203,2,0),"※编码不在物料档案里"))</f>
        <v/>
      </c>
      <c r="I827" s="24">
        <f>IF($D827="","",IFERROR(VLOOKUP($D827,物料档案!$A$4:$P$1203,6,0),"※编码不在物料档案里"))</f>
        <v/>
      </c>
      <c r="J827" s="23" t="n"/>
      <c r="K827" s="17" t="n"/>
      <c r="L827" s="17" t="n"/>
      <c r="M827" s="17" t="n"/>
      <c r="N827" s="17" t="n"/>
      <c r="O827" s="26">
        <f>IF($D827="","",IFERROR(VLOOKUP($D827,物料档案!$A$4:$P$1203,10,0),0))</f>
        <v/>
      </c>
      <c r="P827" s="32" t="n"/>
      <c r="Q827" s="26">
        <f>IF($D827="","",IF($K827&lt;&gt;"对外销售",0,ROUND(N($J827)*IF($P827="",N($O827),N($P827)),0)))</f>
        <v/>
      </c>
      <c r="R827" s="26">
        <f>IF($D827="","",IFERROR(VLOOKUP($D827,库存台账!$A$5:$Y$1204,11,0),0))</f>
        <v/>
      </c>
      <c r="S827" s="26">
        <f>IF($D827="","",ROUND(N($J827)*N($R827),0))</f>
        <v/>
      </c>
      <c r="T827" s="26">
        <f>IF($D827="","",IF($K827&lt;&gt;"对外销售","",ROUND($Q827-$S827,0)))</f>
        <v/>
      </c>
      <c r="U827" s="17" t="n"/>
      <c r="V827" s="17" t="n"/>
      <c r="W827" s="24">
        <f>IF($D827="","",IF($E827="※编码不在物料档案里","※物料编码不在档案里",IF(N($J827)&lt;=0,"※出库数量要大于 0",IF($K827="","※没填去向类型",IF($L827="","※没填去向矿区",IF(AND($C827&lt;&gt;"",$C827&lt;=结账锁),"※日期早于已结账截止日，不能再录",IF(AND($K827="自用消耗",COUNTIF({"一矿区";"二矿区"},$L827)=0),"※自用消耗的去向只能是一矿区或二矿区",IF(AND($K827="对外销售",COUNTIF({"三矿区";"六矿区"},$L827)=0),"※对外销售的去向只能是三矿区或六矿区",IF(AND($K827="对外销售",ROUND($Q827,0)=0),"※外销却没有售价，请填实际售价",IF(AND($K827="对外销售",$T827&lt;&gt;"",$T827&lt;0),"※这一笔外销是亏的，请核对售价",IF(IFERROR(VLOOKUP($D827,库存台账!$A$5:$Y$1204,24,0),0)&lt;-0.001,"※这个物料账面已经变成负数了，查一下是不是漏记入库","")))))))))))</f>
        <v/>
      </c>
    </row>
    <row r="828">
      <c r="A828" s="24">
        <f>IF($D828="","",COUNTA($D$4:$D828))</f>
        <v/>
      </c>
      <c r="B828" s="17" t="n"/>
      <c r="C828" s="30" t="n"/>
      <c r="D828" s="17" t="n"/>
      <c r="E828" s="24">
        <f>IF($D828="","",IFERROR(VLOOKUP($D828,物料档案!$A$4:$P$1203,3,0),"※编码不在物料档案里"))</f>
        <v/>
      </c>
      <c r="F828" s="24">
        <f>IF($D828="","",IFERROR(VLOOKUP($D828,物料档案!$A$4:$P$1203,4,0),"※编码不在物料档案里"))</f>
        <v/>
      </c>
      <c r="G828" s="24">
        <f>IF($D828="","",IFERROR(VLOOKUP($D828,物料档案!$A$4:$P$1203,5,0),"※编码不在物料档案里"))</f>
        <v/>
      </c>
      <c r="H828" s="24">
        <f>IF($D828="","",IFERROR(VLOOKUP($D828,物料档案!$A$4:$P$1203,2,0),"※编码不在物料档案里"))</f>
        <v/>
      </c>
      <c r="I828" s="24">
        <f>IF($D828="","",IFERROR(VLOOKUP($D828,物料档案!$A$4:$P$1203,6,0),"※编码不在物料档案里"))</f>
        <v/>
      </c>
      <c r="J828" s="23" t="n"/>
      <c r="K828" s="17" t="n"/>
      <c r="L828" s="17" t="n"/>
      <c r="M828" s="17" t="n"/>
      <c r="N828" s="17" t="n"/>
      <c r="O828" s="26">
        <f>IF($D828="","",IFERROR(VLOOKUP($D828,物料档案!$A$4:$P$1203,10,0),0))</f>
        <v/>
      </c>
      <c r="P828" s="32" t="n"/>
      <c r="Q828" s="26">
        <f>IF($D828="","",IF($K828&lt;&gt;"对外销售",0,ROUND(N($J828)*IF($P828="",N($O828),N($P828)),0)))</f>
        <v/>
      </c>
      <c r="R828" s="26">
        <f>IF($D828="","",IFERROR(VLOOKUP($D828,库存台账!$A$5:$Y$1204,11,0),0))</f>
        <v/>
      </c>
      <c r="S828" s="26">
        <f>IF($D828="","",ROUND(N($J828)*N($R828),0))</f>
        <v/>
      </c>
      <c r="T828" s="26">
        <f>IF($D828="","",IF($K828&lt;&gt;"对外销售","",ROUND($Q828-$S828,0)))</f>
        <v/>
      </c>
      <c r="U828" s="17" t="n"/>
      <c r="V828" s="17" t="n"/>
      <c r="W828" s="24">
        <f>IF($D828="","",IF($E828="※编码不在物料档案里","※物料编码不在档案里",IF(N($J828)&lt;=0,"※出库数量要大于 0",IF($K828="","※没填去向类型",IF($L828="","※没填去向矿区",IF(AND($C828&lt;&gt;"",$C828&lt;=结账锁),"※日期早于已结账截止日，不能再录",IF(AND($K828="自用消耗",COUNTIF({"一矿区";"二矿区"},$L828)=0),"※自用消耗的去向只能是一矿区或二矿区",IF(AND($K828="对外销售",COUNTIF({"三矿区";"六矿区"},$L828)=0),"※对外销售的去向只能是三矿区或六矿区",IF(AND($K828="对外销售",ROUND($Q828,0)=0),"※外销却没有售价，请填实际售价",IF(AND($K828="对外销售",$T828&lt;&gt;"",$T828&lt;0),"※这一笔外销是亏的，请核对售价",IF(IFERROR(VLOOKUP($D828,库存台账!$A$5:$Y$1204,24,0),0)&lt;-0.001,"※这个物料账面已经变成负数了，查一下是不是漏记入库","")))))))))))</f>
        <v/>
      </c>
    </row>
    <row r="829">
      <c r="A829" s="24">
        <f>IF($D829="","",COUNTA($D$4:$D829))</f>
        <v/>
      </c>
      <c r="B829" s="17" t="n"/>
      <c r="C829" s="30" t="n"/>
      <c r="D829" s="17" t="n"/>
      <c r="E829" s="24">
        <f>IF($D829="","",IFERROR(VLOOKUP($D829,物料档案!$A$4:$P$1203,3,0),"※编码不在物料档案里"))</f>
        <v/>
      </c>
      <c r="F829" s="24">
        <f>IF($D829="","",IFERROR(VLOOKUP($D829,物料档案!$A$4:$P$1203,4,0),"※编码不在物料档案里"))</f>
        <v/>
      </c>
      <c r="G829" s="24">
        <f>IF($D829="","",IFERROR(VLOOKUP($D829,物料档案!$A$4:$P$1203,5,0),"※编码不在物料档案里"))</f>
        <v/>
      </c>
      <c r="H829" s="24">
        <f>IF($D829="","",IFERROR(VLOOKUP($D829,物料档案!$A$4:$P$1203,2,0),"※编码不在物料档案里"))</f>
        <v/>
      </c>
      <c r="I829" s="24">
        <f>IF($D829="","",IFERROR(VLOOKUP($D829,物料档案!$A$4:$P$1203,6,0),"※编码不在物料档案里"))</f>
        <v/>
      </c>
      <c r="J829" s="23" t="n"/>
      <c r="K829" s="17" t="n"/>
      <c r="L829" s="17" t="n"/>
      <c r="M829" s="17" t="n"/>
      <c r="N829" s="17" t="n"/>
      <c r="O829" s="26">
        <f>IF($D829="","",IFERROR(VLOOKUP($D829,物料档案!$A$4:$P$1203,10,0),0))</f>
        <v/>
      </c>
      <c r="P829" s="32" t="n"/>
      <c r="Q829" s="26">
        <f>IF($D829="","",IF($K829&lt;&gt;"对外销售",0,ROUND(N($J829)*IF($P829="",N($O829),N($P829)),0)))</f>
        <v/>
      </c>
      <c r="R829" s="26">
        <f>IF($D829="","",IFERROR(VLOOKUP($D829,库存台账!$A$5:$Y$1204,11,0),0))</f>
        <v/>
      </c>
      <c r="S829" s="26">
        <f>IF($D829="","",ROUND(N($J829)*N($R829),0))</f>
        <v/>
      </c>
      <c r="T829" s="26">
        <f>IF($D829="","",IF($K829&lt;&gt;"对外销售","",ROUND($Q829-$S829,0)))</f>
        <v/>
      </c>
      <c r="U829" s="17" t="n"/>
      <c r="V829" s="17" t="n"/>
      <c r="W829" s="24">
        <f>IF($D829="","",IF($E829="※编码不在物料档案里","※物料编码不在档案里",IF(N($J829)&lt;=0,"※出库数量要大于 0",IF($K829="","※没填去向类型",IF($L829="","※没填去向矿区",IF(AND($C829&lt;&gt;"",$C829&lt;=结账锁),"※日期早于已结账截止日，不能再录",IF(AND($K829="自用消耗",COUNTIF({"一矿区";"二矿区"},$L829)=0),"※自用消耗的去向只能是一矿区或二矿区",IF(AND($K829="对外销售",COUNTIF({"三矿区";"六矿区"},$L829)=0),"※对外销售的去向只能是三矿区或六矿区",IF(AND($K829="对外销售",ROUND($Q829,0)=0),"※外销却没有售价，请填实际售价",IF(AND($K829="对外销售",$T829&lt;&gt;"",$T829&lt;0),"※这一笔外销是亏的，请核对售价",IF(IFERROR(VLOOKUP($D829,库存台账!$A$5:$Y$1204,24,0),0)&lt;-0.001,"※这个物料账面已经变成负数了，查一下是不是漏记入库","")))))))))))</f>
        <v/>
      </c>
    </row>
    <row r="830">
      <c r="A830" s="24">
        <f>IF($D830="","",COUNTA($D$4:$D830))</f>
        <v/>
      </c>
      <c r="B830" s="17" t="n"/>
      <c r="C830" s="30" t="n"/>
      <c r="D830" s="17" t="n"/>
      <c r="E830" s="24">
        <f>IF($D830="","",IFERROR(VLOOKUP($D830,物料档案!$A$4:$P$1203,3,0),"※编码不在物料档案里"))</f>
        <v/>
      </c>
      <c r="F830" s="24">
        <f>IF($D830="","",IFERROR(VLOOKUP($D830,物料档案!$A$4:$P$1203,4,0),"※编码不在物料档案里"))</f>
        <v/>
      </c>
      <c r="G830" s="24">
        <f>IF($D830="","",IFERROR(VLOOKUP($D830,物料档案!$A$4:$P$1203,5,0),"※编码不在物料档案里"))</f>
        <v/>
      </c>
      <c r="H830" s="24">
        <f>IF($D830="","",IFERROR(VLOOKUP($D830,物料档案!$A$4:$P$1203,2,0),"※编码不在物料档案里"))</f>
        <v/>
      </c>
      <c r="I830" s="24">
        <f>IF($D830="","",IFERROR(VLOOKUP($D830,物料档案!$A$4:$P$1203,6,0),"※编码不在物料档案里"))</f>
        <v/>
      </c>
      <c r="J830" s="23" t="n"/>
      <c r="K830" s="17" t="n"/>
      <c r="L830" s="17" t="n"/>
      <c r="M830" s="17" t="n"/>
      <c r="N830" s="17" t="n"/>
      <c r="O830" s="26">
        <f>IF($D830="","",IFERROR(VLOOKUP($D830,物料档案!$A$4:$P$1203,10,0),0))</f>
        <v/>
      </c>
      <c r="P830" s="32" t="n"/>
      <c r="Q830" s="26">
        <f>IF($D830="","",IF($K830&lt;&gt;"对外销售",0,ROUND(N($J830)*IF($P830="",N($O830),N($P830)),0)))</f>
        <v/>
      </c>
      <c r="R830" s="26">
        <f>IF($D830="","",IFERROR(VLOOKUP($D830,库存台账!$A$5:$Y$1204,11,0),0))</f>
        <v/>
      </c>
      <c r="S830" s="26">
        <f>IF($D830="","",ROUND(N($J830)*N($R830),0))</f>
        <v/>
      </c>
      <c r="T830" s="26">
        <f>IF($D830="","",IF($K830&lt;&gt;"对外销售","",ROUND($Q830-$S830,0)))</f>
        <v/>
      </c>
      <c r="U830" s="17" t="n"/>
      <c r="V830" s="17" t="n"/>
      <c r="W830" s="24">
        <f>IF($D830="","",IF($E830="※编码不在物料档案里","※物料编码不在档案里",IF(N($J830)&lt;=0,"※出库数量要大于 0",IF($K830="","※没填去向类型",IF($L830="","※没填去向矿区",IF(AND($C830&lt;&gt;"",$C830&lt;=结账锁),"※日期早于已结账截止日，不能再录",IF(AND($K830="自用消耗",COUNTIF({"一矿区";"二矿区"},$L830)=0),"※自用消耗的去向只能是一矿区或二矿区",IF(AND($K830="对外销售",COUNTIF({"三矿区";"六矿区"},$L830)=0),"※对外销售的去向只能是三矿区或六矿区",IF(AND($K830="对外销售",ROUND($Q830,0)=0),"※外销却没有售价，请填实际售价",IF(AND($K830="对外销售",$T830&lt;&gt;"",$T830&lt;0),"※这一笔外销是亏的，请核对售价",IF(IFERROR(VLOOKUP($D830,库存台账!$A$5:$Y$1204,24,0),0)&lt;-0.001,"※这个物料账面已经变成负数了，查一下是不是漏记入库","")))))))))))</f>
        <v/>
      </c>
    </row>
    <row r="831">
      <c r="A831" s="24">
        <f>IF($D831="","",COUNTA($D$4:$D831))</f>
        <v/>
      </c>
      <c r="B831" s="17" t="n"/>
      <c r="C831" s="30" t="n"/>
      <c r="D831" s="17" t="n"/>
      <c r="E831" s="24">
        <f>IF($D831="","",IFERROR(VLOOKUP($D831,物料档案!$A$4:$P$1203,3,0),"※编码不在物料档案里"))</f>
        <v/>
      </c>
      <c r="F831" s="24">
        <f>IF($D831="","",IFERROR(VLOOKUP($D831,物料档案!$A$4:$P$1203,4,0),"※编码不在物料档案里"))</f>
        <v/>
      </c>
      <c r="G831" s="24">
        <f>IF($D831="","",IFERROR(VLOOKUP($D831,物料档案!$A$4:$P$1203,5,0),"※编码不在物料档案里"))</f>
        <v/>
      </c>
      <c r="H831" s="24">
        <f>IF($D831="","",IFERROR(VLOOKUP($D831,物料档案!$A$4:$P$1203,2,0),"※编码不在物料档案里"))</f>
        <v/>
      </c>
      <c r="I831" s="24">
        <f>IF($D831="","",IFERROR(VLOOKUP($D831,物料档案!$A$4:$P$1203,6,0),"※编码不在物料档案里"))</f>
        <v/>
      </c>
      <c r="J831" s="23" t="n"/>
      <c r="K831" s="17" t="n"/>
      <c r="L831" s="17" t="n"/>
      <c r="M831" s="17" t="n"/>
      <c r="N831" s="17" t="n"/>
      <c r="O831" s="26">
        <f>IF($D831="","",IFERROR(VLOOKUP($D831,物料档案!$A$4:$P$1203,10,0),0))</f>
        <v/>
      </c>
      <c r="P831" s="32" t="n"/>
      <c r="Q831" s="26">
        <f>IF($D831="","",IF($K831&lt;&gt;"对外销售",0,ROUND(N($J831)*IF($P831="",N($O831),N($P831)),0)))</f>
        <v/>
      </c>
      <c r="R831" s="26">
        <f>IF($D831="","",IFERROR(VLOOKUP($D831,库存台账!$A$5:$Y$1204,11,0),0))</f>
        <v/>
      </c>
      <c r="S831" s="26">
        <f>IF($D831="","",ROUND(N($J831)*N($R831),0))</f>
        <v/>
      </c>
      <c r="T831" s="26">
        <f>IF($D831="","",IF($K831&lt;&gt;"对外销售","",ROUND($Q831-$S831,0)))</f>
        <v/>
      </c>
      <c r="U831" s="17" t="n"/>
      <c r="V831" s="17" t="n"/>
      <c r="W831" s="24">
        <f>IF($D831="","",IF($E831="※编码不在物料档案里","※物料编码不在档案里",IF(N($J831)&lt;=0,"※出库数量要大于 0",IF($K831="","※没填去向类型",IF($L831="","※没填去向矿区",IF(AND($C831&lt;&gt;"",$C831&lt;=结账锁),"※日期早于已结账截止日，不能再录",IF(AND($K831="自用消耗",COUNTIF({"一矿区";"二矿区"},$L831)=0),"※自用消耗的去向只能是一矿区或二矿区",IF(AND($K831="对外销售",COUNTIF({"三矿区";"六矿区"},$L831)=0),"※对外销售的去向只能是三矿区或六矿区",IF(AND($K831="对外销售",ROUND($Q831,0)=0),"※外销却没有售价，请填实际售价",IF(AND($K831="对外销售",$T831&lt;&gt;"",$T831&lt;0),"※这一笔外销是亏的，请核对售价",IF(IFERROR(VLOOKUP($D831,库存台账!$A$5:$Y$1204,24,0),0)&lt;-0.001,"※这个物料账面已经变成负数了，查一下是不是漏记入库","")))))))))))</f>
        <v/>
      </c>
    </row>
    <row r="832">
      <c r="A832" s="24">
        <f>IF($D832="","",COUNTA($D$4:$D832))</f>
        <v/>
      </c>
      <c r="B832" s="17" t="n"/>
      <c r="C832" s="30" t="n"/>
      <c r="D832" s="17" t="n"/>
      <c r="E832" s="24">
        <f>IF($D832="","",IFERROR(VLOOKUP($D832,物料档案!$A$4:$P$1203,3,0),"※编码不在物料档案里"))</f>
        <v/>
      </c>
      <c r="F832" s="24">
        <f>IF($D832="","",IFERROR(VLOOKUP($D832,物料档案!$A$4:$P$1203,4,0),"※编码不在物料档案里"))</f>
        <v/>
      </c>
      <c r="G832" s="24">
        <f>IF($D832="","",IFERROR(VLOOKUP($D832,物料档案!$A$4:$P$1203,5,0),"※编码不在物料档案里"))</f>
        <v/>
      </c>
      <c r="H832" s="24">
        <f>IF($D832="","",IFERROR(VLOOKUP($D832,物料档案!$A$4:$P$1203,2,0),"※编码不在物料档案里"))</f>
        <v/>
      </c>
      <c r="I832" s="24">
        <f>IF($D832="","",IFERROR(VLOOKUP($D832,物料档案!$A$4:$P$1203,6,0),"※编码不在物料档案里"))</f>
        <v/>
      </c>
      <c r="J832" s="23" t="n"/>
      <c r="K832" s="17" t="n"/>
      <c r="L832" s="17" t="n"/>
      <c r="M832" s="17" t="n"/>
      <c r="N832" s="17" t="n"/>
      <c r="O832" s="26">
        <f>IF($D832="","",IFERROR(VLOOKUP($D832,物料档案!$A$4:$P$1203,10,0),0))</f>
        <v/>
      </c>
      <c r="P832" s="32" t="n"/>
      <c r="Q832" s="26">
        <f>IF($D832="","",IF($K832&lt;&gt;"对外销售",0,ROUND(N($J832)*IF($P832="",N($O832),N($P832)),0)))</f>
        <v/>
      </c>
      <c r="R832" s="26">
        <f>IF($D832="","",IFERROR(VLOOKUP($D832,库存台账!$A$5:$Y$1204,11,0),0))</f>
        <v/>
      </c>
      <c r="S832" s="26">
        <f>IF($D832="","",ROUND(N($J832)*N($R832),0))</f>
        <v/>
      </c>
      <c r="T832" s="26">
        <f>IF($D832="","",IF($K832&lt;&gt;"对外销售","",ROUND($Q832-$S832,0)))</f>
        <v/>
      </c>
      <c r="U832" s="17" t="n"/>
      <c r="V832" s="17" t="n"/>
      <c r="W832" s="24">
        <f>IF($D832="","",IF($E832="※编码不在物料档案里","※物料编码不在档案里",IF(N($J832)&lt;=0,"※出库数量要大于 0",IF($K832="","※没填去向类型",IF($L832="","※没填去向矿区",IF(AND($C832&lt;&gt;"",$C832&lt;=结账锁),"※日期早于已结账截止日，不能再录",IF(AND($K832="自用消耗",COUNTIF({"一矿区";"二矿区"},$L832)=0),"※自用消耗的去向只能是一矿区或二矿区",IF(AND($K832="对外销售",COUNTIF({"三矿区";"六矿区"},$L832)=0),"※对外销售的去向只能是三矿区或六矿区",IF(AND($K832="对外销售",ROUND($Q832,0)=0),"※外销却没有售价，请填实际售价",IF(AND($K832="对外销售",$T832&lt;&gt;"",$T832&lt;0),"※这一笔外销是亏的，请核对售价",IF(IFERROR(VLOOKUP($D832,库存台账!$A$5:$Y$1204,24,0),0)&lt;-0.001,"※这个物料账面已经变成负数了，查一下是不是漏记入库","")))))))))))</f>
        <v/>
      </c>
    </row>
    <row r="833">
      <c r="A833" s="24">
        <f>IF($D833="","",COUNTA($D$4:$D833))</f>
        <v/>
      </c>
      <c r="B833" s="17" t="n"/>
      <c r="C833" s="30" t="n"/>
      <c r="D833" s="17" t="n"/>
      <c r="E833" s="24">
        <f>IF($D833="","",IFERROR(VLOOKUP($D833,物料档案!$A$4:$P$1203,3,0),"※编码不在物料档案里"))</f>
        <v/>
      </c>
      <c r="F833" s="24">
        <f>IF($D833="","",IFERROR(VLOOKUP($D833,物料档案!$A$4:$P$1203,4,0),"※编码不在物料档案里"))</f>
        <v/>
      </c>
      <c r="G833" s="24">
        <f>IF($D833="","",IFERROR(VLOOKUP($D833,物料档案!$A$4:$P$1203,5,0),"※编码不在物料档案里"))</f>
        <v/>
      </c>
      <c r="H833" s="24">
        <f>IF($D833="","",IFERROR(VLOOKUP($D833,物料档案!$A$4:$P$1203,2,0),"※编码不在物料档案里"))</f>
        <v/>
      </c>
      <c r="I833" s="24">
        <f>IF($D833="","",IFERROR(VLOOKUP($D833,物料档案!$A$4:$P$1203,6,0),"※编码不在物料档案里"))</f>
        <v/>
      </c>
      <c r="J833" s="23" t="n"/>
      <c r="K833" s="17" t="n"/>
      <c r="L833" s="17" t="n"/>
      <c r="M833" s="17" t="n"/>
      <c r="N833" s="17" t="n"/>
      <c r="O833" s="26">
        <f>IF($D833="","",IFERROR(VLOOKUP($D833,物料档案!$A$4:$P$1203,10,0),0))</f>
        <v/>
      </c>
      <c r="P833" s="32" t="n"/>
      <c r="Q833" s="26">
        <f>IF($D833="","",IF($K833&lt;&gt;"对外销售",0,ROUND(N($J833)*IF($P833="",N($O833),N($P833)),0)))</f>
        <v/>
      </c>
      <c r="R833" s="26">
        <f>IF($D833="","",IFERROR(VLOOKUP($D833,库存台账!$A$5:$Y$1204,11,0),0))</f>
        <v/>
      </c>
      <c r="S833" s="26">
        <f>IF($D833="","",ROUND(N($J833)*N($R833),0))</f>
        <v/>
      </c>
      <c r="T833" s="26">
        <f>IF($D833="","",IF($K833&lt;&gt;"对外销售","",ROUND($Q833-$S833,0)))</f>
        <v/>
      </c>
      <c r="U833" s="17" t="n"/>
      <c r="V833" s="17" t="n"/>
      <c r="W833" s="24">
        <f>IF($D833="","",IF($E833="※编码不在物料档案里","※物料编码不在档案里",IF(N($J833)&lt;=0,"※出库数量要大于 0",IF($K833="","※没填去向类型",IF($L833="","※没填去向矿区",IF(AND($C833&lt;&gt;"",$C833&lt;=结账锁),"※日期早于已结账截止日，不能再录",IF(AND($K833="自用消耗",COUNTIF({"一矿区";"二矿区"},$L833)=0),"※自用消耗的去向只能是一矿区或二矿区",IF(AND($K833="对外销售",COUNTIF({"三矿区";"六矿区"},$L833)=0),"※对外销售的去向只能是三矿区或六矿区",IF(AND($K833="对外销售",ROUND($Q833,0)=0),"※外销却没有售价，请填实际售价",IF(AND($K833="对外销售",$T833&lt;&gt;"",$T833&lt;0),"※这一笔外销是亏的，请核对售价",IF(IFERROR(VLOOKUP($D833,库存台账!$A$5:$Y$1204,24,0),0)&lt;-0.001,"※这个物料账面已经变成负数了，查一下是不是漏记入库","")))))))))))</f>
        <v/>
      </c>
    </row>
    <row r="834">
      <c r="A834" s="24">
        <f>IF($D834="","",COUNTA($D$4:$D834))</f>
        <v/>
      </c>
      <c r="B834" s="17" t="n"/>
      <c r="C834" s="30" t="n"/>
      <c r="D834" s="17" t="n"/>
      <c r="E834" s="24">
        <f>IF($D834="","",IFERROR(VLOOKUP($D834,物料档案!$A$4:$P$1203,3,0),"※编码不在物料档案里"))</f>
        <v/>
      </c>
      <c r="F834" s="24">
        <f>IF($D834="","",IFERROR(VLOOKUP($D834,物料档案!$A$4:$P$1203,4,0),"※编码不在物料档案里"))</f>
        <v/>
      </c>
      <c r="G834" s="24">
        <f>IF($D834="","",IFERROR(VLOOKUP($D834,物料档案!$A$4:$P$1203,5,0),"※编码不在物料档案里"))</f>
        <v/>
      </c>
      <c r="H834" s="24">
        <f>IF($D834="","",IFERROR(VLOOKUP($D834,物料档案!$A$4:$P$1203,2,0),"※编码不在物料档案里"))</f>
        <v/>
      </c>
      <c r="I834" s="24">
        <f>IF($D834="","",IFERROR(VLOOKUP($D834,物料档案!$A$4:$P$1203,6,0),"※编码不在物料档案里"))</f>
        <v/>
      </c>
      <c r="J834" s="23" t="n"/>
      <c r="K834" s="17" t="n"/>
      <c r="L834" s="17" t="n"/>
      <c r="M834" s="17" t="n"/>
      <c r="N834" s="17" t="n"/>
      <c r="O834" s="26">
        <f>IF($D834="","",IFERROR(VLOOKUP($D834,物料档案!$A$4:$P$1203,10,0),0))</f>
        <v/>
      </c>
      <c r="P834" s="32" t="n"/>
      <c r="Q834" s="26">
        <f>IF($D834="","",IF($K834&lt;&gt;"对外销售",0,ROUND(N($J834)*IF($P834="",N($O834),N($P834)),0)))</f>
        <v/>
      </c>
      <c r="R834" s="26">
        <f>IF($D834="","",IFERROR(VLOOKUP($D834,库存台账!$A$5:$Y$1204,11,0),0))</f>
        <v/>
      </c>
      <c r="S834" s="26">
        <f>IF($D834="","",ROUND(N($J834)*N($R834),0))</f>
        <v/>
      </c>
      <c r="T834" s="26">
        <f>IF($D834="","",IF($K834&lt;&gt;"对外销售","",ROUND($Q834-$S834,0)))</f>
        <v/>
      </c>
      <c r="U834" s="17" t="n"/>
      <c r="V834" s="17" t="n"/>
      <c r="W834" s="24">
        <f>IF($D834="","",IF($E834="※编码不在物料档案里","※物料编码不在档案里",IF(N($J834)&lt;=0,"※出库数量要大于 0",IF($K834="","※没填去向类型",IF($L834="","※没填去向矿区",IF(AND($C834&lt;&gt;"",$C834&lt;=结账锁),"※日期早于已结账截止日，不能再录",IF(AND($K834="自用消耗",COUNTIF({"一矿区";"二矿区"},$L834)=0),"※自用消耗的去向只能是一矿区或二矿区",IF(AND($K834="对外销售",COUNTIF({"三矿区";"六矿区"},$L834)=0),"※对外销售的去向只能是三矿区或六矿区",IF(AND($K834="对外销售",ROUND($Q834,0)=0),"※外销却没有售价，请填实际售价",IF(AND($K834="对外销售",$T834&lt;&gt;"",$T834&lt;0),"※这一笔外销是亏的，请核对售价",IF(IFERROR(VLOOKUP($D834,库存台账!$A$5:$Y$1204,24,0),0)&lt;-0.001,"※这个物料账面已经变成负数了，查一下是不是漏记入库","")))))))))))</f>
        <v/>
      </c>
    </row>
    <row r="835">
      <c r="A835" s="24">
        <f>IF($D835="","",COUNTA($D$4:$D835))</f>
        <v/>
      </c>
      <c r="B835" s="17" t="n"/>
      <c r="C835" s="30" t="n"/>
      <c r="D835" s="17" t="n"/>
      <c r="E835" s="24">
        <f>IF($D835="","",IFERROR(VLOOKUP($D835,物料档案!$A$4:$P$1203,3,0),"※编码不在物料档案里"))</f>
        <v/>
      </c>
      <c r="F835" s="24">
        <f>IF($D835="","",IFERROR(VLOOKUP($D835,物料档案!$A$4:$P$1203,4,0),"※编码不在物料档案里"))</f>
        <v/>
      </c>
      <c r="G835" s="24">
        <f>IF($D835="","",IFERROR(VLOOKUP($D835,物料档案!$A$4:$P$1203,5,0),"※编码不在物料档案里"))</f>
        <v/>
      </c>
      <c r="H835" s="24">
        <f>IF($D835="","",IFERROR(VLOOKUP($D835,物料档案!$A$4:$P$1203,2,0),"※编码不在物料档案里"))</f>
        <v/>
      </c>
      <c r="I835" s="24">
        <f>IF($D835="","",IFERROR(VLOOKUP($D835,物料档案!$A$4:$P$1203,6,0),"※编码不在物料档案里"))</f>
        <v/>
      </c>
      <c r="J835" s="23" t="n"/>
      <c r="K835" s="17" t="n"/>
      <c r="L835" s="17" t="n"/>
      <c r="M835" s="17" t="n"/>
      <c r="N835" s="17" t="n"/>
      <c r="O835" s="26">
        <f>IF($D835="","",IFERROR(VLOOKUP($D835,物料档案!$A$4:$P$1203,10,0),0))</f>
        <v/>
      </c>
      <c r="P835" s="32" t="n"/>
      <c r="Q835" s="26">
        <f>IF($D835="","",IF($K835&lt;&gt;"对外销售",0,ROUND(N($J835)*IF($P835="",N($O835),N($P835)),0)))</f>
        <v/>
      </c>
      <c r="R835" s="26">
        <f>IF($D835="","",IFERROR(VLOOKUP($D835,库存台账!$A$5:$Y$1204,11,0),0))</f>
        <v/>
      </c>
      <c r="S835" s="26">
        <f>IF($D835="","",ROUND(N($J835)*N($R835),0))</f>
        <v/>
      </c>
      <c r="T835" s="26">
        <f>IF($D835="","",IF($K835&lt;&gt;"对外销售","",ROUND($Q835-$S835,0)))</f>
        <v/>
      </c>
      <c r="U835" s="17" t="n"/>
      <c r="V835" s="17" t="n"/>
      <c r="W835" s="24">
        <f>IF($D835="","",IF($E835="※编码不在物料档案里","※物料编码不在档案里",IF(N($J835)&lt;=0,"※出库数量要大于 0",IF($K835="","※没填去向类型",IF($L835="","※没填去向矿区",IF(AND($C835&lt;&gt;"",$C835&lt;=结账锁),"※日期早于已结账截止日，不能再录",IF(AND($K835="自用消耗",COUNTIF({"一矿区";"二矿区"},$L835)=0),"※自用消耗的去向只能是一矿区或二矿区",IF(AND($K835="对外销售",COUNTIF({"三矿区";"六矿区"},$L835)=0),"※对外销售的去向只能是三矿区或六矿区",IF(AND($K835="对外销售",ROUND($Q835,0)=0),"※外销却没有售价，请填实际售价",IF(AND($K835="对外销售",$T835&lt;&gt;"",$T835&lt;0),"※这一笔外销是亏的，请核对售价",IF(IFERROR(VLOOKUP($D835,库存台账!$A$5:$Y$1204,24,0),0)&lt;-0.001,"※这个物料账面已经变成负数了，查一下是不是漏记入库","")))))))))))</f>
        <v/>
      </c>
    </row>
    <row r="836">
      <c r="A836" s="24">
        <f>IF($D836="","",COUNTA($D$4:$D836))</f>
        <v/>
      </c>
      <c r="B836" s="17" t="n"/>
      <c r="C836" s="30" t="n"/>
      <c r="D836" s="17" t="n"/>
      <c r="E836" s="24">
        <f>IF($D836="","",IFERROR(VLOOKUP($D836,物料档案!$A$4:$P$1203,3,0),"※编码不在物料档案里"))</f>
        <v/>
      </c>
      <c r="F836" s="24">
        <f>IF($D836="","",IFERROR(VLOOKUP($D836,物料档案!$A$4:$P$1203,4,0),"※编码不在物料档案里"))</f>
        <v/>
      </c>
      <c r="G836" s="24">
        <f>IF($D836="","",IFERROR(VLOOKUP($D836,物料档案!$A$4:$P$1203,5,0),"※编码不在物料档案里"))</f>
        <v/>
      </c>
      <c r="H836" s="24">
        <f>IF($D836="","",IFERROR(VLOOKUP($D836,物料档案!$A$4:$P$1203,2,0),"※编码不在物料档案里"))</f>
        <v/>
      </c>
      <c r="I836" s="24">
        <f>IF($D836="","",IFERROR(VLOOKUP($D836,物料档案!$A$4:$P$1203,6,0),"※编码不在物料档案里"))</f>
        <v/>
      </c>
      <c r="J836" s="23" t="n"/>
      <c r="K836" s="17" t="n"/>
      <c r="L836" s="17" t="n"/>
      <c r="M836" s="17" t="n"/>
      <c r="N836" s="17" t="n"/>
      <c r="O836" s="26">
        <f>IF($D836="","",IFERROR(VLOOKUP($D836,物料档案!$A$4:$P$1203,10,0),0))</f>
        <v/>
      </c>
      <c r="P836" s="32" t="n"/>
      <c r="Q836" s="26">
        <f>IF($D836="","",IF($K836&lt;&gt;"对外销售",0,ROUND(N($J836)*IF($P836="",N($O836),N($P836)),0)))</f>
        <v/>
      </c>
      <c r="R836" s="26">
        <f>IF($D836="","",IFERROR(VLOOKUP($D836,库存台账!$A$5:$Y$1204,11,0),0))</f>
        <v/>
      </c>
      <c r="S836" s="26">
        <f>IF($D836="","",ROUND(N($J836)*N($R836),0))</f>
        <v/>
      </c>
      <c r="T836" s="26">
        <f>IF($D836="","",IF($K836&lt;&gt;"对外销售","",ROUND($Q836-$S836,0)))</f>
        <v/>
      </c>
      <c r="U836" s="17" t="n"/>
      <c r="V836" s="17" t="n"/>
      <c r="W836" s="24">
        <f>IF($D836="","",IF($E836="※编码不在物料档案里","※物料编码不在档案里",IF(N($J836)&lt;=0,"※出库数量要大于 0",IF($K836="","※没填去向类型",IF($L836="","※没填去向矿区",IF(AND($C836&lt;&gt;"",$C836&lt;=结账锁),"※日期早于已结账截止日，不能再录",IF(AND($K836="自用消耗",COUNTIF({"一矿区";"二矿区"},$L836)=0),"※自用消耗的去向只能是一矿区或二矿区",IF(AND($K836="对外销售",COUNTIF({"三矿区";"六矿区"},$L836)=0),"※对外销售的去向只能是三矿区或六矿区",IF(AND($K836="对外销售",ROUND($Q836,0)=0),"※外销却没有售价，请填实际售价",IF(AND($K836="对外销售",$T836&lt;&gt;"",$T836&lt;0),"※这一笔外销是亏的，请核对售价",IF(IFERROR(VLOOKUP($D836,库存台账!$A$5:$Y$1204,24,0),0)&lt;-0.001,"※这个物料账面已经变成负数了，查一下是不是漏记入库","")))))))))))</f>
        <v/>
      </c>
    </row>
    <row r="837">
      <c r="A837" s="24">
        <f>IF($D837="","",COUNTA($D$4:$D837))</f>
        <v/>
      </c>
      <c r="B837" s="17" t="n"/>
      <c r="C837" s="30" t="n"/>
      <c r="D837" s="17" t="n"/>
      <c r="E837" s="24">
        <f>IF($D837="","",IFERROR(VLOOKUP($D837,物料档案!$A$4:$P$1203,3,0),"※编码不在物料档案里"))</f>
        <v/>
      </c>
      <c r="F837" s="24">
        <f>IF($D837="","",IFERROR(VLOOKUP($D837,物料档案!$A$4:$P$1203,4,0),"※编码不在物料档案里"))</f>
        <v/>
      </c>
      <c r="G837" s="24">
        <f>IF($D837="","",IFERROR(VLOOKUP($D837,物料档案!$A$4:$P$1203,5,0),"※编码不在物料档案里"))</f>
        <v/>
      </c>
      <c r="H837" s="24">
        <f>IF($D837="","",IFERROR(VLOOKUP($D837,物料档案!$A$4:$P$1203,2,0),"※编码不在物料档案里"))</f>
        <v/>
      </c>
      <c r="I837" s="24">
        <f>IF($D837="","",IFERROR(VLOOKUP($D837,物料档案!$A$4:$P$1203,6,0),"※编码不在物料档案里"))</f>
        <v/>
      </c>
      <c r="J837" s="23" t="n"/>
      <c r="K837" s="17" t="n"/>
      <c r="L837" s="17" t="n"/>
      <c r="M837" s="17" t="n"/>
      <c r="N837" s="17" t="n"/>
      <c r="O837" s="26">
        <f>IF($D837="","",IFERROR(VLOOKUP($D837,物料档案!$A$4:$P$1203,10,0),0))</f>
        <v/>
      </c>
      <c r="P837" s="32" t="n"/>
      <c r="Q837" s="26">
        <f>IF($D837="","",IF($K837&lt;&gt;"对外销售",0,ROUND(N($J837)*IF($P837="",N($O837),N($P837)),0)))</f>
        <v/>
      </c>
      <c r="R837" s="26">
        <f>IF($D837="","",IFERROR(VLOOKUP($D837,库存台账!$A$5:$Y$1204,11,0),0))</f>
        <v/>
      </c>
      <c r="S837" s="26">
        <f>IF($D837="","",ROUND(N($J837)*N($R837),0))</f>
        <v/>
      </c>
      <c r="T837" s="26">
        <f>IF($D837="","",IF($K837&lt;&gt;"对外销售","",ROUND($Q837-$S837,0)))</f>
        <v/>
      </c>
      <c r="U837" s="17" t="n"/>
      <c r="V837" s="17" t="n"/>
      <c r="W837" s="24">
        <f>IF($D837="","",IF($E837="※编码不在物料档案里","※物料编码不在档案里",IF(N($J837)&lt;=0,"※出库数量要大于 0",IF($K837="","※没填去向类型",IF($L837="","※没填去向矿区",IF(AND($C837&lt;&gt;"",$C837&lt;=结账锁),"※日期早于已结账截止日，不能再录",IF(AND($K837="自用消耗",COUNTIF({"一矿区";"二矿区"},$L837)=0),"※自用消耗的去向只能是一矿区或二矿区",IF(AND($K837="对外销售",COUNTIF({"三矿区";"六矿区"},$L837)=0),"※对外销售的去向只能是三矿区或六矿区",IF(AND($K837="对外销售",ROUND($Q837,0)=0),"※外销却没有售价，请填实际售价",IF(AND($K837="对外销售",$T837&lt;&gt;"",$T837&lt;0),"※这一笔外销是亏的，请核对售价",IF(IFERROR(VLOOKUP($D837,库存台账!$A$5:$Y$1204,24,0),0)&lt;-0.001,"※这个物料账面已经变成负数了，查一下是不是漏记入库","")))))))))))</f>
        <v/>
      </c>
    </row>
    <row r="838">
      <c r="A838" s="24">
        <f>IF($D838="","",COUNTA($D$4:$D838))</f>
        <v/>
      </c>
      <c r="B838" s="17" t="n"/>
      <c r="C838" s="30" t="n"/>
      <c r="D838" s="17" t="n"/>
      <c r="E838" s="24">
        <f>IF($D838="","",IFERROR(VLOOKUP($D838,物料档案!$A$4:$P$1203,3,0),"※编码不在物料档案里"))</f>
        <v/>
      </c>
      <c r="F838" s="24">
        <f>IF($D838="","",IFERROR(VLOOKUP($D838,物料档案!$A$4:$P$1203,4,0),"※编码不在物料档案里"))</f>
        <v/>
      </c>
      <c r="G838" s="24">
        <f>IF($D838="","",IFERROR(VLOOKUP($D838,物料档案!$A$4:$P$1203,5,0),"※编码不在物料档案里"))</f>
        <v/>
      </c>
      <c r="H838" s="24">
        <f>IF($D838="","",IFERROR(VLOOKUP($D838,物料档案!$A$4:$P$1203,2,0),"※编码不在物料档案里"))</f>
        <v/>
      </c>
      <c r="I838" s="24">
        <f>IF($D838="","",IFERROR(VLOOKUP($D838,物料档案!$A$4:$P$1203,6,0),"※编码不在物料档案里"))</f>
        <v/>
      </c>
      <c r="J838" s="23" t="n"/>
      <c r="K838" s="17" t="n"/>
      <c r="L838" s="17" t="n"/>
      <c r="M838" s="17" t="n"/>
      <c r="N838" s="17" t="n"/>
      <c r="O838" s="26">
        <f>IF($D838="","",IFERROR(VLOOKUP($D838,物料档案!$A$4:$P$1203,10,0),0))</f>
        <v/>
      </c>
      <c r="P838" s="32" t="n"/>
      <c r="Q838" s="26">
        <f>IF($D838="","",IF($K838&lt;&gt;"对外销售",0,ROUND(N($J838)*IF($P838="",N($O838),N($P838)),0)))</f>
        <v/>
      </c>
      <c r="R838" s="26">
        <f>IF($D838="","",IFERROR(VLOOKUP($D838,库存台账!$A$5:$Y$1204,11,0),0))</f>
        <v/>
      </c>
      <c r="S838" s="26">
        <f>IF($D838="","",ROUND(N($J838)*N($R838),0))</f>
        <v/>
      </c>
      <c r="T838" s="26">
        <f>IF($D838="","",IF($K838&lt;&gt;"对外销售","",ROUND($Q838-$S838,0)))</f>
        <v/>
      </c>
      <c r="U838" s="17" t="n"/>
      <c r="V838" s="17" t="n"/>
      <c r="W838" s="24">
        <f>IF($D838="","",IF($E838="※编码不在物料档案里","※物料编码不在档案里",IF(N($J838)&lt;=0,"※出库数量要大于 0",IF($K838="","※没填去向类型",IF($L838="","※没填去向矿区",IF(AND($C838&lt;&gt;"",$C838&lt;=结账锁),"※日期早于已结账截止日，不能再录",IF(AND($K838="自用消耗",COUNTIF({"一矿区";"二矿区"},$L838)=0),"※自用消耗的去向只能是一矿区或二矿区",IF(AND($K838="对外销售",COUNTIF({"三矿区";"六矿区"},$L838)=0),"※对外销售的去向只能是三矿区或六矿区",IF(AND($K838="对外销售",ROUND($Q838,0)=0),"※外销却没有售价，请填实际售价",IF(AND($K838="对外销售",$T838&lt;&gt;"",$T838&lt;0),"※这一笔外销是亏的，请核对售价",IF(IFERROR(VLOOKUP($D838,库存台账!$A$5:$Y$1204,24,0),0)&lt;-0.001,"※这个物料账面已经变成负数了，查一下是不是漏记入库","")))))))))))</f>
        <v/>
      </c>
    </row>
    <row r="839">
      <c r="A839" s="24">
        <f>IF($D839="","",COUNTA($D$4:$D839))</f>
        <v/>
      </c>
      <c r="B839" s="17" t="n"/>
      <c r="C839" s="30" t="n"/>
      <c r="D839" s="17" t="n"/>
      <c r="E839" s="24">
        <f>IF($D839="","",IFERROR(VLOOKUP($D839,物料档案!$A$4:$P$1203,3,0),"※编码不在物料档案里"))</f>
        <v/>
      </c>
      <c r="F839" s="24">
        <f>IF($D839="","",IFERROR(VLOOKUP($D839,物料档案!$A$4:$P$1203,4,0),"※编码不在物料档案里"))</f>
        <v/>
      </c>
      <c r="G839" s="24">
        <f>IF($D839="","",IFERROR(VLOOKUP($D839,物料档案!$A$4:$P$1203,5,0),"※编码不在物料档案里"))</f>
        <v/>
      </c>
      <c r="H839" s="24">
        <f>IF($D839="","",IFERROR(VLOOKUP($D839,物料档案!$A$4:$P$1203,2,0),"※编码不在物料档案里"))</f>
        <v/>
      </c>
      <c r="I839" s="24">
        <f>IF($D839="","",IFERROR(VLOOKUP($D839,物料档案!$A$4:$P$1203,6,0),"※编码不在物料档案里"))</f>
        <v/>
      </c>
      <c r="J839" s="23" t="n"/>
      <c r="K839" s="17" t="n"/>
      <c r="L839" s="17" t="n"/>
      <c r="M839" s="17" t="n"/>
      <c r="N839" s="17" t="n"/>
      <c r="O839" s="26">
        <f>IF($D839="","",IFERROR(VLOOKUP($D839,物料档案!$A$4:$P$1203,10,0),0))</f>
        <v/>
      </c>
      <c r="P839" s="32" t="n"/>
      <c r="Q839" s="26">
        <f>IF($D839="","",IF($K839&lt;&gt;"对外销售",0,ROUND(N($J839)*IF($P839="",N($O839),N($P839)),0)))</f>
        <v/>
      </c>
      <c r="R839" s="26">
        <f>IF($D839="","",IFERROR(VLOOKUP($D839,库存台账!$A$5:$Y$1204,11,0),0))</f>
        <v/>
      </c>
      <c r="S839" s="26">
        <f>IF($D839="","",ROUND(N($J839)*N($R839),0))</f>
        <v/>
      </c>
      <c r="T839" s="26">
        <f>IF($D839="","",IF($K839&lt;&gt;"对外销售","",ROUND($Q839-$S839,0)))</f>
        <v/>
      </c>
      <c r="U839" s="17" t="n"/>
      <c r="V839" s="17" t="n"/>
      <c r="W839" s="24">
        <f>IF($D839="","",IF($E839="※编码不在物料档案里","※物料编码不在档案里",IF(N($J839)&lt;=0,"※出库数量要大于 0",IF($K839="","※没填去向类型",IF($L839="","※没填去向矿区",IF(AND($C839&lt;&gt;"",$C839&lt;=结账锁),"※日期早于已结账截止日，不能再录",IF(AND($K839="自用消耗",COUNTIF({"一矿区";"二矿区"},$L839)=0),"※自用消耗的去向只能是一矿区或二矿区",IF(AND($K839="对外销售",COUNTIF({"三矿区";"六矿区"},$L839)=0),"※对外销售的去向只能是三矿区或六矿区",IF(AND($K839="对外销售",ROUND($Q839,0)=0),"※外销却没有售价，请填实际售价",IF(AND($K839="对外销售",$T839&lt;&gt;"",$T839&lt;0),"※这一笔外销是亏的，请核对售价",IF(IFERROR(VLOOKUP($D839,库存台账!$A$5:$Y$1204,24,0),0)&lt;-0.001,"※这个物料账面已经变成负数了，查一下是不是漏记入库","")))))))))))</f>
        <v/>
      </c>
    </row>
    <row r="840">
      <c r="A840" s="24">
        <f>IF($D840="","",COUNTA($D$4:$D840))</f>
        <v/>
      </c>
      <c r="B840" s="17" t="n"/>
      <c r="C840" s="30" t="n"/>
      <c r="D840" s="17" t="n"/>
      <c r="E840" s="24">
        <f>IF($D840="","",IFERROR(VLOOKUP($D840,物料档案!$A$4:$P$1203,3,0),"※编码不在物料档案里"))</f>
        <v/>
      </c>
      <c r="F840" s="24">
        <f>IF($D840="","",IFERROR(VLOOKUP($D840,物料档案!$A$4:$P$1203,4,0),"※编码不在物料档案里"))</f>
        <v/>
      </c>
      <c r="G840" s="24">
        <f>IF($D840="","",IFERROR(VLOOKUP($D840,物料档案!$A$4:$P$1203,5,0),"※编码不在物料档案里"))</f>
        <v/>
      </c>
      <c r="H840" s="24">
        <f>IF($D840="","",IFERROR(VLOOKUP($D840,物料档案!$A$4:$P$1203,2,0),"※编码不在物料档案里"))</f>
        <v/>
      </c>
      <c r="I840" s="24">
        <f>IF($D840="","",IFERROR(VLOOKUP($D840,物料档案!$A$4:$P$1203,6,0),"※编码不在物料档案里"))</f>
        <v/>
      </c>
      <c r="J840" s="23" t="n"/>
      <c r="K840" s="17" t="n"/>
      <c r="L840" s="17" t="n"/>
      <c r="M840" s="17" t="n"/>
      <c r="N840" s="17" t="n"/>
      <c r="O840" s="26">
        <f>IF($D840="","",IFERROR(VLOOKUP($D840,物料档案!$A$4:$P$1203,10,0),0))</f>
        <v/>
      </c>
      <c r="P840" s="32" t="n"/>
      <c r="Q840" s="26">
        <f>IF($D840="","",IF($K840&lt;&gt;"对外销售",0,ROUND(N($J840)*IF($P840="",N($O840),N($P840)),0)))</f>
        <v/>
      </c>
      <c r="R840" s="26">
        <f>IF($D840="","",IFERROR(VLOOKUP($D840,库存台账!$A$5:$Y$1204,11,0),0))</f>
        <v/>
      </c>
      <c r="S840" s="26">
        <f>IF($D840="","",ROUND(N($J840)*N($R840),0))</f>
        <v/>
      </c>
      <c r="T840" s="26">
        <f>IF($D840="","",IF($K840&lt;&gt;"对外销售","",ROUND($Q840-$S840,0)))</f>
        <v/>
      </c>
      <c r="U840" s="17" t="n"/>
      <c r="V840" s="17" t="n"/>
      <c r="W840" s="24">
        <f>IF($D840="","",IF($E840="※编码不在物料档案里","※物料编码不在档案里",IF(N($J840)&lt;=0,"※出库数量要大于 0",IF($K840="","※没填去向类型",IF($L840="","※没填去向矿区",IF(AND($C840&lt;&gt;"",$C840&lt;=结账锁),"※日期早于已结账截止日，不能再录",IF(AND($K840="自用消耗",COUNTIF({"一矿区";"二矿区"},$L840)=0),"※自用消耗的去向只能是一矿区或二矿区",IF(AND($K840="对外销售",COUNTIF({"三矿区";"六矿区"},$L840)=0),"※对外销售的去向只能是三矿区或六矿区",IF(AND($K840="对外销售",ROUND($Q840,0)=0),"※外销却没有售价，请填实际售价",IF(AND($K840="对外销售",$T840&lt;&gt;"",$T840&lt;0),"※这一笔外销是亏的，请核对售价",IF(IFERROR(VLOOKUP($D840,库存台账!$A$5:$Y$1204,24,0),0)&lt;-0.001,"※这个物料账面已经变成负数了，查一下是不是漏记入库","")))))))))))</f>
        <v/>
      </c>
    </row>
    <row r="841">
      <c r="A841" s="24">
        <f>IF($D841="","",COUNTA($D$4:$D841))</f>
        <v/>
      </c>
      <c r="B841" s="17" t="n"/>
      <c r="C841" s="30" t="n"/>
      <c r="D841" s="17" t="n"/>
      <c r="E841" s="24">
        <f>IF($D841="","",IFERROR(VLOOKUP($D841,物料档案!$A$4:$P$1203,3,0),"※编码不在物料档案里"))</f>
        <v/>
      </c>
      <c r="F841" s="24">
        <f>IF($D841="","",IFERROR(VLOOKUP($D841,物料档案!$A$4:$P$1203,4,0),"※编码不在物料档案里"))</f>
        <v/>
      </c>
      <c r="G841" s="24">
        <f>IF($D841="","",IFERROR(VLOOKUP($D841,物料档案!$A$4:$P$1203,5,0),"※编码不在物料档案里"))</f>
        <v/>
      </c>
      <c r="H841" s="24">
        <f>IF($D841="","",IFERROR(VLOOKUP($D841,物料档案!$A$4:$P$1203,2,0),"※编码不在物料档案里"))</f>
        <v/>
      </c>
      <c r="I841" s="24">
        <f>IF($D841="","",IFERROR(VLOOKUP($D841,物料档案!$A$4:$P$1203,6,0),"※编码不在物料档案里"))</f>
        <v/>
      </c>
      <c r="J841" s="23" t="n"/>
      <c r="K841" s="17" t="n"/>
      <c r="L841" s="17" t="n"/>
      <c r="M841" s="17" t="n"/>
      <c r="N841" s="17" t="n"/>
      <c r="O841" s="26">
        <f>IF($D841="","",IFERROR(VLOOKUP($D841,物料档案!$A$4:$P$1203,10,0),0))</f>
        <v/>
      </c>
      <c r="P841" s="32" t="n"/>
      <c r="Q841" s="26">
        <f>IF($D841="","",IF($K841&lt;&gt;"对外销售",0,ROUND(N($J841)*IF($P841="",N($O841),N($P841)),0)))</f>
        <v/>
      </c>
      <c r="R841" s="26">
        <f>IF($D841="","",IFERROR(VLOOKUP($D841,库存台账!$A$5:$Y$1204,11,0),0))</f>
        <v/>
      </c>
      <c r="S841" s="26">
        <f>IF($D841="","",ROUND(N($J841)*N($R841),0))</f>
        <v/>
      </c>
      <c r="T841" s="26">
        <f>IF($D841="","",IF($K841&lt;&gt;"对外销售","",ROUND($Q841-$S841,0)))</f>
        <v/>
      </c>
      <c r="U841" s="17" t="n"/>
      <c r="V841" s="17" t="n"/>
      <c r="W841" s="24">
        <f>IF($D841="","",IF($E841="※编码不在物料档案里","※物料编码不在档案里",IF(N($J841)&lt;=0,"※出库数量要大于 0",IF($K841="","※没填去向类型",IF($L841="","※没填去向矿区",IF(AND($C841&lt;&gt;"",$C841&lt;=结账锁),"※日期早于已结账截止日，不能再录",IF(AND($K841="自用消耗",COUNTIF({"一矿区";"二矿区"},$L841)=0),"※自用消耗的去向只能是一矿区或二矿区",IF(AND($K841="对外销售",COUNTIF({"三矿区";"六矿区"},$L841)=0),"※对外销售的去向只能是三矿区或六矿区",IF(AND($K841="对外销售",ROUND($Q841,0)=0),"※外销却没有售价，请填实际售价",IF(AND($K841="对外销售",$T841&lt;&gt;"",$T841&lt;0),"※这一笔外销是亏的，请核对售价",IF(IFERROR(VLOOKUP($D841,库存台账!$A$5:$Y$1204,24,0),0)&lt;-0.001,"※这个物料账面已经变成负数了，查一下是不是漏记入库","")))))))))))</f>
        <v/>
      </c>
    </row>
    <row r="842">
      <c r="A842" s="24">
        <f>IF($D842="","",COUNTA($D$4:$D842))</f>
        <v/>
      </c>
      <c r="B842" s="17" t="n"/>
      <c r="C842" s="30" t="n"/>
      <c r="D842" s="17" t="n"/>
      <c r="E842" s="24">
        <f>IF($D842="","",IFERROR(VLOOKUP($D842,物料档案!$A$4:$P$1203,3,0),"※编码不在物料档案里"))</f>
        <v/>
      </c>
      <c r="F842" s="24">
        <f>IF($D842="","",IFERROR(VLOOKUP($D842,物料档案!$A$4:$P$1203,4,0),"※编码不在物料档案里"))</f>
        <v/>
      </c>
      <c r="G842" s="24">
        <f>IF($D842="","",IFERROR(VLOOKUP($D842,物料档案!$A$4:$P$1203,5,0),"※编码不在物料档案里"))</f>
        <v/>
      </c>
      <c r="H842" s="24">
        <f>IF($D842="","",IFERROR(VLOOKUP($D842,物料档案!$A$4:$P$1203,2,0),"※编码不在物料档案里"))</f>
        <v/>
      </c>
      <c r="I842" s="24">
        <f>IF($D842="","",IFERROR(VLOOKUP($D842,物料档案!$A$4:$P$1203,6,0),"※编码不在物料档案里"))</f>
        <v/>
      </c>
      <c r="J842" s="23" t="n"/>
      <c r="K842" s="17" t="n"/>
      <c r="L842" s="17" t="n"/>
      <c r="M842" s="17" t="n"/>
      <c r="N842" s="17" t="n"/>
      <c r="O842" s="26">
        <f>IF($D842="","",IFERROR(VLOOKUP($D842,物料档案!$A$4:$P$1203,10,0),0))</f>
        <v/>
      </c>
      <c r="P842" s="32" t="n"/>
      <c r="Q842" s="26">
        <f>IF($D842="","",IF($K842&lt;&gt;"对外销售",0,ROUND(N($J842)*IF($P842="",N($O842),N($P842)),0)))</f>
        <v/>
      </c>
      <c r="R842" s="26">
        <f>IF($D842="","",IFERROR(VLOOKUP($D842,库存台账!$A$5:$Y$1204,11,0),0))</f>
        <v/>
      </c>
      <c r="S842" s="26">
        <f>IF($D842="","",ROUND(N($J842)*N($R842),0))</f>
        <v/>
      </c>
      <c r="T842" s="26">
        <f>IF($D842="","",IF($K842&lt;&gt;"对外销售","",ROUND($Q842-$S842,0)))</f>
        <v/>
      </c>
      <c r="U842" s="17" t="n"/>
      <c r="V842" s="17" t="n"/>
      <c r="W842" s="24">
        <f>IF($D842="","",IF($E842="※编码不在物料档案里","※物料编码不在档案里",IF(N($J842)&lt;=0,"※出库数量要大于 0",IF($K842="","※没填去向类型",IF($L842="","※没填去向矿区",IF(AND($C842&lt;&gt;"",$C842&lt;=结账锁),"※日期早于已结账截止日，不能再录",IF(AND($K842="自用消耗",COUNTIF({"一矿区";"二矿区"},$L842)=0),"※自用消耗的去向只能是一矿区或二矿区",IF(AND($K842="对外销售",COUNTIF({"三矿区";"六矿区"},$L842)=0),"※对外销售的去向只能是三矿区或六矿区",IF(AND($K842="对外销售",ROUND($Q842,0)=0),"※外销却没有售价，请填实际售价",IF(AND($K842="对外销售",$T842&lt;&gt;"",$T842&lt;0),"※这一笔外销是亏的，请核对售价",IF(IFERROR(VLOOKUP($D842,库存台账!$A$5:$Y$1204,24,0),0)&lt;-0.001,"※这个物料账面已经变成负数了，查一下是不是漏记入库","")))))))))))</f>
        <v/>
      </c>
    </row>
    <row r="843">
      <c r="A843" s="24">
        <f>IF($D843="","",COUNTA($D$4:$D843))</f>
        <v/>
      </c>
      <c r="B843" s="17" t="n"/>
      <c r="C843" s="30" t="n"/>
      <c r="D843" s="17" t="n"/>
      <c r="E843" s="24">
        <f>IF($D843="","",IFERROR(VLOOKUP($D843,物料档案!$A$4:$P$1203,3,0),"※编码不在物料档案里"))</f>
        <v/>
      </c>
      <c r="F843" s="24">
        <f>IF($D843="","",IFERROR(VLOOKUP($D843,物料档案!$A$4:$P$1203,4,0),"※编码不在物料档案里"))</f>
        <v/>
      </c>
      <c r="G843" s="24">
        <f>IF($D843="","",IFERROR(VLOOKUP($D843,物料档案!$A$4:$P$1203,5,0),"※编码不在物料档案里"))</f>
        <v/>
      </c>
      <c r="H843" s="24">
        <f>IF($D843="","",IFERROR(VLOOKUP($D843,物料档案!$A$4:$P$1203,2,0),"※编码不在物料档案里"))</f>
        <v/>
      </c>
      <c r="I843" s="24">
        <f>IF($D843="","",IFERROR(VLOOKUP($D843,物料档案!$A$4:$P$1203,6,0),"※编码不在物料档案里"))</f>
        <v/>
      </c>
      <c r="J843" s="23" t="n"/>
      <c r="K843" s="17" t="n"/>
      <c r="L843" s="17" t="n"/>
      <c r="M843" s="17" t="n"/>
      <c r="N843" s="17" t="n"/>
      <c r="O843" s="26">
        <f>IF($D843="","",IFERROR(VLOOKUP($D843,物料档案!$A$4:$P$1203,10,0),0))</f>
        <v/>
      </c>
      <c r="P843" s="32" t="n"/>
      <c r="Q843" s="26">
        <f>IF($D843="","",IF($K843&lt;&gt;"对外销售",0,ROUND(N($J843)*IF($P843="",N($O843),N($P843)),0)))</f>
        <v/>
      </c>
      <c r="R843" s="26">
        <f>IF($D843="","",IFERROR(VLOOKUP($D843,库存台账!$A$5:$Y$1204,11,0),0))</f>
        <v/>
      </c>
      <c r="S843" s="26">
        <f>IF($D843="","",ROUND(N($J843)*N($R843),0))</f>
        <v/>
      </c>
      <c r="T843" s="26">
        <f>IF($D843="","",IF($K843&lt;&gt;"对外销售","",ROUND($Q843-$S843,0)))</f>
        <v/>
      </c>
      <c r="U843" s="17" t="n"/>
      <c r="V843" s="17" t="n"/>
      <c r="W843" s="24">
        <f>IF($D843="","",IF($E843="※编码不在物料档案里","※物料编码不在档案里",IF(N($J843)&lt;=0,"※出库数量要大于 0",IF($K843="","※没填去向类型",IF($L843="","※没填去向矿区",IF(AND($C843&lt;&gt;"",$C843&lt;=结账锁),"※日期早于已结账截止日，不能再录",IF(AND($K843="自用消耗",COUNTIF({"一矿区";"二矿区"},$L843)=0),"※自用消耗的去向只能是一矿区或二矿区",IF(AND($K843="对外销售",COUNTIF({"三矿区";"六矿区"},$L843)=0),"※对外销售的去向只能是三矿区或六矿区",IF(AND($K843="对外销售",ROUND($Q843,0)=0),"※外销却没有售价，请填实际售价",IF(AND($K843="对外销售",$T843&lt;&gt;"",$T843&lt;0),"※这一笔外销是亏的，请核对售价",IF(IFERROR(VLOOKUP($D843,库存台账!$A$5:$Y$1204,24,0),0)&lt;-0.001,"※这个物料账面已经变成负数了，查一下是不是漏记入库","")))))))))))</f>
        <v/>
      </c>
    </row>
    <row r="844">
      <c r="A844" s="24">
        <f>IF($D844="","",COUNTA($D$4:$D844))</f>
        <v/>
      </c>
      <c r="B844" s="17" t="n"/>
      <c r="C844" s="30" t="n"/>
      <c r="D844" s="17" t="n"/>
      <c r="E844" s="24">
        <f>IF($D844="","",IFERROR(VLOOKUP($D844,物料档案!$A$4:$P$1203,3,0),"※编码不在物料档案里"))</f>
        <v/>
      </c>
      <c r="F844" s="24">
        <f>IF($D844="","",IFERROR(VLOOKUP($D844,物料档案!$A$4:$P$1203,4,0),"※编码不在物料档案里"))</f>
        <v/>
      </c>
      <c r="G844" s="24">
        <f>IF($D844="","",IFERROR(VLOOKUP($D844,物料档案!$A$4:$P$1203,5,0),"※编码不在物料档案里"))</f>
        <v/>
      </c>
      <c r="H844" s="24">
        <f>IF($D844="","",IFERROR(VLOOKUP($D844,物料档案!$A$4:$P$1203,2,0),"※编码不在物料档案里"))</f>
        <v/>
      </c>
      <c r="I844" s="24">
        <f>IF($D844="","",IFERROR(VLOOKUP($D844,物料档案!$A$4:$P$1203,6,0),"※编码不在物料档案里"))</f>
        <v/>
      </c>
      <c r="J844" s="23" t="n"/>
      <c r="K844" s="17" t="n"/>
      <c r="L844" s="17" t="n"/>
      <c r="M844" s="17" t="n"/>
      <c r="N844" s="17" t="n"/>
      <c r="O844" s="26">
        <f>IF($D844="","",IFERROR(VLOOKUP($D844,物料档案!$A$4:$P$1203,10,0),0))</f>
        <v/>
      </c>
      <c r="P844" s="32" t="n"/>
      <c r="Q844" s="26">
        <f>IF($D844="","",IF($K844&lt;&gt;"对外销售",0,ROUND(N($J844)*IF($P844="",N($O844),N($P844)),0)))</f>
        <v/>
      </c>
      <c r="R844" s="26">
        <f>IF($D844="","",IFERROR(VLOOKUP($D844,库存台账!$A$5:$Y$1204,11,0),0))</f>
        <v/>
      </c>
      <c r="S844" s="26">
        <f>IF($D844="","",ROUND(N($J844)*N($R844),0))</f>
        <v/>
      </c>
      <c r="T844" s="26">
        <f>IF($D844="","",IF($K844&lt;&gt;"对外销售","",ROUND($Q844-$S844,0)))</f>
        <v/>
      </c>
      <c r="U844" s="17" t="n"/>
      <c r="V844" s="17" t="n"/>
      <c r="W844" s="24">
        <f>IF($D844="","",IF($E844="※编码不在物料档案里","※物料编码不在档案里",IF(N($J844)&lt;=0,"※出库数量要大于 0",IF($K844="","※没填去向类型",IF($L844="","※没填去向矿区",IF(AND($C844&lt;&gt;"",$C844&lt;=结账锁),"※日期早于已结账截止日，不能再录",IF(AND($K844="自用消耗",COUNTIF({"一矿区";"二矿区"},$L844)=0),"※自用消耗的去向只能是一矿区或二矿区",IF(AND($K844="对外销售",COUNTIF({"三矿区";"六矿区"},$L844)=0),"※对外销售的去向只能是三矿区或六矿区",IF(AND($K844="对外销售",ROUND($Q844,0)=0),"※外销却没有售价，请填实际售价",IF(AND($K844="对外销售",$T844&lt;&gt;"",$T844&lt;0),"※这一笔外销是亏的，请核对售价",IF(IFERROR(VLOOKUP($D844,库存台账!$A$5:$Y$1204,24,0),0)&lt;-0.001,"※这个物料账面已经变成负数了，查一下是不是漏记入库","")))))))))))</f>
        <v/>
      </c>
    </row>
    <row r="845">
      <c r="A845" s="24">
        <f>IF($D845="","",COUNTA($D$4:$D845))</f>
        <v/>
      </c>
      <c r="B845" s="17" t="n"/>
      <c r="C845" s="30" t="n"/>
      <c r="D845" s="17" t="n"/>
      <c r="E845" s="24">
        <f>IF($D845="","",IFERROR(VLOOKUP($D845,物料档案!$A$4:$P$1203,3,0),"※编码不在物料档案里"))</f>
        <v/>
      </c>
      <c r="F845" s="24">
        <f>IF($D845="","",IFERROR(VLOOKUP($D845,物料档案!$A$4:$P$1203,4,0),"※编码不在物料档案里"))</f>
        <v/>
      </c>
      <c r="G845" s="24">
        <f>IF($D845="","",IFERROR(VLOOKUP($D845,物料档案!$A$4:$P$1203,5,0),"※编码不在物料档案里"))</f>
        <v/>
      </c>
      <c r="H845" s="24">
        <f>IF($D845="","",IFERROR(VLOOKUP($D845,物料档案!$A$4:$P$1203,2,0),"※编码不在物料档案里"))</f>
        <v/>
      </c>
      <c r="I845" s="24">
        <f>IF($D845="","",IFERROR(VLOOKUP($D845,物料档案!$A$4:$P$1203,6,0),"※编码不在物料档案里"))</f>
        <v/>
      </c>
      <c r="J845" s="23" t="n"/>
      <c r="K845" s="17" t="n"/>
      <c r="L845" s="17" t="n"/>
      <c r="M845" s="17" t="n"/>
      <c r="N845" s="17" t="n"/>
      <c r="O845" s="26">
        <f>IF($D845="","",IFERROR(VLOOKUP($D845,物料档案!$A$4:$P$1203,10,0),0))</f>
        <v/>
      </c>
      <c r="P845" s="32" t="n"/>
      <c r="Q845" s="26">
        <f>IF($D845="","",IF($K845&lt;&gt;"对外销售",0,ROUND(N($J845)*IF($P845="",N($O845),N($P845)),0)))</f>
        <v/>
      </c>
      <c r="R845" s="26">
        <f>IF($D845="","",IFERROR(VLOOKUP($D845,库存台账!$A$5:$Y$1204,11,0),0))</f>
        <v/>
      </c>
      <c r="S845" s="26">
        <f>IF($D845="","",ROUND(N($J845)*N($R845),0))</f>
        <v/>
      </c>
      <c r="T845" s="26">
        <f>IF($D845="","",IF($K845&lt;&gt;"对外销售","",ROUND($Q845-$S845,0)))</f>
        <v/>
      </c>
      <c r="U845" s="17" t="n"/>
      <c r="V845" s="17" t="n"/>
      <c r="W845" s="24">
        <f>IF($D845="","",IF($E845="※编码不在物料档案里","※物料编码不在档案里",IF(N($J845)&lt;=0,"※出库数量要大于 0",IF($K845="","※没填去向类型",IF($L845="","※没填去向矿区",IF(AND($C845&lt;&gt;"",$C845&lt;=结账锁),"※日期早于已结账截止日，不能再录",IF(AND($K845="自用消耗",COUNTIF({"一矿区";"二矿区"},$L845)=0),"※自用消耗的去向只能是一矿区或二矿区",IF(AND($K845="对外销售",COUNTIF({"三矿区";"六矿区"},$L845)=0),"※对外销售的去向只能是三矿区或六矿区",IF(AND($K845="对外销售",ROUND($Q845,0)=0),"※外销却没有售价，请填实际售价",IF(AND($K845="对外销售",$T845&lt;&gt;"",$T845&lt;0),"※这一笔外销是亏的，请核对售价",IF(IFERROR(VLOOKUP($D845,库存台账!$A$5:$Y$1204,24,0),0)&lt;-0.001,"※这个物料账面已经变成负数了，查一下是不是漏记入库","")))))))))))</f>
        <v/>
      </c>
    </row>
    <row r="846">
      <c r="A846" s="24">
        <f>IF($D846="","",COUNTA($D$4:$D846))</f>
        <v/>
      </c>
      <c r="B846" s="17" t="n"/>
      <c r="C846" s="30" t="n"/>
      <c r="D846" s="17" t="n"/>
      <c r="E846" s="24">
        <f>IF($D846="","",IFERROR(VLOOKUP($D846,物料档案!$A$4:$P$1203,3,0),"※编码不在物料档案里"))</f>
        <v/>
      </c>
      <c r="F846" s="24">
        <f>IF($D846="","",IFERROR(VLOOKUP($D846,物料档案!$A$4:$P$1203,4,0),"※编码不在物料档案里"))</f>
        <v/>
      </c>
      <c r="G846" s="24">
        <f>IF($D846="","",IFERROR(VLOOKUP($D846,物料档案!$A$4:$P$1203,5,0),"※编码不在物料档案里"))</f>
        <v/>
      </c>
      <c r="H846" s="24">
        <f>IF($D846="","",IFERROR(VLOOKUP($D846,物料档案!$A$4:$P$1203,2,0),"※编码不在物料档案里"))</f>
        <v/>
      </c>
      <c r="I846" s="24">
        <f>IF($D846="","",IFERROR(VLOOKUP($D846,物料档案!$A$4:$P$1203,6,0),"※编码不在物料档案里"))</f>
        <v/>
      </c>
      <c r="J846" s="23" t="n"/>
      <c r="K846" s="17" t="n"/>
      <c r="L846" s="17" t="n"/>
      <c r="M846" s="17" t="n"/>
      <c r="N846" s="17" t="n"/>
      <c r="O846" s="26">
        <f>IF($D846="","",IFERROR(VLOOKUP($D846,物料档案!$A$4:$P$1203,10,0),0))</f>
        <v/>
      </c>
      <c r="P846" s="32" t="n"/>
      <c r="Q846" s="26">
        <f>IF($D846="","",IF($K846&lt;&gt;"对外销售",0,ROUND(N($J846)*IF($P846="",N($O846),N($P846)),0)))</f>
        <v/>
      </c>
      <c r="R846" s="26">
        <f>IF($D846="","",IFERROR(VLOOKUP($D846,库存台账!$A$5:$Y$1204,11,0),0))</f>
        <v/>
      </c>
      <c r="S846" s="26">
        <f>IF($D846="","",ROUND(N($J846)*N($R846),0))</f>
        <v/>
      </c>
      <c r="T846" s="26">
        <f>IF($D846="","",IF($K846&lt;&gt;"对外销售","",ROUND($Q846-$S846,0)))</f>
        <v/>
      </c>
      <c r="U846" s="17" t="n"/>
      <c r="V846" s="17" t="n"/>
      <c r="W846" s="24">
        <f>IF($D846="","",IF($E846="※编码不在物料档案里","※物料编码不在档案里",IF(N($J846)&lt;=0,"※出库数量要大于 0",IF($K846="","※没填去向类型",IF($L846="","※没填去向矿区",IF(AND($C846&lt;&gt;"",$C846&lt;=结账锁),"※日期早于已结账截止日，不能再录",IF(AND($K846="自用消耗",COUNTIF({"一矿区";"二矿区"},$L846)=0),"※自用消耗的去向只能是一矿区或二矿区",IF(AND($K846="对外销售",COUNTIF({"三矿区";"六矿区"},$L846)=0),"※对外销售的去向只能是三矿区或六矿区",IF(AND($K846="对外销售",ROUND($Q846,0)=0),"※外销却没有售价，请填实际售价",IF(AND($K846="对外销售",$T846&lt;&gt;"",$T846&lt;0),"※这一笔外销是亏的，请核对售价",IF(IFERROR(VLOOKUP($D846,库存台账!$A$5:$Y$1204,24,0),0)&lt;-0.001,"※这个物料账面已经变成负数了，查一下是不是漏记入库","")))))))))))</f>
        <v/>
      </c>
    </row>
    <row r="847">
      <c r="A847" s="24">
        <f>IF($D847="","",COUNTA($D$4:$D847))</f>
        <v/>
      </c>
      <c r="B847" s="17" t="n"/>
      <c r="C847" s="30" t="n"/>
      <c r="D847" s="17" t="n"/>
      <c r="E847" s="24">
        <f>IF($D847="","",IFERROR(VLOOKUP($D847,物料档案!$A$4:$P$1203,3,0),"※编码不在物料档案里"))</f>
        <v/>
      </c>
      <c r="F847" s="24">
        <f>IF($D847="","",IFERROR(VLOOKUP($D847,物料档案!$A$4:$P$1203,4,0),"※编码不在物料档案里"))</f>
        <v/>
      </c>
      <c r="G847" s="24">
        <f>IF($D847="","",IFERROR(VLOOKUP($D847,物料档案!$A$4:$P$1203,5,0),"※编码不在物料档案里"))</f>
        <v/>
      </c>
      <c r="H847" s="24">
        <f>IF($D847="","",IFERROR(VLOOKUP($D847,物料档案!$A$4:$P$1203,2,0),"※编码不在物料档案里"))</f>
        <v/>
      </c>
      <c r="I847" s="24">
        <f>IF($D847="","",IFERROR(VLOOKUP($D847,物料档案!$A$4:$P$1203,6,0),"※编码不在物料档案里"))</f>
        <v/>
      </c>
      <c r="J847" s="23" t="n"/>
      <c r="K847" s="17" t="n"/>
      <c r="L847" s="17" t="n"/>
      <c r="M847" s="17" t="n"/>
      <c r="N847" s="17" t="n"/>
      <c r="O847" s="26">
        <f>IF($D847="","",IFERROR(VLOOKUP($D847,物料档案!$A$4:$P$1203,10,0),0))</f>
        <v/>
      </c>
      <c r="P847" s="32" t="n"/>
      <c r="Q847" s="26">
        <f>IF($D847="","",IF($K847&lt;&gt;"对外销售",0,ROUND(N($J847)*IF($P847="",N($O847),N($P847)),0)))</f>
        <v/>
      </c>
      <c r="R847" s="26">
        <f>IF($D847="","",IFERROR(VLOOKUP($D847,库存台账!$A$5:$Y$1204,11,0),0))</f>
        <v/>
      </c>
      <c r="S847" s="26">
        <f>IF($D847="","",ROUND(N($J847)*N($R847),0))</f>
        <v/>
      </c>
      <c r="T847" s="26">
        <f>IF($D847="","",IF($K847&lt;&gt;"对外销售","",ROUND($Q847-$S847,0)))</f>
        <v/>
      </c>
      <c r="U847" s="17" t="n"/>
      <c r="V847" s="17" t="n"/>
      <c r="W847" s="24">
        <f>IF($D847="","",IF($E847="※编码不在物料档案里","※物料编码不在档案里",IF(N($J847)&lt;=0,"※出库数量要大于 0",IF($K847="","※没填去向类型",IF($L847="","※没填去向矿区",IF(AND($C847&lt;&gt;"",$C847&lt;=结账锁),"※日期早于已结账截止日，不能再录",IF(AND($K847="自用消耗",COUNTIF({"一矿区";"二矿区"},$L847)=0),"※自用消耗的去向只能是一矿区或二矿区",IF(AND($K847="对外销售",COUNTIF({"三矿区";"六矿区"},$L847)=0),"※对外销售的去向只能是三矿区或六矿区",IF(AND($K847="对外销售",ROUND($Q847,0)=0),"※外销却没有售价，请填实际售价",IF(AND($K847="对外销售",$T847&lt;&gt;"",$T847&lt;0),"※这一笔外销是亏的，请核对售价",IF(IFERROR(VLOOKUP($D847,库存台账!$A$5:$Y$1204,24,0),0)&lt;-0.001,"※这个物料账面已经变成负数了，查一下是不是漏记入库","")))))))))))</f>
        <v/>
      </c>
    </row>
    <row r="848">
      <c r="A848" s="24">
        <f>IF($D848="","",COUNTA($D$4:$D848))</f>
        <v/>
      </c>
      <c r="B848" s="17" t="n"/>
      <c r="C848" s="30" t="n"/>
      <c r="D848" s="17" t="n"/>
      <c r="E848" s="24">
        <f>IF($D848="","",IFERROR(VLOOKUP($D848,物料档案!$A$4:$P$1203,3,0),"※编码不在物料档案里"))</f>
        <v/>
      </c>
      <c r="F848" s="24">
        <f>IF($D848="","",IFERROR(VLOOKUP($D848,物料档案!$A$4:$P$1203,4,0),"※编码不在物料档案里"))</f>
        <v/>
      </c>
      <c r="G848" s="24">
        <f>IF($D848="","",IFERROR(VLOOKUP($D848,物料档案!$A$4:$P$1203,5,0),"※编码不在物料档案里"))</f>
        <v/>
      </c>
      <c r="H848" s="24">
        <f>IF($D848="","",IFERROR(VLOOKUP($D848,物料档案!$A$4:$P$1203,2,0),"※编码不在物料档案里"))</f>
        <v/>
      </c>
      <c r="I848" s="24">
        <f>IF($D848="","",IFERROR(VLOOKUP($D848,物料档案!$A$4:$P$1203,6,0),"※编码不在物料档案里"))</f>
        <v/>
      </c>
      <c r="J848" s="23" t="n"/>
      <c r="K848" s="17" t="n"/>
      <c r="L848" s="17" t="n"/>
      <c r="M848" s="17" t="n"/>
      <c r="N848" s="17" t="n"/>
      <c r="O848" s="26">
        <f>IF($D848="","",IFERROR(VLOOKUP($D848,物料档案!$A$4:$P$1203,10,0),0))</f>
        <v/>
      </c>
      <c r="P848" s="32" t="n"/>
      <c r="Q848" s="26">
        <f>IF($D848="","",IF($K848&lt;&gt;"对外销售",0,ROUND(N($J848)*IF($P848="",N($O848),N($P848)),0)))</f>
        <v/>
      </c>
      <c r="R848" s="26">
        <f>IF($D848="","",IFERROR(VLOOKUP($D848,库存台账!$A$5:$Y$1204,11,0),0))</f>
        <v/>
      </c>
      <c r="S848" s="26">
        <f>IF($D848="","",ROUND(N($J848)*N($R848),0))</f>
        <v/>
      </c>
      <c r="T848" s="26">
        <f>IF($D848="","",IF($K848&lt;&gt;"对外销售","",ROUND($Q848-$S848,0)))</f>
        <v/>
      </c>
      <c r="U848" s="17" t="n"/>
      <c r="V848" s="17" t="n"/>
      <c r="W848" s="24">
        <f>IF($D848="","",IF($E848="※编码不在物料档案里","※物料编码不在档案里",IF(N($J848)&lt;=0,"※出库数量要大于 0",IF($K848="","※没填去向类型",IF($L848="","※没填去向矿区",IF(AND($C848&lt;&gt;"",$C848&lt;=结账锁),"※日期早于已结账截止日，不能再录",IF(AND($K848="自用消耗",COUNTIF({"一矿区";"二矿区"},$L848)=0),"※自用消耗的去向只能是一矿区或二矿区",IF(AND($K848="对外销售",COUNTIF({"三矿区";"六矿区"},$L848)=0),"※对外销售的去向只能是三矿区或六矿区",IF(AND($K848="对外销售",ROUND($Q848,0)=0),"※外销却没有售价，请填实际售价",IF(AND($K848="对外销售",$T848&lt;&gt;"",$T848&lt;0),"※这一笔外销是亏的，请核对售价",IF(IFERROR(VLOOKUP($D848,库存台账!$A$5:$Y$1204,24,0),0)&lt;-0.001,"※这个物料账面已经变成负数了，查一下是不是漏记入库","")))))))))))</f>
        <v/>
      </c>
    </row>
    <row r="849">
      <c r="A849" s="24">
        <f>IF($D849="","",COUNTA($D$4:$D849))</f>
        <v/>
      </c>
      <c r="B849" s="17" t="n"/>
      <c r="C849" s="30" t="n"/>
      <c r="D849" s="17" t="n"/>
      <c r="E849" s="24">
        <f>IF($D849="","",IFERROR(VLOOKUP($D849,物料档案!$A$4:$P$1203,3,0),"※编码不在物料档案里"))</f>
        <v/>
      </c>
      <c r="F849" s="24">
        <f>IF($D849="","",IFERROR(VLOOKUP($D849,物料档案!$A$4:$P$1203,4,0),"※编码不在物料档案里"))</f>
        <v/>
      </c>
      <c r="G849" s="24">
        <f>IF($D849="","",IFERROR(VLOOKUP($D849,物料档案!$A$4:$P$1203,5,0),"※编码不在物料档案里"))</f>
        <v/>
      </c>
      <c r="H849" s="24">
        <f>IF($D849="","",IFERROR(VLOOKUP($D849,物料档案!$A$4:$P$1203,2,0),"※编码不在物料档案里"))</f>
        <v/>
      </c>
      <c r="I849" s="24">
        <f>IF($D849="","",IFERROR(VLOOKUP($D849,物料档案!$A$4:$P$1203,6,0),"※编码不在物料档案里"))</f>
        <v/>
      </c>
      <c r="J849" s="23" t="n"/>
      <c r="K849" s="17" t="n"/>
      <c r="L849" s="17" t="n"/>
      <c r="M849" s="17" t="n"/>
      <c r="N849" s="17" t="n"/>
      <c r="O849" s="26">
        <f>IF($D849="","",IFERROR(VLOOKUP($D849,物料档案!$A$4:$P$1203,10,0),0))</f>
        <v/>
      </c>
      <c r="P849" s="32" t="n"/>
      <c r="Q849" s="26">
        <f>IF($D849="","",IF($K849&lt;&gt;"对外销售",0,ROUND(N($J849)*IF($P849="",N($O849),N($P849)),0)))</f>
        <v/>
      </c>
      <c r="R849" s="26">
        <f>IF($D849="","",IFERROR(VLOOKUP($D849,库存台账!$A$5:$Y$1204,11,0),0))</f>
        <v/>
      </c>
      <c r="S849" s="26">
        <f>IF($D849="","",ROUND(N($J849)*N($R849),0))</f>
        <v/>
      </c>
      <c r="T849" s="26">
        <f>IF($D849="","",IF($K849&lt;&gt;"对外销售","",ROUND($Q849-$S849,0)))</f>
        <v/>
      </c>
      <c r="U849" s="17" t="n"/>
      <c r="V849" s="17" t="n"/>
      <c r="W849" s="24">
        <f>IF($D849="","",IF($E849="※编码不在物料档案里","※物料编码不在档案里",IF(N($J849)&lt;=0,"※出库数量要大于 0",IF($K849="","※没填去向类型",IF($L849="","※没填去向矿区",IF(AND($C849&lt;&gt;"",$C849&lt;=结账锁),"※日期早于已结账截止日，不能再录",IF(AND($K849="自用消耗",COUNTIF({"一矿区";"二矿区"},$L849)=0),"※自用消耗的去向只能是一矿区或二矿区",IF(AND($K849="对外销售",COUNTIF({"三矿区";"六矿区"},$L849)=0),"※对外销售的去向只能是三矿区或六矿区",IF(AND($K849="对外销售",ROUND($Q849,0)=0),"※外销却没有售价，请填实际售价",IF(AND($K849="对外销售",$T849&lt;&gt;"",$T849&lt;0),"※这一笔外销是亏的，请核对售价",IF(IFERROR(VLOOKUP($D849,库存台账!$A$5:$Y$1204,24,0),0)&lt;-0.001,"※这个物料账面已经变成负数了，查一下是不是漏记入库","")))))))))))</f>
        <v/>
      </c>
    </row>
    <row r="850">
      <c r="A850" s="24">
        <f>IF($D850="","",COUNTA($D$4:$D850))</f>
        <v/>
      </c>
      <c r="B850" s="17" t="n"/>
      <c r="C850" s="30" t="n"/>
      <c r="D850" s="17" t="n"/>
      <c r="E850" s="24">
        <f>IF($D850="","",IFERROR(VLOOKUP($D850,物料档案!$A$4:$P$1203,3,0),"※编码不在物料档案里"))</f>
        <v/>
      </c>
      <c r="F850" s="24">
        <f>IF($D850="","",IFERROR(VLOOKUP($D850,物料档案!$A$4:$P$1203,4,0),"※编码不在物料档案里"))</f>
        <v/>
      </c>
      <c r="G850" s="24">
        <f>IF($D850="","",IFERROR(VLOOKUP($D850,物料档案!$A$4:$P$1203,5,0),"※编码不在物料档案里"))</f>
        <v/>
      </c>
      <c r="H850" s="24">
        <f>IF($D850="","",IFERROR(VLOOKUP($D850,物料档案!$A$4:$P$1203,2,0),"※编码不在物料档案里"))</f>
        <v/>
      </c>
      <c r="I850" s="24">
        <f>IF($D850="","",IFERROR(VLOOKUP($D850,物料档案!$A$4:$P$1203,6,0),"※编码不在物料档案里"))</f>
        <v/>
      </c>
      <c r="J850" s="23" t="n"/>
      <c r="K850" s="17" t="n"/>
      <c r="L850" s="17" t="n"/>
      <c r="M850" s="17" t="n"/>
      <c r="N850" s="17" t="n"/>
      <c r="O850" s="26">
        <f>IF($D850="","",IFERROR(VLOOKUP($D850,物料档案!$A$4:$P$1203,10,0),0))</f>
        <v/>
      </c>
      <c r="P850" s="32" t="n"/>
      <c r="Q850" s="26">
        <f>IF($D850="","",IF($K850&lt;&gt;"对外销售",0,ROUND(N($J850)*IF($P850="",N($O850),N($P850)),0)))</f>
        <v/>
      </c>
      <c r="R850" s="26">
        <f>IF($D850="","",IFERROR(VLOOKUP($D850,库存台账!$A$5:$Y$1204,11,0),0))</f>
        <v/>
      </c>
      <c r="S850" s="26">
        <f>IF($D850="","",ROUND(N($J850)*N($R850),0))</f>
        <v/>
      </c>
      <c r="T850" s="26">
        <f>IF($D850="","",IF($K850&lt;&gt;"对外销售","",ROUND($Q850-$S850,0)))</f>
        <v/>
      </c>
      <c r="U850" s="17" t="n"/>
      <c r="V850" s="17" t="n"/>
      <c r="W850" s="24">
        <f>IF($D850="","",IF($E850="※编码不在物料档案里","※物料编码不在档案里",IF(N($J850)&lt;=0,"※出库数量要大于 0",IF($K850="","※没填去向类型",IF($L850="","※没填去向矿区",IF(AND($C850&lt;&gt;"",$C850&lt;=结账锁),"※日期早于已结账截止日，不能再录",IF(AND($K850="自用消耗",COUNTIF({"一矿区";"二矿区"},$L850)=0),"※自用消耗的去向只能是一矿区或二矿区",IF(AND($K850="对外销售",COUNTIF({"三矿区";"六矿区"},$L850)=0),"※对外销售的去向只能是三矿区或六矿区",IF(AND($K850="对外销售",ROUND($Q850,0)=0),"※外销却没有售价，请填实际售价",IF(AND($K850="对外销售",$T850&lt;&gt;"",$T850&lt;0),"※这一笔外销是亏的，请核对售价",IF(IFERROR(VLOOKUP($D850,库存台账!$A$5:$Y$1204,24,0),0)&lt;-0.001,"※这个物料账面已经变成负数了，查一下是不是漏记入库","")))))))))))</f>
        <v/>
      </c>
    </row>
    <row r="851">
      <c r="A851" s="24">
        <f>IF($D851="","",COUNTA($D$4:$D851))</f>
        <v/>
      </c>
      <c r="B851" s="17" t="n"/>
      <c r="C851" s="30" t="n"/>
      <c r="D851" s="17" t="n"/>
      <c r="E851" s="24">
        <f>IF($D851="","",IFERROR(VLOOKUP($D851,物料档案!$A$4:$P$1203,3,0),"※编码不在物料档案里"))</f>
        <v/>
      </c>
      <c r="F851" s="24">
        <f>IF($D851="","",IFERROR(VLOOKUP($D851,物料档案!$A$4:$P$1203,4,0),"※编码不在物料档案里"))</f>
        <v/>
      </c>
      <c r="G851" s="24">
        <f>IF($D851="","",IFERROR(VLOOKUP($D851,物料档案!$A$4:$P$1203,5,0),"※编码不在物料档案里"))</f>
        <v/>
      </c>
      <c r="H851" s="24">
        <f>IF($D851="","",IFERROR(VLOOKUP($D851,物料档案!$A$4:$P$1203,2,0),"※编码不在物料档案里"))</f>
        <v/>
      </c>
      <c r="I851" s="24">
        <f>IF($D851="","",IFERROR(VLOOKUP($D851,物料档案!$A$4:$P$1203,6,0),"※编码不在物料档案里"))</f>
        <v/>
      </c>
      <c r="J851" s="23" t="n"/>
      <c r="K851" s="17" t="n"/>
      <c r="L851" s="17" t="n"/>
      <c r="M851" s="17" t="n"/>
      <c r="N851" s="17" t="n"/>
      <c r="O851" s="26">
        <f>IF($D851="","",IFERROR(VLOOKUP($D851,物料档案!$A$4:$P$1203,10,0),0))</f>
        <v/>
      </c>
      <c r="P851" s="32" t="n"/>
      <c r="Q851" s="26">
        <f>IF($D851="","",IF($K851&lt;&gt;"对外销售",0,ROUND(N($J851)*IF($P851="",N($O851),N($P851)),0)))</f>
        <v/>
      </c>
      <c r="R851" s="26">
        <f>IF($D851="","",IFERROR(VLOOKUP($D851,库存台账!$A$5:$Y$1204,11,0),0))</f>
        <v/>
      </c>
      <c r="S851" s="26">
        <f>IF($D851="","",ROUND(N($J851)*N($R851),0))</f>
        <v/>
      </c>
      <c r="T851" s="26">
        <f>IF($D851="","",IF($K851&lt;&gt;"对外销售","",ROUND($Q851-$S851,0)))</f>
        <v/>
      </c>
      <c r="U851" s="17" t="n"/>
      <c r="V851" s="17" t="n"/>
      <c r="W851" s="24">
        <f>IF($D851="","",IF($E851="※编码不在物料档案里","※物料编码不在档案里",IF(N($J851)&lt;=0,"※出库数量要大于 0",IF($K851="","※没填去向类型",IF($L851="","※没填去向矿区",IF(AND($C851&lt;&gt;"",$C851&lt;=结账锁),"※日期早于已结账截止日，不能再录",IF(AND($K851="自用消耗",COUNTIF({"一矿区";"二矿区"},$L851)=0),"※自用消耗的去向只能是一矿区或二矿区",IF(AND($K851="对外销售",COUNTIF({"三矿区";"六矿区"},$L851)=0),"※对外销售的去向只能是三矿区或六矿区",IF(AND($K851="对外销售",ROUND($Q851,0)=0),"※外销却没有售价，请填实际售价",IF(AND($K851="对外销售",$T851&lt;&gt;"",$T851&lt;0),"※这一笔外销是亏的，请核对售价",IF(IFERROR(VLOOKUP($D851,库存台账!$A$5:$Y$1204,24,0),0)&lt;-0.001,"※这个物料账面已经变成负数了，查一下是不是漏记入库","")))))))))))</f>
        <v/>
      </c>
    </row>
    <row r="852">
      <c r="A852" s="24">
        <f>IF($D852="","",COUNTA($D$4:$D852))</f>
        <v/>
      </c>
      <c r="B852" s="17" t="n"/>
      <c r="C852" s="30" t="n"/>
      <c r="D852" s="17" t="n"/>
      <c r="E852" s="24">
        <f>IF($D852="","",IFERROR(VLOOKUP($D852,物料档案!$A$4:$P$1203,3,0),"※编码不在物料档案里"))</f>
        <v/>
      </c>
      <c r="F852" s="24">
        <f>IF($D852="","",IFERROR(VLOOKUP($D852,物料档案!$A$4:$P$1203,4,0),"※编码不在物料档案里"))</f>
        <v/>
      </c>
      <c r="G852" s="24">
        <f>IF($D852="","",IFERROR(VLOOKUP($D852,物料档案!$A$4:$P$1203,5,0),"※编码不在物料档案里"))</f>
        <v/>
      </c>
      <c r="H852" s="24">
        <f>IF($D852="","",IFERROR(VLOOKUP($D852,物料档案!$A$4:$P$1203,2,0),"※编码不在物料档案里"))</f>
        <v/>
      </c>
      <c r="I852" s="24">
        <f>IF($D852="","",IFERROR(VLOOKUP($D852,物料档案!$A$4:$P$1203,6,0),"※编码不在物料档案里"))</f>
        <v/>
      </c>
      <c r="J852" s="23" t="n"/>
      <c r="K852" s="17" t="n"/>
      <c r="L852" s="17" t="n"/>
      <c r="M852" s="17" t="n"/>
      <c r="N852" s="17" t="n"/>
      <c r="O852" s="26">
        <f>IF($D852="","",IFERROR(VLOOKUP($D852,物料档案!$A$4:$P$1203,10,0),0))</f>
        <v/>
      </c>
      <c r="P852" s="32" t="n"/>
      <c r="Q852" s="26">
        <f>IF($D852="","",IF($K852&lt;&gt;"对外销售",0,ROUND(N($J852)*IF($P852="",N($O852),N($P852)),0)))</f>
        <v/>
      </c>
      <c r="R852" s="26">
        <f>IF($D852="","",IFERROR(VLOOKUP($D852,库存台账!$A$5:$Y$1204,11,0),0))</f>
        <v/>
      </c>
      <c r="S852" s="26">
        <f>IF($D852="","",ROUND(N($J852)*N($R852),0))</f>
        <v/>
      </c>
      <c r="T852" s="26">
        <f>IF($D852="","",IF($K852&lt;&gt;"对外销售","",ROUND($Q852-$S852,0)))</f>
        <v/>
      </c>
      <c r="U852" s="17" t="n"/>
      <c r="V852" s="17" t="n"/>
      <c r="W852" s="24">
        <f>IF($D852="","",IF($E852="※编码不在物料档案里","※物料编码不在档案里",IF(N($J852)&lt;=0,"※出库数量要大于 0",IF($K852="","※没填去向类型",IF($L852="","※没填去向矿区",IF(AND($C852&lt;&gt;"",$C852&lt;=结账锁),"※日期早于已结账截止日，不能再录",IF(AND($K852="自用消耗",COUNTIF({"一矿区";"二矿区"},$L852)=0),"※自用消耗的去向只能是一矿区或二矿区",IF(AND($K852="对外销售",COUNTIF({"三矿区";"六矿区"},$L852)=0),"※对外销售的去向只能是三矿区或六矿区",IF(AND($K852="对外销售",ROUND($Q852,0)=0),"※外销却没有售价，请填实际售价",IF(AND($K852="对外销售",$T852&lt;&gt;"",$T852&lt;0),"※这一笔外销是亏的，请核对售价",IF(IFERROR(VLOOKUP($D852,库存台账!$A$5:$Y$1204,24,0),0)&lt;-0.001,"※这个物料账面已经变成负数了，查一下是不是漏记入库","")))))))))))</f>
        <v/>
      </c>
    </row>
    <row r="853">
      <c r="A853" s="24">
        <f>IF($D853="","",COUNTA($D$4:$D853))</f>
        <v/>
      </c>
      <c r="B853" s="17" t="n"/>
      <c r="C853" s="30" t="n"/>
      <c r="D853" s="17" t="n"/>
      <c r="E853" s="24">
        <f>IF($D853="","",IFERROR(VLOOKUP($D853,物料档案!$A$4:$P$1203,3,0),"※编码不在物料档案里"))</f>
        <v/>
      </c>
      <c r="F853" s="24">
        <f>IF($D853="","",IFERROR(VLOOKUP($D853,物料档案!$A$4:$P$1203,4,0),"※编码不在物料档案里"))</f>
        <v/>
      </c>
      <c r="G853" s="24">
        <f>IF($D853="","",IFERROR(VLOOKUP($D853,物料档案!$A$4:$P$1203,5,0),"※编码不在物料档案里"))</f>
        <v/>
      </c>
      <c r="H853" s="24">
        <f>IF($D853="","",IFERROR(VLOOKUP($D853,物料档案!$A$4:$P$1203,2,0),"※编码不在物料档案里"))</f>
        <v/>
      </c>
      <c r="I853" s="24">
        <f>IF($D853="","",IFERROR(VLOOKUP($D853,物料档案!$A$4:$P$1203,6,0),"※编码不在物料档案里"))</f>
        <v/>
      </c>
      <c r="J853" s="23" t="n"/>
      <c r="K853" s="17" t="n"/>
      <c r="L853" s="17" t="n"/>
      <c r="M853" s="17" t="n"/>
      <c r="N853" s="17" t="n"/>
      <c r="O853" s="26">
        <f>IF($D853="","",IFERROR(VLOOKUP($D853,物料档案!$A$4:$P$1203,10,0),0))</f>
        <v/>
      </c>
      <c r="P853" s="32" t="n"/>
      <c r="Q853" s="26">
        <f>IF($D853="","",IF($K853&lt;&gt;"对外销售",0,ROUND(N($J853)*IF($P853="",N($O853),N($P853)),0)))</f>
        <v/>
      </c>
      <c r="R853" s="26">
        <f>IF($D853="","",IFERROR(VLOOKUP($D853,库存台账!$A$5:$Y$1204,11,0),0))</f>
        <v/>
      </c>
      <c r="S853" s="26">
        <f>IF($D853="","",ROUND(N($J853)*N($R853),0))</f>
        <v/>
      </c>
      <c r="T853" s="26">
        <f>IF($D853="","",IF($K853&lt;&gt;"对外销售","",ROUND($Q853-$S853,0)))</f>
        <v/>
      </c>
      <c r="U853" s="17" t="n"/>
      <c r="V853" s="17" t="n"/>
      <c r="W853" s="24">
        <f>IF($D853="","",IF($E853="※编码不在物料档案里","※物料编码不在档案里",IF(N($J853)&lt;=0,"※出库数量要大于 0",IF($K853="","※没填去向类型",IF($L853="","※没填去向矿区",IF(AND($C853&lt;&gt;"",$C853&lt;=结账锁),"※日期早于已结账截止日，不能再录",IF(AND($K853="自用消耗",COUNTIF({"一矿区";"二矿区"},$L853)=0),"※自用消耗的去向只能是一矿区或二矿区",IF(AND($K853="对外销售",COUNTIF({"三矿区";"六矿区"},$L853)=0),"※对外销售的去向只能是三矿区或六矿区",IF(AND($K853="对外销售",ROUND($Q853,0)=0),"※外销却没有售价，请填实际售价",IF(AND($K853="对外销售",$T853&lt;&gt;"",$T853&lt;0),"※这一笔外销是亏的，请核对售价",IF(IFERROR(VLOOKUP($D853,库存台账!$A$5:$Y$1204,24,0),0)&lt;-0.001,"※这个物料账面已经变成负数了，查一下是不是漏记入库","")))))))))))</f>
        <v/>
      </c>
    </row>
    <row r="854">
      <c r="A854" s="24">
        <f>IF($D854="","",COUNTA($D$4:$D854))</f>
        <v/>
      </c>
      <c r="B854" s="17" t="n"/>
      <c r="C854" s="30" t="n"/>
      <c r="D854" s="17" t="n"/>
      <c r="E854" s="24">
        <f>IF($D854="","",IFERROR(VLOOKUP($D854,物料档案!$A$4:$P$1203,3,0),"※编码不在物料档案里"))</f>
        <v/>
      </c>
      <c r="F854" s="24">
        <f>IF($D854="","",IFERROR(VLOOKUP($D854,物料档案!$A$4:$P$1203,4,0),"※编码不在物料档案里"))</f>
        <v/>
      </c>
      <c r="G854" s="24">
        <f>IF($D854="","",IFERROR(VLOOKUP($D854,物料档案!$A$4:$P$1203,5,0),"※编码不在物料档案里"))</f>
        <v/>
      </c>
      <c r="H854" s="24">
        <f>IF($D854="","",IFERROR(VLOOKUP($D854,物料档案!$A$4:$P$1203,2,0),"※编码不在物料档案里"))</f>
        <v/>
      </c>
      <c r="I854" s="24">
        <f>IF($D854="","",IFERROR(VLOOKUP($D854,物料档案!$A$4:$P$1203,6,0),"※编码不在物料档案里"))</f>
        <v/>
      </c>
      <c r="J854" s="23" t="n"/>
      <c r="K854" s="17" t="n"/>
      <c r="L854" s="17" t="n"/>
      <c r="M854" s="17" t="n"/>
      <c r="N854" s="17" t="n"/>
      <c r="O854" s="26">
        <f>IF($D854="","",IFERROR(VLOOKUP($D854,物料档案!$A$4:$P$1203,10,0),0))</f>
        <v/>
      </c>
      <c r="P854" s="32" t="n"/>
      <c r="Q854" s="26">
        <f>IF($D854="","",IF($K854&lt;&gt;"对外销售",0,ROUND(N($J854)*IF($P854="",N($O854),N($P854)),0)))</f>
        <v/>
      </c>
      <c r="R854" s="26">
        <f>IF($D854="","",IFERROR(VLOOKUP($D854,库存台账!$A$5:$Y$1204,11,0),0))</f>
        <v/>
      </c>
      <c r="S854" s="26">
        <f>IF($D854="","",ROUND(N($J854)*N($R854),0))</f>
        <v/>
      </c>
      <c r="T854" s="26">
        <f>IF($D854="","",IF($K854&lt;&gt;"对外销售","",ROUND($Q854-$S854,0)))</f>
        <v/>
      </c>
      <c r="U854" s="17" t="n"/>
      <c r="V854" s="17" t="n"/>
      <c r="W854" s="24">
        <f>IF($D854="","",IF($E854="※编码不在物料档案里","※物料编码不在档案里",IF(N($J854)&lt;=0,"※出库数量要大于 0",IF($K854="","※没填去向类型",IF($L854="","※没填去向矿区",IF(AND($C854&lt;&gt;"",$C854&lt;=结账锁),"※日期早于已结账截止日，不能再录",IF(AND($K854="自用消耗",COUNTIF({"一矿区";"二矿区"},$L854)=0),"※自用消耗的去向只能是一矿区或二矿区",IF(AND($K854="对外销售",COUNTIF({"三矿区";"六矿区"},$L854)=0),"※对外销售的去向只能是三矿区或六矿区",IF(AND($K854="对外销售",ROUND($Q854,0)=0),"※外销却没有售价，请填实际售价",IF(AND($K854="对外销售",$T854&lt;&gt;"",$T854&lt;0),"※这一笔外销是亏的，请核对售价",IF(IFERROR(VLOOKUP($D854,库存台账!$A$5:$Y$1204,24,0),0)&lt;-0.001,"※这个物料账面已经变成负数了，查一下是不是漏记入库","")))))))))))</f>
        <v/>
      </c>
    </row>
    <row r="855">
      <c r="A855" s="24">
        <f>IF($D855="","",COUNTA($D$4:$D855))</f>
        <v/>
      </c>
      <c r="B855" s="17" t="n"/>
      <c r="C855" s="30" t="n"/>
      <c r="D855" s="17" t="n"/>
      <c r="E855" s="24">
        <f>IF($D855="","",IFERROR(VLOOKUP($D855,物料档案!$A$4:$P$1203,3,0),"※编码不在物料档案里"))</f>
        <v/>
      </c>
      <c r="F855" s="24">
        <f>IF($D855="","",IFERROR(VLOOKUP($D855,物料档案!$A$4:$P$1203,4,0),"※编码不在物料档案里"))</f>
        <v/>
      </c>
      <c r="G855" s="24">
        <f>IF($D855="","",IFERROR(VLOOKUP($D855,物料档案!$A$4:$P$1203,5,0),"※编码不在物料档案里"))</f>
        <v/>
      </c>
      <c r="H855" s="24">
        <f>IF($D855="","",IFERROR(VLOOKUP($D855,物料档案!$A$4:$P$1203,2,0),"※编码不在物料档案里"))</f>
        <v/>
      </c>
      <c r="I855" s="24">
        <f>IF($D855="","",IFERROR(VLOOKUP($D855,物料档案!$A$4:$P$1203,6,0),"※编码不在物料档案里"))</f>
        <v/>
      </c>
      <c r="J855" s="23" t="n"/>
      <c r="K855" s="17" t="n"/>
      <c r="L855" s="17" t="n"/>
      <c r="M855" s="17" t="n"/>
      <c r="N855" s="17" t="n"/>
      <c r="O855" s="26">
        <f>IF($D855="","",IFERROR(VLOOKUP($D855,物料档案!$A$4:$P$1203,10,0),0))</f>
        <v/>
      </c>
      <c r="P855" s="32" t="n"/>
      <c r="Q855" s="26">
        <f>IF($D855="","",IF($K855&lt;&gt;"对外销售",0,ROUND(N($J855)*IF($P855="",N($O855),N($P855)),0)))</f>
        <v/>
      </c>
      <c r="R855" s="26">
        <f>IF($D855="","",IFERROR(VLOOKUP($D855,库存台账!$A$5:$Y$1204,11,0),0))</f>
        <v/>
      </c>
      <c r="S855" s="26">
        <f>IF($D855="","",ROUND(N($J855)*N($R855),0))</f>
        <v/>
      </c>
      <c r="T855" s="26">
        <f>IF($D855="","",IF($K855&lt;&gt;"对外销售","",ROUND($Q855-$S855,0)))</f>
        <v/>
      </c>
      <c r="U855" s="17" t="n"/>
      <c r="V855" s="17" t="n"/>
      <c r="W855" s="24">
        <f>IF($D855="","",IF($E855="※编码不在物料档案里","※物料编码不在档案里",IF(N($J855)&lt;=0,"※出库数量要大于 0",IF($K855="","※没填去向类型",IF($L855="","※没填去向矿区",IF(AND($C855&lt;&gt;"",$C855&lt;=结账锁),"※日期早于已结账截止日，不能再录",IF(AND($K855="自用消耗",COUNTIF({"一矿区";"二矿区"},$L855)=0),"※自用消耗的去向只能是一矿区或二矿区",IF(AND($K855="对外销售",COUNTIF({"三矿区";"六矿区"},$L855)=0),"※对外销售的去向只能是三矿区或六矿区",IF(AND($K855="对外销售",ROUND($Q855,0)=0),"※外销却没有售价，请填实际售价",IF(AND($K855="对外销售",$T855&lt;&gt;"",$T855&lt;0),"※这一笔外销是亏的，请核对售价",IF(IFERROR(VLOOKUP($D855,库存台账!$A$5:$Y$1204,24,0),0)&lt;-0.001,"※这个物料账面已经变成负数了，查一下是不是漏记入库","")))))))))))</f>
        <v/>
      </c>
    </row>
    <row r="856">
      <c r="A856" s="24">
        <f>IF($D856="","",COUNTA($D$4:$D856))</f>
        <v/>
      </c>
      <c r="B856" s="17" t="n"/>
      <c r="C856" s="30" t="n"/>
      <c r="D856" s="17" t="n"/>
      <c r="E856" s="24">
        <f>IF($D856="","",IFERROR(VLOOKUP($D856,物料档案!$A$4:$P$1203,3,0),"※编码不在物料档案里"))</f>
        <v/>
      </c>
      <c r="F856" s="24">
        <f>IF($D856="","",IFERROR(VLOOKUP($D856,物料档案!$A$4:$P$1203,4,0),"※编码不在物料档案里"))</f>
        <v/>
      </c>
      <c r="G856" s="24">
        <f>IF($D856="","",IFERROR(VLOOKUP($D856,物料档案!$A$4:$P$1203,5,0),"※编码不在物料档案里"))</f>
        <v/>
      </c>
      <c r="H856" s="24">
        <f>IF($D856="","",IFERROR(VLOOKUP($D856,物料档案!$A$4:$P$1203,2,0),"※编码不在物料档案里"))</f>
        <v/>
      </c>
      <c r="I856" s="24">
        <f>IF($D856="","",IFERROR(VLOOKUP($D856,物料档案!$A$4:$P$1203,6,0),"※编码不在物料档案里"))</f>
        <v/>
      </c>
      <c r="J856" s="23" t="n"/>
      <c r="K856" s="17" t="n"/>
      <c r="L856" s="17" t="n"/>
      <c r="M856" s="17" t="n"/>
      <c r="N856" s="17" t="n"/>
      <c r="O856" s="26">
        <f>IF($D856="","",IFERROR(VLOOKUP($D856,物料档案!$A$4:$P$1203,10,0),0))</f>
        <v/>
      </c>
      <c r="P856" s="32" t="n"/>
      <c r="Q856" s="26">
        <f>IF($D856="","",IF($K856&lt;&gt;"对外销售",0,ROUND(N($J856)*IF($P856="",N($O856),N($P856)),0)))</f>
        <v/>
      </c>
      <c r="R856" s="26">
        <f>IF($D856="","",IFERROR(VLOOKUP($D856,库存台账!$A$5:$Y$1204,11,0),0))</f>
        <v/>
      </c>
      <c r="S856" s="26">
        <f>IF($D856="","",ROUND(N($J856)*N($R856),0))</f>
        <v/>
      </c>
      <c r="T856" s="26">
        <f>IF($D856="","",IF($K856&lt;&gt;"对外销售","",ROUND($Q856-$S856,0)))</f>
        <v/>
      </c>
      <c r="U856" s="17" t="n"/>
      <c r="V856" s="17" t="n"/>
      <c r="W856" s="24">
        <f>IF($D856="","",IF($E856="※编码不在物料档案里","※物料编码不在档案里",IF(N($J856)&lt;=0,"※出库数量要大于 0",IF($K856="","※没填去向类型",IF($L856="","※没填去向矿区",IF(AND($C856&lt;&gt;"",$C856&lt;=结账锁),"※日期早于已结账截止日，不能再录",IF(AND($K856="自用消耗",COUNTIF({"一矿区";"二矿区"},$L856)=0),"※自用消耗的去向只能是一矿区或二矿区",IF(AND($K856="对外销售",COUNTIF({"三矿区";"六矿区"},$L856)=0),"※对外销售的去向只能是三矿区或六矿区",IF(AND($K856="对外销售",ROUND($Q856,0)=0),"※外销却没有售价，请填实际售价",IF(AND($K856="对外销售",$T856&lt;&gt;"",$T856&lt;0),"※这一笔外销是亏的，请核对售价",IF(IFERROR(VLOOKUP($D856,库存台账!$A$5:$Y$1204,24,0),0)&lt;-0.001,"※这个物料账面已经变成负数了，查一下是不是漏记入库","")))))))))))</f>
        <v/>
      </c>
    </row>
    <row r="857">
      <c r="A857" s="24">
        <f>IF($D857="","",COUNTA($D$4:$D857))</f>
        <v/>
      </c>
      <c r="B857" s="17" t="n"/>
      <c r="C857" s="30" t="n"/>
      <c r="D857" s="17" t="n"/>
      <c r="E857" s="24">
        <f>IF($D857="","",IFERROR(VLOOKUP($D857,物料档案!$A$4:$P$1203,3,0),"※编码不在物料档案里"))</f>
        <v/>
      </c>
      <c r="F857" s="24">
        <f>IF($D857="","",IFERROR(VLOOKUP($D857,物料档案!$A$4:$P$1203,4,0),"※编码不在物料档案里"))</f>
        <v/>
      </c>
      <c r="G857" s="24">
        <f>IF($D857="","",IFERROR(VLOOKUP($D857,物料档案!$A$4:$P$1203,5,0),"※编码不在物料档案里"))</f>
        <v/>
      </c>
      <c r="H857" s="24">
        <f>IF($D857="","",IFERROR(VLOOKUP($D857,物料档案!$A$4:$P$1203,2,0),"※编码不在物料档案里"))</f>
        <v/>
      </c>
      <c r="I857" s="24">
        <f>IF($D857="","",IFERROR(VLOOKUP($D857,物料档案!$A$4:$P$1203,6,0),"※编码不在物料档案里"))</f>
        <v/>
      </c>
      <c r="J857" s="23" t="n"/>
      <c r="K857" s="17" t="n"/>
      <c r="L857" s="17" t="n"/>
      <c r="M857" s="17" t="n"/>
      <c r="N857" s="17" t="n"/>
      <c r="O857" s="26">
        <f>IF($D857="","",IFERROR(VLOOKUP($D857,物料档案!$A$4:$P$1203,10,0),0))</f>
        <v/>
      </c>
      <c r="P857" s="32" t="n"/>
      <c r="Q857" s="26">
        <f>IF($D857="","",IF($K857&lt;&gt;"对外销售",0,ROUND(N($J857)*IF($P857="",N($O857),N($P857)),0)))</f>
        <v/>
      </c>
      <c r="R857" s="26">
        <f>IF($D857="","",IFERROR(VLOOKUP($D857,库存台账!$A$5:$Y$1204,11,0),0))</f>
        <v/>
      </c>
      <c r="S857" s="26">
        <f>IF($D857="","",ROUND(N($J857)*N($R857),0))</f>
        <v/>
      </c>
      <c r="T857" s="26">
        <f>IF($D857="","",IF($K857&lt;&gt;"对外销售","",ROUND($Q857-$S857,0)))</f>
        <v/>
      </c>
      <c r="U857" s="17" t="n"/>
      <c r="V857" s="17" t="n"/>
      <c r="W857" s="24">
        <f>IF($D857="","",IF($E857="※编码不在物料档案里","※物料编码不在档案里",IF(N($J857)&lt;=0,"※出库数量要大于 0",IF($K857="","※没填去向类型",IF($L857="","※没填去向矿区",IF(AND($C857&lt;&gt;"",$C857&lt;=结账锁),"※日期早于已结账截止日，不能再录",IF(AND($K857="自用消耗",COUNTIF({"一矿区";"二矿区"},$L857)=0),"※自用消耗的去向只能是一矿区或二矿区",IF(AND($K857="对外销售",COUNTIF({"三矿区";"六矿区"},$L857)=0),"※对外销售的去向只能是三矿区或六矿区",IF(AND($K857="对外销售",ROUND($Q857,0)=0),"※外销却没有售价，请填实际售价",IF(AND($K857="对外销售",$T857&lt;&gt;"",$T857&lt;0),"※这一笔外销是亏的，请核对售价",IF(IFERROR(VLOOKUP($D857,库存台账!$A$5:$Y$1204,24,0),0)&lt;-0.001,"※这个物料账面已经变成负数了，查一下是不是漏记入库","")))))))))))</f>
        <v/>
      </c>
    </row>
    <row r="858">
      <c r="A858" s="24">
        <f>IF($D858="","",COUNTA($D$4:$D858))</f>
        <v/>
      </c>
      <c r="B858" s="17" t="n"/>
      <c r="C858" s="30" t="n"/>
      <c r="D858" s="17" t="n"/>
      <c r="E858" s="24">
        <f>IF($D858="","",IFERROR(VLOOKUP($D858,物料档案!$A$4:$P$1203,3,0),"※编码不在物料档案里"))</f>
        <v/>
      </c>
      <c r="F858" s="24">
        <f>IF($D858="","",IFERROR(VLOOKUP($D858,物料档案!$A$4:$P$1203,4,0),"※编码不在物料档案里"))</f>
        <v/>
      </c>
      <c r="G858" s="24">
        <f>IF($D858="","",IFERROR(VLOOKUP($D858,物料档案!$A$4:$P$1203,5,0),"※编码不在物料档案里"))</f>
        <v/>
      </c>
      <c r="H858" s="24">
        <f>IF($D858="","",IFERROR(VLOOKUP($D858,物料档案!$A$4:$P$1203,2,0),"※编码不在物料档案里"))</f>
        <v/>
      </c>
      <c r="I858" s="24">
        <f>IF($D858="","",IFERROR(VLOOKUP($D858,物料档案!$A$4:$P$1203,6,0),"※编码不在物料档案里"))</f>
        <v/>
      </c>
      <c r="J858" s="23" t="n"/>
      <c r="K858" s="17" t="n"/>
      <c r="L858" s="17" t="n"/>
      <c r="M858" s="17" t="n"/>
      <c r="N858" s="17" t="n"/>
      <c r="O858" s="26">
        <f>IF($D858="","",IFERROR(VLOOKUP($D858,物料档案!$A$4:$P$1203,10,0),0))</f>
        <v/>
      </c>
      <c r="P858" s="32" t="n"/>
      <c r="Q858" s="26">
        <f>IF($D858="","",IF($K858&lt;&gt;"对外销售",0,ROUND(N($J858)*IF($P858="",N($O858),N($P858)),0)))</f>
        <v/>
      </c>
      <c r="R858" s="26">
        <f>IF($D858="","",IFERROR(VLOOKUP($D858,库存台账!$A$5:$Y$1204,11,0),0))</f>
        <v/>
      </c>
      <c r="S858" s="26">
        <f>IF($D858="","",ROUND(N($J858)*N($R858),0))</f>
        <v/>
      </c>
      <c r="T858" s="26">
        <f>IF($D858="","",IF($K858&lt;&gt;"对外销售","",ROUND($Q858-$S858,0)))</f>
        <v/>
      </c>
      <c r="U858" s="17" t="n"/>
      <c r="V858" s="17" t="n"/>
      <c r="W858" s="24">
        <f>IF($D858="","",IF($E858="※编码不在物料档案里","※物料编码不在档案里",IF(N($J858)&lt;=0,"※出库数量要大于 0",IF($K858="","※没填去向类型",IF($L858="","※没填去向矿区",IF(AND($C858&lt;&gt;"",$C858&lt;=结账锁),"※日期早于已结账截止日，不能再录",IF(AND($K858="自用消耗",COUNTIF({"一矿区";"二矿区"},$L858)=0),"※自用消耗的去向只能是一矿区或二矿区",IF(AND($K858="对外销售",COUNTIF({"三矿区";"六矿区"},$L858)=0),"※对外销售的去向只能是三矿区或六矿区",IF(AND($K858="对外销售",ROUND($Q858,0)=0),"※外销却没有售价，请填实际售价",IF(AND($K858="对外销售",$T858&lt;&gt;"",$T858&lt;0),"※这一笔外销是亏的，请核对售价",IF(IFERROR(VLOOKUP($D858,库存台账!$A$5:$Y$1204,24,0),0)&lt;-0.001,"※这个物料账面已经变成负数了，查一下是不是漏记入库","")))))))))))</f>
        <v/>
      </c>
    </row>
    <row r="859">
      <c r="A859" s="24">
        <f>IF($D859="","",COUNTA($D$4:$D859))</f>
        <v/>
      </c>
      <c r="B859" s="17" t="n"/>
      <c r="C859" s="30" t="n"/>
      <c r="D859" s="17" t="n"/>
      <c r="E859" s="24">
        <f>IF($D859="","",IFERROR(VLOOKUP($D859,物料档案!$A$4:$P$1203,3,0),"※编码不在物料档案里"))</f>
        <v/>
      </c>
      <c r="F859" s="24">
        <f>IF($D859="","",IFERROR(VLOOKUP($D859,物料档案!$A$4:$P$1203,4,0),"※编码不在物料档案里"))</f>
        <v/>
      </c>
      <c r="G859" s="24">
        <f>IF($D859="","",IFERROR(VLOOKUP($D859,物料档案!$A$4:$P$1203,5,0),"※编码不在物料档案里"))</f>
        <v/>
      </c>
      <c r="H859" s="24">
        <f>IF($D859="","",IFERROR(VLOOKUP($D859,物料档案!$A$4:$P$1203,2,0),"※编码不在物料档案里"))</f>
        <v/>
      </c>
      <c r="I859" s="24">
        <f>IF($D859="","",IFERROR(VLOOKUP($D859,物料档案!$A$4:$P$1203,6,0),"※编码不在物料档案里"))</f>
        <v/>
      </c>
      <c r="J859" s="23" t="n"/>
      <c r="K859" s="17" t="n"/>
      <c r="L859" s="17" t="n"/>
      <c r="M859" s="17" t="n"/>
      <c r="N859" s="17" t="n"/>
      <c r="O859" s="26">
        <f>IF($D859="","",IFERROR(VLOOKUP($D859,物料档案!$A$4:$P$1203,10,0),0))</f>
        <v/>
      </c>
      <c r="P859" s="32" t="n"/>
      <c r="Q859" s="26">
        <f>IF($D859="","",IF($K859&lt;&gt;"对外销售",0,ROUND(N($J859)*IF($P859="",N($O859),N($P859)),0)))</f>
        <v/>
      </c>
      <c r="R859" s="26">
        <f>IF($D859="","",IFERROR(VLOOKUP($D859,库存台账!$A$5:$Y$1204,11,0),0))</f>
        <v/>
      </c>
      <c r="S859" s="26">
        <f>IF($D859="","",ROUND(N($J859)*N($R859),0))</f>
        <v/>
      </c>
      <c r="T859" s="26">
        <f>IF($D859="","",IF($K859&lt;&gt;"对外销售","",ROUND($Q859-$S859,0)))</f>
        <v/>
      </c>
      <c r="U859" s="17" t="n"/>
      <c r="V859" s="17" t="n"/>
      <c r="W859" s="24">
        <f>IF($D859="","",IF($E859="※编码不在物料档案里","※物料编码不在档案里",IF(N($J859)&lt;=0,"※出库数量要大于 0",IF($K859="","※没填去向类型",IF($L859="","※没填去向矿区",IF(AND($C859&lt;&gt;"",$C859&lt;=结账锁),"※日期早于已结账截止日，不能再录",IF(AND($K859="自用消耗",COUNTIF({"一矿区";"二矿区"},$L859)=0),"※自用消耗的去向只能是一矿区或二矿区",IF(AND($K859="对外销售",COUNTIF({"三矿区";"六矿区"},$L859)=0),"※对外销售的去向只能是三矿区或六矿区",IF(AND($K859="对外销售",ROUND($Q859,0)=0),"※外销却没有售价，请填实际售价",IF(AND($K859="对外销售",$T859&lt;&gt;"",$T859&lt;0),"※这一笔外销是亏的，请核对售价",IF(IFERROR(VLOOKUP($D859,库存台账!$A$5:$Y$1204,24,0),0)&lt;-0.001,"※这个物料账面已经变成负数了，查一下是不是漏记入库","")))))))))))</f>
        <v/>
      </c>
    </row>
    <row r="860">
      <c r="A860" s="24">
        <f>IF($D860="","",COUNTA($D$4:$D860))</f>
        <v/>
      </c>
      <c r="B860" s="17" t="n"/>
      <c r="C860" s="30" t="n"/>
      <c r="D860" s="17" t="n"/>
      <c r="E860" s="24">
        <f>IF($D860="","",IFERROR(VLOOKUP($D860,物料档案!$A$4:$P$1203,3,0),"※编码不在物料档案里"))</f>
        <v/>
      </c>
      <c r="F860" s="24">
        <f>IF($D860="","",IFERROR(VLOOKUP($D860,物料档案!$A$4:$P$1203,4,0),"※编码不在物料档案里"))</f>
        <v/>
      </c>
      <c r="G860" s="24">
        <f>IF($D860="","",IFERROR(VLOOKUP($D860,物料档案!$A$4:$P$1203,5,0),"※编码不在物料档案里"))</f>
        <v/>
      </c>
      <c r="H860" s="24">
        <f>IF($D860="","",IFERROR(VLOOKUP($D860,物料档案!$A$4:$P$1203,2,0),"※编码不在物料档案里"))</f>
        <v/>
      </c>
      <c r="I860" s="24">
        <f>IF($D860="","",IFERROR(VLOOKUP($D860,物料档案!$A$4:$P$1203,6,0),"※编码不在物料档案里"))</f>
        <v/>
      </c>
      <c r="J860" s="23" t="n"/>
      <c r="K860" s="17" t="n"/>
      <c r="L860" s="17" t="n"/>
      <c r="M860" s="17" t="n"/>
      <c r="N860" s="17" t="n"/>
      <c r="O860" s="26">
        <f>IF($D860="","",IFERROR(VLOOKUP($D860,物料档案!$A$4:$P$1203,10,0),0))</f>
        <v/>
      </c>
      <c r="P860" s="32" t="n"/>
      <c r="Q860" s="26">
        <f>IF($D860="","",IF($K860&lt;&gt;"对外销售",0,ROUND(N($J860)*IF($P860="",N($O860),N($P860)),0)))</f>
        <v/>
      </c>
      <c r="R860" s="26">
        <f>IF($D860="","",IFERROR(VLOOKUP($D860,库存台账!$A$5:$Y$1204,11,0),0))</f>
        <v/>
      </c>
      <c r="S860" s="26">
        <f>IF($D860="","",ROUND(N($J860)*N($R860),0))</f>
        <v/>
      </c>
      <c r="T860" s="26">
        <f>IF($D860="","",IF($K860&lt;&gt;"对外销售","",ROUND($Q860-$S860,0)))</f>
        <v/>
      </c>
      <c r="U860" s="17" t="n"/>
      <c r="V860" s="17" t="n"/>
      <c r="W860" s="24">
        <f>IF($D860="","",IF($E860="※编码不在物料档案里","※物料编码不在档案里",IF(N($J860)&lt;=0,"※出库数量要大于 0",IF($K860="","※没填去向类型",IF($L860="","※没填去向矿区",IF(AND($C860&lt;&gt;"",$C860&lt;=结账锁),"※日期早于已结账截止日，不能再录",IF(AND($K860="自用消耗",COUNTIF({"一矿区";"二矿区"},$L860)=0),"※自用消耗的去向只能是一矿区或二矿区",IF(AND($K860="对外销售",COUNTIF({"三矿区";"六矿区"},$L860)=0),"※对外销售的去向只能是三矿区或六矿区",IF(AND($K860="对外销售",ROUND($Q860,0)=0),"※外销却没有售价，请填实际售价",IF(AND($K860="对外销售",$T860&lt;&gt;"",$T860&lt;0),"※这一笔外销是亏的，请核对售价",IF(IFERROR(VLOOKUP($D860,库存台账!$A$5:$Y$1204,24,0),0)&lt;-0.001,"※这个物料账面已经变成负数了，查一下是不是漏记入库","")))))))))))</f>
        <v/>
      </c>
    </row>
    <row r="861">
      <c r="A861" s="24">
        <f>IF($D861="","",COUNTA($D$4:$D861))</f>
        <v/>
      </c>
      <c r="B861" s="17" t="n"/>
      <c r="C861" s="30" t="n"/>
      <c r="D861" s="17" t="n"/>
      <c r="E861" s="24">
        <f>IF($D861="","",IFERROR(VLOOKUP($D861,物料档案!$A$4:$P$1203,3,0),"※编码不在物料档案里"))</f>
        <v/>
      </c>
      <c r="F861" s="24">
        <f>IF($D861="","",IFERROR(VLOOKUP($D861,物料档案!$A$4:$P$1203,4,0),"※编码不在物料档案里"))</f>
        <v/>
      </c>
      <c r="G861" s="24">
        <f>IF($D861="","",IFERROR(VLOOKUP($D861,物料档案!$A$4:$P$1203,5,0),"※编码不在物料档案里"))</f>
        <v/>
      </c>
      <c r="H861" s="24">
        <f>IF($D861="","",IFERROR(VLOOKUP($D861,物料档案!$A$4:$P$1203,2,0),"※编码不在物料档案里"))</f>
        <v/>
      </c>
      <c r="I861" s="24">
        <f>IF($D861="","",IFERROR(VLOOKUP($D861,物料档案!$A$4:$P$1203,6,0),"※编码不在物料档案里"))</f>
        <v/>
      </c>
      <c r="J861" s="23" t="n"/>
      <c r="K861" s="17" t="n"/>
      <c r="L861" s="17" t="n"/>
      <c r="M861" s="17" t="n"/>
      <c r="N861" s="17" t="n"/>
      <c r="O861" s="26">
        <f>IF($D861="","",IFERROR(VLOOKUP($D861,物料档案!$A$4:$P$1203,10,0),0))</f>
        <v/>
      </c>
      <c r="P861" s="32" t="n"/>
      <c r="Q861" s="26">
        <f>IF($D861="","",IF($K861&lt;&gt;"对外销售",0,ROUND(N($J861)*IF($P861="",N($O861),N($P861)),0)))</f>
        <v/>
      </c>
      <c r="R861" s="26">
        <f>IF($D861="","",IFERROR(VLOOKUP($D861,库存台账!$A$5:$Y$1204,11,0),0))</f>
        <v/>
      </c>
      <c r="S861" s="26">
        <f>IF($D861="","",ROUND(N($J861)*N($R861),0))</f>
        <v/>
      </c>
      <c r="T861" s="26">
        <f>IF($D861="","",IF($K861&lt;&gt;"对外销售","",ROUND($Q861-$S861,0)))</f>
        <v/>
      </c>
      <c r="U861" s="17" t="n"/>
      <c r="V861" s="17" t="n"/>
      <c r="W861" s="24">
        <f>IF($D861="","",IF($E861="※编码不在物料档案里","※物料编码不在档案里",IF(N($J861)&lt;=0,"※出库数量要大于 0",IF($K861="","※没填去向类型",IF($L861="","※没填去向矿区",IF(AND($C861&lt;&gt;"",$C861&lt;=结账锁),"※日期早于已结账截止日，不能再录",IF(AND($K861="自用消耗",COUNTIF({"一矿区";"二矿区"},$L861)=0),"※自用消耗的去向只能是一矿区或二矿区",IF(AND($K861="对外销售",COUNTIF({"三矿区";"六矿区"},$L861)=0),"※对外销售的去向只能是三矿区或六矿区",IF(AND($K861="对外销售",ROUND($Q861,0)=0),"※外销却没有售价，请填实际售价",IF(AND($K861="对外销售",$T861&lt;&gt;"",$T861&lt;0),"※这一笔外销是亏的，请核对售价",IF(IFERROR(VLOOKUP($D861,库存台账!$A$5:$Y$1204,24,0),0)&lt;-0.001,"※这个物料账面已经变成负数了，查一下是不是漏记入库","")))))))))))</f>
        <v/>
      </c>
    </row>
    <row r="862">
      <c r="A862" s="24">
        <f>IF($D862="","",COUNTA($D$4:$D862))</f>
        <v/>
      </c>
      <c r="B862" s="17" t="n"/>
      <c r="C862" s="30" t="n"/>
      <c r="D862" s="17" t="n"/>
      <c r="E862" s="24">
        <f>IF($D862="","",IFERROR(VLOOKUP($D862,物料档案!$A$4:$P$1203,3,0),"※编码不在物料档案里"))</f>
        <v/>
      </c>
      <c r="F862" s="24">
        <f>IF($D862="","",IFERROR(VLOOKUP($D862,物料档案!$A$4:$P$1203,4,0),"※编码不在物料档案里"))</f>
        <v/>
      </c>
      <c r="G862" s="24">
        <f>IF($D862="","",IFERROR(VLOOKUP($D862,物料档案!$A$4:$P$1203,5,0),"※编码不在物料档案里"))</f>
        <v/>
      </c>
      <c r="H862" s="24">
        <f>IF($D862="","",IFERROR(VLOOKUP($D862,物料档案!$A$4:$P$1203,2,0),"※编码不在物料档案里"))</f>
        <v/>
      </c>
      <c r="I862" s="24">
        <f>IF($D862="","",IFERROR(VLOOKUP($D862,物料档案!$A$4:$P$1203,6,0),"※编码不在物料档案里"))</f>
        <v/>
      </c>
      <c r="J862" s="23" t="n"/>
      <c r="K862" s="17" t="n"/>
      <c r="L862" s="17" t="n"/>
      <c r="M862" s="17" t="n"/>
      <c r="N862" s="17" t="n"/>
      <c r="O862" s="26">
        <f>IF($D862="","",IFERROR(VLOOKUP($D862,物料档案!$A$4:$P$1203,10,0),0))</f>
        <v/>
      </c>
      <c r="P862" s="32" t="n"/>
      <c r="Q862" s="26">
        <f>IF($D862="","",IF($K862&lt;&gt;"对外销售",0,ROUND(N($J862)*IF($P862="",N($O862),N($P862)),0)))</f>
        <v/>
      </c>
      <c r="R862" s="26">
        <f>IF($D862="","",IFERROR(VLOOKUP($D862,库存台账!$A$5:$Y$1204,11,0),0))</f>
        <v/>
      </c>
      <c r="S862" s="26">
        <f>IF($D862="","",ROUND(N($J862)*N($R862),0))</f>
        <v/>
      </c>
      <c r="T862" s="26">
        <f>IF($D862="","",IF($K862&lt;&gt;"对外销售","",ROUND($Q862-$S862,0)))</f>
        <v/>
      </c>
      <c r="U862" s="17" t="n"/>
      <c r="V862" s="17" t="n"/>
      <c r="W862" s="24">
        <f>IF($D862="","",IF($E862="※编码不在物料档案里","※物料编码不在档案里",IF(N($J862)&lt;=0,"※出库数量要大于 0",IF($K862="","※没填去向类型",IF($L862="","※没填去向矿区",IF(AND($C862&lt;&gt;"",$C862&lt;=结账锁),"※日期早于已结账截止日，不能再录",IF(AND($K862="自用消耗",COUNTIF({"一矿区";"二矿区"},$L862)=0),"※自用消耗的去向只能是一矿区或二矿区",IF(AND($K862="对外销售",COUNTIF({"三矿区";"六矿区"},$L862)=0),"※对外销售的去向只能是三矿区或六矿区",IF(AND($K862="对外销售",ROUND($Q862,0)=0),"※外销却没有售价，请填实际售价",IF(AND($K862="对外销售",$T862&lt;&gt;"",$T862&lt;0),"※这一笔外销是亏的，请核对售价",IF(IFERROR(VLOOKUP($D862,库存台账!$A$5:$Y$1204,24,0),0)&lt;-0.001,"※这个物料账面已经变成负数了，查一下是不是漏记入库","")))))))))))</f>
        <v/>
      </c>
    </row>
    <row r="863">
      <c r="A863" s="24">
        <f>IF($D863="","",COUNTA($D$4:$D863))</f>
        <v/>
      </c>
      <c r="B863" s="17" t="n"/>
      <c r="C863" s="30" t="n"/>
      <c r="D863" s="17" t="n"/>
      <c r="E863" s="24">
        <f>IF($D863="","",IFERROR(VLOOKUP($D863,物料档案!$A$4:$P$1203,3,0),"※编码不在物料档案里"))</f>
        <v/>
      </c>
      <c r="F863" s="24">
        <f>IF($D863="","",IFERROR(VLOOKUP($D863,物料档案!$A$4:$P$1203,4,0),"※编码不在物料档案里"))</f>
        <v/>
      </c>
      <c r="G863" s="24">
        <f>IF($D863="","",IFERROR(VLOOKUP($D863,物料档案!$A$4:$P$1203,5,0),"※编码不在物料档案里"))</f>
        <v/>
      </c>
      <c r="H863" s="24">
        <f>IF($D863="","",IFERROR(VLOOKUP($D863,物料档案!$A$4:$P$1203,2,0),"※编码不在物料档案里"))</f>
        <v/>
      </c>
      <c r="I863" s="24">
        <f>IF($D863="","",IFERROR(VLOOKUP($D863,物料档案!$A$4:$P$1203,6,0),"※编码不在物料档案里"))</f>
        <v/>
      </c>
      <c r="J863" s="23" t="n"/>
      <c r="K863" s="17" t="n"/>
      <c r="L863" s="17" t="n"/>
      <c r="M863" s="17" t="n"/>
      <c r="N863" s="17" t="n"/>
      <c r="O863" s="26">
        <f>IF($D863="","",IFERROR(VLOOKUP($D863,物料档案!$A$4:$P$1203,10,0),0))</f>
        <v/>
      </c>
      <c r="P863" s="32" t="n"/>
      <c r="Q863" s="26">
        <f>IF($D863="","",IF($K863&lt;&gt;"对外销售",0,ROUND(N($J863)*IF($P863="",N($O863),N($P863)),0)))</f>
        <v/>
      </c>
      <c r="R863" s="26">
        <f>IF($D863="","",IFERROR(VLOOKUP($D863,库存台账!$A$5:$Y$1204,11,0),0))</f>
        <v/>
      </c>
      <c r="S863" s="26">
        <f>IF($D863="","",ROUND(N($J863)*N($R863),0))</f>
        <v/>
      </c>
      <c r="T863" s="26">
        <f>IF($D863="","",IF($K863&lt;&gt;"对外销售","",ROUND($Q863-$S863,0)))</f>
        <v/>
      </c>
      <c r="U863" s="17" t="n"/>
      <c r="V863" s="17" t="n"/>
      <c r="W863" s="24">
        <f>IF($D863="","",IF($E863="※编码不在物料档案里","※物料编码不在档案里",IF(N($J863)&lt;=0,"※出库数量要大于 0",IF($K863="","※没填去向类型",IF($L863="","※没填去向矿区",IF(AND($C863&lt;&gt;"",$C863&lt;=结账锁),"※日期早于已结账截止日，不能再录",IF(AND($K863="自用消耗",COUNTIF({"一矿区";"二矿区"},$L863)=0),"※自用消耗的去向只能是一矿区或二矿区",IF(AND($K863="对外销售",COUNTIF({"三矿区";"六矿区"},$L863)=0),"※对外销售的去向只能是三矿区或六矿区",IF(AND($K863="对外销售",ROUND($Q863,0)=0),"※外销却没有售价，请填实际售价",IF(AND($K863="对外销售",$T863&lt;&gt;"",$T863&lt;0),"※这一笔外销是亏的，请核对售价",IF(IFERROR(VLOOKUP($D863,库存台账!$A$5:$Y$1204,24,0),0)&lt;-0.001,"※这个物料账面已经变成负数了，查一下是不是漏记入库","")))))))))))</f>
        <v/>
      </c>
    </row>
    <row r="864">
      <c r="A864" s="24">
        <f>IF($D864="","",COUNTA($D$4:$D864))</f>
        <v/>
      </c>
      <c r="B864" s="17" t="n"/>
      <c r="C864" s="30" t="n"/>
      <c r="D864" s="17" t="n"/>
      <c r="E864" s="24">
        <f>IF($D864="","",IFERROR(VLOOKUP($D864,物料档案!$A$4:$P$1203,3,0),"※编码不在物料档案里"))</f>
        <v/>
      </c>
      <c r="F864" s="24">
        <f>IF($D864="","",IFERROR(VLOOKUP($D864,物料档案!$A$4:$P$1203,4,0),"※编码不在物料档案里"))</f>
        <v/>
      </c>
      <c r="G864" s="24">
        <f>IF($D864="","",IFERROR(VLOOKUP($D864,物料档案!$A$4:$P$1203,5,0),"※编码不在物料档案里"))</f>
        <v/>
      </c>
      <c r="H864" s="24">
        <f>IF($D864="","",IFERROR(VLOOKUP($D864,物料档案!$A$4:$P$1203,2,0),"※编码不在物料档案里"))</f>
        <v/>
      </c>
      <c r="I864" s="24">
        <f>IF($D864="","",IFERROR(VLOOKUP($D864,物料档案!$A$4:$P$1203,6,0),"※编码不在物料档案里"))</f>
        <v/>
      </c>
      <c r="J864" s="23" t="n"/>
      <c r="K864" s="17" t="n"/>
      <c r="L864" s="17" t="n"/>
      <c r="M864" s="17" t="n"/>
      <c r="N864" s="17" t="n"/>
      <c r="O864" s="26">
        <f>IF($D864="","",IFERROR(VLOOKUP($D864,物料档案!$A$4:$P$1203,10,0),0))</f>
        <v/>
      </c>
      <c r="P864" s="32" t="n"/>
      <c r="Q864" s="26">
        <f>IF($D864="","",IF($K864&lt;&gt;"对外销售",0,ROUND(N($J864)*IF($P864="",N($O864),N($P864)),0)))</f>
        <v/>
      </c>
      <c r="R864" s="26">
        <f>IF($D864="","",IFERROR(VLOOKUP($D864,库存台账!$A$5:$Y$1204,11,0),0))</f>
        <v/>
      </c>
      <c r="S864" s="26">
        <f>IF($D864="","",ROUND(N($J864)*N($R864),0))</f>
        <v/>
      </c>
      <c r="T864" s="26">
        <f>IF($D864="","",IF($K864&lt;&gt;"对外销售","",ROUND($Q864-$S864,0)))</f>
        <v/>
      </c>
      <c r="U864" s="17" t="n"/>
      <c r="V864" s="17" t="n"/>
      <c r="W864" s="24">
        <f>IF($D864="","",IF($E864="※编码不在物料档案里","※物料编码不在档案里",IF(N($J864)&lt;=0,"※出库数量要大于 0",IF($K864="","※没填去向类型",IF($L864="","※没填去向矿区",IF(AND($C864&lt;&gt;"",$C864&lt;=结账锁),"※日期早于已结账截止日，不能再录",IF(AND($K864="自用消耗",COUNTIF({"一矿区";"二矿区"},$L864)=0),"※自用消耗的去向只能是一矿区或二矿区",IF(AND($K864="对外销售",COUNTIF({"三矿区";"六矿区"},$L864)=0),"※对外销售的去向只能是三矿区或六矿区",IF(AND($K864="对外销售",ROUND($Q864,0)=0),"※外销却没有售价，请填实际售价",IF(AND($K864="对外销售",$T864&lt;&gt;"",$T864&lt;0),"※这一笔外销是亏的，请核对售价",IF(IFERROR(VLOOKUP($D864,库存台账!$A$5:$Y$1204,24,0),0)&lt;-0.001,"※这个物料账面已经变成负数了，查一下是不是漏记入库","")))))))))))</f>
        <v/>
      </c>
    </row>
    <row r="865">
      <c r="A865" s="24">
        <f>IF($D865="","",COUNTA($D$4:$D865))</f>
        <v/>
      </c>
      <c r="B865" s="17" t="n"/>
      <c r="C865" s="30" t="n"/>
      <c r="D865" s="17" t="n"/>
      <c r="E865" s="24">
        <f>IF($D865="","",IFERROR(VLOOKUP($D865,物料档案!$A$4:$P$1203,3,0),"※编码不在物料档案里"))</f>
        <v/>
      </c>
      <c r="F865" s="24">
        <f>IF($D865="","",IFERROR(VLOOKUP($D865,物料档案!$A$4:$P$1203,4,0),"※编码不在物料档案里"))</f>
        <v/>
      </c>
      <c r="G865" s="24">
        <f>IF($D865="","",IFERROR(VLOOKUP($D865,物料档案!$A$4:$P$1203,5,0),"※编码不在物料档案里"))</f>
        <v/>
      </c>
      <c r="H865" s="24">
        <f>IF($D865="","",IFERROR(VLOOKUP($D865,物料档案!$A$4:$P$1203,2,0),"※编码不在物料档案里"))</f>
        <v/>
      </c>
      <c r="I865" s="24">
        <f>IF($D865="","",IFERROR(VLOOKUP($D865,物料档案!$A$4:$P$1203,6,0),"※编码不在物料档案里"))</f>
        <v/>
      </c>
      <c r="J865" s="23" t="n"/>
      <c r="K865" s="17" t="n"/>
      <c r="L865" s="17" t="n"/>
      <c r="M865" s="17" t="n"/>
      <c r="N865" s="17" t="n"/>
      <c r="O865" s="26">
        <f>IF($D865="","",IFERROR(VLOOKUP($D865,物料档案!$A$4:$P$1203,10,0),0))</f>
        <v/>
      </c>
      <c r="P865" s="32" t="n"/>
      <c r="Q865" s="26">
        <f>IF($D865="","",IF($K865&lt;&gt;"对外销售",0,ROUND(N($J865)*IF($P865="",N($O865),N($P865)),0)))</f>
        <v/>
      </c>
      <c r="R865" s="26">
        <f>IF($D865="","",IFERROR(VLOOKUP($D865,库存台账!$A$5:$Y$1204,11,0),0))</f>
        <v/>
      </c>
      <c r="S865" s="26">
        <f>IF($D865="","",ROUND(N($J865)*N($R865),0))</f>
        <v/>
      </c>
      <c r="T865" s="26">
        <f>IF($D865="","",IF($K865&lt;&gt;"对外销售","",ROUND($Q865-$S865,0)))</f>
        <v/>
      </c>
      <c r="U865" s="17" t="n"/>
      <c r="V865" s="17" t="n"/>
      <c r="W865" s="24">
        <f>IF($D865="","",IF($E865="※编码不在物料档案里","※物料编码不在档案里",IF(N($J865)&lt;=0,"※出库数量要大于 0",IF($K865="","※没填去向类型",IF($L865="","※没填去向矿区",IF(AND($C865&lt;&gt;"",$C865&lt;=结账锁),"※日期早于已结账截止日，不能再录",IF(AND($K865="自用消耗",COUNTIF({"一矿区";"二矿区"},$L865)=0),"※自用消耗的去向只能是一矿区或二矿区",IF(AND($K865="对外销售",COUNTIF({"三矿区";"六矿区"},$L865)=0),"※对外销售的去向只能是三矿区或六矿区",IF(AND($K865="对外销售",ROUND($Q865,0)=0),"※外销却没有售价，请填实际售价",IF(AND($K865="对外销售",$T865&lt;&gt;"",$T865&lt;0),"※这一笔外销是亏的，请核对售价",IF(IFERROR(VLOOKUP($D865,库存台账!$A$5:$Y$1204,24,0),0)&lt;-0.001,"※这个物料账面已经变成负数了，查一下是不是漏记入库","")))))))))))</f>
        <v/>
      </c>
    </row>
    <row r="866">
      <c r="A866" s="24">
        <f>IF($D866="","",COUNTA($D$4:$D866))</f>
        <v/>
      </c>
      <c r="B866" s="17" t="n"/>
      <c r="C866" s="30" t="n"/>
      <c r="D866" s="17" t="n"/>
      <c r="E866" s="24">
        <f>IF($D866="","",IFERROR(VLOOKUP($D866,物料档案!$A$4:$P$1203,3,0),"※编码不在物料档案里"))</f>
        <v/>
      </c>
      <c r="F866" s="24">
        <f>IF($D866="","",IFERROR(VLOOKUP($D866,物料档案!$A$4:$P$1203,4,0),"※编码不在物料档案里"))</f>
        <v/>
      </c>
      <c r="G866" s="24">
        <f>IF($D866="","",IFERROR(VLOOKUP($D866,物料档案!$A$4:$P$1203,5,0),"※编码不在物料档案里"))</f>
        <v/>
      </c>
      <c r="H866" s="24">
        <f>IF($D866="","",IFERROR(VLOOKUP($D866,物料档案!$A$4:$P$1203,2,0),"※编码不在物料档案里"))</f>
        <v/>
      </c>
      <c r="I866" s="24">
        <f>IF($D866="","",IFERROR(VLOOKUP($D866,物料档案!$A$4:$P$1203,6,0),"※编码不在物料档案里"))</f>
        <v/>
      </c>
      <c r="J866" s="23" t="n"/>
      <c r="K866" s="17" t="n"/>
      <c r="L866" s="17" t="n"/>
      <c r="M866" s="17" t="n"/>
      <c r="N866" s="17" t="n"/>
      <c r="O866" s="26">
        <f>IF($D866="","",IFERROR(VLOOKUP($D866,物料档案!$A$4:$P$1203,10,0),0))</f>
        <v/>
      </c>
      <c r="P866" s="32" t="n"/>
      <c r="Q866" s="26">
        <f>IF($D866="","",IF($K866&lt;&gt;"对外销售",0,ROUND(N($J866)*IF($P866="",N($O866),N($P866)),0)))</f>
        <v/>
      </c>
      <c r="R866" s="26">
        <f>IF($D866="","",IFERROR(VLOOKUP($D866,库存台账!$A$5:$Y$1204,11,0),0))</f>
        <v/>
      </c>
      <c r="S866" s="26">
        <f>IF($D866="","",ROUND(N($J866)*N($R866),0))</f>
        <v/>
      </c>
      <c r="T866" s="26">
        <f>IF($D866="","",IF($K866&lt;&gt;"对外销售","",ROUND($Q866-$S866,0)))</f>
        <v/>
      </c>
      <c r="U866" s="17" t="n"/>
      <c r="V866" s="17" t="n"/>
      <c r="W866" s="24">
        <f>IF($D866="","",IF($E866="※编码不在物料档案里","※物料编码不在档案里",IF(N($J866)&lt;=0,"※出库数量要大于 0",IF($K866="","※没填去向类型",IF($L866="","※没填去向矿区",IF(AND($C866&lt;&gt;"",$C866&lt;=结账锁),"※日期早于已结账截止日，不能再录",IF(AND($K866="自用消耗",COUNTIF({"一矿区";"二矿区"},$L866)=0),"※自用消耗的去向只能是一矿区或二矿区",IF(AND($K866="对外销售",COUNTIF({"三矿区";"六矿区"},$L866)=0),"※对外销售的去向只能是三矿区或六矿区",IF(AND($K866="对外销售",ROUND($Q866,0)=0),"※外销却没有售价，请填实际售价",IF(AND($K866="对外销售",$T866&lt;&gt;"",$T866&lt;0),"※这一笔外销是亏的，请核对售价",IF(IFERROR(VLOOKUP($D866,库存台账!$A$5:$Y$1204,24,0),0)&lt;-0.001,"※这个物料账面已经变成负数了，查一下是不是漏记入库","")))))))))))</f>
        <v/>
      </c>
    </row>
    <row r="867">
      <c r="A867" s="24">
        <f>IF($D867="","",COUNTA($D$4:$D867))</f>
        <v/>
      </c>
      <c r="B867" s="17" t="n"/>
      <c r="C867" s="30" t="n"/>
      <c r="D867" s="17" t="n"/>
      <c r="E867" s="24">
        <f>IF($D867="","",IFERROR(VLOOKUP($D867,物料档案!$A$4:$P$1203,3,0),"※编码不在物料档案里"))</f>
        <v/>
      </c>
      <c r="F867" s="24">
        <f>IF($D867="","",IFERROR(VLOOKUP($D867,物料档案!$A$4:$P$1203,4,0),"※编码不在物料档案里"))</f>
        <v/>
      </c>
      <c r="G867" s="24">
        <f>IF($D867="","",IFERROR(VLOOKUP($D867,物料档案!$A$4:$P$1203,5,0),"※编码不在物料档案里"))</f>
        <v/>
      </c>
      <c r="H867" s="24">
        <f>IF($D867="","",IFERROR(VLOOKUP($D867,物料档案!$A$4:$P$1203,2,0),"※编码不在物料档案里"))</f>
        <v/>
      </c>
      <c r="I867" s="24">
        <f>IF($D867="","",IFERROR(VLOOKUP($D867,物料档案!$A$4:$P$1203,6,0),"※编码不在物料档案里"))</f>
        <v/>
      </c>
      <c r="J867" s="23" t="n"/>
      <c r="K867" s="17" t="n"/>
      <c r="L867" s="17" t="n"/>
      <c r="M867" s="17" t="n"/>
      <c r="N867" s="17" t="n"/>
      <c r="O867" s="26">
        <f>IF($D867="","",IFERROR(VLOOKUP($D867,物料档案!$A$4:$P$1203,10,0),0))</f>
        <v/>
      </c>
      <c r="P867" s="32" t="n"/>
      <c r="Q867" s="26">
        <f>IF($D867="","",IF($K867&lt;&gt;"对外销售",0,ROUND(N($J867)*IF($P867="",N($O867),N($P867)),0)))</f>
        <v/>
      </c>
      <c r="R867" s="26">
        <f>IF($D867="","",IFERROR(VLOOKUP($D867,库存台账!$A$5:$Y$1204,11,0),0))</f>
        <v/>
      </c>
      <c r="S867" s="26">
        <f>IF($D867="","",ROUND(N($J867)*N($R867),0))</f>
        <v/>
      </c>
      <c r="T867" s="26">
        <f>IF($D867="","",IF($K867&lt;&gt;"对外销售","",ROUND($Q867-$S867,0)))</f>
        <v/>
      </c>
      <c r="U867" s="17" t="n"/>
      <c r="V867" s="17" t="n"/>
      <c r="W867" s="24">
        <f>IF($D867="","",IF($E867="※编码不在物料档案里","※物料编码不在档案里",IF(N($J867)&lt;=0,"※出库数量要大于 0",IF($K867="","※没填去向类型",IF($L867="","※没填去向矿区",IF(AND($C867&lt;&gt;"",$C867&lt;=结账锁),"※日期早于已结账截止日，不能再录",IF(AND($K867="自用消耗",COUNTIF({"一矿区";"二矿区"},$L867)=0),"※自用消耗的去向只能是一矿区或二矿区",IF(AND($K867="对外销售",COUNTIF({"三矿区";"六矿区"},$L867)=0),"※对外销售的去向只能是三矿区或六矿区",IF(AND($K867="对外销售",ROUND($Q867,0)=0),"※外销却没有售价，请填实际售价",IF(AND($K867="对外销售",$T867&lt;&gt;"",$T867&lt;0),"※这一笔外销是亏的，请核对售价",IF(IFERROR(VLOOKUP($D867,库存台账!$A$5:$Y$1204,24,0),0)&lt;-0.001,"※这个物料账面已经变成负数了，查一下是不是漏记入库","")))))))))))</f>
        <v/>
      </c>
    </row>
    <row r="868">
      <c r="A868" s="24">
        <f>IF($D868="","",COUNTA($D$4:$D868))</f>
        <v/>
      </c>
      <c r="B868" s="17" t="n"/>
      <c r="C868" s="30" t="n"/>
      <c r="D868" s="17" t="n"/>
      <c r="E868" s="24">
        <f>IF($D868="","",IFERROR(VLOOKUP($D868,物料档案!$A$4:$P$1203,3,0),"※编码不在物料档案里"))</f>
        <v/>
      </c>
      <c r="F868" s="24">
        <f>IF($D868="","",IFERROR(VLOOKUP($D868,物料档案!$A$4:$P$1203,4,0),"※编码不在物料档案里"))</f>
        <v/>
      </c>
      <c r="G868" s="24">
        <f>IF($D868="","",IFERROR(VLOOKUP($D868,物料档案!$A$4:$P$1203,5,0),"※编码不在物料档案里"))</f>
        <v/>
      </c>
      <c r="H868" s="24">
        <f>IF($D868="","",IFERROR(VLOOKUP($D868,物料档案!$A$4:$P$1203,2,0),"※编码不在物料档案里"))</f>
        <v/>
      </c>
      <c r="I868" s="24">
        <f>IF($D868="","",IFERROR(VLOOKUP($D868,物料档案!$A$4:$P$1203,6,0),"※编码不在物料档案里"))</f>
        <v/>
      </c>
      <c r="J868" s="23" t="n"/>
      <c r="K868" s="17" t="n"/>
      <c r="L868" s="17" t="n"/>
      <c r="M868" s="17" t="n"/>
      <c r="N868" s="17" t="n"/>
      <c r="O868" s="26">
        <f>IF($D868="","",IFERROR(VLOOKUP($D868,物料档案!$A$4:$P$1203,10,0),0))</f>
        <v/>
      </c>
      <c r="P868" s="32" t="n"/>
      <c r="Q868" s="26">
        <f>IF($D868="","",IF($K868&lt;&gt;"对外销售",0,ROUND(N($J868)*IF($P868="",N($O868),N($P868)),0)))</f>
        <v/>
      </c>
      <c r="R868" s="26">
        <f>IF($D868="","",IFERROR(VLOOKUP($D868,库存台账!$A$5:$Y$1204,11,0),0))</f>
        <v/>
      </c>
      <c r="S868" s="26">
        <f>IF($D868="","",ROUND(N($J868)*N($R868),0))</f>
        <v/>
      </c>
      <c r="T868" s="26">
        <f>IF($D868="","",IF($K868&lt;&gt;"对外销售","",ROUND($Q868-$S868,0)))</f>
        <v/>
      </c>
      <c r="U868" s="17" t="n"/>
      <c r="V868" s="17" t="n"/>
      <c r="W868" s="24">
        <f>IF($D868="","",IF($E868="※编码不在物料档案里","※物料编码不在档案里",IF(N($J868)&lt;=0,"※出库数量要大于 0",IF($K868="","※没填去向类型",IF($L868="","※没填去向矿区",IF(AND($C868&lt;&gt;"",$C868&lt;=结账锁),"※日期早于已结账截止日，不能再录",IF(AND($K868="自用消耗",COUNTIF({"一矿区";"二矿区"},$L868)=0),"※自用消耗的去向只能是一矿区或二矿区",IF(AND($K868="对外销售",COUNTIF({"三矿区";"六矿区"},$L868)=0),"※对外销售的去向只能是三矿区或六矿区",IF(AND($K868="对外销售",ROUND($Q868,0)=0),"※外销却没有售价，请填实际售价",IF(AND($K868="对外销售",$T868&lt;&gt;"",$T868&lt;0),"※这一笔外销是亏的，请核对售价",IF(IFERROR(VLOOKUP($D868,库存台账!$A$5:$Y$1204,24,0),0)&lt;-0.001,"※这个物料账面已经变成负数了，查一下是不是漏记入库","")))))))))))</f>
        <v/>
      </c>
    </row>
    <row r="869">
      <c r="A869" s="24">
        <f>IF($D869="","",COUNTA($D$4:$D869))</f>
        <v/>
      </c>
      <c r="B869" s="17" t="n"/>
      <c r="C869" s="30" t="n"/>
      <c r="D869" s="17" t="n"/>
      <c r="E869" s="24">
        <f>IF($D869="","",IFERROR(VLOOKUP($D869,物料档案!$A$4:$P$1203,3,0),"※编码不在物料档案里"))</f>
        <v/>
      </c>
      <c r="F869" s="24">
        <f>IF($D869="","",IFERROR(VLOOKUP($D869,物料档案!$A$4:$P$1203,4,0),"※编码不在物料档案里"))</f>
        <v/>
      </c>
      <c r="G869" s="24">
        <f>IF($D869="","",IFERROR(VLOOKUP($D869,物料档案!$A$4:$P$1203,5,0),"※编码不在物料档案里"))</f>
        <v/>
      </c>
      <c r="H869" s="24">
        <f>IF($D869="","",IFERROR(VLOOKUP($D869,物料档案!$A$4:$P$1203,2,0),"※编码不在物料档案里"))</f>
        <v/>
      </c>
      <c r="I869" s="24">
        <f>IF($D869="","",IFERROR(VLOOKUP($D869,物料档案!$A$4:$P$1203,6,0),"※编码不在物料档案里"))</f>
        <v/>
      </c>
      <c r="J869" s="23" t="n"/>
      <c r="K869" s="17" t="n"/>
      <c r="L869" s="17" t="n"/>
      <c r="M869" s="17" t="n"/>
      <c r="N869" s="17" t="n"/>
      <c r="O869" s="26">
        <f>IF($D869="","",IFERROR(VLOOKUP($D869,物料档案!$A$4:$P$1203,10,0),0))</f>
        <v/>
      </c>
      <c r="P869" s="32" t="n"/>
      <c r="Q869" s="26">
        <f>IF($D869="","",IF($K869&lt;&gt;"对外销售",0,ROUND(N($J869)*IF($P869="",N($O869),N($P869)),0)))</f>
        <v/>
      </c>
      <c r="R869" s="26">
        <f>IF($D869="","",IFERROR(VLOOKUP($D869,库存台账!$A$5:$Y$1204,11,0),0))</f>
        <v/>
      </c>
      <c r="S869" s="26">
        <f>IF($D869="","",ROUND(N($J869)*N($R869),0))</f>
        <v/>
      </c>
      <c r="T869" s="26">
        <f>IF($D869="","",IF($K869&lt;&gt;"对外销售","",ROUND($Q869-$S869,0)))</f>
        <v/>
      </c>
      <c r="U869" s="17" t="n"/>
      <c r="V869" s="17" t="n"/>
      <c r="W869" s="24">
        <f>IF($D869="","",IF($E869="※编码不在物料档案里","※物料编码不在档案里",IF(N($J869)&lt;=0,"※出库数量要大于 0",IF($K869="","※没填去向类型",IF($L869="","※没填去向矿区",IF(AND($C869&lt;&gt;"",$C869&lt;=结账锁),"※日期早于已结账截止日，不能再录",IF(AND($K869="自用消耗",COUNTIF({"一矿区";"二矿区"},$L869)=0),"※自用消耗的去向只能是一矿区或二矿区",IF(AND($K869="对外销售",COUNTIF({"三矿区";"六矿区"},$L869)=0),"※对外销售的去向只能是三矿区或六矿区",IF(AND($K869="对外销售",ROUND($Q869,0)=0),"※外销却没有售价，请填实际售价",IF(AND($K869="对外销售",$T869&lt;&gt;"",$T869&lt;0),"※这一笔外销是亏的，请核对售价",IF(IFERROR(VLOOKUP($D869,库存台账!$A$5:$Y$1204,24,0),0)&lt;-0.001,"※这个物料账面已经变成负数了，查一下是不是漏记入库","")))))))))))</f>
        <v/>
      </c>
    </row>
    <row r="870">
      <c r="A870" s="24">
        <f>IF($D870="","",COUNTA($D$4:$D870))</f>
        <v/>
      </c>
      <c r="B870" s="17" t="n"/>
      <c r="C870" s="30" t="n"/>
      <c r="D870" s="17" t="n"/>
      <c r="E870" s="24">
        <f>IF($D870="","",IFERROR(VLOOKUP($D870,物料档案!$A$4:$P$1203,3,0),"※编码不在物料档案里"))</f>
        <v/>
      </c>
      <c r="F870" s="24">
        <f>IF($D870="","",IFERROR(VLOOKUP($D870,物料档案!$A$4:$P$1203,4,0),"※编码不在物料档案里"))</f>
        <v/>
      </c>
      <c r="G870" s="24">
        <f>IF($D870="","",IFERROR(VLOOKUP($D870,物料档案!$A$4:$P$1203,5,0),"※编码不在物料档案里"))</f>
        <v/>
      </c>
      <c r="H870" s="24">
        <f>IF($D870="","",IFERROR(VLOOKUP($D870,物料档案!$A$4:$P$1203,2,0),"※编码不在物料档案里"))</f>
        <v/>
      </c>
      <c r="I870" s="24">
        <f>IF($D870="","",IFERROR(VLOOKUP($D870,物料档案!$A$4:$P$1203,6,0),"※编码不在物料档案里"))</f>
        <v/>
      </c>
      <c r="J870" s="23" t="n"/>
      <c r="K870" s="17" t="n"/>
      <c r="L870" s="17" t="n"/>
      <c r="M870" s="17" t="n"/>
      <c r="N870" s="17" t="n"/>
      <c r="O870" s="26">
        <f>IF($D870="","",IFERROR(VLOOKUP($D870,物料档案!$A$4:$P$1203,10,0),0))</f>
        <v/>
      </c>
      <c r="P870" s="32" t="n"/>
      <c r="Q870" s="26">
        <f>IF($D870="","",IF($K870&lt;&gt;"对外销售",0,ROUND(N($J870)*IF($P870="",N($O870),N($P870)),0)))</f>
        <v/>
      </c>
      <c r="R870" s="26">
        <f>IF($D870="","",IFERROR(VLOOKUP($D870,库存台账!$A$5:$Y$1204,11,0),0))</f>
        <v/>
      </c>
      <c r="S870" s="26">
        <f>IF($D870="","",ROUND(N($J870)*N($R870),0))</f>
        <v/>
      </c>
      <c r="T870" s="26">
        <f>IF($D870="","",IF($K870&lt;&gt;"对外销售","",ROUND($Q870-$S870,0)))</f>
        <v/>
      </c>
      <c r="U870" s="17" t="n"/>
      <c r="V870" s="17" t="n"/>
      <c r="W870" s="24">
        <f>IF($D870="","",IF($E870="※编码不在物料档案里","※物料编码不在档案里",IF(N($J870)&lt;=0,"※出库数量要大于 0",IF($K870="","※没填去向类型",IF($L870="","※没填去向矿区",IF(AND($C870&lt;&gt;"",$C870&lt;=结账锁),"※日期早于已结账截止日，不能再录",IF(AND($K870="自用消耗",COUNTIF({"一矿区";"二矿区"},$L870)=0),"※自用消耗的去向只能是一矿区或二矿区",IF(AND($K870="对外销售",COUNTIF({"三矿区";"六矿区"},$L870)=0),"※对外销售的去向只能是三矿区或六矿区",IF(AND($K870="对外销售",ROUND($Q870,0)=0),"※外销却没有售价，请填实际售价",IF(AND($K870="对外销售",$T870&lt;&gt;"",$T870&lt;0),"※这一笔外销是亏的，请核对售价",IF(IFERROR(VLOOKUP($D870,库存台账!$A$5:$Y$1204,24,0),0)&lt;-0.001,"※这个物料账面已经变成负数了，查一下是不是漏记入库","")))))))))))</f>
        <v/>
      </c>
    </row>
    <row r="871">
      <c r="A871" s="24">
        <f>IF($D871="","",COUNTA($D$4:$D871))</f>
        <v/>
      </c>
      <c r="B871" s="17" t="n"/>
      <c r="C871" s="30" t="n"/>
      <c r="D871" s="17" t="n"/>
      <c r="E871" s="24">
        <f>IF($D871="","",IFERROR(VLOOKUP($D871,物料档案!$A$4:$P$1203,3,0),"※编码不在物料档案里"))</f>
        <v/>
      </c>
      <c r="F871" s="24">
        <f>IF($D871="","",IFERROR(VLOOKUP($D871,物料档案!$A$4:$P$1203,4,0),"※编码不在物料档案里"))</f>
        <v/>
      </c>
      <c r="G871" s="24">
        <f>IF($D871="","",IFERROR(VLOOKUP($D871,物料档案!$A$4:$P$1203,5,0),"※编码不在物料档案里"))</f>
        <v/>
      </c>
      <c r="H871" s="24">
        <f>IF($D871="","",IFERROR(VLOOKUP($D871,物料档案!$A$4:$P$1203,2,0),"※编码不在物料档案里"))</f>
        <v/>
      </c>
      <c r="I871" s="24">
        <f>IF($D871="","",IFERROR(VLOOKUP($D871,物料档案!$A$4:$P$1203,6,0),"※编码不在物料档案里"))</f>
        <v/>
      </c>
      <c r="J871" s="23" t="n"/>
      <c r="K871" s="17" t="n"/>
      <c r="L871" s="17" t="n"/>
      <c r="M871" s="17" t="n"/>
      <c r="N871" s="17" t="n"/>
      <c r="O871" s="26">
        <f>IF($D871="","",IFERROR(VLOOKUP($D871,物料档案!$A$4:$P$1203,10,0),0))</f>
        <v/>
      </c>
      <c r="P871" s="32" t="n"/>
      <c r="Q871" s="26">
        <f>IF($D871="","",IF($K871&lt;&gt;"对外销售",0,ROUND(N($J871)*IF($P871="",N($O871),N($P871)),0)))</f>
        <v/>
      </c>
      <c r="R871" s="26">
        <f>IF($D871="","",IFERROR(VLOOKUP($D871,库存台账!$A$5:$Y$1204,11,0),0))</f>
        <v/>
      </c>
      <c r="S871" s="26">
        <f>IF($D871="","",ROUND(N($J871)*N($R871),0))</f>
        <v/>
      </c>
      <c r="T871" s="26">
        <f>IF($D871="","",IF($K871&lt;&gt;"对外销售","",ROUND($Q871-$S871,0)))</f>
        <v/>
      </c>
      <c r="U871" s="17" t="n"/>
      <c r="V871" s="17" t="n"/>
      <c r="W871" s="24">
        <f>IF($D871="","",IF($E871="※编码不在物料档案里","※物料编码不在档案里",IF(N($J871)&lt;=0,"※出库数量要大于 0",IF($K871="","※没填去向类型",IF($L871="","※没填去向矿区",IF(AND($C871&lt;&gt;"",$C871&lt;=结账锁),"※日期早于已结账截止日，不能再录",IF(AND($K871="自用消耗",COUNTIF({"一矿区";"二矿区"},$L871)=0),"※自用消耗的去向只能是一矿区或二矿区",IF(AND($K871="对外销售",COUNTIF({"三矿区";"六矿区"},$L871)=0),"※对外销售的去向只能是三矿区或六矿区",IF(AND($K871="对外销售",ROUND($Q871,0)=0),"※外销却没有售价，请填实际售价",IF(AND($K871="对外销售",$T871&lt;&gt;"",$T871&lt;0),"※这一笔外销是亏的，请核对售价",IF(IFERROR(VLOOKUP($D871,库存台账!$A$5:$Y$1204,24,0),0)&lt;-0.001,"※这个物料账面已经变成负数了，查一下是不是漏记入库","")))))))))))</f>
        <v/>
      </c>
    </row>
    <row r="872">
      <c r="A872" s="24">
        <f>IF($D872="","",COUNTA($D$4:$D872))</f>
        <v/>
      </c>
      <c r="B872" s="17" t="n"/>
      <c r="C872" s="30" t="n"/>
      <c r="D872" s="17" t="n"/>
      <c r="E872" s="24">
        <f>IF($D872="","",IFERROR(VLOOKUP($D872,物料档案!$A$4:$P$1203,3,0),"※编码不在物料档案里"))</f>
        <v/>
      </c>
      <c r="F872" s="24">
        <f>IF($D872="","",IFERROR(VLOOKUP($D872,物料档案!$A$4:$P$1203,4,0),"※编码不在物料档案里"))</f>
        <v/>
      </c>
      <c r="G872" s="24">
        <f>IF($D872="","",IFERROR(VLOOKUP($D872,物料档案!$A$4:$P$1203,5,0),"※编码不在物料档案里"))</f>
        <v/>
      </c>
      <c r="H872" s="24">
        <f>IF($D872="","",IFERROR(VLOOKUP($D872,物料档案!$A$4:$P$1203,2,0),"※编码不在物料档案里"))</f>
        <v/>
      </c>
      <c r="I872" s="24">
        <f>IF($D872="","",IFERROR(VLOOKUP($D872,物料档案!$A$4:$P$1203,6,0),"※编码不在物料档案里"))</f>
        <v/>
      </c>
      <c r="J872" s="23" t="n"/>
      <c r="K872" s="17" t="n"/>
      <c r="L872" s="17" t="n"/>
      <c r="M872" s="17" t="n"/>
      <c r="N872" s="17" t="n"/>
      <c r="O872" s="26">
        <f>IF($D872="","",IFERROR(VLOOKUP($D872,物料档案!$A$4:$P$1203,10,0),0))</f>
        <v/>
      </c>
      <c r="P872" s="32" t="n"/>
      <c r="Q872" s="26">
        <f>IF($D872="","",IF($K872&lt;&gt;"对外销售",0,ROUND(N($J872)*IF($P872="",N($O872),N($P872)),0)))</f>
        <v/>
      </c>
      <c r="R872" s="26">
        <f>IF($D872="","",IFERROR(VLOOKUP($D872,库存台账!$A$5:$Y$1204,11,0),0))</f>
        <v/>
      </c>
      <c r="S872" s="26">
        <f>IF($D872="","",ROUND(N($J872)*N($R872),0))</f>
        <v/>
      </c>
      <c r="T872" s="26">
        <f>IF($D872="","",IF($K872&lt;&gt;"对外销售","",ROUND($Q872-$S872,0)))</f>
        <v/>
      </c>
      <c r="U872" s="17" t="n"/>
      <c r="V872" s="17" t="n"/>
      <c r="W872" s="24">
        <f>IF($D872="","",IF($E872="※编码不在物料档案里","※物料编码不在档案里",IF(N($J872)&lt;=0,"※出库数量要大于 0",IF($K872="","※没填去向类型",IF($L872="","※没填去向矿区",IF(AND($C872&lt;&gt;"",$C872&lt;=结账锁),"※日期早于已结账截止日，不能再录",IF(AND($K872="自用消耗",COUNTIF({"一矿区";"二矿区"},$L872)=0),"※自用消耗的去向只能是一矿区或二矿区",IF(AND($K872="对外销售",COUNTIF({"三矿区";"六矿区"},$L872)=0),"※对外销售的去向只能是三矿区或六矿区",IF(AND($K872="对外销售",ROUND($Q872,0)=0),"※外销却没有售价，请填实际售价",IF(AND($K872="对外销售",$T872&lt;&gt;"",$T872&lt;0),"※这一笔外销是亏的，请核对售价",IF(IFERROR(VLOOKUP($D872,库存台账!$A$5:$Y$1204,24,0),0)&lt;-0.001,"※这个物料账面已经变成负数了，查一下是不是漏记入库","")))))))))))</f>
        <v/>
      </c>
    </row>
    <row r="873">
      <c r="A873" s="24">
        <f>IF($D873="","",COUNTA($D$4:$D873))</f>
        <v/>
      </c>
      <c r="B873" s="17" t="n"/>
      <c r="C873" s="30" t="n"/>
      <c r="D873" s="17" t="n"/>
      <c r="E873" s="24">
        <f>IF($D873="","",IFERROR(VLOOKUP($D873,物料档案!$A$4:$P$1203,3,0),"※编码不在物料档案里"))</f>
        <v/>
      </c>
      <c r="F873" s="24">
        <f>IF($D873="","",IFERROR(VLOOKUP($D873,物料档案!$A$4:$P$1203,4,0),"※编码不在物料档案里"))</f>
        <v/>
      </c>
      <c r="G873" s="24">
        <f>IF($D873="","",IFERROR(VLOOKUP($D873,物料档案!$A$4:$P$1203,5,0),"※编码不在物料档案里"))</f>
        <v/>
      </c>
      <c r="H873" s="24">
        <f>IF($D873="","",IFERROR(VLOOKUP($D873,物料档案!$A$4:$P$1203,2,0),"※编码不在物料档案里"))</f>
        <v/>
      </c>
      <c r="I873" s="24">
        <f>IF($D873="","",IFERROR(VLOOKUP($D873,物料档案!$A$4:$P$1203,6,0),"※编码不在物料档案里"))</f>
        <v/>
      </c>
      <c r="J873" s="23" t="n"/>
      <c r="K873" s="17" t="n"/>
      <c r="L873" s="17" t="n"/>
      <c r="M873" s="17" t="n"/>
      <c r="N873" s="17" t="n"/>
      <c r="O873" s="26">
        <f>IF($D873="","",IFERROR(VLOOKUP($D873,物料档案!$A$4:$P$1203,10,0),0))</f>
        <v/>
      </c>
      <c r="P873" s="32" t="n"/>
      <c r="Q873" s="26">
        <f>IF($D873="","",IF($K873&lt;&gt;"对外销售",0,ROUND(N($J873)*IF($P873="",N($O873),N($P873)),0)))</f>
        <v/>
      </c>
      <c r="R873" s="26">
        <f>IF($D873="","",IFERROR(VLOOKUP($D873,库存台账!$A$5:$Y$1204,11,0),0))</f>
        <v/>
      </c>
      <c r="S873" s="26">
        <f>IF($D873="","",ROUND(N($J873)*N($R873),0))</f>
        <v/>
      </c>
      <c r="T873" s="26">
        <f>IF($D873="","",IF($K873&lt;&gt;"对外销售","",ROUND($Q873-$S873,0)))</f>
        <v/>
      </c>
      <c r="U873" s="17" t="n"/>
      <c r="V873" s="17" t="n"/>
      <c r="W873" s="24">
        <f>IF($D873="","",IF($E873="※编码不在物料档案里","※物料编码不在档案里",IF(N($J873)&lt;=0,"※出库数量要大于 0",IF($K873="","※没填去向类型",IF($L873="","※没填去向矿区",IF(AND($C873&lt;&gt;"",$C873&lt;=结账锁),"※日期早于已结账截止日，不能再录",IF(AND($K873="自用消耗",COUNTIF({"一矿区";"二矿区"},$L873)=0),"※自用消耗的去向只能是一矿区或二矿区",IF(AND($K873="对外销售",COUNTIF({"三矿区";"六矿区"},$L873)=0),"※对外销售的去向只能是三矿区或六矿区",IF(AND($K873="对外销售",ROUND($Q873,0)=0),"※外销却没有售价，请填实际售价",IF(AND($K873="对外销售",$T873&lt;&gt;"",$T873&lt;0),"※这一笔外销是亏的，请核对售价",IF(IFERROR(VLOOKUP($D873,库存台账!$A$5:$Y$1204,24,0),0)&lt;-0.001,"※这个物料账面已经变成负数了，查一下是不是漏记入库","")))))))))))</f>
        <v/>
      </c>
    </row>
    <row r="874">
      <c r="A874" s="24">
        <f>IF($D874="","",COUNTA($D$4:$D874))</f>
        <v/>
      </c>
      <c r="B874" s="17" t="n"/>
      <c r="C874" s="30" t="n"/>
      <c r="D874" s="17" t="n"/>
      <c r="E874" s="24">
        <f>IF($D874="","",IFERROR(VLOOKUP($D874,物料档案!$A$4:$P$1203,3,0),"※编码不在物料档案里"))</f>
        <v/>
      </c>
      <c r="F874" s="24">
        <f>IF($D874="","",IFERROR(VLOOKUP($D874,物料档案!$A$4:$P$1203,4,0),"※编码不在物料档案里"))</f>
        <v/>
      </c>
      <c r="G874" s="24">
        <f>IF($D874="","",IFERROR(VLOOKUP($D874,物料档案!$A$4:$P$1203,5,0),"※编码不在物料档案里"))</f>
        <v/>
      </c>
      <c r="H874" s="24">
        <f>IF($D874="","",IFERROR(VLOOKUP($D874,物料档案!$A$4:$P$1203,2,0),"※编码不在物料档案里"))</f>
        <v/>
      </c>
      <c r="I874" s="24">
        <f>IF($D874="","",IFERROR(VLOOKUP($D874,物料档案!$A$4:$P$1203,6,0),"※编码不在物料档案里"))</f>
        <v/>
      </c>
      <c r="J874" s="23" t="n"/>
      <c r="K874" s="17" t="n"/>
      <c r="L874" s="17" t="n"/>
      <c r="M874" s="17" t="n"/>
      <c r="N874" s="17" t="n"/>
      <c r="O874" s="26">
        <f>IF($D874="","",IFERROR(VLOOKUP($D874,物料档案!$A$4:$P$1203,10,0),0))</f>
        <v/>
      </c>
      <c r="P874" s="32" t="n"/>
      <c r="Q874" s="26">
        <f>IF($D874="","",IF($K874&lt;&gt;"对外销售",0,ROUND(N($J874)*IF($P874="",N($O874),N($P874)),0)))</f>
        <v/>
      </c>
      <c r="R874" s="26">
        <f>IF($D874="","",IFERROR(VLOOKUP($D874,库存台账!$A$5:$Y$1204,11,0),0))</f>
        <v/>
      </c>
      <c r="S874" s="26">
        <f>IF($D874="","",ROUND(N($J874)*N($R874),0))</f>
        <v/>
      </c>
      <c r="T874" s="26">
        <f>IF($D874="","",IF($K874&lt;&gt;"对外销售","",ROUND($Q874-$S874,0)))</f>
        <v/>
      </c>
      <c r="U874" s="17" t="n"/>
      <c r="V874" s="17" t="n"/>
      <c r="W874" s="24">
        <f>IF($D874="","",IF($E874="※编码不在物料档案里","※物料编码不在档案里",IF(N($J874)&lt;=0,"※出库数量要大于 0",IF($K874="","※没填去向类型",IF($L874="","※没填去向矿区",IF(AND($C874&lt;&gt;"",$C874&lt;=结账锁),"※日期早于已结账截止日，不能再录",IF(AND($K874="自用消耗",COUNTIF({"一矿区";"二矿区"},$L874)=0),"※自用消耗的去向只能是一矿区或二矿区",IF(AND($K874="对外销售",COUNTIF({"三矿区";"六矿区"},$L874)=0),"※对外销售的去向只能是三矿区或六矿区",IF(AND($K874="对外销售",ROUND($Q874,0)=0),"※外销却没有售价，请填实际售价",IF(AND($K874="对外销售",$T874&lt;&gt;"",$T874&lt;0),"※这一笔外销是亏的，请核对售价",IF(IFERROR(VLOOKUP($D874,库存台账!$A$5:$Y$1204,24,0),0)&lt;-0.001,"※这个物料账面已经变成负数了，查一下是不是漏记入库","")))))))))))</f>
        <v/>
      </c>
    </row>
    <row r="875">
      <c r="A875" s="24">
        <f>IF($D875="","",COUNTA($D$4:$D875))</f>
        <v/>
      </c>
      <c r="B875" s="17" t="n"/>
      <c r="C875" s="30" t="n"/>
      <c r="D875" s="17" t="n"/>
      <c r="E875" s="24">
        <f>IF($D875="","",IFERROR(VLOOKUP($D875,物料档案!$A$4:$P$1203,3,0),"※编码不在物料档案里"))</f>
        <v/>
      </c>
      <c r="F875" s="24">
        <f>IF($D875="","",IFERROR(VLOOKUP($D875,物料档案!$A$4:$P$1203,4,0),"※编码不在物料档案里"))</f>
        <v/>
      </c>
      <c r="G875" s="24">
        <f>IF($D875="","",IFERROR(VLOOKUP($D875,物料档案!$A$4:$P$1203,5,0),"※编码不在物料档案里"))</f>
        <v/>
      </c>
      <c r="H875" s="24">
        <f>IF($D875="","",IFERROR(VLOOKUP($D875,物料档案!$A$4:$P$1203,2,0),"※编码不在物料档案里"))</f>
        <v/>
      </c>
      <c r="I875" s="24">
        <f>IF($D875="","",IFERROR(VLOOKUP($D875,物料档案!$A$4:$P$1203,6,0),"※编码不在物料档案里"))</f>
        <v/>
      </c>
      <c r="J875" s="23" t="n"/>
      <c r="K875" s="17" t="n"/>
      <c r="L875" s="17" t="n"/>
      <c r="M875" s="17" t="n"/>
      <c r="N875" s="17" t="n"/>
      <c r="O875" s="26">
        <f>IF($D875="","",IFERROR(VLOOKUP($D875,物料档案!$A$4:$P$1203,10,0),0))</f>
        <v/>
      </c>
      <c r="P875" s="32" t="n"/>
      <c r="Q875" s="26">
        <f>IF($D875="","",IF($K875&lt;&gt;"对外销售",0,ROUND(N($J875)*IF($P875="",N($O875),N($P875)),0)))</f>
        <v/>
      </c>
      <c r="R875" s="26">
        <f>IF($D875="","",IFERROR(VLOOKUP($D875,库存台账!$A$5:$Y$1204,11,0),0))</f>
        <v/>
      </c>
      <c r="S875" s="26">
        <f>IF($D875="","",ROUND(N($J875)*N($R875),0))</f>
        <v/>
      </c>
      <c r="T875" s="26">
        <f>IF($D875="","",IF($K875&lt;&gt;"对外销售","",ROUND($Q875-$S875,0)))</f>
        <v/>
      </c>
      <c r="U875" s="17" t="n"/>
      <c r="V875" s="17" t="n"/>
      <c r="W875" s="24">
        <f>IF($D875="","",IF($E875="※编码不在物料档案里","※物料编码不在档案里",IF(N($J875)&lt;=0,"※出库数量要大于 0",IF($K875="","※没填去向类型",IF($L875="","※没填去向矿区",IF(AND($C875&lt;&gt;"",$C875&lt;=结账锁),"※日期早于已结账截止日，不能再录",IF(AND($K875="自用消耗",COUNTIF({"一矿区";"二矿区"},$L875)=0),"※自用消耗的去向只能是一矿区或二矿区",IF(AND($K875="对外销售",COUNTIF({"三矿区";"六矿区"},$L875)=0),"※对外销售的去向只能是三矿区或六矿区",IF(AND($K875="对外销售",ROUND($Q875,0)=0),"※外销却没有售价，请填实际售价",IF(AND($K875="对外销售",$T875&lt;&gt;"",$T875&lt;0),"※这一笔外销是亏的，请核对售价",IF(IFERROR(VLOOKUP($D875,库存台账!$A$5:$Y$1204,24,0),0)&lt;-0.001,"※这个物料账面已经变成负数了，查一下是不是漏记入库","")))))))))))</f>
        <v/>
      </c>
    </row>
    <row r="876">
      <c r="A876" s="24">
        <f>IF($D876="","",COUNTA($D$4:$D876))</f>
        <v/>
      </c>
      <c r="B876" s="17" t="n"/>
      <c r="C876" s="30" t="n"/>
      <c r="D876" s="17" t="n"/>
      <c r="E876" s="24">
        <f>IF($D876="","",IFERROR(VLOOKUP($D876,物料档案!$A$4:$P$1203,3,0),"※编码不在物料档案里"))</f>
        <v/>
      </c>
      <c r="F876" s="24">
        <f>IF($D876="","",IFERROR(VLOOKUP($D876,物料档案!$A$4:$P$1203,4,0),"※编码不在物料档案里"))</f>
        <v/>
      </c>
      <c r="G876" s="24">
        <f>IF($D876="","",IFERROR(VLOOKUP($D876,物料档案!$A$4:$P$1203,5,0),"※编码不在物料档案里"))</f>
        <v/>
      </c>
      <c r="H876" s="24">
        <f>IF($D876="","",IFERROR(VLOOKUP($D876,物料档案!$A$4:$P$1203,2,0),"※编码不在物料档案里"))</f>
        <v/>
      </c>
      <c r="I876" s="24">
        <f>IF($D876="","",IFERROR(VLOOKUP($D876,物料档案!$A$4:$P$1203,6,0),"※编码不在物料档案里"))</f>
        <v/>
      </c>
      <c r="J876" s="23" t="n"/>
      <c r="K876" s="17" t="n"/>
      <c r="L876" s="17" t="n"/>
      <c r="M876" s="17" t="n"/>
      <c r="N876" s="17" t="n"/>
      <c r="O876" s="26">
        <f>IF($D876="","",IFERROR(VLOOKUP($D876,物料档案!$A$4:$P$1203,10,0),0))</f>
        <v/>
      </c>
      <c r="P876" s="32" t="n"/>
      <c r="Q876" s="26">
        <f>IF($D876="","",IF($K876&lt;&gt;"对外销售",0,ROUND(N($J876)*IF($P876="",N($O876),N($P876)),0)))</f>
        <v/>
      </c>
      <c r="R876" s="26">
        <f>IF($D876="","",IFERROR(VLOOKUP($D876,库存台账!$A$5:$Y$1204,11,0),0))</f>
        <v/>
      </c>
      <c r="S876" s="26">
        <f>IF($D876="","",ROUND(N($J876)*N($R876),0))</f>
        <v/>
      </c>
      <c r="T876" s="26">
        <f>IF($D876="","",IF($K876&lt;&gt;"对外销售","",ROUND($Q876-$S876,0)))</f>
        <v/>
      </c>
      <c r="U876" s="17" t="n"/>
      <c r="V876" s="17" t="n"/>
      <c r="W876" s="24">
        <f>IF($D876="","",IF($E876="※编码不在物料档案里","※物料编码不在档案里",IF(N($J876)&lt;=0,"※出库数量要大于 0",IF($K876="","※没填去向类型",IF($L876="","※没填去向矿区",IF(AND($C876&lt;&gt;"",$C876&lt;=结账锁),"※日期早于已结账截止日，不能再录",IF(AND($K876="自用消耗",COUNTIF({"一矿区";"二矿区"},$L876)=0),"※自用消耗的去向只能是一矿区或二矿区",IF(AND($K876="对外销售",COUNTIF({"三矿区";"六矿区"},$L876)=0),"※对外销售的去向只能是三矿区或六矿区",IF(AND($K876="对外销售",ROUND($Q876,0)=0),"※外销却没有售价，请填实际售价",IF(AND($K876="对外销售",$T876&lt;&gt;"",$T876&lt;0),"※这一笔外销是亏的，请核对售价",IF(IFERROR(VLOOKUP($D876,库存台账!$A$5:$Y$1204,24,0),0)&lt;-0.001,"※这个物料账面已经变成负数了，查一下是不是漏记入库","")))))))))))</f>
        <v/>
      </c>
    </row>
    <row r="877">
      <c r="A877" s="24">
        <f>IF($D877="","",COUNTA($D$4:$D877))</f>
        <v/>
      </c>
      <c r="B877" s="17" t="n"/>
      <c r="C877" s="30" t="n"/>
      <c r="D877" s="17" t="n"/>
      <c r="E877" s="24">
        <f>IF($D877="","",IFERROR(VLOOKUP($D877,物料档案!$A$4:$P$1203,3,0),"※编码不在物料档案里"))</f>
        <v/>
      </c>
      <c r="F877" s="24">
        <f>IF($D877="","",IFERROR(VLOOKUP($D877,物料档案!$A$4:$P$1203,4,0),"※编码不在物料档案里"))</f>
        <v/>
      </c>
      <c r="G877" s="24">
        <f>IF($D877="","",IFERROR(VLOOKUP($D877,物料档案!$A$4:$P$1203,5,0),"※编码不在物料档案里"))</f>
        <v/>
      </c>
      <c r="H877" s="24">
        <f>IF($D877="","",IFERROR(VLOOKUP($D877,物料档案!$A$4:$P$1203,2,0),"※编码不在物料档案里"))</f>
        <v/>
      </c>
      <c r="I877" s="24">
        <f>IF($D877="","",IFERROR(VLOOKUP($D877,物料档案!$A$4:$P$1203,6,0),"※编码不在物料档案里"))</f>
        <v/>
      </c>
      <c r="J877" s="23" t="n"/>
      <c r="K877" s="17" t="n"/>
      <c r="L877" s="17" t="n"/>
      <c r="M877" s="17" t="n"/>
      <c r="N877" s="17" t="n"/>
      <c r="O877" s="26">
        <f>IF($D877="","",IFERROR(VLOOKUP($D877,物料档案!$A$4:$P$1203,10,0),0))</f>
        <v/>
      </c>
      <c r="P877" s="32" t="n"/>
      <c r="Q877" s="26">
        <f>IF($D877="","",IF($K877&lt;&gt;"对外销售",0,ROUND(N($J877)*IF($P877="",N($O877),N($P877)),0)))</f>
        <v/>
      </c>
      <c r="R877" s="26">
        <f>IF($D877="","",IFERROR(VLOOKUP($D877,库存台账!$A$5:$Y$1204,11,0),0))</f>
        <v/>
      </c>
      <c r="S877" s="26">
        <f>IF($D877="","",ROUND(N($J877)*N($R877),0))</f>
        <v/>
      </c>
      <c r="T877" s="26">
        <f>IF($D877="","",IF($K877&lt;&gt;"对外销售","",ROUND($Q877-$S877,0)))</f>
        <v/>
      </c>
      <c r="U877" s="17" t="n"/>
      <c r="V877" s="17" t="n"/>
      <c r="W877" s="24">
        <f>IF($D877="","",IF($E877="※编码不在物料档案里","※物料编码不在档案里",IF(N($J877)&lt;=0,"※出库数量要大于 0",IF($K877="","※没填去向类型",IF($L877="","※没填去向矿区",IF(AND($C877&lt;&gt;"",$C877&lt;=结账锁),"※日期早于已结账截止日，不能再录",IF(AND($K877="自用消耗",COUNTIF({"一矿区";"二矿区"},$L877)=0),"※自用消耗的去向只能是一矿区或二矿区",IF(AND($K877="对外销售",COUNTIF({"三矿区";"六矿区"},$L877)=0),"※对外销售的去向只能是三矿区或六矿区",IF(AND($K877="对外销售",ROUND($Q877,0)=0),"※外销却没有售价，请填实际售价",IF(AND($K877="对外销售",$T877&lt;&gt;"",$T877&lt;0),"※这一笔外销是亏的，请核对售价",IF(IFERROR(VLOOKUP($D877,库存台账!$A$5:$Y$1204,24,0),0)&lt;-0.001,"※这个物料账面已经变成负数了，查一下是不是漏记入库","")))))))))))</f>
        <v/>
      </c>
    </row>
    <row r="878">
      <c r="A878" s="24">
        <f>IF($D878="","",COUNTA($D$4:$D878))</f>
        <v/>
      </c>
      <c r="B878" s="17" t="n"/>
      <c r="C878" s="30" t="n"/>
      <c r="D878" s="17" t="n"/>
      <c r="E878" s="24">
        <f>IF($D878="","",IFERROR(VLOOKUP($D878,物料档案!$A$4:$P$1203,3,0),"※编码不在物料档案里"))</f>
        <v/>
      </c>
      <c r="F878" s="24">
        <f>IF($D878="","",IFERROR(VLOOKUP($D878,物料档案!$A$4:$P$1203,4,0),"※编码不在物料档案里"))</f>
        <v/>
      </c>
      <c r="G878" s="24">
        <f>IF($D878="","",IFERROR(VLOOKUP($D878,物料档案!$A$4:$P$1203,5,0),"※编码不在物料档案里"))</f>
        <v/>
      </c>
      <c r="H878" s="24">
        <f>IF($D878="","",IFERROR(VLOOKUP($D878,物料档案!$A$4:$P$1203,2,0),"※编码不在物料档案里"))</f>
        <v/>
      </c>
      <c r="I878" s="24">
        <f>IF($D878="","",IFERROR(VLOOKUP($D878,物料档案!$A$4:$P$1203,6,0),"※编码不在物料档案里"))</f>
        <v/>
      </c>
      <c r="J878" s="23" t="n"/>
      <c r="K878" s="17" t="n"/>
      <c r="L878" s="17" t="n"/>
      <c r="M878" s="17" t="n"/>
      <c r="N878" s="17" t="n"/>
      <c r="O878" s="26">
        <f>IF($D878="","",IFERROR(VLOOKUP($D878,物料档案!$A$4:$P$1203,10,0),0))</f>
        <v/>
      </c>
      <c r="P878" s="32" t="n"/>
      <c r="Q878" s="26">
        <f>IF($D878="","",IF($K878&lt;&gt;"对外销售",0,ROUND(N($J878)*IF($P878="",N($O878),N($P878)),0)))</f>
        <v/>
      </c>
      <c r="R878" s="26">
        <f>IF($D878="","",IFERROR(VLOOKUP($D878,库存台账!$A$5:$Y$1204,11,0),0))</f>
        <v/>
      </c>
      <c r="S878" s="26">
        <f>IF($D878="","",ROUND(N($J878)*N($R878),0))</f>
        <v/>
      </c>
      <c r="T878" s="26">
        <f>IF($D878="","",IF($K878&lt;&gt;"对外销售","",ROUND($Q878-$S878,0)))</f>
        <v/>
      </c>
      <c r="U878" s="17" t="n"/>
      <c r="V878" s="17" t="n"/>
      <c r="W878" s="24">
        <f>IF($D878="","",IF($E878="※编码不在物料档案里","※物料编码不在档案里",IF(N($J878)&lt;=0,"※出库数量要大于 0",IF($K878="","※没填去向类型",IF($L878="","※没填去向矿区",IF(AND($C878&lt;&gt;"",$C878&lt;=结账锁),"※日期早于已结账截止日，不能再录",IF(AND($K878="自用消耗",COUNTIF({"一矿区";"二矿区"},$L878)=0),"※自用消耗的去向只能是一矿区或二矿区",IF(AND($K878="对外销售",COUNTIF({"三矿区";"六矿区"},$L878)=0),"※对外销售的去向只能是三矿区或六矿区",IF(AND($K878="对外销售",ROUND($Q878,0)=0),"※外销却没有售价，请填实际售价",IF(AND($K878="对外销售",$T878&lt;&gt;"",$T878&lt;0),"※这一笔外销是亏的，请核对售价",IF(IFERROR(VLOOKUP($D878,库存台账!$A$5:$Y$1204,24,0),0)&lt;-0.001,"※这个物料账面已经变成负数了，查一下是不是漏记入库","")))))))))))</f>
        <v/>
      </c>
    </row>
    <row r="879">
      <c r="A879" s="24">
        <f>IF($D879="","",COUNTA($D$4:$D879))</f>
        <v/>
      </c>
      <c r="B879" s="17" t="n"/>
      <c r="C879" s="30" t="n"/>
      <c r="D879" s="17" t="n"/>
      <c r="E879" s="24">
        <f>IF($D879="","",IFERROR(VLOOKUP($D879,物料档案!$A$4:$P$1203,3,0),"※编码不在物料档案里"))</f>
        <v/>
      </c>
      <c r="F879" s="24">
        <f>IF($D879="","",IFERROR(VLOOKUP($D879,物料档案!$A$4:$P$1203,4,0),"※编码不在物料档案里"))</f>
        <v/>
      </c>
      <c r="G879" s="24">
        <f>IF($D879="","",IFERROR(VLOOKUP($D879,物料档案!$A$4:$P$1203,5,0),"※编码不在物料档案里"))</f>
        <v/>
      </c>
      <c r="H879" s="24">
        <f>IF($D879="","",IFERROR(VLOOKUP($D879,物料档案!$A$4:$P$1203,2,0),"※编码不在物料档案里"))</f>
        <v/>
      </c>
      <c r="I879" s="24">
        <f>IF($D879="","",IFERROR(VLOOKUP($D879,物料档案!$A$4:$P$1203,6,0),"※编码不在物料档案里"))</f>
        <v/>
      </c>
      <c r="J879" s="23" t="n"/>
      <c r="K879" s="17" t="n"/>
      <c r="L879" s="17" t="n"/>
      <c r="M879" s="17" t="n"/>
      <c r="N879" s="17" t="n"/>
      <c r="O879" s="26">
        <f>IF($D879="","",IFERROR(VLOOKUP($D879,物料档案!$A$4:$P$1203,10,0),0))</f>
        <v/>
      </c>
      <c r="P879" s="32" t="n"/>
      <c r="Q879" s="26">
        <f>IF($D879="","",IF($K879&lt;&gt;"对外销售",0,ROUND(N($J879)*IF($P879="",N($O879),N($P879)),0)))</f>
        <v/>
      </c>
      <c r="R879" s="26">
        <f>IF($D879="","",IFERROR(VLOOKUP($D879,库存台账!$A$5:$Y$1204,11,0),0))</f>
        <v/>
      </c>
      <c r="S879" s="26">
        <f>IF($D879="","",ROUND(N($J879)*N($R879),0))</f>
        <v/>
      </c>
      <c r="T879" s="26">
        <f>IF($D879="","",IF($K879&lt;&gt;"对外销售","",ROUND($Q879-$S879,0)))</f>
        <v/>
      </c>
      <c r="U879" s="17" t="n"/>
      <c r="V879" s="17" t="n"/>
      <c r="W879" s="24">
        <f>IF($D879="","",IF($E879="※编码不在物料档案里","※物料编码不在档案里",IF(N($J879)&lt;=0,"※出库数量要大于 0",IF($K879="","※没填去向类型",IF($L879="","※没填去向矿区",IF(AND($C879&lt;&gt;"",$C879&lt;=结账锁),"※日期早于已结账截止日，不能再录",IF(AND($K879="自用消耗",COUNTIF({"一矿区";"二矿区"},$L879)=0),"※自用消耗的去向只能是一矿区或二矿区",IF(AND($K879="对外销售",COUNTIF({"三矿区";"六矿区"},$L879)=0),"※对外销售的去向只能是三矿区或六矿区",IF(AND($K879="对外销售",ROUND($Q879,0)=0),"※外销却没有售价，请填实际售价",IF(AND($K879="对外销售",$T879&lt;&gt;"",$T879&lt;0),"※这一笔外销是亏的，请核对售价",IF(IFERROR(VLOOKUP($D879,库存台账!$A$5:$Y$1204,24,0),0)&lt;-0.001,"※这个物料账面已经变成负数了，查一下是不是漏记入库","")))))))))))</f>
        <v/>
      </c>
    </row>
    <row r="880">
      <c r="A880" s="24">
        <f>IF($D880="","",COUNTA($D$4:$D880))</f>
        <v/>
      </c>
      <c r="B880" s="17" t="n"/>
      <c r="C880" s="30" t="n"/>
      <c r="D880" s="17" t="n"/>
      <c r="E880" s="24">
        <f>IF($D880="","",IFERROR(VLOOKUP($D880,物料档案!$A$4:$P$1203,3,0),"※编码不在物料档案里"))</f>
        <v/>
      </c>
      <c r="F880" s="24">
        <f>IF($D880="","",IFERROR(VLOOKUP($D880,物料档案!$A$4:$P$1203,4,0),"※编码不在物料档案里"))</f>
        <v/>
      </c>
      <c r="G880" s="24">
        <f>IF($D880="","",IFERROR(VLOOKUP($D880,物料档案!$A$4:$P$1203,5,0),"※编码不在物料档案里"))</f>
        <v/>
      </c>
      <c r="H880" s="24">
        <f>IF($D880="","",IFERROR(VLOOKUP($D880,物料档案!$A$4:$P$1203,2,0),"※编码不在物料档案里"))</f>
        <v/>
      </c>
      <c r="I880" s="24">
        <f>IF($D880="","",IFERROR(VLOOKUP($D880,物料档案!$A$4:$P$1203,6,0),"※编码不在物料档案里"))</f>
        <v/>
      </c>
      <c r="J880" s="23" t="n"/>
      <c r="K880" s="17" t="n"/>
      <c r="L880" s="17" t="n"/>
      <c r="M880" s="17" t="n"/>
      <c r="N880" s="17" t="n"/>
      <c r="O880" s="26">
        <f>IF($D880="","",IFERROR(VLOOKUP($D880,物料档案!$A$4:$P$1203,10,0),0))</f>
        <v/>
      </c>
      <c r="P880" s="32" t="n"/>
      <c r="Q880" s="26">
        <f>IF($D880="","",IF($K880&lt;&gt;"对外销售",0,ROUND(N($J880)*IF($P880="",N($O880),N($P880)),0)))</f>
        <v/>
      </c>
      <c r="R880" s="26">
        <f>IF($D880="","",IFERROR(VLOOKUP($D880,库存台账!$A$5:$Y$1204,11,0),0))</f>
        <v/>
      </c>
      <c r="S880" s="26">
        <f>IF($D880="","",ROUND(N($J880)*N($R880),0))</f>
        <v/>
      </c>
      <c r="T880" s="26">
        <f>IF($D880="","",IF($K880&lt;&gt;"对外销售","",ROUND($Q880-$S880,0)))</f>
        <v/>
      </c>
      <c r="U880" s="17" t="n"/>
      <c r="V880" s="17" t="n"/>
      <c r="W880" s="24">
        <f>IF($D880="","",IF($E880="※编码不在物料档案里","※物料编码不在档案里",IF(N($J880)&lt;=0,"※出库数量要大于 0",IF($K880="","※没填去向类型",IF($L880="","※没填去向矿区",IF(AND($C880&lt;&gt;"",$C880&lt;=结账锁),"※日期早于已结账截止日，不能再录",IF(AND($K880="自用消耗",COUNTIF({"一矿区";"二矿区"},$L880)=0),"※自用消耗的去向只能是一矿区或二矿区",IF(AND($K880="对外销售",COUNTIF({"三矿区";"六矿区"},$L880)=0),"※对外销售的去向只能是三矿区或六矿区",IF(AND($K880="对外销售",ROUND($Q880,0)=0),"※外销却没有售价，请填实际售价",IF(AND($K880="对外销售",$T880&lt;&gt;"",$T880&lt;0),"※这一笔外销是亏的，请核对售价",IF(IFERROR(VLOOKUP($D880,库存台账!$A$5:$Y$1204,24,0),0)&lt;-0.001,"※这个物料账面已经变成负数了，查一下是不是漏记入库","")))))))))))</f>
        <v/>
      </c>
    </row>
    <row r="881">
      <c r="A881" s="24">
        <f>IF($D881="","",COUNTA($D$4:$D881))</f>
        <v/>
      </c>
      <c r="B881" s="17" t="n"/>
      <c r="C881" s="30" t="n"/>
      <c r="D881" s="17" t="n"/>
      <c r="E881" s="24">
        <f>IF($D881="","",IFERROR(VLOOKUP($D881,物料档案!$A$4:$P$1203,3,0),"※编码不在物料档案里"))</f>
        <v/>
      </c>
      <c r="F881" s="24">
        <f>IF($D881="","",IFERROR(VLOOKUP($D881,物料档案!$A$4:$P$1203,4,0),"※编码不在物料档案里"))</f>
        <v/>
      </c>
      <c r="G881" s="24">
        <f>IF($D881="","",IFERROR(VLOOKUP($D881,物料档案!$A$4:$P$1203,5,0),"※编码不在物料档案里"))</f>
        <v/>
      </c>
      <c r="H881" s="24">
        <f>IF($D881="","",IFERROR(VLOOKUP($D881,物料档案!$A$4:$P$1203,2,0),"※编码不在物料档案里"))</f>
        <v/>
      </c>
      <c r="I881" s="24">
        <f>IF($D881="","",IFERROR(VLOOKUP($D881,物料档案!$A$4:$P$1203,6,0),"※编码不在物料档案里"))</f>
        <v/>
      </c>
      <c r="J881" s="23" t="n"/>
      <c r="K881" s="17" t="n"/>
      <c r="L881" s="17" t="n"/>
      <c r="M881" s="17" t="n"/>
      <c r="N881" s="17" t="n"/>
      <c r="O881" s="26">
        <f>IF($D881="","",IFERROR(VLOOKUP($D881,物料档案!$A$4:$P$1203,10,0),0))</f>
        <v/>
      </c>
      <c r="P881" s="32" t="n"/>
      <c r="Q881" s="26">
        <f>IF($D881="","",IF($K881&lt;&gt;"对外销售",0,ROUND(N($J881)*IF($P881="",N($O881),N($P881)),0)))</f>
        <v/>
      </c>
      <c r="R881" s="26">
        <f>IF($D881="","",IFERROR(VLOOKUP($D881,库存台账!$A$5:$Y$1204,11,0),0))</f>
        <v/>
      </c>
      <c r="S881" s="26">
        <f>IF($D881="","",ROUND(N($J881)*N($R881),0))</f>
        <v/>
      </c>
      <c r="T881" s="26">
        <f>IF($D881="","",IF($K881&lt;&gt;"对外销售","",ROUND($Q881-$S881,0)))</f>
        <v/>
      </c>
      <c r="U881" s="17" t="n"/>
      <c r="V881" s="17" t="n"/>
      <c r="W881" s="24">
        <f>IF($D881="","",IF($E881="※编码不在物料档案里","※物料编码不在档案里",IF(N($J881)&lt;=0,"※出库数量要大于 0",IF($K881="","※没填去向类型",IF($L881="","※没填去向矿区",IF(AND($C881&lt;&gt;"",$C881&lt;=结账锁),"※日期早于已结账截止日，不能再录",IF(AND($K881="自用消耗",COUNTIF({"一矿区";"二矿区"},$L881)=0),"※自用消耗的去向只能是一矿区或二矿区",IF(AND($K881="对外销售",COUNTIF({"三矿区";"六矿区"},$L881)=0),"※对外销售的去向只能是三矿区或六矿区",IF(AND($K881="对外销售",ROUND($Q881,0)=0),"※外销却没有售价，请填实际售价",IF(AND($K881="对外销售",$T881&lt;&gt;"",$T881&lt;0),"※这一笔外销是亏的，请核对售价",IF(IFERROR(VLOOKUP($D881,库存台账!$A$5:$Y$1204,24,0),0)&lt;-0.001,"※这个物料账面已经变成负数了，查一下是不是漏记入库","")))))))))))</f>
        <v/>
      </c>
    </row>
    <row r="882">
      <c r="A882" s="24">
        <f>IF($D882="","",COUNTA($D$4:$D882))</f>
        <v/>
      </c>
      <c r="B882" s="17" t="n"/>
      <c r="C882" s="30" t="n"/>
      <c r="D882" s="17" t="n"/>
      <c r="E882" s="24">
        <f>IF($D882="","",IFERROR(VLOOKUP($D882,物料档案!$A$4:$P$1203,3,0),"※编码不在物料档案里"))</f>
        <v/>
      </c>
      <c r="F882" s="24">
        <f>IF($D882="","",IFERROR(VLOOKUP($D882,物料档案!$A$4:$P$1203,4,0),"※编码不在物料档案里"))</f>
        <v/>
      </c>
      <c r="G882" s="24">
        <f>IF($D882="","",IFERROR(VLOOKUP($D882,物料档案!$A$4:$P$1203,5,0),"※编码不在物料档案里"))</f>
        <v/>
      </c>
      <c r="H882" s="24">
        <f>IF($D882="","",IFERROR(VLOOKUP($D882,物料档案!$A$4:$P$1203,2,0),"※编码不在物料档案里"))</f>
        <v/>
      </c>
      <c r="I882" s="24">
        <f>IF($D882="","",IFERROR(VLOOKUP($D882,物料档案!$A$4:$P$1203,6,0),"※编码不在物料档案里"))</f>
        <v/>
      </c>
      <c r="J882" s="23" t="n"/>
      <c r="K882" s="17" t="n"/>
      <c r="L882" s="17" t="n"/>
      <c r="M882" s="17" t="n"/>
      <c r="N882" s="17" t="n"/>
      <c r="O882" s="26">
        <f>IF($D882="","",IFERROR(VLOOKUP($D882,物料档案!$A$4:$P$1203,10,0),0))</f>
        <v/>
      </c>
      <c r="P882" s="32" t="n"/>
      <c r="Q882" s="26">
        <f>IF($D882="","",IF($K882&lt;&gt;"对外销售",0,ROUND(N($J882)*IF($P882="",N($O882),N($P882)),0)))</f>
        <v/>
      </c>
      <c r="R882" s="26">
        <f>IF($D882="","",IFERROR(VLOOKUP($D882,库存台账!$A$5:$Y$1204,11,0),0))</f>
        <v/>
      </c>
      <c r="S882" s="26">
        <f>IF($D882="","",ROUND(N($J882)*N($R882),0))</f>
        <v/>
      </c>
      <c r="T882" s="26">
        <f>IF($D882="","",IF($K882&lt;&gt;"对外销售","",ROUND($Q882-$S882,0)))</f>
        <v/>
      </c>
      <c r="U882" s="17" t="n"/>
      <c r="V882" s="17" t="n"/>
      <c r="W882" s="24">
        <f>IF($D882="","",IF($E882="※编码不在物料档案里","※物料编码不在档案里",IF(N($J882)&lt;=0,"※出库数量要大于 0",IF($K882="","※没填去向类型",IF($L882="","※没填去向矿区",IF(AND($C882&lt;&gt;"",$C882&lt;=结账锁),"※日期早于已结账截止日，不能再录",IF(AND($K882="自用消耗",COUNTIF({"一矿区";"二矿区"},$L882)=0),"※自用消耗的去向只能是一矿区或二矿区",IF(AND($K882="对外销售",COUNTIF({"三矿区";"六矿区"},$L882)=0),"※对外销售的去向只能是三矿区或六矿区",IF(AND($K882="对外销售",ROUND($Q882,0)=0),"※外销却没有售价，请填实际售价",IF(AND($K882="对外销售",$T882&lt;&gt;"",$T882&lt;0),"※这一笔外销是亏的，请核对售价",IF(IFERROR(VLOOKUP($D882,库存台账!$A$5:$Y$1204,24,0),0)&lt;-0.001,"※这个物料账面已经变成负数了，查一下是不是漏记入库","")))))))))))</f>
        <v/>
      </c>
    </row>
    <row r="883">
      <c r="A883" s="24">
        <f>IF($D883="","",COUNTA($D$4:$D883))</f>
        <v/>
      </c>
      <c r="B883" s="17" t="n"/>
      <c r="C883" s="30" t="n"/>
      <c r="D883" s="17" t="n"/>
      <c r="E883" s="24">
        <f>IF($D883="","",IFERROR(VLOOKUP($D883,物料档案!$A$4:$P$1203,3,0),"※编码不在物料档案里"))</f>
        <v/>
      </c>
      <c r="F883" s="24">
        <f>IF($D883="","",IFERROR(VLOOKUP($D883,物料档案!$A$4:$P$1203,4,0),"※编码不在物料档案里"))</f>
        <v/>
      </c>
      <c r="G883" s="24">
        <f>IF($D883="","",IFERROR(VLOOKUP($D883,物料档案!$A$4:$P$1203,5,0),"※编码不在物料档案里"))</f>
        <v/>
      </c>
      <c r="H883" s="24">
        <f>IF($D883="","",IFERROR(VLOOKUP($D883,物料档案!$A$4:$P$1203,2,0),"※编码不在物料档案里"))</f>
        <v/>
      </c>
      <c r="I883" s="24">
        <f>IF($D883="","",IFERROR(VLOOKUP($D883,物料档案!$A$4:$P$1203,6,0),"※编码不在物料档案里"))</f>
        <v/>
      </c>
      <c r="J883" s="23" t="n"/>
      <c r="K883" s="17" t="n"/>
      <c r="L883" s="17" t="n"/>
      <c r="M883" s="17" t="n"/>
      <c r="N883" s="17" t="n"/>
      <c r="O883" s="26">
        <f>IF($D883="","",IFERROR(VLOOKUP($D883,物料档案!$A$4:$P$1203,10,0),0))</f>
        <v/>
      </c>
      <c r="P883" s="32" t="n"/>
      <c r="Q883" s="26">
        <f>IF($D883="","",IF($K883&lt;&gt;"对外销售",0,ROUND(N($J883)*IF($P883="",N($O883),N($P883)),0)))</f>
        <v/>
      </c>
      <c r="R883" s="26">
        <f>IF($D883="","",IFERROR(VLOOKUP($D883,库存台账!$A$5:$Y$1204,11,0),0))</f>
        <v/>
      </c>
      <c r="S883" s="26">
        <f>IF($D883="","",ROUND(N($J883)*N($R883),0))</f>
        <v/>
      </c>
      <c r="T883" s="26">
        <f>IF($D883="","",IF($K883&lt;&gt;"对外销售","",ROUND($Q883-$S883,0)))</f>
        <v/>
      </c>
      <c r="U883" s="17" t="n"/>
      <c r="V883" s="17" t="n"/>
      <c r="W883" s="24">
        <f>IF($D883="","",IF($E883="※编码不在物料档案里","※物料编码不在档案里",IF(N($J883)&lt;=0,"※出库数量要大于 0",IF($K883="","※没填去向类型",IF($L883="","※没填去向矿区",IF(AND($C883&lt;&gt;"",$C883&lt;=结账锁),"※日期早于已结账截止日，不能再录",IF(AND($K883="自用消耗",COUNTIF({"一矿区";"二矿区"},$L883)=0),"※自用消耗的去向只能是一矿区或二矿区",IF(AND($K883="对外销售",COUNTIF({"三矿区";"六矿区"},$L883)=0),"※对外销售的去向只能是三矿区或六矿区",IF(AND($K883="对外销售",ROUND($Q883,0)=0),"※外销却没有售价，请填实际售价",IF(AND($K883="对外销售",$T883&lt;&gt;"",$T883&lt;0),"※这一笔外销是亏的，请核对售价",IF(IFERROR(VLOOKUP($D883,库存台账!$A$5:$Y$1204,24,0),0)&lt;-0.001,"※这个物料账面已经变成负数了，查一下是不是漏记入库","")))))))))))</f>
        <v/>
      </c>
    </row>
    <row r="884">
      <c r="A884" s="24">
        <f>IF($D884="","",COUNTA($D$4:$D884))</f>
        <v/>
      </c>
      <c r="B884" s="17" t="n"/>
      <c r="C884" s="30" t="n"/>
      <c r="D884" s="17" t="n"/>
      <c r="E884" s="24">
        <f>IF($D884="","",IFERROR(VLOOKUP($D884,物料档案!$A$4:$P$1203,3,0),"※编码不在物料档案里"))</f>
        <v/>
      </c>
      <c r="F884" s="24">
        <f>IF($D884="","",IFERROR(VLOOKUP($D884,物料档案!$A$4:$P$1203,4,0),"※编码不在物料档案里"))</f>
        <v/>
      </c>
      <c r="G884" s="24">
        <f>IF($D884="","",IFERROR(VLOOKUP($D884,物料档案!$A$4:$P$1203,5,0),"※编码不在物料档案里"))</f>
        <v/>
      </c>
      <c r="H884" s="24">
        <f>IF($D884="","",IFERROR(VLOOKUP($D884,物料档案!$A$4:$P$1203,2,0),"※编码不在物料档案里"))</f>
        <v/>
      </c>
      <c r="I884" s="24">
        <f>IF($D884="","",IFERROR(VLOOKUP($D884,物料档案!$A$4:$P$1203,6,0),"※编码不在物料档案里"))</f>
        <v/>
      </c>
      <c r="J884" s="23" t="n"/>
      <c r="K884" s="17" t="n"/>
      <c r="L884" s="17" t="n"/>
      <c r="M884" s="17" t="n"/>
      <c r="N884" s="17" t="n"/>
      <c r="O884" s="26">
        <f>IF($D884="","",IFERROR(VLOOKUP($D884,物料档案!$A$4:$P$1203,10,0),0))</f>
        <v/>
      </c>
      <c r="P884" s="32" t="n"/>
      <c r="Q884" s="26">
        <f>IF($D884="","",IF($K884&lt;&gt;"对外销售",0,ROUND(N($J884)*IF($P884="",N($O884),N($P884)),0)))</f>
        <v/>
      </c>
      <c r="R884" s="26">
        <f>IF($D884="","",IFERROR(VLOOKUP($D884,库存台账!$A$5:$Y$1204,11,0),0))</f>
        <v/>
      </c>
      <c r="S884" s="26">
        <f>IF($D884="","",ROUND(N($J884)*N($R884),0))</f>
        <v/>
      </c>
      <c r="T884" s="26">
        <f>IF($D884="","",IF($K884&lt;&gt;"对外销售","",ROUND($Q884-$S884,0)))</f>
        <v/>
      </c>
      <c r="U884" s="17" t="n"/>
      <c r="V884" s="17" t="n"/>
      <c r="W884" s="24">
        <f>IF($D884="","",IF($E884="※编码不在物料档案里","※物料编码不在档案里",IF(N($J884)&lt;=0,"※出库数量要大于 0",IF($K884="","※没填去向类型",IF($L884="","※没填去向矿区",IF(AND($C884&lt;&gt;"",$C884&lt;=结账锁),"※日期早于已结账截止日，不能再录",IF(AND($K884="自用消耗",COUNTIF({"一矿区";"二矿区"},$L884)=0),"※自用消耗的去向只能是一矿区或二矿区",IF(AND($K884="对外销售",COUNTIF({"三矿区";"六矿区"},$L884)=0),"※对外销售的去向只能是三矿区或六矿区",IF(AND($K884="对外销售",ROUND($Q884,0)=0),"※外销却没有售价，请填实际售价",IF(AND($K884="对外销售",$T884&lt;&gt;"",$T884&lt;0),"※这一笔外销是亏的，请核对售价",IF(IFERROR(VLOOKUP($D884,库存台账!$A$5:$Y$1204,24,0),0)&lt;-0.001,"※这个物料账面已经变成负数了，查一下是不是漏记入库","")))))))))))</f>
        <v/>
      </c>
    </row>
    <row r="885">
      <c r="A885" s="24">
        <f>IF($D885="","",COUNTA($D$4:$D885))</f>
        <v/>
      </c>
      <c r="B885" s="17" t="n"/>
      <c r="C885" s="30" t="n"/>
      <c r="D885" s="17" t="n"/>
      <c r="E885" s="24">
        <f>IF($D885="","",IFERROR(VLOOKUP($D885,物料档案!$A$4:$P$1203,3,0),"※编码不在物料档案里"))</f>
        <v/>
      </c>
      <c r="F885" s="24">
        <f>IF($D885="","",IFERROR(VLOOKUP($D885,物料档案!$A$4:$P$1203,4,0),"※编码不在物料档案里"))</f>
        <v/>
      </c>
      <c r="G885" s="24">
        <f>IF($D885="","",IFERROR(VLOOKUP($D885,物料档案!$A$4:$P$1203,5,0),"※编码不在物料档案里"))</f>
        <v/>
      </c>
      <c r="H885" s="24">
        <f>IF($D885="","",IFERROR(VLOOKUP($D885,物料档案!$A$4:$P$1203,2,0),"※编码不在物料档案里"))</f>
        <v/>
      </c>
      <c r="I885" s="24">
        <f>IF($D885="","",IFERROR(VLOOKUP($D885,物料档案!$A$4:$P$1203,6,0),"※编码不在物料档案里"))</f>
        <v/>
      </c>
      <c r="J885" s="23" t="n"/>
      <c r="K885" s="17" t="n"/>
      <c r="L885" s="17" t="n"/>
      <c r="M885" s="17" t="n"/>
      <c r="N885" s="17" t="n"/>
      <c r="O885" s="26">
        <f>IF($D885="","",IFERROR(VLOOKUP($D885,物料档案!$A$4:$P$1203,10,0),0))</f>
        <v/>
      </c>
      <c r="P885" s="32" t="n"/>
      <c r="Q885" s="26">
        <f>IF($D885="","",IF($K885&lt;&gt;"对外销售",0,ROUND(N($J885)*IF($P885="",N($O885),N($P885)),0)))</f>
        <v/>
      </c>
      <c r="R885" s="26">
        <f>IF($D885="","",IFERROR(VLOOKUP($D885,库存台账!$A$5:$Y$1204,11,0),0))</f>
        <v/>
      </c>
      <c r="S885" s="26">
        <f>IF($D885="","",ROUND(N($J885)*N($R885),0))</f>
        <v/>
      </c>
      <c r="T885" s="26">
        <f>IF($D885="","",IF($K885&lt;&gt;"对外销售","",ROUND($Q885-$S885,0)))</f>
        <v/>
      </c>
      <c r="U885" s="17" t="n"/>
      <c r="V885" s="17" t="n"/>
      <c r="W885" s="24">
        <f>IF($D885="","",IF($E885="※编码不在物料档案里","※物料编码不在档案里",IF(N($J885)&lt;=0,"※出库数量要大于 0",IF($K885="","※没填去向类型",IF($L885="","※没填去向矿区",IF(AND($C885&lt;&gt;"",$C885&lt;=结账锁),"※日期早于已结账截止日，不能再录",IF(AND($K885="自用消耗",COUNTIF({"一矿区";"二矿区"},$L885)=0),"※自用消耗的去向只能是一矿区或二矿区",IF(AND($K885="对外销售",COUNTIF({"三矿区";"六矿区"},$L885)=0),"※对外销售的去向只能是三矿区或六矿区",IF(AND($K885="对外销售",ROUND($Q885,0)=0),"※外销却没有售价，请填实际售价",IF(AND($K885="对外销售",$T885&lt;&gt;"",$T885&lt;0),"※这一笔外销是亏的，请核对售价",IF(IFERROR(VLOOKUP($D885,库存台账!$A$5:$Y$1204,24,0),0)&lt;-0.001,"※这个物料账面已经变成负数了，查一下是不是漏记入库","")))))))))))</f>
        <v/>
      </c>
    </row>
    <row r="886">
      <c r="A886" s="24">
        <f>IF($D886="","",COUNTA($D$4:$D886))</f>
        <v/>
      </c>
      <c r="B886" s="17" t="n"/>
      <c r="C886" s="30" t="n"/>
      <c r="D886" s="17" t="n"/>
      <c r="E886" s="24">
        <f>IF($D886="","",IFERROR(VLOOKUP($D886,物料档案!$A$4:$P$1203,3,0),"※编码不在物料档案里"))</f>
        <v/>
      </c>
      <c r="F886" s="24">
        <f>IF($D886="","",IFERROR(VLOOKUP($D886,物料档案!$A$4:$P$1203,4,0),"※编码不在物料档案里"))</f>
        <v/>
      </c>
      <c r="G886" s="24">
        <f>IF($D886="","",IFERROR(VLOOKUP($D886,物料档案!$A$4:$P$1203,5,0),"※编码不在物料档案里"))</f>
        <v/>
      </c>
      <c r="H886" s="24">
        <f>IF($D886="","",IFERROR(VLOOKUP($D886,物料档案!$A$4:$P$1203,2,0),"※编码不在物料档案里"))</f>
        <v/>
      </c>
      <c r="I886" s="24">
        <f>IF($D886="","",IFERROR(VLOOKUP($D886,物料档案!$A$4:$P$1203,6,0),"※编码不在物料档案里"))</f>
        <v/>
      </c>
      <c r="J886" s="23" t="n"/>
      <c r="K886" s="17" t="n"/>
      <c r="L886" s="17" t="n"/>
      <c r="M886" s="17" t="n"/>
      <c r="N886" s="17" t="n"/>
      <c r="O886" s="26">
        <f>IF($D886="","",IFERROR(VLOOKUP($D886,物料档案!$A$4:$P$1203,10,0),0))</f>
        <v/>
      </c>
      <c r="P886" s="32" t="n"/>
      <c r="Q886" s="26">
        <f>IF($D886="","",IF($K886&lt;&gt;"对外销售",0,ROUND(N($J886)*IF($P886="",N($O886),N($P886)),0)))</f>
        <v/>
      </c>
      <c r="R886" s="26">
        <f>IF($D886="","",IFERROR(VLOOKUP($D886,库存台账!$A$5:$Y$1204,11,0),0))</f>
        <v/>
      </c>
      <c r="S886" s="26">
        <f>IF($D886="","",ROUND(N($J886)*N($R886),0))</f>
        <v/>
      </c>
      <c r="T886" s="26">
        <f>IF($D886="","",IF($K886&lt;&gt;"对外销售","",ROUND($Q886-$S886,0)))</f>
        <v/>
      </c>
      <c r="U886" s="17" t="n"/>
      <c r="V886" s="17" t="n"/>
      <c r="W886" s="24">
        <f>IF($D886="","",IF($E886="※编码不在物料档案里","※物料编码不在档案里",IF(N($J886)&lt;=0,"※出库数量要大于 0",IF($K886="","※没填去向类型",IF($L886="","※没填去向矿区",IF(AND($C886&lt;&gt;"",$C886&lt;=结账锁),"※日期早于已结账截止日，不能再录",IF(AND($K886="自用消耗",COUNTIF({"一矿区";"二矿区"},$L886)=0),"※自用消耗的去向只能是一矿区或二矿区",IF(AND($K886="对外销售",COUNTIF({"三矿区";"六矿区"},$L886)=0),"※对外销售的去向只能是三矿区或六矿区",IF(AND($K886="对外销售",ROUND($Q886,0)=0),"※外销却没有售价，请填实际售价",IF(AND($K886="对外销售",$T886&lt;&gt;"",$T886&lt;0),"※这一笔外销是亏的，请核对售价",IF(IFERROR(VLOOKUP($D886,库存台账!$A$5:$Y$1204,24,0),0)&lt;-0.001,"※这个物料账面已经变成负数了，查一下是不是漏记入库","")))))))))))</f>
        <v/>
      </c>
    </row>
    <row r="887">
      <c r="A887" s="24">
        <f>IF($D887="","",COUNTA($D$4:$D887))</f>
        <v/>
      </c>
      <c r="B887" s="17" t="n"/>
      <c r="C887" s="30" t="n"/>
      <c r="D887" s="17" t="n"/>
      <c r="E887" s="24">
        <f>IF($D887="","",IFERROR(VLOOKUP($D887,物料档案!$A$4:$P$1203,3,0),"※编码不在物料档案里"))</f>
        <v/>
      </c>
      <c r="F887" s="24">
        <f>IF($D887="","",IFERROR(VLOOKUP($D887,物料档案!$A$4:$P$1203,4,0),"※编码不在物料档案里"))</f>
        <v/>
      </c>
      <c r="G887" s="24">
        <f>IF($D887="","",IFERROR(VLOOKUP($D887,物料档案!$A$4:$P$1203,5,0),"※编码不在物料档案里"))</f>
        <v/>
      </c>
      <c r="H887" s="24">
        <f>IF($D887="","",IFERROR(VLOOKUP($D887,物料档案!$A$4:$P$1203,2,0),"※编码不在物料档案里"))</f>
        <v/>
      </c>
      <c r="I887" s="24">
        <f>IF($D887="","",IFERROR(VLOOKUP($D887,物料档案!$A$4:$P$1203,6,0),"※编码不在物料档案里"))</f>
        <v/>
      </c>
      <c r="J887" s="23" t="n"/>
      <c r="K887" s="17" t="n"/>
      <c r="L887" s="17" t="n"/>
      <c r="M887" s="17" t="n"/>
      <c r="N887" s="17" t="n"/>
      <c r="O887" s="26">
        <f>IF($D887="","",IFERROR(VLOOKUP($D887,物料档案!$A$4:$P$1203,10,0),0))</f>
        <v/>
      </c>
      <c r="P887" s="32" t="n"/>
      <c r="Q887" s="26">
        <f>IF($D887="","",IF($K887&lt;&gt;"对外销售",0,ROUND(N($J887)*IF($P887="",N($O887),N($P887)),0)))</f>
        <v/>
      </c>
      <c r="R887" s="26">
        <f>IF($D887="","",IFERROR(VLOOKUP($D887,库存台账!$A$5:$Y$1204,11,0),0))</f>
        <v/>
      </c>
      <c r="S887" s="26">
        <f>IF($D887="","",ROUND(N($J887)*N($R887),0))</f>
        <v/>
      </c>
      <c r="T887" s="26">
        <f>IF($D887="","",IF($K887&lt;&gt;"对外销售","",ROUND($Q887-$S887,0)))</f>
        <v/>
      </c>
      <c r="U887" s="17" t="n"/>
      <c r="V887" s="17" t="n"/>
      <c r="W887" s="24">
        <f>IF($D887="","",IF($E887="※编码不在物料档案里","※物料编码不在档案里",IF(N($J887)&lt;=0,"※出库数量要大于 0",IF($K887="","※没填去向类型",IF($L887="","※没填去向矿区",IF(AND($C887&lt;&gt;"",$C887&lt;=结账锁),"※日期早于已结账截止日，不能再录",IF(AND($K887="自用消耗",COUNTIF({"一矿区";"二矿区"},$L887)=0),"※自用消耗的去向只能是一矿区或二矿区",IF(AND($K887="对外销售",COUNTIF({"三矿区";"六矿区"},$L887)=0),"※对外销售的去向只能是三矿区或六矿区",IF(AND($K887="对外销售",ROUND($Q887,0)=0),"※外销却没有售价，请填实际售价",IF(AND($K887="对外销售",$T887&lt;&gt;"",$T887&lt;0),"※这一笔外销是亏的，请核对售价",IF(IFERROR(VLOOKUP($D887,库存台账!$A$5:$Y$1204,24,0),0)&lt;-0.001,"※这个物料账面已经变成负数了，查一下是不是漏记入库","")))))))))))</f>
        <v/>
      </c>
    </row>
    <row r="888">
      <c r="A888" s="24">
        <f>IF($D888="","",COUNTA($D$4:$D888))</f>
        <v/>
      </c>
      <c r="B888" s="17" t="n"/>
      <c r="C888" s="30" t="n"/>
      <c r="D888" s="17" t="n"/>
      <c r="E888" s="24">
        <f>IF($D888="","",IFERROR(VLOOKUP($D888,物料档案!$A$4:$P$1203,3,0),"※编码不在物料档案里"))</f>
        <v/>
      </c>
      <c r="F888" s="24">
        <f>IF($D888="","",IFERROR(VLOOKUP($D888,物料档案!$A$4:$P$1203,4,0),"※编码不在物料档案里"))</f>
        <v/>
      </c>
      <c r="G888" s="24">
        <f>IF($D888="","",IFERROR(VLOOKUP($D888,物料档案!$A$4:$P$1203,5,0),"※编码不在物料档案里"))</f>
        <v/>
      </c>
      <c r="H888" s="24">
        <f>IF($D888="","",IFERROR(VLOOKUP($D888,物料档案!$A$4:$P$1203,2,0),"※编码不在物料档案里"))</f>
        <v/>
      </c>
      <c r="I888" s="24">
        <f>IF($D888="","",IFERROR(VLOOKUP($D888,物料档案!$A$4:$P$1203,6,0),"※编码不在物料档案里"))</f>
        <v/>
      </c>
      <c r="J888" s="23" t="n"/>
      <c r="K888" s="17" t="n"/>
      <c r="L888" s="17" t="n"/>
      <c r="M888" s="17" t="n"/>
      <c r="N888" s="17" t="n"/>
      <c r="O888" s="26">
        <f>IF($D888="","",IFERROR(VLOOKUP($D888,物料档案!$A$4:$P$1203,10,0),0))</f>
        <v/>
      </c>
      <c r="P888" s="32" t="n"/>
      <c r="Q888" s="26">
        <f>IF($D888="","",IF($K888&lt;&gt;"对外销售",0,ROUND(N($J888)*IF($P888="",N($O888),N($P888)),0)))</f>
        <v/>
      </c>
      <c r="R888" s="26">
        <f>IF($D888="","",IFERROR(VLOOKUP($D888,库存台账!$A$5:$Y$1204,11,0),0))</f>
        <v/>
      </c>
      <c r="S888" s="26">
        <f>IF($D888="","",ROUND(N($J888)*N($R888),0))</f>
        <v/>
      </c>
      <c r="T888" s="26">
        <f>IF($D888="","",IF($K888&lt;&gt;"对外销售","",ROUND($Q888-$S888,0)))</f>
        <v/>
      </c>
      <c r="U888" s="17" t="n"/>
      <c r="V888" s="17" t="n"/>
      <c r="W888" s="24">
        <f>IF($D888="","",IF($E888="※编码不在物料档案里","※物料编码不在档案里",IF(N($J888)&lt;=0,"※出库数量要大于 0",IF($K888="","※没填去向类型",IF($L888="","※没填去向矿区",IF(AND($C888&lt;&gt;"",$C888&lt;=结账锁),"※日期早于已结账截止日，不能再录",IF(AND($K888="自用消耗",COUNTIF({"一矿区";"二矿区"},$L888)=0),"※自用消耗的去向只能是一矿区或二矿区",IF(AND($K888="对外销售",COUNTIF({"三矿区";"六矿区"},$L888)=0),"※对外销售的去向只能是三矿区或六矿区",IF(AND($K888="对外销售",ROUND($Q888,0)=0),"※外销却没有售价，请填实际售价",IF(AND($K888="对外销售",$T888&lt;&gt;"",$T888&lt;0),"※这一笔外销是亏的，请核对售价",IF(IFERROR(VLOOKUP($D888,库存台账!$A$5:$Y$1204,24,0),0)&lt;-0.001,"※这个物料账面已经变成负数了，查一下是不是漏记入库","")))))))))))</f>
        <v/>
      </c>
    </row>
    <row r="889">
      <c r="A889" s="24">
        <f>IF($D889="","",COUNTA($D$4:$D889))</f>
        <v/>
      </c>
      <c r="B889" s="17" t="n"/>
      <c r="C889" s="30" t="n"/>
      <c r="D889" s="17" t="n"/>
      <c r="E889" s="24">
        <f>IF($D889="","",IFERROR(VLOOKUP($D889,物料档案!$A$4:$P$1203,3,0),"※编码不在物料档案里"))</f>
        <v/>
      </c>
      <c r="F889" s="24">
        <f>IF($D889="","",IFERROR(VLOOKUP($D889,物料档案!$A$4:$P$1203,4,0),"※编码不在物料档案里"))</f>
        <v/>
      </c>
      <c r="G889" s="24">
        <f>IF($D889="","",IFERROR(VLOOKUP($D889,物料档案!$A$4:$P$1203,5,0),"※编码不在物料档案里"))</f>
        <v/>
      </c>
      <c r="H889" s="24">
        <f>IF($D889="","",IFERROR(VLOOKUP($D889,物料档案!$A$4:$P$1203,2,0),"※编码不在物料档案里"))</f>
        <v/>
      </c>
      <c r="I889" s="24">
        <f>IF($D889="","",IFERROR(VLOOKUP($D889,物料档案!$A$4:$P$1203,6,0),"※编码不在物料档案里"))</f>
        <v/>
      </c>
      <c r="J889" s="23" t="n"/>
      <c r="K889" s="17" t="n"/>
      <c r="L889" s="17" t="n"/>
      <c r="M889" s="17" t="n"/>
      <c r="N889" s="17" t="n"/>
      <c r="O889" s="26">
        <f>IF($D889="","",IFERROR(VLOOKUP($D889,物料档案!$A$4:$P$1203,10,0),0))</f>
        <v/>
      </c>
      <c r="P889" s="32" t="n"/>
      <c r="Q889" s="26">
        <f>IF($D889="","",IF($K889&lt;&gt;"对外销售",0,ROUND(N($J889)*IF($P889="",N($O889),N($P889)),0)))</f>
        <v/>
      </c>
      <c r="R889" s="26">
        <f>IF($D889="","",IFERROR(VLOOKUP($D889,库存台账!$A$5:$Y$1204,11,0),0))</f>
        <v/>
      </c>
      <c r="S889" s="26">
        <f>IF($D889="","",ROUND(N($J889)*N($R889),0))</f>
        <v/>
      </c>
      <c r="T889" s="26">
        <f>IF($D889="","",IF($K889&lt;&gt;"对外销售","",ROUND($Q889-$S889,0)))</f>
        <v/>
      </c>
      <c r="U889" s="17" t="n"/>
      <c r="V889" s="17" t="n"/>
      <c r="W889" s="24">
        <f>IF($D889="","",IF($E889="※编码不在物料档案里","※物料编码不在档案里",IF(N($J889)&lt;=0,"※出库数量要大于 0",IF($K889="","※没填去向类型",IF($L889="","※没填去向矿区",IF(AND($C889&lt;&gt;"",$C889&lt;=结账锁),"※日期早于已结账截止日，不能再录",IF(AND($K889="自用消耗",COUNTIF({"一矿区";"二矿区"},$L889)=0),"※自用消耗的去向只能是一矿区或二矿区",IF(AND($K889="对外销售",COUNTIF({"三矿区";"六矿区"},$L889)=0),"※对外销售的去向只能是三矿区或六矿区",IF(AND($K889="对外销售",ROUND($Q889,0)=0),"※外销却没有售价，请填实际售价",IF(AND($K889="对外销售",$T889&lt;&gt;"",$T889&lt;0),"※这一笔外销是亏的，请核对售价",IF(IFERROR(VLOOKUP($D889,库存台账!$A$5:$Y$1204,24,0),0)&lt;-0.001,"※这个物料账面已经变成负数了，查一下是不是漏记入库","")))))))))))</f>
        <v/>
      </c>
    </row>
    <row r="890">
      <c r="A890" s="24">
        <f>IF($D890="","",COUNTA($D$4:$D890))</f>
        <v/>
      </c>
      <c r="B890" s="17" t="n"/>
      <c r="C890" s="30" t="n"/>
      <c r="D890" s="17" t="n"/>
      <c r="E890" s="24">
        <f>IF($D890="","",IFERROR(VLOOKUP($D890,物料档案!$A$4:$P$1203,3,0),"※编码不在物料档案里"))</f>
        <v/>
      </c>
      <c r="F890" s="24">
        <f>IF($D890="","",IFERROR(VLOOKUP($D890,物料档案!$A$4:$P$1203,4,0),"※编码不在物料档案里"))</f>
        <v/>
      </c>
      <c r="G890" s="24">
        <f>IF($D890="","",IFERROR(VLOOKUP($D890,物料档案!$A$4:$P$1203,5,0),"※编码不在物料档案里"))</f>
        <v/>
      </c>
      <c r="H890" s="24">
        <f>IF($D890="","",IFERROR(VLOOKUP($D890,物料档案!$A$4:$P$1203,2,0),"※编码不在物料档案里"))</f>
        <v/>
      </c>
      <c r="I890" s="24">
        <f>IF($D890="","",IFERROR(VLOOKUP($D890,物料档案!$A$4:$P$1203,6,0),"※编码不在物料档案里"))</f>
        <v/>
      </c>
      <c r="J890" s="23" t="n"/>
      <c r="K890" s="17" t="n"/>
      <c r="L890" s="17" t="n"/>
      <c r="M890" s="17" t="n"/>
      <c r="N890" s="17" t="n"/>
      <c r="O890" s="26">
        <f>IF($D890="","",IFERROR(VLOOKUP($D890,物料档案!$A$4:$P$1203,10,0),0))</f>
        <v/>
      </c>
      <c r="P890" s="32" t="n"/>
      <c r="Q890" s="26">
        <f>IF($D890="","",IF($K890&lt;&gt;"对外销售",0,ROUND(N($J890)*IF($P890="",N($O890),N($P890)),0)))</f>
        <v/>
      </c>
      <c r="R890" s="26">
        <f>IF($D890="","",IFERROR(VLOOKUP($D890,库存台账!$A$5:$Y$1204,11,0),0))</f>
        <v/>
      </c>
      <c r="S890" s="26">
        <f>IF($D890="","",ROUND(N($J890)*N($R890),0))</f>
        <v/>
      </c>
      <c r="T890" s="26">
        <f>IF($D890="","",IF($K890&lt;&gt;"对外销售","",ROUND($Q890-$S890,0)))</f>
        <v/>
      </c>
      <c r="U890" s="17" t="n"/>
      <c r="V890" s="17" t="n"/>
      <c r="W890" s="24">
        <f>IF($D890="","",IF($E890="※编码不在物料档案里","※物料编码不在档案里",IF(N($J890)&lt;=0,"※出库数量要大于 0",IF($K890="","※没填去向类型",IF($L890="","※没填去向矿区",IF(AND($C890&lt;&gt;"",$C890&lt;=结账锁),"※日期早于已结账截止日，不能再录",IF(AND($K890="自用消耗",COUNTIF({"一矿区";"二矿区"},$L890)=0),"※自用消耗的去向只能是一矿区或二矿区",IF(AND($K890="对外销售",COUNTIF({"三矿区";"六矿区"},$L890)=0),"※对外销售的去向只能是三矿区或六矿区",IF(AND($K890="对外销售",ROUND($Q890,0)=0),"※外销却没有售价，请填实际售价",IF(AND($K890="对外销售",$T890&lt;&gt;"",$T890&lt;0),"※这一笔外销是亏的，请核对售价",IF(IFERROR(VLOOKUP($D890,库存台账!$A$5:$Y$1204,24,0),0)&lt;-0.001,"※这个物料账面已经变成负数了，查一下是不是漏记入库","")))))))))))</f>
        <v/>
      </c>
    </row>
    <row r="891">
      <c r="A891" s="24">
        <f>IF($D891="","",COUNTA($D$4:$D891))</f>
        <v/>
      </c>
      <c r="B891" s="17" t="n"/>
      <c r="C891" s="30" t="n"/>
      <c r="D891" s="17" t="n"/>
      <c r="E891" s="24">
        <f>IF($D891="","",IFERROR(VLOOKUP($D891,物料档案!$A$4:$P$1203,3,0),"※编码不在物料档案里"))</f>
        <v/>
      </c>
      <c r="F891" s="24">
        <f>IF($D891="","",IFERROR(VLOOKUP($D891,物料档案!$A$4:$P$1203,4,0),"※编码不在物料档案里"))</f>
        <v/>
      </c>
      <c r="G891" s="24">
        <f>IF($D891="","",IFERROR(VLOOKUP($D891,物料档案!$A$4:$P$1203,5,0),"※编码不在物料档案里"))</f>
        <v/>
      </c>
      <c r="H891" s="24">
        <f>IF($D891="","",IFERROR(VLOOKUP($D891,物料档案!$A$4:$P$1203,2,0),"※编码不在物料档案里"))</f>
        <v/>
      </c>
      <c r="I891" s="24">
        <f>IF($D891="","",IFERROR(VLOOKUP($D891,物料档案!$A$4:$P$1203,6,0),"※编码不在物料档案里"))</f>
        <v/>
      </c>
      <c r="J891" s="23" t="n"/>
      <c r="K891" s="17" t="n"/>
      <c r="L891" s="17" t="n"/>
      <c r="M891" s="17" t="n"/>
      <c r="N891" s="17" t="n"/>
      <c r="O891" s="26">
        <f>IF($D891="","",IFERROR(VLOOKUP($D891,物料档案!$A$4:$P$1203,10,0),0))</f>
        <v/>
      </c>
      <c r="P891" s="32" t="n"/>
      <c r="Q891" s="26">
        <f>IF($D891="","",IF($K891&lt;&gt;"对外销售",0,ROUND(N($J891)*IF($P891="",N($O891),N($P891)),0)))</f>
        <v/>
      </c>
      <c r="R891" s="26">
        <f>IF($D891="","",IFERROR(VLOOKUP($D891,库存台账!$A$5:$Y$1204,11,0),0))</f>
        <v/>
      </c>
      <c r="S891" s="26">
        <f>IF($D891="","",ROUND(N($J891)*N($R891),0))</f>
        <v/>
      </c>
      <c r="T891" s="26">
        <f>IF($D891="","",IF($K891&lt;&gt;"对外销售","",ROUND($Q891-$S891,0)))</f>
        <v/>
      </c>
      <c r="U891" s="17" t="n"/>
      <c r="V891" s="17" t="n"/>
      <c r="W891" s="24">
        <f>IF($D891="","",IF($E891="※编码不在物料档案里","※物料编码不在档案里",IF(N($J891)&lt;=0,"※出库数量要大于 0",IF($K891="","※没填去向类型",IF($L891="","※没填去向矿区",IF(AND($C891&lt;&gt;"",$C891&lt;=结账锁),"※日期早于已结账截止日，不能再录",IF(AND($K891="自用消耗",COUNTIF({"一矿区";"二矿区"},$L891)=0),"※自用消耗的去向只能是一矿区或二矿区",IF(AND($K891="对外销售",COUNTIF({"三矿区";"六矿区"},$L891)=0),"※对外销售的去向只能是三矿区或六矿区",IF(AND($K891="对外销售",ROUND($Q891,0)=0),"※外销却没有售价，请填实际售价",IF(AND($K891="对外销售",$T891&lt;&gt;"",$T891&lt;0),"※这一笔外销是亏的，请核对售价",IF(IFERROR(VLOOKUP($D891,库存台账!$A$5:$Y$1204,24,0),0)&lt;-0.001,"※这个物料账面已经变成负数了，查一下是不是漏记入库","")))))))))))</f>
        <v/>
      </c>
    </row>
    <row r="892">
      <c r="A892" s="24">
        <f>IF($D892="","",COUNTA($D$4:$D892))</f>
        <v/>
      </c>
      <c r="B892" s="17" t="n"/>
      <c r="C892" s="30" t="n"/>
      <c r="D892" s="17" t="n"/>
      <c r="E892" s="24">
        <f>IF($D892="","",IFERROR(VLOOKUP($D892,物料档案!$A$4:$P$1203,3,0),"※编码不在物料档案里"))</f>
        <v/>
      </c>
      <c r="F892" s="24">
        <f>IF($D892="","",IFERROR(VLOOKUP($D892,物料档案!$A$4:$P$1203,4,0),"※编码不在物料档案里"))</f>
        <v/>
      </c>
      <c r="G892" s="24">
        <f>IF($D892="","",IFERROR(VLOOKUP($D892,物料档案!$A$4:$P$1203,5,0),"※编码不在物料档案里"))</f>
        <v/>
      </c>
      <c r="H892" s="24">
        <f>IF($D892="","",IFERROR(VLOOKUP($D892,物料档案!$A$4:$P$1203,2,0),"※编码不在物料档案里"))</f>
        <v/>
      </c>
      <c r="I892" s="24">
        <f>IF($D892="","",IFERROR(VLOOKUP($D892,物料档案!$A$4:$P$1203,6,0),"※编码不在物料档案里"))</f>
        <v/>
      </c>
      <c r="J892" s="23" t="n"/>
      <c r="K892" s="17" t="n"/>
      <c r="L892" s="17" t="n"/>
      <c r="M892" s="17" t="n"/>
      <c r="N892" s="17" t="n"/>
      <c r="O892" s="26">
        <f>IF($D892="","",IFERROR(VLOOKUP($D892,物料档案!$A$4:$P$1203,10,0),0))</f>
        <v/>
      </c>
      <c r="P892" s="32" t="n"/>
      <c r="Q892" s="26">
        <f>IF($D892="","",IF($K892&lt;&gt;"对外销售",0,ROUND(N($J892)*IF($P892="",N($O892),N($P892)),0)))</f>
        <v/>
      </c>
      <c r="R892" s="26">
        <f>IF($D892="","",IFERROR(VLOOKUP($D892,库存台账!$A$5:$Y$1204,11,0),0))</f>
        <v/>
      </c>
      <c r="S892" s="26">
        <f>IF($D892="","",ROUND(N($J892)*N($R892),0))</f>
        <v/>
      </c>
      <c r="T892" s="26">
        <f>IF($D892="","",IF($K892&lt;&gt;"对外销售","",ROUND($Q892-$S892,0)))</f>
        <v/>
      </c>
      <c r="U892" s="17" t="n"/>
      <c r="V892" s="17" t="n"/>
      <c r="W892" s="24">
        <f>IF($D892="","",IF($E892="※编码不在物料档案里","※物料编码不在档案里",IF(N($J892)&lt;=0,"※出库数量要大于 0",IF($K892="","※没填去向类型",IF($L892="","※没填去向矿区",IF(AND($C892&lt;&gt;"",$C892&lt;=结账锁),"※日期早于已结账截止日，不能再录",IF(AND($K892="自用消耗",COUNTIF({"一矿区";"二矿区"},$L892)=0),"※自用消耗的去向只能是一矿区或二矿区",IF(AND($K892="对外销售",COUNTIF({"三矿区";"六矿区"},$L892)=0),"※对外销售的去向只能是三矿区或六矿区",IF(AND($K892="对外销售",ROUND($Q892,0)=0),"※外销却没有售价，请填实际售价",IF(AND($K892="对外销售",$T892&lt;&gt;"",$T892&lt;0),"※这一笔外销是亏的，请核对售价",IF(IFERROR(VLOOKUP($D892,库存台账!$A$5:$Y$1204,24,0),0)&lt;-0.001,"※这个物料账面已经变成负数了，查一下是不是漏记入库","")))))))))))</f>
        <v/>
      </c>
    </row>
    <row r="893">
      <c r="A893" s="24">
        <f>IF($D893="","",COUNTA($D$4:$D893))</f>
        <v/>
      </c>
      <c r="B893" s="17" t="n"/>
      <c r="C893" s="30" t="n"/>
      <c r="D893" s="17" t="n"/>
      <c r="E893" s="24">
        <f>IF($D893="","",IFERROR(VLOOKUP($D893,物料档案!$A$4:$P$1203,3,0),"※编码不在物料档案里"))</f>
        <v/>
      </c>
      <c r="F893" s="24">
        <f>IF($D893="","",IFERROR(VLOOKUP($D893,物料档案!$A$4:$P$1203,4,0),"※编码不在物料档案里"))</f>
        <v/>
      </c>
      <c r="G893" s="24">
        <f>IF($D893="","",IFERROR(VLOOKUP($D893,物料档案!$A$4:$P$1203,5,0),"※编码不在物料档案里"))</f>
        <v/>
      </c>
      <c r="H893" s="24">
        <f>IF($D893="","",IFERROR(VLOOKUP($D893,物料档案!$A$4:$P$1203,2,0),"※编码不在物料档案里"))</f>
        <v/>
      </c>
      <c r="I893" s="24">
        <f>IF($D893="","",IFERROR(VLOOKUP($D893,物料档案!$A$4:$P$1203,6,0),"※编码不在物料档案里"))</f>
        <v/>
      </c>
      <c r="J893" s="23" t="n"/>
      <c r="K893" s="17" t="n"/>
      <c r="L893" s="17" t="n"/>
      <c r="M893" s="17" t="n"/>
      <c r="N893" s="17" t="n"/>
      <c r="O893" s="26">
        <f>IF($D893="","",IFERROR(VLOOKUP($D893,物料档案!$A$4:$P$1203,10,0),0))</f>
        <v/>
      </c>
      <c r="P893" s="32" t="n"/>
      <c r="Q893" s="26">
        <f>IF($D893="","",IF($K893&lt;&gt;"对外销售",0,ROUND(N($J893)*IF($P893="",N($O893),N($P893)),0)))</f>
        <v/>
      </c>
      <c r="R893" s="26">
        <f>IF($D893="","",IFERROR(VLOOKUP($D893,库存台账!$A$5:$Y$1204,11,0),0))</f>
        <v/>
      </c>
      <c r="S893" s="26">
        <f>IF($D893="","",ROUND(N($J893)*N($R893),0))</f>
        <v/>
      </c>
      <c r="T893" s="26">
        <f>IF($D893="","",IF($K893&lt;&gt;"对外销售","",ROUND($Q893-$S893,0)))</f>
        <v/>
      </c>
      <c r="U893" s="17" t="n"/>
      <c r="V893" s="17" t="n"/>
      <c r="W893" s="24">
        <f>IF($D893="","",IF($E893="※编码不在物料档案里","※物料编码不在档案里",IF(N($J893)&lt;=0,"※出库数量要大于 0",IF($K893="","※没填去向类型",IF($L893="","※没填去向矿区",IF(AND($C893&lt;&gt;"",$C893&lt;=结账锁),"※日期早于已结账截止日，不能再录",IF(AND($K893="自用消耗",COUNTIF({"一矿区";"二矿区"},$L893)=0),"※自用消耗的去向只能是一矿区或二矿区",IF(AND($K893="对外销售",COUNTIF({"三矿区";"六矿区"},$L893)=0),"※对外销售的去向只能是三矿区或六矿区",IF(AND($K893="对外销售",ROUND($Q893,0)=0),"※外销却没有售价，请填实际售价",IF(AND($K893="对外销售",$T893&lt;&gt;"",$T893&lt;0),"※这一笔外销是亏的，请核对售价",IF(IFERROR(VLOOKUP($D893,库存台账!$A$5:$Y$1204,24,0),0)&lt;-0.001,"※这个物料账面已经变成负数了，查一下是不是漏记入库","")))))))))))</f>
        <v/>
      </c>
    </row>
    <row r="894">
      <c r="A894" s="24">
        <f>IF($D894="","",COUNTA($D$4:$D894))</f>
        <v/>
      </c>
      <c r="B894" s="17" t="n"/>
      <c r="C894" s="30" t="n"/>
      <c r="D894" s="17" t="n"/>
      <c r="E894" s="24">
        <f>IF($D894="","",IFERROR(VLOOKUP($D894,物料档案!$A$4:$P$1203,3,0),"※编码不在物料档案里"))</f>
        <v/>
      </c>
      <c r="F894" s="24">
        <f>IF($D894="","",IFERROR(VLOOKUP($D894,物料档案!$A$4:$P$1203,4,0),"※编码不在物料档案里"))</f>
        <v/>
      </c>
      <c r="G894" s="24">
        <f>IF($D894="","",IFERROR(VLOOKUP($D894,物料档案!$A$4:$P$1203,5,0),"※编码不在物料档案里"))</f>
        <v/>
      </c>
      <c r="H894" s="24">
        <f>IF($D894="","",IFERROR(VLOOKUP($D894,物料档案!$A$4:$P$1203,2,0),"※编码不在物料档案里"))</f>
        <v/>
      </c>
      <c r="I894" s="24">
        <f>IF($D894="","",IFERROR(VLOOKUP($D894,物料档案!$A$4:$P$1203,6,0),"※编码不在物料档案里"))</f>
        <v/>
      </c>
      <c r="J894" s="23" t="n"/>
      <c r="K894" s="17" t="n"/>
      <c r="L894" s="17" t="n"/>
      <c r="M894" s="17" t="n"/>
      <c r="N894" s="17" t="n"/>
      <c r="O894" s="26">
        <f>IF($D894="","",IFERROR(VLOOKUP($D894,物料档案!$A$4:$P$1203,10,0),0))</f>
        <v/>
      </c>
      <c r="P894" s="32" t="n"/>
      <c r="Q894" s="26">
        <f>IF($D894="","",IF($K894&lt;&gt;"对外销售",0,ROUND(N($J894)*IF($P894="",N($O894),N($P894)),0)))</f>
        <v/>
      </c>
      <c r="R894" s="26">
        <f>IF($D894="","",IFERROR(VLOOKUP($D894,库存台账!$A$5:$Y$1204,11,0),0))</f>
        <v/>
      </c>
      <c r="S894" s="26">
        <f>IF($D894="","",ROUND(N($J894)*N($R894),0))</f>
        <v/>
      </c>
      <c r="T894" s="26">
        <f>IF($D894="","",IF($K894&lt;&gt;"对外销售","",ROUND($Q894-$S894,0)))</f>
        <v/>
      </c>
      <c r="U894" s="17" t="n"/>
      <c r="V894" s="17" t="n"/>
      <c r="W894" s="24">
        <f>IF($D894="","",IF($E894="※编码不在物料档案里","※物料编码不在档案里",IF(N($J894)&lt;=0,"※出库数量要大于 0",IF($K894="","※没填去向类型",IF($L894="","※没填去向矿区",IF(AND($C894&lt;&gt;"",$C894&lt;=结账锁),"※日期早于已结账截止日，不能再录",IF(AND($K894="自用消耗",COUNTIF({"一矿区";"二矿区"},$L894)=0),"※自用消耗的去向只能是一矿区或二矿区",IF(AND($K894="对外销售",COUNTIF({"三矿区";"六矿区"},$L894)=0),"※对外销售的去向只能是三矿区或六矿区",IF(AND($K894="对外销售",ROUND($Q894,0)=0),"※外销却没有售价，请填实际售价",IF(AND($K894="对外销售",$T894&lt;&gt;"",$T894&lt;0),"※这一笔外销是亏的，请核对售价",IF(IFERROR(VLOOKUP($D894,库存台账!$A$5:$Y$1204,24,0),0)&lt;-0.001,"※这个物料账面已经变成负数了，查一下是不是漏记入库","")))))))))))</f>
        <v/>
      </c>
    </row>
    <row r="895">
      <c r="A895" s="24">
        <f>IF($D895="","",COUNTA($D$4:$D895))</f>
        <v/>
      </c>
      <c r="B895" s="17" t="n"/>
      <c r="C895" s="30" t="n"/>
      <c r="D895" s="17" t="n"/>
      <c r="E895" s="24">
        <f>IF($D895="","",IFERROR(VLOOKUP($D895,物料档案!$A$4:$P$1203,3,0),"※编码不在物料档案里"))</f>
        <v/>
      </c>
      <c r="F895" s="24">
        <f>IF($D895="","",IFERROR(VLOOKUP($D895,物料档案!$A$4:$P$1203,4,0),"※编码不在物料档案里"))</f>
        <v/>
      </c>
      <c r="G895" s="24">
        <f>IF($D895="","",IFERROR(VLOOKUP($D895,物料档案!$A$4:$P$1203,5,0),"※编码不在物料档案里"))</f>
        <v/>
      </c>
      <c r="H895" s="24">
        <f>IF($D895="","",IFERROR(VLOOKUP($D895,物料档案!$A$4:$P$1203,2,0),"※编码不在物料档案里"))</f>
        <v/>
      </c>
      <c r="I895" s="24">
        <f>IF($D895="","",IFERROR(VLOOKUP($D895,物料档案!$A$4:$P$1203,6,0),"※编码不在物料档案里"))</f>
        <v/>
      </c>
      <c r="J895" s="23" t="n"/>
      <c r="K895" s="17" t="n"/>
      <c r="L895" s="17" t="n"/>
      <c r="M895" s="17" t="n"/>
      <c r="N895" s="17" t="n"/>
      <c r="O895" s="26">
        <f>IF($D895="","",IFERROR(VLOOKUP($D895,物料档案!$A$4:$P$1203,10,0),0))</f>
        <v/>
      </c>
      <c r="P895" s="32" t="n"/>
      <c r="Q895" s="26">
        <f>IF($D895="","",IF($K895&lt;&gt;"对外销售",0,ROUND(N($J895)*IF($P895="",N($O895),N($P895)),0)))</f>
        <v/>
      </c>
      <c r="R895" s="26">
        <f>IF($D895="","",IFERROR(VLOOKUP($D895,库存台账!$A$5:$Y$1204,11,0),0))</f>
        <v/>
      </c>
      <c r="S895" s="26">
        <f>IF($D895="","",ROUND(N($J895)*N($R895),0))</f>
        <v/>
      </c>
      <c r="T895" s="26">
        <f>IF($D895="","",IF($K895&lt;&gt;"对外销售","",ROUND($Q895-$S895,0)))</f>
        <v/>
      </c>
      <c r="U895" s="17" t="n"/>
      <c r="V895" s="17" t="n"/>
      <c r="W895" s="24">
        <f>IF($D895="","",IF($E895="※编码不在物料档案里","※物料编码不在档案里",IF(N($J895)&lt;=0,"※出库数量要大于 0",IF($K895="","※没填去向类型",IF($L895="","※没填去向矿区",IF(AND($C895&lt;&gt;"",$C895&lt;=结账锁),"※日期早于已结账截止日，不能再录",IF(AND($K895="自用消耗",COUNTIF({"一矿区";"二矿区"},$L895)=0),"※自用消耗的去向只能是一矿区或二矿区",IF(AND($K895="对外销售",COUNTIF({"三矿区";"六矿区"},$L895)=0),"※对外销售的去向只能是三矿区或六矿区",IF(AND($K895="对外销售",ROUND($Q895,0)=0),"※外销却没有售价，请填实际售价",IF(AND($K895="对外销售",$T895&lt;&gt;"",$T895&lt;0),"※这一笔外销是亏的，请核对售价",IF(IFERROR(VLOOKUP($D895,库存台账!$A$5:$Y$1204,24,0),0)&lt;-0.001,"※这个物料账面已经变成负数了，查一下是不是漏记入库","")))))))))))</f>
        <v/>
      </c>
    </row>
    <row r="896">
      <c r="A896" s="24">
        <f>IF($D896="","",COUNTA($D$4:$D896))</f>
        <v/>
      </c>
      <c r="B896" s="17" t="n"/>
      <c r="C896" s="30" t="n"/>
      <c r="D896" s="17" t="n"/>
      <c r="E896" s="24">
        <f>IF($D896="","",IFERROR(VLOOKUP($D896,物料档案!$A$4:$P$1203,3,0),"※编码不在物料档案里"))</f>
        <v/>
      </c>
      <c r="F896" s="24">
        <f>IF($D896="","",IFERROR(VLOOKUP($D896,物料档案!$A$4:$P$1203,4,0),"※编码不在物料档案里"))</f>
        <v/>
      </c>
      <c r="G896" s="24">
        <f>IF($D896="","",IFERROR(VLOOKUP($D896,物料档案!$A$4:$P$1203,5,0),"※编码不在物料档案里"))</f>
        <v/>
      </c>
      <c r="H896" s="24">
        <f>IF($D896="","",IFERROR(VLOOKUP($D896,物料档案!$A$4:$P$1203,2,0),"※编码不在物料档案里"))</f>
        <v/>
      </c>
      <c r="I896" s="24">
        <f>IF($D896="","",IFERROR(VLOOKUP($D896,物料档案!$A$4:$P$1203,6,0),"※编码不在物料档案里"))</f>
        <v/>
      </c>
      <c r="J896" s="23" t="n"/>
      <c r="K896" s="17" t="n"/>
      <c r="L896" s="17" t="n"/>
      <c r="M896" s="17" t="n"/>
      <c r="N896" s="17" t="n"/>
      <c r="O896" s="26">
        <f>IF($D896="","",IFERROR(VLOOKUP($D896,物料档案!$A$4:$P$1203,10,0),0))</f>
        <v/>
      </c>
      <c r="P896" s="32" t="n"/>
      <c r="Q896" s="26">
        <f>IF($D896="","",IF($K896&lt;&gt;"对外销售",0,ROUND(N($J896)*IF($P896="",N($O896),N($P896)),0)))</f>
        <v/>
      </c>
      <c r="R896" s="26">
        <f>IF($D896="","",IFERROR(VLOOKUP($D896,库存台账!$A$5:$Y$1204,11,0),0))</f>
        <v/>
      </c>
      <c r="S896" s="26">
        <f>IF($D896="","",ROUND(N($J896)*N($R896),0))</f>
        <v/>
      </c>
      <c r="T896" s="26">
        <f>IF($D896="","",IF($K896&lt;&gt;"对外销售","",ROUND($Q896-$S896,0)))</f>
        <v/>
      </c>
      <c r="U896" s="17" t="n"/>
      <c r="V896" s="17" t="n"/>
      <c r="W896" s="24">
        <f>IF($D896="","",IF($E896="※编码不在物料档案里","※物料编码不在档案里",IF(N($J896)&lt;=0,"※出库数量要大于 0",IF($K896="","※没填去向类型",IF($L896="","※没填去向矿区",IF(AND($C896&lt;&gt;"",$C896&lt;=结账锁),"※日期早于已结账截止日，不能再录",IF(AND($K896="自用消耗",COUNTIF({"一矿区";"二矿区"},$L896)=0),"※自用消耗的去向只能是一矿区或二矿区",IF(AND($K896="对外销售",COUNTIF({"三矿区";"六矿区"},$L896)=0),"※对外销售的去向只能是三矿区或六矿区",IF(AND($K896="对外销售",ROUND($Q896,0)=0),"※外销却没有售价，请填实际售价",IF(AND($K896="对外销售",$T896&lt;&gt;"",$T896&lt;0),"※这一笔外销是亏的，请核对售价",IF(IFERROR(VLOOKUP($D896,库存台账!$A$5:$Y$1204,24,0),0)&lt;-0.001,"※这个物料账面已经变成负数了，查一下是不是漏记入库","")))))))))))</f>
        <v/>
      </c>
    </row>
    <row r="897">
      <c r="A897" s="24">
        <f>IF($D897="","",COUNTA($D$4:$D897))</f>
        <v/>
      </c>
      <c r="B897" s="17" t="n"/>
      <c r="C897" s="30" t="n"/>
      <c r="D897" s="17" t="n"/>
      <c r="E897" s="24">
        <f>IF($D897="","",IFERROR(VLOOKUP($D897,物料档案!$A$4:$P$1203,3,0),"※编码不在物料档案里"))</f>
        <v/>
      </c>
      <c r="F897" s="24">
        <f>IF($D897="","",IFERROR(VLOOKUP($D897,物料档案!$A$4:$P$1203,4,0),"※编码不在物料档案里"))</f>
        <v/>
      </c>
      <c r="G897" s="24">
        <f>IF($D897="","",IFERROR(VLOOKUP($D897,物料档案!$A$4:$P$1203,5,0),"※编码不在物料档案里"))</f>
        <v/>
      </c>
      <c r="H897" s="24">
        <f>IF($D897="","",IFERROR(VLOOKUP($D897,物料档案!$A$4:$P$1203,2,0),"※编码不在物料档案里"))</f>
        <v/>
      </c>
      <c r="I897" s="24">
        <f>IF($D897="","",IFERROR(VLOOKUP($D897,物料档案!$A$4:$P$1203,6,0),"※编码不在物料档案里"))</f>
        <v/>
      </c>
      <c r="J897" s="23" t="n"/>
      <c r="K897" s="17" t="n"/>
      <c r="L897" s="17" t="n"/>
      <c r="M897" s="17" t="n"/>
      <c r="N897" s="17" t="n"/>
      <c r="O897" s="26">
        <f>IF($D897="","",IFERROR(VLOOKUP($D897,物料档案!$A$4:$P$1203,10,0),0))</f>
        <v/>
      </c>
      <c r="P897" s="32" t="n"/>
      <c r="Q897" s="26">
        <f>IF($D897="","",IF($K897&lt;&gt;"对外销售",0,ROUND(N($J897)*IF($P897="",N($O897),N($P897)),0)))</f>
        <v/>
      </c>
      <c r="R897" s="26">
        <f>IF($D897="","",IFERROR(VLOOKUP($D897,库存台账!$A$5:$Y$1204,11,0),0))</f>
        <v/>
      </c>
      <c r="S897" s="26">
        <f>IF($D897="","",ROUND(N($J897)*N($R897),0))</f>
        <v/>
      </c>
      <c r="T897" s="26">
        <f>IF($D897="","",IF($K897&lt;&gt;"对外销售","",ROUND($Q897-$S897,0)))</f>
        <v/>
      </c>
      <c r="U897" s="17" t="n"/>
      <c r="V897" s="17" t="n"/>
      <c r="W897" s="24">
        <f>IF($D897="","",IF($E897="※编码不在物料档案里","※物料编码不在档案里",IF(N($J897)&lt;=0,"※出库数量要大于 0",IF($K897="","※没填去向类型",IF($L897="","※没填去向矿区",IF(AND($C897&lt;&gt;"",$C897&lt;=结账锁),"※日期早于已结账截止日，不能再录",IF(AND($K897="自用消耗",COUNTIF({"一矿区";"二矿区"},$L897)=0),"※自用消耗的去向只能是一矿区或二矿区",IF(AND($K897="对外销售",COUNTIF({"三矿区";"六矿区"},$L897)=0),"※对外销售的去向只能是三矿区或六矿区",IF(AND($K897="对外销售",ROUND($Q897,0)=0),"※外销却没有售价，请填实际售价",IF(AND($K897="对外销售",$T897&lt;&gt;"",$T897&lt;0),"※这一笔外销是亏的，请核对售价",IF(IFERROR(VLOOKUP($D897,库存台账!$A$5:$Y$1204,24,0),0)&lt;-0.001,"※这个物料账面已经变成负数了，查一下是不是漏记入库","")))))))))))</f>
        <v/>
      </c>
    </row>
    <row r="898">
      <c r="A898" s="24">
        <f>IF($D898="","",COUNTA($D$4:$D898))</f>
        <v/>
      </c>
      <c r="B898" s="17" t="n"/>
      <c r="C898" s="30" t="n"/>
      <c r="D898" s="17" t="n"/>
      <c r="E898" s="24">
        <f>IF($D898="","",IFERROR(VLOOKUP($D898,物料档案!$A$4:$P$1203,3,0),"※编码不在物料档案里"))</f>
        <v/>
      </c>
      <c r="F898" s="24">
        <f>IF($D898="","",IFERROR(VLOOKUP($D898,物料档案!$A$4:$P$1203,4,0),"※编码不在物料档案里"))</f>
        <v/>
      </c>
      <c r="G898" s="24">
        <f>IF($D898="","",IFERROR(VLOOKUP($D898,物料档案!$A$4:$P$1203,5,0),"※编码不在物料档案里"))</f>
        <v/>
      </c>
      <c r="H898" s="24">
        <f>IF($D898="","",IFERROR(VLOOKUP($D898,物料档案!$A$4:$P$1203,2,0),"※编码不在物料档案里"))</f>
        <v/>
      </c>
      <c r="I898" s="24">
        <f>IF($D898="","",IFERROR(VLOOKUP($D898,物料档案!$A$4:$P$1203,6,0),"※编码不在物料档案里"))</f>
        <v/>
      </c>
      <c r="J898" s="23" t="n"/>
      <c r="K898" s="17" t="n"/>
      <c r="L898" s="17" t="n"/>
      <c r="M898" s="17" t="n"/>
      <c r="N898" s="17" t="n"/>
      <c r="O898" s="26">
        <f>IF($D898="","",IFERROR(VLOOKUP($D898,物料档案!$A$4:$P$1203,10,0),0))</f>
        <v/>
      </c>
      <c r="P898" s="32" t="n"/>
      <c r="Q898" s="26">
        <f>IF($D898="","",IF($K898&lt;&gt;"对外销售",0,ROUND(N($J898)*IF($P898="",N($O898),N($P898)),0)))</f>
        <v/>
      </c>
      <c r="R898" s="26">
        <f>IF($D898="","",IFERROR(VLOOKUP($D898,库存台账!$A$5:$Y$1204,11,0),0))</f>
        <v/>
      </c>
      <c r="S898" s="26">
        <f>IF($D898="","",ROUND(N($J898)*N($R898),0))</f>
        <v/>
      </c>
      <c r="T898" s="26">
        <f>IF($D898="","",IF($K898&lt;&gt;"对外销售","",ROUND($Q898-$S898,0)))</f>
        <v/>
      </c>
      <c r="U898" s="17" t="n"/>
      <c r="V898" s="17" t="n"/>
      <c r="W898" s="24">
        <f>IF($D898="","",IF($E898="※编码不在物料档案里","※物料编码不在档案里",IF(N($J898)&lt;=0,"※出库数量要大于 0",IF($K898="","※没填去向类型",IF($L898="","※没填去向矿区",IF(AND($C898&lt;&gt;"",$C898&lt;=结账锁),"※日期早于已结账截止日，不能再录",IF(AND($K898="自用消耗",COUNTIF({"一矿区";"二矿区"},$L898)=0),"※自用消耗的去向只能是一矿区或二矿区",IF(AND($K898="对外销售",COUNTIF({"三矿区";"六矿区"},$L898)=0),"※对外销售的去向只能是三矿区或六矿区",IF(AND($K898="对外销售",ROUND($Q898,0)=0),"※外销却没有售价，请填实际售价",IF(AND($K898="对外销售",$T898&lt;&gt;"",$T898&lt;0),"※这一笔外销是亏的，请核对售价",IF(IFERROR(VLOOKUP($D898,库存台账!$A$5:$Y$1204,24,0),0)&lt;-0.001,"※这个物料账面已经变成负数了，查一下是不是漏记入库","")))))))))))</f>
        <v/>
      </c>
    </row>
    <row r="899">
      <c r="A899" s="24">
        <f>IF($D899="","",COUNTA($D$4:$D899))</f>
        <v/>
      </c>
      <c r="B899" s="17" t="n"/>
      <c r="C899" s="30" t="n"/>
      <c r="D899" s="17" t="n"/>
      <c r="E899" s="24">
        <f>IF($D899="","",IFERROR(VLOOKUP($D899,物料档案!$A$4:$P$1203,3,0),"※编码不在物料档案里"))</f>
        <v/>
      </c>
      <c r="F899" s="24">
        <f>IF($D899="","",IFERROR(VLOOKUP($D899,物料档案!$A$4:$P$1203,4,0),"※编码不在物料档案里"))</f>
        <v/>
      </c>
      <c r="G899" s="24">
        <f>IF($D899="","",IFERROR(VLOOKUP($D899,物料档案!$A$4:$P$1203,5,0),"※编码不在物料档案里"))</f>
        <v/>
      </c>
      <c r="H899" s="24">
        <f>IF($D899="","",IFERROR(VLOOKUP($D899,物料档案!$A$4:$P$1203,2,0),"※编码不在物料档案里"))</f>
        <v/>
      </c>
      <c r="I899" s="24">
        <f>IF($D899="","",IFERROR(VLOOKUP($D899,物料档案!$A$4:$P$1203,6,0),"※编码不在物料档案里"))</f>
        <v/>
      </c>
      <c r="J899" s="23" t="n"/>
      <c r="K899" s="17" t="n"/>
      <c r="L899" s="17" t="n"/>
      <c r="M899" s="17" t="n"/>
      <c r="N899" s="17" t="n"/>
      <c r="O899" s="26">
        <f>IF($D899="","",IFERROR(VLOOKUP($D899,物料档案!$A$4:$P$1203,10,0),0))</f>
        <v/>
      </c>
      <c r="P899" s="32" t="n"/>
      <c r="Q899" s="26">
        <f>IF($D899="","",IF($K899&lt;&gt;"对外销售",0,ROUND(N($J899)*IF($P899="",N($O899),N($P899)),0)))</f>
        <v/>
      </c>
      <c r="R899" s="26">
        <f>IF($D899="","",IFERROR(VLOOKUP($D899,库存台账!$A$5:$Y$1204,11,0),0))</f>
        <v/>
      </c>
      <c r="S899" s="26">
        <f>IF($D899="","",ROUND(N($J899)*N($R899),0))</f>
        <v/>
      </c>
      <c r="T899" s="26">
        <f>IF($D899="","",IF($K899&lt;&gt;"对外销售","",ROUND($Q899-$S899,0)))</f>
        <v/>
      </c>
      <c r="U899" s="17" t="n"/>
      <c r="V899" s="17" t="n"/>
      <c r="W899" s="24">
        <f>IF($D899="","",IF($E899="※编码不在物料档案里","※物料编码不在档案里",IF(N($J899)&lt;=0,"※出库数量要大于 0",IF($K899="","※没填去向类型",IF($L899="","※没填去向矿区",IF(AND($C899&lt;&gt;"",$C899&lt;=结账锁),"※日期早于已结账截止日，不能再录",IF(AND($K899="自用消耗",COUNTIF({"一矿区";"二矿区"},$L899)=0),"※自用消耗的去向只能是一矿区或二矿区",IF(AND($K899="对外销售",COUNTIF({"三矿区";"六矿区"},$L899)=0),"※对外销售的去向只能是三矿区或六矿区",IF(AND($K899="对外销售",ROUND($Q899,0)=0),"※外销却没有售价，请填实际售价",IF(AND($K899="对外销售",$T899&lt;&gt;"",$T899&lt;0),"※这一笔外销是亏的，请核对售价",IF(IFERROR(VLOOKUP($D899,库存台账!$A$5:$Y$1204,24,0),0)&lt;-0.001,"※这个物料账面已经变成负数了，查一下是不是漏记入库","")))))))))))</f>
        <v/>
      </c>
    </row>
    <row r="900">
      <c r="A900" s="24">
        <f>IF($D900="","",COUNTA($D$4:$D900))</f>
        <v/>
      </c>
      <c r="B900" s="17" t="n"/>
      <c r="C900" s="30" t="n"/>
      <c r="D900" s="17" t="n"/>
      <c r="E900" s="24">
        <f>IF($D900="","",IFERROR(VLOOKUP($D900,物料档案!$A$4:$P$1203,3,0),"※编码不在物料档案里"))</f>
        <v/>
      </c>
      <c r="F900" s="24">
        <f>IF($D900="","",IFERROR(VLOOKUP($D900,物料档案!$A$4:$P$1203,4,0),"※编码不在物料档案里"))</f>
        <v/>
      </c>
      <c r="G900" s="24">
        <f>IF($D900="","",IFERROR(VLOOKUP($D900,物料档案!$A$4:$P$1203,5,0),"※编码不在物料档案里"))</f>
        <v/>
      </c>
      <c r="H900" s="24">
        <f>IF($D900="","",IFERROR(VLOOKUP($D900,物料档案!$A$4:$P$1203,2,0),"※编码不在物料档案里"))</f>
        <v/>
      </c>
      <c r="I900" s="24">
        <f>IF($D900="","",IFERROR(VLOOKUP($D900,物料档案!$A$4:$P$1203,6,0),"※编码不在物料档案里"))</f>
        <v/>
      </c>
      <c r="J900" s="23" t="n"/>
      <c r="K900" s="17" t="n"/>
      <c r="L900" s="17" t="n"/>
      <c r="M900" s="17" t="n"/>
      <c r="N900" s="17" t="n"/>
      <c r="O900" s="26">
        <f>IF($D900="","",IFERROR(VLOOKUP($D900,物料档案!$A$4:$P$1203,10,0),0))</f>
        <v/>
      </c>
      <c r="P900" s="32" t="n"/>
      <c r="Q900" s="26">
        <f>IF($D900="","",IF($K900&lt;&gt;"对外销售",0,ROUND(N($J900)*IF($P900="",N($O900),N($P900)),0)))</f>
        <v/>
      </c>
      <c r="R900" s="26">
        <f>IF($D900="","",IFERROR(VLOOKUP($D900,库存台账!$A$5:$Y$1204,11,0),0))</f>
        <v/>
      </c>
      <c r="S900" s="26">
        <f>IF($D900="","",ROUND(N($J900)*N($R900),0))</f>
        <v/>
      </c>
      <c r="T900" s="26">
        <f>IF($D900="","",IF($K900&lt;&gt;"对外销售","",ROUND($Q900-$S900,0)))</f>
        <v/>
      </c>
      <c r="U900" s="17" t="n"/>
      <c r="V900" s="17" t="n"/>
      <c r="W900" s="24">
        <f>IF($D900="","",IF($E900="※编码不在物料档案里","※物料编码不在档案里",IF(N($J900)&lt;=0,"※出库数量要大于 0",IF($K900="","※没填去向类型",IF($L900="","※没填去向矿区",IF(AND($C900&lt;&gt;"",$C900&lt;=结账锁),"※日期早于已结账截止日，不能再录",IF(AND($K900="自用消耗",COUNTIF({"一矿区";"二矿区"},$L900)=0),"※自用消耗的去向只能是一矿区或二矿区",IF(AND($K900="对外销售",COUNTIF({"三矿区";"六矿区"},$L900)=0),"※对外销售的去向只能是三矿区或六矿区",IF(AND($K900="对外销售",ROUND($Q900,0)=0),"※外销却没有售价，请填实际售价",IF(AND($K900="对外销售",$T900&lt;&gt;"",$T900&lt;0),"※这一笔外销是亏的，请核对售价",IF(IFERROR(VLOOKUP($D900,库存台账!$A$5:$Y$1204,24,0),0)&lt;-0.001,"※这个物料账面已经变成负数了，查一下是不是漏记入库","")))))))))))</f>
        <v/>
      </c>
    </row>
    <row r="901">
      <c r="A901" s="24">
        <f>IF($D901="","",COUNTA($D$4:$D901))</f>
        <v/>
      </c>
      <c r="B901" s="17" t="n"/>
      <c r="C901" s="30" t="n"/>
      <c r="D901" s="17" t="n"/>
      <c r="E901" s="24">
        <f>IF($D901="","",IFERROR(VLOOKUP($D901,物料档案!$A$4:$P$1203,3,0),"※编码不在物料档案里"))</f>
        <v/>
      </c>
      <c r="F901" s="24">
        <f>IF($D901="","",IFERROR(VLOOKUP($D901,物料档案!$A$4:$P$1203,4,0),"※编码不在物料档案里"))</f>
        <v/>
      </c>
      <c r="G901" s="24">
        <f>IF($D901="","",IFERROR(VLOOKUP($D901,物料档案!$A$4:$P$1203,5,0),"※编码不在物料档案里"))</f>
        <v/>
      </c>
      <c r="H901" s="24">
        <f>IF($D901="","",IFERROR(VLOOKUP($D901,物料档案!$A$4:$P$1203,2,0),"※编码不在物料档案里"))</f>
        <v/>
      </c>
      <c r="I901" s="24">
        <f>IF($D901="","",IFERROR(VLOOKUP($D901,物料档案!$A$4:$P$1203,6,0),"※编码不在物料档案里"))</f>
        <v/>
      </c>
      <c r="J901" s="23" t="n"/>
      <c r="K901" s="17" t="n"/>
      <c r="L901" s="17" t="n"/>
      <c r="M901" s="17" t="n"/>
      <c r="N901" s="17" t="n"/>
      <c r="O901" s="26">
        <f>IF($D901="","",IFERROR(VLOOKUP($D901,物料档案!$A$4:$P$1203,10,0),0))</f>
        <v/>
      </c>
      <c r="P901" s="32" t="n"/>
      <c r="Q901" s="26">
        <f>IF($D901="","",IF($K901&lt;&gt;"对外销售",0,ROUND(N($J901)*IF($P901="",N($O901),N($P901)),0)))</f>
        <v/>
      </c>
      <c r="R901" s="26">
        <f>IF($D901="","",IFERROR(VLOOKUP($D901,库存台账!$A$5:$Y$1204,11,0),0))</f>
        <v/>
      </c>
      <c r="S901" s="26">
        <f>IF($D901="","",ROUND(N($J901)*N($R901),0))</f>
        <v/>
      </c>
      <c r="T901" s="26">
        <f>IF($D901="","",IF($K901&lt;&gt;"对外销售","",ROUND($Q901-$S901,0)))</f>
        <v/>
      </c>
      <c r="U901" s="17" t="n"/>
      <c r="V901" s="17" t="n"/>
      <c r="W901" s="24">
        <f>IF($D901="","",IF($E901="※编码不在物料档案里","※物料编码不在档案里",IF(N($J901)&lt;=0,"※出库数量要大于 0",IF($K901="","※没填去向类型",IF($L901="","※没填去向矿区",IF(AND($C901&lt;&gt;"",$C901&lt;=结账锁),"※日期早于已结账截止日，不能再录",IF(AND($K901="自用消耗",COUNTIF({"一矿区";"二矿区"},$L901)=0),"※自用消耗的去向只能是一矿区或二矿区",IF(AND($K901="对外销售",COUNTIF({"三矿区";"六矿区"},$L901)=0),"※对外销售的去向只能是三矿区或六矿区",IF(AND($K901="对外销售",ROUND($Q901,0)=0),"※外销却没有售价，请填实际售价",IF(AND($K901="对外销售",$T901&lt;&gt;"",$T901&lt;0),"※这一笔外销是亏的，请核对售价",IF(IFERROR(VLOOKUP($D901,库存台账!$A$5:$Y$1204,24,0),0)&lt;-0.001,"※这个物料账面已经变成负数了，查一下是不是漏记入库","")))))))))))</f>
        <v/>
      </c>
    </row>
    <row r="902">
      <c r="A902" s="24">
        <f>IF($D902="","",COUNTA($D$4:$D902))</f>
        <v/>
      </c>
      <c r="B902" s="17" t="n"/>
      <c r="C902" s="30" t="n"/>
      <c r="D902" s="17" t="n"/>
      <c r="E902" s="24">
        <f>IF($D902="","",IFERROR(VLOOKUP($D902,物料档案!$A$4:$P$1203,3,0),"※编码不在物料档案里"))</f>
        <v/>
      </c>
      <c r="F902" s="24">
        <f>IF($D902="","",IFERROR(VLOOKUP($D902,物料档案!$A$4:$P$1203,4,0),"※编码不在物料档案里"))</f>
        <v/>
      </c>
      <c r="G902" s="24">
        <f>IF($D902="","",IFERROR(VLOOKUP($D902,物料档案!$A$4:$P$1203,5,0),"※编码不在物料档案里"))</f>
        <v/>
      </c>
      <c r="H902" s="24">
        <f>IF($D902="","",IFERROR(VLOOKUP($D902,物料档案!$A$4:$P$1203,2,0),"※编码不在物料档案里"))</f>
        <v/>
      </c>
      <c r="I902" s="24">
        <f>IF($D902="","",IFERROR(VLOOKUP($D902,物料档案!$A$4:$P$1203,6,0),"※编码不在物料档案里"))</f>
        <v/>
      </c>
      <c r="J902" s="23" t="n"/>
      <c r="K902" s="17" t="n"/>
      <c r="L902" s="17" t="n"/>
      <c r="M902" s="17" t="n"/>
      <c r="N902" s="17" t="n"/>
      <c r="O902" s="26">
        <f>IF($D902="","",IFERROR(VLOOKUP($D902,物料档案!$A$4:$P$1203,10,0),0))</f>
        <v/>
      </c>
      <c r="P902" s="32" t="n"/>
      <c r="Q902" s="26">
        <f>IF($D902="","",IF($K902&lt;&gt;"对外销售",0,ROUND(N($J902)*IF($P902="",N($O902),N($P902)),0)))</f>
        <v/>
      </c>
      <c r="R902" s="26">
        <f>IF($D902="","",IFERROR(VLOOKUP($D902,库存台账!$A$5:$Y$1204,11,0),0))</f>
        <v/>
      </c>
      <c r="S902" s="26">
        <f>IF($D902="","",ROUND(N($J902)*N($R902),0))</f>
        <v/>
      </c>
      <c r="T902" s="26">
        <f>IF($D902="","",IF($K902&lt;&gt;"对外销售","",ROUND($Q902-$S902,0)))</f>
        <v/>
      </c>
      <c r="U902" s="17" t="n"/>
      <c r="V902" s="17" t="n"/>
      <c r="W902" s="24">
        <f>IF($D902="","",IF($E902="※编码不在物料档案里","※物料编码不在档案里",IF(N($J902)&lt;=0,"※出库数量要大于 0",IF($K902="","※没填去向类型",IF($L902="","※没填去向矿区",IF(AND($C902&lt;&gt;"",$C902&lt;=结账锁),"※日期早于已结账截止日，不能再录",IF(AND($K902="自用消耗",COUNTIF({"一矿区";"二矿区"},$L902)=0),"※自用消耗的去向只能是一矿区或二矿区",IF(AND($K902="对外销售",COUNTIF({"三矿区";"六矿区"},$L902)=0),"※对外销售的去向只能是三矿区或六矿区",IF(AND($K902="对外销售",ROUND($Q902,0)=0),"※外销却没有售价，请填实际售价",IF(AND($K902="对外销售",$T902&lt;&gt;"",$T902&lt;0),"※这一笔外销是亏的，请核对售价",IF(IFERROR(VLOOKUP($D902,库存台账!$A$5:$Y$1204,24,0),0)&lt;-0.001,"※这个物料账面已经变成负数了，查一下是不是漏记入库","")))))))))))</f>
        <v/>
      </c>
    </row>
    <row r="903">
      <c r="A903" s="24">
        <f>IF($D903="","",COUNTA($D$4:$D903))</f>
        <v/>
      </c>
      <c r="B903" s="17" t="n"/>
      <c r="C903" s="30" t="n"/>
      <c r="D903" s="17" t="n"/>
      <c r="E903" s="24">
        <f>IF($D903="","",IFERROR(VLOOKUP($D903,物料档案!$A$4:$P$1203,3,0),"※编码不在物料档案里"))</f>
        <v/>
      </c>
      <c r="F903" s="24">
        <f>IF($D903="","",IFERROR(VLOOKUP($D903,物料档案!$A$4:$P$1203,4,0),"※编码不在物料档案里"))</f>
        <v/>
      </c>
      <c r="G903" s="24">
        <f>IF($D903="","",IFERROR(VLOOKUP($D903,物料档案!$A$4:$P$1203,5,0),"※编码不在物料档案里"))</f>
        <v/>
      </c>
      <c r="H903" s="24">
        <f>IF($D903="","",IFERROR(VLOOKUP($D903,物料档案!$A$4:$P$1203,2,0),"※编码不在物料档案里"))</f>
        <v/>
      </c>
      <c r="I903" s="24">
        <f>IF($D903="","",IFERROR(VLOOKUP($D903,物料档案!$A$4:$P$1203,6,0),"※编码不在物料档案里"))</f>
        <v/>
      </c>
      <c r="J903" s="23" t="n"/>
      <c r="K903" s="17" t="n"/>
      <c r="L903" s="17" t="n"/>
      <c r="M903" s="17" t="n"/>
      <c r="N903" s="17" t="n"/>
      <c r="O903" s="26">
        <f>IF($D903="","",IFERROR(VLOOKUP($D903,物料档案!$A$4:$P$1203,10,0),0))</f>
        <v/>
      </c>
      <c r="P903" s="32" t="n"/>
      <c r="Q903" s="26">
        <f>IF($D903="","",IF($K903&lt;&gt;"对外销售",0,ROUND(N($J903)*IF($P903="",N($O903),N($P903)),0)))</f>
        <v/>
      </c>
      <c r="R903" s="26">
        <f>IF($D903="","",IFERROR(VLOOKUP($D903,库存台账!$A$5:$Y$1204,11,0),0))</f>
        <v/>
      </c>
      <c r="S903" s="26">
        <f>IF($D903="","",ROUND(N($J903)*N($R903),0))</f>
        <v/>
      </c>
      <c r="T903" s="26">
        <f>IF($D903="","",IF($K903&lt;&gt;"对外销售","",ROUND($Q903-$S903,0)))</f>
        <v/>
      </c>
      <c r="U903" s="17" t="n"/>
      <c r="V903" s="17" t="n"/>
      <c r="W903" s="24">
        <f>IF($D903="","",IF($E903="※编码不在物料档案里","※物料编码不在档案里",IF(N($J903)&lt;=0,"※出库数量要大于 0",IF($K903="","※没填去向类型",IF($L903="","※没填去向矿区",IF(AND($C903&lt;&gt;"",$C903&lt;=结账锁),"※日期早于已结账截止日，不能再录",IF(AND($K903="自用消耗",COUNTIF({"一矿区";"二矿区"},$L903)=0),"※自用消耗的去向只能是一矿区或二矿区",IF(AND($K903="对外销售",COUNTIF({"三矿区";"六矿区"},$L903)=0),"※对外销售的去向只能是三矿区或六矿区",IF(AND($K903="对外销售",ROUND($Q903,0)=0),"※外销却没有售价，请填实际售价",IF(AND($K903="对外销售",$T903&lt;&gt;"",$T903&lt;0),"※这一笔外销是亏的，请核对售价",IF(IFERROR(VLOOKUP($D903,库存台账!$A$5:$Y$1204,24,0),0)&lt;-0.001,"※这个物料账面已经变成负数了，查一下是不是漏记入库","")))))))))))</f>
        <v/>
      </c>
    </row>
    <row r="904">
      <c r="A904" s="24">
        <f>IF($D904="","",COUNTA($D$4:$D904))</f>
        <v/>
      </c>
      <c r="B904" s="17" t="n"/>
      <c r="C904" s="30" t="n"/>
      <c r="D904" s="17" t="n"/>
      <c r="E904" s="24">
        <f>IF($D904="","",IFERROR(VLOOKUP($D904,物料档案!$A$4:$P$1203,3,0),"※编码不在物料档案里"))</f>
        <v/>
      </c>
      <c r="F904" s="24">
        <f>IF($D904="","",IFERROR(VLOOKUP($D904,物料档案!$A$4:$P$1203,4,0),"※编码不在物料档案里"))</f>
        <v/>
      </c>
      <c r="G904" s="24">
        <f>IF($D904="","",IFERROR(VLOOKUP($D904,物料档案!$A$4:$P$1203,5,0),"※编码不在物料档案里"))</f>
        <v/>
      </c>
      <c r="H904" s="24">
        <f>IF($D904="","",IFERROR(VLOOKUP($D904,物料档案!$A$4:$P$1203,2,0),"※编码不在物料档案里"))</f>
        <v/>
      </c>
      <c r="I904" s="24">
        <f>IF($D904="","",IFERROR(VLOOKUP($D904,物料档案!$A$4:$P$1203,6,0),"※编码不在物料档案里"))</f>
        <v/>
      </c>
      <c r="J904" s="23" t="n"/>
      <c r="K904" s="17" t="n"/>
      <c r="L904" s="17" t="n"/>
      <c r="M904" s="17" t="n"/>
      <c r="N904" s="17" t="n"/>
      <c r="O904" s="26">
        <f>IF($D904="","",IFERROR(VLOOKUP($D904,物料档案!$A$4:$P$1203,10,0),0))</f>
        <v/>
      </c>
      <c r="P904" s="32" t="n"/>
      <c r="Q904" s="26">
        <f>IF($D904="","",IF($K904&lt;&gt;"对外销售",0,ROUND(N($J904)*IF($P904="",N($O904),N($P904)),0)))</f>
        <v/>
      </c>
      <c r="R904" s="26">
        <f>IF($D904="","",IFERROR(VLOOKUP($D904,库存台账!$A$5:$Y$1204,11,0),0))</f>
        <v/>
      </c>
      <c r="S904" s="26">
        <f>IF($D904="","",ROUND(N($J904)*N($R904),0))</f>
        <v/>
      </c>
      <c r="T904" s="26">
        <f>IF($D904="","",IF($K904&lt;&gt;"对外销售","",ROUND($Q904-$S904,0)))</f>
        <v/>
      </c>
      <c r="U904" s="17" t="n"/>
      <c r="V904" s="17" t="n"/>
      <c r="W904" s="24">
        <f>IF($D904="","",IF($E904="※编码不在物料档案里","※物料编码不在档案里",IF(N($J904)&lt;=0,"※出库数量要大于 0",IF($K904="","※没填去向类型",IF($L904="","※没填去向矿区",IF(AND($C904&lt;&gt;"",$C904&lt;=结账锁),"※日期早于已结账截止日，不能再录",IF(AND($K904="自用消耗",COUNTIF({"一矿区";"二矿区"},$L904)=0),"※自用消耗的去向只能是一矿区或二矿区",IF(AND($K904="对外销售",COUNTIF({"三矿区";"六矿区"},$L904)=0),"※对外销售的去向只能是三矿区或六矿区",IF(AND($K904="对外销售",ROUND($Q904,0)=0),"※外销却没有售价，请填实际售价",IF(AND($K904="对外销售",$T904&lt;&gt;"",$T904&lt;0),"※这一笔外销是亏的，请核对售价",IF(IFERROR(VLOOKUP($D904,库存台账!$A$5:$Y$1204,24,0),0)&lt;-0.001,"※这个物料账面已经变成负数了，查一下是不是漏记入库","")))))))))))</f>
        <v/>
      </c>
    </row>
    <row r="905">
      <c r="A905" s="24">
        <f>IF($D905="","",COUNTA($D$4:$D905))</f>
        <v/>
      </c>
      <c r="B905" s="17" t="n"/>
      <c r="C905" s="30" t="n"/>
      <c r="D905" s="17" t="n"/>
      <c r="E905" s="24">
        <f>IF($D905="","",IFERROR(VLOOKUP($D905,物料档案!$A$4:$P$1203,3,0),"※编码不在物料档案里"))</f>
        <v/>
      </c>
      <c r="F905" s="24">
        <f>IF($D905="","",IFERROR(VLOOKUP($D905,物料档案!$A$4:$P$1203,4,0),"※编码不在物料档案里"))</f>
        <v/>
      </c>
      <c r="G905" s="24">
        <f>IF($D905="","",IFERROR(VLOOKUP($D905,物料档案!$A$4:$P$1203,5,0),"※编码不在物料档案里"))</f>
        <v/>
      </c>
      <c r="H905" s="24">
        <f>IF($D905="","",IFERROR(VLOOKUP($D905,物料档案!$A$4:$P$1203,2,0),"※编码不在物料档案里"))</f>
        <v/>
      </c>
      <c r="I905" s="24">
        <f>IF($D905="","",IFERROR(VLOOKUP($D905,物料档案!$A$4:$P$1203,6,0),"※编码不在物料档案里"))</f>
        <v/>
      </c>
      <c r="J905" s="23" t="n"/>
      <c r="K905" s="17" t="n"/>
      <c r="L905" s="17" t="n"/>
      <c r="M905" s="17" t="n"/>
      <c r="N905" s="17" t="n"/>
      <c r="O905" s="26">
        <f>IF($D905="","",IFERROR(VLOOKUP($D905,物料档案!$A$4:$P$1203,10,0),0))</f>
        <v/>
      </c>
      <c r="P905" s="32" t="n"/>
      <c r="Q905" s="26">
        <f>IF($D905="","",IF($K905&lt;&gt;"对外销售",0,ROUND(N($J905)*IF($P905="",N($O905),N($P905)),0)))</f>
        <v/>
      </c>
      <c r="R905" s="26">
        <f>IF($D905="","",IFERROR(VLOOKUP($D905,库存台账!$A$5:$Y$1204,11,0),0))</f>
        <v/>
      </c>
      <c r="S905" s="26">
        <f>IF($D905="","",ROUND(N($J905)*N($R905),0))</f>
        <v/>
      </c>
      <c r="T905" s="26">
        <f>IF($D905="","",IF($K905&lt;&gt;"对外销售","",ROUND($Q905-$S905,0)))</f>
        <v/>
      </c>
      <c r="U905" s="17" t="n"/>
      <c r="V905" s="17" t="n"/>
      <c r="W905" s="24">
        <f>IF($D905="","",IF($E905="※编码不在物料档案里","※物料编码不在档案里",IF(N($J905)&lt;=0,"※出库数量要大于 0",IF($K905="","※没填去向类型",IF($L905="","※没填去向矿区",IF(AND($C905&lt;&gt;"",$C905&lt;=结账锁),"※日期早于已结账截止日，不能再录",IF(AND($K905="自用消耗",COUNTIF({"一矿区";"二矿区"},$L905)=0),"※自用消耗的去向只能是一矿区或二矿区",IF(AND($K905="对外销售",COUNTIF({"三矿区";"六矿区"},$L905)=0),"※对外销售的去向只能是三矿区或六矿区",IF(AND($K905="对外销售",ROUND($Q905,0)=0),"※外销却没有售价，请填实际售价",IF(AND($K905="对外销售",$T905&lt;&gt;"",$T905&lt;0),"※这一笔外销是亏的，请核对售价",IF(IFERROR(VLOOKUP($D905,库存台账!$A$5:$Y$1204,24,0),0)&lt;-0.001,"※这个物料账面已经变成负数了，查一下是不是漏记入库","")))))))))))</f>
        <v/>
      </c>
    </row>
    <row r="906">
      <c r="A906" s="24">
        <f>IF($D906="","",COUNTA($D$4:$D906))</f>
        <v/>
      </c>
      <c r="B906" s="17" t="n"/>
      <c r="C906" s="30" t="n"/>
      <c r="D906" s="17" t="n"/>
      <c r="E906" s="24">
        <f>IF($D906="","",IFERROR(VLOOKUP($D906,物料档案!$A$4:$P$1203,3,0),"※编码不在物料档案里"))</f>
        <v/>
      </c>
      <c r="F906" s="24">
        <f>IF($D906="","",IFERROR(VLOOKUP($D906,物料档案!$A$4:$P$1203,4,0),"※编码不在物料档案里"))</f>
        <v/>
      </c>
      <c r="G906" s="24">
        <f>IF($D906="","",IFERROR(VLOOKUP($D906,物料档案!$A$4:$P$1203,5,0),"※编码不在物料档案里"))</f>
        <v/>
      </c>
      <c r="H906" s="24">
        <f>IF($D906="","",IFERROR(VLOOKUP($D906,物料档案!$A$4:$P$1203,2,0),"※编码不在物料档案里"))</f>
        <v/>
      </c>
      <c r="I906" s="24">
        <f>IF($D906="","",IFERROR(VLOOKUP($D906,物料档案!$A$4:$P$1203,6,0),"※编码不在物料档案里"))</f>
        <v/>
      </c>
      <c r="J906" s="23" t="n"/>
      <c r="K906" s="17" t="n"/>
      <c r="L906" s="17" t="n"/>
      <c r="M906" s="17" t="n"/>
      <c r="N906" s="17" t="n"/>
      <c r="O906" s="26">
        <f>IF($D906="","",IFERROR(VLOOKUP($D906,物料档案!$A$4:$P$1203,10,0),0))</f>
        <v/>
      </c>
      <c r="P906" s="32" t="n"/>
      <c r="Q906" s="26">
        <f>IF($D906="","",IF($K906&lt;&gt;"对外销售",0,ROUND(N($J906)*IF($P906="",N($O906),N($P906)),0)))</f>
        <v/>
      </c>
      <c r="R906" s="26">
        <f>IF($D906="","",IFERROR(VLOOKUP($D906,库存台账!$A$5:$Y$1204,11,0),0))</f>
        <v/>
      </c>
      <c r="S906" s="26">
        <f>IF($D906="","",ROUND(N($J906)*N($R906),0))</f>
        <v/>
      </c>
      <c r="T906" s="26">
        <f>IF($D906="","",IF($K906&lt;&gt;"对外销售","",ROUND($Q906-$S906,0)))</f>
        <v/>
      </c>
      <c r="U906" s="17" t="n"/>
      <c r="V906" s="17" t="n"/>
      <c r="W906" s="24">
        <f>IF($D906="","",IF($E906="※编码不在物料档案里","※物料编码不在档案里",IF(N($J906)&lt;=0,"※出库数量要大于 0",IF($K906="","※没填去向类型",IF($L906="","※没填去向矿区",IF(AND($C906&lt;&gt;"",$C906&lt;=结账锁),"※日期早于已结账截止日，不能再录",IF(AND($K906="自用消耗",COUNTIF({"一矿区";"二矿区"},$L906)=0),"※自用消耗的去向只能是一矿区或二矿区",IF(AND($K906="对外销售",COUNTIF({"三矿区";"六矿区"},$L906)=0),"※对外销售的去向只能是三矿区或六矿区",IF(AND($K906="对外销售",ROUND($Q906,0)=0),"※外销却没有售价，请填实际售价",IF(AND($K906="对外销售",$T906&lt;&gt;"",$T906&lt;0),"※这一笔外销是亏的，请核对售价",IF(IFERROR(VLOOKUP($D906,库存台账!$A$5:$Y$1204,24,0),0)&lt;-0.001,"※这个物料账面已经变成负数了，查一下是不是漏记入库","")))))))))))</f>
        <v/>
      </c>
    </row>
    <row r="907">
      <c r="A907" s="24">
        <f>IF($D907="","",COUNTA($D$4:$D907))</f>
        <v/>
      </c>
      <c r="B907" s="17" t="n"/>
      <c r="C907" s="30" t="n"/>
      <c r="D907" s="17" t="n"/>
      <c r="E907" s="24">
        <f>IF($D907="","",IFERROR(VLOOKUP($D907,物料档案!$A$4:$P$1203,3,0),"※编码不在物料档案里"))</f>
        <v/>
      </c>
      <c r="F907" s="24">
        <f>IF($D907="","",IFERROR(VLOOKUP($D907,物料档案!$A$4:$P$1203,4,0),"※编码不在物料档案里"))</f>
        <v/>
      </c>
      <c r="G907" s="24">
        <f>IF($D907="","",IFERROR(VLOOKUP($D907,物料档案!$A$4:$P$1203,5,0),"※编码不在物料档案里"))</f>
        <v/>
      </c>
      <c r="H907" s="24">
        <f>IF($D907="","",IFERROR(VLOOKUP($D907,物料档案!$A$4:$P$1203,2,0),"※编码不在物料档案里"))</f>
        <v/>
      </c>
      <c r="I907" s="24">
        <f>IF($D907="","",IFERROR(VLOOKUP($D907,物料档案!$A$4:$P$1203,6,0),"※编码不在物料档案里"))</f>
        <v/>
      </c>
      <c r="J907" s="23" t="n"/>
      <c r="K907" s="17" t="n"/>
      <c r="L907" s="17" t="n"/>
      <c r="M907" s="17" t="n"/>
      <c r="N907" s="17" t="n"/>
      <c r="O907" s="26">
        <f>IF($D907="","",IFERROR(VLOOKUP($D907,物料档案!$A$4:$P$1203,10,0),0))</f>
        <v/>
      </c>
      <c r="P907" s="32" t="n"/>
      <c r="Q907" s="26">
        <f>IF($D907="","",IF($K907&lt;&gt;"对外销售",0,ROUND(N($J907)*IF($P907="",N($O907),N($P907)),0)))</f>
        <v/>
      </c>
      <c r="R907" s="26">
        <f>IF($D907="","",IFERROR(VLOOKUP($D907,库存台账!$A$5:$Y$1204,11,0),0))</f>
        <v/>
      </c>
      <c r="S907" s="26">
        <f>IF($D907="","",ROUND(N($J907)*N($R907),0))</f>
        <v/>
      </c>
      <c r="T907" s="26">
        <f>IF($D907="","",IF($K907&lt;&gt;"对外销售","",ROUND($Q907-$S907,0)))</f>
        <v/>
      </c>
      <c r="U907" s="17" t="n"/>
      <c r="V907" s="17" t="n"/>
      <c r="W907" s="24">
        <f>IF($D907="","",IF($E907="※编码不在物料档案里","※物料编码不在档案里",IF(N($J907)&lt;=0,"※出库数量要大于 0",IF($K907="","※没填去向类型",IF($L907="","※没填去向矿区",IF(AND($C907&lt;&gt;"",$C907&lt;=结账锁),"※日期早于已结账截止日，不能再录",IF(AND($K907="自用消耗",COUNTIF({"一矿区";"二矿区"},$L907)=0),"※自用消耗的去向只能是一矿区或二矿区",IF(AND($K907="对外销售",COUNTIF({"三矿区";"六矿区"},$L907)=0),"※对外销售的去向只能是三矿区或六矿区",IF(AND($K907="对外销售",ROUND($Q907,0)=0),"※外销却没有售价，请填实际售价",IF(AND($K907="对外销售",$T907&lt;&gt;"",$T907&lt;0),"※这一笔外销是亏的，请核对售价",IF(IFERROR(VLOOKUP($D907,库存台账!$A$5:$Y$1204,24,0),0)&lt;-0.001,"※这个物料账面已经变成负数了，查一下是不是漏记入库","")))))))))))</f>
        <v/>
      </c>
    </row>
    <row r="908">
      <c r="A908" s="24">
        <f>IF($D908="","",COUNTA($D$4:$D908))</f>
        <v/>
      </c>
      <c r="B908" s="17" t="n"/>
      <c r="C908" s="30" t="n"/>
      <c r="D908" s="17" t="n"/>
      <c r="E908" s="24">
        <f>IF($D908="","",IFERROR(VLOOKUP($D908,物料档案!$A$4:$P$1203,3,0),"※编码不在物料档案里"))</f>
        <v/>
      </c>
      <c r="F908" s="24">
        <f>IF($D908="","",IFERROR(VLOOKUP($D908,物料档案!$A$4:$P$1203,4,0),"※编码不在物料档案里"))</f>
        <v/>
      </c>
      <c r="G908" s="24">
        <f>IF($D908="","",IFERROR(VLOOKUP($D908,物料档案!$A$4:$P$1203,5,0),"※编码不在物料档案里"))</f>
        <v/>
      </c>
      <c r="H908" s="24">
        <f>IF($D908="","",IFERROR(VLOOKUP($D908,物料档案!$A$4:$P$1203,2,0),"※编码不在物料档案里"))</f>
        <v/>
      </c>
      <c r="I908" s="24">
        <f>IF($D908="","",IFERROR(VLOOKUP($D908,物料档案!$A$4:$P$1203,6,0),"※编码不在物料档案里"))</f>
        <v/>
      </c>
      <c r="J908" s="23" t="n"/>
      <c r="K908" s="17" t="n"/>
      <c r="L908" s="17" t="n"/>
      <c r="M908" s="17" t="n"/>
      <c r="N908" s="17" t="n"/>
      <c r="O908" s="26">
        <f>IF($D908="","",IFERROR(VLOOKUP($D908,物料档案!$A$4:$P$1203,10,0),0))</f>
        <v/>
      </c>
      <c r="P908" s="32" t="n"/>
      <c r="Q908" s="26">
        <f>IF($D908="","",IF($K908&lt;&gt;"对外销售",0,ROUND(N($J908)*IF($P908="",N($O908),N($P908)),0)))</f>
        <v/>
      </c>
      <c r="R908" s="26">
        <f>IF($D908="","",IFERROR(VLOOKUP($D908,库存台账!$A$5:$Y$1204,11,0),0))</f>
        <v/>
      </c>
      <c r="S908" s="26">
        <f>IF($D908="","",ROUND(N($J908)*N($R908),0))</f>
        <v/>
      </c>
      <c r="T908" s="26">
        <f>IF($D908="","",IF($K908&lt;&gt;"对外销售","",ROUND($Q908-$S908,0)))</f>
        <v/>
      </c>
      <c r="U908" s="17" t="n"/>
      <c r="V908" s="17" t="n"/>
      <c r="W908" s="24">
        <f>IF($D908="","",IF($E908="※编码不在物料档案里","※物料编码不在档案里",IF(N($J908)&lt;=0,"※出库数量要大于 0",IF($K908="","※没填去向类型",IF($L908="","※没填去向矿区",IF(AND($C908&lt;&gt;"",$C908&lt;=结账锁),"※日期早于已结账截止日，不能再录",IF(AND($K908="自用消耗",COUNTIF({"一矿区";"二矿区"},$L908)=0),"※自用消耗的去向只能是一矿区或二矿区",IF(AND($K908="对外销售",COUNTIF({"三矿区";"六矿区"},$L908)=0),"※对外销售的去向只能是三矿区或六矿区",IF(AND($K908="对外销售",ROUND($Q908,0)=0),"※外销却没有售价，请填实际售价",IF(AND($K908="对外销售",$T908&lt;&gt;"",$T908&lt;0),"※这一笔外销是亏的，请核对售价",IF(IFERROR(VLOOKUP($D908,库存台账!$A$5:$Y$1204,24,0),0)&lt;-0.001,"※这个物料账面已经变成负数了，查一下是不是漏记入库","")))))))))))</f>
        <v/>
      </c>
    </row>
    <row r="909">
      <c r="A909" s="24">
        <f>IF($D909="","",COUNTA($D$4:$D909))</f>
        <v/>
      </c>
      <c r="B909" s="17" t="n"/>
      <c r="C909" s="30" t="n"/>
      <c r="D909" s="17" t="n"/>
      <c r="E909" s="24">
        <f>IF($D909="","",IFERROR(VLOOKUP($D909,物料档案!$A$4:$P$1203,3,0),"※编码不在物料档案里"))</f>
        <v/>
      </c>
      <c r="F909" s="24">
        <f>IF($D909="","",IFERROR(VLOOKUP($D909,物料档案!$A$4:$P$1203,4,0),"※编码不在物料档案里"))</f>
        <v/>
      </c>
      <c r="G909" s="24">
        <f>IF($D909="","",IFERROR(VLOOKUP($D909,物料档案!$A$4:$P$1203,5,0),"※编码不在物料档案里"))</f>
        <v/>
      </c>
      <c r="H909" s="24">
        <f>IF($D909="","",IFERROR(VLOOKUP($D909,物料档案!$A$4:$P$1203,2,0),"※编码不在物料档案里"))</f>
        <v/>
      </c>
      <c r="I909" s="24">
        <f>IF($D909="","",IFERROR(VLOOKUP($D909,物料档案!$A$4:$P$1203,6,0),"※编码不在物料档案里"))</f>
        <v/>
      </c>
      <c r="J909" s="23" t="n"/>
      <c r="K909" s="17" t="n"/>
      <c r="L909" s="17" t="n"/>
      <c r="M909" s="17" t="n"/>
      <c r="N909" s="17" t="n"/>
      <c r="O909" s="26">
        <f>IF($D909="","",IFERROR(VLOOKUP($D909,物料档案!$A$4:$P$1203,10,0),0))</f>
        <v/>
      </c>
      <c r="P909" s="32" t="n"/>
      <c r="Q909" s="26">
        <f>IF($D909="","",IF($K909&lt;&gt;"对外销售",0,ROUND(N($J909)*IF($P909="",N($O909),N($P909)),0)))</f>
        <v/>
      </c>
      <c r="R909" s="26">
        <f>IF($D909="","",IFERROR(VLOOKUP($D909,库存台账!$A$5:$Y$1204,11,0),0))</f>
        <v/>
      </c>
      <c r="S909" s="26">
        <f>IF($D909="","",ROUND(N($J909)*N($R909),0))</f>
        <v/>
      </c>
      <c r="T909" s="26">
        <f>IF($D909="","",IF($K909&lt;&gt;"对外销售","",ROUND($Q909-$S909,0)))</f>
        <v/>
      </c>
      <c r="U909" s="17" t="n"/>
      <c r="V909" s="17" t="n"/>
      <c r="W909" s="24">
        <f>IF($D909="","",IF($E909="※编码不在物料档案里","※物料编码不在档案里",IF(N($J909)&lt;=0,"※出库数量要大于 0",IF($K909="","※没填去向类型",IF($L909="","※没填去向矿区",IF(AND($C909&lt;&gt;"",$C909&lt;=结账锁),"※日期早于已结账截止日，不能再录",IF(AND($K909="自用消耗",COUNTIF({"一矿区";"二矿区"},$L909)=0),"※自用消耗的去向只能是一矿区或二矿区",IF(AND($K909="对外销售",COUNTIF({"三矿区";"六矿区"},$L909)=0),"※对外销售的去向只能是三矿区或六矿区",IF(AND($K909="对外销售",ROUND($Q909,0)=0),"※外销却没有售价，请填实际售价",IF(AND($K909="对外销售",$T909&lt;&gt;"",$T909&lt;0),"※这一笔外销是亏的，请核对售价",IF(IFERROR(VLOOKUP($D909,库存台账!$A$5:$Y$1204,24,0),0)&lt;-0.001,"※这个物料账面已经变成负数了，查一下是不是漏记入库","")))))))))))</f>
        <v/>
      </c>
    </row>
    <row r="910">
      <c r="A910" s="24">
        <f>IF($D910="","",COUNTA($D$4:$D910))</f>
        <v/>
      </c>
      <c r="B910" s="17" t="n"/>
      <c r="C910" s="30" t="n"/>
      <c r="D910" s="17" t="n"/>
      <c r="E910" s="24">
        <f>IF($D910="","",IFERROR(VLOOKUP($D910,物料档案!$A$4:$P$1203,3,0),"※编码不在物料档案里"))</f>
        <v/>
      </c>
      <c r="F910" s="24">
        <f>IF($D910="","",IFERROR(VLOOKUP($D910,物料档案!$A$4:$P$1203,4,0),"※编码不在物料档案里"))</f>
        <v/>
      </c>
      <c r="G910" s="24">
        <f>IF($D910="","",IFERROR(VLOOKUP($D910,物料档案!$A$4:$P$1203,5,0),"※编码不在物料档案里"))</f>
        <v/>
      </c>
      <c r="H910" s="24">
        <f>IF($D910="","",IFERROR(VLOOKUP($D910,物料档案!$A$4:$P$1203,2,0),"※编码不在物料档案里"))</f>
        <v/>
      </c>
      <c r="I910" s="24">
        <f>IF($D910="","",IFERROR(VLOOKUP($D910,物料档案!$A$4:$P$1203,6,0),"※编码不在物料档案里"))</f>
        <v/>
      </c>
      <c r="J910" s="23" t="n"/>
      <c r="K910" s="17" t="n"/>
      <c r="L910" s="17" t="n"/>
      <c r="M910" s="17" t="n"/>
      <c r="N910" s="17" t="n"/>
      <c r="O910" s="26">
        <f>IF($D910="","",IFERROR(VLOOKUP($D910,物料档案!$A$4:$P$1203,10,0),0))</f>
        <v/>
      </c>
      <c r="P910" s="32" t="n"/>
      <c r="Q910" s="26">
        <f>IF($D910="","",IF($K910&lt;&gt;"对外销售",0,ROUND(N($J910)*IF($P910="",N($O910),N($P910)),0)))</f>
        <v/>
      </c>
      <c r="R910" s="26">
        <f>IF($D910="","",IFERROR(VLOOKUP($D910,库存台账!$A$5:$Y$1204,11,0),0))</f>
        <v/>
      </c>
      <c r="S910" s="26">
        <f>IF($D910="","",ROUND(N($J910)*N($R910),0))</f>
        <v/>
      </c>
      <c r="T910" s="26">
        <f>IF($D910="","",IF($K910&lt;&gt;"对外销售","",ROUND($Q910-$S910,0)))</f>
        <v/>
      </c>
      <c r="U910" s="17" t="n"/>
      <c r="V910" s="17" t="n"/>
      <c r="W910" s="24">
        <f>IF($D910="","",IF($E910="※编码不在物料档案里","※物料编码不在档案里",IF(N($J910)&lt;=0,"※出库数量要大于 0",IF($K910="","※没填去向类型",IF($L910="","※没填去向矿区",IF(AND($C910&lt;&gt;"",$C910&lt;=结账锁),"※日期早于已结账截止日，不能再录",IF(AND($K910="自用消耗",COUNTIF({"一矿区";"二矿区"},$L910)=0),"※自用消耗的去向只能是一矿区或二矿区",IF(AND($K910="对外销售",COUNTIF({"三矿区";"六矿区"},$L910)=0),"※对外销售的去向只能是三矿区或六矿区",IF(AND($K910="对外销售",ROUND($Q910,0)=0),"※外销却没有售价，请填实际售价",IF(AND($K910="对外销售",$T910&lt;&gt;"",$T910&lt;0),"※这一笔外销是亏的，请核对售价",IF(IFERROR(VLOOKUP($D910,库存台账!$A$5:$Y$1204,24,0),0)&lt;-0.001,"※这个物料账面已经变成负数了，查一下是不是漏记入库","")))))))))))</f>
        <v/>
      </c>
    </row>
    <row r="911">
      <c r="A911" s="24">
        <f>IF($D911="","",COUNTA($D$4:$D911))</f>
        <v/>
      </c>
      <c r="B911" s="17" t="n"/>
      <c r="C911" s="30" t="n"/>
      <c r="D911" s="17" t="n"/>
      <c r="E911" s="24">
        <f>IF($D911="","",IFERROR(VLOOKUP($D911,物料档案!$A$4:$P$1203,3,0),"※编码不在物料档案里"))</f>
        <v/>
      </c>
      <c r="F911" s="24">
        <f>IF($D911="","",IFERROR(VLOOKUP($D911,物料档案!$A$4:$P$1203,4,0),"※编码不在物料档案里"))</f>
        <v/>
      </c>
      <c r="G911" s="24">
        <f>IF($D911="","",IFERROR(VLOOKUP($D911,物料档案!$A$4:$P$1203,5,0),"※编码不在物料档案里"))</f>
        <v/>
      </c>
      <c r="H911" s="24">
        <f>IF($D911="","",IFERROR(VLOOKUP($D911,物料档案!$A$4:$P$1203,2,0),"※编码不在物料档案里"))</f>
        <v/>
      </c>
      <c r="I911" s="24">
        <f>IF($D911="","",IFERROR(VLOOKUP($D911,物料档案!$A$4:$P$1203,6,0),"※编码不在物料档案里"))</f>
        <v/>
      </c>
      <c r="J911" s="23" t="n"/>
      <c r="K911" s="17" t="n"/>
      <c r="L911" s="17" t="n"/>
      <c r="M911" s="17" t="n"/>
      <c r="N911" s="17" t="n"/>
      <c r="O911" s="26">
        <f>IF($D911="","",IFERROR(VLOOKUP($D911,物料档案!$A$4:$P$1203,10,0),0))</f>
        <v/>
      </c>
      <c r="P911" s="32" t="n"/>
      <c r="Q911" s="26">
        <f>IF($D911="","",IF($K911&lt;&gt;"对外销售",0,ROUND(N($J911)*IF($P911="",N($O911),N($P911)),0)))</f>
        <v/>
      </c>
      <c r="R911" s="26">
        <f>IF($D911="","",IFERROR(VLOOKUP($D911,库存台账!$A$5:$Y$1204,11,0),0))</f>
        <v/>
      </c>
      <c r="S911" s="26">
        <f>IF($D911="","",ROUND(N($J911)*N($R911),0))</f>
        <v/>
      </c>
      <c r="T911" s="26">
        <f>IF($D911="","",IF($K911&lt;&gt;"对外销售","",ROUND($Q911-$S911,0)))</f>
        <v/>
      </c>
      <c r="U911" s="17" t="n"/>
      <c r="V911" s="17" t="n"/>
      <c r="W911" s="24">
        <f>IF($D911="","",IF($E911="※编码不在物料档案里","※物料编码不在档案里",IF(N($J911)&lt;=0,"※出库数量要大于 0",IF($K911="","※没填去向类型",IF($L911="","※没填去向矿区",IF(AND($C911&lt;&gt;"",$C911&lt;=结账锁),"※日期早于已结账截止日，不能再录",IF(AND($K911="自用消耗",COUNTIF({"一矿区";"二矿区"},$L911)=0),"※自用消耗的去向只能是一矿区或二矿区",IF(AND($K911="对外销售",COUNTIF({"三矿区";"六矿区"},$L911)=0),"※对外销售的去向只能是三矿区或六矿区",IF(AND($K911="对外销售",ROUND($Q911,0)=0),"※外销却没有售价，请填实际售价",IF(AND($K911="对外销售",$T911&lt;&gt;"",$T911&lt;0),"※这一笔外销是亏的，请核对售价",IF(IFERROR(VLOOKUP($D911,库存台账!$A$5:$Y$1204,24,0),0)&lt;-0.001,"※这个物料账面已经变成负数了，查一下是不是漏记入库","")))))))))))</f>
        <v/>
      </c>
    </row>
    <row r="912">
      <c r="A912" s="24">
        <f>IF($D912="","",COUNTA($D$4:$D912))</f>
        <v/>
      </c>
      <c r="B912" s="17" t="n"/>
      <c r="C912" s="30" t="n"/>
      <c r="D912" s="17" t="n"/>
      <c r="E912" s="24">
        <f>IF($D912="","",IFERROR(VLOOKUP($D912,物料档案!$A$4:$P$1203,3,0),"※编码不在物料档案里"))</f>
        <v/>
      </c>
      <c r="F912" s="24">
        <f>IF($D912="","",IFERROR(VLOOKUP($D912,物料档案!$A$4:$P$1203,4,0),"※编码不在物料档案里"))</f>
        <v/>
      </c>
      <c r="G912" s="24">
        <f>IF($D912="","",IFERROR(VLOOKUP($D912,物料档案!$A$4:$P$1203,5,0),"※编码不在物料档案里"))</f>
        <v/>
      </c>
      <c r="H912" s="24">
        <f>IF($D912="","",IFERROR(VLOOKUP($D912,物料档案!$A$4:$P$1203,2,0),"※编码不在物料档案里"))</f>
        <v/>
      </c>
      <c r="I912" s="24">
        <f>IF($D912="","",IFERROR(VLOOKUP($D912,物料档案!$A$4:$P$1203,6,0),"※编码不在物料档案里"))</f>
        <v/>
      </c>
      <c r="J912" s="23" t="n"/>
      <c r="K912" s="17" t="n"/>
      <c r="L912" s="17" t="n"/>
      <c r="M912" s="17" t="n"/>
      <c r="N912" s="17" t="n"/>
      <c r="O912" s="26">
        <f>IF($D912="","",IFERROR(VLOOKUP($D912,物料档案!$A$4:$P$1203,10,0),0))</f>
        <v/>
      </c>
      <c r="P912" s="32" t="n"/>
      <c r="Q912" s="26">
        <f>IF($D912="","",IF($K912&lt;&gt;"对外销售",0,ROUND(N($J912)*IF($P912="",N($O912),N($P912)),0)))</f>
        <v/>
      </c>
      <c r="R912" s="26">
        <f>IF($D912="","",IFERROR(VLOOKUP($D912,库存台账!$A$5:$Y$1204,11,0),0))</f>
        <v/>
      </c>
      <c r="S912" s="26">
        <f>IF($D912="","",ROUND(N($J912)*N($R912),0))</f>
        <v/>
      </c>
      <c r="T912" s="26">
        <f>IF($D912="","",IF($K912&lt;&gt;"对外销售","",ROUND($Q912-$S912,0)))</f>
        <v/>
      </c>
      <c r="U912" s="17" t="n"/>
      <c r="V912" s="17" t="n"/>
      <c r="W912" s="24">
        <f>IF($D912="","",IF($E912="※编码不在物料档案里","※物料编码不在档案里",IF(N($J912)&lt;=0,"※出库数量要大于 0",IF($K912="","※没填去向类型",IF($L912="","※没填去向矿区",IF(AND($C912&lt;&gt;"",$C912&lt;=结账锁),"※日期早于已结账截止日，不能再录",IF(AND($K912="自用消耗",COUNTIF({"一矿区";"二矿区"},$L912)=0),"※自用消耗的去向只能是一矿区或二矿区",IF(AND($K912="对外销售",COUNTIF({"三矿区";"六矿区"},$L912)=0),"※对外销售的去向只能是三矿区或六矿区",IF(AND($K912="对外销售",ROUND($Q912,0)=0),"※外销却没有售价，请填实际售价",IF(AND($K912="对外销售",$T912&lt;&gt;"",$T912&lt;0),"※这一笔外销是亏的，请核对售价",IF(IFERROR(VLOOKUP($D912,库存台账!$A$5:$Y$1204,24,0),0)&lt;-0.001,"※这个物料账面已经变成负数了，查一下是不是漏记入库","")))))))))))</f>
        <v/>
      </c>
    </row>
    <row r="913">
      <c r="A913" s="24">
        <f>IF($D913="","",COUNTA($D$4:$D913))</f>
        <v/>
      </c>
      <c r="B913" s="17" t="n"/>
      <c r="C913" s="30" t="n"/>
      <c r="D913" s="17" t="n"/>
      <c r="E913" s="24">
        <f>IF($D913="","",IFERROR(VLOOKUP($D913,物料档案!$A$4:$P$1203,3,0),"※编码不在物料档案里"))</f>
        <v/>
      </c>
      <c r="F913" s="24">
        <f>IF($D913="","",IFERROR(VLOOKUP($D913,物料档案!$A$4:$P$1203,4,0),"※编码不在物料档案里"))</f>
        <v/>
      </c>
      <c r="G913" s="24">
        <f>IF($D913="","",IFERROR(VLOOKUP($D913,物料档案!$A$4:$P$1203,5,0),"※编码不在物料档案里"))</f>
        <v/>
      </c>
      <c r="H913" s="24">
        <f>IF($D913="","",IFERROR(VLOOKUP($D913,物料档案!$A$4:$P$1203,2,0),"※编码不在物料档案里"))</f>
        <v/>
      </c>
      <c r="I913" s="24">
        <f>IF($D913="","",IFERROR(VLOOKUP($D913,物料档案!$A$4:$P$1203,6,0),"※编码不在物料档案里"))</f>
        <v/>
      </c>
      <c r="J913" s="23" t="n"/>
      <c r="K913" s="17" t="n"/>
      <c r="L913" s="17" t="n"/>
      <c r="M913" s="17" t="n"/>
      <c r="N913" s="17" t="n"/>
      <c r="O913" s="26">
        <f>IF($D913="","",IFERROR(VLOOKUP($D913,物料档案!$A$4:$P$1203,10,0),0))</f>
        <v/>
      </c>
      <c r="P913" s="32" t="n"/>
      <c r="Q913" s="26">
        <f>IF($D913="","",IF($K913&lt;&gt;"对外销售",0,ROUND(N($J913)*IF($P913="",N($O913),N($P913)),0)))</f>
        <v/>
      </c>
      <c r="R913" s="26">
        <f>IF($D913="","",IFERROR(VLOOKUP($D913,库存台账!$A$5:$Y$1204,11,0),0))</f>
        <v/>
      </c>
      <c r="S913" s="26">
        <f>IF($D913="","",ROUND(N($J913)*N($R913),0))</f>
        <v/>
      </c>
      <c r="T913" s="26">
        <f>IF($D913="","",IF($K913&lt;&gt;"对外销售","",ROUND($Q913-$S913,0)))</f>
        <v/>
      </c>
      <c r="U913" s="17" t="n"/>
      <c r="V913" s="17" t="n"/>
      <c r="W913" s="24">
        <f>IF($D913="","",IF($E913="※编码不在物料档案里","※物料编码不在档案里",IF(N($J913)&lt;=0,"※出库数量要大于 0",IF($K913="","※没填去向类型",IF($L913="","※没填去向矿区",IF(AND($C913&lt;&gt;"",$C913&lt;=结账锁),"※日期早于已结账截止日，不能再录",IF(AND($K913="自用消耗",COUNTIF({"一矿区";"二矿区"},$L913)=0),"※自用消耗的去向只能是一矿区或二矿区",IF(AND($K913="对外销售",COUNTIF({"三矿区";"六矿区"},$L913)=0),"※对外销售的去向只能是三矿区或六矿区",IF(AND($K913="对外销售",ROUND($Q913,0)=0),"※外销却没有售价，请填实际售价",IF(AND($K913="对外销售",$T913&lt;&gt;"",$T913&lt;0),"※这一笔外销是亏的，请核对售价",IF(IFERROR(VLOOKUP($D913,库存台账!$A$5:$Y$1204,24,0),0)&lt;-0.001,"※这个物料账面已经变成负数了，查一下是不是漏记入库","")))))))))))</f>
        <v/>
      </c>
    </row>
    <row r="914">
      <c r="A914" s="24">
        <f>IF($D914="","",COUNTA($D$4:$D914))</f>
        <v/>
      </c>
      <c r="B914" s="17" t="n"/>
      <c r="C914" s="30" t="n"/>
      <c r="D914" s="17" t="n"/>
      <c r="E914" s="24">
        <f>IF($D914="","",IFERROR(VLOOKUP($D914,物料档案!$A$4:$P$1203,3,0),"※编码不在物料档案里"))</f>
        <v/>
      </c>
      <c r="F914" s="24">
        <f>IF($D914="","",IFERROR(VLOOKUP($D914,物料档案!$A$4:$P$1203,4,0),"※编码不在物料档案里"))</f>
        <v/>
      </c>
      <c r="G914" s="24">
        <f>IF($D914="","",IFERROR(VLOOKUP($D914,物料档案!$A$4:$P$1203,5,0),"※编码不在物料档案里"))</f>
        <v/>
      </c>
      <c r="H914" s="24">
        <f>IF($D914="","",IFERROR(VLOOKUP($D914,物料档案!$A$4:$P$1203,2,0),"※编码不在物料档案里"))</f>
        <v/>
      </c>
      <c r="I914" s="24">
        <f>IF($D914="","",IFERROR(VLOOKUP($D914,物料档案!$A$4:$P$1203,6,0),"※编码不在物料档案里"))</f>
        <v/>
      </c>
      <c r="J914" s="23" t="n"/>
      <c r="K914" s="17" t="n"/>
      <c r="L914" s="17" t="n"/>
      <c r="M914" s="17" t="n"/>
      <c r="N914" s="17" t="n"/>
      <c r="O914" s="26">
        <f>IF($D914="","",IFERROR(VLOOKUP($D914,物料档案!$A$4:$P$1203,10,0),0))</f>
        <v/>
      </c>
      <c r="P914" s="32" t="n"/>
      <c r="Q914" s="26">
        <f>IF($D914="","",IF($K914&lt;&gt;"对外销售",0,ROUND(N($J914)*IF($P914="",N($O914),N($P914)),0)))</f>
        <v/>
      </c>
      <c r="R914" s="26">
        <f>IF($D914="","",IFERROR(VLOOKUP($D914,库存台账!$A$5:$Y$1204,11,0),0))</f>
        <v/>
      </c>
      <c r="S914" s="26">
        <f>IF($D914="","",ROUND(N($J914)*N($R914),0))</f>
        <v/>
      </c>
      <c r="T914" s="26">
        <f>IF($D914="","",IF($K914&lt;&gt;"对外销售","",ROUND($Q914-$S914,0)))</f>
        <v/>
      </c>
      <c r="U914" s="17" t="n"/>
      <c r="V914" s="17" t="n"/>
      <c r="W914" s="24">
        <f>IF($D914="","",IF($E914="※编码不在物料档案里","※物料编码不在档案里",IF(N($J914)&lt;=0,"※出库数量要大于 0",IF($K914="","※没填去向类型",IF($L914="","※没填去向矿区",IF(AND($C914&lt;&gt;"",$C914&lt;=结账锁),"※日期早于已结账截止日，不能再录",IF(AND($K914="自用消耗",COUNTIF({"一矿区";"二矿区"},$L914)=0),"※自用消耗的去向只能是一矿区或二矿区",IF(AND($K914="对外销售",COUNTIF({"三矿区";"六矿区"},$L914)=0),"※对外销售的去向只能是三矿区或六矿区",IF(AND($K914="对外销售",ROUND($Q914,0)=0),"※外销却没有售价，请填实际售价",IF(AND($K914="对外销售",$T914&lt;&gt;"",$T914&lt;0),"※这一笔外销是亏的，请核对售价",IF(IFERROR(VLOOKUP($D914,库存台账!$A$5:$Y$1204,24,0),0)&lt;-0.001,"※这个物料账面已经变成负数了，查一下是不是漏记入库","")))))))))))</f>
        <v/>
      </c>
    </row>
    <row r="915">
      <c r="A915" s="24">
        <f>IF($D915="","",COUNTA($D$4:$D915))</f>
        <v/>
      </c>
      <c r="B915" s="17" t="n"/>
      <c r="C915" s="30" t="n"/>
      <c r="D915" s="17" t="n"/>
      <c r="E915" s="24">
        <f>IF($D915="","",IFERROR(VLOOKUP($D915,物料档案!$A$4:$P$1203,3,0),"※编码不在物料档案里"))</f>
        <v/>
      </c>
      <c r="F915" s="24">
        <f>IF($D915="","",IFERROR(VLOOKUP($D915,物料档案!$A$4:$P$1203,4,0),"※编码不在物料档案里"))</f>
        <v/>
      </c>
      <c r="G915" s="24">
        <f>IF($D915="","",IFERROR(VLOOKUP($D915,物料档案!$A$4:$P$1203,5,0),"※编码不在物料档案里"))</f>
        <v/>
      </c>
      <c r="H915" s="24">
        <f>IF($D915="","",IFERROR(VLOOKUP($D915,物料档案!$A$4:$P$1203,2,0),"※编码不在物料档案里"))</f>
        <v/>
      </c>
      <c r="I915" s="24">
        <f>IF($D915="","",IFERROR(VLOOKUP($D915,物料档案!$A$4:$P$1203,6,0),"※编码不在物料档案里"))</f>
        <v/>
      </c>
      <c r="J915" s="23" t="n"/>
      <c r="K915" s="17" t="n"/>
      <c r="L915" s="17" t="n"/>
      <c r="M915" s="17" t="n"/>
      <c r="N915" s="17" t="n"/>
      <c r="O915" s="26">
        <f>IF($D915="","",IFERROR(VLOOKUP($D915,物料档案!$A$4:$P$1203,10,0),0))</f>
        <v/>
      </c>
      <c r="P915" s="32" t="n"/>
      <c r="Q915" s="26">
        <f>IF($D915="","",IF($K915&lt;&gt;"对外销售",0,ROUND(N($J915)*IF($P915="",N($O915),N($P915)),0)))</f>
        <v/>
      </c>
      <c r="R915" s="26">
        <f>IF($D915="","",IFERROR(VLOOKUP($D915,库存台账!$A$5:$Y$1204,11,0),0))</f>
        <v/>
      </c>
      <c r="S915" s="26">
        <f>IF($D915="","",ROUND(N($J915)*N($R915),0))</f>
        <v/>
      </c>
      <c r="T915" s="26">
        <f>IF($D915="","",IF($K915&lt;&gt;"对外销售","",ROUND($Q915-$S915,0)))</f>
        <v/>
      </c>
      <c r="U915" s="17" t="n"/>
      <c r="V915" s="17" t="n"/>
      <c r="W915" s="24">
        <f>IF($D915="","",IF($E915="※编码不在物料档案里","※物料编码不在档案里",IF(N($J915)&lt;=0,"※出库数量要大于 0",IF($K915="","※没填去向类型",IF($L915="","※没填去向矿区",IF(AND($C915&lt;&gt;"",$C915&lt;=结账锁),"※日期早于已结账截止日，不能再录",IF(AND($K915="自用消耗",COUNTIF({"一矿区";"二矿区"},$L915)=0),"※自用消耗的去向只能是一矿区或二矿区",IF(AND($K915="对外销售",COUNTIF({"三矿区";"六矿区"},$L915)=0),"※对外销售的去向只能是三矿区或六矿区",IF(AND($K915="对外销售",ROUND($Q915,0)=0),"※外销却没有售价，请填实际售价",IF(AND($K915="对外销售",$T915&lt;&gt;"",$T915&lt;0),"※这一笔外销是亏的，请核对售价",IF(IFERROR(VLOOKUP($D915,库存台账!$A$5:$Y$1204,24,0),0)&lt;-0.001,"※这个物料账面已经变成负数了，查一下是不是漏记入库","")))))))))))</f>
        <v/>
      </c>
    </row>
    <row r="916">
      <c r="A916" s="24">
        <f>IF($D916="","",COUNTA($D$4:$D916))</f>
        <v/>
      </c>
      <c r="B916" s="17" t="n"/>
      <c r="C916" s="30" t="n"/>
      <c r="D916" s="17" t="n"/>
      <c r="E916" s="24">
        <f>IF($D916="","",IFERROR(VLOOKUP($D916,物料档案!$A$4:$P$1203,3,0),"※编码不在物料档案里"))</f>
        <v/>
      </c>
      <c r="F916" s="24">
        <f>IF($D916="","",IFERROR(VLOOKUP($D916,物料档案!$A$4:$P$1203,4,0),"※编码不在物料档案里"))</f>
        <v/>
      </c>
      <c r="G916" s="24">
        <f>IF($D916="","",IFERROR(VLOOKUP($D916,物料档案!$A$4:$P$1203,5,0),"※编码不在物料档案里"))</f>
        <v/>
      </c>
      <c r="H916" s="24">
        <f>IF($D916="","",IFERROR(VLOOKUP($D916,物料档案!$A$4:$P$1203,2,0),"※编码不在物料档案里"))</f>
        <v/>
      </c>
      <c r="I916" s="24">
        <f>IF($D916="","",IFERROR(VLOOKUP($D916,物料档案!$A$4:$P$1203,6,0),"※编码不在物料档案里"))</f>
        <v/>
      </c>
      <c r="J916" s="23" t="n"/>
      <c r="K916" s="17" t="n"/>
      <c r="L916" s="17" t="n"/>
      <c r="M916" s="17" t="n"/>
      <c r="N916" s="17" t="n"/>
      <c r="O916" s="26">
        <f>IF($D916="","",IFERROR(VLOOKUP($D916,物料档案!$A$4:$P$1203,10,0),0))</f>
        <v/>
      </c>
      <c r="P916" s="32" t="n"/>
      <c r="Q916" s="26">
        <f>IF($D916="","",IF($K916&lt;&gt;"对外销售",0,ROUND(N($J916)*IF($P916="",N($O916),N($P916)),0)))</f>
        <v/>
      </c>
      <c r="R916" s="26">
        <f>IF($D916="","",IFERROR(VLOOKUP($D916,库存台账!$A$5:$Y$1204,11,0),0))</f>
        <v/>
      </c>
      <c r="S916" s="26">
        <f>IF($D916="","",ROUND(N($J916)*N($R916),0))</f>
        <v/>
      </c>
      <c r="T916" s="26">
        <f>IF($D916="","",IF($K916&lt;&gt;"对外销售","",ROUND($Q916-$S916,0)))</f>
        <v/>
      </c>
      <c r="U916" s="17" t="n"/>
      <c r="V916" s="17" t="n"/>
      <c r="W916" s="24">
        <f>IF($D916="","",IF($E916="※编码不在物料档案里","※物料编码不在档案里",IF(N($J916)&lt;=0,"※出库数量要大于 0",IF($K916="","※没填去向类型",IF($L916="","※没填去向矿区",IF(AND($C916&lt;&gt;"",$C916&lt;=结账锁),"※日期早于已结账截止日，不能再录",IF(AND($K916="自用消耗",COUNTIF({"一矿区";"二矿区"},$L916)=0),"※自用消耗的去向只能是一矿区或二矿区",IF(AND($K916="对外销售",COUNTIF({"三矿区";"六矿区"},$L916)=0),"※对外销售的去向只能是三矿区或六矿区",IF(AND($K916="对外销售",ROUND($Q916,0)=0),"※外销却没有售价，请填实际售价",IF(AND($K916="对外销售",$T916&lt;&gt;"",$T916&lt;0),"※这一笔外销是亏的，请核对售价",IF(IFERROR(VLOOKUP($D916,库存台账!$A$5:$Y$1204,24,0),0)&lt;-0.001,"※这个物料账面已经变成负数了，查一下是不是漏记入库","")))))))))))</f>
        <v/>
      </c>
    </row>
    <row r="917">
      <c r="A917" s="24">
        <f>IF($D917="","",COUNTA($D$4:$D917))</f>
        <v/>
      </c>
      <c r="B917" s="17" t="n"/>
      <c r="C917" s="30" t="n"/>
      <c r="D917" s="17" t="n"/>
      <c r="E917" s="24">
        <f>IF($D917="","",IFERROR(VLOOKUP($D917,物料档案!$A$4:$P$1203,3,0),"※编码不在物料档案里"))</f>
        <v/>
      </c>
      <c r="F917" s="24">
        <f>IF($D917="","",IFERROR(VLOOKUP($D917,物料档案!$A$4:$P$1203,4,0),"※编码不在物料档案里"))</f>
        <v/>
      </c>
      <c r="G917" s="24">
        <f>IF($D917="","",IFERROR(VLOOKUP($D917,物料档案!$A$4:$P$1203,5,0),"※编码不在物料档案里"))</f>
        <v/>
      </c>
      <c r="H917" s="24">
        <f>IF($D917="","",IFERROR(VLOOKUP($D917,物料档案!$A$4:$P$1203,2,0),"※编码不在物料档案里"))</f>
        <v/>
      </c>
      <c r="I917" s="24">
        <f>IF($D917="","",IFERROR(VLOOKUP($D917,物料档案!$A$4:$P$1203,6,0),"※编码不在物料档案里"))</f>
        <v/>
      </c>
      <c r="J917" s="23" t="n"/>
      <c r="K917" s="17" t="n"/>
      <c r="L917" s="17" t="n"/>
      <c r="M917" s="17" t="n"/>
      <c r="N917" s="17" t="n"/>
      <c r="O917" s="26">
        <f>IF($D917="","",IFERROR(VLOOKUP($D917,物料档案!$A$4:$P$1203,10,0),0))</f>
        <v/>
      </c>
      <c r="P917" s="32" t="n"/>
      <c r="Q917" s="26">
        <f>IF($D917="","",IF($K917&lt;&gt;"对外销售",0,ROUND(N($J917)*IF($P917="",N($O917),N($P917)),0)))</f>
        <v/>
      </c>
      <c r="R917" s="26">
        <f>IF($D917="","",IFERROR(VLOOKUP($D917,库存台账!$A$5:$Y$1204,11,0),0))</f>
        <v/>
      </c>
      <c r="S917" s="26">
        <f>IF($D917="","",ROUND(N($J917)*N($R917),0))</f>
        <v/>
      </c>
      <c r="T917" s="26">
        <f>IF($D917="","",IF($K917&lt;&gt;"对外销售","",ROUND($Q917-$S917,0)))</f>
        <v/>
      </c>
      <c r="U917" s="17" t="n"/>
      <c r="V917" s="17" t="n"/>
      <c r="W917" s="24">
        <f>IF($D917="","",IF($E917="※编码不在物料档案里","※物料编码不在档案里",IF(N($J917)&lt;=0,"※出库数量要大于 0",IF($K917="","※没填去向类型",IF($L917="","※没填去向矿区",IF(AND($C917&lt;&gt;"",$C917&lt;=结账锁),"※日期早于已结账截止日，不能再录",IF(AND($K917="自用消耗",COUNTIF({"一矿区";"二矿区"},$L917)=0),"※自用消耗的去向只能是一矿区或二矿区",IF(AND($K917="对外销售",COUNTIF({"三矿区";"六矿区"},$L917)=0),"※对外销售的去向只能是三矿区或六矿区",IF(AND($K917="对外销售",ROUND($Q917,0)=0),"※外销却没有售价，请填实际售价",IF(AND($K917="对外销售",$T917&lt;&gt;"",$T917&lt;0),"※这一笔外销是亏的，请核对售价",IF(IFERROR(VLOOKUP($D917,库存台账!$A$5:$Y$1204,24,0),0)&lt;-0.001,"※这个物料账面已经变成负数了，查一下是不是漏记入库","")))))))))))</f>
        <v/>
      </c>
    </row>
    <row r="918">
      <c r="A918" s="24">
        <f>IF($D918="","",COUNTA($D$4:$D918))</f>
        <v/>
      </c>
      <c r="B918" s="17" t="n"/>
      <c r="C918" s="30" t="n"/>
      <c r="D918" s="17" t="n"/>
      <c r="E918" s="24">
        <f>IF($D918="","",IFERROR(VLOOKUP($D918,物料档案!$A$4:$P$1203,3,0),"※编码不在物料档案里"))</f>
        <v/>
      </c>
      <c r="F918" s="24">
        <f>IF($D918="","",IFERROR(VLOOKUP($D918,物料档案!$A$4:$P$1203,4,0),"※编码不在物料档案里"))</f>
        <v/>
      </c>
      <c r="G918" s="24">
        <f>IF($D918="","",IFERROR(VLOOKUP($D918,物料档案!$A$4:$P$1203,5,0),"※编码不在物料档案里"))</f>
        <v/>
      </c>
      <c r="H918" s="24">
        <f>IF($D918="","",IFERROR(VLOOKUP($D918,物料档案!$A$4:$P$1203,2,0),"※编码不在物料档案里"))</f>
        <v/>
      </c>
      <c r="I918" s="24">
        <f>IF($D918="","",IFERROR(VLOOKUP($D918,物料档案!$A$4:$P$1203,6,0),"※编码不在物料档案里"))</f>
        <v/>
      </c>
      <c r="J918" s="23" t="n"/>
      <c r="K918" s="17" t="n"/>
      <c r="L918" s="17" t="n"/>
      <c r="M918" s="17" t="n"/>
      <c r="N918" s="17" t="n"/>
      <c r="O918" s="26">
        <f>IF($D918="","",IFERROR(VLOOKUP($D918,物料档案!$A$4:$P$1203,10,0),0))</f>
        <v/>
      </c>
      <c r="P918" s="32" t="n"/>
      <c r="Q918" s="26">
        <f>IF($D918="","",IF($K918&lt;&gt;"对外销售",0,ROUND(N($J918)*IF($P918="",N($O918),N($P918)),0)))</f>
        <v/>
      </c>
      <c r="R918" s="26">
        <f>IF($D918="","",IFERROR(VLOOKUP($D918,库存台账!$A$5:$Y$1204,11,0),0))</f>
        <v/>
      </c>
      <c r="S918" s="26">
        <f>IF($D918="","",ROUND(N($J918)*N($R918),0))</f>
        <v/>
      </c>
      <c r="T918" s="26">
        <f>IF($D918="","",IF($K918&lt;&gt;"对外销售","",ROUND($Q918-$S918,0)))</f>
        <v/>
      </c>
      <c r="U918" s="17" t="n"/>
      <c r="V918" s="17" t="n"/>
      <c r="W918" s="24">
        <f>IF($D918="","",IF($E918="※编码不在物料档案里","※物料编码不在档案里",IF(N($J918)&lt;=0,"※出库数量要大于 0",IF($K918="","※没填去向类型",IF($L918="","※没填去向矿区",IF(AND($C918&lt;&gt;"",$C918&lt;=结账锁),"※日期早于已结账截止日，不能再录",IF(AND($K918="自用消耗",COUNTIF({"一矿区";"二矿区"},$L918)=0),"※自用消耗的去向只能是一矿区或二矿区",IF(AND($K918="对外销售",COUNTIF({"三矿区";"六矿区"},$L918)=0),"※对外销售的去向只能是三矿区或六矿区",IF(AND($K918="对外销售",ROUND($Q918,0)=0),"※外销却没有售价，请填实际售价",IF(AND($K918="对外销售",$T918&lt;&gt;"",$T918&lt;0),"※这一笔外销是亏的，请核对售价",IF(IFERROR(VLOOKUP($D918,库存台账!$A$5:$Y$1204,24,0),0)&lt;-0.001,"※这个物料账面已经变成负数了，查一下是不是漏记入库","")))))))))))</f>
        <v/>
      </c>
    </row>
    <row r="919">
      <c r="A919" s="24">
        <f>IF($D919="","",COUNTA($D$4:$D919))</f>
        <v/>
      </c>
      <c r="B919" s="17" t="n"/>
      <c r="C919" s="30" t="n"/>
      <c r="D919" s="17" t="n"/>
      <c r="E919" s="24">
        <f>IF($D919="","",IFERROR(VLOOKUP($D919,物料档案!$A$4:$P$1203,3,0),"※编码不在物料档案里"))</f>
        <v/>
      </c>
      <c r="F919" s="24">
        <f>IF($D919="","",IFERROR(VLOOKUP($D919,物料档案!$A$4:$P$1203,4,0),"※编码不在物料档案里"))</f>
        <v/>
      </c>
      <c r="G919" s="24">
        <f>IF($D919="","",IFERROR(VLOOKUP($D919,物料档案!$A$4:$P$1203,5,0),"※编码不在物料档案里"))</f>
        <v/>
      </c>
      <c r="H919" s="24">
        <f>IF($D919="","",IFERROR(VLOOKUP($D919,物料档案!$A$4:$P$1203,2,0),"※编码不在物料档案里"))</f>
        <v/>
      </c>
      <c r="I919" s="24">
        <f>IF($D919="","",IFERROR(VLOOKUP($D919,物料档案!$A$4:$P$1203,6,0),"※编码不在物料档案里"))</f>
        <v/>
      </c>
      <c r="J919" s="23" t="n"/>
      <c r="K919" s="17" t="n"/>
      <c r="L919" s="17" t="n"/>
      <c r="M919" s="17" t="n"/>
      <c r="N919" s="17" t="n"/>
      <c r="O919" s="26">
        <f>IF($D919="","",IFERROR(VLOOKUP($D919,物料档案!$A$4:$P$1203,10,0),0))</f>
        <v/>
      </c>
      <c r="P919" s="32" t="n"/>
      <c r="Q919" s="26">
        <f>IF($D919="","",IF($K919&lt;&gt;"对外销售",0,ROUND(N($J919)*IF($P919="",N($O919),N($P919)),0)))</f>
        <v/>
      </c>
      <c r="R919" s="26">
        <f>IF($D919="","",IFERROR(VLOOKUP($D919,库存台账!$A$5:$Y$1204,11,0),0))</f>
        <v/>
      </c>
      <c r="S919" s="26">
        <f>IF($D919="","",ROUND(N($J919)*N($R919),0))</f>
        <v/>
      </c>
      <c r="T919" s="26">
        <f>IF($D919="","",IF($K919&lt;&gt;"对外销售","",ROUND($Q919-$S919,0)))</f>
        <v/>
      </c>
      <c r="U919" s="17" t="n"/>
      <c r="V919" s="17" t="n"/>
      <c r="W919" s="24">
        <f>IF($D919="","",IF($E919="※编码不在物料档案里","※物料编码不在档案里",IF(N($J919)&lt;=0,"※出库数量要大于 0",IF($K919="","※没填去向类型",IF($L919="","※没填去向矿区",IF(AND($C919&lt;&gt;"",$C919&lt;=结账锁),"※日期早于已结账截止日，不能再录",IF(AND($K919="自用消耗",COUNTIF({"一矿区";"二矿区"},$L919)=0),"※自用消耗的去向只能是一矿区或二矿区",IF(AND($K919="对外销售",COUNTIF({"三矿区";"六矿区"},$L919)=0),"※对外销售的去向只能是三矿区或六矿区",IF(AND($K919="对外销售",ROUND($Q919,0)=0),"※外销却没有售价，请填实际售价",IF(AND($K919="对外销售",$T919&lt;&gt;"",$T919&lt;0),"※这一笔外销是亏的，请核对售价",IF(IFERROR(VLOOKUP($D919,库存台账!$A$5:$Y$1204,24,0),0)&lt;-0.001,"※这个物料账面已经变成负数了，查一下是不是漏记入库","")))))))))))</f>
        <v/>
      </c>
    </row>
    <row r="920">
      <c r="A920" s="24">
        <f>IF($D920="","",COUNTA($D$4:$D920))</f>
        <v/>
      </c>
      <c r="B920" s="17" t="n"/>
      <c r="C920" s="30" t="n"/>
      <c r="D920" s="17" t="n"/>
      <c r="E920" s="24">
        <f>IF($D920="","",IFERROR(VLOOKUP($D920,物料档案!$A$4:$P$1203,3,0),"※编码不在物料档案里"))</f>
        <v/>
      </c>
      <c r="F920" s="24">
        <f>IF($D920="","",IFERROR(VLOOKUP($D920,物料档案!$A$4:$P$1203,4,0),"※编码不在物料档案里"))</f>
        <v/>
      </c>
      <c r="G920" s="24">
        <f>IF($D920="","",IFERROR(VLOOKUP($D920,物料档案!$A$4:$P$1203,5,0),"※编码不在物料档案里"))</f>
        <v/>
      </c>
      <c r="H920" s="24">
        <f>IF($D920="","",IFERROR(VLOOKUP($D920,物料档案!$A$4:$P$1203,2,0),"※编码不在物料档案里"))</f>
        <v/>
      </c>
      <c r="I920" s="24">
        <f>IF($D920="","",IFERROR(VLOOKUP($D920,物料档案!$A$4:$P$1203,6,0),"※编码不在物料档案里"))</f>
        <v/>
      </c>
      <c r="J920" s="23" t="n"/>
      <c r="K920" s="17" t="n"/>
      <c r="L920" s="17" t="n"/>
      <c r="M920" s="17" t="n"/>
      <c r="N920" s="17" t="n"/>
      <c r="O920" s="26">
        <f>IF($D920="","",IFERROR(VLOOKUP($D920,物料档案!$A$4:$P$1203,10,0),0))</f>
        <v/>
      </c>
      <c r="P920" s="32" t="n"/>
      <c r="Q920" s="26">
        <f>IF($D920="","",IF($K920&lt;&gt;"对外销售",0,ROUND(N($J920)*IF($P920="",N($O920),N($P920)),0)))</f>
        <v/>
      </c>
      <c r="R920" s="26">
        <f>IF($D920="","",IFERROR(VLOOKUP($D920,库存台账!$A$5:$Y$1204,11,0),0))</f>
        <v/>
      </c>
      <c r="S920" s="26">
        <f>IF($D920="","",ROUND(N($J920)*N($R920),0))</f>
        <v/>
      </c>
      <c r="T920" s="26">
        <f>IF($D920="","",IF($K920&lt;&gt;"对外销售","",ROUND($Q920-$S920,0)))</f>
        <v/>
      </c>
      <c r="U920" s="17" t="n"/>
      <c r="V920" s="17" t="n"/>
      <c r="W920" s="24">
        <f>IF($D920="","",IF($E920="※编码不在物料档案里","※物料编码不在档案里",IF(N($J920)&lt;=0,"※出库数量要大于 0",IF($K920="","※没填去向类型",IF($L920="","※没填去向矿区",IF(AND($C920&lt;&gt;"",$C920&lt;=结账锁),"※日期早于已结账截止日，不能再录",IF(AND($K920="自用消耗",COUNTIF({"一矿区";"二矿区"},$L920)=0),"※自用消耗的去向只能是一矿区或二矿区",IF(AND($K920="对外销售",COUNTIF({"三矿区";"六矿区"},$L920)=0),"※对外销售的去向只能是三矿区或六矿区",IF(AND($K920="对外销售",ROUND($Q920,0)=0),"※外销却没有售价，请填实际售价",IF(AND($K920="对外销售",$T920&lt;&gt;"",$T920&lt;0),"※这一笔外销是亏的，请核对售价",IF(IFERROR(VLOOKUP($D920,库存台账!$A$5:$Y$1204,24,0),0)&lt;-0.001,"※这个物料账面已经变成负数了，查一下是不是漏记入库","")))))))))))</f>
        <v/>
      </c>
    </row>
    <row r="921">
      <c r="A921" s="24">
        <f>IF($D921="","",COUNTA($D$4:$D921))</f>
        <v/>
      </c>
      <c r="B921" s="17" t="n"/>
      <c r="C921" s="30" t="n"/>
      <c r="D921" s="17" t="n"/>
      <c r="E921" s="24">
        <f>IF($D921="","",IFERROR(VLOOKUP($D921,物料档案!$A$4:$P$1203,3,0),"※编码不在物料档案里"))</f>
        <v/>
      </c>
      <c r="F921" s="24">
        <f>IF($D921="","",IFERROR(VLOOKUP($D921,物料档案!$A$4:$P$1203,4,0),"※编码不在物料档案里"))</f>
        <v/>
      </c>
      <c r="G921" s="24">
        <f>IF($D921="","",IFERROR(VLOOKUP($D921,物料档案!$A$4:$P$1203,5,0),"※编码不在物料档案里"))</f>
        <v/>
      </c>
      <c r="H921" s="24">
        <f>IF($D921="","",IFERROR(VLOOKUP($D921,物料档案!$A$4:$P$1203,2,0),"※编码不在物料档案里"))</f>
        <v/>
      </c>
      <c r="I921" s="24">
        <f>IF($D921="","",IFERROR(VLOOKUP($D921,物料档案!$A$4:$P$1203,6,0),"※编码不在物料档案里"))</f>
        <v/>
      </c>
      <c r="J921" s="23" t="n"/>
      <c r="K921" s="17" t="n"/>
      <c r="L921" s="17" t="n"/>
      <c r="M921" s="17" t="n"/>
      <c r="N921" s="17" t="n"/>
      <c r="O921" s="26">
        <f>IF($D921="","",IFERROR(VLOOKUP($D921,物料档案!$A$4:$P$1203,10,0),0))</f>
        <v/>
      </c>
      <c r="P921" s="32" t="n"/>
      <c r="Q921" s="26">
        <f>IF($D921="","",IF($K921&lt;&gt;"对外销售",0,ROUND(N($J921)*IF($P921="",N($O921),N($P921)),0)))</f>
        <v/>
      </c>
      <c r="R921" s="26">
        <f>IF($D921="","",IFERROR(VLOOKUP($D921,库存台账!$A$5:$Y$1204,11,0),0))</f>
        <v/>
      </c>
      <c r="S921" s="26">
        <f>IF($D921="","",ROUND(N($J921)*N($R921),0))</f>
        <v/>
      </c>
      <c r="T921" s="26">
        <f>IF($D921="","",IF($K921&lt;&gt;"对外销售","",ROUND($Q921-$S921,0)))</f>
        <v/>
      </c>
      <c r="U921" s="17" t="n"/>
      <c r="V921" s="17" t="n"/>
      <c r="W921" s="24">
        <f>IF($D921="","",IF($E921="※编码不在物料档案里","※物料编码不在档案里",IF(N($J921)&lt;=0,"※出库数量要大于 0",IF($K921="","※没填去向类型",IF($L921="","※没填去向矿区",IF(AND($C921&lt;&gt;"",$C921&lt;=结账锁),"※日期早于已结账截止日，不能再录",IF(AND($K921="自用消耗",COUNTIF({"一矿区";"二矿区"},$L921)=0),"※自用消耗的去向只能是一矿区或二矿区",IF(AND($K921="对外销售",COUNTIF({"三矿区";"六矿区"},$L921)=0),"※对外销售的去向只能是三矿区或六矿区",IF(AND($K921="对外销售",ROUND($Q921,0)=0),"※外销却没有售价，请填实际售价",IF(AND($K921="对外销售",$T921&lt;&gt;"",$T921&lt;0),"※这一笔外销是亏的，请核对售价",IF(IFERROR(VLOOKUP($D921,库存台账!$A$5:$Y$1204,24,0),0)&lt;-0.001,"※这个物料账面已经变成负数了，查一下是不是漏记入库","")))))))))))</f>
        <v/>
      </c>
    </row>
    <row r="922">
      <c r="A922" s="24">
        <f>IF($D922="","",COUNTA($D$4:$D922))</f>
        <v/>
      </c>
      <c r="B922" s="17" t="n"/>
      <c r="C922" s="30" t="n"/>
      <c r="D922" s="17" t="n"/>
      <c r="E922" s="24">
        <f>IF($D922="","",IFERROR(VLOOKUP($D922,物料档案!$A$4:$P$1203,3,0),"※编码不在物料档案里"))</f>
        <v/>
      </c>
      <c r="F922" s="24">
        <f>IF($D922="","",IFERROR(VLOOKUP($D922,物料档案!$A$4:$P$1203,4,0),"※编码不在物料档案里"))</f>
        <v/>
      </c>
      <c r="G922" s="24">
        <f>IF($D922="","",IFERROR(VLOOKUP($D922,物料档案!$A$4:$P$1203,5,0),"※编码不在物料档案里"))</f>
        <v/>
      </c>
      <c r="H922" s="24">
        <f>IF($D922="","",IFERROR(VLOOKUP($D922,物料档案!$A$4:$P$1203,2,0),"※编码不在物料档案里"))</f>
        <v/>
      </c>
      <c r="I922" s="24">
        <f>IF($D922="","",IFERROR(VLOOKUP($D922,物料档案!$A$4:$P$1203,6,0),"※编码不在物料档案里"))</f>
        <v/>
      </c>
      <c r="J922" s="23" t="n"/>
      <c r="K922" s="17" t="n"/>
      <c r="L922" s="17" t="n"/>
      <c r="M922" s="17" t="n"/>
      <c r="N922" s="17" t="n"/>
      <c r="O922" s="26">
        <f>IF($D922="","",IFERROR(VLOOKUP($D922,物料档案!$A$4:$P$1203,10,0),0))</f>
        <v/>
      </c>
      <c r="P922" s="32" t="n"/>
      <c r="Q922" s="26">
        <f>IF($D922="","",IF($K922&lt;&gt;"对外销售",0,ROUND(N($J922)*IF($P922="",N($O922),N($P922)),0)))</f>
        <v/>
      </c>
      <c r="R922" s="26">
        <f>IF($D922="","",IFERROR(VLOOKUP($D922,库存台账!$A$5:$Y$1204,11,0),0))</f>
        <v/>
      </c>
      <c r="S922" s="26">
        <f>IF($D922="","",ROUND(N($J922)*N($R922),0))</f>
        <v/>
      </c>
      <c r="T922" s="26">
        <f>IF($D922="","",IF($K922&lt;&gt;"对外销售","",ROUND($Q922-$S922,0)))</f>
        <v/>
      </c>
      <c r="U922" s="17" t="n"/>
      <c r="V922" s="17" t="n"/>
      <c r="W922" s="24">
        <f>IF($D922="","",IF($E922="※编码不在物料档案里","※物料编码不在档案里",IF(N($J922)&lt;=0,"※出库数量要大于 0",IF($K922="","※没填去向类型",IF($L922="","※没填去向矿区",IF(AND($C922&lt;&gt;"",$C922&lt;=结账锁),"※日期早于已结账截止日，不能再录",IF(AND($K922="自用消耗",COUNTIF({"一矿区";"二矿区"},$L922)=0),"※自用消耗的去向只能是一矿区或二矿区",IF(AND($K922="对外销售",COUNTIF({"三矿区";"六矿区"},$L922)=0),"※对外销售的去向只能是三矿区或六矿区",IF(AND($K922="对外销售",ROUND($Q922,0)=0),"※外销却没有售价，请填实际售价",IF(AND($K922="对外销售",$T922&lt;&gt;"",$T922&lt;0),"※这一笔外销是亏的，请核对售价",IF(IFERROR(VLOOKUP($D922,库存台账!$A$5:$Y$1204,24,0),0)&lt;-0.001,"※这个物料账面已经变成负数了，查一下是不是漏记入库","")))))))))))</f>
        <v/>
      </c>
    </row>
    <row r="923">
      <c r="A923" s="24">
        <f>IF($D923="","",COUNTA($D$4:$D923))</f>
        <v/>
      </c>
      <c r="B923" s="17" t="n"/>
      <c r="C923" s="30" t="n"/>
      <c r="D923" s="17" t="n"/>
      <c r="E923" s="24">
        <f>IF($D923="","",IFERROR(VLOOKUP($D923,物料档案!$A$4:$P$1203,3,0),"※编码不在物料档案里"))</f>
        <v/>
      </c>
      <c r="F923" s="24">
        <f>IF($D923="","",IFERROR(VLOOKUP($D923,物料档案!$A$4:$P$1203,4,0),"※编码不在物料档案里"))</f>
        <v/>
      </c>
      <c r="G923" s="24">
        <f>IF($D923="","",IFERROR(VLOOKUP($D923,物料档案!$A$4:$P$1203,5,0),"※编码不在物料档案里"))</f>
        <v/>
      </c>
      <c r="H923" s="24">
        <f>IF($D923="","",IFERROR(VLOOKUP($D923,物料档案!$A$4:$P$1203,2,0),"※编码不在物料档案里"))</f>
        <v/>
      </c>
      <c r="I923" s="24">
        <f>IF($D923="","",IFERROR(VLOOKUP($D923,物料档案!$A$4:$P$1203,6,0),"※编码不在物料档案里"))</f>
        <v/>
      </c>
      <c r="J923" s="23" t="n"/>
      <c r="K923" s="17" t="n"/>
      <c r="L923" s="17" t="n"/>
      <c r="M923" s="17" t="n"/>
      <c r="N923" s="17" t="n"/>
      <c r="O923" s="26">
        <f>IF($D923="","",IFERROR(VLOOKUP($D923,物料档案!$A$4:$P$1203,10,0),0))</f>
        <v/>
      </c>
      <c r="P923" s="32" t="n"/>
      <c r="Q923" s="26">
        <f>IF($D923="","",IF($K923&lt;&gt;"对外销售",0,ROUND(N($J923)*IF($P923="",N($O923),N($P923)),0)))</f>
        <v/>
      </c>
      <c r="R923" s="26">
        <f>IF($D923="","",IFERROR(VLOOKUP($D923,库存台账!$A$5:$Y$1204,11,0),0))</f>
        <v/>
      </c>
      <c r="S923" s="26">
        <f>IF($D923="","",ROUND(N($J923)*N($R923),0))</f>
        <v/>
      </c>
      <c r="T923" s="26">
        <f>IF($D923="","",IF($K923&lt;&gt;"对外销售","",ROUND($Q923-$S923,0)))</f>
        <v/>
      </c>
      <c r="U923" s="17" t="n"/>
      <c r="V923" s="17" t="n"/>
      <c r="W923" s="24">
        <f>IF($D923="","",IF($E923="※编码不在物料档案里","※物料编码不在档案里",IF(N($J923)&lt;=0,"※出库数量要大于 0",IF($K923="","※没填去向类型",IF($L923="","※没填去向矿区",IF(AND($C923&lt;&gt;"",$C923&lt;=结账锁),"※日期早于已结账截止日，不能再录",IF(AND($K923="自用消耗",COUNTIF({"一矿区";"二矿区"},$L923)=0),"※自用消耗的去向只能是一矿区或二矿区",IF(AND($K923="对外销售",COUNTIF({"三矿区";"六矿区"},$L923)=0),"※对外销售的去向只能是三矿区或六矿区",IF(AND($K923="对外销售",ROUND($Q923,0)=0),"※外销却没有售价，请填实际售价",IF(AND($K923="对外销售",$T923&lt;&gt;"",$T923&lt;0),"※这一笔外销是亏的，请核对售价",IF(IFERROR(VLOOKUP($D923,库存台账!$A$5:$Y$1204,24,0),0)&lt;-0.001,"※这个物料账面已经变成负数了，查一下是不是漏记入库","")))))))))))</f>
        <v/>
      </c>
    </row>
    <row r="924">
      <c r="A924" s="24">
        <f>IF($D924="","",COUNTA($D$4:$D924))</f>
        <v/>
      </c>
      <c r="B924" s="17" t="n"/>
      <c r="C924" s="30" t="n"/>
      <c r="D924" s="17" t="n"/>
      <c r="E924" s="24">
        <f>IF($D924="","",IFERROR(VLOOKUP($D924,物料档案!$A$4:$P$1203,3,0),"※编码不在物料档案里"))</f>
        <v/>
      </c>
      <c r="F924" s="24">
        <f>IF($D924="","",IFERROR(VLOOKUP($D924,物料档案!$A$4:$P$1203,4,0),"※编码不在物料档案里"))</f>
        <v/>
      </c>
      <c r="G924" s="24">
        <f>IF($D924="","",IFERROR(VLOOKUP($D924,物料档案!$A$4:$P$1203,5,0),"※编码不在物料档案里"))</f>
        <v/>
      </c>
      <c r="H924" s="24">
        <f>IF($D924="","",IFERROR(VLOOKUP($D924,物料档案!$A$4:$P$1203,2,0),"※编码不在物料档案里"))</f>
        <v/>
      </c>
      <c r="I924" s="24">
        <f>IF($D924="","",IFERROR(VLOOKUP($D924,物料档案!$A$4:$P$1203,6,0),"※编码不在物料档案里"))</f>
        <v/>
      </c>
      <c r="J924" s="23" t="n"/>
      <c r="K924" s="17" t="n"/>
      <c r="L924" s="17" t="n"/>
      <c r="M924" s="17" t="n"/>
      <c r="N924" s="17" t="n"/>
      <c r="O924" s="26">
        <f>IF($D924="","",IFERROR(VLOOKUP($D924,物料档案!$A$4:$P$1203,10,0),0))</f>
        <v/>
      </c>
      <c r="P924" s="32" t="n"/>
      <c r="Q924" s="26">
        <f>IF($D924="","",IF($K924&lt;&gt;"对外销售",0,ROUND(N($J924)*IF($P924="",N($O924),N($P924)),0)))</f>
        <v/>
      </c>
      <c r="R924" s="26">
        <f>IF($D924="","",IFERROR(VLOOKUP($D924,库存台账!$A$5:$Y$1204,11,0),0))</f>
        <v/>
      </c>
      <c r="S924" s="26">
        <f>IF($D924="","",ROUND(N($J924)*N($R924),0))</f>
        <v/>
      </c>
      <c r="T924" s="26">
        <f>IF($D924="","",IF($K924&lt;&gt;"对外销售","",ROUND($Q924-$S924,0)))</f>
        <v/>
      </c>
      <c r="U924" s="17" t="n"/>
      <c r="V924" s="17" t="n"/>
      <c r="W924" s="24">
        <f>IF($D924="","",IF($E924="※编码不在物料档案里","※物料编码不在档案里",IF(N($J924)&lt;=0,"※出库数量要大于 0",IF($K924="","※没填去向类型",IF($L924="","※没填去向矿区",IF(AND($C924&lt;&gt;"",$C924&lt;=结账锁),"※日期早于已结账截止日，不能再录",IF(AND($K924="自用消耗",COUNTIF({"一矿区";"二矿区"},$L924)=0),"※自用消耗的去向只能是一矿区或二矿区",IF(AND($K924="对外销售",COUNTIF({"三矿区";"六矿区"},$L924)=0),"※对外销售的去向只能是三矿区或六矿区",IF(AND($K924="对外销售",ROUND($Q924,0)=0),"※外销却没有售价，请填实际售价",IF(AND($K924="对外销售",$T924&lt;&gt;"",$T924&lt;0),"※这一笔外销是亏的，请核对售价",IF(IFERROR(VLOOKUP($D924,库存台账!$A$5:$Y$1204,24,0),0)&lt;-0.001,"※这个物料账面已经变成负数了，查一下是不是漏记入库","")))))))))))</f>
        <v/>
      </c>
    </row>
    <row r="925">
      <c r="A925" s="24">
        <f>IF($D925="","",COUNTA($D$4:$D925))</f>
        <v/>
      </c>
      <c r="B925" s="17" t="n"/>
      <c r="C925" s="30" t="n"/>
      <c r="D925" s="17" t="n"/>
      <c r="E925" s="24">
        <f>IF($D925="","",IFERROR(VLOOKUP($D925,物料档案!$A$4:$P$1203,3,0),"※编码不在物料档案里"))</f>
        <v/>
      </c>
      <c r="F925" s="24">
        <f>IF($D925="","",IFERROR(VLOOKUP($D925,物料档案!$A$4:$P$1203,4,0),"※编码不在物料档案里"))</f>
        <v/>
      </c>
      <c r="G925" s="24">
        <f>IF($D925="","",IFERROR(VLOOKUP($D925,物料档案!$A$4:$P$1203,5,0),"※编码不在物料档案里"))</f>
        <v/>
      </c>
      <c r="H925" s="24">
        <f>IF($D925="","",IFERROR(VLOOKUP($D925,物料档案!$A$4:$P$1203,2,0),"※编码不在物料档案里"))</f>
        <v/>
      </c>
      <c r="I925" s="24">
        <f>IF($D925="","",IFERROR(VLOOKUP($D925,物料档案!$A$4:$P$1203,6,0),"※编码不在物料档案里"))</f>
        <v/>
      </c>
      <c r="J925" s="23" t="n"/>
      <c r="K925" s="17" t="n"/>
      <c r="L925" s="17" t="n"/>
      <c r="M925" s="17" t="n"/>
      <c r="N925" s="17" t="n"/>
      <c r="O925" s="26">
        <f>IF($D925="","",IFERROR(VLOOKUP($D925,物料档案!$A$4:$P$1203,10,0),0))</f>
        <v/>
      </c>
      <c r="P925" s="32" t="n"/>
      <c r="Q925" s="26">
        <f>IF($D925="","",IF($K925&lt;&gt;"对外销售",0,ROUND(N($J925)*IF($P925="",N($O925),N($P925)),0)))</f>
        <v/>
      </c>
      <c r="R925" s="26">
        <f>IF($D925="","",IFERROR(VLOOKUP($D925,库存台账!$A$5:$Y$1204,11,0),0))</f>
        <v/>
      </c>
      <c r="S925" s="26">
        <f>IF($D925="","",ROUND(N($J925)*N($R925),0))</f>
        <v/>
      </c>
      <c r="T925" s="26">
        <f>IF($D925="","",IF($K925&lt;&gt;"对外销售","",ROUND($Q925-$S925,0)))</f>
        <v/>
      </c>
      <c r="U925" s="17" t="n"/>
      <c r="V925" s="17" t="n"/>
      <c r="W925" s="24">
        <f>IF($D925="","",IF($E925="※编码不在物料档案里","※物料编码不在档案里",IF(N($J925)&lt;=0,"※出库数量要大于 0",IF($K925="","※没填去向类型",IF($L925="","※没填去向矿区",IF(AND($C925&lt;&gt;"",$C925&lt;=结账锁),"※日期早于已结账截止日，不能再录",IF(AND($K925="自用消耗",COUNTIF({"一矿区";"二矿区"},$L925)=0),"※自用消耗的去向只能是一矿区或二矿区",IF(AND($K925="对外销售",COUNTIF({"三矿区";"六矿区"},$L925)=0),"※对外销售的去向只能是三矿区或六矿区",IF(AND($K925="对外销售",ROUND($Q925,0)=0),"※外销却没有售价，请填实际售价",IF(AND($K925="对外销售",$T925&lt;&gt;"",$T925&lt;0),"※这一笔外销是亏的，请核对售价",IF(IFERROR(VLOOKUP($D925,库存台账!$A$5:$Y$1204,24,0),0)&lt;-0.001,"※这个物料账面已经变成负数了，查一下是不是漏记入库","")))))))))))</f>
        <v/>
      </c>
    </row>
    <row r="926">
      <c r="A926" s="24">
        <f>IF($D926="","",COUNTA($D$4:$D926))</f>
        <v/>
      </c>
      <c r="B926" s="17" t="n"/>
      <c r="C926" s="30" t="n"/>
      <c r="D926" s="17" t="n"/>
      <c r="E926" s="24">
        <f>IF($D926="","",IFERROR(VLOOKUP($D926,物料档案!$A$4:$P$1203,3,0),"※编码不在物料档案里"))</f>
        <v/>
      </c>
      <c r="F926" s="24">
        <f>IF($D926="","",IFERROR(VLOOKUP($D926,物料档案!$A$4:$P$1203,4,0),"※编码不在物料档案里"))</f>
        <v/>
      </c>
      <c r="G926" s="24">
        <f>IF($D926="","",IFERROR(VLOOKUP($D926,物料档案!$A$4:$P$1203,5,0),"※编码不在物料档案里"))</f>
        <v/>
      </c>
      <c r="H926" s="24">
        <f>IF($D926="","",IFERROR(VLOOKUP($D926,物料档案!$A$4:$P$1203,2,0),"※编码不在物料档案里"))</f>
        <v/>
      </c>
      <c r="I926" s="24">
        <f>IF($D926="","",IFERROR(VLOOKUP($D926,物料档案!$A$4:$P$1203,6,0),"※编码不在物料档案里"))</f>
        <v/>
      </c>
      <c r="J926" s="23" t="n"/>
      <c r="K926" s="17" t="n"/>
      <c r="L926" s="17" t="n"/>
      <c r="M926" s="17" t="n"/>
      <c r="N926" s="17" t="n"/>
      <c r="O926" s="26">
        <f>IF($D926="","",IFERROR(VLOOKUP($D926,物料档案!$A$4:$P$1203,10,0),0))</f>
        <v/>
      </c>
      <c r="P926" s="32" t="n"/>
      <c r="Q926" s="26">
        <f>IF($D926="","",IF($K926&lt;&gt;"对外销售",0,ROUND(N($J926)*IF($P926="",N($O926),N($P926)),0)))</f>
        <v/>
      </c>
      <c r="R926" s="26">
        <f>IF($D926="","",IFERROR(VLOOKUP($D926,库存台账!$A$5:$Y$1204,11,0),0))</f>
        <v/>
      </c>
      <c r="S926" s="26">
        <f>IF($D926="","",ROUND(N($J926)*N($R926),0))</f>
        <v/>
      </c>
      <c r="T926" s="26">
        <f>IF($D926="","",IF($K926&lt;&gt;"对外销售","",ROUND($Q926-$S926,0)))</f>
        <v/>
      </c>
      <c r="U926" s="17" t="n"/>
      <c r="V926" s="17" t="n"/>
      <c r="W926" s="24">
        <f>IF($D926="","",IF($E926="※编码不在物料档案里","※物料编码不在档案里",IF(N($J926)&lt;=0,"※出库数量要大于 0",IF($K926="","※没填去向类型",IF($L926="","※没填去向矿区",IF(AND($C926&lt;&gt;"",$C926&lt;=结账锁),"※日期早于已结账截止日，不能再录",IF(AND($K926="自用消耗",COUNTIF({"一矿区";"二矿区"},$L926)=0),"※自用消耗的去向只能是一矿区或二矿区",IF(AND($K926="对外销售",COUNTIF({"三矿区";"六矿区"},$L926)=0),"※对外销售的去向只能是三矿区或六矿区",IF(AND($K926="对外销售",ROUND($Q926,0)=0),"※外销却没有售价，请填实际售价",IF(AND($K926="对外销售",$T926&lt;&gt;"",$T926&lt;0),"※这一笔外销是亏的，请核对售价",IF(IFERROR(VLOOKUP($D926,库存台账!$A$5:$Y$1204,24,0),0)&lt;-0.001,"※这个物料账面已经变成负数了，查一下是不是漏记入库","")))))))))))</f>
        <v/>
      </c>
    </row>
    <row r="927">
      <c r="A927" s="24">
        <f>IF($D927="","",COUNTA($D$4:$D927))</f>
        <v/>
      </c>
      <c r="B927" s="17" t="n"/>
      <c r="C927" s="30" t="n"/>
      <c r="D927" s="17" t="n"/>
      <c r="E927" s="24">
        <f>IF($D927="","",IFERROR(VLOOKUP($D927,物料档案!$A$4:$P$1203,3,0),"※编码不在物料档案里"))</f>
        <v/>
      </c>
      <c r="F927" s="24">
        <f>IF($D927="","",IFERROR(VLOOKUP($D927,物料档案!$A$4:$P$1203,4,0),"※编码不在物料档案里"))</f>
        <v/>
      </c>
      <c r="G927" s="24">
        <f>IF($D927="","",IFERROR(VLOOKUP($D927,物料档案!$A$4:$P$1203,5,0),"※编码不在物料档案里"))</f>
        <v/>
      </c>
      <c r="H927" s="24">
        <f>IF($D927="","",IFERROR(VLOOKUP($D927,物料档案!$A$4:$P$1203,2,0),"※编码不在物料档案里"))</f>
        <v/>
      </c>
      <c r="I927" s="24">
        <f>IF($D927="","",IFERROR(VLOOKUP($D927,物料档案!$A$4:$P$1203,6,0),"※编码不在物料档案里"))</f>
        <v/>
      </c>
      <c r="J927" s="23" t="n"/>
      <c r="K927" s="17" t="n"/>
      <c r="L927" s="17" t="n"/>
      <c r="M927" s="17" t="n"/>
      <c r="N927" s="17" t="n"/>
      <c r="O927" s="26">
        <f>IF($D927="","",IFERROR(VLOOKUP($D927,物料档案!$A$4:$P$1203,10,0),0))</f>
        <v/>
      </c>
      <c r="P927" s="32" t="n"/>
      <c r="Q927" s="26">
        <f>IF($D927="","",IF($K927&lt;&gt;"对外销售",0,ROUND(N($J927)*IF($P927="",N($O927),N($P927)),0)))</f>
        <v/>
      </c>
      <c r="R927" s="26">
        <f>IF($D927="","",IFERROR(VLOOKUP($D927,库存台账!$A$5:$Y$1204,11,0),0))</f>
        <v/>
      </c>
      <c r="S927" s="26">
        <f>IF($D927="","",ROUND(N($J927)*N($R927),0))</f>
        <v/>
      </c>
      <c r="T927" s="26">
        <f>IF($D927="","",IF($K927&lt;&gt;"对外销售","",ROUND($Q927-$S927,0)))</f>
        <v/>
      </c>
      <c r="U927" s="17" t="n"/>
      <c r="V927" s="17" t="n"/>
      <c r="W927" s="24">
        <f>IF($D927="","",IF($E927="※编码不在物料档案里","※物料编码不在档案里",IF(N($J927)&lt;=0,"※出库数量要大于 0",IF($K927="","※没填去向类型",IF($L927="","※没填去向矿区",IF(AND($C927&lt;&gt;"",$C927&lt;=结账锁),"※日期早于已结账截止日，不能再录",IF(AND($K927="自用消耗",COUNTIF({"一矿区";"二矿区"},$L927)=0),"※自用消耗的去向只能是一矿区或二矿区",IF(AND($K927="对外销售",COUNTIF({"三矿区";"六矿区"},$L927)=0),"※对外销售的去向只能是三矿区或六矿区",IF(AND($K927="对外销售",ROUND($Q927,0)=0),"※外销却没有售价，请填实际售价",IF(AND($K927="对外销售",$T927&lt;&gt;"",$T927&lt;0),"※这一笔外销是亏的，请核对售价",IF(IFERROR(VLOOKUP($D927,库存台账!$A$5:$Y$1204,24,0),0)&lt;-0.001,"※这个物料账面已经变成负数了，查一下是不是漏记入库","")))))))))))</f>
        <v/>
      </c>
    </row>
    <row r="928">
      <c r="A928" s="24">
        <f>IF($D928="","",COUNTA($D$4:$D928))</f>
        <v/>
      </c>
      <c r="B928" s="17" t="n"/>
      <c r="C928" s="30" t="n"/>
      <c r="D928" s="17" t="n"/>
      <c r="E928" s="24">
        <f>IF($D928="","",IFERROR(VLOOKUP($D928,物料档案!$A$4:$P$1203,3,0),"※编码不在物料档案里"))</f>
        <v/>
      </c>
      <c r="F928" s="24">
        <f>IF($D928="","",IFERROR(VLOOKUP($D928,物料档案!$A$4:$P$1203,4,0),"※编码不在物料档案里"))</f>
        <v/>
      </c>
      <c r="G928" s="24">
        <f>IF($D928="","",IFERROR(VLOOKUP($D928,物料档案!$A$4:$P$1203,5,0),"※编码不在物料档案里"))</f>
        <v/>
      </c>
      <c r="H928" s="24">
        <f>IF($D928="","",IFERROR(VLOOKUP($D928,物料档案!$A$4:$P$1203,2,0),"※编码不在物料档案里"))</f>
        <v/>
      </c>
      <c r="I928" s="24">
        <f>IF($D928="","",IFERROR(VLOOKUP($D928,物料档案!$A$4:$P$1203,6,0),"※编码不在物料档案里"))</f>
        <v/>
      </c>
      <c r="J928" s="23" t="n"/>
      <c r="K928" s="17" t="n"/>
      <c r="L928" s="17" t="n"/>
      <c r="M928" s="17" t="n"/>
      <c r="N928" s="17" t="n"/>
      <c r="O928" s="26">
        <f>IF($D928="","",IFERROR(VLOOKUP($D928,物料档案!$A$4:$P$1203,10,0),0))</f>
        <v/>
      </c>
      <c r="P928" s="32" t="n"/>
      <c r="Q928" s="26">
        <f>IF($D928="","",IF($K928&lt;&gt;"对外销售",0,ROUND(N($J928)*IF($P928="",N($O928),N($P928)),0)))</f>
        <v/>
      </c>
      <c r="R928" s="26">
        <f>IF($D928="","",IFERROR(VLOOKUP($D928,库存台账!$A$5:$Y$1204,11,0),0))</f>
        <v/>
      </c>
      <c r="S928" s="26">
        <f>IF($D928="","",ROUND(N($J928)*N($R928),0))</f>
        <v/>
      </c>
      <c r="T928" s="26">
        <f>IF($D928="","",IF($K928&lt;&gt;"对外销售","",ROUND($Q928-$S928,0)))</f>
        <v/>
      </c>
      <c r="U928" s="17" t="n"/>
      <c r="V928" s="17" t="n"/>
      <c r="W928" s="24">
        <f>IF($D928="","",IF($E928="※编码不在物料档案里","※物料编码不在档案里",IF(N($J928)&lt;=0,"※出库数量要大于 0",IF($K928="","※没填去向类型",IF($L928="","※没填去向矿区",IF(AND($C928&lt;&gt;"",$C928&lt;=结账锁),"※日期早于已结账截止日，不能再录",IF(AND($K928="自用消耗",COUNTIF({"一矿区";"二矿区"},$L928)=0),"※自用消耗的去向只能是一矿区或二矿区",IF(AND($K928="对外销售",COUNTIF({"三矿区";"六矿区"},$L928)=0),"※对外销售的去向只能是三矿区或六矿区",IF(AND($K928="对外销售",ROUND($Q928,0)=0),"※外销却没有售价，请填实际售价",IF(AND($K928="对外销售",$T928&lt;&gt;"",$T928&lt;0),"※这一笔外销是亏的，请核对售价",IF(IFERROR(VLOOKUP($D928,库存台账!$A$5:$Y$1204,24,0),0)&lt;-0.001,"※这个物料账面已经变成负数了，查一下是不是漏记入库","")))))))))))</f>
        <v/>
      </c>
    </row>
    <row r="929">
      <c r="A929" s="24">
        <f>IF($D929="","",COUNTA($D$4:$D929))</f>
        <v/>
      </c>
      <c r="B929" s="17" t="n"/>
      <c r="C929" s="30" t="n"/>
      <c r="D929" s="17" t="n"/>
      <c r="E929" s="24">
        <f>IF($D929="","",IFERROR(VLOOKUP($D929,物料档案!$A$4:$P$1203,3,0),"※编码不在物料档案里"))</f>
        <v/>
      </c>
      <c r="F929" s="24">
        <f>IF($D929="","",IFERROR(VLOOKUP($D929,物料档案!$A$4:$P$1203,4,0),"※编码不在物料档案里"))</f>
        <v/>
      </c>
      <c r="G929" s="24">
        <f>IF($D929="","",IFERROR(VLOOKUP($D929,物料档案!$A$4:$P$1203,5,0),"※编码不在物料档案里"))</f>
        <v/>
      </c>
      <c r="H929" s="24">
        <f>IF($D929="","",IFERROR(VLOOKUP($D929,物料档案!$A$4:$P$1203,2,0),"※编码不在物料档案里"))</f>
        <v/>
      </c>
      <c r="I929" s="24">
        <f>IF($D929="","",IFERROR(VLOOKUP($D929,物料档案!$A$4:$P$1203,6,0),"※编码不在物料档案里"))</f>
        <v/>
      </c>
      <c r="J929" s="23" t="n"/>
      <c r="K929" s="17" t="n"/>
      <c r="L929" s="17" t="n"/>
      <c r="M929" s="17" t="n"/>
      <c r="N929" s="17" t="n"/>
      <c r="O929" s="26">
        <f>IF($D929="","",IFERROR(VLOOKUP($D929,物料档案!$A$4:$P$1203,10,0),0))</f>
        <v/>
      </c>
      <c r="P929" s="32" t="n"/>
      <c r="Q929" s="26">
        <f>IF($D929="","",IF($K929&lt;&gt;"对外销售",0,ROUND(N($J929)*IF($P929="",N($O929),N($P929)),0)))</f>
        <v/>
      </c>
      <c r="R929" s="26">
        <f>IF($D929="","",IFERROR(VLOOKUP($D929,库存台账!$A$5:$Y$1204,11,0),0))</f>
        <v/>
      </c>
      <c r="S929" s="26">
        <f>IF($D929="","",ROUND(N($J929)*N($R929),0))</f>
        <v/>
      </c>
      <c r="T929" s="26">
        <f>IF($D929="","",IF($K929&lt;&gt;"对外销售","",ROUND($Q929-$S929,0)))</f>
        <v/>
      </c>
      <c r="U929" s="17" t="n"/>
      <c r="V929" s="17" t="n"/>
      <c r="W929" s="24">
        <f>IF($D929="","",IF($E929="※编码不在物料档案里","※物料编码不在档案里",IF(N($J929)&lt;=0,"※出库数量要大于 0",IF($K929="","※没填去向类型",IF($L929="","※没填去向矿区",IF(AND($C929&lt;&gt;"",$C929&lt;=结账锁),"※日期早于已结账截止日，不能再录",IF(AND($K929="自用消耗",COUNTIF({"一矿区";"二矿区"},$L929)=0),"※自用消耗的去向只能是一矿区或二矿区",IF(AND($K929="对外销售",COUNTIF({"三矿区";"六矿区"},$L929)=0),"※对外销售的去向只能是三矿区或六矿区",IF(AND($K929="对外销售",ROUND($Q929,0)=0),"※外销却没有售价，请填实际售价",IF(AND($K929="对外销售",$T929&lt;&gt;"",$T929&lt;0),"※这一笔外销是亏的，请核对售价",IF(IFERROR(VLOOKUP($D929,库存台账!$A$5:$Y$1204,24,0),0)&lt;-0.001,"※这个物料账面已经变成负数了，查一下是不是漏记入库","")))))))))))</f>
        <v/>
      </c>
    </row>
    <row r="930">
      <c r="A930" s="24">
        <f>IF($D930="","",COUNTA($D$4:$D930))</f>
        <v/>
      </c>
      <c r="B930" s="17" t="n"/>
      <c r="C930" s="30" t="n"/>
      <c r="D930" s="17" t="n"/>
      <c r="E930" s="24">
        <f>IF($D930="","",IFERROR(VLOOKUP($D930,物料档案!$A$4:$P$1203,3,0),"※编码不在物料档案里"))</f>
        <v/>
      </c>
      <c r="F930" s="24">
        <f>IF($D930="","",IFERROR(VLOOKUP($D930,物料档案!$A$4:$P$1203,4,0),"※编码不在物料档案里"))</f>
        <v/>
      </c>
      <c r="G930" s="24">
        <f>IF($D930="","",IFERROR(VLOOKUP($D930,物料档案!$A$4:$P$1203,5,0),"※编码不在物料档案里"))</f>
        <v/>
      </c>
      <c r="H930" s="24">
        <f>IF($D930="","",IFERROR(VLOOKUP($D930,物料档案!$A$4:$P$1203,2,0),"※编码不在物料档案里"))</f>
        <v/>
      </c>
      <c r="I930" s="24">
        <f>IF($D930="","",IFERROR(VLOOKUP($D930,物料档案!$A$4:$P$1203,6,0),"※编码不在物料档案里"))</f>
        <v/>
      </c>
      <c r="J930" s="23" t="n"/>
      <c r="K930" s="17" t="n"/>
      <c r="L930" s="17" t="n"/>
      <c r="M930" s="17" t="n"/>
      <c r="N930" s="17" t="n"/>
      <c r="O930" s="26">
        <f>IF($D930="","",IFERROR(VLOOKUP($D930,物料档案!$A$4:$P$1203,10,0),0))</f>
        <v/>
      </c>
      <c r="P930" s="32" t="n"/>
      <c r="Q930" s="26">
        <f>IF($D930="","",IF($K930&lt;&gt;"对外销售",0,ROUND(N($J930)*IF($P930="",N($O930),N($P930)),0)))</f>
        <v/>
      </c>
      <c r="R930" s="26">
        <f>IF($D930="","",IFERROR(VLOOKUP($D930,库存台账!$A$5:$Y$1204,11,0),0))</f>
        <v/>
      </c>
      <c r="S930" s="26">
        <f>IF($D930="","",ROUND(N($J930)*N($R930),0))</f>
        <v/>
      </c>
      <c r="T930" s="26">
        <f>IF($D930="","",IF($K930&lt;&gt;"对外销售","",ROUND($Q930-$S930,0)))</f>
        <v/>
      </c>
      <c r="U930" s="17" t="n"/>
      <c r="V930" s="17" t="n"/>
      <c r="W930" s="24">
        <f>IF($D930="","",IF($E930="※编码不在物料档案里","※物料编码不在档案里",IF(N($J930)&lt;=0,"※出库数量要大于 0",IF($K930="","※没填去向类型",IF($L930="","※没填去向矿区",IF(AND($C930&lt;&gt;"",$C930&lt;=结账锁),"※日期早于已结账截止日，不能再录",IF(AND($K930="自用消耗",COUNTIF({"一矿区";"二矿区"},$L930)=0),"※自用消耗的去向只能是一矿区或二矿区",IF(AND($K930="对外销售",COUNTIF({"三矿区";"六矿区"},$L930)=0),"※对外销售的去向只能是三矿区或六矿区",IF(AND($K930="对外销售",ROUND($Q930,0)=0),"※外销却没有售价，请填实际售价",IF(AND($K930="对外销售",$T930&lt;&gt;"",$T930&lt;0),"※这一笔外销是亏的，请核对售价",IF(IFERROR(VLOOKUP($D930,库存台账!$A$5:$Y$1204,24,0),0)&lt;-0.001,"※这个物料账面已经变成负数了，查一下是不是漏记入库","")))))))))))</f>
        <v/>
      </c>
    </row>
    <row r="931">
      <c r="A931" s="24">
        <f>IF($D931="","",COUNTA($D$4:$D931))</f>
        <v/>
      </c>
      <c r="B931" s="17" t="n"/>
      <c r="C931" s="30" t="n"/>
      <c r="D931" s="17" t="n"/>
      <c r="E931" s="24">
        <f>IF($D931="","",IFERROR(VLOOKUP($D931,物料档案!$A$4:$P$1203,3,0),"※编码不在物料档案里"))</f>
        <v/>
      </c>
      <c r="F931" s="24">
        <f>IF($D931="","",IFERROR(VLOOKUP($D931,物料档案!$A$4:$P$1203,4,0),"※编码不在物料档案里"))</f>
        <v/>
      </c>
      <c r="G931" s="24">
        <f>IF($D931="","",IFERROR(VLOOKUP($D931,物料档案!$A$4:$P$1203,5,0),"※编码不在物料档案里"))</f>
        <v/>
      </c>
      <c r="H931" s="24">
        <f>IF($D931="","",IFERROR(VLOOKUP($D931,物料档案!$A$4:$P$1203,2,0),"※编码不在物料档案里"))</f>
        <v/>
      </c>
      <c r="I931" s="24">
        <f>IF($D931="","",IFERROR(VLOOKUP($D931,物料档案!$A$4:$P$1203,6,0),"※编码不在物料档案里"))</f>
        <v/>
      </c>
      <c r="J931" s="23" t="n"/>
      <c r="K931" s="17" t="n"/>
      <c r="L931" s="17" t="n"/>
      <c r="M931" s="17" t="n"/>
      <c r="N931" s="17" t="n"/>
      <c r="O931" s="26">
        <f>IF($D931="","",IFERROR(VLOOKUP($D931,物料档案!$A$4:$P$1203,10,0),0))</f>
        <v/>
      </c>
      <c r="P931" s="32" t="n"/>
      <c r="Q931" s="26">
        <f>IF($D931="","",IF($K931&lt;&gt;"对外销售",0,ROUND(N($J931)*IF($P931="",N($O931),N($P931)),0)))</f>
        <v/>
      </c>
      <c r="R931" s="26">
        <f>IF($D931="","",IFERROR(VLOOKUP($D931,库存台账!$A$5:$Y$1204,11,0),0))</f>
        <v/>
      </c>
      <c r="S931" s="26">
        <f>IF($D931="","",ROUND(N($J931)*N($R931),0))</f>
        <v/>
      </c>
      <c r="T931" s="26">
        <f>IF($D931="","",IF($K931&lt;&gt;"对外销售","",ROUND($Q931-$S931,0)))</f>
        <v/>
      </c>
      <c r="U931" s="17" t="n"/>
      <c r="V931" s="17" t="n"/>
      <c r="W931" s="24">
        <f>IF($D931="","",IF($E931="※编码不在物料档案里","※物料编码不在档案里",IF(N($J931)&lt;=0,"※出库数量要大于 0",IF($K931="","※没填去向类型",IF($L931="","※没填去向矿区",IF(AND($C931&lt;&gt;"",$C931&lt;=结账锁),"※日期早于已结账截止日，不能再录",IF(AND($K931="自用消耗",COUNTIF({"一矿区";"二矿区"},$L931)=0),"※自用消耗的去向只能是一矿区或二矿区",IF(AND($K931="对外销售",COUNTIF({"三矿区";"六矿区"},$L931)=0),"※对外销售的去向只能是三矿区或六矿区",IF(AND($K931="对外销售",ROUND($Q931,0)=0),"※外销却没有售价，请填实际售价",IF(AND($K931="对外销售",$T931&lt;&gt;"",$T931&lt;0),"※这一笔外销是亏的，请核对售价",IF(IFERROR(VLOOKUP($D931,库存台账!$A$5:$Y$1204,24,0),0)&lt;-0.001,"※这个物料账面已经变成负数了，查一下是不是漏记入库","")))))))))))</f>
        <v/>
      </c>
    </row>
    <row r="932">
      <c r="A932" s="24">
        <f>IF($D932="","",COUNTA($D$4:$D932))</f>
        <v/>
      </c>
      <c r="B932" s="17" t="n"/>
      <c r="C932" s="30" t="n"/>
      <c r="D932" s="17" t="n"/>
      <c r="E932" s="24">
        <f>IF($D932="","",IFERROR(VLOOKUP($D932,物料档案!$A$4:$P$1203,3,0),"※编码不在物料档案里"))</f>
        <v/>
      </c>
      <c r="F932" s="24">
        <f>IF($D932="","",IFERROR(VLOOKUP($D932,物料档案!$A$4:$P$1203,4,0),"※编码不在物料档案里"))</f>
        <v/>
      </c>
      <c r="G932" s="24">
        <f>IF($D932="","",IFERROR(VLOOKUP($D932,物料档案!$A$4:$P$1203,5,0),"※编码不在物料档案里"))</f>
        <v/>
      </c>
      <c r="H932" s="24">
        <f>IF($D932="","",IFERROR(VLOOKUP($D932,物料档案!$A$4:$P$1203,2,0),"※编码不在物料档案里"))</f>
        <v/>
      </c>
      <c r="I932" s="24">
        <f>IF($D932="","",IFERROR(VLOOKUP($D932,物料档案!$A$4:$P$1203,6,0),"※编码不在物料档案里"))</f>
        <v/>
      </c>
      <c r="J932" s="23" t="n"/>
      <c r="K932" s="17" t="n"/>
      <c r="L932" s="17" t="n"/>
      <c r="M932" s="17" t="n"/>
      <c r="N932" s="17" t="n"/>
      <c r="O932" s="26">
        <f>IF($D932="","",IFERROR(VLOOKUP($D932,物料档案!$A$4:$P$1203,10,0),0))</f>
        <v/>
      </c>
      <c r="P932" s="32" t="n"/>
      <c r="Q932" s="26">
        <f>IF($D932="","",IF($K932&lt;&gt;"对外销售",0,ROUND(N($J932)*IF($P932="",N($O932),N($P932)),0)))</f>
        <v/>
      </c>
      <c r="R932" s="26">
        <f>IF($D932="","",IFERROR(VLOOKUP($D932,库存台账!$A$5:$Y$1204,11,0),0))</f>
        <v/>
      </c>
      <c r="S932" s="26">
        <f>IF($D932="","",ROUND(N($J932)*N($R932),0))</f>
        <v/>
      </c>
      <c r="T932" s="26">
        <f>IF($D932="","",IF($K932&lt;&gt;"对外销售","",ROUND($Q932-$S932,0)))</f>
        <v/>
      </c>
      <c r="U932" s="17" t="n"/>
      <c r="V932" s="17" t="n"/>
      <c r="W932" s="24">
        <f>IF($D932="","",IF($E932="※编码不在物料档案里","※物料编码不在档案里",IF(N($J932)&lt;=0,"※出库数量要大于 0",IF($K932="","※没填去向类型",IF($L932="","※没填去向矿区",IF(AND($C932&lt;&gt;"",$C932&lt;=结账锁),"※日期早于已结账截止日，不能再录",IF(AND($K932="自用消耗",COUNTIF({"一矿区";"二矿区"},$L932)=0),"※自用消耗的去向只能是一矿区或二矿区",IF(AND($K932="对外销售",COUNTIF({"三矿区";"六矿区"},$L932)=0),"※对外销售的去向只能是三矿区或六矿区",IF(AND($K932="对外销售",ROUND($Q932,0)=0),"※外销却没有售价，请填实际售价",IF(AND($K932="对外销售",$T932&lt;&gt;"",$T932&lt;0),"※这一笔外销是亏的，请核对售价",IF(IFERROR(VLOOKUP($D932,库存台账!$A$5:$Y$1204,24,0),0)&lt;-0.001,"※这个物料账面已经变成负数了，查一下是不是漏记入库","")))))))))))</f>
        <v/>
      </c>
    </row>
    <row r="933">
      <c r="A933" s="24">
        <f>IF($D933="","",COUNTA($D$4:$D933))</f>
        <v/>
      </c>
      <c r="B933" s="17" t="n"/>
      <c r="C933" s="30" t="n"/>
      <c r="D933" s="17" t="n"/>
      <c r="E933" s="24">
        <f>IF($D933="","",IFERROR(VLOOKUP($D933,物料档案!$A$4:$P$1203,3,0),"※编码不在物料档案里"))</f>
        <v/>
      </c>
      <c r="F933" s="24">
        <f>IF($D933="","",IFERROR(VLOOKUP($D933,物料档案!$A$4:$P$1203,4,0),"※编码不在物料档案里"))</f>
        <v/>
      </c>
      <c r="G933" s="24">
        <f>IF($D933="","",IFERROR(VLOOKUP($D933,物料档案!$A$4:$P$1203,5,0),"※编码不在物料档案里"))</f>
        <v/>
      </c>
      <c r="H933" s="24">
        <f>IF($D933="","",IFERROR(VLOOKUP($D933,物料档案!$A$4:$P$1203,2,0),"※编码不在物料档案里"))</f>
        <v/>
      </c>
      <c r="I933" s="24">
        <f>IF($D933="","",IFERROR(VLOOKUP($D933,物料档案!$A$4:$P$1203,6,0),"※编码不在物料档案里"))</f>
        <v/>
      </c>
      <c r="J933" s="23" t="n"/>
      <c r="K933" s="17" t="n"/>
      <c r="L933" s="17" t="n"/>
      <c r="M933" s="17" t="n"/>
      <c r="N933" s="17" t="n"/>
      <c r="O933" s="26">
        <f>IF($D933="","",IFERROR(VLOOKUP($D933,物料档案!$A$4:$P$1203,10,0),0))</f>
        <v/>
      </c>
      <c r="P933" s="32" t="n"/>
      <c r="Q933" s="26">
        <f>IF($D933="","",IF($K933&lt;&gt;"对外销售",0,ROUND(N($J933)*IF($P933="",N($O933),N($P933)),0)))</f>
        <v/>
      </c>
      <c r="R933" s="26">
        <f>IF($D933="","",IFERROR(VLOOKUP($D933,库存台账!$A$5:$Y$1204,11,0),0))</f>
        <v/>
      </c>
      <c r="S933" s="26">
        <f>IF($D933="","",ROUND(N($J933)*N($R933),0))</f>
        <v/>
      </c>
      <c r="T933" s="26">
        <f>IF($D933="","",IF($K933&lt;&gt;"对外销售","",ROUND($Q933-$S933,0)))</f>
        <v/>
      </c>
      <c r="U933" s="17" t="n"/>
      <c r="V933" s="17" t="n"/>
      <c r="W933" s="24">
        <f>IF($D933="","",IF($E933="※编码不在物料档案里","※物料编码不在档案里",IF(N($J933)&lt;=0,"※出库数量要大于 0",IF($K933="","※没填去向类型",IF($L933="","※没填去向矿区",IF(AND($C933&lt;&gt;"",$C933&lt;=结账锁),"※日期早于已结账截止日，不能再录",IF(AND($K933="自用消耗",COUNTIF({"一矿区";"二矿区"},$L933)=0),"※自用消耗的去向只能是一矿区或二矿区",IF(AND($K933="对外销售",COUNTIF({"三矿区";"六矿区"},$L933)=0),"※对外销售的去向只能是三矿区或六矿区",IF(AND($K933="对外销售",ROUND($Q933,0)=0),"※外销却没有售价，请填实际售价",IF(AND($K933="对外销售",$T933&lt;&gt;"",$T933&lt;0),"※这一笔外销是亏的，请核对售价",IF(IFERROR(VLOOKUP($D933,库存台账!$A$5:$Y$1204,24,0),0)&lt;-0.001,"※这个物料账面已经变成负数了，查一下是不是漏记入库","")))))))))))</f>
        <v/>
      </c>
    </row>
    <row r="934">
      <c r="A934" s="24">
        <f>IF($D934="","",COUNTA($D$4:$D934))</f>
        <v/>
      </c>
      <c r="B934" s="17" t="n"/>
      <c r="C934" s="30" t="n"/>
      <c r="D934" s="17" t="n"/>
      <c r="E934" s="24">
        <f>IF($D934="","",IFERROR(VLOOKUP($D934,物料档案!$A$4:$P$1203,3,0),"※编码不在物料档案里"))</f>
        <v/>
      </c>
      <c r="F934" s="24">
        <f>IF($D934="","",IFERROR(VLOOKUP($D934,物料档案!$A$4:$P$1203,4,0),"※编码不在物料档案里"))</f>
        <v/>
      </c>
      <c r="G934" s="24">
        <f>IF($D934="","",IFERROR(VLOOKUP($D934,物料档案!$A$4:$P$1203,5,0),"※编码不在物料档案里"))</f>
        <v/>
      </c>
      <c r="H934" s="24">
        <f>IF($D934="","",IFERROR(VLOOKUP($D934,物料档案!$A$4:$P$1203,2,0),"※编码不在物料档案里"))</f>
        <v/>
      </c>
      <c r="I934" s="24">
        <f>IF($D934="","",IFERROR(VLOOKUP($D934,物料档案!$A$4:$P$1203,6,0),"※编码不在物料档案里"))</f>
        <v/>
      </c>
      <c r="J934" s="23" t="n"/>
      <c r="K934" s="17" t="n"/>
      <c r="L934" s="17" t="n"/>
      <c r="M934" s="17" t="n"/>
      <c r="N934" s="17" t="n"/>
      <c r="O934" s="26">
        <f>IF($D934="","",IFERROR(VLOOKUP($D934,物料档案!$A$4:$P$1203,10,0),0))</f>
        <v/>
      </c>
      <c r="P934" s="32" t="n"/>
      <c r="Q934" s="26">
        <f>IF($D934="","",IF($K934&lt;&gt;"对外销售",0,ROUND(N($J934)*IF($P934="",N($O934),N($P934)),0)))</f>
        <v/>
      </c>
      <c r="R934" s="26">
        <f>IF($D934="","",IFERROR(VLOOKUP($D934,库存台账!$A$5:$Y$1204,11,0),0))</f>
        <v/>
      </c>
      <c r="S934" s="26">
        <f>IF($D934="","",ROUND(N($J934)*N($R934),0))</f>
        <v/>
      </c>
      <c r="T934" s="26">
        <f>IF($D934="","",IF($K934&lt;&gt;"对外销售","",ROUND($Q934-$S934,0)))</f>
        <v/>
      </c>
      <c r="U934" s="17" t="n"/>
      <c r="V934" s="17" t="n"/>
      <c r="W934" s="24">
        <f>IF($D934="","",IF($E934="※编码不在物料档案里","※物料编码不在档案里",IF(N($J934)&lt;=0,"※出库数量要大于 0",IF($K934="","※没填去向类型",IF($L934="","※没填去向矿区",IF(AND($C934&lt;&gt;"",$C934&lt;=结账锁),"※日期早于已结账截止日，不能再录",IF(AND($K934="自用消耗",COUNTIF({"一矿区";"二矿区"},$L934)=0),"※自用消耗的去向只能是一矿区或二矿区",IF(AND($K934="对外销售",COUNTIF({"三矿区";"六矿区"},$L934)=0),"※对外销售的去向只能是三矿区或六矿区",IF(AND($K934="对外销售",ROUND($Q934,0)=0),"※外销却没有售价，请填实际售价",IF(AND($K934="对外销售",$T934&lt;&gt;"",$T934&lt;0),"※这一笔外销是亏的，请核对售价",IF(IFERROR(VLOOKUP($D934,库存台账!$A$5:$Y$1204,24,0),0)&lt;-0.001,"※这个物料账面已经变成负数了，查一下是不是漏记入库","")))))))))))</f>
        <v/>
      </c>
    </row>
    <row r="935">
      <c r="A935" s="24">
        <f>IF($D935="","",COUNTA($D$4:$D935))</f>
        <v/>
      </c>
      <c r="B935" s="17" t="n"/>
      <c r="C935" s="30" t="n"/>
      <c r="D935" s="17" t="n"/>
      <c r="E935" s="24">
        <f>IF($D935="","",IFERROR(VLOOKUP($D935,物料档案!$A$4:$P$1203,3,0),"※编码不在物料档案里"))</f>
        <v/>
      </c>
      <c r="F935" s="24">
        <f>IF($D935="","",IFERROR(VLOOKUP($D935,物料档案!$A$4:$P$1203,4,0),"※编码不在物料档案里"))</f>
        <v/>
      </c>
      <c r="G935" s="24">
        <f>IF($D935="","",IFERROR(VLOOKUP($D935,物料档案!$A$4:$P$1203,5,0),"※编码不在物料档案里"))</f>
        <v/>
      </c>
      <c r="H935" s="24">
        <f>IF($D935="","",IFERROR(VLOOKUP($D935,物料档案!$A$4:$P$1203,2,0),"※编码不在物料档案里"))</f>
        <v/>
      </c>
      <c r="I935" s="24">
        <f>IF($D935="","",IFERROR(VLOOKUP($D935,物料档案!$A$4:$P$1203,6,0),"※编码不在物料档案里"))</f>
        <v/>
      </c>
      <c r="J935" s="23" t="n"/>
      <c r="K935" s="17" t="n"/>
      <c r="L935" s="17" t="n"/>
      <c r="M935" s="17" t="n"/>
      <c r="N935" s="17" t="n"/>
      <c r="O935" s="26">
        <f>IF($D935="","",IFERROR(VLOOKUP($D935,物料档案!$A$4:$P$1203,10,0),0))</f>
        <v/>
      </c>
      <c r="P935" s="32" t="n"/>
      <c r="Q935" s="26">
        <f>IF($D935="","",IF($K935&lt;&gt;"对外销售",0,ROUND(N($J935)*IF($P935="",N($O935),N($P935)),0)))</f>
        <v/>
      </c>
      <c r="R935" s="26">
        <f>IF($D935="","",IFERROR(VLOOKUP($D935,库存台账!$A$5:$Y$1204,11,0),0))</f>
        <v/>
      </c>
      <c r="S935" s="26">
        <f>IF($D935="","",ROUND(N($J935)*N($R935),0))</f>
        <v/>
      </c>
      <c r="T935" s="26">
        <f>IF($D935="","",IF($K935&lt;&gt;"对外销售","",ROUND($Q935-$S935,0)))</f>
        <v/>
      </c>
      <c r="U935" s="17" t="n"/>
      <c r="V935" s="17" t="n"/>
      <c r="W935" s="24">
        <f>IF($D935="","",IF($E935="※编码不在物料档案里","※物料编码不在档案里",IF(N($J935)&lt;=0,"※出库数量要大于 0",IF($K935="","※没填去向类型",IF($L935="","※没填去向矿区",IF(AND($C935&lt;&gt;"",$C935&lt;=结账锁),"※日期早于已结账截止日，不能再录",IF(AND($K935="自用消耗",COUNTIF({"一矿区";"二矿区"},$L935)=0),"※自用消耗的去向只能是一矿区或二矿区",IF(AND($K935="对外销售",COUNTIF({"三矿区";"六矿区"},$L935)=0),"※对外销售的去向只能是三矿区或六矿区",IF(AND($K935="对外销售",ROUND($Q935,0)=0),"※外销却没有售价，请填实际售价",IF(AND($K935="对外销售",$T935&lt;&gt;"",$T935&lt;0),"※这一笔外销是亏的，请核对售价",IF(IFERROR(VLOOKUP($D935,库存台账!$A$5:$Y$1204,24,0),0)&lt;-0.001,"※这个物料账面已经变成负数了，查一下是不是漏记入库","")))))))))))</f>
        <v/>
      </c>
    </row>
    <row r="936">
      <c r="A936" s="24">
        <f>IF($D936="","",COUNTA($D$4:$D936))</f>
        <v/>
      </c>
      <c r="B936" s="17" t="n"/>
      <c r="C936" s="30" t="n"/>
      <c r="D936" s="17" t="n"/>
      <c r="E936" s="24">
        <f>IF($D936="","",IFERROR(VLOOKUP($D936,物料档案!$A$4:$P$1203,3,0),"※编码不在物料档案里"))</f>
        <v/>
      </c>
      <c r="F936" s="24">
        <f>IF($D936="","",IFERROR(VLOOKUP($D936,物料档案!$A$4:$P$1203,4,0),"※编码不在物料档案里"))</f>
        <v/>
      </c>
      <c r="G936" s="24">
        <f>IF($D936="","",IFERROR(VLOOKUP($D936,物料档案!$A$4:$P$1203,5,0),"※编码不在物料档案里"))</f>
        <v/>
      </c>
      <c r="H936" s="24">
        <f>IF($D936="","",IFERROR(VLOOKUP($D936,物料档案!$A$4:$P$1203,2,0),"※编码不在物料档案里"))</f>
        <v/>
      </c>
      <c r="I936" s="24">
        <f>IF($D936="","",IFERROR(VLOOKUP($D936,物料档案!$A$4:$P$1203,6,0),"※编码不在物料档案里"))</f>
        <v/>
      </c>
      <c r="J936" s="23" t="n"/>
      <c r="K936" s="17" t="n"/>
      <c r="L936" s="17" t="n"/>
      <c r="M936" s="17" t="n"/>
      <c r="N936" s="17" t="n"/>
      <c r="O936" s="26">
        <f>IF($D936="","",IFERROR(VLOOKUP($D936,物料档案!$A$4:$P$1203,10,0),0))</f>
        <v/>
      </c>
      <c r="P936" s="32" t="n"/>
      <c r="Q936" s="26">
        <f>IF($D936="","",IF($K936&lt;&gt;"对外销售",0,ROUND(N($J936)*IF($P936="",N($O936),N($P936)),0)))</f>
        <v/>
      </c>
      <c r="R936" s="26">
        <f>IF($D936="","",IFERROR(VLOOKUP($D936,库存台账!$A$5:$Y$1204,11,0),0))</f>
        <v/>
      </c>
      <c r="S936" s="26">
        <f>IF($D936="","",ROUND(N($J936)*N($R936),0))</f>
        <v/>
      </c>
      <c r="T936" s="26">
        <f>IF($D936="","",IF($K936&lt;&gt;"对外销售","",ROUND($Q936-$S936,0)))</f>
        <v/>
      </c>
      <c r="U936" s="17" t="n"/>
      <c r="V936" s="17" t="n"/>
      <c r="W936" s="24">
        <f>IF($D936="","",IF($E936="※编码不在物料档案里","※物料编码不在档案里",IF(N($J936)&lt;=0,"※出库数量要大于 0",IF($K936="","※没填去向类型",IF($L936="","※没填去向矿区",IF(AND($C936&lt;&gt;"",$C936&lt;=结账锁),"※日期早于已结账截止日，不能再录",IF(AND($K936="自用消耗",COUNTIF({"一矿区";"二矿区"},$L936)=0),"※自用消耗的去向只能是一矿区或二矿区",IF(AND($K936="对外销售",COUNTIF({"三矿区";"六矿区"},$L936)=0),"※对外销售的去向只能是三矿区或六矿区",IF(AND($K936="对外销售",ROUND($Q936,0)=0),"※外销却没有售价，请填实际售价",IF(AND($K936="对外销售",$T936&lt;&gt;"",$T936&lt;0),"※这一笔外销是亏的，请核对售价",IF(IFERROR(VLOOKUP($D936,库存台账!$A$5:$Y$1204,24,0),0)&lt;-0.001,"※这个物料账面已经变成负数了，查一下是不是漏记入库","")))))))))))</f>
        <v/>
      </c>
    </row>
    <row r="937">
      <c r="A937" s="24">
        <f>IF($D937="","",COUNTA($D$4:$D937))</f>
        <v/>
      </c>
      <c r="B937" s="17" t="n"/>
      <c r="C937" s="30" t="n"/>
      <c r="D937" s="17" t="n"/>
      <c r="E937" s="24">
        <f>IF($D937="","",IFERROR(VLOOKUP($D937,物料档案!$A$4:$P$1203,3,0),"※编码不在物料档案里"))</f>
        <v/>
      </c>
      <c r="F937" s="24">
        <f>IF($D937="","",IFERROR(VLOOKUP($D937,物料档案!$A$4:$P$1203,4,0),"※编码不在物料档案里"))</f>
        <v/>
      </c>
      <c r="G937" s="24">
        <f>IF($D937="","",IFERROR(VLOOKUP($D937,物料档案!$A$4:$P$1203,5,0),"※编码不在物料档案里"))</f>
        <v/>
      </c>
      <c r="H937" s="24">
        <f>IF($D937="","",IFERROR(VLOOKUP($D937,物料档案!$A$4:$P$1203,2,0),"※编码不在物料档案里"))</f>
        <v/>
      </c>
      <c r="I937" s="24">
        <f>IF($D937="","",IFERROR(VLOOKUP($D937,物料档案!$A$4:$P$1203,6,0),"※编码不在物料档案里"))</f>
        <v/>
      </c>
      <c r="J937" s="23" t="n"/>
      <c r="K937" s="17" t="n"/>
      <c r="L937" s="17" t="n"/>
      <c r="M937" s="17" t="n"/>
      <c r="N937" s="17" t="n"/>
      <c r="O937" s="26">
        <f>IF($D937="","",IFERROR(VLOOKUP($D937,物料档案!$A$4:$P$1203,10,0),0))</f>
        <v/>
      </c>
      <c r="P937" s="32" t="n"/>
      <c r="Q937" s="26">
        <f>IF($D937="","",IF($K937&lt;&gt;"对外销售",0,ROUND(N($J937)*IF($P937="",N($O937),N($P937)),0)))</f>
        <v/>
      </c>
      <c r="R937" s="26">
        <f>IF($D937="","",IFERROR(VLOOKUP($D937,库存台账!$A$5:$Y$1204,11,0),0))</f>
        <v/>
      </c>
      <c r="S937" s="26">
        <f>IF($D937="","",ROUND(N($J937)*N($R937),0))</f>
        <v/>
      </c>
      <c r="T937" s="26">
        <f>IF($D937="","",IF($K937&lt;&gt;"对外销售","",ROUND($Q937-$S937,0)))</f>
        <v/>
      </c>
      <c r="U937" s="17" t="n"/>
      <c r="V937" s="17" t="n"/>
      <c r="W937" s="24">
        <f>IF($D937="","",IF($E937="※编码不在物料档案里","※物料编码不在档案里",IF(N($J937)&lt;=0,"※出库数量要大于 0",IF($K937="","※没填去向类型",IF($L937="","※没填去向矿区",IF(AND($C937&lt;&gt;"",$C937&lt;=结账锁),"※日期早于已结账截止日，不能再录",IF(AND($K937="自用消耗",COUNTIF({"一矿区";"二矿区"},$L937)=0),"※自用消耗的去向只能是一矿区或二矿区",IF(AND($K937="对外销售",COUNTIF({"三矿区";"六矿区"},$L937)=0),"※对外销售的去向只能是三矿区或六矿区",IF(AND($K937="对外销售",ROUND($Q937,0)=0),"※外销却没有售价，请填实际售价",IF(AND($K937="对外销售",$T937&lt;&gt;"",$T937&lt;0),"※这一笔外销是亏的，请核对售价",IF(IFERROR(VLOOKUP($D937,库存台账!$A$5:$Y$1204,24,0),0)&lt;-0.001,"※这个物料账面已经变成负数了，查一下是不是漏记入库","")))))))))))</f>
        <v/>
      </c>
    </row>
    <row r="938">
      <c r="A938" s="24">
        <f>IF($D938="","",COUNTA($D$4:$D938))</f>
        <v/>
      </c>
      <c r="B938" s="17" t="n"/>
      <c r="C938" s="30" t="n"/>
      <c r="D938" s="17" t="n"/>
      <c r="E938" s="24">
        <f>IF($D938="","",IFERROR(VLOOKUP($D938,物料档案!$A$4:$P$1203,3,0),"※编码不在物料档案里"))</f>
        <v/>
      </c>
      <c r="F938" s="24">
        <f>IF($D938="","",IFERROR(VLOOKUP($D938,物料档案!$A$4:$P$1203,4,0),"※编码不在物料档案里"))</f>
        <v/>
      </c>
      <c r="G938" s="24">
        <f>IF($D938="","",IFERROR(VLOOKUP($D938,物料档案!$A$4:$P$1203,5,0),"※编码不在物料档案里"))</f>
        <v/>
      </c>
      <c r="H938" s="24">
        <f>IF($D938="","",IFERROR(VLOOKUP($D938,物料档案!$A$4:$P$1203,2,0),"※编码不在物料档案里"))</f>
        <v/>
      </c>
      <c r="I938" s="24">
        <f>IF($D938="","",IFERROR(VLOOKUP($D938,物料档案!$A$4:$P$1203,6,0),"※编码不在物料档案里"))</f>
        <v/>
      </c>
      <c r="J938" s="23" t="n"/>
      <c r="K938" s="17" t="n"/>
      <c r="L938" s="17" t="n"/>
      <c r="M938" s="17" t="n"/>
      <c r="N938" s="17" t="n"/>
      <c r="O938" s="26">
        <f>IF($D938="","",IFERROR(VLOOKUP($D938,物料档案!$A$4:$P$1203,10,0),0))</f>
        <v/>
      </c>
      <c r="P938" s="32" t="n"/>
      <c r="Q938" s="26">
        <f>IF($D938="","",IF($K938&lt;&gt;"对外销售",0,ROUND(N($J938)*IF($P938="",N($O938),N($P938)),0)))</f>
        <v/>
      </c>
      <c r="R938" s="26">
        <f>IF($D938="","",IFERROR(VLOOKUP($D938,库存台账!$A$5:$Y$1204,11,0),0))</f>
        <v/>
      </c>
      <c r="S938" s="26">
        <f>IF($D938="","",ROUND(N($J938)*N($R938),0))</f>
        <v/>
      </c>
      <c r="T938" s="26">
        <f>IF($D938="","",IF($K938&lt;&gt;"对外销售","",ROUND($Q938-$S938,0)))</f>
        <v/>
      </c>
      <c r="U938" s="17" t="n"/>
      <c r="V938" s="17" t="n"/>
      <c r="W938" s="24">
        <f>IF($D938="","",IF($E938="※编码不在物料档案里","※物料编码不在档案里",IF(N($J938)&lt;=0,"※出库数量要大于 0",IF($K938="","※没填去向类型",IF($L938="","※没填去向矿区",IF(AND($C938&lt;&gt;"",$C938&lt;=结账锁),"※日期早于已结账截止日，不能再录",IF(AND($K938="自用消耗",COUNTIF({"一矿区";"二矿区"},$L938)=0),"※自用消耗的去向只能是一矿区或二矿区",IF(AND($K938="对外销售",COUNTIF({"三矿区";"六矿区"},$L938)=0),"※对外销售的去向只能是三矿区或六矿区",IF(AND($K938="对外销售",ROUND($Q938,0)=0),"※外销却没有售价，请填实际售价",IF(AND($K938="对外销售",$T938&lt;&gt;"",$T938&lt;0),"※这一笔外销是亏的，请核对售价",IF(IFERROR(VLOOKUP($D938,库存台账!$A$5:$Y$1204,24,0),0)&lt;-0.001,"※这个物料账面已经变成负数了，查一下是不是漏记入库","")))))))))))</f>
        <v/>
      </c>
    </row>
    <row r="939">
      <c r="A939" s="24">
        <f>IF($D939="","",COUNTA($D$4:$D939))</f>
        <v/>
      </c>
      <c r="B939" s="17" t="n"/>
      <c r="C939" s="30" t="n"/>
      <c r="D939" s="17" t="n"/>
      <c r="E939" s="24">
        <f>IF($D939="","",IFERROR(VLOOKUP($D939,物料档案!$A$4:$P$1203,3,0),"※编码不在物料档案里"))</f>
        <v/>
      </c>
      <c r="F939" s="24">
        <f>IF($D939="","",IFERROR(VLOOKUP($D939,物料档案!$A$4:$P$1203,4,0),"※编码不在物料档案里"))</f>
        <v/>
      </c>
      <c r="G939" s="24">
        <f>IF($D939="","",IFERROR(VLOOKUP($D939,物料档案!$A$4:$P$1203,5,0),"※编码不在物料档案里"))</f>
        <v/>
      </c>
      <c r="H939" s="24">
        <f>IF($D939="","",IFERROR(VLOOKUP($D939,物料档案!$A$4:$P$1203,2,0),"※编码不在物料档案里"))</f>
        <v/>
      </c>
      <c r="I939" s="24">
        <f>IF($D939="","",IFERROR(VLOOKUP($D939,物料档案!$A$4:$P$1203,6,0),"※编码不在物料档案里"))</f>
        <v/>
      </c>
      <c r="J939" s="23" t="n"/>
      <c r="K939" s="17" t="n"/>
      <c r="L939" s="17" t="n"/>
      <c r="M939" s="17" t="n"/>
      <c r="N939" s="17" t="n"/>
      <c r="O939" s="26">
        <f>IF($D939="","",IFERROR(VLOOKUP($D939,物料档案!$A$4:$P$1203,10,0),0))</f>
        <v/>
      </c>
      <c r="P939" s="32" t="n"/>
      <c r="Q939" s="26">
        <f>IF($D939="","",IF($K939&lt;&gt;"对外销售",0,ROUND(N($J939)*IF($P939="",N($O939),N($P939)),0)))</f>
        <v/>
      </c>
      <c r="R939" s="26">
        <f>IF($D939="","",IFERROR(VLOOKUP($D939,库存台账!$A$5:$Y$1204,11,0),0))</f>
        <v/>
      </c>
      <c r="S939" s="26">
        <f>IF($D939="","",ROUND(N($J939)*N($R939),0))</f>
        <v/>
      </c>
      <c r="T939" s="26">
        <f>IF($D939="","",IF($K939&lt;&gt;"对外销售","",ROUND($Q939-$S939,0)))</f>
        <v/>
      </c>
      <c r="U939" s="17" t="n"/>
      <c r="V939" s="17" t="n"/>
      <c r="W939" s="24">
        <f>IF($D939="","",IF($E939="※编码不在物料档案里","※物料编码不在档案里",IF(N($J939)&lt;=0,"※出库数量要大于 0",IF($K939="","※没填去向类型",IF($L939="","※没填去向矿区",IF(AND($C939&lt;&gt;"",$C939&lt;=结账锁),"※日期早于已结账截止日，不能再录",IF(AND($K939="自用消耗",COUNTIF({"一矿区";"二矿区"},$L939)=0),"※自用消耗的去向只能是一矿区或二矿区",IF(AND($K939="对外销售",COUNTIF({"三矿区";"六矿区"},$L939)=0),"※对外销售的去向只能是三矿区或六矿区",IF(AND($K939="对外销售",ROUND($Q939,0)=0),"※外销却没有售价，请填实际售价",IF(AND($K939="对外销售",$T939&lt;&gt;"",$T939&lt;0),"※这一笔外销是亏的，请核对售价",IF(IFERROR(VLOOKUP($D939,库存台账!$A$5:$Y$1204,24,0),0)&lt;-0.001,"※这个物料账面已经变成负数了，查一下是不是漏记入库","")))))))))))</f>
        <v/>
      </c>
    </row>
    <row r="940">
      <c r="A940" s="24">
        <f>IF($D940="","",COUNTA($D$4:$D940))</f>
        <v/>
      </c>
      <c r="B940" s="17" t="n"/>
      <c r="C940" s="30" t="n"/>
      <c r="D940" s="17" t="n"/>
      <c r="E940" s="24">
        <f>IF($D940="","",IFERROR(VLOOKUP($D940,物料档案!$A$4:$P$1203,3,0),"※编码不在物料档案里"))</f>
        <v/>
      </c>
      <c r="F940" s="24">
        <f>IF($D940="","",IFERROR(VLOOKUP($D940,物料档案!$A$4:$P$1203,4,0),"※编码不在物料档案里"))</f>
        <v/>
      </c>
      <c r="G940" s="24">
        <f>IF($D940="","",IFERROR(VLOOKUP($D940,物料档案!$A$4:$P$1203,5,0),"※编码不在物料档案里"))</f>
        <v/>
      </c>
      <c r="H940" s="24">
        <f>IF($D940="","",IFERROR(VLOOKUP($D940,物料档案!$A$4:$P$1203,2,0),"※编码不在物料档案里"))</f>
        <v/>
      </c>
      <c r="I940" s="24">
        <f>IF($D940="","",IFERROR(VLOOKUP($D940,物料档案!$A$4:$P$1203,6,0),"※编码不在物料档案里"))</f>
        <v/>
      </c>
      <c r="J940" s="23" t="n"/>
      <c r="K940" s="17" t="n"/>
      <c r="L940" s="17" t="n"/>
      <c r="M940" s="17" t="n"/>
      <c r="N940" s="17" t="n"/>
      <c r="O940" s="26">
        <f>IF($D940="","",IFERROR(VLOOKUP($D940,物料档案!$A$4:$P$1203,10,0),0))</f>
        <v/>
      </c>
      <c r="P940" s="32" t="n"/>
      <c r="Q940" s="26">
        <f>IF($D940="","",IF($K940&lt;&gt;"对外销售",0,ROUND(N($J940)*IF($P940="",N($O940),N($P940)),0)))</f>
        <v/>
      </c>
      <c r="R940" s="26">
        <f>IF($D940="","",IFERROR(VLOOKUP($D940,库存台账!$A$5:$Y$1204,11,0),0))</f>
        <v/>
      </c>
      <c r="S940" s="26">
        <f>IF($D940="","",ROUND(N($J940)*N($R940),0))</f>
        <v/>
      </c>
      <c r="T940" s="26">
        <f>IF($D940="","",IF($K940&lt;&gt;"对外销售","",ROUND($Q940-$S940,0)))</f>
        <v/>
      </c>
      <c r="U940" s="17" t="n"/>
      <c r="V940" s="17" t="n"/>
      <c r="W940" s="24">
        <f>IF($D940="","",IF($E940="※编码不在物料档案里","※物料编码不在档案里",IF(N($J940)&lt;=0,"※出库数量要大于 0",IF($K940="","※没填去向类型",IF($L940="","※没填去向矿区",IF(AND($C940&lt;&gt;"",$C940&lt;=结账锁),"※日期早于已结账截止日，不能再录",IF(AND($K940="自用消耗",COUNTIF({"一矿区";"二矿区"},$L940)=0),"※自用消耗的去向只能是一矿区或二矿区",IF(AND($K940="对外销售",COUNTIF({"三矿区";"六矿区"},$L940)=0),"※对外销售的去向只能是三矿区或六矿区",IF(AND($K940="对外销售",ROUND($Q940,0)=0),"※外销却没有售价，请填实际售价",IF(AND($K940="对外销售",$T940&lt;&gt;"",$T940&lt;0),"※这一笔外销是亏的，请核对售价",IF(IFERROR(VLOOKUP($D940,库存台账!$A$5:$Y$1204,24,0),0)&lt;-0.001,"※这个物料账面已经变成负数了，查一下是不是漏记入库","")))))))))))</f>
        <v/>
      </c>
    </row>
    <row r="941">
      <c r="A941" s="24">
        <f>IF($D941="","",COUNTA($D$4:$D941))</f>
        <v/>
      </c>
      <c r="B941" s="17" t="n"/>
      <c r="C941" s="30" t="n"/>
      <c r="D941" s="17" t="n"/>
      <c r="E941" s="24">
        <f>IF($D941="","",IFERROR(VLOOKUP($D941,物料档案!$A$4:$P$1203,3,0),"※编码不在物料档案里"))</f>
        <v/>
      </c>
      <c r="F941" s="24">
        <f>IF($D941="","",IFERROR(VLOOKUP($D941,物料档案!$A$4:$P$1203,4,0),"※编码不在物料档案里"))</f>
        <v/>
      </c>
      <c r="G941" s="24">
        <f>IF($D941="","",IFERROR(VLOOKUP($D941,物料档案!$A$4:$P$1203,5,0),"※编码不在物料档案里"))</f>
        <v/>
      </c>
      <c r="H941" s="24">
        <f>IF($D941="","",IFERROR(VLOOKUP($D941,物料档案!$A$4:$P$1203,2,0),"※编码不在物料档案里"))</f>
        <v/>
      </c>
      <c r="I941" s="24">
        <f>IF($D941="","",IFERROR(VLOOKUP($D941,物料档案!$A$4:$P$1203,6,0),"※编码不在物料档案里"))</f>
        <v/>
      </c>
      <c r="J941" s="23" t="n"/>
      <c r="K941" s="17" t="n"/>
      <c r="L941" s="17" t="n"/>
      <c r="M941" s="17" t="n"/>
      <c r="N941" s="17" t="n"/>
      <c r="O941" s="26">
        <f>IF($D941="","",IFERROR(VLOOKUP($D941,物料档案!$A$4:$P$1203,10,0),0))</f>
        <v/>
      </c>
      <c r="P941" s="32" t="n"/>
      <c r="Q941" s="26">
        <f>IF($D941="","",IF($K941&lt;&gt;"对外销售",0,ROUND(N($J941)*IF($P941="",N($O941),N($P941)),0)))</f>
        <v/>
      </c>
      <c r="R941" s="26">
        <f>IF($D941="","",IFERROR(VLOOKUP($D941,库存台账!$A$5:$Y$1204,11,0),0))</f>
        <v/>
      </c>
      <c r="S941" s="26">
        <f>IF($D941="","",ROUND(N($J941)*N($R941),0))</f>
        <v/>
      </c>
      <c r="T941" s="26">
        <f>IF($D941="","",IF($K941&lt;&gt;"对外销售","",ROUND($Q941-$S941,0)))</f>
        <v/>
      </c>
      <c r="U941" s="17" t="n"/>
      <c r="V941" s="17" t="n"/>
      <c r="W941" s="24">
        <f>IF($D941="","",IF($E941="※编码不在物料档案里","※物料编码不在档案里",IF(N($J941)&lt;=0,"※出库数量要大于 0",IF($K941="","※没填去向类型",IF($L941="","※没填去向矿区",IF(AND($C941&lt;&gt;"",$C941&lt;=结账锁),"※日期早于已结账截止日，不能再录",IF(AND($K941="自用消耗",COUNTIF({"一矿区";"二矿区"},$L941)=0),"※自用消耗的去向只能是一矿区或二矿区",IF(AND($K941="对外销售",COUNTIF({"三矿区";"六矿区"},$L941)=0),"※对外销售的去向只能是三矿区或六矿区",IF(AND($K941="对外销售",ROUND($Q941,0)=0),"※外销却没有售价，请填实际售价",IF(AND($K941="对外销售",$T941&lt;&gt;"",$T941&lt;0),"※这一笔外销是亏的，请核对售价",IF(IFERROR(VLOOKUP($D941,库存台账!$A$5:$Y$1204,24,0),0)&lt;-0.001,"※这个物料账面已经变成负数了，查一下是不是漏记入库","")))))))))))</f>
        <v/>
      </c>
    </row>
    <row r="942">
      <c r="A942" s="24">
        <f>IF($D942="","",COUNTA($D$4:$D942))</f>
        <v/>
      </c>
      <c r="B942" s="17" t="n"/>
      <c r="C942" s="30" t="n"/>
      <c r="D942" s="17" t="n"/>
      <c r="E942" s="24">
        <f>IF($D942="","",IFERROR(VLOOKUP($D942,物料档案!$A$4:$P$1203,3,0),"※编码不在物料档案里"))</f>
        <v/>
      </c>
      <c r="F942" s="24">
        <f>IF($D942="","",IFERROR(VLOOKUP($D942,物料档案!$A$4:$P$1203,4,0),"※编码不在物料档案里"))</f>
        <v/>
      </c>
      <c r="G942" s="24">
        <f>IF($D942="","",IFERROR(VLOOKUP($D942,物料档案!$A$4:$P$1203,5,0),"※编码不在物料档案里"))</f>
        <v/>
      </c>
      <c r="H942" s="24">
        <f>IF($D942="","",IFERROR(VLOOKUP($D942,物料档案!$A$4:$P$1203,2,0),"※编码不在物料档案里"))</f>
        <v/>
      </c>
      <c r="I942" s="24">
        <f>IF($D942="","",IFERROR(VLOOKUP($D942,物料档案!$A$4:$P$1203,6,0),"※编码不在物料档案里"))</f>
        <v/>
      </c>
      <c r="J942" s="23" t="n"/>
      <c r="K942" s="17" t="n"/>
      <c r="L942" s="17" t="n"/>
      <c r="M942" s="17" t="n"/>
      <c r="N942" s="17" t="n"/>
      <c r="O942" s="26">
        <f>IF($D942="","",IFERROR(VLOOKUP($D942,物料档案!$A$4:$P$1203,10,0),0))</f>
        <v/>
      </c>
      <c r="P942" s="32" t="n"/>
      <c r="Q942" s="26">
        <f>IF($D942="","",IF($K942&lt;&gt;"对外销售",0,ROUND(N($J942)*IF($P942="",N($O942),N($P942)),0)))</f>
        <v/>
      </c>
      <c r="R942" s="26">
        <f>IF($D942="","",IFERROR(VLOOKUP($D942,库存台账!$A$5:$Y$1204,11,0),0))</f>
        <v/>
      </c>
      <c r="S942" s="26">
        <f>IF($D942="","",ROUND(N($J942)*N($R942),0))</f>
        <v/>
      </c>
      <c r="T942" s="26">
        <f>IF($D942="","",IF($K942&lt;&gt;"对外销售","",ROUND($Q942-$S942,0)))</f>
        <v/>
      </c>
      <c r="U942" s="17" t="n"/>
      <c r="V942" s="17" t="n"/>
      <c r="W942" s="24">
        <f>IF($D942="","",IF($E942="※编码不在物料档案里","※物料编码不在档案里",IF(N($J942)&lt;=0,"※出库数量要大于 0",IF($K942="","※没填去向类型",IF($L942="","※没填去向矿区",IF(AND($C942&lt;&gt;"",$C942&lt;=结账锁),"※日期早于已结账截止日，不能再录",IF(AND($K942="自用消耗",COUNTIF({"一矿区";"二矿区"},$L942)=0),"※自用消耗的去向只能是一矿区或二矿区",IF(AND($K942="对外销售",COUNTIF({"三矿区";"六矿区"},$L942)=0),"※对外销售的去向只能是三矿区或六矿区",IF(AND($K942="对外销售",ROUND($Q942,0)=0),"※外销却没有售价，请填实际售价",IF(AND($K942="对外销售",$T942&lt;&gt;"",$T942&lt;0),"※这一笔外销是亏的，请核对售价",IF(IFERROR(VLOOKUP($D942,库存台账!$A$5:$Y$1204,24,0),0)&lt;-0.001,"※这个物料账面已经变成负数了，查一下是不是漏记入库","")))))))))))</f>
        <v/>
      </c>
    </row>
    <row r="943">
      <c r="A943" s="24">
        <f>IF($D943="","",COUNTA($D$4:$D943))</f>
        <v/>
      </c>
      <c r="B943" s="17" t="n"/>
      <c r="C943" s="30" t="n"/>
      <c r="D943" s="17" t="n"/>
      <c r="E943" s="24">
        <f>IF($D943="","",IFERROR(VLOOKUP($D943,物料档案!$A$4:$P$1203,3,0),"※编码不在物料档案里"))</f>
        <v/>
      </c>
      <c r="F943" s="24">
        <f>IF($D943="","",IFERROR(VLOOKUP($D943,物料档案!$A$4:$P$1203,4,0),"※编码不在物料档案里"))</f>
        <v/>
      </c>
      <c r="G943" s="24">
        <f>IF($D943="","",IFERROR(VLOOKUP($D943,物料档案!$A$4:$P$1203,5,0),"※编码不在物料档案里"))</f>
        <v/>
      </c>
      <c r="H943" s="24">
        <f>IF($D943="","",IFERROR(VLOOKUP($D943,物料档案!$A$4:$P$1203,2,0),"※编码不在物料档案里"))</f>
        <v/>
      </c>
      <c r="I943" s="24">
        <f>IF($D943="","",IFERROR(VLOOKUP($D943,物料档案!$A$4:$P$1203,6,0),"※编码不在物料档案里"))</f>
        <v/>
      </c>
      <c r="J943" s="23" t="n"/>
      <c r="K943" s="17" t="n"/>
      <c r="L943" s="17" t="n"/>
      <c r="M943" s="17" t="n"/>
      <c r="N943" s="17" t="n"/>
      <c r="O943" s="26">
        <f>IF($D943="","",IFERROR(VLOOKUP($D943,物料档案!$A$4:$P$1203,10,0),0))</f>
        <v/>
      </c>
      <c r="P943" s="32" t="n"/>
      <c r="Q943" s="26">
        <f>IF($D943="","",IF($K943&lt;&gt;"对外销售",0,ROUND(N($J943)*IF($P943="",N($O943),N($P943)),0)))</f>
        <v/>
      </c>
      <c r="R943" s="26">
        <f>IF($D943="","",IFERROR(VLOOKUP($D943,库存台账!$A$5:$Y$1204,11,0),0))</f>
        <v/>
      </c>
      <c r="S943" s="26">
        <f>IF($D943="","",ROUND(N($J943)*N($R943),0))</f>
        <v/>
      </c>
      <c r="T943" s="26">
        <f>IF($D943="","",IF($K943&lt;&gt;"对外销售","",ROUND($Q943-$S943,0)))</f>
        <v/>
      </c>
      <c r="U943" s="17" t="n"/>
      <c r="V943" s="17" t="n"/>
      <c r="W943" s="24">
        <f>IF($D943="","",IF($E943="※编码不在物料档案里","※物料编码不在档案里",IF(N($J943)&lt;=0,"※出库数量要大于 0",IF($K943="","※没填去向类型",IF($L943="","※没填去向矿区",IF(AND($C943&lt;&gt;"",$C943&lt;=结账锁),"※日期早于已结账截止日，不能再录",IF(AND($K943="自用消耗",COUNTIF({"一矿区";"二矿区"},$L943)=0),"※自用消耗的去向只能是一矿区或二矿区",IF(AND($K943="对外销售",COUNTIF({"三矿区";"六矿区"},$L943)=0),"※对外销售的去向只能是三矿区或六矿区",IF(AND($K943="对外销售",ROUND($Q943,0)=0),"※外销却没有售价，请填实际售价",IF(AND($K943="对外销售",$T943&lt;&gt;"",$T943&lt;0),"※这一笔外销是亏的，请核对售价",IF(IFERROR(VLOOKUP($D943,库存台账!$A$5:$Y$1204,24,0),0)&lt;-0.001,"※这个物料账面已经变成负数了，查一下是不是漏记入库","")))))))))))</f>
        <v/>
      </c>
    </row>
    <row r="944">
      <c r="A944" s="24">
        <f>IF($D944="","",COUNTA($D$4:$D944))</f>
        <v/>
      </c>
      <c r="B944" s="17" t="n"/>
      <c r="C944" s="30" t="n"/>
      <c r="D944" s="17" t="n"/>
      <c r="E944" s="24">
        <f>IF($D944="","",IFERROR(VLOOKUP($D944,物料档案!$A$4:$P$1203,3,0),"※编码不在物料档案里"))</f>
        <v/>
      </c>
      <c r="F944" s="24">
        <f>IF($D944="","",IFERROR(VLOOKUP($D944,物料档案!$A$4:$P$1203,4,0),"※编码不在物料档案里"))</f>
        <v/>
      </c>
      <c r="G944" s="24">
        <f>IF($D944="","",IFERROR(VLOOKUP($D944,物料档案!$A$4:$P$1203,5,0),"※编码不在物料档案里"))</f>
        <v/>
      </c>
      <c r="H944" s="24">
        <f>IF($D944="","",IFERROR(VLOOKUP($D944,物料档案!$A$4:$P$1203,2,0),"※编码不在物料档案里"))</f>
        <v/>
      </c>
      <c r="I944" s="24">
        <f>IF($D944="","",IFERROR(VLOOKUP($D944,物料档案!$A$4:$P$1203,6,0),"※编码不在物料档案里"))</f>
        <v/>
      </c>
      <c r="J944" s="23" t="n"/>
      <c r="K944" s="17" t="n"/>
      <c r="L944" s="17" t="n"/>
      <c r="M944" s="17" t="n"/>
      <c r="N944" s="17" t="n"/>
      <c r="O944" s="26">
        <f>IF($D944="","",IFERROR(VLOOKUP($D944,物料档案!$A$4:$P$1203,10,0),0))</f>
        <v/>
      </c>
      <c r="P944" s="32" t="n"/>
      <c r="Q944" s="26">
        <f>IF($D944="","",IF($K944&lt;&gt;"对外销售",0,ROUND(N($J944)*IF($P944="",N($O944),N($P944)),0)))</f>
        <v/>
      </c>
      <c r="R944" s="26">
        <f>IF($D944="","",IFERROR(VLOOKUP($D944,库存台账!$A$5:$Y$1204,11,0),0))</f>
        <v/>
      </c>
      <c r="S944" s="26">
        <f>IF($D944="","",ROUND(N($J944)*N($R944),0))</f>
        <v/>
      </c>
      <c r="T944" s="26">
        <f>IF($D944="","",IF($K944&lt;&gt;"对外销售","",ROUND($Q944-$S944,0)))</f>
        <v/>
      </c>
      <c r="U944" s="17" t="n"/>
      <c r="V944" s="17" t="n"/>
      <c r="W944" s="24">
        <f>IF($D944="","",IF($E944="※编码不在物料档案里","※物料编码不在档案里",IF(N($J944)&lt;=0,"※出库数量要大于 0",IF($K944="","※没填去向类型",IF($L944="","※没填去向矿区",IF(AND($C944&lt;&gt;"",$C944&lt;=结账锁),"※日期早于已结账截止日，不能再录",IF(AND($K944="自用消耗",COUNTIF({"一矿区";"二矿区"},$L944)=0),"※自用消耗的去向只能是一矿区或二矿区",IF(AND($K944="对外销售",COUNTIF({"三矿区";"六矿区"},$L944)=0),"※对外销售的去向只能是三矿区或六矿区",IF(AND($K944="对外销售",ROUND($Q944,0)=0),"※外销却没有售价，请填实际售价",IF(AND($K944="对外销售",$T944&lt;&gt;"",$T944&lt;0),"※这一笔外销是亏的，请核对售价",IF(IFERROR(VLOOKUP($D944,库存台账!$A$5:$Y$1204,24,0),0)&lt;-0.001,"※这个物料账面已经变成负数了，查一下是不是漏记入库","")))))))))))</f>
        <v/>
      </c>
    </row>
    <row r="945">
      <c r="A945" s="24">
        <f>IF($D945="","",COUNTA($D$4:$D945))</f>
        <v/>
      </c>
      <c r="B945" s="17" t="n"/>
      <c r="C945" s="30" t="n"/>
      <c r="D945" s="17" t="n"/>
      <c r="E945" s="24">
        <f>IF($D945="","",IFERROR(VLOOKUP($D945,物料档案!$A$4:$P$1203,3,0),"※编码不在物料档案里"))</f>
        <v/>
      </c>
      <c r="F945" s="24">
        <f>IF($D945="","",IFERROR(VLOOKUP($D945,物料档案!$A$4:$P$1203,4,0),"※编码不在物料档案里"))</f>
        <v/>
      </c>
      <c r="G945" s="24">
        <f>IF($D945="","",IFERROR(VLOOKUP($D945,物料档案!$A$4:$P$1203,5,0),"※编码不在物料档案里"))</f>
        <v/>
      </c>
      <c r="H945" s="24">
        <f>IF($D945="","",IFERROR(VLOOKUP($D945,物料档案!$A$4:$P$1203,2,0),"※编码不在物料档案里"))</f>
        <v/>
      </c>
      <c r="I945" s="24">
        <f>IF($D945="","",IFERROR(VLOOKUP($D945,物料档案!$A$4:$P$1203,6,0),"※编码不在物料档案里"))</f>
        <v/>
      </c>
      <c r="J945" s="23" t="n"/>
      <c r="K945" s="17" t="n"/>
      <c r="L945" s="17" t="n"/>
      <c r="M945" s="17" t="n"/>
      <c r="N945" s="17" t="n"/>
      <c r="O945" s="26">
        <f>IF($D945="","",IFERROR(VLOOKUP($D945,物料档案!$A$4:$P$1203,10,0),0))</f>
        <v/>
      </c>
      <c r="P945" s="32" t="n"/>
      <c r="Q945" s="26">
        <f>IF($D945="","",IF($K945&lt;&gt;"对外销售",0,ROUND(N($J945)*IF($P945="",N($O945),N($P945)),0)))</f>
        <v/>
      </c>
      <c r="R945" s="26">
        <f>IF($D945="","",IFERROR(VLOOKUP($D945,库存台账!$A$5:$Y$1204,11,0),0))</f>
        <v/>
      </c>
      <c r="S945" s="26">
        <f>IF($D945="","",ROUND(N($J945)*N($R945),0))</f>
        <v/>
      </c>
      <c r="T945" s="26">
        <f>IF($D945="","",IF($K945&lt;&gt;"对外销售","",ROUND($Q945-$S945,0)))</f>
        <v/>
      </c>
      <c r="U945" s="17" t="n"/>
      <c r="V945" s="17" t="n"/>
      <c r="W945" s="24">
        <f>IF($D945="","",IF($E945="※编码不在物料档案里","※物料编码不在档案里",IF(N($J945)&lt;=0,"※出库数量要大于 0",IF($K945="","※没填去向类型",IF($L945="","※没填去向矿区",IF(AND($C945&lt;&gt;"",$C945&lt;=结账锁),"※日期早于已结账截止日，不能再录",IF(AND($K945="自用消耗",COUNTIF({"一矿区";"二矿区"},$L945)=0),"※自用消耗的去向只能是一矿区或二矿区",IF(AND($K945="对外销售",COUNTIF({"三矿区";"六矿区"},$L945)=0),"※对外销售的去向只能是三矿区或六矿区",IF(AND($K945="对外销售",ROUND($Q945,0)=0),"※外销却没有售价，请填实际售价",IF(AND($K945="对外销售",$T945&lt;&gt;"",$T945&lt;0),"※这一笔外销是亏的，请核对售价",IF(IFERROR(VLOOKUP($D945,库存台账!$A$5:$Y$1204,24,0),0)&lt;-0.001,"※这个物料账面已经变成负数了，查一下是不是漏记入库","")))))))))))</f>
        <v/>
      </c>
    </row>
    <row r="946">
      <c r="A946" s="24">
        <f>IF($D946="","",COUNTA($D$4:$D946))</f>
        <v/>
      </c>
      <c r="B946" s="17" t="n"/>
      <c r="C946" s="30" t="n"/>
      <c r="D946" s="17" t="n"/>
      <c r="E946" s="24">
        <f>IF($D946="","",IFERROR(VLOOKUP($D946,物料档案!$A$4:$P$1203,3,0),"※编码不在物料档案里"))</f>
        <v/>
      </c>
      <c r="F946" s="24">
        <f>IF($D946="","",IFERROR(VLOOKUP($D946,物料档案!$A$4:$P$1203,4,0),"※编码不在物料档案里"))</f>
        <v/>
      </c>
      <c r="G946" s="24">
        <f>IF($D946="","",IFERROR(VLOOKUP($D946,物料档案!$A$4:$P$1203,5,0),"※编码不在物料档案里"))</f>
        <v/>
      </c>
      <c r="H946" s="24">
        <f>IF($D946="","",IFERROR(VLOOKUP($D946,物料档案!$A$4:$P$1203,2,0),"※编码不在物料档案里"))</f>
        <v/>
      </c>
      <c r="I946" s="24">
        <f>IF($D946="","",IFERROR(VLOOKUP($D946,物料档案!$A$4:$P$1203,6,0),"※编码不在物料档案里"))</f>
        <v/>
      </c>
      <c r="J946" s="23" t="n"/>
      <c r="K946" s="17" t="n"/>
      <c r="L946" s="17" t="n"/>
      <c r="M946" s="17" t="n"/>
      <c r="N946" s="17" t="n"/>
      <c r="O946" s="26">
        <f>IF($D946="","",IFERROR(VLOOKUP($D946,物料档案!$A$4:$P$1203,10,0),0))</f>
        <v/>
      </c>
      <c r="P946" s="32" t="n"/>
      <c r="Q946" s="26">
        <f>IF($D946="","",IF($K946&lt;&gt;"对外销售",0,ROUND(N($J946)*IF($P946="",N($O946),N($P946)),0)))</f>
        <v/>
      </c>
      <c r="R946" s="26">
        <f>IF($D946="","",IFERROR(VLOOKUP($D946,库存台账!$A$5:$Y$1204,11,0),0))</f>
        <v/>
      </c>
      <c r="S946" s="26">
        <f>IF($D946="","",ROUND(N($J946)*N($R946),0))</f>
        <v/>
      </c>
      <c r="T946" s="26">
        <f>IF($D946="","",IF($K946&lt;&gt;"对外销售","",ROUND($Q946-$S946,0)))</f>
        <v/>
      </c>
      <c r="U946" s="17" t="n"/>
      <c r="V946" s="17" t="n"/>
      <c r="W946" s="24">
        <f>IF($D946="","",IF($E946="※编码不在物料档案里","※物料编码不在档案里",IF(N($J946)&lt;=0,"※出库数量要大于 0",IF($K946="","※没填去向类型",IF($L946="","※没填去向矿区",IF(AND($C946&lt;&gt;"",$C946&lt;=结账锁),"※日期早于已结账截止日，不能再录",IF(AND($K946="自用消耗",COUNTIF({"一矿区";"二矿区"},$L946)=0),"※自用消耗的去向只能是一矿区或二矿区",IF(AND($K946="对外销售",COUNTIF({"三矿区";"六矿区"},$L946)=0),"※对外销售的去向只能是三矿区或六矿区",IF(AND($K946="对外销售",ROUND($Q946,0)=0),"※外销却没有售价，请填实际售价",IF(AND($K946="对外销售",$T946&lt;&gt;"",$T946&lt;0),"※这一笔外销是亏的，请核对售价",IF(IFERROR(VLOOKUP($D946,库存台账!$A$5:$Y$1204,24,0),0)&lt;-0.001,"※这个物料账面已经变成负数了，查一下是不是漏记入库","")))))))))))</f>
        <v/>
      </c>
    </row>
    <row r="947">
      <c r="A947" s="24">
        <f>IF($D947="","",COUNTA($D$4:$D947))</f>
        <v/>
      </c>
      <c r="B947" s="17" t="n"/>
      <c r="C947" s="30" t="n"/>
      <c r="D947" s="17" t="n"/>
      <c r="E947" s="24">
        <f>IF($D947="","",IFERROR(VLOOKUP($D947,物料档案!$A$4:$P$1203,3,0),"※编码不在物料档案里"))</f>
        <v/>
      </c>
      <c r="F947" s="24">
        <f>IF($D947="","",IFERROR(VLOOKUP($D947,物料档案!$A$4:$P$1203,4,0),"※编码不在物料档案里"))</f>
        <v/>
      </c>
      <c r="G947" s="24">
        <f>IF($D947="","",IFERROR(VLOOKUP($D947,物料档案!$A$4:$P$1203,5,0),"※编码不在物料档案里"))</f>
        <v/>
      </c>
      <c r="H947" s="24">
        <f>IF($D947="","",IFERROR(VLOOKUP($D947,物料档案!$A$4:$P$1203,2,0),"※编码不在物料档案里"))</f>
        <v/>
      </c>
      <c r="I947" s="24">
        <f>IF($D947="","",IFERROR(VLOOKUP($D947,物料档案!$A$4:$P$1203,6,0),"※编码不在物料档案里"))</f>
        <v/>
      </c>
      <c r="J947" s="23" t="n"/>
      <c r="K947" s="17" t="n"/>
      <c r="L947" s="17" t="n"/>
      <c r="M947" s="17" t="n"/>
      <c r="N947" s="17" t="n"/>
      <c r="O947" s="26">
        <f>IF($D947="","",IFERROR(VLOOKUP($D947,物料档案!$A$4:$P$1203,10,0),0))</f>
        <v/>
      </c>
      <c r="P947" s="32" t="n"/>
      <c r="Q947" s="26">
        <f>IF($D947="","",IF($K947&lt;&gt;"对外销售",0,ROUND(N($J947)*IF($P947="",N($O947),N($P947)),0)))</f>
        <v/>
      </c>
      <c r="R947" s="26">
        <f>IF($D947="","",IFERROR(VLOOKUP($D947,库存台账!$A$5:$Y$1204,11,0),0))</f>
        <v/>
      </c>
      <c r="S947" s="26">
        <f>IF($D947="","",ROUND(N($J947)*N($R947),0))</f>
        <v/>
      </c>
      <c r="T947" s="26">
        <f>IF($D947="","",IF($K947&lt;&gt;"对外销售","",ROUND($Q947-$S947,0)))</f>
        <v/>
      </c>
      <c r="U947" s="17" t="n"/>
      <c r="V947" s="17" t="n"/>
      <c r="W947" s="24">
        <f>IF($D947="","",IF($E947="※编码不在物料档案里","※物料编码不在档案里",IF(N($J947)&lt;=0,"※出库数量要大于 0",IF($K947="","※没填去向类型",IF($L947="","※没填去向矿区",IF(AND($C947&lt;&gt;"",$C947&lt;=结账锁),"※日期早于已结账截止日，不能再录",IF(AND($K947="自用消耗",COUNTIF({"一矿区";"二矿区"},$L947)=0),"※自用消耗的去向只能是一矿区或二矿区",IF(AND($K947="对外销售",COUNTIF({"三矿区";"六矿区"},$L947)=0),"※对外销售的去向只能是三矿区或六矿区",IF(AND($K947="对外销售",ROUND($Q947,0)=0),"※外销却没有售价，请填实际售价",IF(AND($K947="对外销售",$T947&lt;&gt;"",$T947&lt;0),"※这一笔外销是亏的，请核对售价",IF(IFERROR(VLOOKUP($D947,库存台账!$A$5:$Y$1204,24,0),0)&lt;-0.001,"※这个物料账面已经变成负数了，查一下是不是漏记入库","")))))))))))</f>
        <v/>
      </c>
    </row>
    <row r="948">
      <c r="A948" s="24">
        <f>IF($D948="","",COUNTA($D$4:$D948))</f>
        <v/>
      </c>
      <c r="B948" s="17" t="n"/>
      <c r="C948" s="30" t="n"/>
      <c r="D948" s="17" t="n"/>
      <c r="E948" s="24">
        <f>IF($D948="","",IFERROR(VLOOKUP($D948,物料档案!$A$4:$P$1203,3,0),"※编码不在物料档案里"))</f>
        <v/>
      </c>
      <c r="F948" s="24">
        <f>IF($D948="","",IFERROR(VLOOKUP($D948,物料档案!$A$4:$P$1203,4,0),"※编码不在物料档案里"))</f>
        <v/>
      </c>
      <c r="G948" s="24">
        <f>IF($D948="","",IFERROR(VLOOKUP($D948,物料档案!$A$4:$P$1203,5,0),"※编码不在物料档案里"))</f>
        <v/>
      </c>
      <c r="H948" s="24">
        <f>IF($D948="","",IFERROR(VLOOKUP($D948,物料档案!$A$4:$P$1203,2,0),"※编码不在物料档案里"))</f>
        <v/>
      </c>
      <c r="I948" s="24">
        <f>IF($D948="","",IFERROR(VLOOKUP($D948,物料档案!$A$4:$P$1203,6,0),"※编码不在物料档案里"))</f>
        <v/>
      </c>
      <c r="J948" s="23" t="n"/>
      <c r="K948" s="17" t="n"/>
      <c r="L948" s="17" t="n"/>
      <c r="M948" s="17" t="n"/>
      <c r="N948" s="17" t="n"/>
      <c r="O948" s="26">
        <f>IF($D948="","",IFERROR(VLOOKUP($D948,物料档案!$A$4:$P$1203,10,0),0))</f>
        <v/>
      </c>
      <c r="P948" s="32" t="n"/>
      <c r="Q948" s="26">
        <f>IF($D948="","",IF($K948&lt;&gt;"对外销售",0,ROUND(N($J948)*IF($P948="",N($O948),N($P948)),0)))</f>
        <v/>
      </c>
      <c r="R948" s="26">
        <f>IF($D948="","",IFERROR(VLOOKUP($D948,库存台账!$A$5:$Y$1204,11,0),0))</f>
        <v/>
      </c>
      <c r="S948" s="26">
        <f>IF($D948="","",ROUND(N($J948)*N($R948),0))</f>
        <v/>
      </c>
      <c r="T948" s="26">
        <f>IF($D948="","",IF($K948&lt;&gt;"对外销售","",ROUND($Q948-$S948,0)))</f>
        <v/>
      </c>
      <c r="U948" s="17" t="n"/>
      <c r="V948" s="17" t="n"/>
      <c r="W948" s="24">
        <f>IF($D948="","",IF($E948="※编码不在物料档案里","※物料编码不在档案里",IF(N($J948)&lt;=0,"※出库数量要大于 0",IF($K948="","※没填去向类型",IF($L948="","※没填去向矿区",IF(AND($C948&lt;&gt;"",$C948&lt;=结账锁),"※日期早于已结账截止日，不能再录",IF(AND($K948="自用消耗",COUNTIF({"一矿区";"二矿区"},$L948)=0),"※自用消耗的去向只能是一矿区或二矿区",IF(AND($K948="对外销售",COUNTIF({"三矿区";"六矿区"},$L948)=0),"※对外销售的去向只能是三矿区或六矿区",IF(AND($K948="对外销售",ROUND($Q948,0)=0),"※外销却没有售价，请填实际售价",IF(AND($K948="对外销售",$T948&lt;&gt;"",$T948&lt;0),"※这一笔外销是亏的，请核对售价",IF(IFERROR(VLOOKUP($D948,库存台账!$A$5:$Y$1204,24,0),0)&lt;-0.001,"※这个物料账面已经变成负数了，查一下是不是漏记入库","")))))))))))</f>
        <v/>
      </c>
    </row>
    <row r="949">
      <c r="A949" s="24">
        <f>IF($D949="","",COUNTA($D$4:$D949))</f>
        <v/>
      </c>
      <c r="B949" s="17" t="n"/>
      <c r="C949" s="30" t="n"/>
      <c r="D949" s="17" t="n"/>
      <c r="E949" s="24">
        <f>IF($D949="","",IFERROR(VLOOKUP($D949,物料档案!$A$4:$P$1203,3,0),"※编码不在物料档案里"))</f>
        <v/>
      </c>
      <c r="F949" s="24">
        <f>IF($D949="","",IFERROR(VLOOKUP($D949,物料档案!$A$4:$P$1203,4,0),"※编码不在物料档案里"))</f>
        <v/>
      </c>
      <c r="G949" s="24">
        <f>IF($D949="","",IFERROR(VLOOKUP($D949,物料档案!$A$4:$P$1203,5,0),"※编码不在物料档案里"))</f>
        <v/>
      </c>
      <c r="H949" s="24">
        <f>IF($D949="","",IFERROR(VLOOKUP($D949,物料档案!$A$4:$P$1203,2,0),"※编码不在物料档案里"))</f>
        <v/>
      </c>
      <c r="I949" s="24">
        <f>IF($D949="","",IFERROR(VLOOKUP($D949,物料档案!$A$4:$P$1203,6,0),"※编码不在物料档案里"))</f>
        <v/>
      </c>
      <c r="J949" s="23" t="n"/>
      <c r="K949" s="17" t="n"/>
      <c r="L949" s="17" t="n"/>
      <c r="M949" s="17" t="n"/>
      <c r="N949" s="17" t="n"/>
      <c r="O949" s="26">
        <f>IF($D949="","",IFERROR(VLOOKUP($D949,物料档案!$A$4:$P$1203,10,0),0))</f>
        <v/>
      </c>
      <c r="P949" s="32" t="n"/>
      <c r="Q949" s="26">
        <f>IF($D949="","",IF($K949&lt;&gt;"对外销售",0,ROUND(N($J949)*IF($P949="",N($O949),N($P949)),0)))</f>
        <v/>
      </c>
      <c r="R949" s="26">
        <f>IF($D949="","",IFERROR(VLOOKUP($D949,库存台账!$A$5:$Y$1204,11,0),0))</f>
        <v/>
      </c>
      <c r="S949" s="26">
        <f>IF($D949="","",ROUND(N($J949)*N($R949),0))</f>
        <v/>
      </c>
      <c r="T949" s="26">
        <f>IF($D949="","",IF($K949&lt;&gt;"对外销售","",ROUND($Q949-$S949,0)))</f>
        <v/>
      </c>
      <c r="U949" s="17" t="n"/>
      <c r="V949" s="17" t="n"/>
      <c r="W949" s="24">
        <f>IF($D949="","",IF($E949="※编码不在物料档案里","※物料编码不在档案里",IF(N($J949)&lt;=0,"※出库数量要大于 0",IF($K949="","※没填去向类型",IF($L949="","※没填去向矿区",IF(AND($C949&lt;&gt;"",$C949&lt;=结账锁),"※日期早于已结账截止日，不能再录",IF(AND($K949="自用消耗",COUNTIF({"一矿区";"二矿区"},$L949)=0),"※自用消耗的去向只能是一矿区或二矿区",IF(AND($K949="对外销售",COUNTIF({"三矿区";"六矿区"},$L949)=0),"※对外销售的去向只能是三矿区或六矿区",IF(AND($K949="对外销售",ROUND($Q949,0)=0),"※外销却没有售价，请填实际售价",IF(AND($K949="对外销售",$T949&lt;&gt;"",$T949&lt;0),"※这一笔外销是亏的，请核对售价",IF(IFERROR(VLOOKUP($D949,库存台账!$A$5:$Y$1204,24,0),0)&lt;-0.001,"※这个物料账面已经变成负数了，查一下是不是漏记入库","")))))))))))</f>
        <v/>
      </c>
    </row>
    <row r="950">
      <c r="A950" s="24">
        <f>IF($D950="","",COUNTA($D$4:$D950))</f>
        <v/>
      </c>
      <c r="B950" s="17" t="n"/>
      <c r="C950" s="30" t="n"/>
      <c r="D950" s="17" t="n"/>
      <c r="E950" s="24">
        <f>IF($D950="","",IFERROR(VLOOKUP($D950,物料档案!$A$4:$P$1203,3,0),"※编码不在物料档案里"))</f>
        <v/>
      </c>
      <c r="F950" s="24">
        <f>IF($D950="","",IFERROR(VLOOKUP($D950,物料档案!$A$4:$P$1203,4,0),"※编码不在物料档案里"))</f>
        <v/>
      </c>
      <c r="G950" s="24">
        <f>IF($D950="","",IFERROR(VLOOKUP($D950,物料档案!$A$4:$P$1203,5,0),"※编码不在物料档案里"))</f>
        <v/>
      </c>
      <c r="H950" s="24">
        <f>IF($D950="","",IFERROR(VLOOKUP($D950,物料档案!$A$4:$P$1203,2,0),"※编码不在物料档案里"))</f>
        <v/>
      </c>
      <c r="I950" s="24">
        <f>IF($D950="","",IFERROR(VLOOKUP($D950,物料档案!$A$4:$P$1203,6,0),"※编码不在物料档案里"))</f>
        <v/>
      </c>
      <c r="J950" s="23" t="n"/>
      <c r="K950" s="17" t="n"/>
      <c r="L950" s="17" t="n"/>
      <c r="M950" s="17" t="n"/>
      <c r="N950" s="17" t="n"/>
      <c r="O950" s="26">
        <f>IF($D950="","",IFERROR(VLOOKUP($D950,物料档案!$A$4:$P$1203,10,0),0))</f>
        <v/>
      </c>
      <c r="P950" s="32" t="n"/>
      <c r="Q950" s="26">
        <f>IF($D950="","",IF($K950&lt;&gt;"对外销售",0,ROUND(N($J950)*IF($P950="",N($O950),N($P950)),0)))</f>
        <v/>
      </c>
      <c r="R950" s="26">
        <f>IF($D950="","",IFERROR(VLOOKUP($D950,库存台账!$A$5:$Y$1204,11,0),0))</f>
        <v/>
      </c>
      <c r="S950" s="26">
        <f>IF($D950="","",ROUND(N($J950)*N($R950),0))</f>
        <v/>
      </c>
      <c r="T950" s="26">
        <f>IF($D950="","",IF($K950&lt;&gt;"对外销售","",ROUND($Q950-$S950,0)))</f>
        <v/>
      </c>
      <c r="U950" s="17" t="n"/>
      <c r="V950" s="17" t="n"/>
      <c r="W950" s="24">
        <f>IF($D950="","",IF($E950="※编码不在物料档案里","※物料编码不在档案里",IF(N($J950)&lt;=0,"※出库数量要大于 0",IF($K950="","※没填去向类型",IF($L950="","※没填去向矿区",IF(AND($C950&lt;&gt;"",$C950&lt;=结账锁),"※日期早于已结账截止日，不能再录",IF(AND($K950="自用消耗",COUNTIF({"一矿区";"二矿区"},$L950)=0),"※自用消耗的去向只能是一矿区或二矿区",IF(AND($K950="对外销售",COUNTIF({"三矿区";"六矿区"},$L950)=0),"※对外销售的去向只能是三矿区或六矿区",IF(AND($K950="对外销售",ROUND($Q950,0)=0),"※外销却没有售价，请填实际售价",IF(AND($K950="对外销售",$T950&lt;&gt;"",$T950&lt;0),"※这一笔外销是亏的，请核对售价",IF(IFERROR(VLOOKUP($D950,库存台账!$A$5:$Y$1204,24,0),0)&lt;-0.001,"※这个物料账面已经变成负数了，查一下是不是漏记入库","")))))))))))</f>
        <v/>
      </c>
    </row>
    <row r="951">
      <c r="A951" s="24">
        <f>IF($D951="","",COUNTA($D$4:$D951))</f>
        <v/>
      </c>
      <c r="B951" s="17" t="n"/>
      <c r="C951" s="30" t="n"/>
      <c r="D951" s="17" t="n"/>
      <c r="E951" s="24">
        <f>IF($D951="","",IFERROR(VLOOKUP($D951,物料档案!$A$4:$P$1203,3,0),"※编码不在物料档案里"))</f>
        <v/>
      </c>
      <c r="F951" s="24">
        <f>IF($D951="","",IFERROR(VLOOKUP($D951,物料档案!$A$4:$P$1203,4,0),"※编码不在物料档案里"))</f>
        <v/>
      </c>
      <c r="G951" s="24">
        <f>IF($D951="","",IFERROR(VLOOKUP($D951,物料档案!$A$4:$P$1203,5,0),"※编码不在物料档案里"))</f>
        <v/>
      </c>
      <c r="H951" s="24">
        <f>IF($D951="","",IFERROR(VLOOKUP($D951,物料档案!$A$4:$P$1203,2,0),"※编码不在物料档案里"))</f>
        <v/>
      </c>
      <c r="I951" s="24">
        <f>IF($D951="","",IFERROR(VLOOKUP($D951,物料档案!$A$4:$P$1203,6,0),"※编码不在物料档案里"))</f>
        <v/>
      </c>
      <c r="J951" s="23" t="n"/>
      <c r="K951" s="17" t="n"/>
      <c r="L951" s="17" t="n"/>
      <c r="M951" s="17" t="n"/>
      <c r="N951" s="17" t="n"/>
      <c r="O951" s="26">
        <f>IF($D951="","",IFERROR(VLOOKUP($D951,物料档案!$A$4:$P$1203,10,0),0))</f>
        <v/>
      </c>
      <c r="P951" s="32" t="n"/>
      <c r="Q951" s="26">
        <f>IF($D951="","",IF($K951&lt;&gt;"对外销售",0,ROUND(N($J951)*IF($P951="",N($O951),N($P951)),0)))</f>
        <v/>
      </c>
      <c r="R951" s="26">
        <f>IF($D951="","",IFERROR(VLOOKUP($D951,库存台账!$A$5:$Y$1204,11,0),0))</f>
        <v/>
      </c>
      <c r="S951" s="26">
        <f>IF($D951="","",ROUND(N($J951)*N($R951),0))</f>
        <v/>
      </c>
      <c r="T951" s="26">
        <f>IF($D951="","",IF($K951&lt;&gt;"对外销售","",ROUND($Q951-$S951,0)))</f>
        <v/>
      </c>
      <c r="U951" s="17" t="n"/>
      <c r="V951" s="17" t="n"/>
      <c r="W951" s="24">
        <f>IF($D951="","",IF($E951="※编码不在物料档案里","※物料编码不在档案里",IF(N($J951)&lt;=0,"※出库数量要大于 0",IF($K951="","※没填去向类型",IF($L951="","※没填去向矿区",IF(AND($C951&lt;&gt;"",$C951&lt;=结账锁),"※日期早于已结账截止日，不能再录",IF(AND($K951="自用消耗",COUNTIF({"一矿区";"二矿区"},$L951)=0),"※自用消耗的去向只能是一矿区或二矿区",IF(AND($K951="对外销售",COUNTIF({"三矿区";"六矿区"},$L951)=0),"※对外销售的去向只能是三矿区或六矿区",IF(AND($K951="对外销售",ROUND($Q951,0)=0),"※外销却没有售价，请填实际售价",IF(AND($K951="对外销售",$T951&lt;&gt;"",$T951&lt;0),"※这一笔外销是亏的，请核对售价",IF(IFERROR(VLOOKUP($D951,库存台账!$A$5:$Y$1204,24,0),0)&lt;-0.001,"※这个物料账面已经变成负数了，查一下是不是漏记入库","")))))))))))</f>
        <v/>
      </c>
    </row>
    <row r="952">
      <c r="A952" s="24">
        <f>IF($D952="","",COUNTA($D$4:$D952))</f>
        <v/>
      </c>
      <c r="B952" s="17" t="n"/>
      <c r="C952" s="30" t="n"/>
      <c r="D952" s="17" t="n"/>
      <c r="E952" s="24">
        <f>IF($D952="","",IFERROR(VLOOKUP($D952,物料档案!$A$4:$P$1203,3,0),"※编码不在物料档案里"))</f>
        <v/>
      </c>
      <c r="F952" s="24">
        <f>IF($D952="","",IFERROR(VLOOKUP($D952,物料档案!$A$4:$P$1203,4,0),"※编码不在物料档案里"))</f>
        <v/>
      </c>
      <c r="G952" s="24">
        <f>IF($D952="","",IFERROR(VLOOKUP($D952,物料档案!$A$4:$P$1203,5,0),"※编码不在物料档案里"))</f>
        <v/>
      </c>
      <c r="H952" s="24">
        <f>IF($D952="","",IFERROR(VLOOKUP($D952,物料档案!$A$4:$P$1203,2,0),"※编码不在物料档案里"))</f>
        <v/>
      </c>
      <c r="I952" s="24">
        <f>IF($D952="","",IFERROR(VLOOKUP($D952,物料档案!$A$4:$P$1203,6,0),"※编码不在物料档案里"))</f>
        <v/>
      </c>
      <c r="J952" s="23" t="n"/>
      <c r="K952" s="17" t="n"/>
      <c r="L952" s="17" t="n"/>
      <c r="M952" s="17" t="n"/>
      <c r="N952" s="17" t="n"/>
      <c r="O952" s="26">
        <f>IF($D952="","",IFERROR(VLOOKUP($D952,物料档案!$A$4:$P$1203,10,0),0))</f>
        <v/>
      </c>
      <c r="P952" s="32" t="n"/>
      <c r="Q952" s="26">
        <f>IF($D952="","",IF($K952&lt;&gt;"对外销售",0,ROUND(N($J952)*IF($P952="",N($O952),N($P952)),0)))</f>
        <v/>
      </c>
      <c r="R952" s="26">
        <f>IF($D952="","",IFERROR(VLOOKUP($D952,库存台账!$A$5:$Y$1204,11,0),0))</f>
        <v/>
      </c>
      <c r="S952" s="26">
        <f>IF($D952="","",ROUND(N($J952)*N($R952),0))</f>
        <v/>
      </c>
      <c r="T952" s="26">
        <f>IF($D952="","",IF($K952&lt;&gt;"对外销售","",ROUND($Q952-$S952,0)))</f>
        <v/>
      </c>
      <c r="U952" s="17" t="n"/>
      <c r="V952" s="17" t="n"/>
      <c r="W952" s="24">
        <f>IF($D952="","",IF($E952="※编码不在物料档案里","※物料编码不在档案里",IF(N($J952)&lt;=0,"※出库数量要大于 0",IF($K952="","※没填去向类型",IF($L952="","※没填去向矿区",IF(AND($C952&lt;&gt;"",$C952&lt;=结账锁),"※日期早于已结账截止日，不能再录",IF(AND($K952="自用消耗",COUNTIF({"一矿区";"二矿区"},$L952)=0),"※自用消耗的去向只能是一矿区或二矿区",IF(AND($K952="对外销售",COUNTIF({"三矿区";"六矿区"},$L952)=0),"※对外销售的去向只能是三矿区或六矿区",IF(AND($K952="对外销售",ROUND($Q952,0)=0),"※外销却没有售价，请填实际售价",IF(AND($K952="对外销售",$T952&lt;&gt;"",$T952&lt;0),"※这一笔外销是亏的，请核对售价",IF(IFERROR(VLOOKUP($D952,库存台账!$A$5:$Y$1204,24,0),0)&lt;-0.001,"※这个物料账面已经变成负数了，查一下是不是漏记入库","")))))))))))</f>
        <v/>
      </c>
    </row>
    <row r="953">
      <c r="A953" s="24">
        <f>IF($D953="","",COUNTA($D$4:$D953))</f>
        <v/>
      </c>
      <c r="B953" s="17" t="n"/>
      <c r="C953" s="30" t="n"/>
      <c r="D953" s="17" t="n"/>
      <c r="E953" s="24">
        <f>IF($D953="","",IFERROR(VLOOKUP($D953,物料档案!$A$4:$P$1203,3,0),"※编码不在物料档案里"))</f>
        <v/>
      </c>
      <c r="F953" s="24">
        <f>IF($D953="","",IFERROR(VLOOKUP($D953,物料档案!$A$4:$P$1203,4,0),"※编码不在物料档案里"))</f>
        <v/>
      </c>
      <c r="G953" s="24">
        <f>IF($D953="","",IFERROR(VLOOKUP($D953,物料档案!$A$4:$P$1203,5,0),"※编码不在物料档案里"))</f>
        <v/>
      </c>
      <c r="H953" s="24">
        <f>IF($D953="","",IFERROR(VLOOKUP($D953,物料档案!$A$4:$P$1203,2,0),"※编码不在物料档案里"))</f>
        <v/>
      </c>
      <c r="I953" s="24">
        <f>IF($D953="","",IFERROR(VLOOKUP($D953,物料档案!$A$4:$P$1203,6,0),"※编码不在物料档案里"))</f>
        <v/>
      </c>
      <c r="J953" s="23" t="n"/>
      <c r="K953" s="17" t="n"/>
      <c r="L953" s="17" t="n"/>
      <c r="M953" s="17" t="n"/>
      <c r="N953" s="17" t="n"/>
      <c r="O953" s="26">
        <f>IF($D953="","",IFERROR(VLOOKUP($D953,物料档案!$A$4:$P$1203,10,0),0))</f>
        <v/>
      </c>
      <c r="P953" s="32" t="n"/>
      <c r="Q953" s="26">
        <f>IF($D953="","",IF($K953&lt;&gt;"对外销售",0,ROUND(N($J953)*IF($P953="",N($O953),N($P953)),0)))</f>
        <v/>
      </c>
      <c r="R953" s="26">
        <f>IF($D953="","",IFERROR(VLOOKUP($D953,库存台账!$A$5:$Y$1204,11,0),0))</f>
        <v/>
      </c>
      <c r="S953" s="26">
        <f>IF($D953="","",ROUND(N($J953)*N($R953),0))</f>
        <v/>
      </c>
      <c r="T953" s="26">
        <f>IF($D953="","",IF($K953&lt;&gt;"对外销售","",ROUND($Q953-$S953,0)))</f>
        <v/>
      </c>
      <c r="U953" s="17" t="n"/>
      <c r="V953" s="17" t="n"/>
      <c r="W953" s="24">
        <f>IF($D953="","",IF($E953="※编码不在物料档案里","※物料编码不在档案里",IF(N($J953)&lt;=0,"※出库数量要大于 0",IF($K953="","※没填去向类型",IF($L953="","※没填去向矿区",IF(AND($C953&lt;&gt;"",$C953&lt;=结账锁),"※日期早于已结账截止日，不能再录",IF(AND($K953="自用消耗",COUNTIF({"一矿区";"二矿区"},$L953)=0),"※自用消耗的去向只能是一矿区或二矿区",IF(AND($K953="对外销售",COUNTIF({"三矿区";"六矿区"},$L953)=0),"※对外销售的去向只能是三矿区或六矿区",IF(AND($K953="对外销售",ROUND($Q953,0)=0),"※外销却没有售价，请填实际售价",IF(AND($K953="对外销售",$T953&lt;&gt;"",$T953&lt;0),"※这一笔外销是亏的，请核对售价",IF(IFERROR(VLOOKUP($D953,库存台账!$A$5:$Y$1204,24,0),0)&lt;-0.001,"※这个物料账面已经变成负数了，查一下是不是漏记入库","")))))))))))</f>
        <v/>
      </c>
    </row>
    <row r="954">
      <c r="A954" s="24">
        <f>IF($D954="","",COUNTA($D$4:$D954))</f>
        <v/>
      </c>
      <c r="B954" s="17" t="n"/>
      <c r="C954" s="30" t="n"/>
      <c r="D954" s="17" t="n"/>
      <c r="E954" s="24">
        <f>IF($D954="","",IFERROR(VLOOKUP($D954,物料档案!$A$4:$P$1203,3,0),"※编码不在物料档案里"))</f>
        <v/>
      </c>
      <c r="F954" s="24">
        <f>IF($D954="","",IFERROR(VLOOKUP($D954,物料档案!$A$4:$P$1203,4,0),"※编码不在物料档案里"))</f>
        <v/>
      </c>
      <c r="G954" s="24">
        <f>IF($D954="","",IFERROR(VLOOKUP($D954,物料档案!$A$4:$P$1203,5,0),"※编码不在物料档案里"))</f>
        <v/>
      </c>
      <c r="H954" s="24">
        <f>IF($D954="","",IFERROR(VLOOKUP($D954,物料档案!$A$4:$P$1203,2,0),"※编码不在物料档案里"))</f>
        <v/>
      </c>
      <c r="I954" s="24">
        <f>IF($D954="","",IFERROR(VLOOKUP($D954,物料档案!$A$4:$P$1203,6,0),"※编码不在物料档案里"))</f>
        <v/>
      </c>
      <c r="J954" s="23" t="n"/>
      <c r="K954" s="17" t="n"/>
      <c r="L954" s="17" t="n"/>
      <c r="M954" s="17" t="n"/>
      <c r="N954" s="17" t="n"/>
      <c r="O954" s="26">
        <f>IF($D954="","",IFERROR(VLOOKUP($D954,物料档案!$A$4:$P$1203,10,0),0))</f>
        <v/>
      </c>
      <c r="P954" s="32" t="n"/>
      <c r="Q954" s="26">
        <f>IF($D954="","",IF($K954&lt;&gt;"对外销售",0,ROUND(N($J954)*IF($P954="",N($O954),N($P954)),0)))</f>
        <v/>
      </c>
      <c r="R954" s="26">
        <f>IF($D954="","",IFERROR(VLOOKUP($D954,库存台账!$A$5:$Y$1204,11,0),0))</f>
        <v/>
      </c>
      <c r="S954" s="26">
        <f>IF($D954="","",ROUND(N($J954)*N($R954),0))</f>
        <v/>
      </c>
      <c r="T954" s="26">
        <f>IF($D954="","",IF($K954&lt;&gt;"对外销售","",ROUND($Q954-$S954,0)))</f>
        <v/>
      </c>
      <c r="U954" s="17" t="n"/>
      <c r="V954" s="17" t="n"/>
      <c r="W954" s="24">
        <f>IF($D954="","",IF($E954="※编码不在物料档案里","※物料编码不在档案里",IF(N($J954)&lt;=0,"※出库数量要大于 0",IF($K954="","※没填去向类型",IF($L954="","※没填去向矿区",IF(AND($C954&lt;&gt;"",$C954&lt;=结账锁),"※日期早于已结账截止日，不能再录",IF(AND($K954="自用消耗",COUNTIF({"一矿区";"二矿区"},$L954)=0),"※自用消耗的去向只能是一矿区或二矿区",IF(AND($K954="对外销售",COUNTIF({"三矿区";"六矿区"},$L954)=0),"※对外销售的去向只能是三矿区或六矿区",IF(AND($K954="对外销售",ROUND($Q954,0)=0),"※外销却没有售价，请填实际售价",IF(AND($K954="对外销售",$T954&lt;&gt;"",$T954&lt;0),"※这一笔外销是亏的，请核对售价",IF(IFERROR(VLOOKUP($D954,库存台账!$A$5:$Y$1204,24,0),0)&lt;-0.001,"※这个物料账面已经变成负数了，查一下是不是漏记入库","")))))))))))</f>
        <v/>
      </c>
    </row>
    <row r="955">
      <c r="A955" s="24">
        <f>IF($D955="","",COUNTA($D$4:$D955))</f>
        <v/>
      </c>
      <c r="B955" s="17" t="n"/>
      <c r="C955" s="30" t="n"/>
      <c r="D955" s="17" t="n"/>
      <c r="E955" s="24">
        <f>IF($D955="","",IFERROR(VLOOKUP($D955,物料档案!$A$4:$P$1203,3,0),"※编码不在物料档案里"))</f>
        <v/>
      </c>
      <c r="F955" s="24">
        <f>IF($D955="","",IFERROR(VLOOKUP($D955,物料档案!$A$4:$P$1203,4,0),"※编码不在物料档案里"))</f>
        <v/>
      </c>
      <c r="G955" s="24">
        <f>IF($D955="","",IFERROR(VLOOKUP($D955,物料档案!$A$4:$P$1203,5,0),"※编码不在物料档案里"))</f>
        <v/>
      </c>
      <c r="H955" s="24">
        <f>IF($D955="","",IFERROR(VLOOKUP($D955,物料档案!$A$4:$P$1203,2,0),"※编码不在物料档案里"))</f>
        <v/>
      </c>
      <c r="I955" s="24">
        <f>IF($D955="","",IFERROR(VLOOKUP($D955,物料档案!$A$4:$P$1203,6,0),"※编码不在物料档案里"))</f>
        <v/>
      </c>
      <c r="J955" s="23" t="n"/>
      <c r="K955" s="17" t="n"/>
      <c r="L955" s="17" t="n"/>
      <c r="M955" s="17" t="n"/>
      <c r="N955" s="17" t="n"/>
      <c r="O955" s="26">
        <f>IF($D955="","",IFERROR(VLOOKUP($D955,物料档案!$A$4:$P$1203,10,0),0))</f>
        <v/>
      </c>
      <c r="P955" s="32" t="n"/>
      <c r="Q955" s="26">
        <f>IF($D955="","",IF($K955&lt;&gt;"对外销售",0,ROUND(N($J955)*IF($P955="",N($O955),N($P955)),0)))</f>
        <v/>
      </c>
      <c r="R955" s="26">
        <f>IF($D955="","",IFERROR(VLOOKUP($D955,库存台账!$A$5:$Y$1204,11,0),0))</f>
        <v/>
      </c>
      <c r="S955" s="26">
        <f>IF($D955="","",ROUND(N($J955)*N($R955),0))</f>
        <v/>
      </c>
      <c r="T955" s="26">
        <f>IF($D955="","",IF($K955&lt;&gt;"对外销售","",ROUND($Q955-$S955,0)))</f>
        <v/>
      </c>
      <c r="U955" s="17" t="n"/>
      <c r="V955" s="17" t="n"/>
      <c r="W955" s="24">
        <f>IF($D955="","",IF($E955="※编码不在物料档案里","※物料编码不在档案里",IF(N($J955)&lt;=0,"※出库数量要大于 0",IF($K955="","※没填去向类型",IF($L955="","※没填去向矿区",IF(AND($C955&lt;&gt;"",$C955&lt;=结账锁),"※日期早于已结账截止日，不能再录",IF(AND($K955="自用消耗",COUNTIF({"一矿区";"二矿区"},$L955)=0),"※自用消耗的去向只能是一矿区或二矿区",IF(AND($K955="对外销售",COUNTIF({"三矿区";"六矿区"},$L955)=0),"※对外销售的去向只能是三矿区或六矿区",IF(AND($K955="对外销售",ROUND($Q955,0)=0),"※外销却没有售价，请填实际售价",IF(AND($K955="对外销售",$T955&lt;&gt;"",$T955&lt;0),"※这一笔外销是亏的，请核对售价",IF(IFERROR(VLOOKUP($D955,库存台账!$A$5:$Y$1204,24,0),0)&lt;-0.001,"※这个物料账面已经变成负数了，查一下是不是漏记入库","")))))))))))</f>
        <v/>
      </c>
    </row>
    <row r="956">
      <c r="A956" s="24">
        <f>IF($D956="","",COUNTA($D$4:$D956))</f>
        <v/>
      </c>
      <c r="B956" s="17" t="n"/>
      <c r="C956" s="30" t="n"/>
      <c r="D956" s="17" t="n"/>
      <c r="E956" s="24">
        <f>IF($D956="","",IFERROR(VLOOKUP($D956,物料档案!$A$4:$P$1203,3,0),"※编码不在物料档案里"))</f>
        <v/>
      </c>
      <c r="F956" s="24">
        <f>IF($D956="","",IFERROR(VLOOKUP($D956,物料档案!$A$4:$P$1203,4,0),"※编码不在物料档案里"))</f>
        <v/>
      </c>
      <c r="G956" s="24">
        <f>IF($D956="","",IFERROR(VLOOKUP($D956,物料档案!$A$4:$P$1203,5,0),"※编码不在物料档案里"))</f>
        <v/>
      </c>
      <c r="H956" s="24">
        <f>IF($D956="","",IFERROR(VLOOKUP($D956,物料档案!$A$4:$P$1203,2,0),"※编码不在物料档案里"))</f>
        <v/>
      </c>
      <c r="I956" s="24">
        <f>IF($D956="","",IFERROR(VLOOKUP($D956,物料档案!$A$4:$P$1203,6,0),"※编码不在物料档案里"))</f>
        <v/>
      </c>
      <c r="J956" s="23" t="n"/>
      <c r="K956" s="17" t="n"/>
      <c r="L956" s="17" t="n"/>
      <c r="M956" s="17" t="n"/>
      <c r="N956" s="17" t="n"/>
      <c r="O956" s="26">
        <f>IF($D956="","",IFERROR(VLOOKUP($D956,物料档案!$A$4:$P$1203,10,0),0))</f>
        <v/>
      </c>
      <c r="P956" s="32" t="n"/>
      <c r="Q956" s="26">
        <f>IF($D956="","",IF($K956&lt;&gt;"对外销售",0,ROUND(N($J956)*IF($P956="",N($O956),N($P956)),0)))</f>
        <v/>
      </c>
      <c r="R956" s="26">
        <f>IF($D956="","",IFERROR(VLOOKUP($D956,库存台账!$A$5:$Y$1204,11,0),0))</f>
        <v/>
      </c>
      <c r="S956" s="26">
        <f>IF($D956="","",ROUND(N($J956)*N($R956),0))</f>
        <v/>
      </c>
      <c r="T956" s="26">
        <f>IF($D956="","",IF($K956&lt;&gt;"对外销售","",ROUND($Q956-$S956,0)))</f>
        <v/>
      </c>
      <c r="U956" s="17" t="n"/>
      <c r="V956" s="17" t="n"/>
      <c r="W956" s="24">
        <f>IF($D956="","",IF($E956="※编码不在物料档案里","※物料编码不在档案里",IF(N($J956)&lt;=0,"※出库数量要大于 0",IF($K956="","※没填去向类型",IF($L956="","※没填去向矿区",IF(AND($C956&lt;&gt;"",$C956&lt;=结账锁),"※日期早于已结账截止日，不能再录",IF(AND($K956="自用消耗",COUNTIF({"一矿区";"二矿区"},$L956)=0),"※自用消耗的去向只能是一矿区或二矿区",IF(AND($K956="对外销售",COUNTIF({"三矿区";"六矿区"},$L956)=0),"※对外销售的去向只能是三矿区或六矿区",IF(AND($K956="对外销售",ROUND($Q956,0)=0),"※外销却没有售价，请填实际售价",IF(AND($K956="对外销售",$T956&lt;&gt;"",$T956&lt;0),"※这一笔外销是亏的，请核对售价",IF(IFERROR(VLOOKUP($D956,库存台账!$A$5:$Y$1204,24,0),0)&lt;-0.001,"※这个物料账面已经变成负数了，查一下是不是漏记入库","")))))))))))</f>
        <v/>
      </c>
    </row>
    <row r="957">
      <c r="A957" s="24">
        <f>IF($D957="","",COUNTA($D$4:$D957))</f>
        <v/>
      </c>
      <c r="B957" s="17" t="n"/>
      <c r="C957" s="30" t="n"/>
      <c r="D957" s="17" t="n"/>
      <c r="E957" s="24">
        <f>IF($D957="","",IFERROR(VLOOKUP($D957,物料档案!$A$4:$P$1203,3,0),"※编码不在物料档案里"))</f>
        <v/>
      </c>
      <c r="F957" s="24">
        <f>IF($D957="","",IFERROR(VLOOKUP($D957,物料档案!$A$4:$P$1203,4,0),"※编码不在物料档案里"))</f>
        <v/>
      </c>
      <c r="G957" s="24">
        <f>IF($D957="","",IFERROR(VLOOKUP($D957,物料档案!$A$4:$P$1203,5,0),"※编码不在物料档案里"))</f>
        <v/>
      </c>
      <c r="H957" s="24">
        <f>IF($D957="","",IFERROR(VLOOKUP($D957,物料档案!$A$4:$P$1203,2,0),"※编码不在物料档案里"))</f>
        <v/>
      </c>
      <c r="I957" s="24">
        <f>IF($D957="","",IFERROR(VLOOKUP($D957,物料档案!$A$4:$P$1203,6,0),"※编码不在物料档案里"))</f>
        <v/>
      </c>
      <c r="J957" s="23" t="n"/>
      <c r="K957" s="17" t="n"/>
      <c r="L957" s="17" t="n"/>
      <c r="M957" s="17" t="n"/>
      <c r="N957" s="17" t="n"/>
      <c r="O957" s="26">
        <f>IF($D957="","",IFERROR(VLOOKUP($D957,物料档案!$A$4:$P$1203,10,0),0))</f>
        <v/>
      </c>
      <c r="P957" s="32" t="n"/>
      <c r="Q957" s="26">
        <f>IF($D957="","",IF($K957&lt;&gt;"对外销售",0,ROUND(N($J957)*IF($P957="",N($O957),N($P957)),0)))</f>
        <v/>
      </c>
      <c r="R957" s="26">
        <f>IF($D957="","",IFERROR(VLOOKUP($D957,库存台账!$A$5:$Y$1204,11,0),0))</f>
        <v/>
      </c>
      <c r="S957" s="26">
        <f>IF($D957="","",ROUND(N($J957)*N($R957),0))</f>
        <v/>
      </c>
      <c r="T957" s="26">
        <f>IF($D957="","",IF($K957&lt;&gt;"对外销售","",ROUND($Q957-$S957,0)))</f>
        <v/>
      </c>
      <c r="U957" s="17" t="n"/>
      <c r="V957" s="17" t="n"/>
      <c r="W957" s="24">
        <f>IF($D957="","",IF($E957="※编码不在物料档案里","※物料编码不在档案里",IF(N($J957)&lt;=0,"※出库数量要大于 0",IF($K957="","※没填去向类型",IF($L957="","※没填去向矿区",IF(AND($C957&lt;&gt;"",$C957&lt;=结账锁),"※日期早于已结账截止日，不能再录",IF(AND($K957="自用消耗",COUNTIF({"一矿区";"二矿区"},$L957)=0),"※自用消耗的去向只能是一矿区或二矿区",IF(AND($K957="对外销售",COUNTIF({"三矿区";"六矿区"},$L957)=0),"※对外销售的去向只能是三矿区或六矿区",IF(AND($K957="对外销售",ROUND($Q957,0)=0),"※外销却没有售价，请填实际售价",IF(AND($K957="对外销售",$T957&lt;&gt;"",$T957&lt;0),"※这一笔外销是亏的，请核对售价",IF(IFERROR(VLOOKUP($D957,库存台账!$A$5:$Y$1204,24,0),0)&lt;-0.001,"※这个物料账面已经变成负数了，查一下是不是漏记入库","")))))))))))</f>
        <v/>
      </c>
    </row>
    <row r="958">
      <c r="A958" s="24">
        <f>IF($D958="","",COUNTA($D$4:$D958))</f>
        <v/>
      </c>
      <c r="B958" s="17" t="n"/>
      <c r="C958" s="30" t="n"/>
      <c r="D958" s="17" t="n"/>
      <c r="E958" s="24">
        <f>IF($D958="","",IFERROR(VLOOKUP($D958,物料档案!$A$4:$P$1203,3,0),"※编码不在物料档案里"))</f>
        <v/>
      </c>
      <c r="F958" s="24">
        <f>IF($D958="","",IFERROR(VLOOKUP($D958,物料档案!$A$4:$P$1203,4,0),"※编码不在物料档案里"))</f>
        <v/>
      </c>
      <c r="G958" s="24">
        <f>IF($D958="","",IFERROR(VLOOKUP($D958,物料档案!$A$4:$P$1203,5,0),"※编码不在物料档案里"))</f>
        <v/>
      </c>
      <c r="H958" s="24">
        <f>IF($D958="","",IFERROR(VLOOKUP($D958,物料档案!$A$4:$P$1203,2,0),"※编码不在物料档案里"))</f>
        <v/>
      </c>
      <c r="I958" s="24">
        <f>IF($D958="","",IFERROR(VLOOKUP($D958,物料档案!$A$4:$P$1203,6,0),"※编码不在物料档案里"))</f>
        <v/>
      </c>
      <c r="J958" s="23" t="n"/>
      <c r="K958" s="17" t="n"/>
      <c r="L958" s="17" t="n"/>
      <c r="M958" s="17" t="n"/>
      <c r="N958" s="17" t="n"/>
      <c r="O958" s="26">
        <f>IF($D958="","",IFERROR(VLOOKUP($D958,物料档案!$A$4:$P$1203,10,0),0))</f>
        <v/>
      </c>
      <c r="P958" s="32" t="n"/>
      <c r="Q958" s="26">
        <f>IF($D958="","",IF($K958&lt;&gt;"对外销售",0,ROUND(N($J958)*IF($P958="",N($O958),N($P958)),0)))</f>
        <v/>
      </c>
      <c r="R958" s="26">
        <f>IF($D958="","",IFERROR(VLOOKUP($D958,库存台账!$A$5:$Y$1204,11,0),0))</f>
        <v/>
      </c>
      <c r="S958" s="26">
        <f>IF($D958="","",ROUND(N($J958)*N($R958),0))</f>
        <v/>
      </c>
      <c r="T958" s="26">
        <f>IF($D958="","",IF($K958&lt;&gt;"对外销售","",ROUND($Q958-$S958,0)))</f>
        <v/>
      </c>
      <c r="U958" s="17" t="n"/>
      <c r="V958" s="17" t="n"/>
      <c r="W958" s="24">
        <f>IF($D958="","",IF($E958="※编码不在物料档案里","※物料编码不在档案里",IF(N($J958)&lt;=0,"※出库数量要大于 0",IF($K958="","※没填去向类型",IF($L958="","※没填去向矿区",IF(AND($C958&lt;&gt;"",$C958&lt;=结账锁),"※日期早于已结账截止日，不能再录",IF(AND($K958="自用消耗",COUNTIF({"一矿区";"二矿区"},$L958)=0),"※自用消耗的去向只能是一矿区或二矿区",IF(AND($K958="对外销售",COUNTIF({"三矿区";"六矿区"},$L958)=0),"※对外销售的去向只能是三矿区或六矿区",IF(AND($K958="对外销售",ROUND($Q958,0)=0),"※外销却没有售价，请填实际售价",IF(AND($K958="对外销售",$T958&lt;&gt;"",$T958&lt;0),"※这一笔外销是亏的，请核对售价",IF(IFERROR(VLOOKUP($D958,库存台账!$A$5:$Y$1204,24,0),0)&lt;-0.001,"※这个物料账面已经变成负数了，查一下是不是漏记入库","")))))))))))</f>
        <v/>
      </c>
    </row>
    <row r="959">
      <c r="A959" s="24">
        <f>IF($D959="","",COUNTA($D$4:$D959))</f>
        <v/>
      </c>
      <c r="B959" s="17" t="n"/>
      <c r="C959" s="30" t="n"/>
      <c r="D959" s="17" t="n"/>
      <c r="E959" s="24">
        <f>IF($D959="","",IFERROR(VLOOKUP($D959,物料档案!$A$4:$P$1203,3,0),"※编码不在物料档案里"))</f>
        <v/>
      </c>
      <c r="F959" s="24">
        <f>IF($D959="","",IFERROR(VLOOKUP($D959,物料档案!$A$4:$P$1203,4,0),"※编码不在物料档案里"))</f>
        <v/>
      </c>
      <c r="G959" s="24">
        <f>IF($D959="","",IFERROR(VLOOKUP($D959,物料档案!$A$4:$P$1203,5,0),"※编码不在物料档案里"))</f>
        <v/>
      </c>
      <c r="H959" s="24">
        <f>IF($D959="","",IFERROR(VLOOKUP($D959,物料档案!$A$4:$P$1203,2,0),"※编码不在物料档案里"))</f>
        <v/>
      </c>
      <c r="I959" s="24">
        <f>IF($D959="","",IFERROR(VLOOKUP($D959,物料档案!$A$4:$P$1203,6,0),"※编码不在物料档案里"))</f>
        <v/>
      </c>
      <c r="J959" s="23" t="n"/>
      <c r="K959" s="17" t="n"/>
      <c r="L959" s="17" t="n"/>
      <c r="M959" s="17" t="n"/>
      <c r="N959" s="17" t="n"/>
      <c r="O959" s="26">
        <f>IF($D959="","",IFERROR(VLOOKUP($D959,物料档案!$A$4:$P$1203,10,0),0))</f>
        <v/>
      </c>
      <c r="P959" s="32" t="n"/>
      <c r="Q959" s="26">
        <f>IF($D959="","",IF($K959&lt;&gt;"对外销售",0,ROUND(N($J959)*IF($P959="",N($O959),N($P959)),0)))</f>
        <v/>
      </c>
      <c r="R959" s="26">
        <f>IF($D959="","",IFERROR(VLOOKUP($D959,库存台账!$A$5:$Y$1204,11,0),0))</f>
        <v/>
      </c>
      <c r="S959" s="26">
        <f>IF($D959="","",ROUND(N($J959)*N($R959),0))</f>
        <v/>
      </c>
      <c r="T959" s="26">
        <f>IF($D959="","",IF($K959&lt;&gt;"对外销售","",ROUND($Q959-$S959,0)))</f>
        <v/>
      </c>
      <c r="U959" s="17" t="n"/>
      <c r="V959" s="17" t="n"/>
      <c r="W959" s="24">
        <f>IF($D959="","",IF($E959="※编码不在物料档案里","※物料编码不在档案里",IF(N($J959)&lt;=0,"※出库数量要大于 0",IF($K959="","※没填去向类型",IF($L959="","※没填去向矿区",IF(AND($C959&lt;&gt;"",$C959&lt;=结账锁),"※日期早于已结账截止日，不能再录",IF(AND($K959="自用消耗",COUNTIF({"一矿区";"二矿区"},$L959)=0),"※自用消耗的去向只能是一矿区或二矿区",IF(AND($K959="对外销售",COUNTIF({"三矿区";"六矿区"},$L959)=0),"※对外销售的去向只能是三矿区或六矿区",IF(AND($K959="对外销售",ROUND($Q959,0)=0),"※外销却没有售价，请填实际售价",IF(AND($K959="对外销售",$T959&lt;&gt;"",$T959&lt;0),"※这一笔外销是亏的，请核对售价",IF(IFERROR(VLOOKUP($D959,库存台账!$A$5:$Y$1204,24,0),0)&lt;-0.001,"※这个物料账面已经变成负数了，查一下是不是漏记入库","")))))))))))</f>
        <v/>
      </c>
    </row>
    <row r="960">
      <c r="A960" s="24">
        <f>IF($D960="","",COUNTA($D$4:$D960))</f>
        <v/>
      </c>
      <c r="B960" s="17" t="n"/>
      <c r="C960" s="30" t="n"/>
      <c r="D960" s="17" t="n"/>
      <c r="E960" s="24">
        <f>IF($D960="","",IFERROR(VLOOKUP($D960,物料档案!$A$4:$P$1203,3,0),"※编码不在物料档案里"))</f>
        <v/>
      </c>
      <c r="F960" s="24">
        <f>IF($D960="","",IFERROR(VLOOKUP($D960,物料档案!$A$4:$P$1203,4,0),"※编码不在物料档案里"))</f>
        <v/>
      </c>
      <c r="G960" s="24">
        <f>IF($D960="","",IFERROR(VLOOKUP($D960,物料档案!$A$4:$P$1203,5,0),"※编码不在物料档案里"))</f>
        <v/>
      </c>
      <c r="H960" s="24">
        <f>IF($D960="","",IFERROR(VLOOKUP($D960,物料档案!$A$4:$P$1203,2,0),"※编码不在物料档案里"))</f>
        <v/>
      </c>
      <c r="I960" s="24">
        <f>IF($D960="","",IFERROR(VLOOKUP($D960,物料档案!$A$4:$P$1203,6,0),"※编码不在物料档案里"))</f>
        <v/>
      </c>
      <c r="J960" s="23" t="n"/>
      <c r="K960" s="17" t="n"/>
      <c r="L960" s="17" t="n"/>
      <c r="M960" s="17" t="n"/>
      <c r="N960" s="17" t="n"/>
      <c r="O960" s="26">
        <f>IF($D960="","",IFERROR(VLOOKUP($D960,物料档案!$A$4:$P$1203,10,0),0))</f>
        <v/>
      </c>
      <c r="P960" s="32" t="n"/>
      <c r="Q960" s="26">
        <f>IF($D960="","",IF($K960&lt;&gt;"对外销售",0,ROUND(N($J960)*IF($P960="",N($O960),N($P960)),0)))</f>
        <v/>
      </c>
      <c r="R960" s="26">
        <f>IF($D960="","",IFERROR(VLOOKUP($D960,库存台账!$A$5:$Y$1204,11,0),0))</f>
        <v/>
      </c>
      <c r="S960" s="26">
        <f>IF($D960="","",ROUND(N($J960)*N($R960),0))</f>
        <v/>
      </c>
      <c r="T960" s="26">
        <f>IF($D960="","",IF($K960&lt;&gt;"对外销售","",ROUND($Q960-$S960,0)))</f>
        <v/>
      </c>
      <c r="U960" s="17" t="n"/>
      <c r="V960" s="17" t="n"/>
      <c r="W960" s="24">
        <f>IF($D960="","",IF($E960="※编码不在物料档案里","※物料编码不在档案里",IF(N($J960)&lt;=0,"※出库数量要大于 0",IF($K960="","※没填去向类型",IF($L960="","※没填去向矿区",IF(AND($C960&lt;&gt;"",$C960&lt;=结账锁),"※日期早于已结账截止日，不能再录",IF(AND($K960="自用消耗",COUNTIF({"一矿区";"二矿区"},$L960)=0),"※自用消耗的去向只能是一矿区或二矿区",IF(AND($K960="对外销售",COUNTIF({"三矿区";"六矿区"},$L960)=0),"※对外销售的去向只能是三矿区或六矿区",IF(AND($K960="对外销售",ROUND($Q960,0)=0),"※外销却没有售价，请填实际售价",IF(AND($K960="对外销售",$T960&lt;&gt;"",$T960&lt;0),"※这一笔外销是亏的，请核对售价",IF(IFERROR(VLOOKUP($D960,库存台账!$A$5:$Y$1204,24,0),0)&lt;-0.001,"※这个物料账面已经变成负数了，查一下是不是漏记入库","")))))))))))</f>
        <v/>
      </c>
    </row>
    <row r="961">
      <c r="A961" s="24">
        <f>IF($D961="","",COUNTA($D$4:$D961))</f>
        <v/>
      </c>
      <c r="B961" s="17" t="n"/>
      <c r="C961" s="30" t="n"/>
      <c r="D961" s="17" t="n"/>
      <c r="E961" s="24">
        <f>IF($D961="","",IFERROR(VLOOKUP($D961,物料档案!$A$4:$P$1203,3,0),"※编码不在物料档案里"))</f>
        <v/>
      </c>
      <c r="F961" s="24">
        <f>IF($D961="","",IFERROR(VLOOKUP($D961,物料档案!$A$4:$P$1203,4,0),"※编码不在物料档案里"))</f>
        <v/>
      </c>
      <c r="G961" s="24">
        <f>IF($D961="","",IFERROR(VLOOKUP($D961,物料档案!$A$4:$P$1203,5,0),"※编码不在物料档案里"))</f>
        <v/>
      </c>
      <c r="H961" s="24">
        <f>IF($D961="","",IFERROR(VLOOKUP($D961,物料档案!$A$4:$P$1203,2,0),"※编码不在物料档案里"))</f>
        <v/>
      </c>
      <c r="I961" s="24">
        <f>IF($D961="","",IFERROR(VLOOKUP($D961,物料档案!$A$4:$P$1203,6,0),"※编码不在物料档案里"))</f>
        <v/>
      </c>
      <c r="J961" s="23" t="n"/>
      <c r="K961" s="17" t="n"/>
      <c r="L961" s="17" t="n"/>
      <c r="M961" s="17" t="n"/>
      <c r="N961" s="17" t="n"/>
      <c r="O961" s="26">
        <f>IF($D961="","",IFERROR(VLOOKUP($D961,物料档案!$A$4:$P$1203,10,0),0))</f>
        <v/>
      </c>
      <c r="P961" s="32" t="n"/>
      <c r="Q961" s="26">
        <f>IF($D961="","",IF($K961&lt;&gt;"对外销售",0,ROUND(N($J961)*IF($P961="",N($O961),N($P961)),0)))</f>
        <v/>
      </c>
      <c r="R961" s="26">
        <f>IF($D961="","",IFERROR(VLOOKUP($D961,库存台账!$A$5:$Y$1204,11,0),0))</f>
        <v/>
      </c>
      <c r="S961" s="26">
        <f>IF($D961="","",ROUND(N($J961)*N($R961),0))</f>
        <v/>
      </c>
      <c r="T961" s="26">
        <f>IF($D961="","",IF($K961&lt;&gt;"对外销售","",ROUND($Q961-$S961,0)))</f>
        <v/>
      </c>
      <c r="U961" s="17" t="n"/>
      <c r="V961" s="17" t="n"/>
      <c r="W961" s="24">
        <f>IF($D961="","",IF($E961="※编码不在物料档案里","※物料编码不在档案里",IF(N($J961)&lt;=0,"※出库数量要大于 0",IF($K961="","※没填去向类型",IF($L961="","※没填去向矿区",IF(AND($C961&lt;&gt;"",$C961&lt;=结账锁),"※日期早于已结账截止日，不能再录",IF(AND($K961="自用消耗",COUNTIF({"一矿区";"二矿区"},$L961)=0),"※自用消耗的去向只能是一矿区或二矿区",IF(AND($K961="对外销售",COUNTIF({"三矿区";"六矿区"},$L961)=0),"※对外销售的去向只能是三矿区或六矿区",IF(AND($K961="对外销售",ROUND($Q961,0)=0),"※外销却没有售价，请填实际售价",IF(AND($K961="对外销售",$T961&lt;&gt;"",$T961&lt;0),"※这一笔外销是亏的，请核对售价",IF(IFERROR(VLOOKUP($D961,库存台账!$A$5:$Y$1204,24,0),0)&lt;-0.001,"※这个物料账面已经变成负数了，查一下是不是漏记入库","")))))))))))</f>
        <v/>
      </c>
    </row>
    <row r="962">
      <c r="A962" s="24">
        <f>IF($D962="","",COUNTA($D$4:$D962))</f>
        <v/>
      </c>
      <c r="B962" s="17" t="n"/>
      <c r="C962" s="30" t="n"/>
      <c r="D962" s="17" t="n"/>
      <c r="E962" s="24">
        <f>IF($D962="","",IFERROR(VLOOKUP($D962,物料档案!$A$4:$P$1203,3,0),"※编码不在物料档案里"))</f>
        <v/>
      </c>
      <c r="F962" s="24">
        <f>IF($D962="","",IFERROR(VLOOKUP($D962,物料档案!$A$4:$P$1203,4,0),"※编码不在物料档案里"))</f>
        <v/>
      </c>
      <c r="G962" s="24">
        <f>IF($D962="","",IFERROR(VLOOKUP($D962,物料档案!$A$4:$P$1203,5,0),"※编码不在物料档案里"))</f>
        <v/>
      </c>
      <c r="H962" s="24">
        <f>IF($D962="","",IFERROR(VLOOKUP($D962,物料档案!$A$4:$P$1203,2,0),"※编码不在物料档案里"))</f>
        <v/>
      </c>
      <c r="I962" s="24">
        <f>IF($D962="","",IFERROR(VLOOKUP($D962,物料档案!$A$4:$P$1203,6,0),"※编码不在物料档案里"))</f>
        <v/>
      </c>
      <c r="J962" s="23" t="n"/>
      <c r="K962" s="17" t="n"/>
      <c r="L962" s="17" t="n"/>
      <c r="M962" s="17" t="n"/>
      <c r="N962" s="17" t="n"/>
      <c r="O962" s="26">
        <f>IF($D962="","",IFERROR(VLOOKUP($D962,物料档案!$A$4:$P$1203,10,0),0))</f>
        <v/>
      </c>
      <c r="P962" s="32" t="n"/>
      <c r="Q962" s="26">
        <f>IF($D962="","",IF($K962&lt;&gt;"对外销售",0,ROUND(N($J962)*IF($P962="",N($O962),N($P962)),0)))</f>
        <v/>
      </c>
      <c r="R962" s="26">
        <f>IF($D962="","",IFERROR(VLOOKUP($D962,库存台账!$A$5:$Y$1204,11,0),0))</f>
        <v/>
      </c>
      <c r="S962" s="26">
        <f>IF($D962="","",ROUND(N($J962)*N($R962),0))</f>
        <v/>
      </c>
      <c r="T962" s="26">
        <f>IF($D962="","",IF($K962&lt;&gt;"对外销售","",ROUND($Q962-$S962,0)))</f>
        <v/>
      </c>
      <c r="U962" s="17" t="n"/>
      <c r="V962" s="17" t="n"/>
      <c r="W962" s="24">
        <f>IF($D962="","",IF($E962="※编码不在物料档案里","※物料编码不在档案里",IF(N($J962)&lt;=0,"※出库数量要大于 0",IF($K962="","※没填去向类型",IF($L962="","※没填去向矿区",IF(AND($C962&lt;&gt;"",$C962&lt;=结账锁),"※日期早于已结账截止日，不能再录",IF(AND($K962="自用消耗",COUNTIF({"一矿区";"二矿区"},$L962)=0),"※自用消耗的去向只能是一矿区或二矿区",IF(AND($K962="对外销售",COUNTIF({"三矿区";"六矿区"},$L962)=0),"※对外销售的去向只能是三矿区或六矿区",IF(AND($K962="对外销售",ROUND($Q962,0)=0),"※外销却没有售价，请填实际售价",IF(AND($K962="对外销售",$T962&lt;&gt;"",$T962&lt;0),"※这一笔外销是亏的，请核对售价",IF(IFERROR(VLOOKUP($D962,库存台账!$A$5:$Y$1204,24,0),0)&lt;-0.001,"※这个物料账面已经变成负数了，查一下是不是漏记入库","")))))))))))</f>
        <v/>
      </c>
    </row>
    <row r="963">
      <c r="A963" s="24">
        <f>IF($D963="","",COUNTA($D$4:$D963))</f>
        <v/>
      </c>
      <c r="B963" s="17" t="n"/>
      <c r="C963" s="30" t="n"/>
      <c r="D963" s="17" t="n"/>
      <c r="E963" s="24">
        <f>IF($D963="","",IFERROR(VLOOKUP($D963,物料档案!$A$4:$P$1203,3,0),"※编码不在物料档案里"))</f>
        <v/>
      </c>
      <c r="F963" s="24">
        <f>IF($D963="","",IFERROR(VLOOKUP($D963,物料档案!$A$4:$P$1203,4,0),"※编码不在物料档案里"))</f>
        <v/>
      </c>
      <c r="G963" s="24">
        <f>IF($D963="","",IFERROR(VLOOKUP($D963,物料档案!$A$4:$P$1203,5,0),"※编码不在物料档案里"))</f>
        <v/>
      </c>
      <c r="H963" s="24">
        <f>IF($D963="","",IFERROR(VLOOKUP($D963,物料档案!$A$4:$P$1203,2,0),"※编码不在物料档案里"))</f>
        <v/>
      </c>
      <c r="I963" s="24">
        <f>IF($D963="","",IFERROR(VLOOKUP($D963,物料档案!$A$4:$P$1203,6,0),"※编码不在物料档案里"))</f>
        <v/>
      </c>
      <c r="J963" s="23" t="n"/>
      <c r="K963" s="17" t="n"/>
      <c r="L963" s="17" t="n"/>
      <c r="M963" s="17" t="n"/>
      <c r="N963" s="17" t="n"/>
      <c r="O963" s="26">
        <f>IF($D963="","",IFERROR(VLOOKUP($D963,物料档案!$A$4:$P$1203,10,0),0))</f>
        <v/>
      </c>
      <c r="P963" s="32" t="n"/>
      <c r="Q963" s="26">
        <f>IF($D963="","",IF($K963&lt;&gt;"对外销售",0,ROUND(N($J963)*IF($P963="",N($O963),N($P963)),0)))</f>
        <v/>
      </c>
      <c r="R963" s="26">
        <f>IF($D963="","",IFERROR(VLOOKUP($D963,库存台账!$A$5:$Y$1204,11,0),0))</f>
        <v/>
      </c>
      <c r="S963" s="26">
        <f>IF($D963="","",ROUND(N($J963)*N($R963),0))</f>
        <v/>
      </c>
      <c r="T963" s="26">
        <f>IF($D963="","",IF($K963&lt;&gt;"对外销售","",ROUND($Q963-$S963,0)))</f>
        <v/>
      </c>
      <c r="U963" s="17" t="n"/>
      <c r="V963" s="17" t="n"/>
      <c r="W963" s="24">
        <f>IF($D963="","",IF($E963="※编码不在物料档案里","※物料编码不在档案里",IF(N($J963)&lt;=0,"※出库数量要大于 0",IF($K963="","※没填去向类型",IF($L963="","※没填去向矿区",IF(AND($C963&lt;&gt;"",$C963&lt;=结账锁),"※日期早于已结账截止日，不能再录",IF(AND($K963="自用消耗",COUNTIF({"一矿区";"二矿区"},$L963)=0),"※自用消耗的去向只能是一矿区或二矿区",IF(AND($K963="对外销售",COUNTIF({"三矿区";"六矿区"},$L963)=0),"※对外销售的去向只能是三矿区或六矿区",IF(AND($K963="对外销售",ROUND($Q963,0)=0),"※外销却没有售价，请填实际售价",IF(AND($K963="对外销售",$T963&lt;&gt;"",$T963&lt;0),"※这一笔外销是亏的，请核对售价",IF(IFERROR(VLOOKUP($D963,库存台账!$A$5:$Y$1204,24,0),0)&lt;-0.001,"※这个物料账面已经变成负数了，查一下是不是漏记入库","")))))))))))</f>
        <v/>
      </c>
    </row>
    <row r="964">
      <c r="A964" s="24">
        <f>IF($D964="","",COUNTA($D$4:$D964))</f>
        <v/>
      </c>
      <c r="B964" s="17" t="n"/>
      <c r="C964" s="30" t="n"/>
      <c r="D964" s="17" t="n"/>
      <c r="E964" s="24">
        <f>IF($D964="","",IFERROR(VLOOKUP($D964,物料档案!$A$4:$P$1203,3,0),"※编码不在物料档案里"))</f>
        <v/>
      </c>
      <c r="F964" s="24">
        <f>IF($D964="","",IFERROR(VLOOKUP($D964,物料档案!$A$4:$P$1203,4,0),"※编码不在物料档案里"))</f>
        <v/>
      </c>
      <c r="G964" s="24">
        <f>IF($D964="","",IFERROR(VLOOKUP($D964,物料档案!$A$4:$P$1203,5,0),"※编码不在物料档案里"))</f>
        <v/>
      </c>
      <c r="H964" s="24">
        <f>IF($D964="","",IFERROR(VLOOKUP($D964,物料档案!$A$4:$P$1203,2,0),"※编码不在物料档案里"))</f>
        <v/>
      </c>
      <c r="I964" s="24">
        <f>IF($D964="","",IFERROR(VLOOKUP($D964,物料档案!$A$4:$P$1203,6,0),"※编码不在物料档案里"))</f>
        <v/>
      </c>
      <c r="J964" s="23" t="n"/>
      <c r="K964" s="17" t="n"/>
      <c r="L964" s="17" t="n"/>
      <c r="M964" s="17" t="n"/>
      <c r="N964" s="17" t="n"/>
      <c r="O964" s="26">
        <f>IF($D964="","",IFERROR(VLOOKUP($D964,物料档案!$A$4:$P$1203,10,0),0))</f>
        <v/>
      </c>
      <c r="P964" s="32" t="n"/>
      <c r="Q964" s="26">
        <f>IF($D964="","",IF($K964&lt;&gt;"对外销售",0,ROUND(N($J964)*IF($P964="",N($O964),N($P964)),0)))</f>
        <v/>
      </c>
      <c r="R964" s="26">
        <f>IF($D964="","",IFERROR(VLOOKUP($D964,库存台账!$A$5:$Y$1204,11,0),0))</f>
        <v/>
      </c>
      <c r="S964" s="26">
        <f>IF($D964="","",ROUND(N($J964)*N($R964),0))</f>
        <v/>
      </c>
      <c r="T964" s="26">
        <f>IF($D964="","",IF($K964&lt;&gt;"对外销售","",ROUND($Q964-$S964,0)))</f>
        <v/>
      </c>
      <c r="U964" s="17" t="n"/>
      <c r="V964" s="17" t="n"/>
      <c r="W964" s="24">
        <f>IF($D964="","",IF($E964="※编码不在物料档案里","※物料编码不在档案里",IF(N($J964)&lt;=0,"※出库数量要大于 0",IF($K964="","※没填去向类型",IF($L964="","※没填去向矿区",IF(AND($C964&lt;&gt;"",$C964&lt;=结账锁),"※日期早于已结账截止日，不能再录",IF(AND($K964="自用消耗",COUNTIF({"一矿区";"二矿区"},$L964)=0),"※自用消耗的去向只能是一矿区或二矿区",IF(AND($K964="对外销售",COUNTIF({"三矿区";"六矿区"},$L964)=0),"※对外销售的去向只能是三矿区或六矿区",IF(AND($K964="对外销售",ROUND($Q964,0)=0),"※外销却没有售价，请填实际售价",IF(AND($K964="对外销售",$T964&lt;&gt;"",$T964&lt;0),"※这一笔外销是亏的，请核对售价",IF(IFERROR(VLOOKUP($D964,库存台账!$A$5:$Y$1204,24,0),0)&lt;-0.001,"※这个物料账面已经变成负数了，查一下是不是漏记入库","")))))))))))</f>
        <v/>
      </c>
    </row>
    <row r="965">
      <c r="A965" s="24">
        <f>IF($D965="","",COUNTA($D$4:$D965))</f>
        <v/>
      </c>
      <c r="B965" s="17" t="n"/>
      <c r="C965" s="30" t="n"/>
      <c r="D965" s="17" t="n"/>
      <c r="E965" s="24">
        <f>IF($D965="","",IFERROR(VLOOKUP($D965,物料档案!$A$4:$P$1203,3,0),"※编码不在物料档案里"))</f>
        <v/>
      </c>
      <c r="F965" s="24">
        <f>IF($D965="","",IFERROR(VLOOKUP($D965,物料档案!$A$4:$P$1203,4,0),"※编码不在物料档案里"))</f>
        <v/>
      </c>
      <c r="G965" s="24">
        <f>IF($D965="","",IFERROR(VLOOKUP($D965,物料档案!$A$4:$P$1203,5,0),"※编码不在物料档案里"))</f>
        <v/>
      </c>
      <c r="H965" s="24">
        <f>IF($D965="","",IFERROR(VLOOKUP($D965,物料档案!$A$4:$P$1203,2,0),"※编码不在物料档案里"))</f>
        <v/>
      </c>
      <c r="I965" s="24">
        <f>IF($D965="","",IFERROR(VLOOKUP($D965,物料档案!$A$4:$P$1203,6,0),"※编码不在物料档案里"))</f>
        <v/>
      </c>
      <c r="J965" s="23" t="n"/>
      <c r="K965" s="17" t="n"/>
      <c r="L965" s="17" t="n"/>
      <c r="M965" s="17" t="n"/>
      <c r="N965" s="17" t="n"/>
      <c r="O965" s="26">
        <f>IF($D965="","",IFERROR(VLOOKUP($D965,物料档案!$A$4:$P$1203,10,0),0))</f>
        <v/>
      </c>
      <c r="P965" s="32" t="n"/>
      <c r="Q965" s="26">
        <f>IF($D965="","",IF($K965&lt;&gt;"对外销售",0,ROUND(N($J965)*IF($P965="",N($O965),N($P965)),0)))</f>
        <v/>
      </c>
      <c r="R965" s="26">
        <f>IF($D965="","",IFERROR(VLOOKUP($D965,库存台账!$A$5:$Y$1204,11,0),0))</f>
        <v/>
      </c>
      <c r="S965" s="26">
        <f>IF($D965="","",ROUND(N($J965)*N($R965),0))</f>
        <v/>
      </c>
      <c r="T965" s="26">
        <f>IF($D965="","",IF($K965&lt;&gt;"对外销售","",ROUND($Q965-$S965,0)))</f>
        <v/>
      </c>
      <c r="U965" s="17" t="n"/>
      <c r="V965" s="17" t="n"/>
      <c r="W965" s="24">
        <f>IF($D965="","",IF($E965="※编码不在物料档案里","※物料编码不在档案里",IF(N($J965)&lt;=0,"※出库数量要大于 0",IF($K965="","※没填去向类型",IF($L965="","※没填去向矿区",IF(AND($C965&lt;&gt;"",$C965&lt;=结账锁),"※日期早于已结账截止日，不能再录",IF(AND($K965="自用消耗",COUNTIF({"一矿区";"二矿区"},$L965)=0),"※自用消耗的去向只能是一矿区或二矿区",IF(AND($K965="对外销售",COUNTIF({"三矿区";"六矿区"},$L965)=0),"※对外销售的去向只能是三矿区或六矿区",IF(AND($K965="对外销售",ROUND($Q965,0)=0),"※外销却没有售价，请填实际售价",IF(AND($K965="对外销售",$T965&lt;&gt;"",$T965&lt;0),"※这一笔外销是亏的，请核对售价",IF(IFERROR(VLOOKUP($D965,库存台账!$A$5:$Y$1204,24,0),0)&lt;-0.001,"※这个物料账面已经变成负数了，查一下是不是漏记入库","")))))))))))</f>
        <v/>
      </c>
    </row>
    <row r="966">
      <c r="A966" s="24">
        <f>IF($D966="","",COUNTA($D$4:$D966))</f>
        <v/>
      </c>
      <c r="B966" s="17" t="n"/>
      <c r="C966" s="30" t="n"/>
      <c r="D966" s="17" t="n"/>
      <c r="E966" s="24">
        <f>IF($D966="","",IFERROR(VLOOKUP($D966,物料档案!$A$4:$P$1203,3,0),"※编码不在物料档案里"))</f>
        <v/>
      </c>
      <c r="F966" s="24">
        <f>IF($D966="","",IFERROR(VLOOKUP($D966,物料档案!$A$4:$P$1203,4,0),"※编码不在物料档案里"))</f>
        <v/>
      </c>
      <c r="G966" s="24">
        <f>IF($D966="","",IFERROR(VLOOKUP($D966,物料档案!$A$4:$P$1203,5,0),"※编码不在物料档案里"))</f>
        <v/>
      </c>
      <c r="H966" s="24">
        <f>IF($D966="","",IFERROR(VLOOKUP($D966,物料档案!$A$4:$P$1203,2,0),"※编码不在物料档案里"))</f>
        <v/>
      </c>
      <c r="I966" s="24">
        <f>IF($D966="","",IFERROR(VLOOKUP($D966,物料档案!$A$4:$P$1203,6,0),"※编码不在物料档案里"))</f>
        <v/>
      </c>
      <c r="J966" s="23" t="n"/>
      <c r="K966" s="17" t="n"/>
      <c r="L966" s="17" t="n"/>
      <c r="M966" s="17" t="n"/>
      <c r="N966" s="17" t="n"/>
      <c r="O966" s="26">
        <f>IF($D966="","",IFERROR(VLOOKUP($D966,物料档案!$A$4:$P$1203,10,0),0))</f>
        <v/>
      </c>
      <c r="P966" s="32" t="n"/>
      <c r="Q966" s="26">
        <f>IF($D966="","",IF($K966&lt;&gt;"对外销售",0,ROUND(N($J966)*IF($P966="",N($O966),N($P966)),0)))</f>
        <v/>
      </c>
      <c r="R966" s="26">
        <f>IF($D966="","",IFERROR(VLOOKUP($D966,库存台账!$A$5:$Y$1204,11,0),0))</f>
        <v/>
      </c>
      <c r="S966" s="26">
        <f>IF($D966="","",ROUND(N($J966)*N($R966),0))</f>
        <v/>
      </c>
      <c r="T966" s="26">
        <f>IF($D966="","",IF($K966&lt;&gt;"对外销售","",ROUND($Q966-$S966,0)))</f>
        <v/>
      </c>
      <c r="U966" s="17" t="n"/>
      <c r="V966" s="17" t="n"/>
      <c r="W966" s="24">
        <f>IF($D966="","",IF($E966="※编码不在物料档案里","※物料编码不在档案里",IF(N($J966)&lt;=0,"※出库数量要大于 0",IF($K966="","※没填去向类型",IF($L966="","※没填去向矿区",IF(AND($C966&lt;&gt;"",$C966&lt;=结账锁),"※日期早于已结账截止日，不能再录",IF(AND($K966="自用消耗",COUNTIF({"一矿区";"二矿区"},$L966)=0),"※自用消耗的去向只能是一矿区或二矿区",IF(AND($K966="对外销售",COUNTIF({"三矿区";"六矿区"},$L966)=0),"※对外销售的去向只能是三矿区或六矿区",IF(AND($K966="对外销售",ROUND($Q966,0)=0),"※外销却没有售价，请填实际售价",IF(AND($K966="对外销售",$T966&lt;&gt;"",$T966&lt;0),"※这一笔外销是亏的，请核对售价",IF(IFERROR(VLOOKUP($D966,库存台账!$A$5:$Y$1204,24,0),0)&lt;-0.001,"※这个物料账面已经变成负数了，查一下是不是漏记入库","")))))))))))</f>
        <v/>
      </c>
    </row>
    <row r="967">
      <c r="A967" s="24">
        <f>IF($D967="","",COUNTA($D$4:$D967))</f>
        <v/>
      </c>
      <c r="B967" s="17" t="n"/>
      <c r="C967" s="30" t="n"/>
      <c r="D967" s="17" t="n"/>
      <c r="E967" s="24">
        <f>IF($D967="","",IFERROR(VLOOKUP($D967,物料档案!$A$4:$P$1203,3,0),"※编码不在物料档案里"))</f>
        <v/>
      </c>
      <c r="F967" s="24">
        <f>IF($D967="","",IFERROR(VLOOKUP($D967,物料档案!$A$4:$P$1203,4,0),"※编码不在物料档案里"))</f>
        <v/>
      </c>
      <c r="G967" s="24">
        <f>IF($D967="","",IFERROR(VLOOKUP($D967,物料档案!$A$4:$P$1203,5,0),"※编码不在物料档案里"))</f>
        <v/>
      </c>
      <c r="H967" s="24">
        <f>IF($D967="","",IFERROR(VLOOKUP($D967,物料档案!$A$4:$P$1203,2,0),"※编码不在物料档案里"))</f>
        <v/>
      </c>
      <c r="I967" s="24">
        <f>IF($D967="","",IFERROR(VLOOKUP($D967,物料档案!$A$4:$P$1203,6,0),"※编码不在物料档案里"))</f>
        <v/>
      </c>
      <c r="J967" s="23" t="n"/>
      <c r="K967" s="17" t="n"/>
      <c r="L967" s="17" t="n"/>
      <c r="M967" s="17" t="n"/>
      <c r="N967" s="17" t="n"/>
      <c r="O967" s="26">
        <f>IF($D967="","",IFERROR(VLOOKUP($D967,物料档案!$A$4:$P$1203,10,0),0))</f>
        <v/>
      </c>
      <c r="P967" s="32" t="n"/>
      <c r="Q967" s="26">
        <f>IF($D967="","",IF($K967&lt;&gt;"对外销售",0,ROUND(N($J967)*IF($P967="",N($O967),N($P967)),0)))</f>
        <v/>
      </c>
      <c r="R967" s="26">
        <f>IF($D967="","",IFERROR(VLOOKUP($D967,库存台账!$A$5:$Y$1204,11,0),0))</f>
        <v/>
      </c>
      <c r="S967" s="26">
        <f>IF($D967="","",ROUND(N($J967)*N($R967),0))</f>
        <v/>
      </c>
      <c r="T967" s="26">
        <f>IF($D967="","",IF($K967&lt;&gt;"对外销售","",ROUND($Q967-$S967,0)))</f>
        <v/>
      </c>
      <c r="U967" s="17" t="n"/>
      <c r="V967" s="17" t="n"/>
      <c r="W967" s="24">
        <f>IF($D967="","",IF($E967="※编码不在物料档案里","※物料编码不在档案里",IF(N($J967)&lt;=0,"※出库数量要大于 0",IF($K967="","※没填去向类型",IF($L967="","※没填去向矿区",IF(AND($C967&lt;&gt;"",$C967&lt;=结账锁),"※日期早于已结账截止日，不能再录",IF(AND($K967="自用消耗",COUNTIF({"一矿区";"二矿区"},$L967)=0),"※自用消耗的去向只能是一矿区或二矿区",IF(AND($K967="对外销售",COUNTIF({"三矿区";"六矿区"},$L967)=0),"※对外销售的去向只能是三矿区或六矿区",IF(AND($K967="对外销售",ROUND($Q967,0)=0),"※外销却没有售价，请填实际售价",IF(AND($K967="对外销售",$T967&lt;&gt;"",$T967&lt;0),"※这一笔外销是亏的，请核对售价",IF(IFERROR(VLOOKUP($D967,库存台账!$A$5:$Y$1204,24,0),0)&lt;-0.001,"※这个物料账面已经变成负数了，查一下是不是漏记入库","")))))))))))</f>
        <v/>
      </c>
    </row>
    <row r="968">
      <c r="A968" s="24">
        <f>IF($D968="","",COUNTA($D$4:$D968))</f>
        <v/>
      </c>
      <c r="B968" s="17" t="n"/>
      <c r="C968" s="30" t="n"/>
      <c r="D968" s="17" t="n"/>
      <c r="E968" s="24">
        <f>IF($D968="","",IFERROR(VLOOKUP($D968,物料档案!$A$4:$P$1203,3,0),"※编码不在物料档案里"))</f>
        <v/>
      </c>
      <c r="F968" s="24">
        <f>IF($D968="","",IFERROR(VLOOKUP($D968,物料档案!$A$4:$P$1203,4,0),"※编码不在物料档案里"))</f>
        <v/>
      </c>
      <c r="G968" s="24">
        <f>IF($D968="","",IFERROR(VLOOKUP($D968,物料档案!$A$4:$P$1203,5,0),"※编码不在物料档案里"))</f>
        <v/>
      </c>
      <c r="H968" s="24">
        <f>IF($D968="","",IFERROR(VLOOKUP($D968,物料档案!$A$4:$P$1203,2,0),"※编码不在物料档案里"))</f>
        <v/>
      </c>
      <c r="I968" s="24">
        <f>IF($D968="","",IFERROR(VLOOKUP($D968,物料档案!$A$4:$P$1203,6,0),"※编码不在物料档案里"))</f>
        <v/>
      </c>
      <c r="J968" s="23" t="n"/>
      <c r="K968" s="17" t="n"/>
      <c r="L968" s="17" t="n"/>
      <c r="M968" s="17" t="n"/>
      <c r="N968" s="17" t="n"/>
      <c r="O968" s="26">
        <f>IF($D968="","",IFERROR(VLOOKUP($D968,物料档案!$A$4:$P$1203,10,0),0))</f>
        <v/>
      </c>
      <c r="P968" s="32" t="n"/>
      <c r="Q968" s="26">
        <f>IF($D968="","",IF($K968&lt;&gt;"对外销售",0,ROUND(N($J968)*IF($P968="",N($O968),N($P968)),0)))</f>
        <v/>
      </c>
      <c r="R968" s="26">
        <f>IF($D968="","",IFERROR(VLOOKUP($D968,库存台账!$A$5:$Y$1204,11,0),0))</f>
        <v/>
      </c>
      <c r="S968" s="26">
        <f>IF($D968="","",ROUND(N($J968)*N($R968),0))</f>
        <v/>
      </c>
      <c r="T968" s="26">
        <f>IF($D968="","",IF($K968&lt;&gt;"对外销售","",ROUND($Q968-$S968,0)))</f>
        <v/>
      </c>
      <c r="U968" s="17" t="n"/>
      <c r="V968" s="17" t="n"/>
      <c r="W968" s="24">
        <f>IF($D968="","",IF($E968="※编码不在物料档案里","※物料编码不在档案里",IF(N($J968)&lt;=0,"※出库数量要大于 0",IF($K968="","※没填去向类型",IF($L968="","※没填去向矿区",IF(AND($C968&lt;&gt;"",$C968&lt;=结账锁),"※日期早于已结账截止日，不能再录",IF(AND($K968="自用消耗",COUNTIF({"一矿区";"二矿区"},$L968)=0),"※自用消耗的去向只能是一矿区或二矿区",IF(AND($K968="对外销售",COUNTIF({"三矿区";"六矿区"},$L968)=0),"※对外销售的去向只能是三矿区或六矿区",IF(AND($K968="对外销售",ROUND($Q968,0)=0),"※外销却没有售价，请填实际售价",IF(AND($K968="对外销售",$T968&lt;&gt;"",$T968&lt;0),"※这一笔外销是亏的，请核对售价",IF(IFERROR(VLOOKUP($D968,库存台账!$A$5:$Y$1204,24,0),0)&lt;-0.001,"※这个物料账面已经变成负数了，查一下是不是漏记入库","")))))))))))</f>
        <v/>
      </c>
    </row>
    <row r="969">
      <c r="A969" s="24">
        <f>IF($D969="","",COUNTA($D$4:$D969))</f>
        <v/>
      </c>
      <c r="B969" s="17" t="n"/>
      <c r="C969" s="30" t="n"/>
      <c r="D969" s="17" t="n"/>
      <c r="E969" s="24">
        <f>IF($D969="","",IFERROR(VLOOKUP($D969,物料档案!$A$4:$P$1203,3,0),"※编码不在物料档案里"))</f>
        <v/>
      </c>
      <c r="F969" s="24">
        <f>IF($D969="","",IFERROR(VLOOKUP($D969,物料档案!$A$4:$P$1203,4,0),"※编码不在物料档案里"))</f>
        <v/>
      </c>
      <c r="G969" s="24">
        <f>IF($D969="","",IFERROR(VLOOKUP($D969,物料档案!$A$4:$P$1203,5,0),"※编码不在物料档案里"))</f>
        <v/>
      </c>
      <c r="H969" s="24">
        <f>IF($D969="","",IFERROR(VLOOKUP($D969,物料档案!$A$4:$P$1203,2,0),"※编码不在物料档案里"))</f>
        <v/>
      </c>
      <c r="I969" s="24">
        <f>IF($D969="","",IFERROR(VLOOKUP($D969,物料档案!$A$4:$P$1203,6,0),"※编码不在物料档案里"))</f>
        <v/>
      </c>
      <c r="J969" s="23" t="n"/>
      <c r="K969" s="17" t="n"/>
      <c r="L969" s="17" t="n"/>
      <c r="M969" s="17" t="n"/>
      <c r="N969" s="17" t="n"/>
      <c r="O969" s="26">
        <f>IF($D969="","",IFERROR(VLOOKUP($D969,物料档案!$A$4:$P$1203,10,0),0))</f>
        <v/>
      </c>
      <c r="P969" s="32" t="n"/>
      <c r="Q969" s="26">
        <f>IF($D969="","",IF($K969&lt;&gt;"对外销售",0,ROUND(N($J969)*IF($P969="",N($O969),N($P969)),0)))</f>
        <v/>
      </c>
      <c r="R969" s="26">
        <f>IF($D969="","",IFERROR(VLOOKUP($D969,库存台账!$A$5:$Y$1204,11,0),0))</f>
        <v/>
      </c>
      <c r="S969" s="26">
        <f>IF($D969="","",ROUND(N($J969)*N($R969),0))</f>
        <v/>
      </c>
      <c r="T969" s="26">
        <f>IF($D969="","",IF($K969&lt;&gt;"对外销售","",ROUND($Q969-$S969,0)))</f>
        <v/>
      </c>
      <c r="U969" s="17" t="n"/>
      <c r="V969" s="17" t="n"/>
      <c r="W969" s="24">
        <f>IF($D969="","",IF($E969="※编码不在物料档案里","※物料编码不在档案里",IF(N($J969)&lt;=0,"※出库数量要大于 0",IF($K969="","※没填去向类型",IF($L969="","※没填去向矿区",IF(AND($C969&lt;&gt;"",$C969&lt;=结账锁),"※日期早于已结账截止日，不能再录",IF(AND($K969="自用消耗",COUNTIF({"一矿区";"二矿区"},$L969)=0),"※自用消耗的去向只能是一矿区或二矿区",IF(AND($K969="对外销售",COUNTIF({"三矿区";"六矿区"},$L969)=0),"※对外销售的去向只能是三矿区或六矿区",IF(AND($K969="对外销售",ROUND($Q969,0)=0),"※外销却没有售价，请填实际售价",IF(AND($K969="对外销售",$T969&lt;&gt;"",$T969&lt;0),"※这一笔外销是亏的，请核对售价",IF(IFERROR(VLOOKUP($D969,库存台账!$A$5:$Y$1204,24,0),0)&lt;-0.001,"※这个物料账面已经变成负数了，查一下是不是漏记入库","")))))))))))</f>
        <v/>
      </c>
    </row>
    <row r="970">
      <c r="A970" s="24">
        <f>IF($D970="","",COUNTA($D$4:$D970))</f>
        <v/>
      </c>
      <c r="B970" s="17" t="n"/>
      <c r="C970" s="30" t="n"/>
      <c r="D970" s="17" t="n"/>
      <c r="E970" s="24">
        <f>IF($D970="","",IFERROR(VLOOKUP($D970,物料档案!$A$4:$P$1203,3,0),"※编码不在物料档案里"))</f>
        <v/>
      </c>
      <c r="F970" s="24">
        <f>IF($D970="","",IFERROR(VLOOKUP($D970,物料档案!$A$4:$P$1203,4,0),"※编码不在物料档案里"))</f>
        <v/>
      </c>
      <c r="G970" s="24">
        <f>IF($D970="","",IFERROR(VLOOKUP($D970,物料档案!$A$4:$P$1203,5,0),"※编码不在物料档案里"))</f>
        <v/>
      </c>
      <c r="H970" s="24">
        <f>IF($D970="","",IFERROR(VLOOKUP($D970,物料档案!$A$4:$P$1203,2,0),"※编码不在物料档案里"))</f>
        <v/>
      </c>
      <c r="I970" s="24">
        <f>IF($D970="","",IFERROR(VLOOKUP($D970,物料档案!$A$4:$P$1203,6,0),"※编码不在物料档案里"))</f>
        <v/>
      </c>
      <c r="J970" s="23" t="n"/>
      <c r="K970" s="17" t="n"/>
      <c r="L970" s="17" t="n"/>
      <c r="M970" s="17" t="n"/>
      <c r="N970" s="17" t="n"/>
      <c r="O970" s="26">
        <f>IF($D970="","",IFERROR(VLOOKUP($D970,物料档案!$A$4:$P$1203,10,0),0))</f>
        <v/>
      </c>
      <c r="P970" s="32" t="n"/>
      <c r="Q970" s="26">
        <f>IF($D970="","",IF($K970&lt;&gt;"对外销售",0,ROUND(N($J970)*IF($P970="",N($O970),N($P970)),0)))</f>
        <v/>
      </c>
      <c r="R970" s="26">
        <f>IF($D970="","",IFERROR(VLOOKUP($D970,库存台账!$A$5:$Y$1204,11,0),0))</f>
        <v/>
      </c>
      <c r="S970" s="26">
        <f>IF($D970="","",ROUND(N($J970)*N($R970),0))</f>
        <v/>
      </c>
      <c r="T970" s="26">
        <f>IF($D970="","",IF($K970&lt;&gt;"对外销售","",ROUND($Q970-$S970,0)))</f>
        <v/>
      </c>
      <c r="U970" s="17" t="n"/>
      <c r="V970" s="17" t="n"/>
      <c r="W970" s="24">
        <f>IF($D970="","",IF($E970="※编码不在物料档案里","※物料编码不在档案里",IF(N($J970)&lt;=0,"※出库数量要大于 0",IF($K970="","※没填去向类型",IF($L970="","※没填去向矿区",IF(AND($C970&lt;&gt;"",$C970&lt;=结账锁),"※日期早于已结账截止日，不能再录",IF(AND($K970="自用消耗",COUNTIF({"一矿区";"二矿区"},$L970)=0),"※自用消耗的去向只能是一矿区或二矿区",IF(AND($K970="对外销售",COUNTIF({"三矿区";"六矿区"},$L970)=0),"※对外销售的去向只能是三矿区或六矿区",IF(AND($K970="对外销售",ROUND($Q970,0)=0),"※外销却没有售价，请填实际售价",IF(AND($K970="对外销售",$T970&lt;&gt;"",$T970&lt;0),"※这一笔外销是亏的，请核对售价",IF(IFERROR(VLOOKUP($D970,库存台账!$A$5:$Y$1204,24,0),0)&lt;-0.001,"※这个物料账面已经变成负数了，查一下是不是漏记入库","")))))))))))</f>
        <v/>
      </c>
    </row>
    <row r="971">
      <c r="A971" s="24">
        <f>IF($D971="","",COUNTA($D$4:$D971))</f>
        <v/>
      </c>
      <c r="B971" s="17" t="n"/>
      <c r="C971" s="30" t="n"/>
      <c r="D971" s="17" t="n"/>
      <c r="E971" s="24">
        <f>IF($D971="","",IFERROR(VLOOKUP($D971,物料档案!$A$4:$P$1203,3,0),"※编码不在物料档案里"))</f>
        <v/>
      </c>
      <c r="F971" s="24">
        <f>IF($D971="","",IFERROR(VLOOKUP($D971,物料档案!$A$4:$P$1203,4,0),"※编码不在物料档案里"))</f>
        <v/>
      </c>
      <c r="G971" s="24">
        <f>IF($D971="","",IFERROR(VLOOKUP($D971,物料档案!$A$4:$P$1203,5,0),"※编码不在物料档案里"))</f>
        <v/>
      </c>
      <c r="H971" s="24">
        <f>IF($D971="","",IFERROR(VLOOKUP($D971,物料档案!$A$4:$P$1203,2,0),"※编码不在物料档案里"))</f>
        <v/>
      </c>
      <c r="I971" s="24">
        <f>IF($D971="","",IFERROR(VLOOKUP($D971,物料档案!$A$4:$P$1203,6,0),"※编码不在物料档案里"))</f>
        <v/>
      </c>
      <c r="J971" s="23" t="n"/>
      <c r="K971" s="17" t="n"/>
      <c r="L971" s="17" t="n"/>
      <c r="M971" s="17" t="n"/>
      <c r="N971" s="17" t="n"/>
      <c r="O971" s="26">
        <f>IF($D971="","",IFERROR(VLOOKUP($D971,物料档案!$A$4:$P$1203,10,0),0))</f>
        <v/>
      </c>
      <c r="P971" s="32" t="n"/>
      <c r="Q971" s="26">
        <f>IF($D971="","",IF($K971&lt;&gt;"对外销售",0,ROUND(N($J971)*IF($P971="",N($O971),N($P971)),0)))</f>
        <v/>
      </c>
      <c r="R971" s="26">
        <f>IF($D971="","",IFERROR(VLOOKUP($D971,库存台账!$A$5:$Y$1204,11,0),0))</f>
        <v/>
      </c>
      <c r="S971" s="26">
        <f>IF($D971="","",ROUND(N($J971)*N($R971),0))</f>
        <v/>
      </c>
      <c r="T971" s="26">
        <f>IF($D971="","",IF($K971&lt;&gt;"对外销售","",ROUND($Q971-$S971,0)))</f>
        <v/>
      </c>
      <c r="U971" s="17" t="n"/>
      <c r="V971" s="17" t="n"/>
      <c r="W971" s="24">
        <f>IF($D971="","",IF($E971="※编码不在物料档案里","※物料编码不在档案里",IF(N($J971)&lt;=0,"※出库数量要大于 0",IF($K971="","※没填去向类型",IF($L971="","※没填去向矿区",IF(AND($C971&lt;&gt;"",$C971&lt;=结账锁),"※日期早于已结账截止日，不能再录",IF(AND($K971="自用消耗",COUNTIF({"一矿区";"二矿区"},$L971)=0),"※自用消耗的去向只能是一矿区或二矿区",IF(AND($K971="对外销售",COUNTIF({"三矿区";"六矿区"},$L971)=0),"※对外销售的去向只能是三矿区或六矿区",IF(AND($K971="对外销售",ROUND($Q971,0)=0),"※外销却没有售价，请填实际售价",IF(AND($K971="对外销售",$T971&lt;&gt;"",$T971&lt;0),"※这一笔外销是亏的，请核对售价",IF(IFERROR(VLOOKUP($D971,库存台账!$A$5:$Y$1204,24,0),0)&lt;-0.001,"※这个物料账面已经变成负数了，查一下是不是漏记入库","")))))))))))</f>
        <v/>
      </c>
    </row>
    <row r="972">
      <c r="A972" s="24">
        <f>IF($D972="","",COUNTA($D$4:$D972))</f>
        <v/>
      </c>
      <c r="B972" s="17" t="n"/>
      <c r="C972" s="30" t="n"/>
      <c r="D972" s="17" t="n"/>
      <c r="E972" s="24">
        <f>IF($D972="","",IFERROR(VLOOKUP($D972,物料档案!$A$4:$P$1203,3,0),"※编码不在物料档案里"))</f>
        <v/>
      </c>
      <c r="F972" s="24">
        <f>IF($D972="","",IFERROR(VLOOKUP($D972,物料档案!$A$4:$P$1203,4,0),"※编码不在物料档案里"))</f>
        <v/>
      </c>
      <c r="G972" s="24">
        <f>IF($D972="","",IFERROR(VLOOKUP($D972,物料档案!$A$4:$P$1203,5,0),"※编码不在物料档案里"))</f>
        <v/>
      </c>
      <c r="H972" s="24">
        <f>IF($D972="","",IFERROR(VLOOKUP($D972,物料档案!$A$4:$P$1203,2,0),"※编码不在物料档案里"))</f>
        <v/>
      </c>
      <c r="I972" s="24">
        <f>IF($D972="","",IFERROR(VLOOKUP($D972,物料档案!$A$4:$P$1203,6,0),"※编码不在物料档案里"))</f>
        <v/>
      </c>
      <c r="J972" s="23" t="n"/>
      <c r="K972" s="17" t="n"/>
      <c r="L972" s="17" t="n"/>
      <c r="M972" s="17" t="n"/>
      <c r="N972" s="17" t="n"/>
      <c r="O972" s="26">
        <f>IF($D972="","",IFERROR(VLOOKUP($D972,物料档案!$A$4:$P$1203,10,0),0))</f>
        <v/>
      </c>
      <c r="P972" s="32" t="n"/>
      <c r="Q972" s="26">
        <f>IF($D972="","",IF($K972&lt;&gt;"对外销售",0,ROUND(N($J972)*IF($P972="",N($O972),N($P972)),0)))</f>
        <v/>
      </c>
      <c r="R972" s="26">
        <f>IF($D972="","",IFERROR(VLOOKUP($D972,库存台账!$A$5:$Y$1204,11,0),0))</f>
        <v/>
      </c>
      <c r="S972" s="26">
        <f>IF($D972="","",ROUND(N($J972)*N($R972),0))</f>
        <v/>
      </c>
      <c r="T972" s="26">
        <f>IF($D972="","",IF($K972&lt;&gt;"对外销售","",ROUND($Q972-$S972,0)))</f>
        <v/>
      </c>
      <c r="U972" s="17" t="n"/>
      <c r="V972" s="17" t="n"/>
      <c r="W972" s="24">
        <f>IF($D972="","",IF($E972="※编码不在物料档案里","※物料编码不在档案里",IF(N($J972)&lt;=0,"※出库数量要大于 0",IF($K972="","※没填去向类型",IF($L972="","※没填去向矿区",IF(AND($C972&lt;&gt;"",$C972&lt;=结账锁),"※日期早于已结账截止日，不能再录",IF(AND($K972="自用消耗",COUNTIF({"一矿区";"二矿区"},$L972)=0),"※自用消耗的去向只能是一矿区或二矿区",IF(AND($K972="对外销售",COUNTIF({"三矿区";"六矿区"},$L972)=0),"※对外销售的去向只能是三矿区或六矿区",IF(AND($K972="对外销售",ROUND($Q972,0)=0),"※外销却没有售价，请填实际售价",IF(AND($K972="对外销售",$T972&lt;&gt;"",$T972&lt;0),"※这一笔外销是亏的，请核对售价",IF(IFERROR(VLOOKUP($D972,库存台账!$A$5:$Y$1204,24,0),0)&lt;-0.001,"※这个物料账面已经变成负数了，查一下是不是漏记入库","")))))))))))</f>
        <v/>
      </c>
    </row>
    <row r="973">
      <c r="A973" s="24">
        <f>IF($D973="","",COUNTA($D$4:$D973))</f>
        <v/>
      </c>
      <c r="B973" s="17" t="n"/>
      <c r="C973" s="30" t="n"/>
      <c r="D973" s="17" t="n"/>
      <c r="E973" s="24">
        <f>IF($D973="","",IFERROR(VLOOKUP($D973,物料档案!$A$4:$P$1203,3,0),"※编码不在物料档案里"))</f>
        <v/>
      </c>
      <c r="F973" s="24">
        <f>IF($D973="","",IFERROR(VLOOKUP($D973,物料档案!$A$4:$P$1203,4,0),"※编码不在物料档案里"))</f>
        <v/>
      </c>
      <c r="G973" s="24">
        <f>IF($D973="","",IFERROR(VLOOKUP($D973,物料档案!$A$4:$P$1203,5,0),"※编码不在物料档案里"))</f>
        <v/>
      </c>
      <c r="H973" s="24">
        <f>IF($D973="","",IFERROR(VLOOKUP($D973,物料档案!$A$4:$P$1203,2,0),"※编码不在物料档案里"))</f>
        <v/>
      </c>
      <c r="I973" s="24">
        <f>IF($D973="","",IFERROR(VLOOKUP($D973,物料档案!$A$4:$P$1203,6,0),"※编码不在物料档案里"))</f>
        <v/>
      </c>
      <c r="J973" s="23" t="n"/>
      <c r="K973" s="17" t="n"/>
      <c r="L973" s="17" t="n"/>
      <c r="M973" s="17" t="n"/>
      <c r="N973" s="17" t="n"/>
      <c r="O973" s="26">
        <f>IF($D973="","",IFERROR(VLOOKUP($D973,物料档案!$A$4:$P$1203,10,0),0))</f>
        <v/>
      </c>
      <c r="P973" s="32" t="n"/>
      <c r="Q973" s="26">
        <f>IF($D973="","",IF($K973&lt;&gt;"对外销售",0,ROUND(N($J973)*IF($P973="",N($O973),N($P973)),0)))</f>
        <v/>
      </c>
      <c r="R973" s="26">
        <f>IF($D973="","",IFERROR(VLOOKUP($D973,库存台账!$A$5:$Y$1204,11,0),0))</f>
        <v/>
      </c>
      <c r="S973" s="26">
        <f>IF($D973="","",ROUND(N($J973)*N($R973),0))</f>
        <v/>
      </c>
      <c r="T973" s="26">
        <f>IF($D973="","",IF($K973&lt;&gt;"对外销售","",ROUND($Q973-$S973,0)))</f>
        <v/>
      </c>
      <c r="U973" s="17" t="n"/>
      <c r="V973" s="17" t="n"/>
      <c r="W973" s="24">
        <f>IF($D973="","",IF($E973="※编码不在物料档案里","※物料编码不在档案里",IF(N($J973)&lt;=0,"※出库数量要大于 0",IF($K973="","※没填去向类型",IF($L973="","※没填去向矿区",IF(AND($C973&lt;&gt;"",$C973&lt;=结账锁),"※日期早于已结账截止日，不能再录",IF(AND($K973="自用消耗",COUNTIF({"一矿区";"二矿区"},$L973)=0),"※自用消耗的去向只能是一矿区或二矿区",IF(AND($K973="对外销售",COUNTIF({"三矿区";"六矿区"},$L973)=0),"※对外销售的去向只能是三矿区或六矿区",IF(AND($K973="对外销售",ROUND($Q973,0)=0),"※外销却没有售价，请填实际售价",IF(AND($K973="对外销售",$T973&lt;&gt;"",$T973&lt;0),"※这一笔外销是亏的，请核对售价",IF(IFERROR(VLOOKUP($D973,库存台账!$A$5:$Y$1204,24,0),0)&lt;-0.001,"※这个物料账面已经变成负数了，查一下是不是漏记入库","")))))))))))</f>
        <v/>
      </c>
    </row>
    <row r="974">
      <c r="A974" s="24">
        <f>IF($D974="","",COUNTA($D$4:$D974))</f>
        <v/>
      </c>
      <c r="B974" s="17" t="n"/>
      <c r="C974" s="30" t="n"/>
      <c r="D974" s="17" t="n"/>
      <c r="E974" s="24">
        <f>IF($D974="","",IFERROR(VLOOKUP($D974,物料档案!$A$4:$P$1203,3,0),"※编码不在物料档案里"))</f>
        <v/>
      </c>
      <c r="F974" s="24">
        <f>IF($D974="","",IFERROR(VLOOKUP($D974,物料档案!$A$4:$P$1203,4,0),"※编码不在物料档案里"))</f>
        <v/>
      </c>
      <c r="G974" s="24">
        <f>IF($D974="","",IFERROR(VLOOKUP($D974,物料档案!$A$4:$P$1203,5,0),"※编码不在物料档案里"))</f>
        <v/>
      </c>
      <c r="H974" s="24">
        <f>IF($D974="","",IFERROR(VLOOKUP($D974,物料档案!$A$4:$P$1203,2,0),"※编码不在物料档案里"))</f>
        <v/>
      </c>
      <c r="I974" s="24">
        <f>IF($D974="","",IFERROR(VLOOKUP($D974,物料档案!$A$4:$P$1203,6,0),"※编码不在物料档案里"))</f>
        <v/>
      </c>
      <c r="J974" s="23" t="n"/>
      <c r="K974" s="17" t="n"/>
      <c r="L974" s="17" t="n"/>
      <c r="M974" s="17" t="n"/>
      <c r="N974" s="17" t="n"/>
      <c r="O974" s="26">
        <f>IF($D974="","",IFERROR(VLOOKUP($D974,物料档案!$A$4:$P$1203,10,0),0))</f>
        <v/>
      </c>
      <c r="P974" s="32" t="n"/>
      <c r="Q974" s="26">
        <f>IF($D974="","",IF($K974&lt;&gt;"对外销售",0,ROUND(N($J974)*IF($P974="",N($O974),N($P974)),0)))</f>
        <v/>
      </c>
      <c r="R974" s="26">
        <f>IF($D974="","",IFERROR(VLOOKUP($D974,库存台账!$A$5:$Y$1204,11,0),0))</f>
        <v/>
      </c>
      <c r="S974" s="26">
        <f>IF($D974="","",ROUND(N($J974)*N($R974),0))</f>
        <v/>
      </c>
      <c r="T974" s="26">
        <f>IF($D974="","",IF($K974&lt;&gt;"对外销售","",ROUND($Q974-$S974,0)))</f>
        <v/>
      </c>
      <c r="U974" s="17" t="n"/>
      <c r="V974" s="17" t="n"/>
      <c r="W974" s="24">
        <f>IF($D974="","",IF($E974="※编码不在物料档案里","※物料编码不在档案里",IF(N($J974)&lt;=0,"※出库数量要大于 0",IF($K974="","※没填去向类型",IF($L974="","※没填去向矿区",IF(AND($C974&lt;&gt;"",$C974&lt;=结账锁),"※日期早于已结账截止日，不能再录",IF(AND($K974="自用消耗",COUNTIF({"一矿区";"二矿区"},$L974)=0),"※自用消耗的去向只能是一矿区或二矿区",IF(AND($K974="对外销售",COUNTIF({"三矿区";"六矿区"},$L974)=0),"※对外销售的去向只能是三矿区或六矿区",IF(AND($K974="对外销售",ROUND($Q974,0)=0),"※外销却没有售价，请填实际售价",IF(AND($K974="对外销售",$T974&lt;&gt;"",$T974&lt;0),"※这一笔外销是亏的，请核对售价",IF(IFERROR(VLOOKUP($D974,库存台账!$A$5:$Y$1204,24,0),0)&lt;-0.001,"※这个物料账面已经变成负数了，查一下是不是漏记入库","")))))))))))</f>
        <v/>
      </c>
    </row>
    <row r="975">
      <c r="A975" s="24">
        <f>IF($D975="","",COUNTA($D$4:$D975))</f>
        <v/>
      </c>
      <c r="B975" s="17" t="n"/>
      <c r="C975" s="30" t="n"/>
      <c r="D975" s="17" t="n"/>
      <c r="E975" s="24">
        <f>IF($D975="","",IFERROR(VLOOKUP($D975,物料档案!$A$4:$P$1203,3,0),"※编码不在物料档案里"))</f>
        <v/>
      </c>
      <c r="F975" s="24">
        <f>IF($D975="","",IFERROR(VLOOKUP($D975,物料档案!$A$4:$P$1203,4,0),"※编码不在物料档案里"))</f>
        <v/>
      </c>
      <c r="G975" s="24">
        <f>IF($D975="","",IFERROR(VLOOKUP($D975,物料档案!$A$4:$P$1203,5,0),"※编码不在物料档案里"))</f>
        <v/>
      </c>
      <c r="H975" s="24">
        <f>IF($D975="","",IFERROR(VLOOKUP($D975,物料档案!$A$4:$P$1203,2,0),"※编码不在物料档案里"))</f>
        <v/>
      </c>
      <c r="I975" s="24">
        <f>IF($D975="","",IFERROR(VLOOKUP($D975,物料档案!$A$4:$P$1203,6,0),"※编码不在物料档案里"))</f>
        <v/>
      </c>
      <c r="J975" s="23" t="n"/>
      <c r="K975" s="17" t="n"/>
      <c r="L975" s="17" t="n"/>
      <c r="M975" s="17" t="n"/>
      <c r="N975" s="17" t="n"/>
      <c r="O975" s="26">
        <f>IF($D975="","",IFERROR(VLOOKUP($D975,物料档案!$A$4:$P$1203,10,0),0))</f>
        <v/>
      </c>
      <c r="P975" s="32" t="n"/>
      <c r="Q975" s="26">
        <f>IF($D975="","",IF($K975&lt;&gt;"对外销售",0,ROUND(N($J975)*IF($P975="",N($O975),N($P975)),0)))</f>
        <v/>
      </c>
      <c r="R975" s="26">
        <f>IF($D975="","",IFERROR(VLOOKUP($D975,库存台账!$A$5:$Y$1204,11,0),0))</f>
        <v/>
      </c>
      <c r="S975" s="26">
        <f>IF($D975="","",ROUND(N($J975)*N($R975),0))</f>
        <v/>
      </c>
      <c r="T975" s="26">
        <f>IF($D975="","",IF($K975&lt;&gt;"对外销售","",ROUND($Q975-$S975,0)))</f>
        <v/>
      </c>
      <c r="U975" s="17" t="n"/>
      <c r="V975" s="17" t="n"/>
      <c r="W975" s="24">
        <f>IF($D975="","",IF($E975="※编码不在物料档案里","※物料编码不在档案里",IF(N($J975)&lt;=0,"※出库数量要大于 0",IF($K975="","※没填去向类型",IF($L975="","※没填去向矿区",IF(AND($C975&lt;&gt;"",$C975&lt;=结账锁),"※日期早于已结账截止日，不能再录",IF(AND($K975="自用消耗",COUNTIF({"一矿区";"二矿区"},$L975)=0),"※自用消耗的去向只能是一矿区或二矿区",IF(AND($K975="对外销售",COUNTIF({"三矿区";"六矿区"},$L975)=0),"※对外销售的去向只能是三矿区或六矿区",IF(AND($K975="对外销售",ROUND($Q975,0)=0),"※外销却没有售价，请填实际售价",IF(AND($K975="对外销售",$T975&lt;&gt;"",$T975&lt;0),"※这一笔外销是亏的，请核对售价",IF(IFERROR(VLOOKUP($D975,库存台账!$A$5:$Y$1204,24,0),0)&lt;-0.001,"※这个物料账面已经变成负数了，查一下是不是漏记入库","")))))))))))</f>
        <v/>
      </c>
    </row>
    <row r="976">
      <c r="A976" s="24">
        <f>IF($D976="","",COUNTA($D$4:$D976))</f>
        <v/>
      </c>
      <c r="B976" s="17" t="n"/>
      <c r="C976" s="30" t="n"/>
      <c r="D976" s="17" t="n"/>
      <c r="E976" s="24">
        <f>IF($D976="","",IFERROR(VLOOKUP($D976,物料档案!$A$4:$P$1203,3,0),"※编码不在物料档案里"))</f>
        <v/>
      </c>
      <c r="F976" s="24">
        <f>IF($D976="","",IFERROR(VLOOKUP($D976,物料档案!$A$4:$P$1203,4,0),"※编码不在物料档案里"))</f>
        <v/>
      </c>
      <c r="G976" s="24">
        <f>IF($D976="","",IFERROR(VLOOKUP($D976,物料档案!$A$4:$P$1203,5,0),"※编码不在物料档案里"))</f>
        <v/>
      </c>
      <c r="H976" s="24">
        <f>IF($D976="","",IFERROR(VLOOKUP($D976,物料档案!$A$4:$P$1203,2,0),"※编码不在物料档案里"))</f>
        <v/>
      </c>
      <c r="I976" s="24">
        <f>IF($D976="","",IFERROR(VLOOKUP($D976,物料档案!$A$4:$P$1203,6,0),"※编码不在物料档案里"))</f>
        <v/>
      </c>
      <c r="J976" s="23" t="n"/>
      <c r="K976" s="17" t="n"/>
      <c r="L976" s="17" t="n"/>
      <c r="M976" s="17" t="n"/>
      <c r="N976" s="17" t="n"/>
      <c r="O976" s="26">
        <f>IF($D976="","",IFERROR(VLOOKUP($D976,物料档案!$A$4:$P$1203,10,0),0))</f>
        <v/>
      </c>
      <c r="P976" s="32" t="n"/>
      <c r="Q976" s="26">
        <f>IF($D976="","",IF($K976&lt;&gt;"对外销售",0,ROUND(N($J976)*IF($P976="",N($O976),N($P976)),0)))</f>
        <v/>
      </c>
      <c r="R976" s="26">
        <f>IF($D976="","",IFERROR(VLOOKUP($D976,库存台账!$A$5:$Y$1204,11,0),0))</f>
        <v/>
      </c>
      <c r="S976" s="26">
        <f>IF($D976="","",ROUND(N($J976)*N($R976),0))</f>
        <v/>
      </c>
      <c r="T976" s="26">
        <f>IF($D976="","",IF($K976&lt;&gt;"对外销售","",ROUND($Q976-$S976,0)))</f>
        <v/>
      </c>
      <c r="U976" s="17" t="n"/>
      <c r="V976" s="17" t="n"/>
      <c r="W976" s="24">
        <f>IF($D976="","",IF($E976="※编码不在物料档案里","※物料编码不在档案里",IF(N($J976)&lt;=0,"※出库数量要大于 0",IF($K976="","※没填去向类型",IF($L976="","※没填去向矿区",IF(AND($C976&lt;&gt;"",$C976&lt;=结账锁),"※日期早于已结账截止日，不能再录",IF(AND($K976="自用消耗",COUNTIF({"一矿区";"二矿区"},$L976)=0),"※自用消耗的去向只能是一矿区或二矿区",IF(AND($K976="对外销售",COUNTIF({"三矿区";"六矿区"},$L976)=0),"※对外销售的去向只能是三矿区或六矿区",IF(AND($K976="对外销售",ROUND($Q976,0)=0),"※外销却没有售价，请填实际售价",IF(AND($K976="对外销售",$T976&lt;&gt;"",$T976&lt;0),"※这一笔外销是亏的，请核对售价",IF(IFERROR(VLOOKUP($D976,库存台账!$A$5:$Y$1204,24,0),0)&lt;-0.001,"※这个物料账面已经变成负数了，查一下是不是漏记入库","")))))))))))</f>
        <v/>
      </c>
    </row>
    <row r="977">
      <c r="A977" s="24">
        <f>IF($D977="","",COUNTA($D$4:$D977))</f>
        <v/>
      </c>
      <c r="B977" s="17" t="n"/>
      <c r="C977" s="30" t="n"/>
      <c r="D977" s="17" t="n"/>
      <c r="E977" s="24">
        <f>IF($D977="","",IFERROR(VLOOKUP($D977,物料档案!$A$4:$P$1203,3,0),"※编码不在物料档案里"))</f>
        <v/>
      </c>
      <c r="F977" s="24">
        <f>IF($D977="","",IFERROR(VLOOKUP($D977,物料档案!$A$4:$P$1203,4,0),"※编码不在物料档案里"))</f>
        <v/>
      </c>
      <c r="G977" s="24">
        <f>IF($D977="","",IFERROR(VLOOKUP($D977,物料档案!$A$4:$P$1203,5,0),"※编码不在物料档案里"))</f>
        <v/>
      </c>
      <c r="H977" s="24">
        <f>IF($D977="","",IFERROR(VLOOKUP($D977,物料档案!$A$4:$P$1203,2,0),"※编码不在物料档案里"))</f>
        <v/>
      </c>
      <c r="I977" s="24">
        <f>IF($D977="","",IFERROR(VLOOKUP($D977,物料档案!$A$4:$P$1203,6,0),"※编码不在物料档案里"))</f>
        <v/>
      </c>
      <c r="J977" s="23" t="n"/>
      <c r="K977" s="17" t="n"/>
      <c r="L977" s="17" t="n"/>
      <c r="M977" s="17" t="n"/>
      <c r="N977" s="17" t="n"/>
      <c r="O977" s="26">
        <f>IF($D977="","",IFERROR(VLOOKUP($D977,物料档案!$A$4:$P$1203,10,0),0))</f>
        <v/>
      </c>
      <c r="P977" s="32" t="n"/>
      <c r="Q977" s="26">
        <f>IF($D977="","",IF($K977&lt;&gt;"对外销售",0,ROUND(N($J977)*IF($P977="",N($O977),N($P977)),0)))</f>
        <v/>
      </c>
      <c r="R977" s="26">
        <f>IF($D977="","",IFERROR(VLOOKUP($D977,库存台账!$A$5:$Y$1204,11,0),0))</f>
        <v/>
      </c>
      <c r="S977" s="26">
        <f>IF($D977="","",ROUND(N($J977)*N($R977),0))</f>
        <v/>
      </c>
      <c r="T977" s="26">
        <f>IF($D977="","",IF($K977&lt;&gt;"对外销售","",ROUND($Q977-$S977,0)))</f>
        <v/>
      </c>
      <c r="U977" s="17" t="n"/>
      <c r="V977" s="17" t="n"/>
      <c r="W977" s="24">
        <f>IF($D977="","",IF($E977="※编码不在物料档案里","※物料编码不在档案里",IF(N($J977)&lt;=0,"※出库数量要大于 0",IF($K977="","※没填去向类型",IF($L977="","※没填去向矿区",IF(AND($C977&lt;&gt;"",$C977&lt;=结账锁),"※日期早于已结账截止日，不能再录",IF(AND($K977="自用消耗",COUNTIF({"一矿区";"二矿区"},$L977)=0),"※自用消耗的去向只能是一矿区或二矿区",IF(AND($K977="对外销售",COUNTIF({"三矿区";"六矿区"},$L977)=0),"※对外销售的去向只能是三矿区或六矿区",IF(AND($K977="对外销售",ROUND($Q977,0)=0),"※外销却没有售价，请填实际售价",IF(AND($K977="对外销售",$T977&lt;&gt;"",$T977&lt;0),"※这一笔外销是亏的，请核对售价",IF(IFERROR(VLOOKUP($D977,库存台账!$A$5:$Y$1204,24,0),0)&lt;-0.001,"※这个物料账面已经变成负数了，查一下是不是漏记入库","")))))))))))</f>
        <v/>
      </c>
    </row>
    <row r="978">
      <c r="A978" s="24">
        <f>IF($D978="","",COUNTA($D$4:$D978))</f>
        <v/>
      </c>
      <c r="B978" s="17" t="n"/>
      <c r="C978" s="30" t="n"/>
      <c r="D978" s="17" t="n"/>
      <c r="E978" s="24">
        <f>IF($D978="","",IFERROR(VLOOKUP($D978,物料档案!$A$4:$P$1203,3,0),"※编码不在物料档案里"))</f>
        <v/>
      </c>
      <c r="F978" s="24">
        <f>IF($D978="","",IFERROR(VLOOKUP($D978,物料档案!$A$4:$P$1203,4,0),"※编码不在物料档案里"))</f>
        <v/>
      </c>
      <c r="G978" s="24">
        <f>IF($D978="","",IFERROR(VLOOKUP($D978,物料档案!$A$4:$P$1203,5,0),"※编码不在物料档案里"))</f>
        <v/>
      </c>
      <c r="H978" s="24">
        <f>IF($D978="","",IFERROR(VLOOKUP($D978,物料档案!$A$4:$P$1203,2,0),"※编码不在物料档案里"))</f>
        <v/>
      </c>
      <c r="I978" s="24">
        <f>IF($D978="","",IFERROR(VLOOKUP($D978,物料档案!$A$4:$P$1203,6,0),"※编码不在物料档案里"))</f>
        <v/>
      </c>
      <c r="J978" s="23" t="n"/>
      <c r="K978" s="17" t="n"/>
      <c r="L978" s="17" t="n"/>
      <c r="M978" s="17" t="n"/>
      <c r="N978" s="17" t="n"/>
      <c r="O978" s="26">
        <f>IF($D978="","",IFERROR(VLOOKUP($D978,物料档案!$A$4:$P$1203,10,0),0))</f>
        <v/>
      </c>
      <c r="P978" s="32" t="n"/>
      <c r="Q978" s="26">
        <f>IF($D978="","",IF($K978&lt;&gt;"对外销售",0,ROUND(N($J978)*IF($P978="",N($O978),N($P978)),0)))</f>
        <v/>
      </c>
      <c r="R978" s="26">
        <f>IF($D978="","",IFERROR(VLOOKUP($D978,库存台账!$A$5:$Y$1204,11,0),0))</f>
        <v/>
      </c>
      <c r="S978" s="26">
        <f>IF($D978="","",ROUND(N($J978)*N($R978),0))</f>
        <v/>
      </c>
      <c r="T978" s="26">
        <f>IF($D978="","",IF($K978&lt;&gt;"对外销售","",ROUND($Q978-$S978,0)))</f>
        <v/>
      </c>
      <c r="U978" s="17" t="n"/>
      <c r="V978" s="17" t="n"/>
      <c r="W978" s="24">
        <f>IF($D978="","",IF($E978="※编码不在物料档案里","※物料编码不在档案里",IF(N($J978)&lt;=0,"※出库数量要大于 0",IF($K978="","※没填去向类型",IF($L978="","※没填去向矿区",IF(AND($C978&lt;&gt;"",$C978&lt;=结账锁),"※日期早于已结账截止日，不能再录",IF(AND($K978="自用消耗",COUNTIF({"一矿区";"二矿区"},$L978)=0),"※自用消耗的去向只能是一矿区或二矿区",IF(AND($K978="对外销售",COUNTIF({"三矿区";"六矿区"},$L978)=0),"※对外销售的去向只能是三矿区或六矿区",IF(AND($K978="对外销售",ROUND($Q978,0)=0),"※外销却没有售价，请填实际售价",IF(AND($K978="对外销售",$T978&lt;&gt;"",$T978&lt;0),"※这一笔外销是亏的，请核对售价",IF(IFERROR(VLOOKUP($D978,库存台账!$A$5:$Y$1204,24,0),0)&lt;-0.001,"※这个物料账面已经变成负数了，查一下是不是漏记入库","")))))))))))</f>
        <v/>
      </c>
    </row>
    <row r="979">
      <c r="A979" s="24">
        <f>IF($D979="","",COUNTA($D$4:$D979))</f>
        <v/>
      </c>
      <c r="B979" s="17" t="n"/>
      <c r="C979" s="30" t="n"/>
      <c r="D979" s="17" t="n"/>
      <c r="E979" s="24">
        <f>IF($D979="","",IFERROR(VLOOKUP($D979,物料档案!$A$4:$P$1203,3,0),"※编码不在物料档案里"))</f>
        <v/>
      </c>
      <c r="F979" s="24">
        <f>IF($D979="","",IFERROR(VLOOKUP($D979,物料档案!$A$4:$P$1203,4,0),"※编码不在物料档案里"))</f>
        <v/>
      </c>
      <c r="G979" s="24">
        <f>IF($D979="","",IFERROR(VLOOKUP($D979,物料档案!$A$4:$P$1203,5,0),"※编码不在物料档案里"))</f>
        <v/>
      </c>
      <c r="H979" s="24">
        <f>IF($D979="","",IFERROR(VLOOKUP($D979,物料档案!$A$4:$P$1203,2,0),"※编码不在物料档案里"))</f>
        <v/>
      </c>
      <c r="I979" s="24">
        <f>IF($D979="","",IFERROR(VLOOKUP($D979,物料档案!$A$4:$P$1203,6,0),"※编码不在物料档案里"))</f>
        <v/>
      </c>
      <c r="J979" s="23" t="n"/>
      <c r="K979" s="17" t="n"/>
      <c r="L979" s="17" t="n"/>
      <c r="M979" s="17" t="n"/>
      <c r="N979" s="17" t="n"/>
      <c r="O979" s="26">
        <f>IF($D979="","",IFERROR(VLOOKUP($D979,物料档案!$A$4:$P$1203,10,0),0))</f>
        <v/>
      </c>
      <c r="P979" s="32" t="n"/>
      <c r="Q979" s="26">
        <f>IF($D979="","",IF($K979&lt;&gt;"对外销售",0,ROUND(N($J979)*IF($P979="",N($O979),N($P979)),0)))</f>
        <v/>
      </c>
      <c r="R979" s="26">
        <f>IF($D979="","",IFERROR(VLOOKUP($D979,库存台账!$A$5:$Y$1204,11,0),0))</f>
        <v/>
      </c>
      <c r="S979" s="26">
        <f>IF($D979="","",ROUND(N($J979)*N($R979),0))</f>
        <v/>
      </c>
      <c r="T979" s="26">
        <f>IF($D979="","",IF($K979&lt;&gt;"对外销售","",ROUND($Q979-$S979,0)))</f>
        <v/>
      </c>
      <c r="U979" s="17" t="n"/>
      <c r="V979" s="17" t="n"/>
      <c r="W979" s="24">
        <f>IF($D979="","",IF($E979="※编码不在物料档案里","※物料编码不在档案里",IF(N($J979)&lt;=0,"※出库数量要大于 0",IF($K979="","※没填去向类型",IF($L979="","※没填去向矿区",IF(AND($C979&lt;&gt;"",$C979&lt;=结账锁),"※日期早于已结账截止日，不能再录",IF(AND($K979="自用消耗",COUNTIF({"一矿区";"二矿区"},$L979)=0),"※自用消耗的去向只能是一矿区或二矿区",IF(AND($K979="对外销售",COUNTIF({"三矿区";"六矿区"},$L979)=0),"※对外销售的去向只能是三矿区或六矿区",IF(AND($K979="对外销售",ROUND($Q979,0)=0),"※外销却没有售价，请填实际售价",IF(AND($K979="对外销售",$T979&lt;&gt;"",$T979&lt;0),"※这一笔外销是亏的，请核对售价",IF(IFERROR(VLOOKUP($D979,库存台账!$A$5:$Y$1204,24,0),0)&lt;-0.001,"※这个物料账面已经变成负数了，查一下是不是漏记入库","")))))))))))</f>
        <v/>
      </c>
    </row>
    <row r="980">
      <c r="A980" s="24">
        <f>IF($D980="","",COUNTA($D$4:$D980))</f>
        <v/>
      </c>
      <c r="B980" s="17" t="n"/>
      <c r="C980" s="30" t="n"/>
      <c r="D980" s="17" t="n"/>
      <c r="E980" s="24">
        <f>IF($D980="","",IFERROR(VLOOKUP($D980,物料档案!$A$4:$P$1203,3,0),"※编码不在物料档案里"))</f>
        <v/>
      </c>
      <c r="F980" s="24">
        <f>IF($D980="","",IFERROR(VLOOKUP($D980,物料档案!$A$4:$P$1203,4,0),"※编码不在物料档案里"))</f>
        <v/>
      </c>
      <c r="G980" s="24">
        <f>IF($D980="","",IFERROR(VLOOKUP($D980,物料档案!$A$4:$P$1203,5,0),"※编码不在物料档案里"))</f>
        <v/>
      </c>
      <c r="H980" s="24">
        <f>IF($D980="","",IFERROR(VLOOKUP($D980,物料档案!$A$4:$P$1203,2,0),"※编码不在物料档案里"))</f>
        <v/>
      </c>
      <c r="I980" s="24">
        <f>IF($D980="","",IFERROR(VLOOKUP($D980,物料档案!$A$4:$P$1203,6,0),"※编码不在物料档案里"))</f>
        <v/>
      </c>
      <c r="J980" s="23" t="n"/>
      <c r="K980" s="17" t="n"/>
      <c r="L980" s="17" t="n"/>
      <c r="M980" s="17" t="n"/>
      <c r="N980" s="17" t="n"/>
      <c r="O980" s="26">
        <f>IF($D980="","",IFERROR(VLOOKUP($D980,物料档案!$A$4:$P$1203,10,0),0))</f>
        <v/>
      </c>
      <c r="P980" s="32" t="n"/>
      <c r="Q980" s="26">
        <f>IF($D980="","",IF($K980&lt;&gt;"对外销售",0,ROUND(N($J980)*IF($P980="",N($O980),N($P980)),0)))</f>
        <v/>
      </c>
      <c r="R980" s="26">
        <f>IF($D980="","",IFERROR(VLOOKUP($D980,库存台账!$A$5:$Y$1204,11,0),0))</f>
        <v/>
      </c>
      <c r="S980" s="26">
        <f>IF($D980="","",ROUND(N($J980)*N($R980),0))</f>
        <v/>
      </c>
      <c r="T980" s="26">
        <f>IF($D980="","",IF($K980&lt;&gt;"对外销售","",ROUND($Q980-$S980,0)))</f>
        <v/>
      </c>
      <c r="U980" s="17" t="n"/>
      <c r="V980" s="17" t="n"/>
      <c r="W980" s="24">
        <f>IF($D980="","",IF($E980="※编码不在物料档案里","※物料编码不在档案里",IF(N($J980)&lt;=0,"※出库数量要大于 0",IF($K980="","※没填去向类型",IF($L980="","※没填去向矿区",IF(AND($C980&lt;&gt;"",$C980&lt;=结账锁),"※日期早于已结账截止日，不能再录",IF(AND($K980="自用消耗",COUNTIF({"一矿区";"二矿区"},$L980)=0),"※自用消耗的去向只能是一矿区或二矿区",IF(AND($K980="对外销售",COUNTIF({"三矿区";"六矿区"},$L980)=0),"※对外销售的去向只能是三矿区或六矿区",IF(AND($K980="对外销售",ROUND($Q980,0)=0),"※外销却没有售价，请填实际售价",IF(AND($K980="对外销售",$T980&lt;&gt;"",$T980&lt;0),"※这一笔外销是亏的，请核对售价",IF(IFERROR(VLOOKUP($D980,库存台账!$A$5:$Y$1204,24,0),0)&lt;-0.001,"※这个物料账面已经变成负数了，查一下是不是漏记入库","")))))))))))</f>
        <v/>
      </c>
    </row>
    <row r="981">
      <c r="A981" s="24">
        <f>IF($D981="","",COUNTA($D$4:$D981))</f>
        <v/>
      </c>
      <c r="B981" s="17" t="n"/>
      <c r="C981" s="30" t="n"/>
      <c r="D981" s="17" t="n"/>
      <c r="E981" s="24">
        <f>IF($D981="","",IFERROR(VLOOKUP($D981,物料档案!$A$4:$P$1203,3,0),"※编码不在物料档案里"))</f>
        <v/>
      </c>
      <c r="F981" s="24">
        <f>IF($D981="","",IFERROR(VLOOKUP($D981,物料档案!$A$4:$P$1203,4,0),"※编码不在物料档案里"))</f>
        <v/>
      </c>
      <c r="G981" s="24">
        <f>IF($D981="","",IFERROR(VLOOKUP($D981,物料档案!$A$4:$P$1203,5,0),"※编码不在物料档案里"))</f>
        <v/>
      </c>
      <c r="H981" s="24">
        <f>IF($D981="","",IFERROR(VLOOKUP($D981,物料档案!$A$4:$P$1203,2,0),"※编码不在物料档案里"))</f>
        <v/>
      </c>
      <c r="I981" s="24">
        <f>IF($D981="","",IFERROR(VLOOKUP($D981,物料档案!$A$4:$P$1203,6,0),"※编码不在物料档案里"))</f>
        <v/>
      </c>
      <c r="J981" s="23" t="n"/>
      <c r="K981" s="17" t="n"/>
      <c r="L981" s="17" t="n"/>
      <c r="M981" s="17" t="n"/>
      <c r="N981" s="17" t="n"/>
      <c r="O981" s="26">
        <f>IF($D981="","",IFERROR(VLOOKUP($D981,物料档案!$A$4:$P$1203,10,0),0))</f>
        <v/>
      </c>
      <c r="P981" s="32" t="n"/>
      <c r="Q981" s="26">
        <f>IF($D981="","",IF($K981&lt;&gt;"对外销售",0,ROUND(N($J981)*IF($P981="",N($O981),N($P981)),0)))</f>
        <v/>
      </c>
      <c r="R981" s="26">
        <f>IF($D981="","",IFERROR(VLOOKUP($D981,库存台账!$A$5:$Y$1204,11,0),0))</f>
        <v/>
      </c>
      <c r="S981" s="26">
        <f>IF($D981="","",ROUND(N($J981)*N($R981),0))</f>
        <v/>
      </c>
      <c r="T981" s="26">
        <f>IF($D981="","",IF($K981&lt;&gt;"对外销售","",ROUND($Q981-$S981,0)))</f>
        <v/>
      </c>
      <c r="U981" s="17" t="n"/>
      <c r="V981" s="17" t="n"/>
      <c r="W981" s="24">
        <f>IF($D981="","",IF($E981="※编码不在物料档案里","※物料编码不在档案里",IF(N($J981)&lt;=0,"※出库数量要大于 0",IF($K981="","※没填去向类型",IF($L981="","※没填去向矿区",IF(AND($C981&lt;&gt;"",$C981&lt;=结账锁),"※日期早于已结账截止日，不能再录",IF(AND($K981="自用消耗",COUNTIF({"一矿区";"二矿区"},$L981)=0),"※自用消耗的去向只能是一矿区或二矿区",IF(AND($K981="对外销售",COUNTIF({"三矿区";"六矿区"},$L981)=0),"※对外销售的去向只能是三矿区或六矿区",IF(AND($K981="对外销售",ROUND($Q981,0)=0),"※外销却没有售价，请填实际售价",IF(AND($K981="对外销售",$T981&lt;&gt;"",$T981&lt;0),"※这一笔外销是亏的，请核对售价",IF(IFERROR(VLOOKUP($D981,库存台账!$A$5:$Y$1204,24,0),0)&lt;-0.001,"※这个物料账面已经变成负数了，查一下是不是漏记入库","")))))))))))</f>
        <v/>
      </c>
    </row>
    <row r="982">
      <c r="A982" s="24">
        <f>IF($D982="","",COUNTA($D$4:$D982))</f>
        <v/>
      </c>
      <c r="B982" s="17" t="n"/>
      <c r="C982" s="30" t="n"/>
      <c r="D982" s="17" t="n"/>
      <c r="E982" s="24">
        <f>IF($D982="","",IFERROR(VLOOKUP($D982,物料档案!$A$4:$P$1203,3,0),"※编码不在物料档案里"))</f>
        <v/>
      </c>
      <c r="F982" s="24">
        <f>IF($D982="","",IFERROR(VLOOKUP($D982,物料档案!$A$4:$P$1203,4,0),"※编码不在物料档案里"))</f>
        <v/>
      </c>
      <c r="G982" s="24">
        <f>IF($D982="","",IFERROR(VLOOKUP($D982,物料档案!$A$4:$P$1203,5,0),"※编码不在物料档案里"))</f>
        <v/>
      </c>
      <c r="H982" s="24">
        <f>IF($D982="","",IFERROR(VLOOKUP($D982,物料档案!$A$4:$P$1203,2,0),"※编码不在物料档案里"))</f>
        <v/>
      </c>
      <c r="I982" s="24">
        <f>IF($D982="","",IFERROR(VLOOKUP($D982,物料档案!$A$4:$P$1203,6,0),"※编码不在物料档案里"))</f>
        <v/>
      </c>
      <c r="J982" s="23" t="n"/>
      <c r="K982" s="17" t="n"/>
      <c r="L982" s="17" t="n"/>
      <c r="M982" s="17" t="n"/>
      <c r="N982" s="17" t="n"/>
      <c r="O982" s="26">
        <f>IF($D982="","",IFERROR(VLOOKUP($D982,物料档案!$A$4:$P$1203,10,0),0))</f>
        <v/>
      </c>
      <c r="P982" s="32" t="n"/>
      <c r="Q982" s="26">
        <f>IF($D982="","",IF($K982&lt;&gt;"对外销售",0,ROUND(N($J982)*IF($P982="",N($O982),N($P982)),0)))</f>
        <v/>
      </c>
      <c r="R982" s="26">
        <f>IF($D982="","",IFERROR(VLOOKUP($D982,库存台账!$A$5:$Y$1204,11,0),0))</f>
        <v/>
      </c>
      <c r="S982" s="26">
        <f>IF($D982="","",ROUND(N($J982)*N($R982),0))</f>
        <v/>
      </c>
      <c r="T982" s="26">
        <f>IF($D982="","",IF($K982&lt;&gt;"对外销售","",ROUND($Q982-$S982,0)))</f>
        <v/>
      </c>
      <c r="U982" s="17" t="n"/>
      <c r="V982" s="17" t="n"/>
      <c r="W982" s="24">
        <f>IF($D982="","",IF($E982="※编码不在物料档案里","※物料编码不在档案里",IF(N($J982)&lt;=0,"※出库数量要大于 0",IF($K982="","※没填去向类型",IF($L982="","※没填去向矿区",IF(AND($C982&lt;&gt;"",$C982&lt;=结账锁),"※日期早于已结账截止日，不能再录",IF(AND($K982="自用消耗",COUNTIF({"一矿区";"二矿区"},$L982)=0),"※自用消耗的去向只能是一矿区或二矿区",IF(AND($K982="对外销售",COUNTIF({"三矿区";"六矿区"},$L982)=0),"※对外销售的去向只能是三矿区或六矿区",IF(AND($K982="对外销售",ROUND($Q982,0)=0),"※外销却没有售价，请填实际售价",IF(AND($K982="对外销售",$T982&lt;&gt;"",$T982&lt;0),"※这一笔外销是亏的，请核对售价",IF(IFERROR(VLOOKUP($D982,库存台账!$A$5:$Y$1204,24,0),0)&lt;-0.001,"※这个物料账面已经变成负数了，查一下是不是漏记入库","")))))))))))</f>
        <v/>
      </c>
    </row>
    <row r="983">
      <c r="A983" s="24">
        <f>IF($D983="","",COUNTA($D$4:$D983))</f>
        <v/>
      </c>
      <c r="B983" s="17" t="n"/>
      <c r="C983" s="30" t="n"/>
      <c r="D983" s="17" t="n"/>
      <c r="E983" s="24">
        <f>IF($D983="","",IFERROR(VLOOKUP($D983,物料档案!$A$4:$P$1203,3,0),"※编码不在物料档案里"))</f>
        <v/>
      </c>
      <c r="F983" s="24">
        <f>IF($D983="","",IFERROR(VLOOKUP($D983,物料档案!$A$4:$P$1203,4,0),"※编码不在物料档案里"))</f>
        <v/>
      </c>
      <c r="G983" s="24">
        <f>IF($D983="","",IFERROR(VLOOKUP($D983,物料档案!$A$4:$P$1203,5,0),"※编码不在物料档案里"))</f>
        <v/>
      </c>
      <c r="H983" s="24">
        <f>IF($D983="","",IFERROR(VLOOKUP($D983,物料档案!$A$4:$P$1203,2,0),"※编码不在物料档案里"))</f>
        <v/>
      </c>
      <c r="I983" s="24">
        <f>IF($D983="","",IFERROR(VLOOKUP($D983,物料档案!$A$4:$P$1203,6,0),"※编码不在物料档案里"))</f>
        <v/>
      </c>
      <c r="J983" s="23" t="n"/>
      <c r="K983" s="17" t="n"/>
      <c r="L983" s="17" t="n"/>
      <c r="M983" s="17" t="n"/>
      <c r="N983" s="17" t="n"/>
      <c r="O983" s="26">
        <f>IF($D983="","",IFERROR(VLOOKUP($D983,物料档案!$A$4:$P$1203,10,0),0))</f>
        <v/>
      </c>
      <c r="P983" s="32" t="n"/>
      <c r="Q983" s="26">
        <f>IF($D983="","",IF($K983&lt;&gt;"对外销售",0,ROUND(N($J983)*IF($P983="",N($O983),N($P983)),0)))</f>
        <v/>
      </c>
      <c r="R983" s="26">
        <f>IF($D983="","",IFERROR(VLOOKUP($D983,库存台账!$A$5:$Y$1204,11,0),0))</f>
        <v/>
      </c>
      <c r="S983" s="26">
        <f>IF($D983="","",ROUND(N($J983)*N($R983),0))</f>
        <v/>
      </c>
      <c r="T983" s="26">
        <f>IF($D983="","",IF($K983&lt;&gt;"对外销售","",ROUND($Q983-$S983,0)))</f>
        <v/>
      </c>
      <c r="U983" s="17" t="n"/>
      <c r="V983" s="17" t="n"/>
      <c r="W983" s="24">
        <f>IF($D983="","",IF($E983="※编码不在物料档案里","※物料编码不在档案里",IF(N($J983)&lt;=0,"※出库数量要大于 0",IF($K983="","※没填去向类型",IF($L983="","※没填去向矿区",IF(AND($C983&lt;&gt;"",$C983&lt;=结账锁),"※日期早于已结账截止日，不能再录",IF(AND($K983="自用消耗",COUNTIF({"一矿区";"二矿区"},$L983)=0),"※自用消耗的去向只能是一矿区或二矿区",IF(AND($K983="对外销售",COUNTIF({"三矿区";"六矿区"},$L983)=0),"※对外销售的去向只能是三矿区或六矿区",IF(AND($K983="对外销售",ROUND($Q983,0)=0),"※外销却没有售价，请填实际售价",IF(AND($K983="对外销售",$T983&lt;&gt;"",$T983&lt;0),"※这一笔外销是亏的，请核对售价",IF(IFERROR(VLOOKUP($D983,库存台账!$A$5:$Y$1204,24,0),0)&lt;-0.001,"※这个物料账面已经变成负数了，查一下是不是漏记入库","")))))))))))</f>
        <v/>
      </c>
    </row>
    <row r="984">
      <c r="A984" s="24">
        <f>IF($D984="","",COUNTA($D$4:$D984))</f>
        <v/>
      </c>
      <c r="B984" s="17" t="n"/>
      <c r="C984" s="30" t="n"/>
      <c r="D984" s="17" t="n"/>
      <c r="E984" s="24">
        <f>IF($D984="","",IFERROR(VLOOKUP($D984,物料档案!$A$4:$P$1203,3,0),"※编码不在物料档案里"))</f>
        <v/>
      </c>
      <c r="F984" s="24">
        <f>IF($D984="","",IFERROR(VLOOKUP($D984,物料档案!$A$4:$P$1203,4,0),"※编码不在物料档案里"))</f>
        <v/>
      </c>
      <c r="G984" s="24">
        <f>IF($D984="","",IFERROR(VLOOKUP($D984,物料档案!$A$4:$P$1203,5,0),"※编码不在物料档案里"))</f>
        <v/>
      </c>
      <c r="H984" s="24">
        <f>IF($D984="","",IFERROR(VLOOKUP($D984,物料档案!$A$4:$P$1203,2,0),"※编码不在物料档案里"))</f>
        <v/>
      </c>
      <c r="I984" s="24">
        <f>IF($D984="","",IFERROR(VLOOKUP($D984,物料档案!$A$4:$P$1203,6,0),"※编码不在物料档案里"))</f>
        <v/>
      </c>
      <c r="J984" s="23" t="n"/>
      <c r="K984" s="17" t="n"/>
      <c r="L984" s="17" t="n"/>
      <c r="M984" s="17" t="n"/>
      <c r="N984" s="17" t="n"/>
      <c r="O984" s="26">
        <f>IF($D984="","",IFERROR(VLOOKUP($D984,物料档案!$A$4:$P$1203,10,0),0))</f>
        <v/>
      </c>
      <c r="P984" s="32" t="n"/>
      <c r="Q984" s="26">
        <f>IF($D984="","",IF($K984&lt;&gt;"对外销售",0,ROUND(N($J984)*IF($P984="",N($O984),N($P984)),0)))</f>
        <v/>
      </c>
      <c r="R984" s="26">
        <f>IF($D984="","",IFERROR(VLOOKUP($D984,库存台账!$A$5:$Y$1204,11,0),0))</f>
        <v/>
      </c>
      <c r="S984" s="26">
        <f>IF($D984="","",ROUND(N($J984)*N($R984),0))</f>
        <v/>
      </c>
      <c r="T984" s="26">
        <f>IF($D984="","",IF($K984&lt;&gt;"对外销售","",ROUND($Q984-$S984,0)))</f>
        <v/>
      </c>
      <c r="U984" s="17" t="n"/>
      <c r="V984" s="17" t="n"/>
      <c r="W984" s="24">
        <f>IF($D984="","",IF($E984="※编码不在物料档案里","※物料编码不在档案里",IF(N($J984)&lt;=0,"※出库数量要大于 0",IF($K984="","※没填去向类型",IF($L984="","※没填去向矿区",IF(AND($C984&lt;&gt;"",$C984&lt;=结账锁),"※日期早于已结账截止日，不能再录",IF(AND($K984="自用消耗",COUNTIF({"一矿区";"二矿区"},$L984)=0),"※自用消耗的去向只能是一矿区或二矿区",IF(AND($K984="对外销售",COUNTIF({"三矿区";"六矿区"},$L984)=0),"※对外销售的去向只能是三矿区或六矿区",IF(AND($K984="对外销售",ROUND($Q984,0)=0),"※外销却没有售价，请填实际售价",IF(AND($K984="对外销售",$T984&lt;&gt;"",$T984&lt;0),"※这一笔外销是亏的，请核对售价",IF(IFERROR(VLOOKUP($D984,库存台账!$A$5:$Y$1204,24,0),0)&lt;-0.001,"※这个物料账面已经变成负数了，查一下是不是漏记入库","")))))))))))</f>
        <v/>
      </c>
    </row>
    <row r="985">
      <c r="A985" s="24">
        <f>IF($D985="","",COUNTA($D$4:$D985))</f>
        <v/>
      </c>
      <c r="B985" s="17" t="n"/>
      <c r="C985" s="30" t="n"/>
      <c r="D985" s="17" t="n"/>
      <c r="E985" s="24">
        <f>IF($D985="","",IFERROR(VLOOKUP($D985,物料档案!$A$4:$P$1203,3,0),"※编码不在物料档案里"))</f>
        <v/>
      </c>
      <c r="F985" s="24">
        <f>IF($D985="","",IFERROR(VLOOKUP($D985,物料档案!$A$4:$P$1203,4,0),"※编码不在物料档案里"))</f>
        <v/>
      </c>
      <c r="G985" s="24">
        <f>IF($D985="","",IFERROR(VLOOKUP($D985,物料档案!$A$4:$P$1203,5,0),"※编码不在物料档案里"))</f>
        <v/>
      </c>
      <c r="H985" s="24">
        <f>IF($D985="","",IFERROR(VLOOKUP($D985,物料档案!$A$4:$P$1203,2,0),"※编码不在物料档案里"))</f>
        <v/>
      </c>
      <c r="I985" s="24">
        <f>IF($D985="","",IFERROR(VLOOKUP($D985,物料档案!$A$4:$P$1203,6,0),"※编码不在物料档案里"))</f>
        <v/>
      </c>
      <c r="J985" s="23" t="n"/>
      <c r="K985" s="17" t="n"/>
      <c r="L985" s="17" t="n"/>
      <c r="M985" s="17" t="n"/>
      <c r="N985" s="17" t="n"/>
      <c r="O985" s="26">
        <f>IF($D985="","",IFERROR(VLOOKUP($D985,物料档案!$A$4:$P$1203,10,0),0))</f>
        <v/>
      </c>
      <c r="P985" s="32" t="n"/>
      <c r="Q985" s="26">
        <f>IF($D985="","",IF($K985&lt;&gt;"对外销售",0,ROUND(N($J985)*IF($P985="",N($O985),N($P985)),0)))</f>
        <v/>
      </c>
      <c r="R985" s="26">
        <f>IF($D985="","",IFERROR(VLOOKUP($D985,库存台账!$A$5:$Y$1204,11,0),0))</f>
        <v/>
      </c>
      <c r="S985" s="26">
        <f>IF($D985="","",ROUND(N($J985)*N($R985),0))</f>
        <v/>
      </c>
      <c r="T985" s="26">
        <f>IF($D985="","",IF($K985&lt;&gt;"对外销售","",ROUND($Q985-$S985,0)))</f>
        <v/>
      </c>
      <c r="U985" s="17" t="n"/>
      <c r="V985" s="17" t="n"/>
      <c r="W985" s="24">
        <f>IF($D985="","",IF($E985="※编码不在物料档案里","※物料编码不在档案里",IF(N($J985)&lt;=0,"※出库数量要大于 0",IF($K985="","※没填去向类型",IF($L985="","※没填去向矿区",IF(AND($C985&lt;&gt;"",$C985&lt;=结账锁),"※日期早于已结账截止日，不能再录",IF(AND($K985="自用消耗",COUNTIF({"一矿区";"二矿区"},$L985)=0),"※自用消耗的去向只能是一矿区或二矿区",IF(AND($K985="对外销售",COUNTIF({"三矿区";"六矿区"},$L985)=0),"※对外销售的去向只能是三矿区或六矿区",IF(AND($K985="对外销售",ROUND($Q985,0)=0),"※外销却没有售价，请填实际售价",IF(AND($K985="对外销售",$T985&lt;&gt;"",$T985&lt;0),"※这一笔外销是亏的，请核对售价",IF(IFERROR(VLOOKUP($D985,库存台账!$A$5:$Y$1204,24,0),0)&lt;-0.001,"※这个物料账面已经变成负数了，查一下是不是漏记入库","")))))))))))</f>
        <v/>
      </c>
    </row>
    <row r="986">
      <c r="A986" s="24">
        <f>IF($D986="","",COUNTA($D$4:$D986))</f>
        <v/>
      </c>
      <c r="B986" s="17" t="n"/>
      <c r="C986" s="30" t="n"/>
      <c r="D986" s="17" t="n"/>
      <c r="E986" s="24">
        <f>IF($D986="","",IFERROR(VLOOKUP($D986,物料档案!$A$4:$P$1203,3,0),"※编码不在物料档案里"))</f>
        <v/>
      </c>
      <c r="F986" s="24">
        <f>IF($D986="","",IFERROR(VLOOKUP($D986,物料档案!$A$4:$P$1203,4,0),"※编码不在物料档案里"))</f>
        <v/>
      </c>
      <c r="G986" s="24">
        <f>IF($D986="","",IFERROR(VLOOKUP($D986,物料档案!$A$4:$P$1203,5,0),"※编码不在物料档案里"))</f>
        <v/>
      </c>
      <c r="H986" s="24">
        <f>IF($D986="","",IFERROR(VLOOKUP($D986,物料档案!$A$4:$P$1203,2,0),"※编码不在物料档案里"))</f>
        <v/>
      </c>
      <c r="I986" s="24">
        <f>IF($D986="","",IFERROR(VLOOKUP($D986,物料档案!$A$4:$P$1203,6,0),"※编码不在物料档案里"))</f>
        <v/>
      </c>
      <c r="J986" s="23" t="n"/>
      <c r="K986" s="17" t="n"/>
      <c r="L986" s="17" t="n"/>
      <c r="M986" s="17" t="n"/>
      <c r="N986" s="17" t="n"/>
      <c r="O986" s="26">
        <f>IF($D986="","",IFERROR(VLOOKUP($D986,物料档案!$A$4:$P$1203,10,0),0))</f>
        <v/>
      </c>
      <c r="P986" s="32" t="n"/>
      <c r="Q986" s="26">
        <f>IF($D986="","",IF($K986&lt;&gt;"对外销售",0,ROUND(N($J986)*IF($P986="",N($O986),N($P986)),0)))</f>
        <v/>
      </c>
      <c r="R986" s="26">
        <f>IF($D986="","",IFERROR(VLOOKUP($D986,库存台账!$A$5:$Y$1204,11,0),0))</f>
        <v/>
      </c>
      <c r="S986" s="26">
        <f>IF($D986="","",ROUND(N($J986)*N($R986),0))</f>
        <v/>
      </c>
      <c r="T986" s="26">
        <f>IF($D986="","",IF($K986&lt;&gt;"对外销售","",ROUND($Q986-$S986,0)))</f>
        <v/>
      </c>
      <c r="U986" s="17" t="n"/>
      <c r="V986" s="17" t="n"/>
      <c r="W986" s="24">
        <f>IF($D986="","",IF($E986="※编码不在物料档案里","※物料编码不在档案里",IF(N($J986)&lt;=0,"※出库数量要大于 0",IF($K986="","※没填去向类型",IF($L986="","※没填去向矿区",IF(AND($C986&lt;&gt;"",$C986&lt;=结账锁),"※日期早于已结账截止日，不能再录",IF(AND($K986="自用消耗",COUNTIF({"一矿区";"二矿区"},$L986)=0),"※自用消耗的去向只能是一矿区或二矿区",IF(AND($K986="对外销售",COUNTIF({"三矿区";"六矿区"},$L986)=0),"※对外销售的去向只能是三矿区或六矿区",IF(AND($K986="对外销售",ROUND($Q986,0)=0),"※外销却没有售价，请填实际售价",IF(AND($K986="对外销售",$T986&lt;&gt;"",$T986&lt;0),"※这一笔外销是亏的，请核对售价",IF(IFERROR(VLOOKUP($D986,库存台账!$A$5:$Y$1204,24,0),0)&lt;-0.001,"※这个物料账面已经变成负数了，查一下是不是漏记入库","")))))))))))</f>
        <v/>
      </c>
    </row>
    <row r="987">
      <c r="A987" s="24">
        <f>IF($D987="","",COUNTA($D$4:$D987))</f>
        <v/>
      </c>
      <c r="B987" s="17" t="n"/>
      <c r="C987" s="30" t="n"/>
      <c r="D987" s="17" t="n"/>
      <c r="E987" s="24">
        <f>IF($D987="","",IFERROR(VLOOKUP($D987,物料档案!$A$4:$P$1203,3,0),"※编码不在物料档案里"))</f>
        <v/>
      </c>
      <c r="F987" s="24">
        <f>IF($D987="","",IFERROR(VLOOKUP($D987,物料档案!$A$4:$P$1203,4,0),"※编码不在物料档案里"))</f>
        <v/>
      </c>
      <c r="G987" s="24">
        <f>IF($D987="","",IFERROR(VLOOKUP($D987,物料档案!$A$4:$P$1203,5,0),"※编码不在物料档案里"))</f>
        <v/>
      </c>
      <c r="H987" s="24">
        <f>IF($D987="","",IFERROR(VLOOKUP($D987,物料档案!$A$4:$P$1203,2,0),"※编码不在物料档案里"))</f>
        <v/>
      </c>
      <c r="I987" s="24">
        <f>IF($D987="","",IFERROR(VLOOKUP($D987,物料档案!$A$4:$P$1203,6,0),"※编码不在物料档案里"))</f>
        <v/>
      </c>
      <c r="J987" s="23" t="n"/>
      <c r="K987" s="17" t="n"/>
      <c r="L987" s="17" t="n"/>
      <c r="M987" s="17" t="n"/>
      <c r="N987" s="17" t="n"/>
      <c r="O987" s="26">
        <f>IF($D987="","",IFERROR(VLOOKUP($D987,物料档案!$A$4:$P$1203,10,0),0))</f>
        <v/>
      </c>
      <c r="P987" s="32" t="n"/>
      <c r="Q987" s="26">
        <f>IF($D987="","",IF($K987&lt;&gt;"对外销售",0,ROUND(N($J987)*IF($P987="",N($O987),N($P987)),0)))</f>
        <v/>
      </c>
      <c r="R987" s="26">
        <f>IF($D987="","",IFERROR(VLOOKUP($D987,库存台账!$A$5:$Y$1204,11,0),0))</f>
        <v/>
      </c>
      <c r="S987" s="26">
        <f>IF($D987="","",ROUND(N($J987)*N($R987),0))</f>
        <v/>
      </c>
      <c r="T987" s="26">
        <f>IF($D987="","",IF($K987&lt;&gt;"对外销售","",ROUND($Q987-$S987,0)))</f>
        <v/>
      </c>
      <c r="U987" s="17" t="n"/>
      <c r="V987" s="17" t="n"/>
      <c r="W987" s="24">
        <f>IF($D987="","",IF($E987="※编码不在物料档案里","※物料编码不在档案里",IF(N($J987)&lt;=0,"※出库数量要大于 0",IF($K987="","※没填去向类型",IF($L987="","※没填去向矿区",IF(AND($C987&lt;&gt;"",$C987&lt;=结账锁),"※日期早于已结账截止日，不能再录",IF(AND($K987="自用消耗",COUNTIF({"一矿区";"二矿区"},$L987)=0),"※自用消耗的去向只能是一矿区或二矿区",IF(AND($K987="对外销售",COUNTIF({"三矿区";"六矿区"},$L987)=0),"※对外销售的去向只能是三矿区或六矿区",IF(AND($K987="对外销售",ROUND($Q987,0)=0),"※外销却没有售价，请填实际售价",IF(AND($K987="对外销售",$T987&lt;&gt;"",$T987&lt;0),"※这一笔外销是亏的，请核对售价",IF(IFERROR(VLOOKUP($D987,库存台账!$A$5:$Y$1204,24,0),0)&lt;-0.001,"※这个物料账面已经变成负数了，查一下是不是漏记入库","")))))))))))</f>
        <v/>
      </c>
    </row>
    <row r="988">
      <c r="A988" s="24">
        <f>IF($D988="","",COUNTA($D$4:$D988))</f>
        <v/>
      </c>
      <c r="B988" s="17" t="n"/>
      <c r="C988" s="30" t="n"/>
      <c r="D988" s="17" t="n"/>
      <c r="E988" s="24">
        <f>IF($D988="","",IFERROR(VLOOKUP($D988,物料档案!$A$4:$P$1203,3,0),"※编码不在物料档案里"))</f>
        <v/>
      </c>
      <c r="F988" s="24">
        <f>IF($D988="","",IFERROR(VLOOKUP($D988,物料档案!$A$4:$P$1203,4,0),"※编码不在物料档案里"))</f>
        <v/>
      </c>
      <c r="G988" s="24">
        <f>IF($D988="","",IFERROR(VLOOKUP($D988,物料档案!$A$4:$P$1203,5,0),"※编码不在物料档案里"))</f>
        <v/>
      </c>
      <c r="H988" s="24">
        <f>IF($D988="","",IFERROR(VLOOKUP($D988,物料档案!$A$4:$P$1203,2,0),"※编码不在物料档案里"))</f>
        <v/>
      </c>
      <c r="I988" s="24">
        <f>IF($D988="","",IFERROR(VLOOKUP($D988,物料档案!$A$4:$P$1203,6,0),"※编码不在物料档案里"))</f>
        <v/>
      </c>
      <c r="J988" s="23" t="n"/>
      <c r="K988" s="17" t="n"/>
      <c r="L988" s="17" t="n"/>
      <c r="M988" s="17" t="n"/>
      <c r="N988" s="17" t="n"/>
      <c r="O988" s="26">
        <f>IF($D988="","",IFERROR(VLOOKUP($D988,物料档案!$A$4:$P$1203,10,0),0))</f>
        <v/>
      </c>
      <c r="P988" s="32" t="n"/>
      <c r="Q988" s="26">
        <f>IF($D988="","",IF($K988&lt;&gt;"对外销售",0,ROUND(N($J988)*IF($P988="",N($O988),N($P988)),0)))</f>
        <v/>
      </c>
      <c r="R988" s="26">
        <f>IF($D988="","",IFERROR(VLOOKUP($D988,库存台账!$A$5:$Y$1204,11,0),0))</f>
        <v/>
      </c>
      <c r="S988" s="26">
        <f>IF($D988="","",ROUND(N($J988)*N($R988),0))</f>
        <v/>
      </c>
      <c r="T988" s="26">
        <f>IF($D988="","",IF($K988&lt;&gt;"对外销售","",ROUND($Q988-$S988,0)))</f>
        <v/>
      </c>
      <c r="U988" s="17" t="n"/>
      <c r="V988" s="17" t="n"/>
      <c r="W988" s="24">
        <f>IF($D988="","",IF($E988="※编码不在物料档案里","※物料编码不在档案里",IF(N($J988)&lt;=0,"※出库数量要大于 0",IF($K988="","※没填去向类型",IF($L988="","※没填去向矿区",IF(AND($C988&lt;&gt;"",$C988&lt;=结账锁),"※日期早于已结账截止日，不能再录",IF(AND($K988="自用消耗",COUNTIF({"一矿区";"二矿区"},$L988)=0),"※自用消耗的去向只能是一矿区或二矿区",IF(AND($K988="对外销售",COUNTIF({"三矿区";"六矿区"},$L988)=0),"※对外销售的去向只能是三矿区或六矿区",IF(AND($K988="对外销售",ROUND($Q988,0)=0),"※外销却没有售价，请填实际售价",IF(AND($K988="对外销售",$T988&lt;&gt;"",$T988&lt;0),"※这一笔外销是亏的，请核对售价",IF(IFERROR(VLOOKUP($D988,库存台账!$A$5:$Y$1204,24,0),0)&lt;-0.001,"※这个物料账面已经变成负数了，查一下是不是漏记入库","")))))))))))</f>
        <v/>
      </c>
    </row>
    <row r="989">
      <c r="A989" s="24">
        <f>IF($D989="","",COUNTA($D$4:$D989))</f>
        <v/>
      </c>
      <c r="B989" s="17" t="n"/>
      <c r="C989" s="30" t="n"/>
      <c r="D989" s="17" t="n"/>
      <c r="E989" s="24">
        <f>IF($D989="","",IFERROR(VLOOKUP($D989,物料档案!$A$4:$P$1203,3,0),"※编码不在物料档案里"))</f>
        <v/>
      </c>
      <c r="F989" s="24">
        <f>IF($D989="","",IFERROR(VLOOKUP($D989,物料档案!$A$4:$P$1203,4,0),"※编码不在物料档案里"))</f>
        <v/>
      </c>
      <c r="G989" s="24">
        <f>IF($D989="","",IFERROR(VLOOKUP($D989,物料档案!$A$4:$P$1203,5,0),"※编码不在物料档案里"))</f>
        <v/>
      </c>
      <c r="H989" s="24">
        <f>IF($D989="","",IFERROR(VLOOKUP($D989,物料档案!$A$4:$P$1203,2,0),"※编码不在物料档案里"))</f>
        <v/>
      </c>
      <c r="I989" s="24">
        <f>IF($D989="","",IFERROR(VLOOKUP($D989,物料档案!$A$4:$P$1203,6,0),"※编码不在物料档案里"))</f>
        <v/>
      </c>
      <c r="J989" s="23" t="n"/>
      <c r="K989" s="17" t="n"/>
      <c r="L989" s="17" t="n"/>
      <c r="M989" s="17" t="n"/>
      <c r="N989" s="17" t="n"/>
      <c r="O989" s="26">
        <f>IF($D989="","",IFERROR(VLOOKUP($D989,物料档案!$A$4:$P$1203,10,0),0))</f>
        <v/>
      </c>
      <c r="P989" s="32" t="n"/>
      <c r="Q989" s="26">
        <f>IF($D989="","",IF($K989&lt;&gt;"对外销售",0,ROUND(N($J989)*IF($P989="",N($O989),N($P989)),0)))</f>
        <v/>
      </c>
      <c r="R989" s="26">
        <f>IF($D989="","",IFERROR(VLOOKUP($D989,库存台账!$A$5:$Y$1204,11,0),0))</f>
        <v/>
      </c>
      <c r="S989" s="26">
        <f>IF($D989="","",ROUND(N($J989)*N($R989),0))</f>
        <v/>
      </c>
      <c r="T989" s="26">
        <f>IF($D989="","",IF($K989&lt;&gt;"对外销售","",ROUND($Q989-$S989,0)))</f>
        <v/>
      </c>
      <c r="U989" s="17" t="n"/>
      <c r="V989" s="17" t="n"/>
      <c r="W989" s="24">
        <f>IF($D989="","",IF($E989="※编码不在物料档案里","※物料编码不在档案里",IF(N($J989)&lt;=0,"※出库数量要大于 0",IF($K989="","※没填去向类型",IF($L989="","※没填去向矿区",IF(AND($C989&lt;&gt;"",$C989&lt;=结账锁),"※日期早于已结账截止日，不能再录",IF(AND($K989="自用消耗",COUNTIF({"一矿区";"二矿区"},$L989)=0),"※自用消耗的去向只能是一矿区或二矿区",IF(AND($K989="对外销售",COUNTIF({"三矿区";"六矿区"},$L989)=0),"※对外销售的去向只能是三矿区或六矿区",IF(AND($K989="对外销售",ROUND($Q989,0)=0),"※外销却没有售价，请填实际售价",IF(AND($K989="对外销售",$T989&lt;&gt;"",$T989&lt;0),"※这一笔外销是亏的，请核对售价",IF(IFERROR(VLOOKUP($D989,库存台账!$A$5:$Y$1204,24,0),0)&lt;-0.001,"※这个物料账面已经变成负数了，查一下是不是漏记入库","")))))))))))</f>
        <v/>
      </c>
    </row>
    <row r="990">
      <c r="A990" s="24">
        <f>IF($D990="","",COUNTA($D$4:$D990))</f>
        <v/>
      </c>
      <c r="B990" s="17" t="n"/>
      <c r="C990" s="30" t="n"/>
      <c r="D990" s="17" t="n"/>
      <c r="E990" s="24">
        <f>IF($D990="","",IFERROR(VLOOKUP($D990,物料档案!$A$4:$P$1203,3,0),"※编码不在物料档案里"))</f>
        <v/>
      </c>
      <c r="F990" s="24">
        <f>IF($D990="","",IFERROR(VLOOKUP($D990,物料档案!$A$4:$P$1203,4,0),"※编码不在物料档案里"))</f>
        <v/>
      </c>
      <c r="G990" s="24">
        <f>IF($D990="","",IFERROR(VLOOKUP($D990,物料档案!$A$4:$P$1203,5,0),"※编码不在物料档案里"))</f>
        <v/>
      </c>
      <c r="H990" s="24">
        <f>IF($D990="","",IFERROR(VLOOKUP($D990,物料档案!$A$4:$P$1203,2,0),"※编码不在物料档案里"))</f>
        <v/>
      </c>
      <c r="I990" s="24">
        <f>IF($D990="","",IFERROR(VLOOKUP($D990,物料档案!$A$4:$P$1203,6,0),"※编码不在物料档案里"))</f>
        <v/>
      </c>
      <c r="J990" s="23" t="n"/>
      <c r="K990" s="17" t="n"/>
      <c r="L990" s="17" t="n"/>
      <c r="M990" s="17" t="n"/>
      <c r="N990" s="17" t="n"/>
      <c r="O990" s="26">
        <f>IF($D990="","",IFERROR(VLOOKUP($D990,物料档案!$A$4:$P$1203,10,0),0))</f>
        <v/>
      </c>
      <c r="P990" s="32" t="n"/>
      <c r="Q990" s="26">
        <f>IF($D990="","",IF($K990&lt;&gt;"对外销售",0,ROUND(N($J990)*IF($P990="",N($O990),N($P990)),0)))</f>
        <v/>
      </c>
      <c r="R990" s="26">
        <f>IF($D990="","",IFERROR(VLOOKUP($D990,库存台账!$A$5:$Y$1204,11,0),0))</f>
        <v/>
      </c>
      <c r="S990" s="26">
        <f>IF($D990="","",ROUND(N($J990)*N($R990),0))</f>
        <v/>
      </c>
      <c r="T990" s="26">
        <f>IF($D990="","",IF($K990&lt;&gt;"对外销售","",ROUND($Q990-$S990,0)))</f>
        <v/>
      </c>
      <c r="U990" s="17" t="n"/>
      <c r="V990" s="17" t="n"/>
      <c r="W990" s="24">
        <f>IF($D990="","",IF($E990="※编码不在物料档案里","※物料编码不在档案里",IF(N($J990)&lt;=0,"※出库数量要大于 0",IF($K990="","※没填去向类型",IF($L990="","※没填去向矿区",IF(AND($C990&lt;&gt;"",$C990&lt;=结账锁),"※日期早于已结账截止日，不能再录",IF(AND($K990="自用消耗",COUNTIF({"一矿区";"二矿区"},$L990)=0),"※自用消耗的去向只能是一矿区或二矿区",IF(AND($K990="对外销售",COUNTIF({"三矿区";"六矿区"},$L990)=0),"※对外销售的去向只能是三矿区或六矿区",IF(AND($K990="对外销售",ROUND($Q990,0)=0),"※外销却没有售价，请填实际售价",IF(AND($K990="对外销售",$T990&lt;&gt;"",$T990&lt;0),"※这一笔外销是亏的，请核对售价",IF(IFERROR(VLOOKUP($D990,库存台账!$A$5:$Y$1204,24,0),0)&lt;-0.001,"※这个物料账面已经变成负数了，查一下是不是漏记入库","")))))))))))</f>
        <v/>
      </c>
    </row>
    <row r="991">
      <c r="A991" s="24">
        <f>IF($D991="","",COUNTA($D$4:$D991))</f>
        <v/>
      </c>
      <c r="B991" s="17" t="n"/>
      <c r="C991" s="30" t="n"/>
      <c r="D991" s="17" t="n"/>
      <c r="E991" s="24">
        <f>IF($D991="","",IFERROR(VLOOKUP($D991,物料档案!$A$4:$P$1203,3,0),"※编码不在物料档案里"))</f>
        <v/>
      </c>
      <c r="F991" s="24">
        <f>IF($D991="","",IFERROR(VLOOKUP($D991,物料档案!$A$4:$P$1203,4,0),"※编码不在物料档案里"))</f>
        <v/>
      </c>
      <c r="G991" s="24">
        <f>IF($D991="","",IFERROR(VLOOKUP($D991,物料档案!$A$4:$P$1203,5,0),"※编码不在物料档案里"))</f>
        <v/>
      </c>
      <c r="H991" s="24">
        <f>IF($D991="","",IFERROR(VLOOKUP($D991,物料档案!$A$4:$P$1203,2,0),"※编码不在物料档案里"))</f>
        <v/>
      </c>
      <c r="I991" s="24">
        <f>IF($D991="","",IFERROR(VLOOKUP($D991,物料档案!$A$4:$P$1203,6,0),"※编码不在物料档案里"))</f>
        <v/>
      </c>
      <c r="J991" s="23" t="n"/>
      <c r="K991" s="17" t="n"/>
      <c r="L991" s="17" t="n"/>
      <c r="M991" s="17" t="n"/>
      <c r="N991" s="17" t="n"/>
      <c r="O991" s="26">
        <f>IF($D991="","",IFERROR(VLOOKUP($D991,物料档案!$A$4:$P$1203,10,0),0))</f>
        <v/>
      </c>
      <c r="P991" s="32" t="n"/>
      <c r="Q991" s="26">
        <f>IF($D991="","",IF($K991&lt;&gt;"对外销售",0,ROUND(N($J991)*IF($P991="",N($O991),N($P991)),0)))</f>
        <v/>
      </c>
      <c r="R991" s="26">
        <f>IF($D991="","",IFERROR(VLOOKUP($D991,库存台账!$A$5:$Y$1204,11,0),0))</f>
        <v/>
      </c>
      <c r="S991" s="26">
        <f>IF($D991="","",ROUND(N($J991)*N($R991),0))</f>
        <v/>
      </c>
      <c r="T991" s="26">
        <f>IF($D991="","",IF($K991&lt;&gt;"对外销售","",ROUND($Q991-$S991,0)))</f>
        <v/>
      </c>
      <c r="U991" s="17" t="n"/>
      <c r="V991" s="17" t="n"/>
      <c r="W991" s="24">
        <f>IF($D991="","",IF($E991="※编码不在物料档案里","※物料编码不在档案里",IF(N($J991)&lt;=0,"※出库数量要大于 0",IF($K991="","※没填去向类型",IF($L991="","※没填去向矿区",IF(AND($C991&lt;&gt;"",$C991&lt;=结账锁),"※日期早于已结账截止日，不能再录",IF(AND($K991="自用消耗",COUNTIF({"一矿区";"二矿区"},$L991)=0),"※自用消耗的去向只能是一矿区或二矿区",IF(AND($K991="对外销售",COUNTIF({"三矿区";"六矿区"},$L991)=0),"※对外销售的去向只能是三矿区或六矿区",IF(AND($K991="对外销售",ROUND($Q991,0)=0),"※外销却没有售价，请填实际售价",IF(AND($K991="对外销售",$T991&lt;&gt;"",$T991&lt;0),"※这一笔外销是亏的，请核对售价",IF(IFERROR(VLOOKUP($D991,库存台账!$A$5:$Y$1204,24,0),0)&lt;-0.001,"※这个物料账面已经变成负数了，查一下是不是漏记入库","")))))))))))</f>
        <v/>
      </c>
    </row>
    <row r="992">
      <c r="A992" s="24">
        <f>IF($D992="","",COUNTA($D$4:$D992))</f>
        <v/>
      </c>
      <c r="B992" s="17" t="n"/>
      <c r="C992" s="30" t="n"/>
      <c r="D992" s="17" t="n"/>
      <c r="E992" s="24">
        <f>IF($D992="","",IFERROR(VLOOKUP($D992,物料档案!$A$4:$P$1203,3,0),"※编码不在物料档案里"))</f>
        <v/>
      </c>
      <c r="F992" s="24">
        <f>IF($D992="","",IFERROR(VLOOKUP($D992,物料档案!$A$4:$P$1203,4,0),"※编码不在物料档案里"))</f>
        <v/>
      </c>
      <c r="G992" s="24">
        <f>IF($D992="","",IFERROR(VLOOKUP($D992,物料档案!$A$4:$P$1203,5,0),"※编码不在物料档案里"))</f>
        <v/>
      </c>
      <c r="H992" s="24">
        <f>IF($D992="","",IFERROR(VLOOKUP($D992,物料档案!$A$4:$P$1203,2,0),"※编码不在物料档案里"))</f>
        <v/>
      </c>
      <c r="I992" s="24">
        <f>IF($D992="","",IFERROR(VLOOKUP($D992,物料档案!$A$4:$P$1203,6,0),"※编码不在物料档案里"))</f>
        <v/>
      </c>
      <c r="J992" s="23" t="n"/>
      <c r="K992" s="17" t="n"/>
      <c r="L992" s="17" t="n"/>
      <c r="M992" s="17" t="n"/>
      <c r="N992" s="17" t="n"/>
      <c r="O992" s="26">
        <f>IF($D992="","",IFERROR(VLOOKUP($D992,物料档案!$A$4:$P$1203,10,0),0))</f>
        <v/>
      </c>
      <c r="P992" s="32" t="n"/>
      <c r="Q992" s="26">
        <f>IF($D992="","",IF($K992&lt;&gt;"对外销售",0,ROUND(N($J992)*IF($P992="",N($O992),N($P992)),0)))</f>
        <v/>
      </c>
      <c r="R992" s="26">
        <f>IF($D992="","",IFERROR(VLOOKUP($D992,库存台账!$A$5:$Y$1204,11,0),0))</f>
        <v/>
      </c>
      <c r="S992" s="26">
        <f>IF($D992="","",ROUND(N($J992)*N($R992),0))</f>
        <v/>
      </c>
      <c r="T992" s="26">
        <f>IF($D992="","",IF($K992&lt;&gt;"对外销售","",ROUND($Q992-$S992,0)))</f>
        <v/>
      </c>
      <c r="U992" s="17" t="n"/>
      <c r="V992" s="17" t="n"/>
      <c r="W992" s="24">
        <f>IF($D992="","",IF($E992="※编码不在物料档案里","※物料编码不在档案里",IF(N($J992)&lt;=0,"※出库数量要大于 0",IF($K992="","※没填去向类型",IF($L992="","※没填去向矿区",IF(AND($C992&lt;&gt;"",$C992&lt;=结账锁),"※日期早于已结账截止日，不能再录",IF(AND($K992="自用消耗",COUNTIF({"一矿区";"二矿区"},$L992)=0),"※自用消耗的去向只能是一矿区或二矿区",IF(AND($K992="对外销售",COUNTIF({"三矿区";"六矿区"},$L992)=0),"※对外销售的去向只能是三矿区或六矿区",IF(AND($K992="对外销售",ROUND($Q992,0)=0),"※外销却没有售价，请填实际售价",IF(AND($K992="对外销售",$T992&lt;&gt;"",$T992&lt;0),"※这一笔外销是亏的，请核对售价",IF(IFERROR(VLOOKUP($D992,库存台账!$A$5:$Y$1204,24,0),0)&lt;-0.001,"※这个物料账面已经变成负数了，查一下是不是漏记入库","")))))))))))</f>
        <v/>
      </c>
    </row>
    <row r="993">
      <c r="A993" s="24">
        <f>IF($D993="","",COUNTA($D$4:$D993))</f>
        <v/>
      </c>
      <c r="B993" s="17" t="n"/>
      <c r="C993" s="30" t="n"/>
      <c r="D993" s="17" t="n"/>
      <c r="E993" s="24">
        <f>IF($D993="","",IFERROR(VLOOKUP($D993,物料档案!$A$4:$P$1203,3,0),"※编码不在物料档案里"))</f>
        <v/>
      </c>
      <c r="F993" s="24">
        <f>IF($D993="","",IFERROR(VLOOKUP($D993,物料档案!$A$4:$P$1203,4,0),"※编码不在物料档案里"))</f>
        <v/>
      </c>
      <c r="G993" s="24">
        <f>IF($D993="","",IFERROR(VLOOKUP($D993,物料档案!$A$4:$P$1203,5,0),"※编码不在物料档案里"))</f>
        <v/>
      </c>
      <c r="H993" s="24">
        <f>IF($D993="","",IFERROR(VLOOKUP($D993,物料档案!$A$4:$P$1203,2,0),"※编码不在物料档案里"))</f>
        <v/>
      </c>
      <c r="I993" s="24">
        <f>IF($D993="","",IFERROR(VLOOKUP($D993,物料档案!$A$4:$P$1203,6,0),"※编码不在物料档案里"))</f>
        <v/>
      </c>
      <c r="J993" s="23" t="n"/>
      <c r="K993" s="17" t="n"/>
      <c r="L993" s="17" t="n"/>
      <c r="M993" s="17" t="n"/>
      <c r="N993" s="17" t="n"/>
      <c r="O993" s="26">
        <f>IF($D993="","",IFERROR(VLOOKUP($D993,物料档案!$A$4:$P$1203,10,0),0))</f>
        <v/>
      </c>
      <c r="P993" s="32" t="n"/>
      <c r="Q993" s="26">
        <f>IF($D993="","",IF($K993&lt;&gt;"对外销售",0,ROUND(N($J993)*IF($P993="",N($O993),N($P993)),0)))</f>
        <v/>
      </c>
      <c r="R993" s="26">
        <f>IF($D993="","",IFERROR(VLOOKUP($D993,库存台账!$A$5:$Y$1204,11,0),0))</f>
        <v/>
      </c>
      <c r="S993" s="26">
        <f>IF($D993="","",ROUND(N($J993)*N($R993),0))</f>
        <v/>
      </c>
      <c r="T993" s="26">
        <f>IF($D993="","",IF($K993&lt;&gt;"对外销售","",ROUND($Q993-$S993,0)))</f>
        <v/>
      </c>
      <c r="U993" s="17" t="n"/>
      <c r="V993" s="17" t="n"/>
      <c r="W993" s="24">
        <f>IF($D993="","",IF($E993="※编码不在物料档案里","※物料编码不在档案里",IF(N($J993)&lt;=0,"※出库数量要大于 0",IF($K993="","※没填去向类型",IF($L993="","※没填去向矿区",IF(AND($C993&lt;&gt;"",$C993&lt;=结账锁),"※日期早于已结账截止日，不能再录",IF(AND($K993="自用消耗",COUNTIF({"一矿区";"二矿区"},$L993)=0),"※自用消耗的去向只能是一矿区或二矿区",IF(AND($K993="对外销售",COUNTIF({"三矿区";"六矿区"},$L993)=0),"※对外销售的去向只能是三矿区或六矿区",IF(AND($K993="对外销售",ROUND($Q993,0)=0),"※外销却没有售价，请填实际售价",IF(AND($K993="对外销售",$T993&lt;&gt;"",$T993&lt;0),"※这一笔外销是亏的，请核对售价",IF(IFERROR(VLOOKUP($D993,库存台账!$A$5:$Y$1204,24,0),0)&lt;-0.001,"※这个物料账面已经变成负数了，查一下是不是漏记入库","")))))))))))</f>
        <v/>
      </c>
    </row>
    <row r="994">
      <c r="A994" s="24">
        <f>IF($D994="","",COUNTA($D$4:$D994))</f>
        <v/>
      </c>
      <c r="B994" s="17" t="n"/>
      <c r="C994" s="30" t="n"/>
      <c r="D994" s="17" t="n"/>
      <c r="E994" s="24">
        <f>IF($D994="","",IFERROR(VLOOKUP($D994,物料档案!$A$4:$P$1203,3,0),"※编码不在物料档案里"))</f>
        <v/>
      </c>
      <c r="F994" s="24">
        <f>IF($D994="","",IFERROR(VLOOKUP($D994,物料档案!$A$4:$P$1203,4,0),"※编码不在物料档案里"))</f>
        <v/>
      </c>
      <c r="G994" s="24">
        <f>IF($D994="","",IFERROR(VLOOKUP($D994,物料档案!$A$4:$P$1203,5,0),"※编码不在物料档案里"))</f>
        <v/>
      </c>
      <c r="H994" s="24">
        <f>IF($D994="","",IFERROR(VLOOKUP($D994,物料档案!$A$4:$P$1203,2,0),"※编码不在物料档案里"))</f>
        <v/>
      </c>
      <c r="I994" s="24">
        <f>IF($D994="","",IFERROR(VLOOKUP($D994,物料档案!$A$4:$P$1203,6,0),"※编码不在物料档案里"))</f>
        <v/>
      </c>
      <c r="J994" s="23" t="n"/>
      <c r="K994" s="17" t="n"/>
      <c r="L994" s="17" t="n"/>
      <c r="M994" s="17" t="n"/>
      <c r="N994" s="17" t="n"/>
      <c r="O994" s="26">
        <f>IF($D994="","",IFERROR(VLOOKUP($D994,物料档案!$A$4:$P$1203,10,0),0))</f>
        <v/>
      </c>
      <c r="P994" s="32" t="n"/>
      <c r="Q994" s="26">
        <f>IF($D994="","",IF($K994&lt;&gt;"对外销售",0,ROUND(N($J994)*IF($P994="",N($O994),N($P994)),0)))</f>
        <v/>
      </c>
      <c r="R994" s="26">
        <f>IF($D994="","",IFERROR(VLOOKUP($D994,库存台账!$A$5:$Y$1204,11,0),0))</f>
        <v/>
      </c>
      <c r="S994" s="26">
        <f>IF($D994="","",ROUND(N($J994)*N($R994),0))</f>
        <v/>
      </c>
      <c r="T994" s="26">
        <f>IF($D994="","",IF($K994&lt;&gt;"对外销售","",ROUND($Q994-$S994,0)))</f>
        <v/>
      </c>
      <c r="U994" s="17" t="n"/>
      <c r="V994" s="17" t="n"/>
      <c r="W994" s="24">
        <f>IF($D994="","",IF($E994="※编码不在物料档案里","※物料编码不在档案里",IF(N($J994)&lt;=0,"※出库数量要大于 0",IF($K994="","※没填去向类型",IF($L994="","※没填去向矿区",IF(AND($C994&lt;&gt;"",$C994&lt;=结账锁),"※日期早于已结账截止日，不能再录",IF(AND($K994="自用消耗",COUNTIF({"一矿区";"二矿区"},$L994)=0),"※自用消耗的去向只能是一矿区或二矿区",IF(AND($K994="对外销售",COUNTIF({"三矿区";"六矿区"},$L994)=0),"※对外销售的去向只能是三矿区或六矿区",IF(AND($K994="对外销售",ROUND($Q994,0)=0),"※外销却没有售价，请填实际售价",IF(AND($K994="对外销售",$T994&lt;&gt;"",$T994&lt;0),"※这一笔外销是亏的，请核对售价",IF(IFERROR(VLOOKUP($D994,库存台账!$A$5:$Y$1204,24,0),0)&lt;-0.001,"※这个物料账面已经变成负数了，查一下是不是漏记入库","")))))))))))</f>
        <v/>
      </c>
    </row>
    <row r="995">
      <c r="A995" s="24">
        <f>IF($D995="","",COUNTA($D$4:$D995))</f>
        <v/>
      </c>
      <c r="B995" s="17" t="n"/>
      <c r="C995" s="30" t="n"/>
      <c r="D995" s="17" t="n"/>
      <c r="E995" s="24">
        <f>IF($D995="","",IFERROR(VLOOKUP($D995,物料档案!$A$4:$P$1203,3,0),"※编码不在物料档案里"))</f>
        <v/>
      </c>
      <c r="F995" s="24">
        <f>IF($D995="","",IFERROR(VLOOKUP($D995,物料档案!$A$4:$P$1203,4,0),"※编码不在物料档案里"))</f>
        <v/>
      </c>
      <c r="G995" s="24">
        <f>IF($D995="","",IFERROR(VLOOKUP($D995,物料档案!$A$4:$P$1203,5,0),"※编码不在物料档案里"))</f>
        <v/>
      </c>
      <c r="H995" s="24">
        <f>IF($D995="","",IFERROR(VLOOKUP($D995,物料档案!$A$4:$P$1203,2,0),"※编码不在物料档案里"))</f>
        <v/>
      </c>
      <c r="I995" s="24">
        <f>IF($D995="","",IFERROR(VLOOKUP($D995,物料档案!$A$4:$P$1203,6,0),"※编码不在物料档案里"))</f>
        <v/>
      </c>
      <c r="J995" s="23" t="n"/>
      <c r="K995" s="17" t="n"/>
      <c r="L995" s="17" t="n"/>
      <c r="M995" s="17" t="n"/>
      <c r="N995" s="17" t="n"/>
      <c r="O995" s="26">
        <f>IF($D995="","",IFERROR(VLOOKUP($D995,物料档案!$A$4:$P$1203,10,0),0))</f>
        <v/>
      </c>
      <c r="P995" s="32" t="n"/>
      <c r="Q995" s="26">
        <f>IF($D995="","",IF($K995&lt;&gt;"对外销售",0,ROUND(N($J995)*IF($P995="",N($O995),N($P995)),0)))</f>
        <v/>
      </c>
      <c r="R995" s="26">
        <f>IF($D995="","",IFERROR(VLOOKUP($D995,库存台账!$A$5:$Y$1204,11,0),0))</f>
        <v/>
      </c>
      <c r="S995" s="26">
        <f>IF($D995="","",ROUND(N($J995)*N($R995),0))</f>
        <v/>
      </c>
      <c r="T995" s="26">
        <f>IF($D995="","",IF($K995&lt;&gt;"对外销售","",ROUND($Q995-$S995,0)))</f>
        <v/>
      </c>
      <c r="U995" s="17" t="n"/>
      <c r="V995" s="17" t="n"/>
      <c r="W995" s="24">
        <f>IF($D995="","",IF($E995="※编码不在物料档案里","※物料编码不在档案里",IF(N($J995)&lt;=0,"※出库数量要大于 0",IF($K995="","※没填去向类型",IF($L995="","※没填去向矿区",IF(AND($C995&lt;&gt;"",$C995&lt;=结账锁),"※日期早于已结账截止日，不能再录",IF(AND($K995="自用消耗",COUNTIF({"一矿区";"二矿区"},$L995)=0),"※自用消耗的去向只能是一矿区或二矿区",IF(AND($K995="对外销售",COUNTIF({"三矿区";"六矿区"},$L995)=0),"※对外销售的去向只能是三矿区或六矿区",IF(AND($K995="对外销售",ROUND($Q995,0)=0),"※外销却没有售价，请填实际售价",IF(AND($K995="对外销售",$T995&lt;&gt;"",$T995&lt;0),"※这一笔外销是亏的，请核对售价",IF(IFERROR(VLOOKUP($D995,库存台账!$A$5:$Y$1204,24,0),0)&lt;-0.001,"※这个物料账面已经变成负数了，查一下是不是漏记入库","")))))))))))</f>
        <v/>
      </c>
    </row>
    <row r="996">
      <c r="A996" s="24">
        <f>IF($D996="","",COUNTA($D$4:$D996))</f>
        <v/>
      </c>
      <c r="B996" s="17" t="n"/>
      <c r="C996" s="30" t="n"/>
      <c r="D996" s="17" t="n"/>
      <c r="E996" s="24">
        <f>IF($D996="","",IFERROR(VLOOKUP($D996,物料档案!$A$4:$P$1203,3,0),"※编码不在物料档案里"))</f>
        <v/>
      </c>
      <c r="F996" s="24">
        <f>IF($D996="","",IFERROR(VLOOKUP($D996,物料档案!$A$4:$P$1203,4,0),"※编码不在物料档案里"))</f>
        <v/>
      </c>
      <c r="G996" s="24">
        <f>IF($D996="","",IFERROR(VLOOKUP($D996,物料档案!$A$4:$P$1203,5,0),"※编码不在物料档案里"))</f>
        <v/>
      </c>
      <c r="H996" s="24">
        <f>IF($D996="","",IFERROR(VLOOKUP($D996,物料档案!$A$4:$P$1203,2,0),"※编码不在物料档案里"))</f>
        <v/>
      </c>
      <c r="I996" s="24">
        <f>IF($D996="","",IFERROR(VLOOKUP($D996,物料档案!$A$4:$P$1203,6,0),"※编码不在物料档案里"))</f>
        <v/>
      </c>
      <c r="J996" s="23" t="n"/>
      <c r="K996" s="17" t="n"/>
      <c r="L996" s="17" t="n"/>
      <c r="M996" s="17" t="n"/>
      <c r="N996" s="17" t="n"/>
      <c r="O996" s="26">
        <f>IF($D996="","",IFERROR(VLOOKUP($D996,物料档案!$A$4:$P$1203,10,0),0))</f>
        <v/>
      </c>
      <c r="P996" s="32" t="n"/>
      <c r="Q996" s="26">
        <f>IF($D996="","",IF($K996&lt;&gt;"对外销售",0,ROUND(N($J996)*IF($P996="",N($O996),N($P996)),0)))</f>
        <v/>
      </c>
      <c r="R996" s="26">
        <f>IF($D996="","",IFERROR(VLOOKUP($D996,库存台账!$A$5:$Y$1204,11,0),0))</f>
        <v/>
      </c>
      <c r="S996" s="26">
        <f>IF($D996="","",ROUND(N($J996)*N($R996),0))</f>
        <v/>
      </c>
      <c r="T996" s="26">
        <f>IF($D996="","",IF($K996&lt;&gt;"对外销售","",ROUND($Q996-$S996,0)))</f>
        <v/>
      </c>
      <c r="U996" s="17" t="n"/>
      <c r="V996" s="17" t="n"/>
      <c r="W996" s="24">
        <f>IF($D996="","",IF($E996="※编码不在物料档案里","※物料编码不在档案里",IF(N($J996)&lt;=0,"※出库数量要大于 0",IF($K996="","※没填去向类型",IF($L996="","※没填去向矿区",IF(AND($C996&lt;&gt;"",$C996&lt;=结账锁),"※日期早于已结账截止日，不能再录",IF(AND($K996="自用消耗",COUNTIF({"一矿区";"二矿区"},$L996)=0),"※自用消耗的去向只能是一矿区或二矿区",IF(AND($K996="对外销售",COUNTIF({"三矿区";"六矿区"},$L996)=0),"※对外销售的去向只能是三矿区或六矿区",IF(AND($K996="对外销售",ROUND($Q996,0)=0),"※外销却没有售价，请填实际售价",IF(AND($K996="对外销售",$T996&lt;&gt;"",$T996&lt;0),"※这一笔外销是亏的，请核对售价",IF(IFERROR(VLOOKUP($D996,库存台账!$A$5:$Y$1204,24,0),0)&lt;-0.001,"※这个物料账面已经变成负数了，查一下是不是漏记入库","")))))))))))</f>
        <v/>
      </c>
    </row>
    <row r="997">
      <c r="A997" s="24">
        <f>IF($D997="","",COUNTA($D$4:$D997))</f>
        <v/>
      </c>
      <c r="B997" s="17" t="n"/>
      <c r="C997" s="30" t="n"/>
      <c r="D997" s="17" t="n"/>
      <c r="E997" s="24">
        <f>IF($D997="","",IFERROR(VLOOKUP($D997,物料档案!$A$4:$P$1203,3,0),"※编码不在物料档案里"))</f>
        <v/>
      </c>
      <c r="F997" s="24">
        <f>IF($D997="","",IFERROR(VLOOKUP($D997,物料档案!$A$4:$P$1203,4,0),"※编码不在物料档案里"))</f>
        <v/>
      </c>
      <c r="G997" s="24">
        <f>IF($D997="","",IFERROR(VLOOKUP($D997,物料档案!$A$4:$P$1203,5,0),"※编码不在物料档案里"))</f>
        <v/>
      </c>
      <c r="H997" s="24">
        <f>IF($D997="","",IFERROR(VLOOKUP($D997,物料档案!$A$4:$P$1203,2,0),"※编码不在物料档案里"))</f>
        <v/>
      </c>
      <c r="I997" s="24">
        <f>IF($D997="","",IFERROR(VLOOKUP($D997,物料档案!$A$4:$P$1203,6,0),"※编码不在物料档案里"))</f>
        <v/>
      </c>
      <c r="J997" s="23" t="n"/>
      <c r="K997" s="17" t="n"/>
      <c r="L997" s="17" t="n"/>
      <c r="M997" s="17" t="n"/>
      <c r="N997" s="17" t="n"/>
      <c r="O997" s="26">
        <f>IF($D997="","",IFERROR(VLOOKUP($D997,物料档案!$A$4:$P$1203,10,0),0))</f>
        <v/>
      </c>
      <c r="P997" s="32" t="n"/>
      <c r="Q997" s="26">
        <f>IF($D997="","",IF($K997&lt;&gt;"对外销售",0,ROUND(N($J997)*IF($P997="",N($O997),N($P997)),0)))</f>
        <v/>
      </c>
      <c r="R997" s="26">
        <f>IF($D997="","",IFERROR(VLOOKUP($D997,库存台账!$A$5:$Y$1204,11,0),0))</f>
        <v/>
      </c>
      <c r="S997" s="26">
        <f>IF($D997="","",ROUND(N($J997)*N($R997),0))</f>
        <v/>
      </c>
      <c r="T997" s="26">
        <f>IF($D997="","",IF($K997&lt;&gt;"对外销售","",ROUND($Q997-$S997,0)))</f>
        <v/>
      </c>
      <c r="U997" s="17" t="n"/>
      <c r="V997" s="17" t="n"/>
      <c r="W997" s="24">
        <f>IF($D997="","",IF($E997="※编码不在物料档案里","※物料编码不在档案里",IF(N($J997)&lt;=0,"※出库数量要大于 0",IF($K997="","※没填去向类型",IF($L997="","※没填去向矿区",IF(AND($C997&lt;&gt;"",$C997&lt;=结账锁),"※日期早于已结账截止日，不能再录",IF(AND($K997="自用消耗",COUNTIF({"一矿区";"二矿区"},$L997)=0),"※自用消耗的去向只能是一矿区或二矿区",IF(AND($K997="对外销售",COUNTIF({"三矿区";"六矿区"},$L997)=0),"※对外销售的去向只能是三矿区或六矿区",IF(AND($K997="对外销售",ROUND($Q997,0)=0),"※外销却没有售价，请填实际售价",IF(AND($K997="对外销售",$T997&lt;&gt;"",$T997&lt;0),"※这一笔外销是亏的，请核对售价",IF(IFERROR(VLOOKUP($D997,库存台账!$A$5:$Y$1204,24,0),0)&lt;-0.001,"※这个物料账面已经变成负数了，查一下是不是漏记入库","")))))))))))</f>
        <v/>
      </c>
    </row>
    <row r="998">
      <c r="A998" s="24">
        <f>IF($D998="","",COUNTA($D$4:$D998))</f>
        <v/>
      </c>
      <c r="B998" s="17" t="n"/>
      <c r="C998" s="30" t="n"/>
      <c r="D998" s="17" t="n"/>
      <c r="E998" s="24">
        <f>IF($D998="","",IFERROR(VLOOKUP($D998,物料档案!$A$4:$P$1203,3,0),"※编码不在物料档案里"))</f>
        <v/>
      </c>
      <c r="F998" s="24">
        <f>IF($D998="","",IFERROR(VLOOKUP($D998,物料档案!$A$4:$P$1203,4,0),"※编码不在物料档案里"))</f>
        <v/>
      </c>
      <c r="G998" s="24">
        <f>IF($D998="","",IFERROR(VLOOKUP($D998,物料档案!$A$4:$P$1203,5,0),"※编码不在物料档案里"))</f>
        <v/>
      </c>
      <c r="H998" s="24">
        <f>IF($D998="","",IFERROR(VLOOKUP($D998,物料档案!$A$4:$P$1203,2,0),"※编码不在物料档案里"))</f>
        <v/>
      </c>
      <c r="I998" s="24">
        <f>IF($D998="","",IFERROR(VLOOKUP($D998,物料档案!$A$4:$P$1203,6,0),"※编码不在物料档案里"))</f>
        <v/>
      </c>
      <c r="J998" s="23" t="n"/>
      <c r="K998" s="17" t="n"/>
      <c r="L998" s="17" t="n"/>
      <c r="M998" s="17" t="n"/>
      <c r="N998" s="17" t="n"/>
      <c r="O998" s="26">
        <f>IF($D998="","",IFERROR(VLOOKUP($D998,物料档案!$A$4:$P$1203,10,0),0))</f>
        <v/>
      </c>
      <c r="P998" s="32" t="n"/>
      <c r="Q998" s="26">
        <f>IF($D998="","",IF($K998&lt;&gt;"对外销售",0,ROUND(N($J998)*IF($P998="",N($O998),N($P998)),0)))</f>
        <v/>
      </c>
      <c r="R998" s="26">
        <f>IF($D998="","",IFERROR(VLOOKUP($D998,库存台账!$A$5:$Y$1204,11,0),0))</f>
        <v/>
      </c>
      <c r="S998" s="26">
        <f>IF($D998="","",ROUND(N($J998)*N($R998),0))</f>
        <v/>
      </c>
      <c r="T998" s="26">
        <f>IF($D998="","",IF($K998&lt;&gt;"对外销售","",ROUND($Q998-$S998,0)))</f>
        <v/>
      </c>
      <c r="U998" s="17" t="n"/>
      <c r="V998" s="17" t="n"/>
      <c r="W998" s="24">
        <f>IF($D998="","",IF($E998="※编码不在物料档案里","※物料编码不在档案里",IF(N($J998)&lt;=0,"※出库数量要大于 0",IF($K998="","※没填去向类型",IF($L998="","※没填去向矿区",IF(AND($C998&lt;&gt;"",$C998&lt;=结账锁),"※日期早于已结账截止日，不能再录",IF(AND($K998="自用消耗",COUNTIF({"一矿区";"二矿区"},$L998)=0),"※自用消耗的去向只能是一矿区或二矿区",IF(AND($K998="对外销售",COUNTIF({"三矿区";"六矿区"},$L998)=0),"※对外销售的去向只能是三矿区或六矿区",IF(AND($K998="对外销售",ROUND($Q998,0)=0),"※外销却没有售价，请填实际售价",IF(AND($K998="对外销售",$T998&lt;&gt;"",$T998&lt;0),"※这一笔外销是亏的，请核对售价",IF(IFERROR(VLOOKUP($D998,库存台账!$A$5:$Y$1204,24,0),0)&lt;-0.001,"※这个物料账面已经变成负数了，查一下是不是漏记入库","")))))))))))</f>
        <v/>
      </c>
    </row>
    <row r="999">
      <c r="A999" s="24">
        <f>IF($D999="","",COUNTA($D$4:$D999))</f>
        <v/>
      </c>
      <c r="B999" s="17" t="n"/>
      <c r="C999" s="30" t="n"/>
      <c r="D999" s="17" t="n"/>
      <c r="E999" s="24">
        <f>IF($D999="","",IFERROR(VLOOKUP($D999,物料档案!$A$4:$P$1203,3,0),"※编码不在物料档案里"))</f>
        <v/>
      </c>
      <c r="F999" s="24">
        <f>IF($D999="","",IFERROR(VLOOKUP($D999,物料档案!$A$4:$P$1203,4,0),"※编码不在物料档案里"))</f>
        <v/>
      </c>
      <c r="G999" s="24">
        <f>IF($D999="","",IFERROR(VLOOKUP($D999,物料档案!$A$4:$P$1203,5,0),"※编码不在物料档案里"))</f>
        <v/>
      </c>
      <c r="H999" s="24">
        <f>IF($D999="","",IFERROR(VLOOKUP($D999,物料档案!$A$4:$P$1203,2,0),"※编码不在物料档案里"))</f>
        <v/>
      </c>
      <c r="I999" s="24">
        <f>IF($D999="","",IFERROR(VLOOKUP($D999,物料档案!$A$4:$P$1203,6,0),"※编码不在物料档案里"))</f>
        <v/>
      </c>
      <c r="J999" s="23" t="n"/>
      <c r="K999" s="17" t="n"/>
      <c r="L999" s="17" t="n"/>
      <c r="M999" s="17" t="n"/>
      <c r="N999" s="17" t="n"/>
      <c r="O999" s="26">
        <f>IF($D999="","",IFERROR(VLOOKUP($D999,物料档案!$A$4:$P$1203,10,0),0))</f>
        <v/>
      </c>
      <c r="P999" s="32" t="n"/>
      <c r="Q999" s="26">
        <f>IF($D999="","",IF($K999&lt;&gt;"对外销售",0,ROUND(N($J999)*IF($P999="",N($O999),N($P999)),0)))</f>
        <v/>
      </c>
      <c r="R999" s="26">
        <f>IF($D999="","",IFERROR(VLOOKUP($D999,库存台账!$A$5:$Y$1204,11,0),0))</f>
        <v/>
      </c>
      <c r="S999" s="26">
        <f>IF($D999="","",ROUND(N($J999)*N($R999),0))</f>
        <v/>
      </c>
      <c r="T999" s="26">
        <f>IF($D999="","",IF($K999&lt;&gt;"对外销售","",ROUND($Q999-$S999,0)))</f>
        <v/>
      </c>
      <c r="U999" s="17" t="n"/>
      <c r="V999" s="17" t="n"/>
      <c r="W999" s="24">
        <f>IF($D999="","",IF($E999="※编码不在物料档案里","※物料编码不在档案里",IF(N($J999)&lt;=0,"※出库数量要大于 0",IF($K999="","※没填去向类型",IF($L999="","※没填去向矿区",IF(AND($C999&lt;&gt;"",$C999&lt;=结账锁),"※日期早于已结账截止日，不能再录",IF(AND($K999="自用消耗",COUNTIF({"一矿区";"二矿区"},$L999)=0),"※自用消耗的去向只能是一矿区或二矿区",IF(AND($K999="对外销售",COUNTIF({"三矿区";"六矿区"},$L999)=0),"※对外销售的去向只能是三矿区或六矿区",IF(AND($K999="对外销售",ROUND($Q999,0)=0),"※外销却没有售价，请填实际售价",IF(AND($K999="对外销售",$T999&lt;&gt;"",$T999&lt;0),"※这一笔外销是亏的，请核对售价",IF(IFERROR(VLOOKUP($D999,库存台账!$A$5:$Y$1204,24,0),0)&lt;-0.001,"※这个物料账面已经变成负数了，查一下是不是漏记入库","")))))))))))</f>
        <v/>
      </c>
    </row>
    <row r="1000">
      <c r="A1000" s="24">
        <f>IF($D1000="","",COUNTA($D$4:$D1000))</f>
        <v/>
      </c>
      <c r="B1000" s="17" t="n"/>
      <c r="C1000" s="30" t="n"/>
      <c r="D1000" s="17" t="n"/>
      <c r="E1000" s="24">
        <f>IF($D1000="","",IFERROR(VLOOKUP($D1000,物料档案!$A$4:$P$1203,3,0),"※编码不在物料档案里"))</f>
        <v/>
      </c>
      <c r="F1000" s="24">
        <f>IF($D1000="","",IFERROR(VLOOKUP($D1000,物料档案!$A$4:$P$1203,4,0),"※编码不在物料档案里"))</f>
        <v/>
      </c>
      <c r="G1000" s="24">
        <f>IF($D1000="","",IFERROR(VLOOKUP($D1000,物料档案!$A$4:$P$1203,5,0),"※编码不在物料档案里"))</f>
        <v/>
      </c>
      <c r="H1000" s="24">
        <f>IF($D1000="","",IFERROR(VLOOKUP($D1000,物料档案!$A$4:$P$1203,2,0),"※编码不在物料档案里"))</f>
        <v/>
      </c>
      <c r="I1000" s="24">
        <f>IF($D1000="","",IFERROR(VLOOKUP($D1000,物料档案!$A$4:$P$1203,6,0),"※编码不在物料档案里"))</f>
        <v/>
      </c>
      <c r="J1000" s="23" t="n"/>
      <c r="K1000" s="17" t="n"/>
      <c r="L1000" s="17" t="n"/>
      <c r="M1000" s="17" t="n"/>
      <c r="N1000" s="17" t="n"/>
      <c r="O1000" s="26">
        <f>IF($D1000="","",IFERROR(VLOOKUP($D1000,物料档案!$A$4:$P$1203,10,0),0))</f>
        <v/>
      </c>
      <c r="P1000" s="32" t="n"/>
      <c r="Q1000" s="26">
        <f>IF($D1000="","",IF($K1000&lt;&gt;"对外销售",0,ROUND(N($J1000)*IF($P1000="",N($O1000),N($P1000)),0)))</f>
        <v/>
      </c>
      <c r="R1000" s="26">
        <f>IF($D1000="","",IFERROR(VLOOKUP($D1000,库存台账!$A$5:$Y$1204,11,0),0))</f>
        <v/>
      </c>
      <c r="S1000" s="26">
        <f>IF($D1000="","",ROUND(N($J1000)*N($R1000),0))</f>
        <v/>
      </c>
      <c r="T1000" s="26">
        <f>IF($D1000="","",IF($K1000&lt;&gt;"对外销售","",ROUND($Q1000-$S1000,0)))</f>
        <v/>
      </c>
      <c r="U1000" s="17" t="n"/>
      <c r="V1000" s="17" t="n"/>
      <c r="W1000" s="24">
        <f>IF($D1000="","",IF($E1000="※编码不在物料档案里","※物料编码不在档案里",IF(N($J1000)&lt;=0,"※出库数量要大于 0",IF($K1000="","※没填去向类型",IF($L1000="","※没填去向矿区",IF(AND($C1000&lt;&gt;"",$C1000&lt;=结账锁),"※日期早于已结账截止日，不能再录",IF(AND($K1000="自用消耗",COUNTIF({"一矿区";"二矿区"},$L1000)=0),"※自用消耗的去向只能是一矿区或二矿区",IF(AND($K1000="对外销售",COUNTIF({"三矿区";"六矿区"},$L1000)=0),"※对外销售的去向只能是三矿区或六矿区",IF(AND($K1000="对外销售",ROUND($Q1000,0)=0),"※外销却没有售价，请填实际售价",IF(AND($K1000="对外销售",$T1000&lt;&gt;"",$T1000&lt;0),"※这一笔外销是亏的，请核对售价",IF(IFERROR(VLOOKUP($D1000,库存台账!$A$5:$Y$1204,24,0),0)&lt;-0.001,"※这个物料账面已经变成负数了，查一下是不是漏记入库","")))))))))))</f>
        <v/>
      </c>
    </row>
    <row r="1001">
      <c r="A1001" s="24">
        <f>IF($D1001="","",COUNTA($D$4:$D1001))</f>
        <v/>
      </c>
      <c r="B1001" s="17" t="n"/>
      <c r="C1001" s="30" t="n"/>
      <c r="D1001" s="17" t="n"/>
      <c r="E1001" s="24">
        <f>IF($D1001="","",IFERROR(VLOOKUP($D1001,物料档案!$A$4:$P$1203,3,0),"※编码不在物料档案里"))</f>
        <v/>
      </c>
      <c r="F1001" s="24">
        <f>IF($D1001="","",IFERROR(VLOOKUP($D1001,物料档案!$A$4:$P$1203,4,0),"※编码不在物料档案里"))</f>
        <v/>
      </c>
      <c r="G1001" s="24">
        <f>IF($D1001="","",IFERROR(VLOOKUP($D1001,物料档案!$A$4:$P$1203,5,0),"※编码不在物料档案里"))</f>
        <v/>
      </c>
      <c r="H1001" s="24">
        <f>IF($D1001="","",IFERROR(VLOOKUP($D1001,物料档案!$A$4:$P$1203,2,0),"※编码不在物料档案里"))</f>
        <v/>
      </c>
      <c r="I1001" s="24">
        <f>IF($D1001="","",IFERROR(VLOOKUP($D1001,物料档案!$A$4:$P$1203,6,0),"※编码不在物料档案里"))</f>
        <v/>
      </c>
      <c r="J1001" s="23" t="n"/>
      <c r="K1001" s="17" t="n"/>
      <c r="L1001" s="17" t="n"/>
      <c r="M1001" s="17" t="n"/>
      <c r="N1001" s="17" t="n"/>
      <c r="O1001" s="26">
        <f>IF($D1001="","",IFERROR(VLOOKUP($D1001,物料档案!$A$4:$P$1203,10,0),0))</f>
        <v/>
      </c>
      <c r="P1001" s="32" t="n"/>
      <c r="Q1001" s="26">
        <f>IF($D1001="","",IF($K1001&lt;&gt;"对外销售",0,ROUND(N($J1001)*IF($P1001="",N($O1001),N($P1001)),0)))</f>
        <v/>
      </c>
      <c r="R1001" s="26">
        <f>IF($D1001="","",IFERROR(VLOOKUP($D1001,库存台账!$A$5:$Y$1204,11,0),0))</f>
        <v/>
      </c>
      <c r="S1001" s="26">
        <f>IF($D1001="","",ROUND(N($J1001)*N($R1001),0))</f>
        <v/>
      </c>
      <c r="T1001" s="26">
        <f>IF($D1001="","",IF($K1001&lt;&gt;"对外销售","",ROUND($Q1001-$S1001,0)))</f>
        <v/>
      </c>
      <c r="U1001" s="17" t="n"/>
      <c r="V1001" s="17" t="n"/>
      <c r="W1001" s="24">
        <f>IF($D1001="","",IF($E1001="※编码不在物料档案里","※物料编码不在档案里",IF(N($J1001)&lt;=0,"※出库数量要大于 0",IF($K1001="","※没填去向类型",IF($L1001="","※没填去向矿区",IF(AND($C1001&lt;&gt;"",$C1001&lt;=结账锁),"※日期早于已结账截止日，不能再录",IF(AND($K1001="自用消耗",COUNTIF({"一矿区";"二矿区"},$L1001)=0),"※自用消耗的去向只能是一矿区或二矿区",IF(AND($K1001="对外销售",COUNTIF({"三矿区";"六矿区"},$L1001)=0),"※对外销售的去向只能是三矿区或六矿区",IF(AND($K1001="对外销售",ROUND($Q1001,0)=0),"※外销却没有售价，请填实际售价",IF(AND($K1001="对外销售",$T1001&lt;&gt;"",$T1001&lt;0),"※这一笔外销是亏的，请核对售价",IF(IFERROR(VLOOKUP($D1001,库存台账!$A$5:$Y$1204,24,0),0)&lt;-0.001,"※这个物料账面已经变成负数了，查一下是不是漏记入库","")))))))))))</f>
        <v/>
      </c>
    </row>
    <row r="1002">
      <c r="A1002" s="24">
        <f>IF($D1002="","",COUNTA($D$4:$D1002))</f>
        <v/>
      </c>
      <c r="B1002" s="17" t="n"/>
      <c r="C1002" s="30" t="n"/>
      <c r="D1002" s="17" t="n"/>
      <c r="E1002" s="24">
        <f>IF($D1002="","",IFERROR(VLOOKUP($D1002,物料档案!$A$4:$P$1203,3,0),"※编码不在物料档案里"))</f>
        <v/>
      </c>
      <c r="F1002" s="24">
        <f>IF($D1002="","",IFERROR(VLOOKUP($D1002,物料档案!$A$4:$P$1203,4,0),"※编码不在物料档案里"))</f>
        <v/>
      </c>
      <c r="G1002" s="24">
        <f>IF($D1002="","",IFERROR(VLOOKUP($D1002,物料档案!$A$4:$P$1203,5,0),"※编码不在物料档案里"))</f>
        <v/>
      </c>
      <c r="H1002" s="24">
        <f>IF($D1002="","",IFERROR(VLOOKUP($D1002,物料档案!$A$4:$P$1203,2,0),"※编码不在物料档案里"))</f>
        <v/>
      </c>
      <c r="I1002" s="24">
        <f>IF($D1002="","",IFERROR(VLOOKUP($D1002,物料档案!$A$4:$P$1203,6,0),"※编码不在物料档案里"))</f>
        <v/>
      </c>
      <c r="J1002" s="23" t="n"/>
      <c r="K1002" s="17" t="n"/>
      <c r="L1002" s="17" t="n"/>
      <c r="M1002" s="17" t="n"/>
      <c r="N1002" s="17" t="n"/>
      <c r="O1002" s="26">
        <f>IF($D1002="","",IFERROR(VLOOKUP($D1002,物料档案!$A$4:$P$1203,10,0),0))</f>
        <v/>
      </c>
      <c r="P1002" s="32" t="n"/>
      <c r="Q1002" s="26">
        <f>IF($D1002="","",IF($K1002&lt;&gt;"对外销售",0,ROUND(N($J1002)*IF($P1002="",N($O1002),N($P1002)),0)))</f>
        <v/>
      </c>
      <c r="R1002" s="26">
        <f>IF($D1002="","",IFERROR(VLOOKUP($D1002,库存台账!$A$5:$Y$1204,11,0),0))</f>
        <v/>
      </c>
      <c r="S1002" s="26">
        <f>IF($D1002="","",ROUND(N($J1002)*N($R1002),0))</f>
        <v/>
      </c>
      <c r="T1002" s="26">
        <f>IF($D1002="","",IF($K1002&lt;&gt;"对外销售","",ROUND($Q1002-$S1002,0)))</f>
        <v/>
      </c>
      <c r="U1002" s="17" t="n"/>
      <c r="V1002" s="17" t="n"/>
      <c r="W1002" s="24">
        <f>IF($D1002="","",IF($E1002="※编码不在物料档案里","※物料编码不在档案里",IF(N($J1002)&lt;=0,"※出库数量要大于 0",IF($K1002="","※没填去向类型",IF($L1002="","※没填去向矿区",IF(AND($C1002&lt;&gt;"",$C1002&lt;=结账锁),"※日期早于已结账截止日，不能再录",IF(AND($K1002="自用消耗",COUNTIF({"一矿区";"二矿区"},$L1002)=0),"※自用消耗的去向只能是一矿区或二矿区",IF(AND($K1002="对外销售",COUNTIF({"三矿区";"六矿区"},$L1002)=0),"※对外销售的去向只能是三矿区或六矿区",IF(AND($K1002="对外销售",ROUND($Q1002,0)=0),"※外销却没有售价，请填实际售价",IF(AND($K1002="对外销售",$T1002&lt;&gt;"",$T1002&lt;0),"※这一笔外销是亏的，请核对售价",IF(IFERROR(VLOOKUP($D1002,库存台账!$A$5:$Y$1204,24,0),0)&lt;-0.001,"※这个物料账面已经变成负数了，查一下是不是漏记入库","")))))))))))</f>
        <v/>
      </c>
    </row>
    <row r="1003">
      <c r="A1003" s="24">
        <f>IF($D1003="","",COUNTA($D$4:$D1003))</f>
        <v/>
      </c>
      <c r="B1003" s="17" t="n"/>
      <c r="C1003" s="30" t="n"/>
      <c r="D1003" s="17" t="n"/>
      <c r="E1003" s="24">
        <f>IF($D1003="","",IFERROR(VLOOKUP($D1003,物料档案!$A$4:$P$1203,3,0),"※编码不在物料档案里"))</f>
        <v/>
      </c>
      <c r="F1003" s="24">
        <f>IF($D1003="","",IFERROR(VLOOKUP($D1003,物料档案!$A$4:$P$1203,4,0),"※编码不在物料档案里"))</f>
        <v/>
      </c>
      <c r="G1003" s="24">
        <f>IF($D1003="","",IFERROR(VLOOKUP($D1003,物料档案!$A$4:$P$1203,5,0),"※编码不在物料档案里"))</f>
        <v/>
      </c>
      <c r="H1003" s="24">
        <f>IF($D1003="","",IFERROR(VLOOKUP($D1003,物料档案!$A$4:$P$1203,2,0),"※编码不在物料档案里"))</f>
        <v/>
      </c>
      <c r="I1003" s="24">
        <f>IF($D1003="","",IFERROR(VLOOKUP($D1003,物料档案!$A$4:$P$1203,6,0),"※编码不在物料档案里"))</f>
        <v/>
      </c>
      <c r="J1003" s="23" t="n"/>
      <c r="K1003" s="17" t="n"/>
      <c r="L1003" s="17" t="n"/>
      <c r="M1003" s="17" t="n"/>
      <c r="N1003" s="17" t="n"/>
      <c r="O1003" s="26">
        <f>IF($D1003="","",IFERROR(VLOOKUP($D1003,物料档案!$A$4:$P$1203,10,0),0))</f>
        <v/>
      </c>
      <c r="P1003" s="32" t="n"/>
      <c r="Q1003" s="26">
        <f>IF($D1003="","",IF($K1003&lt;&gt;"对外销售",0,ROUND(N($J1003)*IF($P1003="",N($O1003),N($P1003)),0)))</f>
        <v/>
      </c>
      <c r="R1003" s="26">
        <f>IF($D1003="","",IFERROR(VLOOKUP($D1003,库存台账!$A$5:$Y$1204,11,0),0))</f>
        <v/>
      </c>
      <c r="S1003" s="26">
        <f>IF($D1003="","",ROUND(N($J1003)*N($R1003),0))</f>
        <v/>
      </c>
      <c r="T1003" s="26">
        <f>IF($D1003="","",IF($K1003&lt;&gt;"对外销售","",ROUND($Q1003-$S1003,0)))</f>
        <v/>
      </c>
      <c r="U1003" s="17" t="n"/>
      <c r="V1003" s="17" t="n"/>
      <c r="W1003" s="24">
        <f>IF($D1003="","",IF($E1003="※编码不在物料档案里","※物料编码不在档案里",IF(N($J1003)&lt;=0,"※出库数量要大于 0",IF($K1003="","※没填去向类型",IF($L1003="","※没填去向矿区",IF(AND($C1003&lt;&gt;"",$C1003&lt;=结账锁),"※日期早于已结账截止日，不能再录",IF(AND($K1003="自用消耗",COUNTIF({"一矿区";"二矿区"},$L1003)=0),"※自用消耗的去向只能是一矿区或二矿区",IF(AND($K1003="对外销售",COUNTIF({"三矿区";"六矿区"},$L1003)=0),"※对外销售的去向只能是三矿区或六矿区",IF(AND($K1003="对外销售",ROUND($Q1003,0)=0),"※外销却没有售价，请填实际售价",IF(AND($K1003="对外销售",$T1003&lt;&gt;"",$T1003&lt;0),"※这一笔外销是亏的，请核对售价",IF(IFERROR(VLOOKUP($D1003,库存台账!$A$5:$Y$1204,24,0),0)&lt;-0.001,"※这个物料账面已经变成负数了，查一下是不是漏记入库","")))))))))))</f>
        <v/>
      </c>
    </row>
    <row r="1004">
      <c r="A1004" s="24">
        <f>IF($D1004="","",COUNTA($D$4:$D1004))</f>
        <v/>
      </c>
      <c r="B1004" s="17" t="n"/>
      <c r="C1004" s="30" t="n"/>
      <c r="D1004" s="17" t="n"/>
      <c r="E1004" s="24">
        <f>IF($D1004="","",IFERROR(VLOOKUP($D1004,物料档案!$A$4:$P$1203,3,0),"※编码不在物料档案里"))</f>
        <v/>
      </c>
      <c r="F1004" s="24">
        <f>IF($D1004="","",IFERROR(VLOOKUP($D1004,物料档案!$A$4:$P$1203,4,0),"※编码不在物料档案里"))</f>
        <v/>
      </c>
      <c r="G1004" s="24">
        <f>IF($D1004="","",IFERROR(VLOOKUP($D1004,物料档案!$A$4:$P$1203,5,0),"※编码不在物料档案里"))</f>
        <v/>
      </c>
      <c r="H1004" s="24">
        <f>IF($D1004="","",IFERROR(VLOOKUP($D1004,物料档案!$A$4:$P$1203,2,0),"※编码不在物料档案里"))</f>
        <v/>
      </c>
      <c r="I1004" s="24">
        <f>IF($D1004="","",IFERROR(VLOOKUP($D1004,物料档案!$A$4:$P$1203,6,0),"※编码不在物料档案里"))</f>
        <v/>
      </c>
      <c r="J1004" s="23" t="n"/>
      <c r="K1004" s="17" t="n"/>
      <c r="L1004" s="17" t="n"/>
      <c r="M1004" s="17" t="n"/>
      <c r="N1004" s="17" t="n"/>
      <c r="O1004" s="26">
        <f>IF($D1004="","",IFERROR(VLOOKUP($D1004,物料档案!$A$4:$P$1203,10,0),0))</f>
        <v/>
      </c>
      <c r="P1004" s="32" t="n"/>
      <c r="Q1004" s="26">
        <f>IF($D1004="","",IF($K1004&lt;&gt;"对外销售",0,ROUND(N($J1004)*IF($P1004="",N($O1004),N($P1004)),0)))</f>
        <v/>
      </c>
      <c r="R1004" s="26">
        <f>IF($D1004="","",IFERROR(VLOOKUP($D1004,库存台账!$A$5:$Y$1204,11,0),0))</f>
        <v/>
      </c>
      <c r="S1004" s="26">
        <f>IF($D1004="","",ROUND(N($J1004)*N($R1004),0))</f>
        <v/>
      </c>
      <c r="T1004" s="26">
        <f>IF($D1004="","",IF($K1004&lt;&gt;"对外销售","",ROUND($Q1004-$S1004,0)))</f>
        <v/>
      </c>
      <c r="U1004" s="17" t="n"/>
      <c r="V1004" s="17" t="n"/>
      <c r="W1004" s="24">
        <f>IF($D1004="","",IF($E1004="※编码不在物料档案里","※物料编码不在档案里",IF(N($J1004)&lt;=0,"※出库数量要大于 0",IF($K1004="","※没填去向类型",IF($L1004="","※没填去向矿区",IF(AND($C1004&lt;&gt;"",$C1004&lt;=结账锁),"※日期早于已结账截止日，不能再录",IF(AND($K1004="自用消耗",COUNTIF({"一矿区";"二矿区"},$L1004)=0),"※自用消耗的去向只能是一矿区或二矿区",IF(AND($K1004="对外销售",COUNTIF({"三矿区";"六矿区"},$L1004)=0),"※对外销售的去向只能是三矿区或六矿区",IF(AND($K1004="对外销售",ROUND($Q1004,0)=0),"※外销却没有售价，请填实际售价",IF(AND($K1004="对外销售",$T1004&lt;&gt;"",$T1004&lt;0),"※这一笔外销是亏的，请核对售价",IF(IFERROR(VLOOKUP($D1004,库存台账!$A$5:$Y$1204,24,0),0)&lt;-0.001,"※这个物料账面已经变成负数了，查一下是不是漏记入库","")))))))))))</f>
        <v/>
      </c>
    </row>
    <row r="1005">
      <c r="A1005" s="24">
        <f>IF($D1005="","",COUNTA($D$4:$D1005))</f>
        <v/>
      </c>
      <c r="B1005" s="17" t="n"/>
      <c r="C1005" s="30" t="n"/>
      <c r="D1005" s="17" t="n"/>
      <c r="E1005" s="24">
        <f>IF($D1005="","",IFERROR(VLOOKUP($D1005,物料档案!$A$4:$P$1203,3,0),"※编码不在物料档案里"))</f>
        <v/>
      </c>
      <c r="F1005" s="24">
        <f>IF($D1005="","",IFERROR(VLOOKUP($D1005,物料档案!$A$4:$P$1203,4,0),"※编码不在物料档案里"))</f>
        <v/>
      </c>
      <c r="G1005" s="24">
        <f>IF($D1005="","",IFERROR(VLOOKUP($D1005,物料档案!$A$4:$P$1203,5,0),"※编码不在物料档案里"))</f>
        <v/>
      </c>
      <c r="H1005" s="24">
        <f>IF($D1005="","",IFERROR(VLOOKUP($D1005,物料档案!$A$4:$P$1203,2,0),"※编码不在物料档案里"))</f>
        <v/>
      </c>
      <c r="I1005" s="24">
        <f>IF($D1005="","",IFERROR(VLOOKUP($D1005,物料档案!$A$4:$P$1203,6,0),"※编码不在物料档案里"))</f>
        <v/>
      </c>
      <c r="J1005" s="23" t="n"/>
      <c r="K1005" s="17" t="n"/>
      <c r="L1005" s="17" t="n"/>
      <c r="M1005" s="17" t="n"/>
      <c r="N1005" s="17" t="n"/>
      <c r="O1005" s="26">
        <f>IF($D1005="","",IFERROR(VLOOKUP($D1005,物料档案!$A$4:$P$1203,10,0),0))</f>
        <v/>
      </c>
      <c r="P1005" s="32" t="n"/>
      <c r="Q1005" s="26">
        <f>IF($D1005="","",IF($K1005&lt;&gt;"对外销售",0,ROUND(N($J1005)*IF($P1005="",N($O1005),N($P1005)),0)))</f>
        <v/>
      </c>
      <c r="R1005" s="26">
        <f>IF($D1005="","",IFERROR(VLOOKUP($D1005,库存台账!$A$5:$Y$1204,11,0),0))</f>
        <v/>
      </c>
      <c r="S1005" s="26">
        <f>IF($D1005="","",ROUND(N($J1005)*N($R1005),0))</f>
        <v/>
      </c>
      <c r="T1005" s="26">
        <f>IF($D1005="","",IF($K1005&lt;&gt;"对外销售","",ROUND($Q1005-$S1005,0)))</f>
        <v/>
      </c>
      <c r="U1005" s="17" t="n"/>
      <c r="V1005" s="17" t="n"/>
      <c r="W1005" s="24">
        <f>IF($D1005="","",IF($E1005="※编码不在物料档案里","※物料编码不在档案里",IF(N($J1005)&lt;=0,"※出库数量要大于 0",IF($K1005="","※没填去向类型",IF($L1005="","※没填去向矿区",IF(AND($C1005&lt;&gt;"",$C1005&lt;=结账锁),"※日期早于已结账截止日，不能再录",IF(AND($K1005="自用消耗",COUNTIF({"一矿区";"二矿区"},$L1005)=0),"※自用消耗的去向只能是一矿区或二矿区",IF(AND($K1005="对外销售",COUNTIF({"三矿区";"六矿区"},$L1005)=0),"※对外销售的去向只能是三矿区或六矿区",IF(AND($K1005="对外销售",ROUND($Q1005,0)=0),"※外销却没有售价，请填实际售价",IF(AND($K1005="对外销售",$T1005&lt;&gt;"",$T1005&lt;0),"※这一笔外销是亏的，请核对售价",IF(IFERROR(VLOOKUP($D1005,库存台账!$A$5:$Y$1204,24,0),0)&lt;-0.001,"※这个物料账面已经变成负数了，查一下是不是漏记入库","")))))))))))</f>
        <v/>
      </c>
    </row>
    <row r="1006">
      <c r="A1006" s="24">
        <f>IF($D1006="","",COUNTA($D$4:$D1006))</f>
        <v/>
      </c>
      <c r="B1006" s="17" t="n"/>
      <c r="C1006" s="30" t="n"/>
      <c r="D1006" s="17" t="n"/>
      <c r="E1006" s="24">
        <f>IF($D1006="","",IFERROR(VLOOKUP($D1006,物料档案!$A$4:$P$1203,3,0),"※编码不在物料档案里"))</f>
        <v/>
      </c>
      <c r="F1006" s="24">
        <f>IF($D1006="","",IFERROR(VLOOKUP($D1006,物料档案!$A$4:$P$1203,4,0),"※编码不在物料档案里"))</f>
        <v/>
      </c>
      <c r="G1006" s="24">
        <f>IF($D1006="","",IFERROR(VLOOKUP($D1006,物料档案!$A$4:$P$1203,5,0),"※编码不在物料档案里"))</f>
        <v/>
      </c>
      <c r="H1006" s="24">
        <f>IF($D1006="","",IFERROR(VLOOKUP($D1006,物料档案!$A$4:$P$1203,2,0),"※编码不在物料档案里"))</f>
        <v/>
      </c>
      <c r="I1006" s="24">
        <f>IF($D1006="","",IFERROR(VLOOKUP($D1006,物料档案!$A$4:$P$1203,6,0),"※编码不在物料档案里"))</f>
        <v/>
      </c>
      <c r="J1006" s="23" t="n"/>
      <c r="K1006" s="17" t="n"/>
      <c r="L1006" s="17" t="n"/>
      <c r="M1006" s="17" t="n"/>
      <c r="N1006" s="17" t="n"/>
      <c r="O1006" s="26">
        <f>IF($D1006="","",IFERROR(VLOOKUP($D1006,物料档案!$A$4:$P$1203,10,0),0))</f>
        <v/>
      </c>
      <c r="P1006" s="32" t="n"/>
      <c r="Q1006" s="26">
        <f>IF($D1006="","",IF($K1006&lt;&gt;"对外销售",0,ROUND(N($J1006)*IF($P1006="",N($O1006),N($P1006)),0)))</f>
        <v/>
      </c>
      <c r="R1006" s="26">
        <f>IF($D1006="","",IFERROR(VLOOKUP($D1006,库存台账!$A$5:$Y$1204,11,0),0))</f>
        <v/>
      </c>
      <c r="S1006" s="26">
        <f>IF($D1006="","",ROUND(N($J1006)*N($R1006),0))</f>
        <v/>
      </c>
      <c r="T1006" s="26">
        <f>IF($D1006="","",IF($K1006&lt;&gt;"对外销售","",ROUND($Q1006-$S1006,0)))</f>
        <v/>
      </c>
      <c r="U1006" s="17" t="n"/>
      <c r="V1006" s="17" t="n"/>
      <c r="W1006" s="24">
        <f>IF($D1006="","",IF($E1006="※编码不在物料档案里","※物料编码不在档案里",IF(N($J1006)&lt;=0,"※出库数量要大于 0",IF($K1006="","※没填去向类型",IF($L1006="","※没填去向矿区",IF(AND($C1006&lt;&gt;"",$C1006&lt;=结账锁),"※日期早于已结账截止日，不能再录",IF(AND($K1006="自用消耗",COUNTIF({"一矿区";"二矿区"},$L1006)=0),"※自用消耗的去向只能是一矿区或二矿区",IF(AND($K1006="对外销售",COUNTIF({"三矿区";"六矿区"},$L1006)=0),"※对外销售的去向只能是三矿区或六矿区",IF(AND($K1006="对外销售",ROUND($Q1006,0)=0),"※外销却没有售价，请填实际售价",IF(AND($K1006="对外销售",$T1006&lt;&gt;"",$T1006&lt;0),"※这一笔外销是亏的，请核对售价",IF(IFERROR(VLOOKUP($D1006,库存台账!$A$5:$Y$1204,24,0),0)&lt;-0.001,"※这个物料账面已经变成负数了，查一下是不是漏记入库","")))))))))))</f>
        <v/>
      </c>
    </row>
    <row r="1007">
      <c r="A1007" s="24">
        <f>IF($D1007="","",COUNTA($D$4:$D1007))</f>
        <v/>
      </c>
      <c r="B1007" s="17" t="n"/>
      <c r="C1007" s="30" t="n"/>
      <c r="D1007" s="17" t="n"/>
      <c r="E1007" s="24">
        <f>IF($D1007="","",IFERROR(VLOOKUP($D1007,物料档案!$A$4:$P$1203,3,0),"※编码不在物料档案里"))</f>
        <v/>
      </c>
      <c r="F1007" s="24">
        <f>IF($D1007="","",IFERROR(VLOOKUP($D1007,物料档案!$A$4:$P$1203,4,0),"※编码不在物料档案里"))</f>
        <v/>
      </c>
      <c r="G1007" s="24">
        <f>IF($D1007="","",IFERROR(VLOOKUP($D1007,物料档案!$A$4:$P$1203,5,0),"※编码不在物料档案里"))</f>
        <v/>
      </c>
      <c r="H1007" s="24">
        <f>IF($D1007="","",IFERROR(VLOOKUP($D1007,物料档案!$A$4:$P$1203,2,0),"※编码不在物料档案里"))</f>
        <v/>
      </c>
      <c r="I1007" s="24">
        <f>IF($D1007="","",IFERROR(VLOOKUP($D1007,物料档案!$A$4:$P$1203,6,0),"※编码不在物料档案里"))</f>
        <v/>
      </c>
      <c r="J1007" s="23" t="n"/>
      <c r="K1007" s="17" t="n"/>
      <c r="L1007" s="17" t="n"/>
      <c r="M1007" s="17" t="n"/>
      <c r="N1007" s="17" t="n"/>
      <c r="O1007" s="26">
        <f>IF($D1007="","",IFERROR(VLOOKUP($D1007,物料档案!$A$4:$P$1203,10,0),0))</f>
        <v/>
      </c>
      <c r="P1007" s="32" t="n"/>
      <c r="Q1007" s="26">
        <f>IF($D1007="","",IF($K1007&lt;&gt;"对外销售",0,ROUND(N($J1007)*IF($P1007="",N($O1007),N($P1007)),0)))</f>
        <v/>
      </c>
      <c r="R1007" s="26">
        <f>IF($D1007="","",IFERROR(VLOOKUP($D1007,库存台账!$A$5:$Y$1204,11,0),0))</f>
        <v/>
      </c>
      <c r="S1007" s="26">
        <f>IF($D1007="","",ROUND(N($J1007)*N($R1007),0))</f>
        <v/>
      </c>
      <c r="T1007" s="26">
        <f>IF($D1007="","",IF($K1007&lt;&gt;"对外销售","",ROUND($Q1007-$S1007,0)))</f>
        <v/>
      </c>
      <c r="U1007" s="17" t="n"/>
      <c r="V1007" s="17" t="n"/>
      <c r="W1007" s="24">
        <f>IF($D1007="","",IF($E1007="※编码不在物料档案里","※物料编码不在档案里",IF(N($J1007)&lt;=0,"※出库数量要大于 0",IF($K1007="","※没填去向类型",IF($L1007="","※没填去向矿区",IF(AND($C1007&lt;&gt;"",$C1007&lt;=结账锁),"※日期早于已结账截止日，不能再录",IF(AND($K1007="自用消耗",COUNTIF({"一矿区";"二矿区"},$L1007)=0),"※自用消耗的去向只能是一矿区或二矿区",IF(AND($K1007="对外销售",COUNTIF({"三矿区";"六矿区"},$L1007)=0),"※对外销售的去向只能是三矿区或六矿区",IF(AND($K1007="对外销售",ROUND($Q1007,0)=0),"※外销却没有售价，请填实际售价",IF(AND($K1007="对外销售",$T1007&lt;&gt;"",$T1007&lt;0),"※这一笔外销是亏的，请核对售价",IF(IFERROR(VLOOKUP($D1007,库存台账!$A$5:$Y$1204,24,0),0)&lt;-0.001,"※这个物料账面已经变成负数了，查一下是不是漏记入库","")))))))))))</f>
        <v/>
      </c>
    </row>
    <row r="1008">
      <c r="A1008" s="24">
        <f>IF($D1008="","",COUNTA($D$4:$D1008))</f>
        <v/>
      </c>
      <c r="B1008" s="17" t="n"/>
      <c r="C1008" s="30" t="n"/>
      <c r="D1008" s="17" t="n"/>
      <c r="E1008" s="24">
        <f>IF($D1008="","",IFERROR(VLOOKUP($D1008,物料档案!$A$4:$P$1203,3,0),"※编码不在物料档案里"))</f>
        <v/>
      </c>
      <c r="F1008" s="24">
        <f>IF($D1008="","",IFERROR(VLOOKUP($D1008,物料档案!$A$4:$P$1203,4,0),"※编码不在物料档案里"))</f>
        <v/>
      </c>
      <c r="G1008" s="24">
        <f>IF($D1008="","",IFERROR(VLOOKUP($D1008,物料档案!$A$4:$P$1203,5,0),"※编码不在物料档案里"))</f>
        <v/>
      </c>
      <c r="H1008" s="24">
        <f>IF($D1008="","",IFERROR(VLOOKUP($D1008,物料档案!$A$4:$P$1203,2,0),"※编码不在物料档案里"))</f>
        <v/>
      </c>
      <c r="I1008" s="24">
        <f>IF($D1008="","",IFERROR(VLOOKUP($D1008,物料档案!$A$4:$P$1203,6,0),"※编码不在物料档案里"))</f>
        <v/>
      </c>
      <c r="J1008" s="23" t="n"/>
      <c r="K1008" s="17" t="n"/>
      <c r="L1008" s="17" t="n"/>
      <c r="M1008" s="17" t="n"/>
      <c r="N1008" s="17" t="n"/>
      <c r="O1008" s="26">
        <f>IF($D1008="","",IFERROR(VLOOKUP($D1008,物料档案!$A$4:$P$1203,10,0),0))</f>
        <v/>
      </c>
      <c r="P1008" s="32" t="n"/>
      <c r="Q1008" s="26">
        <f>IF($D1008="","",IF($K1008&lt;&gt;"对外销售",0,ROUND(N($J1008)*IF($P1008="",N($O1008),N($P1008)),0)))</f>
        <v/>
      </c>
      <c r="R1008" s="26">
        <f>IF($D1008="","",IFERROR(VLOOKUP($D1008,库存台账!$A$5:$Y$1204,11,0),0))</f>
        <v/>
      </c>
      <c r="S1008" s="26">
        <f>IF($D1008="","",ROUND(N($J1008)*N($R1008),0))</f>
        <v/>
      </c>
      <c r="T1008" s="26">
        <f>IF($D1008="","",IF($K1008&lt;&gt;"对外销售","",ROUND($Q1008-$S1008,0)))</f>
        <v/>
      </c>
      <c r="U1008" s="17" t="n"/>
      <c r="V1008" s="17" t="n"/>
      <c r="W1008" s="24">
        <f>IF($D1008="","",IF($E1008="※编码不在物料档案里","※物料编码不在档案里",IF(N($J1008)&lt;=0,"※出库数量要大于 0",IF($K1008="","※没填去向类型",IF($L1008="","※没填去向矿区",IF(AND($C1008&lt;&gt;"",$C1008&lt;=结账锁),"※日期早于已结账截止日，不能再录",IF(AND($K1008="自用消耗",COUNTIF({"一矿区";"二矿区"},$L1008)=0),"※自用消耗的去向只能是一矿区或二矿区",IF(AND($K1008="对外销售",COUNTIF({"三矿区";"六矿区"},$L1008)=0),"※对外销售的去向只能是三矿区或六矿区",IF(AND($K1008="对外销售",ROUND($Q1008,0)=0),"※外销却没有售价，请填实际售价",IF(AND($K1008="对外销售",$T1008&lt;&gt;"",$T1008&lt;0),"※这一笔外销是亏的，请核对售价",IF(IFERROR(VLOOKUP($D1008,库存台账!$A$5:$Y$1204,24,0),0)&lt;-0.001,"※这个物料账面已经变成负数了，查一下是不是漏记入库","")))))))))))</f>
        <v/>
      </c>
    </row>
    <row r="1009">
      <c r="A1009" s="24">
        <f>IF($D1009="","",COUNTA($D$4:$D1009))</f>
        <v/>
      </c>
      <c r="B1009" s="17" t="n"/>
      <c r="C1009" s="30" t="n"/>
      <c r="D1009" s="17" t="n"/>
      <c r="E1009" s="24">
        <f>IF($D1009="","",IFERROR(VLOOKUP($D1009,物料档案!$A$4:$P$1203,3,0),"※编码不在物料档案里"))</f>
        <v/>
      </c>
      <c r="F1009" s="24">
        <f>IF($D1009="","",IFERROR(VLOOKUP($D1009,物料档案!$A$4:$P$1203,4,0),"※编码不在物料档案里"))</f>
        <v/>
      </c>
      <c r="G1009" s="24">
        <f>IF($D1009="","",IFERROR(VLOOKUP($D1009,物料档案!$A$4:$P$1203,5,0),"※编码不在物料档案里"))</f>
        <v/>
      </c>
      <c r="H1009" s="24">
        <f>IF($D1009="","",IFERROR(VLOOKUP($D1009,物料档案!$A$4:$P$1203,2,0),"※编码不在物料档案里"))</f>
        <v/>
      </c>
      <c r="I1009" s="24">
        <f>IF($D1009="","",IFERROR(VLOOKUP($D1009,物料档案!$A$4:$P$1203,6,0),"※编码不在物料档案里"))</f>
        <v/>
      </c>
      <c r="J1009" s="23" t="n"/>
      <c r="K1009" s="17" t="n"/>
      <c r="L1009" s="17" t="n"/>
      <c r="M1009" s="17" t="n"/>
      <c r="N1009" s="17" t="n"/>
      <c r="O1009" s="26">
        <f>IF($D1009="","",IFERROR(VLOOKUP($D1009,物料档案!$A$4:$P$1203,10,0),0))</f>
        <v/>
      </c>
      <c r="P1009" s="32" t="n"/>
      <c r="Q1009" s="26">
        <f>IF($D1009="","",IF($K1009&lt;&gt;"对外销售",0,ROUND(N($J1009)*IF($P1009="",N($O1009),N($P1009)),0)))</f>
        <v/>
      </c>
      <c r="R1009" s="26">
        <f>IF($D1009="","",IFERROR(VLOOKUP($D1009,库存台账!$A$5:$Y$1204,11,0),0))</f>
        <v/>
      </c>
      <c r="S1009" s="26">
        <f>IF($D1009="","",ROUND(N($J1009)*N($R1009),0))</f>
        <v/>
      </c>
      <c r="T1009" s="26">
        <f>IF($D1009="","",IF($K1009&lt;&gt;"对外销售","",ROUND($Q1009-$S1009,0)))</f>
        <v/>
      </c>
      <c r="U1009" s="17" t="n"/>
      <c r="V1009" s="17" t="n"/>
      <c r="W1009" s="24">
        <f>IF($D1009="","",IF($E1009="※编码不在物料档案里","※物料编码不在档案里",IF(N($J1009)&lt;=0,"※出库数量要大于 0",IF($K1009="","※没填去向类型",IF($L1009="","※没填去向矿区",IF(AND($C1009&lt;&gt;"",$C1009&lt;=结账锁),"※日期早于已结账截止日，不能再录",IF(AND($K1009="自用消耗",COUNTIF({"一矿区";"二矿区"},$L1009)=0),"※自用消耗的去向只能是一矿区或二矿区",IF(AND($K1009="对外销售",COUNTIF({"三矿区";"六矿区"},$L1009)=0),"※对外销售的去向只能是三矿区或六矿区",IF(AND($K1009="对外销售",ROUND($Q1009,0)=0),"※外销却没有售价，请填实际售价",IF(AND($K1009="对外销售",$T1009&lt;&gt;"",$T1009&lt;0),"※这一笔外销是亏的，请核对售价",IF(IFERROR(VLOOKUP($D1009,库存台账!$A$5:$Y$1204,24,0),0)&lt;-0.001,"※这个物料账面已经变成负数了，查一下是不是漏记入库","")))))))))))</f>
        <v/>
      </c>
    </row>
    <row r="1010">
      <c r="A1010" s="24">
        <f>IF($D1010="","",COUNTA($D$4:$D1010))</f>
        <v/>
      </c>
      <c r="B1010" s="17" t="n"/>
      <c r="C1010" s="30" t="n"/>
      <c r="D1010" s="17" t="n"/>
      <c r="E1010" s="24">
        <f>IF($D1010="","",IFERROR(VLOOKUP($D1010,物料档案!$A$4:$P$1203,3,0),"※编码不在物料档案里"))</f>
        <v/>
      </c>
      <c r="F1010" s="24">
        <f>IF($D1010="","",IFERROR(VLOOKUP($D1010,物料档案!$A$4:$P$1203,4,0),"※编码不在物料档案里"))</f>
        <v/>
      </c>
      <c r="G1010" s="24">
        <f>IF($D1010="","",IFERROR(VLOOKUP($D1010,物料档案!$A$4:$P$1203,5,0),"※编码不在物料档案里"))</f>
        <v/>
      </c>
      <c r="H1010" s="24">
        <f>IF($D1010="","",IFERROR(VLOOKUP($D1010,物料档案!$A$4:$P$1203,2,0),"※编码不在物料档案里"))</f>
        <v/>
      </c>
      <c r="I1010" s="24">
        <f>IF($D1010="","",IFERROR(VLOOKUP($D1010,物料档案!$A$4:$P$1203,6,0),"※编码不在物料档案里"))</f>
        <v/>
      </c>
      <c r="J1010" s="23" t="n"/>
      <c r="K1010" s="17" t="n"/>
      <c r="L1010" s="17" t="n"/>
      <c r="M1010" s="17" t="n"/>
      <c r="N1010" s="17" t="n"/>
      <c r="O1010" s="26">
        <f>IF($D1010="","",IFERROR(VLOOKUP($D1010,物料档案!$A$4:$P$1203,10,0),0))</f>
        <v/>
      </c>
      <c r="P1010" s="32" t="n"/>
      <c r="Q1010" s="26">
        <f>IF($D1010="","",IF($K1010&lt;&gt;"对外销售",0,ROUND(N($J1010)*IF($P1010="",N($O1010),N($P1010)),0)))</f>
        <v/>
      </c>
      <c r="R1010" s="26">
        <f>IF($D1010="","",IFERROR(VLOOKUP($D1010,库存台账!$A$5:$Y$1204,11,0),0))</f>
        <v/>
      </c>
      <c r="S1010" s="26">
        <f>IF($D1010="","",ROUND(N($J1010)*N($R1010),0))</f>
        <v/>
      </c>
      <c r="T1010" s="26">
        <f>IF($D1010="","",IF($K1010&lt;&gt;"对外销售","",ROUND($Q1010-$S1010,0)))</f>
        <v/>
      </c>
      <c r="U1010" s="17" t="n"/>
      <c r="V1010" s="17" t="n"/>
      <c r="W1010" s="24">
        <f>IF($D1010="","",IF($E1010="※编码不在物料档案里","※物料编码不在档案里",IF(N($J1010)&lt;=0,"※出库数量要大于 0",IF($K1010="","※没填去向类型",IF($L1010="","※没填去向矿区",IF(AND($C1010&lt;&gt;"",$C1010&lt;=结账锁),"※日期早于已结账截止日，不能再录",IF(AND($K1010="自用消耗",COUNTIF({"一矿区";"二矿区"},$L1010)=0),"※自用消耗的去向只能是一矿区或二矿区",IF(AND($K1010="对外销售",COUNTIF({"三矿区";"六矿区"},$L1010)=0),"※对外销售的去向只能是三矿区或六矿区",IF(AND($K1010="对外销售",ROUND($Q1010,0)=0),"※外销却没有售价，请填实际售价",IF(AND($K1010="对外销售",$T1010&lt;&gt;"",$T1010&lt;0),"※这一笔外销是亏的，请核对售价",IF(IFERROR(VLOOKUP($D1010,库存台账!$A$5:$Y$1204,24,0),0)&lt;-0.001,"※这个物料账面已经变成负数了，查一下是不是漏记入库","")))))))))))</f>
        <v/>
      </c>
    </row>
    <row r="1011">
      <c r="A1011" s="24">
        <f>IF($D1011="","",COUNTA($D$4:$D1011))</f>
        <v/>
      </c>
      <c r="B1011" s="17" t="n"/>
      <c r="C1011" s="30" t="n"/>
      <c r="D1011" s="17" t="n"/>
      <c r="E1011" s="24">
        <f>IF($D1011="","",IFERROR(VLOOKUP($D1011,物料档案!$A$4:$P$1203,3,0),"※编码不在物料档案里"))</f>
        <v/>
      </c>
      <c r="F1011" s="24">
        <f>IF($D1011="","",IFERROR(VLOOKUP($D1011,物料档案!$A$4:$P$1203,4,0),"※编码不在物料档案里"))</f>
        <v/>
      </c>
      <c r="G1011" s="24">
        <f>IF($D1011="","",IFERROR(VLOOKUP($D1011,物料档案!$A$4:$P$1203,5,0),"※编码不在物料档案里"))</f>
        <v/>
      </c>
      <c r="H1011" s="24">
        <f>IF($D1011="","",IFERROR(VLOOKUP($D1011,物料档案!$A$4:$P$1203,2,0),"※编码不在物料档案里"))</f>
        <v/>
      </c>
      <c r="I1011" s="24">
        <f>IF($D1011="","",IFERROR(VLOOKUP($D1011,物料档案!$A$4:$P$1203,6,0),"※编码不在物料档案里"))</f>
        <v/>
      </c>
      <c r="J1011" s="23" t="n"/>
      <c r="K1011" s="17" t="n"/>
      <c r="L1011" s="17" t="n"/>
      <c r="M1011" s="17" t="n"/>
      <c r="N1011" s="17" t="n"/>
      <c r="O1011" s="26">
        <f>IF($D1011="","",IFERROR(VLOOKUP($D1011,物料档案!$A$4:$P$1203,10,0),0))</f>
        <v/>
      </c>
      <c r="P1011" s="32" t="n"/>
      <c r="Q1011" s="26">
        <f>IF($D1011="","",IF($K1011&lt;&gt;"对外销售",0,ROUND(N($J1011)*IF($P1011="",N($O1011),N($P1011)),0)))</f>
        <v/>
      </c>
      <c r="R1011" s="26">
        <f>IF($D1011="","",IFERROR(VLOOKUP($D1011,库存台账!$A$5:$Y$1204,11,0),0))</f>
        <v/>
      </c>
      <c r="S1011" s="26">
        <f>IF($D1011="","",ROUND(N($J1011)*N($R1011),0))</f>
        <v/>
      </c>
      <c r="T1011" s="26">
        <f>IF($D1011="","",IF($K1011&lt;&gt;"对外销售","",ROUND($Q1011-$S1011,0)))</f>
        <v/>
      </c>
      <c r="U1011" s="17" t="n"/>
      <c r="V1011" s="17" t="n"/>
      <c r="W1011" s="24">
        <f>IF($D1011="","",IF($E1011="※编码不在物料档案里","※物料编码不在档案里",IF(N($J1011)&lt;=0,"※出库数量要大于 0",IF($K1011="","※没填去向类型",IF($L1011="","※没填去向矿区",IF(AND($C1011&lt;&gt;"",$C1011&lt;=结账锁),"※日期早于已结账截止日，不能再录",IF(AND($K1011="自用消耗",COUNTIF({"一矿区";"二矿区"},$L1011)=0),"※自用消耗的去向只能是一矿区或二矿区",IF(AND($K1011="对外销售",COUNTIF({"三矿区";"六矿区"},$L1011)=0),"※对外销售的去向只能是三矿区或六矿区",IF(AND($K1011="对外销售",ROUND($Q1011,0)=0),"※外销却没有售价，请填实际售价",IF(AND($K1011="对外销售",$T1011&lt;&gt;"",$T1011&lt;0),"※这一笔外销是亏的，请核对售价",IF(IFERROR(VLOOKUP($D1011,库存台账!$A$5:$Y$1204,24,0),0)&lt;-0.001,"※这个物料账面已经变成负数了，查一下是不是漏记入库","")))))))))))</f>
        <v/>
      </c>
    </row>
    <row r="1012">
      <c r="A1012" s="24">
        <f>IF($D1012="","",COUNTA($D$4:$D1012))</f>
        <v/>
      </c>
      <c r="B1012" s="17" t="n"/>
      <c r="C1012" s="30" t="n"/>
      <c r="D1012" s="17" t="n"/>
      <c r="E1012" s="24">
        <f>IF($D1012="","",IFERROR(VLOOKUP($D1012,物料档案!$A$4:$P$1203,3,0),"※编码不在物料档案里"))</f>
        <v/>
      </c>
      <c r="F1012" s="24">
        <f>IF($D1012="","",IFERROR(VLOOKUP($D1012,物料档案!$A$4:$P$1203,4,0),"※编码不在物料档案里"))</f>
        <v/>
      </c>
      <c r="G1012" s="24">
        <f>IF($D1012="","",IFERROR(VLOOKUP($D1012,物料档案!$A$4:$P$1203,5,0),"※编码不在物料档案里"))</f>
        <v/>
      </c>
      <c r="H1012" s="24">
        <f>IF($D1012="","",IFERROR(VLOOKUP($D1012,物料档案!$A$4:$P$1203,2,0),"※编码不在物料档案里"))</f>
        <v/>
      </c>
      <c r="I1012" s="24">
        <f>IF($D1012="","",IFERROR(VLOOKUP($D1012,物料档案!$A$4:$P$1203,6,0),"※编码不在物料档案里"))</f>
        <v/>
      </c>
      <c r="J1012" s="23" t="n"/>
      <c r="K1012" s="17" t="n"/>
      <c r="L1012" s="17" t="n"/>
      <c r="M1012" s="17" t="n"/>
      <c r="N1012" s="17" t="n"/>
      <c r="O1012" s="26">
        <f>IF($D1012="","",IFERROR(VLOOKUP($D1012,物料档案!$A$4:$P$1203,10,0),0))</f>
        <v/>
      </c>
      <c r="P1012" s="32" t="n"/>
      <c r="Q1012" s="26">
        <f>IF($D1012="","",IF($K1012&lt;&gt;"对外销售",0,ROUND(N($J1012)*IF($P1012="",N($O1012),N($P1012)),0)))</f>
        <v/>
      </c>
      <c r="R1012" s="26">
        <f>IF($D1012="","",IFERROR(VLOOKUP($D1012,库存台账!$A$5:$Y$1204,11,0),0))</f>
        <v/>
      </c>
      <c r="S1012" s="26">
        <f>IF($D1012="","",ROUND(N($J1012)*N($R1012),0))</f>
        <v/>
      </c>
      <c r="T1012" s="26">
        <f>IF($D1012="","",IF($K1012&lt;&gt;"对外销售","",ROUND($Q1012-$S1012,0)))</f>
        <v/>
      </c>
      <c r="U1012" s="17" t="n"/>
      <c r="V1012" s="17" t="n"/>
      <c r="W1012" s="24">
        <f>IF($D1012="","",IF($E1012="※编码不在物料档案里","※物料编码不在档案里",IF(N($J1012)&lt;=0,"※出库数量要大于 0",IF($K1012="","※没填去向类型",IF($L1012="","※没填去向矿区",IF(AND($C1012&lt;&gt;"",$C1012&lt;=结账锁),"※日期早于已结账截止日，不能再录",IF(AND($K1012="自用消耗",COUNTIF({"一矿区";"二矿区"},$L1012)=0),"※自用消耗的去向只能是一矿区或二矿区",IF(AND($K1012="对外销售",COUNTIF({"三矿区";"六矿区"},$L1012)=0),"※对外销售的去向只能是三矿区或六矿区",IF(AND($K1012="对外销售",ROUND($Q1012,0)=0),"※外销却没有售价，请填实际售价",IF(AND($K1012="对外销售",$T1012&lt;&gt;"",$T1012&lt;0),"※这一笔外销是亏的，请核对售价",IF(IFERROR(VLOOKUP($D1012,库存台账!$A$5:$Y$1204,24,0),0)&lt;-0.001,"※这个物料账面已经变成负数了，查一下是不是漏记入库","")))))))))))</f>
        <v/>
      </c>
    </row>
    <row r="1013">
      <c r="A1013" s="24">
        <f>IF($D1013="","",COUNTA($D$4:$D1013))</f>
        <v/>
      </c>
      <c r="B1013" s="17" t="n"/>
      <c r="C1013" s="30" t="n"/>
      <c r="D1013" s="17" t="n"/>
      <c r="E1013" s="24">
        <f>IF($D1013="","",IFERROR(VLOOKUP($D1013,物料档案!$A$4:$P$1203,3,0),"※编码不在物料档案里"))</f>
        <v/>
      </c>
      <c r="F1013" s="24">
        <f>IF($D1013="","",IFERROR(VLOOKUP($D1013,物料档案!$A$4:$P$1203,4,0),"※编码不在物料档案里"))</f>
        <v/>
      </c>
      <c r="G1013" s="24">
        <f>IF($D1013="","",IFERROR(VLOOKUP($D1013,物料档案!$A$4:$P$1203,5,0),"※编码不在物料档案里"))</f>
        <v/>
      </c>
      <c r="H1013" s="24">
        <f>IF($D1013="","",IFERROR(VLOOKUP($D1013,物料档案!$A$4:$P$1203,2,0),"※编码不在物料档案里"))</f>
        <v/>
      </c>
      <c r="I1013" s="24">
        <f>IF($D1013="","",IFERROR(VLOOKUP($D1013,物料档案!$A$4:$P$1203,6,0),"※编码不在物料档案里"))</f>
        <v/>
      </c>
      <c r="J1013" s="23" t="n"/>
      <c r="K1013" s="17" t="n"/>
      <c r="L1013" s="17" t="n"/>
      <c r="M1013" s="17" t="n"/>
      <c r="N1013" s="17" t="n"/>
      <c r="O1013" s="26">
        <f>IF($D1013="","",IFERROR(VLOOKUP($D1013,物料档案!$A$4:$P$1203,10,0),0))</f>
        <v/>
      </c>
      <c r="P1013" s="32" t="n"/>
      <c r="Q1013" s="26">
        <f>IF($D1013="","",IF($K1013&lt;&gt;"对外销售",0,ROUND(N($J1013)*IF($P1013="",N($O1013),N($P1013)),0)))</f>
        <v/>
      </c>
      <c r="R1013" s="26">
        <f>IF($D1013="","",IFERROR(VLOOKUP($D1013,库存台账!$A$5:$Y$1204,11,0),0))</f>
        <v/>
      </c>
      <c r="S1013" s="26">
        <f>IF($D1013="","",ROUND(N($J1013)*N($R1013),0))</f>
        <v/>
      </c>
      <c r="T1013" s="26">
        <f>IF($D1013="","",IF($K1013&lt;&gt;"对外销售","",ROUND($Q1013-$S1013,0)))</f>
        <v/>
      </c>
      <c r="U1013" s="17" t="n"/>
      <c r="V1013" s="17" t="n"/>
      <c r="W1013" s="24">
        <f>IF($D1013="","",IF($E1013="※编码不在物料档案里","※物料编码不在档案里",IF(N($J1013)&lt;=0,"※出库数量要大于 0",IF($K1013="","※没填去向类型",IF($L1013="","※没填去向矿区",IF(AND($C1013&lt;&gt;"",$C1013&lt;=结账锁),"※日期早于已结账截止日，不能再录",IF(AND($K1013="自用消耗",COUNTIF({"一矿区";"二矿区"},$L1013)=0),"※自用消耗的去向只能是一矿区或二矿区",IF(AND($K1013="对外销售",COUNTIF({"三矿区";"六矿区"},$L1013)=0),"※对外销售的去向只能是三矿区或六矿区",IF(AND($K1013="对外销售",ROUND($Q1013,0)=0),"※外销却没有售价，请填实际售价",IF(AND($K1013="对外销售",$T1013&lt;&gt;"",$T1013&lt;0),"※这一笔外销是亏的，请核对售价",IF(IFERROR(VLOOKUP($D1013,库存台账!$A$5:$Y$1204,24,0),0)&lt;-0.001,"※这个物料账面已经变成负数了，查一下是不是漏记入库","")))))))))))</f>
        <v/>
      </c>
    </row>
    <row r="1014">
      <c r="A1014" s="24">
        <f>IF($D1014="","",COUNTA($D$4:$D1014))</f>
        <v/>
      </c>
      <c r="B1014" s="17" t="n"/>
      <c r="C1014" s="30" t="n"/>
      <c r="D1014" s="17" t="n"/>
      <c r="E1014" s="24">
        <f>IF($D1014="","",IFERROR(VLOOKUP($D1014,物料档案!$A$4:$P$1203,3,0),"※编码不在物料档案里"))</f>
        <v/>
      </c>
      <c r="F1014" s="24">
        <f>IF($D1014="","",IFERROR(VLOOKUP($D1014,物料档案!$A$4:$P$1203,4,0),"※编码不在物料档案里"))</f>
        <v/>
      </c>
      <c r="G1014" s="24">
        <f>IF($D1014="","",IFERROR(VLOOKUP($D1014,物料档案!$A$4:$P$1203,5,0),"※编码不在物料档案里"))</f>
        <v/>
      </c>
      <c r="H1014" s="24">
        <f>IF($D1014="","",IFERROR(VLOOKUP($D1014,物料档案!$A$4:$P$1203,2,0),"※编码不在物料档案里"))</f>
        <v/>
      </c>
      <c r="I1014" s="24">
        <f>IF($D1014="","",IFERROR(VLOOKUP($D1014,物料档案!$A$4:$P$1203,6,0),"※编码不在物料档案里"))</f>
        <v/>
      </c>
      <c r="J1014" s="23" t="n"/>
      <c r="K1014" s="17" t="n"/>
      <c r="L1014" s="17" t="n"/>
      <c r="M1014" s="17" t="n"/>
      <c r="N1014" s="17" t="n"/>
      <c r="O1014" s="26">
        <f>IF($D1014="","",IFERROR(VLOOKUP($D1014,物料档案!$A$4:$P$1203,10,0),0))</f>
        <v/>
      </c>
      <c r="P1014" s="32" t="n"/>
      <c r="Q1014" s="26">
        <f>IF($D1014="","",IF($K1014&lt;&gt;"对外销售",0,ROUND(N($J1014)*IF($P1014="",N($O1014),N($P1014)),0)))</f>
        <v/>
      </c>
      <c r="R1014" s="26">
        <f>IF($D1014="","",IFERROR(VLOOKUP($D1014,库存台账!$A$5:$Y$1204,11,0),0))</f>
        <v/>
      </c>
      <c r="S1014" s="26">
        <f>IF($D1014="","",ROUND(N($J1014)*N($R1014),0))</f>
        <v/>
      </c>
      <c r="T1014" s="26">
        <f>IF($D1014="","",IF($K1014&lt;&gt;"对外销售","",ROUND($Q1014-$S1014,0)))</f>
        <v/>
      </c>
      <c r="U1014" s="17" t="n"/>
      <c r="V1014" s="17" t="n"/>
      <c r="W1014" s="24">
        <f>IF($D1014="","",IF($E1014="※编码不在物料档案里","※物料编码不在档案里",IF(N($J1014)&lt;=0,"※出库数量要大于 0",IF($K1014="","※没填去向类型",IF($L1014="","※没填去向矿区",IF(AND($C1014&lt;&gt;"",$C1014&lt;=结账锁),"※日期早于已结账截止日，不能再录",IF(AND($K1014="自用消耗",COUNTIF({"一矿区";"二矿区"},$L1014)=0),"※自用消耗的去向只能是一矿区或二矿区",IF(AND($K1014="对外销售",COUNTIF({"三矿区";"六矿区"},$L1014)=0),"※对外销售的去向只能是三矿区或六矿区",IF(AND($K1014="对外销售",ROUND($Q1014,0)=0),"※外销却没有售价，请填实际售价",IF(AND($K1014="对外销售",$T1014&lt;&gt;"",$T1014&lt;0),"※这一笔外销是亏的，请核对售价",IF(IFERROR(VLOOKUP($D1014,库存台账!$A$5:$Y$1204,24,0),0)&lt;-0.001,"※这个物料账面已经变成负数了，查一下是不是漏记入库","")))))))))))</f>
        <v/>
      </c>
    </row>
    <row r="1015">
      <c r="A1015" s="24">
        <f>IF($D1015="","",COUNTA($D$4:$D1015))</f>
        <v/>
      </c>
      <c r="B1015" s="17" t="n"/>
      <c r="C1015" s="30" t="n"/>
      <c r="D1015" s="17" t="n"/>
      <c r="E1015" s="24">
        <f>IF($D1015="","",IFERROR(VLOOKUP($D1015,物料档案!$A$4:$P$1203,3,0),"※编码不在物料档案里"))</f>
        <v/>
      </c>
      <c r="F1015" s="24">
        <f>IF($D1015="","",IFERROR(VLOOKUP($D1015,物料档案!$A$4:$P$1203,4,0),"※编码不在物料档案里"))</f>
        <v/>
      </c>
      <c r="G1015" s="24">
        <f>IF($D1015="","",IFERROR(VLOOKUP($D1015,物料档案!$A$4:$P$1203,5,0),"※编码不在物料档案里"))</f>
        <v/>
      </c>
      <c r="H1015" s="24">
        <f>IF($D1015="","",IFERROR(VLOOKUP($D1015,物料档案!$A$4:$P$1203,2,0),"※编码不在物料档案里"))</f>
        <v/>
      </c>
      <c r="I1015" s="24">
        <f>IF($D1015="","",IFERROR(VLOOKUP($D1015,物料档案!$A$4:$P$1203,6,0),"※编码不在物料档案里"))</f>
        <v/>
      </c>
      <c r="J1015" s="23" t="n"/>
      <c r="K1015" s="17" t="n"/>
      <c r="L1015" s="17" t="n"/>
      <c r="M1015" s="17" t="n"/>
      <c r="N1015" s="17" t="n"/>
      <c r="O1015" s="26">
        <f>IF($D1015="","",IFERROR(VLOOKUP($D1015,物料档案!$A$4:$P$1203,10,0),0))</f>
        <v/>
      </c>
      <c r="P1015" s="32" t="n"/>
      <c r="Q1015" s="26">
        <f>IF($D1015="","",IF($K1015&lt;&gt;"对外销售",0,ROUND(N($J1015)*IF($P1015="",N($O1015),N($P1015)),0)))</f>
        <v/>
      </c>
      <c r="R1015" s="26">
        <f>IF($D1015="","",IFERROR(VLOOKUP($D1015,库存台账!$A$5:$Y$1204,11,0),0))</f>
        <v/>
      </c>
      <c r="S1015" s="26">
        <f>IF($D1015="","",ROUND(N($J1015)*N($R1015),0))</f>
        <v/>
      </c>
      <c r="T1015" s="26">
        <f>IF($D1015="","",IF($K1015&lt;&gt;"对外销售","",ROUND($Q1015-$S1015,0)))</f>
        <v/>
      </c>
      <c r="U1015" s="17" t="n"/>
      <c r="V1015" s="17" t="n"/>
      <c r="W1015" s="24">
        <f>IF($D1015="","",IF($E1015="※编码不在物料档案里","※物料编码不在档案里",IF(N($J1015)&lt;=0,"※出库数量要大于 0",IF($K1015="","※没填去向类型",IF($L1015="","※没填去向矿区",IF(AND($C1015&lt;&gt;"",$C1015&lt;=结账锁),"※日期早于已结账截止日，不能再录",IF(AND($K1015="自用消耗",COUNTIF({"一矿区";"二矿区"},$L1015)=0),"※自用消耗的去向只能是一矿区或二矿区",IF(AND($K1015="对外销售",COUNTIF({"三矿区";"六矿区"},$L1015)=0),"※对外销售的去向只能是三矿区或六矿区",IF(AND($K1015="对外销售",ROUND($Q1015,0)=0),"※外销却没有售价，请填实际售价",IF(AND($K1015="对外销售",$T1015&lt;&gt;"",$T1015&lt;0),"※这一笔外销是亏的，请核对售价",IF(IFERROR(VLOOKUP($D1015,库存台账!$A$5:$Y$1204,24,0),0)&lt;-0.001,"※这个物料账面已经变成负数了，查一下是不是漏记入库","")))))))))))</f>
        <v/>
      </c>
    </row>
    <row r="1016">
      <c r="A1016" s="24">
        <f>IF($D1016="","",COUNTA($D$4:$D1016))</f>
        <v/>
      </c>
      <c r="B1016" s="17" t="n"/>
      <c r="C1016" s="30" t="n"/>
      <c r="D1016" s="17" t="n"/>
      <c r="E1016" s="24">
        <f>IF($D1016="","",IFERROR(VLOOKUP($D1016,物料档案!$A$4:$P$1203,3,0),"※编码不在物料档案里"))</f>
        <v/>
      </c>
      <c r="F1016" s="24">
        <f>IF($D1016="","",IFERROR(VLOOKUP($D1016,物料档案!$A$4:$P$1203,4,0),"※编码不在物料档案里"))</f>
        <v/>
      </c>
      <c r="G1016" s="24">
        <f>IF($D1016="","",IFERROR(VLOOKUP($D1016,物料档案!$A$4:$P$1203,5,0),"※编码不在物料档案里"))</f>
        <v/>
      </c>
      <c r="H1016" s="24">
        <f>IF($D1016="","",IFERROR(VLOOKUP($D1016,物料档案!$A$4:$P$1203,2,0),"※编码不在物料档案里"))</f>
        <v/>
      </c>
      <c r="I1016" s="24">
        <f>IF($D1016="","",IFERROR(VLOOKUP($D1016,物料档案!$A$4:$P$1203,6,0),"※编码不在物料档案里"))</f>
        <v/>
      </c>
      <c r="J1016" s="23" t="n"/>
      <c r="K1016" s="17" t="n"/>
      <c r="L1016" s="17" t="n"/>
      <c r="M1016" s="17" t="n"/>
      <c r="N1016" s="17" t="n"/>
      <c r="O1016" s="26">
        <f>IF($D1016="","",IFERROR(VLOOKUP($D1016,物料档案!$A$4:$P$1203,10,0),0))</f>
        <v/>
      </c>
      <c r="P1016" s="32" t="n"/>
      <c r="Q1016" s="26">
        <f>IF($D1016="","",IF($K1016&lt;&gt;"对外销售",0,ROUND(N($J1016)*IF($P1016="",N($O1016),N($P1016)),0)))</f>
        <v/>
      </c>
      <c r="R1016" s="26">
        <f>IF($D1016="","",IFERROR(VLOOKUP($D1016,库存台账!$A$5:$Y$1204,11,0),0))</f>
        <v/>
      </c>
      <c r="S1016" s="26">
        <f>IF($D1016="","",ROUND(N($J1016)*N($R1016),0))</f>
        <v/>
      </c>
      <c r="T1016" s="26">
        <f>IF($D1016="","",IF($K1016&lt;&gt;"对外销售","",ROUND($Q1016-$S1016,0)))</f>
        <v/>
      </c>
      <c r="U1016" s="17" t="n"/>
      <c r="V1016" s="17" t="n"/>
      <c r="W1016" s="24">
        <f>IF($D1016="","",IF($E1016="※编码不在物料档案里","※物料编码不在档案里",IF(N($J1016)&lt;=0,"※出库数量要大于 0",IF($K1016="","※没填去向类型",IF($L1016="","※没填去向矿区",IF(AND($C1016&lt;&gt;"",$C1016&lt;=结账锁),"※日期早于已结账截止日，不能再录",IF(AND($K1016="自用消耗",COUNTIF({"一矿区";"二矿区"},$L1016)=0),"※自用消耗的去向只能是一矿区或二矿区",IF(AND($K1016="对外销售",COUNTIF({"三矿区";"六矿区"},$L1016)=0),"※对外销售的去向只能是三矿区或六矿区",IF(AND($K1016="对外销售",ROUND($Q1016,0)=0),"※外销却没有售价，请填实际售价",IF(AND($K1016="对外销售",$T1016&lt;&gt;"",$T1016&lt;0),"※这一笔外销是亏的，请核对售价",IF(IFERROR(VLOOKUP($D1016,库存台账!$A$5:$Y$1204,24,0),0)&lt;-0.001,"※这个物料账面已经变成负数了，查一下是不是漏记入库","")))))))))))</f>
        <v/>
      </c>
    </row>
    <row r="1017">
      <c r="A1017" s="24">
        <f>IF($D1017="","",COUNTA($D$4:$D1017))</f>
        <v/>
      </c>
      <c r="B1017" s="17" t="n"/>
      <c r="C1017" s="30" t="n"/>
      <c r="D1017" s="17" t="n"/>
      <c r="E1017" s="24">
        <f>IF($D1017="","",IFERROR(VLOOKUP($D1017,物料档案!$A$4:$P$1203,3,0),"※编码不在物料档案里"))</f>
        <v/>
      </c>
      <c r="F1017" s="24">
        <f>IF($D1017="","",IFERROR(VLOOKUP($D1017,物料档案!$A$4:$P$1203,4,0),"※编码不在物料档案里"))</f>
        <v/>
      </c>
      <c r="G1017" s="24">
        <f>IF($D1017="","",IFERROR(VLOOKUP($D1017,物料档案!$A$4:$P$1203,5,0),"※编码不在物料档案里"))</f>
        <v/>
      </c>
      <c r="H1017" s="24">
        <f>IF($D1017="","",IFERROR(VLOOKUP($D1017,物料档案!$A$4:$P$1203,2,0),"※编码不在物料档案里"))</f>
        <v/>
      </c>
      <c r="I1017" s="24">
        <f>IF($D1017="","",IFERROR(VLOOKUP($D1017,物料档案!$A$4:$P$1203,6,0),"※编码不在物料档案里"))</f>
        <v/>
      </c>
      <c r="J1017" s="23" t="n"/>
      <c r="K1017" s="17" t="n"/>
      <c r="L1017" s="17" t="n"/>
      <c r="M1017" s="17" t="n"/>
      <c r="N1017" s="17" t="n"/>
      <c r="O1017" s="26">
        <f>IF($D1017="","",IFERROR(VLOOKUP($D1017,物料档案!$A$4:$P$1203,10,0),0))</f>
        <v/>
      </c>
      <c r="P1017" s="32" t="n"/>
      <c r="Q1017" s="26">
        <f>IF($D1017="","",IF($K1017&lt;&gt;"对外销售",0,ROUND(N($J1017)*IF($P1017="",N($O1017),N($P1017)),0)))</f>
        <v/>
      </c>
      <c r="R1017" s="26">
        <f>IF($D1017="","",IFERROR(VLOOKUP($D1017,库存台账!$A$5:$Y$1204,11,0),0))</f>
        <v/>
      </c>
      <c r="S1017" s="26">
        <f>IF($D1017="","",ROUND(N($J1017)*N($R1017),0))</f>
        <v/>
      </c>
      <c r="T1017" s="26">
        <f>IF($D1017="","",IF($K1017&lt;&gt;"对外销售","",ROUND($Q1017-$S1017,0)))</f>
        <v/>
      </c>
      <c r="U1017" s="17" t="n"/>
      <c r="V1017" s="17" t="n"/>
      <c r="W1017" s="24">
        <f>IF($D1017="","",IF($E1017="※编码不在物料档案里","※物料编码不在档案里",IF(N($J1017)&lt;=0,"※出库数量要大于 0",IF($K1017="","※没填去向类型",IF($L1017="","※没填去向矿区",IF(AND($C1017&lt;&gt;"",$C1017&lt;=结账锁),"※日期早于已结账截止日，不能再录",IF(AND($K1017="自用消耗",COUNTIF({"一矿区";"二矿区"},$L1017)=0),"※自用消耗的去向只能是一矿区或二矿区",IF(AND($K1017="对外销售",COUNTIF({"三矿区";"六矿区"},$L1017)=0),"※对外销售的去向只能是三矿区或六矿区",IF(AND($K1017="对外销售",ROUND($Q1017,0)=0),"※外销却没有售价，请填实际售价",IF(AND($K1017="对外销售",$T1017&lt;&gt;"",$T1017&lt;0),"※这一笔外销是亏的，请核对售价",IF(IFERROR(VLOOKUP($D1017,库存台账!$A$5:$Y$1204,24,0),0)&lt;-0.001,"※这个物料账面已经变成负数了，查一下是不是漏记入库","")))))))))))</f>
        <v/>
      </c>
    </row>
    <row r="1018">
      <c r="A1018" s="24">
        <f>IF($D1018="","",COUNTA($D$4:$D1018))</f>
        <v/>
      </c>
      <c r="B1018" s="17" t="n"/>
      <c r="C1018" s="30" t="n"/>
      <c r="D1018" s="17" t="n"/>
      <c r="E1018" s="24">
        <f>IF($D1018="","",IFERROR(VLOOKUP($D1018,物料档案!$A$4:$P$1203,3,0),"※编码不在物料档案里"))</f>
        <v/>
      </c>
      <c r="F1018" s="24">
        <f>IF($D1018="","",IFERROR(VLOOKUP($D1018,物料档案!$A$4:$P$1203,4,0),"※编码不在物料档案里"))</f>
        <v/>
      </c>
      <c r="G1018" s="24">
        <f>IF($D1018="","",IFERROR(VLOOKUP($D1018,物料档案!$A$4:$P$1203,5,0),"※编码不在物料档案里"))</f>
        <v/>
      </c>
      <c r="H1018" s="24">
        <f>IF($D1018="","",IFERROR(VLOOKUP($D1018,物料档案!$A$4:$P$1203,2,0),"※编码不在物料档案里"))</f>
        <v/>
      </c>
      <c r="I1018" s="24">
        <f>IF($D1018="","",IFERROR(VLOOKUP($D1018,物料档案!$A$4:$P$1203,6,0),"※编码不在物料档案里"))</f>
        <v/>
      </c>
      <c r="J1018" s="23" t="n"/>
      <c r="K1018" s="17" t="n"/>
      <c r="L1018" s="17" t="n"/>
      <c r="M1018" s="17" t="n"/>
      <c r="N1018" s="17" t="n"/>
      <c r="O1018" s="26">
        <f>IF($D1018="","",IFERROR(VLOOKUP($D1018,物料档案!$A$4:$P$1203,10,0),0))</f>
        <v/>
      </c>
      <c r="P1018" s="32" t="n"/>
      <c r="Q1018" s="26">
        <f>IF($D1018="","",IF($K1018&lt;&gt;"对外销售",0,ROUND(N($J1018)*IF($P1018="",N($O1018),N($P1018)),0)))</f>
        <v/>
      </c>
      <c r="R1018" s="26">
        <f>IF($D1018="","",IFERROR(VLOOKUP($D1018,库存台账!$A$5:$Y$1204,11,0),0))</f>
        <v/>
      </c>
      <c r="S1018" s="26">
        <f>IF($D1018="","",ROUND(N($J1018)*N($R1018),0))</f>
        <v/>
      </c>
      <c r="T1018" s="26">
        <f>IF($D1018="","",IF($K1018&lt;&gt;"对外销售","",ROUND($Q1018-$S1018,0)))</f>
        <v/>
      </c>
      <c r="U1018" s="17" t="n"/>
      <c r="V1018" s="17" t="n"/>
      <c r="W1018" s="24">
        <f>IF($D1018="","",IF($E1018="※编码不在物料档案里","※物料编码不在档案里",IF(N($J1018)&lt;=0,"※出库数量要大于 0",IF($K1018="","※没填去向类型",IF($L1018="","※没填去向矿区",IF(AND($C1018&lt;&gt;"",$C1018&lt;=结账锁),"※日期早于已结账截止日，不能再录",IF(AND($K1018="自用消耗",COUNTIF({"一矿区";"二矿区"},$L1018)=0),"※自用消耗的去向只能是一矿区或二矿区",IF(AND($K1018="对外销售",COUNTIF({"三矿区";"六矿区"},$L1018)=0),"※对外销售的去向只能是三矿区或六矿区",IF(AND($K1018="对外销售",ROUND($Q1018,0)=0),"※外销却没有售价，请填实际售价",IF(AND($K1018="对外销售",$T1018&lt;&gt;"",$T1018&lt;0),"※这一笔外销是亏的，请核对售价",IF(IFERROR(VLOOKUP($D1018,库存台账!$A$5:$Y$1204,24,0),0)&lt;-0.001,"※这个物料账面已经变成负数了，查一下是不是漏记入库","")))))))))))</f>
        <v/>
      </c>
    </row>
    <row r="1019">
      <c r="A1019" s="24">
        <f>IF($D1019="","",COUNTA($D$4:$D1019))</f>
        <v/>
      </c>
      <c r="B1019" s="17" t="n"/>
      <c r="C1019" s="30" t="n"/>
      <c r="D1019" s="17" t="n"/>
      <c r="E1019" s="24">
        <f>IF($D1019="","",IFERROR(VLOOKUP($D1019,物料档案!$A$4:$P$1203,3,0),"※编码不在物料档案里"))</f>
        <v/>
      </c>
      <c r="F1019" s="24">
        <f>IF($D1019="","",IFERROR(VLOOKUP($D1019,物料档案!$A$4:$P$1203,4,0),"※编码不在物料档案里"))</f>
        <v/>
      </c>
      <c r="G1019" s="24">
        <f>IF($D1019="","",IFERROR(VLOOKUP($D1019,物料档案!$A$4:$P$1203,5,0),"※编码不在物料档案里"))</f>
        <v/>
      </c>
      <c r="H1019" s="24">
        <f>IF($D1019="","",IFERROR(VLOOKUP($D1019,物料档案!$A$4:$P$1203,2,0),"※编码不在物料档案里"))</f>
        <v/>
      </c>
      <c r="I1019" s="24">
        <f>IF($D1019="","",IFERROR(VLOOKUP($D1019,物料档案!$A$4:$P$1203,6,0),"※编码不在物料档案里"))</f>
        <v/>
      </c>
      <c r="J1019" s="23" t="n"/>
      <c r="K1019" s="17" t="n"/>
      <c r="L1019" s="17" t="n"/>
      <c r="M1019" s="17" t="n"/>
      <c r="N1019" s="17" t="n"/>
      <c r="O1019" s="26">
        <f>IF($D1019="","",IFERROR(VLOOKUP($D1019,物料档案!$A$4:$P$1203,10,0),0))</f>
        <v/>
      </c>
      <c r="P1019" s="32" t="n"/>
      <c r="Q1019" s="26">
        <f>IF($D1019="","",IF($K1019&lt;&gt;"对外销售",0,ROUND(N($J1019)*IF($P1019="",N($O1019),N($P1019)),0)))</f>
        <v/>
      </c>
      <c r="R1019" s="26">
        <f>IF($D1019="","",IFERROR(VLOOKUP($D1019,库存台账!$A$5:$Y$1204,11,0),0))</f>
        <v/>
      </c>
      <c r="S1019" s="26">
        <f>IF($D1019="","",ROUND(N($J1019)*N($R1019),0))</f>
        <v/>
      </c>
      <c r="T1019" s="26">
        <f>IF($D1019="","",IF($K1019&lt;&gt;"对外销售","",ROUND($Q1019-$S1019,0)))</f>
        <v/>
      </c>
      <c r="U1019" s="17" t="n"/>
      <c r="V1019" s="17" t="n"/>
      <c r="W1019" s="24">
        <f>IF($D1019="","",IF($E1019="※编码不在物料档案里","※物料编码不在档案里",IF(N($J1019)&lt;=0,"※出库数量要大于 0",IF($K1019="","※没填去向类型",IF($L1019="","※没填去向矿区",IF(AND($C1019&lt;&gt;"",$C1019&lt;=结账锁),"※日期早于已结账截止日，不能再录",IF(AND($K1019="自用消耗",COUNTIF({"一矿区";"二矿区"},$L1019)=0),"※自用消耗的去向只能是一矿区或二矿区",IF(AND($K1019="对外销售",COUNTIF({"三矿区";"六矿区"},$L1019)=0),"※对外销售的去向只能是三矿区或六矿区",IF(AND($K1019="对外销售",ROUND($Q1019,0)=0),"※外销却没有售价，请填实际售价",IF(AND($K1019="对外销售",$T1019&lt;&gt;"",$T1019&lt;0),"※这一笔外销是亏的，请核对售价",IF(IFERROR(VLOOKUP($D1019,库存台账!$A$5:$Y$1204,24,0),0)&lt;-0.001,"※这个物料账面已经变成负数了，查一下是不是漏记入库","")))))))))))</f>
        <v/>
      </c>
    </row>
    <row r="1020">
      <c r="A1020" s="24">
        <f>IF($D1020="","",COUNTA($D$4:$D1020))</f>
        <v/>
      </c>
      <c r="B1020" s="17" t="n"/>
      <c r="C1020" s="30" t="n"/>
      <c r="D1020" s="17" t="n"/>
      <c r="E1020" s="24">
        <f>IF($D1020="","",IFERROR(VLOOKUP($D1020,物料档案!$A$4:$P$1203,3,0),"※编码不在物料档案里"))</f>
        <v/>
      </c>
      <c r="F1020" s="24">
        <f>IF($D1020="","",IFERROR(VLOOKUP($D1020,物料档案!$A$4:$P$1203,4,0),"※编码不在物料档案里"))</f>
        <v/>
      </c>
      <c r="G1020" s="24">
        <f>IF($D1020="","",IFERROR(VLOOKUP($D1020,物料档案!$A$4:$P$1203,5,0),"※编码不在物料档案里"))</f>
        <v/>
      </c>
      <c r="H1020" s="24">
        <f>IF($D1020="","",IFERROR(VLOOKUP($D1020,物料档案!$A$4:$P$1203,2,0),"※编码不在物料档案里"))</f>
        <v/>
      </c>
      <c r="I1020" s="24">
        <f>IF($D1020="","",IFERROR(VLOOKUP($D1020,物料档案!$A$4:$P$1203,6,0),"※编码不在物料档案里"))</f>
        <v/>
      </c>
      <c r="J1020" s="23" t="n"/>
      <c r="K1020" s="17" t="n"/>
      <c r="L1020" s="17" t="n"/>
      <c r="M1020" s="17" t="n"/>
      <c r="N1020" s="17" t="n"/>
      <c r="O1020" s="26">
        <f>IF($D1020="","",IFERROR(VLOOKUP($D1020,物料档案!$A$4:$P$1203,10,0),0))</f>
        <v/>
      </c>
      <c r="P1020" s="32" t="n"/>
      <c r="Q1020" s="26">
        <f>IF($D1020="","",IF($K1020&lt;&gt;"对外销售",0,ROUND(N($J1020)*IF($P1020="",N($O1020),N($P1020)),0)))</f>
        <v/>
      </c>
      <c r="R1020" s="26">
        <f>IF($D1020="","",IFERROR(VLOOKUP($D1020,库存台账!$A$5:$Y$1204,11,0),0))</f>
        <v/>
      </c>
      <c r="S1020" s="26">
        <f>IF($D1020="","",ROUND(N($J1020)*N($R1020),0))</f>
        <v/>
      </c>
      <c r="T1020" s="26">
        <f>IF($D1020="","",IF($K1020&lt;&gt;"对外销售","",ROUND($Q1020-$S1020,0)))</f>
        <v/>
      </c>
      <c r="U1020" s="17" t="n"/>
      <c r="V1020" s="17" t="n"/>
      <c r="W1020" s="24">
        <f>IF($D1020="","",IF($E1020="※编码不在物料档案里","※物料编码不在档案里",IF(N($J1020)&lt;=0,"※出库数量要大于 0",IF($K1020="","※没填去向类型",IF($L1020="","※没填去向矿区",IF(AND($C1020&lt;&gt;"",$C1020&lt;=结账锁),"※日期早于已结账截止日，不能再录",IF(AND($K1020="自用消耗",COUNTIF({"一矿区";"二矿区"},$L1020)=0),"※自用消耗的去向只能是一矿区或二矿区",IF(AND($K1020="对外销售",COUNTIF({"三矿区";"六矿区"},$L1020)=0),"※对外销售的去向只能是三矿区或六矿区",IF(AND($K1020="对外销售",ROUND($Q1020,0)=0),"※外销却没有售价，请填实际售价",IF(AND($K1020="对外销售",$T1020&lt;&gt;"",$T1020&lt;0),"※这一笔外销是亏的，请核对售价",IF(IFERROR(VLOOKUP($D1020,库存台账!$A$5:$Y$1204,24,0),0)&lt;-0.001,"※这个物料账面已经变成负数了，查一下是不是漏记入库","")))))))))))</f>
        <v/>
      </c>
    </row>
    <row r="1021">
      <c r="A1021" s="24">
        <f>IF($D1021="","",COUNTA($D$4:$D1021))</f>
        <v/>
      </c>
      <c r="B1021" s="17" t="n"/>
      <c r="C1021" s="30" t="n"/>
      <c r="D1021" s="17" t="n"/>
      <c r="E1021" s="24">
        <f>IF($D1021="","",IFERROR(VLOOKUP($D1021,物料档案!$A$4:$P$1203,3,0),"※编码不在物料档案里"))</f>
        <v/>
      </c>
      <c r="F1021" s="24">
        <f>IF($D1021="","",IFERROR(VLOOKUP($D1021,物料档案!$A$4:$P$1203,4,0),"※编码不在物料档案里"))</f>
        <v/>
      </c>
      <c r="G1021" s="24">
        <f>IF($D1021="","",IFERROR(VLOOKUP($D1021,物料档案!$A$4:$P$1203,5,0),"※编码不在物料档案里"))</f>
        <v/>
      </c>
      <c r="H1021" s="24">
        <f>IF($D1021="","",IFERROR(VLOOKUP($D1021,物料档案!$A$4:$P$1203,2,0),"※编码不在物料档案里"))</f>
        <v/>
      </c>
      <c r="I1021" s="24">
        <f>IF($D1021="","",IFERROR(VLOOKUP($D1021,物料档案!$A$4:$P$1203,6,0),"※编码不在物料档案里"))</f>
        <v/>
      </c>
      <c r="J1021" s="23" t="n"/>
      <c r="K1021" s="17" t="n"/>
      <c r="L1021" s="17" t="n"/>
      <c r="M1021" s="17" t="n"/>
      <c r="N1021" s="17" t="n"/>
      <c r="O1021" s="26">
        <f>IF($D1021="","",IFERROR(VLOOKUP($D1021,物料档案!$A$4:$P$1203,10,0),0))</f>
        <v/>
      </c>
      <c r="P1021" s="32" t="n"/>
      <c r="Q1021" s="26">
        <f>IF($D1021="","",IF($K1021&lt;&gt;"对外销售",0,ROUND(N($J1021)*IF($P1021="",N($O1021),N($P1021)),0)))</f>
        <v/>
      </c>
      <c r="R1021" s="26">
        <f>IF($D1021="","",IFERROR(VLOOKUP($D1021,库存台账!$A$5:$Y$1204,11,0),0))</f>
        <v/>
      </c>
      <c r="S1021" s="26">
        <f>IF($D1021="","",ROUND(N($J1021)*N($R1021),0))</f>
        <v/>
      </c>
      <c r="T1021" s="26">
        <f>IF($D1021="","",IF($K1021&lt;&gt;"对外销售","",ROUND($Q1021-$S1021,0)))</f>
        <v/>
      </c>
      <c r="U1021" s="17" t="n"/>
      <c r="V1021" s="17" t="n"/>
      <c r="W1021" s="24">
        <f>IF($D1021="","",IF($E1021="※编码不在物料档案里","※物料编码不在档案里",IF(N($J1021)&lt;=0,"※出库数量要大于 0",IF($K1021="","※没填去向类型",IF($L1021="","※没填去向矿区",IF(AND($C1021&lt;&gt;"",$C1021&lt;=结账锁),"※日期早于已结账截止日，不能再录",IF(AND($K1021="自用消耗",COUNTIF({"一矿区";"二矿区"},$L1021)=0),"※自用消耗的去向只能是一矿区或二矿区",IF(AND($K1021="对外销售",COUNTIF({"三矿区";"六矿区"},$L1021)=0),"※对外销售的去向只能是三矿区或六矿区",IF(AND($K1021="对外销售",ROUND($Q1021,0)=0),"※外销却没有售价，请填实际售价",IF(AND($K1021="对外销售",$T1021&lt;&gt;"",$T1021&lt;0),"※这一笔外销是亏的，请核对售价",IF(IFERROR(VLOOKUP($D1021,库存台账!$A$5:$Y$1204,24,0),0)&lt;-0.001,"※这个物料账面已经变成负数了，查一下是不是漏记入库","")))))))))))</f>
        <v/>
      </c>
    </row>
    <row r="1022">
      <c r="A1022" s="24">
        <f>IF($D1022="","",COUNTA($D$4:$D1022))</f>
        <v/>
      </c>
      <c r="B1022" s="17" t="n"/>
      <c r="C1022" s="30" t="n"/>
      <c r="D1022" s="17" t="n"/>
      <c r="E1022" s="24">
        <f>IF($D1022="","",IFERROR(VLOOKUP($D1022,物料档案!$A$4:$P$1203,3,0),"※编码不在物料档案里"))</f>
        <v/>
      </c>
      <c r="F1022" s="24">
        <f>IF($D1022="","",IFERROR(VLOOKUP($D1022,物料档案!$A$4:$P$1203,4,0),"※编码不在物料档案里"))</f>
        <v/>
      </c>
      <c r="G1022" s="24">
        <f>IF($D1022="","",IFERROR(VLOOKUP($D1022,物料档案!$A$4:$P$1203,5,0),"※编码不在物料档案里"))</f>
        <v/>
      </c>
      <c r="H1022" s="24">
        <f>IF($D1022="","",IFERROR(VLOOKUP($D1022,物料档案!$A$4:$P$1203,2,0),"※编码不在物料档案里"))</f>
        <v/>
      </c>
      <c r="I1022" s="24">
        <f>IF($D1022="","",IFERROR(VLOOKUP($D1022,物料档案!$A$4:$P$1203,6,0),"※编码不在物料档案里"))</f>
        <v/>
      </c>
      <c r="J1022" s="23" t="n"/>
      <c r="K1022" s="17" t="n"/>
      <c r="L1022" s="17" t="n"/>
      <c r="M1022" s="17" t="n"/>
      <c r="N1022" s="17" t="n"/>
      <c r="O1022" s="26">
        <f>IF($D1022="","",IFERROR(VLOOKUP($D1022,物料档案!$A$4:$P$1203,10,0),0))</f>
        <v/>
      </c>
      <c r="P1022" s="32" t="n"/>
      <c r="Q1022" s="26">
        <f>IF($D1022="","",IF($K1022&lt;&gt;"对外销售",0,ROUND(N($J1022)*IF($P1022="",N($O1022),N($P1022)),0)))</f>
        <v/>
      </c>
      <c r="R1022" s="26">
        <f>IF($D1022="","",IFERROR(VLOOKUP($D1022,库存台账!$A$5:$Y$1204,11,0),0))</f>
        <v/>
      </c>
      <c r="S1022" s="26">
        <f>IF($D1022="","",ROUND(N($J1022)*N($R1022),0))</f>
        <v/>
      </c>
      <c r="T1022" s="26">
        <f>IF($D1022="","",IF($K1022&lt;&gt;"对外销售","",ROUND($Q1022-$S1022,0)))</f>
        <v/>
      </c>
      <c r="U1022" s="17" t="n"/>
      <c r="V1022" s="17" t="n"/>
      <c r="W1022" s="24">
        <f>IF($D1022="","",IF($E1022="※编码不在物料档案里","※物料编码不在档案里",IF(N($J1022)&lt;=0,"※出库数量要大于 0",IF($K1022="","※没填去向类型",IF($L1022="","※没填去向矿区",IF(AND($C1022&lt;&gt;"",$C1022&lt;=结账锁),"※日期早于已结账截止日，不能再录",IF(AND($K1022="自用消耗",COUNTIF({"一矿区";"二矿区"},$L1022)=0),"※自用消耗的去向只能是一矿区或二矿区",IF(AND($K1022="对外销售",COUNTIF({"三矿区";"六矿区"},$L1022)=0),"※对外销售的去向只能是三矿区或六矿区",IF(AND($K1022="对外销售",ROUND($Q1022,0)=0),"※外销却没有售价，请填实际售价",IF(AND($K1022="对外销售",$T1022&lt;&gt;"",$T1022&lt;0),"※这一笔外销是亏的，请核对售价",IF(IFERROR(VLOOKUP($D1022,库存台账!$A$5:$Y$1204,24,0),0)&lt;-0.001,"※这个物料账面已经变成负数了，查一下是不是漏记入库","")))))))))))</f>
        <v/>
      </c>
    </row>
    <row r="1023">
      <c r="A1023" s="24">
        <f>IF($D1023="","",COUNTA($D$4:$D1023))</f>
        <v/>
      </c>
      <c r="B1023" s="17" t="n"/>
      <c r="C1023" s="30" t="n"/>
      <c r="D1023" s="17" t="n"/>
      <c r="E1023" s="24">
        <f>IF($D1023="","",IFERROR(VLOOKUP($D1023,物料档案!$A$4:$P$1203,3,0),"※编码不在物料档案里"))</f>
        <v/>
      </c>
      <c r="F1023" s="24">
        <f>IF($D1023="","",IFERROR(VLOOKUP($D1023,物料档案!$A$4:$P$1203,4,0),"※编码不在物料档案里"))</f>
        <v/>
      </c>
      <c r="G1023" s="24">
        <f>IF($D1023="","",IFERROR(VLOOKUP($D1023,物料档案!$A$4:$P$1203,5,0),"※编码不在物料档案里"))</f>
        <v/>
      </c>
      <c r="H1023" s="24">
        <f>IF($D1023="","",IFERROR(VLOOKUP($D1023,物料档案!$A$4:$P$1203,2,0),"※编码不在物料档案里"))</f>
        <v/>
      </c>
      <c r="I1023" s="24">
        <f>IF($D1023="","",IFERROR(VLOOKUP($D1023,物料档案!$A$4:$P$1203,6,0),"※编码不在物料档案里"))</f>
        <v/>
      </c>
      <c r="J1023" s="23" t="n"/>
      <c r="K1023" s="17" t="n"/>
      <c r="L1023" s="17" t="n"/>
      <c r="M1023" s="17" t="n"/>
      <c r="N1023" s="17" t="n"/>
      <c r="O1023" s="26">
        <f>IF($D1023="","",IFERROR(VLOOKUP($D1023,物料档案!$A$4:$P$1203,10,0),0))</f>
        <v/>
      </c>
      <c r="P1023" s="32" t="n"/>
      <c r="Q1023" s="26">
        <f>IF($D1023="","",IF($K1023&lt;&gt;"对外销售",0,ROUND(N($J1023)*IF($P1023="",N($O1023),N($P1023)),0)))</f>
        <v/>
      </c>
      <c r="R1023" s="26">
        <f>IF($D1023="","",IFERROR(VLOOKUP($D1023,库存台账!$A$5:$Y$1204,11,0),0))</f>
        <v/>
      </c>
      <c r="S1023" s="26">
        <f>IF($D1023="","",ROUND(N($J1023)*N($R1023),0))</f>
        <v/>
      </c>
      <c r="T1023" s="26">
        <f>IF($D1023="","",IF($K1023&lt;&gt;"对外销售","",ROUND($Q1023-$S1023,0)))</f>
        <v/>
      </c>
      <c r="U1023" s="17" t="n"/>
      <c r="V1023" s="17" t="n"/>
      <c r="W1023" s="24">
        <f>IF($D1023="","",IF($E1023="※编码不在物料档案里","※物料编码不在档案里",IF(N($J1023)&lt;=0,"※出库数量要大于 0",IF($K1023="","※没填去向类型",IF($L1023="","※没填去向矿区",IF(AND($C1023&lt;&gt;"",$C1023&lt;=结账锁),"※日期早于已结账截止日，不能再录",IF(AND($K1023="自用消耗",COUNTIF({"一矿区";"二矿区"},$L1023)=0),"※自用消耗的去向只能是一矿区或二矿区",IF(AND($K1023="对外销售",COUNTIF({"三矿区";"六矿区"},$L1023)=0),"※对外销售的去向只能是三矿区或六矿区",IF(AND($K1023="对外销售",ROUND($Q1023,0)=0),"※外销却没有售价，请填实际售价",IF(AND($K1023="对外销售",$T1023&lt;&gt;"",$T1023&lt;0),"※这一笔外销是亏的，请核对售价",IF(IFERROR(VLOOKUP($D1023,库存台账!$A$5:$Y$1204,24,0),0)&lt;-0.001,"※这个物料账面已经变成负数了，查一下是不是漏记入库","")))))))))))</f>
        <v/>
      </c>
    </row>
    <row r="1024">
      <c r="A1024" s="24">
        <f>IF($D1024="","",COUNTA($D$4:$D1024))</f>
        <v/>
      </c>
      <c r="B1024" s="17" t="n"/>
      <c r="C1024" s="30" t="n"/>
      <c r="D1024" s="17" t="n"/>
      <c r="E1024" s="24">
        <f>IF($D1024="","",IFERROR(VLOOKUP($D1024,物料档案!$A$4:$P$1203,3,0),"※编码不在物料档案里"))</f>
        <v/>
      </c>
      <c r="F1024" s="24">
        <f>IF($D1024="","",IFERROR(VLOOKUP($D1024,物料档案!$A$4:$P$1203,4,0),"※编码不在物料档案里"))</f>
        <v/>
      </c>
      <c r="G1024" s="24">
        <f>IF($D1024="","",IFERROR(VLOOKUP($D1024,物料档案!$A$4:$P$1203,5,0),"※编码不在物料档案里"))</f>
        <v/>
      </c>
      <c r="H1024" s="24">
        <f>IF($D1024="","",IFERROR(VLOOKUP($D1024,物料档案!$A$4:$P$1203,2,0),"※编码不在物料档案里"))</f>
        <v/>
      </c>
      <c r="I1024" s="24">
        <f>IF($D1024="","",IFERROR(VLOOKUP($D1024,物料档案!$A$4:$P$1203,6,0),"※编码不在物料档案里"))</f>
        <v/>
      </c>
      <c r="J1024" s="23" t="n"/>
      <c r="K1024" s="17" t="n"/>
      <c r="L1024" s="17" t="n"/>
      <c r="M1024" s="17" t="n"/>
      <c r="N1024" s="17" t="n"/>
      <c r="O1024" s="26">
        <f>IF($D1024="","",IFERROR(VLOOKUP($D1024,物料档案!$A$4:$P$1203,10,0),0))</f>
        <v/>
      </c>
      <c r="P1024" s="32" t="n"/>
      <c r="Q1024" s="26">
        <f>IF($D1024="","",IF($K1024&lt;&gt;"对外销售",0,ROUND(N($J1024)*IF($P1024="",N($O1024),N($P1024)),0)))</f>
        <v/>
      </c>
      <c r="R1024" s="26">
        <f>IF($D1024="","",IFERROR(VLOOKUP($D1024,库存台账!$A$5:$Y$1204,11,0),0))</f>
        <v/>
      </c>
      <c r="S1024" s="26">
        <f>IF($D1024="","",ROUND(N($J1024)*N($R1024),0))</f>
        <v/>
      </c>
      <c r="T1024" s="26">
        <f>IF($D1024="","",IF($K1024&lt;&gt;"对外销售","",ROUND($Q1024-$S1024,0)))</f>
        <v/>
      </c>
      <c r="U1024" s="17" t="n"/>
      <c r="V1024" s="17" t="n"/>
      <c r="W1024" s="24">
        <f>IF($D1024="","",IF($E1024="※编码不在物料档案里","※物料编码不在档案里",IF(N($J1024)&lt;=0,"※出库数量要大于 0",IF($K1024="","※没填去向类型",IF($L1024="","※没填去向矿区",IF(AND($C1024&lt;&gt;"",$C1024&lt;=结账锁),"※日期早于已结账截止日，不能再录",IF(AND($K1024="自用消耗",COUNTIF({"一矿区";"二矿区"},$L1024)=0),"※自用消耗的去向只能是一矿区或二矿区",IF(AND($K1024="对外销售",COUNTIF({"三矿区";"六矿区"},$L1024)=0),"※对外销售的去向只能是三矿区或六矿区",IF(AND($K1024="对外销售",ROUND($Q1024,0)=0),"※外销却没有售价，请填实际售价",IF(AND($K1024="对外销售",$T1024&lt;&gt;"",$T1024&lt;0),"※这一笔外销是亏的，请核对售价",IF(IFERROR(VLOOKUP($D1024,库存台账!$A$5:$Y$1204,24,0),0)&lt;-0.001,"※这个物料账面已经变成负数了，查一下是不是漏记入库","")))))))))))</f>
        <v/>
      </c>
    </row>
    <row r="1025">
      <c r="A1025" s="24">
        <f>IF($D1025="","",COUNTA($D$4:$D1025))</f>
        <v/>
      </c>
      <c r="B1025" s="17" t="n"/>
      <c r="C1025" s="30" t="n"/>
      <c r="D1025" s="17" t="n"/>
      <c r="E1025" s="24">
        <f>IF($D1025="","",IFERROR(VLOOKUP($D1025,物料档案!$A$4:$P$1203,3,0),"※编码不在物料档案里"))</f>
        <v/>
      </c>
      <c r="F1025" s="24">
        <f>IF($D1025="","",IFERROR(VLOOKUP($D1025,物料档案!$A$4:$P$1203,4,0),"※编码不在物料档案里"))</f>
        <v/>
      </c>
      <c r="G1025" s="24">
        <f>IF($D1025="","",IFERROR(VLOOKUP($D1025,物料档案!$A$4:$P$1203,5,0),"※编码不在物料档案里"))</f>
        <v/>
      </c>
      <c r="H1025" s="24">
        <f>IF($D1025="","",IFERROR(VLOOKUP($D1025,物料档案!$A$4:$P$1203,2,0),"※编码不在物料档案里"))</f>
        <v/>
      </c>
      <c r="I1025" s="24">
        <f>IF($D1025="","",IFERROR(VLOOKUP($D1025,物料档案!$A$4:$P$1203,6,0),"※编码不在物料档案里"))</f>
        <v/>
      </c>
      <c r="J1025" s="23" t="n"/>
      <c r="K1025" s="17" t="n"/>
      <c r="L1025" s="17" t="n"/>
      <c r="M1025" s="17" t="n"/>
      <c r="N1025" s="17" t="n"/>
      <c r="O1025" s="26">
        <f>IF($D1025="","",IFERROR(VLOOKUP($D1025,物料档案!$A$4:$P$1203,10,0),0))</f>
        <v/>
      </c>
      <c r="P1025" s="32" t="n"/>
      <c r="Q1025" s="26">
        <f>IF($D1025="","",IF($K1025&lt;&gt;"对外销售",0,ROUND(N($J1025)*IF($P1025="",N($O1025),N($P1025)),0)))</f>
        <v/>
      </c>
      <c r="R1025" s="26">
        <f>IF($D1025="","",IFERROR(VLOOKUP($D1025,库存台账!$A$5:$Y$1204,11,0),0))</f>
        <v/>
      </c>
      <c r="S1025" s="26">
        <f>IF($D1025="","",ROUND(N($J1025)*N($R1025),0))</f>
        <v/>
      </c>
      <c r="T1025" s="26">
        <f>IF($D1025="","",IF($K1025&lt;&gt;"对外销售","",ROUND($Q1025-$S1025,0)))</f>
        <v/>
      </c>
      <c r="U1025" s="17" t="n"/>
      <c r="V1025" s="17" t="n"/>
      <c r="W1025" s="24">
        <f>IF($D1025="","",IF($E1025="※编码不在物料档案里","※物料编码不在档案里",IF(N($J1025)&lt;=0,"※出库数量要大于 0",IF($K1025="","※没填去向类型",IF($L1025="","※没填去向矿区",IF(AND($C1025&lt;&gt;"",$C1025&lt;=结账锁),"※日期早于已结账截止日，不能再录",IF(AND($K1025="自用消耗",COUNTIF({"一矿区";"二矿区"},$L1025)=0),"※自用消耗的去向只能是一矿区或二矿区",IF(AND($K1025="对外销售",COUNTIF({"三矿区";"六矿区"},$L1025)=0),"※对外销售的去向只能是三矿区或六矿区",IF(AND($K1025="对外销售",ROUND($Q1025,0)=0),"※外销却没有售价，请填实际售价",IF(AND($K1025="对外销售",$T1025&lt;&gt;"",$T1025&lt;0),"※这一笔外销是亏的，请核对售价",IF(IFERROR(VLOOKUP($D1025,库存台账!$A$5:$Y$1204,24,0),0)&lt;-0.001,"※这个物料账面已经变成负数了，查一下是不是漏记入库","")))))))))))</f>
        <v/>
      </c>
    </row>
    <row r="1026">
      <c r="A1026" s="24">
        <f>IF($D1026="","",COUNTA($D$4:$D1026))</f>
        <v/>
      </c>
      <c r="B1026" s="17" t="n"/>
      <c r="C1026" s="30" t="n"/>
      <c r="D1026" s="17" t="n"/>
      <c r="E1026" s="24">
        <f>IF($D1026="","",IFERROR(VLOOKUP($D1026,物料档案!$A$4:$P$1203,3,0),"※编码不在物料档案里"))</f>
        <v/>
      </c>
      <c r="F1026" s="24">
        <f>IF($D1026="","",IFERROR(VLOOKUP($D1026,物料档案!$A$4:$P$1203,4,0),"※编码不在物料档案里"))</f>
        <v/>
      </c>
      <c r="G1026" s="24">
        <f>IF($D1026="","",IFERROR(VLOOKUP($D1026,物料档案!$A$4:$P$1203,5,0),"※编码不在物料档案里"))</f>
        <v/>
      </c>
      <c r="H1026" s="24">
        <f>IF($D1026="","",IFERROR(VLOOKUP($D1026,物料档案!$A$4:$P$1203,2,0),"※编码不在物料档案里"))</f>
        <v/>
      </c>
      <c r="I1026" s="24">
        <f>IF($D1026="","",IFERROR(VLOOKUP($D1026,物料档案!$A$4:$P$1203,6,0),"※编码不在物料档案里"))</f>
        <v/>
      </c>
      <c r="J1026" s="23" t="n"/>
      <c r="K1026" s="17" t="n"/>
      <c r="L1026" s="17" t="n"/>
      <c r="M1026" s="17" t="n"/>
      <c r="N1026" s="17" t="n"/>
      <c r="O1026" s="26">
        <f>IF($D1026="","",IFERROR(VLOOKUP($D1026,物料档案!$A$4:$P$1203,10,0),0))</f>
        <v/>
      </c>
      <c r="P1026" s="32" t="n"/>
      <c r="Q1026" s="26">
        <f>IF($D1026="","",IF($K1026&lt;&gt;"对外销售",0,ROUND(N($J1026)*IF($P1026="",N($O1026),N($P1026)),0)))</f>
        <v/>
      </c>
      <c r="R1026" s="26">
        <f>IF($D1026="","",IFERROR(VLOOKUP($D1026,库存台账!$A$5:$Y$1204,11,0),0))</f>
        <v/>
      </c>
      <c r="S1026" s="26">
        <f>IF($D1026="","",ROUND(N($J1026)*N($R1026),0))</f>
        <v/>
      </c>
      <c r="T1026" s="26">
        <f>IF($D1026="","",IF($K1026&lt;&gt;"对外销售","",ROUND($Q1026-$S1026,0)))</f>
        <v/>
      </c>
      <c r="U1026" s="17" t="n"/>
      <c r="V1026" s="17" t="n"/>
      <c r="W1026" s="24">
        <f>IF($D1026="","",IF($E1026="※编码不在物料档案里","※物料编码不在档案里",IF(N($J1026)&lt;=0,"※出库数量要大于 0",IF($K1026="","※没填去向类型",IF($L1026="","※没填去向矿区",IF(AND($C1026&lt;&gt;"",$C1026&lt;=结账锁),"※日期早于已结账截止日，不能再录",IF(AND($K1026="自用消耗",COUNTIF({"一矿区";"二矿区"},$L1026)=0),"※自用消耗的去向只能是一矿区或二矿区",IF(AND($K1026="对外销售",COUNTIF({"三矿区";"六矿区"},$L1026)=0),"※对外销售的去向只能是三矿区或六矿区",IF(AND($K1026="对外销售",ROUND($Q1026,0)=0),"※外销却没有售价，请填实际售价",IF(AND($K1026="对外销售",$T1026&lt;&gt;"",$T1026&lt;0),"※这一笔外销是亏的，请核对售价",IF(IFERROR(VLOOKUP($D1026,库存台账!$A$5:$Y$1204,24,0),0)&lt;-0.001,"※这个物料账面已经变成负数了，查一下是不是漏记入库","")))))))))))</f>
        <v/>
      </c>
    </row>
    <row r="1027">
      <c r="A1027" s="24">
        <f>IF($D1027="","",COUNTA($D$4:$D1027))</f>
        <v/>
      </c>
      <c r="B1027" s="17" t="n"/>
      <c r="C1027" s="30" t="n"/>
      <c r="D1027" s="17" t="n"/>
      <c r="E1027" s="24">
        <f>IF($D1027="","",IFERROR(VLOOKUP($D1027,物料档案!$A$4:$P$1203,3,0),"※编码不在物料档案里"))</f>
        <v/>
      </c>
      <c r="F1027" s="24">
        <f>IF($D1027="","",IFERROR(VLOOKUP($D1027,物料档案!$A$4:$P$1203,4,0),"※编码不在物料档案里"))</f>
        <v/>
      </c>
      <c r="G1027" s="24">
        <f>IF($D1027="","",IFERROR(VLOOKUP($D1027,物料档案!$A$4:$P$1203,5,0),"※编码不在物料档案里"))</f>
        <v/>
      </c>
      <c r="H1027" s="24">
        <f>IF($D1027="","",IFERROR(VLOOKUP($D1027,物料档案!$A$4:$P$1203,2,0),"※编码不在物料档案里"))</f>
        <v/>
      </c>
      <c r="I1027" s="24">
        <f>IF($D1027="","",IFERROR(VLOOKUP($D1027,物料档案!$A$4:$P$1203,6,0),"※编码不在物料档案里"))</f>
        <v/>
      </c>
      <c r="J1027" s="23" t="n"/>
      <c r="K1027" s="17" t="n"/>
      <c r="L1027" s="17" t="n"/>
      <c r="M1027" s="17" t="n"/>
      <c r="N1027" s="17" t="n"/>
      <c r="O1027" s="26">
        <f>IF($D1027="","",IFERROR(VLOOKUP($D1027,物料档案!$A$4:$P$1203,10,0),0))</f>
        <v/>
      </c>
      <c r="P1027" s="32" t="n"/>
      <c r="Q1027" s="26">
        <f>IF($D1027="","",IF($K1027&lt;&gt;"对外销售",0,ROUND(N($J1027)*IF($P1027="",N($O1027),N($P1027)),0)))</f>
        <v/>
      </c>
      <c r="R1027" s="26">
        <f>IF($D1027="","",IFERROR(VLOOKUP($D1027,库存台账!$A$5:$Y$1204,11,0),0))</f>
        <v/>
      </c>
      <c r="S1027" s="26">
        <f>IF($D1027="","",ROUND(N($J1027)*N($R1027),0))</f>
        <v/>
      </c>
      <c r="T1027" s="26">
        <f>IF($D1027="","",IF($K1027&lt;&gt;"对外销售","",ROUND($Q1027-$S1027,0)))</f>
        <v/>
      </c>
      <c r="U1027" s="17" t="n"/>
      <c r="V1027" s="17" t="n"/>
      <c r="W1027" s="24">
        <f>IF($D1027="","",IF($E1027="※编码不在物料档案里","※物料编码不在档案里",IF(N($J1027)&lt;=0,"※出库数量要大于 0",IF($K1027="","※没填去向类型",IF($L1027="","※没填去向矿区",IF(AND($C1027&lt;&gt;"",$C1027&lt;=结账锁),"※日期早于已结账截止日，不能再录",IF(AND($K1027="自用消耗",COUNTIF({"一矿区";"二矿区"},$L1027)=0),"※自用消耗的去向只能是一矿区或二矿区",IF(AND($K1027="对外销售",COUNTIF({"三矿区";"六矿区"},$L1027)=0),"※对外销售的去向只能是三矿区或六矿区",IF(AND($K1027="对外销售",ROUND($Q1027,0)=0),"※外销却没有售价，请填实际售价",IF(AND($K1027="对外销售",$T1027&lt;&gt;"",$T1027&lt;0),"※这一笔外销是亏的，请核对售价",IF(IFERROR(VLOOKUP($D1027,库存台账!$A$5:$Y$1204,24,0),0)&lt;-0.001,"※这个物料账面已经变成负数了，查一下是不是漏记入库","")))))))))))</f>
        <v/>
      </c>
    </row>
    <row r="1028">
      <c r="A1028" s="24">
        <f>IF($D1028="","",COUNTA($D$4:$D1028))</f>
        <v/>
      </c>
      <c r="B1028" s="17" t="n"/>
      <c r="C1028" s="30" t="n"/>
      <c r="D1028" s="17" t="n"/>
      <c r="E1028" s="24">
        <f>IF($D1028="","",IFERROR(VLOOKUP($D1028,物料档案!$A$4:$P$1203,3,0),"※编码不在物料档案里"))</f>
        <v/>
      </c>
      <c r="F1028" s="24">
        <f>IF($D1028="","",IFERROR(VLOOKUP($D1028,物料档案!$A$4:$P$1203,4,0),"※编码不在物料档案里"))</f>
        <v/>
      </c>
      <c r="G1028" s="24">
        <f>IF($D1028="","",IFERROR(VLOOKUP($D1028,物料档案!$A$4:$P$1203,5,0),"※编码不在物料档案里"))</f>
        <v/>
      </c>
      <c r="H1028" s="24">
        <f>IF($D1028="","",IFERROR(VLOOKUP($D1028,物料档案!$A$4:$P$1203,2,0),"※编码不在物料档案里"))</f>
        <v/>
      </c>
      <c r="I1028" s="24">
        <f>IF($D1028="","",IFERROR(VLOOKUP($D1028,物料档案!$A$4:$P$1203,6,0),"※编码不在物料档案里"))</f>
        <v/>
      </c>
      <c r="J1028" s="23" t="n"/>
      <c r="K1028" s="17" t="n"/>
      <c r="L1028" s="17" t="n"/>
      <c r="M1028" s="17" t="n"/>
      <c r="N1028" s="17" t="n"/>
      <c r="O1028" s="26">
        <f>IF($D1028="","",IFERROR(VLOOKUP($D1028,物料档案!$A$4:$P$1203,10,0),0))</f>
        <v/>
      </c>
      <c r="P1028" s="32" t="n"/>
      <c r="Q1028" s="26">
        <f>IF($D1028="","",IF($K1028&lt;&gt;"对外销售",0,ROUND(N($J1028)*IF($P1028="",N($O1028),N($P1028)),0)))</f>
        <v/>
      </c>
      <c r="R1028" s="26">
        <f>IF($D1028="","",IFERROR(VLOOKUP($D1028,库存台账!$A$5:$Y$1204,11,0),0))</f>
        <v/>
      </c>
      <c r="S1028" s="26">
        <f>IF($D1028="","",ROUND(N($J1028)*N($R1028),0))</f>
        <v/>
      </c>
      <c r="T1028" s="26">
        <f>IF($D1028="","",IF($K1028&lt;&gt;"对外销售","",ROUND($Q1028-$S1028,0)))</f>
        <v/>
      </c>
      <c r="U1028" s="17" t="n"/>
      <c r="V1028" s="17" t="n"/>
      <c r="W1028" s="24">
        <f>IF($D1028="","",IF($E1028="※编码不在物料档案里","※物料编码不在档案里",IF(N($J1028)&lt;=0,"※出库数量要大于 0",IF($K1028="","※没填去向类型",IF($L1028="","※没填去向矿区",IF(AND($C1028&lt;&gt;"",$C1028&lt;=结账锁),"※日期早于已结账截止日，不能再录",IF(AND($K1028="自用消耗",COUNTIF({"一矿区";"二矿区"},$L1028)=0),"※自用消耗的去向只能是一矿区或二矿区",IF(AND($K1028="对外销售",COUNTIF({"三矿区";"六矿区"},$L1028)=0),"※对外销售的去向只能是三矿区或六矿区",IF(AND($K1028="对外销售",ROUND($Q1028,0)=0),"※外销却没有售价，请填实际售价",IF(AND($K1028="对外销售",$T1028&lt;&gt;"",$T1028&lt;0),"※这一笔外销是亏的，请核对售价",IF(IFERROR(VLOOKUP($D1028,库存台账!$A$5:$Y$1204,24,0),0)&lt;-0.001,"※这个物料账面已经变成负数了，查一下是不是漏记入库","")))))))))))</f>
        <v/>
      </c>
    </row>
    <row r="1029">
      <c r="A1029" s="24">
        <f>IF($D1029="","",COUNTA($D$4:$D1029))</f>
        <v/>
      </c>
      <c r="B1029" s="17" t="n"/>
      <c r="C1029" s="30" t="n"/>
      <c r="D1029" s="17" t="n"/>
      <c r="E1029" s="24">
        <f>IF($D1029="","",IFERROR(VLOOKUP($D1029,物料档案!$A$4:$P$1203,3,0),"※编码不在物料档案里"))</f>
        <v/>
      </c>
      <c r="F1029" s="24">
        <f>IF($D1029="","",IFERROR(VLOOKUP($D1029,物料档案!$A$4:$P$1203,4,0),"※编码不在物料档案里"))</f>
        <v/>
      </c>
      <c r="G1029" s="24">
        <f>IF($D1029="","",IFERROR(VLOOKUP($D1029,物料档案!$A$4:$P$1203,5,0),"※编码不在物料档案里"))</f>
        <v/>
      </c>
      <c r="H1029" s="24">
        <f>IF($D1029="","",IFERROR(VLOOKUP($D1029,物料档案!$A$4:$P$1203,2,0),"※编码不在物料档案里"))</f>
        <v/>
      </c>
      <c r="I1029" s="24">
        <f>IF($D1029="","",IFERROR(VLOOKUP($D1029,物料档案!$A$4:$P$1203,6,0),"※编码不在物料档案里"))</f>
        <v/>
      </c>
      <c r="J1029" s="23" t="n"/>
      <c r="K1029" s="17" t="n"/>
      <c r="L1029" s="17" t="n"/>
      <c r="M1029" s="17" t="n"/>
      <c r="N1029" s="17" t="n"/>
      <c r="O1029" s="26">
        <f>IF($D1029="","",IFERROR(VLOOKUP($D1029,物料档案!$A$4:$P$1203,10,0),0))</f>
        <v/>
      </c>
      <c r="P1029" s="32" t="n"/>
      <c r="Q1029" s="26">
        <f>IF($D1029="","",IF($K1029&lt;&gt;"对外销售",0,ROUND(N($J1029)*IF($P1029="",N($O1029),N($P1029)),0)))</f>
        <v/>
      </c>
      <c r="R1029" s="26">
        <f>IF($D1029="","",IFERROR(VLOOKUP($D1029,库存台账!$A$5:$Y$1204,11,0),0))</f>
        <v/>
      </c>
      <c r="S1029" s="26">
        <f>IF($D1029="","",ROUND(N($J1029)*N($R1029),0))</f>
        <v/>
      </c>
      <c r="T1029" s="26">
        <f>IF($D1029="","",IF($K1029&lt;&gt;"对外销售","",ROUND($Q1029-$S1029,0)))</f>
        <v/>
      </c>
      <c r="U1029" s="17" t="n"/>
      <c r="V1029" s="17" t="n"/>
      <c r="W1029" s="24">
        <f>IF($D1029="","",IF($E1029="※编码不在物料档案里","※物料编码不在档案里",IF(N($J1029)&lt;=0,"※出库数量要大于 0",IF($K1029="","※没填去向类型",IF($L1029="","※没填去向矿区",IF(AND($C1029&lt;&gt;"",$C1029&lt;=结账锁),"※日期早于已结账截止日，不能再录",IF(AND($K1029="自用消耗",COUNTIF({"一矿区";"二矿区"},$L1029)=0),"※自用消耗的去向只能是一矿区或二矿区",IF(AND($K1029="对外销售",COUNTIF({"三矿区";"六矿区"},$L1029)=0),"※对外销售的去向只能是三矿区或六矿区",IF(AND($K1029="对外销售",ROUND($Q1029,0)=0),"※外销却没有售价，请填实际售价",IF(AND($K1029="对外销售",$T1029&lt;&gt;"",$T1029&lt;0),"※这一笔外销是亏的，请核对售价",IF(IFERROR(VLOOKUP($D1029,库存台账!$A$5:$Y$1204,24,0),0)&lt;-0.001,"※这个物料账面已经变成负数了，查一下是不是漏记入库","")))))))))))</f>
        <v/>
      </c>
    </row>
    <row r="1030">
      <c r="A1030" s="24">
        <f>IF($D1030="","",COUNTA($D$4:$D1030))</f>
        <v/>
      </c>
      <c r="B1030" s="17" t="n"/>
      <c r="C1030" s="30" t="n"/>
      <c r="D1030" s="17" t="n"/>
      <c r="E1030" s="24">
        <f>IF($D1030="","",IFERROR(VLOOKUP($D1030,物料档案!$A$4:$P$1203,3,0),"※编码不在物料档案里"))</f>
        <v/>
      </c>
      <c r="F1030" s="24">
        <f>IF($D1030="","",IFERROR(VLOOKUP($D1030,物料档案!$A$4:$P$1203,4,0),"※编码不在物料档案里"))</f>
        <v/>
      </c>
      <c r="G1030" s="24">
        <f>IF($D1030="","",IFERROR(VLOOKUP($D1030,物料档案!$A$4:$P$1203,5,0),"※编码不在物料档案里"))</f>
        <v/>
      </c>
      <c r="H1030" s="24">
        <f>IF($D1030="","",IFERROR(VLOOKUP($D1030,物料档案!$A$4:$P$1203,2,0),"※编码不在物料档案里"))</f>
        <v/>
      </c>
      <c r="I1030" s="24">
        <f>IF($D1030="","",IFERROR(VLOOKUP($D1030,物料档案!$A$4:$P$1203,6,0),"※编码不在物料档案里"))</f>
        <v/>
      </c>
      <c r="J1030" s="23" t="n"/>
      <c r="K1030" s="17" t="n"/>
      <c r="L1030" s="17" t="n"/>
      <c r="M1030" s="17" t="n"/>
      <c r="N1030" s="17" t="n"/>
      <c r="O1030" s="26">
        <f>IF($D1030="","",IFERROR(VLOOKUP($D1030,物料档案!$A$4:$P$1203,10,0),0))</f>
        <v/>
      </c>
      <c r="P1030" s="32" t="n"/>
      <c r="Q1030" s="26">
        <f>IF($D1030="","",IF($K1030&lt;&gt;"对外销售",0,ROUND(N($J1030)*IF($P1030="",N($O1030),N($P1030)),0)))</f>
        <v/>
      </c>
      <c r="R1030" s="26">
        <f>IF($D1030="","",IFERROR(VLOOKUP($D1030,库存台账!$A$5:$Y$1204,11,0),0))</f>
        <v/>
      </c>
      <c r="S1030" s="26">
        <f>IF($D1030="","",ROUND(N($J1030)*N($R1030),0))</f>
        <v/>
      </c>
      <c r="T1030" s="26">
        <f>IF($D1030="","",IF($K1030&lt;&gt;"对外销售","",ROUND($Q1030-$S1030,0)))</f>
        <v/>
      </c>
      <c r="U1030" s="17" t="n"/>
      <c r="V1030" s="17" t="n"/>
      <c r="W1030" s="24">
        <f>IF($D1030="","",IF($E1030="※编码不在物料档案里","※物料编码不在档案里",IF(N($J1030)&lt;=0,"※出库数量要大于 0",IF($K1030="","※没填去向类型",IF($L1030="","※没填去向矿区",IF(AND($C1030&lt;&gt;"",$C1030&lt;=结账锁),"※日期早于已结账截止日，不能再录",IF(AND($K1030="自用消耗",COUNTIF({"一矿区";"二矿区"},$L1030)=0),"※自用消耗的去向只能是一矿区或二矿区",IF(AND($K1030="对外销售",COUNTIF({"三矿区";"六矿区"},$L1030)=0),"※对外销售的去向只能是三矿区或六矿区",IF(AND($K1030="对外销售",ROUND($Q1030,0)=0),"※外销却没有售价，请填实际售价",IF(AND($K1030="对外销售",$T1030&lt;&gt;"",$T1030&lt;0),"※这一笔外销是亏的，请核对售价",IF(IFERROR(VLOOKUP($D1030,库存台账!$A$5:$Y$1204,24,0),0)&lt;-0.001,"※这个物料账面已经变成负数了，查一下是不是漏记入库","")))))))))))</f>
        <v/>
      </c>
    </row>
    <row r="1031">
      <c r="A1031" s="24">
        <f>IF($D1031="","",COUNTA($D$4:$D1031))</f>
        <v/>
      </c>
      <c r="B1031" s="17" t="n"/>
      <c r="C1031" s="30" t="n"/>
      <c r="D1031" s="17" t="n"/>
      <c r="E1031" s="24">
        <f>IF($D1031="","",IFERROR(VLOOKUP($D1031,物料档案!$A$4:$P$1203,3,0),"※编码不在物料档案里"))</f>
        <v/>
      </c>
      <c r="F1031" s="24">
        <f>IF($D1031="","",IFERROR(VLOOKUP($D1031,物料档案!$A$4:$P$1203,4,0),"※编码不在物料档案里"))</f>
        <v/>
      </c>
      <c r="G1031" s="24">
        <f>IF($D1031="","",IFERROR(VLOOKUP($D1031,物料档案!$A$4:$P$1203,5,0),"※编码不在物料档案里"))</f>
        <v/>
      </c>
      <c r="H1031" s="24">
        <f>IF($D1031="","",IFERROR(VLOOKUP($D1031,物料档案!$A$4:$P$1203,2,0),"※编码不在物料档案里"))</f>
        <v/>
      </c>
      <c r="I1031" s="24">
        <f>IF($D1031="","",IFERROR(VLOOKUP($D1031,物料档案!$A$4:$P$1203,6,0),"※编码不在物料档案里"))</f>
        <v/>
      </c>
      <c r="J1031" s="23" t="n"/>
      <c r="K1031" s="17" t="n"/>
      <c r="L1031" s="17" t="n"/>
      <c r="M1031" s="17" t="n"/>
      <c r="N1031" s="17" t="n"/>
      <c r="O1031" s="26">
        <f>IF($D1031="","",IFERROR(VLOOKUP($D1031,物料档案!$A$4:$P$1203,10,0),0))</f>
        <v/>
      </c>
      <c r="P1031" s="32" t="n"/>
      <c r="Q1031" s="26">
        <f>IF($D1031="","",IF($K1031&lt;&gt;"对外销售",0,ROUND(N($J1031)*IF($P1031="",N($O1031),N($P1031)),0)))</f>
        <v/>
      </c>
      <c r="R1031" s="26">
        <f>IF($D1031="","",IFERROR(VLOOKUP($D1031,库存台账!$A$5:$Y$1204,11,0),0))</f>
        <v/>
      </c>
      <c r="S1031" s="26">
        <f>IF($D1031="","",ROUND(N($J1031)*N($R1031),0))</f>
        <v/>
      </c>
      <c r="T1031" s="26">
        <f>IF($D1031="","",IF($K1031&lt;&gt;"对外销售","",ROUND($Q1031-$S1031,0)))</f>
        <v/>
      </c>
      <c r="U1031" s="17" t="n"/>
      <c r="V1031" s="17" t="n"/>
      <c r="W1031" s="24">
        <f>IF($D1031="","",IF($E1031="※编码不在物料档案里","※物料编码不在档案里",IF(N($J1031)&lt;=0,"※出库数量要大于 0",IF($K1031="","※没填去向类型",IF($L1031="","※没填去向矿区",IF(AND($C1031&lt;&gt;"",$C1031&lt;=结账锁),"※日期早于已结账截止日，不能再录",IF(AND($K1031="自用消耗",COUNTIF({"一矿区";"二矿区"},$L1031)=0),"※自用消耗的去向只能是一矿区或二矿区",IF(AND($K1031="对外销售",COUNTIF({"三矿区";"六矿区"},$L1031)=0),"※对外销售的去向只能是三矿区或六矿区",IF(AND($K1031="对外销售",ROUND($Q1031,0)=0),"※外销却没有售价，请填实际售价",IF(AND($K1031="对外销售",$T1031&lt;&gt;"",$T1031&lt;0),"※这一笔外销是亏的，请核对售价",IF(IFERROR(VLOOKUP($D1031,库存台账!$A$5:$Y$1204,24,0),0)&lt;-0.001,"※这个物料账面已经变成负数了，查一下是不是漏记入库","")))))))))))</f>
        <v/>
      </c>
    </row>
    <row r="1032">
      <c r="A1032" s="24">
        <f>IF($D1032="","",COUNTA($D$4:$D1032))</f>
        <v/>
      </c>
      <c r="B1032" s="17" t="n"/>
      <c r="C1032" s="30" t="n"/>
      <c r="D1032" s="17" t="n"/>
      <c r="E1032" s="24">
        <f>IF($D1032="","",IFERROR(VLOOKUP($D1032,物料档案!$A$4:$P$1203,3,0),"※编码不在物料档案里"))</f>
        <v/>
      </c>
      <c r="F1032" s="24">
        <f>IF($D1032="","",IFERROR(VLOOKUP($D1032,物料档案!$A$4:$P$1203,4,0),"※编码不在物料档案里"))</f>
        <v/>
      </c>
      <c r="G1032" s="24">
        <f>IF($D1032="","",IFERROR(VLOOKUP($D1032,物料档案!$A$4:$P$1203,5,0),"※编码不在物料档案里"))</f>
        <v/>
      </c>
      <c r="H1032" s="24">
        <f>IF($D1032="","",IFERROR(VLOOKUP($D1032,物料档案!$A$4:$P$1203,2,0),"※编码不在物料档案里"))</f>
        <v/>
      </c>
      <c r="I1032" s="24">
        <f>IF($D1032="","",IFERROR(VLOOKUP($D1032,物料档案!$A$4:$P$1203,6,0),"※编码不在物料档案里"))</f>
        <v/>
      </c>
      <c r="J1032" s="23" t="n"/>
      <c r="K1032" s="17" t="n"/>
      <c r="L1032" s="17" t="n"/>
      <c r="M1032" s="17" t="n"/>
      <c r="N1032" s="17" t="n"/>
      <c r="O1032" s="26">
        <f>IF($D1032="","",IFERROR(VLOOKUP($D1032,物料档案!$A$4:$P$1203,10,0),0))</f>
        <v/>
      </c>
      <c r="P1032" s="32" t="n"/>
      <c r="Q1032" s="26">
        <f>IF($D1032="","",IF($K1032&lt;&gt;"对外销售",0,ROUND(N($J1032)*IF($P1032="",N($O1032),N($P1032)),0)))</f>
        <v/>
      </c>
      <c r="R1032" s="26">
        <f>IF($D1032="","",IFERROR(VLOOKUP($D1032,库存台账!$A$5:$Y$1204,11,0),0))</f>
        <v/>
      </c>
      <c r="S1032" s="26">
        <f>IF($D1032="","",ROUND(N($J1032)*N($R1032),0))</f>
        <v/>
      </c>
      <c r="T1032" s="26">
        <f>IF($D1032="","",IF($K1032&lt;&gt;"对外销售","",ROUND($Q1032-$S1032,0)))</f>
        <v/>
      </c>
      <c r="U1032" s="17" t="n"/>
      <c r="V1032" s="17" t="n"/>
      <c r="W1032" s="24">
        <f>IF($D1032="","",IF($E1032="※编码不在物料档案里","※物料编码不在档案里",IF(N($J1032)&lt;=0,"※出库数量要大于 0",IF($K1032="","※没填去向类型",IF($L1032="","※没填去向矿区",IF(AND($C1032&lt;&gt;"",$C1032&lt;=结账锁),"※日期早于已结账截止日，不能再录",IF(AND($K1032="自用消耗",COUNTIF({"一矿区";"二矿区"},$L1032)=0),"※自用消耗的去向只能是一矿区或二矿区",IF(AND($K1032="对外销售",COUNTIF({"三矿区";"六矿区"},$L1032)=0),"※对外销售的去向只能是三矿区或六矿区",IF(AND($K1032="对外销售",ROUND($Q1032,0)=0),"※外销却没有售价，请填实际售价",IF(AND($K1032="对外销售",$T1032&lt;&gt;"",$T1032&lt;0),"※这一笔外销是亏的，请核对售价",IF(IFERROR(VLOOKUP($D1032,库存台账!$A$5:$Y$1204,24,0),0)&lt;-0.001,"※这个物料账面已经变成负数了，查一下是不是漏记入库","")))))))))))</f>
        <v/>
      </c>
    </row>
    <row r="1033">
      <c r="A1033" s="24">
        <f>IF($D1033="","",COUNTA($D$4:$D1033))</f>
        <v/>
      </c>
      <c r="B1033" s="17" t="n"/>
      <c r="C1033" s="30" t="n"/>
      <c r="D1033" s="17" t="n"/>
      <c r="E1033" s="24">
        <f>IF($D1033="","",IFERROR(VLOOKUP($D1033,物料档案!$A$4:$P$1203,3,0),"※编码不在物料档案里"))</f>
        <v/>
      </c>
      <c r="F1033" s="24">
        <f>IF($D1033="","",IFERROR(VLOOKUP($D1033,物料档案!$A$4:$P$1203,4,0),"※编码不在物料档案里"))</f>
        <v/>
      </c>
      <c r="G1033" s="24">
        <f>IF($D1033="","",IFERROR(VLOOKUP($D1033,物料档案!$A$4:$P$1203,5,0),"※编码不在物料档案里"))</f>
        <v/>
      </c>
      <c r="H1033" s="24">
        <f>IF($D1033="","",IFERROR(VLOOKUP($D1033,物料档案!$A$4:$P$1203,2,0),"※编码不在物料档案里"))</f>
        <v/>
      </c>
      <c r="I1033" s="24">
        <f>IF($D1033="","",IFERROR(VLOOKUP($D1033,物料档案!$A$4:$P$1203,6,0),"※编码不在物料档案里"))</f>
        <v/>
      </c>
      <c r="J1033" s="23" t="n"/>
      <c r="K1033" s="17" t="n"/>
      <c r="L1033" s="17" t="n"/>
      <c r="M1033" s="17" t="n"/>
      <c r="N1033" s="17" t="n"/>
      <c r="O1033" s="26">
        <f>IF($D1033="","",IFERROR(VLOOKUP($D1033,物料档案!$A$4:$P$1203,10,0),0))</f>
        <v/>
      </c>
      <c r="P1033" s="32" t="n"/>
      <c r="Q1033" s="26">
        <f>IF($D1033="","",IF($K1033&lt;&gt;"对外销售",0,ROUND(N($J1033)*IF($P1033="",N($O1033),N($P1033)),0)))</f>
        <v/>
      </c>
      <c r="R1033" s="26">
        <f>IF($D1033="","",IFERROR(VLOOKUP($D1033,库存台账!$A$5:$Y$1204,11,0),0))</f>
        <v/>
      </c>
      <c r="S1033" s="26">
        <f>IF($D1033="","",ROUND(N($J1033)*N($R1033),0))</f>
        <v/>
      </c>
      <c r="T1033" s="26">
        <f>IF($D1033="","",IF($K1033&lt;&gt;"对外销售","",ROUND($Q1033-$S1033,0)))</f>
        <v/>
      </c>
      <c r="U1033" s="17" t="n"/>
      <c r="V1033" s="17" t="n"/>
      <c r="W1033" s="24">
        <f>IF($D1033="","",IF($E1033="※编码不在物料档案里","※物料编码不在档案里",IF(N($J1033)&lt;=0,"※出库数量要大于 0",IF($K1033="","※没填去向类型",IF($L1033="","※没填去向矿区",IF(AND($C1033&lt;&gt;"",$C1033&lt;=结账锁),"※日期早于已结账截止日，不能再录",IF(AND($K1033="自用消耗",COUNTIF({"一矿区";"二矿区"},$L1033)=0),"※自用消耗的去向只能是一矿区或二矿区",IF(AND($K1033="对外销售",COUNTIF({"三矿区";"六矿区"},$L1033)=0),"※对外销售的去向只能是三矿区或六矿区",IF(AND($K1033="对外销售",ROUND($Q1033,0)=0),"※外销却没有售价，请填实际售价",IF(AND($K1033="对外销售",$T1033&lt;&gt;"",$T1033&lt;0),"※这一笔外销是亏的，请核对售价",IF(IFERROR(VLOOKUP($D1033,库存台账!$A$5:$Y$1204,24,0),0)&lt;-0.001,"※这个物料账面已经变成负数了，查一下是不是漏记入库","")))))))))))</f>
        <v/>
      </c>
    </row>
    <row r="1034">
      <c r="A1034" s="24">
        <f>IF($D1034="","",COUNTA($D$4:$D1034))</f>
        <v/>
      </c>
      <c r="B1034" s="17" t="n"/>
      <c r="C1034" s="30" t="n"/>
      <c r="D1034" s="17" t="n"/>
      <c r="E1034" s="24">
        <f>IF($D1034="","",IFERROR(VLOOKUP($D1034,物料档案!$A$4:$P$1203,3,0),"※编码不在物料档案里"))</f>
        <v/>
      </c>
      <c r="F1034" s="24">
        <f>IF($D1034="","",IFERROR(VLOOKUP($D1034,物料档案!$A$4:$P$1203,4,0),"※编码不在物料档案里"))</f>
        <v/>
      </c>
      <c r="G1034" s="24">
        <f>IF($D1034="","",IFERROR(VLOOKUP($D1034,物料档案!$A$4:$P$1203,5,0),"※编码不在物料档案里"))</f>
        <v/>
      </c>
      <c r="H1034" s="24">
        <f>IF($D1034="","",IFERROR(VLOOKUP($D1034,物料档案!$A$4:$P$1203,2,0),"※编码不在物料档案里"))</f>
        <v/>
      </c>
      <c r="I1034" s="24">
        <f>IF($D1034="","",IFERROR(VLOOKUP($D1034,物料档案!$A$4:$P$1203,6,0),"※编码不在物料档案里"))</f>
        <v/>
      </c>
      <c r="J1034" s="23" t="n"/>
      <c r="K1034" s="17" t="n"/>
      <c r="L1034" s="17" t="n"/>
      <c r="M1034" s="17" t="n"/>
      <c r="N1034" s="17" t="n"/>
      <c r="O1034" s="26">
        <f>IF($D1034="","",IFERROR(VLOOKUP($D1034,物料档案!$A$4:$P$1203,10,0),0))</f>
        <v/>
      </c>
      <c r="P1034" s="32" t="n"/>
      <c r="Q1034" s="26">
        <f>IF($D1034="","",IF($K1034&lt;&gt;"对外销售",0,ROUND(N($J1034)*IF($P1034="",N($O1034),N($P1034)),0)))</f>
        <v/>
      </c>
      <c r="R1034" s="26">
        <f>IF($D1034="","",IFERROR(VLOOKUP($D1034,库存台账!$A$5:$Y$1204,11,0),0))</f>
        <v/>
      </c>
      <c r="S1034" s="26">
        <f>IF($D1034="","",ROUND(N($J1034)*N($R1034),0))</f>
        <v/>
      </c>
      <c r="T1034" s="26">
        <f>IF($D1034="","",IF($K1034&lt;&gt;"对外销售","",ROUND($Q1034-$S1034,0)))</f>
        <v/>
      </c>
      <c r="U1034" s="17" t="n"/>
      <c r="V1034" s="17" t="n"/>
      <c r="W1034" s="24">
        <f>IF($D1034="","",IF($E1034="※编码不在物料档案里","※物料编码不在档案里",IF(N($J1034)&lt;=0,"※出库数量要大于 0",IF($K1034="","※没填去向类型",IF($L1034="","※没填去向矿区",IF(AND($C1034&lt;&gt;"",$C1034&lt;=结账锁),"※日期早于已结账截止日，不能再录",IF(AND($K1034="自用消耗",COUNTIF({"一矿区";"二矿区"},$L1034)=0),"※自用消耗的去向只能是一矿区或二矿区",IF(AND($K1034="对外销售",COUNTIF({"三矿区";"六矿区"},$L1034)=0),"※对外销售的去向只能是三矿区或六矿区",IF(AND($K1034="对外销售",ROUND($Q1034,0)=0),"※外销却没有售价，请填实际售价",IF(AND($K1034="对外销售",$T1034&lt;&gt;"",$T1034&lt;0),"※这一笔外销是亏的，请核对售价",IF(IFERROR(VLOOKUP($D1034,库存台账!$A$5:$Y$1204,24,0),0)&lt;-0.001,"※这个物料账面已经变成负数了，查一下是不是漏记入库","")))))))))))</f>
        <v/>
      </c>
    </row>
    <row r="1035">
      <c r="A1035" s="24">
        <f>IF($D1035="","",COUNTA($D$4:$D1035))</f>
        <v/>
      </c>
      <c r="B1035" s="17" t="n"/>
      <c r="C1035" s="30" t="n"/>
      <c r="D1035" s="17" t="n"/>
      <c r="E1035" s="24">
        <f>IF($D1035="","",IFERROR(VLOOKUP($D1035,物料档案!$A$4:$P$1203,3,0),"※编码不在物料档案里"))</f>
        <v/>
      </c>
      <c r="F1035" s="24">
        <f>IF($D1035="","",IFERROR(VLOOKUP($D1035,物料档案!$A$4:$P$1203,4,0),"※编码不在物料档案里"))</f>
        <v/>
      </c>
      <c r="G1035" s="24">
        <f>IF($D1035="","",IFERROR(VLOOKUP($D1035,物料档案!$A$4:$P$1203,5,0),"※编码不在物料档案里"))</f>
        <v/>
      </c>
      <c r="H1035" s="24">
        <f>IF($D1035="","",IFERROR(VLOOKUP($D1035,物料档案!$A$4:$P$1203,2,0),"※编码不在物料档案里"))</f>
        <v/>
      </c>
      <c r="I1035" s="24">
        <f>IF($D1035="","",IFERROR(VLOOKUP($D1035,物料档案!$A$4:$P$1203,6,0),"※编码不在物料档案里"))</f>
        <v/>
      </c>
      <c r="J1035" s="23" t="n"/>
      <c r="K1035" s="17" t="n"/>
      <c r="L1035" s="17" t="n"/>
      <c r="M1035" s="17" t="n"/>
      <c r="N1035" s="17" t="n"/>
      <c r="O1035" s="26">
        <f>IF($D1035="","",IFERROR(VLOOKUP($D1035,物料档案!$A$4:$P$1203,10,0),0))</f>
        <v/>
      </c>
      <c r="P1035" s="32" t="n"/>
      <c r="Q1035" s="26">
        <f>IF($D1035="","",IF($K1035&lt;&gt;"对外销售",0,ROUND(N($J1035)*IF($P1035="",N($O1035),N($P1035)),0)))</f>
        <v/>
      </c>
      <c r="R1035" s="26">
        <f>IF($D1035="","",IFERROR(VLOOKUP($D1035,库存台账!$A$5:$Y$1204,11,0),0))</f>
        <v/>
      </c>
      <c r="S1035" s="26">
        <f>IF($D1035="","",ROUND(N($J1035)*N($R1035),0))</f>
        <v/>
      </c>
      <c r="T1035" s="26">
        <f>IF($D1035="","",IF($K1035&lt;&gt;"对外销售","",ROUND($Q1035-$S1035,0)))</f>
        <v/>
      </c>
      <c r="U1035" s="17" t="n"/>
      <c r="V1035" s="17" t="n"/>
      <c r="W1035" s="24">
        <f>IF($D1035="","",IF($E1035="※编码不在物料档案里","※物料编码不在档案里",IF(N($J1035)&lt;=0,"※出库数量要大于 0",IF($K1035="","※没填去向类型",IF($L1035="","※没填去向矿区",IF(AND($C1035&lt;&gt;"",$C1035&lt;=结账锁),"※日期早于已结账截止日，不能再录",IF(AND($K1035="自用消耗",COUNTIF({"一矿区";"二矿区"},$L1035)=0),"※自用消耗的去向只能是一矿区或二矿区",IF(AND($K1035="对外销售",COUNTIF({"三矿区";"六矿区"},$L1035)=0),"※对外销售的去向只能是三矿区或六矿区",IF(AND($K1035="对外销售",ROUND($Q1035,0)=0),"※外销却没有售价，请填实际售价",IF(AND($K1035="对外销售",$T1035&lt;&gt;"",$T1035&lt;0),"※这一笔外销是亏的，请核对售价",IF(IFERROR(VLOOKUP($D1035,库存台账!$A$5:$Y$1204,24,0),0)&lt;-0.001,"※这个物料账面已经变成负数了，查一下是不是漏记入库","")))))))))))</f>
        <v/>
      </c>
    </row>
    <row r="1036">
      <c r="A1036" s="24">
        <f>IF($D1036="","",COUNTA($D$4:$D1036))</f>
        <v/>
      </c>
      <c r="B1036" s="17" t="n"/>
      <c r="C1036" s="30" t="n"/>
      <c r="D1036" s="17" t="n"/>
      <c r="E1036" s="24">
        <f>IF($D1036="","",IFERROR(VLOOKUP($D1036,物料档案!$A$4:$P$1203,3,0),"※编码不在物料档案里"))</f>
        <v/>
      </c>
      <c r="F1036" s="24">
        <f>IF($D1036="","",IFERROR(VLOOKUP($D1036,物料档案!$A$4:$P$1203,4,0),"※编码不在物料档案里"))</f>
        <v/>
      </c>
      <c r="G1036" s="24">
        <f>IF($D1036="","",IFERROR(VLOOKUP($D1036,物料档案!$A$4:$P$1203,5,0),"※编码不在物料档案里"))</f>
        <v/>
      </c>
      <c r="H1036" s="24">
        <f>IF($D1036="","",IFERROR(VLOOKUP($D1036,物料档案!$A$4:$P$1203,2,0),"※编码不在物料档案里"))</f>
        <v/>
      </c>
      <c r="I1036" s="24">
        <f>IF($D1036="","",IFERROR(VLOOKUP($D1036,物料档案!$A$4:$P$1203,6,0),"※编码不在物料档案里"))</f>
        <v/>
      </c>
      <c r="J1036" s="23" t="n"/>
      <c r="K1036" s="17" t="n"/>
      <c r="L1036" s="17" t="n"/>
      <c r="M1036" s="17" t="n"/>
      <c r="N1036" s="17" t="n"/>
      <c r="O1036" s="26">
        <f>IF($D1036="","",IFERROR(VLOOKUP($D1036,物料档案!$A$4:$P$1203,10,0),0))</f>
        <v/>
      </c>
      <c r="P1036" s="32" t="n"/>
      <c r="Q1036" s="26">
        <f>IF($D1036="","",IF($K1036&lt;&gt;"对外销售",0,ROUND(N($J1036)*IF($P1036="",N($O1036),N($P1036)),0)))</f>
        <v/>
      </c>
      <c r="R1036" s="26">
        <f>IF($D1036="","",IFERROR(VLOOKUP($D1036,库存台账!$A$5:$Y$1204,11,0),0))</f>
        <v/>
      </c>
      <c r="S1036" s="26">
        <f>IF($D1036="","",ROUND(N($J1036)*N($R1036),0))</f>
        <v/>
      </c>
      <c r="T1036" s="26">
        <f>IF($D1036="","",IF($K1036&lt;&gt;"对外销售","",ROUND($Q1036-$S1036,0)))</f>
        <v/>
      </c>
      <c r="U1036" s="17" t="n"/>
      <c r="V1036" s="17" t="n"/>
      <c r="W1036" s="24">
        <f>IF($D1036="","",IF($E1036="※编码不在物料档案里","※物料编码不在档案里",IF(N($J1036)&lt;=0,"※出库数量要大于 0",IF($K1036="","※没填去向类型",IF($L1036="","※没填去向矿区",IF(AND($C1036&lt;&gt;"",$C1036&lt;=结账锁),"※日期早于已结账截止日，不能再录",IF(AND($K1036="自用消耗",COUNTIF({"一矿区";"二矿区"},$L1036)=0),"※自用消耗的去向只能是一矿区或二矿区",IF(AND($K1036="对外销售",COUNTIF({"三矿区";"六矿区"},$L1036)=0),"※对外销售的去向只能是三矿区或六矿区",IF(AND($K1036="对外销售",ROUND($Q1036,0)=0),"※外销却没有售价，请填实际售价",IF(AND($K1036="对外销售",$T1036&lt;&gt;"",$T1036&lt;0),"※这一笔外销是亏的，请核对售价",IF(IFERROR(VLOOKUP($D1036,库存台账!$A$5:$Y$1204,24,0),0)&lt;-0.001,"※这个物料账面已经变成负数了，查一下是不是漏记入库","")))))))))))</f>
        <v/>
      </c>
    </row>
    <row r="1037">
      <c r="A1037" s="24">
        <f>IF($D1037="","",COUNTA($D$4:$D1037))</f>
        <v/>
      </c>
      <c r="B1037" s="17" t="n"/>
      <c r="C1037" s="30" t="n"/>
      <c r="D1037" s="17" t="n"/>
      <c r="E1037" s="24">
        <f>IF($D1037="","",IFERROR(VLOOKUP($D1037,物料档案!$A$4:$P$1203,3,0),"※编码不在物料档案里"))</f>
        <v/>
      </c>
      <c r="F1037" s="24">
        <f>IF($D1037="","",IFERROR(VLOOKUP($D1037,物料档案!$A$4:$P$1203,4,0),"※编码不在物料档案里"))</f>
        <v/>
      </c>
      <c r="G1037" s="24">
        <f>IF($D1037="","",IFERROR(VLOOKUP($D1037,物料档案!$A$4:$P$1203,5,0),"※编码不在物料档案里"))</f>
        <v/>
      </c>
      <c r="H1037" s="24">
        <f>IF($D1037="","",IFERROR(VLOOKUP($D1037,物料档案!$A$4:$P$1203,2,0),"※编码不在物料档案里"))</f>
        <v/>
      </c>
      <c r="I1037" s="24">
        <f>IF($D1037="","",IFERROR(VLOOKUP($D1037,物料档案!$A$4:$P$1203,6,0),"※编码不在物料档案里"))</f>
        <v/>
      </c>
      <c r="J1037" s="23" t="n"/>
      <c r="K1037" s="17" t="n"/>
      <c r="L1037" s="17" t="n"/>
      <c r="M1037" s="17" t="n"/>
      <c r="N1037" s="17" t="n"/>
      <c r="O1037" s="26">
        <f>IF($D1037="","",IFERROR(VLOOKUP($D1037,物料档案!$A$4:$P$1203,10,0),0))</f>
        <v/>
      </c>
      <c r="P1037" s="32" t="n"/>
      <c r="Q1037" s="26">
        <f>IF($D1037="","",IF($K1037&lt;&gt;"对外销售",0,ROUND(N($J1037)*IF($P1037="",N($O1037),N($P1037)),0)))</f>
        <v/>
      </c>
      <c r="R1037" s="26">
        <f>IF($D1037="","",IFERROR(VLOOKUP($D1037,库存台账!$A$5:$Y$1204,11,0),0))</f>
        <v/>
      </c>
      <c r="S1037" s="26">
        <f>IF($D1037="","",ROUND(N($J1037)*N($R1037),0))</f>
        <v/>
      </c>
      <c r="T1037" s="26">
        <f>IF($D1037="","",IF($K1037&lt;&gt;"对外销售","",ROUND($Q1037-$S1037,0)))</f>
        <v/>
      </c>
      <c r="U1037" s="17" t="n"/>
      <c r="V1037" s="17" t="n"/>
      <c r="W1037" s="24">
        <f>IF($D1037="","",IF($E1037="※编码不在物料档案里","※物料编码不在档案里",IF(N($J1037)&lt;=0,"※出库数量要大于 0",IF($K1037="","※没填去向类型",IF($L1037="","※没填去向矿区",IF(AND($C1037&lt;&gt;"",$C1037&lt;=结账锁),"※日期早于已结账截止日，不能再录",IF(AND($K1037="自用消耗",COUNTIF({"一矿区";"二矿区"},$L1037)=0),"※自用消耗的去向只能是一矿区或二矿区",IF(AND($K1037="对外销售",COUNTIF({"三矿区";"六矿区"},$L1037)=0),"※对外销售的去向只能是三矿区或六矿区",IF(AND($K1037="对外销售",ROUND($Q1037,0)=0),"※外销却没有售价，请填实际售价",IF(AND($K1037="对外销售",$T1037&lt;&gt;"",$T1037&lt;0),"※这一笔外销是亏的，请核对售价",IF(IFERROR(VLOOKUP($D1037,库存台账!$A$5:$Y$1204,24,0),0)&lt;-0.001,"※这个物料账面已经变成负数了，查一下是不是漏记入库","")))))))))))</f>
        <v/>
      </c>
    </row>
    <row r="1038">
      <c r="A1038" s="24">
        <f>IF($D1038="","",COUNTA($D$4:$D1038))</f>
        <v/>
      </c>
      <c r="B1038" s="17" t="n"/>
      <c r="C1038" s="30" t="n"/>
      <c r="D1038" s="17" t="n"/>
      <c r="E1038" s="24">
        <f>IF($D1038="","",IFERROR(VLOOKUP($D1038,物料档案!$A$4:$P$1203,3,0),"※编码不在物料档案里"))</f>
        <v/>
      </c>
      <c r="F1038" s="24">
        <f>IF($D1038="","",IFERROR(VLOOKUP($D1038,物料档案!$A$4:$P$1203,4,0),"※编码不在物料档案里"))</f>
        <v/>
      </c>
      <c r="G1038" s="24">
        <f>IF($D1038="","",IFERROR(VLOOKUP($D1038,物料档案!$A$4:$P$1203,5,0),"※编码不在物料档案里"))</f>
        <v/>
      </c>
      <c r="H1038" s="24">
        <f>IF($D1038="","",IFERROR(VLOOKUP($D1038,物料档案!$A$4:$P$1203,2,0),"※编码不在物料档案里"))</f>
        <v/>
      </c>
      <c r="I1038" s="24">
        <f>IF($D1038="","",IFERROR(VLOOKUP($D1038,物料档案!$A$4:$P$1203,6,0),"※编码不在物料档案里"))</f>
        <v/>
      </c>
      <c r="J1038" s="23" t="n"/>
      <c r="K1038" s="17" t="n"/>
      <c r="L1038" s="17" t="n"/>
      <c r="M1038" s="17" t="n"/>
      <c r="N1038" s="17" t="n"/>
      <c r="O1038" s="26">
        <f>IF($D1038="","",IFERROR(VLOOKUP($D1038,物料档案!$A$4:$P$1203,10,0),0))</f>
        <v/>
      </c>
      <c r="P1038" s="32" t="n"/>
      <c r="Q1038" s="26">
        <f>IF($D1038="","",IF($K1038&lt;&gt;"对外销售",0,ROUND(N($J1038)*IF($P1038="",N($O1038),N($P1038)),0)))</f>
        <v/>
      </c>
      <c r="R1038" s="26">
        <f>IF($D1038="","",IFERROR(VLOOKUP($D1038,库存台账!$A$5:$Y$1204,11,0),0))</f>
        <v/>
      </c>
      <c r="S1038" s="26">
        <f>IF($D1038="","",ROUND(N($J1038)*N($R1038),0))</f>
        <v/>
      </c>
      <c r="T1038" s="26">
        <f>IF($D1038="","",IF($K1038&lt;&gt;"对外销售","",ROUND($Q1038-$S1038,0)))</f>
        <v/>
      </c>
      <c r="U1038" s="17" t="n"/>
      <c r="V1038" s="17" t="n"/>
      <c r="W1038" s="24">
        <f>IF($D1038="","",IF($E1038="※编码不在物料档案里","※物料编码不在档案里",IF(N($J1038)&lt;=0,"※出库数量要大于 0",IF($K1038="","※没填去向类型",IF($L1038="","※没填去向矿区",IF(AND($C1038&lt;&gt;"",$C1038&lt;=结账锁),"※日期早于已结账截止日，不能再录",IF(AND($K1038="自用消耗",COUNTIF({"一矿区";"二矿区"},$L1038)=0),"※自用消耗的去向只能是一矿区或二矿区",IF(AND($K1038="对外销售",COUNTIF({"三矿区";"六矿区"},$L1038)=0),"※对外销售的去向只能是三矿区或六矿区",IF(AND($K1038="对外销售",ROUND($Q1038,0)=0),"※外销却没有售价，请填实际售价",IF(AND($K1038="对外销售",$T1038&lt;&gt;"",$T1038&lt;0),"※这一笔外销是亏的，请核对售价",IF(IFERROR(VLOOKUP($D1038,库存台账!$A$5:$Y$1204,24,0),0)&lt;-0.001,"※这个物料账面已经变成负数了，查一下是不是漏记入库","")))))))))))</f>
        <v/>
      </c>
    </row>
    <row r="1039">
      <c r="A1039" s="24">
        <f>IF($D1039="","",COUNTA($D$4:$D1039))</f>
        <v/>
      </c>
      <c r="B1039" s="17" t="n"/>
      <c r="C1039" s="30" t="n"/>
      <c r="D1039" s="17" t="n"/>
      <c r="E1039" s="24">
        <f>IF($D1039="","",IFERROR(VLOOKUP($D1039,物料档案!$A$4:$P$1203,3,0),"※编码不在物料档案里"))</f>
        <v/>
      </c>
      <c r="F1039" s="24">
        <f>IF($D1039="","",IFERROR(VLOOKUP($D1039,物料档案!$A$4:$P$1203,4,0),"※编码不在物料档案里"))</f>
        <v/>
      </c>
      <c r="G1039" s="24">
        <f>IF($D1039="","",IFERROR(VLOOKUP($D1039,物料档案!$A$4:$P$1203,5,0),"※编码不在物料档案里"))</f>
        <v/>
      </c>
      <c r="H1039" s="24">
        <f>IF($D1039="","",IFERROR(VLOOKUP($D1039,物料档案!$A$4:$P$1203,2,0),"※编码不在物料档案里"))</f>
        <v/>
      </c>
      <c r="I1039" s="24">
        <f>IF($D1039="","",IFERROR(VLOOKUP($D1039,物料档案!$A$4:$P$1203,6,0),"※编码不在物料档案里"))</f>
        <v/>
      </c>
      <c r="J1039" s="23" t="n"/>
      <c r="K1039" s="17" t="n"/>
      <c r="L1039" s="17" t="n"/>
      <c r="M1039" s="17" t="n"/>
      <c r="N1039" s="17" t="n"/>
      <c r="O1039" s="26">
        <f>IF($D1039="","",IFERROR(VLOOKUP($D1039,物料档案!$A$4:$P$1203,10,0),0))</f>
        <v/>
      </c>
      <c r="P1039" s="32" t="n"/>
      <c r="Q1039" s="26">
        <f>IF($D1039="","",IF($K1039&lt;&gt;"对外销售",0,ROUND(N($J1039)*IF($P1039="",N($O1039),N($P1039)),0)))</f>
        <v/>
      </c>
      <c r="R1039" s="26">
        <f>IF($D1039="","",IFERROR(VLOOKUP($D1039,库存台账!$A$5:$Y$1204,11,0),0))</f>
        <v/>
      </c>
      <c r="S1039" s="26">
        <f>IF($D1039="","",ROUND(N($J1039)*N($R1039),0))</f>
        <v/>
      </c>
      <c r="T1039" s="26">
        <f>IF($D1039="","",IF($K1039&lt;&gt;"对外销售","",ROUND($Q1039-$S1039,0)))</f>
        <v/>
      </c>
      <c r="U1039" s="17" t="n"/>
      <c r="V1039" s="17" t="n"/>
      <c r="W1039" s="24">
        <f>IF($D1039="","",IF($E1039="※编码不在物料档案里","※物料编码不在档案里",IF(N($J1039)&lt;=0,"※出库数量要大于 0",IF($K1039="","※没填去向类型",IF($L1039="","※没填去向矿区",IF(AND($C1039&lt;&gt;"",$C1039&lt;=结账锁),"※日期早于已结账截止日，不能再录",IF(AND($K1039="自用消耗",COUNTIF({"一矿区";"二矿区"},$L1039)=0),"※自用消耗的去向只能是一矿区或二矿区",IF(AND($K1039="对外销售",COUNTIF({"三矿区";"六矿区"},$L1039)=0),"※对外销售的去向只能是三矿区或六矿区",IF(AND($K1039="对外销售",ROUND($Q1039,0)=0),"※外销却没有售价，请填实际售价",IF(AND($K1039="对外销售",$T1039&lt;&gt;"",$T1039&lt;0),"※这一笔外销是亏的，请核对售价",IF(IFERROR(VLOOKUP($D1039,库存台账!$A$5:$Y$1204,24,0),0)&lt;-0.001,"※这个物料账面已经变成负数了，查一下是不是漏记入库","")))))))))))</f>
        <v/>
      </c>
    </row>
    <row r="1040">
      <c r="A1040" s="24">
        <f>IF($D1040="","",COUNTA($D$4:$D1040))</f>
        <v/>
      </c>
      <c r="B1040" s="17" t="n"/>
      <c r="C1040" s="30" t="n"/>
      <c r="D1040" s="17" t="n"/>
      <c r="E1040" s="24">
        <f>IF($D1040="","",IFERROR(VLOOKUP($D1040,物料档案!$A$4:$P$1203,3,0),"※编码不在物料档案里"))</f>
        <v/>
      </c>
      <c r="F1040" s="24">
        <f>IF($D1040="","",IFERROR(VLOOKUP($D1040,物料档案!$A$4:$P$1203,4,0),"※编码不在物料档案里"))</f>
        <v/>
      </c>
      <c r="G1040" s="24">
        <f>IF($D1040="","",IFERROR(VLOOKUP($D1040,物料档案!$A$4:$P$1203,5,0),"※编码不在物料档案里"))</f>
        <v/>
      </c>
      <c r="H1040" s="24">
        <f>IF($D1040="","",IFERROR(VLOOKUP($D1040,物料档案!$A$4:$P$1203,2,0),"※编码不在物料档案里"))</f>
        <v/>
      </c>
      <c r="I1040" s="24">
        <f>IF($D1040="","",IFERROR(VLOOKUP($D1040,物料档案!$A$4:$P$1203,6,0),"※编码不在物料档案里"))</f>
        <v/>
      </c>
      <c r="J1040" s="23" t="n"/>
      <c r="K1040" s="17" t="n"/>
      <c r="L1040" s="17" t="n"/>
      <c r="M1040" s="17" t="n"/>
      <c r="N1040" s="17" t="n"/>
      <c r="O1040" s="26">
        <f>IF($D1040="","",IFERROR(VLOOKUP($D1040,物料档案!$A$4:$P$1203,10,0),0))</f>
        <v/>
      </c>
      <c r="P1040" s="32" t="n"/>
      <c r="Q1040" s="26">
        <f>IF($D1040="","",IF($K1040&lt;&gt;"对外销售",0,ROUND(N($J1040)*IF($P1040="",N($O1040),N($P1040)),0)))</f>
        <v/>
      </c>
      <c r="R1040" s="26">
        <f>IF($D1040="","",IFERROR(VLOOKUP($D1040,库存台账!$A$5:$Y$1204,11,0),0))</f>
        <v/>
      </c>
      <c r="S1040" s="26">
        <f>IF($D1040="","",ROUND(N($J1040)*N($R1040),0))</f>
        <v/>
      </c>
      <c r="T1040" s="26">
        <f>IF($D1040="","",IF($K1040&lt;&gt;"对外销售","",ROUND($Q1040-$S1040,0)))</f>
        <v/>
      </c>
      <c r="U1040" s="17" t="n"/>
      <c r="V1040" s="17" t="n"/>
      <c r="W1040" s="24">
        <f>IF($D1040="","",IF($E1040="※编码不在物料档案里","※物料编码不在档案里",IF(N($J1040)&lt;=0,"※出库数量要大于 0",IF($K1040="","※没填去向类型",IF($L1040="","※没填去向矿区",IF(AND($C1040&lt;&gt;"",$C1040&lt;=结账锁),"※日期早于已结账截止日，不能再录",IF(AND($K1040="自用消耗",COUNTIF({"一矿区";"二矿区"},$L1040)=0),"※自用消耗的去向只能是一矿区或二矿区",IF(AND($K1040="对外销售",COUNTIF({"三矿区";"六矿区"},$L1040)=0),"※对外销售的去向只能是三矿区或六矿区",IF(AND($K1040="对外销售",ROUND($Q1040,0)=0),"※外销却没有售价，请填实际售价",IF(AND($K1040="对外销售",$T1040&lt;&gt;"",$T1040&lt;0),"※这一笔外销是亏的，请核对售价",IF(IFERROR(VLOOKUP($D1040,库存台账!$A$5:$Y$1204,24,0),0)&lt;-0.001,"※这个物料账面已经变成负数了，查一下是不是漏记入库","")))))))))))</f>
        <v/>
      </c>
    </row>
    <row r="1041">
      <c r="A1041" s="24">
        <f>IF($D1041="","",COUNTA($D$4:$D1041))</f>
        <v/>
      </c>
      <c r="B1041" s="17" t="n"/>
      <c r="C1041" s="30" t="n"/>
      <c r="D1041" s="17" t="n"/>
      <c r="E1041" s="24">
        <f>IF($D1041="","",IFERROR(VLOOKUP($D1041,物料档案!$A$4:$P$1203,3,0),"※编码不在物料档案里"))</f>
        <v/>
      </c>
      <c r="F1041" s="24">
        <f>IF($D1041="","",IFERROR(VLOOKUP($D1041,物料档案!$A$4:$P$1203,4,0),"※编码不在物料档案里"))</f>
        <v/>
      </c>
      <c r="G1041" s="24">
        <f>IF($D1041="","",IFERROR(VLOOKUP($D1041,物料档案!$A$4:$P$1203,5,0),"※编码不在物料档案里"))</f>
        <v/>
      </c>
      <c r="H1041" s="24">
        <f>IF($D1041="","",IFERROR(VLOOKUP($D1041,物料档案!$A$4:$P$1203,2,0),"※编码不在物料档案里"))</f>
        <v/>
      </c>
      <c r="I1041" s="24">
        <f>IF($D1041="","",IFERROR(VLOOKUP($D1041,物料档案!$A$4:$P$1203,6,0),"※编码不在物料档案里"))</f>
        <v/>
      </c>
      <c r="J1041" s="23" t="n"/>
      <c r="K1041" s="17" t="n"/>
      <c r="L1041" s="17" t="n"/>
      <c r="M1041" s="17" t="n"/>
      <c r="N1041" s="17" t="n"/>
      <c r="O1041" s="26">
        <f>IF($D1041="","",IFERROR(VLOOKUP($D1041,物料档案!$A$4:$P$1203,10,0),0))</f>
        <v/>
      </c>
      <c r="P1041" s="32" t="n"/>
      <c r="Q1041" s="26">
        <f>IF($D1041="","",IF($K1041&lt;&gt;"对外销售",0,ROUND(N($J1041)*IF($P1041="",N($O1041),N($P1041)),0)))</f>
        <v/>
      </c>
      <c r="R1041" s="26">
        <f>IF($D1041="","",IFERROR(VLOOKUP($D1041,库存台账!$A$5:$Y$1204,11,0),0))</f>
        <v/>
      </c>
      <c r="S1041" s="26">
        <f>IF($D1041="","",ROUND(N($J1041)*N($R1041),0))</f>
        <v/>
      </c>
      <c r="T1041" s="26">
        <f>IF($D1041="","",IF($K1041&lt;&gt;"对外销售","",ROUND($Q1041-$S1041,0)))</f>
        <v/>
      </c>
      <c r="U1041" s="17" t="n"/>
      <c r="V1041" s="17" t="n"/>
      <c r="W1041" s="24">
        <f>IF($D1041="","",IF($E1041="※编码不在物料档案里","※物料编码不在档案里",IF(N($J1041)&lt;=0,"※出库数量要大于 0",IF($K1041="","※没填去向类型",IF($L1041="","※没填去向矿区",IF(AND($C1041&lt;&gt;"",$C1041&lt;=结账锁),"※日期早于已结账截止日，不能再录",IF(AND($K1041="自用消耗",COUNTIF({"一矿区";"二矿区"},$L1041)=0),"※自用消耗的去向只能是一矿区或二矿区",IF(AND($K1041="对外销售",COUNTIF({"三矿区";"六矿区"},$L1041)=0),"※对外销售的去向只能是三矿区或六矿区",IF(AND($K1041="对外销售",ROUND($Q1041,0)=0),"※外销却没有售价，请填实际售价",IF(AND($K1041="对外销售",$T1041&lt;&gt;"",$T1041&lt;0),"※这一笔外销是亏的，请核对售价",IF(IFERROR(VLOOKUP($D1041,库存台账!$A$5:$Y$1204,24,0),0)&lt;-0.001,"※这个物料账面已经变成负数了，查一下是不是漏记入库","")))))))))))</f>
        <v/>
      </c>
    </row>
    <row r="1042">
      <c r="A1042" s="24">
        <f>IF($D1042="","",COUNTA($D$4:$D1042))</f>
        <v/>
      </c>
      <c r="B1042" s="17" t="n"/>
      <c r="C1042" s="30" t="n"/>
      <c r="D1042" s="17" t="n"/>
      <c r="E1042" s="24">
        <f>IF($D1042="","",IFERROR(VLOOKUP($D1042,物料档案!$A$4:$P$1203,3,0),"※编码不在物料档案里"))</f>
        <v/>
      </c>
      <c r="F1042" s="24">
        <f>IF($D1042="","",IFERROR(VLOOKUP($D1042,物料档案!$A$4:$P$1203,4,0),"※编码不在物料档案里"))</f>
        <v/>
      </c>
      <c r="G1042" s="24">
        <f>IF($D1042="","",IFERROR(VLOOKUP($D1042,物料档案!$A$4:$P$1203,5,0),"※编码不在物料档案里"))</f>
        <v/>
      </c>
      <c r="H1042" s="24">
        <f>IF($D1042="","",IFERROR(VLOOKUP($D1042,物料档案!$A$4:$P$1203,2,0),"※编码不在物料档案里"))</f>
        <v/>
      </c>
      <c r="I1042" s="24">
        <f>IF($D1042="","",IFERROR(VLOOKUP($D1042,物料档案!$A$4:$P$1203,6,0),"※编码不在物料档案里"))</f>
        <v/>
      </c>
      <c r="J1042" s="23" t="n"/>
      <c r="K1042" s="17" t="n"/>
      <c r="L1042" s="17" t="n"/>
      <c r="M1042" s="17" t="n"/>
      <c r="N1042" s="17" t="n"/>
      <c r="O1042" s="26">
        <f>IF($D1042="","",IFERROR(VLOOKUP($D1042,物料档案!$A$4:$P$1203,10,0),0))</f>
        <v/>
      </c>
      <c r="P1042" s="32" t="n"/>
      <c r="Q1042" s="26">
        <f>IF($D1042="","",IF($K1042&lt;&gt;"对外销售",0,ROUND(N($J1042)*IF($P1042="",N($O1042),N($P1042)),0)))</f>
        <v/>
      </c>
      <c r="R1042" s="26">
        <f>IF($D1042="","",IFERROR(VLOOKUP($D1042,库存台账!$A$5:$Y$1204,11,0),0))</f>
        <v/>
      </c>
      <c r="S1042" s="26">
        <f>IF($D1042="","",ROUND(N($J1042)*N($R1042),0))</f>
        <v/>
      </c>
      <c r="T1042" s="26">
        <f>IF($D1042="","",IF($K1042&lt;&gt;"对外销售","",ROUND($Q1042-$S1042,0)))</f>
        <v/>
      </c>
      <c r="U1042" s="17" t="n"/>
      <c r="V1042" s="17" t="n"/>
      <c r="W1042" s="24">
        <f>IF($D1042="","",IF($E1042="※编码不在物料档案里","※物料编码不在档案里",IF(N($J1042)&lt;=0,"※出库数量要大于 0",IF($K1042="","※没填去向类型",IF($L1042="","※没填去向矿区",IF(AND($C1042&lt;&gt;"",$C1042&lt;=结账锁),"※日期早于已结账截止日，不能再录",IF(AND($K1042="自用消耗",COUNTIF({"一矿区";"二矿区"},$L1042)=0),"※自用消耗的去向只能是一矿区或二矿区",IF(AND($K1042="对外销售",COUNTIF({"三矿区";"六矿区"},$L1042)=0),"※对外销售的去向只能是三矿区或六矿区",IF(AND($K1042="对外销售",ROUND($Q1042,0)=0),"※外销却没有售价，请填实际售价",IF(AND($K1042="对外销售",$T1042&lt;&gt;"",$T1042&lt;0),"※这一笔外销是亏的，请核对售价",IF(IFERROR(VLOOKUP($D1042,库存台账!$A$5:$Y$1204,24,0),0)&lt;-0.001,"※这个物料账面已经变成负数了，查一下是不是漏记入库","")))))))))))</f>
        <v/>
      </c>
    </row>
    <row r="1043">
      <c r="A1043" s="24">
        <f>IF($D1043="","",COUNTA($D$4:$D1043))</f>
        <v/>
      </c>
      <c r="B1043" s="17" t="n"/>
      <c r="C1043" s="30" t="n"/>
      <c r="D1043" s="17" t="n"/>
      <c r="E1043" s="24">
        <f>IF($D1043="","",IFERROR(VLOOKUP($D1043,物料档案!$A$4:$P$1203,3,0),"※编码不在物料档案里"))</f>
        <v/>
      </c>
      <c r="F1043" s="24">
        <f>IF($D1043="","",IFERROR(VLOOKUP($D1043,物料档案!$A$4:$P$1203,4,0),"※编码不在物料档案里"))</f>
        <v/>
      </c>
      <c r="G1043" s="24">
        <f>IF($D1043="","",IFERROR(VLOOKUP($D1043,物料档案!$A$4:$P$1203,5,0),"※编码不在物料档案里"))</f>
        <v/>
      </c>
      <c r="H1043" s="24">
        <f>IF($D1043="","",IFERROR(VLOOKUP($D1043,物料档案!$A$4:$P$1203,2,0),"※编码不在物料档案里"))</f>
        <v/>
      </c>
      <c r="I1043" s="24">
        <f>IF($D1043="","",IFERROR(VLOOKUP($D1043,物料档案!$A$4:$P$1203,6,0),"※编码不在物料档案里"))</f>
        <v/>
      </c>
      <c r="J1043" s="23" t="n"/>
      <c r="K1043" s="17" t="n"/>
      <c r="L1043" s="17" t="n"/>
      <c r="M1043" s="17" t="n"/>
      <c r="N1043" s="17" t="n"/>
      <c r="O1043" s="26">
        <f>IF($D1043="","",IFERROR(VLOOKUP($D1043,物料档案!$A$4:$P$1203,10,0),0))</f>
        <v/>
      </c>
      <c r="P1043" s="32" t="n"/>
      <c r="Q1043" s="26">
        <f>IF($D1043="","",IF($K1043&lt;&gt;"对外销售",0,ROUND(N($J1043)*IF($P1043="",N($O1043),N($P1043)),0)))</f>
        <v/>
      </c>
      <c r="R1043" s="26">
        <f>IF($D1043="","",IFERROR(VLOOKUP($D1043,库存台账!$A$5:$Y$1204,11,0),0))</f>
        <v/>
      </c>
      <c r="S1043" s="26">
        <f>IF($D1043="","",ROUND(N($J1043)*N($R1043),0))</f>
        <v/>
      </c>
      <c r="T1043" s="26">
        <f>IF($D1043="","",IF($K1043&lt;&gt;"对外销售","",ROUND($Q1043-$S1043,0)))</f>
        <v/>
      </c>
      <c r="U1043" s="17" t="n"/>
      <c r="V1043" s="17" t="n"/>
      <c r="W1043" s="24">
        <f>IF($D1043="","",IF($E1043="※编码不在物料档案里","※物料编码不在档案里",IF(N($J1043)&lt;=0,"※出库数量要大于 0",IF($K1043="","※没填去向类型",IF($L1043="","※没填去向矿区",IF(AND($C1043&lt;&gt;"",$C1043&lt;=结账锁),"※日期早于已结账截止日，不能再录",IF(AND($K1043="自用消耗",COUNTIF({"一矿区";"二矿区"},$L1043)=0),"※自用消耗的去向只能是一矿区或二矿区",IF(AND($K1043="对外销售",COUNTIF({"三矿区";"六矿区"},$L1043)=0),"※对外销售的去向只能是三矿区或六矿区",IF(AND($K1043="对外销售",ROUND($Q1043,0)=0),"※外销却没有售价，请填实际售价",IF(AND($K1043="对外销售",$T1043&lt;&gt;"",$T1043&lt;0),"※这一笔外销是亏的，请核对售价",IF(IFERROR(VLOOKUP($D1043,库存台账!$A$5:$Y$1204,24,0),0)&lt;-0.001,"※这个物料账面已经变成负数了，查一下是不是漏记入库","")))))))))))</f>
        <v/>
      </c>
    </row>
    <row r="1044">
      <c r="A1044" s="24">
        <f>IF($D1044="","",COUNTA($D$4:$D1044))</f>
        <v/>
      </c>
      <c r="B1044" s="17" t="n"/>
      <c r="C1044" s="30" t="n"/>
      <c r="D1044" s="17" t="n"/>
      <c r="E1044" s="24">
        <f>IF($D1044="","",IFERROR(VLOOKUP($D1044,物料档案!$A$4:$P$1203,3,0),"※编码不在物料档案里"))</f>
        <v/>
      </c>
      <c r="F1044" s="24">
        <f>IF($D1044="","",IFERROR(VLOOKUP($D1044,物料档案!$A$4:$P$1203,4,0),"※编码不在物料档案里"))</f>
        <v/>
      </c>
      <c r="G1044" s="24">
        <f>IF($D1044="","",IFERROR(VLOOKUP($D1044,物料档案!$A$4:$P$1203,5,0),"※编码不在物料档案里"))</f>
        <v/>
      </c>
      <c r="H1044" s="24">
        <f>IF($D1044="","",IFERROR(VLOOKUP($D1044,物料档案!$A$4:$P$1203,2,0),"※编码不在物料档案里"))</f>
        <v/>
      </c>
      <c r="I1044" s="24">
        <f>IF($D1044="","",IFERROR(VLOOKUP($D1044,物料档案!$A$4:$P$1203,6,0),"※编码不在物料档案里"))</f>
        <v/>
      </c>
      <c r="J1044" s="23" t="n"/>
      <c r="K1044" s="17" t="n"/>
      <c r="L1044" s="17" t="n"/>
      <c r="M1044" s="17" t="n"/>
      <c r="N1044" s="17" t="n"/>
      <c r="O1044" s="26">
        <f>IF($D1044="","",IFERROR(VLOOKUP($D1044,物料档案!$A$4:$P$1203,10,0),0))</f>
        <v/>
      </c>
      <c r="P1044" s="32" t="n"/>
      <c r="Q1044" s="26">
        <f>IF($D1044="","",IF($K1044&lt;&gt;"对外销售",0,ROUND(N($J1044)*IF($P1044="",N($O1044),N($P1044)),0)))</f>
        <v/>
      </c>
      <c r="R1044" s="26">
        <f>IF($D1044="","",IFERROR(VLOOKUP($D1044,库存台账!$A$5:$Y$1204,11,0),0))</f>
        <v/>
      </c>
      <c r="S1044" s="26">
        <f>IF($D1044="","",ROUND(N($J1044)*N($R1044),0))</f>
        <v/>
      </c>
      <c r="T1044" s="26">
        <f>IF($D1044="","",IF($K1044&lt;&gt;"对外销售","",ROUND($Q1044-$S1044,0)))</f>
        <v/>
      </c>
      <c r="U1044" s="17" t="n"/>
      <c r="V1044" s="17" t="n"/>
      <c r="W1044" s="24">
        <f>IF($D1044="","",IF($E1044="※编码不在物料档案里","※物料编码不在档案里",IF(N($J1044)&lt;=0,"※出库数量要大于 0",IF($K1044="","※没填去向类型",IF($L1044="","※没填去向矿区",IF(AND($C1044&lt;&gt;"",$C1044&lt;=结账锁),"※日期早于已结账截止日，不能再录",IF(AND($K1044="自用消耗",COUNTIF({"一矿区";"二矿区"},$L1044)=0),"※自用消耗的去向只能是一矿区或二矿区",IF(AND($K1044="对外销售",COUNTIF({"三矿区";"六矿区"},$L1044)=0),"※对外销售的去向只能是三矿区或六矿区",IF(AND($K1044="对外销售",ROUND($Q1044,0)=0),"※外销却没有售价，请填实际售价",IF(AND($K1044="对外销售",$T1044&lt;&gt;"",$T1044&lt;0),"※这一笔外销是亏的，请核对售价",IF(IFERROR(VLOOKUP($D1044,库存台账!$A$5:$Y$1204,24,0),0)&lt;-0.001,"※这个物料账面已经变成负数了，查一下是不是漏记入库","")))))))))))</f>
        <v/>
      </c>
    </row>
    <row r="1045">
      <c r="A1045" s="24">
        <f>IF($D1045="","",COUNTA($D$4:$D1045))</f>
        <v/>
      </c>
      <c r="B1045" s="17" t="n"/>
      <c r="C1045" s="30" t="n"/>
      <c r="D1045" s="17" t="n"/>
      <c r="E1045" s="24">
        <f>IF($D1045="","",IFERROR(VLOOKUP($D1045,物料档案!$A$4:$P$1203,3,0),"※编码不在物料档案里"))</f>
        <v/>
      </c>
      <c r="F1045" s="24">
        <f>IF($D1045="","",IFERROR(VLOOKUP($D1045,物料档案!$A$4:$P$1203,4,0),"※编码不在物料档案里"))</f>
        <v/>
      </c>
      <c r="G1045" s="24">
        <f>IF($D1045="","",IFERROR(VLOOKUP($D1045,物料档案!$A$4:$P$1203,5,0),"※编码不在物料档案里"))</f>
        <v/>
      </c>
      <c r="H1045" s="24">
        <f>IF($D1045="","",IFERROR(VLOOKUP($D1045,物料档案!$A$4:$P$1203,2,0),"※编码不在物料档案里"))</f>
        <v/>
      </c>
      <c r="I1045" s="24">
        <f>IF($D1045="","",IFERROR(VLOOKUP($D1045,物料档案!$A$4:$P$1203,6,0),"※编码不在物料档案里"))</f>
        <v/>
      </c>
      <c r="J1045" s="23" t="n"/>
      <c r="K1045" s="17" t="n"/>
      <c r="L1045" s="17" t="n"/>
      <c r="M1045" s="17" t="n"/>
      <c r="N1045" s="17" t="n"/>
      <c r="O1045" s="26">
        <f>IF($D1045="","",IFERROR(VLOOKUP($D1045,物料档案!$A$4:$P$1203,10,0),0))</f>
        <v/>
      </c>
      <c r="P1045" s="32" t="n"/>
      <c r="Q1045" s="26">
        <f>IF($D1045="","",IF($K1045&lt;&gt;"对外销售",0,ROUND(N($J1045)*IF($P1045="",N($O1045),N($P1045)),0)))</f>
        <v/>
      </c>
      <c r="R1045" s="26">
        <f>IF($D1045="","",IFERROR(VLOOKUP($D1045,库存台账!$A$5:$Y$1204,11,0),0))</f>
        <v/>
      </c>
      <c r="S1045" s="26">
        <f>IF($D1045="","",ROUND(N($J1045)*N($R1045),0))</f>
        <v/>
      </c>
      <c r="T1045" s="26">
        <f>IF($D1045="","",IF($K1045&lt;&gt;"对外销售","",ROUND($Q1045-$S1045,0)))</f>
        <v/>
      </c>
      <c r="U1045" s="17" t="n"/>
      <c r="V1045" s="17" t="n"/>
      <c r="W1045" s="24">
        <f>IF($D1045="","",IF($E1045="※编码不在物料档案里","※物料编码不在档案里",IF(N($J1045)&lt;=0,"※出库数量要大于 0",IF($K1045="","※没填去向类型",IF($L1045="","※没填去向矿区",IF(AND($C1045&lt;&gt;"",$C1045&lt;=结账锁),"※日期早于已结账截止日，不能再录",IF(AND($K1045="自用消耗",COUNTIF({"一矿区";"二矿区"},$L1045)=0),"※自用消耗的去向只能是一矿区或二矿区",IF(AND($K1045="对外销售",COUNTIF({"三矿区";"六矿区"},$L1045)=0),"※对外销售的去向只能是三矿区或六矿区",IF(AND($K1045="对外销售",ROUND($Q1045,0)=0),"※外销却没有售价，请填实际售价",IF(AND($K1045="对外销售",$T1045&lt;&gt;"",$T1045&lt;0),"※这一笔外销是亏的，请核对售价",IF(IFERROR(VLOOKUP($D1045,库存台账!$A$5:$Y$1204,24,0),0)&lt;-0.001,"※这个物料账面已经变成负数了，查一下是不是漏记入库","")))))))))))</f>
        <v/>
      </c>
    </row>
    <row r="1046">
      <c r="A1046" s="24">
        <f>IF($D1046="","",COUNTA($D$4:$D1046))</f>
        <v/>
      </c>
      <c r="B1046" s="17" t="n"/>
      <c r="C1046" s="30" t="n"/>
      <c r="D1046" s="17" t="n"/>
      <c r="E1046" s="24">
        <f>IF($D1046="","",IFERROR(VLOOKUP($D1046,物料档案!$A$4:$P$1203,3,0),"※编码不在物料档案里"))</f>
        <v/>
      </c>
      <c r="F1046" s="24">
        <f>IF($D1046="","",IFERROR(VLOOKUP($D1046,物料档案!$A$4:$P$1203,4,0),"※编码不在物料档案里"))</f>
        <v/>
      </c>
      <c r="G1046" s="24">
        <f>IF($D1046="","",IFERROR(VLOOKUP($D1046,物料档案!$A$4:$P$1203,5,0),"※编码不在物料档案里"))</f>
        <v/>
      </c>
      <c r="H1046" s="24">
        <f>IF($D1046="","",IFERROR(VLOOKUP($D1046,物料档案!$A$4:$P$1203,2,0),"※编码不在物料档案里"))</f>
        <v/>
      </c>
      <c r="I1046" s="24">
        <f>IF($D1046="","",IFERROR(VLOOKUP($D1046,物料档案!$A$4:$P$1203,6,0),"※编码不在物料档案里"))</f>
        <v/>
      </c>
      <c r="J1046" s="23" t="n"/>
      <c r="K1046" s="17" t="n"/>
      <c r="L1046" s="17" t="n"/>
      <c r="M1046" s="17" t="n"/>
      <c r="N1046" s="17" t="n"/>
      <c r="O1046" s="26">
        <f>IF($D1046="","",IFERROR(VLOOKUP($D1046,物料档案!$A$4:$P$1203,10,0),0))</f>
        <v/>
      </c>
      <c r="P1046" s="32" t="n"/>
      <c r="Q1046" s="26">
        <f>IF($D1046="","",IF($K1046&lt;&gt;"对外销售",0,ROUND(N($J1046)*IF($P1046="",N($O1046),N($P1046)),0)))</f>
        <v/>
      </c>
      <c r="R1046" s="26">
        <f>IF($D1046="","",IFERROR(VLOOKUP($D1046,库存台账!$A$5:$Y$1204,11,0),0))</f>
        <v/>
      </c>
      <c r="S1046" s="26">
        <f>IF($D1046="","",ROUND(N($J1046)*N($R1046),0))</f>
        <v/>
      </c>
      <c r="T1046" s="26">
        <f>IF($D1046="","",IF($K1046&lt;&gt;"对外销售","",ROUND($Q1046-$S1046,0)))</f>
        <v/>
      </c>
      <c r="U1046" s="17" t="n"/>
      <c r="V1046" s="17" t="n"/>
      <c r="W1046" s="24">
        <f>IF($D1046="","",IF($E1046="※编码不在物料档案里","※物料编码不在档案里",IF(N($J1046)&lt;=0,"※出库数量要大于 0",IF($K1046="","※没填去向类型",IF($L1046="","※没填去向矿区",IF(AND($C1046&lt;&gt;"",$C1046&lt;=结账锁),"※日期早于已结账截止日，不能再录",IF(AND($K1046="自用消耗",COUNTIF({"一矿区";"二矿区"},$L1046)=0),"※自用消耗的去向只能是一矿区或二矿区",IF(AND($K1046="对外销售",COUNTIF({"三矿区";"六矿区"},$L1046)=0),"※对外销售的去向只能是三矿区或六矿区",IF(AND($K1046="对外销售",ROUND($Q1046,0)=0),"※外销却没有售价，请填实际售价",IF(AND($K1046="对外销售",$T1046&lt;&gt;"",$T1046&lt;0),"※这一笔外销是亏的，请核对售价",IF(IFERROR(VLOOKUP($D1046,库存台账!$A$5:$Y$1204,24,0),0)&lt;-0.001,"※这个物料账面已经变成负数了，查一下是不是漏记入库","")))))))))))</f>
        <v/>
      </c>
    </row>
    <row r="1047">
      <c r="A1047" s="24">
        <f>IF($D1047="","",COUNTA($D$4:$D1047))</f>
        <v/>
      </c>
      <c r="B1047" s="17" t="n"/>
      <c r="C1047" s="30" t="n"/>
      <c r="D1047" s="17" t="n"/>
      <c r="E1047" s="24">
        <f>IF($D1047="","",IFERROR(VLOOKUP($D1047,物料档案!$A$4:$P$1203,3,0),"※编码不在物料档案里"))</f>
        <v/>
      </c>
      <c r="F1047" s="24">
        <f>IF($D1047="","",IFERROR(VLOOKUP($D1047,物料档案!$A$4:$P$1203,4,0),"※编码不在物料档案里"))</f>
        <v/>
      </c>
      <c r="G1047" s="24">
        <f>IF($D1047="","",IFERROR(VLOOKUP($D1047,物料档案!$A$4:$P$1203,5,0),"※编码不在物料档案里"))</f>
        <v/>
      </c>
      <c r="H1047" s="24">
        <f>IF($D1047="","",IFERROR(VLOOKUP($D1047,物料档案!$A$4:$P$1203,2,0),"※编码不在物料档案里"))</f>
        <v/>
      </c>
      <c r="I1047" s="24">
        <f>IF($D1047="","",IFERROR(VLOOKUP($D1047,物料档案!$A$4:$P$1203,6,0),"※编码不在物料档案里"))</f>
        <v/>
      </c>
      <c r="J1047" s="23" t="n"/>
      <c r="K1047" s="17" t="n"/>
      <c r="L1047" s="17" t="n"/>
      <c r="M1047" s="17" t="n"/>
      <c r="N1047" s="17" t="n"/>
      <c r="O1047" s="26">
        <f>IF($D1047="","",IFERROR(VLOOKUP($D1047,物料档案!$A$4:$P$1203,10,0),0))</f>
        <v/>
      </c>
      <c r="P1047" s="32" t="n"/>
      <c r="Q1047" s="26">
        <f>IF($D1047="","",IF($K1047&lt;&gt;"对外销售",0,ROUND(N($J1047)*IF($P1047="",N($O1047),N($P1047)),0)))</f>
        <v/>
      </c>
      <c r="R1047" s="26">
        <f>IF($D1047="","",IFERROR(VLOOKUP($D1047,库存台账!$A$5:$Y$1204,11,0),0))</f>
        <v/>
      </c>
      <c r="S1047" s="26">
        <f>IF($D1047="","",ROUND(N($J1047)*N($R1047),0))</f>
        <v/>
      </c>
      <c r="T1047" s="26">
        <f>IF($D1047="","",IF($K1047&lt;&gt;"对外销售","",ROUND($Q1047-$S1047,0)))</f>
        <v/>
      </c>
      <c r="U1047" s="17" t="n"/>
      <c r="V1047" s="17" t="n"/>
      <c r="W1047" s="24">
        <f>IF($D1047="","",IF($E1047="※编码不在物料档案里","※物料编码不在档案里",IF(N($J1047)&lt;=0,"※出库数量要大于 0",IF($K1047="","※没填去向类型",IF($L1047="","※没填去向矿区",IF(AND($C1047&lt;&gt;"",$C1047&lt;=结账锁),"※日期早于已结账截止日，不能再录",IF(AND($K1047="自用消耗",COUNTIF({"一矿区";"二矿区"},$L1047)=0),"※自用消耗的去向只能是一矿区或二矿区",IF(AND($K1047="对外销售",COUNTIF({"三矿区";"六矿区"},$L1047)=0),"※对外销售的去向只能是三矿区或六矿区",IF(AND($K1047="对外销售",ROUND($Q1047,0)=0),"※外销却没有售价，请填实际售价",IF(AND($K1047="对外销售",$T1047&lt;&gt;"",$T1047&lt;0),"※这一笔外销是亏的，请核对售价",IF(IFERROR(VLOOKUP($D1047,库存台账!$A$5:$Y$1204,24,0),0)&lt;-0.001,"※这个物料账面已经变成负数了，查一下是不是漏记入库","")))))))))))</f>
        <v/>
      </c>
    </row>
    <row r="1048">
      <c r="A1048" s="24">
        <f>IF($D1048="","",COUNTA($D$4:$D1048))</f>
        <v/>
      </c>
      <c r="B1048" s="17" t="n"/>
      <c r="C1048" s="30" t="n"/>
      <c r="D1048" s="17" t="n"/>
      <c r="E1048" s="24">
        <f>IF($D1048="","",IFERROR(VLOOKUP($D1048,物料档案!$A$4:$P$1203,3,0),"※编码不在物料档案里"))</f>
        <v/>
      </c>
      <c r="F1048" s="24">
        <f>IF($D1048="","",IFERROR(VLOOKUP($D1048,物料档案!$A$4:$P$1203,4,0),"※编码不在物料档案里"))</f>
        <v/>
      </c>
      <c r="G1048" s="24">
        <f>IF($D1048="","",IFERROR(VLOOKUP($D1048,物料档案!$A$4:$P$1203,5,0),"※编码不在物料档案里"))</f>
        <v/>
      </c>
      <c r="H1048" s="24">
        <f>IF($D1048="","",IFERROR(VLOOKUP($D1048,物料档案!$A$4:$P$1203,2,0),"※编码不在物料档案里"))</f>
        <v/>
      </c>
      <c r="I1048" s="24">
        <f>IF($D1048="","",IFERROR(VLOOKUP($D1048,物料档案!$A$4:$P$1203,6,0),"※编码不在物料档案里"))</f>
        <v/>
      </c>
      <c r="J1048" s="23" t="n"/>
      <c r="K1048" s="17" t="n"/>
      <c r="L1048" s="17" t="n"/>
      <c r="M1048" s="17" t="n"/>
      <c r="N1048" s="17" t="n"/>
      <c r="O1048" s="26">
        <f>IF($D1048="","",IFERROR(VLOOKUP($D1048,物料档案!$A$4:$P$1203,10,0),0))</f>
        <v/>
      </c>
      <c r="P1048" s="32" t="n"/>
      <c r="Q1048" s="26">
        <f>IF($D1048="","",IF($K1048&lt;&gt;"对外销售",0,ROUND(N($J1048)*IF($P1048="",N($O1048),N($P1048)),0)))</f>
        <v/>
      </c>
      <c r="R1048" s="26">
        <f>IF($D1048="","",IFERROR(VLOOKUP($D1048,库存台账!$A$5:$Y$1204,11,0),0))</f>
        <v/>
      </c>
      <c r="S1048" s="26">
        <f>IF($D1048="","",ROUND(N($J1048)*N($R1048),0))</f>
        <v/>
      </c>
      <c r="T1048" s="26">
        <f>IF($D1048="","",IF($K1048&lt;&gt;"对外销售","",ROUND($Q1048-$S1048,0)))</f>
        <v/>
      </c>
      <c r="U1048" s="17" t="n"/>
      <c r="V1048" s="17" t="n"/>
      <c r="W1048" s="24">
        <f>IF($D1048="","",IF($E1048="※编码不在物料档案里","※物料编码不在档案里",IF(N($J1048)&lt;=0,"※出库数量要大于 0",IF($K1048="","※没填去向类型",IF($L1048="","※没填去向矿区",IF(AND($C1048&lt;&gt;"",$C1048&lt;=结账锁),"※日期早于已结账截止日，不能再录",IF(AND($K1048="自用消耗",COUNTIF({"一矿区";"二矿区"},$L1048)=0),"※自用消耗的去向只能是一矿区或二矿区",IF(AND($K1048="对外销售",COUNTIF({"三矿区";"六矿区"},$L1048)=0),"※对外销售的去向只能是三矿区或六矿区",IF(AND($K1048="对外销售",ROUND($Q1048,0)=0),"※外销却没有售价，请填实际售价",IF(AND($K1048="对外销售",$T1048&lt;&gt;"",$T1048&lt;0),"※这一笔外销是亏的，请核对售价",IF(IFERROR(VLOOKUP($D1048,库存台账!$A$5:$Y$1204,24,0),0)&lt;-0.001,"※这个物料账面已经变成负数了，查一下是不是漏记入库","")))))))))))</f>
        <v/>
      </c>
    </row>
    <row r="1049">
      <c r="A1049" s="24">
        <f>IF($D1049="","",COUNTA($D$4:$D1049))</f>
        <v/>
      </c>
      <c r="B1049" s="17" t="n"/>
      <c r="C1049" s="30" t="n"/>
      <c r="D1049" s="17" t="n"/>
      <c r="E1049" s="24">
        <f>IF($D1049="","",IFERROR(VLOOKUP($D1049,物料档案!$A$4:$P$1203,3,0),"※编码不在物料档案里"))</f>
        <v/>
      </c>
      <c r="F1049" s="24">
        <f>IF($D1049="","",IFERROR(VLOOKUP($D1049,物料档案!$A$4:$P$1203,4,0),"※编码不在物料档案里"))</f>
        <v/>
      </c>
      <c r="G1049" s="24">
        <f>IF($D1049="","",IFERROR(VLOOKUP($D1049,物料档案!$A$4:$P$1203,5,0),"※编码不在物料档案里"))</f>
        <v/>
      </c>
      <c r="H1049" s="24">
        <f>IF($D1049="","",IFERROR(VLOOKUP($D1049,物料档案!$A$4:$P$1203,2,0),"※编码不在物料档案里"))</f>
        <v/>
      </c>
      <c r="I1049" s="24">
        <f>IF($D1049="","",IFERROR(VLOOKUP($D1049,物料档案!$A$4:$P$1203,6,0),"※编码不在物料档案里"))</f>
        <v/>
      </c>
      <c r="J1049" s="23" t="n"/>
      <c r="K1049" s="17" t="n"/>
      <c r="L1049" s="17" t="n"/>
      <c r="M1049" s="17" t="n"/>
      <c r="N1049" s="17" t="n"/>
      <c r="O1049" s="26">
        <f>IF($D1049="","",IFERROR(VLOOKUP($D1049,物料档案!$A$4:$P$1203,10,0),0))</f>
        <v/>
      </c>
      <c r="P1049" s="32" t="n"/>
      <c r="Q1049" s="26">
        <f>IF($D1049="","",IF($K1049&lt;&gt;"对外销售",0,ROUND(N($J1049)*IF($P1049="",N($O1049),N($P1049)),0)))</f>
        <v/>
      </c>
      <c r="R1049" s="26">
        <f>IF($D1049="","",IFERROR(VLOOKUP($D1049,库存台账!$A$5:$Y$1204,11,0),0))</f>
        <v/>
      </c>
      <c r="S1049" s="26">
        <f>IF($D1049="","",ROUND(N($J1049)*N($R1049),0))</f>
        <v/>
      </c>
      <c r="T1049" s="26">
        <f>IF($D1049="","",IF($K1049&lt;&gt;"对外销售","",ROUND($Q1049-$S1049,0)))</f>
        <v/>
      </c>
      <c r="U1049" s="17" t="n"/>
      <c r="V1049" s="17" t="n"/>
      <c r="W1049" s="24">
        <f>IF($D1049="","",IF($E1049="※编码不在物料档案里","※物料编码不在档案里",IF(N($J1049)&lt;=0,"※出库数量要大于 0",IF($K1049="","※没填去向类型",IF($L1049="","※没填去向矿区",IF(AND($C1049&lt;&gt;"",$C1049&lt;=结账锁),"※日期早于已结账截止日，不能再录",IF(AND($K1049="自用消耗",COUNTIF({"一矿区";"二矿区"},$L1049)=0),"※自用消耗的去向只能是一矿区或二矿区",IF(AND($K1049="对外销售",COUNTIF({"三矿区";"六矿区"},$L1049)=0),"※对外销售的去向只能是三矿区或六矿区",IF(AND($K1049="对外销售",ROUND($Q1049,0)=0),"※外销却没有售价，请填实际售价",IF(AND($K1049="对外销售",$T1049&lt;&gt;"",$T1049&lt;0),"※这一笔外销是亏的，请核对售价",IF(IFERROR(VLOOKUP($D1049,库存台账!$A$5:$Y$1204,24,0),0)&lt;-0.001,"※这个物料账面已经变成负数了，查一下是不是漏记入库","")))))))))))</f>
        <v/>
      </c>
    </row>
    <row r="1050">
      <c r="A1050" s="24">
        <f>IF($D1050="","",COUNTA($D$4:$D1050))</f>
        <v/>
      </c>
      <c r="B1050" s="17" t="n"/>
      <c r="C1050" s="30" t="n"/>
      <c r="D1050" s="17" t="n"/>
      <c r="E1050" s="24">
        <f>IF($D1050="","",IFERROR(VLOOKUP($D1050,物料档案!$A$4:$P$1203,3,0),"※编码不在物料档案里"))</f>
        <v/>
      </c>
      <c r="F1050" s="24">
        <f>IF($D1050="","",IFERROR(VLOOKUP($D1050,物料档案!$A$4:$P$1203,4,0),"※编码不在物料档案里"))</f>
        <v/>
      </c>
      <c r="G1050" s="24">
        <f>IF($D1050="","",IFERROR(VLOOKUP($D1050,物料档案!$A$4:$P$1203,5,0),"※编码不在物料档案里"))</f>
        <v/>
      </c>
      <c r="H1050" s="24">
        <f>IF($D1050="","",IFERROR(VLOOKUP($D1050,物料档案!$A$4:$P$1203,2,0),"※编码不在物料档案里"))</f>
        <v/>
      </c>
      <c r="I1050" s="24">
        <f>IF($D1050="","",IFERROR(VLOOKUP($D1050,物料档案!$A$4:$P$1203,6,0),"※编码不在物料档案里"))</f>
        <v/>
      </c>
      <c r="J1050" s="23" t="n"/>
      <c r="K1050" s="17" t="n"/>
      <c r="L1050" s="17" t="n"/>
      <c r="M1050" s="17" t="n"/>
      <c r="N1050" s="17" t="n"/>
      <c r="O1050" s="26">
        <f>IF($D1050="","",IFERROR(VLOOKUP($D1050,物料档案!$A$4:$P$1203,10,0),0))</f>
        <v/>
      </c>
      <c r="P1050" s="32" t="n"/>
      <c r="Q1050" s="26">
        <f>IF($D1050="","",IF($K1050&lt;&gt;"对外销售",0,ROUND(N($J1050)*IF($P1050="",N($O1050),N($P1050)),0)))</f>
        <v/>
      </c>
      <c r="R1050" s="26">
        <f>IF($D1050="","",IFERROR(VLOOKUP($D1050,库存台账!$A$5:$Y$1204,11,0),0))</f>
        <v/>
      </c>
      <c r="S1050" s="26">
        <f>IF($D1050="","",ROUND(N($J1050)*N($R1050),0))</f>
        <v/>
      </c>
      <c r="T1050" s="26">
        <f>IF($D1050="","",IF($K1050&lt;&gt;"对外销售","",ROUND($Q1050-$S1050,0)))</f>
        <v/>
      </c>
      <c r="U1050" s="17" t="n"/>
      <c r="V1050" s="17" t="n"/>
      <c r="W1050" s="24">
        <f>IF($D1050="","",IF($E1050="※编码不在物料档案里","※物料编码不在档案里",IF(N($J1050)&lt;=0,"※出库数量要大于 0",IF($K1050="","※没填去向类型",IF($L1050="","※没填去向矿区",IF(AND($C1050&lt;&gt;"",$C1050&lt;=结账锁),"※日期早于已结账截止日，不能再录",IF(AND($K1050="自用消耗",COUNTIF({"一矿区";"二矿区"},$L1050)=0),"※自用消耗的去向只能是一矿区或二矿区",IF(AND($K1050="对外销售",COUNTIF({"三矿区";"六矿区"},$L1050)=0),"※对外销售的去向只能是三矿区或六矿区",IF(AND($K1050="对外销售",ROUND($Q1050,0)=0),"※外销却没有售价，请填实际售价",IF(AND($K1050="对外销售",$T1050&lt;&gt;"",$T1050&lt;0),"※这一笔外销是亏的，请核对售价",IF(IFERROR(VLOOKUP($D1050,库存台账!$A$5:$Y$1204,24,0),0)&lt;-0.001,"※这个物料账面已经变成负数了，查一下是不是漏记入库","")))))))))))</f>
        <v/>
      </c>
    </row>
    <row r="1051">
      <c r="A1051" s="24">
        <f>IF($D1051="","",COUNTA($D$4:$D1051))</f>
        <v/>
      </c>
      <c r="B1051" s="17" t="n"/>
      <c r="C1051" s="30" t="n"/>
      <c r="D1051" s="17" t="n"/>
      <c r="E1051" s="24">
        <f>IF($D1051="","",IFERROR(VLOOKUP($D1051,物料档案!$A$4:$P$1203,3,0),"※编码不在物料档案里"))</f>
        <v/>
      </c>
      <c r="F1051" s="24">
        <f>IF($D1051="","",IFERROR(VLOOKUP($D1051,物料档案!$A$4:$P$1203,4,0),"※编码不在物料档案里"))</f>
        <v/>
      </c>
      <c r="G1051" s="24">
        <f>IF($D1051="","",IFERROR(VLOOKUP($D1051,物料档案!$A$4:$P$1203,5,0),"※编码不在物料档案里"))</f>
        <v/>
      </c>
      <c r="H1051" s="24">
        <f>IF($D1051="","",IFERROR(VLOOKUP($D1051,物料档案!$A$4:$P$1203,2,0),"※编码不在物料档案里"))</f>
        <v/>
      </c>
      <c r="I1051" s="24">
        <f>IF($D1051="","",IFERROR(VLOOKUP($D1051,物料档案!$A$4:$P$1203,6,0),"※编码不在物料档案里"))</f>
        <v/>
      </c>
      <c r="J1051" s="23" t="n"/>
      <c r="K1051" s="17" t="n"/>
      <c r="L1051" s="17" t="n"/>
      <c r="M1051" s="17" t="n"/>
      <c r="N1051" s="17" t="n"/>
      <c r="O1051" s="26">
        <f>IF($D1051="","",IFERROR(VLOOKUP($D1051,物料档案!$A$4:$P$1203,10,0),0))</f>
        <v/>
      </c>
      <c r="P1051" s="32" t="n"/>
      <c r="Q1051" s="26">
        <f>IF($D1051="","",IF($K1051&lt;&gt;"对外销售",0,ROUND(N($J1051)*IF($P1051="",N($O1051),N($P1051)),0)))</f>
        <v/>
      </c>
      <c r="R1051" s="26">
        <f>IF($D1051="","",IFERROR(VLOOKUP($D1051,库存台账!$A$5:$Y$1204,11,0),0))</f>
        <v/>
      </c>
      <c r="S1051" s="26">
        <f>IF($D1051="","",ROUND(N($J1051)*N($R1051),0))</f>
        <v/>
      </c>
      <c r="T1051" s="26">
        <f>IF($D1051="","",IF($K1051&lt;&gt;"对外销售","",ROUND($Q1051-$S1051,0)))</f>
        <v/>
      </c>
      <c r="U1051" s="17" t="n"/>
      <c r="V1051" s="17" t="n"/>
      <c r="W1051" s="24">
        <f>IF($D1051="","",IF($E1051="※编码不在物料档案里","※物料编码不在档案里",IF(N($J1051)&lt;=0,"※出库数量要大于 0",IF($K1051="","※没填去向类型",IF($L1051="","※没填去向矿区",IF(AND($C1051&lt;&gt;"",$C1051&lt;=结账锁),"※日期早于已结账截止日，不能再录",IF(AND($K1051="自用消耗",COUNTIF({"一矿区";"二矿区"},$L1051)=0),"※自用消耗的去向只能是一矿区或二矿区",IF(AND($K1051="对外销售",COUNTIF({"三矿区";"六矿区"},$L1051)=0),"※对外销售的去向只能是三矿区或六矿区",IF(AND($K1051="对外销售",ROUND($Q1051,0)=0),"※外销却没有售价，请填实际售价",IF(AND($K1051="对外销售",$T1051&lt;&gt;"",$T1051&lt;0),"※这一笔外销是亏的，请核对售价",IF(IFERROR(VLOOKUP($D1051,库存台账!$A$5:$Y$1204,24,0),0)&lt;-0.001,"※这个物料账面已经变成负数了，查一下是不是漏记入库","")))))))))))</f>
        <v/>
      </c>
    </row>
    <row r="1052">
      <c r="A1052" s="24">
        <f>IF($D1052="","",COUNTA($D$4:$D1052))</f>
        <v/>
      </c>
      <c r="B1052" s="17" t="n"/>
      <c r="C1052" s="30" t="n"/>
      <c r="D1052" s="17" t="n"/>
      <c r="E1052" s="24">
        <f>IF($D1052="","",IFERROR(VLOOKUP($D1052,物料档案!$A$4:$P$1203,3,0),"※编码不在物料档案里"))</f>
        <v/>
      </c>
      <c r="F1052" s="24">
        <f>IF($D1052="","",IFERROR(VLOOKUP($D1052,物料档案!$A$4:$P$1203,4,0),"※编码不在物料档案里"))</f>
        <v/>
      </c>
      <c r="G1052" s="24">
        <f>IF($D1052="","",IFERROR(VLOOKUP($D1052,物料档案!$A$4:$P$1203,5,0),"※编码不在物料档案里"))</f>
        <v/>
      </c>
      <c r="H1052" s="24">
        <f>IF($D1052="","",IFERROR(VLOOKUP($D1052,物料档案!$A$4:$P$1203,2,0),"※编码不在物料档案里"))</f>
        <v/>
      </c>
      <c r="I1052" s="24">
        <f>IF($D1052="","",IFERROR(VLOOKUP($D1052,物料档案!$A$4:$P$1203,6,0),"※编码不在物料档案里"))</f>
        <v/>
      </c>
      <c r="J1052" s="23" t="n"/>
      <c r="K1052" s="17" t="n"/>
      <c r="L1052" s="17" t="n"/>
      <c r="M1052" s="17" t="n"/>
      <c r="N1052" s="17" t="n"/>
      <c r="O1052" s="26">
        <f>IF($D1052="","",IFERROR(VLOOKUP($D1052,物料档案!$A$4:$P$1203,10,0),0))</f>
        <v/>
      </c>
      <c r="P1052" s="32" t="n"/>
      <c r="Q1052" s="26">
        <f>IF($D1052="","",IF($K1052&lt;&gt;"对外销售",0,ROUND(N($J1052)*IF($P1052="",N($O1052),N($P1052)),0)))</f>
        <v/>
      </c>
      <c r="R1052" s="26">
        <f>IF($D1052="","",IFERROR(VLOOKUP($D1052,库存台账!$A$5:$Y$1204,11,0),0))</f>
        <v/>
      </c>
      <c r="S1052" s="26">
        <f>IF($D1052="","",ROUND(N($J1052)*N($R1052),0))</f>
        <v/>
      </c>
      <c r="T1052" s="26">
        <f>IF($D1052="","",IF($K1052&lt;&gt;"对外销售","",ROUND($Q1052-$S1052,0)))</f>
        <v/>
      </c>
      <c r="U1052" s="17" t="n"/>
      <c r="V1052" s="17" t="n"/>
      <c r="W1052" s="24">
        <f>IF($D1052="","",IF($E1052="※编码不在物料档案里","※物料编码不在档案里",IF(N($J1052)&lt;=0,"※出库数量要大于 0",IF($K1052="","※没填去向类型",IF($L1052="","※没填去向矿区",IF(AND($C1052&lt;&gt;"",$C1052&lt;=结账锁),"※日期早于已结账截止日，不能再录",IF(AND($K1052="自用消耗",COUNTIF({"一矿区";"二矿区"},$L1052)=0),"※自用消耗的去向只能是一矿区或二矿区",IF(AND($K1052="对外销售",COUNTIF({"三矿区";"六矿区"},$L1052)=0),"※对外销售的去向只能是三矿区或六矿区",IF(AND($K1052="对外销售",ROUND($Q1052,0)=0),"※外销却没有售价，请填实际售价",IF(AND($K1052="对外销售",$T1052&lt;&gt;"",$T1052&lt;0),"※这一笔外销是亏的，请核对售价",IF(IFERROR(VLOOKUP($D1052,库存台账!$A$5:$Y$1204,24,0),0)&lt;-0.001,"※这个物料账面已经变成负数了，查一下是不是漏记入库","")))))))))))</f>
        <v/>
      </c>
    </row>
    <row r="1053">
      <c r="A1053" s="24">
        <f>IF($D1053="","",COUNTA($D$4:$D1053))</f>
        <v/>
      </c>
      <c r="B1053" s="17" t="n"/>
      <c r="C1053" s="30" t="n"/>
      <c r="D1053" s="17" t="n"/>
      <c r="E1053" s="24">
        <f>IF($D1053="","",IFERROR(VLOOKUP($D1053,物料档案!$A$4:$P$1203,3,0),"※编码不在物料档案里"))</f>
        <v/>
      </c>
      <c r="F1053" s="24">
        <f>IF($D1053="","",IFERROR(VLOOKUP($D1053,物料档案!$A$4:$P$1203,4,0),"※编码不在物料档案里"))</f>
        <v/>
      </c>
      <c r="G1053" s="24">
        <f>IF($D1053="","",IFERROR(VLOOKUP($D1053,物料档案!$A$4:$P$1203,5,0),"※编码不在物料档案里"))</f>
        <v/>
      </c>
      <c r="H1053" s="24">
        <f>IF($D1053="","",IFERROR(VLOOKUP($D1053,物料档案!$A$4:$P$1203,2,0),"※编码不在物料档案里"))</f>
        <v/>
      </c>
      <c r="I1053" s="24">
        <f>IF($D1053="","",IFERROR(VLOOKUP($D1053,物料档案!$A$4:$P$1203,6,0),"※编码不在物料档案里"))</f>
        <v/>
      </c>
      <c r="J1053" s="23" t="n"/>
      <c r="K1053" s="17" t="n"/>
      <c r="L1053" s="17" t="n"/>
      <c r="M1053" s="17" t="n"/>
      <c r="N1053" s="17" t="n"/>
      <c r="O1053" s="26">
        <f>IF($D1053="","",IFERROR(VLOOKUP($D1053,物料档案!$A$4:$P$1203,10,0),0))</f>
        <v/>
      </c>
      <c r="P1053" s="32" t="n"/>
      <c r="Q1053" s="26">
        <f>IF($D1053="","",IF($K1053&lt;&gt;"对外销售",0,ROUND(N($J1053)*IF($P1053="",N($O1053),N($P1053)),0)))</f>
        <v/>
      </c>
      <c r="R1053" s="26">
        <f>IF($D1053="","",IFERROR(VLOOKUP($D1053,库存台账!$A$5:$Y$1204,11,0),0))</f>
        <v/>
      </c>
      <c r="S1053" s="26">
        <f>IF($D1053="","",ROUND(N($J1053)*N($R1053),0))</f>
        <v/>
      </c>
      <c r="T1053" s="26">
        <f>IF($D1053="","",IF($K1053&lt;&gt;"对外销售","",ROUND($Q1053-$S1053,0)))</f>
        <v/>
      </c>
      <c r="U1053" s="17" t="n"/>
      <c r="V1053" s="17" t="n"/>
      <c r="W1053" s="24">
        <f>IF($D1053="","",IF($E1053="※编码不在物料档案里","※物料编码不在档案里",IF(N($J1053)&lt;=0,"※出库数量要大于 0",IF($K1053="","※没填去向类型",IF($L1053="","※没填去向矿区",IF(AND($C1053&lt;&gt;"",$C1053&lt;=结账锁),"※日期早于已结账截止日，不能再录",IF(AND($K1053="自用消耗",COUNTIF({"一矿区";"二矿区"},$L1053)=0),"※自用消耗的去向只能是一矿区或二矿区",IF(AND($K1053="对外销售",COUNTIF({"三矿区";"六矿区"},$L1053)=0),"※对外销售的去向只能是三矿区或六矿区",IF(AND($K1053="对外销售",ROUND($Q1053,0)=0),"※外销却没有售价，请填实际售价",IF(AND($K1053="对外销售",$T1053&lt;&gt;"",$T1053&lt;0),"※这一笔外销是亏的，请核对售价",IF(IFERROR(VLOOKUP($D1053,库存台账!$A$5:$Y$1204,24,0),0)&lt;-0.001,"※这个物料账面已经变成负数了，查一下是不是漏记入库","")))))))))))</f>
        <v/>
      </c>
    </row>
    <row r="1054">
      <c r="A1054" s="24">
        <f>IF($D1054="","",COUNTA($D$4:$D1054))</f>
        <v/>
      </c>
      <c r="B1054" s="17" t="n"/>
      <c r="C1054" s="30" t="n"/>
      <c r="D1054" s="17" t="n"/>
      <c r="E1054" s="24">
        <f>IF($D1054="","",IFERROR(VLOOKUP($D1054,物料档案!$A$4:$P$1203,3,0),"※编码不在物料档案里"))</f>
        <v/>
      </c>
      <c r="F1054" s="24">
        <f>IF($D1054="","",IFERROR(VLOOKUP($D1054,物料档案!$A$4:$P$1203,4,0),"※编码不在物料档案里"))</f>
        <v/>
      </c>
      <c r="G1054" s="24">
        <f>IF($D1054="","",IFERROR(VLOOKUP($D1054,物料档案!$A$4:$P$1203,5,0),"※编码不在物料档案里"))</f>
        <v/>
      </c>
      <c r="H1054" s="24">
        <f>IF($D1054="","",IFERROR(VLOOKUP($D1054,物料档案!$A$4:$P$1203,2,0),"※编码不在物料档案里"))</f>
        <v/>
      </c>
      <c r="I1054" s="24">
        <f>IF($D1054="","",IFERROR(VLOOKUP($D1054,物料档案!$A$4:$P$1203,6,0),"※编码不在物料档案里"))</f>
        <v/>
      </c>
      <c r="J1054" s="23" t="n"/>
      <c r="K1054" s="17" t="n"/>
      <c r="L1054" s="17" t="n"/>
      <c r="M1054" s="17" t="n"/>
      <c r="N1054" s="17" t="n"/>
      <c r="O1054" s="26">
        <f>IF($D1054="","",IFERROR(VLOOKUP($D1054,物料档案!$A$4:$P$1203,10,0),0))</f>
        <v/>
      </c>
      <c r="P1054" s="32" t="n"/>
      <c r="Q1054" s="26">
        <f>IF($D1054="","",IF($K1054&lt;&gt;"对外销售",0,ROUND(N($J1054)*IF($P1054="",N($O1054),N($P1054)),0)))</f>
        <v/>
      </c>
      <c r="R1054" s="26">
        <f>IF($D1054="","",IFERROR(VLOOKUP($D1054,库存台账!$A$5:$Y$1204,11,0),0))</f>
        <v/>
      </c>
      <c r="S1054" s="26">
        <f>IF($D1054="","",ROUND(N($J1054)*N($R1054),0))</f>
        <v/>
      </c>
      <c r="T1054" s="26">
        <f>IF($D1054="","",IF($K1054&lt;&gt;"对外销售","",ROUND($Q1054-$S1054,0)))</f>
        <v/>
      </c>
      <c r="U1054" s="17" t="n"/>
      <c r="V1054" s="17" t="n"/>
      <c r="W1054" s="24">
        <f>IF($D1054="","",IF($E1054="※编码不在物料档案里","※物料编码不在档案里",IF(N($J1054)&lt;=0,"※出库数量要大于 0",IF($K1054="","※没填去向类型",IF($L1054="","※没填去向矿区",IF(AND($C1054&lt;&gt;"",$C1054&lt;=结账锁),"※日期早于已结账截止日，不能再录",IF(AND($K1054="自用消耗",COUNTIF({"一矿区";"二矿区"},$L1054)=0),"※自用消耗的去向只能是一矿区或二矿区",IF(AND($K1054="对外销售",COUNTIF({"三矿区";"六矿区"},$L1054)=0),"※对外销售的去向只能是三矿区或六矿区",IF(AND($K1054="对外销售",ROUND($Q1054,0)=0),"※外销却没有售价，请填实际售价",IF(AND($K1054="对外销售",$T1054&lt;&gt;"",$T1054&lt;0),"※这一笔外销是亏的，请核对售价",IF(IFERROR(VLOOKUP($D1054,库存台账!$A$5:$Y$1204,24,0),0)&lt;-0.001,"※这个物料账面已经变成负数了，查一下是不是漏记入库","")))))))))))</f>
        <v/>
      </c>
    </row>
    <row r="1055">
      <c r="A1055" s="24">
        <f>IF($D1055="","",COUNTA($D$4:$D1055))</f>
        <v/>
      </c>
      <c r="B1055" s="17" t="n"/>
      <c r="C1055" s="30" t="n"/>
      <c r="D1055" s="17" t="n"/>
      <c r="E1055" s="24">
        <f>IF($D1055="","",IFERROR(VLOOKUP($D1055,物料档案!$A$4:$P$1203,3,0),"※编码不在物料档案里"))</f>
        <v/>
      </c>
      <c r="F1055" s="24">
        <f>IF($D1055="","",IFERROR(VLOOKUP($D1055,物料档案!$A$4:$P$1203,4,0),"※编码不在物料档案里"))</f>
        <v/>
      </c>
      <c r="G1055" s="24">
        <f>IF($D1055="","",IFERROR(VLOOKUP($D1055,物料档案!$A$4:$P$1203,5,0),"※编码不在物料档案里"))</f>
        <v/>
      </c>
      <c r="H1055" s="24">
        <f>IF($D1055="","",IFERROR(VLOOKUP($D1055,物料档案!$A$4:$P$1203,2,0),"※编码不在物料档案里"))</f>
        <v/>
      </c>
      <c r="I1055" s="24">
        <f>IF($D1055="","",IFERROR(VLOOKUP($D1055,物料档案!$A$4:$P$1203,6,0),"※编码不在物料档案里"))</f>
        <v/>
      </c>
      <c r="J1055" s="23" t="n"/>
      <c r="K1055" s="17" t="n"/>
      <c r="L1055" s="17" t="n"/>
      <c r="M1055" s="17" t="n"/>
      <c r="N1055" s="17" t="n"/>
      <c r="O1055" s="26">
        <f>IF($D1055="","",IFERROR(VLOOKUP($D1055,物料档案!$A$4:$P$1203,10,0),0))</f>
        <v/>
      </c>
      <c r="P1055" s="32" t="n"/>
      <c r="Q1055" s="26">
        <f>IF($D1055="","",IF($K1055&lt;&gt;"对外销售",0,ROUND(N($J1055)*IF($P1055="",N($O1055),N($P1055)),0)))</f>
        <v/>
      </c>
      <c r="R1055" s="26">
        <f>IF($D1055="","",IFERROR(VLOOKUP($D1055,库存台账!$A$5:$Y$1204,11,0),0))</f>
        <v/>
      </c>
      <c r="S1055" s="26">
        <f>IF($D1055="","",ROUND(N($J1055)*N($R1055),0))</f>
        <v/>
      </c>
      <c r="T1055" s="26">
        <f>IF($D1055="","",IF($K1055&lt;&gt;"对外销售","",ROUND($Q1055-$S1055,0)))</f>
        <v/>
      </c>
      <c r="U1055" s="17" t="n"/>
      <c r="V1055" s="17" t="n"/>
      <c r="W1055" s="24">
        <f>IF($D1055="","",IF($E1055="※编码不在物料档案里","※物料编码不在档案里",IF(N($J1055)&lt;=0,"※出库数量要大于 0",IF($K1055="","※没填去向类型",IF($L1055="","※没填去向矿区",IF(AND($C1055&lt;&gt;"",$C1055&lt;=结账锁),"※日期早于已结账截止日，不能再录",IF(AND($K1055="自用消耗",COUNTIF({"一矿区";"二矿区"},$L1055)=0),"※自用消耗的去向只能是一矿区或二矿区",IF(AND($K1055="对外销售",COUNTIF({"三矿区";"六矿区"},$L1055)=0),"※对外销售的去向只能是三矿区或六矿区",IF(AND($K1055="对外销售",ROUND($Q1055,0)=0),"※外销却没有售价，请填实际售价",IF(AND($K1055="对外销售",$T1055&lt;&gt;"",$T1055&lt;0),"※这一笔外销是亏的，请核对售价",IF(IFERROR(VLOOKUP($D1055,库存台账!$A$5:$Y$1204,24,0),0)&lt;-0.001,"※这个物料账面已经变成负数了，查一下是不是漏记入库","")))))))))))</f>
        <v/>
      </c>
    </row>
    <row r="1056">
      <c r="A1056" s="24">
        <f>IF($D1056="","",COUNTA($D$4:$D1056))</f>
        <v/>
      </c>
      <c r="B1056" s="17" t="n"/>
      <c r="C1056" s="30" t="n"/>
      <c r="D1056" s="17" t="n"/>
      <c r="E1056" s="24">
        <f>IF($D1056="","",IFERROR(VLOOKUP($D1056,物料档案!$A$4:$P$1203,3,0),"※编码不在物料档案里"))</f>
        <v/>
      </c>
      <c r="F1056" s="24">
        <f>IF($D1056="","",IFERROR(VLOOKUP($D1056,物料档案!$A$4:$P$1203,4,0),"※编码不在物料档案里"))</f>
        <v/>
      </c>
      <c r="G1056" s="24">
        <f>IF($D1056="","",IFERROR(VLOOKUP($D1056,物料档案!$A$4:$P$1203,5,0),"※编码不在物料档案里"))</f>
        <v/>
      </c>
      <c r="H1056" s="24">
        <f>IF($D1056="","",IFERROR(VLOOKUP($D1056,物料档案!$A$4:$P$1203,2,0),"※编码不在物料档案里"))</f>
        <v/>
      </c>
      <c r="I1056" s="24">
        <f>IF($D1056="","",IFERROR(VLOOKUP($D1056,物料档案!$A$4:$P$1203,6,0),"※编码不在物料档案里"))</f>
        <v/>
      </c>
      <c r="J1056" s="23" t="n"/>
      <c r="K1056" s="17" t="n"/>
      <c r="L1056" s="17" t="n"/>
      <c r="M1056" s="17" t="n"/>
      <c r="N1056" s="17" t="n"/>
      <c r="O1056" s="26">
        <f>IF($D1056="","",IFERROR(VLOOKUP($D1056,物料档案!$A$4:$P$1203,10,0),0))</f>
        <v/>
      </c>
      <c r="P1056" s="32" t="n"/>
      <c r="Q1056" s="26">
        <f>IF($D1056="","",IF($K1056&lt;&gt;"对外销售",0,ROUND(N($J1056)*IF($P1056="",N($O1056),N($P1056)),0)))</f>
        <v/>
      </c>
      <c r="R1056" s="26">
        <f>IF($D1056="","",IFERROR(VLOOKUP($D1056,库存台账!$A$5:$Y$1204,11,0),0))</f>
        <v/>
      </c>
      <c r="S1056" s="26">
        <f>IF($D1056="","",ROUND(N($J1056)*N($R1056),0))</f>
        <v/>
      </c>
      <c r="T1056" s="26">
        <f>IF($D1056="","",IF($K1056&lt;&gt;"对外销售","",ROUND($Q1056-$S1056,0)))</f>
        <v/>
      </c>
      <c r="U1056" s="17" t="n"/>
      <c r="V1056" s="17" t="n"/>
      <c r="W1056" s="24">
        <f>IF($D1056="","",IF($E1056="※编码不在物料档案里","※物料编码不在档案里",IF(N($J1056)&lt;=0,"※出库数量要大于 0",IF($K1056="","※没填去向类型",IF($L1056="","※没填去向矿区",IF(AND($C1056&lt;&gt;"",$C1056&lt;=结账锁),"※日期早于已结账截止日，不能再录",IF(AND($K1056="自用消耗",COUNTIF({"一矿区";"二矿区"},$L1056)=0),"※自用消耗的去向只能是一矿区或二矿区",IF(AND($K1056="对外销售",COUNTIF({"三矿区";"六矿区"},$L1056)=0),"※对外销售的去向只能是三矿区或六矿区",IF(AND($K1056="对外销售",ROUND($Q1056,0)=0),"※外销却没有售价，请填实际售价",IF(AND($K1056="对外销售",$T1056&lt;&gt;"",$T1056&lt;0),"※这一笔外销是亏的，请核对售价",IF(IFERROR(VLOOKUP($D1056,库存台账!$A$5:$Y$1204,24,0),0)&lt;-0.001,"※这个物料账面已经变成负数了，查一下是不是漏记入库","")))))))))))</f>
        <v/>
      </c>
    </row>
    <row r="1057">
      <c r="A1057" s="24">
        <f>IF($D1057="","",COUNTA($D$4:$D1057))</f>
        <v/>
      </c>
      <c r="B1057" s="17" t="n"/>
      <c r="C1057" s="30" t="n"/>
      <c r="D1057" s="17" t="n"/>
      <c r="E1057" s="24">
        <f>IF($D1057="","",IFERROR(VLOOKUP($D1057,物料档案!$A$4:$P$1203,3,0),"※编码不在物料档案里"))</f>
        <v/>
      </c>
      <c r="F1057" s="24">
        <f>IF($D1057="","",IFERROR(VLOOKUP($D1057,物料档案!$A$4:$P$1203,4,0),"※编码不在物料档案里"))</f>
        <v/>
      </c>
      <c r="G1057" s="24">
        <f>IF($D1057="","",IFERROR(VLOOKUP($D1057,物料档案!$A$4:$P$1203,5,0),"※编码不在物料档案里"))</f>
        <v/>
      </c>
      <c r="H1057" s="24">
        <f>IF($D1057="","",IFERROR(VLOOKUP($D1057,物料档案!$A$4:$P$1203,2,0),"※编码不在物料档案里"))</f>
        <v/>
      </c>
      <c r="I1057" s="24">
        <f>IF($D1057="","",IFERROR(VLOOKUP($D1057,物料档案!$A$4:$P$1203,6,0),"※编码不在物料档案里"))</f>
        <v/>
      </c>
      <c r="J1057" s="23" t="n"/>
      <c r="K1057" s="17" t="n"/>
      <c r="L1057" s="17" t="n"/>
      <c r="M1057" s="17" t="n"/>
      <c r="N1057" s="17" t="n"/>
      <c r="O1057" s="26">
        <f>IF($D1057="","",IFERROR(VLOOKUP($D1057,物料档案!$A$4:$P$1203,10,0),0))</f>
        <v/>
      </c>
      <c r="P1057" s="32" t="n"/>
      <c r="Q1057" s="26">
        <f>IF($D1057="","",IF($K1057&lt;&gt;"对外销售",0,ROUND(N($J1057)*IF($P1057="",N($O1057),N($P1057)),0)))</f>
        <v/>
      </c>
      <c r="R1057" s="26">
        <f>IF($D1057="","",IFERROR(VLOOKUP($D1057,库存台账!$A$5:$Y$1204,11,0),0))</f>
        <v/>
      </c>
      <c r="S1057" s="26">
        <f>IF($D1057="","",ROUND(N($J1057)*N($R1057),0))</f>
        <v/>
      </c>
      <c r="T1057" s="26">
        <f>IF($D1057="","",IF($K1057&lt;&gt;"对外销售","",ROUND($Q1057-$S1057,0)))</f>
        <v/>
      </c>
      <c r="U1057" s="17" t="n"/>
      <c r="V1057" s="17" t="n"/>
      <c r="W1057" s="24">
        <f>IF($D1057="","",IF($E1057="※编码不在物料档案里","※物料编码不在档案里",IF(N($J1057)&lt;=0,"※出库数量要大于 0",IF($K1057="","※没填去向类型",IF($L1057="","※没填去向矿区",IF(AND($C1057&lt;&gt;"",$C1057&lt;=结账锁),"※日期早于已结账截止日，不能再录",IF(AND($K1057="自用消耗",COUNTIF({"一矿区";"二矿区"},$L1057)=0),"※自用消耗的去向只能是一矿区或二矿区",IF(AND($K1057="对外销售",COUNTIF({"三矿区";"六矿区"},$L1057)=0),"※对外销售的去向只能是三矿区或六矿区",IF(AND($K1057="对外销售",ROUND($Q1057,0)=0),"※外销却没有售价，请填实际售价",IF(AND($K1057="对外销售",$T1057&lt;&gt;"",$T1057&lt;0),"※这一笔外销是亏的，请核对售价",IF(IFERROR(VLOOKUP($D1057,库存台账!$A$5:$Y$1204,24,0),0)&lt;-0.001,"※这个物料账面已经变成负数了，查一下是不是漏记入库","")))))))))))</f>
        <v/>
      </c>
    </row>
    <row r="1058">
      <c r="A1058" s="24">
        <f>IF($D1058="","",COUNTA($D$4:$D1058))</f>
        <v/>
      </c>
      <c r="B1058" s="17" t="n"/>
      <c r="C1058" s="30" t="n"/>
      <c r="D1058" s="17" t="n"/>
      <c r="E1058" s="24">
        <f>IF($D1058="","",IFERROR(VLOOKUP($D1058,物料档案!$A$4:$P$1203,3,0),"※编码不在物料档案里"))</f>
        <v/>
      </c>
      <c r="F1058" s="24">
        <f>IF($D1058="","",IFERROR(VLOOKUP($D1058,物料档案!$A$4:$P$1203,4,0),"※编码不在物料档案里"))</f>
        <v/>
      </c>
      <c r="G1058" s="24">
        <f>IF($D1058="","",IFERROR(VLOOKUP($D1058,物料档案!$A$4:$P$1203,5,0),"※编码不在物料档案里"))</f>
        <v/>
      </c>
      <c r="H1058" s="24">
        <f>IF($D1058="","",IFERROR(VLOOKUP($D1058,物料档案!$A$4:$P$1203,2,0),"※编码不在物料档案里"))</f>
        <v/>
      </c>
      <c r="I1058" s="24">
        <f>IF($D1058="","",IFERROR(VLOOKUP($D1058,物料档案!$A$4:$P$1203,6,0),"※编码不在物料档案里"))</f>
        <v/>
      </c>
      <c r="J1058" s="23" t="n"/>
      <c r="K1058" s="17" t="n"/>
      <c r="L1058" s="17" t="n"/>
      <c r="M1058" s="17" t="n"/>
      <c r="N1058" s="17" t="n"/>
      <c r="O1058" s="26">
        <f>IF($D1058="","",IFERROR(VLOOKUP($D1058,物料档案!$A$4:$P$1203,10,0),0))</f>
        <v/>
      </c>
      <c r="P1058" s="32" t="n"/>
      <c r="Q1058" s="26">
        <f>IF($D1058="","",IF($K1058&lt;&gt;"对外销售",0,ROUND(N($J1058)*IF($P1058="",N($O1058),N($P1058)),0)))</f>
        <v/>
      </c>
      <c r="R1058" s="26">
        <f>IF($D1058="","",IFERROR(VLOOKUP($D1058,库存台账!$A$5:$Y$1204,11,0),0))</f>
        <v/>
      </c>
      <c r="S1058" s="26">
        <f>IF($D1058="","",ROUND(N($J1058)*N($R1058),0))</f>
        <v/>
      </c>
      <c r="T1058" s="26">
        <f>IF($D1058="","",IF($K1058&lt;&gt;"对外销售","",ROUND($Q1058-$S1058,0)))</f>
        <v/>
      </c>
      <c r="U1058" s="17" t="n"/>
      <c r="V1058" s="17" t="n"/>
      <c r="W1058" s="24">
        <f>IF($D1058="","",IF($E1058="※编码不在物料档案里","※物料编码不在档案里",IF(N($J1058)&lt;=0,"※出库数量要大于 0",IF($K1058="","※没填去向类型",IF($L1058="","※没填去向矿区",IF(AND($C1058&lt;&gt;"",$C1058&lt;=结账锁),"※日期早于已结账截止日，不能再录",IF(AND($K1058="自用消耗",COUNTIF({"一矿区";"二矿区"},$L1058)=0),"※自用消耗的去向只能是一矿区或二矿区",IF(AND($K1058="对外销售",COUNTIF({"三矿区";"六矿区"},$L1058)=0),"※对外销售的去向只能是三矿区或六矿区",IF(AND($K1058="对外销售",ROUND($Q1058,0)=0),"※外销却没有售价，请填实际售价",IF(AND($K1058="对外销售",$T1058&lt;&gt;"",$T1058&lt;0),"※这一笔外销是亏的，请核对售价",IF(IFERROR(VLOOKUP($D1058,库存台账!$A$5:$Y$1204,24,0),0)&lt;-0.001,"※这个物料账面已经变成负数了，查一下是不是漏记入库","")))))))))))</f>
        <v/>
      </c>
    </row>
    <row r="1059">
      <c r="A1059" s="24">
        <f>IF($D1059="","",COUNTA($D$4:$D1059))</f>
        <v/>
      </c>
      <c r="B1059" s="17" t="n"/>
      <c r="C1059" s="30" t="n"/>
      <c r="D1059" s="17" t="n"/>
      <c r="E1059" s="24">
        <f>IF($D1059="","",IFERROR(VLOOKUP($D1059,物料档案!$A$4:$P$1203,3,0),"※编码不在物料档案里"))</f>
        <v/>
      </c>
      <c r="F1059" s="24">
        <f>IF($D1059="","",IFERROR(VLOOKUP($D1059,物料档案!$A$4:$P$1203,4,0),"※编码不在物料档案里"))</f>
        <v/>
      </c>
      <c r="G1059" s="24">
        <f>IF($D1059="","",IFERROR(VLOOKUP($D1059,物料档案!$A$4:$P$1203,5,0),"※编码不在物料档案里"))</f>
        <v/>
      </c>
      <c r="H1059" s="24">
        <f>IF($D1059="","",IFERROR(VLOOKUP($D1059,物料档案!$A$4:$P$1203,2,0),"※编码不在物料档案里"))</f>
        <v/>
      </c>
      <c r="I1059" s="24">
        <f>IF($D1059="","",IFERROR(VLOOKUP($D1059,物料档案!$A$4:$P$1203,6,0),"※编码不在物料档案里"))</f>
        <v/>
      </c>
      <c r="J1059" s="23" t="n"/>
      <c r="K1059" s="17" t="n"/>
      <c r="L1059" s="17" t="n"/>
      <c r="M1059" s="17" t="n"/>
      <c r="N1059" s="17" t="n"/>
      <c r="O1059" s="26">
        <f>IF($D1059="","",IFERROR(VLOOKUP($D1059,物料档案!$A$4:$P$1203,10,0),0))</f>
        <v/>
      </c>
      <c r="P1059" s="32" t="n"/>
      <c r="Q1059" s="26">
        <f>IF($D1059="","",IF($K1059&lt;&gt;"对外销售",0,ROUND(N($J1059)*IF($P1059="",N($O1059),N($P1059)),0)))</f>
        <v/>
      </c>
      <c r="R1059" s="26">
        <f>IF($D1059="","",IFERROR(VLOOKUP($D1059,库存台账!$A$5:$Y$1204,11,0),0))</f>
        <v/>
      </c>
      <c r="S1059" s="26">
        <f>IF($D1059="","",ROUND(N($J1059)*N($R1059),0))</f>
        <v/>
      </c>
      <c r="T1059" s="26">
        <f>IF($D1059="","",IF($K1059&lt;&gt;"对外销售","",ROUND($Q1059-$S1059,0)))</f>
        <v/>
      </c>
      <c r="U1059" s="17" t="n"/>
      <c r="V1059" s="17" t="n"/>
      <c r="W1059" s="24">
        <f>IF($D1059="","",IF($E1059="※编码不在物料档案里","※物料编码不在档案里",IF(N($J1059)&lt;=0,"※出库数量要大于 0",IF($K1059="","※没填去向类型",IF($L1059="","※没填去向矿区",IF(AND($C1059&lt;&gt;"",$C1059&lt;=结账锁),"※日期早于已结账截止日，不能再录",IF(AND($K1059="自用消耗",COUNTIF({"一矿区";"二矿区"},$L1059)=0),"※自用消耗的去向只能是一矿区或二矿区",IF(AND($K1059="对外销售",COUNTIF({"三矿区";"六矿区"},$L1059)=0),"※对外销售的去向只能是三矿区或六矿区",IF(AND($K1059="对外销售",ROUND($Q1059,0)=0),"※外销却没有售价，请填实际售价",IF(AND($K1059="对外销售",$T1059&lt;&gt;"",$T1059&lt;0),"※这一笔外销是亏的，请核对售价",IF(IFERROR(VLOOKUP($D1059,库存台账!$A$5:$Y$1204,24,0),0)&lt;-0.001,"※这个物料账面已经变成负数了，查一下是不是漏记入库","")))))))))))</f>
        <v/>
      </c>
    </row>
    <row r="1060">
      <c r="A1060" s="24">
        <f>IF($D1060="","",COUNTA($D$4:$D1060))</f>
        <v/>
      </c>
      <c r="B1060" s="17" t="n"/>
      <c r="C1060" s="30" t="n"/>
      <c r="D1060" s="17" t="n"/>
      <c r="E1060" s="24">
        <f>IF($D1060="","",IFERROR(VLOOKUP($D1060,物料档案!$A$4:$P$1203,3,0),"※编码不在物料档案里"))</f>
        <v/>
      </c>
      <c r="F1060" s="24">
        <f>IF($D1060="","",IFERROR(VLOOKUP($D1060,物料档案!$A$4:$P$1203,4,0),"※编码不在物料档案里"))</f>
        <v/>
      </c>
      <c r="G1060" s="24">
        <f>IF($D1060="","",IFERROR(VLOOKUP($D1060,物料档案!$A$4:$P$1203,5,0),"※编码不在物料档案里"))</f>
        <v/>
      </c>
      <c r="H1060" s="24">
        <f>IF($D1060="","",IFERROR(VLOOKUP($D1060,物料档案!$A$4:$P$1203,2,0),"※编码不在物料档案里"))</f>
        <v/>
      </c>
      <c r="I1060" s="24">
        <f>IF($D1060="","",IFERROR(VLOOKUP($D1060,物料档案!$A$4:$P$1203,6,0),"※编码不在物料档案里"))</f>
        <v/>
      </c>
      <c r="J1060" s="23" t="n"/>
      <c r="K1060" s="17" t="n"/>
      <c r="L1060" s="17" t="n"/>
      <c r="M1060" s="17" t="n"/>
      <c r="N1060" s="17" t="n"/>
      <c r="O1060" s="26">
        <f>IF($D1060="","",IFERROR(VLOOKUP($D1060,物料档案!$A$4:$P$1203,10,0),0))</f>
        <v/>
      </c>
      <c r="P1060" s="32" t="n"/>
      <c r="Q1060" s="26">
        <f>IF($D1060="","",IF($K1060&lt;&gt;"对外销售",0,ROUND(N($J1060)*IF($P1060="",N($O1060),N($P1060)),0)))</f>
        <v/>
      </c>
      <c r="R1060" s="26">
        <f>IF($D1060="","",IFERROR(VLOOKUP($D1060,库存台账!$A$5:$Y$1204,11,0),0))</f>
        <v/>
      </c>
      <c r="S1060" s="26">
        <f>IF($D1060="","",ROUND(N($J1060)*N($R1060),0))</f>
        <v/>
      </c>
      <c r="T1060" s="26">
        <f>IF($D1060="","",IF($K1060&lt;&gt;"对外销售","",ROUND($Q1060-$S1060,0)))</f>
        <v/>
      </c>
      <c r="U1060" s="17" t="n"/>
      <c r="V1060" s="17" t="n"/>
      <c r="W1060" s="24">
        <f>IF($D1060="","",IF($E1060="※编码不在物料档案里","※物料编码不在档案里",IF(N($J1060)&lt;=0,"※出库数量要大于 0",IF($K1060="","※没填去向类型",IF($L1060="","※没填去向矿区",IF(AND($C1060&lt;&gt;"",$C1060&lt;=结账锁),"※日期早于已结账截止日，不能再录",IF(AND($K1060="自用消耗",COUNTIF({"一矿区";"二矿区"},$L1060)=0),"※自用消耗的去向只能是一矿区或二矿区",IF(AND($K1060="对外销售",COUNTIF({"三矿区";"六矿区"},$L1060)=0),"※对外销售的去向只能是三矿区或六矿区",IF(AND($K1060="对外销售",ROUND($Q1060,0)=0),"※外销却没有售价，请填实际售价",IF(AND($K1060="对外销售",$T1060&lt;&gt;"",$T1060&lt;0),"※这一笔外销是亏的，请核对售价",IF(IFERROR(VLOOKUP($D1060,库存台账!$A$5:$Y$1204,24,0),0)&lt;-0.001,"※这个物料账面已经变成负数了，查一下是不是漏记入库","")))))))))))</f>
        <v/>
      </c>
    </row>
    <row r="1061">
      <c r="A1061" s="24">
        <f>IF($D1061="","",COUNTA($D$4:$D1061))</f>
        <v/>
      </c>
      <c r="B1061" s="17" t="n"/>
      <c r="C1061" s="30" t="n"/>
      <c r="D1061" s="17" t="n"/>
      <c r="E1061" s="24">
        <f>IF($D1061="","",IFERROR(VLOOKUP($D1061,物料档案!$A$4:$P$1203,3,0),"※编码不在物料档案里"))</f>
        <v/>
      </c>
      <c r="F1061" s="24">
        <f>IF($D1061="","",IFERROR(VLOOKUP($D1061,物料档案!$A$4:$P$1203,4,0),"※编码不在物料档案里"))</f>
        <v/>
      </c>
      <c r="G1061" s="24">
        <f>IF($D1061="","",IFERROR(VLOOKUP($D1061,物料档案!$A$4:$P$1203,5,0),"※编码不在物料档案里"))</f>
        <v/>
      </c>
      <c r="H1061" s="24">
        <f>IF($D1061="","",IFERROR(VLOOKUP($D1061,物料档案!$A$4:$P$1203,2,0),"※编码不在物料档案里"))</f>
        <v/>
      </c>
      <c r="I1061" s="24">
        <f>IF($D1061="","",IFERROR(VLOOKUP($D1061,物料档案!$A$4:$P$1203,6,0),"※编码不在物料档案里"))</f>
        <v/>
      </c>
      <c r="J1061" s="23" t="n"/>
      <c r="K1061" s="17" t="n"/>
      <c r="L1061" s="17" t="n"/>
      <c r="M1061" s="17" t="n"/>
      <c r="N1061" s="17" t="n"/>
      <c r="O1061" s="26">
        <f>IF($D1061="","",IFERROR(VLOOKUP($D1061,物料档案!$A$4:$P$1203,10,0),0))</f>
        <v/>
      </c>
      <c r="P1061" s="32" t="n"/>
      <c r="Q1061" s="26">
        <f>IF($D1061="","",IF($K1061&lt;&gt;"对外销售",0,ROUND(N($J1061)*IF($P1061="",N($O1061),N($P1061)),0)))</f>
        <v/>
      </c>
      <c r="R1061" s="26">
        <f>IF($D1061="","",IFERROR(VLOOKUP($D1061,库存台账!$A$5:$Y$1204,11,0),0))</f>
        <v/>
      </c>
      <c r="S1061" s="26">
        <f>IF($D1061="","",ROUND(N($J1061)*N($R1061),0))</f>
        <v/>
      </c>
      <c r="T1061" s="26">
        <f>IF($D1061="","",IF($K1061&lt;&gt;"对外销售","",ROUND($Q1061-$S1061,0)))</f>
        <v/>
      </c>
      <c r="U1061" s="17" t="n"/>
      <c r="V1061" s="17" t="n"/>
      <c r="W1061" s="24">
        <f>IF($D1061="","",IF($E1061="※编码不在物料档案里","※物料编码不在档案里",IF(N($J1061)&lt;=0,"※出库数量要大于 0",IF($K1061="","※没填去向类型",IF($L1061="","※没填去向矿区",IF(AND($C1061&lt;&gt;"",$C1061&lt;=结账锁),"※日期早于已结账截止日，不能再录",IF(AND($K1061="自用消耗",COUNTIF({"一矿区";"二矿区"},$L1061)=0),"※自用消耗的去向只能是一矿区或二矿区",IF(AND($K1061="对外销售",COUNTIF({"三矿区";"六矿区"},$L1061)=0),"※对外销售的去向只能是三矿区或六矿区",IF(AND($K1061="对外销售",ROUND($Q1061,0)=0),"※外销却没有售价，请填实际售价",IF(AND($K1061="对外销售",$T1061&lt;&gt;"",$T1061&lt;0),"※这一笔外销是亏的，请核对售价",IF(IFERROR(VLOOKUP($D1061,库存台账!$A$5:$Y$1204,24,0),0)&lt;-0.001,"※这个物料账面已经变成负数了，查一下是不是漏记入库","")))))))))))</f>
        <v/>
      </c>
    </row>
    <row r="1062">
      <c r="A1062" s="24">
        <f>IF($D1062="","",COUNTA($D$4:$D1062))</f>
        <v/>
      </c>
      <c r="B1062" s="17" t="n"/>
      <c r="C1062" s="30" t="n"/>
      <c r="D1062" s="17" t="n"/>
      <c r="E1062" s="24">
        <f>IF($D1062="","",IFERROR(VLOOKUP($D1062,物料档案!$A$4:$P$1203,3,0),"※编码不在物料档案里"))</f>
        <v/>
      </c>
      <c r="F1062" s="24">
        <f>IF($D1062="","",IFERROR(VLOOKUP($D1062,物料档案!$A$4:$P$1203,4,0),"※编码不在物料档案里"))</f>
        <v/>
      </c>
      <c r="G1062" s="24">
        <f>IF($D1062="","",IFERROR(VLOOKUP($D1062,物料档案!$A$4:$P$1203,5,0),"※编码不在物料档案里"))</f>
        <v/>
      </c>
      <c r="H1062" s="24">
        <f>IF($D1062="","",IFERROR(VLOOKUP($D1062,物料档案!$A$4:$P$1203,2,0),"※编码不在物料档案里"))</f>
        <v/>
      </c>
      <c r="I1062" s="24">
        <f>IF($D1062="","",IFERROR(VLOOKUP($D1062,物料档案!$A$4:$P$1203,6,0),"※编码不在物料档案里"))</f>
        <v/>
      </c>
      <c r="J1062" s="23" t="n"/>
      <c r="K1062" s="17" t="n"/>
      <c r="L1062" s="17" t="n"/>
      <c r="M1062" s="17" t="n"/>
      <c r="N1062" s="17" t="n"/>
      <c r="O1062" s="26">
        <f>IF($D1062="","",IFERROR(VLOOKUP($D1062,物料档案!$A$4:$P$1203,10,0),0))</f>
        <v/>
      </c>
      <c r="P1062" s="32" t="n"/>
      <c r="Q1062" s="26">
        <f>IF($D1062="","",IF($K1062&lt;&gt;"对外销售",0,ROUND(N($J1062)*IF($P1062="",N($O1062),N($P1062)),0)))</f>
        <v/>
      </c>
      <c r="R1062" s="26">
        <f>IF($D1062="","",IFERROR(VLOOKUP($D1062,库存台账!$A$5:$Y$1204,11,0),0))</f>
        <v/>
      </c>
      <c r="S1062" s="26">
        <f>IF($D1062="","",ROUND(N($J1062)*N($R1062),0))</f>
        <v/>
      </c>
      <c r="T1062" s="26">
        <f>IF($D1062="","",IF($K1062&lt;&gt;"对外销售","",ROUND($Q1062-$S1062,0)))</f>
        <v/>
      </c>
      <c r="U1062" s="17" t="n"/>
      <c r="V1062" s="17" t="n"/>
      <c r="W1062" s="24">
        <f>IF($D1062="","",IF($E1062="※编码不在物料档案里","※物料编码不在档案里",IF(N($J1062)&lt;=0,"※出库数量要大于 0",IF($K1062="","※没填去向类型",IF($L1062="","※没填去向矿区",IF(AND($C1062&lt;&gt;"",$C1062&lt;=结账锁),"※日期早于已结账截止日，不能再录",IF(AND($K1062="自用消耗",COUNTIF({"一矿区";"二矿区"},$L1062)=0),"※自用消耗的去向只能是一矿区或二矿区",IF(AND($K1062="对外销售",COUNTIF({"三矿区";"六矿区"},$L1062)=0),"※对外销售的去向只能是三矿区或六矿区",IF(AND($K1062="对外销售",ROUND($Q1062,0)=0),"※外销却没有售价，请填实际售价",IF(AND($K1062="对外销售",$T1062&lt;&gt;"",$T1062&lt;0),"※这一笔外销是亏的，请核对售价",IF(IFERROR(VLOOKUP($D1062,库存台账!$A$5:$Y$1204,24,0),0)&lt;-0.001,"※这个物料账面已经变成负数了，查一下是不是漏记入库","")))))))))))</f>
        <v/>
      </c>
    </row>
    <row r="1063">
      <c r="A1063" s="24">
        <f>IF($D1063="","",COUNTA($D$4:$D1063))</f>
        <v/>
      </c>
      <c r="B1063" s="17" t="n"/>
      <c r="C1063" s="30" t="n"/>
      <c r="D1063" s="17" t="n"/>
      <c r="E1063" s="24">
        <f>IF($D1063="","",IFERROR(VLOOKUP($D1063,物料档案!$A$4:$P$1203,3,0),"※编码不在物料档案里"))</f>
        <v/>
      </c>
      <c r="F1063" s="24">
        <f>IF($D1063="","",IFERROR(VLOOKUP($D1063,物料档案!$A$4:$P$1203,4,0),"※编码不在物料档案里"))</f>
        <v/>
      </c>
      <c r="G1063" s="24">
        <f>IF($D1063="","",IFERROR(VLOOKUP($D1063,物料档案!$A$4:$P$1203,5,0),"※编码不在物料档案里"))</f>
        <v/>
      </c>
      <c r="H1063" s="24">
        <f>IF($D1063="","",IFERROR(VLOOKUP($D1063,物料档案!$A$4:$P$1203,2,0),"※编码不在物料档案里"))</f>
        <v/>
      </c>
      <c r="I1063" s="24">
        <f>IF($D1063="","",IFERROR(VLOOKUP($D1063,物料档案!$A$4:$P$1203,6,0),"※编码不在物料档案里"))</f>
        <v/>
      </c>
      <c r="J1063" s="23" t="n"/>
      <c r="K1063" s="17" t="n"/>
      <c r="L1063" s="17" t="n"/>
      <c r="M1063" s="17" t="n"/>
      <c r="N1063" s="17" t="n"/>
      <c r="O1063" s="26">
        <f>IF($D1063="","",IFERROR(VLOOKUP($D1063,物料档案!$A$4:$P$1203,10,0),0))</f>
        <v/>
      </c>
      <c r="P1063" s="32" t="n"/>
      <c r="Q1063" s="26">
        <f>IF($D1063="","",IF($K1063&lt;&gt;"对外销售",0,ROUND(N($J1063)*IF($P1063="",N($O1063),N($P1063)),0)))</f>
        <v/>
      </c>
      <c r="R1063" s="26">
        <f>IF($D1063="","",IFERROR(VLOOKUP($D1063,库存台账!$A$5:$Y$1204,11,0),0))</f>
        <v/>
      </c>
      <c r="S1063" s="26">
        <f>IF($D1063="","",ROUND(N($J1063)*N($R1063),0))</f>
        <v/>
      </c>
      <c r="T1063" s="26">
        <f>IF($D1063="","",IF($K1063&lt;&gt;"对外销售","",ROUND($Q1063-$S1063,0)))</f>
        <v/>
      </c>
      <c r="U1063" s="17" t="n"/>
      <c r="V1063" s="17" t="n"/>
      <c r="W1063" s="24">
        <f>IF($D1063="","",IF($E1063="※编码不在物料档案里","※物料编码不在档案里",IF(N($J1063)&lt;=0,"※出库数量要大于 0",IF($K1063="","※没填去向类型",IF($L1063="","※没填去向矿区",IF(AND($C1063&lt;&gt;"",$C1063&lt;=结账锁),"※日期早于已结账截止日，不能再录",IF(AND($K1063="自用消耗",COUNTIF({"一矿区";"二矿区"},$L1063)=0),"※自用消耗的去向只能是一矿区或二矿区",IF(AND($K1063="对外销售",COUNTIF({"三矿区";"六矿区"},$L1063)=0),"※对外销售的去向只能是三矿区或六矿区",IF(AND($K1063="对外销售",ROUND($Q1063,0)=0),"※外销却没有售价，请填实际售价",IF(AND($K1063="对外销售",$T1063&lt;&gt;"",$T1063&lt;0),"※这一笔外销是亏的，请核对售价",IF(IFERROR(VLOOKUP($D1063,库存台账!$A$5:$Y$1204,24,0),0)&lt;-0.001,"※这个物料账面已经变成负数了，查一下是不是漏记入库","")))))))))))</f>
        <v/>
      </c>
    </row>
    <row r="1064">
      <c r="A1064" s="24">
        <f>IF($D1064="","",COUNTA($D$4:$D1064))</f>
        <v/>
      </c>
      <c r="B1064" s="17" t="n"/>
      <c r="C1064" s="30" t="n"/>
      <c r="D1064" s="17" t="n"/>
      <c r="E1064" s="24">
        <f>IF($D1064="","",IFERROR(VLOOKUP($D1064,物料档案!$A$4:$P$1203,3,0),"※编码不在物料档案里"))</f>
        <v/>
      </c>
      <c r="F1064" s="24">
        <f>IF($D1064="","",IFERROR(VLOOKUP($D1064,物料档案!$A$4:$P$1203,4,0),"※编码不在物料档案里"))</f>
        <v/>
      </c>
      <c r="G1064" s="24">
        <f>IF($D1064="","",IFERROR(VLOOKUP($D1064,物料档案!$A$4:$P$1203,5,0),"※编码不在物料档案里"))</f>
        <v/>
      </c>
      <c r="H1064" s="24">
        <f>IF($D1064="","",IFERROR(VLOOKUP($D1064,物料档案!$A$4:$P$1203,2,0),"※编码不在物料档案里"))</f>
        <v/>
      </c>
      <c r="I1064" s="24">
        <f>IF($D1064="","",IFERROR(VLOOKUP($D1064,物料档案!$A$4:$P$1203,6,0),"※编码不在物料档案里"))</f>
        <v/>
      </c>
      <c r="J1064" s="23" t="n"/>
      <c r="K1064" s="17" t="n"/>
      <c r="L1064" s="17" t="n"/>
      <c r="M1064" s="17" t="n"/>
      <c r="N1064" s="17" t="n"/>
      <c r="O1064" s="26">
        <f>IF($D1064="","",IFERROR(VLOOKUP($D1064,物料档案!$A$4:$P$1203,10,0),0))</f>
        <v/>
      </c>
      <c r="P1064" s="32" t="n"/>
      <c r="Q1064" s="26">
        <f>IF($D1064="","",IF($K1064&lt;&gt;"对外销售",0,ROUND(N($J1064)*IF($P1064="",N($O1064),N($P1064)),0)))</f>
        <v/>
      </c>
      <c r="R1064" s="26">
        <f>IF($D1064="","",IFERROR(VLOOKUP($D1064,库存台账!$A$5:$Y$1204,11,0),0))</f>
        <v/>
      </c>
      <c r="S1064" s="26">
        <f>IF($D1064="","",ROUND(N($J1064)*N($R1064),0))</f>
        <v/>
      </c>
      <c r="T1064" s="26">
        <f>IF($D1064="","",IF($K1064&lt;&gt;"对外销售","",ROUND($Q1064-$S1064,0)))</f>
        <v/>
      </c>
      <c r="U1064" s="17" t="n"/>
      <c r="V1064" s="17" t="n"/>
      <c r="W1064" s="24">
        <f>IF($D1064="","",IF($E1064="※编码不在物料档案里","※物料编码不在档案里",IF(N($J1064)&lt;=0,"※出库数量要大于 0",IF($K1064="","※没填去向类型",IF($L1064="","※没填去向矿区",IF(AND($C1064&lt;&gt;"",$C1064&lt;=结账锁),"※日期早于已结账截止日，不能再录",IF(AND($K1064="自用消耗",COUNTIF({"一矿区";"二矿区"},$L1064)=0),"※自用消耗的去向只能是一矿区或二矿区",IF(AND($K1064="对外销售",COUNTIF({"三矿区";"六矿区"},$L1064)=0),"※对外销售的去向只能是三矿区或六矿区",IF(AND($K1064="对外销售",ROUND($Q1064,0)=0),"※外销却没有售价，请填实际售价",IF(AND($K1064="对外销售",$T1064&lt;&gt;"",$T1064&lt;0),"※这一笔外销是亏的，请核对售价",IF(IFERROR(VLOOKUP($D1064,库存台账!$A$5:$Y$1204,24,0),0)&lt;-0.001,"※这个物料账面已经变成负数了，查一下是不是漏记入库","")))))))))))</f>
        <v/>
      </c>
    </row>
    <row r="1065">
      <c r="A1065" s="24">
        <f>IF($D1065="","",COUNTA($D$4:$D1065))</f>
        <v/>
      </c>
      <c r="B1065" s="17" t="n"/>
      <c r="C1065" s="30" t="n"/>
      <c r="D1065" s="17" t="n"/>
      <c r="E1065" s="24">
        <f>IF($D1065="","",IFERROR(VLOOKUP($D1065,物料档案!$A$4:$P$1203,3,0),"※编码不在物料档案里"))</f>
        <v/>
      </c>
      <c r="F1065" s="24">
        <f>IF($D1065="","",IFERROR(VLOOKUP($D1065,物料档案!$A$4:$P$1203,4,0),"※编码不在物料档案里"))</f>
        <v/>
      </c>
      <c r="G1065" s="24">
        <f>IF($D1065="","",IFERROR(VLOOKUP($D1065,物料档案!$A$4:$P$1203,5,0),"※编码不在物料档案里"))</f>
        <v/>
      </c>
      <c r="H1065" s="24">
        <f>IF($D1065="","",IFERROR(VLOOKUP($D1065,物料档案!$A$4:$P$1203,2,0),"※编码不在物料档案里"))</f>
        <v/>
      </c>
      <c r="I1065" s="24">
        <f>IF($D1065="","",IFERROR(VLOOKUP($D1065,物料档案!$A$4:$P$1203,6,0),"※编码不在物料档案里"))</f>
        <v/>
      </c>
      <c r="J1065" s="23" t="n"/>
      <c r="K1065" s="17" t="n"/>
      <c r="L1065" s="17" t="n"/>
      <c r="M1065" s="17" t="n"/>
      <c r="N1065" s="17" t="n"/>
      <c r="O1065" s="26">
        <f>IF($D1065="","",IFERROR(VLOOKUP($D1065,物料档案!$A$4:$P$1203,10,0),0))</f>
        <v/>
      </c>
      <c r="P1065" s="32" t="n"/>
      <c r="Q1065" s="26">
        <f>IF($D1065="","",IF($K1065&lt;&gt;"对外销售",0,ROUND(N($J1065)*IF($P1065="",N($O1065),N($P1065)),0)))</f>
        <v/>
      </c>
      <c r="R1065" s="26">
        <f>IF($D1065="","",IFERROR(VLOOKUP($D1065,库存台账!$A$5:$Y$1204,11,0),0))</f>
        <v/>
      </c>
      <c r="S1065" s="26">
        <f>IF($D1065="","",ROUND(N($J1065)*N($R1065),0))</f>
        <v/>
      </c>
      <c r="T1065" s="26">
        <f>IF($D1065="","",IF($K1065&lt;&gt;"对外销售","",ROUND($Q1065-$S1065,0)))</f>
        <v/>
      </c>
      <c r="U1065" s="17" t="n"/>
      <c r="V1065" s="17" t="n"/>
      <c r="W1065" s="24">
        <f>IF($D1065="","",IF($E1065="※编码不在物料档案里","※物料编码不在档案里",IF(N($J1065)&lt;=0,"※出库数量要大于 0",IF($K1065="","※没填去向类型",IF($L1065="","※没填去向矿区",IF(AND($C1065&lt;&gt;"",$C1065&lt;=结账锁),"※日期早于已结账截止日，不能再录",IF(AND($K1065="自用消耗",COUNTIF({"一矿区";"二矿区"},$L1065)=0),"※自用消耗的去向只能是一矿区或二矿区",IF(AND($K1065="对外销售",COUNTIF({"三矿区";"六矿区"},$L1065)=0),"※对外销售的去向只能是三矿区或六矿区",IF(AND($K1065="对外销售",ROUND($Q1065,0)=0),"※外销却没有售价，请填实际售价",IF(AND($K1065="对外销售",$T1065&lt;&gt;"",$T1065&lt;0),"※这一笔外销是亏的，请核对售价",IF(IFERROR(VLOOKUP($D1065,库存台账!$A$5:$Y$1204,24,0),0)&lt;-0.001,"※这个物料账面已经变成负数了，查一下是不是漏记入库","")))))))))))</f>
        <v/>
      </c>
    </row>
    <row r="1066">
      <c r="A1066" s="24">
        <f>IF($D1066="","",COUNTA($D$4:$D1066))</f>
        <v/>
      </c>
      <c r="B1066" s="17" t="n"/>
      <c r="C1066" s="30" t="n"/>
      <c r="D1066" s="17" t="n"/>
      <c r="E1066" s="24">
        <f>IF($D1066="","",IFERROR(VLOOKUP($D1066,物料档案!$A$4:$P$1203,3,0),"※编码不在物料档案里"))</f>
        <v/>
      </c>
      <c r="F1066" s="24">
        <f>IF($D1066="","",IFERROR(VLOOKUP($D1066,物料档案!$A$4:$P$1203,4,0),"※编码不在物料档案里"))</f>
        <v/>
      </c>
      <c r="G1066" s="24">
        <f>IF($D1066="","",IFERROR(VLOOKUP($D1066,物料档案!$A$4:$P$1203,5,0),"※编码不在物料档案里"))</f>
        <v/>
      </c>
      <c r="H1066" s="24">
        <f>IF($D1066="","",IFERROR(VLOOKUP($D1066,物料档案!$A$4:$P$1203,2,0),"※编码不在物料档案里"))</f>
        <v/>
      </c>
      <c r="I1066" s="24">
        <f>IF($D1066="","",IFERROR(VLOOKUP($D1066,物料档案!$A$4:$P$1203,6,0),"※编码不在物料档案里"))</f>
        <v/>
      </c>
      <c r="J1066" s="23" t="n"/>
      <c r="K1066" s="17" t="n"/>
      <c r="L1066" s="17" t="n"/>
      <c r="M1066" s="17" t="n"/>
      <c r="N1066" s="17" t="n"/>
      <c r="O1066" s="26">
        <f>IF($D1066="","",IFERROR(VLOOKUP($D1066,物料档案!$A$4:$P$1203,10,0),0))</f>
        <v/>
      </c>
      <c r="P1066" s="32" t="n"/>
      <c r="Q1066" s="26">
        <f>IF($D1066="","",IF($K1066&lt;&gt;"对外销售",0,ROUND(N($J1066)*IF($P1066="",N($O1066),N($P1066)),0)))</f>
        <v/>
      </c>
      <c r="R1066" s="26">
        <f>IF($D1066="","",IFERROR(VLOOKUP($D1066,库存台账!$A$5:$Y$1204,11,0),0))</f>
        <v/>
      </c>
      <c r="S1066" s="26">
        <f>IF($D1066="","",ROUND(N($J1066)*N($R1066),0))</f>
        <v/>
      </c>
      <c r="T1066" s="26">
        <f>IF($D1066="","",IF($K1066&lt;&gt;"对外销售","",ROUND($Q1066-$S1066,0)))</f>
        <v/>
      </c>
      <c r="U1066" s="17" t="n"/>
      <c r="V1066" s="17" t="n"/>
      <c r="W1066" s="24">
        <f>IF($D1066="","",IF($E1066="※编码不在物料档案里","※物料编码不在档案里",IF(N($J1066)&lt;=0,"※出库数量要大于 0",IF($K1066="","※没填去向类型",IF($L1066="","※没填去向矿区",IF(AND($C1066&lt;&gt;"",$C1066&lt;=结账锁),"※日期早于已结账截止日，不能再录",IF(AND($K1066="自用消耗",COUNTIF({"一矿区";"二矿区"},$L1066)=0),"※自用消耗的去向只能是一矿区或二矿区",IF(AND($K1066="对外销售",COUNTIF({"三矿区";"六矿区"},$L1066)=0),"※对外销售的去向只能是三矿区或六矿区",IF(AND($K1066="对外销售",ROUND($Q1066,0)=0),"※外销却没有售价，请填实际售价",IF(AND($K1066="对外销售",$T1066&lt;&gt;"",$T1066&lt;0),"※这一笔外销是亏的，请核对售价",IF(IFERROR(VLOOKUP($D1066,库存台账!$A$5:$Y$1204,24,0),0)&lt;-0.001,"※这个物料账面已经变成负数了，查一下是不是漏记入库","")))))))))))</f>
        <v/>
      </c>
    </row>
    <row r="1067">
      <c r="A1067" s="24">
        <f>IF($D1067="","",COUNTA($D$4:$D1067))</f>
        <v/>
      </c>
      <c r="B1067" s="17" t="n"/>
      <c r="C1067" s="30" t="n"/>
      <c r="D1067" s="17" t="n"/>
      <c r="E1067" s="24">
        <f>IF($D1067="","",IFERROR(VLOOKUP($D1067,物料档案!$A$4:$P$1203,3,0),"※编码不在物料档案里"))</f>
        <v/>
      </c>
      <c r="F1067" s="24">
        <f>IF($D1067="","",IFERROR(VLOOKUP($D1067,物料档案!$A$4:$P$1203,4,0),"※编码不在物料档案里"))</f>
        <v/>
      </c>
      <c r="G1067" s="24">
        <f>IF($D1067="","",IFERROR(VLOOKUP($D1067,物料档案!$A$4:$P$1203,5,0),"※编码不在物料档案里"))</f>
        <v/>
      </c>
      <c r="H1067" s="24">
        <f>IF($D1067="","",IFERROR(VLOOKUP($D1067,物料档案!$A$4:$P$1203,2,0),"※编码不在物料档案里"))</f>
        <v/>
      </c>
      <c r="I1067" s="24">
        <f>IF($D1067="","",IFERROR(VLOOKUP($D1067,物料档案!$A$4:$P$1203,6,0),"※编码不在物料档案里"))</f>
        <v/>
      </c>
      <c r="J1067" s="23" t="n"/>
      <c r="K1067" s="17" t="n"/>
      <c r="L1067" s="17" t="n"/>
      <c r="M1067" s="17" t="n"/>
      <c r="N1067" s="17" t="n"/>
      <c r="O1067" s="26">
        <f>IF($D1067="","",IFERROR(VLOOKUP($D1067,物料档案!$A$4:$P$1203,10,0),0))</f>
        <v/>
      </c>
      <c r="P1067" s="32" t="n"/>
      <c r="Q1067" s="26">
        <f>IF($D1067="","",IF($K1067&lt;&gt;"对外销售",0,ROUND(N($J1067)*IF($P1067="",N($O1067),N($P1067)),0)))</f>
        <v/>
      </c>
      <c r="R1067" s="26">
        <f>IF($D1067="","",IFERROR(VLOOKUP($D1067,库存台账!$A$5:$Y$1204,11,0),0))</f>
        <v/>
      </c>
      <c r="S1067" s="26">
        <f>IF($D1067="","",ROUND(N($J1067)*N($R1067),0))</f>
        <v/>
      </c>
      <c r="T1067" s="26">
        <f>IF($D1067="","",IF($K1067&lt;&gt;"对外销售","",ROUND($Q1067-$S1067,0)))</f>
        <v/>
      </c>
      <c r="U1067" s="17" t="n"/>
      <c r="V1067" s="17" t="n"/>
      <c r="W1067" s="24">
        <f>IF($D1067="","",IF($E1067="※编码不在物料档案里","※物料编码不在档案里",IF(N($J1067)&lt;=0,"※出库数量要大于 0",IF($K1067="","※没填去向类型",IF($L1067="","※没填去向矿区",IF(AND($C1067&lt;&gt;"",$C1067&lt;=结账锁),"※日期早于已结账截止日，不能再录",IF(AND($K1067="自用消耗",COUNTIF({"一矿区";"二矿区"},$L1067)=0),"※自用消耗的去向只能是一矿区或二矿区",IF(AND($K1067="对外销售",COUNTIF({"三矿区";"六矿区"},$L1067)=0),"※对外销售的去向只能是三矿区或六矿区",IF(AND($K1067="对外销售",ROUND($Q1067,0)=0),"※外销却没有售价，请填实际售价",IF(AND($K1067="对外销售",$T1067&lt;&gt;"",$T1067&lt;0),"※这一笔外销是亏的，请核对售价",IF(IFERROR(VLOOKUP($D1067,库存台账!$A$5:$Y$1204,24,0),0)&lt;-0.001,"※这个物料账面已经变成负数了，查一下是不是漏记入库","")))))))))))</f>
        <v/>
      </c>
    </row>
    <row r="1068">
      <c r="A1068" s="24">
        <f>IF($D1068="","",COUNTA($D$4:$D1068))</f>
        <v/>
      </c>
      <c r="B1068" s="17" t="n"/>
      <c r="C1068" s="30" t="n"/>
      <c r="D1068" s="17" t="n"/>
      <c r="E1068" s="24">
        <f>IF($D1068="","",IFERROR(VLOOKUP($D1068,物料档案!$A$4:$P$1203,3,0),"※编码不在物料档案里"))</f>
        <v/>
      </c>
      <c r="F1068" s="24">
        <f>IF($D1068="","",IFERROR(VLOOKUP($D1068,物料档案!$A$4:$P$1203,4,0),"※编码不在物料档案里"))</f>
        <v/>
      </c>
      <c r="G1068" s="24">
        <f>IF($D1068="","",IFERROR(VLOOKUP($D1068,物料档案!$A$4:$P$1203,5,0),"※编码不在物料档案里"))</f>
        <v/>
      </c>
      <c r="H1068" s="24">
        <f>IF($D1068="","",IFERROR(VLOOKUP($D1068,物料档案!$A$4:$P$1203,2,0),"※编码不在物料档案里"))</f>
        <v/>
      </c>
      <c r="I1068" s="24">
        <f>IF($D1068="","",IFERROR(VLOOKUP($D1068,物料档案!$A$4:$P$1203,6,0),"※编码不在物料档案里"))</f>
        <v/>
      </c>
      <c r="J1068" s="23" t="n"/>
      <c r="K1068" s="17" t="n"/>
      <c r="L1068" s="17" t="n"/>
      <c r="M1068" s="17" t="n"/>
      <c r="N1068" s="17" t="n"/>
      <c r="O1068" s="26">
        <f>IF($D1068="","",IFERROR(VLOOKUP($D1068,物料档案!$A$4:$P$1203,10,0),0))</f>
        <v/>
      </c>
      <c r="P1068" s="32" t="n"/>
      <c r="Q1068" s="26">
        <f>IF($D1068="","",IF($K1068&lt;&gt;"对外销售",0,ROUND(N($J1068)*IF($P1068="",N($O1068),N($P1068)),0)))</f>
        <v/>
      </c>
      <c r="R1068" s="26">
        <f>IF($D1068="","",IFERROR(VLOOKUP($D1068,库存台账!$A$5:$Y$1204,11,0),0))</f>
        <v/>
      </c>
      <c r="S1068" s="26">
        <f>IF($D1068="","",ROUND(N($J1068)*N($R1068),0))</f>
        <v/>
      </c>
      <c r="T1068" s="26">
        <f>IF($D1068="","",IF($K1068&lt;&gt;"对外销售","",ROUND($Q1068-$S1068,0)))</f>
        <v/>
      </c>
      <c r="U1068" s="17" t="n"/>
      <c r="V1068" s="17" t="n"/>
      <c r="W1068" s="24">
        <f>IF($D1068="","",IF($E1068="※编码不在物料档案里","※物料编码不在档案里",IF(N($J1068)&lt;=0,"※出库数量要大于 0",IF($K1068="","※没填去向类型",IF($L1068="","※没填去向矿区",IF(AND($C1068&lt;&gt;"",$C1068&lt;=结账锁),"※日期早于已结账截止日，不能再录",IF(AND($K1068="自用消耗",COUNTIF({"一矿区";"二矿区"},$L1068)=0),"※自用消耗的去向只能是一矿区或二矿区",IF(AND($K1068="对外销售",COUNTIF({"三矿区";"六矿区"},$L1068)=0),"※对外销售的去向只能是三矿区或六矿区",IF(AND($K1068="对外销售",ROUND($Q1068,0)=0),"※外销却没有售价，请填实际售价",IF(AND($K1068="对外销售",$T1068&lt;&gt;"",$T1068&lt;0),"※这一笔外销是亏的，请核对售价",IF(IFERROR(VLOOKUP($D1068,库存台账!$A$5:$Y$1204,24,0),0)&lt;-0.001,"※这个物料账面已经变成负数了，查一下是不是漏记入库","")))))))))))</f>
        <v/>
      </c>
    </row>
    <row r="1069">
      <c r="A1069" s="24">
        <f>IF($D1069="","",COUNTA($D$4:$D1069))</f>
        <v/>
      </c>
      <c r="B1069" s="17" t="n"/>
      <c r="C1069" s="30" t="n"/>
      <c r="D1069" s="17" t="n"/>
      <c r="E1069" s="24">
        <f>IF($D1069="","",IFERROR(VLOOKUP($D1069,物料档案!$A$4:$P$1203,3,0),"※编码不在物料档案里"))</f>
        <v/>
      </c>
      <c r="F1069" s="24">
        <f>IF($D1069="","",IFERROR(VLOOKUP($D1069,物料档案!$A$4:$P$1203,4,0),"※编码不在物料档案里"))</f>
        <v/>
      </c>
      <c r="G1069" s="24">
        <f>IF($D1069="","",IFERROR(VLOOKUP($D1069,物料档案!$A$4:$P$1203,5,0),"※编码不在物料档案里"))</f>
        <v/>
      </c>
      <c r="H1069" s="24">
        <f>IF($D1069="","",IFERROR(VLOOKUP($D1069,物料档案!$A$4:$P$1203,2,0),"※编码不在物料档案里"))</f>
        <v/>
      </c>
      <c r="I1069" s="24">
        <f>IF($D1069="","",IFERROR(VLOOKUP($D1069,物料档案!$A$4:$P$1203,6,0),"※编码不在物料档案里"))</f>
        <v/>
      </c>
      <c r="J1069" s="23" t="n"/>
      <c r="K1069" s="17" t="n"/>
      <c r="L1069" s="17" t="n"/>
      <c r="M1069" s="17" t="n"/>
      <c r="N1069" s="17" t="n"/>
      <c r="O1069" s="26">
        <f>IF($D1069="","",IFERROR(VLOOKUP($D1069,物料档案!$A$4:$P$1203,10,0),0))</f>
        <v/>
      </c>
      <c r="P1069" s="32" t="n"/>
      <c r="Q1069" s="26">
        <f>IF($D1069="","",IF($K1069&lt;&gt;"对外销售",0,ROUND(N($J1069)*IF($P1069="",N($O1069),N($P1069)),0)))</f>
        <v/>
      </c>
      <c r="R1069" s="26">
        <f>IF($D1069="","",IFERROR(VLOOKUP($D1069,库存台账!$A$5:$Y$1204,11,0),0))</f>
        <v/>
      </c>
      <c r="S1069" s="26">
        <f>IF($D1069="","",ROUND(N($J1069)*N($R1069),0))</f>
        <v/>
      </c>
      <c r="T1069" s="26">
        <f>IF($D1069="","",IF($K1069&lt;&gt;"对外销售","",ROUND($Q1069-$S1069,0)))</f>
        <v/>
      </c>
      <c r="U1069" s="17" t="n"/>
      <c r="V1069" s="17" t="n"/>
      <c r="W1069" s="24">
        <f>IF($D1069="","",IF($E1069="※编码不在物料档案里","※物料编码不在档案里",IF(N($J1069)&lt;=0,"※出库数量要大于 0",IF($K1069="","※没填去向类型",IF($L1069="","※没填去向矿区",IF(AND($C1069&lt;&gt;"",$C1069&lt;=结账锁),"※日期早于已结账截止日，不能再录",IF(AND($K1069="自用消耗",COUNTIF({"一矿区";"二矿区"},$L1069)=0),"※自用消耗的去向只能是一矿区或二矿区",IF(AND($K1069="对外销售",COUNTIF({"三矿区";"六矿区"},$L1069)=0),"※对外销售的去向只能是三矿区或六矿区",IF(AND($K1069="对外销售",ROUND($Q1069,0)=0),"※外销却没有售价，请填实际售价",IF(AND($K1069="对外销售",$T1069&lt;&gt;"",$T1069&lt;0),"※这一笔外销是亏的，请核对售价",IF(IFERROR(VLOOKUP($D1069,库存台账!$A$5:$Y$1204,24,0),0)&lt;-0.001,"※这个物料账面已经变成负数了，查一下是不是漏记入库","")))))))))))</f>
        <v/>
      </c>
    </row>
    <row r="1070">
      <c r="A1070" s="24">
        <f>IF($D1070="","",COUNTA($D$4:$D1070))</f>
        <v/>
      </c>
      <c r="B1070" s="17" t="n"/>
      <c r="C1070" s="30" t="n"/>
      <c r="D1070" s="17" t="n"/>
      <c r="E1070" s="24">
        <f>IF($D1070="","",IFERROR(VLOOKUP($D1070,物料档案!$A$4:$P$1203,3,0),"※编码不在物料档案里"))</f>
        <v/>
      </c>
      <c r="F1070" s="24">
        <f>IF($D1070="","",IFERROR(VLOOKUP($D1070,物料档案!$A$4:$P$1203,4,0),"※编码不在物料档案里"))</f>
        <v/>
      </c>
      <c r="G1070" s="24">
        <f>IF($D1070="","",IFERROR(VLOOKUP($D1070,物料档案!$A$4:$P$1203,5,0),"※编码不在物料档案里"))</f>
        <v/>
      </c>
      <c r="H1070" s="24">
        <f>IF($D1070="","",IFERROR(VLOOKUP($D1070,物料档案!$A$4:$P$1203,2,0),"※编码不在物料档案里"))</f>
        <v/>
      </c>
      <c r="I1070" s="24">
        <f>IF($D1070="","",IFERROR(VLOOKUP($D1070,物料档案!$A$4:$P$1203,6,0),"※编码不在物料档案里"))</f>
        <v/>
      </c>
      <c r="J1070" s="23" t="n"/>
      <c r="K1070" s="17" t="n"/>
      <c r="L1070" s="17" t="n"/>
      <c r="M1070" s="17" t="n"/>
      <c r="N1070" s="17" t="n"/>
      <c r="O1070" s="26">
        <f>IF($D1070="","",IFERROR(VLOOKUP($D1070,物料档案!$A$4:$P$1203,10,0),0))</f>
        <v/>
      </c>
      <c r="P1070" s="32" t="n"/>
      <c r="Q1070" s="26">
        <f>IF($D1070="","",IF($K1070&lt;&gt;"对外销售",0,ROUND(N($J1070)*IF($P1070="",N($O1070),N($P1070)),0)))</f>
        <v/>
      </c>
      <c r="R1070" s="26">
        <f>IF($D1070="","",IFERROR(VLOOKUP($D1070,库存台账!$A$5:$Y$1204,11,0),0))</f>
        <v/>
      </c>
      <c r="S1070" s="26">
        <f>IF($D1070="","",ROUND(N($J1070)*N($R1070),0))</f>
        <v/>
      </c>
      <c r="T1070" s="26">
        <f>IF($D1070="","",IF($K1070&lt;&gt;"对外销售","",ROUND($Q1070-$S1070,0)))</f>
        <v/>
      </c>
      <c r="U1070" s="17" t="n"/>
      <c r="V1070" s="17" t="n"/>
      <c r="W1070" s="24">
        <f>IF($D1070="","",IF($E1070="※编码不在物料档案里","※物料编码不在档案里",IF(N($J1070)&lt;=0,"※出库数量要大于 0",IF($K1070="","※没填去向类型",IF($L1070="","※没填去向矿区",IF(AND($C1070&lt;&gt;"",$C1070&lt;=结账锁),"※日期早于已结账截止日，不能再录",IF(AND($K1070="自用消耗",COUNTIF({"一矿区";"二矿区"},$L1070)=0),"※自用消耗的去向只能是一矿区或二矿区",IF(AND($K1070="对外销售",COUNTIF({"三矿区";"六矿区"},$L1070)=0),"※对外销售的去向只能是三矿区或六矿区",IF(AND($K1070="对外销售",ROUND($Q1070,0)=0),"※外销却没有售价，请填实际售价",IF(AND($K1070="对外销售",$T1070&lt;&gt;"",$T1070&lt;0),"※这一笔外销是亏的，请核对售价",IF(IFERROR(VLOOKUP($D1070,库存台账!$A$5:$Y$1204,24,0),0)&lt;-0.001,"※这个物料账面已经变成负数了，查一下是不是漏记入库","")))))))))))</f>
        <v/>
      </c>
    </row>
    <row r="1071">
      <c r="A1071" s="24">
        <f>IF($D1071="","",COUNTA($D$4:$D1071))</f>
        <v/>
      </c>
      <c r="B1071" s="17" t="n"/>
      <c r="C1071" s="30" t="n"/>
      <c r="D1071" s="17" t="n"/>
      <c r="E1071" s="24">
        <f>IF($D1071="","",IFERROR(VLOOKUP($D1071,物料档案!$A$4:$P$1203,3,0),"※编码不在物料档案里"))</f>
        <v/>
      </c>
      <c r="F1071" s="24">
        <f>IF($D1071="","",IFERROR(VLOOKUP($D1071,物料档案!$A$4:$P$1203,4,0),"※编码不在物料档案里"))</f>
        <v/>
      </c>
      <c r="G1071" s="24">
        <f>IF($D1071="","",IFERROR(VLOOKUP($D1071,物料档案!$A$4:$P$1203,5,0),"※编码不在物料档案里"))</f>
        <v/>
      </c>
      <c r="H1071" s="24">
        <f>IF($D1071="","",IFERROR(VLOOKUP($D1071,物料档案!$A$4:$P$1203,2,0),"※编码不在物料档案里"))</f>
        <v/>
      </c>
      <c r="I1071" s="24">
        <f>IF($D1071="","",IFERROR(VLOOKUP($D1071,物料档案!$A$4:$P$1203,6,0),"※编码不在物料档案里"))</f>
        <v/>
      </c>
      <c r="J1071" s="23" t="n"/>
      <c r="K1071" s="17" t="n"/>
      <c r="L1071" s="17" t="n"/>
      <c r="M1071" s="17" t="n"/>
      <c r="N1071" s="17" t="n"/>
      <c r="O1071" s="26">
        <f>IF($D1071="","",IFERROR(VLOOKUP($D1071,物料档案!$A$4:$P$1203,10,0),0))</f>
        <v/>
      </c>
      <c r="P1071" s="32" t="n"/>
      <c r="Q1071" s="26">
        <f>IF($D1071="","",IF($K1071&lt;&gt;"对外销售",0,ROUND(N($J1071)*IF($P1071="",N($O1071),N($P1071)),0)))</f>
        <v/>
      </c>
      <c r="R1071" s="26">
        <f>IF($D1071="","",IFERROR(VLOOKUP($D1071,库存台账!$A$5:$Y$1204,11,0),0))</f>
        <v/>
      </c>
      <c r="S1071" s="26">
        <f>IF($D1071="","",ROUND(N($J1071)*N($R1071),0))</f>
        <v/>
      </c>
      <c r="T1071" s="26">
        <f>IF($D1071="","",IF($K1071&lt;&gt;"对外销售","",ROUND($Q1071-$S1071,0)))</f>
        <v/>
      </c>
      <c r="U1071" s="17" t="n"/>
      <c r="V1071" s="17" t="n"/>
      <c r="W1071" s="24">
        <f>IF($D1071="","",IF($E1071="※编码不在物料档案里","※物料编码不在档案里",IF(N($J1071)&lt;=0,"※出库数量要大于 0",IF($K1071="","※没填去向类型",IF($L1071="","※没填去向矿区",IF(AND($C1071&lt;&gt;"",$C1071&lt;=结账锁),"※日期早于已结账截止日，不能再录",IF(AND($K1071="自用消耗",COUNTIF({"一矿区";"二矿区"},$L1071)=0),"※自用消耗的去向只能是一矿区或二矿区",IF(AND($K1071="对外销售",COUNTIF({"三矿区";"六矿区"},$L1071)=0),"※对外销售的去向只能是三矿区或六矿区",IF(AND($K1071="对外销售",ROUND($Q1071,0)=0),"※外销却没有售价，请填实际售价",IF(AND($K1071="对外销售",$T1071&lt;&gt;"",$T1071&lt;0),"※这一笔外销是亏的，请核对售价",IF(IFERROR(VLOOKUP($D1071,库存台账!$A$5:$Y$1204,24,0),0)&lt;-0.001,"※这个物料账面已经变成负数了，查一下是不是漏记入库","")))))))))))</f>
        <v/>
      </c>
    </row>
    <row r="1072">
      <c r="A1072" s="24">
        <f>IF($D1072="","",COUNTA($D$4:$D1072))</f>
        <v/>
      </c>
      <c r="B1072" s="17" t="n"/>
      <c r="C1072" s="30" t="n"/>
      <c r="D1072" s="17" t="n"/>
      <c r="E1072" s="24">
        <f>IF($D1072="","",IFERROR(VLOOKUP($D1072,物料档案!$A$4:$P$1203,3,0),"※编码不在物料档案里"))</f>
        <v/>
      </c>
      <c r="F1072" s="24">
        <f>IF($D1072="","",IFERROR(VLOOKUP($D1072,物料档案!$A$4:$P$1203,4,0),"※编码不在物料档案里"))</f>
        <v/>
      </c>
      <c r="G1072" s="24">
        <f>IF($D1072="","",IFERROR(VLOOKUP($D1072,物料档案!$A$4:$P$1203,5,0),"※编码不在物料档案里"))</f>
        <v/>
      </c>
      <c r="H1072" s="24">
        <f>IF($D1072="","",IFERROR(VLOOKUP($D1072,物料档案!$A$4:$P$1203,2,0),"※编码不在物料档案里"))</f>
        <v/>
      </c>
      <c r="I1072" s="24">
        <f>IF($D1072="","",IFERROR(VLOOKUP($D1072,物料档案!$A$4:$P$1203,6,0),"※编码不在物料档案里"))</f>
        <v/>
      </c>
      <c r="J1072" s="23" t="n"/>
      <c r="K1072" s="17" t="n"/>
      <c r="L1072" s="17" t="n"/>
      <c r="M1072" s="17" t="n"/>
      <c r="N1072" s="17" t="n"/>
      <c r="O1072" s="26">
        <f>IF($D1072="","",IFERROR(VLOOKUP($D1072,物料档案!$A$4:$P$1203,10,0),0))</f>
        <v/>
      </c>
      <c r="P1072" s="32" t="n"/>
      <c r="Q1072" s="26">
        <f>IF($D1072="","",IF($K1072&lt;&gt;"对外销售",0,ROUND(N($J1072)*IF($P1072="",N($O1072),N($P1072)),0)))</f>
        <v/>
      </c>
      <c r="R1072" s="26">
        <f>IF($D1072="","",IFERROR(VLOOKUP($D1072,库存台账!$A$5:$Y$1204,11,0),0))</f>
        <v/>
      </c>
      <c r="S1072" s="26">
        <f>IF($D1072="","",ROUND(N($J1072)*N($R1072),0))</f>
        <v/>
      </c>
      <c r="T1072" s="26">
        <f>IF($D1072="","",IF($K1072&lt;&gt;"对外销售","",ROUND($Q1072-$S1072,0)))</f>
        <v/>
      </c>
      <c r="U1072" s="17" t="n"/>
      <c r="V1072" s="17" t="n"/>
      <c r="W1072" s="24">
        <f>IF($D1072="","",IF($E1072="※编码不在物料档案里","※物料编码不在档案里",IF(N($J1072)&lt;=0,"※出库数量要大于 0",IF($K1072="","※没填去向类型",IF($L1072="","※没填去向矿区",IF(AND($C1072&lt;&gt;"",$C1072&lt;=结账锁),"※日期早于已结账截止日，不能再录",IF(AND($K1072="自用消耗",COUNTIF({"一矿区";"二矿区"},$L1072)=0),"※自用消耗的去向只能是一矿区或二矿区",IF(AND($K1072="对外销售",COUNTIF({"三矿区";"六矿区"},$L1072)=0),"※对外销售的去向只能是三矿区或六矿区",IF(AND($K1072="对外销售",ROUND($Q1072,0)=0),"※外销却没有售价，请填实际售价",IF(AND($K1072="对外销售",$T1072&lt;&gt;"",$T1072&lt;0),"※这一笔外销是亏的，请核对售价",IF(IFERROR(VLOOKUP($D1072,库存台账!$A$5:$Y$1204,24,0),0)&lt;-0.001,"※这个物料账面已经变成负数了，查一下是不是漏记入库","")))))))))))</f>
        <v/>
      </c>
    </row>
    <row r="1073">
      <c r="A1073" s="24">
        <f>IF($D1073="","",COUNTA($D$4:$D1073))</f>
        <v/>
      </c>
      <c r="B1073" s="17" t="n"/>
      <c r="C1073" s="30" t="n"/>
      <c r="D1073" s="17" t="n"/>
      <c r="E1073" s="24">
        <f>IF($D1073="","",IFERROR(VLOOKUP($D1073,物料档案!$A$4:$P$1203,3,0),"※编码不在物料档案里"))</f>
        <v/>
      </c>
      <c r="F1073" s="24">
        <f>IF($D1073="","",IFERROR(VLOOKUP($D1073,物料档案!$A$4:$P$1203,4,0),"※编码不在物料档案里"))</f>
        <v/>
      </c>
      <c r="G1073" s="24">
        <f>IF($D1073="","",IFERROR(VLOOKUP($D1073,物料档案!$A$4:$P$1203,5,0),"※编码不在物料档案里"))</f>
        <v/>
      </c>
      <c r="H1073" s="24">
        <f>IF($D1073="","",IFERROR(VLOOKUP($D1073,物料档案!$A$4:$P$1203,2,0),"※编码不在物料档案里"))</f>
        <v/>
      </c>
      <c r="I1073" s="24">
        <f>IF($D1073="","",IFERROR(VLOOKUP($D1073,物料档案!$A$4:$P$1203,6,0),"※编码不在物料档案里"))</f>
        <v/>
      </c>
      <c r="J1073" s="23" t="n"/>
      <c r="K1073" s="17" t="n"/>
      <c r="L1073" s="17" t="n"/>
      <c r="M1073" s="17" t="n"/>
      <c r="N1073" s="17" t="n"/>
      <c r="O1073" s="26">
        <f>IF($D1073="","",IFERROR(VLOOKUP($D1073,物料档案!$A$4:$P$1203,10,0),0))</f>
        <v/>
      </c>
      <c r="P1073" s="32" t="n"/>
      <c r="Q1073" s="26">
        <f>IF($D1073="","",IF($K1073&lt;&gt;"对外销售",0,ROUND(N($J1073)*IF($P1073="",N($O1073),N($P1073)),0)))</f>
        <v/>
      </c>
      <c r="R1073" s="26">
        <f>IF($D1073="","",IFERROR(VLOOKUP($D1073,库存台账!$A$5:$Y$1204,11,0),0))</f>
        <v/>
      </c>
      <c r="S1073" s="26">
        <f>IF($D1073="","",ROUND(N($J1073)*N($R1073),0))</f>
        <v/>
      </c>
      <c r="T1073" s="26">
        <f>IF($D1073="","",IF($K1073&lt;&gt;"对外销售","",ROUND($Q1073-$S1073,0)))</f>
        <v/>
      </c>
      <c r="U1073" s="17" t="n"/>
      <c r="V1073" s="17" t="n"/>
      <c r="W1073" s="24">
        <f>IF($D1073="","",IF($E1073="※编码不在物料档案里","※物料编码不在档案里",IF(N($J1073)&lt;=0,"※出库数量要大于 0",IF($K1073="","※没填去向类型",IF($L1073="","※没填去向矿区",IF(AND($C1073&lt;&gt;"",$C1073&lt;=结账锁),"※日期早于已结账截止日，不能再录",IF(AND($K1073="自用消耗",COUNTIF({"一矿区";"二矿区"},$L1073)=0),"※自用消耗的去向只能是一矿区或二矿区",IF(AND($K1073="对外销售",COUNTIF({"三矿区";"六矿区"},$L1073)=0),"※对外销售的去向只能是三矿区或六矿区",IF(AND($K1073="对外销售",ROUND($Q1073,0)=0),"※外销却没有售价，请填实际售价",IF(AND($K1073="对外销售",$T1073&lt;&gt;"",$T1073&lt;0),"※这一笔外销是亏的，请核对售价",IF(IFERROR(VLOOKUP($D1073,库存台账!$A$5:$Y$1204,24,0),0)&lt;-0.001,"※这个物料账面已经变成负数了，查一下是不是漏记入库","")))))))))))</f>
        <v/>
      </c>
    </row>
    <row r="1074">
      <c r="A1074" s="24">
        <f>IF($D1074="","",COUNTA($D$4:$D1074))</f>
        <v/>
      </c>
      <c r="B1074" s="17" t="n"/>
      <c r="C1074" s="30" t="n"/>
      <c r="D1074" s="17" t="n"/>
      <c r="E1074" s="24">
        <f>IF($D1074="","",IFERROR(VLOOKUP($D1074,物料档案!$A$4:$P$1203,3,0),"※编码不在物料档案里"))</f>
        <v/>
      </c>
      <c r="F1074" s="24">
        <f>IF($D1074="","",IFERROR(VLOOKUP($D1074,物料档案!$A$4:$P$1203,4,0),"※编码不在物料档案里"))</f>
        <v/>
      </c>
      <c r="G1074" s="24">
        <f>IF($D1074="","",IFERROR(VLOOKUP($D1074,物料档案!$A$4:$P$1203,5,0),"※编码不在物料档案里"))</f>
        <v/>
      </c>
      <c r="H1074" s="24">
        <f>IF($D1074="","",IFERROR(VLOOKUP($D1074,物料档案!$A$4:$P$1203,2,0),"※编码不在物料档案里"))</f>
        <v/>
      </c>
      <c r="I1074" s="24">
        <f>IF($D1074="","",IFERROR(VLOOKUP($D1074,物料档案!$A$4:$P$1203,6,0),"※编码不在物料档案里"))</f>
        <v/>
      </c>
      <c r="J1074" s="23" t="n"/>
      <c r="K1074" s="17" t="n"/>
      <c r="L1074" s="17" t="n"/>
      <c r="M1074" s="17" t="n"/>
      <c r="N1074" s="17" t="n"/>
      <c r="O1074" s="26">
        <f>IF($D1074="","",IFERROR(VLOOKUP($D1074,物料档案!$A$4:$P$1203,10,0),0))</f>
        <v/>
      </c>
      <c r="P1074" s="32" t="n"/>
      <c r="Q1074" s="26">
        <f>IF($D1074="","",IF($K1074&lt;&gt;"对外销售",0,ROUND(N($J1074)*IF($P1074="",N($O1074),N($P1074)),0)))</f>
        <v/>
      </c>
      <c r="R1074" s="26">
        <f>IF($D1074="","",IFERROR(VLOOKUP($D1074,库存台账!$A$5:$Y$1204,11,0),0))</f>
        <v/>
      </c>
      <c r="S1074" s="26">
        <f>IF($D1074="","",ROUND(N($J1074)*N($R1074),0))</f>
        <v/>
      </c>
      <c r="T1074" s="26">
        <f>IF($D1074="","",IF($K1074&lt;&gt;"对外销售","",ROUND($Q1074-$S1074,0)))</f>
        <v/>
      </c>
      <c r="U1074" s="17" t="n"/>
      <c r="V1074" s="17" t="n"/>
      <c r="W1074" s="24">
        <f>IF($D1074="","",IF($E1074="※编码不在物料档案里","※物料编码不在档案里",IF(N($J1074)&lt;=0,"※出库数量要大于 0",IF($K1074="","※没填去向类型",IF($L1074="","※没填去向矿区",IF(AND($C1074&lt;&gt;"",$C1074&lt;=结账锁),"※日期早于已结账截止日，不能再录",IF(AND($K1074="自用消耗",COUNTIF({"一矿区";"二矿区"},$L1074)=0),"※自用消耗的去向只能是一矿区或二矿区",IF(AND($K1074="对外销售",COUNTIF({"三矿区";"六矿区"},$L1074)=0),"※对外销售的去向只能是三矿区或六矿区",IF(AND($K1074="对外销售",ROUND($Q1074,0)=0),"※外销却没有售价，请填实际售价",IF(AND($K1074="对外销售",$T1074&lt;&gt;"",$T1074&lt;0),"※这一笔外销是亏的，请核对售价",IF(IFERROR(VLOOKUP($D1074,库存台账!$A$5:$Y$1204,24,0),0)&lt;-0.001,"※这个物料账面已经变成负数了，查一下是不是漏记入库","")))))))))))</f>
        <v/>
      </c>
    </row>
    <row r="1075">
      <c r="A1075" s="24">
        <f>IF($D1075="","",COUNTA($D$4:$D1075))</f>
        <v/>
      </c>
      <c r="B1075" s="17" t="n"/>
      <c r="C1075" s="30" t="n"/>
      <c r="D1075" s="17" t="n"/>
      <c r="E1075" s="24">
        <f>IF($D1075="","",IFERROR(VLOOKUP($D1075,物料档案!$A$4:$P$1203,3,0),"※编码不在物料档案里"))</f>
        <v/>
      </c>
      <c r="F1075" s="24">
        <f>IF($D1075="","",IFERROR(VLOOKUP($D1075,物料档案!$A$4:$P$1203,4,0),"※编码不在物料档案里"))</f>
        <v/>
      </c>
      <c r="G1075" s="24">
        <f>IF($D1075="","",IFERROR(VLOOKUP($D1075,物料档案!$A$4:$P$1203,5,0),"※编码不在物料档案里"))</f>
        <v/>
      </c>
      <c r="H1075" s="24">
        <f>IF($D1075="","",IFERROR(VLOOKUP($D1075,物料档案!$A$4:$P$1203,2,0),"※编码不在物料档案里"))</f>
        <v/>
      </c>
      <c r="I1075" s="24">
        <f>IF($D1075="","",IFERROR(VLOOKUP($D1075,物料档案!$A$4:$P$1203,6,0),"※编码不在物料档案里"))</f>
        <v/>
      </c>
      <c r="J1075" s="23" t="n"/>
      <c r="K1075" s="17" t="n"/>
      <c r="L1075" s="17" t="n"/>
      <c r="M1075" s="17" t="n"/>
      <c r="N1075" s="17" t="n"/>
      <c r="O1075" s="26">
        <f>IF($D1075="","",IFERROR(VLOOKUP($D1075,物料档案!$A$4:$P$1203,10,0),0))</f>
        <v/>
      </c>
      <c r="P1075" s="32" t="n"/>
      <c r="Q1075" s="26">
        <f>IF($D1075="","",IF($K1075&lt;&gt;"对外销售",0,ROUND(N($J1075)*IF($P1075="",N($O1075),N($P1075)),0)))</f>
        <v/>
      </c>
      <c r="R1075" s="26">
        <f>IF($D1075="","",IFERROR(VLOOKUP($D1075,库存台账!$A$5:$Y$1204,11,0),0))</f>
        <v/>
      </c>
      <c r="S1075" s="26">
        <f>IF($D1075="","",ROUND(N($J1075)*N($R1075),0))</f>
        <v/>
      </c>
      <c r="T1075" s="26">
        <f>IF($D1075="","",IF($K1075&lt;&gt;"对外销售","",ROUND($Q1075-$S1075,0)))</f>
        <v/>
      </c>
      <c r="U1075" s="17" t="n"/>
      <c r="V1075" s="17" t="n"/>
      <c r="W1075" s="24">
        <f>IF($D1075="","",IF($E1075="※编码不在物料档案里","※物料编码不在档案里",IF(N($J1075)&lt;=0,"※出库数量要大于 0",IF($K1075="","※没填去向类型",IF($L1075="","※没填去向矿区",IF(AND($C1075&lt;&gt;"",$C1075&lt;=结账锁),"※日期早于已结账截止日，不能再录",IF(AND($K1075="自用消耗",COUNTIF({"一矿区";"二矿区"},$L1075)=0),"※自用消耗的去向只能是一矿区或二矿区",IF(AND($K1075="对外销售",COUNTIF({"三矿区";"六矿区"},$L1075)=0),"※对外销售的去向只能是三矿区或六矿区",IF(AND($K1075="对外销售",ROUND($Q1075,0)=0),"※外销却没有售价，请填实际售价",IF(AND($K1075="对外销售",$T1075&lt;&gt;"",$T1075&lt;0),"※这一笔外销是亏的，请核对售价",IF(IFERROR(VLOOKUP($D1075,库存台账!$A$5:$Y$1204,24,0),0)&lt;-0.001,"※这个物料账面已经变成负数了，查一下是不是漏记入库","")))))))))))</f>
        <v/>
      </c>
    </row>
    <row r="1076">
      <c r="A1076" s="24">
        <f>IF($D1076="","",COUNTA($D$4:$D1076))</f>
        <v/>
      </c>
      <c r="B1076" s="17" t="n"/>
      <c r="C1076" s="30" t="n"/>
      <c r="D1076" s="17" t="n"/>
      <c r="E1076" s="24">
        <f>IF($D1076="","",IFERROR(VLOOKUP($D1076,物料档案!$A$4:$P$1203,3,0),"※编码不在物料档案里"))</f>
        <v/>
      </c>
      <c r="F1076" s="24">
        <f>IF($D1076="","",IFERROR(VLOOKUP($D1076,物料档案!$A$4:$P$1203,4,0),"※编码不在物料档案里"))</f>
        <v/>
      </c>
      <c r="G1076" s="24">
        <f>IF($D1076="","",IFERROR(VLOOKUP($D1076,物料档案!$A$4:$P$1203,5,0),"※编码不在物料档案里"))</f>
        <v/>
      </c>
      <c r="H1076" s="24">
        <f>IF($D1076="","",IFERROR(VLOOKUP($D1076,物料档案!$A$4:$P$1203,2,0),"※编码不在物料档案里"))</f>
        <v/>
      </c>
      <c r="I1076" s="24">
        <f>IF($D1076="","",IFERROR(VLOOKUP($D1076,物料档案!$A$4:$P$1203,6,0),"※编码不在物料档案里"))</f>
        <v/>
      </c>
      <c r="J1076" s="23" t="n"/>
      <c r="K1076" s="17" t="n"/>
      <c r="L1076" s="17" t="n"/>
      <c r="M1076" s="17" t="n"/>
      <c r="N1076" s="17" t="n"/>
      <c r="O1076" s="26">
        <f>IF($D1076="","",IFERROR(VLOOKUP($D1076,物料档案!$A$4:$P$1203,10,0),0))</f>
        <v/>
      </c>
      <c r="P1076" s="32" t="n"/>
      <c r="Q1076" s="26">
        <f>IF($D1076="","",IF($K1076&lt;&gt;"对外销售",0,ROUND(N($J1076)*IF($P1076="",N($O1076),N($P1076)),0)))</f>
        <v/>
      </c>
      <c r="R1076" s="26">
        <f>IF($D1076="","",IFERROR(VLOOKUP($D1076,库存台账!$A$5:$Y$1204,11,0),0))</f>
        <v/>
      </c>
      <c r="S1076" s="26">
        <f>IF($D1076="","",ROUND(N($J1076)*N($R1076),0))</f>
        <v/>
      </c>
      <c r="T1076" s="26">
        <f>IF($D1076="","",IF($K1076&lt;&gt;"对外销售","",ROUND($Q1076-$S1076,0)))</f>
        <v/>
      </c>
      <c r="U1076" s="17" t="n"/>
      <c r="V1076" s="17" t="n"/>
      <c r="W1076" s="24">
        <f>IF($D1076="","",IF($E1076="※编码不在物料档案里","※物料编码不在档案里",IF(N($J1076)&lt;=0,"※出库数量要大于 0",IF($K1076="","※没填去向类型",IF($L1076="","※没填去向矿区",IF(AND($C1076&lt;&gt;"",$C1076&lt;=结账锁),"※日期早于已结账截止日，不能再录",IF(AND($K1076="自用消耗",COUNTIF({"一矿区";"二矿区"},$L1076)=0),"※自用消耗的去向只能是一矿区或二矿区",IF(AND($K1076="对外销售",COUNTIF({"三矿区";"六矿区"},$L1076)=0),"※对外销售的去向只能是三矿区或六矿区",IF(AND($K1076="对外销售",ROUND($Q1076,0)=0),"※外销却没有售价，请填实际售价",IF(AND($K1076="对外销售",$T1076&lt;&gt;"",$T1076&lt;0),"※这一笔外销是亏的，请核对售价",IF(IFERROR(VLOOKUP($D1076,库存台账!$A$5:$Y$1204,24,0),0)&lt;-0.001,"※这个物料账面已经变成负数了，查一下是不是漏记入库","")))))))))))</f>
        <v/>
      </c>
    </row>
    <row r="1077">
      <c r="A1077" s="24">
        <f>IF($D1077="","",COUNTA($D$4:$D1077))</f>
        <v/>
      </c>
      <c r="B1077" s="17" t="n"/>
      <c r="C1077" s="30" t="n"/>
      <c r="D1077" s="17" t="n"/>
      <c r="E1077" s="24">
        <f>IF($D1077="","",IFERROR(VLOOKUP($D1077,物料档案!$A$4:$P$1203,3,0),"※编码不在物料档案里"))</f>
        <v/>
      </c>
      <c r="F1077" s="24">
        <f>IF($D1077="","",IFERROR(VLOOKUP($D1077,物料档案!$A$4:$P$1203,4,0),"※编码不在物料档案里"))</f>
        <v/>
      </c>
      <c r="G1077" s="24">
        <f>IF($D1077="","",IFERROR(VLOOKUP($D1077,物料档案!$A$4:$P$1203,5,0),"※编码不在物料档案里"))</f>
        <v/>
      </c>
      <c r="H1077" s="24">
        <f>IF($D1077="","",IFERROR(VLOOKUP($D1077,物料档案!$A$4:$P$1203,2,0),"※编码不在物料档案里"))</f>
        <v/>
      </c>
      <c r="I1077" s="24">
        <f>IF($D1077="","",IFERROR(VLOOKUP($D1077,物料档案!$A$4:$P$1203,6,0),"※编码不在物料档案里"))</f>
        <v/>
      </c>
      <c r="J1077" s="23" t="n"/>
      <c r="K1077" s="17" t="n"/>
      <c r="L1077" s="17" t="n"/>
      <c r="M1077" s="17" t="n"/>
      <c r="N1077" s="17" t="n"/>
      <c r="O1077" s="26">
        <f>IF($D1077="","",IFERROR(VLOOKUP($D1077,物料档案!$A$4:$P$1203,10,0),0))</f>
        <v/>
      </c>
      <c r="P1077" s="32" t="n"/>
      <c r="Q1077" s="26">
        <f>IF($D1077="","",IF($K1077&lt;&gt;"对外销售",0,ROUND(N($J1077)*IF($P1077="",N($O1077),N($P1077)),0)))</f>
        <v/>
      </c>
      <c r="R1077" s="26">
        <f>IF($D1077="","",IFERROR(VLOOKUP($D1077,库存台账!$A$5:$Y$1204,11,0),0))</f>
        <v/>
      </c>
      <c r="S1077" s="26">
        <f>IF($D1077="","",ROUND(N($J1077)*N($R1077),0))</f>
        <v/>
      </c>
      <c r="T1077" s="26">
        <f>IF($D1077="","",IF($K1077&lt;&gt;"对外销售","",ROUND($Q1077-$S1077,0)))</f>
        <v/>
      </c>
      <c r="U1077" s="17" t="n"/>
      <c r="V1077" s="17" t="n"/>
      <c r="W1077" s="24">
        <f>IF($D1077="","",IF($E1077="※编码不在物料档案里","※物料编码不在档案里",IF(N($J1077)&lt;=0,"※出库数量要大于 0",IF($K1077="","※没填去向类型",IF($L1077="","※没填去向矿区",IF(AND($C1077&lt;&gt;"",$C1077&lt;=结账锁),"※日期早于已结账截止日，不能再录",IF(AND($K1077="自用消耗",COUNTIF({"一矿区";"二矿区"},$L1077)=0),"※自用消耗的去向只能是一矿区或二矿区",IF(AND($K1077="对外销售",COUNTIF({"三矿区";"六矿区"},$L1077)=0),"※对外销售的去向只能是三矿区或六矿区",IF(AND($K1077="对外销售",ROUND($Q1077,0)=0),"※外销却没有售价，请填实际售价",IF(AND($K1077="对外销售",$T1077&lt;&gt;"",$T1077&lt;0),"※这一笔外销是亏的，请核对售价",IF(IFERROR(VLOOKUP($D1077,库存台账!$A$5:$Y$1204,24,0),0)&lt;-0.001,"※这个物料账面已经变成负数了，查一下是不是漏记入库","")))))))))))</f>
        <v/>
      </c>
    </row>
    <row r="1078">
      <c r="A1078" s="24">
        <f>IF($D1078="","",COUNTA($D$4:$D1078))</f>
        <v/>
      </c>
      <c r="B1078" s="17" t="n"/>
      <c r="C1078" s="30" t="n"/>
      <c r="D1078" s="17" t="n"/>
      <c r="E1078" s="24">
        <f>IF($D1078="","",IFERROR(VLOOKUP($D1078,物料档案!$A$4:$P$1203,3,0),"※编码不在物料档案里"))</f>
        <v/>
      </c>
      <c r="F1078" s="24">
        <f>IF($D1078="","",IFERROR(VLOOKUP($D1078,物料档案!$A$4:$P$1203,4,0),"※编码不在物料档案里"))</f>
        <v/>
      </c>
      <c r="G1078" s="24">
        <f>IF($D1078="","",IFERROR(VLOOKUP($D1078,物料档案!$A$4:$P$1203,5,0),"※编码不在物料档案里"))</f>
        <v/>
      </c>
      <c r="H1078" s="24">
        <f>IF($D1078="","",IFERROR(VLOOKUP($D1078,物料档案!$A$4:$P$1203,2,0),"※编码不在物料档案里"))</f>
        <v/>
      </c>
      <c r="I1078" s="24">
        <f>IF($D1078="","",IFERROR(VLOOKUP($D1078,物料档案!$A$4:$P$1203,6,0),"※编码不在物料档案里"))</f>
        <v/>
      </c>
      <c r="J1078" s="23" t="n"/>
      <c r="K1078" s="17" t="n"/>
      <c r="L1078" s="17" t="n"/>
      <c r="M1078" s="17" t="n"/>
      <c r="N1078" s="17" t="n"/>
      <c r="O1078" s="26">
        <f>IF($D1078="","",IFERROR(VLOOKUP($D1078,物料档案!$A$4:$P$1203,10,0),0))</f>
        <v/>
      </c>
      <c r="P1078" s="32" t="n"/>
      <c r="Q1078" s="26">
        <f>IF($D1078="","",IF($K1078&lt;&gt;"对外销售",0,ROUND(N($J1078)*IF($P1078="",N($O1078),N($P1078)),0)))</f>
        <v/>
      </c>
      <c r="R1078" s="26">
        <f>IF($D1078="","",IFERROR(VLOOKUP($D1078,库存台账!$A$5:$Y$1204,11,0),0))</f>
        <v/>
      </c>
      <c r="S1078" s="26">
        <f>IF($D1078="","",ROUND(N($J1078)*N($R1078),0))</f>
        <v/>
      </c>
      <c r="T1078" s="26">
        <f>IF($D1078="","",IF($K1078&lt;&gt;"对外销售","",ROUND($Q1078-$S1078,0)))</f>
        <v/>
      </c>
      <c r="U1078" s="17" t="n"/>
      <c r="V1078" s="17" t="n"/>
      <c r="W1078" s="24">
        <f>IF($D1078="","",IF($E1078="※编码不在物料档案里","※物料编码不在档案里",IF(N($J1078)&lt;=0,"※出库数量要大于 0",IF($K1078="","※没填去向类型",IF($L1078="","※没填去向矿区",IF(AND($C1078&lt;&gt;"",$C1078&lt;=结账锁),"※日期早于已结账截止日，不能再录",IF(AND($K1078="自用消耗",COUNTIF({"一矿区";"二矿区"},$L1078)=0),"※自用消耗的去向只能是一矿区或二矿区",IF(AND($K1078="对外销售",COUNTIF({"三矿区";"六矿区"},$L1078)=0),"※对外销售的去向只能是三矿区或六矿区",IF(AND($K1078="对外销售",ROUND($Q1078,0)=0),"※外销却没有售价，请填实际售价",IF(AND($K1078="对外销售",$T1078&lt;&gt;"",$T1078&lt;0),"※这一笔外销是亏的，请核对售价",IF(IFERROR(VLOOKUP($D1078,库存台账!$A$5:$Y$1204,24,0),0)&lt;-0.001,"※这个物料账面已经变成负数了，查一下是不是漏记入库","")))))))))))</f>
        <v/>
      </c>
    </row>
    <row r="1079">
      <c r="A1079" s="24">
        <f>IF($D1079="","",COUNTA($D$4:$D1079))</f>
        <v/>
      </c>
      <c r="B1079" s="17" t="n"/>
      <c r="C1079" s="30" t="n"/>
      <c r="D1079" s="17" t="n"/>
      <c r="E1079" s="24">
        <f>IF($D1079="","",IFERROR(VLOOKUP($D1079,物料档案!$A$4:$P$1203,3,0),"※编码不在物料档案里"))</f>
        <v/>
      </c>
      <c r="F1079" s="24">
        <f>IF($D1079="","",IFERROR(VLOOKUP($D1079,物料档案!$A$4:$P$1203,4,0),"※编码不在物料档案里"))</f>
        <v/>
      </c>
      <c r="G1079" s="24">
        <f>IF($D1079="","",IFERROR(VLOOKUP($D1079,物料档案!$A$4:$P$1203,5,0),"※编码不在物料档案里"))</f>
        <v/>
      </c>
      <c r="H1079" s="24">
        <f>IF($D1079="","",IFERROR(VLOOKUP($D1079,物料档案!$A$4:$P$1203,2,0),"※编码不在物料档案里"))</f>
        <v/>
      </c>
      <c r="I1079" s="24">
        <f>IF($D1079="","",IFERROR(VLOOKUP($D1079,物料档案!$A$4:$P$1203,6,0),"※编码不在物料档案里"))</f>
        <v/>
      </c>
      <c r="J1079" s="23" t="n"/>
      <c r="K1079" s="17" t="n"/>
      <c r="L1079" s="17" t="n"/>
      <c r="M1079" s="17" t="n"/>
      <c r="N1079" s="17" t="n"/>
      <c r="O1079" s="26">
        <f>IF($D1079="","",IFERROR(VLOOKUP($D1079,物料档案!$A$4:$P$1203,10,0),0))</f>
        <v/>
      </c>
      <c r="P1079" s="32" t="n"/>
      <c r="Q1079" s="26">
        <f>IF($D1079="","",IF($K1079&lt;&gt;"对外销售",0,ROUND(N($J1079)*IF($P1079="",N($O1079),N($P1079)),0)))</f>
        <v/>
      </c>
      <c r="R1079" s="26">
        <f>IF($D1079="","",IFERROR(VLOOKUP($D1079,库存台账!$A$5:$Y$1204,11,0),0))</f>
        <v/>
      </c>
      <c r="S1079" s="26">
        <f>IF($D1079="","",ROUND(N($J1079)*N($R1079),0))</f>
        <v/>
      </c>
      <c r="T1079" s="26">
        <f>IF($D1079="","",IF($K1079&lt;&gt;"对外销售","",ROUND($Q1079-$S1079,0)))</f>
        <v/>
      </c>
      <c r="U1079" s="17" t="n"/>
      <c r="V1079" s="17" t="n"/>
      <c r="W1079" s="24">
        <f>IF($D1079="","",IF($E1079="※编码不在物料档案里","※物料编码不在档案里",IF(N($J1079)&lt;=0,"※出库数量要大于 0",IF($K1079="","※没填去向类型",IF($L1079="","※没填去向矿区",IF(AND($C1079&lt;&gt;"",$C1079&lt;=结账锁),"※日期早于已结账截止日，不能再录",IF(AND($K1079="自用消耗",COUNTIF({"一矿区";"二矿区"},$L1079)=0),"※自用消耗的去向只能是一矿区或二矿区",IF(AND($K1079="对外销售",COUNTIF({"三矿区";"六矿区"},$L1079)=0),"※对外销售的去向只能是三矿区或六矿区",IF(AND($K1079="对外销售",ROUND($Q1079,0)=0),"※外销却没有售价，请填实际售价",IF(AND($K1079="对外销售",$T1079&lt;&gt;"",$T1079&lt;0),"※这一笔外销是亏的，请核对售价",IF(IFERROR(VLOOKUP($D1079,库存台账!$A$5:$Y$1204,24,0),0)&lt;-0.001,"※这个物料账面已经变成负数了，查一下是不是漏记入库","")))))))))))</f>
        <v/>
      </c>
    </row>
    <row r="1080">
      <c r="A1080" s="24">
        <f>IF($D1080="","",COUNTA($D$4:$D1080))</f>
        <v/>
      </c>
      <c r="B1080" s="17" t="n"/>
      <c r="C1080" s="30" t="n"/>
      <c r="D1080" s="17" t="n"/>
      <c r="E1080" s="24">
        <f>IF($D1080="","",IFERROR(VLOOKUP($D1080,物料档案!$A$4:$P$1203,3,0),"※编码不在物料档案里"))</f>
        <v/>
      </c>
      <c r="F1080" s="24">
        <f>IF($D1080="","",IFERROR(VLOOKUP($D1080,物料档案!$A$4:$P$1203,4,0),"※编码不在物料档案里"))</f>
        <v/>
      </c>
      <c r="G1080" s="24">
        <f>IF($D1080="","",IFERROR(VLOOKUP($D1080,物料档案!$A$4:$P$1203,5,0),"※编码不在物料档案里"))</f>
        <v/>
      </c>
      <c r="H1080" s="24">
        <f>IF($D1080="","",IFERROR(VLOOKUP($D1080,物料档案!$A$4:$P$1203,2,0),"※编码不在物料档案里"))</f>
        <v/>
      </c>
      <c r="I1080" s="24">
        <f>IF($D1080="","",IFERROR(VLOOKUP($D1080,物料档案!$A$4:$P$1203,6,0),"※编码不在物料档案里"))</f>
        <v/>
      </c>
      <c r="J1080" s="23" t="n"/>
      <c r="K1080" s="17" t="n"/>
      <c r="L1080" s="17" t="n"/>
      <c r="M1080" s="17" t="n"/>
      <c r="N1080" s="17" t="n"/>
      <c r="O1080" s="26">
        <f>IF($D1080="","",IFERROR(VLOOKUP($D1080,物料档案!$A$4:$P$1203,10,0),0))</f>
        <v/>
      </c>
      <c r="P1080" s="32" t="n"/>
      <c r="Q1080" s="26">
        <f>IF($D1080="","",IF($K1080&lt;&gt;"对外销售",0,ROUND(N($J1080)*IF($P1080="",N($O1080),N($P1080)),0)))</f>
        <v/>
      </c>
      <c r="R1080" s="26">
        <f>IF($D1080="","",IFERROR(VLOOKUP($D1080,库存台账!$A$5:$Y$1204,11,0),0))</f>
        <v/>
      </c>
      <c r="S1080" s="26">
        <f>IF($D1080="","",ROUND(N($J1080)*N($R1080),0))</f>
        <v/>
      </c>
      <c r="T1080" s="26">
        <f>IF($D1080="","",IF($K1080&lt;&gt;"对外销售","",ROUND($Q1080-$S1080,0)))</f>
        <v/>
      </c>
      <c r="U1080" s="17" t="n"/>
      <c r="V1080" s="17" t="n"/>
      <c r="W1080" s="24">
        <f>IF($D1080="","",IF($E1080="※编码不在物料档案里","※物料编码不在档案里",IF(N($J1080)&lt;=0,"※出库数量要大于 0",IF($K1080="","※没填去向类型",IF($L1080="","※没填去向矿区",IF(AND($C1080&lt;&gt;"",$C1080&lt;=结账锁),"※日期早于已结账截止日，不能再录",IF(AND($K1080="自用消耗",COUNTIF({"一矿区";"二矿区"},$L1080)=0),"※自用消耗的去向只能是一矿区或二矿区",IF(AND($K1080="对外销售",COUNTIF({"三矿区";"六矿区"},$L1080)=0),"※对外销售的去向只能是三矿区或六矿区",IF(AND($K1080="对外销售",ROUND($Q1080,0)=0),"※外销却没有售价，请填实际售价",IF(AND($K1080="对外销售",$T1080&lt;&gt;"",$T1080&lt;0),"※这一笔外销是亏的，请核对售价",IF(IFERROR(VLOOKUP($D1080,库存台账!$A$5:$Y$1204,24,0),0)&lt;-0.001,"※这个物料账面已经变成负数了，查一下是不是漏记入库","")))))))))))</f>
        <v/>
      </c>
    </row>
    <row r="1081">
      <c r="A1081" s="24">
        <f>IF($D1081="","",COUNTA($D$4:$D1081))</f>
        <v/>
      </c>
      <c r="B1081" s="17" t="n"/>
      <c r="C1081" s="30" t="n"/>
      <c r="D1081" s="17" t="n"/>
      <c r="E1081" s="24">
        <f>IF($D1081="","",IFERROR(VLOOKUP($D1081,物料档案!$A$4:$P$1203,3,0),"※编码不在物料档案里"))</f>
        <v/>
      </c>
      <c r="F1081" s="24">
        <f>IF($D1081="","",IFERROR(VLOOKUP($D1081,物料档案!$A$4:$P$1203,4,0),"※编码不在物料档案里"))</f>
        <v/>
      </c>
      <c r="G1081" s="24">
        <f>IF($D1081="","",IFERROR(VLOOKUP($D1081,物料档案!$A$4:$P$1203,5,0),"※编码不在物料档案里"))</f>
        <v/>
      </c>
      <c r="H1081" s="24">
        <f>IF($D1081="","",IFERROR(VLOOKUP($D1081,物料档案!$A$4:$P$1203,2,0),"※编码不在物料档案里"))</f>
        <v/>
      </c>
      <c r="I1081" s="24">
        <f>IF($D1081="","",IFERROR(VLOOKUP($D1081,物料档案!$A$4:$P$1203,6,0),"※编码不在物料档案里"))</f>
        <v/>
      </c>
      <c r="J1081" s="23" t="n"/>
      <c r="K1081" s="17" t="n"/>
      <c r="L1081" s="17" t="n"/>
      <c r="M1081" s="17" t="n"/>
      <c r="N1081" s="17" t="n"/>
      <c r="O1081" s="26">
        <f>IF($D1081="","",IFERROR(VLOOKUP($D1081,物料档案!$A$4:$P$1203,10,0),0))</f>
        <v/>
      </c>
      <c r="P1081" s="32" t="n"/>
      <c r="Q1081" s="26">
        <f>IF($D1081="","",IF($K1081&lt;&gt;"对外销售",0,ROUND(N($J1081)*IF($P1081="",N($O1081),N($P1081)),0)))</f>
        <v/>
      </c>
      <c r="R1081" s="26">
        <f>IF($D1081="","",IFERROR(VLOOKUP($D1081,库存台账!$A$5:$Y$1204,11,0),0))</f>
        <v/>
      </c>
      <c r="S1081" s="26">
        <f>IF($D1081="","",ROUND(N($J1081)*N($R1081),0))</f>
        <v/>
      </c>
      <c r="T1081" s="26">
        <f>IF($D1081="","",IF($K1081&lt;&gt;"对外销售","",ROUND($Q1081-$S1081,0)))</f>
        <v/>
      </c>
      <c r="U1081" s="17" t="n"/>
      <c r="V1081" s="17" t="n"/>
      <c r="W1081" s="24">
        <f>IF($D1081="","",IF($E1081="※编码不在物料档案里","※物料编码不在档案里",IF(N($J1081)&lt;=0,"※出库数量要大于 0",IF($K1081="","※没填去向类型",IF($L1081="","※没填去向矿区",IF(AND($C1081&lt;&gt;"",$C1081&lt;=结账锁),"※日期早于已结账截止日，不能再录",IF(AND($K1081="自用消耗",COUNTIF({"一矿区";"二矿区"},$L1081)=0),"※自用消耗的去向只能是一矿区或二矿区",IF(AND($K1081="对外销售",COUNTIF({"三矿区";"六矿区"},$L1081)=0),"※对外销售的去向只能是三矿区或六矿区",IF(AND($K1081="对外销售",ROUND($Q1081,0)=0),"※外销却没有售价，请填实际售价",IF(AND($K1081="对外销售",$T1081&lt;&gt;"",$T1081&lt;0),"※这一笔外销是亏的，请核对售价",IF(IFERROR(VLOOKUP($D1081,库存台账!$A$5:$Y$1204,24,0),0)&lt;-0.001,"※这个物料账面已经变成负数了，查一下是不是漏记入库","")))))))))))</f>
        <v/>
      </c>
    </row>
    <row r="1082">
      <c r="A1082" s="24">
        <f>IF($D1082="","",COUNTA($D$4:$D1082))</f>
        <v/>
      </c>
      <c r="B1082" s="17" t="n"/>
      <c r="C1082" s="30" t="n"/>
      <c r="D1082" s="17" t="n"/>
      <c r="E1082" s="24">
        <f>IF($D1082="","",IFERROR(VLOOKUP($D1082,物料档案!$A$4:$P$1203,3,0),"※编码不在物料档案里"))</f>
        <v/>
      </c>
      <c r="F1082" s="24">
        <f>IF($D1082="","",IFERROR(VLOOKUP($D1082,物料档案!$A$4:$P$1203,4,0),"※编码不在物料档案里"))</f>
        <v/>
      </c>
      <c r="G1082" s="24">
        <f>IF($D1082="","",IFERROR(VLOOKUP($D1082,物料档案!$A$4:$P$1203,5,0),"※编码不在物料档案里"))</f>
        <v/>
      </c>
      <c r="H1082" s="24">
        <f>IF($D1082="","",IFERROR(VLOOKUP($D1082,物料档案!$A$4:$P$1203,2,0),"※编码不在物料档案里"))</f>
        <v/>
      </c>
      <c r="I1082" s="24">
        <f>IF($D1082="","",IFERROR(VLOOKUP($D1082,物料档案!$A$4:$P$1203,6,0),"※编码不在物料档案里"))</f>
        <v/>
      </c>
      <c r="J1082" s="23" t="n"/>
      <c r="K1082" s="17" t="n"/>
      <c r="L1082" s="17" t="n"/>
      <c r="M1082" s="17" t="n"/>
      <c r="N1082" s="17" t="n"/>
      <c r="O1082" s="26">
        <f>IF($D1082="","",IFERROR(VLOOKUP($D1082,物料档案!$A$4:$P$1203,10,0),0))</f>
        <v/>
      </c>
      <c r="P1082" s="32" t="n"/>
      <c r="Q1082" s="26">
        <f>IF($D1082="","",IF($K1082&lt;&gt;"对外销售",0,ROUND(N($J1082)*IF($P1082="",N($O1082),N($P1082)),0)))</f>
        <v/>
      </c>
      <c r="R1082" s="26">
        <f>IF($D1082="","",IFERROR(VLOOKUP($D1082,库存台账!$A$5:$Y$1204,11,0),0))</f>
        <v/>
      </c>
      <c r="S1082" s="26">
        <f>IF($D1082="","",ROUND(N($J1082)*N($R1082),0))</f>
        <v/>
      </c>
      <c r="T1082" s="26">
        <f>IF($D1082="","",IF($K1082&lt;&gt;"对外销售","",ROUND($Q1082-$S1082,0)))</f>
        <v/>
      </c>
      <c r="U1082" s="17" t="n"/>
      <c r="V1082" s="17" t="n"/>
      <c r="W1082" s="24">
        <f>IF($D1082="","",IF($E1082="※编码不在物料档案里","※物料编码不在档案里",IF(N($J1082)&lt;=0,"※出库数量要大于 0",IF($K1082="","※没填去向类型",IF($L1082="","※没填去向矿区",IF(AND($C1082&lt;&gt;"",$C1082&lt;=结账锁),"※日期早于已结账截止日，不能再录",IF(AND($K1082="自用消耗",COUNTIF({"一矿区";"二矿区"},$L1082)=0),"※自用消耗的去向只能是一矿区或二矿区",IF(AND($K1082="对外销售",COUNTIF({"三矿区";"六矿区"},$L1082)=0),"※对外销售的去向只能是三矿区或六矿区",IF(AND($K1082="对外销售",ROUND($Q1082,0)=0),"※外销却没有售价，请填实际售价",IF(AND($K1082="对外销售",$T1082&lt;&gt;"",$T1082&lt;0),"※这一笔外销是亏的，请核对售价",IF(IFERROR(VLOOKUP($D1082,库存台账!$A$5:$Y$1204,24,0),0)&lt;-0.001,"※这个物料账面已经变成负数了，查一下是不是漏记入库","")))))))))))</f>
        <v/>
      </c>
    </row>
    <row r="1083">
      <c r="A1083" s="24">
        <f>IF($D1083="","",COUNTA($D$4:$D1083))</f>
        <v/>
      </c>
      <c r="B1083" s="17" t="n"/>
      <c r="C1083" s="30" t="n"/>
      <c r="D1083" s="17" t="n"/>
      <c r="E1083" s="24">
        <f>IF($D1083="","",IFERROR(VLOOKUP($D1083,物料档案!$A$4:$P$1203,3,0),"※编码不在物料档案里"))</f>
        <v/>
      </c>
      <c r="F1083" s="24">
        <f>IF($D1083="","",IFERROR(VLOOKUP($D1083,物料档案!$A$4:$P$1203,4,0),"※编码不在物料档案里"))</f>
        <v/>
      </c>
      <c r="G1083" s="24">
        <f>IF($D1083="","",IFERROR(VLOOKUP($D1083,物料档案!$A$4:$P$1203,5,0),"※编码不在物料档案里"))</f>
        <v/>
      </c>
      <c r="H1083" s="24">
        <f>IF($D1083="","",IFERROR(VLOOKUP($D1083,物料档案!$A$4:$P$1203,2,0),"※编码不在物料档案里"))</f>
        <v/>
      </c>
      <c r="I1083" s="24">
        <f>IF($D1083="","",IFERROR(VLOOKUP($D1083,物料档案!$A$4:$P$1203,6,0),"※编码不在物料档案里"))</f>
        <v/>
      </c>
      <c r="J1083" s="23" t="n"/>
      <c r="K1083" s="17" t="n"/>
      <c r="L1083" s="17" t="n"/>
      <c r="M1083" s="17" t="n"/>
      <c r="N1083" s="17" t="n"/>
      <c r="O1083" s="26">
        <f>IF($D1083="","",IFERROR(VLOOKUP($D1083,物料档案!$A$4:$P$1203,10,0),0))</f>
        <v/>
      </c>
      <c r="P1083" s="32" t="n"/>
      <c r="Q1083" s="26">
        <f>IF($D1083="","",IF($K1083&lt;&gt;"对外销售",0,ROUND(N($J1083)*IF($P1083="",N($O1083),N($P1083)),0)))</f>
        <v/>
      </c>
      <c r="R1083" s="26">
        <f>IF($D1083="","",IFERROR(VLOOKUP($D1083,库存台账!$A$5:$Y$1204,11,0),0))</f>
        <v/>
      </c>
      <c r="S1083" s="26">
        <f>IF($D1083="","",ROUND(N($J1083)*N($R1083),0))</f>
        <v/>
      </c>
      <c r="T1083" s="26">
        <f>IF($D1083="","",IF($K1083&lt;&gt;"对外销售","",ROUND($Q1083-$S1083,0)))</f>
        <v/>
      </c>
      <c r="U1083" s="17" t="n"/>
      <c r="V1083" s="17" t="n"/>
      <c r="W1083" s="24">
        <f>IF($D1083="","",IF($E1083="※编码不在物料档案里","※物料编码不在档案里",IF(N($J1083)&lt;=0,"※出库数量要大于 0",IF($K1083="","※没填去向类型",IF($L1083="","※没填去向矿区",IF(AND($C1083&lt;&gt;"",$C1083&lt;=结账锁),"※日期早于已结账截止日，不能再录",IF(AND($K1083="自用消耗",COUNTIF({"一矿区";"二矿区"},$L1083)=0),"※自用消耗的去向只能是一矿区或二矿区",IF(AND($K1083="对外销售",COUNTIF({"三矿区";"六矿区"},$L1083)=0),"※对外销售的去向只能是三矿区或六矿区",IF(AND($K1083="对外销售",ROUND($Q1083,0)=0),"※外销却没有售价，请填实际售价",IF(AND($K1083="对外销售",$T1083&lt;&gt;"",$T1083&lt;0),"※这一笔外销是亏的，请核对售价",IF(IFERROR(VLOOKUP($D1083,库存台账!$A$5:$Y$1204,24,0),0)&lt;-0.001,"※这个物料账面已经变成负数了，查一下是不是漏记入库","")))))))))))</f>
        <v/>
      </c>
    </row>
    <row r="1084">
      <c r="A1084" s="24">
        <f>IF($D1084="","",COUNTA($D$4:$D1084))</f>
        <v/>
      </c>
      <c r="B1084" s="17" t="n"/>
      <c r="C1084" s="30" t="n"/>
      <c r="D1084" s="17" t="n"/>
      <c r="E1084" s="24">
        <f>IF($D1084="","",IFERROR(VLOOKUP($D1084,物料档案!$A$4:$P$1203,3,0),"※编码不在物料档案里"))</f>
        <v/>
      </c>
      <c r="F1084" s="24">
        <f>IF($D1084="","",IFERROR(VLOOKUP($D1084,物料档案!$A$4:$P$1203,4,0),"※编码不在物料档案里"))</f>
        <v/>
      </c>
      <c r="G1084" s="24">
        <f>IF($D1084="","",IFERROR(VLOOKUP($D1084,物料档案!$A$4:$P$1203,5,0),"※编码不在物料档案里"))</f>
        <v/>
      </c>
      <c r="H1084" s="24">
        <f>IF($D1084="","",IFERROR(VLOOKUP($D1084,物料档案!$A$4:$P$1203,2,0),"※编码不在物料档案里"))</f>
        <v/>
      </c>
      <c r="I1084" s="24">
        <f>IF($D1084="","",IFERROR(VLOOKUP($D1084,物料档案!$A$4:$P$1203,6,0),"※编码不在物料档案里"))</f>
        <v/>
      </c>
      <c r="J1084" s="23" t="n"/>
      <c r="K1084" s="17" t="n"/>
      <c r="L1084" s="17" t="n"/>
      <c r="M1084" s="17" t="n"/>
      <c r="N1084" s="17" t="n"/>
      <c r="O1084" s="26">
        <f>IF($D1084="","",IFERROR(VLOOKUP($D1084,物料档案!$A$4:$P$1203,10,0),0))</f>
        <v/>
      </c>
      <c r="P1084" s="32" t="n"/>
      <c r="Q1084" s="26">
        <f>IF($D1084="","",IF($K1084&lt;&gt;"对外销售",0,ROUND(N($J1084)*IF($P1084="",N($O1084),N($P1084)),0)))</f>
        <v/>
      </c>
      <c r="R1084" s="26">
        <f>IF($D1084="","",IFERROR(VLOOKUP($D1084,库存台账!$A$5:$Y$1204,11,0),0))</f>
        <v/>
      </c>
      <c r="S1084" s="26">
        <f>IF($D1084="","",ROUND(N($J1084)*N($R1084),0))</f>
        <v/>
      </c>
      <c r="T1084" s="26">
        <f>IF($D1084="","",IF($K1084&lt;&gt;"对外销售","",ROUND($Q1084-$S1084,0)))</f>
        <v/>
      </c>
      <c r="U1084" s="17" t="n"/>
      <c r="V1084" s="17" t="n"/>
      <c r="W1084" s="24">
        <f>IF($D1084="","",IF($E1084="※编码不在物料档案里","※物料编码不在档案里",IF(N($J1084)&lt;=0,"※出库数量要大于 0",IF($K1084="","※没填去向类型",IF($L1084="","※没填去向矿区",IF(AND($C1084&lt;&gt;"",$C1084&lt;=结账锁),"※日期早于已结账截止日，不能再录",IF(AND($K1084="自用消耗",COUNTIF({"一矿区";"二矿区"},$L1084)=0),"※自用消耗的去向只能是一矿区或二矿区",IF(AND($K1084="对外销售",COUNTIF({"三矿区";"六矿区"},$L1084)=0),"※对外销售的去向只能是三矿区或六矿区",IF(AND($K1084="对外销售",ROUND($Q1084,0)=0),"※外销却没有售价，请填实际售价",IF(AND($K1084="对外销售",$T1084&lt;&gt;"",$T1084&lt;0),"※这一笔外销是亏的，请核对售价",IF(IFERROR(VLOOKUP($D1084,库存台账!$A$5:$Y$1204,24,0),0)&lt;-0.001,"※这个物料账面已经变成负数了，查一下是不是漏记入库","")))))))))))</f>
        <v/>
      </c>
    </row>
    <row r="1085">
      <c r="A1085" s="24">
        <f>IF($D1085="","",COUNTA($D$4:$D1085))</f>
        <v/>
      </c>
      <c r="B1085" s="17" t="n"/>
      <c r="C1085" s="30" t="n"/>
      <c r="D1085" s="17" t="n"/>
      <c r="E1085" s="24">
        <f>IF($D1085="","",IFERROR(VLOOKUP($D1085,物料档案!$A$4:$P$1203,3,0),"※编码不在物料档案里"))</f>
        <v/>
      </c>
      <c r="F1085" s="24">
        <f>IF($D1085="","",IFERROR(VLOOKUP($D1085,物料档案!$A$4:$P$1203,4,0),"※编码不在物料档案里"))</f>
        <v/>
      </c>
      <c r="G1085" s="24">
        <f>IF($D1085="","",IFERROR(VLOOKUP($D1085,物料档案!$A$4:$P$1203,5,0),"※编码不在物料档案里"))</f>
        <v/>
      </c>
      <c r="H1085" s="24">
        <f>IF($D1085="","",IFERROR(VLOOKUP($D1085,物料档案!$A$4:$P$1203,2,0),"※编码不在物料档案里"))</f>
        <v/>
      </c>
      <c r="I1085" s="24">
        <f>IF($D1085="","",IFERROR(VLOOKUP($D1085,物料档案!$A$4:$P$1203,6,0),"※编码不在物料档案里"))</f>
        <v/>
      </c>
      <c r="J1085" s="23" t="n"/>
      <c r="K1085" s="17" t="n"/>
      <c r="L1085" s="17" t="n"/>
      <c r="M1085" s="17" t="n"/>
      <c r="N1085" s="17" t="n"/>
      <c r="O1085" s="26">
        <f>IF($D1085="","",IFERROR(VLOOKUP($D1085,物料档案!$A$4:$P$1203,10,0),0))</f>
        <v/>
      </c>
      <c r="P1085" s="32" t="n"/>
      <c r="Q1085" s="26">
        <f>IF($D1085="","",IF($K1085&lt;&gt;"对外销售",0,ROUND(N($J1085)*IF($P1085="",N($O1085),N($P1085)),0)))</f>
        <v/>
      </c>
      <c r="R1085" s="26">
        <f>IF($D1085="","",IFERROR(VLOOKUP($D1085,库存台账!$A$5:$Y$1204,11,0),0))</f>
        <v/>
      </c>
      <c r="S1085" s="26">
        <f>IF($D1085="","",ROUND(N($J1085)*N($R1085),0))</f>
        <v/>
      </c>
      <c r="T1085" s="26">
        <f>IF($D1085="","",IF($K1085&lt;&gt;"对外销售","",ROUND($Q1085-$S1085,0)))</f>
        <v/>
      </c>
      <c r="U1085" s="17" t="n"/>
      <c r="V1085" s="17" t="n"/>
      <c r="W1085" s="24">
        <f>IF($D1085="","",IF($E1085="※编码不在物料档案里","※物料编码不在档案里",IF(N($J1085)&lt;=0,"※出库数量要大于 0",IF($K1085="","※没填去向类型",IF($L1085="","※没填去向矿区",IF(AND($C1085&lt;&gt;"",$C1085&lt;=结账锁),"※日期早于已结账截止日，不能再录",IF(AND($K1085="自用消耗",COUNTIF({"一矿区";"二矿区"},$L1085)=0),"※自用消耗的去向只能是一矿区或二矿区",IF(AND($K1085="对外销售",COUNTIF({"三矿区";"六矿区"},$L1085)=0),"※对外销售的去向只能是三矿区或六矿区",IF(AND($K1085="对外销售",ROUND($Q1085,0)=0),"※外销却没有售价，请填实际售价",IF(AND($K1085="对外销售",$T1085&lt;&gt;"",$T1085&lt;0),"※这一笔外销是亏的，请核对售价",IF(IFERROR(VLOOKUP($D1085,库存台账!$A$5:$Y$1204,24,0),0)&lt;-0.001,"※这个物料账面已经变成负数了，查一下是不是漏记入库","")))))))))))</f>
        <v/>
      </c>
    </row>
    <row r="1086">
      <c r="A1086" s="24">
        <f>IF($D1086="","",COUNTA($D$4:$D1086))</f>
        <v/>
      </c>
      <c r="B1086" s="17" t="n"/>
      <c r="C1086" s="30" t="n"/>
      <c r="D1086" s="17" t="n"/>
      <c r="E1086" s="24">
        <f>IF($D1086="","",IFERROR(VLOOKUP($D1086,物料档案!$A$4:$P$1203,3,0),"※编码不在物料档案里"))</f>
        <v/>
      </c>
      <c r="F1086" s="24">
        <f>IF($D1086="","",IFERROR(VLOOKUP($D1086,物料档案!$A$4:$P$1203,4,0),"※编码不在物料档案里"))</f>
        <v/>
      </c>
      <c r="G1086" s="24">
        <f>IF($D1086="","",IFERROR(VLOOKUP($D1086,物料档案!$A$4:$P$1203,5,0),"※编码不在物料档案里"))</f>
        <v/>
      </c>
      <c r="H1086" s="24">
        <f>IF($D1086="","",IFERROR(VLOOKUP($D1086,物料档案!$A$4:$P$1203,2,0),"※编码不在物料档案里"))</f>
        <v/>
      </c>
      <c r="I1086" s="24">
        <f>IF($D1086="","",IFERROR(VLOOKUP($D1086,物料档案!$A$4:$P$1203,6,0),"※编码不在物料档案里"))</f>
        <v/>
      </c>
      <c r="J1086" s="23" t="n"/>
      <c r="K1086" s="17" t="n"/>
      <c r="L1086" s="17" t="n"/>
      <c r="M1086" s="17" t="n"/>
      <c r="N1086" s="17" t="n"/>
      <c r="O1086" s="26">
        <f>IF($D1086="","",IFERROR(VLOOKUP($D1086,物料档案!$A$4:$P$1203,10,0),0))</f>
        <v/>
      </c>
      <c r="P1086" s="32" t="n"/>
      <c r="Q1086" s="26">
        <f>IF($D1086="","",IF($K1086&lt;&gt;"对外销售",0,ROUND(N($J1086)*IF($P1086="",N($O1086),N($P1086)),0)))</f>
        <v/>
      </c>
      <c r="R1086" s="26">
        <f>IF($D1086="","",IFERROR(VLOOKUP($D1086,库存台账!$A$5:$Y$1204,11,0),0))</f>
        <v/>
      </c>
      <c r="S1086" s="26">
        <f>IF($D1086="","",ROUND(N($J1086)*N($R1086),0))</f>
        <v/>
      </c>
      <c r="T1086" s="26">
        <f>IF($D1086="","",IF($K1086&lt;&gt;"对外销售","",ROUND($Q1086-$S1086,0)))</f>
        <v/>
      </c>
      <c r="U1086" s="17" t="n"/>
      <c r="V1086" s="17" t="n"/>
      <c r="W1086" s="24">
        <f>IF($D1086="","",IF($E1086="※编码不在物料档案里","※物料编码不在档案里",IF(N($J1086)&lt;=0,"※出库数量要大于 0",IF($K1086="","※没填去向类型",IF($L1086="","※没填去向矿区",IF(AND($C1086&lt;&gt;"",$C1086&lt;=结账锁),"※日期早于已结账截止日，不能再录",IF(AND($K1086="自用消耗",COUNTIF({"一矿区";"二矿区"},$L1086)=0),"※自用消耗的去向只能是一矿区或二矿区",IF(AND($K1086="对外销售",COUNTIF({"三矿区";"六矿区"},$L1086)=0),"※对外销售的去向只能是三矿区或六矿区",IF(AND($K1086="对外销售",ROUND($Q1086,0)=0),"※外销却没有售价，请填实际售价",IF(AND($K1086="对外销售",$T1086&lt;&gt;"",$T1086&lt;0),"※这一笔外销是亏的，请核对售价",IF(IFERROR(VLOOKUP($D1086,库存台账!$A$5:$Y$1204,24,0),0)&lt;-0.001,"※这个物料账面已经变成负数了，查一下是不是漏记入库","")))))))))))</f>
        <v/>
      </c>
    </row>
    <row r="1087">
      <c r="A1087" s="24">
        <f>IF($D1087="","",COUNTA($D$4:$D1087))</f>
        <v/>
      </c>
      <c r="B1087" s="17" t="n"/>
      <c r="C1087" s="30" t="n"/>
      <c r="D1087" s="17" t="n"/>
      <c r="E1087" s="24">
        <f>IF($D1087="","",IFERROR(VLOOKUP($D1087,物料档案!$A$4:$P$1203,3,0),"※编码不在物料档案里"))</f>
        <v/>
      </c>
      <c r="F1087" s="24">
        <f>IF($D1087="","",IFERROR(VLOOKUP($D1087,物料档案!$A$4:$P$1203,4,0),"※编码不在物料档案里"))</f>
        <v/>
      </c>
      <c r="G1087" s="24">
        <f>IF($D1087="","",IFERROR(VLOOKUP($D1087,物料档案!$A$4:$P$1203,5,0),"※编码不在物料档案里"))</f>
        <v/>
      </c>
      <c r="H1087" s="24">
        <f>IF($D1087="","",IFERROR(VLOOKUP($D1087,物料档案!$A$4:$P$1203,2,0),"※编码不在物料档案里"))</f>
        <v/>
      </c>
      <c r="I1087" s="24">
        <f>IF($D1087="","",IFERROR(VLOOKUP($D1087,物料档案!$A$4:$P$1203,6,0),"※编码不在物料档案里"))</f>
        <v/>
      </c>
      <c r="J1087" s="23" t="n"/>
      <c r="K1087" s="17" t="n"/>
      <c r="L1087" s="17" t="n"/>
      <c r="M1087" s="17" t="n"/>
      <c r="N1087" s="17" t="n"/>
      <c r="O1087" s="26">
        <f>IF($D1087="","",IFERROR(VLOOKUP($D1087,物料档案!$A$4:$P$1203,10,0),0))</f>
        <v/>
      </c>
      <c r="P1087" s="32" t="n"/>
      <c r="Q1087" s="26">
        <f>IF($D1087="","",IF($K1087&lt;&gt;"对外销售",0,ROUND(N($J1087)*IF($P1087="",N($O1087),N($P1087)),0)))</f>
        <v/>
      </c>
      <c r="R1087" s="26">
        <f>IF($D1087="","",IFERROR(VLOOKUP($D1087,库存台账!$A$5:$Y$1204,11,0),0))</f>
        <v/>
      </c>
      <c r="S1087" s="26">
        <f>IF($D1087="","",ROUND(N($J1087)*N($R1087),0))</f>
        <v/>
      </c>
      <c r="T1087" s="26">
        <f>IF($D1087="","",IF($K1087&lt;&gt;"对外销售","",ROUND($Q1087-$S1087,0)))</f>
        <v/>
      </c>
      <c r="U1087" s="17" t="n"/>
      <c r="V1087" s="17" t="n"/>
      <c r="W1087" s="24">
        <f>IF($D1087="","",IF($E1087="※编码不在物料档案里","※物料编码不在档案里",IF(N($J1087)&lt;=0,"※出库数量要大于 0",IF($K1087="","※没填去向类型",IF($L1087="","※没填去向矿区",IF(AND($C1087&lt;&gt;"",$C1087&lt;=结账锁),"※日期早于已结账截止日，不能再录",IF(AND($K1087="自用消耗",COUNTIF({"一矿区";"二矿区"},$L1087)=0),"※自用消耗的去向只能是一矿区或二矿区",IF(AND($K1087="对外销售",COUNTIF({"三矿区";"六矿区"},$L1087)=0),"※对外销售的去向只能是三矿区或六矿区",IF(AND($K1087="对外销售",ROUND($Q1087,0)=0),"※外销却没有售价，请填实际售价",IF(AND($K1087="对外销售",$T1087&lt;&gt;"",$T1087&lt;0),"※这一笔外销是亏的，请核对售价",IF(IFERROR(VLOOKUP($D1087,库存台账!$A$5:$Y$1204,24,0),0)&lt;-0.001,"※这个物料账面已经变成负数了，查一下是不是漏记入库","")))))))))))</f>
        <v/>
      </c>
    </row>
    <row r="1088">
      <c r="A1088" s="24">
        <f>IF($D1088="","",COUNTA($D$4:$D1088))</f>
        <v/>
      </c>
      <c r="B1088" s="17" t="n"/>
      <c r="C1088" s="30" t="n"/>
      <c r="D1088" s="17" t="n"/>
      <c r="E1088" s="24">
        <f>IF($D1088="","",IFERROR(VLOOKUP($D1088,物料档案!$A$4:$P$1203,3,0),"※编码不在物料档案里"))</f>
        <v/>
      </c>
      <c r="F1088" s="24">
        <f>IF($D1088="","",IFERROR(VLOOKUP($D1088,物料档案!$A$4:$P$1203,4,0),"※编码不在物料档案里"))</f>
        <v/>
      </c>
      <c r="G1088" s="24">
        <f>IF($D1088="","",IFERROR(VLOOKUP($D1088,物料档案!$A$4:$P$1203,5,0),"※编码不在物料档案里"))</f>
        <v/>
      </c>
      <c r="H1088" s="24">
        <f>IF($D1088="","",IFERROR(VLOOKUP($D1088,物料档案!$A$4:$P$1203,2,0),"※编码不在物料档案里"))</f>
        <v/>
      </c>
      <c r="I1088" s="24">
        <f>IF($D1088="","",IFERROR(VLOOKUP($D1088,物料档案!$A$4:$P$1203,6,0),"※编码不在物料档案里"))</f>
        <v/>
      </c>
      <c r="J1088" s="23" t="n"/>
      <c r="K1088" s="17" t="n"/>
      <c r="L1088" s="17" t="n"/>
      <c r="M1088" s="17" t="n"/>
      <c r="N1088" s="17" t="n"/>
      <c r="O1088" s="26">
        <f>IF($D1088="","",IFERROR(VLOOKUP($D1088,物料档案!$A$4:$P$1203,10,0),0))</f>
        <v/>
      </c>
      <c r="P1088" s="32" t="n"/>
      <c r="Q1088" s="26">
        <f>IF($D1088="","",IF($K1088&lt;&gt;"对外销售",0,ROUND(N($J1088)*IF($P1088="",N($O1088),N($P1088)),0)))</f>
        <v/>
      </c>
      <c r="R1088" s="26">
        <f>IF($D1088="","",IFERROR(VLOOKUP($D1088,库存台账!$A$5:$Y$1204,11,0),0))</f>
        <v/>
      </c>
      <c r="S1088" s="26">
        <f>IF($D1088="","",ROUND(N($J1088)*N($R1088),0))</f>
        <v/>
      </c>
      <c r="T1088" s="26">
        <f>IF($D1088="","",IF($K1088&lt;&gt;"对外销售","",ROUND($Q1088-$S1088,0)))</f>
        <v/>
      </c>
      <c r="U1088" s="17" t="n"/>
      <c r="V1088" s="17" t="n"/>
      <c r="W1088" s="24">
        <f>IF($D1088="","",IF($E1088="※编码不在物料档案里","※物料编码不在档案里",IF(N($J1088)&lt;=0,"※出库数量要大于 0",IF($K1088="","※没填去向类型",IF($L1088="","※没填去向矿区",IF(AND($C1088&lt;&gt;"",$C1088&lt;=结账锁),"※日期早于已结账截止日，不能再录",IF(AND($K1088="自用消耗",COUNTIF({"一矿区";"二矿区"},$L1088)=0),"※自用消耗的去向只能是一矿区或二矿区",IF(AND($K1088="对外销售",COUNTIF({"三矿区";"六矿区"},$L1088)=0),"※对外销售的去向只能是三矿区或六矿区",IF(AND($K1088="对外销售",ROUND($Q1088,0)=0),"※外销却没有售价，请填实际售价",IF(AND($K1088="对外销售",$T1088&lt;&gt;"",$T1088&lt;0),"※这一笔外销是亏的，请核对售价",IF(IFERROR(VLOOKUP($D1088,库存台账!$A$5:$Y$1204,24,0),0)&lt;-0.001,"※这个物料账面已经变成负数了，查一下是不是漏记入库","")))))))))))</f>
        <v/>
      </c>
    </row>
    <row r="1089">
      <c r="A1089" s="24">
        <f>IF($D1089="","",COUNTA($D$4:$D1089))</f>
        <v/>
      </c>
      <c r="B1089" s="17" t="n"/>
      <c r="C1089" s="30" t="n"/>
      <c r="D1089" s="17" t="n"/>
      <c r="E1089" s="24">
        <f>IF($D1089="","",IFERROR(VLOOKUP($D1089,物料档案!$A$4:$P$1203,3,0),"※编码不在物料档案里"))</f>
        <v/>
      </c>
      <c r="F1089" s="24">
        <f>IF($D1089="","",IFERROR(VLOOKUP($D1089,物料档案!$A$4:$P$1203,4,0),"※编码不在物料档案里"))</f>
        <v/>
      </c>
      <c r="G1089" s="24">
        <f>IF($D1089="","",IFERROR(VLOOKUP($D1089,物料档案!$A$4:$P$1203,5,0),"※编码不在物料档案里"))</f>
        <v/>
      </c>
      <c r="H1089" s="24">
        <f>IF($D1089="","",IFERROR(VLOOKUP($D1089,物料档案!$A$4:$P$1203,2,0),"※编码不在物料档案里"))</f>
        <v/>
      </c>
      <c r="I1089" s="24">
        <f>IF($D1089="","",IFERROR(VLOOKUP($D1089,物料档案!$A$4:$P$1203,6,0),"※编码不在物料档案里"))</f>
        <v/>
      </c>
      <c r="J1089" s="23" t="n"/>
      <c r="K1089" s="17" t="n"/>
      <c r="L1089" s="17" t="n"/>
      <c r="M1089" s="17" t="n"/>
      <c r="N1089" s="17" t="n"/>
      <c r="O1089" s="26">
        <f>IF($D1089="","",IFERROR(VLOOKUP($D1089,物料档案!$A$4:$P$1203,10,0),0))</f>
        <v/>
      </c>
      <c r="P1089" s="32" t="n"/>
      <c r="Q1089" s="26">
        <f>IF($D1089="","",IF($K1089&lt;&gt;"对外销售",0,ROUND(N($J1089)*IF($P1089="",N($O1089),N($P1089)),0)))</f>
        <v/>
      </c>
      <c r="R1089" s="26">
        <f>IF($D1089="","",IFERROR(VLOOKUP($D1089,库存台账!$A$5:$Y$1204,11,0),0))</f>
        <v/>
      </c>
      <c r="S1089" s="26">
        <f>IF($D1089="","",ROUND(N($J1089)*N($R1089),0))</f>
        <v/>
      </c>
      <c r="T1089" s="26">
        <f>IF($D1089="","",IF($K1089&lt;&gt;"对外销售","",ROUND($Q1089-$S1089,0)))</f>
        <v/>
      </c>
      <c r="U1089" s="17" t="n"/>
      <c r="V1089" s="17" t="n"/>
      <c r="W1089" s="24">
        <f>IF($D1089="","",IF($E1089="※编码不在物料档案里","※物料编码不在档案里",IF(N($J1089)&lt;=0,"※出库数量要大于 0",IF($K1089="","※没填去向类型",IF($L1089="","※没填去向矿区",IF(AND($C1089&lt;&gt;"",$C1089&lt;=结账锁),"※日期早于已结账截止日，不能再录",IF(AND($K1089="自用消耗",COUNTIF({"一矿区";"二矿区"},$L1089)=0),"※自用消耗的去向只能是一矿区或二矿区",IF(AND($K1089="对外销售",COUNTIF({"三矿区";"六矿区"},$L1089)=0),"※对外销售的去向只能是三矿区或六矿区",IF(AND($K1089="对外销售",ROUND($Q1089,0)=0),"※外销却没有售价，请填实际售价",IF(AND($K1089="对外销售",$T1089&lt;&gt;"",$T1089&lt;0),"※这一笔外销是亏的，请核对售价",IF(IFERROR(VLOOKUP($D1089,库存台账!$A$5:$Y$1204,24,0),0)&lt;-0.001,"※这个物料账面已经变成负数了，查一下是不是漏记入库","")))))))))))</f>
        <v/>
      </c>
    </row>
    <row r="1090">
      <c r="A1090" s="24">
        <f>IF($D1090="","",COUNTA($D$4:$D1090))</f>
        <v/>
      </c>
      <c r="B1090" s="17" t="n"/>
      <c r="C1090" s="30" t="n"/>
      <c r="D1090" s="17" t="n"/>
      <c r="E1090" s="24">
        <f>IF($D1090="","",IFERROR(VLOOKUP($D1090,物料档案!$A$4:$P$1203,3,0),"※编码不在物料档案里"))</f>
        <v/>
      </c>
      <c r="F1090" s="24">
        <f>IF($D1090="","",IFERROR(VLOOKUP($D1090,物料档案!$A$4:$P$1203,4,0),"※编码不在物料档案里"))</f>
        <v/>
      </c>
      <c r="G1090" s="24">
        <f>IF($D1090="","",IFERROR(VLOOKUP($D1090,物料档案!$A$4:$P$1203,5,0),"※编码不在物料档案里"))</f>
        <v/>
      </c>
      <c r="H1090" s="24">
        <f>IF($D1090="","",IFERROR(VLOOKUP($D1090,物料档案!$A$4:$P$1203,2,0),"※编码不在物料档案里"))</f>
        <v/>
      </c>
      <c r="I1090" s="24">
        <f>IF($D1090="","",IFERROR(VLOOKUP($D1090,物料档案!$A$4:$P$1203,6,0),"※编码不在物料档案里"))</f>
        <v/>
      </c>
      <c r="J1090" s="23" t="n"/>
      <c r="K1090" s="17" t="n"/>
      <c r="L1090" s="17" t="n"/>
      <c r="M1090" s="17" t="n"/>
      <c r="N1090" s="17" t="n"/>
      <c r="O1090" s="26">
        <f>IF($D1090="","",IFERROR(VLOOKUP($D1090,物料档案!$A$4:$P$1203,10,0),0))</f>
        <v/>
      </c>
      <c r="P1090" s="32" t="n"/>
      <c r="Q1090" s="26">
        <f>IF($D1090="","",IF($K1090&lt;&gt;"对外销售",0,ROUND(N($J1090)*IF($P1090="",N($O1090),N($P1090)),0)))</f>
        <v/>
      </c>
      <c r="R1090" s="26">
        <f>IF($D1090="","",IFERROR(VLOOKUP($D1090,库存台账!$A$5:$Y$1204,11,0),0))</f>
        <v/>
      </c>
      <c r="S1090" s="26">
        <f>IF($D1090="","",ROUND(N($J1090)*N($R1090),0))</f>
        <v/>
      </c>
      <c r="T1090" s="26">
        <f>IF($D1090="","",IF($K1090&lt;&gt;"对外销售","",ROUND($Q1090-$S1090,0)))</f>
        <v/>
      </c>
      <c r="U1090" s="17" t="n"/>
      <c r="V1090" s="17" t="n"/>
      <c r="W1090" s="24">
        <f>IF($D1090="","",IF($E1090="※编码不在物料档案里","※物料编码不在档案里",IF(N($J1090)&lt;=0,"※出库数量要大于 0",IF($K1090="","※没填去向类型",IF($L1090="","※没填去向矿区",IF(AND($C1090&lt;&gt;"",$C1090&lt;=结账锁),"※日期早于已结账截止日，不能再录",IF(AND($K1090="自用消耗",COUNTIF({"一矿区";"二矿区"},$L1090)=0),"※自用消耗的去向只能是一矿区或二矿区",IF(AND($K1090="对外销售",COUNTIF({"三矿区";"六矿区"},$L1090)=0),"※对外销售的去向只能是三矿区或六矿区",IF(AND($K1090="对外销售",ROUND($Q1090,0)=0),"※外销却没有售价，请填实际售价",IF(AND($K1090="对外销售",$T1090&lt;&gt;"",$T1090&lt;0),"※这一笔外销是亏的，请核对售价",IF(IFERROR(VLOOKUP($D1090,库存台账!$A$5:$Y$1204,24,0),0)&lt;-0.001,"※这个物料账面已经变成负数了，查一下是不是漏记入库","")))))))))))</f>
        <v/>
      </c>
    </row>
    <row r="1091">
      <c r="A1091" s="24">
        <f>IF($D1091="","",COUNTA($D$4:$D1091))</f>
        <v/>
      </c>
      <c r="B1091" s="17" t="n"/>
      <c r="C1091" s="30" t="n"/>
      <c r="D1091" s="17" t="n"/>
      <c r="E1091" s="24">
        <f>IF($D1091="","",IFERROR(VLOOKUP($D1091,物料档案!$A$4:$P$1203,3,0),"※编码不在物料档案里"))</f>
        <v/>
      </c>
      <c r="F1091" s="24">
        <f>IF($D1091="","",IFERROR(VLOOKUP($D1091,物料档案!$A$4:$P$1203,4,0),"※编码不在物料档案里"))</f>
        <v/>
      </c>
      <c r="G1091" s="24">
        <f>IF($D1091="","",IFERROR(VLOOKUP($D1091,物料档案!$A$4:$P$1203,5,0),"※编码不在物料档案里"))</f>
        <v/>
      </c>
      <c r="H1091" s="24">
        <f>IF($D1091="","",IFERROR(VLOOKUP($D1091,物料档案!$A$4:$P$1203,2,0),"※编码不在物料档案里"))</f>
        <v/>
      </c>
      <c r="I1091" s="24">
        <f>IF($D1091="","",IFERROR(VLOOKUP($D1091,物料档案!$A$4:$P$1203,6,0),"※编码不在物料档案里"))</f>
        <v/>
      </c>
      <c r="J1091" s="23" t="n"/>
      <c r="K1091" s="17" t="n"/>
      <c r="L1091" s="17" t="n"/>
      <c r="M1091" s="17" t="n"/>
      <c r="N1091" s="17" t="n"/>
      <c r="O1091" s="26">
        <f>IF($D1091="","",IFERROR(VLOOKUP($D1091,物料档案!$A$4:$P$1203,10,0),0))</f>
        <v/>
      </c>
      <c r="P1091" s="32" t="n"/>
      <c r="Q1091" s="26">
        <f>IF($D1091="","",IF($K1091&lt;&gt;"对外销售",0,ROUND(N($J1091)*IF($P1091="",N($O1091),N($P1091)),0)))</f>
        <v/>
      </c>
      <c r="R1091" s="26">
        <f>IF($D1091="","",IFERROR(VLOOKUP($D1091,库存台账!$A$5:$Y$1204,11,0),0))</f>
        <v/>
      </c>
      <c r="S1091" s="26">
        <f>IF($D1091="","",ROUND(N($J1091)*N($R1091),0))</f>
        <v/>
      </c>
      <c r="T1091" s="26">
        <f>IF($D1091="","",IF($K1091&lt;&gt;"对外销售","",ROUND($Q1091-$S1091,0)))</f>
        <v/>
      </c>
      <c r="U1091" s="17" t="n"/>
      <c r="V1091" s="17" t="n"/>
      <c r="W1091" s="24">
        <f>IF($D1091="","",IF($E1091="※编码不在物料档案里","※物料编码不在档案里",IF(N($J1091)&lt;=0,"※出库数量要大于 0",IF($K1091="","※没填去向类型",IF($L1091="","※没填去向矿区",IF(AND($C1091&lt;&gt;"",$C1091&lt;=结账锁),"※日期早于已结账截止日，不能再录",IF(AND($K1091="自用消耗",COUNTIF({"一矿区";"二矿区"},$L1091)=0),"※自用消耗的去向只能是一矿区或二矿区",IF(AND($K1091="对外销售",COUNTIF({"三矿区";"六矿区"},$L1091)=0),"※对外销售的去向只能是三矿区或六矿区",IF(AND($K1091="对外销售",ROUND($Q1091,0)=0),"※外销却没有售价，请填实际售价",IF(AND($K1091="对外销售",$T1091&lt;&gt;"",$T1091&lt;0),"※这一笔外销是亏的，请核对售价",IF(IFERROR(VLOOKUP($D1091,库存台账!$A$5:$Y$1204,24,0),0)&lt;-0.001,"※这个物料账面已经变成负数了，查一下是不是漏记入库","")))))))))))</f>
        <v/>
      </c>
    </row>
    <row r="1092">
      <c r="A1092" s="24">
        <f>IF($D1092="","",COUNTA($D$4:$D1092))</f>
        <v/>
      </c>
      <c r="B1092" s="17" t="n"/>
      <c r="C1092" s="30" t="n"/>
      <c r="D1092" s="17" t="n"/>
      <c r="E1092" s="24">
        <f>IF($D1092="","",IFERROR(VLOOKUP($D1092,物料档案!$A$4:$P$1203,3,0),"※编码不在物料档案里"))</f>
        <v/>
      </c>
      <c r="F1092" s="24">
        <f>IF($D1092="","",IFERROR(VLOOKUP($D1092,物料档案!$A$4:$P$1203,4,0),"※编码不在物料档案里"))</f>
        <v/>
      </c>
      <c r="G1092" s="24">
        <f>IF($D1092="","",IFERROR(VLOOKUP($D1092,物料档案!$A$4:$P$1203,5,0),"※编码不在物料档案里"))</f>
        <v/>
      </c>
      <c r="H1092" s="24">
        <f>IF($D1092="","",IFERROR(VLOOKUP($D1092,物料档案!$A$4:$P$1203,2,0),"※编码不在物料档案里"))</f>
        <v/>
      </c>
      <c r="I1092" s="24">
        <f>IF($D1092="","",IFERROR(VLOOKUP($D1092,物料档案!$A$4:$P$1203,6,0),"※编码不在物料档案里"))</f>
        <v/>
      </c>
      <c r="J1092" s="23" t="n"/>
      <c r="K1092" s="17" t="n"/>
      <c r="L1092" s="17" t="n"/>
      <c r="M1092" s="17" t="n"/>
      <c r="N1092" s="17" t="n"/>
      <c r="O1092" s="26">
        <f>IF($D1092="","",IFERROR(VLOOKUP($D1092,物料档案!$A$4:$P$1203,10,0),0))</f>
        <v/>
      </c>
      <c r="P1092" s="32" t="n"/>
      <c r="Q1092" s="26">
        <f>IF($D1092="","",IF($K1092&lt;&gt;"对外销售",0,ROUND(N($J1092)*IF($P1092="",N($O1092),N($P1092)),0)))</f>
        <v/>
      </c>
      <c r="R1092" s="26">
        <f>IF($D1092="","",IFERROR(VLOOKUP($D1092,库存台账!$A$5:$Y$1204,11,0),0))</f>
        <v/>
      </c>
      <c r="S1092" s="26">
        <f>IF($D1092="","",ROUND(N($J1092)*N($R1092),0))</f>
        <v/>
      </c>
      <c r="T1092" s="26">
        <f>IF($D1092="","",IF($K1092&lt;&gt;"对外销售","",ROUND($Q1092-$S1092,0)))</f>
        <v/>
      </c>
      <c r="U1092" s="17" t="n"/>
      <c r="V1092" s="17" t="n"/>
      <c r="W1092" s="24">
        <f>IF($D1092="","",IF($E1092="※编码不在物料档案里","※物料编码不在档案里",IF(N($J1092)&lt;=0,"※出库数量要大于 0",IF($K1092="","※没填去向类型",IF($L1092="","※没填去向矿区",IF(AND($C1092&lt;&gt;"",$C1092&lt;=结账锁),"※日期早于已结账截止日，不能再录",IF(AND($K1092="自用消耗",COUNTIF({"一矿区";"二矿区"},$L1092)=0),"※自用消耗的去向只能是一矿区或二矿区",IF(AND($K1092="对外销售",COUNTIF({"三矿区";"六矿区"},$L1092)=0),"※对外销售的去向只能是三矿区或六矿区",IF(AND($K1092="对外销售",ROUND($Q1092,0)=0),"※外销却没有售价，请填实际售价",IF(AND($K1092="对外销售",$T1092&lt;&gt;"",$T1092&lt;0),"※这一笔外销是亏的，请核对售价",IF(IFERROR(VLOOKUP($D1092,库存台账!$A$5:$Y$1204,24,0),0)&lt;-0.001,"※这个物料账面已经变成负数了，查一下是不是漏记入库","")))))))))))</f>
        <v/>
      </c>
    </row>
    <row r="1093">
      <c r="A1093" s="24">
        <f>IF($D1093="","",COUNTA($D$4:$D1093))</f>
        <v/>
      </c>
      <c r="B1093" s="17" t="n"/>
      <c r="C1093" s="30" t="n"/>
      <c r="D1093" s="17" t="n"/>
      <c r="E1093" s="24">
        <f>IF($D1093="","",IFERROR(VLOOKUP($D1093,物料档案!$A$4:$P$1203,3,0),"※编码不在物料档案里"))</f>
        <v/>
      </c>
      <c r="F1093" s="24">
        <f>IF($D1093="","",IFERROR(VLOOKUP($D1093,物料档案!$A$4:$P$1203,4,0),"※编码不在物料档案里"))</f>
        <v/>
      </c>
      <c r="G1093" s="24">
        <f>IF($D1093="","",IFERROR(VLOOKUP($D1093,物料档案!$A$4:$P$1203,5,0),"※编码不在物料档案里"))</f>
        <v/>
      </c>
      <c r="H1093" s="24">
        <f>IF($D1093="","",IFERROR(VLOOKUP($D1093,物料档案!$A$4:$P$1203,2,0),"※编码不在物料档案里"))</f>
        <v/>
      </c>
      <c r="I1093" s="24">
        <f>IF($D1093="","",IFERROR(VLOOKUP($D1093,物料档案!$A$4:$P$1203,6,0),"※编码不在物料档案里"))</f>
        <v/>
      </c>
      <c r="J1093" s="23" t="n"/>
      <c r="K1093" s="17" t="n"/>
      <c r="L1093" s="17" t="n"/>
      <c r="M1093" s="17" t="n"/>
      <c r="N1093" s="17" t="n"/>
      <c r="O1093" s="26">
        <f>IF($D1093="","",IFERROR(VLOOKUP($D1093,物料档案!$A$4:$P$1203,10,0),0))</f>
        <v/>
      </c>
      <c r="P1093" s="32" t="n"/>
      <c r="Q1093" s="26">
        <f>IF($D1093="","",IF($K1093&lt;&gt;"对外销售",0,ROUND(N($J1093)*IF($P1093="",N($O1093),N($P1093)),0)))</f>
        <v/>
      </c>
      <c r="R1093" s="26">
        <f>IF($D1093="","",IFERROR(VLOOKUP($D1093,库存台账!$A$5:$Y$1204,11,0),0))</f>
        <v/>
      </c>
      <c r="S1093" s="26">
        <f>IF($D1093="","",ROUND(N($J1093)*N($R1093),0))</f>
        <v/>
      </c>
      <c r="T1093" s="26">
        <f>IF($D1093="","",IF($K1093&lt;&gt;"对外销售","",ROUND($Q1093-$S1093,0)))</f>
        <v/>
      </c>
      <c r="U1093" s="17" t="n"/>
      <c r="V1093" s="17" t="n"/>
      <c r="W1093" s="24">
        <f>IF($D1093="","",IF($E1093="※编码不在物料档案里","※物料编码不在档案里",IF(N($J1093)&lt;=0,"※出库数量要大于 0",IF($K1093="","※没填去向类型",IF($L1093="","※没填去向矿区",IF(AND($C1093&lt;&gt;"",$C1093&lt;=结账锁),"※日期早于已结账截止日，不能再录",IF(AND($K1093="自用消耗",COUNTIF({"一矿区";"二矿区"},$L1093)=0),"※自用消耗的去向只能是一矿区或二矿区",IF(AND($K1093="对外销售",COUNTIF({"三矿区";"六矿区"},$L1093)=0),"※对外销售的去向只能是三矿区或六矿区",IF(AND($K1093="对外销售",ROUND($Q1093,0)=0),"※外销却没有售价，请填实际售价",IF(AND($K1093="对外销售",$T1093&lt;&gt;"",$T1093&lt;0),"※这一笔外销是亏的，请核对售价",IF(IFERROR(VLOOKUP($D1093,库存台账!$A$5:$Y$1204,24,0),0)&lt;-0.001,"※这个物料账面已经变成负数了，查一下是不是漏记入库","")))))))))))</f>
        <v/>
      </c>
    </row>
    <row r="1094">
      <c r="A1094" s="24">
        <f>IF($D1094="","",COUNTA($D$4:$D1094))</f>
        <v/>
      </c>
      <c r="B1094" s="17" t="n"/>
      <c r="C1094" s="30" t="n"/>
      <c r="D1094" s="17" t="n"/>
      <c r="E1094" s="24">
        <f>IF($D1094="","",IFERROR(VLOOKUP($D1094,物料档案!$A$4:$P$1203,3,0),"※编码不在物料档案里"))</f>
        <v/>
      </c>
      <c r="F1094" s="24">
        <f>IF($D1094="","",IFERROR(VLOOKUP($D1094,物料档案!$A$4:$P$1203,4,0),"※编码不在物料档案里"))</f>
        <v/>
      </c>
      <c r="G1094" s="24">
        <f>IF($D1094="","",IFERROR(VLOOKUP($D1094,物料档案!$A$4:$P$1203,5,0),"※编码不在物料档案里"))</f>
        <v/>
      </c>
      <c r="H1094" s="24">
        <f>IF($D1094="","",IFERROR(VLOOKUP($D1094,物料档案!$A$4:$P$1203,2,0),"※编码不在物料档案里"))</f>
        <v/>
      </c>
      <c r="I1094" s="24">
        <f>IF($D1094="","",IFERROR(VLOOKUP($D1094,物料档案!$A$4:$P$1203,6,0),"※编码不在物料档案里"))</f>
        <v/>
      </c>
      <c r="J1094" s="23" t="n"/>
      <c r="K1094" s="17" t="n"/>
      <c r="L1094" s="17" t="n"/>
      <c r="M1094" s="17" t="n"/>
      <c r="N1094" s="17" t="n"/>
      <c r="O1094" s="26">
        <f>IF($D1094="","",IFERROR(VLOOKUP($D1094,物料档案!$A$4:$P$1203,10,0),0))</f>
        <v/>
      </c>
      <c r="P1094" s="32" t="n"/>
      <c r="Q1094" s="26">
        <f>IF($D1094="","",IF($K1094&lt;&gt;"对外销售",0,ROUND(N($J1094)*IF($P1094="",N($O1094),N($P1094)),0)))</f>
        <v/>
      </c>
      <c r="R1094" s="26">
        <f>IF($D1094="","",IFERROR(VLOOKUP($D1094,库存台账!$A$5:$Y$1204,11,0),0))</f>
        <v/>
      </c>
      <c r="S1094" s="26">
        <f>IF($D1094="","",ROUND(N($J1094)*N($R1094),0))</f>
        <v/>
      </c>
      <c r="T1094" s="26">
        <f>IF($D1094="","",IF($K1094&lt;&gt;"对外销售","",ROUND($Q1094-$S1094,0)))</f>
        <v/>
      </c>
      <c r="U1094" s="17" t="n"/>
      <c r="V1094" s="17" t="n"/>
      <c r="W1094" s="24">
        <f>IF($D1094="","",IF($E1094="※编码不在物料档案里","※物料编码不在档案里",IF(N($J1094)&lt;=0,"※出库数量要大于 0",IF($K1094="","※没填去向类型",IF($L1094="","※没填去向矿区",IF(AND($C1094&lt;&gt;"",$C1094&lt;=结账锁),"※日期早于已结账截止日，不能再录",IF(AND($K1094="自用消耗",COUNTIF({"一矿区";"二矿区"},$L1094)=0),"※自用消耗的去向只能是一矿区或二矿区",IF(AND($K1094="对外销售",COUNTIF({"三矿区";"六矿区"},$L1094)=0),"※对外销售的去向只能是三矿区或六矿区",IF(AND($K1094="对外销售",ROUND($Q1094,0)=0),"※外销却没有售价，请填实际售价",IF(AND($K1094="对外销售",$T1094&lt;&gt;"",$T1094&lt;0),"※这一笔外销是亏的，请核对售价",IF(IFERROR(VLOOKUP($D1094,库存台账!$A$5:$Y$1204,24,0),0)&lt;-0.001,"※这个物料账面已经变成负数了，查一下是不是漏记入库","")))))))))))</f>
        <v/>
      </c>
    </row>
    <row r="1095">
      <c r="A1095" s="24">
        <f>IF($D1095="","",COUNTA($D$4:$D1095))</f>
        <v/>
      </c>
      <c r="B1095" s="17" t="n"/>
      <c r="C1095" s="30" t="n"/>
      <c r="D1095" s="17" t="n"/>
      <c r="E1095" s="24">
        <f>IF($D1095="","",IFERROR(VLOOKUP($D1095,物料档案!$A$4:$P$1203,3,0),"※编码不在物料档案里"))</f>
        <v/>
      </c>
      <c r="F1095" s="24">
        <f>IF($D1095="","",IFERROR(VLOOKUP($D1095,物料档案!$A$4:$P$1203,4,0),"※编码不在物料档案里"))</f>
        <v/>
      </c>
      <c r="G1095" s="24">
        <f>IF($D1095="","",IFERROR(VLOOKUP($D1095,物料档案!$A$4:$P$1203,5,0),"※编码不在物料档案里"))</f>
        <v/>
      </c>
      <c r="H1095" s="24">
        <f>IF($D1095="","",IFERROR(VLOOKUP($D1095,物料档案!$A$4:$P$1203,2,0),"※编码不在物料档案里"))</f>
        <v/>
      </c>
      <c r="I1095" s="24">
        <f>IF($D1095="","",IFERROR(VLOOKUP($D1095,物料档案!$A$4:$P$1203,6,0),"※编码不在物料档案里"))</f>
        <v/>
      </c>
      <c r="J1095" s="23" t="n"/>
      <c r="K1095" s="17" t="n"/>
      <c r="L1095" s="17" t="n"/>
      <c r="M1095" s="17" t="n"/>
      <c r="N1095" s="17" t="n"/>
      <c r="O1095" s="26">
        <f>IF($D1095="","",IFERROR(VLOOKUP($D1095,物料档案!$A$4:$P$1203,10,0),0))</f>
        <v/>
      </c>
      <c r="P1095" s="32" t="n"/>
      <c r="Q1095" s="26">
        <f>IF($D1095="","",IF($K1095&lt;&gt;"对外销售",0,ROUND(N($J1095)*IF($P1095="",N($O1095),N($P1095)),0)))</f>
        <v/>
      </c>
      <c r="R1095" s="26">
        <f>IF($D1095="","",IFERROR(VLOOKUP($D1095,库存台账!$A$5:$Y$1204,11,0),0))</f>
        <v/>
      </c>
      <c r="S1095" s="26">
        <f>IF($D1095="","",ROUND(N($J1095)*N($R1095),0))</f>
        <v/>
      </c>
      <c r="T1095" s="26">
        <f>IF($D1095="","",IF($K1095&lt;&gt;"对外销售","",ROUND($Q1095-$S1095,0)))</f>
        <v/>
      </c>
      <c r="U1095" s="17" t="n"/>
      <c r="V1095" s="17" t="n"/>
      <c r="W1095" s="24">
        <f>IF($D1095="","",IF($E1095="※编码不在物料档案里","※物料编码不在档案里",IF(N($J1095)&lt;=0,"※出库数量要大于 0",IF($K1095="","※没填去向类型",IF($L1095="","※没填去向矿区",IF(AND($C1095&lt;&gt;"",$C1095&lt;=结账锁),"※日期早于已结账截止日，不能再录",IF(AND($K1095="自用消耗",COUNTIF({"一矿区";"二矿区"},$L1095)=0),"※自用消耗的去向只能是一矿区或二矿区",IF(AND($K1095="对外销售",COUNTIF({"三矿区";"六矿区"},$L1095)=0),"※对外销售的去向只能是三矿区或六矿区",IF(AND($K1095="对外销售",ROUND($Q1095,0)=0),"※外销却没有售价，请填实际售价",IF(AND($K1095="对外销售",$T1095&lt;&gt;"",$T1095&lt;0),"※这一笔外销是亏的，请核对售价",IF(IFERROR(VLOOKUP($D1095,库存台账!$A$5:$Y$1204,24,0),0)&lt;-0.001,"※这个物料账面已经变成负数了，查一下是不是漏记入库","")))))))))))</f>
        <v/>
      </c>
    </row>
    <row r="1096">
      <c r="A1096" s="24">
        <f>IF($D1096="","",COUNTA($D$4:$D1096))</f>
        <v/>
      </c>
      <c r="B1096" s="17" t="n"/>
      <c r="C1096" s="30" t="n"/>
      <c r="D1096" s="17" t="n"/>
      <c r="E1096" s="24">
        <f>IF($D1096="","",IFERROR(VLOOKUP($D1096,物料档案!$A$4:$P$1203,3,0),"※编码不在物料档案里"))</f>
        <v/>
      </c>
      <c r="F1096" s="24">
        <f>IF($D1096="","",IFERROR(VLOOKUP($D1096,物料档案!$A$4:$P$1203,4,0),"※编码不在物料档案里"))</f>
        <v/>
      </c>
      <c r="G1096" s="24">
        <f>IF($D1096="","",IFERROR(VLOOKUP($D1096,物料档案!$A$4:$P$1203,5,0),"※编码不在物料档案里"))</f>
        <v/>
      </c>
      <c r="H1096" s="24">
        <f>IF($D1096="","",IFERROR(VLOOKUP($D1096,物料档案!$A$4:$P$1203,2,0),"※编码不在物料档案里"))</f>
        <v/>
      </c>
      <c r="I1096" s="24">
        <f>IF($D1096="","",IFERROR(VLOOKUP($D1096,物料档案!$A$4:$P$1203,6,0),"※编码不在物料档案里"))</f>
        <v/>
      </c>
      <c r="J1096" s="23" t="n"/>
      <c r="K1096" s="17" t="n"/>
      <c r="L1096" s="17" t="n"/>
      <c r="M1096" s="17" t="n"/>
      <c r="N1096" s="17" t="n"/>
      <c r="O1096" s="26">
        <f>IF($D1096="","",IFERROR(VLOOKUP($D1096,物料档案!$A$4:$P$1203,10,0),0))</f>
        <v/>
      </c>
      <c r="P1096" s="32" t="n"/>
      <c r="Q1096" s="26">
        <f>IF($D1096="","",IF($K1096&lt;&gt;"对外销售",0,ROUND(N($J1096)*IF($P1096="",N($O1096),N($P1096)),0)))</f>
        <v/>
      </c>
      <c r="R1096" s="26">
        <f>IF($D1096="","",IFERROR(VLOOKUP($D1096,库存台账!$A$5:$Y$1204,11,0),0))</f>
        <v/>
      </c>
      <c r="S1096" s="26">
        <f>IF($D1096="","",ROUND(N($J1096)*N($R1096),0))</f>
        <v/>
      </c>
      <c r="T1096" s="26">
        <f>IF($D1096="","",IF($K1096&lt;&gt;"对外销售","",ROUND($Q1096-$S1096,0)))</f>
        <v/>
      </c>
      <c r="U1096" s="17" t="n"/>
      <c r="V1096" s="17" t="n"/>
      <c r="W1096" s="24">
        <f>IF($D1096="","",IF($E1096="※编码不在物料档案里","※物料编码不在档案里",IF(N($J1096)&lt;=0,"※出库数量要大于 0",IF($K1096="","※没填去向类型",IF($L1096="","※没填去向矿区",IF(AND($C1096&lt;&gt;"",$C1096&lt;=结账锁),"※日期早于已结账截止日，不能再录",IF(AND($K1096="自用消耗",COUNTIF({"一矿区";"二矿区"},$L1096)=0),"※自用消耗的去向只能是一矿区或二矿区",IF(AND($K1096="对外销售",COUNTIF({"三矿区";"六矿区"},$L1096)=0),"※对外销售的去向只能是三矿区或六矿区",IF(AND($K1096="对外销售",ROUND($Q1096,0)=0),"※外销却没有售价，请填实际售价",IF(AND($K1096="对外销售",$T1096&lt;&gt;"",$T1096&lt;0),"※这一笔外销是亏的，请核对售价",IF(IFERROR(VLOOKUP($D1096,库存台账!$A$5:$Y$1204,24,0),0)&lt;-0.001,"※这个物料账面已经变成负数了，查一下是不是漏记入库","")))))))))))</f>
        <v/>
      </c>
    </row>
    <row r="1097">
      <c r="A1097" s="24">
        <f>IF($D1097="","",COUNTA($D$4:$D1097))</f>
        <v/>
      </c>
      <c r="B1097" s="17" t="n"/>
      <c r="C1097" s="30" t="n"/>
      <c r="D1097" s="17" t="n"/>
      <c r="E1097" s="24">
        <f>IF($D1097="","",IFERROR(VLOOKUP($D1097,物料档案!$A$4:$P$1203,3,0),"※编码不在物料档案里"))</f>
        <v/>
      </c>
      <c r="F1097" s="24">
        <f>IF($D1097="","",IFERROR(VLOOKUP($D1097,物料档案!$A$4:$P$1203,4,0),"※编码不在物料档案里"))</f>
        <v/>
      </c>
      <c r="G1097" s="24">
        <f>IF($D1097="","",IFERROR(VLOOKUP($D1097,物料档案!$A$4:$P$1203,5,0),"※编码不在物料档案里"))</f>
        <v/>
      </c>
      <c r="H1097" s="24">
        <f>IF($D1097="","",IFERROR(VLOOKUP($D1097,物料档案!$A$4:$P$1203,2,0),"※编码不在物料档案里"))</f>
        <v/>
      </c>
      <c r="I1097" s="24">
        <f>IF($D1097="","",IFERROR(VLOOKUP($D1097,物料档案!$A$4:$P$1203,6,0),"※编码不在物料档案里"))</f>
        <v/>
      </c>
      <c r="J1097" s="23" t="n"/>
      <c r="K1097" s="17" t="n"/>
      <c r="L1097" s="17" t="n"/>
      <c r="M1097" s="17" t="n"/>
      <c r="N1097" s="17" t="n"/>
      <c r="O1097" s="26">
        <f>IF($D1097="","",IFERROR(VLOOKUP($D1097,物料档案!$A$4:$P$1203,10,0),0))</f>
        <v/>
      </c>
      <c r="P1097" s="32" t="n"/>
      <c r="Q1097" s="26">
        <f>IF($D1097="","",IF($K1097&lt;&gt;"对外销售",0,ROUND(N($J1097)*IF($P1097="",N($O1097),N($P1097)),0)))</f>
        <v/>
      </c>
      <c r="R1097" s="26">
        <f>IF($D1097="","",IFERROR(VLOOKUP($D1097,库存台账!$A$5:$Y$1204,11,0),0))</f>
        <v/>
      </c>
      <c r="S1097" s="26">
        <f>IF($D1097="","",ROUND(N($J1097)*N($R1097),0))</f>
        <v/>
      </c>
      <c r="T1097" s="26">
        <f>IF($D1097="","",IF($K1097&lt;&gt;"对外销售","",ROUND($Q1097-$S1097,0)))</f>
        <v/>
      </c>
      <c r="U1097" s="17" t="n"/>
      <c r="V1097" s="17" t="n"/>
      <c r="W1097" s="24">
        <f>IF($D1097="","",IF($E1097="※编码不在物料档案里","※物料编码不在档案里",IF(N($J1097)&lt;=0,"※出库数量要大于 0",IF($K1097="","※没填去向类型",IF($L1097="","※没填去向矿区",IF(AND($C1097&lt;&gt;"",$C1097&lt;=结账锁),"※日期早于已结账截止日，不能再录",IF(AND($K1097="自用消耗",COUNTIF({"一矿区";"二矿区"},$L1097)=0),"※自用消耗的去向只能是一矿区或二矿区",IF(AND($K1097="对外销售",COUNTIF({"三矿区";"六矿区"},$L1097)=0),"※对外销售的去向只能是三矿区或六矿区",IF(AND($K1097="对外销售",ROUND($Q1097,0)=0),"※外销却没有售价，请填实际售价",IF(AND($K1097="对外销售",$T1097&lt;&gt;"",$T1097&lt;0),"※这一笔外销是亏的，请核对售价",IF(IFERROR(VLOOKUP($D1097,库存台账!$A$5:$Y$1204,24,0),0)&lt;-0.001,"※这个物料账面已经变成负数了，查一下是不是漏记入库","")))))))))))</f>
        <v/>
      </c>
    </row>
    <row r="1098">
      <c r="A1098" s="24">
        <f>IF($D1098="","",COUNTA($D$4:$D1098))</f>
        <v/>
      </c>
      <c r="B1098" s="17" t="n"/>
      <c r="C1098" s="30" t="n"/>
      <c r="D1098" s="17" t="n"/>
      <c r="E1098" s="24">
        <f>IF($D1098="","",IFERROR(VLOOKUP($D1098,物料档案!$A$4:$P$1203,3,0),"※编码不在物料档案里"))</f>
        <v/>
      </c>
      <c r="F1098" s="24">
        <f>IF($D1098="","",IFERROR(VLOOKUP($D1098,物料档案!$A$4:$P$1203,4,0),"※编码不在物料档案里"))</f>
        <v/>
      </c>
      <c r="G1098" s="24">
        <f>IF($D1098="","",IFERROR(VLOOKUP($D1098,物料档案!$A$4:$P$1203,5,0),"※编码不在物料档案里"))</f>
        <v/>
      </c>
      <c r="H1098" s="24">
        <f>IF($D1098="","",IFERROR(VLOOKUP($D1098,物料档案!$A$4:$P$1203,2,0),"※编码不在物料档案里"))</f>
        <v/>
      </c>
      <c r="I1098" s="24">
        <f>IF($D1098="","",IFERROR(VLOOKUP($D1098,物料档案!$A$4:$P$1203,6,0),"※编码不在物料档案里"))</f>
        <v/>
      </c>
      <c r="J1098" s="23" t="n"/>
      <c r="K1098" s="17" t="n"/>
      <c r="L1098" s="17" t="n"/>
      <c r="M1098" s="17" t="n"/>
      <c r="N1098" s="17" t="n"/>
      <c r="O1098" s="26">
        <f>IF($D1098="","",IFERROR(VLOOKUP($D1098,物料档案!$A$4:$P$1203,10,0),0))</f>
        <v/>
      </c>
      <c r="P1098" s="32" t="n"/>
      <c r="Q1098" s="26">
        <f>IF($D1098="","",IF($K1098&lt;&gt;"对外销售",0,ROUND(N($J1098)*IF($P1098="",N($O1098),N($P1098)),0)))</f>
        <v/>
      </c>
      <c r="R1098" s="26">
        <f>IF($D1098="","",IFERROR(VLOOKUP($D1098,库存台账!$A$5:$Y$1204,11,0),0))</f>
        <v/>
      </c>
      <c r="S1098" s="26">
        <f>IF($D1098="","",ROUND(N($J1098)*N($R1098),0))</f>
        <v/>
      </c>
      <c r="T1098" s="26">
        <f>IF($D1098="","",IF($K1098&lt;&gt;"对外销售","",ROUND($Q1098-$S1098,0)))</f>
        <v/>
      </c>
      <c r="U1098" s="17" t="n"/>
      <c r="V1098" s="17" t="n"/>
      <c r="W1098" s="24">
        <f>IF($D1098="","",IF($E1098="※编码不在物料档案里","※物料编码不在档案里",IF(N($J1098)&lt;=0,"※出库数量要大于 0",IF($K1098="","※没填去向类型",IF($L1098="","※没填去向矿区",IF(AND($C1098&lt;&gt;"",$C1098&lt;=结账锁),"※日期早于已结账截止日，不能再录",IF(AND($K1098="自用消耗",COUNTIF({"一矿区";"二矿区"},$L1098)=0),"※自用消耗的去向只能是一矿区或二矿区",IF(AND($K1098="对外销售",COUNTIF({"三矿区";"六矿区"},$L1098)=0),"※对外销售的去向只能是三矿区或六矿区",IF(AND($K1098="对外销售",ROUND($Q1098,0)=0),"※外销却没有售价，请填实际售价",IF(AND($K1098="对外销售",$T1098&lt;&gt;"",$T1098&lt;0),"※这一笔外销是亏的，请核对售价",IF(IFERROR(VLOOKUP($D1098,库存台账!$A$5:$Y$1204,24,0),0)&lt;-0.001,"※这个物料账面已经变成负数了，查一下是不是漏记入库","")))))))))))</f>
        <v/>
      </c>
    </row>
    <row r="1099">
      <c r="A1099" s="24">
        <f>IF($D1099="","",COUNTA($D$4:$D1099))</f>
        <v/>
      </c>
      <c r="B1099" s="17" t="n"/>
      <c r="C1099" s="30" t="n"/>
      <c r="D1099" s="17" t="n"/>
      <c r="E1099" s="24">
        <f>IF($D1099="","",IFERROR(VLOOKUP($D1099,物料档案!$A$4:$P$1203,3,0),"※编码不在物料档案里"))</f>
        <v/>
      </c>
      <c r="F1099" s="24">
        <f>IF($D1099="","",IFERROR(VLOOKUP($D1099,物料档案!$A$4:$P$1203,4,0),"※编码不在物料档案里"))</f>
        <v/>
      </c>
      <c r="G1099" s="24">
        <f>IF($D1099="","",IFERROR(VLOOKUP($D1099,物料档案!$A$4:$P$1203,5,0),"※编码不在物料档案里"))</f>
        <v/>
      </c>
      <c r="H1099" s="24">
        <f>IF($D1099="","",IFERROR(VLOOKUP($D1099,物料档案!$A$4:$P$1203,2,0),"※编码不在物料档案里"))</f>
        <v/>
      </c>
      <c r="I1099" s="24">
        <f>IF($D1099="","",IFERROR(VLOOKUP($D1099,物料档案!$A$4:$P$1203,6,0),"※编码不在物料档案里"))</f>
        <v/>
      </c>
      <c r="J1099" s="23" t="n"/>
      <c r="K1099" s="17" t="n"/>
      <c r="L1099" s="17" t="n"/>
      <c r="M1099" s="17" t="n"/>
      <c r="N1099" s="17" t="n"/>
      <c r="O1099" s="26">
        <f>IF($D1099="","",IFERROR(VLOOKUP($D1099,物料档案!$A$4:$P$1203,10,0),0))</f>
        <v/>
      </c>
      <c r="P1099" s="32" t="n"/>
      <c r="Q1099" s="26">
        <f>IF($D1099="","",IF($K1099&lt;&gt;"对外销售",0,ROUND(N($J1099)*IF($P1099="",N($O1099),N($P1099)),0)))</f>
        <v/>
      </c>
      <c r="R1099" s="26">
        <f>IF($D1099="","",IFERROR(VLOOKUP($D1099,库存台账!$A$5:$Y$1204,11,0),0))</f>
        <v/>
      </c>
      <c r="S1099" s="26">
        <f>IF($D1099="","",ROUND(N($J1099)*N($R1099),0))</f>
        <v/>
      </c>
      <c r="T1099" s="26">
        <f>IF($D1099="","",IF($K1099&lt;&gt;"对外销售","",ROUND($Q1099-$S1099,0)))</f>
        <v/>
      </c>
      <c r="U1099" s="17" t="n"/>
      <c r="V1099" s="17" t="n"/>
      <c r="W1099" s="24">
        <f>IF($D1099="","",IF($E1099="※编码不在物料档案里","※物料编码不在档案里",IF(N($J1099)&lt;=0,"※出库数量要大于 0",IF($K1099="","※没填去向类型",IF($L1099="","※没填去向矿区",IF(AND($C1099&lt;&gt;"",$C1099&lt;=结账锁),"※日期早于已结账截止日，不能再录",IF(AND($K1099="自用消耗",COUNTIF({"一矿区";"二矿区"},$L1099)=0),"※自用消耗的去向只能是一矿区或二矿区",IF(AND($K1099="对外销售",COUNTIF({"三矿区";"六矿区"},$L1099)=0),"※对外销售的去向只能是三矿区或六矿区",IF(AND($K1099="对外销售",ROUND($Q1099,0)=0),"※外销却没有售价，请填实际售价",IF(AND($K1099="对外销售",$T1099&lt;&gt;"",$T1099&lt;0),"※这一笔外销是亏的，请核对售价",IF(IFERROR(VLOOKUP($D1099,库存台账!$A$5:$Y$1204,24,0),0)&lt;-0.001,"※这个物料账面已经变成负数了，查一下是不是漏记入库","")))))))))))</f>
        <v/>
      </c>
    </row>
    <row r="1100">
      <c r="A1100" s="24">
        <f>IF($D1100="","",COUNTA($D$4:$D1100))</f>
        <v/>
      </c>
      <c r="B1100" s="17" t="n"/>
      <c r="C1100" s="30" t="n"/>
      <c r="D1100" s="17" t="n"/>
      <c r="E1100" s="24">
        <f>IF($D1100="","",IFERROR(VLOOKUP($D1100,物料档案!$A$4:$P$1203,3,0),"※编码不在物料档案里"))</f>
        <v/>
      </c>
      <c r="F1100" s="24">
        <f>IF($D1100="","",IFERROR(VLOOKUP($D1100,物料档案!$A$4:$P$1203,4,0),"※编码不在物料档案里"))</f>
        <v/>
      </c>
      <c r="G1100" s="24">
        <f>IF($D1100="","",IFERROR(VLOOKUP($D1100,物料档案!$A$4:$P$1203,5,0),"※编码不在物料档案里"))</f>
        <v/>
      </c>
      <c r="H1100" s="24">
        <f>IF($D1100="","",IFERROR(VLOOKUP($D1100,物料档案!$A$4:$P$1203,2,0),"※编码不在物料档案里"))</f>
        <v/>
      </c>
      <c r="I1100" s="24">
        <f>IF($D1100="","",IFERROR(VLOOKUP($D1100,物料档案!$A$4:$P$1203,6,0),"※编码不在物料档案里"))</f>
        <v/>
      </c>
      <c r="J1100" s="23" t="n"/>
      <c r="K1100" s="17" t="n"/>
      <c r="L1100" s="17" t="n"/>
      <c r="M1100" s="17" t="n"/>
      <c r="N1100" s="17" t="n"/>
      <c r="O1100" s="26">
        <f>IF($D1100="","",IFERROR(VLOOKUP($D1100,物料档案!$A$4:$P$1203,10,0),0))</f>
        <v/>
      </c>
      <c r="P1100" s="32" t="n"/>
      <c r="Q1100" s="26">
        <f>IF($D1100="","",IF($K1100&lt;&gt;"对外销售",0,ROUND(N($J1100)*IF($P1100="",N($O1100),N($P1100)),0)))</f>
        <v/>
      </c>
      <c r="R1100" s="26">
        <f>IF($D1100="","",IFERROR(VLOOKUP($D1100,库存台账!$A$5:$Y$1204,11,0),0))</f>
        <v/>
      </c>
      <c r="S1100" s="26">
        <f>IF($D1100="","",ROUND(N($J1100)*N($R1100),0))</f>
        <v/>
      </c>
      <c r="T1100" s="26">
        <f>IF($D1100="","",IF($K1100&lt;&gt;"对外销售","",ROUND($Q1100-$S1100,0)))</f>
        <v/>
      </c>
      <c r="U1100" s="17" t="n"/>
      <c r="V1100" s="17" t="n"/>
      <c r="W1100" s="24">
        <f>IF($D1100="","",IF($E1100="※编码不在物料档案里","※物料编码不在档案里",IF(N($J1100)&lt;=0,"※出库数量要大于 0",IF($K1100="","※没填去向类型",IF($L1100="","※没填去向矿区",IF(AND($C1100&lt;&gt;"",$C1100&lt;=结账锁),"※日期早于已结账截止日，不能再录",IF(AND($K1100="自用消耗",COUNTIF({"一矿区";"二矿区"},$L1100)=0),"※自用消耗的去向只能是一矿区或二矿区",IF(AND($K1100="对外销售",COUNTIF({"三矿区";"六矿区"},$L1100)=0),"※对外销售的去向只能是三矿区或六矿区",IF(AND($K1100="对外销售",ROUND($Q1100,0)=0),"※外销却没有售价，请填实际售价",IF(AND($K1100="对外销售",$T1100&lt;&gt;"",$T1100&lt;0),"※这一笔外销是亏的，请核对售价",IF(IFERROR(VLOOKUP($D1100,库存台账!$A$5:$Y$1204,24,0),0)&lt;-0.001,"※这个物料账面已经变成负数了，查一下是不是漏记入库","")))))))))))</f>
        <v/>
      </c>
    </row>
    <row r="1101">
      <c r="A1101" s="24">
        <f>IF($D1101="","",COUNTA($D$4:$D1101))</f>
        <v/>
      </c>
      <c r="B1101" s="17" t="n"/>
      <c r="C1101" s="30" t="n"/>
      <c r="D1101" s="17" t="n"/>
      <c r="E1101" s="24">
        <f>IF($D1101="","",IFERROR(VLOOKUP($D1101,物料档案!$A$4:$P$1203,3,0),"※编码不在物料档案里"))</f>
        <v/>
      </c>
      <c r="F1101" s="24">
        <f>IF($D1101="","",IFERROR(VLOOKUP($D1101,物料档案!$A$4:$P$1203,4,0),"※编码不在物料档案里"))</f>
        <v/>
      </c>
      <c r="G1101" s="24">
        <f>IF($D1101="","",IFERROR(VLOOKUP($D1101,物料档案!$A$4:$P$1203,5,0),"※编码不在物料档案里"))</f>
        <v/>
      </c>
      <c r="H1101" s="24">
        <f>IF($D1101="","",IFERROR(VLOOKUP($D1101,物料档案!$A$4:$P$1203,2,0),"※编码不在物料档案里"))</f>
        <v/>
      </c>
      <c r="I1101" s="24">
        <f>IF($D1101="","",IFERROR(VLOOKUP($D1101,物料档案!$A$4:$P$1203,6,0),"※编码不在物料档案里"))</f>
        <v/>
      </c>
      <c r="J1101" s="23" t="n"/>
      <c r="K1101" s="17" t="n"/>
      <c r="L1101" s="17" t="n"/>
      <c r="M1101" s="17" t="n"/>
      <c r="N1101" s="17" t="n"/>
      <c r="O1101" s="26">
        <f>IF($D1101="","",IFERROR(VLOOKUP($D1101,物料档案!$A$4:$P$1203,10,0),0))</f>
        <v/>
      </c>
      <c r="P1101" s="32" t="n"/>
      <c r="Q1101" s="26">
        <f>IF($D1101="","",IF($K1101&lt;&gt;"对外销售",0,ROUND(N($J1101)*IF($P1101="",N($O1101),N($P1101)),0)))</f>
        <v/>
      </c>
      <c r="R1101" s="26">
        <f>IF($D1101="","",IFERROR(VLOOKUP($D1101,库存台账!$A$5:$Y$1204,11,0),0))</f>
        <v/>
      </c>
      <c r="S1101" s="26">
        <f>IF($D1101="","",ROUND(N($J1101)*N($R1101),0))</f>
        <v/>
      </c>
      <c r="T1101" s="26">
        <f>IF($D1101="","",IF($K1101&lt;&gt;"对外销售","",ROUND($Q1101-$S1101,0)))</f>
        <v/>
      </c>
      <c r="U1101" s="17" t="n"/>
      <c r="V1101" s="17" t="n"/>
      <c r="W1101" s="24">
        <f>IF($D1101="","",IF($E1101="※编码不在物料档案里","※物料编码不在档案里",IF(N($J1101)&lt;=0,"※出库数量要大于 0",IF($K1101="","※没填去向类型",IF($L1101="","※没填去向矿区",IF(AND($C1101&lt;&gt;"",$C1101&lt;=结账锁),"※日期早于已结账截止日，不能再录",IF(AND($K1101="自用消耗",COUNTIF({"一矿区";"二矿区"},$L1101)=0),"※自用消耗的去向只能是一矿区或二矿区",IF(AND($K1101="对外销售",COUNTIF({"三矿区";"六矿区"},$L1101)=0),"※对外销售的去向只能是三矿区或六矿区",IF(AND($K1101="对外销售",ROUND($Q1101,0)=0),"※外销却没有售价，请填实际售价",IF(AND($K1101="对外销售",$T1101&lt;&gt;"",$T1101&lt;0),"※这一笔外销是亏的，请核对售价",IF(IFERROR(VLOOKUP($D1101,库存台账!$A$5:$Y$1204,24,0),0)&lt;-0.001,"※这个物料账面已经变成负数了，查一下是不是漏记入库","")))))))))))</f>
        <v/>
      </c>
    </row>
    <row r="1102">
      <c r="A1102" s="24">
        <f>IF($D1102="","",COUNTA($D$4:$D1102))</f>
        <v/>
      </c>
      <c r="B1102" s="17" t="n"/>
      <c r="C1102" s="30" t="n"/>
      <c r="D1102" s="17" t="n"/>
      <c r="E1102" s="24">
        <f>IF($D1102="","",IFERROR(VLOOKUP($D1102,物料档案!$A$4:$P$1203,3,0),"※编码不在物料档案里"))</f>
        <v/>
      </c>
      <c r="F1102" s="24">
        <f>IF($D1102="","",IFERROR(VLOOKUP($D1102,物料档案!$A$4:$P$1203,4,0),"※编码不在物料档案里"))</f>
        <v/>
      </c>
      <c r="G1102" s="24">
        <f>IF($D1102="","",IFERROR(VLOOKUP($D1102,物料档案!$A$4:$P$1203,5,0),"※编码不在物料档案里"))</f>
        <v/>
      </c>
      <c r="H1102" s="24">
        <f>IF($D1102="","",IFERROR(VLOOKUP($D1102,物料档案!$A$4:$P$1203,2,0),"※编码不在物料档案里"))</f>
        <v/>
      </c>
      <c r="I1102" s="24">
        <f>IF($D1102="","",IFERROR(VLOOKUP($D1102,物料档案!$A$4:$P$1203,6,0),"※编码不在物料档案里"))</f>
        <v/>
      </c>
      <c r="J1102" s="23" t="n"/>
      <c r="K1102" s="17" t="n"/>
      <c r="L1102" s="17" t="n"/>
      <c r="M1102" s="17" t="n"/>
      <c r="N1102" s="17" t="n"/>
      <c r="O1102" s="26">
        <f>IF($D1102="","",IFERROR(VLOOKUP($D1102,物料档案!$A$4:$P$1203,10,0),0))</f>
        <v/>
      </c>
      <c r="P1102" s="32" t="n"/>
      <c r="Q1102" s="26">
        <f>IF($D1102="","",IF($K1102&lt;&gt;"对外销售",0,ROUND(N($J1102)*IF($P1102="",N($O1102),N($P1102)),0)))</f>
        <v/>
      </c>
      <c r="R1102" s="26">
        <f>IF($D1102="","",IFERROR(VLOOKUP($D1102,库存台账!$A$5:$Y$1204,11,0),0))</f>
        <v/>
      </c>
      <c r="S1102" s="26">
        <f>IF($D1102="","",ROUND(N($J1102)*N($R1102),0))</f>
        <v/>
      </c>
      <c r="T1102" s="26">
        <f>IF($D1102="","",IF($K1102&lt;&gt;"对外销售","",ROUND($Q1102-$S1102,0)))</f>
        <v/>
      </c>
      <c r="U1102" s="17" t="n"/>
      <c r="V1102" s="17" t="n"/>
      <c r="W1102" s="24">
        <f>IF($D1102="","",IF($E1102="※编码不在物料档案里","※物料编码不在档案里",IF(N($J1102)&lt;=0,"※出库数量要大于 0",IF($K1102="","※没填去向类型",IF($L1102="","※没填去向矿区",IF(AND($C1102&lt;&gt;"",$C1102&lt;=结账锁),"※日期早于已结账截止日，不能再录",IF(AND($K1102="自用消耗",COUNTIF({"一矿区";"二矿区"},$L1102)=0),"※自用消耗的去向只能是一矿区或二矿区",IF(AND($K1102="对外销售",COUNTIF({"三矿区";"六矿区"},$L1102)=0),"※对外销售的去向只能是三矿区或六矿区",IF(AND($K1102="对外销售",ROUND($Q1102,0)=0),"※外销却没有售价，请填实际售价",IF(AND($K1102="对外销售",$T1102&lt;&gt;"",$T1102&lt;0),"※这一笔外销是亏的，请核对售价",IF(IFERROR(VLOOKUP($D1102,库存台账!$A$5:$Y$1204,24,0),0)&lt;-0.001,"※这个物料账面已经变成负数了，查一下是不是漏记入库","")))))))))))</f>
        <v/>
      </c>
    </row>
    <row r="1103">
      <c r="A1103" s="24">
        <f>IF($D1103="","",COUNTA($D$4:$D1103))</f>
        <v/>
      </c>
      <c r="B1103" s="17" t="n"/>
      <c r="C1103" s="30" t="n"/>
      <c r="D1103" s="17" t="n"/>
      <c r="E1103" s="24">
        <f>IF($D1103="","",IFERROR(VLOOKUP($D1103,物料档案!$A$4:$P$1203,3,0),"※编码不在物料档案里"))</f>
        <v/>
      </c>
      <c r="F1103" s="24">
        <f>IF($D1103="","",IFERROR(VLOOKUP($D1103,物料档案!$A$4:$P$1203,4,0),"※编码不在物料档案里"))</f>
        <v/>
      </c>
      <c r="G1103" s="24">
        <f>IF($D1103="","",IFERROR(VLOOKUP($D1103,物料档案!$A$4:$P$1203,5,0),"※编码不在物料档案里"))</f>
        <v/>
      </c>
      <c r="H1103" s="24">
        <f>IF($D1103="","",IFERROR(VLOOKUP($D1103,物料档案!$A$4:$P$1203,2,0),"※编码不在物料档案里"))</f>
        <v/>
      </c>
      <c r="I1103" s="24">
        <f>IF($D1103="","",IFERROR(VLOOKUP($D1103,物料档案!$A$4:$P$1203,6,0),"※编码不在物料档案里"))</f>
        <v/>
      </c>
      <c r="J1103" s="23" t="n"/>
      <c r="K1103" s="17" t="n"/>
      <c r="L1103" s="17" t="n"/>
      <c r="M1103" s="17" t="n"/>
      <c r="N1103" s="17" t="n"/>
      <c r="O1103" s="26">
        <f>IF($D1103="","",IFERROR(VLOOKUP($D1103,物料档案!$A$4:$P$1203,10,0),0))</f>
        <v/>
      </c>
      <c r="P1103" s="32" t="n"/>
      <c r="Q1103" s="26">
        <f>IF($D1103="","",IF($K1103&lt;&gt;"对外销售",0,ROUND(N($J1103)*IF($P1103="",N($O1103),N($P1103)),0)))</f>
        <v/>
      </c>
      <c r="R1103" s="26">
        <f>IF($D1103="","",IFERROR(VLOOKUP($D1103,库存台账!$A$5:$Y$1204,11,0),0))</f>
        <v/>
      </c>
      <c r="S1103" s="26">
        <f>IF($D1103="","",ROUND(N($J1103)*N($R1103),0))</f>
        <v/>
      </c>
      <c r="T1103" s="26">
        <f>IF($D1103="","",IF($K1103&lt;&gt;"对外销售","",ROUND($Q1103-$S1103,0)))</f>
        <v/>
      </c>
      <c r="U1103" s="17" t="n"/>
      <c r="V1103" s="17" t="n"/>
      <c r="W1103" s="24">
        <f>IF($D1103="","",IF($E1103="※编码不在物料档案里","※物料编码不在档案里",IF(N($J1103)&lt;=0,"※出库数量要大于 0",IF($K1103="","※没填去向类型",IF($L1103="","※没填去向矿区",IF(AND($C1103&lt;&gt;"",$C1103&lt;=结账锁),"※日期早于已结账截止日，不能再录",IF(AND($K1103="自用消耗",COUNTIF({"一矿区";"二矿区"},$L1103)=0),"※自用消耗的去向只能是一矿区或二矿区",IF(AND($K1103="对外销售",COUNTIF({"三矿区";"六矿区"},$L1103)=0),"※对外销售的去向只能是三矿区或六矿区",IF(AND($K1103="对外销售",ROUND($Q1103,0)=0),"※外销却没有售价，请填实际售价",IF(AND($K1103="对外销售",$T1103&lt;&gt;"",$T1103&lt;0),"※这一笔外销是亏的，请核对售价",IF(IFERROR(VLOOKUP($D1103,库存台账!$A$5:$Y$1204,24,0),0)&lt;-0.001,"※这个物料账面已经变成负数了，查一下是不是漏记入库","")))))))))))</f>
        <v/>
      </c>
    </row>
    <row r="1104">
      <c r="A1104" s="24">
        <f>IF($D1104="","",COUNTA($D$4:$D1104))</f>
        <v/>
      </c>
      <c r="B1104" s="17" t="n"/>
      <c r="C1104" s="30" t="n"/>
      <c r="D1104" s="17" t="n"/>
      <c r="E1104" s="24">
        <f>IF($D1104="","",IFERROR(VLOOKUP($D1104,物料档案!$A$4:$P$1203,3,0),"※编码不在物料档案里"))</f>
        <v/>
      </c>
      <c r="F1104" s="24">
        <f>IF($D1104="","",IFERROR(VLOOKUP($D1104,物料档案!$A$4:$P$1203,4,0),"※编码不在物料档案里"))</f>
        <v/>
      </c>
      <c r="G1104" s="24">
        <f>IF($D1104="","",IFERROR(VLOOKUP($D1104,物料档案!$A$4:$P$1203,5,0),"※编码不在物料档案里"))</f>
        <v/>
      </c>
      <c r="H1104" s="24">
        <f>IF($D1104="","",IFERROR(VLOOKUP($D1104,物料档案!$A$4:$P$1203,2,0),"※编码不在物料档案里"))</f>
        <v/>
      </c>
      <c r="I1104" s="24">
        <f>IF($D1104="","",IFERROR(VLOOKUP($D1104,物料档案!$A$4:$P$1203,6,0),"※编码不在物料档案里"))</f>
        <v/>
      </c>
      <c r="J1104" s="23" t="n"/>
      <c r="K1104" s="17" t="n"/>
      <c r="L1104" s="17" t="n"/>
      <c r="M1104" s="17" t="n"/>
      <c r="N1104" s="17" t="n"/>
      <c r="O1104" s="26">
        <f>IF($D1104="","",IFERROR(VLOOKUP($D1104,物料档案!$A$4:$P$1203,10,0),0))</f>
        <v/>
      </c>
      <c r="P1104" s="32" t="n"/>
      <c r="Q1104" s="26">
        <f>IF($D1104="","",IF($K1104&lt;&gt;"对外销售",0,ROUND(N($J1104)*IF($P1104="",N($O1104),N($P1104)),0)))</f>
        <v/>
      </c>
      <c r="R1104" s="26">
        <f>IF($D1104="","",IFERROR(VLOOKUP($D1104,库存台账!$A$5:$Y$1204,11,0),0))</f>
        <v/>
      </c>
      <c r="S1104" s="26">
        <f>IF($D1104="","",ROUND(N($J1104)*N($R1104),0))</f>
        <v/>
      </c>
      <c r="T1104" s="26">
        <f>IF($D1104="","",IF($K1104&lt;&gt;"对外销售","",ROUND($Q1104-$S1104,0)))</f>
        <v/>
      </c>
      <c r="U1104" s="17" t="n"/>
      <c r="V1104" s="17" t="n"/>
      <c r="W1104" s="24">
        <f>IF($D1104="","",IF($E1104="※编码不在物料档案里","※物料编码不在档案里",IF(N($J1104)&lt;=0,"※出库数量要大于 0",IF($K1104="","※没填去向类型",IF($L1104="","※没填去向矿区",IF(AND($C1104&lt;&gt;"",$C1104&lt;=结账锁),"※日期早于已结账截止日，不能再录",IF(AND($K1104="自用消耗",COUNTIF({"一矿区";"二矿区"},$L1104)=0),"※自用消耗的去向只能是一矿区或二矿区",IF(AND($K1104="对外销售",COUNTIF({"三矿区";"六矿区"},$L1104)=0),"※对外销售的去向只能是三矿区或六矿区",IF(AND($K1104="对外销售",ROUND($Q1104,0)=0),"※外销却没有售价，请填实际售价",IF(AND($K1104="对外销售",$T1104&lt;&gt;"",$T1104&lt;0),"※这一笔外销是亏的，请核对售价",IF(IFERROR(VLOOKUP($D1104,库存台账!$A$5:$Y$1204,24,0),0)&lt;-0.001,"※这个物料账面已经变成负数了，查一下是不是漏记入库","")))))))))))</f>
        <v/>
      </c>
    </row>
    <row r="1105">
      <c r="A1105" s="24">
        <f>IF($D1105="","",COUNTA($D$4:$D1105))</f>
        <v/>
      </c>
      <c r="B1105" s="17" t="n"/>
      <c r="C1105" s="30" t="n"/>
      <c r="D1105" s="17" t="n"/>
      <c r="E1105" s="24">
        <f>IF($D1105="","",IFERROR(VLOOKUP($D1105,物料档案!$A$4:$P$1203,3,0),"※编码不在物料档案里"))</f>
        <v/>
      </c>
      <c r="F1105" s="24">
        <f>IF($D1105="","",IFERROR(VLOOKUP($D1105,物料档案!$A$4:$P$1203,4,0),"※编码不在物料档案里"))</f>
        <v/>
      </c>
      <c r="G1105" s="24">
        <f>IF($D1105="","",IFERROR(VLOOKUP($D1105,物料档案!$A$4:$P$1203,5,0),"※编码不在物料档案里"))</f>
        <v/>
      </c>
      <c r="H1105" s="24">
        <f>IF($D1105="","",IFERROR(VLOOKUP($D1105,物料档案!$A$4:$P$1203,2,0),"※编码不在物料档案里"))</f>
        <v/>
      </c>
      <c r="I1105" s="24">
        <f>IF($D1105="","",IFERROR(VLOOKUP($D1105,物料档案!$A$4:$P$1203,6,0),"※编码不在物料档案里"))</f>
        <v/>
      </c>
      <c r="J1105" s="23" t="n"/>
      <c r="K1105" s="17" t="n"/>
      <c r="L1105" s="17" t="n"/>
      <c r="M1105" s="17" t="n"/>
      <c r="N1105" s="17" t="n"/>
      <c r="O1105" s="26">
        <f>IF($D1105="","",IFERROR(VLOOKUP($D1105,物料档案!$A$4:$P$1203,10,0),0))</f>
        <v/>
      </c>
      <c r="P1105" s="32" t="n"/>
      <c r="Q1105" s="26">
        <f>IF($D1105="","",IF($K1105&lt;&gt;"对外销售",0,ROUND(N($J1105)*IF($P1105="",N($O1105),N($P1105)),0)))</f>
        <v/>
      </c>
      <c r="R1105" s="26">
        <f>IF($D1105="","",IFERROR(VLOOKUP($D1105,库存台账!$A$5:$Y$1204,11,0),0))</f>
        <v/>
      </c>
      <c r="S1105" s="26">
        <f>IF($D1105="","",ROUND(N($J1105)*N($R1105),0))</f>
        <v/>
      </c>
      <c r="T1105" s="26">
        <f>IF($D1105="","",IF($K1105&lt;&gt;"对外销售","",ROUND($Q1105-$S1105,0)))</f>
        <v/>
      </c>
      <c r="U1105" s="17" t="n"/>
      <c r="V1105" s="17" t="n"/>
      <c r="W1105" s="24">
        <f>IF($D1105="","",IF($E1105="※编码不在物料档案里","※物料编码不在档案里",IF(N($J1105)&lt;=0,"※出库数量要大于 0",IF($K1105="","※没填去向类型",IF($L1105="","※没填去向矿区",IF(AND($C1105&lt;&gt;"",$C1105&lt;=结账锁),"※日期早于已结账截止日，不能再录",IF(AND($K1105="自用消耗",COUNTIF({"一矿区";"二矿区"},$L1105)=0),"※自用消耗的去向只能是一矿区或二矿区",IF(AND($K1105="对外销售",COUNTIF({"三矿区";"六矿区"},$L1105)=0),"※对外销售的去向只能是三矿区或六矿区",IF(AND($K1105="对外销售",ROUND($Q1105,0)=0),"※外销却没有售价，请填实际售价",IF(AND($K1105="对外销售",$T1105&lt;&gt;"",$T1105&lt;0),"※这一笔外销是亏的，请核对售价",IF(IFERROR(VLOOKUP($D1105,库存台账!$A$5:$Y$1204,24,0),0)&lt;-0.001,"※这个物料账面已经变成负数了，查一下是不是漏记入库","")))))))))))</f>
        <v/>
      </c>
    </row>
    <row r="1106">
      <c r="A1106" s="24">
        <f>IF($D1106="","",COUNTA($D$4:$D1106))</f>
        <v/>
      </c>
      <c r="B1106" s="17" t="n"/>
      <c r="C1106" s="30" t="n"/>
      <c r="D1106" s="17" t="n"/>
      <c r="E1106" s="24">
        <f>IF($D1106="","",IFERROR(VLOOKUP($D1106,物料档案!$A$4:$P$1203,3,0),"※编码不在物料档案里"))</f>
        <v/>
      </c>
      <c r="F1106" s="24">
        <f>IF($D1106="","",IFERROR(VLOOKUP($D1106,物料档案!$A$4:$P$1203,4,0),"※编码不在物料档案里"))</f>
        <v/>
      </c>
      <c r="G1106" s="24">
        <f>IF($D1106="","",IFERROR(VLOOKUP($D1106,物料档案!$A$4:$P$1203,5,0),"※编码不在物料档案里"))</f>
        <v/>
      </c>
      <c r="H1106" s="24">
        <f>IF($D1106="","",IFERROR(VLOOKUP($D1106,物料档案!$A$4:$P$1203,2,0),"※编码不在物料档案里"))</f>
        <v/>
      </c>
      <c r="I1106" s="24">
        <f>IF($D1106="","",IFERROR(VLOOKUP($D1106,物料档案!$A$4:$P$1203,6,0),"※编码不在物料档案里"))</f>
        <v/>
      </c>
      <c r="J1106" s="23" t="n"/>
      <c r="K1106" s="17" t="n"/>
      <c r="L1106" s="17" t="n"/>
      <c r="M1106" s="17" t="n"/>
      <c r="N1106" s="17" t="n"/>
      <c r="O1106" s="26">
        <f>IF($D1106="","",IFERROR(VLOOKUP($D1106,物料档案!$A$4:$P$1203,10,0),0))</f>
        <v/>
      </c>
      <c r="P1106" s="32" t="n"/>
      <c r="Q1106" s="26">
        <f>IF($D1106="","",IF($K1106&lt;&gt;"对外销售",0,ROUND(N($J1106)*IF($P1106="",N($O1106),N($P1106)),0)))</f>
        <v/>
      </c>
      <c r="R1106" s="26">
        <f>IF($D1106="","",IFERROR(VLOOKUP($D1106,库存台账!$A$5:$Y$1204,11,0),0))</f>
        <v/>
      </c>
      <c r="S1106" s="26">
        <f>IF($D1106="","",ROUND(N($J1106)*N($R1106),0))</f>
        <v/>
      </c>
      <c r="T1106" s="26">
        <f>IF($D1106="","",IF($K1106&lt;&gt;"对外销售","",ROUND($Q1106-$S1106,0)))</f>
        <v/>
      </c>
      <c r="U1106" s="17" t="n"/>
      <c r="V1106" s="17" t="n"/>
      <c r="W1106" s="24">
        <f>IF($D1106="","",IF($E1106="※编码不在物料档案里","※物料编码不在档案里",IF(N($J1106)&lt;=0,"※出库数量要大于 0",IF($K1106="","※没填去向类型",IF($L1106="","※没填去向矿区",IF(AND($C1106&lt;&gt;"",$C1106&lt;=结账锁),"※日期早于已结账截止日，不能再录",IF(AND($K1106="自用消耗",COUNTIF({"一矿区";"二矿区"},$L1106)=0),"※自用消耗的去向只能是一矿区或二矿区",IF(AND($K1106="对外销售",COUNTIF({"三矿区";"六矿区"},$L1106)=0),"※对外销售的去向只能是三矿区或六矿区",IF(AND($K1106="对外销售",ROUND($Q1106,0)=0),"※外销却没有售价，请填实际售价",IF(AND($K1106="对外销售",$T1106&lt;&gt;"",$T1106&lt;0),"※这一笔外销是亏的，请核对售价",IF(IFERROR(VLOOKUP($D1106,库存台账!$A$5:$Y$1204,24,0),0)&lt;-0.001,"※这个物料账面已经变成负数了，查一下是不是漏记入库","")))))))))))</f>
        <v/>
      </c>
    </row>
    <row r="1107">
      <c r="A1107" s="24">
        <f>IF($D1107="","",COUNTA($D$4:$D1107))</f>
        <v/>
      </c>
      <c r="B1107" s="17" t="n"/>
      <c r="C1107" s="30" t="n"/>
      <c r="D1107" s="17" t="n"/>
      <c r="E1107" s="24">
        <f>IF($D1107="","",IFERROR(VLOOKUP($D1107,物料档案!$A$4:$P$1203,3,0),"※编码不在物料档案里"))</f>
        <v/>
      </c>
      <c r="F1107" s="24">
        <f>IF($D1107="","",IFERROR(VLOOKUP($D1107,物料档案!$A$4:$P$1203,4,0),"※编码不在物料档案里"))</f>
        <v/>
      </c>
      <c r="G1107" s="24">
        <f>IF($D1107="","",IFERROR(VLOOKUP($D1107,物料档案!$A$4:$P$1203,5,0),"※编码不在物料档案里"))</f>
        <v/>
      </c>
      <c r="H1107" s="24">
        <f>IF($D1107="","",IFERROR(VLOOKUP($D1107,物料档案!$A$4:$P$1203,2,0),"※编码不在物料档案里"))</f>
        <v/>
      </c>
      <c r="I1107" s="24">
        <f>IF($D1107="","",IFERROR(VLOOKUP($D1107,物料档案!$A$4:$P$1203,6,0),"※编码不在物料档案里"))</f>
        <v/>
      </c>
      <c r="J1107" s="23" t="n"/>
      <c r="K1107" s="17" t="n"/>
      <c r="L1107" s="17" t="n"/>
      <c r="M1107" s="17" t="n"/>
      <c r="N1107" s="17" t="n"/>
      <c r="O1107" s="26">
        <f>IF($D1107="","",IFERROR(VLOOKUP($D1107,物料档案!$A$4:$P$1203,10,0),0))</f>
        <v/>
      </c>
      <c r="P1107" s="32" t="n"/>
      <c r="Q1107" s="26">
        <f>IF($D1107="","",IF($K1107&lt;&gt;"对外销售",0,ROUND(N($J1107)*IF($P1107="",N($O1107),N($P1107)),0)))</f>
        <v/>
      </c>
      <c r="R1107" s="26">
        <f>IF($D1107="","",IFERROR(VLOOKUP($D1107,库存台账!$A$5:$Y$1204,11,0),0))</f>
        <v/>
      </c>
      <c r="S1107" s="26">
        <f>IF($D1107="","",ROUND(N($J1107)*N($R1107),0))</f>
        <v/>
      </c>
      <c r="T1107" s="26">
        <f>IF($D1107="","",IF($K1107&lt;&gt;"对外销售","",ROUND($Q1107-$S1107,0)))</f>
        <v/>
      </c>
      <c r="U1107" s="17" t="n"/>
      <c r="V1107" s="17" t="n"/>
      <c r="W1107" s="24">
        <f>IF($D1107="","",IF($E1107="※编码不在物料档案里","※物料编码不在档案里",IF(N($J1107)&lt;=0,"※出库数量要大于 0",IF($K1107="","※没填去向类型",IF($L1107="","※没填去向矿区",IF(AND($C1107&lt;&gt;"",$C1107&lt;=结账锁),"※日期早于已结账截止日，不能再录",IF(AND($K1107="自用消耗",COUNTIF({"一矿区";"二矿区"},$L1107)=0),"※自用消耗的去向只能是一矿区或二矿区",IF(AND($K1107="对外销售",COUNTIF({"三矿区";"六矿区"},$L1107)=0),"※对外销售的去向只能是三矿区或六矿区",IF(AND($K1107="对外销售",ROUND($Q1107,0)=0),"※外销却没有售价，请填实际售价",IF(AND($K1107="对外销售",$T1107&lt;&gt;"",$T1107&lt;0),"※这一笔外销是亏的，请核对售价",IF(IFERROR(VLOOKUP($D1107,库存台账!$A$5:$Y$1204,24,0),0)&lt;-0.001,"※这个物料账面已经变成负数了，查一下是不是漏记入库","")))))))))))</f>
        <v/>
      </c>
    </row>
    <row r="1108">
      <c r="A1108" s="24">
        <f>IF($D1108="","",COUNTA($D$4:$D1108))</f>
        <v/>
      </c>
      <c r="B1108" s="17" t="n"/>
      <c r="C1108" s="30" t="n"/>
      <c r="D1108" s="17" t="n"/>
      <c r="E1108" s="24">
        <f>IF($D1108="","",IFERROR(VLOOKUP($D1108,物料档案!$A$4:$P$1203,3,0),"※编码不在物料档案里"))</f>
        <v/>
      </c>
      <c r="F1108" s="24">
        <f>IF($D1108="","",IFERROR(VLOOKUP($D1108,物料档案!$A$4:$P$1203,4,0),"※编码不在物料档案里"))</f>
        <v/>
      </c>
      <c r="G1108" s="24">
        <f>IF($D1108="","",IFERROR(VLOOKUP($D1108,物料档案!$A$4:$P$1203,5,0),"※编码不在物料档案里"))</f>
        <v/>
      </c>
      <c r="H1108" s="24">
        <f>IF($D1108="","",IFERROR(VLOOKUP($D1108,物料档案!$A$4:$P$1203,2,0),"※编码不在物料档案里"))</f>
        <v/>
      </c>
      <c r="I1108" s="24">
        <f>IF($D1108="","",IFERROR(VLOOKUP($D1108,物料档案!$A$4:$P$1203,6,0),"※编码不在物料档案里"))</f>
        <v/>
      </c>
      <c r="J1108" s="23" t="n"/>
      <c r="K1108" s="17" t="n"/>
      <c r="L1108" s="17" t="n"/>
      <c r="M1108" s="17" t="n"/>
      <c r="N1108" s="17" t="n"/>
      <c r="O1108" s="26">
        <f>IF($D1108="","",IFERROR(VLOOKUP($D1108,物料档案!$A$4:$P$1203,10,0),0))</f>
        <v/>
      </c>
      <c r="P1108" s="32" t="n"/>
      <c r="Q1108" s="26">
        <f>IF($D1108="","",IF($K1108&lt;&gt;"对外销售",0,ROUND(N($J1108)*IF($P1108="",N($O1108),N($P1108)),0)))</f>
        <v/>
      </c>
      <c r="R1108" s="26">
        <f>IF($D1108="","",IFERROR(VLOOKUP($D1108,库存台账!$A$5:$Y$1204,11,0),0))</f>
        <v/>
      </c>
      <c r="S1108" s="26">
        <f>IF($D1108="","",ROUND(N($J1108)*N($R1108),0))</f>
        <v/>
      </c>
      <c r="T1108" s="26">
        <f>IF($D1108="","",IF($K1108&lt;&gt;"对外销售","",ROUND($Q1108-$S1108,0)))</f>
        <v/>
      </c>
      <c r="U1108" s="17" t="n"/>
      <c r="V1108" s="17" t="n"/>
      <c r="W1108" s="24">
        <f>IF($D1108="","",IF($E1108="※编码不在物料档案里","※物料编码不在档案里",IF(N($J1108)&lt;=0,"※出库数量要大于 0",IF($K1108="","※没填去向类型",IF($L1108="","※没填去向矿区",IF(AND($C1108&lt;&gt;"",$C1108&lt;=结账锁),"※日期早于已结账截止日，不能再录",IF(AND($K1108="自用消耗",COUNTIF({"一矿区";"二矿区"},$L1108)=0),"※自用消耗的去向只能是一矿区或二矿区",IF(AND($K1108="对外销售",COUNTIF({"三矿区";"六矿区"},$L1108)=0),"※对外销售的去向只能是三矿区或六矿区",IF(AND($K1108="对外销售",ROUND($Q1108,0)=0),"※外销却没有售价，请填实际售价",IF(AND($K1108="对外销售",$T1108&lt;&gt;"",$T1108&lt;0),"※这一笔外销是亏的，请核对售价",IF(IFERROR(VLOOKUP($D1108,库存台账!$A$5:$Y$1204,24,0),0)&lt;-0.001,"※这个物料账面已经变成负数了，查一下是不是漏记入库","")))))))))))</f>
        <v/>
      </c>
    </row>
    <row r="1109">
      <c r="A1109" s="24">
        <f>IF($D1109="","",COUNTA($D$4:$D1109))</f>
        <v/>
      </c>
      <c r="B1109" s="17" t="n"/>
      <c r="C1109" s="30" t="n"/>
      <c r="D1109" s="17" t="n"/>
      <c r="E1109" s="24">
        <f>IF($D1109="","",IFERROR(VLOOKUP($D1109,物料档案!$A$4:$P$1203,3,0),"※编码不在物料档案里"))</f>
        <v/>
      </c>
      <c r="F1109" s="24">
        <f>IF($D1109="","",IFERROR(VLOOKUP($D1109,物料档案!$A$4:$P$1203,4,0),"※编码不在物料档案里"))</f>
        <v/>
      </c>
      <c r="G1109" s="24">
        <f>IF($D1109="","",IFERROR(VLOOKUP($D1109,物料档案!$A$4:$P$1203,5,0),"※编码不在物料档案里"))</f>
        <v/>
      </c>
      <c r="H1109" s="24">
        <f>IF($D1109="","",IFERROR(VLOOKUP($D1109,物料档案!$A$4:$P$1203,2,0),"※编码不在物料档案里"))</f>
        <v/>
      </c>
      <c r="I1109" s="24">
        <f>IF($D1109="","",IFERROR(VLOOKUP($D1109,物料档案!$A$4:$P$1203,6,0),"※编码不在物料档案里"))</f>
        <v/>
      </c>
      <c r="J1109" s="23" t="n"/>
      <c r="K1109" s="17" t="n"/>
      <c r="L1109" s="17" t="n"/>
      <c r="M1109" s="17" t="n"/>
      <c r="N1109" s="17" t="n"/>
      <c r="O1109" s="26">
        <f>IF($D1109="","",IFERROR(VLOOKUP($D1109,物料档案!$A$4:$P$1203,10,0),0))</f>
        <v/>
      </c>
      <c r="P1109" s="32" t="n"/>
      <c r="Q1109" s="26">
        <f>IF($D1109="","",IF($K1109&lt;&gt;"对外销售",0,ROUND(N($J1109)*IF($P1109="",N($O1109),N($P1109)),0)))</f>
        <v/>
      </c>
      <c r="R1109" s="26">
        <f>IF($D1109="","",IFERROR(VLOOKUP($D1109,库存台账!$A$5:$Y$1204,11,0),0))</f>
        <v/>
      </c>
      <c r="S1109" s="26">
        <f>IF($D1109="","",ROUND(N($J1109)*N($R1109),0))</f>
        <v/>
      </c>
      <c r="T1109" s="26">
        <f>IF($D1109="","",IF($K1109&lt;&gt;"对外销售","",ROUND($Q1109-$S1109,0)))</f>
        <v/>
      </c>
      <c r="U1109" s="17" t="n"/>
      <c r="V1109" s="17" t="n"/>
      <c r="W1109" s="24">
        <f>IF($D1109="","",IF($E1109="※编码不在物料档案里","※物料编码不在档案里",IF(N($J1109)&lt;=0,"※出库数量要大于 0",IF($K1109="","※没填去向类型",IF($L1109="","※没填去向矿区",IF(AND($C1109&lt;&gt;"",$C1109&lt;=结账锁),"※日期早于已结账截止日，不能再录",IF(AND($K1109="自用消耗",COUNTIF({"一矿区";"二矿区"},$L1109)=0),"※自用消耗的去向只能是一矿区或二矿区",IF(AND($K1109="对外销售",COUNTIF({"三矿区";"六矿区"},$L1109)=0),"※对外销售的去向只能是三矿区或六矿区",IF(AND($K1109="对外销售",ROUND($Q1109,0)=0),"※外销却没有售价，请填实际售价",IF(AND($K1109="对外销售",$T1109&lt;&gt;"",$T1109&lt;0),"※这一笔外销是亏的，请核对售价",IF(IFERROR(VLOOKUP($D1109,库存台账!$A$5:$Y$1204,24,0),0)&lt;-0.001,"※这个物料账面已经变成负数了，查一下是不是漏记入库","")))))))))))</f>
        <v/>
      </c>
    </row>
    <row r="1110">
      <c r="A1110" s="24">
        <f>IF($D1110="","",COUNTA($D$4:$D1110))</f>
        <v/>
      </c>
      <c r="B1110" s="17" t="n"/>
      <c r="C1110" s="30" t="n"/>
      <c r="D1110" s="17" t="n"/>
      <c r="E1110" s="24">
        <f>IF($D1110="","",IFERROR(VLOOKUP($D1110,物料档案!$A$4:$P$1203,3,0),"※编码不在物料档案里"))</f>
        <v/>
      </c>
      <c r="F1110" s="24">
        <f>IF($D1110="","",IFERROR(VLOOKUP($D1110,物料档案!$A$4:$P$1203,4,0),"※编码不在物料档案里"))</f>
        <v/>
      </c>
      <c r="G1110" s="24">
        <f>IF($D1110="","",IFERROR(VLOOKUP($D1110,物料档案!$A$4:$P$1203,5,0),"※编码不在物料档案里"))</f>
        <v/>
      </c>
      <c r="H1110" s="24">
        <f>IF($D1110="","",IFERROR(VLOOKUP($D1110,物料档案!$A$4:$P$1203,2,0),"※编码不在物料档案里"))</f>
        <v/>
      </c>
      <c r="I1110" s="24">
        <f>IF($D1110="","",IFERROR(VLOOKUP($D1110,物料档案!$A$4:$P$1203,6,0),"※编码不在物料档案里"))</f>
        <v/>
      </c>
      <c r="J1110" s="23" t="n"/>
      <c r="K1110" s="17" t="n"/>
      <c r="L1110" s="17" t="n"/>
      <c r="M1110" s="17" t="n"/>
      <c r="N1110" s="17" t="n"/>
      <c r="O1110" s="26">
        <f>IF($D1110="","",IFERROR(VLOOKUP($D1110,物料档案!$A$4:$P$1203,10,0),0))</f>
        <v/>
      </c>
      <c r="P1110" s="32" t="n"/>
      <c r="Q1110" s="26">
        <f>IF($D1110="","",IF($K1110&lt;&gt;"对外销售",0,ROUND(N($J1110)*IF($P1110="",N($O1110),N($P1110)),0)))</f>
        <v/>
      </c>
      <c r="R1110" s="26">
        <f>IF($D1110="","",IFERROR(VLOOKUP($D1110,库存台账!$A$5:$Y$1204,11,0),0))</f>
        <v/>
      </c>
      <c r="S1110" s="26">
        <f>IF($D1110="","",ROUND(N($J1110)*N($R1110),0))</f>
        <v/>
      </c>
      <c r="T1110" s="26">
        <f>IF($D1110="","",IF($K1110&lt;&gt;"对外销售","",ROUND($Q1110-$S1110,0)))</f>
        <v/>
      </c>
      <c r="U1110" s="17" t="n"/>
      <c r="V1110" s="17" t="n"/>
      <c r="W1110" s="24">
        <f>IF($D1110="","",IF($E1110="※编码不在物料档案里","※物料编码不在档案里",IF(N($J1110)&lt;=0,"※出库数量要大于 0",IF($K1110="","※没填去向类型",IF($L1110="","※没填去向矿区",IF(AND($C1110&lt;&gt;"",$C1110&lt;=结账锁),"※日期早于已结账截止日，不能再录",IF(AND($K1110="自用消耗",COUNTIF({"一矿区";"二矿区"},$L1110)=0),"※自用消耗的去向只能是一矿区或二矿区",IF(AND($K1110="对外销售",COUNTIF({"三矿区";"六矿区"},$L1110)=0),"※对外销售的去向只能是三矿区或六矿区",IF(AND($K1110="对外销售",ROUND($Q1110,0)=0),"※外销却没有售价，请填实际售价",IF(AND($K1110="对外销售",$T1110&lt;&gt;"",$T1110&lt;0),"※这一笔外销是亏的，请核对售价",IF(IFERROR(VLOOKUP($D1110,库存台账!$A$5:$Y$1204,24,0),0)&lt;-0.001,"※这个物料账面已经变成负数了，查一下是不是漏记入库","")))))))))))</f>
        <v/>
      </c>
    </row>
    <row r="1111">
      <c r="A1111" s="24">
        <f>IF($D1111="","",COUNTA($D$4:$D1111))</f>
        <v/>
      </c>
      <c r="B1111" s="17" t="n"/>
      <c r="C1111" s="30" t="n"/>
      <c r="D1111" s="17" t="n"/>
      <c r="E1111" s="24">
        <f>IF($D1111="","",IFERROR(VLOOKUP($D1111,物料档案!$A$4:$P$1203,3,0),"※编码不在物料档案里"))</f>
        <v/>
      </c>
      <c r="F1111" s="24">
        <f>IF($D1111="","",IFERROR(VLOOKUP($D1111,物料档案!$A$4:$P$1203,4,0),"※编码不在物料档案里"))</f>
        <v/>
      </c>
      <c r="G1111" s="24">
        <f>IF($D1111="","",IFERROR(VLOOKUP($D1111,物料档案!$A$4:$P$1203,5,0),"※编码不在物料档案里"))</f>
        <v/>
      </c>
      <c r="H1111" s="24">
        <f>IF($D1111="","",IFERROR(VLOOKUP($D1111,物料档案!$A$4:$P$1203,2,0),"※编码不在物料档案里"))</f>
        <v/>
      </c>
      <c r="I1111" s="24">
        <f>IF($D1111="","",IFERROR(VLOOKUP($D1111,物料档案!$A$4:$P$1203,6,0),"※编码不在物料档案里"))</f>
        <v/>
      </c>
      <c r="J1111" s="23" t="n"/>
      <c r="K1111" s="17" t="n"/>
      <c r="L1111" s="17" t="n"/>
      <c r="M1111" s="17" t="n"/>
      <c r="N1111" s="17" t="n"/>
      <c r="O1111" s="26">
        <f>IF($D1111="","",IFERROR(VLOOKUP($D1111,物料档案!$A$4:$P$1203,10,0),0))</f>
        <v/>
      </c>
      <c r="P1111" s="32" t="n"/>
      <c r="Q1111" s="26">
        <f>IF($D1111="","",IF($K1111&lt;&gt;"对外销售",0,ROUND(N($J1111)*IF($P1111="",N($O1111),N($P1111)),0)))</f>
        <v/>
      </c>
      <c r="R1111" s="26">
        <f>IF($D1111="","",IFERROR(VLOOKUP($D1111,库存台账!$A$5:$Y$1204,11,0),0))</f>
        <v/>
      </c>
      <c r="S1111" s="26">
        <f>IF($D1111="","",ROUND(N($J1111)*N($R1111),0))</f>
        <v/>
      </c>
      <c r="T1111" s="26">
        <f>IF($D1111="","",IF($K1111&lt;&gt;"对外销售","",ROUND($Q1111-$S1111,0)))</f>
        <v/>
      </c>
      <c r="U1111" s="17" t="n"/>
      <c r="V1111" s="17" t="n"/>
      <c r="W1111" s="24">
        <f>IF($D1111="","",IF($E1111="※编码不在物料档案里","※物料编码不在档案里",IF(N($J1111)&lt;=0,"※出库数量要大于 0",IF($K1111="","※没填去向类型",IF($L1111="","※没填去向矿区",IF(AND($C1111&lt;&gt;"",$C1111&lt;=结账锁),"※日期早于已结账截止日，不能再录",IF(AND($K1111="自用消耗",COUNTIF({"一矿区";"二矿区"},$L1111)=0),"※自用消耗的去向只能是一矿区或二矿区",IF(AND($K1111="对外销售",COUNTIF({"三矿区";"六矿区"},$L1111)=0),"※对外销售的去向只能是三矿区或六矿区",IF(AND($K1111="对外销售",ROUND($Q1111,0)=0),"※外销却没有售价，请填实际售价",IF(AND($K1111="对外销售",$T1111&lt;&gt;"",$T1111&lt;0),"※这一笔外销是亏的，请核对售价",IF(IFERROR(VLOOKUP($D1111,库存台账!$A$5:$Y$1204,24,0),0)&lt;-0.001,"※这个物料账面已经变成负数了，查一下是不是漏记入库","")))))))))))</f>
        <v/>
      </c>
    </row>
    <row r="1112">
      <c r="A1112" s="24">
        <f>IF($D1112="","",COUNTA($D$4:$D1112))</f>
        <v/>
      </c>
      <c r="B1112" s="17" t="n"/>
      <c r="C1112" s="30" t="n"/>
      <c r="D1112" s="17" t="n"/>
      <c r="E1112" s="24">
        <f>IF($D1112="","",IFERROR(VLOOKUP($D1112,物料档案!$A$4:$P$1203,3,0),"※编码不在物料档案里"))</f>
        <v/>
      </c>
      <c r="F1112" s="24">
        <f>IF($D1112="","",IFERROR(VLOOKUP($D1112,物料档案!$A$4:$P$1203,4,0),"※编码不在物料档案里"))</f>
        <v/>
      </c>
      <c r="G1112" s="24">
        <f>IF($D1112="","",IFERROR(VLOOKUP($D1112,物料档案!$A$4:$P$1203,5,0),"※编码不在物料档案里"))</f>
        <v/>
      </c>
      <c r="H1112" s="24">
        <f>IF($D1112="","",IFERROR(VLOOKUP($D1112,物料档案!$A$4:$P$1203,2,0),"※编码不在物料档案里"))</f>
        <v/>
      </c>
      <c r="I1112" s="24">
        <f>IF($D1112="","",IFERROR(VLOOKUP($D1112,物料档案!$A$4:$P$1203,6,0),"※编码不在物料档案里"))</f>
        <v/>
      </c>
      <c r="J1112" s="23" t="n"/>
      <c r="K1112" s="17" t="n"/>
      <c r="L1112" s="17" t="n"/>
      <c r="M1112" s="17" t="n"/>
      <c r="N1112" s="17" t="n"/>
      <c r="O1112" s="26">
        <f>IF($D1112="","",IFERROR(VLOOKUP($D1112,物料档案!$A$4:$P$1203,10,0),0))</f>
        <v/>
      </c>
      <c r="P1112" s="32" t="n"/>
      <c r="Q1112" s="26">
        <f>IF($D1112="","",IF($K1112&lt;&gt;"对外销售",0,ROUND(N($J1112)*IF($P1112="",N($O1112),N($P1112)),0)))</f>
        <v/>
      </c>
      <c r="R1112" s="26">
        <f>IF($D1112="","",IFERROR(VLOOKUP($D1112,库存台账!$A$5:$Y$1204,11,0),0))</f>
        <v/>
      </c>
      <c r="S1112" s="26">
        <f>IF($D1112="","",ROUND(N($J1112)*N($R1112),0))</f>
        <v/>
      </c>
      <c r="T1112" s="26">
        <f>IF($D1112="","",IF($K1112&lt;&gt;"对外销售","",ROUND($Q1112-$S1112,0)))</f>
        <v/>
      </c>
      <c r="U1112" s="17" t="n"/>
      <c r="V1112" s="17" t="n"/>
      <c r="W1112" s="24">
        <f>IF($D1112="","",IF($E1112="※编码不在物料档案里","※物料编码不在档案里",IF(N($J1112)&lt;=0,"※出库数量要大于 0",IF($K1112="","※没填去向类型",IF($L1112="","※没填去向矿区",IF(AND($C1112&lt;&gt;"",$C1112&lt;=结账锁),"※日期早于已结账截止日，不能再录",IF(AND($K1112="自用消耗",COUNTIF({"一矿区";"二矿区"},$L1112)=0),"※自用消耗的去向只能是一矿区或二矿区",IF(AND($K1112="对外销售",COUNTIF({"三矿区";"六矿区"},$L1112)=0),"※对外销售的去向只能是三矿区或六矿区",IF(AND($K1112="对外销售",ROUND($Q1112,0)=0),"※外销却没有售价，请填实际售价",IF(AND($K1112="对外销售",$T1112&lt;&gt;"",$T1112&lt;0),"※这一笔外销是亏的，请核对售价",IF(IFERROR(VLOOKUP($D1112,库存台账!$A$5:$Y$1204,24,0),0)&lt;-0.001,"※这个物料账面已经变成负数了，查一下是不是漏记入库","")))))))))))</f>
        <v/>
      </c>
    </row>
    <row r="1113">
      <c r="A1113" s="24">
        <f>IF($D1113="","",COUNTA($D$4:$D1113))</f>
        <v/>
      </c>
      <c r="B1113" s="17" t="n"/>
      <c r="C1113" s="30" t="n"/>
      <c r="D1113" s="17" t="n"/>
      <c r="E1113" s="24">
        <f>IF($D1113="","",IFERROR(VLOOKUP($D1113,物料档案!$A$4:$P$1203,3,0),"※编码不在物料档案里"))</f>
        <v/>
      </c>
      <c r="F1113" s="24">
        <f>IF($D1113="","",IFERROR(VLOOKUP($D1113,物料档案!$A$4:$P$1203,4,0),"※编码不在物料档案里"))</f>
        <v/>
      </c>
      <c r="G1113" s="24">
        <f>IF($D1113="","",IFERROR(VLOOKUP($D1113,物料档案!$A$4:$P$1203,5,0),"※编码不在物料档案里"))</f>
        <v/>
      </c>
      <c r="H1113" s="24">
        <f>IF($D1113="","",IFERROR(VLOOKUP($D1113,物料档案!$A$4:$P$1203,2,0),"※编码不在物料档案里"))</f>
        <v/>
      </c>
      <c r="I1113" s="24">
        <f>IF($D1113="","",IFERROR(VLOOKUP($D1113,物料档案!$A$4:$P$1203,6,0),"※编码不在物料档案里"))</f>
        <v/>
      </c>
      <c r="J1113" s="23" t="n"/>
      <c r="K1113" s="17" t="n"/>
      <c r="L1113" s="17" t="n"/>
      <c r="M1113" s="17" t="n"/>
      <c r="N1113" s="17" t="n"/>
      <c r="O1113" s="26">
        <f>IF($D1113="","",IFERROR(VLOOKUP($D1113,物料档案!$A$4:$P$1203,10,0),0))</f>
        <v/>
      </c>
      <c r="P1113" s="32" t="n"/>
      <c r="Q1113" s="26">
        <f>IF($D1113="","",IF($K1113&lt;&gt;"对外销售",0,ROUND(N($J1113)*IF($P1113="",N($O1113),N($P1113)),0)))</f>
        <v/>
      </c>
      <c r="R1113" s="26">
        <f>IF($D1113="","",IFERROR(VLOOKUP($D1113,库存台账!$A$5:$Y$1204,11,0),0))</f>
        <v/>
      </c>
      <c r="S1113" s="26">
        <f>IF($D1113="","",ROUND(N($J1113)*N($R1113),0))</f>
        <v/>
      </c>
      <c r="T1113" s="26">
        <f>IF($D1113="","",IF($K1113&lt;&gt;"对外销售","",ROUND($Q1113-$S1113,0)))</f>
        <v/>
      </c>
      <c r="U1113" s="17" t="n"/>
      <c r="V1113" s="17" t="n"/>
      <c r="W1113" s="24">
        <f>IF($D1113="","",IF($E1113="※编码不在物料档案里","※物料编码不在档案里",IF(N($J1113)&lt;=0,"※出库数量要大于 0",IF($K1113="","※没填去向类型",IF($L1113="","※没填去向矿区",IF(AND($C1113&lt;&gt;"",$C1113&lt;=结账锁),"※日期早于已结账截止日，不能再录",IF(AND($K1113="自用消耗",COUNTIF({"一矿区";"二矿区"},$L1113)=0),"※自用消耗的去向只能是一矿区或二矿区",IF(AND($K1113="对外销售",COUNTIF({"三矿区";"六矿区"},$L1113)=0),"※对外销售的去向只能是三矿区或六矿区",IF(AND($K1113="对外销售",ROUND($Q1113,0)=0),"※外销却没有售价，请填实际售价",IF(AND($K1113="对外销售",$T1113&lt;&gt;"",$T1113&lt;0),"※这一笔外销是亏的，请核对售价",IF(IFERROR(VLOOKUP($D1113,库存台账!$A$5:$Y$1204,24,0),0)&lt;-0.001,"※这个物料账面已经变成负数了，查一下是不是漏记入库","")))))))))))</f>
        <v/>
      </c>
    </row>
    <row r="1114">
      <c r="A1114" s="24">
        <f>IF($D1114="","",COUNTA($D$4:$D1114))</f>
        <v/>
      </c>
      <c r="B1114" s="17" t="n"/>
      <c r="C1114" s="30" t="n"/>
      <c r="D1114" s="17" t="n"/>
      <c r="E1114" s="24">
        <f>IF($D1114="","",IFERROR(VLOOKUP($D1114,物料档案!$A$4:$P$1203,3,0),"※编码不在物料档案里"))</f>
        <v/>
      </c>
      <c r="F1114" s="24">
        <f>IF($D1114="","",IFERROR(VLOOKUP($D1114,物料档案!$A$4:$P$1203,4,0),"※编码不在物料档案里"))</f>
        <v/>
      </c>
      <c r="G1114" s="24">
        <f>IF($D1114="","",IFERROR(VLOOKUP($D1114,物料档案!$A$4:$P$1203,5,0),"※编码不在物料档案里"))</f>
        <v/>
      </c>
      <c r="H1114" s="24">
        <f>IF($D1114="","",IFERROR(VLOOKUP($D1114,物料档案!$A$4:$P$1203,2,0),"※编码不在物料档案里"))</f>
        <v/>
      </c>
      <c r="I1114" s="24">
        <f>IF($D1114="","",IFERROR(VLOOKUP($D1114,物料档案!$A$4:$P$1203,6,0),"※编码不在物料档案里"))</f>
        <v/>
      </c>
      <c r="J1114" s="23" t="n"/>
      <c r="K1114" s="17" t="n"/>
      <c r="L1114" s="17" t="n"/>
      <c r="M1114" s="17" t="n"/>
      <c r="N1114" s="17" t="n"/>
      <c r="O1114" s="26">
        <f>IF($D1114="","",IFERROR(VLOOKUP($D1114,物料档案!$A$4:$P$1203,10,0),0))</f>
        <v/>
      </c>
      <c r="P1114" s="32" t="n"/>
      <c r="Q1114" s="26">
        <f>IF($D1114="","",IF($K1114&lt;&gt;"对外销售",0,ROUND(N($J1114)*IF($P1114="",N($O1114),N($P1114)),0)))</f>
        <v/>
      </c>
      <c r="R1114" s="26">
        <f>IF($D1114="","",IFERROR(VLOOKUP($D1114,库存台账!$A$5:$Y$1204,11,0),0))</f>
        <v/>
      </c>
      <c r="S1114" s="26">
        <f>IF($D1114="","",ROUND(N($J1114)*N($R1114),0))</f>
        <v/>
      </c>
      <c r="T1114" s="26">
        <f>IF($D1114="","",IF($K1114&lt;&gt;"对外销售","",ROUND($Q1114-$S1114,0)))</f>
        <v/>
      </c>
      <c r="U1114" s="17" t="n"/>
      <c r="V1114" s="17" t="n"/>
      <c r="W1114" s="24">
        <f>IF($D1114="","",IF($E1114="※编码不在物料档案里","※物料编码不在档案里",IF(N($J1114)&lt;=0,"※出库数量要大于 0",IF($K1114="","※没填去向类型",IF($L1114="","※没填去向矿区",IF(AND($C1114&lt;&gt;"",$C1114&lt;=结账锁),"※日期早于已结账截止日，不能再录",IF(AND($K1114="自用消耗",COUNTIF({"一矿区";"二矿区"},$L1114)=0),"※自用消耗的去向只能是一矿区或二矿区",IF(AND($K1114="对外销售",COUNTIF({"三矿区";"六矿区"},$L1114)=0),"※对外销售的去向只能是三矿区或六矿区",IF(AND($K1114="对外销售",ROUND($Q1114,0)=0),"※外销却没有售价，请填实际售价",IF(AND($K1114="对外销售",$T1114&lt;&gt;"",$T1114&lt;0),"※这一笔外销是亏的，请核对售价",IF(IFERROR(VLOOKUP($D1114,库存台账!$A$5:$Y$1204,24,0),0)&lt;-0.001,"※这个物料账面已经变成负数了，查一下是不是漏记入库","")))))))))))</f>
        <v/>
      </c>
    </row>
    <row r="1115">
      <c r="A1115" s="24">
        <f>IF($D1115="","",COUNTA($D$4:$D1115))</f>
        <v/>
      </c>
      <c r="B1115" s="17" t="n"/>
      <c r="C1115" s="30" t="n"/>
      <c r="D1115" s="17" t="n"/>
      <c r="E1115" s="24">
        <f>IF($D1115="","",IFERROR(VLOOKUP($D1115,物料档案!$A$4:$P$1203,3,0),"※编码不在物料档案里"))</f>
        <v/>
      </c>
      <c r="F1115" s="24">
        <f>IF($D1115="","",IFERROR(VLOOKUP($D1115,物料档案!$A$4:$P$1203,4,0),"※编码不在物料档案里"))</f>
        <v/>
      </c>
      <c r="G1115" s="24">
        <f>IF($D1115="","",IFERROR(VLOOKUP($D1115,物料档案!$A$4:$P$1203,5,0),"※编码不在物料档案里"))</f>
        <v/>
      </c>
      <c r="H1115" s="24">
        <f>IF($D1115="","",IFERROR(VLOOKUP($D1115,物料档案!$A$4:$P$1203,2,0),"※编码不在物料档案里"))</f>
        <v/>
      </c>
      <c r="I1115" s="24">
        <f>IF($D1115="","",IFERROR(VLOOKUP($D1115,物料档案!$A$4:$P$1203,6,0),"※编码不在物料档案里"))</f>
        <v/>
      </c>
      <c r="J1115" s="23" t="n"/>
      <c r="K1115" s="17" t="n"/>
      <c r="L1115" s="17" t="n"/>
      <c r="M1115" s="17" t="n"/>
      <c r="N1115" s="17" t="n"/>
      <c r="O1115" s="26">
        <f>IF($D1115="","",IFERROR(VLOOKUP($D1115,物料档案!$A$4:$P$1203,10,0),0))</f>
        <v/>
      </c>
      <c r="P1115" s="32" t="n"/>
      <c r="Q1115" s="26">
        <f>IF($D1115="","",IF($K1115&lt;&gt;"对外销售",0,ROUND(N($J1115)*IF($P1115="",N($O1115),N($P1115)),0)))</f>
        <v/>
      </c>
      <c r="R1115" s="26">
        <f>IF($D1115="","",IFERROR(VLOOKUP($D1115,库存台账!$A$5:$Y$1204,11,0),0))</f>
        <v/>
      </c>
      <c r="S1115" s="26">
        <f>IF($D1115="","",ROUND(N($J1115)*N($R1115),0))</f>
        <v/>
      </c>
      <c r="T1115" s="26">
        <f>IF($D1115="","",IF($K1115&lt;&gt;"对外销售","",ROUND($Q1115-$S1115,0)))</f>
        <v/>
      </c>
      <c r="U1115" s="17" t="n"/>
      <c r="V1115" s="17" t="n"/>
      <c r="W1115" s="24">
        <f>IF($D1115="","",IF($E1115="※编码不在物料档案里","※物料编码不在档案里",IF(N($J1115)&lt;=0,"※出库数量要大于 0",IF($K1115="","※没填去向类型",IF($L1115="","※没填去向矿区",IF(AND($C1115&lt;&gt;"",$C1115&lt;=结账锁),"※日期早于已结账截止日，不能再录",IF(AND($K1115="自用消耗",COUNTIF({"一矿区";"二矿区"},$L1115)=0),"※自用消耗的去向只能是一矿区或二矿区",IF(AND($K1115="对外销售",COUNTIF({"三矿区";"六矿区"},$L1115)=0),"※对外销售的去向只能是三矿区或六矿区",IF(AND($K1115="对外销售",ROUND($Q1115,0)=0),"※外销却没有售价，请填实际售价",IF(AND($K1115="对外销售",$T1115&lt;&gt;"",$T1115&lt;0),"※这一笔外销是亏的，请核对售价",IF(IFERROR(VLOOKUP($D1115,库存台账!$A$5:$Y$1204,24,0),0)&lt;-0.001,"※这个物料账面已经变成负数了，查一下是不是漏记入库","")))))))))))</f>
        <v/>
      </c>
    </row>
    <row r="1116">
      <c r="A1116" s="24">
        <f>IF($D1116="","",COUNTA($D$4:$D1116))</f>
        <v/>
      </c>
      <c r="B1116" s="17" t="n"/>
      <c r="C1116" s="30" t="n"/>
      <c r="D1116" s="17" t="n"/>
      <c r="E1116" s="24">
        <f>IF($D1116="","",IFERROR(VLOOKUP($D1116,物料档案!$A$4:$P$1203,3,0),"※编码不在物料档案里"))</f>
        <v/>
      </c>
      <c r="F1116" s="24">
        <f>IF($D1116="","",IFERROR(VLOOKUP($D1116,物料档案!$A$4:$P$1203,4,0),"※编码不在物料档案里"))</f>
        <v/>
      </c>
      <c r="G1116" s="24">
        <f>IF($D1116="","",IFERROR(VLOOKUP($D1116,物料档案!$A$4:$P$1203,5,0),"※编码不在物料档案里"))</f>
        <v/>
      </c>
      <c r="H1116" s="24">
        <f>IF($D1116="","",IFERROR(VLOOKUP($D1116,物料档案!$A$4:$P$1203,2,0),"※编码不在物料档案里"))</f>
        <v/>
      </c>
      <c r="I1116" s="24">
        <f>IF($D1116="","",IFERROR(VLOOKUP($D1116,物料档案!$A$4:$P$1203,6,0),"※编码不在物料档案里"))</f>
        <v/>
      </c>
      <c r="J1116" s="23" t="n"/>
      <c r="K1116" s="17" t="n"/>
      <c r="L1116" s="17" t="n"/>
      <c r="M1116" s="17" t="n"/>
      <c r="N1116" s="17" t="n"/>
      <c r="O1116" s="26">
        <f>IF($D1116="","",IFERROR(VLOOKUP($D1116,物料档案!$A$4:$P$1203,10,0),0))</f>
        <v/>
      </c>
      <c r="P1116" s="32" t="n"/>
      <c r="Q1116" s="26">
        <f>IF($D1116="","",IF($K1116&lt;&gt;"对外销售",0,ROUND(N($J1116)*IF($P1116="",N($O1116),N($P1116)),0)))</f>
        <v/>
      </c>
      <c r="R1116" s="26">
        <f>IF($D1116="","",IFERROR(VLOOKUP($D1116,库存台账!$A$5:$Y$1204,11,0),0))</f>
        <v/>
      </c>
      <c r="S1116" s="26">
        <f>IF($D1116="","",ROUND(N($J1116)*N($R1116),0))</f>
        <v/>
      </c>
      <c r="T1116" s="26">
        <f>IF($D1116="","",IF($K1116&lt;&gt;"对外销售","",ROUND($Q1116-$S1116,0)))</f>
        <v/>
      </c>
      <c r="U1116" s="17" t="n"/>
      <c r="V1116" s="17" t="n"/>
      <c r="W1116" s="24">
        <f>IF($D1116="","",IF($E1116="※编码不在物料档案里","※物料编码不在档案里",IF(N($J1116)&lt;=0,"※出库数量要大于 0",IF($K1116="","※没填去向类型",IF($L1116="","※没填去向矿区",IF(AND($C1116&lt;&gt;"",$C1116&lt;=结账锁),"※日期早于已结账截止日，不能再录",IF(AND($K1116="自用消耗",COUNTIF({"一矿区";"二矿区"},$L1116)=0),"※自用消耗的去向只能是一矿区或二矿区",IF(AND($K1116="对外销售",COUNTIF({"三矿区";"六矿区"},$L1116)=0),"※对外销售的去向只能是三矿区或六矿区",IF(AND($K1116="对外销售",ROUND($Q1116,0)=0),"※外销却没有售价，请填实际售价",IF(AND($K1116="对外销售",$T1116&lt;&gt;"",$T1116&lt;0),"※这一笔外销是亏的，请核对售价",IF(IFERROR(VLOOKUP($D1116,库存台账!$A$5:$Y$1204,24,0),0)&lt;-0.001,"※这个物料账面已经变成负数了，查一下是不是漏记入库","")))))))))))</f>
        <v/>
      </c>
    </row>
    <row r="1117">
      <c r="A1117" s="24">
        <f>IF($D1117="","",COUNTA($D$4:$D1117))</f>
        <v/>
      </c>
      <c r="B1117" s="17" t="n"/>
      <c r="C1117" s="30" t="n"/>
      <c r="D1117" s="17" t="n"/>
      <c r="E1117" s="24">
        <f>IF($D1117="","",IFERROR(VLOOKUP($D1117,物料档案!$A$4:$P$1203,3,0),"※编码不在物料档案里"))</f>
        <v/>
      </c>
      <c r="F1117" s="24">
        <f>IF($D1117="","",IFERROR(VLOOKUP($D1117,物料档案!$A$4:$P$1203,4,0),"※编码不在物料档案里"))</f>
        <v/>
      </c>
      <c r="G1117" s="24">
        <f>IF($D1117="","",IFERROR(VLOOKUP($D1117,物料档案!$A$4:$P$1203,5,0),"※编码不在物料档案里"))</f>
        <v/>
      </c>
      <c r="H1117" s="24">
        <f>IF($D1117="","",IFERROR(VLOOKUP($D1117,物料档案!$A$4:$P$1203,2,0),"※编码不在物料档案里"))</f>
        <v/>
      </c>
      <c r="I1117" s="24">
        <f>IF($D1117="","",IFERROR(VLOOKUP($D1117,物料档案!$A$4:$P$1203,6,0),"※编码不在物料档案里"))</f>
        <v/>
      </c>
      <c r="J1117" s="23" t="n"/>
      <c r="K1117" s="17" t="n"/>
      <c r="L1117" s="17" t="n"/>
      <c r="M1117" s="17" t="n"/>
      <c r="N1117" s="17" t="n"/>
      <c r="O1117" s="26">
        <f>IF($D1117="","",IFERROR(VLOOKUP($D1117,物料档案!$A$4:$P$1203,10,0),0))</f>
        <v/>
      </c>
      <c r="P1117" s="32" t="n"/>
      <c r="Q1117" s="26">
        <f>IF($D1117="","",IF($K1117&lt;&gt;"对外销售",0,ROUND(N($J1117)*IF($P1117="",N($O1117),N($P1117)),0)))</f>
        <v/>
      </c>
      <c r="R1117" s="26">
        <f>IF($D1117="","",IFERROR(VLOOKUP($D1117,库存台账!$A$5:$Y$1204,11,0),0))</f>
        <v/>
      </c>
      <c r="S1117" s="26">
        <f>IF($D1117="","",ROUND(N($J1117)*N($R1117),0))</f>
        <v/>
      </c>
      <c r="T1117" s="26">
        <f>IF($D1117="","",IF($K1117&lt;&gt;"对外销售","",ROUND($Q1117-$S1117,0)))</f>
        <v/>
      </c>
      <c r="U1117" s="17" t="n"/>
      <c r="V1117" s="17" t="n"/>
      <c r="W1117" s="24">
        <f>IF($D1117="","",IF($E1117="※编码不在物料档案里","※物料编码不在档案里",IF(N($J1117)&lt;=0,"※出库数量要大于 0",IF($K1117="","※没填去向类型",IF($L1117="","※没填去向矿区",IF(AND($C1117&lt;&gt;"",$C1117&lt;=结账锁),"※日期早于已结账截止日，不能再录",IF(AND($K1117="自用消耗",COUNTIF({"一矿区";"二矿区"},$L1117)=0),"※自用消耗的去向只能是一矿区或二矿区",IF(AND($K1117="对外销售",COUNTIF({"三矿区";"六矿区"},$L1117)=0),"※对外销售的去向只能是三矿区或六矿区",IF(AND($K1117="对外销售",ROUND($Q1117,0)=0),"※外销却没有售价，请填实际售价",IF(AND($K1117="对外销售",$T1117&lt;&gt;"",$T1117&lt;0),"※这一笔外销是亏的，请核对售价",IF(IFERROR(VLOOKUP($D1117,库存台账!$A$5:$Y$1204,24,0),0)&lt;-0.001,"※这个物料账面已经变成负数了，查一下是不是漏记入库","")))))))))))</f>
        <v/>
      </c>
    </row>
    <row r="1118">
      <c r="A1118" s="24">
        <f>IF($D1118="","",COUNTA($D$4:$D1118))</f>
        <v/>
      </c>
      <c r="B1118" s="17" t="n"/>
      <c r="C1118" s="30" t="n"/>
      <c r="D1118" s="17" t="n"/>
      <c r="E1118" s="24">
        <f>IF($D1118="","",IFERROR(VLOOKUP($D1118,物料档案!$A$4:$P$1203,3,0),"※编码不在物料档案里"))</f>
        <v/>
      </c>
      <c r="F1118" s="24">
        <f>IF($D1118="","",IFERROR(VLOOKUP($D1118,物料档案!$A$4:$P$1203,4,0),"※编码不在物料档案里"))</f>
        <v/>
      </c>
      <c r="G1118" s="24">
        <f>IF($D1118="","",IFERROR(VLOOKUP($D1118,物料档案!$A$4:$P$1203,5,0),"※编码不在物料档案里"))</f>
        <v/>
      </c>
      <c r="H1118" s="24">
        <f>IF($D1118="","",IFERROR(VLOOKUP($D1118,物料档案!$A$4:$P$1203,2,0),"※编码不在物料档案里"))</f>
        <v/>
      </c>
      <c r="I1118" s="24">
        <f>IF($D1118="","",IFERROR(VLOOKUP($D1118,物料档案!$A$4:$P$1203,6,0),"※编码不在物料档案里"))</f>
        <v/>
      </c>
      <c r="J1118" s="23" t="n"/>
      <c r="K1118" s="17" t="n"/>
      <c r="L1118" s="17" t="n"/>
      <c r="M1118" s="17" t="n"/>
      <c r="N1118" s="17" t="n"/>
      <c r="O1118" s="26">
        <f>IF($D1118="","",IFERROR(VLOOKUP($D1118,物料档案!$A$4:$P$1203,10,0),0))</f>
        <v/>
      </c>
      <c r="P1118" s="32" t="n"/>
      <c r="Q1118" s="26">
        <f>IF($D1118="","",IF($K1118&lt;&gt;"对外销售",0,ROUND(N($J1118)*IF($P1118="",N($O1118),N($P1118)),0)))</f>
        <v/>
      </c>
      <c r="R1118" s="26">
        <f>IF($D1118="","",IFERROR(VLOOKUP($D1118,库存台账!$A$5:$Y$1204,11,0),0))</f>
        <v/>
      </c>
      <c r="S1118" s="26">
        <f>IF($D1118="","",ROUND(N($J1118)*N($R1118),0))</f>
        <v/>
      </c>
      <c r="T1118" s="26">
        <f>IF($D1118="","",IF($K1118&lt;&gt;"对外销售","",ROUND($Q1118-$S1118,0)))</f>
        <v/>
      </c>
      <c r="U1118" s="17" t="n"/>
      <c r="V1118" s="17" t="n"/>
      <c r="W1118" s="24">
        <f>IF($D1118="","",IF($E1118="※编码不在物料档案里","※物料编码不在档案里",IF(N($J1118)&lt;=0,"※出库数量要大于 0",IF($K1118="","※没填去向类型",IF($L1118="","※没填去向矿区",IF(AND($C1118&lt;&gt;"",$C1118&lt;=结账锁),"※日期早于已结账截止日，不能再录",IF(AND($K1118="自用消耗",COUNTIF({"一矿区";"二矿区"},$L1118)=0),"※自用消耗的去向只能是一矿区或二矿区",IF(AND($K1118="对外销售",COUNTIF({"三矿区";"六矿区"},$L1118)=0),"※对外销售的去向只能是三矿区或六矿区",IF(AND($K1118="对外销售",ROUND($Q1118,0)=0),"※外销却没有售价，请填实际售价",IF(AND($K1118="对外销售",$T1118&lt;&gt;"",$T1118&lt;0),"※这一笔外销是亏的，请核对售价",IF(IFERROR(VLOOKUP($D1118,库存台账!$A$5:$Y$1204,24,0),0)&lt;-0.001,"※这个物料账面已经变成负数了，查一下是不是漏记入库","")))))))))))</f>
        <v/>
      </c>
    </row>
    <row r="1119">
      <c r="A1119" s="24">
        <f>IF($D1119="","",COUNTA($D$4:$D1119))</f>
        <v/>
      </c>
      <c r="B1119" s="17" t="n"/>
      <c r="C1119" s="30" t="n"/>
      <c r="D1119" s="17" t="n"/>
      <c r="E1119" s="24">
        <f>IF($D1119="","",IFERROR(VLOOKUP($D1119,物料档案!$A$4:$P$1203,3,0),"※编码不在物料档案里"))</f>
        <v/>
      </c>
      <c r="F1119" s="24">
        <f>IF($D1119="","",IFERROR(VLOOKUP($D1119,物料档案!$A$4:$P$1203,4,0),"※编码不在物料档案里"))</f>
        <v/>
      </c>
      <c r="G1119" s="24">
        <f>IF($D1119="","",IFERROR(VLOOKUP($D1119,物料档案!$A$4:$P$1203,5,0),"※编码不在物料档案里"))</f>
        <v/>
      </c>
      <c r="H1119" s="24">
        <f>IF($D1119="","",IFERROR(VLOOKUP($D1119,物料档案!$A$4:$P$1203,2,0),"※编码不在物料档案里"))</f>
        <v/>
      </c>
      <c r="I1119" s="24">
        <f>IF($D1119="","",IFERROR(VLOOKUP($D1119,物料档案!$A$4:$P$1203,6,0),"※编码不在物料档案里"))</f>
        <v/>
      </c>
      <c r="J1119" s="23" t="n"/>
      <c r="K1119" s="17" t="n"/>
      <c r="L1119" s="17" t="n"/>
      <c r="M1119" s="17" t="n"/>
      <c r="N1119" s="17" t="n"/>
      <c r="O1119" s="26">
        <f>IF($D1119="","",IFERROR(VLOOKUP($D1119,物料档案!$A$4:$P$1203,10,0),0))</f>
        <v/>
      </c>
      <c r="P1119" s="32" t="n"/>
      <c r="Q1119" s="26">
        <f>IF($D1119="","",IF($K1119&lt;&gt;"对外销售",0,ROUND(N($J1119)*IF($P1119="",N($O1119),N($P1119)),0)))</f>
        <v/>
      </c>
      <c r="R1119" s="26">
        <f>IF($D1119="","",IFERROR(VLOOKUP($D1119,库存台账!$A$5:$Y$1204,11,0),0))</f>
        <v/>
      </c>
      <c r="S1119" s="26">
        <f>IF($D1119="","",ROUND(N($J1119)*N($R1119),0))</f>
        <v/>
      </c>
      <c r="T1119" s="26">
        <f>IF($D1119="","",IF($K1119&lt;&gt;"对外销售","",ROUND($Q1119-$S1119,0)))</f>
        <v/>
      </c>
      <c r="U1119" s="17" t="n"/>
      <c r="V1119" s="17" t="n"/>
      <c r="W1119" s="24">
        <f>IF($D1119="","",IF($E1119="※编码不在物料档案里","※物料编码不在档案里",IF(N($J1119)&lt;=0,"※出库数量要大于 0",IF($K1119="","※没填去向类型",IF($L1119="","※没填去向矿区",IF(AND($C1119&lt;&gt;"",$C1119&lt;=结账锁),"※日期早于已结账截止日，不能再录",IF(AND($K1119="自用消耗",COUNTIF({"一矿区";"二矿区"},$L1119)=0),"※自用消耗的去向只能是一矿区或二矿区",IF(AND($K1119="对外销售",COUNTIF({"三矿区";"六矿区"},$L1119)=0),"※对外销售的去向只能是三矿区或六矿区",IF(AND($K1119="对外销售",ROUND($Q1119,0)=0),"※外销却没有售价，请填实际售价",IF(AND($K1119="对外销售",$T1119&lt;&gt;"",$T1119&lt;0),"※这一笔外销是亏的，请核对售价",IF(IFERROR(VLOOKUP($D1119,库存台账!$A$5:$Y$1204,24,0),0)&lt;-0.001,"※这个物料账面已经变成负数了，查一下是不是漏记入库","")))))))))))</f>
        <v/>
      </c>
    </row>
    <row r="1120">
      <c r="A1120" s="24">
        <f>IF($D1120="","",COUNTA($D$4:$D1120))</f>
        <v/>
      </c>
      <c r="B1120" s="17" t="n"/>
      <c r="C1120" s="30" t="n"/>
      <c r="D1120" s="17" t="n"/>
      <c r="E1120" s="24">
        <f>IF($D1120="","",IFERROR(VLOOKUP($D1120,物料档案!$A$4:$P$1203,3,0),"※编码不在物料档案里"))</f>
        <v/>
      </c>
      <c r="F1120" s="24">
        <f>IF($D1120="","",IFERROR(VLOOKUP($D1120,物料档案!$A$4:$P$1203,4,0),"※编码不在物料档案里"))</f>
        <v/>
      </c>
      <c r="G1120" s="24">
        <f>IF($D1120="","",IFERROR(VLOOKUP($D1120,物料档案!$A$4:$P$1203,5,0),"※编码不在物料档案里"))</f>
        <v/>
      </c>
      <c r="H1120" s="24">
        <f>IF($D1120="","",IFERROR(VLOOKUP($D1120,物料档案!$A$4:$P$1203,2,0),"※编码不在物料档案里"))</f>
        <v/>
      </c>
      <c r="I1120" s="24">
        <f>IF($D1120="","",IFERROR(VLOOKUP($D1120,物料档案!$A$4:$P$1203,6,0),"※编码不在物料档案里"))</f>
        <v/>
      </c>
      <c r="J1120" s="23" t="n"/>
      <c r="K1120" s="17" t="n"/>
      <c r="L1120" s="17" t="n"/>
      <c r="M1120" s="17" t="n"/>
      <c r="N1120" s="17" t="n"/>
      <c r="O1120" s="26">
        <f>IF($D1120="","",IFERROR(VLOOKUP($D1120,物料档案!$A$4:$P$1203,10,0),0))</f>
        <v/>
      </c>
      <c r="P1120" s="32" t="n"/>
      <c r="Q1120" s="26">
        <f>IF($D1120="","",IF($K1120&lt;&gt;"对外销售",0,ROUND(N($J1120)*IF($P1120="",N($O1120),N($P1120)),0)))</f>
        <v/>
      </c>
      <c r="R1120" s="26">
        <f>IF($D1120="","",IFERROR(VLOOKUP($D1120,库存台账!$A$5:$Y$1204,11,0),0))</f>
        <v/>
      </c>
      <c r="S1120" s="26">
        <f>IF($D1120="","",ROUND(N($J1120)*N($R1120),0))</f>
        <v/>
      </c>
      <c r="T1120" s="26">
        <f>IF($D1120="","",IF($K1120&lt;&gt;"对外销售","",ROUND($Q1120-$S1120,0)))</f>
        <v/>
      </c>
      <c r="U1120" s="17" t="n"/>
      <c r="V1120" s="17" t="n"/>
      <c r="W1120" s="24">
        <f>IF($D1120="","",IF($E1120="※编码不在物料档案里","※物料编码不在档案里",IF(N($J1120)&lt;=0,"※出库数量要大于 0",IF($K1120="","※没填去向类型",IF($L1120="","※没填去向矿区",IF(AND($C1120&lt;&gt;"",$C1120&lt;=结账锁),"※日期早于已结账截止日，不能再录",IF(AND($K1120="自用消耗",COUNTIF({"一矿区";"二矿区"},$L1120)=0),"※自用消耗的去向只能是一矿区或二矿区",IF(AND($K1120="对外销售",COUNTIF({"三矿区";"六矿区"},$L1120)=0),"※对外销售的去向只能是三矿区或六矿区",IF(AND($K1120="对外销售",ROUND($Q1120,0)=0),"※外销却没有售价，请填实际售价",IF(AND($K1120="对外销售",$T1120&lt;&gt;"",$T1120&lt;0),"※这一笔外销是亏的，请核对售价",IF(IFERROR(VLOOKUP($D1120,库存台账!$A$5:$Y$1204,24,0),0)&lt;-0.001,"※这个物料账面已经变成负数了，查一下是不是漏记入库","")))))))))))</f>
        <v/>
      </c>
    </row>
    <row r="1121">
      <c r="A1121" s="24">
        <f>IF($D1121="","",COUNTA($D$4:$D1121))</f>
        <v/>
      </c>
      <c r="B1121" s="17" t="n"/>
      <c r="C1121" s="30" t="n"/>
      <c r="D1121" s="17" t="n"/>
      <c r="E1121" s="24">
        <f>IF($D1121="","",IFERROR(VLOOKUP($D1121,物料档案!$A$4:$P$1203,3,0),"※编码不在物料档案里"))</f>
        <v/>
      </c>
      <c r="F1121" s="24">
        <f>IF($D1121="","",IFERROR(VLOOKUP($D1121,物料档案!$A$4:$P$1203,4,0),"※编码不在物料档案里"))</f>
        <v/>
      </c>
      <c r="G1121" s="24">
        <f>IF($D1121="","",IFERROR(VLOOKUP($D1121,物料档案!$A$4:$P$1203,5,0),"※编码不在物料档案里"))</f>
        <v/>
      </c>
      <c r="H1121" s="24">
        <f>IF($D1121="","",IFERROR(VLOOKUP($D1121,物料档案!$A$4:$P$1203,2,0),"※编码不在物料档案里"))</f>
        <v/>
      </c>
      <c r="I1121" s="24">
        <f>IF($D1121="","",IFERROR(VLOOKUP($D1121,物料档案!$A$4:$P$1203,6,0),"※编码不在物料档案里"))</f>
        <v/>
      </c>
      <c r="J1121" s="23" t="n"/>
      <c r="K1121" s="17" t="n"/>
      <c r="L1121" s="17" t="n"/>
      <c r="M1121" s="17" t="n"/>
      <c r="N1121" s="17" t="n"/>
      <c r="O1121" s="26">
        <f>IF($D1121="","",IFERROR(VLOOKUP($D1121,物料档案!$A$4:$P$1203,10,0),0))</f>
        <v/>
      </c>
      <c r="P1121" s="32" t="n"/>
      <c r="Q1121" s="26">
        <f>IF($D1121="","",IF($K1121&lt;&gt;"对外销售",0,ROUND(N($J1121)*IF($P1121="",N($O1121),N($P1121)),0)))</f>
        <v/>
      </c>
      <c r="R1121" s="26">
        <f>IF($D1121="","",IFERROR(VLOOKUP($D1121,库存台账!$A$5:$Y$1204,11,0),0))</f>
        <v/>
      </c>
      <c r="S1121" s="26">
        <f>IF($D1121="","",ROUND(N($J1121)*N($R1121),0))</f>
        <v/>
      </c>
      <c r="T1121" s="26">
        <f>IF($D1121="","",IF($K1121&lt;&gt;"对外销售","",ROUND($Q1121-$S1121,0)))</f>
        <v/>
      </c>
      <c r="U1121" s="17" t="n"/>
      <c r="V1121" s="17" t="n"/>
      <c r="W1121" s="24">
        <f>IF($D1121="","",IF($E1121="※编码不在物料档案里","※物料编码不在档案里",IF(N($J1121)&lt;=0,"※出库数量要大于 0",IF($K1121="","※没填去向类型",IF($L1121="","※没填去向矿区",IF(AND($C1121&lt;&gt;"",$C1121&lt;=结账锁),"※日期早于已结账截止日，不能再录",IF(AND($K1121="自用消耗",COUNTIF({"一矿区";"二矿区"},$L1121)=0),"※自用消耗的去向只能是一矿区或二矿区",IF(AND($K1121="对外销售",COUNTIF({"三矿区";"六矿区"},$L1121)=0),"※对外销售的去向只能是三矿区或六矿区",IF(AND($K1121="对外销售",ROUND($Q1121,0)=0),"※外销却没有售价，请填实际售价",IF(AND($K1121="对外销售",$T1121&lt;&gt;"",$T1121&lt;0),"※这一笔外销是亏的，请核对售价",IF(IFERROR(VLOOKUP($D1121,库存台账!$A$5:$Y$1204,24,0),0)&lt;-0.001,"※这个物料账面已经变成负数了，查一下是不是漏记入库","")))))))))))</f>
        <v/>
      </c>
    </row>
    <row r="1122">
      <c r="A1122" s="24">
        <f>IF($D1122="","",COUNTA($D$4:$D1122))</f>
        <v/>
      </c>
      <c r="B1122" s="17" t="n"/>
      <c r="C1122" s="30" t="n"/>
      <c r="D1122" s="17" t="n"/>
      <c r="E1122" s="24">
        <f>IF($D1122="","",IFERROR(VLOOKUP($D1122,物料档案!$A$4:$P$1203,3,0),"※编码不在物料档案里"))</f>
        <v/>
      </c>
      <c r="F1122" s="24">
        <f>IF($D1122="","",IFERROR(VLOOKUP($D1122,物料档案!$A$4:$P$1203,4,0),"※编码不在物料档案里"))</f>
        <v/>
      </c>
      <c r="G1122" s="24">
        <f>IF($D1122="","",IFERROR(VLOOKUP($D1122,物料档案!$A$4:$P$1203,5,0),"※编码不在物料档案里"))</f>
        <v/>
      </c>
      <c r="H1122" s="24">
        <f>IF($D1122="","",IFERROR(VLOOKUP($D1122,物料档案!$A$4:$P$1203,2,0),"※编码不在物料档案里"))</f>
        <v/>
      </c>
      <c r="I1122" s="24">
        <f>IF($D1122="","",IFERROR(VLOOKUP($D1122,物料档案!$A$4:$P$1203,6,0),"※编码不在物料档案里"))</f>
        <v/>
      </c>
      <c r="J1122" s="23" t="n"/>
      <c r="K1122" s="17" t="n"/>
      <c r="L1122" s="17" t="n"/>
      <c r="M1122" s="17" t="n"/>
      <c r="N1122" s="17" t="n"/>
      <c r="O1122" s="26">
        <f>IF($D1122="","",IFERROR(VLOOKUP($D1122,物料档案!$A$4:$P$1203,10,0),0))</f>
        <v/>
      </c>
      <c r="P1122" s="32" t="n"/>
      <c r="Q1122" s="26">
        <f>IF($D1122="","",IF($K1122&lt;&gt;"对外销售",0,ROUND(N($J1122)*IF($P1122="",N($O1122),N($P1122)),0)))</f>
        <v/>
      </c>
      <c r="R1122" s="26">
        <f>IF($D1122="","",IFERROR(VLOOKUP($D1122,库存台账!$A$5:$Y$1204,11,0),0))</f>
        <v/>
      </c>
      <c r="S1122" s="26">
        <f>IF($D1122="","",ROUND(N($J1122)*N($R1122),0))</f>
        <v/>
      </c>
      <c r="T1122" s="26">
        <f>IF($D1122="","",IF($K1122&lt;&gt;"对外销售","",ROUND($Q1122-$S1122,0)))</f>
        <v/>
      </c>
      <c r="U1122" s="17" t="n"/>
      <c r="V1122" s="17" t="n"/>
      <c r="W1122" s="24">
        <f>IF($D1122="","",IF($E1122="※编码不在物料档案里","※物料编码不在档案里",IF(N($J1122)&lt;=0,"※出库数量要大于 0",IF($K1122="","※没填去向类型",IF($L1122="","※没填去向矿区",IF(AND($C1122&lt;&gt;"",$C1122&lt;=结账锁),"※日期早于已结账截止日，不能再录",IF(AND($K1122="自用消耗",COUNTIF({"一矿区";"二矿区"},$L1122)=0),"※自用消耗的去向只能是一矿区或二矿区",IF(AND($K1122="对外销售",COUNTIF({"三矿区";"六矿区"},$L1122)=0),"※对外销售的去向只能是三矿区或六矿区",IF(AND($K1122="对外销售",ROUND($Q1122,0)=0),"※外销却没有售价，请填实际售价",IF(AND($K1122="对外销售",$T1122&lt;&gt;"",$T1122&lt;0),"※这一笔外销是亏的，请核对售价",IF(IFERROR(VLOOKUP($D1122,库存台账!$A$5:$Y$1204,24,0),0)&lt;-0.001,"※这个物料账面已经变成负数了，查一下是不是漏记入库","")))))))))))</f>
        <v/>
      </c>
    </row>
    <row r="1123">
      <c r="A1123" s="24">
        <f>IF($D1123="","",COUNTA($D$4:$D1123))</f>
        <v/>
      </c>
      <c r="B1123" s="17" t="n"/>
      <c r="C1123" s="30" t="n"/>
      <c r="D1123" s="17" t="n"/>
      <c r="E1123" s="24">
        <f>IF($D1123="","",IFERROR(VLOOKUP($D1123,物料档案!$A$4:$P$1203,3,0),"※编码不在物料档案里"))</f>
        <v/>
      </c>
      <c r="F1123" s="24">
        <f>IF($D1123="","",IFERROR(VLOOKUP($D1123,物料档案!$A$4:$P$1203,4,0),"※编码不在物料档案里"))</f>
        <v/>
      </c>
      <c r="G1123" s="24">
        <f>IF($D1123="","",IFERROR(VLOOKUP($D1123,物料档案!$A$4:$P$1203,5,0),"※编码不在物料档案里"))</f>
        <v/>
      </c>
      <c r="H1123" s="24">
        <f>IF($D1123="","",IFERROR(VLOOKUP($D1123,物料档案!$A$4:$P$1203,2,0),"※编码不在物料档案里"))</f>
        <v/>
      </c>
      <c r="I1123" s="24">
        <f>IF($D1123="","",IFERROR(VLOOKUP($D1123,物料档案!$A$4:$P$1203,6,0),"※编码不在物料档案里"))</f>
        <v/>
      </c>
      <c r="J1123" s="23" t="n"/>
      <c r="K1123" s="17" t="n"/>
      <c r="L1123" s="17" t="n"/>
      <c r="M1123" s="17" t="n"/>
      <c r="N1123" s="17" t="n"/>
      <c r="O1123" s="26">
        <f>IF($D1123="","",IFERROR(VLOOKUP($D1123,物料档案!$A$4:$P$1203,10,0),0))</f>
        <v/>
      </c>
      <c r="P1123" s="32" t="n"/>
      <c r="Q1123" s="26">
        <f>IF($D1123="","",IF($K1123&lt;&gt;"对外销售",0,ROUND(N($J1123)*IF($P1123="",N($O1123),N($P1123)),0)))</f>
        <v/>
      </c>
      <c r="R1123" s="26">
        <f>IF($D1123="","",IFERROR(VLOOKUP($D1123,库存台账!$A$5:$Y$1204,11,0),0))</f>
        <v/>
      </c>
      <c r="S1123" s="26">
        <f>IF($D1123="","",ROUND(N($J1123)*N($R1123),0))</f>
        <v/>
      </c>
      <c r="T1123" s="26">
        <f>IF($D1123="","",IF($K1123&lt;&gt;"对外销售","",ROUND($Q1123-$S1123,0)))</f>
        <v/>
      </c>
      <c r="U1123" s="17" t="n"/>
      <c r="V1123" s="17" t="n"/>
      <c r="W1123" s="24">
        <f>IF($D1123="","",IF($E1123="※编码不在物料档案里","※物料编码不在档案里",IF(N($J1123)&lt;=0,"※出库数量要大于 0",IF($K1123="","※没填去向类型",IF($L1123="","※没填去向矿区",IF(AND($C1123&lt;&gt;"",$C1123&lt;=结账锁),"※日期早于已结账截止日，不能再录",IF(AND($K1123="自用消耗",COUNTIF({"一矿区";"二矿区"},$L1123)=0),"※自用消耗的去向只能是一矿区或二矿区",IF(AND($K1123="对外销售",COUNTIF({"三矿区";"六矿区"},$L1123)=0),"※对外销售的去向只能是三矿区或六矿区",IF(AND($K1123="对外销售",ROUND($Q1123,0)=0),"※外销却没有售价，请填实际售价",IF(AND($K1123="对外销售",$T1123&lt;&gt;"",$T1123&lt;0),"※这一笔外销是亏的，请核对售价",IF(IFERROR(VLOOKUP($D1123,库存台账!$A$5:$Y$1204,24,0),0)&lt;-0.001,"※这个物料账面已经变成负数了，查一下是不是漏记入库","")))))))))))</f>
        <v/>
      </c>
    </row>
    <row r="1124">
      <c r="A1124" s="24">
        <f>IF($D1124="","",COUNTA($D$4:$D1124))</f>
        <v/>
      </c>
      <c r="B1124" s="17" t="n"/>
      <c r="C1124" s="30" t="n"/>
      <c r="D1124" s="17" t="n"/>
      <c r="E1124" s="24">
        <f>IF($D1124="","",IFERROR(VLOOKUP($D1124,物料档案!$A$4:$P$1203,3,0),"※编码不在物料档案里"))</f>
        <v/>
      </c>
      <c r="F1124" s="24">
        <f>IF($D1124="","",IFERROR(VLOOKUP($D1124,物料档案!$A$4:$P$1203,4,0),"※编码不在物料档案里"))</f>
        <v/>
      </c>
      <c r="G1124" s="24">
        <f>IF($D1124="","",IFERROR(VLOOKUP($D1124,物料档案!$A$4:$P$1203,5,0),"※编码不在物料档案里"))</f>
        <v/>
      </c>
      <c r="H1124" s="24">
        <f>IF($D1124="","",IFERROR(VLOOKUP($D1124,物料档案!$A$4:$P$1203,2,0),"※编码不在物料档案里"))</f>
        <v/>
      </c>
      <c r="I1124" s="24">
        <f>IF($D1124="","",IFERROR(VLOOKUP($D1124,物料档案!$A$4:$P$1203,6,0),"※编码不在物料档案里"))</f>
        <v/>
      </c>
      <c r="J1124" s="23" t="n"/>
      <c r="K1124" s="17" t="n"/>
      <c r="L1124" s="17" t="n"/>
      <c r="M1124" s="17" t="n"/>
      <c r="N1124" s="17" t="n"/>
      <c r="O1124" s="26">
        <f>IF($D1124="","",IFERROR(VLOOKUP($D1124,物料档案!$A$4:$P$1203,10,0),0))</f>
        <v/>
      </c>
      <c r="P1124" s="32" t="n"/>
      <c r="Q1124" s="26">
        <f>IF($D1124="","",IF($K1124&lt;&gt;"对外销售",0,ROUND(N($J1124)*IF($P1124="",N($O1124),N($P1124)),0)))</f>
        <v/>
      </c>
      <c r="R1124" s="26">
        <f>IF($D1124="","",IFERROR(VLOOKUP($D1124,库存台账!$A$5:$Y$1204,11,0),0))</f>
        <v/>
      </c>
      <c r="S1124" s="26">
        <f>IF($D1124="","",ROUND(N($J1124)*N($R1124),0))</f>
        <v/>
      </c>
      <c r="T1124" s="26">
        <f>IF($D1124="","",IF($K1124&lt;&gt;"对外销售","",ROUND($Q1124-$S1124,0)))</f>
        <v/>
      </c>
      <c r="U1124" s="17" t="n"/>
      <c r="V1124" s="17" t="n"/>
      <c r="W1124" s="24">
        <f>IF($D1124="","",IF($E1124="※编码不在物料档案里","※物料编码不在档案里",IF(N($J1124)&lt;=0,"※出库数量要大于 0",IF($K1124="","※没填去向类型",IF($L1124="","※没填去向矿区",IF(AND($C1124&lt;&gt;"",$C1124&lt;=结账锁),"※日期早于已结账截止日，不能再录",IF(AND($K1124="自用消耗",COUNTIF({"一矿区";"二矿区"},$L1124)=0),"※自用消耗的去向只能是一矿区或二矿区",IF(AND($K1124="对外销售",COUNTIF({"三矿区";"六矿区"},$L1124)=0),"※对外销售的去向只能是三矿区或六矿区",IF(AND($K1124="对外销售",ROUND($Q1124,0)=0),"※外销却没有售价，请填实际售价",IF(AND($K1124="对外销售",$T1124&lt;&gt;"",$T1124&lt;0),"※这一笔外销是亏的，请核对售价",IF(IFERROR(VLOOKUP($D1124,库存台账!$A$5:$Y$1204,24,0),0)&lt;-0.001,"※这个物料账面已经变成负数了，查一下是不是漏记入库","")))))))))))</f>
        <v/>
      </c>
    </row>
    <row r="1125">
      <c r="A1125" s="24">
        <f>IF($D1125="","",COUNTA($D$4:$D1125))</f>
        <v/>
      </c>
      <c r="B1125" s="17" t="n"/>
      <c r="C1125" s="30" t="n"/>
      <c r="D1125" s="17" t="n"/>
      <c r="E1125" s="24">
        <f>IF($D1125="","",IFERROR(VLOOKUP($D1125,物料档案!$A$4:$P$1203,3,0),"※编码不在物料档案里"))</f>
        <v/>
      </c>
      <c r="F1125" s="24">
        <f>IF($D1125="","",IFERROR(VLOOKUP($D1125,物料档案!$A$4:$P$1203,4,0),"※编码不在物料档案里"))</f>
        <v/>
      </c>
      <c r="G1125" s="24">
        <f>IF($D1125="","",IFERROR(VLOOKUP($D1125,物料档案!$A$4:$P$1203,5,0),"※编码不在物料档案里"))</f>
        <v/>
      </c>
      <c r="H1125" s="24">
        <f>IF($D1125="","",IFERROR(VLOOKUP($D1125,物料档案!$A$4:$P$1203,2,0),"※编码不在物料档案里"))</f>
        <v/>
      </c>
      <c r="I1125" s="24">
        <f>IF($D1125="","",IFERROR(VLOOKUP($D1125,物料档案!$A$4:$P$1203,6,0),"※编码不在物料档案里"))</f>
        <v/>
      </c>
      <c r="J1125" s="23" t="n"/>
      <c r="K1125" s="17" t="n"/>
      <c r="L1125" s="17" t="n"/>
      <c r="M1125" s="17" t="n"/>
      <c r="N1125" s="17" t="n"/>
      <c r="O1125" s="26">
        <f>IF($D1125="","",IFERROR(VLOOKUP($D1125,物料档案!$A$4:$P$1203,10,0),0))</f>
        <v/>
      </c>
      <c r="P1125" s="32" t="n"/>
      <c r="Q1125" s="26">
        <f>IF($D1125="","",IF($K1125&lt;&gt;"对外销售",0,ROUND(N($J1125)*IF($P1125="",N($O1125),N($P1125)),0)))</f>
        <v/>
      </c>
      <c r="R1125" s="26">
        <f>IF($D1125="","",IFERROR(VLOOKUP($D1125,库存台账!$A$5:$Y$1204,11,0),0))</f>
        <v/>
      </c>
      <c r="S1125" s="26">
        <f>IF($D1125="","",ROUND(N($J1125)*N($R1125),0))</f>
        <v/>
      </c>
      <c r="T1125" s="26">
        <f>IF($D1125="","",IF($K1125&lt;&gt;"对外销售","",ROUND($Q1125-$S1125,0)))</f>
        <v/>
      </c>
      <c r="U1125" s="17" t="n"/>
      <c r="V1125" s="17" t="n"/>
      <c r="W1125" s="24">
        <f>IF($D1125="","",IF($E1125="※编码不在物料档案里","※物料编码不在档案里",IF(N($J1125)&lt;=0,"※出库数量要大于 0",IF($K1125="","※没填去向类型",IF($L1125="","※没填去向矿区",IF(AND($C1125&lt;&gt;"",$C1125&lt;=结账锁),"※日期早于已结账截止日，不能再录",IF(AND($K1125="自用消耗",COUNTIF({"一矿区";"二矿区"},$L1125)=0),"※自用消耗的去向只能是一矿区或二矿区",IF(AND($K1125="对外销售",COUNTIF({"三矿区";"六矿区"},$L1125)=0),"※对外销售的去向只能是三矿区或六矿区",IF(AND($K1125="对外销售",ROUND($Q1125,0)=0),"※外销却没有售价，请填实际售价",IF(AND($K1125="对外销售",$T1125&lt;&gt;"",$T1125&lt;0),"※这一笔外销是亏的，请核对售价",IF(IFERROR(VLOOKUP($D1125,库存台账!$A$5:$Y$1204,24,0),0)&lt;-0.001,"※这个物料账面已经变成负数了，查一下是不是漏记入库","")))))))))))</f>
        <v/>
      </c>
    </row>
    <row r="1126">
      <c r="A1126" s="24">
        <f>IF($D1126="","",COUNTA($D$4:$D1126))</f>
        <v/>
      </c>
      <c r="B1126" s="17" t="n"/>
      <c r="C1126" s="30" t="n"/>
      <c r="D1126" s="17" t="n"/>
      <c r="E1126" s="24">
        <f>IF($D1126="","",IFERROR(VLOOKUP($D1126,物料档案!$A$4:$P$1203,3,0),"※编码不在物料档案里"))</f>
        <v/>
      </c>
      <c r="F1126" s="24">
        <f>IF($D1126="","",IFERROR(VLOOKUP($D1126,物料档案!$A$4:$P$1203,4,0),"※编码不在物料档案里"))</f>
        <v/>
      </c>
      <c r="G1126" s="24">
        <f>IF($D1126="","",IFERROR(VLOOKUP($D1126,物料档案!$A$4:$P$1203,5,0),"※编码不在物料档案里"))</f>
        <v/>
      </c>
      <c r="H1126" s="24">
        <f>IF($D1126="","",IFERROR(VLOOKUP($D1126,物料档案!$A$4:$P$1203,2,0),"※编码不在物料档案里"))</f>
        <v/>
      </c>
      <c r="I1126" s="24">
        <f>IF($D1126="","",IFERROR(VLOOKUP($D1126,物料档案!$A$4:$P$1203,6,0),"※编码不在物料档案里"))</f>
        <v/>
      </c>
      <c r="J1126" s="23" t="n"/>
      <c r="K1126" s="17" t="n"/>
      <c r="L1126" s="17" t="n"/>
      <c r="M1126" s="17" t="n"/>
      <c r="N1126" s="17" t="n"/>
      <c r="O1126" s="26">
        <f>IF($D1126="","",IFERROR(VLOOKUP($D1126,物料档案!$A$4:$P$1203,10,0),0))</f>
        <v/>
      </c>
      <c r="P1126" s="32" t="n"/>
      <c r="Q1126" s="26">
        <f>IF($D1126="","",IF($K1126&lt;&gt;"对外销售",0,ROUND(N($J1126)*IF($P1126="",N($O1126),N($P1126)),0)))</f>
        <v/>
      </c>
      <c r="R1126" s="26">
        <f>IF($D1126="","",IFERROR(VLOOKUP($D1126,库存台账!$A$5:$Y$1204,11,0),0))</f>
        <v/>
      </c>
      <c r="S1126" s="26">
        <f>IF($D1126="","",ROUND(N($J1126)*N($R1126),0))</f>
        <v/>
      </c>
      <c r="T1126" s="26">
        <f>IF($D1126="","",IF($K1126&lt;&gt;"对外销售","",ROUND($Q1126-$S1126,0)))</f>
        <v/>
      </c>
      <c r="U1126" s="17" t="n"/>
      <c r="V1126" s="17" t="n"/>
      <c r="W1126" s="24">
        <f>IF($D1126="","",IF($E1126="※编码不在物料档案里","※物料编码不在档案里",IF(N($J1126)&lt;=0,"※出库数量要大于 0",IF($K1126="","※没填去向类型",IF($L1126="","※没填去向矿区",IF(AND($C1126&lt;&gt;"",$C1126&lt;=结账锁),"※日期早于已结账截止日，不能再录",IF(AND($K1126="自用消耗",COUNTIF({"一矿区";"二矿区"},$L1126)=0),"※自用消耗的去向只能是一矿区或二矿区",IF(AND($K1126="对外销售",COUNTIF({"三矿区";"六矿区"},$L1126)=0),"※对外销售的去向只能是三矿区或六矿区",IF(AND($K1126="对外销售",ROUND($Q1126,0)=0),"※外销却没有售价，请填实际售价",IF(AND($K1126="对外销售",$T1126&lt;&gt;"",$T1126&lt;0),"※这一笔外销是亏的，请核对售价",IF(IFERROR(VLOOKUP($D1126,库存台账!$A$5:$Y$1204,24,0),0)&lt;-0.001,"※这个物料账面已经变成负数了，查一下是不是漏记入库","")))))))))))</f>
        <v/>
      </c>
    </row>
    <row r="1127">
      <c r="A1127" s="24">
        <f>IF($D1127="","",COUNTA($D$4:$D1127))</f>
        <v/>
      </c>
      <c r="B1127" s="17" t="n"/>
      <c r="C1127" s="30" t="n"/>
      <c r="D1127" s="17" t="n"/>
      <c r="E1127" s="24">
        <f>IF($D1127="","",IFERROR(VLOOKUP($D1127,物料档案!$A$4:$P$1203,3,0),"※编码不在物料档案里"))</f>
        <v/>
      </c>
      <c r="F1127" s="24">
        <f>IF($D1127="","",IFERROR(VLOOKUP($D1127,物料档案!$A$4:$P$1203,4,0),"※编码不在物料档案里"))</f>
        <v/>
      </c>
      <c r="G1127" s="24">
        <f>IF($D1127="","",IFERROR(VLOOKUP($D1127,物料档案!$A$4:$P$1203,5,0),"※编码不在物料档案里"))</f>
        <v/>
      </c>
      <c r="H1127" s="24">
        <f>IF($D1127="","",IFERROR(VLOOKUP($D1127,物料档案!$A$4:$P$1203,2,0),"※编码不在物料档案里"))</f>
        <v/>
      </c>
      <c r="I1127" s="24">
        <f>IF($D1127="","",IFERROR(VLOOKUP($D1127,物料档案!$A$4:$P$1203,6,0),"※编码不在物料档案里"))</f>
        <v/>
      </c>
      <c r="J1127" s="23" t="n"/>
      <c r="K1127" s="17" t="n"/>
      <c r="L1127" s="17" t="n"/>
      <c r="M1127" s="17" t="n"/>
      <c r="N1127" s="17" t="n"/>
      <c r="O1127" s="26">
        <f>IF($D1127="","",IFERROR(VLOOKUP($D1127,物料档案!$A$4:$P$1203,10,0),0))</f>
        <v/>
      </c>
      <c r="P1127" s="32" t="n"/>
      <c r="Q1127" s="26">
        <f>IF($D1127="","",IF($K1127&lt;&gt;"对外销售",0,ROUND(N($J1127)*IF($P1127="",N($O1127),N($P1127)),0)))</f>
        <v/>
      </c>
      <c r="R1127" s="26">
        <f>IF($D1127="","",IFERROR(VLOOKUP($D1127,库存台账!$A$5:$Y$1204,11,0),0))</f>
        <v/>
      </c>
      <c r="S1127" s="26">
        <f>IF($D1127="","",ROUND(N($J1127)*N($R1127),0))</f>
        <v/>
      </c>
      <c r="T1127" s="26">
        <f>IF($D1127="","",IF($K1127&lt;&gt;"对外销售","",ROUND($Q1127-$S1127,0)))</f>
        <v/>
      </c>
      <c r="U1127" s="17" t="n"/>
      <c r="V1127" s="17" t="n"/>
      <c r="W1127" s="24">
        <f>IF($D1127="","",IF($E1127="※编码不在物料档案里","※物料编码不在档案里",IF(N($J1127)&lt;=0,"※出库数量要大于 0",IF($K1127="","※没填去向类型",IF($L1127="","※没填去向矿区",IF(AND($C1127&lt;&gt;"",$C1127&lt;=结账锁),"※日期早于已结账截止日，不能再录",IF(AND($K1127="自用消耗",COUNTIF({"一矿区";"二矿区"},$L1127)=0),"※自用消耗的去向只能是一矿区或二矿区",IF(AND($K1127="对外销售",COUNTIF({"三矿区";"六矿区"},$L1127)=0),"※对外销售的去向只能是三矿区或六矿区",IF(AND($K1127="对外销售",ROUND($Q1127,0)=0),"※外销却没有售价，请填实际售价",IF(AND($K1127="对外销售",$T1127&lt;&gt;"",$T1127&lt;0),"※这一笔外销是亏的，请核对售价",IF(IFERROR(VLOOKUP($D1127,库存台账!$A$5:$Y$1204,24,0),0)&lt;-0.001,"※这个物料账面已经变成负数了，查一下是不是漏记入库","")))))))))))</f>
        <v/>
      </c>
    </row>
    <row r="1128">
      <c r="A1128" s="24">
        <f>IF($D1128="","",COUNTA($D$4:$D1128))</f>
        <v/>
      </c>
      <c r="B1128" s="17" t="n"/>
      <c r="C1128" s="30" t="n"/>
      <c r="D1128" s="17" t="n"/>
      <c r="E1128" s="24">
        <f>IF($D1128="","",IFERROR(VLOOKUP($D1128,物料档案!$A$4:$P$1203,3,0),"※编码不在物料档案里"))</f>
        <v/>
      </c>
      <c r="F1128" s="24">
        <f>IF($D1128="","",IFERROR(VLOOKUP($D1128,物料档案!$A$4:$P$1203,4,0),"※编码不在物料档案里"))</f>
        <v/>
      </c>
      <c r="G1128" s="24">
        <f>IF($D1128="","",IFERROR(VLOOKUP($D1128,物料档案!$A$4:$P$1203,5,0),"※编码不在物料档案里"))</f>
        <v/>
      </c>
      <c r="H1128" s="24">
        <f>IF($D1128="","",IFERROR(VLOOKUP($D1128,物料档案!$A$4:$P$1203,2,0),"※编码不在物料档案里"))</f>
        <v/>
      </c>
      <c r="I1128" s="24">
        <f>IF($D1128="","",IFERROR(VLOOKUP($D1128,物料档案!$A$4:$P$1203,6,0),"※编码不在物料档案里"))</f>
        <v/>
      </c>
      <c r="J1128" s="23" t="n"/>
      <c r="K1128" s="17" t="n"/>
      <c r="L1128" s="17" t="n"/>
      <c r="M1128" s="17" t="n"/>
      <c r="N1128" s="17" t="n"/>
      <c r="O1128" s="26">
        <f>IF($D1128="","",IFERROR(VLOOKUP($D1128,物料档案!$A$4:$P$1203,10,0),0))</f>
        <v/>
      </c>
      <c r="P1128" s="32" t="n"/>
      <c r="Q1128" s="26">
        <f>IF($D1128="","",IF($K1128&lt;&gt;"对外销售",0,ROUND(N($J1128)*IF($P1128="",N($O1128),N($P1128)),0)))</f>
        <v/>
      </c>
      <c r="R1128" s="26">
        <f>IF($D1128="","",IFERROR(VLOOKUP($D1128,库存台账!$A$5:$Y$1204,11,0),0))</f>
        <v/>
      </c>
      <c r="S1128" s="26">
        <f>IF($D1128="","",ROUND(N($J1128)*N($R1128),0))</f>
        <v/>
      </c>
      <c r="T1128" s="26">
        <f>IF($D1128="","",IF($K1128&lt;&gt;"对外销售","",ROUND($Q1128-$S1128,0)))</f>
        <v/>
      </c>
      <c r="U1128" s="17" t="n"/>
      <c r="V1128" s="17" t="n"/>
      <c r="W1128" s="24">
        <f>IF($D1128="","",IF($E1128="※编码不在物料档案里","※物料编码不在档案里",IF(N($J1128)&lt;=0,"※出库数量要大于 0",IF($K1128="","※没填去向类型",IF($L1128="","※没填去向矿区",IF(AND($C1128&lt;&gt;"",$C1128&lt;=结账锁),"※日期早于已结账截止日，不能再录",IF(AND($K1128="自用消耗",COUNTIF({"一矿区";"二矿区"},$L1128)=0),"※自用消耗的去向只能是一矿区或二矿区",IF(AND($K1128="对外销售",COUNTIF({"三矿区";"六矿区"},$L1128)=0),"※对外销售的去向只能是三矿区或六矿区",IF(AND($K1128="对外销售",ROUND($Q1128,0)=0),"※外销却没有售价，请填实际售价",IF(AND($K1128="对外销售",$T1128&lt;&gt;"",$T1128&lt;0),"※这一笔外销是亏的，请核对售价",IF(IFERROR(VLOOKUP($D1128,库存台账!$A$5:$Y$1204,24,0),0)&lt;-0.001,"※这个物料账面已经变成负数了，查一下是不是漏记入库","")))))))))))</f>
        <v/>
      </c>
    </row>
    <row r="1129">
      <c r="A1129" s="24">
        <f>IF($D1129="","",COUNTA($D$4:$D1129))</f>
        <v/>
      </c>
      <c r="B1129" s="17" t="n"/>
      <c r="C1129" s="30" t="n"/>
      <c r="D1129" s="17" t="n"/>
      <c r="E1129" s="24">
        <f>IF($D1129="","",IFERROR(VLOOKUP($D1129,物料档案!$A$4:$P$1203,3,0),"※编码不在物料档案里"))</f>
        <v/>
      </c>
      <c r="F1129" s="24">
        <f>IF($D1129="","",IFERROR(VLOOKUP($D1129,物料档案!$A$4:$P$1203,4,0),"※编码不在物料档案里"))</f>
        <v/>
      </c>
      <c r="G1129" s="24">
        <f>IF($D1129="","",IFERROR(VLOOKUP($D1129,物料档案!$A$4:$P$1203,5,0),"※编码不在物料档案里"))</f>
        <v/>
      </c>
      <c r="H1129" s="24">
        <f>IF($D1129="","",IFERROR(VLOOKUP($D1129,物料档案!$A$4:$P$1203,2,0),"※编码不在物料档案里"))</f>
        <v/>
      </c>
      <c r="I1129" s="24">
        <f>IF($D1129="","",IFERROR(VLOOKUP($D1129,物料档案!$A$4:$P$1203,6,0),"※编码不在物料档案里"))</f>
        <v/>
      </c>
      <c r="J1129" s="23" t="n"/>
      <c r="K1129" s="17" t="n"/>
      <c r="L1129" s="17" t="n"/>
      <c r="M1129" s="17" t="n"/>
      <c r="N1129" s="17" t="n"/>
      <c r="O1129" s="26">
        <f>IF($D1129="","",IFERROR(VLOOKUP($D1129,物料档案!$A$4:$P$1203,10,0),0))</f>
        <v/>
      </c>
      <c r="P1129" s="32" t="n"/>
      <c r="Q1129" s="26">
        <f>IF($D1129="","",IF($K1129&lt;&gt;"对外销售",0,ROUND(N($J1129)*IF($P1129="",N($O1129),N($P1129)),0)))</f>
        <v/>
      </c>
      <c r="R1129" s="26">
        <f>IF($D1129="","",IFERROR(VLOOKUP($D1129,库存台账!$A$5:$Y$1204,11,0),0))</f>
        <v/>
      </c>
      <c r="S1129" s="26">
        <f>IF($D1129="","",ROUND(N($J1129)*N($R1129),0))</f>
        <v/>
      </c>
      <c r="T1129" s="26">
        <f>IF($D1129="","",IF($K1129&lt;&gt;"对外销售","",ROUND($Q1129-$S1129,0)))</f>
        <v/>
      </c>
      <c r="U1129" s="17" t="n"/>
      <c r="V1129" s="17" t="n"/>
      <c r="W1129" s="24">
        <f>IF($D1129="","",IF($E1129="※编码不在物料档案里","※物料编码不在档案里",IF(N($J1129)&lt;=0,"※出库数量要大于 0",IF($K1129="","※没填去向类型",IF($L1129="","※没填去向矿区",IF(AND($C1129&lt;&gt;"",$C1129&lt;=结账锁),"※日期早于已结账截止日，不能再录",IF(AND($K1129="自用消耗",COUNTIF({"一矿区";"二矿区"},$L1129)=0),"※自用消耗的去向只能是一矿区或二矿区",IF(AND($K1129="对外销售",COUNTIF({"三矿区";"六矿区"},$L1129)=0),"※对外销售的去向只能是三矿区或六矿区",IF(AND($K1129="对外销售",ROUND($Q1129,0)=0),"※外销却没有售价，请填实际售价",IF(AND($K1129="对外销售",$T1129&lt;&gt;"",$T1129&lt;0),"※这一笔外销是亏的，请核对售价",IF(IFERROR(VLOOKUP($D1129,库存台账!$A$5:$Y$1204,24,0),0)&lt;-0.001,"※这个物料账面已经变成负数了，查一下是不是漏记入库","")))))))))))</f>
        <v/>
      </c>
    </row>
    <row r="1130">
      <c r="A1130" s="24">
        <f>IF($D1130="","",COUNTA($D$4:$D1130))</f>
        <v/>
      </c>
      <c r="B1130" s="17" t="n"/>
      <c r="C1130" s="30" t="n"/>
      <c r="D1130" s="17" t="n"/>
      <c r="E1130" s="24">
        <f>IF($D1130="","",IFERROR(VLOOKUP($D1130,物料档案!$A$4:$P$1203,3,0),"※编码不在物料档案里"))</f>
        <v/>
      </c>
      <c r="F1130" s="24">
        <f>IF($D1130="","",IFERROR(VLOOKUP($D1130,物料档案!$A$4:$P$1203,4,0),"※编码不在物料档案里"))</f>
        <v/>
      </c>
      <c r="G1130" s="24">
        <f>IF($D1130="","",IFERROR(VLOOKUP($D1130,物料档案!$A$4:$P$1203,5,0),"※编码不在物料档案里"))</f>
        <v/>
      </c>
      <c r="H1130" s="24">
        <f>IF($D1130="","",IFERROR(VLOOKUP($D1130,物料档案!$A$4:$P$1203,2,0),"※编码不在物料档案里"))</f>
        <v/>
      </c>
      <c r="I1130" s="24">
        <f>IF($D1130="","",IFERROR(VLOOKUP($D1130,物料档案!$A$4:$P$1203,6,0),"※编码不在物料档案里"))</f>
        <v/>
      </c>
      <c r="J1130" s="23" t="n"/>
      <c r="K1130" s="17" t="n"/>
      <c r="L1130" s="17" t="n"/>
      <c r="M1130" s="17" t="n"/>
      <c r="N1130" s="17" t="n"/>
      <c r="O1130" s="26">
        <f>IF($D1130="","",IFERROR(VLOOKUP($D1130,物料档案!$A$4:$P$1203,10,0),0))</f>
        <v/>
      </c>
      <c r="P1130" s="32" t="n"/>
      <c r="Q1130" s="26">
        <f>IF($D1130="","",IF($K1130&lt;&gt;"对外销售",0,ROUND(N($J1130)*IF($P1130="",N($O1130),N($P1130)),0)))</f>
        <v/>
      </c>
      <c r="R1130" s="26">
        <f>IF($D1130="","",IFERROR(VLOOKUP($D1130,库存台账!$A$5:$Y$1204,11,0),0))</f>
        <v/>
      </c>
      <c r="S1130" s="26">
        <f>IF($D1130="","",ROUND(N($J1130)*N($R1130),0))</f>
        <v/>
      </c>
      <c r="T1130" s="26">
        <f>IF($D1130="","",IF($K1130&lt;&gt;"对外销售","",ROUND($Q1130-$S1130,0)))</f>
        <v/>
      </c>
      <c r="U1130" s="17" t="n"/>
      <c r="V1130" s="17" t="n"/>
      <c r="W1130" s="24">
        <f>IF($D1130="","",IF($E1130="※编码不在物料档案里","※物料编码不在档案里",IF(N($J1130)&lt;=0,"※出库数量要大于 0",IF($K1130="","※没填去向类型",IF($L1130="","※没填去向矿区",IF(AND($C1130&lt;&gt;"",$C1130&lt;=结账锁),"※日期早于已结账截止日，不能再录",IF(AND($K1130="自用消耗",COUNTIF({"一矿区";"二矿区"},$L1130)=0),"※自用消耗的去向只能是一矿区或二矿区",IF(AND($K1130="对外销售",COUNTIF({"三矿区";"六矿区"},$L1130)=0),"※对外销售的去向只能是三矿区或六矿区",IF(AND($K1130="对外销售",ROUND($Q1130,0)=0),"※外销却没有售价，请填实际售价",IF(AND($K1130="对外销售",$T1130&lt;&gt;"",$T1130&lt;0),"※这一笔外销是亏的，请核对售价",IF(IFERROR(VLOOKUP($D1130,库存台账!$A$5:$Y$1204,24,0),0)&lt;-0.001,"※这个物料账面已经变成负数了，查一下是不是漏记入库","")))))))))))</f>
        <v/>
      </c>
    </row>
    <row r="1131">
      <c r="A1131" s="24">
        <f>IF($D1131="","",COUNTA($D$4:$D1131))</f>
        <v/>
      </c>
      <c r="B1131" s="17" t="n"/>
      <c r="C1131" s="30" t="n"/>
      <c r="D1131" s="17" t="n"/>
      <c r="E1131" s="24">
        <f>IF($D1131="","",IFERROR(VLOOKUP($D1131,物料档案!$A$4:$P$1203,3,0),"※编码不在物料档案里"))</f>
        <v/>
      </c>
      <c r="F1131" s="24">
        <f>IF($D1131="","",IFERROR(VLOOKUP($D1131,物料档案!$A$4:$P$1203,4,0),"※编码不在物料档案里"))</f>
        <v/>
      </c>
      <c r="G1131" s="24">
        <f>IF($D1131="","",IFERROR(VLOOKUP($D1131,物料档案!$A$4:$P$1203,5,0),"※编码不在物料档案里"))</f>
        <v/>
      </c>
      <c r="H1131" s="24">
        <f>IF($D1131="","",IFERROR(VLOOKUP($D1131,物料档案!$A$4:$P$1203,2,0),"※编码不在物料档案里"))</f>
        <v/>
      </c>
      <c r="I1131" s="24">
        <f>IF($D1131="","",IFERROR(VLOOKUP($D1131,物料档案!$A$4:$P$1203,6,0),"※编码不在物料档案里"))</f>
        <v/>
      </c>
      <c r="J1131" s="23" t="n"/>
      <c r="K1131" s="17" t="n"/>
      <c r="L1131" s="17" t="n"/>
      <c r="M1131" s="17" t="n"/>
      <c r="N1131" s="17" t="n"/>
      <c r="O1131" s="26">
        <f>IF($D1131="","",IFERROR(VLOOKUP($D1131,物料档案!$A$4:$P$1203,10,0),0))</f>
        <v/>
      </c>
      <c r="P1131" s="32" t="n"/>
      <c r="Q1131" s="26">
        <f>IF($D1131="","",IF($K1131&lt;&gt;"对外销售",0,ROUND(N($J1131)*IF($P1131="",N($O1131),N($P1131)),0)))</f>
        <v/>
      </c>
      <c r="R1131" s="26">
        <f>IF($D1131="","",IFERROR(VLOOKUP($D1131,库存台账!$A$5:$Y$1204,11,0),0))</f>
        <v/>
      </c>
      <c r="S1131" s="26">
        <f>IF($D1131="","",ROUND(N($J1131)*N($R1131),0))</f>
        <v/>
      </c>
      <c r="T1131" s="26">
        <f>IF($D1131="","",IF($K1131&lt;&gt;"对外销售","",ROUND($Q1131-$S1131,0)))</f>
        <v/>
      </c>
      <c r="U1131" s="17" t="n"/>
      <c r="V1131" s="17" t="n"/>
      <c r="W1131" s="24">
        <f>IF($D1131="","",IF($E1131="※编码不在物料档案里","※物料编码不在档案里",IF(N($J1131)&lt;=0,"※出库数量要大于 0",IF($K1131="","※没填去向类型",IF($L1131="","※没填去向矿区",IF(AND($C1131&lt;&gt;"",$C1131&lt;=结账锁),"※日期早于已结账截止日，不能再录",IF(AND($K1131="自用消耗",COUNTIF({"一矿区";"二矿区"},$L1131)=0),"※自用消耗的去向只能是一矿区或二矿区",IF(AND($K1131="对外销售",COUNTIF({"三矿区";"六矿区"},$L1131)=0),"※对外销售的去向只能是三矿区或六矿区",IF(AND($K1131="对外销售",ROUND($Q1131,0)=0),"※外销却没有售价，请填实际售价",IF(AND($K1131="对外销售",$T1131&lt;&gt;"",$T1131&lt;0),"※这一笔外销是亏的，请核对售价",IF(IFERROR(VLOOKUP($D1131,库存台账!$A$5:$Y$1204,24,0),0)&lt;-0.001,"※这个物料账面已经变成负数了，查一下是不是漏记入库","")))))))))))</f>
        <v/>
      </c>
    </row>
    <row r="1132">
      <c r="A1132" s="24">
        <f>IF($D1132="","",COUNTA($D$4:$D1132))</f>
        <v/>
      </c>
      <c r="B1132" s="17" t="n"/>
      <c r="C1132" s="30" t="n"/>
      <c r="D1132" s="17" t="n"/>
      <c r="E1132" s="24">
        <f>IF($D1132="","",IFERROR(VLOOKUP($D1132,物料档案!$A$4:$P$1203,3,0),"※编码不在物料档案里"))</f>
        <v/>
      </c>
      <c r="F1132" s="24">
        <f>IF($D1132="","",IFERROR(VLOOKUP($D1132,物料档案!$A$4:$P$1203,4,0),"※编码不在物料档案里"))</f>
        <v/>
      </c>
      <c r="G1132" s="24">
        <f>IF($D1132="","",IFERROR(VLOOKUP($D1132,物料档案!$A$4:$P$1203,5,0),"※编码不在物料档案里"))</f>
        <v/>
      </c>
      <c r="H1132" s="24">
        <f>IF($D1132="","",IFERROR(VLOOKUP($D1132,物料档案!$A$4:$P$1203,2,0),"※编码不在物料档案里"))</f>
        <v/>
      </c>
      <c r="I1132" s="24">
        <f>IF($D1132="","",IFERROR(VLOOKUP($D1132,物料档案!$A$4:$P$1203,6,0),"※编码不在物料档案里"))</f>
        <v/>
      </c>
      <c r="J1132" s="23" t="n"/>
      <c r="K1132" s="17" t="n"/>
      <c r="L1132" s="17" t="n"/>
      <c r="M1132" s="17" t="n"/>
      <c r="N1132" s="17" t="n"/>
      <c r="O1132" s="26">
        <f>IF($D1132="","",IFERROR(VLOOKUP($D1132,物料档案!$A$4:$P$1203,10,0),0))</f>
        <v/>
      </c>
      <c r="P1132" s="32" t="n"/>
      <c r="Q1132" s="26">
        <f>IF($D1132="","",IF($K1132&lt;&gt;"对外销售",0,ROUND(N($J1132)*IF($P1132="",N($O1132),N($P1132)),0)))</f>
        <v/>
      </c>
      <c r="R1132" s="26">
        <f>IF($D1132="","",IFERROR(VLOOKUP($D1132,库存台账!$A$5:$Y$1204,11,0),0))</f>
        <v/>
      </c>
      <c r="S1132" s="26">
        <f>IF($D1132="","",ROUND(N($J1132)*N($R1132),0))</f>
        <v/>
      </c>
      <c r="T1132" s="26">
        <f>IF($D1132="","",IF($K1132&lt;&gt;"对外销售","",ROUND($Q1132-$S1132,0)))</f>
        <v/>
      </c>
      <c r="U1132" s="17" t="n"/>
      <c r="V1132" s="17" t="n"/>
      <c r="W1132" s="24">
        <f>IF($D1132="","",IF($E1132="※编码不在物料档案里","※物料编码不在档案里",IF(N($J1132)&lt;=0,"※出库数量要大于 0",IF($K1132="","※没填去向类型",IF($L1132="","※没填去向矿区",IF(AND($C1132&lt;&gt;"",$C1132&lt;=结账锁),"※日期早于已结账截止日，不能再录",IF(AND($K1132="自用消耗",COUNTIF({"一矿区";"二矿区"},$L1132)=0),"※自用消耗的去向只能是一矿区或二矿区",IF(AND($K1132="对外销售",COUNTIF({"三矿区";"六矿区"},$L1132)=0),"※对外销售的去向只能是三矿区或六矿区",IF(AND($K1132="对外销售",ROUND($Q1132,0)=0),"※外销却没有售价，请填实际售价",IF(AND($K1132="对外销售",$T1132&lt;&gt;"",$T1132&lt;0),"※这一笔外销是亏的，请核对售价",IF(IFERROR(VLOOKUP($D1132,库存台账!$A$5:$Y$1204,24,0),0)&lt;-0.001,"※这个物料账面已经变成负数了，查一下是不是漏记入库","")))))))))))</f>
        <v/>
      </c>
    </row>
    <row r="1133">
      <c r="A1133" s="24">
        <f>IF($D1133="","",COUNTA($D$4:$D1133))</f>
        <v/>
      </c>
      <c r="B1133" s="17" t="n"/>
      <c r="C1133" s="30" t="n"/>
      <c r="D1133" s="17" t="n"/>
      <c r="E1133" s="24">
        <f>IF($D1133="","",IFERROR(VLOOKUP($D1133,物料档案!$A$4:$P$1203,3,0),"※编码不在物料档案里"))</f>
        <v/>
      </c>
      <c r="F1133" s="24">
        <f>IF($D1133="","",IFERROR(VLOOKUP($D1133,物料档案!$A$4:$P$1203,4,0),"※编码不在物料档案里"))</f>
        <v/>
      </c>
      <c r="G1133" s="24">
        <f>IF($D1133="","",IFERROR(VLOOKUP($D1133,物料档案!$A$4:$P$1203,5,0),"※编码不在物料档案里"))</f>
        <v/>
      </c>
      <c r="H1133" s="24">
        <f>IF($D1133="","",IFERROR(VLOOKUP($D1133,物料档案!$A$4:$P$1203,2,0),"※编码不在物料档案里"))</f>
        <v/>
      </c>
      <c r="I1133" s="24">
        <f>IF($D1133="","",IFERROR(VLOOKUP($D1133,物料档案!$A$4:$P$1203,6,0),"※编码不在物料档案里"))</f>
        <v/>
      </c>
      <c r="J1133" s="23" t="n"/>
      <c r="K1133" s="17" t="n"/>
      <c r="L1133" s="17" t="n"/>
      <c r="M1133" s="17" t="n"/>
      <c r="N1133" s="17" t="n"/>
      <c r="O1133" s="26">
        <f>IF($D1133="","",IFERROR(VLOOKUP($D1133,物料档案!$A$4:$P$1203,10,0),0))</f>
        <v/>
      </c>
      <c r="P1133" s="32" t="n"/>
      <c r="Q1133" s="26">
        <f>IF($D1133="","",IF($K1133&lt;&gt;"对外销售",0,ROUND(N($J1133)*IF($P1133="",N($O1133),N($P1133)),0)))</f>
        <v/>
      </c>
      <c r="R1133" s="26">
        <f>IF($D1133="","",IFERROR(VLOOKUP($D1133,库存台账!$A$5:$Y$1204,11,0),0))</f>
        <v/>
      </c>
      <c r="S1133" s="26">
        <f>IF($D1133="","",ROUND(N($J1133)*N($R1133),0))</f>
        <v/>
      </c>
      <c r="T1133" s="26">
        <f>IF($D1133="","",IF($K1133&lt;&gt;"对外销售","",ROUND($Q1133-$S1133,0)))</f>
        <v/>
      </c>
      <c r="U1133" s="17" t="n"/>
      <c r="V1133" s="17" t="n"/>
      <c r="W1133" s="24">
        <f>IF($D1133="","",IF($E1133="※编码不在物料档案里","※物料编码不在档案里",IF(N($J1133)&lt;=0,"※出库数量要大于 0",IF($K1133="","※没填去向类型",IF($L1133="","※没填去向矿区",IF(AND($C1133&lt;&gt;"",$C1133&lt;=结账锁),"※日期早于已结账截止日，不能再录",IF(AND($K1133="自用消耗",COUNTIF({"一矿区";"二矿区"},$L1133)=0),"※自用消耗的去向只能是一矿区或二矿区",IF(AND($K1133="对外销售",COUNTIF({"三矿区";"六矿区"},$L1133)=0),"※对外销售的去向只能是三矿区或六矿区",IF(AND($K1133="对外销售",ROUND($Q1133,0)=0),"※外销却没有售价，请填实际售价",IF(AND($K1133="对外销售",$T1133&lt;&gt;"",$T1133&lt;0),"※这一笔外销是亏的，请核对售价",IF(IFERROR(VLOOKUP($D1133,库存台账!$A$5:$Y$1204,24,0),0)&lt;-0.001,"※这个物料账面已经变成负数了，查一下是不是漏记入库","")))))))))))</f>
        <v/>
      </c>
    </row>
    <row r="1134">
      <c r="A1134" s="24">
        <f>IF($D1134="","",COUNTA($D$4:$D1134))</f>
        <v/>
      </c>
      <c r="B1134" s="17" t="n"/>
      <c r="C1134" s="30" t="n"/>
      <c r="D1134" s="17" t="n"/>
      <c r="E1134" s="24">
        <f>IF($D1134="","",IFERROR(VLOOKUP($D1134,物料档案!$A$4:$P$1203,3,0),"※编码不在物料档案里"))</f>
        <v/>
      </c>
      <c r="F1134" s="24">
        <f>IF($D1134="","",IFERROR(VLOOKUP($D1134,物料档案!$A$4:$P$1203,4,0),"※编码不在物料档案里"))</f>
        <v/>
      </c>
      <c r="G1134" s="24">
        <f>IF($D1134="","",IFERROR(VLOOKUP($D1134,物料档案!$A$4:$P$1203,5,0),"※编码不在物料档案里"))</f>
        <v/>
      </c>
      <c r="H1134" s="24">
        <f>IF($D1134="","",IFERROR(VLOOKUP($D1134,物料档案!$A$4:$P$1203,2,0),"※编码不在物料档案里"))</f>
        <v/>
      </c>
      <c r="I1134" s="24">
        <f>IF($D1134="","",IFERROR(VLOOKUP($D1134,物料档案!$A$4:$P$1203,6,0),"※编码不在物料档案里"))</f>
        <v/>
      </c>
      <c r="J1134" s="23" t="n"/>
      <c r="K1134" s="17" t="n"/>
      <c r="L1134" s="17" t="n"/>
      <c r="M1134" s="17" t="n"/>
      <c r="N1134" s="17" t="n"/>
      <c r="O1134" s="26">
        <f>IF($D1134="","",IFERROR(VLOOKUP($D1134,物料档案!$A$4:$P$1203,10,0),0))</f>
        <v/>
      </c>
      <c r="P1134" s="32" t="n"/>
      <c r="Q1134" s="26">
        <f>IF($D1134="","",IF($K1134&lt;&gt;"对外销售",0,ROUND(N($J1134)*IF($P1134="",N($O1134),N($P1134)),0)))</f>
        <v/>
      </c>
      <c r="R1134" s="26">
        <f>IF($D1134="","",IFERROR(VLOOKUP($D1134,库存台账!$A$5:$Y$1204,11,0),0))</f>
        <v/>
      </c>
      <c r="S1134" s="26">
        <f>IF($D1134="","",ROUND(N($J1134)*N($R1134),0))</f>
        <v/>
      </c>
      <c r="T1134" s="26">
        <f>IF($D1134="","",IF($K1134&lt;&gt;"对外销售","",ROUND($Q1134-$S1134,0)))</f>
        <v/>
      </c>
      <c r="U1134" s="17" t="n"/>
      <c r="V1134" s="17" t="n"/>
      <c r="W1134" s="24">
        <f>IF($D1134="","",IF($E1134="※编码不在物料档案里","※物料编码不在档案里",IF(N($J1134)&lt;=0,"※出库数量要大于 0",IF($K1134="","※没填去向类型",IF($L1134="","※没填去向矿区",IF(AND($C1134&lt;&gt;"",$C1134&lt;=结账锁),"※日期早于已结账截止日，不能再录",IF(AND($K1134="自用消耗",COUNTIF({"一矿区";"二矿区"},$L1134)=0),"※自用消耗的去向只能是一矿区或二矿区",IF(AND($K1134="对外销售",COUNTIF({"三矿区";"六矿区"},$L1134)=0),"※对外销售的去向只能是三矿区或六矿区",IF(AND($K1134="对外销售",ROUND($Q1134,0)=0),"※外销却没有售价，请填实际售价",IF(AND($K1134="对外销售",$T1134&lt;&gt;"",$T1134&lt;0),"※这一笔外销是亏的，请核对售价",IF(IFERROR(VLOOKUP($D1134,库存台账!$A$5:$Y$1204,24,0),0)&lt;-0.001,"※这个物料账面已经变成负数了，查一下是不是漏记入库","")))))))))))</f>
        <v/>
      </c>
    </row>
    <row r="1135">
      <c r="A1135" s="24">
        <f>IF($D1135="","",COUNTA($D$4:$D1135))</f>
        <v/>
      </c>
      <c r="B1135" s="17" t="n"/>
      <c r="C1135" s="30" t="n"/>
      <c r="D1135" s="17" t="n"/>
      <c r="E1135" s="24">
        <f>IF($D1135="","",IFERROR(VLOOKUP($D1135,物料档案!$A$4:$P$1203,3,0),"※编码不在物料档案里"))</f>
        <v/>
      </c>
      <c r="F1135" s="24">
        <f>IF($D1135="","",IFERROR(VLOOKUP($D1135,物料档案!$A$4:$P$1203,4,0),"※编码不在物料档案里"))</f>
        <v/>
      </c>
      <c r="G1135" s="24">
        <f>IF($D1135="","",IFERROR(VLOOKUP($D1135,物料档案!$A$4:$P$1203,5,0),"※编码不在物料档案里"))</f>
        <v/>
      </c>
      <c r="H1135" s="24">
        <f>IF($D1135="","",IFERROR(VLOOKUP($D1135,物料档案!$A$4:$P$1203,2,0),"※编码不在物料档案里"))</f>
        <v/>
      </c>
      <c r="I1135" s="24">
        <f>IF($D1135="","",IFERROR(VLOOKUP($D1135,物料档案!$A$4:$P$1203,6,0),"※编码不在物料档案里"))</f>
        <v/>
      </c>
      <c r="J1135" s="23" t="n"/>
      <c r="K1135" s="17" t="n"/>
      <c r="L1135" s="17" t="n"/>
      <c r="M1135" s="17" t="n"/>
      <c r="N1135" s="17" t="n"/>
      <c r="O1135" s="26">
        <f>IF($D1135="","",IFERROR(VLOOKUP($D1135,物料档案!$A$4:$P$1203,10,0),0))</f>
        <v/>
      </c>
      <c r="P1135" s="32" t="n"/>
      <c r="Q1135" s="26">
        <f>IF($D1135="","",IF($K1135&lt;&gt;"对外销售",0,ROUND(N($J1135)*IF($P1135="",N($O1135),N($P1135)),0)))</f>
        <v/>
      </c>
      <c r="R1135" s="26">
        <f>IF($D1135="","",IFERROR(VLOOKUP($D1135,库存台账!$A$5:$Y$1204,11,0),0))</f>
        <v/>
      </c>
      <c r="S1135" s="26">
        <f>IF($D1135="","",ROUND(N($J1135)*N($R1135),0))</f>
        <v/>
      </c>
      <c r="T1135" s="26">
        <f>IF($D1135="","",IF($K1135&lt;&gt;"对外销售","",ROUND($Q1135-$S1135,0)))</f>
        <v/>
      </c>
      <c r="U1135" s="17" t="n"/>
      <c r="V1135" s="17" t="n"/>
      <c r="W1135" s="24">
        <f>IF($D1135="","",IF($E1135="※编码不在物料档案里","※物料编码不在档案里",IF(N($J1135)&lt;=0,"※出库数量要大于 0",IF($K1135="","※没填去向类型",IF($L1135="","※没填去向矿区",IF(AND($C1135&lt;&gt;"",$C1135&lt;=结账锁),"※日期早于已结账截止日，不能再录",IF(AND($K1135="自用消耗",COUNTIF({"一矿区";"二矿区"},$L1135)=0),"※自用消耗的去向只能是一矿区或二矿区",IF(AND($K1135="对外销售",COUNTIF({"三矿区";"六矿区"},$L1135)=0),"※对外销售的去向只能是三矿区或六矿区",IF(AND($K1135="对外销售",ROUND($Q1135,0)=0),"※外销却没有售价，请填实际售价",IF(AND($K1135="对外销售",$T1135&lt;&gt;"",$T1135&lt;0),"※这一笔外销是亏的，请核对售价",IF(IFERROR(VLOOKUP($D1135,库存台账!$A$5:$Y$1204,24,0),0)&lt;-0.001,"※这个物料账面已经变成负数了，查一下是不是漏记入库","")))))))))))</f>
        <v/>
      </c>
    </row>
    <row r="1136">
      <c r="A1136" s="24">
        <f>IF($D1136="","",COUNTA($D$4:$D1136))</f>
        <v/>
      </c>
      <c r="B1136" s="17" t="n"/>
      <c r="C1136" s="30" t="n"/>
      <c r="D1136" s="17" t="n"/>
      <c r="E1136" s="24">
        <f>IF($D1136="","",IFERROR(VLOOKUP($D1136,物料档案!$A$4:$P$1203,3,0),"※编码不在物料档案里"))</f>
        <v/>
      </c>
      <c r="F1136" s="24">
        <f>IF($D1136="","",IFERROR(VLOOKUP($D1136,物料档案!$A$4:$P$1203,4,0),"※编码不在物料档案里"))</f>
        <v/>
      </c>
      <c r="G1136" s="24">
        <f>IF($D1136="","",IFERROR(VLOOKUP($D1136,物料档案!$A$4:$P$1203,5,0),"※编码不在物料档案里"))</f>
        <v/>
      </c>
      <c r="H1136" s="24">
        <f>IF($D1136="","",IFERROR(VLOOKUP($D1136,物料档案!$A$4:$P$1203,2,0),"※编码不在物料档案里"))</f>
        <v/>
      </c>
      <c r="I1136" s="24">
        <f>IF($D1136="","",IFERROR(VLOOKUP($D1136,物料档案!$A$4:$P$1203,6,0),"※编码不在物料档案里"))</f>
        <v/>
      </c>
      <c r="J1136" s="23" t="n"/>
      <c r="K1136" s="17" t="n"/>
      <c r="L1136" s="17" t="n"/>
      <c r="M1136" s="17" t="n"/>
      <c r="N1136" s="17" t="n"/>
      <c r="O1136" s="26">
        <f>IF($D1136="","",IFERROR(VLOOKUP($D1136,物料档案!$A$4:$P$1203,10,0),0))</f>
        <v/>
      </c>
      <c r="P1136" s="32" t="n"/>
      <c r="Q1136" s="26">
        <f>IF($D1136="","",IF($K1136&lt;&gt;"对外销售",0,ROUND(N($J1136)*IF($P1136="",N($O1136),N($P1136)),0)))</f>
        <v/>
      </c>
      <c r="R1136" s="26">
        <f>IF($D1136="","",IFERROR(VLOOKUP($D1136,库存台账!$A$5:$Y$1204,11,0),0))</f>
        <v/>
      </c>
      <c r="S1136" s="26">
        <f>IF($D1136="","",ROUND(N($J1136)*N($R1136),0))</f>
        <v/>
      </c>
      <c r="T1136" s="26">
        <f>IF($D1136="","",IF($K1136&lt;&gt;"对外销售","",ROUND($Q1136-$S1136,0)))</f>
        <v/>
      </c>
      <c r="U1136" s="17" t="n"/>
      <c r="V1136" s="17" t="n"/>
      <c r="W1136" s="24">
        <f>IF($D1136="","",IF($E1136="※编码不在物料档案里","※物料编码不在档案里",IF(N($J1136)&lt;=0,"※出库数量要大于 0",IF($K1136="","※没填去向类型",IF($L1136="","※没填去向矿区",IF(AND($C1136&lt;&gt;"",$C1136&lt;=结账锁),"※日期早于已结账截止日，不能再录",IF(AND($K1136="自用消耗",COUNTIF({"一矿区";"二矿区"},$L1136)=0),"※自用消耗的去向只能是一矿区或二矿区",IF(AND($K1136="对外销售",COUNTIF({"三矿区";"六矿区"},$L1136)=0),"※对外销售的去向只能是三矿区或六矿区",IF(AND($K1136="对外销售",ROUND($Q1136,0)=0),"※外销却没有售价，请填实际售价",IF(AND($K1136="对外销售",$T1136&lt;&gt;"",$T1136&lt;0),"※这一笔外销是亏的，请核对售价",IF(IFERROR(VLOOKUP($D1136,库存台账!$A$5:$Y$1204,24,0),0)&lt;-0.001,"※这个物料账面已经变成负数了，查一下是不是漏记入库","")))))))))))</f>
        <v/>
      </c>
    </row>
    <row r="1137">
      <c r="A1137" s="24">
        <f>IF($D1137="","",COUNTA($D$4:$D1137))</f>
        <v/>
      </c>
      <c r="B1137" s="17" t="n"/>
      <c r="C1137" s="30" t="n"/>
      <c r="D1137" s="17" t="n"/>
      <c r="E1137" s="24">
        <f>IF($D1137="","",IFERROR(VLOOKUP($D1137,物料档案!$A$4:$P$1203,3,0),"※编码不在物料档案里"))</f>
        <v/>
      </c>
      <c r="F1137" s="24">
        <f>IF($D1137="","",IFERROR(VLOOKUP($D1137,物料档案!$A$4:$P$1203,4,0),"※编码不在物料档案里"))</f>
        <v/>
      </c>
      <c r="G1137" s="24">
        <f>IF($D1137="","",IFERROR(VLOOKUP($D1137,物料档案!$A$4:$P$1203,5,0),"※编码不在物料档案里"))</f>
        <v/>
      </c>
      <c r="H1137" s="24">
        <f>IF($D1137="","",IFERROR(VLOOKUP($D1137,物料档案!$A$4:$P$1203,2,0),"※编码不在物料档案里"))</f>
        <v/>
      </c>
      <c r="I1137" s="24">
        <f>IF($D1137="","",IFERROR(VLOOKUP($D1137,物料档案!$A$4:$P$1203,6,0),"※编码不在物料档案里"))</f>
        <v/>
      </c>
      <c r="J1137" s="23" t="n"/>
      <c r="K1137" s="17" t="n"/>
      <c r="L1137" s="17" t="n"/>
      <c r="M1137" s="17" t="n"/>
      <c r="N1137" s="17" t="n"/>
      <c r="O1137" s="26">
        <f>IF($D1137="","",IFERROR(VLOOKUP($D1137,物料档案!$A$4:$P$1203,10,0),0))</f>
        <v/>
      </c>
      <c r="P1137" s="32" t="n"/>
      <c r="Q1137" s="26">
        <f>IF($D1137="","",IF($K1137&lt;&gt;"对外销售",0,ROUND(N($J1137)*IF($P1137="",N($O1137),N($P1137)),0)))</f>
        <v/>
      </c>
      <c r="R1137" s="26">
        <f>IF($D1137="","",IFERROR(VLOOKUP($D1137,库存台账!$A$5:$Y$1204,11,0),0))</f>
        <v/>
      </c>
      <c r="S1137" s="26">
        <f>IF($D1137="","",ROUND(N($J1137)*N($R1137),0))</f>
        <v/>
      </c>
      <c r="T1137" s="26">
        <f>IF($D1137="","",IF($K1137&lt;&gt;"对外销售","",ROUND($Q1137-$S1137,0)))</f>
        <v/>
      </c>
      <c r="U1137" s="17" t="n"/>
      <c r="V1137" s="17" t="n"/>
      <c r="W1137" s="24">
        <f>IF($D1137="","",IF($E1137="※编码不在物料档案里","※物料编码不在档案里",IF(N($J1137)&lt;=0,"※出库数量要大于 0",IF($K1137="","※没填去向类型",IF($L1137="","※没填去向矿区",IF(AND($C1137&lt;&gt;"",$C1137&lt;=结账锁),"※日期早于已结账截止日，不能再录",IF(AND($K1137="自用消耗",COUNTIF({"一矿区";"二矿区"},$L1137)=0),"※自用消耗的去向只能是一矿区或二矿区",IF(AND($K1137="对外销售",COUNTIF({"三矿区";"六矿区"},$L1137)=0),"※对外销售的去向只能是三矿区或六矿区",IF(AND($K1137="对外销售",ROUND($Q1137,0)=0),"※外销却没有售价，请填实际售价",IF(AND($K1137="对外销售",$T1137&lt;&gt;"",$T1137&lt;0),"※这一笔外销是亏的，请核对售价",IF(IFERROR(VLOOKUP($D1137,库存台账!$A$5:$Y$1204,24,0),0)&lt;-0.001,"※这个物料账面已经变成负数了，查一下是不是漏记入库","")))))))))))</f>
        <v/>
      </c>
    </row>
    <row r="1138">
      <c r="A1138" s="24">
        <f>IF($D1138="","",COUNTA($D$4:$D1138))</f>
        <v/>
      </c>
      <c r="B1138" s="17" t="n"/>
      <c r="C1138" s="30" t="n"/>
      <c r="D1138" s="17" t="n"/>
      <c r="E1138" s="24">
        <f>IF($D1138="","",IFERROR(VLOOKUP($D1138,物料档案!$A$4:$P$1203,3,0),"※编码不在物料档案里"))</f>
        <v/>
      </c>
      <c r="F1138" s="24">
        <f>IF($D1138="","",IFERROR(VLOOKUP($D1138,物料档案!$A$4:$P$1203,4,0),"※编码不在物料档案里"))</f>
        <v/>
      </c>
      <c r="G1138" s="24">
        <f>IF($D1138="","",IFERROR(VLOOKUP($D1138,物料档案!$A$4:$P$1203,5,0),"※编码不在物料档案里"))</f>
        <v/>
      </c>
      <c r="H1138" s="24">
        <f>IF($D1138="","",IFERROR(VLOOKUP($D1138,物料档案!$A$4:$P$1203,2,0),"※编码不在物料档案里"))</f>
        <v/>
      </c>
      <c r="I1138" s="24">
        <f>IF($D1138="","",IFERROR(VLOOKUP($D1138,物料档案!$A$4:$P$1203,6,0),"※编码不在物料档案里"))</f>
        <v/>
      </c>
      <c r="J1138" s="23" t="n"/>
      <c r="K1138" s="17" t="n"/>
      <c r="L1138" s="17" t="n"/>
      <c r="M1138" s="17" t="n"/>
      <c r="N1138" s="17" t="n"/>
      <c r="O1138" s="26">
        <f>IF($D1138="","",IFERROR(VLOOKUP($D1138,物料档案!$A$4:$P$1203,10,0),0))</f>
        <v/>
      </c>
      <c r="P1138" s="32" t="n"/>
      <c r="Q1138" s="26">
        <f>IF($D1138="","",IF($K1138&lt;&gt;"对外销售",0,ROUND(N($J1138)*IF($P1138="",N($O1138),N($P1138)),0)))</f>
        <v/>
      </c>
      <c r="R1138" s="26">
        <f>IF($D1138="","",IFERROR(VLOOKUP($D1138,库存台账!$A$5:$Y$1204,11,0),0))</f>
        <v/>
      </c>
      <c r="S1138" s="26">
        <f>IF($D1138="","",ROUND(N($J1138)*N($R1138),0))</f>
        <v/>
      </c>
      <c r="T1138" s="26">
        <f>IF($D1138="","",IF($K1138&lt;&gt;"对外销售","",ROUND($Q1138-$S1138,0)))</f>
        <v/>
      </c>
      <c r="U1138" s="17" t="n"/>
      <c r="V1138" s="17" t="n"/>
      <c r="W1138" s="24">
        <f>IF($D1138="","",IF($E1138="※编码不在物料档案里","※物料编码不在档案里",IF(N($J1138)&lt;=0,"※出库数量要大于 0",IF($K1138="","※没填去向类型",IF($L1138="","※没填去向矿区",IF(AND($C1138&lt;&gt;"",$C1138&lt;=结账锁),"※日期早于已结账截止日，不能再录",IF(AND($K1138="自用消耗",COUNTIF({"一矿区";"二矿区"},$L1138)=0),"※自用消耗的去向只能是一矿区或二矿区",IF(AND($K1138="对外销售",COUNTIF({"三矿区";"六矿区"},$L1138)=0),"※对外销售的去向只能是三矿区或六矿区",IF(AND($K1138="对外销售",ROUND($Q1138,0)=0),"※外销却没有售价，请填实际售价",IF(AND($K1138="对外销售",$T1138&lt;&gt;"",$T1138&lt;0),"※这一笔外销是亏的，请核对售价",IF(IFERROR(VLOOKUP($D1138,库存台账!$A$5:$Y$1204,24,0),0)&lt;-0.001,"※这个物料账面已经变成负数了，查一下是不是漏记入库","")))))))))))</f>
        <v/>
      </c>
    </row>
    <row r="1139">
      <c r="A1139" s="24">
        <f>IF($D1139="","",COUNTA($D$4:$D1139))</f>
        <v/>
      </c>
      <c r="B1139" s="17" t="n"/>
      <c r="C1139" s="30" t="n"/>
      <c r="D1139" s="17" t="n"/>
      <c r="E1139" s="24">
        <f>IF($D1139="","",IFERROR(VLOOKUP($D1139,物料档案!$A$4:$P$1203,3,0),"※编码不在物料档案里"))</f>
        <v/>
      </c>
      <c r="F1139" s="24">
        <f>IF($D1139="","",IFERROR(VLOOKUP($D1139,物料档案!$A$4:$P$1203,4,0),"※编码不在物料档案里"))</f>
        <v/>
      </c>
      <c r="G1139" s="24">
        <f>IF($D1139="","",IFERROR(VLOOKUP($D1139,物料档案!$A$4:$P$1203,5,0),"※编码不在物料档案里"))</f>
        <v/>
      </c>
      <c r="H1139" s="24">
        <f>IF($D1139="","",IFERROR(VLOOKUP($D1139,物料档案!$A$4:$P$1203,2,0),"※编码不在物料档案里"))</f>
        <v/>
      </c>
      <c r="I1139" s="24">
        <f>IF($D1139="","",IFERROR(VLOOKUP($D1139,物料档案!$A$4:$P$1203,6,0),"※编码不在物料档案里"))</f>
        <v/>
      </c>
      <c r="J1139" s="23" t="n"/>
      <c r="K1139" s="17" t="n"/>
      <c r="L1139" s="17" t="n"/>
      <c r="M1139" s="17" t="n"/>
      <c r="N1139" s="17" t="n"/>
      <c r="O1139" s="26">
        <f>IF($D1139="","",IFERROR(VLOOKUP($D1139,物料档案!$A$4:$P$1203,10,0),0))</f>
        <v/>
      </c>
      <c r="P1139" s="32" t="n"/>
      <c r="Q1139" s="26">
        <f>IF($D1139="","",IF($K1139&lt;&gt;"对外销售",0,ROUND(N($J1139)*IF($P1139="",N($O1139),N($P1139)),0)))</f>
        <v/>
      </c>
      <c r="R1139" s="26">
        <f>IF($D1139="","",IFERROR(VLOOKUP($D1139,库存台账!$A$5:$Y$1204,11,0),0))</f>
        <v/>
      </c>
      <c r="S1139" s="26">
        <f>IF($D1139="","",ROUND(N($J1139)*N($R1139),0))</f>
        <v/>
      </c>
      <c r="T1139" s="26">
        <f>IF($D1139="","",IF($K1139&lt;&gt;"对外销售","",ROUND($Q1139-$S1139,0)))</f>
        <v/>
      </c>
      <c r="U1139" s="17" t="n"/>
      <c r="V1139" s="17" t="n"/>
      <c r="W1139" s="24">
        <f>IF($D1139="","",IF($E1139="※编码不在物料档案里","※物料编码不在档案里",IF(N($J1139)&lt;=0,"※出库数量要大于 0",IF($K1139="","※没填去向类型",IF($L1139="","※没填去向矿区",IF(AND($C1139&lt;&gt;"",$C1139&lt;=结账锁),"※日期早于已结账截止日，不能再录",IF(AND($K1139="自用消耗",COUNTIF({"一矿区";"二矿区"},$L1139)=0),"※自用消耗的去向只能是一矿区或二矿区",IF(AND($K1139="对外销售",COUNTIF({"三矿区";"六矿区"},$L1139)=0),"※对外销售的去向只能是三矿区或六矿区",IF(AND($K1139="对外销售",ROUND($Q1139,0)=0),"※外销却没有售价，请填实际售价",IF(AND($K1139="对外销售",$T1139&lt;&gt;"",$T1139&lt;0),"※这一笔外销是亏的，请核对售价",IF(IFERROR(VLOOKUP($D1139,库存台账!$A$5:$Y$1204,24,0),0)&lt;-0.001,"※这个物料账面已经变成负数了，查一下是不是漏记入库","")))))))))))</f>
        <v/>
      </c>
    </row>
    <row r="1140">
      <c r="A1140" s="24">
        <f>IF($D1140="","",COUNTA($D$4:$D1140))</f>
        <v/>
      </c>
      <c r="B1140" s="17" t="n"/>
      <c r="C1140" s="30" t="n"/>
      <c r="D1140" s="17" t="n"/>
      <c r="E1140" s="24">
        <f>IF($D1140="","",IFERROR(VLOOKUP($D1140,物料档案!$A$4:$P$1203,3,0),"※编码不在物料档案里"))</f>
        <v/>
      </c>
      <c r="F1140" s="24">
        <f>IF($D1140="","",IFERROR(VLOOKUP($D1140,物料档案!$A$4:$P$1203,4,0),"※编码不在物料档案里"))</f>
        <v/>
      </c>
      <c r="G1140" s="24">
        <f>IF($D1140="","",IFERROR(VLOOKUP($D1140,物料档案!$A$4:$P$1203,5,0),"※编码不在物料档案里"))</f>
        <v/>
      </c>
      <c r="H1140" s="24">
        <f>IF($D1140="","",IFERROR(VLOOKUP($D1140,物料档案!$A$4:$P$1203,2,0),"※编码不在物料档案里"))</f>
        <v/>
      </c>
      <c r="I1140" s="24">
        <f>IF($D1140="","",IFERROR(VLOOKUP($D1140,物料档案!$A$4:$P$1203,6,0),"※编码不在物料档案里"))</f>
        <v/>
      </c>
      <c r="J1140" s="23" t="n"/>
      <c r="K1140" s="17" t="n"/>
      <c r="L1140" s="17" t="n"/>
      <c r="M1140" s="17" t="n"/>
      <c r="N1140" s="17" t="n"/>
      <c r="O1140" s="26">
        <f>IF($D1140="","",IFERROR(VLOOKUP($D1140,物料档案!$A$4:$P$1203,10,0),0))</f>
        <v/>
      </c>
      <c r="P1140" s="32" t="n"/>
      <c r="Q1140" s="26">
        <f>IF($D1140="","",IF($K1140&lt;&gt;"对外销售",0,ROUND(N($J1140)*IF($P1140="",N($O1140),N($P1140)),0)))</f>
        <v/>
      </c>
      <c r="R1140" s="26">
        <f>IF($D1140="","",IFERROR(VLOOKUP($D1140,库存台账!$A$5:$Y$1204,11,0),0))</f>
        <v/>
      </c>
      <c r="S1140" s="26">
        <f>IF($D1140="","",ROUND(N($J1140)*N($R1140),0))</f>
        <v/>
      </c>
      <c r="T1140" s="26">
        <f>IF($D1140="","",IF($K1140&lt;&gt;"对外销售","",ROUND($Q1140-$S1140,0)))</f>
        <v/>
      </c>
      <c r="U1140" s="17" t="n"/>
      <c r="V1140" s="17" t="n"/>
      <c r="W1140" s="24">
        <f>IF($D1140="","",IF($E1140="※编码不在物料档案里","※物料编码不在档案里",IF(N($J1140)&lt;=0,"※出库数量要大于 0",IF($K1140="","※没填去向类型",IF($L1140="","※没填去向矿区",IF(AND($C1140&lt;&gt;"",$C1140&lt;=结账锁),"※日期早于已结账截止日，不能再录",IF(AND($K1140="自用消耗",COUNTIF({"一矿区";"二矿区"},$L1140)=0),"※自用消耗的去向只能是一矿区或二矿区",IF(AND($K1140="对外销售",COUNTIF({"三矿区";"六矿区"},$L1140)=0),"※对外销售的去向只能是三矿区或六矿区",IF(AND($K1140="对外销售",ROUND($Q1140,0)=0),"※外销却没有售价，请填实际售价",IF(AND($K1140="对外销售",$T1140&lt;&gt;"",$T1140&lt;0),"※这一笔外销是亏的，请核对售价",IF(IFERROR(VLOOKUP($D1140,库存台账!$A$5:$Y$1204,24,0),0)&lt;-0.001,"※这个物料账面已经变成负数了，查一下是不是漏记入库","")))))))))))</f>
        <v/>
      </c>
    </row>
    <row r="1141">
      <c r="A1141" s="24">
        <f>IF($D1141="","",COUNTA($D$4:$D1141))</f>
        <v/>
      </c>
      <c r="B1141" s="17" t="n"/>
      <c r="C1141" s="30" t="n"/>
      <c r="D1141" s="17" t="n"/>
      <c r="E1141" s="24">
        <f>IF($D1141="","",IFERROR(VLOOKUP($D1141,物料档案!$A$4:$P$1203,3,0),"※编码不在物料档案里"))</f>
        <v/>
      </c>
      <c r="F1141" s="24">
        <f>IF($D1141="","",IFERROR(VLOOKUP($D1141,物料档案!$A$4:$P$1203,4,0),"※编码不在物料档案里"))</f>
        <v/>
      </c>
      <c r="G1141" s="24">
        <f>IF($D1141="","",IFERROR(VLOOKUP($D1141,物料档案!$A$4:$P$1203,5,0),"※编码不在物料档案里"))</f>
        <v/>
      </c>
      <c r="H1141" s="24">
        <f>IF($D1141="","",IFERROR(VLOOKUP($D1141,物料档案!$A$4:$P$1203,2,0),"※编码不在物料档案里"))</f>
        <v/>
      </c>
      <c r="I1141" s="24">
        <f>IF($D1141="","",IFERROR(VLOOKUP($D1141,物料档案!$A$4:$P$1203,6,0),"※编码不在物料档案里"))</f>
        <v/>
      </c>
      <c r="J1141" s="23" t="n"/>
      <c r="K1141" s="17" t="n"/>
      <c r="L1141" s="17" t="n"/>
      <c r="M1141" s="17" t="n"/>
      <c r="N1141" s="17" t="n"/>
      <c r="O1141" s="26">
        <f>IF($D1141="","",IFERROR(VLOOKUP($D1141,物料档案!$A$4:$P$1203,10,0),0))</f>
        <v/>
      </c>
      <c r="P1141" s="32" t="n"/>
      <c r="Q1141" s="26">
        <f>IF($D1141="","",IF($K1141&lt;&gt;"对外销售",0,ROUND(N($J1141)*IF($P1141="",N($O1141),N($P1141)),0)))</f>
        <v/>
      </c>
      <c r="R1141" s="26">
        <f>IF($D1141="","",IFERROR(VLOOKUP($D1141,库存台账!$A$5:$Y$1204,11,0),0))</f>
        <v/>
      </c>
      <c r="S1141" s="26">
        <f>IF($D1141="","",ROUND(N($J1141)*N($R1141),0))</f>
        <v/>
      </c>
      <c r="T1141" s="26">
        <f>IF($D1141="","",IF($K1141&lt;&gt;"对外销售","",ROUND($Q1141-$S1141,0)))</f>
        <v/>
      </c>
      <c r="U1141" s="17" t="n"/>
      <c r="V1141" s="17" t="n"/>
      <c r="W1141" s="24">
        <f>IF($D1141="","",IF($E1141="※编码不在物料档案里","※物料编码不在档案里",IF(N($J1141)&lt;=0,"※出库数量要大于 0",IF($K1141="","※没填去向类型",IF($L1141="","※没填去向矿区",IF(AND($C1141&lt;&gt;"",$C1141&lt;=结账锁),"※日期早于已结账截止日，不能再录",IF(AND($K1141="自用消耗",COUNTIF({"一矿区";"二矿区"},$L1141)=0),"※自用消耗的去向只能是一矿区或二矿区",IF(AND($K1141="对外销售",COUNTIF({"三矿区";"六矿区"},$L1141)=0),"※对外销售的去向只能是三矿区或六矿区",IF(AND($K1141="对外销售",ROUND($Q1141,0)=0),"※外销却没有售价，请填实际售价",IF(AND($K1141="对外销售",$T1141&lt;&gt;"",$T1141&lt;0),"※这一笔外销是亏的，请核对售价",IF(IFERROR(VLOOKUP($D1141,库存台账!$A$5:$Y$1204,24,0),0)&lt;-0.001,"※这个物料账面已经变成负数了，查一下是不是漏记入库","")))))))))))</f>
        <v/>
      </c>
    </row>
    <row r="1142">
      <c r="A1142" s="24">
        <f>IF($D1142="","",COUNTA($D$4:$D1142))</f>
        <v/>
      </c>
      <c r="B1142" s="17" t="n"/>
      <c r="C1142" s="30" t="n"/>
      <c r="D1142" s="17" t="n"/>
      <c r="E1142" s="24">
        <f>IF($D1142="","",IFERROR(VLOOKUP($D1142,物料档案!$A$4:$P$1203,3,0),"※编码不在物料档案里"))</f>
        <v/>
      </c>
      <c r="F1142" s="24">
        <f>IF($D1142="","",IFERROR(VLOOKUP($D1142,物料档案!$A$4:$P$1203,4,0),"※编码不在物料档案里"))</f>
        <v/>
      </c>
      <c r="G1142" s="24">
        <f>IF($D1142="","",IFERROR(VLOOKUP($D1142,物料档案!$A$4:$P$1203,5,0),"※编码不在物料档案里"))</f>
        <v/>
      </c>
      <c r="H1142" s="24">
        <f>IF($D1142="","",IFERROR(VLOOKUP($D1142,物料档案!$A$4:$P$1203,2,0),"※编码不在物料档案里"))</f>
        <v/>
      </c>
      <c r="I1142" s="24">
        <f>IF($D1142="","",IFERROR(VLOOKUP($D1142,物料档案!$A$4:$P$1203,6,0),"※编码不在物料档案里"))</f>
        <v/>
      </c>
      <c r="J1142" s="23" t="n"/>
      <c r="K1142" s="17" t="n"/>
      <c r="L1142" s="17" t="n"/>
      <c r="M1142" s="17" t="n"/>
      <c r="N1142" s="17" t="n"/>
      <c r="O1142" s="26">
        <f>IF($D1142="","",IFERROR(VLOOKUP($D1142,物料档案!$A$4:$P$1203,10,0),0))</f>
        <v/>
      </c>
      <c r="P1142" s="32" t="n"/>
      <c r="Q1142" s="26">
        <f>IF($D1142="","",IF($K1142&lt;&gt;"对外销售",0,ROUND(N($J1142)*IF($P1142="",N($O1142),N($P1142)),0)))</f>
        <v/>
      </c>
      <c r="R1142" s="26">
        <f>IF($D1142="","",IFERROR(VLOOKUP($D1142,库存台账!$A$5:$Y$1204,11,0),0))</f>
        <v/>
      </c>
      <c r="S1142" s="26">
        <f>IF($D1142="","",ROUND(N($J1142)*N($R1142),0))</f>
        <v/>
      </c>
      <c r="T1142" s="26">
        <f>IF($D1142="","",IF($K1142&lt;&gt;"对外销售","",ROUND($Q1142-$S1142,0)))</f>
        <v/>
      </c>
      <c r="U1142" s="17" t="n"/>
      <c r="V1142" s="17" t="n"/>
      <c r="W1142" s="24">
        <f>IF($D1142="","",IF($E1142="※编码不在物料档案里","※物料编码不在档案里",IF(N($J1142)&lt;=0,"※出库数量要大于 0",IF($K1142="","※没填去向类型",IF($L1142="","※没填去向矿区",IF(AND($C1142&lt;&gt;"",$C1142&lt;=结账锁),"※日期早于已结账截止日，不能再录",IF(AND($K1142="自用消耗",COUNTIF({"一矿区";"二矿区"},$L1142)=0),"※自用消耗的去向只能是一矿区或二矿区",IF(AND($K1142="对外销售",COUNTIF({"三矿区";"六矿区"},$L1142)=0),"※对外销售的去向只能是三矿区或六矿区",IF(AND($K1142="对外销售",ROUND($Q1142,0)=0),"※外销却没有售价，请填实际售价",IF(AND($K1142="对外销售",$T1142&lt;&gt;"",$T1142&lt;0),"※这一笔外销是亏的，请核对售价",IF(IFERROR(VLOOKUP($D1142,库存台账!$A$5:$Y$1204,24,0),0)&lt;-0.001,"※这个物料账面已经变成负数了，查一下是不是漏记入库","")))))))))))</f>
        <v/>
      </c>
    </row>
    <row r="1143">
      <c r="A1143" s="24">
        <f>IF($D1143="","",COUNTA($D$4:$D1143))</f>
        <v/>
      </c>
      <c r="B1143" s="17" t="n"/>
      <c r="C1143" s="30" t="n"/>
      <c r="D1143" s="17" t="n"/>
      <c r="E1143" s="24">
        <f>IF($D1143="","",IFERROR(VLOOKUP($D1143,物料档案!$A$4:$P$1203,3,0),"※编码不在物料档案里"))</f>
        <v/>
      </c>
      <c r="F1143" s="24">
        <f>IF($D1143="","",IFERROR(VLOOKUP($D1143,物料档案!$A$4:$P$1203,4,0),"※编码不在物料档案里"))</f>
        <v/>
      </c>
      <c r="G1143" s="24">
        <f>IF($D1143="","",IFERROR(VLOOKUP($D1143,物料档案!$A$4:$P$1203,5,0),"※编码不在物料档案里"))</f>
        <v/>
      </c>
      <c r="H1143" s="24">
        <f>IF($D1143="","",IFERROR(VLOOKUP($D1143,物料档案!$A$4:$P$1203,2,0),"※编码不在物料档案里"))</f>
        <v/>
      </c>
      <c r="I1143" s="24">
        <f>IF($D1143="","",IFERROR(VLOOKUP($D1143,物料档案!$A$4:$P$1203,6,0),"※编码不在物料档案里"))</f>
        <v/>
      </c>
      <c r="J1143" s="23" t="n"/>
      <c r="K1143" s="17" t="n"/>
      <c r="L1143" s="17" t="n"/>
      <c r="M1143" s="17" t="n"/>
      <c r="N1143" s="17" t="n"/>
      <c r="O1143" s="26">
        <f>IF($D1143="","",IFERROR(VLOOKUP($D1143,物料档案!$A$4:$P$1203,10,0),0))</f>
        <v/>
      </c>
      <c r="P1143" s="32" t="n"/>
      <c r="Q1143" s="26">
        <f>IF($D1143="","",IF($K1143&lt;&gt;"对外销售",0,ROUND(N($J1143)*IF($P1143="",N($O1143),N($P1143)),0)))</f>
        <v/>
      </c>
      <c r="R1143" s="26">
        <f>IF($D1143="","",IFERROR(VLOOKUP($D1143,库存台账!$A$5:$Y$1204,11,0),0))</f>
        <v/>
      </c>
      <c r="S1143" s="26">
        <f>IF($D1143="","",ROUND(N($J1143)*N($R1143),0))</f>
        <v/>
      </c>
      <c r="T1143" s="26">
        <f>IF($D1143="","",IF($K1143&lt;&gt;"对外销售","",ROUND($Q1143-$S1143,0)))</f>
        <v/>
      </c>
      <c r="U1143" s="17" t="n"/>
      <c r="V1143" s="17" t="n"/>
      <c r="W1143" s="24">
        <f>IF($D1143="","",IF($E1143="※编码不在物料档案里","※物料编码不在档案里",IF(N($J1143)&lt;=0,"※出库数量要大于 0",IF($K1143="","※没填去向类型",IF($L1143="","※没填去向矿区",IF(AND($C1143&lt;&gt;"",$C1143&lt;=结账锁),"※日期早于已结账截止日，不能再录",IF(AND($K1143="自用消耗",COUNTIF({"一矿区";"二矿区"},$L1143)=0),"※自用消耗的去向只能是一矿区或二矿区",IF(AND($K1143="对外销售",COUNTIF({"三矿区";"六矿区"},$L1143)=0),"※对外销售的去向只能是三矿区或六矿区",IF(AND($K1143="对外销售",ROUND($Q1143,0)=0),"※外销却没有售价，请填实际售价",IF(AND($K1143="对外销售",$T1143&lt;&gt;"",$T1143&lt;0),"※这一笔外销是亏的，请核对售价",IF(IFERROR(VLOOKUP($D1143,库存台账!$A$5:$Y$1204,24,0),0)&lt;-0.001,"※这个物料账面已经变成负数了，查一下是不是漏记入库","")))))))))))</f>
        <v/>
      </c>
    </row>
    <row r="1144">
      <c r="A1144" s="24">
        <f>IF($D1144="","",COUNTA($D$4:$D1144))</f>
        <v/>
      </c>
      <c r="B1144" s="17" t="n"/>
      <c r="C1144" s="30" t="n"/>
      <c r="D1144" s="17" t="n"/>
      <c r="E1144" s="24">
        <f>IF($D1144="","",IFERROR(VLOOKUP($D1144,物料档案!$A$4:$P$1203,3,0),"※编码不在物料档案里"))</f>
        <v/>
      </c>
      <c r="F1144" s="24">
        <f>IF($D1144="","",IFERROR(VLOOKUP($D1144,物料档案!$A$4:$P$1203,4,0),"※编码不在物料档案里"))</f>
        <v/>
      </c>
      <c r="G1144" s="24">
        <f>IF($D1144="","",IFERROR(VLOOKUP($D1144,物料档案!$A$4:$P$1203,5,0),"※编码不在物料档案里"))</f>
        <v/>
      </c>
      <c r="H1144" s="24">
        <f>IF($D1144="","",IFERROR(VLOOKUP($D1144,物料档案!$A$4:$P$1203,2,0),"※编码不在物料档案里"))</f>
        <v/>
      </c>
      <c r="I1144" s="24">
        <f>IF($D1144="","",IFERROR(VLOOKUP($D1144,物料档案!$A$4:$P$1203,6,0),"※编码不在物料档案里"))</f>
        <v/>
      </c>
      <c r="J1144" s="23" t="n"/>
      <c r="K1144" s="17" t="n"/>
      <c r="L1144" s="17" t="n"/>
      <c r="M1144" s="17" t="n"/>
      <c r="N1144" s="17" t="n"/>
      <c r="O1144" s="26">
        <f>IF($D1144="","",IFERROR(VLOOKUP($D1144,物料档案!$A$4:$P$1203,10,0),0))</f>
        <v/>
      </c>
      <c r="P1144" s="32" t="n"/>
      <c r="Q1144" s="26">
        <f>IF($D1144="","",IF($K1144&lt;&gt;"对外销售",0,ROUND(N($J1144)*IF($P1144="",N($O1144),N($P1144)),0)))</f>
        <v/>
      </c>
      <c r="R1144" s="26">
        <f>IF($D1144="","",IFERROR(VLOOKUP($D1144,库存台账!$A$5:$Y$1204,11,0),0))</f>
        <v/>
      </c>
      <c r="S1144" s="26">
        <f>IF($D1144="","",ROUND(N($J1144)*N($R1144),0))</f>
        <v/>
      </c>
      <c r="T1144" s="26">
        <f>IF($D1144="","",IF($K1144&lt;&gt;"对外销售","",ROUND($Q1144-$S1144,0)))</f>
        <v/>
      </c>
      <c r="U1144" s="17" t="n"/>
      <c r="V1144" s="17" t="n"/>
      <c r="W1144" s="24">
        <f>IF($D1144="","",IF($E1144="※编码不在物料档案里","※物料编码不在档案里",IF(N($J1144)&lt;=0,"※出库数量要大于 0",IF($K1144="","※没填去向类型",IF($L1144="","※没填去向矿区",IF(AND($C1144&lt;&gt;"",$C1144&lt;=结账锁),"※日期早于已结账截止日，不能再录",IF(AND($K1144="自用消耗",COUNTIF({"一矿区";"二矿区"},$L1144)=0),"※自用消耗的去向只能是一矿区或二矿区",IF(AND($K1144="对外销售",COUNTIF({"三矿区";"六矿区"},$L1144)=0),"※对外销售的去向只能是三矿区或六矿区",IF(AND($K1144="对外销售",ROUND($Q1144,0)=0),"※外销却没有售价，请填实际售价",IF(AND($K1144="对外销售",$T1144&lt;&gt;"",$T1144&lt;0),"※这一笔外销是亏的，请核对售价",IF(IFERROR(VLOOKUP($D1144,库存台账!$A$5:$Y$1204,24,0),0)&lt;-0.001,"※这个物料账面已经变成负数了，查一下是不是漏记入库","")))))))))))</f>
        <v/>
      </c>
    </row>
    <row r="1145">
      <c r="A1145" s="24">
        <f>IF($D1145="","",COUNTA($D$4:$D1145))</f>
        <v/>
      </c>
      <c r="B1145" s="17" t="n"/>
      <c r="C1145" s="30" t="n"/>
      <c r="D1145" s="17" t="n"/>
      <c r="E1145" s="24">
        <f>IF($D1145="","",IFERROR(VLOOKUP($D1145,物料档案!$A$4:$P$1203,3,0),"※编码不在物料档案里"))</f>
        <v/>
      </c>
      <c r="F1145" s="24">
        <f>IF($D1145="","",IFERROR(VLOOKUP($D1145,物料档案!$A$4:$P$1203,4,0),"※编码不在物料档案里"))</f>
        <v/>
      </c>
      <c r="G1145" s="24">
        <f>IF($D1145="","",IFERROR(VLOOKUP($D1145,物料档案!$A$4:$P$1203,5,0),"※编码不在物料档案里"))</f>
        <v/>
      </c>
      <c r="H1145" s="24">
        <f>IF($D1145="","",IFERROR(VLOOKUP($D1145,物料档案!$A$4:$P$1203,2,0),"※编码不在物料档案里"))</f>
        <v/>
      </c>
      <c r="I1145" s="24">
        <f>IF($D1145="","",IFERROR(VLOOKUP($D1145,物料档案!$A$4:$P$1203,6,0),"※编码不在物料档案里"))</f>
        <v/>
      </c>
      <c r="J1145" s="23" t="n"/>
      <c r="K1145" s="17" t="n"/>
      <c r="L1145" s="17" t="n"/>
      <c r="M1145" s="17" t="n"/>
      <c r="N1145" s="17" t="n"/>
      <c r="O1145" s="26">
        <f>IF($D1145="","",IFERROR(VLOOKUP($D1145,物料档案!$A$4:$P$1203,10,0),0))</f>
        <v/>
      </c>
      <c r="P1145" s="32" t="n"/>
      <c r="Q1145" s="26">
        <f>IF($D1145="","",IF($K1145&lt;&gt;"对外销售",0,ROUND(N($J1145)*IF($P1145="",N($O1145),N($P1145)),0)))</f>
        <v/>
      </c>
      <c r="R1145" s="26">
        <f>IF($D1145="","",IFERROR(VLOOKUP($D1145,库存台账!$A$5:$Y$1204,11,0),0))</f>
        <v/>
      </c>
      <c r="S1145" s="26">
        <f>IF($D1145="","",ROUND(N($J1145)*N($R1145),0))</f>
        <v/>
      </c>
      <c r="T1145" s="26">
        <f>IF($D1145="","",IF($K1145&lt;&gt;"对外销售","",ROUND($Q1145-$S1145,0)))</f>
        <v/>
      </c>
      <c r="U1145" s="17" t="n"/>
      <c r="V1145" s="17" t="n"/>
      <c r="W1145" s="24">
        <f>IF($D1145="","",IF($E1145="※编码不在物料档案里","※物料编码不在档案里",IF(N($J1145)&lt;=0,"※出库数量要大于 0",IF($K1145="","※没填去向类型",IF($L1145="","※没填去向矿区",IF(AND($C1145&lt;&gt;"",$C1145&lt;=结账锁),"※日期早于已结账截止日，不能再录",IF(AND($K1145="自用消耗",COUNTIF({"一矿区";"二矿区"},$L1145)=0),"※自用消耗的去向只能是一矿区或二矿区",IF(AND($K1145="对外销售",COUNTIF({"三矿区";"六矿区"},$L1145)=0),"※对外销售的去向只能是三矿区或六矿区",IF(AND($K1145="对外销售",ROUND($Q1145,0)=0),"※外销却没有售价，请填实际售价",IF(AND($K1145="对外销售",$T1145&lt;&gt;"",$T1145&lt;0),"※这一笔外销是亏的，请核对售价",IF(IFERROR(VLOOKUP($D1145,库存台账!$A$5:$Y$1204,24,0),0)&lt;-0.001,"※这个物料账面已经变成负数了，查一下是不是漏记入库","")))))))))))</f>
        <v/>
      </c>
    </row>
    <row r="1146">
      <c r="A1146" s="24">
        <f>IF($D1146="","",COUNTA($D$4:$D1146))</f>
        <v/>
      </c>
      <c r="B1146" s="17" t="n"/>
      <c r="C1146" s="30" t="n"/>
      <c r="D1146" s="17" t="n"/>
      <c r="E1146" s="24">
        <f>IF($D1146="","",IFERROR(VLOOKUP($D1146,物料档案!$A$4:$P$1203,3,0),"※编码不在物料档案里"))</f>
        <v/>
      </c>
      <c r="F1146" s="24">
        <f>IF($D1146="","",IFERROR(VLOOKUP($D1146,物料档案!$A$4:$P$1203,4,0),"※编码不在物料档案里"))</f>
        <v/>
      </c>
      <c r="G1146" s="24">
        <f>IF($D1146="","",IFERROR(VLOOKUP($D1146,物料档案!$A$4:$P$1203,5,0),"※编码不在物料档案里"))</f>
        <v/>
      </c>
      <c r="H1146" s="24">
        <f>IF($D1146="","",IFERROR(VLOOKUP($D1146,物料档案!$A$4:$P$1203,2,0),"※编码不在物料档案里"))</f>
        <v/>
      </c>
      <c r="I1146" s="24">
        <f>IF($D1146="","",IFERROR(VLOOKUP($D1146,物料档案!$A$4:$P$1203,6,0),"※编码不在物料档案里"))</f>
        <v/>
      </c>
      <c r="J1146" s="23" t="n"/>
      <c r="K1146" s="17" t="n"/>
      <c r="L1146" s="17" t="n"/>
      <c r="M1146" s="17" t="n"/>
      <c r="N1146" s="17" t="n"/>
      <c r="O1146" s="26">
        <f>IF($D1146="","",IFERROR(VLOOKUP($D1146,物料档案!$A$4:$P$1203,10,0),0))</f>
        <v/>
      </c>
      <c r="P1146" s="32" t="n"/>
      <c r="Q1146" s="26">
        <f>IF($D1146="","",IF($K1146&lt;&gt;"对外销售",0,ROUND(N($J1146)*IF($P1146="",N($O1146),N($P1146)),0)))</f>
        <v/>
      </c>
      <c r="R1146" s="26">
        <f>IF($D1146="","",IFERROR(VLOOKUP($D1146,库存台账!$A$5:$Y$1204,11,0),0))</f>
        <v/>
      </c>
      <c r="S1146" s="26">
        <f>IF($D1146="","",ROUND(N($J1146)*N($R1146),0))</f>
        <v/>
      </c>
      <c r="T1146" s="26">
        <f>IF($D1146="","",IF($K1146&lt;&gt;"对外销售","",ROUND($Q1146-$S1146,0)))</f>
        <v/>
      </c>
      <c r="U1146" s="17" t="n"/>
      <c r="V1146" s="17" t="n"/>
      <c r="W1146" s="24">
        <f>IF($D1146="","",IF($E1146="※编码不在物料档案里","※物料编码不在档案里",IF(N($J1146)&lt;=0,"※出库数量要大于 0",IF($K1146="","※没填去向类型",IF($L1146="","※没填去向矿区",IF(AND($C1146&lt;&gt;"",$C1146&lt;=结账锁),"※日期早于已结账截止日，不能再录",IF(AND($K1146="自用消耗",COUNTIF({"一矿区";"二矿区"},$L1146)=0),"※自用消耗的去向只能是一矿区或二矿区",IF(AND($K1146="对外销售",COUNTIF({"三矿区";"六矿区"},$L1146)=0),"※对外销售的去向只能是三矿区或六矿区",IF(AND($K1146="对外销售",ROUND($Q1146,0)=0),"※外销却没有售价，请填实际售价",IF(AND($K1146="对外销售",$T1146&lt;&gt;"",$T1146&lt;0),"※这一笔外销是亏的，请核对售价",IF(IFERROR(VLOOKUP($D1146,库存台账!$A$5:$Y$1204,24,0),0)&lt;-0.001,"※这个物料账面已经变成负数了，查一下是不是漏记入库","")))))))))))</f>
        <v/>
      </c>
    </row>
    <row r="1147">
      <c r="A1147" s="24">
        <f>IF($D1147="","",COUNTA($D$4:$D1147))</f>
        <v/>
      </c>
      <c r="B1147" s="17" t="n"/>
      <c r="C1147" s="30" t="n"/>
      <c r="D1147" s="17" t="n"/>
      <c r="E1147" s="24">
        <f>IF($D1147="","",IFERROR(VLOOKUP($D1147,物料档案!$A$4:$P$1203,3,0),"※编码不在物料档案里"))</f>
        <v/>
      </c>
      <c r="F1147" s="24">
        <f>IF($D1147="","",IFERROR(VLOOKUP($D1147,物料档案!$A$4:$P$1203,4,0),"※编码不在物料档案里"))</f>
        <v/>
      </c>
      <c r="G1147" s="24">
        <f>IF($D1147="","",IFERROR(VLOOKUP($D1147,物料档案!$A$4:$P$1203,5,0),"※编码不在物料档案里"))</f>
        <v/>
      </c>
      <c r="H1147" s="24">
        <f>IF($D1147="","",IFERROR(VLOOKUP($D1147,物料档案!$A$4:$P$1203,2,0),"※编码不在物料档案里"))</f>
        <v/>
      </c>
      <c r="I1147" s="24">
        <f>IF($D1147="","",IFERROR(VLOOKUP($D1147,物料档案!$A$4:$P$1203,6,0),"※编码不在物料档案里"))</f>
        <v/>
      </c>
      <c r="J1147" s="23" t="n"/>
      <c r="K1147" s="17" t="n"/>
      <c r="L1147" s="17" t="n"/>
      <c r="M1147" s="17" t="n"/>
      <c r="N1147" s="17" t="n"/>
      <c r="O1147" s="26">
        <f>IF($D1147="","",IFERROR(VLOOKUP($D1147,物料档案!$A$4:$P$1203,10,0),0))</f>
        <v/>
      </c>
      <c r="P1147" s="32" t="n"/>
      <c r="Q1147" s="26">
        <f>IF($D1147="","",IF($K1147&lt;&gt;"对外销售",0,ROUND(N($J1147)*IF($P1147="",N($O1147),N($P1147)),0)))</f>
        <v/>
      </c>
      <c r="R1147" s="26">
        <f>IF($D1147="","",IFERROR(VLOOKUP($D1147,库存台账!$A$5:$Y$1204,11,0),0))</f>
        <v/>
      </c>
      <c r="S1147" s="26">
        <f>IF($D1147="","",ROUND(N($J1147)*N($R1147),0))</f>
        <v/>
      </c>
      <c r="T1147" s="26">
        <f>IF($D1147="","",IF($K1147&lt;&gt;"对外销售","",ROUND($Q1147-$S1147,0)))</f>
        <v/>
      </c>
      <c r="U1147" s="17" t="n"/>
      <c r="V1147" s="17" t="n"/>
      <c r="W1147" s="24">
        <f>IF($D1147="","",IF($E1147="※编码不在物料档案里","※物料编码不在档案里",IF(N($J1147)&lt;=0,"※出库数量要大于 0",IF($K1147="","※没填去向类型",IF($L1147="","※没填去向矿区",IF(AND($C1147&lt;&gt;"",$C1147&lt;=结账锁),"※日期早于已结账截止日，不能再录",IF(AND($K1147="自用消耗",COUNTIF({"一矿区";"二矿区"},$L1147)=0),"※自用消耗的去向只能是一矿区或二矿区",IF(AND($K1147="对外销售",COUNTIF({"三矿区";"六矿区"},$L1147)=0),"※对外销售的去向只能是三矿区或六矿区",IF(AND($K1147="对外销售",ROUND($Q1147,0)=0),"※外销却没有售价，请填实际售价",IF(AND($K1147="对外销售",$T1147&lt;&gt;"",$T1147&lt;0),"※这一笔外销是亏的，请核对售价",IF(IFERROR(VLOOKUP($D1147,库存台账!$A$5:$Y$1204,24,0),0)&lt;-0.001,"※这个物料账面已经变成负数了，查一下是不是漏记入库","")))))))))))</f>
        <v/>
      </c>
    </row>
    <row r="1148">
      <c r="A1148" s="24">
        <f>IF($D1148="","",COUNTA($D$4:$D1148))</f>
        <v/>
      </c>
      <c r="B1148" s="17" t="n"/>
      <c r="C1148" s="30" t="n"/>
      <c r="D1148" s="17" t="n"/>
      <c r="E1148" s="24">
        <f>IF($D1148="","",IFERROR(VLOOKUP($D1148,物料档案!$A$4:$P$1203,3,0),"※编码不在物料档案里"))</f>
        <v/>
      </c>
      <c r="F1148" s="24">
        <f>IF($D1148="","",IFERROR(VLOOKUP($D1148,物料档案!$A$4:$P$1203,4,0),"※编码不在物料档案里"))</f>
        <v/>
      </c>
      <c r="G1148" s="24">
        <f>IF($D1148="","",IFERROR(VLOOKUP($D1148,物料档案!$A$4:$P$1203,5,0),"※编码不在物料档案里"))</f>
        <v/>
      </c>
      <c r="H1148" s="24">
        <f>IF($D1148="","",IFERROR(VLOOKUP($D1148,物料档案!$A$4:$P$1203,2,0),"※编码不在物料档案里"))</f>
        <v/>
      </c>
      <c r="I1148" s="24">
        <f>IF($D1148="","",IFERROR(VLOOKUP($D1148,物料档案!$A$4:$P$1203,6,0),"※编码不在物料档案里"))</f>
        <v/>
      </c>
      <c r="J1148" s="23" t="n"/>
      <c r="K1148" s="17" t="n"/>
      <c r="L1148" s="17" t="n"/>
      <c r="M1148" s="17" t="n"/>
      <c r="N1148" s="17" t="n"/>
      <c r="O1148" s="26">
        <f>IF($D1148="","",IFERROR(VLOOKUP($D1148,物料档案!$A$4:$P$1203,10,0),0))</f>
        <v/>
      </c>
      <c r="P1148" s="32" t="n"/>
      <c r="Q1148" s="26">
        <f>IF($D1148="","",IF($K1148&lt;&gt;"对外销售",0,ROUND(N($J1148)*IF($P1148="",N($O1148),N($P1148)),0)))</f>
        <v/>
      </c>
      <c r="R1148" s="26">
        <f>IF($D1148="","",IFERROR(VLOOKUP($D1148,库存台账!$A$5:$Y$1204,11,0),0))</f>
        <v/>
      </c>
      <c r="S1148" s="26">
        <f>IF($D1148="","",ROUND(N($J1148)*N($R1148),0))</f>
        <v/>
      </c>
      <c r="T1148" s="26">
        <f>IF($D1148="","",IF($K1148&lt;&gt;"对外销售","",ROUND($Q1148-$S1148,0)))</f>
        <v/>
      </c>
      <c r="U1148" s="17" t="n"/>
      <c r="V1148" s="17" t="n"/>
      <c r="W1148" s="24">
        <f>IF($D1148="","",IF($E1148="※编码不在物料档案里","※物料编码不在档案里",IF(N($J1148)&lt;=0,"※出库数量要大于 0",IF($K1148="","※没填去向类型",IF($L1148="","※没填去向矿区",IF(AND($C1148&lt;&gt;"",$C1148&lt;=结账锁),"※日期早于已结账截止日，不能再录",IF(AND($K1148="自用消耗",COUNTIF({"一矿区";"二矿区"},$L1148)=0),"※自用消耗的去向只能是一矿区或二矿区",IF(AND($K1148="对外销售",COUNTIF({"三矿区";"六矿区"},$L1148)=0),"※对外销售的去向只能是三矿区或六矿区",IF(AND($K1148="对外销售",ROUND($Q1148,0)=0),"※外销却没有售价，请填实际售价",IF(AND($K1148="对外销售",$T1148&lt;&gt;"",$T1148&lt;0),"※这一笔外销是亏的，请核对售价",IF(IFERROR(VLOOKUP($D1148,库存台账!$A$5:$Y$1204,24,0),0)&lt;-0.001,"※这个物料账面已经变成负数了，查一下是不是漏记入库","")))))))))))</f>
        <v/>
      </c>
    </row>
    <row r="1149">
      <c r="A1149" s="24">
        <f>IF($D1149="","",COUNTA($D$4:$D1149))</f>
        <v/>
      </c>
      <c r="B1149" s="17" t="n"/>
      <c r="C1149" s="30" t="n"/>
      <c r="D1149" s="17" t="n"/>
      <c r="E1149" s="24">
        <f>IF($D1149="","",IFERROR(VLOOKUP($D1149,物料档案!$A$4:$P$1203,3,0),"※编码不在物料档案里"))</f>
        <v/>
      </c>
      <c r="F1149" s="24">
        <f>IF($D1149="","",IFERROR(VLOOKUP($D1149,物料档案!$A$4:$P$1203,4,0),"※编码不在物料档案里"))</f>
        <v/>
      </c>
      <c r="G1149" s="24">
        <f>IF($D1149="","",IFERROR(VLOOKUP($D1149,物料档案!$A$4:$P$1203,5,0),"※编码不在物料档案里"))</f>
        <v/>
      </c>
      <c r="H1149" s="24">
        <f>IF($D1149="","",IFERROR(VLOOKUP($D1149,物料档案!$A$4:$P$1203,2,0),"※编码不在物料档案里"))</f>
        <v/>
      </c>
      <c r="I1149" s="24">
        <f>IF($D1149="","",IFERROR(VLOOKUP($D1149,物料档案!$A$4:$P$1203,6,0),"※编码不在物料档案里"))</f>
        <v/>
      </c>
      <c r="J1149" s="23" t="n"/>
      <c r="K1149" s="17" t="n"/>
      <c r="L1149" s="17" t="n"/>
      <c r="M1149" s="17" t="n"/>
      <c r="N1149" s="17" t="n"/>
      <c r="O1149" s="26">
        <f>IF($D1149="","",IFERROR(VLOOKUP($D1149,物料档案!$A$4:$P$1203,10,0),0))</f>
        <v/>
      </c>
      <c r="P1149" s="32" t="n"/>
      <c r="Q1149" s="26">
        <f>IF($D1149="","",IF($K1149&lt;&gt;"对外销售",0,ROUND(N($J1149)*IF($P1149="",N($O1149),N($P1149)),0)))</f>
        <v/>
      </c>
      <c r="R1149" s="26">
        <f>IF($D1149="","",IFERROR(VLOOKUP($D1149,库存台账!$A$5:$Y$1204,11,0),0))</f>
        <v/>
      </c>
      <c r="S1149" s="26">
        <f>IF($D1149="","",ROUND(N($J1149)*N($R1149),0))</f>
        <v/>
      </c>
      <c r="T1149" s="26">
        <f>IF($D1149="","",IF($K1149&lt;&gt;"对外销售","",ROUND($Q1149-$S1149,0)))</f>
        <v/>
      </c>
      <c r="U1149" s="17" t="n"/>
      <c r="V1149" s="17" t="n"/>
      <c r="W1149" s="24">
        <f>IF($D1149="","",IF($E1149="※编码不在物料档案里","※物料编码不在档案里",IF(N($J1149)&lt;=0,"※出库数量要大于 0",IF($K1149="","※没填去向类型",IF($L1149="","※没填去向矿区",IF(AND($C1149&lt;&gt;"",$C1149&lt;=结账锁),"※日期早于已结账截止日，不能再录",IF(AND($K1149="自用消耗",COUNTIF({"一矿区";"二矿区"},$L1149)=0),"※自用消耗的去向只能是一矿区或二矿区",IF(AND($K1149="对外销售",COUNTIF({"三矿区";"六矿区"},$L1149)=0),"※对外销售的去向只能是三矿区或六矿区",IF(AND($K1149="对外销售",ROUND($Q1149,0)=0),"※外销却没有售价，请填实际售价",IF(AND($K1149="对外销售",$T1149&lt;&gt;"",$T1149&lt;0),"※这一笔外销是亏的，请核对售价",IF(IFERROR(VLOOKUP($D1149,库存台账!$A$5:$Y$1204,24,0),0)&lt;-0.001,"※这个物料账面已经变成负数了，查一下是不是漏记入库","")))))))))))</f>
        <v/>
      </c>
    </row>
    <row r="1150">
      <c r="A1150" s="24">
        <f>IF($D1150="","",COUNTA($D$4:$D1150))</f>
        <v/>
      </c>
      <c r="B1150" s="17" t="n"/>
      <c r="C1150" s="30" t="n"/>
      <c r="D1150" s="17" t="n"/>
      <c r="E1150" s="24">
        <f>IF($D1150="","",IFERROR(VLOOKUP($D1150,物料档案!$A$4:$P$1203,3,0),"※编码不在物料档案里"))</f>
        <v/>
      </c>
      <c r="F1150" s="24">
        <f>IF($D1150="","",IFERROR(VLOOKUP($D1150,物料档案!$A$4:$P$1203,4,0),"※编码不在物料档案里"))</f>
        <v/>
      </c>
      <c r="G1150" s="24">
        <f>IF($D1150="","",IFERROR(VLOOKUP($D1150,物料档案!$A$4:$P$1203,5,0),"※编码不在物料档案里"))</f>
        <v/>
      </c>
      <c r="H1150" s="24">
        <f>IF($D1150="","",IFERROR(VLOOKUP($D1150,物料档案!$A$4:$P$1203,2,0),"※编码不在物料档案里"))</f>
        <v/>
      </c>
      <c r="I1150" s="24">
        <f>IF($D1150="","",IFERROR(VLOOKUP($D1150,物料档案!$A$4:$P$1203,6,0),"※编码不在物料档案里"))</f>
        <v/>
      </c>
      <c r="J1150" s="23" t="n"/>
      <c r="K1150" s="17" t="n"/>
      <c r="L1150" s="17" t="n"/>
      <c r="M1150" s="17" t="n"/>
      <c r="N1150" s="17" t="n"/>
      <c r="O1150" s="26">
        <f>IF($D1150="","",IFERROR(VLOOKUP($D1150,物料档案!$A$4:$P$1203,10,0),0))</f>
        <v/>
      </c>
      <c r="P1150" s="32" t="n"/>
      <c r="Q1150" s="26">
        <f>IF($D1150="","",IF($K1150&lt;&gt;"对外销售",0,ROUND(N($J1150)*IF($P1150="",N($O1150),N($P1150)),0)))</f>
        <v/>
      </c>
      <c r="R1150" s="26">
        <f>IF($D1150="","",IFERROR(VLOOKUP($D1150,库存台账!$A$5:$Y$1204,11,0),0))</f>
        <v/>
      </c>
      <c r="S1150" s="26">
        <f>IF($D1150="","",ROUND(N($J1150)*N($R1150),0))</f>
        <v/>
      </c>
      <c r="T1150" s="26">
        <f>IF($D1150="","",IF($K1150&lt;&gt;"对外销售","",ROUND($Q1150-$S1150,0)))</f>
        <v/>
      </c>
      <c r="U1150" s="17" t="n"/>
      <c r="V1150" s="17" t="n"/>
      <c r="W1150" s="24">
        <f>IF($D1150="","",IF($E1150="※编码不在物料档案里","※物料编码不在档案里",IF(N($J1150)&lt;=0,"※出库数量要大于 0",IF($K1150="","※没填去向类型",IF($L1150="","※没填去向矿区",IF(AND($C1150&lt;&gt;"",$C1150&lt;=结账锁),"※日期早于已结账截止日，不能再录",IF(AND($K1150="自用消耗",COUNTIF({"一矿区";"二矿区"},$L1150)=0),"※自用消耗的去向只能是一矿区或二矿区",IF(AND($K1150="对外销售",COUNTIF({"三矿区";"六矿区"},$L1150)=0),"※对外销售的去向只能是三矿区或六矿区",IF(AND($K1150="对外销售",ROUND($Q1150,0)=0),"※外销却没有售价，请填实际售价",IF(AND($K1150="对外销售",$T1150&lt;&gt;"",$T1150&lt;0),"※这一笔外销是亏的，请核对售价",IF(IFERROR(VLOOKUP($D1150,库存台账!$A$5:$Y$1204,24,0),0)&lt;-0.001,"※这个物料账面已经变成负数了，查一下是不是漏记入库","")))))))))))</f>
        <v/>
      </c>
    </row>
    <row r="1151">
      <c r="A1151" s="24">
        <f>IF($D1151="","",COUNTA($D$4:$D1151))</f>
        <v/>
      </c>
      <c r="B1151" s="17" t="n"/>
      <c r="C1151" s="30" t="n"/>
      <c r="D1151" s="17" t="n"/>
      <c r="E1151" s="24">
        <f>IF($D1151="","",IFERROR(VLOOKUP($D1151,物料档案!$A$4:$P$1203,3,0),"※编码不在物料档案里"))</f>
        <v/>
      </c>
      <c r="F1151" s="24">
        <f>IF($D1151="","",IFERROR(VLOOKUP($D1151,物料档案!$A$4:$P$1203,4,0),"※编码不在物料档案里"))</f>
        <v/>
      </c>
      <c r="G1151" s="24">
        <f>IF($D1151="","",IFERROR(VLOOKUP($D1151,物料档案!$A$4:$P$1203,5,0),"※编码不在物料档案里"))</f>
        <v/>
      </c>
      <c r="H1151" s="24">
        <f>IF($D1151="","",IFERROR(VLOOKUP($D1151,物料档案!$A$4:$P$1203,2,0),"※编码不在物料档案里"))</f>
        <v/>
      </c>
      <c r="I1151" s="24">
        <f>IF($D1151="","",IFERROR(VLOOKUP($D1151,物料档案!$A$4:$P$1203,6,0),"※编码不在物料档案里"))</f>
        <v/>
      </c>
      <c r="J1151" s="23" t="n"/>
      <c r="K1151" s="17" t="n"/>
      <c r="L1151" s="17" t="n"/>
      <c r="M1151" s="17" t="n"/>
      <c r="N1151" s="17" t="n"/>
      <c r="O1151" s="26">
        <f>IF($D1151="","",IFERROR(VLOOKUP($D1151,物料档案!$A$4:$P$1203,10,0),0))</f>
        <v/>
      </c>
      <c r="P1151" s="32" t="n"/>
      <c r="Q1151" s="26">
        <f>IF($D1151="","",IF($K1151&lt;&gt;"对外销售",0,ROUND(N($J1151)*IF($P1151="",N($O1151),N($P1151)),0)))</f>
        <v/>
      </c>
      <c r="R1151" s="26">
        <f>IF($D1151="","",IFERROR(VLOOKUP($D1151,库存台账!$A$5:$Y$1204,11,0),0))</f>
        <v/>
      </c>
      <c r="S1151" s="26">
        <f>IF($D1151="","",ROUND(N($J1151)*N($R1151),0))</f>
        <v/>
      </c>
      <c r="T1151" s="26">
        <f>IF($D1151="","",IF($K1151&lt;&gt;"对外销售","",ROUND($Q1151-$S1151,0)))</f>
        <v/>
      </c>
      <c r="U1151" s="17" t="n"/>
      <c r="V1151" s="17" t="n"/>
      <c r="W1151" s="24">
        <f>IF($D1151="","",IF($E1151="※编码不在物料档案里","※物料编码不在档案里",IF(N($J1151)&lt;=0,"※出库数量要大于 0",IF($K1151="","※没填去向类型",IF($L1151="","※没填去向矿区",IF(AND($C1151&lt;&gt;"",$C1151&lt;=结账锁),"※日期早于已结账截止日，不能再录",IF(AND($K1151="自用消耗",COUNTIF({"一矿区";"二矿区"},$L1151)=0),"※自用消耗的去向只能是一矿区或二矿区",IF(AND($K1151="对外销售",COUNTIF({"三矿区";"六矿区"},$L1151)=0),"※对外销售的去向只能是三矿区或六矿区",IF(AND($K1151="对外销售",ROUND($Q1151,0)=0),"※外销却没有售价，请填实际售价",IF(AND($K1151="对外销售",$T1151&lt;&gt;"",$T1151&lt;0),"※这一笔外销是亏的，请核对售价",IF(IFERROR(VLOOKUP($D1151,库存台账!$A$5:$Y$1204,24,0),0)&lt;-0.001,"※这个物料账面已经变成负数了，查一下是不是漏记入库","")))))))))))</f>
        <v/>
      </c>
    </row>
    <row r="1152">
      <c r="A1152" s="24">
        <f>IF($D1152="","",COUNTA($D$4:$D1152))</f>
        <v/>
      </c>
      <c r="B1152" s="17" t="n"/>
      <c r="C1152" s="30" t="n"/>
      <c r="D1152" s="17" t="n"/>
      <c r="E1152" s="24">
        <f>IF($D1152="","",IFERROR(VLOOKUP($D1152,物料档案!$A$4:$P$1203,3,0),"※编码不在物料档案里"))</f>
        <v/>
      </c>
      <c r="F1152" s="24">
        <f>IF($D1152="","",IFERROR(VLOOKUP($D1152,物料档案!$A$4:$P$1203,4,0),"※编码不在物料档案里"))</f>
        <v/>
      </c>
      <c r="G1152" s="24">
        <f>IF($D1152="","",IFERROR(VLOOKUP($D1152,物料档案!$A$4:$P$1203,5,0),"※编码不在物料档案里"))</f>
        <v/>
      </c>
      <c r="H1152" s="24">
        <f>IF($D1152="","",IFERROR(VLOOKUP($D1152,物料档案!$A$4:$P$1203,2,0),"※编码不在物料档案里"))</f>
        <v/>
      </c>
      <c r="I1152" s="24">
        <f>IF($D1152="","",IFERROR(VLOOKUP($D1152,物料档案!$A$4:$P$1203,6,0),"※编码不在物料档案里"))</f>
        <v/>
      </c>
      <c r="J1152" s="23" t="n"/>
      <c r="K1152" s="17" t="n"/>
      <c r="L1152" s="17" t="n"/>
      <c r="M1152" s="17" t="n"/>
      <c r="N1152" s="17" t="n"/>
      <c r="O1152" s="26">
        <f>IF($D1152="","",IFERROR(VLOOKUP($D1152,物料档案!$A$4:$P$1203,10,0),0))</f>
        <v/>
      </c>
      <c r="P1152" s="32" t="n"/>
      <c r="Q1152" s="26">
        <f>IF($D1152="","",IF($K1152&lt;&gt;"对外销售",0,ROUND(N($J1152)*IF($P1152="",N($O1152),N($P1152)),0)))</f>
        <v/>
      </c>
      <c r="R1152" s="26">
        <f>IF($D1152="","",IFERROR(VLOOKUP($D1152,库存台账!$A$5:$Y$1204,11,0),0))</f>
        <v/>
      </c>
      <c r="S1152" s="26">
        <f>IF($D1152="","",ROUND(N($J1152)*N($R1152),0))</f>
        <v/>
      </c>
      <c r="T1152" s="26">
        <f>IF($D1152="","",IF($K1152&lt;&gt;"对外销售","",ROUND($Q1152-$S1152,0)))</f>
        <v/>
      </c>
      <c r="U1152" s="17" t="n"/>
      <c r="V1152" s="17" t="n"/>
      <c r="W1152" s="24">
        <f>IF($D1152="","",IF($E1152="※编码不在物料档案里","※物料编码不在档案里",IF(N($J1152)&lt;=0,"※出库数量要大于 0",IF($K1152="","※没填去向类型",IF($L1152="","※没填去向矿区",IF(AND($C1152&lt;&gt;"",$C1152&lt;=结账锁),"※日期早于已结账截止日，不能再录",IF(AND($K1152="自用消耗",COUNTIF({"一矿区";"二矿区"},$L1152)=0),"※自用消耗的去向只能是一矿区或二矿区",IF(AND($K1152="对外销售",COUNTIF({"三矿区";"六矿区"},$L1152)=0),"※对外销售的去向只能是三矿区或六矿区",IF(AND($K1152="对外销售",ROUND($Q1152,0)=0),"※外销却没有售价，请填实际售价",IF(AND($K1152="对外销售",$T1152&lt;&gt;"",$T1152&lt;0),"※这一笔外销是亏的，请核对售价",IF(IFERROR(VLOOKUP($D1152,库存台账!$A$5:$Y$1204,24,0),0)&lt;-0.001,"※这个物料账面已经变成负数了，查一下是不是漏记入库","")))))))))))</f>
        <v/>
      </c>
    </row>
    <row r="1153">
      <c r="A1153" s="24">
        <f>IF($D1153="","",COUNTA($D$4:$D1153))</f>
        <v/>
      </c>
      <c r="B1153" s="17" t="n"/>
      <c r="C1153" s="30" t="n"/>
      <c r="D1153" s="17" t="n"/>
      <c r="E1153" s="24">
        <f>IF($D1153="","",IFERROR(VLOOKUP($D1153,物料档案!$A$4:$P$1203,3,0),"※编码不在物料档案里"))</f>
        <v/>
      </c>
      <c r="F1153" s="24">
        <f>IF($D1153="","",IFERROR(VLOOKUP($D1153,物料档案!$A$4:$P$1203,4,0),"※编码不在物料档案里"))</f>
        <v/>
      </c>
      <c r="G1153" s="24">
        <f>IF($D1153="","",IFERROR(VLOOKUP($D1153,物料档案!$A$4:$P$1203,5,0),"※编码不在物料档案里"))</f>
        <v/>
      </c>
      <c r="H1153" s="24">
        <f>IF($D1153="","",IFERROR(VLOOKUP($D1153,物料档案!$A$4:$P$1203,2,0),"※编码不在物料档案里"))</f>
        <v/>
      </c>
      <c r="I1153" s="24">
        <f>IF($D1153="","",IFERROR(VLOOKUP($D1153,物料档案!$A$4:$P$1203,6,0),"※编码不在物料档案里"))</f>
        <v/>
      </c>
      <c r="J1153" s="23" t="n"/>
      <c r="K1153" s="17" t="n"/>
      <c r="L1153" s="17" t="n"/>
      <c r="M1153" s="17" t="n"/>
      <c r="N1153" s="17" t="n"/>
      <c r="O1153" s="26">
        <f>IF($D1153="","",IFERROR(VLOOKUP($D1153,物料档案!$A$4:$P$1203,10,0),0))</f>
        <v/>
      </c>
      <c r="P1153" s="32" t="n"/>
      <c r="Q1153" s="26">
        <f>IF($D1153="","",IF($K1153&lt;&gt;"对外销售",0,ROUND(N($J1153)*IF($P1153="",N($O1153),N($P1153)),0)))</f>
        <v/>
      </c>
      <c r="R1153" s="26">
        <f>IF($D1153="","",IFERROR(VLOOKUP($D1153,库存台账!$A$5:$Y$1204,11,0),0))</f>
        <v/>
      </c>
      <c r="S1153" s="26">
        <f>IF($D1153="","",ROUND(N($J1153)*N($R1153),0))</f>
        <v/>
      </c>
      <c r="T1153" s="26">
        <f>IF($D1153="","",IF($K1153&lt;&gt;"对外销售","",ROUND($Q1153-$S1153,0)))</f>
        <v/>
      </c>
      <c r="U1153" s="17" t="n"/>
      <c r="V1153" s="17" t="n"/>
      <c r="W1153" s="24">
        <f>IF($D1153="","",IF($E1153="※编码不在物料档案里","※物料编码不在档案里",IF(N($J1153)&lt;=0,"※出库数量要大于 0",IF($K1153="","※没填去向类型",IF($L1153="","※没填去向矿区",IF(AND($C1153&lt;&gt;"",$C1153&lt;=结账锁),"※日期早于已结账截止日，不能再录",IF(AND($K1153="自用消耗",COUNTIF({"一矿区";"二矿区"},$L1153)=0),"※自用消耗的去向只能是一矿区或二矿区",IF(AND($K1153="对外销售",COUNTIF({"三矿区";"六矿区"},$L1153)=0),"※对外销售的去向只能是三矿区或六矿区",IF(AND($K1153="对外销售",ROUND($Q1153,0)=0),"※外销却没有售价，请填实际售价",IF(AND($K1153="对外销售",$T1153&lt;&gt;"",$T1153&lt;0),"※这一笔外销是亏的，请核对售价",IF(IFERROR(VLOOKUP($D1153,库存台账!$A$5:$Y$1204,24,0),0)&lt;-0.001,"※这个物料账面已经变成负数了，查一下是不是漏记入库","")))))))))))</f>
        <v/>
      </c>
    </row>
    <row r="1154">
      <c r="A1154" s="24">
        <f>IF($D1154="","",COUNTA($D$4:$D1154))</f>
        <v/>
      </c>
      <c r="B1154" s="17" t="n"/>
      <c r="C1154" s="30" t="n"/>
      <c r="D1154" s="17" t="n"/>
      <c r="E1154" s="24">
        <f>IF($D1154="","",IFERROR(VLOOKUP($D1154,物料档案!$A$4:$P$1203,3,0),"※编码不在物料档案里"))</f>
        <v/>
      </c>
      <c r="F1154" s="24">
        <f>IF($D1154="","",IFERROR(VLOOKUP($D1154,物料档案!$A$4:$P$1203,4,0),"※编码不在物料档案里"))</f>
        <v/>
      </c>
      <c r="G1154" s="24">
        <f>IF($D1154="","",IFERROR(VLOOKUP($D1154,物料档案!$A$4:$P$1203,5,0),"※编码不在物料档案里"))</f>
        <v/>
      </c>
      <c r="H1154" s="24">
        <f>IF($D1154="","",IFERROR(VLOOKUP($D1154,物料档案!$A$4:$P$1203,2,0),"※编码不在物料档案里"))</f>
        <v/>
      </c>
      <c r="I1154" s="24">
        <f>IF($D1154="","",IFERROR(VLOOKUP($D1154,物料档案!$A$4:$P$1203,6,0),"※编码不在物料档案里"))</f>
        <v/>
      </c>
      <c r="J1154" s="23" t="n"/>
      <c r="K1154" s="17" t="n"/>
      <c r="L1154" s="17" t="n"/>
      <c r="M1154" s="17" t="n"/>
      <c r="N1154" s="17" t="n"/>
      <c r="O1154" s="26">
        <f>IF($D1154="","",IFERROR(VLOOKUP($D1154,物料档案!$A$4:$P$1203,10,0),0))</f>
        <v/>
      </c>
      <c r="P1154" s="32" t="n"/>
      <c r="Q1154" s="26">
        <f>IF($D1154="","",IF($K1154&lt;&gt;"对外销售",0,ROUND(N($J1154)*IF($P1154="",N($O1154),N($P1154)),0)))</f>
        <v/>
      </c>
      <c r="R1154" s="26">
        <f>IF($D1154="","",IFERROR(VLOOKUP($D1154,库存台账!$A$5:$Y$1204,11,0),0))</f>
        <v/>
      </c>
      <c r="S1154" s="26">
        <f>IF($D1154="","",ROUND(N($J1154)*N($R1154),0))</f>
        <v/>
      </c>
      <c r="T1154" s="26">
        <f>IF($D1154="","",IF($K1154&lt;&gt;"对外销售","",ROUND($Q1154-$S1154,0)))</f>
        <v/>
      </c>
      <c r="U1154" s="17" t="n"/>
      <c r="V1154" s="17" t="n"/>
      <c r="W1154" s="24">
        <f>IF($D1154="","",IF($E1154="※编码不在物料档案里","※物料编码不在档案里",IF(N($J1154)&lt;=0,"※出库数量要大于 0",IF($K1154="","※没填去向类型",IF($L1154="","※没填去向矿区",IF(AND($C1154&lt;&gt;"",$C1154&lt;=结账锁),"※日期早于已结账截止日，不能再录",IF(AND($K1154="自用消耗",COUNTIF({"一矿区";"二矿区"},$L1154)=0),"※自用消耗的去向只能是一矿区或二矿区",IF(AND($K1154="对外销售",COUNTIF({"三矿区";"六矿区"},$L1154)=0),"※对外销售的去向只能是三矿区或六矿区",IF(AND($K1154="对外销售",ROUND($Q1154,0)=0),"※外销却没有售价，请填实际售价",IF(AND($K1154="对外销售",$T1154&lt;&gt;"",$T1154&lt;0),"※这一笔外销是亏的，请核对售价",IF(IFERROR(VLOOKUP($D1154,库存台账!$A$5:$Y$1204,24,0),0)&lt;-0.001,"※这个物料账面已经变成负数了，查一下是不是漏记入库","")))))))))))</f>
        <v/>
      </c>
    </row>
    <row r="1155">
      <c r="A1155" s="24">
        <f>IF($D1155="","",COUNTA($D$4:$D1155))</f>
        <v/>
      </c>
      <c r="B1155" s="17" t="n"/>
      <c r="C1155" s="30" t="n"/>
      <c r="D1155" s="17" t="n"/>
      <c r="E1155" s="24">
        <f>IF($D1155="","",IFERROR(VLOOKUP($D1155,物料档案!$A$4:$P$1203,3,0),"※编码不在物料档案里"))</f>
        <v/>
      </c>
      <c r="F1155" s="24">
        <f>IF($D1155="","",IFERROR(VLOOKUP($D1155,物料档案!$A$4:$P$1203,4,0),"※编码不在物料档案里"))</f>
        <v/>
      </c>
      <c r="G1155" s="24">
        <f>IF($D1155="","",IFERROR(VLOOKUP($D1155,物料档案!$A$4:$P$1203,5,0),"※编码不在物料档案里"))</f>
        <v/>
      </c>
      <c r="H1155" s="24">
        <f>IF($D1155="","",IFERROR(VLOOKUP($D1155,物料档案!$A$4:$P$1203,2,0),"※编码不在物料档案里"))</f>
        <v/>
      </c>
      <c r="I1155" s="24">
        <f>IF($D1155="","",IFERROR(VLOOKUP($D1155,物料档案!$A$4:$P$1203,6,0),"※编码不在物料档案里"))</f>
        <v/>
      </c>
      <c r="J1155" s="23" t="n"/>
      <c r="K1155" s="17" t="n"/>
      <c r="L1155" s="17" t="n"/>
      <c r="M1155" s="17" t="n"/>
      <c r="N1155" s="17" t="n"/>
      <c r="O1155" s="26">
        <f>IF($D1155="","",IFERROR(VLOOKUP($D1155,物料档案!$A$4:$P$1203,10,0),0))</f>
        <v/>
      </c>
      <c r="P1155" s="32" t="n"/>
      <c r="Q1155" s="26">
        <f>IF($D1155="","",IF($K1155&lt;&gt;"对外销售",0,ROUND(N($J1155)*IF($P1155="",N($O1155),N($P1155)),0)))</f>
        <v/>
      </c>
      <c r="R1155" s="26">
        <f>IF($D1155="","",IFERROR(VLOOKUP($D1155,库存台账!$A$5:$Y$1204,11,0),0))</f>
        <v/>
      </c>
      <c r="S1155" s="26">
        <f>IF($D1155="","",ROUND(N($J1155)*N($R1155),0))</f>
        <v/>
      </c>
      <c r="T1155" s="26">
        <f>IF($D1155="","",IF($K1155&lt;&gt;"对外销售","",ROUND($Q1155-$S1155,0)))</f>
        <v/>
      </c>
      <c r="U1155" s="17" t="n"/>
      <c r="V1155" s="17" t="n"/>
      <c r="W1155" s="24">
        <f>IF($D1155="","",IF($E1155="※编码不在物料档案里","※物料编码不在档案里",IF(N($J1155)&lt;=0,"※出库数量要大于 0",IF($K1155="","※没填去向类型",IF($L1155="","※没填去向矿区",IF(AND($C1155&lt;&gt;"",$C1155&lt;=结账锁),"※日期早于已结账截止日，不能再录",IF(AND($K1155="自用消耗",COUNTIF({"一矿区";"二矿区"},$L1155)=0),"※自用消耗的去向只能是一矿区或二矿区",IF(AND($K1155="对外销售",COUNTIF({"三矿区";"六矿区"},$L1155)=0),"※对外销售的去向只能是三矿区或六矿区",IF(AND($K1155="对外销售",ROUND($Q1155,0)=0),"※外销却没有售价，请填实际售价",IF(AND($K1155="对外销售",$T1155&lt;&gt;"",$T1155&lt;0),"※这一笔外销是亏的，请核对售价",IF(IFERROR(VLOOKUP($D1155,库存台账!$A$5:$Y$1204,24,0),0)&lt;-0.001,"※这个物料账面已经变成负数了，查一下是不是漏记入库","")))))))))))</f>
        <v/>
      </c>
    </row>
    <row r="1156">
      <c r="A1156" s="24">
        <f>IF($D1156="","",COUNTA($D$4:$D1156))</f>
        <v/>
      </c>
      <c r="B1156" s="17" t="n"/>
      <c r="C1156" s="30" t="n"/>
      <c r="D1156" s="17" t="n"/>
      <c r="E1156" s="24">
        <f>IF($D1156="","",IFERROR(VLOOKUP($D1156,物料档案!$A$4:$P$1203,3,0),"※编码不在物料档案里"))</f>
        <v/>
      </c>
      <c r="F1156" s="24">
        <f>IF($D1156="","",IFERROR(VLOOKUP($D1156,物料档案!$A$4:$P$1203,4,0),"※编码不在物料档案里"))</f>
        <v/>
      </c>
      <c r="G1156" s="24">
        <f>IF($D1156="","",IFERROR(VLOOKUP($D1156,物料档案!$A$4:$P$1203,5,0),"※编码不在物料档案里"))</f>
        <v/>
      </c>
      <c r="H1156" s="24">
        <f>IF($D1156="","",IFERROR(VLOOKUP($D1156,物料档案!$A$4:$P$1203,2,0),"※编码不在物料档案里"))</f>
        <v/>
      </c>
      <c r="I1156" s="24">
        <f>IF($D1156="","",IFERROR(VLOOKUP($D1156,物料档案!$A$4:$P$1203,6,0),"※编码不在物料档案里"))</f>
        <v/>
      </c>
      <c r="J1156" s="23" t="n"/>
      <c r="K1156" s="17" t="n"/>
      <c r="L1156" s="17" t="n"/>
      <c r="M1156" s="17" t="n"/>
      <c r="N1156" s="17" t="n"/>
      <c r="O1156" s="26">
        <f>IF($D1156="","",IFERROR(VLOOKUP($D1156,物料档案!$A$4:$P$1203,10,0),0))</f>
        <v/>
      </c>
      <c r="P1156" s="32" t="n"/>
      <c r="Q1156" s="26">
        <f>IF($D1156="","",IF($K1156&lt;&gt;"对外销售",0,ROUND(N($J1156)*IF($P1156="",N($O1156),N($P1156)),0)))</f>
        <v/>
      </c>
      <c r="R1156" s="26">
        <f>IF($D1156="","",IFERROR(VLOOKUP($D1156,库存台账!$A$5:$Y$1204,11,0),0))</f>
        <v/>
      </c>
      <c r="S1156" s="26">
        <f>IF($D1156="","",ROUND(N($J1156)*N($R1156),0))</f>
        <v/>
      </c>
      <c r="T1156" s="26">
        <f>IF($D1156="","",IF($K1156&lt;&gt;"对外销售","",ROUND($Q1156-$S1156,0)))</f>
        <v/>
      </c>
      <c r="U1156" s="17" t="n"/>
      <c r="V1156" s="17" t="n"/>
      <c r="W1156" s="24">
        <f>IF($D1156="","",IF($E1156="※编码不在物料档案里","※物料编码不在档案里",IF(N($J1156)&lt;=0,"※出库数量要大于 0",IF($K1156="","※没填去向类型",IF($L1156="","※没填去向矿区",IF(AND($C1156&lt;&gt;"",$C1156&lt;=结账锁),"※日期早于已结账截止日，不能再录",IF(AND($K1156="自用消耗",COUNTIF({"一矿区";"二矿区"},$L1156)=0),"※自用消耗的去向只能是一矿区或二矿区",IF(AND($K1156="对外销售",COUNTIF({"三矿区";"六矿区"},$L1156)=0),"※对外销售的去向只能是三矿区或六矿区",IF(AND($K1156="对外销售",ROUND($Q1156,0)=0),"※外销却没有售价，请填实际售价",IF(AND($K1156="对外销售",$T1156&lt;&gt;"",$T1156&lt;0),"※这一笔外销是亏的，请核对售价",IF(IFERROR(VLOOKUP($D1156,库存台账!$A$5:$Y$1204,24,0),0)&lt;-0.001,"※这个物料账面已经变成负数了，查一下是不是漏记入库","")))))))))))</f>
        <v/>
      </c>
    </row>
    <row r="1157">
      <c r="A1157" s="24">
        <f>IF($D1157="","",COUNTA($D$4:$D1157))</f>
        <v/>
      </c>
      <c r="B1157" s="17" t="n"/>
      <c r="C1157" s="30" t="n"/>
      <c r="D1157" s="17" t="n"/>
      <c r="E1157" s="24">
        <f>IF($D1157="","",IFERROR(VLOOKUP($D1157,物料档案!$A$4:$P$1203,3,0),"※编码不在物料档案里"))</f>
        <v/>
      </c>
      <c r="F1157" s="24">
        <f>IF($D1157="","",IFERROR(VLOOKUP($D1157,物料档案!$A$4:$P$1203,4,0),"※编码不在物料档案里"))</f>
        <v/>
      </c>
      <c r="G1157" s="24">
        <f>IF($D1157="","",IFERROR(VLOOKUP($D1157,物料档案!$A$4:$P$1203,5,0),"※编码不在物料档案里"))</f>
        <v/>
      </c>
      <c r="H1157" s="24">
        <f>IF($D1157="","",IFERROR(VLOOKUP($D1157,物料档案!$A$4:$P$1203,2,0),"※编码不在物料档案里"))</f>
        <v/>
      </c>
      <c r="I1157" s="24">
        <f>IF($D1157="","",IFERROR(VLOOKUP($D1157,物料档案!$A$4:$P$1203,6,0),"※编码不在物料档案里"))</f>
        <v/>
      </c>
      <c r="J1157" s="23" t="n"/>
      <c r="K1157" s="17" t="n"/>
      <c r="L1157" s="17" t="n"/>
      <c r="M1157" s="17" t="n"/>
      <c r="N1157" s="17" t="n"/>
      <c r="O1157" s="26">
        <f>IF($D1157="","",IFERROR(VLOOKUP($D1157,物料档案!$A$4:$P$1203,10,0),0))</f>
        <v/>
      </c>
      <c r="P1157" s="32" t="n"/>
      <c r="Q1157" s="26">
        <f>IF($D1157="","",IF($K1157&lt;&gt;"对外销售",0,ROUND(N($J1157)*IF($P1157="",N($O1157),N($P1157)),0)))</f>
        <v/>
      </c>
      <c r="R1157" s="26">
        <f>IF($D1157="","",IFERROR(VLOOKUP($D1157,库存台账!$A$5:$Y$1204,11,0),0))</f>
        <v/>
      </c>
      <c r="S1157" s="26">
        <f>IF($D1157="","",ROUND(N($J1157)*N($R1157),0))</f>
        <v/>
      </c>
      <c r="T1157" s="26">
        <f>IF($D1157="","",IF($K1157&lt;&gt;"对外销售","",ROUND($Q1157-$S1157,0)))</f>
        <v/>
      </c>
      <c r="U1157" s="17" t="n"/>
      <c r="V1157" s="17" t="n"/>
      <c r="W1157" s="24">
        <f>IF($D1157="","",IF($E1157="※编码不在物料档案里","※物料编码不在档案里",IF(N($J1157)&lt;=0,"※出库数量要大于 0",IF($K1157="","※没填去向类型",IF($L1157="","※没填去向矿区",IF(AND($C1157&lt;&gt;"",$C1157&lt;=结账锁),"※日期早于已结账截止日，不能再录",IF(AND($K1157="自用消耗",COUNTIF({"一矿区";"二矿区"},$L1157)=0),"※自用消耗的去向只能是一矿区或二矿区",IF(AND($K1157="对外销售",COUNTIF({"三矿区";"六矿区"},$L1157)=0),"※对外销售的去向只能是三矿区或六矿区",IF(AND($K1157="对外销售",ROUND($Q1157,0)=0),"※外销却没有售价，请填实际售价",IF(AND($K1157="对外销售",$T1157&lt;&gt;"",$T1157&lt;0),"※这一笔外销是亏的，请核对售价",IF(IFERROR(VLOOKUP($D1157,库存台账!$A$5:$Y$1204,24,0),0)&lt;-0.001,"※这个物料账面已经变成负数了，查一下是不是漏记入库","")))))))))))</f>
        <v/>
      </c>
    </row>
    <row r="1158">
      <c r="A1158" s="24">
        <f>IF($D1158="","",COUNTA($D$4:$D1158))</f>
        <v/>
      </c>
      <c r="B1158" s="17" t="n"/>
      <c r="C1158" s="30" t="n"/>
      <c r="D1158" s="17" t="n"/>
      <c r="E1158" s="24">
        <f>IF($D1158="","",IFERROR(VLOOKUP($D1158,物料档案!$A$4:$P$1203,3,0),"※编码不在物料档案里"))</f>
        <v/>
      </c>
      <c r="F1158" s="24">
        <f>IF($D1158="","",IFERROR(VLOOKUP($D1158,物料档案!$A$4:$P$1203,4,0),"※编码不在物料档案里"))</f>
        <v/>
      </c>
      <c r="G1158" s="24">
        <f>IF($D1158="","",IFERROR(VLOOKUP($D1158,物料档案!$A$4:$P$1203,5,0),"※编码不在物料档案里"))</f>
        <v/>
      </c>
      <c r="H1158" s="24">
        <f>IF($D1158="","",IFERROR(VLOOKUP($D1158,物料档案!$A$4:$P$1203,2,0),"※编码不在物料档案里"))</f>
        <v/>
      </c>
      <c r="I1158" s="24">
        <f>IF($D1158="","",IFERROR(VLOOKUP($D1158,物料档案!$A$4:$P$1203,6,0),"※编码不在物料档案里"))</f>
        <v/>
      </c>
      <c r="J1158" s="23" t="n"/>
      <c r="K1158" s="17" t="n"/>
      <c r="L1158" s="17" t="n"/>
      <c r="M1158" s="17" t="n"/>
      <c r="N1158" s="17" t="n"/>
      <c r="O1158" s="26">
        <f>IF($D1158="","",IFERROR(VLOOKUP($D1158,物料档案!$A$4:$P$1203,10,0),0))</f>
        <v/>
      </c>
      <c r="P1158" s="32" t="n"/>
      <c r="Q1158" s="26">
        <f>IF($D1158="","",IF($K1158&lt;&gt;"对外销售",0,ROUND(N($J1158)*IF($P1158="",N($O1158),N($P1158)),0)))</f>
        <v/>
      </c>
      <c r="R1158" s="26">
        <f>IF($D1158="","",IFERROR(VLOOKUP($D1158,库存台账!$A$5:$Y$1204,11,0),0))</f>
        <v/>
      </c>
      <c r="S1158" s="26">
        <f>IF($D1158="","",ROUND(N($J1158)*N($R1158),0))</f>
        <v/>
      </c>
      <c r="T1158" s="26">
        <f>IF($D1158="","",IF($K1158&lt;&gt;"对外销售","",ROUND($Q1158-$S1158,0)))</f>
        <v/>
      </c>
      <c r="U1158" s="17" t="n"/>
      <c r="V1158" s="17" t="n"/>
      <c r="W1158" s="24">
        <f>IF($D1158="","",IF($E1158="※编码不在物料档案里","※物料编码不在档案里",IF(N($J1158)&lt;=0,"※出库数量要大于 0",IF($K1158="","※没填去向类型",IF($L1158="","※没填去向矿区",IF(AND($C1158&lt;&gt;"",$C1158&lt;=结账锁),"※日期早于已结账截止日，不能再录",IF(AND($K1158="自用消耗",COUNTIF({"一矿区";"二矿区"},$L1158)=0),"※自用消耗的去向只能是一矿区或二矿区",IF(AND($K1158="对外销售",COUNTIF({"三矿区";"六矿区"},$L1158)=0),"※对外销售的去向只能是三矿区或六矿区",IF(AND($K1158="对外销售",ROUND($Q1158,0)=0),"※外销却没有售价，请填实际售价",IF(AND($K1158="对外销售",$T1158&lt;&gt;"",$T1158&lt;0),"※这一笔外销是亏的，请核对售价",IF(IFERROR(VLOOKUP($D1158,库存台账!$A$5:$Y$1204,24,0),0)&lt;-0.001,"※这个物料账面已经变成负数了，查一下是不是漏记入库","")))))))))))</f>
        <v/>
      </c>
    </row>
    <row r="1159">
      <c r="A1159" s="24">
        <f>IF($D1159="","",COUNTA($D$4:$D1159))</f>
        <v/>
      </c>
      <c r="B1159" s="17" t="n"/>
      <c r="C1159" s="30" t="n"/>
      <c r="D1159" s="17" t="n"/>
      <c r="E1159" s="24">
        <f>IF($D1159="","",IFERROR(VLOOKUP($D1159,物料档案!$A$4:$P$1203,3,0),"※编码不在物料档案里"))</f>
        <v/>
      </c>
      <c r="F1159" s="24">
        <f>IF($D1159="","",IFERROR(VLOOKUP($D1159,物料档案!$A$4:$P$1203,4,0),"※编码不在物料档案里"))</f>
        <v/>
      </c>
      <c r="G1159" s="24">
        <f>IF($D1159="","",IFERROR(VLOOKUP($D1159,物料档案!$A$4:$P$1203,5,0),"※编码不在物料档案里"))</f>
        <v/>
      </c>
      <c r="H1159" s="24">
        <f>IF($D1159="","",IFERROR(VLOOKUP($D1159,物料档案!$A$4:$P$1203,2,0),"※编码不在物料档案里"))</f>
        <v/>
      </c>
      <c r="I1159" s="24">
        <f>IF($D1159="","",IFERROR(VLOOKUP($D1159,物料档案!$A$4:$P$1203,6,0),"※编码不在物料档案里"))</f>
        <v/>
      </c>
      <c r="J1159" s="23" t="n"/>
      <c r="K1159" s="17" t="n"/>
      <c r="L1159" s="17" t="n"/>
      <c r="M1159" s="17" t="n"/>
      <c r="N1159" s="17" t="n"/>
      <c r="O1159" s="26">
        <f>IF($D1159="","",IFERROR(VLOOKUP($D1159,物料档案!$A$4:$P$1203,10,0),0))</f>
        <v/>
      </c>
      <c r="P1159" s="32" t="n"/>
      <c r="Q1159" s="26">
        <f>IF($D1159="","",IF($K1159&lt;&gt;"对外销售",0,ROUND(N($J1159)*IF($P1159="",N($O1159),N($P1159)),0)))</f>
        <v/>
      </c>
      <c r="R1159" s="26">
        <f>IF($D1159="","",IFERROR(VLOOKUP($D1159,库存台账!$A$5:$Y$1204,11,0),0))</f>
        <v/>
      </c>
      <c r="S1159" s="26">
        <f>IF($D1159="","",ROUND(N($J1159)*N($R1159),0))</f>
        <v/>
      </c>
      <c r="T1159" s="26">
        <f>IF($D1159="","",IF($K1159&lt;&gt;"对外销售","",ROUND($Q1159-$S1159,0)))</f>
        <v/>
      </c>
      <c r="U1159" s="17" t="n"/>
      <c r="V1159" s="17" t="n"/>
      <c r="W1159" s="24">
        <f>IF($D1159="","",IF($E1159="※编码不在物料档案里","※物料编码不在档案里",IF(N($J1159)&lt;=0,"※出库数量要大于 0",IF($K1159="","※没填去向类型",IF($L1159="","※没填去向矿区",IF(AND($C1159&lt;&gt;"",$C1159&lt;=结账锁),"※日期早于已结账截止日，不能再录",IF(AND($K1159="自用消耗",COUNTIF({"一矿区";"二矿区"},$L1159)=0),"※自用消耗的去向只能是一矿区或二矿区",IF(AND($K1159="对外销售",COUNTIF({"三矿区";"六矿区"},$L1159)=0),"※对外销售的去向只能是三矿区或六矿区",IF(AND($K1159="对外销售",ROUND($Q1159,0)=0),"※外销却没有售价，请填实际售价",IF(AND($K1159="对外销售",$T1159&lt;&gt;"",$T1159&lt;0),"※这一笔外销是亏的，请核对售价",IF(IFERROR(VLOOKUP($D1159,库存台账!$A$5:$Y$1204,24,0),0)&lt;-0.001,"※这个物料账面已经变成负数了，查一下是不是漏记入库","")))))))))))</f>
        <v/>
      </c>
    </row>
    <row r="1160">
      <c r="A1160" s="24">
        <f>IF($D1160="","",COUNTA($D$4:$D1160))</f>
        <v/>
      </c>
      <c r="B1160" s="17" t="n"/>
      <c r="C1160" s="30" t="n"/>
      <c r="D1160" s="17" t="n"/>
      <c r="E1160" s="24">
        <f>IF($D1160="","",IFERROR(VLOOKUP($D1160,物料档案!$A$4:$P$1203,3,0),"※编码不在物料档案里"))</f>
        <v/>
      </c>
      <c r="F1160" s="24">
        <f>IF($D1160="","",IFERROR(VLOOKUP($D1160,物料档案!$A$4:$P$1203,4,0),"※编码不在物料档案里"))</f>
        <v/>
      </c>
      <c r="G1160" s="24">
        <f>IF($D1160="","",IFERROR(VLOOKUP($D1160,物料档案!$A$4:$P$1203,5,0),"※编码不在物料档案里"))</f>
        <v/>
      </c>
      <c r="H1160" s="24">
        <f>IF($D1160="","",IFERROR(VLOOKUP($D1160,物料档案!$A$4:$P$1203,2,0),"※编码不在物料档案里"))</f>
        <v/>
      </c>
      <c r="I1160" s="24">
        <f>IF($D1160="","",IFERROR(VLOOKUP($D1160,物料档案!$A$4:$P$1203,6,0),"※编码不在物料档案里"))</f>
        <v/>
      </c>
      <c r="J1160" s="23" t="n"/>
      <c r="K1160" s="17" t="n"/>
      <c r="L1160" s="17" t="n"/>
      <c r="M1160" s="17" t="n"/>
      <c r="N1160" s="17" t="n"/>
      <c r="O1160" s="26">
        <f>IF($D1160="","",IFERROR(VLOOKUP($D1160,物料档案!$A$4:$P$1203,10,0),0))</f>
        <v/>
      </c>
      <c r="P1160" s="32" t="n"/>
      <c r="Q1160" s="26">
        <f>IF($D1160="","",IF($K1160&lt;&gt;"对外销售",0,ROUND(N($J1160)*IF($P1160="",N($O1160),N($P1160)),0)))</f>
        <v/>
      </c>
      <c r="R1160" s="26">
        <f>IF($D1160="","",IFERROR(VLOOKUP($D1160,库存台账!$A$5:$Y$1204,11,0),0))</f>
        <v/>
      </c>
      <c r="S1160" s="26">
        <f>IF($D1160="","",ROUND(N($J1160)*N($R1160),0))</f>
        <v/>
      </c>
      <c r="T1160" s="26">
        <f>IF($D1160="","",IF($K1160&lt;&gt;"对外销售","",ROUND($Q1160-$S1160,0)))</f>
        <v/>
      </c>
      <c r="U1160" s="17" t="n"/>
      <c r="V1160" s="17" t="n"/>
      <c r="W1160" s="24">
        <f>IF($D1160="","",IF($E1160="※编码不在物料档案里","※物料编码不在档案里",IF(N($J1160)&lt;=0,"※出库数量要大于 0",IF($K1160="","※没填去向类型",IF($L1160="","※没填去向矿区",IF(AND($C1160&lt;&gt;"",$C1160&lt;=结账锁),"※日期早于已结账截止日，不能再录",IF(AND($K1160="自用消耗",COUNTIF({"一矿区";"二矿区"},$L1160)=0),"※自用消耗的去向只能是一矿区或二矿区",IF(AND($K1160="对外销售",COUNTIF({"三矿区";"六矿区"},$L1160)=0),"※对外销售的去向只能是三矿区或六矿区",IF(AND($K1160="对外销售",ROUND($Q1160,0)=0),"※外销却没有售价，请填实际售价",IF(AND($K1160="对外销售",$T1160&lt;&gt;"",$T1160&lt;0),"※这一笔外销是亏的，请核对售价",IF(IFERROR(VLOOKUP($D1160,库存台账!$A$5:$Y$1204,24,0),0)&lt;-0.001,"※这个物料账面已经变成负数了，查一下是不是漏记入库","")))))))))))</f>
        <v/>
      </c>
    </row>
    <row r="1161">
      <c r="A1161" s="24">
        <f>IF($D1161="","",COUNTA($D$4:$D1161))</f>
        <v/>
      </c>
      <c r="B1161" s="17" t="n"/>
      <c r="C1161" s="30" t="n"/>
      <c r="D1161" s="17" t="n"/>
      <c r="E1161" s="24">
        <f>IF($D1161="","",IFERROR(VLOOKUP($D1161,物料档案!$A$4:$P$1203,3,0),"※编码不在物料档案里"))</f>
        <v/>
      </c>
      <c r="F1161" s="24">
        <f>IF($D1161="","",IFERROR(VLOOKUP($D1161,物料档案!$A$4:$P$1203,4,0),"※编码不在物料档案里"))</f>
        <v/>
      </c>
      <c r="G1161" s="24">
        <f>IF($D1161="","",IFERROR(VLOOKUP($D1161,物料档案!$A$4:$P$1203,5,0),"※编码不在物料档案里"))</f>
        <v/>
      </c>
      <c r="H1161" s="24">
        <f>IF($D1161="","",IFERROR(VLOOKUP($D1161,物料档案!$A$4:$P$1203,2,0),"※编码不在物料档案里"))</f>
        <v/>
      </c>
      <c r="I1161" s="24">
        <f>IF($D1161="","",IFERROR(VLOOKUP($D1161,物料档案!$A$4:$P$1203,6,0),"※编码不在物料档案里"))</f>
        <v/>
      </c>
      <c r="J1161" s="23" t="n"/>
      <c r="K1161" s="17" t="n"/>
      <c r="L1161" s="17" t="n"/>
      <c r="M1161" s="17" t="n"/>
      <c r="N1161" s="17" t="n"/>
      <c r="O1161" s="26">
        <f>IF($D1161="","",IFERROR(VLOOKUP($D1161,物料档案!$A$4:$P$1203,10,0),0))</f>
        <v/>
      </c>
      <c r="P1161" s="32" t="n"/>
      <c r="Q1161" s="26">
        <f>IF($D1161="","",IF($K1161&lt;&gt;"对外销售",0,ROUND(N($J1161)*IF($P1161="",N($O1161),N($P1161)),0)))</f>
        <v/>
      </c>
      <c r="R1161" s="26">
        <f>IF($D1161="","",IFERROR(VLOOKUP($D1161,库存台账!$A$5:$Y$1204,11,0),0))</f>
        <v/>
      </c>
      <c r="S1161" s="26">
        <f>IF($D1161="","",ROUND(N($J1161)*N($R1161),0))</f>
        <v/>
      </c>
      <c r="T1161" s="26">
        <f>IF($D1161="","",IF($K1161&lt;&gt;"对外销售","",ROUND($Q1161-$S1161,0)))</f>
        <v/>
      </c>
      <c r="U1161" s="17" t="n"/>
      <c r="V1161" s="17" t="n"/>
      <c r="W1161" s="24">
        <f>IF($D1161="","",IF($E1161="※编码不在物料档案里","※物料编码不在档案里",IF(N($J1161)&lt;=0,"※出库数量要大于 0",IF($K1161="","※没填去向类型",IF($L1161="","※没填去向矿区",IF(AND($C1161&lt;&gt;"",$C1161&lt;=结账锁),"※日期早于已结账截止日，不能再录",IF(AND($K1161="自用消耗",COUNTIF({"一矿区";"二矿区"},$L1161)=0),"※自用消耗的去向只能是一矿区或二矿区",IF(AND($K1161="对外销售",COUNTIF({"三矿区";"六矿区"},$L1161)=0),"※对外销售的去向只能是三矿区或六矿区",IF(AND($K1161="对外销售",ROUND($Q1161,0)=0),"※外销却没有售价，请填实际售价",IF(AND($K1161="对外销售",$T1161&lt;&gt;"",$T1161&lt;0),"※这一笔外销是亏的，请核对售价",IF(IFERROR(VLOOKUP($D1161,库存台账!$A$5:$Y$1204,24,0),0)&lt;-0.001,"※这个物料账面已经变成负数了，查一下是不是漏记入库","")))))))))))</f>
        <v/>
      </c>
    </row>
    <row r="1162">
      <c r="A1162" s="24">
        <f>IF($D1162="","",COUNTA($D$4:$D1162))</f>
        <v/>
      </c>
      <c r="B1162" s="17" t="n"/>
      <c r="C1162" s="30" t="n"/>
      <c r="D1162" s="17" t="n"/>
      <c r="E1162" s="24">
        <f>IF($D1162="","",IFERROR(VLOOKUP($D1162,物料档案!$A$4:$P$1203,3,0),"※编码不在物料档案里"))</f>
        <v/>
      </c>
      <c r="F1162" s="24">
        <f>IF($D1162="","",IFERROR(VLOOKUP($D1162,物料档案!$A$4:$P$1203,4,0),"※编码不在物料档案里"))</f>
        <v/>
      </c>
      <c r="G1162" s="24">
        <f>IF($D1162="","",IFERROR(VLOOKUP($D1162,物料档案!$A$4:$P$1203,5,0),"※编码不在物料档案里"))</f>
        <v/>
      </c>
      <c r="H1162" s="24">
        <f>IF($D1162="","",IFERROR(VLOOKUP($D1162,物料档案!$A$4:$P$1203,2,0),"※编码不在物料档案里"))</f>
        <v/>
      </c>
      <c r="I1162" s="24">
        <f>IF($D1162="","",IFERROR(VLOOKUP($D1162,物料档案!$A$4:$P$1203,6,0),"※编码不在物料档案里"))</f>
        <v/>
      </c>
      <c r="J1162" s="23" t="n"/>
      <c r="K1162" s="17" t="n"/>
      <c r="L1162" s="17" t="n"/>
      <c r="M1162" s="17" t="n"/>
      <c r="N1162" s="17" t="n"/>
      <c r="O1162" s="26">
        <f>IF($D1162="","",IFERROR(VLOOKUP($D1162,物料档案!$A$4:$P$1203,10,0),0))</f>
        <v/>
      </c>
      <c r="P1162" s="32" t="n"/>
      <c r="Q1162" s="26">
        <f>IF($D1162="","",IF($K1162&lt;&gt;"对外销售",0,ROUND(N($J1162)*IF($P1162="",N($O1162),N($P1162)),0)))</f>
        <v/>
      </c>
      <c r="R1162" s="26">
        <f>IF($D1162="","",IFERROR(VLOOKUP($D1162,库存台账!$A$5:$Y$1204,11,0),0))</f>
        <v/>
      </c>
      <c r="S1162" s="26">
        <f>IF($D1162="","",ROUND(N($J1162)*N($R1162),0))</f>
        <v/>
      </c>
      <c r="T1162" s="26">
        <f>IF($D1162="","",IF($K1162&lt;&gt;"对外销售","",ROUND($Q1162-$S1162,0)))</f>
        <v/>
      </c>
      <c r="U1162" s="17" t="n"/>
      <c r="V1162" s="17" t="n"/>
      <c r="W1162" s="24">
        <f>IF($D1162="","",IF($E1162="※编码不在物料档案里","※物料编码不在档案里",IF(N($J1162)&lt;=0,"※出库数量要大于 0",IF($K1162="","※没填去向类型",IF($L1162="","※没填去向矿区",IF(AND($C1162&lt;&gt;"",$C1162&lt;=结账锁),"※日期早于已结账截止日，不能再录",IF(AND($K1162="自用消耗",COUNTIF({"一矿区";"二矿区"},$L1162)=0),"※自用消耗的去向只能是一矿区或二矿区",IF(AND($K1162="对外销售",COUNTIF({"三矿区";"六矿区"},$L1162)=0),"※对外销售的去向只能是三矿区或六矿区",IF(AND($K1162="对外销售",ROUND($Q1162,0)=0),"※外销却没有售价，请填实际售价",IF(AND($K1162="对外销售",$T1162&lt;&gt;"",$T1162&lt;0),"※这一笔外销是亏的，请核对售价",IF(IFERROR(VLOOKUP($D1162,库存台账!$A$5:$Y$1204,24,0),0)&lt;-0.001,"※这个物料账面已经变成负数了，查一下是不是漏记入库","")))))))))))</f>
        <v/>
      </c>
    </row>
    <row r="1163">
      <c r="A1163" s="24">
        <f>IF($D1163="","",COUNTA($D$4:$D1163))</f>
        <v/>
      </c>
      <c r="B1163" s="17" t="n"/>
      <c r="C1163" s="30" t="n"/>
      <c r="D1163" s="17" t="n"/>
      <c r="E1163" s="24">
        <f>IF($D1163="","",IFERROR(VLOOKUP($D1163,物料档案!$A$4:$P$1203,3,0),"※编码不在物料档案里"))</f>
        <v/>
      </c>
      <c r="F1163" s="24">
        <f>IF($D1163="","",IFERROR(VLOOKUP($D1163,物料档案!$A$4:$P$1203,4,0),"※编码不在物料档案里"))</f>
        <v/>
      </c>
      <c r="G1163" s="24">
        <f>IF($D1163="","",IFERROR(VLOOKUP($D1163,物料档案!$A$4:$P$1203,5,0),"※编码不在物料档案里"))</f>
        <v/>
      </c>
      <c r="H1163" s="24">
        <f>IF($D1163="","",IFERROR(VLOOKUP($D1163,物料档案!$A$4:$P$1203,2,0),"※编码不在物料档案里"))</f>
        <v/>
      </c>
      <c r="I1163" s="24">
        <f>IF($D1163="","",IFERROR(VLOOKUP($D1163,物料档案!$A$4:$P$1203,6,0),"※编码不在物料档案里"))</f>
        <v/>
      </c>
      <c r="J1163" s="23" t="n"/>
      <c r="K1163" s="17" t="n"/>
      <c r="L1163" s="17" t="n"/>
      <c r="M1163" s="17" t="n"/>
      <c r="N1163" s="17" t="n"/>
      <c r="O1163" s="26">
        <f>IF($D1163="","",IFERROR(VLOOKUP($D1163,物料档案!$A$4:$P$1203,10,0),0))</f>
        <v/>
      </c>
      <c r="P1163" s="32" t="n"/>
      <c r="Q1163" s="26">
        <f>IF($D1163="","",IF($K1163&lt;&gt;"对外销售",0,ROUND(N($J1163)*IF($P1163="",N($O1163),N($P1163)),0)))</f>
        <v/>
      </c>
      <c r="R1163" s="26">
        <f>IF($D1163="","",IFERROR(VLOOKUP($D1163,库存台账!$A$5:$Y$1204,11,0),0))</f>
        <v/>
      </c>
      <c r="S1163" s="26">
        <f>IF($D1163="","",ROUND(N($J1163)*N($R1163),0))</f>
        <v/>
      </c>
      <c r="T1163" s="26">
        <f>IF($D1163="","",IF($K1163&lt;&gt;"对外销售","",ROUND($Q1163-$S1163,0)))</f>
        <v/>
      </c>
      <c r="U1163" s="17" t="n"/>
      <c r="V1163" s="17" t="n"/>
      <c r="W1163" s="24">
        <f>IF($D1163="","",IF($E1163="※编码不在物料档案里","※物料编码不在档案里",IF(N($J1163)&lt;=0,"※出库数量要大于 0",IF($K1163="","※没填去向类型",IF($L1163="","※没填去向矿区",IF(AND($C1163&lt;&gt;"",$C1163&lt;=结账锁),"※日期早于已结账截止日，不能再录",IF(AND($K1163="自用消耗",COUNTIF({"一矿区";"二矿区"},$L1163)=0),"※自用消耗的去向只能是一矿区或二矿区",IF(AND($K1163="对外销售",COUNTIF({"三矿区";"六矿区"},$L1163)=0),"※对外销售的去向只能是三矿区或六矿区",IF(AND($K1163="对外销售",ROUND($Q1163,0)=0),"※外销却没有售价，请填实际售价",IF(AND($K1163="对外销售",$T1163&lt;&gt;"",$T1163&lt;0),"※这一笔外销是亏的，请核对售价",IF(IFERROR(VLOOKUP($D1163,库存台账!$A$5:$Y$1204,24,0),0)&lt;-0.001,"※这个物料账面已经变成负数了，查一下是不是漏记入库","")))))))))))</f>
        <v/>
      </c>
    </row>
    <row r="1164">
      <c r="A1164" s="24">
        <f>IF($D1164="","",COUNTA($D$4:$D1164))</f>
        <v/>
      </c>
      <c r="B1164" s="17" t="n"/>
      <c r="C1164" s="30" t="n"/>
      <c r="D1164" s="17" t="n"/>
      <c r="E1164" s="24">
        <f>IF($D1164="","",IFERROR(VLOOKUP($D1164,物料档案!$A$4:$P$1203,3,0),"※编码不在物料档案里"))</f>
        <v/>
      </c>
      <c r="F1164" s="24">
        <f>IF($D1164="","",IFERROR(VLOOKUP($D1164,物料档案!$A$4:$P$1203,4,0),"※编码不在物料档案里"))</f>
        <v/>
      </c>
      <c r="G1164" s="24">
        <f>IF($D1164="","",IFERROR(VLOOKUP($D1164,物料档案!$A$4:$P$1203,5,0),"※编码不在物料档案里"))</f>
        <v/>
      </c>
      <c r="H1164" s="24">
        <f>IF($D1164="","",IFERROR(VLOOKUP($D1164,物料档案!$A$4:$P$1203,2,0),"※编码不在物料档案里"))</f>
        <v/>
      </c>
      <c r="I1164" s="24">
        <f>IF($D1164="","",IFERROR(VLOOKUP($D1164,物料档案!$A$4:$P$1203,6,0),"※编码不在物料档案里"))</f>
        <v/>
      </c>
      <c r="J1164" s="23" t="n"/>
      <c r="K1164" s="17" t="n"/>
      <c r="L1164" s="17" t="n"/>
      <c r="M1164" s="17" t="n"/>
      <c r="N1164" s="17" t="n"/>
      <c r="O1164" s="26">
        <f>IF($D1164="","",IFERROR(VLOOKUP($D1164,物料档案!$A$4:$P$1203,10,0),0))</f>
        <v/>
      </c>
      <c r="P1164" s="32" t="n"/>
      <c r="Q1164" s="26">
        <f>IF($D1164="","",IF($K1164&lt;&gt;"对外销售",0,ROUND(N($J1164)*IF($P1164="",N($O1164),N($P1164)),0)))</f>
        <v/>
      </c>
      <c r="R1164" s="26">
        <f>IF($D1164="","",IFERROR(VLOOKUP($D1164,库存台账!$A$5:$Y$1204,11,0),0))</f>
        <v/>
      </c>
      <c r="S1164" s="26">
        <f>IF($D1164="","",ROUND(N($J1164)*N($R1164),0))</f>
        <v/>
      </c>
      <c r="T1164" s="26">
        <f>IF($D1164="","",IF($K1164&lt;&gt;"对外销售","",ROUND($Q1164-$S1164,0)))</f>
        <v/>
      </c>
      <c r="U1164" s="17" t="n"/>
      <c r="V1164" s="17" t="n"/>
      <c r="W1164" s="24">
        <f>IF($D1164="","",IF($E1164="※编码不在物料档案里","※物料编码不在档案里",IF(N($J1164)&lt;=0,"※出库数量要大于 0",IF($K1164="","※没填去向类型",IF($L1164="","※没填去向矿区",IF(AND($C1164&lt;&gt;"",$C1164&lt;=结账锁),"※日期早于已结账截止日，不能再录",IF(AND($K1164="自用消耗",COUNTIF({"一矿区";"二矿区"},$L1164)=0),"※自用消耗的去向只能是一矿区或二矿区",IF(AND($K1164="对外销售",COUNTIF({"三矿区";"六矿区"},$L1164)=0),"※对外销售的去向只能是三矿区或六矿区",IF(AND($K1164="对外销售",ROUND($Q1164,0)=0),"※外销却没有售价，请填实际售价",IF(AND($K1164="对外销售",$T1164&lt;&gt;"",$T1164&lt;0),"※这一笔外销是亏的，请核对售价",IF(IFERROR(VLOOKUP($D1164,库存台账!$A$5:$Y$1204,24,0),0)&lt;-0.001,"※这个物料账面已经变成负数了，查一下是不是漏记入库","")))))))))))</f>
        <v/>
      </c>
    </row>
    <row r="1165">
      <c r="A1165" s="24">
        <f>IF($D1165="","",COUNTA($D$4:$D1165))</f>
        <v/>
      </c>
      <c r="B1165" s="17" t="n"/>
      <c r="C1165" s="30" t="n"/>
      <c r="D1165" s="17" t="n"/>
      <c r="E1165" s="24">
        <f>IF($D1165="","",IFERROR(VLOOKUP($D1165,物料档案!$A$4:$P$1203,3,0),"※编码不在物料档案里"))</f>
        <v/>
      </c>
      <c r="F1165" s="24">
        <f>IF($D1165="","",IFERROR(VLOOKUP($D1165,物料档案!$A$4:$P$1203,4,0),"※编码不在物料档案里"))</f>
        <v/>
      </c>
      <c r="G1165" s="24">
        <f>IF($D1165="","",IFERROR(VLOOKUP($D1165,物料档案!$A$4:$P$1203,5,0),"※编码不在物料档案里"))</f>
        <v/>
      </c>
      <c r="H1165" s="24">
        <f>IF($D1165="","",IFERROR(VLOOKUP($D1165,物料档案!$A$4:$P$1203,2,0),"※编码不在物料档案里"))</f>
        <v/>
      </c>
      <c r="I1165" s="24">
        <f>IF($D1165="","",IFERROR(VLOOKUP($D1165,物料档案!$A$4:$P$1203,6,0),"※编码不在物料档案里"))</f>
        <v/>
      </c>
      <c r="J1165" s="23" t="n"/>
      <c r="K1165" s="17" t="n"/>
      <c r="L1165" s="17" t="n"/>
      <c r="M1165" s="17" t="n"/>
      <c r="N1165" s="17" t="n"/>
      <c r="O1165" s="26">
        <f>IF($D1165="","",IFERROR(VLOOKUP($D1165,物料档案!$A$4:$P$1203,10,0),0))</f>
        <v/>
      </c>
      <c r="P1165" s="32" t="n"/>
      <c r="Q1165" s="26">
        <f>IF($D1165="","",IF($K1165&lt;&gt;"对外销售",0,ROUND(N($J1165)*IF($P1165="",N($O1165),N($P1165)),0)))</f>
        <v/>
      </c>
      <c r="R1165" s="26">
        <f>IF($D1165="","",IFERROR(VLOOKUP($D1165,库存台账!$A$5:$Y$1204,11,0),0))</f>
        <v/>
      </c>
      <c r="S1165" s="26">
        <f>IF($D1165="","",ROUND(N($J1165)*N($R1165),0))</f>
        <v/>
      </c>
      <c r="T1165" s="26">
        <f>IF($D1165="","",IF($K1165&lt;&gt;"对外销售","",ROUND($Q1165-$S1165,0)))</f>
        <v/>
      </c>
      <c r="U1165" s="17" t="n"/>
      <c r="V1165" s="17" t="n"/>
      <c r="W1165" s="24">
        <f>IF($D1165="","",IF($E1165="※编码不在物料档案里","※物料编码不在档案里",IF(N($J1165)&lt;=0,"※出库数量要大于 0",IF($K1165="","※没填去向类型",IF($L1165="","※没填去向矿区",IF(AND($C1165&lt;&gt;"",$C1165&lt;=结账锁),"※日期早于已结账截止日，不能再录",IF(AND($K1165="自用消耗",COUNTIF({"一矿区";"二矿区"},$L1165)=0),"※自用消耗的去向只能是一矿区或二矿区",IF(AND($K1165="对外销售",COUNTIF({"三矿区";"六矿区"},$L1165)=0),"※对外销售的去向只能是三矿区或六矿区",IF(AND($K1165="对外销售",ROUND($Q1165,0)=0),"※外销却没有售价，请填实际售价",IF(AND($K1165="对外销售",$T1165&lt;&gt;"",$T1165&lt;0),"※这一笔外销是亏的，请核对售价",IF(IFERROR(VLOOKUP($D1165,库存台账!$A$5:$Y$1204,24,0),0)&lt;-0.001,"※这个物料账面已经变成负数了，查一下是不是漏记入库","")))))))))))</f>
        <v/>
      </c>
    </row>
    <row r="1166">
      <c r="A1166" s="24">
        <f>IF($D1166="","",COUNTA($D$4:$D1166))</f>
        <v/>
      </c>
      <c r="B1166" s="17" t="n"/>
      <c r="C1166" s="30" t="n"/>
      <c r="D1166" s="17" t="n"/>
      <c r="E1166" s="24">
        <f>IF($D1166="","",IFERROR(VLOOKUP($D1166,物料档案!$A$4:$P$1203,3,0),"※编码不在物料档案里"))</f>
        <v/>
      </c>
      <c r="F1166" s="24">
        <f>IF($D1166="","",IFERROR(VLOOKUP($D1166,物料档案!$A$4:$P$1203,4,0),"※编码不在物料档案里"))</f>
        <v/>
      </c>
      <c r="G1166" s="24">
        <f>IF($D1166="","",IFERROR(VLOOKUP($D1166,物料档案!$A$4:$P$1203,5,0),"※编码不在物料档案里"))</f>
        <v/>
      </c>
      <c r="H1166" s="24">
        <f>IF($D1166="","",IFERROR(VLOOKUP($D1166,物料档案!$A$4:$P$1203,2,0),"※编码不在物料档案里"))</f>
        <v/>
      </c>
      <c r="I1166" s="24">
        <f>IF($D1166="","",IFERROR(VLOOKUP($D1166,物料档案!$A$4:$P$1203,6,0),"※编码不在物料档案里"))</f>
        <v/>
      </c>
      <c r="J1166" s="23" t="n"/>
      <c r="K1166" s="17" t="n"/>
      <c r="L1166" s="17" t="n"/>
      <c r="M1166" s="17" t="n"/>
      <c r="N1166" s="17" t="n"/>
      <c r="O1166" s="26">
        <f>IF($D1166="","",IFERROR(VLOOKUP($D1166,物料档案!$A$4:$P$1203,10,0),0))</f>
        <v/>
      </c>
      <c r="P1166" s="32" t="n"/>
      <c r="Q1166" s="26">
        <f>IF($D1166="","",IF($K1166&lt;&gt;"对外销售",0,ROUND(N($J1166)*IF($P1166="",N($O1166),N($P1166)),0)))</f>
        <v/>
      </c>
      <c r="R1166" s="26">
        <f>IF($D1166="","",IFERROR(VLOOKUP($D1166,库存台账!$A$5:$Y$1204,11,0),0))</f>
        <v/>
      </c>
      <c r="S1166" s="26">
        <f>IF($D1166="","",ROUND(N($J1166)*N($R1166),0))</f>
        <v/>
      </c>
      <c r="T1166" s="26">
        <f>IF($D1166="","",IF($K1166&lt;&gt;"对外销售","",ROUND($Q1166-$S1166,0)))</f>
        <v/>
      </c>
      <c r="U1166" s="17" t="n"/>
      <c r="V1166" s="17" t="n"/>
      <c r="W1166" s="24">
        <f>IF($D1166="","",IF($E1166="※编码不在物料档案里","※物料编码不在档案里",IF(N($J1166)&lt;=0,"※出库数量要大于 0",IF($K1166="","※没填去向类型",IF($L1166="","※没填去向矿区",IF(AND($C1166&lt;&gt;"",$C1166&lt;=结账锁),"※日期早于已结账截止日，不能再录",IF(AND($K1166="自用消耗",COUNTIF({"一矿区";"二矿区"},$L1166)=0),"※自用消耗的去向只能是一矿区或二矿区",IF(AND($K1166="对外销售",COUNTIF({"三矿区";"六矿区"},$L1166)=0),"※对外销售的去向只能是三矿区或六矿区",IF(AND($K1166="对外销售",ROUND($Q1166,0)=0),"※外销却没有售价，请填实际售价",IF(AND($K1166="对外销售",$T1166&lt;&gt;"",$T1166&lt;0),"※这一笔外销是亏的，请核对售价",IF(IFERROR(VLOOKUP($D1166,库存台账!$A$5:$Y$1204,24,0),0)&lt;-0.001,"※这个物料账面已经变成负数了，查一下是不是漏记入库","")))))))))))</f>
        <v/>
      </c>
    </row>
    <row r="1167">
      <c r="A1167" s="24">
        <f>IF($D1167="","",COUNTA($D$4:$D1167))</f>
        <v/>
      </c>
      <c r="B1167" s="17" t="n"/>
      <c r="C1167" s="30" t="n"/>
      <c r="D1167" s="17" t="n"/>
      <c r="E1167" s="24">
        <f>IF($D1167="","",IFERROR(VLOOKUP($D1167,物料档案!$A$4:$P$1203,3,0),"※编码不在物料档案里"))</f>
        <v/>
      </c>
      <c r="F1167" s="24">
        <f>IF($D1167="","",IFERROR(VLOOKUP($D1167,物料档案!$A$4:$P$1203,4,0),"※编码不在物料档案里"))</f>
        <v/>
      </c>
      <c r="G1167" s="24">
        <f>IF($D1167="","",IFERROR(VLOOKUP($D1167,物料档案!$A$4:$P$1203,5,0),"※编码不在物料档案里"))</f>
        <v/>
      </c>
      <c r="H1167" s="24">
        <f>IF($D1167="","",IFERROR(VLOOKUP($D1167,物料档案!$A$4:$P$1203,2,0),"※编码不在物料档案里"))</f>
        <v/>
      </c>
      <c r="I1167" s="24">
        <f>IF($D1167="","",IFERROR(VLOOKUP($D1167,物料档案!$A$4:$P$1203,6,0),"※编码不在物料档案里"))</f>
        <v/>
      </c>
      <c r="J1167" s="23" t="n"/>
      <c r="K1167" s="17" t="n"/>
      <c r="L1167" s="17" t="n"/>
      <c r="M1167" s="17" t="n"/>
      <c r="N1167" s="17" t="n"/>
      <c r="O1167" s="26">
        <f>IF($D1167="","",IFERROR(VLOOKUP($D1167,物料档案!$A$4:$P$1203,10,0),0))</f>
        <v/>
      </c>
      <c r="P1167" s="32" t="n"/>
      <c r="Q1167" s="26">
        <f>IF($D1167="","",IF($K1167&lt;&gt;"对外销售",0,ROUND(N($J1167)*IF($P1167="",N($O1167),N($P1167)),0)))</f>
        <v/>
      </c>
      <c r="R1167" s="26">
        <f>IF($D1167="","",IFERROR(VLOOKUP($D1167,库存台账!$A$5:$Y$1204,11,0),0))</f>
        <v/>
      </c>
      <c r="S1167" s="26">
        <f>IF($D1167="","",ROUND(N($J1167)*N($R1167),0))</f>
        <v/>
      </c>
      <c r="T1167" s="26">
        <f>IF($D1167="","",IF($K1167&lt;&gt;"对外销售","",ROUND($Q1167-$S1167,0)))</f>
        <v/>
      </c>
      <c r="U1167" s="17" t="n"/>
      <c r="V1167" s="17" t="n"/>
      <c r="W1167" s="24">
        <f>IF($D1167="","",IF($E1167="※编码不在物料档案里","※物料编码不在档案里",IF(N($J1167)&lt;=0,"※出库数量要大于 0",IF($K1167="","※没填去向类型",IF($L1167="","※没填去向矿区",IF(AND($C1167&lt;&gt;"",$C1167&lt;=结账锁),"※日期早于已结账截止日，不能再录",IF(AND($K1167="自用消耗",COUNTIF({"一矿区";"二矿区"},$L1167)=0),"※自用消耗的去向只能是一矿区或二矿区",IF(AND($K1167="对外销售",COUNTIF({"三矿区";"六矿区"},$L1167)=0),"※对外销售的去向只能是三矿区或六矿区",IF(AND($K1167="对外销售",ROUND($Q1167,0)=0),"※外销却没有售价，请填实际售价",IF(AND($K1167="对外销售",$T1167&lt;&gt;"",$T1167&lt;0),"※这一笔外销是亏的，请核对售价",IF(IFERROR(VLOOKUP($D1167,库存台账!$A$5:$Y$1204,24,0),0)&lt;-0.001,"※这个物料账面已经变成负数了，查一下是不是漏记入库","")))))))))))</f>
        <v/>
      </c>
    </row>
    <row r="1168">
      <c r="A1168" s="24">
        <f>IF($D1168="","",COUNTA($D$4:$D1168))</f>
        <v/>
      </c>
      <c r="B1168" s="17" t="n"/>
      <c r="C1168" s="30" t="n"/>
      <c r="D1168" s="17" t="n"/>
      <c r="E1168" s="24">
        <f>IF($D1168="","",IFERROR(VLOOKUP($D1168,物料档案!$A$4:$P$1203,3,0),"※编码不在物料档案里"))</f>
        <v/>
      </c>
      <c r="F1168" s="24">
        <f>IF($D1168="","",IFERROR(VLOOKUP($D1168,物料档案!$A$4:$P$1203,4,0),"※编码不在物料档案里"))</f>
        <v/>
      </c>
      <c r="G1168" s="24">
        <f>IF($D1168="","",IFERROR(VLOOKUP($D1168,物料档案!$A$4:$P$1203,5,0),"※编码不在物料档案里"))</f>
        <v/>
      </c>
      <c r="H1168" s="24">
        <f>IF($D1168="","",IFERROR(VLOOKUP($D1168,物料档案!$A$4:$P$1203,2,0),"※编码不在物料档案里"))</f>
        <v/>
      </c>
      <c r="I1168" s="24">
        <f>IF($D1168="","",IFERROR(VLOOKUP($D1168,物料档案!$A$4:$P$1203,6,0),"※编码不在物料档案里"))</f>
        <v/>
      </c>
      <c r="J1168" s="23" t="n"/>
      <c r="K1168" s="17" t="n"/>
      <c r="L1168" s="17" t="n"/>
      <c r="M1168" s="17" t="n"/>
      <c r="N1168" s="17" t="n"/>
      <c r="O1168" s="26">
        <f>IF($D1168="","",IFERROR(VLOOKUP($D1168,物料档案!$A$4:$P$1203,10,0),0))</f>
        <v/>
      </c>
      <c r="P1168" s="32" t="n"/>
      <c r="Q1168" s="26">
        <f>IF($D1168="","",IF($K1168&lt;&gt;"对外销售",0,ROUND(N($J1168)*IF($P1168="",N($O1168),N($P1168)),0)))</f>
        <v/>
      </c>
      <c r="R1168" s="26">
        <f>IF($D1168="","",IFERROR(VLOOKUP($D1168,库存台账!$A$5:$Y$1204,11,0),0))</f>
        <v/>
      </c>
      <c r="S1168" s="26">
        <f>IF($D1168="","",ROUND(N($J1168)*N($R1168),0))</f>
        <v/>
      </c>
      <c r="T1168" s="26">
        <f>IF($D1168="","",IF($K1168&lt;&gt;"对外销售","",ROUND($Q1168-$S1168,0)))</f>
        <v/>
      </c>
      <c r="U1168" s="17" t="n"/>
      <c r="V1168" s="17" t="n"/>
      <c r="W1168" s="24">
        <f>IF($D1168="","",IF($E1168="※编码不在物料档案里","※物料编码不在档案里",IF(N($J1168)&lt;=0,"※出库数量要大于 0",IF($K1168="","※没填去向类型",IF($L1168="","※没填去向矿区",IF(AND($C1168&lt;&gt;"",$C1168&lt;=结账锁),"※日期早于已结账截止日，不能再录",IF(AND($K1168="自用消耗",COUNTIF({"一矿区";"二矿区"},$L1168)=0),"※自用消耗的去向只能是一矿区或二矿区",IF(AND($K1168="对外销售",COUNTIF({"三矿区";"六矿区"},$L1168)=0),"※对外销售的去向只能是三矿区或六矿区",IF(AND($K1168="对外销售",ROUND($Q1168,0)=0),"※外销却没有售价，请填实际售价",IF(AND($K1168="对外销售",$T1168&lt;&gt;"",$T1168&lt;0),"※这一笔外销是亏的，请核对售价",IF(IFERROR(VLOOKUP($D1168,库存台账!$A$5:$Y$1204,24,0),0)&lt;-0.001,"※这个物料账面已经变成负数了，查一下是不是漏记入库","")))))))))))</f>
        <v/>
      </c>
    </row>
    <row r="1169">
      <c r="A1169" s="24">
        <f>IF($D1169="","",COUNTA($D$4:$D1169))</f>
        <v/>
      </c>
      <c r="B1169" s="17" t="n"/>
      <c r="C1169" s="30" t="n"/>
      <c r="D1169" s="17" t="n"/>
      <c r="E1169" s="24">
        <f>IF($D1169="","",IFERROR(VLOOKUP($D1169,物料档案!$A$4:$P$1203,3,0),"※编码不在物料档案里"))</f>
        <v/>
      </c>
      <c r="F1169" s="24">
        <f>IF($D1169="","",IFERROR(VLOOKUP($D1169,物料档案!$A$4:$P$1203,4,0),"※编码不在物料档案里"))</f>
        <v/>
      </c>
      <c r="G1169" s="24">
        <f>IF($D1169="","",IFERROR(VLOOKUP($D1169,物料档案!$A$4:$P$1203,5,0),"※编码不在物料档案里"))</f>
        <v/>
      </c>
      <c r="H1169" s="24">
        <f>IF($D1169="","",IFERROR(VLOOKUP($D1169,物料档案!$A$4:$P$1203,2,0),"※编码不在物料档案里"))</f>
        <v/>
      </c>
      <c r="I1169" s="24">
        <f>IF($D1169="","",IFERROR(VLOOKUP($D1169,物料档案!$A$4:$P$1203,6,0),"※编码不在物料档案里"))</f>
        <v/>
      </c>
      <c r="J1169" s="23" t="n"/>
      <c r="K1169" s="17" t="n"/>
      <c r="L1169" s="17" t="n"/>
      <c r="M1169" s="17" t="n"/>
      <c r="N1169" s="17" t="n"/>
      <c r="O1169" s="26">
        <f>IF($D1169="","",IFERROR(VLOOKUP($D1169,物料档案!$A$4:$P$1203,10,0),0))</f>
        <v/>
      </c>
      <c r="P1169" s="32" t="n"/>
      <c r="Q1169" s="26">
        <f>IF($D1169="","",IF($K1169&lt;&gt;"对外销售",0,ROUND(N($J1169)*IF($P1169="",N($O1169),N($P1169)),0)))</f>
        <v/>
      </c>
      <c r="R1169" s="26">
        <f>IF($D1169="","",IFERROR(VLOOKUP($D1169,库存台账!$A$5:$Y$1204,11,0),0))</f>
        <v/>
      </c>
      <c r="S1169" s="26">
        <f>IF($D1169="","",ROUND(N($J1169)*N($R1169),0))</f>
        <v/>
      </c>
      <c r="T1169" s="26">
        <f>IF($D1169="","",IF($K1169&lt;&gt;"对外销售","",ROUND($Q1169-$S1169,0)))</f>
        <v/>
      </c>
      <c r="U1169" s="17" t="n"/>
      <c r="V1169" s="17" t="n"/>
      <c r="W1169" s="24">
        <f>IF($D1169="","",IF($E1169="※编码不在物料档案里","※物料编码不在档案里",IF(N($J1169)&lt;=0,"※出库数量要大于 0",IF($K1169="","※没填去向类型",IF($L1169="","※没填去向矿区",IF(AND($C1169&lt;&gt;"",$C1169&lt;=结账锁),"※日期早于已结账截止日，不能再录",IF(AND($K1169="自用消耗",COUNTIF({"一矿区";"二矿区"},$L1169)=0),"※自用消耗的去向只能是一矿区或二矿区",IF(AND($K1169="对外销售",COUNTIF({"三矿区";"六矿区"},$L1169)=0),"※对外销售的去向只能是三矿区或六矿区",IF(AND($K1169="对外销售",ROUND($Q1169,0)=0),"※外销却没有售价，请填实际售价",IF(AND($K1169="对外销售",$T1169&lt;&gt;"",$T1169&lt;0),"※这一笔外销是亏的，请核对售价",IF(IFERROR(VLOOKUP($D1169,库存台账!$A$5:$Y$1204,24,0),0)&lt;-0.001,"※这个物料账面已经变成负数了，查一下是不是漏记入库","")))))))))))</f>
        <v/>
      </c>
    </row>
    <row r="1170">
      <c r="A1170" s="24">
        <f>IF($D1170="","",COUNTA($D$4:$D1170))</f>
        <v/>
      </c>
      <c r="B1170" s="17" t="n"/>
      <c r="C1170" s="30" t="n"/>
      <c r="D1170" s="17" t="n"/>
      <c r="E1170" s="24">
        <f>IF($D1170="","",IFERROR(VLOOKUP($D1170,物料档案!$A$4:$P$1203,3,0),"※编码不在物料档案里"))</f>
        <v/>
      </c>
      <c r="F1170" s="24">
        <f>IF($D1170="","",IFERROR(VLOOKUP($D1170,物料档案!$A$4:$P$1203,4,0),"※编码不在物料档案里"))</f>
        <v/>
      </c>
      <c r="G1170" s="24">
        <f>IF($D1170="","",IFERROR(VLOOKUP($D1170,物料档案!$A$4:$P$1203,5,0),"※编码不在物料档案里"))</f>
        <v/>
      </c>
      <c r="H1170" s="24">
        <f>IF($D1170="","",IFERROR(VLOOKUP($D1170,物料档案!$A$4:$P$1203,2,0),"※编码不在物料档案里"))</f>
        <v/>
      </c>
      <c r="I1170" s="24">
        <f>IF($D1170="","",IFERROR(VLOOKUP($D1170,物料档案!$A$4:$P$1203,6,0),"※编码不在物料档案里"))</f>
        <v/>
      </c>
      <c r="J1170" s="23" t="n"/>
      <c r="K1170" s="17" t="n"/>
      <c r="L1170" s="17" t="n"/>
      <c r="M1170" s="17" t="n"/>
      <c r="N1170" s="17" t="n"/>
      <c r="O1170" s="26">
        <f>IF($D1170="","",IFERROR(VLOOKUP($D1170,物料档案!$A$4:$P$1203,10,0),0))</f>
        <v/>
      </c>
      <c r="P1170" s="32" t="n"/>
      <c r="Q1170" s="26">
        <f>IF($D1170="","",IF($K1170&lt;&gt;"对外销售",0,ROUND(N($J1170)*IF($P1170="",N($O1170),N($P1170)),0)))</f>
        <v/>
      </c>
      <c r="R1170" s="26">
        <f>IF($D1170="","",IFERROR(VLOOKUP($D1170,库存台账!$A$5:$Y$1204,11,0),0))</f>
        <v/>
      </c>
      <c r="S1170" s="26">
        <f>IF($D1170="","",ROUND(N($J1170)*N($R1170),0))</f>
        <v/>
      </c>
      <c r="T1170" s="26">
        <f>IF($D1170="","",IF($K1170&lt;&gt;"对外销售","",ROUND($Q1170-$S1170,0)))</f>
        <v/>
      </c>
      <c r="U1170" s="17" t="n"/>
      <c r="V1170" s="17" t="n"/>
      <c r="W1170" s="24">
        <f>IF($D1170="","",IF($E1170="※编码不在物料档案里","※物料编码不在档案里",IF(N($J1170)&lt;=0,"※出库数量要大于 0",IF($K1170="","※没填去向类型",IF($L1170="","※没填去向矿区",IF(AND($C1170&lt;&gt;"",$C1170&lt;=结账锁),"※日期早于已结账截止日，不能再录",IF(AND($K1170="自用消耗",COUNTIF({"一矿区";"二矿区"},$L1170)=0),"※自用消耗的去向只能是一矿区或二矿区",IF(AND($K1170="对外销售",COUNTIF({"三矿区";"六矿区"},$L1170)=0),"※对外销售的去向只能是三矿区或六矿区",IF(AND($K1170="对外销售",ROUND($Q1170,0)=0),"※外销却没有售价，请填实际售价",IF(AND($K1170="对外销售",$T1170&lt;&gt;"",$T1170&lt;0),"※这一笔外销是亏的，请核对售价",IF(IFERROR(VLOOKUP($D1170,库存台账!$A$5:$Y$1204,24,0),0)&lt;-0.001,"※这个物料账面已经变成负数了，查一下是不是漏记入库","")))))))))))</f>
        <v/>
      </c>
    </row>
    <row r="1171">
      <c r="A1171" s="24">
        <f>IF($D1171="","",COUNTA($D$4:$D1171))</f>
        <v/>
      </c>
      <c r="B1171" s="17" t="n"/>
      <c r="C1171" s="30" t="n"/>
      <c r="D1171" s="17" t="n"/>
      <c r="E1171" s="24">
        <f>IF($D1171="","",IFERROR(VLOOKUP($D1171,物料档案!$A$4:$P$1203,3,0),"※编码不在物料档案里"))</f>
        <v/>
      </c>
      <c r="F1171" s="24">
        <f>IF($D1171="","",IFERROR(VLOOKUP($D1171,物料档案!$A$4:$P$1203,4,0),"※编码不在物料档案里"))</f>
        <v/>
      </c>
      <c r="G1171" s="24">
        <f>IF($D1171="","",IFERROR(VLOOKUP($D1171,物料档案!$A$4:$P$1203,5,0),"※编码不在物料档案里"))</f>
        <v/>
      </c>
      <c r="H1171" s="24">
        <f>IF($D1171="","",IFERROR(VLOOKUP($D1171,物料档案!$A$4:$P$1203,2,0),"※编码不在物料档案里"))</f>
        <v/>
      </c>
      <c r="I1171" s="24">
        <f>IF($D1171="","",IFERROR(VLOOKUP($D1171,物料档案!$A$4:$P$1203,6,0),"※编码不在物料档案里"))</f>
        <v/>
      </c>
      <c r="J1171" s="23" t="n"/>
      <c r="K1171" s="17" t="n"/>
      <c r="L1171" s="17" t="n"/>
      <c r="M1171" s="17" t="n"/>
      <c r="N1171" s="17" t="n"/>
      <c r="O1171" s="26">
        <f>IF($D1171="","",IFERROR(VLOOKUP($D1171,物料档案!$A$4:$P$1203,10,0),0))</f>
        <v/>
      </c>
      <c r="P1171" s="32" t="n"/>
      <c r="Q1171" s="26">
        <f>IF($D1171="","",IF($K1171&lt;&gt;"对外销售",0,ROUND(N($J1171)*IF($P1171="",N($O1171),N($P1171)),0)))</f>
        <v/>
      </c>
      <c r="R1171" s="26">
        <f>IF($D1171="","",IFERROR(VLOOKUP($D1171,库存台账!$A$5:$Y$1204,11,0),0))</f>
        <v/>
      </c>
      <c r="S1171" s="26">
        <f>IF($D1171="","",ROUND(N($J1171)*N($R1171),0))</f>
        <v/>
      </c>
      <c r="T1171" s="26">
        <f>IF($D1171="","",IF($K1171&lt;&gt;"对外销售","",ROUND($Q1171-$S1171,0)))</f>
        <v/>
      </c>
      <c r="U1171" s="17" t="n"/>
      <c r="V1171" s="17" t="n"/>
      <c r="W1171" s="24">
        <f>IF($D1171="","",IF($E1171="※编码不在物料档案里","※物料编码不在档案里",IF(N($J1171)&lt;=0,"※出库数量要大于 0",IF($K1171="","※没填去向类型",IF($L1171="","※没填去向矿区",IF(AND($C1171&lt;&gt;"",$C1171&lt;=结账锁),"※日期早于已结账截止日，不能再录",IF(AND($K1171="自用消耗",COUNTIF({"一矿区";"二矿区"},$L1171)=0),"※自用消耗的去向只能是一矿区或二矿区",IF(AND($K1171="对外销售",COUNTIF({"三矿区";"六矿区"},$L1171)=0),"※对外销售的去向只能是三矿区或六矿区",IF(AND($K1171="对外销售",ROUND($Q1171,0)=0),"※外销却没有售价，请填实际售价",IF(AND($K1171="对外销售",$T1171&lt;&gt;"",$T1171&lt;0),"※这一笔外销是亏的，请核对售价",IF(IFERROR(VLOOKUP($D1171,库存台账!$A$5:$Y$1204,24,0),0)&lt;-0.001,"※这个物料账面已经变成负数了，查一下是不是漏记入库","")))))))))))</f>
        <v/>
      </c>
    </row>
    <row r="1172">
      <c r="A1172" s="24">
        <f>IF($D1172="","",COUNTA($D$4:$D1172))</f>
        <v/>
      </c>
      <c r="B1172" s="17" t="n"/>
      <c r="C1172" s="30" t="n"/>
      <c r="D1172" s="17" t="n"/>
      <c r="E1172" s="24">
        <f>IF($D1172="","",IFERROR(VLOOKUP($D1172,物料档案!$A$4:$P$1203,3,0),"※编码不在物料档案里"))</f>
        <v/>
      </c>
      <c r="F1172" s="24">
        <f>IF($D1172="","",IFERROR(VLOOKUP($D1172,物料档案!$A$4:$P$1203,4,0),"※编码不在物料档案里"))</f>
        <v/>
      </c>
      <c r="G1172" s="24">
        <f>IF($D1172="","",IFERROR(VLOOKUP($D1172,物料档案!$A$4:$P$1203,5,0),"※编码不在物料档案里"))</f>
        <v/>
      </c>
      <c r="H1172" s="24">
        <f>IF($D1172="","",IFERROR(VLOOKUP($D1172,物料档案!$A$4:$P$1203,2,0),"※编码不在物料档案里"))</f>
        <v/>
      </c>
      <c r="I1172" s="24">
        <f>IF($D1172="","",IFERROR(VLOOKUP($D1172,物料档案!$A$4:$P$1203,6,0),"※编码不在物料档案里"))</f>
        <v/>
      </c>
      <c r="J1172" s="23" t="n"/>
      <c r="K1172" s="17" t="n"/>
      <c r="L1172" s="17" t="n"/>
      <c r="M1172" s="17" t="n"/>
      <c r="N1172" s="17" t="n"/>
      <c r="O1172" s="26">
        <f>IF($D1172="","",IFERROR(VLOOKUP($D1172,物料档案!$A$4:$P$1203,10,0),0))</f>
        <v/>
      </c>
      <c r="P1172" s="32" t="n"/>
      <c r="Q1172" s="26">
        <f>IF($D1172="","",IF($K1172&lt;&gt;"对外销售",0,ROUND(N($J1172)*IF($P1172="",N($O1172),N($P1172)),0)))</f>
        <v/>
      </c>
      <c r="R1172" s="26">
        <f>IF($D1172="","",IFERROR(VLOOKUP($D1172,库存台账!$A$5:$Y$1204,11,0),0))</f>
        <v/>
      </c>
      <c r="S1172" s="26">
        <f>IF($D1172="","",ROUND(N($J1172)*N($R1172),0))</f>
        <v/>
      </c>
      <c r="T1172" s="26">
        <f>IF($D1172="","",IF($K1172&lt;&gt;"对外销售","",ROUND($Q1172-$S1172,0)))</f>
        <v/>
      </c>
      <c r="U1172" s="17" t="n"/>
      <c r="V1172" s="17" t="n"/>
      <c r="W1172" s="24">
        <f>IF($D1172="","",IF($E1172="※编码不在物料档案里","※物料编码不在档案里",IF(N($J1172)&lt;=0,"※出库数量要大于 0",IF($K1172="","※没填去向类型",IF($L1172="","※没填去向矿区",IF(AND($C1172&lt;&gt;"",$C1172&lt;=结账锁),"※日期早于已结账截止日，不能再录",IF(AND($K1172="自用消耗",COUNTIF({"一矿区";"二矿区"},$L1172)=0),"※自用消耗的去向只能是一矿区或二矿区",IF(AND($K1172="对外销售",COUNTIF({"三矿区";"六矿区"},$L1172)=0),"※对外销售的去向只能是三矿区或六矿区",IF(AND($K1172="对外销售",ROUND($Q1172,0)=0),"※外销却没有售价，请填实际售价",IF(AND($K1172="对外销售",$T1172&lt;&gt;"",$T1172&lt;0),"※这一笔外销是亏的，请核对售价",IF(IFERROR(VLOOKUP($D1172,库存台账!$A$5:$Y$1204,24,0),0)&lt;-0.001,"※这个物料账面已经变成负数了，查一下是不是漏记入库","")))))))))))</f>
        <v/>
      </c>
    </row>
    <row r="1173">
      <c r="A1173" s="24">
        <f>IF($D1173="","",COUNTA($D$4:$D1173))</f>
        <v/>
      </c>
      <c r="B1173" s="17" t="n"/>
      <c r="C1173" s="30" t="n"/>
      <c r="D1173" s="17" t="n"/>
      <c r="E1173" s="24">
        <f>IF($D1173="","",IFERROR(VLOOKUP($D1173,物料档案!$A$4:$P$1203,3,0),"※编码不在物料档案里"))</f>
        <v/>
      </c>
      <c r="F1173" s="24">
        <f>IF($D1173="","",IFERROR(VLOOKUP($D1173,物料档案!$A$4:$P$1203,4,0),"※编码不在物料档案里"))</f>
        <v/>
      </c>
      <c r="G1173" s="24">
        <f>IF($D1173="","",IFERROR(VLOOKUP($D1173,物料档案!$A$4:$P$1203,5,0),"※编码不在物料档案里"))</f>
        <v/>
      </c>
      <c r="H1173" s="24">
        <f>IF($D1173="","",IFERROR(VLOOKUP($D1173,物料档案!$A$4:$P$1203,2,0),"※编码不在物料档案里"))</f>
        <v/>
      </c>
      <c r="I1173" s="24">
        <f>IF($D1173="","",IFERROR(VLOOKUP($D1173,物料档案!$A$4:$P$1203,6,0),"※编码不在物料档案里"))</f>
        <v/>
      </c>
      <c r="J1173" s="23" t="n"/>
      <c r="K1173" s="17" t="n"/>
      <c r="L1173" s="17" t="n"/>
      <c r="M1173" s="17" t="n"/>
      <c r="N1173" s="17" t="n"/>
      <c r="O1173" s="26">
        <f>IF($D1173="","",IFERROR(VLOOKUP($D1173,物料档案!$A$4:$P$1203,10,0),0))</f>
        <v/>
      </c>
      <c r="P1173" s="32" t="n"/>
      <c r="Q1173" s="26">
        <f>IF($D1173="","",IF($K1173&lt;&gt;"对外销售",0,ROUND(N($J1173)*IF($P1173="",N($O1173),N($P1173)),0)))</f>
        <v/>
      </c>
      <c r="R1173" s="26">
        <f>IF($D1173="","",IFERROR(VLOOKUP($D1173,库存台账!$A$5:$Y$1204,11,0),0))</f>
        <v/>
      </c>
      <c r="S1173" s="26">
        <f>IF($D1173="","",ROUND(N($J1173)*N($R1173),0))</f>
        <v/>
      </c>
      <c r="T1173" s="26">
        <f>IF($D1173="","",IF($K1173&lt;&gt;"对外销售","",ROUND($Q1173-$S1173,0)))</f>
        <v/>
      </c>
      <c r="U1173" s="17" t="n"/>
      <c r="V1173" s="17" t="n"/>
      <c r="W1173" s="24">
        <f>IF($D1173="","",IF($E1173="※编码不在物料档案里","※物料编码不在档案里",IF(N($J1173)&lt;=0,"※出库数量要大于 0",IF($K1173="","※没填去向类型",IF($L1173="","※没填去向矿区",IF(AND($C1173&lt;&gt;"",$C1173&lt;=结账锁),"※日期早于已结账截止日，不能再录",IF(AND($K1173="自用消耗",COUNTIF({"一矿区";"二矿区"},$L1173)=0),"※自用消耗的去向只能是一矿区或二矿区",IF(AND($K1173="对外销售",COUNTIF({"三矿区";"六矿区"},$L1173)=0),"※对外销售的去向只能是三矿区或六矿区",IF(AND($K1173="对外销售",ROUND($Q1173,0)=0),"※外销却没有售价，请填实际售价",IF(AND($K1173="对外销售",$T1173&lt;&gt;"",$T1173&lt;0),"※这一笔外销是亏的，请核对售价",IF(IFERROR(VLOOKUP($D1173,库存台账!$A$5:$Y$1204,24,0),0)&lt;-0.001,"※这个物料账面已经变成负数了，查一下是不是漏记入库","")))))))))))</f>
        <v/>
      </c>
    </row>
    <row r="1174">
      <c r="A1174" s="24">
        <f>IF($D1174="","",COUNTA($D$4:$D1174))</f>
        <v/>
      </c>
      <c r="B1174" s="17" t="n"/>
      <c r="C1174" s="30" t="n"/>
      <c r="D1174" s="17" t="n"/>
      <c r="E1174" s="24">
        <f>IF($D1174="","",IFERROR(VLOOKUP($D1174,物料档案!$A$4:$P$1203,3,0),"※编码不在物料档案里"))</f>
        <v/>
      </c>
      <c r="F1174" s="24">
        <f>IF($D1174="","",IFERROR(VLOOKUP($D1174,物料档案!$A$4:$P$1203,4,0),"※编码不在物料档案里"))</f>
        <v/>
      </c>
      <c r="G1174" s="24">
        <f>IF($D1174="","",IFERROR(VLOOKUP($D1174,物料档案!$A$4:$P$1203,5,0),"※编码不在物料档案里"))</f>
        <v/>
      </c>
      <c r="H1174" s="24">
        <f>IF($D1174="","",IFERROR(VLOOKUP($D1174,物料档案!$A$4:$P$1203,2,0),"※编码不在物料档案里"))</f>
        <v/>
      </c>
      <c r="I1174" s="24">
        <f>IF($D1174="","",IFERROR(VLOOKUP($D1174,物料档案!$A$4:$P$1203,6,0),"※编码不在物料档案里"))</f>
        <v/>
      </c>
      <c r="J1174" s="23" t="n"/>
      <c r="K1174" s="17" t="n"/>
      <c r="L1174" s="17" t="n"/>
      <c r="M1174" s="17" t="n"/>
      <c r="N1174" s="17" t="n"/>
      <c r="O1174" s="26">
        <f>IF($D1174="","",IFERROR(VLOOKUP($D1174,物料档案!$A$4:$P$1203,10,0),0))</f>
        <v/>
      </c>
      <c r="P1174" s="32" t="n"/>
      <c r="Q1174" s="26">
        <f>IF($D1174="","",IF($K1174&lt;&gt;"对外销售",0,ROUND(N($J1174)*IF($P1174="",N($O1174),N($P1174)),0)))</f>
        <v/>
      </c>
      <c r="R1174" s="26">
        <f>IF($D1174="","",IFERROR(VLOOKUP($D1174,库存台账!$A$5:$Y$1204,11,0),0))</f>
        <v/>
      </c>
      <c r="S1174" s="26">
        <f>IF($D1174="","",ROUND(N($J1174)*N($R1174),0))</f>
        <v/>
      </c>
      <c r="T1174" s="26">
        <f>IF($D1174="","",IF($K1174&lt;&gt;"对外销售","",ROUND($Q1174-$S1174,0)))</f>
        <v/>
      </c>
      <c r="U1174" s="17" t="n"/>
      <c r="V1174" s="17" t="n"/>
      <c r="W1174" s="24">
        <f>IF($D1174="","",IF($E1174="※编码不在物料档案里","※物料编码不在档案里",IF(N($J1174)&lt;=0,"※出库数量要大于 0",IF($K1174="","※没填去向类型",IF($L1174="","※没填去向矿区",IF(AND($C1174&lt;&gt;"",$C1174&lt;=结账锁),"※日期早于已结账截止日，不能再录",IF(AND($K1174="自用消耗",COUNTIF({"一矿区";"二矿区"},$L1174)=0),"※自用消耗的去向只能是一矿区或二矿区",IF(AND($K1174="对外销售",COUNTIF({"三矿区";"六矿区"},$L1174)=0),"※对外销售的去向只能是三矿区或六矿区",IF(AND($K1174="对外销售",ROUND($Q1174,0)=0),"※外销却没有售价，请填实际售价",IF(AND($K1174="对外销售",$T1174&lt;&gt;"",$T1174&lt;0),"※这一笔外销是亏的，请核对售价",IF(IFERROR(VLOOKUP($D1174,库存台账!$A$5:$Y$1204,24,0),0)&lt;-0.001,"※这个物料账面已经变成负数了，查一下是不是漏记入库","")))))))))))</f>
        <v/>
      </c>
    </row>
    <row r="1175">
      <c r="A1175" s="24">
        <f>IF($D1175="","",COUNTA($D$4:$D1175))</f>
        <v/>
      </c>
      <c r="B1175" s="17" t="n"/>
      <c r="C1175" s="30" t="n"/>
      <c r="D1175" s="17" t="n"/>
      <c r="E1175" s="24">
        <f>IF($D1175="","",IFERROR(VLOOKUP($D1175,物料档案!$A$4:$P$1203,3,0),"※编码不在物料档案里"))</f>
        <v/>
      </c>
      <c r="F1175" s="24">
        <f>IF($D1175="","",IFERROR(VLOOKUP($D1175,物料档案!$A$4:$P$1203,4,0),"※编码不在物料档案里"))</f>
        <v/>
      </c>
      <c r="G1175" s="24">
        <f>IF($D1175="","",IFERROR(VLOOKUP($D1175,物料档案!$A$4:$P$1203,5,0),"※编码不在物料档案里"))</f>
        <v/>
      </c>
      <c r="H1175" s="24">
        <f>IF($D1175="","",IFERROR(VLOOKUP($D1175,物料档案!$A$4:$P$1203,2,0),"※编码不在物料档案里"))</f>
        <v/>
      </c>
      <c r="I1175" s="24">
        <f>IF($D1175="","",IFERROR(VLOOKUP($D1175,物料档案!$A$4:$P$1203,6,0),"※编码不在物料档案里"))</f>
        <v/>
      </c>
      <c r="J1175" s="23" t="n"/>
      <c r="K1175" s="17" t="n"/>
      <c r="L1175" s="17" t="n"/>
      <c r="M1175" s="17" t="n"/>
      <c r="N1175" s="17" t="n"/>
      <c r="O1175" s="26">
        <f>IF($D1175="","",IFERROR(VLOOKUP($D1175,物料档案!$A$4:$P$1203,10,0),0))</f>
        <v/>
      </c>
      <c r="P1175" s="32" t="n"/>
      <c r="Q1175" s="26">
        <f>IF($D1175="","",IF($K1175&lt;&gt;"对外销售",0,ROUND(N($J1175)*IF($P1175="",N($O1175),N($P1175)),0)))</f>
        <v/>
      </c>
      <c r="R1175" s="26">
        <f>IF($D1175="","",IFERROR(VLOOKUP($D1175,库存台账!$A$5:$Y$1204,11,0),0))</f>
        <v/>
      </c>
      <c r="S1175" s="26">
        <f>IF($D1175="","",ROUND(N($J1175)*N($R1175),0))</f>
        <v/>
      </c>
      <c r="T1175" s="26">
        <f>IF($D1175="","",IF($K1175&lt;&gt;"对外销售","",ROUND($Q1175-$S1175,0)))</f>
        <v/>
      </c>
      <c r="U1175" s="17" t="n"/>
      <c r="V1175" s="17" t="n"/>
      <c r="W1175" s="24">
        <f>IF($D1175="","",IF($E1175="※编码不在物料档案里","※物料编码不在档案里",IF(N($J1175)&lt;=0,"※出库数量要大于 0",IF($K1175="","※没填去向类型",IF($L1175="","※没填去向矿区",IF(AND($C1175&lt;&gt;"",$C1175&lt;=结账锁),"※日期早于已结账截止日，不能再录",IF(AND($K1175="自用消耗",COUNTIF({"一矿区";"二矿区"},$L1175)=0),"※自用消耗的去向只能是一矿区或二矿区",IF(AND($K1175="对外销售",COUNTIF({"三矿区";"六矿区"},$L1175)=0),"※对外销售的去向只能是三矿区或六矿区",IF(AND($K1175="对外销售",ROUND($Q1175,0)=0),"※外销却没有售价，请填实际售价",IF(AND($K1175="对外销售",$T1175&lt;&gt;"",$T1175&lt;0),"※这一笔外销是亏的，请核对售价",IF(IFERROR(VLOOKUP($D1175,库存台账!$A$5:$Y$1204,24,0),0)&lt;-0.001,"※这个物料账面已经变成负数了，查一下是不是漏记入库","")))))))))))</f>
        <v/>
      </c>
    </row>
    <row r="1176">
      <c r="A1176" s="24">
        <f>IF($D1176="","",COUNTA($D$4:$D1176))</f>
        <v/>
      </c>
      <c r="B1176" s="17" t="n"/>
      <c r="C1176" s="30" t="n"/>
      <c r="D1176" s="17" t="n"/>
      <c r="E1176" s="24">
        <f>IF($D1176="","",IFERROR(VLOOKUP($D1176,物料档案!$A$4:$P$1203,3,0),"※编码不在物料档案里"))</f>
        <v/>
      </c>
      <c r="F1176" s="24">
        <f>IF($D1176="","",IFERROR(VLOOKUP($D1176,物料档案!$A$4:$P$1203,4,0),"※编码不在物料档案里"))</f>
        <v/>
      </c>
      <c r="G1176" s="24">
        <f>IF($D1176="","",IFERROR(VLOOKUP($D1176,物料档案!$A$4:$P$1203,5,0),"※编码不在物料档案里"))</f>
        <v/>
      </c>
      <c r="H1176" s="24">
        <f>IF($D1176="","",IFERROR(VLOOKUP($D1176,物料档案!$A$4:$P$1203,2,0),"※编码不在物料档案里"))</f>
        <v/>
      </c>
      <c r="I1176" s="24">
        <f>IF($D1176="","",IFERROR(VLOOKUP($D1176,物料档案!$A$4:$P$1203,6,0),"※编码不在物料档案里"))</f>
        <v/>
      </c>
      <c r="J1176" s="23" t="n"/>
      <c r="K1176" s="17" t="n"/>
      <c r="L1176" s="17" t="n"/>
      <c r="M1176" s="17" t="n"/>
      <c r="N1176" s="17" t="n"/>
      <c r="O1176" s="26">
        <f>IF($D1176="","",IFERROR(VLOOKUP($D1176,物料档案!$A$4:$P$1203,10,0),0))</f>
        <v/>
      </c>
      <c r="P1176" s="32" t="n"/>
      <c r="Q1176" s="26">
        <f>IF($D1176="","",IF($K1176&lt;&gt;"对外销售",0,ROUND(N($J1176)*IF($P1176="",N($O1176),N($P1176)),0)))</f>
        <v/>
      </c>
      <c r="R1176" s="26">
        <f>IF($D1176="","",IFERROR(VLOOKUP($D1176,库存台账!$A$5:$Y$1204,11,0),0))</f>
        <v/>
      </c>
      <c r="S1176" s="26">
        <f>IF($D1176="","",ROUND(N($J1176)*N($R1176),0))</f>
        <v/>
      </c>
      <c r="T1176" s="26">
        <f>IF($D1176="","",IF($K1176&lt;&gt;"对外销售","",ROUND($Q1176-$S1176,0)))</f>
        <v/>
      </c>
      <c r="U1176" s="17" t="n"/>
      <c r="V1176" s="17" t="n"/>
      <c r="W1176" s="24">
        <f>IF($D1176="","",IF($E1176="※编码不在物料档案里","※物料编码不在档案里",IF(N($J1176)&lt;=0,"※出库数量要大于 0",IF($K1176="","※没填去向类型",IF($L1176="","※没填去向矿区",IF(AND($C1176&lt;&gt;"",$C1176&lt;=结账锁),"※日期早于已结账截止日，不能再录",IF(AND($K1176="自用消耗",COUNTIF({"一矿区";"二矿区"},$L1176)=0),"※自用消耗的去向只能是一矿区或二矿区",IF(AND($K1176="对外销售",COUNTIF({"三矿区";"六矿区"},$L1176)=0),"※对外销售的去向只能是三矿区或六矿区",IF(AND($K1176="对外销售",ROUND($Q1176,0)=0),"※外销却没有售价，请填实际售价",IF(AND($K1176="对外销售",$T1176&lt;&gt;"",$T1176&lt;0),"※这一笔外销是亏的，请核对售价",IF(IFERROR(VLOOKUP($D1176,库存台账!$A$5:$Y$1204,24,0),0)&lt;-0.001,"※这个物料账面已经变成负数了，查一下是不是漏记入库","")))))))))))</f>
        <v/>
      </c>
    </row>
    <row r="1177">
      <c r="A1177" s="24">
        <f>IF($D1177="","",COUNTA($D$4:$D1177))</f>
        <v/>
      </c>
      <c r="B1177" s="17" t="n"/>
      <c r="C1177" s="30" t="n"/>
      <c r="D1177" s="17" t="n"/>
      <c r="E1177" s="24">
        <f>IF($D1177="","",IFERROR(VLOOKUP($D1177,物料档案!$A$4:$P$1203,3,0),"※编码不在物料档案里"))</f>
        <v/>
      </c>
      <c r="F1177" s="24">
        <f>IF($D1177="","",IFERROR(VLOOKUP($D1177,物料档案!$A$4:$P$1203,4,0),"※编码不在物料档案里"))</f>
        <v/>
      </c>
      <c r="G1177" s="24">
        <f>IF($D1177="","",IFERROR(VLOOKUP($D1177,物料档案!$A$4:$P$1203,5,0),"※编码不在物料档案里"))</f>
        <v/>
      </c>
      <c r="H1177" s="24">
        <f>IF($D1177="","",IFERROR(VLOOKUP($D1177,物料档案!$A$4:$P$1203,2,0),"※编码不在物料档案里"))</f>
        <v/>
      </c>
      <c r="I1177" s="24">
        <f>IF($D1177="","",IFERROR(VLOOKUP($D1177,物料档案!$A$4:$P$1203,6,0),"※编码不在物料档案里"))</f>
        <v/>
      </c>
      <c r="J1177" s="23" t="n"/>
      <c r="K1177" s="17" t="n"/>
      <c r="L1177" s="17" t="n"/>
      <c r="M1177" s="17" t="n"/>
      <c r="N1177" s="17" t="n"/>
      <c r="O1177" s="26">
        <f>IF($D1177="","",IFERROR(VLOOKUP($D1177,物料档案!$A$4:$P$1203,10,0),0))</f>
        <v/>
      </c>
      <c r="P1177" s="32" t="n"/>
      <c r="Q1177" s="26">
        <f>IF($D1177="","",IF($K1177&lt;&gt;"对外销售",0,ROUND(N($J1177)*IF($P1177="",N($O1177),N($P1177)),0)))</f>
        <v/>
      </c>
      <c r="R1177" s="26">
        <f>IF($D1177="","",IFERROR(VLOOKUP($D1177,库存台账!$A$5:$Y$1204,11,0),0))</f>
        <v/>
      </c>
      <c r="S1177" s="26">
        <f>IF($D1177="","",ROUND(N($J1177)*N($R1177),0))</f>
        <v/>
      </c>
      <c r="T1177" s="26">
        <f>IF($D1177="","",IF($K1177&lt;&gt;"对外销售","",ROUND($Q1177-$S1177,0)))</f>
        <v/>
      </c>
      <c r="U1177" s="17" t="n"/>
      <c r="V1177" s="17" t="n"/>
      <c r="W1177" s="24">
        <f>IF($D1177="","",IF($E1177="※编码不在物料档案里","※物料编码不在档案里",IF(N($J1177)&lt;=0,"※出库数量要大于 0",IF($K1177="","※没填去向类型",IF($L1177="","※没填去向矿区",IF(AND($C1177&lt;&gt;"",$C1177&lt;=结账锁),"※日期早于已结账截止日，不能再录",IF(AND($K1177="自用消耗",COUNTIF({"一矿区";"二矿区"},$L1177)=0),"※自用消耗的去向只能是一矿区或二矿区",IF(AND($K1177="对外销售",COUNTIF({"三矿区";"六矿区"},$L1177)=0),"※对外销售的去向只能是三矿区或六矿区",IF(AND($K1177="对外销售",ROUND($Q1177,0)=0),"※外销却没有售价，请填实际售价",IF(AND($K1177="对外销售",$T1177&lt;&gt;"",$T1177&lt;0),"※这一笔外销是亏的，请核对售价",IF(IFERROR(VLOOKUP($D1177,库存台账!$A$5:$Y$1204,24,0),0)&lt;-0.001,"※这个物料账面已经变成负数了，查一下是不是漏记入库","")))))))))))</f>
        <v/>
      </c>
    </row>
    <row r="1178">
      <c r="A1178" s="24">
        <f>IF($D1178="","",COUNTA($D$4:$D1178))</f>
        <v/>
      </c>
      <c r="B1178" s="17" t="n"/>
      <c r="C1178" s="30" t="n"/>
      <c r="D1178" s="17" t="n"/>
      <c r="E1178" s="24">
        <f>IF($D1178="","",IFERROR(VLOOKUP($D1178,物料档案!$A$4:$P$1203,3,0),"※编码不在物料档案里"))</f>
        <v/>
      </c>
      <c r="F1178" s="24">
        <f>IF($D1178="","",IFERROR(VLOOKUP($D1178,物料档案!$A$4:$P$1203,4,0),"※编码不在物料档案里"))</f>
        <v/>
      </c>
      <c r="G1178" s="24">
        <f>IF($D1178="","",IFERROR(VLOOKUP($D1178,物料档案!$A$4:$P$1203,5,0),"※编码不在物料档案里"))</f>
        <v/>
      </c>
      <c r="H1178" s="24">
        <f>IF($D1178="","",IFERROR(VLOOKUP($D1178,物料档案!$A$4:$P$1203,2,0),"※编码不在物料档案里"))</f>
        <v/>
      </c>
      <c r="I1178" s="24">
        <f>IF($D1178="","",IFERROR(VLOOKUP($D1178,物料档案!$A$4:$P$1203,6,0),"※编码不在物料档案里"))</f>
        <v/>
      </c>
      <c r="J1178" s="23" t="n"/>
      <c r="K1178" s="17" t="n"/>
      <c r="L1178" s="17" t="n"/>
      <c r="M1178" s="17" t="n"/>
      <c r="N1178" s="17" t="n"/>
      <c r="O1178" s="26">
        <f>IF($D1178="","",IFERROR(VLOOKUP($D1178,物料档案!$A$4:$P$1203,10,0),0))</f>
        <v/>
      </c>
      <c r="P1178" s="32" t="n"/>
      <c r="Q1178" s="26">
        <f>IF($D1178="","",IF($K1178&lt;&gt;"对外销售",0,ROUND(N($J1178)*IF($P1178="",N($O1178),N($P1178)),0)))</f>
        <v/>
      </c>
      <c r="R1178" s="26">
        <f>IF($D1178="","",IFERROR(VLOOKUP($D1178,库存台账!$A$5:$Y$1204,11,0),0))</f>
        <v/>
      </c>
      <c r="S1178" s="26">
        <f>IF($D1178="","",ROUND(N($J1178)*N($R1178),0))</f>
        <v/>
      </c>
      <c r="T1178" s="26">
        <f>IF($D1178="","",IF($K1178&lt;&gt;"对外销售","",ROUND($Q1178-$S1178,0)))</f>
        <v/>
      </c>
      <c r="U1178" s="17" t="n"/>
      <c r="V1178" s="17" t="n"/>
      <c r="W1178" s="24">
        <f>IF($D1178="","",IF($E1178="※编码不在物料档案里","※物料编码不在档案里",IF(N($J1178)&lt;=0,"※出库数量要大于 0",IF($K1178="","※没填去向类型",IF($L1178="","※没填去向矿区",IF(AND($C1178&lt;&gt;"",$C1178&lt;=结账锁),"※日期早于已结账截止日，不能再录",IF(AND($K1178="自用消耗",COUNTIF({"一矿区";"二矿区"},$L1178)=0),"※自用消耗的去向只能是一矿区或二矿区",IF(AND($K1178="对外销售",COUNTIF({"三矿区";"六矿区"},$L1178)=0),"※对外销售的去向只能是三矿区或六矿区",IF(AND($K1178="对外销售",ROUND($Q1178,0)=0),"※外销却没有售价，请填实际售价",IF(AND($K1178="对外销售",$T1178&lt;&gt;"",$T1178&lt;0),"※这一笔外销是亏的，请核对售价",IF(IFERROR(VLOOKUP($D1178,库存台账!$A$5:$Y$1204,24,0),0)&lt;-0.001,"※这个物料账面已经变成负数了，查一下是不是漏记入库","")))))))))))</f>
        <v/>
      </c>
    </row>
    <row r="1179">
      <c r="A1179" s="24">
        <f>IF($D1179="","",COUNTA($D$4:$D1179))</f>
        <v/>
      </c>
      <c r="B1179" s="17" t="n"/>
      <c r="C1179" s="30" t="n"/>
      <c r="D1179" s="17" t="n"/>
      <c r="E1179" s="24">
        <f>IF($D1179="","",IFERROR(VLOOKUP($D1179,物料档案!$A$4:$P$1203,3,0),"※编码不在物料档案里"))</f>
        <v/>
      </c>
      <c r="F1179" s="24">
        <f>IF($D1179="","",IFERROR(VLOOKUP($D1179,物料档案!$A$4:$P$1203,4,0),"※编码不在物料档案里"))</f>
        <v/>
      </c>
      <c r="G1179" s="24">
        <f>IF($D1179="","",IFERROR(VLOOKUP($D1179,物料档案!$A$4:$P$1203,5,0),"※编码不在物料档案里"))</f>
        <v/>
      </c>
      <c r="H1179" s="24">
        <f>IF($D1179="","",IFERROR(VLOOKUP($D1179,物料档案!$A$4:$P$1203,2,0),"※编码不在物料档案里"))</f>
        <v/>
      </c>
      <c r="I1179" s="24">
        <f>IF($D1179="","",IFERROR(VLOOKUP($D1179,物料档案!$A$4:$P$1203,6,0),"※编码不在物料档案里"))</f>
        <v/>
      </c>
      <c r="J1179" s="23" t="n"/>
      <c r="K1179" s="17" t="n"/>
      <c r="L1179" s="17" t="n"/>
      <c r="M1179" s="17" t="n"/>
      <c r="N1179" s="17" t="n"/>
      <c r="O1179" s="26">
        <f>IF($D1179="","",IFERROR(VLOOKUP($D1179,物料档案!$A$4:$P$1203,10,0),0))</f>
        <v/>
      </c>
      <c r="P1179" s="32" t="n"/>
      <c r="Q1179" s="26">
        <f>IF($D1179="","",IF($K1179&lt;&gt;"对外销售",0,ROUND(N($J1179)*IF($P1179="",N($O1179),N($P1179)),0)))</f>
        <v/>
      </c>
      <c r="R1179" s="26">
        <f>IF($D1179="","",IFERROR(VLOOKUP($D1179,库存台账!$A$5:$Y$1204,11,0),0))</f>
        <v/>
      </c>
      <c r="S1179" s="26">
        <f>IF($D1179="","",ROUND(N($J1179)*N($R1179),0))</f>
        <v/>
      </c>
      <c r="T1179" s="26">
        <f>IF($D1179="","",IF($K1179&lt;&gt;"对外销售","",ROUND($Q1179-$S1179,0)))</f>
        <v/>
      </c>
      <c r="U1179" s="17" t="n"/>
      <c r="V1179" s="17" t="n"/>
      <c r="W1179" s="24">
        <f>IF($D1179="","",IF($E1179="※编码不在物料档案里","※物料编码不在档案里",IF(N($J1179)&lt;=0,"※出库数量要大于 0",IF($K1179="","※没填去向类型",IF($L1179="","※没填去向矿区",IF(AND($C1179&lt;&gt;"",$C1179&lt;=结账锁),"※日期早于已结账截止日，不能再录",IF(AND($K1179="自用消耗",COUNTIF({"一矿区";"二矿区"},$L1179)=0),"※自用消耗的去向只能是一矿区或二矿区",IF(AND($K1179="对外销售",COUNTIF({"三矿区";"六矿区"},$L1179)=0),"※对外销售的去向只能是三矿区或六矿区",IF(AND($K1179="对外销售",ROUND($Q1179,0)=0),"※外销却没有售价，请填实际售价",IF(AND($K1179="对外销售",$T1179&lt;&gt;"",$T1179&lt;0),"※这一笔外销是亏的，请核对售价",IF(IFERROR(VLOOKUP($D1179,库存台账!$A$5:$Y$1204,24,0),0)&lt;-0.001,"※这个物料账面已经变成负数了，查一下是不是漏记入库","")))))))))))</f>
        <v/>
      </c>
    </row>
    <row r="1180">
      <c r="A1180" s="24">
        <f>IF($D1180="","",COUNTA($D$4:$D1180))</f>
        <v/>
      </c>
      <c r="B1180" s="17" t="n"/>
      <c r="C1180" s="30" t="n"/>
      <c r="D1180" s="17" t="n"/>
      <c r="E1180" s="24">
        <f>IF($D1180="","",IFERROR(VLOOKUP($D1180,物料档案!$A$4:$P$1203,3,0),"※编码不在物料档案里"))</f>
        <v/>
      </c>
      <c r="F1180" s="24">
        <f>IF($D1180="","",IFERROR(VLOOKUP($D1180,物料档案!$A$4:$P$1203,4,0),"※编码不在物料档案里"))</f>
        <v/>
      </c>
      <c r="G1180" s="24">
        <f>IF($D1180="","",IFERROR(VLOOKUP($D1180,物料档案!$A$4:$P$1203,5,0),"※编码不在物料档案里"))</f>
        <v/>
      </c>
      <c r="H1180" s="24">
        <f>IF($D1180="","",IFERROR(VLOOKUP($D1180,物料档案!$A$4:$P$1203,2,0),"※编码不在物料档案里"))</f>
        <v/>
      </c>
      <c r="I1180" s="24">
        <f>IF($D1180="","",IFERROR(VLOOKUP($D1180,物料档案!$A$4:$P$1203,6,0),"※编码不在物料档案里"))</f>
        <v/>
      </c>
      <c r="J1180" s="23" t="n"/>
      <c r="K1180" s="17" t="n"/>
      <c r="L1180" s="17" t="n"/>
      <c r="M1180" s="17" t="n"/>
      <c r="N1180" s="17" t="n"/>
      <c r="O1180" s="26">
        <f>IF($D1180="","",IFERROR(VLOOKUP($D1180,物料档案!$A$4:$P$1203,10,0),0))</f>
        <v/>
      </c>
      <c r="P1180" s="32" t="n"/>
      <c r="Q1180" s="26">
        <f>IF($D1180="","",IF($K1180&lt;&gt;"对外销售",0,ROUND(N($J1180)*IF($P1180="",N($O1180),N($P1180)),0)))</f>
        <v/>
      </c>
      <c r="R1180" s="26">
        <f>IF($D1180="","",IFERROR(VLOOKUP($D1180,库存台账!$A$5:$Y$1204,11,0),0))</f>
        <v/>
      </c>
      <c r="S1180" s="26">
        <f>IF($D1180="","",ROUND(N($J1180)*N($R1180),0))</f>
        <v/>
      </c>
      <c r="T1180" s="26">
        <f>IF($D1180="","",IF($K1180&lt;&gt;"对外销售","",ROUND($Q1180-$S1180,0)))</f>
        <v/>
      </c>
      <c r="U1180" s="17" t="n"/>
      <c r="V1180" s="17" t="n"/>
      <c r="W1180" s="24">
        <f>IF($D1180="","",IF($E1180="※编码不在物料档案里","※物料编码不在档案里",IF(N($J1180)&lt;=0,"※出库数量要大于 0",IF($K1180="","※没填去向类型",IF($L1180="","※没填去向矿区",IF(AND($C1180&lt;&gt;"",$C1180&lt;=结账锁),"※日期早于已结账截止日，不能再录",IF(AND($K1180="自用消耗",COUNTIF({"一矿区";"二矿区"},$L1180)=0),"※自用消耗的去向只能是一矿区或二矿区",IF(AND($K1180="对外销售",COUNTIF({"三矿区";"六矿区"},$L1180)=0),"※对外销售的去向只能是三矿区或六矿区",IF(AND($K1180="对外销售",ROUND($Q1180,0)=0),"※外销却没有售价，请填实际售价",IF(AND($K1180="对外销售",$T1180&lt;&gt;"",$T1180&lt;0),"※这一笔外销是亏的，请核对售价",IF(IFERROR(VLOOKUP($D1180,库存台账!$A$5:$Y$1204,24,0),0)&lt;-0.001,"※这个物料账面已经变成负数了，查一下是不是漏记入库","")))))))))))</f>
        <v/>
      </c>
    </row>
    <row r="1181">
      <c r="A1181" s="24">
        <f>IF($D1181="","",COUNTA($D$4:$D1181))</f>
        <v/>
      </c>
      <c r="B1181" s="17" t="n"/>
      <c r="C1181" s="30" t="n"/>
      <c r="D1181" s="17" t="n"/>
      <c r="E1181" s="24">
        <f>IF($D1181="","",IFERROR(VLOOKUP($D1181,物料档案!$A$4:$P$1203,3,0),"※编码不在物料档案里"))</f>
        <v/>
      </c>
      <c r="F1181" s="24">
        <f>IF($D1181="","",IFERROR(VLOOKUP($D1181,物料档案!$A$4:$P$1203,4,0),"※编码不在物料档案里"))</f>
        <v/>
      </c>
      <c r="G1181" s="24">
        <f>IF($D1181="","",IFERROR(VLOOKUP($D1181,物料档案!$A$4:$P$1203,5,0),"※编码不在物料档案里"))</f>
        <v/>
      </c>
      <c r="H1181" s="24">
        <f>IF($D1181="","",IFERROR(VLOOKUP($D1181,物料档案!$A$4:$P$1203,2,0),"※编码不在物料档案里"))</f>
        <v/>
      </c>
      <c r="I1181" s="24">
        <f>IF($D1181="","",IFERROR(VLOOKUP($D1181,物料档案!$A$4:$P$1203,6,0),"※编码不在物料档案里"))</f>
        <v/>
      </c>
      <c r="J1181" s="23" t="n"/>
      <c r="K1181" s="17" t="n"/>
      <c r="L1181" s="17" t="n"/>
      <c r="M1181" s="17" t="n"/>
      <c r="N1181" s="17" t="n"/>
      <c r="O1181" s="26">
        <f>IF($D1181="","",IFERROR(VLOOKUP($D1181,物料档案!$A$4:$P$1203,10,0),0))</f>
        <v/>
      </c>
      <c r="P1181" s="32" t="n"/>
      <c r="Q1181" s="26">
        <f>IF($D1181="","",IF($K1181&lt;&gt;"对外销售",0,ROUND(N($J1181)*IF($P1181="",N($O1181),N($P1181)),0)))</f>
        <v/>
      </c>
      <c r="R1181" s="26">
        <f>IF($D1181="","",IFERROR(VLOOKUP($D1181,库存台账!$A$5:$Y$1204,11,0),0))</f>
        <v/>
      </c>
      <c r="S1181" s="26">
        <f>IF($D1181="","",ROUND(N($J1181)*N($R1181),0))</f>
        <v/>
      </c>
      <c r="T1181" s="26">
        <f>IF($D1181="","",IF($K1181&lt;&gt;"对外销售","",ROUND($Q1181-$S1181,0)))</f>
        <v/>
      </c>
      <c r="U1181" s="17" t="n"/>
      <c r="V1181" s="17" t="n"/>
      <c r="W1181" s="24">
        <f>IF($D1181="","",IF($E1181="※编码不在物料档案里","※物料编码不在档案里",IF(N($J1181)&lt;=0,"※出库数量要大于 0",IF($K1181="","※没填去向类型",IF($L1181="","※没填去向矿区",IF(AND($C1181&lt;&gt;"",$C1181&lt;=结账锁),"※日期早于已结账截止日，不能再录",IF(AND($K1181="自用消耗",COUNTIF({"一矿区";"二矿区"},$L1181)=0),"※自用消耗的去向只能是一矿区或二矿区",IF(AND($K1181="对外销售",COUNTIF({"三矿区";"六矿区"},$L1181)=0),"※对外销售的去向只能是三矿区或六矿区",IF(AND($K1181="对外销售",ROUND($Q1181,0)=0),"※外销却没有售价，请填实际售价",IF(AND($K1181="对外销售",$T1181&lt;&gt;"",$T1181&lt;0),"※这一笔外销是亏的，请核对售价",IF(IFERROR(VLOOKUP($D1181,库存台账!$A$5:$Y$1204,24,0),0)&lt;-0.001,"※这个物料账面已经变成负数了，查一下是不是漏记入库","")))))))))))</f>
        <v/>
      </c>
    </row>
    <row r="1182">
      <c r="A1182" s="24">
        <f>IF($D1182="","",COUNTA($D$4:$D1182))</f>
        <v/>
      </c>
      <c r="B1182" s="17" t="n"/>
      <c r="C1182" s="30" t="n"/>
      <c r="D1182" s="17" t="n"/>
      <c r="E1182" s="24">
        <f>IF($D1182="","",IFERROR(VLOOKUP($D1182,物料档案!$A$4:$P$1203,3,0),"※编码不在物料档案里"))</f>
        <v/>
      </c>
      <c r="F1182" s="24">
        <f>IF($D1182="","",IFERROR(VLOOKUP($D1182,物料档案!$A$4:$P$1203,4,0),"※编码不在物料档案里"))</f>
        <v/>
      </c>
      <c r="G1182" s="24">
        <f>IF($D1182="","",IFERROR(VLOOKUP($D1182,物料档案!$A$4:$P$1203,5,0),"※编码不在物料档案里"))</f>
        <v/>
      </c>
      <c r="H1182" s="24">
        <f>IF($D1182="","",IFERROR(VLOOKUP($D1182,物料档案!$A$4:$P$1203,2,0),"※编码不在物料档案里"))</f>
        <v/>
      </c>
      <c r="I1182" s="24">
        <f>IF($D1182="","",IFERROR(VLOOKUP($D1182,物料档案!$A$4:$P$1203,6,0),"※编码不在物料档案里"))</f>
        <v/>
      </c>
      <c r="J1182" s="23" t="n"/>
      <c r="K1182" s="17" t="n"/>
      <c r="L1182" s="17" t="n"/>
      <c r="M1182" s="17" t="n"/>
      <c r="N1182" s="17" t="n"/>
      <c r="O1182" s="26">
        <f>IF($D1182="","",IFERROR(VLOOKUP($D1182,物料档案!$A$4:$P$1203,10,0),0))</f>
        <v/>
      </c>
      <c r="P1182" s="32" t="n"/>
      <c r="Q1182" s="26">
        <f>IF($D1182="","",IF($K1182&lt;&gt;"对外销售",0,ROUND(N($J1182)*IF($P1182="",N($O1182),N($P1182)),0)))</f>
        <v/>
      </c>
      <c r="R1182" s="26">
        <f>IF($D1182="","",IFERROR(VLOOKUP($D1182,库存台账!$A$5:$Y$1204,11,0),0))</f>
        <v/>
      </c>
      <c r="S1182" s="26">
        <f>IF($D1182="","",ROUND(N($J1182)*N($R1182),0))</f>
        <v/>
      </c>
      <c r="T1182" s="26">
        <f>IF($D1182="","",IF($K1182&lt;&gt;"对外销售","",ROUND($Q1182-$S1182,0)))</f>
        <v/>
      </c>
      <c r="U1182" s="17" t="n"/>
      <c r="V1182" s="17" t="n"/>
      <c r="W1182" s="24">
        <f>IF($D1182="","",IF($E1182="※编码不在物料档案里","※物料编码不在档案里",IF(N($J1182)&lt;=0,"※出库数量要大于 0",IF($K1182="","※没填去向类型",IF($L1182="","※没填去向矿区",IF(AND($C1182&lt;&gt;"",$C1182&lt;=结账锁),"※日期早于已结账截止日，不能再录",IF(AND($K1182="自用消耗",COUNTIF({"一矿区";"二矿区"},$L1182)=0),"※自用消耗的去向只能是一矿区或二矿区",IF(AND($K1182="对外销售",COUNTIF({"三矿区";"六矿区"},$L1182)=0),"※对外销售的去向只能是三矿区或六矿区",IF(AND($K1182="对外销售",ROUND($Q1182,0)=0),"※外销却没有售价，请填实际售价",IF(AND($K1182="对外销售",$T1182&lt;&gt;"",$T1182&lt;0),"※这一笔外销是亏的，请核对售价",IF(IFERROR(VLOOKUP($D1182,库存台账!$A$5:$Y$1204,24,0),0)&lt;-0.001,"※这个物料账面已经变成负数了，查一下是不是漏记入库","")))))))))))</f>
        <v/>
      </c>
    </row>
    <row r="1183">
      <c r="A1183" s="24">
        <f>IF($D1183="","",COUNTA($D$4:$D1183))</f>
        <v/>
      </c>
      <c r="B1183" s="17" t="n"/>
      <c r="C1183" s="30" t="n"/>
      <c r="D1183" s="17" t="n"/>
      <c r="E1183" s="24">
        <f>IF($D1183="","",IFERROR(VLOOKUP($D1183,物料档案!$A$4:$P$1203,3,0),"※编码不在物料档案里"))</f>
        <v/>
      </c>
      <c r="F1183" s="24">
        <f>IF($D1183="","",IFERROR(VLOOKUP($D1183,物料档案!$A$4:$P$1203,4,0),"※编码不在物料档案里"))</f>
        <v/>
      </c>
      <c r="G1183" s="24">
        <f>IF($D1183="","",IFERROR(VLOOKUP($D1183,物料档案!$A$4:$P$1203,5,0),"※编码不在物料档案里"))</f>
        <v/>
      </c>
      <c r="H1183" s="24">
        <f>IF($D1183="","",IFERROR(VLOOKUP($D1183,物料档案!$A$4:$P$1203,2,0),"※编码不在物料档案里"))</f>
        <v/>
      </c>
      <c r="I1183" s="24">
        <f>IF($D1183="","",IFERROR(VLOOKUP($D1183,物料档案!$A$4:$P$1203,6,0),"※编码不在物料档案里"))</f>
        <v/>
      </c>
      <c r="J1183" s="23" t="n"/>
      <c r="K1183" s="17" t="n"/>
      <c r="L1183" s="17" t="n"/>
      <c r="M1183" s="17" t="n"/>
      <c r="N1183" s="17" t="n"/>
      <c r="O1183" s="26">
        <f>IF($D1183="","",IFERROR(VLOOKUP($D1183,物料档案!$A$4:$P$1203,10,0),0))</f>
        <v/>
      </c>
      <c r="P1183" s="32" t="n"/>
      <c r="Q1183" s="26">
        <f>IF($D1183="","",IF($K1183&lt;&gt;"对外销售",0,ROUND(N($J1183)*IF($P1183="",N($O1183),N($P1183)),0)))</f>
        <v/>
      </c>
      <c r="R1183" s="26">
        <f>IF($D1183="","",IFERROR(VLOOKUP($D1183,库存台账!$A$5:$Y$1204,11,0),0))</f>
        <v/>
      </c>
      <c r="S1183" s="26">
        <f>IF($D1183="","",ROUND(N($J1183)*N($R1183),0))</f>
        <v/>
      </c>
      <c r="T1183" s="26">
        <f>IF($D1183="","",IF($K1183&lt;&gt;"对外销售","",ROUND($Q1183-$S1183,0)))</f>
        <v/>
      </c>
      <c r="U1183" s="17" t="n"/>
      <c r="V1183" s="17" t="n"/>
      <c r="W1183" s="24">
        <f>IF($D1183="","",IF($E1183="※编码不在物料档案里","※物料编码不在档案里",IF(N($J1183)&lt;=0,"※出库数量要大于 0",IF($K1183="","※没填去向类型",IF($L1183="","※没填去向矿区",IF(AND($C1183&lt;&gt;"",$C1183&lt;=结账锁),"※日期早于已结账截止日，不能再录",IF(AND($K1183="自用消耗",COUNTIF({"一矿区";"二矿区"},$L1183)=0),"※自用消耗的去向只能是一矿区或二矿区",IF(AND($K1183="对外销售",COUNTIF({"三矿区";"六矿区"},$L1183)=0),"※对外销售的去向只能是三矿区或六矿区",IF(AND($K1183="对外销售",ROUND($Q1183,0)=0),"※外销却没有售价，请填实际售价",IF(AND($K1183="对外销售",$T1183&lt;&gt;"",$T1183&lt;0),"※这一笔外销是亏的，请核对售价",IF(IFERROR(VLOOKUP($D1183,库存台账!$A$5:$Y$1204,24,0),0)&lt;-0.001,"※这个物料账面已经变成负数了，查一下是不是漏记入库","")))))))))))</f>
        <v/>
      </c>
    </row>
    <row r="1184">
      <c r="A1184" s="24">
        <f>IF($D1184="","",COUNTA($D$4:$D1184))</f>
        <v/>
      </c>
      <c r="B1184" s="17" t="n"/>
      <c r="C1184" s="30" t="n"/>
      <c r="D1184" s="17" t="n"/>
      <c r="E1184" s="24">
        <f>IF($D1184="","",IFERROR(VLOOKUP($D1184,物料档案!$A$4:$P$1203,3,0),"※编码不在物料档案里"))</f>
        <v/>
      </c>
      <c r="F1184" s="24">
        <f>IF($D1184="","",IFERROR(VLOOKUP($D1184,物料档案!$A$4:$P$1203,4,0),"※编码不在物料档案里"))</f>
        <v/>
      </c>
      <c r="G1184" s="24">
        <f>IF($D1184="","",IFERROR(VLOOKUP($D1184,物料档案!$A$4:$P$1203,5,0),"※编码不在物料档案里"))</f>
        <v/>
      </c>
      <c r="H1184" s="24">
        <f>IF($D1184="","",IFERROR(VLOOKUP($D1184,物料档案!$A$4:$P$1203,2,0),"※编码不在物料档案里"))</f>
        <v/>
      </c>
      <c r="I1184" s="24">
        <f>IF($D1184="","",IFERROR(VLOOKUP($D1184,物料档案!$A$4:$P$1203,6,0),"※编码不在物料档案里"))</f>
        <v/>
      </c>
      <c r="J1184" s="23" t="n"/>
      <c r="K1184" s="17" t="n"/>
      <c r="L1184" s="17" t="n"/>
      <c r="M1184" s="17" t="n"/>
      <c r="N1184" s="17" t="n"/>
      <c r="O1184" s="26">
        <f>IF($D1184="","",IFERROR(VLOOKUP($D1184,物料档案!$A$4:$P$1203,10,0),0))</f>
        <v/>
      </c>
      <c r="P1184" s="32" t="n"/>
      <c r="Q1184" s="26">
        <f>IF($D1184="","",IF($K1184&lt;&gt;"对外销售",0,ROUND(N($J1184)*IF($P1184="",N($O1184),N($P1184)),0)))</f>
        <v/>
      </c>
      <c r="R1184" s="26">
        <f>IF($D1184="","",IFERROR(VLOOKUP($D1184,库存台账!$A$5:$Y$1204,11,0),0))</f>
        <v/>
      </c>
      <c r="S1184" s="26">
        <f>IF($D1184="","",ROUND(N($J1184)*N($R1184),0))</f>
        <v/>
      </c>
      <c r="T1184" s="26">
        <f>IF($D1184="","",IF($K1184&lt;&gt;"对外销售","",ROUND($Q1184-$S1184,0)))</f>
        <v/>
      </c>
      <c r="U1184" s="17" t="n"/>
      <c r="V1184" s="17" t="n"/>
      <c r="W1184" s="24">
        <f>IF($D1184="","",IF($E1184="※编码不在物料档案里","※物料编码不在档案里",IF(N($J1184)&lt;=0,"※出库数量要大于 0",IF($K1184="","※没填去向类型",IF($L1184="","※没填去向矿区",IF(AND($C1184&lt;&gt;"",$C1184&lt;=结账锁),"※日期早于已结账截止日，不能再录",IF(AND($K1184="自用消耗",COUNTIF({"一矿区";"二矿区"},$L1184)=0),"※自用消耗的去向只能是一矿区或二矿区",IF(AND($K1184="对外销售",COUNTIF({"三矿区";"六矿区"},$L1184)=0),"※对外销售的去向只能是三矿区或六矿区",IF(AND($K1184="对外销售",ROUND($Q1184,0)=0),"※外销却没有售价，请填实际售价",IF(AND($K1184="对外销售",$T1184&lt;&gt;"",$T1184&lt;0),"※这一笔外销是亏的，请核对售价",IF(IFERROR(VLOOKUP($D1184,库存台账!$A$5:$Y$1204,24,0),0)&lt;-0.001,"※这个物料账面已经变成负数了，查一下是不是漏记入库","")))))))))))</f>
        <v/>
      </c>
    </row>
    <row r="1185">
      <c r="A1185" s="24">
        <f>IF($D1185="","",COUNTA($D$4:$D1185))</f>
        <v/>
      </c>
      <c r="B1185" s="17" t="n"/>
      <c r="C1185" s="30" t="n"/>
      <c r="D1185" s="17" t="n"/>
      <c r="E1185" s="24">
        <f>IF($D1185="","",IFERROR(VLOOKUP($D1185,物料档案!$A$4:$P$1203,3,0),"※编码不在物料档案里"))</f>
        <v/>
      </c>
      <c r="F1185" s="24">
        <f>IF($D1185="","",IFERROR(VLOOKUP($D1185,物料档案!$A$4:$P$1203,4,0),"※编码不在物料档案里"))</f>
        <v/>
      </c>
      <c r="G1185" s="24">
        <f>IF($D1185="","",IFERROR(VLOOKUP($D1185,物料档案!$A$4:$P$1203,5,0),"※编码不在物料档案里"))</f>
        <v/>
      </c>
      <c r="H1185" s="24">
        <f>IF($D1185="","",IFERROR(VLOOKUP($D1185,物料档案!$A$4:$P$1203,2,0),"※编码不在物料档案里"))</f>
        <v/>
      </c>
      <c r="I1185" s="24">
        <f>IF($D1185="","",IFERROR(VLOOKUP($D1185,物料档案!$A$4:$P$1203,6,0),"※编码不在物料档案里"))</f>
        <v/>
      </c>
      <c r="J1185" s="23" t="n"/>
      <c r="K1185" s="17" t="n"/>
      <c r="L1185" s="17" t="n"/>
      <c r="M1185" s="17" t="n"/>
      <c r="N1185" s="17" t="n"/>
      <c r="O1185" s="26">
        <f>IF($D1185="","",IFERROR(VLOOKUP($D1185,物料档案!$A$4:$P$1203,10,0),0))</f>
        <v/>
      </c>
      <c r="P1185" s="32" t="n"/>
      <c r="Q1185" s="26">
        <f>IF($D1185="","",IF($K1185&lt;&gt;"对外销售",0,ROUND(N($J1185)*IF($P1185="",N($O1185),N($P1185)),0)))</f>
        <v/>
      </c>
      <c r="R1185" s="26">
        <f>IF($D1185="","",IFERROR(VLOOKUP($D1185,库存台账!$A$5:$Y$1204,11,0),0))</f>
        <v/>
      </c>
      <c r="S1185" s="26">
        <f>IF($D1185="","",ROUND(N($J1185)*N($R1185),0))</f>
        <v/>
      </c>
      <c r="T1185" s="26">
        <f>IF($D1185="","",IF($K1185&lt;&gt;"对外销售","",ROUND($Q1185-$S1185,0)))</f>
        <v/>
      </c>
      <c r="U1185" s="17" t="n"/>
      <c r="V1185" s="17" t="n"/>
      <c r="W1185" s="24">
        <f>IF($D1185="","",IF($E1185="※编码不在物料档案里","※物料编码不在档案里",IF(N($J1185)&lt;=0,"※出库数量要大于 0",IF($K1185="","※没填去向类型",IF($L1185="","※没填去向矿区",IF(AND($C1185&lt;&gt;"",$C1185&lt;=结账锁),"※日期早于已结账截止日，不能再录",IF(AND($K1185="自用消耗",COUNTIF({"一矿区";"二矿区"},$L1185)=0),"※自用消耗的去向只能是一矿区或二矿区",IF(AND($K1185="对外销售",COUNTIF({"三矿区";"六矿区"},$L1185)=0),"※对外销售的去向只能是三矿区或六矿区",IF(AND($K1185="对外销售",ROUND($Q1185,0)=0),"※外销却没有售价，请填实际售价",IF(AND($K1185="对外销售",$T1185&lt;&gt;"",$T1185&lt;0),"※这一笔外销是亏的，请核对售价",IF(IFERROR(VLOOKUP($D1185,库存台账!$A$5:$Y$1204,24,0),0)&lt;-0.001,"※这个物料账面已经变成负数了，查一下是不是漏记入库","")))))))))))</f>
        <v/>
      </c>
    </row>
    <row r="1186">
      <c r="A1186" s="24">
        <f>IF($D1186="","",COUNTA($D$4:$D1186))</f>
        <v/>
      </c>
      <c r="B1186" s="17" t="n"/>
      <c r="C1186" s="30" t="n"/>
      <c r="D1186" s="17" t="n"/>
      <c r="E1186" s="24">
        <f>IF($D1186="","",IFERROR(VLOOKUP($D1186,物料档案!$A$4:$P$1203,3,0),"※编码不在物料档案里"))</f>
        <v/>
      </c>
      <c r="F1186" s="24">
        <f>IF($D1186="","",IFERROR(VLOOKUP($D1186,物料档案!$A$4:$P$1203,4,0),"※编码不在物料档案里"))</f>
        <v/>
      </c>
      <c r="G1186" s="24">
        <f>IF($D1186="","",IFERROR(VLOOKUP($D1186,物料档案!$A$4:$P$1203,5,0),"※编码不在物料档案里"))</f>
        <v/>
      </c>
      <c r="H1186" s="24">
        <f>IF($D1186="","",IFERROR(VLOOKUP($D1186,物料档案!$A$4:$P$1203,2,0),"※编码不在物料档案里"))</f>
        <v/>
      </c>
      <c r="I1186" s="24">
        <f>IF($D1186="","",IFERROR(VLOOKUP($D1186,物料档案!$A$4:$P$1203,6,0),"※编码不在物料档案里"))</f>
        <v/>
      </c>
      <c r="J1186" s="23" t="n"/>
      <c r="K1186" s="17" t="n"/>
      <c r="L1186" s="17" t="n"/>
      <c r="M1186" s="17" t="n"/>
      <c r="N1186" s="17" t="n"/>
      <c r="O1186" s="26">
        <f>IF($D1186="","",IFERROR(VLOOKUP($D1186,物料档案!$A$4:$P$1203,10,0),0))</f>
        <v/>
      </c>
      <c r="P1186" s="32" t="n"/>
      <c r="Q1186" s="26">
        <f>IF($D1186="","",IF($K1186&lt;&gt;"对外销售",0,ROUND(N($J1186)*IF($P1186="",N($O1186),N($P1186)),0)))</f>
        <v/>
      </c>
      <c r="R1186" s="26">
        <f>IF($D1186="","",IFERROR(VLOOKUP($D1186,库存台账!$A$5:$Y$1204,11,0),0))</f>
        <v/>
      </c>
      <c r="S1186" s="26">
        <f>IF($D1186="","",ROUND(N($J1186)*N($R1186),0))</f>
        <v/>
      </c>
      <c r="T1186" s="26">
        <f>IF($D1186="","",IF($K1186&lt;&gt;"对外销售","",ROUND($Q1186-$S1186,0)))</f>
        <v/>
      </c>
      <c r="U1186" s="17" t="n"/>
      <c r="V1186" s="17" t="n"/>
      <c r="W1186" s="24">
        <f>IF($D1186="","",IF($E1186="※编码不在物料档案里","※物料编码不在档案里",IF(N($J1186)&lt;=0,"※出库数量要大于 0",IF($K1186="","※没填去向类型",IF($L1186="","※没填去向矿区",IF(AND($C1186&lt;&gt;"",$C1186&lt;=结账锁),"※日期早于已结账截止日，不能再录",IF(AND($K1186="自用消耗",COUNTIF({"一矿区";"二矿区"},$L1186)=0),"※自用消耗的去向只能是一矿区或二矿区",IF(AND($K1186="对外销售",COUNTIF({"三矿区";"六矿区"},$L1186)=0),"※对外销售的去向只能是三矿区或六矿区",IF(AND($K1186="对外销售",ROUND($Q1186,0)=0),"※外销却没有售价，请填实际售价",IF(AND($K1186="对外销售",$T1186&lt;&gt;"",$T1186&lt;0),"※这一笔外销是亏的，请核对售价",IF(IFERROR(VLOOKUP($D1186,库存台账!$A$5:$Y$1204,24,0),0)&lt;-0.001,"※这个物料账面已经变成负数了，查一下是不是漏记入库","")))))))))))</f>
        <v/>
      </c>
    </row>
    <row r="1187">
      <c r="A1187" s="24">
        <f>IF($D1187="","",COUNTA($D$4:$D1187))</f>
        <v/>
      </c>
      <c r="B1187" s="17" t="n"/>
      <c r="C1187" s="30" t="n"/>
      <c r="D1187" s="17" t="n"/>
      <c r="E1187" s="24">
        <f>IF($D1187="","",IFERROR(VLOOKUP($D1187,物料档案!$A$4:$P$1203,3,0),"※编码不在物料档案里"))</f>
        <v/>
      </c>
      <c r="F1187" s="24">
        <f>IF($D1187="","",IFERROR(VLOOKUP($D1187,物料档案!$A$4:$P$1203,4,0),"※编码不在物料档案里"))</f>
        <v/>
      </c>
      <c r="G1187" s="24">
        <f>IF($D1187="","",IFERROR(VLOOKUP($D1187,物料档案!$A$4:$P$1203,5,0),"※编码不在物料档案里"))</f>
        <v/>
      </c>
      <c r="H1187" s="24">
        <f>IF($D1187="","",IFERROR(VLOOKUP($D1187,物料档案!$A$4:$P$1203,2,0),"※编码不在物料档案里"))</f>
        <v/>
      </c>
      <c r="I1187" s="24">
        <f>IF($D1187="","",IFERROR(VLOOKUP($D1187,物料档案!$A$4:$P$1203,6,0),"※编码不在物料档案里"))</f>
        <v/>
      </c>
      <c r="J1187" s="23" t="n"/>
      <c r="K1187" s="17" t="n"/>
      <c r="L1187" s="17" t="n"/>
      <c r="M1187" s="17" t="n"/>
      <c r="N1187" s="17" t="n"/>
      <c r="O1187" s="26">
        <f>IF($D1187="","",IFERROR(VLOOKUP($D1187,物料档案!$A$4:$P$1203,10,0),0))</f>
        <v/>
      </c>
      <c r="P1187" s="32" t="n"/>
      <c r="Q1187" s="26">
        <f>IF($D1187="","",IF($K1187&lt;&gt;"对外销售",0,ROUND(N($J1187)*IF($P1187="",N($O1187),N($P1187)),0)))</f>
        <v/>
      </c>
      <c r="R1187" s="26">
        <f>IF($D1187="","",IFERROR(VLOOKUP($D1187,库存台账!$A$5:$Y$1204,11,0),0))</f>
        <v/>
      </c>
      <c r="S1187" s="26">
        <f>IF($D1187="","",ROUND(N($J1187)*N($R1187),0))</f>
        <v/>
      </c>
      <c r="T1187" s="26">
        <f>IF($D1187="","",IF($K1187&lt;&gt;"对外销售","",ROUND($Q1187-$S1187,0)))</f>
        <v/>
      </c>
      <c r="U1187" s="17" t="n"/>
      <c r="V1187" s="17" t="n"/>
      <c r="W1187" s="24">
        <f>IF($D1187="","",IF($E1187="※编码不在物料档案里","※物料编码不在档案里",IF(N($J1187)&lt;=0,"※出库数量要大于 0",IF($K1187="","※没填去向类型",IF($L1187="","※没填去向矿区",IF(AND($C1187&lt;&gt;"",$C1187&lt;=结账锁),"※日期早于已结账截止日，不能再录",IF(AND($K1187="自用消耗",COUNTIF({"一矿区";"二矿区"},$L1187)=0),"※自用消耗的去向只能是一矿区或二矿区",IF(AND($K1187="对外销售",COUNTIF({"三矿区";"六矿区"},$L1187)=0),"※对外销售的去向只能是三矿区或六矿区",IF(AND($K1187="对外销售",ROUND($Q1187,0)=0),"※外销却没有售价，请填实际售价",IF(AND($K1187="对外销售",$T1187&lt;&gt;"",$T1187&lt;0),"※这一笔外销是亏的，请核对售价",IF(IFERROR(VLOOKUP($D1187,库存台账!$A$5:$Y$1204,24,0),0)&lt;-0.001,"※这个物料账面已经变成负数了，查一下是不是漏记入库","")))))))))))</f>
        <v/>
      </c>
    </row>
    <row r="1188">
      <c r="A1188" s="24">
        <f>IF($D1188="","",COUNTA($D$4:$D1188))</f>
        <v/>
      </c>
      <c r="B1188" s="17" t="n"/>
      <c r="C1188" s="30" t="n"/>
      <c r="D1188" s="17" t="n"/>
      <c r="E1188" s="24">
        <f>IF($D1188="","",IFERROR(VLOOKUP($D1188,物料档案!$A$4:$P$1203,3,0),"※编码不在物料档案里"))</f>
        <v/>
      </c>
      <c r="F1188" s="24">
        <f>IF($D1188="","",IFERROR(VLOOKUP($D1188,物料档案!$A$4:$P$1203,4,0),"※编码不在物料档案里"))</f>
        <v/>
      </c>
      <c r="G1188" s="24">
        <f>IF($D1188="","",IFERROR(VLOOKUP($D1188,物料档案!$A$4:$P$1203,5,0),"※编码不在物料档案里"))</f>
        <v/>
      </c>
      <c r="H1188" s="24">
        <f>IF($D1188="","",IFERROR(VLOOKUP($D1188,物料档案!$A$4:$P$1203,2,0),"※编码不在物料档案里"))</f>
        <v/>
      </c>
      <c r="I1188" s="24">
        <f>IF($D1188="","",IFERROR(VLOOKUP($D1188,物料档案!$A$4:$P$1203,6,0),"※编码不在物料档案里"))</f>
        <v/>
      </c>
      <c r="J1188" s="23" t="n"/>
      <c r="K1188" s="17" t="n"/>
      <c r="L1188" s="17" t="n"/>
      <c r="M1188" s="17" t="n"/>
      <c r="N1188" s="17" t="n"/>
      <c r="O1188" s="26">
        <f>IF($D1188="","",IFERROR(VLOOKUP($D1188,物料档案!$A$4:$P$1203,10,0),0))</f>
        <v/>
      </c>
      <c r="P1188" s="32" t="n"/>
      <c r="Q1188" s="26">
        <f>IF($D1188="","",IF($K1188&lt;&gt;"对外销售",0,ROUND(N($J1188)*IF($P1188="",N($O1188),N($P1188)),0)))</f>
        <v/>
      </c>
      <c r="R1188" s="26">
        <f>IF($D1188="","",IFERROR(VLOOKUP($D1188,库存台账!$A$5:$Y$1204,11,0),0))</f>
        <v/>
      </c>
      <c r="S1188" s="26">
        <f>IF($D1188="","",ROUND(N($J1188)*N($R1188),0))</f>
        <v/>
      </c>
      <c r="T1188" s="26">
        <f>IF($D1188="","",IF($K1188&lt;&gt;"对外销售","",ROUND($Q1188-$S1188,0)))</f>
        <v/>
      </c>
      <c r="U1188" s="17" t="n"/>
      <c r="V1188" s="17" t="n"/>
      <c r="W1188" s="24">
        <f>IF($D1188="","",IF($E1188="※编码不在物料档案里","※物料编码不在档案里",IF(N($J1188)&lt;=0,"※出库数量要大于 0",IF($K1188="","※没填去向类型",IF($L1188="","※没填去向矿区",IF(AND($C1188&lt;&gt;"",$C1188&lt;=结账锁),"※日期早于已结账截止日，不能再录",IF(AND($K1188="自用消耗",COUNTIF({"一矿区";"二矿区"},$L1188)=0),"※自用消耗的去向只能是一矿区或二矿区",IF(AND($K1188="对外销售",COUNTIF({"三矿区";"六矿区"},$L1188)=0),"※对外销售的去向只能是三矿区或六矿区",IF(AND($K1188="对外销售",ROUND($Q1188,0)=0),"※外销却没有售价，请填实际售价",IF(AND($K1188="对外销售",$T1188&lt;&gt;"",$T1188&lt;0),"※这一笔外销是亏的，请核对售价",IF(IFERROR(VLOOKUP($D1188,库存台账!$A$5:$Y$1204,24,0),0)&lt;-0.001,"※这个物料账面已经变成负数了，查一下是不是漏记入库","")))))))))))</f>
        <v/>
      </c>
    </row>
    <row r="1189">
      <c r="A1189" s="24">
        <f>IF($D1189="","",COUNTA($D$4:$D1189))</f>
        <v/>
      </c>
      <c r="B1189" s="17" t="n"/>
      <c r="C1189" s="30" t="n"/>
      <c r="D1189" s="17" t="n"/>
      <c r="E1189" s="24">
        <f>IF($D1189="","",IFERROR(VLOOKUP($D1189,物料档案!$A$4:$P$1203,3,0),"※编码不在物料档案里"))</f>
        <v/>
      </c>
      <c r="F1189" s="24">
        <f>IF($D1189="","",IFERROR(VLOOKUP($D1189,物料档案!$A$4:$P$1203,4,0),"※编码不在物料档案里"))</f>
        <v/>
      </c>
      <c r="G1189" s="24">
        <f>IF($D1189="","",IFERROR(VLOOKUP($D1189,物料档案!$A$4:$P$1203,5,0),"※编码不在物料档案里"))</f>
        <v/>
      </c>
      <c r="H1189" s="24">
        <f>IF($D1189="","",IFERROR(VLOOKUP($D1189,物料档案!$A$4:$P$1203,2,0),"※编码不在物料档案里"))</f>
        <v/>
      </c>
      <c r="I1189" s="24">
        <f>IF($D1189="","",IFERROR(VLOOKUP($D1189,物料档案!$A$4:$P$1203,6,0),"※编码不在物料档案里"))</f>
        <v/>
      </c>
      <c r="J1189" s="23" t="n"/>
      <c r="K1189" s="17" t="n"/>
      <c r="L1189" s="17" t="n"/>
      <c r="M1189" s="17" t="n"/>
      <c r="N1189" s="17" t="n"/>
      <c r="O1189" s="26">
        <f>IF($D1189="","",IFERROR(VLOOKUP($D1189,物料档案!$A$4:$P$1203,10,0),0))</f>
        <v/>
      </c>
      <c r="P1189" s="32" t="n"/>
      <c r="Q1189" s="26">
        <f>IF($D1189="","",IF($K1189&lt;&gt;"对外销售",0,ROUND(N($J1189)*IF($P1189="",N($O1189),N($P1189)),0)))</f>
        <v/>
      </c>
      <c r="R1189" s="26">
        <f>IF($D1189="","",IFERROR(VLOOKUP($D1189,库存台账!$A$5:$Y$1204,11,0),0))</f>
        <v/>
      </c>
      <c r="S1189" s="26">
        <f>IF($D1189="","",ROUND(N($J1189)*N($R1189),0))</f>
        <v/>
      </c>
      <c r="T1189" s="26">
        <f>IF($D1189="","",IF($K1189&lt;&gt;"对外销售","",ROUND($Q1189-$S1189,0)))</f>
        <v/>
      </c>
      <c r="U1189" s="17" t="n"/>
      <c r="V1189" s="17" t="n"/>
      <c r="W1189" s="24">
        <f>IF($D1189="","",IF($E1189="※编码不在物料档案里","※物料编码不在档案里",IF(N($J1189)&lt;=0,"※出库数量要大于 0",IF($K1189="","※没填去向类型",IF($L1189="","※没填去向矿区",IF(AND($C1189&lt;&gt;"",$C1189&lt;=结账锁),"※日期早于已结账截止日，不能再录",IF(AND($K1189="自用消耗",COUNTIF({"一矿区";"二矿区"},$L1189)=0),"※自用消耗的去向只能是一矿区或二矿区",IF(AND($K1189="对外销售",COUNTIF({"三矿区";"六矿区"},$L1189)=0),"※对外销售的去向只能是三矿区或六矿区",IF(AND($K1189="对外销售",ROUND($Q1189,0)=0),"※外销却没有售价，请填实际售价",IF(AND($K1189="对外销售",$T1189&lt;&gt;"",$T1189&lt;0),"※这一笔外销是亏的，请核对售价",IF(IFERROR(VLOOKUP($D1189,库存台账!$A$5:$Y$1204,24,0),0)&lt;-0.001,"※这个物料账面已经变成负数了，查一下是不是漏记入库","")))))))))))</f>
        <v/>
      </c>
    </row>
    <row r="1190">
      <c r="A1190" s="24">
        <f>IF($D1190="","",COUNTA($D$4:$D1190))</f>
        <v/>
      </c>
      <c r="B1190" s="17" t="n"/>
      <c r="C1190" s="30" t="n"/>
      <c r="D1190" s="17" t="n"/>
      <c r="E1190" s="24">
        <f>IF($D1190="","",IFERROR(VLOOKUP($D1190,物料档案!$A$4:$P$1203,3,0),"※编码不在物料档案里"))</f>
        <v/>
      </c>
      <c r="F1190" s="24">
        <f>IF($D1190="","",IFERROR(VLOOKUP($D1190,物料档案!$A$4:$P$1203,4,0),"※编码不在物料档案里"))</f>
        <v/>
      </c>
      <c r="G1190" s="24">
        <f>IF($D1190="","",IFERROR(VLOOKUP($D1190,物料档案!$A$4:$P$1203,5,0),"※编码不在物料档案里"))</f>
        <v/>
      </c>
      <c r="H1190" s="24">
        <f>IF($D1190="","",IFERROR(VLOOKUP($D1190,物料档案!$A$4:$P$1203,2,0),"※编码不在物料档案里"))</f>
        <v/>
      </c>
      <c r="I1190" s="24">
        <f>IF($D1190="","",IFERROR(VLOOKUP($D1190,物料档案!$A$4:$P$1203,6,0),"※编码不在物料档案里"))</f>
        <v/>
      </c>
      <c r="J1190" s="23" t="n"/>
      <c r="K1190" s="17" t="n"/>
      <c r="L1190" s="17" t="n"/>
      <c r="M1190" s="17" t="n"/>
      <c r="N1190" s="17" t="n"/>
      <c r="O1190" s="26">
        <f>IF($D1190="","",IFERROR(VLOOKUP($D1190,物料档案!$A$4:$P$1203,10,0),0))</f>
        <v/>
      </c>
      <c r="P1190" s="32" t="n"/>
      <c r="Q1190" s="26">
        <f>IF($D1190="","",IF($K1190&lt;&gt;"对外销售",0,ROUND(N($J1190)*IF($P1190="",N($O1190),N($P1190)),0)))</f>
        <v/>
      </c>
      <c r="R1190" s="26">
        <f>IF($D1190="","",IFERROR(VLOOKUP($D1190,库存台账!$A$5:$Y$1204,11,0),0))</f>
        <v/>
      </c>
      <c r="S1190" s="26">
        <f>IF($D1190="","",ROUND(N($J1190)*N($R1190),0))</f>
        <v/>
      </c>
      <c r="T1190" s="26">
        <f>IF($D1190="","",IF($K1190&lt;&gt;"对外销售","",ROUND($Q1190-$S1190,0)))</f>
        <v/>
      </c>
      <c r="U1190" s="17" t="n"/>
      <c r="V1190" s="17" t="n"/>
      <c r="W1190" s="24">
        <f>IF($D1190="","",IF($E1190="※编码不在物料档案里","※物料编码不在档案里",IF(N($J1190)&lt;=0,"※出库数量要大于 0",IF($K1190="","※没填去向类型",IF($L1190="","※没填去向矿区",IF(AND($C1190&lt;&gt;"",$C1190&lt;=结账锁),"※日期早于已结账截止日，不能再录",IF(AND($K1190="自用消耗",COUNTIF({"一矿区";"二矿区"},$L1190)=0),"※自用消耗的去向只能是一矿区或二矿区",IF(AND($K1190="对外销售",COUNTIF({"三矿区";"六矿区"},$L1190)=0),"※对外销售的去向只能是三矿区或六矿区",IF(AND($K1190="对外销售",ROUND($Q1190,0)=0),"※外销却没有售价，请填实际售价",IF(AND($K1190="对外销售",$T1190&lt;&gt;"",$T1190&lt;0),"※这一笔外销是亏的，请核对售价",IF(IFERROR(VLOOKUP($D1190,库存台账!$A$5:$Y$1204,24,0),0)&lt;-0.001,"※这个物料账面已经变成负数了，查一下是不是漏记入库","")))))))))))</f>
        <v/>
      </c>
    </row>
    <row r="1191">
      <c r="A1191" s="24">
        <f>IF($D1191="","",COUNTA($D$4:$D1191))</f>
        <v/>
      </c>
      <c r="B1191" s="17" t="n"/>
      <c r="C1191" s="30" t="n"/>
      <c r="D1191" s="17" t="n"/>
      <c r="E1191" s="24">
        <f>IF($D1191="","",IFERROR(VLOOKUP($D1191,物料档案!$A$4:$P$1203,3,0),"※编码不在物料档案里"))</f>
        <v/>
      </c>
      <c r="F1191" s="24">
        <f>IF($D1191="","",IFERROR(VLOOKUP($D1191,物料档案!$A$4:$P$1203,4,0),"※编码不在物料档案里"))</f>
        <v/>
      </c>
      <c r="G1191" s="24">
        <f>IF($D1191="","",IFERROR(VLOOKUP($D1191,物料档案!$A$4:$P$1203,5,0),"※编码不在物料档案里"))</f>
        <v/>
      </c>
      <c r="H1191" s="24">
        <f>IF($D1191="","",IFERROR(VLOOKUP($D1191,物料档案!$A$4:$P$1203,2,0),"※编码不在物料档案里"))</f>
        <v/>
      </c>
      <c r="I1191" s="24">
        <f>IF($D1191="","",IFERROR(VLOOKUP($D1191,物料档案!$A$4:$P$1203,6,0),"※编码不在物料档案里"))</f>
        <v/>
      </c>
      <c r="J1191" s="23" t="n"/>
      <c r="K1191" s="17" t="n"/>
      <c r="L1191" s="17" t="n"/>
      <c r="M1191" s="17" t="n"/>
      <c r="N1191" s="17" t="n"/>
      <c r="O1191" s="26">
        <f>IF($D1191="","",IFERROR(VLOOKUP($D1191,物料档案!$A$4:$P$1203,10,0),0))</f>
        <v/>
      </c>
      <c r="P1191" s="32" t="n"/>
      <c r="Q1191" s="26">
        <f>IF($D1191="","",IF($K1191&lt;&gt;"对外销售",0,ROUND(N($J1191)*IF($P1191="",N($O1191),N($P1191)),0)))</f>
        <v/>
      </c>
      <c r="R1191" s="26">
        <f>IF($D1191="","",IFERROR(VLOOKUP($D1191,库存台账!$A$5:$Y$1204,11,0),0))</f>
        <v/>
      </c>
      <c r="S1191" s="26">
        <f>IF($D1191="","",ROUND(N($J1191)*N($R1191),0))</f>
        <v/>
      </c>
      <c r="T1191" s="26">
        <f>IF($D1191="","",IF($K1191&lt;&gt;"对外销售","",ROUND($Q1191-$S1191,0)))</f>
        <v/>
      </c>
      <c r="U1191" s="17" t="n"/>
      <c r="V1191" s="17" t="n"/>
      <c r="W1191" s="24">
        <f>IF($D1191="","",IF($E1191="※编码不在物料档案里","※物料编码不在档案里",IF(N($J1191)&lt;=0,"※出库数量要大于 0",IF($K1191="","※没填去向类型",IF($L1191="","※没填去向矿区",IF(AND($C1191&lt;&gt;"",$C1191&lt;=结账锁),"※日期早于已结账截止日，不能再录",IF(AND($K1191="自用消耗",COUNTIF({"一矿区";"二矿区"},$L1191)=0),"※自用消耗的去向只能是一矿区或二矿区",IF(AND($K1191="对外销售",COUNTIF({"三矿区";"六矿区"},$L1191)=0),"※对外销售的去向只能是三矿区或六矿区",IF(AND($K1191="对外销售",ROUND($Q1191,0)=0),"※外销却没有售价，请填实际售价",IF(AND($K1191="对外销售",$T1191&lt;&gt;"",$T1191&lt;0),"※这一笔外销是亏的，请核对售价",IF(IFERROR(VLOOKUP($D1191,库存台账!$A$5:$Y$1204,24,0),0)&lt;-0.001,"※这个物料账面已经变成负数了，查一下是不是漏记入库","")))))))))))</f>
        <v/>
      </c>
    </row>
    <row r="1192">
      <c r="A1192" s="24">
        <f>IF($D1192="","",COUNTA($D$4:$D1192))</f>
        <v/>
      </c>
      <c r="B1192" s="17" t="n"/>
      <c r="C1192" s="30" t="n"/>
      <c r="D1192" s="17" t="n"/>
      <c r="E1192" s="24">
        <f>IF($D1192="","",IFERROR(VLOOKUP($D1192,物料档案!$A$4:$P$1203,3,0),"※编码不在物料档案里"))</f>
        <v/>
      </c>
      <c r="F1192" s="24">
        <f>IF($D1192="","",IFERROR(VLOOKUP($D1192,物料档案!$A$4:$P$1203,4,0),"※编码不在物料档案里"))</f>
        <v/>
      </c>
      <c r="G1192" s="24">
        <f>IF($D1192="","",IFERROR(VLOOKUP($D1192,物料档案!$A$4:$P$1203,5,0),"※编码不在物料档案里"))</f>
        <v/>
      </c>
      <c r="H1192" s="24">
        <f>IF($D1192="","",IFERROR(VLOOKUP($D1192,物料档案!$A$4:$P$1203,2,0),"※编码不在物料档案里"))</f>
        <v/>
      </c>
      <c r="I1192" s="24">
        <f>IF($D1192="","",IFERROR(VLOOKUP($D1192,物料档案!$A$4:$P$1203,6,0),"※编码不在物料档案里"))</f>
        <v/>
      </c>
      <c r="J1192" s="23" t="n"/>
      <c r="K1192" s="17" t="n"/>
      <c r="L1192" s="17" t="n"/>
      <c r="M1192" s="17" t="n"/>
      <c r="N1192" s="17" t="n"/>
      <c r="O1192" s="26">
        <f>IF($D1192="","",IFERROR(VLOOKUP($D1192,物料档案!$A$4:$P$1203,10,0),0))</f>
        <v/>
      </c>
      <c r="P1192" s="32" t="n"/>
      <c r="Q1192" s="26">
        <f>IF($D1192="","",IF($K1192&lt;&gt;"对外销售",0,ROUND(N($J1192)*IF($P1192="",N($O1192),N($P1192)),0)))</f>
        <v/>
      </c>
      <c r="R1192" s="26">
        <f>IF($D1192="","",IFERROR(VLOOKUP($D1192,库存台账!$A$5:$Y$1204,11,0),0))</f>
        <v/>
      </c>
      <c r="S1192" s="26">
        <f>IF($D1192="","",ROUND(N($J1192)*N($R1192),0))</f>
        <v/>
      </c>
      <c r="T1192" s="26">
        <f>IF($D1192="","",IF($K1192&lt;&gt;"对外销售","",ROUND($Q1192-$S1192,0)))</f>
        <v/>
      </c>
      <c r="U1192" s="17" t="n"/>
      <c r="V1192" s="17" t="n"/>
      <c r="W1192" s="24">
        <f>IF($D1192="","",IF($E1192="※编码不在物料档案里","※物料编码不在档案里",IF(N($J1192)&lt;=0,"※出库数量要大于 0",IF($K1192="","※没填去向类型",IF($L1192="","※没填去向矿区",IF(AND($C1192&lt;&gt;"",$C1192&lt;=结账锁),"※日期早于已结账截止日，不能再录",IF(AND($K1192="自用消耗",COUNTIF({"一矿区";"二矿区"},$L1192)=0),"※自用消耗的去向只能是一矿区或二矿区",IF(AND($K1192="对外销售",COUNTIF({"三矿区";"六矿区"},$L1192)=0),"※对外销售的去向只能是三矿区或六矿区",IF(AND($K1192="对外销售",ROUND($Q1192,0)=0),"※外销却没有售价，请填实际售价",IF(AND($K1192="对外销售",$T1192&lt;&gt;"",$T1192&lt;0),"※这一笔外销是亏的，请核对售价",IF(IFERROR(VLOOKUP($D1192,库存台账!$A$5:$Y$1204,24,0),0)&lt;-0.001,"※这个物料账面已经变成负数了，查一下是不是漏记入库","")))))))))))</f>
        <v/>
      </c>
    </row>
    <row r="1193">
      <c r="A1193" s="24">
        <f>IF($D1193="","",COUNTA($D$4:$D1193))</f>
        <v/>
      </c>
      <c r="B1193" s="17" t="n"/>
      <c r="C1193" s="30" t="n"/>
      <c r="D1193" s="17" t="n"/>
      <c r="E1193" s="24">
        <f>IF($D1193="","",IFERROR(VLOOKUP($D1193,物料档案!$A$4:$P$1203,3,0),"※编码不在物料档案里"))</f>
        <v/>
      </c>
      <c r="F1193" s="24">
        <f>IF($D1193="","",IFERROR(VLOOKUP($D1193,物料档案!$A$4:$P$1203,4,0),"※编码不在物料档案里"))</f>
        <v/>
      </c>
      <c r="G1193" s="24">
        <f>IF($D1193="","",IFERROR(VLOOKUP($D1193,物料档案!$A$4:$P$1203,5,0),"※编码不在物料档案里"))</f>
        <v/>
      </c>
      <c r="H1193" s="24">
        <f>IF($D1193="","",IFERROR(VLOOKUP($D1193,物料档案!$A$4:$P$1203,2,0),"※编码不在物料档案里"))</f>
        <v/>
      </c>
      <c r="I1193" s="24">
        <f>IF($D1193="","",IFERROR(VLOOKUP($D1193,物料档案!$A$4:$P$1203,6,0),"※编码不在物料档案里"))</f>
        <v/>
      </c>
      <c r="J1193" s="23" t="n"/>
      <c r="K1193" s="17" t="n"/>
      <c r="L1193" s="17" t="n"/>
      <c r="M1193" s="17" t="n"/>
      <c r="N1193" s="17" t="n"/>
      <c r="O1193" s="26">
        <f>IF($D1193="","",IFERROR(VLOOKUP($D1193,物料档案!$A$4:$P$1203,10,0),0))</f>
        <v/>
      </c>
      <c r="P1193" s="32" t="n"/>
      <c r="Q1193" s="26">
        <f>IF($D1193="","",IF($K1193&lt;&gt;"对外销售",0,ROUND(N($J1193)*IF($P1193="",N($O1193),N($P1193)),0)))</f>
        <v/>
      </c>
      <c r="R1193" s="26">
        <f>IF($D1193="","",IFERROR(VLOOKUP($D1193,库存台账!$A$5:$Y$1204,11,0),0))</f>
        <v/>
      </c>
      <c r="S1193" s="26">
        <f>IF($D1193="","",ROUND(N($J1193)*N($R1193),0))</f>
        <v/>
      </c>
      <c r="T1193" s="26">
        <f>IF($D1193="","",IF($K1193&lt;&gt;"对外销售","",ROUND($Q1193-$S1193,0)))</f>
        <v/>
      </c>
      <c r="U1193" s="17" t="n"/>
      <c r="V1193" s="17" t="n"/>
      <c r="W1193" s="24">
        <f>IF($D1193="","",IF($E1193="※编码不在物料档案里","※物料编码不在档案里",IF(N($J1193)&lt;=0,"※出库数量要大于 0",IF($K1193="","※没填去向类型",IF($L1193="","※没填去向矿区",IF(AND($C1193&lt;&gt;"",$C1193&lt;=结账锁),"※日期早于已结账截止日，不能再录",IF(AND($K1193="自用消耗",COUNTIF({"一矿区";"二矿区"},$L1193)=0),"※自用消耗的去向只能是一矿区或二矿区",IF(AND($K1193="对外销售",COUNTIF({"三矿区";"六矿区"},$L1193)=0),"※对外销售的去向只能是三矿区或六矿区",IF(AND($K1193="对外销售",ROUND($Q1193,0)=0),"※外销却没有售价，请填实际售价",IF(AND($K1193="对外销售",$T1193&lt;&gt;"",$T1193&lt;0),"※这一笔外销是亏的，请核对售价",IF(IFERROR(VLOOKUP($D1193,库存台账!$A$5:$Y$1204,24,0),0)&lt;-0.001,"※这个物料账面已经变成负数了，查一下是不是漏记入库","")))))))))))</f>
        <v/>
      </c>
    </row>
    <row r="1194">
      <c r="A1194" s="24">
        <f>IF($D1194="","",COUNTA($D$4:$D1194))</f>
        <v/>
      </c>
      <c r="B1194" s="17" t="n"/>
      <c r="C1194" s="30" t="n"/>
      <c r="D1194" s="17" t="n"/>
      <c r="E1194" s="24">
        <f>IF($D1194="","",IFERROR(VLOOKUP($D1194,物料档案!$A$4:$P$1203,3,0),"※编码不在物料档案里"))</f>
        <v/>
      </c>
      <c r="F1194" s="24">
        <f>IF($D1194="","",IFERROR(VLOOKUP($D1194,物料档案!$A$4:$P$1203,4,0),"※编码不在物料档案里"))</f>
        <v/>
      </c>
      <c r="G1194" s="24">
        <f>IF($D1194="","",IFERROR(VLOOKUP($D1194,物料档案!$A$4:$P$1203,5,0),"※编码不在物料档案里"))</f>
        <v/>
      </c>
      <c r="H1194" s="24">
        <f>IF($D1194="","",IFERROR(VLOOKUP($D1194,物料档案!$A$4:$P$1203,2,0),"※编码不在物料档案里"))</f>
        <v/>
      </c>
      <c r="I1194" s="24">
        <f>IF($D1194="","",IFERROR(VLOOKUP($D1194,物料档案!$A$4:$P$1203,6,0),"※编码不在物料档案里"))</f>
        <v/>
      </c>
      <c r="J1194" s="23" t="n"/>
      <c r="K1194" s="17" t="n"/>
      <c r="L1194" s="17" t="n"/>
      <c r="M1194" s="17" t="n"/>
      <c r="N1194" s="17" t="n"/>
      <c r="O1194" s="26">
        <f>IF($D1194="","",IFERROR(VLOOKUP($D1194,物料档案!$A$4:$P$1203,10,0),0))</f>
        <v/>
      </c>
      <c r="P1194" s="32" t="n"/>
      <c r="Q1194" s="26">
        <f>IF($D1194="","",IF($K1194&lt;&gt;"对外销售",0,ROUND(N($J1194)*IF($P1194="",N($O1194),N($P1194)),0)))</f>
        <v/>
      </c>
      <c r="R1194" s="26">
        <f>IF($D1194="","",IFERROR(VLOOKUP($D1194,库存台账!$A$5:$Y$1204,11,0),0))</f>
        <v/>
      </c>
      <c r="S1194" s="26">
        <f>IF($D1194="","",ROUND(N($J1194)*N($R1194),0))</f>
        <v/>
      </c>
      <c r="T1194" s="26">
        <f>IF($D1194="","",IF($K1194&lt;&gt;"对外销售","",ROUND($Q1194-$S1194,0)))</f>
        <v/>
      </c>
      <c r="U1194" s="17" t="n"/>
      <c r="V1194" s="17" t="n"/>
      <c r="W1194" s="24">
        <f>IF($D1194="","",IF($E1194="※编码不在物料档案里","※物料编码不在档案里",IF(N($J1194)&lt;=0,"※出库数量要大于 0",IF($K1194="","※没填去向类型",IF($L1194="","※没填去向矿区",IF(AND($C1194&lt;&gt;"",$C1194&lt;=结账锁),"※日期早于已结账截止日，不能再录",IF(AND($K1194="自用消耗",COUNTIF({"一矿区";"二矿区"},$L1194)=0),"※自用消耗的去向只能是一矿区或二矿区",IF(AND($K1194="对外销售",COUNTIF({"三矿区";"六矿区"},$L1194)=0),"※对外销售的去向只能是三矿区或六矿区",IF(AND($K1194="对外销售",ROUND($Q1194,0)=0),"※外销却没有售价，请填实际售价",IF(AND($K1194="对外销售",$T1194&lt;&gt;"",$T1194&lt;0),"※这一笔外销是亏的，请核对售价",IF(IFERROR(VLOOKUP($D1194,库存台账!$A$5:$Y$1204,24,0),0)&lt;-0.001,"※这个物料账面已经变成负数了，查一下是不是漏记入库","")))))))))))</f>
        <v/>
      </c>
    </row>
    <row r="1195">
      <c r="A1195" s="24">
        <f>IF($D1195="","",COUNTA($D$4:$D1195))</f>
        <v/>
      </c>
      <c r="B1195" s="17" t="n"/>
      <c r="C1195" s="30" t="n"/>
      <c r="D1195" s="17" t="n"/>
      <c r="E1195" s="24">
        <f>IF($D1195="","",IFERROR(VLOOKUP($D1195,物料档案!$A$4:$P$1203,3,0),"※编码不在物料档案里"))</f>
        <v/>
      </c>
      <c r="F1195" s="24">
        <f>IF($D1195="","",IFERROR(VLOOKUP($D1195,物料档案!$A$4:$P$1203,4,0),"※编码不在物料档案里"))</f>
        <v/>
      </c>
      <c r="G1195" s="24">
        <f>IF($D1195="","",IFERROR(VLOOKUP($D1195,物料档案!$A$4:$P$1203,5,0),"※编码不在物料档案里"))</f>
        <v/>
      </c>
      <c r="H1195" s="24">
        <f>IF($D1195="","",IFERROR(VLOOKUP($D1195,物料档案!$A$4:$P$1203,2,0),"※编码不在物料档案里"))</f>
        <v/>
      </c>
      <c r="I1195" s="24">
        <f>IF($D1195="","",IFERROR(VLOOKUP($D1195,物料档案!$A$4:$P$1203,6,0),"※编码不在物料档案里"))</f>
        <v/>
      </c>
      <c r="J1195" s="23" t="n"/>
      <c r="K1195" s="17" t="n"/>
      <c r="L1195" s="17" t="n"/>
      <c r="M1195" s="17" t="n"/>
      <c r="N1195" s="17" t="n"/>
      <c r="O1195" s="26">
        <f>IF($D1195="","",IFERROR(VLOOKUP($D1195,物料档案!$A$4:$P$1203,10,0),0))</f>
        <v/>
      </c>
      <c r="P1195" s="32" t="n"/>
      <c r="Q1195" s="26">
        <f>IF($D1195="","",IF($K1195&lt;&gt;"对外销售",0,ROUND(N($J1195)*IF($P1195="",N($O1195),N($P1195)),0)))</f>
        <v/>
      </c>
      <c r="R1195" s="26">
        <f>IF($D1195="","",IFERROR(VLOOKUP($D1195,库存台账!$A$5:$Y$1204,11,0),0))</f>
        <v/>
      </c>
      <c r="S1195" s="26">
        <f>IF($D1195="","",ROUND(N($J1195)*N($R1195),0))</f>
        <v/>
      </c>
      <c r="T1195" s="26">
        <f>IF($D1195="","",IF($K1195&lt;&gt;"对外销售","",ROUND($Q1195-$S1195,0)))</f>
        <v/>
      </c>
      <c r="U1195" s="17" t="n"/>
      <c r="V1195" s="17" t="n"/>
      <c r="W1195" s="24">
        <f>IF($D1195="","",IF($E1195="※编码不在物料档案里","※物料编码不在档案里",IF(N($J1195)&lt;=0,"※出库数量要大于 0",IF($K1195="","※没填去向类型",IF($L1195="","※没填去向矿区",IF(AND($C1195&lt;&gt;"",$C1195&lt;=结账锁),"※日期早于已结账截止日，不能再录",IF(AND($K1195="自用消耗",COUNTIF({"一矿区";"二矿区"},$L1195)=0),"※自用消耗的去向只能是一矿区或二矿区",IF(AND($K1195="对外销售",COUNTIF({"三矿区";"六矿区"},$L1195)=0),"※对外销售的去向只能是三矿区或六矿区",IF(AND($K1195="对外销售",ROUND($Q1195,0)=0),"※外销却没有售价，请填实际售价",IF(AND($K1195="对外销售",$T1195&lt;&gt;"",$T1195&lt;0),"※这一笔外销是亏的，请核对售价",IF(IFERROR(VLOOKUP($D1195,库存台账!$A$5:$Y$1204,24,0),0)&lt;-0.001,"※这个物料账面已经变成负数了，查一下是不是漏记入库","")))))))))))</f>
        <v/>
      </c>
    </row>
    <row r="1196">
      <c r="A1196" s="24">
        <f>IF($D1196="","",COUNTA($D$4:$D1196))</f>
        <v/>
      </c>
      <c r="B1196" s="17" t="n"/>
      <c r="C1196" s="30" t="n"/>
      <c r="D1196" s="17" t="n"/>
      <c r="E1196" s="24">
        <f>IF($D1196="","",IFERROR(VLOOKUP($D1196,物料档案!$A$4:$P$1203,3,0),"※编码不在物料档案里"))</f>
        <v/>
      </c>
      <c r="F1196" s="24">
        <f>IF($D1196="","",IFERROR(VLOOKUP($D1196,物料档案!$A$4:$P$1203,4,0),"※编码不在物料档案里"))</f>
        <v/>
      </c>
      <c r="G1196" s="24">
        <f>IF($D1196="","",IFERROR(VLOOKUP($D1196,物料档案!$A$4:$P$1203,5,0),"※编码不在物料档案里"))</f>
        <v/>
      </c>
      <c r="H1196" s="24">
        <f>IF($D1196="","",IFERROR(VLOOKUP($D1196,物料档案!$A$4:$P$1203,2,0),"※编码不在物料档案里"))</f>
        <v/>
      </c>
      <c r="I1196" s="24">
        <f>IF($D1196="","",IFERROR(VLOOKUP($D1196,物料档案!$A$4:$P$1203,6,0),"※编码不在物料档案里"))</f>
        <v/>
      </c>
      <c r="J1196" s="23" t="n"/>
      <c r="K1196" s="17" t="n"/>
      <c r="L1196" s="17" t="n"/>
      <c r="M1196" s="17" t="n"/>
      <c r="N1196" s="17" t="n"/>
      <c r="O1196" s="26">
        <f>IF($D1196="","",IFERROR(VLOOKUP($D1196,物料档案!$A$4:$P$1203,10,0),0))</f>
        <v/>
      </c>
      <c r="P1196" s="32" t="n"/>
      <c r="Q1196" s="26">
        <f>IF($D1196="","",IF($K1196&lt;&gt;"对外销售",0,ROUND(N($J1196)*IF($P1196="",N($O1196),N($P1196)),0)))</f>
        <v/>
      </c>
      <c r="R1196" s="26">
        <f>IF($D1196="","",IFERROR(VLOOKUP($D1196,库存台账!$A$5:$Y$1204,11,0),0))</f>
        <v/>
      </c>
      <c r="S1196" s="26">
        <f>IF($D1196="","",ROUND(N($J1196)*N($R1196),0))</f>
        <v/>
      </c>
      <c r="T1196" s="26">
        <f>IF($D1196="","",IF($K1196&lt;&gt;"对外销售","",ROUND($Q1196-$S1196,0)))</f>
        <v/>
      </c>
      <c r="U1196" s="17" t="n"/>
      <c r="V1196" s="17" t="n"/>
      <c r="W1196" s="24">
        <f>IF($D1196="","",IF($E1196="※编码不在物料档案里","※物料编码不在档案里",IF(N($J1196)&lt;=0,"※出库数量要大于 0",IF($K1196="","※没填去向类型",IF($L1196="","※没填去向矿区",IF(AND($C1196&lt;&gt;"",$C1196&lt;=结账锁),"※日期早于已结账截止日，不能再录",IF(AND($K1196="自用消耗",COUNTIF({"一矿区";"二矿区"},$L1196)=0),"※自用消耗的去向只能是一矿区或二矿区",IF(AND($K1196="对外销售",COUNTIF({"三矿区";"六矿区"},$L1196)=0),"※对外销售的去向只能是三矿区或六矿区",IF(AND($K1196="对外销售",ROUND($Q1196,0)=0),"※外销却没有售价，请填实际售价",IF(AND($K1196="对外销售",$T1196&lt;&gt;"",$T1196&lt;0),"※这一笔外销是亏的，请核对售价",IF(IFERROR(VLOOKUP($D1196,库存台账!$A$5:$Y$1204,24,0),0)&lt;-0.001,"※这个物料账面已经变成负数了，查一下是不是漏记入库","")))))))))))</f>
        <v/>
      </c>
    </row>
    <row r="1197">
      <c r="A1197" s="24">
        <f>IF($D1197="","",COUNTA($D$4:$D1197))</f>
        <v/>
      </c>
      <c r="B1197" s="17" t="n"/>
      <c r="C1197" s="30" t="n"/>
      <c r="D1197" s="17" t="n"/>
      <c r="E1197" s="24">
        <f>IF($D1197="","",IFERROR(VLOOKUP($D1197,物料档案!$A$4:$P$1203,3,0),"※编码不在物料档案里"))</f>
        <v/>
      </c>
      <c r="F1197" s="24">
        <f>IF($D1197="","",IFERROR(VLOOKUP($D1197,物料档案!$A$4:$P$1203,4,0),"※编码不在物料档案里"))</f>
        <v/>
      </c>
      <c r="G1197" s="24">
        <f>IF($D1197="","",IFERROR(VLOOKUP($D1197,物料档案!$A$4:$P$1203,5,0),"※编码不在物料档案里"))</f>
        <v/>
      </c>
      <c r="H1197" s="24">
        <f>IF($D1197="","",IFERROR(VLOOKUP($D1197,物料档案!$A$4:$P$1203,2,0),"※编码不在物料档案里"))</f>
        <v/>
      </c>
      <c r="I1197" s="24">
        <f>IF($D1197="","",IFERROR(VLOOKUP($D1197,物料档案!$A$4:$P$1203,6,0),"※编码不在物料档案里"))</f>
        <v/>
      </c>
      <c r="J1197" s="23" t="n"/>
      <c r="K1197" s="17" t="n"/>
      <c r="L1197" s="17" t="n"/>
      <c r="M1197" s="17" t="n"/>
      <c r="N1197" s="17" t="n"/>
      <c r="O1197" s="26">
        <f>IF($D1197="","",IFERROR(VLOOKUP($D1197,物料档案!$A$4:$P$1203,10,0),0))</f>
        <v/>
      </c>
      <c r="P1197" s="32" t="n"/>
      <c r="Q1197" s="26">
        <f>IF($D1197="","",IF($K1197&lt;&gt;"对外销售",0,ROUND(N($J1197)*IF($P1197="",N($O1197),N($P1197)),0)))</f>
        <v/>
      </c>
      <c r="R1197" s="26">
        <f>IF($D1197="","",IFERROR(VLOOKUP($D1197,库存台账!$A$5:$Y$1204,11,0),0))</f>
        <v/>
      </c>
      <c r="S1197" s="26">
        <f>IF($D1197="","",ROUND(N($J1197)*N($R1197),0))</f>
        <v/>
      </c>
      <c r="T1197" s="26">
        <f>IF($D1197="","",IF($K1197&lt;&gt;"对外销售","",ROUND($Q1197-$S1197,0)))</f>
        <v/>
      </c>
      <c r="U1197" s="17" t="n"/>
      <c r="V1197" s="17" t="n"/>
      <c r="W1197" s="24">
        <f>IF($D1197="","",IF($E1197="※编码不在物料档案里","※物料编码不在档案里",IF(N($J1197)&lt;=0,"※出库数量要大于 0",IF($K1197="","※没填去向类型",IF($L1197="","※没填去向矿区",IF(AND($C1197&lt;&gt;"",$C1197&lt;=结账锁),"※日期早于已结账截止日，不能再录",IF(AND($K1197="自用消耗",COUNTIF({"一矿区";"二矿区"},$L1197)=0),"※自用消耗的去向只能是一矿区或二矿区",IF(AND($K1197="对外销售",COUNTIF({"三矿区";"六矿区"},$L1197)=0),"※对外销售的去向只能是三矿区或六矿区",IF(AND($K1197="对外销售",ROUND($Q1197,0)=0),"※外销却没有售价，请填实际售价",IF(AND($K1197="对外销售",$T1197&lt;&gt;"",$T1197&lt;0),"※这一笔外销是亏的，请核对售价",IF(IFERROR(VLOOKUP($D1197,库存台账!$A$5:$Y$1204,24,0),0)&lt;-0.001,"※这个物料账面已经变成负数了，查一下是不是漏记入库","")))))))))))</f>
        <v/>
      </c>
    </row>
    <row r="1198">
      <c r="A1198" s="24">
        <f>IF($D1198="","",COUNTA($D$4:$D1198))</f>
        <v/>
      </c>
      <c r="B1198" s="17" t="n"/>
      <c r="C1198" s="30" t="n"/>
      <c r="D1198" s="17" t="n"/>
      <c r="E1198" s="24">
        <f>IF($D1198="","",IFERROR(VLOOKUP($D1198,物料档案!$A$4:$P$1203,3,0),"※编码不在物料档案里"))</f>
        <v/>
      </c>
      <c r="F1198" s="24">
        <f>IF($D1198="","",IFERROR(VLOOKUP($D1198,物料档案!$A$4:$P$1203,4,0),"※编码不在物料档案里"))</f>
        <v/>
      </c>
      <c r="G1198" s="24">
        <f>IF($D1198="","",IFERROR(VLOOKUP($D1198,物料档案!$A$4:$P$1203,5,0),"※编码不在物料档案里"))</f>
        <v/>
      </c>
      <c r="H1198" s="24">
        <f>IF($D1198="","",IFERROR(VLOOKUP($D1198,物料档案!$A$4:$P$1203,2,0),"※编码不在物料档案里"))</f>
        <v/>
      </c>
      <c r="I1198" s="24">
        <f>IF($D1198="","",IFERROR(VLOOKUP($D1198,物料档案!$A$4:$P$1203,6,0),"※编码不在物料档案里"))</f>
        <v/>
      </c>
      <c r="J1198" s="23" t="n"/>
      <c r="K1198" s="17" t="n"/>
      <c r="L1198" s="17" t="n"/>
      <c r="M1198" s="17" t="n"/>
      <c r="N1198" s="17" t="n"/>
      <c r="O1198" s="26">
        <f>IF($D1198="","",IFERROR(VLOOKUP($D1198,物料档案!$A$4:$P$1203,10,0),0))</f>
        <v/>
      </c>
      <c r="P1198" s="32" t="n"/>
      <c r="Q1198" s="26">
        <f>IF($D1198="","",IF($K1198&lt;&gt;"对外销售",0,ROUND(N($J1198)*IF($P1198="",N($O1198),N($P1198)),0)))</f>
        <v/>
      </c>
      <c r="R1198" s="26">
        <f>IF($D1198="","",IFERROR(VLOOKUP($D1198,库存台账!$A$5:$Y$1204,11,0),0))</f>
        <v/>
      </c>
      <c r="S1198" s="26">
        <f>IF($D1198="","",ROUND(N($J1198)*N($R1198),0))</f>
        <v/>
      </c>
      <c r="T1198" s="26">
        <f>IF($D1198="","",IF($K1198&lt;&gt;"对外销售","",ROUND($Q1198-$S1198,0)))</f>
        <v/>
      </c>
      <c r="U1198" s="17" t="n"/>
      <c r="V1198" s="17" t="n"/>
      <c r="W1198" s="24">
        <f>IF($D1198="","",IF($E1198="※编码不在物料档案里","※物料编码不在档案里",IF(N($J1198)&lt;=0,"※出库数量要大于 0",IF($K1198="","※没填去向类型",IF($L1198="","※没填去向矿区",IF(AND($C1198&lt;&gt;"",$C1198&lt;=结账锁),"※日期早于已结账截止日，不能再录",IF(AND($K1198="自用消耗",COUNTIF({"一矿区";"二矿区"},$L1198)=0),"※自用消耗的去向只能是一矿区或二矿区",IF(AND($K1198="对外销售",COUNTIF({"三矿区";"六矿区"},$L1198)=0),"※对外销售的去向只能是三矿区或六矿区",IF(AND($K1198="对外销售",ROUND($Q1198,0)=0),"※外销却没有售价，请填实际售价",IF(AND($K1198="对外销售",$T1198&lt;&gt;"",$T1198&lt;0),"※这一笔外销是亏的，请核对售价",IF(IFERROR(VLOOKUP($D1198,库存台账!$A$5:$Y$1204,24,0),0)&lt;-0.001,"※这个物料账面已经变成负数了，查一下是不是漏记入库","")))))))))))</f>
        <v/>
      </c>
    </row>
    <row r="1199">
      <c r="A1199" s="24">
        <f>IF($D1199="","",COUNTA($D$4:$D1199))</f>
        <v/>
      </c>
      <c r="B1199" s="17" t="n"/>
      <c r="C1199" s="30" t="n"/>
      <c r="D1199" s="17" t="n"/>
      <c r="E1199" s="24">
        <f>IF($D1199="","",IFERROR(VLOOKUP($D1199,物料档案!$A$4:$P$1203,3,0),"※编码不在物料档案里"))</f>
        <v/>
      </c>
      <c r="F1199" s="24">
        <f>IF($D1199="","",IFERROR(VLOOKUP($D1199,物料档案!$A$4:$P$1203,4,0),"※编码不在物料档案里"))</f>
        <v/>
      </c>
      <c r="G1199" s="24">
        <f>IF($D1199="","",IFERROR(VLOOKUP($D1199,物料档案!$A$4:$P$1203,5,0),"※编码不在物料档案里"))</f>
        <v/>
      </c>
      <c r="H1199" s="24">
        <f>IF($D1199="","",IFERROR(VLOOKUP($D1199,物料档案!$A$4:$P$1203,2,0),"※编码不在物料档案里"))</f>
        <v/>
      </c>
      <c r="I1199" s="24">
        <f>IF($D1199="","",IFERROR(VLOOKUP($D1199,物料档案!$A$4:$P$1203,6,0),"※编码不在物料档案里"))</f>
        <v/>
      </c>
      <c r="J1199" s="23" t="n"/>
      <c r="K1199" s="17" t="n"/>
      <c r="L1199" s="17" t="n"/>
      <c r="M1199" s="17" t="n"/>
      <c r="N1199" s="17" t="n"/>
      <c r="O1199" s="26">
        <f>IF($D1199="","",IFERROR(VLOOKUP($D1199,物料档案!$A$4:$P$1203,10,0),0))</f>
        <v/>
      </c>
      <c r="P1199" s="32" t="n"/>
      <c r="Q1199" s="26">
        <f>IF($D1199="","",IF($K1199&lt;&gt;"对外销售",0,ROUND(N($J1199)*IF($P1199="",N($O1199),N($P1199)),0)))</f>
        <v/>
      </c>
      <c r="R1199" s="26">
        <f>IF($D1199="","",IFERROR(VLOOKUP($D1199,库存台账!$A$5:$Y$1204,11,0),0))</f>
        <v/>
      </c>
      <c r="S1199" s="26">
        <f>IF($D1199="","",ROUND(N($J1199)*N($R1199),0))</f>
        <v/>
      </c>
      <c r="T1199" s="26">
        <f>IF($D1199="","",IF($K1199&lt;&gt;"对外销售","",ROUND($Q1199-$S1199,0)))</f>
        <v/>
      </c>
      <c r="U1199" s="17" t="n"/>
      <c r="V1199" s="17" t="n"/>
      <c r="W1199" s="24">
        <f>IF($D1199="","",IF($E1199="※编码不在物料档案里","※物料编码不在档案里",IF(N($J1199)&lt;=0,"※出库数量要大于 0",IF($K1199="","※没填去向类型",IF($L1199="","※没填去向矿区",IF(AND($C1199&lt;&gt;"",$C1199&lt;=结账锁),"※日期早于已结账截止日，不能再录",IF(AND($K1199="自用消耗",COUNTIF({"一矿区";"二矿区"},$L1199)=0),"※自用消耗的去向只能是一矿区或二矿区",IF(AND($K1199="对外销售",COUNTIF({"三矿区";"六矿区"},$L1199)=0),"※对外销售的去向只能是三矿区或六矿区",IF(AND($K1199="对外销售",ROUND($Q1199,0)=0),"※外销却没有售价，请填实际售价",IF(AND($K1199="对外销售",$T1199&lt;&gt;"",$T1199&lt;0),"※这一笔外销是亏的，请核对售价",IF(IFERROR(VLOOKUP($D1199,库存台账!$A$5:$Y$1204,24,0),0)&lt;-0.001,"※这个物料账面已经变成负数了，查一下是不是漏记入库","")))))))))))</f>
        <v/>
      </c>
    </row>
    <row r="1200">
      <c r="A1200" s="24">
        <f>IF($D1200="","",COUNTA($D$4:$D1200))</f>
        <v/>
      </c>
      <c r="B1200" s="17" t="n"/>
      <c r="C1200" s="30" t="n"/>
      <c r="D1200" s="17" t="n"/>
      <c r="E1200" s="24">
        <f>IF($D1200="","",IFERROR(VLOOKUP($D1200,物料档案!$A$4:$P$1203,3,0),"※编码不在物料档案里"))</f>
        <v/>
      </c>
      <c r="F1200" s="24">
        <f>IF($D1200="","",IFERROR(VLOOKUP($D1200,物料档案!$A$4:$P$1203,4,0),"※编码不在物料档案里"))</f>
        <v/>
      </c>
      <c r="G1200" s="24">
        <f>IF($D1200="","",IFERROR(VLOOKUP($D1200,物料档案!$A$4:$P$1203,5,0),"※编码不在物料档案里"))</f>
        <v/>
      </c>
      <c r="H1200" s="24">
        <f>IF($D1200="","",IFERROR(VLOOKUP($D1200,物料档案!$A$4:$P$1203,2,0),"※编码不在物料档案里"))</f>
        <v/>
      </c>
      <c r="I1200" s="24">
        <f>IF($D1200="","",IFERROR(VLOOKUP($D1200,物料档案!$A$4:$P$1203,6,0),"※编码不在物料档案里"))</f>
        <v/>
      </c>
      <c r="J1200" s="23" t="n"/>
      <c r="K1200" s="17" t="n"/>
      <c r="L1200" s="17" t="n"/>
      <c r="M1200" s="17" t="n"/>
      <c r="N1200" s="17" t="n"/>
      <c r="O1200" s="26">
        <f>IF($D1200="","",IFERROR(VLOOKUP($D1200,物料档案!$A$4:$P$1203,10,0),0))</f>
        <v/>
      </c>
      <c r="P1200" s="32" t="n"/>
      <c r="Q1200" s="26">
        <f>IF($D1200="","",IF($K1200&lt;&gt;"对外销售",0,ROUND(N($J1200)*IF($P1200="",N($O1200),N($P1200)),0)))</f>
        <v/>
      </c>
      <c r="R1200" s="26">
        <f>IF($D1200="","",IFERROR(VLOOKUP($D1200,库存台账!$A$5:$Y$1204,11,0),0))</f>
        <v/>
      </c>
      <c r="S1200" s="26">
        <f>IF($D1200="","",ROUND(N($J1200)*N($R1200),0))</f>
        <v/>
      </c>
      <c r="T1200" s="26">
        <f>IF($D1200="","",IF($K1200&lt;&gt;"对外销售","",ROUND($Q1200-$S1200,0)))</f>
        <v/>
      </c>
      <c r="U1200" s="17" t="n"/>
      <c r="V1200" s="17" t="n"/>
      <c r="W1200" s="24">
        <f>IF($D1200="","",IF($E1200="※编码不在物料档案里","※物料编码不在档案里",IF(N($J1200)&lt;=0,"※出库数量要大于 0",IF($K1200="","※没填去向类型",IF($L1200="","※没填去向矿区",IF(AND($C1200&lt;&gt;"",$C1200&lt;=结账锁),"※日期早于已结账截止日，不能再录",IF(AND($K1200="自用消耗",COUNTIF({"一矿区";"二矿区"},$L1200)=0),"※自用消耗的去向只能是一矿区或二矿区",IF(AND($K1200="对外销售",COUNTIF({"三矿区";"六矿区"},$L1200)=0),"※对外销售的去向只能是三矿区或六矿区",IF(AND($K1200="对外销售",ROUND($Q1200,0)=0),"※外销却没有售价，请填实际售价",IF(AND($K1200="对外销售",$T1200&lt;&gt;"",$T1200&lt;0),"※这一笔外销是亏的，请核对售价",IF(IFERROR(VLOOKUP($D1200,库存台账!$A$5:$Y$1204,24,0),0)&lt;-0.001,"※这个物料账面已经变成负数了，查一下是不是漏记入库","")))))))))))</f>
        <v/>
      </c>
    </row>
    <row r="1201">
      <c r="A1201" s="24">
        <f>IF($D1201="","",COUNTA($D$4:$D1201))</f>
        <v/>
      </c>
      <c r="B1201" s="17" t="n"/>
      <c r="C1201" s="30" t="n"/>
      <c r="D1201" s="17" t="n"/>
      <c r="E1201" s="24">
        <f>IF($D1201="","",IFERROR(VLOOKUP($D1201,物料档案!$A$4:$P$1203,3,0),"※编码不在物料档案里"))</f>
        <v/>
      </c>
      <c r="F1201" s="24">
        <f>IF($D1201="","",IFERROR(VLOOKUP($D1201,物料档案!$A$4:$P$1203,4,0),"※编码不在物料档案里"))</f>
        <v/>
      </c>
      <c r="G1201" s="24">
        <f>IF($D1201="","",IFERROR(VLOOKUP($D1201,物料档案!$A$4:$P$1203,5,0),"※编码不在物料档案里"))</f>
        <v/>
      </c>
      <c r="H1201" s="24">
        <f>IF($D1201="","",IFERROR(VLOOKUP($D1201,物料档案!$A$4:$P$1203,2,0),"※编码不在物料档案里"))</f>
        <v/>
      </c>
      <c r="I1201" s="24">
        <f>IF($D1201="","",IFERROR(VLOOKUP($D1201,物料档案!$A$4:$P$1203,6,0),"※编码不在物料档案里"))</f>
        <v/>
      </c>
      <c r="J1201" s="23" t="n"/>
      <c r="K1201" s="17" t="n"/>
      <c r="L1201" s="17" t="n"/>
      <c r="M1201" s="17" t="n"/>
      <c r="N1201" s="17" t="n"/>
      <c r="O1201" s="26">
        <f>IF($D1201="","",IFERROR(VLOOKUP($D1201,物料档案!$A$4:$P$1203,10,0),0))</f>
        <v/>
      </c>
      <c r="P1201" s="32" t="n"/>
      <c r="Q1201" s="26">
        <f>IF($D1201="","",IF($K1201&lt;&gt;"对外销售",0,ROUND(N($J1201)*IF($P1201="",N($O1201),N($P1201)),0)))</f>
        <v/>
      </c>
      <c r="R1201" s="26">
        <f>IF($D1201="","",IFERROR(VLOOKUP($D1201,库存台账!$A$5:$Y$1204,11,0),0))</f>
        <v/>
      </c>
      <c r="S1201" s="26">
        <f>IF($D1201="","",ROUND(N($J1201)*N($R1201),0))</f>
        <v/>
      </c>
      <c r="T1201" s="26">
        <f>IF($D1201="","",IF($K1201&lt;&gt;"对外销售","",ROUND($Q1201-$S1201,0)))</f>
        <v/>
      </c>
      <c r="U1201" s="17" t="n"/>
      <c r="V1201" s="17" t="n"/>
      <c r="W1201" s="24">
        <f>IF($D1201="","",IF($E1201="※编码不在物料档案里","※物料编码不在档案里",IF(N($J1201)&lt;=0,"※出库数量要大于 0",IF($K1201="","※没填去向类型",IF($L1201="","※没填去向矿区",IF(AND($C1201&lt;&gt;"",$C1201&lt;=结账锁),"※日期早于已结账截止日，不能再录",IF(AND($K1201="自用消耗",COUNTIF({"一矿区";"二矿区"},$L1201)=0),"※自用消耗的去向只能是一矿区或二矿区",IF(AND($K1201="对外销售",COUNTIF({"三矿区";"六矿区"},$L1201)=0),"※对外销售的去向只能是三矿区或六矿区",IF(AND($K1201="对外销售",ROUND($Q1201,0)=0),"※外销却没有售价，请填实际售价",IF(AND($K1201="对外销售",$T1201&lt;&gt;"",$T1201&lt;0),"※这一笔外销是亏的，请核对售价",IF(IFERROR(VLOOKUP($D1201,库存台账!$A$5:$Y$1204,24,0),0)&lt;-0.001,"※这个物料账面已经变成负数了，查一下是不是漏记入库","")))))))))))</f>
        <v/>
      </c>
    </row>
    <row r="1202">
      <c r="A1202" s="24">
        <f>IF($D1202="","",COUNTA($D$4:$D1202))</f>
        <v/>
      </c>
      <c r="B1202" s="17" t="n"/>
      <c r="C1202" s="30" t="n"/>
      <c r="D1202" s="17" t="n"/>
      <c r="E1202" s="24">
        <f>IF($D1202="","",IFERROR(VLOOKUP($D1202,物料档案!$A$4:$P$1203,3,0),"※编码不在物料档案里"))</f>
        <v/>
      </c>
      <c r="F1202" s="24">
        <f>IF($D1202="","",IFERROR(VLOOKUP($D1202,物料档案!$A$4:$P$1203,4,0),"※编码不在物料档案里"))</f>
        <v/>
      </c>
      <c r="G1202" s="24">
        <f>IF($D1202="","",IFERROR(VLOOKUP($D1202,物料档案!$A$4:$P$1203,5,0),"※编码不在物料档案里"))</f>
        <v/>
      </c>
      <c r="H1202" s="24">
        <f>IF($D1202="","",IFERROR(VLOOKUP($D1202,物料档案!$A$4:$P$1203,2,0),"※编码不在物料档案里"))</f>
        <v/>
      </c>
      <c r="I1202" s="24">
        <f>IF($D1202="","",IFERROR(VLOOKUP($D1202,物料档案!$A$4:$P$1203,6,0),"※编码不在物料档案里"))</f>
        <v/>
      </c>
      <c r="J1202" s="23" t="n"/>
      <c r="K1202" s="17" t="n"/>
      <c r="L1202" s="17" t="n"/>
      <c r="M1202" s="17" t="n"/>
      <c r="N1202" s="17" t="n"/>
      <c r="O1202" s="26">
        <f>IF($D1202="","",IFERROR(VLOOKUP($D1202,物料档案!$A$4:$P$1203,10,0),0))</f>
        <v/>
      </c>
      <c r="P1202" s="32" t="n"/>
      <c r="Q1202" s="26">
        <f>IF($D1202="","",IF($K1202&lt;&gt;"对外销售",0,ROUND(N($J1202)*IF($P1202="",N($O1202),N($P1202)),0)))</f>
        <v/>
      </c>
      <c r="R1202" s="26">
        <f>IF($D1202="","",IFERROR(VLOOKUP($D1202,库存台账!$A$5:$Y$1204,11,0),0))</f>
        <v/>
      </c>
      <c r="S1202" s="26">
        <f>IF($D1202="","",ROUND(N($J1202)*N($R1202),0))</f>
        <v/>
      </c>
      <c r="T1202" s="26">
        <f>IF($D1202="","",IF($K1202&lt;&gt;"对外销售","",ROUND($Q1202-$S1202,0)))</f>
        <v/>
      </c>
      <c r="U1202" s="17" t="n"/>
      <c r="V1202" s="17" t="n"/>
      <c r="W1202" s="24">
        <f>IF($D1202="","",IF($E1202="※编码不在物料档案里","※物料编码不在档案里",IF(N($J1202)&lt;=0,"※出库数量要大于 0",IF($K1202="","※没填去向类型",IF($L1202="","※没填去向矿区",IF(AND($C1202&lt;&gt;"",$C1202&lt;=结账锁),"※日期早于已结账截止日，不能再录",IF(AND($K1202="自用消耗",COUNTIF({"一矿区";"二矿区"},$L1202)=0),"※自用消耗的去向只能是一矿区或二矿区",IF(AND($K1202="对外销售",COUNTIF({"三矿区";"六矿区"},$L1202)=0),"※对外销售的去向只能是三矿区或六矿区",IF(AND($K1202="对外销售",ROUND($Q1202,0)=0),"※外销却没有售价，请填实际售价",IF(AND($K1202="对外销售",$T1202&lt;&gt;"",$T1202&lt;0),"※这一笔外销是亏的，请核对售价",IF(IFERROR(VLOOKUP($D1202,库存台账!$A$5:$Y$1204,24,0),0)&lt;-0.001,"※这个物料账面已经变成负数了，查一下是不是漏记入库","")))))))))))</f>
        <v/>
      </c>
    </row>
    <row r="1203">
      <c r="A1203" s="24">
        <f>IF($D1203="","",COUNTA($D$4:$D1203))</f>
        <v/>
      </c>
      <c r="B1203" s="17" t="n"/>
      <c r="C1203" s="30" t="n"/>
      <c r="D1203" s="17" t="n"/>
      <c r="E1203" s="24">
        <f>IF($D1203="","",IFERROR(VLOOKUP($D1203,物料档案!$A$4:$P$1203,3,0),"※编码不在物料档案里"))</f>
        <v/>
      </c>
      <c r="F1203" s="24">
        <f>IF($D1203="","",IFERROR(VLOOKUP($D1203,物料档案!$A$4:$P$1203,4,0),"※编码不在物料档案里"))</f>
        <v/>
      </c>
      <c r="G1203" s="24">
        <f>IF($D1203="","",IFERROR(VLOOKUP($D1203,物料档案!$A$4:$P$1203,5,0),"※编码不在物料档案里"))</f>
        <v/>
      </c>
      <c r="H1203" s="24">
        <f>IF($D1203="","",IFERROR(VLOOKUP($D1203,物料档案!$A$4:$P$1203,2,0),"※编码不在物料档案里"))</f>
        <v/>
      </c>
      <c r="I1203" s="24">
        <f>IF($D1203="","",IFERROR(VLOOKUP($D1203,物料档案!$A$4:$P$1203,6,0),"※编码不在物料档案里"))</f>
        <v/>
      </c>
      <c r="J1203" s="23" t="n"/>
      <c r="K1203" s="17" t="n"/>
      <c r="L1203" s="17" t="n"/>
      <c r="M1203" s="17" t="n"/>
      <c r="N1203" s="17" t="n"/>
      <c r="O1203" s="26">
        <f>IF($D1203="","",IFERROR(VLOOKUP($D1203,物料档案!$A$4:$P$1203,10,0),0))</f>
        <v/>
      </c>
      <c r="P1203" s="32" t="n"/>
      <c r="Q1203" s="26">
        <f>IF($D1203="","",IF($K1203&lt;&gt;"对外销售",0,ROUND(N($J1203)*IF($P1203="",N($O1203),N($P1203)),0)))</f>
        <v/>
      </c>
      <c r="R1203" s="26">
        <f>IF($D1203="","",IFERROR(VLOOKUP($D1203,库存台账!$A$5:$Y$1204,11,0),0))</f>
        <v/>
      </c>
      <c r="S1203" s="26">
        <f>IF($D1203="","",ROUND(N($J1203)*N($R1203),0))</f>
        <v/>
      </c>
      <c r="T1203" s="26">
        <f>IF($D1203="","",IF($K1203&lt;&gt;"对外销售","",ROUND($Q1203-$S1203,0)))</f>
        <v/>
      </c>
      <c r="U1203" s="17" t="n"/>
      <c r="V1203" s="17" t="n"/>
      <c r="W1203" s="24">
        <f>IF($D1203="","",IF($E1203="※编码不在物料档案里","※物料编码不在档案里",IF(N($J1203)&lt;=0,"※出库数量要大于 0",IF($K1203="","※没填去向类型",IF($L1203="","※没填去向矿区",IF(AND($C1203&lt;&gt;"",$C1203&lt;=结账锁),"※日期早于已结账截止日，不能再录",IF(AND($K1203="自用消耗",COUNTIF({"一矿区";"二矿区"},$L1203)=0),"※自用消耗的去向只能是一矿区或二矿区",IF(AND($K1203="对外销售",COUNTIF({"三矿区";"六矿区"},$L1203)=0),"※对外销售的去向只能是三矿区或六矿区",IF(AND($K1203="对外销售",ROUND($Q1203,0)=0),"※外销却没有售价，请填实际售价",IF(AND($K1203="对外销售",$T1203&lt;&gt;"",$T1203&lt;0),"※这一笔外销是亏的，请核对售价",IF(IFERROR(VLOOKUP($D1203,库存台账!$A$5:$Y$1204,24,0),0)&lt;-0.001,"※这个物料账面已经变成负数了，查一下是不是漏记入库","")))))))))))</f>
        <v/>
      </c>
    </row>
    <row r="1204">
      <c r="A1204" s="24">
        <f>IF($D1204="","",COUNTA($D$4:$D1204))</f>
        <v/>
      </c>
      <c r="B1204" s="17" t="n"/>
      <c r="C1204" s="30" t="n"/>
      <c r="D1204" s="17" t="n"/>
      <c r="E1204" s="24">
        <f>IF($D1204="","",IFERROR(VLOOKUP($D1204,物料档案!$A$4:$P$1203,3,0),"※编码不在物料档案里"))</f>
        <v/>
      </c>
      <c r="F1204" s="24">
        <f>IF($D1204="","",IFERROR(VLOOKUP($D1204,物料档案!$A$4:$P$1203,4,0),"※编码不在物料档案里"))</f>
        <v/>
      </c>
      <c r="G1204" s="24">
        <f>IF($D1204="","",IFERROR(VLOOKUP($D1204,物料档案!$A$4:$P$1203,5,0),"※编码不在物料档案里"))</f>
        <v/>
      </c>
      <c r="H1204" s="24">
        <f>IF($D1204="","",IFERROR(VLOOKUP($D1204,物料档案!$A$4:$P$1203,2,0),"※编码不在物料档案里"))</f>
        <v/>
      </c>
      <c r="I1204" s="24">
        <f>IF($D1204="","",IFERROR(VLOOKUP($D1204,物料档案!$A$4:$P$1203,6,0),"※编码不在物料档案里"))</f>
        <v/>
      </c>
      <c r="J1204" s="23" t="n"/>
      <c r="K1204" s="17" t="n"/>
      <c r="L1204" s="17" t="n"/>
      <c r="M1204" s="17" t="n"/>
      <c r="N1204" s="17" t="n"/>
      <c r="O1204" s="26">
        <f>IF($D1204="","",IFERROR(VLOOKUP($D1204,物料档案!$A$4:$P$1203,10,0),0))</f>
        <v/>
      </c>
      <c r="P1204" s="32" t="n"/>
      <c r="Q1204" s="26">
        <f>IF($D1204="","",IF($K1204&lt;&gt;"对外销售",0,ROUND(N($J1204)*IF($P1204="",N($O1204),N($P1204)),0)))</f>
        <v/>
      </c>
      <c r="R1204" s="26">
        <f>IF($D1204="","",IFERROR(VLOOKUP($D1204,库存台账!$A$5:$Y$1204,11,0),0))</f>
        <v/>
      </c>
      <c r="S1204" s="26">
        <f>IF($D1204="","",ROUND(N($J1204)*N($R1204),0))</f>
        <v/>
      </c>
      <c r="T1204" s="26">
        <f>IF($D1204="","",IF($K1204&lt;&gt;"对外销售","",ROUND($Q1204-$S1204,0)))</f>
        <v/>
      </c>
      <c r="U1204" s="17" t="n"/>
      <c r="V1204" s="17" t="n"/>
      <c r="W1204" s="24">
        <f>IF($D1204="","",IF($E1204="※编码不在物料档案里","※物料编码不在档案里",IF(N($J1204)&lt;=0,"※出库数量要大于 0",IF($K1204="","※没填去向类型",IF($L1204="","※没填去向矿区",IF(AND($C1204&lt;&gt;"",$C1204&lt;=结账锁),"※日期早于已结账截止日，不能再录",IF(AND($K1204="自用消耗",COUNTIF({"一矿区";"二矿区"},$L1204)=0),"※自用消耗的去向只能是一矿区或二矿区",IF(AND($K1204="对外销售",COUNTIF({"三矿区";"六矿区"},$L1204)=0),"※对外销售的去向只能是三矿区或六矿区",IF(AND($K1204="对外销售",ROUND($Q1204,0)=0),"※外销却没有售价，请填实际售价",IF(AND($K1204="对外销售",$T1204&lt;&gt;"",$T1204&lt;0),"※这一笔外销是亏的，请核对售价",IF(IFERROR(VLOOKUP($D1204,库存台账!$A$5:$Y$1204,24,0),0)&lt;-0.001,"※这个物料账面已经变成负数了，查一下是不是漏记入库","")))))))))))</f>
        <v/>
      </c>
    </row>
    <row r="1205">
      <c r="A1205" s="24">
        <f>IF($D1205="","",COUNTA($D$4:$D1205))</f>
        <v/>
      </c>
      <c r="B1205" s="17" t="n"/>
      <c r="C1205" s="30" t="n"/>
      <c r="D1205" s="17" t="n"/>
      <c r="E1205" s="24">
        <f>IF($D1205="","",IFERROR(VLOOKUP($D1205,物料档案!$A$4:$P$1203,3,0),"※编码不在物料档案里"))</f>
        <v/>
      </c>
      <c r="F1205" s="24">
        <f>IF($D1205="","",IFERROR(VLOOKUP($D1205,物料档案!$A$4:$P$1203,4,0),"※编码不在物料档案里"))</f>
        <v/>
      </c>
      <c r="G1205" s="24">
        <f>IF($D1205="","",IFERROR(VLOOKUP($D1205,物料档案!$A$4:$P$1203,5,0),"※编码不在物料档案里"))</f>
        <v/>
      </c>
      <c r="H1205" s="24">
        <f>IF($D1205="","",IFERROR(VLOOKUP($D1205,物料档案!$A$4:$P$1203,2,0),"※编码不在物料档案里"))</f>
        <v/>
      </c>
      <c r="I1205" s="24">
        <f>IF($D1205="","",IFERROR(VLOOKUP($D1205,物料档案!$A$4:$P$1203,6,0),"※编码不在物料档案里"))</f>
        <v/>
      </c>
      <c r="J1205" s="23" t="n"/>
      <c r="K1205" s="17" t="n"/>
      <c r="L1205" s="17" t="n"/>
      <c r="M1205" s="17" t="n"/>
      <c r="N1205" s="17" t="n"/>
      <c r="O1205" s="26">
        <f>IF($D1205="","",IFERROR(VLOOKUP($D1205,物料档案!$A$4:$P$1203,10,0),0))</f>
        <v/>
      </c>
      <c r="P1205" s="32" t="n"/>
      <c r="Q1205" s="26">
        <f>IF($D1205="","",IF($K1205&lt;&gt;"对外销售",0,ROUND(N($J1205)*IF($P1205="",N($O1205),N($P1205)),0)))</f>
        <v/>
      </c>
      <c r="R1205" s="26">
        <f>IF($D1205="","",IFERROR(VLOOKUP($D1205,库存台账!$A$5:$Y$1204,11,0),0))</f>
        <v/>
      </c>
      <c r="S1205" s="26">
        <f>IF($D1205="","",ROUND(N($J1205)*N($R1205),0))</f>
        <v/>
      </c>
      <c r="T1205" s="26">
        <f>IF($D1205="","",IF($K1205&lt;&gt;"对外销售","",ROUND($Q1205-$S1205,0)))</f>
        <v/>
      </c>
      <c r="U1205" s="17" t="n"/>
      <c r="V1205" s="17" t="n"/>
      <c r="W1205" s="24">
        <f>IF($D1205="","",IF($E1205="※编码不在物料档案里","※物料编码不在档案里",IF(N($J1205)&lt;=0,"※出库数量要大于 0",IF($K1205="","※没填去向类型",IF($L1205="","※没填去向矿区",IF(AND($C1205&lt;&gt;"",$C1205&lt;=结账锁),"※日期早于已结账截止日，不能再录",IF(AND($K1205="自用消耗",COUNTIF({"一矿区";"二矿区"},$L1205)=0),"※自用消耗的去向只能是一矿区或二矿区",IF(AND($K1205="对外销售",COUNTIF({"三矿区";"六矿区"},$L1205)=0),"※对外销售的去向只能是三矿区或六矿区",IF(AND($K1205="对外销售",ROUND($Q1205,0)=0),"※外销却没有售价，请填实际售价",IF(AND($K1205="对外销售",$T1205&lt;&gt;"",$T1205&lt;0),"※这一笔外销是亏的，请核对售价",IF(IFERROR(VLOOKUP($D1205,库存台账!$A$5:$Y$1204,24,0),0)&lt;-0.001,"※这个物料账面已经变成负数了，查一下是不是漏记入库","")))))))))))</f>
        <v/>
      </c>
    </row>
    <row r="1206">
      <c r="A1206" s="24">
        <f>IF($D1206="","",COUNTA($D$4:$D1206))</f>
        <v/>
      </c>
      <c r="B1206" s="17" t="n"/>
      <c r="C1206" s="30" t="n"/>
      <c r="D1206" s="17" t="n"/>
      <c r="E1206" s="24">
        <f>IF($D1206="","",IFERROR(VLOOKUP($D1206,物料档案!$A$4:$P$1203,3,0),"※编码不在物料档案里"))</f>
        <v/>
      </c>
      <c r="F1206" s="24">
        <f>IF($D1206="","",IFERROR(VLOOKUP($D1206,物料档案!$A$4:$P$1203,4,0),"※编码不在物料档案里"))</f>
        <v/>
      </c>
      <c r="G1206" s="24">
        <f>IF($D1206="","",IFERROR(VLOOKUP($D1206,物料档案!$A$4:$P$1203,5,0),"※编码不在物料档案里"))</f>
        <v/>
      </c>
      <c r="H1206" s="24">
        <f>IF($D1206="","",IFERROR(VLOOKUP($D1206,物料档案!$A$4:$P$1203,2,0),"※编码不在物料档案里"))</f>
        <v/>
      </c>
      <c r="I1206" s="24">
        <f>IF($D1206="","",IFERROR(VLOOKUP($D1206,物料档案!$A$4:$P$1203,6,0),"※编码不在物料档案里"))</f>
        <v/>
      </c>
      <c r="J1206" s="23" t="n"/>
      <c r="K1206" s="17" t="n"/>
      <c r="L1206" s="17" t="n"/>
      <c r="M1206" s="17" t="n"/>
      <c r="N1206" s="17" t="n"/>
      <c r="O1206" s="26">
        <f>IF($D1206="","",IFERROR(VLOOKUP($D1206,物料档案!$A$4:$P$1203,10,0),0))</f>
        <v/>
      </c>
      <c r="P1206" s="32" t="n"/>
      <c r="Q1206" s="26">
        <f>IF($D1206="","",IF($K1206&lt;&gt;"对外销售",0,ROUND(N($J1206)*IF($P1206="",N($O1206),N($P1206)),0)))</f>
        <v/>
      </c>
      <c r="R1206" s="26">
        <f>IF($D1206="","",IFERROR(VLOOKUP($D1206,库存台账!$A$5:$Y$1204,11,0),0))</f>
        <v/>
      </c>
      <c r="S1206" s="26">
        <f>IF($D1206="","",ROUND(N($J1206)*N($R1206),0))</f>
        <v/>
      </c>
      <c r="T1206" s="26">
        <f>IF($D1206="","",IF($K1206&lt;&gt;"对外销售","",ROUND($Q1206-$S1206,0)))</f>
        <v/>
      </c>
      <c r="U1206" s="17" t="n"/>
      <c r="V1206" s="17" t="n"/>
      <c r="W1206" s="24">
        <f>IF($D1206="","",IF($E1206="※编码不在物料档案里","※物料编码不在档案里",IF(N($J1206)&lt;=0,"※出库数量要大于 0",IF($K1206="","※没填去向类型",IF($L1206="","※没填去向矿区",IF(AND($C1206&lt;&gt;"",$C1206&lt;=结账锁),"※日期早于已结账截止日，不能再录",IF(AND($K1206="自用消耗",COUNTIF({"一矿区";"二矿区"},$L1206)=0),"※自用消耗的去向只能是一矿区或二矿区",IF(AND($K1206="对外销售",COUNTIF({"三矿区";"六矿区"},$L1206)=0),"※对外销售的去向只能是三矿区或六矿区",IF(AND($K1206="对外销售",ROUND($Q1206,0)=0),"※外销却没有售价，请填实际售价",IF(AND($K1206="对外销售",$T1206&lt;&gt;"",$T1206&lt;0),"※这一笔外销是亏的，请核对售价",IF(IFERROR(VLOOKUP($D1206,库存台账!$A$5:$Y$1204,24,0),0)&lt;-0.001,"※这个物料账面已经变成负数了，查一下是不是漏记入库","")))))))))))</f>
        <v/>
      </c>
    </row>
    <row r="1207">
      <c r="A1207" s="24">
        <f>IF($D1207="","",COUNTA($D$4:$D1207))</f>
        <v/>
      </c>
      <c r="B1207" s="17" t="n"/>
      <c r="C1207" s="30" t="n"/>
      <c r="D1207" s="17" t="n"/>
      <c r="E1207" s="24">
        <f>IF($D1207="","",IFERROR(VLOOKUP($D1207,物料档案!$A$4:$P$1203,3,0),"※编码不在物料档案里"))</f>
        <v/>
      </c>
      <c r="F1207" s="24">
        <f>IF($D1207="","",IFERROR(VLOOKUP($D1207,物料档案!$A$4:$P$1203,4,0),"※编码不在物料档案里"))</f>
        <v/>
      </c>
      <c r="G1207" s="24">
        <f>IF($D1207="","",IFERROR(VLOOKUP($D1207,物料档案!$A$4:$P$1203,5,0),"※编码不在物料档案里"))</f>
        <v/>
      </c>
      <c r="H1207" s="24">
        <f>IF($D1207="","",IFERROR(VLOOKUP($D1207,物料档案!$A$4:$P$1203,2,0),"※编码不在物料档案里"))</f>
        <v/>
      </c>
      <c r="I1207" s="24">
        <f>IF($D1207="","",IFERROR(VLOOKUP($D1207,物料档案!$A$4:$P$1203,6,0),"※编码不在物料档案里"))</f>
        <v/>
      </c>
      <c r="J1207" s="23" t="n"/>
      <c r="K1207" s="17" t="n"/>
      <c r="L1207" s="17" t="n"/>
      <c r="M1207" s="17" t="n"/>
      <c r="N1207" s="17" t="n"/>
      <c r="O1207" s="26">
        <f>IF($D1207="","",IFERROR(VLOOKUP($D1207,物料档案!$A$4:$P$1203,10,0),0))</f>
        <v/>
      </c>
      <c r="P1207" s="32" t="n"/>
      <c r="Q1207" s="26">
        <f>IF($D1207="","",IF($K1207&lt;&gt;"对外销售",0,ROUND(N($J1207)*IF($P1207="",N($O1207),N($P1207)),0)))</f>
        <v/>
      </c>
      <c r="R1207" s="26">
        <f>IF($D1207="","",IFERROR(VLOOKUP($D1207,库存台账!$A$5:$Y$1204,11,0),0))</f>
        <v/>
      </c>
      <c r="S1207" s="26">
        <f>IF($D1207="","",ROUND(N($J1207)*N($R1207),0))</f>
        <v/>
      </c>
      <c r="T1207" s="26">
        <f>IF($D1207="","",IF($K1207&lt;&gt;"对外销售","",ROUND($Q1207-$S1207,0)))</f>
        <v/>
      </c>
      <c r="U1207" s="17" t="n"/>
      <c r="V1207" s="17" t="n"/>
      <c r="W1207" s="24">
        <f>IF($D1207="","",IF($E1207="※编码不在物料档案里","※物料编码不在档案里",IF(N($J1207)&lt;=0,"※出库数量要大于 0",IF($K1207="","※没填去向类型",IF($L1207="","※没填去向矿区",IF(AND($C1207&lt;&gt;"",$C1207&lt;=结账锁),"※日期早于已结账截止日，不能再录",IF(AND($K1207="自用消耗",COUNTIF({"一矿区";"二矿区"},$L1207)=0),"※自用消耗的去向只能是一矿区或二矿区",IF(AND($K1207="对外销售",COUNTIF({"三矿区";"六矿区"},$L1207)=0),"※对外销售的去向只能是三矿区或六矿区",IF(AND($K1207="对外销售",ROUND($Q1207,0)=0),"※外销却没有售价，请填实际售价",IF(AND($K1207="对外销售",$T1207&lt;&gt;"",$T1207&lt;0),"※这一笔外销是亏的，请核对售价",IF(IFERROR(VLOOKUP($D1207,库存台账!$A$5:$Y$1204,24,0),0)&lt;-0.001,"※这个物料账面已经变成负数了，查一下是不是漏记入库","")))))))))))</f>
        <v/>
      </c>
    </row>
    <row r="1208">
      <c r="A1208" s="24">
        <f>IF($D1208="","",COUNTA($D$4:$D1208))</f>
        <v/>
      </c>
      <c r="B1208" s="17" t="n"/>
      <c r="C1208" s="30" t="n"/>
      <c r="D1208" s="17" t="n"/>
      <c r="E1208" s="24">
        <f>IF($D1208="","",IFERROR(VLOOKUP($D1208,物料档案!$A$4:$P$1203,3,0),"※编码不在物料档案里"))</f>
        <v/>
      </c>
      <c r="F1208" s="24">
        <f>IF($D1208="","",IFERROR(VLOOKUP($D1208,物料档案!$A$4:$P$1203,4,0),"※编码不在物料档案里"))</f>
        <v/>
      </c>
      <c r="G1208" s="24">
        <f>IF($D1208="","",IFERROR(VLOOKUP($D1208,物料档案!$A$4:$P$1203,5,0),"※编码不在物料档案里"))</f>
        <v/>
      </c>
      <c r="H1208" s="24">
        <f>IF($D1208="","",IFERROR(VLOOKUP($D1208,物料档案!$A$4:$P$1203,2,0),"※编码不在物料档案里"))</f>
        <v/>
      </c>
      <c r="I1208" s="24">
        <f>IF($D1208="","",IFERROR(VLOOKUP($D1208,物料档案!$A$4:$P$1203,6,0),"※编码不在物料档案里"))</f>
        <v/>
      </c>
      <c r="J1208" s="23" t="n"/>
      <c r="K1208" s="17" t="n"/>
      <c r="L1208" s="17" t="n"/>
      <c r="M1208" s="17" t="n"/>
      <c r="N1208" s="17" t="n"/>
      <c r="O1208" s="26">
        <f>IF($D1208="","",IFERROR(VLOOKUP($D1208,物料档案!$A$4:$P$1203,10,0),0))</f>
        <v/>
      </c>
      <c r="P1208" s="32" t="n"/>
      <c r="Q1208" s="26">
        <f>IF($D1208="","",IF($K1208&lt;&gt;"对外销售",0,ROUND(N($J1208)*IF($P1208="",N($O1208),N($P1208)),0)))</f>
        <v/>
      </c>
      <c r="R1208" s="26">
        <f>IF($D1208="","",IFERROR(VLOOKUP($D1208,库存台账!$A$5:$Y$1204,11,0),0))</f>
        <v/>
      </c>
      <c r="S1208" s="26">
        <f>IF($D1208="","",ROUND(N($J1208)*N($R1208),0))</f>
        <v/>
      </c>
      <c r="T1208" s="26">
        <f>IF($D1208="","",IF($K1208&lt;&gt;"对外销售","",ROUND($Q1208-$S1208,0)))</f>
        <v/>
      </c>
      <c r="U1208" s="17" t="n"/>
      <c r="V1208" s="17" t="n"/>
      <c r="W1208" s="24">
        <f>IF($D1208="","",IF($E1208="※编码不在物料档案里","※物料编码不在档案里",IF(N($J1208)&lt;=0,"※出库数量要大于 0",IF($K1208="","※没填去向类型",IF($L1208="","※没填去向矿区",IF(AND($C1208&lt;&gt;"",$C1208&lt;=结账锁),"※日期早于已结账截止日，不能再录",IF(AND($K1208="自用消耗",COUNTIF({"一矿区";"二矿区"},$L1208)=0),"※自用消耗的去向只能是一矿区或二矿区",IF(AND($K1208="对外销售",COUNTIF({"三矿区";"六矿区"},$L1208)=0),"※对外销售的去向只能是三矿区或六矿区",IF(AND($K1208="对外销售",ROUND($Q1208,0)=0),"※外销却没有售价，请填实际售价",IF(AND($K1208="对外销售",$T1208&lt;&gt;"",$T1208&lt;0),"※这一笔外销是亏的，请核对售价",IF(IFERROR(VLOOKUP($D1208,库存台账!$A$5:$Y$1204,24,0),0)&lt;-0.001,"※这个物料账面已经变成负数了，查一下是不是漏记入库","")))))))))))</f>
        <v/>
      </c>
    </row>
    <row r="1209">
      <c r="A1209" s="24">
        <f>IF($D1209="","",COUNTA($D$4:$D1209))</f>
        <v/>
      </c>
      <c r="B1209" s="17" t="n"/>
      <c r="C1209" s="30" t="n"/>
      <c r="D1209" s="17" t="n"/>
      <c r="E1209" s="24">
        <f>IF($D1209="","",IFERROR(VLOOKUP($D1209,物料档案!$A$4:$P$1203,3,0),"※编码不在物料档案里"))</f>
        <v/>
      </c>
      <c r="F1209" s="24">
        <f>IF($D1209="","",IFERROR(VLOOKUP($D1209,物料档案!$A$4:$P$1203,4,0),"※编码不在物料档案里"))</f>
        <v/>
      </c>
      <c r="G1209" s="24">
        <f>IF($D1209="","",IFERROR(VLOOKUP($D1209,物料档案!$A$4:$P$1203,5,0),"※编码不在物料档案里"))</f>
        <v/>
      </c>
      <c r="H1209" s="24">
        <f>IF($D1209="","",IFERROR(VLOOKUP($D1209,物料档案!$A$4:$P$1203,2,0),"※编码不在物料档案里"))</f>
        <v/>
      </c>
      <c r="I1209" s="24">
        <f>IF($D1209="","",IFERROR(VLOOKUP($D1209,物料档案!$A$4:$P$1203,6,0),"※编码不在物料档案里"))</f>
        <v/>
      </c>
      <c r="J1209" s="23" t="n"/>
      <c r="K1209" s="17" t="n"/>
      <c r="L1209" s="17" t="n"/>
      <c r="M1209" s="17" t="n"/>
      <c r="N1209" s="17" t="n"/>
      <c r="O1209" s="26">
        <f>IF($D1209="","",IFERROR(VLOOKUP($D1209,物料档案!$A$4:$P$1203,10,0),0))</f>
        <v/>
      </c>
      <c r="P1209" s="32" t="n"/>
      <c r="Q1209" s="26">
        <f>IF($D1209="","",IF($K1209&lt;&gt;"对外销售",0,ROUND(N($J1209)*IF($P1209="",N($O1209),N($P1209)),0)))</f>
        <v/>
      </c>
      <c r="R1209" s="26">
        <f>IF($D1209="","",IFERROR(VLOOKUP($D1209,库存台账!$A$5:$Y$1204,11,0),0))</f>
        <v/>
      </c>
      <c r="S1209" s="26">
        <f>IF($D1209="","",ROUND(N($J1209)*N($R1209),0))</f>
        <v/>
      </c>
      <c r="T1209" s="26">
        <f>IF($D1209="","",IF($K1209&lt;&gt;"对外销售","",ROUND($Q1209-$S1209,0)))</f>
        <v/>
      </c>
      <c r="U1209" s="17" t="n"/>
      <c r="V1209" s="17" t="n"/>
      <c r="W1209" s="24">
        <f>IF($D1209="","",IF($E1209="※编码不在物料档案里","※物料编码不在档案里",IF(N($J1209)&lt;=0,"※出库数量要大于 0",IF($K1209="","※没填去向类型",IF($L1209="","※没填去向矿区",IF(AND($C1209&lt;&gt;"",$C1209&lt;=结账锁),"※日期早于已结账截止日，不能再录",IF(AND($K1209="自用消耗",COUNTIF({"一矿区";"二矿区"},$L1209)=0),"※自用消耗的去向只能是一矿区或二矿区",IF(AND($K1209="对外销售",COUNTIF({"三矿区";"六矿区"},$L1209)=0),"※对外销售的去向只能是三矿区或六矿区",IF(AND($K1209="对外销售",ROUND($Q1209,0)=0),"※外销却没有售价，请填实际售价",IF(AND($K1209="对外销售",$T1209&lt;&gt;"",$T1209&lt;0),"※这一笔外销是亏的，请核对售价",IF(IFERROR(VLOOKUP($D1209,库存台账!$A$5:$Y$1204,24,0),0)&lt;-0.001,"※这个物料账面已经变成负数了，查一下是不是漏记入库","")))))))))))</f>
        <v/>
      </c>
    </row>
    <row r="1210">
      <c r="A1210" s="24">
        <f>IF($D1210="","",COUNTA($D$4:$D1210))</f>
        <v/>
      </c>
      <c r="B1210" s="17" t="n"/>
      <c r="C1210" s="30" t="n"/>
      <c r="D1210" s="17" t="n"/>
      <c r="E1210" s="24">
        <f>IF($D1210="","",IFERROR(VLOOKUP($D1210,物料档案!$A$4:$P$1203,3,0),"※编码不在物料档案里"))</f>
        <v/>
      </c>
      <c r="F1210" s="24">
        <f>IF($D1210="","",IFERROR(VLOOKUP($D1210,物料档案!$A$4:$P$1203,4,0),"※编码不在物料档案里"))</f>
        <v/>
      </c>
      <c r="G1210" s="24">
        <f>IF($D1210="","",IFERROR(VLOOKUP($D1210,物料档案!$A$4:$P$1203,5,0),"※编码不在物料档案里"))</f>
        <v/>
      </c>
      <c r="H1210" s="24">
        <f>IF($D1210="","",IFERROR(VLOOKUP($D1210,物料档案!$A$4:$P$1203,2,0),"※编码不在物料档案里"))</f>
        <v/>
      </c>
      <c r="I1210" s="24">
        <f>IF($D1210="","",IFERROR(VLOOKUP($D1210,物料档案!$A$4:$P$1203,6,0),"※编码不在物料档案里"))</f>
        <v/>
      </c>
      <c r="J1210" s="23" t="n"/>
      <c r="K1210" s="17" t="n"/>
      <c r="L1210" s="17" t="n"/>
      <c r="M1210" s="17" t="n"/>
      <c r="N1210" s="17" t="n"/>
      <c r="O1210" s="26">
        <f>IF($D1210="","",IFERROR(VLOOKUP($D1210,物料档案!$A$4:$P$1203,10,0),0))</f>
        <v/>
      </c>
      <c r="P1210" s="32" t="n"/>
      <c r="Q1210" s="26">
        <f>IF($D1210="","",IF($K1210&lt;&gt;"对外销售",0,ROUND(N($J1210)*IF($P1210="",N($O1210),N($P1210)),0)))</f>
        <v/>
      </c>
      <c r="R1210" s="26">
        <f>IF($D1210="","",IFERROR(VLOOKUP($D1210,库存台账!$A$5:$Y$1204,11,0),0))</f>
        <v/>
      </c>
      <c r="S1210" s="26">
        <f>IF($D1210="","",ROUND(N($J1210)*N($R1210),0))</f>
        <v/>
      </c>
      <c r="T1210" s="26">
        <f>IF($D1210="","",IF($K1210&lt;&gt;"对外销售","",ROUND($Q1210-$S1210,0)))</f>
        <v/>
      </c>
      <c r="U1210" s="17" t="n"/>
      <c r="V1210" s="17" t="n"/>
      <c r="W1210" s="24">
        <f>IF($D1210="","",IF($E1210="※编码不在物料档案里","※物料编码不在档案里",IF(N($J1210)&lt;=0,"※出库数量要大于 0",IF($K1210="","※没填去向类型",IF($L1210="","※没填去向矿区",IF(AND($C1210&lt;&gt;"",$C1210&lt;=结账锁),"※日期早于已结账截止日，不能再录",IF(AND($K1210="自用消耗",COUNTIF({"一矿区";"二矿区"},$L1210)=0),"※自用消耗的去向只能是一矿区或二矿区",IF(AND($K1210="对外销售",COUNTIF({"三矿区";"六矿区"},$L1210)=0),"※对外销售的去向只能是三矿区或六矿区",IF(AND($K1210="对外销售",ROUND($Q1210,0)=0),"※外销却没有售价，请填实际售价",IF(AND($K1210="对外销售",$T1210&lt;&gt;"",$T1210&lt;0),"※这一笔外销是亏的，请核对售价",IF(IFERROR(VLOOKUP($D1210,库存台账!$A$5:$Y$1204,24,0),0)&lt;-0.001,"※这个物料账面已经变成负数了，查一下是不是漏记入库","")))))))))))</f>
        <v/>
      </c>
    </row>
    <row r="1211">
      <c r="A1211" s="24">
        <f>IF($D1211="","",COUNTA($D$4:$D1211))</f>
        <v/>
      </c>
      <c r="B1211" s="17" t="n"/>
      <c r="C1211" s="30" t="n"/>
      <c r="D1211" s="17" t="n"/>
      <c r="E1211" s="24">
        <f>IF($D1211="","",IFERROR(VLOOKUP($D1211,物料档案!$A$4:$P$1203,3,0),"※编码不在物料档案里"))</f>
        <v/>
      </c>
      <c r="F1211" s="24">
        <f>IF($D1211="","",IFERROR(VLOOKUP($D1211,物料档案!$A$4:$P$1203,4,0),"※编码不在物料档案里"))</f>
        <v/>
      </c>
      <c r="G1211" s="24">
        <f>IF($D1211="","",IFERROR(VLOOKUP($D1211,物料档案!$A$4:$P$1203,5,0),"※编码不在物料档案里"))</f>
        <v/>
      </c>
      <c r="H1211" s="24">
        <f>IF($D1211="","",IFERROR(VLOOKUP($D1211,物料档案!$A$4:$P$1203,2,0),"※编码不在物料档案里"))</f>
        <v/>
      </c>
      <c r="I1211" s="24">
        <f>IF($D1211="","",IFERROR(VLOOKUP($D1211,物料档案!$A$4:$P$1203,6,0),"※编码不在物料档案里"))</f>
        <v/>
      </c>
      <c r="J1211" s="23" t="n"/>
      <c r="K1211" s="17" t="n"/>
      <c r="L1211" s="17" t="n"/>
      <c r="M1211" s="17" t="n"/>
      <c r="N1211" s="17" t="n"/>
      <c r="O1211" s="26">
        <f>IF($D1211="","",IFERROR(VLOOKUP($D1211,物料档案!$A$4:$P$1203,10,0),0))</f>
        <v/>
      </c>
      <c r="P1211" s="32" t="n"/>
      <c r="Q1211" s="26">
        <f>IF($D1211="","",IF($K1211&lt;&gt;"对外销售",0,ROUND(N($J1211)*IF($P1211="",N($O1211),N($P1211)),0)))</f>
        <v/>
      </c>
      <c r="R1211" s="26">
        <f>IF($D1211="","",IFERROR(VLOOKUP($D1211,库存台账!$A$5:$Y$1204,11,0),0))</f>
        <v/>
      </c>
      <c r="S1211" s="26">
        <f>IF($D1211="","",ROUND(N($J1211)*N($R1211),0))</f>
        <v/>
      </c>
      <c r="T1211" s="26">
        <f>IF($D1211="","",IF($K1211&lt;&gt;"对外销售","",ROUND($Q1211-$S1211,0)))</f>
        <v/>
      </c>
      <c r="U1211" s="17" t="n"/>
      <c r="V1211" s="17" t="n"/>
      <c r="W1211" s="24">
        <f>IF($D1211="","",IF($E1211="※编码不在物料档案里","※物料编码不在档案里",IF(N($J1211)&lt;=0,"※出库数量要大于 0",IF($K1211="","※没填去向类型",IF($L1211="","※没填去向矿区",IF(AND($C1211&lt;&gt;"",$C1211&lt;=结账锁),"※日期早于已结账截止日，不能再录",IF(AND($K1211="自用消耗",COUNTIF({"一矿区";"二矿区"},$L1211)=0),"※自用消耗的去向只能是一矿区或二矿区",IF(AND($K1211="对外销售",COUNTIF({"三矿区";"六矿区"},$L1211)=0),"※对外销售的去向只能是三矿区或六矿区",IF(AND($K1211="对外销售",ROUND($Q1211,0)=0),"※外销却没有售价，请填实际售价",IF(AND($K1211="对外销售",$T1211&lt;&gt;"",$T1211&lt;0),"※这一笔外销是亏的，请核对售价",IF(IFERROR(VLOOKUP($D1211,库存台账!$A$5:$Y$1204,24,0),0)&lt;-0.001,"※这个物料账面已经变成负数了，查一下是不是漏记入库","")))))))))))</f>
        <v/>
      </c>
    </row>
    <row r="1212">
      <c r="A1212" s="24">
        <f>IF($D1212="","",COUNTA($D$4:$D1212))</f>
        <v/>
      </c>
      <c r="B1212" s="17" t="n"/>
      <c r="C1212" s="30" t="n"/>
      <c r="D1212" s="17" t="n"/>
      <c r="E1212" s="24">
        <f>IF($D1212="","",IFERROR(VLOOKUP($D1212,物料档案!$A$4:$P$1203,3,0),"※编码不在物料档案里"))</f>
        <v/>
      </c>
      <c r="F1212" s="24">
        <f>IF($D1212="","",IFERROR(VLOOKUP($D1212,物料档案!$A$4:$P$1203,4,0),"※编码不在物料档案里"))</f>
        <v/>
      </c>
      <c r="G1212" s="24">
        <f>IF($D1212="","",IFERROR(VLOOKUP($D1212,物料档案!$A$4:$P$1203,5,0),"※编码不在物料档案里"))</f>
        <v/>
      </c>
      <c r="H1212" s="24">
        <f>IF($D1212="","",IFERROR(VLOOKUP($D1212,物料档案!$A$4:$P$1203,2,0),"※编码不在物料档案里"))</f>
        <v/>
      </c>
      <c r="I1212" s="24">
        <f>IF($D1212="","",IFERROR(VLOOKUP($D1212,物料档案!$A$4:$P$1203,6,0),"※编码不在物料档案里"))</f>
        <v/>
      </c>
      <c r="J1212" s="23" t="n"/>
      <c r="K1212" s="17" t="n"/>
      <c r="L1212" s="17" t="n"/>
      <c r="M1212" s="17" t="n"/>
      <c r="N1212" s="17" t="n"/>
      <c r="O1212" s="26">
        <f>IF($D1212="","",IFERROR(VLOOKUP($D1212,物料档案!$A$4:$P$1203,10,0),0))</f>
        <v/>
      </c>
      <c r="P1212" s="32" t="n"/>
      <c r="Q1212" s="26">
        <f>IF($D1212="","",IF($K1212&lt;&gt;"对外销售",0,ROUND(N($J1212)*IF($P1212="",N($O1212),N($P1212)),0)))</f>
        <v/>
      </c>
      <c r="R1212" s="26">
        <f>IF($D1212="","",IFERROR(VLOOKUP($D1212,库存台账!$A$5:$Y$1204,11,0),0))</f>
        <v/>
      </c>
      <c r="S1212" s="26">
        <f>IF($D1212="","",ROUND(N($J1212)*N($R1212),0))</f>
        <v/>
      </c>
      <c r="T1212" s="26">
        <f>IF($D1212="","",IF($K1212&lt;&gt;"对外销售","",ROUND($Q1212-$S1212,0)))</f>
        <v/>
      </c>
      <c r="U1212" s="17" t="n"/>
      <c r="V1212" s="17" t="n"/>
      <c r="W1212" s="24">
        <f>IF($D1212="","",IF($E1212="※编码不在物料档案里","※物料编码不在档案里",IF(N($J1212)&lt;=0,"※出库数量要大于 0",IF($K1212="","※没填去向类型",IF($L1212="","※没填去向矿区",IF(AND($C1212&lt;&gt;"",$C1212&lt;=结账锁),"※日期早于已结账截止日，不能再录",IF(AND($K1212="自用消耗",COUNTIF({"一矿区";"二矿区"},$L1212)=0),"※自用消耗的去向只能是一矿区或二矿区",IF(AND($K1212="对外销售",COUNTIF({"三矿区";"六矿区"},$L1212)=0),"※对外销售的去向只能是三矿区或六矿区",IF(AND($K1212="对外销售",ROUND($Q1212,0)=0),"※外销却没有售价，请填实际售价",IF(AND($K1212="对外销售",$T1212&lt;&gt;"",$T1212&lt;0),"※这一笔外销是亏的，请核对售价",IF(IFERROR(VLOOKUP($D1212,库存台账!$A$5:$Y$1204,24,0),0)&lt;-0.001,"※这个物料账面已经变成负数了，查一下是不是漏记入库","")))))))))))</f>
        <v/>
      </c>
    </row>
    <row r="1213">
      <c r="A1213" s="24">
        <f>IF($D1213="","",COUNTA($D$4:$D1213))</f>
        <v/>
      </c>
      <c r="B1213" s="17" t="n"/>
      <c r="C1213" s="30" t="n"/>
      <c r="D1213" s="17" t="n"/>
      <c r="E1213" s="24">
        <f>IF($D1213="","",IFERROR(VLOOKUP($D1213,物料档案!$A$4:$P$1203,3,0),"※编码不在物料档案里"))</f>
        <v/>
      </c>
      <c r="F1213" s="24">
        <f>IF($D1213="","",IFERROR(VLOOKUP($D1213,物料档案!$A$4:$P$1203,4,0),"※编码不在物料档案里"))</f>
        <v/>
      </c>
      <c r="G1213" s="24">
        <f>IF($D1213="","",IFERROR(VLOOKUP($D1213,物料档案!$A$4:$P$1203,5,0),"※编码不在物料档案里"))</f>
        <v/>
      </c>
      <c r="H1213" s="24">
        <f>IF($D1213="","",IFERROR(VLOOKUP($D1213,物料档案!$A$4:$P$1203,2,0),"※编码不在物料档案里"))</f>
        <v/>
      </c>
      <c r="I1213" s="24">
        <f>IF($D1213="","",IFERROR(VLOOKUP($D1213,物料档案!$A$4:$P$1203,6,0),"※编码不在物料档案里"))</f>
        <v/>
      </c>
      <c r="J1213" s="23" t="n"/>
      <c r="K1213" s="17" t="n"/>
      <c r="L1213" s="17" t="n"/>
      <c r="M1213" s="17" t="n"/>
      <c r="N1213" s="17" t="n"/>
      <c r="O1213" s="26">
        <f>IF($D1213="","",IFERROR(VLOOKUP($D1213,物料档案!$A$4:$P$1203,10,0),0))</f>
        <v/>
      </c>
      <c r="P1213" s="32" t="n"/>
      <c r="Q1213" s="26">
        <f>IF($D1213="","",IF($K1213&lt;&gt;"对外销售",0,ROUND(N($J1213)*IF($P1213="",N($O1213),N($P1213)),0)))</f>
        <v/>
      </c>
      <c r="R1213" s="26">
        <f>IF($D1213="","",IFERROR(VLOOKUP($D1213,库存台账!$A$5:$Y$1204,11,0),0))</f>
        <v/>
      </c>
      <c r="S1213" s="26">
        <f>IF($D1213="","",ROUND(N($J1213)*N($R1213),0))</f>
        <v/>
      </c>
      <c r="T1213" s="26">
        <f>IF($D1213="","",IF($K1213&lt;&gt;"对外销售","",ROUND($Q1213-$S1213,0)))</f>
        <v/>
      </c>
      <c r="U1213" s="17" t="n"/>
      <c r="V1213" s="17" t="n"/>
      <c r="W1213" s="24">
        <f>IF($D1213="","",IF($E1213="※编码不在物料档案里","※物料编码不在档案里",IF(N($J1213)&lt;=0,"※出库数量要大于 0",IF($K1213="","※没填去向类型",IF($L1213="","※没填去向矿区",IF(AND($C1213&lt;&gt;"",$C1213&lt;=结账锁),"※日期早于已结账截止日，不能再录",IF(AND($K1213="自用消耗",COUNTIF({"一矿区";"二矿区"},$L1213)=0),"※自用消耗的去向只能是一矿区或二矿区",IF(AND($K1213="对外销售",COUNTIF({"三矿区";"六矿区"},$L1213)=0),"※对外销售的去向只能是三矿区或六矿区",IF(AND($K1213="对外销售",ROUND($Q1213,0)=0),"※外销却没有售价，请填实际售价",IF(AND($K1213="对外销售",$T1213&lt;&gt;"",$T1213&lt;0),"※这一笔外销是亏的，请核对售价",IF(IFERROR(VLOOKUP($D1213,库存台账!$A$5:$Y$1204,24,0),0)&lt;-0.001,"※这个物料账面已经变成负数了，查一下是不是漏记入库","")))))))))))</f>
        <v/>
      </c>
    </row>
    <row r="1214">
      <c r="A1214" s="24">
        <f>IF($D1214="","",COUNTA($D$4:$D1214))</f>
        <v/>
      </c>
      <c r="B1214" s="17" t="n"/>
      <c r="C1214" s="30" t="n"/>
      <c r="D1214" s="17" t="n"/>
      <c r="E1214" s="24">
        <f>IF($D1214="","",IFERROR(VLOOKUP($D1214,物料档案!$A$4:$P$1203,3,0),"※编码不在物料档案里"))</f>
        <v/>
      </c>
      <c r="F1214" s="24">
        <f>IF($D1214="","",IFERROR(VLOOKUP($D1214,物料档案!$A$4:$P$1203,4,0),"※编码不在物料档案里"))</f>
        <v/>
      </c>
      <c r="G1214" s="24">
        <f>IF($D1214="","",IFERROR(VLOOKUP($D1214,物料档案!$A$4:$P$1203,5,0),"※编码不在物料档案里"))</f>
        <v/>
      </c>
      <c r="H1214" s="24">
        <f>IF($D1214="","",IFERROR(VLOOKUP($D1214,物料档案!$A$4:$P$1203,2,0),"※编码不在物料档案里"))</f>
        <v/>
      </c>
      <c r="I1214" s="24">
        <f>IF($D1214="","",IFERROR(VLOOKUP($D1214,物料档案!$A$4:$P$1203,6,0),"※编码不在物料档案里"))</f>
        <v/>
      </c>
      <c r="J1214" s="23" t="n"/>
      <c r="K1214" s="17" t="n"/>
      <c r="L1214" s="17" t="n"/>
      <c r="M1214" s="17" t="n"/>
      <c r="N1214" s="17" t="n"/>
      <c r="O1214" s="26">
        <f>IF($D1214="","",IFERROR(VLOOKUP($D1214,物料档案!$A$4:$P$1203,10,0),0))</f>
        <v/>
      </c>
      <c r="P1214" s="32" t="n"/>
      <c r="Q1214" s="26">
        <f>IF($D1214="","",IF($K1214&lt;&gt;"对外销售",0,ROUND(N($J1214)*IF($P1214="",N($O1214),N($P1214)),0)))</f>
        <v/>
      </c>
      <c r="R1214" s="26">
        <f>IF($D1214="","",IFERROR(VLOOKUP($D1214,库存台账!$A$5:$Y$1204,11,0),0))</f>
        <v/>
      </c>
      <c r="S1214" s="26">
        <f>IF($D1214="","",ROUND(N($J1214)*N($R1214),0))</f>
        <v/>
      </c>
      <c r="T1214" s="26">
        <f>IF($D1214="","",IF($K1214&lt;&gt;"对外销售","",ROUND($Q1214-$S1214,0)))</f>
        <v/>
      </c>
      <c r="U1214" s="17" t="n"/>
      <c r="V1214" s="17" t="n"/>
      <c r="W1214" s="24">
        <f>IF($D1214="","",IF($E1214="※编码不在物料档案里","※物料编码不在档案里",IF(N($J1214)&lt;=0,"※出库数量要大于 0",IF($K1214="","※没填去向类型",IF($L1214="","※没填去向矿区",IF(AND($C1214&lt;&gt;"",$C1214&lt;=结账锁),"※日期早于已结账截止日，不能再录",IF(AND($K1214="自用消耗",COUNTIF({"一矿区";"二矿区"},$L1214)=0),"※自用消耗的去向只能是一矿区或二矿区",IF(AND($K1214="对外销售",COUNTIF({"三矿区";"六矿区"},$L1214)=0),"※对外销售的去向只能是三矿区或六矿区",IF(AND($K1214="对外销售",ROUND($Q1214,0)=0),"※外销却没有售价，请填实际售价",IF(AND($K1214="对外销售",$T1214&lt;&gt;"",$T1214&lt;0),"※这一笔外销是亏的，请核对售价",IF(IFERROR(VLOOKUP($D1214,库存台账!$A$5:$Y$1204,24,0),0)&lt;-0.001,"※这个物料账面已经变成负数了，查一下是不是漏记入库","")))))))))))</f>
        <v/>
      </c>
    </row>
    <row r="1215">
      <c r="A1215" s="24">
        <f>IF($D1215="","",COUNTA($D$4:$D1215))</f>
        <v/>
      </c>
      <c r="B1215" s="17" t="n"/>
      <c r="C1215" s="30" t="n"/>
      <c r="D1215" s="17" t="n"/>
      <c r="E1215" s="24">
        <f>IF($D1215="","",IFERROR(VLOOKUP($D1215,物料档案!$A$4:$P$1203,3,0),"※编码不在物料档案里"))</f>
        <v/>
      </c>
      <c r="F1215" s="24">
        <f>IF($D1215="","",IFERROR(VLOOKUP($D1215,物料档案!$A$4:$P$1203,4,0),"※编码不在物料档案里"))</f>
        <v/>
      </c>
      <c r="G1215" s="24">
        <f>IF($D1215="","",IFERROR(VLOOKUP($D1215,物料档案!$A$4:$P$1203,5,0),"※编码不在物料档案里"))</f>
        <v/>
      </c>
      <c r="H1215" s="24">
        <f>IF($D1215="","",IFERROR(VLOOKUP($D1215,物料档案!$A$4:$P$1203,2,0),"※编码不在物料档案里"))</f>
        <v/>
      </c>
      <c r="I1215" s="24">
        <f>IF($D1215="","",IFERROR(VLOOKUP($D1215,物料档案!$A$4:$P$1203,6,0),"※编码不在物料档案里"))</f>
        <v/>
      </c>
      <c r="J1215" s="23" t="n"/>
      <c r="K1215" s="17" t="n"/>
      <c r="L1215" s="17" t="n"/>
      <c r="M1215" s="17" t="n"/>
      <c r="N1215" s="17" t="n"/>
      <c r="O1215" s="26">
        <f>IF($D1215="","",IFERROR(VLOOKUP($D1215,物料档案!$A$4:$P$1203,10,0),0))</f>
        <v/>
      </c>
      <c r="P1215" s="32" t="n"/>
      <c r="Q1215" s="26">
        <f>IF($D1215="","",IF($K1215&lt;&gt;"对外销售",0,ROUND(N($J1215)*IF($P1215="",N($O1215),N($P1215)),0)))</f>
        <v/>
      </c>
      <c r="R1215" s="26">
        <f>IF($D1215="","",IFERROR(VLOOKUP($D1215,库存台账!$A$5:$Y$1204,11,0),0))</f>
        <v/>
      </c>
      <c r="S1215" s="26">
        <f>IF($D1215="","",ROUND(N($J1215)*N($R1215),0))</f>
        <v/>
      </c>
      <c r="T1215" s="26">
        <f>IF($D1215="","",IF($K1215&lt;&gt;"对外销售","",ROUND($Q1215-$S1215,0)))</f>
        <v/>
      </c>
      <c r="U1215" s="17" t="n"/>
      <c r="V1215" s="17" t="n"/>
      <c r="W1215" s="24">
        <f>IF($D1215="","",IF($E1215="※编码不在物料档案里","※物料编码不在档案里",IF(N($J1215)&lt;=0,"※出库数量要大于 0",IF($K1215="","※没填去向类型",IF($L1215="","※没填去向矿区",IF(AND($C1215&lt;&gt;"",$C1215&lt;=结账锁),"※日期早于已结账截止日，不能再录",IF(AND($K1215="自用消耗",COUNTIF({"一矿区";"二矿区"},$L1215)=0),"※自用消耗的去向只能是一矿区或二矿区",IF(AND($K1215="对外销售",COUNTIF({"三矿区";"六矿区"},$L1215)=0),"※对外销售的去向只能是三矿区或六矿区",IF(AND($K1215="对外销售",ROUND($Q1215,0)=0),"※外销却没有售价，请填实际售价",IF(AND($K1215="对外销售",$T1215&lt;&gt;"",$T1215&lt;0),"※这一笔外销是亏的，请核对售价",IF(IFERROR(VLOOKUP($D1215,库存台账!$A$5:$Y$1204,24,0),0)&lt;-0.001,"※这个物料账面已经变成负数了，查一下是不是漏记入库","")))))))))))</f>
        <v/>
      </c>
    </row>
    <row r="1216">
      <c r="A1216" s="24">
        <f>IF($D1216="","",COUNTA($D$4:$D1216))</f>
        <v/>
      </c>
      <c r="B1216" s="17" t="n"/>
      <c r="C1216" s="30" t="n"/>
      <c r="D1216" s="17" t="n"/>
      <c r="E1216" s="24">
        <f>IF($D1216="","",IFERROR(VLOOKUP($D1216,物料档案!$A$4:$P$1203,3,0),"※编码不在物料档案里"))</f>
        <v/>
      </c>
      <c r="F1216" s="24">
        <f>IF($D1216="","",IFERROR(VLOOKUP($D1216,物料档案!$A$4:$P$1203,4,0),"※编码不在物料档案里"))</f>
        <v/>
      </c>
      <c r="G1216" s="24">
        <f>IF($D1216="","",IFERROR(VLOOKUP($D1216,物料档案!$A$4:$P$1203,5,0),"※编码不在物料档案里"))</f>
        <v/>
      </c>
      <c r="H1216" s="24">
        <f>IF($D1216="","",IFERROR(VLOOKUP($D1216,物料档案!$A$4:$P$1203,2,0),"※编码不在物料档案里"))</f>
        <v/>
      </c>
      <c r="I1216" s="24">
        <f>IF($D1216="","",IFERROR(VLOOKUP($D1216,物料档案!$A$4:$P$1203,6,0),"※编码不在物料档案里"))</f>
        <v/>
      </c>
      <c r="J1216" s="23" t="n"/>
      <c r="K1216" s="17" t="n"/>
      <c r="L1216" s="17" t="n"/>
      <c r="M1216" s="17" t="n"/>
      <c r="N1216" s="17" t="n"/>
      <c r="O1216" s="26">
        <f>IF($D1216="","",IFERROR(VLOOKUP($D1216,物料档案!$A$4:$P$1203,10,0),0))</f>
        <v/>
      </c>
      <c r="P1216" s="32" t="n"/>
      <c r="Q1216" s="26">
        <f>IF($D1216="","",IF($K1216&lt;&gt;"对外销售",0,ROUND(N($J1216)*IF($P1216="",N($O1216),N($P1216)),0)))</f>
        <v/>
      </c>
      <c r="R1216" s="26">
        <f>IF($D1216="","",IFERROR(VLOOKUP($D1216,库存台账!$A$5:$Y$1204,11,0),0))</f>
        <v/>
      </c>
      <c r="S1216" s="26">
        <f>IF($D1216="","",ROUND(N($J1216)*N($R1216),0))</f>
        <v/>
      </c>
      <c r="T1216" s="26">
        <f>IF($D1216="","",IF($K1216&lt;&gt;"对外销售","",ROUND($Q1216-$S1216,0)))</f>
        <v/>
      </c>
      <c r="U1216" s="17" t="n"/>
      <c r="V1216" s="17" t="n"/>
      <c r="W1216" s="24">
        <f>IF($D1216="","",IF($E1216="※编码不在物料档案里","※物料编码不在档案里",IF(N($J1216)&lt;=0,"※出库数量要大于 0",IF($K1216="","※没填去向类型",IF($L1216="","※没填去向矿区",IF(AND($C1216&lt;&gt;"",$C1216&lt;=结账锁),"※日期早于已结账截止日，不能再录",IF(AND($K1216="自用消耗",COUNTIF({"一矿区";"二矿区"},$L1216)=0),"※自用消耗的去向只能是一矿区或二矿区",IF(AND($K1216="对外销售",COUNTIF({"三矿区";"六矿区"},$L1216)=0),"※对外销售的去向只能是三矿区或六矿区",IF(AND($K1216="对外销售",ROUND($Q1216,0)=0),"※外销却没有售价，请填实际售价",IF(AND($K1216="对外销售",$T1216&lt;&gt;"",$T1216&lt;0),"※这一笔外销是亏的，请核对售价",IF(IFERROR(VLOOKUP($D1216,库存台账!$A$5:$Y$1204,24,0),0)&lt;-0.001,"※这个物料账面已经变成负数了，查一下是不是漏记入库","")))))))))))</f>
        <v/>
      </c>
    </row>
    <row r="1217">
      <c r="A1217" s="24">
        <f>IF($D1217="","",COUNTA($D$4:$D1217))</f>
        <v/>
      </c>
      <c r="B1217" s="17" t="n"/>
      <c r="C1217" s="30" t="n"/>
      <c r="D1217" s="17" t="n"/>
      <c r="E1217" s="24">
        <f>IF($D1217="","",IFERROR(VLOOKUP($D1217,物料档案!$A$4:$P$1203,3,0),"※编码不在物料档案里"))</f>
        <v/>
      </c>
      <c r="F1217" s="24">
        <f>IF($D1217="","",IFERROR(VLOOKUP($D1217,物料档案!$A$4:$P$1203,4,0),"※编码不在物料档案里"))</f>
        <v/>
      </c>
      <c r="G1217" s="24">
        <f>IF($D1217="","",IFERROR(VLOOKUP($D1217,物料档案!$A$4:$P$1203,5,0),"※编码不在物料档案里"))</f>
        <v/>
      </c>
      <c r="H1217" s="24">
        <f>IF($D1217="","",IFERROR(VLOOKUP($D1217,物料档案!$A$4:$P$1203,2,0),"※编码不在物料档案里"))</f>
        <v/>
      </c>
      <c r="I1217" s="24">
        <f>IF($D1217="","",IFERROR(VLOOKUP($D1217,物料档案!$A$4:$P$1203,6,0),"※编码不在物料档案里"))</f>
        <v/>
      </c>
      <c r="J1217" s="23" t="n"/>
      <c r="K1217" s="17" t="n"/>
      <c r="L1217" s="17" t="n"/>
      <c r="M1217" s="17" t="n"/>
      <c r="N1217" s="17" t="n"/>
      <c r="O1217" s="26">
        <f>IF($D1217="","",IFERROR(VLOOKUP($D1217,物料档案!$A$4:$P$1203,10,0),0))</f>
        <v/>
      </c>
      <c r="P1217" s="32" t="n"/>
      <c r="Q1217" s="26">
        <f>IF($D1217="","",IF($K1217&lt;&gt;"对外销售",0,ROUND(N($J1217)*IF($P1217="",N($O1217),N($P1217)),0)))</f>
        <v/>
      </c>
      <c r="R1217" s="26">
        <f>IF($D1217="","",IFERROR(VLOOKUP($D1217,库存台账!$A$5:$Y$1204,11,0),0))</f>
        <v/>
      </c>
      <c r="S1217" s="26">
        <f>IF($D1217="","",ROUND(N($J1217)*N($R1217),0))</f>
        <v/>
      </c>
      <c r="T1217" s="26">
        <f>IF($D1217="","",IF($K1217&lt;&gt;"对外销售","",ROUND($Q1217-$S1217,0)))</f>
        <v/>
      </c>
      <c r="U1217" s="17" t="n"/>
      <c r="V1217" s="17" t="n"/>
      <c r="W1217" s="24">
        <f>IF($D1217="","",IF($E1217="※编码不在物料档案里","※物料编码不在档案里",IF(N($J1217)&lt;=0,"※出库数量要大于 0",IF($K1217="","※没填去向类型",IF($L1217="","※没填去向矿区",IF(AND($C1217&lt;&gt;"",$C1217&lt;=结账锁),"※日期早于已结账截止日，不能再录",IF(AND($K1217="自用消耗",COUNTIF({"一矿区";"二矿区"},$L1217)=0),"※自用消耗的去向只能是一矿区或二矿区",IF(AND($K1217="对外销售",COUNTIF({"三矿区";"六矿区"},$L1217)=0),"※对外销售的去向只能是三矿区或六矿区",IF(AND($K1217="对外销售",ROUND($Q1217,0)=0),"※外销却没有售价，请填实际售价",IF(AND($K1217="对外销售",$T1217&lt;&gt;"",$T1217&lt;0),"※这一笔外销是亏的，请核对售价",IF(IFERROR(VLOOKUP($D1217,库存台账!$A$5:$Y$1204,24,0),0)&lt;-0.001,"※这个物料账面已经变成负数了，查一下是不是漏记入库","")))))))))))</f>
        <v/>
      </c>
    </row>
    <row r="1218">
      <c r="A1218" s="24">
        <f>IF($D1218="","",COUNTA($D$4:$D1218))</f>
        <v/>
      </c>
      <c r="B1218" s="17" t="n"/>
      <c r="C1218" s="30" t="n"/>
      <c r="D1218" s="17" t="n"/>
      <c r="E1218" s="24">
        <f>IF($D1218="","",IFERROR(VLOOKUP($D1218,物料档案!$A$4:$P$1203,3,0),"※编码不在物料档案里"))</f>
        <v/>
      </c>
      <c r="F1218" s="24">
        <f>IF($D1218="","",IFERROR(VLOOKUP($D1218,物料档案!$A$4:$P$1203,4,0),"※编码不在物料档案里"))</f>
        <v/>
      </c>
      <c r="G1218" s="24">
        <f>IF($D1218="","",IFERROR(VLOOKUP($D1218,物料档案!$A$4:$P$1203,5,0),"※编码不在物料档案里"))</f>
        <v/>
      </c>
      <c r="H1218" s="24">
        <f>IF($D1218="","",IFERROR(VLOOKUP($D1218,物料档案!$A$4:$P$1203,2,0),"※编码不在物料档案里"))</f>
        <v/>
      </c>
      <c r="I1218" s="24">
        <f>IF($D1218="","",IFERROR(VLOOKUP($D1218,物料档案!$A$4:$P$1203,6,0),"※编码不在物料档案里"))</f>
        <v/>
      </c>
      <c r="J1218" s="23" t="n"/>
      <c r="K1218" s="17" t="n"/>
      <c r="L1218" s="17" t="n"/>
      <c r="M1218" s="17" t="n"/>
      <c r="N1218" s="17" t="n"/>
      <c r="O1218" s="26">
        <f>IF($D1218="","",IFERROR(VLOOKUP($D1218,物料档案!$A$4:$P$1203,10,0),0))</f>
        <v/>
      </c>
      <c r="P1218" s="32" t="n"/>
      <c r="Q1218" s="26">
        <f>IF($D1218="","",IF($K1218&lt;&gt;"对外销售",0,ROUND(N($J1218)*IF($P1218="",N($O1218),N($P1218)),0)))</f>
        <v/>
      </c>
      <c r="R1218" s="26">
        <f>IF($D1218="","",IFERROR(VLOOKUP($D1218,库存台账!$A$5:$Y$1204,11,0),0))</f>
        <v/>
      </c>
      <c r="S1218" s="26">
        <f>IF($D1218="","",ROUND(N($J1218)*N($R1218),0))</f>
        <v/>
      </c>
      <c r="T1218" s="26">
        <f>IF($D1218="","",IF($K1218&lt;&gt;"对外销售","",ROUND($Q1218-$S1218,0)))</f>
        <v/>
      </c>
      <c r="U1218" s="17" t="n"/>
      <c r="V1218" s="17" t="n"/>
      <c r="W1218" s="24">
        <f>IF($D1218="","",IF($E1218="※编码不在物料档案里","※物料编码不在档案里",IF(N($J1218)&lt;=0,"※出库数量要大于 0",IF($K1218="","※没填去向类型",IF($L1218="","※没填去向矿区",IF(AND($C1218&lt;&gt;"",$C1218&lt;=结账锁),"※日期早于已结账截止日，不能再录",IF(AND($K1218="自用消耗",COUNTIF({"一矿区";"二矿区"},$L1218)=0),"※自用消耗的去向只能是一矿区或二矿区",IF(AND($K1218="对外销售",COUNTIF({"三矿区";"六矿区"},$L1218)=0),"※对外销售的去向只能是三矿区或六矿区",IF(AND($K1218="对外销售",ROUND($Q1218,0)=0),"※外销却没有售价，请填实际售价",IF(AND($K1218="对外销售",$T1218&lt;&gt;"",$T1218&lt;0),"※这一笔外销是亏的，请核对售价",IF(IFERROR(VLOOKUP($D1218,库存台账!$A$5:$Y$1204,24,0),0)&lt;-0.001,"※这个物料账面已经变成负数了，查一下是不是漏记入库","")))))))))))</f>
        <v/>
      </c>
    </row>
    <row r="1219">
      <c r="A1219" s="24">
        <f>IF($D1219="","",COUNTA($D$4:$D1219))</f>
        <v/>
      </c>
      <c r="B1219" s="17" t="n"/>
      <c r="C1219" s="30" t="n"/>
      <c r="D1219" s="17" t="n"/>
      <c r="E1219" s="24">
        <f>IF($D1219="","",IFERROR(VLOOKUP($D1219,物料档案!$A$4:$P$1203,3,0),"※编码不在物料档案里"))</f>
        <v/>
      </c>
      <c r="F1219" s="24">
        <f>IF($D1219="","",IFERROR(VLOOKUP($D1219,物料档案!$A$4:$P$1203,4,0),"※编码不在物料档案里"))</f>
        <v/>
      </c>
      <c r="G1219" s="24">
        <f>IF($D1219="","",IFERROR(VLOOKUP($D1219,物料档案!$A$4:$P$1203,5,0),"※编码不在物料档案里"))</f>
        <v/>
      </c>
      <c r="H1219" s="24">
        <f>IF($D1219="","",IFERROR(VLOOKUP($D1219,物料档案!$A$4:$P$1203,2,0),"※编码不在物料档案里"))</f>
        <v/>
      </c>
      <c r="I1219" s="24">
        <f>IF($D1219="","",IFERROR(VLOOKUP($D1219,物料档案!$A$4:$P$1203,6,0),"※编码不在物料档案里"))</f>
        <v/>
      </c>
      <c r="J1219" s="23" t="n"/>
      <c r="K1219" s="17" t="n"/>
      <c r="L1219" s="17" t="n"/>
      <c r="M1219" s="17" t="n"/>
      <c r="N1219" s="17" t="n"/>
      <c r="O1219" s="26">
        <f>IF($D1219="","",IFERROR(VLOOKUP($D1219,物料档案!$A$4:$P$1203,10,0),0))</f>
        <v/>
      </c>
      <c r="P1219" s="32" t="n"/>
      <c r="Q1219" s="26">
        <f>IF($D1219="","",IF($K1219&lt;&gt;"对外销售",0,ROUND(N($J1219)*IF($P1219="",N($O1219),N($P1219)),0)))</f>
        <v/>
      </c>
      <c r="R1219" s="26">
        <f>IF($D1219="","",IFERROR(VLOOKUP($D1219,库存台账!$A$5:$Y$1204,11,0),0))</f>
        <v/>
      </c>
      <c r="S1219" s="26">
        <f>IF($D1219="","",ROUND(N($J1219)*N($R1219),0))</f>
        <v/>
      </c>
      <c r="T1219" s="26">
        <f>IF($D1219="","",IF($K1219&lt;&gt;"对外销售","",ROUND($Q1219-$S1219,0)))</f>
        <v/>
      </c>
      <c r="U1219" s="17" t="n"/>
      <c r="V1219" s="17" t="n"/>
      <c r="W1219" s="24">
        <f>IF($D1219="","",IF($E1219="※编码不在物料档案里","※物料编码不在档案里",IF(N($J1219)&lt;=0,"※出库数量要大于 0",IF($K1219="","※没填去向类型",IF($L1219="","※没填去向矿区",IF(AND($C1219&lt;&gt;"",$C1219&lt;=结账锁),"※日期早于已结账截止日，不能再录",IF(AND($K1219="自用消耗",COUNTIF({"一矿区";"二矿区"},$L1219)=0),"※自用消耗的去向只能是一矿区或二矿区",IF(AND($K1219="对外销售",COUNTIF({"三矿区";"六矿区"},$L1219)=0),"※对外销售的去向只能是三矿区或六矿区",IF(AND($K1219="对外销售",ROUND($Q1219,0)=0),"※外销却没有售价，请填实际售价",IF(AND($K1219="对外销售",$T1219&lt;&gt;"",$T1219&lt;0),"※这一笔外销是亏的，请核对售价",IF(IFERROR(VLOOKUP($D1219,库存台账!$A$5:$Y$1204,24,0),0)&lt;-0.001,"※这个物料账面已经变成负数了，查一下是不是漏记入库","")))))))))))</f>
        <v/>
      </c>
    </row>
    <row r="1220">
      <c r="A1220" s="24">
        <f>IF($D1220="","",COUNTA($D$4:$D1220))</f>
        <v/>
      </c>
      <c r="B1220" s="17" t="n"/>
      <c r="C1220" s="30" t="n"/>
      <c r="D1220" s="17" t="n"/>
      <c r="E1220" s="24">
        <f>IF($D1220="","",IFERROR(VLOOKUP($D1220,物料档案!$A$4:$P$1203,3,0),"※编码不在物料档案里"))</f>
        <v/>
      </c>
      <c r="F1220" s="24">
        <f>IF($D1220="","",IFERROR(VLOOKUP($D1220,物料档案!$A$4:$P$1203,4,0),"※编码不在物料档案里"))</f>
        <v/>
      </c>
      <c r="G1220" s="24">
        <f>IF($D1220="","",IFERROR(VLOOKUP($D1220,物料档案!$A$4:$P$1203,5,0),"※编码不在物料档案里"))</f>
        <v/>
      </c>
      <c r="H1220" s="24">
        <f>IF($D1220="","",IFERROR(VLOOKUP($D1220,物料档案!$A$4:$P$1203,2,0),"※编码不在物料档案里"))</f>
        <v/>
      </c>
      <c r="I1220" s="24">
        <f>IF($D1220="","",IFERROR(VLOOKUP($D1220,物料档案!$A$4:$P$1203,6,0),"※编码不在物料档案里"))</f>
        <v/>
      </c>
      <c r="J1220" s="23" t="n"/>
      <c r="K1220" s="17" t="n"/>
      <c r="L1220" s="17" t="n"/>
      <c r="M1220" s="17" t="n"/>
      <c r="N1220" s="17" t="n"/>
      <c r="O1220" s="26">
        <f>IF($D1220="","",IFERROR(VLOOKUP($D1220,物料档案!$A$4:$P$1203,10,0),0))</f>
        <v/>
      </c>
      <c r="P1220" s="32" t="n"/>
      <c r="Q1220" s="26">
        <f>IF($D1220="","",IF($K1220&lt;&gt;"对外销售",0,ROUND(N($J1220)*IF($P1220="",N($O1220),N($P1220)),0)))</f>
        <v/>
      </c>
      <c r="R1220" s="26">
        <f>IF($D1220="","",IFERROR(VLOOKUP($D1220,库存台账!$A$5:$Y$1204,11,0),0))</f>
        <v/>
      </c>
      <c r="S1220" s="26">
        <f>IF($D1220="","",ROUND(N($J1220)*N($R1220),0))</f>
        <v/>
      </c>
      <c r="T1220" s="26">
        <f>IF($D1220="","",IF($K1220&lt;&gt;"对外销售","",ROUND($Q1220-$S1220,0)))</f>
        <v/>
      </c>
      <c r="U1220" s="17" t="n"/>
      <c r="V1220" s="17" t="n"/>
      <c r="W1220" s="24">
        <f>IF($D1220="","",IF($E1220="※编码不在物料档案里","※物料编码不在档案里",IF(N($J1220)&lt;=0,"※出库数量要大于 0",IF($K1220="","※没填去向类型",IF($L1220="","※没填去向矿区",IF(AND($C1220&lt;&gt;"",$C1220&lt;=结账锁),"※日期早于已结账截止日，不能再录",IF(AND($K1220="自用消耗",COUNTIF({"一矿区";"二矿区"},$L1220)=0),"※自用消耗的去向只能是一矿区或二矿区",IF(AND($K1220="对外销售",COUNTIF({"三矿区";"六矿区"},$L1220)=0),"※对外销售的去向只能是三矿区或六矿区",IF(AND($K1220="对外销售",ROUND($Q1220,0)=0),"※外销却没有售价，请填实际售价",IF(AND($K1220="对外销售",$T1220&lt;&gt;"",$T1220&lt;0),"※这一笔外销是亏的，请核对售价",IF(IFERROR(VLOOKUP($D1220,库存台账!$A$5:$Y$1204,24,0),0)&lt;-0.001,"※这个物料账面已经变成负数了，查一下是不是漏记入库","")))))))))))</f>
        <v/>
      </c>
    </row>
    <row r="1221">
      <c r="A1221" s="24">
        <f>IF($D1221="","",COUNTA($D$4:$D1221))</f>
        <v/>
      </c>
      <c r="B1221" s="17" t="n"/>
      <c r="C1221" s="30" t="n"/>
      <c r="D1221" s="17" t="n"/>
      <c r="E1221" s="24">
        <f>IF($D1221="","",IFERROR(VLOOKUP($D1221,物料档案!$A$4:$P$1203,3,0),"※编码不在物料档案里"))</f>
        <v/>
      </c>
      <c r="F1221" s="24">
        <f>IF($D1221="","",IFERROR(VLOOKUP($D1221,物料档案!$A$4:$P$1203,4,0),"※编码不在物料档案里"))</f>
        <v/>
      </c>
      <c r="G1221" s="24">
        <f>IF($D1221="","",IFERROR(VLOOKUP($D1221,物料档案!$A$4:$P$1203,5,0),"※编码不在物料档案里"))</f>
        <v/>
      </c>
      <c r="H1221" s="24">
        <f>IF($D1221="","",IFERROR(VLOOKUP($D1221,物料档案!$A$4:$P$1203,2,0),"※编码不在物料档案里"))</f>
        <v/>
      </c>
      <c r="I1221" s="24">
        <f>IF($D1221="","",IFERROR(VLOOKUP($D1221,物料档案!$A$4:$P$1203,6,0),"※编码不在物料档案里"))</f>
        <v/>
      </c>
      <c r="J1221" s="23" t="n"/>
      <c r="K1221" s="17" t="n"/>
      <c r="L1221" s="17" t="n"/>
      <c r="M1221" s="17" t="n"/>
      <c r="N1221" s="17" t="n"/>
      <c r="O1221" s="26">
        <f>IF($D1221="","",IFERROR(VLOOKUP($D1221,物料档案!$A$4:$P$1203,10,0),0))</f>
        <v/>
      </c>
      <c r="P1221" s="32" t="n"/>
      <c r="Q1221" s="26">
        <f>IF($D1221="","",IF($K1221&lt;&gt;"对外销售",0,ROUND(N($J1221)*IF($P1221="",N($O1221),N($P1221)),0)))</f>
        <v/>
      </c>
      <c r="R1221" s="26">
        <f>IF($D1221="","",IFERROR(VLOOKUP($D1221,库存台账!$A$5:$Y$1204,11,0),0))</f>
        <v/>
      </c>
      <c r="S1221" s="26">
        <f>IF($D1221="","",ROUND(N($J1221)*N($R1221),0))</f>
        <v/>
      </c>
      <c r="T1221" s="26">
        <f>IF($D1221="","",IF($K1221&lt;&gt;"对外销售","",ROUND($Q1221-$S1221,0)))</f>
        <v/>
      </c>
      <c r="U1221" s="17" t="n"/>
      <c r="V1221" s="17" t="n"/>
      <c r="W1221" s="24">
        <f>IF($D1221="","",IF($E1221="※编码不在物料档案里","※物料编码不在档案里",IF(N($J1221)&lt;=0,"※出库数量要大于 0",IF($K1221="","※没填去向类型",IF($L1221="","※没填去向矿区",IF(AND($C1221&lt;&gt;"",$C1221&lt;=结账锁),"※日期早于已结账截止日，不能再录",IF(AND($K1221="自用消耗",COUNTIF({"一矿区";"二矿区"},$L1221)=0),"※自用消耗的去向只能是一矿区或二矿区",IF(AND($K1221="对外销售",COUNTIF({"三矿区";"六矿区"},$L1221)=0),"※对外销售的去向只能是三矿区或六矿区",IF(AND($K1221="对外销售",ROUND($Q1221,0)=0),"※外销却没有售价，请填实际售价",IF(AND($K1221="对外销售",$T1221&lt;&gt;"",$T1221&lt;0),"※这一笔外销是亏的，请核对售价",IF(IFERROR(VLOOKUP($D1221,库存台账!$A$5:$Y$1204,24,0),0)&lt;-0.001,"※这个物料账面已经变成负数了，查一下是不是漏记入库","")))))))))))</f>
        <v/>
      </c>
    </row>
    <row r="1222">
      <c r="A1222" s="24">
        <f>IF($D1222="","",COUNTA($D$4:$D1222))</f>
        <v/>
      </c>
      <c r="B1222" s="17" t="n"/>
      <c r="C1222" s="30" t="n"/>
      <c r="D1222" s="17" t="n"/>
      <c r="E1222" s="24">
        <f>IF($D1222="","",IFERROR(VLOOKUP($D1222,物料档案!$A$4:$P$1203,3,0),"※编码不在物料档案里"))</f>
        <v/>
      </c>
      <c r="F1222" s="24">
        <f>IF($D1222="","",IFERROR(VLOOKUP($D1222,物料档案!$A$4:$P$1203,4,0),"※编码不在物料档案里"))</f>
        <v/>
      </c>
      <c r="G1222" s="24">
        <f>IF($D1222="","",IFERROR(VLOOKUP($D1222,物料档案!$A$4:$P$1203,5,0),"※编码不在物料档案里"))</f>
        <v/>
      </c>
      <c r="H1222" s="24">
        <f>IF($D1222="","",IFERROR(VLOOKUP($D1222,物料档案!$A$4:$P$1203,2,0),"※编码不在物料档案里"))</f>
        <v/>
      </c>
      <c r="I1222" s="24">
        <f>IF($D1222="","",IFERROR(VLOOKUP($D1222,物料档案!$A$4:$P$1203,6,0),"※编码不在物料档案里"))</f>
        <v/>
      </c>
      <c r="J1222" s="23" t="n"/>
      <c r="K1222" s="17" t="n"/>
      <c r="L1222" s="17" t="n"/>
      <c r="M1222" s="17" t="n"/>
      <c r="N1222" s="17" t="n"/>
      <c r="O1222" s="26">
        <f>IF($D1222="","",IFERROR(VLOOKUP($D1222,物料档案!$A$4:$P$1203,10,0),0))</f>
        <v/>
      </c>
      <c r="P1222" s="32" t="n"/>
      <c r="Q1222" s="26">
        <f>IF($D1222="","",IF($K1222&lt;&gt;"对外销售",0,ROUND(N($J1222)*IF($P1222="",N($O1222),N($P1222)),0)))</f>
        <v/>
      </c>
      <c r="R1222" s="26">
        <f>IF($D1222="","",IFERROR(VLOOKUP($D1222,库存台账!$A$5:$Y$1204,11,0),0))</f>
        <v/>
      </c>
      <c r="S1222" s="26">
        <f>IF($D1222="","",ROUND(N($J1222)*N($R1222),0))</f>
        <v/>
      </c>
      <c r="T1222" s="26">
        <f>IF($D1222="","",IF($K1222&lt;&gt;"对外销售","",ROUND($Q1222-$S1222,0)))</f>
        <v/>
      </c>
      <c r="U1222" s="17" t="n"/>
      <c r="V1222" s="17" t="n"/>
      <c r="W1222" s="24">
        <f>IF($D1222="","",IF($E1222="※编码不在物料档案里","※物料编码不在档案里",IF(N($J1222)&lt;=0,"※出库数量要大于 0",IF($K1222="","※没填去向类型",IF($L1222="","※没填去向矿区",IF(AND($C1222&lt;&gt;"",$C1222&lt;=结账锁),"※日期早于已结账截止日，不能再录",IF(AND($K1222="自用消耗",COUNTIF({"一矿区";"二矿区"},$L1222)=0),"※自用消耗的去向只能是一矿区或二矿区",IF(AND($K1222="对外销售",COUNTIF({"三矿区";"六矿区"},$L1222)=0),"※对外销售的去向只能是三矿区或六矿区",IF(AND($K1222="对外销售",ROUND($Q1222,0)=0),"※外销却没有售价，请填实际售价",IF(AND($K1222="对外销售",$T1222&lt;&gt;"",$T1222&lt;0),"※这一笔外销是亏的，请核对售价",IF(IFERROR(VLOOKUP($D1222,库存台账!$A$5:$Y$1204,24,0),0)&lt;-0.001,"※这个物料账面已经变成负数了，查一下是不是漏记入库","")))))))))))</f>
        <v/>
      </c>
    </row>
    <row r="1223">
      <c r="A1223" s="24">
        <f>IF($D1223="","",COUNTA($D$4:$D1223))</f>
        <v/>
      </c>
      <c r="B1223" s="17" t="n"/>
      <c r="C1223" s="30" t="n"/>
      <c r="D1223" s="17" t="n"/>
      <c r="E1223" s="24">
        <f>IF($D1223="","",IFERROR(VLOOKUP($D1223,物料档案!$A$4:$P$1203,3,0),"※编码不在物料档案里"))</f>
        <v/>
      </c>
      <c r="F1223" s="24">
        <f>IF($D1223="","",IFERROR(VLOOKUP($D1223,物料档案!$A$4:$P$1203,4,0),"※编码不在物料档案里"))</f>
        <v/>
      </c>
      <c r="G1223" s="24">
        <f>IF($D1223="","",IFERROR(VLOOKUP($D1223,物料档案!$A$4:$P$1203,5,0),"※编码不在物料档案里"))</f>
        <v/>
      </c>
      <c r="H1223" s="24">
        <f>IF($D1223="","",IFERROR(VLOOKUP($D1223,物料档案!$A$4:$P$1203,2,0),"※编码不在物料档案里"))</f>
        <v/>
      </c>
      <c r="I1223" s="24">
        <f>IF($D1223="","",IFERROR(VLOOKUP($D1223,物料档案!$A$4:$P$1203,6,0),"※编码不在物料档案里"))</f>
        <v/>
      </c>
      <c r="J1223" s="23" t="n"/>
      <c r="K1223" s="17" t="n"/>
      <c r="L1223" s="17" t="n"/>
      <c r="M1223" s="17" t="n"/>
      <c r="N1223" s="17" t="n"/>
      <c r="O1223" s="26">
        <f>IF($D1223="","",IFERROR(VLOOKUP($D1223,物料档案!$A$4:$P$1203,10,0),0))</f>
        <v/>
      </c>
      <c r="P1223" s="32" t="n"/>
      <c r="Q1223" s="26">
        <f>IF($D1223="","",IF($K1223&lt;&gt;"对外销售",0,ROUND(N($J1223)*IF($P1223="",N($O1223),N($P1223)),0)))</f>
        <v/>
      </c>
      <c r="R1223" s="26">
        <f>IF($D1223="","",IFERROR(VLOOKUP($D1223,库存台账!$A$5:$Y$1204,11,0),0))</f>
        <v/>
      </c>
      <c r="S1223" s="26">
        <f>IF($D1223="","",ROUND(N($J1223)*N($R1223),0))</f>
        <v/>
      </c>
      <c r="T1223" s="26">
        <f>IF($D1223="","",IF($K1223&lt;&gt;"对外销售","",ROUND($Q1223-$S1223,0)))</f>
        <v/>
      </c>
      <c r="U1223" s="17" t="n"/>
      <c r="V1223" s="17" t="n"/>
      <c r="W1223" s="24">
        <f>IF($D1223="","",IF($E1223="※编码不在物料档案里","※物料编码不在档案里",IF(N($J1223)&lt;=0,"※出库数量要大于 0",IF($K1223="","※没填去向类型",IF($L1223="","※没填去向矿区",IF(AND($C1223&lt;&gt;"",$C1223&lt;=结账锁),"※日期早于已结账截止日，不能再录",IF(AND($K1223="自用消耗",COUNTIF({"一矿区";"二矿区"},$L1223)=0),"※自用消耗的去向只能是一矿区或二矿区",IF(AND($K1223="对外销售",COUNTIF({"三矿区";"六矿区"},$L1223)=0),"※对外销售的去向只能是三矿区或六矿区",IF(AND($K1223="对外销售",ROUND($Q1223,0)=0),"※外销却没有售价，请填实际售价",IF(AND($K1223="对外销售",$T1223&lt;&gt;"",$T1223&lt;0),"※这一笔外销是亏的，请核对售价",IF(IFERROR(VLOOKUP($D1223,库存台账!$A$5:$Y$1204,24,0),0)&lt;-0.001,"※这个物料账面已经变成负数了，查一下是不是漏记入库","")))))))))))</f>
        <v/>
      </c>
    </row>
    <row r="1224">
      <c r="A1224" s="24">
        <f>IF($D1224="","",COUNTA($D$4:$D1224))</f>
        <v/>
      </c>
      <c r="B1224" s="17" t="n"/>
      <c r="C1224" s="30" t="n"/>
      <c r="D1224" s="17" t="n"/>
      <c r="E1224" s="24">
        <f>IF($D1224="","",IFERROR(VLOOKUP($D1224,物料档案!$A$4:$P$1203,3,0),"※编码不在物料档案里"))</f>
        <v/>
      </c>
      <c r="F1224" s="24">
        <f>IF($D1224="","",IFERROR(VLOOKUP($D1224,物料档案!$A$4:$P$1203,4,0),"※编码不在物料档案里"))</f>
        <v/>
      </c>
      <c r="G1224" s="24">
        <f>IF($D1224="","",IFERROR(VLOOKUP($D1224,物料档案!$A$4:$P$1203,5,0),"※编码不在物料档案里"))</f>
        <v/>
      </c>
      <c r="H1224" s="24">
        <f>IF($D1224="","",IFERROR(VLOOKUP($D1224,物料档案!$A$4:$P$1203,2,0),"※编码不在物料档案里"))</f>
        <v/>
      </c>
      <c r="I1224" s="24">
        <f>IF($D1224="","",IFERROR(VLOOKUP($D1224,物料档案!$A$4:$P$1203,6,0),"※编码不在物料档案里"))</f>
        <v/>
      </c>
      <c r="J1224" s="23" t="n"/>
      <c r="K1224" s="17" t="n"/>
      <c r="L1224" s="17" t="n"/>
      <c r="M1224" s="17" t="n"/>
      <c r="N1224" s="17" t="n"/>
      <c r="O1224" s="26">
        <f>IF($D1224="","",IFERROR(VLOOKUP($D1224,物料档案!$A$4:$P$1203,10,0),0))</f>
        <v/>
      </c>
      <c r="P1224" s="32" t="n"/>
      <c r="Q1224" s="26">
        <f>IF($D1224="","",IF($K1224&lt;&gt;"对外销售",0,ROUND(N($J1224)*IF($P1224="",N($O1224),N($P1224)),0)))</f>
        <v/>
      </c>
      <c r="R1224" s="26">
        <f>IF($D1224="","",IFERROR(VLOOKUP($D1224,库存台账!$A$5:$Y$1204,11,0),0))</f>
        <v/>
      </c>
      <c r="S1224" s="26">
        <f>IF($D1224="","",ROUND(N($J1224)*N($R1224),0))</f>
        <v/>
      </c>
      <c r="T1224" s="26">
        <f>IF($D1224="","",IF($K1224&lt;&gt;"对外销售","",ROUND($Q1224-$S1224,0)))</f>
        <v/>
      </c>
      <c r="U1224" s="17" t="n"/>
      <c r="V1224" s="17" t="n"/>
      <c r="W1224" s="24">
        <f>IF($D1224="","",IF($E1224="※编码不在物料档案里","※物料编码不在档案里",IF(N($J1224)&lt;=0,"※出库数量要大于 0",IF($K1224="","※没填去向类型",IF($L1224="","※没填去向矿区",IF(AND($C1224&lt;&gt;"",$C1224&lt;=结账锁),"※日期早于已结账截止日，不能再录",IF(AND($K1224="自用消耗",COUNTIF({"一矿区";"二矿区"},$L1224)=0),"※自用消耗的去向只能是一矿区或二矿区",IF(AND($K1224="对外销售",COUNTIF({"三矿区";"六矿区"},$L1224)=0),"※对外销售的去向只能是三矿区或六矿区",IF(AND($K1224="对外销售",ROUND($Q1224,0)=0),"※外销却没有售价，请填实际售价",IF(AND($K1224="对外销售",$T1224&lt;&gt;"",$T1224&lt;0),"※这一笔外销是亏的，请核对售价",IF(IFERROR(VLOOKUP($D1224,库存台账!$A$5:$Y$1204,24,0),0)&lt;-0.001,"※这个物料账面已经变成负数了，查一下是不是漏记入库","")))))))))))</f>
        <v/>
      </c>
    </row>
    <row r="1225">
      <c r="A1225" s="24">
        <f>IF($D1225="","",COUNTA($D$4:$D1225))</f>
        <v/>
      </c>
      <c r="B1225" s="17" t="n"/>
      <c r="C1225" s="30" t="n"/>
      <c r="D1225" s="17" t="n"/>
      <c r="E1225" s="24">
        <f>IF($D1225="","",IFERROR(VLOOKUP($D1225,物料档案!$A$4:$P$1203,3,0),"※编码不在物料档案里"))</f>
        <v/>
      </c>
      <c r="F1225" s="24">
        <f>IF($D1225="","",IFERROR(VLOOKUP($D1225,物料档案!$A$4:$P$1203,4,0),"※编码不在物料档案里"))</f>
        <v/>
      </c>
      <c r="G1225" s="24">
        <f>IF($D1225="","",IFERROR(VLOOKUP($D1225,物料档案!$A$4:$P$1203,5,0),"※编码不在物料档案里"))</f>
        <v/>
      </c>
      <c r="H1225" s="24">
        <f>IF($D1225="","",IFERROR(VLOOKUP($D1225,物料档案!$A$4:$P$1203,2,0),"※编码不在物料档案里"))</f>
        <v/>
      </c>
      <c r="I1225" s="24">
        <f>IF($D1225="","",IFERROR(VLOOKUP($D1225,物料档案!$A$4:$P$1203,6,0),"※编码不在物料档案里"))</f>
        <v/>
      </c>
      <c r="J1225" s="23" t="n"/>
      <c r="K1225" s="17" t="n"/>
      <c r="L1225" s="17" t="n"/>
      <c r="M1225" s="17" t="n"/>
      <c r="N1225" s="17" t="n"/>
      <c r="O1225" s="26">
        <f>IF($D1225="","",IFERROR(VLOOKUP($D1225,物料档案!$A$4:$P$1203,10,0),0))</f>
        <v/>
      </c>
      <c r="P1225" s="32" t="n"/>
      <c r="Q1225" s="26">
        <f>IF($D1225="","",IF($K1225&lt;&gt;"对外销售",0,ROUND(N($J1225)*IF($P1225="",N($O1225),N($P1225)),0)))</f>
        <v/>
      </c>
      <c r="R1225" s="26">
        <f>IF($D1225="","",IFERROR(VLOOKUP($D1225,库存台账!$A$5:$Y$1204,11,0),0))</f>
        <v/>
      </c>
      <c r="S1225" s="26">
        <f>IF($D1225="","",ROUND(N($J1225)*N($R1225),0))</f>
        <v/>
      </c>
      <c r="T1225" s="26">
        <f>IF($D1225="","",IF($K1225&lt;&gt;"对外销售","",ROUND($Q1225-$S1225,0)))</f>
        <v/>
      </c>
      <c r="U1225" s="17" t="n"/>
      <c r="V1225" s="17" t="n"/>
      <c r="W1225" s="24">
        <f>IF($D1225="","",IF($E1225="※编码不在物料档案里","※物料编码不在档案里",IF(N($J1225)&lt;=0,"※出库数量要大于 0",IF($K1225="","※没填去向类型",IF($L1225="","※没填去向矿区",IF(AND($C1225&lt;&gt;"",$C1225&lt;=结账锁),"※日期早于已结账截止日，不能再录",IF(AND($K1225="自用消耗",COUNTIF({"一矿区";"二矿区"},$L1225)=0),"※自用消耗的去向只能是一矿区或二矿区",IF(AND($K1225="对外销售",COUNTIF({"三矿区";"六矿区"},$L1225)=0),"※对外销售的去向只能是三矿区或六矿区",IF(AND($K1225="对外销售",ROUND($Q1225,0)=0),"※外销却没有售价，请填实际售价",IF(AND($K1225="对外销售",$T1225&lt;&gt;"",$T1225&lt;0),"※这一笔外销是亏的，请核对售价",IF(IFERROR(VLOOKUP($D1225,库存台账!$A$5:$Y$1204,24,0),0)&lt;-0.001,"※这个物料账面已经变成负数了，查一下是不是漏记入库","")))))))))))</f>
        <v/>
      </c>
    </row>
    <row r="1226">
      <c r="A1226" s="24">
        <f>IF($D1226="","",COUNTA($D$4:$D1226))</f>
        <v/>
      </c>
      <c r="B1226" s="17" t="n"/>
      <c r="C1226" s="30" t="n"/>
      <c r="D1226" s="17" t="n"/>
      <c r="E1226" s="24">
        <f>IF($D1226="","",IFERROR(VLOOKUP($D1226,物料档案!$A$4:$P$1203,3,0),"※编码不在物料档案里"))</f>
        <v/>
      </c>
      <c r="F1226" s="24">
        <f>IF($D1226="","",IFERROR(VLOOKUP($D1226,物料档案!$A$4:$P$1203,4,0),"※编码不在物料档案里"))</f>
        <v/>
      </c>
      <c r="G1226" s="24">
        <f>IF($D1226="","",IFERROR(VLOOKUP($D1226,物料档案!$A$4:$P$1203,5,0),"※编码不在物料档案里"))</f>
        <v/>
      </c>
      <c r="H1226" s="24">
        <f>IF($D1226="","",IFERROR(VLOOKUP($D1226,物料档案!$A$4:$P$1203,2,0),"※编码不在物料档案里"))</f>
        <v/>
      </c>
      <c r="I1226" s="24">
        <f>IF($D1226="","",IFERROR(VLOOKUP($D1226,物料档案!$A$4:$P$1203,6,0),"※编码不在物料档案里"))</f>
        <v/>
      </c>
      <c r="J1226" s="23" t="n"/>
      <c r="K1226" s="17" t="n"/>
      <c r="L1226" s="17" t="n"/>
      <c r="M1226" s="17" t="n"/>
      <c r="N1226" s="17" t="n"/>
      <c r="O1226" s="26">
        <f>IF($D1226="","",IFERROR(VLOOKUP($D1226,物料档案!$A$4:$P$1203,10,0),0))</f>
        <v/>
      </c>
      <c r="P1226" s="32" t="n"/>
      <c r="Q1226" s="26">
        <f>IF($D1226="","",IF($K1226&lt;&gt;"对外销售",0,ROUND(N($J1226)*IF($P1226="",N($O1226),N($P1226)),0)))</f>
        <v/>
      </c>
      <c r="R1226" s="26">
        <f>IF($D1226="","",IFERROR(VLOOKUP($D1226,库存台账!$A$5:$Y$1204,11,0),0))</f>
        <v/>
      </c>
      <c r="S1226" s="26">
        <f>IF($D1226="","",ROUND(N($J1226)*N($R1226),0))</f>
        <v/>
      </c>
      <c r="T1226" s="26">
        <f>IF($D1226="","",IF($K1226&lt;&gt;"对外销售","",ROUND($Q1226-$S1226,0)))</f>
        <v/>
      </c>
      <c r="U1226" s="17" t="n"/>
      <c r="V1226" s="17" t="n"/>
      <c r="W1226" s="24">
        <f>IF($D1226="","",IF($E1226="※编码不在物料档案里","※物料编码不在档案里",IF(N($J1226)&lt;=0,"※出库数量要大于 0",IF($K1226="","※没填去向类型",IF($L1226="","※没填去向矿区",IF(AND($C1226&lt;&gt;"",$C1226&lt;=结账锁),"※日期早于已结账截止日，不能再录",IF(AND($K1226="自用消耗",COUNTIF({"一矿区";"二矿区"},$L1226)=0),"※自用消耗的去向只能是一矿区或二矿区",IF(AND($K1226="对外销售",COUNTIF({"三矿区";"六矿区"},$L1226)=0),"※对外销售的去向只能是三矿区或六矿区",IF(AND($K1226="对外销售",ROUND($Q1226,0)=0),"※外销却没有售价，请填实际售价",IF(AND($K1226="对外销售",$T1226&lt;&gt;"",$T1226&lt;0),"※这一笔外销是亏的，请核对售价",IF(IFERROR(VLOOKUP($D1226,库存台账!$A$5:$Y$1204,24,0),0)&lt;-0.001,"※这个物料账面已经变成负数了，查一下是不是漏记入库","")))))))))))</f>
        <v/>
      </c>
    </row>
    <row r="1227">
      <c r="A1227" s="24">
        <f>IF($D1227="","",COUNTA($D$4:$D1227))</f>
        <v/>
      </c>
      <c r="B1227" s="17" t="n"/>
      <c r="C1227" s="30" t="n"/>
      <c r="D1227" s="17" t="n"/>
      <c r="E1227" s="24">
        <f>IF($D1227="","",IFERROR(VLOOKUP($D1227,物料档案!$A$4:$P$1203,3,0),"※编码不在物料档案里"))</f>
        <v/>
      </c>
      <c r="F1227" s="24">
        <f>IF($D1227="","",IFERROR(VLOOKUP($D1227,物料档案!$A$4:$P$1203,4,0),"※编码不在物料档案里"))</f>
        <v/>
      </c>
      <c r="G1227" s="24">
        <f>IF($D1227="","",IFERROR(VLOOKUP($D1227,物料档案!$A$4:$P$1203,5,0),"※编码不在物料档案里"))</f>
        <v/>
      </c>
      <c r="H1227" s="24">
        <f>IF($D1227="","",IFERROR(VLOOKUP($D1227,物料档案!$A$4:$P$1203,2,0),"※编码不在物料档案里"))</f>
        <v/>
      </c>
      <c r="I1227" s="24">
        <f>IF($D1227="","",IFERROR(VLOOKUP($D1227,物料档案!$A$4:$P$1203,6,0),"※编码不在物料档案里"))</f>
        <v/>
      </c>
      <c r="J1227" s="23" t="n"/>
      <c r="K1227" s="17" t="n"/>
      <c r="L1227" s="17" t="n"/>
      <c r="M1227" s="17" t="n"/>
      <c r="N1227" s="17" t="n"/>
      <c r="O1227" s="26">
        <f>IF($D1227="","",IFERROR(VLOOKUP($D1227,物料档案!$A$4:$P$1203,10,0),0))</f>
        <v/>
      </c>
      <c r="P1227" s="32" t="n"/>
      <c r="Q1227" s="26">
        <f>IF($D1227="","",IF($K1227&lt;&gt;"对外销售",0,ROUND(N($J1227)*IF($P1227="",N($O1227),N($P1227)),0)))</f>
        <v/>
      </c>
      <c r="R1227" s="26">
        <f>IF($D1227="","",IFERROR(VLOOKUP($D1227,库存台账!$A$5:$Y$1204,11,0),0))</f>
        <v/>
      </c>
      <c r="S1227" s="26">
        <f>IF($D1227="","",ROUND(N($J1227)*N($R1227),0))</f>
        <v/>
      </c>
      <c r="T1227" s="26">
        <f>IF($D1227="","",IF($K1227&lt;&gt;"对外销售","",ROUND($Q1227-$S1227,0)))</f>
        <v/>
      </c>
      <c r="U1227" s="17" t="n"/>
      <c r="V1227" s="17" t="n"/>
      <c r="W1227" s="24">
        <f>IF($D1227="","",IF($E1227="※编码不在物料档案里","※物料编码不在档案里",IF(N($J1227)&lt;=0,"※出库数量要大于 0",IF($K1227="","※没填去向类型",IF($L1227="","※没填去向矿区",IF(AND($C1227&lt;&gt;"",$C1227&lt;=结账锁),"※日期早于已结账截止日，不能再录",IF(AND($K1227="自用消耗",COUNTIF({"一矿区";"二矿区"},$L1227)=0),"※自用消耗的去向只能是一矿区或二矿区",IF(AND($K1227="对外销售",COUNTIF({"三矿区";"六矿区"},$L1227)=0),"※对外销售的去向只能是三矿区或六矿区",IF(AND($K1227="对外销售",ROUND($Q1227,0)=0),"※外销却没有售价，请填实际售价",IF(AND($K1227="对外销售",$T1227&lt;&gt;"",$T1227&lt;0),"※这一笔外销是亏的，请核对售价",IF(IFERROR(VLOOKUP($D1227,库存台账!$A$5:$Y$1204,24,0),0)&lt;-0.001,"※这个物料账面已经变成负数了，查一下是不是漏记入库","")))))))))))</f>
        <v/>
      </c>
    </row>
    <row r="1228">
      <c r="A1228" s="24">
        <f>IF($D1228="","",COUNTA($D$4:$D1228))</f>
        <v/>
      </c>
      <c r="B1228" s="17" t="n"/>
      <c r="C1228" s="30" t="n"/>
      <c r="D1228" s="17" t="n"/>
      <c r="E1228" s="24">
        <f>IF($D1228="","",IFERROR(VLOOKUP($D1228,物料档案!$A$4:$P$1203,3,0),"※编码不在物料档案里"))</f>
        <v/>
      </c>
      <c r="F1228" s="24">
        <f>IF($D1228="","",IFERROR(VLOOKUP($D1228,物料档案!$A$4:$P$1203,4,0),"※编码不在物料档案里"))</f>
        <v/>
      </c>
      <c r="G1228" s="24">
        <f>IF($D1228="","",IFERROR(VLOOKUP($D1228,物料档案!$A$4:$P$1203,5,0),"※编码不在物料档案里"))</f>
        <v/>
      </c>
      <c r="H1228" s="24">
        <f>IF($D1228="","",IFERROR(VLOOKUP($D1228,物料档案!$A$4:$P$1203,2,0),"※编码不在物料档案里"))</f>
        <v/>
      </c>
      <c r="I1228" s="24">
        <f>IF($D1228="","",IFERROR(VLOOKUP($D1228,物料档案!$A$4:$P$1203,6,0),"※编码不在物料档案里"))</f>
        <v/>
      </c>
      <c r="J1228" s="23" t="n"/>
      <c r="K1228" s="17" t="n"/>
      <c r="L1228" s="17" t="n"/>
      <c r="M1228" s="17" t="n"/>
      <c r="N1228" s="17" t="n"/>
      <c r="O1228" s="26">
        <f>IF($D1228="","",IFERROR(VLOOKUP($D1228,物料档案!$A$4:$P$1203,10,0),0))</f>
        <v/>
      </c>
      <c r="P1228" s="32" t="n"/>
      <c r="Q1228" s="26">
        <f>IF($D1228="","",IF($K1228&lt;&gt;"对外销售",0,ROUND(N($J1228)*IF($P1228="",N($O1228),N($P1228)),0)))</f>
        <v/>
      </c>
      <c r="R1228" s="26">
        <f>IF($D1228="","",IFERROR(VLOOKUP($D1228,库存台账!$A$5:$Y$1204,11,0),0))</f>
        <v/>
      </c>
      <c r="S1228" s="26">
        <f>IF($D1228="","",ROUND(N($J1228)*N($R1228),0))</f>
        <v/>
      </c>
      <c r="T1228" s="26">
        <f>IF($D1228="","",IF($K1228&lt;&gt;"对外销售","",ROUND($Q1228-$S1228,0)))</f>
        <v/>
      </c>
      <c r="U1228" s="17" t="n"/>
      <c r="V1228" s="17" t="n"/>
      <c r="W1228" s="24">
        <f>IF($D1228="","",IF($E1228="※编码不在物料档案里","※物料编码不在档案里",IF(N($J1228)&lt;=0,"※出库数量要大于 0",IF($K1228="","※没填去向类型",IF($L1228="","※没填去向矿区",IF(AND($C1228&lt;&gt;"",$C1228&lt;=结账锁),"※日期早于已结账截止日，不能再录",IF(AND($K1228="自用消耗",COUNTIF({"一矿区";"二矿区"},$L1228)=0),"※自用消耗的去向只能是一矿区或二矿区",IF(AND($K1228="对外销售",COUNTIF({"三矿区";"六矿区"},$L1228)=0),"※对外销售的去向只能是三矿区或六矿区",IF(AND($K1228="对外销售",ROUND($Q1228,0)=0),"※外销却没有售价，请填实际售价",IF(AND($K1228="对外销售",$T1228&lt;&gt;"",$T1228&lt;0),"※这一笔外销是亏的，请核对售价",IF(IFERROR(VLOOKUP($D1228,库存台账!$A$5:$Y$1204,24,0),0)&lt;-0.001,"※这个物料账面已经变成负数了，查一下是不是漏记入库","")))))))))))</f>
        <v/>
      </c>
    </row>
    <row r="1229">
      <c r="A1229" s="24">
        <f>IF($D1229="","",COUNTA($D$4:$D1229))</f>
        <v/>
      </c>
      <c r="B1229" s="17" t="n"/>
      <c r="C1229" s="30" t="n"/>
      <c r="D1229" s="17" t="n"/>
      <c r="E1229" s="24">
        <f>IF($D1229="","",IFERROR(VLOOKUP($D1229,物料档案!$A$4:$P$1203,3,0),"※编码不在物料档案里"))</f>
        <v/>
      </c>
      <c r="F1229" s="24">
        <f>IF($D1229="","",IFERROR(VLOOKUP($D1229,物料档案!$A$4:$P$1203,4,0),"※编码不在物料档案里"))</f>
        <v/>
      </c>
      <c r="G1229" s="24">
        <f>IF($D1229="","",IFERROR(VLOOKUP($D1229,物料档案!$A$4:$P$1203,5,0),"※编码不在物料档案里"))</f>
        <v/>
      </c>
      <c r="H1229" s="24">
        <f>IF($D1229="","",IFERROR(VLOOKUP($D1229,物料档案!$A$4:$P$1203,2,0),"※编码不在物料档案里"))</f>
        <v/>
      </c>
      <c r="I1229" s="24">
        <f>IF($D1229="","",IFERROR(VLOOKUP($D1229,物料档案!$A$4:$P$1203,6,0),"※编码不在物料档案里"))</f>
        <v/>
      </c>
      <c r="J1229" s="23" t="n"/>
      <c r="K1229" s="17" t="n"/>
      <c r="L1229" s="17" t="n"/>
      <c r="M1229" s="17" t="n"/>
      <c r="N1229" s="17" t="n"/>
      <c r="O1229" s="26">
        <f>IF($D1229="","",IFERROR(VLOOKUP($D1229,物料档案!$A$4:$P$1203,10,0),0))</f>
        <v/>
      </c>
      <c r="P1229" s="32" t="n"/>
      <c r="Q1229" s="26">
        <f>IF($D1229="","",IF($K1229&lt;&gt;"对外销售",0,ROUND(N($J1229)*IF($P1229="",N($O1229),N($P1229)),0)))</f>
        <v/>
      </c>
      <c r="R1229" s="26">
        <f>IF($D1229="","",IFERROR(VLOOKUP($D1229,库存台账!$A$5:$Y$1204,11,0),0))</f>
        <v/>
      </c>
      <c r="S1229" s="26">
        <f>IF($D1229="","",ROUND(N($J1229)*N($R1229),0))</f>
        <v/>
      </c>
      <c r="T1229" s="26">
        <f>IF($D1229="","",IF($K1229&lt;&gt;"对外销售","",ROUND($Q1229-$S1229,0)))</f>
        <v/>
      </c>
      <c r="U1229" s="17" t="n"/>
      <c r="V1229" s="17" t="n"/>
      <c r="W1229" s="24">
        <f>IF($D1229="","",IF($E1229="※编码不在物料档案里","※物料编码不在档案里",IF(N($J1229)&lt;=0,"※出库数量要大于 0",IF($K1229="","※没填去向类型",IF($L1229="","※没填去向矿区",IF(AND($C1229&lt;&gt;"",$C1229&lt;=结账锁),"※日期早于已结账截止日，不能再录",IF(AND($K1229="自用消耗",COUNTIF({"一矿区";"二矿区"},$L1229)=0),"※自用消耗的去向只能是一矿区或二矿区",IF(AND($K1229="对外销售",COUNTIF({"三矿区";"六矿区"},$L1229)=0),"※对外销售的去向只能是三矿区或六矿区",IF(AND($K1229="对外销售",ROUND($Q1229,0)=0),"※外销却没有售价，请填实际售价",IF(AND($K1229="对外销售",$T1229&lt;&gt;"",$T1229&lt;0),"※这一笔外销是亏的，请核对售价",IF(IFERROR(VLOOKUP($D1229,库存台账!$A$5:$Y$1204,24,0),0)&lt;-0.001,"※这个物料账面已经变成负数了，查一下是不是漏记入库","")))))))))))</f>
        <v/>
      </c>
    </row>
    <row r="1230">
      <c r="A1230" s="24">
        <f>IF($D1230="","",COUNTA($D$4:$D1230))</f>
        <v/>
      </c>
      <c r="B1230" s="17" t="n"/>
      <c r="C1230" s="30" t="n"/>
      <c r="D1230" s="17" t="n"/>
      <c r="E1230" s="24">
        <f>IF($D1230="","",IFERROR(VLOOKUP($D1230,物料档案!$A$4:$P$1203,3,0),"※编码不在物料档案里"))</f>
        <v/>
      </c>
      <c r="F1230" s="24">
        <f>IF($D1230="","",IFERROR(VLOOKUP($D1230,物料档案!$A$4:$P$1203,4,0),"※编码不在物料档案里"))</f>
        <v/>
      </c>
      <c r="G1230" s="24">
        <f>IF($D1230="","",IFERROR(VLOOKUP($D1230,物料档案!$A$4:$P$1203,5,0),"※编码不在物料档案里"))</f>
        <v/>
      </c>
      <c r="H1230" s="24">
        <f>IF($D1230="","",IFERROR(VLOOKUP($D1230,物料档案!$A$4:$P$1203,2,0),"※编码不在物料档案里"))</f>
        <v/>
      </c>
      <c r="I1230" s="24">
        <f>IF($D1230="","",IFERROR(VLOOKUP($D1230,物料档案!$A$4:$P$1203,6,0),"※编码不在物料档案里"))</f>
        <v/>
      </c>
      <c r="J1230" s="23" t="n"/>
      <c r="K1230" s="17" t="n"/>
      <c r="L1230" s="17" t="n"/>
      <c r="M1230" s="17" t="n"/>
      <c r="N1230" s="17" t="n"/>
      <c r="O1230" s="26">
        <f>IF($D1230="","",IFERROR(VLOOKUP($D1230,物料档案!$A$4:$P$1203,10,0),0))</f>
        <v/>
      </c>
      <c r="P1230" s="32" t="n"/>
      <c r="Q1230" s="26">
        <f>IF($D1230="","",IF($K1230&lt;&gt;"对外销售",0,ROUND(N($J1230)*IF($P1230="",N($O1230),N($P1230)),0)))</f>
        <v/>
      </c>
      <c r="R1230" s="26">
        <f>IF($D1230="","",IFERROR(VLOOKUP($D1230,库存台账!$A$5:$Y$1204,11,0),0))</f>
        <v/>
      </c>
      <c r="S1230" s="26">
        <f>IF($D1230="","",ROUND(N($J1230)*N($R1230),0))</f>
        <v/>
      </c>
      <c r="T1230" s="26">
        <f>IF($D1230="","",IF($K1230&lt;&gt;"对外销售","",ROUND($Q1230-$S1230,0)))</f>
        <v/>
      </c>
      <c r="U1230" s="17" t="n"/>
      <c r="V1230" s="17" t="n"/>
      <c r="W1230" s="24">
        <f>IF($D1230="","",IF($E1230="※编码不在物料档案里","※物料编码不在档案里",IF(N($J1230)&lt;=0,"※出库数量要大于 0",IF($K1230="","※没填去向类型",IF($L1230="","※没填去向矿区",IF(AND($C1230&lt;&gt;"",$C1230&lt;=结账锁),"※日期早于已结账截止日，不能再录",IF(AND($K1230="自用消耗",COUNTIF({"一矿区";"二矿区"},$L1230)=0),"※自用消耗的去向只能是一矿区或二矿区",IF(AND($K1230="对外销售",COUNTIF({"三矿区";"六矿区"},$L1230)=0),"※对外销售的去向只能是三矿区或六矿区",IF(AND($K1230="对外销售",ROUND($Q1230,0)=0),"※外销却没有售价，请填实际售价",IF(AND($K1230="对外销售",$T1230&lt;&gt;"",$T1230&lt;0),"※这一笔外销是亏的，请核对售价",IF(IFERROR(VLOOKUP($D1230,库存台账!$A$5:$Y$1204,24,0),0)&lt;-0.001,"※这个物料账面已经变成负数了，查一下是不是漏记入库","")))))))))))</f>
        <v/>
      </c>
    </row>
    <row r="1231">
      <c r="A1231" s="24">
        <f>IF($D1231="","",COUNTA($D$4:$D1231))</f>
        <v/>
      </c>
      <c r="B1231" s="17" t="n"/>
      <c r="C1231" s="30" t="n"/>
      <c r="D1231" s="17" t="n"/>
      <c r="E1231" s="24">
        <f>IF($D1231="","",IFERROR(VLOOKUP($D1231,物料档案!$A$4:$P$1203,3,0),"※编码不在物料档案里"))</f>
        <v/>
      </c>
      <c r="F1231" s="24">
        <f>IF($D1231="","",IFERROR(VLOOKUP($D1231,物料档案!$A$4:$P$1203,4,0),"※编码不在物料档案里"))</f>
        <v/>
      </c>
      <c r="G1231" s="24">
        <f>IF($D1231="","",IFERROR(VLOOKUP($D1231,物料档案!$A$4:$P$1203,5,0),"※编码不在物料档案里"))</f>
        <v/>
      </c>
      <c r="H1231" s="24">
        <f>IF($D1231="","",IFERROR(VLOOKUP($D1231,物料档案!$A$4:$P$1203,2,0),"※编码不在物料档案里"))</f>
        <v/>
      </c>
      <c r="I1231" s="24">
        <f>IF($D1231="","",IFERROR(VLOOKUP($D1231,物料档案!$A$4:$P$1203,6,0),"※编码不在物料档案里"))</f>
        <v/>
      </c>
      <c r="J1231" s="23" t="n"/>
      <c r="K1231" s="17" t="n"/>
      <c r="L1231" s="17" t="n"/>
      <c r="M1231" s="17" t="n"/>
      <c r="N1231" s="17" t="n"/>
      <c r="O1231" s="26">
        <f>IF($D1231="","",IFERROR(VLOOKUP($D1231,物料档案!$A$4:$P$1203,10,0),0))</f>
        <v/>
      </c>
      <c r="P1231" s="32" t="n"/>
      <c r="Q1231" s="26">
        <f>IF($D1231="","",IF($K1231&lt;&gt;"对外销售",0,ROUND(N($J1231)*IF($P1231="",N($O1231),N($P1231)),0)))</f>
        <v/>
      </c>
      <c r="R1231" s="26">
        <f>IF($D1231="","",IFERROR(VLOOKUP($D1231,库存台账!$A$5:$Y$1204,11,0),0))</f>
        <v/>
      </c>
      <c r="S1231" s="26">
        <f>IF($D1231="","",ROUND(N($J1231)*N($R1231),0))</f>
        <v/>
      </c>
      <c r="T1231" s="26">
        <f>IF($D1231="","",IF($K1231&lt;&gt;"对外销售","",ROUND($Q1231-$S1231,0)))</f>
        <v/>
      </c>
      <c r="U1231" s="17" t="n"/>
      <c r="V1231" s="17" t="n"/>
      <c r="W1231" s="24">
        <f>IF($D1231="","",IF($E1231="※编码不在物料档案里","※物料编码不在档案里",IF(N($J1231)&lt;=0,"※出库数量要大于 0",IF($K1231="","※没填去向类型",IF($L1231="","※没填去向矿区",IF(AND($C1231&lt;&gt;"",$C1231&lt;=结账锁),"※日期早于已结账截止日，不能再录",IF(AND($K1231="自用消耗",COUNTIF({"一矿区";"二矿区"},$L1231)=0),"※自用消耗的去向只能是一矿区或二矿区",IF(AND($K1231="对外销售",COUNTIF({"三矿区";"六矿区"},$L1231)=0),"※对外销售的去向只能是三矿区或六矿区",IF(AND($K1231="对外销售",ROUND($Q1231,0)=0),"※外销却没有售价，请填实际售价",IF(AND($K1231="对外销售",$T1231&lt;&gt;"",$T1231&lt;0),"※这一笔外销是亏的，请核对售价",IF(IFERROR(VLOOKUP($D1231,库存台账!$A$5:$Y$1204,24,0),0)&lt;-0.001,"※这个物料账面已经变成负数了，查一下是不是漏记入库","")))))))))))</f>
        <v/>
      </c>
    </row>
    <row r="1232">
      <c r="A1232" s="24">
        <f>IF($D1232="","",COUNTA($D$4:$D1232))</f>
        <v/>
      </c>
      <c r="B1232" s="17" t="n"/>
      <c r="C1232" s="30" t="n"/>
      <c r="D1232" s="17" t="n"/>
      <c r="E1232" s="24">
        <f>IF($D1232="","",IFERROR(VLOOKUP($D1232,物料档案!$A$4:$P$1203,3,0),"※编码不在物料档案里"))</f>
        <v/>
      </c>
      <c r="F1232" s="24">
        <f>IF($D1232="","",IFERROR(VLOOKUP($D1232,物料档案!$A$4:$P$1203,4,0),"※编码不在物料档案里"))</f>
        <v/>
      </c>
      <c r="G1232" s="24">
        <f>IF($D1232="","",IFERROR(VLOOKUP($D1232,物料档案!$A$4:$P$1203,5,0),"※编码不在物料档案里"))</f>
        <v/>
      </c>
      <c r="H1232" s="24">
        <f>IF($D1232="","",IFERROR(VLOOKUP($D1232,物料档案!$A$4:$P$1203,2,0),"※编码不在物料档案里"))</f>
        <v/>
      </c>
      <c r="I1232" s="24">
        <f>IF($D1232="","",IFERROR(VLOOKUP($D1232,物料档案!$A$4:$P$1203,6,0),"※编码不在物料档案里"))</f>
        <v/>
      </c>
      <c r="J1232" s="23" t="n"/>
      <c r="K1232" s="17" t="n"/>
      <c r="L1232" s="17" t="n"/>
      <c r="M1232" s="17" t="n"/>
      <c r="N1232" s="17" t="n"/>
      <c r="O1232" s="26">
        <f>IF($D1232="","",IFERROR(VLOOKUP($D1232,物料档案!$A$4:$P$1203,10,0),0))</f>
        <v/>
      </c>
      <c r="P1232" s="32" t="n"/>
      <c r="Q1232" s="26">
        <f>IF($D1232="","",IF($K1232&lt;&gt;"对外销售",0,ROUND(N($J1232)*IF($P1232="",N($O1232),N($P1232)),0)))</f>
        <v/>
      </c>
      <c r="R1232" s="26">
        <f>IF($D1232="","",IFERROR(VLOOKUP($D1232,库存台账!$A$5:$Y$1204,11,0),0))</f>
        <v/>
      </c>
      <c r="S1232" s="26">
        <f>IF($D1232="","",ROUND(N($J1232)*N($R1232),0))</f>
        <v/>
      </c>
      <c r="T1232" s="26">
        <f>IF($D1232="","",IF($K1232&lt;&gt;"对外销售","",ROUND($Q1232-$S1232,0)))</f>
        <v/>
      </c>
      <c r="U1232" s="17" t="n"/>
      <c r="V1232" s="17" t="n"/>
      <c r="W1232" s="24">
        <f>IF($D1232="","",IF($E1232="※编码不在物料档案里","※物料编码不在档案里",IF(N($J1232)&lt;=0,"※出库数量要大于 0",IF($K1232="","※没填去向类型",IF($L1232="","※没填去向矿区",IF(AND($C1232&lt;&gt;"",$C1232&lt;=结账锁),"※日期早于已结账截止日，不能再录",IF(AND($K1232="自用消耗",COUNTIF({"一矿区";"二矿区"},$L1232)=0),"※自用消耗的去向只能是一矿区或二矿区",IF(AND($K1232="对外销售",COUNTIF({"三矿区";"六矿区"},$L1232)=0),"※对外销售的去向只能是三矿区或六矿区",IF(AND($K1232="对外销售",ROUND($Q1232,0)=0),"※外销却没有售价，请填实际售价",IF(AND($K1232="对外销售",$T1232&lt;&gt;"",$T1232&lt;0),"※这一笔外销是亏的，请核对售价",IF(IFERROR(VLOOKUP($D1232,库存台账!$A$5:$Y$1204,24,0),0)&lt;-0.001,"※这个物料账面已经变成负数了，查一下是不是漏记入库","")))))))))))</f>
        <v/>
      </c>
    </row>
    <row r="1233">
      <c r="A1233" s="24">
        <f>IF($D1233="","",COUNTA($D$4:$D1233))</f>
        <v/>
      </c>
      <c r="B1233" s="17" t="n"/>
      <c r="C1233" s="30" t="n"/>
      <c r="D1233" s="17" t="n"/>
      <c r="E1233" s="24">
        <f>IF($D1233="","",IFERROR(VLOOKUP($D1233,物料档案!$A$4:$P$1203,3,0),"※编码不在物料档案里"))</f>
        <v/>
      </c>
      <c r="F1233" s="24">
        <f>IF($D1233="","",IFERROR(VLOOKUP($D1233,物料档案!$A$4:$P$1203,4,0),"※编码不在物料档案里"))</f>
        <v/>
      </c>
      <c r="G1233" s="24">
        <f>IF($D1233="","",IFERROR(VLOOKUP($D1233,物料档案!$A$4:$P$1203,5,0),"※编码不在物料档案里"))</f>
        <v/>
      </c>
      <c r="H1233" s="24">
        <f>IF($D1233="","",IFERROR(VLOOKUP($D1233,物料档案!$A$4:$P$1203,2,0),"※编码不在物料档案里"))</f>
        <v/>
      </c>
      <c r="I1233" s="24">
        <f>IF($D1233="","",IFERROR(VLOOKUP($D1233,物料档案!$A$4:$P$1203,6,0),"※编码不在物料档案里"))</f>
        <v/>
      </c>
      <c r="J1233" s="23" t="n"/>
      <c r="K1233" s="17" t="n"/>
      <c r="L1233" s="17" t="n"/>
      <c r="M1233" s="17" t="n"/>
      <c r="N1233" s="17" t="n"/>
      <c r="O1233" s="26">
        <f>IF($D1233="","",IFERROR(VLOOKUP($D1233,物料档案!$A$4:$P$1203,10,0),0))</f>
        <v/>
      </c>
      <c r="P1233" s="32" t="n"/>
      <c r="Q1233" s="26">
        <f>IF($D1233="","",IF($K1233&lt;&gt;"对外销售",0,ROUND(N($J1233)*IF($P1233="",N($O1233),N($P1233)),0)))</f>
        <v/>
      </c>
      <c r="R1233" s="26">
        <f>IF($D1233="","",IFERROR(VLOOKUP($D1233,库存台账!$A$5:$Y$1204,11,0),0))</f>
        <v/>
      </c>
      <c r="S1233" s="26">
        <f>IF($D1233="","",ROUND(N($J1233)*N($R1233),0))</f>
        <v/>
      </c>
      <c r="T1233" s="26">
        <f>IF($D1233="","",IF($K1233&lt;&gt;"对外销售","",ROUND($Q1233-$S1233,0)))</f>
        <v/>
      </c>
      <c r="U1233" s="17" t="n"/>
      <c r="V1233" s="17" t="n"/>
      <c r="W1233" s="24">
        <f>IF($D1233="","",IF($E1233="※编码不在物料档案里","※物料编码不在档案里",IF(N($J1233)&lt;=0,"※出库数量要大于 0",IF($K1233="","※没填去向类型",IF($L1233="","※没填去向矿区",IF(AND($C1233&lt;&gt;"",$C1233&lt;=结账锁),"※日期早于已结账截止日，不能再录",IF(AND($K1233="自用消耗",COUNTIF({"一矿区";"二矿区"},$L1233)=0),"※自用消耗的去向只能是一矿区或二矿区",IF(AND($K1233="对外销售",COUNTIF({"三矿区";"六矿区"},$L1233)=0),"※对外销售的去向只能是三矿区或六矿区",IF(AND($K1233="对外销售",ROUND($Q1233,0)=0),"※外销却没有售价，请填实际售价",IF(AND($K1233="对外销售",$T1233&lt;&gt;"",$T1233&lt;0),"※这一笔外销是亏的，请核对售价",IF(IFERROR(VLOOKUP($D1233,库存台账!$A$5:$Y$1204,24,0),0)&lt;-0.001,"※这个物料账面已经变成负数了，查一下是不是漏记入库","")))))))))))</f>
        <v/>
      </c>
    </row>
    <row r="1234">
      <c r="A1234" s="24">
        <f>IF($D1234="","",COUNTA($D$4:$D1234))</f>
        <v/>
      </c>
      <c r="B1234" s="17" t="n"/>
      <c r="C1234" s="30" t="n"/>
      <c r="D1234" s="17" t="n"/>
      <c r="E1234" s="24">
        <f>IF($D1234="","",IFERROR(VLOOKUP($D1234,物料档案!$A$4:$P$1203,3,0),"※编码不在物料档案里"))</f>
        <v/>
      </c>
      <c r="F1234" s="24">
        <f>IF($D1234="","",IFERROR(VLOOKUP($D1234,物料档案!$A$4:$P$1203,4,0),"※编码不在物料档案里"))</f>
        <v/>
      </c>
      <c r="G1234" s="24">
        <f>IF($D1234="","",IFERROR(VLOOKUP($D1234,物料档案!$A$4:$P$1203,5,0),"※编码不在物料档案里"))</f>
        <v/>
      </c>
      <c r="H1234" s="24">
        <f>IF($D1234="","",IFERROR(VLOOKUP($D1234,物料档案!$A$4:$P$1203,2,0),"※编码不在物料档案里"))</f>
        <v/>
      </c>
      <c r="I1234" s="24">
        <f>IF($D1234="","",IFERROR(VLOOKUP($D1234,物料档案!$A$4:$P$1203,6,0),"※编码不在物料档案里"))</f>
        <v/>
      </c>
      <c r="J1234" s="23" t="n"/>
      <c r="K1234" s="17" t="n"/>
      <c r="L1234" s="17" t="n"/>
      <c r="M1234" s="17" t="n"/>
      <c r="N1234" s="17" t="n"/>
      <c r="O1234" s="26">
        <f>IF($D1234="","",IFERROR(VLOOKUP($D1234,物料档案!$A$4:$P$1203,10,0),0))</f>
        <v/>
      </c>
      <c r="P1234" s="32" t="n"/>
      <c r="Q1234" s="26">
        <f>IF($D1234="","",IF($K1234&lt;&gt;"对外销售",0,ROUND(N($J1234)*IF($P1234="",N($O1234),N($P1234)),0)))</f>
        <v/>
      </c>
      <c r="R1234" s="26">
        <f>IF($D1234="","",IFERROR(VLOOKUP($D1234,库存台账!$A$5:$Y$1204,11,0),0))</f>
        <v/>
      </c>
      <c r="S1234" s="26">
        <f>IF($D1234="","",ROUND(N($J1234)*N($R1234),0))</f>
        <v/>
      </c>
      <c r="T1234" s="26">
        <f>IF($D1234="","",IF($K1234&lt;&gt;"对外销售","",ROUND($Q1234-$S1234,0)))</f>
        <v/>
      </c>
      <c r="U1234" s="17" t="n"/>
      <c r="V1234" s="17" t="n"/>
      <c r="W1234" s="24">
        <f>IF($D1234="","",IF($E1234="※编码不在物料档案里","※物料编码不在档案里",IF(N($J1234)&lt;=0,"※出库数量要大于 0",IF($K1234="","※没填去向类型",IF($L1234="","※没填去向矿区",IF(AND($C1234&lt;&gt;"",$C1234&lt;=结账锁),"※日期早于已结账截止日，不能再录",IF(AND($K1234="自用消耗",COUNTIF({"一矿区";"二矿区"},$L1234)=0),"※自用消耗的去向只能是一矿区或二矿区",IF(AND($K1234="对外销售",COUNTIF({"三矿区";"六矿区"},$L1234)=0),"※对外销售的去向只能是三矿区或六矿区",IF(AND($K1234="对外销售",ROUND($Q1234,0)=0),"※外销却没有售价，请填实际售价",IF(AND($K1234="对外销售",$T1234&lt;&gt;"",$T1234&lt;0),"※这一笔外销是亏的，请核对售价",IF(IFERROR(VLOOKUP($D1234,库存台账!$A$5:$Y$1204,24,0),0)&lt;-0.001,"※这个物料账面已经变成负数了，查一下是不是漏记入库","")))))))))))</f>
        <v/>
      </c>
    </row>
    <row r="1235">
      <c r="A1235" s="24">
        <f>IF($D1235="","",COUNTA($D$4:$D1235))</f>
        <v/>
      </c>
      <c r="B1235" s="17" t="n"/>
      <c r="C1235" s="30" t="n"/>
      <c r="D1235" s="17" t="n"/>
      <c r="E1235" s="24">
        <f>IF($D1235="","",IFERROR(VLOOKUP($D1235,物料档案!$A$4:$P$1203,3,0),"※编码不在物料档案里"))</f>
        <v/>
      </c>
      <c r="F1235" s="24">
        <f>IF($D1235="","",IFERROR(VLOOKUP($D1235,物料档案!$A$4:$P$1203,4,0),"※编码不在物料档案里"))</f>
        <v/>
      </c>
      <c r="G1235" s="24">
        <f>IF($D1235="","",IFERROR(VLOOKUP($D1235,物料档案!$A$4:$P$1203,5,0),"※编码不在物料档案里"))</f>
        <v/>
      </c>
      <c r="H1235" s="24">
        <f>IF($D1235="","",IFERROR(VLOOKUP($D1235,物料档案!$A$4:$P$1203,2,0),"※编码不在物料档案里"))</f>
        <v/>
      </c>
      <c r="I1235" s="24">
        <f>IF($D1235="","",IFERROR(VLOOKUP($D1235,物料档案!$A$4:$P$1203,6,0),"※编码不在物料档案里"))</f>
        <v/>
      </c>
      <c r="J1235" s="23" t="n"/>
      <c r="K1235" s="17" t="n"/>
      <c r="L1235" s="17" t="n"/>
      <c r="M1235" s="17" t="n"/>
      <c r="N1235" s="17" t="n"/>
      <c r="O1235" s="26">
        <f>IF($D1235="","",IFERROR(VLOOKUP($D1235,物料档案!$A$4:$P$1203,10,0),0))</f>
        <v/>
      </c>
      <c r="P1235" s="32" t="n"/>
      <c r="Q1235" s="26">
        <f>IF($D1235="","",IF($K1235&lt;&gt;"对外销售",0,ROUND(N($J1235)*IF($P1235="",N($O1235),N($P1235)),0)))</f>
        <v/>
      </c>
      <c r="R1235" s="26">
        <f>IF($D1235="","",IFERROR(VLOOKUP($D1235,库存台账!$A$5:$Y$1204,11,0),0))</f>
        <v/>
      </c>
      <c r="S1235" s="26">
        <f>IF($D1235="","",ROUND(N($J1235)*N($R1235),0))</f>
        <v/>
      </c>
      <c r="T1235" s="26">
        <f>IF($D1235="","",IF($K1235&lt;&gt;"对外销售","",ROUND($Q1235-$S1235,0)))</f>
        <v/>
      </c>
      <c r="U1235" s="17" t="n"/>
      <c r="V1235" s="17" t="n"/>
      <c r="W1235" s="24">
        <f>IF($D1235="","",IF($E1235="※编码不在物料档案里","※物料编码不在档案里",IF(N($J1235)&lt;=0,"※出库数量要大于 0",IF($K1235="","※没填去向类型",IF($L1235="","※没填去向矿区",IF(AND($C1235&lt;&gt;"",$C1235&lt;=结账锁),"※日期早于已结账截止日，不能再录",IF(AND($K1235="自用消耗",COUNTIF({"一矿区";"二矿区"},$L1235)=0),"※自用消耗的去向只能是一矿区或二矿区",IF(AND($K1235="对外销售",COUNTIF({"三矿区";"六矿区"},$L1235)=0),"※对外销售的去向只能是三矿区或六矿区",IF(AND($K1235="对外销售",ROUND($Q1235,0)=0),"※外销却没有售价，请填实际售价",IF(AND($K1235="对外销售",$T1235&lt;&gt;"",$T1235&lt;0),"※这一笔外销是亏的，请核对售价",IF(IFERROR(VLOOKUP($D1235,库存台账!$A$5:$Y$1204,24,0),0)&lt;-0.001,"※这个物料账面已经变成负数了，查一下是不是漏记入库","")))))))))))</f>
        <v/>
      </c>
    </row>
    <row r="1236">
      <c r="A1236" s="24">
        <f>IF($D1236="","",COUNTA($D$4:$D1236))</f>
        <v/>
      </c>
      <c r="B1236" s="17" t="n"/>
      <c r="C1236" s="30" t="n"/>
      <c r="D1236" s="17" t="n"/>
      <c r="E1236" s="24">
        <f>IF($D1236="","",IFERROR(VLOOKUP($D1236,物料档案!$A$4:$P$1203,3,0),"※编码不在物料档案里"))</f>
        <v/>
      </c>
      <c r="F1236" s="24">
        <f>IF($D1236="","",IFERROR(VLOOKUP($D1236,物料档案!$A$4:$P$1203,4,0),"※编码不在物料档案里"))</f>
        <v/>
      </c>
      <c r="G1236" s="24">
        <f>IF($D1236="","",IFERROR(VLOOKUP($D1236,物料档案!$A$4:$P$1203,5,0),"※编码不在物料档案里"))</f>
        <v/>
      </c>
      <c r="H1236" s="24">
        <f>IF($D1236="","",IFERROR(VLOOKUP($D1236,物料档案!$A$4:$P$1203,2,0),"※编码不在物料档案里"))</f>
        <v/>
      </c>
      <c r="I1236" s="24">
        <f>IF($D1236="","",IFERROR(VLOOKUP($D1236,物料档案!$A$4:$P$1203,6,0),"※编码不在物料档案里"))</f>
        <v/>
      </c>
      <c r="J1236" s="23" t="n"/>
      <c r="K1236" s="17" t="n"/>
      <c r="L1236" s="17" t="n"/>
      <c r="M1236" s="17" t="n"/>
      <c r="N1236" s="17" t="n"/>
      <c r="O1236" s="26">
        <f>IF($D1236="","",IFERROR(VLOOKUP($D1236,物料档案!$A$4:$P$1203,10,0),0))</f>
        <v/>
      </c>
      <c r="P1236" s="32" t="n"/>
      <c r="Q1236" s="26">
        <f>IF($D1236="","",IF($K1236&lt;&gt;"对外销售",0,ROUND(N($J1236)*IF($P1236="",N($O1236),N($P1236)),0)))</f>
        <v/>
      </c>
      <c r="R1236" s="26">
        <f>IF($D1236="","",IFERROR(VLOOKUP($D1236,库存台账!$A$5:$Y$1204,11,0),0))</f>
        <v/>
      </c>
      <c r="S1236" s="26">
        <f>IF($D1236="","",ROUND(N($J1236)*N($R1236),0))</f>
        <v/>
      </c>
      <c r="T1236" s="26">
        <f>IF($D1236="","",IF($K1236&lt;&gt;"对外销售","",ROUND($Q1236-$S1236,0)))</f>
        <v/>
      </c>
      <c r="U1236" s="17" t="n"/>
      <c r="V1236" s="17" t="n"/>
      <c r="W1236" s="24">
        <f>IF($D1236="","",IF($E1236="※编码不在物料档案里","※物料编码不在档案里",IF(N($J1236)&lt;=0,"※出库数量要大于 0",IF($K1236="","※没填去向类型",IF($L1236="","※没填去向矿区",IF(AND($C1236&lt;&gt;"",$C1236&lt;=结账锁),"※日期早于已结账截止日，不能再录",IF(AND($K1236="自用消耗",COUNTIF({"一矿区";"二矿区"},$L1236)=0),"※自用消耗的去向只能是一矿区或二矿区",IF(AND($K1236="对外销售",COUNTIF({"三矿区";"六矿区"},$L1236)=0),"※对外销售的去向只能是三矿区或六矿区",IF(AND($K1236="对外销售",ROUND($Q1236,0)=0),"※外销却没有售价，请填实际售价",IF(AND($K1236="对外销售",$T1236&lt;&gt;"",$T1236&lt;0),"※这一笔外销是亏的，请核对售价",IF(IFERROR(VLOOKUP($D1236,库存台账!$A$5:$Y$1204,24,0),0)&lt;-0.001,"※这个物料账面已经变成负数了，查一下是不是漏记入库","")))))))))))</f>
        <v/>
      </c>
    </row>
    <row r="1237">
      <c r="A1237" s="24">
        <f>IF($D1237="","",COUNTA($D$4:$D1237))</f>
        <v/>
      </c>
      <c r="B1237" s="17" t="n"/>
      <c r="C1237" s="30" t="n"/>
      <c r="D1237" s="17" t="n"/>
      <c r="E1237" s="24">
        <f>IF($D1237="","",IFERROR(VLOOKUP($D1237,物料档案!$A$4:$P$1203,3,0),"※编码不在物料档案里"))</f>
        <v/>
      </c>
      <c r="F1237" s="24">
        <f>IF($D1237="","",IFERROR(VLOOKUP($D1237,物料档案!$A$4:$P$1203,4,0),"※编码不在物料档案里"))</f>
        <v/>
      </c>
      <c r="G1237" s="24">
        <f>IF($D1237="","",IFERROR(VLOOKUP($D1237,物料档案!$A$4:$P$1203,5,0),"※编码不在物料档案里"))</f>
        <v/>
      </c>
      <c r="H1237" s="24">
        <f>IF($D1237="","",IFERROR(VLOOKUP($D1237,物料档案!$A$4:$P$1203,2,0),"※编码不在物料档案里"))</f>
        <v/>
      </c>
      <c r="I1237" s="24">
        <f>IF($D1237="","",IFERROR(VLOOKUP($D1237,物料档案!$A$4:$P$1203,6,0),"※编码不在物料档案里"))</f>
        <v/>
      </c>
      <c r="J1237" s="23" t="n"/>
      <c r="K1237" s="17" t="n"/>
      <c r="L1237" s="17" t="n"/>
      <c r="M1237" s="17" t="n"/>
      <c r="N1237" s="17" t="n"/>
      <c r="O1237" s="26">
        <f>IF($D1237="","",IFERROR(VLOOKUP($D1237,物料档案!$A$4:$P$1203,10,0),0))</f>
        <v/>
      </c>
      <c r="P1237" s="32" t="n"/>
      <c r="Q1237" s="26">
        <f>IF($D1237="","",IF($K1237&lt;&gt;"对外销售",0,ROUND(N($J1237)*IF($P1237="",N($O1237),N($P1237)),0)))</f>
        <v/>
      </c>
      <c r="R1237" s="26">
        <f>IF($D1237="","",IFERROR(VLOOKUP($D1237,库存台账!$A$5:$Y$1204,11,0),0))</f>
        <v/>
      </c>
      <c r="S1237" s="26">
        <f>IF($D1237="","",ROUND(N($J1237)*N($R1237),0))</f>
        <v/>
      </c>
      <c r="T1237" s="26">
        <f>IF($D1237="","",IF($K1237&lt;&gt;"对外销售","",ROUND($Q1237-$S1237,0)))</f>
        <v/>
      </c>
      <c r="U1237" s="17" t="n"/>
      <c r="V1237" s="17" t="n"/>
      <c r="W1237" s="24">
        <f>IF($D1237="","",IF($E1237="※编码不在物料档案里","※物料编码不在档案里",IF(N($J1237)&lt;=0,"※出库数量要大于 0",IF($K1237="","※没填去向类型",IF($L1237="","※没填去向矿区",IF(AND($C1237&lt;&gt;"",$C1237&lt;=结账锁),"※日期早于已结账截止日，不能再录",IF(AND($K1237="自用消耗",COUNTIF({"一矿区";"二矿区"},$L1237)=0),"※自用消耗的去向只能是一矿区或二矿区",IF(AND($K1237="对外销售",COUNTIF({"三矿区";"六矿区"},$L1237)=0),"※对外销售的去向只能是三矿区或六矿区",IF(AND($K1237="对外销售",ROUND($Q1237,0)=0),"※外销却没有售价，请填实际售价",IF(AND($K1237="对外销售",$T1237&lt;&gt;"",$T1237&lt;0),"※这一笔外销是亏的，请核对售价",IF(IFERROR(VLOOKUP($D1237,库存台账!$A$5:$Y$1204,24,0),0)&lt;-0.001,"※这个物料账面已经变成负数了，查一下是不是漏记入库","")))))))))))</f>
        <v/>
      </c>
    </row>
    <row r="1238">
      <c r="A1238" s="24">
        <f>IF($D1238="","",COUNTA($D$4:$D1238))</f>
        <v/>
      </c>
      <c r="B1238" s="17" t="n"/>
      <c r="C1238" s="30" t="n"/>
      <c r="D1238" s="17" t="n"/>
      <c r="E1238" s="24">
        <f>IF($D1238="","",IFERROR(VLOOKUP($D1238,物料档案!$A$4:$P$1203,3,0),"※编码不在物料档案里"))</f>
        <v/>
      </c>
      <c r="F1238" s="24">
        <f>IF($D1238="","",IFERROR(VLOOKUP($D1238,物料档案!$A$4:$P$1203,4,0),"※编码不在物料档案里"))</f>
        <v/>
      </c>
      <c r="G1238" s="24">
        <f>IF($D1238="","",IFERROR(VLOOKUP($D1238,物料档案!$A$4:$P$1203,5,0),"※编码不在物料档案里"))</f>
        <v/>
      </c>
      <c r="H1238" s="24">
        <f>IF($D1238="","",IFERROR(VLOOKUP($D1238,物料档案!$A$4:$P$1203,2,0),"※编码不在物料档案里"))</f>
        <v/>
      </c>
      <c r="I1238" s="24">
        <f>IF($D1238="","",IFERROR(VLOOKUP($D1238,物料档案!$A$4:$P$1203,6,0),"※编码不在物料档案里"))</f>
        <v/>
      </c>
      <c r="J1238" s="23" t="n"/>
      <c r="K1238" s="17" t="n"/>
      <c r="L1238" s="17" t="n"/>
      <c r="M1238" s="17" t="n"/>
      <c r="N1238" s="17" t="n"/>
      <c r="O1238" s="26">
        <f>IF($D1238="","",IFERROR(VLOOKUP($D1238,物料档案!$A$4:$P$1203,10,0),0))</f>
        <v/>
      </c>
      <c r="P1238" s="32" t="n"/>
      <c r="Q1238" s="26">
        <f>IF($D1238="","",IF($K1238&lt;&gt;"对外销售",0,ROUND(N($J1238)*IF($P1238="",N($O1238),N($P1238)),0)))</f>
        <v/>
      </c>
      <c r="R1238" s="26">
        <f>IF($D1238="","",IFERROR(VLOOKUP($D1238,库存台账!$A$5:$Y$1204,11,0),0))</f>
        <v/>
      </c>
      <c r="S1238" s="26">
        <f>IF($D1238="","",ROUND(N($J1238)*N($R1238),0))</f>
        <v/>
      </c>
      <c r="T1238" s="26">
        <f>IF($D1238="","",IF($K1238&lt;&gt;"对外销售","",ROUND($Q1238-$S1238,0)))</f>
        <v/>
      </c>
      <c r="U1238" s="17" t="n"/>
      <c r="V1238" s="17" t="n"/>
      <c r="W1238" s="24">
        <f>IF($D1238="","",IF($E1238="※编码不在物料档案里","※物料编码不在档案里",IF(N($J1238)&lt;=0,"※出库数量要大于 0",IF($K1238="","※没填去向类型",IF($L1238="","※没填去向矿区",IF(AND($C1238&lt;&gt;"",$C1238&lt;=结账锁),"※日期早于已结账截止日，不能再录",IF(AND($K1238="自用消耗",COUNTIF({"一矿区";"二矿区"},$L1238)=0),"※自用消耗的去向只能是一矿区或二矿区",IF(AND($K1238="对外销售",COUNTIF({"三矿区";"六矿区"},$L1238)=0),"※对外销售的去向只能是三矿区或六矿区",IF(AND($K1238="对外销售",ROUND($Q1238,0)=0),"※外销却没有售价，请填实际售价",IF(AND($K1238="对外销售",$T1238&lt;&gt;"",$T1238&lt;0),"※这一笔外销是亏的，请核对售价",IF(IFERROR(VLOOKUP($D1238,库存台账!$A$5:$Y$1204,24,0),0)&lt;-0.001,"※这个物料账面已经变成负数了，查一下是不是漏记入库","")))))))))))</f>
        <v/>
      </c>
    </row>
    <row r="1239">
      <c r="A1239" s="24">
        <f>IF($D1239="","",COUNTA($D$4:$D1239))</f>
        <v/>
      </c>
      <c r="B1239" s="17" t="n"/>
      <c r="C1239" s="30" t="n"/>
      <c r="D1239" s="17" t="n"/>
      <c r="E1239" s="24">
        <f>IF($D1239="","",IFERROR(VLOOKUP($D1239,物料档案!$A$4:$P$1203,3,0),"※编码不在物料档案里"))</f>
        <v/>
      </c>
      <c r="F1239" s="24">
        <f>IF($D1239="","",IFERROR(VLOOKUP($D1239,物料档案!$A$4:$P$1203,4,0),"※编码不在物料档案里"))</f>
        <v/>
      </c>
      <c r="G1239" s="24">
        <f>IF($D1239="","",IFERROR(VLOOKUP($D1239,物料档案!$A$4:$P$1203,5,0),"※编码不在物料档案里"))</f>
        <v/>
      </c>
      <c r="H1239" s="24">
        <f>IF($D1239="","",IFERROR(VLOOKUP($D1239,物料档案!$A$4:$P$1203,2,0),"※编码不在物料档案里"))</f>
        <v/>
      </c>
      <c r="I1239" s="24">
        <f>IF($D1239="","",IFERROR(VLOOKUP($D1239,物料档案!$A$4:$P$1203,6,0),"※编码不在物料档案里"))</f>
        <v/>
      </c>
      <c r="J1239" s="23" t="n"/>
      <c r="K1239" s="17" t="n"/>
      <c r="L1239" s="17" t="n"/>
      <c r="M1239" s="17" t="n"/>
      <c r="N1239" s="17" t="n"/>
      <c r="O1239" s="26">
        <f>IF($D1239="","",IFERROR(VLOOKUP($D1239,物料档案!$A$4:$P$1203,10,0),0))</f>
        <v/>
      </c>
      <c r="P1239" s="32" t="n"/>
      <c r="Q1239" s="26">
        <f>IF($D1239="","",IF($K1239&lt;&gt;"对外销售",0,ROUND(N($J1239)*IF($P1239="",N($O1239),N($P1239)),0)))</f>
        <v/>
      </c>
      <c r="R1239" s="26">
        <f>IF($D1239="","",IFERROR(VLOOKUP($D1239,库存台账!$A$5:$Y$1204,11,0),0))</f>
        <v/>
      </c>
      <c r="S1239" s="26">
        <f>IF($D1239="","",ROUND(N($J1239)*N($R1239),0))</f>
        <v/>
      </c>
      <c r="T1239" s="26">
        <f>IF($D1239="","",IF($K1239&lt;&gt;"对外销售","",ROUND($Q1239-$S1239,0)))</f>
        <v/>
      </c>
      <c r="U1239" s="17" t="n"/>
      <c r="V1239" s="17" t="n"/>
      <c r="W1239" s="24">
        <f>IF($D1239="","",IF($E1239="※编码不在物料档案里","※物料编码不在档案里",IF(N($J1239)&lt;=0,"※出库数量要大于 0",IF($K1239="","※没填去向类型",IF($L1239="","※没填去向矿区",IF(AND($C1239&lt;&gt;"",$C1239&lt;=结账锁),"※日期早于已结账截止日，不能再录",IF(AND($K1239="自用消耗",COUNTIF({"一矿区";"二矿区"},$L1239)=0),"※自用消耗的去向只能是一矿区或二矿区",IF(AND($K1239="对外销售",COUNTIF({"三矿区";"六矿区"},$L1239)=0),"※对外销售的去向只能是三矿区或六矿区",IF(AND($K1239="对外销售",ROUND($Q1239,0)=0),"※外销却没有售价，请填实际售价",IF(AND($K1239="对外销售",$T1239&lt;&gt;"",$T1239&lt;0),"※这一笔外销是亏的，请核对售价",IF(IFERROR(VLOOKUP($D1239,库存台账!$A$5:$Y$1204,24,0),0)&lt;-0.001,"※这个物料账面已经变成负数了，查一下是不是漏记入库","")))))))))))</f>
        <v/>
      </c>
    </row>
    <row r="1240">
      <c r="A1240" s="24">
        <f>IF($D1240="","",COUNTA($D$4:$D1240))</f>
        <v/>
      </c>
      <c r="B1240" s="17" t="n"/>
      <c r="C1240" s="30" t="n"/>
      <c r="D1240" s="17" t="n"/>
      <c r="E1240" s="24">
        <f>IF($D1240="","",IFERROR(VLOOKUP($D1240,物料档案!$A$4:$P$1203,3,0),"※编码不在物料档案里"))</f>
        <v/>
      </c>
      <c r="F1240" s="24">
        <f>IF($D1240="","",IFERROR(VLOOKUP($D1240,物料档案!$A$4:$P$1203,4,0),"※编码不在物料档案里"))</f>
        <v/>
      </c>
      <c r="G1240" s="24">
        <f>IF($D1240="","",IFERROR(VLOOKUP($D1240,物料档案!$A$4:$P$1203,5,0),"※编码不在物料档案里"))</f>
        <v/>
      </c>
      <c r="H1240" s="24">
        <f>IF($D1240="","",IFERROR(VLOOKUP($D1240,物料档案!$A$4:$P$1203,2,0),"※编码不在物料档案里"))</f>
        <v/>
      </c>
      <c r="I1240" s="24">
        <f>IF($D1240="","",IFERROR(VLOOKUP($D1240,物料档案!$A$4:$P$1203,6,0),"※编码不在物料档案里"))</f>
        <v/>
      </c>
      <c r="J1240" s="23" t="n"/>
      <c r="K1240" s="17" t="n"/>
      <c r="L1240" s="17" t="n"/>
      <c r="M1240" s="17" t="n"/>
      <c r="N1240" s="17" t="n"/>
      <c r="O1240" s="26">
        <f>IF($D1240="","",IFERROR(VLOOKUP($D1240,物料档案!$A$4:$P$1203,10,0),0))</f>
        <v/>
      </c>
      <c r="P1240" s="32" t="n"/>
      <c r="Q1240" s="26">
        <f>IF($D1240="","",IF($K1240&lt;&gt;"对外销售",0,ROUND(N($J1240)*IF($P1240="",N($O1240),N($P1240)),0)))</f>
        <v/>
      </c>
      <c r="R1240" s="26">
        <f>IF($D1240="","",IFERROR(VLOOKUP($D1240,库存台账!$A$5:$Y$1204,11,0),0))</f>
        <v/>
      </c>
      <c r="S1240" s="26">
        <f>IF($D1240="","",ROUND(N($J1240)*N($R1240),0))</f>
        <v/>
      </c>
      <c r="T1240" s="26">
        <f>IF($D1240="","",IF($K1240&lt;&gt;"对外销售","",ROUND($Q1240-$S1240,0)))</f>
        <v/>
      </c>
      <c r="U1240" s="17" t="n"/>
      <c r="V1240" s="17" t="n"/>
      <c r="W1240" s="24">
        <f>IF($D1240="","",IF($E1240="※编码不在物料档案里","※物料编码不在档案里",IF(N($J1240)&lt;=0,"※出库数量要大于 0",IF($K1240="","※没填去向类型",IF($L1240="","※没填去向矿区",IF(AND($C1240&lt;&gt;"",$C1240&lt;=结账锁),"※日期早于已结账截止日，不能再录",IF(AND($K1240="自用消耗",COUNTIF({"一矿区";"二矿区"},$L1240)=0),"※自用消耗的去向只能是一矿区或二矿区",IF(AND($K1240="对外销售",COUNTIF({"三矿区";"六矿区"},$L1240)=0),"※对外销售的去向只能是三矿区或六矿区",IF(AND($K1240="对外销售",ROUND($Q1240,0)=0),"※外销却没有售价，请填实际售价",IF(AND($K1240="对外销售",$T1240&lt;&gt;"",$T1240&lt;0),"※这一笔外销是亏的，请核对售价",IF(IFERROR(VLOOKUP($D1240,库存台账!$A$5:$Y$1204,24,0),0)&lt;-0.001,"※这个物料账面已经变成负数了，查一下是不是漏记入库","")))))))))))</f>
        <v/>
      </c>
    </row>
    <row r="1241">
      <c r="A1241" s="24">
        <f>IF($D1241="","",COUNTA($D$4:$D1241))</f>
        <v/>
      </c>
      <c r="B1241" s="17" t="n"/>
      <c r="C1241" s="30" t="n"/>
      <c r="D1241" s="17" t="n"/>
      <c r="E1241" s="24">
        <f>IF($D1241="","",IFERROR(VLOOKUP($D1241,物料档案!$A$4:$P$1203,3,0),"※编码不在物料档案里"))</f>
        <v/>
      </c>
      <c r="F1241" s="24">
        <f>IF($D1241="","",IFERROR(VLOOKUP($D1241,物料档案!$A$4:$P$1203,4,0),"※编码不在物料档案里"))</f>
        <v/>
      </c>
      <c r="G1241" s="24">
        <f>IF($D1241="","",IFERROR(VLOOKUP($D1241,物料档案!$A$4:$P$1203,5,0),"※编码不在物料档案里"))</f>
        <v/>
      </c>
      <c r="H1241" s="24">
        <f>IF($D1241="","",IFERROR(VLOOKUP($D1241,物料档案!$A$4:$P$1203,2,0),"※编码不在物料档案里"))</f>
        <v/>
      </c>
      <c r="I1241" s="24">
        <f>IF($D1241="","",IFERROR(VLOOKUP($D1241,物料档案!$A$4:$P$1203,6,0),"※编码不在物料档案里"))</f>
        <v/>
      </c>
      <c r="J1241" s="23" t="n"/>
      <c r="K1241" s="17" t="n"/>
      <c r="L1241" s="17" t="n"/>
      <c r="M1241" s="17" t="n"/>
      <c r="N1241" s="17" t="n"/>
      <c r="O1241" s="26">
        <f>IF($D1241="","",IFERROR(VLOOKUP($D1241,物料档案!$A$4:$P$1203,10,0),0))</f>
        <v/>
      </c>
      <c r="P1241" s="32" t="n"/>
      <c r="Q1241" s="26">
        <f>IF($D1241="","",IF($K1241&lt;&gt;"对外销售",0,ROUND(N($J1241)*IF($P1241="",N($O1241),N($P1241)),0)))</f>
        <v/>
      </c>
      <c r="R1241" s="26">
        <f>IF($D1241="","",IFERROR(VLOOKUP($D1241,库存台账!$A$5:$Y$1204,11,0),0))</f>
        <v/>
      </c>
      <c r="S1241" s="26">
        <f>IF($D1241="","",ROUND(N($J1241)*N($R1241),0))</f>
        <v/>
      </c>
      <c r="T1241" s="26">
        <f>IF($D1241="","",IF($K1241&lt;&gt;"对外销售","",ROUND($Q1241-$S1241,0)))</f>
        <v/>
      </c>
      <c r="U1241" s="17" t="n"/>
      <c r="V1241" s="17" t="n"/>
      <c r="W1241" s="24">
        <f>IF($D1241="","",IF($E1241="※编码不在物料档案里","※物料编码不在档案里",IF(N($J1241)&lt;=0,"※出库数量要大于 0",IF($K1241="","※没填去向类型",IF($L1241="","※没填去向矿区",IF(AND($C1241&lt;&gt;"",$C1241&lt;=结账锁),"※日期早于已结账截止日，不能再录",IF(AND($K1241="自用消耗",COUNTIF({"一矿区";"二矿区"},$L1241)=0),"※自用消耗的去向只能是一矿区或二矿区",IF(AND($K1241="对外销售",COUNTIF({"三矿区";"六矿区"},$L1241)=0),"※对外销售的去向只能是三矿区或六矿区",IF(AND($K1241="对外销售",ROUND($Q1241,0)=0),"※外销却没有售价，请填实际售价",IF(AND($K1241="对外销售",$T1241&lt;&gt;"",$T1241&lt;0),"※这一笔外销是亏的，请核对售价",IF(IFERROR(VLOOKUP($D1241,库存台账!$A$5:$Y$1204,24,0),0)&lt;-0.001,"※这个物料账面已经变成负数了，查一下是不是漏记入库","")))))))))))</f>
        <v/>
      </c>
    </row>
    <row r="1242">
      <c r="A1242" s="24">
        <f>IF($D1242="","",COUNTA($D$4:$D1242))</f>
        <v/>
      </c>
      <c r="B1242" s="17" t="n"/>
      <c r="C1242" s="30" t="n"/>
      <c r="D1242" s="17" t="n"/>
      <c r="E1242" s="24">
        <f>IF($D1242="","",IFERROR(VLOOKUP($D1242,物料档案!$A$4:$P$1203,3,0),"※编码不在物料档案里"))</f>
        <v/>
      </c>
      <c r="F1242" s="24">
        <f>IF($D1242="","",IFERROR(VLOOKUP($D1242,物料档案!$A$4:$P$1203,4,0),"※编码不在物料档案里"))</f>
        <v/>
      </c>
      <c r="G1242" s="24">
        <f>IF($D1242="","",IFERROR(VLOOKUP($D1242,物料档案!$A$4:$P$1203,5,0),"※编码不在物料档案里"))</f>
        <v/>
      </c>
      <c r="H1242" s="24">
        <f>IF($D1242="","",IFERROR(VLOOKUP($D1242,物料档案!$A$4:$P$1203,2,0),"※编码不在物料档案里"))</f>
        <v/>
      </c>
      <c r="I1242" s="24">
        <f>IF($D1242="","",IFERROR(VLOOKUP($D1242,物料档案!$A$4:$P$1203,6,0),"※编码不在物料档案里"))</f>
        <v/>
      </c>
      <c r="J1242" s="23" t="n"/>
      <c r="K1242" s="17" t="n"/>
      <c r="L1242" s="17" t="n"/>
      <c r="M1242" s="17" t="n"/>
      <c r="N1242" s="17" t="n"/>
      <c r="O1242" s="26">
        <f>IF($D1242="","",IFERROR(VLOOKUP($D1242,物料档案!$A$4:$P$1203,10,0),0))</f>
        <v/>
      </c>
      <c r="P1242" s="32" t="n"/>
      <c r="Q1242" s="26">
        <f>IF($D1242="","",IF($K1242&lt;&gt;"对外销售",0,ROUND(N($J1242)*IF($P1242="",N($O1242),N($P1242)),0)))</f>
        <v/>
      </c>
      <c r="R1242" s="26">
        <f>IF($D1242="","",IFERROR(VLOOKUP($D1242,库存台账!$A$5:$Y$1204,11,0),0))</f>
        <v/>
      </c>
      <c r="S1242" s="26">
        <f>IF($D1242="","",ROUND(N($J1242)*N($R1242),0))</f>
        <v/>
      </c>
      <c r="T1242" s="26">
        <f>IF($D1242="","",IF($K1242&lt;&gt;"对外销售","",ROUND($Q1242-$S1242,0)))</f>
        <v/>
      </c>
      <c r="U1242" s="17" t="n"/>
      <c r="V1242" s="17" t="n"/>
      <c r="W1242" s="24">
        <f>IF($D1242="","",IF($E1242="※编码不在物料档案里","※物料编码不在档案里",IF(N($J1242)&lt;=0,"※出库数量要大于 0",IF($K1242="","※没填去向类型",IF($L1242="","※没填去向矿区",IF(AND($C1242&lt;&gt;"",$C1242&lt;=结账锁),"※日期早于已结账截止日，不能再录",IF(AND($K1242="自用消耗",COUNTIF({"一矿区";"二矿区"},$L1242)=0),"※自用消耗的去向只能是一矿区或二矿区",IF(AND($K1242="对外销售",COUNTIF({"三矿区";"六矿区"},$L1242)=0),"※对外销售的去向只能是三矿区或六矿区",IF(AND($K1242="对外销售",ROUND($Q1242,0)=0),"※外销却没有售价，请填实际售价",IF(AND($K1242="对外销售",$T1242&lt;&gt;"",$T1242&lt;0),"※这一笔外销是亏的，请核对售价",IF(IFERROR(VLOOKUP($D1242,库存台账!$A$5:$Y$1204,24,0),0)&lt;-0.001,"※这个物料账面已经变成负数了，查一下是不是漏记入库","")))))))))))</f>
        <v/>
      </c>
    </row>
    <row r="1243">
      <c r="A1243" s="24">
        <f>IF($D1243="","",COUNTA($D$4:$D1243))</f>
        <v/>
      </c>
      <c r="B1243" s="17" t="n"/>
      <c r="C1243" s="30" t="n"/>
      <c r="D1243" s="17" t="n"/>
      <c r="E1243" s="24">
        <f>IF($D1243="","",IFERROR(VLOOKUP($D1243,物料档案!$A$4:$P$1203,3,0),"※编码不在物料档案里"))</f>
        <v/>
      </c>
      <c r="F1243" s="24">
        <f>IF($D1243="","",IFERROR(VLOOKUP($D1243,物料档案!$A$4:$P$1203,4,0),"※编码不在物料档案里"))</f>
        <v/>
      </c>
      <c r="G1243" s="24">
        <f>IF($D1243="","",IFERROR(VLOOKUP($D1243,物料档案!$A$4:$P$1203,5,0),"※编码不在物料档案里"))</f>
        <v/>
      </c>
      <c r="H1243" s="24">
        <f>IF($D1243="","",IFERROR(VLOOKUP($D1243,物料档案!$A$4:$P$1203,2,0),"※编码不在物料档案里"))</f>
        <v/>
      </c>
      <c r="I1243" s="24">
        <f>IF($D1243="","",IFERROR(VLOOKUP($D1243,物料档案!$A$4:$P$1203,6,0),"※编码不在物料档案里"))</f>
        <v/>
      </c>
      <c r="J1243" s="23" t="n"/>
      <c r="K1243" s="17" t="n"/>
      <c r="L1243" s="17" t="n"/>
      <c r="M1243" s="17" t="n"/>
      <c r="N1243" s="17" t="n"/>
      <c r="O1243" s="26">
        <f>IF($D1243="","",IFERROR(VLOOKUP($D1243,物料档案!$A$4:$P$1203,10,0),0))</f>
        <v/>
      </c>
      <c r="P1243" s="32" t="n"/>
      <c r="Q1243" s="26">
        <f>IF($D1243="","",IF($K1243&lt;&gt;"对外销售",0,ROUND(N($J1243)*IF($P1243="",N($O1243),N($P1243)),0)))</f>
        <v/>
      </c>
      <c r="R1243" s="26">
        <f>IF($D1243="","",IFERROR(VLOOKUP($D1243,库存台账!$A$5:$Y$1204,11,0),0))</f>
        <v/>
      </c>
      <c r="S1243" s="26">
        <f>IF($D1243="","",ROUND(N($J1243)*N($R1243),0))</f>
        <v/>
      </c>
      <c r="T1243" s="26">
        <f>IF($D1243="","",IF($K1243&lt;&gt;"对外销售","",ROUND($Q1243-$S1243,0)))</f>
        <v/>
      </c>
      <c r="U1243" s="17" t="n"/>
      <c r="V1243" s="17" t="n"/>
      <c r="W1243" s="24">
        <f>IF($D1243="","",IF($E1243="※编码不在物料档案里","※物料编码不在档案里",IF(N($J1243)&lt;=0,"※出库数量要大于 0",IF($K1243="","※没填去向类型",IF($L1243="","※没填去向矿区",IF(AND($C1243&lt;&gt;"",$C1243&lt;=结账锁),"※日期早于已结账截止日，不能再录",IF(AND($K1243="自用消耗",COUNTIF({"一矿区";"二矿区"},$L1243)=0),"※自用消耗的去向只能是一矿区或二矿区",IF(AND($K1243="对外销售",COUNTIF({"三矿区";"六矿区"},$L1243)=0),"※对外销售的去向只能是三矿区或六矿区",IF(AND($K1243="对外销售",ROUND($Q1243,0)=0),"※外销却没有售价，请填实际售价",IF(AND($K1243="对外销售",$T1243&lt;&gt;"",$T1243&lt;0),"※这一笔外销是亏的，请核对售价",IF(IFERROR(VLOOKUP($D1243,库存台账!$A$5:$Y$1204,24,0),0)&lt;-0.001,"※这个物料账面已经变成负数了，查一下是不是漏记入库","")))))))))))</f>
        <v/>
      </c>
    </row>
    <row r="1244">
      <c r="A1244" s="24">
        <f>IF($D1244="","",COUNTA($D$4:$D1244))</f>
        <v/>
      </c>
      <c r="B1244" s="17" t="n"/>
      <c r="C1244" s="30" t="n"/>
      <c r="D1244" s="17" t="n"/>
      <c r="E1244" s="24">
        <f>IF($D1244="","",IFERROR(VLOOKUP($D1244,物料档案!$A$4:$P$1203,3,0),"※编码不在物料档案里"))</f>
        <v/>
      </c>
      <c r="F1244" s="24">
        <f>IF($D1244="","",IFERROR(VLOOKUP($D1244,物料档案!$A$4:$P$1203,4,0),"※编码不在物料档案里"))</f>
        <v/>
      </c>
      <c r="G1244" s="24">
        <f>IF($D1244="","",IFERROR(VLOOKUP($D1244,物料档案!$A$4:$P$1203,5,0),"※编码不在物料档案里"))</f>
        <v/>
      </c>
      <c r="H1244" s="24">
        <f>IF($D1244="","",IFERROR(VLOOKUP($D1244,物料档案!$A$4:$P$1203,2,0),"※编码不在物料档案里"))</f>
        <v/>
      </c>
      <c r="I1244" s="24">
        <f>IF($D1244="","",IFERROR(VLOOKUP($D1244,物料档案!$A$4:$P$1203,6,0),"※编码不在物料档案里"))</f>
        <v/>
      </c>
      <c r="J1244" s="23" t="n"/>
      <c r="K1244" s="17" t="n"/>
      <c r="L1244" s="17" t="n"/>
      <c r="M1244" s="17" t="n"/>
      <c r="N1244" s="17" t="n"/>
      <c r="O1244" s="26">
        <f>IF($D1244="","",IFERROR(VLOOKUP($D1244,物料档案!$A$4:$P$1203,10,0),0))</f>
        <v/>
      </c>
      <c r="P1244" s="32" t="n"/>
      <c r="Q1244" s="26">
        <f>IF($D1244="","",IF($K1244&lt;&gt;"对外销售",0,ROUND(N($J1244)*IF($P1244="",N($O1244),N($P1244)),0)))</f>
        <v/>
      </c>
      <c r="R1244" s="26">
        <f>IF($D1244="","",IFERROR(VLOOKUP($D1244,库存台账!$A$5:$Y$1204,11,0),0))</f>
        <v/>
      </c>
      <c r="S1244" s="26">
        <f>IF($D1244="","",ROUND(N($J1244)*N($R1244),0))</f>
        <v/>
      </c>
      <c r="T1244" s="26">
        <f>IF($D1244="","",IF($K1244&lt;&gt;"对外销售","",ROUND($Q1244-$S1244,0)))</f>
        <v/>
      </c>
      <c r="U1244" s="17" t="n"/>
      <c r="V1244" s="17" t="n"/>
      <c r="W1244" s="24">
        <f>IF($D1244="","",IF($E1244="※编码不在物料档案里","※物料编码不在档案里",IF(N($J1244)&lt;=0,"※出库数量要大于 0",IF($K1244="","※没填去向类型",IF($L1244="","※没填去向矿区",IF(AND($C1244&lt;&gt;"",$C1244&lt;=结账锁),"※日期早于已结账截止日，不能再录",IF(AND($K1244="自用消耗",COUNTIF({"一矿区";"二矿区"},$L1244)=0),"※自用消耗的去向只能是一矿区或二矿区",IF(AND($K1244="对外销售",COUNTIF({"三矿区";"六矿区"},$L1244)=0),"※对外销售的去向只能是三矿区或六矿区",IF(AND($K1244="对外销售",ROUND($Q1244,0)=0),"※外销却没有售价，请填实际售价",IF(AND($K1244="对外销售",$T1244&lt;&gt;"",$T1244&lt;0),"※这一笔外销是亏的，请核对售价",IF(IFERROR(VLOOKUP($D1244,库存台账!$A$5:$Y$1204,24,0),0)&lt;-0.001,"※这个物料账面已经变成负数了，查一下是不是漏记入库","")))))))))))</f>
        <v/>
      </c>
    </row>
    <row r="1245">
      <c r="A1245" s="24">
        <f>IF($D1245="","",COUNTA($D$4:$D1245))</f>
        <v/>
      </c>
      <c r="B1245" s="17" t="n"/>
      <c r="C1245" s="30" t="n"/>
      <c r="D1245" s="17" t="n"/>
      <c r="E1245" s="24">
        <f>IF($D1245="","",IFERROR(VLOOKUP($D1245,物料档案!$A$4:$P$1203,3,0),"※编码不在物料档案里"))</f>
        <v/>
      </c>
      <c r="F1245" s="24">
        <f>IF($D1245="","",IFERROR(VLOOKUP($D1245,物料档案!$A$4:$P$1203,4,0),"※编码不在物料档案里"))</f>
        <v/>
      </c>
      <c r="G1245" s="24">
        <f>IF($D1245="","",IFERROR(VLOOKUP($D1245,物料档案!$A$4:$P$1203,5,0),"※编码不在物料档案里"))</f>
        <v/>
      </c>
      <c r="H1245" s="24">
        <f>IF($D1245="","",IFERROR(VLOOKUP($D1245,物料档案!$A$4:$P$1203,2,0),"※编码不在物料档案里"))</f>
        <v/>
      </c>
      <c r="I1245" s="24">
        <f>IF($D1245="","",IFERROR(VLOOKUP($D1245,物料档案!$A$4:$P$1203,6,0),"※编码不在物料档案里"))</f>
        <v/>
      </c>
      <c r="J1245" s="23" t="n"/>
      <c r="K1245" s="17" t="n"/>
      <c r="L1245" s="17" t="n"/>
      <c r="M1245" s="17" t="n"/>
      <c r="N1245" s="17" t="n"/>
      <c r="O1245" s="26">
        <f>IF($D1245="","",IFERROR(VLOOKUP($D1245,物料档案!$A$4:$P$1203,10,0),0))</f>
        <v/>
      </c>
      <c r="P1245" s="32" t="n"/>
      <c r="Q1245" s="26">
        <f>IF($D1245="","",IF($K1245&lt;&gt;"对外销售",0,ROUND(N($J1245)*IF($P1245="",N($O1245),N($P1245)),0)))</f>
        <v/>
      </c>
      <c r="R1245" s="26">
        <f>IF($D1245="","",IFERROR(VLOOKUP($D1245,库存台账!$A$5:$Y$1204,11,0),0))</f>
        <v/>
      </c>
      <c r="S1245" s="26">
        <f>IF($D1245="","",ROUND(N($J1245)*N($R1245),0))</f>
        <v/>
      </c>
      <c r="T1245" s="26">
        <f>IF($D1245="","",IF($K1245&lt;&gt;"对外销售","",ROUND($Q1245-$S1245,0)))</f>
        <v/>
      </c>
      <c r="U1245" s="17" t="n"/>
      <c r="V1245" s="17" t="n"/>
      <c r="W1245" s="24">
        <f>IF($D1245="","",IF($E1245="※编码不在物料档案里","※物料编码不在档案里",IF(N($J1245)&lt;=0,"※出库数量要大于 0",IF($K1245="","※没填去向类型",IF($L1245="","※没填去向矿区",IF(AND($C1245&lt;&gt;"",$C1245&lt;=结账锁),"※日期早于已结账截止日，不能再录",IF(AND($K1245="自用消耗",COUNTIF({"一矿区";"二矿区"},$L1245)=0),"※自用消耗的去向只能是一矿区或二矿区",IF(AND($K1245="对外销售",COUNTIF({"三矿区";"六矿区"},$L1245)=0),"※对外销售的去向只能是三矿区或六矿区",IF(AND($K1245="对外销售",ROUND($Q1245,0)=0),"※外销却没有售价，请填实际售价",IF(AND($K1245="对外销售",$T1245&lt;&gt;"",$T1245&lt;0),"※这一笔外销是亏的，请核对售价",IF(IFERROR(VLOOKUP($D1245,库存台账!$A$5:$Y$1204,24,0),0)&lt;-0.001,"※这个物料账面已经变成负数了，查一下是不是漏记入库","")))))))))))</f>
        <v/>
      </c>
    </row>
    <row r="1246">
      <c r="A1246" s="24">
        <f>IF($D1246="","",COUNTA($D$4:$D1246))</f>
        <v/>
      </c>
      <c r="B1246" s="17" t="n"/>
      <c r="C1246" s="30" t="n"/>
      <c r="D1246" s="17" t="n"/>
      <c r="E1246" s="24">
        <f>IF($D1246="","",IFERROR(VLOOKUP($D1246,物料档案!$A$4:$P$1203,3,0),"※编码不在物料档案里"))</f>
        <v/>
      </c>
      <c r="F1246" s="24">
        <f>IF($D1246="","",IFERROR(VLOOKUP($D1246,物料档案!$A$4:$P$1203,4,0),"※编码不在物料档案里"))</f>
        <v/>
      </c>
      <c r="G1246" s="24">
        <f>IF($D1246="","",IFERROR(VLOOKUP($D1246,物料档案!$A$4:$P$1203,5,0),"※编码不在物料档案里"))</f>
        <v/>
      </c>
      <c r="H1246" s="24">
        <f>IF($D1246="","",IFERROR(VLOOKUP($D1246,物料档案!$A$4:$P$1203,2,0),"※编码不在物料档案里"))</f>
        <v/>
      </c>
      <c r="I1246" s="24">
        <f>IF($D1246="","",IFERROR(VLOOKUP($D1246,物料档案!$A$4:$P$1203,6,0),"※编码不在物料档案里"))</f>
        <v/>
      </c>
      <c r="J1246" s="23" t="n"/>
      <c r="K1246" s="17" t="n"/>
      <c r="L1246" s="17" t="n"/>
      <c r="M1246" s="17" t="n"/>
      <c r="N1246" s="17" t="n"/>
      <c r="O1246" s="26">
        <f>IF($D1246="","",IFERROR(VLOOKUP($D1246,物料档案!$A$4:$P$1203,10,0),0))</f>
        <v/>
      </c>
      <c r="P1246" s="32" t="n"/>
      <c r="Q1246" s="26">
        <f>IF($D1246="","",IF($K1246&lt;&gt;"对外销售",0,ROUND(N($J1246)*IF($P1246="",N($O1246),N($P1246)),0)))</f>
        <v/>
      </c>
      <c r="R1246" s="26">
        <f>IF($D1246="","",IFERROR(VLOOKUP($D1246,库存台账!$A$5:$Y$1204,11,0),0))</f>
        <v/>
      </c>
      <c r="S1246" s="26">
        <f>IF($D1246="","",ROUND(N($J1246)*N($R1246),0))</f>
        <v/>
      </c>
      <c r="T1246" s="26">
        <f>IF($D1246="","",IF($K1246&lt;&gt;"对外销售","",ROUND($Q1246-$S1246,0)))</f>
        <v/>
      </c>
      <c r="U1246" s="17" t="n"/>
      <c r="V1246" s="17" t="n"/>
      <c r="W1246" s="24">
        <f>IF($D1246="","",IF($E1246="※编码不在物料档案里","※物料编码不在档案里",IF(N($J1246)&lt;=0,"※出库数量要大于 0",IF($K1246="","※没填去向类型",IF($L1246="","※没填去向矿区",IF(AND($C1246&lt;&gt;"",$C1246&lt;=结账锁),"※日期早于已结账截止日，不能再录",IF(AND($K1246="自用消耗",COUNTIF({"一矿区";"二矿区"},$L1246)=0),"※自用消耗的去向只能是一矿区或二矿区",IF(AND($K1246="对外销售",COUNTIF({"三矿区";"六矿区"},$L1246)=0),"※对外销售的去向只能是三矿区或六矿区",IF(AND($K1246="对外销售",ROUND($Q1246,0)=0),"※外销却没有售价，请填实际售价",IF(AND($K1246="对外销售",$T1246&lt;&gt;"",$T1246&lt;0),"※这一笔外销是亏的，请核对售价",IF(IFERROR(VLOOKUP($D1246,库存台账!$A$5:$Y$1204,24,0),0)&lt;-0.001,"※这个物料账面已经变成负数了，查一下是不是漏记入库","")))))))))))</f>
        <v/>
      </c>
    </row>
    <row r="1247">
      <c r="A1247" s="24">
        <f>IF($D1247="","",COUNTA($D$4:$D1247))</f>
        <v/>
      </c>
      <c r="B1247" s="17" t="n"/>
      <c r="C1247" s="30" t="n"/>
      <c r="D1247" s="17" t="n"/>
      <c r="E1247" s="24">
        <f>IF($D1247="","",IFERROR(VLOOKUP($D1247,物料档案!$A$4:$P$1203,3,0),"※编码不在物料档案里"))</f>
        <v/>
      </c>
      <c r="F1247" s="24">
        <f>IF($D1247="","",IFERROR(VLOOKUP($D1247,物料档案!$A$4:$P$1203,4,0),"※编码不在物料档案里"))</f>
        <v/>
      </c>
      <c r="G1247" s="24">
        <f>IF($D1247="","",IFERROR(VLOOKUP($D1247,物料档案!$A$4:$P$1203,5,0),"※编码不在物料档案里"))</f>
        <v/>
      </c>
      <c r="H1247" s="24">
        <f>IF($D1247="","",IFERROR(VLOOKUP($D1247,物料档案!$A$4:$P$1203,2,0),"※编码不在物料档案里"))</f>
        <v/>
      </c>
      <c r="I1247" s="24">
        <f>IF($D1247="","",IFERROR(VLOOKUP($D1247,物料档案!$A$4:$P$1203,6,0),"※编码不在物料档案里"))</f>
        <v/>
      </c>
      <c r="J1247" s="23" t="n"/>
      <c r="K1247" s="17" t="n"/>
      <c r="L1247" s="17" t="n"/>
      <c r="M1247" s="17" t="n"/>
      <c r="N1247" s="17" t="n"/>
      <c r="O1247" s="26">
        <f>IF($D1247="","",IFERROR(VLOOKUP($D1247,物料档案!$A$4:$P$1203,10,0),0))</f>
        <v/>
      </c>
      <c r="P1247" s="32" t="n"/>
      <c r="Q1247" s="26">
        <f>IF($D1247="","",IF($K1247&lt;&gt;"对外销售",0,ROUND(N($J1247)*IF($P1247="",N($O1247),N($P1247)),0)))</f>
        <v/>
      </c>
      <c r="R1247" s="26">
        <f>IF($D1247="","",IFERROR(VLOOKUP($D1247,库存台账!$A$5:$Y$1204,11,0),0))</f>
        <v/>
      </c>
      <c r="S1247" s="26">
        <f>IF($D1247="","",ROUND(N($J1247)*N($R1247),0))</f>
        <v/>
      </c>
      <c r="T1247" s="26">
        <f>IF($D1247="","",IF($K1247&lt;&gt;"对外销售","",ROUND($Q1247-$S1247,0)))</f>
        <v/>
      </c>
      <c r="U1247" s="17" t="n"/>
      <c r="V1247" s="17" t="n"/>
      <c r="W1247" s="24">
        <f>IF($D1247="","",IF($E1247="※编码不在物料档案里","※物料编码不在档案里",IF(N($J1247)&lt;=0,"※出库数量要大于 0",IF($K1247="","※没填去向类型",IF($L1247="","※没填去向矿区",IF(AND($C1247&lt;&gt;"",$C1247&lt;=结账锁),"※日期早于已结账截止日，不能再录",IF(AND($K1247="自用消耗",COUNTIF({"一矿区";"二矿区"},$L1247)=0),"※自用消耗的去向只能是一矿区或二矿区",IF(AND($K1247="对外销售",COUNTIF({"三矿区";"六矿区"},$L1247)=0),"※对外销售的去向只能是三矿区或六矿区",IF(AND($K1247="对外销售",ROUND($Q1247,0)=0),"※外销却没有售价，请填实际售价",IF(AND($K1247="对外销售",$T1247&lt;&gt;"",$T1247&lt;0),"※这一笔外销是亏的，请核对售价",IF(IFERROR(VLOOKUP($D1247,库存台账!$A$5:$Y$1204,24,0),0)&lt;-0.001,"※这个物料账面已经变成负数了，查一下是不是漏记入库","")))))))))))</f>
        <v/>
      </c>
    </row>
    <row r="1248">
      <c r="A1248" s="24">
        <f>IF($D1248="","",COUNTA($D$4:$D1248))</f>
        <v/>
      </c>
      <c r="B1248" s="17" t="n"/>
      <c r="C1248" s="30" t="n"/>
      <c r="D1248" s="17" t="n"/>
      <c r="E1248" s="24">
        <f>IF($D1248="","",IFERROR(VLOOKUP($D1248,物料档案!$A$4:$P$1203,3,0),"※编码不在物料档案里"))</f>
        <v/>
      </c>
      <c r="F1248" s="24">
        <f>IF($D1248="","",IFERROR(VLOOKUP($D1248,物料档案!$A$4:$P$1203,4,0),"※编码不在物料档案里"))</f>
        <v/>
      </c>
      <c r="G1248" s="24">
        <f>IF($D1248="","",IFERROR(VLOOKUP($D1248,物料档案!$A$4:$P$1203,5,0),"※编码不在物料档案里"))</f>
        <v/>
      </c>
      <c r="H1248" s="24">
        <f>IF($D1248="","",IFERROR(VLOOKUP($D1248,物料档案!$A$4:$P$1203,2,0),"※编码不在物料档案里"))</f>
        <v/>
      </c>
      <c r="I1248" s="24">
        <f>IF($D1248="","",IFERROR(VLOOKUP($D1248,物料档案!$A$4:$P$1203,6,0),"※编码不在物料档案里"))</f>
        <v/>
      </c>
      <c r="J1248" s="23" t="n"/>
      <c r="K1248" s="17" t="n"/>
      <c r="L1248" s="17" t="n"/>
      <c r="M1248" s="17" t="n"/>
      <c r="N1248" s="17" t="n"/>
      <c r="O1248" s="26">
        <f>IF($D1248="","",IFERROR(VLOOKUP($D1248,物料档案!$A$4:$P$1203,10,0),0))</f>
        <v/>
      </c>
      <c r="P1248" s="32" t="n"/>
      <c r="Q1248" s="26">
        <f>IF($D1248="","",IF($K1248&lt;&gt;"对外销售",0,ROUND(N($J1248)*IF($P1248="",N($O1248),N($P1248)),0)))</f>
        <v/>
      </c>
      <c r="R1248" s="26">
        <f>IF($D1248="","",IFERROR(VLOOKUP($D1248,库存台账!$A$5:$Y$1204,11,0),0))</f>
        <v/>
      </c>
      <c r="S1248" s="26">
        <f>IF($D1248="","",ROUND(N($J1248)*N($R1248),0))</f>
        <v/>
      </c>
      <c r="T1248" s="26">
        <f>IF($D1248="","",IF($K1248&lt;&gt;"对外销售","",ROUND($Q1248-$S1248,0)))</f>
        <v/>
      </c>
      <c r="U1248" s="17" t="n"/>
      <c r="V1248" s="17" t="n"/>
      <c r="W1248" s="24">
        <f>IF($D1248="","",IF($E1248="※编码不在物料档案里","※物料编码不在档案里",IF(N($J1248)&lt;=0,"※出库数量要大于 0",IF($K1248="","※没填去向类型",IF($L1248="","※没填去向矿区",IF(AND($C1248&lt;&gt;"",$C1248&lt;=结账锁),"※日期早于已结账截止日，不能再录",IF(AND($K1248="自用消耗",COUNTIF({"一矿区";"二矿区"},$L1248)=0),"※自用消耗的去向只能是一矿区或二矿区",IF(AND($K1248="对外销售",COUNTIF({"三矿区";"六矿区"},$L1248)=0),"※对外销售的去向只能是三矿区或六矿区",IF(AND($K1248="对外销售",ROUND($Q1248,0)=0),"※外销却没有售价，请填实际售价",IF(AND($K1248="对外销售",$T1248&lt;&gt;"",$T1248&lt;0),"※这一笔外销是亏的，请核对售价",IF(IFERROR(VLOOKUP($D1248,库存台账!$A$5:$Y$1204,24,0),0)&lt;-0.001,"※这个物料账面已经变成负数了，查一下是不是漏记入库","")))))))))))</f>
        <v/>
      </c>
    </row>
    <row r="1249">
      <c r="A1249" s="24">
        <f>IF($D1249="","",COUNTA($D$4:$D1249))</f>
        <v/>
      </c>
      <c r="B1249" s="17" t="n"/>
      <c r="C1249" s="30" t="n"/>
      <c r="D1249" s="17" t="n"/>
      <c r="E1249" s="24">
        <f>IF($D1249="","",IFERROR(VLOOKUP($D1249,物料档案!$A$4:$P$1203,3,0),"※编码不在物料档案里"))</f>
        <v/>
      </c>
      <c r="F1249" s="24">
        <f>IF($D1249="","",IFERROR(VLOOKUP($D1249,物料档案!$A$4:$P$1203,4,0),"※编码不在物料档案里"))</f>
        <v/>
      </c>
      <c r="G1249" s="24">
        <f>IF($D1249="","",IFERROR(VLOOKUP($D1249,物料档案!$A$4:$P$1203,5,0),"※编码不在物料档案里"))</f>
        <v/>
      </c>
      <c r="H1249" s="24">
        <f>IF($D1249="","",IFERROR(VLOOKUP($D1249,物料档案!$A$4:$P$1203,2,0),"※编码不在物料档案里"))</f>
        <v/>
      </c>
      <c r="I1249" s="24">
        <f>IF($D1249="","",IFERROR(VLOOKUP($D1249,物料档案!$A$4:$P$1203,6,0),"※编码不在物料档案里"))</f>
        <v/>
      </c>
      <c r="J1249" s="23" t="n"/>
      <c r="K1249" s="17" t="n"/>
      <c r="L1249" s="17" t="n"/>
      <c r="M1249" s="17" t="n"/>
      <c r="N1249" s="17" t="n"/>
      <c r="O1249" s="26">
        <f>IF($D1249="","",IFERROR(VLOOKUP($D1249,物料档案!$A$4:$P$1203,10,0),0))</f>
        <v/>
      </c>
      <c r="P1249" s="32" t="n"/>
      <c r="Q1249" s="26">
        <f>IF($D1249="","",IF($K1249&lt;&gt;"对外销售",0,ROUND(N($J1249)*IF($P1249="",N($O1249),N($P1249)),0)))</f>
        <v/>
      </c>
      <c r="R1249" s="26">
        <f>IF($D1249="","",IFERROR(VLOOKUP($D1249,库存台账!$A$5:$Y$1204,11,0),0))</f>
        <v/>
      </c>
      <c r="S1249" s="26">
        <f>IF($D1249="","",ROUND(N($J1249)*N($R1249),0))</f>
        <v/>
      </c>
      <c r="T1249" s="26">
        <f>IF($D1249="","",IF($K1249&lt;&gt;"对外销售","",ROUND($Q1249-$S1249,0)))</f>
        <v/>
      </c>
      <c r="U1249" s="17" t="n"/>
      <c r="V1249" s="17" t="n"/>
      <c r="W1249" s="24">
        <f>IF($D1249="","",IF($E1249="※编码不在物料档案里","※物料编码不在档案里",IF(N($J1249)&lt;=0,"※出库数量要大于 0",IF($K1249="","※没填去向类型",IF($L1249="","※没填去向矿区",IF(AND($C1249&lt;&gt;"",$C1249&lt;=结账锁),"※日期早于已结账截止日，不能再录",IF(AND($K1249="自用消耗",COUNTIF({"一矿区";"二矿区"},$L1249)=0),"※自用消耗的去向只能是一矿区或二矿区",IF(AND($K1249="对外销售",COUNTIF({"三矿区";"六矿区"},$L1249)=0),"※对外销售的去向只能是三矿区或六矿区",IF(AND($K1249="对外销售",ROUND($Q1249,0)=0),"※外销却没有售价，请填实际售价",IF(AND($K1249="对外销售",$T1249&lt;&gt;"",$T1249&lt;0),"※这一笔外销是亏的，请核对售价",IF(IFERROR(VLOOKUP($D1249,库存台账!$A$5:$Y$1204,24,0),0)&lt;-0.001,"※这个物料账面已经变成负数了，查一下是不是漏记入库","")))))))))))</f>
        <v/>
      </c>
    </row>
    <row r="1250">
      <c r="A1250" s="24">
        <f>IF($D1250="","",COUNTA($D$4:$D1250))</f>
        <v/>
      </c>
      <c r="B1250" s="17" t="n"/>
      <c r="C1250" s="30" t="n"/>
      <c r="D1250" s="17" t="n"/>
      <c r="E1250" s="24">
        <f>IF($D1250="","",IFERROR(VLOOKUP($D1250,物料档案!$A$4:$P$1203,3,0),"※编码不在物料档案里"))</f>
        <v/>
      </c>
      <c r="F1250" s="24">
        <f>IF($D1250="","",IFERROR(VLOOKUP($D1250,物料档案!$A$4:$P$1203,4,0),"※编码不在物料档案里"))</f>
        <v/>
      </c>
      <c r="G1250" s="24">
        <f>IF($D1250="","",IFERROR(VLOOKUP($D1250,物料档案!$A$4:$P$1203,5,0),"※编码不在物料档案里"))</f>
        <v/>
      </c>
      <c r="H1250" s="24">
        <f>IF($D1250="","",IFERROR(VLOOKUP($D1250,物料档案!$A$4:$P$1203,2,0),"※编码不在物料档案里"))</f>
        <v/>
      </c>
      <c r="I1250" s="24">
        <f>IF($D1250="","",IFERROR(VLOOKUP($D1250,物料档案!$A$4:$P$1203,6,0),"※编码不在物料档案里"))</f>
        <v/>
      </c>
      <c r="J1250" s="23" t="n"/>
      <c r="K1250" s="17" t="n"/>
      <c r="L1250" s="17" t="n"/>
      <c r="M1250" s="17" t="n"/>
      <c r="N1250" s="17" t="n"/>
      <c r="O1250" s="26">
        <f>IF($D1250="","",IFERROR(VLOOKUP($D1250,物料档案!$A$4:$P$1203,10,0),0))</f>
        <v/>
      </c>
      <c r="P1250" s="32" t="n"/>
      <c r="Q1250" s="26">
        <f>IF($D1250="","",IF($K1250&lt;&gt;"对外销售",0,ROUND(N($J1250)*IF($P1250="",N($O1250),N($P1250)),0)))</f>
        <v/>
      </c>
      <c r="R1250" s="26">
        <f>IF($D1250="","",IFERROR(VLOOKUP($D1250,库存台账!$A$5:$Y$1204,11,0),0))</f>
        <v/>
      </c>
      <c r="S1250" s="26">
        <f>IF($D1250="","",ROUND(N($J1250)*N($R1250),0))</f>
        <v/>
      </c>
      <c r="T1250" s="26">
        <f>IF($D1250="","",IF($K1250&lt;&gt;"对外销售","",ROUND($Q1250-$S1250,0)))</f>
        <v/>
      </c>
      <c r="U1250" s="17" t="n"/>
      <c r="V1250" s="17" t="n"/>
      <c r="W1250" s="24">
        <f>IF($D1250="","",IF($E1250="※编码不在物料档案里","※物料编码不在档案里",IF(N($J1250)&lt;=0,"※出库数量要大于 0",IF($K1250="","※没填去向类型",IF($L1250="","※没填去向矿区",IF(AND($C1250&lt;&gt;"",$C1250&lt;=结账锁),"※日期早于已结账截止日，不能再录",IF(AND($K1250="自用消耗",COUNTIF({"一矿区";"二矿区"},$L1250)=0),"※自用消耗的去向只能是一矿区或二矿区",IF(AND($K1250="对外销售",COUNTIF({"三矿区";"六矿区"},$L1250)=0),"※对外销售的去向只能是三矿区或六矿区",IF(AND($K1250="对外销售",ROUND($Q1250,0)=0),"※外销却没有售价，请填实际售价",IF(AND($K1250="对外销售",$T1250&lt;&gt;"",$T1250&lt;0),"※这一笔外销是亏的，请核对售价",IF(IFERROR(VLOOKUP($D1250,库存台账!$A$5:$Y$1204,24,0),0)&lt;-0.001,"※这个物料账面已经变成负数了，查一下是不是漏记入库","")))))))))))</f>
        <v/>
      </c>
    </row>
    <row r="1251">
      <c r="A1251" s="24">
        <f>IF($D1251="","",COUNTA($D$4:$D1251))</f>
        <v/>
      </c>
      <c r="B1251" s="17" t="n"/>
      <c r="C1251" s="30" t="n"/>
      <c r="D1251" s="17" t="n"/>
      <c r="E1251" s="24">
        <f>IF($D1251="","",IFERROR(VLOOKUP($D1251,物料档案!$A$4:$P$1203,3,0),"※编码不在物料档案里"))</f>
        <v/>
      </c>
      <c r="F1251" s="24">
        <f>IF($D1251="","",IFERROR(VLOOKUP($D1251,物料档案!$A$4:$P$1203,4,0),"※编码不在物料档案里"))</f>
        <v/>
      </c>
      <c r="G1251" s="24">
        <f>IF($D1251="","",IFERROR(VLOOKUP($D1251,物料档案!$A$4:$P$1203,5,0),"※编码不在物料档案里"))</f>
        <v/>
      </c>
      <c r="H1251" s="24">
        <f>IF($D1251="","",IFERROR(VLOOKUP($D1251,物料档案!$A$4:$P$1203,2,0),"※编码不在物料档案里"))</f>
        <v/>
      </c>
      <c r="I1251" s="24">
        <f>IF($D1251="","",IFERROR(VLOOKUP($D1251,物料档案!$A$4:$P$1203,6,0),"※编码不在物料档案里"))</f>
        <v/>
      </c>
      <c r="J1251" s="23" t="n"/>
      <c r="K1251" s="17" t="n"/>
      <c r="L1251" s="17" t="n"/>
      <c r="M1251" s="17" t="n"/>
      <c r="N1251" s="17" t="n"/>
      <c r="O1251" s="26">
        <f>IF($D1251="","",IFERROR(VLOOKUP($D1251,物料档案!$A$4:$P$1203,10,0),0))</f>
        <v/>
      </c>
      <c r="P1251" s="32" t="n"/>
      <c r="Q1251" s="26">
        <f>IF($D1251="","",IF($K1251&lt;&gt;"对外销售",0,ROUND(N($J1251)*IF($P1251="",N($O1251),N($P1251)),0)))</f>
        <v/>
      </c>
      <c r="R1251" s="26">
        <f>IF($D1251="","",IFERROR(VLOOKUP($D1251,库存台账!$A$5:$Y$1204,11,0),0))</f>
        <v/>
      </c>
      <c r="S1251" s="26">
        <f>IF($D1251="","",ROUND(N($J1251)*N($R1251),0))</f>
        <v/>
      </c>
      <c r="T1251" s="26">
        <f>IF($D1251="","",IF($K1251&lt;&gt;"对外销售","",ROUND($Q1251-$S1251,0)))</f>
        <v/>
      </c>
      <c r="U1251" s="17" t="n"/>
      <c r="V1251" s="17" t="n"/>
      <c r="W1251" s="24">
        <f>IF($D1251="","",IF($E1251="※编码不在物料档案里","※物料编码不在档案里",IF(N($J1251)&lt;=0,"※出库数量要大于 0",IF($K1251="","※没填去向类型",IF($L1251="","※没填去向矿区",IF(AND($C1251&lt;&gt;"",$C1251&lt;=结账锁),"※日期早于已结账截止日，不能再录",IF(AND($K1251="自用消耗",COUNTIF({"一矿区";"二矿区"},$L1251)=0),"※自用消耗的去向只能是一矿区或二矿区",IF(AND($K1251="对外销售",COUNTIF({"三矿区";"六矿区"},$L1251)=0),"※对外销售的去向只能是三矿区或六矿区",IF(AND($K1251="对外销售",ROUND($Q1251,0)=0),"※外销却没有售价，请填实际售价",IF(AND($K1251="对外销售",$T1251&lt;&gt;"",$T1251&lt;0),"※这一笔外销是亏的，请核对售价",IF(IFERROR(VLOOKUP($D1251,库存台账!$A$5:$Y$1204,24,0),0)&lt;-0.001,"※这个物料账面已经变成负数了，查一下是不是漏记入库","")))))))))))</f>
        <v/>
      </c>
    </row>
    <row r="1252">
      <c r="A1252" s="24">
        <f>IF($D1252="","",COUNTA($D$4:$D1252))</f>
        <v/>
      </c>
      <c r="B1252" s="17" t="n"/>
      <c r="C1252" s="30" t="n"/>
      <c r="D1252" s="17" t="n"/>
      <c r="E1252" s="24">
        <f>IF($D1252="","",IFERROR(VLOOKUP($D1252,物料档案!$A$4:$P$1203,3,0),"※编码不在物料档案里"))</f>
        <v/>
      </c>
      <c r="F1252" s="24">
        <f>IF($D1252="","",IFERROR(VLOOKUP($D1252,物料档案!$A$4:$P$1203,4,0),"※编码不在物料档案里"))</f>
        <v/>
      </c>
      <c r="G1252" s="24">
        <f>IF($D1252="","",IFERROR(VLOOKUP($D1252,物料档案!$A$4:$P$1203,5,0),"※编码不在物料档案里"))</f>
        <v/>
      </c>
      <c r="H1252" s="24">
        <f>IF($D1252="","",IFERROR(VLOOKUP($D1252,物料档案!$A$4:$P$1203,2,0),"※编码不在物料档案里"))</f>
        <v/>
      </c>
      <c r="I1252" s="24">
        <f>IF($D1252="","",IFERROR(VLOOKUP($D1252,物料档案!$A$4:$P$1203,6,0),"※编码不在物料档案里"))</f>
        <v/>
      </c>
      <c r="J1252" s="23" t="n"/>
      <c r="K1252" s="17" t="n"/>
      <c r="L1252" s="17" t="n"/>
      <c r="M1252" s="17" t="n"/>
      <c r="N1252" s="17" t="n"/>
      <c r="O1252" s="26">
        <f>IF($D1252="","",IFERROR(VLOOKUP($D1252,物料档案!$A$4:$P$1203,10,0),0))</f>
        <v/>
      </c>
      <c r="P1252" s="32" t="n"/>
      <c r="Q1252" s="26">
        <f>IF($D1252="","",IF($K1252&lt;&gt;"对外销售",0,ROUND(N($J1252)*IF($P1252="",N($O1252),N($P1252)),0)))</f>
        <v/>
      </c>
      <c r="R1252" s="26">
        <f>IF($D1252="","",IFERROR(VLOOKUP($D1252,库存台账!$A$5:$Y$1204,11,0),0))</f>
        <v/>
      </c>
      <c r="S1252" s="26">
        <f>IF($D1252="","",ROUND(N($J1252)*N($R1252),0))</f>
        <v/>
      </c>
      <c r="T1252" s="26">
        <f>IF($D1252="","",IF($K1252&lt;&gt;"对外销售","",ROUND($Q1252-$S1252,0)))</f>
        <v/>
      </c>
      <c r="U1252" s="17" t="n"/>
      <c r="V1252" s="17" t="n"/>
      <c r="W1252" s="24">
        <f>IF($D1252="","",IF($E1252="※编码不在物料档案里","※物料编码不在档案里",IF(N($J1252)&lt;=0,"※出库数量要大于 0",IF($K1252="","※没填去向类型",IF($L1252="","※没填去向矿区",IF(AND($C1252&lt;&gt;"",$C1252&lt;=结账锁),"※日期早于已结账截止日，不能再录",IF(AND($K1252="自用消耗",COUNTIF({"一矿区";"二矿区"},$L1252)=0),"※自用消耗的去向只能是一矿区或二矿区",IF(AND($K1252="对外销售",COUNTIF({"三矿区";"六矿区"},$L1252)=0),"※对外销售的去向只能是三矿区或六矿区",IF(AND($K1252="对外销售",ROUND($Q1252,0)=0),"※外销却没有售价，请填实际售价",IF(AND($K1252="对外销售",$T1252&lt;&gt;"",$T1252&lt;0),"※这一笔外销是亏的，请核对售价",IF(IFERROR(VLOOKUP($D1252,库存台账!$A$5:$Y$1204,24,0),0)&lt;-0.001,"※这个物料账面已经变成负数了，查一下是不是漏记入库","")))))))))))</f>
        <v/>
      </c>
    </row>
    <row r="1253">
      <c r="A1253" s="24">
        <f>IF($D1253="","",COUNTA($D$4:$D1253))</f>
        <v/>
      </c>
      <c r="B1253" s="17" t="n"/>
      <c r="C1253" s="30" t="n"/>
      <c r="D1253" s="17" t="n"/>
      <c r="E1253" s="24">
        <f>IF($D1253="","",IFERROR(VLOOKUP($D1253,物料档案!$A$4:$P$1203,3,0),"※编码不在物料档案里"))</f>
        <v/>
      </c>
      <c r="F1253" s="24">
        <f>IF($D1253="","",IFERROR(VLOOKUP($D1253,物料档案!$A$4:$P$1203,4,0),"※编码不在物料档案里"))</f>
        <v/>
      </c>
      <c r="G1253" s="24">
        <f>IF($D1253="","",IFERROR(VLOOKUP($D1253,物料档案!$A$4:$P$1203,5,0),"※编码不在物料档案里"))</f>
        <v/>
      </c>
      <c r="H1253" s="24">
        <f>IF($D1253="","",IFERROR(VLOOKUP($D1253,物料档案!$A$4:$P$1203,2,0),"※编码不在物料档案里"))</f>
        <v/>
      </c>
      <c r="I1253" s="24">
        <f>IF($D1253="","",IFERROR(VLOOKUP($D1253,物料档案!$A$4:$P$1203,6,0),"※编码不在物料档案里"))</f>
        <v/>
      </c>
      <c r="J1253" s="23" t="n"/>
      <c r="K1253" s="17" t="n"/>
      <c r="L1253" s="17" t="n"/>
      <c r="M1253" s="17" t="n"/>
      <c r="N1253" s="17" t="n"/>
      <c r="O1253" s="26">
        <f>IF($D1253="","",IFERROR(VLOOKUP($D1253,物料档案!$A$4:$P$1203,10,0),0))</f>
        <v/>
      </c>
      <c r="P1253" s="32" t="n"/>
      <c r="Q1253" s="26">
        <f>IF($D1253="","",IF($K1253&lt;&gt;"对外销售",0,ROUND(N($J1253)*IF($P1253="",N($O1253),N($P1253)),0)))</f>
        <v/>
      </c>
      <c r="R1253" s="26">
        <f>IF($D1253="","",IFERROR(VLOOKUP($D1253,库存台账!$A$5:$Y$1204,11,0),0))</f>
        <v/>
      </c>
      <c r="S1253" s="26">
        <f>IF($D1253="","",ROUND(N($J1253)*N($R1253),0))</f>
        <v/>
      </c>
      <c r="T1253" s="26">
        <f>IF($D1253="","",IF($K1253&lt;&gt;"对外销售","",ROUND($Q1253-$S1253,0)))</f>
        <v/>
      </c>
      <c r="U1253" s="17" t="n"/>
      <c r="V1253" s="17" t="n"/>
      <c r="W1253" s="24">
        <f>IF($D1253="","",IF($E1253="※编码不在物料档案里","※物料编码不在档案里",IF(N($J1253)&lt;=0,"※出库数量要大于 0",IF($K1253="","※没填去向类型",IF($L1253="","※没填去向矿区",IF(AND($C1253&lt;&gt;"",$C1253&lt;=结账锁),"※日期早于已结账截止日，不能再录",IF(AND($K1253="自用消耗",COUNTIF({"一矿区";"二矿区"},$L1253)=0),"※自用消耗的去向只能是一矿区或二矿区",IF(AND($K1253="对外销售",COUNTIF({"三矿区";"六矿区"},$L1253)=0),"※对外销售的去向只能是三矿区或六矿区",IF(AND($K1253="对外销售",ROUND($Q1253,0)=0),"※外销却没有售价，请填实际售价",IF(AND($K1253="对外销售",$T1253&lt;&gt;"",$T1253&lt;0),"※这一笔外销是亏的，请核对售价",IF(IFERROR(VLOOKUP($D1253,库存台账!$A$5:$Y$1204,24,0),0)&lt;-0.001,"※这个物料账面已经变成负数了，查一下是不是漏记入库","")))))))))))</f>
        <v/>
      </c>
    </row>
    <row r="1254">
      <c r="A1254" s="24">
        <f>IF($D1254="","",COUNTA($D$4:$D1254))</f>
        <v/>
      </c>
      <c r="B1254" s="17" t="n"/>
      <c r="C1254" s="30" t="n"/>
      <c r="D1254" s="17" t="n"/>
      <c r="E1254" s="24">
        <f>IF($D1254="","",IFERROR(VLOOKUP($D1254,物料档案!$A$4:$P$1203,3,0),"※编码不在物料档案里"))</f>
        <v/>
      </c>
      <c r="F1254" s="24">
        <f>IF($D1254="","",IFERROR(VLOOKUP($D1254,物料档案!$A$4:$P$1203,4,0),"※编码不在物料档案里"))</f>
        <v/>
      </c>
      <c r="G1254" s="24">
        <f>IF($D1254="","",IFERROR(VLOOKUP($D1254,物料档案!$A$4:$P$1203,5,0),"※编码不在物料档案里"))</f>
        <v/>
      </c>
      <c r="H1254" s="24">
        <f>IF($D1254="","",IFERROR(VLOOKUP($D1254,物料档案!$A$4:$P$1203,2,0),"※编码不在物料档案里"))</f>
        <v/>
      </c>
      <c r="I1254" s="24">
        <f>IF($D1254="","",IFERROR(VLOOKUP($D1254,物料档案!$A$4:$P$1203,6,0),"※编码不在物料档案里"))</f>
        <v/>
      </c>
      <c r="J1254" s="23" t="n"/>
      <c r="K1254" s="17" t="n"/>
      <c r="L1254" s="17" t="n"/>
      <c r="M1254" s="17" t="n"/>
      <c r="N1254" s="17" t="n"/>
      <c r="O1254" s="26">
        <f>IF($D1254="","",IFERROR(VLOOKUP($D1254,物料档案!$A$4:$P$1203,10,0),0))</f>
        <v/>
      </c>
      <c r="P1254" s="32" t="n"/>
      <c r="Q1254" s="26">
        <f>IF($D1254="","",IF($K1254&lt;&gt;"对外销售",0,ROUND(N($J1254)*IF($P1254="",N($O1254),N($P1254)),0)))</f>
        <v/>
      </c>
      <c r="R1254" s="26">
        <f>IF($D1254="","",IFERROR(VLOOKUP($D1254,库存台账!$A$5:$Y$1204,11,0),0))</f>
        <v/>
      </c>
      <c r="S1254" s="26">
        <f>IF($D1254="","",ROUND(N($J1254)*N($R1254),0))</f>
        <v/>
      </c>
      <c r="T1254" s="26">
        <f>IF($D1254="","",IF($K1254&lt;&gt;"对外销售","",ROUND($Q1254-$S1254,0)))</f>
        <v/>
      </c>
      <c r="U1254" s="17" t="n"/>
      <c r="V1254" s="17" t="n"/>
      <c r="W1254" s="24">
        <f>IF($D1254="","",IF($E1254="※编码不在物料档案里","※物料编码不在档案里",IF(N($J1254)&lt;=0,"※出库数量要大于 0",IF($K1254="","※没填去向类型",IF($L1254="","※没填去向矿区",IF(AND($C1254&lt;&gt;"",$C1254&lt;=结账锁),"※日期早于已结账截止日，不能再录",IF(AND($K1254="自用消耗",COUNTIF({"一矿区";"二矿区"},$L1254)=0),"※自用消耗的去向只能是一矿区或二矿区",IF(AND($K1254="对外销售",COUNTIF({"三矿区";"六矿区"},$L1254)=0),"※对外销售的去向只能是三矿区或六矿区",IF(AND($K1254="对外销售",ROUND($Q1254,0)=0),"※外销却没有售价，请填实际售价",IF(AND($K1254="对外销售",$T1254&lt;&gt;"",$T1254&lt;0),"※这一笔外销是亏的，请核对售价",IF(IFERROR(VLOOKUP($D1254,库存台账!$A$5:$Y$1204,24,0),0)&lt;-0.001,"※这个物料账面已经变成负数了，查一下是不是漏记入库","")))))))))))</f>
        <v/>
      </c>
    </row>
    <row r="1255">
      <c r="A1255" s="24">
        <f>IF($D1255="","",COUNTA($D$4:$D1255))</f>
        <v/>
      </c>
      <c r="B1255" s="17" t="n"/>
      <c r="C1255" s="30" t="n"/>
      <c r="D1255" s="17" t="n"/>
      <c r="E1255" s="24">
        <f>IF($D1255="","",IFERROR(VLOOKUP($D1255,物料档案!$A$4:$P$1203,3,0),"※编码不在物料档案里"))</f>
        <v/>
      </c>
      <c r="F1255" s="24">
        <f>IF($D1255="","",IFERROR(VLOOKUP($D1255,物料档案!$A$4:$P$1203,4,0),"※编码不在物料档案里"))</f>
        <v/>
      </c>
      <c r="G1255" s="24">
        <f>IF($D1255="","",IFERROR(VLOOKUP($D1255,物料档案!$A$4:$P$1203,5,0),"※编码不在物料档案里"))</f>
        <v/>
      </c>
      <c r="H1255" s="24">
        <f>IF($D1255="","",IFERROR(VLOOKUP($D1255,物料档案!$A$4:$P$1203,2,0),"※编码不在物料档案里"))</f>
        <v/>
      </c>
      <c r="I1255" s="24">
        <f>IF($D1255="","",IFERROR(VLOOKUP($D1255,物料档案!$A$4:$P$1203,6,0),"※编码不在物料档案里"))</f>
        <v/>
      </c>
      <c r="J1255" s="23" t="n"/>
      <c r="K1255" s="17" t="n"/>
      <c r="L1255" s="17" t="n"/>
      <c r="M1255" s="17" t="n"/>
      <c r="N1255" s="17" t="n"/>
      <c r="O1255" s="26">
        <f>IF($D1255="","",IFERROR(VLOOKUP($D1255,物料档案!$A$4:$P$1203,10,0),0))</f>
        <v/>
      </c>
      <c r="P1255" s="32" t="n"/>
      <c r="Q1255" s="26">
        <f>IF($D1255="","",IF($K1255&lt;&gt;"对外销售",0,ROUND(N($J1255)*IF($P1255="",N($O1255),N($P1255)),0)))</f>
        <v/>
      </c>
      <c r="R1255" s="26">
        <f>IF($D1255="","",IFERROR(VLOOKUP($D1255,库存台账!$A$5:$Y$1204,11,0),0))</f>
        <v/>
      </c>
      <c r="S1255" s="26">
        <f>IF($D1255="","",ROUND(N($J1255)*N($R1255),0))</f>
        <v/>
      </c>
      <c r="T1255" s="26">
        <f>IF($D1255="","",IF($K1255&lt;&gt;"对外销售","",ROUND($Q1255-$S1255,0)))</f>
        <v/>
      </c>
      <c r="U1255" s="17" t="n"/>
      <c r="V1255" s="17" t="n"/>
      <c r="W1255" s="24">
        <f>IF($D1255="","",IF($E1255="※编码不在物料档案里","※物料编码不在档案里",IF(N($J1255)&lt;=0,"※出库数量要大于 0",IF($K1255="","※没填去向类型",IF($L1255="","※没填去向矿区",IF(AND($C1255&lt;&gt;"",$C1255&lt;=结账锁),"※日期早于已结账截止日，不能再录",IF(AND($K1255="自用消耗",COUNTIF({"一矿区";"二矿区"},$L1255)=0),"※自用消耗的去向只能是一矿区或二矿区",IF(AND($K1255="对外销售",COUNTIF({"三矿区";"六矿区"},$L1255)=0),"※对外销售的去向只能是三矿区或六矿区",IF(AND($K1255="对外销售",ROUND($Q1255,0)=0),"※外销却没有售价，请填实际售价",IF(AND($K1255="对外销售",$T1255&lt;&gt;"",$T1255&lt;0),"※这一笔外销是亏的，请核对售价",IF(IFERROR(VLOOKUP($D1255,库存台账!$A$5:$Y$1204,24,0),0)&lt;-0.001,"※这个物料账面已经变成负数了，查一下是不是漏记入库","")))))))))))</f>
        <v/>
      </c>
    </row>
    <row r="1256">
      <c r="A1256" s="24">
        <f>IF($D1256="","",COUNTA($D$4:$D1256))</f>
        <v/>
      </c>
      <c r="B1256" s="17" t="n"/>
      <c r="C1256" s="30" t="n"/>
      <c r="D1256" s="17" t="n"/>
      <c r="E1256" s="24">
        <f>IF($D1256="","",IFERROR(VLOOKUP($D1256,物料档案!$A$4:$P$1203,3,0),"※编码不在物料档案里"))</f>
        <v/>
      </c>
      <c r="F1256" s="24">
        <f>IF($D1256="","",IFERROR(VLOOKUP($D1256,物料档案!$A$4:$P$1203,4,0),"※编码不在物料档案里"))</f>
        <v/>
      </c>
      <c r="G1256" s="24">
        <f>IF($D1256="","",IFERROR(VLOOKUP($D1256,物料档案!$A$4:$P$1203,5,0),"※编码不在物料档案里"))</f>
        <v/>
      </c>
      <c r="H1256" s="24">
        <f>IF($D1256="","",IFERROR(VLOOKUP($D1256,物料档案!$A$4:$P$1203,2,0),"※编码不在物料档案里"))</f>
        <v/>
      </c>
      <c r="I1256" s="24">
        <f>IF($D1256="","",IFERROR(VLOOKUP($D1256,物料档案!$A$4:$P$1203,6,0),"※编码不在物料档案里"))</f>
        <v/>
      </c>
      <c r="J1256" s="23" t="n"/>
      <c r="K1256" s="17" t="n"/>
      <c r="L1256" s="17" t="n"/>
      <c r="M1256" s="17" t="n"/>
      <c r="N1256" s="17" t="n"/>
      <c r="O1256" s="26">
        <f>IF($D1256="","",IFERROR(VLOOKUP($D1256,物料档案!$A$4:$P$1203,10,0),0))</f>
        <v/>
      </c>
      <c r="P1256" s="32" t="n"/>
      <c r="Q1256" s="26">
        <f>IF($D1256="","",IF($K1256&lt;&gt;"对外销售",0,ROUND(N($J1256)*IF($P1256="",N($O1256),N($P1256)),0)))</f>
        <v/>
      </c>
      <c r="R1256" s="26">
        <f>IF($D1256="","",IFERROR(VLOOKUP($D1256,库存台账!$A$5:$Y$1204,11,0),0))</f>
        <v/>
      </c>
      <c r="S1256" s="26">
        <f>IF($D1256="","",ROUND(N($J1256)*N($R1256),0))</f>
        <v/>
      </c>
      <c r="T1256" s="26">
        <f>IF($D1256="","",IF($K1256&lt;&gt;"对外销售","",ROUND($Q1256-$S1256,0)))</f>
        <v/>
      </c>
      <c r="U1256" s="17" t="n"/>
      <c r="V1256" s="17" t="n"/>
      <c r="W1256" s="24">
        <f>IF($D1256="","",IF($E1256="※编码不在物料档案里","※物料编码不在档案里",IF(N($J1256)&lt;=0,"※出库数量要大于 0",IF($K1256="","※没填去向类型",IF($L1256="","※没填去向矿区",IF(AND($C1256&lt;&gt;"",$C1256&lt;=结账锁),"※日期早于已结账截止日，不能再录",IF(AND($K1256="自用消耗",COUNTIF({"一矿区";"二矿区"},$L1256)=0),"※自用消耗的去向只能是一矿区或二矿区",IF(AND($K1256="对外销售",COUNTIF({"三矿区";"六矿区"},$L1256)=0),"※对外销售的去向只能是三矿区或六矿区",IF(AND($K1256="对外销售",ROUND($Q1256,0)=0),"※外销却没有售价，请填实际售价",IF(AND($K1256="对外销售",$T1256&lt;&gt;"",$T1256&lt;0),"※这一笔外销是亏的，请核对售价",IF(IFERROR(VLOOKUP($D1256,库存台账!$A$5:$Y$1204,24,0),0)&lt;-0.001,"※这个物料账面已经变成负数了，查一下是不是漏记入库","")))))))))))</f>
        <v/>
      </c>
    </row>
    <row r="1257">
      <c r="A1257" s="24">
        <f>IF($D1257="","",COUNTA($D$4:$D1257))</f>
        <v/>
      </c>
      <c r="B1257" s="17" t="n"/>
      <c r="C1257" s="30" t="n"/>
      <c r="D1257" s="17" t="n"/>
      <c r="E1257" s="24">
        <f>IF($D1257="","",IFERROR(VLOOKUP($D1257,物料档案!$A$4:$P$1203,3,0),"※编码不在物料档案里"))</f>
        <v/>
      </c>
      <c r="F1257" s="24">
        <f>IF($D1257="","",IFERROR(VLOOKUP($D1257,物料档案!$A$4:$P$1203,4,0),"※编码不在物料档案里"))</f>
        <v/>
      </c>
      <c r="G1257" s="24">
        <f>IF($D1257="","",IFERROR(VLOOKUP($D1257,物料档案!$A$4:$P$1203,5,0),"※编码不在物料档案里"))</f>
        <v/>
      </c>
      <c r="H1257" s="24">
        <f>IF($D1257="","",IFERROR(VLOOKUP($D1257,物料档案!$A$4:$P$1203,2,0),"※编码不在物料档案里"))</f>
        <v/>
      </c>
      <c r="I1257" s="24">
        <f>IF($D1257="","",IFERROR(VLOOKUP($D1257,物料档案!$A$4:$P$1203,6,0),"※编码不在物料档案里"))</f>
        <v/>
      </c>
      <c r="J1257" s="23" t="n"/>
      <c r="K1257" s="17" t="n"/>
      <c r="L1257" s="17" t="n"/>
      <c r="M1257" s="17" t="n"/>
      <c r="N1257" s="17" t="n"/>
      <c r="O1257" s="26">
        <f>IF($D1257="","",IFERROR(VLOOKUP($D1257,物料档案!$A$4:$P$1203,10,0),0))</f>
        <v/>
      </c>
      <c r="P1257" s="32" t="n"/>
      <c r="Q1257" s="26">
        <f>IF($D1257="","",IF($K1257&lt;&gt;"对外销售",0,ROUND(N($J1257)*IF($P1257="",N($O1257),N($P1257)),0)))</f>
        <v/>
      </c>
      <c r="R1257" s="26">
        <f>IF($D1257="","",IFERROR(VLOOKUP($D1257,库存台账!$A$5:$Y$1204,11,0),0))</f>
        <v/>
      </c>
      <c r="S1257" s="26">
        <f>IF($D1257="","",ROUND(N($J1257)*N($R1257),0))</f>
        <v/>
      </c>
      <c r="T1257" s="26">
        <f>IF($D1257="","",IF($K1257&lt;&gt;"对外销售","",ROUND($Q1257-$S1257,0)))</f>
        <v/>
      </c>
      <c r="U1257" s="17" t="n"/>
      <c r="V1257" s="17" t="n"/>
      <c r="W1257" s="24">
        <f>IF($D1257="","",IF($E1257="※编码不在物料档案里","※物料编码不在档案里",IF(N($J1257)&lt;=0,"※出库数量要大于 0",IF($K1257="","※没填去向类型",IF($L1257="","※没填去向矿区",IF(AND($C1257&lt;&gt;"",$C1257&lt;=结账锁),"※日期早于已结账截止日，不能再录",IF(AND($K1257="自用消耗",COUNTIF({"一矿区";"二矿区"},$L1257)=0),"※自用消耗的去向只能是一矿区或二矿区",IF(AND($K1257="对外销售",COUNTIF({"三矿区";"六矿区"},$L1257)=0),"※对外销售的去向只能是三矿区或六矿区",IF(AND($K1257="对外销售",ROUND($Q1257,0)=0),"※外销却没有售价，请填实际售价",IF(AND($K1257="对外销售",$T1257&lt;&gt;"",$T1257&lt;0),"※这一笔外销是亏的，请核对售价",IF(IFERROR(VLOOKUP($D1257,库存台账!$A$5:$Y$1204,24,0),0)&lt;-0.001,"※这个物料账面已经变成负数了，查一下是不是漏记入库","")))))))))))</f>
        <v/>
      </c>
    </row>
    <row r="1258">
      <c r="A1258" s="24">
        <f>IF($D1258="","",COUNTA($D$4:$D1258))</f>
        <v/>
      </c>
      <c r="B1258" s="17" t="n"/>
      <c r="C1258" s="30" t="n"/>
      <c r="D1258" s="17" t="n"/>
      <c r="E1258" s="24">
        <f>IF($D1258="","",IFERROR(VLOOKUP($D1258,物料档案!$A$4:$P$1203,3,0),"※编码不在物料档案里"))</f>
        <v/>
      </c>
      <c r="F1258" s="24">
        <f>IF($D1258="","",IFERROR(VLOOKUP($D1258,物料档案!$A$4:$P$1203,4,0),"※编码不在物料档案里"))</f>
        <v/>
      </c>
      <c r="G1258" s="24">
        <f>IF($D1258="","",IFERROR(VLOOKUP($D1258,物料档案!$A$4:$P$1203,5,0),"※编码不在物料档案里"))</f>
        <v/>
      </c>
      <c r="H1258" s="24">
        <f>IF($D1258="","",IFERROR(VLOOKUP($D1258,物料档案!$A$4:$P$1203,2,0),"※编码不在物料档案里"))</f>
        <v/>
      </c>
      <c r="I1258" s="24">
        <f>IF($D1258="","",IFERROR(VLOOKUP($D1258,物料档案!$A$4:$P$1203,6,0),"※编码不在物料档案里"))</f>
        <v/>
      </c>
      <c r="J1258" s="23" t="n"/>
      <c r="K1258" s="17" t="n"/>
      <c r="L1258" s="17" t="n"/>
      <c r="M1258" s="17" t="n"/>
      <c r="N1258" s="17" t="n"/>
      <c r="O1258" s="26">
        <f>IF($D1258="","",IFERROR(VLOOKUP($D1258,物料档案!$A$4:$P$1203,10,0),0))</f>
        <v/>
      </c>
      <c r="P1258" s="32" t="n"/>
      <c r="Q1258" s="26">
        <f>IF($D1258="","",IF($K1258&lt;&gt;"对外销售",0,ROUND(N($J1258)*IF($P1258="",N($O1258),N($P1258)),0)))</f>
        <v/>
      </c>
      <c r="R1258" s="26">
        <f>IF($D1258="","",IFERROR(VLOOKUP($D1258,库存台账!$A$5:$Y$1204,11,0),0))</f>
        <v/>
      </c>
      <c r="S1258" s="26">
        <f>IF($D1258="","",ROUND(N($J1258)*N($R1258),0))</f>
        <v/>
      </c>
      <c r="T1258" s="26">
        <f>IF($D1258="","",IF($K1258&lt;&gt;"对外销售","",ROUND($Q1258-$S1258,0)))</f>
        <v/>
      </c>
      <c r="U1258" s="17" t="n"/>
      <c r="V1258" s="17" t="n"/>
      <c r="W1258" s="24">
        <f>IF($D1258="","",IF($E1258="※编码不在物料档案里","※物料编码不在档案里",IF(N($J1258)&lt;=0,"※出库数量要大于 0",IF($K1258="","※没填去向类型",IF($L1258="","※没填去向矿区",IF(AND($C1258&lt;&gt;"",$C1258&lt;=结账锁),"※日期早于已结账截止日，不能再录",IF(AND($K1258="自用消耗",COUNTIF({"一矿区";"二矿区"},$L1258)=0),"※自用消耗的去向只能是一矿区或二矿区",IF(AND($K1258="对外销售",COUNTIF({"三矿区";"六矿区"},$L1258)=0),"※对外销售的去向只能是三矿区或六矿区",IF(AND($K1258="对外销售",ROUND($Q1258,0)=0),"※外销却没有售价，请填实际售价",IF(AND($K1258="对外销售",$T1258&lt;&gt;"",$T1258&lt;0),"※这一笔外销是亏的，请核对售价",IF(IFERROR(VLOOKUP($D1258,库存台账!$A$5:$Y$1204,24,0),0)&lt;-0.001,"※这个物料账面已经变成负数了，查一下是不是漏记入库","")))))))))))</f>
        <v/>
      </c>
    </row>
    <row r="1259">
      <c r="A1259" s="24">
        <f>IF($D1259="","",COUNTA($D$4:$D1259))</f>
        <v/>
      </c>
      <c r="B1259" s="17" t="n"/>
      <c r="C1259" s="30" t="n"/>
      <c r="D1259" s="17" t="n"/>
      <c r="E1259" s="24">
        <f>IF($D1259="","",IFERROR(VLOOKUP($D1259,物料档案!$A$4:$P$1203,3,0),"※编码不在物料档案里"))</f>
        <v/>
      </c>
      <c r="F1259" s="24">
        <f>IF($D1259="","",IFERROR(VLOOKUP($D1259,物料档案!$A$4:$P$1203,4,0),"※编码不在物料档案里"))</f>
        <v/>
      </c>
      <c r="G1259" s="24">
        <f>IF($D1259="","",IFERROR(VLOOKUP($D1259,物料档案!$A$4:$P$1203,5,0),"※编码不在物料档案里"))</f>
        <v/>
      </c>
      <c r="H1259" s="24">
        <f>IF($D1259="","",IFERROR(VLOOKUP($D1259,物料档案!$A$4:$P$1203,2,0),"※编码不在物料档案里"))</f>
        <v/>
      </c>
      <c r="I1259" s="24">
        <f>IF($D1259="","",IFERROR(VLOOKUP($D1259,物料档案!$A$4:$P$1203,6,0),"※编码不在物料档案里"))</f>
        <v/>
      </c>
      <c r="J1259" s="23" t="n"/>
      <c r="K1259" s="17" t="n"/>
      <c r="L1259" s="17" t="n"/>
      <c r="M1259" s="17" t="n"/>
      <c r="N1259" s="17" t="n"/>
      <c r="O1259" s="26">
        <f>IF($D1259="","",IFERROR(VLOOKUP($D1259,物料档案!$A$4:$P$1203,10,0),0))</f>
        <v/>
      </c>
      <c r="P1259" s="32" t="n"/>
      <c r="Q1259" s="26">
        <f>IF($D1259="","",IF($K1259&lt;&gt;"对外销售",0,ROUND(N($J1259)*IF($P1259="",N($O1259),N($P1259)),0)))</f>
        <v/>
      </c>
      <c r="R1259" s="26">
        <f>IF($D1259="","",IFERROR(VLOOKUP($D1259,库存台账!$A$5:$Y$1204,11,0),0))</f>
        <v/>
      </c>
      <c r="S1259" s="26">
        <f>IF($D1259="","",ROUND(N($J1259)*N($R1259),0))</f>
        <v/>
      </c>
      <c r="T1259" s="26">
        <f>IF($D1259="","",IF($K1259&lt;&gt;"对外销售","",ROUND($Q1259-$S1259,0)))</f>
        <v/>
      </c>
      <c r="U1259" s="17" t="n"/>
      <c r="V1259" s="17" t="n"/>
      <c r="W1259" s="24">
        <f>IF($D1259="","",IF($E1259="※编码不在物料档案里","※物料编码不在档案里",IF(N($J1259)&lt;=0,"※出库数量要大于 0",IF($K1259="","※没填去向类型",IF($L1259="","※没填去向矿区",IF(AND($C1259&lt;&gt;"",$C1259&lt;=结账锁),"※日期早于已结账截止日，不能再录",IF(AND($K1259="自用消耗",COUNTIF({"一矿区";"二矿区"},$L1259)=0),"※自用消耗的去向只能是一矿区或二矿区",IF(AND($K1259="对外销售",COUNTIF({"三矿区";"六矿区"},$L1259)=0),"※对外销售的去向只能是三矿区或六矿区",IF(AND($K1259="对外销售",ROUND($Q1259,0)=0),"※外销却没有售价，请填实际售价",IF(AND($K1259="对外销售",$T1259&lt;&gt;"",$T1259&lt;0),"※这一笔外销是亏的，请核对售价",IF(IFERROR(VLOOKUP($D1259,库存台账!$A$5:$Y$1204,24,0),0)&lt;-0.001,"※这个物料账面已经变成负数了，查一下是不是漏记入库","")))))))))))</f>
        <v/>
      </c>
    </row>
    <row r="1260">
      <c r="A1260" s="24">
        <f>IF($D1260="","",COUNTA($D$4:$D1260))</f>
        <v/>
      </c>
      <c r="B1260" s="17" t="n"/>
      <c r="C1260" s="30" t="n"/>
      <c r="D1260" s="17" t="n"/>
      <c r="E1260" s="24">
        <f>IF($D1260="","",IFERROR(VLOOKUP($D1260,物料档案!$A$4:$P$1203,3,0),"※编码不在物料档案里"))</f>
        <v/>
      </c>
      <c r="F1260" s="24">
        <f>IF($D1260="","",IFERROR(VLOOKUP($D1260,物料档案!$A$4:$P$1203,4,0),"※编码不在物料档案里"))</f>
        <v/>
      </c>
      <c r="G1260" s="24">
        <f>IF($D1260="","",IFERROR(VLOOKUP($D1260,物料档案!$A$4:$P$1203,5,0),"※编码不在物料档案里"))</f>
        <v/>
      </c>
      <c r="H1260" s="24">
        <f>IF($D1260="","",IFERROR(VLOOKUP($D1260,物料档案!$A$4:$P$1203,2,0),"※编码不在物料档案里"))</f>
        <v/>
      </c>
      <c r="I1260" s="24">
        <f>IF($D1260="","",IFERROR(VLOOKUP($D1260,物料档案!$A$4:$P$1203,6,0),"※编码不在物料档案里"))</f>
        <v/>
      </c>
      <c r="J1260" s="23" t="n"/>
      <c r="K1260" s="17" t="n"/>
      <c r="L1260" s="17" t="n"/>
      <c r="M1260" s="17" t="n"/>
      <c r="N1260" s="17" t="n"/>
      <c r="O1260" s="26">
        <f>IF($D1260="","",IFERROR(VLOOKUP($D1260,物料档案!$A$4:$P$1203,10,0),0))</f>
        <v/>
      </c>
      <c r="P1260" s="32" t="n"/>
      <c r="Q1260" s="26">
        <f>IF($D1260="","",IF($K1260&lt;&gt;"对外销售",0,ROUND(N($J1260)*IF($P1260="",N($O1260),N($P1260)),0)))</f>
        <v/>
      </c>
      <c r="R1260" s="26">
        <f>IF($D1260="","",IFERROR(VLOOKUP($D1260,库存台账!$A$5:$Y$1204,11,0),0))</f>
        <v/>
      </c>
      <c r="S1260" s="26">
        <f>IF($D1260="","",ROUND(N($J1260)*N($R1260),0))</f>
        <v/>
      </c>
      <c r="T1260" s="26">
        <f>IF($D1260="","",IF($K1260&lt;&gt;"对外销售","",ROUND($Q1260-$S1260,0)))</f>
        <v/>
      </c>
      <c r="U1260" s="17" t="n"/>
      <c r="V1260" s="17" t="n"/>
      <c r="W1260" s="24">
        <f>IF($D1260="","",IF($E1260="※编码不在物料档案里","※物料编码不在档案里",IF(N($J1260)&lt;=0,"※出库数量要大于 0",IF($K1260="","※没填去向类型",IF($L1260="","※没填去向矿区",IF(AND($C1260&lt;&gt;"",$C1260&lt;=结账锁),"※日期早于已结账截止日，不能再录",IF(AND($K1260="自用消耗",COUNTIF({"一矿区";"二矿区"},$L1260)=0),"※自用消耗的去向只能是一矿区或二矿区",IF(AND($K1260="对外销售",COUNTIF({"三矿区";"六矿区"},$L1260)=0),"※对外销售的去向只能是三矿区或六矿区",IF(AND($K1260="对外销售",ROUND($Q1260,0)=0),"※外销却没有售价，请填实际售价",IF(AND($K1260="对外销售",$T1260&lt;&gt;"",$T1260&lt;0),"※这一笔外销是亏的，请核对售价",IF(IFERROR(VLOOKUP($D1260,库存台账!$A$5:$Y$1204,24,0),0)&lt;-0.001,"※这个物料账面已经变成负数了，查一下是不是漏记入库","")))))))))))</f>
        <v/>
      </c>
    </row>
    <row r="1261">
      <c r="A1261" s="24">
        <f>IF($D1261="","",COUNTA($D$4:$D1261))</f>
        <v/>
      </c>
      <c r="B1261" s="17" t="n"/>
      <c r="C1261" s="30" t="n"/>
      <c r="D1261" s="17" t="n"/>
      <c r="E1261" s="24">
        <f>IF($D1261="","",IFERROR(VLOOKUP($D1261,物料档案!$A$4:$P$1203,3,0),"※编码不在物料档案里"))</f>
        <v/>
      </c>
      <c r="F1261" s="24">
        <f>IF($D1261="","",IFERROR(VLOOKUP($D1261,物料档案!$A$4:$P$1203,4,0),"※编码不在物料档案里"))</f>
        <v/>
      </c>
      <c r="G1261" s="24">
        <f>IF($D1261="","",IFERROR(VLOOKUP($D1261,物料档案!$A$4:$P$1203,5,0),"※编码不在物料档案里"))</f>
        <v/>
      </c>
      <c r="H1261" s="24">
        <f>IF($D1261="","",IFERROR(VLOOKUP($D1261,物料档案!$A$4:$P$1203,2,0),"※编码不在物料档案里"))</f>
        <v/>
      </c>
      <c r="I1261" s="24">
        <f>IF($D1261="","",IFERROR(VLOOKUP($D1261,物料档案!$A$4:$P$1203,6,0),"※编码不在物料档案里"))</f>
        <v/>
      </c>
      <c r="J1261" s="23" t="n"/>
      <c r="K1261" s="17" t="n"/>
      <c r="L1261" s="17" t="n"/>
      <c r="M1261" s="17" t="n"/>
      <c r="N1261" s="17" t="n"/>
      <c r="O1261" s="26">
        <f>IF($D1261="","",IFERROR(VLOOKUP($D1261,物料档案!$A$4:$P$1203,10,0),0))</f>
        <v/>
      </c>
      <c r="P1261" s="32" t="n"/>
      <c r="Q1261" s="26">
        <f>IF($D1261="","",IF($K1261&lt;&gt;"对外销售",0,ROUND(N($J1261)*IF($P1261="",N($O1261),N($P1261)),0)))</f>
        <v/>
      </c>
      <c r="R1261" s="26">
        <f>IF($D1261="","",IFERROR(VLOOKUP($D1261,库存台账!$A$5:$Y$1204,11,0),0))</f>
        <v/>
      </c>
      <c r="S1261" s="26">
        <f>IF($D1261="","",ROUND(N($J1261)*N($R1261),0))</f>
        <v/>
      </c>
      <c r="T1261" s="26">
        <f>IF($D1261="","",IF($K1261&lt;&gt;"对外销售","",ROUND($Q1261-$S1261,0)))</f>
        <v/>
      </c>
      <c r="U1261" s="17" t="n"/>
      <c r="V1261" s="17" t="n"/>
      <c r="W1261" s="24">
        <f>IF($D1261="","",IF($E1261="※编码不在物料档案里","※物料编码不在档案里",IF(N($J1261)&lt;=0,"※出库数量要大于 0",IF($K1261="","※没填去向类型",IF($L1261="","※没填去向矿区",IF(AND($C1261&lt;&gt;"",$C1261&lt;=结账锁),"※日期早于已结账截止日，不能再录",IF(AND($K1261="自用消耗",COUNTIF({"一矿区";"二矿区"},$L1261)=0),"※自用消耗的去向只能是一矿区或二矿区",IF(AND($K1261="对外销售",COUNTIF({"三矿区";"六矿区"},$L1261)=0),"※对外销售的去向只能是三矿区或六矿区",IF(AND($K1261="对外销售",ROUND($Q1261,0)=0),"※外销却没有售价，请填实际售价",IF(AND($K1261="对外销售",$T1261&lt;&gt;"",$T1261&lt;0),"※这一笔外销是亏的，请核对售价",IF(IFERROR(VLOOKUP($D1261,库存台账!$A$5:$Y$1204,24,0),0)&lt;-0.001,"※这个物料账面已经变成负数了，查一下是不是漏记入库","")))))))))))</f>
        <v/>
      </c>
    </row>
    <row r="1262">
      <c r="A1262" s="24">
        <f>IF($D1262="","",COUNTA($D$4:$D1262))</f>
        <v/>
      </c>
      <c r="B1262" s="17" t="n"/>
      <c r="C1262" s="30" t="n"/>
      <c r="D1262" s="17" t="n"/>
      <c r="E1262" s="24">
        <f>IF($D1262="","",IFERROR(VLOOKUP($D1262,物料档案!$A$4:$P$1203,3,0),"※编码不在物料档案里"))</f>
        <v/>
      </c>
      <c r="F1262" s="24">
        <f>IF($D1262="","",IFERROR(VLOOKUP($D1262,物料档案!$A$4:$P$1203,4,0),"※编码不在物料档案里"))</f>
        <v/>
      </c>
      <c r="G1262" s="24">
        <f>IF($D1262="","",IFERROR(VLOOKUP($D1262,物料档案!$A$4:$P$1203,5,0),"※编码不在物料档案里"))</f>
        <v/>
      </c>
      <c r="H1262" s="24">
        <f>IF($D1262="","",IFERROR(VLOOKUP($D1262,物料档案!$A$4:$P$1203,2,0),"※编码不在物料档案里"))</f>
        <v/>
      </c>
      <c r="I1262" s="24">
        <f>IF($D1262="","",IFERROR(VLOOKUP($D1262,物料档案!$A$4:$P$1203,6,0),"※编码不在物料档案里"))</f>
        <v/>
      </c>
      <c r="J1262" s="23" t="n"/>
      <c r="K1262" s="17" t="n"/>
      <c r="L1262" s="17" t="n"/>
      <c r="M1262" s="17" t="n"/>
      <c r="N1262" s="17" t="n"/>
      <c r="O1262" s="26">
        <f>IF($D1262="","",IFERROR(VLOOKUP($D1262,物料档案!$A$4:$P$1203,10,0),0))</f>
        <v/>
      </c>
      <c r="P1262" s="32" t="n"/>
      <c r="Q1262" s="26">
        <f>IF($D1262="","",IF($K1262&lt;&gt;"对外销售",0,ROUND(N($J1262)*IF($P1262="",N($O1262),N($P1262)),0)))</f>
        <v/>
      </c>
      <c r="R1262" s="26">
        <f>IF($D1262="","",IFERROR(VLOOKUP($D1262,库存台账!$A$5:$Y$1204,11,0),0))</f>
        <v/>
      </c>
      <c r="S1262" s="26">
        <f>IF($D1262="","",ROUND(N($J1262)*N($R1262),0))</f>
        <v/>
      </c>
      <c r="T1262" s="26">
        <f>IF($D1262="","",IF($K1262&lt;&gt;"对外销售","",ROUND($Q1262-$S1262,0)))</f>
        <v/>
      </c>
      <c r="U1262" s="17" t="n"/>
      <c r="V1262" s="17" t="n"/>
      <c r="W1262" s="24">
        <f>IF($D1262="","",IF($E1262="※编码不在物料档案里","※物料编码不在档案里",IF(N($J1262)&lt;=0,"※出库数量要大于 0",IF($K1262="","※没填去向类型",IF($L1262="","※没填去向矿区",IF(AND($C1262&lt;&gt;"",$C1262&lt;=结账锁),"※日期早于已结账截止日，不能再录",IF(AND($K1262="自用消耗",COUNTIF({"一矿区";"二矿区"},$L1262)=0),"※自用消耗的去向只能是一矿区或二矿区",IF(AND($K1262="对外销售",COUNTIF({"三矿区";"六矿区"},$L1262)=0),"※对外销售的去向只能是三矿区或六矿区",IF(AND($K1262="对外销售",ROUND($Q1262,0)=0),"※外销却没有售价，请填实际售价",IF(AND($K1262="对外销售",$T1262&lt;&gt;"",$T1262&lt;0),"※这一笔外销是亏的，请核对售价",IF(IFERROR(VLOOKUP($D1262,库存台账!$A$5:$Y$1204,24,0),0)&lt;-0.001,"※这个物料账面已经变成负数了，查一下是不是漏记入库","")))))))))))</f>
        <v/>
      </c>
    </row>
    <row r="1263">
      <c r="A1263" s="24">
        <f>IF($D1263="","",COUNTA($D$4:$D1263))</f>
        <v/>
      </c>
      <c r="B1263" s="17" t="n"/>
      <c r="C1263" s="30" t="n"/>
      <c r="D1263" s="17" t="n"/>
      <c r="E1263" s="24">
        <f>IF($D1263="","",IFERROR(VLOOKUP($D1263,物料档案!$A$4:$P$1203,3,0),"※编码不在物料档案里"))</f>
        <v/>
      </c>
      <c r="F1263" s="24">
        <f>IF($D1263="","",IFERROR(VLOOKUP($D1263,物料档案!$A$4:$P$1203,4,0),"※编码不在物料档案里"))</f>
        <v/>
      </c>
      <c r="G1263" s="24">
        <f>IF($D1263="","",IFERROR(VLOOKUP($D1263,物料档案!$A$4:$P$1203,5,0),"※编码不在物料档案里"))</f>
        <v/>
      </c>
      <c r="H1263" s="24">
        <f>IF($D1263="","",IFERROR(VLOOKUP($D1263,物料档案!$A$4:$P$1203,2,0),"※编码不在物料档案里"))</f>
        <v/>
      </c>
      <c r="I1263" s="24">
        <f>IF($D1263="","",IFERROR(VLOOKUP($D1263,物料档案!$A$4:$P$1203,6,0),"※编码不在物料档案里"))</f>
        <v/>
      </c>
      <c r="J1263" s="23" t="n"/>
      <c r="K1263" s="17" t="n"/>
      <c r="L1263" s="17" t="n"/>
      <c r="M1263" s="17" t="n"/>
      <c r="N1263" s="17" t="n"/>
      <c r="O1263" s="26">
        <f>IF($D1263="","",IFERROR(VLOOKUP($D1263,物料档案!$A$4:$P$1203,10,0),0))</f>
        <v/>
      </c>
      <c r="P1263" s="32" t="n"/>
      <c r="Q1263" s="26">
        <f>IF($D1263="","",IF($K1263&lt;&gt;"对外销售",0,ROUND(N($J1263)*IF($P1263="",N($O1263),N($P1263)),0)))</f>
        <v/>
      </c>
      <c r="R1263" s="26">
        <f>IF($D1263="","",IFERROR(VLOOKUP($D1263,库存台账!$A$5:$Y$1204,11,0),0))</f>
        <v/>
      </c>
      <c r="S1263" s="26">
        <f>IF($D1263="","",ROUND(N($J1263)*N($R1263),0))</f>
        <v/>
      </c>
      <c r="T1263" s="26">
        <f>IF($D1263="","",IF($K1263&lt;&gt;"对外销售","",ROUND($Q1263-$S1263,0)))</f>
        <v/>
      </c>
      <c r="U1263" s="17" t="n"/>
      <c r="V1263" s="17" t="n"/>
      <c r="W1263" s="24">
        <f>IF($D1263="","",IF($E1263="※编码不在物料档案里","※物料编码不在档案里",IF(N($J1263)&lt;=0,"※出库数量要大于 0",IF($K1263="","※没填去向类型",IF($L1263="","※没填去向矿区",IF(AND($C1263&lt;&gt;"",$C1263&lt;=结账锁),"※日期早于已结账截止日，不能再录",IF(AND($K1263="自用消耗",COUNTIF({"一矿区";"二矿区"},$L1263)=0),"※自用消耗的去向只能是一矿区或二矿区",IF(AND($K1263="对外销售",COUNTIF({"三矿区";"六矿区"},$L1263)=0),"※对外销售的去向只能是三矿区或六矿区",IF(AND($K1263="对外销售",ROUND($Q1263,0)=0),"※外销却没有售价，请填实际售价",IF(AND($K1263="对外销售",$T1263&lt;&gt;"",$T1263&lt;0),"※这一笔外销是亏的，请核对售价",IF(IFERROR(VLOOKUP($D1263,库存台账!$A$5:$Y$1204,24,0),0)&lt;-0.001,"※这个物料账面已经变成负数了，查一下是不是漏记入库","")))))))))))</f>
        <v/>
      </c>
    </row>
    <row r="1264">
      <c r="A1264" s="24">
        <f>IF($D1264="","",COUNTA($D$4:$D1264))</f>
        <v/>
      </c>
      <c r="B1264" s="17" t="n"/>
      <c r="C1264" s="30" t="n"/>
      <c r="D1264" s="17" t="n"/>
      <c r="E1264" s="24">
        <f>IF($D1264="","",IFERROR(VLOOKUP($D1264,物料档案!$A$4:$P$1203,3,0),"※编码不在物料档案里"))</f>
        <v/>
      </c>
      <c r="F1264" s="24">
        <f>IF($D1264="","",IFERROR(VLOOKUP($D1264,物料档案!$A$4:$P$1203,4,0),"※编码不在物料档案里"))</f>
        <v/>
      </c>
      <c r="G1264" s="24">
        <f>IF($D1264="","",IFERROR(VLOOKUP($D1264,物料档案!$A$4:$P$1203,5,0),"※编码不在物料档案里"))</f>
        <v/>
      </c>
      <c r="H1264" s="24">
        <f>IF($D1264="","",IFERROR(VLOOKUP($D1264,物料档案!$A$4:$P$1203,2,0),"※编码不在物料档案里"))</f>
        <v/>
      </c>
      <c r="I1264" s="24">
        <f>IF($D1264="","",IFERROR(VLOOKUP($D1264,物料档案!$A$4:$P$1203,6,0),"※编码不在物料档案里"))</f>
        <v/>
      </c>
      <c r="J1264" s="23" t="n"/>
      <c r="K1264" s="17" t="n"/>
      <c r="L1264" s="17" t="n"/>
      <c r="M1264" s="17" t="n"/>
      <c r="N1264" s="17" t="n"/>
      <c r="O1264" s="26">
        <f>IF($D1264="","",IFERROR(VLOOKUP($D1264,物料档案!$A$4:$P$1203,10,0),0))</f>
        <v/>
      </c>
      <c r="P1264" s="32" t="n"/>
      <c r="Q1264" s="26">
        <f>IF($D1264="","",IF($K1264&lt;&gt;"对外销售",0,ROUND(N($J1264)*IF($P1264="",N($O1264),N($P1264)),0)))</f>
        <v/>
      </c>
      <c r="R1264" s="26">
        <f>IF($D1264="","",IFERROR(VLOOKUP($D1264,库存台账!$A$5:$Y$1204,11,0),0))</f>
        <v/>
      </c>
      <c r="S1264" s="26">
        <f>IF($D1264="","",ROUND(N($J1264)*N($R1264),0))</f>
        <v/>
      </c>
      <c r="T1264" s="26">
        <f>IF($D1264="","",IF($K1264&lt;&gt;"对外销售","",ROUND($Q1264-$S1264,0)))</f>
        <v/>
      </c>
      <c r="U1264" s="17" t="n"/>
      <c r="V1264" s="17" t="n"/>
      <c r="W1264" s="24">
        <f>IF($D1264="","",IF($E1264="※编码不在物料档案里","※物料编码不在档案里",IF(N($J1264)&lt;=0,"※出库数量要大于 0",IF($K1264="","※没填去向类型",IF($L1264="","※没填去向矿区",IF(AND($C1264&lt;&gt;"",$C1264&lt;=结账锁),"※日期早于已结账截止日，不能再录",IF(AND($K1264="自用消耗",COUNTIF({"一矿区";"二矿区"},$L1264)=0),"※自用消耗的去向只能是一矿区或二矿区",IF(AND($K1264="对外销售",COUNTIF({"三矿区";"六矿区"},$L1264)=0),"※对外销售的去向只能是三矿区或六矿区",IF(AND($K1264="对外销售",ROUND($Q1264,0)=0),"※外销却没有售价，请填实际售价",IF(AND($K1264="对外销售",$T1264&lt;&gt;"",$T1264&lt;0),"※这一笔外销是亏的，请核对售价",IF(IFERROR(VLOOKUP($D1264,库存台账!$A$5:$Y$1204,24,0),0)&lt;-0.001,"※这个物料账面已经变成负数了，查一下是不是漏记入库","")))))))))))</f>
        <v/>
      </c>
    </row>
    <row r="1265">
      <c r="A1265" s="24">
        <f>IF($D1265="","",COUNTA($D$4:$D1265))</f>
        <v/>
      </c>
      <c r="B1265" s="17" t="n"/>
      <c r="C1265" s="30" t="n"/>
      <c r="D1265" s="17" t="n"/>
      <c r="E1265" s="24">
        <f>IF($D1265="","",IFERROR(VLOOKUP($D1265,物料档案!$A$4:$P$1203,3,0),"※编码不在物料档案里"))</f>
        <v/>
      </c>
      <c r="F1265" s="24">
        <f>IF($D1265="","",IFERROR(VLOOKUP($D1265,物料档案!$A$4:$P$1203,4,0),"※编码不在物料档案里"))</f>
        <v/>
      </c>
      <c r="G1265" s="24">
        <f>IF($D1265="","",IFERROR(VLOOKUP($D1265,物料档案!$A$4:$P$1203,5,0),"※编码不在物料档案里"))</f>
        <v/>
      </c>
      <c r="H1265" s="24">
        <f>IF($D1265="","",IFERROR(VLOOKUP($D1265,物料档案!$A$4:$P$1203,2,0),"※编码不在物料档案里"))</f>
        <v/>
      </c>
      <c r="I1265" s="24">
        <f>IF($D1265="","",IFERROR(VLOOKUP($D1265,物料档案!$A$4:$P$1203,6,0),"※编码不在物料档案里"))</f>
        <v/>
      </c>
      <c r="J1265" s="23" t="n"/>
      <c r="K1265" s="17" t="n"/>
      <c r="L1265" s="17" t="n"/>
      <c r="M1265" s="17" t="n"/>
      <c r="N1265" s="17" t="n"/>
      <c r="O1265" s="26">
        <f>IF($D1265="","",IFERROR(VLOOKUP($D1265,物料档案!$A$4:$P$1203,10,0),0))</f>
        <v/>
      </c>
      <c r="P1265" s="32" t="n"/>
      <c r="Q1265" s="26">
        <f>IF($D1265="","",IF($K1265&lt;&gt;"对外销售",0,ROUND(N($J1265)*IF($P1265="",N($O1265),N($P1265)),0)))</f>
        <v/>
      </c>
      <c r="R1265" s="26">
        <f>IF($D1265="","",IFERROR(VLOOKUP($D1265,库存台账!$A$5:$Y$1204,11,0),0))</f>
        <v/>
      </c>
      <c r="S1265" s="26">
        <f>IF($D1265="","",ROUND(N($J1265)*N($R1265),0))</f>
        <v/>
      </c>
      <c r="T1265" s="26">
        <f>IF($D1265="","",IF($K1265&lt;&gt;"对外销售","",ROUND($Q1265-$S1265,0)))</f>
        <v/>
      </c>
      <c r="U1265" s="17" t="n"/>
      <c r="V1265" s="17" t="n"/>
      <c r="W1265" s="24">
        <f>IF($D1265="","",IF($E1265="※编码不在物料档案里","※物料编码不在档案里",IF(N($J1265)&lt;=0,"※出库数量要大于 0",IF($K1265="","※没填去向类型",IF($L1265="","※没填去向矿区",IF(AND($C1265&lt;&gt;"",$C1265&lt;=结账锁),"※日期早于已结账截止日，不能再录",IF(AND($K1265="自用消耗",COUNTIF({"一矿区";"二矿区"},$L1265)=0),"※自用消耗的去向只能是一矿区或二矿区",IF(AND($K1265="对外销售",COUNTIF({"三矿区";"六矿区"},$L1265)=0),"※对外销售的去向只能是三矿区或六矿区",IF(AND($K1265="对外销售",ROUND($Q1265,0)=0),"※外销却没有售价，请填实际售价",IF(AND($K1265="对外销售",$T1265&lt;&gt;"",$T1265&lt;0),"※这一笔外销是亏的，请核对售价",IF(IFERROR(VLOOKUP($D1265,库存台账!$A$5:$Y$1204,24,0),0)&lt;-0.001,"※这个物料账面已经变成负数了，查一下是不是漏记入库","")))))))))))</f>
        <v/>
      </c>
    </row>
    <row r="1266">
      <c r="A1266" s="24">
        <f>IF($D1266="","",COUNTA($D$4:$D1266))</f>
        <v/>
      </c>
      <c r="B1266" s="17" t="n"/>
      <c r="C1266" s="30" t="n"/>
      <c r="D1266" s="17" t="n"/>
      <c r="E1266" s="24">
        <f>IF($D1266="","",IFERROR(VLOOKUP($D1266,物料档案!$A$4:$P$1203,3,0),"※编码不在物料档案里"))</f>
        <v/>
      </c>
      <c r="F1266" s="24">
        <f>IF($D1266="","",IFERROR(VLOOKUP($D1266,物料档案!$A$4:$P$1203,4,0),"※编码不在物料档案里"))</f>
        <v/>
      </c>
      <c r="G1266" s="24">
        <f>IF($D1266="","",IFERROR(VLOOKUP($D1266,物料档案!$A$4:$P$1203,5,0),"※编码不在物料档案里"))</f>
        <v/>
      </c>
      <c r="H1266" s="24">
        <f>IF($D1266="","",IFERROR(VLOOKUP($D1266,物料档案!$A$4:$P$1203,2,0),"※编码不在物料档案里"))</f>
        <v/>
      </c>
      <c r="I1266" s="24">
        <f>IF($D1266="","",IFERROR(VLOOKUP($D1266,物料档案!$A$4:$P$1203,6,0),"※编码不在物料档案里"))</f>
        <v/>
      </c>
      <c r="J1266" s="23" t="n"/>
      <c r="K1266" s="17" t="n"/>
      <c r="L1266" s="17" t="n"/>
      <c r="M1266" s="17" t="n"/>
      <c r="N1266" s="17" t="n"/>
      <c r="O1266" s="26">
        <f>IF($D1266="","",IFERROR(VLOOKUP($D1266,物料档案!$A$4:$P$1203,10,0),0))</f>
        <v/>
      </c>
      <c r="P1266" s="32" t="n"/>
      <c r="Q1266" s="26">
        <f>IF($D1266="","",IF($K1266&lt;&gt;"对外销售",0,ROUND(N($J1266)*IF($P1266="",N($O1266),N($P1266)),0)))</f>
        <v/>
      </c>
      <c r="R1266" s="26">
        <f>IF($D1266="","",IFERROR(VLOOKUP($D1266,库存台账!$A$5:$Y$1204,11,0),0))</f>
        <v/>
      </c>
      <c r="S1266" s="26">
        <f>IF($D1266="","",ROUND(N($J1266)*N($R1266),0))</f>
        <v/>
      </c>
      <c r="T1266" s="26">
        <f>IF($D1266="","",IF($K1266&lt;&gt;"对外销售","",ROUND($Q1266-$S1266,0)))</f>
        <v/>
      </c>
      <c r="U1266" s="17" t="n"/>
      <c r="V1266" s="17" t="n"/>
      <c r="W1266" s="24">
        <f>IF($D1266="","",IF($E1266="※编码不在物料档案里","※物料编码不在档案里",IF(N($J1266)&lt;=0,"※出库数量要大于 0",IF($K1266="","※没填去向类型",IF($L1266="","※没填去向矿区",IF(AND($C1266&lt;&gt;"",$C1266&lt;=结账锁),"※日期早于已结账截止日，不能再录",IF(AND($K1266="自用消耗",COUNTIF({"一矿区";"二矿区"},$L1266)=0),"※自用消耗的去向只能是一矿区或二矿区",IF(AND($K1266="对外销售",COUNTIF({"三矿区";"六矿区"},$L1266)=0),"※对外销售的去向只能是三矿区或六矿区",IF(AND($K1266="对外销售",ROUND($Q1266,0)=0),"※外销却没有售价，请填实际售价",IF(AND($K1266="对外销售",$T1266&lt;&gt;"",$T1266&lt;0),"※这一笔外销是亏的，请核对售价",IF(IFERROR(VLOOKUP($D1266,库存台账!$A$5:$Y$1204,24,0),0)&lt;-0.001,"※这个物料账面已经变成负数了，查一下是不是漏记入库","")))))))))))</f>
        <v/>
      </c>
    </row>
    <row r="1267">
      <c r="A1267" s="24">
        <f>IF($D1267="","",COUNTA($D$4:$D1267))</f>
        <v/>
      </c>
      <c r="B1267" s="17" t="n"/>
      <c r="C1267" s="30" t="n"/>
      <c r="D1267" s="17" t="n"/>
      <c r="E1267" s="24">
        <f>IF($D1267="","",IFERROR(VLOOKUP($D1267,物料档案!$A$4:$P$1203,3,0),"※编码不在物料档案里"))</f>
        <v/>
      </c>
      <c r="F1267" s="24">
        <f>IF($D1267="","",IFERROR(VLOOKUP($D1267,物料档案!$A$4:$P$1203,4,0),"※编码不在物料档案里"))</f>
        <v/>
      </c>
      <c r="G1267" s="24">
        <f>IF($D1267="","",IFERROR(VLOOKUP($D1267,物料档案!$A$4:$P$1203,5,0),"※编码不在物料档案里"))</f>
        <v/>
      </c>
      <c r="H1267" s="24">
        <f>IF($D1267="","",IFERROR(VLOOKUP($D1267,物料档案!$A$4:$P$1203,2,0),"※编码不在物料档案里"))</f>
        <v/>
      </c>
      <c r="I1267" s="24">
        <f>IF($D1267="","",IFERROR(VLOOKUP($D1267,物料档案!$A$4:$P$1203,6,0),"※编码不在物料档案里"))</f>
        <v/>
      </c>
      <c r="J1267" s="23" t="n"/>
      <c r="K1267" s="17" t="n"/>
      <c r="L1267" s="17" t="n"/>
      <c r="M1267" s="17" t="n"/>
      <c r="N1267" s="17" t="n"/>
      <c r="O1267" s="26">
        <f>IF($D1267="","",IFERROR(VLOOKUP($D1267,物料档案!$A$4:$P$1203,10,0),0))</f>
        <v/>
      </c>
      <c r="P1267" s="32" t="n"/>
      <c r="Q1267" s="26">
        <f>IF($D1267="","",IF($K1267&lt;&gt;"对外销售",0,ROUND(N($J1267)*IF($P1267="",N($O1267),N($P1267)),0)))</f>
        <v/>
      </c>
      <c r="R1267" s="26">
        <f>IF($D1267="","",IFERROR(VLOOKUP($D1267,库存台账!$A$5:$Y$1204,11,0),0))</f>
        <v/>
      </c>
      <c r="S1267" s="26">
        <f>IF($D1267="","",ROUND(N($J1267)*N($R1267),0))</f>
        <v/>
      </c>
      <c r="T1267" s="26">
        <f>IF($D1267="","",IF($K1267&lt;&gt;"对外销售","",ROUND($Q1267-$S1267,0)))</f>
        <v/>
      </c>
      <c r="U1267" s="17" t="n"/>
      <c r="V1267" s="17" t="n"/>
      <c r="W1267" s="24">
        <f>IF($D1267="","",IF($E1267="※编码不在物料档案里","※物料编码不在档案里",IF(N($J1267)&lt;=0,"※出库数量要大于 0",IF($K1267="","※没填去向类型",IF($L1267="","※没填去向矿区",IF(AND($C1267&lt;&gt;"",$C1267&lt;=结账锁),"※日期早于已结账截止日，不能再录",IF(AND($K1267="自用消耗",COUNTIF({"一矿区";"二矿区"},$L1267)=0),"※自用消耗的去向只能是一矿区或二矿区",IF(AND($K1267="对外销售",COUNTIF({"三矿区";"六矿区"},$L1267)=0),"※对外销售的去向只能是三矿区或六矿区",IF(AND($K1267="对外销售",ROUND($Q1267,0)=0),"※外销却没有售价，请填实际售价",IF(AND($K1267="对外销售",$T1267&lt;&gt;"",$T1267&lt;0),"※这一笔外销是亏的，请核对售价",IF(IFERROR(VLOOKUP($D1267,库存台账!$A$5:$Y$1204,24,0),0)&lt;-0.001,"※这个物料账面已经变成负数了，查一下是不是漏记入库","")))))))))))</f>
        <v/>
      </c>
    </row>
    <row r="1268">
      <c r="A1268" s="24">
        <f>IF($D1268="","",COUNTA($D$4:$D1268))</f>
        <v/>
      </c>
      <c r="B1268" s="17" t="n"/>
      <c r="C1268" s="30" t="n"/>
      <c r="D1268" s="17" t="n"/>
      <c r="E1268" s="24">
        <f>IF($D1268="","",IFERROR(VLOOKUP($D1268,物料档案!$A$4:$P$1203,3,0),"※编码不在物料档案里"))</f>
        <v/>
      </c>
      <c r="F1268" s="24">
        <f>IF($D1268="","",IFERROR(VLOOKUP($D1268,物料档案!$A$4:$P$1203,4,0),"※编码不在物料档案里"))</f>
        <v/>
      </c>
      <c r="G1268" s="24">
        <f>IF($D1268="","",IFERROR(VLOOKUP($D1268,物料档案!$A$4:$P$1203,5,0),"※编码不在物料档案里"))</f>
        <v/>
      </c>
      <c r="H1268" s="24">
        <f>IF($D1268="","",IFERROR(VLOOKUP($D1268,物料档案!$A$4:$P$1203,2,0),"※编码不在物料档案里"))</f>
        <v/>
      </c>
      <c r="I1268" s="24">
        <f>IF($D1268="","",IFERROR(VLOOKUP($D1268,物料档案!$A$4:$P$1203,6,0),"※编码不在物料档案里"))</f>
        <v/>
      </c>
      <c r="J1268" s="23" t="n"/>
      <c r="K1268" s="17" t="n"/>
      <c r="L1268" s="17" t="n"/>
      <c r="M1268" s="17" t="n"/>
      <c r="N1268" s="17" t="n"/>
      <c r="O1268" s="26">
        <f>IF($D1268="","",IFERROR(VLOOKUP($D1268,物料档案!$A$4:$P$1203,10,0),0))</f>
        <v/>
      </c>
      <c r="P1268" s="32" t="n"/>
      <c r="Q1268" s="26">
        <f>IF($D1268="","",IF($K1268&lt;&gt;"对外销售",0,ROUND(N($J1268)*IF($P1268="",N($O1268),N($P1268)),0)))</f>
        <v/>
      </c>
      <c r="R1268" s="26">
        <f>IF($D1268="","",IFERROR(VLOOKUP($D1268,库存台账!$A$5:$Y$1204,11,0),0))</f>
        <v/>
      </c>
      <c r="S1268" s="26">
        <f>IF($D1268="","",ROUND(N($J1268)*N($R1268),0))</f>
        <v/>
      </c>
      <c r="T1268" s="26">
        <f>IF($D1268="","",IF($K1268&lt;&gt;"对外销售","",ROUND($Q1268-$S1268,0)))</f>
        <v/>
      </c>
      <c r="U1268" s="17" t="n"/>
      <c r="V1268" s="17" t="n"/>
      <c r="W1268" s="24">
        <f>IF($D1268="","",IF($E1268="※编码不在物料档案里","※物料编码不在档案里",IF(N($J1268)&lt;=0,"※出库数量要大于 0",IF($K1268="","※没填去向类型",IF($L1268="","※没填去向矿区",IF(AND($C1268&lt;&gt;"",$C1268&lt;=结账锁),"※日期早于已结账截止日，不能再录",IF(AND($K1268="自用消耗",COUNTIF({"一矿区";"二矿区"},$L1268)=0),"※自用消耗的去向只能是一矿区或二矿区",IF(AND($K1268="对外销售",COUNTIF({"三矿区";"六矿区"},$L1268)=0),"※对外销售的去向只能是三矿区或六矿区",IF(AND($K1268="对外销售",ROUND($Q1268,0)=0),"※外销却没有售价，请填实际售价",IF(AND($K1268="对外销售",$T1268&lt;&gt;"",$T1268&lt;0),"※这一笔外销是亏的，请核对售价",IF(IFERROR(VLOOKUP($D1268,库存台账!$A$5:$Y$1204,24,0),0)&lt;-0.001,"※这个物料账面已经变成负数了，查一下是不是漏记入库","")))))))))))</f>
        <v/>
      </c>
    </row>
    <row r="1269">
      <c r="A1269" s="24">
        <f>IF($D1269="","",COUNTA($D$4:$D1269))</f>
        <v/>
      </c>
      <c r="B1269" s="17" t="n"/>
      <c r="C1269" s="30" t="n"/>
      <c r="D1269" s="17" t="n"/>
      <c r="E1269" s="24">
        <f>IF($D1269="","",IFERROR(VLOOKUP($D1269,物料档案!$A$4:$P$1203,3,0),"※编码不在物料档案里"))</f>
        <v/>
      </c>
      <c r="F1269" s="24">
        <f>IF($D1269="","",IFERROR(VLOOKUP($D1269,物料档案!$A$4:$P$1203,4,0),"※编码不在物料档案里"))</f>
        <v/>
      </c>
      <c r="G1269" s="24">
        <f>IF($D1269="","",IFERROR(VLOOKUP($D1269,物料档案!$A$4:$P$1203,5,0),"※编码不在物料档案里"))</f>
        <v/>
      </c>
      <c r="H1269" s="24">
        <f>IF($D1269="","",IFERROR(VLOOKUP($D1269,物料档案!$A$4:$P$1203,2,0),"※编码不在物料档案里"))</f>
        <v/>
      </c>
      <c r="I1269" s="24">
        <f>IF($D1269="","",IFERROR(VLOOKUP($D1269,物料档案!$A$4:$P$1203,6,0),"※编码不在物料档案里"))</f>
        <v/>
      </c>
      <c r="J1269" s="23" t="n"/>
      <c r="K1269" s="17" t="n"/>
      <c r="L1269" s="17" t="n"/>
      <c r="M1269" s="17" t="n"/>
      <c r="N1269" s="17" t="n"/>
      <c r="O1269" s="26">
        <f>IF($D1269="","",IFERROR(VLOOKUP($D1269,物料档案!$A$4:$P$1203,10,0),0))</f>
        <v/>
      </c>
      <c r="P1269" s="32" t="n"/>
      <c r="Q1269" s="26">
        <f>IF($D1269="","",IF($K1269&lt;&gt;"对外销售",0,ROUND(N($J1269)*IF($P1269="",N($O1269),N($P1269)),0)))</f>
        <v/>
      </c>
      <c r="R1269" s="26">
        <f>IF($D1269="","",IFERROR(VLOOKUP($D1269,库存台账!$A$5:$Y$1204,11,0),0))</f>
        <v/>
      </c>
      <c r="S1269" s="26">
        <f>IF($D1269="","",ROUND(N($J1269)*N($R1269),0))</f>
        <v/>
      </c>
      <c r="T1269" s="26">
        <f>IF($D1269="","",IF($K1269&lt;&gt;"对外销售","",ROUND($Q1269-$S1269,0)))</f>
        <v/>
      </c>
      <c r="U1269" s="17" t="n"/>
      <c r="V1269" s="17" t="n"/>
      <c r="W1269" s="24">
        <f>IF($D1269="","",IF($E1269="※编码不在物料档案里","※物料编码不在档案里",IF(N($J1269)&lt;=0,"※出库数量要大于 0",IF($K1269="","※没填去向类型",IF($L1269="","※没填去向矿区",IF(AND($C1269&lt;&gt;"",$C1269&lt;=结账锁),"※日期早于已结账截止日，不能再录",IF(AND($K1269="自用消耗",COUNTIF({"一矿区";"二矿区"},$L1269)=0),"※自用消耗的去向只能是一矿区或二矿区",IF(AND($K1269="对外销售",COUNTIF({"三矿区";"六矿区"},$L1269)=0),"※对外销售的去向只能是三矿区或六矿区",IF(AND($K1269="对外销售",ROUND($Q1269,0)=0),"※外销却没有售价，请填实际售价",IF(AND($K1269="对外销售",$T1269&lt;&gt;"",$T1269&lt;0),"※这一笔外销是亏的，请核对售价",IF(IFERROR(VLOOKUP($D1269,库存台账!$A$5:$Y$1204,24,0),0)&lt;-0.001,"※这个物料账面已经变成负数了，查一下是不是漏记入库","")))))))))))</f>
        <v/>
      </c>
    </row>
    <row r="1270">
      <c r="A1270" s="24">
        <f>IF($D1270="","",COUNTA($D$4:$D1270))</f>
        <v/>
      </c>
      <c r="B1270" s="17" t="n"/>
      <c r="C1270" s="30" t="n"/>
      <c r="D1270" s="17" t="n"/>
      <c r="E1270" s="24">
        <f>IF($D1270="","",IFERROR(VLOOKUP($D1270,物料档案!$A$4:$P$1203,3,0),"※编码不在物料档案里"))</f>
        <v/>
      </c>
      <c r="F1270" s="24">
        <f>IF($D1270="","",IFERROR(VLOOKUP($D1270,物料档案!$A$4:$P$1203,4,0),"※编码不在物料档案里"))</f>
        <v/>
      </c>
      <c r="G1270" s="24">
        <f>IF($D1270="","",IFERROR(VLOOKUP($D1270,物料档案!$A$4:$P$1203,5,0),"※编码不在物料档案里"))</f>
        <v/>
      </c>
      <c r="H1270" s="24">
        <f>IF($D1270="","",IFERROR(VLOOKUP($D1270,物料档案!$A$4:$P$1203,2,0),"※编码不在物料档案里"))</f>
        <v/>
      </c>
      <c r="I1270" s="24">
        <f>IF($D1270="","",IFERROR(VLOOKUP($D1270,物料档案!$A$4:$P$1203,6,0),"※编码不在物料档案里"))</f>
        <v/>
      </c>
      <c r="J1270" s="23" t="n"/>
      <c r="K1270" s="17" t="n"/>
      <c r="L1270" s="17" t="n"/>
      <c r="M1270" s="17" t="n"/>
      <c r="N1270" s="17" t="n"/>
      <c r="O1270" s="26">
        <f>IF($D1270="","",IFERROR(VLOOKUP($D1270,物料档案!$A$4:$P$1203,10,0),0))</f>
        <v/>
      </c>
      <c r="P1270" s="32" t="n"/>
      <c r="Q1270" s="26">
        <f>IF($D1270="","",IF($K1270&lt;&gt;"对外销售",0,ROUND(N($J1270)*IF($P1270="",N($O1270),N($P1270)),0)))</f>
        <v/>
      </c>
      <c r="R1270" s="26">
        <f>IF($D1270="","",IFERROR(VLOOKUP($D1270,库存台账!$A$5:$Y$1204,11,0),0))</f>
        <v/>
      </c>
      <c r="S1270" s="26">
        <f>IF($D1270="","",ROUND(N($J1270)*N($R1270),0))</f>
        <v/>
      </c>
      <c r="T1270" s="26">
        <f>IF($D1270="","",IF($K1270&lt;&gt;"对外销售","",ROUND($Q1270-$S1270,0)))</f>
        <v/>
      </c>
      <c r="U1270" s="17" t="n"/>
      <c r="V1270" s="17" t="n"/>
      <c r="W1270" s="24">
        <f>IF($D1270="","",IF($E1270="※编码不在物料档案里","※物料编码不在档案里",IF(N($J1270)&lt;=0,"※出库数量要大于 0",IF($K1270="","※没填去向类型",IF($L1270="","※没填去向矿区",IF(AND($C1270&lt;&gt;"",$C1270&lt;=结账锁),"※日期早于已结账截止日，不能再录",IF(AND($K1270="自用消耗",COUNTIF({"一矿区";"二矿区"},$L1270)=0),"※自用消耗的去向只能是一矿区或二矿区",IF(AND($K1270="对外销售",COUNTIF({"三矿区";"六矿区"},$L1270)=0),"※对外销售的去向只能是三矿区或六矿区",IF(AND($K1270="对外销售",ROUND($Q1270,0)=0),"※外销却没有售价，请填实际售价",IF(AND($K1270="对外销售",$T1270&lt;&gt;"",$T1270&lt;0),"※这一笔外销是亏的，请核对售价",IF(IFERROR(VLOOKUP($D1270,库存台账!$A$5:$Y$1204,24,0),0)&lt;-0.001,"※这个物料账面已经变成负数了，查一下是不是漏记入库","")))))))))))</f>
        <v/>
      </c>
    </row>
    <row r="1271">
      <c r="A1271" s="24">
        <f>IF($D1271="","",COUNTA($D$4:$D1271))</f>
        <v/>
      </c>
      <c r="B1271" s="17" t="n"/>
      <c r="C1271" s="30" t="n"/>
      <c r="D1271" s="17" t="n"/>
      <c r="E1271" s="24">
        <f>IF($D1271="","",IFERROR(VLOOKUP($D1271,物料档案!$A$4:$P$1203,3,0),"※编码不在物料档案里"))</f>
        <v/>
      </c>
      <c r="F1271" s="24">
        <f>IF($D1271="","",IFERROR(VLOOKUP($D1271,物料档案!$A$4:$P$1203,4,0),"※编码不在物料档案里"))</f>
        <v/>
      </c>
      <c r="G1271" s="24">
        <f>IF($D1271="","",IFERROR(VLOOKUP($D1271,物料档案!$A$4:$P$1203,5,0),"※编码不在物料档案里"))</f>
        <v/>
      </c>
      <c r="H1271" s="24">
        <f>IF($D1271="","",IFERROR(VLOOKUP($D1271,物料档案!$A$4:$P$1203,2,0),"※编码不在物料档案里"))</f>
        <v/>
      </c>
      <c r="I1271" s="24">
        <f>IF($D1271="","",IFERROR(VLOOKUP($D1271,物料档案!$A$4:$P$1203,6,0),"※编码不在物料档案里"))</f>
        <v/>
      </c>
      <c r="J1271" s="23" t="n"/>
      <c r="K1271" s="17" t="n"/>
      <c r="L1271" s="17" t="n"/>
      <c r="M1271" s="17" t="n"/>
      <c r="N1271" s="17" t="n"/>
      <c r="O1271" s="26">
        <f>IF($D1271="","",IFERROR(VLOOKUP($D1271,物料档案!$A$4:$P$1203,10,0),0))</f>
        <v/>
      </c>
      <c r="P1271" s="32" t="n"/>
      <c r="Q1271" s="26">
        <f>IF($D1271="","",IF($K1271&lt;&gt;"对外销售",0,ROUND(N($J1271)*IF($P1271="",N($O1271),N($P1271)),0)))</f>
        <v/>
      </c>
      <c r="R1271" s="26">
        <f>IF($D1271="","",IFERROR(VLOOKUP($D1271,库存台账!$A$5:$Y$1204,11,0),0))</f>
        <v/>
      </c>
      <c r="S1271" s="26">
        <f>IF($D1271="","",ROUND(N($J1271)*N($R1271),0))</f>
        <v/>
      </c>
      <c r="T1271" s="26">
        <f>IF($D1271="","",IF($K1271&lt;&gt;"对外销售","",ROUND($Q1271-$S1271,0)))</f>
        <v/>
      </c>
      <c r="U1271" s="17" t="n"/>
      <c r="V1271" s="17" t="n"/>
      <c r="W1271" s="24">
        <f>IF($D1271="","",IF($E1271="※编码不在物料档案里","※物料编码不在档案里",IF(N($J1271)&lt;=0,"※出库数量要大于 0",IF($K1271="","※没填去向类型",IF($L1271="","※没填去向矿区",IF(AND($C1271&lt;&gt;"",$C1271&lt;=结账锁),"※日期早于已结账截止日，不能再录",IF(AND($K1271="自用消耗",COUNTIF({"一矿区";"二矿区"},$L1271)=0),"※自用消耗的去向只能是一矿区或二矿区",IF(AND($K1271="对外销售",COUNTIF({"三矿区";"六矿区"},$L1271)=0),"※对外销售的去向只能是三矿区或六矿区",IF(AND($K1271="对外销售",ROUND($Q1271,0)=0),"※外销却没有售价，请填实际售价",IF(AND($K1271="对外销售",$T1271&lt;&gt;"",$T1271&lt;0),"※这一笔外销是亏的，请核对售价",IF(IFERROR(VLOOKUP($D1271,库存台账!$A$5:$Y$1204,24,0),0)&lt;-0.001,"※这个物料账面已经变成负数了，查一下是不是漏记入库","")))))))))))</f>
        <v/>
      </c>
    </row>
    <row r="1272">
      <c r="A1272" s="24">
        <f>IF($D1272="","",COUNTA($D$4:$D1272))</f>
        <v/>
      </c>
      <c r="B1272" s="17" t="n"/>
      <c r="C1272" s="30" t="n"/>
      <c r="D1272" s="17" t="n"/>
      <c r="E1272" s="24">
        <f>IF($D1272="","",IFERROR(VLOOKUP($D1272,物料档案!$A$4:$P$1203,3,0),"※编码不在物料档案里"))</f>
        <v/>
      </c>
      <c r="F1272" s="24">
        <f>IF($D1272="","",IFERROR(VLOOKUP($D1272,物料档案!$A$4:$P$1203,4,0),"※编码不在物料档案里"))</f>
        <v/>
      </c>
      <c r="G1272" s="24">
        <f>IF($D1272="","",IFERROR(VLOOKUP($D1272,物料档案!$A$4:$P$1203,5,0),"※编码不在物料档案里"))</f>
        <v/>
      </c>
      <c r="H1272" s="24">
        <f>IF($D1272="","",IFERROR(VLOOKUP($D1272,物料档案!$A$4:$P$1203,2,0),"※编码不在物料档案里"))</f>
        <v/>
      </c>
      <c r="I1272" s="24">
        <f>IF($D1272="","",IFERROR(VLOOKUP($D1272,物料档案!$A$4:$P$1203,6,0),"※编码不在物料档案里"))</f>
        <v/>
      </c>
      <c r="J1272" s="23" t="n"/>
      <c r="K1272" s="17" t="n"/>
      <c r="L1272" s="17" t="n"/>
      <c r="M1272" s="17" t="n"/>
      <c r="N1272" s="17" t="n"/>
      <c r="O1272" s="26">
        <f>IF($D1272="","",IFERROR(VLOOKUP($D1272,物料档案!$A$4:$P$1203,10,0),0))</f>
        <v/>
      </c>
      <c r="P1272" s="32" t="n"/>
      <c r="Q1272" s="26">
        <f>IF($D1272="","",IF($K1272&lt;&gt;"对外销售",0,ROUND(N($J1272)*IF($P1272="",N($O1272),N($P1272)),0)))</f>
        <v/>
      </c>
      <c r="R1272" s="26">
        <f>IF($D1272="","",IFERROR(VLOOKUP($D1272,库存台账!$A$5:$Y$1204,11,0),0))</f>
        <v/>
      </c>
      <c r="S1272" s="26">
        <f>IF($D1272="","",ROUND(N($J1272)*N($R1272),0))</f>
        <v/>
      </c>
      <c r="T1272" s="26">
        <f>IF($D1272="","",IF($K1272&lt;&gt;"对外销售","",ROUND($Q1272-$S1272,0)))</f>
        <v/>
      </c>
      <c r="U1272" s="17" t="n"/>
      <c r="V1272" s="17" t="n"/>
      <c r="W1272" s="24">
        <f>IF($D1272="","",IF($E1272="※编码不在物料档案里","※物料编码不在档案里",IF(N($J1272)&lt;=0,"※出库数量要大于 0",IF($K1272="","※没填去向类型",IF($L1272="","※没填去向矿区",IF(AND($C1272&lt;&gt;"",$C1272&lt;=结账锁),"※日期早于已结账截止日，不能再录",IF(AND($K1272="自用消耗",COUNTIF({"一矿区";"二矿区"},$L1272)=0),"※自用消耗的去向只能是一矿区或二矿区",IF(AND($K1272="对外销售",COUNTIF({"三矿区";"六矿区"},$L1272)=0),"※对外销售的去向只能是三矿区或六矿区",IF(AND($K1272="对外销售",ROUND($Q1272,0)=0),"※外销却没有售价，请填实际售价",IF(AND($K1272="对外销售",$T1272&lt;&gt;"",$T1272&lt;0),"※这一笔外销是亏的，请核对售价",IF(IFERROR(VLOOKUP($D1272,库存台账!$A$5:$Y$1204,24,0),0)&lt;-0.001,"※这个物料账面已经变成负数了，查一下是不是漏记入库","")))))))))))</f>
        <v/>
      </c>
    </row>
    <row r="1273">
      <c r="A1273" s="24">
        <f>IF($D1273="","",COUNTA($D$4:$D1273))</f>
        <v/>
      </c>
      <c r="B1273" s="17" t="n"/>
      <c r="C1273" s="30" t="n"/>
      <c r="D1273" s="17" t="n"/>
      <c r="E1273" s="24">
        <f>IF($D1273="","",IFERROR(VLOOKUP($D1273,物料档案!$A$4:$P$1203,3,0),"※编码不在物料档案里"))</f>
        <v/>
      </c>
      <c r="F1273" s="24">
        <f>IF($D1273="","",IFERROR(VLOOKUP($D1273,物料档案!$A$4:$P$1203,4,0),"※编码不在物料档案里"))</f>
        <v/>
      </c>
      <c r="G1273" s="24">
        <f>IF($D1273="","",IFERROR(VLOOKUP($D1273,物料档案!$A$4:$P$1203,5,0),"※编码不在物料档案里"))</f>
        <v/>
      </c>
      <c r="H1273" s="24">
        <f>IF($D1273="","",IFERROR(VLOOKUP($D1273,物料档案!$A$4:$P$1203,2,0),"※编码不在物料档案里"))</f>
        <v/>
      </c>
      <c r="I1273" s="24">
        <f>IF($D1273="","",IFERROR(VLOOKUP($D1273,物料档案!$A$4:$P$1203,6,0),"※编码不在物料档案里"))</f>
        <v/>
      </c>
      <c r="J1273" s="23" t="n"/>
      <c r="K1273" s="17" t="n"/>
      <c r="L1273" s="17" t="n"/>
      <c r="M1273" s="17" t="n"/>
      <c r="N1273" s="17" t="n"/>
      <c r="O1273" s="26">
        <f>IF($D1273="","",IFERROR(VLOOKUP($D1273,物料档案!$A$4:$P$1203,10,0),0))</f>
        <v/>
      </c>
      <c r="P1273" s="32" t="n"/>
      <c r="Q1273" s="26">
        <f>IF($D1273="","",IF($K1273&lt;&gt;"对外销售",0,ROUND(N($J1273)*IF($P1273="",N($O1273),N($P1273)),0)))</f>
        <v/>
      </c>
      <c r="R1273" s="26">
        <f>IF($D1273="","",IFERROR(VLOOKUP($D1273,库存台账!$A$5:$Y$1204,11,0),0))</f>
        <v/>
      </c>
      <c r="S1273" s="26">
        <f>IF($D1273="","",ROUND(N($J1273)*N($R1273),0))</f>
        <v/>
      </c>
      <c r="T1273" s="26">
        <f>IF($D1273="","",IF($K1273&lt;&gt;"对外销售","",ROUND($Q1273-$S1273,0)))</f>
        <v/>
      </c>
      <c r="U1273" s="17" t="n"/>
      <c r="V1273" s="17" t="n"/>
      <c r="W1273" s="24">
        <f>IF($D1273="","",IF($E1273="※编码不在物料档案里","※物料编码不在档案里",IF(N($J1273)&lt;=0,"※出库数量要大于 0",IF($K1273="","※没填去向类型",IF($L1273="","※没填去向矿区",IF(AND($C1273&lt;&gt;"",$C1273&lt;=结账锁),"※日期早于已结账截止日，不能再录",IF(AND($K1273="自用消耗",COUNTIF({"一矿区";"二矿区"},$L1273)=0),"※自用消耗的去向只能是一矿区或二矿区",IF(AND($K1273="对外销售",COUNTIF({"三矿区";"六矿区"},$L1273)=0),"※对外销售的去向只能是三矿区或六矿区",IF(AND($K1273="对外销售",ROUND($Q1273,0)=0),"※外销却没有售价，请填实际售价",IF(AND($K1273="对外销售",$T1273&lt;&gt;"",$T1273&lt;0),"※这一笔外销是亏的，请核对售价",IF(IFERROR(VLOOKUP($D1273,库存台账!$A$5:$Y$1204,24,0),0)&lt;-0.001,"※这个物料账面已经变成负数了，查一下是不是漏记入库","")))))))))))</f>
        <v/>
      </c>
    </row>
    <row r="1274">
      <c r="A1274" s="24">
        <f>IF($D1274="","",COUNTA($D$4:$D1274))</f>
        <v/>
      </c>
      <c r="B1274" s="17" t="n"/>
      <c r="C1274" s="30" t="n"/>
      <c r="D1274" s="17" t="n"/>
      <c r="E1274" s="24">
        <f>IF($D1274="","",IFERROR(VLOOKUP($D1274,物料档案!$A$4:$P$1203,3,0),"※编码不在物料档案里"))</f>
        <v/>
      </c>
      <c r="F1274" s="24">
        <f>IF($D1274="","",IFERROR(VLOOKUP($D1274,物料档案!$A$4:$P$1203,4,0),"※编码不在物料档案里"))</f>
        <v/>
      </c>
      <c r="G1274" s="24">
        <f>IF($D1274="","",IFERROR(VLOOKUP($D1274,物料档案!$A$4:$P$1203,5,0),"※编码不在物料档案里"))</f>
        <v/>
      </c>
      <c r="H1274" s="24">
        <f>IF($D1274="","",IFERROR(VLOOKUP($D1274,物料档案!$A$4:$P$1203,2,0),"※编码不在物料档案里"))</f>
        <v/>
      </c>
      <c r="I1274" s="24">
        <f>IF($D1274="","",IFERROR(VLOOKUP($D1274,物料档案!$A$4:$P$1203,6,0),"※编码不在物料档案里"))</f>
        <v/>
      </c>
      <c r="J1274" s="23" t="n"/>
      <c r="K1274" s="17" t="n"/>
      <c r="L1274" s="17" t="n"/>
      <c r="M1274" s="17" t="n"/>
      <c r="N1274" s="17" t="n"/>
      <c r="O1274" s="26">
        <f>IF($D1274="","",IFERROR(VLOOKUP($D1274,物料档案!$A$4:$P$1203,10,0),0))</f>
        <v/>
      </c>
      <c r="P1274" s="32" t="n"/>
      <c r="Q1274" s="26">
        <f>IF($D1274="","",IF($K1274&lt;&gt;"对外销售",0,ROUND(N($J1274)*IF($P1274="",N($O1274),N($P1274)),0)))</f>
        <v/>
      </c>
      <c r="R1274" s="26">
        <f>IF($D1274="","",IFERROR(VLOOKUP($D1274,库存台账!$A$5:$Y$1204,11,0),0))</f>
        <v/>
      </c>
      <c r="S1274" s="26">
        <f>IF($D1274="","",ROUND(N($J1274)*N($R1274),0))</f>
        <v/>
      </c>
      <c r="T1274" s="26">
        <f>IF($D1274="","",IF($K1274&lt;&gt;"对外销售","",ROUND($Q1274-$S1274,0)))</f>
        <v/>
      </c>
      <c r="U1274" s="17" t="n"/>
      <c r="V1274" s="17" t="n"/>
      <c r="W1274" s="24">
        <f>IF($D1274="","",IF($E1274="※编码不在物料档案里","※物料编码不在档案里",IF(N($J1274)&lt;=0,"※出库数量要大于 0",IF($K1274="","※没填去向类型",IF($L1274="","※没填去向矿区",IF(AND($C1274&lt;&gt;"",$C1274&lt;=结账锁),"※日期早于已结账截止日，不能再录",IF(AND($K1274="自用消耗",COUNTIF({"一矿区";"二矿区"},$L1274)=0),"※自用消耗的去向只能是一矿区或二矿区",IF(AND($K1274="对外销售",COUNTIF({"三矿区";"六矿区"},$L1274)=0),"※对外销售的去向只能是三矿区或六矿区",IF(AND($K1274="对外销售",ROUND($Q1274,0)=0),"※外销却没有售价，请填实际售价",IF(AND($K1274="对外销售",$T1274&lt;&gt;"",$T1274&lt;0),"※这一笔外销是亏的，请核对售价",IF(IFERROR(VLOOKUP($D1274,库存台账!$A$5:$Y$1204,24,0),0)&lt;-0.001,"※这个物料账面已经变成负数了，查一下是不是漏记入库","")))))))))))</f>
        <v/>
      </c>
    </row>
    <row r="1275">
      <c r="A1275" s="24">
        <f>IF($D1275="","",COUNTA($D$4:$D1275))</f>
        <v/>
      </c>
      <c r="B1275" s="17" t="n"/>
      <c r="C1275" s="30" t="n"/>
      <c r="D1275" s="17" t="n"/>
      <c r="E1275" s="24">
        <f>IF($D1275="","",IFERROR(VLOOKUP($D1275,物料档案!$A$4:$P$1203,3,0),"※编码不在物料档案里"))</f>
        <v/>
      </c>
      <c r="F1275" s="24">
        <f>IF($D1275="","",IFERROR(VLOOKUP($D1275,物料档案!$A$4:$P$1203,4,0),"※编码不在物料档案里"))</f>
        <v/>
      </c>
      <c r="G1275" s="24">
        <f>IF($D1275="","",IFERROR(VLOOKUP($D1275,物料档案!$A$4:$P$1203,5,0),"※编码不在物料档案里"))</f>
        <v/>
      </c>
      <c r="H1275" s="24">
        <f>IF($D1275="","",IFERROR(VLOOKUP($D1275,物料档案!$A$4:$P$1203,2,0),"※编码不在物料档案里"))</f>
        <v/>
      </c>
      <c r="I1275" s="24">
        <f>IF($D1275="","",IFERROR(VLOOKUP($D1275,物料档案!$A$4:$P$1203,6,0),"※编码不在物料档案里"))</f>
        <v/>
      </c>
      <c r="J1275" s="23" t="n"/>
      <c r="K1275" s="17" t="n"/>
      <c r="L1275" s="17" t="n"/>
      <c r="M1275" s="17" t="n"/>
      <c r="N1275" s="17" t="n"/>
      <c r="O1275" s="26">
        <f>IF($D1275="","",IFERROR(VLOOKUP($D1275,物料档案!$A$4:$P$1203,10,0),0))</f>
        <v/>
      </c>
      <c r="P1275" s="32" t="n"/>
      <c r="Q1275" s="26">
        <f>IF($D1275="","",IF($K1275&lt;&gt;"对外销售",0,ROUND(N($J1275)*IF($P1275="",N($O1275),N($P1275)),0)))</f>
        <v/>
      </c>
      <c r="R1275" s="26">
        <f>IF($D1275="","",IFERROR(VLOOKUP($D1275,库存台账!$A$5:$Y$1204,11,0),0))</f>
        <v/>
      </c>
      <c r="S1275" s="26">
        <f>IF($D1275="","",ROUND(N($J1275)*N($R1275),0))</f>
        <v/>
      </c>
      <c r="T1275" s="26">
        <f>IF($D1275="","",IF($K1275&lt;&gt;"对外销售","",ROUND($Q1275-$S1275,0)))</f>
        <v/>
      </c>
      <c r="U1275" s="17" t="n"/>
      <c r="V1275" s="17" t="n"/>
      <c r="W1275" s="24">
        <f>IF($D1275="","",IF($E1275="※编码不在物料档案里","※物料编码不在档案里",IF(N($J1275)&lt;=0,"※出库数量要大于 0",IF($K1275="","※没填去向类型",IF($L1275="","※没填去向矿区",IF(AND($C1275&lt;&gt;"",$C1275&lt;=结账锁),"※日期早于已结账截止日，不能再录",IF(AND($K1275="自用消耗",COUNTIF({"一矿区";"二矿区"},$L1275)=0),"※自用消耗的去向只能是一矿区或二矿区",IF(AND($K1275="对外销售",COUNTIF({"三矿区";"六矿区"},$L1275)=0),"※对外销售的去向只能是三矿区或六矿区",IF(AND($K1275="对外销售",ROUND($Q1275,0)=0),"※外销却没有售价，请填实际售价",IF(AND($K1275="对外销售",$T1275&lt;&gt;"",$T1275&lt;0),"※这一笔外销是亏的，请核对售价",IF(IFERROR(VLOOKUP($D1275,库存台账!$A$5:$Y$1204,24,0),0)&lt;-0.001,"※这个物料账面已经变成负数了，查一下是不是漏记入库","")))))))))))</f>
        <v/>
      </c>
    </row>
    <row r="1276">
      <c r="A1276" s="24">
        <f>IF($D1276="","",COUNTA($D$4:$D1276))</f>
        <v/>
      </c>
      <c r="B1276" s="17" t="n"/>
      <c r="C1276" s="30" t="n"/>
      <c r="D1276" s="17" t="n"/>
      <c r="E1276" s="24">
        <f>IF($D1276="","",IFERROR(VLOOKUP($D1276,物料档案!$A$4:$P$1203,3,0),"※编码不在物料档案里"))</f>
        <v/>
      </c>
      <c r="F1276" s="24">
        <f>IF($D1276="","",IFERROR(VLOOKUP($D1276,物料档案!$A$4:$P$1203,4,0),"※编码不在物料档案里"))</f>
        <v/>
      </c>
      <c r="G1276" s="24">
        <f>IF($D1276="","",IFERROR(VLOOKUP($D1276,物料档案!$A$4:$P$1203,5,0),"※编码不在物料档案里"))</f>
        <v/>
      </c>
      <c r="H1276" s="24">
        <f>IF($D1276="","",IFERROR(VLOOKUP($D1276,物料档案!$A$4:$P$1203,2,0),"※编码不在物料档案里"))</f>
        <v/>
      </c>
      <c r="I1276" s="24">
        <f>IF($D1276="","",IFERROR(VLOOKUP($D1276,物料档案!$A$4:$P$1203,6,0),"※编码不在物料档案里"))</f>
        <v/>
      </c>
      <c r="J1276" s="23" t="n"/>
      <c r="K1276" s="17" t="n"/>
      <c r="L1276" s="17" t="n"/>
      <c r="M1276" s="17" t="n"/>
      <c r="N1276" s="17" t="n"/>
      <c r="O1276" s="26">
        <f>IF($D1276="","",IFERROR(VLOOKUP($D1276,物料档案!$A$4:$P$1203,10,0),0))</f>
        <v/>
      </c>
      <c r="P1276" s="32" t="n"/>
      <c r="Q1276" s="26">
        <f>IF($D1276="","",IF($K1276&lt;&gt;"对外销售",0,ROUND(N($J1276)*IF($P1276="",N($O1276),N($P1276)),0)))</f>
        <v/>
      </c>
      <c r="R1276" s="26">
        <f>IF($D1276="","",IFERROR(VLOOKUP($D1276,库存台账!$A$5:$Y$1204,11,0),0))</f>
        <v/>
      </c>
      <c r="S1276" s="26">
        <f>IF($D1276="","",ROUND(N($J1276)*N($R1276),0))</f>
        <v/>
      </c>
      <c r="T1276" s="26">
        <f>IF($D1276="","",IF($K1276&lt;&gt;"对外销售","",ROUND($Q1276-$S1276,0)))</f>
        <v/>
      </c>
      <c r="U1276" s="17" t="n"/>
      <c r="V1276" s="17" t="n"/>
      <c r="W1276" s="24">
        <f>IF($D1276="","",IF($E1276="※编码不在物料档案里","※物料编码不在档案里",IF(N($J1276)&lt;=0,"※出库数量要大于 0",IF($K1276="","※没填去向类型",IF($L1276="","※没填去向矿区",IF(AND($C1276&lt;&gt;"",$C1276&lt;=结账锁),"※日期早于已结账截止日，不能再录",IF(AND($K1276="自用消耗",COUNTIF({"一矿区";"二矿区"},$L1276)=0),"※自用消耗的去向只能是一矿区或二矿区",IF(AND($K1276="对外销售",COUNTIF({"三矿区";"六矿区"},$L1276)=0),"※对外销售的去向只能是三矿区或六矿区",IF(AND($K1276="对外销售",ROUND($Q1276,0)=0),"※外销却没有售价，请填实际售价",IF(AND($K1276="对外销售",$T1276&lt;&gt;"",$T1276&lt;0),"※这一笔外销是亏的，请核对售价",IF(IFERROR(VLOOKUP($D1276,库存台账!$A$5:$Y$1204,24,0),0)&lt;-0.001,"※这个物料账面已经变成负数了，查一下是不是漏记入库","")))))))))))</f>
        <v/>
      </c>
    </row>
    <row r="1277">
      <c r="A1277" s="24">
        <f>IF($D1277="","",COUNTA($D$4:$D1277))</f>
        <v/>
      </c>
      <c r="B1277" s="17" t="n"/>
      <c r="C1277" s="30" t="n"/>
      <c r="D1277" s="17" t="n"/>
      <c r="E1277" s="24">
        <f>IF($D1277="","",IFERROR(VLOOKUP($D1277,物料档案!$A$4:$P$1203,3,0),"※编码不在物料档案里"))</f>
        <v/>
      </c>
      <c r="F1277" s="24">
        <f>IF($D1277="","",IFERROR(VLOOKUP($D1277,物料档案!$A$4:$P$1203,4,0),"※编码不在物料档案里"))</f>
        <v/>
      </c>
      <c r="G1277" s="24">
        <f>IF($D1277="","",IFERROR(VLOOKUP($D1277,物料档案!$A$4:$P$1203,5,0),"※编码不在物料档案里"))</f>
        <v/>
      </c>
      <c r="H1277" s="24">
        <f>IF($D1277="","",IFERROR(VLOOKUP($D1277,物料档案!$A$4:$P$1203,2,0),"※编码不在物料档案里"))</f>
        <v/>
      </c>
      <c r="I1277" s="24">
        <f>IF($D1277="","",IFERROR(VLOOKUP($D1277,物料档案!$A$4:$P$1203,6,0),"※编码不在物料档案里"))</f>
        <v/>
      </c>
      <c r="J1277" s="23" t="n"/>
      <c r="K1277" s="17" t="n"/>
      <c r="L1277" s="17" t="n"/>
      <c r="M1277" s="17" t="n"/>
      <c r="N1277" s="17" t="n"/>
      <c r="O1277" s="26">
        <f>IF($D1277="","",IFERROR(VLOOKUP($D1277,物料档案!$A$4:$P$1203,10,0),0))</f>
        <v/>
      </c>
      <c r="P1277" s="32" t="n"/>
      <c r="Q1277" s="26">
        <f>IF($D1277="","",IF($K1277&lt;&gt;"对外销售",0,ROUND(N($J1277)*IF($P1277="",N($O1277),N($P1277)),0)))</f>
        <v/>
      </c>
      <c r="R1277" s="26">
        <f>IF($D1277="","",IFERROR(VLOOKUP($D1277,库存台账!$A$5:$Y$1204,11,0),0))</f>
        <v/>
      </c>
      <c r="S1277" s="26">
        <f>IF($D1277="","",ROUND(N($J1277)*N($R1277),0))</f>
        <v/>
      </c>
      <c r="T1277" s="26">
        <f>IF($D1277="","",IF($K1277&lt;&gt;"对外销售","",ROUND($Q1277-$S1277,0)))</f>
        <v/>
      </c>
      <c r="U1277" s="17" t="n"/>
      <c r="V1277" s="17" t="n"/>
      <c r="W1277" s="24">
        <f>IF($D1277="","",IF($E1277="※编码不在物料档案里","※物料编码不在档案里",IF(N($J1277)&lt;=0,"※出库数量要大于 0",IF($K1277="","※没填去向类型",IF($L1277="","※没填去向矿区",IF(AND($C1277&lt;&gt;"",$C1277&lt;=结账锁),"※日期早于已结账截止日，不能再录",IF(AND($K1277="自用消耗",COUNTIF({"一矿区";"二矿区"},$L1277)=0),"※自用消耗的去向只能是一矿区或二矿区",IF(AND($K1277="对外销售",COUNTIF({"三矿区";"六矿区"},$L1277)=0),"※对外销售的去向只能是三矿区或六矿区",IF(AND($K1277="对外销售",ROUND($Q1277,0)=0),"※外销却没有售价，请填实际售价",IF(AND($K1277="对外销售",$T1277&lt;&gt;"",$T1277&lt;0),"※这一笔外销是亏的，请核对售价",IF(IFERROR(VLOOKUP($D1277,库存台账!$A$5:$Y$1204,24,0),0)&lt;-0.001,"※这个物料账面已经变成负数了，查一下是不是漏记入库","")))))))))))</f>
        <v/>
      </c>
    </row>
    <row r="1278">
      <c r="A1278" s="24">
        <f>IF($D1278="","",COUNTA($D$4:$D1278))</f>
        <v/>
      </c>
      <c r="B1278" s="17" t="n"/>
      <c r="C1278" s="30" t="n"/>
      <c r="D1278" s="17" t="n"/>
      <c r="E1278" s="24">
        <f>IF($D1278="","",IFERROR(VLOOKUP($D1278,物料档案!$A$4:$P$1203,3,0),"※编码不在物料档案里"))</f>
        <v/>
      </c>
      <c r="F1278" s="24">
        <f>IF($D1278="","",IFERROR(VLOOKUP($D1278,物料档案!$A$4:$P$1203,4,0),"※编码不在物料档案里"))</f>
        <v/>
      </c>
      <c r="G1278" s="24">
        <f>IF($D1278="","",IFERROR(VLOOKUP($D1278,物料档案!$A$4:$P$1203,5,0),"※编码不在物料档案里"))</f>
        <v/>
      </c>
      <c r="H1278" s="24">
        <f>IF($D1278="","",IFERROR(VLOOKUP($D1278,物料档案!$A$4:$P$1203,2,0),"※编码不在物料档案里"))</f>
        <v/>
      </c>
      <c r="I1278" s="24">
        <f>IF($D1278="","",IFERROR(VLOOKUP($D1278,物料档案!$A$4:$P$1203,6,0),"※编码不在物料档案里"))</f>
        <v/>
      </c>
      <c r="J1278" s="23" t="n"/>
      <c r="K1278" s="17" t="n"/>
      <c r="L1278" s="17" t="n"/>
      <c r="M1278" s="17" t="n"/>
      <c r="N1278" s="17" t="n"/>
      <c r="O1278" s="26">
        <f>IF($D1278="","",IFERROR(VLOOKUP($D1278,物料档案!$A$4:$P$1203,10,0),0))</f>
        <v/>
      </c>
      <c r="P1278" s="32" t="n"/>
      <c r="Q1278" s="26">
        <f>IF($D1278="","",IF($K1278&lt;&gt;"对外销售",0,ROUND(N($J1278)*IF($P1278="",N($O1278),N($P1278)),0)))</f>
        <v/>
      </c>
      <c r="R1278" s="26">
        <f>IF($D1278="","",IFERROR(VLOOKUP($D1278,库存台账!$A$5:$Y$1204,11,0),0))</f>
        <v/>
      </c>
      <c r="S1278" s="26">
        <f>IF($D1278="","",ROUND(N($J1278)*N($R1278),0))</f>
        <v/>
      </c>
      <c r="T1278" s="26">
        <f>IF($D1278="","",IF($K1278&lt;&gt;"对外销售","",ROUND($Q1278-$S1278,0)))</f>
        <v/>
      </c>
      <c r="U1278" s="17" t="n"/>
      <c r="V1278" s="17" t="n"/>
      <c r="W1278" s="24">
        <f>IF($D1278="","",IF($E1278="※编码不在物料档案里","※物料编码不在档案里",IF(N($J1278)&lt;=0,"※出库数量要大于 0",IF($K1278="","※没填去向类型",IF($L1278="","※没填去向矿区",IF(AND($C1278&lt;&gt;"",$C1278&lt;=结账锁),"※日期早于已结账截止日，不能再录",IF(AND($K1278="自用消耗",COUNTIF({"一矿区";"二矿区"},$L1278)=0),"※自用消耗的去向只能是一矿区或二矿区",IF(AND($K1278="对外销售",COUNTIF({"三矿区";"六矿区"},$L1278)=0),"※对外销售的去向只能是三矿区或六矿区",IF(AND($K1278="对外销售",ROUND($Q1278,0)=0),"※外销却没有售价，请填实际售价",IF(AND($K1278="对外销售",$T1278&lt;&gt;"",$T1278&lt;0),"※这一笔外销是亏的，请核对售价",IF(IFERROR(VLOOKUP($D1278,库存台账!$A$5:$Y$1204,24,0),0)&lt;-0.001,"※这个物料账面已经变成负数了，查一下是不是漏记入库","")))))))))))</f>
        <v/>
      </c>
    </row>
    <row r="1279">
      <c r="A1279" s="24">
        <f>IF($D1279="","",COUNTA($D$4:$D1279))</f>
        <v/>
      </c>
      <c r="B1279" s="17" t="n"/>
      <c r="C1279" s="30" t="n"/>
      <c r="D1279" s="17" t="n"/>
      <c r="E1279" s="24">
        <f>IF($D1279="","",IFERROR(VLOOKUP($D1279,物料档案!$A$4:$P$1203,3,0),"※编码不在物料档案里"))</f>
        <v/>
      </c>
      <c r="F1279" s="24">
        <f>IF($D1279="","",IFERROR(VLOOKUP($D1279,物料档案!$A$4:$P$1203,4,0),"※编码不在物料档案里"))</f>
        <v/>
      </c>
      <c r="G1279" s="24">
        <f>IF($D1279="","",IFERROR(VLOOKUP($D1279,物料档案!$A$4:$P$1203,5,0),"※编码不在物料档案里"))</f>
        <v/>
      </c>
      <c r="H1279" s="24">
        <f>IF($D1279="","",IFERROR(VLOOKUP($D1279,物料档案!$A$4:$P$1203,2,0),"※编码不在物料档案里"))</f>
        <v/>
      </c>
      <c r="I1279" s="24">
        <f>IF($D1279="","",IFERROR(VLOOKUP($D1279,物料档案!$A$4:$P$1203,6,0),"※编码不在物料档案里"))</f>
        <v/>
      </c>
      <c r="J1279" s="23" t="n"/>
      <c r="K1279" s="17" t="n"/>
      <c r="L1279" s="17" t="n"/>
      <c r="M1279" s="17" t="n"/>
      <c r="N1279" s="17" t="n"/>
      <c r="O1279" s="26">
        <f>IF($D1279="","",IFERROR(VLOOKUP($D1279,物料档案!$A$4:$P$1203,10,0),0))</f>
        <v/>
      </c>
      <c r="P1279" s="32" t="n"/>
      <c r="Q1279" s="26">
        <f>IF($D1279="","",IF($K1279&lt;&gt;"对外销售",0,ROUND(N($J1279)*IF($P1279="",N($O1279),N($P1279)),0)))</f>
        <v/>
      </c>
      <c r="R1279" s="26">
        <f>IF($D1279="","",IFERROR(VLOOKUP($D1279,库存台账!$A$5:$Y$1204,11,0),0))</f>
        <v/>
      </c>
      <c r="S1279" s="26">
        <f>IF($D1279="","",ROUND(N($J1279)*N($R1279),0))</f>
        <v/>
      </c>
      <c r="T1279" s="26">
        <f>IF($D1279="","",IF($K1279&lt;&gt;"对外销售","",ROUND($Q1279-$S1279,0)))</f>
        <v/>
      </c>
      <c r="U1279" s="17" t="n"/>
      <c r="V1279" s="17" t="n"/>
      <c r="W1279" s="24">
        <f>IF($D1279="","",IF($E1279="※编码不在物料档案里","※物料编码不在档案里",IF(N($J1279)&lt;=0,"※出库数量要大于 0",IF($K1279="","※没填去向类型",IF($L1279="","※没填去向矿区",IF(AND($C1279&lt;&gt;"",$C1279&lt;=结账锁),"※日期早于已结账截止日，不能再录",IF(AND($K1279="自用消耗",COUNTIF({"一矿区";"二矿区"},$L1279)=0),"※自用消耗的去向只能是一矿区或二矿区",IF(AND($K1279="对外销售",COUNTIF({"三矿区";"六矿区"},$L1279)=0),"※对外销售的去向只能是三矿区或六矿区",IF(AND($K1279="对外销售",ROUND($Q1279,0)=0),"※外销却没有售价，请填实际售价",IF(AND($K1279="对外销售",$T1279&lt;&gt;"",$T1279&lt;0),"※这一笔外销是亏的，请核对售价",IF(IFERROR(VLOOKUP($D1279,库存台账!$A$5:$Y$1204,24,0),0)&lt;-0.001,"※这个物料账面已经变成负数了，查一下是不是漏记入库","")))))))))))</f>
        <v/>
      </c>
    </row>
    <row r="1280">
      <c r="A1280" s="24">
        <f>IF($D1280="","",COUNTA($D$4:$D1280))</f>
        <v/>
      </c>
      <c r="B1280" s="17" t="n"/>
      <c r="C1280" s="30" t="n"/>
      <c r="D1280" s="17" t="n"/>
      <c r="E1280" s="24">
        <f>IF($D1280="","",IFERROR(VLOOKUP($D1280,物料档案!$A$4:$P$1203,3,0),"※编码不在物料档案里"))</f>
        <v/>
      </c>
      <c r="F1280" s="24">
        <f>IF($D1280="","",IFERROR(VLOOKUP($D1280,物料档案!$A$4:$P$1203,4,0),"※编码不在物料档案里"))</f>
        <v/>
      </c>
      <c r="G1280" s="24">
        <f>IF($D1280="","",IFERROR(VLOOKUP($D1280,物料档案!$A$4:$P$1203,5,0),"※编码不在物料档案里"))</f>
        <v/>
      </c>
      <c r="H1280" s="24">
        <f>IF($D1280="","",IFERROR(VLOOKUP($D1280,物料档案!$A$4:$P$1203,2,0),"※编码不在物料档案里"))</f>
        <v/>
      </c>
      <c r="I1280" s="24">
        <f>IF($D1280="","",IFERROR(VLOOKUP($D1280,物料档案!$A$4:$P$1203,6,0),"※编码不在物料档案里"))</f>
        <v/>
      </c>
      <c r="J1280" s="23" t="n"/>
      <c r="K1280" s="17" t="n"/>
      <c r="L1280" s="17" t="n"/>
      <c r="M1280" s="17" t="n"/>
      <c r="N1280" s="17" t="n"/>
      <c r="O1280" s="26">
        <f>IF($D1280="","",IFERROR(VLOOKUP($D1280,物料档案!$A$4:$P$1203,10,0),0))</f>
        <v/>
      </c>
      <c r="P1280" s="32" t="n"/>
      <c r="Q1280" s="26">
        <f>IF($D1280="","",IF($K1280&lt;&gt;"对外销售",0,ROUND(N($J1280)*IF($P1280="",N($O1280),N($P1280)),0)))</f>
        <v/>
      </c>
      <c r="R1280" s="26">
        <f>IF($D1280="","",IFERROR(VLOOKUP($D1280,库存台账!$A$5:$Y$1204,11,0),0))</f>
        <v/>
      </c>
      <c r="S1280" s="26">
        <f>IF($D1280="","",ROUND(N($J1280)*N($R1280),0))</f>
        <v/>
      </c>
      <c r="T1280" s="26">
        <f>IF($D1280="","",IF($K1280&lt;&gt;"对外销售","",ROUND($Q1280-$S1280,0)))</f>
        <v/>
      </c>
      <c r="U1280" s="17" t="n"/>
      <c r="V1280" s="17" t="n"/>
      <c r="W1280" s="24">
        <f>IF($D1280="","",IF($E1280="※编码不在物料档案里","※物料编码不在档案里",IF(N($J1280)&lt;=0,"※出库数量要大于 0",IF($K1280="","※没填去向类型",IF($L1280="","※没填去向矿区",IF(AND($C1280&lt;&gt;"",$C1280&lt;=结账锁),"※日期早于已结账截止日，不能再录",IF(AND($K1280="自用消耗",COUNTIF({"一矿区";"二矿区"},$L1280)=0),"※自用消耗的去向只能是一矿区或二矿区",IF(AND($K1280="对外销售",COUNTIF({"三矿区";"六矿区"},$L1280)=0),"※对外销售的去向只能是三矿区或六矿区",IF(AND($K1280="对外销售",ROUND($Q1280,0)=0),"※外销却没有售价，请填实际售价",IF(AND($K1280="对外销售",$T1280&lt;&gt;"",$T1280&lt;0),"※这一笔外销是亏的，请核对售价",IF(IFERROR(VLOOKUP($D1280,库存台账!$A$5:$Y$1204,24,0),0)&lt;-0.001,"※这个物料账面已经变成负数了，查一下是不是漏记入库","")))))))))))</f>
        <v/>
      </c>
    </row>
    <row r="1281">
      <c r="A1281" s="24">
        <f>IF($D1281="","",COUNTA($D$4:$D1281))</f>
        <v/>
      </c>
      <c r="B1281" s="17" t="n"/>
      <c r="C1281" s="30" t="n"/>
      <c r="D1281" s="17" t="n"/>
      <c r="E1281" s="24">
        <f>IF($D1281="","",IFERROR(VLOOKUP($D1281,物料档案!$A$4:$P$1203,3,0),"※编码不在物料档案里"))</f>
        <v/>
      </c>
      <c r="F1281" s="24">
        <f>IF($D1281="","",IFERROR(VLOOKUP($D1281,物料档案!$A$4:$P$1203,4,0),"※编码不在物料档案里"))</f>
        <v/>
      </c>
      <c r="G1281" s="24">
        <f>IF($D1281="","",IFERROR(VLOOKUP($D1281,物料档案!$A$4:$P$1203,5,0),"※编码不在物料档案里"))</f>
        <v/>
      </c>
      <c r="H1281" s="24">
        <f>IF($D1281="","",IFERROR(VLOOKUP($D1281,物料档案!$A$4:$P$1203,2,0),"※编码不在物料档案里"))</f>
        <v/>
      </c>
      <c r="I1281" s="24">
        <f>IF($D1281="","",IFERROR(VLOOKUP($D1281,物料档案!$A$4:$P$1203,6,0),"※编码不在物料档案里"))</f>
        <v/>
      </c>
      <c r="J1281" s="23" t="n"/>
      <c r="K1281" s="17" t="n"/>
      <c r="L1281" s="17" t="n"/>
      <c r="M1281" s="17" t="n"/>
      <c r="N1281" s="17" t="n"/>
      <c r="O1281" s="26">
        <f>IF($D1281="","",IFERROR(VLOOKUP($D1281,物料档案!$A$4:$P$1203,10,0),0))</f>
        <v/>
      </c>
      <c r="P1281" s="32" t="n"/>
      <c r="Q1281" s="26">
        <f>IF($D1281="","",IF($K1281&lt;&gt;"对外销售",0,ROUND(N($J1281)*IF($P1281="",N($O1281),N($P1281)),0)))</f>
        <v/>
      </c>
      <c r="R1281" s="26">
        <f>IF($D1281="","",IFERROR(VLOOKUP($D1281,库存台账!$A$5:$Y$1204,11,0),0))</f>
        <v/>
      </c>
      <c r="S1281" s="26">
        <f>IF($D1281="","",ROUND(N($J1281)*N($R1281),0))</f>
        <v/>
      </c>
      <c r="T1281" s="26">
        <f>IF($D1281="","",IF($K1281&lt;&gt;"对外销售","",ROUND($Q1281-$S1281,0)))</f>
        <v/>
      </c>
      <c r="U1281" s="17" t="n"/>
      <c r="V1281" s="17" t="n"/>
      <c r="W1281" s="24">
        <f>IF($D1281="","",IF($E1281="※编码不在物料档案里","※物料编码不在档案里",IF(N($J1281)&lt;=0,"※出库数量要大于 0",IF($K1281="","※没填去向类型",IF($L1281="","※没填去向矿区",IF(AND($C1281&lt;&gt;"",$C1281&lt;=结账锁),"※日期早于已结账截止日，不能再录",IF(AND($K1281="自用消耗",COUNTIF({"一矿区";"二矿区"},$L1281)=0),"※自用消耗的去向只能是一矿区或二矿区",IF(AND($K1281="对外销售",COUNTIF({"三矿区";"六矿区"},$L1281)=0),"※对外销售的去向只能是三矿区或六矿区",IF(AND($K1281="对外销售",ROUND($Q1281,0)=0),"※外销却没有售价，请填实际售价",IF(AND($K1281="对外销售",$T1281&lt;&gt;"",$T1281&lt;0),"※这一笔外销是亏的，请核对售价",IF(IFERROR(VLOOKUP($D1281,库存台账!$A$5:$Y$1204,24,0),0)&lt;-0.001,"※这个物料账面已经变成负数了，查一下是不是漏记入库","")))))))))))</f>
        <v/>
      </c>
    </row>
    <row r="1282">
      <c r="A1282" s="24">
        <f>IF($D1282="","",COUNTA($D$4:$D1282))</f>
        <v/>
      </c>
      <c r="B1282" s="17" t="n"/>
      <c r="C1282" s="30" t="n"/>
      <c r="D1282" s="17" t="n"/>
      <c r="E1282" s="24">
        <f>IF($D1282="","",IFERROR(VLOOKUP($D1282,物料档案!$A$4:$P$1203,3,0),"※编码不在物料档案里"))</f>
        <v/>
      </c>
      <c r="F1282" s="24">
        <f>IF($D1282="","",IFERROR(VLOOKUP($D1282,物料档案!$A$4:$P$1203,4,0),"※编码不在物料档案里"))</f>
        <v/>
      </c>
      <c r="G1282" s="24">
        <f>IF($D1282="","",IFERROR(VLOOKUP($D1282,物料档案!$A$4:$P$1203,5,0),"※编码不在物料档案里"))</f>
        <v/>
      </c>
      <c r="H1282" s="24">
        <f>IF($D1282="","",IFERROR(VLOOKUP($D1282,物料档案!$A$4:$P$1203,2,0),"※编码不在物料档案里"))</f>
        <v/>
      </c>
      <c r="I1282" s="24">
        <f>IF($D1282="","",IFERROR(VLOOKUP($D1282,物料档案!$A$4:$P$1203,6,0),"※编码不在物料档案里"))</f>
        <v/>
      </c>
      <c r="J1282" s="23" t="n"/>
      <c r="K1282" s="17" t="n"/>
      <c r="L1282" s="17" t="n"/>
      <c r="M1282" s="17" t="n"/>
      <c r="N1282" s="17" t="n"/>
      <c r="O1282" s="26">
        <f>IF($D1282="","",IFERROR(VLOOKUP($D1282,物料档案!$A$4:$P$1203,10,0),0))</f>
        <v/>
      </c>
      <c r="P1282" s="32" t="n"/>
      <c r="Q1282" s="26">
        <f>IF($D1282="","",IF($K1282&lt;&gt;"对外销售",0,ROUND(N($J1282)*IF($P1282="",N($O1282),N($P1282)),0)))</f>
        <v/>
      </c>
      <c r="R1282" s="26">
        <f>IF($D1282="","",IFERROR(VLOOKUP($D1282,库存台账!$A$5:$Y$1204,11,0),0))</f>
        <v/>
      </c>
      <c r="S1282" s="26">
        <f>IF($D1282="","",ROUND(N($J1282)*N($R1282),0))</f>
        <v/>
      </c>
      <c r="T1282" s="26">
        <f>IF($D1282="","",IF($K1282&lt;&gt;"对外销售","",ROUND($Q1282-$S1282,0)))</f>
        <v/>
      </c>
      <c r="U1282" s="17" t="n"/>
      <c r="V1282" s="17" t="n"/>
      <c r="W1282" s="24">
        <f>IF($D1282="","",IF($E1282="※编码不在物料档案里","※物料编码不在档案里",IF(N($J1282)&lt;=0,"※出库数量要大于 0",IF($K1282="","※没填去向类型",IF($L1282="","※没填去向矿区",IF(AND($C1282&lt;&gt;"",$C1282&lt;=结账锁),"※日期早于已结账截止日，不能再录",IF(AND($K1282="自用消耗",COUNTIF({"一矿区";"二矿区"},$L1282)=0),"※自用消耗的去向只能是一矿区或二矿区",IF(AND($K1282="对外销售",COUNTIF({"三矿区";"六矿区"},$L1282)=0),"※对外销售的去向只能是三矿区或六矿区",IF(AND($K1282="对外销售",ROUND($Q1282,0)=0),"※外销却没有售价，请填实际售价",IF(AND($K1282="对外销售",$T1282&lt;&gt;"",$T1282&lt;0),"※这一笔外销是亏的，请核对售价",IF(IFERROR(VLOOKUP($D1282,库存台账!$A$5:$Y$1204,24,0),0)&lt;-0.001,"※这个物料账面已经变成负数了，查一下是不是漏记入库","")))))))))))</f>
        <v/>
      </c>
    </row>
    <row r="1283">
      <c r="A1283" s="24">
        <f>IF($D1283="","",COUNTA($D$4:$D1283))</f>
        <v/>
      </c>
      <c r="B1283" s="17" t="n"/>
      <c r="C1283" s="30" t="n"/>
      <c r="D1283" s="17" t="n"/>
      <c r="E1283" s="24">
        <f>IF($D1283="","",IFERROR(VLOOKUP($D1283,物料档案!$A$4:$P$1203,3,0),"※编码不在物料档案里"))</f>
        <v/>
      </c>
      <c r="F1283" s="24">
        <f>IF($D1283="","",IFERROR(VLOOKUP($D1283,物料档案!$A$4:$P$1203,4,0),"※编码不在物料档案里"))</f>
        <v/>
      </c>
      <c r="G1283" s="24">
        <f>IF($D1283="","",IFERROR(VLOOKUP($D1283,物料档案!$A$4:$P$1203,5,0),"※编码不在物料档案里"))</f>
        <v/>
      </c>
      <c r="H1283" s="24">
        <f>IF($D1283="","",IFERROR(VLOOKUP($D1283,物料档案!$A$4:$P$1203,2,0),"※编码不在物料档案里"))</f>
        <v/>
      </c>
      <c r="I1283" s="24">
        <f>IF($D1283="","",IFERROR(VLOOKUP($D1283,物料档案!$A$4:$P$1203,6,0),"※编码不在物料档案里"))</f>
        <v/>
      </c>
      <c r="J1283" s="23" t="n"/>
      <c r="K1283" s="17" t="n"/>
      <c r="L1283" s="17" t="n"/>
      <c r="M1283" s="17" t="n"/>
      <c r="N1283" s="17" t="n"/>
      <c r="O1283" s="26">
        <f>IF($D1283="","",IFERROR(VLOOKUP($D1283,物料档案!$A$4:$P$1203,10,0),0))</f>
        <v/>
      </c>
      <c r="P1283" s="32" t="n"/>
      <c r="Q1283" s="26">
        <f>IF($D1283="","",IF($K1283&lt;&gt;"对外销售",0,ROUND(N($J1283)*IF($P1283="",N($O1283),N($P1283)),0)))</f>
        <v/>
      </c>
      <c r="R1283" s="26">
        <f>IF($D1283="","",IFERROR(VLOOKUP($D1283,库存台账!$A$5:$Y$1204,11,0),0))</f>
        <v/>
      </c>
      <c r="S1283" s="26">
        <f>IF($D1283="","",ROUND(N($J1283)*N($R1283),0))</f>
        <v/>
      </c>
      <c r="T1283" s="26">
        <f>IF($D1283="","",IF($K1283&lt;&gt;"对外销售","",ROUND($Q1283-$S1283,0)))</f>
        <v/>
      </c>
      <c r="U1283" s="17" t="n"/>
      <c r="V1283" s="17" t="n"/>
      <c r="W1283" s="24">
        <f>IF($D1283="","",IF($E1283="※编码不在物料档案里","※物料编码不在档案里",IF(N($J1283)&lt;=0,"※出库数量要大于 0",IF($K1283="","※没填去向类型",IF($L1283="","※没填去向矿区",IF(AND($C1283&lt;&gt;"",$C1283&lt;=结账锁),"※日期早于已结账截止日，不能再录",IF(AND($K1283="自用消耗",COUNTIF({"一矿区";"二矿区"},$L1283)=0),"※自用消耗的去向只能是一矿区或二矿区",IF(AND($K1283="对外销售",COUNTIF({"三矿区";"六矿区"},$L1283)=0),"※对外销售的去向只能是三矿区或六矿区",IF(AND($K1283="对外销售",ROUND($Q1283,0)=0),"※外销却没有售价，请填实际售价",IF(AND($K1283="对外销售",$T1283&lt;&gt;"",$T1283&lt;0),"※这一笔外销是亏的，请核对售价",IF(IFERROR(VLOOKUP($D1283,库存台账!$A$5:$Y$1204,24,0),0)&lt;-0.001,"※这个物料账面已经变成负数了，查一下是不是漏记入库","")))))))))))</f>
        <v/>
      </c>
    </row>
    <row r="1284">
      <c r="A1284" s="24">
        <f>IF($D1284="","",COUNTA($D$4:$D1284))</f>
        <v/>
      </c>
      <c r="B1284" s="17" t="n"/>
      <c r="C1284" s="30" t="n"/>
      <c r="D1284" s="17" t="n"/>
      <c r="E1284" s="24">
        <f>IF($D1284="","",IFERROR(VLOOKUP($D1284,物料档案!$A$4:$P$1203,3,0),"※编码不在物料档案里"))</f>
        <v/>
      </c>
      <c r="F1284" s="24">
        <f>IF($D1284="","",IFERROR(VLOOKUP($D1284,物料档案!$A$4:$P$1203,4,0),"※编码不在物料档案里"))</f>
        <v/>
      </c>
      <c r="G1284" s="24">
        <f>IF($D1284="","",IFERROR(VLOOKUP($D1284,物料档案!$A$4:$P$1203,5,0),"※编码不在物料档案里"))</f>
        <v/>
      </c>
      <c r="H1284" s="24">
        <f>IF($D1284="","",IFERROR(VLOOKUP($D1284,物料档案!$A$4:$P$1203,2,0),"※编码不在物料档案里"))</f>
        <v/>
      </c>
      <c r="I1284" s="24">
        <f>IF($D1284="","",IFERROR(VLOOKUP($D1284,物料档案!$A$4:$P$1203,6,0),"※编码不在物料档案里"))</f>
        <v/>
      </c>
      <c r="J1284" s="23" t="n"/>
      <c r="K1284" s="17" t="n"/>
      <c r="L1284" s="17" t="n"/>
      <c r="M1284" s="17" t="n"/>
      <c r="N1284" s="17" t="n"/>
      <c r="O1284" s="26">
        <f>IF($D1284="","",IFERROR(VLOOKUP($D1284,物料档案!$A$4:$P$1203,10,0),0))</f>
        <v/>
      </c>
      <c r="P1284" s="32" t="n"/>
      <c r="Q1284" s="26">
        <f>IF($D1284="","",IF($K1284&lt;&gt;"对外销售",0,ROUND(N($J1284)*IF($P1284="",N($O1284),N($P1284)),0)))</f>
        <v/>
      </c>
      <c r="R1284" s="26">
        <f>IF($D1284="","",IFERROR(VLOOKUP($D1284,库存台账!$A$5:$Y$1204,11,0),0))</f>
        <v/>
      </c>
      <c r="S1284" s="26">
        <f>IF($D1284="","",ROUND(N($J1284)*N($R1284),0))</f>
        <v/>
      </c>
      <c r="T1284" s="26">
        <f>IF($D1284="","",IF($K1284&lt;&gt;"对外销售","",ROUND($Q1284-$S1284,0)))</f>
        <v/>
      </c>
      <c r="U1284" s="17" t="n"/>
      <c r="V1284" s="17" t="n"/>
      <c r="W1284" s="24">
        <f>IF($D1284="","",IF($E1284="※编码不在物料档案里","※物料编码不在档案里",IF(N($J1284)&lt;=0,"※出库数量要大于 0",IF($K1284="","※没填去向类型",IF($L1284="","※没填去向矿区",IF(AND($C1284&lt;&gt;"",$C1284&lt;=结账锁),"※日期早于已结账截止日，不能再录",IF(AND($K1284="自用消耗",COUNTIF({"一矿区";"二矿区"},$L1284)=0),"※自用消耗的去向只能是一矿区或二矿区",IF(AND($K1284="对外销售",COUNTIF({"三矿区";"六矿区"},$L1284)=0),"※对外销售的去向只能是三矿区或六矿区",IF(AND($K1284="对外销售",ROUND($Q1284,0)=0),"※外销却没有售价，请填实际售价",IF(AND($K1284="对外销售",$T1284&lt;&gt;"",$T1284&lt;0),"※这一笔外销是亏的，请核对售价",IF(IFERROR(VLOOKUP($D1284,库存台账!$A$5:$Y$1204,24,0),0)&lt;-0.001,"※这个物料账面已经变成负数了，查一下是不是漏记入库","")))))))))))</f>
        <v/>
      </c>
    </row>
    <row r="1285">
      <c r="A1285" s="24">
        <f>IF($D1285="","",COUNTA($D$4:$D1285))</f>
        <v/>
      </c>
      <c r="B1285" s="17" t="n"/>
      <c r="C1285" s="30" t="n"/>
      <c r="D1285" s="17" t="n"/>
      <c r="E1285" s="24">
        <f>IF($D1285="","",IFERROR(VLOOKUP($D1285,物料档案!$A$4:$P$1203,3,0),"※编码不在物料档案里"))</f>
        <v/>
      </c>
      <c r="F1285" s="24">
        <f>IF($D1285="","",IFERROR(VLOOKUP($D1285,物料档案!$A$4:$P$1203,4,0),"※编码不在物料档案里"))</f>
        <v/>
      </c>
      <c r="G1285" s="24">
        <f>IF($D1285="","",IFERROR(VLOOKUP($D1285,物料档案!$A$4:$P$1203,5,0),"※编码不在物料档案里"))</f>
        <v/>
      </c>
      <c r="H1285" s="24">
        <f>IF($D1285="","",IFERROR(VLOOKUP($D1285,物料档案!$A$4:$P$1203,2,0),"※编码不在物料档案里"))</f>
        <v/>
      </c>
      <c r="I1285" s="24">
        <f>IF($D1285="","",IFERROR(VLOOKUP($D1285,物料档案!$A$4:$P$1203,6,0),"※编码不在物料档案里"))</f>
        <v/>
      </c>
      <c r="J1285" s="23" t="n"/>
      <c r="K1285" s="17" t="n"/>
      <c r="L1285" s="17" t="n"/>
      <c r="M1285" s="17" t="n"/>
      <c r="N1285" s="17" t="n"/>
      <c r="O1285" s="26">
        <f>IF($D1285="","",IFERROR(VLOOKUP($D1285,物料档案!$A$4:$P$1203,10,0),0))</f>
        <v/>
      </c>
      <c r="P1285" s="32" t="n"/>
      <c r="Q1285" s="26">
        <f>IF($D1285="","",IF($K1285&lt;&gt;"对外销售",0,ROUND(N($J1285)*IF($P1285="",N($O1285),N($P1285)),0)))</f>
        <v/>
      </c>
      <c r="R1285" s="26">
        <f>IF($D1285="","",IFERROR(VLOOKUP($D1285,库存台账!$A$5:$Y$1204,11,0),0))</f>
        <v/>
      </c>
      <c r="S1285" s="26">
        <f>IF($D1285="","",ROUND(N($J1285)*N($R1285),0))</f>
        <v/>
      </c>
      <c r="T1285" s="26">
        <f>IF($D1285="","",IF($K1285&lt;&gt;"对外销售","",ROUND($Q1285-$S1285,0)))</f>
        <v/>
      </c>
      <c r="U1285" s="17" t="n"/>
      <c r="V1285" s="17" t="n"/>
      <c r="W1285" s="24">
        <f>IF($D1285="","",IF($E1285="※编码不在物料档案里","※物料编码不在档案里",IF(N($J1285)&lt;=0,"※出库数量要大于 0",IF($K1285="","※没填去向类型",IF($L1285="","※没填去向矿区",IF(AND($C1285&lt;&gt;"",$C1285&lt;=结账锁),"※日期早于已结账截止日，不能再录",IF(AND($K1285="自用消耗",COUNTIF({"一矿区";"二矿区"},$L1285)=0),"※自用消耗的去向只能是一矿区或二矿区",IF(AND($K1285="对外销售",COUNTIF({"三矿区";"六矿区"},$L1285)=0),"※对外销售的去向只能是三矿区或六矿区",IF(AND($K1285="对外销售",ROUND($Q1285,0)=0),"※外销却没有售价，请填实际售价",IF(AND($K1285="对外销售",$T1285&lt;&gt;"",$T1285&lt;0),"※这一笔外销是亏的，请核对售价",IF(IFERROR(VLOOKUP($D1285,库存台账!$A$5:$Y$1204,24,0),0)&lt;-0.001,"※这个物料账面已经变成负数了，查一下是不是漏记入库","")))))))))))</f>
        <v/>
      </c>
    </row>
    <row r="1286">
      <c r="A1286" s="24">
        <f>IF($D1286="","",COUNTA($D$4:$D1286))</f>
        <v/>
      </c>
      <c r="B1286" s="17" t="n"/>
      <c r="C1286" s="30" t="n"/>
      <c r="D1286" s="17" t="n"/>
      <c r="E1286" s="24">
        <f>IF($D1286="","",IFERROR(VLOOKUP($D1286,物料档案!$A$4:$P$1203,3,0),"※编码不在物料档案里"))</f>
        <v/>
      </c>
      <c r="F1286" s="24">
        <f>IF($D1286="","",IFERROR(VLOOKUP($D1286,物料档案!$A$4:$P$1203,4,0),"※编码不在物料档案里"))</f>
        <v/>
      </c>
      <c r="G1286" s="24">
        <f>IF($D1286="","",IFERROR(VLOOKUP($D1286,物料档案!$A$4:$P$1203,5,0),"※编码不在物料档案里"))</f>
        <v/>
      </c>
      <c r="H1286" s="24">
        <f>IF($D1286="","",IFERROR(VLOOKUP($D1286,物料档案!$A$4:$P$1203,2,0),"※编码不在物料档案里"))</f>
        <v/>
      </c>
      <c r="I1286" s="24">
        <f>IF($D1286="","",IFERROR(VLOOKUP($D1286,物料档案!$A$4:$P$1203,6,0),"※编码不在物料档案里"))</f>
        <v/>
      </c>
      <c r="J1286" s="23" t="n"/>
      <c r="K1286" s="17" t="n"/>
      <c r="L1286" s="17" t="n"/>
      <c r="M1286" s="17" t="n"/>
      <c r="N1286" s="17" t="n"/>
      <c r="O1286" s="26">
        <f>IF($D1286="","",IFERROR(VLOOKUP($D1286,物料档案!$A$4:$P$1203,10,0),0))</f>
        <v/>
      </c>
      <c r="P1286" s="32" t="n"/>
      <c r="Q1286" s="26">
        <f>IF($D1286="","",IF($K1286&lt;&gt;"对外销售",0,ROUND(N($J1286)*IF($P1286="",N($O1286),N($P1286)),0)))</f>
        <v/>
      </c>
      <c r="R1286" s="26">
        <f>IF($D1286="","",IFERROR(VLOOKUP($D1286,库存台账!$A$5:$Y$1204,11,0),0))</f>
        <v/>
      </c>
      <c r="S1286" s="26">
        <f>IF($D1286="","",ROUND(N($J1286)*N($R1286),0))</f>
        <v/>
      </c>
      <c r="T1286" s="26">
        <f>IF($D1286="","",IF($K1286&lt;&gt;"对外销售","",ROUND($Q1286-$S1286,0)))</f>
        <v/>
      </c>
      <c r="U1286" s="17" t="n"/>
      <c r="V1286" s="17" t="n"/>
      <c r="W1286" s="24">
        <f>IF($D1286="","",IF($E1286="※编码不在物料档案里","※物料编码不在档案里",IF(N($J1286)&lt;=0,"※出库数量要大于 0",IF($K1286="","※没填去向类型",IF($L1286="","※没填去向矿区",IF(AND($C1286&lt;&gt;"",$C1286&lt;=结账锁),"※日期早于已结账截止日，不能再录",IF(AND($K1286="自用消耗",COUNTIF({"一矿区";"二矿区"},$L1286)=0),"※自用消耗的去向只能是一矿区或二矿区",IF(AND($K1286="对外销售",COUNTIF({"三矿区";"六矿区"},$L1286)=0),"※对外销售的去向只能是三矿区或六矿区",IF(AND($K1286="对外销售",ROUND($Q1286,0)=0),"※外销却没有售价，请填实际售价",IF(AND($K1286="对外销售",$T1286&lt;&gt;"",$T1286&lt;0),"※这一笔外销是亏的，请核对售价",IF(IFERROR(VLOOKUP($D1286,库存台账!$A$5:$Y$1204,24,0),0)&lt;-0.001,"※这个物料账面已经变成负数了，查一下是不是漏记入库","")))))))))))</f>
        <v/>
      </c>
    </row>
    <row r="1287">
      <c r="A1287" s="24">
        <f>IF($D1287="","",COUNTA($D$4:$D1287))</f>
        <v/>
      </c>
      <c r="B1287" s="17" t="n"/>
      <c r="C1287" s="30" t="n"/>
      <c r="D1287" s="17" t="n"/>
      <c r="E1287" s="24">
        <f>IF($D1287="","",IFERROR(VLOOKUP($D1287,物料档案!$A$4:$P$1203,3,0),"※编码不在物料档案里"))</f>
        <v/>
      </c>
      <c r="F1287" s="24">
        <f>IF($D1287="","",IFERROR(VLOOKUP($D1287,物料档案!$A$4:$P$1203,4,0),"※编码不在物料档案里"))</f>
        <v/>
      </c>
      <c r="G1287" s="24">
        <f>IF($D1287="","",IFERROR(VLOOKUP($D1287,物料档案!$A$4:$P$1203,5,0),"※编码不在物料档案里"))</f>
        <v/>
      </c>
      <c r="H1287" s="24">
        <f>IF($D1287="","",IFERROR(VLOOKUP($D1287,物料档案!$A$4:$P$1203,2,0),"※编码不在物料档案里"))</f>
        <v/>
      </c>
      <c r="I1287" s="24">
        <f>IF($D1287="","",IFERROR(VLOOKUP($D1287,物料档案!$A$4:$P$1203,6,0),"※编码不在物料档案里"))</f>
        <v/>
      </c>
      <c r="J1287" s="23" t="n"/>
      <c r="K1287" s="17" t="n"/>
      <c r="L1287" s="17" t="n"/>
      <c r="M1287" s="17" t="n"/>
      <c r="N1287" s="17" t="n"/>
      <c r="O1287" s="26">
        <f>IF($D1287="","",IFERROR(VLOOKUP($D1287,物料档案!$A$4:$P$1203,10,0),0))</f>
        <v/>
      </c>
      <c r="P1287" s="32" t="n"/>
      <c r="Q1287" s="26">
        <f>IF($D1287="","",IF($K1287&lt;&gt;"对外销售",0,ROUND(N($J1287)*IF($P1287="",N($O1287),N($P1287)),0)))</f>
        <v/>
      </c>
      <c r="R1287" s="26">
        <f>IF($D1287="","",IFERROR(VLOOKUP($D1287,库存台账!$A$5:$Y$1204,11,0),0))</f>
        <v/>
      </c>
      <c r="S1287" s="26">
        <f>IF($D1287="","",ROUND(N($J1287)*N($R1287),0))</f>
        <v/>
      </c>
      <c r="T1287" s="26">
        <f>IF($D1287="","",IF($K1287&lt;&gt;"对外销售","",ROUND($Q1287-$S1287,0)))</f>
        <v/>
      </c>
      <c r="U1287" s="17" t="n"/>
      <c r="V1287" s="17" t="n"/>
      <c r="W1287" s="24">
        <f>IF($D1287="","",IF($E1287="※编码不在物料档案里","※物料编码不在档案里",IF(N($J1287)&lt;=0,"※出库数量要大于 0",IF($K1287="","※没填去向类型",IF($L1287="","※没填去向矿区",IF(AND($C1287&lt;&gt;"",$C1287&lt;=结账锁),"※日期早于已结账截止日，不能再录",IF(AND($K1287="自用消耗",COUNTIF({"一矿区";"二矿区"},$L1287)=0),"※自用消耗的去向只能是一矿区或二矿区",IF(AND($K1287="对外销售",COUNTIF({"三矿区";"六矿区"},$L1287)=0),"※对外销售的去向只能是三矿区或六矿区",IF(AND($K1287="对外销售",ROUND($Q1287,0)=0),"※外销却没有售价，请填实际售价",IF(AND($K1287="对外销售",$T1287&lt;&gt;"",$T1287&lt;0),"※这一笔外销是亏的，请核对售价",IF(IFERROR(VLOOKUP($D1287,库存台账!$A$5:$Y$1204,24,0),0)&lt;-0.001,"※这个物料账面已经变成负数了，查一下是不是漏记入库","")))))))))))</f>
        <v/>
      </c>
    </row>
    <row r="1288">
      <c r="A1288" s="24">
        <f>IF($D1288="","",COUNTA($D$4:$D1288))</f>
        <v/>
      </c>
      <c r="B1288" s="17" t="n"/>
      <c r="C1288" s="30" t="n"/>
      <c r="D1288" s="17" t="n"/>
      <c r="E1288" s="24">
        <f>IF($D1288="","",IFERROR(VLOOKUP($D1288,物料档案!$A$4:$P$1203,3,0),"※编码不在物料档案里"))</f>
        <v/>
      </c>
      <c r="F1288" s="24">
        <f>IF($D1288="","",IFERROR(VLOOKUP($D1288,物料档案!$A$4:$P$1203,4,0),"※编码不在物料档案里"))</f>
        <v/>
      </c>
      <c r="G1288" s="24">
        <f>IF($D1288="","",IFERROR(VLOOKUP($D1288,物料档案!$A$4:$P$1203,5,0),"※编码不在物料档案里"))</f>
        <v/>
      </c>
      <c r="H1288" s="24">
        <f>IF($D1288="","",IFERROR(VLOOKUP($D1288,物料档案!$A$4:$P$1203,2,0),"※编码不在物料档案里"))</f>
        <v/>
      </c>
      <c r="I1288" s="24">
        <f>IF($D1288="","",IFERROR(VLOOKUP($D1288,物料档案!$A$4:$P$1203,6,0),"※编码不在物料档案里"))</f>
        <v/>
      </c>
      <c r="J1288" s="23" t="n"/>
      <c r="K1288" s="17" t="n"/>
      <c r="L1288" s="17" t="n"/>
      <c r="M1288" s="17" t="n"/>
      <c r="N1288" s="17" t="n"/>
      <c r="O1288" s="26">
        <f>IF($D1288="","",IFERROR(VLOOKUP($D1288,物料档案!$A$4:$P$1203,10,0),0))</f>
        <v/>
      </c>
      <c r="P1288" s="32" t="n"/>
      <c r="Q1288" s="26">
        <f>IF($D1288="","",IF($K1288&lt;&gt;"对外销售",0,ROUND(N($J1288)*IF($P1288="",N($O1288),N($P1288)),0)))</f>
        <v/>
      </c>
      <c r="R1288" s="26">
        <f>IF($D1288="","",IFERROR(VLOOKUP($D1288,库存台账!$A$5:$Y$1204,11,0),0))</f>
        <v/>
      </c>
      <c r="S1288" s="26">
        <f>IF($D1288="","",ROUND(N($J1288)*N($R1288),0))</f>
        <v/>
      </c>
      <c r="T1288" s="26">
        <f>IF($D1288="","",IF($K1288&lt;&gt;"对外销售","",ROUND($Q1288-$S1288,0)))</f>
        <v/>
      </c>
      <c r="U1288" s="17" t="n"/>
      <c r="V1288" s="17" t="n"/>
      <c r="W1288" s="24">
        <f>IF($D1288="","",IF($E1288="※编码不在物料档案里","※物料编码不在档案里",IF(N($J1288)&lt;=0,"※出库数量要大于 0",IF($K1288="","※没填去向类型",IF($L1288="","※没填去向矿区",IF(AND($C1288&lt;&gt;"",$C1288&lt;=结账锁),"※日期早于已结账截止日，不能再录",IF(AND($K1288="自用消耗",COUNTIF({"一矿区";"二矿区"},$L1288)=0),"※自用消耗的去向只能是一矿区或二矿区",IF(AND($K1288="对外销售",COUNTIF({"三矿区";"六矿区"},$L1288)=0),"※对外销售的去向只能是三矿区或六矿区",IF(AND($K1288="对外销售",ROUND($Q1288,0)=0),"※外销却没有售价，请填实际售价",IF(AND($K1288="对外销售",$T1288&lt;&gt;"",$T1288&lt;0),"※这一笔外销是亏的，请核对售价",IF(IFERROR(VLOOKUP($D1288,库存台账!$A$5:$Y$1204,24,0),0)&lt;-0.001,"※这个物料账面已经变成负数了，查一下是不是漏记入库","")))))))))))</f>
        <v/>
      </c>
    </row>
    <row r="1289">
      <c r="A1289" s="24">
        <f>IF($D1289="","",COUNTA($D$4:$D1289))</f>
        <v/>
      </c>
      <c r="B1289" s="17" t="n"/>
      <c r="C1289" s="30" t="n"/>
      <c r="D1289" s="17" t="n"/>
      <c r="E1289" s="24">
        <f>IF($D1289="","",IFERROR(VLOOKUP($D1289,物料档案!$A$4:$P$1203,3,0),"※编码不在物料档案里"))</f>
        <v/>
      </c>
      <c r="F1289" s="24">
        <f>IF($D1289="","",IFERROR(VLOOKUP($D1289,物料档案!$A$4:$P$1203,4,0),"※编码不在物料档案里"))</f>
        <v/>
      </c>
      <c r="G1289" s="24">
        <f>IF($D1289="","",IFERROR(VLOOKUP($D1289,物料档案!$A$4:$P$1203,5,0),"※编码不在物料档案里"))</f>
        <v/>
      </c>
      <c r="H1289" s="24">
        <f>IF($D1289="","",IFERROR(VLOOKUP($D1289,物料档案!$A$4:$P$1203,2,0),"※编码不在物料档案里"))</f>
        <v/>
      </c>
      <c r="I1289" s="24">
        <f>IF($D1289="","",IFERROR(VLOOKUP($D1289,物料档案!$A$4:$P$1203,6,0),"※编码不在物料档案里"))</f>
        <v/>
      </c>
      <c r="J1289" s="23" t="n"/>
      <c r="K1289" s="17" t="n"/>
      <c r="L1289" s="17" t="n"/>
      <c r="M1289" s="17" t="n"/>
      <c r="N1289" s="17" t="n"/>
      <c r="O1289" s="26">
        <f>IF($D1289="","",IFERROR(VLOOKUP($D1289,物料档案!$A$4:$P$1203,10,0),0))</f>
        <v/>
      </c>
      <c r="P1289" s="32" t="n"/>
      <c r="Q1289" s="26">
        <f>IF($D1289="","",IF($K1289&lt;&gt;"对外销售",0,ROUND(N($J1289)*IF($P1289="",N($O1289),N($P1289)),0)))</f>
        <v/>
      </c>
      <c r="R1289" s="26">
        <f>IF($D1289="","",IFERROR(VLOOKUP($D1289,库存台账!$A$5:$Y$1204,11,0),0))</f>
        <v/>
      </c>
      <c r="S1289" s="26">
        <f>IF($D1289="","",ROUND(N($J1289)*N($R1289),0))</f>
        <v/>
      </c>
      <c r="T1289" s="26">
        <f>IF($D1289="","",IF($K1289&lt;&gt;"对外销售","",ROUND($Q1289-$S1289,0)))</f>
        <v/>
      </c>
      <c r="U1289" s="17" t="n"/>
      <c r="V1289" s="17" t="n"/>
      <c r="W1289" s="24">
        <f>IF($D1289="","",IF($E1289="※编码不在物料档案里","※物料编码不在档案里",IF(N($J1289)&lt;=0,"※出库数量要大于 0",IF($K1289="","※没填去向类型",IF($L1289="","※没填去向矿区",IF(AND($C1289&lt;&gt;"",$C1289&lt;=结账锁),"※日期早于已结账截止日，不能再录",IF(AND($K1289="自用消耗",COUNTIF({"一矿区";"二矿区"},$L1289)=0),"※自用消耗的去向只能是一矿区或二矿区",IF(AND($K1289="对外销售",COUNTIF({"三矿区";"六矿区"},$L1289)=0),"※对外销售的去向只能是三矿区或六矿区",IF(AND($K1289="对外销售",ROUND($Q1289,0)=0),"※外销却没有售价，请填实际售价",IF(AND($K1289="对外销售",$T1289&lt;&gt;"",$T1289&lt;0),"※这一笔外销是亏的，请核对售价",IF(IFERROR(VLOOKUP($D1289,库存台账!$A$5:$Y$1204,24,0),0)&lt;-0.001,"※这个物料账面已经变成负数了，查一下是不是漏记入库","")))))))))))</f>
        <v/>
      </c>
    </row>
    <row r="1290">
      <c r="A1290" s="24">
        <f>IF($D1290="","",COUNTA($D$4:$D1290))</f>
        <v/>
      </c>
      <c r="B1290" s="17" t="n"/>
      <c r="C1290" s="30" t="n"/>
      <c r="D1290" s="17" t="n"/>
      <c r="E1290" s="24">
        <f>IF($D1290="","",IFERROR(VLOOKUP($D1290,物料档案!$A$4:$P$1203,3,0),"※编码不在物料档案里"))</f>
        <v/>
      </c>
      <c r="F1290" s="24">
        <f>IF($D1290="","",IFERROR(VLOOKUP($D1290,物料档案!$A$4:$P$1203,4,0),"※编码不在物料档案里"))</f>
        <v/>
      </c>
      <c r="G1290" s="24">
        <f>IF($D1290="","",IFERROR(VLOOKUP($D1290,物料档案!$A$4:$P$1203,5,0),"※编码不在物料档案里"))</f>
        <v/>
      </c>
      <c r="H1290" s="24">
        <f>IF($D1290="","",IFERROR(VLOOKUP($D1290,物料档案!$A$4:$P$1203,2,0),"※编码不在物料档案里"))</f>
        <v/>
      </c>
      <c r="I1290" s="24">
        <f>IF($D1290="","",IFERROR(VLOOKUP($D1290,物料档案!$A$4:$P$1203,6,0),"※编码不在物料档案里"))</f>
        <v/>
      </c>
      <c r="J1290" s="23" t="n"/>
      <c r="K1290" s="17" t="n"/>
      <c r="L1290" s="17" t="n"/>
      <c r="M1290" s="17" t="n"/>
      <c r="N1290" s="17" t="n"/>
      <c r="O1290" s="26">
        <f>IF($D1290="","",IFERROR(VLOOKUP($D1290,物料档案!$A$4:$P$1203,10,0),0))</f>
        <v/>
      </c>
      <c r="P1290" s="32" t="n"/>
      <c r="Q1290" s="26">
        <f>IF($D1290="","",IF($K1290&lt;&gt;"对外销售",0,ROUND(N($J1290)*IF($P1290="",N($O1290),N($P1290)),0)))</f>
        <v/>
      </c>
      <c r="R1290" s="26">
        <f>IF($D1290="","",IFERROR(VLOOKUP($D1290,库存台账!$A$5:$Y$1204,11,0),0))</f>
        <v/>
      </c>
      <c r="S1290" s="26">
        <f>IF($D1290="","",ROUND(N($J1290)*N($R1290),0))</f>
        <v/>
      </c>
      <c r="T1290" s="26">
        <f>IF($D1290="","",IF($K1290&lt;&gt;"对外销售","",ROUND($Q1290-$S1290,0)))</f>
        <v/>
      </c>
      <c r="U1290" s="17" t="n"/>
      <c r="V1290" s="17" t="n"/>
      <c r="W1290" s="24">
        <f>IF($D1290="","",IF($E1290="※编码不在物料档案里","※物料编码不在档案里",IF(N($J1290)&lt;=0,"※出库数量要大于 0",IF($K1290="","※没填去向类型",IF($L1290="","※没填去向矿区",IF(AND($C1290&lt;&gt;"",$C1290&lt;=结账锁),"※日期早于已结账截止日，不能再录",IF(AND($K1290="自用消耗",COUNTIF({"一矿区";"二矿区"},$L1290)=0),"※自用消耗的去向只能是一矿区或二矿区",IF(AND($K1290="对外销售",COUNTIF({"三矿区";"六矿区"},$L1290)=0),"※对外销售的去向只能是三矿区或六矿区",IF(AND($K1290="对外销售",ROUND($Q1290,0)=0),"※外销却没有售价，请填实际售价",IF(AND($K1290="对外销售",$T1290&lt;&gt;"",$T1290&lt;0),"※这一笔外销是亏的，请核对售价",IF(IFERROR(VLOOKUP($D1290,库存台账!$A$5:$Y$1204,24,0),0)&lt;-0.001,"※这个物料账面已经变成负数了，查一下是不是漏记入库","")))))))))))</f>
        <v/>
      </c>
    </row>
    <row r="1291">
      <c r="A1291" s="24">
        <f>IF($D1291="","",COUNTA($D$4:$D1291))</f>
        <v/>
      </c>
      <c r="B1291" s="17" t="n"/>
      <c r="C1291" s="30" t="n"/>
      <c r="D1291" s="17" t="n"/>
      <c r="E1291" s="24">
        <f>IF($D1291="","",IFERROR(VLOOKUP($D1291,物料档案!$A$4:$P$1203,3,0),"※编码不在物料档案里"))</f>
        <v/>
      </c>
      <c r="F1291" s="24">
        <f>IF($D1291="","",IFERROR(VLOOKUP($D1291,物料档案!$A$4:$P$1203,4,0),"※编码不在物料档案里"))</f>
        <v/>
      </c>
      <c r="G1291" s="24">
        <f>IF($D1291="","",IFERROR(VLOOKUP($D1291,物料档案!$A$4:$P$1203,5,0),"※编码不在物料档案里"))</f>
        <v/>
      </c>
      <c r="H1291" s="24">
        <f>IF($D1291="","",IFERROR(VLOOKUP($D1291,物料档案!$A$4:$P$1203,2,0),"※编码不在物料档案里"))</f>
        <v/>
      </c>
      <c r="I1291" s="24">
        <f>IF($D1291="","",IFERROR(VLOOKUP($D1291,物料档案!$A$4:$P$1203,6,0),"※编码不在物料档案里"))</f>
        <v/>
      </c>
      <c r="J1291" s="23" t="n"/>
      <c r="K1291" s="17" t="n"/>
      <c r="L1291" s="17" t="n"/>
      <c r="M1291" s="17" t="n"/>
      <c r="N1291" s="17" t="n"/>
      <c r="O1291" s="26">
        <f>IF($D1291="","",IFERROR(VLOOKUP($D1291,物料档案!$A$4:$P$1203,10,0),0))</f>
        <v/>
      </c>
      <c r="P1291" s="32" t="n"/>
      <c r="Q1291" s="26">
        <f>IF($D1291="","",IF($K1291&lt;&gt;"对外销售",0,ROUND(N($J1291)*IF($P1291="",N($O1291),N($P1291)),0)))</f>
        <v/>
      </c>
      <c r="R1291" s="26">
        <f>IF($D1291="","",IFERROR(VLOOKUP($D1291,库存台账!$A$5:$Y$1204,11,0),0))</f>
        <v/>
      </c>
      <c r="S1291" s="26">
        <f>IF($D1291="","",ROUND(N($J1291)*N($R1291),0))</f>
        <v/>
      </c>
      <c r="T1291" s="26">
        <f>IF($D1291="","",IF($K1291&lt;&gt;"对外销售","",ROUND($Q1291-$S1291,0)))</f>
        <v/>
      </c>
      <c r="U1291" s="17" t="n"/>
      <c r="V1291" s="17" t="n"/>
      <c r="W1291" s="24">
        <f>IF($D1291="","",IF($E1291="※编码不在物料档案里","※物料编码不在档案里",IF(N($J1291)&lt;=0,"※出库数量要大于 0",IF($K1291="","※没填去向类型",IF($L1291="","※没填去向矿区",IF(AND($C1291&lt;&gt;"",$C1291&lt;=结账锁),"※日期早于已结账截止日，不能再录",IF(AND($K1291="自用消耗",COUNTIF({"一矿区";"二矿区"},$L1291)=0),"※自用消耗的去向只能是一矿区或二矿区",IF(AND($K1291="对外销售",COUNTIF({"三矿区";"六矿区"},$L1291)=0),"※对外销售的去向只能是三矿区或六矿区",IF(AND($K1291="对外销售",ROUND($Q1291,0)=0),"※外销却没有售价，请填实际售价",IF(AND($K1291="对外销售",$T1291&lt;&gt;"",$T1291&lt;0),"※这一笔外销是亏的，请核对售价",IF(IFERROR(VLOOKUP($D1291,库存台账!$A$5:$Y$1204,24,0),0)&lt;-0.001,"※这个物料账面已经变成负数了，查一下是不是漏记入库","")))))))))))</f>
        <v/>
      </c>
    </row>
    <row r="1292">
      <c r="A1292" s="24">
        <f>IF($D1292="","",COUNTA($D$4:$D1292))</f>
        <v/>
      </c>
      <c r="B1292" s="17" t="n"/>
      <c r="C1292" s="30" t="n"/>
      <c r="D1292" s="17" t="n"/>
      <c r="E1292" s="24">
        <f>IF($D1292="","",IFERROR(VLOOKUP($D1292,物料档案!$A$4:$P$1203,3,0),"※编码不在物料档案里"))</f>
        <v/>
      </c>
      <c r="F1292" s="24">
        <f>IF($D1292="","",IFERROR(VLOOKUP($D1292,物料档案!$A$4:$P$1203,4,0),"※编码不在物料档案里"))</f>
        <v/>
      </c>
      <c r="G1292" s="24">
        <f>IF($D1292="","",IFERROR(VLOOKUP($D1292,物料档案!$A$4:$P$1203,5,0),"※编码不在物料档案里"))</f>
        <v/>
      </c>
      <c r="H1292" s="24">
        <f>IF($D1292="","",IFERROR(VLOOKUP($D1292,物料档案!$A$4:$P$1203,2,0),"※编码不在物料档案里"))</f>
        <v/>
      </c>
      <c r="I1292" s="24">
        <f>IF($D1292="","",IFERROR(VLOOKUP($D1292,物料档案!$A$4:$P$1203,6,0),"※编码不在物料档案里"))</f>
        <v/>
      </c>
      <c r="J1292" s="23" t="n"/>
      <c r="K1292" s="17" t="n"/>
      <c r="L1292" s="17" t="n"/>
      <c r="M1292" s="17" t="n"/>
      <c r="N1292" s="17" t="n"/>
      <c r="O1292" s="26">
        <f>IF($D1292="","",IFERROR(VLOOKUP($D1292,物料档案!$A$4:$P$1203,10,0),0))</f>
        <v/>
      </c>
      <c r="P1292" s="32" t="n"/>
      <c r="Q1292" s="26">
        <f>IF($D1292="","",IF($K1292&lt;&gt;"对外销售",0,ROUND(N($J1292)*IF($P1292="",N($O1292),N($P1292)),0)))</f>
        <v/>
      </c>
      <c r="R1292" s="26">
        <f>IF($D1292="","",IFERROR(VLOOKUP($D1292,库存台账!$A$5:$Y$1204,11,0),0))</f>
        <v/>
      </c>
      <c r="S1292" s="26">
        <f>IF($D1292="","",ROUND(N($J1292)*N($R1292),0))</f>
        <v/>
      </c>
      <c r="T1292" s="26">
        <f>IF($D1292="","",IF($K1292&lt;&gt;"对外销售","",ROUND($Q1292-$S1292,0)))</f>
        <v/>
      </c>
      <c r="U1292" s="17" t="n"/>
      <c r="V1292" s="17" t="n"/>
      <c r="W1292" s="24">
        <f>IF($D1292="","",IF($E1292="※编码不在物料档案里","※物料编码不在档案里",IF(N($J1292)&lt;=0,"※出库数量要大于 0",IF($K1292="","※没填去向类型",IF($L1292="","※没填去向矿区",IF(AND($C1292&lt;&gt;"",$C1292&lt;=结账锁),"※日期早于已结账截止日，不能再录",IF(AND($K1292="自用消耗",COUNTIF({"一矿区";"二矿区"},$L1292)=0),"※自用消耗的去向只能是一矿区或二矿区",IF(AND($K1292="对外销售",COUNTIF({"三矿区";"六矿区"},$L1292)=0),"※对外销售的去向只能是三矿区或六矿区",IF(AND($K1292="对外销售",ROUND($Q1292,0)=0),"※外销却没有售价，请填实际售价",IF(AND($K1292="对外销售",$T1292&lt;&gt;"",$T1292&lt;0),"※这一笔外销是亏的，请核对售价",IF(IFERROR(VLOOKUP($D1292,库存台账!$A$5:$Y$1204,24,0),0)&lt;-0.001,"※这个物料账面已经变成负数了，查一下是不是漏记入库","")))))))))))</f>
        <v/>
      </c>
    </row>
    <row r="1293">
      <c r="A1293" s="24">
        <f>IF($D1293="","",COUNTA($D$4:$D1293))</f>
        <v/>
      </c>
      <c r="B1293" s="17" t="n"/>
      <c r="C1293" s="30" t="n"/>
      <c r="D1293" s="17" t="n"/>
      <c r="E1293" s="24">
        <f>IF($D1293="","",IFERROR(VLOOKUP($D1293,物料档案!$A$4:$P$1203,3,0),"※编码不在物料档案里"))</f>
        <v/>
      </c>
      <c r="F1293" s="24">
        <f>IF($D1293="","",IFERROR(VLOOKUP($D1293,物料档案!$A$4:$P$1203,4,0),"※编码不在物料档案里"))</f>
        <v/>
      </c>
      <c r="G1293" s="24">
        <f>IF($D1293="","",IFERROR(VLOOKUP($D1293,物料档案!$A$4:$P$1203,5,0),"※编码不在物料档案里"))</f>
        <v/>
      </c>
      <c r="H1293" s="24">
        <f>IF($D1293="","",IFERROR(VLOOKUP($D1293,物料档案!$A$4:$P$1203,2,0),"※编码不在物料档案里"))</f>
        <v/>
      </c>
      <c r="I1293" s="24">
        <f>IF($D1293="","",IFERROR(VLOOKUP($D1293,物料档案!$A$4:$P$1203,6,0),"※编码不在物料档案里"))</f>
        <v/>
      </c>
      <c r="J1293" s="23" t="n"/>
      <c r="K1293" s="17" t="n"/>
      <c r="L1293" s="17" t="n"/>
      <c r="M1293" s="17" t="n"/>
      <c r="N1293" s="17" t="n"/>
      <c r="O1293" s="26">
        <f>IF($D1293="","",IFERROR(VLOOKUP($D1293,物料档案!$A$4:$P$1203,10,0),0))</f>
        <v/>
      </c>
      <c r="P1293" s="32" t="n"/>
      <c r="Q1293" s="26">
        <f>IF($D1293="","",IF($K1293&lt;&gt;"对外销售",0,ROUND(N($J1293)*IF($P1293="",N($O1293),N($P1293)),0)))</f>
        <v/>
      </c>
      <c r="R1293" s="26">
        <f>IF($D1293="","",IFERROR(VLOOKUP($D1293,库存台账!$A$5:$Y$1204,11,0),0))</f>
        <v/>
      </c>
      <c r="S1293" s="26">
        <f>IF($D1293="","",ROUND(N($J1293)*N($R1293),0))</f>
        <v/>
      </c>
      <c r="T1293" s="26">
        <f>IF($D1293="","",IF($K1293&lt;&gt;"对外销售","",ROUND($Q1293-$S1293,0)))</f>
        <v/>
      </c>
      <c r="U1293" s="17" t="n"/>
      <c r="V1293" s="17" t="n"/>
      <c r="W1293" s="24">
        <f>IF($D1293="","",IF($E1293="※编码不在物料档案里","※物料编码不在档案里",IF(N($J1293)&lt;=0,"※出库数量要大于 0",IF($K1293="","※没填去向类型",IF($L1293="","※没填去向矿区",IF(AND($C1293&lt;&gt;"",$C1293&lt;=结账锁),"※日期早于已结账截止日，不能再录",IF(AND($K1293="自用消耗",COUNTIF({"一矿区";"二矿区"},$L1293)=0),"※自用消耗的去向只能是一矿区或二矿区",IF(AND($K1293="对外销售",COUNTIF({"三矿区";"六矿区"},$L1293)=0),"※对外销售的去向只能是三矿区或六矿区",IF(AND($K1293="对外销售",ROUND($Q1293,0)=0),"※外销却没有售价，请填实际售价",IF(AND($K1293="对外销售",$T1293&lt;&gt;"",$T1293&lt;0),"※这一笔外销是亏的，请核对售价",IF(IFERROR(VLOOKUP($D1293,库存台账!$A$5:$Y$1204,24,0),0)&lt;-0.001,"※这个物料账面已经变成负数了，查一下是不是漏记入库","")))))))))))</f>
        <v/>
      </c>
    </row>
    <row r="1294">
      <c r="A1294" s="24">
        <f>IF($D1294="","",COUNTA($D$4:$D1294))</f>
        <v/>
      </c>
      <c r="B1294" s="17" t="n"/>
      <c r="C1294" s="30" t="n"/>
      <c r="D1294" s="17" t="n"/>
      <c r="E1294" s="24">
        <f>IF($D1294="","",IFERROR(VLOOKUP($D1294,物料档案!$A$4:$P$1203,3,0),"※编码不在物料档案里"))</f>
        <v/>
      </c>
      <c r="F1294" s="24">
        <f>IF($D1294="","",IFERROR(VLOOKUP($D1294,物料档案!$A$4:$P$1203,4,0),"※编码不在物料档案里"))</f>
        <v/>
      </c>
      <c r="G1294" s="24">
        <f>IF($D1294="","",IFERROR(VLOOKUP($D1294,物料档案!$A$4:$P$1203,5,0),"※编码不在物料档案里"))</f>
        <v/>
      </c>
      <c r="H1294" s="24">
        <f>IF($D1294="","",IFERROR(VLOOKUP($D1294,物料档案!$A$4:$P$1203,2,0),"※编码不在物料档案里"))</f>
        <v/>
      </c>
      <c r="I1294" s="24">
        <f>IF($D1294="","",IFERROR(VLOOKUP($D1294,物料档案!$A$4:$P$1203,6,0),"※编码不在物料档案里"))</f>
        <v/>
      </c>
      <c r="J1294" s="23" t="n"/>
      <c r="K1294" s="17" t="n"/>
      <c r="L1294" s="17" t="n"/>
      <c r="M1294" s="17" t="n"/>
      <c r="N1294" s="17" t="n"/>
      <c r="O1294" s="26">
        <f>IF($D1294="","",IFERROR(VLOOKUP($D1294,物料档案!$A$4:$P$1203,10,0),0))</f>
        <v/>
      </c>
      <c r="P1294" s="32" t="n"/>
      <c r="Q1294" s="26">
        <f>IF($D1294="","",IF($K1294&lt;&gt;"对外销售",0,ROUND(N($J1294)*IF($P1294="",N($O1294),N($P1294)),0)))</f>
        <v/>
      </c>
      <c r="R1294" s="26">
        <f>IF($D1294="","",IFERROR(VLOOKUP($D1294,库存台账!$A$5:$Y$1204,11,0),0))</f>
        <v/>
      </c>
      <c r="S1294" s="26">
        <f>IF($D1294="","",ROUND(N($J1294)*N($R1294),0))</f>
        <v/>
      </c>
      <c r="T1294" s="26">
        <f>IF($D1294="","",IF($K1294&lt;&gt;"对外销售","",ROUND($Q1294-$S1294,0)))</f>
        <v/>
      </c>
      <c r="U1294" s="17" t="n"/>
      <c r="V1294" s="17" t="n"/>
      <c r="W1294" s="24">
        <f>IF($D1294="","",IF($E1294="※编码不在物料档案里","※物料编码不在档案里",IF(N($J1294)&lt;=0,"※出库数量要大于 0",IF($K1294="","※没填去向类型",IF($L1294="","※没填去向矿区",IF(AND($C1294&lt;&gt;"",$C1294&lt;=结账锁),"※日期早于已结账截止日，不能再录",IF(AND($K1294="自用消耗",COUNTIF({"一矿区";"二矿区"},$L1294)=0),"※自用消耗的去向只能是一矿区或二矿区",IF(AND($K1294="对外销售",COUNTIF({"三矿区";"六矿区"},$L1294)=0),"※对外销售的去向只能是三矿区或六矿区",IF(AND($K1294="对外销售",ROUND($Q1294,0)=0),"※外销却没有售价，请填实际售价",IF(AND($K1294="对外销售",$T1294&lt;&gt;"",$T1294&lt;0),"※这一笔外销是亏的，请核对售价",IF(IFERROR(VLOOKUP($D1294,库存台账!$A$5:$Y$1204,24,0),0)&lt;-0.001,"※这个物料账面已经变成负数了，查一下是不是漏记入库","")))))))))))</f>
        <v/>
      </c>
    </row>
    <row r="1295">
      <c r="A1295" s="24">
        <f>IF($D1295="","",COUNTA($D$4:$D1295))</f>
        <v/>
      </c>
      <c r="B1295" s="17" t="n"/>
      <c r="C1295" s="30" t="n"/>
      <c r="D1295" s="17" t="n"/>
      <c r="E1295" s="24">
        <f>IF($D1295="","",IFERROR(VLOOKUP($D1295,物料档案!$A$4:$P$1203,3,0),"※编码不在物料档案里"))</f>
        <v/>
      </c>
      <c r="F1295" s="24">
        <f>IF($D1295="","",IFERROR(VLOOKUP($D1295,物料档案!$A$4:$P$1203,4,0),"※编码不在物料档案里"))</f>
        <v/>
      </c>
      <c r="G1295" s="24">
        <f>IF($D1295="","",IFERROR(VLOOKUP($D1295,物料档案!$A$4:$P$1203,5,0),"※编码不在物料档案里"))</f>
        <v/>
      </c>
      <c r="H1295" s="24">
        <f>IF($D1295="","",IFERROR(VLOOKUP($D1295,物料档案!$A$4:$P$1203,2,0),"※编码不在物料档案里"))</f>
        <v/>
      </c>
      <c r="I1295" s="24">
        <f>IF($D1295="","",IFERROR(VLOOKUP($D1295,物料档案!$A$4:$P$1203,6,0),"※编码不在物料档案里"))</f>
        <v/>
      </c>
      <c r="J1295" s="23" t="n"/>
      <c r="K1295" s="17" t="n"/>
      <c r="L1295" s="17" t="n"/>
      <c r="M1295" s="17" t="n"/>
      <c r="N1295" s="17" t="n"/>
      <c r="O1295" s="26">
        <f>IF($D1295="","",IFERROR(VLOOKUP($D1295,物料档案!$A$4:$P$1203,10,0),0))</f>
        <v/>
      </c>
      <c r="P1295" s="32" t="n"/>
      <c r="Q1295" s="26">
        <f>IF($D1295="","",IF($K1295&lt;&gt;"对外销售",0,ROUND(N($J1295)*IF($P1295="",N($O1295),N($P1295)),0)))</f>
        <v/>
      </c>
      <c r="R1295" s="26">
        <f>IF($D1295="","",IFERROR(VLOOKUP($D1295,库存台账!$A$5:$Y$1204,11,0),0))</f>
        <v/>
      </c>
      <c r="S1295" s="26">
        <f>IF($D1295="","",ROUND(N($J1295)*N($R1295),0))</f>
        <v/>
      </c>
      <c r="T1295" s="26">
        <f>IF($D1295="","",IF($K1295&lt;&gt;"对外销售","",ROUND($Q1295-$S1295,0)))</f>
        <v/>
      </c>
      <c r="U1295" s="17" t="n"/>
      <c r="V1295" s="17" t="n"/>
      <c r="W1295" s="24">
        <f>IF($D1295="","",IF($E1295="※编码不在物料档案里","※物料编码不在档案里",IF(N($J1295)&lt;=0,"※出库数量要大于 0",IF($K1295="","※没填去向类型",IF($L1295="","※没填去向矿区",IF(AND($C1295&lt;&gt;"",$C1295&lt;=结账锁),"※日期早于已结账截止日，不能再录",IF(AND($K1295="自用消耗",COUNTIF({"一矿区";"二矿区"},$L1295)=0),"※自用消耗的去向只能是一矿区或二矿区",IF(AND($K1295="对外销售",COUNTIF({"三矿区";"六矿区"},$L1295)=0),"※对外销售的去向只能是三矿区或六矿区",IF(AND($K1295="对外销售",ROUND($Q1295,0)=0),"※外销却没有售价，请填实际售价",IF(AND($K1295="对外销售",$T1295&lt;&gt;"",$T1295&lt;0),"※这一笔外销是亏的，请核对售价",IF(IFERROR(VLOOKUP($D1295,库存台账!$A$5:$Y$1204,24,0),0)&lt;-0.001,"※这个物料账面已经变成负数了，查一下是不是漏记入库","")))))))))))</f>
        <v/>
      </c>
    </row>
    <row r="1296">
      <c r="A1296" s="24">
        <f>IF($D1296="","",COUNTA($D$4:$D1296))</f>
        <v/>
      </c>
      <c r="B1296" s="17" t="n"/>
      <c r="C1296" s="30" t="n"/>
      <c r="D1296" s="17" t="n"/>
      <c r="E1296" s="24">
        <f>IF($D1296="","",IFERROR(VLOOKUP($D1296,物料档案!$A$4:$P$1203,3,0),"※编码不在物料档案里"))</f>
        <v/>
      </c>
      <c r="F1296" s="24">
        <f>IF($D1296="","",IFERROR(VLOOKUP($D1296,物料档案!$A$4:$P$1203,4,0),"※编码不在物料档案里"))</f>
        <v/>
      </c>
      <c r="G1296" s="24">
        <f>IF($D1296="","",IFERROR(VLOOKUP($D1296,物料档案!$A$4:$P$1203,5,0),"※编码不在物料档案里"))</f>
        <v/>
      </c>
      <c r="H1296" s="24">
        <f>IF($D1296="","",IFERROR(VLOOKUP($D1296,物料档案!$A$4:$P$1203,2,0),"※编码不在物料档案里"))</f>
        <v/>
      </c>
      <c r="I1296" s="24">
        <f>IF($D1296="","",IFERROR(VLOOKUP($D1296,物料档案!$A$4:$P$1203,6,0),"※编码不在物料档案里"))</f>
        <v/>
      </c>
      <c r="J1296" s="23" t="n"/>
      <c r="K1296" s="17" t="n"/>
      <c r="L1296" s="17" t="n"/>
      <c r="M1296" s="17" t="n"/>
      <c r="N1296" s="17" t="n"/>
      <c r="O1296" s="26">
        <f>IF($D1296="","",IFERROR(VLOOKUP($D1296,物料档案!$A$4:$P$1203,10,0),0))</f>
        <v/>
      </c>
      <c r="P1296" s="32" t="n"/>
      <c r="Q1296" s="26">
        <f>IF($D1296="","",IF($K1296&lt;&gt;"对外销售",0,ROUND(N($J1296)*IF($P1296="",N($O1296),N($P1296)),0)))</f>
        <v/>
      </c>
      <c r="R1296" s="26">
        <f>IF($D1296="","",IFERROR(VLOOKUP($D1296,库存台账!$A$5:$Y$1204,11,0),0))</f>
        <v/>
      </c>
      <c r="S1296" s="26">
        <f>IF($D1296="","",ROUND(N($J1296)*N($R1296),0))</f>
        <v/>
      </c>
      <c r="T1296" s="26">
        <f>IF($D1296="","",IF($K1296&lt;&gt;"对外销售","",ROUND($Q1296-$S1296,0)))</f>
        <v/>
      </c>
      <c r="U1296" s="17" t="n"/>
      <c r="V1296" s="17" t="n"/>
      <c r="W1296" s="24">
        <f>IF($D1296="","",IF($E1296="※编码不在物料档案里","※物料编码不在档案里",IF(N($J1296)&lt;=0,"※出库数量要大于 0",IF($K1296="","※没填去向类型",IF($L1296="","※没填去向矿区",IF(AND($C1296&lt;&gt;"",$C1296&lt;=结账锁),"※日期早于已结账截止日，不能再录",IF(AND($K1296="自用消耗",COUNTIF({"一矿区";"二矿区"},$L1296)=0),"※自用消耗的去向只能是一矿区或二矿区",IF(AND($K1296="对外销售",COUNTIF({"三矿区";"六矿区"},$L1296)=0),"※对外销售的去向只能是三矿区或六矿区",IF(AND($K1296="对外销售",ROUND($Q1296,0)=0),"※外销却没有售价，请填实际售价",IF(AND($K1296="对外销售",$T1296&lt;&gt;"",$T1296&lt;0),"※这一笔外销是亏的，请核对售价",IF(IFERROR(VLOOKUP($D1296,库存台账!$A$5:$Y$1204,24,0),0)&lt;-0.001,"※这个物料账面已经变成负数了，查一下是不是漏记入库","")))))))))))</f>
        <v/>
      </c>
    </row>
    <row r="1297">
      <c r="A1297" s="24">
        <f>IF($D1297="","",COUNTA($D$4:$D1297))</f>
        <v/>
      </c>
      <c r="B1297" s="17" t="n"/>
      <c r="C1297" s="30" t="n"/>
      <c r="D1297" s="17" t="n"/>
      <c r="E1297" s="24">
        <f>IF($D1297="","",IFERROR(VLOOKUP($D1297,物料档案!$A$4:$P$1203,3,0),"※编码不在物料档案里"))</f>
        <v/>
      </c>
      <c r="F1297" s="24">
        <f>IF($D1297="","",IFERROR(VLOOKUP($D1297,物料档案!$A$4:$P$1203,4,0),"※编码不在物料档案里"))</f>
        <v/>
      </c>
      <c r="G1297" s="24">
        <f>IF($D1297="","",IFERROR(VLOOKUP($D1297,物料档案!$A$4:$P$1203,5,0),"※编码不在物料档案里"))</f>
        <v/>
      </c>
      <c r="H1297" s="24">
        <f>IF($D1297="","",IFERROR(VLOOKUP($D1297,物料档案!$A$4:$P$1203,2,0),"※编码不在物料档案里"))</f>
        <v/>
      </c>
      <c r="I1297" s="24">
        <f>IF($D1297="","",IFERROR(VLOOKUP($D1297,物料档案!$A$4:$P$1203,6,0),"※编码不在物料档案里"))</f>
        <v/>
      </c>
      <c r="J1297" s="23" t="n"/>
      <c r="K1297" s="17" t="n"/>
      <c r="L1297" s="17" t="n"/>
      <c r="M1297" s="17" t="n"/>
      <c r="N1297" s="17" t="n"/>
      <c r="O1297" s="26">
        <f>IF($D1297="","",IFERROR(VLOOKUP($D1297,物料档案!$A$4:$P$1203,10,0),0))</f>
        <v/>
      </c>
      <c r="P1297" s="32" t="n"/>
      <c r="Q1297" s="26">
        <f>IF($D1297="","",IF($K1297&lt;&gt;"对外销售",0,ROUND(N($J1297)*IF($P1297="",N($O1297),N($P1297)),0)))</f>
        <v/>
      </c>
      <c r="R1297" s="26">
        <f>IF($D1297="","",IFERROR(VLOOKUP($D1297,库存台账!$A$5:$Y$1204,11,0),0))</f>
        <v/>
      </c>
      <c r="S1297" s="26">
        <f>IF($D1297="","",ROUND(N($J1297)*N($R1297),0))</f>
        <v/>
      </c>
      <c r="T1297" s="26">
        <f>IF($D1297="","",IF($K1297&lt;&gt;"对外销售","",ROUND($Q1297-$S1297,0)))</f>
        <v/>
      </c>
      <c r="U1297" s="17" t="n"/>
      <c r="V1297" s="17" t="n"/>
      <c r="W1297" s="24">
        <f>IF($D1297="","",IF($E1297="※编码不在物料档案里","※物料编码不在档案里",IF(N($J1297)&lt;=0,"※出库数量要大于 0",IF($K1297="","※没填去向类型",IF($L1297="","※没填去向矿区",IF(AND($C1297&lt;&gt;"",$C1297&lt;=结账锁),"※日期早于已结账截止日，不能再录",IF(AND($K1297="自用消耗",COUNTIF({"一矿区";"二矿区"},$L1297)=0),"※自用消耗的去向只能是一矿区或二矿区",IF(AND($K1297="对外销售",COUNTIF({"三矿区";"六矿区"},$L1297)=0),"※对外销售的去向只能是三矿区或六矿区",IF(AND($K1297="对外销售",ROUND($Q1297,0)=0),"※外销却没有售价，请填实际售价",IF(AND($K1297="对外销售",$T1297&lt;&gt;"",$T1297&lt;0),"※这一笔外销是亏的，请核对售价",IF(IFERROR(VLOOKUP($D1297,库存台账!$A$5:$Y$1204,24,0),0)&lt;-0.001,"※这个物料账面已经变成负数了，查一下是不是漏记入库","")))))))))))</f>
        <v/>
      </c>
    </row>
    <row r="1298">
      <c r="A1298" s="24">
        <f>IF($D1298="","",COUNTA($D$4:$D1298))</f>
        <v/>
      </c>
      <c r="B1298" s="17" t="n"/>
      <c r="C1298" s="30" t="n"/>
      <c r="D1298" s="17" t="n"/>
      <c r="E1298" s="24">
        <f>IF($D1298="","",IFERROR(VLOOKUP($D1298,物料档案!$A$4:$P$1203,3,0),"※编码不在物料档案里"))</f>
        <v/>
      </c>
      <c r="F1298" s="24">
        <f>IF($D1298="","",IFERROR(VLOOKUP($D1298,物料档案!$A$4:$P$1203,4,0),"※编码不在物料档案里"))</f>
        <v/>
      </c>
      <c r="G1298" s="24">
        <f>IF($D1298="","",IFERROR(VLOOKUP($D1298,物料档案!$A$4:$P$1203,5,0),"※编码不在物料档案里"))</f>
        <v/>
      </c>
      <c r="H1298" s="24">
        <f>IF($D1298="","",IFERROR(VLOOKUP($D1298,物料档案!$A$4:$P$1203,2,0),"※编码不在物料档案里"))</f>
        <v/>
      </c>
      <c r="I1298" s="24">
        <f>IF($D1298="","",IFERROR(VLOOKUP($D1298,物料档案!$A$4:$P$1203,6,0),"※编码不在物料档案里"))</f>
        <v/>
      </c>
      <c r="J1298" s="23" t="n"/>
      <c r="K1298" s="17" t="n"/>
      <c r="L1298" s="17" t="n"/>
      <c r="M1298" s="17" t="n"/>
      <c r="N1298" s="17" t="n"/>
      <c r="O1298" s="26">
        <f>IF($D1298="","",IFERROR(VLOOKUP($D1298,物料档案!$A$4:$P$1203,10,0),0))</f>
        <v/>
      </c>
      <c r="P1298" s="32" t="n"/>
      <c r="Q1298" s="26">
        <f>IF($D1298="","",IF($K1298&lt;&gt;"对外销售",0,ROUND(N($J1298)*IF($P1298="",N($O1298),N($P1298)),0)))</f>
        <v/>
      </c>
      <c r="R1298" s="26">
        <f>IF($D1298="","",IFERROR(VLOOKUP($D1298,库存台账!$A$5:$Y$1204,11,0),0))</f>
        <v/>
      </c>
      <c r="S1298" s="26">
        <f>IF($D1298="","",ROUND(N($J1298)*N($R1298),0))</f>
        <v/>
      </c>
      <c r="T1298" s="26">
        <f>IF($D1298="","",IF($K1298&lt;&gt;"对外销售","",ROUND($Q1298-$S1298,0)))</f>
        <v/>
      </c>
      <c r="U1298" s="17" t="n"/>
      <c r="V1298" s="17" t="n"/>
      <c r="W1298" s="24">
        <f>IF($D1298="","",IF($E1298="※编码不在物料档案里","※物料编码不在档案里",IF(N($J1298)&lt;=0,"※出库数量要大于 0",IF($K1298="","※没填去向类型",IF($L1298="","※没填去向矿区",IF(AND($C1298&lt;&gt;"",$C1298&lt;=结账锁),"※日期早于已结账截止日，不能再录",IF(AND($K1298="自用消耗",COUNTIF({"一矿区";"二矿区"},$L1298)=0),"※自用消耗的去向只能是一矿区或二矿区",IF(AND($K1298="对外销售",COUNTIF({"三矿区";"六矿区"},$L1298)=0),"※对外销售的去向只能是三矿区或六矿区",IF(AND($K1298="对外销售",ROUND($Q1298,0)=0),"※外销却没有售价，请填实际售价",IF(AND($K1298="对外销售",$T1298&lt;&gt;"",$T1298&lt;0),"※这一笔外销是亏的，请核对售价",IF(IFERROR(VLOOKUP($D1298,库存台账!$A$5:$Y$1204,24,0),0)&lt;-0.001,"※这个物料账面已经变成负数了，查一下是不是漏记入库","")))))))))))</f>
        <v/>
      </c>
    </row>
    <row r="1299">
      <c r="A1299" s="24">
        <f>IF($D1299="","",COUNTA($D$4:$D1299))</f>
        <v/>
      </c>
      <c r="B1299" s="17" t="n"/>
      <c r="C1299" s="30" t="n"/>
      <c r="D1299" s="17" t="n"/>
      <c r="E1299" s="24">
        <f>IF($D1299="","",IFERROR(VLOOKUP($D1299,物料档案!$A$4:$P$1203,3,0),"※编码不在物料档案里"))</f>
        <v/>
      </c>
      <c r="F1299" s="24">
        <f>IF($D1299="","",IFERROR(VLOOKUP($D1299,物料档案!$A$4:$P$1203,4,0),"※编码不在物料档案里"))</f>
        <v/>
      </c>
      <c r="G1299" s="24">
        <f>IF($D1299="","",IFERROR(VLOOKUP($D1299,物料档案!$A$4:$P$1203,5,0),"※编码不在物料档案里"))</f>
        <v/>
      </c>
      <c r="H1299" s="24">
        <f>IF($D1299="","",IFERROR(VLOOKUP($D1299,物料档案!$A$4:$P$1203,2,0),"※编码不在物料档案里"))</f>
        <v/>
      </c>
      <c r="I1299" s="24">
        <f>IF($D1299="","",IFERROR(VLOOKUP($D1299,物料档案!$A$4:$P$1203,6,0),"※编码不在物料档案里"))</f>
        <v/>
      </c>
      <c r="J1299" s="23" t="n"/>
      <c r="K1299" s="17" t="n"/>
      <c r="L1299" s="17" t="n"/>
      <c r="M1299" s="17" t="n"/>
      <c r="N1299" s="17" t="n"/>
      <c r="O1299" s="26">
        <f>IF($D1299="","",IFERROR(VLOOKUP($D1299,物料档案!$A$4:$P$1203,10,0),0))</f>
        <v/>
      </c>
      <c r="P1299" s="32" t="n"/>
      <c r="Q1299" s="26">
        <f>IF($D1299="","",IF($K1299&lt;&gt;"对外销售",0,ROUND(N($J1299)*IF($P1299="",N($O1299),N($P1299)),0)))</f>
        <v/>
      </c>
      <c r="R1299" s="26">
        <f>IF($D1299="","",IFERROR(VLOOKUP($D1299,库存台账!$A$5:$Y$1204,11,0),0))</f>
        <v/>
      </c>
      <c r="S1299" s="26">
        <f>IF($D1299="","",ROUND(N($J1299)*N($R1299),0))</f>
        <v/>
      </c>
      <c r="T1299" s="26">
        <f>IF($D1299="","",IF($K1299&lt;&gt;"对外销售","",ROUND($Q1299-$S1299,0)))</f>
        <v/>
      </c>
      <c r="U1299" s="17" t="n"/>
      <c r="V1299" s="17" t="n"/>
      <c r="W1299" s="24">
        <f>IF($D1299="","",IF($E1299="※编码不在物料档案里","※物料编码不在档案里",IF(N($J1299)&lt;=0,"※出库数量要大于 0",IF($K1299="","※没填去向类型",IF($L1299="","※没填去向矿区",IF(AND($C1299&lt;&gt;"",$C1299&lt;=结账锁),"※日期早于已结账截止日，不能再录",IF(AND($K1299="自用消耗",COUNTIF({"一矿区";"二矿区"},$L1299)=0),"※自用消耗的去向只能是一矿区或二矿区",IF(AND($K1299="对外销售",COUNTIF({"三矿区";"六矿区"},$L1299)=0),"※对外销售的去向只能是三矿区或六矿区",IF(AND($K1299="对外销售",ROUND($Q1299,0)=0),"※外销却没有售价，请填实际售价",IF(AND($K1299="对外销售",$T1299&lt;&gt;"",$T1299&lt;0),"※这一笔外销是亏的，请核对售价",IF(IFERROR(VLOOKUP($D1299,库存台账!$A$5:$Y$1204,24,0),0)&lt;-0.001,"※这个物料账面已经变成负数了，查一下是不是漏记入库","")))))))))))</f>
        <v/>
      </c>
    </row>
    <row r="1300">
      <c r="A1300" s="24">
        <f>IF($D1300="","",COUNTA($D$4:$D1300))</f>
        <v/>
      </c>
      <c r="B1300" s="17" t="n"/>
      <c r="C1300" s="30" t="n"/>
      <c r="D1300" s="17" t="n"/>
      <c r="E1300" s="24">
        <f>IF($D1300="","",IFERROR(VLOOKUP($D1300,物料档案!$A$4:$P$1203,3,0),"※编码不在物料档案里"))</f>
        <v/>
      </c>
      <c r="F1300" s="24">
        <f>IF($D1300="","",IFERROR(VLOOKUP($D1300,物料档案!$A$4:$P$1203,4,0),"※编码不在物料档案里"))</f>
        <v/>
      </c>
      <c r="G1300" s="24">
        <f>IF($D1300="","",IFERROR(VLOOKUP($D1300,物料档案!$A$4:$P$1203,5,0),"※编码不在物料档案里"))</f>
        <v/>
      </c>
      <c r="H1300" s="24">
        <f>IF($D1300="","",IFERROR(VLOOKUP($D1300,物料档案!$A$4:$P$1203,2,0),"※编码不在物料档案里"))</f>
        <v/>
      </c>
      <c r="I1300" s="24">
        <f>IF($D1300="","",IFERROR(VLOOKUP($D1300,物料档案!$A$4:$P$1203,6,0),"※编码不在物料档案里"))</f>
        <v/>
      </c>
      <c r="J1300" s="23" t="n"/>
      <c r="K1300" s="17" t="n"/>
      <c r="L1300" s="17" t="n"/>
      <c r="M1300" s="17" t="n"/>
      <c r="N1300" s="17" t="n"/>
      <c r="O1300" s="26">
        <f>IF($D1300="","",IFERROR(VLOOKUP($D1300,物料档案!$A$4:$P$1203,10,0),0))</f>
        <v/>
      </c>
      <c r="P1300" s="32" t="n"/>
      <c r="Q1300" s="26">
        <f>IF($D1300="","",IF($K1300&lt;&gt;"对外销售",0,ROUND(N($J1300)*IF($P1300="",N($O1300),N($P1300)),0)))</f>
        <v/>
      </c>
      <c r="R1300" s="26">
        <f>IF($D1300="","",IFERROR(VLOOKUP($D1300,库存台账!$A$5:$Y$1204,11,0),0))</f>
        <v/>
      </c>
      <c r="S1300" s="26">
        <f>IF($D1300="","",ROUND(N($J1300)*N($R1300),0))</f>
        <v/>
      </c>
      <c r="T1300" s="26">
        <f>IF($D1300="","",IF($K1300&lt;&gt;"对外销售","",ROUND($Q1300-$S1300,0)))</f>
        <v/>
      </c>
      <c r="U1300" s="17" t="n"/>
      <c r="V1300" s="17" t="n"/>
      <c r="W1300" s="24">
        <f>IF($D1300="","",IF($E1300="※编码不在物料档案里","※物料编码不在档案里",IF(N($J1300)&lt;=0,"※出库数量要大于 0",IF($K1300="","※没填去向类型",IF($L1300="","※没填去向矿区",IF(AND($C1300&lt;&gt;"",$C1300&lt;=结账锁),"※日期早于已结账截止日，不能再录",IF(AND($K1300="自用消耗",COUNTIF({"一矿区";"二矿区"},$L1300)=0),"※自用消耗的去向只能是一矿区或二矿区",IF(AND($K1300="对外销售",COUNTIF({"三矿区";"六矿区"},$L1300)=0),"※对外销售的去向只能是三矿区或六矿区",IF(AND($K1300="对外销售",ROUND($Q1300,0)=0),"※外销却没有售价，请填实际售价",IF(AND($K1300="对外销售",$T1300&lt;&gt;"",$T1300&lt;0),"※这一笔外销是亏的，请核对售价",IF(IFERROR(VLOOKUP($D1300,库存台账!$A$5:$Y$1204,24,0),0)&lt;-0.001,"※这个物料账面已经变成负数了，查一下是不是漏记入库","")))))))))))</f>
        <v/>
      </c>
    </row>
    <row r="1301">
      <c r="A1301" s="24">
        <f>IF($D1301="","",COUNTA($D$4:$D1301))</f>
        <v/>
      </c>
      <c r="B1301" s="17" t="n"/>
      <c r="C1301" s="30" t="n"/>
      <c r="D1301" s="17" t="n"/>
      <c r="E1301" s="24">
        <f>IF($D1301="","",IFERROR(VLOOKUP($D1301,物料档案!$A$4:$P$1203,3,0),"※编码不在物料档案里"))</f>
        <v/>
      </c>
      <c r="F1301" s="24">
        <f>IF($D1301="","",IFERROR(VLOOKUP($D1301,物料档案!$A$4:$P$1203,4,0),"※编码不在物料档案里"))</f>
        <v/>
      </c>
      <c r="G1301" s="24">
        <f>IF($D1301="","",IFERROR(VLOOKUP($D1301,物料档案!$A$4:$P$1203,5,0),"※编码不在物料档案里"))</f>
        <v/>
      </c>
      <c r="H1301" s="24">
        <f>IF($D1301="","",IFERROR(VLOOKUP($D1301,物料档案!$A$4:$P$1203,2,0),"※编码不在物料档案里"))</f>
        <v/>
      </c>
      <c r="I1301" s="24">
        <f>IF($D1301="","",IFERROR(VLOOKUP($D1301,物料档案!$A$4:$P$1203,6,0),"※编码不在物料档案里"))</f>
        <v/>
      </c>
      <c r="J1301" s="23" t="n"/>
      <c r="K1301" s="17" t="n"/>
      <c r="L1301" s="17" t="n"/>
      <c r="M1301" s="17" t="n"/>
      <c r="N1301" s="17" t="n"/>
      <c r="O1301" s="26">
        <f>IF($D1301="","",IFERROR(VLOOKUP($D1301,物料档案!$A$4:$P$1203,10,0),0))</f>
        <v/>
      </c>
      <c r="P1301" s="32" t="n"/>
      <c r="Q1301" s="26">
        <f>IF($D1301="","",IF($K1301&lt;&gt;"对外销售",0,ROUND(N($J1301)*IF($P1301="",N($O1301),N($P1301)),0)))</f>
        <v/>
      </c>
      <c r="R1301" s="26">
        <f>IF($D1301="","",IFERROR(VLOOKUP($D1301,库存台账!$A$5:$Y$1204,11,0),0))</f>
        <v/>
      </c>
      <c r="S1301" s="26">
        <f>IF($D1301="","",ROUND(N($J1301)*N($R1301),0))</f>
        <v/>
      </c>
      <c r="T1301" s="26">
        <f>IF($D1301="","",IF($K1301&lt;&gt;"对外销售","",ROUND($Q1301-$S1301,0)))</f>
        <v/>
      </c>
      <c r="U1301" s="17" t="n"/>
      <c r="V1301" s="17" t="n"/>
      <c r="W1301" s="24">
        <f>IF($D1301="","",IF($E1301="※编码不在物料档案里","※物料编码不在档案里",IF(N($J1301)&lt;=0,"※出库数量要大于 0",IF($K1301="","※没填去向类型",IF($L1301="","※没填去向矿区",IF(AND($C1301&lt;&gt;"",$C1301&lt;=结账锁),"※日期早于已结账截止日，不能再录",IF(AND($K1301="自用消耗",COUNTIF({"一矿区";"二矿区"},$L1301)=0),"※自用消耗的去向只能是一矿区或二矿区",IF(AND($K1301="对外销售",COUNTIF({"三矿区";"六矿区"},$L1301)=0),"※对外销售的去向只能是三矿区或六矿区",IF(AND($K1301="对外销售",ROUND($Q1301,0)=0),"※外销却没有售价，请填实际售价",IF(AND($K1301="对外销售",$T1301&lt;&gt;"",$T1301&lt;0),"※这一笔外销是亏的，请核对售价",IF(IFERROR(VLOOKUP($D1301,库存台账!$A$5:$Y$1204,24,0),0)&lt;-0.001,"※这个物料账面已经变成负数了，查一下是不是漏记入库","")))))))))))</f>
        <v/>
      </c>
    </row>
    <row r="1302">
      <c r="A1302" s="24">
        <f>IF($D1302="","",COUNTA($D$4:$D1302))</f>
        <v/>
      </c>
      <c r="B1302" s="17" t="n"/>
      <c r="C1302" s="30" t="n"/>
      <c r="D1302" s="17" t="n"/>
      <c r="E1302" s="24">
        <f>IF($D1302="","",IFERROR(VLOOKUP($D1302,物料档案!$A$4:$P$1203,3,0),"※编码不在物料档案里"))</f>
        <v/>
      </c>
      <c r="F1302" s="24">
        <f>IF($D1302="","",IFERROR(VLOOKUP($D1302,物料档案!$A$4:$P$1203,4,0),"※编码不在物料档案里"))</f>
        <v/>
      </c>
      <c r="G1302" s="24">
        <f>IF($D1302="","",IFERROR(VLOOKUP($D1302,物料档案!$A$4:$P$1203,5,0),"※编码不在物料档案里"))</f>
        <v/>
      </c>
      <c r="H1302" s="24">
        <f>IF($D1302="","",IFERROR(VLOOKUP($D1302,物料档案!$A$4:$P$1203,2,0),"※编码不在物料档案里"))</f>
        <v/>
      </c>
      <c r="I1302" s="24">
        <f>IF($D1302="","",IFERROR(VLOOKUP($D1302,物料档案!$A$4:$P$1203,6,0),"※编码不在物料档案里"))</f>
        <v/>
      </c>
      <c r="J1302" s="23" t="n"/>
      <c r="K1302" s="17" t="n"/>
      <c r="L1302" s="17" t="n"/>
      <c r="M1302" s="17" t="n"/>
      <c r="N1302" s="17" t="n"/>
      <c r="O1302" s="26">
        <f>IF($D1302="","",IFERROR(VLOOKUP($D1302,物料档案!$A$4:$P$1203,10,0),0))</f>
        <v/>
      </c>
      <c r="P1302" s="32" t="n"/>
      <c r="Q1302" s="26">
        <f>IF($D1302="","",IF($K1302&lt;&gt;"对外销售",0,ROUND(N($J1302)*IF($P1302="",N($O1302),N($P1302)),0)))</f>
        <v/>
      </c>
      <c r="R1302" s="26">
        <f>IF($D1302="","",IFERROR(VLOOKUP($D1302,库存台账!$A$5:$Y$1204,11,0),0))</f>
        <v/>
      </c>
      <c r="S1302" s="26">
        <f>IF($D1302="","",ROUND(N($J1302)*N($R1302),0))</f>
        <v/>
      </c>
      <c r="T1302" s="26">
        <f>IF($D1302="","",IF($K1302&lt;&gt;"对外销售","",ROUND($Q1302-$S1302,0)))</f>
        <v/>
      </c>
      <c r="U1302" s="17" t="n"/>
      <c r="V1302" s="17" t="n"/>
      <c r="W1302" s="24">
        <f>IF($D1302="","",IF($E1302="※编码不在物料档案里","※物料编码不在档案里",IF(N($J1302)&lt;=0,"※出库数量要大于 0",IF($K1302="","※没填去向类型",IF($L1302="","※没填去向矿区",IF(AND($C1302&lt;&gt;"",$C1302&lt;=结账锁),"※日期早于已结账截止日，不能再录",IF(AND($K1302="自用消耗",COUNTIF({"一矿区";"二矿区"},$L1302)=0),"※自用消耗的去向只能是一矿区或二矿区",IF(AND($K1302="对外销售",COUNTIF({"三矿区";"六矿区"},$L1302)=0),"※对外销售的去向只能是三矿区或六矿区",IF(AND($K1302="对外销售",ROUND($Q1302,0)=0),"※外销却没有售价，请填实际售价",IF(AND($K1302="对外销售",$T1302&lt;&gt;"",$T1302&lt;0),"※这一笔外销是亏的，请核对售价",IF(IFERROR(VLOOKUP($D1302,库存台账!$A$5:$Y$1204,24,0),0)&lt;-0.001,"※这个物料账面已经变成负数了，查一下是不是漏记入库","")))))))))))</f>
        <v/>
      </c>
    </row>
    <row r="1303">
      <c r="A1303" s="24">
        <f>IF($D1303="","",COUNTA($D$4:$D1303))</f>
        <v/>
      </c>
      <c r="B1303" s="17" t="n"/>
      <c r="C1303" s="30" t="n"/>
      <c r="D1303" s="17" t="n"/>
      <c r="E1303" s="24">
        <f>IF($D1303="","",IFERROR(VLOOKUP($D1303,物料档案!$A$4:$P$1203,3,0),"※编码不在物料档案里"))</f>
        <v/>
      </c>
      <c r="F1303" s="24">
        <f>IF($D1303="","",IFERROR(VLOOKUP($D1303,物料档案!$A$4:$P$1203,4,0),"※编码不在物料档案里"))</f>
        <v/>
      </c>
      <c r="G1303" s="24">
        <f>IF($D1303="","",IFERROR(VLOOKUP($D1303,物料档案!$A$4:$P$1203,5,0),"※编码不在物料档案里"))</f>
        <v/>
      </c>
      <c r="H1303" s="24">
        <f>IF($D1303="","",IFERROR(VLOOKUP($D1303,物料档案!$A$4:$P$1203,2,0),"※编码不在物料档案里"))</f>
        <v/>
      </c>
      <c r="I1303" s="24">
        <f>IF($D1303="","",IFERROR(VLOOKUP($D1303,物料档案!$A$4:$P$1203,6,0),"※编码不在物料档案里"))</f>
        <v/>
      </c>
      <c r="J1303" s="23" t="n"/>
      <c r="K1303" s="17" t="n"/>
      <c r="L1303" s="17" t="n"/>
      <c r="M1303" s="17" t="n"/>
      <c r="N1303" s="17" t="n"/>
      <c r="O1303" s="26">
        <f>IF($D1303="","",IFERROR(VLOOKUP($D1303,物料档案!$A$4:$P$1203,10,0),0))</f>
        <v/>
      </c>
      <c r="P1303" s="32" t="n"/>
      <c r="Q1303" s="26">
        <f>IF($D1303="","",IF($K1303&lt;&gt;"对外销售",0,ROUND(N($J1303)*IF($P1303="",N($O1303),N($P1303)),0)))</f>
        <v/>
      </c>
      <c r="R1303" s="26">
        <f>IF($D1303="","",IFERROR(VLOOKUP($D1303,库存台账!$A$5:$Y$1204,11,0),0))</f>
        <v/>
      </c>
      <c r="S1303" s="26">
        <f>IF($D1303="","",ROUND(N($J1303)*N($R1303),0))</f>
        <v/>
      </c>
      <c r="T1303" s="26">
        <f>IF($D1303="","",IF($K1303&lt;&gt;"对外销售","",ROUND($Q1303-$S1303,0)))</f>
        <v/>
      </c>
      <c r="U1303" s="17" t="n"/>
      <c r="V1303" s="17" t="n"/>
      <c r="W1303" s="24">
        <f>IF($D1303="","",IF($E1303="※编码不在物料档案里","※物料编码不在档案里",IF(N($J1303)&lt;=0,"※出库数量要大于 0",IF($K1303="","※没填去向类型",IF($L1303="","※没填去向矿区",IF(AND($C1303&lt;&gt;"",$C1303&lt;=结账锁),"※日期早于已结账截止日，不能再录",IF(AND($K1303="自用消耗",COUNTIF({"一矿区";"二矿区"},$L1303)=0),"※自用消耗的去向只能是一矿区或二矿区",IF(AND($K1303="对外销售",COUNTIF({"三矿区";"六矿区"},$L1303)=0),"※对外销售的去向只能是三矿区或六矿区",IF(AND($K1303="对外销售",ROUND($Q1303,0)=0),"※外销却没有售价，请填实际售价",IF(AND($K1303="对外销售",$T1303&lt;&gt;"",$T1303&lt;0),"※这一笔外销是亏的，请核对售价",IF(IFERROR(VLOOKUP($D1303,库存台账!$A$5:$Y$1204,24,0),0)&lt;-0.001,"※这个物料账面已经变成负数了，查一下是不是漏记入库","")))))))))))</f>
        <v/>
      </c>
    </row>
    <row r="1304">
      <c r="A1304" s="24">
        <f>IF($D1304="","",COUNTA($D$4:$D1304))</f>
        <v/>
      </c>
      <c r="B1304" s="17" t="n"/>
      <c r="C1304" s="30" t="n"/>
      <c r="D1304" s="17" t="n"/>
      <c r="E1304" s="24">
        <f>IF($D1304="","",IFERROR(VLOOKUP($D1304,物料档案!$A$4:$P$1203,3,0),"※编码不在物料档案里"))</f>
        <v/>
      </c>
      <c r="F1304" s="24">
        <f>IF($D1304="","",IFERROR(VLOOKUP($D1304,物料档案!$A$4:$P$1203,4,0),"※编码不在物料档案里"))</f>
        <v/>
      </c>
      <c r="G1304" s="24">
        <f>IF($D1304="","",IFERROR(VLOOKUP($D1304,物料档案!$A$4:$P$1203,5,0),"※编码不在物料档案里"))</f>
        <v/>
      </c>
      <c r="H1304" s="24">
        <f>IF($D1304="","",IFERROR(VLOOKUP($D1304,物料档案!$A$4:$P$1203,2,0),"※编码不在物料档案里"))</f>
        <v/>
      </c>
      <c r="I1304" s="24">
        <f>IF($D1304="","",IFERROR(VLOOKUP($D1304,物料档案!$A$4:$P$1203,6,0),"※编码不在物料档案里"))</f>
        <v/>
      </c>
      <c r="J1304" s="23" t="n"/>
      <c r="K1304" s="17" t="n"/>
      <c r="L1304" s="17" t="n"/>
      <c r="M1304" s="17" t="n"/>
      <c r="N1304" s="17" t="n"/>
      <c r="O1304" s="26">
        <f>IF($D1304="","",IFERROR(VLOOKUP($D1304,物料档案!$A$4:$P$1203,10,0),0))</f>
        <v/>
      </c>
      <c r="P1304" s="32" t="n"/>
      <c r="Q1304" s="26">
        <f>IF($D1304="","",IF($K1304&lt;&gt;"对外销售",0,ROUND(N($J1304)*IF($P1304="",N($O1304),N($P1304)),0)))</f>
        <v/>
      </c>
      <c r="R1304" s="26">
        <f>IF($D1304="","",IFERROR(VLOOKUP($D1304,库存台账!$A$5:$Y$1204,11,0),0))</f>
        <v/>
      </c>
      <c r="S1304" s="26">
        <f>IF($D1304="","",ROUND(N($J1304)*N($R1304),0))</f>
        <v/>
      </c>
      <c r="T1304" s="26">
        <f>IF($D1304="","",IF($K1304&lt;&gt;"对外销售","",ROUND($Q1304-$S1304,0)))</f>
        <v/>
      </c>
      <c r="U1304" s="17" t="n"/>
      <c r="V1304" s="17" t="n"/>
      <c r="W1304" s="24">
        <f>IF($D1304="","",IF($E1304="※编码不在物料档案里","※物料编码不在档案里",IF(N($J1304)&lt;=0,"※出库数量要大于 0",IF($K1304="","※没填去向类型",IF($L1304="","※没填去向矿区",IF(AND($C1304&lt;&gt;"",$C1304&lt;=结账锁),"※日期早于已结账截止日，不能再录",IF(AND($K1304="自用消耗",COUNTIF({"一矿区";"二矿区"},$L1304)=0),"※自用消耗的去向只能是一矿区或二矿区",IF(AND($K1304="对外销售",COUNTIF({"三矿区";"六矿区"},$L1304)=0),"※对外销售的去向只能是三矿区或六矿区",IF(AND($K1304="对外销售",ROUND($Q1304,0)=0),"※外销却没有售价，请填实际售价",IF(AND($K1304="对外销售",$T1304&lt;&gt;"",$T1304&lt;0),"※这一笔外销是亏的，请核对售价",IF(IFERROR(VLOOKUP($D1304,库存台账!$A$5:$Y$1204,24,0),0)&lt;-0.001,"※这个物料账面已经变成负数了，查一下是不是漏记入库","")))))))))))</f>
        <v/>
      </c>
    </row>
    <row r="1305">
      <c r="A1305" s="24">
        <f>IF($D1305="","",COUNTA($D$4:$D1305))</f>
        <v/>
      </c>
      <c r="B1305" s="17" t="n"/>
      <c r="C1305" s="30" t="n"/>
      <c r="D1305" s="17" t="n"/>
      <c r="E1305" s="24">
        <f>IF($D1305="","",IFERROR(VLOOKUP($D1305,物料档案!$A$4:$P$1203,3,0),"※编码不在物料档案里"))</f>
        <v/>
      </c>
      <c r="F1305" s="24">
        <f>IF($D1305="","",IFERROR(VLOOKUP($D1305,物料档案!$A$4:$P$1203,4,0),"※编码不在物料档案里"))</f>
        <v/>
      </c>
      <c r="G1305" s="24">
        <f>IF($D1305="","",IFERROR(VLOOKUP($D1305,物料档案!$A$4:$P$1203,5,0),"※编码不在物料档案里"))</f>
        <v/>
      </c>
      <c r="H1305" s="24">
        <f>IF($D1305="","",IFERROR(VLOOKUP($D1305,物料档案!$A$4:$P$1203,2,0),"※编码不在物料档案里"))</f>
        <v/>
      </c>
      <c r="I1305" s="24">
        <f>IF($D1305="","",IFERROR(VLOOKUP($D1305,物料档案!$A$4:$P$1203,6,0),"※编码不在物料档案里"))</f>
        <v/>
      </c>
      <c r="J1305" s="23" t="n"/>
      <c r="K1305" s="17" t="n"/>
      <c r="L1305" s="17" t="n"/>
      <c r="M1305" s="17" t="n"/>
      <c r="N1305" s="17" t="n"/>
      <c r="O1305" s="26">
        <f>IF($D1305="","",IFERROR(VLOOKUP($D1305,物料档案!$A$4:$P$1203,10,0),0))</f>
        <v/>
      </c>
      <c r="P1305" s="32" t="n"/>
      <c r="Q1305" s="26">
        <f>IF($D1305="","",IF($K1305&lt;&gt;"对外销售",0,ROUND(N($J1305)*IF($P1305="",N($O1305),N($P1305)),0)))</f>
        <v/>
      </c>
      <c r="R1305" s="26">
        <f>IF($D1305="","",IFERROR(VLOOKUP($D1305,库存台账!$A$5:$Y$1204,11,0),0))</f>
        <v/>
      </c>
      <c r="S1305" s="26">
        <f>IF($D1305="","",ROUND(N($J1305)*N($R1305),0))</f>
        <v/>
      </c>
      <c r="T1305" s="26">
        <f>IF($D1305="","",IF($K1305&lt;&gt;"对外销售","",ROUND($Q1305-$S1305,0)))</f>
        <v/>
      </c>
      <c r="U1305" s="17" t="n"/>
      <c r="V1305" s="17" t="n"/>
      <c r="W1305" s="24">
        <f>IF($D1305="","",IF($E1305="※编码不在物料档案里","※物料编码不在档案里",IF(N($J1305)&lt;=0,"※出库数量要大于 0",IF($K1305="","※没填去向类型",IF($L1305="","※没填去向矿区",IF(AND($C1305&lt;&gt;"",$C1305&lt;=结账锁),"※日期早于已结账截止日，不能再录",IF(AND($K1305="自用消耗",COUNTIF({"一矿区";"二矿区"},$L1305)=0),"※自用消耗的去向只能是一矿区或二矿区",IF(AND($K1305="对外销售",COUNTIF({"三矿区";"六矿区"},$L1305)=0),"※对外销售的去向只能是三矿区或六矿区",IF(AND($K1305="对外销售",ROUND($Q1305,0)=0),"※外销却没有售价，请填实际售价",IF(AND($K1305="对外销售",$T1305&lt;&gt;"",$T1305&lt;0),"※这一笔外销是亏的，请核对售价",IF(IFERROR(VLOOKUP($D1305,库存台账!$A$5:$Y$1204,24,0),0)&lt;-0.001,"※这个物料账面已经变成负数了，查一下是不是漏记入库","")))))))))))</f>
        <v/>
      </c>
    </row>
    <row r="1306">
      <c r="A1306" s="24">
        <f>IF($D1306="","",COUNTA($D$4:$D1306))</f>
        <v/>
      </c>
      <c r="B1306" s="17" t="n"/>
      <c r="C1306" s="30" t="n"/>
      <c r="D1306" s="17" t="n"/>
      <c r="E1306" s="24">
        <f>IF($D1306="","",IFERROR(VLOOKUP($D1306,物料档案!$A$4:$P$1203,3,0),"※编码不在物料档案里"))</f>
        <v/>
      </c>
      <c r="F1306" s="24">
        <f>IF($D1306="","",IFERROR(VLOOKUP($D1306,物料档案!$A$4:$P$1203,4,0),"※编码不在物料档案里"))</f>
        <v/>
      </c>
      <c r="G1306" s="24">
        <f>IF($D1306="","",IFERROR(VLOOKUP($D1306,物料档案!$A$4:$P$1203,5,0),"※编码不在物料档案里"))</f>
        <v/>
      </c>
      <c r="H1306" s="24">
        <f>IF($D1306="","",IFERROR(VLOOKUP($D1306,物料档案!$A$4:$P$1203,2,0),"※编码不在物料档案里"))</f>
        <v/>
      </c>
      <c r="I1306" s="24">
        <f>IF($D1306="","",IFERROR(VLOOKUP($D1306,物料档案!$A$4:$P$1203,6,0),"※编码不在物料档案里"))</f>
        <v/>
      </c>
      <c r="J1306" s="23" t="n"/>
      <c r="K1306" s="17" t="n"/>
      <c r="L1306" s="17" t="n"/>
      <c r="M1306" s="17" t="n"/>
      <c r="N1306" s="17" t="n"/>
      <c r="O1306" s="26">
        <f>IF($D1306="","",IFERROR(VLOOKUP($D1306,物料档案!$A$4:$P$1203,10,0),0))</f>
        <v/>
      </c>
      <c r="P1306" s="32" t="n"/>
      <c r="Q1306" s="26">
        <f>IF($D1306="","",IF($K1306&lt;&gt;"对外销售",0,ROUND(N($J1306)*IF($P1306="",N($O1306),N($P1306)),0)))</f>
        <v/>
      </c>
      <c r="R1306" s="26">
        <f>IF($D1306="","",IFERROR(VLOOKUP($D1306,库存台账!$A$5:$Y$1204,11,0),0))</f>
        <v/>
      </c>
      <c r="S1306" s="26">
        <f>IF($D1306="","",ROUND(N($J1306)*N($R1306),0))</f>
        <v/>
      </c>
      <c r="T1306" s="26">
        <f>IF($D1306="","",IF($K1306&lt;&gt;"对外销售","",ROUND($Q1306-$S1306,0)))</f>
        <v/>
      </c>
      <c r="U1306" s="17" t="n"/>
      <c r="V1306" s="17" t="n"/>
      <c r="W1306" s="24">
        <f>IF($D1306="","",IF($E1306="※编码不在物料档案里","※物料编码不在档案里",IF(N($J1306)&lt;=0,"※出库数量要大于 0",IF($K1306="","※没填去向类型",IF($L1306="","※没填去向矿区",IF(AND($C1306&lt;&gt;"",$C1306&lt;=结账锁),"※日期早于已结账截止日，不能再录",IF(AND($K1306="自用消耗",COUNTIF({"一矿区";"二矿区"},$L1306)=0),"※自用消耗的去向只能是一矿区或二矿区",IF(AND($K1306="对外销售",COUNTIF({"三矿区";"六矿区"},$L1306)=0),"※对外销售的去向只能是三矿区或六矿区",IF(AND($K1306="对外销售",ROUND($Q1306,0)=0),"※外销却没有售价，请填实际售价",IF(AND($K1306="对外销售",$T1306&lt;&gt;"",$T1306&lt;0),"※这一笔外销是亏的，请核对售价",IF(IFERROR(VLOOKUP($D1306,库存台账!$A$5:$Y$1204,24,0),0)&lt;-0.001,"※这个物料账面已经变成负数了，查一下是不是漏记入库","")))))))))))</f>
        <v/>
      </c>
    </row>
    <row r="1307">
      <c r="A1307" s="24">
        <f>IF($D1307="","",COUNTA($D$4:$D1307))</f>
        <v/>
      </c>
      <c r="B1307" s="17" t="n"/>
      <c r="C1307" s="30" t="n"/>
      <c r="D1307" s="17" t="n"/>
      <c r="E1307" s="24">
        <f>IF($D1307="","",IFERROR(VLOOKUP($D1307,物料档案!$A$4:$P$1203,3,0),"※编码不在物料档案里"))</f>
        <v/>
      </c>
      <c r="F1307" s="24">
        <f>IF($D1307="","",IFERROR(VLOOKUP($D1307,物料档案!$A$4:$P$1203,4,0),"※编码不在物料档案里"))</f>
        <v/>
      </c>
      <c r="G1307" s="24">
        <f>IF($D1307="","",IFERROR(VLOOKUP($D1307,物料档案!$A$4:$P$1203,5,0),"※编码不在物料档案里"))</f>
        <v/>
      </c>
      <c r="H1307" s="24">
        <f>IF($D1307="","",IFERROR(VLOOKUP($D1307,物料档案!$A$4:$P$1203,2,0),"※编码不在物料档案里"))</f>
        <v/>
      </c>
      <c r="I1307" s="24">
        <f>IF($D1307="","",IFERROR(VLOOKUP($D1307,物料档案!$A$4:$P$1203,6,0),"※编码不在物料档案里"))</f>
        <v/>
      </c>
      <c r="J1307" s="23" t="n"/>
      <c r="K1307" s="17" t="n"/>
      <c r="L1307" s="17" t="n"/>
      <c r="M1307" s="17" t="n"/>
      <c r="N1307" s="17" t="n"/>
      <c r="O1307" s="26">
        <f>IF($D1307="","",IFERROR(VLOOKUP($D1307,物料档案!$A$4:$P$1203,10,0),0))</f>
        <v/>
      </c>
      <c r="P1307" s="32" t="n"/>
      <c r="Q1307" s="26">
        <f>IF($D1307="","",IF($K1307&lt;&gt;"对外销售",0,ROUND(N($J1307)*IF($P1307="",N($O1307),N($P1307)),0)))</f>
        <v/>
      </c>
      <c r="R1307" s="26">
        <f>IF($D1307="","",IFERROR(VLOOKUP($D1307,库存台账!$A$5:$Y$1204,11,0),0))</f>
        <v/>
      </c>
      <c r="S1307" s="26">
        <f>IF($D1307="","",ROUND(N($J1307)*N($R1307),0))</f>
        <v/>
      </c>
      <c r="T1307" s="26">
        <f>IF($D1307="","",IF($K1307&lt;&gt;"对外销售","",ROUND($Q1307-$S1307,0)))</f>
        <v/>
      </c>
      <c r="U1307" s="17" t="n"/>
      <c r="V1307" s="17" t="n"/>
      <c r="W1307" s="24">
        <f>IF($D1307="","",IF($E1307="※编码不在物料档案里","※物料编码不在档案里",IF(N($J1307)&lt;=0,"※出库数量要大于 0",IF($K1307="","※没填去向类型",IF($L1307="","※没填去向矿区",IF(AND($C1307&lt;&gt;"",$C1307&lt;=结账锁),"※日期早于已结账截止日，不能再录",IF(AND($K1307="自用消耗",COUNTIF({"一矿区";"二矿区"},$L1307)=0),"※自用消耗的去向只能是一矿区或二矿区",IF(AND($K1307="对外销售",COUNTIF({"三矿区";"六矿区"},$L1307)=0),"※对外销售的去向只能是三矿区或六矿区",IF(AND($K1307="对外销售",ROUND($Q1307,0)=0),"※外销却没有售价，请填实际售价",IF(AND($K1307="对外销售",$T1307&lt;&gt;"",$T1307&lt;0),"※这一笔外销是亏的，请核对售价",IF(IFERROR(VLOOKUP($D1307,库存台账!$A$5:$Y$1204,24,0),0)&lt;-0.001,"※这个物料账面已经变成负数了，查一下是不是漏记入库","")))))))))))</f>
        <v/>
      </c>
    </row>
    <row r="1308">
      <c r="A1308" s="24">
        <f>IF($D1308="","",COUNTA($D$4:$D1308))</f>
        <v/>
      </c>
      <c r="B1308" s="17" t="n"/>
      <c r="C1308" s="30" t="n"/>
      <c r="D1308" s="17" t="n"/>
      <c r="E1308" s="24">
        <f>IF($D1308="","",IFERROR(VLOOKUP($D1308,物料档案!$A$4:$P$1203,3,0),"※编码不在物料档案里"))</f>
        <v/>
      </c>
      <c r="F1308" s="24">
        <f>IF($D1308="","",IFERROR(VLOOKUP($D1308,物料档案!$A$4:$P$1203,4,0),"※编码不在物料档案里"))</f>
        <v/>
      </c>
      <c r="G1308" s="24">
        <f>IF($D1308="","",IFERROR(VLOOKUP($D1308,物料档案!$A$4:$P$1203,5,0),"※编码不在物料档案里"))</f>
        <v/>
      </c>
      <c r="H1308" s="24">
        <f>IF($D1308="","",IFERROR(VLOOKUP($D1308,物料档案!$A$4:$P$1203,2,0),"※编码不在物料档案里"))</f>
        <v/>
      </c>
      <c r="I1308" s="24">
        <f>IF($D1308="","",IFERROR(VLOOKUP($D1308,物料档案!$A$4:$P$1203,6,0),"※编码不在物料档案里"))</f>
        <v/>
      </c>
      <c r="J1308" s="23" t="n"/>
      <c r="K1308" s="17" t="n"/>
      <c r="L1308" s="17" t="n"/>
      <c r="M1308" s="17" t="n"/>
      <c r="N1308" s="17" t="n"/>
      <c r="O1308" s="26">
        <f>IF($D1308="","",IFERROR(VLOOKUP($D1308,物料档案!$A$4:$P$1203,10,0),0))</f>
        <v/>
      </c>
      <c r="P1308" s="32" t="n"/>
      <c r="Q1308" s="26">
        <f>IF($D1308="","",IF($K1308&lt;&gt;"对外销售",0,ROUND(N($J1308)*IF($P1308="",N($O1308),N($P1308)),0)))</f>
        <v/>
      </c>
      <c r="R1308" s="26">
        <f>IF($D1308="","",IFERROR(VLOOKUP($D1308,库存台账!$A$5:$Y$1204,11,0),0))</f>
        <v/>
      </c>
      <c r="S1308" s="26">
        <f>IF($D1308="","",ROUND(N($J1308)*N($R1308),0))</f>
        <v/>
      </c>
      <c r="T1308" s="26">
        <f>IF($D1308="","",IF($K1308&lt;&gt;"对外销售","",ROUND($Q1308-$S1308,0)))</f>
        <v/>
      </c>
      <c r="U1308" s="17" t="n"/>
      <c r="V1308" s="17" t="n"/>
      <c r="W1308" s="24">
        <f>IF($D1308="","",IF($E1308="※编码不在物料档案里","※物料编码不在档案里",IF(N($J1308)&lt;=0,"※出库数量要大于 0",IF($K1308="","※没填去向类型",IF($L1308="","※没填去向矿区",IF(AND($C1308&lt;&gt;"",$C1308&lt;=结账锁),"※日期早于已结账截止日，不能再录",IF(AND($K1308="自用消耗",COUNTIF({"一矿区";"二矿区"},$L1308)=0),"※自用消耗的去向只能是一矿区或二矿区",IF(AND($K1308="对外销售",COUNTIF({"三矿区";"六矿区"},$L1308)=0),"※对外销售的去向只能是三矿区或六矿区",IF(AND($K1308="对外销售",ROUND($Q1308,0)=0),"※外销却没有售价，请填实际售价",IF(AND($K1308="对外销售",$T1308&lt;&gt;"",$T1308&lt;0),"※这一笔外销是亏的，请核对售价",IF(IFERROR(VLOOKUP($D1308,库存台账!$A$5:$Y$1204,24,0),0)&lt;-0.001,"※这个物料账面已经变成负数了，查一下是不是漏记入库","")))))))))))</f>
        <v/>
      </c>
    </row>
    <row r="1309">
      <c r="A1309" s="24">
        <f>IF($D1309="","",COUNTA($D$4:$D1309))</f>
        <v/>
      </c>
      <c r="B1309" s="17" t="n"/>
      <c r="C1309" s="30" t="n"/>
      <c r="D1309" s="17" t="n"/>
      <c r="E1309" s="24">
        <f>IF($D1309="","",IFERROR(VLOOKUP($D1309,物料档案!$A$4:$P$1203,3,0),"※编码不在物料档案里"))</f>
        <v/>
      </c>
      <c r="F1309" s="24">
        <f>IF($D1309="","",IFERROR(VLOOKUP($D1309,物料档案!$A$4:$P$1203,4,0),"※编码不在物料档案里"))</f>
        <v/>
      </c>
      <c r="G1309" s="24">
        <f>IF($D1309="","",IFERROR(VLOOKUP($D1309,物料档案!$A$4:$P$1203,5,0),"※编码不在物料档案里"))</f>
        <v/>
      </c>
      <c r="H1309" s="24">
        <f>IF($D1309="","",IFERROR(VLOOKUP($D1309,物料档案!$A$4:$P$1203,2,0),"※编码不在物料档案里"))</f>
        <v/>
      </c>
      <c r="I1309" s="24">
        <f>IF($D1309="","",IFERROR(VLOOKUP($D1309,物料档案!$A$4:$P$1203,6,0),"※编码不在物料档案里"))</f>
        <v/>
      </c>
      <c r="J1309" s="23" t="n"/>
      <c r="K1309" s="17" t="n"/>
      <c r="L1309" s="17" t="n"/>
      <c r="M1309" s="17" t="n"/>
      <c r="N1309" s="17" t="n"/>
      <c r="O1309" s="26">
        <f>IF($D1309="","",IFERROR(VLOOKUP($D1309,物料档案!$A$4:$P$1203,10,0),0))</f>
        <v/>
      </c>
      <c r="P1309" s="32" t="n"/>
      <c r="Q1309" s="26">
        <f>IF($D1309="","",IF($K1309&lt;&gt;"对外销售",0,ROUND(N($J1309)*IF($P1309="",N($O1309),N($P1309)),0)))</f>
        <v/>
      </c>
      <c r="R1309" s="26">
        <f>IF($D1309="","",IFERROR(VLOOKUP($D1309,库存台账!$A$5:$Y$1204,11,0),0))</f>
        <v/>
      </c>
      <c r="S1309" s="26">
        <f>IF($D1309="","",ROUND(N($J1309)*N($R1309),0))</f>
        <v/>
      </c>
      <c r="T1309" s="26">
        <f>IF($D1309="","",IF($K1309&lt;&gt;"对外销售","",ROUND($Q1309-$S1309,0)))</f>
        <v/>
      </c>
      <c r="U1309" s="17" t="n"/>
      <c r="V1309" s="17" t="n"/>
      <c r="W1309" s="24">
        <f>IF($D1309="","",IF($E1309="※编码不在物料档案里","※物料编码不在档案里",IF(N($J1309)&lt;=0,"※出库数量要大于 0",IF($K1309="","※没填去向类型",IF($L1309="","※没填去向矿区",IF(AND($C1309&lt;&gt;"",$C1309&lt;=结账锁),"※日期早于已结账截止日，不能再录",IF(AND($K1309="自用消耗",COUNTIF({"一矿区";"二矿区"},$L1309)=0),"※自用消耗的去向只能是一矿区或二矿区",IF(AND($K1309="对外销售",COUNTIF({"三矿区";"六矿区"},$L1309)=0),"※对外销售的去向只能是三矿区或六矿区",IF(AND($K1309="对外销售",ROUND($Q1309,0)=0),"※外销却没有售价，请填实际售价",IF(AND($K1309="对外销售",$T1309&lt;&gt;"",$T1309&lt;0),"※这一笔外销是亏的，请核对售价",IF(IFERROR(VLOOKUP($D1309,库存台账!$A$5:$Y$1204,24,0),0)&lt;-0.001,"※这个物料账面已经变成负数了，查一下是不是漏记入库","")))))))))))</f>
        <v/>
      </c>
    </row>
    <row r="1310">
      <c r="A1310" s="24">
        <f>IF($D1310="","",COUNTA($D$4:$D1310))</f>
        <v/>
      </c>
      <c r="B1310" s="17" t="n"/>
      <c r="C1310" s="30" t="n"/>
      <c r="D1310" s="17" t="n"/>
      <c r="E1310" s="24">
        <f>IF($D1310="","",IFERROR(VLOOKUP($D1310,物料档案!$A$4:$P$1203,3,0),"※编码不在物料档案里"))</f>
        <v/>
      </c>
      <c r="F1310" s="24">
        <f>IF($D1310="","",IFERROR(VLOOKUP($D1310,物料档案!$A$4:$P$1203,4,0),"※编码不在物料档案里"))</f>
        <v/>
      </c>
      <c r="G1310" s="24">
        <f>IF($D1310="","",IFERROR(VLOOKUP($D1310,物料档案!$A$4:$P$1203,5,0),"※编码不在物料档案里"))</f>
        <v/>
      </c>
      <c r="H1310" s="24">
        <f>IF($D1310="","",IFERROR(VLOOKUP($D1310,物料档案!$A$4:$P$1203,2,0),"※编码不在物料档案里"))</f>
        <v/>
      </c>
      <c r="I1310" s="24">
        <f>IF($D1310="","",IFERROR(VLOOKUP($D1310,物料档案!$A$4:$P$1203,6,0),"※编码不在物料档案里"))</f>
        <v/>
      </c>
      <c r="J1310" s="23" t="n"/>
      <c r="K1310" s="17" t="n"/>
      <c r="L1310" s="17" t="n"/>
      <c r="M1310" s="17" t="n"/>
      <c r="N1310" s="17" t="n"/>
      <c r="O1310" s="26">
        <f>IF($D1310="","",IFERROR(VLOOKUP($D1310,物料档案!$A$4:$P$1203,10,0),0))</f>
        <v/>
      </c>
      <c r="P1310" s="32" t="n"/>
      <c r="Q1310" s="26">
        <f>IF($D1310="","",IF($K1310&lt;&gt;"对外销售",0,ROUND(N($J1310)*IF($P1310="",N($O1310),N($P1310)),0)))</f>
        <v/>
      </c>
      <c r="R1310" s="26">
        <f>IF($D1310="","",IFERROR(VLOOKUP($D1310,库存台账!$A$5:$Y$1204,11,0),0))</f>
        <v/>
      </c>
      <c r="S1310" s="26">
        <f>IF($D1310="","",ROUND(N($J1310)*N($R1310),0))</f>
        <v/>
      </c>
      <c r="T1310" s="26">
        <f>IF($D1310="","",IF($K1310&lt;&gt;"对外销售","",ROUND($Q1310-$S1310,0)))</f>
        <v/>
      </c>
      <c r="U1310" s="17" t="n"/>
      <c r="V1310" s="17" t="n"/>
      <c r="W1310" s="24">
        <f>IF($D1310="","",IF($E1310="※编码不在物料档案里","※物料编码不在档案里",IF(N($J1310)&lt;=0,"※出库数量要大于 0",IF($K1310="","※没填去向类型",IF($L1310="","※没填去向矿区",IF(AND($C1310&lt;&gt;"",$C1310&lt;=结账锁),"※日期早于已结账截止日，不能再录",IF(AND($K1310="自用消耗",COUNTIF({"一矿区";"二矿区"},$L1310)=0),"※自用消耗的去向只能是一矿区或二矿区",IF(AND($K1310="对外销售",COUNTIF({"三矿区";"六矿区"},$L1310)=0),"※对外销售的去向只能是三矿区或六矿区",IF(AND($K1310="对外销售",ROUND($Q1310,0)=0),"※外销却没有售价，请填实际售价",IF(AND($K1310="对外销售",$T1310&lt;&gt;"",$T1310&lt;0),"※这一笔外销是亏的，请核对售价",IF(IFERROR(VLOOKUP($D1310,库存台账!$A$5:$Y$1204,24,0),0)&lt;-0.001,"※这个物料账面已经变成负数了，查一下是不是漏记入库","")))))))))))</f>
        <v/>
      </c>
    </row>
    <row r="1311">
      <c r="A1311" s="24">
        <f>IF($D1311="","",COUNTA($D$4:$D1311))</f>
        <v/>
      </c>
      <c r="B1311" s="17" t="n"/>
      <c r="C1311" s="30" t="n"/>
      <c r="D1311" s="17" t="n"/>
      <c r="E1311" s="24">
        <f>IF($D1311="","",IFERROR(VLOOKUP($D1311,物料档案!$A$4:$P$1203,3,0),"※编码不在物料档案里"))</f>
        <v/>
      </c>
      <c r="F1311" s="24">
        <f>IF($D1311="","",IFERROR(VLOOKUP($D1311,物料档案!$A$4:$P$1203,4,0),"※编码不在物料档案里"))</f>
        <v/>
      </c>
      <c r="G1311" s="24">
        <f>IF($D1311="","",IFERROR(VLOOKUP($D1311,物料档案!$A$4:$P$1203,5,0),"※编码不在物料档案里"))</f>
        <v/>
      </c>
      <c r="H1311" s="24">
        <f>IF($D1311="","",IFERROR(VLOOKUP($D1311,物料档案!$A$4:$P$1203,2,0),"※编码不在物料档案里"))</f>
        <v/>
      </c>
      <c r="I1311" s="24">
        <f>IF($D1311="","",IFERROR(VLOOKUP($D1311,物料档案!$A$4:$P$1203,6,0),"※编码不在物料档案里"))</f>
        <v/>
      </c>
      <c r="J1311" s="23" t="n"/>
      <c r="K1311" s="17" t="n"/>
      <c r="L1311" s="17" t="n"/>
      <c r="M1311" s="17" t="n"/>
      <c r="N1311" s="17" t="n"/>
      <c r="O1311" s="26">
        <f>IF($D1311="","",IFERROR(VLOOKUP($D1311,物料档案!$A$4:$P$1203,10,0),0))</f>
        <v/>
      </c>
      <c r="P1311" s="32" t="n"/>
      <c r="Q1311" s="26">
        <f>IF($D1311="","",IF($K1311&lt;&gt;"对外销售",0,ROUND(N($J1311)*IF($P1311="",N($O1311),N($P1311)),0)))</f>
        <v/>
      </c>
      <c r="R1311" s="26">
        <f>IF($D1311="","",IFERROR(VLOOKUP($D1311,库存台账!$A$5:$Y$1204,11,0),0))</f>
        <v/>
      </c>
      <c r="S1311" s="26">
        <f>IF($D1311="","",ROUND(N($J1311)*N($R1311),0))</f>
        <v/>
      </c>
      <c r="T1311" s="26">
        <f>IF($D1311="","",IF($K1311&lt;&gt;"对外销售","",ROUND($Q1311-$S1311,0)))</f>
        <v/>
      </c>
      <c r="U1311" s="17" t="n"/>
      <c r="V1311" s="17" t="n"/>
      <c r="W1311" s="24">
        <f>IF($D1311="","",IF($E1311="※编码不在物料档案里","※物料编码不在档案里",IF(N($J1311)&lt;=0,"※出库数量要大于 0",IF($K1311="","※没填去向类型",IF($L1311="","※没填去向矿区",IF(AND($C1311&lt;&gt;"",$C1311&lt;=结账锁),"※日期早于已结账截止日，不能再录",IF(AND($K1311="自用消耗",COUNTIF({"一矿区";"二矿区"},$L1311)=0),"※自用消耗的去向只能是一矿区或二矿区",IF(AND($K1311="对外销售",COUNTIF({"三矿区";"六矿区"},$L1311)=0),"※对外销售的去向只能是三矿区或六矿区",IF(AND($K1311="对外销售",ROUND($Q1311,0)=0),"※外销却没有售价，请填实际售价",IF(AND($K1311="对外销售",$T1311&lt;&gt;"",$T1311&lt;0),"※这一笔外销是亏的，请核对售价",IF(IFERROR(VLOOKUP($D1311,库存台账!$A$5:$Y$1204,24,0),0)&lt;-0.001,"※这个物料账面已经变成负数了，查一下是不是漏记入库","")))))))))))</f>
        <v/>
      </c>
    </row>
    <row r="1312">
      <c r="A1312" s="24">
        <f>IF($D1312="","",COUNTA($D$4:$D1312))</f>
        <v/>
      </c>
      <c r="B1312" s="17" t="n"/>
      <c r="C1312" s="30" t="n"/>
      <c r="D1312" s="17" t="n"/>
      <c r="E1312" s="24">
        <f>IF($D1312="","",IFERROR(VLOOKUP($D1312,物料档案!$A$4:$P$1203,3,0),"※编码不在物料档案里"))</f>
        <v/>
      </c>
      <c r="F1312" s="24">
        <f>IF($D1312="","",IFERROR(VLOOKUP($D1312,物料档案!$A$4:$P$1203,4,0),"※编码不在物料档案里"))</f>
        <v/>
      </c>
      <c r="G1312" s="24">
        <f>IF($D1312="","",IFERROR(VLOOKUP($D1312,物料档案!$A$4:$P$1203,5,0),"※编码不在物料档案里"))</f>
        <v/>
      </c>
      <c r="H1312" s="24">
        <f>IF($D1312="","",IFERROR(VLOOKUP($D1312,物料档案!$A$4:$P$1203,2,0),"※编码不在物料档案里"))</f>
        <v/>
      </c>
      <c r="I1312" s="24">
        <f>IF($D1312="","",IFERROR(VLOOKUP($D1312,物料档案!$A$4:$P$1203,6,0),"※编码不在物料档案里"))</f>
        <v/>
      </c>
      <c r="J1312" s="23" t="n"/>
      <c r="K1312" s="17" t="n"/>
      <c r="L1312" s="17" t="n"/>
      <c r="M1312" s="17" t="n"/>
      <c r="N1312" s="17" t="n"/>
      <c r="O1312" s="26">
        <f>IF($D1312="","",IFERROR(VLOOKUP($D1312,物料档案!$A$4:$P$1203,10,0),0))</f>
        <v/>
      </c>
      <c r="P1312" s="32" t="n"/>
      <c r="Q1312" s="26">
        <f>IF($D1312="","",IF($K1312&lt;&gt;"对外销售",0,ROUND(N($J1312)*IF($P1312="",N($O1312),N($P1312)),0)))</f>
        <v/>
      </c>
      <c r="R1312" s="26">
        <f>IF($D1312="","",IFERROR(VLOOKUP($D1312,库存台账!$A$5:$Y$1204,11,0),0))</f>
        <v/>
      </c>
      <c r="S1312" s="26">
        <f>IF($D1312="","",ROUND(N($J1312)*N($R1312),0))</f>
        <v/>
      </c>
      <c r="T1312" s="26">
        <f>IF($D1312="","",IF($K1312&lt;&gt;"对外销售","",ROUND($Q1312-$S1312,0)))</f>
        <v/>
      </c>
      <c r="U1312" s="17" t="n"/>
      <c r="V1312" s="17" t="n"/>
      <c r="W1312" s="24">
        <f>IF($D1312="","",IF($E1312="※编码不在物料档案里","※物料编码不在档案里",IF(N($J1312)&lt;=0,"※出库数量要大于 0",IF($K1312="","※没填去向类型",IF($L1312="","※没填去向矿区",IF(AND($C1312&lt;&gt;"",$C1312&lt;=结账锁),"※日期早于已结账截止日，不能再录",IF(AND($K1312="自用消耗",COUNTIF({"一矿区";"二矿区"},$L1312)=0),"※自用消耗的去向只能是一矿区或二矿区",IF(AND($K1312="对外销售",COUNTIF({"三矿区";"六矿区"},$L1312)=0),"※对外销售的去向只能是三矿区或六矿区",IF(AND($K1312="对外销售",ROUND($Q1312,0)=0),"※外销却没有售价，请填实际售价",IF(AND($K1312="对外销售",$T1312&lt;&gt;"",$T1312&lt;0),"※这一笔外销是亏的，请核对售价",IF(IFERROR(VLOOKUP($D1312,库存台账!$A$5:$Y$1204,24,0),0)&lt;-0.001,"※这个物料账面已经变成负数了，查一下是不是漏记入库","")))))))))))</f>
        <v/>
      </c>
    </row>
    <row r="1313">
      <c r="A1313" s="24">
        <f>IF($D1313="","",COUNTA($D$4:$D1313))</f>
        <v/>
      </c>
      <c r="B1313" s="17" t="n"/>
      <c r="C1313" s="30" t="n"/>
      <c r="D1313" s="17" t="n"/>
      <c r="E1313" s="24">
        <f>IF($D1313="","",IFERROR(VLOOKUP($D1313,物料档案!$A$4:$P$1203,3,0),"※编码不在物料档案里"))</f>
        <v/>
      </c>
      <c r="F1313" s="24">
        <f>IF($D1313="","",IFERROR(VLOOKUP($D1313,物料档案!$A$4:$P$1203,4,0),"※编码不在物料档案里"))</f>
        <v/>
      </c>
      <c r="G1313" s="24">
        <f>IF($D1313="","",IFERROR(VLOOKUP($D1313,物料档案!$A$4:$P$1203,5,0),"※编码不在物料档案里"))</f>
        <v/>
      </c>
      <c r="H1313" s="24">
        <f>IF($D1313="","",IFERROR(VLOOKUP($D1313,物料档案!$A$4:$P$1203,2,0),"※编码不在物料档案里"))</f>
        <v/>
      </c>
      <c r="I1313" s="24">
        <f>IF($D1313="","",IFERROR(VLOOKUP($D1313,物料档案!$A$4:$P$1203,6,0),"※编码不在物料档案里"))</f>
        <v/>
      </c>
      <c r="J1313" s="23" t="n"/>
      <c r="K1313" s="17" t="n"/>
      <c r="L1313" s="17" t="n"/>
      <c r="M1313" s="17" t="n"/>
      <c r="N1313" s="17" t="n"/>
      <c r="O1313" s="26">
        <f>IF($D1313="","",IFERROR(VLOOKUP($D1313,物料档案!$A$4:$P$1203,10,0),0))</f>
        <v/>
      </c>
      <c r="P1313" s="32" t="n"/>
      <c r="Q1313" s="26">
        <f>IF($D1313="","",IF($K1313&lt;&gt;"对外销售",0,ROUND(N($J1313)*IF($P1313="",N($O1313),N($P1313)),0)))</f>
        <v/>
      </c>
      <c r="R1313" s="26">
        <f>IF($D1313="","",IFERROR(VLOOKUP($D1313,库存台账!$A$5:$Y$1204,11,0),0))</f>
        <v/>
      </c>
      <c r="S1313" s="26">
        <f>IF($D1313="","",ROUND(N($J1313)*N($R1313),0))</f>
        <v/>
      </c>
      <c r="T1313" s="26">
        <f>IF($D1313="","",IF($K1313&lt;&gt;"对外销售","",ROUND($Q1313-$S1313,0)))</f>
        <v/>
      </c>
      <c r="U1313" s="17" t="n"/>
      <c r="V1313" s="17" t="n"/>
      <c r="W1313" s="24">
        <f>IF($D1313="","",IF($E1313="※编码不在物料档案里","※物料编码不在档案里",IF(N($J1313)&lt;=0,"※出库数量要大于 0",IF($K1313="","※没填去向类型",IF($L1313="","※没填去向矿区",IF(AND($C1313&lt;&gt;"",$C1313&lt;=结账锁),"※日期早于已结账截止日，不能再录",IF(AND($K1313="自用消耗",COUNTIF({"一矿区";"二矿区"},$L1313)=0),"※自用消耗的去向只能是一矿区或二矿区",IF(AND($K1313="对外销售",COUNTIF({"三矿区";"六矿区"},$L1313)=0),"※对外销售的去向只能是三矿区或六矿区",IF(AND($K1313="对外销售",ROUND($Q1313,0)=0),"※外销却没有售价，请填实际售价",IF(AND($K1313="对外销售",$T1313&lt;&gt;"",$T1313&lt;0),"※这一笔外销是亏的，请核对售价",IF(IFERROR(VLOOKUP($D1313,库存台账!$A$5:$Y$1204,24,0),0)&lt;-0.001,"※这个物料账面已经变成负数了，查一下是不是漏记入库","")))))))))))</f>
        <v/>
      </c>
    </row>
    <row r="1314">
      <c r="A1314" s="24">
        <f>IF($D1314="","",COUNTA($D$4:$D1314))</f>
        <v/>
      </c>
      <c r="B1314" s="17" t="n"/>
      <c r="C1314" s="30" t="n"/>
      <c r="D1314" s="17" t="n"/>
      <c r="E1314" s="24">
        <f>IF($D1314="","",IFERROR(VLOOKUP($D1314,物料档案!$A$4:$P$1203,3,0),"※编码不在物料档案里"))</f>
        <v/>
      </c>
      <c r="F1314" s="24">
        <f>IF($D1314="","",IFERROR(VLOOKUP($D1314,物料档案!$A$4:$P$1203,4,0),"※编码不在物料档案里"))</f>
        <v/>
      </c>
      <c r="G1314" s="24">
        <f>IF($D1314="","",IFERROR(VLOOKUP($D1314,物料档案!$A$4:$P$1203,5,0),"※编码不在物料档案里"))</f>
        <v/>
      </c>
      <c r="H1314" s="24">
        <f>IF($D1314="","",IFERROR(VLOOKUP($D1314,物料档案!$A$4:$P$1203,2,0),"※编码不在物料档案里"))</f>
        <v/>
      </c>
      <c r="I1314" s="24">
        <f>IF($D1314="","",IFERROR(VLOOKUP($D1314,物料档案!$A$4:$P$1203,6,0),"※编码不在物料档案里"))</f>
        <v/>
      </c>
      <c r="J1314" s="23" t="n"/>
      <c r="K1314" s="17" t="n"/>
      <c r="L1314" s="17" t="n"/>
      <c r="M1314" s="17" t="n"/>
      <c r="N1314" s="17" t="n"/>
      <c r="O1314" s="26">
        <f>IF($D1314="","",IFERROR(VLOOKUP($D1314,物料档案!$A$4:$P$1203,10,0),0))</f>
        <v/>
      </c>
      <c r="P1314" s="32" t="n"/>
      <c r="Q1314" s="26">
        <f>IF($D1314="","",IF($K1314&lt;&gt;"对外销售",0,ROUND(N($J1314)*IF($P1314="",N($O1314),N($P1314)),0)))</f>
        <v/>
      </c>
      <c r="R1314" s="26">
        <f>IF($D1314="","",IFERROR(VLOOKUP($D1314,库存台账!$A$5:$Y$1204,11,0),0))</f>
        <v/>
      </c>
      <c r="S1314" s="26">
        <f>IF($D1314="","",ROUND(N($J1314)*N($R1314),0))</f>
        <v/>
      </c>
      <c r="T1314" s="26">
        <f>IF($D1314="","",IF($K1314&lt;&gt;"对外销售","",ROUND($Q1314-$S1314,0)))</f>
        <v/>
      </c>
      <c r="U1314" s="17" t="n"/>
      <c r="V1314" s="17" t="n"/>
      <c r="W1314" s="24">
        <f>IF($D1314="","",IF($E1314="※编码不在物料档案里","※物料编码不在档案里",IF(N($J1314)&lt;=0,"※出库数量要大于 0",IF($K1314="","※没填去向类型",IF($L1314="","※没填去向矿区",IF(AND($C1314&lt;&gt;"",$C1314&lt;=结账锁),"※日期早于已结账截止日，不能再录",IF(AND($K1314="自用消耗",COUNTIF({"一矿区";"二矿区"},$L1314)=0),"※自用消耗的去向只能是一矿区或二矿区",IF(AND($K1314="对外销售",COUNTIF({"三矿区";"六矿区"},$L1314)=0),"※对外销售的去向只能是三矿区或六矿区",IF(AND($K1314="对外销售",ROUND($Q1314,0)=0),"※外销却没有售价，请填实际售价",IF(AND($K1314="对外销售",$T1314&lt;&gt;"",$T1314&lt;0),"※这一笔外销是亏的，请核对售价",IF(IFERROR(VLOOKUP($D1314,库存台账!$A$5:$Y$1204,24,0),0)&lt;-0.001,"※这个物料账面已经变成负数了，查一下是不是漏记入库","")))))))))))</f>
        <v/>
      </c>
    </row>
    <row r="1315">
      <c r="A1315" s="24">
        <f>IF($D1315="","",COUNTA($D$4:$D1315))</f>
        <v/>
      </c>
      <c r="B1315" s="17" t="n"/>
      <c r="C1315" s="30" t="n"/>
      <c r="D1315" s="17" t="n"/>
      <c r="E1315" s="24">
        <f>IF($D1315="","",IFERROR(VLOOKUP($D1315,物料档案!$A$4:$P$1203,3,0),"※编码不在物料档案里"))</f>
        <v/>
      </c>
      <c r="F1315" s="24">
        <f>IF($D1315="","",IFERROR(VLOOKUP($D1315,物料档案!$A$4:$P$1203,4,0),"※编码不在物料档案里"))</f>
        <v/>
      </c>
      <c r="G1315" s="24">
        <f>IF($D1315="","",IFERROR(VLOOKUP($D1315,物料档案!$A$4:$P$1203,5,0),"※编码不在物料档案里"))</f>
        <v/>
      </c>
      <c r="H1315" s="24">
        <f>IF($D1315="","",IFERROR(VLOOKUP($D1315,物料档案!$A$4:$P$1203,2,0),"※编码不在物料档案里"))</f>
        <v/>
      </c>
      <c r="I1315" s="24">
        <f>IF($D1315="","",IFERROR(VLOOKUP($D1315,物料档案!$A$4:$P$1203,6,0),"※编码不在物料档案里"))</f>
        <v/>
      </c>
      <c r="J1315" s="23" t="n"/>
      <c r="K1315" s="17" t="n"/>
      <c r="L1315" s="17" t="n"/>
      <c r="M1315" s="17" t="n"/>
      <c r="N1315" s="17" t="n"/>
      <c r="O1315" s="26">
        <f>IF($D1315="","",IFERROR(VLOOKUP($D1315,物料档案!$A$4:$P$1203,10,0),0))</f>
        <v/>
      </c>
      <c r="P1315" s="32" t="n"/>
      <c r="Q1315" s="26">
        <f>IF($D1315="","",IF($K1315&lt;&gt;"对外销售",0,ROUND(N($J1315)*IF($P1315="",N($O1315),N($P1315)),0)))</f>
        <v/>
      </c>
      <c r="R1315" s="26">
        <f>IF($D1315="","",IFERROR(VLOOKUP($D1315,库存台账!$A$5:$Y$1204,11,0),0))</f>
        <v/>
      </c>
      <c r="S1315" s="26">
        <f>IF($D1315="","",ROUND(N($J1315)*N($R1315),0))</f>
        <v/>
      </c>
      <c r="T1315" s="26">
        <f>IF($D1315="","",IF($K1315&lt;&gt;"对外销售","",ROUND($Q1315-$S1315,0)))</f>
        <v/>
      </c>
      <c r="U1315" s="17" t="n"/>
      <c r="V1315" s="17" t="n"/>
      <c r="W1315" s="24">
        <f>IF($D1315="","",IF($E1315="※编码不在物料档案里","※物料编码不在档案里",IF(N($J1315)&lt;=0,"※出库数量要大于 0",IF($K1315="","※没填去向类型",IF($L1315="","※没填去向矿区",IF(AND($C1315&lt;&gt;"",$C1315&lt;=结账锁),"※日期早于已结账截止日，不能再录",IF(AND($K1315="自用消耗",COUNTIF({"一矿区";"二矿区"},$L1315)=0),"※自用消耗的去向只能是一矿区或二矿区",IF(AND($K1315="对外销售",COUNTIF({"三矿区";"六矿区"},$L1315)=0),"※对外销售的去向只能是三矿区或六矿区",IF(AND($K1315="对外销售",ROUND($Q1315,0)=0),"※外销却没有售价，请填实际售价",IF(AND($K1315="对外销售",$T1315&lt;&gt;"",$T1315&lt;0),"※这一笔外销是亏的，请核对售价",IF(IFERROR(VLOOKUP($D1315,库存台账!$A$5:$Y$1204,24,0),0)&lt;-0.001,"※这个物料账面已经变成负数了，查一下是不是漏记入库","")))))))))))</f>
        <v/>
      </c>
    </row>
    <row r="1316">
      <c r="A1316" s="24">
        <f>IF($D1316="","",COUNTA($D$4:$D1316))</f>
        <v/>
      </c>
      <c r="B1316" s="17" t="n"/>
      <c r="C1316" s="30" t="n"/>
      <c r="D1316" s="17" t="n"/>
      <c r="E1316" s="24">
        <f>IF($D1316="","",IFERROR(VLOOKUP($D1316,物料档案!$A$4:$P$1203,3,0),"※编码不在物料档案里"))</f>
        <v/>
      </c>
      <c r="F1316" s="24">
        <f>IF($D1316="","",IFERROR(VLOOKUP($D1316,物料档案!$A$4:$P$1203,4,0),"※编码不在物料档案里"))</f>
        <v/>
      </c>
      <c r="G1316" s="24">
        <f>IF($D1316="","",IFERROR(VLOOKUP($D1316,物料档案!$A$4:$P$1203,5,0),"※编码不在物料档案里"))</f>
        <v/>
      </c>
      <c r="H1316" s="24">
        <f>IF($D1316="","",IFERROR(VLOOKUP($D1316,物料档案!$A$4:$P$1203,2,0),"※编码不在物料档案里"))</f>
        <v/>
      </c>
      <c r="I1316" s="24">
        <f>IF($D1316="","",IFERROR(VLOOKUP($D1316,物料档案!$A$4:$P$1203,6,0),"※编码不在物料档案里"))</f>
        <v/>
      </c>
      <c r="J1316" s="23" t="n"/>
      <c r="K1316" s="17" t="n"/>
      <c r="L1316" s="17" t="n"/>
      <c r="M1316" s="17" t="n"/>
      <c r="N1316" s="17" t="n"/>
      <c r="O1316" s="26">
        <f>IF($D1316="","",IFERROR(VLOOKUP($D1316,物料档案!$A$4:$P$1203,10,0),0))</f>
        <v/>
      </c>
      <c r="P1316" s="32" t="n"/>
      <c r="Q1316" s="26">
        <f>IF($D1316="","",IF($K1316&lt;&gt;"对外销售",0,ROUND(N($J1316)*IF($P1316="",N($O1316),N($P1316)),0)))</f>
        <v/>
      </c>
      <c r="R1316" s="26">
        <f>IF($D1316="","",IFERROR(VLOOKUP($D1316,库存台账!$A$5:$Y$1204,11,0),0))</f>
        <v/>
      </c>
      <c r="S1316" s="26">
        <f>IF($D1316="","",ROUND(N($J1316)*N($R1316),0))</f>
        <v/>
      </c>
      <c r="T1316" s="26">
        <f>IF($D1316="","",IF($K1316&lt;&gt;"对外销售","",ROUND($Q1316-$S1316,0)))</f>
        <v/>
      </c>
      <c r="U1316" s="17" t="n"/>
      <c r="V1316" s="17" t="n"/>
      <c r="W1316" s="24">
        <f>IF($D1316="","",IF($E1316="※编码不在物料档案里","※物料编码不在档案里",IF(N($J1316)&lt;=0,"※出库数量要大于 0",IF($K1316="","※没填去向类型",IF($L1316="","※没填去向矿区",IF(AND($C1316&lt;&gt;"",$C1316&lt;=结账锁),"※日期早于已结账截止日，不能再录",IF(AND($K1316="自用消耗",COUNTIF({"一矿区";"二矿区"},$L1316)=0),"※自用消耗的去向只能是一矿区或二矿区",IF(AND($K1316="对外销售",COUNTIF({"三矿区";"六矿区"},$L1316)=0),"※对外销售的去向只能是三矿区或六矿区",IF(AND($K1316="对外销售",ROUND($Q1316,0)=0),"※外销却没有售价，请填实际售价",IF(AND($K1316="对外销售",$T1316&lt;&gt;"",$T1316&lt;0),"※这一笔外销是亏的，请核对售价",IF(IFERROR(VLOOKUP($D1316,库存台账!$A$5:$Y$1204,24,0),0)&lt;-0.001,"※这个物料账面已经变成负数了，查一下是不是漏记入库","")))))))))))</f>
        <v/>
      </c>
    </row>
    <row r="1317">
      <c r="A1317" s="24">
        <f>IF($D1317="","",COUNTA($D$4:$D1317))</f>
        <v/>
      </c>
      <c r="B1317" s="17" t="n"/>
      <c r="C1317" s="30" t="n"/>
      <c r="D1317" s="17" t="n"/>
      <c r="E1317" s="24">
        <f>IF($D1317="","",IFERROR(VLOOKUP($D1317,物料档案!$A$4:$P$1203,3,0),"※编码不在物料档案里"))</f>
        <v/>
      </c>
      <c r="F1317" s="24">
        <f>IF($D1317="","",IFERROR(VLOOKUP($D1317,物料档案!$A$4:$P$1203,4,0),"※编码不在物料档案里"))</f>
        <v/>
      </c>
      <c r="G1317" s="24">
        <f>IF($D1317="","",IFERROR(VLOOKUP($D1317,物料档案!$A$4:$P$1203,5,0),"※编码不在物料档案里"))</f>
        <v/>
      </c>
      <c r="H1317" s="24">
        <f>IF($D1317="","",IFERROR(VLOOKUP($D1317,物料档案!$A$4:$P$1203,2,0),"※编码不在物料档案里"))</f>
        <v/>
      </c>
      <c r="I1317" s="24">
        <f>IF($D1317="","",IFERROR(VLOOKUP($D1317,物料档案!$A$4:$P$1203,6,0),"※编码不在物料档案里"))</f>
        <v/>
      </c>
      <c r="J1317" s="23" t="n"/>
      <c r="K1317" s="17" t="n"/>
      <c r="L1317" s="17" t="n"/>
      <c r="M1317" s="17" t="n"/>
      <c r="N1317" s="17" t="n"/>
      <c r="O1317" s="26">
        <f>IF($D1317="","",IFERROR(VLOOKUP($D1317,物料档案!$A$4:$P$1203,10,0),0))</f>
        <v/>
      </c>
      <c r="P1317" s="32" t="n"/>
      <c r="Q1317" s="26">
        <f>IF($D1317="","",IF($K1317&lt;&gt;"对外销售",0,ROUND(N($J1317)*IF($P1317="",N($O1317),N($P1317)),0)))</f>
        <v/>
      </c>
      <c r="R1317" s="26">
        <f>IF($D1317="","",IFERROR(VLOOKUP($D1317,库存台账!$A$5:$Y$1204,11,0),0))</f>
        <v/>
      </c>
      <c r="S1317" s="26">
        <f>IF($D1317="","",ROUND(N($J1317)*N($R1317),0))</f>
        <v/>
      </c>
      <c r="T1317" s="26">
        <f>IF($D1317="","",IF($K1317&lt;&gt;"对外销售","",ROUND($Q1317-$S1317,0)))</f>
        <v/>
      </c>
      <c r="U1317" s="17" t="n"/>
      <c r="V1317" s="17" t="n"/>
      <c r="W1317" s="24">
        <f>IF($D1317="","",IF($E1317="※编码不在物料档案里","※物料编码不在档案里",IF(N($J1317)&lt;=0,"※出库数量要大于 0",IF($K1317="","※没填去向类型",IF($L1317="","※没填去向矿区",IF(AND($C1317&lt;&gt;"",$C1317&lt;=结账锁),"※日期早于已结账截止日，不能再录",IF(AND($K1317="自用消耗",COUNTIF({"一矿区";"二矿区"},$L1317)=0),"※自用消耗的去向只能是一矿区或二矿区",IF(AND($K1317="对外销售",COUNTIF({"三矿区";"六矿区"},$L1317)=0),"※对外销售的去向只能是三矿区或六矿区",IF(AND($K1317="对外销售",ROUND($Q1317,0)=0),"※外销却没有售价，请填实际售价",IF(AND($K1317="对外销售",$T1317&lt;&gt;"",$T1317&lt;0),"※这一笔外销是亏的，请核对售价",IF(IFERROR(VLOOKUP($D1317,库存台账!$A$5:$Y$1204,24,0),0)&lt;-0.001,"※这个物料账面已经变成负数了，查一下是不是漏记入库","")))))))))))</f>
        <v/>
      </c>
    </row>
    <row r="1318">
      <c r="A1318" s="24">
        <f>IF($D1318="","",COUNTA($D$4:$D1318))</f>
        <v/>
      </c>
      <c r="B1318" s="17" t="n"/>
      <c r="C1318" s="30" t="n"/>
      <c r="D1318" s="17" t="n"/>
      <c r="E1318" s="24">
        <f>IF($D1318="","",IFERROR(VLOOKUP($D1318,物料档案!$A$4:$P$1203,3,0),"※编码不在物料档案里"))</f>
        <v/>
      </c>
      <c r="F1318" s="24">
        <f>IF($D1318="","",IFERROR(VLOOKUP($D1318,物料档案!$A$4:$P$1203,4,0),"※编码不在物料档案里"))</f>
        <v/>
      </c>
      <c r="G1318" s="24">
        <f>IF($D1318="","",IFERROR(VLOOKUP($D1318,物料档案!$A$4:$P$1203,5,0),"※编码不在物料档案里"))</f>
        <v/>
      </c>
      <c r="H1318" s="24">
        <f>IF($D1318="","",IFERROR(VLOOKUP($D1318,物料档案!$A$4:$P$1203,2,0),"※编码不在物料档案里"))</f>
        <v/>
      </c>
      <c r="I1318" s="24">
        <f>IF($D1318="","",IFERROR(VLOOKUP($D1318,物料档案!$A$4:$P$1203,6,0),"※编码不在物料档案里"))</f>
        <v/>
      </c>
      <c r="J1318" s="23" t="n"/>
      <c r="K1318" s="17" t="n"/>
      <c r="L1318" s="17" t="n"/>
      <c r="M1318" s="17" t="n"/>
      <c r="N1318" s="17" t="n"/>
      <c r="O1318" s="26">
        <f>IF($D1318="","",IFERROR(VLOOKUP($D1318,物料档案!$A$4:$P$1203,10,0),0))</f>
        <v/>
      </c>
      <c r="P1318" s="32" t="n"/>
      <c r="Q1318" s="26">
        <f>IF($D1318="","",IF($K1318&lt;&gt;"对外销售",0,ROUND(N($J1318)*IF($P1318="",N($O1318),N($P1318)),0)))</f>
        <v/>
      </c>
      <c r="R1318" s="26">
        <f>IF($D1318="","",IFERROR(VLOOKUP($D1318,库存台账!$A$5:$Y$1204,11,0),0))</f>
        <v/>
      </c>
      <c r="S1318" s="26">
        <f>IF($D1318="","",ROUND(N($J1318)*N($R1318),0))</f>
        <v/>
      </c>
      <c r="T1318" s="26">
        <f>IF($D1318="","",IF($K1318&lt;&gt;"对外销售","",ROUND($Q1318-$S1318,0)))</f>
        <v/>
      </c>
      <c r="U1318" s="17" t="n"/>
      <c r="V1318" s="17" t="n"/>
      <c r="W1318" s="24">
        <f>IF($D1318="","",IF($E1318="※编码不在物料档案里","※物料编码不在档案里",IF(N($J1318)&lt;=0,"※出库数量要大于 0",IF($K1318="","※没填去向类型",IF($L1318="","※没填去向矿区",IF(AND($C1318&lt;&gt;"",$C1318&lt;=结账锁),"※日期早于已结账截止日，不能再录",IF(AND($K1318="自用消耗",COUNTIF({"一矿区";"二矿区"},$L1318)=0),"※自用消耗的去向只能是一矿区或二矿区",IF(AND($K1318="对外销售",COUNTIF({"三矿区";"六矿区"},$L1318)=0),"※对外销售的去向只能是三矿区或六矿区",IF(AND($K1318="对外销售",ROUND($Q1318,0)=0),"※外销却没有售价，请填实际售价",IF(AND($K1318="对外销售",$T1318&lt;&gt;"",$T1318&lt;0),"※这一笔外销是亏的，请核对售价",IF(IFERROR(VLOOKUP($D1318,库存台账!$A$5:$Y$1204,24,0),0)&lt;-0.001,"※这个物料账面已经变成负数了，查一下是不是漏记入库","")))))))))))</f>
        <v/>
      </c>
    </row>
    <row r="1319">
      <c r="A1319" s="24">
        <f>IF($D1319="","",COUNTA($D$4:$D1319))</f>
        <v/>
      </c>
      <c r="B1319" s="17" t="n"/>
      <c r="C1319" s="30" t="n"/>
      <c r="D1319" s="17" t="n"/>
      <c r="E1319" s="24">
        <f>IF($D1319="","",IFERROR(VLOOKUP($D1319,物料档案!$A$4:$P$1203,3,0),"※编码不在物料档案里"))</f>
        <v/>
      </c>
      <c r="F1319" s="24">
        <f>IF($D1319="","",IFERROR(VLOOKUP($D1319,物料档案!$A$4:$P$1203,4,0),"※编码不在物料档案里"))</f>
        <v/>
      </c>
      <c r="G1319" s="24">
        <f>IF($D1319="","",IFERROR(VLOOKUP($D1319,物料档案!$A$4:$P$1203,5,0),"※编码不在物料档案里"))</f>
        <v/>
      </c>
      <c r="H1319" s="24">
        <f>IF($D1319="","",IFERROR(VLOOKUP($D1319,物料档案!$A$4:$P$1203,2,0),"※编码不在物料档案里"))</f>
        <v/>
      </c>
      <c r="I1319" s="24">
        <f>IF($D1319="","",IFERROR(VLOOKUP($D1319,物料档案!$A$4:$P$1203,6,0),"※编码不在物料档案里"))</f>
        <v/>
      </c>
      <c r="J1319" s="23" t="n"/>
      <c r="K1319" s="17" t="n"/>
      <c r="L1319" s="17" t="n"/>
      <c r="M1319" s="17" t="n"/>
      <c r="N1319" s="17" t="n"/>
      <c r="O1319" s="26">
        <f>IF($D1319="","",IFERROR(VLOOKUP($D1319,物料档案!$A$4:$P$1203,10,0),0))</f>
        <v/>
      </c>
      <c r="P1319" s="32" t="n"/>
      <c r="Q1319" s="26">
        <f>IF($D1319="","",IF($K1319&lt;&gt;"对外销售",0,ROUND(N($J1319)*IF($P1319="",N($O1319),N($P1319)),0)))</f>
        <v/>
      </c>
      <c r="R1319" s="26">
        <f>IF($D1319="","",IFERROR(VLOOKUP($D1319,库存台账!$A$5:$Y$1204,11,0),0))</f>
        <v/>
      </c>
      <c r="S1319" s="26">
        <f>IF($D1319="","",ROUND(N($J1319)*N($R1319),0))</f>
        <v/>
      </c>
      <c r="T1319" s="26">
        <f>IF($D1319="","",IF($K1319&lt;&gt;"对外销售","",ROUND($Q1319-$S1319,0)))</f>
        <v/>
      </c>
      <c r="U1319" s="17" t="n"/>
      <c r="V1319" s="17" t="n"/>
      <c r="W1319" s="24">
        <f>IF($D1319="","",IF($E1319="※编码不在物料档案里","※物料编码不在档案里",IF(N($J1319)&lt;=0,"※出库数量要大于 0",IF($K1319="","※没填去向类型",IF($L1319="","※没填去向矿区",IF(AND($C1319&lt;&gt;"",$C1319&lt;=结账锁),"※日期早于已结账截止日，不能再录",IF(AND($K1319="自用消耗",COUNTIF({"一矿区";"二矿区"},$L1319)=0),"※自用消耗的去向只能是一矿区或二矿区",IF(AND($K1319="对外销售",COUNTIF({"三矿区";"六矿区"},$L1319)=0),"※对外销售的去向只能是三矿区或六矿区",IF(AND($K1319="对外销售",ROUND($Q1319,0)=0),"※外销却没有售价，请填实际售价",IF(AND($K1319="对外销售",$T1319&lt;&gt;"",$T1319&lt;0),"※这一笔外销是亏的，请核对售价",IF(IFERROR(VLOOKUP($D1319,库存台账!$A$5:$Y$1204,24,0),0)&lt;-0.001,"※这个物料账面已经变成负数了，查一下是不是漏记入库","")))))))))))</f>
        <v/>
      </c>
    </row>
    <row r="1320">
      <c r="A1320" s="24">
        <f>IF($D1320="","",COUNTA($D$4:$D1320))</f>
        <v/>
      </c>
      <c r="B1320" s="17" t="n"/>
      <c r="C1320" s="30" t="n"/>
      <c r="D1320" s="17" t="n"/>
      <c r="E1320" s="24">
        <f>IF($D1320="","",IFERROR(VLOOKUP($D1320,物料档案!$A$4:$P$1203,3,0),"※编码不在物料档案里"))</f>
        <v/>
      </c>
      <c r="F1320" s="24">
        <f>IF($D1320="","",IFERROR(VLOOKUP($D1320,物料档案!$A$4:$P$1203,4,0),"※编码不在物料档案里"))</f>
        <v/>
      </c>
      <c r="G1320" s="24">
        <f>IF($D1320="","",IFERROR(VLOOKUP($D1320,物料档案!$A$4:$P$1203,5,0),"※编码不在物料档案里"))</f>
        <v/>
      </c>
      <c r="H1320" s="24">
        <f>IF($D1320="","",IFERROR(VLOOKUP($D1320,物料档案!$A$4:$P$1203,2,0),"※编码不在物料档案里"))</f>
        <v/>
      </c>
      <c r="I1320" s="24">
        <f>IF($D1320="","",IFERROR(VLOOKUP($D1320,物料档案!$A$4:$P$1203,6,0),"※编码不在物料档案里"))</f>
        <v/>
      </c>
      <c r="J1320" s="23" t="n"/>
      <c r="K1320" s="17" t="n"/>
      <c r="L1320" s="17" t="n"/>
      <c r="M1320" s="17" t="n"/>
      <c r="N1320" s="17" t="n"/>
      <c r="O1320" s="26">
        <f>IF($D1320="","",IFERROR(VLOOKUP($D1320,物料档案!$A$4:$P$1203,10,0),0))</f>
        <v/>
      </c>
      <c r="P1320" s="32" t="n"/>
      <c r="Q1320" s="26">
        <f>IF($D1320="","",IF($K1320&lt;&gt;"对外销售",0,ROUND(N($J1320)*IF($P1320="",N($O1320),N($P1320)),0)))</f>
        <v/>
      </c>
      <c r="R1320" s="26">
        <f>IF($D1320="","",IFERROR(VLOOKUP($D1320,库存台账!$A$5:$Y$1204,11,0),0))</f>
        <v/>
      </c>
      <c r="S1320" s="26">
        <f>IF($D1320="","",ROUND(N($J1320)*N($R1320),0))</f>
        <v/>
      </c>
      <c r="T1320" s="26">
        <f>IF($D1320="","",IF($K1320&lt;&gt;"对外销售","",ROUND($Q1320-$S1320,0)))</f>
        <v/>
      </c>
      <c r="U1320" s="17" t="n"/>
      <c r="V1320" s="17" t="n"/>
      <c r="W1320" s="24">
        <f>IF($D1320="","",IF($E1320="※编码不在物料档案里","※物料编码不在档案里",IF(N($J1320)&lt;=0,"※出库数量要大于 0",IF($K1320="","※没填去向类型",IF($L1320="","※没填去向矿区",IF(AND($C1320&lt;&gt;"",$C1320&lt;=结账锁),"※日期早于已结账截止日，不能再录",IF(AND($K1320="自用消耗",COUNTIF({"一矿区";"二矿区"},$L1320)=0),"※自用消耗的去向只能是一矿区或二矿区",IF(AND($K1320="对外销售",COUNTIF({"三矿区";"六矿区"},$L1320)=0),"※对外销售的去向只能是三矿区或六矿区",IF(AND($K1320="对外销售",ROUND($Q1320,0)=0),"※外销却没有售价，请填实际售价",IF(AND($K1320="对外销售",$T1320&lt;&gt;"",$T1320&lt;0),"※这一笔外销是亏的，请核对售价",IF(IFERROR(VLOOKUP($D1320,库存台账!$A$5:$Y$1204,24,0),0)&lt;-0.001,"※这个物料账面已经变成负数了，查一下是不是漏记入库","")))))))))))</f>
        <v/>
      </c>
    </row>
    <row r="1321">
      <c r="A1321" s="24">
        <f>IF($D1321="","",COUNTA($D$4:$D1321))</f>
        <v/>
      </c>
      <c r="B1321" s="17" t="n"/>
      <c r="C1321" s="30" t="n"/>
      <c r="D1321" s="17" t="n"/>
      <c r="E1321" s="24">
        <f>IF($D1321="","",IFERROR(VLOOKUP($D1321,物料档案!$A$4:$P$1203,3,0),"※编码不在物料档案里"))</f>
        <v/>
      </c>
      <c r="F1321" s="24">
        <f>IF($D1321="","",IFERROR(VLOOKUP($D1321,物料档案!$A$4:$P$1203,4,0),"※编码不在物料档案里"))</f>
        <v/>
      </c>
      <c r="G1321" s="24">
        <f>IF($D1321="","",IFERROR(VLOOKUP($D1321,物料档案!$A$4:$P$1203,5,0),"※编码不在物料档案里"))</f>
        <v/>
      </c>
      <c r="H1321" s="24">
        <f>IF($D1321="","",IFERROR(VLOOKUP($D1321,物料档案!$A$4:$P$1203,2,0),"※编码不在物料档案里"))</f>
        <v/>
      </c>
      <c r="I1321" s="24">
        <f>IF($D1321="","",IFERROR(VLOOKUP($D1321,物料档案!$A$4:$P$1203,6,0),"※编码不在物料档案里"))</f>
        <v/>
      </c>
      <c r="J1321" s="23" t="n"/>
      <c r="K1321" s="17" t="n"/>
      <c r="L1321" s="17" t="n"/>
      <c r="M1321" s="17" t="n"/>
      <c r="N1321" s="17" t="n"/>
      <c r="O1321" s="26">
        <f>IF($D1321="","",IFERROR(VLOOKUP($D1321,物料档案!$A$4:$P$1203,10,0),0))</f>
        <v/>
      </c>
      <c r="P1321" s="32" t="n"/>
      <c r="Q1321" s="26">
        <f>IF($D1321="","",IF($K1321&lt;&gt;"对外销售",0,ROUND(N($J1321)*IF($P1321="",N($O1321),N($P1321)),0)))</f>
        <v/>
      </c>
      <c r="R1321" s="26">
        <f>IF($D1321="","",IFERROR(VLOOKUP($D1321,库存台账!$A$5:$Y$1204,11,0),0))</f>
        <v/>
      </c>
      <c r="S1321" s="26">
        <f>IF($D1321="","",ROUND(N($J1321)*N($R1321),0))</f>
        <v/>
      </c>
      <c r="T1321" s="26">
        <f>IF($D1321="","",IF($K1321&lt;&gt;"对外销售","",ROUND($Q1321-$S1321,0)))</f>
        <v/>
      </c>
      <c r="U1321" s="17" t="n"/>
      <c r="V1321" s="17" t="n"/>
      <c r="W1321" s="24">
        <f>IF($D1321="","",IF($E1321="※编码不在物料档案里","※物料编码不在档案里",IF(N($J1321)&lt;=0,"※出库数量要大于 0",IF($K1321="","※没填去向类型",IF($L1321="","※没填去向矿区",IF(AND($C1321&lt;&gt;"",$C1321&lt;=结账锁),"※日期早于已结账截止日，不能再录",IF(AND($K1321="自用消耗",COUNTIF({"一矿区";"二矿区"},$L1321)=0),"※自用消耗的去向只能是一矿区或二矿区",IF(AND($K1321="对外销售",COUNTIF({"三矿区";"六矿区"},$L1321)=0),"※对外销售的去向只能是三矿区或六矿区",IF(AND($K1321="对外销售",ROUND($Q1321,0)=0),"※外销却没有售价，请填实际售价",IF(AND($K1321="对外销售",$T1321&lt;&gt;"",$T1321&lt;0),"※这一笔外销是亏的，请核对售价",IF(IFERROR(VLOOKUP($D1321,库存台账!$A$5:$Y$1204,24,0),0)&lt;-0.001,"※这个物料账面已经变成负数了，查一下是不是漏记入库","")))))))))))</f>
        <v/>
      </c>
    </row>
    <row r="1322">
      <c r="A1322" s="24">
        <f>IF($D1322="","",COUNTA($D$4:$D1322))</f>
        <v/>
      </c>
      <c r="B1322" s="17" t="n"/>
      <c r="C1322" s="30" t="n"/>
      <c r="D1322" s="17" t="n"/>
      <c r="E1322" s="24">
        <f>IF($D1322="","",IFERROR(VLOOKUP($D1322,物料档案!$A$4:$P$1203,3,0),"※编码不在物料档案里"))</f>
        <v/>
      </c>
      <c r="F1322" s="24">
        <f>IF($D1322="","",IFERROR(VLOOKUP($D1322,物料档案!$A$4:$P$1203,4,0),"※编码不在物料档案里"))</f>
        <v/>
      </c>
      <c r="G1322" s="24">
        <f>IF($D1322="","",IFERROR(VLOOKUP($D1322,物料档案!$A$4:$P$1203,5,0),"※编码不在物料档案里"))</f>
        <v/>
      </c>
      <c r="H1322" s="24">
        <f>IF($D1322="","",IFERROR(VLOOKUP($D1322,物料档案!$A$4:$P$1203,2,0),"※编码不在物料档案里"))</f>
        <v/>
      </c>
      <c r="I1322" s="24">
        <f>IF($D1322="","",IFERROR(VLOOKUP($D1322,物料档案!$A$4:$P$1203,6,0),"※编码不在物料档案里"))</f>
        <v/>
      </c>
      <c r="J1322" s="23" t="n"/>
      <c r="K1322" s="17" t="n"/>
      <c r="L1322" s="17" t="n"/>
      <c r="M1322" s="17" t="n"/>
      <c r="N1322" s="17" t="n"/>
      <c r="O1322" s="26">
        <f>IF($D1322="","",IFERROR(VLOOKUP($D1322,物料档案!$A$4:$P$1203,10,0),0))</f>
        <v/>
      </c>
      <c r="P1322" s="32" t="n"/>
      <c r="Q1322" s="26">
        <f>IF($D1322="","",IF($K1322&lt;&gt;"对外销售",0,ROUND(N($J1322)*IF($P1322="",N($O1322),N($P1322)),0)))</f>
        <v/>
      </c>
      <c r="R1322" s="26">
        <f>IF($D1322="","",IFERROR(VLOOKUP($D1322,库存台账!$A$5:$Y$1204,11,0),0))</f>
        <v/>
      </c>
      <c r="S1322" s="26">
        <f>IF($D1322="","",ROUND(N($J1322)*N($R1322),0))</f>
        <v/>
      </c>
      <c r="T1322" s="26">
        <f>IF($D1322="","",IF($K1322&lt;&gt;"对外销售","",ROUND($Q1322-$S1322,0)))</f>
        <v/>
      </c>
      <c r="U1322" s="17" t="n"/>
      <c r="V1322" s="17" t="n"/>
      <c r="W1322" s="24">
        <f>IF($D1322="","",IF($E1322="※编码不在物料档案里","※物料编码不在档案里",IF(N($J1322)&lt;=0,"※出库数量要大于 0",IF($K1322="","※没填去向类型",IF($L1322="","※没填去向矿区",IF(AND($C1322&lt;&gt;"",$C1322&lt;=结账锁),"※日期早于已结账截止日，不能再录",IF(AND($K1322="自用消耗",COUNTIF({"一矿区";"二矿区"},$L1322)=0),"※自用消耗的去向只能是一矿区或二矿区",IF(AND($K1322="对外销售",COUNTIF({"三矿区";"六矿区"},$L1322)=0),"※对外销售的去向只能是三矿区或六矿区",IF(AND($K1322="对外销售",ROUND($Q1322,0)=0),"※外销却没有售价，请填实际售价",IF(AND($K1322="对外销售",$T1322&lt;&gt;"",$T1322&lt;0),"※这一笔外销是亏的，请核对售价",IF(IFERROR(VLOOKUP($D1322,库存台账!$A$5:$Y$1204,24,0),0)&lt;-0.001,"※这个物料账面已经变成负数了，查一下是不是漏记入库","")))))))))))</f>
        <v/>
      </c>
    </row>
    <row r="1323">
      <c r="A1323" s="24">
        <f>IF($D1323="","",COUNTA($D$4:$D1323))</f>
        <v/>
      </c>
      <c r="B1323" s="17" t="n"/>
      <c r="C1323" s="30" t="n"/>
      <c r="D1323" s="17" t="n"/>
      <c r="E1323" s="24">
        <f>IF($D1323="","",IFERROR(VLOOKUP($D1323,物料档案!$A$4:$P$1203,3,0),"※编码不在物料档案里"))</f>
        <v/>
      </c>
      <c r="F1323" s="24">
        <f>IF($D1323="","",IFERROR(VLOOKUP($D1323,物料档案!$A$4:$P$1203,4,0),"※编码不在物料档案里"))</f>
        <v/>
      </c>
      <c r="G1323" s="24">
        <f>IF($D1323="","",IFERROR(VLOOKUP($D1323,物料档案!$A$4:$P$1203,5,0),"※编码不在物料档案里"))</f>
        <v/>
      </c>
      <c r="H1323" s="24">
        <f>IF($D1323="","",IFERROR(VLOOKUP($D1323,物料档案!$A$4:$P$1203,2,0),"※编码不在物料档案里"))</f>
        <v/>
      </c>
      <c r="I1323" s="24">
        <f>IF($D1323="","",IFERROR(VLOOKUP($D1323,物料档案!$A$4:$P$1203,6,0),"※编码不在物料档案里"))</f>
        <v/>
      </c>
      <c r="J1323" s="23" t="n"/>
      <c r="K1323" s="17" t="n"/>
      <c r="L1323" s="17" t="n"/>
      <c r="M1323" s="17" t="n"/>
      <c r="N1323" s="17" t="n"/>
      <c r="O1323" s="26">
        <f>IF($D1323="","",IFERROR(VLOOKUP($D1323,物料档案!$A$4:$P$1203,10,0),0))</f>
        <v/>
      </c>
      <c r="P1323" s="32" t="n"/>
      <c r="Q1323" s="26">
        <f>IF($D1323="","",IF($K1323&lt;&gt;"对外销售",0,ROUND(N($J1323)*IF($P1323="",N($O1323),N($P1323)),0)))</f>
        <v/>
      </c>
      <c r="R1323" s="26">
        <f>IF($D1323="","",IFERROR(VLOOKUP($D1323,库存台账!$A$5:$Y$1204,11,0),0))</f>
        <v/>
      </c>
      <c r="S1323" s="26">
        <f>IF($D1323="","",ROUND(N($J1323)*N($R1323),0))</f>
        <v/>
      </c>
      <c r="T1323" s="26">
        <f>IF($D1323="","",IF($K1323&lt;&gt;"对外销售","",ROUND($Q1323-$S1323,0)))</f>
        <v/>
      </c>
      <c r="U1323" s="17" t="n"/>
      <c r="V1323" s="17" t="n"/>
      <c r="W1323" s="24">
        <f>IF($D1323="","",IF($E1323="※编码不在物料档案里","※物料编码不在档案里",IF(N($J1323)&lt;=0,"※出库数量要大于 0",IF($K1323="","※没填去向类型",IF($L1323="","※没填去向矿区",IF(AND($C1323&lt;&gt;"",$C1323&lt;=结账锁),"※日期早于已结账截止日，不能再录",IF(AND($K1323="自用消耗",COUNTIF({"一矿区";"二矿区"},$L1323)=0),"※自用消耗的去向只能是一矿区或二矿区",IF(AND($K1323="对外销售",COUNTIF({"三矿区";"六矿区"},$L1323)=0),"※对外销售的去向只能是三矿区或六矿区",IF(AND($K1323="对外销售",ROUND($Q1323,0)=0),"※外销却没有售价，请填实际售价",IF(AND($K1323="对外销售",$T1323&lt;&gt;"",$T1323&lt;0),"※这一笔外销是亏的，请核对售价",IF(IFERROR(VLOOKUP($D1323,库存台账!$A$5:$Y$1204,24,0),0)&lt;-0.001,"※这个物料账面已经变成负数了，查一下是不是漏记入库","")))))))))))</f>
        <v/>
      </c>
    </row>
    <row r="1324">
      <c r="A1324" s="24">
        <f>IF($D1324="","",COUNTA($D$4:$D1324))</f>
        <v/>
      </c>
      <c r="B1324" s="17" t="n"/>
      <c r="C1324" s="30" t="n"/>
      <c r="D1324" s="17" t="n"/>
      <c r="E1324" s="24">
        <f>IF($D1324="","",IFERROR(VLOOKUP($D1324,物料档案!$A$4:$P$1203,3,0),"※编码不在物料档案里"))</f>
        <v/>
      </c>
      <c r="F1324" s="24">
        <f>IF($D1324="","",IFERROR(VLOOKUP($D1324,物料档案!$A$4:$P$1203,4,0),"※编码不在物料档案里"))</f>
        <v/>
      </c>
      <c r="G1324" s="24">
        <f>IF($D1324="","",IFERROR(VLOOKUP($D1324,物料档案!$A$4:$P$1203,5,0),"※编码不在物料档案里"))</f>
        <v/>
      </c>
      <c r="H1324" s="24">
        <f>IF($D1324="","",IFERROR(VLOOKUP($D1324,物料档案!$A$4:$P$1203,2,0),"※编码不在物料档案里"))</f>
        <v/>
      </c>
      <c r="I1324" s="24">
        <f>IF($D1324="","",IFERROR(VLOOKUP($D1324,物料档案!$A$4:$P$1203,6,0),"※编码不在物料档案里"))</f>
        <v/>
      </c>
      <c r="J1324" s="23" t="n"/>
      <c r="K1324" s="17" t="n"/>
      <c r="L1324" s="17" t="n"/>
      <c r="M1324" s="17" t="n"/>
      <c r="N1324" s="17" t="n"/>
      <c r="O1324" s="26">
        <f>IF($D1324="","",IFERROR(VLOOKUP($D1324,物料档案!$A$4:$P$1203,10,0),0))</f>
        <v/>
      </c>
      <c r="P1324" s="32" t="n"/>
      <c r="Q1324" s="26">
        <f>IF($D1324="","",IF($K1324&lt;&gt;"对外销售",0,ROUND(N($J1324)*IF($P1324="",N($O1324),N($P1324)),0)))</f>
        <v/>
      </c>
      <c r="R1324" s="26">
        <f>IF($D1324="","",IFERROR(VLOOKUP($D1324,库存台账!$A$5:$Y$1204,11,0),0))</f>
        <v/>
      </c>
      <c r="S1324" s="26">
        <f>IF($D1324="","",ROUND(N($J1324)*N($R1324),0))</f>
        <v/>
      </c>
      <c r="T1324" s="26">
        <f>IF($D1324="","",IF($K1324&lt;&gt;"对外销售","",ROUND($Q1324-$S1324,0)))</f>
        <v/>
      </c>
      <c r="U1324" s="17" t="n"/>
      <c r="V1324" s="17" t="n"/>
      <c r="W1324" s="24">
        <f>IF($D1324="","",IF($E1324="※编码不在物料档案里","※物料编码不在档案里",IF(N($J1324)&lt;=0,"※出库数量要大于 0",IF($K1324="","※没填去向类型",IF($L1324="","※没填去向矿区",IF(AND($C1324&lt;&gt;"",$C1324&lt;=结账锁),"※日期早于已结账截止日，不能再录",IF(AND($K1324="自用消耗",COUNTIF({"一矿区";"二矿区"},$L1324)=0),"※自用消耗的去向只能是一矿区或二矿区",IF(AND($K1324="对外销售",COUNTIF({"三矿区";"六矿区"},$L1324)=0),"※对外销售的去向只能是三矿区或六矿区",IF(AND($K1324="对外销售",ROUND($Q1324,0)=0),"※外销却没有售价，请填实际售价",IF(AND($K1324="对外销售",$T1324&lt;&gt;"",$T1324&lt;0),"※这一笔外销是亏的，请核对售价",IF(IFERROR(VLOOKUP($D1324,库存台账!$A$5:$Y$1204,24,0),0)&lt;-0.001,"※这个物料账面已经变成负数了，查一下是不是漏记入库","")))))))))))</f>
        <v/>
      </c>
    </row>
    <row r="1325">
      <c r="A1325" s="24">
        <f>IF($D1325="","",COUNTA($D$4:$D1325))</f>
        <v/>
      </c>
      <c r="B1325" s="17" t="n"/>
      <c r="C1325" s="30" t="n"/>
      <c r="D1325" s="17" t="n"/>
      <c r="E1325" s="24">
        <f>IF($D1325="","",IFERROR(VLOOKUP($D1325,物料档案!$A$4:$P$1203,3,0),"※编码不在物料档案里"))</f>
        <v/>
      </c>
      <c r="F1325" s="24">
        <f>IF($D1325="","",IFERROR(VLOOKUP($D1325,物料档案!$A$4:$P$1203,4,0),"※编码不在物料档案里"))</f>
        <v/>
      </c>
      <c r="G1325" s="24">
        <f>IF($D1325="","",IFERROR(VLOOKUP($D1325,物料档案!$A$4:$P$1203,5,0),"※编码不在物料档案里"))</f>
        <v/>
      </c>
      <c r="H1325" s="24">
        <f>IF($D1325="","",IFERROR(VLOOKUP($D1325,物料档案!$A$4:$P$1203,2,0),"※编码不在物料档案里"))</f>
        <v/>
      </c>
      <c r="I1325" s="24">
        <f>IF($D1325="","",IFERROR(VLOOKUP($D1325,物料档案!$A$4:$P$1203,6,0),"※编码不在物料档案里"))</f>
        <v/>
      </c>
      <c r="J1325" s="23" t="n"/>
      <c r="K1325" s="17" t="n"/>
      <c r="L1325" s="17" t="n"/>
      <c r="M1325" s="17" t="n"/>
      <c r="N1325" s="17" t="n"/>
      <c r="O1325" s="26">
        <f>IF($D1325="","",IFERROR(VLOOKUP($D1325,物料档案!$A$4:$P$1203,10,0),0))</f>
        <v/>
      </c>
      <c r="P1325" s="32" t="n"/>
      <c r="Q1325" s="26">
        <f>IF($D1325="","",IF($K1325&lt;&gt;"对外销售",0,ROUND(N($J1325)*IF($P1325="",N($O1325),N($P1325)),0)))</f>
        <v/>
      </c>
      <c r="R1325" s="26">
        <f>IF($D1325="","",IFERROR(VLOOKUP($D1325,库存台账!$A$5:$Y$1204,11,0),0))</f>
        <v/>
      </c>
      <c r="S1325" s="26">
        <f>IF($D1325="","",ROUND(N($J1325)*N($R1325),0))</f>
        <v/>
      </c>
      <c r="T1325" s="26">
        <f>IF($D1325="","",IF($K1325&lt;&gt;"对外销售","",ROUND($Q1325-$S1325,0)))</f>
        <v/>
      </c>
      <c r="U1325" s="17" t="n"/>
      <c r="V1325" s="17" t="n"/>
      <c r="W1325" s="24">
        <f>IF($D1325="","",IF($E1325="※编码不在物料档案里","※物料编码不在档案里",IF(N($J1325)&lt;=0,"※出库数量要大于 0",IF($K1325="","※没填去向类型",IF($L1325="","※没填去向矿区",IF(AND($C1325&lt;&gt;"",$C1325&lt;=结账锁),"※日期早于已结账截止日，不能再录",IF(AND($K1325="自用消耗",COUNTIF({"一矿区";"二矿区"},$L1325)=0),"※自用消耗的去向只能是一矿区或二矿区",IF(AND($K1325="对外销售",COUNTIF({"三矿区";"六矿区"},$L1325)=0),"※对外销售的去向只能是三矿区或六矿区",IF(AND($K1325="对外销售",ROUND($Q1325,0)=0),"※外销却没有售价，请填实际售价",IF(AND($K1325="对外销售",$T1325&lt;&gt;"",$T1325&lt;0),"※这一笔外销是亏的，请核对售价",IF(IFERROR(VLOOKUP($D1325,库存台账!$A$5:$Y$1204,24,0),0)&lt;-0.001,"※这个物料账面已经变成负数了，查一下是不是漏记入库","")))))))))))</f>
        <v/>
      </c>
    </row>
    <row r="1326">
      <c r="A1326" s="24">
        <f>IF($D1326="","",COUNTA($D$4:$D1326))</f>
        <v/>
      </c>
      <c r="B1326" s="17" t="n"/>
      <c r="C1326" s="30" t="n"/>
      <c r="D1326" s="17" t="n"/>
      <c r="E1326" s="24">
        <f>IF($D1326="","",IFERROR(VLOOKUP($D1326,物料档案!$A$4:$P$1203,3,0),"※编码不在物料档案里"))</f>
        <v/>
      </c>
      <c r="F1326" s="24">
        <f>IF($D1326="","",IFERROR(VLOOKUP($D1326,物料档案!$A$4:$P$1203,4,0),"※编码不在物料档案里"))</f>
        <v/>
      </c>
      <c r="G1326" s="24">
        <f>IF($D1326="","",IFERROR(VLOOKUP($D1326,物料档案!$A$4:$P$1203,5,0),"※编码不在物料档案里"))</f>
        <v/>
      </c>
      <c r="H1326" s="24">
        <f>IF($D1326="","",IFERROR(VLOOKUP($D1326,物料档案!$A$4:$P$1203,2,0),"※编码不在物料档案里"))</f>
        <v/>
      </c>
      <c r="I1326" s="24">
        <f>IF($D1326="","",IFERROR(VLOOKUP($D1326,物料档案!$A$4:$P$1203,6,0),"※编码不在物料档案里"))</f>
        <v/>
      </c>
      <c r="J1326" s="23" t="n"/>
      <c r="K1326" s="17" t="n"/>
      <c r="L1326" s="17" t="n"/>
      <c r="M1326" s="17" t="n"/>
      <c r="N1326" s="17" t="n"/>
      <c r="O1326" s="26">
        <f>IF($D1326="","",IFERROR(VLOOKUP($D1326,物料档案!$A$4:$P$1203,10,0),0))</f>
        <v/>
      </c>
      <c r="P1326" s="32" t="n"/>
      <c r="Q1326" s="26">
        <f>IF($D1326="","",IF($K1326&lt;&gt;"对外销售",0,ROUND(N($J1326)*IF($P1326="",N($O1326),N($P1326)),0)))</f>
        <v/>
      </c>
      <c r="R1326" s="26">
        <f>IF($D1326="","",IFERROR(VLOOKUP($D1326,库存台账!$A$5:$Y$1204,11,0),0))</f>
        <v/>
      </c>
      <c r="S1326" s="26">
        <f>IF($D1326="","",ROUND(N($J1326)*N($R1326),0))</f>
        <v/>
      </c>
      <c r="T1326" s="26">
        <f>IF($D1326="","",IF($K1326&lt;&gt;"对外销售","",ROUND($Q1326-$S1326,0)))</f>
        <v/>
      </c>
      <c r="U1326" s="17" t="n"/>
      <c r="V1326" s="17" t="n"/>
      <c r="W1326" s="24">
        <f>IF($D1326="","",IF($E1326="※编码不在物料档案里","※物料编码不在档案里",IF(N($J1326)&lt;=0,"※出库数量要大于 0",IF($K1326="","※没填去向类型",IF($L1326="","※没填去向矿区",IF(AND($C1326&lt;&gt;"",$C1326&lt;=结账锁),"※日期早于已结账截止日，不能再录",IF(AND($K1326="自用消耗",COUNTIF({"一矿区";"二矿区"},$L1326)=0),"※自用消耗的去向只能是一矿区或二矿区",IF(AND($K1326="对外销售",COUNTIF({"三矿区";"六矿区"},$L1326)=0),"※对外销售的去向只能是三矿区或六矿区",IF(AND($K1326="对外销售",ROUND($Q1326,0)=0),"※外销却没有售价，请填实际售价",IF(AND($K1326="对外销售",$T1326&lt;&gt;"",$T1326&lt;0),"※这一笔外销是亏的，请核对售价",IF(IFERROR(VLOOKUP($D1326,库存台账!$A$5:$Y$1204,24,0),0)&lt;-0.001,"※这个物料账面已经变成负数了，查一下是不是漏记入库","")))))))))))</f>
        <v/>
      </c>
    </row>
    <row r="1327">
      <c r="A1327" s="24">
        <f>IF($D1327="","",COUNTA($D$4:$D1327))</f>
        <v/>
      </c>
      <c r="B1327" s="17" t="n"/>
      <c r="C1327" s="30" t="n"/>
      <c r="D1327" s="17" t="n"/>
      <c r="E1327" s="24">
        <f>IF($D1327="","",IFERROR(VLOOKUP($D1327,物料档案!$A$4:$P$1203,3,0),"※编码不在物料档案里"))</f>
        <v/>
      </c>
      <c r="F1327" s="24">
        <f>IF($D1327="","",IFERROR(VLOOKUP($D1327,物料档案!$A$4:$P$1203,4,0),"※编码不在物料档案里"))</f>
        <v/>
      </c>
      <c r="G1327" s="24">
        <f>IF($D1327="","",IFERROR(VLOOKUP($D1327,物料档案!$A$4:$P$1203,5,0),"※编码不在物料档案里"))</f>
        <v/>
      </c>
      <c r="H1327" s="24">
        <f>IF($D1327="","",IFERROR(VLOOKUP($D1327,物料档案!$A$4:$P$1203,2,0),"※编码不在物料档案里"))</f>
        <v/>
      </c>
      <c r="I1327" s="24">
        <f>IF($D1327="","",IFERROR(VLOOKUP($D1327,物料档案!$A$4:$P$1203,6,0),"※编码不在物料档案里"))</f>
        <v/>
      </c>
      <c r="J1327" s="23" t="n"/>
      <c r="K1327" s="17" t="n"/>
      <c r="L1327" s="17" t="n"/>
      <c r="M1327" s="17" t="n"/>
      <c r="N1327" s="17" t="n"/>
      <c r="O1327" s="26">
        <f>IF($D1327="","",IFERROR(VLOOKUP($D1327,物料档案!$A$4:$P$1203,10,0),0))</f>
        <v/>
      </c>
      <c r="P1327" s="32" t="n"/>
      <c r="Q1327" s="26">
        <f>IF($D1327="","",IF($K1327&lt;&gt;"对外销售",0,ROUND(N($J1327)*IF($P1327="",N($O1327),N($P1327)),0)))</f>
        <v/>
      </c>
      <c r="R1327" s="26">
        <f>IF($D1327="","",IFERROR(VLOOKUP($D1327,库存台账!$A$5:$Y$1204,11,0),0))</f>
        <v/>
      </c>
      <c r="S1327" s="26">
        <f>IF($D1327="","",ROUND(N($J1327)*N($R1327),0))</f>
        <v/>
      </c>
      <c r="T1327" s="26">
        <f>IF($D1327="","",IF($K1327&lt;&gt;"对外销售","",ROUND($Q1327-$S1327,0)))</f>
        <v/>
      </c>
      <c r="U1327" s="17" t="n"/>
      <c r="V1327" s="17" t="n"/>
      <c r="W1327" s="24">
        <f>IF($D1327="","",IF($E1327="※编码不在物料档案里","※物料编码不在档案里",IF(N($J1327)&lt;=0,"※出库数量要大于 0",IF($K1327="","※没填去向类型",IF($L1327="","※没填去向矿区",IF(AND($C1327&lt;&gt;"",$C1327&lt;=结账锁),"※日期早于已结账截止日，不能再录",IF(AND($K1327="自用消耗",COUNTIF({"一矿区";"二矿区"},$L1327)=0),"※自用消耗的去向只能是一矿区或二矿区",IF(AND($K1327="对外销售",COUNTIF({"三矿区";"六矿区"},$L1327)=0),"※对外销售的去向只能是三矿区或六矿区",IF(AND($K1327="对外销售",ROUND($Q1327,0)=0),"※外销却没有售价，请填实际售价",IF(AND($K1327="对外销售",$T1327&lt;&gt;"",$T1327&lt;0),"※这一笔外销是亏的，请核对售价",IF(IFERROR(VLOOKUP($D1327,库存台账!$A$5:$Y$1204,24,0),0)&lt;-0.001,"※这个物料账面已经变成负数了，查一下是不是漏记入库","")))))))))))</f>
        <v/>
      </c>
    </row>
    <row r="1328">
      <c r="A1328" s="24">
        <f>IF($D1328="","",COUNTA($D$4:$D1328))</f>
        <v/>
      </c>
      <c r="B1328" s="17" t="n"/>
      <c r="C1328" s="30" t="n"/>
      <c r="D1328" s="17" t="n"/>
      <c r="E1328" s="24">
        <f>IF($D1328="","",IFERROR(VLOOKUP($D1328,物料档案!$A$4:$P$1203,3,0),"※编码不在物料档案里"))</f>
        <v/>
      </c>
      <c r="F1328" s="24">
        <f>IF($D1328="","",IFERROR(VLOOKUP($D1328,物料档案!$A$4:$P$1203,4,0),"※编码不在物料档案里"))</f>
        <v/>
      </c>
      <c r="G1328" s="24">
        <f>IF($D1328="","",IFERROR(VLOOKUP($D1328,物料档案!$A$4:$P$1203,5,0),"※编码不在物料档案里"))</f>
        <v/>
      </c>
      <c r="H1328" s="24">
        <f>IF($D1328="","",IFERROR(VLOOKUP($D1328,物料档案!$A$4:$P$1203,2,0),"※编码不在物料档案里"))</f>
        <v/>
      </c>
      <c r="I1328" s="24">
        <f>IF($D1328="","",IFERROR(VLOOKUP($D1328,物料档案!$A$4:$P$1203,6,0),"※编码不在物料档案里"))</f>
        <v/>
      </c>
      <c r="J1328" s="23" t="n"/>
      <c r="K1328" s="17" t="n"/>
      <c r="L1328" s="17" t="n"/>
      <c r="M1328" s="17" t="n"/>
      <c r="N1328" s="17" t="n"/>
      <c r="O1328" s="26">
        <f>IF($D1328="","",IFERROR(VLOOKUP($D1328,物料档案!$A$4:$P$1203,10,0),0))</f>
        <v/>
      </c>
      <c r="P1328" s="32" t="n"/>
      <c r="Q1328" s="26">
        <f>IF($D1328="","",IF($K1328&lt;&gt;"对外销售",0,ROUND(N($J1328)*IF($P1328="",N($O1328),N($P1328)),0)))</f>
        <v/>
      </c>
      <c r="R1328" s="26">
        <f>IF($D1328="","",IFERROR(VLOOKUP($D1328,库存台账!$A$5:$Y$1204,11,0),0))</f>
        <v/>
      </c>
      <c r="S1328" s="26">
        <f>IF($D1328="","",ROUND(N($J1328)*N($R1328),0))</f>
        <v/>
      </c>
      <c r="T1328" s="26">
        <f>IF($D1328="","",IF($K1328&lt;&gt;"对外销售","",ROUND($Q1328-$S1328,0)))</f>
        <v/>
      </c>
      <c r="U1328" s="17" t="n"/>
      <c r="V1328" s="17" t="n"/>
      <c r="W1328" s="24">
        <f>IF($D1328="","",IF($E1328="※编码不在物料档案里","※物料编码不在档案里",IF(N($J1328)&lt;=0,"※出库数量要大于 0",IF($K1328="","※没填去向类型",IF($L1328="","※没填去向矿区",IF(AND($C1328&lt;&gt;"",$C1328&lt;=结账锁),"※日期早于已结账截止日，不能再录",IF(AND($K1328="自用消耗",COUNTIF({"一矿区";"二矿区"},$L1328)=0),"※自用消耗的去向只能是一矿区或二矿区",IF(AND($K1328="对外销售",COUNTIF({"三矿区";"六矿区"},$L1328)=0),"※对外销售的去向只能是三矿区或六矿区",IF(AND($K1328="对外销售",ROUND($Q1328,0)=0),"※外销却没有售价，请填实际售价",IF(AND($K1328="对外销售",$T1328&lt;&gt;"",$T1328&lt;0),"※这一笔外销是亏的，请核对售价",IF(IFERROR(VLOOKUP($D1328,库存台账!$A$5:$Y$1204,24,0),0)&lt;-0.001,"※这个物料账面已经变成负数了，查一下是不是漏记入库","")))))))))))</f>
        <v/>
      </c>
    </row>
    <row r="1329">
      <c r="A1329" s="24">
        <f>IF($D1329="","",COUNTA($D$4:$D1329))</f>
        <v/>
      </c>
      <c r="B1329" s="17" t="n"/>
      <c r="C1329" s="30" t="n"/>
      <c r="D1329" s="17" t="n"/>
      <c r="E1329" s="24">
        <f>IF($D1329="","",IFERROR(VLOOKUP($D1329,物料档案!$A$4:$P$1203,3,0),"※编码不在物料档案里"))</f>
        <v/>
      </c>
      <c r="F1329" s="24">
        <f>IF($D1329="","",IFERROR(VLOOKUP($D1329,物料档案!$A$4:$P$1203,4,0),"※编码不在物料档案里"))</f>
        <v/>
      </c>
      <c r="G1329" s="24">
        <f>IF($D1329="","",IFERROR(VLOOKUP($D1329,物料档案!$A$4:$P$1203,5,0),"※编码不在物料档案里"))</f>
        <v/>
      </c>
      <c r="H1329" s="24">
        <f>IF($D1329="","",IFERROR(VLOOKUP($D1329,物料档案!$A$4:$P$1203,2,0),"※编码不在物料档案里"))</f>
        <v/>
      </c>
      <c r="I1329" s="24">
        <f>IF($D1329="","",IFERROR(VLOOKUP($D1329,物料档案!$A$4:$P$1203,6,0),"※编码不在物料档案里"))</f>
        <v/>
      </c>
      <c r="J1329" s="23" t="n"/>
      <c r="K1329" s="17" t="n"/>
      <c r="L1329" s="17" t="n"/>
      <c r="M1329" s="17" t="n"/>
      <c r="N1329" s="17" t="n"/>
      <c r="O1329" s="26">
        <f>IF($D1329="","",IFERROR(VLOOKUP($D1329,物料档案!$A$4:$P$1203,10,0),0))</f>
        <v/>
      </c>
      <c r="P1329" s="32" t="n"/>
      <c r="Q1329" s="26">
        <f>IF($D1329="","",IF($K1329&lt;&gt;"对外销售",0,ROUND(N($J1329)*IF($P1329="",N($O1329),N($P1329)),0)))</f>
        <v/>
      </c>
      <c r="R1329" s="26">
        <f>IF($D1329="","",IFERROR(VLOOKUP($D1329,库存台账!$A$5:$Y$1204,11,0),0))</f>
        <v/>
      </c>
      <c r="S1329" s="26">
        <f>IF($D1329="","",ROUND(N($J1329)*N($R1329),0))</f>
        <v/>
      </c>
      <c r="T1329" s="26">
        <f>IF($D1329="","",IF($K1329&lt;&gt;"对外销售","",ROUND($Q1329-$S1329,0)))</f>
        <v/>
      </c>
      <c r="U1329" s="17" t="n"/>
      <c r="V1329" s="17" t="n"/>
      <c r="W1329" s="24">
        <f>IF($D1329="","",IF($E1329="※编码不在物料档案里","※物料编码不在档案里",IF(N($J1329)&lt;=0,"※出库数量要大于 0",IF($K1329="","※没填去向类型",IF($L1329="","※没填去向矿区",IF(AND($C1329&lt;&gt;"",$C1329&lt;=结账锁),"※日期早于已结账截止日，不能再录",IF(AND($K1329="自用消耗",COUNTIF({"一矿区";"二矿区"},$L1329)=0),"※自用消耗的去向只能是一矿区或二矿区",IF(AND($K1329="对外销售",COUNTIF({"三矿区";"六矿区"},$L1329)=0),"※对外销售的去向只能是三矿区或六矿区",IF(AND($K1329="对外销售",ROUND($Q1329,0)=0),"※外销却没有售价，请填实际售价",IF(AND($K1329="对外销售",$T1329&lt;&gt;"",$T1329&lt;0),"※这一笔外销是亏的，请核对售价",IF(IFERROR(VLOOKUP($D1329,库存台账!$A$5:$Y$1204,24,0),0)&lt;-0.001,"※这个物料账面已经变成负数了，查一下是不是漏记入库","")))))))))))</f>
        <v/>
      </c>
    </row>
    <row r="1330">
      <c r="A1330" s="24">
        <f>IF($D1330="","",COUNTA($D$4:$D1330))</f>
        <v/>
      </c>
      <c r="B1330" s="17" t="n"/>
      <c r="C1330" s="30" t="n"/>
      <c r="D1330" s="17" t="n"/>
      <c r="E1330" s="24">
        <f>IF($D1330="","",IFERROR(VLOOKUP($D1330,物料档案!$A$4:$P$1203,3,0),"※编码不在物料档案里"))</f>
        <v/>
      </c>
      <c r="F1330" s="24">
        <f>IF($D1330="","",IFERROR(VLOOKUP($D1330,物料档案!$A$4:$P$1203,4,0),"※编码不在物料档案里"))</f>
        <v/>
      </c>
      <c r="G1330" s="24">
        <f>IF($D1330="","",IFERROR(VLOOKUP($D1330,物料档案!$A$4:$P$1203,5,0),"※编码不在物料档案里"))</f>
        <v/>
      </c>
      <c r="H1330" s="24">
        <f>IF($D1330="","",IFERROR(VLOOKUP($D1330,物料档案!$A$4:$P$1203,2,0),"※编码不在物料档案里"))</f>
        <v/>
      </c>
      <c r="I1330" s="24">
        <f>IF($D1330="","",IFERROR(VLOOKUP($D1330,物料档案!$A$4:$P$1203,6,0),"※编码不在物料档案里"))</f>
        <v/>
      </c>
      <c r="J1330" s="23" t="n"/>
      <c r="K1330" s="17" t="n"/>
      <c r="L1330" s="17" t="n"/>
      <c r="M1330" s="17" t="n"/>
      <c r="N1330" s="17" t="n"/>
      <c r="O1330" s="26">
        <f>IF($D1330="","",IFERROR(VLOOKUP($D1330,物料档案!$A$4:$P$1203,10,0),0))</f>
        <v/>
      </c>
      <c r="P1330" s="32" t="n"/>
      <c r="Q1330" s="26">
        <f>IF($D1330="","",IF($K1330&lt;&gt;"对外销售",0,ROUND(N($J1330)*IF($P1330="",N($O1330),N($P1330)),0)))</f>
        <v/>
      </c>
      <c r="R1330" s="26">
        <f>IF($D1330="","",IFERROR(VLOOKUP($D1330,库存台账!$A$5:$Y$1204,11,0),0))</f>
        <v/>
      </c>
      <c r="S1330" s="26">
        <f>IF($D1330="","",ROUND(N($J1330)*N($R1330),0))</f>
        <v/>
      </c>
      <c r="T1330" s="26">
        <f>IF($D1330="","",IF($K1330&lt;&gt;"对外销售","",ROUND($Q1330-$S1330,0)))</f>
        <v/>
      </c>
      <c r="U1330" s="17" t="n"/>
      <c r="V1330" s="17" t="n"/>
      <c r="W1330" s="24">
        <f>IF($D1330="","",IF($E1330="※编码不在物料档案里","※物料编码不在档案里",IF(N($J1330)&lt;=0,"※出库数量要大于 0",IF($K1330="","※没填去向类型",IF($L1330="","※没填去向矿区",IF(AND($C1330&lt;&gt;"",$C1330&lt;=结账锁),"※日期早于已结账截止日，不能再录",IF(AND($K1330="自用消耗",COUNTIF({"一矿区";"二矿区"},$L1330)=0),"※自用消耗的去向只能是一矿区或二矿区",IF(AND($K1330="对外销售",COUNTIF({"三矿区";"六矿区"},$L1330)=0),"※对外销售的去向只能是三矿区或六矿区",IF(AND($K1330="对外销售",ROUND($Q1330,0)=0),"※外销却没有售价，请填实际售价",IF(AND($K1330="对外销售",$T1330&lt;&gt;"",$T1330&lt;0),"※这一笔外销是亏的，请核对售价",IF(IFERROR(VLOOKUP($D1330,库存台账!$A$5:$Y$1204,24,0),0)&lt;-0.001,"※这个物料账面已经变成负数了，查一下是不是漏记入库","")))))))))))</f>
        <v/>
      </c>
    </row>
    <row r="1331">
      <c r="A1331" s="24">
        <f>IF($D1331="","",COUNTA($D$4:$D1331))</f>
        <v/>
      </c>
      <c r="B1331" s="17" t="n"/>
      <c r="C1331" s="30" t="n"/>
      <c r="D1331" s="17" t="n"/>
      <c r="E1331" s="24">
        <f>IF($D1331="","",IFERROR(VLOOKUP($D1331,物料档案!$A$4:$P$1203,3,0),"※编码不在物料档案里"))</f>
        <v/>
      </c>
      <c r="F1331" s="24">
        <f>IF($D1331="","",IFERROR(VLOOKUP($D1331,物料档案!$A$4:$P$1203,4,0),"※编码不在物料档案里"))</f>
        <v/>
      </c>
      <c r="G1331" s="24">
        <f>IF($D1331="","",IFERROR(VLOOKUP($D1331,物料档案!$A$4:$P$1203,5,0),"※编码不在物料档案里"))</f>
        <v/>
      </c>
      <c r="H1331" s="24">
        <f>IF($D1331="","",IFERROR(VLOOKUP($D1331,物料档案!$A$4:$P$1203,2,0),"※编码不在物料档案里"))</f>
        <v/>
      </c>
      <c r="I1331" s="24">
        <f>IF($D1331="","",IFERROR(VLOOKUP($D1331,物料档案!$A$4:$P$1203,6,0),"※编码不在物料档案里"))</f>
        <v/>
      </c>
      <c r="J1331" s="23" t="n"/>
      <c r="K1331" s="17" t="n"/>
      <c r="L1331" s="17" t="n"/>
      <c r="M1331" s="17" t="n"/>
      <c r="N1331" s="17" t="n"/>
      <c r="O1331" s="26">
        <f>IF($D1331="","",IFERROR(VLOOKUP($D1331,物料档案!$A$4:$P$1203,10,0),0))</f>
        <v/>
      </c>
      <c r="P1331" s="32" t="n"/>
      <c r="Q1331" s="26">
        <f>IF($D1331="","",IF($K1331&lt;&gt;"对外销售",0,ROUND(N($J1331)*IF($P1331="",N($O1331),N($P1331)),0)))</f>
        <v/>
      </c>
      <c r="R1331" s="26">
        <f>IF($D1331="","",IFERROR(VLOOKUP($D1331,库存台账!$A$5:$Y$1204,11,0),0))</f>
        <v/>
      </c>
      <c r="S1331" s="26">
        <f>IF($D1331="","",ROUND(N($J1331)*N($R1331),0))</f>
        <v/>
      </c>
      <c r="T1331" s="26">
        <f>IF($D1331="","",IF($K1331&lt;&gt;"对外销售","",ROUND($Q1331-$S1331,0)))</f>
        <v/>
      </c>
      <c r="U1331" s="17" t="n"/>
      <c r="V1331" s="17" t="n"/>
      <c r="W1331" s="24">
        <f>IF($D1331="","",IF($E1331="※编码不在物料档案里","※物料编码不在档案里",IF(N($J1331)&lt;=0,"※出库数量要大于 0",IF($K1331="","※没填去向类型",IF($L1331="","※没填去向矿区",IF(AND($C1331&lt;&gt;"",$C1331&lt;=结账锁),"※日期早于已结账截止日，不能再录",IF(AND($K1331="自用消耗",COUNTIF({"一矿区";"二矿区"},$L1331)=0),"※自用消耗的去向只能是一矿区或二矿区",IF(AND($K1331="对外销售",COUNTIF({"三矿区";"六矿区"},$L1331)=0),"※对外销售的去向只能是三矿区或六矿区",IF(AND($K1331="对外销售",ROUND($Q1331,0)=0),"※外销却没有售价，请填实际售价",IF(AND($K1331="对外销售",$T1331&lt;&gt;"",$T1331&lt;0),"※这一笔外销是亏的，请核对售价",IF(IFERROR(VLOOKUP($D1331,库存台账!$A$5:$Y$1204,24,0),0)&lt;-0.001,"※这个物料账面已经变成负数了，查一下是不是漏记入库","")))))))))))</f>
        <v/>
      </c>
    </row>
    <row r="1332">
      <c r="A1332" s="24">
        <f>IF($D1332="","",COUNTA($D$4:$D1332))</f>
        <v/>
      </c>
      <c r="B1332" s="17" t="n"/>
      <c r="C1332" s="30" t="n"/>
      <c r="D1332" s="17" t="n"/>
      <c r="E1332" s="24">
        <f>IF($D1332="","",IFERROR(VLOOKUP($D1332,物料档案!$A$4:$P$1203,3,0),"※编码不在物料档案里"))</f>
        <v/>
      </c>
      <c r="F1332" s="24">
        <f>IF($D1332="","",IFERROR(VLOOKUP($D1332,物料档案!$A$4:$P$1203,4,0),"※编码不在物料档案里"))</f>
        <v/>
      </c>
      <c r="G1332" s="24">
        <f>IF($D1332="","",IFERROR(VLOOKUP($D1332,物料档案!$A$4:$P$1203,5,0),"※编码不在物料档案里"))</f>
        <v/>
      </c>
      <c r="H1332" s="24">
        <f>IF($D1332="","",IFERROR(VLOOKUP($D1332,物料档案!$A$4:$P$1203,2,0),"※编码不在物料档案里"))</f>
        <v/>
      </c>
      <c r="I1332" s="24">
        <f>IF($D1332="","",IFERROR(VLOOKUP($D1332,物料档案!$A$4:$P$1203,6,0),"※编码不在物料档案里"))</f>
        <v/>
      </c>
      <c r="J1332" s="23" t="n"/>
      <c r="K1332" s="17" t="n"/>
      <c r="L1332" s="17" t="n"/>
      <c r="M1332" s="17" t="n"/>
      <c r="N1332" s="17" t="n"/>
      <c r="O1332" s="26">
        <f>IF($D1332="","",IFERROR(VLOOKUP($D1332,物料档案!$A$4:$P$1203,10,0),0))</f>
        <v/>
      </c>
      <c r="P1332" s="32" t="n"/>
      <c r="Q1332" s="26">
        <f>IF($D1332="","",IF($K1332&lt;&gt;"对外销售",0,ROUND(N($J1332)*IF($P1332="",N($O1332),N($P1332)),0)))</f>
        <v/>
      </c>
      <c r="R1332" s="26">
        <f>IF($D1332="","",IFERROR(VLOOKUP($D1332,库存台账!$A$5:$Y$1204,11,0),0))</f>
        <v/>
      </c>
      <c r="S1332" s="26">
        <f>IF($D1332="","",ROUND(N($J1332)*N($R1332),0))</f>
        <v/>
      </c>
      <c r="T1332" s="26">
        <f>IF($D1332="","",IF($K1332&lt;&gt;"对外销售","",ROUND($Q1332-$S1332,0)))</f>
        <v/>
      </c>
      <c r="U1332" s="17" t="n"/>
      <c r="V1332" s="17" t="n"/>
      <c r="W1332" s="24">
        <f>IF($D1332="","",IF($E1332="※编码不在物料档案里","※物料编码不在档案里",IF(N($J1332)&lt;=0,"※出库数量要大于 0",IF($K1332="","※没填去向类型",IF($L1332="","※没填去向矿区",IF(AND($C1332&lt;&gt;"",$C1332&lt;=结账锁),"※日期早于已结账截止日，不能再录",IF(AND($K1332="自用消耗",COUNTIF({"一矿区";"二矿区"},$L1332)=0),"※自用消耗的去向只能是一矿区或二矿区",IF(AND($K1332="对外销售",COUNTIF({"三矿区";"六矿区"},$L1332)=0),"※对外销售的去向只能是三矿区或六矿区",IF(AND($K1332="对外销售",ROUND($Q1332,0)=0),"※外销却没有售价，请填实际售价",IF(AND($K1332="对外销售",$T1332&lt;&gt;"",$T1332&lt;0),"※这一笔外销是亏的，请核对售价",IF(IFERROR(VLOOKUP($D1332,库存台账!$A$5:$Y$1204,24,0),0)&lt;-0.001,"※这个物料账面已经变成负数了，查一下是不是漏记入库","")))))))))))</f>
        <v/>
      </c>
    </row>
    <row r="1333">
      <c r="A1333" s="24">
        <f>IF($D1333="","",COUNTA($D$4:$D1333))</f>
        <v/>
      </c>
      <c r="B1333" s="17" t="n"/>
      <c r="C1333" s="30" t="n"/>
      <c r="D1333" s="17" t="n"/>
      <c r="E1333" s="24">
        <f>IF($D1333="","",IFERROR(VLOOKUP($D1333,物料档案!$A$4:$P$1203,3,0),"※编码不在物料档案里"))</f>
        <v/>
      </c>
      <c r="F1333" s="24">
        <f>IF($D1333="","",IFERROR(VLOOKUP($D1333,物料档案!$A$4:$P$1203,4,0),"※编码不在物料档案里"))</f>
        <v/>
      </c>
      <c r="G1333" s="24">
        <f>IF($D1333="","",IFERROR(VLOOKUP($D1333,物料档案!$A$4:$P$1203,5,0),"※编码不在物料档案里"))</f>
        <v/>
      </c>
      <c r="H1333" s="24">
        <f>IF($D1333="","",IFERROR(VLOOKUP($D1333,物料档案!$A$4:$P$1203,2,0),"※编码不在物料档案里"))</f>
        <v/>
      </c>
      <c r="I1333" s="24">
        <f>IF($D1333="","",IFERROR(VLOOKUP($D1333,物料档案!$A$4:$P$1203,6,0),"※编码不在物料档案里"))</f>
        <v/>
      </c>
      <c r="J1333" s="23" t="n"/>
      <c r="K1333" s="17" t="n"/>
      <c r="L1333" s="17" t="n"/>
      <c r="M1333" s="17" t="n"/>
      <c r="N1333" s="17" t="n"/>
      <c r="O1333" s="26">
        <f>IF($D1333="","",IFERROR(VLOOKUP($D1333,物料档案!$A$4:$P$1203,10,0),0))</f>
        <v/>
      </c>
      <c r="P1333" s="32" t="n"/>
      <c r="Q1333" s="26">
        <f>IF($D1333="","",IF($K1333&lt;&gt;"对外销售",0,ROUND(N($J1333)*IF($P1333="",N($O1333),N($P1333)),0)))</f>
        <v/>
      </c>
      <c r="R1333" s="26">
        <f>IF($D1333="","",IFERROR(VLOOKUP($D1333,库存台账!$A$5:$Y$1204,11,0),0))</f>
        <v/>
      </c>
      <c r="S1333" s="26">
        <f>IF($D1333="","",ROUND(N($J1333)*N($R1333),0))</f>
        <v/>
      </c>
      <c r="T1333" s="26">
        <f>IF($D1333="","",IF($K1333&lt;&gt;"对外销售","",ROUND($Q1333-$S1333,0)))</f>
        <v/>
      </c>
      <c r="U1333" s="17" t="n"/>
      <c r="V1333" s="17" t="n"/>
      <c r="W1333" s="24">
        <f>IF($D1333="","",IF($E1333="※编码不在物料档案里","※物料编码不在档案里",IF(N($J1333)&lt;=0,"※出库数量要大于 0",IF($K1333="","※没填去向类型",IF($L1333="","※没填去向矿区",IF(AND($C1333&lt;&gt;"",$C1333&lt;=结账锁),"※日期早于已结账截止日，不能再录",IF(AND($K1333="自用消耗",COUNTIF({"一矿区";"二矿区"},$L1333)=0),"※自用消耗的去向只能是一矿区或二矿区",IF(AND($K1333="对外销售",COUNTIF({"三矿区";"六矿区"},$L1333)=0),"※对外销售的去向只能是三矿区或六矿区",IF(AND($K1333="对外销售",ROUND($Q1333,0)=0),"※外销却没有售价，请填实际售价",IF(AND($K1333="对外销售",$T1333&lt;&gt;"",$T1333&lt;0),"※这一笔外销是亏的，请核对售价",IF(IFERROR(VLOOKUP($D1333,库存台账!$A$5:$Y$1204,24,0),0)&lt;-0.001,"※这个物料账面已经变成负数了，查一下是不是漏记入库","")))))))))))</f>
        <v/>
      </c>
    </row>
    <row r="1334">
      <c r="A1334" s="24">
        <f>IF($D1334="","",COUNTA($D$4:$D1334))</f>
        <v/>
      </c>
      <c r="B1334" s="17" t="n"/>
      <c r="C1334" s="30" t="n"/>
      <c r="D1334" s="17" t="n"/>
      <c r="E1334" s="24">
        <f>IF($D1334="","",IFERROR(VLOOKUP($D1334,物料档案!$A$4:$P$1203,3,0),"※编码不在物料档案里"))</f>
        <v/>
      </c>
      <c r="F1334" s="24">
        <f>IF($D1334="","",IFERROR(VLOOKUP($D1334,物料档案!$A$4:$P$1203,4,0),"※编码不在物料档案里"))</f>
        <v/>
      </c>
      <c r="G1334" s="24">
        <f>IF($D1334="","",IFERROR(VLOOKUP($D1334,物料档案!$A$4:$P$1203,5,0),"※编码不在物料档案里"))</f>
        <v/>
      </c>
      <c r="H1334" s="24">
        <f>IF($D1334="","",IFERROR(VLOOKUP($D1334,物料档案!$A$4:$P$1203,2,0),"※编码不在物料档案里"))</f>
        <v/>
      </c>
      <c r="I1334" s="24">
        <f>IF($D1334="","",IFERROR(VLOOKUP($D1334,物料档案!$A$4:$P$1203,6,0),"※编码不在物料档案里"))</f>
        <v/>
      </c>
      <c r="J1334" s="23" t="n"/>
      <c r="K1334" s="17" t="n"/>
      <c r="L1334" s="17" t="n"/>
      <c r="M1334" s="17" t="n"/>
      <c r="N1334" s="17" t="n"/>
      <c r="O1334" s="26">
        <f>IF($D1334="","",IFERROR(VLOOKUP($D1334,物料档案!$A$4:$P$1203,10,0),0))</f>
        <v/>
      </c>
      <c r="P1334" s="32" t="n"/>
      <c r="Q1334" s="26">
        <f>IF($D1334="","",IF($K1334&lt;&gt;"对外销售",0,ROUND(N($J1334)*IF($P1334="",N($O1334),N($P1334)),0)))</f>
        <v/>
      </c>
      <c r="R1334" s="26">
        <f>IF($D1334="","",IFERROR(VLOOKUP($D1334,库存台账!$A$5:$Y$1204,11,0),0))</f>
        <v/>
      </c>
      <c r="S1334" s="26">
        <f>IF($D1334="","",ROUND(N($J1334)*N($R1334),0))</f>
        <v/>
      </c>
      <c r="T1334" s="26">
        <f>IF($D1334="","",IF($K1334&lt;&gt;"对外销售","",ROUND($Q1334-$S1334,0)))</f>
        <v/>
      </c>
      <c r="U1334" s="17" t="n"/>
      <c r="V1334" s="17" t="n"/>
      <c r="W1334" s="24">
        <f>IF($D1334="","",IF($E1334="※编码不在物料档案里","※物料编码不在档案里",IF(N($J1334)&lt;=0,"※出库数量要大于 0",IF($K1334="","※没填去向类型",IF($L1334="","※没填去向矿区",IF(AND($C1334&lt;&gt;"",$C1334&lt;=结账锁),"※日期早于已结账截止日，不能再录",IF(AND($K1334="自用消耗",COUNTIF({"一矿区";"二矿区"},$L1334)=0),"※自用消耗的去向只能是一矿区或二矿区",IF(AND($K1334="对外销售",COUNTIF({"三矿区";"六矿区"},$L1334)=0),"※对外销售的去向只能是三矿区或六矿区",IF(AND($K1334="对外销售",ROUND($Q1334,0)=0),"※外销却没有售价，请填实际售价",IF(AND($K1334="对外销售",$T1334&lt;&gt;"",$T1334&lt;0),"※这一笔外销是亏的，请核对售价",IF(IFERROR(VLOOKUP($D1334,库存台账!$A$5:$Y$1204,24,0),0)&lt;-0.001,"※这个物料账面已经变成负数了，查一下是不是漏记入库","")))))))))))</f>
        <v/>
      </c>
    </row>
    <row r="1335">
      <c r="A1335" s="24">
        <f>IF($D1335="","",COUNTA($D$4:$D1335))</f>
        <v/>
      </c>
      <c r="B1335" s="17" t="n"/>
      <c r="C1335" s="30" t="n"/>
      <c r="D1335" s="17" t="n"/>
      <c r="E1335" s="24">
        <f>IF($D1335="","",IFERROR(VLOOKUP($D1335,物料档案!$A$4:$P$1203,3,0),"※编码不在物料档案里"))</f>
        <v/>
      </c>
      <c r="F1335" s="24">
        <f>IF($D1335="","",IFERROR(VLOOKUP($D1335,物料档案!$A$4:$P$1203,4,0),"※编码不在物料档案里"))</f>
        <v/>
      </c>
      <c r="G1335" s="24">
        <f>IF($D1335="","",IFERROR(VLOOKUP($D1335,物料档案!$A$4:$P$1203,5,0),"※编码不在物料档案里"))</f>
        <v/>
      </c>
      <c r="H1335" s="24">
        <f>IF($D1335="","",IFERROR(VLOOKUP($D1335,物料档案!$A$4:$P$1203,2,0),"※编码不在物料档案里"))</f>
        <v/>
      </c>
      <c r="I1335" s="24">
        <f>IF($D1335="","",IFERROR(VLOOKUP($D1335,物料档案!$A$4:$P$1203,6,0),"※编码不在物料档案里"))</f>
        <v/>
      </c>
      <c r="J1335" s="23" t="n"/>
      <c r="K1335" s="17" t="n"/>
      <c r="L1335" s="17" t="n"/>
      <c r="M1335" s="17" t="n"/>
      <c r="N1335" s="17" t="n"/>
      <c r="O1335" s="26">
        <f>IF($D1335="","",IFERROR(VLOOKUP($D1335,物料档案!$A$4:$P$1203,10,0),0))</f>
        <v/>
      </c>
      <c r="P1335" s="32" t="n"/>
      <c r="Q1335" s="26">
        <f>IF($D1335="","",IF($K1335&lt;&gt;"对外销售",0,ROUND(N($J1335)*IF($P1335="",N($O1335),N($P1335)),0)))</f>
        <v/>
      </c>
      <c r="R1335" s="26">
        <f>IF($D1335="","",IFERROR(VLOOKUP($D1335,库存台账!$A$5:$Y$1204,11,0),0))</f>
        <v/>
      </c>
      <c r="S1335" s="26">
        <f>IF($D1335="","",ROUND(N($J1335)*N($R1335),0))</f>
        <v/>
      </c>
      <c r="T1335" s="26">
        <f>IF($D1335="","",IF($K1335&lt;&gt;"对外销售","",ROUND($Q1335-$S1335,0)))</f>
        <v/>
      </c>
      <c r="U1335" s="17" t="n"/>
      <c r="V1335" s="17" t="n"/>
      <c r="W1335" s="24">
        <f>IF($D1335="","",IF($E1335="※编码不在物料档案里","※物料编码不在档案里",IF(N($J1335)&lt;=0,"※出库数量要大于 0",IF($K1335="","※没填去向类型",IF($L1335="","※没填去向矿区",IF(AND($C1335&lt;&gt;"",$C1335&lt;=结账锁),"※日期早于已结账截止日，不能再录",IF(AND($K1335="自用消耗",COUNTIF({"一矿区";"二矿区"},$L1335)=0),"※自用消耗的去向只能是一矿区或二矿区",IF(AND($K1335="对外销售",COUNTIF({"三矿区";"六矿区"},$L1335)=0),"※对外销售的去向只能是三矿区或六矿区",IF(AND($K1335="对外销售",ROUND($Q1335,0)=0),"※外销却没有售价，请填实际售价",IF(AND($K1335="对外销售",$T1335&lt;&gt;"",$T1335&lt;0),"※这一笔外销是亏的，请核对售价",IF(IFERROR(VLOOKUP($D1335,库存台账!$A$5:$Y$1204,24,0),0)&lt;-0.001,"※这个物料账面已经变成负数了，查一下是不是漏记入库","")))))))))))</f>
        <v/>
      </c>
    </row>
    <row r="1336">
      <c r="A1336" s="24">
        <f>IF($D1336="","",COUNTA($D$4:$D1336))</f>
        <v/>
      </c>
      <c r="B1336" s="17" t="n"/>
      <c r="C1336" s="30" t="n"/>
      <c r="D1336" s="17" t="n"/>
      <c r="E1336" s="24">
        <f>IF($D1336="","",IFERROR(VLOOKUP($D1336,物料档案!$A$4:$P$1203,3,0),"※编码不在物料档案里"))</f>
        <v/>
      </c>
      <c r="F1336" s="24">
        <f>IF($D1336="","",IFERROR(VLOOKUP($D1336,物料档案!$A$4:$P$1203,4,0),"※编码不在物料档案里"))</f>
        <v/>
      </c>
      <c r="G1336" s="24">
        <f>IF($D1336="","",IFERROR(VLOOKUP($D1336,物料档案!$A$4:$P$1203,5,0),"※编码不在物料档案里"))</f>
        <v/>
      </c>
      <c r="H1336" s="24">
        <f>IF($D1336="","",IFERROR(VLOOKUP($D1336,物料档案!$A$4:$P$1203,2,0),"※编码不在物料档案里"))</f>
        <v/>
      </c>
      <c r="I1336" s="24">
        <f>IF($D1336="","",IFERROR(VLOOKUP($D1336,物料档案!$A$4:$P$1203,6,0),"※编码不在物料档案里"))</f>
        <v/>
      </c>
      <c r="J1336" s="23" t="n"/>
      <c r="K1336" s="17" t="n"/>
      <c r="L1336" s="17" t="n"/>
      <c r="M1336" s="17" t="n"/>
      <c r="N1336" s="17" t="n"/>
      <c r="O1336" s="26">
        <f>IF($D1336="","",IFERROR(VLOOKUP($D1336,物料档案!$A$4:$P$1203,10,0),0))</f>
        <v/>
      </c>
      <c r="P1336" s="32" t="n"/>
      <c r="Q1336" s="26">
        <f>IF($D1336="","",IF($K1336&lt;&gt;"对外销售",0,ROUND(N($J1336)*IF($P1336="",N($O1336),N($P1336)),0)))</f>
        <v/>
      </c>
      <c r="R1336" s="26">
        <f>IF($D1336="","",IFERROR(VLOOKUP($D1336,库存台账!$A$5:$Y$1204,11,0),0))</f>
        <v/>
      </c>
      <c r="S1336" s="26">
        <f>IF($D1336="","",ROUND(N($J1336)*N($R1336),0))</f>
        <v/>
      </c>
      <c r="T1336" s="26">
        <f>IF($D1336="","",IF($K1336&lt;&gt;"对外销售","",ROUND($Q1336-$S1336,0)))</f>
        <v/>
      </c>
      <c r="U1336" s="17" t="n"/>
      <c r="V1336" s="17" t="n"/>
      <c r="W1336" s="24">
        <f>IF($D1336="","",IF($E1336="※编码不在物料档案里","※物料编码不在档案里",IF(N($J1336)&lt;=0,"※出库数量要大于 0",IF($K1336="","※没填去向类型",IF($L1336="","※没填去向矿区",IF(AND($C1336&lt;&gt;"",$C1336&lt;=结账锁),"※日期早于已结账截止日，不能再录",IF(AND($K1336="自用消耗",COUNTIF({"一矿区";"二矿区"},$L1336)=0),"※自用消耗的去向只能是一矿区或二矿区",IF(AND($K1336="对外销售",COUNTIF({"三矿区";"六矿区"},$L1336)=0),"※对外销售的去向只能是三矿区或六矿区",IF(AND($K1336="对外销售",ROUND($Q1336,0)=0),"※外销却没有售价，请填实际售价",IF(AND($K1336="对外销售",$T1336&lt;&gt;"",$T1336&lt;0),"※这一笔外销是亏的，请核对售价",IF(IFERROR(VLOOKUP($D1336,库存台账!$A$5:$Y$1204,24,0),0)&lt;-0.001,"※这个物料账面已经变成负数了，查一下是不是漏记入库","")))))))))))</f>
        <v/>
      </c>
    </row>
    <row r="1337">
      <c r="A1337" s="24">
        <f>IF($D1337="","",COUNTA($D$4:$D1337))</f>
        <v/>
      </c>
      <c r="B1337" s="17" t="n"/>
      <c r="C1337" s="30" t="n"/>
      <c r="D1337" s="17" t="n"/>
      <c r="E1337" s="24">
        <f>IF($D1337="","",IFERROR(VLOOKUP($D1337,物料档案!$A$4:$P$1203,3,0),"※编码不在物料档案里"))</f>
        <v/>
      </c>
      <c r="F1337" s="24">
        <f>IF($D1337="","",IFERROR(VLOOKUP($D1337,物料档案!$A$4:$P$1203,4,0),"※编码不在物料档案里"))</f>
        <v/>
      </c>
      <c r="G1337" s="24">
        <f>IF($D1337="","",IFERROR(VLOOKUP($D1337,物料档案!$A$4:$P$1203,5,0),"※编码不在物料档案里"))</f>
        <v/>
      </c>
      <c r="H1337" s="24">
        <f>IF($D1337="","",IFERROR(VLOOKUP($D1337,物料档案!$A$4:$P$1203,2,0),"※编码不在物料档案里"))</f>
        <v/>
      </c>
      <c r="I1337" s="24">
        <f>IF($D1337="","",IFERROR(VLOOKUP($D1337,物料档案!$A$4:$P$1203,6,0),"※编码不在物料档案里"))</f>
        <v/>
      </c>
      <c r="J1337" s="23" t="n"/>
      <c r="K1337" s="17" t="n"/>
      <c r="L1337" s="17" t="n"/>
      <c r="M1337" s="17" t="n"/>
      <c r="N1337" s="17" t="n"/>
      <c r="O1337" s="26">
        <f>IF($D1337="","",IFERROR(VLOOKUP($D1337,物料档案!$A$4:$P$1203,10,0),0))</f>
        <v/>
      </c>
      <c r="P1337" s="32" t="n"/>
      <c r="Q1337" s="26">
        <f>IF($D1337="","",IF($K1337&lt;&gt;"对外销售",0,ROUND(N($J1337)*IF($P1337="",N($O1337),N($P1337)),0)))</f>
        <v/>
      </c>
      <c r="R1337" s="26">
        <f>IF($D1337="","",IFERROR(VLOOKUP($D1337,库存台账!$A$5:$Y$1204,11,0),0))</f>
        <v/>
      </c>
      <c r="S1337" s="26">
        <f>IF($D1337="","",ROUND(N($J1337)*N($R1337),0))</f>
        <v/>
      </c>
      <c r="T1337" s="26">
        <f>IF($D1337="","",IF($K1337&lt;&gt;"对外销售","",ROUND($Q1337-$S1337,0)))</f>
        <v/>
      </c>
      <c r="U1337" s="17" t="n"/>
      <c r="V1337" s="17" t="n"/>
      <c r="W1337" s="24">
        <f>IF($D1337="","",IF($E1337="※编码不在物料档案里","※物料编码不在档案里",IF(N($J1337)&lt;=0,"※出库数量要大于 0",IF($K1337="","※没填去向类型",IF($L1337="","※没填去向矿区",IF(AND($C1337&lt;&gt;"",$C1337&lt;=结账锁),"※日期早于已结账截止日，不能再录",IF(AND($K1337="自用消耗",COUNTIF({"一矿区";"二矿区"},$L1337)=0),"※自用消耗的去向只能是一矿区或二矿区",IF(AND($K1337="对外销售",COUNTIF({"三矿区";"六矿区"},$L1337)=0),"※对外销售的去向只能是三矿区或六矿区",IF(AND($K1337="对外销售",ROUND($Q1337,0)=0),"※外销却没有售价，请填实际售价",IF(AND($K1337="对外销售",$T1337&lt;&gt;"",$T1337&lt;0),"※这一笔外销是亏的，请核对售价",IF(IFERROR(VLOOKUP($D1337,库存台账!$A$5:$Y$1204,24,0),0)&lt;-0.001,"※这个物料账面已经变成负数了，查一下是不是漏记入库","")))))))))))</f>
        <v/>
      </c>
    </row>
    <row r="1338">
      <c r="A1338" s="24">
        <f>IF($D1338="","",COUNTA($D$4:$D1338))</f>
        <v/>
      </c>
      <c r="B1338" s="17" t="n"/>
      <c r="C1338" s="30" t="n"/>
      <c r="D1338" s="17" t="n"/>
      <c r="E1338" s="24">
        <f>IF($D1338="","",IFERROR(VLOOKUP($D1338,物料档案!$A$4:$P$1203,3,0),"※编码不在物料档案里"))</f>
        <v/>
      </c>
      <c r="F1338" s="24">
        <f>IF($D1338="","",IFERROR(VLOOKUP($D1338,物料档案!$A$4:$P$1203,4,0),"※编码不在物料档案里"))</f>
        <v/>
      </c>
      <c r="G1338" s="24">
        <f>IF($D1338="","",IFERROR(VLOOKUP($D1338,物料档案!$A$4:$P$1203,5,0),"※编码不在物料档案里"))</f>
        <v/>
      </c>
      <c r="H1338" s="24">
        <f>IF($D1338="","",IFERROR(VLOOKUP($D1338,物料档案!$A$4:$P$1203,2,0),"※编码不在物料档案里"))</f>
        <v/>
      </c>
      <c r="I1338" s="24">
        <f>IF($D1338="","",IFERROR(VLOOKUP($D1338,物料档案!$A$4:$P$1203,6,0),"※编码不在物料档案里"))</f>
        <v/>
      </c>
      <c r="J1338" s="23" t="n"/>
      <c r="K1338" s="17" t="n"/>
      <c r="L1338" s="17" t="n"/>
      <c r="M1338" s="17" t="n"/>
      <c r="N1338" s="17" t="n"/>
      <c r="O1338" s="26">
        <f>IF($D1338="","",IFERROR(VLOOKUP($D1338,物料档案!$A$4:$P$1203,10,0),0))</f>
        <v/>
      </c>
      <c r="P1338" s="32" t="n"/>
      <c r="Q1338" s="26">
        <f>IF($D1338="","",IF($K1338&lt;&gt;"对外销售",0,ROUND(N($J1338)*IF($P1338="",N($O1338),N($P1338)),0)))</f>
        <v/>
      </c>
      <c r="R1338" s="26">
        <f>IF($D1338="","",IFERROR(VLOOKUP($D1338,库存台账!$A$5:$Y$1204,11,0),0))</f>
        <v/>
      </c>
      <c r="S1338" s="26">
        <f>IF($D1338="","",ROUND(N($J1338)*N($R1338),0))</f>
        <v/>
      </c>
      <c r="T1338" s="26">
        <f>IF($D1338="","",IF($K1338&lt;&gt;"对外销售","",ROUND($Q1338-$S1338,0)))</f>
        <v/>
      </c>
      <c r="U1338" s="17" t="n"/>
      <c r="V1338" s="17" t="n"/>
      <c r="W1338" s="24">
        <f>IF($D1338="","",IF($E1338="※编码不在物料档案里","※物料编码不在档案里",IF(N($J1338)&lt;=0,"※出库数量要大于 0",IF($K1338="","※没填去向类型",IF($L1338="","※没填去向矿区",IF(AND($C1338&lt;&gt;"",$C1338&lt;=结账锁),"※日期早于已结账截止日，不能再录",IF(AND($K1338="自用消耗",COUNTIF({"一矿区";"二矿区"},$L1338)=0),"※自用消耗的去向只能是一矿区或二矿区",IF(AND($K1338="对外销售",COUNTIF({"三矿区";"六矿区"},$L1338)=0),"※对外销售的去向只能是三矿区或六矿区",IF(AND($K1338="对外销售",ROUND($Q1338,0)=0),"※外销却没有售价，请填实际售价",IF(AND($K1338="对外销售",$T1338&lt;&gt;"",$T1338&lt;0),"※这一笔外销是亏的，请核对售价",IF(IFERROR(VLOOKUP($D1338,库存台账!$A$5:$Y$1204,24,0),0)&lt;-0.001,"※这个物料账面已经变成负数了，查一下是不是漏记入库","")))))))))))</f>
        <v/>
      </c>
    </row>
    <row r="1339">
      <c r="A1339" s="24">
        <f>IF($D1339="","",COUNTA($D$4:$D1339))</f>
        <v/>
      </c>
      <c r="B1339" s="17" t="n"/>
      <c r="C1339" s="30" t="n"/>
      <c r="D1339" s="17" t="n"/>
      <c r="E1339" s="24">
        <f>IF($D1339="","",IFERROR(VLOOKUP($D1339,物料档案!$A$4:$P$1203,3,0),"※编码不在物料档案里"))</f>
        <v/>
      </c>
      <c r="F1339" s="24">
        <f>IF($D1339="","",IFERROR(VLOOKUP($D1339,物料档案!$A$4:$P$1203,4,0),"※编码不在物料档案里"))</f>
        <v/>
      </c>
      <c r="G1339" s="24">
        <f>IF($D1339="","",IFERROR(VLOOKUP($D1339,物料档案!$A$4:$P$1203,5,0),"※编码不在物料档案里"))</f>
        <v/>
      </c>
      <c r="H1339" s="24">
        <f>IF($D1339="","",IFERROR(VLOOKUP($D1339,物料档案!$A$4:$P$1203,2,0),"※编码不在物料档案里"))</f>
        <v/>
      </c>
      <c r="I1339" s="24">
        <f>IF($D1339="","",IFERROR(VLOOKUP($D1339,物料档案!$A$4:$P$1203,6,0),"※编码不在物料档案里"))</f>
        <v/>
      </c>
      <c r="J1339" s="23" t="n"/>
      <c r="K1339" s="17" t="n"/>
      <c r="L1339" s="17" t="n"/>
      <c r="M1339" s="17" t="n"/>
      <c r="N1339" s="17" t="n"/>
      <c r="O1339" s="26">
        <f>IF($D1339="","",IFERROR(VLOOKUP($D1339,物料档案!$A$4:$P$1203,10,0),0))</f>
        <v/>
      </c>
      <c r="P1339" s="32" t="n"/>
      <c r="Q1339" s="26">
        <f>IF($D1339="","",IF($K1339&lt;&gt;"对外销售",0,ROUND(N($J1339)*IF($P1339="",N($O1339),N($P1339)),0)))</f>
        <v/>
      </c>
      <c r="R1339" s="26">
        <f>IF($D1339="","",IFERROR(VLOOKUP($D1339,库存台账!$A$5:$Y$1204,11,0),0))</f>
        <v/>
      </c>
      <c r="S1339" s="26">
        <f>IF($D1339="","",ROUND(N($J1339)*N($R1339),0))</f>
        <v/>
      </c>
      <c r="T1339" s="26">
        <f>IF($D1339="","",IF($K1339&lt;&gt;"对外销售","",ROUND($Q1339-$S1339,0)))</f>
        <v/>
      </c>
      <c r="U1339" s="17" t="n"/>
      <c r="V1339" s="17" t="n"/>
      <c r="W1339" s="24">
        <f>IF($D1339="","",IF($E1339="※编码不在物料档案里","※物料编码不在档案里",IF(N($J1339)&lt;=0,"※出库数量要大于 0",IF($K1339="","※没填去向类型",IF($L1339="","※没填去向矿区",IF(AND($C1339&lt;&gt;"",$C1339&lt;=结账锁),"※日期早于已结账截止日，不能再录",IF(AND($K1339="自用消耗",COUNTIF({"一矿区";"二矿区"},$L1339)=0),"※自用消耗的去向只能是一矿区或二矿区",IF(AND($K1339="对外销售",COUNTIF({"三矿区";"六矿区"},$L1339)=0),"※对外销售的去向只能是三矿区或六矿区",IF(AND($K1339="对外销售",ROUND($Q1339,0)=0),"※外销却没有售价，请填实际售价",IF(AND($K1339="对外销售",$T1339&lt;&gt;"",$T1339&lt;0),"※这一笔外销是亏的，请核对售价",IF(IFERROR(VLOOKUP($D1339,库存台账!$A$5:$Y$1204,24,0),0)&lt;-0.001,"※这个物料账面已经变成负数了，查一下是不是漏记入库","")))))))))))</f>
        <v/>
      </c>
    </row>
    <row r="1340">
      <c r="A1340" s="24">
        <f>IF($D1340="","",COUNTA($D$4:$D1340))</f>
        <v/>
      </c>
      <c r="B1340" s="17" t="n"/>
      <c r="C1340" s="30" t="n"/>
      <c r="D1340" s="17" t="n"/>
      <c r="E1340" s="24">
        <f>IF($D1340="","",IFERROR(VLOOKUP($D1340,物料档案!$A$4:$P$1203,3,0),"※编码不在物料档案里"))</f>
        <v/>
      </c>
      <c r="F1340" s="24">
        <f>IF($D1340="","",IFERROR(VLOOKUP($D1340,物料档案!$A$4:$P$1203,4,0),"※编码不在物料档案里"))</f>
        <v/>
      </c>
      <c r="G1340" s="24">
        <f>IF($D1340="","",IFERROR(VLOOKUP($D1340,物料档案!$A$4:$P$1203,5,0),"※编码不在物料档案里"))</f>
        <v/>
      </c>
      <c r="H1340" s="24">
        <f>IF($D1340="","",IFERROR(VLOOKUP($D1340,物料档案!$A$4:$P$1203,2,0),"※编码不在物料档案里"))</f>
        <v/>
      </c>
      <c r="I1340" s="24">
        <f>IF($D1340="","",IFERROR(VLOOKUP($D1340,物料档案!$A$4:$P$1203,6,0),"※编码不在物料档案里"))</f>
        <v/>
      </c>
      <c r="J1340" s="23" t="n"/>
      <c r="K1340" s="17" t="n"/>
      <c r="L1340" s="17" t="n"/>
      <c r="M1340" s="17" t="n"/>
      <c r="N1340" s="17" t="n"/>
      <c r="O1340" s="26">
        <f>IF($D1340="","",IFERROR(VLOOKUP($D1340,物料档案!$A$4:$P$1203,10,0),0))</f>
        <v/>
      </c>
      <c r="P1340" s="32" t="n"/>
      <c r="Q1340" s="26">
        <f>IF($D1340="","",IF($K1340&lt;&gt;"对外销售",0,ROUND(N($J1340)*IF($P1340="",N($O1340),N($P1340)),0)))</f>
        <v/>
      </c>
      <c r="R1340" s="26">
        <f>IF($D1340="","",IFERROR(VLOOKUP($D1340,库存台账!$A$5:$Y$1204,11,0),0))</f>
        <v/>
      </c>
      <c r="S1340" s="26">
        <f>IF($D1340="","",ROUND(N($J1340)*N($R1340),0))</f>
        <v/>
      </c>
      <c r="T1340" s="26">
        <f>IF($D1340="","",IF($K1340&lt;&gt;"对外销售","",ROUND($Q1340-$S1340,0)))</f>
        <v/>
      </c>
      <c r="U1340" s="17" t="n"/>
      <c r="V1340" s="17" t="n"/>
      <c r="W1340" s="24">
        <f>IF($D1340="","",IF($E1340="※编码不在物料档案里","※物料编码不在档案里",IF(N($J1340)&lt;=0,"※出库数量要大于 0",IF($K1340="","※没填去向类型",IF($L1340="","※没填去向矿区",IF(AND($C1340&lt;&gt;"",$C1340&lt;=结账锁),"※日期早于已结账截止日，不能再录",IF(AND($K1340="自用消耗",COUNTIF({"一矿区";"二矿区"},$L1340)=0),"※自用消耗的去向只能是一矿区或二矿区",IF(AND($K1340="对外销售",COUNTIF({"三矿区";"六矿区"},$L1340)=0),"※对外销售的去向只能是三矿区或六矿区",IF(AND($K1340="对外销售",ROUND($Q1340,0)=0),"※外销却没有售价，请填实际售价",IF(AND($K1340="对外销售",$T1340&lt;&gt;"",$T1340&lt;0),"※这一笔外销是亏的，请核对售价",IF(IFERROR(VLOOKUP($D1340,库存台账!$A$5:$Y$1204,24,0),0)&lt;-0.001,"※这个物料账面已经变成负数了，查一下是不是漏记入库","")))))))))))</f>
        <v/>
      </c>
    </row>
    <row r="1341">
      <c r="A1341" s="24">
        <f>IF($D1341="","",COUNTA($D$4:$D1341))</f>
        <v/>
      </c>
      <c r="B1341" s="17" t="n"/>
      <c r="C1341" s="30" t="n"/>
      <c r="D1341" s="17" t="n"/>
      <c r="E1341" s="24">
        <f>IF($D1341="","",IFERROR(VLOOKUP($D1341,物料档案!$A$4:$P$1203,3,0),"※编码不在物料档案里"))</f>
        <v/>
      </c>
      <c r="F1341" s="24">
        <f>IF($D1341="","",IFERROR(VLOOKUP($D1341,物料档案!$A$4:$P$1203,4,0),"※编码不在物料档案里"))</f>
        <v/>
      </c>
      <c r="G1341" s="24">
        <f>IF($D1341="","",IFERROR(VLOOKUP($D1341,物料档案!$A$4:$P$1203,5,0),"※编码不在物料档案里"))</f>
        <v/>
      </c>
      <c r="H1341" s="24">
        <f>IF($D1341="","",IFERROR(VLOOKUP($D1341,物料档案!$A$4:$P$1203,2,0),"※编码不在物料档案里"))</f>
        <v/>
      </c>
      <c r="I1341" s="24">
        <f>IF($D1341="","",IFERROR(VLOOKUP($D1341,物料档案!$A$4:$P$1203,6,0),"※编码不在物料档案里"))</f>
        <v/>
      </c>
      <c r="J1341" s="23" t="n"/>
      <c r="K1341" s="17" t="n"/>
      <c r="L1341" s="17" t="n"/>
      <c r="M1341" s="17" t="n"/>
      <c r="N1341" s="17" t="n"/>
      <c r="O1341" s="26">
        <f>IF($D1341="","",IFERROR(VLOOKUP($D1341,物料档案!$A$4:$P$1203,10,0),0))</f>
        <v/>
      </c>
      <c r="P1341" s="32" t="n"/>
      <c r="Q1341" s="26">
        <f>IF($D1341="","",IF($K1341&lt;&gt;"对外销售",0,ROUND(N($J1341)*IF($P1341="",N($O1341),N($P1341)),0)))</f>
        <v/>
      </c>
      <c r="R1341" s="26">
        <f>IF($D1341="","",IFERROR(VLOOKUP($D1341,库存台账!$A$5:$Y$1204,11,0),0))</f>
        <v/>
      </c>
      <c r="S1341" s="26">
        <f>IF($D1341="","",ROUND(N($J1341)*N($R1341),0))</f>
        <v/>
      </c>
      <c r="T1341" s="26">
        <f>IF($D1341="","",IF($K1341&lt;&gt;"对外销售","",ROUND($Q1341-$S1341,0)))</f>
        <v/>
      </c>
      <c r="U1341" s="17" t="n"/>
      <c r="V1341" s="17" t="n"/>
      <c r="W1341" s="24">
        <f>IF($D1341="","",IF($E1341="※编码不在物料档案里","※物料编码不在档案里",IF(N($J1341)&lt;=0,"※出库数量要大于 0",IF($K1341="","※没填去向类型",IF($L1341="","※没填去向矿区",IF(AND($C1341&lt;&gt;"",$C1341&lt;=结账锁),"※日期早于已结账截止日，不能再录",IF(AND($K1341="自用消耗",COUNTIF({"一矿区";"二矿区"},$L1341)=0),"※自用消耗的去向只能是一矿区或二矿区",IF(AND($K1341="对外销售",COUNTIF({"三矿区";"六矿区"},$L1341)=0),"※对外销售的去向只能是三矿区或六矿区",IF(AND($K1341="对外销售",ROUND($Q1341,0)=0),"※外销却没有售价，请填实际售价",IF(AND($K1341="对外销售",$T1341&lt;&gt;"",$T1341&lt;0),"※这一笔外销是亏的，请核对售价",IF(IFERROR(VLOOKUP($D1341,库存台账!$A$5:$Y$1204,24,0),0)&lt;-0.001,"※这个物料账面已经变成负数了，查一下是不是漏记入库","")))))))))))</f>
        <v/>
      </c>
    </row>
    <row r="1342">
      <c r="A1342" s="24">
        <f>IF($D1342="","",COUNTA($D$4:$D1342))</f>
        <v/>
      </c>
      <c r="B1342" s="17" t="n"/>
      <c r="C1342" s="30" t="n"/>
      <c r="D1342" s="17" t="n"/>
      <c r="E1342" s="24">
        <f>IF($D1342="","",IFERROR(VLOOKUP($D1342,物料档案!$A$4:$P$1203,3,0),"※编码不在物料档案里"))</f>
        <v/>
      </c>
      <c r="F1342" s="24">
        <f>IF($D1342="","",IFERROR(VLOOKUP($D1342,物料档案!$A$4:$P$1203,4,0),"※编码不在物料档案里"))</f>
        <v/>
      </c>
      <c r="G1342" s="24">
        <f>IF($D1342="","",IFERROR(VLOOKUP($D1342,物料档案!$A$4:$P$1203,5,0),"※编码不在物料档案里"))</f>
        <v/>
      </c>
      <c r="H1342" s="24">
        <f>IF($D1342="","",IFERROR(VLOOKUP($D1342,物料档案!$A$4:$P$1203,2,0),"※编码不在物料档案里"))</f>
        <v/>
      </c>
      <c r="I1342" s="24">
        <f>IF($D1342="","",IFERROR(VLOOKUP($D1342,物料档案!$A$4:$P$1203,6,0),"※编码不在物料档案里"))</f>
        <v/>
      </c>
      <c r="J1342" s="23" t="n"/>
      <c r="K1342" s="17" t="n"/>
      <c r="L1342" s="17" t="n"/>
      <c r="M1342" s="17" t="n"/>
      <c r="N1342" s="17" t="n"/>
      <c r="O1342" s="26">
        <f>IF($D1342="","",IFERROR(VLOOKUP($D1342,物料档案!$A$4:$P$1203,10,0),0))</f>
        <v/>
      </c>
      <c r="P1342" s="32" t="n"/>
      <c r="Q1342" s="26">
        <f>IF($D1342="","",IF($K1342&lt;&gt;"对外销售",0,ROUND(N($J1342)*IF($P1342="",N($O1342),N($P1342)),0)))</f>
        <v/>
      </c>
      <c r="R1342" s="26">
        <f>IF($D1342="","",IFERROR(VLOOKUP($D1342,库存台账!$A$5:$Y$1204,11,0),0))</f>
        <v/>
      </c>
      <c r="S1342" s="26">
        <f>IF($D1342="","",ROUND(N($J1342)*N($R1342),0))</f>
        <v/>
      </c>
      <c r="T1342" s="26">
        <f>IF($D1342="","",IF($K1342&lt;&gt;"对外销售","",ROUND($Q1342-$S1342,0)))</f>
        <v/>
      </c>
      <c r="U1342" s="17" t="n"/>
      <c r="V1342" s="17" t="n"/>
      <c r="W1342" s="24">
        <f>IF($D1342="","",IF($E1342="※编码不在物料档案里","※物料编码不在档案里",IF(N($J1342)&lt;=0,"※出库数量要大于 0",IF($K1342="","※没填去向类型",IF($L1342="","※没填去向矿区",IF(AND($C1342&lt;&gt;"",$C1342&lt;=结账锁),"※日期早于已结账截止日，不能再录",IF(AND($K1342="自用消耗",COUNTIF({"一矿区";"二矿区"},$L1342)=0),"※自用消耗的去向只能是一矿区或二矿区",IF(AND($K1342="对外销售",COUNTIF({"三矿区";"六矿区"},$L1342)=0),"※对外销售的去向只能是三矿区或六矿区",IF(AND($K1342="对外销售",ROUND($Q1342,0)=0),"※外销却没有售价，请填实际售价",IF(AND($K1342="对外销售",$T1342&lt;&gt;"",$T1342&lt;0),"※这一笔外销是亏的，请核对售价",IF(IFERROR(VLOOKUP($D1342,库存台账!$A$5:$Y$1204,24,0),0)&lt;-0.001,"※这个物料账面已经变成负数了，查一下是不是漏记入库","")))))))))))</f>
        <v/>
      </c>
    </row>
    <row r="1343">
      <c r="A1343" s="24">
        <f>IF($D1343="","",COUNTA($D$4:$D1343))</f>
        <v/>
      </c>
      <c r="B1343" s="17" t="n"/>
      <c r="C1343" s="30" t="n"/>
      <c r="D1343" s="17" t="n"/>
      <c r="E1343" s="24">
        <f>IF($D1343="","",IFERROR(VLOOKUP($D1343,物料档案!$A$4:$P$1203,3,0),"※编码不在物料档案里"))</f>
        <v/>
      </c>
      <c r="F1343" s="24">
        <f>IF($D1343="","",IFERROR(VLOOKUP($D1343,物料档案!$A$4:$P$1203,4,0),"※编码不在物料档案里"))</f>
        <v/>
      </c>
      <c r="G1343" s="24">
        <f>IF($D1343="","",IFERROR(VLOOKUP($D1343,物料档案!$A$4:$P$1203,5,0),"※编码不在物料档案里"))</f>
        <v/>
      </c>
      <c r="H1343" s="24">
        <f>IF($D1343="","",IFERROR(VLOOKUP($D1343,物料档案!$A$4:$P$1203,2,0),"※编码不在物料档案里"))</f>
        <v/>
      </c>
      <c r="I1343" s="24">
        <f>IF($D1343="","",IFERROR(VLOOKUP($D1343,物料档案!$A$4:$P$1203,6,0),"※编码不在物料档案里"))</f>
        <v/>
      </c>
      <c r="J1343" s="23" t="n"/>
      <c r="K1343" s="17" t="n"/>
      <c r="L1343" s="17" t="n"/>
      <c r="M1343" s="17" t="n"/>
      <c r="N1343" s="17" t="n"/>
      <c r="O1343" s="26">
        <f>IF($D1343="","",IFERROR(VLOOKUP($D1343,物料档案!$A$4:$P$1203,10,0),0))</f>
        <v/>
      </c>
      <c r="P1343" s="32" t="n"/>
      <c r="Q1343" s="26">
        <f>IF($D1343="","",IF($K1343&lt;&gt;"对外销售",0,ROUND(N($J1343)*IF($P1343="",N($O1343),N($P1343)),0)))</f>
        <v/>
      </c>
      <c r="R1343" s="26">
        <f>IF($D1343="","",IFERROR(VLOOKUP($D1343,库存台账!$A$5:$Y$1204,11,0),0))</f>
        <v/>
      </c>
      <c r="S1343" s="26">
        <f>IF($D1343="","",ROUND(N($J1343)*N($R1343),0))</f>
        <v/>
      </c>
      <c r="T1343" s="26">
        <f>IF($D1343="","",IF($K1343&lt;&gt;"对外销售","",ROUND($Q1343-$S1343,0)))</f>
        <v/>
      </c>
      <c r="U1343" s="17" t="n"/>
      <c r="V1343" s="17" t="n"/>
      <c r="W1343" s="24">
        <f>IF($D1343="","",IF($E1343="※编码不在物料档案里","※物料编码不在档案里",IF(N($J1343)&lt;=0,"※出库数量要大于 0",IF($K1343="","※没填去向类型",IF($L1343="","※没填去向矿区",IF(AND($C1343&lt;&gt;"",$C1343&lt;=结账锁),"※日期早于已结账截止日，不能再录",IF(AND($K1343="自用消耗",COUNTIF({"一矿区";"二矿区"},$L1343)=0),"※自用消耗的去向只能是一矿区或二矿区",IF(AND($K1343="对外销售",COUNTIF({"三矿区";"六矿区"},$L1343)=0),"※对外销售的去向只能是三矿区或六矿区",IF(AND($K1343="对外销售",ROUND($Q1343,0)=0),"※外销却没有售价，请填实际售价",IF(AND($K1343="对外销售",$T1343&lt;&gt;"",$T1343&lt;0),"※这一笔外销是亏的，请核对售价",IF(IFERROR(VLOOKUP($D1343,库存台账!$A$5:$Y$1204,24,0),0)&lt;-0.001,"※这个物料账面已经变成负数了，查一下是不是漏记入库","")))))))))))</f>
        <v/>
      </c>
    </row>
    <row r="1344">
      <c r="A1344" s="24">
        <f>IF($D1344="","",COUNTA($D$4:$D1344))</f>
        <v/>
      </c>
      <c r="B1344" s="17" t="n"/>
      <c r="C1344" s="30" t="n"/>
      <c r="D1344" s="17" t="n"/>
      <c r="E1344" s="24">
        <f>IF($D1344="","",IFERROR(VLOOKUP($D1344,物料档案!$A$4:$P$1203,3,0),"※编码不在物料档案里"))</f>
        <v/>
      </c>
      <c r="F1344" s="24">
        <f>IF($D1344="","",IFERROR(VLOOKUP($D1344,物料档案!$A$4:$P$1203,4,0),"※编码不在物料档案里"))</f>
        <v/>
      </c>
      <c r="G1344" s="24">
        <f>IF($D1344="","",IFERROR(VLOOKUP($D1344,物料档案!$A$4:$P$1203,5,0),"※编码不在物料档案里"))</f>
        <v/>
      </c>
      <c r="H1344" s="24">
        <f>IF($D1344="","",IFERROR(VLOOKUP($D1344,物料档案!$A$4:$P$1203,2,0),"※编码不在物料档案里"))</f>
        <v/>
      </c>
      <c r="I1344" s="24">
        <f>IF($D1344="","",IFERROR(VLOOKUP($D1344,物料档案!$A$4:$P$1203,6,0),"※编码不在物料档案里"))</f>
        <v/>
      </c>
      <c r="J1344" s="23" t="n"/>
      <c r="K1344" s="17" t="n"/>
      <c r="L1344" s="17" t="n"/>
      <c r="M1344" s="17" t="n"/>
      <c r="N1344" s="17" t="n"/>
      <c r="O1344" s="26">
        <f>IF($D1344="","",IFERROR(VLOOKUP($D1344,物料档案!$A$4:$P$1203,10,0),0))</f>
        <v/>
      </c>
      <c r="P1344" s="32" t="n"/>
      <c r="Q1344" s="26">
        <f>IF($D1344="","",IF($K1344&lt;&gt;"对外销售",0,ROUND(N($J1344)*IF($P1344="",N($O1344),N($P1344)),0)))</f>
        <v/>
      </c>
      <c r="R1344" s="26">
        <f>IF($D1344="","",IFERROR(VLOOKUP($D1344,库存台账!$A$5:$Y$1204,11,0),0))</f>
        <v/>
      </c>
      <c r="S1344" s="26">
        <f>IF($D1344="","",ROUND(N($J1344)*N($R1344),0))</f>
        <v/>
      </c>
      <c r="T1344" s="26">
        <f>IF($D1344="","",IF($K1344&lt;&gt;"对外销售","",ROUND($Q1344-$S1344,0)))</f>
        <v/>
      </c>
      <c r="U1344" s="17" t="n"/>
      <c r="V1344" s="17" t="n"/>
      <c r="W1344" s="24">
        <f>IF($D1344="","",IF($E1344="※编码不在物料档案里","※物料编码不在档案里",IF(N($J1344)&lt;=0,"※出库数量要大于 0",IF($K1344="","※没填去向类型",IF($L1344="","※没填去向矿区",IF(AND($C1344&lt;&gt;"",$C1344&lt;=结账锁),"※日期早于已结账截止日，不能再录",IF(AND($K1344="自用消耗",COUNTIF({"一矿区";"二矿区"},$L1344)=0),"※自用消耗的去向只能是一矿区或二矿区",IF(AND($K1344="对外销售",COUNTIF({"三矿区";"六矿区"},$L1344)=0),"※对外销售的去向只能是三矿区或六矿区",IF(AND($K1344="对外销售",ROUND($Q1344,0)=0),"※外销却没有售价，请填实际售价",IF(AND($K1344="对外销售",$T1344&lt;&gt;"",$T1344&lt;0),"※这一笔外销是亏的，请核对售价",IF(IFERROR(VLOOKUP($D1344,库存台账!$A$5:$Y$1204,24,0),0)&lt;-0.001,"※这个物料账面已经变成负数了，查一下是不是漏记入库","")))))))))))</f>
        <v/>
      </c>
    </row>
    <row r="1345">
      <c r="A1345" s="24">
        <f>IF($D1345="","",COUNTA($D$4:$D1345))</f>
        <v/>
      </c>
      <c r="B1345" s="17" t="n"/>
      <c r="C1345" s="30" t="n"/>
      <c r="D1345" s="17" t="n"/>
      <c r="E1345" s="24">
        <f>IF($D1345="","",IFERROR(VLOOKUP($D1345,物料档案!$A$4:$P$1203,3,0),"※编码不在物料档案里"))</f>
        <v/>
      </c>
      <c r="F1345" s="24">
        <f>IF($D1345="","",IFERROR(VLOOKUP($D1345,物料档案!$A$4:$P$1203,4,0),"※编码不在物料档案里"))</f>
        <v/>
      </c>
      <c r="G1345" s="24">
        <f>IF($D1345="","",IFERROR(VLOOKUP($D1345,物料档案!$A$4:$P$1203,5,0),"※编码不在物料档案里"))</f>
        <v/>
      </c>
      <c r="H1345" s="24">
        <f>IF($D1345="","",IFERROR(VLOOKUP($D1345,物料档案!$A$4:$P$1203,2,0),"※编码不在物料档案里"))</f>
        <v/>
      </c>
      <c r="I1345" s="24">
        <f>IF($D1345="","",IFERROR(VLOOKUP($D1345,物料档案!$A$4:$P$1203,6,0),"※编码不在物料档案里"))</f>
        <v/>
      </c>
      <c r="J1345" s="23" t="n"/>
      <c r="K1345" s="17" t="n"/>
      <c r="L1345" s="17" t="n"/>
      <c r="M1345" s="17" t="n"/>
      <c r="N1345" s="17" t="n"/>
      <c r="O1345" s="26">
        <f>IF($D1345="","",IFERROR(VLOOKUP($D1345,物料档案!$A$4:$P$1203,10,0),0))</f>
        <v/>
      </c>
      <c r="P1345" s="32" t="n"/>
      <c r="Q1345" s="26">
        <f>IF($D1345="","",IF($K1345&lt;&gt;"对外销售",0,ROUND(N($J1345)*IF($P1345="",N($O1345),N($P1345)),0)))</f>
        <v/>
      </c>
      <c r="R1345" s="26">
        <f>IF($D1345="","",IFERROR(VLOOKUP($D1345,库存台账!$A$5:$Y$1204,11,0),0))</f>
        <v/>
      </c>
      <c r="S1345" s="26">
        <f>IF($D1345="","",ROUND(N($J1345)*N($R1345),0))</f>
        <v/>
      </c>
      <c r="T1345" s="26">
        <f>IF($D1345="","",IF($K1345&lt;&gt;"对外销售","",ROUND($Q1345-$S1345,0)))</f>
        <v/>
      </c>
      <c r="U1345" s="17" t="n"/>
      <c r="V1345" s="17" t="n"/>
      <c r="W1345" s="24">
        <f>IF($D1345="","",IF($E1345="※编码不在物料档案里","※物料编码不在档案里",IF(N($J1345)&lt;=0,"※出库数量要大于 0",IF($K1345="","※没填去向类型",IF($L1345="","※没填去向矿区",IF(AND($C1345&lt;&gt;"",$C1345&lt;=结账锁),"※日期早于已结账截止日，不能再录",IF(AND($K1345="自用消耗",COUNTIF({"一矿区";"二矿区"},$L1345)=0),"※自用消耗的去向只能是一矿区或二矿区",IF(AND($K1345="对外销售",COUNTIF({"三矿区";"六矿区"},$L1345)=0),"※对外销售的去向只能是三矿区或六矿区",IF(AND($K1345="对外销售",ROUND($Q1345,0)=0),"※外销却没有售价，请填实际售价",IF(AND($K1345="对外销售",$T1345&lt;&gt;"",$T1345&lt;0),"※这一笔外销是亏的，请核对售价",IF(IFERROR(VLOOKUP($D1345,库存台账!$A$5:$Y$1204,24,0),0)&lt;-0.001,"※这个物料账面已经变成负数了，查一下是不是漏记入库","")))))))))))</f>
        <v/>
      </c>
    </row>
    <row r="1346">
      <c r="A1346" s="24">
        <f>IF($D1346="","",COUNTA($D$4:$D1346))</f>
        <v/>
      </c>
      <c r="B1346" s="17" t="n"/>
      <c r="C1346" s="30" t="n"/>
      <c r="D1346" s="17" t="n"/>
      <c r="E1346" s="24">
        <f>IF($D1346="","",IFERROR(VLOOKUP($D1346,物料档案!$A$4:$P$1203,3,0),"※编码不在物料档案里"))</f>
        <v/>
      </c>
      <c r="F1346" s="24">
        <f>IF($D1346="","",IFERROR(VLOOKUP($D1346,物料档案!$A$4:$P$1203,4,0),"※编码不在物料档案里"))</f>
        <v/>
      </c>
      <c r="G1346" s="24">
        <f>IF($D1346="","",IFERROR(VLOOKUP($D1346,物料档案!$A$4:$P$1203,5,0),"※编码不在物料档案里"))</f>
        <v/>
      </c>
      <c r="H1346" s="24">
        <f>IF($D1346="","",IFERROR(VLOOKUP($D1346,物料档案!$A$4:$P$1203,2,0),"※编码不在物料档案里"))</f>
        <v/>
      </c>
      <c r="I1346" s="24">
        <f>IF($D1346="","",IFERROR(VLOOKUP($D1346,物料档案!$A$4:$P$1203,6,0),"※编码不在物料档案里"))</f>
        <v/>
      </c>
      <c r="J1346" s="23" t="n"/>
      <c r="K1346" s="17" t="n"/>
      <c r="L1346" s="17" t="n"/>
      <c r="M1346" s="17" t="n"/>
      <c r="N1346" s="17" t="n"/>
      <c r="O1346" s="26">
        <f>IF($D1346="","",IFERROR(VLOOKUP($D1346,物料档案!$A$4:$P$1203,10,0),0))</f>
        <v/>
      </c>
      <c r="P1346" s="32" t="n"/>
      <c r="Q1346" s="26">
        <f>IF($D1346="","",IF($K1346&lt;&gt;"对外销售",0,ROUND(N($J1346)*IF($P1346="",N($O1346),N($P1346)),0)))</f>
        <v/>
      </c>
      <c r="R1346" s="26">
        <f>IF($D1346="","",IFERROR(VLOOKUP($D1346,库存台账!$A$5:$Y$1204,11,0),0))</f>
        <v/>
      </c>
      <c r="S1346" s="26">
        <f>IF($D1346="","",ROUND(N($J1346)*N($R1346),0))</f>
        <v/>
      </c>
      <c r="T1346" s="26">
        <f>IF($D1346="","",IF($K1346&lt;&gt;"对外销售","",ROUND($Q1346-$S1346,0)))</f>
        <v/>
      </c>
      <c r="U1346" s="17" t="n"/>
      <c r="V1346" s="17" t="n"/>
      <c r="W1346" s="24">
        <f>IF($D1346="","",IF($E1346="※编码不在物料档案里","※物料编码不在档案里",IF(N($J1346)&lt;=0,"※出库数量要大于 0",IF($K1346="","※没填去向类型",IF($L1346="","※没填去向矿区",IF(AND($C1346&lt;&gt;"",$C1346&lt;=结账锁),"※日期早于已结账截止日，不能再录",IF(AND($K1346="自用消耗",COUNTIF({"一矿区";"二矿区"},$L1346)=0),"※自用消耗的去向只能是一矿区或二矿区",IF(AND($K1346="对外销售",COUNTIF({"三矿区";"六矿区"},$L1346)=0),"※对外销售的去向只能是三矿区或六矿区",IF(AND($K1346="对外销售",ROUND($Q1346,0)=0),"※外销却没有售价，请填实际售价",IF(AND($K1346="对外销售",$T1346&lt;&gt;"",$T1346&lt;0),"※这一笔外销是亏的，请核对售价",IF(IFERROR(VLOOKUP($D1346,库存台账!$A$5:$Y$1204,24,0),0)&lt;-0.001,"※这个物料账面已经变成负数了，查一下是不是漏记入库","")))))))))))</f>
        <v/>
      </c>
    </row>
    <row r="1347">
      <c r="A1347" s="24">
        <f>IF($D1347="","",COUNTA($D$4:$D1347))</f>
        <v/>
      </c>
      <c r="B1347" s="17" t="n"/>
      <c r="C1347" s="30" t="n"/>
      <c r="D1347" s="17" t="n"/>
      <c r="E1347" s="24">
        <f>IF($D1347="","",IFERROR(VLOOKUP($D1347,物料档案!$A$4:$P$1203,3,0),"※编码不在物料档案里"))</f>
        <v/>
      </c>
      <c r="F1347" s="24">
        <f>IF($D1347="","",IFERROR(VLOOKUP($D1347,物料档案!$A$4:$P$1203,4,0),"※编码不在物料档案里"))</f>
        <v/>
      </c>
      <c r="G1347" s="24">
        <f>IF($D1347="","",IFERROR(VLOOKUP($D1347,物料档案!$A$4:$P$1203,5,0),"※编码不在物料档案里"))</f>
        <v/>
      </c>
      <c r="H1347" s="24">
        <f>IF($D1347="","",IFERROR(VLOOKUP($D1347,物料档案!$A$4:$P$1203,2,0),"※编码不在物料档案里"))</f>
        <v/>
      </c>
      <c r="I1347" s="24">
        <f>IF($D1347="","",IFERROR(VLOOKUP($D1347,物料档案!$A$4:$P$1203,6,0),"※编码不在物料档案里"))</f>
        <v/>
      </c>
      <c r="J1347" s="23" t="n"/>
      <c r="K1347" s="17" t="n"/>
      <c r="L1347" s="17" t="n"/>
      <c r="M1347" s="17" t="n"/>
      <c r="N1347" s="17" t="n"/>
      <c r="O1347" s="26">
        <f>IF($D1347="","",IFERROR(VLOOKUP($D1347,物料档案!$A$4:$P$1203,10,0),0))</f>
        <v/>
      </c>
      <c r="P1347" s="32" t="n"/>
      <c r="Q1347" s="26">
        <f>IF($D1347="","",IF($K1347&lt;&gt;"对外销售",0,ROUND(N($J1347)*IF($P1347="",N($O1347),N($P1347)),0)))</f>
        <v/>
      </c>
      <c r="R1347" s="26">
        <f>IF($D1347="","",IFERROR(VLOOKUP($D1347,库存台账!$A$5:$Y$1204,11,0),0))</f>
        <v/>
      </c>
      <c r="S1347" s="26">
        <f>IF($D1347="","",ROUND(N($J1347)*N($R1347),0))</f>
        <v/>
      </c>
      <c r="T1347" s="26">
        <f>IF($D1347="","",IF($K1347&lt;&gt;"对外销售","",ROUND($Q1347-$S1347,0)))</f>
        <v/>
      </c>
      <c r="U1347" s="17" t="n"/>
      <c r="V1347" s="17" t="n"/>
      <c r="W1347" s="24">
        <f>IF($D1347="","",IF($E1347="※编码不在物料档案里","※物料编码不在档案里",IF(N($J1347)&lt;=0,"※出库数量要大于 0",IF($K1347="","※没填去向类型",IF($L1347="","※没填去向矿区",IF(AND($C1347&lt;&gt;"",$C1347&lt;=结账锁),"※日期早于已结账截止日，不能再录",IF(AND($K1347="自用消耗",COUNTIF({"一矿区";"二矿区"},$L1347)=0),"※自用消耗的去向只能是一矿区或二矿区",IF(AND($K1347="对外销售",COUNTIF({"三矿区";"六矿区"},$L1347)=0),"※对外销售的去向只能是三矿区或六矿区",IF(AND($K1347="对外销售",ROUND($Q1347,0)=0),"※外销却没有售价，请填实际售价",IF(AND($K1347="对外销售",$T1347&lt;&gt;"",$T1347&lt;0),"※这一笔外销是亏的，请核对售价",IF(IFERROR(VLOOKUP($D1347,库存台账!$A$5:$Y$1204,24,0),0)&lt;-0.001,"※这个物料账面已经变成负数了，查一下是不是漏记入库","")))))))))))</f>
        <v/>
      </c>
    </row>
    <row r="1348">
      <c r="A1348" s="24">
        <f>IF($D1348="","",COUNTA($D$4:$D1348))</f>
        <v/>
      </c>
      <c r="B1348" s="17" t="n"/>
      <c r="C1348" s="30" t="n"/>
      <c r="D1348" s="17" t="n"/>
      <c r="E1348" s="24">
        <f>IF($D1348="","",IFERROR(VLOOKUP($D1348,物料档案!$A$4:$P$1203,3,0),"※编码不在物料档案里"))</f>
        <v/>
      </c>
      <c r="F1348" s="24">
        <f>IF($D1348="","",IFERROR(VLOOKUP($D1348,物料档案!$A$4:$P$1203,4,0),"※编码不在物料档案里"))</f>
        <v/>
      </c>
      <c r="G1348" s="24">
        <f>IF($D1348="","",IFERROR(VLOOKUP($D1348,物料档案!$A$4:$P$1203,5,0),"※编码不在物料档案里"))</f>
        <v/>
      </c>
      <c r="H1348" s="24">
        <f>IF($D1348="","",IFERROR(VLOOKUP($D1348,物料档案!$A$4:$P$1203,2,0),"※编码不在物料档案里"))</f>
        <v/>
      </c>
      <c r="I1348" s="24">
        <f>IF($D1348="","",IFERROR(VLOOKUP($D1348,物料档案!$A$4:$P$1203,6,0),"※编码不在物料档案里"))</f>
        <v/>
      </c>
      <c r="J1348" s="23" t="n"/>
      <c r="K1348" s="17" t="n"/>
      <c r="L1348" s="17" t="n"/>
      <c r="M1348" s="17" t="n"/>
      <c r="N1348" s="17" t="n"/>
      <c r="O1348" s="26">
        <f>IF($D1348="","",IFERROR(VLOOKUP($D1348,物料档案!$A$4:$P$1203,10,0),0))</f>
        <v/>
      </c>
      <c r="P1348" s="32" t="n"/>
      <c r="Q1348" s="26">
        <f>IF($D1348="","",IF($K1348&lt;&gt;"对外销售",0,ROUND(N($J1348)*IF($P1348="",N($O1348),N($P1348)),0)))</f>
        <v/>
      </c>
      <c r="R1348" s="26">
        <f>IF($D1348="","",IFERROR(VLOOKUP($D1348,库存台账!$A$5:$Y$1204,11,0),0))</f>
        <v/>
      </c>
      <c r="S1348" s="26">
        <f>IF($D1348="","",ROUND(N($J1348)*N($R1348),0))</f>
        <v/>
      </c>
      <c r="T1348" s="26">
        <f>IF($D1348="","",IF($K1348&lt;&gt;"对外销售","",ROUND($Q1348-$S1348,0)))</f>
        <v/>
      </c>
      <c r="U1348" s="17" t="n"/>
      <c r="V1348" s="17" t="n"/>
      <c r="W1348" s="24">
        <f>IF($D1348="","",IF($E1348="※编码不在物料档案里","※物料编码不在档案里",IF(N($J1348)&lt;=0,"※出库数量要大于 0",IF($K1348="","※没填去向类型",IF($L1348="","※没填去向矿区",IF(AND($C1348&lt;&gt;"",$C1348&lt;=结账锁),"※日期早于已结账截止日，不能再录",IF(AND($K1348="自用消耗",COUNTIF({"一矿区";"二矿区"},$L1348)=0),"※自用消耗的去向只能是一矿区或二矿区",IF(AND($K1348="对外销售",COUNTIF({"三矿区";"六矿区"},$L1348)=0),"※对外销售的去向只能是三矿区或六矿区",IF(AND($K1348="对外销售",ROUND($Q1348,0)=0),"※外销却没有售价，请填实际售价",IF(AND($K1348="对外销售",$T1348&lt;&gt;"",$T1348&lt;0),"※这一笔外销是亏的，请核对售价",IF(IFERROR(VLOOKUP($D1348,库存台账!$A$5:$Y$1204,24,0),0)&lt;-0.001,"※这个物料账面已经变成负数了，查一下是不是漏记入库","")))))))))))</f>
        <v/>
      </c>
    </row>
    <row r="1349">
      <c r="A1349" s="24">
        <f>IF($D1349="","",COUNTA($D$4:$D1349))</f>
        <v/>
      </c>
      <c r="B1349" s="17" t="n"/>
      <c r="C1349" s="30" t="n"/>
      <c r="D1349" s="17" t="n"/>
      <c r="E1349" s="24">
        <f>IF($D1349="","",IFERROR(VLOOKUP($D1349,物料档案!$A$4:$P$1203,3,0),"※编码不在物料档案里"))</f>
        <v/>
      </c>
      <c r="F1349" s="24">
        <f>IF($D1349="","",IFERROR(VLOOKUP($D1349,物料档案!$A$4:$P$1203,4,0),"※编码不在物料档案里"))</f>
        <v/>
      </c>
      <c r="G1349" s="24">
        <f>IF($D1349="","",IFERROR(VLOOKUP($D1349,物料档案!$A$4:$P$1203,5,0),"※编码不在物料档案里"))</f>
        <v/>
      </c>
      <c r="H1349" s="24">
        <f>IF($D1349="","",IFERROR(VLOOKUP($D1349,物料档案!$A$4:$P$1203,2,0),"※编码不在物料档案里"))</f>
        <v/>
      </c>
      <c r="I1349" s="24">
        <f>IF($D1349="","",IFERROR(VLOOKUP($D1349,物料档案!$A$4:$P$1203,6,0),"※编码不在物料档案里"))</f>
        <v/>
      </c>
      <c r="J1349" s="23" t="n"/>
      <c r="K1349" s="17" t="n"/>
      <c r="L1349" s="17" t="n"/>
      <c r="M1349" s="17" t="n"/>
      <c r="N1349" s="17" t="n"/>
      <c r="O1349" s="26">
        <f>IF($D1349="","",IFERROR(VLOOKUP($D1349,物料档案!$A$4:$P$1203,10,0),0))</f>
        <v/>
      </c>
      <c r="P1349" s="32" t="n"/>
      <c r="Q1349" s="26">
        <f>IF($D1349="","",IF($K1349&lt;&gt;"对外销售",0,ROUND(N($J1349)*IF($P1349="",N($O1349),N($P1349)),0)))</f>
        <v/>
      </c>
      <c r="R1349" s="26">
        <f>IF($D1349="","",IFERROR(VLOOKUP($D1349,库存台账!$A$5:$Y$1204,11,0),0))</f>
        <v/>
      </c>
      <c r="S1349" s="26">
        <f>IF($D1349="","",ROUND(N($J1349)*N($R1349),0))</f>
        <v/>
      </c>
      <c r="T1349" s="26">
        <f>IF($D1349="","",IF($K1349&lt;&gt;"对外销售","",ROUND($Q1349-$S1349,0)))</f>
        <v/>
      </c>
      <c r="U1349" s="17" t="n"/>
      <c r="V1349" s="17" t="n"/>
      <c r="W1349" s="24">
        <f>IF($D1349="","",IF($E1349="※编码不在物料档案里","※物料编码不在档案里",IF(N($J1349)&lt;=0,"※出库数量要大于 0",IF($K1349="","※没填去向类型",IF($L1349="","※没填去向矿区",IF(AND($C1349&lt;&gt;"",$C1349&lt;=结账锁),"※日期早于已结账截止日，不能再录",IF(AND($K1349="自用消耗",COUNTIF({"一矿区";"二矿区"},$L1349)=0),"※自用消耗的去向只能是一矿区或二矿区",IF(AND($K1349="对外销售",COUNTIF({"三矿区";"六矿区"},$L1349)=0),"※对外销售的去向只能是三矿区或六矿区",IF(AND($K1349="对外销售",ROUND($Q1349,0)=0),"※外销却没有售价，请填实际售价",IF(AND($K1349="对外销售",$T1349&lt;&gt;"",$T1349&lt;0),"※这一笔外销是亏的，请核对售价",IF(IFERROR(VLOOKUP($D1349,库存台账!$A$5:$Y$1204,24,0),0)&lt;-0.001,"※这个物料账面已经变成负数了，查一下是不是漏记入库","")))))))))))</f>
        <v/>
      </c>
    </row>
    <row r="1350">
      <c r="A1350" s="24">
        <f>IF($D1350="","",COUNTA($D$4:$D1350))</f>
        <v/>
      </c>
      <c r="B1350" s="17" t="n"/>
      <c r="C1350" s="30" t="n"/>
      <c r="D1350" s="17" t="n"/>
      <c r="E1350" s="24">
        <f>IF($D1350="","",IFERROR(VLOOKUP($D1350,物料档案!$A$4:$P$1203,3,0),"※编码不在物料档案里"))</f>
        <v/>
      </c>
      <c r="F1350" s="24">
        <f>IF($D1350="","",IFERROR(VLOOKUP($D1350,物料档案!$A$4:$P$1203,4,0),"※编码不在物料档案里"))</f>
        <v/>
      </c>
      <c r="G1350" s="24">
        <f>IF($D1350="","",IFERROR(VLOOKUP($D1350,物料档案!$A$4:$P$1203,5,0),"※编码不在物料档案里"))</f>
        <v/>
      </c>
      <c r="H1350" s="24">
        <f>IF($D1350="","",IFERROR(VLOOKUP($D1350,物料档案!$A$4:$P$1203,2,0),"※编码不在物料档案里"))</f>
        <v/>
      </c>
      <c r="I1350" s="24">
        <f>IF($D1350="","",IFERROR(VLOOKUP($D1350,物料档案!$A$4:$P$1203,6,0),"※编码不在物料档案里"))</f>
        <v/>
      </c>
      <c r="J1350" s="23" t="n"/>
      <c r="K1350" s="17" t="n"/>
      <c r="L1350" s="17" t="n"/>
      <c r="M1350" s="17" t="n"/>
      <c r="N1350" s="17" t="n"/>
      <c r="O1350" s="26">
        <f>IF($D1350="","",IFERROR(VLOOKUP($D1350,物料档案!$A$4:$P$1203,10,0),0))</f>
        <v/>
      </c>
      <c r="P1350" s="32" t="n"/>
      <c r="Q1350" s="26">
        <f>IF($D1350="","",IF($K1350&lt;&gt;"对外销售",0,ROUND(N($J1350)*IF($P1350="",N($O1350),N($P1350)),0)))</f>
        <v/>
      </c>
      <c r="R1350" s="26">
        <f>IF($D1350="","",IFERROR(VLOOKUP($D1350,库存台账!$A$5:$Y$1204,11,0),0))</f>
        <v/>
      </c>
      <c r="S1350" s="26">
        <f>IF($D1350="","",ROUND(N($J1350)*N($R1350),0))</f>
        <v/>
      </c>
      <c r="T1350" s="26">
        <f>IF($D1350="","",IF($K1350&lt;&gt;"对外销售","",ROUND($Q1350-$S1350,0)))</f>
        <v/>
      </c>
      <c r="U1350" s="17" t="n"/>
      <c r="V1350" s="17" t="n"/>
      <c r="W1350" s="24">
        <f>IF($D1350="","",IF($E1350="※编码不在物料档案里","※物料编码不在档案里",IF(N($J1350)&lt;=0,"※出库数量要大于 0",IF($K1350="","※没填去向类型",IF($L1350="","※没填去向矿区",IF(AND($C1350&lt;&gt;"",$C1350&lt;=结账锁),"※日期早于已结账截止日，不能再录",IF(AND($K1350="自用消耗",COUNTIF({"一矿区";"二矿区"},$L1350)=0),"※自用消耗的去向只能是一矿区或二矿区",IF(AND($K1350="对外销售",COUNTIF({"三矿区";"六矿区"},$L1350)=0),"※对外销售的去向只能是三矿区或六矿区",IF(AND($K1350="对外销售",ROUND($Q1350,0)=0),"※外销却没有售价，请填实际售价",IF(AND($K1350="对外销售",$T1350&lt;&gt;"",$T1350&lt;0),"※这一笔外销是亏的，请核对售价",IF(IFERROR(VLOOKUP($D1350,库存台账!$A$5:$Y$1204,24,0),0)&lt;-0.001,"※这个物料账面已经变成负数了，查一下是不是漏记入库","")))))))))))</f>
        <v/>
      </c>
    </row>
    <row r="1351">
      <c r="A1351" s="24">
        <f>IF($D1351="","",COUNTA($D$4:$D1351))</f>
        <v/>
      </c>
      <c r="B1351" s="17" t="n"/>
      <c r="C1351" s="30" t="n"/>
      <c r="D1351" s="17" t="n"/>
      <c r="E1351" s="24">
        <f>IF($D1351="","",IFERROR(VLOOKUP($D1351,物料档案!$A$4:$P$1203,3,0),"※编码不在物料档案里"))</f>
        <v/>
      </c>
      <c r="F1351" s="24">
        <f>IF($D1351="","",IFERROR(VLOOKUP($D1351,物料档案!$A$4:$P$1203,4,0),"※编码不在物料档案里"))</f>
        <v/>
      </c>
      <c r="G1351" s="24">
        <f>IF($D1351="","",IFERROR(VLOOKUP($D1351,物料档案!$A$4:$P$1203,5,0),"※编码不在物料档案里"))</f>
        <v/>
      </c>
      <c r="H1351" s="24">
        <f>IF($D1351="","",IFERROR(VLOOKUP($D1351,物料档案!$A$4:$P$1203,2,0),"※编码不在物料档案里"))</f>
        <v/>
      </c>
      <c r="I1351" s="24">
        <f>IF($D1351="","",IFERROR(VLOOKUP($D1351,物料档案!$A$4:$P$1203,6,0),"※编码不在物料档案里"))</f>
        <v/>
      </c>
      <c r="J1351" s="23" t="n"/>
      <c r="K1351" s="17" t="n"/>
      <c r="L1351" s="17" t="n"/>
      <c r="M1351" s="17" t="n"/>
      <c r="N1351" s="17" t="n"/>
      <c r="O1351" s="26">
        <f>IF($D1351="","",IFERROR(VLOOKUP($D1351,物料档案!$A$4:$P$1203,10,0),0))</f>
        <v/>
      </c>
      <c r="P1351" s="32" t="n"/>
      <c r="Q1351" s="26">
        <f>IF($D1351="","",IF($K1351&lt;&gt;"对外销售",0,ROUND(N($J1351)*IF($P1351="",N($O1351),N($P1351)),0)))</f>
        <v/>
      </c>
      <c r="R1351" s="26">
        <f>IF($D1351="","",IFERROR(VLOOKUP($D1351,库存台账!$A$5:$Y$1204,11,0),0))</f>
        <v/>
      </c>
      <c r="S1351" s="26">
        <f>IF($D1351="","",ROUND(N($J1351)*N($R1351),0))</f>
        <v/>
      </c>
      <c r="T1351" s="26">
        <f>IF($D1351="","",IF($K1351&lt;&gt;"对外销售","",ROUND($Q1351-$S1351,0)))</f>
        <v/>
      </c>
      <c r="U1351" s="17" t="n"/>
      <c r="V1351" s="17" t="n"/>
      <c r="W1351" s="24">
        <f>IF($D1351="","",IF($E1351="※编码不在物料档案里","※物料编码不在档案里",IF(N($J1351)&lt;=0,"※出库数量要大于 0",IF($K1351="","※没填去向类型",IF($L1351="","※没填去向矿区",IF(AND($C1351&lt;&gt;"",$C1351&lt;=结账锁),"※日期早于已结账截止日，不能再录",IF(AND($K1351="自用消耗",COUNTIF({"一矿区";"二矿区"},$L1351)=0),"※自用消耗的去向只能是一矿区或二矿区",IF(AND($K1351="对外销售",COUNTIF({"三矿区";"六矿区"},$L1351)=0),"※对外销售的去向只能是三矿区或六矿区",IF(AND($K1351="对外销售",ROUND($Q1351,0)=0),"※外销却没有售价，请填实际售价",IF(AND($K1351="对外销售",$T1351&lt;&gt;"",$T1351&lt;0),"※这一笔外销是亏的，请核对售价",IF(IFERROR(VLOOKUP($D1351,库存台账!$A$5:$Y$1204,24,0),0)&lt;-0.001,"※这个物料账面已经变成负数了，查一下是不是漏记入库","")))))))))))</f>
        <v/>
      </c>
    </row>
    <row r="1352">
      <c r="A1352" s="24">
        <f>IF($D1352="","",COUNTA($D$4:$D1352))</f>
        <v/>
      </c>
      <c r="B1352" s="17" t="n"/>
      <c r="C1352" s="30" t="n"/>
      <c r="D1352" s="17" t="n"/>
      <c r="E1352" s="24">
        <f>IF($D1352="","",IFERROR(VLOOKUP($D1352,物料档案!$A$4:$P$1203,3,0),"※编码不在物料档案里"))</f>
        <v/>
      </c>
      <c r="F1352" s="24">
        <f>IF($D1352="","",IFERROR(VLOOKUP($D1352,物料档案!$A$4:$P$1203,4,0),"※编码不在物料档案里"))</f>
        <v/>
      </c>
      <c r="G1352" s="24">
        <f>IF($D1352="","",IFERROR(VLOOKUP($D1352,物料档案!$A$4:$P$1203,5,0),"※编码不在物料档案里"))</f>
        <v/>
      </c>
      <c r="H1352" s="24">
        <f>IF($D1352="","",IFERROR(VLOOKUP($D1352,物料档案!$A$4:$P$1203,2,0),"※编码不在物料档案里"))</f>
        <v/>
      </c>
      <c r="I1352" s="24">
        <f>IF($D1352="","",IFERROR(VLOOKUP($D1352,物料档案!$A$4:$P$1203,6,0),"※编码不在物料档案里"))</f>
        <v/>
      </c>
      <c r="J1352" s="23" t="n"/>
      <c r="K1352" s="17" t="n"/>
      <c r="L1352" s="17" t="n"/>
      <c r="M1352" s="17" t="n"/>
      <c r="N1352" s="17" t="n"/>
      <c r="O1352" s="26">
        <f>IF($D1352="","",IFERROR(VLOOKUP($D1352,物料档案!$A$4:$P$1203,10,0),0))</f>
        <v/>
      </c>
      <c r="P1352" s="32" t="n"/>
      <c r="Q1352" s="26">
        <f>IF($D1352="","",IF($K1352&lt;&gt;"对外销售",0,ROUND(N($J1352)*IF($P1352="",N($O1352),N($P1352)),0)))</f>
        <v/>
      </c>
      <c r="R1352" s="26">
        <f>IF($D1352="","",IFERROR(VLOOKUP($D1352,库存台账!$A$5:$Y$1204,11,0),0))</f>
        <v/>
      </c>
      <c r="S1352" s="26">
        <f>IF($D1352="","",ROUND(N($J1352)*N($R1352),0))</f>
        <v/>
      </c>
      <c r="T1352" s="26">
        <f>IF($D1352="","",IF($K1352&lt;&gt;"对外销售","",ROUND($Q1352-$S1352,0)))</f>
        <v/>
      </c>
      <c r="U1352" s="17" t="n"/>
      <c r="V1352" s="17" t="n"/>
      <c r="W1352" s="24">
        <f>IF($D1352="","",IF($E1352="※编码不在物料档案里","※物料编码不在档案里",IF(N($J1352)&lt;=0,"※出库数量要大于 0",IF($K1352="","※没填去向类型",IF($L1352="","※没填去向矿区",IF(AND($C1352&lt;&gt;"",$C1352&lt;=结账锁),"※日期早于已结账截止日，不能再录",IF(AND($K1352="自用消耗",COUNTIF({"一矿区";"二矿区"},$L1352)=0),"※自用消耗的去向只能是一矿区或二矿区",IF(AND($K1352="对外销售",COUNTIF({"三矿区";"六矿区"},$L1352)=0),"※对外销售的去向只能是三矿区或六矿区",IF(AND($K1352="对外销售",ROUND($Q1352,0)=0),"※外销却没有售价，请填实际售价",IF(AND($K1352="对外销售",$T1352&lt;&gt;"",$T1352&lt;0),"※这一笔外销是亏的，请核对售价",IF(IFERROR(VLOOKUP($D1352,库存台账!$A$5:$Y$1204,24,0),0)&lt;-0.001,"※这个物料账面已经变成负数了，查一下是不是漏记入库","")))))))))))</f>
        <v/>
      </c>
    </row>
    <row r="1353">
      <c r="A1353" s="24">
        <f>IF($D1353="","",COUNTA($D$4:$D1353))</f>
        <v/>
      </c>
      <c r="B1353" s="17" t="n"/>
      <c r="C1353" s="30" t="n"/>
      <c r="D1353" s="17" t="n"/>
      <c r="E1353" s="24">
        <f>IF($D1353="","",IFERROR(VLOOKUP($D1353,物料档案!$A$4:$P$1203,3,0),"※编码不在物料档案里"))</f>
        <v/>
      </c>
      <c r="F1353" s="24">
        <f>IF($D1353="","",IFERROR(VLOOKUP($D1353,物料档案!$A$4:$P$1203,4,0),"※编码不在物料档案里"))</f>
        <v/>
      </c>
      <c r="G1353" s="24">
        <f>IF($D1353="","",IFERROR(VLOOKUP($D1353,物料档案!$A$4:$P$1203,5,0),"※编码不在物料档案里"))</f>
        <v/>
      </c>
      <c r="H1353" s="24">
        <f>IF($D1353="","",IFERROR(VLOOKUP($D1353,物料档案!$A$4:$P$1203,2,0),"※编码不在物料档案里"))</f>
        <v/>
      </c>
      <c r="I1353" s="24">
        <f>IF($D1353="","",IFERROR(VLOOKUP($D1353,物料档案!$A$4:$P$1203,6,0),"※编码不在物料档案里"))</f>
        <v/>
      </c>
      <c r="J1353" s="23" t="n"/>
      <c r="K1353" s="17" t="n"/>
      <c r="L1353" s="17" t="n"/>
      <c r="M1353" s="17" t="n"/>
      <c r="N1353" s="17" t="n"/>
      <c r="O1353" s="26">
        <f>IF($D1353="","",IFERROR(VLOOKUP($D1353,物料档案!$A$4:$P$1203,10,0),0))</f>
        <v/>
      </c>
      <c r="P1353" s="32" t="n"/>
      <c r="Q1353" s="26">
        <f>IF($D1353="","",IF($K1353&lt;&gt;"对外销售",0,ROUND(N($J1353)*IF($P1353="",N($O1353),N($P1353)),0)))</f>
        <v/>
      </c>
      <c r="R1353" s="26">
        <f>IF($D1353="","",IFERROR(VLOOKUP($D1353,库存台账!$A$5:$Y$1204,11,0),0))</f>
        <v/>
      </c>
      <c r="S1353" s="26">
        <f>IF($D1353="","",ROUND(N($J1353)*N($R1353),0))</f>
        <v/>
      </c>
      <c r="T1353" s="26">
        <f>IF($D1353="","",IF($K1353&lt;&gt;"对外销售","",ROUND($Q1353-$S1353,0)))</f>
        <v/>
      </c>
      <c r="U1353" s="17" t="n"/>
      <c r="V1353" s="17" t="n"/>
      <c r="W1353" s="24">
        <f>IF($D1353="","",IF($E1353="※编码不在物料档案里","※物料编码不在档案里",IF(N($J1353)&lt;=0,"※出库数量要大于 0",IF($K1353="","※没填去向类型",IF($L1353="","※没填去向矿区",IF(AND($C1353&lt;&gt;"",$C1353&lt;=结账锁),"※日期早于已结账截止日，不能再录",IF(AND($K1353="自用消耗",COUNTIF({"一矿区";"二矿区"},$L1353)=0),"※自用消耗的去向只能是一矿区或二矿区",IF(AND($K1353="对外销售",COUNTIF({"三矿区";"六矿区"},$L1353)=0),"※对外销售的去向只能是三矿区或六矿区",IF(AND($K1353="对外销售",ROUND($Q1353,0)=0),"※外销却没有售价，请填实际售价",IF(AND($K1353="对外销售",$T1353&lt;&gt;"",$T1353&lt;0),"※这一笔外销是亏的，请核对售价",IF(IFERROR(VLOOKUP($D1353,库存台账!$A$5:$Y$1204,24,0),0)&lt;-0.001,"※这个物料账面已经变成负数了，查一下是不是漏记入库","")))))))))))</f>
        <v/>
      </c>
    </row>
    <row r="1354">
      <c r="A1354" s="24">
        <f>IF($D1354="","",COUNTA($D$4:$D1354))</f>
        <v/>
      </c>
      <c r="B1354" s="17" t="n"/>
      <c r="C1354" s="30" t="n"/>
      <c r="D1354" s="17" t="n"/>
      <c r="E1354" s="24">
        <f>IF($D1354="","",IFERROR(VLOOKUP($D1354,物料档案!$A$4:$P$1203,3,0),"※编码不在物料档案里"))</f>
        <v/>
      </c>
      <c r="F1354" s="24">
        <f>IF($D1354="","",IFERROR(VLOOKUP($D1354,物料档案!$A$4:$P$1203,4,0),"※编码不在物料档案里"))</f>
        <v/>
      </c>
      <c r="G1354" s="24">
        <f>IF($D1354="","",IFERROR(VLOOKUP($D1354,物料档案!$A$4:$P$1203,5,0),"※编码不在物料档案里"))</f>
        <v/>
      </c>
      <c r="H1354" s="24">
        <f>IF($D1354="","",IFERROR(VLOOKUP($D1354,物料档案!$A$4:$P$1203,2,0),"※编码不在物料档案里"))</f>
        <v/>
      </c>
      <c r="I1354" s="24">
        <f>IF($D1354="","",IFERROR(VLOOKUP($D1354,物料档案!$A$4:$P$1203,6,0),"※编码不在物料档案里"))</f>
        <v/>
      </c>
      <c r="J1354" s="23" t="n"/>
      <c r="K1354" s="17" t="n"/>
      <c r="L1354" s="17" t="n"/>
      <c r="M1354" s="17" t="n"/>
      <c r="N1354" s="17" t="n"/>
      <c r="O1354" s="26">
        <f>IF($D1354="","",IFERROR(VLOOKUP($D1354,物料档案!$A$4:$P$1203,10,0),0))</f>
        <v/>
      </c>
      <c r="P1354" s="32" t="n"/>
      <c r="Q1354" s="26">
        <f>IF($D1354="","",IF($K1354&lt;&gt;"对外销售",0,ROUND(N($J1354)*IF($P1354="",N($O1354),N($P1354)),0)))</f>
        <v/>
      </c>
      <c r="R1354" s="26">
        <f>IF($D1354="","",IFERROR(VLOOKUP($D1354,库存台账!$A$5:$Y$1204,11,0),0))</f>
        <v/>
      </c>
      <c r="S1354" s="26">
        <f>IF($D1354="","",ROUND(N($J1354)*N($R1354),0))</f>
        <v/>
      </c>
      <c r="T1354" s="26">
        <f>IF($D1354="","",IF($K1354&lt;&gt;"对外销售","",ROUND($Q1354-$S1354,0)))</f>
        <v/>
      </c>
      <c r="U1354" s="17" t="n"/>
      <c r="V1354" s="17" t="n"/>
      <c r="W1354" s="24">
        <f>IF($D1354="","",IF($E1354="※编码不在物料档案里","※物料编码不在档案里",IF(N($J1354)&lt;=0,"※出库数量要大于 0",IF($K1354="","※没填去向类型",IF($L1354="","※没填去向矿区",IF(AND($C1354&lt;&gt;"",$C1354&lt;=结账锁),"※日期早于已结账截止日，不能再录",IF(AND($K1354="自用消耗",COUNTIF({"一矿区";"二矿区"},$L1354)=0),"※自用消耗的去向只能是一矿区或二矿区",IF(AND($K1354="对外销售",COUNTIF({"三矿区";"六矿区"},$L1354)=0),"※对外销售的去向只能是三矿区或六矿区",IF(AND($K1354="对外销售",ROUND($Q1354,0)=0),"※外销却没有售价，请填实际售价",IF(AND($K1354="对外销售",$T1354&lt;&gt;"",$T1354&lt;0),"※这一笔外销是亏的，请核对售价",IF(IFERROR(VLOOKUP($D1354,库存台账!$A$5:$Y$1204,24,0),0)&lt;-0.001,"※这个物料账面已经变成负数了，查一下是不是漏记入库","")))))))))))</f>
        <v/>
      </c>
    </row>
    <row r="1355">
      <c r="A1355" s="24">
        <f>IF($D1355="","",COUNTA($D$4:$D1355))</f>
        <v/>
      </c>
      <c r="B1355" s="17" t="n"/>
      <c r="C1355" s="30" t="n"/>
      <c r="D1355" s="17" t="n"/>
      <c r="E1355" s="24">
        <f>IF($D1355="","",IFERROR(VLOOKUP($D1355,物料档案!$A$4:$P$1203,3,0),"※编码不在物料档案里"))</f>
        <v/>
      </c>
      <c r="F1355" s="24">
        <f>IF($D1355="","",IFERROR(VLOOKUP($D1355,物料档案!$A$4:$P$1203,4,0),"※编码不在物料档案里"))</f>
        <v/>
      </c>
      <c r="G1355" s="24">
        <f>IF($D1355="","",IFERROR(VLOOKUP($D1355,物料档案!$A$4:$P$1203,5,0),"※编码不在物料档案里"))</f>
        <v/>
      </c>
      <c r="H1355" s="24">
        <f>IF($D1355="","",IFERROR(VLOOKUP($D1355,物料档案!$A$4:$P$1203,2,0),"※编码不在物料档案里"))</f>
        <v/>
      </c>
      <c r="I1355" s="24">
        <f>IF($D1355="","",IFERROR(VLOOKUP($D1355,物料档案!$A$4:$P$1203,6,0),"※编码不在物料档案里"))</f>
        <v/>
      </c>
      <c r="J1355" s="23" t="n"/>
      <c r="K1355" s="17" t="n"/>
      <c r="L1355" s="17" t="n"/>
      <c r="M1355" s="17" t="n"/>
      <c r="N1355" s="17" t="n"/>
      <c r="O1355" s="26">
        <f>IF($D1355="","",IFERROR(VLOOKUP($D1355,物料档案!$A$4:$P$1203,10,0),0))</f>
        <v/>
      </c>
      <c r="P1355" s="32" t="n"/>
      <c r="Q1355" s="26">
        <f>IF($D1355="","",IF($K1355&lt;&gt;"对外销售",0,ROUND(N($J1355)*IF($P1355="",N($O1355),N($P1355)),0)))</f>
        <v/>
      </c>
      <c r="R1355" s="26">
        <f>IF($D1355="","",IFERROR(VLOOKUP($D1355,库存台账!$A$5:$Y$1204,11,0),0))</f>
        <v/>
      </c>
      <c r="S1355" s="26">
        <f>IF($D1355="","",ROUND(N($J1355)*N($R1355),0))</f>
        <v/>
      </c>
      <c r="T1355" s="26">
        <f>IF($D1355="","",IF($K1355&lt;&gt;"对外销售","",ROUND($Q1355-$S1355,0)))</f>
        <v/>
      </c>
      <c r="U1355" s="17" t="n"/>
      <c r="V1355" s="17" t="n"/>
      <c r="W1355" s="24">
        <f>IF($D1355="","",IF($E1355="※编码不在物料档案里","※物料编码不在档案里",IF(N($J1355)&lt;=0,"※出库数量要大于 0",IF($K1355="","※没填去向类型",IF($L1355="","※没填去向矿区",IF(AND($C1355&lt;&gt;"",$C1355&lt;=结账锁),"※日期早于已结账截止日，不能再录",IF(AND($K1355="自用消耗",COUNTIF({"一矿区";"二矿区"},$L1355)=0),"※自用消耗的去向只能是一矿区或二矿区",IF(AND($K1355="对外销售",COUNTIF({"三矿区";"六矿区"},$L1355)=0),"※对外销售的去向只能是三矿区或六矿区",IF(AND($K1355="对外销售",ROUND($Q1355,0)=0),"※外销却没有售价，请填实际售价",IF(AND($K1355="对外销售",$T1355&lt;&gt;"",$T1355&lt;0),"※这一笔外销是亏的，请核对售价",IF(IFERROR(VLOOKUP($D1355,库存台账!$A$5:$Y$1204,24,0),0)&lt;-0.001,"※这个物料账面已经变成负数了，查一下是不是漏记入库","")))))))))))</f>
        <v/>
      </c>
    </row>
    <row r="1356">
      <c r="A1356" s="24">
        <f>IF($D1356="","",COUNTA($D$4:$D1356))</f>
        <v/>
      </c>
      <c r="B1356" s="17" t="n"/>
      <c r="C1356" s="30" t="n"/>
      <c r="D1356" s="17" t="n"/>
      <c r="E1356" s="24">
        <f>IF($D1356="","",IFERROR(VLOOKUP($D1356,物料档案!$A$4:$P$1203,3,0),"※编码不在物料档案里"))</f>
        <v/>
      </c>
      <c r="F1356" s="24">
        <f>IF($D1356="","",IFERROR(VLOOKUP($D1356,物料档案!$A$4:$P$1203,4,0),"※编码不在物料档案里"))</f>
        <v/>
      </c>
      <c r="G1356" s="24">
        <f>IF($D1356="","",IFERROR(VLOOKUP($D1356,物料档案!$A$4:$P$1203,5,0),"※编码不在物料档案里"))</f>
        <v/>
      </c>
      <c r="H1356" s="24">
        <f>IF($D1356="","",IFERROR(VLOOKUP($D1356,物料档案!$A$4:$P$1203,2,0),"※编码不在物料档案里"))</f>
        <v/>
      </c>
      <c r="I1356" s="24">
        <f>IF($D1356="","",IFERROR(VLOOKUP($D1356,物料档案!$A$4:$P$1203,6,0),"※编码不在物料档案里"))</f>
        <v/>
      </c>
      <c r="J1356" s="23" t="n"/>
      <c r="K1356" s="17" t="n"/>
      <c r="L1356" s="17" t="n"/>
      <c r="M1356" s="17" t="n"/>
      <c r="N1356" s="17" t="n"/>
      <c r="O1356" s="26">
        <f>IF($D1356="","",IFERROR(VLOOKUP($D1356,物料档案!$A$4:$P$1203,10,0),0))</f>
        <v/>
      </c>
      <c r="P1356" s="32" t="n"/>
      <c r="Q1356" s="26">
        <f>IF($D1356="","",IF($K1356&lt;&gt;"对外销售",0,ROUND(N($J1356)*IF($P1356="",N($O1356),N($P1356)),0)))</f>
        <v/>
      </c>
      <c r="R1356" s="26">
        <f>IF($D1356="","",IFERROR(VLOOKUP($D1356,库存台账!$A$5:$Y$1204,11,0),0))</f>
        <v/>
      </c>
      <c r="S1356" s="26">
        <f>IF($D1356="","",ROUND(N($J1356)*N($R1356),0))</f>
        <v/>
      </c>
      <c r="T1356" s="26">
        <f>IF($D1356="","",IF($K1356&lt;&gt;"对外销售","",ROUND($Q1356-$S1356,0)))</f>
        <v/>
      </c>
      <c r="U1356" s="17" t="n"/>
      <c r="V1356" s="17" t="n"/>
      <c r="W1356" s="24">
        <f>IF($D1356="","",IF($E1356="※编码不在物料档案里","※物料编码不在档案里",IF(N($J1356)&lt;=0,"※出库数量要大于 0",IF($K1356="","※没填去向类型",IF($L1356="","※没填去向矿区",IF(AND($C1356&lt;&gt;"",$C1356&lt;=结账锁),"※日期早于已结账截止日，不能再录",IF(AND($K1356="自用消耗",COUNTIF({"一矿区";"二矿区"},$L1356)=0),"※自用消耗的去向只能是一矿区或二矿区",IF(AND($K1356="对外销售",COUNTIF({"三矿区";"六矿区"},$L1356)=0),"※对外销售的去向只能是三矿区或六矿区",IF(AND($K1356="对外销售",ROUND($Q1356,0)=0),"※外销却没有售价，请填实际售价",IF(AND($K1356="对外销售",$T1356&lt;&gt;"",$T1356&lt;0),"※这一笔外销是亏的，请核对售价",IF(IFERROR(VLOOKUP($D1356,库存台账!$A$5:$Y$1204,24,0),0)&lt;-0.001,"※这个物料账面已经变成负数了，查一下是不是漏记入库","")))))))))))</f>
        <v/>
      </c>
    </row>
    <row r="1357">
      <c r="A1357" s="24">
        <f>IF($D1357="","",COUNTA($D$4:$D1357))</f>
        <v/>
      </c>
      <c r="B1357" s="17" t="n"/>
      <c r="C1357" s="30" t="n"/>
      <c r="D1357" s="17" t="n"/>
      <c r="E1357" s="24">
        <f>IF($D1357="","",IFERROR(VLOOKUP($D1357,物料档案!$A$4:$P$1203,3,0),"※编码不在物料档案里"))</f>
        <v/>
      </c>
      <c r="F1357" s="24">
        <f>IF($D1357="","",IFERROR(VLOOKUP($D1357,物料档案!$A$4:$P$1203,4,0),"※编码不在物料档案里"))</f>
        <v/>
      </c>
      <c r="G1357" s="24">
        <f>IF($D1357="","",IFERROR(VLOOKUP($D1357,物料档案!$A$4:$P$1203,5,0),"※编码不在物料档案里"))</f>
        <v/>
      </c>
      <c r="H1357" s="24">
        <f>IF($D1357="","",IFERROR(VLOOKUP($D1357,物料档案!$A$4:$P$1203,2,0),"※编码不在物料档案里"))</f>
        <v/>
      </c>
      <c r="I1357" s="24">
        <f>IF($D1357="","",IFERROR(VLOOKUP($D1357,物料档案!$A$4:$P$1203,6,0),"※编码不在物料档案里"))</f>
        <v/>
      </c>
      <c r="J1357" s="23" t="n"/>
      <c r="K1357" s="17" t="n"/>
      <c r="L1357" s="17" t="n"/>
      <c r="M1357" s="17" t="n"/>
      <c r="N1357" s="17" t="n"/>
      <c r="O1357" s="26">
        <f>IF($D1357="","",IFERROR(VLOOKUP($D1357,物料档案!$A$4:$P$1203,10,0),0))</f>
        <v/>
      </c>
      <c r="P1357" s="32" t="n"/>
      <c r="Q1357" s="26">
        <f>IF($D1357="","",IF($K1357&lt;&gt;"对外销售",0,ROUND(N($J1357)*IF($P1357="",N($O1357),N($P1357)),0)))</f>
        <v/>
      </c>
      <c r="R1357" s="26">
        <f>IF($D1357="","",IFERROR(VLOOKUP($D1357,库存台账!$A$5:$Y$1204,11,0),0))</f>
        <v/>
      </c>
      <c r="S1357" s="26">
        <f>IF($D1357="","",ROUND(N($J1357)*N($R1357),0))</f>
        <v/>
      </c>
      <c r="T1357" s="26">
        <f>IF($D1357="","",IF($K1357&lt;&gt;"对外销售","",ROUND($Q1357-$S1357,0)))</f>
        <v/>
      </c>
      <c r="U1357" s="17" t="n"/>
      <c r="V1357" s="17" t="n"/>
      <c r="W1357" s="24">
        <f>IF($D1357="","",IF($E1357="※编码不在物料档案里","※物料编码不在档案里",IF(N($J1357)&lt;=0,"※出库数量要大于 0",IF($K1357="","※没填去向类型",IF($L1357="","※没填去向矿区",IF(AND($C1357&lt;&gt;"",$C1357&lt;=结账锁),"※日期早于已结账截止日，不能再录",IF(AND($K1357="自用消耗",COUNTIF({"一矿区";"二矿区"},$L1357)=0),"※自用消耗的去向只能是一矿区或二矿区",IF(AND($K1357="对外销售",COUNTIF({"三矿区";"六矿区"},$L1357)=0),"※对外销售的去向只能是三矿区或六矿区",IF(AND($K1357="对外销售",ROUND($Q1357,0)=0),"※外销却没有售价，请填实际售价",IF(AND($K1357="对外销售",$T1357&lt;&gt;"",$T1357&lt;0),"※这一笔外销是亏的，请核对售价",IF(IFERROR(VLOOKUP($D1357,库存台账!$A$5:$Y$1204,24,0),0)&lt;-0.001,"※这个物料账面已经变成负数了，查一下是不是漏记入库","")))))))))))</f>
        <v/>
      </c>
    </row>
    <row r="1358">
      <c r="A1358" s="24">
        <f>IF($D1358="","",COUNTA($D$4:$D1358))</f>
        <v/>
      </c>
      <c r="B1358" s="17" t="n"/>
      <c r="C1358" s="30" t="n"/>
      <c r="D1358" s="17" t="n"/>
      <c r="E1358" s="24">
        <f>IF($D1358="","",IFERROR(VLOOKUP($D1358,物料档案!$A$4:$P$1203,3,0),"※编码不在物料档案里"))</f>
        <v/>
      </c>
      <c r="F1358" s="24">
        <f>IF($D1358="","",IFERROR(VLOOKUP($D1358,物料档案!$A$4:$P$1203,4,0),"※编码不在物料档案里"))</f>
        <v/>
      </c>
      <c r="G1358" s="24">
        <f>IF($D1358="","",IFERROR(VLOOKUP($D1358,物料档案!$A$4:$P$1203,5,0),"※编码不在物料档案里"))</f>
        <v/>
      </c>
      <c r="H1358" s="24">
        <f>IF($D1358="","",IFERROR(VLOOKUP($D1358,物料档案!$A$4:$P$1203,2,0),"※编码不在物料档案里"))</f>
        <v/>
      </c>
      <c r="I1358" s="24">
        <f>IF($D1358="","",IFERROR(VLOOKUP($D1358,物料档案!$A$4:$P$1203,6,0),"※编码不在物料档案里"))</f>
        <v/>
      </c>
      <c r="J1358" s="23" t="n"/>
      <c r="K1358" s="17" t="n"/>
      <c r="L1358" s="17" t="n"/>
      <c r="M1358" s="17" t="n"/>
      <c r="N1358" s="17" t="n"/>
      <c r="O1358" s="26">
        <f>IF($D1358="","",IFERROR(VLOOKUP($D1358,物料档案!$A$4:$P$1203,10,0),0))</f>
        <v/>
      </c>
      <c r="P1358" s="32" t="n"/>
      <c r="Q1358" s="26">
        <f>IF($D1358="","",IF($K1358&lt;&gt;"对外销售",0,ROUND(N($J1358)*IF($P1358="",N($O1358),N($P1358)),0)))</f>
        <v/>
      </c>
      <c r="R1358" s="26">
        <f>IF($D1358="","",IFERROR(VLOOKUP($D1358,库存台账!$A$5:$Y$1204,11,0),0))</f>
        <v/>
      </c>
      <c r="S1358" s="26">
        <f>IF($D1358="","",ROUND(N($J1358)*N($R1358),0))</f>
        <v/>
      </c>
      <c r="T1358" s="26">
        <f>IF($D1358="","",IF($K1358&lt;&gt;"对外销售","",ROUND($Q1358-$S1358,0)))</f>
        <v/>
      </c>
      <c r="U1358" s="17" t="n"/>
      <c r="V1358" s="17" t="n"/>
      <c r="W1358" s="24">
        <f>IF($D1358="","",IF($E1358="※编码不在物料档案里","※物料编码不在档案里",IF(N($J1358)&lt;=0,"※出库数量要大于 0",IF($K1358="","※没填去向类型",IF($L1358="","※没填去向矿区",IF(AND($C1358&lt;&gt;"",$C1358&lt;=结账锁),"※日期早于已结账截止日，不能再录",IF(AND($K1358="自用消耗",COUNTIF({"一矿区";"二矿区"},$L1358)=0),"※自用消耗的去向只能是一矿区或二矿区",IF(AND($K1358="对外销售",COUNTIF({"三矿区";"六矿区"},$L1358)=0),"※对外销售的去向只能是三矿区或六矿区",IF(AND($K1358="对外销售",ROUND($Q1358,0)=0),"※外销却没有售价，请填实际售价",IF(AND($K1358="对外销售",$T1358&lt;&gt;"",$T1358&lt;0),"※这一笔外销是亏的，请核对售价",IF(IFERROR(VLOOKUP($D1358,库存台账!$A$5:$Y$1204,24,0),0)&lt;-0.001,"※这个物料账面已经变成负数了，查一下是不是漏记入库","")))))))))))</f>
        <v/>
      </c>
    </row>
    <row r="1359">
      <c r="A1359" s="24">
        <f>IF($D1359="","",COUNTA($D$4:$D1359))</f>
        <v/>
      </c>
      <c r="B1359" s="17" t="n"/>
      <c r="C1359" s="30" t="n"/>
      <c r="D1359" s="17" t="n"/>
      <c r="E1359" s="24">
        <f>IF($D1359="","",IFERROR(VLOOKUP($D1359,物料档案!$A$4:$P$1203,3,0),"※编码不在物料档案里"))</f>
        <v/>
      </c>
      <c r="F1359" s="24">
        <f>IF($D1359="","",IFERROR(VLOOKUP($D1359,物料档案!$A$4:$P$1203,4,0),"※编码不在物料档案里"))</f>
        <v/>
      </c>
      <c r="G1359" s="24">
        <f>IF($D1359="","",IFERROR(VLOOKUP($D1359,物料档案!$A$4:$P$1203,5,0),"※编码不在物料档案里"))</f>
        <v/>
      </c>
      <c r="H1359" s="24">
        <f>IF($D1359="","",IFERROR(VLOOKUP($D1359,物料档案!$A$4:$P$1203,2,0),"※编码不在物料档案里"))</f>
        <v/>
      </c>
      <c r="I1359" s="24">
        <f>IF($D1359="","",IFERROR(VLOOKUP($D1359,物料档案!$A$4:$P$1203,6,0),"※编码不在物料档案里"))</f>
        <v/>
      </c>
      <c r="J1359" s="23" t="n"/>
      <c r="K1359" s="17" t="n"/>
      <c r="L1359" s="17" t="n"/>
      <c r="M1359" s="17" t="n"/>
      <c r="N1359" s="17" t="n"/>
      <c r="O1359" s="26">
        <f>IF($D1359="","",IFERROR(VLOOKUP($D1359,物料档案!$A$4:$P$1203,10,0),0))</f>
        <v/>
      </c>
      <c r="P1359" s="32" t="n"/>
      <c r="Q1359" s="26">
        <f>IF($D1359="","",IF($K1359&lt;&gt;"对外销售",0,ROUND(N($J1359)*IF($P1359="",N($O1359),N($P1359)),0)))</f>
        <v/>
      </c>
      <c r="R1359" s="26">
        <f>IF($D1359="","",IFERROR(VLOOKUP($D1359,库存台账!$A$5:$Y$1204,11,0),0))</f>
        <v/>
      </c>
      <c r="S1359" s="26">
        <f>IF($D1359="","",ROUND(N($J1359)*N($R1359),0))</f>
        <v/>
      </c>
      <c r="T1359" s="26">
        <f>IF($D1359="","",IF($K1359&lt;&gt;"对外销售","",ROUND($Q1359-$S1359,0)))</f>
        <v/>
      </c>
      <c r="U1359" s="17" t="n"/>
      <c r="V1359" s="17" t="n"/>
      <c r="W1359" s="24">
        <f>IF($D1359="","",IF($E1359="※编码不在物料档案里","※物料编码不在档案里",IF(N($J1359)&lt;=0,"※出库数量要大于 0",IF($K1359="","※没填去向类型",IF($L1359="","※没填去向矿区",IF(AND($C1359&lt;&gt;"",$C1359&lt;=结账锁),"※日期早于已结账截止日，不能再录",IF(AND($K1359="自用消耗",COUNTIF({"一矿区";"二矿区"},$L1359)=0),"※自用消耗的去向只能是一矿区或二矿区",IF(AND($K1359="对外销售",COUNTIF({"三矿区";"六矿区"},$L1359)=0),"※对外销售的去向只能是三矿区或六矿区",IF(AND($K1359="对外销售",ROUND($Q1359,0)=0),"※外销却没有售价，请填实际售价",IF(AND($K1359="对外销售",$T1359&lt;&gt;"",$T1359&lt;0),"※这一笔外销是亏的，请核对售价",IF(IFERROR(VLOOKUP($D1359,库存台账!$A$5:$Y$1204,24,0),0)&lt;-0.001,"※这个物料账面已经变成负数了，查一下是不是漏记入库","")))))))))))</f>
        <v/>
      </c>
    </row>
    <row r="1360">
      <c r="A1360" s="24">
        <f>IF($D1360="","",COUNTA($D$4:$D1360))</f>
        <v/>
      </c>
      <c r="B1360" s="17" t="n"/>
      <c r="C1360" s="30" t="n"/>
      <c r="D1360" s="17" t="n"/>
      <c r="E1360" s="24">
        <f>IF($D1360="","",IFERROR(VLOOKUP($D1360,物料档案!$A$4:$P$1203,3,0),"※编码不在物料档案里"))</f>
        <v/>
      </c>
      <c r="F1360" s="24">
        <f>IF($D1360="","",IFERROR(VLOOKUP($D1360,物料档案!$A$4:$P$1203,4,0),"※编码不在物料档案里"))</f>
        <v/>
      </c>
      <c r="G1360" s="24">
        <f>IF($D1360="","",IFERROR(VLOOKUP($D1360,物料档案!$A$4:$P$1203,5,0),"※编码不在物料档案里"))</f>
        <v/>
      </c>
      <c r="H1360" s="24">
        <f>IF($D1360="","",IFERROR(VLOOKUP($D1360,物料档案!$A$4:$P$1203,2,0),"※编码不在物料档案里"))</f>
        <v/>
      </c>
      <c r="I1360" s="24">
        <f>IF($D1360="","",IFERROR(VLOOKUP($D1360,物料档案!$A$4:$P$1203,6,0),"※编码不在物料档案里"))</f>
        <v/>
      </c>
      <c r="J1360" s="23" t="n"/>
      <c r="K1360" s="17" t="n"/>
      <c r="L1360" s="17" t="n"/>
      <c r="M1360" s="17" t="n"/>
      <c r="N1360" s="17" t="n"/>
      <c r="O1360" s="26">
        <f>IF($D1360="","",IFERROR(VLOOKUP($D1360,物料档案!$A$4:$P$1203,10,0),0))</f>
        <v/>
      </c>
      <c r="P1360" s="32" t="n"/>
      <c r="Q1360" s="26">
        <f>IF($D1360="","",IF($K1360&lt;&gt;"对外销售",0,ROUND(N($J1360)*IF($P1360="",N($O1360),N($P1360)),0)))</f>
        <v/>
      </c>
      <c r="R1360" s="26">
        <f>IF($D1360="","",IFERROR(VLOOKUP($D1360,库存台账!$A$5:$Y$1204,11,0),0))</f>
        <v/>
      </c>
      <c r="S1360" s="26">
        <f>IF($D1360="","",ROUND(N($J1360)*N($R1360),0))</f>
        <v/>
      </c>
      <c r="T1360" s="26">
        <f>IF($D1360="","",IF($K1360&lt;&gt;"对外销售","",ROUND($Q1360-$S1360,0)))</f>
        <v/>
      </c>
      <c r="U1360" s="17" t="n"/>
      <c r="V1360" s="17" t="n"/>
      <c r="W1360" s="24">
        <f>IF($D1360="","",IF($E1360="※编码不在物料档案里","※物料编码不在档案里",IF(N($J1360)&lt;=0,"※出库数量要大于 0",IF($K1360="","※没填去向类型",IF($L1360="","※没填去向矿区",IF(AND($C1360&lt;&gt;"",$C1360&lt;=结账锁),"※日期早于已结账截止日，不能再录",IF(AND($K1360="自用消耗",COUNTIF({"一矿区";"二矿区"},$L1360)=0),"※自用消耗的去向只能是一矿区或二矿区",IF(AND($K1360="对外销售",COUNTIF({"三矿区";"六矿区"},$L1360)=0),"※对外销售的去向只能是三矿区或六矿区",IF(AND($K1360="对外销售",ROUND($Q1360,0)=0),"※外销却没有售价，请填实际售价",IF(AND($K1360="对外销售",$T1360&lt;&gt;"",$T1360&lt;0),"※这一笔外销是亏的，请核对售价",IF(IFERROR(VLOOKUP($D1360,库存台账!$A$5:$Y$1204,24,0),0)&lt;-0.001,"※这个物料账面已经变成负数了，查一下是不是漏记入库","")))))))))))</f>
        <v/>
      </c>
    </row>
    <row r="1361">
      <c r="A1361" s="24">
        <f>IF($D1361="","",COUNTA($D$4:$D1361))</f>
        <v/>
      </c>
      <c r="B1361" s="17" t="n"/>
      <c r="C1361" s="30" t="n"/>
      <c r="D1361" s="17" t="n"/>
      <c r="E1361" s="24">
        <f>IF($D1361="","",IFERROR(VLOOKUP($D1361,物料档案!$A$4:$P$1203,3,0),"※编码不在物料档案里"))</f>
        <v/>
      </c>
      <c r="F1361" s="24">
        <f>IF($D1361="","",IFERROR(VLOOKUP($D1361,物料档案!$A$4:$P$1203,4,0),"※编码不在物料档案里"))</f>
        <v/>
      </c>
      <c r="G1361" s="24">
        <f>IF($D1361="","",IFERROR(VLOOKUP($D1361,物料档案!$A$4:$P$1203,5,0),"※编码不在物料档案里"))</f>
        <v/>
      </c>
      <c r="H1361" s="24">
        <f>IF($D1361="","",IFERROR(VLOOKUP($D1361,物料档案!$A$4:$P$1203,2,0),"※编码不在物料档案里"))</f>
        <v/>
      </c>
      <c r="I1361" s="24">
        <f>IF($D1361="","",IFERROR(VLOOKUP($D1361,物料档案!$A$4:$P$1203,6,0),"※编码不在物料档案里"))</f>
        <v/>
      </c>
      <c r="J1361" s="23" t="n"/>
      <c r="K1361" s="17" t="n"/>
      <c r="L1361" s="17" t="n"/>
      <c r="M1361" s="17" t="n"/>
      <c r="N1361" s="17" t="n"/>
      <c r="O1361" s="26">
        <f>IF($D1361="","",IFERROR(VLOOKUP($D1361,物料档案!$A$4:$P$1203,10,0),0))</f>
        <v/>
      </c>
      <c r="P1361" s="32" t="n"/>
      <c r="Q1361" s="26">
        <f>IF($D1361="","",IF($K1361&lt;&gt;"对外销售",0,ROUND(N($J1361)*IF($P1361="",N($O1361),N($P1361)),0)))</f>
        <v/>
      </c>
      <c r="R1361" s="26">
        <f>IF($D1361="","",IFERROR(VLOOKUP($D1361,库存台账!$A$5:$Y$1204,11,0),0))</f>
        <v/>
      </c>
      <c r="S1361" s="26">
        <f>IF($D1361="","",ROUND(N($J1361)*N($R1361),0))</f>
        <v/>
      </c>
      <c r="T1361" s="26">
        <f>IF($D1361="","",IF($K1361&lt;&gt;"对外销售","",ROUND($Q1361-$S1361,0)))</f>
        <v/>
      </c>
      <c r="U1361" s="17" t="n"/>
      <c r="V1361" s="17" t="n"/>
      <c r="W1361" s="24">
        <f>IF($D1361="","",IF($E1361="※编码不在物料档案里","※物料编码不在档案里",IF(N($J1361)&lt;=0,"※出库数量要大于 0",IF($K1361="","※没填去向类型",IF($L1361="","※没填去向矿区",IF(AND($C1361&lt;&gt;"",$C1361&lt;=结账锁),"※日期早于已结账截止日，不能再录",IF(AND($K1361="自用消耗",COUNTIF({"一矿区";"二矿区"},$L1361)=0),"※自用消耗的去向只能是一矿区或二矿区",IF(AND($K1361="对外销售",COUNTIF({"三矿区";"六矿区"},$L1361)=0),"※对外销售的去向只能是三矿区或六矿区",IF(AND($K1361="对外销售",ROUND($Q1361,0)=0),"※外销却没有售价，请填实际售价",IF(AND($K1361="对外销售",$T1361&lt;&gt;"",$T1361&lt;0),"※这一笔外销是亏的，请核对售价",IF(IFERROR(VLOOKUP($D1361,库存台账!$A$5:$Y$1204,24,0),0)&lt;-0.001,"※这个物料账面已经变成负数了，查一下是不是漏记入库","")))))))))))</f>
        <v/>
      </c>
    </row>
    <row r="1362">
      <c r="A1362" s="24">
        <f>IF($D1362="","",COUNTA($D$4:$D1362))</f>
        <v/>
      </c>
      <c r="B1362" s="17" t="n"/>
      <c r="C1362" s="30" t="n"/>
      <c r="D1362" s="17" t="n"/>
      <c r="E1362" s="24">
        <f>IF($D1362="","",IFERROR(VLOOKUP($D1362,物料档案!$A$4:$P$1203,3,0),"※编码不在物料档案里"))</f>
        <v/>
      </c>
      <c r="F1362" s="24">
        <f>IF($D1362="","",IFERROR(VLOOKUP($D1362,物料档案!$A$4:$P$1203,4,0),"※编码不在物料档案里"))</f>
        <v/>
      </c>
      <c r="G1362" s="24">
        <f>IF($D1362="","",IFERROR(VLOOKUP($D1362,物料档案!$A$4:$P$1203,5,0),"※编码不在物料档案里"))</f>
        <v/>
      </c>
      <c r="H1362" s="24">
        <f>IF($D1362="","",IFERROR(VLOOKUP($D1362,物料档案!$A$4:$P$1203,2,0),"※编码不在物料档案里"))</f>
        <v/>
      </c>
      <c r="I1362" s="24">
        <f>IF($D1362="","",IFERROR(VLOOKUP($D1362,物料档案!$A$4:$P$1203,6,0),"※编码不在物料档案里"))</f>
        <v/>
      </c>
      <c r="J1362" s="23" t="n"/>
      <c r="K1362" s="17" t="n"/>
      <c r="L1362" s="17" t="n"/>
      <c r="M1362" s="17" t="n"/>
      <c r="N1362" s="17" t="n"/>
      <c r="O1362" s="26">
        <f>IF($D1362="","",IFERROR(VLOOKUP($D1362,物料档案!$A$4:$P$1203,10,0),0))</f>
        <v/>
      </c>
      <c r="P1362" s="32" t="n"/>
      <c r="Q1362" s="26">
        <f>IF($D1362="","",IF($K1362&lt;&gt;"对外销售",0,ROUND(N($J1362)*IF($P1362="",N($O1362),N($P1362)),0)))</f>
        <v/>
      </c>
      <c r="R1362" s="26">
        <f>IF($D1362="","",IFERROR(VLOOKUP($D1362,库存台账!$A$5:$Y$1204,11,0),0))</f>
        <v/>
      </c>
      <c r="S1362" s="26">
        <f>IF($D1362="","",ROUND(N($J1362)*N($R1362),0))</f>
        <v/>
      </c>
      <c r="T1362" s="26">
        <f>IF($D1362="","",IF($K1362&lt;&gt;"对外销售","",ROUND($Q1362-$S1362,0)))</f>
        <v/>
      </c>
      <c r="U1362" s="17" t="n"/>
      <c r="V1362" s="17" t="n"/>
      <c r="W1362" s="24">
        <f>IF($D1362="","",IF($E1362="※编码不在物料档案里","※物料编码不在档案里",IF(N($J1362)&lt;=0,"※出库数量要大于 0",IF($K1362="","※没填去向类型",IF($L1362="","※没填去向矿区",IF(AND($C1362&lt;&gt;"",$C1362&lt;=结账锁),"※日期早于已结账截止日，不能再录",IF(AND($K1362="自用消耗",COUNTIF({"一矿区";"二矿区"},$L1362)=0),"※自用消耗的去向只能是一矿区或二矿区",IF(AND($K1362="对外销售",COUNTIF({"三矿区";"六矿区"},$L1362)=0),"※对外销售的去向只能是三矿区或六矿区",IF(AND($K1362="对外销售",ROUND($Q1362,0)=0),"※外销却没有售价，请填实际售价",IF(AND($K1362="对外销售",$T1362&lt;&gt;"",$T1362&lt;0),"※这一笔外销是亏的，请核对售价",IF(IFERROR(VLOOKUP($D1362,库存台账!$A$5:$Y$1204,24,0),0)&lt;-0.001,"※这个物料账面已经变成负数了，查一下是不是漏记入库","")))))))))))</f>
        <v/>
      </c>
    </row>
    <row r="1363">
      <c r="A1363" s="24">
        <f>IF($D1363="","",COUNTA($D$4:$D1363))</f>
        <v/>
      </c>
      <c r="B1363" s="17" t="n"/>
      <c r="C1363" s="30" t="n"/>
      <c r="D1363" s="17" t="n"/>
      <c r="E1363" s="24">
        <f>IF($D1363="","",IFERROR(VLOOKUP($D1363,物料档案!$A$4:$P$1203,3,0),"※编码不在物料档案里"))</f>
        <v/>
      </c>
      <c r="F1363" s="24">
        <f>IF($D1363="","",IFERROR(VLOOKUP($D1363,物料档案!$A$4:$P$1203,4,0),"※编码不在物料档案里"))</f>
        <v/>
      </c>
      <c r="G1363" s="24">
        <f>IF($D1363="","",IFERROR(VLOOKUP($D1363,物料档案!$A$4:$P$1203,5,0),"※编码不在物料档案里"))</f>
        <v/>
      </c>
      <c r="H1363" s="24">
        <f>IF($D1363="","",IFERROR(VLOOKUP($D1363,物料档案!$A$4:$P$1203,2,0),"※编码不在物料档案里"))</f>
        <v/>
      </c>
      <c r="I1363" s="24">
        <f>IF($D1363="","",IFERROR(VLOOKUP($D1363,物料档案!$A$4:$P$1203,6,0),"※编码不在物料档案里"))</f>
        <v/>
      </c>
      <c r="J1363" s="23" t="n"/>
      <c r="K1363" s="17" t="n"/>
      <c r="L1363" s="17" t="n"/>
      <c r="M1363" s="17" t="n"/>
      <c r="N1363" s="17" t="n"/>
      <c r="O1363" s="26">
        <f>IF($D1363="","",IFERROR(VLOOKUP($D1363,物料档案!$A$4:$P$1203,10,0),0))</f>
        <v/>
      </c>
      <c r="P1363" s="32" t="n"/>
      <c r="Q1363" s="26">
        <f>IF($D1363="","",IF($K1363&lt;&gt;"对外销售",0,ROUND(N($J1363)*IF($P1363="",N($O1363),N($P1363)),0)))</f>
        <v/>
      </c>
      <c r="R1363" s="26">
        <f>IF($D1363="","",IFERROR(VLOOKUP($D1363,库存台账!$A$5:$Y$1204,11,0),0))</f>
        <v/>
      </c>
      <c r="S1363" s="26">
        <f>IF($D1363="","",ROUND(N($J1363)*N($R1363),0))</f>
        <v/>
      </c>
      <c r="T1363" s="26">
        <f>IF($D1363="","",IF($K1363&lt;&gt;"对外销售","",ROUND($Q1363-$S1363,0)))</f>
        <v/>
      </c>
      <c r="U1363" s="17" t="n"/>
      <c r="V1363" s="17" t="n"/>
      <c r="W1363" s="24">
        <f>IF($D1363="","",IF($E1363="※编码不在物料档案里","※物料编码不在档案里",IF(N($J1363)&lt;=0,"※出库数量要大于 0",IF($K1363="","※没填去向类型",IF($L1363="","※没填去向矿区",IF(AND($C1363&lt;&gt;"",$C1363&lt;=结账锁),"※日期早于已结账截止日，不能再录",IF(AND($K1363="自用消耗",COUNTIF({"一矿区";"二矿区"},$L1363)=0),"※自用消耗的去向只能是一矿区或二矿区",IF(AND($K1363="对外销售",COUNTIF({"三矿区";"六矿区"},$L1363)=0),"※对外销售的去向只能是三矿区或六矿区",IF(AND($K1363="对外销售",ROUND($Q1363,0)=0),"※外销却没有售价，请填实际售价",IF(AND($K1363="对外销售",$T1363&lt;&gt;"",$T1363&lt;0),"※这一笔外销是亏的，请核对售价",IF(IFERROR(VLOOKUP($D1363,库存台账!$A$5:$Y$1204,24,0),0)&lt;-0.001,"※这个物料账面已经变成负数了，查一下是不是漏记入库","")))))))))))</f>
        <v/>
      </c>
    </row>
    <row r="1364">
      <c r="A1364" s="24">
        <f>IF($D1364="","",COUNTA($D$4:$D1364))</f>
        <v/>
      </c>
      <c r="B1364" s="17" t="n"/>
      <c r="C1364" s="30" t="n"/>
      <c r="D1364" s="17" t="n"/>
      <c r="E1364" s="24">
        <f>IF($D1364="","",IFERROR(VLOOKUP($D1364,物料档案!$A$4:$P$1203,3,0),"※编码不在物料档案里"))</f>
        <v/>
      </c>
      <c r="F1364" s="24">
        <f>IF($D1364="","",IFERROR(VLOOKUP($D1364,物料档案!$A$4:$P$1203,4,0),"※编码不在物料档案里"))</f>
        <v/>
      </c>
      <c r="G1364" s="24">
        <f>IF($D1364="","",IFERROR(VLOOKUP($D1364,物料档案!$A$4:$P$1203,5,0),"※编码不在物料档案里"))</f>
        <v/>
      </c>
      <c r="H1364" s="24">
        <f>IF($D1364="","",IFERROR(VLOOKUP($D1364,物料档案!$A$4:$P$1203,2,0),"※编码不在物料档案里"))</f>
        <v/>
      </c>
      <c r="I1364" s="24">
        <f>IF($D1364="","",IFERROR(VLOOKUP($D1364,物料档案!$A$4:$P$1203,6,0),"※编码不在物料档案里"))</f>
        <v/>
      </c>
      <c r="J1364" s="23" t="n"/>
      <c r="K1364" s="17" t="n"/>
      <c r="L1364" s="17" t="n"/>
      <c r="M1364" s="17" t="n"/>
      <c r="N1364" s="17" t="n"/>
      <c r="O1364" s="26">
        <f>IF($D1364="","",IFERROR(VLOOKUP($D1364,物料档案!$A$4:$P$1203,10,0),0))</f>
        <v/>
      </c>
      <c r="P1364" s="32" t="n"/>
      <c r="Q1364" s="26">
        <f>IF($D1364="","",IF($K1364&lt;&gt;"对外销售",0,ROUND(N($J1364)*IF($P1364="",N($O1364),N($P1364)),0)))</f>
        <v/>
      </c>
      <c r="R1364" s="26">
        <f>IF($D1364="","",IFERROR(VLOOKUP($D1364,库存台账!$A$5:$Y$1204,11,0),0))</f>
        <v/>
      </c>
      <c r="S1364" s="26">
        <f>IF($D1364="","",ROUND(N($J1364)*N($R1364),0))</f>
        <v/>
      </c>
      <c r="T1364" s="26">
        <f>IF($D1364="","",IF($K1364&lt;&gt;"对外销售","",ROUND($Q1364-$S1364,0)))</f>
        <v/>
      </c>
      <c r="U1364" s="17" t="n"/>
      <c r="V1364" s="17" t="n"/>
      <c r="W1364" s="24">
        <f>IF($D1364="","",IF($E1364="※编码不在物料档案里","※物料编码不在档案里",IF(N($J1364)&lt;=0,"※出库数量要大于 0",IF($K1364="","※没填去向类型",IF($L1364="","※没填去向矿区",IF(AND($C1364&lt;&gt;"",$C1364&lt;=结账锁),"※日期早于已结账截止日，不能再录",IF(AND($K1364="自用消耗",COUNTIF({"一矿区";"二矿区"},$L1364)=0),"※自用消耗的去向只能是一矿区或二矿区",IF(AND($K1364="对外销售",COUNTIF({"三矿区";"六矿区"},$L1364)=0),"※对外销售的去向只能是三矿区或六矿区",IF(AND($K1364="对外销售",ROUND($Q1364,0)=0),"※外销却没有售价，请填实际售价",IF(AND($K1364="对外销售",$T1364&lt;&gt;"",$T1364&lt;0),"※这一笔外销是亏的，请核对售价",IF(IFERROR(VLOOKUP($D1364,库存台账!$A$5:$Y$1204,24,0),0)&lt;-0.001,"※这个物料账面已经变成负数了，查一下是不是漏记入库","")))))))))))</f>
        <v/>
      </c>
    </row>
    <row r="1365">
      <c r="A1365" s="24">
        <f>IF($D1365="","",COUNTA($D$4:$D1365))</f>
        <v/>
      </c>
      <c r="B1365" s="17" t="n"/>
      <c r="C1365" s="30" t="n"/>
      <c r="D1365" s="17" t="n"/>
      <c r="E1365" s="24">
        <f>IF($D1365="","",IFERROR(VLOOKUP($D1365,物料档案!$A$4:$P$1203,3,0),"※编码不在物料档案里"))</f>
        <v/>
      </c>
      <c r="F1365" s="24">
        <f>IF($D1365="","",IFERROR(VLOOKUP($D1365,物料档案!$A$4:$P$1203,4,0),"※编码不在物料档案里"))</f>
        <v/>
      </c>
      <c r="G1365" s="24">
        <f>IF($D1365="","",IFERROR(VLOOKUP($D1365,物料档案!$A$4:$P$1203,5,0),"※编码不在物料档案里"))</f>
        <v/>
      </c>
      <c r="H1365" s="24">
        <f>IF($D1365="","",IFERROR(VLOOKUP($D1365,物料档案!$A$4:$P$1203,2,0),"※编码不在物料档案里"))</f>
        <v/>
      </c>
      <c r="I1365" s="24">
        <f>IF($D1365="","",IFERROR(VLOOKUP($D1365,物料档案!$A$4:$P$1203,6,0),"※编码不在物料档案里"))</f>
        <v/>
      </c>
      <c r="J1365" s="23" t="n"/>
      <c r="K1365" s="17" t="n"/>
      <c r="L1365" s="17" t="n"/>
      <c r="M1365" s="17" t="n"/>
      <c r="N1365" s="17" t="n"/>
      <c r="O1365" s="26">
        <f>IF($D1365="","",IFERROR(VLOOKUP($D1365,物料档案!$A$4:$P$1203,10,0),0))</f>
        <v/>
      </c>
      <c r="P1365" s="32" t="n"/>
      <c r="Q1365" s="26">
        <f>IF($D1365="","",IF($K1365&lt;&gt;"对外销售",0,ROUND(N($J1365)*IF($P1365="",N($O1365),N($P1365)),0)))</f>
        <v/>
      </c>
      <c r="R1365" s="26">
        <f>IF($D1365="","",IFERROR(VLOOKUP($D1365,库存台账!$A$5:$Y$1204,11,0),0))</f>
        <v/>
      </c>
      <c r="S1365" s="26">
        <f>IF($D1365="","",ROUND(N($J1365)*N($R1365),0))</f>
        <v/>
      </c>
      <c r="T1365" s="26">
        <f>IF($D1365="","",IF($K1365&lt;&gt;"对外销售","",ROUND($Q1365-$S1365,0)))</f>
        <v/>
      </c>
      <c r="U1365" s="17" t="n"/>
      <c r="V1365" s="17" t="n"/>
      <c r="W1365" s="24">
        <f>IF($D1365="","",IF($E1365="※编码不在物料档案里","※物料编码不在档案里",IF(N($J1365)&lt;=0,"※出库数量要大于 0",IF($K1365="","※没填去向类型",IF($L1365="","※没填去向矿区",IF(AND($C1365&lt;&gt;"",$C1365&lt;=结账锁),"※日期早于已结账截止日，不能再录",IF(AND($K1365="自用消耗",COUNTIF({"一矿区";"二矿区"},$L1365)=0),"※自用消耗的去向只能是一矿区或二矿区",IF(AND($K1365="对外销售",COUNTIF({"三矿区";"六矿区"},$L1365)=0),"※对外销售的去向只能是三矿区或六矿区",IF(AND($K1365="对外销售",ROUND($Q1365,0)=0),"※外销却没有售价，请填实际售价",IF(AND($K1365="对外销售",$T1365&lt;&gt;"",$T1365&lt;0),"※这一笔外销是亏的，请核对售价",IF(IFERROR(VLOOKUP($D1365,库存台账!$A$5:$Y$1204,24,0),0)&lt;-0.001,"※这个物料账面已经变成负数了，查一下是不是漏记入库","")))))))))))</f>
        <v/>
      </c>
    </row>
    <row r="1366">
      <c r="A1366" s="24">
        <f>IF($D1366="","",COUNTA($D$4:$D1366))</f>
        <v/>
      </c>
      <c r="B1366" s="17" t="n"/>
      <c r="C1366" s="30" t="n"/>
      <c r="D1366" s="17" t="n"/>
      <c r="E1366" s="24">
        <f>IF($D1366="","",IFERROR(VLOOKUP($D1366,物料档案!$A$4:$P$1203,3,0),"※编码不在物料档案里"))</f>
        <v/>
      </c>
      <c r="F1366" s="24">
        <f>IF($D1366="","",IFERROR(VLOOKUP($D1366,物料档案!$A$4:$P$1203,4,0),"※编码不在物料档案里"))</f>
        <v/>
      </c>
      <c r="G1366" s="24">
        <f>IF($D1366="","",IFERROR(VLOOKUP($D1366,物料档案!$A$4:$P$1203,5,0),"※编码不在物料档案里"))</f>
        <v/>
      </c>
      <c r="H1366" s="24">
        <f>IF($D1366="","",IFERROR(VLOOKUP($D1366,物料档案!$A$4:$P$1203,2,0),"※编码不在物料档案里"))</f>
        <v/>
      </c>
      <c r="I1366" s="24">
        <f>IF($D1366="","",IFERROR(VLOOKUP($D1366,物料档案!$A$4:$P$1203,6,0),"※编码不在物料档案里"))</f>
        <v/>
      </c>
      <c r="J1366" s="23" t="n"/>
      <c r="K1366" s="17" t="n"/>
      <c r="L1366" s="17" t="n"/>
      <c r="M1366" s="17" t="n"/>
      <c r="N1366" s="17" t="n"/>
      <c r="O1366" s="26">
        <f>IF($D1366="","",IFERROR(VLOOKUP($D1366,物料档案!$A$4:$P$1203,10,0),0))</f>
        <v/>
      </c>
      <c r="P1366" s="32" t="n"/>
      <c r="Q1366" s="26">
        <f>IF($D1366="","",IF($K1366&lt;&gt;"对外销售",0,ROUND(N($J1366)*IF($P1366="",N($O1366),N($P1366)),0)))</f>
        <v/>
      </c>
      <c r="R1366" s="26">
        <f>IF($D1366="","",IFERROR(VLOOKUP($D1366,库存台账!$A$5:$Y$1204,11,0),0))</f>
        <v/>
      </c>
      <c r="S1366" s="26">
        <f>IF($D1366="","",ROUND(N($J1366)*N($R1366),0))</f>
        <v/>
      </c>
      <c r="T1366" s="26">
        <f>IF($D1366="","",IF($K1366&lt;&gt;"对外销售","",ROUND($Q1366-$S1366,0)))</f>
        <v/>
      </c>
      <c r="U1366" s="17" t="n"/>
      <c r="V1366" s="17" t="n"/>
      <c r="W1366" s="24">
        <f>IF($D1366="","",IF($E1366="※编码不在物料档案里","※物料编码不在档案里",IF(N($J1366)&lt;=0,"※出库数量要大于 0",IF($K1366="","※没填去向类型",IF($L1366="","※没填去向矿区",IF(AND($C1366&lt;&gt;"",$C1366&lt;=结账锁),"※日期早于已结账截止日，不能再录",IF(AND($K1366="自用消耗",COUNTIF({"一矿区";"二矿区"},$L1366)=0),"※自用消耗的去向只能是一矿区或二矿区",IF(AND($K1366="对外销售",COUNTIF({"三矿区";"六矿区"},$L1366)=0),"※对外销售的去向只能是三矿区或六矿区",IF(AND($K1366="对外销售",ROUND($Q1366,0)=0),"※外销却没有售价，请填实际售价",IF(AND($K1366="对外销售",$T1366&lt;&gt;"",$T1366&lt;0),"※这一笔外销是亏的，请核对售价",IF(IFERROR(VLOOKUP($D1366,库存台账!$A$5:$Y$1204,24,0),0)&lt;-0.001,"※这个物料账面已经变成负数了，查一下是不是漏记入库","")))))))))))</f>
        <v/>
      </c>
    </row>
    <row r="1367">
      <c r="A1367" s="24">
        <f>IF($D1367="","",COUNTA($D$4:$D1367))</f>
        <v/>
      </c>
      <c r="B1367" s="17" t="n"/>
      <c r="C1367" s="30" t="n"/>
      <c r="D1367" s="17" t="n"/>
      <c r="E1367" s="24">
        <f>IF($D1367="","",IFERROR(VLOOKUP($D1367,物料档案!$A$4:$P$1203,3,0),"※编码不在物料档案里"))</f>
        <v/>
      </c>
      <c r="F1367" s="24">
        <f>IF($D1367="","",IFERROR(VLOOKUP($D1367,物料档案!$A$4:$P$1203,4,0),"※编码不在物料档案里"))</f>
        <v/>
      </c>
      <c r="G1367" s="24">
        <f>IF($D1367="","",IFERROR(VLOOKUP($D1367,物料档案!$A$4:$P$1203,5,0),"※编码不在物料档案里"))</f>
        <v/>
      </c>
      <c r="H1367" s="24">
        <f>IF($D1367="","",IFERROR(VLOOKUP($D1367,物料档案!$A$4:$P$1203,2,0),"※编码不在物料档案里"))</f>
        <v/>
      </c>
      <c r="I1367" s="24">
        <f>IF($D1367="","",IFERROR(VLOOKUP($D1367,物料档案!$A$4:$P$1203,6,0),"※编码不在物料档案里"))</f>
        <v/>
      </c>
      <c r="J1367" s="23" t="n"/>
      <c r="K1367" s="17" t="n"/>
      <c r="L1367" s="17" t="n"/>
      <c r="M1367" s="17" t="n"/>
      <c r="N1367" s="17" t="n"/>
      <c r="O1367" s="26">
        <f>IF($D1367="","",IFERROR(VLOOKUP($D1367,物料档案!$A$4:$P$1203,10,0),0))</f>
        <v/>
      </c>
      <c r="P1367" s="32" t="n"/>
      <c r="Q1367" s="26">
        <f>IF($D1367="","",IF($K1367&lt;&gt;"对外销售",0,ROUND(N($J1367)*IF($P1367="",N($O1367),N($P1367)),0)))</f>
        <v/>
      </c>
      <c r="R1367" s="26">
        <f>IF($D1367="","",IFERROR(VLOOKUP($D1367,库存台账!$A$5:$Y$1204,11,0),0))</f>
        <v/>
      </c>
      <c r="S1367" s="26">
        <f>IF($D1367="","",ROUND(N($J1367)*N($R1367),0))</f>
        <v/>
      </c>
      <c r="T1367" s="26">
        <f>IF($D1367="","",IF($K1367&lt;&gt;"对外销售","",ROUND($Q1367-$S1367,0)))</f>
        <v/>
      </c>
      <c r="U1367" s="17" t="n"/>
      <c r="V1367" s="17" t="n"/>
      <c r="W1367" s="24">
        <f>IF($D1367="","",IF($E1367="※编码不在物料档案里","※物料编码不在档案里",IF(N($J1367)&lt;=0,"※出库数量要大于 0",IF($K1367="","※没填去向类型",IF($L1367="","※没填去向矿区",IF(AND($C1367&lt;&gt;"",$C1367&lt;=结账锁),"※日期早于已结账截止日，不能再录",IF(AND($K1367="自用消耗",COUNTIF({"一矿区";"二矿区"},$L1367)=0),"※自用消耗的去向只能是一矿区或二矿区",IF(AND($K1367="对外销售",COUNTIF({"三矿区";"六矿区"},$L1367)=0),"※对外销售的去向只能是三矿区或六矿区",IF(AND($K1367="对外销售",ROUND($Q1367,0)=0),"※外销却没有售价，请填实际售价",IF(AND($K1367="对外销售",$T1367&lt;&gt;"",$T1367&lt;0),"※这一笔外销是亏的，请核对售价",IF(IFERROR(VLOOKUP($D1367,库存台账!$A$5:$Y$1204,24,0),0)&lt;-0.001,"※这个物料账面已经变成负数了，查一下是不是漏记入库","")))))))))))</f>
        <v/>
      </c>
    </row>
    <row r="1368">
      <c r="A1368" s="24">
        <f>IF($D1368="","",COUNTA($D$4:$D1368))</f>
        <v/>
      </c>
      <c r="B1368" s="17" t="n"/>
      <c r="C1368" s="30" t="n"/>
      <c r="D1368" s="17" t="n"/>
      <c r="E1368" s="24">
        <f>IF($D1368="","",IFERROR(VLOOKUP($D1368,物料档案!$A$4:$P$1203,3,0),"※编码不在物料档案里"))</f>
        <v/>
      </c>
      <c r="F1368" s="24">
        <f>IF($D1368="","",IFERROR(VLOOKUP($D1368,物料档案!$A$4:$P$1203,4,0),"※编码不在物料档案里"))</f>
        <v/>
      </c>
      <c r="G1368" s="24">
        <f>IF($D1368="","",IFERROR(VLOOKUP($D1368,物料档案!$A$4:$P$1203,5,0),"※编码不在物料档案里"))</f>
        <v/>
      </c>
      <c r="H1368" s="24">
        <f>IF($D1368="","",IFERROR(VLOOKUP($D1368,物料档案!$A$4:$P$1203,2,0),"※编码不在物料档案里"))</f>
        <v/>
      </c>
      <c r="I1368" s="24">
        <f>IF($D1368="","",IFERROR(VLOOKUP($D1368,物料档案!$A$4:$P$1203,6,0),"※编码不在物料档案里"))</f>
        <v/>
      </c>
      <c r="J1368" s="23" t="n"/>
      <c r="K1368" s="17" t="n"/>
      <c r="L1368" s="17" t="n"/>
      <c r="M1368" s="17" t="n"/>
      <c r="N1368" s="17" t="n"/>
      <c r="O1368" s="26">
        <f>IF($D1368="","",IFERROR(VLOOKUP($D1368,物料档案!$A$4:$P$1203,10,0),0))</f>
        <v/>
      </c>
      <c r="P1368" s="32" t="n"/>
      <c r="Q1368" s="26">
        <f>IF($D1368="","",IF($K1368&lt;&gt;"对外销售",0,ROUND(N($J1368)*IF($P1368="",N($O1368),N($P1368)),0)))</f>
        <v/>
      </c>
      <c r="R1368" s="26">
        <f>IF($D1368="","",IFERROR(VLOOKUP($D1368,库存台账!$A$5:$Y$1204,11,0),0))</f>
        <v/>
      </c>
      <c r="S1368" s="26">
        <f>IF($D1368="","",ROUND(N($J1368)*N($R1368),0))</f>
        <v/>
      </c>
      <c r="T1368" s="26">
        <f>IF($D1368="","",IF($K1368&lt;&gt;"对外销售","",ROUND($Q1368-$S1368,0)))</f>
        <v/>
      </c>
      <c r="U1368" s="17" t="n"/>
      <c r="V1368" s="17" t="n"/>
      <c r="W1368" s="24">
        <f>IF($D1368="","",IF($E1368="※编码不在物料档案里","※物料编码不在档案里",IF(N($J1368)&lt;=0,"※出库数量要大于 0",IF($K1368="","※没填去向类型",IF($L1368="","※没填去向矿区",IF(AND($C1368&lt;&gt;"",$C1368&lt;=结账锁),"※日期早于已结账截止日，不能再录",IF(AND($K1368="自用消耗",COUNTIF({"一矿区";"二矿区"},$L1368)=0),"※自用消耗的去向只能是一矿区或二矿区",IF(AND($K1368="对外销售",COUNTIF({"三矿区";"六矿区"},$L1368)=0),"※对外销售的去向只能是三矿区或六矿区",IF(AND($K1368="对外销售",ROUND($Q1368,0)=0),"※外销却没有售价，请填实际售价",IF(AND($K1368="对外销售",$T1368&lt;&gt;"",$T1368&lt;0),"※这一笔外销是亏的，请核对售价",IF(IFERROR(VLOOKUP($D1368,库存台账!$A$5:$Y$1204,24,0),0)&lt;-0.001,"※这个物料账面已经变成负数了，查一下是不是漏记入库","")))))))))))</f>
        <v/>
      </c>
    </row>
    <row r="1369">
      <c r="A1369" s="24">
        <f>IF($D1369="","",COUNTA($D$4:$D1369))</f>
        <v/>
      </c>
      <c r="B1369" s="17" t="n"/>
      <c r="C1369" s="30" t="n"/>
      <c r="D1369" s="17" t="n"/>
      <c r="E1369" s="24">
        <f>IF($D1369="","",IFERROR(VLOOKUP($D1369,物料档案!$A$4:$P$1203,3,0),"※编码不在物料档案里"))</f>
        <v/>
      </c>
      <c r="F1369" s="24">
        <f>IF($D1369="","",IFERROR(VLOOKUP($D1369,物料档案!$A$4:$P$1203,4,0),"※编码不在物料档案里"))</f>
        <v/>
      </c>
      <c r="G1369" s="24">
        <f>IF($D1369="","",IFERROR(VLOOKUP($D1369,物料档案!$A$4:$P$1203,5,0),"※编码不在物料档案里"))</f>
        <v/>
      </c>
      <c r="H1369" s="24">
        <f>IF($D1369="","",IFERROR(VLOOKUP($D1369,物料档案!$A$4:$P$1203,2,0),"※编码不在物料档案里"))</f>
        <v/>
      </c>
      <c r="I1369" s="24">
        <f>IF($D1369="","",IFERROR(VLOOKUP($D1369,物料档案!$A$4:$P$1203,6,0),"※编码不在物料档案里"))</f>
        <v/>
      </c>
      <c r="J1369" s="23" t="n"/>
      <c r="K1369" s="17" t="n"/>
      <c r="L1369" s="17" t="n"/>
      <c r="M1369" s="17" t="n"/>
      <c r="N1369" s="17" t="n"/>
      <c r="O1369" s="26">
        <f>IF($D1369="","",IFERROR(VLOOKUP($D1369,物料档案!$A$4:$P$1203,10,0),0))</f>
        <v/>
      </c>
      <c r="P1369" s="32" t="n"/>
      <c r="Q1369" s="26">
        <f>IF($D1369="","",IF($K1369&lt;&gt;"对外销售",0,ROUND(N($J1369)*IF($P1369="",N($O1369),N($P1369)),0)))</f>
        <v/>
      </c>
      <c r="R1369" s="26">
        <f>IF($D1369="","",IFERROR(VLOOKUP($D1369,库存台账!$A$5:$Y$1204,11,0),0))</f>
        <v/>
      </c>
      <c r="S1369" s="26">
        <f>IF($D1369="","",ROUND(N($J1369)*N($R1369),0))</f>
        <v/>
      </c>
      <c r="T1369" s="26">
        <f>IF($D1369="","",IF($K1369&lt;&gt;"对外销售","",ROUND($Q1369-$S1369,0)))</f>
        <v/>
      </c>
      <c r="U1369" s="17" t="n"/>
      <c r="V1369" s="17" t="n"/>
      <c r="W1369" s="24">
        <f>IF($D1369="","",IF($E1369="※编码不在物料档案里","※物料编码不在档案里",IF(N($J1369)&lt;=0,"※出库数量要大于 0",IF($K1369="","※没填去向类型",IF($L1369="","※没填去向矿区",IF(AND($C1369&lt;&gt;"",$C1369&lt;=结账锁),"※日期早于已结账截止日，不能再录",IF(AND($K1369="自用消耗",COUNTIF({"一矿区";"二矿区"},$L1369)=0),"※自用消耗的去向只能是一矿区或二矿区",IF(AND($K1369="对外销售",COUNTIF({"三矿区";"六矿区"},$L1369)=0),"※对外销售的去向只能是三矿区或六矿区",IF(AND($K1369="对外销售",ROUND($Q1369,0)=0),"※外销却没有售价，请填实际售价",IF(AND($K1369="对外销售",$T1369&lt;&gt;"",$T1369&lt;0),"※这一笔外销是亏的，请核对售价",IF(IFERROR(VLOOKUP($D1369,库存台账!$A$5:$Y$1204,24,0),0)&lt;-0.001,"※这个物料账面已经变成负数了，查一下是不是漏记入库","")))))))))))</f>
        <v/>
      </c>
    </row>
    <row r="1370">
      <c r="A1370" s="24">
        <f>IF($D1370="","",COUNTA($D$4:$D1370))</f>
        <v/>
      </c>
      <c r="B1370" s="17" t="n"/>
      <c r="C1370" s="30" t="n"/>
      <c r="D1370" s="17" t="n"/>
      <c r="E1370" s="24">
        <f>IF($D1370="","",IFERROR(VLOOKUP($D1370,物料档案!$A$4:$P$1203,3,0),"※编码不在物料档案里"))</f>
        <v/>
      </c>
      <c r="F1370" s="24">
        <f>IF($D1370="","",IFERROR(VLOOKUP($D1370,物料档案!$A$4:$P$1203,4,0),"※编码不在物料档案里"))</f>
        <v/>
      </c>
      <c r="G1370" s="24">
        <f>IF($D1370="","",IFERROR(VLOOKUP($D1370,物料档案!$A$4:$P$1203,5,0),"※编码不在物料档案里"))</f>
        <v/>
      </c>
      <c r="H1370" s="24">
        <f>IF($D1370="","",IFERROR(VLOOKUP($D1370,物料档案!$A$4:$P$1203,2,0),"※编码不在物料档案里"))</f>
        <v/>
      </c>
      <c r="I1370" s="24">
        <f>IF($D1370="","",IFERROR(VLOOKUP($D1370,物料档案!$A$4:$P$1203,6,0),"※编码不在物料档案里"))</f>
        <v/>
      </c>
      <c r="J1370" s="23" t="n"/>
      <c r="K1370" s="17" t="n"/>
      <c r="L1370" s="17" t="n"/>
      <c r="M1370" s="17" t="n"/>
      <c r="N1370" s="17" t="n"/>
      <c r="O1370" s="26">
        <f>IF($D1370="","",IFERROR(VLOOKUP($D1370,物料档案!$A$4:$P$1203,10,0),0))</f>
        <v/>
      </c>
      <c r="P1370" s="32" t="n"/>
      <c r="Q1370" s="26">
        <f>IF($D1370="","",IF($K1370&lt;&gt;"对外销售",0,ROUND(N($J1370)*IF($P1370="",N($O1370),N($P1370)),0)))</f>
        <v/>
      </c>
      <c r="R1370" s="26">
        <f>IF($D1370="","",IFERROR(VLOOKUP($D1370,库存台账!$A$5:$Y$1204,11,0),0))</f>
        <v/>
      </c>
      <c r="S1370" s="26">
        <f>IF($D1370="","",ROUND(N($J1370)*N($R1370),0))</f>
        <v/>
      </c>
      <c r="T1370" s="26">
        <f>IF($D1370="","",IF($K1370&lt;&gt;"对外销售","",ROUND($Q1370-$S1370,0)))</f>
        <v/>
      </c>
      <c r="U1370" s="17" t="n"/>
      <c r="V1370" s="17" t="n"/>
      <c r="W1370" s="24">
        <f>IF($D1370="","",IF($E1370="※编码不在物料档案里","※物料编码不在档案里",IF(N($J1370)&lt;=0,"※出库数量要大于 0",IF($K1370="","※没填去向类型",IF($L1370="","※没填去向矿区",IF(AND($C1370&lt;&gt;"",$C1370&lt;=结账锁),"※日期早于已结账截止日，不能再录",IF(AND($K1370="自用消耗",COUNTIF({"一矿区";"二矿区"},$L1370)=0),"※自用消耗的去向只能是一矿区或二矿区",IF(AND($K1370="对外销售",COUNTIF({"三矿区";"六矿区"},$L1370)=0),"※对外销售的去向只能是三矿区或六矿区",IF(AND($K1370="对外销售",ROUND($Q1370,0)=0),"※外销却没有售价，请填实际售价",IF(AND($K1370="对外销售",$T1370&lt;&gt;"",$T1370&lt;0),"※这一笔外销是亏的，请核对售价",IF(IFERROR(VLOOKUP($D1370,库存台账!$A$5:$Y$1204,24,0),0)&lt;-0.001,"※这个物料账面已经变成负数了，查一下是不是漏记入库","")))))))))))</f>
        <v/>
      </c>
    </row>
    <row r="1371">
      <c r="A1371" s="24">
        <f>IF($D1371="","",COUNTA($D$4:$D1371))</f>
        <v/>
      </c>
      <c r="B1371" s="17" t="n"/>
      <c r="C1371" s="30" t="n"/>
      <c r="D1371" s="17" t="n"/>
      <c r="E1371" s="24">
        <f>IF($D1371="","",IFERROR(VLOOKUP($D1371,物料档案!$A$4:$P$1203,3,0),"※编码不在物料档案里"))</f>
        <v/>
      </c>
      <c r="F1371" s="24">
        <f>IF($D1371="","",IFERROR(VLOOKUP($D1371,物料档案!$A$4:$P$1203,4,0),"※编码不在物料档案里"))</f>
        <v/>
      </c>
      <c r="G1371" s="24">
        <f>IF($D1371="","",IFERROR(VLOOKUP($D1371,物料档案!$A$4:$P$1203,5,0),"※编码不在物料档案里"))</f>
        <v/>
      </c>
      <c r="H1371" s="24">
        <f>IF($D1371="","",IFERROR(VLOOKUP($D1371,物料档案!$A$4:$P$1203,2,0),"※编码不在物料档案里"))</f>
        <v/>
      </c>
      <c r="I1371" s="24">
        <f>IF($D1371="","",IFERROR(VLOOKUP($D1371,物料档案!$A$4:$P$1203,6,0),"※编码不在物料档案里"))</f>
        <v/>
      </c>
      <c r="J1371" s="23" t="n"/>
      <c r="K1371" s="17" t="n"/>
      <c r="L1371" s="17" t="n"/>
      <c r="M1371" s="17" t="n"/>
      <c r="N1371" s="17" t="n"/>
      <c r="O1371" s="26">
        <f>IF($D1371="","",IFERROR(VLOOKUP($D1371,物料档案!$A$4:$P$1203,10,0),0))</f>
        <v/>
      </c>
      <c r="P1371" s="32" t="n"/>
      <c r="Q1371" s="26">
        <f>IF($D1371="","",IF($K1371&lt;&gt;"对外销售",0,ROUND(N($J1371)*IF($P1371="",N($O1371),N($P1371)),0)))</f>
        <v/>
      </c>
      <c r="R1371" s="26">
        <f>IF($D1371="","",IFERROR(VLOOKUP($D1371,库存台账!$A$5:$Y$1204,11,0),0))</f>
        <v/>
      </c>
      <c r="S1371" s="26">
        <f>IF($D1371="","",ROUND(N($J1371)*N($R1371),0))</f>
        <v/>
      </c>
      <c r="T1371" s="26">
        <f>IF($D1371="","",IF($K1371&lt;&gt;"对外销售","",ROUND($Q1371-$S1371,0)))</f>
        <v/>
      </c>
      <c r="U1371" s="17" t="n"/>
      <c r="V1371" s="17" t="n"/>
      <c r="W1371" s="24">
        <f>IF($D1371="","",IF($E1371="※编码不在物料档案里","※物料编码不在档案里",IF(N($J1371)&lt;=0,"※出库数量要大于 0",IF($K1371="","※没填去向类型",IF($L1371="","※没填去向矿区",IF(AND($C1371&lt;&gt;"",$C1371&lt;=结账锁),"※日期早于已结账截止日，不能再录",IF(AND($K1371="自用消耗",COUNTIF({"一矿区";"二矿区"},$L1371)=0),"※自用消耗的去向只能是一矿区或二矿区",IF(AND($K1371="对外销售",COUNTIF({"三矿区";"六矿区"},$L1371)=0),"※对外销售的去向只能是三矿区或六矿区",IF(AND($K1371="对外销售",ROUND($Q1371,0)=0),"※外销却没有售价，请填实际售价",IF(AND($K1371="对外销售",$T1371&lt;&gt;"",$T1371&lt;0),"※这一笔外销是亏的，请核对售价",IF(IFERROR(VLOOKUP($D1371,库存台账!$A$5:$Y$1204,24,0),0)&lt;-0.001,"※这个物料账面已经变成负数了，查一下是不是漏记入库","")))))))))))</f>
        <v/>
      </c>
    </row>
    <row r="1372">
      <c r="A1372" s="24">
        <f>IF($D1372="","",COUNTA($D$4:$D1372))</f>
        <v/>
      </c>
      <c r="B1372" s="17" t="n"/>
      <c r="C1372" s="30" t="n"/>
      <c r="D1372" s="17" t="n"/>
      <c r="E1372" s="24">
        <f>IF($D1372="","",IFERROR(VLOOKUP($D1372,物料档案!$A$4:$P$1203,3,0),"※编码不在物料档案里"))</f>
        <v/>
      </c>
      <c r="F1372" s="24">
        <f>IF($D1372="","",IFERROR(VLOOKUP($D1372,物料档案!$A$4:$P$1203,4,0),"※编码不在物料档案里"))</f>
        <v/>
      </c>
      <c r="G1372" s="24">
        <f>IF($D1372="","",IFERROR(VLOOKUP($D1372,物料档案!$A$4:$P$1203,5,0),"※编码不在物料档案里"))</f>
        <v/>
      </c>
      <c r="H1372" s="24">
        <f>IF($D1372="","",IFERROR(VLOOKUP($D1372,物料档案!$A$4:$P$1203,2,0),"※编码不在物料档案里"))</f>
        <v/>
      </c>
      <c r="I1372" s="24">
        <f>IF($D1372="","",IFERROR(VLOOKUP($D1372,物料档案!$A$4:$P$1203,6,0),"※编码不在物料档案里"))</f>
        <v/>
      </c>
      <c r="J1372" s="23" t="n"/>
      <c r="K1372" s="17" t="n"/>
      <c r="L1372" s="17" t="n"/>
      <c r="M1372" s="17" t="n"/>
      <c r="N1372" s="17" t="n"/>
      <c r="O1372" s="26">
        <f>IF($D1372="","",IFERROR(VLOOKUP($D1372,物料档案!$A$4:$P$1203,10,0),0))</f>
        <v/>
      </c>
      <c r="P1372" s="32" t="n"/>
      <c r="Q1372" s="26">
        <f>IF($D1372="","",IF($K1372&lt;&gt;"对外销售",0,ROUND(N($J1372)*IF($P1372="",N($O1372),N($P1372)),0)))</f>
        <v/>
      </c>
      <c r="R1372" s="26">
        <f>IF($D1372="","",IFERROR(VLOOKUP($D1372,库存台账!$A$5:$Y$1204,11,0),0))</f>
        <v/>
      </c>
      <c r="S1372" s="26">
        <f>IF($D1372="","",ROUND(N($J1372)*N($R1372),0))</f>
        <v/>
      </c>
      <c r="T1372" s="26">
        <f>IF($D1372="","",IF($K1372&lt;&gt;"对外销售","",ROUND($Q1372-$S1372,0)))</f>
        <v/>
      </c>
      <c r="U1372" s="17" t="n"/>
      <c r="V1372" s="17" t="n"/>
      <c r="W1372" s="24">
        <f>IF($D1372="","",IF($E1372="※编码不在物料档案里","※物料编码不在档案里",IF(N($J1372)&lt;=0,"※出库数量要大于 0",IF($K1372="","※没填去向类型",IF($L1372="","※没填去向矿区",IF(AND($C1372&lt;&gt;"",$C1372&lt;=结账锁),"※日期早于已结账截止日，不能再录",IF(AND($K1372="自用消耗",COUNTIF({"一矿区";"二矿区"},$L1372)=0),"※自用消耗的去向只能是一矿区或二矿区",IF(AND($K1372="对外销售",COUNTIF({"三矿区";"六矿区"},$L1372)=0),"※对外销售的去向只能是三矿区或六矿区",IF(AND($K1372="对外销售",ROUND($Q1372,0)=0),"※外销却没有售价，请填实际售价",IF(AND($K1372="对外销售",$T1372&lt;&gt;"",$T1372&lt;0),"※这一笔外销是亏的，请核对售价",IF(IFERROR(VLOOKUP($D1372,库存台账!$A$5:$Y$1204,24,0),0)&lt;-0.001,"※这个物料账面已经变成负数了，查一下是不是漏记入库","")))))))))))</f>
        <v/>
      </c>
    </row>
    <row r="1373">
      <c r="A1373" s="24">
        <f>IF($D1373="","",COUNTA($D$4:$D1373))</f>
        <v/>
      </c>
      <c r="B1373" s="17" t="n"/>
      <c r="C1373" s="30" t="n"/>
      <c r="D1373" s="17" t="n"/>
      <c r="E1373" s="24">
        <f>IF($D1373="","",IFERROR(VLOOKUP($D1373,物料档案!$A$4:$P$1203,3,0),"※编码不在物料档案里"))</f>
        <v/>
      </c>
      <c r="F1373" s="24">
        <f>IF($D1373="","",IFERROR(VLOOKUP($D1373,物料档案!$A$4:$P$1203,4,0),"※编码不在物料档案里"))</f>
        <v/>
      </c>
      <c r="G1373" s="24">
        <f>IF($D1373="","",IFERROR(VLOOKUP($D1373,物料档案!$A$4:$P$1203,5,0),"※编码不在物料档案里"))</f>
        <v/>
      </c>
      <c r="H1373" s="24">
        <f>IF($D1373="","",IFERROR(VLOOKUP($D1373,物料档案!$A$4:$P$1203,2,0),"※编码不在物料档案里"))</f>
        <v/>
      </c>
      <c r="I1373" s="24">
        <f>IF($D1373="","",IFERROR(VLOOKUP($D1373,物料档案!$A$4:$P$1203,6,0),"※编码不在物料档案里"))</f>
        <v/>
      </c>
      <c r="J1373" s="23" t="n"/>
      <c r="K1373" s="17" t="n"/>
      <c r="L1373" s="17" t="n"/>
      <c r="M1373" s="17" t="n"/>
      <c r="N1373" s="17" t="n"/>
      <c r="O1373" s="26">
        <f>IF($D1373="","",IFERROR(VLOOKUP($D1373,物料档案!$A$4:$P$1203,10,0),0))</f>
        <v/>
      </c>
      <c r="P1373" s="32" t="n"/>
      <c r="Q1373" s="26">
        <f>IF($D1373="","",IF($K1373&lt;&gt;"对外销售",0,ROUND(N($J1373)*IF($P1373="",N($O1373),N($P1373)),0)))</f>
        <v/>
      </c>
      <c r="R1373" s="26">
        <f>IF($D1373="","",IFERROR(VLOOKUP($D1373,库存台账!$A$5:$Y$1204,11,0),0))</f>
        <v/>
      </c>
      <c r="S1373" s="26">
        <f>IF($D1373="","",ROUND(N($J1373)*N($R1373),0))</f>
        <v/>
      </c>
      <c r="T1373" s="26">
        <f>IF($D1373="","",IF($K1373&lt;&gt;"对外销售","",ROUND($Q1373-$S1373,0)))</f>
        <v/>
      </c>
      <c r="U1373" s="17" t="n"/>
      <c r="V1373" s="17" t="n"/>
      <c r="W1373" s="24">
        <f>IF($D1373="","",IF($E1373="※编码不在物料档案里","※物料编码不在档案里",IF(N($J1373)&lt;=0,"※出库数量要大于 0",IF($K1373="","※没填去向类型",IF($L1373="","※没填去向矿区",IF(AND($C1373&lt;&gt;"",$C1373&lt;=结账锁),"※日期早于已结账截止日，不能再录",IF(AND($K1373="自用消耗",COUNTIF({"一矿区";"二矿区"},$L1373)=0),"※自用消耗的去向只能是一矿区或二矿区",IF(AND($K1373="对外销售",COUNTIF({"三矿区";"六矿区"},$L1373)=0),"※对外销售的去向只能是三矿区或六矿区",IF(AND($K1373="对外销售",ROUND($Q1373,0)=0),"※外销却没有售价，请填实际售价",IF(AND($K1373="对外销售",$T1373&lt;&gt;"",$T1373&lt;0),"※这一笔外销是亏的，请核对售价",IF(IFERROR(VLOOKUP($D1373,库存台账!$A$5:$Y$1204,24,0),0)&lt;-0.001,"※这个物料账面已经变成负数了，查一下是不是漏记入库","")))))))))))</f>
        <v/>
      </c>
    </row>
    <row r="1374">
      <c r="A1374" s="24">
        <f>IF($D1374="","",COUNTA($D$4:$D1374))</f>
        <v/>
      </c>
      <c r="B1374" s="17" t="n"/>
      <c r="C1374" s="30" t="n"/>
      <c r="D1374" s="17" t="n"/>
      <c r="E1374" s="24">
        <f>IF($D1374="","",IFERROR(VLOOKUP($D1374,物料档案!$A$4:$P$1203,3,0),"※编码不在物料档案里"))</f>
        <v/>
      </c>
      <c r="F1374" s="24">
        <f>IF($D1374="","",IFERROR(VLOOKUP($D1374,物料档案!$A$4:$P$1203,4,0),"※编码不在物料档案里"))</f>
        <v/>
      </c>
      <c r="G1374" s="24">
        <f>IF($D1374="","",IFERROR(VLOOKUP($D1374,物料档案!$A$4:$P$1203,5,0),"※编码不在物料档案里"))</f>
        <v/>
      </c>
      <c r="H1374" s="24">
        <f>IF($D1374="","",IFERROR(VLOOKUP($D1374,物料档案!$A$4:$P$1203,2,0),"※编码不在物料档案里"))</f>
        <v/>
      </c>
      <c r="I1374" s="24">
        <f>IF($D1374="","",IFERROR(VLOOKUP($D1374,物料档案!$A$4:$P$1203,6,0),"※编码不在物料档案里"))</f>
        <v/>
      </c>
      <c r="J1374" s="23" t="n"/>
      <c r="K1374" s="17" t="n"/>
      <c r="L1374" s="17" t="n"/>
      <c r="M1374" s="17" t="n"/>
      <c r="N1374" s="17" t="n"/>
      <c r="O1374" s="26">
        <f>IF($D1374="","",IFERROR(VLOOKUP($D1374,物料档案!$A$4:$P$1203,10,0),0))</f>
        <v/>
      </c>
      <c r="P1374" s="32" t="n"/>
      <c r="Q1374" s="26">
        <f>IF($D1374="","",IF($K1374&lt;&gt;"对外销售",0,ROUND(N($J1374)*IF($P1374="",N($O1374),N($P1374)),0)))</f>
        <v/>
      </c>
      <c r="R1374" s="26">
        <f>IF($D1374="","",IFERROR(VLOOKUP($D1374,库存台账!$A$5:$Y$1204,11,0),0))</f>
        <v/>
      </c>
      <c r="S1374" s="26">
        <f>IF($D1374="","",ROUND(N($J1374)*N($R1374),0))</f>
        <v/>
      </c>
      <c r="T1374" s="26">
        <f>IF($D1374="","",IF($K1374&lt;&gt;"对外销售","",ROUND($Q1374-$S1374,0)))</f>
        <v/>
      </c>
      <c r="U1374" s="17" t="n"/>
      <c r="V1374" s="17" t="n"/>
      <c r="W1374" s="24">
        <f>IF($D1374="","",IF($E1374="※编码不在物料档案里","※物料编码不在档案里",IF(N($J1374)&lt;=0,"※出库数量要大于 0",IF($K1374="","※没填去向类型",IF($L1374="","※没填去向矿区",IF(AND($C1374&lt;&gt;"",$C1374&lt;=结账锁),"※日期早于已结账截止日，不能再录",IF(AND($K1374="自用消耗",COUNTIF({"一矿区";"二矿区"},$L1374)=0),"※自用消耗的去向只能是一矿区或二矿区",IF(AND($K1374="对外销售",COUNTIF({"三矿区";"六矿区"},$L1374)=0),"※对外销售的去向只能是三矿区或六矿区",IF(AND($K1374="对外销售",ROUND($Q1374,0)=0),"※外销却没有售价，请填实际售价",IF(AND($K1374="对外销售",$T1374&lt;&gt;"",$T1374&lt;0),"※这一笔外销是亏的，请核对售价",IF(IFERROR(VLOOKUP($D1374,库存台账!$A$5:$Y$1204,24,0),0)&lt;-0.001,"※这个物料账面已经变成负数了，查一下是不是漏记入库","")))))))))))</f>
        <v/>
      </c>
    </row>
    <row r="1375">
      <c r="A1375" s="24">
        <f>IF($D1375="","",COUNTA($D$4:$D1375))</f>
        <v/>
      </c>
      <c r="B1375" s="17" t="n"/>
      <c r="C1375" s="30" t="n"/>
      <c r="D1375" s="17" t="n"/>
      <c r="E1375" s="24">
        <f>IF($D1375="","",IFERROR(VLOOKUP($D1375,物料档案!$A$4:$P$1203,3,0),"※编码不在物料档案里"))</f>
        <v/>
      </c>
      <c r="F1375" s="24">
        <f>IF($D1375="","",IFERROR(VLOOKUP($D1375,物料档案!$A$4:$P$1203,4,0),"※编码不在物料档案里"))</f>
        <v/>
      </c>
      <c r="G1375" s="24">
        <f>IF($D1375="","",IFERROR(VLOOKUP($D1375,物料档案!$A$4:$P$1203,5,0),"※编码不在物料档案里"))</f>
        <v/>
      </c>
      <c r="H1375" s="24">
        <f>IF($D1375="","",IFERROR(VLOOKUP($D1375,物料档案!$A$4:$P$1203,2,0),"※编码不在物料档案里"))</f>
        <v/>
      </c>
      <c r="I1375" s="24">
        <f>IF($D1375="","",IFERROR(VLOOKUP($D1375,物料档案!$A$4:$P$1203,6,0),"※编码不在物料档案里"))</f>
        <v/>
      </c>
      <c r="J1375" s="23" t="n"/>
      <c r="K1375" s="17" t="n"/>
      <c r="L1375" s="17" t="n"/>
      <c r="M1375" s="17" t="n"/>
      <c r="N1375" s="17" t="n"/>
      <c r="O1375" s="26">
        <f>IF($D1375="","",IFERROR(VLOOKUP($D1375,物料档案!$A$4:$P$1203,10,0),0))</f>
        <v/>
      </c>
      <c r="P1375" s="32" t="n"/>
      <c r="Q1375" s="26">
        <f>IF($D1375="","",IF($K1375&lt;&gt;"对外销售",0,ROUND(N($J1375)*IF($P1375="",N($O1375),N($P1375)),0)))</f>
        <v/>
      </c>
      <c r="R1375" s="26">
        <f>IF($D1375="","",IFERROR(VLOOKUP($D1375,库存台账!$A$5:$Y$1204,11,0),0))</f>
        <v/>
      </c>
      <c r="S1375" s="26">
        <f>IF($D1375="","",ROUND(N($J1375)*N($R1375),0))</f>
        <v/>
      </c>
      <c r="T1375" s="26">
        <f>IF($D1375="","",IF($K1375&lt;&gt;"对外销售","",ROUND($Q1375-$S1375,0)))</f>
        <v/>
      </c>
      <c r="U1375" s="17" t="n"/>
      <c r="V1375" s="17" t="n"/>
      <c r="W1375" s="24">
        <f>IF($D1375="","",IF($E1375="※编码不在物料档案里","※物料编码不在档案里",IF(N($J1375)&lt;=0,"※出库数量要大于 0",IF($K1375="","※没填去向类型",IF($L1375="","※没填去向矿区",IF(AND($C1375&lt;&gt;"",$C1375&lt;=结账锁),"※日期早于已结账截止日，不能再录",IF(AND($K1375="自用消耗",COUNTIF({"一矿区";"二矿区"},$L1375)=0),"※自用消耗的去向只能是一矿区或二矿区",IF(AND($K1375="对外销售",COUNTIF({"三矿区";"六矿区"},$L1375)=0),"※对外销售的去向只能是三矿区或六矿区",IF(AND($K1375="对外销售",ROUND($Q1375,0)=0),"※外销却没有售价，请填实际售价",IF(AND($K1375="对外销售",$T1375&lt;&gt;"",$T1375&lt;0),"※这一笔外销是亏的，请核对售价",IF(IFERROR(VLOOKUP($D1375,库存台账!$A$5:$Y$1204,24,0),0)&lt;-0.001,"※这个物料账面已经变成负数了，查一下是不是漏记入库","")))))))))))</f>
        <v/>
      </c>
    </row>
    <row r="1376">
      <c r="A1376" s="24">
        <f>IF($D1376="","",COUNTA($D$4:$D1376))</f>
        <v/>
      </c>
      <c r="B1376" s="17" t="n"/>
      <c r="C1376" s="30" t="n"/>
      <c r="D1376" s="17" t="n"/>
      <c r="E1376" s="24">
        <f>IF($D1376="","",IFERROR(VLOOKUP($D1376,物料档案!$A$4:$P$1203,3,0),"※编码不在物料档案里"))</f>
        <v/>
      </c>
      <c r="F1376" s="24">
        <f>IF($D1376="","",IFERROR(VLOOKUP($D1376,物料档案!$A$4:$P$1203,4,0),"※编码不在物料档案里"))</f>
        <v/>
      </c>
      <c r="G1376" s="24">
        <f>IF($D1376="","",IFERROR(VLOOKUP($D1376,物料档案!$A$4:$P$1203,5,0),"※编码不在物料档案里"))</f>
        <v/>
      </c>
      <c r="H1376" s="24">
        <f>IF($D1376="","",IFERROR(VLOOKUP($D1376,物料档案!$A$4:$P$1203,2,0),"※编码不在物料档案里"))</f>
        <v/>
      </c>
      <c r="I1376" s="24">
        <f>IF($D1376="","",IFERROR(VLOOKUP($D1376,物料档案!$A$4:$P$1203,6,0),"※编码不在物料档案里"))</f>
        <v/>
      </c>
      <c r="J1376" s="23" t="n"/>
      <c r="K1376" s="17" t="n"/>
      <c r="L1376" s="17" t="n"/>
      <c r="M1376" s="17" t="n"/>
      <c r="N1376" s="17" t="n"/>
      <c r="O1376" s="26">
        <f>IF($D1376="","",IFERROR(VLOOKUP($D1376,物料档案!$A$4:$P$1203,10,0),0))</f>
        <v/>
      </c>
      <c r="P1376" s="32" t="n"/>
      <c r="Q1376" s="26">
        <f>IF($D1376="","",IF($K1376&lt;&gt;"对外销售",0,ROUND(N($J1376)*IF($P1376="",N($O1376),N($P1376)),0)))</f>
        <v/>
      </c>
      <c r="R1376" s="26">
        <f>IF($D1376="","",IFERROR(VLOOKUP($D1376,库存台账!$A$5:$Y$1204,11,0),0))</f>
        <v/>
      </c>
      <c r="S1376" s="26">
        <f>IF($D1376="","",ROUND(N($J1376)*N($R1376),0))</f>
        <v/>
      </c>
      <c r="T1376" s="26">
        <f>IF($D1376="","",IF($K1376&lt;&gt;"对外销售","",ROUND($Q1376-$S1376,0)))</f>
        <v/>
      </c>
      <c r="U1376" s="17" t="n"/>
      <c r="V1376" s="17" t="n"/>
      <c r="W1376" s="24">
        <f>IF($D1376="","",IF($E1376="※编码不在物料档案里","※物料编码不在档案里",IF(N($J1376)&lt;=0,"※出库数量要大于 0",IF($K1376="","※没填去向类型",IF($L1376="","※没填去向矿区",IF(AND($C1376&lt;&gt;"",$C1376&lt;=结账锁),"※日期早于已结账截止日，不能再录",IF(AND($K1376="自用消耗",COUNTIF({"一矿区";"二矿区"},$L1376)=0),"※自用消耗的去向只能是一矿区或二矿区",IF(AND($K1376="对外销售",COUNTIF({"三矿区";"六矿区"},$L1376)=0),"※对外销售的去向只能是三矿区或六矿区",IF(AND($K1376="对外销售",ROUND($Q1376,0)=0),"※外销却没有售价，请填实际售价",IF(AND($K1376="对外销售",$T1376&lt;&gt;"",$T1376&lt;0),"※这一笔外销是亏的，请核对售价",IF(IFERROR(VLOOKUP($D1376,库存台账!$A$5:$Y$1204,24,0),0)&lt;-0.001,"※这个物料账面已经变成负数了，查一下是不是漏记入库","")))))))))))</f>
        <v/>
      </c>
    </row>
    <row r="1377">
      <c r="A1377" s="24">
        <f>IF($D1377="","",COUNTA($D$4:$D1377))</f>
        <v/>
      </c>
      <c r="B1377" s="17" t="n"/>
      <c r="C1377" s="30" t="n"/>
      <c r="D1377" s="17" t="n"/>
      <c r="E1377" s="24">
        <f>IF($D1377="","",IFERROR(VLOOKUP($D1377,物料档案!$A$4:$P$1203,3,0),"※编码不在物料档案里"))</f>
        <v/>
      </c>
      <c r="F1377" s="24">
        <f>IF($D1377="","",IFERROR(VLOOKUP($D1377,物料档案!$A$4:$P$1203,4,0),"※编码不在物料档案里"))</f>
        <v/>
      </c>
      <c r="G1377" s="24">
        <f>IF($D1377="","",IFERROR(VLOOKUP($D1377,物料档案!$A$4:$P$1203,5,0),"※编码不在物料档案里"))</f>
        <v/>
      </c>
      <c r="H1377" s="24">
        <f>IF($D1377="","",IFERROR(VLOOKUP($D1377,物料档案!$A$4:$P$1203,2,0),"※编码不在物料档案里"))</f>
        <v/>
      </c>
      <c r="I1377" s="24">
        <f>IF($D1377="","",IFERROR(VLOOKUP($D1377,物料档案!$A$4:$P$1203,6,0),"※编码不在物料档案里"))</f>
        <v/>
      </c>
      <c r="J1377" s="23" t="n"/>
      <c r="K1377" s="17" t="n"/>
      <c r="L1377" s="17" t="n"/>
      <c r="M1377" s="17" t="n"/>
      <c r="N1377" s="17" t="n"/>
      <c r="O1377" s="26">
        <f>IF($D1377="","",IFERROR(VLOOKUP($D1377,物料档案!$A$4:$P$1203,10,0),0))</f>
        <v/>
      </c>
      <c r="P1377" s="32" t="n"/>
      <c r="Q1377" s="26">
        <f>IF($D1377="","",IF($K1377&lt;&gt;"对外销售",0,ROUND(N($J1377)*IF($P1377="",N($O1377),N($P1377)),0)))</f>
        <v/>
      </c>
      <c r="R1377" s="26">
        <f>IF($D1377="","",IFERROR(VLOOKUP($D1377,库存台账!$A$5:$Y$1204,11,0),0))</f>
        <v/>
      </c>
      <c r="S1377" s="26">
        <f>IF($D1377="","",ROUND(N($J1377)*N($R1377),0))</f>
        <v/>
      </c>
      <c r="T1377" s="26">
        <f>IF($D1377="","",IF($K1377&lt;&gt;"对外销售","",ROUND($Q1377-$S1377,0)))</f>
        <v/>
      </c>
      <c r="U1377" s="17" t="n"/>
      <c r="V1377" s="17" t="n"/>
      <c r="W1377" s="24">
        <f>IF($D1377="","",IF($E1377="※编码不在物料档案里","※物料编码不在档案里",IF(N($J1377)&lt;=0,"※出库数量要大于 0",IF($K1377="","※没填去向类型",IF($L1377="","※没填去向矿区",IF(AND($C1377&lt;&gt;"",$C1377&lt;=结账锁),"※日期早于已结账截止日，不能再录",IF(AND($K1377="自用消耗",COUNTIF({"一矿区";"二矿区"},$L1377)=0),"※自用消耗的去向只能是一矿区或二矿区",IF(AND($K1377="对外销售",COUNTIF({"三矿区";"六矿区"},$L1377)=0),"※对外销售的去向只能是三矿区或六矿区",IF(AND($K1377="对外销售",ROUND($Q1377,0)=0),"※外销却没有售价，请填实际售价",IF(AND($K1377="对外销售",$T1377&lt;&gt;"",$T1377&lt;0),"※这一笔外销是亏的，请核对售价",IF(IFERROR(VLOOKUP($D1377,库存台账!$A$5:$Y$1204,24,0),0)&lt;-0.001,"※这个物料账面已经变成负数了，查一下是不是漏记入库","")))))))))))</f>
        <v/>
      </c>
    </row>
    <row r="1378">
      <c r="A1378" s="24">
        <f>IF($D1378="","",COUNTA($D$4:$D1378))</f>
        <v/>
      </c>
      <c r="B1378" s="17" t="n"/>
      <c r="C1378" s="30" t="n"/>
      <c r="D1378" s="17" t="n"/>
      <c r="E1378" s="24">
        <f>IF($D1378="","",IFERROR(VLOOKUP($D1378,物料档案!$A$4:$P$1203,3,0),"※编码不在物料档案里"))</f>
        <v/>
      </c>
      <c r="F1378" s="24">
        <f>IF($D1378="","",IFERROR(VLOOKUP($D1378,物料档案!$A$4:$P$1203,4,0),"※编码不在物料档案里"))</f>
        <v/>
      </c>
      <c r="G1378" s="24">
        <f>IF($D1378="","",IFERROR(VLOOKUP($D1378,物料档案!$A$4:$P$1203,5,0),"※编码不在物料档案里"))</f>
        <v/>
      </c>
      <c r="H1378" s="24">
        <f>IF($D1378="","",IFERROR(VLOOKUP($D1378,物料档案!$A$4:$P$1203,2,0),"※编码不在物料档案里"))</f>
        <v/>
      </c>
      <c r="I1378" s="24">
        <f>IF($D1378="","",IFERROR(VLOOKUP($D1378,物料档案!$A$4:$P$1203,6,0),"※编码不在物料档案里"))</f>
        <v/>
      </c>
      <c r="J1378" s="23" t="n"/>
      <c r="K1378" s="17" t="n"/>
      <c r="L1378" s="17" t="n"/>
      <c r="M1378" s="17" t="n"/>
      <c r="N1378" s="17" t="n"/>
      <c r="O1378" s="26">
        <f>IF($D1378="","",IFERROR(VLOOKUP($D1378,物料档案!$A$4:$P$1203,10,0),0))</f>
        <v/>
      </c>
      <c r="P1378" s="32" t="n"/>
      <c r="Q1378" s="26">
        <f>IF($D1378="","",IF($K1378&lt;&gt;"对外销售",0,ROUND(N($J1378)*IF($P1378="",N($O1378),N($P1378)),0)))</f>
        <v/>
      </c>
      <c r="R1378" s="26">
        <f>IF($D1378="","",IFERROR(VLOOKUP($D1378,库存台账!$A$5:$Y$1204,11,0),0))</f>
        <v/>
      </c>
      <c r="S1378" s="26">
        <f>IF($D1378="","",ROUND(N($J1378)*N($R1378),0))</f>
        <v/>
      </c>
      <c r="T1378" s="26">
        <f>IF($D1378="","",IF($K1378&lt;&gt;"对外销售","",ROUND($Q1378-$S1378,0)))</f>
        <v/>
      </c>
      <c r="U1378" s="17" t="n"/>
      <c r="V1378" s="17" t="n"/>
      <c r="W1378" s="24">
        <f>IF($D1378="","",IF($E1378="※编码不在物料档案里","※物料编码不在档案里",IF(N($J1378)&lt;=0,"※出库数量要大于 0",IF($K1378="","※没填去向类型",IF($L1378="","※没填去向矿区",IF(AND($C1378&lt;&gt;"",$C1378&lt;=结账锁),"※日期早于已结账截止日，不能再录",IF(AND($K1378="自用消耗",COUNTIF({"一矿区";"二矿区"},$L1378)=0),"※自用消耗的去向只能是一矿区或二矿区",IF(AND($K1378="对外销售",COUNTIF({"三矿区";"六矿区"},$L1378)=0),"※对外销售的去向只能是三矿区或六矿区",IF(AND($K1378="对外销售",ROUND($Q1378,0)=0),"※外销却没有售价，请填实际售价",IF(AND($K1378="对外销售",$T1378&lt;&gt;"",$T1378&lt;0),"※这一笔外销是亏的，请核对售价",IF(IFERROR(VLOOKUP($D1378,库存台账!$A$5:$Y$1204,24,0),0)&lt;-0.001,"※这个物料账面已经变成负数了，查一下是不是漏记入库","")))))))))))</f>
        <v/>
      </c>
    </row>
    <row r="1379">
      <c r="A1379" s="24">
        <f>IF($D1379="","",COUNTA($D$4:$D1379))</f>
        <v/>
      </c>
      <c r="B1379" s="17" t="n"/>
      <c r="C1379" s="30" t="n"/>
      <c r="D1379" s="17" t="n"/>
      <c r="E1379" s="24">
        <f>IF($D1379="","",IFERROR(VLOOKUP($D1379,物料档案!$A$4:$P$1203,3,0),"※编码不在物料档案里"))</f>
        <v/>
      </c>
      <c r="F1379" s="24">
        <f>IF($D1379="","",IFERROR(VLOOKUP($D1379,物料档案!$A$4:$P$1203,4,0),"※编码不在物料档案里"))</f>
        <v/>
      </c>
      <c r="G1379" s="24">
        <f>IF($D1379="","",IFERROR(VLOOKUP($D1379,物料档案!$A$4:$P$1203,5,0),"※编码不在物料档案里"))</f>
        <v/>
      </c>
      <c r="H1379" s="24">
        <f>IF($D1379="","",IFERROR(VLOOKUP($D1379,物料档案!$A$4:$P$1203,2,0),"※编码不在物料档案里"))</f>
        <v/>
      </c>
      <c r="I1379" s="24">
        <f>IF($D1379="","",IFERROR(VLOOKUP($D1379,物料档案!$A$4:$P$1203,6,0),"※编码不在物料档案里"))</f>
        <v/>
      </c>
      <c r="J1379" s="23" t="n"/>
      <c r="K1379" s="17" t="n"/>
      <c r="L1379" s="17" t="n"/>
      <c r="M1379" s="17" t="n"/>
      <c r="N1379" s="17" t="n"/>
      <c r="O1379" s="26">
        <f>IF($D1379="","",IFERROR(VLOOKUP($D1379,物料档案!$A$4:$P$1203,10,0),0))</f>
        <v/>
      </c>
      <c r="P1379" s="32" t="n"/>
      <c r="Q1379" s="26">
        <f>IF($D1379="","",IF($K1379&lt;&gt;"对外销售",0,ROUND(N($J1379)*IF($P1379="",N($O1379),N($P1379)),0)))</f>
        <v/>
      </c>
      <c r="R1379" s="26">
        <f>IF($D1379="","",IFERROR(VLOOKUP($D1379,库存台账!$A$5:$Y$1204,11,0),0))</f>
        <v/>
      </c>
      <c r="S1379" s="26">
        <f>IF($D1379="","",ROUND(N($J1379)*N($R1379),0))</f>
        <v/>
      </c>
      <c r="T1379" s="26">
        <f>IF($D1379="","",IF($K1379&lt;&gt;"对外销售","",ROUND($Q1379-$S1379,0)))</f>
        <v/>
      </c>
      <c r="U1379" s="17" t="n"/>
      <c r="V1379" s="17" t="n"/>
      <c r="W1379" s="24">
        <f>IF($D1379="","",IF($E1379="※编码不在物料档案里","※物料编码不在档案里",IF(N($J1379)&lt;=0,"※出库数量要大于 0",IF($K1379="","※没填去向类型",IF($L1379="","※没填去向矿区",IF(AND($C1379&lt;&gt;"",$C1379&lt;=结账锁),"※日期早于已结账截止日，不能再录",IF(AND($K1379="自用消耗",COUNTIF({"一矿区";"二矿区"},$L1379)=0),"※自用消耗的去向只能是一矿区或二矿区",IF(AND($K1379="对外销售",COUNTIF({"三矿区";"六矿区"},$L1379)=0),"※对外销售的去向只能是三矿区或六矿区",IF(AND($K1379="对外销售",ROUND($Q1379,0)=0),"※外销却没有售价，请填实际售价",IF(AND($K1379="对外销售",$T1379&lt;&gt;"",$T1379&lt;0),"※这一笔外销是亏的，请核对售价",IF(IFERROR(VLOOKUP($D1379,库存台账!$A$5:$Y$1204,24,0),0)&lt;-0.001,"※这个物料账面已经变成负数了，查一下是不是漏记入库","")))))))))))</f>
        <v/>
      </c>
    </row>
    <row r="1380">
      <c r="A1380" s="24">
        <f>IF($D1380="","",COUNTA($D$4:$D1380))</f>
        <v/>
      </c>
      <c r="B1380" s="17" t="n"/>
      <c r="C1380" s="30" t="n"/>
      <c r="D1380" s="17" t="n"/>
      <c r="E1380" s="24">
        <f>IF($D1380="","",IFERROR(VLOOKUP($D1380,物料档案!$A$4:$P$1203,3,0),"※编码不在物料档案里"))</f>
        <v/>
      </c>
      <c r="F1380" s="24">
        <f>IF($D1380="","",IFERROR(VLOOKUP($D1380,物料档案!$A$4:$P$1203,4,0),"※编码不在物料档案里"))</f>
        <v/>
      </c>
      <c r="G1380" s="24">
        <f>IF($D1380="","",IFERROR(VLOOKUP($D1380,物料档案!$A$4:$P$1203,5,0),"※编码不在物料档案里"))</f>
        <v/>
      </c>
      <c r="H1380" s="24">
        <f>IF($D1380="","",IFERROR(VLOOKUP($D1380,物料档案!$A$4:$P$1203,2,0),"※编码不在物料档案里"))</f>
        <v/>
      </c>
      <c r="I1380" s="24">
        <f>IF($D1380="","",IFERROR(VLOOKUP($D1380,物料档案!$A$4:$P$1203,6,0),"※编码不在物料档案里"))</f>
        <v/>
      </c>
      <c r="J1380" s="23" t="n"/>
      <c r="K1380" s="17" t="n"/>
      <c r="L1380" s="17" t="n"/>
      <c r="M1380" s="17" t="n"/>
      <c r="N1380" s="17" t="n"/>
      <c r="O1380" s="26">
        <f>IF($D1380="","",IFERROR(VLOOKUP($D1380,物料档案!$A$4:$P$1203,10,0),0))</f>
        <v/>
      </c>
      <c r="P1380" s="32" t="n"/>
      <c r="Q1380" s="26">
        <f>IF($D1380="","",IF($K1380&lt;&gt;"对外销售",0,ROUND(N($J1380)*IF($P1380="",N($O1380),N($P1380)),0)))</f>
        <v/>
      </c>
      <c r="R1380" s="26">
        <f>IF($D1380="","",IFERROR(VLOOKUP($D1380,库存台账!$A$5:$Y$1204,11,0),0))</f>
        <v/>
      </c>
      <c r="S1380" s="26">
        <f>IF($D1380="","",ROUND(N($J1380)*N($R1380),0))</f>
        <v/>
      </c>
      <c r="T1380" s="26">
        <f>IF($D1380="","",IF($K1380&lt;&gt;"对外销售","",ROUND($Q1380-$S1380,0)))</f>
        <v/>
      </c>
      <c r="U1380" s="17" t="n"/>
      <c r="V1380" s="17" t="n"/>
      <c r="W1380" s="24">
        <f>IF($D1380="","",IF($E1380="※编码不在物料档案里","※物料编码不在档案里",IF(N($J1380)&lt;=0,"※出库数量要大于 0",IF($K1380="","※没填去向类型",IF($L1380="","※没填去向矿区",IF(AND($C1380&lt;&gt;"",$C1380&lt;=结账锁),"※日期早于已结账截止日，不能再录",IF(AND($K1380="自用消耗",COUNTIF({"一矿区";"二矿区"},$L1380)=0),"※自用消耗的去向只能是一矿区或二矿区",IF(AND($K1380="对外销售",COUNTIF({"三矿区";"六矿区"},$L1380)=0),"※对外销售的去向只能是三矿区或六矿区",IF(AND($K1380="对外销售",ROUND($Q1380,0)=0),"※外销却没有售价，请填实际售价",IF(AND($K1380="对外销售",$T1380&lt;&gt;"",$T1380&lt;0),"※这一笔外销是亏的，请核对售价",IF(IFERROR(VLOOKUP($D1380,库存台账!$A$5:$Y$1204,24,0),0)&lt;-0.001,"※这个物料账面已经变成负数了，查一下是不是漏记入库","")))))))))))</f>
        <v/>
      </c>
    </row>
    <row r="1381">
      <c r="A1381" s="24">
        <f>IF($D1381="","",COUNTA($D$4:$D1381))</f>
        <v/>
      </c>
      <c r="B1381" s="17" t="n"/>
      <c r="C1381" s="30" t="n"/>
      <c r="D1381" s="17" t="n"/>
      <c r="E1381" s="24">
        <f>IF($D1381="","",IFERROR(VLOOKUP($D1381,物料档案!$A$4:$P$1203,3,0),"※编码不在物料档案里"))</f>
        <v/>
      </c>
      <c r="F1381" s="24">
        <f>IF($D1381="","",IFERROR(VLOOKUP($D1381,物料档案!$A$4:$P$1203,4,0),"※编码不在物料档案里"))</f>
        <v/>
      </c>
      <c r="G1381" s="24">
        <f>IF($D1381="","",IFERROR(VLOOKUP($D1381,物料档案!$A$4:$P$1203,5,0),"※编码不在物料档案里"))</f>
        <v/>
      </c>
      <c r="H1381" s="24">
        <f>IF($D1381="","",IFERROR(VLOOKUP($D1381,物料档案!$A$4:$P$1203,2,0),"※编码不在物料档案里"))</f>
        <v/>
      </c>
      <c r="I1381" s="24">
        <f>IF($D1381="","",IFERROR(VLOOKUP($D1381,物料档案!$A$4:$P$1203,6,0),"※编码不在物料档案里"))</f>
        <v/>
      </c>
      <c r="J1381" s="23" t="n"/>
      <c r="K1381" s="17" t="n"/>
      <c r="L1381" s="17" t="n"/>
      <c r="M1381" s="17" t="n"/>
      <c r="N1381" s="17" t="n"/>
      <c r="O1381" s="26">
        <f>IF($D1381="","",IFERROR(VLOOKUP($D1381,物料档案!$A$4:$P$1203,10,0),0))</f>
        <v/>
      </c>
      <c r="P1381" s="32" t="n"/>
      <c r="Q1381" s="26">
        <f>IF($D1381="","",IF($K1381&lt;&gt;"对外销售",0,ROUND(N($J1381)*IF($P1381="",N($O1381),N($P1381)),0)))</f>
        <v/>
      </c>
      <c r="R1381" s="26">
        <f>IF($D1381="","",IFERROR(VLOOKUP($D1381,库存台账!$A$5:$Y$1204,11,0),0))</f>
        <v/>
      </c>
      <c r="S1381" s="26">
        <f>IF($D1381="","",ROUND(N($J1381)*N($R1381),0))</f>
        <v/>
      </c>
      <c r="T1381" s="26">
        <f>IF($D1381="","",IF($K1381&lt;&gt;"对外销售","",ROUND($Q1381-$S1381,0)))</f>
        <v/>
      </c>
      <c r="U1381" s="17" t="n"/>
      <c r="V1381" s="17" t="n"/>
      <c r="W1381" s="24">
        <f>IF($D1381="","",IF($E1381="※编码不在物料档案里","※物料编码不在档案里",IF(N($J1381)&lt;=0,"※出库数量要大于 0",IF($K1381="","※没填去向类型",IF($L1381="","※没填去向矿区",IF(AND($C1381&lt;&gt;"",$C1381&lt;=结账锁),"※日期早于已结账截止日，不能再录",IF(AND($K1381="自用消耗",COUNTIF({"一矿区";"二矿区"},$L1381)=0),"※自用消耗的去向只能是一矿区或二矿区",IF(AND($K1381="对外销售",COUNTIF({"三矿区";"六矿区"},$L1381)=0),"※对外销售的去向只能是三矿区或六矿区",IF(AND($K1381="对外销售",ROUND($Q1381,0)=0),"※外销却没有售价，请填实际售价",IF(AND($K1381="对外销售",$T1381&lt;&gt;"",$T1381&lt;0),"※这一笔外销是亏的，请核对售价",IF(IFERROR(VLOOKUP($D1381,库存台账!$A$5:$Y$1204,24,0),0)&lt;-0.001,"※这个物料账面已经变成负数了，查一下是不是漏记入库","")))))))))))</f>
        <v/>
      </c>
    </row>
    <row r="1382">
      <c r="A1382" s="24">
        <f>IF($D1382="","",COUNTA($D$4:$D1382))</f>
        <v/>
      </c>
      <c r="B1382" s="17" t="n"/>
      <c r="C1382" s="30" t="n"/>
      <c r="D1382" s="17" t="n"/>
      <c r="E1382" s="24">
        <f>IF($D1382="","",IFERROR(VLOOKUP($D1382,物料档案!$A$4:$P$1203,3,0),"※编码不在物料档案里"))</f>
        <v/>
      </c>
      <c r="F1382" s="24">
        <f>IF($D1382="","",IFERROR(VLOOKUP($D1382,物料档案!$A$4:$P$1203,4,0),"※编码不在物料档案里"))</f>
        <v/>
      </c>
      <c r="G1382" s="24">
        <f>IF($D1382="","",IFERROR(VLOOKUP($D1382,物料档案!$A$4:$P$1203,5,0),"※编码不在物料档案里"))</f>
        <v/>
      </c>
      <c r="H1382" s="24">
        <f>IF($D1382="","",IFERROR(VLOOKUP($D1382,物料档案!$A$4:$P$1203,2,0),"※编码不在物料档案里"))</f>
        <v/>
      </c>
      <c r="I1382" s="24">
        <f>IF($D1382="","",IFERROR(VLOOKUP($D1382,物料档案!$A$4:$P$1203,6,0),"※编码不在物料档案里"))</f>
        <v/>
      </c>
      <c r="J1382" s="23" t="n"/>
      <c r="K1382" s="17" t="n"/>
      <c r="L1382" s="17" t="n"/>
      <c r="M1382" s="17" t="n"/>
      <c r="N1382" s="17" t="n"/>
      <c r="O1382" s="26">
        <f>IF($D1382="","",IFERROR(VLOOKUP($D1382,物料档案!$A$4:$P$1203,10,0),0))</f>
        <v/>
      </c>
      <c r="P1382" s="32" t="n"/>
      <c r="Q1382" s="26">
        <f>IF($D1382="","",IF($K1382&lt;&gt;"对外销售",0,ROUND(N($J1382)*IF($P1382="",N($O1382),N($P1382)),0)))</f>
        <v/>
      </c>
      <c r="R1382" s="26">
        <f>IF($D1382="","",IFERROR(VLOOKUP($D1382,库存台账!$A$5:$Y$1204,11,0),0))</f>
        <v/>
      </c>
      <c r="S1382" s="26">
        <f>IF($D1382="","",ROUND(N($J1382)*N($R1382),0))</f>
        <v/>
      </c>
      <c r="T1382" s="26">
        <f>IF($D1382="","",IF($K1382&lt;&gt;"对外销售","",ROUND($Q1382-$S1382,0)))</f>
        <v/>
      </c>
      <c r="U1382" s="17" t="n"/>
      <c r="V1382" s="17" t="n"/>
      <c r="W1382" s="24">
        <f>IF($D1382="","",IF($E1382="※编码不在物料档案里","※物料编码不在档案里",IF(N($J1382)&lt;=0,"※出库数量要大于 0",IF($K1382="","※没填去向类型",IF($L1382="","※没填去向矿区",IF(AND($C1382&lt;&gt;"",$C1382&lt;=结账锁),"※日期早于已结账截止日，不能再录",IF(AND($K1382="自用消耗",COUNTIF({"一矿区";"二矿区"},$L1382)=0),"※自用消耗的去向只能是一矿区或二矿区",IF(AND($K1382="对外销售",COUNTIF({"三矿区";"六矿区"},$L1382)=0),"※对外销售的去向只能是三矿区或六矿区",IF(AND($K1382="对外销售",ROUND($Q1382,0)=0),"※外销却没有售价，请填实际售价",IF(AND($K1382="对外销售",$T1382&lt;&gt;"",$T1382&lt;0),"※这一笔外销是亏的，请核对售价",IF(IFERROR(VLOOKUP($D1382,库存台账!$A$5:$Y$1204,24,0),0)&lt;-0.001,"※这个物料账面已经变成负数了，查一下是不是漏记入库","")))))))))))</f>
        <v/>
      </c>
    </row>
    <row r="1383">
      <c r="A1383" s="24">
        <f>IF($D1383="","",COUNTA($D$4:$D1383))</f>
        <v/>
      </c>
      <c r="B1383" s="17" t="n"/>
      <c r="C1383" s="30" t="n"/>
      <c r="D1383" s="17" t="n"/>
      <c r="E1383" s="24">
        <f>IF($D1383="","",IFERROR(VLOOKUP($D1383,物料档案!$A$4:$P$1203,3,0),"※编码不在物料档案里"))</f>
        <v/>
      </c>
      <c r="F1383" s="24">
        <f>IF($D1383="","",IFERROR(VLOOKUP($D1383,物料档案!$A$4:$P$1203,4,0),"※编码不在物料档案里"))</f>
        <v/>
      </c>
      <c r="G1383" s="24">
        <f>IF($D1383="","",IFERROR(VLOOKUP($D1383,物料档案!$A$4:$P$1203,5,0),"※编码不在物料档案里"))</f>
        <v/>
      </c>
      <c r="H1383" s="24">
        <f>IF($D1383="","",IFERROR(VLOOKUP($D1383,物料档案!$A$4:$P$1203,2,0),"※编码不在物料档案里"))</f>
        <v/>
      </c>
      <c r="I1383" s="24">
        <f>IF($D1383="","",IFERROR(VLOOKUP($D1383,物料档案!$A$4:$P$1203,6,0),"※编码不在物料档案里"))</f>
        <v/>
      </c>
      <c r="J1383" s="23" t="n"/>
      <c r="K1383" s="17" t="n"/>
      <c r="L1383" s="17" t="n"/>
      <c r="M1383" s="17" t="n"/>
      <c r="N1383" s="17" t="n"/>
      <c r="O1383" s="26">
        <f>IF($D1383="","",IFERROR(VLOOKUP($D1383,物料档案!$A$4:$P$1203,10,0),0))</f>
        <v/>
      </c>
      <c r="P1383" s="32" t="n"/>
      <c r="Q1383" s="26">
        <f>IF($D1383="","",IF($K1383&lt;&gt;"对外销售",0,ROUND(N($J1383)*IF($P1383="",N($O1383),N($P1383)),0)))</f>
        <v/>
      </c>
      <c r="R1383" s="26">
        <f>IF($D1383="","",IFERROR(VLOOKUP($D1383,库存台账!$A$5:$Y$1204,11,0),0))</f>
        <v/>
      </c>
      <c r="S1383" s="26">
        <f>IF($D1383="","",ROUND(N($J1383)*N($R1383),0))</f>
        <v/>
      </c>
      <c r="T1383" s="26">
        <f>IF($D1383="","",IF($K1383&lt;&gt;"对外销售","",ROUND($Q1383-$S1383,0)))</f>
        <v/>
      </c>
      <c r="U1383" s="17" t="n"/>
      <c r="V1383" s="17" t="n"/>
      <c r="W1383" s="24">
        <f>IF($D1383="","",IF($E1383="※编码不在物料档案里","※物料编码不在档案里",IF(N($J1383)&lt;=0,"※出库数量要大于 0",IF($K1383="","※没填去向类型",IF($L1383="","※没填去向矿区",IF(AND($C1383&lt;&gt;"",$C1383&lt;=结账锁),"※日期早于已结账截止日，不能再录",IF(AND($K1383="自用消耗",COUNTIF({"一矿区";"二矿区"},$L1383)=0),"※自用消耗的去向只能是一矿区或二矿区",IF(AND($K1383="对外销售",COUNTIF({"三矿区";"六矿区"},$L1383)=0),"※对外销售的去向只能是三矿区或六矿区",IF(AND($K1383="对外销售",ROUND($Q1383,0)=0),"※外销却没有售价，请填实际售价",IF(AND($K1383="对外销售",$T1383&lt;&gt;"",$T1383&lt;0),"※这一笔外销是亏的，请核对售价",IF(IFERROR(VLOOKUP($D1383,库存台账!$A$5:$Y$1204,24,0),0)&lt;-0.001,"※这个物料账面已经变成负数了，查一下是不是漏记入库","")))))))))))</f>
        <v/>
      </c>
    </row>
    <row r="1384">
      <c r="A1384" s="24">
        <f>IF($D1384="","",COUNTA($D$4:$D1384))</f>
        <v/>
      </c>
      <c r="B1384" s="17" t="n"/>
      <c r="C1384" s="30" t="n"/>
      <c r="D1384" s="17" t="n"/>
      <c r="E1384" s="24">
        <f>IF($D1384="","",IFERROR(VLOOKUP($D1384,物料档案!$A$4:$P$1203,3,0),"※编码不在物料档案里"))</f>
        <v/>
      </c>
      <c r="F1384" s="24">
        <f>IF($D1384="","",IFERROR(VLOOKUP($D1384,物料档案!$A$4:$P$1203,4,0),"※编码不在物料档案里"))</f>
        <v/>
      </c>
      <c r="G1384" s="24">
        <f>IF($D1384="","",IFERROR(VLOOKUP($D1384,物料档案!$A$4:$P$1203,5,0),"※编码不在物料档案里"))</f>
        <v/>
      </c>
      <c r="H1384" s="24">
        <f>IF($D1384="","",IFERROR(VLOOKUP($D1384,物料档案!$A$4:$P$1203,2,0),"※编码不在物料档案里"))</f>
        <v/>
      </c>
      <c r="I1384" s="24">
        <f>IF($D1384="","",IFERROR(VLOOKUP($D1384,物料档案!$A$4:$P$1203,6,0),"※编码不在物料档案里"))</f>
        <v/>
      </c>
      <c r="J1384" s="23" t="n"/>
      <c r="K1384" s="17" t="n"/>
      <c r="L1384" s="17" t="n"/>
      <c r="M1384" s="17" t="n"/>
      <c r="N1384" s="17" t="n"/>
      <c r="O1384" s="26">
        <f>IF($D1384="","",IFERROR(VLOOKUP($D1384,物料档案!$A$4:$P$1203,10,0),0))</f>
        <v/>
      </c>
      <c r="P1384" s="32" t="n"/>
      <c r="Q1384" s="26">
        <f>IF($D1384="","",IF($K1384&lt;&gt;"对外销售",0,ROUND(N($J1384)*IF($P1384="",N($O1384),N($P1384)),0)))</f>
        <v/>
      </c>
      <c r="R1384" s="26">
        <f>IF($D1384="","",IFERROR(VLOOKUP($D1384,库存台账!$A$5:$Y$1204,11,0),0))</f>
        <v/>
      </c>
      <c r="S1384" s="26">
        <f>IF($D1384="","",ROUND(N($J1384)*N($R1384),0))</f>
        <v/>
      </c>
      <c r="T1384" s="26">
        <f>IF($D1384="","",IF($K1384&lt;&gt;"对外销售","",ROUND($Q1384-$S1384,0)))</f>
        <v/>
      </c>
      <c r="U1384" s="17" t="n"/>
      <c r="V1384" s="17" t="n"/>
      <c r="W1384" s="24">
        <f>IF($D1384="","",IF($E1384="※编码不在物料档案里","※物料编码不在档案里",IF(N($J1384)&lt;=0,"※出库数量要大于 0",IF($K1384="","※没填去向类型",IF($L1384="","※没填去向矿区",IF(AND($C1384&lt;&gt;"",$C1384&lt;=结账锁),"※日期早于已结账截止日，不能再录",IF(AND($K1384="自用消耗",COUNTIF({"一矿区";"二矿区"},$L1384)=0),"※自用消耗的去向只能是一矿区或二矿区",IF(AND($K1384="对外销售",COUNTIF({"三矿区";"六矿区"},$L1384)=0),"※对外销售的去向只能是三矿区或六矿区",IF(AND($K1384="对外销售",ROUND($Q1384,0)=0),"※外销却没有售价，请填实际售价",IF(AND($K1384="对外销售",$T1384&lt;&gt;"",$T1384&lt;0),"※这一笔外销是亏的，请核对售价",IF(IFERROR(VLOOKUP($D1384,库存台账!$A$5:$Y$1204,24,0),0)&lt;-0.001,"※这个物料账面已经变成负数了，查一下是不是漏记入库","")))))))))))</f>
        <v/>
      </c>
    </row>
    <row r="1385">
      <c r="A1385" s="24">
        <f>IF($D1385="","",COUNTA($D$4:$D1385))</f>
        <v/>
      </c>
      <c r="B1385" s="17" t="n"/>
      <c r="C1385" s="30" t="n"/>
      <c r="D1385" s="17" t="n"/>
      <c r="E1385" s="24">
        <f>IF($D1385="","",IFERROR(VLOOKUP($D1385,物料档案!$A$4:$P$1203,3,0),"※编码不在物料档案里"))</f>
        <v/>
      </c>
      <c r="F1385" s="24">
        <f>IF($D1385="","",IFERROR(VLOOKUP($D1385,物料档案!$A$4:$P$1203,4,0),"※编码不在物料档案里"))</f>
        <v/>
      </c>
      <c r="G1385" s="24">
        <f>IF($D1385="","",IFERROR(VLOOKUP($D1385,物料档案!$A$4:$P$1203,5,0),"※编码不在物料档案里"))</f>
        <v/>
      </c>
      <c r="H1385" s="24">
        <f>IF($D1385="","",IFERROR(VLOOKUP($D1385,物料档案!$A$4:$P$1203,2,0),"※编码不在物料档案里"))</f>
        <v/>
      </c>
      <c r="I1385" s="24">
        <f>IF($D1385="","",IFERROR(VLOOKUP($D1385,物料档案!$A$4:$P$1203,6,0),"※编码不在物料档案里"))</f>
        <v/>
      </c>
      <c r="J1385" s="23" t="n"/>
      <c r="K1385" s="17" t="n"/>
      <c r="L1385" s="17" t="n"/>
      <c r="M1385" s="17" t="n"/>
      <c r="N1385" s="17" t="n"/>
      <c r="O1385" s="26">
        <f>IF($D1385="","",IFERROR(VLOOKUP($D1385,物料档案!$A$4:$P$1203,10,0),0))</f>
        <v/>
      </c>
      <c r="P1385" s="32" t="n"/>
      <c r="Q1385" s="26">
        <f>IF($D1385="","",IF($K1385&lt;&gt;"对外销售",0,ROUND(N($J1385)*IF($P1385="",N($O1385),N($P1385)),0)))</f>
        <v/>
      </c>
      <c r="R1385" s="26">
        <f>IF($D1385="","",IFERROR(VLOOKUP($D1385,库存台账!$A$5:$Y$1204,11,0),0))</f>
        <v/>
      </c>
      <c r="S1385" s="26">
        <f>IF($D1385="","",ROUND(N($J1385)*N($R1385),0))</f>
        <v/>
      </c>
      <c r="T1385" s="26">
        <f>IF($D1385="","",IF($K1385&lt;&gt;"对外销售","",ROUND($Q1385-$S1385,0)))</f>
        <v/>
      </c>
      <c r="U1385" s="17" t="n"/>
      <c r="V1385" s="17" t="n"/>
      <c r="W1385" s="24">
        <f>IF($D1385="","",IF($E1385="※编码不在物料档案里","※物料编码不在档案里",IF(N($J1385)&lt;=0,"※出库数量要大于 0",IF($K1385="","※没填去向类型",IF($L1385="","※没填去向矿区",IF(AND($C1385&lt;&gt;"",$C1385&lt;=结账锁),"※日期早于已结账截止日，不能再录",IF(AND($K1385="自用消耗",COUNTIF({"一矿区";"二矿区"},$L1385)=0),"※自用消耗的去向只能是一矿区或二矿区",IF(AND($K1385="对外销售",COUNTIF({"三矿区";"六矿区"},$L1385)=0),"※对外销售的去向只能是三矿区或六矿区",IF(AND($K1385="对外销售",ROUND($Q1385,0)=0),"※外销却没有售价，请填实际售价",IF(AND($K1385="对外销售",$T1385&lt;&gt;"",$T1385&lt;0),"※这一笔外销是亏的，请核对售价",IF(IFERROR(VLOOKUP($D1385,库存台账!$A$5:$Y$1204,24,0),0)&lt;-0.001,"※这个物料账面已经变成负数了，查一下是不是漏记入库","")))))))))))</f>
        <v/>
      </c>
    </row>
    <row r="1386">
      <c r="A1386" s="24">
        <f>IF($D1386="","",COUNTA($D$4:$D1386))</f>
        <v/>
      </c>
      <c r="B1386" s="17" t="n"/>
      <c r="C1386" s="30" t="n"/>
      <c r="D1386" s="17" t="n"/>
      <c r="E1386" s="24">
        <f>IF($D1386="","",IFERROR(VLOOKUP($D1386,物料档案!$A$4:$P$1203,3,0),"※编码不在物料档案里"))</f>
        <v/>
      </c>
      <c r="F1386" s="24">
        <f>IF($D1386="","",IFERROR(VLOOKUP($D1386,物料档案!$A$4:$P$1203,4,0),"※编码不在物料档案里"))</f>
        <v/>
      </c>
      <c r="G1386" s="24">
        <f>IF($D1386="","",IFERROR(VLOOKUP($D1386,物料档案!$A$4:$P$1203,5,0),"※编码不在物料档案里"))</f>
        <v/>
      </c>
      <c r="H1386" s="24">
        <f>IF($D1386="","",IFERROR(VLOOKUP($D1386,物料档案!$A$4:$P$1203,2,0),"※编码不在物料档案里"))</f>
        <v/>
      </c>
      <c r="I1386" s="24">
        <f>IF($D1386="","",IFERROR(VLOOKUP($D1386,物料档案!$A$4:$P$1203,6,0),"※编码不在物料档案里"))</f>
        <v/>
      </c>
      <c r="J1386" s="23" t="n"/>
      <c r="K1386" s="17" t="n"/>
      <c r="L1386" s="17" t="n"/>
      <c r="M1386" s="17" t="n"/>
      <c r="N1386" s="17" t="n"/>
      <c r="O1386" s="26">
        <f>IF($D1386="","",IFERROR(VLOOKUP($D1386,物料档案!$A$4:$P$1203,10,0),0))</f>
        <v/>
      </c>
      <c r="P1386" s="32" t="n"/>
      <c r="Q1386" s="26">
        <f>IF($D1386="","",IF($K1386&lt;&gt;"对外销售",0,ROUND(N($J1386)*IF($P1386="",N($O1386),N($P1386)),0)))</f>
        <v/>
      </c>
      <c r="R1386" s="26">
        <f>IF($D1386="","",IFERROR(VLOOKUP($D1386,库存台账!$A$5:$Y$1204,11,0),0))</f>
        <v/>
      </c>
      <c r="S1386" s="26">
        <f>IF($D1386="","",ROUND(N($J1386)*N($R1386),0))</f>
        <v/>
      </c>
      <c r="T1386" s="26">
        <f>IF($D1386="","",IF($K1386&lt;&gt;"对外销售","",ROUND($Q1386-$S1386,0)))</f>
        <v/>
      </c>
      <c r="U1386" s="17" t="n"/>
      <c r="V1386" s="17" t="n"/>
      <c r="W1386" s="24">
        <f>IF($D1386="","",IF($E1386="※编码不在物料档案里","※物料编码不在档案里",IF(N($J1386)&lt;=0,"※出库数量要大于 0",IF($K1386="","※没填去向类型",IF($L1386="","※没填去向矿区",IF(AND($C1386&lt;&gt;"",$C1386&lt;=结账锁),"※日期早于已结账截止日，不能再录",IF(AND($K1386="自用消耗",COUNTIF({"一矿区";"二矿区"},$L1386)=0),"※自用消耗的去向只能是一矿区或二矿区",IF(AND($K1386="对外销售",COUNTIF({"三矿区";"六矿区"},$L1386)=0),"※对外销售的去向只能是三矿区或六矿区",IF(AND($K1386="对外销售",ROUND($Q1386,0)=0),"※外销却没有售价，请填实际售价",IF(AND($K1386="对外销售",$T1386&lt;&gt;"",$T1386&lt;0),"※这一笔外销是亏的，请核对售价",IF(IFERROR(VLOOKUP($D1386,库存台账!$A$5:$Y$1204,24,0),0)&lt;-0.001,"※这个物料账面已经变成负数了，查一下是不是漏记入库","")))))))))))</f>
        <v/>
      </c>
    </row>
    <row r="1387">
      <c r="A1387" s="24">
        <f>IF($D1387="","",COUNTA($D$4:$D1387))</f>
        <v/>
      </c>
      <c r="B1387" s="17" t="n"/>
      <c r="C1387" s="30" t="n"/>
      <c r="D1387" s="17" t="n"/>
      <c r="E1387" s="24">
        <f>IF($D1387="","",IFERROR(VLOOKUP($D1387,物料档案!$A$4:$P$1203,3,0),"※编码不在物料档案里"))</f>
        <v/>
      </c>
      <c r="F1387" s="24">
        <f>IF($D1387="","",IFERROR(VLOOKUP($D1387,物料档案!$A$4:$P$1203,4,0),"※编码不在物料档案里"))</f>
        <v/>
      </c>
      <c r="G1387" s="24">
        <f>IF($D1387="","",IFERROR(VLOOKUP($D1387,物料档案!$A$4:$P$1203,5,0),"※编码不在物料档案里"))</f>
        <v/>
      </c>
      <c r="H1387" s="24">
        <f>IF($D1387="","",IFERROR(VLOOKUP($D1387,物料档案!$A$4:$P$1203,2,0),"※编码不在物料档案里"))</f>
        <v/>
      </c>
      <c r="I1387" s="24">
        <f>IF($D1387="","",IFERROR(VLOOKUP($D1387,物料档案!$A$4:$P$1203,6,0),"※编码不在物料档案里"))</f>
        <v/>
      </c>
      <c r="J1387" s="23" t="n"/>
      <c r="K1387" s="17" t="n"/>
      <c r="L1387" s="17" t="n"/>
      <c r="M1387" s="17" t="n"/>
      <c r="N1387" s="17" t="n"/>
      <c r="O1387" s="26">
        <f>IF($D1387="","",IFERROR(VLOOKUP($D1387,物料档案!$A$4:$P$1203,10,0),0))</f>
        <v/>
      </c>
      <c r="P1387" s="32" t="n"/>
      <c r="Q1387" s="26">
        <f>IF($D1387="","",IF($K1387&lt;&gt;"对外销售",0,ROUND(N($J1387)*IF($P1387="",N($O1387),N($P1387)),0)))</f>
        <v/>
      </c>
      <c r="R1387" s="26">
        <f>IF($D1387="","",IFERROR(VLOOKUP($D1387,库存台账!$A$5:$Y$1204,11,0),0))</f>
        <v/>
      </c>
      <c r="S1387" s="26">
        <f>IF($D1387="","",ROUND(N($J1387)*N($R1387),0))</f>
        <v/>
      </c>
      <c r="T1387" s="26">
        <f>IF($D1387="","",IF($K1387&lt;&gt;"对外销售","",ROUND($Q1387-$S1387,0)))</f>
        <v/>
      </c>
      <c r="U1387" s="17" t="n"/>
      <c r="V1387" s="17" t="n"/>
      <c r="W1387" s="24">
        <f>IF($D1387="","",IF($E1387="※编码不在物料档案里","※物料编码不在档案里",IF(N($J1387)&lt;=0,"※出库数量要大于 0",IF($K1387="","※没填去向类型",IF($L1387="","※没填去向矿区",IF(AND($C1387&lt;&gt;"",$C1387&lt;=结账锁),"※日期早于已结账截止日，不能再录",IF(AND($K1387="自用消耗",COUNTIF({"一矿区";"二矿区"},$L1387)=0),"※自用消耗的去向只能是一矿区或二矿区",IF(AND($K1387="对外销售",COUNTIF({"三矿区";"六矿区"},$L1387)=0),"※对外销售的去向只能是三矿区或六矿区",IF(AND($K1387="对外销售",ROUND($Q1387,0)=0),"※外销却没有售价，请填实际售价",IF(AND($K1387="对外销售",$T1387&lt;&gt;"",$T1387&lt;0),"※这一笔外销是亏的，请核对售价",IF(IFERROR(VLOOKUP($D1387,库存台账!$A$5:$Y$1204,24,0),0)&lt;-0.001,"※这个物料账面已经变成负数了，查一下是不是漏记入库","")))))))))))</f>
        <v/>
      </c>
    </row>
    <row r="1388">
      <c r="A1388" s="24">
        <f>IF($D1388="","",COUNTA($D$4:$D1388))</f>
        <v/>
      </c>
      <c r="B1388" s="17" t="n"/>
      <c r="C1388" s="30" t="n"/>
      <c r="D1388" s="17" t="n"/>
      <c r="E1388" s="24">
        <f>IF($D1388="","",IFERROR(VLOOKUP($D1388,物料档案!$A$4:$P$1203,3,0),"※编码不在物料档案里"))</f>
        <v/>
      </c>
      <c r="F1388" s="24">
        <f>IF($D1388="","",IFERROR(VLOOKUP($D1388,物料档案!$A$4:$P$1203,4,0),"※编码不在物料档案里"))</f>
        <v/>
      </c>
      <c r="G1388" s="24">
        <f>IF($D1388="","",IFERROR(VLOOKUP($D1388,物料档案!$A$4:$P$1203,5,0),"※编码不在物料档案里"))</f>
        <v/>
      </c>
      <c r="H1388" s="24">
        <f>IF($D1388="","",IFERROR(VLOOKUP($D1388,物料档案!$A$4:$P$1203,2,0),"※编码不在物料档案里"))</f>
        <v/>
      </c>
      <c r="I1388" s="24">
        <f>IF($D1388="","",IFERROR(VLOOKUP($D1388,物料档案!$A$4:$P$1203,6,0),"※编码不在物料档案里"))</f>
        <v/>
      </c>
      <c r="J1388" s="23" t="n"/>
      <c r="K1388" s="17" t="n"/>
      <c r="L1388" s="17" t="n"/>
      <c r="M1388" s="17" t="n"/>
      <c r="N1388" s="17" t="n"/>
      <c r="O1388" s="26">
        <f>IF($D1388="","",IFERROR(VLOOKUP($D1388,物料档案!$A$4:$P$1203,10,0),0))</f>
        <v/>
      </c>
      <c r="P1388" s="32" t="n"/>
      <c r="Q1388" s="26">
        <f>IF($D1388="","",IF($K1388&lt;&gt;"对外销售",0,ROUND(N($J1388)*IF($P1388="",N($O1388),N($P1388)),0)))</f>
        <v/>
      </c>
      <c r="R1388" s="26">
        <f>IF($D1388="","",IFERROR(VLOOKUP($D1388,库存台账!$A$5:$Y$1204,11,0),0))</f>
        <v/>
      </c>
      <c r="S1388" s="26">
        <f>IF($D1388="","",ROUND(N($J1388)*N($R1388),0))</f>
        <v/>
      </c>
      <c r="T1388" s="26">
        <f>IF($D1388="","",IF($K1388&lt;&gt;"对外销售","",ROUND($Q1388-$S1388,0)))</f>
        <v/>
      </c>
      <c r="U1388" s="17" t="n"/>
      <c r="V1388" s="17" t="n"/>
      <c r="W1388" s="24">
        <f>IF($D1388="","",IF($E1388="※编码不在物料档案里","※物料编码不在档案里",IF(N($J1388)&lt;=0,"※出库数量要大于 0",IF($K1388="","※没填去向类型",IF($L1388="","※没填去向矿区",IF(AND($C1388&lt;&gt;"",$C1388&lt;=结账锁),"※日期早于已结账截止日，不能再录",IF(AND($K1388="自用消耗",COUNTIF({"一矿区";"二矿区"},$L1388)=0),"※自用消耗的去向只能是一矿区或二矿区",IF(AND($K1388="对外销售",COUNTIF({"三矿区";"六矿区"},$L1388)=0),"※对外销售的去向只能是三矿区或六矿区",IF(AND($K1388="对外销售",ROUND($Q1388,0)=0),"※外销却没有售价，请填实际售价",IF(AND($K1388="对外销售",$T1388&lt;&gt;"",$T1388&lt;0),"※这一笔外销是亏的，请核对售价",IF(IFERROR(VLOOKUP($D1388,库存台账!$A$5:$Y$1204,24,0),0)&lt;-0.001,"※这个物料账面已经变成负数了，查一下是不是漏记入库","")))))))))))</f>
        <v/>
      </c>
    </row>
    <row r="1389">
      <c r="A1389" s="24">
        <f>IF($D1389="","",COUNTA($D$4:$D1389))</f>
        <v/>
      </c>
      <c r="B1389" s="17" t="n"/>
      <c r="C1389" s="30" t="n"/>
      <c r="D1389" s="17" t="n"/>
      <c r="E1389" s="24">
        <f>IF($D1389="","",IFERROR(VLOOKUP($D1389,物料档案!$A$4:$P$1203,3,0),"※编码不在物料档案里"))</f>
        <v/>
      </c>
      <c r="F1389" s="24">
        <f>IF($D1389="","",IFERROR(VLOOKUP($D1389,物料档案!$A$4:$P$1203,4,0),"※编码不在物料档案里"))</f>
        <v/>
      </c>
      <c r="G1389" s="24">
        <f>IF($D1389="","",IFERROR(VLOOKUP($D1389,物料档案!$A$4:$P$1203,5,0),"※编码不在物料档案里"))</f>
        <v/>
      </c>
      <c r="H1389" s="24">
        <f>IF($D1389="","",IFERROR(VLOOKUP($D1389,物料档案!$A$4:$P$1203,2,0),"※编码不在物料档案里"))</f>
        <v/>
      </c>
      <c r="I1389" s="24">
        <f>IF($D1389="","",IFERROR(VLOOKUP($D1389,物料档案!$A$4:$P$1203,6,0),"※编码不在物料档案里"))</f>
        <v/>
      </c>
      <c r="J1389" s="23" t="n"/>
      <c r="K1389" s="17" t="n"/>
      <c r="L1389" s="17" t="n"/>
      <c r="M1389" s="17" t="n"/>
      <c r="N1389" s="17" t="n"/>
      <c r="O1389" s="26">
        <f>IF($D1389="","",IFERROR(VLOOKUP($D1389,物料档案!$A$4:$P$1203,10,0),0))</f>
        <v/>
      </c>
      <c r="P1389" s="32" t="n"/>
      <c r="Q1389" s="26">
        <f>IF($D1389="","",IF($K1389&lt;&gt;"对外销售",0,ROUND(N($J1389)*IF($P1389="",N($O1389),N($P1389)),0)))</f>
        <v/>
      </c>
      <c r="R1389" s="26">
        <f>IF($D1389="","",IFERROR(VLOOKUP($D1389,库存台账!$A$5:$Y$1204,11,0),0))</f>
        <v/>
      </c>
      <c r="S1389" s="26">
        <f>IF($D1389="","",ROUND(N($J1389)*N($R1389),0))</f>
        <v/>
      </c>
      <c r="T1389" s="26">
        <f>IF($D1389="","",IF($K1389&lt;&gt;"对外销售","",ROUND($Q1389-$S1389,0)))</f>
        <v/>
      </c>
      <c r="U1389" s="17" t="n"/>
      <c r="V1389" s="17" t="n"/>
      <c r="W1389" s="24">
        <f>IF($D1389="","",IF($E1389="※编码不在物料档案里","※物料编码不在档案里",IF(N($J1389)&lt;=0,"※出库数量要大于 0",IF($K1389="","※没填去向类型",IF($L1389="","※没填去向矿区",IF(AND($C1389&lt;&gt;"",$C1389&lt;=结账锁),"※日期早于已结账截止日，不能再录",IF(AND($K1389="自用消耗",COUNTIF({"一矿区";"二矿区"},$L1389)=0),"※自用消耗的去向只能是一矿区或二矿区",IF(AND($K1389="对外销售",COUNTIF({"三矿区";"六矿区"},$L1389)=0),"※对外销售的去向只能是三矿区或六矿区",IF(AND($K1389="对外销售",ROUND($Q1389,0)=0),"※外销却没有售价，请填实际售价",IF(AND($K1389="对外销售",$T1389&lt;&gt;"",$T1389&lt;0),"※这一笔外销是亏的，请核对售价",IF(IFERROR(VLOOKUP($D1389,库存台账!$A$5:$Y$1204,24,0),0)&lt;-0.001,"※这个物料账面已经变成负数了，查一下是不是漏记入库","")))))))))))</f>
        <v/>
      </c>
    </row>
    <row r="1390">
      <c r="A1390" s="24">
        <f>IF($D1390="","",COUNTA($D$4:$D1390))</f>
        <v/>
      </c>
      <c r="B1390" s="17" t="n"/>
      <c r="C1390" s="30" t="n"/>
      <c r="D1390" s="17" t="n"/>
      <c r="E1390" s="24">
        <f>IF($D1390="","",IFERROR(VLOOKUP($D1390,物料档案!$A$4:$P$1203,3,0),"※编码不在物料档案里"))</f>
        <v/>
      </c>
      <c r="F1390" s="24">
        <f>IF($D1390="","",IFERROR(VLOOKUP($D1390,物料档案!$A$4:$P$1203,4,0),"※编码不在物料档案里"))</f>
        <v/>
      </c>
      <c r="G1390" s="24">
        <f>IF($D1390="","",IFERROR(VLOOKUP($D1390,物料档案!$A$4:$P$1203,5,0),"※编码不在物料档案里"))</f>
        <v/>
      </c>
      <c r="H1390" s="24">
        <f>IF($D1390="","",IFERROR(VLOOKUP($D1390,物料档案!$A$4:$P$1203,2,0),"※编码不在物料档案里"))</f>
        <v/>
      </c>
      <c r="I1390" s="24">
        <f>IF($D1390="","",IFERROR(VLOOKUP($D1390,物料档案!$A$4:$P$1203,6,0),"※编码不在物料档案里"))</f>
        <v/>
      </c>
      <c r="J1390" s="23" t="n"/>
      <c r="K1390" s="17" t="n"/>
      <c r="L1390" s="17" t="n"/>
      <c r="M1390" s="17" t="n"/>
      <c r="N1390" s="17" t="n"/>
      <c r="O1390" s="26">
        <f>IF($D1390="","",IFERROR(VLOOKUP($D1390,物料档案!$A$4:$P$1203,10,0),0))</f>
        <v/>
      </c>
      <c r="P1390" s="32" t="n"/>
      <c r="Q1390" s="26">
        <f>IF($D1390="","",IF($K1390&lt;&gt;"对外销售",0,ROUND(N($J1390)*IF($P1390="",N($O1390),N($P1390)),0)))</f>
        <v/>
      </c>
      <c r="R1390" s="26">
        <f>IF($D1390="","",IFERROR(VLOOKUP($D1390,库存台账!$A$5:$Y$1204,11,0),0))</f>
        <v/>
      </c>
      <c r="S1390" s="26">
        <f>IF($D1390="","",ROUND(N($J1390)*N($R1390),0))</f>
        <v/>
      </c>
      <c r="T1390" s="26">
        <f>IF($D1390="","",IF($K1390&lt;&gt;"对外销售","",ROUND($Q1390-$S1390,0)))</f>
        <v/>
      </c>
      <c r="U1390" s="17" t="n"/>
      <c r="V1390" s="17" t="n"/>
      <c r="W1390" s="24">
        <f>IF($D1390="","",IF($E1390="※编码不在物料档案里","※物料编码不在档案里",IF(N($J1390)&lt;=0,"※出库数量要大于 0",IF($K1390="","※没填去向类型",IF($L1390="","※没填去向矿区",IF(AND($C1390&lt;&gt;"",$C1390&lt;=结账锁),"※日期早于已结账截止日，不能再录",IF(AND($K1390="自用消耗",COUNTIF({"一矿区";"二矿区"},$L1390)=0),"※自用消耗的去向只能是一矿区或二矿区",IF(AND($K1390="对外销售",COUNTIF({"三矿区";"六矿区"},$L1390)=0),"※对外销售的去向只能是三矿区或六矿区",IF(AND($K1390="对外销售",ROUND($Q1390,0)=0),"※外销却没有售价，请填实际售价",IF(AND($K1390="对外销售",$T1390&lt;&gt;"",$T1390&lt;0),"※这一笔外销是亏的，请核对售价",IF(IFERROR(VLOOKUP($D1390,库存台账!$A$5:$Y$1204,24,0),0)&lt;-0.001,"※这个物料账面已经变成负数了，查一下是不是漏记入库","")))))))))))</f>
        <v/>
      </c>
    </row>
    <row r="1391">
      <c r="A1391" s="24">
        <f>IF($D1391="","",COUNTA($D$4:$D1391))</f>
        <v/>
      </c>
      <c r="B1391" s="17" t="n"/>
      <c r="C1391" s="30" t="n"/>
      <c r="D1391" s="17" t="n"/>
      <c r="E1391" s="24">
        <f>IF($D1391="","",IFERROR(VLOOKUP($D1391,物料档案!$A$4:$P$1203,3,0),"※编码不在物料档案里"))</f>
        <v/>
      </c>
      <c r="F1391" s="24">
        <f>IF($D1391="","",IFERROR(VLOOKUP($D1391,物料档案!$A$4:$P$1203,4,0),"※编码不在物料档案里"))</f>
        <v/>
      </c>
      <c r="G1391" s="24">
        <f>IF($D1391="","",IFERROR(VLOOKUP($D1391,物料档案!$A$4:$P$1203,5,0),"※编码不在物料档案里"))</f>
        <v/>
      </c>
      <c r="H1391" s="24">
        <f>IF($D1391="","",IFERROR(VLOOKUP($D1391,物料档案!$A$4:$P$1203,2,0),"※编码不在物料档案里"))</f>
        <v/>
      </c>
      <c r="I1391" s="24">
        <f>IF($D1391="","",IFERROR(VLOOKUP($D1391,物料档案!$A$4:$P$1203,6,0),"※编码不在物料档案里"))</f>
        <v/>
      </c>
      <c r="J1391" s="23" t="n"/>
      <c r="K1391" s="17" t="n"/>
      <c r="L1391" s="17" t="n"/>
      <c r="M1391" s="17" t="n"/>
      <c r="N1391" s="17" t="n"/>
      <c r="O1391" s="26">
        <f>IF($D1391="","",IFERROR(VLOOKUP($D1391,物料档案!$A$4:$P$1203,10,0),0))</f>
        <v/>
      </c>
      <c r="P1391" s="32" t="n"/>
      <c r="Q1391" s="26">
        <f>IF($D1391="","",IF($K1391&lt;&gt;"对外销售",0,ROUND(N($J1391)*IF($P1391="",N($O1391),N($P1391)),0)))</f>
        <v/>
      </c>
      <c r="R1391" s="26">
        <f>IF($D1391="","",IFERROR(VLOOKUP($D1391,库存台账!$A$5:$Y$1204,11,0),0))</f>
        <v/>
      </c>
      <c r="S1391" s="26">
        <f>IF($D1391="","",ROUND(N($J1391)*N($R1391),0))</f>
        <v/>
      </c>
      <c r="T1391" s="26">
        <f>IF($D1391="","",IF($K1391&lt;&gt;"对外销售","",ROUND($Q1391-$S1391,0)))</f>
        <v/>
      </c>
      <c r="U1391" s="17" t="n"/>
      <c r="V1391" s="17" t="n"/>
      <c r="W1391" s="24">
        <f>IF($D1391="","",IF($E1391="※编码不在物料档案里","※物料编码不在档案里",IF(N($J1391)&lt;=0,"※出库数量要大于 0",IF($K1391="","※没填去向类型",IF($L1391="","※没填去向矿区",IF(AND($C1391&lt;&gt;"",$C1391&lt;=结账锁),"※日期早于已结账截止日，不能再录",IF(AND($K1391="自用消耗",COUNTIF({"一矿区";"二矿区"},$L1391)=0),"※自用消耗的去向只能是一矿区或二矿区",IF(AND($K1391="对外销售",COUNTIF({"三矿区";"六矿区"},$L1391)=0),"※对外销售的去向只能是三矿区或六矿区",IF(AND($K1391="对外销售",ROUND($Q1391,0)=0),"※外销却没有售价，请填实际售价",IF(AND($K1391="对外销售",$T1391&lt;&gt;"",$T1391&lt;0),"※这一笔外销是亏的，请核对售价",IF(IFERROR(VLOOKUP($D1391,库存台账!$A$5:$Y$1204,24,0),0)&lt;-0.001,"※这个物料账面已经变成负数了，查一下是不是漏记入库","")))))))))))</f>
        <v/>
      </c>
    </row>
    <row r="1392">
      <c r="A1392" s="24">
        <f>IF($D1392="","",COUNTA($D$4:$D1392))</f>
        <v/>
      </c>
      <c r="B1392" s="17" t="n"/>
      <c r="C1392" s="30" t="n"/>
      <c r="D1392" s="17" t="n"/>
      <c r="E1392" s="24">
        <f>IF($D1392="","",IFERROR(VLOOKUP($D1392,物料档案!$A$4:$P$1203,3,0),"※编码不在物料档案里"))</f>
        <v/>
      </c>
      <c r="F1392" s="24">
        <f>IF($D1392="","",IFERROR(VLOOKUP($D1392,物料档案!$A$4:$P$1203,4,0),"※编码不在物料档案里"))</f>
        <v/>
      </c>
      <c r="G1392" s="24">
        <f>IF($D1392="","",IFERROR(VLOOKUP($D1392,物料档案!$A$4:$P$1203,5,0),"※编码不在物料档案里"))</f>
        <v/>
      </c>
      <c r="H1392" s="24">
        <f>IF($D1392="","",IFERROR(VLOOKUP($D1392,物料档案!$A$4:$P$1203,2,0),"※编码不在物料档案里"))</f>
        <v/>
      </c>
      <c r="I1392" s="24">
        <f>IF($D1392="","",IFERROR(VLOOKUP($D1392,物料档案!$A$4:$P$1203,6,0),"※编码不在物料档案里"))</f>
        <v/>
      </c>
      <c r="J1392" s="23" t="n"/>
      <c r="K1392" s="17" t="n"/>
      <c r="L1392" s="17" t="n"/>
      <c r="M1392" s="17" t="n"/>
      <c r="N1392" s="17" t="n"/>
      <c r="O1392" s="26">
        <f>IF($D1392="","",IFERROR(VLOOKUP($D1392,物料档案!$A$4:$P$1203,10,0),0))</f>
        <v/>
      </c>
      <c r="P1392" s="32" t="n"/>
      <c r="Q1392" s="26">
        <f>IF($D1392="","",IF($K1392&lt;&gt;"对外销售",0,ROUND(N($J1392)*IF($P1392="",N($O1392),N($P1392)),0)))</f>
        <v/>
      </c>
      <c r="R1392" s="26">
        <f>IF($D1392="","",IFERROR(VLOOKUP($D1392,库存台账!$A$5:$Y$1204,11,0),0))</f>
        <v/>
      </c>
      <c r="S1392" s="26">
        <f>IF($D1392="","",ROUND(N($J1392)*N($R1392),0))</f>
        <v/>
      </c>
      <c r="T1392" s="26">
        <f>IF($D1392="","",IF($K1392&lt;&gt;"对外销售","",ROUND($Q1392-$S1392,0)))</f>
        <v/>
      </c>
      <c r="U1392" s="17" t="n"/>
      <c r="V1392" s="17" t="n"/>
      <c r="W1392" s="24">
        <f>IF($D1392="","",IF($E1392="※编码不在物料档案里","※物料编码不在档案里",IF(N($J1392)&lt;=0,"※出库数量要大于 0",IF($K1392="","※没填去向类型",IF($L1392="","※没填去向矿区",IF(AND($C1392&lt;&gt;"",$C1392&lt;=结账锁),"※日期早于已结账截止日，不能再录",IF(AND($K1392="自用消耗",COUNTIF({"一矿区";"二矿区"},$L1392)=0),"※自用消耗的去向只能是一矿区或二矿区",IF(AND($K1392="对外销售",COUNTIF({"三矿区";"六矿区"},$L1392)=0),"※对外销售的去向只能是三矿区或六矿区",IF(AND($K1392="对外销售",ROUND($Q1392,0)=0),"※外销却没有售价，请填实际售价",IF(AND($K1392="对外销售",$T1392&lt;&gt;"",$T1392&lt;0),"※这一笔外销是亏的，请核对售价",IF(IFERROR(VLOOKUP($D1392,库存台账!$A$5:$Y$1204,24,0),0)&lt;-0.001,"※这个物料账面已经变成负数了，查一下是不是漏记入库","")))))))))))</f>
        <v/>
      </c>
    </row>
    <row r="1393">
      <c r="A1393" s="24">
        <f>IF($D1393="","",COUNTA($D$4:$D1393))</f>
        <v/>
      </c>
      <c r="B1393" s="17" t="n"/>
      <c r="C1393" s="30" t="n"/>
      <c r="D1393" s="17" t="n"/>
      <c r="E1393" s="24">
        <f>IF($D1393="","",IFERROR(VLOOKUP($D1393,物料档案!$A$4:$P$1203,3,0),"※编码不在物料档案里"))</f>
        <v/>
      </c>
      <c r="F1393" s="24">
        <f>IF($D1393="","",IFERROR(VLOOKUP($D1393,物料档案!$A$4:$P$1203,4,0),"※编码不在物料档案里"))</f>
        <v/>
      </c>
      <c r="G1393" s="24">
        <f>IF($D1393="","",IFERROR(VLOOKUP($D1393,物料档案!$A$4:$P$1203,5,0),"※编码不在物料档案里"))</f>
        <v/>
      </c>
      <c r="H1393" s="24">
        <f>IF($D1393="","",IFERROR(VLOOKUP($D1393,物料档案!$A$4:$P$1203,2,0),"※编码不在物料档案里"))</f>
        <v/>
      </c>
      <c r="I1393" s="24">
        <f>IF($D1393="","",IFERROR(VLOOKUP($D1393,物料档案!$A$4:$P$1203,6,0),"※编码不在物料档案里"))</f>
        <v/>
      </c>
      <c r="J1393" s="23" t="n"/>
      <c r="K1393" s="17" t="n"/>
      <c r="L1393" s="17" t="n"/>
      <c r="M1393" s="17" t="n"/>
      <c r="N1393" s="17" t="n"/>
      <c r="O1393" s="26">
        <f>IF($D1393="","",IFERROR(VLOOKUP($D1393,物料档案!$A$4:$P$1203,10,0),0))</f>
        <v/>
      </c>
      <c r="P1393" s="32" t="n"/>
      <c r="Q1393" s="26">
        <f>IF($D1393="","",IF($K1393&lt;&gt;"对外销售",0,ROUND(N($J1393)*IF($P1393="",N($O1393),N($P1393)),0)))</f>
        <v/>
      </c>
      <c r="R1393" s="26">
        <f>IF($D1393="","",IFERROR(VLOOKUP($D1393,库存台账!$A$5:$Y$1204,11,0),0))</f>
        <v/>
      </c>
      <c r="S1393" s="26">
        <f>IF($D1393="","",ROUND(N($J1393)*N($R1393),0))</f>
        <v/>
      </c>
      <c r="T1393" s="26">
        <f>IF($D1393="","",IF($K1393&lt;&gt;"对外销售","",ROUND($Q1393-$S1393,0)))</f>
        <v/>
      </c>
      <c r="U1393" s="17" t="n"/>
      <c r="V1393" s="17" t="n"/>
      <c r="W1393" s="24">
        <f>IF($D1393="","",IF($E1393="※编码不在物料档案里","※物料编码不在档案里",IF(N($J1393)&lt;=0,"※出库数量要大于 0",IF($K1393="","※没填去向类型",IF($L1393="","※没填去向矿区",IF(AND($C1393&lt;&gt;"",$C1393&lt;=结账锁),"※日期早于已结账截止日，不能再录",IF(AND($K1393="自用消耗",COUNTIF({"一矿区";"二矿区"},$L1393)=0),"※自用消耗的去向只能是一矿区或二矿区",IF(AND($K1393="对外销售",COUNTIF({"三矿区";"六矿区"},$L1393)=0),"※对外销售的去向只能是三矿区或六矿区",IF(AND($K1393="对外销售",ROUND($Q1393,0)=0),"※外销却没有售价，请填实际售价",IF(AND($K1393="对外销售",$T1393&lt;&gt;"",$T1393&lt;0),"※这一笔外销是亏的，请核对售价",IF(IFERROR(VLOOKUP($D1393,库存台账!$A$5:$Y$1204,24,0),0)&lt;-0.001,"※这个物料账面已经变成负数了，查一下是不是漏记入库","")))))))))))</f>
        <v/>
      </c>
    </row>
    <row r="1394">
      <c r="A1394" s="24">
        <f>IF($D1394="","",COUNTA($D$4:$D1394))</f>
        <v/>
      </c>
      <c r="B1394" s="17" t="n"/>
      <c r="C1394" s="30" t="n"/>
      <c r="D1394" s="17" t="n"/>
      <c r="E1394" s="24">
        <f>IF($D1394="","",IFERROR(VLOOKUP($D1394,物料档案!$A$4:$P$1203,3,0),"※编码不在物料档案里"))</f>
        <v/>
      </c>
      <c r="F1394" s="24">
        <f>IF($D1394="","",IFERROR(VLOOKUP($D1394,物料档案!$A$4:$P$1203,4,0),"※编码不在物料档案里"))</f>
        <v/>
      </c>
      <c r="G1394" s="24">
        <f>IF($D1394="","",IFERROR(VLOOKUP($D1394,物料档案!$A$4:$P$1203,5,0),"※编码不在物料档案里"))</f>
        <v/>
      </c>
      <c r="H1394" s="24">
        <f>IF($D1394="","",IFERROR(VLOOKUP($D1394,物料档案!$A$4:$P$1203,2,0),"※编码不在物料档案里"))</f>
        <v/>
      </c>
      <c r="I1394" s="24">
        <f>IF($D1394="","",IFERROR(VLOOKUP($D1394,物料档案!$A$4:$P$1203,6,0),"※编码不在物料档案里"))</f>
        <v/>
      </c>
      <c r="J1394" s="23" t="n"/>
      <c r="K1394" s="17" t="n"/>
      <c r="L1394" s="17" t="n"/>
      <c r="M1394" s="17" t="n"/>
      <c r="N1394" s="17" t="n"/>
      <c r="O1394" s="26">
        <f>IF($D1394="","",IFERROR(VLOOKUP($D1394,物料档案!$A$4:$P$1203,10,0),0))</f>
        <v/>
      </c>
      <c r="P1394" s="32" t="n"/>
      <c r="Q1394" s="26">
        <f>IF($D1394="","",IF($K1394&lt;&gt;"对外销售",0,ROUND(N($J1394)*IF($P1394="",N($O1394),N($P1394)),0)))</f>
        <v/>
      </c>
      <c r="R1394" s="26">
        <f>IF($D1394="","",IFERROR(VLOOKUP($D1394,库存台账!$A$5:$Y$1204,11,0),0))</f>
        <v/>
      </c>
      <c r="S1394" s="26">
        <f>IF($D1394="","",ROUND(N($J1394)*N($R1394),0))</f>
        <v/>
      </c>
      <c r="T1394" s="26">
        <f>IF($D1394="","",IF($K1394&lt;&gt;"对外销售","",ROUND($Q1394-$S1394,0)))</f>
        <v/>
      </c>
      <c r="U1394" s="17" t="n"/>
      <c r="V1394" s="17" t="n"/>
      <c r="W1394" s="24">
        <f>IF($D1394="","",IF($E1394="※编码不在物料档案里","※物料编码不在档案里",IF(N($J1394)&lt;=0,"※出库数量要大于 0",IF($K1394="","※没填去向类型",IF($L1394="","※没填去向矿区",IF(AND($C1394&lt;&gt;"",$C1394&lt;=结账锁),"※日期早于已结账截止日，不能再录",IF(AND($K1394="自用消耗",COUNTIF({"一矿区";"二矿区"},$L1394)=0),"※自用消耗的去向只能是一矿区或二矿区",IF(AND($K1394="对外销售",COUNTIF({"三矿区";"六矿区"},$L1394)=0),"※对外销售的去向只能是三矿区或六矿区",IF(AND($K1394="对外销售",ROUND($Q1394,0)=0),"※外销却没有售价，请填实际售价",IF(AND($K1394="对外销售",$T1394&lt;&gt;"",$T1394&lt;0),"※这一笔外销是亏的，请核对售价",IF(IFERROR(VLOOKUP($D1394,库存台账!$A$5:$Y$1204,24,0),0)&lt;-0.001,"※这个物料账面已经变成负数了，查一下是不是漏记入库","")))))))))))</f>
        <v/>
      </c>
    </row>
    <row r="1395">
      <c r="A1395" s="24">
        <f>IF($D1395="","",COUNTA($D$4:$D1395))</f>
        <v/>
      </c>
      <c r="B1395" s="17" t="n"/>
      <c r="C1395" s="30" t="n"/>
      <c r="D1395" s="17" t="n"/>
      <c r="E1395" s="24">
        <f>IF($D1395="","",IFERROR(VLOOKUP($D1395,物料档案!$A$4:$P$1203,3,0),"※编码不在物料档案里"))</f>
        <v/>
      </c>
      <c r="F1395" s="24">
        <f>IF($D1395="","",IFERROR(VLOOKUP($D1395,物料档案!$A$4:$P$1203,4,0),"※编码不在物料档案里"))</f>
        <v/>
      </c>
      <c r="G1395" s="24">
        <f>IF($D1395="","",IFERROR(VLOOKUP($D1395,物料档案!$A$4:$P$1203,5,0),"※编码不在物料档案里"))</f>
        <v/>
      </c>
      <c r="H1395" s="24">
        <f>IF($D1395="","",IFERROR(VLOOKUP($D1395,物料档案!$A$4:$P$1203,2,0),"※编码不在物料档案里"))</f>
        <v/>
      </c>
      <c r="I1395" s="24">
        <f>IF($D1395="","",IFERROR(VLOOKUP($D1395,物料档案!$A$4:$P$1203,6,0),"※编码不在物料档案里"))</f>
        <v/>
      </c>
      <c r="J1395" s="23" t="n"/>
      <c r="K1395" s="17" t="n"/>
      <c r="L1395" s="17" t="n"/>
      <c r="M1395" s="17" t="n"/>
      <c r="N1395" s="17" t="n"/>
      <c r="O1395" s="26">
        <f>IF($D1395="","",IFERROR(VLOOKUP($D1395,物料档案!$A$4:$P$1203,10,0),0))</f>
        <v/>
      </c>
      <c r="P1395" s="32" t="n"/>
      <c r="Q1395" s="26">
        <f>IF($D1395="","",IF($K1395&lt;&gt;"对外销售",0,ROUND(N($J1395)*IF($P1395="",N($O1395),N($P1395)),0)))</f>
        <v/>
      </c>
      <c r="R1395" s="26">
        <f>IF($D1395="","",IFERROR(VLOOKUP($D1395,库存台账!$A$5:$Y$1204,11,0),0))</f>
        <v/>
      </c>
      <c r="S1395" s="26">
        <f>IF($D1395="","",ROUND(N($J1395)*N($R1395),0))</f>
        <v/>
      </c>
      <c r="T1395" s="26">
        <f>IF($D1395="","",IF($K1395&lt;&gt;"对外销售","",ROUND($Q1395-$S1395,0)))</f>
        <v/>
      </c>
      <c r="U1395" s="17" t="n"/>
      <c r="V1395" s="17" t="n"/>
      <c r="W1395" s="24">
        <f>IF($D1395="","",IF($E1395="※编码不在物料档案里","※物料编码不在档案里",IF(N($J1395)&lt;=0,"※出库数量要大于 0",IF($K1395="","※没填去向类型",IF($L1395="","※没填去向矿区",IF(AND($C1395&lt;&gt;"",$C1395&lt;=结账锁),"※日期早于已结账截止日，不能再录",IF(AND($K1395="自用消耗",COUNTIF({"一矿区";"二矿区"},$L1395)=0),"※自用消耗的去向只能是一矿区或二矿区",IF(AND($K1395="对外销售",COUNTIF({"三矿区";"六矿区"},$L1395)=0),"※对外销售的去向只能是三矿区或六矿区",IF(AND($K1395="对外销售",ROUND($Q1395,0)=0),"※外销却没有售价，请填实际售价",IF(AND($K1395="对外销售",$T1395&lt;&gt;"",$T1395&lt;0),"※这一笔外销是亏的，请核对售价",IF(IFERROR(VLOOKUP($D1395,库存台账!$A$5:$Y$1204,24,0),0)&lt;-0.001,"※这个物料账面已经变成负数了，查一下是不是漏记入库","")))))))))))</f>
        <v/>
      </c>
    </row>
    <row r="1396">
      <c r="A1396" s="24">
        <f>IF($D1396="","",COUNTA($D$4:$D1396))</f>
        <v/>
      </c>
      <c r="B1396" s="17" t="n"/>
      <c r="C1396" s="30" t="n"/>
      <c r="D1396" s="17" t="n"/>
      <c r="E1396" s="24">
        <f>IF($D1396="","",IFERROR(VLOOKUP($D1396,物料档案!$A$4:$P$1203,3,0),"※编码不在物料档案里"))</f>
        <v/>
      </c>
      <c r="F1396" s="24">
        <f>IF($D1396="","",IFERROR(VLOOKUP($D1396,物料档案!$A$4:$P$1203,4,0),"※编码不在物料档案里"))</f>
        <v/>
      </c>
      <c r="G1396" s="24">
        <f>IF($D1396="","",IFERROR(VLOOKUP($D1396,物料档案!$A$4:$P$1203,5,0),"※编码不在物料档案里"))</f>
        <v/>
      </c>
      <c r="H1396" s="24">
        <f>IF($D1396="","",IFERROR(VLOOKUP($D1396,物料档案!$A$4:$P$1203,2,0),"※编码不在物料档案里"))</f>
        <v/>
      </c>
      <c r="I1396" s="24">
        <f>IF($D1396="","",IFERROR(VLOOKUP($D1396,物料档案!$A$4:$P$1203,6,0),"※编码不在物料档案里"))</f>
        <v/>
      </c>
      <c r="J1396" s="23" t="n"/>
      <c r="K1396" s="17" t="n"/>
      <c r="L1396" s="17" t="n"/>
      <c r="M1396" s="17" t="n"/>
      <c r="N1396" s="17" t="n"/>
      <c r="O1396" s="26">
        <f>IF($D1396="","",IFERROR(VLOOKUP($D1396,物料档案!$A$4:$P$1203,10,0),0))</f>
        <v/>
      </c>
      <c r="P1396" s="32" t="n"/>
      <c r="Q1396" s="26">
        <f>IF($D1396="","",IF($K1396&lt;&gt;"对外销售",0,ROUND(N($J1396)*IF($P1396="",N($O1396),N($P1396)),0)))</f>
        <v/>
      </c>
      <c r="R1396" s="26">
        <f>IF($D1396="","",IFERROR(VLOOKUP($D1396,库存台账!$A$5:$Y$1204,11,0),0))</f>
        <v/>
      </c>
      <c r="S1396" s="26">
        <f>IF($D1396="","",ROUND(N($J1396)*N($R1396),0))</f>
        <v/>
      </c>
      <c r="T1396" s="26">
        <f>IF($D1396="","",IF($K1396&lt;&gt;"对外销售","",ROUND($Q1396-$S1396,0)))</f>
        <v/>
      </c>
      <c r="U1396" s="17" t="n"/>
      <c r="V1396" s="17" t="n"/>
      <c r="W1396" s="24">
        <f>IF($D1396="","",IF($E1396="※编码不在物料档案里","※物料编码不在档案里",IF(N($J1396)&lt;=0,"※出库数量要大于 0",IF($K1396="","※没填去向类型",IF($L1396="","※没填去向矿区",IF(AND($C1396&lt;&gt;"",$C1396&lt;=结账锁),"※日期早于已结账截止日，不能再录",IF(AND($K1396="自用消耗",COUNTIF({"一矿区";"二矿区"},$L1396)=0),"※自用消耗的去向只能是一矿区或二矿区",IF(AND($K1396="对外销售",COUNTIF({"三矿区";"六矿区"},$L1396)=0),"※对外销售的去向只能是三矿区或六矿区",IF(AND($K1396="对外销售",ROUND($Q1396,0)=0),"※外销却没有售价，请填实际售价",IF(AND($K1396="对外销售",$T1396&lt;&gt;"",$T1396&lt;0),"※这一笔外销是亏的，请核对售价",IF(IFERROR(VLOOKUP($D1396,库存台账!$A$5:$Y$1204,24,0),0)&lt;-0.001,"※这个物料账面已经变成负数了，查一下是不是漏记入库","")))))))))))</f>
        <v/>
      </c>
    </row>
    <row r="1397">
      <c r="A1397" s="24">
        <f>IF($D1397="","",COUNTA($D$4:$D1397))</f>
        <v/>
      </c>
      <c r="B1397" s="17" t="n"/>
      <c r="C1397" s="30" t="n"/>
      <c r="D1397" s="17" t="n"/>
      <c r="E1397" s="24">
        <f>IF($D1397="","",IFERROR(VLOOKUP($D1397,物料档案!$A$4:$P$1203,3,0),"※编码不在物料档案里"))</f>
        <v/>
      </c>
      <c r="F1397" s="24">
        <f>IF($D1397="","",IFERROR(VLOOKUP($D1397,物料档案!$A$4:$P$1203,4,0),"※编码不在物料档案里"))</f>
        <v/>
      </c>
      <c r="G1397" s="24">
        <f>IF($D1397="","",IFERROR(VLOOKUP($D1397,物料档案!$A$4:$P$1203,5,0),"※编码不在物料档案里"))</f>
        <v/>
      </c>
      <c r="H1397" s="24">
        <f>IF($D1397="","",IFERROR(VLOOKUP($D1397,物料档案!$A$4:$P$1203,2,0),"※编码不在物料档案里"))</f>
        <v/>
      </c>
      <c r="I1397" s="24">
        <f>IF($D1397="","",IFERROR(VLOOKUP($D1397,物料档案!$A$4:$P$1203,6,0),"※编码不在物料档案里"))</f>
        <v/>
      </c>
      <c r="J1397" s="23" t="n"/>
      <c r="K1397" s="17" t="n"/>
      <c r="L1397" s="17" t="n"/>
      <c r="M1397" s="17" t="n"/>
      <c r="N1397" s="17" t="n"/>
      <c r="O1397" s="26">
        <f>IF($D1397="","",IFERROR(VLOOKUP($D1397,物料档案!$A$4:$P$1203,10,0),0))</f>
        <v/>
      </c>
      <c r="P1397" s="32" t="n"/>
      <c r="Q1397" s="26">
        <f>IF($D1397="","",IF($K1397&lt;&gt;"对外销售",0,ROUND(N($J1397)*IF($P1397="",N($O1397),N($P1397)),0)))</f>
        <v/>
      </c>
      <c r="R1397" s="26">
        <f>IF($D1397="","",IFERROR(VLOOKUP($D1397,库存台账!$A$5:$Y$1204,11,0),0))</f>
        <v/>
      </c>
      <c r="S1397" s="26">
        <f>IF($D1397="","",ROUND(N($J1397)*N($R1397),0))</f>
        <v/>
      </c>
      <c r="T1397" s="26">
        <f>IF($D1397="","",IF($K1397&lt;&gt;"对外销售","",ROUND($Q1397-$S1397,0)))</f>
        <v/>
      </c>
      <c r="U1397" s="17" t="n"/>
      <c r="V1397" s="17" t="n"/>
      <c r="W1397" s="24">
        <f>IF($D1397="","",IF($E1397="※编码不在物料档案里","※物料编码不在档案里",IF(N($J1397)&lt;=0,"※出库数量要大于 0",IF($K1397="","※没填去向类型",IF($L1397="","※没填去向矿区",IF(AND($C1397&lt;&gt;"",$C1397&lt;=结账锁),"※日期早于已结账截止日，不能再录",IF(AND($K1397="自用消耗",COUNTIF({"一矿区";"二矿区"},$L1397)=0),"※自用消耗的去向只能是一矿区或二矿区",IF(AND($K1397="对外销售",COUNTIF({"三矿区";"六矿区"},$L1397)=0),"※对外销售的去向只能是三矿区或六矿区",IF(AND($K1397="对外销售",ROUND($Q1397,0)=0),"※外销却没有售价，请填实际售价",IF(AND($K1397="对外销售",$T1397&lt;&gt;"",$T1397&lt;0),"※这一笔外销是亏的，请核对售价",IF(IFERROR(VLOOKUP($D1397,库存台账!$A$5:$Y$1204,24,0),0)&lt;-0.001,"※这个物料账面已经变成负数了，查一下是不是漏记入库","")))))))))))</f>
        <v/>
      </c>
    </row>
    <row r="1398">
      <c r="A1398" s="24">
        <f>IF($D1398="","",COUNTA($D$4:$D1398))</f>
        <v/>
      </c>
      <c r="B1398" s="17" t="n"/>
      <c r="C1398" s="30" t="n"/>
      <c r="D1398" s="17" t="n"/>
      <c r="E1398" s="24">
        <f>IF($D1398="","",IFERROR(VLOOKUP($D1398,物料档案!$A$4:$P$1203,3,0),"※编码不在物料档案里"))</f>
        <v/>
      </c>
      <c r="F1398" s="24">
        <f>IF($D1398="","",IFERROR(VLOOKUP($D1398,物料档案!$A$4:$P$1203,4,0),"※编码不在物料档案里"))</f>
        <v/>
      </c>
      <c r="G1398" s="24">
        <f>IF($D1398="","",IFERROR(VLOOKUP($D1398,物料档案!$A$4:$P$1203,5,0),"※编码不在物料档案里"))</f>
        <v/>
      </c>
      <c r="H1398" s="24">
        <f>IF($D1398="","",IFERROR(VLOOKUP($D1398,物料档案!$A$4:$P$1203,2,0),"※编码不在物料档案里"))</f>
        <v/>
      </c>
      <c r="I1398" s="24">
        <f>IF($D1398="","",IFERROR(VLOOKUP($D1398,物料档案!$A$4:$P$1203,6,0),"※编码不在物料档案里"))</f>
        <v/>
      </c>
      <c r="J1398" s="23" t="n"/>
      <c r="K1398" s="17" t="n"/>
      <c r="L1398" s="17" t="n"/>
      <c r="M1398" s="17" t="n"/>
      <c r="N1398" s="17" t="n"/>
      <c r="O1398" s="26">
        <f>IF($D1398="","",IFERROR(VLOOKUP($D1398,物料档案!$A$4:$P$1203,10,0),0))</f>
        <v/>
      </c>
      <c r="P1398" s="32" t="n"/>
      <c r="Q1398" s="26">
        <f>IF($D1398="","",IF($K1398&lt;&gt;"对外销售",0,ROUND(N($J1398)*IF($P1398="",N($O1398),N($P1398)),0)))</f>
        <v/>
      </c>
      <c r="R1398" s="26">
        <f>IF($D1398="","",IFERROR(VLOOKUP($D1398,库存台账!$A$5:$Y$1204,11,0),0))</f>
        <v/>
      </c>
      <c r="S1398" s="26">
        <f>IF($D1398="","",ROUND(N($J1398)*N($R1398),0))</f>
        <v/>
      </c>
      <c r="T1398" s="26">
        <f>IF($D1398="","",IF($K1398&lt;&gt;"对外销售","",ROUND($Q1398-$S1398,0)))</f>
        <v/>
      </c>
      <c r="U1398" s="17" t="n"/>
      <c r="V1398" s="17" t="n"/>
      <c r="W1398" s="24">
        <f>IF($D1398="","",IF($E1398="※编码不在物料档案里","※物料编码不在档案里",IF(N($J1398)&lt;=0,"※出库数量要大于 0",IF($K1398="","※没填去向类型",IF($L1398="","※没填去向矿区",IF(AND($C1398&lt;&gt;"",$C1398&lt;=结账锁),"※日期早于已结账截止日，不能再录",IF(AND($K1398="自用消耗",COUNTIF({"一矿区";"二矿区"},$L1398)=0),"※自用消耗的去向只能是一矿区或二矿区",IF(AND($K1398="对外销售",COUNTIF({"三矿区";"六矿区"},$L1398)=0),"※对外销售的去向只能是三矿区或六矿区",IF(AND($K1398="对外销售",ROUND($Q1398,0)=0),"※外销却没有售价，请填实际售价",IF(AND($K1398="对外销售",$T1398&lt;&gt;"",$T1398&lt;0),"※这一笔外销是亏的，请核对售价",IF(IFERROR(VLOOKUP($D1398,库存台账!$A$5:$Y$1204,24,0),0)&lt;-0.001,"※这个物料账面已经变成负数了，查一下是不是漏记入库","")))))))))))</f>
        <v/>
      </c>
    </row>
    <row r="1399">
      <c r="A1399" s="24">
        <f>IF($D1399="","",COUNTA($D$4:$D1399))</f>
        <v/>
      </c>
      <c r="B1399" s="17" t="n"/>
      <c r="C1399" s="30" t="n"/>
      <c r="D1399" s="17" t="n"/>
      <c r="E1399" s="24">
        <f>IF($D1399="","",IFERROR(VLOOKUP($D1399,物料档案!$A$4:$P$1203,3,0),"※编码不在物料档案里"))</f>
        <v/>
      </c>
      <c r="F1399" s="24">
        <f>IF($D1399="","",IFERROR(VLOOKUP($D1399,物料档案!$A$4:$P$1203,4,0),"※编码不在物料档案里"))</f>
        <v/>
      </c>
      <c r="G1399" s="24">
        <f>IF($D1399="","",IFERROR(VLOOKUP($D1399,物料档案!$A$4:$P$1203,5,0),"※编码不在物料档案里"))</f>
        <v/>
      </c>
      <c r="H1399" s="24">
        <f>IF($D1399="","",IFERROR(VLOOKUP($D1399,物料档案!$A$4:$P$1203,2,0),"※编码不在物料档案里"))</f>
        <v/>
      </c>
      <c r="I1399" s="24">
        <f>IF($D1399="","",IFERROR(VLOOKUP($D1399,物料档案!$A$4:$P$1203,6,0),"※编码不在物料档案里"))</f>
        <v/>
      </c>
      <c r="J1399" s="23" t="n"/>
      <c r="K1399" s="17" t="n"/>
      <c r="L1399" s="17" t="n"/>
      <c r="M1399" s="17" t="n"/>
      <c r="N1399" s="17" t="n"/>
      <c r="O1399" s="26">
        <f>IF($D1399="","",IFERROR(VLOOKUP($D1399,物料档案!$A$4:$P$1203,10,0),0))</f>
        <v/>
      </c>
      <c r="P1399" s="32" t="n"/>
      <c r="Q1399" s="26">
        <f>IF($D1399="","",IF($K1399&lt;&gt;"对外销售",0,ROUND(N($J1399)*IF($P1399="",N($O1399),N($P1399)),0)))</f>
        <v/>
      </c>
      <c r="R1399" s="26">
        <f>IF($D1399="","",IFERROR(VLOOKUP($D1399,库存台账!$A$5:$Y$1204,11,0),0))</f>
        <v/>
      </c>
      <c r="S1399" s="26">
        <f>IF($D1399="","",ROUND(N($J1399)*N($R1399),0))</f>
        <v/>
      </c>
      <c r="T1399" s="26">
        <f>IF($D1399="","",IF($K1399&lt;&gt;"对外销售","",ROUND($Q1399-$S1399,0)))</f>
        <v/>
      </c>
      <c r="U1399" s="17" t="n"/>
      <c r="V1399" s="17" t="n"/>
      <c r="W1399" s="24">
        <f>IF($D1399="","",IF($E1399="※编码不在物料档案里","※物料编码不在档案里",IF(N($J1399)&lt;=0,"※出库数量要大于 0",IF($K1399="","※没填去向类型",IF($L1399="","※没填去向矿区",IF(AND($C1399&lt;&gt;"",$C1399&lt;=结账锁),"※日期早于已结账截止日，不能再录",IF(AND($K1399="自用消耗",COUNTIF({"一矿区";"二矿区"},$L1399)=0),"※自用消耗的去向只能是一矿区或二矿区",IF(AND($K1399="对外销售",COUNTIF({"三矿区";"六矿区"},$L1399)=0),"※对外销售的去向只能是三矿区或六矿区",IF(AND($K1399="对外销售",ROUND($Q1399,0)=0),"※外销却没有售价，请填实际售价",IF(AND($K1399="对外销售",$T1399&lt;&gt;"",$T1399&lt;0),"※这一笔外销是亏的，请核对售价",IF(IFERROR(VLOOKUP($D1399,库存台账!$A$5:$Y$1204,24,0),0)&lt;-0.001,"※这个物料账面已经变成负数了，查一下是不是漏记入库","")))))))))))</f>
        <v/>
      </c>
    </row>
    <row r="1400">
      <c r="A1400" s="24">
        <f>IF($D1400="","",COUNTA($D$4:$D1400))</f>
        <v/>
      </c>
      <c r="B1400" s="17" t="n"/>
      <c r="C1400" s="30" t="n"/>
      <c r="D1400" s="17" t="n"/>
      <c r="E1400" s="24">
        <f>IF($D1400="","",IFERROR(VLOOKUP($D1400,物料档案!$A$4:$P$1203,3,0),"※编码不在物料档案里"))</f>
        <v/>
      </c>
      <c r="F1400" s="24">
        <f>IF($D1400="","",IFERROR(VLOOKUP($D1400,物料档案!$A$4:$P$1203,4,0),"※编码不在物料档案里"))</f>
        <v/>
      </c>
      <c r="G1400" s="24">
        <f>IF($D1400="","",IFERROR(VLOOKUP($D1400,物料档案!$A$4:$P$1203,5,0),"※编码不在物料档案里"))</f>
        <v/>
      </c>
      <c r="H1400" s="24">
        <f>IF($D1400="","",IFERROR(VLOOKUP($D1400,物料档案!$A$4:$P$1203,2,0),"※编码不在物料档案里"))</f>
        <v/>
      </c>
      <c r="I1400" s="24">
        <f>IF($D1400="","",IFERROR(VLOOKUP($D1400,物料档案!$A$4:$P$1203,6,0),"※编码不在物料档案里"))</f>
        <v/>
      </c>
      <c r="J1400" s="23" t="n"/>
      <c r="K1400" s="17" t="n"/>
      <c r="L1400" s="17" t="n"/>
      <c r="M1400" s="17" t="n"/>
      <c r="N1400" s="17" t="n"/>
      <c r="O1400" s="26">
        <f>IF($D1400="","",IFERROR(VLOOKUP($D1400,物料档案!$A$4:$P$1203,10,0),0))</f>
        <v/>
      </c>
      <c r="P1400" s="32" t="n"/>
      <c r="Q1400" s="26">
        <f>IF($D1400="","",IF($K1400&lt;&gt;"对外销售",0,ROUND(N($J1400)*IF($P1400="",N($O1400),N($P1400)),0)))</f>
        <v/>
      </c>
      <c r="R1400" s="26">
        <f>IF($D1400="","",IFERROR(VLOOKUP($D1400,库存台账!$A$5:$Y$1204,11,0),0))</f>
        <v/>
      </c>
      <c r="S1400" s="26">
        <f>IF($D1400="","",ROUND(N($J1400)*N($R1400),0))</f>
        <v/>
      </c>
      <c r="T1400" s="26">
        <f>IF($D1400="","",IF($K1400&lt;&gt;"对外销售","",ROUND($Q1400-$S1400,0)))</f>
        <v/>
      </c>
      <c r="U1400" s="17" t="n"/>
      <c r="V1400" s="17" t="n"/>
      <c r="W1400" s="24">
        <f>IF($D1400="","",IF($E1400="※编码不在物料档案里","※物料编码不在档案里",IF(N($J1400)&lt;=0,"※出库数量要大于 0",IF($K1400="","※没填去向类型",IF($L1400="","※没填去向矿区",IF(AND($C1400&lt;&gt;"",$C1400&lt;=结账锁),"※日期早于已结账截止日，不能再录",IF(AND($K1400="自用消耗",COUNTIF({"一矿区";"二矿区"},$L1400)=0),"※自用消耗的去向只能是一矿区或二矿区",IF(AND($K1400="对外销售",COUNTIF({"三矿区";"六矿区"},$L1400)=0),"※对外销售的去向只能是三矿区或六矿区",IF(AND($K1400="对外销售",ROUND($Q1400,0)=0),"※外销却没有售价，请填实际售价",IF(AND($K1400="对外销售",$T1400&lt;&gt;"",$T1400&lt;0),"※这一笔外销是亏的，请核对售价",IF(IFERROR(VLOOKUP($D1400,库存台账!$A$5:$Y$1204,24,0),0)&lt;-0.001,"※这个物料账面已经变成负数了，查一下是不是漏记入库","")))))))))))</f>
        <v/>
      </c>
    </row>
    <row r="1401">
      <c r="A1401" s="24">
        <f>IF($D1401="","",COUNTA($D$4:$D1401))</f>
        <v/>
      </c>
      <c r="B1401" s="17" t="n"/>
      <c r="C1401" s="30" t="n"/>
      <c r="D1401" s="17" t="n"/>
      <c r="E1401" s="24">
        <f>IF($D1401="","",IFERROR(VLOOKUP($D1401,物料档案!$A$4:$P$1203,3,0),"※编码不在物料档案里"))</f>
        <v/>
      </c>
      <c r="F1401" s="24">
        <f>IF($D1401="","",IFERROR(VLOOKUP($D1401,物料档案!$A$4:$P$1203,4,0),"※编码不在物料档案里"))</f>
        <v/>
      </c>
      <c r="G1401" s="24">
        <f>IF($D1401="","",IFERROR(VLOOKUP($D1401,物料档案!$A$4:$P$1203,5,0),"※编码不在物料档案里"))</f>
        <v/>
      </c>
      <c r="H1401" s="24">
        <f>IF($D1401="","",IFERROR(VLOOKUP($D1401,物料档案!$A$4:$P$1203,2,0),"※编码不在物料档案里"))</f>
        <v/>
      </c>
      <c r="I1401" s="24">
        <f>IF($D1401="","",IFERROR(VLOOKUP($D1401,物料档案!$A$4:$P$1203,6,0),"※编码不在物料档案里"))</f>
        <v/>
      </c>
      <c r="J1401" s="23" t="n"/>
      <c r="K1401" s="17" t="n"/>
      <c r="L1401" s="17" t="n"/>
      <c r="M1401" s="17" t="n"/>
      <c r="N1401" s="17" t="n"/>
      <c r="O1401" s="26">
        <f>IF($D1401="","",IFERROR(VLOOKUP($D1401,物料档案!$A$4:$P$1203,10,0),0))</f>
        <v/>
      </c>
      <c r="P1401" s="32" t="n"/>
      <c r="Q1401" s="26">
        <f>IF($D1401="","",IF($K1401&lt;&gt;"对外销售",0,ROUND(N($J1401)*IF($P1401="",N($O1401),N($P1401)),0)))</f>
        <v/>
      </c>
      <c r="R1401" s="26">
        <f>IF($D1401="","",IFERROR(VLOOKUP($D1401,库存台账!$A$5:$Y$1204,11,0),0))</f>
        <v/>
      </c>
      <c r="S1401" s="26">
        <f>IF($D1401="","",ROUND(N($J1401)*N($R1401),0))</f>
        <v/>
      </c>
      <c r="T1401" s="26">
        <f>IF($D1401="","",IF($K1401&lt;&gt;"对外销售","",ROUND($Q1401-$S1401,0)))</f>
        <v/>
      </c>
      <c r="U1401" s="17" t="n"/>
      <c r="V1401" s="17" t="n"/>
      <c r="W1401" s="24">
        <f>IF($D1401="","",IF($E1401="※编码不在物料档案里","※物料编码不在档案里",IF(N($J1401)&lt;=0,"※出库数量要大于 0",IF($K1401="","※没填去向类型",IF($L1401="","※没填去向矿区",IF(AND($C1401&lt;&gt;"",$C1401&lt;=结账锁),"※日期早于已结账截止日，不能再录",IF(AND($K1401="自用消耗",COUNTIF({"一矿区";"二矿区"},$L1401)=0),"※自用消耗的去向只能是一矿区或二矿区",IF(AND($K1401="对外销售",COUNTIF({"三矿区";"六矿区"},$L1401)=0),"※对外销售的去向只能是三矿区或六矿区",IF(AND($K1401="对外销售",ROUND($Q1401,0)=0),"※外销却没有售价，请填实际售价",IF(AND($K1401="对外销售",$T1401&lt;&gt;"",$T1401&lt;0),"※这一笔外销是亏的，请核对售价",IF(IFERROR(VLOOKUP($D1401,库存台账!$A$5:$Y$1204,24,0),0)&lt;-0.001,"※这个物料账面已经变成负数了，查一下是不是漏记入库","")))))))))))</f>
        <v/>
      </c>
    </row>
    <row r="1402">
      <c r="A1402" s="24">
        <f>IF($D1402="","",COUNTA($D$4:$D1402))</f>
        <v/>
      </c>
      <c r="B1402" s="17" t="n"/>
      <c r="C1402" s="30" t="n"/>
      <c r="D1402" s="17" t="n"/>
      <c r="E1402" s="24">
        <f>IF($D1402="","",IFERROR(VLOOKUP($D1402,物料档案!$A$4:$P$1203,3,0),"※编码不在物料档案里"))</f>
        <v/>
      </c>
      <c r="F1402" s="24">
        <f>IF($D1402="","",IFERROR(VLOOKUP($D1402,物料档案!$A$4:$P$1203,4,0),"※编码不在物料档案里"))</f>
        <v/>
      </c>
      <c r="G1402" s="24">
        <f>IF($D1402="","",IFERROR(VLOOKUP($D1402,物料档案!$A$4:$P$1203,5,0),"※编码不在物料档案里"))</f>
        <v/>
      </c>
      <c r="H1402" s="24">
        <f>IF($D1402="","",IFERROR(VLOOKUP($D1402,物料档案!$A$4:$P$1203,2,0),"※编码不在物料档案里"))</f>
        <v/>
      </c>
      <c r="I1402" s="24">
        <f>IF($D1402="","",IFERROR(VLOOKUP($D1402,物料档案!$A$4:$P$1203,6,0),"※编码不在物料档案里"))</f>
        <v/>
      </c>
      <c r="J1402" s="23" t="n"/>
      <c r="K1402" s="17" t="n"/>
      <c r="L1402" s="17" t="n"/>
      <c r="M1402" s="17" t="n"/>
      <c r="N1402" s="17" t="n"/>
      <c r="O1402" s="26">
        <f>IF($D1402="","",IFERROR(VLOOKUP($D1402,物料档案!$A$4:$P$1203,10,0),0))</f>
        <v/>
      </c>
      <c r="P1402" s="32" t="n"/>
      <c r="Q1402" s="26">
        <f>IF($D1402="","",IF($K1402&lt;&gt;"对外销售",0,ROUND(N($J1402)*IF($P1402="",N($O1402),N($P1402)),0)))</f>
        <v/>
      </c>
      <c r="R1402" s="26">
        <f>IF($D1402="","",IFERROR(VLOOKUP($D1402,库存台账!$A$5:$Y$1204,11,0),0))</f>
        <v/>
      </c>
      <c r="S1402" s="26">
        <f>IF($D1402="","",ROUND(N($J1402)*N($R1402),0))</f>
        <v/>
      </c>
      <c r="T1402" s="26">
        <f>IF($D1402="","",IF($K1402&lt;&gt;"对外销售","",ROUND($Q1402-$S1402,0)))</f>
        <v/>
      </c>
      <c r="U1402" s="17" t="n"/>
      <c r="V1402" s="17" t="n"/>
      <c r="W1402" s="24">
        <f>IF($D1402="","",IF($E1402="※编码不在物料档案里","※物料编码不在档案里",IF(N($J1402)&lt;=0,"※出库数量要大于 0",IF($K1402="","※没填去向类型",IF($L1402="","※没填去向矿区",IF(AND($C1402&lt;&gt;"",$C1402&lt;=结账锁),"※日期早于已结账截止日，不能再录",IF(AND($K1402="自用消耗",COUNTIF({"一矿区";"二矿区"},$L1402)=0),"※自用消耗的去向只能是一矿区或二矿区",IF(AND($K1402="对外销售",COUNTIF({"三矿区";"六矿区"},$L1402)=0),"※对外销售的去向只能是三矿区或六矿区",IF(AND($K1402="对外销售",ROUND($Q1402,0)=0),"※外销却没有售价，请填实际售价",IF(AND($K1402="对外销售",$T1402&lt;&gt;"",$T1402&lt;0),"※这一笔外销是亏的，请核对售价",IF(IFERROR(VLOOKUP($D1402,库存台账!$A$5:$Y$1204,24,0),0)&lt;-0.001,"※这个物料账面已经变成负数了，查一下是不是漏记入库","")))))))))))</f>
        <v/>
      </c>
    </row>
    <row r="1403">
      <c r="A1403" s="24">
        <f>IF($D1403="","",COUNTA($D$4:$D1403))</f>
        <v/>
      </c>
      <c r="B1403" s="17" t="n"/>
      <c r="C1403" s="30" t="n"/>
      <c r="D1403" s="17" t="n"/>
      <c r="E1403" s="24">
        <f>IF($D1403="","",IFERROR(VLOOKUP($D1403,物料档案!$A$4:$P$1203,3,0),"※编码不在物料档案里"))</f>
        <v/>
      </c>
      <c r="F1403" s="24">
        <f>IF($D1403="","",IFERROR(VLOOKUP($D1403,物料档案!$A$4:$P$1203,4,0),"※编码不在物料档案里"))</f>
        <v/>
      </c>
      <c r="G1403" s="24">
        <f>IF($D1403="","",IFERROR(VLOOKUP($D1403,物料档案!$A$4:$P$1203,5,0),"※编码不在物料档案里"))</f>
        <v/>
      </c>
      <c r="H1403" s="24">
        <f>IF($D1403="","",IFERROR(VLOOKUP($D1403,物料档案!$A$4:$P$1203,2,0),"※编码不在物料档案里"))</f>
        <v/>
      </c>
      <c r="I1403" s="24">
        <f>IF($D1403="","",IFERROR(VLOOKUP($D1403,物料档案!$A$4:$P$1203,6,0),"※编码不在物料档案里"))</f>
        <v/>
      </c>
      <c r="J1403" s="23" t="n"/>
      <c r="K1403" s="17" t="n"/>
      <c r="L1403" s="17" t="n"/>
      <c r="M1403" s="17" t="n"/>
      <c r="N1403" s="17" t="n"/>
      <c r="O1403" s="26">
        <f>IF($D1403="","",IFERROR(VLOOKUP($D1403,物料档案!$A$4:$P$1203,10,0),0))</f>
        <v/>
      </c>
      <c r="P1403" s="32" t="n"/>
      <c r="Q1403" s="26">
        <f>IF($D1403="","",IF($K1403&lt;&gt;"对外销售",0,ROUND(N($J1403)*IF($P1403="",N($O1403),N($P1403)),0)))</f>
        <v/>
      </c>
      <c r="R1403" s="26">
        <f>IF($D1403="","",IFERROR(VLOOKUP($D1403,库存台账!$A$5:$Y$1204,11,0),0))</f>
        <v/>
      </c>
      <c r="S1403" s="26">
        <f>IF($D1403="","",ROUND(N($J1403)*N($R1403),0))</f>
        <v/>
      </c>
      <c r="T1403" s="26">
        <f>IF($D1403="","",IF($K1403&lt;&gt;"对外销售","",ROUND($Q1403-$S1403,0)))</f>
        <v/>
      </c>
      <c r="U1403" s="17" t="n"/>
      <c r="V1403" s="17" t="n"/>
      <c r="W1403" s="24">
        <f>IF($D1403="","",IF($E1403="※编码不在物料档案里","※物料编码不在档案里",IF(N($J1403)&lt;=0,"※出库数量要大于 0",IF($K1403="","※没填去向类型",IF($L1403="","※没填去向矿区",IF(AND($C1403&lt;&gt;"",$C1403&lt;=结账锁),"※日期早于已结账截止日，不能再录",IF(AND($K1403="自用消耗",COUNTIF({"一矿区";"二矿区"},$L1403)=0),"※自用消耗的去向只能是一矿区或二矿区",IF(AND($K1403="对外销售",COUNTIF({"三矿区";"六矿区"},$L1403)=0),"※对外销售的去向只能是三矿区或六矿区",IF(AND($K1403="对外销售",ROUND($Q1403,0)=0),"※外销却没有售价，请填实际售价",IF(AND($K1403="对外销售",$T1403&lt;&gt;"",$T1403&lt;0),"※这一笔外销是亏的，请核对售价",IF(IFERROR(VLOOKUP($D1403,库存台账!$A$5:$Y$1204,24,0),0)&lt;-0.001,"※这个物料账面已经变成负数了，查一下是不是漏记入库","")))))))))))</f>
        <v/>
      </c>
    </row>
    <row r="1404">
      <c r="A1404" s="24">
        <f>IF($D1404="","",COUNTA($D$4:$D1404))</f>
        <v/>
      </c>
      <c r="B1404" s="17" t="n"/>
      <c r="C1404" s="30" t="n"/>
      <c r="D1404" s="17" t="n"/>
      <c r="E1404" s="24">
        <f>IF($D1404="","",IFERROR(VLOOKUP($D1404,物料档案!$A$4:$P$1203,3,0),"※编码不在物料档案里"))</f>
        <v/>
      </c>
      <c r="F1404" s="24">
        <f>IF($D1404="","",IFERROR(VLOOKUP($D1404,物料档案!$A$4:$P$1203,4,0),"※编码不在物料档案里"))</f>
        <v/>
      </c>
      <c r="G1404" s="24">
        <f>IF($D1404="","",IFERROR(VLOOKUP($D1404,物料档案!$A$4:$P$1203,5,0),"※编码不在物料档案里"))</f>
        <v/>
      </c>
      <c r="H1404" s="24">
        <f>IF($D1404="","",IFERROR(VLOOKUP($D1404,物料档案!$A$4:$P$1203,2,0),"※编码不在物料档案里"))</f>
        <v/>
      </c>
      <c r="I1404" s="24">
        <f>IF($D1404="","",IFERROR(VLOOKUP($D1404,物料档案!$A$4:$P$1203,6,0),"※编码不在物料档案里"))</f>
        <v/>
      </c>
      <c r="J1404" s="23" t="n"/>
      <c r="K1404" s="17" t="n"/>
      <c r="L1404" s="17" t="n"/>
      <c r="M1404" s="17" t="n"/>
      <c r="N1404" s="17" t="n"/>
      <c r="O1404" s="26">
        <f>IF($D1404="","",IFERROR(VLOOKUP($D1404,物料档案!$A$4:$P$1203,10,0),0))</f>
        <v/>
      </c>
      <c r="P1404" s="32" t="n"/>
      <c r="Q1404" s="26">
        <f>IF($D1404="","",IF($K1404&lt;&gt;"对外销售",0,ROUND(N($J1404)*IF($P1404="",N($O1404),N($P1404)),0)))</f>
        <v/>
      </c>
      <c r="R1404" s="26">
        <f>IF($D1404="","",IFERROR(VLOOKUP($D1404,库存台账!$A$5:$Y$1204,11,0),0))</f>
        <v/>
      </c>
      <c r="S1404" s="26">
        <f>IF($D1404="","",ROUND(N($J1404)*N($R1404),0))</f>
        <v/>
      </c>
      <c r="T1404" s="26">
        <f>IF($D1404="","",IF($K1404&lt;&gt;"对外销售","",ROUND($Q1404-$S1404,0)))</f>
        <v/>
      </c>
      <c r="U1404" s="17" t="n"/>
      <c r="V1404" s="17" t="n"/>
      <c r="W1404" s="24">
        <f>IF($D1404="","",IF($E1404="※编码不在物料档案里","※物料编码不在档案里",IF(N($J1404)&lt;=0,"※出库数量要大于 0",IF($K1404="","※没填去向类型",IF($L1404="","※没填去向矿区",IF(AND($C1404&lt;&gt;"",$C1404&lt;=结账锁),"※日期早于已结账截止日，不能再录",IF(AND($K1404="自用消耗",COUNTIF({"一矿区";"二矿区"},$L1404)=0),"※自用消耗的去向只能是一矿区或二矿区",IF(AND($K1404="对外销售",COUNTIF({"三矿区";"六矿区"},$L1404)=0),"※对外销售的去向只能是三矿区或六矿区",IF(AND($K1404="对外销售",ROUND($Q1404,0)=0),"※外销却没有售价，请填实际售价",IF(AND($K1404="对外销售",$T1404&lt;&gt;"",$T1404&lt;0),"※这一笔外销是亏的，请核对售价",IF(IFERROR(VLOOKUP($D1404,库存台账!$A$5:$Y$1204,24,0),0)&lt;-0.001,"※这个物料账面已经变成负数了，查一下是不是漏记入库","")))))))))))</f>
        <v/>
      </c>
    </row>
    <row r="1405">
      <c r="A1405" s="24">
        <f>IF($D1405="","",COUNTA($D$4:$D1405))</f>
        <v/>
      </c>
      <c r="B1405" s="17" t="n"/>
      <c r="C1405" s="30" t="n"/>
      <c r="D1405" s="17" t="n"/>
      <c r="E1405" s="24">
        <f>IF($D1405="","",IFERROR(VLOOKUP($D1405,物料档案!$A$4:$P$1203,3,0),"※编码不在物料档案里"))</f>
        <v/>
      </c>
      <c r="F1405" s="24">
        <f>IF($D1405="","",IFERROR(VLOOKUP($D1405,物料档案!$A$4:$P$1203,4,0),"※编码不在物料档案里"))</f>
        <v/>
      </c>
      <c r="G1405" s="24">
        <f>IF($D1405="","",IFERROR(VLOOKUP($D1405,物料档案!$A$4:$P$1203,5,0),"※编码不在物料档案里"))</f>
        <v/>
      </c>
      <c r="H1405" s="24">
        <f>IF($D1405="","",IFERROR(VLOOKUP($D1405,物料档案!$A$4:$P$1203,2,0),"※编码不在物料档案里"))</f>
        <v/>
      </c>
      <c r="I1405" s="24">
        <f>IF($D1405="","",IFERROR(VLOOKUP($D1405,物料档案!$A$4:$P$1203,6,0),"※编码不在物料档案里"))</f>
        <v/>
      </c>
      <c r="J1405" s="23" t="n"/>
      <c r="K1405" s="17" t="n"/>
      <c r="L1405" s="17" t="n"/>
      <c r="M1405" s="17" t="n"/>
      <c r="N1405" s="17" t="n"/>
      <c r="O1405" s="26">
        <f>IF($D1405="","",IFERROR(VLOOKUP($D1405,物料档案!$A$4:$P$1203,10,0),0))</f>
        <v/>
      </c>
      <c r="P1405" s="32" t="n"/>
      <c r="Q1405" s="26">
        <f>IF($D1405="","",IF($K1405&lt;&gt;"对外销售",0,ROUND(N($J1405)*IF($P1405="",N($O1405),N($P1405)),0)))</f>
        <v/>
      </c>
      <c r="R1405" s="26">
        <f>IF($D1405="","",IFERROR(VLOOKUP($D1405,库存台账!$A$5:$Y$1204,11,0),0))</f>
        <v/>
      </c>
      <c r="S1405" s="26">
        <f>IF($D1405="","",ROUND(N($J1405)*N($R1405),0))</f>
        <v/>
      </c>
      <c r="T1405" s="26">
        <f>IF($D1405="","",IF($K1405&lt;&gt;"对外销售","",ROUND($Q1405-$S1405,0)))</f>
        <v/>
      </c>
      <c r="U1405" s="17" t="n"/>
      <c r="V1405" s="17" t="n"/>
      <c r="W1405" s="24">
        <f>IF($D1405="","",IF($E1405="※编码不在物料档案里","※物料编码不在档案里",IF(N($J1405)&lt;=0,"※出库数量要大于 0",IF($K1405="","※没填去向类型",IF($L1405="","※没填去向矿区",IF(AND($C1405&lt;&gt;"",$C1405&lt;=结账锁),"※日期早于已结账截止日，不能再录",IF(AND($K1405="自用消耗",COUNTIF({"一矿区";"二矿区"},$L1405)=0),"※自用消耗的去向只能是一矿区或二矿区",IF(AND($K1405="对外销售",COUNTIF({"三矿区";"六矿区"},$L1405)=0),"※对外销售的去向只能是三矿区或六矿区",IF(AND($K1405="对外销售",ROUND($Q1405,0)=0),"※外销却没有售价，请填实际售价",IF(AND($K1405="对外销售",$T1405&lt;&gt;"",$T1405&lt;0),"※这一笔外销是亏的，请核对售价",IF(IFERROR(VLOOKUP($D1405,库存台账!$A$5:$Y$1204,24,0),0)&lt;-0.001,"※这个物料账面已经变成负数了，查一下是不是漏记入库","")))))))))))</f>
        <v/>
      </c>
    </row>
    <row r="1406">
      <c r="A1406" s="24">
        <f>IF($D1406="","",COUNTA($D$4:$D1406))</f>
        <v/>
      </c>
      <c r="B1406" s="17" t="n"/>
      <c r="C1406" s="30" t="n"/>
      <c r="D1406" s="17" t="n"/>
      <c r="E1406" s="24">
        <f>IF($D1406="","",IFERROR(VLOOKUP($D1406,物料档案!$A$4:$P$1203,3,0),"※编码不在物料档案里"))</f>
        <v/>
      </c>
      <c r="F1406" s="24">
        <f>IF($D1406="","",IFERROR(VLOOKUP($D1406,物料档案!$A$4:$P$1203,4,0),"※编码不在物料档案里"))</f>
        <v/>
      </c>
      <c r="G1406" s="24">
        <f>IF($D1406="","",IFERROR(VLOOKUP($D1406,物料档案!$A$4:$P$1203,5,0),"※编码不在物料档案里"))</f>
        <v/>
      </c>
      <c r="H1406" s="24">
        <f>IF($D1406="","",IFERROR(VLOOKUP($D1406,物料档案!$A$4:$P$1203,2,0),"※编码不在物料档案里"))</f>
        <v/>
      </c>
      <c r="I1406" s="24">
        <f>IF($D1406="","",IFERROR(VLOOKUP($D1406,物料档案!$A$4:$P$1203,6,0),"※编码不在物料档案里"))</f>
        <v/>
      </c>
      <c r="J1406" s="23" t="n"/>
      <c r="K1406" s="17" t="n"/>
      <c r="L1406" s="17" t="n"/>
      <c r="M1406" s="17" t="n"/>
      <c r="N1406" s="17" t="n"/>
      <c r="O1406" s="26">
        <f>IF($D1406="","",IFERROR(VLOOKUP($D1406,物料档案!$A$4:$P$1203,10,0),0))</f>
        <v/>
      </c>
      <c r="P1406" s="32" t="n"/>
      <c r="Q1406" s="26">
        <f>IF($D1406="","",IF($K1406&lt;&gt;"对外销售",0,ROUND(N($J1406)*IF($P1406="",N($O1406),N($P1406)),0)))</f>
        <v/>
      </c>
      <c r="R1406" s="26">
        <f>IF($D1406="","",IFERROR(VLOOKUP($D1406,库存台账!$A$5:$Y$1204,11,0),0))</f>
        <v/>
      </c>
      <c r="S1406" s="26">
        <f>IF($D1406="","",ROUND(N($J1406)*N($R1406),0))</f>
        <v/>
      </c>
      <c r="T1406" s="26">
        <f>IF($D1406="","",IF($K1406&lt;&gt;"对外销售","",ROUND($Q1406-$S1406,0)))</f>
        <v/>
      </c>
      <c r="U1406" s="17" t="n"/>
      <c r="V1406" s="17" t="n"/>
      <c r="W1406" s="24">
        <f>IF($D1406="","",IF($E1406="※编码不在物料档案里","※物料编码不在档案里",IF(N($J1406)&lt;=0,"※出库数量要大于 0",IF($K1406="","※没填去向类型",IF($L1406="","※没填去向矿区",IF(AND($C1406&lt;&gt;"",$C1406&lt;=结账锁),"※日期早于已结账截止日，不能再录",IF(AND($K1406="自用消耗",COUNTIF({"一矿区";"二矿区"},$L1406)=0),"※自用消耗的去向只能是一矿区或二矿区",IF(AND($K1406="对外销售",COUNTIF({"三矿区";"六矿区"},$L1406)=0),"※对外销售的去向只能是三矿区或六矿区",IF(AND($K1406="对外销售",ROUND($Q1406,0)=0),"※外销却没有售价，请填实际售价",IF(AND($K1406="对外销售",$T1406&lt;&gt;"",$T1406&lt;0),"※这一笔外销是亏的，请核对售价",IF(IFERROR(VLOOKUP($D1406,库存台账!$A$5:$Y$1204,24,0),0)&lt;-0.001,"※这个物料账面已经变成负数了，查一下是不是漏记入库","")))))))))))</f>
        <v/>
      </c>
    </row>
    <row r="1407">
      <c r="A1407" s="24">
        <f>IF($D1407="","",COUNTA($D$4:$D1407))</f>
        <v/>
      </c>
      <c r="B1407" s="17" t="n"/>
      <c r="C1407" s="30" t="n"/>
      <c r="D1407" s="17" t="n"/>
      <c r="E1407" s="24">
        <f>IF($D1407="","",IFERROR(VLOOKUP($D1407,物料档案!$A$4:$P$1203,3,0),"※编码不在物料档案里"))</f>
        <v/>
      </c>
      <c r="F1407" s="24">
        <f>IF($D1407="","",IFERROR(VLOOKUP($D1407,物料档案!$A$4:$P$1203,4,0),"※编码不在物料档案里"))</f>
        <v/>
      </c>
      <c r="G1407" s="24">
        <f>IF($D1407="","",IFERROR(VLOOKUP($D1407,物料档案!$A$4:$P$1203,5,0),"※编码不在物料档案里"))</f>
        <v/>
      </c>
      <c r="H1407" s="24">
        <f>IF($D1407="","",IFERROR(VLOOKUP($D1407,物料档案!$A$4:$P$1203,2,0),"※编码不在物料档案里"))</f>
        <v/>
      </c>
      <c r="I1407" s="24">
        <f>IF($D1407="","",IFERROR(VLOOKUP($D1407,物料档案!$A$4:$P$1203,6,0),"※编码不在物料档案里"))</f>
        <v/>
      </c>
      <c r="J1407" s="23" t="n"/>
      <c r="K1407" s="17" t="n"/>
      <c r="L1407" s="17" t="n"/>
      <c r="M1407" s="17" t="n"/>
      <c r="N1407" s="17" t="n"/>
      <c r="O1407" s="26">
        <f>IF($D1407="","",IFERROR(VLOOKUP($D1407,物料档案!$A$4:$P$1203,10,0),0))</f>
        <v/>
      </c>
      <c r="P1407" s="32" t="n"/>
      <c r="Q1407" s="26">
        <f>IF($D1407="","",IF($K1407&lt;&gt;"对外销售",0,ROUND(N($J1407)*IF($P1407="",N($O1407),N($P1407)),0)))</f>
        <v/>
      </c>
      <c r="R1407" s="26">
        <f>IF($D1407="","",IFERROR(VLOOKUP($D1407,库存台账!$A$5:$Y$1204,11,0),0))</f>
        <v/>
      </c>
      <c r="S1407" s="26">
        <f>IF($D1407="","",ROUND(N($J1407)*N($R1407),0))</f>
        <v/>
      </c>
      <c r="T1407" s="26">
        <f>IF($D1407="","",IF($K1407&lt;&gt;"对外销售","",ROUND($Q1407-$S1407,0)))</f>
        <v/>
      </c>
      <c r="U1407" s="17" t="n"/>
      <c r="V1407" s="17" t="n"/>
      <c r="W1407" s="24">
        <f>IF($D1407="","",IF($E1407="※编码不在物料档案里","※物料编码不在档案里",IF(N($J1407)&lt;=0,"※出库数量要大于 0",IF($K1407="","※没填去向类型",IF($L1407="","※没填去向矿区",IF(AND($C1407&lt;&gt;"",$C1407&lt;=结账锁),"※日期早于已结账截止日，不能再录",IF(AND($K1407="自用消耗",COUNTIF({"一矿区";"二矿区"},$L1407)=0),"※自用消耗的去向只能是一矿区或二矿区",IF(AND($K1407="对外销售",COUNTIF({"三矿区";"六矿区"},$L1407)=0),"※对外销售的去向只能是三矿区或六矿区",IF(AND($K1407="对外销售",ROUND($Q1407,0)=0),"※外销却没有售价，请填实际售价",IF(AND($K1407="对外销售",$T1407&lt;&gt;"",$T1407&lt;0),"※这一笔外销是亏的，请核对售价",IF(IFERROR(VLOOKUP($D1407,库存台账!$A$5:$Y$1204,24,0),0)&lt;-0.001,"※这个物料账面已经变成负数了，查一下是不是漏记入库","")))))))))))</f>
        <v/>
      </c>
    </row>
    <row r="1408">
      <c r="A1408" s="24">
        <f>IF($D1408="","",COUNTA($D$4:$D1408))</f>
        <v/>
      </c>
      <c r="B1408" s="17" t="n"/>
      <c r="C1408" s="30" t="n"/>
      <c r="D1408" s="17" t="n"/>
      <c r="E1408" s="24">
        <f>IF($D1408="","",IFERROR(VLOOKUP($D1408,物料档案!$A$4:$P$1203,3,0),"※编码不在物料档案里"))</f>
        <v/>
      </c>
      <c r="F1408" s="24">
        <f>IF($D1408="","",IFERROR(VLOOKUP($D1408,物料档案!$A$4:$P$1203,4,0),"※编码不在物料档案里"))</f>
        <v/>
      </c>
      <c r="G1408" s="24">
        <f>IF($D1408="","",IFERROR(VLOOKUP($D1408,物料档案!$A$4:$P$1203,5,0),"※编码不在物料档案里"))</f>
        <v/>
      </c>
      <c r="H1408" s="24">
        <f>IF($D1408="","",IFERROR(VLOOKUP($D1408,物料档案!$A$4:$P$1203,2,0),"※编码不在物料档案里"))</f>
        <v/>
      </c>
      <c r="I1408" s="24">
        <f>IF($D1408="","",IFERROR(VLOOKUP($D1408,物料档案!$A$4:$P$1203,6,0),"※编码不在物料档案里"))</f>
        <v/>
      </c>
      <c r="J1408" s="23" t="n"/>
      <c r="K1408" s="17" t="n"/>
      <c r="L1408" s="17" t="n"/>
      <c r="M1408" s="17" t="n"/>
      <c r="N1408" s="17" t="n"/>
      <c r="O1408" s="26">
        <f>IF($D1408="","",IFERROR(VLOOKUP($D1408,物料档案!$A$4:$P$1203,10,0),0))</f>
        <v/>
      </c>
      <c r="P1408" s="32" t="n"/>
      <c r="Q1408" s="26">
        <f>IF($D1408="","",IF($K1408&lt;&gt;"对外销售",0,ROUND(N($J1408)*IF($P1408="",N($O1408),N($P1408)),0)))</f>
        <v/>
      </c>
      <c r="R1408" s="26">
        <f>IF($D1408="","",IFERROR(VLOOKUP($D1408,库存台账!$A$5:$Y$1204,11,0),0))</f>
        <v/>
      </c>
      <c r="S1408" s="26">
        <f>IF($D1408="","",ROUND(N($J1408)*N($R1408),0))</f>
        <v/>
      </c>
      <c r="T1408" s="26">
        <f>IF($D1408="","",IF($K1408&lt;&gt;"对外销售","",ROUND($Q1408-$S1408,0)))</f>
        <v/>
      </c>
      <c r="U1408" s="17" t="n"/>
      <c r="V1408" s="17" t="n"/>
      <c r="W1408" s="24">
        <f>IF($D1408="","",IF($E1408="※编码不在物料档案里","※物料编码不在档案里",IF(N($J1408)&lt;=0,"※出库数量要大于 0",IF($K1408="","※没填去向类型",IF($L1408="","※没填去向矿区",IF(AND($C1408&lt;&gt;"",$C1408&lt;=结账锁),"※日期早于已结账截止日，不能再录",IF(AND($K1408="自用消耗",COUNTIF({"一矿区";"二矿区"},$L1408)=0),"※自用消耗的去向只能是一矿区或二矿区",IF(AND($K1408="对外销售",COUNTIF({"三矿区";"六矿区"},$L1408)=0),"※对外销售的去向只能是三矿区或六矿区",IF(AND($K1408="对外销售",ROUND($Q1408,0)=0),"※外销却没有售价，请填实际售价",IF(AND($K1408="对外销售",$T1408&lt;&gt;"",$T1408&lt;0),"※这一笔外销是亏的，请核对售价",IF(IFERROR(VLOOKUP($D1408,库存台账!$A$5:$Y$1204,24,0),0)&lt;-0.001,"※这个物料账面已经变成负数了，查一下是不是漏记入库","")))))))))))</f>
        <v/>
      </c>
    </row>
    <row r="1409">
      <c r="A1409" s="24">
        <f>IF($D1409="","",COUNTA($D$4:$D1409))</f>
        <v/>
      </c>
      <c r="B1409" s="17" t="n"/>
      <c r="C1409" s="30" t="n"/>
      <c r="D1409" s="17" t="n"/>
      <c r="E1409" s="24">
        <f>IF($D1409="","",IFERROR(VLOOKUP($D1409,物料档案!$A$4:$P$1203,3,0),"※编码不在物料档案里"))</f>
        <v/>
      </c>
      <c r="F1409" s="24">
        <f>IF($D1409="","",IFERROR(VLOOKUP($D1409,物料档案!$A$4:$P$1203,4,0),"※编码不在物料档案里"))</f>
        <v/>
      </c>
      <c r="G1409" s="24">
        <f>IF($D1409="","",IFERROR(VLOOKUP($D1409,物料档案!$A$4:$P$1203,5,0),"※编码不在物料档案里"))</f>
        <v/>
      </c>
      <c r="H1409" s="24">
        <f>IF($D1409="","",IFERROR(VLOOKUP($D1409,物料档案!$A$4:$P$1203,2,0),"※编码不在物料档案里"))</f>
        <v/>
      </c>
      <c r="I1409" s="24">
        <f>IF($D1409="","",IFERROR(VLOOKUP($D1409,物料档案!$A$4:$P$1203,6,0),"※编码不在物料档案里"))</f>
        <v/>
      </c>
      <c r="J1409" s="23" t="n"/>
      <c r="K1409" s="17" t="n"/>
      <c r="L1409" s="17" t="n"/>
      <c r="M1409" s="17" t="n"/>
      <c r="N1409" s="17" t="n"/>
      <c r="O1409" s="26">
        <f>IF($D1409="","",IFERROR(VLOOKUP($D1409,物料档案!$A$4:$P$1203,10,0),0))</f>
        <v/>
      </c>
      <c r="P1409" s="32" t="n"/>
      <c r="Q1409" s="26">
        <f>IF($D1409="","",IF($K1409&lt;&gt;"对外销售",0,ROUND(N($J1409)*IF($P1409="",N($O1409),N($P1409)),0)))</f>
        <v/>
      </c>
      <c r="R1409" s="26">
        <f>IF($D1409="","",IFERROR(VLOOKUP($D1409,库存台账!$A$5:$Y$1204,11,0),0))</f>
        <v/>
      </c>
      <c r="S1409" s="26">
        <f>IF($D1409="","",ROUND(N($J1409)*N($R1409),0))</f>
        <v/>
      </c>
      <c r="T1409" s="26">
        <f>IF($D1409="","",IF($K1409&lt;&gt;"对外销售","",ROUND($Q1409-$S1409,0)))</f>
        <v/>
      </c>
      <c r="U1409" s="17" t="n"/>
      <c r="V1409" s="17" t="n"/>
      <c r="W1409" s="24">
        <f>IF($D1409="","",IF($E1409="※编码不在物料档案里","※物料编码不在档案里",IF(N($J1409)&lt;=0,"※出库数量要大于 0",IF($K1409="","※没填去向类型",IF($L1409="","※没填去向矿区",IF(AND($C1409&lt;&gt;"",$C1409&lt;=结账锁),"※日期早于已结账截止日，不能再录",IF(AND($K1409="自用消耗",COUNTIF({"一矿区";"二矿区"},$L1409)=0),"※自用消耗的去向只能是一矿区或二矿区",IF(AND($K1409="对外销售",COUNTIF({"三矿区";"六矿区"},$L1409)=0),"※对外销售的去向只能是三矿区或六矿区",IF(AND($K1409="对外销售",ROUND($Q1409,0)=0),"※外销却没有售价，请填实际售价",IF(AND($K1409="对外销售",$T1409&lt;&gt;"",$T1409&lt;0),"※这一笔外销是亏的，请核对售价",IF(IFERROR(VLOOKUP($D1409,库存台账!$A$5:$Y$1204,24,0),0)&lt;-0.001,"※这个物料账面已经变成负数了，查一下是不是漏记入库","")))))))))))</f>
        <v/>
      </c>
    </row>
    <row r="1410">
      <c r="A1410" s="24">
        <f>IF($D1410="","",COUNTA($D$4:$D1410))</f>
        <v/>
      </c>
      <c r="B1410" s="17" t="n"/>
      <c r="C1410" s="30" t="n"/>
      <c r="D1410" s="17" t="n"/>
      <c r="E1410" s="24">
        <f>IF($D1410="","",IFERROR(VLOOKUP($D1410,物料档案!$A$4:$P$1203,3,0),"※编码不在物料档案里"))</f>
        <v/>
      </c>
      <c r="F1410" s="24">
        <f>IF($D1410="","",IFERROR(VLOOKUP($D1410,物料档案!$A$4:$P$1203,4,0),"※编码不在物料档案里"))</f>
        <v/>
      </c>
      <c r="G1410" s="24">
        <f>IF($D1410="","",IFERROR(VLOOKUP($D1410,物料档案!$A$4:$P$1203,5,0),"※编码不在物料档案里"))</f>
        <v/>
      </c>
      <c r="H1410" s="24">
        <f>IF($D1410="","",IFERROR(VLOOKUP($D1410,物料档案!$A$4:$P$1203,2,0),"※编码不在物料档案里"))</f>
        <v/>
      </c>
      <c r="I1410" s="24">
        <f>IF($D1410="","",IFERROR(VLOOKUP($D1410,物料档案!$A$4:$P$1203,6,0),"※编码不在物料档案里"))</f>
        <v/>
      </c>
      <c r="J1410" s="23" t="n"/>
      <c r="K1410" s="17" t="n"/>
      <c r="L1410" s="17" t="n"/>
      <c r="M1410" s="17" t="n"/>
      <c r="N1410" s="17" t="n"/>
      <c r="O1410" s="26">
        <f>IF($D1410="","",IFERROR(VLOOKUP($D1410,物料档案!$A$4:$P$1203,10,0),0))</f>
        <v/>
      </c>
      <c r="P1410" s="32" t="n"/>
      <c r="Q1410" s="26">
        <f>IF($D1410="","",IF($K1410&lt;&gt;"对外销售",0,ROUND(N($J1410)*IF($P1410="",N($O1410),N($P1410)),0)))</f>
        <v/>
      </c>
      <c r="R1410" s="26">
        <f>IF($D1410="","",IFERROR(VLOOKUP($D1410,库存台账!$A$5:$Y$1204,11,0),0))</f>
        <v/>
      </c>
      <c r="S1410" s="26">
        <f>IF($D1410="","",ROUND(N($J1410)*N($R1410),0))</f>
        <v/>
      </c>
      <c r="T1410" s="26">
        <f>IF($D1410="","",IF($K1410&lt;&gt;"对外销售","",ROUND($Q1410-$S1410,0)))</f>
        <v/>
      </c>
      <c r="U1410" s="17" t="n"/>
      <c r="V1410" s="17" t="n"/>
      <c r="W1410" s="24">
        <f>IF($D1410="","",IF($E1410="※编码不在物料档案里","※物料编码不在档案里",IF(N($J1410)&lt;=0,"※出库数量要大于 0",IF($K1410="","※没填去向类型",IF($L1410="","※没填去向矿区",IF(AND($C1410&lt;&gt;"",$C1410&lt;=结账锁),"※日期早于已结账截止日，不能再录",IF(AND($K1410="自用消耗",COUNTIF({"一矿区";"二矿区"},$L1410)=0),"※自用消耗的去向只能是一矿区或二矿区",IF(AND($K1410="对外销售",COUNTIF({"三矿区";"六矿区"},$L1410)=0),"※对外销售的去向只能是三矿区或六矿区",IF(AND($K1410="对外销售",ROUND($Q1410,0)=0),"※外销却没有售价，请填实际售价",IF(AND($K1410="对外销售",$T1410&lt;&gt;"",$T1410&lt;0),"※这一笔外销是亏的，请核对售价",IF(IFERROR(VLOOKUP($D1410,库存台账!$A$5:$Y$1204,24,0),0)&lt;-0.001,"※这个物料账面已经变成负数了，查一下是不是漏记入库","")))))))))))</f>
        <v/>
      </c>
    </row>
    <row r="1411">
      <c r="A1411" s="24">
        <f>IF($D1411="","",COUNTA($D$4:$D1411))</f>
        <v/>
      </c>
      <c r="B1411" s="17" t="n"/>
      <c r="C1411" s="30" t="n"/>
      <c r="D1411" s="17" t="n"/>
      <c r="E1411" s="24">
        <f>IF($D1411="","",IFERROR(VLOOKUP($D1411,物料档案!$A$4:$P$1203,3,0),"※编码不在物料档案里"))</f>
        <v/>
      </c>
      <c r="F1411" s="24">
        <f>IF($D1411="","",IFERROR(VLOOKUP($D1411,物料档案!$A$4:$P$1203,4,0),"※编码不在物料档案里"))</f>
        <v/>
      </c>
      <c r="G1411" s="24">
        <f>IF($D1411="","",IFERROR(VLOOKUP($D1411,物料档案!$A$4:$P$1203,5,0),"※编码不在物料档案里"))</f>
        <v/>
      </c>
      <c r="H1411" s="24">
        <f>IF($D1411="","",IFERROR(VLOOKUP($D1411,物料档案!$A$4:$P$1203,2,0),"※编码不在物料档案里"))</f>
        <v/>
      </c>
      <c r="I1411" s="24">
        <f>IF($D1411="","",IFERROR(VLOOKUP($D1411,物料档案!$A$4:$P$1203,6,0),"※编码不在物料档案里"))</f>
        <v/>
      </c>
      <c r="J1411" s="23" t="n"/>
      <c r="K1411" s="17" t="n"/>
      <c r="L1411" s="17" t="n"/>
      <c r="M1411" s="17" t="n"/>
      <c r="N1411" s="17" t="n"/>
      <c r="O1411" s="26">
        <f>IF($D1411="","",IFERROR(VLOOKUP($D1411,物料档案!$A$4:$P$1203,10,0),0))</f>
        <v/>
      </c>
      <c r="P1411" s="32" t="n"/>
      <c r="Q1411" s="26">
        <f>IF($D1411="","",IF($K1411&lt;&gt;"对外销售",0,ROUND(N($J1411)*IF($P1411="",N($O1411),N($P1411)),0)))</f>
        <v/>
      </c>
      <c r="R1411" s="26">
        <f>IF($D1411="","",IFERROR(VLOOKUP($D1411,库存台账!$A$5:$Y$1204,11,0),0))</f>
        <v/>
      </c>
      <c r="S1411" s="26">
        <f>IF($D1411="","",ROUND(N($J1411)*N($R1411),0))</f>
        <v/>
      </c>
      <c r="T1411" s="26">
        <f>IF($D1411="","",IF($K1411&lt;&gt;"对外销售","",ROUND($Q1411-$S1411,0)))</f>
        <v/>
      </c>
      <c r="U1411" s="17" t="n"/>
      <c r="V1411" s="17" t="n"/>
      <c r="W1411" s="24">
        <f>IF($D1411="","",IF($E1411="※编码不在物料档案里","※物料编码不在档案里",IF(N($J1411)&lt;=0,"※出库数量要大于 0",IF($K1411="","※没填去向类型",IF($L1411="","※没填去向矿区",IF(AND($C1411&lt;&gt;"",$C1411&lt;=结账锁),"※日期早于已结账截止日，不能再录",IF(AND($K1411="自用消耗",COUNTIF({"一矿区";"二矿区"},$L1411)=0),"※自用消耗的去向只能是一矿区或二矿区",IF(AND($K1411="对外销售",COUNTIF({"三矿区";"六矿区"},$L1411)=0),"※对外销售的去向只能是三矿区或六矿区",IF(AND($K1411="对外销售",ROUND($Q1411,0)=0),"※外销却没有售价，请填实际售价",IF(AND($K1411="对外销售",$T1411&lt;&gt;"",$T1411&lt;0),"※这一笔外销是亏的，请核对售价",IF(IFERROR(VLOOKUP($D1411,库存台账!$A$5:$Y$1204,24,0),0)&lt;-0.001,"※这个物料账面已经变成负数了，查一下是不是漏记入库","")))))))))))</f>
        <v/>
      </c>
    </row>
    <row r="1412">
      <c r="A1412" s="24">
        <f>IF($D1412="","",COUNTA($D$4:$D1412))</f>
        <v/>
      </c>
      <c r="B1412" s="17" t="n"/>
      <c r="C1412" s="30" t="n"/>
      <c r="D1412" s="17" t="n"/>
      <c r="E1412" s="24">
        <f>IF($D1412="","",IFERROR(VLOOKUP($D1412,物料档案!$A$4:$P$1203,3,0),"※编码不在物料档案里"))</f>
        <v/>
      </c>
      <c r="F1412" s="24">
        <f>IF($D1412="","",IFERROR(VLOOKUP($D1412,物料档案!$A$4:$P$1203,4,0),"※编码不在物料档案里"))</f>
        <v/>
      </c>
      <c r="G1412" s="24">
        <f>IF($D1412="","",IFERROR(VLOOKUP($D1412,物料档案!$A$4:$P$1203,5,0),"※编码不在物料档案里"))</f>
        <v/>
      </c>
      <c r="H1412" s="24">
        <f>IF($D1412="","",IFERROR(VLOOKUP($D1412,物料档案!$A$4:$P$1203,2,0),"※编码不在物料档案里"))</f>
        <v/>
      </c>
      <c r="I1412" s="24">
        <f>IF($D1412="","",IFERROR(VLOOKUP($D1412,物料档案!$A$4:$P$1203,6,0),"※编码不在物料档案里"))</f>
        <v/>
      </c>
      <c r="J1412" s="23" t="n"/>
      <c r="K1412" s="17" t="n"/>
      <c r="L1412" s="17" t="n"/>
      <c r="M1412" s="17" t="n"/>
      <c r="N1412" s="17" t="n"/>
      <c r="O1412" s="26">
        <f>IF($D1412="","",IFERROR(VLOOKUP($D1412,物料档案!$A$4:$P$1203,10,0),0))</f>
        <v/>
      </c>
      <c r="P1412" s="32" t="n"/>
      <c r="Q1412" s="26">
        <f>IF($D1412="","",IF($K1412&lt;&gt;"对外销售",0,ROUND(N($J1412)*IF($P1412="",N($O1412),N($P1412)),0)))</f>
        <v/>
      </c>
      <c r="R1412" s="26">
        <f>IF($D1412="","",IFERROR(VLOOKUP($D1412,库存台账!$A$5:$Y$1204,11,0),0))</f>
        <v/>
      </c>
      <c r="S1412" s="26">
        <f>IF($D1412="","",ROUND(N($J1412)*N($R1412),0))</f>
        <v/>
      </c>
      <c r="T1412" s="26">
        <f>IF($D1412="","",IF($K1412&lt;&gt;"对外销售","",ROUND($Q1412-$S1412,0)))</f>
        <v/>
      </c>
      <c r="U1412" s="17" t="n"/>
      <c r="V1412" s="17" t="n"/>
      <c r="W1412" s="24">
        <f>IF($D1412="","",IF($E1412="※编码不在物料档案里","※物料编码不在档案里",IF(N($J1412)&lt;=0,"※出库数量要大于 0",IF($K1412="","※没填去向类型",IF($L1412="","※没填去向矿区",IF(AND($C1412&lt;&gt;"",$C1412&lt;=结账锁),"※日期早于已结账截止日，不能再录",IF(AND($K1412="自用消耗",COUNTIF({"一矿区";"二矿区"},$L1412)=0),"※自用消耗的去向只能是一矿区或二矿区",IF(AND($K1412="对外销售",COUNTIF({"三矿区";"六矿区"},$L1412)=0),"※对外销售的去向只能是三矿区或六矿区",IF(AND($K1412="对外销售",ROUND($Q1412,0)=0),"※外销却没有售价，请填实际售价",IF(AND($K1412="对外销售",$T1412&lt;&gt;"",$T1412&lt;0),"※这一笔外销是亏的，请核对售价",IF(IFERROR(VLOOKUP($D1412,库存台账!$A$5:$Y$1204,24,0),0)&lt;-0.001,"※这个物料账面已经变成负数了，查一下是不是漏记入库","")))))))))))</f>
        <v/>
      </c>
    </row>
    <row r="1413">
      <c r="A1413" s="24">
        <f>IF($D1413="","",COUNTA($D$4:$D1413))</f>
        <v/>
      </c>
      <c r="B1413" s="17" t="n"/>
      <c r="C1413" s="30" t="n"/>
      <c r="D1413" s="17" t="n"/>
      <c r="E1413" s="24">
        <f>IF($D1413="","",IFERROR(VLOOKUP($D1413,物料档案!$A$4:$P$1203,3,0),"※编码不在物料档案里"))</f>
        <v/>
      </c>
      <c r="F1413" s="24">
        <f>IF($D1413="","",IFERROR(VLOOKUP($D1413,物料档案!$A$4:$P$1203,4,0),"※编码不在物料档案里"))</f>
        <v/>
      </c>
      <c r="G1413" s="24">
        <f>IF($D1413="","",IFERROR(VLOOKUP($D1413,物料档案!$A$4:$P$1203,5,0),"※编码不在物料档案里"))</f>
        <v/>
      </c>
      <c r="H1413" s="24">
        <f>IF($D1413="","",IFERROR(VLOOKUP($D1413,物料档案!$A$4:$P$1203,2,0),"※编码不在物料档案里"))</f>
        <v/>
      </c>
      <c r="I1413" s="24">
        <f>IF($D1413="","",IFERROR(VLOOKUP($D1413,物料档案!$A$4:$P$1203,6,0),"※编码不在物料档案里"))</f>
        <v/>
      </c>
      <c r="J1413" s="23" t="n"/>
      <c r="K1413" s="17" t="n"/>
      <c r="L1413" s="17" t="n"/>
      <c r="M1413" s="17" t="n"/>
      <c r="N1413" s="17" t="n"/>
      <c r="O1413" s="26">
        <f>IF($D1413="","",IFERROR(VLOOKUP($D1413,物料档案!$A$4:$P$1203,10,0),0))</f>
        <v/>
      </c>
      <c r="P1413" s="32" t="n"/>
      <c r="Q1413" s="26">
        <f>IF($D1413="","",IF($K1413&lt;&gt;"对外销售",0,ROUND(N($J1413)*IF($P1413="",N($O1413),N($P1413)),0)))</f>
        <v/>
      </c>
      <c r="R1413" s="26">
        <f>IF($D1413="","",IFERROR(VLOOKUP($D1413,库存台账!$A$5:$Y$1204,11,0),0))</f>
        <v/>
      </c>
      <c r="S1413" s="26">
        <f>IF($D1413="","",ROUND(N($J1413)*N($R1413),0))</f>
        <v/>
      </c>
      <c r="T1413" s="26">
        <f>IF($D1413="","",IF($K1413&lt;&gt;"对外销售","",ROUND($Q1413-$S1413,0)))</f>
        <v/>
      </c>
      <c r="U1413" s="17" t="n"/>
      <c r="V1413" s="17" t="n"/>
      <c r="W1413" s="24">
        <f>IF($D1413="","",IF($E1413="※编码不在物料档案里","※物料编码不在档案里",IF(N($J1413)&lt;=0,"※出库数量要大于 0",IF($K1413="","※没填去向类型",IF($L1413="","※没填去向矿区",IF(AND($C1413&lt;&gt;"",$C1413&lt;=结账锁),"※日期早于已结账截止日，不能再录",IF(AND($K1413="自用消耗",COUNTIF({"一矿区";"二矿区"},$L1413)=0),"※自用消耗的去向只能是一矿区或二矿区",IF(AND($K1413="对外销售",COUNTIF({"三矿区";"六矿区"},$L1413)=0),"※对外销售的去向只能是三矿区或六矿区",IF(AND($K1413="对外销售",ROUND($Q1413,0)=0),"※外销却没有售价，请填实际售价",IF(AND($K1413="对外销售",$T1413&lt;&gt;"",$T1413&lt;0),"※这一笔外销是亏的，请核对售价",IF(IFERROR(VLOOKUP($D1413,库存台账!$A$5:$Y$1204,24,0),0)&lt;-0.001,"※这个物料账面已经变成负数了，查一下是不是漏记入库","")))))))))))</f>
        <v/>
      </c>
    </row>
    <row r="1414">
      <c r="A1414" s="24">
        <f>IF($D1414="","",COUNTA($D$4:$D1414))</f>
        <v/>
      </c>
      <c r="B1414" s="17" t="n"/>
      <c r="C1414" s="30" t="n"/>
      <c r="D1414" s="17" t="n"/>
      <c r="E1414" s="24">
        <f>IF($D1414="","",IFERROR(VLOOKUP($D1414,物料档案!$A$4:$P$1203,3,0),"※编码不在物料档案里"))</f>
        <v/>
      </c>
      <c r="F1414" s="24">
        <f>IF($D1414="","",IFERROR(VLOOKUP($D1414,物料档案!$A$4:$P$1203,4,0),"※编码不在物料档案里"))</f>
        <v/>
      </c>
      <c r="G1414" s="24">
        <f>IF($D1414="","",IFERROR(VLOOKUP($D1414,物料档案!$A$4:$P$1203,5,0),"※编码不在物料档案里"))</f>
        <v/>
      </c>
      <c r="H1414" s="24">
        <f>IF($D1414="","",IFERROR(VLOOKUP($D1414,物料档案!$A$4:$P$1203,2,0),"※编码不在物料档案里"))</f>
        <v/>
      </c>
      <c r="I1414" s="24">
        <f>IF($D1414="","",IFERROR(VLOOKUP($D1414,物料档案!$A$4:$P$1203,6,0),"※编码不在物料档案里"))</f>
        <v/>
      </c>
      <c r="J1414" s="23" t="n"/>
      <c r="K1414" s="17" t="n"/>
      <c r="L1414" s="17" t="n"/>
      <c r="M1414" s="17" t="n"/>
      <c r="N1414" s="17" t="n"/>
      <c r="O1414" s="26">
        <f>IF($D1414="","",IFERROR(VLOOKUP($D1414,物料档案!$A$4:$P$1203,10,0),0))</f>
        <v/>
      </c>
      <c r="P1414" s="32" t="n"/>
      <c r="Q1414" s="26">
        <f>IF($D1414="","",IF($K1414&lt;&gt;"对外销售",0,ROUND(N($J1414)*IF($P1414="",N($O1414),N($P1414)),0)))</f>
        <v/>
      </c>
      <c r="R1414" s="26">
        <f>IF($D1414="","",IFERROR(VLOOKUP($D1414,库存台账!$A$5:$Y$1204,11,0),0))</f>
        <v/>
      </c>
      <c r="S1414" s="26">
        <f>IF($D1414="","",ROUND(N($J1414)*N($R1414),0))</f>
        <v/>
      </c>
      <c r="T1414" s="26">
        <f>IF($D1414="","",IF($K1414&lt;&gt;"对外销售","",ROUND($Q1414-$S1414,0)))</f>
        <v/>
      </c>
      <c r="U1414" s="17" t="n"/>
      <c r="V1414" s="17" t="n"/>
      <c r="W1414" s="24">
        <f>IF($D1414="","",IF($E1414="※编码不在物料档案里","※物料编码不在档案里",IF(N($J1414)&lt;=0,"※出库数量要大于 0",IF($K1414="","※没填去向类型",IF($L1414="","※没填去向矿区",IF(AND($C1414&lt;&gt;"",$C1414&lt;=结账锁),"※日期早于已结账截止日，不能再录",IF(AND($K1414="自用消耗",COUNTIF({"一矿区";"二矿区"},$L1414)=0),"※自用消耗的去向只能是一矿区或二矿区",IF(AND($K1414="对外销售",COUNTIF({"三矿区";"六矿区"},$L1414)=0),"※对外销售的去向只能是三矿区或六矿区",IF(AND($K1414="对外销售",ROUND($Q1414,0)=0),"※外销却没有售价，请填实际售价",IF(AND($K1414="对外销售",$T1414&lt;&gt;"",$T1414&lt;0),"※这一笔外销是亏的，请核对售价",IF(IFERROR(VLOOKUP($D1414,库存台账!$A$5:$Y$1204,24,0),0)&lt;-0.001,"※这个物料账面已经变成负数了，查一下是不是漏记入库","")))))))))))</f>
        <v/>
      </c>
    </row>
    <row r="1415">
      <c r="A1415" s="24">
        <f>IF($D1415="","",COUNTA($D$4:$D1415))</f>
        <v/>
      </c>
      <c r="B1415" s="17" t="n"/>
      <c r="C1415" s="30" t="n"/>
      <c r="D1415" s="17" t="n"/>
      <c r="E1415" s="24">
        <f>IF($D1415="","",IFERROR(VLOOKUP($D1415,物料档案!$A$4:$P$1203,3,0),"※编码不在物料档案里"))</f>
        <v/>
      </c>
      <c r="F1415" s="24">
        <f>IF($D1415="","",IFERROR(VLOOKUP($D1415,物料档案!$A$4:$P$1203,4,0),"※编码不在物料档案里"))</f>
        <v/>
      </c>
      <c r="G1415" s="24">
        <f>IF($D1415="","",IFERROR(VLOOKUP($D1415,物料档案!$A$4:$P$1203,5,0),"※编码不在物料档案里"))</f>
        <v/>
      </c>
      <c r="H1415" s="24">
        <f>IF($D1415="","",IFERROR(VLOOKUP($D1415,物料档案!$A$4:$P$1203,2,0),"※编码不在物料档案里"))</f>
        <v/>
      </c>
      <c r="I1415" s="24">
        <f>IF($D1415="","",IFERROR(VLOOKUP($D1415,物料档案!$A$4:$P$1203,6,0),"※编码不在物料档案里"))</f>
        <v/>
      </c>
      <c r="J1415" s="23" t="n"/>
      <c r="K1415" s="17" t="n"/>
      <c r="L1415" s="17" t="n"/>
      <c r="M1415" s="17" t="n"/>
      <c r="N1415" s="17" t="n"/>
      <c r="O1415" s="26">
        <f>IF($D1415="","",IFERROR(VLOOKUP($D1415,物料档案!$A$4:$P$1203,10,0),0))</f>
        <v/>
      </c>
      <c r="P1415" s="32" t="n"/>
      <c r="Q1415" s="26">
        <f>IF($D1415="","",IF($K1415&lt;&gt;"对外销售",0,ROUND(N($J1415)*IF($P1415="",N($O1415),N($P1415)),0)))</f>
        <v/>
      </c>
      <c r="R1415" s="26">
        <f>IF($D1415="","",IFERROR(VLOOKUP($D1415,库存台账!$A$5:$Y$1204,11,0),0))</f>
        <v/>
      </c>
      <c r="S1415" s="26">
        <f>IF($D1415="","",ROUND(N($J1415)*N($R1415),0))</f>
        <v/>
      </c>
      <c r="T1415" s="26">
        <f>IF($D1415="","",IF($K1415&lt;&gt;"对外销售","",ROUND($Q1415-$S1415,0)))</f>
        <v/>
      </c>
      <c r="U1415" s="17" t="n"/>
      <c r="V1415" s="17" t="n"/>
      <c r="W1415" s="24">
        <f>IF($D1415="","",IF($E1415="※编码不在物料档案里","※物料编码不在档案里",IF(N($J1415)&lt;=0,"※出库数量要大于 0",IF($K1415="","※没填去向类型",IF($L1415="","※没填去向矿区",IF(AND($C1415&lt;&gt;"",$C1415&lt;=结账锁),"※日期早于已结账截止日，不能再录",IF(AND($K1415="自用消耗",COUNTIF({"一矿区";"二矿区"},$L1415)=0),"※自用消耗的去向只能是一矿区或二矿区",IF(AND($K1415="对外销售",COUNTIF({"三矿区";"六矿区"},$L1415)=0),"※对外销售的去向只能是三矿区或六矿区",IF(AND($K1415="对外销售",ROUND($Q1415,0)=0),"※外销却没有售价，请填实际售价",IF(AND($K1415="对外销售",$T1415&lt;&gt;"",$T1415&lt;0),"※这一笔外销是亏的，请核对售价",IF(IFERROR(VLOOKUP($D1415,库存台账!$A$5:$Y$1204,24,0),0)&lt;-0.001,"※这个物料账面已经变成负数了，查一下是不是漏记入库","")))))))))))</f>
        <v/>
      </c>
    </row>
    <row r="1416">
      <c r="A1416" s="24">
        <f>IF($D1416="","",COUNTA($D$4:$D1416))</f>
        <v/>
      </c>
      <c r="B1416" s="17" t="n"/>
      <c r="C1416" s="30" t="n"/>
      <c r="D1416" s="17" t="n"/>
      <c r="E1416" s="24">
        <f>IF($D1416="","",IFERROR(VLOOKUP($D1416,物料档案!$A$4:$P$1203,3,0),"※编码不在物料档案里"))</f>
        <v/>
      </c>
      <c r="F1416" s="24">
        <f>IF($D1416="","",IFERROR(VLOOKUP($D1416,物料档案!$A$4:$P$1203,4,0),"※编码不在物料档案里"))</f>
        <v/>
      </c>
      <c r="G1416" s="24">
        <f>IF($D1416="","",IFERROR(VLOOKUP($D1416,物料档案!$A$4:$P$1203,5,0),"※编码不在物料档案里"))</f>
        <v/>
      </c>
      <c r="H1416" s="24">
        <f>IF($D1416="","",IFERROR(VLOOKUP($D1416,物料档案!$A$4:$P$1203,2,0),"※编码不在物料档案里"))</f>
        <v/>
      </c>
      <c r="I1416" s="24">
        <f>IF($D1416="","",IFERROR(VLOOKUP($D1416,物料档案!$A$4:$P$1203,6,0),"※编码不在物料档案里"))</f>
        <v/>
      </c>
      <c r="J1416" s="23" t="n"/>
      <c r="K1416" s="17" t="n"/>
      <c r="L1416" s="17" t="n"/>
      <c r="M1416" s="17" t="n"/>
      <c r="N1416" s="17" t="n"/>
      <c r="O1416" s="26">
        <f>IF($D1416="","",IFERROR(VLOOKUP($D1416,物料档案!$A$4:$P$1203,10,0),0))</f>
        <v/>
      </c>
      <c r="P1416" s="32" t="n"/>
      <c r="Q1416" s="26">
        <f>IF($D1416="","",IF($K1416&lt;&gt;"对外销售",0,ROUND(N($J1416)*IF($P1416="",N($O1416),N($P1416)),0)))</f>
        <v/>
      </c>
      <c r="R1416" s="26">
        <f>IF($D1416="","",IFERROR(VLOOKUP($D1416,库存台账!$A$5:$Y$1204,11,0),0))</f>
        <v/>
      </c>
      <c r="S1416" s="26">
        <f>IF($D1416="","",ROUND(N($J1416)*N($R1416),0))</f>
        <v/>
      </c>
      <c r="T1416" s="26">
        <f>IF($D1416="","",IF($K1416&lt;&gt;"对外销售","",ROUND($Q1416-$S1416,0)))</f>
        <v/>
      </c>
      <c r="U1416" s="17" t="n"/>
      <c r="V1416" s="17" t="n"/>
      <c r="W1416" s="24">
        <f>IF($D1416="","",IF($E1416="※编码不在物料档案里","※物料编码不在档案里",IF(N($J1416)&lt;=0,"※出库数量要大于 0",IF($K1416="","※没填去向类型",IF($L1416="","※没填去向矿区",IF(AND($C1416&lt;&gt;"",$C1416&lt;=结账锁),"※日期早于已结账截止日，不能再录",IF(AND($K1416="自用消耗",COUNTIF({"一矿区";"二矿区"},$L1416)=0),"※自用消耗的去向只能是一矿区或二矿区",IF(AND($K1416="对外销售",COUNTIF({"三矿区";"六矿区"},$L1416)=0),"※对外销售的去向只能是三矿区或六矿区",IF(AND($K1416="对外销售",ROUND($Q1416,0)=0),"※外销却没有售价，请填实际售价",IF(AND($K1416="对外销售",$T1416&lt;&gt;"",$T1416&lt;0),"※这一笔外销是亏的，请核对售价",IF(IFERROR(VLOOKUP($D1416,库存台账!$A$5:$Y$1204,24,0),0)&lt;-0.001,"※这个物料账面已经变成负数了，查一下是不是漏记入库","")))))))))))</f>
        <v/>
      </c>
    </row>
    <row r="1417">
      <c r="A1417" s="24">
        <f>IF($D1417="","",COUNTA($D$4:$D1417))</f>
        <v/>
      </c>
      <c r="B1417" s="17" t="n"/>
      <c r="C1417" s="30" t="n"/>
      <c r="D1417" s="17" t="n"/>
      <c r="E1417" s="24">
        <f>IF($D1417="","",IFERROR(VLOOKUP($D1417,物料档案!$A$4:$P$1203,3,0),"※编码不在物料档案里"))</f>
        <v/>
      </c>
      <c r="F1417" s="24">
        <f>IF($D1417="","",IFERROR(VLOOKUP($D1417,物料档案!$A$4:$P$1203,4,0),"※编码不在物料档案里"))</f>
        <v/>
      </c>
      <c r="G1417" s="24">
        <f>IF($D1417="","",IFERROR(VLOOKUP($D1417,物料档案!$A$4:$P$1203,5,0),"※编码不在物料档案里"))</f>
        <v/>
      </c>
      <c r="H1417" s="24">
        <f>IF($D1417="","",IFERROR(VLOOKUP($D1417,物料档案!$A$4:$P$1203,2,0),"※编码不在物料档案里"))</f>
        <v/>
      </c>
      <c r="I1417" s="24">
        <f>IF($D1417="","",IFERROR(VLOOKUP($D1417,物料档案!$A$4:$P$1203,6,0),"※编码不在物料档案里"))</f>
        <v/>
      </c>
      <c r="J1417" s="23" t="n"/>
      <c r="K1417" s="17" t="n"/>
      <c r="L1417" s="17" t="n"/>
      <c r="M1417" s="17" t="n"/>
      <c r="N1417" s="17" t="n"/>
      <c r="O1417" s="26">
        <f>IF($D1417="","",IFERROR(VLOOKUP($D1417,物料档案!$A$4:$P$1203,10,0),0))</f>
        <v/>
      </c>
      <c r="P1417" s="32" t="n"/>
      <c r="Q1417" s="26">
        <f>IF($D1417="","",IF($K1417&lt;&gt;"对外销售",0,ROUND(N($J1417)*IF($P1417="",N($O1417),N($P1417)),0)))</f>
        <v/>
      </c>
      <c r="R1417" s="26">
        <f>IF($D1417="","",IFERROR(VLOOKUP($D1417,库存台账!$A$5:$Y$1204,11,0),0))</f>
        <v/>
      </c>
      <c r="S1417" s="26">
        <f>IF($D1417="","",ROUND(N($J1417)*N($R1417),0))</f>
        <v/>
      </c>
      <c r="T1417" s="26">
        <f>IF($D1417="","",IF($K1417&lt;&gt;"对外销售","",ROUND($Q1417-$S1417,0)))</f>
        <v/>
      </c>
      <c r="U1417" s="17" t="n"/>
      <c r="V1417" s="17" t="n"/>
      <c r="W1417" s="24">
        <f>IF($D1417="","",IF($E1417="※编码不在物料档案里","※物料编码不在档案里",IF(N($J1417)&lt;=0,"※出库数量要大于 0",IF($K1417="","※没填去向类型",IF($L1417="","※没填去向矿区",IF(AND($C1417&lt;&gt;"",$C1417&lt;=结账锁),"※日期早于已结账截止日，不能再录",IF(AND($K1417="自用消耗",COUNTIF({"一矿区";"二矿区"},$L1417)=0),"※自用消耗的去向只能是一矿区或二矿区",IF(AND($K1417="对外销售",COUNTIF({"三矿区";"六矿区"},$L1417)=0),"※对外销售的去向只能是三矿区或六矿区",IF(AND($K1417="对外销售",ROUND($Q1417,0)=0),"※外销却没有售价，请填实际售价",IF(AND($K1417="对外销售",$T1417&lt;&gt;"",$T1417&lt;0),"※这一笔外销是亏的，请核对售价",IF(IFERROR(VLOOKUP($D1417,库存台账!$A$5:$Y$1204,24,0),0)&lt;-0.001,"※这个物料账面已经变成负数了，查一下是不是漏记入库","")))))))))))</f>
        <v/>
      </c>
    </row>
    <row r="1418">
      <c r="A1418" s="24">
        <f>IF($D1418="","",COUNTA($D$4:$D1418))</f>
        <v/>
      </c>
      <c r="B1418" s="17" t="n"/>
      <c r="C1418" s="30" t="n"/>
      <c r="D1418" s="17" t="n"/>
      <c r="E1418" s="24">
        <f>IF($D1418="","",IFERROR(VLOOKUP($D1418,物料档案!$A$4:$P$1203,3,0),"※编码不在物料档案里"))</f>
        <v/>
      </c>
      <c r="F1418" s="24">
        <f>IF($D1418="","",IFERROR(VLOOKUP($D1418,物料档案!$A$4:$P$1203,4,0),"※编码不在物料档案里"))</f>
        <v/>
      </c>
      <c r="G1418" s="24">
        <f>IF($D1418="","",IFERROR(VLOOKUP($D1418,物料档案!$A$4:$P$1203,5,0),"※编码不在物料档案里"))</f>
        <v/>
      </c>
      <c r="H1418" s="24">
        <f>IF($D1418="","",IFERROR(VLOOKUP($D1418,物料档案!$A$4:$P$1203,2,0),"※编码不在物料档案里"))</f>
        <v/>
      </c>
      <c r="I1418" s="24">
        <f>IF($D1418="","",IFERROR(VLOOKUP($D1418,物料档案!$A$4:$P$1203,6,0),"※编码不在物料档案里"))</f>
        <v/>
      </c>
      <c r="J1418" s="23" t="n"/>
      <c r="K1418" s="17" t="n"/>
      <c r="L1418" s="17" t="n"/>
      <c r="M1418" s="17" t="n"/>
      <c r="N1418" s="17" t="n"/>
      <c r="O1418" s="26">
        <f>IF($D1418="","",IFERROR(VLOOKUP($D1418,物料档案!$A$4:$P$1203,10,0),0))</f>
        <v/>
      </c>
      <c r="P1418" s="32" t="n"/>
      <c r="Q1418" s="26">
        <f>IF($D1418="","",IF($K1418&lt;&gt;"对外销售",0,ROUND(N($J1418)*IF($P1418="",N($O1418),N($P1418)),0)))</f>
        <v/>
      </c>
      <c r="R1418" s="26">
        <f>IF($D1418="","",IFERROR(VLOOKUP($D1418,库存台账!$A$5:$Y$1204,11,0),0))</f>
        <v/>
      </c>
      <c r="S1418" s="26">
        <f>IF($D1418="","",ROUND(N($J1418)*N($R1418),0))</f>
        <v/>
      </c>
      <c r="T1418" s="26">
        <f>IF($D1418="","",IF($K1418&lt;&gt;"对外销售","",ROUND($Q1418-$S1418,0)))</f>
        <v/>
      </c>
      <c r="U1418" s="17" t="n"/>
      <c r="V1418" s="17" t="n"/>
      <c r="W1418" s="24">
        <f>IF($D1418="","",IF($E1418="※编码不在物料档案里","※物料编码不在档案里",IF(N($J1418)&lt;=0,"※出库数量要大于 0",IF($K1418="","※没填去向类型",IF($L1418="","※没填去向矿区",IF(AND($C1418&lt;&gt;"",$C1418&lt;=结账锁),"※日期早于已结账截止日，不能再录",IF(AND($K1418="自用消耗",COUNTIF({"一矿区";"二矿区"},$L1418)=0),"※自用消耗的去向只能是一矿区或二矿区",IF(AND($K1418="对外销售",COUNTIF({"三矿区";"六矿区"},$L1418)=0),"※对外销售的去向只能是三矿区或六矿区",IF(AND($K1418="对外销售",ROUND($Q1418,0)=0),"※外销却没有售价，请填实际售价",IF(AND($K1418="对外销售",$T1418&lt;&gt;"",$T1418&lt;0),"※这一笔外销是亏的，请核对售价",IF(IFERROR(VLOOKUP($D1418,库存台账!$A$5:$Y$1204,24,0),0)&lt;-0.001,"※这个物料账面已经变成负数了，查一下是不是漏记入库","")))))))))))</f>
        <v/>
      </c>
    </row>
    <row r="1419">
      <c r="A1419" s="24">
        <f>IF($D1419="","",COUNTA($D$4:$D1419))</f>
        <v/>
      </c>
      <c r="B1419" s="17" t="n"/>
      <c r="C1419" s="30" t="n"/>
      <c r="D1419" s="17" t="n"/>
      <c r="E1419" s="24">
        <f>IF($D1419="","",IFERROR(VLOOKUP($D1419,物料档案!$A$4:$P$1203,3,0),"※编码不在物料档案里"))</f>
        <v/>
      </c>
      <c r="F1419" s="24">
        <f>IF($D1419="","",IFERROR(VLOOKUP($D1419,物料档案!$A$4:$P$1203,4,0),"※编码不在物料档案里"))</f>
        <v/>
      </c>
      <c r="G1419" s="24">
        <f>IF($D1419="","",IFERROR(VLOOKUP($D1419,物料档案!$A$4:$P$1203,5,0),"※编码不在物料档案里"))</f>
        <v/>
      </c>
      <c r="H1419" s="24">
        <f>IF($D1419="","",IFERROR(VLOOKUP($D1419,物料档案!$A$4:$P$1203,2,0),"※编码不在物料档案里"))</f>
        <v/>
      </c>
      <c r="I1419" s="24">
        <f>IF($D1419="","",IFERROR(VLOOKUP($D1419,物料档案!$A$4:$P$1203,6,0),"※编码不在物料档案里"))</f>
        <v/>
      </c>
      <c r="J1419" s="23" t="n"/>
      <c r="K1419" s="17" t="n"/>
      <c r="L1419" s="17" t="n"/>
      <c r="M1419" s="17" t="n"/>
      <c r="N1419" s="17" t="n"/>
      <c r="O1419" s="26">
        <f>IF($D1419="","",IFERROR(VLOOKUP($D1419,物料档案!$A$4:$P$1203,10,0),0))</f>
        <v/>
      </c>
      <c r="P1419" s="32" t="n"/>
      <c r="Q1419" s="26">
        <f>IF($D1419="","",IF($K1419&lt;&gt;"对外销售",0,ROUND(N($J1419)*IF($P1419="",N($O1419),N($P1419)),0)))</f>
        <v/>
      </c>
      <c r="R1419" s="26">
        <f>IF($D1419="","",IFERROR(VLOOKUP($D1419,库存台账!$A$5:$Y$1204,11,0),0))</f>
        <v/>
      </c>
      <c r="S1419" s="26">
        <f>IF($D1419="","",ROUND(N($J1419)*N($R1419),0))</f>
        <v/>
      </c>
      <c r="T1419" s="26">
        <f>IF($D1419="","",IF($K1419&lt;&gt;"对外销售","",ROUND($Q1419-$S1419,0)))</f>
        <v/>
      </c>
      <c r="U1419" s="17" t="n"/>
      <c r="V1419" s="17" t="n"/>
      <c r="W1419" s="24">
        <f>IF($D1419="","",IF($E1419="※编码不在物料档案里","※物料编码不在档案里",IF(N($J1419)&lt;=0,"※出库数量要大于 0",IF($K1419="","※没填去向类型",IF($L1419="","※没填去向矿区",IF(AND($C1419&lt;&gt;"",$C1419&lt;=结账锁),"※日期早于已结账截止日，不能再录",IF(AND($K1419="自用消耗",COUNTIF({"一矿区";"二矿区"},$L1419)=0),"※自用消耗的去向只能是一矿区或二矿区",IF(AND($K1419="对外销售",COUNTIF({"三矿区";"六矿区"},$L1419)=0),"※对外销售的去向只能是三矿区或六矿区",IF(AND($K1419="对外销售",ROUND($Q1419,0)=0),"※外销却没有售价，请填实际售价",IF(AND($K1419="对外销售",$T1419&lt;&gt;"",$T1419&lt;0),"※这一笔外销是亏的，请核对售价",IF(IFERROR(VLOOKUP($D1419,库存台账!$A$5:$Y$1204,24,0),0)&lt;-0.001,"※这个物料账面已经变成负数了，查一下是不是漏记入库","")))))))))))</f>
        <v/>
      </c>
    </row>
    <row r="1420">
      <c r="A1420" s="24">
        <f>IF($D1420="","",COUNTA($D$4:$D1420))</f>
        <v/>
      </c>
      <c r="B1420" s="17" t="n"/>
      <c r="C1420" s="30" t="n"/>
      <c r="D1420" s="17" t="n"/>
      <c r="E1420" s="24">
        <f>IF($D1420="","",IFERROR(VLOOKUP($D1420,物料档案!$A$4:$P$1203,3,0),"※编码不在物料档案里"))</f>
        <v/>
      </c>
      <c r="F1420" s="24">
        <f>IF($D1420="","",IFERROR(VLOOKUP($D1420,物料档案!$A$4:$P$1203,4,0),"※编码不在物料档案里"))</f>
        <v/>
      </c>
      <c r="G1420" s="24">
        <f>IF($D1420="","",IFERROR(VLOOKUP($D1420,物料档案!$A$4:$P$1203,5,0),"※编码不在物料档案里"))</f>
        <v/>
      </c>
      <c r="H1420" s="24">
        <f>IF($D1420="","",IFERROR(VLOOKUP($D1420,物料档案!$A$4:$P$1203,2,0),"※编码不在物料档案里"))</f>
        <v/>
      </c>
      <c r="I1420" s="24">
        <f>IF($D1420="","",IFERROR(VLOOKUP($D1420,物料档案!$A$4:$P$1203,6,0),"※编码不在物料档案里"))</f>
        <v/>
      </c>
      <c r="J1420" s="23" t="n"/>
      <c r="K1420" s="17" t="n"/>
      <c r="L1420" s="17" t="n"/>
      <c r="M1420" s="17" t="n"/>
      <c r="N1420" s="17" t="n"/>
      <c r="O1420" s="26">
        <f>IF($D1420="","",IFERROR(VLOOKUP($D1420,物料档案!$A$4:$P$1203,10,0),0))</f>
        <v/>
      </c>
      <c r="P1420" s="32" t="n"/>
      <c r="Q1420" s="26">
        <f>IF($D1420="","",IF($K1420&lt;&gt;"对外销售",0,ROUND(N($J1420)*IF($P1420="",N($O1420),N($P1420)),0)))</f>
        <v/>
      </c>
      <c r="R1420" s="26">
        <f>IF($D1420="","",IFERROR(VLOOKUP($D1420,库存台账!$A$5:$Y$1204,11,0),0))</f>
        <v/>
      </c>
      <c r="S1420" s="26">
        <f>IF($D1420="","",ROUND(N($J1420)*N($R1420),0))</f>
        <v/>
      </c>
      <c r="T1420" s="26">
        <f>IF($D1420="","",IF($K1420&lt;&gt;"对外销售","",ROUND($Q1420-$S1420,0)))</f>
        <v/>
      </c>
      <c r="U1420" s="17" t="n"/>
      <c r="V1420" s="17" t="n"/>
      <c r="W1420" s="24">
        <f>IF($D1420="","",IF($E1420="※编码不在物料档案里","※物料编码不在档案里",IF(N($J1420)&lt;=0,"※出库数量要大于 0",IF($K1420="","※没填去向类型",IF($L1420="","※没填去向矿区",IF(AND($C1420&lt;&gt;"",$C1420&lt;=结账锁),"※日期早于已结账截止日，不能再录",IF(AND($K1420="自用消耗",COUNTIF({"一矿区";"二矿区"},$L1420)=0),"※自用消耗的去向只能是一矿区或二矿区",IF(AND($K1420="对外销售",COUNTIF({"三矿区";"六矿区"},$L1420)=0),"※对外销售的去向只能是三矿区或六矿区",IF(AND($K1420="对外销售",ROUND($Q1420,0)=0),"※外销却没有售价，请填实际售价",IF(AND($K1420="对外销售",$T1420&lt;&gt;"",$T1420&lt;0),"※这一笔外销是亏的，请核对售价",IF(IFERROR(VLOOKUP($D1420,库存台账!$A$5:$Y$1204,24,0),0)&lt;-0.001,"※这个物料账面已经变成负数了，查一下是不是漏记入库","")))))))))))</f>
        <v/>
      </c>
    </row>
    <row r="1421">
      <c r="A1421" s="24">
        <f>IF($D1421="","",COUNTA($D$4:$D1421))</f>
        <v/>
      </c>
      <c r="B1421" s="17" t="n"/>
      <c r="C1421" s="30" t="n"/>
      <c r="D1421" s="17" t="n"/>
      <c r="E1421" s="24">
        <f>IF($D1421="","",IFERROR(VLOOKUP($D1421,物料档案!$A$4:$P$1203,3,0),"※编码不在物料档案里"))</f>
        <v/>
      </c>
      <c r="F1421" s="24">
        <f>IF($D1421="","",IFERROR(VLOOKUP($D1421,物料档案!$A$4:$P$1203,4,0),"※编码不在物料档案里"))</f>
        <v/>
      </c>
      <c r="G1421" s="24">
        <f>IF($D1421="","",IFERROR(VLOOKUP($D1421,物料档案!$A$4:$P$1203,5,0),"※编码不在物料档案里"))</f>
        <v/>
      </c>
      <c r="H1421" s="24">
        <f>IF($D1421="","",IFERROR(VLOOKUP($D1421,物料档案!$A$4:$P$1203,2,0),"※编码不在物料档案里"))</f>
        <v/>
      </c>
      <c r="I1421" s="24">
        <f>IF($D1421="","",IFERROR(VLOOKUP($D1421,物料档案!$A$4:$P$1203,6,0),"※编码不在物料档案里"))</f>
        <v/>
      </c>
      <c r="J1421" s="23" t="n"/>
      <c r="K1421" s="17" t="n"/>
      <c r="L1421" s="17" t="n"/>
      <c r="M1421" s="17" t="n"/>
      <c r="N1421" s="17" t="n"/>
      <c r="O1421" s="26">
        <f>IF($D1421="","",IFERROR(VLOOKUP($D1421,物料档案!$A$4:$P$1203,10,0),0))</f>
        <v/>
      </c>
      <c r="P1421" s="32" t="n"/>
      <c r="Q1421" s="26">
        <f>IF($D1421="","",IF($K1421&lt;&gt;"对外销售",0,ROUND(N($J1421)*IF($P1421="",N($O1421),N($P1421)),0)))</f>
        <v/>
      </c>
      <c r="R1421" s="26">
        <f>IF($D1421="","",IFERROR(VLOOKUP($D1421,库存台账!$A$5:$Y$1204,11,0),0))</f>
        <v/>
      </c>
      <c r="S1421" s="26">
        <f>IF($D1421="","",ROUND(N($J1421)*N($R1421),0))</f>
        <v/>
      </c>
      <c r="T1421" s="26">
        <f>IF($D1421="","",IF($K1421&lt;&gt;"对外销售","",ROUND($Q1421-$S1421,0)))</f>
        <v/>
      </c>
      <c r="U1421" s="17" t="n"/>
      <c r="V1421" s="17" t="n"/>
      <c r="W1421" s="24">
        <f>IF($D1421="","",IF($E1421="※编码不在物料档案里","※物料编码不在档案里",IF(N($J1421)&lt;=0,"※出库数量要大于 0",IF($K1421="","※没填去向类型",IF($L1421="","※没填去向矿区",IF(AND($C1421&lt;&gt;"",$C1421&lt;=结账锁),"※日期早于已结账截止日，不能再录",IF(AND($K1421="自用消耗",COUNTIF({"一矿区";"二矿区"},$L1421)=0),"※自用消耗的去向只能是一矿区或二矿区",IF(AND($K1421="对外销售",COUNTIF({"三矿区";"六矿区"},$L1421)=0),"※对外销售的去向只能是三矿区或六矿区",IF(AND($K1421="对外销售",ROUND($Q1421,0)=0),"※外销却没有售价，请填实际售价",IF(AND($K1421="对外销售",$T1421&lt;&gt;"",$T1421&lt;0),"※这一笔外销是亏的，请核对售价",IF(IFERROR(VLOOKUP($D1421,库存台账!$A$5:$Y$1204,24,0),0)&lt;-0.001,"※这个物料账面已经变成负数了，查一下是不是漏记入库","")))))))))))</f>
        <v/>
      </c>
    </row>
    <row r="1422">
      <c r="A1422" s="24">
        <f>IF($D1422="","",COUNTA($D$4:$D1422))</f>
        <v/>
      </c>
      <c r="B1422" s="17" t="n"/>
      <c r="C1422" s="30" t="n"/>
      <c r="D1422" s="17" t="n"/>
      <c r="E1422" s="24">
        <f>IF($D1422="","",IFERROR(VLOOKUP($D1422,物料档案!$A$4:$P$1203,3,0),"※编码不在物料档案里"))</f>
        <v/>
      </c>
      <c r="F1422" s="24">
        <f>IF($D1422="","",IFERROR(VLOOKUP($D1422,物料档案!$A$4:$P$1203,4,0),"※编码不在物料档案里"))</f>
        <v/>
      </c>
      <c r="G1422" s="24">
        <f>IF($D1422="","",IFERROR(VLOOKUP($D1422,物料档案!$A$4:$P$1203,5,0),"※编码不在物料档案里"))</f>
        <v/>
      </c>
      <c r="H1422" s="24">
        <f>IF($D1422="","",IFERROR(VLOOKUP($D1422,物料档案!$A$4:$P$1203,2,0),"※编码不在物料档案里"))</f>
        <v/>
      </c>
      <c r="I1422" s="24">
        <f>IF($D1422="","",IFERROR(VLOOKUP($D1422,物料档案!$A$4:$P$1203,6,0),"※编码不在物料档案里"))</f>
        <v/>
      </c>
      <c r="J1422" s="23" t="n"/>
      <c r="K1422" s="17" t="n"/>
      <c r="L1422" s="17" t="n"/>
      <c r="M1422" s="17" t="n"/>
      <c r="N1422" s="17" t="n"/>
      <c r="O1422" s="26">
        <f>IF($D1422="","",IFERROR(VLOOKUP($D1422,物料档案!$A$4:$P$1203,10,0),0))</f>
        <v/>
      </c>
      <c r="P1422" s="32" t="n"/>
      <c r="Q1422" s="26">
        <f>IF($D1422="","",IF($K1422&lt;&gt;"对外销售",0,ROUND(N($J1422)*IF($P1422="",N($O1422),N($P1422)),0)))</f>
        <v/>
      </c>
      <c r="R1422" s="26">
        <f>IF($D1422="","",IFERROR(VLOOKUP($D1422,库存台账!$A$5:$Y$1204,11,0),0))</f>
        <v/>
      </c>
      <c r="S1422" s="26">
        <f>IF($D1422="","",ROUND(N($J1422)*N($R1422),0))</f>
        <v/>
      </c>
      <c r="T1422" s="26">
        <f>IF($D1422="","",IF($K1422&lt;&gt;"对外销售","",ROUND($Q1422-$S1422,0)))</f>
        <v/>
      </c>
      <c r="U1422" s="17" t="n"/>
      <c r="V1422" s="17" t="n"/>
      <c r="W1422" s="24">
        <f>IF($D1422="","",IF($E1422="※编码不在物料档案里","※物料编码不在档案里",IF(N($J1422)&lt;=0,"※出库数量要大于 0",IF($K1422="","※没填去向类型",IF($L1422="","※没填去向矿区",IF(AND($C1422&lt;&gt;"",$C1422&lt;=结账锁),"※日期早于已结账截止日，不能再录",IF(AND($K1422="自用消耗",COUNTIF({"一矿区";"二矿区"},$L1422)=0),"※自用消耗的去向只能是一矿区或二矿区",IF(AND($K1422="对外销售",COUNTIF({"三矿区";"六矿区"},$L1422)=0),"※对外销售的去向只能是三矿区或六矿区",IF(AND($K1422="对外销售",ROUND($Q1422,0)=0),"※外销却没有售价，请填实际售价",IF(AND($K1422="对外销售",$T1422&lt;&gt;"",$T1422&lt;0),"※这一笔外销是亏的，请核对售价",IF(IFERROR(VLOOKUP($D1422,库存台账!$A$5:$Y$1204,24,0),0)&lt;-0.001,"※这个物料账面已经变成负数了，查一下是不是漏记入库","")))))))))))</f>
        <v/>
      </c>
    </row>
    <row r="1423">
      <c r="A1423" s="24">
        <f>IF($D1423="","",COUNTA($D$4:$D1423))</f>
        <v/>
      </c>
      <c r="B1423" s="17" t="n"/>
      <c r="C1423" s="30" t="n"/>
      <c r="D1423" s="17" t="n"/>
      <c r="E1423" s="24">
        <f>IF($D1423="","",IFERROR(VLOOKUP($D1423,物料档案!$A$4:$P$1203,3,0),"※编码不在物料档案里"))</f>
        <v/>
      </c>
      <c r="F1423" s="24">
        <f>IF($D1423="","",IFERROR(VLOOKUP($D1423,物料档案!$A$4:$P$1203,4,0),"※编码不在物料档案里"))</f>
        <v/>
      </c>
      <c r="G1423" s="24">
        <f>IF($D1423="","",IFERROR(VLOOKUP($D1423,物料档案!$A$4:$P$1203,5,0),"※编码不在物料档案里"))</f>
        <v/>
      </c>
      <c r="H1423" s="24">
        <f>IF($D1423="","",IFERROR(VLOOKUP($D1423,物料档案!$A$4:$P$1203,2,0),"※编码不在物料档案里"))</f>
        <v/>
      </c>
      <c r="I1423" s="24">
        <f>IF($D1423="","",IFERROR(VLOOKUP($D1423,物料档案!$A$4:$P$1203,6,0),"※编码不在物料档案里"))</f>
        <v/>
      </c>
      <c r="J1423" s="23" t="n"/>
      <c r="K1423" s="17" t="n"/>
      <c r="L1423" s="17" t="n"/>
      <c r="M1423" s="17" t="n"/>
      <c r="N1423" s="17" t="n"/>
      <c r="O1423" s="26">
        <f>IF($D1423="","",IFERROR(VLOOKUP($D1423,物料档案!$A$4:$P$1203,10,0),0))</f>
        <v/>
      </c>
      <c r="P1423" s="32" t="n"/>
      <c r="Q1423" s="26">
        <f>IF($D1423="","",IF($K1423&lt;&gt;"对外销售",0,ROUND(N($J1423)*IF($P1423="",N($O1423),N($P1423)),0)))</f>
        <v/>
      </c>
      <c r="R1423" s="26">
        <f>IF($D1423="","",IFERROR(VLOOKUP($D1423,库存台账!$A$5:$Y$1204,11,0),0))</f>
        <v/>
      </c>
      <c r="S1423" s="26">
        <f>IF($D1423="","",ROUND(N($J1423)*N($R1423),0))</f>
        <v/>
      </c>
      <c r="T1423" s="26">
        <f>IF($D1423="","",IF($K1423&lt;&gt;"对外销售","",ROUND($Q1423-$S1423,0)))</f>
        <v/>
      </c>
      <c r="U1423" s="17" t="n"/>
      <c r="V1423" s="17" t="n"/>
      <c r="W1423" s="24">
        <f>IF($D1423="","",IF($E1423="※编码不在物料档案里","※物料编码不在档案里",IF(N($J1423)&lt;=0,"※出库数量要大于 0",IF($K1423="","※没填去向类型",IF($L1423="","※没填去向矿区",IF(AND($C1423&lt;&gt;"",$C1423&lt;=结账锁),"※日期早于已结账截止日，不能再录",IF(AND($K1423="自用消耗",COUNTIF({"一矿区";"二矿区"},$L1423)=0),"※自用消耗的去向只能是一矿区或二矿区",IF(AND($K1423="对外销售",COUNTIF({"三矿区";"六矿区"},$L1423)=0),"※对外销售的去向只能是三矿区或六矿区",IF(AND($K1423="对外销售",ROUND($Q1423,0)=0),"※外销却没有售价，请填实际售价",IF(AND($K1423="对外销售",$T1423&lt;&gt;"",$T1423&lt;0),"※这一笔外销是亏的，请核对售价",IF(IFERROR(VLOOKUP($D1423,库存台账!$A$5:$Y$1204,24,0),0)&lt;-0.001,"※这个物料账面已经变成负数了，查一下是不是漏记入库","")))))))))))</f>
        <v/>
      </c>
    </row>
    <row r="1424">
      <c r="A1424" s="24">
        <f>IF($D1424="","",COUNTA($D$4:$D1424))</f>
        <v/>
      </c>
      <c r="B1424" s="17" t="n"/>
      <c r="C1424" s="30" t="n"/>
      <c r="D1424" s="17" t="n"/>
      <c r="E1424" s="24">
        <f>IF($D1424="","",IFERROR(VLOOKUP($D1424,物料档案!$A$4:$P$1203,3,0),"※编码不在物料档案里"))</f>
        <v/>
      </c>
      <c r="F1424" s="24">
        <f>IF($D1424="","",IFERROR(VLOOKUP($D1424,物料档案!$A$4:$P$1203,4,0),"※编码不在物料档案里"))</f>
        <v/>
      </c>
      <c r="G1424" s="24">
        <f>IF($D1424="","",IFERROR(VLOOKUP($D1424,物料档案!$A$4:$P$1203,5,0),"※编码不在物料档案里"))</f>
        <v/>
      </c>
      <c r="H1424" s="24">
        <f>IF($D1424="","",IFERROR(VLOOKUP($D1424,物料档案!$A$4:$P$1203,2,0),"※编码不在物料档案里"))</f>
        <v/>
      </c>
      <c r="I1424" s="24">
        <f>IF($D1424="","",IFERROR(VLOOKUP($D1424,物料档案!$A$4:$P$1203,6,0),"※编码不在物料档案里"))</f>
        <v/>
      </c>
      <c r="J1424" s="23" t="n"/>
      <c r="K1424" s="17" t="n"/>
      <c r="L1424" s="17" t="n"/>
      <c r="M1424" s="17" t="n"/>
      <c r="N1424" s="17" t="n"/>
      <c r="O1424" s="26">
        <f>IF($D1424="","",IFERROR(VLOOKUP($D1424,物料档案!$A$4:$P$1203,10,0),0))</f>
        <v/>
      </c>
      <c r="P1424" s="32" t="n"/>
      <c r="Q1424" s="26">
        <f>IF($D1424="","",IF($K1424&lt;&gt;"对外销售",0,ROUND(N($J1424)*IF($P1424="",N($O1424),N($P1424)),0)))</f>
        <v/>
      </c>
      <c r="R1424" s="26">
        <f>IF($D1424="","",IFERROR(VLOOKUP($D1424,库存台账!$A$5:$Y$1204,11,0),0))</f>
        <v/>
      </c>
      <c r="S1424" s="26">
        <f>IF($D1424="","",ROUND(N($J1424)*N($R1424),0))</f>
        <v/>
      </c>
      <c r="T1424" s="26">
        <f>IF($D1424="","",IF($K1424&lt;&gt;"对外销售","",ROUND($Q1424-$S1424,0)))</f>
        <v/>
      </c>
      <c r="U1424" s="17" t="n"/>
      <c r="V1424" s="17" t="n"/>
      <c r="W1424" s="24">
        <f>IF($D1424="","",IF($E1424="※编码不在物料档案里","※物料编码不在档案里",IF(N($J1424)&lt;=0,"※出库数量要大于 0",IF($K1424="","※没填去向类型",IF($L1424="","※没填去向矿区",IF(AND($C1424&lt;&gt;"",$C1424&lt;=结账锁),"※日期早于已结账截止日，不能再录",IF(AND($K1424="自用消耗",COUNTIF({"一矿区";"二矿区"},$L1424)=0),"※自用消耗的去向只能是一矿区或二矿区",IF(AND($K1424="对外销售",COUNTIF({"三矿区";"六矿区"},$L1424)=0),"※对外销售的去向只能是三矿区或六矿区",IF(AND($K1424="对外销售",ROUND($Q1424,0)=0),"※外销却没有售价，请填实际售价",IF(AND($K1424="对外销售",$T1424&lt;&gt;"",$T1424&lt;0),"※这一笔外销是亏的，请核对售价",IF(IFERROR(VLOOKUP($D1424,库存台账!$A$5:$Y$1204,24,0),0)&lt;-0.001,"※这个物料账面已经变成负数了，查一下是不是漏记入库","")))))))))))</f>
        <v/>
      </c>
    </row>
    <row r="1425">
      <c r="A1425" s="24">
        <f>IF($D1425="","",COUNTA($D$4:$D1425))</f>
        <v/>
      </c>
      <c r="B1425" s="17" t="n"/>
      <c r="C1425" s="30" t="n"/>
      <c r="D1425" s="17" t="n"/>
      <c r="E1425" s="24">
        <f>IF($D1425="","",IFERROR(VLOOKUP($D1425,物料档案!$A$4:$P$1203,3,0),"※编码不在物料档案里"))</f>
        <v/>
      </c>
      <c r="F1425" s="24">
        <f>IF($D1425="","",IFERROR(VLOOKUP($D1425,物料档案!$A$4:$P$1203,4,0),"※编码不在物料档案里"))</f>
        <v/>
      </c>
      <c r="G1425" s="24">
        <f>IF($D1425="","",IFERROR(VLOOKUP($D1425,物料档案!$A$4:$P$1203,5,0),"※编码不在物料档案里"))</f>
        <v/>
      </c>
      <c r="H1425" s="24">
        <f>IF($D1425="","",IFERROR(VLOOKUP($D1425,物料档案!$A$4:$P$1203,2,0),"※编码不在物料档案里"))</f>
        <v/>
      </c>
      <c r="I1425" s="24">
        <f>IF($D1425="","",IFERROR(VLOOKUP($D1425,物料档案!$A$4:$P$1203,6,0),"※编码不在物料档案里"))</f>
        <v/>
      </c>
      <c r="J1425" s="23" t="n"/>
      <c r="K1425" s="17" t="n"/>
      <c r="L1425" s="17" t="n"/>
      <c r="M1425" s="17" t="n"/>
      <c r="N1425" s="17" t="n"/>
      <c r="O1425" s="26">
        <f>IF($D1425="","",IFERROR(VLOOKUP($D1425,物料档案!$A$4:$P$1203,10,0),0))</f>
        <v/>
      </c>
      <c r="P1425" s="32" t="n"/>
      <c r="Q1425" s="26">
        <f>IF($D1425="","",IF($K1425&lt;&gt;"对外销售",0,ROUND(N($J1425)*IF($P1425="",N($O1425),N($P1425)),0)))</f>
        <v/>
      </c>
      <c r="R1425" s="26">
        <f>IF($D1425="","",IFERROR(VLOOKUP($D1425,库存台账!$A$5:$Y$1204,11,0),0))</f>
        <v/>
      </c>
      <c r="S1425" s="26">
        <f>IF($D1425="","",ROUND(N($J1425)*N($R1425),0))</f>
        <v/>
      </c>
      <c r="T1425" s="26">
        <f>IF($D1425="","",IF($K1425&lt;&gt;"对外销售","",ROUND($Q1425-$S1425,0)))</f>
        <v/>
      </c>
      <c r="U1425" s="17" t="n"/>
      <c r="V1425" s="17" t="n"/>
      <c r="W1425" s="24">
        <f>IF($D1425="","",IF($E1425="※编码不在物料档案里","※物料编码不在档案里",IF(N($J1425)&lt;=0,"※出库数量要大于 0",IF($K1425="","※没填去向类型",IF($L1425="","※没填去向矿区",IF(AND($C1425&lt;&gt;"",$C1425&lt;=结账锁),"※日期早于已结账截止日，不能再录",IF(AND($K1425="自用消耗",COUNTIF({"一矿区";"二矿区"},$L1425)=0),"※自用消耗的去向只能是一矿区或二矿区",IF(AND($K1425="对外销售",COUNTIF({"三矿区";"六矿区"},$L1425)=0),"※对外销售的去向只能是三矿区或六矿区",IF(AND($K1425="对外销售",ROUND($Q1425,0)=0),"※外销却没有售价，请填实际售价",IF(AND($K1425="对外销售",$T1425&lt;&gt;"",$T1425&lt;0),"※这一笔外销是亏的，请核对售价",IF(IFERROR(VLOOKUP($D1425,库存台账!$A$5:$Y$1204,24,0),0)&lt;-0.001,"※这个物料账面已经变成负数了，查一下是不是漏记入库","")))))))))))</f>
        <v/>
      </c>
    </row>
    <row r="1426">
      <c r="A1426" s="24">
        <f>IF($D1426="","",COUNTA($D$4:$D1426))</f>
        <v/>
      </c>
      <c r="B1426" s="17" t="n"/>
      <c r="C1426" s="30" t="n"/>
      <c r="D1426" s="17" t="n"/>
      <c r="E1426" s="24">
        <f>IF($D1426="","",IFERROR(VLOOKUP($D1426,物料档案!$A$4:$P$1203,3,0),"※编码不在物料档案里"))</f>
        <v/>
      </c>
      <c r="F1426" s="24">
        <f>IF($D1426="","",IFERROR(VLOOKUP($D1426,物料档案!$A$4:$P$1203,4,0),"※编码不在物料档案里"))</f>
        <v/>
      </c>
      <c r="G1426" s="24">
        <f>IF($D1426="","",IFERROR(VLOOKUP($D1426,物料档案!$A$4:$P$1203,5,0),"※编码不在物料档案里"))</f>
        <v/>
      </c>
      <c r="H1426" s="24">
        <f>IF($D1426="","",IFERROR(VLOOKUP($D1426,物料档案!$A$4:$P$1203,2,0),"※编码不在物料档案里"))</f>
        <v/>
      </c>
      <c r="I1426" s="24">
        <f>IF($D1426="","",IFERROR(VLOOKUP($D1426,物料档案!$A$4:$P$1203,6,0),"※编码不在物料档案里"))</f>
        <v/>
      </c>
      <c r="J1426" s="23" t="n"/>
      <c r="K1426" s="17" t="n"/>
      <c r="L1426" s="17" t="n"/>
      <c r="M1426" s="17" t="n"/>
      <c r="N1426" s="17" t="n"/>
      <c r="O1426" s="26">
        <f>IF($D1426="","",IFERROR(VLOOKUP($D1426,物料档案!$A$4:$P$1203,10,0),0))</f>
        <v/>
      </c>
      <c r="P1426" s="32" t="n"/>
      <c r="Q1426" s="26">
        <f>IF($D1426="","",IF($K1426&lt;&gt;"对外销售",0,ROUND(N($J1426)*IF($P1426="",N($O1426),N($P1426)),0)))</f>
        <v/>
      </c>
      <c r="R1426" s="26">
        <f>IF($D1426="","",IFERROR(VLOOKUP($D1426,库存台账!$A$5:$Y$1204,11,0),0))</f>
        <v/>
      </c>
      <c r="S1426" s="26">
        <f>IF($D1426="","",ROUND(N($J1426)*N($R1426),0))</f>
        <v/>
      </c>
      <c r="T1426" s="26">
        <f>IF($D1426="","",IF($K1426&lt;&gt;"对外销售","",ROUND($Q1426-$S1426,0)))</f>
        <v/>
      </c>
      <c r="U1426" s="17" t="n"/>
      <c r="V1426" s="17" t="n"/>
      <c r="W1426" s="24">
        <f>IF($D1426="","",IF($E1426="※编码不在物料档案里","※物料编码不在档案里",IF(N($J1426)&lt;=0,"※出库数量要大于 0",IF($K1426="","※没填去向类型",IF($L1426="","※没填去向矿区",IF(AND($C1426&lt;&gt;"",$C1426&lt;=结账锁),"※日期早于已结账截止日，不能再录",IF(AND($K1426="自用消耗",COUNTIF({"一矿区";"二矿区"},$L1426)=0),"※自用消耗的去向只能是一矿区或二矿区",IF(AND($K1426="对外销售",COUNTIF({"三矿区";"六矿区"},$L1426)=0),"※对外销售的去向只能是三矿区或六矿区",IF(AND($K1426="对外销售",ROUND($Q1426,0)=0),"※外销却没有售价，请填实际售价",IF(AND($K1426="对外销售",$T1426&lt;&gt;"",$T1426&lt;0),"※这一笔外销是亏的，请核对售价",IF(IFERROR(VLOOKUP($D1426,库存台账!$A$5:$Y$1204,24,0),0)&lt;-0.001,"※这个物料账面已经变成负数了，查一下是不是漏记入库","")))))))))))</f>
        <v/>
      </c>
    </row>
    <row r="1427">
      <c r="A1427" s="24">
        <f>IF($D1427="","",COUNTA($D$4:$D1427))</f>
        <v/>
      </c>
      <c r="B1427" s="17" t="n"/>
      <c r="C1427" s="30" t="n"/>
      <c r="D1427" s="17" t="n"/>
      <c r="E1427" s="24">
        <f>IF($D1427="","",IFERROR(VLOOKUP($D1427,物料档案!$A$4:$P$1203,3,0),"※编码不在物料档案里"))</f>
        <v/>
      </c>
      <c r="F1427" s="24">
        <f>IF($D1427="","",IFERROR(VLOOKUP($D1427,物料档案!$A$4:$P$1203,4,0),"※编码不在物料档案里"))</f>
        <v/>
      </c>
      <c r="G1427" s="24">
        <f>IF($D1427="","",IFERROR(VLOOKUP($D1427,物料档案!$A$4:$P$1203,5,0),"※编码不在物料档案里"))</f>
        <v/>
      </c>
      <c r="H1427" s="24">
        <f>IF($D1427="","",IFERROR(VLOOKUP($D1427,物料档案!$A$4:$P$1203,2,0),"※编码不在物料档案里"))</f>
        <v/>
      </c>
      <c r="I1427" s="24">
        <f>IF($D1427="","",IFERROR(VLOOKUP($D1427,物料档案!$A$4:$P$1203,6,0),"※编码不在物料档案里"))</f>
        <v/>
      </c>
      <c r="J1427" s="23" t="n"/>
      <c r="K1427" s="17" t="n"/>
      <c r="L1427" s="17" t="n"/>
      <c r="M1427" s="17" t="n"/>
      <c r="N1427" s="17" t="n"/>
      <c r="O1427" s="26">
        <f>IF($D1427="","",IFERROR(VLOOKUP($D1427,物料档案!$A$4:$P$1203,10,0),0))</f>
        <v/>
      </c>
      <c r="P1427" s="32" t="n"/>
      <c r="Q1427" s="26">
        <f>IF($D1427="","",IF($K1427&lt;&gt;"对外销售",0,ROUND(N($J1427)*IF($P1427="",N($O1427),N($P1427)),0)))</f>
        <v/>
      </c>
      <c r="R1427" s="26">
        <f>IF($D1427="","",IFERROR(VLOOKUP($D1427,库存台账!$A$5:$Y$1204,11,0),0))</f>
        <v/>
      </c>
      <c r="S1427" s="26">
        <f>IF($D1427="","",ROUND(N($J1427)*N($R1427),0))</f>
        <v/>
      </c>
      <c r="T1427" s="26">
        <f>IF($D1427="","",IF($K1427&lt;&gt;"对外销售","",ROUND($Q1427-$S1427,0)))</f>
        <v/>
      </c>
      <c r="U1427" s="17" t="n"/>
      <c r="V1427" s="17" t="n"/>
      <c r="W1427" s="24">
        <f>IF($D1427="","",IF($E1427="※编码不在物料档案里","※物料编码不在档案里",IF(N($J1427)&lt;=0,"※出库数量要大于 0",IF($K1427="","※没填去向类型",IF($L1427="","※没填去向矿区",IF(AND($C1427&lt;&gt;"",$C1427&lt;=结账锁),"※日期早于已结账截止日，不能再录",IF(AND($K1427="自用消耗",COUNTIF({"一矿区";"二矿区"},$L1427)=0),"※自用消耗的去向只能是一矿区或二矿区",IF(AND($K1427="对外销售",COUNTIF({"三矿区";"六矿区"},$L1427)=0),"※对外销售的去向只能是三矿区或六矿区",IF(AND($K1427="对外销售",ROUND($Q1427,0)=0),"※外销却没有售价，请填实际售价",IF(AND($K1427="对外销售",$T1427&lt;&gt;"",$T1427&lt;0),"※这一笔外销是亏的，请核对售价",IF(IFERROR(VLOOKUP($D1427,库存台账!$A$5:$Y$1204,24,0),0)&lt;-0.001,"※这个物料账面已经变成负数了，查一下是不是漏记入库","")))))))))))</f>
        <v/>
      </c>
    </row>
    <row r="1428">
      <c r="A1428" s="24">
        <f>IF($D1428="","",COUNTA($D$4:$D1428))</f>
        <v/>
      </c>
      <c r="B1428" s="17" t="n"/>
      <c r="C1428" s="30" t="n"/>
      <c r="D1428" s="17" t="n"/>
      <c r="E1428" s="24">
        <f>IF($D1428="","",IFERROR(VLOOKUP($D1428,物料档案!$A$4:$P$1203,3,0),"※编码不在物料档案里"))</f>
        <v/>
      </c>
      <c r="F1428" s="24">
        <f>IF($D1428="","",IFERROR(VLOOKUP($D1428,物料档案!$A$4:$P$1203,4,0),"※编码不在物料档案里"))</f>
        <v/>
      </c>
      <c r="G1428" s="24">
        <f>IF($D1428="","",IFERROR(VLOOKUP($D1428,物料档案!$A$4:$P$1203,5,0),"※编码不在物料档案里"))</f>
        <v/>
      </c>
      <c r="H1428" s="24">
        <f>IF($D1428="","",IFERROR(VLOOKUP($D1428,物料档案!$A$4:$P$1203,2,0),"※编码不在物料档案里"))</f>
        <v/>
      </c>
      <c r="I1428" s="24">
        <f>IF($D1428="","",IFERROR(VLOOKUP($D1428,物料档案!$A$4:$P$1203,6,0),"※编码不在物料档案里"))</f>
        <v/>
      </c>
      <c r="J1428" s="23" t="n"/>
      <c r="K1428" s="17" t="n"/>
      <c r="L1428" s="17" t="n"/>
      <c r="M1428" s="17" t="n"/>
      <c r="N1428" s="17" t="n"/>
      <c r="O1428" s="26">
        <f>IF($D1428="","",IFERROR(VLOOKUP($D1428,物料档案!$A$4:$P$1203,10,0),0))</f>
        <v/>
      </c>
      <c r="P1428" s="32" t="n"/>
      <c r="Q1428" s="26">
        <f>IF($D1428="","",IF($K1428&lt;&gt;"对外销售",0,ROUND(N($J1428)*IF($P1428="",N($O1428),N($P1428)),0)))</f>
        <v/>
      </c>
      <c r="R1428" s="26">
        <f>IF($D1428="","",IFERROR(VLOOKUP($D1428,库存台账!$A$5:$Y$1204,11,0),0))</f>
        <v/>
      </c>
      <c r="S1428" s="26">
        <f>IF($D1428="","",ROUND(N($J1428)*N($R1428),0))</f>
        <v/>
      </c>
      <c r="T1428" s="26">
        <f>IF($D1428="","",IF($K1428&lt;&gt;"对外销售","",ROUND($Q1428-$S1428,0)))</f>
        <v/>
      </c>
      <c r="U1428" s="17" t="n"/>
      <c r="V1428" s="17" t="n"/>
      <c r="W1428" s="24">
        <f>IF($D1428="","",IF($E1428="※编码不在物料档案里","※物料编码不在档案里",IF(N($J1428)&lt;=0,"※出库数量要大于 0",IF($K1428="","※没填去向类型",IF($L1428="","※没填去向矿区",IF(AND($C1428&lt;&gt;"",$C1428&lt;=结账锁),"※日期早于已结账截止日，不能再录",IF(AND($K1428="自用消耗",COUNTIF({"一矿区";"二矿区"},$L1428)=0),"※自用消耗的去向只能是一矿区或二矿区",IF(AND($K1428="对外销售",COUNTIF({"三矿区";"六矿区"},$L1428)=0),"※对外销售的去向只能是三矿区或六矿区",IF(AND($K1428="对外销售",ROUND($Q1428,0)=0),"※外销却没有售价，请填实际售价",IF(AND($K1428="对外销售",$T1428&lt;&gt;"",$T1428&lt;0),"※这一笔外销是亏的，请核对售价",IF(IFERROR(VLOOKUP($D1428,库存台账!$A$5:$Y$1204,24,0),0)&lt;-0.001,"※这个物料账面已经变成负数了，查一下是不是漏记入库","")))))))))))</f>
        <v/>
      </c>
    </row>
    <row r="1429">
      <c r="A1429" s="24">
        <f>IF($D1429="","",COUNTA($D$4:$D1429))</f>
        <v/>
      </c>
      <c r="B1429" s="17" t="n"/>
      <c r="C1429" s="30" t="n"/>
      <c r="D1429" s="17" t="n"/>
      <c r="E1429" s="24">
        <f>IF($D1429="","",IFERROR(VLOOKUP($D1429,物料档案!$A$4:$P$1203,3,0),"※编码不在物料档案里"))</f>
        <v/>
      </c>
      <c r="F1429" s="24">
        <f>IF($D1429="","",IFERROR(VLOOKUP($D1429,物料档案!$A$4:$P$1203,4,0),"※编码不在物料档案里"))</f>
        <v/>
      </c>
      <c r="G1429" s="24">
        <f>IF($D1429="","",IFERROR(VLOOKUP($D1429,物料档案!$A$4:$P$1203,5,0),"※编码不在物料档案里"))</f>
        <v/>
      </c>
      <c r="H1429" s="24">
        <f>IF($D1429="","",IFERROR(VLOOKUP($D1429,物料档案!$A$4:$P$1203,2,0),"※编码不在物料档案里"))</f>
        <v/>
      </c>
      <c r="I1429" s="24">
        <f>IF($D1429="","",IFERROR(VLOOKUP($D1429,物料档案!$A$4:$P$1203,6,0),"※编码不在物料档案里"))</f>
        <v/>
      </c>
      <c r="J1429" s="23" t="n"/>
      <c r="K1429" s="17" t="n"/>
      <c r="L1429" s="17" t="n"/>
      <c r="M1429" s="17" t="n"/>
      <c r="N1429" s="17" t="n"/>
      <c r="O1429" s="26">
        <f>IF($D1429="","",IFERROR(VLOOKUP($D1429,物料档案!$A$4:$P$1203,10,0),0))</f>
        <v/>
      </c>
      <c r="P1429" s="32" t="n"/>
      <c r="Q1429" s="26">
        <f>IF($D1429="","",IF($K1429&lt;&gt;"对外销售",0,ROUND(N($J1429)*IF($P1429="",N($O1429),N($P1429)),0)))</f>
        <v/>
      </c>
      <c r="R1429" s="26">
        <f>IF($D1429="","",IFERROR(VLOOKUP($D1429,库存台账!$A$5:$Y$1204,11,0),0))</f>
        <v/>
      </c>
      <c r="S1429" s="26">
        <f>IF($D1429="","",ROUND(N($J1429)*N($R1429),0))</f>
        <v/>
      </c>
      <c r="T1429" s="26">
        <f>IF($D1429="","",IF($K1429&lt;&gt;"对外销售","",ROUND($Q1429-$S1429,0)))</f>
        <v/>
      </c>
      <c r="U1429" s="17" t="n"/>
      <c r="V1429" s="17" t="n"/>
      <c r="W1429" s="24">
        <f>IF($D1429="","",IF($E1429="※编码不在物料档案里","※物料编码不在档案里",IF(N($J1429)&lt;=0,"※出库数量要大于 0",IF($K1429="","※没填去向类型",IF($L1429="","※没填去向矿区",IF(AND($C1429&lt;&gt;"",$C1429&lt;=结账锁),"※日期早于已结账截止日，不能再录",IF(AND($K1429="自用消耗",COUNTIF({"一矿区";"二矿区"},$L1429)=0),"※自用消耗的去向只能是一矿区或二矿区",IF(AND($K1429="对外销售",COUNTIF({"三矿区";"六矿区"},$L1429)=0),"※对外销售的去向只能是三矿区或六矿区",IF(AND($K1429="对外销售",ROUND($Q1429,0)=0),"※外销却没有售价，请填实际售价",IF(AND($K1429="对外销售",$T1429&lt;&gt;"",$T1429&lt;0),"※这一笔外销是亏的，请核对售价",IF(IFERROR(VLOOKUP($D1429,库存台账!$A$5:$Y$1204,24,0),0)&lt;-0.001,"※这个物料账面已经变成负数了，查一下是不是漏记入库","")))))))))))</f>
        <v/>
      </c>
    </row>
    <row r="1430">
      <c r="A1430" s="24">
        <f>IF($D1430="","",COUNTA($D$4:$D1430))</f>
        <v/>
      </c>
      <c r="B1430" s="17" t="n"/>
      <c r="C1430" s="30" t="n"/>
      <c r="D1430" s="17" t="n"/>
      <c r="E1430" s="24">
        <f>IF($D1430="","",IFERROR(VLOOKUP($D1430,物料档案!$A$4:$P$1203,3,0),"※编码不在物料档案里"))</f>
        <v/>
      </c>
      <c r="F1430" s="24">
        <f>IF($D1430="","",IFERROR(VLOOKUP($D1430,物料档案!$A$4:$P$1203,4,0),"※编码不在物料档案里"))</f>
        <v/>
      </c>
      <c r="G1430" s="24">
        <f>IF($D1430="","",IFERROR(VLOOKUP($D1430,物料档案!$A$4:$P$1203,5,0),"※编码不在物料档案里"))</f>
        <v/>
      </c>
      <c r="H1430" s="24">
        <f>IF($D1430="","",IFERROR(VLOOKUP($D1430,物料档案!$A$4:$P$1203,2,0),"※编码不在物料档案里"))</f>
        <v/>
      </c>
      <c r="I1430" s="24">
        <f>IF($D1430="","",IFERROR(VLOOKUP($D1430,物料档案!$A$4:$P$1203,6,0),"※编码不在物料档案里"))</f>
        <v/>
      </c>
      <c r="J1430" s="23" t="n"/>
      <c r="K1430" s="17" t="n"/>
      <c r="L1430" s="17" t="n"/>
      <c r="M1430" s="17" t="n"/>
      <c r="N1430" s="17" t="n"/>
      <c r="O1430" s="26">
        <f>IF($D1430="","",IFERROR(VLOOKUP($D1430,物料档案!$A$4:$P$1203,10,0),0))</f>
        <v/>
      </c>
      <c r="P1430" s="32" t="n"/>
      <c r="Q1430" s="26">
        <f>IF($D1430="","",IF($K1430&lt;&gt;"对外销售",0,ROUND(N($J1430)*IF($P1430="",N($O1430),N($P1430)),0)))</f>
        <v/>
      </c>
      <c r="R1430" s="26">
        <f>IF($D1430="","",IFERROR(VLOOKUP($D1430,库存台账!$A$5:$Y$1204,11,0),0))</f>
        <v/>
      </c>
      <c r="S1430" s="26">
        <f>IF($D1430="","",ROUND(N($J1430)*N($R1430),0))</f>
        <v/>
      </c>
      <c r="T1430" s="26">
        <f>IF($D1430="","",IF($K1430&lt;&gt;"对外销售","",ROUND($Q1430-$S1430,0)))</f>
        <v/>
      </c>
      <c r="U1430" s="17" t="n"/>
      <c r="V1430" s="17" t="n"/>
      <c r="W1430" s="24">
        <f>IF($D1430="","",IF($E1430="※编码不在物料档案里","※物料编码不在档案里",IF(N($J1430)&lt;=0,"※出库数量要大于 0",IF($K1430="","※没填去向类型",IF($L1430="","※没填去向矿区",IF(AND($C1430&lt;&gt;"",$C1430&lt;=结账锁),"※日期早于已结账截止日，不能再录",IF(AND($K1430="自用消耗",COUNTIF({"一矿区";"二矿区"},$L1430)=0),"※自用消耗的去向只能是一矿区或二矿区",IF(AND($K1430="对外销售",COUNTIF({"三矿区";"六矿区"},$L1430)=0),"※对外销售的去向只能是三矿区或六矿区",IF(AND($K1430="对外销售",ROUND($Q1430,0)=0),"※外销却没有售价，请填实际售价",IF(AND($K1430="对外销售",$T1430&lt;&gt;"",$T1430&lt;0),"※这一笔外销是亏的，请核对售价",IF(IFERROR(VLOOKUP($D1430,库存台账!$A$5:$Y$1204,24,0),0)&lt;-0.001,"※这个物料账面已经变成负数了，查一下是不是漏记入库","")))))))))))</f>
        <v/>
      </c>
    </row>
    <row r="1431">
      <c r="A1431" s="24">
        <f>IF($D1431="","",COUNTA($D$4:$D1431))</f>
        <v/>
      </c>
      <c r="B1431" s="17" t="n"/>
      <c r="C1431" s="30" t="n"/>
      <c r="D1431" s="17" t="n"/>
      <c r="E1431" s="24">
        <f>IF($D1431="","",IFERROR(VLOOKUP($D1431,物料档案!$A$4:$P$1203,3,0),"※编码不在物料档案里"))</f>
        <v/>
      </c>
      <c r="F1431" s="24">
        <f>IF($D1431="","",IFERROR(VLOOKUP($D1431,物料档案!$A$4:$P$1203,4,0),"※编码不在物料档案里"))</f>
        <v/>
      </c>
      <c r="G1431" s="24">
        <f>IF($D1431="","",IFERROR(VLOOKUP($D1431,物料档案!$A$4:$P$1203,5,0),"※编码不在物料档案里"))</f>
        <v/>
      </c>
      <c r="H1431" s="24">
        <f>IF($D1431="","",IFERROR(VLOOKUP($D1431,物料档案!$A$4:$P$1203,2,0),"※编码不在物料档案里"))</f>
        <v/>
      </c>
      <c r="I1431" s="24">
        <f>IF($D1431="","",IFERROR(VLOOKUP($D1431,物料档案!$A$4:$P$1203,6,0),"※编码不在物料档案里"))</f>
        <v/>
      </c>
      <c r="J1431" s="23" t="n"/>
      <c r="K1431" s="17" t="n"/>
      <c r="L1431" s="17" t="n"/>
      <c r="M1431" s="17" t="n"/>
      <c r="N1431" s="17" t="n"/>
      <c r="O1431" s="26">
        <f>IF($D1431="","",IFERROR(VLOOKUP($D1431,物料档案!$A$4:$P$1203,10,0),0))</f>
        <v/>
      </c>
      <c r="P1431" s="32" t="n"/>
      <c r="Q1431" s="26">
        <f>IF($D1431="","",IF($K1431&lt;&gt;"对外销售",0,ROUND(N($J1431)*IF($P1431="",N($O1431),N($P1431)),0)))</f>
        <v/>
      </c>
      <c r="R1431" s="26">
        <f>IF($D1431="","",IFERROR(VLOOKUP($D1431,库存台账!$A$5:$Y$1204,11,0),0))</f>
        <v/>
      </c>
      <c r="S1431" s="26">
        <f>IF($D1431="","",ROUND(N($J1431)*N($R1431),0))</f>
        <v/>
      </c>
      <c r="T1431" s="26">
        <f>IF($D1431="","",IF($K1431&lt;&gt;"对外销售","",ROUND($Q1431-$S1431,0)))</f>
        <v/>
      </c>
      <c r="U1431" s="17" t="n"/>
      <c r="V1431" s="17" t="n"/>
      <c r="W1431" s="24">
        <f>IF($D1431="","",IF($E1431="※编码不在物料档案里","※物料编码不在档案里",IF(N($J1431)&lt;=0,"※出库数量要大于 0",IF($K1431="","※没填去向类型",IF($L1431="","※没填去向矿区",IF(AND($C1431&lt;&gt;"",$C1431&lt;=结账锁),"※日期早于已结账截止日，不能再录",IF(AND($K1431="自用消耗",COUNTIF({"一矿区";"二矿区"},$L1431)=0),"※自用消耗的去向只能是一矿区或二矿区",IF(AND($K1431="对外销售",COUNTIF({"三矿区";"六矿区"},$L1431)=0),"※对外销售的去向只能是三矿区或六矿区",IF(AND($K1431="对外销售",ROUND($Q1431,0)=0),"※外销却没有售价，请填实际售价",IF(AND($K1431="对外销售",$T1431&lt;&gt;"",$T1431&lt;0),"※这一笔外销是亏的，请核对售价",IF(IFERROR(VLOOKUP($D1431,库存台账!$A$5:$Y$1204,24,0),0)&lt;-0.001,"※这个物料账面已经变成负数了，查一下是不是漏记入库","")))))))))))</f>
        <v/>
      </c>
    </row>
    <row r="1432">
      <c r="A1432" s="24">
        <f>IF($D1432="","",COUNTA($D$4:$D1432))</f>
        <v/>
      </c>
      <c r="B1432" s="17" t="n"/>
      <c r="C1432" s="30" t="n"/>
      <c r="D1432" s="17" t="n"/>
      <c r="E1432" s="24">
        <f>IF($D1432="","",IFERROR(VLOOKUP($D1432,物料档案!$A$4:$P$1203,3,0),"※编码不在物料档案里"))</f>
        <v/>
      </c>
      <c r="F1432" s="24">
        <f>IF($D1432="","",IFERROR(VLOOKUP($D1432,物料档案!$A$4:$P$1203,4,0),"※编码不在物料档案里"))</f>
        <v/>
      </c>
      <c r="G1432" s="24">
        <f>IF($D1432="","",IFERROR(VLOOKUP($D1432,物料档案!$A$4:$P$1203,5,0),"※编码不在物料档案里"))</f>
        <v/>
      </c>
      <c r="H1432" s="24">
        <f>IF($D1432="","",IFERROR(VLOOKUP($D1432,物料档案!$A$4:$P$1203,2,0),"※编码不在物料档案里"))</f>
        <v/>
      </c>
      <c r="I1432" s="24">
        <f>IF($D1432="","",IFERROR(VLOOKUP($D1432,物料档案!$A$4:$P$1203,6,0),"※编码不在物料档案里"))</f>
        <v/>
      </c>
      <c r="J1432" s="23" t="n"/>
      <c r="K1432" s="17" t="n"/>
      <c r="L1432" s="17" t="n"/>
      <c r="M1432" s="17" t="n"/>
      <c r="N1432" s="17" t="n"/>
      <c r="O1432" s="26">
        <f>IF($D1432="","",IFERROR(VLOOKUP($D1432,物料档案!$A$4:$P$1203,10,0),0))</f>
        <v/>
      </c>
      <c r="P1432" s="32" t="n"/>
      <c r="Q1432" s="26">
        <f>IF($D1432="","",IF($K1432&lt;&gt;"对外销售",0,ROUND(N($J1432)*IF($P1432="",N($O1432),N($P1432)),0)))</f>
        <v/>
      </c>
      <c r="R1432" s="26">
        <f>IF($D1432="","",IFERROR(VLOOKUP($D1432,库存台账!$A$5:$Y$1204,11,0),0))</f>
        <v/>
      </c>
      <c r="S1432" s="26">
        <f>IF($D1432="","",ROUND(N($J1432)*N($R1432),0))</f>
        <v/>
      </c>
      <c r="T1432" s="26">
        <f>IF($D1432="","",IF($K1432&lt;&gt;"对外销售","",ROUND($Q1432-$S1432,0)))</f>
        <v/>
      </c>
      <c r="U1432" s="17" t="n"/>
      <c r="V1432" s="17" t="n"/>
      <c r="W1432" s="24">
        <f>IF($D1432="","",IF($E1432="※编码不在物料档案里","※物料编码不在档案里",IF(N($J1432)&lt;=0,"※出库数量要大于 0",IF($K1432="","※没填去向类型",IF($L1432="","※没填去向矿区",IF(AND($C1432&lt;&gt;"",$C1432&lt;=结账锁),"※日期早于已结账截止日，不能再录",IF(AND($K1432="自用消耗",COUNTIF({"一矿区";"二矿区"},$L1432)=0),"※自用消耗的去向只能是一矿区或二矿区",IF(AND($K1432="对外销售",COUNTIF({"三矿区";"六矿区"},$L1432)=0),"※对外销售的去向只能是三矿区或六矿区",IF(AND($K1432="对外销售",ROUND($Q1432,0)=0),"※外销却没有售价，请填实际售价",IF(AND($K1432="对外销售",$T1432&lt;&gt;"",$T1432&lt;0),"※这一笔外销是亏的，请核对售价",IF(IFERROR(VLOOKUP($D1432,库存台账!$A$5:$Y$1204,24,0),0)&lt;-0.001,"※这个物料账面已经变成负数了，查一下是不是漏记入库","")))))))))))</f>
        <v/>
      </c>
    </row>
    <row r="1433">
      <c r="A1433" s="24">
        <f>IF($D1433="","",COUNTA($D$4:$D1433))</f>
        <v/>
      </c>
      <c r="B1433" s="17" t="n"/>
      <c r="C1433" s="30" t="n"/>
      <c r="D1433" s="17" t="n"/>
      <c r="E1433" s="24">
        <f>IF($D1433="","",IFERROR(VLOOKUP($D1433,物料档案!$A$4:$P$1203,3,0),"※编码不在物料档案里"))</f>
        <v/>
      </c>
      <c r="F1433" s="24">
        <f>IF($D1433="","",IFERROR(VLOOKUP($D1433,物料档案!$A$4:$P$1203,4,0),"※编码不在物料档案里"))</f>
        <v/>
      </c>
      <c r="G1433" s="24">
        <f>IF($D1433="","",IFERROR(VLOOKUP($D1433,物料档案!$A$4:$P$1203,5,0),"※编码不在物料档案里"))</f>
        <v/>
      </c>
      <c r="H1433" s="24">
        <f>IF($D1433="","",IFERROR(VLOOKUP($D1433,物料档案!$A$4:$P$1203,2,0),"※编码不在物料档案里"))</f>
        <v/>
      </c>
      <c r="I1433" s="24">
        <f>IF($D1433="","",IFERROR(VLOOKUP($D1433,物料档案!$A$4:$P$1203,6,0),"※编码不在物料档案里"))</f>
        <v/>
      </c>
      <c r="J1433" s="23" t="n"/>
      <c r="K1433" s="17" t="n"/>
      <c r="L1433" s="17" t="n"/>
      <c r="M1433" s="17" t="n"/>
      <c r="N1433" s="17" t="n"/>
      <c r="O1433" s="26">
        <f>IF($D1433="","",IFERROR(VLOOKUP($D1433,物料档案!$A$4:$P$1203,10,0),0))</f>
        <v/>
      </c>
      <c r="P1433" s="32" t="n"/>
      <c r="Q1433" s="26">
        <f>IF($D1433="","",IF($K1433&lt;&gt;"对外销售",0,ROUND(N($J1433)*IF($P1433="",N($O1433),N($P1433)),0)))</f>
        <v/>
      </c>
      <c r="R1433" s="26">
        <f>IF($D1433="","",IFERROR(VLOOKUP($D1433,库存台账!$A$5:$Y$1204,11,0),0))</f>
        <v/>
      </c>
      <c r="S1433" s="26">
        <f>IF($D1433="","",ROUND(N($J1433)*N($R1433),0))</f>
        <v/>
      </c>
      <c r="T1433" s="26">
        <f>IF($D1433="","",IF($K1433&lt;&gt;"对外销售","",ROUND($Q1433-$S1433,0)))</f>
        <v/>
      </c>
      <c r="U1433" s="17" t="n"/>
      <c r="V1433" s="17" t="n"/>
      <c r="W1433" s="24">
        <f>IF($D1433="","",IF($E1433="※编码不在物料档案里","※物料编码不在档案里",IF(N($J1433)&lt;=0,"※出库数量要大于 0",IF($K1433="","※没填去向类型",IF($L1433="","※没填去向矿区",IF(AND($C1433&lt;&gt;"",$C1433&lt;=结账锁),"※日期早于已结账截止日，不能再录",IF(AND($K1433="自用消耗",COUNTIF({"一矿区";"二矿区"},$L1433)=0),"※自用消耗的去向只能是一矿区或二矿区",IF(AND($K1433="对外销售",COUNTIF({"三矿区";"六矿区"},$L1433)=0),"※对外销售的去向只能是三矿区或六矿区",IF(AND($K1433="对外销售",ROUND($Q1433,0)=0),"※外销却没有售价，请填实际售价",IF(AND($K1433="对外销售",$T1433&lt;&gt;"",$T1433&lt;0),"※这一笔外销是亏的，请核对售价",IF(IFERROR(VLOOKUP($D1433,库存台账!$A$5:$Y$1204,24,0),0)&lt;-0.001,"※这个物料账面已经变成负数了，查一下是不是漏记入库","")))))))))))</f>
        <v/>
      </c>
    </row>
    <row r="1434">
      <c r="A1434" s="24">
        <f>IF($D1434="","",COUNTA($D$4:$D1434))</f>
        <v/>
      </c>
      <c r="B1434" s="17" t="n"/>
      <c r="C1434" s="30" t="n"/>
      <c r="D1434" s="17" t="n"/>
      <c r="E1434" s="24">
        <f>IF($D1434="","",IFERROR(VLOOKUP($D1434,物料档案!$A$4:$P$1203,3,0),"※编码不在物料档案里"))</f>
        <v/>
      </c>
      <c r="F1434" s="24">
        <f>IF($D1434="","",IFERROR(VLOOKUP($D1434,物料档案!$A$4:$P$1203,4,0),"※编码不在物料档案里"))</f>
        <v/>
      </c>
      <c r="G1434" s="24">
        <f>IF($D1434="","",IFERROR(VLOOKUP($D1434,物料档案!$A$4:$P$1203,5,0),"※编码不在物料档案里"))</f>
        <v/>
      </c>
      <c r="H1434" s="24">
        <f>IF($D1434="","",IFERROR(VLOOKUP($D1434,物料档案!$A$4:$P$1203,2,0),"※编码不在物料档案里"))</f>
        <v/>
      </c>
      <c r="I1434" s="24">
        <f>IF($D1434="","",IFERROR(VLOOKUP($D1434,物料档案!$A$4:$P$1203,6,0),"※编码不在物料档案里"))</f>
        <v/>
      </c>
      <c r="J1434" s="23" t="n"/>
      <c r="K1434" s="17" t="n"/>
      <c r="L1434" s="17" t="n"/>
      <c r="M1434" s="17" t="n"/>
      <c r="N1434" s="17" t="n"/>
      <c r="O1434" s="26">
        <f>IF($D1434="","",IFERROR(VLOOKUP($D1434,物料档案!$A$4:$P$1203,10,0),0))</f>
        <v/>
      </c>
      <c r="P1434" s="32" t="n"/>
      <c r="Q1434" s="26">
        <f>IF($D1434="","",IF($K1434&lt;&gt;"对外销售",0,ROUND(N($J1434)*IF($P1434="",N($O1434),N($P1434)),0)))</f>
        <v/>
      </c>
      <c r="R1434" s="26">
        <f>IF($D1434="","",IFERROR(VLOOKUP($D1434,库存台账!$A$5:$Y$1204,11,0),0))</f>
        <v/>
      </c>
      <c r="S1434" s="26">
        <f>IF($D1434="","",ROUND(N($J1434)*N($R1434),0))</f>
        <v/>
      </c>
      <c r="T1434" s="26">
        <f>IF($D1434="","",IF($K1434&lt;&gt;"对外销售","",ROUND($Q1434-$S1434,0)))</f>
        <v/>
      </c>
      <c r="U1434" s="17" t="n"/>
      <c r="V1434" s="17" t="n"/>
      <c r="W1434" s="24">
        <f>IF($D1434="","",IF($E1434="※编码不在物料档案里","※物料编码不在档案里",IF(N($J1434)&lt;=0,"※出库数量要大于 0",IF($K1434="","※没填去向类型",IF($L1434="","※没填去向矿区",IF(AND($C1434&lt;&gt;"",$C1434&lt;=结账锁),"※日期早于已结账截止日，不能再录",IF(AND($K1434="自用消耗",COUNTIF({"一矿区";"二矿区"},$L1434)=0),"※自用消耗的去向只能是一矿区或二矿区",IF(AND($K1434="对外销售",COUNTIF({"三矿区";"六矿区"},$L1434)=0),"※对外销售的去向只能是三矿区或六矿区",IF(AND($K1434="对外销售",ROUND($Q1434,0)=0),"※外销却没有售价，请填实际售价",IF(AND($K1434="对外销售",$T1434&lt;&gt;"",$T1434&lt;0),"※这一笔外销是亏的，请核对售价",IF(IFERROR(VLOOKUP($D1434,库存台账!$A$5:$Y$1204,24,0),0)&lt;-0.001,"※这个物料账面已经变成负数了，查一下是不是漏记入库","")))))))))))</f>
        <v/>
      </c>
    </row>
    <row r="1435">
      <c r="A1435" s="24">
        <f>IF($D1435="","",COUNTA($D$4:$D1435))</f>
        <v/>
      </c>
      <c r="B1435" s="17" t="n"/>
      <c r="C1435" s="30" t="n"/>
      <c r="D1435" s="17" t="n"/>
      <c r="E1435" s="24">
        <f>IF($D1435="","",IFERROR(VLOOKUP($D1435,物料档案!$A$4:$P$1203,3,0),"※编码不在物料档案里"))</f>
        <v/>
      </c>
      <c r="F1435" s="24">
        <f>IF($D1435="","",IFERROR(VLOOKUP($D1435,物料档案!$A$4:$P$1203,4,0),"※编码不在物料档案里"))</f>
        <v/>
      </c>
      <c r="G1435" s="24">
        <f>IF($D1435="","",IFERROR(VLOOKUP($D1435,物料档案!$A$4:$P$1203,5,0),"※编码不在物料档案里"))</f>
        <v/>
      </c>
      <c r="H1435" s="24">
        <f>IF($D1435="","",IFERROR(VLOOKUP($D1435,物料档案!$A$4:$P$1203,2,0),"※编码不在物料档案里"))</f>
        <v/>
      </c>
      <c r="I1435" s="24">
        <f>IF($D1435="","",IFERROR(VLOOKUP($D1435,物料档案!$A$4:$P$1203,6,0),"※编码不在物料档案里"))</f>
        <v/>
      </c>
      <c r="J1435" s="23" t="n"/>
      <c r="K1435" s="17" t="n"/>
      <c r="L1435" s="17" t="n"/>
      <c r="M1435" s="17" t="n"/>
      <c r="N1435" s="17" t="n"/>
      <c r="O1435" s="26">
        <f>IF($D1435="","",IFERROR(VLOOKUP($D1435,物料档案!$A$4:$P$1203,10,0),0))</f>
        <v/>
      </c>
      <c r="P1435" s="32" t="n"/>
      <c r="Q1435" s="26">
        <f>IF($D1435="","",IF($K1435&lt;&gt;"对外销售",0,ROUND(N($J1435)*IF($P1435="",N($O1435),N($P1435)),0)))</f>
        <v/>
      </c>
      <c r="R1435" s="26">
        <f>IF($D1435="","",IFERROR(VLOOKUP($D1435,库存台账!$A$5:$Y$1204,11,0),0))</f>
        <v/>
      </c>
      <c r="S1435" s="26">
        <f>IF($D1435="","",ROUND(N($J1435)*N($R1435),0))</f>
        <v/>
      </c>
      <c r="T1435" s="26">
        <f>IF($D1435="","",IF($K1435&lt;&gt;"对外销售","",ROUND($Q1435-$S1435,0)))</f>
        <v/>
      </c>
      <c r="U1435" s="17" t="n"/>
      <c r="V1435" s="17" t="n"/>
      <c r="W1435" s="24">
        <f>IF($D1435="","",IF($E1435="※编码不在物料档案里","※物料编码不在档案里",IF(N($J1435)&lt;=0,"※出库数量要大于 0",IF($K1435="","※没填去向类型",IF($L1435="","※没填去向矿区",IF(AND($C1435&lt;&gt;"",$C1435&lt;=结账锁),"※日期早于已结账截止日，不能再录",IF(AND($K1435="自用消耗",COUNTIF({"一矿区";"二矿区"},$L1435)=0),"※自用消耗的去向只能是一矿区或二矿区",IF(AND($K1435="对外销售",COUNTIF({"三矿区";"六矿区"},$L1435)=0),"※对外销售的去向只能是三矿区或六矿区",IF(AND($K1435="对外销售",ROUND($Q1435,0)=0),"※外销却没有售价，请填实际售价",IF(AND($K1435="对外销售",$T1435&lt;&gt;"",$T1435&lt;0),"※这一笔外销是亏的，请核对售价",IF(IFERROR(VLOOKUP($D1435,库存台账!$A$5:$Y$1204,24,0),0)&lt;-0.001,"※这个物料账面已经变成负数了，查一下是不是漏记入库","")))))))))))</f>
        <v/>
      </c>
    </row>
    <row r="1436">
      <c r="A1436" s="24">
        <f>IF($D1436="","",COUNTA($D$4:$D1436))</f>
        <v/>
      </c>
      <c r="B1436" s="17" t="n"/>
      <c r="C1436" s="30" t="n"/>
      <c r="D1436" s="17" t="n"/>
      <c r="E1436" s="24">
        <f>IF($D1436="","",IFERROR(VLOOKUP($D1436,物料档案!$A$4:$P$1203,3,0),"※编码不在物料档案里"))</f>
        <v/>
      </c>
      <c r="F1436" s="24">
        <f>IF($D1436="","",IFERROR(VLOOKUP($D1436,物料档案!$A$4:$P$1203,4,0),"※编码不在物料档案里"))</f>
        <v/>
      </c>
      <c r="G1436" s="24">
        <f>IF($D1436="","",IFERROR(VLOOKUP($D1436,物料档案!$A$4:$P$1203,5,0),"※编码不在物料档案里"))</f>
        <v/>
      </c>
      <c r="H1436" s="24">
        <f>IF($D1436="","",IFERROR(VLOOKUP($D1436,物料档案!$A$4:$P$1203,2,0),"※编码不在物料档案里"))</f>
        <v/>
      </c>
      <c r="I1436" s="24">
        <f>IF($D1436="","",IFERROR(VLOOKUP($D1436,物料档案!$A$4:$P$1203,6,0),"※编码不在物料档案里"))</f>
        <v/>
      </c>
      <c r="J1436" s="23" t="n"/>
      <c r="K1436" s="17" t="n"/>
      <c r="L1436" s="17" t="n"/>
      <c r="M1436" s="17" t="n"/>
      <c r="N1436" s="17" t="n"/>
      <c r="O1436" s="26">
        <f>IF($D1436="","",IFERROR(VLOOKUP($D1436,物料档案!$A$4:$P$1203,10,0),0))</f>
        <v/>
      </c>
      <c r="P1436" s="32" t="n"/>
      <c r="Q1436" s="26">
        <f>IF($D1436="","",IF($K1436&lt;&gt;"对外销售",0,ROUND(N($J1436)*IF($P1436="",N($O1436),N($P1436)),0)))</f>
        <v/>
      </c>
      <c r="R1436" s="26">
        <f>IF($D1436="","",IFERROR(VLOOKUP($D1436,库存台账!$A$5:$Y$1204,11,0),0))</f>
        <v/>
      </c>
      <c r="S1436" s="26">
        <f>IF($D1436="","",ROUND(N($J1436)*N($R1436),0))</f>
        <v/>
      </c>
      <c r="T1436" s="26">
        <f>IF($D1436="","",IF($K1436&lt;&gt;"对外销售","",ROUND($Q1436-$S1436,0)))</f>
        <v/>
      </c>
      <c r="U1436" s="17" t="n"/>
      <c r="V1436" s="17" t="n"/>
      <c r="W1436" s="24">
        <f>IF($D1436="","",IF($E1436="※编码不在物料档案里","※物料编码不在档案里",IF(N($J1436)&lt;=0,"※出库数量要大于 0",IF($K1436="","※没填去向类型",IF($L1436="","※没填去向矿区",IF(AND($C1436&lt;&gt;"",$C1436&lt;=结账锁),"※日期早于已结账截止日，不能再录",IF(AND($K1436="自用消耗",COUNTIF({"一矿区";"二矿区"},$L1436)=0),"※自用消耗的去向只能是一矿区或二矿区",IF(AND($K1436="对外销售",COUNTIF({"三矿区";"六矿区"},$L1436)=0),"※对外销售的去向只能是三矿区或六矿区",IF(AND($K1436="对外销售",ROUND($Q1436,0)=0),"※外销却没有售价，请填实际售价",IF(AND($K1436="对外销售",$T1436&lt;&gt;"",$T1436&lt;0),"※这一笔外销是亏的，请核对售价",IF(IFERROR(VLOOKUP($D1436,库存台账!$A$5:$Y$1204,24,0),0)&lt;-0.001,"※这个物料账面已经变成负数了，查一下是不是漏记入库","")))))))))))</f>
        <v/>
      </c>
    </row>
    <row r="1437">
      <c r="A1437" s="24">
        <f>IF($D1437="","",COUNTA($D$4:$D1437))</f>
        <v/>
      </c>
      <c r="B1437" s="17" t="n"/>
      <c r="C1437" s="30" t="n"/>
      <c r="D1437" s="17" t="n"/>
      <c r="E1437" s="24">
        <f>IF($D1437="","",IFERROR(VLOOKUP($D1437,物料档案!$A$4:$P$1203,3,0),"※编码不在物料档案里"))</f>
        <v/>
      </c>
      <c r="F1437" s="24">
        <f>IF($D1437="","",IFERROR(VLOOKUP($D1437,物料档案!$A$4:$P$1203,4,0),"※编码不在物料档案里"))</f>
        <v/>
      </c>
      <c r="G1437" s="24">
        <f>IF($D1437="","",IFERROR(VLOOKUP($D1437,物料档案!$A$4:$P$1203,5,0),"※编码不在物料档案里"))</f>
        <v/>
      </c>
      <c r="H1437" s="24">
        <f>IF($D1437="","",IFERROR(VLOOKUP($D1437,物料档案!$A$4:$P$1203,2,0),"※编码不在物料档案里"))</f>
        <v/>
      </c>
      <c r="I1437" s="24">
        <f>IF($D1437="","",IFERROR(VLOOKUP($D1437,物料档案!$A$4:$P$1203,6,0),"※编码不在物料档案里"))</f>
        <v/>
      </c>
      <c r="J1437" s="23" t="n"/>
      <c r="K1437" s="17" t="n"/>
      <c r="L1437" s="17" t="n"/>
      <c r="M1437" s="17" t="n"/>
      <c r="N1437" s="17" t="n"/>
      <c r="O1437" s="26">
        <f>IF($D1437="","",IFERROR(VLOOKUP($D1437,物料档案!$A$4:$P$1203,10,0),0))</f>
        <v/>
      </c>
      <c r="P1437" s="32" t="n"/>
      <c r="Q1437" s="26">
        <f>IF($D1437="","",IF($K1437&lt;&gt;"对外销售",0,ROUND(N($J1437)*IF($P1437="",N($O1437),N($P1437)),0)))</f>
        <v/>
      </c>
      <c r="R1437" s="26">
        <f>IF($D1437="","",IFERROR(VLOOKUP($D1437,库存台账!$A$5:$Y$1204,11,0),0))</f>
        <v/>
      </c>
      <c r="S1437" s="26">
        <f>IF($D1437="","",ROUND(N($J1437)*N($R1437),0))</f>
        <v/>
      </c>
      <c r="T1437" s="26">
        <f>IF($D1437="","",IF($K1437&lt;&gt;"对外销售","",ROUND($Q1437-$S1437,0)))</f>
        <v/>
      </c>
      <c r="U1437" s="17" t="n"/>
      <c r="V1437" s="17" t="n"/>
      <c r="W1437" s="24">
        <f>IF($D1437="","",IF($E1437="※编码不在物料档案里","※物料编码不在档案里",IF(N($J1437)&lt;=0,"※出库数量要大于 0",IF($K1437="","※没填去向类型",IF($L1437="","※没填去向矿区",IF(AND($C1437&lt;&gt;"",$C1437&lt;=结账锁),"※日期早于已结账截止日，不能再录",IF(AND($K1437="自用消耗",COUNTIF({"一矿区";"二矿区"},$L1437)=0),"※自用消耗的去向只能是一矿区或二矿区",IF(AND($K1437="对外销售",COUNTIF({"三矿区";"六矿区"},$L1437)=0),"※对外销售的去向只能是三矿区或六矿区",IF(AND($K1437="对外销售",ROUND($Q1437,0)=0),"※外销却没有售价，请填实际售价",IF(AND($K1437="对外销售",$T1437&lt;&gt;"",$T1437&lt;0),"※这一笔外销是亏的，请核对售价",IF(IFERROR(VLOOKUP($D1437,库存台账!$A$5:$Y$1204,24,0),0)&lt;-0.001,"※这个物料账面已经变成负数了，查一下是不是漏记入库","")))))))))))</f>
        <v/>
      </c>
    </row>
    <row r="1438">
      <c r="A1438" s="24">
        <f>IF($D1438="","",COUNTA($D$4:$D1438))</f>
        <v/>
      </c>
      <c r="B1438" s="17" t="n"/>
      <c r="C1438" s="30" t="n"/>
      <c r="D1438" s="17" t="n"/>
      <c r="E1438" s="24">
        <f>IF($D1438="","",IFERROR(VLOOKUP($D1438,物料档案!$A$4:$P$1203,3,0),"※编码不在物料档案里"))</f>
        <v/>
      </c>
      <c r="F1438" s="24">
        <f>IF($D1438="","",IFERROR(VLOOKUP($D1438,物料档案!$A$4:$P$1203,4,0),"※编码不在物料档案里"))</f>
        <v/>
      </c>
      <c r="G1438" s="24">
        <f>IF($D1438="","",IFERROR(VLOOKUP($D1438,物料档案!$A$4:$P$1203,5,0),"※编码不在物料档案里"))</f>
        <v/>
      </c>
      <c r="H1438" s="24">
        <f>IF($D1438="","",IFERROR(VLOOKUP($D1438,物料档案!$A$4:$P$1203,2,0),"※编码不在物料档案里"))</f>
        <v/>
      </c>
      <c r="I1438" s="24">
        <f>IF($D1438="","",IFERROR(VLOOKUP($D1438,物料档案!$A$4:$P$1203,6,0),"※编码不在物料档案里"))</f>
        <v/>
      </c>
      <c r="J1438" s="23" t="n"/>
      <c r="K1438" s="17" t="n"/>
      <c r="L1438" s="17" t="n"/>
      <c r="M1438" s="17" t="n"/>
      <c r="N1438" s="17" t="n"/>
      <c r="O1438" s="26">
        <f>IF($D1438="","",IFERROR(VLOOKUP($D1438,物料档案!$A$4:$P$1203,10,0),0))</f>
        <v/>
      </c>
      <c r="P1438" s="32" t="n"/>
      <c r="Q1438" s="26">
        <f>IF($D1438="","",IF($K1438&lt;&gt;"对外销售",0,ROUND(N($J1438)*IF($P1438="",N($O1438),N($P1438)),0)))</f>
        <v/>
      </c>
      <c r="R1438" s="26">
        <f>IF($D1438="","",IFERROR(VLOOKUP($D1438,库存台账!$A$5:$Y$1204,11,0),0))</f>
        <v/>
      </c>
      <c r="S1438" s="26">
        <f>IF($D1438="","",ROUND(N($J1438)*N($R1438),0))</f>
        <v/>
      </c>
      <c r="T1438" s="26">
        <f>IF($D1438="","",IF($K1438&lt;&gt;"对外销售","",ROUND($Q1438-$S1438,0)))</f>
        <v/>
      </c>
      <c r="U1438" s="17" t="n"/>
      <c r="V1438" s="17" t="n"/>
      <c r="W1438" s="24">
        <f>IF($D1438="","",IF($E1438="※编码不在物料档案里","※物料编码不在档案里",IF(N($J1438)&lt;=0,"※出库数量要大于 0",IF($K1438="","※没填去向类型",IF($L1438="","※没填去向矿区",IF(AND($C1438&lt;&gt;"",$C1438&lt;=结账锁),"※日期早于已结账截止日，不能再录",IF(AND($K1438="自用消耗",COUNTIF({"一矿区";"二矿区"},$L1438)=0),"※自用消耗的去向只能是一矿区或二矿区",IF(AND($K1438="对外销售",COUNTIF({"三矿区";"六矿区"},$L1438)=0),"※对外销售的去向只能是三矿区或六矿区",IF(AND($K1438="对外销售",ROUND($Q1438,0)=0),"※外销却没有售价，请填实际售价",IF(AND($K1438="对外销售",$T1438&lt;&gt;"",$T1438&lt;0),"※这一笔外销是亏的，请核对售价",IF(IFERROR(VLOOKUP($D1438,库存台账!$A$5:$Y$1204,24,0),0)&lt;-0.001,"※这个物料账面已经变成负数了，查一下是不是漏记入库","")))))))))))</f>
        <v/>
      </c>
    </row>
    <row r="1439">
      <c r="A1439" s="24">
        <f>IF($D1439="","",COUNTA($D$4:$D1439))</f>
        <v/>
      </c>
      <c r="B1439" s="17" t="n"/>
      <c r="C1439" s="30" t="n"/>
      <c r="D1439" s="17" t="n"/>
      <c r="E1439" s="24">
        <f>IF($D1439="","",IFERROR(VLOOKUP($D1439,物料档案!$A$4:$P$1203,3,0),"※编码不在物料档案里"))</f>
        <v/>
      </c>
      <c r="F1439" s="24">
        <f>IF($D1439="","",IFERROR(VLOOKUP($D1439,物料档案!$A$4:$P$1203,4,0),"※编码不在物料档案里"))</f>
        <v/>
      </c>
      <c r="G1439" s="24">
        <f>IF($D1439="","",IFERROR(VLOOKUP($D1439,物料档案!$A$4:$P$1203,5,0),"※编码不在物料档案里"))</f>
        <v/>
      </c>
      <c r="H1439" s="24">
        <f>IF($D1439="","",IFERROR(VLOOKUP($D1439,物料档案!$A$4:$P$1203,2,0),"※编码不在物料档案里"))</f>
        <v/>
      </c>
      <c r="I1439" s="24">
        <f>IF($D1439="","",IFERROR(VLOOKUP($D1439,物料档案!$A$4:$P$1203,6,0),"※编码不在物料档案里"))</f>
        <v/>
      </c>
      <c r="J1439" s="23" t="n"/>
      <c r="K1439" s="17" t="n"/>
      <c r="L1439" s="17" t="n"/>
      <c r="M1439" s="17" t="n"/>
      <c r="N1439" s="17" t="n"/>
      <c r="O1439" s="26">
        <f>IF($D1439="","",IFERROR(VLOOKUP($D1439,物料档案!$A$4:$P$1203,10,0),0))</f>
        <v/>
      </c>
      <c r="P1439" s="32" t="n"/>
      <c r="Q1439" s="26">
        <f>IF($D1439="","",IF($K1439&lt;&gt;"对外销售",0,ROUND(N($J1439)*IF($P1439="",N($O1439),N($P1439)),0)))</f>
        <v/>
      </c>
      <c r="R1439" s="26">
        <f>IF($D1439="","",IFERROR(VLOOKUP($D1439,库存台账!$A$5:$Y$1204,11,0),0))</f>
        <v/>
      </c>
      <c r="S1439" s="26">
        <f>IF($D1439="","",ROUND(N($J1439)*N($R1439),0))</f>
        <v/>
      </c>
      <c r="T1439" s="26">
        <f>IF($D1439="","",IF($K1439&lt;&gt;"对外销售","",ROUND($Q1439-$S1439,0)))</f>
        <v/>
      </c>
      <c r="U1439" s="17" t="n"/>
      <c r="V1439" s="17" t="n"/>
      <c r="W1439" s="24">
        <f>IF($D1439="","",IF($E1439="※编码不在物料档案里","※物料编码不在档案里",IF(N($J1439)&lt;=0,"※出库数量要大于 0",IF($K1439="","※没填去向类型",IF($L1439="","※没填去向矿区",IF(AND($C1439&lt;&gt;"",$C1439&lt;=结账锁),"※日期早于已结账截止日，不能再录",IF(AND($K1439="自用消耗",COUNTIF({"一矿区";"二矿区"},$L1439)=0),"※自用消耗的去向只能是一矿区或二矿区",IF(AND($K1439="对外销售",COUNTIF({"三矿区";"六矿区"},$L1439)=0),"※对外销售的去向只能是三矿区或六矿区",IF(AND($K1439="对外销售",ROUND($Q1439,0)=0),"※外销却没有售价，请填实际售价",IF(AND($K1439="对外销售",$T1439&lt;&gt;"",$T1439&lt;0),"※这一笔外销是亏的，请核对售价",IF(IFERROR(VLOOKUP($D1439,库存台账!$A$5:$Y$1204,24,0),0)&lt;-0.001,"※这个物料账面已经变成负数了，查一下是不是漏记入库","")))))))))))</f>
        <v/>
      </c>
    </row>
    <row r="1440">
      <c r="A1440" s="24">
        <f>IF($D1440="","",COUNTA($D$4:$D1440))</f>
        <v/>
      </c>
      <c r="B1440" s="17" t="n"/>
      <c r="C1440" s="30" t="n"/>
      <c r="D1440" s="17" t="n"/>
      <c r="E1440" s="24">
        <f>IF($D1440="","",IFERROR(VLOOKUP($D1440,物料档案!$A$4:$P$1203,3,0),"※编码不在物料档案里"))</f>
        <v/>
      </c>
      <c r="F1440" s="24">
        <f>IF($D1440="","",IFERROR(VLOOKUP($D1440,物料档案!$A$4:$P$1203,4,0),"※编码不在物料档案里"))</f>
        <v/>
      </c>
      <c r="G1440" s="24">
        <f>IF($D1440="","",IFERROR(VLOOKUP($D1440,物料档案!$A$4:$P$1203,5,0),"※编码不在物料档案里"))</f>
        <v/>
      </c>
      <c r="H1440" s="24">
        <f>IF($D1440="","",IFERROR(VLOOKUP($D1440,物料档案!$A$4:$P$1203,2,0),"※编码不在物料档案里"))</f>
        <v/>
      </c>
      <c r="I1440" s="24">
        <f>IF($D1440="","",IFERROR(VLOOKUP($D1440,物料档案!$A$4:$P$1203,6,0),"※编码不在物料档案里"))</f>
        <v/>
      </c>
      <c r="J1440" s="23" t="n"/>
      <c r="K1440" s="17" t="n"/>
      <c r="L1440" s="17" t="n"/>
      <c r="M1440" s="17" t="n"/>
      <c r="N1440" s="17" t="n"/>
      <c r="O1440" s="26">
        <f>IF($D1440="","",IFERROR(VLOOKUP($D1440,物料档案!$A$4:$P$1203,10,0),0))</f>
        <v/>
      </c>
      <c r="P1440" s="32" t="n"/>
      <c r="Q1440" s="26">
        <f>IF($D1440="","",IF($K1440&lt;&gt;"对外销售",0,ROUND(N($J1440)*IF($P1440="",N($O1440),N($P1440)),0)))</f>
        <v/>
      </c>
      <c r="R1440" s="26">
        <f>IF($D1440="","",IFERROR(VLOOKUP($D1440,库存台账!$A$5:$Y$1204,11,0),0))</f>
        <v/>
      </c>
      <c r="S1440" s="26">
        <f>IF($D1440="","",ROUND(N($J1440)*N($R1440),0))</f>
        <v/>
      </c>
      <c r="T1440" s="26">
        <f>IF($D1440="","",IF($K1440&lt;&gt;"对外销售","",ROUND($Q1440-$S1440,0)))</f>
        <v/>
      </c>
      <c r="U1440" s="17" t="n"/>
      <c r="V1440" s="17" t="n"/>
      <c r="W1440" s="24">
        <f>IF($D1440="","",IF($E1440="※编码不在物料档案里","※物料编码不在档案里",IF(N($J1440)&lt;=0,"※出库数量要大于 0",IF($K1440="","※没填去向类型",IF($L1440="","※没填去向矿区",IF(AND($C1440&lt;&gt;"",$C1440&lt;=结账锁),"※日期早于已结账截止日，不能再录",IF(AND($K1440="自用消耗",COUNTIF({"一矿区";"二矿区"},$L1440)=0),"※自用消耗的去向只能是一矿区或二矿区",IF(AND($K1440="对外销售",COUNTIF({"三矿区";"六矿区"},$L1440)=0),"※对外销售的去向只能是三矿区或六矿区",IF(AND($K1440="对外销售",ROUND($Q1440,0)=0),"※外销却没有售价，请填实际售价",IF(AND($K1440="对外销售",$T1440&lt;&gt;"",$T1440&lt;0),"※这一笔外销是亏的，请核对售价",IF(IFERROR(VLOOKUP($D1440,库存台账!$A$5:$Y$1204,24,0),0)&lt;-0.001,"※这个物料账面已经变成负数了，查一下是不是漏记入库","")))))))))))</f>
        <v/>
      </c>
    </row>
    <row r="1441">
      <c r="A1441" s="24">
        <f>IF($D1441="","",COUNTA($D$4:$D1441))</f>
        <v/>
      </c>
      <c r="B1441" s="17" t="n"/>
      <c r="C1441" s="30" t="n"/>
      <c r="D1441" s="17" t="n"/>
      <c r="E1441" s="24">
        <f>IF($D1441="","",IFERROR(VLOOKUP($D1441,物料档案!$A$4:$P$1203,3,0),"※编码不在物料档案里"))</f>
        <v/>
      </c>
      <c r="F1441" s="24">
        <f>IF($D1441="","",IFERROR(VLOOKUP($D1441,物料档案!$A$4:$P$1203,4,0),"※编码不在物料档案里"))</f>
        <v/>
      </c>
      <c r="G1441" s="24">
        <f>IF($D1441="","",IFERROR(VLOOKUP($D1441,物料档案!$A$4:$P$1203,5,0),"※编码不在物料档案里"))</f>
        <v/>
      </c>
      <c r="H1441" s="24">
        <f>IF($D1441="","",IFERROR(VLOOKUP($D1441,物料档案!$A$4:$P$1203,2,0),"※编码不在物料档案里"))</f>
        <v/>
      </c>
      <c r="I1441" s="24">
        <f>IF($D1441="","",IFERROR(VLOOKUP($D1441,物料档案!$A$4:$P$1203,6,0),"※编码不在物料档案里"))</f>
        <v/>
      </c>
      <c r="J1441" s="23" t="n"/>
      <c r="K1441" s="17" t="n"/>
      <c r="L1441" s="17" t="n"/>
      <c r="M1441" s="17" t="n"/>
      <c r="N1441" s="17" t="n"/>
      <c r="O1441" s="26">
        <f>IF($D1441="","",IFERROR(VLOOKUP($D1441,物料档案!$A$4:$P$1203,10,0),0))</f>
        <v/>
      </c>
      <c r="P1441" s="32" t="n"/>
      <c r="Q1441" s="26">
        <f>IF($D1441="","",IF($K1441&lt;&gt;"对外销售",0,ROUND(N($J1441)*IF($P1441="",N($O1441),N($P1441)),0)))</f>
        <v/>
      </c>
      <c r="R1441" s="26">
        <f>IF($D1441="","",IFERROR(VLOOKUP($D1441,库存台账!$A$5:$Y$1204,11,0),0))</f>
        <v/>
      </c>
      <c r="S1441" s="26">
        <f>IF($D1441="","",ROUND(N($J1441)*N($R1441),0))</f>
        <v/>
      </c>
      <c r="T1441" s="26">
        <f>IF($D1441="","",IF($K1441&lt;&gt;"对外销售","",ROUND($Q1441-$S1441,0)))</f>
        <v/>
      </c>
      <c r="U1441" s="17" t="n"/>
      <c r="V1441" s="17" t="n"/>
      <c r="W1441" s="24">
        <f>IF($D1441="","",IF($E1441="※编码不在物料档案里","※物料编码不在档案里",IF(N($J1441)&lt;=0,"※出库数量要大于 0",IF($K1441="","※没填去向类型",IF($L1441="","※没填去向矿区",IF(AND($C1441&lt;&gt;"",$C1441&lt;=结账锁),"※日期早于已结账截止日，不能再录",IF(AND($K1441="自用消耗",COUNTIF({"一矿区";"二矿区"},$L1441)=0),"※自用消耗的去向只能是一矿区或二矿区",IF(AND($K1441="对外销售",COUNTIF({"三矿区";"六矿区"},$L1441)=0),"※对外销售的去向只能是三矿区或六矿区",IF(AND($K1441="对外销售",ROUND($Q1441,0)=0),"※外销却没有售价，请填实际售价",IF(AND($K1441="对外销售",$T1441&lt;&gt;"",$T1441&lt;0),"※这一笔外销是亏的，请核对售价",IF(IFERROR(VLOOKUP($D1441,库存台账!$A$5:$Y$1204,24,0),0)&lt;-0.001,"※这个物料账面已经变成负数了，查一下是不是漏记入库","")))))))))))</f>
        <v/>
      </c>
    </row>
    <row r="1442">
      <c r="A1442" s="24">
        <f>IF($D1442="","",COUNTA($D$4:$D1442))</f>
        <v/>
      </c>
      <c r="B1442" s="17" t="n"/>
      <c r="C1442" s="30" t="n"/>
      <c r="D1442" s="17" t="n"/>
      <c r="E1442" s="24">
        <f>IF($D1442="","",IFERROR(VLOOKUP($D1442,物料档案!$A$4:$P$1203,3,0),"※编码不在物料档案里"))</f>
        <v/>
      </c>
      <c r="F1442" s="24">
        <f>IF($D1442="","",IFERROR(VLOOKUP($D1442,物料档案!$A$4:$P$1203,4,0),"※编码不在物料档案里"))</f>
        <v/>
      </c>
      <c r="G1442" s="24">
        <f>IF($D1442="","",IFERROR(VLOOKUP($D1442,物料档案!$A$4:$P$1203,5,0),"※编码不在物料档案里"))</f>
        <v/>
      </c>
      <c r="H1442" s="24">
        <f>IF($D1442="","",IFERROR(VLOOKUP($D1442,物料档案!$A$4:$P$1203,2,0),"※编码不在物料档案里"))</f>
        <v/>
      </c>
      <c r="I1442" s="24">
        <f>IF($D1442="","",IFERROR(VLOOKUP($D1442,物料档案!$A$4:$P$1203,6,0),"※编码不在物料档案里"))</f>
        <v/>
      </c>
      <c r="J1442" s="23" t="n"/>
      <c r="K1442" s="17" t="n"/>
      <c r="L1442" s="17" t="n"/>
      <c r="M1442" s="17" t="n"/>
      <c r="N1442" s="17" t="n"/>
      <c r="O1442" s="26">
        <f>IF($D1442="","",IFERROR(VLOOKUP($D1442,物料档案!$A$4:$P$1203,10,0),0))</f>
        <v/>
      </c>
      <c r="P1442" s="32" t="n"/>
      <c r="Q1442" s="26">
        <f>IF($D1442="","",IF($K1442&lt;&gt;"对外销售",0,ROUND(N($J1442)*IF($P1442="",N($O1442),N($P1442)),0)))</f>
        <v/>
      </c>
      <c r="R1442" s="26">
        <f>IF($D1442="","",IFERROR(VLOOKUP($D1442,库存台账!$A$5:$Y$1204,11,0),0))</f>
        <v/>
      </c>
      <c r="S1442" s="26">
        <f>IF($D1442="","",ROUND(N($J1442)*N($R1442),0))</f>
        <v/>
      </c>
      <c r="T1442" s="26">
        <f>IF($D1442="","",IF($K1442&lt;&gt;"对外销售","",ROUND($Q1442-$S1442,0)))</f>
        <v/>
      </c>
      <c r="U1442" s="17" t="n"/>
      <c r="V1442" s="17" t="n"/>
      <c r="W1442" s="24">
        <f>IF($D1442="","",IF($E1442="※编码不在物料档案里","※物料编码不在档案里",IF(N($J1442)&lt;=0,"※出库数量要大于 0",IF($K1442="","※没填去向类型",IF($L1442="","※没填去向矿区",IF(AND($C1442&lt;&gt;"",$C1442&lt;=结账锁),"※日期早于已结账截止日，不能再录",IF(AND($K1442="自用消耗",COUNTIF({"一矿区";"二矿区"},$L1442)=0),"※自用消耗的去向只能是一矿区或二矿区",IF(AND($K1442="对外销售",COUNTIF({"三矿区";"六矿区"},$L1442)=0),"※对外销售的去向只能是三矿区或六矿区",IF(AND($K1442="对外销售",ROUND($Q1442,0)=0),"※外销却没有售价，请填实际售价",IF(AND($K1442="对外销售",$T1442&lt;&gt;"",$T1442&lt;0),"※这一笔外销是亏的，请核对售价",IF(IFERROR(VLOOKUP($D1442,库存台账!$A$5:$Y$1204,24,0),0)&lt;-0.001,"※这个物料账面已经变成负数了，查一下是不是漏记入库","")))))))))))</f>
        <v/>
      </c>
    </row>
    <row r="1443">
      <c r="A1443" s="24">
        <f>IF($D1443="","",COUNTA($D$4:$D1443))</f>
        <v/>
      </c>
      <c r="B1443" s="17" t="n"/>
      <c r="C1443" s="30" t="n"/>
      <c r="D1443" s="17" t="n"/>
      <c r="E1443" s="24">
        <f>IF($D1443="","",IFERROR(VLOOKUP($D1443,物料档案!$A$4:$P$1203,3,0),"※编码不在物料档案里"))</f>
        <v/>
      </c>
      <c r="F1443" s="24">
        <f>IF($D1443="","",IFERROR(VLOOKUP($D1443,物料档案!$A$4:$P$1203,4,0),"※编码不在物料档案里"))</f>
        <v/>
      </c>
      <c r="G1443" s="24">
        <f>IF($D1443="","",IFERROR(VLOOKUP($D1443,物料档案!$A$4:$P$1203,5,0),"※编码不在物料档案里"))</f>
        <v/>
      </c>
      <c r="H1443" s="24">
        <f>IF($D1443="","",IFERROR(VLOOKUP($D1443,物料档案!$A$4:$P$1203,2,0),"※编码不在物料档案里"))</f>
        <v/>
      </c>
      <c r="I1443" s="24">
        <f>IF($D1443="","",IFERROR(VLOOKUP($D1443,物料档案!$A$4:$P$1203,6,0),"※编码不在物料档案里"))</f>
        <v/>
      </c>
      <c r="J1443" s="23" t="n"/>
      <c r="K1443" s="17" t="n"/>
      <c r="L1443" s="17" t="n"/>
      <c r="M1443" s="17" t="n"/>
      <c r="N1443" s="17" t="n"/>
      <c r="O1443" s="26">
        <f>IF($D1443="","",IFERROR(VLOOKUP($D1443,物料档案!$A$4:$P$1203,10,0),0))</f>
        <v/>
      </c>
      <c r="P1443" s="32" t="n"/>
      <c r="Q1443" s="26">
        <f>IF($D1443="","",IF($K1443&lt;&gt;"对外销售",0,ROUND(N($J1443)*IF($P1443="",N($O1443),N($P1443)),0)))</f>
        <v/>
      </c>
      <c r="R1443" s="26">
        <f>IF($D1443="","",IFERROR(VLOOKUP($D1443,库存台账!$A$5:$Y$1204,11,0),0))</f>
        <v/>
      </c>
      <c r="S1443" s="26">
        <f>IF($D1443="","",ROUND(N($J1443)*N($R1443),0))</f>
        <v/>
      </c>
      <c r="T1443" s="26">
        <f>IF($D1443="","",IF($K1443&lt;&gt;"对外销售","",ROUND($Q1443-$S1443,0)))</f>
        <v/>
      </c>
      <c r="U1443" s="17" t="n"/>
      <c r="V1443" s="17" t="n"/>
      <c r="W1443" s="24">
        <f>IF($D1443="","",IF($E1443="※编码不在物料档案里","※物料编码不在档案里",IF(N($J1443)&lt;=0,"※出库数量要大于 0",IF($K1443="","※没填去向类型",IF($L1443="","※没填去向矿区",IF(AND($C1443&lt;&gt;"",$C1443&lt;=结账锁),"※日期早于已结账截止日，不能再录",IF(AND($K1443="自用消耗",COUNTIF({"一矿区";"二矿区"},$L1443)=0),"※自用消耗的去向只能是一矿区或二矿区",IF(AND($K1443="对外销售",COUNTIF({"三矿区";"六矿区"},$L1443)=0),"※对外销售的去向只能是三矿区或六矿区",IF(AND($K1443="对外销售",ROUND($Q1443,0)=0),"※外销却没有售价，请填实际售价",IF(AND($K1443="对外销售",$T1443&lt;&gt;"",$T1443&lt;0),"※这一笔外销是亏的，请核对售价",IF(IFERROR(VLOOKUP($D1443,库存台账!$A$5:$Y$1204,24,0),0)&lt;-0.001,"※这个物料账面已经变成负数了，查一下是不是漏记入库","")))))))))))</f>
        <v/>
      </c>
    </row>
    <row r="1444">
      <c r="A1444" s="24">
        <f>IF($D1444="","",COUNTA($D$4:$D1444))</f>
        <v/>
      </c>
      <c r="B1444" s="17" t="n"/>
      <c r="C1444" s="30" t="n"/>
      <c r="D1444" s="17" t="n"/>
      <c r="E1444" s="24">
        <f>IF($D1444="","",IFERROR(VLOOKUP($D1444,物料档案!$A$4:$P$1203,3,0),"※编码不在物料档案里"))</f>
        <v/>
      </c>
      <c r="F1444" s="24">
        <f>IF($D1444="","",IFERROR(VLOOKUP($D1444,物料档案!$A$4:$P$1203,4,0),"※编码不在物料档案里"))</f>
        <v/>
      </c>
      <c r="G1444" s="24">
        <f>IF($D1444="","",IFERROR(VLOOKUP($D1444,物料档案!$A$4:$P$1203,5,0),"※编码不在物料档案里"))</f>
        <v/>
      </c>
      <c r="H1444" s="24">
        <f>IF($D1444="","",IFERROR(VLOOKUP($D1444,物料档案!$A$4:$P$1203,2,0),"※编码不在物料档案里"))</f>
        <v/>
      </c>
      <c r="I1444" s="24">
        <f>IF($D1444="","",IFERROR(VLOOKUP($D1444,物料档案!$A$4:$P$1203,6,0),"※编码不在物料档案里"))</f>
        <v/>
      </c>
      <c r="J1444" s="23" t="n"/>
      <c r="K1444" s="17" t="n"/>
      <c r="L1444" s="17" t="n"/>
      <c r="M1444" s="17" t="n"/>
      <c r="N1444" s="17" t="n"/>
      <c r="O1444" s="26">
        <f>IF($D1444="","",IFERROR(VLOOKUP($D1444,物料档案!$A$4:$P$1203,10,0),0))</f>
        <v/>
      </c>
      <c r="P1444" s="32" t="n"/>
      <c r="Q1444" s="26">
        <f>IF($D1444="","",IF($K1444&lt;&gt;"对外销售",0,ROUND(N($J1444)*IF($P1444="",N($O1444),N($P1444)),0)))</f>
        <v/>
      </c>
      <c r="R1444" s="26">
        <f>IF($D1444="","",IFERROR(VLOOKUP($D1444,库存台账!$A$5:$Y$1204,11,0),0))</f>
        <v/>
      </c>
      <c r="S1444" s="26">
        <f>IF($D1444="","",ROUND(N($J1444)*N($R1444),0))</f>
        <v/>
      </c>
      <c r="T1444" s="26">
        <f>IF($D1444="","",IF($K1444&lt;&gt;"对外销售","",ROUND($Q1444-$S1444,0)))</f>
        <v/>
      </c>
      <c r="U1444" s="17" t="n"/>
      <c r="V1444" s="17" t="n"/>
      <c r="W1444" s="24">
        <f>IF($D1444="","",IF($E1444="※编码不在物料档案里","※物料编码不在档案里",IF(N($J1444)&lt;=0,"※出库数量要大于 0",IF($K1444="","※没填去向类型",IF($L1444="","※没填去向矿区",IF(AND($C1444&lt;&gt;"",$C1444&lt;=结账锁),"※日期早于已结账截止日，不能再录",IF(AND($K1444="自用消耗",COUNTIF({"一矿区";"二矿区"},$L1444)=0),"※自用消耗的去向只能是一矿区或二矿区",IF(AND($K1444="对外销售",COUNTIF({"三矿区";"六矿区"},$L1444)=0),"※对外销售的去向只能是三矿区或六矿区",IF(AND($K1444="对外销售",ROUND($Q1444,0)=0),"※外销却没有售价，请填实际售价",IF(AND($K1444="对外销售",$T1444&lt;&gt;"",$T1444&lt;0),"※这一笔外销是亏的，请核对售价",IF(IFERROR(VLOOKUP($D1444,库存台账!$A$5:$Y$1204,24,0),0)&lt;-0.001,"※这个物料账面已经变成负数了，查一下是不是漏记入库","")))))))))))</f>
        <v/>
      </c>
    </row>
    <row r="1445">
      <c r="A1445" s="24">
        <f>IF($D1445="","",COUNTA($D$4:$D1445))</f>
        <v/>
      </c>
      <c r="B1445" s="17" t="n"/>
      <c r="C1445" s="30" t="n"/>
      <c r="D1445" s="17" t="n"/>
      <c r="E1445" s="24">
        <f>IF($D1445="","",IFERROR(VLOOKUP($D1445,物料档案!$A$4:$P$1203,3,0),"※编码不在物料档案里"))</f>
        <v/>
      </c>
      <c r="F1445" s="24">
        <f>IF($D1445="","",IFERROR(VLOOKUP($D1445,物料档案!$A$4:$P$1203,4,0),"※编码不在物料档案里"))</f>
        <v/>
      </c>
      <c r="G1445" s="24">
        <f>IF($D1445="","",IFERROR(VLOOKUP($D1445,物料档案!$A$4:$P$1203,5,0),"※编码不在物料档案里"))</f>
        <v/>
      </c>
      <c r="H1445" s="24">
        <f>IF($D1445="","",IFERROR(VLOOKUP($D1445,物料档案!$A$4:$P$1203,2,0),"※编码不在物料档案里"))</f>
        <v/>
      </c>
      <c r="I1445" s="24">
        <f>IF($D1445="","",IFERROR(VLOOKUP($D1445,物料档案!$A$4:$P$1203,6,0),"※编码不在物料档案里"))</f>
        <v/>
      </c>
      <c r="J1445" s="23" t="n"/>
      <c r="K1445" s="17" t="n"/>
      <c r="L1445" s="17" t="n"/>
      <c r="M1445" s="17" t="n"/>
      <c r="N1445" s="17" t="n"/>
      <c r="O1445" s="26">
        <f>IF($D1445="","",IFERROR(VLOOKUP($D1445,物料档案!$A$4:$P$1203,10,0),0))</f>
        <v/>
      </c>
      <c r="P1445" s="32" t="n"/>
      <c r="Q1445" s="26">
        <f>IF($D1445="","",IF($K1445&lt;&gt;"对外销售",0,ROUND(N($J1445)*IF($P1445="",N($O1445),N($P1445)),0)))</f>
        <v/>
      </c>
      <c r="R1445" s="26">
        <f>IF($D1445="","",IFERROR(VLOOKUP($D1445,库存台账!$A$5:$Y$1204,11,0),0))</f>
        <v/>
      </c>
      <c r="S1445" s="26">
        <f>IF($D1445="","",ROUND(N($J1445)*N($R1445),0))</f>
        <v/>
      </c>
      <c r="T1445" s="26">
        <f>IF($D1445="","",IF($K1445&lt;&gt;"对外销售","",ROUND($Q1445-$S1445,0)))</f>
        <v/>
      </c>
      <c r="U1445" s="17" t="n"/>
      <c r="V1445" s="17" t="n"/>
      <c r="W1445" s="24">
        <f>IF($D1445="","",IF($E1445="※编码不在物料档案里","※物料编码不在档案里",IF(N($J1445)&lt;=0,"※出库数量要大于 0",IF($K1445="","※没填去向类型",IF($L1445="","※没填去向矿区",IF(AND($C1445&lt;&gt;"",$C1445&lt;=结账锁),"※日期早于已结账截止日，不能再录",IF(AND($K1445="自用消耗",COUNTIF({"一矿区";"二矿区"},$L1445)=0),"※自用消耗的去向只能是一矿区或二矿区",IF(AND($K1445="对外销售",COUNTIF({"三矿区";"六矿区"},$L1445)=0),"※对外销售的去向只能是三矿区或六矿区",IF(AND($K1445="对外销售",ROUND($Q1445,0)=0),"※外销却没有售价，请填实际售价",IF(AND($K1445="对外销售",$T1445&lt;&gt;"",$T1445&lt;0),"※这一笔外销是亏的，请核对售价",IF(IFERROR(VLOOKUP($D1445,库存台账!$A$5:$Y$1204,24,0),0)&lt;-0.001,"※这个物料账面已经变成负数了，查一下是不是漏记入库","")))))))))))</f>
        <v/>
      </c>
    </row>
    <row r="1446">
      <c r="A1446" s="24">
        <f>IF($D1446="","",COUNTA($D$4:$D1446))</f>
        <v/>
      </c>
      <c r="B1446" s="17" t="n"/>
      <c r="C1446" s="30" t="n"/>
      <c r="D1446" s="17" t="n"/>
      <c r="E1446" s="24">
        <f>IF($D1446="","",IFERROR(VLOOKUP($D1446,物料档案!$A$4:$P$1203,3,0),"※编码不在物料档案里"))</f>
        <v/>
      </c>
      <c r="F1446" s="24">
        <f>IF($D1446="","",IFERROR(VLOOKUP($D1446,物料档案!$A$4:$P$1203,4,0),"※编码不在物料档案里"))</f>
        <v/>
      </c>
      <c r="G1446" s="24">
        <f>IF($D1446="","",IFERROR(VLOOKUP($D1446,物料档案!$A$4:$P$1203,5,0),"※编码不在物料档案里"))</f>
        <v/>
      </c>
      <c r="H1446" s="24">
        <f>IF($D1446="","",IFERROR(VLOOKUP($D1446,物料档案!$A$4:$P$1203,2,0),"※编码不在物料档案里"))</f>
        <v/>
      </c>
      <c r="I1446" s="24">
        <f>IF($D1446="","",IFERROR(VLOOKUP($D1446,物料档案!$A$4:$P$1203,6,0),"※编码不在物料档案里"))</f>
        <v/>
      </c>
      <c r="J1446" s="23" t="n"/>
      <c r="K1446" s="17" t="n"/>
      <c r="L1446" s="17" t="n"/>
      <c r="M1446" s="17" t="n"/>
      <c r="N1446" s="17" t="n"/>
      <c r="O1446" s="26">
        <f>IF($D1446="","",IFERROR(VLOOKUP($D1446,物料档案!$A$4:$P$1203,10,0),0))</f>
        <v/>
      </c>
      <c r="P1446" s="32" t="n"/>
      <c r="Q1446" s="26">
        <f>IF($D1446="","",IF($K1446&lt;&gt;"对外销售",0,ROUND(N($J1446)*IF($P1446="",N($O1446),N($P1446)),0)))</f>
        <v/>
      </c>
      <c r="R1446" s="26">
        <f>IF($D1446="","",IFERROR(VLOOKUP($D1446,库存台账!$A$5:$Y$1204,11,0),0))</f>
        <v/>
      </c>
      <c r="S1446" s="26">
        <f>IF($D1446="","",ROUND(N($J1446)*N($R1446),0))</f>
        <v/>
      </c>
      <c r="T1446" s="26">
        <f>IF($D1446="","",IF($K1446&lt;&gt;"对外销售","",ROUND($Q1446-$S1446,0)))</f>
        <v/>
      </c>
      <c r="U1446" s="17" t="n"/>
      <c r="V1446" s="17" t="n"/>
      <c r="W1446" s="24">
        <f>IF($D1446="","",IF($E1446="※编码不在物料档案里","※物料编码不在档案里",IF(N($J1446)&lt;=0,"※出库数量要大于 0",IF($K1446="","※没填去向类型",IF($L1446="","※没填去向矿区",IF(AND($C1446&lt;&gt;"",$C1446&lt;=结账锁),"※日期早于已结账截止日，不能再录",IF(AND($K1446="自用消耗",COUNTIF({"一矿区";"二矿区"},$L1446)=0),"※自用消耗的去向只能是一矿区或二矿区",IF(AND($K1446="对外销售",COUNTIF({"三矿区";"六矿区"},$L1446)=0),"※对外销售的去向只能是三矿区或六矿区",IF(AND($K1446="对外销售",ROUND($Q1446,0)=0),"※外销却没有售价，请填实际售价",IF(AND($K1446="对外销售",$T1446&lt;&gt;"",$T1446&lt;0),"※这一笔外销是亏的，请核对售价",IF(IFERROR(VLOOKUP($D1446,库存台账!$A$5:$Y$1204,24,0),0)&lt;-0.001,"※这个物料账面已经变成负数了，查一下是不是漏记入库","")))))))))))</f>
        <v/>
      </c>
    </row>
    <row r="1447">
      <c r="A1447" s="24">
        <f>IF($D1447="","",COUNTA($D$4:$D1447))</f>
        <v/>
      </c>
      <c r="B1447" s="17" t="n"/>
      <c r="C1447" s="30" t="n"/>
      <c r="D1447" s="17" t="n"/>
      <c r="E1447" s="24">
        <f>IF($D1447="","",IFERROR(VLOOKUP($D1447,物料档案!$A$4:$P$1203,3,0),"※编码不在物料档案里"))</f>
        <v/>
      </c>
      <c r="F1447" s="24">
        <f>IF($D1447="","",IFERROR(VLOOKUP($D1447,物料档案!$A$4:$P$1203,4,0),"※编码不在物料档案里"))</f>
        <v/>
      </c>
      <c r="G1447" s="24">
        <f>IF($D1447="","",IFERROR(VLOOKUP($D1447,物料档案!$A$4:$P$1203,5,0),"※编码不在物料档案里"))</f>
        <v/>
      </c>
      <c r="H1447" s="24">
        <f>IF($D1447="","",IFERROR(VLOOKUP($D1447,物料档案!$A$4:$P$1203,2,0),"※编码不在物料档案里"))</f>
        <v/>
      </c>
      <c r="I1447" s="24">
        <f>IF($D1447="","",IFERROR(VLOOKUP($D1447,物料档案!$A$4:$P$1203,6,0),"※编码不在物料档案里"))</f>
        <v/>
      </c>
      <c r="J1447" s="23" t="n"/>
      <c r="K1447" s="17" t="n"/>
      <c r="L1447" s="17" t="n"/>
      <c r="M1447" s="17" t="n"/>
      <c r="N1447" s="17" t="n"/>
      <c r="O1447" s="26">
        <f>IF($D1447="","",IFERROR(VLOOKUP($D1447,物料档案!$A$4:$P$1203,10,0),0))</f>
        <v/>
      </c>
      <c r="P1447" s="32" t="n"/>
      <c r="Q1447" s="26">
        <f>IF($D1447="","",IF($K1447&lt;&gt;"对外销售",0,ROUND(N($J1447)*IF($P1447="",N($O1447),N($P1447)),0)))</f>
        <v/>
      </c>
      <c r="R1447" s="26">
        <f>IF($D1447="","",IFERROR(VLOOKUP($D1447,库存台账!$A$5:$Y$1204,11,0),0))</f>
        <v/>
      </c>
      <c r="S1447" s="26">
        <f>IF($D1447="","",ROUND(N($J1447)*N($R1447),0))</f>
        <v/>
      </c>
      <c r="T1447" s="26">
        <f>IF($D1447="","",IF($K1447&lt;&gt;"对外销售","",ROUND($Q1447-$S1447,0)))</f>
        <v/>
      </c>
      <c r="U1447" s="17" t="n"/>
      <c r="V1447" s="17" t="n"/>
      <c r="W1447" s="24">
        <f>IF($D1447="","",IF($E1447="※编码不在物料档案里","※物料编码不在档案里",IF(N($J1447)&lt;=0,"※出库数量要大于 0",IF($K1447="","※没填去向类型",IF($L1447="","※没填去向矿区",IF(AND($C1447&lt;&gt;"",$C1447&lt;=结账锁),"※日期早于已结账截止日，不能再录",IF(AND($K1447="自用消耗",COUNTIF({"一矿区";"二矿区"},$L1447)=0),"※自用消耗的去向只能是一矿区或二矿区",IF(AND($K1447="对外销售",COUNTIF({"三矿区";"六矿区"},$L1447)=0),"※对外销售的去向只能是三矿区或六矿区",IF(AND($K1447="对外销售",ROUND($Q1447,0)=0),"※外销却没有售价，请填实际售价",IF(AND($K1447="对外销售",$T1447&lt;&gt;"",$T1447&lt;0),"※这一笔外销是亏的，请核对售价",IF(IFERROR(VLOOKUP($D1447,库存台账!$A$5:$Y$1204,24,0),0)&lt;-0.001,"※这个物料账面已经变成负数了，查一下是不是漏记入库","")))))))))))</f>
        <v/>
      </c>
    </row>
    <row r="1448">
      <c r="A1448" s="24">
        <f>IF($D1448="","",COUNTA($D$4:$D1448))</f>
        <v/>
      </c>
      <c r="B1448" s="17" t="n"/>
      <c r="C1448" s="30" t="n"/>
      <c r="D1448" s="17" t="n"/>
      <c r="E1448" s="24">
        <f>IF($D1448="","",IFERROR(VLOOKUP($D1448,物料档案!$A$4:$P$1203,3,0),"※编码不在物料档案里"))</f>
        <v/>
      </c>
      <c r="F1448" s="24">
        <f>IF($D1448="","",IFERROR(VLOOKUP($D1448,物料档案!$A$4:$P$1203,4,0),"※编码不在物料档案里"))</f>
        <v/>
      </c>
      <c r="G1448" s="24">
        <f>IF($D1448="","",IFERROR(VLOOKUP($D1448,物料档案!$A$4:$P$1203,5,0),"※编码不在物料档案里"))</f>
        <v/>
      </c>
      <c r="H1448" s="24">
        <f>IF($D1448="","",IFERROR(VLOOKUP($D1448,物料档案!$A$4:$P$1203,2,0),"※编码不在物料档案里"))</f>
        <v/>
      </c>
      <c r="I1448" s="24">
        <f>IF($D1448="","",IFERROR(VLOOKUP($D1448,物料档案!$A$4:$P$1203,6,0),"※编码不在物料档案里"))</f>
        <v/>
      </c>
      <c r="J1448" s="23" t="n"/>
      <c r="K1448" s="17" t="n"/>
      <c r="L1448" s="17" t="n"/>
      <c r="M1448" s="17" t="n"/>
      <c r="N1448" s="17" t="n"/>
      <c r="O1448" s="26">
        <f>IF($D1448="","",IFERROR(VLOOKUP($D1448,物料档案!$A$4:$P$1203,10,0),0))</f>
        <v/>
      </c>
      <c r="P1448" s="32" t="n"/>
      <c r="Q1448" s="26">
        <f>IF($D1448="","",IF($K1448&lt;&gt;"对外销售",0,ROUND(N($J1448)*IF($P1448="",N($O1448),N($P1448)),0)))</f>
        <v/>
      </c>
      <c r="R1448" s="26">
        <f>IF($D1448="","",IFERROR(VLOOKUP($D1448,库存台账!$A$5:$Y$1204,11,0),0))</f>
        <v/>
      </c>
      <c r="S1448" s="26">
        <f>IF($D1448="","",ROUND(N($J1448)*N($R1448),0))</f>
        <v/>
      </c>
      <c r="T1448" s="26">
        <f>IF($D1448="","",IF($K1448&lt;&gt;"对外销售","",ROUND($Q1448-$S1448,0)))</f>
        <v/>
      </c>
      <c r="U1448" s="17" t="n"/>
      <c r="V1448" s="17" t="n"/>
      <c r="W1448" s="24">
        <f>IF($D1448="","",IF($E1448="※编码不在物料档案里","※物料编码不在档案里",IF(N($J1448)&lt;=0,"※出库数量要大于 0",IF($K1448="","※没填去向类型",IF($L1448="","※没填去向矿区",IF(AND($C1448&lt;&gt;"",$C1448&lt;=结账锁),"※日期早于已结账截止日，不能再录",IF(AND($K1448="自用消耗",COUNTIF({"一矿区";"二矿区"},$L1448)=0),"※自用消耗的去向只能是一矿区或二矿区",IF(AND($K1448="对外销售",COUNTIF({"三矿区";"六矿区"},$L1448)=0),"※对外销售的去向只能是三矿区或六矿区",IF(AND($K1448="对外销售",ROUND($Q1448,0)=0),"※外销却没有售价，请填实际售价",IF(AND($K1448="对外销售",$T1448&lt;&gt;"",$T1448&lt;0),"※这一笔外销是亏的，请核对售价",IF(IFERROR(VLOOKUP($D1448,库存台账!$A$5:$Y$1204,24,0),0)&lt;-0.001,"※这个物料账面已经变成负数了，查一下是不是漏记入库","")))))))))))</f>
        <v/>
      </c>
    </row>
    <row r="1449">
      <c r="A1449" s="24">
        <f>IF($D1449="","",COUNTA($D$4:$D1449))</f>
        <v/>
      </c>
      <c r="B1449" s="17" t="n"/>
      <c r="C1449" s="30" t="n"/>
      <c r="D1449" s="17" t="n"/>
      <c r="E1449" s="24">
        <f>IF($D1449="","",IFERROR(VLOOKUP($D1449,物料档案!$A$4:$P$1203,3,0),"※编码不在物料档案里"))</f>
        <v/>
      </c>
      <c r="F1449" s="24">
        <f>IF($D1449="","",IFERROR(VLOOKUP($D1449,物料档案!$A$4:$P$1203,4,0),"※编码不在物料档案里"))</f>
        <v/>
      </c>
      <c r="G1449" s="24">
        <f>IF($D1449="","",IFERROR(VLOOKUP($D1449,物料档案!$A$4:$P$1203,5,0),"※编码不在物料档案里"))</f>
        <v/>
      </c>
      <c r="H1449" s="24">
        <f>IF($D1449="","",IFERROR(VLOOKUP($D1449,物料档案!$A$4:$P$1203,2,0),"※编码不在物料档案里"))</f>
        <v/>
      </c>
      <c r="I1449" s="24">
        <f>IF($D1449="","",IFERROR(VLOOKUP($D1449,物料档案!$A$4:$P$1203,6,0),"※编码不在物料档案里"))</f>
        <v/>
      </c>
      <c r="J1449" s="23" t="n"/>
      <c r="K1449" s="17" t="n"/>
      <c r="L1449" s="17" t="n"/>
      <c r="M1449" s="17" t="n"/>
      <c r="N1449" s="17" t="n"/>
      <c r="O1449" s="26">
        <f>IF($D1449="","",IFERROR(VLOOKUP($D1449,物料档案!$A$4:$P$1203,10,0),0))</f>
        <v/>
      </c>
      <c r="P1449" s="32" t="n"/>
      <c r="Q1449" s="26">
        <f>IF($D1449="","",IF($K1449&lt;&gt;"对外销售",0,ROUND(N($J1449)*IF($P1449="",N($O1449),N($P1449)),0)))</f>
        <v/>
      </c>
      <c r="R1449" s="26">
        <f>IF($D1449="","",IFERROR(VLOOKUP($D1449,库存台账!$A$5:$Y$1204,11,0),0))</f>
        <v/>
      </c>
      <c r="S1449" s="26">
        <f>IF($D1449="","",ROUND(N($J1449)*N($R1449),0))</f>
        <v/>
      </c>
      <c r="T1449" s="26">
        <f>IF($D1449="","",IF($K1449&lt;&gt;"对外销售","",ROUND($Q1449-$S1449,0)))</f>
        <v/>
      </c>
      <c r="U1449" s="17" t="n"/>
      <c r="V1449" s="17" t="n"/>
      <c r="W1449" s="24">
        <f>IF($D1449="","",IF($E1449="※编码不在物料档案里","※物料编码不在档案里",IF(N($J1449)&lt;=0,"※出库数量要大于 0",IF($K1449="","※没填去向类型",IF($L1449="","※没填去向矿区",IF(AND($C1449&lt;&gt;"",$C1449&lt;=结账锁),"※日期早于已结账截止日，不能再录",IF(AND($K1449="自用消耗",COUNTIF({"一矿区";"二矿区"},$L1449)=0),"※自用消耗的去向只能是一矿区或二矿区",IF(AND($K1449="对外销售",COUNTIF({"三矿区";"六矿区"},$L1449)=0),"※对外销售的去向只能是三矿区或六矿区",IF(AND($K1449="对外销售",ROUND($Q1449,0)=0),"※外销却没有售价，请填实际售价",IF(AND($K1449="对外销售",$T1449&lt;&gt;"",$T1449&lt;0),"※这一笔外销是亏的，请核对售价",IF(IFERROR(VLOOKUP($D1449,库存台账!$A$5:$Y$1204,24,0),0)&lt;-0.001,"※这个物料账面已经变成负数了，查一下是不是漏记入库","")))))))))))</f>
        <v/>
      </c>
    </row>
    <row r="1450">
      <c r="A1450" s="24">
        <f>IF($D1450="","",COUNTA($D$4:$D1450))</f>
        <v/>
      </c>
      <c r="B1450" s="17" t="n"/>
      <c r="C1450" s="30" t="n"/>
      <c r="D1450" s="17" t="n"/>
      <c r="E1450" s="24">
        <f>IF($D1450="","",IFERROR(VLOOKUP($D1450,物料档案!$A$4:$P$1203,3,0),"※编码不在物料档案里"))</f>
        <v/>
      </c>
      <c r="F1450" s="24">
        <f>IF($D1450="","",IFERROR(VLOOKUP($D1450,物料档案!$A$4:$P$1203,4,0),"※编码不在物料档案里"))</f>
        <v/>
      </c>
      <c r="G1450" s="24">
        <f>IF($D1450="","",IFERROR(VLOOKUP($D1450,物料档案!$A$4:$P$1203,5,0),"※编码不在物料档案里"))</f>
        <v/>
      </c>
      <c r="H1450" s="24">
        <f>IF($D1450="","",IFERROR(VLOOKUP($D1450,物料档案!$A$4:$P$1203,2,0),"※编码不在物料档案里"))</f>
        <v/>
      </c>
      <c r="I1450" s="24">
        <f>IF($D1450="","",IFERROR(VLOOKUP($D1450,物料档案!$A$4:$P$1203,6,0),"※编码不在物料档案里"))</f>
        <v/>
      </c>
      <c r="J1450" s="23" t="n"/>
      <c r="K1450" s="17" t="n"/>
      <c r="L1450" s="17" t="n"/>
      <c r="M1450" s="17" t="n"/>
      <c r="N1450" s="17" t="n"/>
      <c r="O1450" s="26">
        <f>IF($D1450="","",IFERROR(VLOOKUP($D1450,物料档案!$A$4:$P$1203,10,0),0))</f>
        <v/>
      </c>
      <c r="P1450" s="32" t="n"/>
      <c r="Q1450" s="26">
        <f>IF($D1450="","",IF($K1450&lt;&gt;"对外销售",0,ROUND(N($J1450)*IF($P1450="",N($O1450),N($P1450)),0)))</f>
        <v/>
      </c>
      <c r="R1450" s="26">
        <f>IF($D1450="","",IFERROR(VLOOKUP($D1450,库存台账!$A$5:$Y$1204,11,0),0))</f>
        <v/>
      </c>
      <c r="S1450" s="26">
        <f>IF($D1450="","",ROUND(N($J1450)*N($R1450),0))</f>
        <v/>
      </c>
      <c r="T1450" s="26">
        <f>IF($D1450="","",IF($K1450&lt;&gt;"对外销售","",ROUND($Q1450-$S1450,0)))</f>
        <v/>
      </c>
      <c r="U1450" s="17" t="n"/>
      <c r="V1450" s="17" t="n"/>
      <c r="W1450" s="24">
        <f>IF($D1450="","",IF($E1450="※编码不在物料档案里","※物料编码不在档案里",IF(N($J1450)&lt;=0,"※出库数量要大于 0",IF($K1450="","※没填去向类型",IF($L1450="","※没填去向矿区",IF(AND($C1450&lt;&gt;"",$C1450&lt;=结账锁),"※日期早于已结账截止日，不能再录",IF(AND($K1450="自用消耗",COUNTIF({"一矿区";"二矿区"},$L1450)=0),"※自用消耗的去向只能是一矿区或二矿区",IF(AND($K1450="对外销售",COUNTIF({"三矿区";"六矿区"},$L1450)=0),"※对外销售的去向只能是三矿区或六矿区",IF(AND($K1450="对外销售",ROUND($Q1450,0)=0),"※外销却没有售价，请填实际售价",IF(AND($K1450="对外销售",$T1450&lt;&gt;"",$T1450&lt;0),"※这一笔外销是亏的，请核对售价",IF(IFERROR(VLOOKUP($D1450,库存台账!$A$5:$Y$1204,24,0),0)&lt;-0.001,"※这个物料账面已经变成负数了，查一下是不是漏记入库","")))))))))))</f>
        <v/>
      </c>
    </row>
    <row r="1451">
      <c r="A1451" s="24">
        <f>IF($D1451="","",COUNTA($D$4:$D1451))</f>
        <v/>
      </c>
      <c r="B1451" s="17" t="n"/>
      <c r="C1451" s="30" t="n"/>
      <c r="D1451" s="17" t="n"/>
      <c r="E1451" s="24">
        <f>IF($D1451="","",IFERROR(VLOOKUP($D1451,物料档案!$A$4:$P$1203,3,0),"※编码不在物料档案里"))</f>
        <v/>
      </c>
      <c r="F1451" s="24">
        <f>IF($D1451="","",IFERROR(VLOOKUP($D1451,物料档案!$A$4:$P$1203,4,0),"※编码不在物料档案里"))</f>
        <v/>
      </c>
      <c r="G1451" s="24">
        <f>IF($D1451="","",IFERROR(VLOOKUP($D1451,物料档案!$A$4:$P$1203,5,0),"※编码不在物料档案里"))</f>
        <v/>
      </c>
      <c r="H1451" s="24">
        <f>IF($D1451="","",IFERROR(VLOOKUP($D1451,物料档案!$A$4:$P$1203,2,0),"※编码不在物料档案里"))</f>
        <v/>
      </c>
      <c r="I1451" s="24">
        <f>IF($D1451="","",IFERROR(VLOOKUP($D1451,物料档案!$A$4:$P$1203,6,0),"※编码不在物料档案里"))</f>
        <v/>
      </c>
      <c r="J1451" s="23" t="n"/>
      <c r="K1451" s="17" t="n"/>
      <c r="L1451" s="17" t="n"/>
      <c r="M1451" s="17" t="n"/>
      <c r="N1451" s="17" t="n"/>
      <c r="O1451" s="26">
        <f>IF($D1451="","",IFERROR(VLOOKUP($D1451,物料档案!$A$4:$P$1203,10,0),0))</f>
        <v/>
      </c>
      <c r="P1451" s="32" t="n"/>
      <c r="Q1451" s="26">
        <f>IF($D1451="","",IF($K1451&lt;&gt;"对外销售",0,ROUND(N($J1451)*IF($P1451="",N($O1451),N($P1451)),0)))</f>
        <v/>
      </c>
      <c r="R1451" s="26">
        <f>IF($D1451="","",IFERROR(VLOOKUP($D1451,库存台账!$A$5:$Y$1204,11,0),0))</f>
        <v/>
      </c>
      <c r="S1451" s="26">
        <f>IF($D1451="","",ROUND(N($J1451)*N($R1451),0))</f>
        <v/>
      </c>
      <c r="T1451" s="26">
        <f>IF($D1451="","",IF($K1451&lt;&gt;"对外销售","",ROUND($Q1451-$S1451,0)))</f>
        <v/>
      </c>
      <c r="U1451" s="17" t="n"/>
      <c r="V1451" s="17" t="n"/>
      <c r="W1451" s="24">
        <f>IF($D1451="","",IF($E1451="※编码不在物料档案里","※物料编码不在档案里",IF(N($J1451)&lt;=0,"※出库数量要大于 0",IF($K1451="","※没填去向类型",IF($L1451="","※没填去向矿区",IF(AND($C1451&lt;&gt;"",$C1451&lt;=结账锁),"※日期早于已结账截止日，不能再录",IF(AND($K1451="自用消耗",COUNTIF({"一矿区";"二矿区"},$L1451)=0),"※自用消耗的去向只能是一矿区或二矿区",IF(AND($K1451="对外销售",COUNTIF({"三矿区";"六矿区"},$L1451)=0),"※对外销售的去向只能是三矿区或六矿区",IF(AND($K1451="对外销售",ROUND($Q1451,0)=0),"※外销却没有售价，请填实际售价",IF(AND($K1451="对外销售",$T1451&lt;&gt;"",$T1451&lt;0),"※这一笔外销是亏的，请核对售价",IF(IFERROR(VLOOKUP($D1451,库存台账!$A$5:$Y$1204,24,0),0)&lt;-0.001,"※这个物料账面已经变成负数了，查一下是不是漏记入库","")))))))))))</f>
        <v/>
      </c>
    </row>
    <row r="1452">
      <c r="A1452" s="24">
        <f>IF($D1452="","",COUNTA($D$4:$D1452))</f>
        <v/>
      </c>
      <c r="B1452" s="17" t="n"/>
      <c r="C1452" s="30" t="n"/>
      <c r="D1452" s="17" t="n"/>
      <c r="E1452" s="24">
        <f>IF($D1452="","",IFERROR(VLOOKUP($D1452,物料档案!$A$4:$P$1203,3,0),"※编码不在物料档案里"))</f>
        <v/>
      </c>
      <c r="F1452" s="24">
        <f>IF($D1452="","",IFERROR(VLOOKUP($D1452,物料档案!$A$4:$P$1203,4,0),"※编码不在物料档案里"))</f>
        <v/>
      </c>
      <c r="G1452" s="24">
        <f>IF($D1452="","",IFERROR(VLOOKUP($D1452,物料档案!$A$4:$P$1203,5,0),"※编码不在物料档案里"))</f>
        <v/>
      </c>
      <c r="H1452" s="24">
        <f>IF($D1452="","",IFERROR(VLOOKUP($D1452,物料档案!$A$4:$P$1203,2,0),"※编码不在物料档案里"))</f>
        <v/>
      </c>
      <c r="I1452" s="24">
        <f>IF($D1452="","",IFERROR(VLOOKUP($D1452,物料档案!$A$4:$P$1203,6,0),"※编码不在物料档案里"))</f>
        <v/>
      </c>
      <c r="J1452" s="23" t="n"/>
      <c r="K1452" s="17" t="n"/>
      <c r="L1452" s="17" t="n"/>
      <c r="M1452" s="17" t="n"/>
      <c r="N1452" s="17" t="n"/>
      <c r="O1452" s="26">
        <f>IF($D1452="","",IFERROR(VLOOKUP($D1452,物料档案!$A$4:$P$1203,10,0),0))</f>
        <v/>
      </c>
      <c r="P1452" s="32" t="n"/>
      <c r="Q1452" s="26">
        <f>IF($D1452="","",IF($K1452&lt;&gt;"对外销售",0,ROUND(N($J1452)*IF($P1452="",N($O1452),N($P1452)),0)))</f>
        <v/>
      </c>
      <c r="R1452" s="26">
        <f>IF($D1452="","",IFERROR(VLOOKUP($D1452,库存台账!$A$5:$Y$1204,11,0),0))</f>
        <v/>
      </c>
      <c r="S1452" s="26">
        <f>IF($D1452="","",ROUND(N($J1452)*N($R1452),0))</f>
        <v/>
      </c>
      <c r="T1452" s="26">
        <f>IF($D1452="","",IF($K1452&lt;&gt;"对外销售","",ROUND($Q1452-$S1452,0)))</f>
        <v/>
      </c>
      <c r="U1452" s="17" t="n"/>
      <c r="V1452" s="17" t="n"/>
      <c r="W1452" s="24">
        <f>IF($D1452="","",IF($E1452="※编码不在物料档案里","※物料编码不在档案里",IF(N($J1452)&lt;=0,"※出库数量要大于 0",IF($K1452="","※没填去向类型",IF($L1452="","※没填去向矿区",IF(AND($C1452&lt;&gt;"",$C1452&lt;=结账锁),"※日期早于已结账截止日，不能再录",IF(AND($K1452="自用消耗",COUNTIF({"一矿区";"二矿区"},$L1452)=0),"※自用消耗的去向只能是一矿区或二矿区",IF(AND($K1452="对外销售",COUNTIF({"三矿区";"六矿区"},$L1452)=0),"※对外销售的去向只能是三矿区或六矿区",IF(AND($K1452="对外销售",ROUND($Q1452,0)=0),"※外销却没有售价，请填实际售价",IF(AND($K1452="对外销售",$T1452&lt;&gt;"",$T1452&lt;0),"※这一笔外销是亏的，请核对售价",IF(IFERROR(VLOOKUP($D1452,库存台账!$A$5:$Y$1204,24,0),0)&lt;-0.001,"※这个物料账面已经变成负数了，查一下是不是漏记入库","")))))))))))</f>
        <v/>
      </c>
    </row>
    <row r="1453">
      <c r="A1453" s="24">
        <f>IF($D1453="","",COUNTA($D$4:$D1453))</f>
        <v/>
      </c>
      <c r="B1453" s="17" t="n"/>
      <c r="C1453" s="30" t="n"/>
      <c r="D1453" s="17" t="n"/>
      <c r="E1453" s="24">
        <f>IF($D1453="","",IFERROR(VLOOKUP($D1453,物料档案!$A$4:$P$1203,3,0),"※编码不在物料档案里"))</f>
        <v/>
      </c>
      <c r="F1453" s="24">
        <f>IF($D1453="","",IFERROR(VLOOKUP($D1453,物料档案!$A$4:$P$1203,4,0),"※编码不在物料档案里"))</f>
        <v/>
      </c>
      <c r="G1453" s="24">
        <f>IF($D1453="","",IFERROR(VLOOKUP($D1453,物料档案!$A$4:$P$1203,5,0),"※编码不在物料档案里"))</f>
        <v/>
      </c>
      <c r="H1453" s="24">
        <f>IF($D1453="","",IFERROR(VLOOKUP($D1453,物料档案!$A$4:$P$1203,2,0),"※编码不在物料档案里"))</f>
        <v/>
      </c>
      <c r="I1453" s="24">
        <f>IF($D1453="","",IFERROR(VLOOKUP($D1453,物料档案!$A$4:$P$1203,6,0),"※编码不在物料档案里"))</f>
        <v/>
      </c>
      <c r="J1453" s="23" t="n"/>
      <c r="K1453" s="17" t="n"/>
      <c r="L1453" s="17" t="n"/>
      <c r="M1453" s="17" t="n"/>
      <c r="N1453" s="17" t="n"/>
      <c r="O1453" s="26">
        <f>IF($D1453="","",IFERROR(VLOOKUP($D1453,物料档案!$A$4:$P$1203,10,0),0))</f>
        <v/>
      </c>
      <c r="P1453" s="32" t="n"/>
      <c r="Q1453" s="26">
        <f>IF($D1453="","",IF($K1453&lt;&gt;"对外销售",0,ROUND(N($J1453)*IF($P1453="",N($O1453),N($P1453)),0)))</f>
        <v/>
      </c>
      <c r="R1453" s="26">
        <f>IF($D1453="","",IFERROR(VLOOKUP($D1453,库存台账!$A$5:$Y$1204,11,0),0))</f>
        <v/>
      </c>
      <c r="S1453" s="26">
        <f>IF($D1453="","",ROUND(N($J1453)*N($R1453),0))</f>
        <v/>
      </c>
      <c r="T1453" s="26">
        <f>IF($D1453="","",IF($K1453&lt;&gt;"对外销售","",ROUND($Q1453-$S1453,0)))</f>
        <v/>
      </c>
      <c r="U1453" s="17" t="n"/>
      <c r="V1453" s="17" t="n"/>
      <c r="W1453" s="24">
        <f>IF($D1453="","",IF($E1453="※编码不在物料档案里","※物料编码不在档案里",IF(N($J1453)&lt;=0,"※出库数量要大于 0",IF($K1453="","※没填去向类型",IF($L1453="","※没填去向矿区",IF(AND($C1453&lt;&gt;"",$C1453&lt;=结账锁),"※日期早于已结账截止日，不能再录",IF(AND($K1453="自用消耗",COUNTIF({"一矿区";"二矿区"},$L1453)=0),"※自用消耗的去向只能是一矿区或二矿区",IF(AND($K1453="对外销售",COUNTIF({"三矿区";"六矿区"},$L1453)=0),"※对外销售的去向只能是三矿区或六矿区",IF(AND($K1453="对外销售",ROUND($Q1453,0)=0),"※外销却没有售价，请填实际售价",IF(AND($K1453="对外销售",$T1453&lt;&gt;"",$T1453&lt;0),"※这一笔外销是亏的，请核对售价",IF(IFERROR(VLOOKUP($D1453,库存台账!$A$5:$Y$1204,24,0),0)&lt;-0.001,"※这个物料账面已经变成负数了，查一下是不是漏记入库","")))))))))))</f>
        <v/>
      </c>
    </row>
    <row r="1454">
      <c r="A1454" s="24">
        <f>IF($D1454="","",COUNTA($D$4:$D1454))</f>
        <v/>
      </c>
      <c r="B1454" s="17" t="n"/>
      <c r="C1454" s="30" t="n"/>
      <c r="D1454" s="17" t="n"/>
      <c r="E1454" s="24">
        <f>IF($D1454="","",IFERROR(VLOOKUP($D1454,物料档案!$A$4:$P$1203,3,0),"※编码不在物料档案里"))</f>
        <v/>
      </c>
      <c r="F1454" s="24">
        <f>IF($D1454="","",IFERROR(VLOOKUP($D1454,物料档案!$A$4:$P$1203,4,0),"※编码不在物料档案里"))</f>
        <v/>
      </c>
      <c r="G1454" s="24">
        <f>IF($D1454="","",IFERROR(VLOOKUP($D1454,物料档案!$A$4:$P$1203,5,0),"※编码不在物料档案里"))</f>
        <v/>
      </c>
      <c r="H1454" s="24">
        <f>IF($D1454="","",IFERROR(VLOOKUP($D1454,物料档案!$A$4:$P$1203,2,0),"※编码不在物料档案里"))</f>
        <v/>
      </c>
      <c r="I1454" s="24">
        <f>IF($D1454="","",IFERROR(VLOOKUP($D1454,物料档案!$A$4:$P$1203,6,0),"※编码不在物料档案里"))</f>
        <v/>
      </c>
      <c r="J1454" s="23" t="n"/>
      <c r="K1454" s="17" t="n"/>
      <c r="L1454" s="17" t="n"/>
      <c r="M1454" s="17" t="n"/>
      <c r="N1454" s="17" t="n"/>
      <c r="O1454" s="26">
        <f>IF($D1454="","",IFERROR(VLOOKUP($D1454,物料档案!$A$4:$P$1203,10,0),0))</f>
        <v/>
      </c>
      <c r="P1454" s="32" t="n"/>
      <c r="Q1454" s="26">
        <f>IF($D1454="","",IF($K1454&lt;&gt;"对外销售",0,ROUND(N($J1454)*IF($P1454="",N($O1454),N($P1454)),0)))</f>
        <v/>
      </c>
      <c r="R1454" s="26">
        <f>IF($D1454="","",IFERROR(VLOOKUP($D1454,库存台账!$A$5:$Y$1204,11,0),0))</f>
        <v/>
      </c>
      <c r="S1454" s="26">
        <f>IF($D1454="","",ROUND(N($J1454)*N($R1454),0))</f>
        <v/>
      </c>
      <c r="T1454" s="26">
        <f>IF($D1454="","",IF($K1454&lt;&gt;"对外销售","",ROUND($Q1454-$S1454,0)))</f>
        <v/>
      </c>
      <c r="U1454" s="17" t="n"/>
      <c r="V1454" s="17" t="n"/>
      <c r="W1454" s="24">
        <f>IF($D1454="","",IF($E1454="※编码不在物料档案里","※物料编码不在档案里",IF(N($J1454)&lt;=0,"※出库数量要大于 0",IF($K1454="","※没填去向类型",IF($L1454="","※没填去向矿区",IF(AND($C1454&lt;&gt;"",$C1454&lt;=结账锁),"※日期早于已结账截止日，不能再录",IF(AND($K1454="自用消耗",COUNTIF({"一矿区";"二矿区"},$L1454)=0),"※自用消耗的去向只能是一矿区或二矿区",IF(AND($K1454="对外销售",COUNTIF({"三矿区";"六矿区"},$L1454)=0),"※对外销售的去向只能是三矿区或六矿区",IF(AND($K1454="对外销售",ROUND($Q1454,0)=0),"※外销却没有售价，请填实际售价",IF(AND($K1454="对外销售",$T1454&lt;&gt;"",$T1454&lt;0),"※这一笔外销是亏的，请核对售价",IF(IFERROR(VLOOKUP($D1454,库存台账!$A$5:$Y$1204,24,0),0)&lt;-0.001,"※这个物料账面已经变成负数了，查一下是不是漏记入库","")))))))))))</f>
        <v/>
      </c>
    </row>
    <row r="1455">
      <c r="A1455" s="24">
        <f>IF($D1455="","",COUNTA($D$4:$D1455))</f>
        <v/>
      </c>
      <c r="B1455" s="17" t="n"/>
      <c r="C1455" s="30" t="n"/>
      <c r="D1455" s="17" t="n"/>
      <c r="E1455" s="24">
        <f>IF($D1455="","",IFERROR(VLOOKUP($D1455,物料档案!$A$4:$P$1203,3,0),"※编码不在物料档案里"))</f>
        <v/>
      </c>
      <c r="F1455" s="24">
        <f>IF($D1455="","",IFERROR(VLOOKUP($D1455,物料档案!$A$4:$P$1203,4,0),"※编码不在物料档案里"))</f>
        <v/>
      </c>
      <c r="G1455" s="24">
        <f>IF($D1455="","",IFERROR(VLOOKUP($D1455,物料档案!$A$4:$P$1203,5,0),"※编码不在物料档案里"))</f>
        <v/>
      </c>
      <c r="H1455" s="24">
        <f>IF($D1455="","",IFERROR(VLOOKUP($D1455,物料档案!$A$4:$P$1203,2,0),"※编码不在物料档案里"))</f>
        <v/>
      </c>
      <c r="I1455" s="24">
        <f>IF($D1455="","",IFERROR(VLOOKUP($D1455,物料档案!$A$4:$P$1203,6,0),"※编码不在物料档案里"))</f>
        <v/>
      </c>
      <c r="J1455" s="23" t="n"/>
      <c r="K1455" s="17" t="n"/>
      <c r="L1455" s="17" t="n"/>
      <c r="M1455" s="17" t="n"/>
      <c r="N1455" s="17" t="n"/>
      <c r="O1455" s="26">
        <f>IF($D1455="","",IFERROR(VLOOKUP($D1455,物料档案!$A$4:$P$1203,10,0),0))</f>
        <v/>
      </c>
      <c r="P1455" s="32" t="n"/>
      <c r="Q1455" s="26">
        <f>IF($D1455="","",IF($K1455&lt;&gt;"对外销售",0,ROUND(N($J1455)*IF($P1455="",N($O1455),N($P1455)),0)))</f>
        <v/>
      </c>
      <c r="R1455" s="26">
        <f>IF($D1455="","",IFERROR(VLOOKUP($D1455,库存台账!$A$5:$Y$1204,11,0),0))</f>
        <v/>
      </c>
      <c r="S1455" s="26">
        <f>IF($D1455="","",ROUND(N($J1455)*N($R1455),0))</f>
        <v/>
      </c>
      <c r="T1455" s="26">
        <f>IF($D1455="","",IF($K1455&lt;&gt;"对外销售","",ROUND($Q1455-$S1455,0)))</f>
        <v/>
      </c>
      <c r="U1455" s="17" t="n"/>
      <c r="V1455" s="17" t="n"/>
      <c r="W1455" s="24">
        <f>IF($D1455="","",IF($E1455="※编码不在物料档案里","※物料编码不在档案里",IF(N($J1455)&lt;=0,"※出库数量要大于 0",IF($K1455="","※没填去向类型",IF($L1455="","※没填去向矿区",IF(AND($C1455&lt;&gt;"",$C1455&lt;=结账锁),"※日期早于已结账截止日，不能再录",IF(AND($K1455="自用消耗",COUNTIF({"一矿区";"二矿区"},$L1455)=0),"※自用消耗的去向只能是一矿区或二矿区",IF(AND($K1455="对外销售",COUNTIF({"三矿区";"六矿区"},$L1455)=0),"※对外销售的去向只能是三矿区或六矿区",IF(AND($K1455="对外销售",ROUND($Q1455,0)=0),"※外销却没有售价，请填实际售价",IF(AND($K1455="对外销售",$T1455&lt;&gt;"",$T1455&lt;0),"※这一笔外销是亏的，请核对售价",IF(IFERROR(VLOOKUP($D1455,库存台账!$A$5:$Y$1204,24,0),0)&lt;-0.001,"※这个物料账面已经变成负数了，查一下是不是漏记入库","")))))))))))</f>
        <v/>
      </c>
    </row>
    <row r="1456">
      <c r="A1456" s="24">
        <f>IF($D1456="","",COUNTA($D$4:$D1456))</f>
        <v/>
      </c>
      <c r="B1456" s="17" t="n"/>
      <c r="C1456" s="30" t="n"/>
      <c r="D1456" s="17" t="n"/>
      <c r="E1456" s="24">
        <f>IF($D1456="","",IFERROR(VLOOKUP($D1456,物料档案!$A$4:$P$1203,3,0),"※编码不在物料档案里"))</f>
        <v/>
      </c>
      <c r="F1456" s="24">
        <f>IF($D1456="","",IFERROR(VLOOKUP($D1456,物料档案!$A$4:$P$1203,4,0),"※编码不在物料档案里"))</f>
        <v/>
      </c>
      <c r="G1456" s="24">
        <f>IF($D1456="","",IFERROR(VLOOKUP($D1456,物料档案!$A$4:$P$1203,5,0),"※编码不在物料档案里"))</f>
        <v/>
      </c>
      <c r="H1456" s="24">
        <f>IF($D1456="","",IFERROR(VLOOKUP($D1456,物料档案!$A$4:$P$1203,2,0),"※编码不在物料档案里"))</f>
        <v/>
      </c>
      <c r="I1456" s="24">
        <f>IF($D1456="","",IFERROR(VLOOKUP($D1456,物料档案!$A$4:$P$1203,6,0),"※编码不在物料档案里"))</f>
        <v/>
      </c>
      <c r="J1456" s="23" t="n"/>
      <c r="K1456" s="17" t="n"/>
      <c r="L1456" s="17" t="n"/>
      <c r="M1456" s="17" t="n"/>
      <c r="N1456" s="17" t="n"/>
      <c r="O1456" s="26">
        <f>IF($D1456="","",IFERROR(VLOOKUP($D1456,物料档案!$A$4:$P$1203,10,0),0))</f>
        <v/>
      </c>
      <c r="P1456" s="32" t="n"/>
      <c r="Q1456" s="26">
        <f>IF($D1456="","",IF($K1456&lt;&gt;"对外销售",0,ROUND(N($J1456)*IF($P1456="",N($O1456),N($P1456)),0)))</f>
        <v/>
      </c>
      <c r="R1456" s="26">
        <f>IF($D1456="","",IFERROR(VLOOKUP($D1456,库存台账!$A$5:$Y$1204,11,0),0))</f>
        <v/>
      </c>
      <c r="S1456" s="26">
        <f>IF($D1456="","",ROUND(N($J1456)*N($R1456),0))</f>
        <v/>
      </c>
      <c r="T1456" s="26">
        <f>IF($D1456="","",IF($K1456&lt;&gt;"对外销售","",ROUND($Q1456-$S1456,0)))</f>
        <v/>
      </c>
      <c r="U1456" s="17" t="n"/>
      <c r="V1456" s="17" t="n"/>
      <c r="W1456" s="24">
        <f>IF($D1456="","",IF($E1456="※编码不在物料档案里","※物料编码不在档案里",IF(N($J1456)&lt;=0,"※出库数量要大于 0",IF($K1456="","※没填去向类型",IF($L1456="","※没填去向矿区",IF(AND($C1456&lt;&gt;"",$C1456&lt;=结账锁),"※日期早于已结账截止日，不能再录",IF(AND($K1456="自用消耗",COUNTIF({"一矿区";"二矿区"},$L1456)=0),"※自用消耗的去向只能是一矿区或二矿区",IF(AND($K1456="对外销售",COUNTIF({"三矿区";"六矿区"},$L1456)=0),"※对外销售的去向只能是三矿区或六矿区",IF(AND($K1456="对外销售",ROUND($Q1456,0)=0),"※外销却没有售价，请填实际售价",IF(AND($K1456="对外销售",$T1456&lt;&gt;"",$T1456&lt;0),"※这一笔外销是亏的，请核对售价",IF(IFERROR(VLOOKUP($D1456,库存台账!$A$5:$Y$1204,24,0),0)&lt;-0.001,"※这个物料账面已经变成负数了，查一下是不是漏记入库","")))))))))))</f>
        <v/>
      </c>
    </row>
    <row r="1457">
      <c r="A1457" s="24">
        <f>IF($D1457="","",COUNTA($D$4:$D1457))</f>
        <v/>
      </c>
      <c r="B1457" s="17" t="n"/>
      <c r="C1457" s="30" t="n"/>
      <c r="D1457" s="17" t="n"/>
      <c r="E1457" s="24">
        <f>IF($D1457="","",IFERROR(VLOOKUP($D1457,物料档案!$A$4:$P$1203,3,0),"※编码不在物料档案里"))</f>
        <v/>
      </c>
      <c r="F1457" s="24">
        <f>IF($D1457="","",IFERROR(VLOOKUP($D1457,物料档案!$A$4:$P$1203,4,0),"※编码不在物料档案里"))</f>
        <v/>
      </c>
      <c r="G1457" s="24">
        <f>IF($D1457="","",IFERROR(VLOOKUP($D1457,物料档案!$A$4:$P$1203,5,0),"※编码不在物料档案里"))</f>
        <v/>
      </c>
      <c r="H1457" s="24">
        <f>IF($D1457="","",IFERROR(VLOOKUP($D1457,物料档案!$A$4:$P$1203,2,0),"※编码不在物料档案里"))</f>
        <v/>
      </c>
      <c r="I1457" s="24">
        <f>IF($D1457="","",IFERROR(VLOOKUP($D1457,物料档案!$A$4:$P$1203,6,0),"※编码不在物料档案里"))</f>
        <v/>
      </c>
      <c r="J1457" s="23" t="n"/>
      <c r="K1457" s="17" t="n"/>
      <c r="L1457" s="17" t="n"/>
      <c r="M1457" s="17" t="n"/>
      <c r="N1457" s="17" t="n"/>
      <c r="O1457" s="26">
        <f>IF($D1457="","",IFERROR(VLOOKUP($D1457,物料档案!$A$4:$P$1203,10,0),0))</f>
        <v/>
      </c>
      <c r="P1457" s="32" t="n"/>
      <c r="Q1457" s="26">
        <f>IF($D1457="","",IF($K1457&lt;&gt;"对外销售",0,ROUND(N($J1457)*IF($P1457="",N($O1457),N($P1457)),0)))</f>
        <v/>
      </c>
      <c r="R1457" s="26">
        <f>IF($D1457="","",IFERROR(VLOOKUP($D1457,库存台账!$A$5:$Y$1204,11,0),0))</f>
        <v/>
      </c>
      <c r="S1457" s="26">
        <f>IF($D1457="","",ROUND(N($J1457)*N($R1457),0))</f>
        <v/>
      </c>
      <c r="T1457" s="26">
        <f>IF($D1457="","",IF($K1457&lt;&gt;"对外销售","",ROUND($Q1457-$S1457,0)))</f>
        <v/>
      </c>
      <c r="U1457" s="17" t="n"/>
      <c r="V1457" s="17" t="n"/>
      <c r="W1457" s="24">
        <f>IF($D1457="","",IF($E1457="※编码不在物料档案里","※物料编码不在档案里",IF(N($J1457)&lt;=0,"※出库数量要大于 0",IF($K1457="","※没填去向类型",IF($L1457="","※没填去向矿区",IF(AND($C1457&lt;&gt;"",$C1457&lt;=结账锁),"※日期早于已结账截止日，不能再录",IF(AND($K1457="自用消耗",COUNTIF({"一矿区";"二矿区"},$L1457)=0),"※自用消耗的去向只能是一矿区或二矿区",IF(AND($K1457="对外销售",COUNTIF({"三矿区";"六矿区"},$L1457)=0),"※对外销售的去向只能是三矿区或六矿区",IF(AND($K1457="对外销售",ROUND($Q1457,0)=0),"※外销却没有售价，请填实际售价",IF(AND($K1457="对外销售",$T1457&lt;&gt;"",$T1457&lt;0),"※这一笔外销是亏的，请核对售价",IF(IFERROR(VLOOKUP($D1457,库存台账!$A$5:$Y$1204,24,0),0)&lt;-0.001,"※这个物料账面已经变成负数了，查一下是不是漏记入库","")))))))))))</f>
        <v/>
      </c>
    </row>
    <row r="1458">
      <c r="A1458" s="24">
        <f>IF($D1458="","",COUNTA($D$4:$D1458))</f>
        <v/>
      </c>
      <c r="B1458" s="17" t="n"/>
      <c r="C1458" s="30" t="n"/>
      <c r="D1458" s="17" t="n"/>
      <c r="E1458" s="24">
        <f>IF($D1458="","",IFERROR(VLOOKUP($D1458,物料档案!$A$4:$P$1203,3,0),"※编码不在物料档案里"))</f>
        <v/>
      </c>
      <c r="F1458" s="24">
        <f>IF($D1458="","",IFERROR(VLOOKUP($D1458,物料档案!$A$4:$P$1203,4,0),"※编码不在物料档案里"))</f>
        <v/>
      </c>
      <c r="G1458" s="24">
        <f>IF($D1458="","",IFERROR(VLOOKUP($D1458,物料档案!$A$4:$P$1203,5,0),"※编码不在物料档案里"))</f>
        <v/>
      </c>
      <c r="H1458" s="24">
        <f>IF($D1458="","",IFERROR(VLOOKUP($D1458,物料档案!$A$4:$P$1203,2,0),"※编码不在物料档案里"))</f>
        <v/>
      </c>
      <c r="I1458" s="24">
        <f>IF($D1458="","",IFERROR(VLOOKUP($D1458,物料档案!$A$4:$P$1203,6,0),"※编码不在物料档案里"))</f>
        <v/>
      </c>
      <c r="J1458" s="23" t="n"/>
      <c r="K1458" s="17" t="n"/>
      <c r="L1458" s="17" t="n"/>
      <c r="M1458" s="17" t="n"/>
      <c r="N1458" s="17" t="n"/>
      <c r="O1458" s="26">
        <f>IF($D1458="","",IFERROR(VLOOKUP($D1458,物料档案!$A$4:$P$1203,10,0),0))</f>
        <v/>
      </c>
      <c r="P1458" s="32" t="n"/>
      <c r="Q1458" s="26">
        <f>IF($D1458="","",IF($K1458&lt;&gt;"对外销售",0,ROUND(N($J1458)*IF($P1458="",N($O1458),N($P1458)),0)))</f>
        <v/>
      </c>
      <c r="R1458" s="26">
        <f>IF($D1458="","",IFERROR(VLOOKUP($D1458,库存台账!$A$5:$Y$1204,11,0),0))</f>
        <v/>
      </c>
      <c r="S1458" s="26">
        <f>IF($D1458="","",ROUND(N($J1458)*N($R1458),0))</f>
        <v/>
      </c>
      <c r="T1458" s="26">
        <f>IF($D1458="","",IF($K1458&lt;&gt;"对外销售","",ROUND($Q1458-$S1458,0)))</f>
        <v/>
      </c>
      <c r="U1458" s="17" t="n"/>
      <c r="V1458" s="17" t="n"/>
      <c r="W1458" s="24">
        <f>IF($D1458="","",IF($E1458="※编码不在物料档案里","※物料编码不在档案里",IF(N($J1458)&lt;=0,"※出库数量要大于 0",IF($K1458="","※没填去向类型",IF($L1458="","※没填去向矿区",IF(AND($C1458&lt;&gt;"",$C1458&lt;=结账锁),"※日期早于已结账截止日，不能再录",IF(AND($K1458="自用消耗",COUNTIF({"一矿区";"二矿区"},$L1458)=0),"※自用消耗的去向只能是一矿区或二矿区",IF(AND($K1458="对外销售",COUNTIF({"三矿区";"六矿区"},$L1458)=0),"※对外销售的去向只能是三矿区或六矿区",IF(AND($K1458="对外销售",ROUND($Q1458,0)=0),"※外销却没有售价，请填实际售价",IF(AND($K1458="对外销售",$T1458&lt;&gt;"",$T1458&lt;0),"※这一笔外销是亏的，请核对售价",IF(IFERROR(VLOOKUP($D1458,库存台账!$A$5:$Y$1204,24,0),0)&lt;-0.001,"※这个物料账面已经变成负数了，查一下是不是漏记入库","")))))))))))</f>
        <v/>
      </c>
    </row>
    <row r="1459">
      <c r="A1459" s="24">
        <f>IF($D1459="","",COUNTA($D$4:$D1459))</f>
        <v/>
      </c>
      <c r="B1459" s="17" t="n"/>
      <c r="C1459" s="30" t="n"/>
      <c r="D1459" s="17" t="n"/>
      <c r="E1459" s="24">
        <f>IF($D1459="","",IFERROR(VLOOKUP($D1459,物料档案!$A$4:$P$1203,3,0),"※编码不在物料档案里"))</f>
        <v/>
      </c>
      <c r="F1459" s="24">
        <f>IF($D1459="","",IFERROR(VLOOKUP($D1459,物料档案!$A$4:$P$1203,4,0),"※编码不在物料档案里"))</f>
        <v/>
      </c>
      <c r="G1459" s="24">
        <f>IF($D1459="","",IFERROR(VLOOKUP($D1459,物料档案!$A$4:$P$1203,5,0),"※编码不在物料档案里"))</f>
        <v/>
      </c>
      <c r="H1459" s="24">
        <f>IF($D1459="","",IFERROR(VLOOKUP($D1459,物料档案!$A$4:$P$1203,2,0),"※编码不在物料档案里"))</f>
        <v/>
      </c>
      <c r="I1459" s="24">
        <f>IF($D1459="","",IFERROR(VLOOKUP($D1459,物料档案!$A$4:$P$1203,6,0),"※编码不在物料档案里"))</f>
        <v/>
      </c>
      <c r="J1459" s="23" t="n"/>
      <c r="K1459" s="17" t="n"/>
      <c r="L1459" s="17" t="n"/>
      <c r="M1459" s="17" t="n"/>
      <c r="N1459" s="17" t="n"/>
      <c r="O1459" s="26">
        <f>IF($D1459="","",IFERROR(VLOOKUP($D1459,物料档案!$A$4:$P$1203,10,0),0))</f>
        <v/>
      </c>
      <c r="P1459" s="32" t="n"/>
      <c r="Q1459" s="26">
        <f>IF($D1459="","",IF($K1459&lt;&gt;"对外销售",0,ROUND(N($J1459)*IF($P1459="",N($O1459),N($P1459)),0)))</f>
        <v/>
      </c>
      <c r="R1459" s="26">
        <f>IF($D1459="","",IFERROR(VLOOKUP($D1459,库存台账!$A$5:$Y$1204,11,0),0))</f>
        <v/>
      </c>
      <c r="S1459" s="26">
        <f>IF($D1459="","",ROUND(N($J1459)*N($R1459),0))</f>
        <v/>
      </c>
      <c r="T1459" s="26">
        <f>IF($D1459="","",IF($K1459&lt;&gt;"对外销售","",ROUND($Q1459-$S1459,0)))</f>
        <v/>
      </c>
      <c r="U1459" s="17" t="n"/>
      <c r="V1459" s="17" t="n"/>
      <c r="W1459" s="24">
        <f>IF($D1459="","",IF($E1459="※编码不在物料档案里","※物料编码不在档案里",IF(N($J1459)&lt;=0,"※出库数量要大于 0",IF($K1459="","※没填去向类型",IF($L1459="","※没填去向矿区",IF(AND($C1459&lt;&gt;"",$C1459&lt;=结账锁),"※日期早于已结账截止日，不能再录",IF(AND($K1459="自用消耗",COUNTIF({"一矿区";"二矿区"},$L1459)=0),"※自用消耗的去向只能是一矿区或二矿区",IF(AND($K1459="对外销售",COUNTIF({"三矿区";"六矿区"},$L1459)=0),"※对外销售的去向只能是三矿区或六矿区",IF(AND($K1459="对外销售",ROUND($Q1459,0)=0),"※外销却没有售价，请填实际售价",IF(AND($K1459="对外销售",$T1459&lt;&gt;"",$T1459&lt;0),"※这一笔外销是亏的，请核对售价",IF(IFERROR(VLOOKUP($D1459,库存台账!$A$5:$Y$1204,24,0),0)&lt;-0.001,"※这个物料账面已经变成负数了，查一下是不是漏记入库","")))))))))))</f>
        <v/>
      </c>
    </row>
    <row r="1460">
      <c r="A1460" s="24">
        <f>IF($D1460="","",COUNTA($D$4:$D1460))</f>
        <v/>
      </c>
      <c r="B1460" s="17" t="n"/>
      <c r="C1460" s="30" t="n"/>
      <c r="D1460" s="17" t="n"/>
      <c r="E1460" s="24">
        <f>IF($D1460="","",IFERROR(VLOOKUP($D1460,物料档案!$A$4:$P$1203,3,0),"※编码不在物料档案里"))</f>
        <v/>
      </c>
      <c r="F1460" s="24">
        <f>IF($D1460="","",IFERROR(VLOOKUP($D1460,物料档案!$A$4:$P$1203,4,0),"※编码不在物料档案里"))</f>
        <v/>
      </c>
      <c r="G1460" s="24">
        <f>IF($D1460="","",IFERROR(VLOOKUP($D1460,物料档案!$A$4:$P$1203,5,0),"※编码不在物料档案里"))</f>
        <v/>
      </c>
      <c r="H1460" s="24">
        <f>IF($D1460="","",IFERROR(VLOOKUP($D1460,物料档案!$A$4:$P$1203,2,0),"※编码不在物料档案里"))</f>
        <v/>
      </c>
      <c r="I1460" s="24">
        <f>IF($D1460="","",IFERROR(VLOOKUP($D1460,物料档案!$A$4:$P$1203,6,0),"※编码不在物料档案里"))</f>
        <v/>
      </c>
      <c r="J1460" s="23" t="n"/>
      <c r="K1460" s="17" t="n"/>
      <c r="L1460" s="17" t="n"/>
      <c r="M1460" s="17" t="n"/>
      <c r="N1460" s="17" t="n"/>
      <c r="O1460" s="26">
        <f>IF($D1460="","",IFERROR(VLOOKUP($D1460,物料档案!$A$4:$P$1203,10,0),0))</f>
        <v/>
      </c>
      <c r="P1460" s="32" t="n"/>
      <c r="Q1460" s="26">
        <f>IF($D1460="","",IF($K1460&lt;&gt;"对外销售",0,ROUND(N($J1460)*IF($P1460="",N($O1460),N($P1460)),0)))</f>
        <v/>
      </c>
      <c r="R1460" s="26">
        <f>IF($D1460="","",IFERROR(VLOOKUP($D1460,库存台账!$A$5:$Y$1204,11,0),0))</f>
        <v/>
      </c>
      <c r="S1460" s="26">
        <f>IF($D1460="","",ROUND(N($J1460)*N($R1460),0))</f>
        <v/>
      </c>
      <c r="T1460" s="26">
        <f>IF($D1460="","",IF($K1460&lt;&gt;"对外销售","",ROUND($Q1460-$S1460,0)))</f>
        <v/>
      </c>
      <c r="U1460" s="17" t="n"/>
      <c r="V1460" s="17" t="n"/>
      <c r="W1460" s="24">
        <f>IF($D1460="","",IF($E1460="※编码不在物料档案里","※物料编码不在档案里",IF(N($J1460)&lt;=0,"※出库数量要大于 0",IF($K1460="","※没填去向类型",IF($L1460="","※没填去向矿区",IF(AND($C1460&lt;&gt;"",$C1460&lt;=结账锁),"※日期早于已结账截止日，不能再录",IF(AND($K1460="自用消耗",COUNTIF({"一矿区";"二矿区"},$L1460)=0),"※自用消耗的去向只能是一矿区或二矿区",IF(AND($K1460="对外销售",COUNTIF({"三矿区";"六矿区"},$L1460)=0),"※对外销售的去向只能是三矿区或六矿区",IF(AND($K1460="对外销售",ROUND($Q1460,0)=0),"※外销却没有售价，请填实际售价",IF(AND($K1460="对外销售",$T1460&lt;&gt;"",$T1460&lt;0),"※这一笔外销是亏的，请核对售价",IF(IFERROR(VLOOKUP($D1460,库存台账!$A$5:$Y$1204,24,0),0)&lt;-0.001,"※这个物料账面已经变成负数了，查一下是不是漏记入库","")))))))))))</f>
        <v/>
      </c>
    </row>
    <row r="1461">
      <c r="A1461" s="24">
        <f>IF($D1461="","",COUNTA($D$4:$D1461))</f>
        <v/>
      </c>
      <c r="B1461" s="17" t="n"/>
      <c r="C1461" s="30" t="n"/>
      <c r="D1461" s="17" t="n"/>
      <c r="E1461" s="24">
        <f>IF($D1461="","",IFERROR(VLOOKUP($D1461,物料档案!$A$4:$P$1203,3,0),"※编码不在物料档案里"))</f>
        <v/>
      </c>
      <c r="F1461" s="24">
        <f>IF($D1461="","",IFERROR(VLOOKUP($D1461,物料档案!$A$4:$P$1203,4,0),"※编码不在物料档案里"))</f>
        <v/>
      </c>
      <c r="G1461" s="24">
        <f>IF($D1461="","",IFERROR(VLOOKUP($D1461,物料档案!$A$4:$P$1203,5,0),"※编码不在物料档案里"))</f>
        <v/>
      </c>
      <c r="H1461" s="24">
        <f>IF($D1461="","",IFERROR(VLOOKUP($D1461,物料档案!$A$4:$P$1203,2,0),"※编码不在物料档案里"))</f>
        <v/>
      </c>
      <c r="I1461" s="24">
        <f>IF($D1461="","",IFERROR(VLOOKUP($D1461,物料档案!$A$4:$P$1203,6,0),"※编码不在物料档案里"))</f>
        <v/>
      </c>
      <c r="J1461" s="23" t="n"/>
      <c r="K1461" s="17" t="n"/>
      <c r="L1461" s="17" t="n"/>
      <c r="M1461" s="17" t="n"/>
      <c r="N1461" s="17" t="n"/>
      <c r="O1461" s="26">
        <f>IF($D1461="","",IFERROR(VLOOKUP($D1461,物料档案!$A$4:$P$1203,10,0),0))</f>
        <v/>
      </c>
      <c r="P1461" s="32" t="n"/>
      <c r="Q1461" s="26">
        <f>IF($D1461="","",IF($K1461&lt;&gt;"对外销售",0,ROUND(N($J1461)*IF($P1461="",N($O1461),N($P1461)),0)))</f>
        <v/>
      </c>
      <c r="R1461" s="26">
        <f>IF($D1461="","",IFERROR(VLOOKUP($D1461,库存台账!$A$5:$Y$1204,11,0),0))</f>
        <v/>
      </c>
      <c r="S1461" s="26">
        <f>IF($D1461="","",ROUND(N($J1461)*N($R1461),0))</f>
        <v/>
      </c>
      <c r="T1461" s="26">
        <f>IF($D1461="","",IF($K1461&lt;&gt;"对外销售","",ROUND($Q1461-$S1461,0)))</f>
        <v/>
      </c>
      <c r="U1461" s="17" t="n"/>
      <c r="V1461" s="17" t="n"/>
      <c r="W1461" s="24">
        <f>IF($D1461="","",IF($E1461="※编码不在物料档案里","※物料编码不在档案里",IF(N($J1461)&lt;=0,"※出库数量要大于 0",IF($K1461="","※没填去向类型",IF($L1461="","※没填去向矿区",IF(AND($C1461&lt;&gt;"",$C1461&lt;=结账锁),"※日期早于已结账截止日，不能再录",IF(AND($K1461="自用消耗",COUNTIF({"一矿区";"二矿区"},$L1461)=0),"※自用消耗的去向只能是一矿区或二矿区",IF(AND($K1461="对外销售",COUNTIF({"三矿区";"六矿区"},$L1461)=0),"※对外销售的去向只能是三矿区或六矿区",IF(AND($K1461="对外销售",ROUND($Q1461,0)=0),"※外销却没有售价，请填实际售价",IF(AND($K1461="对外销售",$T1461&lt;&gt;"",$T1461&lt;0),"※这一笔外销是亏的，请核对售价",IF(IFERROR(VLOOKUP($D1461,库存台账!$A$5:$Y$1204,24,0),0)&lt;-0.001,"※这个物料账面已经变成负数了，查一下是不是漏记入库","")))))))))))</f>
        <v/>
      </c>
    </row>
    <row r="1462">
      <c r="A1462" s="24">
        <f>IF($D1462="","",COUNTA($D$4:$D1462))</f>
        <v/>
      </c>
      <c r="B1462" s="17" t="n"/>
      <c r="C1462" s="30" t="n"/>
      <c r="D1462" s="17" t="n"/>
      <c r="E1462" s="24">
        <f>IF($D1462="","",IFERROR(VLOOKUP($D1462,物料档案!$A$4:$P$1203,3,0),"※编码不在物料档案里"))</f>
        <v/>
      </c>
      <c r="F1462" s="24">
        <f>IF($D1462="","",IFERROR(VLOOKUP($D1462,物料档案!$A$4:$P$1203,4,0),"※编码不在物料档案里"))</f>
        <v/>
      </c>
      <c r="G1462" s="24">
        <f>IF($D1462="","",IFERROR(VLOOKUP($D1462,物料档案!$A$4:$P$1203,5,0),"※编码不在物料档案里"))</f>
        <v/>
      </c>
      <c r="H1462" s="24">
        <f>IF($D1462="","",IFERROR(VLOOKUP($D1462,物料档案!$A$4:$P$1203,2,0),"※编码不在物料档案里"))</f>
        <v/>
      </c>
      <c r="I1462" s="24">
        <f>IF($D1462="","",IFERROR(VLOOKUP($D1462,物料档案!$A$4:$P$1203,6,0),"※编码不在物料档案里"))</f>
        <v/>
      </c>
      <c r="J1462" s="23" t="n"/>
      <c r="K1462" s="17" t="n"/>
      <c r="L1462" s="17" t="n"/>
      <c r="M1462" s="17" t="n"/>
      <c r="N1462" s="17" t="n"/>
      <c r="O1462" s="26">
        <f>IF($D1462="","",IFERROR(VLOOKUP($D1462,物料档案!$A$4:$P$1203,10,0),0))</f>
        <v/>
      </c>
      <c r="P1462" s="32" t="n"/>
      <c r="Q1462" s="26">
        <f>IF($D1462="","",IF($K1462&lt;&gt;"对外销售",0,ROUND(N($J1462)*IF($P1462="",N($O1462),N($P1462)),0)))</f>
        <v/>
      </c>
      <c r="R1462" s="26">
        <f>IF($D1462="","",IFERROR(VLOOKUP($D1462,库存台账!$A$5:$Y$1204,11,0),0))</f>
        <v/>
      </c>
      <c r="S1462" s="26">
        <f>IF($D1462="","",ROUND(N($J1462)*N($R1462),0))</f>
        <v/>
      </c>
      <c r="T1462" s="26">
        <f>IF($D1462="","",IF($K1462&lt;&gt;"对外销售","",ROUND($Q1462-$S1462,0)))</f>
        <v/>
      </c>
      <c r="U1462" s="17" t="n"/>
      <c r="V1462" s="17" t="n"/>
      <c r="W1462" s="24">
        <f>IF($D1462="","",IF($E1462="※编码不在物料档案里","※物料编码不在档案里",IF(N($J1462)&lt;=0,"※出库数量要大于 0",IF($K1462="","※没填去向类型",IF($L1462="","※没填去向矿区",IF(AND($C1462&lt;&gt;"",$C1462&lt;=结账锁),"※日期早于已结账截止日，不能再录",IF(AND($K1462="自用消耗",COUNTIF({"一矿区";"二矿区"},$L1462)=0),"※自用消耗的去向只能是一矿区或二矿区",IF(AND($K1462="对外销售",COUNTIF({"三矿区";"六矿区"},$L1462)=0),"※对外销售的去向只能是三矿区或六矿区",IF(AND($K1462="对外销售",ROUND($Q1462,0)=0),"※外销却没有售价，请填实际售价",IF(AND($K1462="对外销售",$T1462&lt;&gt;"",$T1462&lt;0),"※这一笔外销是亏的，请核对售价",IF(IFERROR(VLOOKUP($D1462,库存台账!$A$5:$Y$1204,24,0),0)&lt;-0.001,"※这个物料账面已经变成负数了，查一下是不是漏记入库","")))))))))))</f>
        <v/>
      </c>
    </row>
    <row r="1463">
      <c r="A1463" s="24">
        <f>IF($D1463="","",COUNTA($D$4:$D1463))</f>
        <v/>
      </c>
      <c r="B1463" s="17" t="n"/>
      <c r="C1463" s="30" t="n"/>
      <c r="D1463" s="17" t="n"/>
      <c r="E1463" s="24">
        <f>IF($D1463="","",IFERROR(VLOOKUP($D1463,物料档案!$A$4:$P$1203,3,0),"※编码不在物料档案里"))</f>
        <v/>
      </c>
      <c r="F1463" s="24">
        <f>IF($D1463="","",IFERROR(VLOOKUP($D1463,物料档案!$A$4:$P$1203,4,0),"※编码不在物料档案里"))</f>
        <v/>
      </c>
      <c r="G1463" s="24">
        <f>IF($D1463="","",IFERROR(VLOOKUP($D1463,物料档案!$A$4:$P$1203,5,0),"※编码不在物料档案里"))</f>
        <v/>
      </c>
      <c r="H1463" s="24">
        <f>IF($D1463="","",IFERROR(VLOOKUP($D1463,物料档案!$A$4:$P$1203,2,0),"※编码不在物料档案里"))</f>
        <v/>
      </c>
      <c r="I1463" s="24">
        <f>IF($D1463="","",IFERROR(VLOOKUP($D1463,物料档案!$A$4:$P$1203,6,0),"※编码不在物料档案里"))</f>
        <v/>
      </c>
      <c r="J1463" s="23" t="n"/>
      <c r="K1463" s="17" t="n"/>
      <c r="L1463" s="17" t="n"/>
      <c r="M1463" s="17" t="n"/>
      <c r="N1463" s="17" t="n"/>
      <c r="O1463" s="26">
        <f>IF($D1463="","",IFERROR(VLOOKUP($D1463,物料档案!$A$4:$P$1203,10,0),0))</f>
        <v/>
      </c>
      <c r="P1463" s="32" t="n"/>
      <c r="Q1463" s="26">
        <f>IF($D1463="","",IF($K1463&lt;&gt;"对外销售",0,ROUND(N($J1463)*IF($P1463="",N($O1463),N($P1463)),0)))</f>
        <v/>
      </c>
      <c r="R1463" s="26">
        <f>IF($D1463="","",IFERROR(VLOOKUP($D1463,库存台账!$A$5:$Y$1204,11,0),0))</f>
        <v/>
      </c>
      <c r="S1463" s="26">
        <f>IF($D1463="","",ROUND(N($J1463)*N($R1463),0))</f>
        <v/>
      </c>
      <c r="T1463" s="26">
        <f>IF($D1463="","",IF($K1463&lt;&gt;"对外销售","",ROUND($Q1463-$S1463,0)))</f>
        <v/>
      </c>
      <c r="U1463" s="17" t="n"/>
      <c r="V1463" s="17" t="n"/>
      <c r="W1463" s="24">
        <f>IF($D1463="","",IF($E1463="※编码不在物料档案里","※物料编码不在档案里",IF(N($J1463)&lt;=0,"※出库数量要大于 0",IF($K1463="","※没填去向类型",IF($L1463="","※没填去向矿区",IF(AND($C1463&lt;&gt;"",$C1463&lt;=结账锁),"※日期早于已结账截止日，不能再录",IF(AND($K1463="自用消耗",COUNTIF({"一矿区";"二矿区"},$L1463)=0),"※自用消耗的去向只能是一矿区或二矿区",IF(AND($K1463="对外销售",COUNTIF({"三矿区";"六矿区"},$L1463)=0),"※对外销售的去向只能是三矿区或六矿区",IF(AND($K1463="对外销售",ROUND($Q1463,0)=0),"※外销却没有售价，请填实际售价",IF(AND($K1463="对外销售",$T1463&lt;&gt;"",$T1463&lt;0),"※这一笔外销是亏的，请核对售价",IF(IFERROR(VLOOKUP($D1463,库存台账!$A$5:$Y$1204,24,0),0)&lt;-0.001,"※这个物料账面已经变成负数了，查一下是不是漏记入库","")))))))))))</f>
        <v/>
      </c>
    </row>
    <row r="1464">
      <c r="A1464" s="24">
        <f>IF($D1464="","",COUNTA($D$4:$D1464))</f>
        <v/>
      </c>
      <c r="B1464" s="17" t="n"/>
      <c r="C1464" s="30" t="n"/>
      <c r="D1464" s="17" t="n"/>
      <c r="E1464" s="24">
        <f>IF($D1464="","",IFERROR(VLOOKUP($D1464,物料档案!$A$4:$P$1203,3,0),"※编码不在物料档案里"))</f>
        <v/>
      </c>
      <c r="F1464" s="24">
        <f>IF($D1464="","",IFERROR(VLOOKUP($D1464,物料档案!$A$4:$P$1203,4,0),"※编码不在物料档案里"))</f>
        <v/>
      </c>
      <c r="G1464" s="24">
        <f>IF($D1464="","",IFERROR(VLOOKUP($D1464,物料档案!$A$4:$P$1203,5,0),"※编码不在物料档案里"))</f>
        <v/>
      </c>
      <c r="H1464" s="24">
        <f>IF($D1464="","",IFERROR(VLOOKUP($D1464,物料档案!$A$4:$P$1203,2,0),"※编码不在物料档案里"))</f>
        <v/>
      </c>
      <c r="I1464" s="24">
        <f>IF($D1464="","",IFERROR(VLOOKUP($D1464,物料档案!$A$4:$P$1203,6,0),"※编码不在物料档案里"))</f>
        <v/>
      </c>
      <c r="J1464" s="23" t="n"/>
      <c r="K1464" s="17" t="n"/>
      <c r="L1464" s="17" t="n"/>
      <c r="M1464" s="17" t="n"/>
      <c r="N1464" s="17" t="n"/>
      <c r="O1464" s="26">
        <f>IF($D1464="","",IFERROR(VLOOKUP($D1464,物料档案!$A$4:$P$1203,10,0),0))</f>
        <v/>
      </c>
      <c r="P1464" s="32" t="n"/>
      <c r="Q1464" s="26">
        <f>IF($D1464="","",IF($K1464&lt;&gt;"对外销售",0,ROUND(N($J1464)*IF($P1464="",N($O1464),N($P1464)),0)))</f>
        <v/>
      </c>
      <c r="R1464" s="26">
        <f>IF($D1464="","",IFERROR(VLOOKUP($D1464,库存台账!$A$5:$Y$1204,11,0),0))</f>
        <v/>
      </c>
      <c r="S1464" s="26">
        <f>IF($D1464="","",ROUND(N($J1464)*N($R1464),0))</f>
        <v/>
      </c>
      <c r="T1464" s="26">
        <f>IF($D1464="","",IF($K1464&lt;&gt;"对外销售","",ROUND($Q1464-$S1464,0)))</f>
        <v/>
      </c>
      <c r="U1464" s="17" t="n"/>
      <c r="V1464" s="17" t="n"/>
      <c r="W1464" s="24">
        <f>IF($D1464="","",IF($E1464="※编码不在物料档案里","※物料编码不在档案里",IF(N($J1464)&lt;=0,"※出库数量要大于 0",IF($K1464="","※没填去向类型",IF($L1464="","※没填去向矿区",IF(AND($C1464&lt;&gt;"",$C1464&lt;=结账锁),"※日期早于已结账截止日，不能再录",IF(AND($K1464="自用消耗",COUNTIF({"一矿区";"二矿区"},$L1464)=0),"※自用消耗的去向只能是一矿区或二矿区",IF(AND($K1464="对外销售",COUNTIF({"三矿区";"六矿区"},$L1464)=0),"※对外销售的去向只能是三矿区或六矿区",IF(AND($K1464="对外销售",ROUND($Q1464,0)=0),"※外销却没有售价，请填实际售价",IF(AND($K1464="对外销售",$T1464&lt;&gt;"",$T1464&lt;0),"※这一笔外销是亏的，请核对售价",IF(IFERROR(VLOOKUP($D1464,库存台账!$A$5:$Y$1204,24,0),0)&lt;-0.001,"※这个物料账面已经变成负数了，查一下是不是漏记入库","")))))))))))</f>
        <v/>
      </c>
    </row>
    <row r="1465">
      <c r="A1465" s="24">
        <f>IF($D1465="","",COUNTA($D$4:$D1465))</f>
        <v/>
      </c>
      <c r="B1465" s="17" t="n"/>
      <c r="C1465" s="30" t="n"/>
      <c r="D1465" s="17" t="n"/>
      <c r="E1465" s="24">
        <f>IF($D1465="","",IFERROR(VLOOKUP($D1465,物料档案!$A$4:$P$1203,3,0),"※编码不在物料档案里"))</f>
        <v/>
      </c>
      <c r="F1465" s="24">
        <f>IF($D1465="","",IFERROR(VLOOKUP($D1465,物料档案!$A$4:$P$1203,4,0),"※编码不在物料档案里"))</f>
        <v/>
      </c>
      <c r="G1465" s="24">
        <f>IF($D1465="","",IFERROR(VLOOKUP($D1465,物料档案!$A$4:$P$1203,5,0),"※编码不在物料档案里"))</f>
        <v/>
      </c>
      <c r="H1465" s="24">
        <f>IF($D1465="","",IFERROR(VLOOKUP($D1465,物料档案!$A$4:$P$1203,2,0),"※编码不在物料档案里"))</f>
        <v/>
      </c>
      <c r="I1465" s="24">
        <f>IF($D1465="","",IFERROR(VLOOKUP($D1465,物料档案!$A$4:$P$1203,6,0),"※编码不在物料档案里"))</f>
        <v/>
      </c>
      <c r="J1465" s="23" t="n"/>
      <c r="K1465" s="17" t="n"/>
      <c r="L1465" s="17" t="n"/>
      <c r="M1465" s="17" t="n"/>
      <c r="N1465" s="17" t="n"/>
      <c r="O1465" s="26">
        <f>IF($D1465="","",IFERROR(VLOOKUP($D1465,物料档案!$A$4:$P$1203,10,0),0))</f>
        <v/>
      </c>
      <c r="P1465" s="32" t="n"/>
      <c r="Q1465" s="26">
        <f>IF($D1465="","",IF($K1465&lt;&gt;"对外销售",0,ROUND(N($J1465)*IF($P1465="",N($O1465),N($P1465)),0)))</f>
        <v/>
      </c>
      <c r="R1465" s="26">
        <f>IF($D1465="","",IFERROR(VLOOKUP($D1465,库存台账!$A$5:$Y$1204,11,0),0))</f>
        <v/>
      </c>
      <c r="S1465" s="26">
        <f>IF($D1465="","",ROUND(N($J1465)*N($R1465),0))</f>
        <v/>
      </c>
      <c r="T1465" s="26">
        <f>IF($D1465="","",IF($K1465&lt;&gt;"对外销售","",ROUND($Q1465-$S1465,0)))</f>
        <v/>
      </c>
      <c r="U1465" s="17" t="n"/>
      <c r="V1465" s="17" t="n"/>
      <c r="W1465" s="24">
        <f>IF($D1465="","",IF($E1465="※编码不在物料档案里","※物料编码不在档案里",IF(N($J1465)&lt;=0,"※出库数量要大于 0",IF($K1465="","※没填去向类型",IF($L1465="","※没填去向矿区",IF(AND($C1465&lt;&gt;"",$C1465&lt;=结账锁),"※日期早于已结账截止日，不能再录",IF(AND($K1465="自用消耗",COUNTIF({"一矿区";"二矿区"},$L1465)=0),"※自用消耗的去向只能是一矿区或二矿区",IF(AND($K1465="对外销售",COUNTIF({"三矿区";"六矿区"},$L1465)=0),"※对外销售的去向只能是三矿区或六矿区",IF(AND($K1465="对外销售",ROUND($Q1465,0)=0),"※外销却没有售价，请填实际售价",IF(AND($K1465="对外销售",$T1465&lt;&gt;"",$T1465&lt;0),"※这一笔外销是亏的，请核对售价",IF(IFERROR(VLOOKUP($D1465,库存台账!$A$5:$Y$1204,24,0),0)&lt;-0.001,"※这个物料账面已经变成负数了，查一下是不是漏记入库","")))))))))))</f>
        <v/>
      </c>
    </row>
    <row r="1466">
      <c r="A1466" s="24">
        <f>IF($D1466="","",COUNTA($D$4:$D1466))</f>
        <v/>
      </c>
      <c r="B1466" s="17" t="n"/>
      <c r="C1466" s="30" t="n"/>
      <c r="D1466" s="17" t="n"/>
      <c r="E1466" s="24">
        <f>IF($D1466="","",IFERROR(VLOOKUP($D1466,物料档案!$A$4:$P$1203,3,0),"※编码不在物料档案里"))</f>
        <v/>
      </c>
      <c r="F1466" s="24">
        <f>IF($D1466="","",IFERROR(VLOOKUP($D1466,物料档案!$A$4:$P$1203,4,0),"※编码不在物料档案里"))</f>
        <v/>
      </c>
      <c r="G1466" s="24">
        <f>IF($D1466="","",IFERROR(VLOOKUP($D1466,物料档案!$A$4:$P$1203,5,0),"※编码不在物料档案里"))</f>
        <v/>
      </c>
      <c r="H1466" s="24">
        <f>IF($D1466="","",IFERROR(VLOOKUP($D1466,物料档案!$A$4:$P$1203,2,0),"※编码不在物料档案里"))</f>
        <v/>
      </c>
      <c r="I1466" s="24">
        <f>IF($D1466="","",IFERROR(VLOOKUP($D1466,物料档案!$A$4:$P$1203,6,0),"※编码不在物料档案里"))</f>
        <v/>
      </c>
      <c r="J1466" s="23" t="n"/>
      <c r="K1466" s="17" t="n"/>
      <c r="L1466" s="17" t="n"/>
      <c r="M1466" s="17" t="n"/>
      <c r="N1466" s="17" t="n"/>
      <c r="O1466" s="26">
        <f>IF($D1466="","",IFERROR(VLOOKUP($D1466,物料档案!$A$4:$P$1203,10,0),0))</f>
        <v/>
      </c>
      <c r="P1466" s="32" t="n"/>
      <c r="Q1466" s="26">
        <f>IF($D1466="","",IF($K1466&lt;&gt;"对外销售",0,ROUND(N($J1466)*IF($P1466="",N($O1466),N($P1466)),0)))</f>
        <v/>
      </c>
      <c r="R1466" s="26">
        <f>IF($D1466="","",IFERROR(VLOOKUP($D1466,库存台账!$A$5:$Y$1204,11,0),0))</f>
        <v/>
      </c>
      <c r="S1466" s="26">
        <f>IF($D1466="","",ROUND(N($J1466)*N($R1466),0))</f>
        <v/>
      </c>
      <c r="T1466" s="26">
        <f>IF($D1466="","",IF($K1466&lt;&gt;"对外销售","",ROUND($Q1466-$S1466,0)))</f>
        <v/>
      </c>
      <c r="U1466" s="17" t="n"/>
      <c r="V1466" s="17" t="n"/>
      <c r="W1466" s="24">
        <f>IF($D1466="","",IF($E1466="※编码不在物料档案里","※物料编码不在档案里",IF(N($J1466)&lt;=0,"※出库数量要大于 0",IF($K1466="","※没填去向类型",IF($L1466="","※没填去向矿区",IF(AND($C1466&lt;&gt;"",$C1466&lt;=结账锁),"※日期早于已结账截止日，不能再录",IF(AND($K1466="自用消耗",COUNTIF({"一矿区";"二矿区"},$L1466)=0),"※自用消耗的去向只能是一矿区或二矿区",IF(AND($K1466="对外销售",COUNTIF({"三矿区";"六矿区"},$L1466)=0),"※对外销售的去向只能是三矿区或六矿区",IF(AND($K1466="对外销售",ROUND($Q1466,0)=0),"※外销却没有售价，请填实际售价",IF(AND($K1466="对外销售",$T1466&lt;&gt;"",$T1466&lt;0),"※这一笔外销是亏的，请核对售价",IF(IFERROR(VLOOKUP($D1466,库存台账!$A$5:$Y$1204,24,0),0)&lt;-0.001,"※这个物料账面已经变成负数了，查一下是不是漏记入库","")))))))))))</f>
        <v/>
      </c>
    </row>
    <row r="1467">
      <c r="A1467" s="24">
        <f>IF($D1467="","",COUNTA($D$4:$D1467))</f>
        <v/>
      </c>
      <c r="B1467" s="17" t="n"/>
      <c r="C1467" s="30" t="n"/>
      <c r="D1467" s="17" t="n"/>
      <c r="E1467" s="24">
        <f>IF($D1467="","",IFERROR(VLOOKUP($D1467,物料档案!$A$4:$P$1203,3,0),"※编码不在物料档案里"))</f>
        <v/>
      </c>
      <c r="F1467" s="24">
        <f>IF($D1467="","",IFERROR(VLOOKUP($D1467,物料档案!$A$4:$P$1203,4,0),"※编码不在物料档案里"))</f>
        <v/>
      </c>
      <c r="G1467" s="24">
        <f>IF($D1467="","",IFERROR(VLOOKUP($D1467,物料档案!$A$4:$P$1203,5,0),"※编码不在物料档案里"))</f>
        <v/>
      </c>
      <c r="H1467" s="24">
        <f>IF($D1467="","",IFERROR(VLOOKUP($D1467,物料档案!$A$4:$P$1203,2,0),"※编码不在物料档案里"))</f>
        <v/>
      </c>
      <c r="I1467" s="24">
        <f>IF($D1467="","",IFERROR(VLOOKUP($D1467,物料档案!$A$4:$P$1203,6,0),"※编码不在物料档案里"))</f>
        <v/>
      </c>
      <c r="J1467" s="23" t="n"/>
      <c r="K1467" s="17" t="n"/>
      <c r="L1467" s="17" t="n"/>
      <c r="M1467" s="17" t="n"/>
      <c r="N1467" s="17" t="n"/>
      <c r="O1467" s="26">
        <f>IF($D1467="","",IFERROR(VLOOKUP($D1467,物料档案!$A$4:$P$1203,10,0),0))</f>
        <v/>
      </c>
      <c r="P1467" s="32" t="n"/>
      <c r="Q1467" s="26">
        <f>IF($D1467="","",IF($K1467&lt;&gt;"对外销售",0,ROUND(N($J1467)*IF($P1467="",N($O1467),N($P1467)),0)))</f>
        <v/>
      </c>
      <c r="R1467" s="26">
        <f>IF($D1467="","",IFERROR(VLOOKUP($D1467,库存台账!$A$5:$Y$1204,11,0),0))</f>
        <v/>
      </c>
      <c r="S1467" s="26">
        <f>IF($D1467="","",ROUND(N($J1467)*N($R1467),0))</f>
        <v/>
      </c>
      <c r="T1467" s="26">
        <f>IF($D1467="","",IF($K1467&lt;&gt;"对外销售","",ROUND($Q1467-$S1467,0)))</f>
        <v/>
      </c>
      <c r="U1467" s="17" t="n"/>
      <c r="V1467" s="17" t="n"/>
      <c r="W1467" s="24">
        <f>IF($D1467="","",IF($E1467="※编码不在物料档案里","※物料编码不在档案里",IF(N($J1467)&lt;=0,"※出库数量要大于 0",IF($K1467="","※没填去向类型",IF($L1467="","※没填去向矿区",IF(AND($C1467&lt;&gt;"",$C1467&lt;=结账锁),"※日期早于已结账截止日，不能再录",IF(AND($K1467="自用消耗",COUNTIF({"一矿区";"二矿区"},$L1467)=0),"※自用消耗的去向只能是一矿区或二矿区",IF(AND($K1467="对外销售",COUNTIF({"三矿区";"六矿区"},$L1467)=0),"※对外销售的去向只能是三矿区或六矿区",IF(AND($K1467="对外销售",ROUND($Q1467,0)=0),"※外销却没有售价，请填实际售价",IF(AND($K1467="对外销售",$T1467&lt;&gt;"",$T1467&lt;0),"※这一笔外销是亏的，请核对售价",IF(IFERROR(VLOOKUP($D1467,库存台账!$A$5:$Y$1204,24,0),0)&lt;-0.001,"※这个物料账面已经变成负数了，查一下是不是漏记入库","")))))))))))</f>
        <v/>
      </c>
    </row>
    <row r="1468">
      <c r="A1468" s="24">
        <f>IF($D1468="","",COUNTA($D$4:$D1468))</f>
        <v/>
      </c>
      <c r="B1468" s="17" t="n"/>
      <c r="C1468" s="30" t="n"/>
      <c r="D1468" s="17" t="n"/>
      <c r="E1468" s="24">
        <f>IF($D1468="","",IFERROR(VLOOKUP($D1468,物料档案!$A$4:$P$1203,3,0),"※编码不在物料档案里"))</f>
        <v/>
      </c>
      <c r="F1468" s="24">
        <f>IF($D1468="","",IFERROR(VLOOKUP($D1468,物料档案!$A$4:$P$1203,4,0),"※编码不在物料档案里"))</f>
        <v/>
      </c>
      <c r="G1468" s="24">
        <f>IF($D1468="","",IFERROR(VLOOKUP($D1468,物料档案!$A$4:$P$1203,5,0),"※编码不在物料档案里"))</f>
        <v/>
      </c>
      <c r="H1468" s="24">
        <f>IF($D1468="","",IFERROR(VLOOKUP($D1468,物料档案!$A$4:$P$1203,2,0),"※编码不在物料档案里"))</f>
        <v/>
      </c>
      <c r="I1468" s="24">
        <f>IF($D1468="","",IFERROR(VLOOKUP($D1468,物料档案!$A$4:$P$1203,6,0),"※编码不在物料档案里"))</f>
        <v/>
      </c>
      <c r="J1468" s="23" t="n"/>
      <c r="K1468" s="17" t="n"/>
      <c r="L1468" s="17" t="n"/>
      <c r="M1468" s="17" t="n"/>
      <c r="N1468" s="17" t="n"/>
      <c r="O1468" s="26">
        <f>IF($D1468="","",IFERROR(VLOOKUP($D1468,物料档案!$A$4:$P$1203,10,0),0))</f>
        <v/>
      </c>
      <c r="P1468" s="32" t="n"/>
      <c r="Q1468" s="26">
        <f>IF($D1468="","",IF($K1468&lt;&gt;"对外销售",0,ROUND(N($J1468)*IF($P1468="",N($O1468),N($P1468)),0)))</f>
        <v/>
      </c>
      <c r="R1468" s="26">
        <f>IF($D1468="","",IFERROR(VLOOKUP($D1468,库存台账!$A$5:$Y$1204,11,0),0))</f>
        <v/>
      </c>
      <c r="S1468" s="26">
        <f>IF($D1468="","",ROUND(N($J1468)*N($R1468),0))</f>
        <v/>
      </c>
      <c r="T1468" s="26">
        <f>IF($D1468="","",IF($K1468&lt;&gt;"对外销售","",ROUND($Q1468-$S1468,0)))</f>
        <v/>
      </c>
      <c r="U1468" s="17" t="n"/>
      <c r="V1468" s="17" t="n"/>
      <c r="W1468" s="24">
        <f>IF($D1468="","",IF($E1468="※编码不在物料档案里","※物料编码不在档案里",IF(N($J1468)&lt;=0,"※出库数量要大于 0",IF($K1468="","※没填去向类型",IF($L1468="","※没填去向矿区",IF(AND($C1468&lt;&gt;"",$C1468&lt;=结账锁),"※日期早于已结账截止日，不能再录",IF(AND($K1468="自用消耗",COUNTIF({"一矿区";"二矿区"},$L1468)=0),"※自用消耗的去向只能是一矿区或二矿区",IF(AND($K1468="对外销售",COUNTIF({"三矿区";"六矿区"},$L1468)=0),"※对外销售的去向只能是三矿区或六矿区",IF(AND($K1468="对外销售",ROUND($Q1468,0)=0),"※外销却没有售价，请填实际售价",IF(AND($K1468="对外销售",$T1468&lt;&gt;"",$T1468&lt;0),"※这一笔外销是亏的，请核对售价",IF(IFERROR(VLOOKUP($D1468,库存台账!$A$5:$Y$1204,24,0),0)&lt;-0.001,"※这个物料账面已经变成负数了，查一下是不是漏记入库","")))))))))))</f>
        <v/>
      </c>
    </row>
    <row r="1469">
      <c r="A1469" s="24">
        <f>IF($D1469="","",COUNTA($D$4:$D1469))</f>
        <v/>
      </c>
      <c r="B1469" s="17" t="n"/>
      <c r="C1469" s="30" t="n"/>
      <c r="D1469" s="17" t="n"/>
      <c r="E1469" s="24">
        <f>IF($D1469="","",IFERROR(VLOOKUP($D1469,物料档案!$A$4:$P$1203,3,0),"※编码不在物料档案里"))</f>
        <v/>
      </c>
      <c r="F1469" s="24">
        <f>IF($D1469="","",IFERROR(VLOOKUP($D1469,物料档案!$A$4:$P$1203,4,0),"※编码不在物料档案里"))</f>
        <v/>
      </c>
      <c r="G1469" s="24">
        <f>IF($D1469="","",IFERROR(VLOOKUP($D1469,物料档案!$A$4:$P$1203,5,0),"※编码不在物料档案里"))</f>
        <v/>
      </c>
      <c r="H1469" s="24">
        <f>IF($D1469="","",IFERROR(VLOOKUP($D1469,物料档案!$A$4:$P$1203,2,0),"※编码不在物料档案里"))</f>
        <v/>
      </c>
      <c r="I1469" s="24">
        <f>IF($D1469="","",IFERROR(VLOOKUP($D1469,物料档案!$A$4:$P$1203,6,0),"※编码不在物料档案里"))</f>
        <v/>
      </c>
      <c r="J1469" s="23" t="n"/>
      <c r="K1469" s="17" t="n"/>
      <c r="L1469" s="17" t="n"/>
      <c r="M1469" s="17" t="n"/>
      <c r="N1469" s="17" t="n"/>
      <c r="O1469" s="26">
        <f>IF($D1469="","",IFERROR(VLOOKUP($D1469,物料档案!$A$4:$P$1203,10,0),0))</f>
        <v/>
      </c>
      <c r="P1469" s="32" t="n"/>
      <c r="Q1469" s="26">
        <f>IF($D1469="","",IF($K1469&lt;&gt;"对外销售",0,ROUND(N($J1469)*IF($P1469="",N($O1469),N($P1469)),0)))</f>
        <v/>
      </c>
      <c r="R1469" s="26">
        <f>IF($D1469="","",IFERROR(VLOOKUP($D1469,库存台账!$A$5:$Y$1204,11,0),0))</f>
        <v/>
      </c>
      <c r="S1469" s="26">
        <f>IF($D1469="","",ROUND(N($J1469)*N($R1469),0))</f>
        <v/>
      </c>
      <c r="T1469" s="26">
        <f>IF($D1469="","",IF($K1469&lt;&gt;"对外销售","",ROUND($Q1469-$S1469,0)))</f>
        <v/>
      </c>
      <c r="U1469" s="17" t="n"/>
      <c r="V1469" s="17" t="n"/>
      <c r="W1469" s="24">
        <f>IF($D1469="","",IF($E1469="※编码不在物料档案里","※物料编码不在档案里",IF(N($J1469)&lt;=0,"※出库数量要大于 0",IF($K1469="","※没填去向类型",IF($L1469="","※没填去向矿区",IF(AND($C1469&lt;&gt;"",$C1469&lt;=结账锁),"※日期早于已结账截止日，不能再录",IF(AND($K1469="自用消耗",COUNTIF({"一矿区";"二矿区"},$L1469)=0),"※自用消耗的去向只能是一矿区或二矿区",IF(AND($K1469="对外销售",COUNTIF({"三矿区";"六矿区"},$L1469)=0),"※对外销售的去向只能是三矿区或六矿区",IF(AND($K1469="对外销售",ROUND($Q1469,0)=0),"※外销却没有售价，请填实际售价",IF(AND($K1469="对外销售",$T1469&lt;&gt;"",$T1469&lt;0),"※这一笔外销是亏的，请核对售价",IF(IFERROR(VLOOKUP($D1469,库存台账!$A$5:$Y$1204,24,0),0)&lt;-0.001,"※这个物料账面已经变成负数了，查一下是不是漏记入库","")))))))))))</f>
        <v/>
      </c>
    </row>
    <row r="1470">
      <c r="A1470" s="24">
        <f>IF($D1470="","",COUNTA($D$4:$D1470))</f>
        <v/>
      </c>
      <c r="B1470" s="17" t="n"/>
      <c r="C1470" s="30" t="n"/>
      <c r="D1470" s="17" t="n"/>
      <c r="E1470" s="24">
        <f>IF($D1470="","",IFERROR(VLOOKUP($D1470,物料档案!$A$4:$P$1203,3,0),"※编码不在物料档案里"))</f>
        <v/>
      </c>
      <c r="F1470" s="24">
        <f>IF($D1470="","",IFERROR(VLOOKUP($D1470,物料档案!$A$4:$P$1203,4,0),"※编码不在物料档案里"))</f>
        <v/>
      </c>
      <c r="G1470" s="24">
        <f>IF($D1470="","",IFERROR(VLOOKUP($D1470,物料档案!$A$4:$P$1203,5,0),"※编码不在物料档案里"))</f>
        <v/>
      </c>
      <c r="H1470" s="24">
        <f>IF($D1470="","",IFERROR(VLOOKUP($D1470,物料档案!$A$4:$P$1203,2,0),"※编码不在物料档案里"))</f>
        <v/>
      </c>
      <c r="I1470" s="24">
        <f>IF($D1470="","",IFERROR(VLOOKUP($D1470,物料档案!$A$4:$P$1203,6,0),"※编码不在物料档案里"))</f>
        <v/>
      </c>
      <c r="J1470" s="23" t="n"/>
      <c r="K1470" s="17" t="n"/>
      <c r="L1470" s="17" t="n"/>
      <c r="M1470" s="17" t="n"/>
      <c r="N1470" s="17" t="n"/>
      <c r="O1470" s="26">
        <f>IF($D1470="","",IFERROR(VLOOKUP($D1470,物料档案!$A$4:$P$1203,10,0),0))</f>
        <v/>
      </c>
      <c r="P1470" s="32" t="n"/>
      <c r="Q1470" s="26">
        <f>IF($D1470="","",IF($K1470&lt;&gt;"对外销售",0,ROUND(N($J1470)*IF($P1470="",N($O1470),N($P1470)),0)))</f>
        <v/>
      </c>
      <c r="R1470" s="26">
        <f>IF($D1470="","",IFERROR(VLOOKUP($D1470,库存台账!$A$5:$Y$1204,11,0),0))</f>
        <v/>
      </c>
      <c r="S1470" s="26">
        <f>IF($D1470="","",ROUND(N($J1470)*N($R1470),0))</f>
        <v/>
      </c>
      <c r="T1470" s="26">
        <f>IF($D1470="","",IF($K1470&lt;&gt;"对外销售","",ROUND($Q1470-$S1470,0)))</f>
        <v/>
      </c>
      <c r="U1470" s="17" t="n"/>
      <c r="V1470" s="17" t="n"/>
      <c r="W1470" s="24">
        <f>IF($D1470="","",IF($E1470="※编码不在物料档案里","※物料编码不在档案里",IF(N($J1470)&lt;=0,"※出库数量要大于 0",IF($K1470="","※没填去向类型",IF($L1470="","※没填去向矿区",IF(AND($C1470&lt;&gt;"",$C1470&lt;=结账锁),"※日期早于已结账截止日，不能再录",IF(AND($K1470="自用消耗",COUNTIF({"一矿区";"二矿区"},$L1470)=0),"※自用消耗的去向只能是一矿区或二矿区",IF(AND($K1470="对外销售",COUNTIF({"三矿区";"六矿区"},$L1470)=0),"※对外销售的去向只能是三矿区或六矿区",IF(AND($K1470="对外销售",ROUND($Q1470,0)=0),"※外销却没有售价，请填实际售价",IF(AND($K1470="对外销售",$T1470&lt;&gt;"",$T1470&lt;0),"※这一笔外销是亏的，请核对售价",IF(IFERROR(VLOOKUP($D1470,库存台账!$A$5:$Y$1204,24,0),0)&lt;-0.001,"※这个物料账面已经变成负数了，查一下是不是漏记入库","")))))))))))</f>
        <v/>
      </c>
    </row>
    <row r="1471">
      <c r="A1471" s="24">
        <f>IF($D1471="","",COUNTA($D$4:$D1471))</f>
        <v/>
      </c>
      <c r="B1471" s="17" t="n"/>
      <c r="C1471" s="30" t="n"/>
      <c r="D1471" s="17" t="n"/>
      <c r="E1471" s="24">
        <f>IF($D1471="","",IFERROR(VLOOKUP($D1471,物料档案!$A$4:$P$1203,3,0),"※编码不在物料档案里"))</f>
        <v/>
      </c>
      <c r="F1471" s="24">
        <f>IF($D1471="","",IFERROR(VLOOKUP($D1471,物料档案!$A$4:$P$1203,4,0),"※编码不在物料档案里"))</f>
        <v/>
      </c>
      <c r="G1471" s="24">
        <f>IF($D1471="","",IFERROR(VLOOKUP($D1471,物料档案!$A$4:$P$1203,5,0),"※编码不在物料档案里"))</f>
        <v/>
      </c>
      <c r="H1471" s="24">
        <f>IF($D1471="","",IFERROR(VLOOKUP($D1471,物料档案!$A$4:$P$1203,2,0),"※编码不在物料档案里"))</f>
        <v/>
      </c>
      <c r="I1471" s="24">
        <f>IF($D1471="","",IFERROR(VLOOKUP($D1471,物料档案!$A$4:$P$1203,6,0),"※编码不在物料档案里"))</f>
        <v/>
      </c>
      <c r="J1471" s="23" t="n"/>
      <c r="K1471" s="17" t="n"/>
      <c r="L1471" s="17" t="n"/>
      <c r="M1471" s="17" t="n"/>
      <c r="N1471" s="17" t="n"/>
      <c r="O1471" s="26">
        <f>IF($D1471="","",IFERROR(VLOOKUP($D1471,物料档案!$A$4:$P$1203,10,0),0))</f>
        <v/>
      </c>
      <c r="P1471" s="32" t="n"/>
      <c r="Q1471" s="26">
        <f>IF($D1471="","",IF($K1471&lt;&gt;"对外销售",0,ROUND(N($J1471)*IF($P1471="",N($O1471),N($P1471)),0)))</f>
        <v/>
      </c>
      <c r="R1471" s="26">
        <f>IF($D1471="","",IFERROR(VLOOKUP($D1471,库存台账!$A$5:$Y$1204,11,0),0))</f>
        <v/>
      </c>
      <c r="S1471" s="26">
        <f>IF($D1471="","",ROUND(N($J1471)*N($R1471),0))</f>
        <v/>
      </c>
      <c r="T1471" s="26">
        <f>IF($D1471="","",IF($K1471&lt;&gt;"对外销售","",ROUND($Q1471-$S1471,0)))</f>
        <v/>
      </c>
      <c r="U1471" s="17" t="n"/>
      <c r="V1471" s="17" t="n"/>
      <c r="W1471" s="24">
        <f>IF($D1471="","",IF($E1471="※编码不在物料档案里","※物料编码不在档案里",IF(N($J1471)&lt;=0,"※出库数量要大于 0",IF($K1471="","※没填去向类型",IF($L1471="","※没填去向矿区",IF(AND($C1471&lt;&gt;"",$C1471&lt;=结账锁),"※日期早于已结账截止日，不能再录",IF(AND($K1471="自用消耗",COUNTIF({"一矿区";"二矿区"},$L1471)=0),"※自用消耗的去向只能是一矿区或二矿区",IF(AND($K1471="对外销售",COUNTIF({"三矿区";"六矿区"},$L1471)=0),"※对外销售的去向只能是三矿区或六矿区",IF(AND($K1471="对外销售",ROUND($Q1471,0)=0),"※外销却没有售价，请填实际售价",IF(AND($K1471="对外销售",$T1471&lt;&gt;"",$T1471&lt;0),"※这一笔外销是亏的，请核对售价",IF(IFERROR(VLOOKUP($D1471,库存台账!$A$5:$Y$1204,24,0),0)&lt;-0.001,"※这个物料账面已经变成负数了，查一下是不是漏记入库","")))))))))))</f>
        <v/>
      </c>
    </row>
    <row r="1472">
      <c r="A1472" s="24">
        <f>IF($D1472="","",COUNTA($D$4:$D1472))</f>
        <v/>
      </c>
      <c r="B1472" s="17" t="n"/>
      <c r="C1472" s="30" t="n"/>
      <c r="D1472" s="17" t="n"/>
      <c r="E1472" s="24">
        <f>IF($D1472="","",IFERROR(VLOOKUP($D1472,物料档案!$A$4:$P$1203,3,0),"※编码不在物料档案里"))</f>
        <v/>
      </c>
      <c r="F1472" s="24">
        <f>IF($D1472="","",IFERROR(VLOOKUP($D1472,物料档案!$A$4:$P$1203,4,0),"※编码不在物料档案里"))</f>
        <v/>
      </c>
      <c r="G1472" s="24">
        <f>IF($D1472="","",IFERROR(VLOOKUP($D1472,物料档案!$A$4:$P$1203,5,0),"※编码不在物料档案里"))</f>
        <v/>
      </c>
      <c r="H1472" s="24">
        <f>IF($D1472="","",IFERROR(VLOOKUP($D1472,物料档案!$A$4:$P$1203,2,0),"※编码不在物料档案里"))</f>
        <v/>
      </c>
      <c r="I1472" s="24">
        <f>IF($D1472="","",IFERROR(VLOOKUP($D1472,物料档案!$A$4:$P$1203,6,0),"※编码不在物料档案里"))</f>
        <v/>
      </c>
      <c r="J1472" s="23" t="n"/>
      <c r="K1472" s="17" t="n"/>
      <c r="L1472" s="17" t="n"/>
      <c r="M1472" s="17" t="n"/>
      <c r="N1472" s="17" t="n"/>
      <c r="O1472" s="26">
        <f>IF($D1472="","",IFERROR(VLOOKUP($D1472,物料档案!$A$4:$P$1203,10,0),0))</f>
        <v/>
      </c>
      <c r="P1472" s="32" t="n"/>
      <c r="Q1472" s="26">
        <f>IF($D1472="","",IF($K1472&lt;&gt;"对外销售",0,ROUND(N($J1472)*IF($P1472="",N($O1472),N($P1472)),0)))</f>
        <v/>
      </c>
      <c r="R1472" s="26">
        <f>IF($D1472="","",IFERROR(VLOOKUP($D1472,库存台账!$A$5:$Y$1204,11,0),0))</f>
        <v/>
      </c>
      <c r="S1472" s="26">
        <f>IF($D1472="","",ROUND(N($J1472)*N($R1472),0))</f>
        <v/>
      </c>
      <c r="T1472" s="26">
        <f>IF($D1472="","",IF($K1472&lt;&gt;"对外销售","",ROUND($Q1472-$S1472,0)))</f>
        <v/>
      </c>
      <c r="U1472" s="17" t="n"/>
      <c r="V1472" s="17" t="n"/>
      <c r="W1472" s="24">
        <f>IF($D1472="","",IF($E1472="※编码不在物料档案里","※物料编码不在档案里",IF(N($J1472)&lt;=0,"※出库数量要大于 0",IF($K1472="","※没填去向类型",IF($L1472="","※没填去向矿区",IF(AND($C1472&lt;&gt;"",$C1472&lt;=结账锁),"※日期早于已结账截止日，不能再录",IF(AND($K1472="自用消耗",COUNTIF({"一矿区";"二矿区"},$L1472)=0),"※自用消耗的去向只能是一矿区或二矿区",IF(AND($K1472="对外销售",COUNTIF({"三矿区";"六矿区"},$L1472)=0),"※对外销售的去向只能是三矿区或六矿区",IF(AND($K1472="对外销售",ROUND($Q1472,0)=0),"※外销却没有售价，请填实际售价",IF(AND($K1472="对外销售",$T1472&lt;&gt;"",$T1472&lt;0),"※这一笔外销是亏的，请核对售价",IF(IFERROR(VLOOKUP($D1472,库存台账!$A$5:$Y$1204,24,0),0)&lt;-0.001,"※这个物料账面已经变成负数了，查一下是不是漏记入库","")))))))))))</f>
        <v/>
      </c>
    </row>
    <row r="1473">
      <c r="A1473" s="24">
        <f>IF($D1473="","",COUNTA($D$4:$D1473))</f>
        <v/>
      </c>
      <c r="B1473" s="17" t="n"/>
      <c r="C1473" s="30" t="n"/>
      <c r="D1473" s="17" t="n"/>
      <c r="E1473" s="24">
        <f>IF($D1473="","",IFERROR(VLOOKUP($D1473,物料档案!$A$4:$P$1203,3,0),"※编码不在物料档案里"))</f>
        <v/>
      </c>
      <c r="F1473" s="24">
        <f>IF($D1473="","",IFERROR(VLOOKUP($D1473,物料档案!$A$4:$P$1203,4,0),"※编码不在物料档案里"))</f>
        <v/>
      </c>
      <c r="G1473" s="24">
        <f>IF($D1473="","",IFERROR(VLOOKUP($D1473,物料档案!$A$4:$P$1203,5,0),"※编码不在物料档案里"))</f>
        <v/>
      </c>
      <c r="H1473" s="24">
        <f>IF($D1473="","",IFERROR(VLOOKUP($D1473,物料档案!$A$4:$P$1203,2,0),"※编码不在物料档案里"))</f>
        <v/>
      </c>
      <c r="I1473" s="24">
        <f>IF($D1473="","",IFERROR(VLOOKUP($D1473,物料档案!$A$4:$P$1203,6,0),"※编码不在物料档案里"))</f>
        <v/>
      </c>
      <c r="J1473" s="23" t="n"/>
      <c r="K1473" s="17" t="n"/>
      <c r="L1473" s="17" t="n"/>
      <c r="M1473" s="17" t="n"/>
      <c r="N1473" s="17" t="n"/>
      <c r="O1473" s="26">
        <f>IF($D1473="","",IFERROR(VLOOKUP($D1473,物料档案!$A$4:$P$1203,10,0),0))</f>
        <v/>
      </c>
      <c r="P1473" s="32" t="n"/>
      <c r="Q1473" s="26">
        <f>IF($D1473="","",IF($K1473&lt;&gt;"对外销售",0,ROUND(N($J1473)*IF($P1473="",N($O1473),N($P1473)),0)))</f>
        <v/>
      </c>
      <c r="R1473" s="26">
        <f>IF($D1473="","",IFERROR(VLOOKUP($D1473,库存台账!$A$5:$Y$1204,11,0),0))</f>
        <v/>
      </c>
      <c r="S1473" s="26">
        <f>IF($D1473="","",ROUND(N($J1473)*N($R1473),0))</f>
        <v/>
      </c>
      <c r="T1473" s="26">
        <f>IF($D1473="","",IF($K1473&lt;&gt;"对外销售","",ROUND($Q1473-$S1473,0)))</f>
        <v/>
      </c>
      <c r="U1473" s="17" t="n"/>
      <c r="V1473" s="17" t="n"/>
      <c r="W1473" s="24">
        <f>IF($D1473="","",IF($E1473="※编码不在物料档案里","※物料编码不在档案里",IF(N($J1473)&lt;=0,"※出库数量要大于 0",IF($K1473="","※没填去向类型",IF($L1473="","※没填去向矿区",IF(AND($C1473&lt;&gt;"",$C1473&lt;=结账锁),"※日期早于已结账截止日，不能再录",IF(AND($K1473="自用消耗",COUNTIF({"一矿区";"二矿区"},$L1473)=0),"※自用消耗的去向只能是一矿区或二矿区",IF(AND($K1473="对外销售",COUNTIF({"三矿区";"六矿区"},$L1473)=0),"※对外销售的去向只能是三矿区或六矿区",IF(AND($K1473="对外销售",ROUND($Q1473,0)=0),"※外销却没有售价，请填实际售价",IF(AND($K1473="对外销售",$T1473&lt;&gt;"",$T1473&lt;0),"※这一笔外销是亏的，请核对售价",IF(IFERROR(VLOOKUP($D1473,库存台账!$A$5:$Y$1204,24,0),0)&lt;-0.001,"※这个物料账面已经变成负数了，查一下是不是漏记入库","")))))))))))</f>
        <v/>
      </c>
    </row>
    <row r="1474">
      <c r="A1474" s="24">
        <f>IF($D1474="","",COUNTA($D$4:$D1474))</f>
        <v/>
      </c>
      <c r="B1474" s="17" t="n"/>
      <c r="C1474" s="30" t="n"/>
      <c r="D1474" s="17" t="n"/>
      <c r="E1474" s="24">
        <f>IF($D1474="","",IFERROR(VLOOKUP($D1474,物料档案!$A$4:$P$1203,3,0),"※编码不在物料档案里"))</f>
        <v/>
      </c>
      <c r="F1474" s="24">
        <f>IF($D1474="","",IFERROR(VLOOKUP($D1474,物料档案!$A$4:$P$1203,4,0),"※编码不在物料档案里"))</f>
        <v/>
      </c>
      <c r="G1474" s="24">
        <f>IF($D1474="","",IFERROR(VLOOKUP($D1474,物料档案!$A$4:$P$1203,5,0),"※编码不在物料档案里"))</f>
        <v/>
      </c>
      <c r="H1474" s="24">
        <f>IF($D1474="","",IFERROR(VLOOKUP($D1474,物料档案!$A$4:$P$1203,2,0),"※编码不在物料档案里"))</f>
        <v/>
      </c>
      <c r="I1474" s="24">
        <f>IF($D1474="","",IFERROR(VLOOKUP($D1474,物料档案!$A$4:$P$1203,6,0),"※编码不在物料档案里"))</f>
        <v/>
      </c>
      <c r="J1474" s="23" t="n"/>
      <c r="K1474" s="17" t="n"/>
      <c r="L1474" s="17" t="n"/>
      <c r="M1474" s="17" t="n"/>
      <c r="N1474" s="17" t="n"/>
      <c r="O1474" s="26">
        <f>IF($D1474="","",IFERROR(VLOOKUP($D1474,物料档案!$A$4:$P$1203,10,0),0))</f>
        <v/>
      </c>
      <c r="P1474" s="32" t="n"/>
      <c r="Q1474" s="26">
        <f>IF($D1474="","",IF($K1474&lt;&gt;"对外销售",0,ROUND(N($J1474)*IF($P1474="",N($O1474),N($P1474)),0)))</f>
        <v/>
      </c>
      <c r="R1474" s="26">
        <f>IF($D1474="","",IFERROR(VLOOKUP($D1474,库存台账!$A$5:$Y$1204,11,0),0))</f>
        <v/>
      </c>
      <c r="S1474" s="26">
        <f>IF($D1474="","",ROUND(N($J1474)*N($R1474),0))</f>
        <v/>
      </c>
      <c r="T1474" s="26">
        <f>IF($D1474="","",IF($K1474&lt;&gt;"对外销售","",ROUND($Q1474-$S1474,0)))</f>
        <v/>
      </c>
      <c r="U1474" s="17" t="n"/>
      <c r="V1474" s="17" t="n"/>
      <c r="W1474" s="24">
        <f>IF($D1474="","",IF($E1474="※编码不在物料档案里","※物料编码不在档案里",IF(N($J1474)&lt;=0,"※出库数量要大于 0",IF($K1474="","※没填去向类型",IF($L1474="","※没填去向矿区",IF(AND($C1474&lt;&gt;"",$C1474&lt;=结账锁),"※日期早于已结账截止日，不能再录",IF(AND($K1474="自用消耗",COUNTIF({"一矿区";"二矿区"},$L1474)=0),"※自用消耗的去向只能是一矿区或二矿区",IF(AND($K1474="对外销售",COUNTIF({"三矿区";"六矿区"},$L1474)=0),"※对外销售的去向只能是三矿区或六矿区",IF(AND($K1474="对外销售",ROUND($Q1474,0)=0),"※外销却没有售价，请填实际售价",IF(AND($K1474="对外销售",$T1474&lt;&gt;"",$T1474&lt;0),"※这一笔外销是亏的，请核对售价",IF(IFERROR(VLOOKUP($D1474,库存台账!$A$5:$Y$1204,24,0),0)&lt;-0.001,"※这个物料账面已经变成负数了，查一下是不是漏记入库","")))))))))))</f>
        <v/>
      </c>
    </row>
    <row r="1475">
      <c r="A1475" s="24">
        <f>IF($D1475="","",COUNTA($D$4:$D1475))</f>
        <v/>
      </c>
      <c r="B1475" s="17" t="n"/>
      <c r="C1475" s="30" t="n"/>
      <c r="D1475" s="17" t="n"/>
      <c r="E1475" s="24">
        <f>IF($D1475="","",IFERROR(VLOOKUP($D1475,物料档案!$A$4:$P$1203,3,0),"※编码不在物料档案里"))</f>
        <v/>
      </c>
      <c r="F1475" s="24">
        <f>IF($D1475="","",IFERROR(VLOOKUP($D1475,物料档案!$A$4:$P$1203,4,0),"※编码不在物料档案里"))</f>
        <v/>
      </c>
      <c r="G1475" s="24">
        <f>IF($D1475="","",IFERROR(VLOOKUP($D1475,物料档案!$A$4:$P$1203,5,0),"※编码不在物料档案里"))</f>
        <v/>
      </c>
      <c r="H1475" s="24">
        <f>IF($D1475="","",IFERROR(VLOOKUP($D1475,物料档案!$A$4:$P$1203,2,0),"※编码不在物料档案里"))</f>
        <v/>
      </c>
      <c r="I1475" s="24">
        <f>IF($D1475="","",IFERROR(VLOOKUP($D1475,物料档案!$A$4:$P$1203,6,0),"※编码不在物料档案里"))</f>
        <v/>
      </c>
      <c r="J1475" s="23" t="n"/>
      <c r="K1475" s="17" t="n"/>
      <c r="L1475" s="17" t="n"/>
      <c r="M1475" s="17" t="n"/>
      <c r="N1475" s="17" t="n"/>
      <c r="O1475" s="26">
        <f>IF($D1475="","",IFERROR(VLOOKUP($D1475,物料档案!$A$4:$P$1203,10,0),0))</f>
        <v/>
      </c>
      <c r="P1475" s="32" t="n"/>
      <c r="Q1475" s="26">
        <f>IF($D1475="","",IF($K1475&lt;&gt;"对外销售",0,ROUND(N($J1475)*IF($P1475="",N($O1475),N($P1475)),0)))</f>
        <v/>
      </c>
      <c r="R1475" s="26">
        <f>IF($D1475="","",IFERROR(VLOOKUP($D1475,库存台账!$A$5:$Y$1204,11,0),0))</f>
        <v/>
      </c>
      <c r="S1475" s="26">
        <f>IF($D1475="","",ROUND(N($J1475)*N($R1475),0))</f>
        <v/>
      </c>
      <c r="T1475" s="26">
        <f>IF($D1475="","",IF($K1475&lt;&gt;"对外销售","",ROUND($Q1475-$S1475,0)))</f>
        <v/>
      </c>
      <c r="U1475" s="17" t="n"/>
      <c r="V1475" s="17" t="n"/>
      <c r="W1475" s="24">
        <f>IF($D1475="","",IF($E1475="※编码不在物料档案里","※物料编码不在档案里",IF(N($J1475)&lt;=0,"※出库数量要大于 0",IF($K1475="","※没填去向类型",IF($L1475="","※没填去向矿区",IF(AND($C1475&lt;&gt;"",$C1475&lt;=结账锁),"※日期早于已结账截止日，不能再录",IF(AND($K1475="自用消耗",COUNTIF({"一矿区";"二矿区"},$L1475)=0),"※自用消耗的去向只能是一矿区或二矿区",IF(AND($K1475="对外销售",COUNTIF({"三矿区";"六矿区"},$L1475)=0),"※对外销售的去向只能是三矿区或六矿区",IF(AND($K1475="对外销售",ROUND($Q1475,0)=0),"※外销却没有售价，请填实际售价",IF(AND($K1475="对外销售",$T1475&lt;&gt;"",$T1475&lt;0),"※这一笔外销是亏的，请核对售价",IF(IFERROR(VLOOKUP($D1475,库存台账!$A$5:$Y$1204,24,0),0)&lt;-0.001,"※这个物料账面已经变成负数了，查一下是不是漏记入库","")))))))))))</f>
        <v/>
      </c>
    </row>
    <row r="1476">
      <c r="A1476" s="24">
        <f>IF($D1476="","",COUNTA($D$4:$D1476))</f>
        <v/>
      </c>
      <c r="B1476" s="17" t="n"/>
      <c r="C1476" s="30" t="n"/>
      <c r="D1476" s="17" t="n"/>
      <c r="E1476" s="24">
        <f>IF($D1476="","",IFERROR(VLOOKUP($D1476,物料档案!$A$4:$P$1203,3,0),"※编码不在物料档案里"))</f>
        <v/>
      </c>
      <c r="F1476" s="24">
        <f>IF($D1476="","",IFERROR(VLOOKUP($D1476,物料档案!$A$4:$P$1203,4,0),"※编码不在物料档案里"))</f>
        <v/>
      </c>
      <c r="G1476" s="24">
        <f>IF($D1476="","",IFERROR(VLOOKUP($D1476,物料档案!$A$4:$P$1203,5,0),"※编码不在物料档案里"))</f>
        <v/>
      </c>
      <c r="H1476" s="24">
        <f>IF($D1476="","",IFERROR(VLOOKUP($D1476,物料档案!$A$4:$P$1203,2,0),"※编码不在物料档案里"))</f>
        <v/>
      </c>
      <c r="I1476" s="24">
        <f>IF($D1476="","",IFERROR(VLOOKUP($D1476,物料档案!$A$4:$P$1203,6,0),"※编码不在物料档案里"))</f>
        <v/>
      </c>
      <c r="J1476" s="23" t="n"/>
      <c r="K1476" s="17" t="n"/>
      <c r="L1476" s="17" t="n"/>
      <c r="M1476" s="17" t="n"/>
      <c r="N1476" s="17" t="n"/>
      <c r="O1476" s="26">
        <f>IF($D1476="","",IFERROR(VLOOKUP($D1476,物料档案!$A$4:$P$1203,10,0),0))</f>
        <v/>
      </c>
      <c r="P1476" s="32" t="n"/>
      <c r="Q1476" s="26">
        <f>IF($D1476="","",IF($K1476&lt;&gt;"对外销售",0,ROUND(N($J1476)*IF($P1476="",N($O1476),N($P1476)),0)))</f>
        <v/>
      </c>
      <c r="R1476" s="26">
        <f>IF($D1476="","",IFERROR(VLOOKUP($D1476,库存台账!$A$5:$Y$1204,11,0),0))</f>
        <v/>
      </c>
      <c r="S1476" s="26">
        <f>IF($D1476="","",ROUND(N($J1476)*N($R1476),0))</f>
        <v/>
      </c>
      <c r="T1476" s="26">
        <f>IF($D1476="","",IF($K1476&lt;&gt;"对外销售","",ROUND($Q1476-$S1476,0)))</f>
        <v/>
      </c>
      <c r="U1476" s="17" t="n"/>
      <c r="V1476" s="17" t="n"/>
      <c r="W1476" s="24">
        <f>IF($D1476="","",IF($E1476="※编码不在物料档案里","※物料编码不在档案里",IF(N($J1476)&lt;=0,"※出库数量要大于 0",IF($K1476="","※没填去向类型",IF($L1476="","※没填去向矿区",IF(AND($C1476&lt;&gt;"",$C1476&lt;=结账锁),"※日期早于已结账截止日，不能再录",IF(AND($K1476="自用消耗",COUNTIF({"一矿区";"二矿区"},$L1476)=0),"※自用消耗的去向只能是一矿区或二矿区",IF(AND($K1476="对外销售",COUNTIF({"三矿区";"六矿区"},$L1476)=0),"※对外销售的去向只能是三矿区或六矿区",IF(AND($K1476="对外销售",ROUND($Q1476,0)=0),"※外销却没有售价，请填实际售价",IF(AND($K1476="对外销售",$T1476&lt;&gt;"",$T1476&lt;0),"※这一笔外销是亏的，请核对售价",IF(IFERROR(VLOOKUP($D1476,库存台账!$A$5:$Y$1204,24,0),0)&lt;-0.001,"※这个物料账面已经变成负数了，查一下是不是漏记入库","")))))))))))</f>
        <v/>
      </c>
    </row>
    <row r="1477">
      <c r="A1477" s="24">
        <f>IF($D1477="","",COUNTA($D$4:$D1477))</f>
        <v/>
      </c>
      <c r="B1477" s="17" t="n"/>
      <c r="C1477" s="30" t="n"/>
      <c r="D1477" s="17" t="n"/>
      <c r="E1477" s="24">
        <f>IF($D1477="","",IFERROR(VLOOKUP($D1477,物料档案!$A$4:$P$1203,3,0),"※编码不在物料档案里"))</f>
        <v/>
      </c>
      <c r="F1477" s="24">
        <f>IF($D1477="","",IFERROR(VLOOKUP($D1477,物料档案!$A$4:$P$1203,4,0),"※编码不在物料档案里"))</f>
        <v/>
      </c>
      <c r="G1477" s="24">
        <f>IF($D1477="","",IFERROR(VLOOKUP($D1477,物料档案!$A$4:$P$1203,5,0),"※编码不在物料档案里"))</f>
        <v/>
      </c>
      <c r="H1477" s="24">
        <f>IF($D1477="","",IFERROR(VLOOKUP($D1477,物料档案!$A$4:$P$1203,2,0),"※编码不在物料档案里"))</f>
        <v/>
      </c>
      <c r="I1477" s="24">
        <f>IF($D1477="","",IFERROR(VLOOKUP($D1477,物料档案!$A$4:$P$1203,6,0),"※编码不在物料档案里"))</f>
        <v/>
      </c>
      <c r="J1477" s="23" t="n"/>
      <c r="K1477" s="17" t="n"/>
      <c r="L1477" s="17" t="n"/>
      <c r="M1477" s="17" t="n"/>
      <c r="N1477" s="17" t="n"/>
      <c r="O1477" s="26">
        <f>IF($D1477="","",IFERROR(VLOOKUP($D1477,物料档案!$A$4:$P$1203,10,0),0))</f>
        <v/>
      </c>
      <c r="P1477" s="32" t="n"/>
      <c r="Q1477" s="26">
        <f>IF($D1477="","",IF($K1477&lt;&gt;"对外销售",0,ROUND(N($J1477)*IF($P1477="",N($O1477),N($P1477)),0)))</f>
        <v/>
      </c>
      <c r="R1477" s="26">
        <f>IF($D1477="","",IFERROR(VLOOKUP($D1477,库存台账!$A$5:$Y$1204,11,0),0))</f>
        <v/>
      </c>
      <c r="S1477" s="26">
        <f>IF($D1477="","",ROUND(N($J1477)*N($R1477),0))</f>
        <v/>
      </c>
      <c r="T1477" s="26">
        <f>IF($D1477="","",IF($K1477&lt;&gt;"对外销售","",ROUND($Q1477-$S1477,0)))</f>
        <v/>
      </c>
      <c r="U1477" s="17" t="n"/>
      <c r="V1477" s="17" t="n"/>
      <c r="W1477" s="24">
        <f>IF($D1477="","",IF($E1477="※编码不在物料档案里","※物料编码不在档案里",IF(N($J1477)&lt;=0,"※出库数量要大于 0",IF($K1477="","※没填去向类型",IF($L1477="","※没填去向矿区",IF(AND($C1477&lt;&gt;"",$C1477&lt;=结账锁),"※日期早于已结账截止日，不能再录",IF(AND($K1477="自用消耗",COUNTIF({"一矿区";"二矿区"},$L1477)=0),"※自用消耗的去向只能是一矿区或二矿区",IF(AND($K1477="对外销售",COUNTIF({"三矿区";"六矿区"},$L1477)=0),"※对外销售的去向只能是三矿区或六矿区",IF(AND($K1477="对外销售",ROUND($Q1477,0)=0),"※外销却没有售价，请填实际售价",IF(AND($K1477="对外销售",$T1477&lt;&gt;"",$T1477&lt;0),"※这一笔外销是亏的，请核对售价",IF(IFERROR(VLOOKUP($D1477,库存台账!$A$5:$Y$1204,24,0),0)&lt;-0.001,"※这个物料账面已经变成负数了，查一下是不是漏记入库","")))))))))))</f>
        <v/>
      </c>
    </row>
    <row r="1478">
      <c r="A1478" s="24">
        <f>IF($D1478="","",COUNTA($D$4:$D1478))</f>
        <v/>
      </c>
      <c r="B1478" s="17" t="n"/>
      <c r="C1478" s="30" t="n"/>
      <c r="D1478" s="17" t="n"/>
      <c r="E1478" s="24">
        <f>IF($D1478="","",IFERROR(VLOOKUP($D1478,物料档案!$A$4:$P$1203,3,0),"※编码不在物料档案里"))</f>
        <v/>
      </c>
      <c r="F1478" s="24">
        <f>IF($D1478="","",IFERROR(VLOOKUP($D1478,物料档案!$A$4:$P$1203,4,0),"※编码不在物料档案里"))</f>
        <v/>
      </c>
      <c r="G1478" s="24">
        <f>IF($D1478="","",IFERROR(VLOOKUP($D1478,物料档案!$A$4:$P$1203,5,0),"※编码不在物料档案里"))</f>
        <v/>
      </c>
      <c r="H1478" s="24">
        <f>IF($D1478="","",IFERROR(VLOOKUP($D1478,物料档案!$A$4:$P$1203,2,0),"※编码不在物料档案里"))</f>
        <v/>
      </c>
      <c r="I1478" s="24">
        <f>IF($D1478="","",IFERROR(VLOOKUP($D1478,物料档案!$A$4:$P$1203,6,0),"※编码不在物料档案里"))</f>
        <v/>
      </c>
      <c r="J1478" s="23" t="n"/>
      <c r="K1478" s="17" t="n"/>
      <c r="L1478" s="17" t="n"/>
      <c r="M1478" s="17" t="n"/>
      <c r="N1478" s="17" t="n"/>
      <c r="O1478" s="26">
        <f>IF($D1478="","",IFERROR(VLOOKUP($D1478,物料档案!$A$4:$P$1203,10,0),0))</f>
        <v/>
      </c>
      <c r="P1478" s="32" t="n"/>
      <c r="Q1478" s="26">
        <f>IF($D1478="","",IF($K1478&lt;&gt;"对外销售",0,ROUND(N($J1478)*IF($P1478="",N($O1478),N($P1478)),0)))</f>
        <v/>
      </c>
      <c r="R1478" s="26">
        <f>IF($D1478="","",IFERROR(VLOOKUP($D1478,库存台账!$A$5:$Y$1204,11,0),0))</f>
        <v/>
      </c>
      <c r="S1478" s="26">
        <f>IF($D1478="","",ROUND(N($J1478)*N($R1478),0))</f>
        <v/>
      </c>
      <c r="T1478" s="26">
        <f>IF($D1478="","",IF($K1478&lt;&gt;"对外销售","",ROUND($Q1478-$S1478,0)))</f>
        <v/>
      </c>
      <c r="U1478" s="17" t="n"/>
      <c r="V1478" s="17" t="n"/>
      <c r="W1478" s="24">
        <f>IF($D1478="","",IF($E1478="※编码不在物料档案里","※物料编码不在档案里",IF(N($J1478)&lt;=0,"※出库数量要大于 0",IF($K1478="","※没填去向类型",IF($L1478="","※没填去向矿区",IF(AND($C1478&lt;&gt;"",$C1478&lt;=结账锁),"※日期早于已结账截止日，不能再录",IF(AND($K1478="自用消耗",COUNTIF({"一矿区";"二矿区"},$L1478)=0),"※自用消耗的去向只能是一矿区或二矿区",IF(AND($K1478="对外销售",COUNTIF({"三矿区";"六矿区"},$L1478)=0),"※对外销售的去向只能是三矿区或六矿区",IF(AND($K1478="对外销售",ROUND($Q1478,0)=0),"※外销却没有售价，请填实际售价",IF(AND($K1478="对外销售",$T1478&lt;&gt;"",$T1478&lt;0),"※这一笔外销是亏的，请核对售价",IF(IFERROR(VLOOKUP($D1478,库存台账!$A$5:$Y$1204,24,0),0)&lt;-0.001,"※这个物料账面已经变成负数了，查一下是不是漏记入库","")))))))))))</f>
        <v/>
      </c>
    </row>
    <row r="1479">
      <c r="A1479" s="24">
        <f>IF($D1479="","",COUNTA($D$4:$D1479))</f>
        <v/>
      </c>
      <c r="B1479" s="17" t="n"/>
      <c r="C1479" s="30" t="n"/>
      <c r="D1479" s="17" t="n"/>
      <c r="E1479" s="24">
        <f>IF($D1479="","",IFERROR(VLOOKUP($D1479,物料档案!$A$4:$P$1203,3,0),"※编码不在物料档案里"))</f>
        <v/>
      </c>
      <c r="F1479" s="24">
        <f>IF($D1479="","",IFERROR(VLOOKUP($D1479,物料档案!$A$4:$P$1203,4,0),"※编码不在物料档案里"))</f>
        <v/>
      </c>
      <c r="G1479" s="24">
        <f>IF($D1479="","",IFERROR(VLOOKUP($D1479,物料档案!$A$4:$P$1203,5,0),"※编码不在物料档案里"))</f>
        <v/>
      </c>
      <c r="H1479" s="24">
        <f>IF($D1479="","",IFERROR(VLOOKUP($D1479,物料档案!$A$4:$P$1203,2,0),"※编码不在物料档案里"))</f>
        <v/>
      </c>
      <c r="I1479" s="24">
        <f>IF($D1479="","",IFERROR(VLOOKUP($D1479,物料档案!$A$4:$P$1203,6,0),"※编码不在物料档案里"))</f>
        <v/>
      </c>
      <c r="J1479" s="23" t="n"/>
      <c r="K1479" s="17" t="n"/>
      <c r="L1479" s="17" t="n"/>
      <c r="M1479" s="17" t="n"/>
      <c r="N1479" s="17" t="n"/>
      <c r="O1479" s="26">
        <f>IF($D1479="","",IFERROR(VLOOKUP($D1479,物料档案!$A$4:$P$1203,10,0),0))</f>
        <v/>
      </c>
      <c r="P1479" s="32" t="n"/>
      <c r="Q1479" s="26">
        <f>IF($D1479="","",IF($K1479&lt;&gt;"对外销售",0,ROUND(N($J1479)*IF($P1479="",N($O1479),N($P1479)),0)))</f>
        <v/>
      </c>
      <c r="R1479" s="26">
        <f>IF($D1479="","",IFERROR(VLOOKUP($D1479,库存台账!$A$5:$Y$1204,11,0),0))</f>
        <v/>
      </c>
      <c r="S1479" s="26">
        <f>IF($D1479="","",ROUND(N($J1479)*N($R1479),0))</f>
        <v/>
      </c>
      <c r="T1479" s="26">
        <f>IF($D1479="","",IF($K1479&lt;&gt;"对外销售","",ROUND($Q1479-$S1479,0)))</f>
        <v/>
      </c>
      <c r="U1479" s="17" t="n"/>
      <c r="V1479" s="17" t="n"/>
      <c r="W1479" s="24">
        <f>IF($D1479="","",IF($E1479="※编码不在物料档案里","※物料编码不在档案里",IF(N($J1479)&lt;=0,"※出库数量要大于 0",IF($K1479="","※没填去向类型",IF($L1479="","※没填去向矿区",IF(AND($C1479&lt;&gt;"",$C1479&lt;=结账锁),"※日期早于已结账截止日，不能再录",IF(AND($K1479="自用消耗",COUNTIF({"一矿区";"二矿区"},$L1479)=0),"※自用消耗的去向只能是一矿区或二矿区",IF(AND($K1479="对外销售",COUNTIF({"三矿区";"六矿区"},$L1479)=0),"※对外销售的去向只能是三矿区或六矿区",IF(AND($K1479="对外销售",ROUND($Q1479,0)=0),"※外销却没有售价，请填实际售价",IF(AND($K1479="对外销售",$T1479&lt;&gt;"",$T1479&lt;0),"※这一笔外销是亏的，请核对售价",IF(IFERROR(VLOOKUP($D1479,库存台账!$A$5:$Y$1204,24,0),0)&lt;-0.001,"※这个物料账面已经变成负数了，查一下是不是漏记入库","")))))))))))</f>
        <v/>
      </c>
    </row>
    <row r="1480">
      <c r="A1480" s="24">
        <f>IF($D1480="","",COUNTA($D$4:$D1480))</f>
        <v/>
      </c>
      <c r="B1480" s="17" t="n"/>
      <c r="C1480" s="30" t="n"/>
      <c r="D1480" s="17" t="n"/>
      <c r="E1480" s="24">
        <f>IF($D1480="","",IFERROR(VLOOKUP($D1480,物料档案!$A$4:$P$1203,3,0),"※编码不在物料档案里"))</f>
        <v/>
      </c>
      <c r="F1480" s="24">
        <f>IF($D1480="","",IFERROR(VLOOKUP($D1480,物料档案!$A$4:$P$1203,4,0),"※编码不在物料档案里"))</f>
        <v/>
      </c>
      <c r="G1480" s="24">
        <f>IF($D1480="","",IFERROR(VLOOKUP($D1480,物料档案!$A$4:$P$1203,5,0),"※编码不在物料档案里"))</f>
        <v/>
      </c>
      <c r="H1480" s="24">
        <f>IF($D1480="","",IFERROR(VLOOKUP($D1480,物料档案!$A$4:$P$1203,2,0),"※编码不在物料档案里"))</f>
        <v/>
      </c>
      <c r="I1480" s="24">
        <f>IF($D1480="","",IFERROR(VLOOKUP($D1480,物料档案!$A$4:$P$1203,6,0),"※编码不在物料档案里"))</f>
        <v/>
      </c>
      <c r="J1480" s="23" t="n"/>
      <c r="K1480" s="17" t="n"/>
      <c r="L1480" s="17" t="n"/>
      <c r="M1480" s="17" t="n"/>
      <c r="N1480" s="17" t="n"/>
      <c r="O1480" s="26">
        <f>IF($D1480="","",IFERROR(VLOOKUP($D1480,物料档案!$A$4:$P$1203,10,0),0))</f>
        <v/>
      </c>
      <c r="P1480" s="32" t="n"/>
      <c r="Q1480" s="26">
        <f>IF($D1480="","",IF($K1480&lt;&gt;"对外销售",0,ROUND(N($J1480)*IF($P1480="",N($O1480),N($P1480)),0)))</f>
        <v/>
      </c>
      <c r="R1480" s="26">
        <f>IF($D1480="","",IFERROR(VLOOKUP($D1480,库存台账!$A$5:$Y$1204,11,0),0))</f>
        <v/>
      </c>
      <c r="S1480" s="26">
        <f>IF($D1480="","",ROUND(N($J1480)*N($R1480),0))</f>
        <v/>
      </c>
      <c r="T1480" s="26">
        <f>IF($D1480="","",IF($K1480&lt;&gt;"对外销售","",ROUND($Q1480-$S1480,0)))</f>
        <v/>
      </c>
      <c r="U1480" s="17" t="n"/>
      <c r="V1480" s="17" t="n"/>
      <c r="W1480" s="24">
        <f>IF($D1480="","",IF($E1480="※编码不在物料档案里","※物料编码不在档案里",IF(N($J1480)&lt;=0,"※出库数量要大于 0",IF($K1480="","※没填去向类型",IF($L1480="","※没填去向矿区",IF(AND($C1480&lt;&gt;"",$C1480&lt;=结账锁),"※日期早于已结账截止日，不能再录",IF(AND($K1480="自用消耗",COUNTIF({"一矿区";"二矿区"},$L1480)=0),"※自用消耗的去向只能是一矿区或二矿区",IF(AND($K1480="对外销售",COUNTIF({"三矿区";"六矿区"},$L1480)=0),"※对外销售的去向只能是三矿区或六矿区",IF(AND($K1480="对外销售",ROUND($Q1480,0)=0),"※外销却没有售价，请填实际售价",IF(AND($K1480="对外销售",$T1480&lt;&gt;"",$T1480&lt;0),"※这一笔外销是亏的，请核对售价",IF(IFERROR(VLOOKUP($D1480,库存台账!$A$5:$Y$1204,24,0),0)&lt;-0.001,"※这个物料账面已经变成负数了，查一下是不是漏记入库","")))))))))))</f>
        <v/>
      </c>
    </row>
    <row r="1481">
      <c r="A1481" s="24">
        <f>IF($D1481="","",COUNTA($D$4:$D1481))</f>
        <v/>
      </c>
      <c r="B1481" s="17" t="n"/>
      <c r="C1481" s="30" t="n"/>
      <c r="D1481" s="17" t="n"/>
      <c r="E1481" s="24">
        <f>IF($D1481="","",IFERROR(VLOOKUP($D1481,物料档案!$A$4:$P$1203,3,0),"※编码不在物料档案里"))</f>
        <v/>
      </c>
      <c r="F1481" s="24">
        <f>IF($D1481="","",IFERROR(VLOOKUP($D1481,物料档案!$A$4:$P$1203,4,0),"※编码不在物料档案里"))</f>
        <v/>
      </c>
      <c r="G1481" s="24">
        <f>IF($D1481="","",IFERROR(VLOOKUP($D1481,物料档案!$A$4:$P$1203,5,0),"※编码不在物料档案里"))</f>
        <v/>
      </c>
      <c r="H1481" s="24">
        <f>IF($D1481="","",IFERROR(VLOOKUP($D1481,物料档案!$A$4:$P$1203,2,0),"※编码不在物料档案里"))</f>
        <v/>
      </c>
      <c r="I1481" s="24">
        <f>IF($D1481="","",IFERROR(VLOOKUP($D1481,物料档案!$A$4:$P$1203,6,0),"※编码不在物料档案里"))</f>
        <v/>
      </c>
      <c r="J1481" s="23" t="n"/>
      <c r="K1481" s="17" t="n"/>
      <c r="L1481" s="17" t="n"/>
      <c r="M1481" s="17" t="n"/>
      <c r="N1481" s="17" t="n"/>
      <c r="O1481" s="26">
        <f>IF($D1481="","",IFERROR(VLOOKUP($D1481,物料档案!$A$4:$P$1203,10,0),0))</f>
        <v/>
      </c>
      <c r="P1481" s="32" t="n"/>
      <c r="Q1481" s="26">
        <f>IF($D1481="","",IF($K1481&lt;&gt;"对外销售",0,ROUND(N($J1481)*IF($P1481="",N($O1481),N($P1481)),0)))</f>
        <v/>
      </c>
      <c r="R1481" s="26">
        <f>IF($D1481="","",IFERROR(VLOOKUP($D1481,库存台账!$A$5:$Y$1204,11,0),0))</f>
        <v/>
      </c>
      <c r="S1481" s="26">
        <f>IF($D1481="","",ROUND(N($J1481)*N($R1481),0))</f>
        <v/>
      </c>
      <c r="T1481" s="26">
        <f>IF($D1481="","",IF($K1481&lt;&gt;"对外销售","",ROUND($Q1481-$S1481,0)))</f>
        <v/>
      </c>
      <c r="U1481" s="17" t="n"/>
      <c r="V1481" s="17" t="n"/>
      <c r="W1481" s="24">
        <f>IF($D1481="","",IF($E1481="※编码不在物料档案里","※物料编码不在档案里",IF(N($J1481)&lt;=0,"※出库数量要大于 0",IF($K1481="","※没填去向类型",IF($L1481="","※没填去向矿区",IF(AND($C1481&lt;&gt;"",$C1481&lt;=结账锁),"※日期早于已结账截止日，不能再录",IF(AND($K1481="自用消耗",COUNTIF({"一矿区";"二矿区"},$L1481)=0),"※自用消耗的去向只能是一矿区或二矿区",IF(AND($K1481="对外销售",COUNTIF({"三矿区";"六矿区"},$L1481)=0),"※对外销售的去向只能是三矿区或六矿区",IF(AND($K1481="对外销售",ROUND($Q1481,0)=0),"※外销却没有售价，请填实际售价",IF(AND($K1481="对外销售",$T1481&lt;&gt;"",$T1481&lt;0),"※这一笔外销是亏的，请核对售价",IF(IFERROR(VLOOKUP($D1481,库存台账!$A$5:$Y$1204,24,0),0)&lt;-0.001,"※这个物料账面已经变成负数了，查一下是不是漏记入库","")))))))))))</f>
        <v/>
      </c>
    </row>
    <row r="1482">
      <c r="A1482" s="24">
        <f>IF($D1482="","",COUNTA($D$4:$D1482))</f>
        <v/>
      </c>
      <c r="B1482" s="17" t="n"/>
      <c r="C1482" s="30" t="n"/>
      <c r="D1482" s="17" t="n"/>
      <c r="E1482" s="24">
        <f>IF($D1482="","",IFERROR(VLOOKUP($D1482,物料档案!$A$4:$P$1203,3,0),"※编码不在物料档案里"))</f>
        <v/>
      </c>
      <c r="F1482" s="24">
        <f>IF($D1482="","",IFERROR(VLOOKUP($D1482,物料档案!$A$4:$P$1203,4,0),"※编码不在物料档案里"))</f>
        <v/>
      </c>
      <c r="G1482" s="24">
        <f>IF($D1482="","",IFERROR(VLOOKUP($D1482,物料档案!$A$4:$P$1203,5,0),"※编码不在物料档案里"))</f>
        <v/>
      </c>
      <c r="H1482" s="24">
        <f>IF($D1482="","",IFERROR(VLOOKUP($D1482,物料档案!$A$4:$P$1203,2,0),"※编码不在物料档案里"))</f>
        <v/>
      </c>
      <c r="I1482" s="24">
        <f>IF($D1482="","",IFERROR(VLOOKUP($D1482,物料档案!$A$4:$P$1203,6,0),"※编码不在物料档案里"))</f>
        <v/>
      </c>
      <c r="J1482" s="23" t="n"/>
      <c r="K1482" s="17" t="n"/>
      <c r="L1482" s="17" t="n"/>
      <c r="M1482" s="17" t="n"/>
      <c r="N1482" s="17" t="n"/>
      <c r="O1482" s="26">
        <f>IF($D1482="","",IFERROR(VLOOKUP($D1482,物料档案!$A$4:$P$1203,10,0),0))</f>
        <v/>
      </c>
      <c r="P1482" s="32" t="n"/>
      <c r="Q1482" s="26">
        <f>IF($D1482="","",IF($K1482&lt;&gt;"对外销售",0,ROUND(N($J1482)*IF($P1482="",N($O1482),N($P1482)),0)))</f>
        <v/>
      </c>
      <c r="R1482" s="26">
        <f>IF($D1482="","",IFERROR(VLOOKUP($D1482,库存台账!$A$5:$Y$1204,11,0),0))</f>
        <v/>
      </c>
      <c r="S1482" s="26">
        <f>IF($D1482="","",ROUND(N($J1482)*N($R1482),0))</f>
        <v/>
      </c>
      <c r="T1482" s="26">
        <f>IF($D1482="","",IF($K1482&lt;&gt;"对外销售","",ROUND($Q1482-$S1482,0)))</f>
        <v/>
      </c>
      <c r="U1482" s="17" t="n"/>
      <c r="V1482" s="17" t="n"/>
      <c r="W1482" s="24">
        <f>IF($D1482="","",IF($E1482="※编码不在物料档案里","※物料编码不在档案里",IF(N($J1482)&lt;=0,"※出库数量要大于 0",IF($K1482="","※没填去向类型",IF($L1482="","※没填去向矿区",IF(AND($C1482&lt;&gt;"",$C1482&lt;=结账锁),"※日期早于已结账截止日，不能再录",IF(AND($K1482="自用消耗",COUNTIF({"一矿区";"二矿区"},$L1482)=0),"※自用消耗的去向只能是一矿区或二矿区",IF(AND($K1482="对外销售",COUNTIF({"三矿区";"六矿区"},$L1482)=0),"※对外销售的去向只能是三矿区或六矿区",IF(AND($K1482="对外销售",ROUND($Q1482,0)=0),"※外销却没有售价，请填实际售价",IF(AND($K1482="对外销售",$T1482&lt;&gt;"",$T1482&lt;0),"※这一笔外销是亏的，请核对售价",IF(IFERROR(VLOOKUP($D1482,库存台账!$A$5:$Y$1204,24,0),0)&lt;-0.001,"※这个物料账面已经变成负数了，查一下是不是漏记入库","")))))))))))</f>
        <v/>
      </c>
    </row>
    <row r="1483">
      <c r="A1483" s="24">
        <f>IF($D1483="","",COUNTA($D$4:$D1483))</f>
        <v/>
      </c>
      <c r="B1483" s="17" t="n"/>
      <c r="C1483" s="30" t="n"/>
      <c r="D1483" s="17" t="n"/>
      <c r="E1483" s="24">
        <f>IF($D1483="","",IFERROR(VLOOKUP($D1483,物料档案!$A$4:$P$1203,3,0),"※编码不在物料档案里"))</f>
        <v/>
      </c>
      <c r="F1483" s="24">
        <f>IF($D1483="","",IFERROR(VLOOKUP($D1483,物料档案!$A$4:$P$1203,4,0),"※编码不在物料档案里"))</f>
        <v/>
      </c>
      <c r="G1483" s="24">
        <f>IF($D1483="","",IFERROR(VLOOKUP($D1483,物料档案!$A$4:$P$1203,5,0),"※编码不在物料档案里"))</f>
        <v/>
      </c>
      <c r="H1483" s="24">
        <f>IF($D1483="","",IFERROR(VLOOKUP($D1483,物料档案!$A$4:$P$1203,2,0),"※编码不在物料档案里"))</f>
        <v/>
      </c>
      <c r="I1483" s="24">
        <f>IF($D1483="","",IFERROR(VLOOKUP($D1483,物料档案!$A$4:$P$1203,6,0),"※编码不在物料档案里"))</f>
        <v/>
      </c>
      <c r="J1483" s="23" t="n"/>
      <c r="K1483" s="17" t="n"/>
      <c r="L1483" s="17" t="n"/>
      <c r="M1483" s="17" t="n"/>
      <c r="N1483" s="17" t="n"/>
      <c r="O1483" s="26">
        <f>IF($D1483="","",IFERROR(VLOOKUP($D1483,物料档案!$A$4:$P$1203,10,0),0))</f>
        <v/>
      </c>
      <c r="P1483" s="32" t="n"/>
      <c r="Q1483" s="26">
        <f>IF($D1483="","",IF($K1483&lt;&gt;"对外销售",0,ROUND(N($J1483)*IF($P1483="",N($O1483),N($P1483)),0)))</f>
        <v/>
      </c>
      <c r="R1483" s="26">
        <f>IF($D1483="","",IFERROR(VLOOKUP($D1483,库存台账!$A$5:$Y$1204,11,0),0))</f>
        <v/>
      </c>
      <c r="S1483" s="26">
        <f>IF($D1483="","",ROUND(N($J1483)*N($R1483),0))</f>
        <v/>
      </c>
      <c r="T1483" s="26">
        <f>IF($D1483="","",IF($K1483&lt;&gt;"对外销售","",ROUND($Q1483-$S1483,0)))</f>
        <v/>
      </c>
      <c r="U1483" s="17" t="n"/>
      <c r="V1483" s="17" t="n"/>
      <c r="W1483" s="24">
        <f>IF($D1483="","",IF($E1483="※编码不在物料档案里","※物料编码不在档案里",IF(N($J1483)&lt;=0,"※出库数量要大于 0",IF($K1483="","※没填去向类型",IF($L1483="","※没填去向矿区",IF(AND($C1483&lt;&gt;"",$C1483&lt;=结账锁),"※日期早于已结账截止日，不能再录",IF(AND($K1483="自用消耗",COUNTIF({"一矿区";"二矿区"},$L1483)=0),"※自用消耗的去向只能是一矿区或二矿区",IF(AND($K1483="对外销售",COUNTIF({"三矿区";"六矿区"},$L1483)=0),"※对外销售的去向只能是三矿区或六矿区",IF(AND($K1483="对外销售",ROUND($Q1483,0)=0),"※外销却没有售价，请填实际售价",IF(AND($K1483="对外销售",$T1483&lt;&gt;"",$T1483&lt;0),"※这一笔外销是亏的，请核对售价",IF(IFERROR(VLOOKUP($D1483,库存台账!$A$5:$Y$1204,24,0),0)&lt;-0.001,"※这个物料账面已经变成负数了，查一下是不是漏记入库","")))))))))))</f>
        <v/>
      </c>
    </row>
    <row r="1484">
      <c r="A1484" s="24">
        <f>IF($D1484="","",COUNTA($D$4:$D1484))</f>
        <v/>
      </c>
      <c r="B1484" s="17" t="n"/>
      <c r="C1484" s="30" t="n"/>
      <c r="D1484" s="17" t="n"/>
      <c r="E1484" s="24">
        <f>IF($D1484="","",IFERROR(VLOOKUP($D1484,物料档案!$A$4:$P$1203,3,0),"※编码不在物料档案里"))</f>
        <v/>
      </c>
      <c r="F1484" s="24">
        <f>IF($D1484="","",IFERROR(VLOOKUP($D1484,物料档案!$A$4:$P$1203,4,0),"※编码不在物料档案里"))</f>
        <v/>
      </c>
      <c r="G1484" s="24">
        <f>IF($D1484="","",IFERROR(VLOOKUP($D1484,物料档案!$A$4:$P$1203,5,0),"※编码不在物料档案里"))</f>
        <v/>
      </c>
      <c r="H1484" s="24">
        <f>IF($D1484="","",IFERROR(VLOOKUP($D1484,物料档案!$A$4:$P$1203,2,0),"※编码不在物料档案里"))</f>
        <v/>
      </c>
      <c r="I1484" s="24">
        <f>IF($D1484="","",IFERROR(VLOOKUP($D1484,物料档案!$A$4:$P$1203,6,0),"※编码不在物料档案里"))</f>
        <v/>
      </c>
      <c r="J1484" s="23" t="n"/>
      <c r="K1484" s="17" t="n"/>
      <c r="L1484" s="17" t="n"/>
      <c r="M1484" s="17" t="n"/>
      <c r="N1484" s="17" t="n"/>
      <c r="O1484" s="26">
        <f>IF($D1484="","",IFERROR(VLOOKUP($D1484,物料档案!$A$4:$P$1203,10,0),0))</f>
        <v/>
      </c>
      <c r="P1484" s="32" t="n"/>
      <c r="Q1484" s="26">
        <f>IF($D1484="","",IF($K1484&lt;&gt;"对外销售",0,ROUND(N($J1484)*IF($P1484="",N($O1484),N($P1484)),0)))</f>
        <v/>
      </c>
      <c r="R1484" s="26">
        <f>IF($D1484="","",IFERROR(VLOOKUP($D1484,库存台账!$A$5:$Y$1204,11,0),0))</f>
        <v/>
      </c>
      <c r="S1484" s="26">
        <f>IF($D1484="","",ROUND(N($J1484)*N($R1484),0))</f>
        <v/>
      </c>
      <c r="T1484" s="26">
        <f>IF($D1484="","",IF($K1484&lt;&gt;"对外销售","",ROUND($Q1484-$S1484,0)))</f>
        <v/>
      </c>
      <c r="U1484" s="17" t="n"/>
      <c r="V1484" s="17" t="n"/>
      <c r="W1484" s="24">
        <f>IF($D1484="","",IF($E1484="※编码不在物料档案里","※物料编码不在档案里",IF(N($J1484)&lt;=0,"※出库数量要大于 0",IF($K1484="","※没填去向类型",IF($L1484="","※没填去向矿区",IF(AND($C1484&lt;&gt;"",$C1484&lt;=结账锁),"※日期早于已结账截止日，不能再录",IF(AND($K1484="自用消耗",COUNTIF({"一矿区";"二矿区"},$L1484)=0),"※自用消耗的去向只能是一矿区或二矿区",IF(AND($K1484="对外销售",COUNTIF({"三矿区";"六矿区"},$L1484)=0),"※对外销售的去向只能是三矿区或六矿区",IF(AND($K1484="对外销售",ROUND($Q1484,0)=0),"※外销却没有售价，请填实际售价",IF(AND($K1484="对外销售",$T1484&lt;&gt;"",$T1484&lt;0),"※这一笔外销是亏的，请核对售价",IF(IFERROR(VLOOKUP($D1484,库存台账!$A$5:$Y$1204,24,0),0)&lt;-0.001,"※这个物料账面已经变成负数了，查一下是不是漏记入库","")))))))))))</f>
        <v/>
      </c>
    </row>
    <row r="1485">
      <c r="A1485" s="24">
        <f>IF($D1485="","",COUNTA($D$4:$D1485))</f>
        <v/>
      </c>
      <c r="B1485" s="17" t="n"/>
      <c r="C1485" s="30" t="n"/>
      <c r="D1485" s="17" t="n"/>
      <c r="E1485" s="24">
        <f>IF($D1485="","",IFERROR(VLOOKUP($D1485,物料档案!$A$4:$P$1203,3,0),"※编码不在物料档案里"))</f>
        <v/>
      </c>
      <c r="F1485" s="24">
        <f>IF($D1485="","",IFERROR(VLOOKUP($D1485,物料档案!$A$4:$P$1203,4,0),"※编码不在物料档案里"))</f>
        <v/>
      </c>
      <c r="G1485" s="24">
        <f>IF($D1485="","",IFERROR(VLOOKUP($D1485,物料档案!$A$4:$P$1203,5,0),"※编码不在物料档案里"))</f>
        <v/>
      </c>
      <c r="H1485" s="24">
        <f>IF($D1485="","",IFERROR(VLOOKUP($D1485,物料档案!$A$4:$P$1203,2,0),"※编码不在物料档案里"))</f>
        <v/>
      </c>
      <c r="I1485" s="24">
        <f>IF($D1485="","",IFERROR(VLOOKUP($D1485,物料档案!$A$4:$P$1203,6,0),"※编码不在物料档案里"))</f>
        <v/>
      </c>
      <c r="J1485" s="23" t="n"/>
      <c r="K1485" s="17" t="n"/>
      <c r="L1485" s="17" t="n"/>
      <c r="M1485" s="17" t="n"/>
      <c r="N1485" s="17" t="n"/>
      <c r="O1485" s="26">
        <f>IF($D1485="","",IFERROR(VLOOKUP($D1485,物料档案!$A$4:$P$1203,10,0),0))</f>
        <v/>
      </c>
      <c r="P1485" s="32" t="n"/>
      <c r="Q1485" s="26">
        <f>IF($D1485="","",IF($K1485&lt;&gt;"对外销售",0,ROUND(N($J1485)*IF($P1485="",N($O1485),N($P1485)),0)))</f>
        <v/>
      </c>
      <c r="R1485" s="26">
        <f>IF($D1485="","",IFERROR(VLOOKUP($D1485,库存台账!$A$5:$Y$1204,11,0),0))</f>
        <v/>
      </c>
      <c r="S1485" s="26">
        <f>IF($D1485="","",ROUND(N($J1485)*N($R1485),0))</f>
        <v/>
      </c>
      <c r="T1485" s="26">
        <f>IF($D1485="","",IF($K1485&lt;&gt;"对外销售","",ROUND($Q1485-$S1485,0)))</f>
        <v/>
      </c>
      <c r="U1485" s="17" t="n"/>
      <c r="V1485" s="17" t="n"/>
      <c r="W1485" s="24">
        <f>IF($D1485="","",IF($E1485="※编码不在物料档案里","※物料编码不在档案里",IF(N($J1485)&lt;=0,"※出库数量要大于 0",IF($K1485="","※没填去向类型",IF($L1485="","※没填去向矿区",IF(AND($C1485&lt;&gt;"",$C1485&lt;=结账锁),"※日期早于已结账截止日，不能再录",IF(AND($K1485="自用消耗",COUNTIF({"一矿区";"二矿区"},$L1485)=0),"※自用消耗的去向只能是一矿区或二矿区",IF(AND($K1485="对外销售",COUNTIF({"三矿区";"六矿区"},$L1485)=0),"※对外销售的去向只能是三矿区或六矿区",IF(AND($K1485="对外销售",ROUND($Q1485,0)=0),"※外销却没有售价，请填实际售价",IF(AND($K1485="对外销售",$T1485&lt;&gt;"",$T1485&lt;0),"※这一笔外销是亏的，请核对售价",IF(IFERROR(VLOOKUP($D1485,库存台账!$A$5:$Y$1204,24,0),0)&lt;-0.001,"※这个物料账面已经变成负数了，查一下是不是漏记入库","")))))))))))</f>
        <v/>
      </c>
    </row>
    <row r="1486">
      <c r="A1486" s="24">
        <f>IF($D1486="","",COUNTA($D$4:$D1486))</f>
        <v/>
      </c>
      <c r="B1486" s="17" t="n"/>
      <c r="C1486" s="30" t="n"/>
      <c r="D1486" s="17" t="n"/>
      <c r="E1486" s="24">
        <f>IF($D1486="","",IFERROR(VLOOKUP($D1486,物料档案!$A$4:$P$1203,3,0),"※编码不在物料档案里"))</f>
        <v/>
      </c>
      <c r="F1486" s="24">
        <f>IF($D1486="","",IFERROR(VLOOKUP($D1486,物料档案!$A$4:$P$1203,4,0),"※编码不在物料档案里"))</f>
        <v/>
      </c>
      <c r="G1486" s="24">
        <f>IF($D1486="","",IFERROR(VLOOKUP($D1486,物料档案!$A$4:$P$1203,5,0),"※编码不在物料档案里"))</f>
        <v/>
      </c>
      <c r="H1486" s="24">
        <f>IF($D1486="","",IFERROR(VLOOKUP($D1486,物料档案!$A$4:$P$1203,2,0),"※编码不在物料档案里"))</f>
        <v/>
      </c>
      <c r="I1486" s="24">
        <f>IF($D1486="","",IFERROR(VLOOKUP($D1486,物料档案!$A$4:$P$1203,6,0),"※编码不在物料档案里"))</f>
        <v/>
      </c>
      <c r="J1486" s="23" t="n"/>
      <c r="K1486" s="17" t="n"/>
      <c r="L1486" s="17" t="n"/>
      <c r="M1486" s="17" t="n"/>
      <c r="N1486" s="17" t="n"/>
      <c r="O1486" s="26">
        <f>IF($D1486="","",IFERROR(VLOOKUP($D1486,物料档案!$A$4:$P$1203,10,0),0))</f>
        <v/>
      </c>
      <c r="P1486" s="32" t="n"/>
      <c r="Q1486" s="26">
        <f>IF($D1486="","",IF($K1486&lt;&gt;"对外销售",0,ROUND(N($J1486)*IF($P1486="",N($O1486),N($P1486)),0)))</f>
        <v/>
      </c>
      <c r="R1486" s="26">
        <f>IF($D1486="","",IFERROR(VLOOKUP($D1486,库存台账!$A$5:$Y$1204,11,0),0))</f>
        <v/>
      </c>
      <c r="S1486" s="26">
        <f>IF($D1486="","",ROUND(N($J1486)*N($R1486),0))</f>
        <v/>
      </c>
      <c r="T1486" s="26">
        <f>IF($D1486="","",IF($K1486&lt;&gt;"对外销售","",ROUND($Q1486-$S1486,0)))</f>
        <v/>
      </c>
      <c r="U1486" s="17" t="n"/>
      <c r="V1486" s="17" t="n"/>
      <c r="W1486" s="24">
        <f>IF($D1486="","",IF($E1486="※编码不在物料档案里","※物料编码不在档案里",IF(N($J1486)&lt;=0,"※出库数量要大于 0",IF($K1486="","※没填去向类型",IF($L1486="","※没填去向矿区",IF(AND($C1486&lt;&gt;"",$C1486&lt;=结账锁),"※日期早于已结账截止日，不能再录",IF(AND($K1486="自用消耗",COUNTIF({"一矿区";"二矿区"},$L1486)=0),"※自用消耗的去向只能是一矿区或二矿区",IF(AND($K1486="对外销售",COUNTIF({"三矿区";"六矿区"},$L1486)=0),"※对外销售的去向只能是三矿区或六矿区",IF(AND($K1486="对外销售",ROUND($Q1486,0)=0),"※外销却没有售价，请填实际售价",IF(AND($K1486="对外销售",$T1486&lt;&gt;"",$T1486&lt;0),"※这一笔外销是亏的，请核对售价",IF(IFERROR(VLOOKUP($D1486,库存台账!$A$5:$Y$1204,24,0),0)&lt;-0.001,"※这个物料账面已经变成负数了，查一下是不是漏记入库","")))))))))))</f>
        <v/>
      </c>
    </row>
    <row r="1487">
      <c r="A1487" s="24">
        <f>IF($D1487="","",COUNTA($D$4:$D1487))</f>
        <v/>
      </c>
      <c r="B1487" s="17" t="n"/>
      <c r="C1487" s="30" t="n"/>
      <c r="D1487" s="17" t="n"/>
      <c r="E1487" s="24">
        <f>IF($D1487="","",IFERROR(VLOOKUP($D1487,物料档案!$A$4:$P$1203,3,0),"※编码不在物料档案里"))</f>
        <v/>
      </c>
      <c r="F1487" s="24">
        <f>IF($D1487="","",IFERROR(VLOOKUP($D1487,物料档案!$A$4:$P$1203,4,0),"※编码不在物料档案里"))</f>
        <v/>
      </c>
      <c r="G1487" s="24">
        <f>IF($D1487="","",IFERROR(VLOOKUP($D1487,物料档案!$A$4:$P$1203,5,0),"※编码不在物料档案里"))</f>
        <v/>
      </c>
      <c r="H1487" s="24">
        <f>IF($D1487="","",IFERROR(VLOOKUP($D1487,物料档案!$A$4:$P$1203,2,0),"※编码不在物料档案里"))</f>
        <v/>
      </c>
      <c r="I1487" s="24">
        <f>IF($D1487="","",IFERROR(VLOOKUP($D1487,物料档案!$A$4:$P$1203,6,0),"※编码不在物料档案里"))</f>
        <v/>
      </c>
      <c r="J1487" s="23" t="n"/>
      <c r="K1487" s="17" t="n"/>
      <c r="L1487" s="17" t="n"/>
      <c r="M1487" s="17" t="n"/>
      <c r="N1487" s="17" t="n"/>
      <c r="O1487" s="26">
        <f>IF($D1487="","",IFERROR(VLOOKUP($D1487,物料档案!$A$4:$P$1203,10,0),0))</f>
        <v/>
      </c>
      <c r="P1487" s="32" t="n"/>
      <c r="Q1487" s="26">
        <f>IF($D1487="","",IF($K1487&lt;&gt;"对外销售",0,ROUND(N($J1487)*IF($P1487="",N($O1487),N($P1487)),0)))</f>
        <v/>
      </c>
      <c r="R1487" s="26">
        <f>IF($D1487="","",IFERROR(VLOOKUP($D1487,库存台账!$A$5:$Y$1204,11,0),0))</f>
        <v/>
      </c>
      <c r="S1487" s="26">
        <f>IF($D1487="","",ROUND(N($J1487)*N($R1487),0))</f>
        <v/>
      </c>
      <c r="T1487" s="26">
        <f>IF($D1487="","",IF($K1487&lt;&gt;"对外销售","",ROUND($Q1487-$S1487,0)))</f>
        <v/>
      </c>
      <c r="U1487" s="17" t="n"/>
      <c r="V1487" s="17" t="n"/>
      <c r="W1487" s="24">
        <f>IF($D1487="","",IF($E1487="※编码不在物料档案里","※物料编码不在档案里",IF(N($J1487)&lt;=0,"※出库数量要大于 0",IF($K1487="","※没填去向类型",IF($L1487="","※没填去向矿区",IF(AND($C1487&lt;&gt;"",$C1487&lt;=结账锁),"※日期早于已结账截止日，不能再录",IF(AND($K1487="自用消耗",COUNTIF({"一矿区";"二矿区"},$L1487)=0),"※自用消耗的去向只能是一矿区或二矿区",IF(AND($K1487="对外销售",COUNTIF({"三矿区";"六矿区"},$L1487)=0),"※对外销售的去向只能是三矿区或六矿区",IF(AND($K1487="对外销售",ROUND($Q1487,0)=0),"※外销却没有售价，请填实际售价",IF(AND($K1487="对外销售",$T1487&lt;&gt;"",$T1487&lt;0),"※这一笔外销是亏的，请核对售价",IF(IFERROR(VLOOKUP($D1487,库存台账!$A$5:$Y$1204,24,0),0)&lt;-0.001,"※这个物料账面已经变成负数了，查一下是不是漏记入库","")))))))))))</f>
        <v/>
      </c>
    </row>
    <row r="1488">
      <c r="A1488" s="24">
        <f>IF($D1488="","",COUNTA($D$4:$D1488))</f>
        <v/>
      </c>
      <c r="B1488" s="17" t="n"/>
      <c r="C1488" s="30" t="n"/>
      <c r="D1488" s="17" t="n"/>
      <c r="E1488" s="24">
        <f>IF($D1488="","",IFERROR(VLOOKUP($D1488,物料档案!$A$4:$P$1203,3,0),"※编码不在物料档案里"))</f>
        <v/>
      </c>
      <c r="F1488" s="24">
        <f>IF($D1488="","",IFERROR(VLOOKUP($D1488,物料档案!$A$4:$P$1203,4,0),"※编码不在物料档案里"))</f>
        <v/>
      </c>
      <c r="G1488" s="24">
        <f>IF($D1488="","",IFERROR(VLOOKUP($D1488,物料档案!$A$4:$P$1203,5,0),"※编码不在物料档案里"))</f>
        <v/>
      </c>
      <c r="H1488" s="24">
        <f>IF($D1488="","",IFERROR(VLOOKUP($D1488,物料档案!$A$4:$P$1203,2,0),"※编码不在物料档案里"))</f>
        <v/>
      </c>
      <c r="I1488" s="24">
        <f>IF($D1488="","",IFERROR(VLOOKUP($D1488,物料档案!$A$4:$P$1203,6,0),"※编码不在物料档案里"))</f>
        <v/>
      </c>
      <c r="J1488" s="23" t="n"/>
      <c r="K1488" s="17" t="n"/>
      <c r="L1488" s="17" t="n"/>
      <c r="M1488" s="17" t="n"/>
      <c r="N1488" s="17" t="n"/>
      <c r="O1488" s="26">
        <f>IF($D1488="","",IFERROR(VLOOKUP($D1488,物料档案!$A$4:$P$1203,10,0),0))</f>
        <v/>
      </c>
      <c r="P1488" s="32" t="n"/>
      <c r="Q1488" s="26">
        <f>IF($D1488="","",IF($K1488&lt;&gt;"对外销售",0,ROUND(N($J1488)*IF($P1488="",N($O1488),N($P1488)),0)))</f>
        <v/>
      </c>
      <c r="R1488" s="26">
        <f>IF($D1488="","",IFERROR(VLOOKUP($D1488,库存台账!$A$5:$Y$1204,11,0),0))</f>
        <v/>
      </c>
      <c r="S1488" s="26">
        <f>IF($D1488="","",ROUND(N($J1488)*N($R1488),0))</f>
        <v/>
      </c>
      <c r="T1488" s="26">
        <f>IF($D1488="","",IF($K1488&lt;&gt;"对外销售","",ROUND($Q1488-$S1488,0)))</f>
        <v/>
      </c>
      <c r="U1488" s="17" t="n"/>
      <c r="V1488" s="17" t="n"/>
      <c r="W1488" s="24">
        <f>IF($D1488="","",IF($E1488="※编码不在物料档案里","※物料编码不在档案里",IF(N($J1488)&lt;=0,"※出库数量要大于 0",IF($K1488="","※没填去向类型",IF($L1488="","※没填去向矿区",IF(AND($C1488&lt;&gt;"",$C1488&lt;=结账锁),"※日期早于已结账截止日，不能再录",IF(AND($K1488="自用消耗",COUNTIF({"一矿区";"二矿区"},$L1488)=0),"※自用消耗的去向只能是一矿区或二矿区",IF(AND($K1488="对外销售",COUNTIF({"三矿区";"六矿区"},$L1488)=0),"※对外销售的去向只能是三矿区或六矿区",IF(AND($K1488="对外销售",ROUND($Q1488,0)=0),"※外销却没有售价，请填实际售价",IF(AND($K1488="对外销售",$T1488&lt;&gt;"",$T1488&lt;0),"※这一笔外销是亏的，请核对售价",IF(IFERROR(VLOOKUP($D1488,库存台账!$A$5:$Y$1204,24,0),0)&lt;-0.001,"※这个物料账面已经变成负数了，查一下是不是漏记入库","")))))))))))</f>
        <v/>
      </c>
    </row>
    <row r="1489">
      <c r="A1489" s="24">
        <f>IF($D1489="","",COUNTA($D$4:$D1489))</f>
        <v/>
      </c>
      <c r="B1489" s="17" t="n"/>
      <c r="C1489" s="30" t="n"/>
      <c r="D1489" s="17" t="n"/>
      <c r="E1489" s="24">
        <f>IF($D1489="","",IFERROR(VLOOKUP($D1489,物料档案!$A$4:$P$1203,3,0),"※编码不在物料档案里"))</f>
        <v/>
      </c>
      <c r="F1489" s="24">
        <f>IF($D1489="","",IFERROR(VLOOKUP($D1489,物料档案!$A$4:$P$1203,4,0),"※编码不在物料档案里"))</f>
        <v/>
      </c>
      <c r="G1489" s="24">
        <f>IF($D1489="","",IFERROR(VLOOKUP($D1489,物料档案!$A$4:$P$1203,5,0),"※编码不在物料档案里"))</f>
        <v/>
      </c>
      <c r="H1489" s="24">
        <f>IF($D1489="","",IFERROR(VLOOKUP($D1489,物料档案!$A$4:$P$1203,2,0),"※编码不在物料档案里"))</f>
        <v/>
      </c>
      <c r="I1489" s="24">
        <f>IF($D1489="","",IFERROR(VLOOKUP($D1489,物料档案!$A$4:$P$1203,6,0),"※编码不在物料档案里"))</f>
        <v/>
      </c>
      <c r="J1489" s="23" t="n"/>
      <c r="K1489" s="17" t="n"/>
      <c r="L1489" s="17" t="n"/>
      <c r="M1489" s="17" t="n"/>
      <c r="N1489" s="17" t="n"/>
      <c r="O1489" s="26">
        <f>IF($D1489="","",IFERROR(VLOOKUP($D1489,物料档案!$A$4:$P$1203,10,0),0))</f>
        <v/>
      </c>
      <c r="P1489" s="32" t="n"/>
      <c r="Q1489" s="26">
        <f>IF($D1489="","",IF($K1489&lt;&gt;"对外销售",0,ROUND(N($J1489)*IF($P1489="",N($O1489),N($P1489)),0)))</f>
        <v/>
      </c>
      <c r="R1489" s="26">
        <f>IF($D1489="","",IFERROR(VLOOKUP($D1489,库存台账!$A$5:$Y$1204,11,0),0))</f>
        <v/>
      </c>
      <c r="S1489" s="26">
        <f>IF($D1489="","",ROUND(N($J1489)*N($R1489),0))</f>
        <v/>
      </c>
      <c r="T1489" s="26">
        <f>IF($D1489="","",IF($K1489&lt;&gt;"对外销售","",ROUND($Q1489-$S1489,0)))</f>
        <v/>
      </c>
      <c r="U1489" s="17" t="n"/>
      <c r="V1489" s="17" t="n"/>
      <c r="W1489" s="24">
        <f>IF($D1489="","",IF($E1489="※编码不在物料档案里","※物料编码不在档案里",IF(N($J1489)&lt;=0,"※出库数量要大于 0",IF($K1489="","※没填去向类型",IF($L1489="","※没填去向矿区",IF(AND($C1489&lt;&gt;"",$C1489&lt;=结账锁),"※日期早于已结账截止日，不能再录",IF(AND($K1489="自用消耗",COUNTIF({"一矿区";"二矿区"},$L1489)=0),"※自用消耗的去向只能是一矿区或二矿区",IF(AND($K1489="对外销售",COUNTIF({"三矿区";"六矿区"},$L1489)=0),"※对外销售的去向只能是三矿区或六矿区",IF(AND($K1489="对外销售",ROUND($Q1489,0)=0),"※外销却没有售价，请填实际售价",IF(AND($K1489="对外销售",$T1489&lt;&gt;"",$T1489&lt;0),"※这一笔外销是亏的，请核对售价",IF(IFERROR(VLOOKUP($D1489,库存台账!$A$5:$Y$1204,24,0),0)&lt;-0.001,"※这个物料账面已经变成负数了，查一下是不是漏记入库","")))))))))))</f>
        <v/>
      </c>
    </row>
    <row r="1490">
      <c r="A1490" s="24">
        <f>IF($D1490="","",COUNTA($D$4:$D1490))</f>
        <v/>
      </c>
      <c r="B1490" s="17" t="n"/>
      <c r="C1490" s="30" t="n"/>
      <c r="D1490" s="17" t="n"/>
      <c r="E1490" s="24">
        <f>IF($D1490="","",IFERROR(VLOOKUP($D1490,物料档案!$A$4:$P$1203,3,0),"※编码不在物料档案里"))</f>
        <v/>
      </c>
      <c r="F1490" s="24">
        <f>IF($D1490="","",IFERROR(VLOOKUP($D1490,物料档案!$A$4:$P$1203,4,0),"※编码不在物料档案里"))</f>
        <v/>
      </c>
      <c r="G1490" s="24">
        <f>IF($D1490="","",IFERROR(VLOOKUP($D1490,物料档案!$A$4:$P$1203,5,0),"※编码不在物料档案里"))</f>
        <v/>
      </c>
      <c r="H1490" s="24">
        <f>IF($D1490="","",IFERROR(VLOOKUP($D1490,物料档案!$A$4:$P$1203,2,0),"※编码不在物料档案里"))</f>
        <v/>
      </c>
      <c r="I1490" s="24">
        <f>IF($D1490="","",IFERROR(VLOOKUP($D1490,物料档案!$A$4:$P$1203,6,0),"※编码不在物料档案里"))</f>
        <v/>
      </c>
      <c r="J1490" s="23" t="n"/>
      <c r="K1490" s="17" t="n"/>
      <c r="L1490" s="17" t="n"/>
      <c r="M1490" s="17" t="n"/>
      <c r="N1490" s="17" t="n"/>
      <c r="O1490" s="26">
        <f>IF($D1490="","",IFERROR(VLOOKUP($D1490,物料档案!$A$4:$P$1203,10,0),0))</f>
        <v/>
      </c>
      <c r="P1490" s="32" t="n"/>
      <c r="Q1490" s="26">
        <f>IF($D1490="","",IF($K1490&lt;&gt;"对外销售",0,ROUND(N($J1490)*IF($P1490="",N($O1490),N($P1490)),0)))</f>
        <v/>
      </c>
      <c r="R1490" s="26">
        <f>IF($D1490="","",IFERROR(VLOOKUP($D1490,库存台账!$A$5:$Y$1204,11,0),0))</f>
        <v/>
      </c>
      <c r="S1490" s="26">
        <f>IF($D1490="","",ROUND(N($J1490)*N($R1490),0))</f>
        <v/>
      </c>
      <c r="T1490" s="26">
        <f>IF($D1490="","",IF($K1490&lt;&gt;"对外销售","",ROUND($Q1490-$S1490,0)))</f>
        <v/>
      </c>
      <c r="U1490" s="17" t="n"/>
      <c r="V1490" s="17" t="n"/>
      <c r="W1490" s="24">
        <f>IF($D1490="","",IF($E1490="※编码不在物料档案里","※物料编码不在档案里",IF(N($J1490)&lt;=0,"※出库数量要大于 0",IF($K1490="","※没填去向类型",IF($L1490="","※没填去向矿区",IF(AND($C1490&lt;&gt;"",$C1490&lt;=结账锁),"※日期早于已结账截止日，不能再录",IF(AND($K1490="自用消耗",COUNTIF({"一矿区";"二矿区"},$L1490)=0),"※自用消耗的去向只能是一矿区或二矿区",IF(AND($K1490="对外销售",COUNTIF({"三矿区";"六矿区"},$L1490)=0),"※对外销售的去向只能是三矿区或六矿区",IF(AND($K1490="对外销售",ROUND($Q1490,0)=0),"※外销却没有售价，请填实际售价",IF(AND($K1490="对外销售",$T1490&lt;&gt;"",$T1490&lt;0),"※这一笔外销是亏的，请核对售价",IF(IFERROR(VLOOKUP($D1490,库存台账!$A$5:$Y$1204,24,0),0)&lt;-0.001,"※这个物料账面已经变成负数了，查一下是不是漏记入库","")))))))))))</f>
        <v/>
      </c>
    </row>
    <row r="1491">
      <c r="A1491" s="24">
        <f>IF($D1491="","",COUNTA($D$4:$D1491))</f>
        <v/>
      </c>
      <c r="B1491" s="17" t="n"/>
      <c r="C1491" s="30" t="n"/>
      <c r="D1491" s="17" t="n"/>
      <c r="E1491" s="24">
        <f>IF($D1491="","",IFERROR(VLOOKUP($D1491,物料档案!$A$4:$P$1203,3,0),"※编码不在物料档案里"))</f>
        <v/>
      </c>
      <c r="F1491" s="24">
        <f>IF($D1491="","",IFERROR(VLOOKUP($D1491,物料档案!$A$4:$P$1203,4,0),"※编码不在物料档案里"))</f>
        <v/>
      </c>
      <c r="G1491" s="24">
        <f>IF($D1491="","",IFERROR(VLOOKUP($D1491,物料档案!$A$4:$P$1203,5,0),"※编码不在物料档案里"))</f>
        <v/>
      </c>
      <c r="H1491" s="24">
        <f>IF($D1491="","",IFERROR(VLOOKUP($D1491,物料档案!$A$4:$P$1203,2,0),"※编码不在物料档案里"))</f>
        <v/>
      </c>
      <c r="I1491" s="24">
        <f>IF($D1491="","",IFERROR(VLOOKUP($D1491,物料档案!$A$4:$P$1203,6,0),"※编码不在物料档案里"))</f>
        <v/>
      </c>
      <c r="J1491" s="23" t="n"/>
      <c r="K1491" s="17" t="n"/>
      <c r="L1491" s="17" t="n"/>
      <c r="M1491" s="17" t="n"/>
      <c r="N1491" s="17" t="n"/>
      <c r="O1491" s="26">
        <f>IF($D1491="","",IFERROR(VLOOKUP($D1491,物料档案!$A$4:$P$1203,10,0),0))</f>
        <v/>
      </c>
      <c r="P1491" s="32" t="n"/>
      <c r="Q1491" s="26">
        <f>IF($D1491="","",IF($K1491&lt;&gt;"对外销售",0,ROUND(N($J1491)*IF($P1491="",N($O1491),N($P1491)),0)))</f>
        <v/>
      </c>
      <c r="R1491" s="26">
        <f>IF($D1491="","",IFERROR(VLOOKUP($D1491,库存台账!$A$5:$Y$1204,11,0),0))</f>
        <v/>
      </c>
      <c r="S1491" s="26">
        <f>IF($D1491="","",ROUND(N($J1491)*N($R1491),0))</f>
        <v/>
      </c>
      <c r="T1491" s="26">
        <f>IF($D1491="","",IF($K1491&lt;&gt;"对外销售","",ROUND($Q1491-$S1491,0)))</f>
        <v/>
      </c>
      <c r="U1491" s="17" t="n"/>
      <c r="V1491" s="17" t="n"/>
      <c r="W1491" s="24">
        <f>IF($D1491="","",IF($E1491="※编码不在物料档案里","※物料编码不在档案里",IF(N($J1491)&lt;=0,"※出库数量要大于 0",IF($K1491="","※没填去向类型",IF($L1491="","※没填去向矿区",IF(AND($C1491&lt;&gt;"",$C1491&lt;=结账锁),"※日期早于已结账截止日，不能再录",IF(AND($K1491="自用消耗",COUNTIF({"一矿区";"二矿区"},$L1491)=0),"※自用消耗的去向只能是一矿区或二矿区",IF(AND($K1491="对外销售",COUNTIF({"三矿区";"六矿区"},$L1491)=0),"※对外销售的去向只能是三矿区或六矿区",IF(AND($K1491="对外销售",ROUND($Q1491,0)=0),"※外销却没有售价，请填实际售价",IF(AND($K1491="对外销售",$T1491&lt;&gt;"",$T1491&lt;0),"※这一笔外销是亏的，请核对售价",IF(IFERROR(VLOOKUP($D1491,库存台账!$A$5:$Y$1204,24,0),0)&lt;-0.001,"※这个物料账面已经变成负数了，查一下是不是漏记入库","")))))))))))</f>
        <v/>
      </c>
    </row>
    <row r="1492">
      <c r="A1492" s="24">
        <f>IF($D1492="","",COUNTA($D$4:$D1492))</f>
        <v/>
      </c>
      <c r="B1492" s="17" t="n"/>
      <c r="C1492" s="30" t="n"/>
      <c r="D1492" s="17" t="n"/>
      <c r="E1492" s="24">
        <f>IF($D1492="","",IFERROR(VLOOKUP($D1492,物料档案!$A$4:$P$1203,3,0),"※编码不在物料档案里"))</f>
        <v/>
      </c>
      <c r="F1492" s="24">
        <f>IF($D1492="","",IFERROR(VLOOKUP($D1492,物料档案!$A$4:$P$1203,4,0),"※编码不在物料档案里"))</f>
        <v/>
      </c>
      <c r="G1492" s="24">
        <f>IF($D1492="","",IFERROR(VLOOKUP($D1492,物料档案!$A$4:$P$1203,5,0),"※编码不在物料档案里"))</f>
        <v/>
      </c>
      <c r="H1492" s="24">
        <f>IF($D1492="","",IFERROR(VLOOKUP($D1492,物料档案!$A$4:$P$1203,2,0),"※编码不在物料档案里"))</f>
        <v/>
      </c>
      <c r="I1492" s="24">
        <f>IF($D1492="","",IFERROR(VLOOKUP($D1492,物料档案!$A$4:$P$1203,6,0),"※编码不在物料档案里"))</f>
        <v/>
      </c>
      <c r="J1492" s="23" t="n"/>
      <c r="K1492" s="17" t="n"/>
      <c r="L1492" s="17" t="n"/>
      <c r="M1492" s="17" t="n"/>
      <c r="N1492" s="17" t="n"/>
      <c r="O1492" s="26">
        <f>IF($D1492="","",IFERROR(VLOOKUP($D1492,物料档案!$A$4:$P$1203,10,0),0))</f>
        <v/>
      </c>
      <c r="P1492" s="32" t="n"/>
      <c r="Q1492" s="26">
        <f>IF($D1492="","",IF($K1492&lt;&gt;"对外销售",0,ROUND(N($J1492)*IF($P1492="",N($O1492),N($P1492)),0)))</f>
        <v/>
      </c>
      <c r="R1492" s="26">
        <f>IF($D1492="","",IFERROR(VLOOKUP($D1492,库存台账!$A$5:$Y$1204,11,0),0))</f>
        <v/>
      </c>
      <c r="S1492" s="26">
        <f>IF($D1492="","",ROUND(N($J1492)*N($R1492),0))</f>
        <v/>
      </c>
      <c r="T1492" s="26">
        <f>IF($D1492="","",IF($K1492&lt;&gt;"对外销售","",ROUND($Q1492-$S1492,0)))</f>
        <v/>
      </c>
      <c r="U1492" s="17" t="n"/>
      <c r="V1492" s="17" t="n"/>
      <c r="W1492" s="24">
        <f>IF($D1492="","",IF($E1492="※编码不在物料档案里","※物料编码不在档案里",IF(N($J1492)&lt;=0,"※出库数量要大于 0",IF($K1492="","※没填去向类型",IF($L1492="","※没填去向矿区",IF(AND($C1492&lt;&gt;"",$C1492&lt;=结账锁),"※日期早于已结账截止日，不能再录",IF(AND($K1492="自用消耗",COUNTIF({"一矿区";"二矿区"},$L1492)=0),"※自用消耗的去向只能是一矿区或二矿区",IF(AND($K1492="对外销售",COUNTIF({"三矿区";"六矿区"},$L1492)=0),"※对外销售的去向只能是三矿区或六矿区",IF(AND($K1492="对外销售",ROUND($Q1492,0)=0),"※外销却没有售价，请填实际售价",IF(AND($K1492="对外销售",$T1492&lt;&gt;"",$T1492&lt;0),"※这一笔外销是亏的，请核对售价",IF(IFERROR(VLOOKUP($D1492,库存台账!$A$5:$Y$1204,24,0),0)&lt;-0.001,"※这个物料账面已经变成负数了，查一下是不是漏记入库","")))))))))))</f>
        <v/>
      </c>
    </row>
    <row r="1493">
      <c r="A1493" s="24">
        <f>IF($D1493="","",COUNTA($D$4:$D1493))</f>
        <v/>
      </c>
      <c r="B1493" s="17" t="n"/>
      <c r="C1493" s="30" t="n"/>
      <c r="D1493" s="17" t="n"/>
      <c r="E1493" s="24">
        <f>IF($D1493="","",IFERROR(VLOOKUP($D1493,物料档案!$A$4:$P$1203,3,0),"※编码不在物料档案里"))</f>
        <v/>
      </c>
      <c r="F1493" s="24">
        <f>IF($D1493="","",IFERROR(VLOOKUP($D1493,物料档案!$A$4:$P$1203,4,0),"※编码不在物料档案里"))</f>
        <v/>
      </c>
      <c r="G1493" s="24">
        <f>IF($D1493="","",IFERROR(VLOOKUP($D1493,物料档案!$A$4:$P$1203,5,0),"※编码不在物料档案里"))</f>
        <v/>
      </c>
      <c r="H1493" s="24">
        <f>IF($D1493="","",IFERROR(VLOOKUP($D1493,物料档案!$A$4:$P$1203,2,0),"※编码不在物料档案里"))</f>
        <v/>
      </c>
      <c r="I1493" s="24">
        <f>IF($D1493="","",IFERROR(VLOOKUP($D1493,物料档案!$A$4:$P$1203,6,0),"※编码不在物料档案里"))</f>
        <v/>
      </c>
      <c r="J1493" s="23" t="n"/>
      <c r="K1493" s="17" t="n"/>
      <c r="L1493" s="17" t="n"/>
      <c r="M1493" s="17" t="n"/>
      <c r="N1493" s="17" t="n"/>
      <c r="O1493" s="26">
        <f>IF($D1493="","",IFERROR(VLOOKUP($D1493,物料档案!$A$4:$P$1203,10,0),0))</f>
        <v/>
      </c>
      <c r="P1493" s="32" t="n"/>
      <c r="Q1493" s="26">
        <f>IF($D1493="","",IF($K1493&lt;&gt;"对外销售",0,ROUND(N($J1493)*IF($P1493="",N($O1493),N($P1493)),0)))</f>
        <v/>
      </c>
      <c r="R1493" s="26">
        <f>IF($D1493="","",IFERROR(VLOOKUP($D1493,库存台账!$A$5:$Y$1204,11,0),0))</f>
        <v/>
      </c>
      <c r="S1493" s="26">
        <f>IF($D1493="","",ROUND(N($J1493)*N($R1493),0))</f>
        <v/>
      </c>
      <c r="T1493" s="26">
        <f>IF($D1493="","",IF($K1493&lt;&gt;"对外销售","",ROUND($Q1493-$S1493,0)))</f>
        <v/>
      </c>
      <c r="U1493" s="17" t="n"/>
      <c r="V1493" s="17" t="n"/>
      <c r="W1493" s="24">
        <f>IF($D1493="","",IF($E1493="※编码不在物料档案里","※物料编码不在档案里",IF(N($J1493)&lt;=0,"※出库数量要大于 0",IF($K1493="","※没填去向类型",IF($L1493="","※没填去向矿区",IF(AND($C1493&lt;&gt;"",$C1493&lt;=结账锁),"※日期早于已结账截止日，不能再录",IF(AND($K1493="自用消耗",COUNTIF({"一矿区";"二矿区"},$L1493)=0),"※自用消耗的去向只能是一矿区或二矿区",IF(AND($K1493="对外销售",COUNTIF({"三矿区";"六矿区"},$L1493)=0),"※对外销售的去向只能是三矿区或六矿区",IF(AND($K1493="对外销售",ROUND($Q1493,0)=0),"※外销却没有售价，请填实际售价",IF(AND($K1493="对外销售",$T1493&lt;&gt;"",$T1493&lt;0),"※这一笔外销是亏的，请核对售价",IF(IFERROR(VLOOKUP($D1493,库存台账!$A$5:$Y$1204,24,0),0)&lt;-0.001,"※这个物料账面已经变成负数了，查一下是不是漏记入库","")))))))))))</f>
        <v/>
      </c>
    </row>
    <row r="1494">
      <c r="A1494" s="24">
        <f>IF($D1494="","",COUNTA($D$4:$D1494))</f>
        <v/>
      </c>
      <c r="B1494" s="17" t="n"/>
      <c r="C1494" s="30" t="n"/>
      <c r="D1494" s="17" t="n"/>
      <c r="E1494" s="24">
        <f>IF($D1494="","",IFERROR(VLOOKUP($D1494,物料档案!$A$4:$P$1203,3,0),"※编码不在物料档案里"))</f>
        <v/>
      </c>
      <c r="F1494" s="24">
        <f>IF($D1494="","",IFERROR(VLOOKUP($D1494,物料档案!$A$4:$P$1203,4,0),"※编码不在物料档案里"))</f>
        <v/>
      </c>
      <c r="G1494" s="24">
        <f>IF($D1494="","",IFERROR(VLOOKUP($D1494,物料档案!$A$4:$P$1203,5,0),"※编码不在物料档案里"))</f>
        <v/>
      </c>
      <c r="H1494" s="24">
        <f>IF($D1494="","",IFERROR(VLOOKUP($D1494,物料档案!$A$4:$P$1203,2,0),"※编码不在物料档案里"))</f>
        <v/>
      </c>
      <c r="I1494" s="24">
        <f>IF($D1494="","",IFERROR(VLOOKUP($D1494,物料档案!$A$4:$P$1203,6,0),"※编码不在物料档案里"))</f>
        <v/>
      </c>
      <c r="J1494" s="23" t="n"/>
      <c r="K1494" s="17" t="n"/>
      <c r="L1494" s="17" t="n"/>
      <c r="M1494" s="17" t="n"/>
      <c r="N1494" s="17" t="n"/>
      <c r="O1494" s="26">
        <f>IF($D1494="","",IFERROR(VLOOKUP($D1494,物料档案!$A$4:$P$1203,10,0),0))</f>
        <v/>
      </c>
      <c r="P1494" s="32" t="n"/>
      <c r="Q1494" s="26">
        <f>IF($D1494="","",IF($K1494&lt;&gt;"对外销售",0,ROUND(N($J1494)*IF($P1494="",N($O1494),N($P1494)),0)))</f>
        <v/>
      </c>
      <c r="R1494" s="26">
        <f>IF($D1494="","",IFERROR(VLOOKUP($D1494,库存台账!$A$5:$Y$1204,11,0),0))</f>
        <v/>
      </c>
      <c r="S1494" s="26">
        <f>IF($D1494="","",ROUND(N($J1494)*N($R1494),0))</f>
        <v/>
      </c>
      <c r="T1494" s="26">
        <f>IF($D1494="","",IF($K1494&lt;&gt;"对外销售","",ROUND($Q1494-$S1494,0)))</f>
        <v/>
      </c>
      <c r="U1494" s="17" t="n"/>
      <c r="V1494" s="17" t="n"/>
      <c r="W1494" s="24">
        <f>IF($D1494="","",IF($E1494="※编码不在物料档案里","※物料编码不在档案里",IF(N($J1494)&lt;=0,"※出库数量要大于 0",IF($K1494="","※没填去向类型",IF($L1494="","※没填去向矿区",IF(AND($C1494&lt;&gt;"",$C1494&lt;=结账锁),"※日期早于已结账截止日，不能再录",IF(AND($K1494="自用消耗",COUNTIF({"一矿区";"二矿区"},$L1494)=0),"※自用消耗的去向只能是一矿区或二矿区",IF(AND($K1494="对外销售",COUNTIF({"三矿区";"六矿区"},$L1494)=0),"※对外销售的去向只能是三矿区或六矿区",IF(AND($K1494="对外销售",ROUND($Q1494,0)=0),"※外销却没有售价，请填实际售价",IF(AND($K1494="对外销售",$T1494&lt;&gt;"",$T1494&lt;0),"※这一笔外销是亏的，请核对售价",IF(IFERROR(VLOOKUP($D1494,库存台账!$A$5:$Y$1204,24,0),0)&lt;-0.001,"※这个物料账面已经变成负数了，查一下是不是漏记入库","")))))))))))</f>
        <v/>
      </c>
    </row>
    <row r="1495">
      <c r="A1495" s="24">
        <f>IF($D1495="","",COUNTA($D$4:$D1495))</f>
        <v/>
      </c>
      <c r="B1495" s="17" t="n"/>
      <c r="C1495" s="30" t="n"/>
      <c r="D1495" s="17" t="n"/>
      <c r="E1495" s="24">
        <f>IF($D1495="","",IFERROR(VLOOKUP($D1495,物料档案!$A$4:$P$1203,3,0),"※编码不在物料档案里"))</f>
        <v/>
      </c>
      <c r="F1495" s="24">
        <f>IF($D1495="","",IFERROR(VLOOKUP($D1495,物料档案!$A$4:$P$1203,4,0),"※编码不在物料档案里"))</f>
        <v/>
      </c>
      <c r="G1495" s="24">
        <f>IF($D1495="","",IFERROR(VLOOKUP($D1495,物料档案!$A$4:$P$1203,5,0),"※编码不在物料档案里"))</f>
        <v/>
      </c>
      <c r="H1495" s="24">
        <f>IF($D1495="","",IFERROR(VLOOKUP($D1495,物料档案!$A$4:$P$1203,2,0),"※编码不在物料档案里"))</f>
        <v/>
      </c>
      <c r="I1495" s="24">
        <f>IF($D1495="","",IFERROR(VLOOKUP($D1495,物料档案!$A$4:$P$1203,6,0),"※编码不在物料档案里"))</f>
        <v/>
      </c>
      <c r="J1495" s="23" t="n"/>
      <c r="K1495" s="17" t="n"/>
      <c r="L1495" s="17" t="n"/>
      <c r="M1495" s="17" t="n"/>
      <c r="N1495" s="17" t="n"/>
      <c r="O1495" s="26">
        <f>IF($D1495="","",IFERROR(VLOOKUP($D1495,物料档案!$A$4:$P$1203,10,0),0))</f>
        <v/>
      </c>
      <c r="P1495" s="32" t="n"/>
      <c r="Q1495" s="26">
        <f>IF($D1495="","",IF($K1495&lt;&gt;"对外销售",0,ROUND(N($J1495)*IF($P1495="",N($O1495),N($P1495)),0)))</f>
        <v/>
      </c>
      <c r="R1495" s="26">
        <f>IF($D1495="","",IFERROR(VLOOKUP($D1495,库存台账!$A$5:$Y$1204,11,0),0))</f>
        <v/>
      </c>
      <c r="S1495" s="26">
        <f>IF($D1495="","",ROUND(N($J1495)*N($R1495),0))</f>
        <v/>
      </c>
      <c r="T1495" s="26">
        <f>IF($D1495="","",IF($K1495&lt;&gt;"对外销售","",ROUND($Q1495-$S1495,0)))</f>
        <v/>
      </c>
      <c r="U1495" s="17" t="n"/>
      <c r="V1495" s="17" t="n"/>
      <c r="W1495" s="24">
        <f>IF($D1495="","",IF($E1495="※编码不在物料档案里","※物料编码不在档案里",IF(N($J1495)&lt;=0,"※出库数量要大于 0",IF($K1495="","※没填去向类型",IF($L1495="","※没填去向矿区",IF(AND($C1495&lt;&gt;"",$C1495&lt;=结账锁),"※日期早于已结账截止日，不能再录",IF(AND($K1495="自用消耗",COUNTIF({"一矿区";"二矿区"},$L1495)=0),"※自用消耗的去向只能是一矿区或二矿区",IF(AND($K1495="对外销售",COUNTIF({"三矿区";"六矿区"},$L1495)=0),"※对外销售的去向只能是三矿区或六矿区",IF(AND($K1495="对外销售",ROUND($Q1495,0)=0),"※外销却没有售价，请填实际售价",IF(AND($K1495="对外销售",$T1495&lt;&gt;"",$T1495&lt;0),"※这一笔外销是亏的，请核对售价",IF(IFERROR(VLOOKUP($D1495,库存台账!$A$5:$Y$1204,24,0),0)&lt;-0.001,"※这个物料账面已经变成负数了，查一下是不是漏记入库","")))))))))))</f>
        <v/>
      </c>
    </row>
    <row r="1496">
      <c r="A1496" s="24">
        <f>IF($D1496="","",COUNTA($D$4:$D1496))</f>
        <v/>
      </c>
      <c r="B1496" s="17" t="n"/>
      <c r="C1496" s="30" t="n"/>
      <c r="D1496" s="17" t="n"/>
      <c r="E1496" s="24">
        <f>IF($D1496="","",IFERROR(VLOOKUP($D1496,物料档案!$A$4:$P$1203,3,0),"※编码不在物料档案里"))</f>
        <v/>
      </c>
      <c r="F1496" s="24">
        <f>IF($D1496="","",IFERROR(VLOOKUP($D1496,物料档案!$A$4:$P$1203,4,0),"※编码不在物料档案里"))</f>
        <v/>
      </c>
      <c r="G1496" s="24">
        <f>IF($D1496="","",IFERROR(VLOOKUP($D1496,物料档案!$A$4:$P$1203,5,0),"※编码不在物料档案里"))</f>
        <v/>
      </c>
      <c r="H1496" s="24">
        <f>IF($D1496="","",IFERROR(VLOOKUP($D1496,物料档案!$A$4:$P$1203,2,0),"※编码不在物料档案里"))</f>
        <v/>
      </c>
      <c r="I1496" s="24">
        <f>IF($D1496="","",IFERROR(VLOOKUP($D1496,物料档案!$A$4:$P$1203,6,0),"※编码不在物料档案里"))</f>
        <v/>
      </c>
      <c r="J1496" s="23" t="n"/>
      <c r="K1496" s="17" t="n"/>
      <c r="L1496" s="17" t="n"/>
      <c r="M1496" s="17" t="n"/>
      <c r="N1496" s="17" t="n"/>
      <c r="O1496" s="26">
        <f>IF($D1496="","",IFERROR(VLOOKUP($D1496,物料档案!$A$4:$P$1203,10,0),0))</f>
        <v/>
      </c>
      <c r="P1496" s="32" t="n"/>
      <c r="Q1496" s="26">
        <f>IF($D1496="","",IF($K1496&lt;&gt;"对外销售",0,ROUND(N($J1496)*IF($P1496="",N($O1496),N($P1496)),0)))</f>
        <v/>
      </c>
      <c r="R1496" s="26">
        <f>IF($D1496="","",IFERROR(VLOOKUP($D1496,库存台账!$A$5:$Y$1204,11,0),0))</f>
        <v/>
      </c>
      <c r="S1496" s="26">
        <f>IF($D1496="","",ROUND(N($J1496)*N($R1496),0))</f>
        <v/>
      </c>
      <c r="T1496" s="26">
        <f>IF($D1496="","",IF($K1496&lt;&gt;"对外销售","",ROUND($Q1496-$S1496,0)))</f>
        <v/>
      </c>
      <c r="U1496" s="17" t="n"/>
      <c r="V1496" s="17" t="n"/>
      <c r="W1496" s="24">
        <f>IF($D1496="","",IF($E1496="※编码不在物料档案里","※物料编码不在档案里",IF(N($J1496)&lt;=0,"※出库数量要大于 0",IF($K1496="","※没填去向类型",IF($L1496="","※没填去向矿区",IF(AND($C1496&lt;&gt;"",$C1496&lt;=结账锁),"※日期早于已结账截止日，不能再录",IF(AND($K1496="自用消耗",COUNTIF({"一矿区";"二矿区"},$L1496)=0),"※自用消耗的去向只能是一矿区或二矿区",IF(AND($K1496="对外销售",COUNTIF({"三矿区";"六矿区"},$L1496)=0),"※对外销售的去向只能是三矿区或六矿区",IF(AND($K1496="对外销售",ROUND($Q1496,0)=0),"※外销却没有售价，请填实际售价",IF(AND($K1496="对外销售",$T1496&lt;&gt;"",$T1496&lt;0),"※这一笔外销是亏的，请核对售价",IF(IFERROR(VLOOKUP($D1496,库存台账!$A$5:$Y$1204,24,0),0)&lt;-0.001,"※这个物料账面已经变成负数了，查一下是不是漏记入库","")))))))))))</f>
        <v/>
      </c>
    </row>
    <row r="1497">
      <c r="A1497" s="24">
        <f>IF($D1497="","",COUNTA($D$4:$D1497))</f>
        <v/>
      </c>
      <c r="B1497" s="17" t="n"/>
      <c r="C1497" s="30" t="n"/>
      <c r="D1497" s="17" t="n"/>
      <c r="E1497" s="24">
        <f>IF($D1497="","",IFERROR(VLOOKUP($D1497,物料档案!$A$4:$P$1203,3,0),"※编码不在物料档案里"))</f>
        <v/>
      </c>
      <c r="F1497" s="24">
        <f>IF($D1497="","",IFERROR(VLOOKUP($D1497,物料档案!$A$4:$P$1203,4,0),"※编码不在物料档案里"))</f>
        <v/>
      </c>
      <c r="G1497" s="24">
        <f>IF($D1497="","",IFERROR(VLOOKUP($D1497,物料档案!$A$4:$P$1203,5,0),"※编码不在物料档案里"))</f>
        <v/>
      </c>
      <c r="H1497" s="24">
        <f>IF($D1497="","",IFERROR(VLOOKUP($D1497,物料档案!$A$4:$P$1203,2,0),"※编码不在物料档案里"))</f>
        <v/>
      </c>
      <c r="I1497" s="24">
        <f>IF($D1497="","",IFERROR(VLOOKUP($D1497,物料档案!$A$4:$P$1203,6,0),"※编码不在物料档案里"))</f>
        <v/>
      </c>
      <c r="J1497" s="23" t="n"/>
      <c r="K1497" s="17" t="n"/>
      <c r="L1497" s="17" t="n"/>
      <c r="M1497" s="17" t="n"/>
      <c r="N1497" s="17" t="n"/>
      <c r="O1497" s="26">
        <f>IF($D1497="","",IFERROR(VLOOKUP($D1497,物料档案!$A$4:$P$1203,10,0),0))</f>
        <v/>
      </c>
      <c r="P1497" s="32" t="n"/>
      <c r="Q1497" s="26">
        <f>IF($D1497="","",IF($K1497&lt;&gt;"对外销售",0,ROUND(N($J1497)*IF($P1497="",N($O1497),N($P1497)),0)))</f>
        <v/>
      </c>
      <c r="R1497" s="26">
        <f>IF($D1497="","",IFERROR(VLOOKUP($D1497,库存台账!$A$5:$Y$1204,11,0),0))</f>
        <v/>
      </c>
      <c r="S1497" s="26">
        <f>IF($D1497="","",ROUND(N($J1497)*N($R1497),0))</f>
        <v/>
      </c>
      <c r="T1497" s="26">
        <f>IF($D1497="","",IF($K1497&lt;&gt;"对外销售","",ROUND($Q1497-$S1497,0)))</f>
        <v/>
      </c>
      <c r="U1497" s="17" t="n"/>
      <c r="V1497" s="17" t="n"/>
      <c r="W1497" s="24">
        <f>IF($D1497="","",IF($E1497="※编码不在物料档案里","※物料编码不在档案里",IF(N($J1497)&lt;=0,"※出库数量要大于 0",IF($K1497="","※没填去向类型",IF($L1497="","※没填去向矿区",IF(AND($C1497&lt;&gt;"",$C1497&lt;=结账锁),"※日期早于已结账截止日，不能再录",IF(AND($K1497="自用消耗",COUNTIF({"一矿区";"二矿区"},$L1497)=0),"※自用消耗的去向只能是一矿区或二矿区",IF(AND($K1497="对外销售",COUNTIF({"三矿区";"六矿区"},$L1497)=0),"※对外销售的去向只能是三矿区或六矿区",IF(AND($K1497="对外销售",ROUND($Q1497,0)=0),"※外销却没有售价，请填实际售价",IF(AND($K1497="对外销售",$T1497&lt;&gt;"",$T1497&lt;0),"※这一笔外销是亏的，请核对售价",IF(IFERROR(VLOOKUP($D1497,库存台账!$A$5:$Y$1204,24,0),0)&lt;-0.001,"※这个物料账面已经变成负数了，查一下是不是漏记入库","")))))))))))</f>
        <v/>
      </c>
    </row>
    <row r="1498">
      <c r="A1498" s="24">
        <f>IF($D1498="","",COUNTA($D$4:$D1498))</f>
        <v/>
      </c>
      <c r="B1498" s="17" t="n"/>
      <c r="C1498" s="30" t="n"/>
      <c r="D1498" s="17" t="n"/>
      <c r="E1498" s="24">
        <f>IF($D1498="","",IFERROR(VLOOKUP($D1498,物料档案!$A$4:$P$1203,3,0),"※编码不在物料档案里"))</f>
        <v/>
      </c>
      <c r="F1498" s="24">
        <f>IF($D1498="","",IFERROR(VLOOKUP($D1498,物料档案!$A$4:$P$1203,4,0),"※编码不在物料档案里"))</f>
        <v/>
      </c>
      <c r="G1498" s="24">
        <f>IF($D1498="","",IFERROR(VLOOKUP($D1498,物料档案!$A$4:$P$1203,5,0),"※编码不在物料档案里"))</f>
        <v/>
      </c>
      <c r="H1498" s="24">
        <f>IF($D1498="","",IFERROR(VLOOKUP($D1498,物料档案!$A$4:$P$1203,2,0),"※编码不在物料档案里"))</f>
        <v/>
      </c>
      <c r="I1498" s="24">
        <f>IF($D1498="","",IFERROR(VLOOKUP($D1498,物料档案!$A$4:$P$1203,6,0),"※编码不在物料档案里"))</f>
        <v/>
      </c>
      <c r="J1498" s="23" t="n"/>
      <c r="K1498" s="17" t="n"/>
      <c r="L1498" s="17" t="n"/>
      <c r="M1498" s="17" t="n"/>
      <c r="N1498" s="17" t="n"/>
      <c r="O1498" s="26">
        <f>IF($D1498="","",IFERROR(VLOOKUP($D1498,物料档案!$A$4:$P$1203,10,0),0))</f>
        <v/>
      </c>
      <c r="P1498" s="32" t="n"/>
      <c r="Q1498" s="26">
        <f>IF($D1498="","",IF($K1498&lt;&gt;"对外销售",0,ROUND(N($J1498)*IF($P1498="",N($O1498),N($P1498)),0)))</f>
        <v/>
      </c>
      <c r="R1498" s="26">
        <f>IF($D1498="","",IFERROR(VLOOKUP($D1498,库存台账!$A$5:$Y$1204,11,0),0))</f>
        <v/>
      </c>
      <c r="S1498" s="26">
        <f>IF($D1498="","",ROUND(N($J1498)*N($R1498),0))</f>
        <v/>
      </c>
      <c r="T1498" s="26">
        <f>IF($D1498="","",IF($K1498&lt;&gt;"对外销售","",ROUND($Q1498-$S1498,0)))</f>
        <v/>
      </c>
      <c r="U1498" s="17" t="n"/>
      <c r="V1498" s="17" t="n"/>
      <c r="W1498" s="24">
        <f>IF($D1498="","",IF($E1498="※编码不在物料档案里","※物料编码不在档案里",IF(N($J1498)&lt;=0,"※出库数量要大于 0",IF($K1498="","※没填去向类型",IF($L1498="","※没填去向矿区",IF(AND($C1498&lt;&gt;"",$C1498&lt;=结账锁),"※日期早于已结账截止日，不能再录",IF(AND($K1498="自用消耗",COUNTIF({"一矿区";"二矿区"},$L1498)=0),"※自用消耗的去向只能是一矿区或二矿区",IF(AND($K1498="对外销售",COUNTIF({"三矿区";"六矿区"},$L1498)=0),"※对外销售的去向只能是三矿区或六矿区",IF(AND($K1498="对外销售",ROUND($Q1498,0)=0),"※外销却没有售价，请填实际售价",IF(AND($K1498="对外销售",$T1498&lt;&gt;"",$T1498&lt;0),"※这一笔外销是亏的，请核对售价",IF(IFERROR(VLOOKUP($D1498,库存台账!$A$5:$Y$1204,24,0),0)&lt;-0.001,"※这个物料账面已经变成负数了，查一下是不是漏记入库","")))))))))))</f>
        <v/>
      </c>
    </row>
    <row r="1499">
      <c r="A1499" s="24">
        <f>IF($D1499="","",COUNTA($D$4:$D1499))</f>
        <v/>
      </c>
      <c r="B1499" s="17" t="n"/>
      <c r="C1499" s="30" t="n"/>
      <c r="D1499" s="17" t="n"/>
      <c r="E1499" s="24">
        <f>IF($D1499="","",IFERROR(VLOOKUP($D1499,物料档案!$A$4:$P$1203,3,0),"※编码不在物料档案里"))</f>
        <v/>
      </c>
      <c r="F1499" s="24">
        <f>IF($D1499="","",IFERROR(VLOOKUP($D1499,物料档案!$A$4:$P$1203,4,0),"※编码不在物料档案里"))</f>
        <v/>
      </c>
      <c r="G1499" s="24">
        <f>IF($D1499="","",IFERROR(VLOOKUP($D1499,物料档案!$A$4:$P$1203,5,0),"※编码不在物料档案里"))</f>
        <v/>
      </c>
      <c r="H1499" s="24">
        <f>IF($D1499="","",IFERROR(VLOOKUP($D1499,物料档案!$A$4:$P$1203,2,0),"※编码不在物料档案里"))</f>
        <v/>
      </c>
      <c r="I1499" s="24">
        <f>IF($D1499="","",IFERROR(VLOOKUP($D1499,物料档案!$A$4:$P$1203,6,0),"※编码不在物料档案里"))</f>
        <v/>
      </c>
      <c r="J1499" s="23" t="n"/>
      <c r="K1499" s="17" t="n"/>
      <c r="L1499" s="17" t="n"/>
      <c r="M1499" s="17" t="n"/>
      <c r="N1499" s="17" t="n"/>
      <c r="O1499" s="26">
        <f>IF($D1499="","",IFERROR(VLOOKUP($D1499,物料档案!$A$4:$P$1203,10,0),0))</f>
        <v/>
      </c>
      <c r="P1499" s="32" t="n"/>
      <c r="Q1499" s="26">
        <f>IF($D1499="","",IF($K1499&lt;&gt;"对外销售",0,ROUND(N($J1499)*IF($P1499="",N($O1499),N($P1499)),0)))</f>
        <v/>
      </c>
      <c r="R1499" s="26">
        <f>IF($D1499="","",IFERROR(VLOOKUP($D1499,库存台账!$A$5:$Y$1204,11,0),0))</f>
        <v/>
      </c>
      <c r="S1499" s="26">
        <f>IF($D1499="","",ROUND(N($J1499)*N($R1499),0))</f>
        <v/>
      </c>
      <c r="T1499" s="26">
        <f>IF($D1499="","",IF($K1499&lt;&gt;"对外销售","",ROUND($Q1499-$S1499,0)))</f>
        <v/>
      </c>
      <c r="U1499" s="17" t="n"/>
      <c r="V1499" s="17" t="n"/>
      <c r="W1499" s="24">
        <f>IF($D1499="","",IF($E1499="※编码不在物料档案里","※物料编码不在档案里",IF(N($J1499)&lt;=0,"※出库数量要大于 0",IF($K1499="","※没填去向类型",IF($L1499="","※没填去向矿区",IF(AND($C1499&lt;&gt;"",$C1499&lt;=结账锁),"※日期早于已结账截止日，不能再录",IF(AND($K1499="自用消耗",COUNTIF({"一矿区";"二矿区"},$L1499)=0),"※自用消耗的去向只能是一矿区或二矿区",IF(AND($K1499="对外销售",COUNTIF({"三矿区";"六矿区"},$L1499)=0),"※对外销售的去向只能是三矿区或六矿区",IF(AND($K1499="对外销售",ROUND($Q1499,0)=0),"※外销却没有售价，请填实际售价",IF(AND($K1499="对外销售",$T1499&lt;&gt;"",$T1499&lt;0),"※这一笔外销是亏的，请核对售价",IF(IFERROR(VLOOKUP($D1499,库存台账!$A$5:$Y$1204,24,0),0)&lt;-0.001,"※这个物料账面已经变成负数了，查一下是不是漏记入库","")))))))))))</f>
        <v/>
      </c>
    </row>
    <row r="1500">
      <c r="A1500" s="24">
        <f>IF($D1500="","",COUNTA($D$4:$D1500))</f>
        <v/>
      </c>
      <c r="B1500" s="17" t="n"/>
      <c r="C1500" s="30" t="n"/>
      <c r="D1500" s="17" t="n"/>
      <c r="E1500" s="24">
        <f>IF($D1500="","",IFERROR(VLOOKUP($D1500,物料档案!$A$4:$P$1203,3,0),"※编码不在物料档案里"))</f>
        <v/>
      </c>
      <c r="F1500" s="24">
        <f>IF($D1500="","",IFERROR(VLOOKUP($D1500,物料档案!$A$4:$P$1203,4,0),"※编码不在物料档案里"))</f>
        <v/>
      </c>
      <c r="G1500" s="24">
        <f>IF($D1500="","",IFERROR(VLOOKUP($D1500,物料档案!$A$4:$P$1203,5,0),"※编码不在物料档案里"))</f>
        <v/>
      </c>
      <c r="H1500" s="24">
        <f>IF($D1500="","",IFERROR(VLOOKUP($D1500,物料档案!$A$4:$P$1203,2,0),"※编码不在物料档案里"))</f>
        <v/>
      </c>
      <c r="I1500" s="24">
        <f>IF($D1500="","",IFERROR(VLOOKUP($D1500,物料档案!$A$4:$P$1203,6,0),"※编码不在物料档案里"))</f>
        <v/>
      </c>
      <c r="J1500" s="23" t="n"/>
      <c r="K1500" s="17" t="n"/>
      <c r="L1500" s="17" t="n"/>
      <c r="M1500" s="17" t="n"/>
      <c r="N1500" s="17" t="n"/>
      <c r="O1500" s="26">
        <f>IF($D1500="","",IFERROR(VLOOKUP($D1500,物料档案!$A$4:$P$1203,10,0),0))</f>
        <v/>
      </c>
      <c r="P1500" s="32" t="n"/>
      <c r="Q1500" s="26">
        <f>IF($D1500="","",IF($K1500&lt;&gt;"对外销售",0,ROUND(N($J1500)*IF($P1500="",N($O1500),N($P1500)),0)))</f>
        <v/>
      </c>
      <c r="R1500" s="26">
        <f>IF($D1500="","",IFERROR(VLOOKUP($D1500,库存台账!$A$5:$Y$1204,11,0),0))</f>
        <v/>
      </c>
      <c r="S1500" s="26">
        <f>IF($D1500="","",ROUND(N($J1500)*N($R1500),0))</f>
        <v/>
      </c>
      <c r="T1500" s="26">
        <f>IF($D1500="","",IF($K1500&lt;&gt;"对外销售","",ROUND($Q1500-$S1500,0)))</f>
        <v/>
      </c>
      <c r="U1500" s="17" t="n"/>
      <c r="V1500" s="17" t="n"/>
      <c r="W1500" s="24">
        <f>IF($D1500="","",IF($E1500="※编码不在物料档案里","※物料编码不在档案里",IF(N($J1500)&lt;=0,"※出库数量要大于 0",IF($K1500="","※没填去向类型",IF($L1500="","※没填去向矿区",IF(AND($C1500&lt;&gt;"",$C1500&lt;=结账锁),"※日期早于已结账截止日，不能再录",IF(AND($K1500="自用消耗",COUNTIF({"一矿区";"二矿区"},$L1500)=0),"※自用消耗的去向只能是一矿区或二矿区",IF(AND($K1500="对外销售",COUNTIF({"三矿区";"六矿区"},$L1500)=0),"※对外销售的去向只能是三矿区或六矿区",IF(AND($K1500="对外销售",ROUND($Q1500,0)=0),"※外销却没有售价，请填实际售价",IF(AND($K1500="对外销售",$T1500&lt;&gt;"",$T1500&lt;0),"※这一笔外销是亏的，请核对售价",IF(IFERROR(VLOOKUP($D1500,库存台账!$A$5:$Y$1204,24,0),0)&lt;-0.001,"※这个物料账面已经变成负数了，查一下是不是漏记入库","")))))))))))</f>
        <v/>
      </c>
    </row>
    <row r="1501">
      <c r="A1501" s="24">
        <f>IF($D1501="","",COUNTA($D$4:$D1501))</f>
        <v/>
      </c>
      <c r="B1501" s="17" t="n"/>
      <c r="C1501" s="30" t="n"/>
      <c r="D1501" s="17" t="n"/>
      <c r="E1501" s="24">
        <f>IF($D1501="","",IFERROR(VLOOKUP($D1501,物料档案!$A$4:$P$1203,3,0),"※编码不在物料档案里"))</f>
        <v/>
      </c>
      <c r="F1501" s="24">
        <f>IF($D1501="","",IFERROR(VLOOKUP($D1501,物料档案!$A$4:$P$1203,4,0),"※编码不在物料档案里"))</f>
        <v/>
      </c>
      <c r="G1501" s="24">
        <f>IF($D1501="","",IFERROR(VLOOKUP($D1501,物料档案!$A$4:$P$1203,5,0),"※编码不在物料档案里"))</f>
        <v/>
      </c>
      <c r="H1501" s="24">
        <f>IF($D1501="","",IFERROR(VLOOKUP($D1501,物料档案!$A$4:$P$1203,2,0),"※编码不在物料档案里"))</f>
        <v/>
      </c>
      <c r="I1501" s="24">
        <f>IF($D1501="","",IFERROR(VLOOKUP($D1501,物料档案!$A$4:$P$1203,6,0),"※编码不在物料档案里"))</f>
        <v/>
      </c>
      <c r="J1501" s="23" t="n"/>
      <c r="K1501" s="17" t="n"/>
      <c r="L1501" s="17" t="n"/>
      <c r="M1501" s="17" t="n"/>
      <c r="N1501" s="17" t="n"/>
      <c r="O1501" s="26">
        <f>IF($D1501="","",IFERROR(VLOOKUP($D1501,物料档案!$A$4:$P$1203,10,0),0))</f>
        <v/>
      </c>
      <c r="P1501" s="32" t="n"/>
      <c r="Q1501" s="26">
        <f>IF($D1501="","",IF($K1501&lt;&gt;"对外销售",0,ROUND(N($J1501)*IF($P1501="",N($O1501),N($P1501)),0)))</f>
        <v/>
      </c>
      <c r="R1501" s="26">
        <f>IF($D1501="","",IFERROR(VLOOKUP($D1501,库存台账!$A$5:$Y$1204,11,0),0))</f>
        <v/>
      </c>
      <c r="S1501" s="26">
        <f>IF($D1501="","",ROUND(N($J1501)*N($R1501),0))</f>
        <v/>
      </c>
      <c r="T1501" s="26">
        <f>IF($D1501="","",IF($K1501&lt;&gt;"对外销售","",ROUND($Q1501-$S1501,0)))</f>
        <v/>
      </c>
      <c r="U1501" s="17" t="n"/>
      <c r="V1501" s="17" t="n"/>
      <c r="W1501" s="24">
        <f>IF($D1501="","",IF($E1501="※编码不在物料档案里","※物料编码不在档案里",IF(N($J1501)&lt;=0,"※出库数量要大于 0",IF($K1501="","※没填去向类型",IF($L1501="","※没填去向矿区",IF(AND($C1501&lt;&gt;"",$C1501&lt;=结账锁),"※日期早于已结账截止日，不能再录",IF(AND($K1501="自用消耗",COUNTIF({"一矿区";"二矿区"},$L1501)=0),"※自用消耗的去向只能是一矿区或二矿区",IF(AND($K1501="对外销售",COUNTIF({"三矿区";"六矿区"},$L1501)=0),"※对外销售的去向只能是三矿区或六矿区",IF(AND($K1501="对外销售",ROUND($Q1501,0)=0),"※外销却没有售价，请填实际售价",IF(AND($K1501="对外销售",$T1501&lt;&gt;"",$T1501&lt;0),"※这一笔外销是亏的，请核对售价",IF(IFERROR(VLOOKUP($D1501,库存台账!$A$5:$Y$1204,24,0),0)&lt;-0.001,"※这个物料账面已经变成负数了，查一下是不是漏记入库","")))))))))))</f>
        <v/>
      </c>
    </row>
    <row r="1502">
      <c r="A1502" s="24">
        <f>IF($D1502="","",COUNTA($D$4:$D1502))</f>
        <v/>
      </c>
      <c r="B1502" s="17" t="n"/>
      <c r="C1502" s="30" t="n"/>
      <c r="D1502" s="17" t="n"/>
      <c r="E1502" s="24">
        <f>IF($D1502="","",IFERROR(VLOOKUP($D1502,物料档案!$A$4:$P$1203,3,0),"※编码不在物料档案里"))</f>
        <v/>
      </c>
      <c r="F1502" s="24">
        <f>IF($D1502="","",IFERROR(VLOOKUP($D1502,物料档案!$A$4:$P$1203,4,0),"※编码不在物料档案里"))</f>
        <v/>
      </c>
      <c r="G1502" s="24">
        <f>IF($D1502="","",IFERROR(VLOOKUP($D1502,物料档案!$A$4:$P$1203,5,0),"※编码不在物料档案里"))</f>
        <v/>
      </c>
      <c r="H1502" s="24">
        <f>IF($D1502="","",IFERROR(VLOOKUP($D1502,物料档案!$A$4:$P$1203,2,0),"※编码不在物料档案里"))</f>
        <v/>
      </c>
      <c r="I1502" s="24">
        <f>IF($D1502="","",IFERROR(VLOOKUP($D1502,物料档案!$A$4:$P$1203,6,0),"※编码不在物料档案里"))</f>
        <v/>
      </c>
      <c r="J1502" s="23" t="n"/>
      <c r="K1502" s="17" t="n"/>
      <c r="L1502" s="17" t="n"/>
      <c r="M1502" s="17" t="n"/>
      <c r="N1502" s="17" t="n"/>
      <c r="O1502" s="26">
        <f>IF($D1502="","",IFERROR(VLOOKUP($D1502,物料档案!$A$4:$P$1203,10,0),0))</f>
        <v/>
      </c>
      <c r="P1502" s="32" t="n"/>
      <c r="Q1502" s="26">
        <f>IF($D1502="","",IF($K1502&lt;&gt;"对外销售",0,ROUND(N($J1502)*IF($P1502="",N($O1502),N($P1502)),0)))</f>
        <v/>
      </c>
      <c r="R1502" s="26">
        <f>IF($D1502="","",IFERROR(VLOOKUP($D1502,库存台账!$A$5:$Y$1204,11,0),0))</f>
        <v/>
      </c>
      <c r="S1502" s="26">
        <f>IF($D1502="","",ROUND(N($J1502)*N($R1502),0))</f>
        <v/>
      </c>
      <c r="T1502" s="26">
        <f>IF($D1502="","",IF($K1502&lt;&gt;"对外销售","",ROUND($Q1502-$S1502,0)))</f>
        <v/>
      </c>
      <c r="U1502" s="17" t="n"/>
      <c r="V1502" s="17" t="n"/>
      <c r="W1502" s="24">
        <f>IF($D1502="","",IF($E1502="※编码不在物料档案里","※物料编码不在档案里",IF(N($J1502)&lt;=0,"※出库数量要大于 0",IF($K1502="","※没填去向类型",IF($L1502="","※没填去向矿区",IF(AND($C1502&lt;&gt;"",$C1502&lt;=结账锁),"※日期早于已结账截止日，不能再录",IF(AND($K1502="自用消耗",COUNTIF({"一矿区";"二矿区"},$L1502)=0),"※自用消耗的去向只能是一矿区或二矿区",IF(AND($K1502="对外销售",COUNTIF({"三矿区";"六矿区"},$L1502)=0),"※对外销售的去向只能是三矿区或六矿区",IF(AND($K1502="对外销售",ROUND($Q1502,0)=0),"※外销却没有售价，请填实际售价",IF(AND($K1502="对外销售",$T1502&lt;&gt;"",$T1502&lt;0),"※这一笔外销是亏的，请核对售价",IF(IFERROR(VLOOKUP($D1502,库存台账!$A$5:$Y$1204,24,0),0)&lt;-0.001,"※这个物料账面已经变成负数了，查一下是不是漏记入库","")))))))))))</f>
        <v/>
      </c>
    </row>
    <row r="1503">
      <c r="A1503" s="24">
        <f>IF($D1503="","",COUNTA($D$4:$D1503))</f>
        <v/>
      </c>
      <c r="B1503" s="17" t="n"/>
      <c r="C1503" s="30" t="n"/>
      <c r="D1503" s="17" t="n"/>
      <c r="E1503" s="24">
        <f>IF($D1503="","",IFERROR(VLOOKUP($D1503,物料档案!$A$4:$P$1203,3,0),"※编码不在物料档案里"))</f>
        <v/>
      </c>
      <c r="F1503" s="24">
        <f>IF($D1503="","",IFERROR(VLOOKUP($D1503,物料档案!$A$4:$P$1203,4,0),"※编码不在物料档案里"))</f>
        <v/>
      </c>
      <c r="G1503" s="24">
        <f>IF($D1503="","",IFERROR(VLOOKUP($D1503,物料档案!$A$4:$P$1203,5,0),"※编码不在物料档案里"))</f>
        <v/>
      </c>
      <c r="H1503" s="24">
        <f>IF($D1503="","",IFERROR(VLOOKUP($D1503,物料档案!$A$4:$P$1203,2,0),"※编码不在物料档案里"))</f>
        <v/>
      </c>
      <c r="I1503" s="24">
        <f>IF($D1503="","",IFERROR(VLOOKUP($D1503,物料档案!$A$4:$P$1203,6,0),"※编码不在物料档案里"))</f>
        <v/>
      </c>
      <c r="J1503" s="23" t="n"/>
      <c r="K1503" s="17" t="n"/>
      <c r="L1503" s="17" t="n"/>
      <c r="M1503" s="17" t="n"/>
      <c r="N1503" s="17" t="n"/>
      <c r="O1503" s="26">
        <f>IF($D1503="","",IFERROR(VLOOKUP($D1503,物料档案!$A$4:$P$1203,10,0),0))</f>
        <v/>
      </c>
      <c r="P1503" s="32" t="n"/>
      <c r="Q1503" s="26">
        <f>IF($D1503="","",IF($K1503&lt;&gt;"对外销售",0,ROUND(N($J1503)*IF($P1503="",N($O1503),N($P1503)),0)))</f>
        <v/>
      </c>
      <c r="R1503" s="26">
        <f>IF($D1503="","",IFERROR(VLOOKUP($D1503,库存台账!$A$5:$Y$1204,11,0),0))</f>
        <v/>
      </c>
      <c r="S1503" s="26">
        <f>IF($D1503="","",ROUND(N($J1503)*N($R1503),0))</f>
        <v/>
      </c>
      <c r="T1503" s="26">
        <f>IF($D1503="","",IF($K1503&lt;&gt;"对外销售","",ROUND($Q1503-$S1503,0)))</f>
        <v/>
      </c>
      <c r="U1503" s="17" t="n"/>
      <c r="V1503" s="17" t="n"/>
      <c r="W1503" s="24">
        <f>IF($D1503="","",IF($E1503="※编码不在物料档案里","※物料编码不在档案里",IF(N($J1503)&lt;=0,"※出库数量要大于 0",IF($K1503="","※没填去向类型",IF($L1503="","※没填去向矿区",IF(AND($C1503&lt;&gt;"",$C1503&lt;=结账锁),"※日期早于已结账截止日，不能再录",IF(AND($K1503="自用消耗",COUNTIF({"一矿区";"二矿区"},$L1503)=0),"※自用消耗的去向只能是一矿区或二矿区",IF(AND($K1503="对外销售",COUNTIF({"三矿区";"六矿区"},$L1503)=0),"※对外销售的去向只能是三矿区或六矿区",IF(AND($K1503="对外销售",ROUND($Q1503,0)=0),"※外销却没有售价，请填实际售价",IF(AND($K1503="对外销售",$T1503&lt;&gt;"",$T1503&lt;0),"※这一笔外销是亏的，请核对售价",IF(IFERROR(VLOOKUP($D1503,库存台账!$A$5:$Y$1204,24,0),0)&lt;-0.001,"※这个物料账面已经变成负数了，查一下是不是漏记入库","")))))))))))</f>
        <v/>
      </c>
    </row>
    <row r="1504">
      <c r="A1504" s="24">
        <f>IF($D1504="","",COUNTA($D$4:$D1504))</f>
        <v/>
      </c>
      <c r="B1504" s="17" t="n"/>
      <c r="C1504" s="30" t="n"/>
      <c r="D1504" s="17" t="n"/>
      <c r="E1504" s="24">
        <f>IF($D1504="","",IFERROR(VLOOKUP($D1504,物料档案!$A$4:$P$1203,3,0),"※编码不在物料档案里"))</f>
        <v/>
      </c>
      <c r="F1504" s="24">
        <f>IF($D1504="","",IFERROR(VLOOKUP($D1504,物料档案!$A$4:$P$1203,4,0),"※编码不在物料档案里"))</f>
        <v/>
      </c>
      <c r="G1504" s="24">
        <f>IF($D1504="","",IFERROR(VLOOKUP($D1504,物料档案!$A$4:$P$1203,5,0),"※编码不在物料档案里"))</f>
        <v/>
      </c>
      <c r="H1504" s="24">
        <f>IF($D1504="","",IFERROR(VLOOKUP($D1504,物料档案!$A$4:$P$1203,2,0),"※编码不在物料档案里"))</f>
        <v/>
      </c>
      <c r="I1504" s="24">
        <f>IF($D1504="","",IFERROR(VLOOKUP($D1504,物料档案!$A$4:$P$1203,6,0),"※编码不在物料档案里"))</f>
        <v/>
      </c>
      <c r="J1504" s="23" t="n"/>
      <c r="K1504" s="17" t="n"/>
      <c r="L1504" s="17" t="n"/>
      <c r="M1504" s="17" t="n"/>
      <c r="N1504" s="17" t="n"/>
      <c r="O1504" s="26">
        <f>IF($D1504="","",IFERROR(VLOOKUP($D1504,物料档案!$A$4:$P$1203,10,0),0))</f>
        <v/>
      </c>
      <c r="P1504" s="32" t="n"/>
      <c r="Q1504" s="26">
        <f>IF($D1504="","",IF($K1504&lt;&gt;"对外销售",0,ROUND(N($J1504)*IF($P1504="",N($O1504),N($P1504)),0)))</f>
        <v/>
      </c>
      <c r="R1504" s="26">
        <f>IF($D1504="","",IFERROR(VLOOKUP($D1504,库存台账!$A$5:$Y$1204,11,0),0))</f>
        <v/>
      </c>
      <c r="S1504" s="26">
        <f>IF($D1504="","",ROUND(N($J1504)*N($R1504),0))</f>
        <v/>
      </c>
      <c r="T1504" s="26">
        <f>IF($D1504="","",IF($K1504&lt;&gt;"对外销售","",ROUND($Q1504-$S1504,0)))</f>
        <v/>
      </c>
      <c r="U1504" s="17" t="n"/>
      <c r="V1504" s="17" t="n"/>
      <c r="W1504" s="24">
        <f>IF($D1504="","",IF($E1504="※编码不在物料档案里","※物料编码不在档案里",IF(N($J1504)&lt;=0,"※出库数量要大于 0",IF($K1504="","※没填去向类型",IF($L1504="","※没填去向矿区",IF(AND($C1504&lt;&gt;"",$C1504&lt;=结账锁),"※日期早于已结账截止日，不能再录",IF(AND($K1504="自用消耗",COUNTIF({"一矿区";"二矿区"},$L1504)=0),"※自用消耗的去向只能是一矿区或二矿区",IF(AND($K1504="对外销售",COUNTIF({"三矿区";"六矿区"},$L1504)=0),"※对外销售的去向只能是三矿区或六矿区",IF(AND($K1504="对外销售",ROUND($Q1504,0)=0),"※外销却没有售价，请填实际售价",IF(AND($K1504="对外销售",$T1504&lt;&gt;"",$T1504&lt;0),"※这一笔外销是亏的，请核对售价",IF(IFERROR(VLOOKUP($D1504,库存台账!$A$5:$Y$1204,24,0),0)&lt;-0.001,"※这个物料账面已经变成负数了，查一下是不是漏记入库","")))))))))))</f>
        <v/>
      </c>
    </row>
    <row r="1505">
      <c r="A1505" s="24">
        <f>IF($D1505="","",COUNTA($D$4:$D1505))</f>
        <v/>
      </c>
      <c r="B1505" s="17" t="n"/>
      <c r="C1505" s="30" t="n"/>
      <c r="D1505" s="17" t="n"/>
      <c r="E1505" s="24">
        <f>IF($D1505="","",IFERROR(VLOOKUP($D1505,物料档案!$A$4:$P$1203,3,0),"※编码不在物料档案里"))</f>
        <v/>
      </c>
      <c r="F1505" s="24">
        <f>IF($D1505="","",IFERROR(VLOOKUP($D1505,物料档案!$A$4:$P$1203,4,0),"※编码不在物料档案里"))</f>
        <v/>
      </c>
      <c r="G1505" s="24">
        <f>IF($D1505="","",IFERROR(VLOOKUP($D1505,物料档案!$A$4:$P$1203,5,0),"※编码不在物料档案里"))</f>
        <v/>
      </c>
      <c r="H1505" s="24">
        <f>IF($D1505="","",IFERROR(VLOOKUP($D1505,物料档案!$A$4:$P$1203,2,0),"※编码不在物料档案里"))</f>
        <v/>
      </c>
      <c r="I1505" s="24">
        <f>IF($D1505="","",IFERROR(VLOOKUP($D1505,物料档案!$A$4:$P$1203,6,0),"※编码不在物料档案里"))</f>
        <v/>
      </c>
      <c r="J1505" s="23" t="n"/>
      <c r="K1505" s="17" t="n"/>
      <c r="L1505" s="17" t="n"/>
      <c r="M1505" s="17" t="n"/>
      <c r="N1505" s="17" t="n"/>
      <c r="O1505" s="26">
        <f>IF($D1505="","",IFERROR(VLOOKUP($D1505,物料档案!$A$4:$P$1203,10,0),0))</f>
        <v/>
      </c>
      <c r="P1505" s="32" t="n"/>
      <c r="Q1505" s="26">
        <f>IF($D1505="","",IF($K1505&lt;&gt;"对外销售",0,ROUND(N($J1505)*IF($P1505="",N($O1505),N($P1505)),0)))</f>
        <v/>
      </c>
      <c r="R1505" s="26">
        <f>IF($D1505="","",IFERROR(VLOOKUP($D1505,库存台账!$A$5:$Y$1204,11,0),0))</f>
        <v/>
      </c>
      <c r="S1505" s="26">
        <f>IF($D1505="","",ROUND(N($J1505)*N($R1505),0))</f>
        <v/>
      </c>
      <c r="T1505" s="26">
        <f>IF($D1505="","",IF($K1505&lt;&gt;"对外销售","",ROUND($Q1505-$S1505,0)))</f>
        <v/>
      </c>
      <c r="U1505" s="17" t="n"/>
      <c r="V1505" s="17" t="n"/>
      <c r="W1505" s="24">
        <f>IF($D1505="","",IF($E1505="※编码不在物料档案里","※物料编码不在档案里",IF(N($J1505)&lt;=0,"※出库数量要大于 0",IF($K1505="","※没填去向类型",IF($L1505="","※没填去向矿区",IF(AND($C1505&lt;&gt;"",$C1505&lt;=结账锁),"※日期早于已结账截止日，不能再录",IF(AND($K1505="自用消耗",COUNTIF({"一矿区";"二矿区"},$L1505)=0),"※自用消耗的去向只能是一矿区或二矿区",IF(AND($K1505="对外销售",COUNTIF({"三矿区";"六矿区"},$L1505)=0),"※对外销售的去向只能是三矿区或六矿区",IF(AND($K1505="对外销售",ROUND($Q1505,0)=0),"※外销却没有售价，请填实际售价",IF(AND($K1505="对外销售",$T1505&lt;&gt;"",$T1505&lt;0),"※这一笔外销是亏的，请核对售价",IF(IFERROR(VLOOKUP($D1505,库存台账!$A$5:$Y$1204,24,0),0)&lt;-0.001,"※这个物料账面已经变成负数了，查一下是不是漏记入库","")))))))))))</f>
        <v/>
      </c>
    </row>
    <row r="1506">
      <c r="A1506" s="24">
        <f>IF($D1506="","",COUNTA($D$4:$D1506))</f>
        <v/>
      </c>
      <c r="B1506" s="17" t="n"/>
      <c r="C1506" s="30" t="n"/>
      <c r="D1506" s="17" t="n"/>
      <c r="E1506" s="24">
        <f>IF($D1506="","",IFERROR(VLOOKUP($D1506,物料档案!$A$4:$P$1203,3,0),"※编码不在物料档案里"))</f>
        <v/>
      </c>
      <c r="F1506" s="24">
        <f>IF($D1506="","",IFERROR(VLOOKUP($D1506,物料档案!$A$4:$P$1203,4,0),"※编码不在物料档案里"))</f>
        <v/>
      </c>
      <c r="G1506" s="24">
        <f>IF($D1506="","",IFERROR(VLOOKUP($D1506,物料档案!$A$4:$P$1203,5,0),"※编码不在物料档案里"))</f>
        <v/>
      </c>
      <c r="H1506" s="24">
        <f>IF($D1506="","",IFERROR(VLOOKUP($D1506,物料档案!$A$4:$P$1203,2,0),"※编码不在物料档案里"))</f>
        <v/>
      </c>
      <c r="I1506" s="24">
        <f>IF($D1506="","",IFERROR(VLOOKUP($D1506,物料档案!$A$4:$P$1203,6,0),"※编码不在物料档案里"))</f>
        <v/>
      </c>
      <c r="J1506" s="23" t="n"/>
      <c r="K1506" s="17" t="n"/>
      <c r="L1506" s="17" t="n"/>
      <c r="M1506" s="17" t="n"/>
      <c r="N1506" s="17" t="n"/>
      <c r="O1506" s="26">
        <f>IF($D1506="","",IFERROR(VLOOKUP($D1506,物料档案!$A$4:$P$1203,10,0),0))</f>
        <v/>
      </c>
      <c r="P1506" s="32" t="n"/>
      <c r="Q1506" s="26">
        <f>IF($D1506="","",IF($K1506&lt;&gt;"对外销售",0,ROUND(N($J1506)*IF($P1506="",N($O1506),N($P1506)),0)))</f>
        <v/>
      </c>
      <c r="R1506" s="26">
        <f>IF($D1506="","",IFERROR(VLOOKUP($D1506,库存台账!$A$5:$Y$1204,11,0),0))</f>
        <v/>
      </c>
      <c r="S1506" s="26">
        <f>IF($D1506="","",ROUND(N($J1506)*N($R1506),0))</f>
        <v/>
      </c>
      <c r="T1506" s="26">
        <f>IF($D1506="","",IF($K1506&lt;&gt;"对外销售","",ROUND($Q1506-$S1506,0)))</f>
        <v/>
      </c>
      <c r="U1506" s="17" t="n"/>
      <c r="V1506" s="17" t="n"/>
      <c r="W1506" s="24">
        <f>IF($D1506="","",IF($E1506="※编码不在物料档案里","※物料编码不在档案里",IF(N($J1506)&lt;=0,"※出库数量要大于 0",IF($K1506="","※没填去向类型",IF($L1506="","※没填去向矿区",IF(AND($C1506&lt;&gt;"",$C1506&lt;=结账锁),"※日期早于已结账截止日，不能再录",IF(AND($K1506="自用消耗",COUNTIF({"一矿区";"二矿区"},$L1506)=0),"※自用消耗的去向只能是一矿区或二矿区",IF(AND($K1506="对外销售",COUNTIF({"三矿区";"六矿区"},$L1506)=0),"※对外销售的去向只能是三矿区或六矿区",IF(AND($K1506="对外销售",ROUND($Q1506,0)=0),"※外销却没有售价，请填实际售价",IF(AND($K1506="对外销售",$T1506&lt;&gt;"",$T1506&lt;0),"※这一笔外销是亏的，请核对售价",IF(IFERROR(VLOOKUP($D1506,库存台账!$A$5:$Y$1204,24,0),0)&lt;-0.001,"※这个物料账面已经变成负数了，查一下是不是漏记入库","")))))))))))</f>
        <v/>
      </c>
    </row>
    <row r="1507">
      <c r="A1507" s="24">
        <f>IF($D1507="","",COUNTA($D$4:$D1507))</f>
        <v/>
      </c>
      <c r="B1507" s="17" t="n"/>
      <c r="C1507" s="30" t="n"/>
      <c r="D1507" s="17" t="n"/>
      <c r="E1507" s="24">
        <f>IF($D1507="","",IFERROR(VLOOKUP($D1507,物料档案!$A$4:$P$1203,3,0),"※编码不在物料档案里"))</f>
        <v/>
      </c>
      <c r="F1507" s="24">
        <f>IF($D1507="","",IFERROR(VLOOKUP($D1507,物料档案!$A$4:$P$1203,4,0),"※编码不在物料档案里"))</f>
        <v/>
      </c>
      <c r="G1507" s="24">
        <f>IF($D1507="","",IFERROR(VLOOKUP($D1507,物料档案!$A$4:$P$1203,5,0),"※编码不在物料档案里"))</f>
        <v/>
      </c>
      <c r="H1507" s="24">
        <f>IF($D1507="","",IFERROR(VLOOKUP($D1507,物料档案!$A$4:$P$1203,2,0),"※编码不在物料档案里"))</f>
        <v/>
      </c>
      <c r="I1507" s="24">
        <f>IF($D1507="","",IFERROR(VLOOKUP($D1507,物料档案!$A$4:$P$1203,6,0),"※编码不在物料档案里"))</f>
        <v/>
      </c>
      <c r="J1507" s="23" t="n"/>
      <c r="K1507" s="17" t="n"/>
      <c r="L1507" s="17" t="n"/>
      <c r="M1507" s="17" t="n"/>
      <c r="N1507" s="17" t="n"/>
      <c r="O1507" s="26">
        <f>IF($D1507="","",IFERROR(VLOOKUP($D1507,物料档案!$A$4:$P$1203,10,0),0))</f>
        <v/>
      </c>
      <c r="P1507" s="32" t="n"/>
      <c r="Q1507" s="26">
        <f>IF($D1507="","",IF($K1507&lt;&gt;"对外销售",0,ROUND(N($J1507)*IF($P1507="",N($O1507),N($P1507)),0)))</f>
        <v/>
      </c>
      <c r="R1507" s="26">
        <f>IF($D1507="","",IFERROR(VLOOKUP($D1507,库存台账!$A$5:$Y$1204,11,0),0))</f>
        <v/>
      </c>
      <c r="S1507" s="26">
        <f>IF($D1507="","",ROUND(N($J1507)*N($R1507),0))</f>
        <v/>
      </c>
      <c r="T1507" s="26">
        <f>IF($D1507="","",IF($K1507&lt;&gt;"对外销售","",ROUND($Q1507-$S1507,0)))</f>
        <v/>
      </c>
      <c r="U1507" s="17" t="n"/>
      <c r="V1507" s="17" t="n"/>
      <c r="W1507" s="24">
        <f>IF($D1507="","",IF($E1507="※编码不在物料档案里","※物料编码不在档案里",IF(N($J1507)&lt;=0,"※出库数量要大于 0",IF($K1507="","※没填去向类型",IF($L1507="","※没填去向矿区",IF(AND($C1507&lt;&gt;"",$C1507&lt;=结账锁),"※日期早于已结账截止日，不能再录",IF(AND($K1507="自用消耗",COUNTIF({"一矿区";"二矿区"},$L1507)=0),"※自用消耗的去向只能是一矿区或二矿区",IF(AND($K1507="对外销售",COUNTIF({"三矿区";"六矿区"},$L1507)=0),"※对外销售的去向只能是三矿区或六矿区",IF(AND($K1507="对外销售",ROUND($Q1507,0)=0),"※外销却没有售价，请填实际售价",IF(AND($K1507="对外销售",$T1507&lt;&gt;"",$T1507&lt;0),"※这一笔外销是亏的，请核对售价",IF(IFERROR(VLOOKUP($D1507,库存台账!$A$5:$Y$1204,24,0),0)&lt;-0.001,"※这个物料账面已经变成负数了，查一下是不是漏记入库","")))))))))))</f>
        <v/>
      </c>
    </row>
    <row r="1508">
      <c r="A1508" s="24">
        <f>IF($D1508="","",COUNTA($D$4:$D1508))</f>
        <v/>
      </c>
      <c r="B1508" s="17" t="n"/>
      <c r="C1508" s="30" t="n"/>
      <c r="D1508" s="17" t="n"/>
      <c r="E1508" s="24">
        <f>IF($D1508="","",IFERROR(VLOOKUP($D1508,物料档案!$A$4:$P$1203,3,0),"※编码不在物料档案里"))</f>
        <v/>
      </c>
      <c r="F1508" s="24">
        <f>IF($D1508="","",IFERROR(VLOOKUP($D1508,物料档案!$A$4:$P$1203,4,0),"※编码不在物料档案里"))</f>
        <v/>
      </c>
      <c r="G1508" s="24">
        <f>IF($D1508="","",IFERROR(VLOOKUP($D1508,物料档案!$A$4:$P$1203,5,0),"※编码不在物料档案里"))</f>
        <v/>
      </c>
      <c r="H1508" s="24">
        <f>IF($D1508="","",IFERROR(VLOOKUP($D1508,物料档案!$A$4:$P$1203,2,0),"※编码不在物料档案里"))</f>
        <v/>
      </c>
      <c r="I1508" s="24">
        <f>IF($D1508="","",IFERROR(VLOOKUP($D1508,物料档案!$A$4:$P$1203,6,0),"※编码不在物料档案里"))</f>
        <v/>
      </c>
      <c r="J1508" s="23" t="n"/>
      <c r="K1508" s="17" t="n"/>
      <c r="L1508" s="17" t="n"/>
      <c r="M1508" s="17" t="n"/>
      <c r="N1508" s="17" t="n"/>
      <c r="O1508" s="26">
        <f>IF($D1508="","",IFERROR(VLOOKUP($D1508,物料档案!$A$4:$P$1203,10,0),0))</f>
        <v/>
      </c>
      <c r="P1508" s="32" t="n"/>
      <c r="Q1508" s="26">
        <f>IF($D1508="","",IF($K1508&lt;&gt;"对外销售",0,ROUND(N($J1508)*IF($P1508="",N($O1508),N($P1508)),0)))</f>
        <v/>
      </c>
      <c r="R1508" s="26">
        <f>IF($D1508="","",IFERROR(VLOOKUP($D1508,库存台账!$A$5:$Y$1204,11,0),0))</f>
        <v/>
      </c>
      <c r="S1508" s="26">
        <f>IF($D1508="","",ROUND(N($J1508)*N($R1508),0))</f>
        <v/>
      </c>
      <c r="T1508" s="26">
        <f>IF($D1508="","",IF($K1508&lt;&gt;"对外销售","",ROUND($Q1508-$S1508,0)))</f>
        <v/>
      </c>
      <c r="U1508" s="17" t="n"/>
      <c r="V1508" s="17" t="n"/>
      <c r="W1508" s="24">
        <f>IF($D1508="","",IF($E1508="※编码不在物料档案里","※物料编码不在档案里",IF(N($J1508)&lt;=0,"※出库数量要大于 0",IF($K1508="","※没填去向类型",IF($L1508="","※没填去向矿区",IF(AND($C1508&lt;&gt;"",$C1508&lt;=结账锁),"※日期早于已结账截止日，不能再录",IF(AND($K1508="自用消耗",COUNTIF({"一矿区";"二矿区"},$L1508)=0),"※自用消耗的去向只能是一矿区或二矿区",IF(AND($K1508="对外销售",COUNTIF({"三矿区";"六矿区"},$L1508)=0),"※对外销售的去向只能是三矿区或六矿区",IF(AND($K1508="对外销售",ROUND($Q1508,0)=0),"※外销却没有售价，请填实际售价",IF(AND($K1508="对外销售",$T1508&lt;&gt;"",$T1508&lt;0),"※这一笔外销是亏的，请核对售价",IF(IFERROR(VLOOKUP($D1508,库存台账!$A$5:$Y$1204,24,0),0)&lt;-0.001,"※这个物料账面已经变成负数了，查一下是不是漏记入库","")))))))))))</f>
        <v/>
      </c>
    </row>
    <row r="1509">
      <c r="A1509" s="24">
        <f>IF($D1509="","",COUNTA($D$4:$D1509))</f>
        <v/>
      </c>
      <c r="B1509" s="17" t="n"/>
      <c r="C1509" s="30" t="n"/>
      <c r="D1509" s="17" t="n"/>
      <c r="E1509" s="24">
        <f>IF($D1509="","",IFERROR(VLOOKUP($D1509,物料档案!$A$4:$P$1203,3,0),"※编码不在物料档案里"))</f>
        <v/>
      </c>
      <c r="F1509" s="24">
        <f>IF($D1509="","",IFERROR(VLOOKUP($D1509,物料档案!$A$4:$P$1203,4,0),"※编码不在物料档案里"))</f>
        <v/>
      </c>
      <c r="G1509" s="24">
        <f>IF($D1509="","",IFERROR(VLOOKUP($D1509,物料档案!$A$4:$P$1203,5,0),"※编码不在物料档案里"))</f>
        <v/>
      </c>
      <c r="H1509" s="24">
        <f>IF($D1509="","",IFERROR(VLOOKUP($D1509,物料档案!$A$4:$P$1203,2,0),"※编码不在物料档案里"))</f>
        <v/>
      </c>
      <c r="I1509" s="24">
        <f>IF($D1509="","",IFERROR(VLOOKUP($D1509,物料档案!$A$4:$P$1203,6,0),"※编码不在物料档案里"))</f>
        <v/>
      </c>
      <c r="J1509" s="23" t="n"/>
      <c r="K1509" s="17" t="n"/>
      <c r="L1509" s="17" t="n"/>
      <c r="M1509" s="17" t="n"/>
      <c r="N1509" s="17" t="n"/>
      <c r="O1509" s="26">
        <f>IF($D1509="","",IFERROR(VLOOKUP($D1509,物料档案!$A$4:$P$1203,10,0),0))</f>
        <v/>
      </c>
      <c r="P1509" s="32" t="n"/>
      <c r="Q1509" s="26">
        <f>IF($D1509="","",IF($K1509&lt;&gt;"对外销售",0,ROUND(N($J1509)*IF($P1509="",N($O1509),N($P1509)),0)))</f>
        <v/>
      </c>
      <c r="R1509" s="26">
        <f>IF($D1509="","",IFERROR(VLOOKUP($D1509,库存台账!$A$5:$Y$1204,11,0),0))</f>
        <v/>
      </c>
      <c r="S1509" s="26">
        <f>IF($D1509="","",ROUND(N($J1509)*N($R1509),0))</f>
        <v/>
      </c>
      <c r="T1509" s="26">
        <f>IF($D1509="","",IF($K1509&lt;&gt;"对外销售","",ROUND($Q1509-$S1509,0)))</f>
        <v/>
      </c>
      <c r="U1509" s="17" t="n"/>
      <c r="V1509" s="17" t="n"/>
      <c r="W1509" s="24">
        <f>IF($D1509="","",IF($E1509="※编码不在物料档案里","※物料编码不在档案里",IF(N($J1509)&lt;=0,"※出库数量要大于 0",IF($K1509="","※没填去向类型",IF($L1509="","※没填去向矿区",IF(AND($C1509&lt;&gt;"",$C1509&lt;=结账锁),"※日期早于已结账截止日，不能再录",IF(AND($K1509="自用消耗",COUNTIF({"一矿区";"二矿区"},$L1509)=0),"※自用消耗的去向只能是一矿区或二矿区",IF(AND($K1509="对外销售",COUNTIF({"三矿区";"六矿区"},$L1509)=0),"※对外销售的去向只能是三矿区或六矿区",IF(AND($K1509="对外销售",ROUND($Q1509,0)=0),"※外销却没有售价，请填实际售价",IF(AND($K1509="对外销售",$T1509&lt;&gt;"",$T1509&lt;0),"※这一笔外销是亏的，请核对售价",IF(IFERROR(VLOOKUP($D1509,库存台账!$A$5:$Y$1204,24,0),0)&lt;-0.001,"※这个物料账面已经变成负数了，查一下是不是漏记入库","")))))))))))</f>
        <v/>
      </c>
    </row>
    <row r="1510">
      <c r="A1510" s="24">
        <f>IF($D1510="","",COUNTA($D$4:$D1510))</f>
        <v/>
      </c>
      <c r="B1510" s="17" t="n"/>
      <c r="C1510" s="30" t="n"/>
      <c r="D1510" s="17" t="n"/>
      <c r="E1510" s="24">
        <f>IF($D1510="","",IFERROR(VLOOKUP($D1510,物料档案!$A$4:$P$1203,3,0),"※编码不在物料档案里"))</f>
        <v/>
      </c>
      <c r="F1510" s="24">
        <f>IF($D1510="","",IFERROR(VLOOKUP($D1510,物料档案!$A$4:$P$1203,4,0),"※编码不在物料档案里"))</f>
        <v/>
      </c>
      <c r="G1510" s="24">
        <f>IF($D1510="","",IFERROR(VLOOKUP($D1510,物料档案!$A$4:$P$1203,5,0),"※编码不在物料档案里"))</f>
        <v/>
      </c>
      <c r="H1510" s="24">
        <f>IF($D1510="","",IFERROR(VLOOKUP($D1510,物料档案!$A$4:$P$1203,2,0),"※编码不在物料档案里"))</f>
        <v/>
      </c>
      <c r="I1510" s="24">
        <f>IF($D1510="","",IFERROR(VLOOKUP($D1510,物料档案!$A$4:$P$1203,6,0),"※编码不在物料档案里"))</f>
        <v/>
      </c>
      <c r="J1510" s="23" t="n"/>
      <c r="K1510" s="17" t="n"/>
      <c r="L1510" s="17" t="n"/>
      <c r="M1510" s="17" t="n"/>
      <c r="N1510" s="17" t="n"/>
      <c r="O1510" s="26">
        <f>IF($D1510="","",IFERROR(VLOOKUP($D1510,物料档案!$A$4:$P$1203,10,0),0))</f>
        <v/>
      </c>
      <c r="P1510" s="32" t="n"/>
      <c r="Q1510" s="26">
        <f>IF($D1510="","",IF($K1510&lt;&gt;"对外销售",0,ROUND(N($J1510)*IF($P1510="",N($O1510),N($P1510)),0)))</f>
        <v/>
      </c>
      <c r="R1510" s="26">
        <f>IF($D1510="","",IFERROR(VLOOKUP($D1510,库存台账!$A$5:$Y$1204,11,0),0))</f>
        <v/>
      </c>
      <c r="S1510" s="26">
        <f>IF($D1510="","",ROUND(N($J1510)*N($R1510),0))</f>
        <v/>
      </c>
      <c r="T1510" s="26">
        <f>IF($D1510="","",IF($K1510&lt;&gt;"对外销售","",ROUND($Q1510-$S1510,0)))</f>
        <v/>
      </c>
      <c r="U1510" s="17" t="n"/>
      <c r="V1510" s="17" t="n"/>
      <c r="W1510" s="24">
        <f>IF($D1510="","",IF($E1510="※编码不在物料档案里","※物料编码不在档案里",IF(N($J1510)&lt;=0,"※出库数量要大于 0",IF($K1510="","※没填去向类型",IF($L1510="","※没填去向矿区",IF(AND($C1510&lt;&gt;"",$C1510&lt;=结账锁),"※日期早于已结账截止日，不能再录",IF(AND($K1510="自用消耗",COUNTIF({"一矿区";"二矿区"},$L1510)=0),"※自用消耗的去向只能是一矿区或二矿区",IF(AND($K1510="对外销售",COUNTIF({"三矿区";"六矿区"},$L1510)=0),"※对外销售的去向只能是三矿区或六矿区",IF(AND($K1510="对外销售",ROUND($Q1510,0)=0),"※外销却没有售价，请填实际售价",IF(AND($K1510="对外销售",$T1510&lt;&gt;"",$T1510&lt;0),"※这一笔外销是亏的，请核对售价",IF(IFERROR(VLOOKUP($D1510,库存台账!$A$5:$Y$1204,24,0),0)&lt;-0.001,"※这个物料账面已经变成负数了，查一下是不是漏记入库","")))))))))))</f>
        <v/>
      </c>
    </row>
    <row r="1511">
      <c r="A1511" s="24">
        <f>IF($D1511="","",COUNTA($D$4:$D1511))</f>
        <v/>
      </c>
      <c r="B1511" s="17" t="n"/>
      <c r="C1511" s="30" t="n"/>
      <c r="D1511" s="17" t="n"/>
      <c r="E1511" s="24">
        <f>IF($D1511="","",IFERROR(VLOOKUP($D1511,物料档案!$A$4:$P$1203,3,0),"※编码不在物料档案里"))</f>
        <v/>
      </c>
      <c r="F1511" s="24">
        <f>IF($D1511="","",IFERROR(VLOOKUP($D1511,物料档案!$A$4:$P$1203,4,0),"※编码不在物料档案里"))</f>
        <v/>
      </c>
      <c r="G1511" s="24">
        <f>IF($D1511="","",IFERROR(VLOOKUP($D1511,物料档案!$A$4:$P$1203,5,0),"※编码不在物料档案里"))</f>
        <v/>
      </c>
      <c r="H1511" s="24">
        <f>IF($D1511="","",IFERROR(VLOOKUP($D1511,物料档案!$A$4:$P$1203,2,0),"※编码不在物料档案里"))</f>
        <v/>
      </c>
      <c r="I1511" s="24">
        <f>IF($D1511="","",IFERROR(VLOOKUP($D1511,物料档案!$A$4:$P$1203,6,0),"※编码不在物料档案里"))</f>
        <v/>
      </c>
      <c r="J1511" s="23" t="n"/>
      <c r="K1511" s="17" t="n"/>
      <c r="L1511" s="17" t="n"/>
      <c r="M1511" s="17" t="n"/>
      <c r="N1511" s="17" t="n"/>
      <c r="O1511" s="26">
        <f>IF($D1511="","",IFERROR(VLOOKUP($D1511,物料档案!$A$4:$P$1203,10,0),0))</f>
        <v/>
      </c>
      <c r="P1511" s="32" t="n"/>
      <c r="Q1511" s="26">
        <f>IF($D1511="","",IF($K1511&lt;&gt;"对外销售",0,ROUND(N($J1511)*IF($P1511="",N($O1511),N($P1511)),0)))</f>
        <v/>
      </c>
      <c r="R1511" s="26">
        <f>IF($D1511="","",IFERROR(VLOOKUP($D1511,库存台账!$A$5:$Y$1204,11,0),0))</f>
        <v/>
      </c>
      <c r="S1511" s="26">
        <f>IF($D1511="","",ROUND(N($J1511)*N($R1511),0))</f>
        <v/>
      </c>
      <c r="T1511" s="26">
        <f>IF($D1511="","",IF($K1511&lt;&gt;"对外销售","",ROUND($Q1511-$S1511,0)))</f>
        <v/>
      </c>
      <c r="U1511" s="17" t="n"/>
      <c r="V1511" s="17" t="n"/>
      <c r="W1511" s="24">
        <f>IF($D1511="","",IF($E1511="※编码不在物料档案里","※物料编码不在档案里",IF(N($J1511)&lt;=0,"※出库数量要大于 0",IF($K1511="","※没填去向类型",IF($L1511="","※没填去向矿区",IF(AND($C1511&lt;&gt;"",$C1511&lt;=结账锁),"※日期早于已结账截止日，不能再录",IF(AND($K1511="自用消耗",COUNTIF({"一矿区";"二矿区"},$L1511)=0),"※自用消耗的去向只能是一矿区或二矿区",IF(AND($K1511="对外销售",COUNTIF({"三矿区";"六矿区"},$L1511)=0),"※对外销售的去向只能是三矿区或六矿区",IF(AND($K1511="对外销售",ROUND($Q1511,0)=0),"※外销却没有售价，请填实际售价",IF(AND($K1511="对外销售",$T1511&lt;&gt;"",$T1511&lt;0),"※这一笔外销是亏的，请核对售价",IF(IFERROR(VLOOKUP($D1511,库存台账!$A$5:$Y$1204,24,0),0)&lt;-0.001,"※这个物料账面已经变成负数了，查一下是不是漏记入库","")))))))))))</f>
        <v/>
      </c>
    </row>
    <row r="1512">
      <c r="A1512" s="24">
        <f>IF($D1512="","",COUNTA($D$4:$D1512))</f>
        <v/>
      </c>
      <c r="B1512" s="17" t="n"/>
      <c r="C1512" s="30" t="n"/>
      <c r="D1512" s="17" t="n"/>
      <c r="E1512" s="24">
        <f>IF($D1512="","",IFERROR(VLOOKUP($D1512,物料档案!$A$4:$P$1203,3,0),"※编码不在物料档案里"))</f>
        <v/>
      </c>
      <c r="F1512" s="24">
        <f>IF($D1512="","",IFERROR(VLOOKUP($D1512,物料档案!$A$4:$P$1203,4,0),"※编码不在物料档案里"))</f>
        <v/>
      </c>
      <c r="G1512" s="24">
        <f>IF($D1512="","",IFERROR(VLOOKUP($D1512,物料档案!$A$4:$P$1203,5,0),"※编码不在物料档案里"))</f>
        <v/>
      </c>
      <c r="H1512" s="24">
        <f>IF($D1512="","",IFERROR(VLOOKUP($D1512,物料档案!$A$4:$P$1203,2,0),"※编码不在物料档案里"))</f>
        <v/>
      </c>
      <c r="I1512" s="24">
        <f>IF($D1512="","",IFERROR(VLOOKUP($D1512,物料档案!$A$4:$P$1203,6,0),"※编码不在物料档案里"))</f>
        <v/>
      </c>
      <c r="J1512" s="23" t="n"/>
      <c r="K1512" s="17" t="n"/>
      <c r="L1512" s="17" t="n"/>
      <c r="M1512" s="17" t="n"/>
      <c r="N1512" s="17" t="n"/>
      <c r="O1512" s="26">
        <f>IF($D1512="","",IFERROR(VLOOKUP($D1512,物料档案!$A$4:$P$1203,10,0),0))</f>
        <v/>
      </c>
      <c r="P1512" s="32" t="n"/>
      <c r="Q1512" s="26">
        <f>IF($D1512="","",IF($K1512&lt;&gt;"对外销售",0,ROUND(N($J1512)*IF($P1512="",N($O1512),N($P1512)),0)))</f>
        <v/>
      </c>
      <c r="R1512" s="26">
        <f>IF($D1512="","",IFERROR(VLOOKUP($D1512,库存台账!$A$5:$Y$1204,11,0),0))</f>
        <v/>
      </c>
      <c r="S1512" s="26">
        <f>IF($D1512="","",ROUND(N($J1512)*N($R1512),0))</f>
        <v/>
      </c>
      <c r="T1512" s="26">
        <f>IF($D1512="","",IF($K1512&lt;&gt;"对外销售","",ROUND($Q1512-$S1512,0)))</f>
        <v/>
      </c>
      <c r="U1512" s="17" t="n"/>
      <c r="V1512" s="17" t="n"/>
      <c r="W1512" s="24">
        <f>IF($D1512="","",IF($E1512="※编码不在物料档案里","※物料编码不在档案里",IF(N($J1512)&lt;=0,"※出库数量要大于 0",IF($K1512="","※没填去向类型",IF($L1512="","※没填去向矿区",IF(AND($C1512&lt;&gt;"",$C1512&lt;=结账锁),"※日期早于已结账截止日，不能再录",IF(AND($K1512="自用消耗",COUNTIF({"一矿区";"二矿区"},$L1512)=0),"※自用消耗的去向只能是一矿区或二矿区",IF(AND($K1512="对外销售",COUNTIF({"三矿区";"六矿区"},$L1512)=0),"※对外销售的去向只能是三矿区或六矿区",IF(AND($K1512="对外销售",ROUND($Q1512,0)=0),"※外销却没有售价，请填实际售价",IF(AND($K1512="对外销售",$T1512&lt;&gt;"",$T1512&lt;0),"※这一笔外销是亏的，请核对售价",IF(IFERROR(VLOOKUP($D1512,库存台账!$A$5:$Y$1204,24,0),0)&lt;-0.001,"※这个物料账面已经变成负数了，查一下是不是漏记入库","")))))))))))</f>
        <v/>
      </c>
    </row>
    <row r="1513">
      <c r="A1513" s="24">
        <f>IF($D1513="","",COUNTA($D$4:$D1513))</f>
        <v/>
      </c>
      <c r="B1513" s="17" t="n"/>
      <c r="C1513" s="30" t="n"/>
      <c r="D1513" s="17" t="n"/>
      <c r="E1513" s="24">
        <f>IF($D1513="","",IFERROR(VLOOKUP($D1513,物料档案!$A$4:$P$1203,3,0),"※编码不在物料档案里"))</f>
        <v/>
      </c>
      <c r="F1513" s="24">
        <f>IF($D1513="","",IFERROR(VLOOKUP($D1513,物料档案!$A$4:$P$1203,4,0),"※编码不在物料档案里"))</f>
        <v/>
      </c>
      <c r="G1513" s="24">
        <f>IF($D1513="","",IFERROR(VLOOKUP($D1513,物料档案!$A$4:$P$1203,5,0),"※编码不在物料档案里"))</f>
        <v/>
      </c>
      <c r="H1513" s="24">
        <f>IF($D1513="","",IFERROR(VLOOKUP($D1513,物料档案!$A$4:$P$1203,2,0),"※编码不在物料档案里"))</f>
        <v/>
      </c>
      <c r="I1513" s="24">
        <f>IF($D1513="","",IFERROR(VLOOKUP($D1513,物料档案!$A$4:$P$1203,6,0),"※编码不在物料档案里"))</f>
        <v/>
      </c>
      <c r="J1513" s="23" t="n"/>
      <c r="K1513" s="17" t="n"/>
      <c r="L1513" s="17" t="n"/>
      <c r="M1513" s="17" t="n"/>
      <c r="N1513" s="17" t="n"/>
      <c r="O1513" s="26">
        <f>IF($D1513="","",IFERROR(VLOOKUP($D1513,物料档案!$A$4:$P$1203,10,0),0))</f>
        <v/>
      </c>
      <c r="P1513" s="32" t="n"/>
      <c r="Q1513" s="26">
        <f>IF($D1513="","",IF($K1513&lt;&gt;"对外销售",0,ROUND(N($J1513)*IF($P1513="",N($O1513),N($P1513)),0)))</f>
        <v/>
      </c>
      <c r="R1513" s="26">
        <f>IF($D1513="","",IFERROR(VLOOKUP($D1513,库存台账!$A$5:$Y$1204,11,0),0))</f>
        <v/>
      </c>
      <c r="S1513" s="26">
        <f>IF($D1513="","",ROUND(N($J1513)*N($R1513),0))</f>
        <v/>
      </c>
      <c r="T1513" s="26">
        <f>IF($D1513="","",IF($K1513&lt;&gt;"对外销售","",ROUND($Q1513-$S1513,0)))</f>
        <v/>
      </c>
      <c r="U1513" s="17" t="n"/>
      <c r="V1513" s="17" t="n"/>
      <c r="W1513" s="24">
        <f>IF($D1513="","",IF($E1513="※编码不在物料档案里","※物料编码不在档案里",IF(N($J1513)&lt;=0,"※出库数量要大于 0",IF($K1513="","※没填去向类型",IF($L1513="","※没填去向矿区",IF(AND($C1513&lt;&gt;"",$C1513&lt;=结账锁),"※日期早于已结账截止日，不能再录",IF(AND($K1513="自用消耗",COUNTIF({"一矿区";"二矿区"},$L1513)=0),"※自用消耗的去向只能是一矿区或二矿区",IF(AND($K1513="对外销售",COUNTIF({"三矿区";"六矿区"},$L1513)=0),"※对外销售的去向只能是三矿区或六矿区",IF(AND($K1513="对外销售",ROUND($Q1513,0)=0),"※外销却没有售价，请填实际售价",IF(AND($K1513="对外销售",$T1513&lt;&gt;"",$T1513&lt;0),"※这一笔外销是亏的，请核对售价",IF(IFERROR(VLOOKUP($D1513,库存台账!$A$5:$Y$1204,24,0),0)&lt;-0.001,"※这个物料账面已经变成负数了，查一下是不是漏记入库","")))))))))))</f>
        <v/>
      </c>
    </row>
    <row r="1514">
      <c r="A1514" s="24">
        <f>IF($D1514="","",COUNTA($D$4:$D1514))</f>
        <v/>
      </c>
      <c r="B1514" s="17" t="n"/>
      <c r="C1514" s="30" t="n"/>
      <c r="D1514" s="17" t="n"/>
      <c r="E1514" s="24">
        <f>IF($D1514="","",IFERROR(VLOOKUP($D1514,物料档案!$A$4:$P$1203,3,0),"※编码不在物料档案里"))</f>
        <v/>
      </c>
      <c r="F1514" s="24">
        <f>IF($D1514="","",IFERROR(VLOOKUP($D1514,物料档案!$A$4:$P$1203,4,0),"※编码不在物料档案里"))</f>
        <v/>
      </c>
      <c r="G1514" s="24">
        <f>IF($D1514="","",IFERROR(VLOOKUP($D1514,物料档案!$A$4:$P$1203,5,0),"※编码不在物料档案里"))</f>
        <v/>
      </c>
      <c r="H1514" s="24">
        <f>IF($D1514="","",IFERROR(VLOOKUP($D1514,物料档案!$A$4:$P$1203,2,0),"※编码不在物料档案里"))</f>
        <v/>
      </c>
      <c r="I1514" s="24">
        <f>IF($D1514="","",IFERROR(VLOOKUP($D1514,物料档案!$A$4:$P$1203,6,0),"※编码不在物料档案里"))</f>
        <v/>
      </c>
      <c r="J1514" s="23" t="n"/>
      <c r="K1514" s="17" t="n"/>
      <c r="L1514" s="17" t="n"/>
      <c r="M1514" s="17" t="n"/>
      <c r="N1514" s="17" t="n"/>
      <c r="O1514" s="26">
        <f>IF($D1514="","",IFERROR(VLOOKUP($D1514,物料档案!$A$4:$P$1203,10,0),0))</f>
        <v/>
      </c>
      <c r="P1514" s="32" t="n"/>
      <c r="Q1514" s="26">
        <f>IF($D1514="","",IF($K1514&lt;&gt;"对外销售",0,ROUND(N($J1514)*IF($P1514="",N($O1514),N($P1514)),0)))</f>
        <v/>
      </c>
      <c r="R1514" s="26">
        <f>IF($D1514="","",IFERROR(VLOOKUP($D1514,库存台账!$A$5:$Y$1204,11,0),0))</f>
        <v/>
      </c>
      <c r="S1514" s="26">
        <f>IF($D1514="","",ROUND(N($J1514)*N($R1514),0))</f>
        <v/>
      </c>
      <c r="T1514" s="26">
        <f>IF($D1514="","",IF($K1514&lt;&gt;"对外销售","",ROUND($Q1514-$S1514,0)))</f>
        <v/>
      </c>
      <c r="U1514" s="17" t="n"/>
      <c r="V1514" s="17" t="n"/>
      <c r="W1514" s="24">
        <f>IF($D1514="","",IF($E1514="※编码不在物料档案里","※物料编码不在档案里",IF(N($J1514)&lt;=0,"※出库数量要大于 0",IF($K1514="","※没填去向类型",IF($L1514="","※没填去向矿区",IF(AND($C1514&lt;&gt;"",$C1514&lt;=结账锁),"※日期早于已结账截止日，不能再录",IF(AND($K1514="自用消耗",COUNTIF({"一矿区";"二矿区"},$L1514)=0),"※自用消耗的去向只能是一矿区或二矿区",IF(AND($K1514="对外销售",COUNTIF({"三矿区";"六矿区"},$L1514)=0),"※对外销售的去向只能是三矿区或六矿区",IF(AND($K1514="对外销售",ROUND($Q1514,0)=0),"※外销却没有售价，请填实际售价",IF(AND($K1514="对外销售",$T1514&lt;&gt;"",$T1514&lt;0),"※这一笔外销是亏的，请核对售价",IF(IFERROR(VLOOKUP($D1514,库存台账!$A$5:$Y$1204,24,0),0)&lt;-0.001,"※这个物料账面已经变成负数了，查一下是不是漏记入库","")))))))))))</f>
        <v/>
      </c>
    </row>
    <row r="1515">
      <c r="A1515" s="24">
        <f>IF($D1515="","",COUNTA($D$4:$D1515))</f>
        <v/>
      </c>
      <c r="B1515" s="17" t="n"/>
      <c r="C1515" s="30" t="n"/>
      <c r="D1515" s="17" t="n"/>
      <c r="E1515" s="24">
        <f>IF($D1515="","",IFERROR(VLOOKUP($D1515,物料档案!$A$4:$P$1203,3,0),"※编码不在物料档案里"))</f>
        <v/>
      </c>
      <c r="F1515" s="24">
        <f>IF($D1515="","",IFERROR(VLOOKUP($D1515,物料档案!$A$4:$P$1203,4,0),"※编码不在物料档案里"))</f>
        <v/>
      </c>
      <c r="G1515" s="24">
        <f>IF($D1515="","",IFERROR(VLOOKUP($D1515,物料档案!$A$4:$P$1203,5,0),"※编码不在物料档案里"))</f>
        <v/>
      </c>
      <c r="H1515" s="24">
        <f>IF($D1515="","",IFERROR(VLOOKUP($D1515,物料档案!$A$4:$P$1203,2,0),"※编码不在物料档案里"))</f>
        <v/>
      </c>
      <c r="I1515" s="24">
        <f>IF($D1515="","",IFERROR(VLOOKUP($D1515,物料档案!$A$4:$P$1203,6,0),"※编码不在物料档案里"))</f>
        <v/>
      </c>
      <c r="J1515" s="23" t="n"/>
      <c r="K1515" s="17" t="n"/>
      <c r="L1515" s="17" t="n"/>
      <c r="M1515" s="17" t="n"/>
      <c r="N1515" s="17" t="n"/>
      <c r="O1515" s="26">
        <f>IF($D1515="","",IFERROR(VLOOKUP($D1515,物料档案!$A$4:$P$1203,10,0),0))</f>
        <v/>
      </c>
      <c r="P1515" s="32" t="n"/>
      <c r="Q1515" s="26">
        <f>IF($D1515="","",IF($K1515&lt;&gt;"对外销售",0,ROUND(N($J1515)*IF($P1515="",N($O1515),N($P1515)),0)))</f>
        <v/>
      </c>
      <c r="R1515" s="26">
        <f>IF($D1515="","",IFERROR(VLOOKUP($D1515,库存台账!$A$5:$Y$1204,11,0),0))</f>
        <v/>
      </c>
      <c r="S1515" s="26">
        <f>IF($D1515="","",ROUND(N($J1515)*N($R1515),0))</f>
        <v/>
      </c>
      <c r="T1515" s="26">
        <f>IF($D1515="","",IF($K1515&lt;&gt;"对外销售","",ROUND($Q1515-$S1515,0)))</f>
        <v/>
      </c>
      <c r="U1515" s="17" t="n"/>
      <c r="V1515" s="17" t="n"/>
      <c r="W1515" s="24">
        <f>IF($D1515="","",IF($E1515="※编码不在物料档案里","※物料编码不在档案里",IF(N($J1515)&lt;=0,"※出库数量要大于 0",IF($K1515="","※没填去向类型",IF($L1515="","※没填去向矿区",IF(AND($C1515&lt;&gt;"",$C1515&lt;=结账锁),"※日期早于已结账截止日，不能再录",IF(AND($K1515="自用消耗",COUNTIF({"一矿区";"二矿区"},$L1515)=0),"※自用消耗的去向只能是一矿区或二矿区",IF(AND($K1515="对外销售",COUNTIF({"三矿区";"六矿区"},$L1515)=0),"※对外销售的去向只能是三矿区或六矿区",IF(AND($K1515="对外销售",ROUND($Q1515,0)=0),"※外销却没有售价，请填实际售价",IF(AND($K1515="对外销售",$T1515&lt;&gt;"",$T1515&lt;0),"※这一笔外销是亏的，请核对售价",IF(IFERROR(VLOOKUP($D1515,库存台账!$A$5:$Y$1204,24,0),0)&lt;-0.001,"※这个物料账面已经变成负数了，查一下是不是漏记入库","")))))))))))</f>
        <v/>
      </c>
    </row>
    <row r="1516">
      <c r="A1516" s="24">
        <f>IF($D1516="","",COUNTA($D$4:$D1516))</f>
        <v/>
      </c>
      <c r="B1516" s="17" t="n"/>
      <c r="C1516" s="30" t="n"/>
      <c r="D1516" s="17" t="n"/>
      <c r="E1516" s="24">
        <f>IF($D1516="","",IFERROR(VLOOKUP($D1516,物料档案!$A$4:$P$1203,3,0),"※编码不在物料档案里"))</f>
        <v/>
      </c>
      <c r="F1516" s="24">
        <f>IF($D1516="","",IFERROR(VLOOKUP($D1516,物料档案!$A$4:$P$1203,4,0),"※编码不在物料档案里"))</f>
        <v/>
      </c>
      <c r="G1516" s="24">
        <f>IF($D1516="","",IFERROR(VLOOKUP($D1516,物料档案!$A$4:$P$1203,5,0),"※编码不在物料档案里"))</f>
        <v/>
      </c>
      <c r="H1516" s="24">
        <f>IF($D1516="","",IFERROR(VLOOKUP($D1516,物料档案!$A$4:$P$1203,2,0),"※编码不在物料档案里"))</f>
        <v/>
      </c>
      <c r="I1516" s="24">
        <f>IF($D1516="","",IFERROR(VLOOKUP($D1516,物料档案!$A$4:$P$1203,6,0),"※编码不在物料档案里"))</f>
        <v/>
      </c>
      <c r="J1516" s="23" t="n"/>
      <c r="K1516" s="17" t="n"/>
      <c r="L1516" s="17" t="n"/>
      <c r="M1516" s="17" t="n"/>
      <c r="N1516" s="17" t="n"/>
      <c r="O1516" s="26">
        <f>IF($D1516="","",IFERROR(VLOOKUP($D1516,物料档案!$A$4:$P$1203,10,0),0))</f>
        <v/>
      </c>
      <c r="P1516" s="32" t="n"/>
      <c r="Q1516" s="26">
        <f>IF($D1516="","",IF($K1516&lt;&gt;"对外销售",0,ROUND(N($J1516)*IF($P1516="",N($O1516),N($P1516)),0)))</f>
        <v/>
      </c>
      <c r="R1516" s="26">
        <f>IF($D1516="","",IFERROR(VLOOKUP($D1516,库存台账!$A$5:$Y$1204,11,0),0))</f>
        <v/>
      </c>
      <c r="S1516" s="26">
        <f>IF($D1516="","",ROUND(N($J1516)*N($R1516),0))</f>
        <v/>
      </c>
      <c r="T1516" s="26">
        <f>IF($D1516="","",IF($K1516&lt;&gt;"对外销售","",ROUND($Q1516-$S1516,0)))</f>
        <v/>
      </c>
      <c r="U1516" s="17" t="n"/>
      <c r="V1516" s="17" t="n"/>
      <c r="W1516" s="24">
        <f>IF($D1516="","",IF($E1516="※编码不在物料档案里","※物料编码不在档案里",IF(N($J1516)&lt;=0,"※出库数量要大于 0",IF($K1516="","※没填去向类型",IF($L1516="","※没填去向矿区",IF(AND($C1516&lt;&gt;"",$C1516&lt;=结账锁),"※日期早于已结账截止日，不能再录",IF(AND($K1516="自用消耗",COUNTIF({"一矿区";"二矿区"},$L1516)=0),"※自用消耗的去向只能是一矿区或二矿区",IF(AND($K1516="对外销售",COUNTIF({"三矿区";"六矿区"},$L1516)=0),"※对外销售的去向只能是三矿区或六矿区",IF(AND($K1516="对外销售",ROUND($Q1516,0)=0),"※外销却没有售价，请填实际售价",IF(AND($K1516="对外销售",$T1516&lt;&gt;"",$T1516&lt;0),"※这一笔外销是亏的，请核对售价",IF(IFERROR(VLOOKUP($D1516,库存台账!$A$5:$Y$1204,24,0),0)&lt;-0.001,"※这个物料账面已经变成负数了，查一下是不是漏记入库","")))))))))))</f>
        <v/>
      </c>
    </row>
    <row r="1517">
      <c r="A1517" s="24">
        <f>IF($D1517="","",COUNTA($D$4:$D1517))</f>
        <v/>
      </c>
      <c r="B1517" s="17" t="n"/>
      <c r="C1517" s="30" t="n"/>
      <c r="D1517" s="17" t="n"/>
      <c r="E1517" s="24">
        <f>IF($D1517="","",IFERROR(VLOOKUP($D1517,物料档案!$A$4:$P$1203,3,0),"※编码不在物料档案里"))</f>
        <v/>
      </c>
      <c r="F1517" s="24">
        <f>IF($D1517="","",IFERROR(VLOOKUP($D1517,物料档案!$A$4:$P$1203,4,0),"※编码不在物料档案里"))</f>
        <v/>
      </c>
      <c r="G1517" s="24">
        <f>IF($D1517="","",IFERROR(VLOOKUP($D1517,物料档案!$A$4:$P$1203,5,0),"※编码不在物料档案里"))</f>
        <v/>
      </c>
      <c r="H1517" s="24">
        <f>IF($D1517="","",IFERROR(VLOOKUP($D1517,物料档案!$A$4:$P$1203,2,0),"※编码不在物料档案里"))</f>
        <v/>
      </c>
      <c r="I1517" s="24">
        <f>IF($D1517="","",IFERROR(VLOOKUP($D1517,物料档案!$A$4:$P$1203,6,0),"※编码不在物料档案里"))</f>
        <v/>
      </c>
      <c r="J1517" s="23" t="n"/>
      <c r="K1517" s="17" t="n"/>
      <c r="L1517" s="17" t="n"/>
      <c r="M1517" s="17" t="n"/>
      <c r="N1517" s="17" t="n"/>
      <c r="O1517" s="26">
        <f>IF($D1517="","",IFERROR(VLOOKUP($D1517,物料档案!$A$4:$P$1203,10,0),0))</f>
        <v/>
      </c>
      <c r="P1517" s="32" t="n"/>
      <c r="Q1517" s="26">
        <f>IF($D1517="","",IF($K1517&lt;&gt;"对外销售",0,ROUND(N($J1517)*IF($P1517="",N($O1517),N($P1517)),0)))</f>
        <v/>
      </c>
      <c r="R1517" s="26">
        <f>IF($D1517="","",IFERROR(VLOOKUP($D1517,库存台账!$A$5:$Y$1204,11,0),0))</f>
        <v/>
      </c>
      <c r="S1517" s="26">
        <f>IF($D1517="","",ROUND(N($J1517)*N($R1517),0))</f>
        <v/>
      </c>
      <c r="T1517" s="26">
        <f>IF($D1517="","",IF($K1517&lt;&gt;"对外销售","",ROUND($Q1517-$S1517,0)))</f>
        <v/>
      </c>
      <c r="U1517" s="17" t="n"/>
      <c r="V1517" s="17" t="n"/>
      <c r="W1517" s="24">
        <f>IF($D1517="","",IF($E1517="※编码不在物料档案里","※物料编码不在档案里",IF(N($J1517)&lt;=0,"※出库数量要大于 0",IF($K1517="","※没填去向类型",IF($L1517="","※没填去向矿区",IF(AND($C1517&lt;&gt;"",$C1517&lt;=结账锁),"※日期早于已结账截止日，不能再录",IF(AND($K1517="自用消耗",COUNTIF({"一矿区";"二矿区"},$L1517)=0),"※自用消耗的去向只能是一矿区或二矿区",IF(AND($K1517="对外销售",COUNTIF({"三矿区";"六矿区"},$L1517)=0),"※对外销售的去向只能是三矿区或六矿区",IF(AND($K1517="对外销售",ROUND($Q1517,0)=0),"※外销却没有售价，请填实际售价",IF(AND($K1517="对外销售",$T1517&lt;&gt;"",$T1517&lt;0),"※这一笔外销是亏的，请核对售价",IF(IFERROR(VLOOKUP($D1517,库存台账!$A$5:$Y$1204,24,0),0)&lt;-0.001,"※这个物料账面已经变成负数了，查一下是不是漏记入库","")))))))))))</f>
        <v/>
      </c>
    </row>
    <row r="1518">
      <c r="A1518" s="24">
        <f>IF($D1518="","",COUNTA($D$4:$D1518))</f>
        <v/>
      </c>
      <c r="B1518" s="17" t="n"/>
      <c r="C1518" s="30" t="n"/>
      <c r="D1518" s="17" t="n"/>
      <c r="E1518" s="24">
        <f>IF($D1518="","",IFERROR(VLOOKUP($D1518,物料档案!$A$4:$P$1203,3,0),"※编码不在物料档案里"))</f>
        <v/>
      </c>
      <c r="F1518" s="24">
        <f>IF($D1518="","",IFERROR(VLOOKUP($D1518,物料档案!$A$4:$P$1203,4,0),"※编码不在物料档案里"))</f>
        <v/>
      </c>
      <c r="G1518" s="24">
        <f>IF($D1518="","",IFERROR(VLOOKUP($D1518,物料档案!$A$4:$P$1203,5,0),"※编码不在物料档案里"))</f>
        <v/>
      </c>
      <c r="H1518" s="24">
        <f>IF($D1518="","",IFERROR(VLOOKUP($D1518,物料档案!$A$4:$P$1203,2,0),"※编码不在物料档案里"))</f>
        <v/>
      </c>
      <c r="I1518" s="24">
        <f>IF($D1518="","",IFERROR(VLOOKUP($D1518,物料档案!$A$4:$P$1203,6,0),"※编码不在物料档案里"))</f>
        <v/>
      </c>
      <c r="J1518" s="23" t="n"/>
      <c r="K1518" s="17" t="n"/>
      <c r="L1518" s="17" t="n"/>
      <c r="M1518" s="17" t="n"/>
      <c r="N1518" s="17" t="n"/>
      <c r="O1518" s="26">
        <f>IF($D1518="","",IFERROR(VLOOKUP($D1518,物料档案!$A$4:$P$1203,10,0),0))</f>
        <v/>
      </c>
      <c r="P1518" s="32" t="n"/>
      <c r="Q1518" s="26">
        <f>IF($D1518="","",IF($K1518&lt;&gt;"对外销售",0,ROUND(N($J1518)*IF($P1518="",N($O1518),N($P1518)),0)))</f>
        <v/>
      </c>
      <c r="R1518" s="26">
        <f>IF($D1518="","",IFERROR(VLOOKUP($D1518,库存台账!$A$5:$Y$1204,11,0),0))</f>
        <v/>
      </c>
      <c r="S1518" s="26">
        <f>IF($D1518="","",ROUND(N($J1518)*N($R1518),0))</f>
        <v/>
      </c>
      <c r="T1518" s="26">
        <f>IF($D1518="","",IF($K1518&lt;&gt;"对外销售","",ROUND($Q1518-$S1518,0)))</f>
        <v/>
      </c>
      <c r="U1518" s="17" t="n"/>
      <c r="V1518" s="17" t="n"/>
      <c r="W1518" s="24">
        <f>IF($D1518="","",IF($E1518="※编码不在物料档案里","※物料编码不在档案里",IF(N($J1518)&lt;=0,"※出库数量要大于 0",IF($K1518="","※没填去向类型",IF($L1518="","※没填去向矿区",IF(AND($C1518&lt;&gt;"",$C1518&lt;=结账锁),"※日期早于已结账截止日，不能再录",IF(AND($K1518="自用消耗",COUNTIF({"一矿区";"二矿区"},$L1518)=0),"※自用消耗的去向只能是一矿区或二矿区",IF(AND($K1518="对外销售",COUNTIF({"三矿区";"六矿区"},$L1518)=0),"※对外销售的去向只能是三矿区或六矿区",IF(AND($K1518="对外销售",ROUND($Q1518,0)=0),"※外销却没有售价，请填实际售价",IF(AND($K1518="对外销售",$T1518&lt;&gt;"",$T1518&lt;0),"※这一笔外销是亏的，请核对售价",IF(IFERROR(VLOOKUP($D1518,库存台账!$A$5:$Y$1204,24,0),0)&lt;-0.001,"※这个物料账面已经变成负数了，查一下是不是漏记入库","")))))))))))</f>
        <v/>
      </c>
    </row>
    <row r="1519">
      <c r="A1519" s="24">
        <f>IF($D1519="","",COUNTA($D$4:$D1519))</f>
        <v/>
      </c>
      <c r="B1519" s="17" t="n"/>
      <c r="C1519" s="30" t="n"/>
      <c r="D1519" s="17" t="n"/>
      <c r="E1519" s="24">
        <f>IF($D1519="","",IFERROR(VLOOKUP($D1519,物料档案!$A$4:$P$1203,3,0),"※编码不在物料档案里"))</f>
        <v/>
      </c>
      <c r="F1519" s="24">
        <f>IF($D1519="","",IFERROR(VLOOKUP($D1519,物料档案!$A$4:$P$1203,4,0),"※编码不在物料档案里"))</f>
        <v/>
      </c>
      <c r="G1519" s="24">
        <f>IF($D1519="","",IFERROR(VLOOKUP($D1519,物料档案!$A$4:$P$1203,5,0),"※编码不在物料档案里"))</f>
        <v/>
      </c>
      <c r="H1519" s="24">
        <f>IF($D1519="","",IFERROR(VLOOKUP($D1519,物料档案!$A$4:$P$1203,2,0),"※编码不在物料档案里"))</f>
        <v/>
      </c>
      <c r="I1519" s="24">
        <f>IF($D1519="","",IFERROR(VLOOKUP($D1519,物料档案!$A$4:$P$1203,6,0),"※编码不在物料档案里"))</f>
        <v/>
      </c>
      <c r="J1519" s="23" t="n"/>
      <c r="K1519" s="17" t="n"/>
      <c r="L1519" s="17" t="n"/>
      <c r="M1519" s="17" t="n"/>
      <c r="N1519" s="17" t="n"/>
      <c r="O1519" s="26">
        <f>IF($D1519="","",IFERROR(VLOOKUP($D1519,物料档案!$A$4:$P$1203,10,0),0))</f>
        <v/>
      </c>
      <c r="P1519" s="32" t="n"/>
      <c r="Q1519" s="26">
        <f>IF($D1519="","",IF($K1519&lt;&gt;"对外销售",0,ROUND(N($J1519)*IF($P1519="",N($O1519),N($P1519)),0)))</f>
        <v/>
      </c>
      <c r="R1519" s="26">
        <f>IF($D1519="","",IFERROR(VLOOKUP($D1519,库存台账!$A$5:$Y$1204,11,0),0))</f>
        <v/>
      </c>
      <c r="S1519" s="26">
        <f>IF($D1519="","",ROUND(N($J1519)*N($R1519),0))</f>
        <v/>
      </c>
      <c r="T1519" s="26">
        <f>IF($D1519="","",IF($K1519&lt;&gt;"对外销售","",ROUND($Q1519-$S1519,0)))</f>
        <v/>
      </c>
      <c r="U1519" s="17" t="n"/>
      <c r="V1519" s="17" t="n"/>
      <c r="W1519" s="24">
        <f>IF($D1519="","",IF($E1519="※编码不在物料档案里","※物料编码不在档案里",IF(N($J1519)&lt;=0,"※出库数量要大于 0",IF($K1519="","※没填去向类型",IF($L1519="","※没填去向矿区",IF(AND($C1519&lt;&gt;"",$C1519&lt;=结账锁),"※日期早于已结账截止日，不能再录",IF(AND($K1519="自用消耗",COUNTIF({"一矿区";"二矿区"},$L1519)=0),"※自用消耗的去向只能是一矿区或二矿区",IF(AND($K1519="对外销售",COUNTIF({"三矿区";"六矿区"},$L1519)=0),"※对外销售的去向只能是三矿区或六矿区",IF(AND($K1519="对外销售",ROUND($Q1519,0)=0),"※外销却没有售价，请填实际售价",IF(AND($K1519="对外销售",$T1519&lt;&gt;"",$T1519&lt;0),"※这一笔外销是亏的，请核对售价",IF(IFERROR(VLOOKUP($D1519,库存台账!$A$5:$Y$1204,24,0),0)&lt;-0.001,"※这个物料账面已经变成负数了，查一下是不是漏记入库","")))))))))))</f>
        <v/>
      </c>
    </row>
    <row r="1520">
      <c r="A1520" s="24">
        <f>IF($D1520="","",COUNTA($D$4:$D1520))</f>
        <v/>
      </c>
      <c r="B1520" s="17" t="n"/>
      <c r="C1520" s="30" t="n"/>
      <c r="D1520" s="17" t="n"/>
      <c r="E1520" s="24">
        <f>IF($D1520="","",IFERROR(VLOOKUP($D1520,物料档案!$A$4:$P$1203,3,0),"※编码不在物料档案里"))</f>
        <v/>
      </c>
      <c r="F1520" s="24">
        <f>IF($D1520="","",IFERROR(VLOOKUP($D1520,物料档案!$A$4:$P$1203,4,0),"※编码不在物料档案里"))</f>
        <v/>
      </c>
      <c r="G1520" s="24">
        <f>IF($D1520="","",IFERROR(VLOOKUP($D1520,物料档案!$A$4:$P$1203,5,0),"※编码不在物料档案里"))</f>
        <v/>
      </c>
      <c r="H1520" s="24">
        <f>IF($D1520="","",IFERROR(VLOOKUP($D1520,物料档案!$A$4:$P$1203,2,0),"※编码不在物料档案里"))</f>
        <v/>
      </c>
      <c r="I1520" s="24">
        <f>IF($D1520="","",IFERROR(VLOOKUP($D1520,物料档案!$A$4:$P$1203,6,0),"※编码不在物料档案里"))</f>
        <v/>
      </c>
      <c r="J1520" s="23" t="n"/>
      <c r="K1520" s="17" t="n"/>
      <c r="L1520" s="17" t="n"/>
      <c r="M1520" s="17" t="n"/>
      <c r="N1520" s="17" t="n"/>
      <c r="O1520" s="26">
        <f>IF($D1520="","",IFERROR(VLOOKUP($D1520,物料档案!$A$4:$P$1203,10,0),0))</f>
        <v/>
      </c>
      <c r="P1520" s="32" t="n"/>
      <c r="Q1520" s="26">
        <f>IF($D1520="","",IF($K1520&lt;&gt;"对外销售",0,ROUND(N($J1520)*IF($P1520="",N($O1520),N($P1520)),0)))</f>
        <v/>
      </c>
      <c r="R1520" s="26">
        <f>IF($D1520="","",IFERROR(VLOOKUP($D1520,库存台账!$A$5:$Y$1204,11,0),0))</f>
        <v/>
      </c>
      <c r="S1520" s="26">
        <f>IF($D1520="","",ROUND(N($J1520)*N($R1520),0))</f>
        <v/>
      </c>
      <c r="T1520" s="26">
        <f>IF($D1520="","",IF($K1520&lt;&gt;"对外销售","",ROUND($Q1520-$S1520,0)))</f>
        <v/>
      </c>
      <c r="U1520" s="17" t="n"/>
      <c r="V1520" s="17" t="n"/>
      <c r="W1520" s="24">
        <f>IF($D1520="","",IF($E1520="※编码不在物料档案里","※物料编码不在档案里",IF(N($J1520)&lt;=0,"※出库数量要大于 0",IF($K1520="","※没填去向类型",IF($L1520="","※没填去向矿区",IF(AND($C1520&lt;&gt;"",$C1520&lt;=结账锁),"※日期早于已结账截止日，不能再录",IF(AND($K1520="自用消耗",COUNTIF({"一矿区";"二矿区"},$L1520)=0),"※自用消耗的去向只能是一矿区或二矿区",IF(AND($K1520="对外销售",COUNTIF({"三矿区";"六矿区"},$L1520)=0),"※对外销售的去向只能是三矿区或六矿区",IF(AND($K1520="对外销售",ROUND($Q1520,0)=0),"※外销却没有售价，请填实际售价",IF(AND($K1520="对外销售",$T1520&lt;&gt;"",$T1520&lt;0),"※这一笔外销是亏的，请核对售价",IF(IFERROR(VLOOKUP($D1520,库存台账!$A$5:$Y$1204,24,0),0)&lt;-0.001,"※这个物料账面已经变成负数了，查一下是不是漏记入库","")))))))))))</f>
        <v/>
      </c>
    </row>
    <row r="1521">
      <c r="A1521" s="24">
        <f>IF($D1521="","",COUNTA($D$4:$D1521))</f>
        <v/>
      </c>
      <c r="B1521" s="17" t="n"/>
      <c r="C1521" s="30" t="n"/>
      <c r="D1521" s="17" t="n"/>
      <c r="E1521" s="24">
        <f>IF($D1521="","",IFERROR(VLOOKUP($D1521,物料档案!$A$4:$P$1203,3,0),"※编码不在物料档案里"))</f>
        <v/>
      </c>
      <c r="F1521" s="24">
        <f>IF($D1521="","",IFERROR(VLOOKUP($D1521,物料档案!$A$4:$P$1203,4,0),"※编码不在物料档案里"))</f>
        <v/>
      </c>
      <c r="G1521" s="24">
        <f>IF($D1521="","",IFERROR(VLOOKUP($D1521,物料档案!$A$4:$P$1203,5,0),"※编码不在物料档案里"))</f>
        <v/>
      </c>
      <c r="H1521" s="24">
        <f>IF($D1521="","",IFERROR(VLOOKUP($D1521,物料档案!$A$4:$P$1203,2,0),"※编码不在物料档案里"))</f>
        <v/>
      </c>
      <c r="I1521" s="24">
        <f>IF($D1521="","",IFERROR(VLOOKUP($D1521,物料档案!$A$4:$P$1203,6,0),"※编码不在物料档案里"))</f>
        <v/>
      </c>
      <c r="J1521" s="23" t="n"/>
      <c r="K1521" s="17" t="n"/>
      <c r="L1521" s="17" t="n"/>
      <c r="M1521" s="17" t="n"/>
      <c r="N1521" s="17" t="n"/>
      <c r="O1521" s="26">
        <f>IF($D1521="","",IFERROR(VLOOKUP($D1521,物料档案!$A$4:$P$1203,10,0),0))</f>
        <v/>
      </c>
      <c r="P1521" s="32" t="n"/>
      <c r="Q1521" s="26">
        <f>IF($D1521="","",IF($K1521&lt;&gt;"对外销售",0,ROUND(N($J1521)*IF($P1521="",N($O1521),N($P1521)),0)))</f>
        <v/>
      </c>
      <c r="R1521" s="26">
        <f>IF($D1521="","",IFERROR(VLOOKUP($D1521,库存台账!$A$5:$Y$1204,11,0),0))</f>
        <v/>
      </c>
      <c r="S1521" s="26">
        <f>IF($D1521="","",ROUND(N($J1521)*N($R1521),0))</f>
        <v/>
      </c>
      <c r="T1521" s="26">
        <f>IF($D1521="","",IF($K1521&lt;&gt;"对外销售","",ROUND($Q1521-$S1521,0)))</f>
        <v/>
      </c>
      <c r="U1521" s="17" t="n"/>
      <c r="V1521" s="17" t="n"/>
      <c r="W1521" s="24">
        <f>IF($D1521="","",IF($E1521="※编码不在物料档案里","※物料编码不在档案里",IF(N($J1521)&lt;=0,"※出库数量要大于 0",IF($K1521="","※没填去向类型",IF($L1521="","※没填去向矿区",IF(AND($C1521&lt;&gt;"",$C1521&lt;=结账锁),"※日期早于已结账截止日，不能再录",IF(AND($K1521="自用消耗",COUNTIF({"一矿区";"二矿区"},$L1521)=0),"※自用消耗的去向只能是一矿区或二矿区",IF(AND($K1521="对外销售",COUNTIF({"三矿区";"六矿区"},$L1521)=0),"※对外销售的去向只能是三矿区或六矿区",IF(AND($K1521="对外销售",ROUND($Q1521,0)=0),"※外销却没有售价，请填实际售价",IF(AND($K1521="对外销售",$T1521&lt;&gt;"",$T1521&lt;0),"※这一笔外销是亏的，请核对售价",IF(IFERROR(VLOOKUP($D1521,库存台账!$A$5:$Y$1204,24,0),0)&lt;-0.001,"※这个物料账面已经变成负数了，查一下是不是漏记入库","")))))))))))</f>
        <v/>
      </c>
    </row>
    <row r="1522">
      <c r="A1522" s="24">
        <f>IF($D1522="","",COUNTA($D$4:$D1522))</f>
        <v/>
      </c>
      <c r="B1522" s="17" t="n"/>
      <c r="C1522" s="30" t="n"/>
      <c r="D1522" s="17" t="n"/>
      <c r="E1522" s="24">
        <f>IF($D1522="","",IFERROR(VLOOKUP($D1522,物料档案!$A$4:$P$1203,3,0),"※编码不在物料档案里"))</f>
        <v/>
      </c>
      <c r="F1522" s="24">
        <f>IF($D1522="","",IFERROR(VLOOKUP($D1522,物料档案!$A$4:$P$1203,4,0),"※编码不在物料档案里"))</f>
        <v/>
      </c>
      <c r="G1522" s="24">
        <f>IF($D1522="","",IFERROR(VLOOKUP($D1522,物料档案!$A$4:$P$1203,5,0),"※编码不在物料档案里"))</f>
        <v/>
      </c>
      <c r="H1522" s="24">
        <f>IF($D1522="","",IFERROR(VLOOKUP($D1522,物料档案!$A$4:$P$1203,2,0),"※编码不在物料档案里"))</f>
        <v/>
      </c>
      <c r="I1522" s="24">
        <f>IF($D1522="","",IFERROR(VLOOKUP($D1522,物料档案!$A$4:$P$1203,6,0),"※编码不在物料档案里"))</f>
        <v/>
      </c>
      <c r="J1522" s="23" t="n"/>
      <c r="K1522" s="17" t="n"/>
      <c r="L1522" s="17" t="n"/>
      <c r="M1522" s="17" t="n"/>
      <c r="N1522" s="17" t="n"/>
      <c r="O1522" s="26">
        <f>IF($D1522="","",IFERROR(VLOOKUP($D1522,物料档案!$A$4:$P$1203,10,0),0))</f>
        <v/>
      </c>
      <c r="P1522" s="32" t="n"/>
      <c r="Q1522" s="26">
        <f>IF($D1522="","",IF($K1522&lt;&gt;"对外销售",0,ROUND(N($J1522)*IF($P1522="",N($O1522),N($P1522)),0)))</f>
        <v/>
      </c>
      <c r="R1522" s="26">
        <f>IF($D1522="","",IFERROR(VLOOKUP($D1522,库存台账!$A$5:$Y$1204,11,0),0))</f>
        <v/>
      </c>
      <c r="S1522" s="26">
        <f>IF($D1522="","",ROUND(N($J1522)*N($R1522),0))</f>
        <v/>
      </c>
      <c r="T1522" s="26">
        <f>IF($D1522="","",IF($K1522&lt;&gt;"对外销售","",ROUND($Q1522-$S1522,0)))</f>
        <v/>
      </c>
      <c r="U1522" s="17" t="n"/>
      <c r="V1522" s="17" t="n"/>
      <c r="W1522" s="24">
        <f>IF($D1522="","",IF($E1522="※编码不在物料档案里","※物料编码不在档案里",IF(N($J1522)&lt;=0,"※出库数量要大于 0",IF($K1522="","※没填去向类型",IF($L1522="","※没填去向矿区",IF(AND($C1522&lt;&gt;"",$C1522&lt;=结账锁),"※日期早于已结账截止日，不能再录",IF(AND($K1522="自用消耗",COUNTIF({"一矿区";"二矿区"},$L1522)=0),"※自用消耗的去向只能是一矿区或二矿区",IF(AND($K1522="对外销售",COUNTIF({"三矿区";"六矿区"},$L1522)=0),"※对外销售的去向只能是三矿区或六矿区",IF(AND($K1522="对外销售",ROUND($Q1522,0)=0),"※外销却没有售价，请填实际售价",IF(AND($K1522="对外销售",$T1522&lt;&gt;"",$T1522&lt;0),"※这一笔外销是亏的，请核对售价",IF(IFERROR(VLOOKUP($D1522,库存台账!$A$5:$Y$1204,24,0),0)&lt;-0.001,"※这个物料账面已经变成负数了，查一下是不是漏记入库","")))))))))))</f>
        <v/>
      </c>
    </row>
    <row r="1523">
      <c r="A1523" s="24">
        <f>IF($D1523="","",COUNTA($D$4:$D1523))</f>
        <v/>
      </c>
      <c r="B1523" s="17" t="n"/>
      <c r="C1523" s="30" t="n"/>
      <c r="D1523" s="17" t="n"/>
      <c r="E1523" s="24">
        <f>IF($D1523="","",IFERROR(VLOOKUP($D1523,物料档案!$A$4:$P$1203,3,0),"※编码不在物料档案里"))</f>
        <v/>
      </c>
      <c r="F1523" s="24">
        <f>IF($D1523="","",IFERROR(VLOOKUP($D1523,物料档案!$A$4:$P$1203,4,0),"※编码不在物料档案里"))</f>
        <v/>
      </c>
      <c r="G1523" s="24">
        <f>IF($D1523="","",IFERROR(VLOOKUP($D1523,物料档案!$A$4:$P$1203,5,0),"※编码不在物料档案里"))</f>
        <v/>
      </c>
      <c r="H1523" s="24">
        <f>IF($D1523="","",IFERROR(VLOOKUP($D1523,物料档案!$A$4:$P$1203,2,0),"※编码不在物料档案里"))</f>
        <v/>
      </c>
      <c r="I1523" s="24">
        <f>IF($D1523="","",IFERROR(VLOOKUP($D1523,物料档案!$A$4:$P$1203,6,0),"※编码不在物料档案里"))</f>
        <v/>
      </c>
      <c r="J1523" s="23" t="n"/>
      <c r="K1523" s="17" t="n"/>
      <c r="L1523" s="17" t="n"/>
      <c r="M1523" s="17" t="n"/>
      <c r="N1523" s="17" t="n"/>
      <c r="O1523" s="26">
        <f>IF($D1523="","",IFERROR(VLOOKUP($D1523,物料档案!$A$4:$P$1203,10,0),0))</f>
        <v/>
      </c>
      <c r="P1523" s="32" t="n"/>
      <c r="Q1523" s="26">
        <f>IF($D1523="","",IF($K1523&lt;&gt;"对外销售",0,ROUND(N($J1523)*IF($P1523="",N($O1523),N($P1523)),0)))</f>
        <v/>
      </c>
      <c r="R1523" s="26">
        <f>IF($D1523="","",IFERROR(VLOOKUP($D1523,库存台账!$A$5:$Y$1204,11,0),0))</f>
        <v/>
      </c>
      <c r="S1523" s="26">
        <f>IF($D1523="","",ROUND(N($J1523)*N($R1523),0))</f>
        <v/>
      </c>
      <c r="T1523" s="26">
        <f>IF($D1523="","",IF($K1523&lt;&gt;"对外销售","",ROUND($Q1523-$S1523,0)))</f>
        <v/>
      </c>
      <c r="U1523" s="17" t="n"/>
      <c r="V1523" s="17" t="n"/>
      <c r="W1523" s="24">
        <f>IF($D1523="","",IF($E1523="※编码不在物料档案里","※物料编码不在档案里",IF(N($J1523)&lt;=0,"※出库数量要大于 0",IF($K1523="","※没填去向类型",IF($L1523="","※没填去向矿区",IF(AND($C1523&lt;&gt;"",$C1523&lt;=结账锁),"※日期早于已结账截止日，不能再录",IF(AND($K1523="自用消耗",COUNTIF({"一矿区";"二矿区"},$L1523)=0),"※自用消耗的去向只能是一矿区或二矿区",IF(AND($K1523="对外销售",COUNTIF({"三矿区";"六矿区"},$L1523)=0),"※对外销售的去向只能是三矿区或六矿区",IF(AND($K1523="对外销售",ROUND($Q1523,0)=0),"※外销却没有售价，请填实际售价",IF(AND($K1523="对外销售",$T1523&lt;&gt;"",$T1523&lt;0),"※这一笔外销是亏的，请核对售价",IF(IFERROR(VLOOKUP($D1523,库存台账!$A$5:$Y$1204,24,0),0)&lt;-0.001,"※这个物料账面已经变成负数了，查一下是不是漏记入库","")))))))))))</f>
        <v/>
      </c>
    </row>
    <row r="1524">
      <c r="A1524" s="24">
        <f>IF($D1524="","",COUNTA($D$4:$D1524))</f>
        <v/>
      </c>
      <c r="B1524" s="17" t="n"/>
      <c r="C1524" s="30" t="n"/>
      <c r="D1524" s="17" t="n"/>
      <c r="E1524" s="24">
        <f>IF($D1524="","",IFERROR(VLOOKUP($D1524,物料档案!$A$4:$P$1203,3,0),"※编码不在物料档案里"))</f>
        <v/>
      </c>
      <c r="F1524" s="24">
        <f>IF($D1524="","",IFERROR(VLOOKUP($D1524,物料档案!$A$4:$P$1203,4,0),"※编码不在物料档案里"))</f>
        <v/>
      </c>
      <c r="G1524" s="24">
        <f>IF($D1524="","",IFERROR(VLOOKUP($D1524,物料档案!$A$4:$P$1203,5,0),"※编码不在物料档案里"))</f>
        <v/>
      </c>
      <c r="H1524" s="24">
        <f>IF($D1524="","",IFERROR(VLOOKUP($D1524,物料档案!$A$4:$P$1203,2,0),"※编码不在物料档案里"))</f>
        <v/>
      </c>
      <c r="I1524" s="24">
        <f>IF($D1524="","",IFERROR(VLOOKUP($D1524,物料档案!$A$4:$P$1203,6,0),"※编码不在物料档案里"))</f>
        <v/>
      </c>
      <c r="J1524" s="23" t="n"/>
      <c r="K1524" s="17" t="n"/>
      <c r="L1524" s="17" t="n"/>
      <c r="M1524" s="17" t="n"/>
      <c r="N1524" s="17" t="n"/>
      <c r="O1524" s="26">
        <f>IF($D1524="","",IFERROR(VLOOKUP($D1524,物料档案!$A$4:$P$1203,10,0),0))</f>
        <v/>
      </c>
      <c r="P1524" s="32" t="n"/>
      <c r="Q1524" s="26">
        <f>IF($D1524="","",IF($K1524&lt;&gt;"对外销售",0,ROUND(N($J1524)*IF($P1524="",N($O1524),N($P1524)),0)))</f>
        <v/>
      </c>
      <c r="R1524" s="26">
        <f>IF($D1524="","",IFERROR(VLOOKUP($D1524,库存台账!$A$5:$Y$1204,11,0),0))</f>
        <v/>
      </c>
      <c r="S1524" s="26">
        <f>IF($D1524="","",ROUND(N($J1524)*N($R1524),0))</f>
        <v/>
      </c>
      <c r="T1524" s="26">
        <f>IF($D1524="","",IF($K1524&lt;&gt;"对外销售","",ROUND($Q1524-$S1524,0)))</f>
        <v/>
      </c>
      <c r="U1524" s="17" t="n"/>
      <c r="V1524" s="17" t="n"/>
      <c r="W1524" s="24">
        <f>IF($D1524="","",IF($E1524="※编码不在物料档案里","※物料编码不在档案里",IF(N($J1524)&lt;=0,"※出库数量要大于 0",IF($K1524="","※没填去向类型",IF($L1524="","※没填去向矿区",IF(AND($C1524&lt;&gt;"",$C1524&lt;=结账锁),"※日期早于已结账截止日，不能再录",IF(AND($K1524="自用消耗",COUNTIF({"一矿区";"二矿区"},$L1524)=0),"※自用消耗的去向只能是一矿区或二矿区",IF(AND($K1524="对外销售",COUNTIF({"三矿区";"六矿区"},$L1524)=0),"※对外销售的去向只能是三矿区或六矿区",IF(AND($K1524="对外销售",ROUND($Q1524,0)=0),"※外销却没有售价，请填实际售价",IF(AND($K1524="对外销售",$T1524&lt;&gt;"",$T1524&lt;0),"※这一笔外销是亏的，请核对售价",IF(IFERROR(VLOOKUP($D1524,库存台账!$A$5:$Y$1204,24,0),0)&lt;-0.001,"※这个物料账面已经变成负数了，查一下是不是漏记入库","")))))))))))</f>
        <v/>
      </c>
    </row>
    <row r="1525">
      <c r="A1525" s="24">
        <f>IF($D1525="","",COUNTA($D$4:$D1525))</f>
        <v/>
      </c>
      <c r="B1525" s="17" t="n"/>
      <c r="C1525" s="30" t="n"/>
      <c r="D1525" s="17" t="n"/>
      <c r="E1525" s="24">
        <f>IF($D1525="","",IFERROR(VLOOKUP($D1525,物料档案!$A$4:$P$1203,3,0),"※编码不在物料档案里"))</f>
        <v/>
      </c>
      <c r="F1525" s="24">
        <f>IF($D1525="","",IFERROR(VLOOKUP($D1525,物料档案!$A$4:$P$1203,4,0),"※编码不在物料档案里"))</f>
        <v/>
      </c>
      <c r="G1525" s="24">
        <f>IF($D1525="","",IFERROR(VLOOKUP($D1525,物料档案!$A$4:$P$1203,5,0),"※编码不在物料档案里"))</f>
        <v/>
      </c>
      <c r="H1525" s="24">
        <f>IF($D1525="","",IFERROR(VLOOKUP($D1525,物料档案!$A$4:$P$1203,2,0),"※编码不在物料档案里"))</f>
        <v/>
      </c>
      <c r="I1525" s="24">
        <f>IF($D1525="","",IFERROR(VLOOKUP($D1525,物料档案!$A$4:$P$1203,6,0),"※编码不在物料档案里"))</f>
        <v/>
      </c>
      <c r="J1525" s="23" t="n"/>
      <c r="K1525" s="17" t="n"/>
      <c r="L1525" s="17" t="n"/>
      <c r="M1525" s="17" t="n"/>
      <c r="N1525" s="17" t="n"/>
      <c r="O1525" s="26">
        <f>IF($D1525="","",IFERROR(VLOOKUP($D1525,物料档案!$A$4:$P$1203,10,0),0))</f>
        <v/>
      </c>
      <c r="P1525" s="32" t="n"/>
      <c r="Q1525" s="26">
        <f>IF($D1525="","",IF($K1525&lt;&gt;"对外销售",0,ROUND(N($J1525)*IF($P1525="",N($O1525),N($P1525)),0)))</f>
        <v/>
      </c>
      <c r="R1525" s="26">
        <f>IF($D1525="","",IFERROR(VLOOKUP($D1525,库存台账!$A$5:$Y$1204,11,0),0))</f>
        <v/>
      </c>
      <c r="S1525" s="26">
        <f>IF($D1525="","",ROUND(N($J1525)*N($R1525),0))</f>
        <v/>
      </c>
      <c r="T1525" s="26">
        <f>IF($D1525="","",IF($K1525&lt;&gt;"对外销售","",ROUND($Q1525-$S1525,0)))</f>
        <v/>
      </c>
      <c r="U1525" s="17" t="n"/>
      <c r="V1525" s="17" t="n"/>
      <c r="W1525" s="24">
        <f>IF($D1525="","",IF($E1525="※编码不在物料档案里","※物料编码不在档案里",IF(N($J1525)&lt;=0,"※出库数量要大于 0",IF($K1525="","※没填去向类型",IF($L1525="","※没填去向矿区",IF(AND($C1525&lt;&gt;"",$C1525&lt;=结账锁),"※日期早于已结账截止日，不能再录",IF(AND($K1525="自用消耗",COUNTIF({"一矿区";"二矿区"},$L1525)=0),"※自用消耗的去向只能是一矿区或二矿区",IF(AND($K1525="对外销售",COUNTIF({"三矿区";"六矿区"},$L1525)=0),"※对外销售的去向只能是三矿区或六矿区",IF(AND($K1525="对外销售",ROUND($Q1525,0)=0),"※外销却没有售价，请填实际售价",IF(AND($K1525="对外销售",$T1525&lt;&gt;"",$T1525&lt;0),"※这一笔外销是亏的，请核对售价",IF(IFERROR(VLOOKUP($D1525,库存台账!$A$5:$Y$1204,24,0),0)&lt;-0.001,"※这个物料账面已经变成负数了，查一下是不是漏记入库","")))))))))))</f>
        <v/>
      </c>
    </row>
    <row r="1526">
      <c r="A1526" s="24">
        <f>IF($D1526="","",COUNTA($D$4:$D1526))</f>
        <v/>
      </c>
      <c r="B1526" s="17" t="n"/>
      <c r="C1526" s="30" t="n"/>
      <c r="D1526" s="17" t="n"/>
      <c r="E1526" s="24">
        <f>IF($D1526="","",IFERROR(VLOOKUP($D1526,物料档案!$A$4:$P$1203,3,0),"※编码不在物料档案里"))</f>
        <v/>
      </c>
      <c r="F1526" s="24">
        <f>IF($D1526="","",IFERROR(VLOOKUP($D1526,物料档案!$A$4:$P$1203,4,0),"※编码不在物料档案里"))</f>
        <v/>
      </c>
      <c r="G1526" s="24">
        <f>IF($D1526="","",IFERROR(VLOOKUP($D1526,物料档案!$A$4:$P$1203,5,0),"※编码不在物料档案里"))</f>
        <v/>
      </c>
      <c r="H1526" s="24">
        <f>IF($D1526="","",IFERROR(VLOOKUP($D1526,物料档案!$A$4:$P$1203,2,0),"※编码不在物料档案里"))</f>
        <v/>
      </c>
      <c r="I1526" s="24">
        <f>IF($D1526="","",IFERROR(VLOOKUP($D1526,物料档案!$A$4:$P$1203,6,0),"※编码不在物料档案里"))</f>
        <v/>
      </c>
      <c r="J1526" s="23" t="n"/>
      <c r="K1526" s="17" t="n"/>
      <c r="L1526" s="17" t="n"/>
      <c r="M1526" s="17" t="n"/>
      <c r="N1526" s="17" t="n"/>
      <c r="O1526" s="26">
        <f>IF($D1526="","",IFERROR(VLOOKUP($D1526,物料档案!$A$4:$P$1203,10,0),0))</f>
        <v/>
      </c>
      <c r="P1526" s="32" t="n"/>
      <c r="Q1526" s="26">
        <f>IF($D1526="","",IF($K1526&lt;&gt;"对外销售",0,ROUND(N($J1526)*IF($P1526="",N($O1526),N($P1526)),0)))</f>
        <v/>
      </c>
      <c r="R1526" s="26">
        <f>IF($D1526="","",IFERROR(VLOOKUP($D1526,库存台账!$A$5:$Y$1204,11,0),0))</f>
        <v/>
      </c>
      <c r="S1526" s="26">
        <f>IF($D1526="","",ROUND(N($J1526)*N($R1526),0))</f>
        <v/>
      </c>
      <c r="T1526" s="26">
        <f>IF($D1526="","",IF($K1526&lt;&gt;"对外销售","",ROUND($Q1526-$S1526,0)))</f>
        <v/>
      </c>
      <c r="U1526" s="17" t="n"/>
      <c r="V1526" s="17" t="n"/>
      <c r="W1526" s="24">
        <f>IF($D1526="","",IF($E1526="※编码不在物料档案里","※物料编码不在档案里",IF(N($J1526)&lt;=0,"※出库数量要大于 0",IF($K1526="","※没填去向类型",IF($L1526="","※没填去向矿区",IF(AND($C1526&lt;&gt;"",$C1526&lt;=结账锁),"※日期早于已结账截止日，不能再录",IF(AND($K1526="自用消耗",COUNTIF({"一矿区";"二矿区"},$L1526)=0),"※自用消耗的去向只能是一矿区或二矿区",IF(AND($K1526="对外销售",COUNTIF({"三矿区";"六矿区"},$L1526)=0),"※对外销售的去向只能是三矿区或六矿区",IF(AND($K1526="对外销售",ROUND($Q1526,0)=0),"※外销却没有售价，请填实际售价",IF(AND($K1526="对外销售",$T1526&lt;&gt;"",$T1526&lt;0),"※这一笔外销是亏的，请核对售价",IF(IFERROR(VLOOKUP($D1526,库存台账!$A$5:$Y$1204,24,0),0)&lt;-0.001,"※这个物料账面已经变成负数了，查一下是不是漏记入库","")))))))))))</f>
        <v/>
      </c>
    </row>
    <row r="1527">
      <c r="A1527" s="24">
        <f>IF($D1527="","",COUNTA($D$4:$D1527))</f>
        <v/>
      </c>
      <c r="B1527" s="17" t="n"/>
      <c r="C1527" s="30" t="n"/>
      <c r="D1527" s="17" t="n"/>
      <c r="E1527" s="24">
        <f>IF($D1527="","",IFERROR(VLOOKUP($D1527,物料档案!$A$4:$P$1203,3,0),"※编码不在物料档案里"))</f>
        <v/>
      </c>
      <c r="F1527" s="24">
        <f>IF($D1527="","",IFERROR(VLOOKUP($D1527,物料档案!$A$4:$P$1203,4,0),"※编码不在物料档案里"))</f>
        <v/>
      </c>
      <c r="G1527" s="24">
        <f>IF($D1527="","",IFERROR(VLOOKUP($D1527,物料档案!$A$4:$P$1203,5,0),"※编码不在物料档案里"))</f>
        <v/>
      </c>
      <c r="H1527" s="24">
        <f>IF($D1527="","",IFERROR(VLOOKUP($D1527,物料档案!$A$4:$P$1203,2,0),"※编码不在物料档案里"))</f>
        <v/>
      </c>
      <c r="I1527" s="24">
        <f>IF($D1527="","",IFERROR(VLOOKUP($D1527,物料档案!$A$4:$P$1203,6,0),"※编码不在物料档案里"))</f>
        <v/>
      </c>
      <c r="J1527" s="23" t="n"/>
      <c r="K1527" s="17" t="n"/>
      <c r="L1527" s="17" t="n"/>
      <c r="M1527" s="17" t="n"/>
      <c r="N1527" s="17" t="n"/>
      <c r="O1527" s="26">
        <f>IF($D1527="","",IFERROR(VLOOKUP($D1527,物料档案!$A$4:$P$1203,10,0),0))</f>
        <v/>
      </c>
      <c r="P1527" s="32" t="n"/>
      <c r="Q1527" s="26">
        <f>IF($D1527="","",IF($K1527&lt;&gt;"对外销售",0,ROUND(N($J1527)*IF($P1527="",N($O1527),N($P1527)),0)))</f>
        <v/>
      </c>
      <c r="R1527" s="26">
        <f>IF($D1527="","",IFERROR(VLOOKUP($D1527,库存台账!$A$5:$Y$1204,11,0),0))</f>
        <v/>
      </c>
      <c r="S1527" s="26">
        <f>IF($D1527="","",ROUND(N($J1527)*N($R1527),0))</f>
        <v/>
      </c>
      <c r="T1527" s="26">
        <f>IF($D1527="","",IF($K1527&lt;&gt;"对外销售","",ROUND($Q1527-$S1527,0)))</f>
        <v/>
      </c>
      <c r="U1527" s="17" t="n"/>
      <c r="V1527" s="17" t="n"/>
      <c r="W1527" s="24">
        <f>IF($D1527="","",IF($E1527="※编码不在物料档案里","※物料编码不在档案里",IF(N($J1527)&lt;=0,"※出库数量要大于 0",IF($K1527="","※没填去向类型",IF($L1527="","※没填去向矿区",IF(AND($C1527&lt;&gt;"",$C1527&lt;=结账锁),"※日期早于已结账截止日，不能再录",IF(AND($K1527="自用消耗",COUNTIF({"一矿区";"二矿区"},$L1527)=0),"※自用消耗的去向只能是一矿区或二矿区",IF(AND($K1527="对外销售",COUNTIF({"三矿区";"六矿区"},$L1527)=0),"※对外销售的去向只能是三矿区或六矿区",IF(AND($K1527="对外销售",ROUND($Q1527,0)=0),"※外销却没有售价，请填实际售价",IF(AND($K1527="对外销售",$T1527&lt;&gt;"",$T1527&lt;0),"※这一笔外销是亏的，请核对售价",IF(IFERROR(VLOOKUP($D1527,库存台账!$A$5:$Y$1204,24,0),0)&lt;-0.001,"※这个物料账面已经变成负数了，查一下是不是漏记入库","")))))))))))</f>
        <v/>
      </c>
    </row>
    <row r="1528">
      <c r="A1528" s="24">
        <f>IF($D1528="","",COUNTA($D$4:$D1528))</f>
        <v/>
      </c>
      <c r="B1528" s="17" t="n"/>
      <c r="C1528" s="30" t="n"/>
      <c r="D1528" s="17" t="n"/>
      <c r="E1528" s="24">
        <f>IF($D1528="","",IFERROR(VLOOKUP($D1528,物料档案!$A$4:$P$1203,3,0),"※编码不在物料档案里"))</f>
        <v/>
      </c>
      <c r="F1528" s="24">
        <f>IF($D1528="","",IFERROR(VLOOKUP($D1528,物料档案!$A$4:$P$1203,4,0),"※编码不在物料档案里"))</f>
        <v/>
      </c>
      <c r="G1528" s="24">
        <f>IF($D1528="","",IFERROR(VLOOKUP($D1528,物料档案!$A$4:$P$1203,5,0),"※编码不在物料档案里"))</f>
        <v/>
      </c>
      <c r="H1528" s="24">
        <f>IF($D1528="","",IFERROR(VLOOKUP($D1528,物料档案!$A$4:$P$1203,2,0),"※编码不在物料档案里"))</f>
        <v/>
      </c>
      <c r="I1528" s="24">
        <f>IF($D1528="","",IFERROR(VLOOKUP($D1528,物料档案!$A$4:$P$1203,6,0),"※编码不在物料档案里"))</f>
        <v/>
      </c>
      <c r="J1528" s="23" t="n"/>
      <c r="K1528" s="17" t="n"/>
      <c r="L1528" s="17" t="n"/>
      <c r="M1528" s="17" t="n"/>
      <c r="N1528" s="17" t="n"/>
      <c r="O1528" s="26">
        <f>IF($D1528="","",IFERROR(VLOOKUP($D1528,物料档案!$A$4:$P$1203,10,0),0))</f>
        <v/>
      </c>
      <c r="P1528" s="32" t="n"/>
      <c r="Q1528" s="26">
        <f>IF($D1528="","",IF($K1528&lt;&gt;"对外销售",0,ROUND(N($J1528)*IF($P1528="",N($O1528),N($P1528)),0)))</f>
        <v/>
      </c>
      <c r="R1528" s="26">
        <f>IF($D1528="","",IFERROR(VLOOKUP($D1528,库存台账!$A$5:$Y$1204,11,0),0))</f>
        <v/>
      </c>
      <c r="S1528" s="26">
        <f>IF($D1528="","",ROUND(N($J1528)*N($R1528),0))</f>
        <v/>
      </c>
      <c r="T1528" s="26">
        <f>IF($D1528="","",IF($K1528&lt;&gt;"对外销售","",ROUND($Q1528-$S1528,0)))</f>
        <v/>
      </c>
      <c r="U1528" s="17" t="n"/>
      <c r="V1528" s="17" t="n"/>
      <c r="W1528" s="24">
        <f>IF($D1528="","",IF($E1528="※编码不在物料档案里","※物料编码不在档案里",IF(N($J1528)&lt;=0,"※出库数量要大于 0",IF($K1528="","※没填去向类型",IF($L1528="","※没填去向矿区",IF(AND($C1528&lt;&gt;"",$C1528&lt;=结账锁),"※日期早于已结账截止日，不能再录",IF(AND($K1528="自用消耗",COUNTIF({"一矿区";"二矿区"},$L1528)=0),"※自用消耗的去向只能是一矿区或二矿区",IF(AND($K1528="对外销售",COUNTIF({"三矿区";"六矿区"},$L1528)=0),"※对外销售的去向只能是三矿区或六矿区",IF(AND($K1528="对外销售",ROUND($Q1528,0)=0),"※外销却没有售价，请填实际售价",IF(AND($K1528="对外销售",$T1528&lt;&gt;"",$T1528&lt;0),"※这一笔外销是亏的，请核对售价",IF(IFERROR(VLOOKUP($D1528,库存台账!$A$5:$Y$1204,24,0),0)&lt;-0.001,"※这个物料账面已经变成负数了，查一下是不是漏记入库","")))))))))))</f>
        <v/>
      </c>
    </row>
    <row r="1529">
      <c r="A1529" s="24">
        <f>IF($D1529="","",COUNTA($D$4:$D1529))</f>
        <v/>
      </c>
      <c r="B1529" s="17" t="n"/>
      <c r="C1529" s="30" t="n"/>
      <c r="D1529" s="17" t="n"/>
      <c r="E1529" s="24">
        <f>IF($D1529="","",IFERROR(VLOOKUP($D1529,物料档案!$A$4:$P$1203,3,0),"※编码不在物料档案里"))</f>
        <v/>
      </c>
      <c r="F1529" s="24">
        <f>IF($D1529="","",IFERROR(VLOOKUP($D1529,物料档案!$A$4:$P$1203,4,0),"※编码不在物料档案里"))</f>
        <v/>
      </c>
      <c r="G1529" s="24">
        <f>IF($D1529="","",IFERROR(VLOOKUP($D1529,物料档案!$A$4:$P$1203,5,0),"※编码不在物料档案里"))</f>
        <v/>
      </c>
      <c r="H1529" s="24">
        <f>IF($D1529="","",IFERROR(VLOOKUP($D1529,物料档案!$A$4:$P$1203,2,0),"※编码不在物料档案里"))</f>
        <v/>
      </c>
      <c r="I1529" s="24">
        <f>IF($D1529="","",IFERROR(VLOOKUP($D1529,物料档案!$A$4:$P$1203,6,0),"※编码不在物料档案里"))</f>
        <v/>
      </c>
      <c r="J1529" s="23" t="n"/>
      <c r="K1529" s="17" t="n"/>
      <c r="L1529" s="17" t="n"/>
      <c r="M1529" s="17" t="n"/>
      <c r="N1529" s="17" t="n"/>
      <c r="O1529" s="26">
        <f>IF($D1529="","",IFERROR(VLOOKUP($D1529,物料档案!$A$4:$P$1203,10,0),0))</f>
        <v/>
      </c>
      <c r="P1529" s="32" t="n"/>
      <c r="Q1529" s="26">
        <f>IF($D1529="","",IF($K1529&lt;&gt;"对外销售",0,ROUND(N($J1529)*IF($P1529="",N($O1529),N($P1529)),0)))</f>
        <v/>
      </c>
      <c r="R1529" s="26">
        <f>IF($D1529="","",IFERROR(VLOOKUP($D1529,库存台账!$A$5:$Y$1204,11,0),0))</f>
        <v/>
      </c>
      <c r="S1529" s="26">
        <f>IF($D1529="","",ROUND(N($J1529)*N($R1529),0))</f>
        <v/>
      </c>
      <c r="T1529" s="26">
        <f>IF($D1529="","",IF($K1529&lt;&gt;"对外销售","",ROUND($Q1529-$S1529,0)))</f>
        <v/>
      </c>
      <c r="U1529" s="17" t="n"/>
      <c r="V1529" s="17" t="n"/>
      <c r="W1529" s="24">
        <f>IF($D1529="","",IF($E1529="※编码不在物料档案里","※物料编码不在档案里",IF(N($J1529)&lt;=0,"※出库数量要大于 0",IF($K1529="","※没填去向类型",IF($L1529="","※没填去向矿区",IF(AND($C1529&lt;&gt;"",$C1529&lt;=结账锁),"※日期早于已结账截止日，不能再录",IF(AND($K1529="自用消耗",COUNTIF({"一矿区";"二矿区"},$L1529)=0),"※自用消耗的去向只能是一矿区或二矿区",IF(AND($K1529="对外销售",COUNTIF({"三矿区";"六矿区"},$L1529)=0),"※对外销售的去向只能是三矿区或六矿区",IF(AND($K1529="对外销售",ROUND($Q1529,0)=0),"※外销却没有售价，请填实际售价",IF(AND($K1529="对外销售",$T1529&lt;&gt;"",$T1529&lt;0),"※这一笔外销是亏的，请核对售价",IF(IFERROR(VLOOKUP($D1529,库存台账!$A$5:$Y$1204,24,0),0)&lt;-0.001,"※这个物料账面已经变成负数了，查一下是不是漏记入库","")))))))))))</f>
        <v/>
      </c>
    </row>
    <row r="1530">
      <c r="A1530" s="24">
        <f>IF($D1530="","",COUNTA($D$4:$D1530))</f>
        <v/>
      </c>
      <c r="B1530" s="17" t="n"/>
      <c r="C1530" s="30" t="n"/>
      <c r="D1530" s="17" t="n"/>
      <c r="E1530" s="24">
        <f>IF($D1530="","",IFERROR(VLOOKUP($D1530,物料档案!$A$4:$P$1203,3,0),"※编码不在物料档案里"))</f>
        <v/>
      </c>
      <c r="F1530" s="24">
        <f>IF($D1530="","",IFERROR(VLOOKUP($D1530,物料档案!$A$4:$P$1203,4,0),"※编码不在物料档案里"))</f>
        <v/>
      </c>
      <c r="G1530" s="24">
        <f>IF($D1530="","",IFERROR(VLOOKUP($D1530,物料档案!$A$4:$P$1203,5,0),"※编码不在物料档案里"))</f>
        <v/>
      </c>
      <c r="H1530" s="24">
        <f>IF($D1530="","",IFERROR(VLOOKUP($D1530,物料档案!$A$4:$P$1203,2,0),"※编码不在物料档案里"))</f>
        <v/>
      </c>
      <c r="I1530" s="24">
        <f>IF($D1530="","",IFERROR(VLOOKUP($D1530,物料档案!$A$4:$P$1203,6,0),"※编码不在物料档案里"))</f>
        <v/>
      </c>
      <c r="J1530" s="23" t="n"/>
      <c r="K1530" s="17" t="n"/>
      <c r="L1530" s="17" t="n"/>
      <c r="M1530" s="17" t="n"/>
      <c r="N1530" s="17" t="n"/>
      <c r="O1530" s="26">
        <f>IF($D1530="","",IFERROR(VLOOKUP($D1530,物料档案!$A$4:$P$1203,10,0),0))</f>
        <v/>
      </c>
      <c r="P1530" s="32" t="n"/>
      <c r="Q1530" s="26">
        <f>IF($D1530="","",IF($K1530&lt;&gt;"对外销售",0,ROUND(N($J1530)*IF($P1530="",N($O1530),N($P1530)),0)))</f>
        <v/>
      </c>
      <c r="R1530" s="26">
        <f>IF($D1530="","",IFERROR(VLOOKUP($D1530,库存台账!$A$5:$Y$1204,11,0),0))</f>
        <v/>
      </c>
      <c r="S1530" s="26">
        <f>IF($D1530="","",ROUND(N($J1530)*N($R1530),0))</f>
        <v/>
      </c>
      <c r="T1530" s="26">
        <f>IF($D1530="","",IF($K1530&lt;&gt;"对外销售","",ROUND($Q1530-$S1530,0)))</f>
        <v/>
      </c>
      <c r="U1530" s="17" t="n"/>
      <c r="V1530" s="17" t="n"/>
      <c r="W1530" s="24">
        <f>IF($D1530="","",IF($E1530="※编码不在物料档案里","※物料编码不在档案里",IF(N($J1530)&lt;=0,"※出库数量要大于 0",IF($K1530="","※没填去向类型",IF($L1530="","※没填去向矿区",IF(AND($C1530&lt;&gt;"",$C1530&lt;=结账锁),"※日期早于已结账截止日，不能再录",IF(AND($K1530="自用消耗",COUNTIF({"一矿区";"二矿区"},$L1530)=0),"※自用消耗的去向只能是一矿区或二矿区",IF(AND($K1530="对外销售",COUNTIF({"三矿区";"六矿区"},$L1530)=0),"※对外销售的去向只能是三矿区或六矿区",IF(AND($K1530="对外销售",ROUND($Q1530,0)=0),"※外销却没有售价，请填实际售价",IF(AND($K1530="对外销售",$T1530&lt;&gt;"",$T1530&lt;0),"※这一笔外销是亏的，请核对售价",IF(IFERROR(VLOOKUP($D1530,库存台账!$A$5:$Y$1204,24,0),0)&lt;-0.001,"※这个物料账面已经变成负数了，查一下是不是漏记入库","")))))))))))</f>
        <v/>
      </c>
    </row>
    <row r="1531">
      <c r="A1531" s="24">
        <f>IF($D1531="","",COUNTA($D$4:$D1531))</f>
        <v/>
      </c>
      <c r="B1531" s="17" t="n"/>
      <c r="C1531" s="30" t="n"/>
      <c r="D1531" s="17" t="n"/>
      <c r="E1531" s="24">
        <f>IF($D1531="","",IFERROR(VLOOKUP($D1531,物料档案!$A$4:$P$1203,3,0),"※编码不在物料档案里"))</f>
        <v/>
      </c>
      <c r="F1531" s="24">
        <f>IF($D1531="","",IFERROR(VLOOKUP($D1531,物料档案!$A$4:$P$1203,4,0),"※编码不在物料档案里"))</f>
        <v/>
      </c>
      <c r="G1531" s="24">
        <f>IF($D1531="","",IFERROR(VLOOKUP($D1531,物料档案!$A$4:$P$1203,5,0),"※编码不在物料档案里"))</f>
        <v/>
      </c>
      <c r="H1531" s="24">
        <f>IF($D1531="","",IFERROR(VLOOKUP($D1531,物料档案!$A$4:$P$1203,2,0),"※编码不在物料档案里"))</f>
        <v/>
      </c>
      <c r="I1531" s="24">
        <f>IF($D1531="","",IFERROR(VLOOKUP($D1531,物料档案!$A$4:$P$1203,6,0),"※编码不在物料档案里"))</f>
        <v/>
      </c>
      <c r="J1531" s="23" t="n"/>
      <c r="K1531" s="17" t="n"/>
      <c r="L1531" s="17" t="n"/>
      <c r="M1531" s="17" t="n"/>
      <c r="N1531" s="17" t="n"/>
      <c r="O1531" s="26">
        <f>IF($D1531="","",IFERROR(VLOOKUP($D1531,物料档案!$A$4:$P$1203,10,0),0))</f>
        <v/>
      </c>
      <c r="P1531" s="32" t="n"/>
      <c r="Q1531" s="26">
        <f>IF($D1531="","",IF($K1531&lt;&gt;"对外销售",0,ROUND(N($J1531)*IF($P1531="",N($O1531),N($P1531)),0)))</f>
        <v/>
      </c>
      <c r="R1531" s="26">
        <f>IF($D1531="","",IFERROR(VLOOKUP($D1531,库存台账!$A$5:$Y$1204,11,0),0))</f>
        <v/>
      </c>
      <c r="S1531" s="26">
        <f>IF($D1531="","",ROUND(N($J1531)*N($R1531),0))</f>
        <v/>
      </c>
      <c r="T1531" s="26">
        <f>IF($D1531="","",IF($K1531&lt;&gt;"对外销售","",ROUND($Q1531-$S1531,0)))</f>
        <v/>
      </c>
      <c r="U1531" s="17" t="n"/>
      <c r="V1531" s="17" t="n"/>
      <c r="W1531" s="24">
        <f>IF($D1531="","",IF($E1531="※编码不在物料档案里","※物料编码不在档案里",IF(N($J1531)&lt;=0,"※出库数量要大于 0",IF($K1531="","※没填去向类型",IF($L1531="","※没填去向矿区",IF(AND($C1531&lt;&gt;"",$C1531&lt;=结账锁),"※日期早于已结账截止日，不能再录",IF(AND($K1531="自用消耗",COUNTIF({"一矿区";"二矿区"},$L1531)=0),"※自用消耗的去向只能是一矿区或二矿区",IF(AND($K1531="对外销售",COUNTIF({"三矿区";"六矿区"},$L1531)=0),"※对外销售的去向只能是三矿区或六矿区",IF(AND($K1531="对外销售",ROUND($Q1531,0)=0),"※外销却没有售价，请填实际售价",IF(AND($K1531="对外销售",$T1531&lt;&gt;"",$T1531&lt;0),"※这一笔外销是亏的，请核对售价",IF(IFERROR(VLOOKUP($D1531,库存台账!$A$5:$Y$1204,24,0),0)&lt;-0.001,"※这个物料账面已经变成负数了，查一下是不是漏记入库","")))))))))))</f>
        <v/>
      </c>
    </row>
    <row r="1532">
      <c r="A1532" s="24">
        <f>IF($D1532="","",COUNTA($D$4:$D1532))</f>
        <v/>
      </c>
      <c r="B1532" s="17" t="n"/>
      <c r="C1532" s="30" t="n"/>
      <c r="D1532" s="17" t="n"/>
      <c r="E1532" s="24">
        <f>IF($D1532="","",IFERROR(VLOOKUP($D1532,物料档案!$A$4:$P$1203,3,0),"※编码不在物料档案里"))</f>
        <v/>
      </c>
      <c r="F1532" s="24">
        <f>IF($D1532="","",IFERROR(VLOOKUP($D1532,物料档案!$A$4:$P$1203,4,0),"※编码不在物料档案里"))</f>
        <v/>
      </c>
      <c r="G1532" s="24">
        <f>IF($D1532="","",IFERROR(VLOOKUP($D1532,物料档案!$A$4:$P$1203,5,0),"※编码不在物料档案里"))</f>
        <v/>
      </c>
      <c r="H1532" s="24">
        <f>IF($D1532="","",IFERROR(VLOOKUP($D1532,物料档案!$A$4:$P$1203,2,0),"※编码不在物料档案里"))</f>
        <v/>
      </c>
      <c r="I1532" s="24">
        <f>IF($D1532="","",IFERROR(VLOOKUP($D1532,物料档案!$A$4:$P$1203,6,0),"※编码不在物料档案里"))</f>
        <v/>
      </c>
      <c r="J1532" s="23" t="n"/>
      <c r="K1532" s="17" t="n"/>
      <c r="L1532" s="17" t="n"/>
      <c r="M1532" s="17" t="n"/>
      <c r="N1532" s="17" t="n"/>
      <c r="O1532" s="26">
        <f>IF($D1532="","",IFERROR(VLOOKUP($D1532,物料档案!$A$4:$P$1203,10,0),0))</f>
        <v/>
      </c>
      <c r="P1532" s="32" t="n"/>
      <c r="Q1532" s="26">
        <f>IF($D1532="","",IF($K1532&lt;&gt;"对外销售",0,ROUND(N($J1532)*IF($P1532="",N($O1532),N($P1532)),0)))</f>
        <v/>
      </c>
      <c r="R1532" s="26">
        <f>IF($D1532="","",IFERROR(VLOOKUP($D1532,库存台账!$A$5:$Y$1204,11,0),0))</f>
        <v/>
      </c>
      <c r="S1532" s="26">
        <f>IF($D1532="","",ROUND(N($J1532)*N($R1532),0))</f>
        <v/>
      </c>
      <c r="T1532" s="26">
        <f>IF($D1532="","",IF($K1532&lt;&gt;"对外销售","",ROUND($Q1532-$S1532,0)))</f>
        <v/>
      </c>
      <c r="U1532" s="17" t="n"/>
      <c r="V1532" s="17" t="n"/>
      <c r="W1532" s="24">
        <f>IF($D1532="","",IF($E1532="※编码不在物料档案里","※物料编码不在档案里",IF(N($J1532)&lt;=0,"※出库数量要大于 0",IF($K1532="","※没填去向类型",IF($L1532="","※没填去向矿区",IF(AND($C1532&lt;&gt;"",$C1532&lt;=结账锁),"※日期早于已结账截止日，不能再录",IF(AND($K1532="自用消耗",COUNTIF({"一矿区";"二矿区"},$L1532)=0),"※自用消耗的去向只能是一矿区或二矿区",IF(AND($K1532="对外销售",COUNTIF({"三矿区";"六矿区"},$L1532)=0),"※对外销售的去向只能是三矿区或六矿区",IF(AND($K1532="对外销售",ROUND($Q1532,0)=0),"※外销却没有售价，请填实际售价",IF(AND($K1532="对外销售",$T1532&lt;&gt;"",$T1532&lt;0),"※这一笔外销是亏的，请核对售价",IF(IFERROR(VLOOKUP($D1532,库存台账!$A$5:$Y$1204,24,0),0)&lt;-0.001,"※这个物料账面已经变成负数了，查一下是不是漏记入库","")))))))))))</f>
        <v/>
      </c>
    </row>
    <row r="1533">
      <c r="A1533" s="24">
        <f>IF($D1533="","",COUNTA($D$4:$D1533))</f>
        <v/>
      </c>
      <c r="B1533" s="17" t="n"/>
      <c r="C1533" s="30" t="n"/>
      <c r="D1533" s="17" t="n"/>
      <c r="E1533" s="24">
        <f>IF($D1533="","",IFERROR(VLOOKUP($D1533,物料档案!$A$4:$P$1203,3,0),"※编码不在物料档案里"))</f>
        <v/>
      </c>
      <c r="F1533" s="24">
        <f>IF($D1533="","",IFERROR(VLOOKUP($D1533,物料档案!$A$4:$P$1203,4,0),"※编码不在物料档案里"))</f>
        <v/>
      </c>
      <c r="G1533" s="24">
        <f>IF($D1533="","",IFERROR(VLOOKUP($D1533,物料档案!$A$4:$P$1203,5,0),"※编码不在物料档案里"))</f>
        <v/>
      </c>
      <c r="H1533" s="24">
        <f>IF($D1533="","",IFERROR(VLOOKUP($D1533,物料档案!$A$4:$P$1203,2,0),"※编码不在物料档案里"))</f>
        <v/>
      </c>
      <c r="I1533" s="24">
        <f>IF($D1533="","",IFERROR(VLOOKUP($D1533,物料档案!$A$4:$P$1203,6,0),"※编码不在物料档案里"))</f>
        <v/>
      </c>
      <c r="J1533" s="23" t="n"/>
      <c r="K1533" s="17" t="n"/>
      <c r="L1533" s="17" t="n"/>
      <c r="M1533" s="17" t="n"/>
      <c r="N1533" s="17" t="n"/>
      <c r="O1533" s="26">
        <f>IF($D1533="","",IFERROR(VLOOKUP($D1533,物料档案!$A$4:$P$1203,10,0),0))</f>
        <v/>
      </c>
      <c r="P1533" s="32" t="n"/>
      <c r="Q1533" s="26">
        <f>IF($D1533="","",IF($K1533&lt;&gt;"对外销售",0,ROUND(N($J1533)*IF($P1533="",N($O1533),N($P1533)),0)))</f>
        <v/>
      </c>
      <c r="R1533" s="26">
        <f>IF($D1533="","",IFERROR(VLOOKUP($D1533,库存台账!$A$5:$Y$1204,11,0),0))</f>
        <v/>
      </c>
      <c r="S1533" s="26">
        <f>IF($D1533="","",ROUND(N($J1533)*N($R1533),0))</f>
        <v/>
      </c>
      <c r="T1533" s="26">
        <f>IF($D1533="","",IF($K1533&lt;&gt;"对外销售","",ROUND($Q1533-$S1533,0)))</f>
        <v/>
      </c>
      <c r="U1533" s="17" t="n"/>
      <c r="V1533" s="17" t="n"/>
      <c r="W1533" s="24">
        <f>IF($D1533="","",IF($E1533="※编码不在物料档案里","※物料编码不在档案里",IF(N($J1533)&lt;=0,"※出库数量要大于 0",IF($K1533="","※没填去向类型",IF($L1533="","※没填去向矿区",IF(AND($C1533&lt;&gt;"",$C1533&lt;=结账锁),"※日期早于已结账截止日，不能再录",IF(AND($K1533="自用消耗",COUNTIF({"一矿区";"二矿区"},$L1533)=0),"※自用消耗的去向只能是一矿区或二矿区",IF(AND($K1533="对外销售",COUNTIF({"三矿区";"六矿区"},$L1533)=0),"※对外销售的去向只能是三矿区或六矿区",IF(AND($K1533="对外销售",ROUND($Q1533,0)=0),"※外销却没有售价，请填实际售价",IF(AND($K1533="对外销售",$T1533&lt;&gt;"",$T1533&lt;0),"※这一笔外销是亏的，请核对售价",IF(IFERROR(VLOOKUP($D1533,库存台账!$A$5:$Y$1204,24,0),0)&lt;-0.001,"※这个物料账面已经变成负数了，查一下是不是漏记入库","")))))))))))</f>
        <v/>
      </c>
    </row>
    <row r="1534">
      <c r="A1534" s="24">
        <f>IF($D1534="","",COUNTA($D$4:$D1534))</f>
        <v/>
      </c>
      <c r="B1534" s="17" t="n"/>
      <c r="C1534" s="30" t="n"/>
      <c r="D1534" s="17" t="n"/>
      <c r="E1534" s="24">
        <f>IF($D1534="","",IFERROR(VLOOKUP($D1534,物料档案!$A$4:$P$1203,3,0),"※编码不在物料档案里"))</f>
        <v/>
      </c>
      <c r="F1534" s="24">
        <f>IF($D1534="","",IFERROR(VLOOKUP($D1534,物料档案!$A$4:$P$1203,4,0),"※编码不在物料档案里"))</f>
        <v/>
      </c>
      <c r="G1534" s="24">
        <f>IF($D1534="","",IFERROR(VLOOKUP($D1534,物料档案!$A$4:$P$1203,5,0),"※编码不在物料档案里"))</f>
        <v/>
      </c>
      <c r="H1534" s="24">
        <f>IF($D1534="","",IFERROR(VLOOKUP($D1534,物料档案!$A$4:$P$1203,2,0),"※编码不在物料档案里"))</f>
        <v/>
      </c>
      <c r="I1534" s="24">
        <f>IF($D1534="","",IFERROR(VLOOKUP($D1534,物料档案!$A$4:$P$1203,6,0),"※编码不在物料档案里"))</f>
        <v/>
      </c>
      <c r="J1534" s="23" t="n"/>
      <c r="K1534" s="17" t="n"/>
      <c r="L1534" s="17" t="n"/>
      <c r="M1534" s="17" t="n"/>
      <c r="N1534" s="17" t="n"/>
      <c r="O1534" s="26">
        <f>IF($D1534="","",IFERROR(VLOOKUP($D1534,物料档案!$A$4:$P$1203,10,0),0))</f>
        <v/>
      </c>
      <c r="P1534" s="32" t="n"/>
      <c r="Q1534" s="26">
        <f>IF($D1534="","",IF($K1534&lt;&gt;"对外销售",0,ROUND(N($J1534)*IF($P1534="",N($O1534),N($P1534)),0)))</f>
        <v/>
      </c>
      <c r="R1534" s="26">
        <f>IF($D1534="","",IFERROR(VLOOKUP($D1534,库存台账!$A$5:$Y$1204,11,0),0))</f>
        <v/>
      </c>
      <c r="S1534" s="26">
        <f>IF($D1534="","",ROUND(N($J1534)*N($R1534),0))</f>
        <v/>
      </c>
      <c r="T1534" s="26">
        <f>IF($D1534="","",IF($K1534&lt;&gt;"对外销售","",ROUND($Q1534-$S1534,0)))</f>
        <v/>
      </c>
      <c r="U1534" s="17" t="n"/>
      <c r="V1534" s="17" t="n"/>
      <c r="W1534" s="24">
        <f>IF($D1534="","",IF($E1534="※编码不在物料档案里","※物料编码不在档案里",IF(N($J1534)&lt;=0,"※出库数量要大于 0",IF($K1534="","※没填去向类型",IF($L1534="","※没填去向矿区",IF(AND($C1534&lt;&gt;"",$C1534&lt;=结账锁),"※日期早于已结账截止日，不能再录",IF(AND($K1534="自用消耗",COUNTIF({"一矿区";"二矿区"},$L1534)=0),"※自用消耗的去向只能是一矿区或二矿区",IF(AND($K1534="对外销售",COUNTIF({"三矿区";"六矿区"},$L1534)=0),"※对外销售的去向只能是三矿区或六矿区",IF(AND($K1534="对外销售",ROUND($Q1534,0)=0),"※外销却没有售价，请填实际售价",IF(AND($K1534="对外销售",$T1534&lt;&gt;"",$T1534&lt;0),"※这一笔外销是亏的，请核对售价",IF(IFERROR(VLOOKUP($D1534,库存台账!$A$5:$Y$1204,24,0),0)&lt;-0.001,"※这个物料账面已经变成负数了，查一下是不是漏记入库","")))))))))))</f>
        <v/>
      </c>
    </row>
    <row r="1535">
      <c r="A1535" s="24">
        <f>IF($D1535="","",COUNTA($D$4:$D1535))</f>
        <v/>
      </c>
      <c r="B1535" s="17" t="n"/>
      <c r="C1535" s="30" t="n"/>
      <c r="D1535" s="17" t="n"/>
      <c r="E1535" s="24">
        <f>IF($D1535="","",IFERROR(VLOOKUP($D1535,物料档案!$A$4:$P$1203,3,0),"※编码不在物料档案里"))</f>
        <v/>
      </c>
      <c r="F1535" s="24">
        <f>IF($D1535="","",IFERROR(VLOOKUP($D1535,物料档案!$A$4:$P$1203,4,0),"※编码不在物料档案里"))</f>
        <v/>
      </c>
      <c r="G1535" s="24">
        <f>IF($D1535="","",IFERROR(VLOOKUP($D1535,物料档案!$A$4:$P$1203,5,0),"※编码不在物料档案里"))</f>
        <v/>
      </c>
      <c r="H1535" s="24">
        <f>IF($D1535="","",IFERROR(VLOOKUP($D1535,物料档案!$A$4:$P$1203,2,0),"※编码不在物料档案里"))</f>
        <v/>
      </c>
      <c r="I1535" s="24">
        <f>IF($D1535="","",IFERROR(VLOOKUP($D1535,物料档案!$A$4:$P$1203,6,0),"※编码不在物料档案里"))</f>
        <v/>
      </c>
      <c r="J1535" s="23" t="n"/>
      <c r="K1535" s="17" t="n"/>
      <c r="L1535" s="17" t="n"/>
      <c r="M1535" s="17" t="n"/>
      <c r="N1535" s="17" t="n"/>
      <c r="O1535" s="26">
        <f>IF($D1535="","",IFERROR(VLOOKUP($D1535,物料档案!$A$4:$P$1203,10,0),0))</f>
        <v/>
      </c>
      <c r="P1535" s="32" t="n"/>
      <c r="Q1535" s="26">
        <f>IF($D1535="","",IF($K1535&lt;&gt;"对外销售",0,ROUND(N($J1535)*IF($P1535="",N($O1535),N($P1535)),0)))</f>
        <v/>
      </c>
      <c r="R1535" s="26">
        <f>IF($D1535="","",IFERROR(VLOOKUP($D1535,库存台账!$A$5:$Y$1204,11,0),0))</f>
        <v/>
      </c>
      <c r="S1535" s="26">
        <f>IF($D1535="","",ROUND(N($J1535)*N($R1535),0))</f>
        <v/>
      </c>
      <c r="T1535" s="26">
        <f>IF($D1535="","",IF($K1535&lt;&gt;"对外销售","",ROUND($Q1535-$S1535,0)))</f>
        <v/>
      </c>
      <c r="U1535" s="17" t="n"/>
      <c r="V1535" s="17" t="n"/>
      <c r="W1535" s="24">
        <f>IF($D1535="","",IF($E1535="※编码不在物料档案里","※物料编码不在档案里",IF(N($J1535)&lt;=0,"※出库数量要大于 0",IF($K1535="","※没填去向类型",IF($L1535="","※没填去向矿区",IF(AND($C1535&lt;&gt;"",$C1535&lt;=结账锁),"※日期早于已结账截止日，不能再录",IF(AND($K1535="自用消耗",COUNTIF({"一矿区";"二矿区"},$L1535)=0),"※自用消耗的去向只能是一矿区或二矿区",IF(AND($K1535="对外销售",COUNTIF({"三矿区";"六矿区"},$L1535)=0),"※对外销售的去向只能是三矿区或六矿区",IF(AND($K1535="对外销售",ROUND($Q1535,0)=0),"※外销却没有售价，请填实际售价",IF(AND($K1535="对外销售",$T1535&lt;&gt;"",$T1535&lt;0),"※这一笔外销是亏的，请核对售价",IF(IFERROR(VLOOKUP($D1535,库存台账!$A$5:$Y$1204,24,0),0)&lt;-0.001,"※这个物料账面已经变成负数了，查一下是不是漏记入库","")))))))))))</f>
        <v/>
      </c>
    </row>
    <row r="1536">
      <c r="A1536" s="24">
        <f>IF($D1536="","",COUNTA($D$4:$D1536))</f>
        <v/>
      </c>
      <c r="B1536" s="17" t="n"/>
      <c r="C1536" s="30" t="n"/>
      <c r="D1536" s="17" t="n"/>
      <c r="E1536" s="24">
        <f>IF($D1536="","",IFERROR(VLOOKUP($D1536,物料档案!$A$4:$P$1203,3,0),"※编码不在物料档案里"))</f>
        <v/>
      </c>
      <c r="F1536" s="24">
        <f>IF($D1536="","",IFERROR(VLOOKUP($D1536,物料档案!$A$4:$P$1203,4,0),"※编码不在物料档案里"))</f>
        <v/>
      </c>
      <c r="G1536" s="24">
        <f>IF($D1536="","",IFERROR(VLOOKUP($D1536,物料档案!$A$4:$P$1203,5,0),"※编码不在物料档案里"))</f>
        <v/>
      </c>
      <c r="H1536" s="24">
        <f>IF($D1536="","",IFERROR(VLOOKUP($D1536,物料档案!$A$4:$P$1203,2,0),"※编码不在物料档案里"))</f>
        <v/>
      </c>
      <c r="I1536" s="24">
        <f>IF($D1536="","",IFERROR(VLOOKUP($D1536,物料档案!$A$4:$P$1203,6,0),"※编码不在物料档案里"))</f>
        <v/>
      </c>
      <c r="J1536" s="23" t="n"/>
      <c r="K1536" s="17" t="n"/>
      <c r="L1536" s="17" t="n"/>
      <c r="M1536" s="17" t="n"/>
      <c r="N1536" s="17" t="n"/>
      <c r="O1536" s="26">
        <f>IF($D1536="","",IFERROR(VLOOKUP($D1536,物料档案!$A$4:$P$1203,10,0),0))</f>
        <v/>
      </c>
      <c r="P1536" s="32" t="n"/>
      <c r="Q1536" s="26">
        <f>IF($D1536="","",IF($K1536&lt;&gt;"对外销售",0,ROUND(N($J1536)*IF($P1536="",N($O1536),N($P1536)),0)))</f>
        <v/>
      </c>
      <c r="R1536" s="26">
        <f>IF($D1536="","",IFERROR(VLOOKUP($D1536,库存台账!$A$5:$Y$1204,11,0),0))</f>
        <v/>
      </c>
      <c r="S1536" s="26">
        <f>IF($D1536="","",ROUND(N($J1536)*N($R1536),0))</f>
        <v/>
      </c>
      <c r="T1536" s="26">
        <f>IF($D1536="","",IF($K1536&lt;&gt;"对外销售","",ROUND($Q1536-$S1536,0)))</f>
        <v/>
      </c>
      <c r="U1536" s="17" t="n"/>
      <c r="V1536" s="17" t="n"/>
      <c r="W1536" s="24">
        <f>IF($D1536="","",IF($E1536="※编码不在物料档案里","※物料编码不在档案里",IF(N($J1536)&lt;=0,"※出库数量要大于 0",IF($K1536="","※没填去向类型",IF($L1536="","※没填去向矿区",IF(AND($C1536&lt;&gt;"",$C1536&lt;=结账锁),"※日期早于已结账截止日，不能再录",IF(AND($K1536="自用消耗",COUNTIF({"一矿区";"二矿区"},$L1536)=0),"※自用消耗的去向只能是一矿区或二矿区",IF(AND($K1536="对外销售",COUNTIF({"三矿区";"六矿区"},$L1536)=0),"※对外销售的去向只能是三矿区或六矿区",IF(AND($K1536="对外销售",ROUND($Q1536,0)=0),"※外销却没有售价，请填实际售价",IF(AND($K1536="对外销售",$T1536&lt;&gt;"",$T1536&lt;0),"※这一笔外销是亏的，请核对售价",IF(IFERROR(VLOOKUP($D1536,库存台账!$A$5:$Y$1204,24,0),0)&lt;-0.001,"※这个物料账面已经变成负数了，查一下是不是漏记入库","")))))))))))</f>
        <v/>
      </c>
    </row>
    <row r="1537">
      <c r="A1537" s="24">
        <f>IF($D1537="","",COUNTA($D$4:$D1537))</f>
        <v/>
      </c>
      <c r="B1537" s="17" t="n"/>
      <c r="C1537" s="30" t="n"/>
      <c r="D1537" s="17" t="n"/>
      <c r="E1537" s="24">
        <f>IF($D1537="","",IFERROR(VLOOKUP($D1537,物料档案!$A$4:$P$1203,3,0),"※编码不在物料档案里"))</f>
        <v/>
      </c>
      <c r="F1537" s="24">
        <f>IF($D1537="","",IFERROR(VLOOKUP($D1537,物料档案!$A$4:$P$1203,4,0),"※编码不在物料档案里"))</f>
        <v/>
      </c>
      <c r="G1537" s="24">
        <f>IF($D1537="","",IFERROR(VLOOKUP($D1537,物料档案!$A$4:$P$1203,5,0),"※编码不在物料档案里"))</f>
        <v/>
      </c>
      <c r="H1537" s="24">
        <f>IF($D1537="","",IFERROR(VLOOKUP($D1537,物料档案!$A$4:$P$1203,2,0),"※编码不在物料档案里"))</f>
        <v/>
      </c>
      <c r="I1537" s="24">
        <f>IF($D1537="","",IFERROR(VLOOKUP($D1537,物料档案!$A$4:$P$1203,6,0),"※编码不在物料档案里"))</f>
        <v/>
      </c>
      <c r="J1537" s="23" t="n"/>
      <c r="K1537" s="17" t="n"/>
      <c r="L1537" s="17" t="n"/>
      <c r="M1537" s="17" t="n"/>
      <c r="N1537" s="17" t="n"/>
      <c r="O1537" s="26">
        <f>IF($D1537="","",IFERROR(VLOOKUP($D1537,物料档案!$A$4:$P$1203,10,0),0))</f>
        <v/>
      </c>
      <c r="P1537" s="32" t="n"/>
      <c r="Q1537" s="26">
        <f>IF($D1537="","",IF($K1537&lt;&gt;"对外销售",0,ROUND(N($J1537)*IF($P1537="",N($O1537),N($P1537)),0)))</f>
        <v/>
      </c>
      <c r="R1537" s="26">
        <f>IF($D1537="","",IFERROR(VLOOKUP($D1537,库存台账!$A$5:$Y$1204,11,0),0))</f>
        <v/>
      </c>
      <c r="S1537" s="26">
        <f>IF($D1537="","",ROUND(N($J1537)*N($R1537),0))</f>
        <v/>
      </c>
      <c r="T1537" s="26">
        <f>IF($D1537="","",IF($K1537&lt;&gt;"对外销售","",ROUND($Q1537-$S1537,0)))</f>
        <v/>
      </c>
      <c r="U1537" s="17" t="n"/>
      <c r="V1537" s="17" t="n"/>
      <c r="W1537" s="24">
        <f>IF($D1537="","",IF($E1537="※编码不在物料档案里","※物料编码不在档案里",IF(N($J1537)&lt;=0,"※出库数量要大于 0",IF($K1537="","※没填去向类型",IF($L1537="","※没填去向矿区",IF(AND($C1537&lt;&gt;"",$C1537&lt;=结账锁),"※日期早于已结账截止日，不能再录",IF(AND($K1537="自用消耗",COUNTIF({"一矿区";"二矿区"},$L1537)=0),"※自用消耗的去向只能是一矿区或二矿区",IF(AND($K1537="对外销售",COUNTIF({"三矿区";"六矿区"},$L1537)=0),"※对外销售的去向只能是三矿区或六矿区",IF(AND($K1537="对外销售",ROUND($Q1537,0)=0),"※外销却没有售价，请填实际售价",IF(AND($K1537="对外销售",$T1537&lt;&gt;"",$T1537&lt;0),"※这一笔外销是亏的，请核对售价",IF(IFERROR(VLOOKUP($D1537,库存台账!$A$5:$Y$1204,24,0),0)&lt;-0.001,"※这个物料账面已经变成负数了，查一下是不是漏记入库","")))))))))))</f>
        <v/>
      </c>
    </row>
    <row r="1538">
      <c r="A1538" s="24">
        <f>IF($D1538="","",COUNTA($D$4:$D1538))</f>
        <v/>
      </c>
      <c r="B1538" s="17" t="n"/>
      <c r="C1538" s="30" t="n"/>
      <c r="D1538" s="17" t="n"/>
      <c r="E1538" s="24">
        <f>IF($D1538="","",IFERROR(VLOOKUP($D1538,物料档案!$A$4:$P$1203,3,0),"※编码不在物料档案里"))</f>
        <v/>
      </c>
      <c r="F1538" s="24">
        <f>IF($D1538="","",IFERROR(VLOOKUP($D1538,物料档案!$A$4:$P$1203,4,0),"※编码不在物料档案里"))</f>
        <v/>
      </c>
      <c r="G1538" s="24">
        <f>IF($D1538="","",IFERROR(VLOOKUP($D1538,物料档案!$A$4:$P$1203,5,0),"※编码不在物料档案里"))</f>
        <v/>
      </c>
      <c r="H1538" s="24">
        <f>IF($D1538="","",IFERROR(VLOOKUP($D1538,物料档案!$A$4:$P$1203,2,0),"※编码不在物料档案里"))</f>
        <v/>
      </c>
      <c r="I1538" s="24">
        <f>IF($D1538="","",IFERROR(VLOOKUP($D1538,物料档案!$A$4:$P$1203,6,0),"※编码不在物料档案里"))</f>
        <v/>
      </c>
      <c r="J1538" s="23" t="n"/>
      <c r="K1538" s="17" t="n"/>
      <c r="L1538" s="17" t="n"/>
      <c r="M1538" s="17" t="n"/>
      <c r="N1538" s="17" t="n"/>
      <c r="O1538" s="26">
        <f>IF($D1538="","",IFERROR(VLOOKUP($D1538,物料档案!$A$4:$P$1203,10,0),0))</f>
        <v/>
      </c>
      <c r="P1538" s="32" t="n"/>
      <c r="Q1538" s="26">
        <f>IF($D1538="","",IF($K1538&lt;&gt;"对外销售",0,ROUND(N($J1538)*IF($P1538="",N($O1538),N($P1538)),0)))</f>
        <v/>
      </c>
      <c r="R1538" s="26">
        <f>IF($D1538="","",IFERROR(VLOOKUP($D1538,库存台账!$A$5:$Y$1204,11,0),0))</f>
        <v/>
      </c>
      <c r="S1538" s="26">
        <f>IF($D1538="","",ROUND(N($J1538)*N($R1538),0))</f>
        <v/>
      </c>
      <c r="T1538" s="26">
        <f>IF($D1538="","",IF($K1538&lt;&gt;"对外销售","",ROUND($Q1538-$S1538,0)))</f>
        <v/>
      </c>
      <c r="U1538" s="17" t="n"/>
      <c r="V1538" s="17" t="n"/>
      <c r="W1538" s="24">
        <f>IF($D1538="","",IF($E1538="※编码不在物料档案里","※物料编码不在档案里",IF(N($J1538)&lt;=0,"※出库数量要大于 0",IF($K1538="","※没填去向类型",IF($L1538="","※没填去向矿区",IF(AND($C1538&lt;&gt;"",$C1538&lt;=结账锁),"※日期早于已结账截止日，不能再录",IF(AND($K1538="自用消耗",COUNTIF({"一矿区";"二矿区"},$L1538)=0),"※自用消耗的去向只能是一矿区或二矿区",IF(AND($K1538="对外销售",COUNTIF({"三矿区";"六矿区"},$L1538)=0),"※对外销售的去向只能是三矿区或六矿区",IF(AND($K1538="对外销售",ROUND($Q1538,0)=0),"※外销却没有售价，请填实际售价",IF(AND($K1538="对外销售",$T1538&lt;&gt;"",$T1538&lt;0),"※这一笔外销是亏的，请核对售价",IF(IFERROR(VLOOKUP($D1538,库存台账!$A$5:$Y$1204,24,0),0)&lt;-0.001,"※这个物料账面已经变成负数了，查一下是不是漏记入库","")))))))))))</f>
        <v/>
      </c>
    </row>
    <row r="1539">
      <c r="A1539" s="24">
        <f>IF($D1539="","",COUNTA($D$4:$D1539))</f>
        <v/>
      </c>
      <c r="B1539" s="17" t="n"/>
      <c r="C1539" s="30" t="n"/>
      <c r="D1539" s="17" t="n"/>
      <c r="E1539" s="24">
        <f>IF($D1539="","",IFERROR(VLOOKUP($D1539,物料档案!$A$4:$P$1203,3,0),"※编码不在物料档案里"))</f>
        <v/>
      </c>
      <c r="F1539" s="24">
        <f>IF($D1539="","",IFERROR(VLOOKUP($D1539,物料档案!$A$4:$P$1203,4,0),"※编码不在物料档案里"))</f>
        <v/>
      </c>
      <c r="G1539" s="24">
        <f>IF($D1539="","",IFERROR(VLOOKUP($D1539,物料档案!$A$4:$P$1203,5,0),"※编码不在物料档案里"))</f>
        <v/>
      </c>
      <c r="H1539" s="24">
        <f>IF($D1539="","",IFERROR(VLOOKUP($D1539,物料档案!$A$4:$P$1203,2,0),"※编码不在物料档案里"))</f>
        <v/>
      </c>
      <c r="I1539" s="24">
        <f>IF($D1539="","",IFERROR(VLOOKUP($D1539,物料档案!$A$4:$P$1203,6,0),"※编码不在物料档案里"))</f>
        <v/>
      </c>
      <c r="J1539" s="23" t="n"/>
      <c r="K1539" s="17" t="n"/>
      <c r="L1539" s="17" t="n"/>
      <c r="M1539" s="17" t="n"/>
      <c r="N1539" s="17" t="n"/>
      <c r="O1539" s="26">
        <f>IF($D1539="","",IFERROR(VLOOKUP($D1539,物料档案!$A$4:$P$1203,10,0),0))</f>
        <v/>
      </c>
      <c r="P1539" s="32" t="n"/>
      <c r="Q1539" s="26">
        <f>IF($D1539="","",IF($K1539&lt;&gt;"对外销售",0,ROUND(N($J1539)*IF($P1539="",N($O1539),N($P1539)),0)))</f>
        <v/>
      </c>
      <c r="R1539" s="26">
        <f>IF($D1539="","",IFERROR(VLOOKUP($D1539,库存台账!$A$5:$Y$1204,11,0),0))</f>
        <v/>
      </c>
      <c r="S1539" s="26">
        <f>IF($D1539="","",ROUND(N($J1539)*N($R1539),0))</f>
        <v/>
      </c>
      <c r="T1539" s="26">
        <f>IF($D1539="","",IF($K1539&lt;&gt;"对外销售","",ROUND($Q1539-$S1539,0)))</f>
        <v/>
      </c>
      <c r="U1539" s="17" t="n"/>
      <c r="V1539" s="17" t="n"/>
      <c r="W1539" s="24">
        <f>IF($D1539="","",IF($E1539="※编码不在物料档案里","※物料编码不在档案里",IF(N($J1539)&lt;=0,"※出库数量要大于 0",IF($K1539="","※没填去向类型",IF($L1539="","※没填去向矿区",IF(AND($C1539&lt;&gt;"",$C1539&lt;=结账锁),"※日期早于已结账截止日，不能再录",IF(AND($K1539="自用消耗",COUNTIF({"一矿区";"二矿区"},$L1539)=0),"※自用消耗的去向只能是一矿区或二矿区",IF(AND($K1539="对外销售",COUNTIF({"三矿区";"六矿区"},$L1539)=0),"※对外销售的去向只能是三矿区或六矿区",IF(AND($K1539="对外销售",ROUND($Q1539,0)=0),"※外销却没有售价，请填实际售价",IF(AND($K1539="对外销售",$T1539&lt;&gt;"",$T1539&lt;0),"※这一笔外销是亏的，请核对售价",IF(IFERROR(VLOOKUP($D1539,库存台账!$A$5:$Y$1204,24,0),0)&lt;-0.001,"※这个物料账面已经变成负数了，查一下是不是漏记入库","")))))))))))</f>
        <v/>
      </c>
    </row>
    <row r="1540">
      <c r="A1540" s="24">
        <f>IF($D1540="","",COUNTA($D$4:$D1540))</f>
        <v/>
      </c>
      <c r="B1540" s="17" t="n"/>
      <c r="C1540" s="30" t="n"/>
      <c r="D1540" s="17" t="n"/>
      <c r="E1540" s="24">
        <f>IF($D1540="","",IFERROR(VLOOKUP($D1540,物料档案!$A$4:$P$1203,3,0),"※编码不在物料档案里"))</f>
        <v/>
      </c>
      <c r="F1540" s="24">
        <f>IF($D1540="","",IFERROR(VLOOKUP($D1540,物料档案!$A$4:$P$1203,4,0),"※编码不在物料档案里"))</f>
        <v/>
      </c>
      <c r="G1540" s="24">
        <f>IF($D1540="","",IFERROR(VLOOKUP($D1540,物料档案!$A$4:$P$1203,5,0),"※编码不在物料档案里"))</f>
        <v/>
      </c>
      <c r="H1540" s="24">
        <f>IF($D1540="","",IFERROR(VLOOKUP($D1540,物料档案!$A$4:$P$1203,2,0),"※编码不在物料档案里"))</f>
        <v/>
      </c>
      <c r="I1540" s="24">
        <f>IF($D1540="","",IFERROR(VLOOKUP($D1540,物料档案!$A$4:$P$1203,6,0),"※编码不在物料档案里"))</f>
        <v/>
      </c>
      <c r="J1540" s="23" t="n"/>
      <c r="K1540" s="17" t="n"/>
      <c r="L1540" s="17" t="n"/>
      <c r="M1540" s="17" t="n"/>
      <c r="N1540" s="17" t="n"/>
      <c r="O1540" s="26">
        <f>IF($D1540="","",IFERROR(VLOOKUP($D1540,物料档案!$A$4:$P$1203,10,0),0))</f>
        <v/>
      </c>
      <c r="P1540" s="32" t="n"/>
      <c r="Q1540" s="26">
        <f>IF($D1540="","",IF($K1540&lt;&gt;"对外销售",0,ROUND(N($J1540)*IF($P1540="",N($O1540),N($P1540)),0)))</f>
        <v/>
      </c>
      <c r="R1540" s="26">
        <f>IF($D1540="","",IFERROR(VLOOKUP($D1540,库存台账!$A$5:$Y$1204,11,0),0))</f>
        <v/>
      </c>
      <c r="S1540" s="26">
        <f>IF($D1540="","",ROUND(N($J1540)*N($R1540),0))</f>
        <v/>
      </c>
      <c r="T1540" s="26">
        <f>IF($D1540="","",IF($K1540&lt;&gt;"对外销售","",ROUND($Q1540-$S1540,0)))</f>
        <v/>
      </c>
      <c r="U1540" s="17" t="n"/>
      <c r="V1540" s="17" t="n"/>
      <c r="W1540" s="24">
        <f>IF($D1540="","",IF($E1540="※编码不在物料档案里","※物料编码不在档案里",IF(N($J1540)&lt;=0,"※出库数量要大于 0",IF($K1540="","※没填去向类型",IF($L1540="","※没填去向矿区",IF(AND($C1540&lt;&gt;"",$C1540&lt;=结账锁),"※日期早于已结账截止日，不能再录",IF(AND($K1540="自用消耗",COUNTIF({"一矿区";"二矿区"},$L1540)=0),"※自用消耗的去向只能是一矿区或二矿区",IF(AND($K1540="对外销售",COUNTIF({"三矿区";"六矿区"},$L1540)=0),"※对外销售的去向只能是三矿区或六矿区",IF(AND($K1540="对外销售",ROUND($Q1540,0)=0),"※外销却没有售价，请填实际售价",IF(AND($K1540="对外销售",$T1540&lt;&gt;"",$T1540&lt;0),"※这一笔外销是亏的，请核对售价",IF(IFERROR(VLOOKUP($D1540,库存台账!$A$5:$Y$1204,24,0),0)&lt;-0.001,"※这个物料账面已经变成负数了，查一下是不是漏记入库","")))))))))))</f>
        <v/>
      </c>
    </row>
    <row r="1541">
      <c r="A1541" s="24">
        <f>IF($D1541="","",COUNTA($D$4:$D1541))</f>
        <v/>
      </c>
      <c r="B1541" s="17" t="n"/>
      <c r="C1541" s="30" t="n"/>
      <c r="D1541" s="17" t="n"/>
      <c r="E1541" s="24">
        <f>IF($D1541="","",IFERROR(VLOOKUP($D1541,物料档案!$A$4:$P$1203,3,0),"※编码不在物料档案里"))</f>
        <v/>
      </c>
      <c r="F1541" s="24">
        <f>IF($D1541="","",IFERROR(VLOOKUP($D1541,物料档案!$A$4:$P$1203,4,0),"※编码不在物料档案里"))</f>
        <v/>
      </c>
      <c r="G1541" s="24">
        <f>IF($D1541="","",IFERROR(VLOOKUP($D1541,物料档案!$A$4:$P$1203,5,0),"※编码不在物料档案里"))</f>
        <v/>
      </c>
      <c r="H1541" s="24">
        <f>IF($D1541="","",IFERROR(VLOOKUP($D1541,物料档案!$A$4:$P$1203,2,0),"※编码不在物料档案里"))</f>
        <v/>
      </c>
      <c r="I1541" s="24">
        <f>IF($D1541="","",IFERROR(VLOOKUP($D1541,物料档案!$A$4:$P$1203,6,0),"※编码不在物料档案里"))</f>
        <v/>
      </c>
      <c r="J1541" s="23" t="n"/>
      <c r="K1541" s="17" t="n"/>
      <c r="L1541" s="17" t="n"/>
      <c r="M1541" s="17" t="n"/>
      <c r="N1541" s="17" t="n"/>
      <c r="O1541" s="26">
        <f>IF($D1541="","",IFERROR(VLOOKUP($D1541,物料档案!$A$4:$P$1203,10,0),0))</f>
        <v/>
      </c>
      <c r="P1541" s="32" t="n"/>
      <c r="Q1541" s="26">
        <f>IF($D1541="","",IF($K1541&lt;&gt;"对外销售",0,ROUND(N($J1541)*IF($P1541="",N($O1541),N($P1541)),0)))</f>
        <v/>
      </c>
      <c r="R1541" s="26">
        <f>IF($D1541="","",IFERROR(VLOOKUP($D1541,库存台账!$A$5:$Y$1204,11,0),0))</f>
        <v/>
      </c>
      <c r="S1541" s="26">
        <f>IF($D1541="","",ROUND(N($J1541)*N($R1541),0))</f>
        <v/>
      </c>
      <c r="T1541" s="26">
        <f>IF($D1541="","",IF($K1541&lt;&gt;"对外销售","",ROUND($Q1541-$S1541,0)))</f>
        <v/>
      </c>
      <c r="U1541" s="17" t="n"/>
      <c r="V1541" s="17" t="n"/>
      <c r="W1541" s="24">
        <f>IF($D1541="","",IF($E1541="※编码不在物料档案里","※物料编码不在档案里",IF(N($J1541)&lt;=0,"※出库数量要大于 0",IF($K1541="","※没填去向类型",IF($L1541="","※没填去向矿区",IF(AND($C1541&lt;&gt;"",$C1541&lt;=结账锁),"※日期早于已结账截止日，不能再录",IF(AND($K1541="自用消耗",COUNTIF({"一矿区";"二矿区"},$L1541)=0),"※自用消耗的去向只能是一矿区或二矿区",IF(AND($K1541="对外销售",COUNTIF({"三矿区";"六矿区"},$L1541)=0),"※对外销售的去向只能是三矿区或六矿区",IF(AND($K1541="对外销售",ROUND($Q1541,0)=0),"※外销却没有售价，请填实际售价",IF(AND($K1541="对外销售",$T1541&lt;&gt;"",$T1541&lt;0),"※这一笔外销是亏的，请核对售价",IF(IFERROR(VLOOKUP($D1541,库存台账!$A$5:$Y$1204,24,0),0)&lt;-0.001,"※这个物料账面已经变成负数了，查一下是不是漏记入库","")))))))))))</f>
        <v/>
      </c>
    </row>
    <row r="1542">
      <c r="A1542" s="24">
        <f>IF($D1542="","",COUNTA($D$4:$D1542))</f>
        <v/>
      </c>
      <c r="B1542" s="17" t="n"/>
      <c r="C1542" s="30" t="n"/>
      <c r="D1542" s="17" t="n"/>
      <c r="E1542" s="24">
        <f>IF($D1542="","",IFERROR(VLOOKUP($D1542,物料档案!$A$4:$P$1203,3,0),"※编码不在物料档案里"))</f>
        <v/>
      </c>
      <c r="F1542" s="24">
        <f>IF($D1542="","",IFERROR(VLOOKUP($D1542,物料档案!$A$4:$P$1203,4,0),"※编码不在物料档案里"))</f>
        <v/>
      </c>
      <c r="G1542" s="24">
        <f>IF($D1542="","",IFERROR(VLOOKUP($D1542,物料档案!$A$4:$P$1203,5,0),"※编码不在物料档案里"))</f>
        <v/>
      </c>
      <c r="H1542" s="24">
        <f>IF($D1542="","",IFERROR(VLOOKUP($D1542,物料档案!$A$4:$P$1203,2,0),"※编码不在物料档案里"))</f>
        <v/>
      </c>
      <c r="I1542" s="24">
        <f>IF($D1542="","",IFERROR(VLOOKUP($D1542,物料档案!$A$4:$P$1203,6,0),"※编码不在物料档案里"))</f>
        <v/>
      </c>
      <c r="J1542" s="23" t="n"/>
      <c r="K1542" s="17" t="n"/>
      <c r="L1542" s="17" t="n"/>
      <c r="M1542" s="17" t="n"/>
      <c r="N1542" s="17" t="n"/>
      <c r="O1542" s="26">
        <f>IF($D1542="","",IFERROR(VLOOKUP($D1542,物料档案!$A$4:$P$1203,10,0),0))</f>
        <v/>
      </c>
      <c r="P1542" s="32" t="n"/>
      <c r="Q1542" s="26">
        <f>IF($D1542="","",IF($K1542&lt;&gt;"对外销售",0,ROUND(N($J1542)*IF($P1542="",N($O1542),N($P1542)),0)))</f>
        <v/>
      </c>
      <c r="R1542" s="26">
        <f>IF($D1542="","",IFERROR(VLOOKUP($D1542,库存台账!$A$5:$Y$1204,11,0),0))</f>
        <v/>
      </c>
      <c r="S1542" s="26">
        <f>IF($D1542="","",ROUND(N($J1542)*N($R1542),0))</f>
        <v/>
      </c>
      <c r="T1542" s="26">
        <f>IF($D1542="","",IF($K1542&lt;&gt;"对外销售","",ROUND($Q1542-$S1542,0)))</f>
        <v/>
      </c>
      <c r="U1542" s="17" t="n"/>
      <c r="V1542" s="17" t="n"/>
      <c r="W1542" s="24">
        <f>IF($D1542="","",IF($E1542="※编码不在物料档案里","※物料编码不在档案里",IF(N($J1542)&lt;=0,"※出库数量要大于 0",IF($K1542="","※没填去向类型",IF($L1542="","※没填去向矿区",IF(AND($C1542&lt;&gt;"",$C1542&lt;=结账锁),"※日期早于已结账截止日，不能再录",IF(AND($K1542="自用消耗",COUNTIF({"一矿区";"二矿区"},$L1542)=0),"※自用消耗的去向只能是一矿区或二矿区",IF(AND($K1542="对外销售",COUNTIF({"三矿区";"六矿区"},$L1542)=0),"※对外销售的去向只能是三矿区或六矿区",IF(AND($K1542="对外销售",ROUND($Q1542,0)=0),"※外销却没有售价，请填实际售价",IF(AND($K1542="对外销售",$T1542&lt;&gt;"",$T1542&lt;0),"※这一笔外销是亏的，请核对售价",IF(IFERROR(VLOOKUP($D1542,库存台账!$A$5:$Y$1204,24,0),0)&lt;-0.001,"※这个物料账面已经变成负数了，查一下是不是漏记入库","")))))))))))</f>
        <v/>
      </c>
    </row>
    <row r="1543">
      <c r="A1543" s="24">
        <f>IF($D1543="","",COUNTA($D$4:$D1543))</f>
        <v/>
      </c>
      <c r="B1543" s="17" t="n"/>
      <c r="C1543" s="30" t="n"/>
      <c r="D1543" s="17" t="n"/>
      <c r="E1543" s="24">
        <f>IF($D1543="","",IFERROR(VLOOKUP($D1543,物料档案!$A$4:$P$1203,3,0),"※编码不在物料档案里"))</f>
        <v/>
      </c>
      <c r="F1543" s="24">
        <f>IF($D1543="","",IFERROR(VLOOKUP($D1543,物料档案!$A$4:$P$1203,4,0),"※编码不在物料档案里"))</f>
        <v/>
      </c>
      <c r="G1543" s="24">
        <f>IF($D1543="","",IFERROR(VLOOKUP($D1543,物料档案!$A$4:$P$1203,5,0),"※编码不在物料档案里"))</f>
        <v/>
      </c>
      <c r="H1543" s="24">
        <f>IF($D1543="","",IFERROR(VLOOKUP($D1543,物料档案!$A$4:$P$1203,2,0),"※编码不在物料档案里"))</f>
        <v/>
      </c>
      <c r="I1543" s="24">
        <f>IF($D1543="","",IFERROR(VLOOKUP($D1543,物料档案!$A$4:$P$1203,6,0),"※编码不在物料档案里"))</f>
        <v/>
      </c>
      <c r="J1543" s="23" t="n"/>
      <c r="K1543" s="17" t="n"/>
      <c r="L1543" s="17" t="n"/>
      <c r="M1543" s="17" t="n"/>
      <c r="N1543" s="17" t="n"/>
      <c r="O1543" s="26">
        <f>IF($D1543="","",IFERROR(VLOOKUP($D1543,物料档案!$A$4:$P$1203,10,0),0))</f>
        <v/>
      </c>
      <c r="P1543" s="32" t="n"/>
      <c r="Q1543" s="26">
        <f>IF($D1543="","",IF($K1543&lt;&gt;"对外销售",0,ROUND(N($J1543)*IF($P1543="",N($O1543),N($P1543)),0)))</f>
        <v/>
      </c>
      <c r="R1543" s="26">
        <f>IF($D1543="","",IFERROR(VLOOKUP($D1543,库存台账!$A$5:$Y$1204,11,0),0))</f>
        <v/>
      </c>
      <c r="S1543" s="26">
        <f>IF($D1543="","",ROUND(N($J1543)*N($R1543),0))</f>
        <v/>
      </c>
      <c r="T1543" s="26">
        <f>IF($D1543="","",IF($K1543&lt;&gt;"对外销售","",ROUND($Q1543-$S1543,0)))</f>
        <v/>
      </c>
      <c r="U1543" s="17" t="n"/>
      <c r="V1543" s="17" t="n"/>
      <c r="W1543" s="24">
        <f>IF($D1543="","",IF($E1543="※编码不在物料档案里","※物料编码不在档案里",IF(N($J1543)&lt;=0,"※出库数量要大于 0",IF($K1543="","※没填去向类型",IF($L1543="","※没填去向矿区",IF(AND($C1543&lt;&gt;"",$C1543&lt;=结账锁),"※日期早于已结账截止日，不能再录",IF(AND($K1543="自用消耗",COUNTIF({"一矿区";"二矿区"},$L1543)=0),"※自用消耗的去向只能是一矿区或二矿区",IF(AND($K1543="对外销售",COUNTIF({"三矿区";"六矿区"},$L1543)=0),"※对外销售的去向只能是三矿区或六矿区",IF(AND($K1543="对外销售",ROUND($Q1543,0)=0),"※外销却没有售价，请填实际售价",IF(AND($K1543="对外销售",$T1543&lt;&gt;"",$T1543&lt;0),"※这一笔外销是亏的，请核对售价",IF(IFERROR(VLOOKUP($D1543,库存台账!$A$5:$Y$1204,24,0),0)&lt;-0.001,"※这个物料账面已经变成负数了，查一下是不是漏记入库","")))))))))))</f>
        <v/>
      </c>
    </row>
    <row r="1544">
      <c r="A1544" s="24">
        <f>IF($D1544="","",COUNTA($D$4:$D1544))</f>
        <v/>
      </c>
      <c r="B1544" s="17" t="n"/>
      <c r="C1544" s="30" t="n"/>
      <c r="D1544" s="17" t="n"/>
      <c r="E1544" s="24">
        <f>IF($D1544="","",IFERROR(VLOOKUP($D1544,物料档案!$A$4:$P$1203,3,0),"※编码不在物料档案里"))</f>
        <v/>
      </c>
      <c r="F1544" s="24">
        <f>IF($D1544="","",IFERROR(VLOOKUP($D1544,物料档案!$A$4:$P$1203,4,0),"※编码不在物料档案里"))</f>
        <v/>
      </c>
      <c r="G1544" s="24">
        <f>IF($D1544="","",IFERROR(VLOOKUP($D1544,物料档案!$A$4:$P$1203,5,0),"※编码不在物料档案里"))</f>
        <v/>
      </c>
      <c r="H1544" s="24">
        <f>IF($D1544="","",IFERROR(VLOOKUP($D1544,物料档案!$A$4:$P$1203,2,0),"※编码不在物料档案里"))</f>
        <v/>
      </c>
      <c r="I1544" s="24">
        <f>IF($D1544="","",IFERROR(VLOOKUP($D1544,物料档案!$A$4:$P$1203,6,0),"※编码不在物料档案里"))</f>
        <v/>
      </c>
      <c r="J1544" s="23" t="n"/>
      <c r="K1544" s="17" t="n"/>
      <c r="L1544" s="17" t="n"/>
      <c r="M1544" s="17" t="n"/>
      <c r="N1544" s="17" t="n"/>
      <c r="O1544" s="26">
        <f>IF($D1544="","",IFERROR(VLOOKUP($D1544,物料档案!$A$4:$P$1203,10,0),0))</f>
        <v/>
      </c>
      <c r="P1544" s="32" t="n"/>
      <c r="Q1544" s="26">
        <f>IF($D1544="","",IF($K1544&lt;&gt;"对外销售",0,ROUND(N($J1544)*IF($P1544="",N($O1544),N($P1544)),0)))</f>
        <v/>
      </c>
      <c r="R1544" s="26">
        <f>IF($D1544="","",IFERROR(VLOOKUP($D1544,库存台账!$A$5:$Y$1204,11,0),0))</f>
        <v/>
      </c>
      <c r="S1544" s="26">
        <f>IF($D1544="","",ROUND(N($J1544)*N($R1544),0))</f>
        <v/>
      </c>
      <c r="T1544" s="26">
        <f>IF($D1544="","",IF($K1544&lt;&gt;"对外销售","",ROUND($Q1544-$S1544,0)))</f>
        <v/>
      </c>
      <c r="U1544" s="17" t="n"/>
      <c r="V1544" s="17" t="n"/>
      <c r="W1544" s="24">
        <f>IF($D1544="","",IF($E1544="※编码不在物料档案里","※物料编码不在档案里",IF(N($J1544)&lt;=0,"※出库数量要大于 0",IF($K1544="","※没填去向类型",IF($L1544="","※没填去向矿区",IF(AND($C1544&lt;&gt;"",$C1544&lt;=结账锁),"※日期早于已结账截止日，不能再录",IF(AND($K1544="自用消耗",COUNTIF({"一矿区";"二矿区"},$L1544)=0),"※自用消耗的去向只能是一矿区或二矿区",IF(AND($K1544="对外销售",COUNTIF({"三矿区";"六矿区"},$L1544)=0),"※对外销售的去向只能是三矿区或六矿区",IF(AND($K1544="对外销售",ROUND($Q1544,0)=0),"※外销却没有售价，请填实际售价",IF(AND($K1544="对外销售",$T1544&lt;&gt;"",$T1544&lt;0),"※这一笔外销是亏的，请核对售价",IF(IFERROR(VLOOKUP($D1544,库存台账!$A$5:$Y$1204,24,0),0)&lt;-0.001,"※这个物料账面已经变成负数了，查一下是不是漏记入库","")))))))))))</f>
        <v/>
      </c>
    </row>
    <row r="1545">
      <c r="A1545" s="24">
        <f>IF($D1545="","",COUNTA($D$4:$D1545))</f>
        <v/>
      </c>
      <c r="B1545" s="17" t="n"/>
      <c r="C1545" s="30" t="n"/>
      <c r="D1545" s="17" t="n"/>
      <c r="E1545" s="24">
        <f>IF($D1545="","",IFERROR(VLOOKUP($D1545,物料档案!$A$4:$P$1203,3,0),"※编码不在物料档案里"))</f>
        <v/>
      </c>
      <c r="F1545" s="24">
        <f>IF($D1545="","",IFERROR(VLOOKUP($D1545,物料档案!$A$4:$P$1203,4,0),"※编码不在物料档案里"))</f>
        <v/>
      </c>
      <c r="G1545" s="24">
        <f>IF($D1545="","",IFERROR(VLOOKUP($D1545,物料档案!$A$4:$P$1203,5,0),"※编码不在物料档案里"))</f>
        <v/>
      </c>
      <c r="H1545" s="24">
        <f>IF($D1545="","",IFERROR(VLOOKUP($D1545,物料档案!$A$4:$P$1203,2,0),"※编码不在物料档案里"))</f>
        <v/>
      </c>
      <c r="I1545" s="24">
        <f>IF($D1545="","",IFERROR(VLOOKUP($D1545,物料档案!$A$4:$P$1203,6,0),"※编码不在物料档案里"))</f>
        <v/>
      </c>
      <c r="J1545" s="23" t="n"/>
      <c r="K1545" s="17" t="n"/>
      <c r="L1545" s="17" t="n"/>
      <c r="M1545" s="17" t="n"/>
      <c r="N1545" s="17" t="n"/>
      <c r="O1545" s="26">
        <f>IF($D1545="","",IFERROR(VLOOKUP($D1545,物料档案!$A$4:$P$1203,10,0),0))</f>
        <v/>
      </c>
      <c r="P1545" s="32" t="n"/>
      <c r="Q1545" s="26">
        <f>IF($D1545="","",IF($K1545&lt;&gt;"对外销售",0,ROUND(N($J1545)*IF($P1545="",N($O1545),N($P1545)),0)))</f>
        <v/>
      </c>
      <c r="R1545" s="26">
        <f>IF($D1545="","",IFERROR(VLOOKUP($D1545,库存台账!$A$5:$Y$1204,11,0),0))</f>
        <v/>
      </c>
      <c r="S1545" s="26">
        <f>IF($D1545="","",ROUND(N($J1545)*N($R1545),0))</f>
        <v/>
      </c>
      <c r="T1545" s="26">
        <f>IF($D1545="","",IF($K1545&lt;&gt;"对外销售","",ROUND($Q1545-$S1545,0)))</f>
        <v/>
      </c>
      <c r="U1545" s="17" t="n"/>
      <c r="V1545" s="17" t="n"/>
      <c r="W1545" s="24">
        <f>IF($D1545="","",IF($E1545="※编码不在物料档案里","※物料编码不在档案里",IF(N($J1545)&lt;=0,"※出库数量要大于 0",IF($K1545="","※没填去向类型",IF($L1545="","※没填去向矿区",IF(AND($C1545&lt;&gt;"",$C1545&lt;=结账锁),"※日期早于已结账截止日，不能再录",IF(AND($K1545="自用消耗",COUNTIF({"一矿区";"二矿区"},$L1545)=0),"※自用消耗的去向只能是一矿区或二矿区",IF(AND($K1545="对外销售",COUNTIF({"三矿区";"六矿区"},$L1545)=0),"※对外销售的去向只能是三矿区或六矿区",IF(AND($K1545="对外销售",ROUND($Q1545,0)=0),"※外销却没有售价，请填实际售价",IF(AND($K1545="对外销售",$T1545&lt;&gt;"",$T1545&lt;0),"※这一笔外销是亏的，请核对售价",IF(IFERROR(VLOOKUP($D1545,库存台账!$A$5:$Y$1204,24,0),0)&lt;-0.001,"※这个物料账面已经变成负数了，查一下是不是漏记入库","")))))))))))</f>
        <v/>
      </c>
    </row>
    <row r="1546">
      <c r="A1546" s="24">
        <f>IF($D1546="","",COUNTA($D$4:$D1546))</f>
        <v/>
      </c>
      <c r="B1546" s="17" t="n"/>
      <c r="C1546" s="30" t="n"/>
      <c r="D1546" s="17" t="n"/>
      <c r="E1546" s="24">
        <f>IF($D1546="","",IFERROR(VLOOKUP($D1546,物料档案!$A$4:$P$1203,3,0),"※编码不在物料档案里"))</f>
        <v/>
      </c>
      <c r="F1546" s="24">
        <f>IF($D1546="","",IFERROR(VLOOKUP($D1546,物料档案!$A$4:$P$1203,4,0),"※编码不在物料档案里"))</f>
        <v/>
      </c>
      <c r="G1546" s="24">
        <f>IF($D1546="","",IFERROR(VLOOKUP($D1546,物料档案!$A$4:$P$1203,5,0),"※编码不在物料档案里"))</f>
        <v/>
      </c>
      <c r="H1546" s="24">
        <f>IF($D1546="","",IFERROR(VLOOKUP($D1546,物料档案!$A$4:$P$1203,2,0),"※编码不在物料档案里"))</f>
        <v/>
      </c>
      <c r="I1546" s="24">
        <f>IF($D1546="","",IFERROR(VLOOKUP($D1546,物料档案!$A$4:$P$1203,6,0),"※编码不在物料档案里"))</f>
        <v/>
      </c>
      <c r="J1546" s="23" t="n"/>
      <c r="K1546" s="17" t="n"/>
      <c r="L1546" s="17" t="n"/>
      <c r="M1546" s="17" t="n"/>
      <c r="N1546" s="17" t="n"/>
      <c r="O1546" s="26">
        <f>IF($D1546="","",IFERROR(VLOOKUP($D1546,物料档案!$A$4:$P$1203,10,0),0))</f>
        <v/>
      </c>
      <c r="P1546" s="32" t="n"/>
      <c r="Q1546" s="26">
        <f>IF($D1546="","",IF($K1546&lt;&gt;"对外销售",0,ROUND(N($J1546)*IF($P1546="",N($O1546),N($P1546)),0)))</f>
        <v/>
      </c>
      <c r="R1546" s="26">
        <f>IF($D1546="","",IFERROR(VLOOKUP($D1546,库存台账!$A$5:$Y$1204,11,0),0))</f>
        <v/>
      </c>
      <c r="S1546" s="26">
        <f>IF($D1546="","",ROUND(N($J1546)*N($R1546),0))</f>
        <v/>
      </c>
      <c r="T1546" s="26">
        <f>IF($D1546="","",IF($K1546&lt;&gt;"对外销售","",ROUND($Q1546-$S1546,0)))</f>
        <v/>
      </c>
      <c r="U1546" s="17" t="n"/>
      <c r="V1546" s="17" t="n"/>
      <c r="W1546" s="24">
        <f>IF($D1546="","",IF($E1546="※编码不在物料档案里","※物料编码不在档案里",IF(N($J1546)&lt;=0,"※出库数量要大于 0",IF($K1546="","※没填去向类型",IF($L1546="","※没填去向矿区",IF(AND($C1546&lt;&gt;"",$C1546&lt;=结账锁),"※日期早于已结账截止日，不能再录",IF(AND($K1546="自用消耗",COUNTIF({"一矿区";"二矿区"},$L1546)=0),"※自用消耗的去向只能是一矿区或二矿区",IF(AND($K1546="对外销售",COUNTIF({"三矿区";"六矿区"},$L1546)=0),"※对外销售的去向只能是三矿区或六矿区",IF(AND($K1546="对外销售",ROUND($Q1546,0)=0),"※外销却没有售价，请填实际售价",IF(AND($K1546="对外销售",$T1546&lt;&gt;"",$T1546&lt;0),"※这一笔外销是亏的，请核对售价",IF(IFERROR(VLOOKUP($D1546,库存台账!$A$5:$Y$1204,24,0),0)&lt;-0.001,"※这个物料账面已经变成负数了，查一下是不是漏记入库","")))))))))))</f>
        <v/>
      </c>
    </row>
    <row r="1547">
      <c r="A1547" s="24">
        <f>IF($D1547="","",COUNTA($D$4:$D1547))</f>
        <v/>
      </c>
      <c r="B1547" s="17" t="n"/>
      <c r="C1547" s="30" t="n"/>
      <c r="D1547" s="17" t="n"/>
      <c r="E1547" s="24">
        <f>IF($D1547="","",IFERROR(VLOOKUP($D1547,物料档案!$A$4:$P$1203,3,0),"※编码不在物料档案里"))</f>
        <v/>
      </c>
      <c r="F1547" s="24">
        <f>IF($D1547="","",IFERROR(VLOOKUP($D1547,物料档案!$A$4:$P$1203,4,0),"※编码不在物料档案里"))</f>
        <v/>
      </c>
      <c r="G1547" s="24">
        <f>IF($D1547="","",IFERROR(VLOOKUP($D1547,物料档案!$A$4:$P$1203,5,0),"※编码不在物料档案里"))</f>
        <v/>
      </c>
      <c r="H1547" s="24">
        <f>IF($D1547="","",IFERROR(VLOOKUP($D1547,物料档案!$A$4:$P$1203,2,0),"※编码不在物料档案里"))</f>
        <v/>
      </c>
      <c r="I1547" s="24">
        <f>IF($D1547="","",IFERROR(VLOOKUP($D1547,物料档案!$A$4:$P$1203,6,0),"※编码不在物料档案里"))</f>
        <v/>
      </c>
      <c r="J1547" s="23" t="n"/>
      <c r="K1547" s="17" t="n"/>
      <c r="L1547" s="17" t="n"/>
      <c r="M1547" s="17" t="n"/>
      <c r="N1547" s="17" t="n"/>
      <c r="O1547" s="26">
        <f>IF($D1547="","",IFERROR(VLOOKUP($D1547,物料档案!$A$4:$P$1203,10,0),0))</f>
        <v/>
      </c>
      <c r="P1547" s="32" t="n"/>
      <c r="Q1547" s="26">
        <f>IF($D1547="","",IF($K1547&lt;&gt;"对外销售",0,ROUND(N($J1547)*IF($P1547="",N($O1547),N($P1547)),0)))</f>
        <v/>
      </c>
      <c r="R1547" s="26">
        <f>IF($D1547="","",IFERROR(VLOOKUP($D1547,库存台账!$A$5:$Y$1204,11,0),0))</f>
        <v/>
      </c>
      <c r="S1547" s="26">
        <f>IF($D1547="","",ROUND(N($J1547)*N($R1547),0))</f>
        <v/>
      </c>
      <c r="T1547" s="26">
        <f>IF($D1547="","",IF($K1547&lt;&gt;"对外销售","",ROUND($Q1547-$S1547,0)))</f>
        <v/>
      </c>
      <c r="U1547" s="17" t="n"/>
      <c r="V1547" s="17" t="n"/>
      <c r="W1547" s="24">
        <f>IF($D1547="","",IF($E1547="※编码不在物料档案里","※物料编码不在档案里",IF(N($J1547)&lt;=0,"※出库数量要大于 0",IF($K1547="","※没填去向类型",IF($L1547="","※没填去向矿区",IF(AND($C1547&lt;&gt;"",$C1547&lt;=结账锁),"※日期早于已结账截止日，不能再录",IF(AND($K1547="自用消耗",COUNTIF({"一矿区";"二矿区"},$L1547)=0),"※自用消耗的去向只能是一矿区或二矿区",IF(AND($K1547="对外销售",COUNTIF({"三矿区";"六矿区"},$L1547)=0),"※对外销售的去向只能是三矿区或六矿区",IF(AND($K1547="对外销售",ROUND($Q1547,0)=0),"※外销却没有售价，请填实际售价",IF(AND($K1547="对外销售",$T1547&lt;&gt;"",$T1547&lt;0),"※这一笔外销是亏的，请核对售价",IF(IFERROR(VLOOKUP($D1547,库存台账!$A$5:$Y$1204,24,0),0)&lt;-0.001,"※这个物料账面已经变成负数了，查一下是不是漏记入库","")))))))))))</f>
        <v/>
      </c>
    </row>
    <row r="1548">
      <c r="A1548" s="24">
        <f>IF($D1548="","",COUNTA($D$4:$D1548))</f>
        <v/>
      </c>
      <c r="B1548" s="17" t="n"/>
      <c r="C1548" s="30" t="n"/>
      <c r="D1548" s="17" t="n"/>
      <c r="E1548" s="24">
        <f>IF($D1548="","",IFERROR(VLOOKUP($D1548,物料档案!$A$4:$P$1203,3,0),"※编码不在物料档案里"))</f>
        <v/>
      </c>
      <c r="F1548" s="24">
        <f>IF($D1548="","",IFERROR(VLOOKUP($D1548,物料档案!$A$4:$P$1203,4,0),"※编码不在物料档案里"))</f>
        <v/>
      </c>
      <c r="G1548" s="24">
        <f>IF($D1548="","",IFERROR(VLOOKUP($D1548,物料档案!$A$4:$P$1203,5,0),"※编码不在物料档案里"))</f>
        <v/>
      </c>
      <c r="H1548" s="24">
        <f>IF($D1548="","",IFERROR(VLOOKUP($D1548,物料档案!$A$4:$P$1203,2,0),"※编码不在物料档案里"))</f>
        <v/>
      </c>
      <c r="I1548" s="24">
        <f>IF($D1548="","",IFERROR(VLOOKUP($D1548,物料档案!$A$4:$P$1203,6,0),"※编码不在物料档案里"))</f>
        <v/>
      </c>
      <c r="J1548" s="23" t="n"/>
      <c r="K1548" s="17" t="n"/>
      <c r="L1548" s="17" t="n"/>
      <c r="M1548" s="17" t="n"/>
      <c r="N1548" s="17" t="n"/>
      <c r="O1548" s="26">
        <f>IF($D1548="","",IFERROR(VLOOKUP($D1548,物料档案!$A$4:$P$1203,10,0),0))</f>
        <v/>
      </c>
      <c r="P1548" s="32" t="n"/>
      <c r="Q1548" s="26">
        <f>IF($D1548="","",IF($K1548&lt;&gt;"对外销售",0,ROUND(N($J1548)*IF($P1548="",N($O1548),N($P1548)),0)))</f>
        <v/>
      </c>
      <c r="R1548" s="26">
        <f>IF($D1548="","",IFERROR(VLOOKUP($D1548,库存台账!$A$5:$Y$1204,11,0),0))</f>
        <v/>
      </c>
      <c r="S1548" s="26">
        <f>IF($D1548="","",ROUND(N($J1548)*N($R1548),0))</f>
        <v/>
      </c>
      <c r="T1548" s="26">
        <f>IF($D1548="","",IF($K1548&lt;&gt;"对外销售","",ROUND($Q1548-$S1548,0)))</f>
        <v/>
      </c>
      <c r="U1548" s="17" t="n"/>
      <c r="V1548" s="17" t="n"/>
      <c r="W1548" s="24">
        <f>IF($D1548="","",IF($E1548="※编码不在物料档案里","※物料编码不在档案里",IF(N($J1548)&lt;=0,"※出库数量要大于 0",IF($K1548="","※没填去向类型",IF($L1548="","※没填去向矿区",IF(AND($C1548&lt;&gt;"",$C1548&lt;=结账锁),"※日期早于已结账截止日，不能再录",IF(AND($K1548="自用消耗",COUNTIF({"一矿区";"二矿区"},$L1548)=0),"※自用消耗的去向只能是一矿区或二矿区",IF(AND($K1548="对外销售",COUNTIF({"三矿区";"六矿区"},$L1548)=0),"※对外销售的去向只能是三矿区或六矿区",IF(AND($K1548="对外销售",ROUND($Q1548,0)=0),"※外销却没有售价，请填实际售价",IF(AND($K1548="对外销售",$T1548&lt;&gt;"",$T1548&lt;0),"※这一笔外销是亏的，请核对售价",IF(IFERROR(VLOOKUP($D1548,库存台账!$A$5:$Y$1204,24,0),0)&lt;-0.001,"※这个物料账面已经变成负数了，查一下是不是漏记入库","")))))))))))</f>
        <v/>
      </c>
    </row>
    <row r="1549">
      <c r="A1549" s="24">
        <f>IF($D1549="","",COUNTA($D$4:$D1549))</f>
        <v/>
      </c>
      <c r="B1549" s="17" t="n"/>
      <c r="C1549" s="30" t="n"/>
      <c r="D1549" s="17" t="n"/>
      <c r="E1549" s="24">
        <f>IF($D1549="","",IFERROR(VLOOKUP($D1549,物料档案!$A$4:$P$1203,3,0),"※编码不在物料档案里"))</f>
        <v/>
      </c>
      <c r="F1549" s="24">
        <f>IF($D1549="","",IFERROR(VLOOKUP($D1549,物料档案!$A$4:$P$1203,4,0),"※编码不在物料档案里"))</f>
        <v/>
      </c>
      <c r="G1549" s="24">
        <f>IF($D1549="","",IFERROR(VLOOKUP($D1549,物料档案!$A$4:$P$1203,5,0),"※编码不在物料档案里"))</f>
        <v/>
      </c>
      <c r="H1549" s="24">
        <f>IF($D1549="","",IFERROR(VLOOKUP($D1549,物料档案!$A$4:$P$1203,2,0),"※编码不在物料档案里"))</f>
        <v/>
      </c>
      <c r="I1549" s="24">
        <f>IF($D1549="","",IFERROR(VLOOKUP($D1549,物料档案!$A$4:$P$1203,6,0),"※编码不在物料档案里"))</f>
        <v/>
      </c>
      <c r="J1549" s="23" t="n"/>
      <c r="K1549" s="17" t="n"/>
      <c r="L1549" s="17" t="n"/>
      <c r="M1549" s="17" t="n"/>
      <c r="N1549" s="17" t="n"/>
      <c r="O1549" s="26">
        <f>IF($D1549="","",IFERROR(VLOOKUP($D1549,物料档案!$A$4:$P$1203,10,0),0))</f>
        <v/>
      </c>
      <c r="P1549" s="32" t="n"/>
      <c r="Q1549" s="26">
        <f>IF($D1549="","",IF($K1549&lt;&gt;"对外销售",0,ROUND(N($J1549)*IF($P1549="",N($O1549),N($P1549)),0)))</f>
        <v/>
      </c>
      <c r="R1549" s="26">
        <f>IF($D1549="","",IFERROR(VLOOKUP($D1549,库存台账!$A$5:$Y$1204,11,0),0))</f>
        <v/>
      </c>
      <c r="S1549" s="26">
        <f>IF($D1549="","",ROUND(N($J1549)*N($R1549),0))</f>
        <v/>
      </c>
      <c r="T1549" s="26">
        <f>IF($D1549="","",IF($K1549&lt;&gt;"对外销售","",ROUND($Q1549-$S1549,0)))</f>
        <v/>
      </c>
      <c r="U1549" s="17" t="n"/>
      <c r="V1549" s="17" t="n"/>
      <c r="W1549" s="24">
        <f>IF($D1549="","",IF($E1549="※编码不在物料档案里","※物料编码不在档案里",IF(N($J1549)&lt;=0,"※出库数量要大于 0",IF($K1549="","※没填去向类型",IF($L1549="","※没填去向矿区",IF(AND($C1549&lt;&gt;"",$C1549&lt;=结账锁),"※日期早于已结账截止日，不能再录",IF(AND($K1549="自用消耗",COUNTIF({"一矿区";"二矿区"},$L1549)=0),"※自用消耗的去向只能是一矿区或二矿区",IF(AND($K1549="对外销售",COUNTIF({"三矿区";"六矿区"},$L1549)=0),"※对外销售的去向只能是三矿区或六矿区",IF(AND($K1549="对外销售",ROUND($Q1549,0)=0),"※外销却没有售价，请填实际售价",IF(AND($K1549="对外销售",$T1549&lt;&gt;"",$T1549&lt;0),"※这一笔外销是亏的，请核对售价",IF(IFERROR(VLOOKUP($D1549,库存台账!$A$5:$Y$1204,24,0),0)&lt;-0.001,"※这个物料账面已经变成负数了，查一下是不是漏记入库","")))))))))))</f>
        <v/>
      </c>
    </row>
    <row r="1550">
      <c r="A1550" s="24">
        <f>IF($D1550="","",COUNTA($D$4:$D1550))</f>
        <v/>
      </c>
      <c r="B1550" s="17" t="n"/>
      <c r="C1550" s="30" t="n"/>
      <c r="D1550" s="17" t="n"/>
      <c r="E1550" s="24">
        <f>IF($D1550="","",IFERROR(VLOOKUP($D1550,物料档案!$A$4:$P$1203,3,0),"※编码不在物料档案里"))</f>
        <v/>
      </c>
      <c r="F1550" s="24">
        <f>IF($D1550="","",IFERROR(VLOOKUP($D1550,物料档案!$A$4:$P$1203,4,0),"※编码不在物料档案里"))</f>
        <v/>
      </c>
      <c r="G1550" s="24">
        <f>IF($D1550="","",IFERROR(VLOOKUP($D1550,物料档案!$A$4:$P$1203,5,0),"※编码不在物料档案里"))</f>
        <v/>
      </c>
      <c r="H1550" s="24">
        <f>IF($D1550="","",IFERROR(VLOOKUP($D1550,物料档案!$A$4:$P$1203,2,0),"※编码不在物料档案里"))</f>
        <v/>
      </c>
      <c r="I1550" s="24">
        <f>IF($D1550="","",IFERROR(VLOOKUP($D1550,物料档案!$A$4:$P$1203,6,0),"※编码不在物料档案里"))</f>
        <v/>
      </c>
      <c r="J1550" s="23" t="n"/>
      <c r="K1550" s="17" t="n"/>
      <c r="L1550" s="17" t="n"/>
      <c r="M1550" s="17" t="n"/>
      <c r="N1550" s="17" t="n"/>
      <c r="O1550" s="26">
        <f>IF($D1550="","",IFERROR(VLOOKUP($D1550,物料档案!$A$4:$P$1203,10,0),0))</f>
        <v/>
      </c>
      <c r="P1550" s="32" t="n"/>
      <c r="Q1550" s="26">
        <f>IF($D1550="","",IF($K1550&lt;&gt;"对外销售",0,ROUND(N($J1550)*IF($P1550="",N($O1550),N($P1550)),0)))</f>
        <v/>
      </c>
      <c r="R1550" s="26">
        <f>IF($D1550="","",IFERROR(VLOOKUP($D1550,库存台账!$A$5:$Y$1204,11,0),0))</f>
        <v/>
      </c>
      <c r="S1550" s="26">
        <f>IF($D1550="","",ROUND(N($J1550)*N($R1550),0))</f>
        <v/>
      </c>
      <c r="T1550" s="26">
        <f>IF($D1550="","",IF($K1550&lt;&gt;"对外销售","",ROUND($Q1550-$S1550,0)))</f>
        <v/>
      </c>
      <c r="U1550" s="17" t="n"/>
      <c r="V1550" s="17" t="n"/>
      <c r="W1550" s="24">
        <f>IF($D1550="","",IF($E1550="※编码不在物料档案里","※物料编码不在档案里",IF(N($J1550)&lt;=0,"※出库数量要大于 0",IF($K1550="","※没填去向类型",IF($L1550="","※没填去向矿区",IF(AND($C1550&lt;&gt;"",$C1550&lt;=结账锁),"※日期早于已结账截止日，不能再录",IF(AND($K1550="自用消耗",COUNTIF({"一矿区";"二矿区"},$L1550)=0),"※自用消耗的去向只能是一矿区或二矿区",IF(AND($K1550="对外销售",COUNTIF({"三矿区";"六矿区"},$L1550)=0),"※对外销售的去向只能是三矿区或六矿区",IF(AND($K1550="对外销售",ROUND($Q1550,0)=0),"※外销却没有售价，请填实际售价",IF(AND($K1550="对外销售",$T1550&lt;&gt;"",$T1550&lt;0),"※这一笔外销是亏的，请核对售价",IF(IFERROR(VLOOKUP($D1550,库存台账!$A$5:$Y$1204,24,0),0)&lt;-0.001,"※这个物料账面已经变成负数了，查一下是不是漏记入库","")))))))))))</f>
        <v/>
      </c>
    </row>
    <row r="1551">
      <c r="A1551" s="24">
        <f>IF($D1551="","",COUNTA($D$4:$D1551))</f>
        <v/>
      </c>
      <c r="B1551" s="17" t="n"/>
      <c r="C1551" s="30" t="n"/>
      <c r="D1551" s="17" t="n"/>
      <c r="E1551" s="24">
        <f>IF($D1551="","",IFERROR(VLOOKUP($D1551,物料档案!$A$4:$P$1203,3,0),"※编码不在物料档案里"))</f>
        <v/>
      </c>
      <c r="F1551" s="24">
        <f>IF($D1551="","",IFERROR(VLOOKUP($D1551,物料档案!$A$4:$P$1203,4,0),"※编码不在物料档案里"))</f>
        <v/>
      </c>
      <c r="G1551" s="24">
        <f>IF($D1551="","",IFERROR(VLOOKUP($D1551,物料档案!$A$4:$P$1203,5,0),"※编码不在物料档案里"))</f>
        <v/>
      </c>
      <c r="H1551" s="24">
        <f>IF($D1551="","",IFERROR(VLOOKUP($D1551,物料档案!$A$4:$P$1203,2,0),"※编码不在物料档案里"))</f>
        <v/>
      </c>
      <c r="I1551" s="24">
        <f>IF($D1551="","",IFERROR(VLOOKUP($D1551,物料档案!$A$4:$P$1203,6,0),"※编码不在物料档案里"))</f>
        <v/>
      </c>
      <c r="J1551" s="23" t="n"/>
      <c r="K1551" s="17" t="n"/>
      <c r="L1551" s="17" t="n"/>
      <c r="M1551" s="17" t="n"/>
      <c r="N1551" s="17" t="n"/>
      <c r="O1551" s="26">
        <f>IF($D1551="","",IFERROR(VLOOKUP($D1551,物料档案!$A$4:$P$1203,10,0),0))</f>
        <v/>
      </c>
      <c r="P1551" s="32" t="n"/>
      <c r="Q1551" s="26">
        <f>IF($D1551="","",IF($K1551&lt;&gt;"对外销售",0,ROUND(N($J1551)*IF($P1551="",N($O1551),N($P1551)),0)))</f>
        <v/>
      </c>
      <c r="R1551" s="26">
        <f>IF($D1551="","",IFERROR(VLOOKUP($D1551,库存台账!$A$5:$Y$1204,11,0),0))</f>
        <v/>
      </c>
      <c r="S1551" s="26">
        <f>IF($D1551="","",ROUND(N($J1551)*N($R1551),0))</f>
        <v/>
      </c>
      <c r="T1551" s="26">
        <f>IF($D1551="","",IF($K1551&lt;&gt;"对外销售","",ROUND($Q1551-$S1551,0)))</f>
        <v/>
      </c>
      <c r="U1551" s="17" t="n"/>
      <c r="V1551" s="17" t="n"/>
      <c r="W1551" s="24">
        <f>IF($D1551="","",IF($E1551="※编码不在物料档案里","※物料编码不在档案里",IF(N($J1551)&lt;=0,"※出库数量要大于 0",IF($K1551="","※没填去向类型",IF($L1551="","※没填去向矿区",IF(AND($C1551&lt;&gt;"",$C1551&lt;=结账锁),"※日期早于已结账截止日，不能再录",IF(AND($K1551="自用消耗",COUNTIF({"一矿区";"二矿区"},$L1551)=0),"※自用消耗的去向只能是一矿区或二矿区",IF(AND($K1551="对外销售",COUNTIF({"三矿区";"六矿区"},$L1551)=0),"※对外销售的去向只能是三矿区或六矿区",IF(AND($K1551="对外销售",ROUND($Q1551,0)=0),"※外销却没有售价，请填实际售价",IF(AND($K1551="对外销售",$T1551&lt;&gt;"",$T1551&lt;0),"※这一笔外销是亏的，请核对售价",IF(IFERROR(VLOOKUP($D1551,库存台账!$A$5:$Y$1204,24,0),0)&lt;-0.001,"※这个物料账面已经变成负数了，查一下是不是漏记入库","")))))))))))</f>
        <v/>
      </c>
    </row>
    <row r="1552">
      <c r="A1552" s="24">
        <f>IF($D1552="","",COUNTA($D$4:$D1552))</f>
        <v/>
      </c>
      <c r="B1552" s="17" t="n"/>
      <c r="C1552" s="30" t="n"/>
      <c r="D1552" s="17" t="n"/>
      <c r="E1552" s="24">
        <f>IF($D1552="","",IFERROR(VLOOKUP($D1552,物料档案!$A$4:$P$1203,3,0),"※编码不在物料档案里"))</f>
        <v/>
      </c>
      <c r="F1552" s="24">
        <f>IF($D1552="","",IFERROR(VLOOKUP($D1552,物料档案!$A$4:$P$1203,4,0),"※编码不在物料档案里"))</f>
        <v/>
      </c>
      <c r="G1552" s="24">
        <f>IF($D1552="","",IFERROR(VLOOKUP($D1552,物料档案!$A$4:$P$1203,5,0),"※编码不在物料档案里"))</f>
        <v/>
      </c>
      <c r="H1552" s="24">
        <f>IF($D1552="","",IFERROR(VLOOKUP($D1552,物料档案!$A$4:$P$1203,2,0),"※编码不在物料档案里"))</f>
        <v/>
      </c>
      <c r="I1552" s="24">
        <f>IF($D1552="","",IFERROR(VLOOKUP($D1552,物料档案!$A$4:$P$1203,6,0),"※编码不在物料档案里"))</f>
        <v/>
      </c>
      <c r="J1552" s="23" t="n"/>
      <c r="K1552" s="17" t="n"/>
      <c r="L1552" s="17" t="n"/>
      <c r="M1552" s="17" t="n"/>
      <c r="N1552" s="17" t="n"/>
      <c r="O1552" s="26">
        <f>IF($D1552="","",IFERROR(VLOOKUP($D1552,物料档案!$A$4:$P$1203,10,0),0))</f>
        <v/>
      </c>
      <c r="P1552" s="32" t="n"/>
      <c r="Q1552" s="26">
        <f>IF($D1552="","",IF($K1552&lt;&gt;"对外销售",0,ROUND(N($J1552)*IF($P1552="",N($O1552),N($P1552)),0)))</f>
        <v/>
      </c>
      <c r="R1552" s="26">
        <f>IF($D1552="","",IFERROR(VLOOKUP($D1552,库存台账!$A$5:$Y$1204,11,0),0))</f>
        <v/>
      </c>
      <c r="S1552" s="26">
        <f>IF($D1552="","",ROUND(N($J1552)*N($R1552),0))</f>
        <v/>
      </c>
      <c r="T1552" s="26">
        <f>IF($D1552="","",IF($K1552&lt;&gt;"对外销售","",ROUND($Q1552-$S1552,0)))</f>
        <v/>
      </c>
      <c r="U1552" s="17" t="n"/>
      <c r="V1552" s="17" t="n"/>
      <c r="W1552" s="24">
        <f>IF($D1552="","",IF($E1552="※编码不在物料档案里","※物料编码不在档案里",IF(N($J1552)&lt;=0,"※出库数量要大于 0",IF($K1552="","※没填去向类型",IF($L1552="","※没填去向矿区",IF(AND($C1552&lt;&gt;"",$C1552&lt;=结账锁),"※日期早于已结账截止日，不能再录",IF(AND($K1552="自用消耗",COUNTIF({"一矿区";"二矿区"},$L1552)=0),"※自用消耗的去向只能是一矿区或二矿区",IF(AND($K1552="对外销售",COUNTIF({"三矿区";"六矿区"},$L1552)=0),"※对外销售的去向只能是三矿区或六矿区",IF(AND($K1552="对外销售",ROUND($Q1552,0)=0),"※外销却没有售价，请填实际售价",IF(AND($K1552="对外销售",$T1552&lt;&gt;"",$T1552&lt;0),"※这一笔外销是亏的，请核对售价",IF(IFERROR(VLOOKUP($D1552,库存台账!$A$5:$Y$1204,24,0),0)&lt;-0.001,"※这个物料账面已经变成负数了，查一下是不是漏记入库","")))))))))))</f>
        <v/>
      </c>
    </row>
    <row r="1553">
      <c r="A1553" s="24">
        <f>IF($D1553="","",COUNTA($D$4:$D1553))</f>
        <v/>
      </c>
      <c r="B1553" s="17" t="n"/>
      <c r="C1553" s="30" t="n"/>
      <c r="D1553" s="17" t="n"/>
      <c r="E1553" s="24">
        <f>IF($D1553="","",IFERROR(VLOOKUP($D1553,物料档案!$A$4:$P$1203,3,0),"※编码不在物料档案里"))</f>
        <v/>
      </c>
      <c r="F1553" s="24">
        <f>IF($D1553="","",IFERROR(VLOOKUP($D1553,物料档案!$A$4:$P$1203,4,0),"※编码不在物料档案里"))</f>
        <v/>
      </c>
      <c r="G1553" s="24">
        <f>IF($D1553="","",IFERROR(VLOOKUP($D1553,物料档案!$A$4:$P$1203,5,0),"※编码不在物料档案里"))</f>
        <v/>
      </c>
      <c r="H1553" s="24">
        <f>IF($D1553="","",IFERROR(VLOOKUP($D1553,物料档案!$A$4:$P$1203,2,0),"※编码不在物料档案里"))</f>
        <v/>
      </c>
      <c r="I1553" s="24">
        <f>IF($D1553="","",IFERROR(VLOOKUP($D1553,物料档案!$A$4:$P$1203,6,0),"※编码不在物料档案里"))</f>
        <v/>
      </c>
      <c r="J1553" s="23" t="n"/>
      <c r="K1553" s="17" t="n"/>
      <c r="L1553" s="17" t="n"/>
      <c r="M1553" s="17" t="n"/>
      <c r="N1553" s="17" t="n"/>
      <c r="O1553" s="26">
        <f>IF($D1553="","",IFERROR(VLOOKUP($D1553,物料档案!$A$4:$P$1203,10,0),0))</f>
        <v/>
      </c>
      <c r="P1553" s="32" t="n"/>
      <c r="Q1553" s="26">
        <f>IF($D1553="","",IF($K1553&lt;&gt;"对外销售",0,ROUND(N($J1553)*IF($P1553="",N($O1553),N($P1553)),0)))</f>
        <v/>
      </c>
      <c r="R1553" s="26">
        <f>IF($D1553="","",IFERROR(VLOOKUP($D1553,库存台账!$A$5:$Y$1204,11,0),0))</f>
        <v/>
      </c>
      <c r="S1553" s="26">
        <f>IF($D1553="","",ROUND(N($J1553)*N($R1553),0))</f>
        <v/>
      </c>
      <c r="T1553" s="26">
        <f>IF($D1553="","",IF($K1553&lt;&gt;"对外销售","",ROUND($Q1553-$S1553,0)))</f>
        <v/>
      </c>
      <c r="U1553" s="17" t="n"/>
      <c r="V1553" s="17" t="n"/>
      <c r="W1553" s="24">
        <f>IF($D1553="","",IF($E1553="※编码不在物料档案里","※物料编码不在档案里",IF(N($J1553)&lt;=0,"※出库数量要大于 0",IF($K1553="","※没填去向类型",IF($L1553="","※没填去向矿区",IF(AND($C1553&lt;&gt;"",$C1553&lt;=结账锁),"※日期早于已结账截止日，不能再录",IF(AND($K1553="自用消耗",COUNTIF({"一矿区";"二矿区"},$L1553)=0),"※自用消耗的去向只能是一矿区或二矿区",IF(AND($K1553="对外销售",COUNTIF({"三矿区";"六矿区"},$L1553)=0),"※对外销售的去向只能是三矿区或六矿区",IF(AND($K1553="对外销售",ROUND($Q1553,0)=0),"※外销却没有售价，请填实际售价",IF(AND($K1553="对外销售",$T1553&lt;&gt;"",$T1553&lt;0),"※这一笔外销是亏的，请核对售价",IF(IFERROR(VLOOKUP($D1553,库存台账!$A$5:$Y$1204,24,0),0)&lt;-0.001,"※这个物料账面已经变成负数了，查一下是不是漏记入库","")))))))))))</f>
        <v/>
      </c>
    </row>
    <row r="1554">
      <c r="A1554" s="24">
        <f>IF($D1554="","",COUNTA($D$4:$D1554))</f>
        <v/>
      </c>
      <c r="B1554" s="17" t="n"/>
      <c r="C1554" s="30" t="n"/>
      <c r="D1554" s="17" t="n"/>
      <c r="E1554" s="24">
        <f>IF($D1554="","",IFERROR(VLOOKUP($D1554,物料档案!$A$4:$P$1203,3,0),"※编码不在物料档案里"))</f>
        <v/>
      </c>
      <c r="F1554" s="24">
        <f>IF($D1554="","",IFERROR(VLOOKUP($D1554,物料档案!$A$4:$P$1203,4,0),"※编码不在物料档案里"))</f>
        <v/>
      </c>
      <c r="G1554" s="24">
        <f>IF($D1554="","",IFERROR(VLOOKUP($D1554,物料档案!$A$4:$P$1203,5,0),"※编码不在物料档案里"))</f>
        <v/>
      </c>
      <c r="H1554" s="24">
        <f>IF($D1554="","",IFERROR(VLOOKUP($D1554,物料档案!$A$4:$P$1203,2,0),"※编码不在物料档案里"))</f>
        <v/>
      </c>
      <c r="I1554" s="24">
        <f>IF($D1554="","",IFERROR(VLOOKUP($D1554,物料档案!$A$4:$P$1203,6,0),"※编码不在物料档案里"))</f>
        <v/>
      </c>
      <c r="J1554" s="23" t="n"/>
      <c r="K1554" s="17" t="n"/>
      <c r="L1554" s="17" t="n"/>
      <c r="M1554" s="17" t="n"/>
      <c r="N1554" s="17" t="n"/>
      <c r="O1554" s="26">
        <f>IF($D1554="","",IFERROR(VLOOKUP($D1554,物料档案!$A$4:$P$1203,10,0),0))</f>
        <v/>
      </c>
      <c r="P1554" s="32" t="n"/>
      <c r="Q1554" s="26">
        <f>IF($D1554="","",IF($K1554&lt;&gt;"对外销售",0,ROUND(N($J1554)*IF($P1554="",N($O1554),N($P1554)),0)))</f>
        <v/>
      </c>
      <c r="R1554" s="26">
        <f>IF($D1554="","",IFERROR(VLOOKUP($D1554,库存台账!$A$5:$Y$1204,11,0),0))</f>
        <v/>
      </c>
      <c r="S1554" s="26">
        <f>IF($D1554="","",ROUND(N($J1554)*N($R1554),0))</f>
        <v/>
      </c>
      <c r="T1554" s="26">
        <f>IF($D1554="","",IF($K1554&lt;&gt;"对外销售","",ROUND($Q1554-$S1554,0)))</f>
        <v/>
      </c>
      <c r="U1554" s="17" t="n"/>
      <c r="V1554" s="17" t="n"/>
      <c r="W1554" s="24">
        <f>IF($D1554="","",IF($E1554="※编码不在物料档案里","※物料编码不在档案里",IF(N($J1554)&lt;=0,"※出库数量要大于 0",IF($K1554="","※没填去向类型",IF($L1554="","※没填去向矿区",IF(AND($C1554&lt;&gt;"",$C1554&lt;=结账锁),"※日期早于已结账截止日，不能再录",IF(AND($K1554="自用消耗",COUNTIF({"一矿区";"二矿区"},$L1554)=0),"※自用消耗的去向只能是一矿区或二矿区",IF(AND($K1554="对外销售",COUNTIF({"三矿区";"六矿区"},$L1554)=0),"※对外销售的去向只能是三矿区或六矿区",IF(AND($K1554="对外销售",ROUND($Q1554,0)=0),"※外销却没有售价，请填实际售价",IF(AND($K1554="对外销售",$T1554&lt;&gt;"",$T1554&lt;0),"※这一笔外销是亏的，请核对售价",IF(IFERROR(VLOOKUP($D1554,库存台账!$A$5:$Y$1204,24,0),0)&lt;-0.001,"※这个物料账面已经变成负数了，查一下是不是漏记入库","")))))))))))</f>
        <v/>
      </c>
    </row>
    <row r="1555">
      <c r="A1555" s="24">
        <f>IF($D1555="","",COUNTA($D$4:$D1555))</f>
        <v/>
      </c>
      <c r="B1555" s="17" t="n"/>
      <c r="C1555" s="30" t="n"/>
      <c r="D1555" s="17" t="n"/>
      <c r="E1555" s="24">
        <f>IF($D1555="","",IFERROR(VLOOKUP($D1555,物料档案!$A$4:$P$1203,3,0),"※编码不在物料档案里"))</f>
        <v/>
      </c>
      <c r="F1555" s="24">
        <f>IF($D1555="","",IFERROR(VLOOKUP($D1555,物料档案!$A$4:$P$1203,4,0),"※编码不在物料档案里"))</f>
        <v/>
      </c>
      <c r="G1555" s="24">
        <f>IF($D1555="","",IFERROR(VLOOKUP($D1555,物料档案!$A$4:$P$1203,5,0),"※编码不在物料档案里"))</f>
        <v/>
      </c>
      <c r="H1555" s="24">
        <f>IF($D1555="","",IFERROR(VLOOKUP($D1555,物料档案!$A$4:$P$1203,2,0),"※编码不在物料档案里"))</f>
        <v/>
      </c>
      <c r="I1555" s="24">
        <f>IF($D1555="","",IFERROR(VLOOKUP($D1555,物料档案!$A$4:$P$1203,6,0),"※编码不在物料档案里"))</f>
        <v/>
      </c>
      <c r="J1555" s="23" t="n"/>
      <c r="K1555" s="17" t="n"/>
      <c r="L1555" s="17" t="n"/>
      <c r="M1555" s="17" t="n"/>
      <c r="N1555" s="17" t="n"/>
      <c r="O1555" s="26">
        <f>IF($D1555="","",IFERROR(VLOOKUP($D1555,物料档案!$A$4:$P$1203,10,0),0))</f>
        <v/>
      </c>
      <c r="P1555" s="32" t="n"/>
      <c r="Q1555" s="26">
        <f>IF($D1555="","",IF($K1555&lt;&gt;"对外销售",0,ROUND(N($J1555)*IF($P1555="",N($O1555),N($P1555)),0)))</f>
        <v/>
      </c>
      <c r="R1555" s="26">
        <f>IF($D1555="","",IFERROR(VLOOKUP($D1555,库存台账!$A$5:$Y$1204,11,0),0))</f>
        <v/>
      </c>
      <c r="S1555" s="26">
        <f>IF($D1555="","",ROUND(N($J1555)*N($R1555),0))</f>
        <v/>
      </c>
      <c r="T1555" s="26">
        <f>IF($D1555="","",IF($K1555&lt;&gt;"对外销售","",ROUND($Q1555-$S1555,0)))</f>
        <v/>
      </c>
      <c r="U1555" s="17" t="n"/>
      <c r="V1555" s="17" t="n"/>
      <c r="W1555" s="24">
        <f>IF($D1555="","",IF($E1555="※编码不在物料档案里","※物料编码不在档案里",IF(N($J1555)&lt;=0,"※出库数量要大于 0",IF($K1555="","※没填去向类型",IF($L1555="","※没填去向矿区",IF(AND($C1555&lt;&gt;"",$C1555&lt;=结账锁),"※日期早于已结账截止日，不能再录",IF(AND($K1555="自用消耗",COUNTIF({"一矿区";"二矿区"},$L1555)=0),"※自用消耗的去向只能是一矿区或二矿区",IF(AND($K1555="对外销售",COUNTIF({"三矿区";"六矿区"},$L1555)=0),"※对外销售的去向只能是三矿区或六矿区",IF(AND($K1555="对外销售",ROUND($Q1555,0)=0),"※外销却没有售价，请填实际售价",IF(AND($K1555="对外销售",$T1555&lt;&gt;"",$T1555&lt;0),"※这一笔外销是亏的，请核对售价",IF(IFERROR(VLOOKUP($D1555,库存台账!$A$5:$Y$1204,24,0),0)&lt;-0.001,"※这个物料账面已经变成负数了，查一下是不是漏记入库","")))))))))))</f>
        <v/>
      </c>
    </row>
    <row r="1556">
      <c r="A1556" s="24">
        <f>IF($D1556="","",COUNTA($D$4:$D1556))</f>
        <v/>
      </c>
      <c r="B1556" s="17" t="n"/>
      <c r="C1556" s="30" t="n"/>
      <c r="D1556" s="17" t="n"/>
      <c r="E1556" s="24">
        <f>IF($D1556="","",IFERROR(VLOOKUP($D1556,物料档案!$A$4:$P$1203,3,0),"※编码不在物料档案里"))</f>
        <v/>
      </c>
      <c r="F1556" s="24">
        <f>IF($D1556="","",IFERROR(VLOOKUP($D1556,物料档案!$A$4:$P$1203,4,0),"※编码不在物料档案里"))</f>
        <v/>
      </c>
      <c r="G1556" s="24">
        <f>IF($D1556="","",IFERROR(VLOOKUP($D1556,物料档案!$A$4:$P$1203,5,0),"※编码不在物料档案里"))</f>
        <v/>
      </c>
      <c r="H1556" s="24">
        <f>IF($D1556="","",IFERROR(VLOOKUP($D1556,物料档案!$A$4:$P$1203,2,0),"※编码不在物料档案里"))</f>
        <v/>
      </c>
      <c r="I1556" s="24">
        <f>IF($D1556="","",IFERROR(VLOOKUP($D1556,物料档案!$A$4:$P$1203,6,0),"※编码不在物料档案里"))</f>
        <v/>
      </c>
      <c r="J1556" s="23" t="n"/>
      <c r="K1556" s="17" t="n"/>
      <c r="L1556" s="17" t="n"/>
      <c r="M1556" s="17" t="n"/>
      <c r="N1556" s="17" t="n"/>
      <c r="O1556" s="26">
        <f>IF($D1556="","",IFERROR(VLOOKUP($D1556,物料档案!$A$4:$P$1203,10,0),0))</f>
        <v/>
      </c>
      <c r="P1556" s="32" t="n"/>
      <c r="Q1556" s="26">
        <f>IF($D1556="","",IF($K1556&lt;&gt;"对外销售",0,ROUND(N($J1556)*IF($P1556="",N($O1556),N($P1556)),0)))</f>
        <v/>
      </c>
      <c r="R1556" s="26">
        <f>IF($D1556="","",IFERROR(VLOOKUP($D1556,库存台账!$A$5:$Y$1204,11,0),0))</f>
        <v/>
      </c>
      <c r="S1556" s="26">
        <f>IF($D1556="","",ROUND(N($J1556)*N($R1556),0))</f>
        <v/>
      </c>
      <c r="T1556" s="26">
        <f>IF($D1556="","",IF($K1556&lt;&gt;"对外销售","",ROUND($Q1556-$S1556,0)))</f>
        <v/>
      </c>
      <c r="U1556" s="17" t="n"/>
      <c r="V1556" s="17" t="n"/>
      <c r="W1556" s="24">
        <f>IF($D1556="","",IF($E1556="※编码不在物料档案里","※物料编码不在档案里",IF(N($J1556)&lt;=0,"※出库数量要大于 0",IF($K1556="","※没填去向类型",IF($L1556="","※没填去向矿区",IF(AND($C1556&lt;&gt;"",$C1556&lt;=结账锁),"※日期早于已结账截止日，不能再录",IF(AND($K1556="自用消耗",COUNTIF({"一矿区";"二矿区"},$L1556)=0),"※自用消耗的去向只能是一矿区或二矿区",IF(AND($K1556="对外销售",COUNTIF({"三矿区";"六矿区"},$L1556)=0),"※对外销售的去向只能是三矿区或六矿区",IF(AND($K1556="对外销售",ROUND($Q1556,0)=0),"※外销却没有售价，请填实际售价",IF(AND($K1556="对外销售",$T1556&lt;&gt;"",$T1556&lt;0),"※这一笔外销是亏的，请核对售价",IF(IFERROR(VLOOKUP($D1556,库存台账!$A$5:$Y$1204,24,0),0)&lt;-0.001,"※这个物料账面已经变成负数了，查一下是不是漏记入库","")))))))))))</f>
        <v/>
      </c>
    </row>
    <row r="1557">
      <c r="A1557" s="24">
        <f>IF($D1557="","",COUNTA($D$4:$D1557))</f>
        <v/>
      </c>
      <c r="B1557" s="17" t="n"/>
      <c r="C1557" s="30" t="n"/>
      <c r="D1557" s="17" t="n"/>
      <c r="E1557" s="24">
        <f>IF($D1557="","",IFERROR(VLOOKUP($D1557,物料档案!$A$4:$P$1203,3,0),"※编码不在物料档案里"))</f>
        <v/>
      </c>
      <c r="F1557" s="24">
        <f>IF($D1557="","",IFERROR(VLOOKUP($D1557,物料档案!$A$4:$P$1203,4,0),"※编码不在物料档案里"))</f>
        <v/>
      </c>
      <c r="G1557" s="24">
        <f>IF($D1557="","",IFERROR(VLOOKUP($D1557,物料档案!$A$4:$P$1203,5,0),"※编码不在物料档案里"))</f>
        <v/>
      </c>
      <c r="H1557" s="24">
        <f>IF($D1557="","",IFERROR(VLOOKUP($D1557,物料档案!$A$4:$P$1203,2,0),"※编码不在物料档案里"))</f>
        <v/>
      </c>
      <c r="I1557" s="24">
        <f>IF($D1557="","",IFERROR(VLOOKUP($D1557,物料档案!$A$4:$P$1203,6,0),"※编码不在物料档案里"))</f>
        <v/>
      </c>
      <c r="J1557" s="23" t="n"/>
      <c r="K1557" s="17" t="n"/>
      <c r="L1557" s="17" t="n"/>
      <c r="M1557" s="17" t="n"/>
      <c r="N1557" s="17" t="n"/>
      <c r="O1557" s="26">
        <f>IF($D1557="","",IFERROR(VLOOKUP($D1557,物料档案!$A$4:$P$1203,10,0),0))</f>
        <v/>
      </c>
      <c r="P1557" s="32" t="n"/>
      <c r="Q1557" s="26">
        <f>IF($D1557="","",IF($K1557&lt;&gt;"对外销售",0,ROUND(N($J1557)*IF($P1557="",N($O1557),N($P1557)),0)))</f>
        <v/>
      </c>
      <c r="R1557" s="26">
        <f>IF($D1557="","",IFERROR(VLOOKUP($D1557,库存台账!$A$5:$Y$1204,11,0),0))</f>
        <v/>
      </c>
      <c r="S1557" s="26">
        <f>IF($D1557="","",ROUND(N($J1557)*N($R1557),0))</f>
        <v/>
      </c>
      <c r="T1557" s="26">
        <f>IF($D1557="","",IF($K1557&lt;&gt;"对外销售","",ROUND($Q1557-$S1557,0)))</f>
        <v/>
      </c>
      <c r="U1557" s="17" t="n"/>
      <c r="V1557" s="17" t="n"/>
      <c r="W1557" s="24">
        <f>IF($D1557="","",IF($E1557="※编码不在物料档案里","※物料编码不在档案里",IF(N($J1557)&lt;=0,"※出库数量要大于 0",IF($K1557="","※没填去向类型",IF($L1557="","※没填去向矿区",IF(AND($C1557&lt;&gt;"",$C1557&lt;=结账锁),"※日期早于已结账截止日，不能再录",IF(AND($K1557="自用消耗",COUNTIF({"一矿区";"二矿区"},$L1557)=0),"※自用消耗的去向只能是一矿区或二矿区",IF(AND($K1557="对外销售",COUNTIF({"三矿区";"六矿区"},$L1557)=0),"※对外销售的去向只能是三矿区或六矿区",IF(AND($K1557="对外销售",ROUND($Q1557,0)=0),"※外销却没有售价，请填实际售价",IF(AND($K1557="对外销售",$T1557&lt;&gt;"",$T1557&lt;0),"※这一笔外销是亏的，请核对售价",IF(IFERROR(VLOOKUP($D1557,库存台账!$A$5:$Y$1204,24,0),0)&lt;-0.001,"※这个物料账面已经变成负数了，查一下是不是漏记入库","")))))))))))</f>
        <v/>
      </c>
    </row>
    <row r="1558">
      <c r="A1558" s="24">
        <f>IF($D1558="","",COUNTA($D$4:$D1558))</f>
        <v/>
      </c>
      <c r="B1558" s="17" t="n"/>
      <c r="C1558" s="30" t="n"/>
      <c r="D1558" s="17" t="n"/>
      <c r="E1558" s="24">
        <f>IF($D1558="","",IFERROR(VLOOKUP($D1558,物料档案!$A$4:$P$1203,3,0),"※编码不在物料档案里"))</f>
        <v/>
      </c>
      <c r="F1558" s="24">
        <f>IF($D1558="","",IFERROR(VLOOKUP($D1558,物料档案!$A$4:$P$1203,4,0),"※编码不在物料档案里"))</f>
        <v/>
      </c>
      <c r="G1558" s="24">
        <f>IF($D1558="","",IFERROR(VLOOKUP($D1558,物料档案!$A$4:$P$1203,5,0),"※编码不在物料档案里"))</f>
        <v/>
      </c>
      <c r="H1558" s="24">
        <f>IF($D1558="","",IFERROR(VLOOKUP($D1558,物料档案!$A$4:$P$1203,2,0),"※编码不在物料档案里"))</f>
        <v/>
      </c>
      <c r="I1558" s="24">
        <f>IF($D1558="","",IFERROR(VLOOKUP($D1558,物料档案!$A$4:$P$1203,6,0),"※编码不在物料档案里"))</f>
        <v/>
      </c>
      <c r="J1558" s="23" t="n"/>
      <c r="K1558" s="17" t="n"/>
      <c r="L1558" s="17" t="n"/>
      <c r="M1558" s="17" t="n"/>
      <c r="N1558" s="17" t="n"/>
      <c r="O1558" s="26">
        <f>IF($D1558="","",IFERROR(VLOOKUP($D1558,物料档案!$A$4:$P$1203,10,0),0))</f>
        <v/>
      </c>
      <c r="P1558" s="32" t="n"/>
      <c r="Q1558" s="26">
        <f>IF($D1558="","",IF($K1558&lt;&gt;"对外销售",0,ROUND(N($J1558)*IF($P1558="",N($O1558),N($P1558)),0)))</f>
        <v/>
      </c>
      <c r="R1558" s="26">
        <f>IF($D1558="","",IFERROR(VLOOKUP($D1558,库存台账!$A$5:$Y$1204,11,0),0))</f>
        <v/>
      </c>
      <c r="S1558" s="26">
        <f>IF($D1558="","",ROUND(N($J1558)*N($R1558),0))</f>
        <v/>
      </c>
      <c r="T1558" s="26">
        <f>IF($D1558="","",IF($K1558&lt;&gt;"对外销售","",ROUND($Q1558-$S1558,0)))</f>
        <v/>
      </c>
      <c r="U1558" s="17" t="n"/>
      <c r="V1558" s="17" t="n"/>
      <c r="W1558" s="24">
        <f>IF($D1558="","",IF($E1558="※编码不在物料档案里","※物料编码不在档案里",IF(N($J1558)&lt;=0,"※出库数量要大于 0",IF($K1558="","※没填去向类型",IF($L1558="","※没填去向矿区",IF(AND($C1558&lt;&gt;"",$C1558&lt;=结账锁),"※日期早于已结账截止日，不能再录",IF(AND($K1558="自用消耗",COUNTIF({"一矿区";"二矿区"},$L1558)=0),"※自用消耗的去向只能是一矿区或二矿区",IF(AND($K1558="对外销售",COUNTIF({"三矿区";"六矿区"},$L1558)=0),"※对外销售的去向只能是三矿区或六矿区",IF(AND($K1558="对外销售",ROUND($Q1558,0)=0),"※外销却没有售价，请填实际售价",IF(AND($K1558="对外销售",$T1558&lt;&gt;"",$T1558&lt;0),"※这一笔外销是亏的，请核对售价",IF(IFERROR(VLOOKUP($D1558,库存台账!$A$5:$Y$1204,24,0),0)&lt;-0.001,"※这个物料账面已经变成负数了，查一下是不是漏记入库","")))))))))))</f>
        <v/>
      </c>
    </row>
    <row r="1559">
      <c r="A1559" s="24">
        <f>IF($D1559="","",COUNTA($D$4:$D1559))</f>
        <v/>
      </c>
      <c r="B1559" s="17" t="n"/>
      <c r="C1559" s="30" t="n"/>
      <c r="D1559" s="17" t="n"/>
      <c r="E1559" s="24">
        <f>IF($D1559="","",IFERROR(VLOOKUP($D1559,物料档案!$A$4:$P$1203,3,0),"※编码不在物料档案里"))</f>
        <v/>
      </c>
      <c r="F1559" s="24">
        <f>IF($D1559="","",IFERROR(VLOOKUP($D1559,物料档案!$A$4:$P$1203,4,0),"※编码不在物料档案里"))</f>
        <v/>
      </c>
      <c r="G1559" s="24">
        <f>IF($D1559="","",IFERROR(VLOOKUP($D1559,物料档案!$A$4:$P$1203,5,0),"※编码不在物料档案里"))</f>
        <v/>
      </c>
      <c r="H1559" s="24">
        <f>IF($D1559="","",IFERROR(VLOOKUP($D1559,物料档案!$A$4:$P$1203,2,0),"※编码不在物料档案里"))</f>
        <v/>
      </c>
      <c r="I1559" s="24">
        <f>IF($D1559="","",IFERROR(VLOOKUP($D1559,物料档案!$A$4:$P$1203,6,0),"※编码不在物料档案里"))</f>
        <v/>
      </c>
      <c r="J1559" s="23" t="n"/>
      <c r="K1559" s="17" t="n"/>
      <c r="L1559" s="17" t="n"/>
      <c r="M1559" s="17" t="n"/>
      <c r="N1559" s="17" t="n"/>
      <c r="O1559" s="26">
        <f>IF($D1559="","",IFERROR(VLOOKUP($D1559,物料档案!$A$4:$P$1203,10,0),0))</f>
        <v/>
      </c>
      <c r="P1559" s="32" t="n"/>
      <c r="Q1559" s="26">
        <f>IF($D1559="","",IF($K1559&lt;&gt;"对外销售",0,ROUND(N($J1559)*IF($P1559="",N($O1559),N($P1559)),0)))</f>
        <v/>
      </c>
      <c r="R1559" s="26">
        <f>IF($D1559="","",IFERROR(VLOOKUP($D1559,库存台账!$A$5:$Y$1204,11,0),0))</f>
        <v/>
      </c>
      <c r="S1559" s="26">
        <f>IF($D1559="","",ROUND(N($J1559)*N($R1559),0))</f>
        <v/>
      </c>
      <c r="T1559" s="26">
        <f>IF($D1559="","",IF($K1559&lt;&gt;"对外销售","",ROUND($Q1559-$S1559,0)))</f>
        <v/>
      </c>
      <c r="U1559" s="17" t="n"/>
      <c r="V1559" s="17" t="n"/>
      <c r="W1559" s="24">
        <f>IF($D1559="","",IF($E1559="※编码不在物料档案里","※物料编码不在档案里",IF(N($J1559)&lt;=0,"※出库数量要大于 0",IF($K1559="","※没填去向类型",IF($L1559="","※没填去向矿区",IF(AND($C1559&lt;&gt;"",$C1559&lt;=结账锁),"※日期早于已结账截止日，不能再录",IF(AND($K1559="自用消耗",COUNTIF({"一矿区";"二矿区"},$L1559)=0),"※自用消耗的去向只能是一矿区或二矿区",IF(AND($K1559="对外销售",COUNTIF({"三矿区";"六矿区"},$L1559)=0),"※对外销售的去向只能是三矿区或六矿区",IF(AND($K1559="对外销售",ROUND($Q1559,0)=0),"※外销却没有售价，请填实际售价",IF(AND($K1559="对外销售",$T1559&lt;&gt;"",$T1559&lt;0),"※这一笔外销是亏的，请核对售价",IF(IFERROR(VLOOKUP($D1559,库存台账!$A$5:$Y$1204,24,0),0)&lt;-0.001,"※这个物料账面已经变成负数了，查一下是不是漏记入库","")))))))))))</f>
        <v/>
      </c>
    </row>
    <row r="1560">
      <c r="A1560" s="24">
        <f>IF($D1560="","",COUNTA($D$4:$D1560))</f>
        <v/>
      </c>
      <c r="B1560" s="17" t="n"/>
      <c r="C1560" s="30" t="n"/>
      <c r="D1560" s="17" t="n"/>
      <c r="E1560" s="24">
        <f>IF($D1560="","",IFERROR(VLOOKUP($D1560,物料档案!$A$4:$P$1203,3,0),"※编码不在物料档案里"))</f>
        <v/>
      </c>
      <c r="F1560" s="24">
        <f>IF($D1560="","",IFERROR(VLOOKUP($D1560,物料档案!$A$4:$P$1203,4,0),"※编码不在物料档案里"))</f>
        <v/>
      </c>
      <c r="G1560" s="24">
        <f>IF($D1560="","",IFERROR(VLOOKUP($D1560,物料档案!$A$4:$P$1203,5,0),"※编码不在物料档案里"))</f>
        <v/>
      </c>
      <c r="H1560" s="24">
        <f>IF($D1560="","",IFERROR(VLOOKUP($D1560,物料档案!$A$4:$P$1203,2,0),"※编码不在物料档案里"))</f>
        <v/>
      </c>
      <c r="I1560" s="24">
        <f>IF($D1560="","",IFERROR(VLOOKUP($D1560,物料档案!$A$4:$P$1203,6,0),"※编码不在物料档案里"))</f>
        <v/>
      </c>
      <c r="J1560" s="23" t="n"/>
      <c r="K1560" s="17" t="n"/>
      <c r="L1560" s="17" t="n"/>
      <c r="M1560" s="17" t="n"/>
      <c r="N1560" s="17" t="n"/>
      <c r="O1560" s="26">
        <f>IF($D1560="","",IFERROR(VLOOKUP($D1560,物料档案!$A$4:$P$1203,10,0),0))</f>
        <v/>
      </c>
      <c r="P1560" s="32" t="n"/>
      <c r="Q1560" s="26">
        <f>IF($D1560="","",IF($K1560&lt;&gt;"对外销售",0,ROUND(N($J1560)*IF($P1560="",N($O1560),N($P1560)),0)))</f>
        <v/>
      </c>
      <c r="R1560" s="26">
        <f>IF($D1560="","",IFERROR(VLOOKUP($D1560,库存台账!$A$5:$Y$1204,11,0),0))</f>
        <v/>
      </c>
      <c r="S1560" s="26">
        <f>IF($D1560="","",ROUND(N($J1560)*N($R1560),0))</f>
        <v/>
      </c>
      <c r="T1560" s="26">
        <f>IF($D1560="","",IF($K1560&lt;&gt;"对外销售","",ROUND($Q1560-$S1560,0)))</f>
        <v/>
      </c>
      <c r="U1560" s="17" t="n"/>
      <c r="V1560" s="17" t="n"/>
      <c r="W1560" s="24">
        <f>IF($D1560="","",IF($E1560="※编码不在物料档案里","※物料编码不在档案里",IF(N($J1560)&lt;=0,"※出库数量要大于 0",IF($K1560="","※没填去向类型",IF($L1560="","※没填去向矿区",IF(AND($C1560&lt;&gt;"",$C1560&lt;=结账锁),"※日期早于已结账截止日，不能再录",IF(AND($K1560="自用消耗",COUNTIF({"一矿区";"二矿区"},$L1560)=0),"※自用消耗的去向只能是一矿区或二矿区",IF(AND($K1560="对外销售",COUNTIF({"三矿区";"六矿区"},$L1560)=0),"※对外销售的去向只能是三矿区或六矿区",IF(AND($K1560="对外销售",ROUND($Q1560,0)=0),"※外销却没有售价，请填实际售价",IF(AND($K1560="对外销售",$T1560&lt;&gt;"",$T1560&lt;0),"※这一笔外销是亏的，请核对售价",IF(IFERROR(VLOOKUP($D1560,库存台账!$A$5:$Y$1204,24,0),0)&lt;-0.001,"※这个物料账面已经变成负数了，查一下是不是漏记入库","")))))))))))</f>
        <v/>
      </c>
    </row>
    <row r="1561">
      <c r="A1561" s="24">
        <f>IF($D1561="","",COUNTA($D$4:$D1561))</f>
        <v/>
      </c>
      <c r="B1561" s="17" t="n"/>
      <c r="C1561" s="30" t="n"/>
      <c r="D1561" s="17" t="n"/>
      <c r="E1561" s="24">
        <f>IF($D1561="","",IFERROR(VLOOKUP($D1561,物料档案!$A$4:$P$1203,3,0),"※编码不在物料档案里"))</f>
        <v/>
      </c>
      <c r="F1561" s="24">
        <f>IF($D1561="","",IFERROR(VLOOKUP($D1561,物料档案!$A$4:$P$1203,4,0),"※编码不在物料档案里"))</f>
        <v/>
      </c>
      <c r="G1561" s="24">
        <f>IF($D1561="","",IFERROR(VLOOKUP($D1561,物料档案!$A$4:$P$1203,5,0),"※编码不在物料档案里"))</f>
        <v/>
      </c>
      <c r="H1561" s="24">
        <f>IF($D1561="","",IFERROR(VLOOKUP($D1561,物料档案!$A$4:$P$1203,2,0),"※编码不在物料档案里"))</f>
        <v/>
      </c>
      <c r="I1561" s="24">
        <f>IF($D1561="","",IFERROR(VLOOKUP($D1561,物料档案!$A$4:$P$1203,6,0),"※编码不在物料档案里"))</f>
        <v/>
      </c>
      <c r="J1561" s="23" t="n"/>
      <c r="K1561" s="17" t="n"/>
      <c r="L1561" s="17" t="n"/>
      <c r="M1561" s="17" t="n"/>
      <c r="N1561" s="17" t="n"/>
      <c r="O1561" s="26">
        <f>IF($D1561="","",IFERROR(VLOOKUP($D1561,物料档案!$A$4:$P$1203,10,0),0))</f>
        <v/>
      </c>
      <c r="P1561" s="32" t="n"/>
      <c r="Q1561" s="26">
        <f>IF($D1561="","",IF($K1561&lt;&gt;"对外销售",0,ROUND(N($J1561)*IF($P1561="",N($O1561),N($P1561)),0)))</f>
        <v/>
      </c>
      <c r="R1561" s="26">
        <f>IF($D1561="","",IFERROR(VLOOKUP($D1561,库存台账!$A$5:$Y$1204,11,0),0))</f>
        <v/>
      </c>
      <c r="S1561" s="26">
        <f>IF($D1561="","",ROUND(N($J1561)*N($R1561),0))</f>
        <v/>
      </c>
      <c r="T1561" s="26">
        <f>IF($D1561="","",IF($K1561&lt;&gt;"对外销售","",ROUND($Q1561-$S1561,0)))</f>
        <v/>
      </c>
      <c r="U1561" s="17" t="n"/>
      <c r="V1561" s="17" t="n"/>
      <c r="W1561" s="24">
        <f>IF($D1561="","",IF($E1561="※编码不在物料档案里","※物料编码不在档案里",IF(N($J1561)&lt;=0,"※出库数量要大于 0",IF($K1561="","※没填去向类型",IF($L1561="","※没填去向矿区",IF(AND($C1561&lt;&gt;"",$C1561&lt;=结账锁),"※日期早于已结账截止日，不能再录",IF(AND($K1561="自用消耗",COUNTIF({"一矿区";"二矿区"},$L1561)=0),"※自用消耗的去向只能是一矿区或二矿区",IF(AND($K1561="对外销售",COUNTIF({"三矿区";"六矿区"},$L1561)=0),"※对外销售的去向只能是三矿区或六矿区",IF(AND($K1561="对外销售",ROUND($Q1561,0)=0),"※外销却没有售价，请填实际售价",IF(AND($K1561="对外销售",$T1561&lt;&gt;"",$T1561&lt;0),"※这一笔外销是亏的，请核对售价",IF(IFERROR(VLOOKUP($D1561,库存台账!$A$5:$Y$1204,24,0),0)&lt;-0.001,"※这个物料账面已经变成负数了，查一下是不是漏记入库","")))))))))))</f>
        <v/>
      </c>
    </row>
    <row r="1562">
      <c r="A1562" s="24">
        <f>IF($D1562="","",COUNTA($D$4:$D1562))</f>
        <v/>
      </c>
      <c r="B1562" s="17" t="n"/>
      <c r="C1562" s="30" t="n"/>
      <c r="D1562" s="17" t="n"/>
      <c r="E1562" s="24">
        <f>IF($D1562="","",IFERROR(VLOOKUP($D1562,物料档案!$A$4:$P$1203,3,0),"※编码不在物料档案里"))</f>
        <v/>
      </c>
      <c r="F1562" s="24">
        <f>IF($D1562="","",IFERROR(VLOOKUP($D1562,物料档案!$A$4:$P$1203,4,0),"※编码不在物料档案里"))</f>
        <v/>
      </c>
      <c r="G1562" s="24">
        <f>IF($D1562="","",IFERROR(VLOOKUP($D1562,物料档案!$A$4:$P$1203,5,0),"※编码不在物料档案里"))</f>
        <v/>
      </c>
      <c r="H1562" s="24">
        <f>IF($D1562="","",IFERROR(VLOOKUP($D1562,物料档案!$A$4:$P$1203,2,0),"※编码不在物料档案里"))</f>
        <v/>
      </c>
      <c r="I1562" s="24">
        <f>IF($D1562="","",IFERROR(VLOOKUP($D1562,物料档案!$A$4:$P$1203,6,0),"※编码不在物料档案里"))</f>
        <v/>
      </c>
      <c r="J1562" s="23" t="n"/>
      <c r="K1562" s="17" t="n"/>
      <c r="L1562" s="17" t="n"/>
      <c r="M1562" s="17" t="n"/>
      <c r="N1562" s="17" t="n"/>
      <c r="O1562" s="26">
        <f>IF($D1562="","",IFERROR(VLOOKUP($D1562,物料档案!$A$4:$P$1203,10,0),0))</f>
        <v/>
      </c>
      <c r="P1562" s="32" t="n"/>
      <c r="Q1562" s="26">
        <f>IF($D1562="","",IF($K1562&lt;&gt;"对外销售",0,ROUND(N($J1562)*IF($P1562="",N($O1562),N($P1562)),0)))</f>
        <v/>
      </c>
      <c r="R1562" s="26">
        <f>IF($D1562="","",IFERROR(VLOOKUP($D1562,库存台账!$A$5:$Y$1204,11,0),0))</f>
        <v/>
      </c>
      <c r="S1562" s="26">
        <f>IF($D1562="","",ROUND(N($J1562)*N($R1562),0))</f>
        <v/>
      </c>
      <c r="T1562" s="26">
        <f>IF($D1562="","",IF($K1562&lt;&gt;"对外销售","",ROUND($Q1562-$S1562,0)))</f>
        <v/>
      </c>
      <c r="U1562" s="17" t="n"/>
      <c r="V1562" s="17" t="n"/>
      <c r="W1562" s="24">
        <f>IF($D1562="","",IF($E1562="※编码不在物料档案里","※物料编码不在档案里",IF(N($J1562)&lt;=0,"※出库数量要大于 0",IF($K1562="","※没填去向类型",IF($L1562="","※没填去向矿区",IF(AND($C1562&lt;&gt;"",$C1562&lt;=结账锁),"※日期早于已结账截止日，不能再录",IF(AND($K1562="自用消耗",COUNTIF({"一矿区";"二矿区"},$L1562)=0),"※自用消耗的去向只能是一矿区或二矿区",IF(AND($K1562="对外销售",COUNTIF({"三矿区";"六矿区"},$L1562)=0),"※对外销售的去向只能是三矿区或六矿区",IF(AND($K1562="对外销售",ROUND($Q1562,0)=0),"※外销却没有售价，请填实际售价",IF(AND($K1562="对外销售",$T1562&lt;&gt;"",$T1562&lt;0),"※这一笔外销是亏的，请核对售价",IF(IFERROR(VLOOKUP($D1562,库存台账!$A$5:$Y$1204,24,0),0)&lt;-0.001,"※这个物料账面已经变成负数了，查一下是不是漏记入库","")))))))))))</f>
        <v/>
      </c>
    </row>
    <row r="1563">
      <c r="A1563" s="24">
        <f>IF($D1563="","",COUNTA($D$4:$D1563))</f>
        <v/>
      </c>
      <c r="B1563" s="17" t="n"/>
      <c r="C1563" s="30" t="n"/>
      <c r="D1563" s="17" t="n"/>
      <c r="E1563" s="24">
        <f>IF($D1563="","",IFERROR(VLOOKUP($D1563,物料档案!$A$4:$P$1203,3,0),"※编码不在物料档案里"))</f>
        <v/>
      </c>
      <c r="F1563" s="24">
        <f>IF($D1563="","",IFERROR(VLOOKUP($D1563,物料档案!$A$4:$P$1203,4,0),"※编码不在物料档案里"))</f>
        <v/>
      </c>
      <c r="G1563" s="24">
        <f>IF($D1563="","",IFERROR(VLOOKUP($D1563,物料档案!$A$4:$P$1203,5,0),"※编码不在物料档案里"))</f>
        <v/>
      </c>
      <c r="H1563" s="24">
        <f>IF($D1563="","",IFERROR(VLOOKUP($D1563,物料档案!$A$4:$P$1203,2,0),"※编码不在物料档案里"))</f>
        <v/>
      </c>
      <c r="I1563" s="24">
        <f>IF($D1563="","",IFERROR(VLOOKUP($D1563,物料档案!$A$4:$P$1203,6,0),"※编码不在物料档案里"))</f>
        <v/>
      </c>
      <c r="J1563" s="23" t="n"/>
      <c r="K1563" s="17" t="n"/>
      <c r="L1563" s="17" t="n"/>
      <c r="M1563" s="17" t="n"/>
      <c r="N1563" s="17" t="n"/>
      <c r="O1563" s="26">
        <f>IF($D1563="","",IFERROR(VLOOKUP($D1563,物料档案!$A$4:$P$1203,10,0),0))</f>
        <v/>
      </c>
      <c r="P1563" s="32" t="n"/>
      <c r="Q1563" s="26">
        <f>IF($D1563="","",IF($K1563&lt;&gt;"对外销售",0,ROUND(N($J1563)*IF($P1563="",N($O1563),N($P1563)),0)))</f>
        <v/>
      </c>
      <c r="R1563" s="26">
        <f>IF($D1563="","",IFERROR(VLOOKUP($D1563,库存台账!$A$5:$Y$1204,11,0),0))</f>
        <v/>
      </c>
      <c r="S1563" s="26">
        <f>IF($D1563="","",ROUND(N($J1563)*N($R1563),0))</f>
        <v/>
      </c>
      <c r="T1563" s="26">
        <f>IF($D1563="","",IF($K1563&lt;&gt;"对外销售","",ROUND($Q1563-$S1563,0)))</f>
        <v/>
      </c>
      <c r="U1563" s="17" t="n"/>
      <c r="V1563" s="17" t="n"/>
      <c r="W1563" s="24">
        <f>IF($D1563="","",IF($E1563="※编码不在物料档案里","※物料编码不在档案里",IF(N($J1563)&lt;=0,"※出库数量要大于 0",IF($K1563="","※没填去向类型",IF($L1563="","※没填去向矿区",IF(AND($C1563&lt;&gt;"",$C1563&lt;=结账锁),"※日期早于已结账截止日，不能再录",IF(AND($K1563="自用消耗",COUNTIF({"一矿区";"二矿区"},$L1563)=0),"※自用消耗的去向只能是一矿区或二矿区",IF(AND($K1563="对外销售",COUNTIF({"三矿区";"六矿区"},$L1563)=0),"※对外销售的去向只能是三矿区或六矿区",IF(AND($K1563="对外销售",ROUND($Q1563,0)=0),"※外销却没有售价，请填实际售价",IF(AND($K1563="对外销售",$T1563&lt;&gt;"",$T1563&lt;0),"※这一笔外销是亏的，请核对售价",IF(IFERROR(VLOOKUP($D1563,库存台账!$A$5:$Y$1204,24,0),0)&lt;-0.001,"※这个物料账面已经变成负数了，查一下是不是漏记入库","")))))))))))</f>
        <v/>
      </c>
    </row>
    <row r="1564">
      <c r="A1564" s="24">
        <f>IF($D1564="","",COUNTA($D$4:$D1564))</f>
        <v/>
      </c>
      <c r="B1564" s="17" t="n"/>
      <c r="C1564" s="30" t="n"/>
      <c r="D1564" s="17" t="n"/>
      <c r="E1564" s="24">
        <f>IF($D1564="","",IFERROR(VLOOKUP($D1564,物料档案!$A$4:$P$1203,3,0),"※编码不在物料档案里"))</f>
        <v/>
      </c>
      <c r="F1564" s="24">
        <f>IF($D1564="","",IFERROR(VLOOKUP($D1564,物料档案!$A$4:$P$1203,4,0),"※编码不在物料档案里"))</f>
        <v/>
      </c>
      <c r="G1564" s="24">
        <f>IF($D1564="","",IFERROR(VLOOKUP($D1564,物料档案!$A$4:$P$1203,5,0),"※编码不在物料档案里"))</f>
        <v/>
      </c>
      <c r="H1564" s="24">
        <f>IF($D1564="","",IFERROR(VLOOKUP($D1564,物料档案!$A$4:$P$1203,2,0),"※编码不在物料档案里"))</f>
        <v/>
      </c>
      <c r="I1564" s="24">
        <f>IF($D1564="","",IFERROR(VLOOKUP($D1564,物料档案!$A$4:$P$1203,6,0),"※编码不在物料档案里"))</f>
        <v/>
      </c>
      <c r="J1564" s="23" t="n"/>
      <c r="K1564" s="17" t="n"/>
      <c r="L1564" s="17" t="n"/>
      <c r="M1564" s="17" t="n"/>
      <c r="N1564" s="17" t="n"/>
      <c r="O1564" s="26">
        <f>IF($D1564="","",IFERROR(VLOOKUP($D1564,物料档案!$A$4:$P$1203,10,0),0))</f>
        <v/>
      </c>
      <c r="P1564" s="32" t="n"/>
      <c r="Q1564" s="26">
        <f>IF($D1564="","",IF($K1564&lt;&gt;"对外销售",0,ROUND(N($J1564)*IF($P1564="",N($O1564),N($P1564)),0)))</f>
        <v/>
      </c>
      <c r="R1564" s="26">
        <f>IF($D1564="","",IFERROR(VLOOKUP($D1564,库存台账!$A$5:$Y$1204,11,0),0))</f>
        <v/>
      </c>
      <c r="S1564" s="26">
        <f>IF($D1564="","",ROUND(N($J1564)*N($R1564),0))</f>
        <v/>
      </c>
      <c r="T1564" s="26">
        <f>IF($D1564="","",IF($K1564&lt;&gt;"对外销售","",ROUND($Q1564-$S1564,0)))</f>
        <v/>
      </c>
      <c r="U1564" s="17" t="n"/>
      <c r="V1564" s="17" t="n"/>
      <c r="W1564" s="24">
        <f>IF($D1564="","",IF($E1564="※编码不在物料档案里","※物料编码不在档案里",IF(N($J1564)&lt;=0,"※出库数量要大于 0",IF($K1564="","※没填去向类型",IF($L1564="","※没填去向矿区",IF(AND($C1564&lt;&gt;"",$C1564&lt;=结账锁),"※日期早于已结账截止日，不能再录",IF(AND($K1564="自用消耗",COUNTIF({"一矿区";"二矿区"},$L1564)=0),"※自用消耗的去向只能是一矿区或二矿区",IF(AND($K1564="对外销售",COUNTIF({"三矿区";"六矿区"},$L1564)=0),"※对外销售的去向只能是三矿区或六矿区",IF(AND($K1564="对外销售",ROUND($Q1564,0)=0),"※外销却没有售价，请填实际售价",IF(AND($K1564="对外销售",$T1564&lt;&gt;"",$T1564&lt;0),"※这一笔外销是亏的，请核对售价",IF(IFERROR(VLOOKUP($D1564,库存台账!$A$5:$Y$1204,24,0),0)&lt;-0.001,"※这个物料账面已经变成负数了，查一下是不是漏记入库","")))))))))))</f>
        <v/>
      </c>
    </row>
    <row r="1565">
      <c r="A1565" s="24">
        <f>IF($D1565="","",COUNTA($D$4:$D1565))</f>
        <v/>
      </c>
      <c r="B1565" s="17" t="n"/>
      <c r="C1565" s="30" t="n"/>
      <c r="D1565" s="17" t="n"/>
      <c r="E1565" s="24">
        <f>IF($D1565="","",IFERROR(VLOOKUP($D1565,物料档案!$A$4:$P$1203,3,0),"※编码不在物料档案里"))</f>
        <v/>
      </c>
      <c r="F1565" s="24">
        <f>IF($D1565="","",IFERROR(VLOOKUP($D1565,物料档案!$A$4:$P$1203,4,0),"※编码不在物料档案里"))</f>
        <v/>
      </c>
      <c r="G1565" s="24">
        <f>IF($D1565="","",IFERROR(VLOOKUP($D1565,物料档案!$A$4:$P$1203,5,0),"※编码不在物料档案里"))</f>
        <v/>
      </c>
      <c r="H1565" s="24">
        <f>IF($D1565="","",IFERROR(VLOOKUP($D1565,物料档案!$A$4:$P$1203,2,0),"※编码不在物料档案里"))</f>
        <v/>
      </c>
      <c r="I1565" s="24">
        <f>IF($D1565="","",IFERROR(VLOOKUP($D1565,物料档案!$A$4:$P$1203,6,0),"※编码不在物料档案里"))</f>
        <v/>
      </c>
      <c r="J1565" s="23" t="n"/>
      <c r="K1565" s="17" t="n"/>
      <c r="L1565" s="17" t="n"/>
      <c r="M1565" s="17" t="n"/>
      <c r="N1565" s="17" t="n"/>
      <c r="O1565" s="26">
        <f>IF($D1565="","",IFERROR(VLOOKUP($D1565,物料档案!$A$4:$P$1203,10,0),0))</f>
        <v/>
      </c>
      <c r="P1565" s="32" t="n"/>
      <c r="Q1565" s="26">
        <f>IF($D1565="","",IF($K1565&lt;&gt;"对外销售",0,ROUND(N($J1565)*IF($P1565="",N($O1565),N($P1565)),0)))</f>
        <v/>
      </c>
      <c r="R1565" s="26">
        <f>IF($D1565="","",IFERROR(VLOOKUP($D1565,库存台账!$A$5:$Y$1204,11,0),0))</f>
        <v/>
      </c>
      <c r="S1565" s="26">
        <f>IF($D1565="","",ROUND(N($J1565)*N($R1565),0))</f>
        <v/>
      </c>
      <c r="T1565" s="26">
        <f>IF($D1565="","",IF($K1565&lt;&gt;"对外销售","",ROUND($Q1565-$S1565,0)))</f>
        <v/>
      </c>
      <c r="U1565" s="17" t="n"/>
      <c r="V1565" s="17" t="n"/>
      <c r="W1565" s="24">
        <f>IF($D1565="","",IF($E1565="※编码不在物料档案里","※物料编码不在档案里",IF(N($J1565)&lt;=0,"※出库数量要大于 0",IF($K1565="","※没填去向类型",IF($L1565="","※没填去向矿区",IF(AND($C1565&lt;&gt;"",$C1565&lt;=结账锁),"※日期早于已结账截止日，不能再录",IF(AND($K1565="自用消耗",COUNTIF({"一矿区";"二矿区"},$L1565)=0),"※自用消耗的去向只能是一矿区或二矿区",IF(AND($K1565="对外销售",COUNTIF({"三矿区";"六矿区"},$L1565)=0),"※对外销售的去向只能是三矿区或六矿区",IF(AND($K1565="对外销售",ROUND($Q1565,0)=0),"※外销却没有售价，请填实际售价",IF(AND($K1565="对外销售",$T1565&lt;&gt;"",$T1565&lt;0),"※这一笔外销是亏的，请核对售价",IF(IFERROR(VLOOKUP($D1565,库存台账!$A$5:$Y$1204,24,0),0)&lt;-0.001,"※这个物料账面已经变成负数了，查一下是不是漏记入库","")))))))))))</f>
        <v/>
      </c>
    </row>
    <row r="1566">
      <c r="A1566" s="24">
        <f>IF($D1566="","",COUNTA($D$4:$D1566))</f>
        <v/>
      </c>
      <c r="B1566" s="17" t="n"/>
      <c r="C1566" s="30" t="n"/>
      <c r="D1566" s="17" t="n"/>
      <c r="E1566" s="24">
        <f>IF($D1566="","",IFERROR(VLOOKUP($D1566,物料档案!$A$4:$P$1203,3,0),"※编码不在物料档案里"))</f>
        <v/>
      </c>
      <c r="F1566" s="24">
        <f>IF($D1566="","",IFERROR(VLOOKUP($D1566,物料档案!$A$4:$P$1203,4,0),"※编码不在物料档案里"))</f>
        <v/>
      </c>
      <c r="G1566" s="24">
        <f>IF($D1566="","",IFERROR(VLOOKUP($D1566,物料档案!$A$4:$P$1203,5,0),"※编码不在物料档案里"))</f>
        <v/>
      </c>
      <c r="H1566" s="24">
        <f>IF($D1566="","",IFERROR(VLOOKUP($D1566,物料档案!$A$4:$P$1203,2,0),"※编码不在物料档案里"))</f>
        <v/>
      </c>
      <c r="I1566" s="24">
        <f>IF($D1566="","",IFERROR(VLOOKUP($D1566,物料档案!$A$4:$P$1203,6,0),"※编码不在物料档案里"))</f>
        <v/>
      </c>
      <c r="J1566" s="23" t="n"/>
      <c r="K1566" s="17" t="n"/>
      <c r="L1566" s="17" t="n"/>
      <c r="M1566" s="17" t="n"/>
      <c r="N1566" s="17" t="n"/>
      <c r="O1566" s="26">
        <f>IF($D1566="","",IFERROR(VLOOKUP($D1566,物料档案!$A$4:$P$1203,10,0),0))</f>
        <v/>
      </c>
      <c r="P1566" s="32" t="n"/>
      <c r="Q1566" s="26">
        <f>IF($D1566="","",IF($K1566&lt;&gt;"对外销售",0,ROUND(N($J1566)*IF($P1566="",N($O1566),N($P1566)),0)))</f>
        <v/>
      </c>
      <c r="R1566" s="26">
        <f>IF($D1566="","",IFERROR(VLOOKUP($D1566,库存台账!$A$5:$Y$1204,11,0),0))</f>
        <v/>
      </c>
      <c r="S1566" s="26">
        <f>IF($D1566="","",ROUND(N($J1566)*N($R1566),0))</f>
        <v/>
      </c>
      <c r="T1566" s="26">
        <f>IF($D1566="","",IF($K1566&lt;&gt;"对外销售","",ROUND($Q1566-$S1566,0)))</f>
        <v/>
      </c>
      <c r="U1566" s="17" t="n"/>
      <c r="V1566" s="17" t="n"/>
      <c r="W1566" s="24">
        <f>IF($D1566="","",IF($E1566="※编码不在物料档案里","※物料编码不在档案里",IF(N($J1566)&lt;=0,"※出库数量要大于 0",IF($K1566="","※没填去向类型",IF($L1566="","※没填去向矿区",IF(AND($C1566&lt;&gt;"",$C1566&lt;=结账锁),"※日期早于已结账截止日，不能再录",IF(AND($K1566="自用消耗",COUNTIF({"一矿区";"二矿区"},$L1566)=0),"※自用消耗的去向只能是一矿区或二矿区",IF(AND($K1566="对外销售",COUNTIF({"三矿区";"六矿区"},$L1566)=0),"※对外销售的去向只能是三矿区或六矿区",IF(AND($K1566="对外销售",ROUND($Q1566,0)=0),"※外销却没有售价，请填实际售价",IF(AND($K1566="对外销售",$T1566&lt;&gt;"",$T1566&lt;0),"※这一笔外销是亏的，请核对售价",IF(IFERROR(VLOOKUP($D1566,库存台账!$A$5:$Y$1204,24,0),0)&lt;-0.001,"※这个物料账面已经变成负数了，查一下是不是漏记入库","")))))))))))</f>
        <v/>
      </c>
    </row>
    <row r="1567">
      <c r="A1567" s="24">
        <f>IF($D1567="","",COUNTA($D$4:$D1567))</f>
        <v/>
      </c>
      <c r="B1567" s="17" t="n"/>
      <c r="C1567" s="30" t="n"/>
      <c r="D1567" s="17" t="n"/>
      <c r="E1567" s="24">
        <f>IF($D1567="","",IFERROR(VLOOKUP($D1567,物料档案!$A$4:$P$1203,3,0),"※编码不在物料档案里"))</f>
        <v/>
      </c>
      <c r="F1567" s="24">
        <f>IF($D1567="","",IFERROR(VLOOKUP($D1567,物料档案!$A$4:$P$1203,4,0),"※编码不在物料档案里"))</f>
        <v/>
      </c>
      <c r="G1567" s="24">
        <f>IF($D1567="","",IFERROR(VLOOKUP($D1567,物料档案!$A$4:$P$1203,5,0),"※编码不在物料档案里"))</f>
        <v/>
      </c>
      <c r="H1567" s="24">
        <f>IF($D1567="","",IFERROR(VLOOKUP($D1567,物料档案!$A$4:$P$1203,2,0),"※编码不在物料档案里"))</f>
        <v/>
      </c>
      <c r="I1567" s="24">
        <f>IF($D1567="","",IFERROR(VLOOKUP($D1567,物料档案!$A$4:$P$1203,6,0),"※编码不在物料档案里"))</f>
        <v/>
      </c>
      <c r="J1567" s="23" t="n"/>
      <c r="K1567" s="17" t="n"/>
      <c r="L1567" s="17" t="n"/>
      <c r="M1567" s="17" t="n"/>
      <c r="N1567" s="17" t="n"/>
      <c r="O1567" s="26">
        <f>IF($D1567="","",IFERROR(VLOOKUP($D1567,物料档案!$A$4:$P$1203,10,0),0))</f>
        <v/>
      </c>
      <c r="P1567" s="32" t="n"/>
      <c r="Q1567" s="26">
        <f>IF($D1567="","",IF($K1567&lt;&gt;"对外销售",0,ROUND(N($J1567)*IF($P1567="",N($O1567),N($P1567)),0)))</f>
        <v/>
      </c>
      <c r="R1567" s="26">
        <f>IF($D1567="","",IFERROR(VLOOKUP($D1567,库存台账!$A$5:$Y$1204,11,0),0))</f>
        <v/>
      </c>
      <c r="S1567" s="26">
        <f>IF($D1567="","",ROUND(N($J1567)*N($R1567),0))</f>
        <v/>
      </c>
      <c r="T1567" s="26">
        <f>IF($D1567="","",IF($K1567&lt;&gt;"对外销售","",ROUND($Q1567-$S1567,0)))</f>
        <v/>
      </c>
      <c r="U1567" s="17" t="n"/>
      <c r="V1567" s="17" t="n"/>
      <c r="W1567" s="24">
        <f>IF($D1567="","",IF($E1567="※编码不在物料档案里","※物料编码不在档案里",IF(N($J1567)&lt;=0,"※出库数量要大于 0",IF($K1567="","※没填去向类型",IF($L1567="","※没填去向矿区",IF(AND($C1567&lt;&gt;"",$C1567&lt;=结账锁),"※日期早于已结账截止日，不能再录",IF(AND($K1567="自用消耗",COUNTIF({"一矿区";"二矿区"},$L1567)=0),"※自用消耗的去向只能是一矿区或二矿区",IF(AND($K1567="对外销售",COUNTIF({"三矿区";"六矿区"},$L1567)=0),"※对外销售的去向只能是三矿区或六矿区",IF(AND($K1567="对外销售",ROUND($Q1567,0)=0),"※外销却没有售价，请填实际售价",IF(AND($K1567="对外销售",$T1567&lt;&gt;"",$T1567&lt;0),"※这一笔外销是亏的，请核对售价",IF(IFERROR(VLOOKUP($D1567,库存台账!$A$5:$Y$1204,24,0),0)&lt;-0.001,"※这个物料账面已经变成负数了，查一下是不是漏记入库","")))))))))))</f>
        <v/>
      </c>
    </row>
    <row r="1568">
      <c r="A1568" s="24">
        <f>IF($D1568="","",COUNTA($D$4:$D1568))</f>
        <v/>
      </c>
      <c r="B1568" s="17" t="n"/>
      <c r="C1568" s="30" t="n"/>
      <c r="D1568" s="17" t="n"/>
      <c r="E1568" s="24">
        <f>IF($D1568="","",IFERROR(VLOOKUP($D1568,物料档案!$A$4:$P$1203,3,0),"※编码不在物料档案里"))</f>
        <v/>
      </c>
      <c r="F1568" s="24">
        <f>IF($D1568="","",IFERROR(VLOOKUP($D1568,物料档案!$A$4:$P$1203,4,0),"※编码不在物料档案里"))</f>
        <v/>
      </c>
      <c r="G1568" s="24">
        <f>IF($D1568="","",IFERROR(VLOOKUP($D1568,物料档案!$A$4:$P$1203,5,0),"※编码不在物料档案里"))</f>
        <v/>
      </c>
      <c r="H1568" s="24">
        <f>IF($D1568="","",IFERROR(VLOOKUP($D1568,物料档案!$A$4:$P$1203,2,0),"※编码不在物料档案里"))</f>
        <v/>
      </c>
      <c r="I1568" s="24">
        <f>IF($D1568="","",IFERROR(VLOOKUP($D1568,物料档案!$A$4:$P$1203,6,0),"※编码不在物料档案里"))</f>
        <v/>
      </c>
      <c r="J1568" s="23" t="n"/>
      <c r="K1568" s="17" t="n"/>
      <c r="L1568" s="17" t="n"/>
      <c r="M1568" s="17" t="n"/>
      <c r="N1568" s="17" t="n"/>
      <c r="O1568" s="26">
        <f>IF($D1568="","",IFERROR(VLOOKUP($D1568,物料档案!$A$4:$P$1203,10,0),0))</f>
        <v/>
      </c>
      <c r="P1568" s="32" t="n"/>
      <c r="Q1568" s="26">
        <f>IF($D1568="","",IF($K1568&lt;&gt;"对外销售",0,ROUND(N($J1568)*IF($P1568="",N($O1568),N($P1568)),0)))</f>
        <v/>
      </c>
      <c r="R1568" s="26">
        <f>IF($D1568="","",IFERROR(VLOOKUP($D1568,库存台账!$A$5:$Y$1204,11,0),0))</f>
        <v/>
      </c>
      <c r="S1568" s="26">
        <f>IF($D1568="","",ROUND(N($J1568)*N($R1568),0))</f>
        <v/>
      </c>
      <c r="T1568" s="26">
        <f>IF($D1568="","",IF($K1568&lt;&gt;"对外销售","",ROUND($Q1568-$S1568,0)))</f>
        <v/>
      </c>
      <c r="U1568" s="17" t="n"/>
      <c r="V1568" s="17" t="n"/>
      <c r="W1568" s="24">
        <f>IF($D1568="","",IF($E1568="※编码不在物料档案里","※物料编码不在档案里",IF(N($J1568)&lt;=0,"※出库数量要大于 0",IF($K1568="","※没填去向类型",IF($L1568="","※没填去向矿区",IF(AND($C1568&lt;&gt;"",$C1568&lt;=结账锁),"※日期早于已结账截止日，不能再录",IF(AND($K1568="自用消耗",COUNTIF({"一矿区";"二矿区"},$L1568)=0),"※自用消耗的去向只能是一矿区或二矿区",IF(AND($K1568="对外销售",COUNTIF({"三矿区";"六矿区"},$L1568)=0),"※对外销售的去向只能是三矿区或六矿区",IF(AND($K1568="对外销售",ROUND($Q1568,0)=0),"※外销却没有售价，请填实际售价",IF(AND($K1568="对外销售",$T1568&lt;&gt;"",$T1568&lt;0),"※这一笔外销是亏的，请核对售价",IF(IFERROR(VLOOKUP($D1568,库存台账!$A$5:$Y$1204,24,0),0)&lt;-0.001,"※这个物料账面已经变成负数了，查一下是不是漏记入库","")))))))))))</f>
        <v/>
      </c>
    </row>
    <row r="1569">
      <c r="A1569" s="24">
        <f>IF($D1569="","",COUNTA($D$4:$D1569))</f>
        <v/>
      </c>
      <c r="B1569" s="17" t="n"/>
      <c r="C1569" s="30" t="n"/>
      <c r="D1569" s="17" t="n"/>
      <c r="E1569" s="24">
        <f>IF($D1569="","",IFERROR(VLOOKUP($D1569,物料档案!$A$4:$P$1203,3,0),"※编码不在物料档案里"))</f>
        <v/>
      </c>
      <c r="F1569" s="24">
        <f>IF($D1569="","",IFERROR(VLOOKUP($D1569,物料档案!$A$4:$P$1203,4,0),"※编码不在物料档案里"))</f>
        <v/>
      </c>
      <c r="G1569" s="24">
        <f>IF($D1569="","",IFERROR(VLOOKUP($D1569,物料档案!$A$4:$P$1203,5,0),"※编码不在物料档案里"))</f>
        <v/>
      </c>
      <c r="H1569" s="24">
        <f>IF($D1569="","",IFERROR(VLOOKUP($D1569,物料档案!$A$4:$P$1203,2,0),"※编码不在物料档案里"))</f>
        <v/>
      </c>
      <c r="I1569" s="24">
        <f>IF($D1569="","",IFERROR(VLOOKUP($D1569,物料档案!$A$4:$P$1203,6,0),"※编码不在物料档案里"))</f>
        <v/>
      </c>
      <c r="J1569" s="23" t="n"/>
      <c r="K1569" s="17" t="n"/>
      <c r="L1569" s="17" t="n"/>
      <c r="M1569" s="17" t="n"/>
      <c r="N1569" s="17" t="n"/>
      <c r="O1569" s="26">
        <f>IF($D1569="","",IFERROR(VLOOKUP($D1569,物料档案!$A$4:$P$1203,10,0),0))</f>
        <v/>
      </c>
      <c r="P1569" s="32" t="n"/>
      <c r="Q1569" s="26">
        <f>IF($D1569="","",IF($K1569&lt;&gt;"对外销售",0,ROUND(N($J1569)*IF($P1569="",N($O1569),N($P1569)),0)))</f>
        <v/>
      </c>
      <c r="R1569" s="26">
        <f>IF($D1569="","",IFERROR(VLOOKUP($D1569,库存台账!$A$5:$Y$1204,11,0),0))</f>
        <v/>
      </c>
      <c r="S1569" s="26">
        <f>IF($D1569="","",ROUND(N($J1569)*N($R1569),0))</f>
        <v/>
      </c>
      <c r="T1569" s="26">
        <f>IF($D1569="","",IF($K1569&lt;&gt;"对外销售","",ROUND($Q1569-$S1569,0)))</f>
        <v/>
      </c>
      <c r="U1569" s="17" t="n"/>
      <c r="V1569" s="17" t="n"/>
      <c r="W1569" s="24">
        <f>IF($D1569="","",IF($E1569="※编码不在物料档案里","※物料编码不在档案里",IF(N($J1569)&lt;=0,"※出库数量要大于 0",IF($K1569="","※没填去向类型",IF($L1569="","※没填去向矿区",IF(AND($C1569&lt;&gt;"",$C1569&lt;=结账锁),"※日期早于已结账截止日，不能再录",IF(AND($K1569="自用消耗",COUNTIF({"一矿区";"二矿区"},$L1569)=0),"※自用消耗的去向只能是一矿区或二矿区",IF(AND($K1569="对外销售",COUNTIF({"三矿区";"六矿区"},$L1569)=0),"※对外销售的去向只能是三矿区或六矿区",IF(AND($K1569="对外销售",ROUND($Q1569,0)=0),"※外销却没有售价，请填实际售价",IF(AND($K1569="对外销售",$T1569&lt;&gt;"",$T1569&lt;0),"※这一笔外销是亏的，请核对售价",IF(IFERROR(VLOOKUP($D1569,库存台账!$A$5:$Y$1204,24,0),0)&lt;-0.001,"※这个物料账面已经变成负数了，查一下是不是漏记入库","")))))))))))</f>
        <v/>
      </c>
    </row>
    <row r="1570">
      <c r="A1570" s="24">
        <f>IF($D1570="","",COUNTA($D$4:$D1570))</f>
        <v/>
      </c>
      <c r="B1570" s="17" t="n"/>
      <c r="C1570" s="30" t="n"/>
      <c r="D1570" s="17" t="n"/>
      <c r="E1570" s="24">
        <f>IF($D1570="","",IFERROR(VLOOKUP($D1570,物料档案!$A$4:$P$1203,3,0),"※编码不在物料档案里"))</f>
        <v/>
      </c>
      <c r="F1570" s="24">
        <f>IF($D1570="","",IFERROR(VLOOKUP($D1570,物料档案!$A$4:$P$1203,4,0),"※编码不在物料档案里"))</f>
        <v/>
      </c>
      <c r="G1570" s="24">
        <f>IF($D1570="","",IFERROR(VLOOKUP($D1570,物料档案!$A$4:$P$1203,5,0),"※编码不在物料档案里"))</f>
        <v/>
      </c>
      <c r="H1570" s="24">
        <f>IF($D1570="","",IFERROR(VLOOKUP($D1570,物料档案!$A$4:$P$1203,2,0),"※编码不在物料档案里"))</f>
        <v/>
      </c>
      <c r="I1570" s="24">
        <f>IF($D1570="","",IFERROR(VLOOKUP($D1570,物料档案!$A$4:$P$1203,6,0),"※编码不在物料档案里"))</f>
        <v/>
      </c>
      <c r="J1570" s="23" t="n"/>
      <c r="K1570" s="17" t="n"/>
      <c r="L1570" s="17" t="n"/>
      <c r="M1570" s="17" t="n"/>
      <c r="N1570" s="17" t="n"/>
      <c r="O1570" s="26">
        <f>IF($D1570="","",IFERROR(VLOOKUP($D1570,物料档案!$A$4:$P$1203,10,0),0))</f>
        <v/>
      </c>
      <c r="P1570" s="32" t="n"/>
      <c r="Q1570" s="26">
        <f>IF($D1570="","",IF($K1570&lt;&gt;"对外销售",0,ROUND(N($J1570)*IF($P1570="",N($O1570),N($P1570)),0)))</f>
        <v/>
      </c>
      <c r="R1570" s="26">
        <f>IF($D1570="","",IFERROR(VLOOKUP($D1570,库存台账!$A$5:$Y$1204,11,0),0))</f>
        <v/>
      </c>
      <c r="S1570" s="26">
        <f>IF($D1570="","",ROUND(N($J1570)*N($R1570),0))</f>
        <v/>
      </c>
      <c r="T1570" s="26">
        <f>IF($D1570="","",IF($K1570&lt;&gt;"对外销售","",ROUND($Q1570-$S1570,0)))</f>
        <v/>
      </c>
      <c r="U1570" s="17" t="n"/>
      <c r="V1570" s="17" t="n"/>
      <c r="W1570" s="24">
        <f>IF($D1570="","",IF($E1570="※编码不在物料档案里","※物料编码不在档案里",IF(N($J1570)&lt;=0,"※出库数量要大于 0",IF($K1570="","※没填去向类型",IF($L1570="","※没填去向矿区",IF(AND($C1570&lt;&gt;"",$C1570&lt;=结账锁),"※日期早于已结账截止日，不能再录",IF(AND($K1570="自用消耗",COUNTIF({"一矿区";"二矿区"},$L1570)=0),"※自用消耗的去向只能是一矿区或二矿区",IF(AND($K1570="对外销售",COUNTIF({"三矿区";"六矿区"},$L1570)=0),"※对外销售的去向只能是三矿区或六矿区",IF(AND($K1570="对外销售",ROUND($Q1570,0)=0),"※外销却没有售价，请填实际售价",IF(AND($K1570="对外销售",$T1570&lt;&gt;"",$T1570&lt;0),"※这一笔外销是亏的，请核对售价",IF(IFERROR(VLOOKUP($D1570,库存台账!$A$5:$Y$1204,24,0),0)&lt;-0.001,"※这个物料账面已经变成负数了，查一下是不是漏记入库","")))))))))))</f>
        <v/>
      </c>
    </row>
    <row r="1571">
      <c r="A1571" s="24">
        <f>IF($D1571="","",COUNTA($D$4:$D1571))</f>
        <v/>
      </c>
      <c r="B1571" s="17" t="n"/>
      <c r="C1571" s="30" t="n"/>
      <c r="D1571" s="17" t="n"/>
      <c r="E1571" s="24">
        <f>IF($D1571="","",IFERROR(VLOOKUP($D1571,物料档案!$A$4:$P$1203,3,0),"※编码不在物料档案里"))</f>
        <v/>
      </c>
      <c r="F1571" s="24">
        <f>IF($D1571="","",IFERROR(VLOOKUP($D1571,物料档案!$A$4:$P$1203,4,0),"※编码不在物料档案里"))</f>
        <v/>
      </c>
      <c r="G1571" s="24">
        <f>IF($D1571="","",IFERROR(VLOOKUP($D1571,物料档案!$A$4:$P$1203,5,0),"※编码不在物料档案里"))</f>
        <v/>
      </c>
      <c r="H1571" s="24">
        <f>IF($D1571="","",IFERROR(VLOOKUP($D1571,物料档案!$A$4:$P$1203,2,0),"※编码不在物料档案里"))</f>
        <v/>
      </c>
      <c r="I1571" s="24">
        <f>IF($D1571="","",IFERROR(VLOOKUP($D1571,物料档案!$A$4:$P$1203,6,0),"※编码不在物料档案里"))</f>
        <v/>
      </c>
      <c r="J1571" s="23" t="n"/>
      <c r="K1571" s="17" t="n"/>
      <c r="L1571" s="17" t="n"/>
      <c r="M1571" s="17" t="n"/>
      <c r="N1571" s="17" t="n"/>
      <c r="O1571" s="26">
        <f>IF($D1571="","",IFERROR(VLOOKUP($D1571,物料档案!$A$4:$P$1203,10,0),0))</f>
        <v/>
      </c>
      <c r="P1571" s="32" t="n"/>
      <c r="Q1571" s="26">
        <f>IF($D1571="","",IF($K1571&lt;&gt;"对外销售",0,ROUND(N($J1571)*IF($P1571="",N($O1571),N($P1571)),0)))</f>
        <v/>
      </c>
      <c r="R1571" s="26">
        <f>IF($D1571="","",IFERROR(VLOOKUP($D1571,库存台账!$A$5:$Y$1204,11,0),0))</f>
        <v/>
      </c>
      <c r="S1571" s="26">
        <f>IF($D1571="","",ROUND(N($J1571)*N($R1571),0))</f>
        <v/>
      </c>
      <c r="T1571" s="26">
        <f>IF($D1571="","",IF($K1571&lt;&gt;"对外销售","",ROUND($Q1571-$S1571,0)))</f>
        <v/>
      </c>
      <c r="U1571" s="17" t="n"/>
      <c r="V1571" s="17" t="n"/>
      <c r="W1571" s="24">
        <f>IF($D1571="","",IF($E1571="※编码不在物料档案里","※物料编码不在档案里",IF(N($J1571)&lt;=0,"※出库数量要大于 0",IF($K1571="","※没填去向类型",IF($L1571="","※没填去向矿区",IF(AND($C1571&lt;&gt;"",$C1571&lt;=结账锁),"※日期早于已结账截止日，不能再录",IF(AND($K1571="自用消耗",COUNTIF({"一矿区";"二矿区"},$L1571)=0),"※自用消耗的去向只能是一矿区或二矿区",IF(AND($K1571="对外销售",COUNTIF({"三矿区";"六矿区"},$L1571)=0),"※对外销售的去向只能是三矿区或六矿区",IF(AND($K1571="对外销售",ROUND($Q1571,0)=0),"※外销却没有售价，请填实际售价",IF(AND($K1571="对外销售",$T1571&lt;&gt;"",$T1571&lt;0),"※这一笔外销是亏的，请核对售价",IF(IFERROR(VLOOKUP($D1571,库存台账!$A$5:$Y$1204,24,0),0)&lt;-0.001,"※这个物料账面已经变成负数了，查一下是不是漏记入库","")))))))))))</f>
        <v/>
      </c>
    </row>
    <row r="1572">
      <c r="A1572" s="24">
        <f>IF($D1572="","",COUNTA($D$4:$D1572))</f>
        <v/>
      </c>
      <c r="B1572" s="17" t="n"/>
      <c r="C1572" s="30" t="n"/>
      <c r="D1572" s="17" t="n"/>
      <c r="E1572" s="24">
        <f>IF($D1572="","",IFERROR(VLOOKUP($D1572,物料档案!$A$4:$P$1203,3,0),"※编码不在物料档案里"))</f>
        <v/>
      </c>
      <c r="F1572" s="24">
        <f>IF($D1572="","",IFERROR(VLOOKUP($D1572,物料档案!$A$4:$P$1203,4,0),"※编码不在物料档案里"))</f>
        <v/>
      </c>
      <c r="G1572" s="24">
        <f>IF($D1572="","",IFERROR(VLOOKUP($D1572,物料档案!$A$4:$P$1203,5,0),"※编码不在物料档案里"))</f>
        <v/>
      </c>
      <c r="H1572" s="24">
        <f>IF($D1572="","",IFERROR(VLOOKUP($D1572,物料档案!$A$4:$P$1203,2,0),"※编码不在物料档案里"))</f>
        <v/>
      </c>
      <c r="I1572" s="24">
        <f>IF($D1572="","",IFERROR(VLOOKUP($D1572,物料档案!$A$4:$P$1203,6,0),"※编码不在物料档案里"))</f>
        <v/>
      </c>
      <c r="J1572" s="23" t="n"/>
      <c r="K1572" s="17" t="n"/>
      <c r="L1572" s="17" t="n"/>
      <c r="M1572" s="17" t="n"/>
      <c r="N1572" s="17" t="n"/>
      <c r="O1572" s="26">
        <f>IF($D1572="","",IFERROR(VLOOKUP($D1572,物料档案!$A$4:$P$1203,10,0),0))</f>
        <v/>
      </c>
      <c r="P1572" s="32" t="n"/>
      <c r="Q1572" s="26">
        <f>IF($D1572="","",IF($K1572&lt;&gt;"对外销售",0,ROUND(N($J1572)*IF($P1572="",N($O1572),N($P1572)),0)))</f>
        <v/>
      </c>
      <c r="R1572" s="26">
        <f>IF($D1572="","",IFERROR(VLOOKUP($D1572,库存台账!$A$5:$Y$1204,11,0),0))</f>
        <v/>
      </c>
      <c r="S1572" s="26">
        <f>IF($D1572="","",ROUND(N($J1572)*N($R1572),0))</f>
        <v/>
      </c>
      <c r="T1572" s="26">
        <f>IF($D1572="","",IF($K1572&lt;&gt;"对外销售","",ROUND($Q1572-$S1572,0)))</f>
        <v/>
      </c>
      <c r="U1572" s="17" t="n"/>
      <c r="V1572" s="17" t="n"/>
      <c r="W1572" s="24">
        <f>IF($D1572="","",IF($E1572="※编码不在物料档案里","※物料编码不在档案里",IF(N($J1572)&lt;=0,"※出库数量要大于 0",IF($K1572="","※没填去向类型",IF($L1572="","※没填去向矿区",IF(AND($C1572&lt;&gt;"",$C1572&lt;=结账锁),"※日期早于已结账截止日，不能再录",IF(AND($K1572="自用消耗",COUNTIF({"一矿区";"二矿区"},$L1572)=0),"※自用消耗的去向只能是一矿区或二矿区",IF(AND($K1572="对外销售",COUNTIF({"三矿区";"六矿区"},$L1572)=0),"※对外销售的去向只能是三矿区或六矿区",IF(AND($K1572="对外销售",ROUND($Q1572,0)=0),"※外销却没有售价，请填实际售价",IF(AND($K1572="对外销售",$T1572&lt;&gt;"",$T1572&lt;0),"※这一笔外销是亏的，请核对售价",IF(IFERROR(VLOOKUP($D1572,库存台账!$A$5:$Y$1204,24,0),0)&lt;-0.001,"※这个物料账面已经变成负数了，查一下是不是漏记入库","")))))))))))</f>
        <v/>
      </c>
    </row>
    <row r="1573">
      <c r="A1573" s="24">
        <f>IF($D1573="","",COUNTA($D$4:$D1573))</f>
        <v/>
      </c>
      <c r="B1573" s="17" t="n"/>
      <c r="C1573" s="30" t="n"/>
      <c r="D1573" s="17" t="n"/>
      <c r="E1573" s="24">
        <f>IF($D1573="","",IFERROR(VLOOKUP($D1573,物料档案!$A$4:$P$1203,3,0),"※编码不在物料档案里"))</f>
        <v/>
      </c>
      <c r="F1573" s="24">
        <f>IF($D1573="","",IFERROR(VLOOKUP($D1573,物料档案!$A$4:$P$1203,4,0),"※编码不在物料档案里"))</f>
        <v/>
      </c>
      <c r="G1573" s="24">
        <f>IF($D1573="","",IFERROR(VLOOKUP($D1573,物料档案!$A$4:$P$1203,5,0),"※编码不在物料档案里"))</f>
        <v/>
      </c>
      <c r="H1573" s="24">
        <f>IF($D1573="","",IFERROR(VLOOKUP($D1573,物料档案!$A$4:$P$1203,2,0),"※编码不在物料档案里"))</f>
        <v/>
      </c>
      <c r="I1573" s="24">
        <f>IF($D1573="","",IFERROR(VLOOKUP($D1573,物料档案!$A$4:$P$1203,6,0),"※编码不在物料档案里"))</f>
        <v/>
      </c>
      <c r="J1573" s="23" t="n"/>
      <c r="K1573" s="17" t="n"/>
      <c r="L1573" s="17" t="n"/>
      <c r="M1573" s="17" t="n"/>
      <c r="N1573" s="17" t="n"/>
      <c r="O1573" s="26">
        <f>IF($D1573="","",IFERROR(VLOOKUP($D1573,物料档案!$A$4:$P$1203,10,0),0))</f>
        <v/>
      </c>
      <c r="P1573" s="32" t="n"/>
      <c r="Q1573" s="26">
        <f>IF($D1573="","",IF($K1573&lt;&gt;"对外销售",0,ROUND(N($J1573)*IF($P1573="",N($O1573),N($P1573)),0)))</f>
        <v/>
      </c>
      <c r="R1573" s="26">
        <f>IF($D1573="","",IFERROR(VLOOKUP($D1573,库存台账!$A$5:$Y$1204,11,0),0))</f>
        <v/>
      </c>
      <c r="S1573" s="26">
        <f>IF($D1573="","",ROUND(N($J1573)*N($R1573),0))</f>
        <v/>
      </c>
      <c r="T1573" s="26">
        <f>IF($D1573="","",IF($K1573&lt;&gt;"对外销售","",ROUND($Q1573-$S1573,0)))</f>
        <v/>
      </c>
      <c r="U1573" s="17" t="n"/>
      <c r="V1573" s="17" t="n"/>
      <c r="W1573" s="24">
        <f>IF($D1573="","",IF($E1573="※编码不在物料档案里","※物料编码不在档案里",IF(N($J1573)&lt;=0,"※出库数量要大于 0",IF($K1573="","※没填去向类型",IF($L1573="","※没填去向矿区",IF(AND($C1573&lt;&gt;"",$C1573&lt;=结账锁),"※日期早于已结账截止日，不能再录",IF(AND($K1573="自用消耗",COUNTIF({"一矿区";"二矿区"},$L1573)=0),"※自用消耗的去向只能是一矿区或二矿区",IF(AND($K1573="对外销售",COUNTIF({"三矿区";"六矿区"},$L1573)=0),"※对外销售的去向只能是三矿区或六矿区",IF(AND($K1573="对外销售",ROUND($Q1573,0)=0),"※外销却没有售价，请填实际售价",IF(AND($K1573="对外销售",$T1573&lt;&gt;"",$T1573&lt;0),"※这一笔外销是亏的，请核对售价",IF(IFERROR(VLOOKUP($D1573,库存台账!$A$5:$Y$1204,24,0),0)&lt;-0.001,"※这个物料账面已经变成负数了，查一下是不是漏记入库","")))))))))))</f>
        <v/>
      </c>
    </row>
    <row r="1574">
      <c r="A1574" s="24">
        <f>IF($D1574="","",COUNTA($D$4:$D1574))</f>
        <v/>
      </c>
      <c r="B1574" s="17" t="n"/>
      <c r="C1574" s="30" t="n"/>
      <c r="D1574" s="17" t="n"/>
      <c r="E1574" s="24">
        <f>IF($D1574="","",IFERROR(VLOOKUP($D1574,物料档案!$A$4:$P$1203,3,0),"※编码不在物料档案里"))</f>
        <v/>
      </c>
      <c r="F1574" s="24">
        <f>IF($D1574="","",IFERROR(VLOOKUP($D1574,物料档案!$A$4:$P$1203,4,0),"※编码不在物料档案里"))</f>
        <v/>
      </c>
      <c r="G1574" s="24">
        <f>IF($D1574="","",IFERROR(VLOOKUP($D1574,物料档案!$A$4:$P$1203,5,0),"※编码不在物料档案里"))</f>
        <v/>
      </c>
      <c r="H1574" s="24">
        <f>IF($D1574="","",IFERROR(VLOOKUP($D1574,物料档案!$A$4:$P$1203,2,0),"※编码不在物料档案里"))</f>
        <v/>
      </c>
      <c r="I1574" s="24">
        <f>IF($D1574="","",IFERROR(VLOOKUP($D1574,物料档案!$A$4:$P$1203,6,0),"※编码不在物料档案里"))</f>
        <v/>
      </c>
      <c r="J1574" s="23" t="n"/>
      <c r="K1574" s="17" t="n"/>
      <c r="L1574" s="17" t="n"/>
      <c r="M1574" s="17" t="n"/>
      <c r="N1574" s="17" t="n"/>
      <c r="O1574" s="26">
        <f>IF($D1574="","",IFERROR(VLOOKUP($D1574,物料档案!$A$4:$P$1203,10,0),0))</f>
        <v/>
      </c>
      <c r="P1574" s="32" t="n"/>
      <c r="Q1574" s="26">
        <f>IF($D1574="","",IF($K1574&lt;&gt;"对外销售",0,ROUND(N($J1574)*IF($P1574="",N($O1574),N($P1574)),0)))</f>
        <v/>
      </c>
      <c r="R1574" s="26">
        <f>IF($D1574="","",IFERROR(VLOOKUP($D1574,库存台账!$A$5:$Y$1204,11,0),0))</f>
        <v/>
      </c>
      <c r="S1574" s="26">
        <f>IF($D1574="","",ROUND(N($J1574)*N($R1574),0))</f>
        <v/>
      </c>
      <c r="T1574" s="26">
        <f>IF($D1574="","",IF($K1574&lt;&gt;"对外销售","",ROUND($Q1574-$S1574,0)))</f>
        <v/>
      </c>
      <c r="U1574" s="17" t="n"/>
      <c r="V1574" s="17" t="n"/>
      <c r="W1574" s="24">
        <f>IF($D1574="","",IF($E1574="※编码不在物料档案里","※物料编码不在档案里",IF(N($J1574)&lt;=0,"※出库数量要大于 0",IF($K1574="","※没填去向类型",IF($L1574="","※没填去向矿区",IF(AND($C1574&lt;&gt;"",$C1574&lt;=结账锁),"※日期早于已结账截止日，不能再录",IF(AND($K1574="自用消耗",COUNTIF({"一矿区";"二矿区"},$L1574)=0),"※自用消耗的去向只能是一矿区或二矿区",IF(AND($K1574="对外销售",COUNTIF({"三矿区";"六矿区"},$L1574)=0),"※对外销售的去向只能是三矿区或六矿区",IF(AND($K1574="对外销售",ROUND($Q1574,0)=0),"※外销却没有售价，请填实际售价",IF(AND($K1574="对外销售",$T1574&lt;&gt;"",$T1574&lt;0),"※这一笔外销是亏的，请核对售价",IF(IFERROR(VLOOKUP($D1574,库存台账!$A$5:$Y$1204,24,0),0)&lt;-0.001,"※这个物料账面已经变成负数了，查一下是不是漏记入库","")))))))))))</f>
        <v/>
      </c>
    </row>
    <row r="1575">
      <c r="A1575" s="24">
        <f>IF($D1575="","",COUNTA($D$4:$D1575))</f>
        <v/>
      </c>
      <c r="B1575" s="17" t="n"/>
      <c r="C1575" s="30" t="n"/>
      <c r="D1575" s="17" t="n"/>
      <c r="E1575" s="24">
        <f>IF($D1575="","",IFERROR(VLOOKUP($D1575,物料档案!$A$4:$P$1203,3,0),"※编码不在物料档案里"))</f>
        <v/>
      </c>
      <c r="F1575" s="24">
        <f>IF($D1575="","",IFERROR(VLOOKUP($D1575,物料档案!$A$4:$P$1203,4,0),"※编码不在物料档案里"))</f>
        <v/>
      </c>
      <c r="G1575" s="24">
        <f>IF($D1575="","",IFERROR(VLOOKUP($D1575,物料档案!$A$4:$P$1203,5,0),"※编码不在物料档案里"))</f>
        <v/>
      </c>
      <c r="H1575" s="24">
        <f>IF($D1575="","",IFERROR(VLOOKUP($D1575,物料档案!$A$4:$P$1203,2,0),"※编码不在物料档案里"))</f>
        <v/>
      </c>
      <c r="I1575" s="24">
        <f>IF($D1575="","",IFERROR(VLOOKUP($D1575,物料档案!$A$4:$P$1203,6,0),"※编码不在物料档案里"))</f>
        <v/>
      </c>
      <c r="J1575" s="23" t="n"/>
      <c r="K1575" s="17" t="n"/>
      <c r="L1575" s="17" t="n"/>
      <c r="M1575" s="17" t="n"/>
      <c r="N1575" s="17" t="n"/>
      <c r="O1575" s="26">
        <f>IF($D1575="","",IFERROR(VLOOKUP($D1575,物料档案!$A$4:$P$1203,10,0),0))</f>
        <v/>
      </c>
      <c r="P1575" s="32" t="n"/>
      <c r="Q1575" s="26">
        <f>IF($D1575="","",IF($K1575&lt;&gt;"对外销售",0,ROUND(N($J1575)*IF($P1575="",N($O1575),N($P1575)),0)))</f>
        <v/>
      </c>
      <c r="R1575" s="26">
        <f>IF($D1575="","",IFERROR(VLOOKUP($D1575,库存台账!$A$5:$Y$1204,11,0),0))</f>
        <v/>
      </c>
      <c r="S1575" s="26">
        <f>IF($D1575="","",ROUND(N($J1575)*N($R1575),0))</f>
        <v/>
      </c>
      <c r="T1575" s="26">
        <f>IF($D1575="","",IF($K1575&lt;&gt;"对外销售","",ROUND($Q1575-$S1575,0)))</f>
        <v/>
      </c>
      <c r="U1575" s="17" t="n"/>
      <c r="V1575" s="17" t="n"/>
      <c r="W1575" s="24">
        <f>IF($D1575="","",IF($E1575="※编码不在物料档案里","※物料编码不在档案里",IF(N($J1575)&lt;=0,"※出库数量要大于 0",IF($K1575="","※没填去向类型",IF($L1575="","※没填去向矿区",IF(AND($C1575&lt;&gt;"",$C1575&lt;=结账锁),"※日期早于已结账截止日，不能再录",IF(AND($K1575="自用消耗",COUNTIF({"一矿区";"二矿区"},$L1575)=0),"※自用消耗的去向只能是一矿区或二矿区",IF(AND($K1575="对外销售",COUNTIF({"三矿区";"六矿区"},$L1575)=0),"※对外销售的去向只能是三矿区或六矿区",IF(AND($K1575="对外销售",ROUND($Q1575,0)=0),"※外销却没有售价，请填实际售价",IF(AND($K1575="对外销售",$T1575&lt;&gt;"",$T1575&lt;0),"※这一笔外销是亏的，请核对售价",IF(IFERROR(VLOOKUP($D1575,库存台账!$A$5:$Y$1204,24,0),0)&lt;-0.001,"※这个物料账面已经变成负数了，查一下是不是漏记入库","")))))))))))</f>
        <v/>
      </c>
    </row>
    <row r="1576">
      <c r="A1576" s="24">
        <f>IF($D1576="","",COUNTA($D$4:$D1576))</f>
        <v/>
      </c>
      <c r="B1576" s="17" t="n"/>
      <c r="C1576" s="30" t="n"/>
      <c r="D1576" s="17" t="n"/>
      <c r="E1576" s="24">
        <f>IF($D1576="","",IFERROR(VLOOKUP($D1576,物料档案!$A$4:$P$1203,3,0),"※编码不在物料档案里"))</f>
        <v/>
      </c>
      <c r="F1576" s="24">
        <f>IF($D1576="","",IFERROR(VLOOKUP($D1576,物料档案!$A$4:$P$1203,4,0),"※编码不在物料档案里"))</f>
        <v/>
      </c>
      <c r="G1576" s="24">
        <f>IF($D1576="","",IFERROR(VLOOKUP($D1576,物料档案!$A$4:$P$1203,5,0),"※编码不在物料档案里"))</f>
        <v/>
      </c>
      <c r="H1576" s="24">
        <f>IF($D1576="","",IFERROR(VLOOKUP($D1576,物料档案!$A$4:$P$1203,2,0),"※编码不在物料档案里"))</f>
        <v/>
      </c>
      <c r="I1576" s="24">
        <f>IF($D1576="","",IFERROR(VLOOKUP($D1576,物料档案!$A$4:$P$1203,6,0),"※编码不在物料档案里"))</f>
        <v/>
      </c>
      <c r="J1576" s="23" t="n"/>
      <c r="K1576" s="17" t="n"/>
      <c r="L1576" s="17" t="n"/>
      <c r="M1576" s="17" t="n"/>
      <c r="N1576" s="17" t="n"/>
      <c r="O1576" s="26">
        <f>IF($D1576="","",IFERROR(VLOOKUP($D1576,物料档案!$A$4:$P$1203,10,0),0))</f>
        <v/>
      </c>
      <c r="P1576" s="32" t="n"/>
      <c r="Q1576" s="26">
        <f>IF($D1576="","",IF($K1576&lt;&gt;"对外销售",0,ROUND(N($J1576)*IF($P1576="",N($O1576),N($P1576)),0)))</f>
        <v/>
      </c>
      <c r="R1576" s="26">
        <f>IF($D1576="","",IFERROR(VLOOKUP($D1576,库存台账!$A$5:$Y$1204,11,0),0))</f>
        <v/>
      </c>
      <c r="S1576" s="26">
        <f>IF($D1576="","",ROUND(N($J1576)*N($R1576),0))</f>
        <v/>
      </c>
      <c r="T1576" s="26">
        <f>IF($D1576="","",IF($K1576&lt;&gt;"对外销售","",ROUND($Q1576-$S1576,0)))</f>
        <v/>
      </c>
      <c r="U1576" s="17" t="n"/>
      <c r="V1576" s="17" t="n"/>
      <c r="W1576" s="24">
        <f>IF($D1576="","",IF($E1576="※编码不在物料档案里","※物料编码不在档案里",IF(N($J1576)&lt;=0,"※出库数量要大于 0",IF($K1576="","※没填去向类型",IF($L1576="","※没填去向矿区",IF(AND($C1576&lt;&gt;"",$C1576&lt;=结账锁),"※日期早于已结账截止日，不能再录",IF(AND($K1576="自用消耗",COUNTIF({"一矿区";"二矿区"},$L1576)=0),"※自用消耗的去向只能是一矿区或二矿区",IF(AND($K1576="对外销售",COUNTIF({"三矿区";"六矿区"},$L1576)=0),"※对外销售的去向只能是三矿区或六矿区",IF(AND($K1576="对外销售",ROUND($Q1576,0)=0),"※外销却没有售价，请填实际售价",IF(AND($K1576="对外销售",$T1576&lt;&gt;"",$T1576&lt;0),"※这一笔外销是亏的，请核对售价",IF(IFERROR(VLOOKUP($D1576,库存台账!$A$5:$Y$1204,24,0),0)&lt;-0.001,"※这个物料账面已经变成负数了，查一下是不是漏记入库","")))))))))))</f>
        <v/>
      </c>
    </row>
    <row r="1577">
      <c r="A1577" s="24">
        <f>IF($D1577="","",COUNTA($D$4:$D1577))</f>
        <v/>
      </c>
      <c r="B1577" s="17" t="n"/>
      <c r="C1577" s="30" t="n"/>
      <c r="D1577" s="17" t="n"/>
      <c r="E1577" s="24">
        <f>IF($D1577="","",IFERROR(VLOOKUP($D1577,物料档案!$A$4:$P$1203,3,0),"※编码不在物料档案里"))</f>
        <v/>
      </c>
      <c r="F1577" s="24">
        <f>IF($D1577="","",IFERROR(VLOOKUP($D1577,物料档案!$A$4:$P$1203,4,0),"※编码不在物料档案里"))</f>
        <v/>
      </c>
      <c r="G1577" s="24">
        <f>IF($D1577="","",IFERROR(VLOOKUP($D1577,物料档案!$A$4:$P$1203,5,0),"※编码不在物料档案里"))</f>
        <v/>
      </c>
      <c r="H1577" s="24">
        <f>IF($D1577="","",IFERROR(VLOOKUP($D1577,物料档案!$A$4:$P$1203,2,0),"※编码不在物料档案里"))</f>
        <v/>
      </c>
      <c r="I1577" s="24">
        <f>IF($D1577="","",IFERROR(VLOOKUP($D1577,物料档案!$A$4:$P$1203,6,0),"※编码不在物料档案里"))</f>
        <v/>
      </c>
      <c r="J1577" s="23" t="n"/>
      <c r="K1577" s="17" t="n"/>
      <c r="L1577" s="17" t="n"/>
      <c r="M1577" s="17" t="n"/>
      <c r="N1577" s="17" t="n"/>
      <c r="O1577" s="26">
        <f>IF($D1577="","",IFERROR(VLOOKUP($D1577,物料档案!$A$4:$P$1203,10,0),0))</f>
        <v/>
      </c>
      <c r="P1577" s="32" t="n"/>
      <c r="Q1577" s="26">
        <f>IF($D1577="","",IF($K1577&lt;&gt;"对外销售",0,ROUND(N($J1577)*IF($P1577="",N($O1577),N($P1577)),0)))</f>
        <v/>
      </c>
      <c r="R1577" s="26">
        <f>IF($D1577="","",IFERROR(VLOOKUP($D1577,库存台账!$A$5:$Y$1204,11,0),0))</f>
        <v/>
      </c>
      <c r="S1577" s="26">
        <f>IF($D1577="","",ROUND(N($J1577)*N($R1577),0))</f>
        <v/>
      </c>
      <c r="T1577" s="26">
        <f>IF($D1577="","",IF($K1577&lt;&gt;"对外销售","",ROUND($Q1577-$S1577,0)))</f>
        <v/>
      </c>
      <c r="U1577" s="17" t="n"/>
      <c r="V1577" s="17" t="n"/>
      <c r="W1577" s="24">
        <f>IF($D1577="","",IF($E1577="※编码不在物料档案里","※物料编码不在档案里",IF(N($J1577)&lt;=0,"※出库数量要大于 0",IF($K1577="","※没填去向类型",IF($L1577="","※没填去向矿区",IF(AND($C1577&lt;&gt;"",$C1577&lt;=结账锁),"※日期早于已结账截止日，不能再录",IF(AND($K1577="自用消耗",COUNTIF({"一矿区";"二矿区"},$L1577)=0),"※自用消耗的去向只能是一矿区或二矿区",IF(AND($K1577="对外销售",COUNTIF({"三矿区";"六矿区"},$L1577)=0),"※对外销售的去向只能是三矿区或六矿区",IF(AND($K1577="对外销售",ROUND($Q1577,0)=0),"※外销却没有售价，请填实际售价",IF(AND($K1577="对外销售",$T1577&lt;&gt;"",$T1577&lt;0),"※这一笔外销是亏的，请核对售价",IF(IFERROR(VLOOKUP($D1577,库存台账!$A$5:$Y$1204,24,0),0)&lt;-0.001,"※这个物料账面已经变成负数了，查一下是不是漏记入库","")))))))))))</f>
        <v/>
      </c>
    </row>
    <row r="1578">
      <c r="A1578" s="24">
        <f>IF($D1578="","",COUNTA($D$4:$D1578))</f>
        <v/>
      </c>
      <c r="B1578" s="17" t="n"/>
      <c r="C1578" s="30" t="n"/>
      <c r="D1578" s="17" t="n"/>
      <c r="E1578" s="24">
        <f>IF($D1578="","",IFERROR(VLOOKUP($D1578,物料档案!$A$4:$P$1203,3,0),"※编码不在物料档案里"))</f>
        <v/>
      </c>
      <c r="F1578" s="24">
        <f>IF($D1578="","",IFERROR(VLOOKUP($D1578,物料档案!$A$4:$P$1203,4,0),"※编码不在物料档案里"))</f>
        <v/>
      </c>
      <c r="G1578" s="24">
        <f>IF($D1578="","",IFERROR(VLOOKUP($D1578,物料档案!$A$4:$P$1203,5,0),"※编码不在物料档案里"))</f>
        <v/>
      </c>
      <c r="H1578" s="24">
        <f>IF($D1578="","",IFERROR(VLOOKUP($D1578,物料档案!$A$4:$P$1203,2,0),"※编码不在物料档案里"))</f>
        <v/>
      </c>
      <c r="I1578" s="24">
        <f>IF($D1578="","",IFERROR(VLOOKUP($D1578,物料档案!$A$4:$P$1203,6,0),"※编码不在物料档案里"))</f>
        <v/>
      </c>
      <c r="J1578" s="23" t="n"/>
      <c r="K1578" s="17" t="n"/>
      <c r="L1578" s="17" t="n"/>
      <c r="M1578" s="17" t="n"/>
      <c r="N1578" s="17" t="n"/>
      <c r="O1578" s="26">
        <f>IF($D1578="","",IFERROR(VLOOKUP($D1578,物料档案!$A$4:$P$1203,10,0),0))</f>
        <v/>
      </c>
      <c r="P1578" s="32" t="n"/>
      <c r="Q1578" s="26">
        <f>IF($D1578="","",IF($K1578&lt;&gt;"对外销售",0,ROUND(N($J1578)*IF($P1578="",N($O1578),N($P1578)),0)))</f>
        <v/>
      </c>
      <c r="R1578" s="26">
        <f>IF($D1578="","",IFERROR(VLOOKUP($D1578,库存台账!$A$5:$Y$1204,11,0),0))</f>
        <v/>
      </c>
      <c r="S1578" s="26">
        <f>IF($D1578="","",ROUND(N($J1578)*N($R1578),0))</f>
        <v/>
      </c>
      <c r="T1578" s="26">
        <f>IF($D1578="","",IF($K1578&lt;&gt;"对外销售","",ROUND($Q1578-$S1578,0)))</f>
        <v/>
      </c>
      <c r="U1578" s="17" t="n"/>
      <c r="V1578" s="17" t="n"/>
      <c r="W1578" s="24">
        <f>IF($D1578="","",IF($E1578="※编码不在物料档案里","※物料编码不在档案里",IF(N($J1578)&lt;=0,"※出库数量要大于 0",IF($K1578="","※没填去向类型",IF($L1578="","※没填去向矿区",IF(AND($C1578&lt;&gt;"",$C1578&lt;=结账锁),"※日期早于已结账截止日，不能再录",IF(AND($K1578="自用消耗",COUNTIF({"一矿区";"二矿区"},$L1578)=0),"※自用消耗的去向只能是一矿区或二矿区",IF(AND($K1578="对外销售",COUNTIF({"三矿区";"六矿区"},$L1578)=0),"※对外销售的去向只能是三矿区或六矿区",IF(AND($K1578="对外销售",ROUND($Q1578,0)=0),"※外销却没有售价，请填实际售价",IF(AND($K1578="对外销售",$T1578&lt;&gt;"",$T1578&lt;0),"※这一笔外销是亏的，请核对售价",IF(IFERROR(VLOOKUP($D1578,库存台账!$A$5:$Y$1204,24,0),0)&lt;-0.001,"※这个物料账面已经变成负数了，查一下是不是漏记入库","")))))))))))</f>
        <v/>
      </c>
    </row>
    <row r="1579">
      <c r="A1579" s="24">
        <f>IF($D1579="","",COUNTA($D$4:$D1579))</f>
        <v/>
      </c>
      <c r="B1579" s="17" t="n"/>
      <c r="C1579" s="30" t="n"/>
      <c r="D1579" s="17" t="n"/>
      <c r="E1579" s="24">
        <f>IF($D1579="","",IFERROR(VLOOKUP($D1579,物料档案!$A$4:$P$1203,3,0),"※编码不在物料档案里"))</f>
        <v/>
      </c>
      <c r="F1579" s="24">
        <f>IF($D1579="","",IFERROR(VLOOKUP($D1579,物料档案!$A$4:$P$1203,4,0),"※编码不在物料档案里"))</f>
        <v/>
      </c>
      <c r="G1579" s="24">
        <f>IF($D1579="","",IFERROR(VLOOKUP($D1579,物料档案!$A$4:$P$1203,5,0),"※编码不在物料档案里"))</f>
        <v/>
      </c>
      <c r="H1579" s="24">
        <f>IF($D1579="","",IFERROR(VLOOKUP($D1579,物料档案!$A$4:$P$1203,2,0),"※编码不在物料档案里"))</f>
        <v/>
      </c>
      <c r="I1579" s="24">
        <f>IF($D1579="","",IFERROR(VLOOKUP($D1579,物料档案!$A$4:$P$1203,6,0),"※编码不在物料档案里"))</f>
        <v/>
      </c>
      <c r="J1579" s="23" t="n"/>
      <c r="K1579" s="17" t="n"/>
      <c r="L1579" s="17" t="n"/>
      <c r="M1579" s="17" t="n"/>
      <c r="N1579" s="17" t="n"/>
      <c r="O1579" s="26">
        <f>IF($D1579="","",IFERROR(VLOOKUP($D1579,物料档案!$A$4:$P$1203,10,0),0))</f>
        <v/>
      </c>
      <c r="P1579" s="32" t="n"/>
      <c r="Q1579" s="26">
        <f>IF($D1579="","",IF($K1579&lt;&gt;"对外销售",0,ROUND(N($J1579)*IF($P1579="",N($O1579),N($P1579)),0)))</f>
        <v/>
      </c>
      <c r="R1579" s="26">
        <f>IF($D1579="","",IFERROR(VLOOKUP($D1579,库存台账!$A$5:$Y$1204,11,0),0))</f>
        <v/>
      </c>
      <c r="S1579" s="26">
        <f>IF($D1579="","",ROUND(N($J1579)*N($R1579),0))</f>
        <v/>
      </c>
      <c r="T1579" s="26">
        <f>IF($D1579="","",IF($K1579&lt;&gt;"对外销售","",ROUND($Q1579-$S1579,0)))</f>
        <v/>
      </c>
      <c r="U1579" s="17" t="n"/>
      <c r="V1579" s="17" t="n"/>
      <c r="W1579" s="24">
        <f>IF($D1579="","",IF($E1579="※编码不在物料档案里","※物料编码不在档案里",IF(N($J1579)&lt;=0,"※出库数量要大于 0",IF($K1579="","※没填去向类型",IF($L1579="","※没填去向矿区",IF(AND($C1579&lt;&gt;"",$C1579&lt;=结账锁),"※日期早于已结账截止日，不能再录",IF(AND($K1579="自用消耗",COUNTIF({"一矿区";"二矿区"},$L1579)=0),"※自用消耗的去向只能是一矿区或二矿区",IF(AND($K1579="对外销售",COUNTIF({"三矿区";"六矿区"},$L1579)=0),"※对外销售的去向只能是三矿区或六矿区",IF(AND($K1579="对外销售",ROUND($Q1579,0)=0),"※外销却没有售价，请填实际售价",IF(AND($K1579="对外销售",$T1579&lt;&gt;"",$T1579&lt;0),"※这一笔外销是亏的，请核对售价",IF(IFERROR(VLOOKUP($D1579,库存台账!$A$5:$Y$1204,24,0),0)&lt;-0.001,"※这个物料账面已经变成负数了，查一下是不是漏记入库","")))))))))))</f>
        <v/>
      </c>
    </row>
    <row r="1580">
      <c r="A1580" s="24">
        <f>IF($D1580="","",COUNTA($D$4:$D1580))</f>
        <v/>
      </c>
      <c r="B1580" s="17" t="n"/>
      <c r="C1580" s="30" t="n"/>
      <c r="D1580" s="17" t="n"/>
      <c r="E1580" s="24">
        <f>IF($D1580="","",IFERROR(VLOOKUP($D1580,物料档案!$A$4:$P$1203,3,0),"※编码不在物料档案里"))</f>
        <v/>
      </c>
      <c r="F1580" s="24">
        <f>IF($D1580="","",IFERROR(VLOOKUP($D1580,物料档案!$A$4:$P$1203,4,0),"※编码不在物料档案里"))</f>
        <v/>
      </c>
      <c r="G1580" s="24">
        <f>IF($D1580="","",IFERROR(VLOOKUP($D1580,物料档案!$A$4:$P$1203,5,0),"※编码不在物料档案里"))</f>
        <v/>
      </c>
      <c r="H1580" s="24">
        <f>IF($D1580="","",IFERROR(VLOOKUP($D1580,物料档案!$A$4:$P$1203,2,0),"※编码不在物料档案里"))</f>
        <v/>
      </c>
      <c r="I1580" s="24">
        <f>IF($D1580="","",IFERROR(VLOOKUP($D1580,物料档案!$A$4:$P$1203,6,0),"※编码不在物料档案里"))</f>
        <v/>
      </c>
      <c r="J1580" s="23" t="n"/>
      <c r="K1580" s="17" t="n"/>
      <c r="L1580" s="17" t="n"/>
      <c r="M1580" s="17" t="n"/>
      <c r="N1580" s="17" t="n"/>
      <c r="O1580" s="26">
        <f>IF($D1580="","",IFERROR(VLOOKUP($D1580,物料档案!$A$4:$P$1203,10,0),0))</f>
        <v/>
      </c>
      <c r="P1580" s="32" t="n"/>
      <c r="Q1580" s="26">
        <f>IF($D1580="","",IF($K1580&lt;&gt;"对外销售",0,ROUND(N($J1580)*IF($P1580="",N($O1580),N($P1580)),0)))</f>
        <v/>
      </c>
      <c r="R1580" s="26">
        <f>IF($D1580="","",IFERROR(VLOOKUP($D1580,库存台账!$A$5:$Y$1204,11,0),0))</f>
        <v/>
      </c>
      <c r="S1580" s="26">
        <f>IF($D1580="","",ROUND(N($J1580)*N($R1580),0))</f>
        <v/>
      </c>
      <c r="T1580" s="26">
        <f>IF($D1580="","",IF($K1580&lt;&gt;"对外销售","",ROUND($Q1580-$S1580,0)))</f>
        <v/>
      </c>
      <c r="U1580" s="17" t="n"/>
      <c r="V1580" s="17" t="n"/>
      <c r="W1580" s="24">
        <f>IF($D1580="","",IF($E1580="※编码不在物料档案里","※物料编码不在档案里",IF(N($J1580)&lt;=0,"※出库数量要大于 0",IF($K1580="","※没填去向类型",IF($L1580="","※没填去向矿区",IF(AND($C1580&lt;&gt;"",$C1580&lt;=结账锁),"※日期早于已结账截止日，不能再录",IF(AND($K1580="自用消耗",COUNTIF({"一矿区";"二矿区"},$L1580)=0),"※自用消耗的去向只能是一矿区或二矿区",IF(AND($K1580="对外销售",COUNTIF({"三矿区";"六矿区"},$L1580)=0),"※对外销售的去向只能是三矿区或六矿区",IF(AND($K1580="对外销售",ROUND($Q1580,0)=0),"※外销却没有售价，请填实际售价",IF(AND($K1580="对外销售",$T1580&lt;&gt;"",$T1580&lt;0),"※这一笔外销是亏的，请核对售价",IF(IFERROR(VLOOKUP($D1580,库存台账!$A$5:$Y$1204,24,0),0)&lt;-0.001,"※这个物料账面已经变成负数了，查一下是不是漏记入库","")))))))))))</f>
        <v/>
      </c>
    </row>
    <row r="1581">
      <c r="A1581" s="24">
        <f>IF($D1581="","",COUNTA($D$4:$D1581))</f>
        <v/>
      </c>
      <c r="B1581" s="17" t="n"/>
      <c r="C1581" s="30" t="n"/>
      <c r="D1581" s="17" t="n"/>
      <c r="E1581" s="24">
        <f>IF($D1581="","",IFERROR(VLOOKUP($D1581,物料档案!$A$4:$P$1203,3,0),"※编码不在物料档案里"))</f>
        <v/>
      </c>
      <c r="F1581" s="24">
        <f>IF($D1581="","",IFERROR(VLOOKUP($D1581,物料档案!$A$4:$P$1203,4,0),"※编码不在物料档案里"))</f>
        <v/>
      </c>
      <c r="G1581" s="24">
        <f>IF($D1581="","",IFERROR(VLOOKUP($D1581,物料档案!$A$4:$P$1203,5,0),"※编码不在物料档案里"))</f>
        <v/>
      </c>
      <c r="H1581" s="24">
        <f>IF($D1581="","",IFERROR(VLOOKUP($D1581,物料档案!$A$4:$P$1203,2,0),"※编码不在物料档案里"))</f>
        <v/>
      </c>
      <c r="I1581" s="24">
        <f>IF($D1581="","",IFERROR(VLOOKUP($D1581,物料档案!$A$4:$P$1203,6,0),"※编码不在物料档案里"))</f>
        <v/>
      </c>
      <c r="J1581" s="23" t="n"/>
      <c r="K1581" s="17" t="n"/>
      <c r="L1581" s="17" t="n"/>
      <c r="M1581" s="17" t="n"/>
      <c r="N1581" s="17" t="n"/>
      <c r="O1581" s="26">
        <f>IF($D1581="","",IFERROR(VLOOKUP($D1581,物料档案!$A$4:$P$1203,10,0),0))</f>
        <v/>
      </c>
      <c r="P1581" s="32" t="n"/>
      <c r="Q1581" s="26">
        <f>IF($D1581="","",IF($K1581&lt;&gt;"对外销售",0,ROUND(N($J1581)*IF($P1581="",N($O1581),N($P1581)),0)))</f>
        <v/>
      </c>
      <c r="R1581" s="26">
        <f>IF($D1581="","",IFERROR(VLOOKUP($D1581,库存台账!$A$5:$Y$1204,11,0),0))</f>
        <v/>
      </c>
      <c r="S1581" s="26">
        <f>IF($D1581="","",ROUND(N($J1581)*N($R1581),0))</f>
        <v/>
      </c>
      <c r="T1581" s="26">
        <f>IF($D1581="","",IF($K1581&lt;&gt;"对外销售","",ROUND($Q1581-$S1581,0)))</f>
        <v/>
      </c>
      <c r="U1581" s="17" t="n"/>
      <c r="V1581" s="17" t="n"/>
      <c r="W1581" s="24">
        <f>IF($D1581="","",IF($E1581="※编码不在物料档案里","※物料编码不在档案里",IF(N($J1581)&lt;=0,"※出库数量要大于 0",IF($K1581="","※没填去向类型",IF($L1581="","※没填去向矿区",IF(AND($C1581&lt;&gt;"",$C1581&lt;=结账锁),"※日期早于已结账截止日，不能再录",IF(AND($K1581="自用消耗",COUNTIF({"一矿区";"二矿区"},$L1581)=0),"※自用消耗的去向只能是一矿区或二矿区",IF(AND($K1581="对外销售",COUNTIF({"三矿区";"六矿区"},$L1581)=0),"※对外销售的去向只能是三矿区或六矿区",IF(AND($K1581="对外销售",ROUND($Q1581,0)=0),"※外销却没有售价，请填实际售价",IF(AND($K1581="对外销售",$T1581&lt;&gt;"",$T1581&lt;0),"※这一笔外销是亏的，请核对售价",IF(IFERROR(VLOOKUP($D1581,库存台账!$A$5:$Y$1204,24,0),0)&lt;-0.001,"※这个物料账面已经变成负数了，查一下是不是漏记入库","")))))))))))</f>
        <v/>
      </c>
    </row>
    <row r="1582">
      <c r="A1582" s="24">
        <f>IF($D1582="","",COUNTA($D$4:$D1582))</f>
        <v/>
      </c>
      <c r="B1582" s="17" t="n"/>
      <c r="C1582" s="30" t="n"/>
      <c r="D1582" s="17" t="n"/>
      <c r="E1582" s="24">
        <f>IF($D1582="","",IFERROR(VLOOKUP($D1582,物料档案!$A$4:$P$1203,3,0),"※编码不在物料档案里"))</f>
        <v/>
      </c>
      <c r="F1582" s="24">
        <f>IF($D1582="","",IFERROR(VLOOKUP($D1582,物料档案!$A$4:$P$1203,4,0),"※编码不在物料档案里"))</f>
        <v/>
      </c>
      <c r="G1582" s="24">
        <f>IF($D1582="","",IFERROR(VLOOKUP($D1582,物料档案!$A$4:$P$1203,5,0),"※编码不在物料档案里"))</f>
        <v/>
      </c>
      <c r="H1582" s="24">
        <f>IF($D1582="","",IFERROR(VLOOKUP($D1582,物料档案!$A$4:$P$1203,2,0),"※编码不在物料档案里"))</f>
        <v/>
      </c>
      <c r="I1582" s="24">
        <f>IF($D1582="","",IFERROR(VLOOKUP($D1582,物料档案!$A$4:$P$1203,6,0),"※编码不在物料档案里"))</f>
        <v/>
      </c>
      <c r="J1582" s="23" t="n"/>
      <c r="K1582" s="17" t="n"/>
      <c r="L1582" s="17" t="n"/>
      <c r="M1582" s="17" t="n"/>
      <c r="N1582" s="17" t="n"/>
      <c r="O1582" s="26">
        <f>IF($D1582="","",IFERROR(VLOOKUP($D1582,物料档案!$A$4:$P$1203,10,0),0))</f>
        <v/>
      </c>
      <c r="P1582" s="32" t="n"/>
      <c r="Q1582" s="26">
        <f>IF($D1582="","",IF($K1582&lt;&gt;"对外销售",0,ROUND(N($J1582)*IF($P1582="",N($O1582),N($P1582)),0)))</f>
        <v/>
      </c>
      <c r="R1582" s="26">
        <f>IF($D1582="","",IFERROR(VLOOKUP($D1582,库存台账!$A$5:$Y$1204,11,0),0))</f>
        <v/>
      </c>
      <c r="S1582" s="26">
        <f>IF($D1582="","",ROUND(N($J1582)*N($R1582),0))</f>
        <v/>
      </c>
      <c r="T1582" s="26">
        <f>IF($D1582="","",IF($K1582&lt;&gt;"对外销售","",ROUND($Q1582-$S1582,0)))</f>
        <v/>
      </c>
      <c r="U1582" s="17" t="n"/>
      <c r="V1582" s="17" t="n"/>
      <c r="W1582" s="24">
        <f>IF($D1582="","",IF($E1582="※编码不在物料档案里","※物料编码不在档案里",IF(N($J1582)&lt;=0,"※出库数量要大于 0",IF($K1582="","※没填去向类型",IF($L1582="","※没填去向矿区",IF(AND($C1582&lt;&gt;"",$C1582&lt;=结账锁),"※日期早于已结账截止日，不能再录",IF(AND($K1582="自用消耗",COUNTIF({"一矿区";"二矿区"},$L1582)=0),"※自用消耗的去向只能是一矿区或二矿区",IF(AND($K1582="对外销售",COUNTIF({"三矿区";"六矿区"},$L1582)=0),"※对外销售的去向只能是三矿区或六矿区",IF(AND($K1582="对外销售",ROUND($Q1582,0)=0),"※外销却没有售价，请填实际售价",IF(AND($K1582="对外销售",$T1582&lt;&gt;"",$T1582&lt;0),"※这一笔外销是亏的，请核对售价",IF(IFERROR(VLOOKUP($D1582,库存台账!$A$5:$Y$1204,24,0),0)&lt;-0.001,"※这个物料账面已经变成负数了，查一下是不是漏记入库","")))))))))))</f>
        <v/>
      </c>
    </row>
    <row r="1583">
      <c r="A1583" s="24">
        <f>IF($D1583="","",COUNTA($D$4:$D1583))</f>
        <v/>
      </c>
      <c r="B1583" s="17" t="n"/>
      <c r="C1583" s="30" t="n"/>
      <c r="D1583" s="17" t="n"/>
      <c r="E1583" s="24">
        <f>IF($D1583="","",IFERROR(VLOOKUP($D1583,物料档案!$A$4:$P$1203,3,0),"※编码不在物料档案里"))</f>
        <v/>
      </c>
      <c r="F1583" s="24">
        <f>IF($D1583="","",IFERROR(VLOOKUP($D1583,物料档案!$A$4:$P$1203,4,0),"※编码不在物料档案里"))</f>
        <v/>
      </c>
      <c r="G1583" s="24">
        <f>IF($D1583="","",IFERROR(VLOOKUP($D1583,物料档案!$A$4:$P$1203,5,0),"※编码不在物料档案里"))</f>
        <v/>
      </c>
      <c r="H1583" s="24">
        <f>IF($D1583="","",IFERROR(VLOOKUP($D1583,物料档案!$A$4:$P$1203,2,0),"※编码不在物料档案里"))</f>
        <v/>
      </c>
      <c r="I1583" s="24">
        <f>IF($D1583="","",IFERROR(VLOOKUP($D1583,物料档案!$A$4:$P$1203,6,0),"※编码不在物料档案里"))</f>
        <v/>
      </c>
      <c r="J1583" s="23" t="n"/>
      <c r="K1583" s="17" t="n"/>
      <c r="L1583" s="17" t="n"/>
      <c r="M1583" s="17" t="n"/>
      <c r="N1583" s="17" t="n"/>
      <c r="O1583" s="26">
        <f>IF($D1583="","",IFERROR(VLOOKUP($D1583,物料档案!$A$4:$P$1203,10,0),0))</f>
        <v/>
      </c>
      <c r="P1583" s="32" t="n"/>
      <c r="Q1583" s="26">
        <f>IF($D1583="","",IF($K1583&lt;&gt;"对外销售",0,ROUND(N($J1583)*IF($P1583="",N($O1583),N($P1583)),0)))</f>
        <v/>
      </c>
      <c r="R1583" s="26">
        <f>IF($D1583="","",IFERROR(VLOOKUP($D1583,库存台账!$A$5:$Y$1204,11,0),0))</f>
        <v/>
      </c>
      <c r="S1583" s="26">
        <f>IF($D1583="","",ROUND(N($J1583)*N($R1583),0))</f>
        <v/>
      </c>
      <c r="T1583" s="26">
        <f>IF($D1583="","",IF($K1583&lt;&gt;"对外销售","",ROUND($Q1583-$S1583,0)))</f>
        <v/>
      </c>
      <c r="U1583" s="17" t="n"/>
      <c r="V1583" s="17" t="n"/>
      <c r="W1583" s="24">
        <f>IF($D1583="","",IF($E1583="※编码不在物料档案里","※物料编码不在档案里",IF(N($J1583)&lt;=0,"※出库数量要大于 0",IF($K1583="","※没填去向类型",IF($L1583="","※没填去向矿区",IF(AND($C1583&lt;&gt;"",$C1583&lt;=结账锁),"※日期早于已结账截止日，不能再录",IF(AND($K1583="自用消耗",COUNTIF({"一矿区";"二矿区"},$L1583)=0),"※自用消耗的去向只能是一矿区或二矿区",IF(AND($K1583="对外销售",COUNTIF({"三矿区";"六矿区"},$L1583)=0),"※对外销售的去向只能是三矿区或六矿区",IF(AND($K1583="对外销售",ROUND($Q1583,0)=0),"※外销却没有售价，请填实际售价",IF(AND($K1583="对外销售",$T1583&lt;&gt;"",$T1583&lt;0),"※这一笔外销是亏的，请核对售价",IF(IFERROR(VLOOKUP($D1583,库存台账!$A$5:$Y$1204,24,0),0)&lt;-0.001,"※这个物料账面已经变成负数了，查一下是不是漏记入库","")))))))))))</f>
        <v/>
      </c>
    </row>
    <row r="1584">
      <c r="A1584" s="24">
        <f>IF($D1584="","",COUNTA($D$4:$D1584))</f>
        <v/>
      </c>
      <c r="B1584" s="17" t="n"/>
      <c r="C1584" s="30" t="n"/>
      <c r="D1584" s="17" t="n"/>
      <c r="E1584" s="24">
        <f>IF($D1584="","",IFERROR(VLOOKUP($D1584,物料档案!$A$4:$P$1203,3,0),"※编码不在物料档案里"))</f>
        <v/>
      </c>
      <c r="F1584" s="24">
        <f>IF($D1584="","",IFERROR(VLOOKUP($D1584,物料档案!$A$4:$P$1203,4,0),"※编码不在物料档案里"))</f>
        <v/>
      </c>
      <c r="G1584" s="24">
        <f>IF($D1584="","",IFERROR(VLOOKUP($D1584,物料档案!$A$4:$P$1203,5,0),"※编码不在物料档案里"))</f>
        <v/>
      </c>
      <c r="H1584" s="24">
        <f>IF($D1584="","",IFERROR(VLOOKUP($D1584,物料档案!$A$4:$P$1203,2,0),"※编码不在物料档案里"))</f>
        <v/>
      </c>
      <c r="I1584" s="24">
        <f>IF($D1584="","",IFERROR(VLOOKUP($D1584,物料档案!$A$4:$P$1203,6,0),"※编码不在物料档案里"))</f>
        <v/>
      </c>
      <c r="J1584" s="23" t="n"/>
      <c r="K1584" s="17" t="n"/>
      <c r="L1584" s="17" t="n"/>
      <c r="M1584" s="17" t="n"/>
      <c r="N1584" s="17" t="n"/>
      <c r="O1584" s="26">
        <f>IF($D1584="","",IFERROR(VLOOKUP($D1584,物料档案!$A$4:$P$1203,10,0),0))</f>
        <v/>
      </c>
      <c r="P1584" s="32" t="n"/>
      <c r="Q1584" s="26">
        <f>IF($D1584="","",IF($K1584&lt;&gt;"对外销售",0,ROUND(N($J1584)*IF($P1584="",N($O1584),N($P1584)),0)))</f>
        <v/>
      </c>
      <c r="R1584" s="26">
        <f>IF($D1584="","",IFERROR(VLOOKUP($D1584,库存台账!$A$5:$Y$1204,11,0),0))</f>
        <v/>
      </c>
      <c r="S1584" s="26">
        <f>IF($D1584="","",ROUND(N($J1584)*N($R1584),0))</f>
        <v/>
      </c>
      <c r="T1584" s="26">
        <f>IF($D1584="","",IF($K1584&lt;&gt;"对外销售","",ROUND($Q1584-$S1584,0)))</f>
        <v/>
      </c>
      <c r="U1584" s="17" t="n"/>
      <c r="V1584" s="17" t="n"/>
      <c r="W1584" s="24">
        <f>IF($D1584="","",IF($E1584="※编码不在物料档案里","※物料编码不在档案里",IF(N($J1584)&lt;=0,"※出库数量要大于 0",IF($K1584="","※没填去向类型",IF($L1584="","※没填去向矿区",IF(AND($C1584&lt;&gt;"",$C1584&lt;=结账锁),"※日期早于已结账截止日，不能再录",IF(AND($K1584="自用消耗",COUNTIF({"一矿区";"二矿区"},$L1584)=0),"※自用消耗的去向只能是一矿区或二矿区",IF(AND($K1584="对外销售",COUNTIF({"三矿区";"六矿区"},$L1584)=0),"※对外销售的去向只能是三矿区或六矿区",IF(AND($K1584="对外销售",ROUND($Q1584,0)=0),"※外销却没有售价，请填实际售价",IF(AND($K1584="对外销售",$T1584&lt;&gt;"",$T1584&lt;0),"※这一笔外销是亏的，请核对售价",IF(IFERROR(VLOOKUP($D1584,库存台账!$A$5:$Y$1204,24,0),0)&lt;-0.001,"※这个物料账面已经变成负数了，查一下是不是漏记入库","")))))))))))</f>
        <v/>
      </c>
    </row>
    <row r="1585">
      <c r="A1585" s="24">
        <f>IF($D1585="","",COUNTA($D$4:$D1585))</f>
        <v/>
      </c>
      <c r="B1585" s="17" t="n"/>
      <c r="C1585" s="30" t="n"/>
      <c r="D1585" s="17" t="n"/>
      <c r="E1585" s="24">
        <f>IF($D1585="","",IFERROR(VLOOKUP($D1585,物料档案!$A$4:$P$1203,3,0),"※编码不在物料档案里"))</f>
        <v/>
      </c>
      <c r="F1585" s="24">
        <f>IF($D1585="","",IFERROR(VLOOKUP($D1585,物料档案!$A$4:$P$1203,4,0),"※编码不在物料档案里"))</f>
        <v/>
      </c>
      <c r="G1585" s="24">
        <f>IF($D1585="","",IFERROR(VLOOKUP($D1585,物料档案!$A$4:$P$1203,5,0),"※编码不在物料档案里"))</f>
        <v/>
      </c>
      <c r="H1585" s="24">
        <f>IF($D1585="","",IFERROR(VLOOKUP($D1585,物料档案!$A$4:$P$1203,2,0),"※编码不在物料档案里"))</f>
        <v/>
      </c>
      <c r="I1585" s="24">
        <f>IF($D1585="","",IFERROR(VLOOKUP($D1585,物料档案!$A$4:$P$1203,6,0),"※编码不在物料档案里"))</f>
        <v/>
      </c>
      <c r="J1585" s="23" t="n"/>
      <c r="K1585" s="17" t="n"/>
      <c r="L1585" s="17" t="n"/>
      <c r="M1585" s="17" t="n"/>
      <c r="N1585" s="17" t="n"/>
      <c r="O1585" s="26">
        <f>IF($D1585="","",IFERROR(VLOOKUP($D1585,物料档案!$A$4:$P$1203,10,0),0))</f>
        <v/>
      </c>
      <c r="P1585" s="32" t="n"/>
      <c r="Q1585" s="26">
        <f>IF($D1585="","",IF($K1585&lt;&gt;"对外销售",0,ROUND(N($J1585)*IF($P1585="",N($O1585),N($P1585)),0)))</f>
        <v/>
      </c>
      <c r="R1585" s="26">
        <f>IF($D1585="","",IFERROR(VLOOKUP($D1585,库存台账!$A$5:$Y$1204,11,0),0))</f>
        <v/>
      </c>
      <c r="S1585" s="26">
        <f>IF($D1585="","",ROUND(N($J1585)*N($R1585),0))</f>
        <v/>
      </c>
      <c r="T1585" s="26">
        <f>IF($D1585="","",IF($K1585&lt;&gt;"对外销售","",ROUND($Q1585-$S1585,0)))</f>
        <v/>
      </c>
      <c r="U1585" s="17" t="n"/>
      <c r="V1585" s="17" t="n"/>
      <c r="W1585" s="24">
        <f>IF($D1585="","",IF($E1585="※编码不在物料档案里","※物料编码不在档案里",IF(N($J1585)&lt;=0,"※出库数量要大于 0",IF($K1585="","※没填去向类型",IF($L1585="","※没填去向矿区",IF(AND($C1585&lt;&gt;"",$C1585&lt;=结账锁),"※日期早于已结账截止日，不能再录",IF(AND($K1585="自用消耗",COUNTIF({"一矿区";"二矿区"},$L1585)=0),"※自用消耗的去向只能是一矿区或二矿区",IF(AND($K1585="对外销售",COUNTIF({"三矿区";"六矿区"},$L1585)=0),"※对外销售的去向只能是三矿区或六矿区",IF(AND($K1585="对外销售",ROUND($Q1585,0)=0),"※外销却没有售价，请填实际售价",IF(AND($K1585="对外销售",$T1585&lt;&gt;"",$T1585&lt;0),"※这一笔外销是亏的，请核对售价",IF(IFERROR(VLOOKUP($D1585,库存台账!$A$5:$Y$1204,24,0),0)&lt;-0.001,"※这个物料账面已经变成负数了，查一下是不是漏记入库","")))))))))))</f>
        <v/>
      </c>
    </row>
    <row r="1586">
      <c r="A1586" s="24">
        <f>IF($D1586="","",COUNTA($D$4:$D1586))</f>
        <v/>
      </c>
      <c r="B1586" s="17" t="n"/>
      <c r="C1586" s="30" t="n"/>
      <c r="D1586" s="17" t="n"/>
      <c r="E1586" s="24">
        <f>IF($D1586="","",IFERROR(VLOOKUP($D1586,物料档案!$A$4:$P$1203,3,0),"※编码不在物料档案里"))</f>
        <v/>
      </c>
      <c r="F1586" s="24">
        <f>IF($D1586="","",IFERROR(VLOOKUP($D1586,物料档案!$A$4:$P$1203,4,0),"※编码不在物料档案里"))</f>
        <v/>
      </c>
      <c r="G1586" s="24">
        <f>IF($D1586="","",IFERROR(VLOOKUP($D1586,物料档案!$A$4:$P$1203,5,0),"※编码不在物料档案里"))</f>
        <v/>
      </c>
      <c r="H1586" s="24">
        <f>IF($D1586="","",IFERROR(VLOOKUP($D1586,物料档案!$A$4:$P$1203,2,0),"※编码不在物料档案里"))</f>
        <v/>
      </c>
      <c r="I1586" s="24">
        <f>IF($D1586="","",IFERROR(VLOOKUP($D1586,物料档案!$A$4:$P$1203,6,0),"※编码不在物料档案里"))</f>
        <v/>
      </c>
      <c r="J1586" s="23" t="n"/>
      <c r="K1586" s="17" t="n"/>
      <c r="L1586" s="17" t="n"/>
      <c r="M1586" s="17" t="n"/>
      <c r="N1586" s="17" t="n"/>
      <c r="O1586" s="26">
        <f>IF($D1586="","",IFERROR(VLOOKUP($D1586,物料档案!$A$4:$P$1203,10,0),0))</f>
        <v/>
      </c>
      <c r="P1586" s="32" t="n"/>
      <c r="Q1586" s="26">
        <f>IF($D1586="","",IF($K1586&lt;&gt;"对外销售",0,ROUND(N($J1586)*IF($P1586="",N($O1586),N($P1586)),0)))</f>
        <v/>
      </c>
      <c r="R1586" s="26">
        <f>IF($D1586="","",IFERROR(VLOOKUP($D1586,库存台账!$A$5:$Y$1204,11,0),0))</f>
        <v/>
      </c>
      <c r="S1586" s="26">
        <f>IF($D1586="","",ROUND(N($J1586)*N($R1586),0))</f>
        <v/>
      </c>
      <c r="T1586" s="26">
        <f>IF($D1586="","",IF($K1586&lt;&gt;"对外销售","",ROUND($Q1586-$S1586,0)))</f>
        <v/>
      </c>
      <c r="U1586" s="17" t="n"/>
      <c r="V1586" s="17" t="n"/>
      <c r="W1586" s="24">
        <f>IF($D1586="","",IF($E1586="※编码不在物料档案里","※物料编码不在档案里",IF(N($J1586)&lt;=0,"※出库数量要大于 0",IF($K1586="","※没填去向类型",IF($L1586="","※没填去向矿区",IF(AND($C1586&lt;&gt;"",$C1586&lt;=结账锁),"※日期早于已结账截止日，不能再录",IF(AND($K1586="自用消耗",COUNTIF({"一矿区";"二矿区"},$L1586)=0),"※自用消耗的去向只能是一矿区或二矿区",IF(AND($K1586="对外销售",COUNTIF({"三矿区";"六矿区"},$L1586)=0),"※对外销售的去向只能是三矿区或六矿区",IF(AND($K1586="对外销售",ROUND($Q1586,0)=0),"※外销却没有售价，请填实际售价",IF(AND($K1586="对外销售",$T1586&lt;&gt;"",$T1586&lt;0),"※这一笔外销是亏的，请核对售价",IF(IFERROR(VLOOKUP($D1586,库存台账!$A$5:$Y$1204,24,0),0)&lt;-0.001,"※这个物料账面已经变成负数了，查一下是不是漏记入库","")))))))))))</f>
        <v/>
      </c>
    </row>
    <row r="1587">
      <c r="A1587" s="24">
        <f>IF($D1587="","",COUNTA($D$4:$D1587))</f>
        <v/>
      </c>
      <c r="B1587" s="17" t="n"/>
      <c r="C1587" s="30" t="n"/>
      <c r="D1587" s="17" t="n"/>
      <c r="E1587" s="24">
        <f>IF($D1587="","",IFERROR(VLOOKUP($D1587,物料档案!$A$4:$P$1203,3,0),"※编码不在物料档案里"))</f>
        <v/>
      </c>
      <c r="F1587" s="24">
        <f>IF($D1587="","",IFERROR(VLOOKUP($D1587,物料档案!$A$4:$P$1203,4,0),"※编码不在物料档案里"))</f>
        <v/>
      </c>
      <c r="G1587" s="24">
        <f>IF($D1587="","",IFERROR(VLOOKUP($D1587,物料档案!$A$4:$P$1203,5,0),"※编码不在物料档案里"))</f>
        <v/>
      </c>
      <c r="H1587" s="24">
        <f>IF($D1587="","",IFERROR(VLOOKUP($D1587,物料档案!$A$4:$P$1203,2,0),"※编码不在物料档案里"))</f>
        <v/>
      </c>
      <c r="I1587" s="24">
        <f>IF($D1587="","",IFERROR(VLOOKUP($D1587,物料档案!$A$4:$P$1203,6,0),"※编码不在物料档案里"))</f>
        <v/>
      </c>
      <c r="J1587" s="23" t="n"/>
      <c r="K1587" s="17" t="n"/>
      <c r="L1587" s="17" t="n"/>
      <c r="M1587" s="17" t="n"/>
      <c r="N1587" s="17" t="n"/>
      <c r="O1587" s="26">
        <f>IF($D1587="","",IFERROR(VLOOKUP($D1587,物料档案!$A$4:$P$1203,10,0),0))</f>
        <v/>
      </c>
      <c r="P1587" s="32" t="n"/>
      <c r="Q1587" s="26">
        <f>IF($D1587="","",IF($K1587&lt;&gt;"对外销售",0,ROUND(N($J1587)*IF($P1587="",N($O1587),N($P1587)),0)))</f>
        <v/>
      </c>
      <c r="R1587" s="26">
        <f>IF($D1587="","",IFERROR(VLOOKUP($D1587,库存台账!$A$5:$Y$1204,11,0),0))</f>
        <v/>
      </c>
      <c r="S1587" s="26">
        <f>IF($D1587="","",ROUND(N($J1587)*N($R1587),0))</f>
        <v/>
      </c>
      <c r="T1587" s="26">
        <f>IF($D1587="","",IF($K1587&lt;&gt;"对外销售","",ROUND($Q1587-$S1587,0)))</f>
        <v/>
      </c>
      <c r="U1587" s="17" t="n"/>
      <c r="V1587" s="17" t="n"/>
      <c r="W1587" s="24">
        <f>IF($D1587="","",IF($E1587="※编码不在物料档案里","※物料编码不在档案里",IF(N($J1587)&lt;=0,"※出库数量要大于 0",IF($K1587="","※没填去向类型",IF($L1587="","※没填去向矿区",IF(AND($C1587&lt;&gt;"",$C1587&lt;=结账锁),"※日期早于已结账截止日，不能再录",IF(AND($K1587="自用消耗",COUNTIF({"一矿区";"二矿区"},$L1587)=0),"※自用消耗的去向只能是一矿区或二矿区",IF(AND($K1587="对外销售",COUNTIF({"三矿区";"六矿区"},$L1587)=0),"※对外销售的去向只能是三矿区或六矿区",IF(AND($K1587="对外销售",ROUND($Q1587,0)=0),"※外销却没有售价，请填实际售价",IF(AND($K1587="对外销售",$T1587&lt;&gt;"",$T1587&lt;0),"※这一笔外销是亏的，请核对售价",IF(IFERROR(VLOOKUP($D1587,库存台账!$A$5:$Y$1204,24,0),0)&lt;-0.001,"※这个物料账面已经变成负数了，查一下是不是漏记入库","")))))))))))</f>
        <v/>
      </c>
    </row>
    <row r="1588">
      <c r="A1588" s="24">
        <f>IF($D1588="","",COUNTA($D$4:$D1588))</f>
        <v/>
      </c>
      <c r="B1588" s="17" t="n"/>
      <c r="C1588" s="30" t="n"/>
      <c r="D1588" s="17" t="n"/>
      <c r="E1588" s="24">
        <f>IF($D1588="","",IFERROR(VLOOKUP($D1588,物料档案!$A$4:$P$1203,3,0),"※编码不在物料档案里"))</f>
        <v/>
      </c>
      <c r="F1588" s="24">
        <f>IF($D1588="","",IFERROR(VLOOKUP($D1588,物料档案!$A$4:$P$1203,4,0),"※编码不在物料档案里"))</f>
        <v/>
      </c>
      <c r="G1588" s="24">
        <f>IF($D1588="","",IFERROR(VLOOKUP($D1588,物料档案!$A$4:$P$1203,5,0),"※编码不在物料档案里"))</f>
        <v/>
      </c>
      <c r="H1588" s="24">
        <f>IF($D1588="","",IFERROR(VLOOKUP($D1588,物料档案!$A$4:$P$1203,2,0),"※编码不在物料档案里"))</f>
        <v/>
      </c>
      <c r="I1588" s="24">
        <f>IF($D1588="","",IFERROR(VLOOKUP($D1588,物料档案!$A$4:$P$1203,6,0),"※编码不在物料档案里"))</f>
        <v/>
      </c>
      <c r="J1588" s="23" t="n"/>
      <c r="K1588" s="17" t="n"/>
      <c r="L1588" s="17" t="n"/>
      <c r="M1588" s="17" t="n"/>
      <c r="N1588" s="17" t="n"/>
      <c r="O1588" s="26">
        <f>IF($D1588="","",IFERROR(VLOOKUP($D1588,物料档案!$A$4:$P$1203,10,0),0))</f>
        <v/>
      </c>
      <c r="P1588" s="32" t="n"/>
      <c r="Q1588" s="26">
        <f>IF($D1588="","",IF($K1588&lt;&gt;"对外销售",0,ROUND(N($J1588)*IF($P1588="",N($O1588),N($P1588)),0)))</f>
        <v/>
      </c>
      <c r="R1588" s="26">
        <f>IF($D1588="","",IFERROR(VLOOKUP($D1588,库存台账!$A$5:$Y$1204,11,0),0))</f>
        <v/>
      </c>
      <c r="S1588" s="26">
        <f>IF($D1588="","",ROUND(N($J1588)*N($R1588),0))</f>
        <v/>
      </c>
      <c r="T1588" s="26">
        <f>IF($D1588="","",IF($K1588&lt;&gt;"对外销售","",ROUND($Q1588-$S1588,0)))</f>
        <v/>
      </c>
      <c r="U1588" s="17" t="n"/>
      <c r="V1588" s="17" t="n"/>
      <c r="W1588" s="24">
        <f>IF($D1588="","",IF($E1588="※编码不在物料档案里","※物料编码不在档案里",IF(N($J1588)&lt;=0,"※出库数量要大于 0",IF($K1588="","※没填去向类型",IF($L1588="","※没填去向矿区",IF(AND($C1588&lt;&gt;"",$C1588&lt;=结账锁),"※日期早于已结账截止日，不能再录",IF(AND($K1588="自用消耗",COUNTIF({"一矿区";"二矿区"},$L1588)=0),"※自用消耗的去向只能是一矿区或二矿区",IF(AND($K1588="对外销售",COUNTIF({"三矿区";"六矿区"},$L1588)=0),"※对外销售的去向只能是三矿区或六矿区",IF(AND($K1588="对外销售",ROUND($Q1588,0)=0),"※外销却没有售价，请填实际售价",IF(AND($K1588="对外销售",$T1588&lt;&gt;"",$T1588&lt;0),"※这一笔外销是亏的，请核对售价",IF(IFERROR(VLOOKUP($D1588,库存台账!$A$5:$Y$1204,24,0),0)&lt;-0.001,"※这个物料账面已经变成负数了，查一下是不是漏记入库","")))))))))))</f>
        <v/>
      </c>
    </row>
    <row r="1589">
      <c r="A1589" s="24">
        <f>IF($D1589="","",COUNTA($D$4:$D1589))</f>
        <v/>
      </c>
      <c r="B1589" s="17" t="n"/>
      <c r="C1589" s="30" t="n"/>
      <c r="D1589" s="17" t="n"/>
      <c r="E1589" s="24">
        <f>IF($D1589="","",IFERROR(VLOOKUP($D1589,物料档案!$A$4:$P$1203,3,0),"※编码不在物料档案里"))</f>
        <v/>
      </c>
      <c r="F1589" s="24">
        <f>IF($D1589="","",IFERROR(VLOOKUP($D1589,物料档案!$A$4:$P$1203,4,0),"※编码不在物料档案里"))</f>
        <v/>
      </c>
      <c r="G1589" s="24">
        <f>IF($D1589="","",IFERROR(VLOOKUP($D1589,物料档案!$A$4:$P$1203,5,0),"※编码不在物料档案里"))</f>
        <v/>
      </c>
      <c r="H1589" s="24">
        <f>IF($D1589="","",IFERROR(VLOOKUP($D1589,物料档案!$A$4:$P$1203,2,0),"※编码不在物料档案里"))</f>
        <v/>
      </c>
      <c r="I1589" s="24">
        <f>IF($D1589="","",IFERROR(VLOOKUP($D1589,物料档案!$A$4:$P$1203,6,0),"※编码不在物料档案里"))</f>
        <v/>
      </c>
      <c r="J1589" s="23" t="n"/>
      <c r="K1589" s="17" t="n"/>
      <c r="L1589" s="17" t="n"/>
      <c r="M1589" s="17" t="n"/>
      <c r="N1589" s="17" t="n"/>
      <c r="O1589" s="26">
        <f>IF($D1589="","",IFERROR(VLOOKUP($D1589,物料档案!$A$4:$P$1203,10,0),0))</f>
        <v/>
      </c>
      <c r="P1589" s="32" t="n"/>
      <c r="Q1589" s="26">
        <f>IF($D1589="","",IF($K1589&lt;&gt;"对外销售",0,ROUND(N($J1589)*IF($P1589="",N($O1589),N($P1589)),0)))</f>
        <v/>
      </c>
      <c r="R1589" s="26">
        <f>IF($D1589="","",IFERROR(VLOOKUP($D1589,库存台账!$A$5:$Y$1204,11,0),0))</f>
        <v/>
      </c>
      <c r="S1589" s="26">
        <f>IF($D1589="","",ROUND(N($J1589)*N($R1589),0))</f>
        <v/>
      </c>
      <c r="T1589" s="26">
        <f>IF($D1589="","",IF($K1589&lt;&gt;"对外销售","",ROUND($Q1589-$S1589,0)))</f>
        <v/>
      </c>
      <c r="U1589" s="17" t="n"/>
      <c r="V1589" s="17" t="n"/>
      <c r="W1589" s="24">
        <f>IF($D1589="","",IF($E1589="※编码不在物料档案里","※物料编码不在档案里",IF(N($J1589)&lt;=0,"※出库数量要大于 0",IF($K1589="","※没填去向类型",IF($L1589="","※没填去向矿区",IF(AND($C1589&lt;&gt;"",$C1589&lt;=结账锁),"※日期早于已结账截止日，不能再录",IF(AND($K1589="自用消耗",COUNTIF({"一矿区";"二矿区"},$L1589)=0),"※自用消耗的去向只能是一矿区或二矿区",IF(AND($K1589="对外销售",COUNTIF({"三矿区";"六矿区"},$L1589)=0),"※对外销售的去向只能是三矿区或六矿区",IF(AND($K1589="对外销售",ROUND($Q1589,0)=0),"※外销却没有售价，请填实际售价",IF(AND($K1589="对外销售",$T1589&lt;&gt;"",$T1589&lt;0),"※这一笔外销是亏的，请核对售价",IF(IFERROR(VLOOKUP($D1589,库存台账!$A$5:$Y$1204,24,0),0)&lt;-0.001,"※这个物料账面已经变成负数了，查一下是不是漏记入库","")))))))))))</f>
        <v/>
      </c>
    </row>
    <row r="1590">
      <c r="A1590" s="24">
        <f>IF($D1590="","",COUNTA($D$4:$D1590))</f>
        <v/>
      </c>
      <c r="B1590" s="17" t="n"/>
      <c r="C1590" s="30" t="n"/>
      <c r="D1590" s="17" t="n"/>
      <c r="E1590" s="24">
        <f>IF($D1590="","",IFERROR(VLOOKUP($D1590,物料档案!$A$4:$P$1203,3,0),"※编码不在物料档案里"))</f>
        <v/>
      </c>
      <c r="F1590" s="24">
        <f>IF($D1590="","",IFERROR(VLOOKUP($D1590,物料档案!$A$4:$P$1203,4,0),"※编码不在物料档案里"))</f>
        <v/>
      </c>
      <c r="G1590" s="24">
        <f>IF($D1590="","",IFERROR(VLOOKUP($D1590,物料档案!$A$4:$P$1203,5,0),"※编码不在物料档案里"))</f>
        <v/>
      </c>
      <c r="H1590" s="24">
        <f>IF($D1590="","",IFERROR(VLOOKUP($D1590,物料档案!$A$4:$P$1203,2,0),"※编码不在物料档案里"))</f>
        <v/>
      </c>
      <c r="I1590" s="24">
        <f>IF($D1590="","",IFERROR(VLOOKUP($D1590,物料档案!$A$4:$P$1203,6,0),"※编码不在物料档案里"))</f>
        <v/>
      </c>
      <c r="J1590" s="23" t="n"/>
      <c r="K1590" s="17" t="n"/>
      <c r="L1590" s="17" t="n"/>
      <c r="M1590" s="17" t="n"/>
      <c r="N1590" s="17" t="n"/>
      <c r="O1590" s="26">
        <f>IF($D1590="","",IFERROR(VLOOKUP($D1590,物料档案!$A$4:$P$1203,10,0),0))</f>
        <v/>
      </c>
      <c r="P1590" s="32" t="n"/>
      <c r="Q1590" s="26">
        <f>IF($D1590="","",IF($K1590&lt;&gt;"对外销售",0,ROUND(N($J1590)*IF($P1590="",N($O1590),N($P1590)),0)))</f>
        <v/>
      </c>
      <c r="R1590" s="26">
        <f>IF($D1590="","",IFERROR(VLOOKUP($D1590,库存台账!$A$5:$Y$1204,11,0),0))</f>
        <v/>
      </c>
      <c r="S1590" s="26">
        <f>IF($D1590="","",ROUND(N($J1590)*N($R1590),0))</f>
        <v/>
      </c>
      <c r="T1590" s="26">
        <f>IF($D1590="","",IF($K1590&lt;&gt;"对外销售","",ROUND($Q1590-$S1590,0)))</f>
        <v/>
      </c>
      <c r="U1590" s="17" t="n"/>
      <c r="V1590" s="17" t="n"/>
      <c r="W1590" s="24">
        <f>IF($D1590="","",IF($E1590="※编码不在物料档案里","※物料编码不在档案里",IF(N($J1590)&lt;=0,"※出库数量要大于 0",IF($K1590="","※没填去向类型",IF($L1590="","※没填去向矿区",IF(AND($C1590&lt;&gt;"",$C1590&lt;=结账锁),"※日期早于已结账截止日，不能再录",IF(AND($K1590="自用消耗",COUNTIF({"一矿区";"二矿区"},$L1590)=0),"※自用消耗的去向只能是一矿区或二矿区",IF(AND($K1590="对外销售",COUNTIF({"三矿区";"六矿区"},$L1590)=0),"※对外销售的去向只能是三矿区或六矿区",IF(AND($K1590="对外销售",ROUND($Q1590,0)=0),"※外销却没有售价，请填实际售价",IF(AND($K1590="对外销售",$T1590&lt;&gt;"",$T1590&lt;0),"※这一笔外销是亏的，请核对售价",IF(IFERROR(VLOOKUP($D1590,库存台账!$A$5:$Y$1204,24,0),0)&lt;-0.001,"※这个物料账面已经变成负数了，查一下是不是漏记入库","")))))))))))</f>
        <v/>
      </c>
    </row>
    <row r="1591">
      <c r="A1591" s="24">
        <f>IF($D1591="","",COUNTA($D$4:$D1591))</f>
        <v/>
      </c>
      <c r="B1591" s="17" t="n"/>
      <c r="C1591" s="30" t="n"/>
      <c r="D1591" s="17" t="n"/>
      <c r="E1591" s="24">
        <f>IF($D1591="","",IFERROR(VLOOKUP($D1591,物料档案!$A$4:$P$1203,3,0),"※编码不在物料档案里"))</f>
        <v/>
      </c>
      <c r="F1591" s="24">
        <f>IF($D1591="","",IFERROR(VLOOKUP($D1591,物料档案!$A$4:$P$1203,4,0),"※编码不在物料档案里"))</f>
        <v/>
      </c>
      <c r="G1591" s="24">
        <f>IF($D1591="","",IFERROR(VLOOKUP($D1591,物料档案!$A$4:$P$1203,5,0),"※编码不在物料档案里"))</f>
        <v/>
      </c>
      <c r="H1591" s="24">
        <f>IF($D1591="","",IFERROR(VLOOKUP($D1591,物料档案!$A$4:$P$1203,2,0),"※编码不在物料档案里"))</f>
        <v/>
      </c>
      <c r="I1591" s="24">
        <f>IF($D1591="","",IFERROR(VLOOKUP($D1591,物料档案!$A$4:$P$1203,6,0),"※编码不在物料档案里"))</f>
        <v/>
      </c>
      <c r="J1591" s="23" t="n"/>
      <c r="K1591" s="17" t="n"/>
      <c r="L1591" s="17" t="n"/>
      <c r="M1591" s="17" t="n"/>
      <c r="N1591" s="17" t="n"/>
      <c r="O1591" s="26">
        <f>IF($D1591="","",IFERROR(VLOOKUP($D1591,物料档案!$A$4:$P$1203,10,0),0))</f>
        <v/>
      </c>
      <c r="P1591" s="32" t="n"/>
      <c r="Q1591" s="26">
        <f>IF($D1591="","",IF($K1591&lt;&gt;"对外销售",0,ROUND(N($J1591)*IF($P1591="",N($O1591),N($P1591)),0)))</f>
        <v/>
      </c>
      <c r="R1591" s="26">
        <f>IF($D1591="","",IFERROR(VLOOKUP($D1591,库存台账!$A$5:$Y$1204,11,0),0))</f>
        <v/>
      </c>
      <c r="S1591" s="26">
        <f>IF($D1591="","",ROUND(N($J1591)*N($R1591),0))</f>
        <v/>
      </c>
      <c r="T1591" s="26">
        <f>IF($D1591="","",IF($K1591&lt;&gt;"对外销售","",ROUND($Q1591-$S1591,0)))</f>
        <v/>
      </c>
      <c r="U1591" s="17" t="n"/>
      <c r="V1591" s="17" t="n"/>
      <c r="W1591" s="24">
        <f>IF($D1591="","",IF($E1591="※编码不在物料档案里","※物料编码不在档案里",IF(N($J1591)&lt;=0,"※出库数量要大于 0",IF($K1591="","※没填去向类型",IF($L1591="","※没填去向矿区",IF(AND($C1591&lt;&gt;"",$C1591&lt;=结账锁),"※日期早于已结账截止日，不能再录",IF(AND($K1591="自用消耗",COUNTIF({"一矿区";"二矿区"},$L1591)=0),"※自用消耗的去向只能是一矿区或二矿区",IF(AND($K1591="对外销售",COUNTIF({"三矿区";"六矿区"},$L1591)=0),"※对外销售的去向只能是三矿区或六矿区",IF(AND($K1591="对外销售",ROUND($Q1591,0)=0),"※外销却没有售价，请填实际售价",IF(AND($K1591="对外销售",$T1591&lt;&gt;"",$T1591&lt;0),"※这一笔外销是亏的，请核对售价",IF(IFERROR(VLOOKUP($D1591,库存台账!$A$5:$Y$1204,24,0),0)&lt;-0.001,"※这个物料账面已经变成负数了，查一下是不是漏记入库","")))))))))))</f>
        <v/>
      </c>
    </row>
    <row r="1592">
      <c r="A1592" s="24">
        <f>IF($D1592="","",COUNTA($D$4:$D1592))</f>
        <v/>
      </c>
      <c r="B1592" s="17" t="n"/>
      <c r="C1592" s="30" t="n"/>
      <c r="D1592" s="17" t="n"/>
      <c r="E1592" s="24">
        <f>IF($D1592="","",IFERROR(VLOOKUP($D1592,物料档案!$A$4:$P$1203,3,0),"※编码不在物料档案里"))</f>
        <v/>
      </c>
      <c r="F1592" s="24">
        <f>IF($D1592="","",IFERROR(VLOOKUP($D1592,物料档案!$A$4:$P$1203,4,0),"※编码不在物料档案里"))</f>
        <v/>
      </c>
      <c r="G1592" s="24">
        <f>IF($D1592="","",IFERROR(VLOOKUP($D1592,物料档案!$A$4:$P$1203,5,0),"※编码不在物料档案里"))</f>
        <v/>
      </c>
      <c r="H1592" s="24">
        <f>IF($D1592="","",IFERROR(VLOOKUP($D1592,物料档案!$A$4:$P$1203,2,0),"※编码不在物料档案里"))</f>
        <v/>
      </c>
      <c r="I1592" s="24">
        <f>IF($D1592="","",IFERROR(VLOOKUP($D1592,物料档案!$A$4:$P$1203,6,0),"※编码不在物料档案里"))</f>
        <v/>
      </c>
      <c r="J1592" s="23" t="n"/>
      <c r="K1592" s="17" t="n"/>
      <c r="L1592" s="17" t="n"/>
      <c r="M1592" s="17" t="n"/>
      <c r="N1592" s="17" t="n"/>
      <c r="O1592" s="26">
        <f>IF($D1592="","",IFERROR(VLOOKUP($D1592,物料档案!$A$4:$P$1203,10,0),0))</f>
        <v/>
      </c>
      <c r="P1592" s="32" t="n"/>
      <c r="Q1592" s="26">
        <f>IF($D1592="","",IF($K1592&lt;&gt;"对外销售",0,ROUND(N($J1592)*IF($P1592="",N($O1592),N($P1592)),0)))</f>
        <v/>
      </c>
      <c r="R1592" s="26">
        <f>IF($D1592="","",IFERROR(VLOOKUP($D1592,库存台账!$A$5:$Y$1204,11,0),0))</f>
        <v/>
      </c>
      <c r="S1592" s="26">
        <f>IF($D1592="","",ROUND(N($J1592)*N($R1592),0))</f>
        <v/>
      </c>
      <c r="T1592" s="26">
        <f>IF($D1592="","",IF($K1592&lt;&gt;"对外销售","",ROUND($Q1592-$S1592,0)))</f>
        <v/>
      </c>
      <c r="U1592" s="17" t="n"/>
      <c r="V1592" s="17" t="n"/>
      <c r="W1592" s="24">
        <f>IF($D1592="","",IF($E1592="※编码不在物料档案里","※物料编码不在档案里",IF(N($J1592)&lt;=0,"※出库数量要大于 0",IF($K1592="","※没填去向类型",IF($L1592="","※没填去向矿区",IF(AND($C1592&lt;&gt;"",$C1592&lt;=结账锁),"※日期早于已结账截止日，不能再录",IF(AND($K1592="自用消耗",COUNTIF({"一矿区";"二矿区"},$L1592)=0),"※自用消耗的去向只能是一矿区或二矿区",IF(AND($K1592="对外销售",COUNTIF({"三矿区";"六矿区"},$L1592)=0),"※对外销售的去向只能是三矿区或六矿区",IF(AND($K1592="对外销售",ROUND($Q1592,0)=0),"※外销却没有售价，请填实际售价",IF(AND($K1592="对外销售",$T1592&lt;&gt;"",$T1592&lt;0),"※这一笔外销是亏的，请核对售价",IF(IFERROR(VLOOKUP($D1592,库存台账!$A$5:$Y$1204,24,0),0)&lt;-0.001,"※这个物料账面已经变成负数了，查一下是不是漏记入库","")))))))))))</f>
        <v/>
      </c>
    </row>
    <row r="1593">
      <c r="A1593" s="24">
        <f>IF($D1593="","",COUNTA($D$4:$D1593))</f>
        <v/>
      </c>
      <c r="B1593" s="17" t="n"/>
      <c r="C1593" s="30" t="n"/>
      <c r="D1593" s="17" t="n"/>
      <c r="E1593" s="24">
        <f>IF($D1593="","",IFERROR(VLOOKUP($D1593,物料档案!$A$4:$P$1203,3,0),"※编码不在物料档案里"))</f>
        <v/>
      </c>
      <c r="F1593" s="24">
        <f>IF($D1593="","",IFERROR(VLOOKUP($D1593,物料档案!$A$4:$P$1203,4,0),"※编码不在物料档案里"))</f>
        <v/>
      </c>
      <c r="G1593" s="24">
        <f>IF($D1593="","",IFERROR(VLOOKUP($D1593,物料档案!$A$4:$P$1203,5,0),"※编码不在物料档案里"))</f>
        <v/>
      </c>
      <c r="H1593" s="24">
        <f>IF($D1593="","",IFERROR(VLOOKUP($D1593,物料档案!$A$4:$P$1203,2,0),"※编码不在物料档案里"))</f>
        <v/>
      </c>
      <c r="I1593" s="24">
        <f>IF($D1593="","",IFERROR(VLOOKUP($D1593,物料档案!$A$4:$P$1203,6,0),"※编码不在物料档案里"))</f>
        <v/>
      </c>
      <c r="J1593" s="23" t="n"/>
      <c r="K1593" s="17" t="n"/>
      <c r="L1593" s="17" t="n"/>
      <c r="M1593" s="17" t="n"/>
      <c r="N1593" s="17" t="n"/>
      <c r="O1593" s="26">
        <f>IF($D1593="","",IFERROR(VLOOKUP($D1593,物料档案!$A$4:$P$1203,10,0),0))</f>
        <v/>
      </c>
      <c r="P1593" s="32" t="n"/>
      <c r="Q1593" s="26">
        <f>IF($D1593="","",IF($K1593&lt;&gt;"对外销售",0,ROUND(N($J1593)*IF($P1593="",N($O1593),N($P1593)),0)))</f>
        <v/>
      </c>
      <c r="R1593" s="26">
        <f>IF($D1593="","",IFERROR(VLOOKUP($D1593,库存台账!$A$5:$Y$1204,11,0),0))</f>
        <v/>
      </c>
      <c r="S1593" s="26">
        <f>IF($D1593="","",ROUND(N($J1593)*N($R1593),0))</f>
        <v/>
      </c>
      <c r="T1593" s="26">
        <f>IF($D1593="","",IF($K1593&lt;&gt;"对外销售","",ROUND($Q1593-$S1593,0)))</f>
        <v/>
      </c>
      <c r="U1593" s="17" t="n"/>
      <c r="V1593" s="17" t="n"/>
      <c r="W1593" s="24">
        <f>IF($D1593="","",IF($E1593="※编码不在物料档案里","※物料编码不在档案里",IF(N($J1593)&lt;=0,"※出库数量要大于 0",IF($K1593="","※没填去向类型",IF($L1593="","※没填去向矿区",IF(AND($C1593&lt;&gt;"",$C1593&lt;=结账锁),"※日期早于已结账截止日，不能再录",IF(AND($K1593="自用消耗",COUNTIF({"一矿区";"二矿区"},$L1593)=0),"※自用消耗的去向只能是一矿区或二矿区",IF(AND($K1593="对外销售",COUNTIF({"三矿区";"六矿区"},$L1593)=0),"※对外销售的去向只能是三矿区或六矿区",IF(AND($K1593="对外销售",ROUND($Q1593,0)=0),"※外销却没有售价，请填实际售价",IF(AND($K1593="对外销售",$T1593&lt;&gt;"",$T1593&lt;0),"※这一笔外销是亏的，请核对售价",IF(IFERROR(VLOOKUP($D1593,库存台账!$A$5:$Y$1204,24,0),0)&lt;-0.001,"※这个物料账面已经变成负数了，查一下是不是漏记入库","")))))))))))</f>
        <v/>
      </c>
    </row>
    <row r="1594">
      <c r="A1594" s="24">
        <f>IF($D1594="","",COUNTA($D$4:$D1594))</f>
        <v/>
      </c>
      <c r="B1594" s="17" t="n"/>
      <c r="C1594" s="30" t="n"/>
      <c r="D1594" s="17" t="n"/>
      <c r="E1594" s="24">
        <f>IF($D1594="","",IFERROR(VLOOKUP($D1594,物料档案!$A$4:$P$1203,3,0),"※编码不在物料档案里"))</f>
        <v/>
      </c>
      <c r="F1594" s="24">
        <f>IF($D1594="","",IFERROR(VLOOKUP($D1594,物料档案!$A$4:$P$1203,4,0),"※编码不在物料档案里"))</f>
        <v/>
      </c>
      <c r="G1594" s="24">
        <f>IF($D1594="","",IFERROR(VLOOKUP($D1594,物料档案!$A$4:$P$1203,5,0),"※编码不在物料档案里"))</f>
        <v/>
      </c>
      <c r="H1594" s="24">
        <f>IF($D1594="","",IFERROR(VLOOKUP($D1594,物料档案!$A$4:$P$1203,2,0),"※编码不在物料档案里"))</f>
        <v/>
      </c>
      <c r="I1594" s="24">
        <f>IF($D1594="","",IFERROR(VLOOKUP($D1594,物料档案!$A$4:$P$1203,6,0),"※编码不在物料档案里"))</f>
        <v/>
      </c>
      <c r="J1594" s="23" t="n"/>
      <c r="K1594" s="17" t="n"/>
      <c r="L1594" s="17" t="n"/>
      <c r="M1594" s="17" t="n"/>
      <c r="N1594" s="17" t="n"/>
      <c r="O1594" s="26">
        <f>IF($D1594="","",IFERROR(VLOOKUP($D1594,物料档案!$A$4:$P$1203,10,0),0))</f>
        <v/>
      </c>
      <c r="P1594" s="32" t="n"/>
      <c r="Q1594" s="26">
        <f>IF($D1594="","",IF($K1594&lt;&gt;"对外销售",0,ROUND(N($J1594)*IF($P1594="",N($O1594),N($P1594)),0)))</f>
        <v/>
      </c>
      <c r="R1594" s="26">
        <f>IF($D1594="","",IFERROR(VLOOKUP($D1594,库存台账!$A$5:$Y$1204,11,0),0))</f>
        <v/>
      </c>
      <c r="S1594" s="26">
        <f>IF($D1594="","",ROUND(N($J1594)*N($R1594),0))</f>
        <v/>
      </c>
      <c r="T1594" s="26">
        <f>IF($D1594="","",IF($K1594&lt;&gt;"对外销售","",ROUND($Q1594-$S1594,0)))</f>
        <v/>
      </c>
      <c r="U1594" s="17" t="n"/>
      <c r="V1594" s="17" t="n"/>
      <c r="W1594" s="24">
        <f>IF($D1594="","",IF($E1594="※编码不在物料档案里","※物料编码不在档案里",IF(N($J1594)&lt;=0,"※出库数量要大于 0",IF($K1594="","※没填去向类型",IF($L1594="","※没填去向矿区",IF(AND($C1594&lt;&gt;"",$C1594&lt;=结账锁),"※日期早于已结账截止日，不能再录",IF(AND($K1594="自用消耗",COUNTIF({"一矿区";"二矿区"},$L1594)=0),"※自用消耗的去向只能是一矿区或二矿区",IF(AND($K1594="对外销售",COUNTIF({"三矿区";"六矿区"},$L1594)=0),"※对外销售的去向只能是三矿区或六矿区",IF(AND($K1594="对外销售",ROUND($Q1594,0)=0),"※外销却没有售价，请填实际售价",IF(AND($K1594="对外销售",$T1594&lt;&gt;"",$T1594&lt;0),"※这一笔外销是亏的，请核对售价",IF(IFERROR(VLOOKUP($D1594,库存台账!$A$5:$Y$1204,24,0),0)&lt;-0.001,"※这个物料账面已经变成负数了，查一下是不是漏记入库","")))))))))))</f>
        <v/>
      </c>
    </row>
    <row r="1595">
      <c r="A1595" s="24">
        <f>IF($D1595="","",COUNTA($D$4:$D1595))</f>
        <v/>
      </c>
      <c r="B1595" s="17" t="n"/>
      <c r="C1595" s="30" t="n"/>
      <c r="D1595" s="17" t="n"/>
      <c r="E1595" s="24">
        <f>IF($D1595="","",IFERROR(VLOOKUP($D1595,物料档案!$A$4:$P$1203,3,0),"※编码不在物料档案里"))</f>
        <v/>
      </c>
      <c r="F1595" s="24">
        <f>IF($D1595="","",IFERROR(VLOOKUP($D1595,物料档案!$A$4:$P$1203,4,0),"※编码不在物料档案里"))</f>
        <v/>
      </c>
      <c r="G1595" s="24">
        <f>IF($D1595="","",IFERROR(VLOOKUP($D1595,物料档案!$A$4:$P$1203,5,0),"※编码不在物料档案里"))</f>
        <v/>
      </c>
      <c r="H1595" s="24">
        <f>IF($D1595="","",IFERROR(VLOOKUP($D1595,物料档案!$A$4:$P$1203,2,0),"※编码不在物料档案里"))</f>
        <v/>
      </c>
      <c r="I1595" s="24">
        <f>IF($D1595="","",IFERROR(VLOOKUP($D1595,物料档案!$A$4:$P$1203,6,0),"※编码不在物料档案里"))</f>
        <v/>
      </c>
      <c r="J1595" s="23" t="n"/>
      <c r="K1595" s="17" t="n"/>
      <c r="L1595" s="17" t="n"/>
      <c r="M1595" s="17" t="n"/>
      <c r="N1595" s="17" t="n"/>
      <c r="O1595" s="26">
        <f>IF($D1595="","",IFERROR(VLOOKUP($D1595,物料档案!$A$4:$P$1203,10,0),0))</f>
        <v/>
      </c>
      <c r="P1595" s="32" t="n"/>
      <c r="Q1595" s="26">
        <f>IF($D1595="","",IF($K1595&lt;&gt;"对外销售",0,ROUND(N($J1595)*IF($P1595="",N($O1595),N($P1595)),0)))</f>
        <v/>
      </c>
      <c r="R1595" s="26">
        <f>IF($D1595="","",IFERROR(VLOOKUP($D1595,库存台账!$A$5:$Y$1204,11,0),0))</f>
        <v/>
      </c>
      <c r="S1595" s="26">
        <f>IF($D1595="","",ROUND(N($J1595)*N($R1595),0))</f>
        <v/>
      </c>
      <c r="T1595" s="26">
        <f>IF($D1595="","",IF($K1595&lt;&gt;"对外销售","",ROUND($Q1595-$S1595,0)))</f>
        <v/>
      </c>
      <c r="U1595" s="17" t="n"/>
      <c r="V1595" s="17" t="n"/>
      <c r="W1595" s="24">
        <f>IF($D1595="","",IF($E1595="※编码不在物料档案里","※物料编码不在档案里",IF(N($J1595)&lt;=0,"※出库数量要大于 0",IF($K1595="","※没填去向类型",IF($L1595="","※没填去向矿区",IF(AND($C1595&lt;&gt;"",$C1595&lt;=结账锁),"※日期早于已结账截止日，不能再录",IF(AND($K1595="自用消耗",COUNTIF({"一矿区";"二矿区"},$L1595)=0),"※自用消耗的去向只能是一矿区或二矿区",IF(AND($K1595="对外销售",COUNTIF({"三矿区";"六矿区"},$L1595)=0),"※对外销售的去向只能是三矿区或六矿区",IF(AND($K1595="对外销售",ROUND($Q1595,0)=0),"※外销却没有售价，请填实际售价",IF(AND($K1595="对外销售",$T1595&lt;&gt;"",$T1595&lt;0),"※这一笔外销是亏的，请核对售价",IF(IFERROR(VLOOKUP($D1595,库存台账!$A$5:$Y$1204,24,0),0)&lt;-0.001,"※这个物料账面已经变成负数了，查一下是不是漏记入库","")))))))))))</f>
        <v/>
      </c>
    </row>
    <row r="1596">
      <c r="A1596" s="24">
        <f>IF($D1596="","",COUNTA($D$4:$D1596))</f>
        <v/>
      </c>
      <c r="B1596" s="17" t="n"/>
      <c r="C1596" s="30" t="n"/>
      <c r="D1596" s="17" t="n"/>
      <c r="E1596" s="24">
        <f>IF($D1596="","",IFERROR(VLOOKUP($D1596,物料档案!$A$4:$P$1203,3,0),"※编码不在物料档案里"))</f>
        <v/>
      </c>
      <c r="F1596" s="24">
        <f>IF($D1596="","",IFERROR(VLOOKUP($D1596,物料档案!$A$4:$P$1203,4,0),"※编码不在物料档案里"))</f>
        <v/>
      </c>
      <c r="G1596" s="24">
        <f>IF($D1596="","",IFERROR(VLOOKUP($D1596,物料档案!$A$4:$P$1203,5,0),"※编码不在物料档案里"))</f>
        <v/>
      </c>
      <c r="H1596" s="24">
        <f>IF($D1596="","",IFERROR(VLOOKUP($D1596,物料档案!$A$4:$P$1203,2,0),"※编码不在物料档案里"))</f>
        <v/>
      </c>
      <c r="I1596" s="24">
        <f>IF($D1596="","",IFERROR(VLOOKUP($D1596,物料档案!$A$4:$P$1203,6,0),"※编码不在物料档案里"))</f>
        <v/>
      </c>
      <c r="J1596" s="23" t="n"/>
      <c r="K1596" s="17" t="n"/>
      <c r="L1596" s="17" t="n"/>
      <c r="M1596" s="17" t="n"/>
      <c r="N1596" s="17" t="n"/>
      <c r="O1596" s="26">
        <f>IF($D1596="","",IFERROR(VLOOKUP($D1596,物料档案!$A$4:$P$1203,10,0),0))</f>
        <v/>
      </c>
      <c r="P1596" s="32" t="n"/>
      <c r="Q1596" s="26">
        <f>IF($D1596="","",IF($K1596&lt;&gt;"对外销售",0,ROUND(N($J1596)*IF($P1596="",N($O1596),N($P1596)),0)))</f>
        <v/>
      </c>
      <c r="R1596" s="26">
        <f>IF($D1596="","",IFERROR(VLOOKUP($D1596,库存台账!$A$5:$Y$1204,11,0),0))</f>
        <v/>
      </c>
      <c r="S1596" s="26">
        <f>IF($D1596="","",ROUND(N($J1596)*N($R1596),0))</f>
        <v/>
      </c>
      <c r="T1596" s="26">
        <f>IF($D1596="","",IF($K1596&lt;&gt;"对外销售","",ROUND($Q1596-$S1596,0)))</f>
        <v/>
      </c>
      <c r="U1596" s="17" t="n"/>
      <c r="V1596" s="17" t="n"/>
      <c r="W1596" s="24">
        <f>IF($D1596="","",IF($E1596="※编码不在物料档案里","※物料编码不在档案里",IF(N($J1596)&lt;=0,"※出库数量要大于 0",IF($K1596="","※没填去向类型",IF($L1596="","※没填去向矿区",IF(AND($C1596&lt;&gt;"",$C1596&lt;=结账锁),"※日期早于已结账截止日，不能再录",IF(AND($K1596="自用消耗",COUNTIF({"一矿区";"二矿区"},$L1596)=0),"※自用消耗的去向只能是一矿区或二矿区",IF(AND($K1596="对外销售",COUNTIF({"三矿区";"六矿区"},$L1596)=0),"※对外销售的去向只能是三矿区或六矿区",IF(AND($K1596="对外销售",ROUND($Q1596,0)=0),"※外销却没有售价，请填实际售价",IF(AND($K1596="对外销售",$T1596&lt;&gt;"",$T1596&lt;0),"※这一笔外销是亏的，请核对售价",IF(IFERROR(VLOOKUP($D1596,库存台账!$A$5:$Y$1204,24,0),0)&lt;-0.001,"※这个物料账面已经变成负数了，查一下是不是漏记入库","")))))))))))</f>
        <v/>
      </c>
    </row>
    <row r="1597">
      <c r="A1597" s="24">
        <f>IF($D1597="","",COUNTA($D$4:$D1597))</f>
        <v/>
      </c>
      <c r="B1597" s="17" t="n"/>
      <c r="C1597" s="30" t="n"/>
      <c r="D1597" s="17" t="n"/>
      <c r="E1597" s="24">
        <f>IF($D1597="","",IFERROR(VLOOKUP($D1597,物料档案!$A$4:$P$1203,3,0),"※编码不在物料档案里"))</f>
        <v/>
      </c>
      <c r="F1597" s="24">
        <f>IF($D1597="","",IFERROR(VLOOKUP($D1597,物料档案!$A$4:$P$1203,4,0),"※编码不在物料档案里"))</f>
        <v/>
      </c>
      <c r="G1597" s="24">
        <f>IF($D1597="","",IFERROR(VLOOKUP($D1597,物料档案!$A$4:$P$1203,5,0),"※编码不在物料档案里"))</f>
        <v/>
      </c>
      <c r="H1597" s="24">
        <f>IF($D1597="","",IFERROR(VLOOKUP($D1597,物料档案!$A$4:$P$1203,2,0),"※编码不在物料档案里"))</f>
        <v/>
      </c>
      <c r="I1597" s="24">
        <f>IF($D1597="","",IFERROR(VLOOKUP($D1597,物料档案!$A$4:$P$1203,6,0),"※编码不在物料档案里"))</f>
        <v/>
      </c>
      <c r="J1597" s="23" t="n"/>
      <c r="K1597" s="17" t="n"/>
      <c r="L1597" s="17" t="n"/>
      <c r="M1597" s="17" t="n"/>
      <c r="N1597" s="17" t="n"/>
      <c r="O1597" s="26">
        <f>IF($D1597="","",IFERROR(VLOOKUP($D1597,物料档案!$A$4:$P$1203,10,0),0))</f>
        <v/>
      </c>
      <c r="P1597" s="32" t="n"/>
      <c r="Q1597" s="26">
        <f>IF($D1597="","",IF($K1597&lt;&gt;"对外销售",0,ROUND(N($J1597)*IF($P1597="",N($O1597),N($P1597)),0)))</f>
        <v/>
      </c>
      <c r="R1597" s="26">
        <f>IF($D1597="","",IFERROR(VLOOKUP($D1597,库存台账!$A$5:$Y$1204,11,0),0))</f>
        <v/>
      </c>
      <c r="S1597" s="26">
        <f>IF($D1597="","",ROUND(N($J1597)*N($R1597),0))</f>
        <v/>
      </c>
      <c r="T1597" s="26">
        <f>IF($D1597="","",IF($K1597&lt;&gt;"对外销售","",ROUND($Q1597-$S1597,0)))</f>
        <v/>
      </c>
      <c r="U1597" s="17" t="n"/>
      <c r="V1597" s="17" t="n"/>
      <c r="W1597" s="24">
        <f>IF($D1597="","",IF($E1597="※编码不在物料档案里","※物料编码不在档案里",IF(N($J1597)&lt;=0,"※出库数量要大于 0",IF($K1597="","※没填去向类型",IF($L1597="","※没填去向矿区",IF(AND($C1597&lt;&gt;"",$C1597&lt;=结账锁),"※日期早于已结账截止日，不能再录",IF(AND($K1597="自用消耗",COUNTIF({"一矿区";"二矿区"},$L1597)=0),"※自用消耗的去向只能是一矿区或二矿区",IF(AND($K1597="对外销售",COUNTIF({"三矿区";"六矿区"},$L1597)=0),"※对外销售的去向只能是三矿区或六矿区",IF(AND($K1597="对外销售",ROUND($Q1597,0)=0),"※外销却没有售价，请填实际售价",IF(AND($K1597="对外销售",$T1597&lt;&gt;"",$T1597&lt;0),"※这一笔外销是亏的，请核对售价",IF(IFERROR(VLOOKUP($D1597,库存台账!$A$5:$Y$1204,24,0),0)&lt;-0.001,"※这个物料账面已经变成负数了，查一下是不是漏记入库","")))))))))))</f>
        <v/>
      </c>
    </row>
    <row r="1598">
      <c r="A1598" s="24">
        <f>IF($D1598="","",COUNTA($D$4:$D1598))</f>
        <v/>
      </c>
      <c r="B1598" s="17" t="n"/>
      <c r="C1598" s="30" t="n"/>
      <c r="D1598" s="17" t="n"/>
      <c r="E1598" s="24">
        <f>IF($D1598="","",IFERROR(VLOOKUP($D1598,物料档案!$A$4:$P$1203,3,0),"※编码不在物料档案里"))</f>
        <v/>
      </c>
      <c r="F1598" s="24">
        <f>IF($D1598="","",IFERROR(VLOOKUP($D1598,物料档案!$A$4:$P$1203,4,0),"※编码不在物料档案里"))</f>
        <v/>
      </c>
      <c r="G1598" s="24">
        <f>IF($D1598="","",IFERROR(VLOOKUP($D1598,物料档案!$A$4:$P$1203,5,0),"※编码不在物料档案里"))</f>
        <v/>
      </c>
      <c r="H1598" s="24">
        <f>IF($D1598="","",IFERROR(VLOOKUP($D1598,物料档案!$A$4:$P$1203,2,0),"※编码不在物料档案里"))</f>
        <v/>
      </c>
      <c r="I1598" s="24">
        <f>IF($D1598="","",IFERROR(VLOOKUP($D1598,物料档案!$A$4:$P$1203,6,0),"※编码不在物料档案里"))</f>
        <v/>
      </c>
      <c r="J1598" s="23" t="n"/>
      <c r="K1598" s="17" t="n"/>
      <c r="L1598" s="17" t="n"/>
      <c r="M1598" s="17" t="n"/>
      <c r="N1598" s="17" t="n"/>
      <c r="O1598" s="26">
        <f>IF($D1598="","",IFERROR(VLOOKUP($D1598,物料档案!$A$4:$P$1203,10,0),0))</f>
        <v/>
      </c>
      <c r="P1598" s="32" t="n"/>
      <c r="Q1598" s="26">
        <f>IF($D1598="","",IF($K1598&lt;&gt;"对外销售",0,ROUND(N($J1598)*IF($P1598="",N($O1598),N($P1598)),0)))</f>
        <v/>
      </c>
      <c r="R1598" s="26">
        <f>IF($D1598="","",IFERROR(VLOOKUP($D1598,库存台账!$A$5:$Y$1204,11,0),0))</f>
        <v/>
      </c>
      <c r="S1598" s="26">
        <f>IF($D1598="","",ROUND(N($J1598)*N($R1598),0))</f>
        <v/>
      </c>
      <c r="T1598" s="26">
        <f>IF($D1598="","",IF($K1598&lt;&gt;"对外销售","",ROUND($Q1598-$S1598,0)))</f>
        <v/>
      </c>
      <c r="U1598" s="17" t="n"/>
      <c r="V1598" s="17" t="n"/>
      <c r="W1598" s="24">
        <f>IF($D1598="","",IF($E1598="※编码不在物料档案里","※物料编码不在档案里",IF(N($J1598)&lt;=0,"※出库数量要大于 0",IF($K1598="","※没填去向类型",IF($L1598="","※没填去向矿区",IF(AND($C1598&lt;&gt;"",$C1598&lt;=结账锁),"※日期早于已结账截止日，不能再录",IF(AND($K1598="自用消耗",COUNTIF({"一矿区";"二矿区"},$L1598)=0),"※自用消耗的去向只能是一矿区或二矿区",IF(AND($K1598="对外销售",COUNTIF({"三矿区";"六矿区"},$L1598)=0),"※对外销售的去向只能是三矿区或六矿区",IF(AND($K1598="对外销售",ROUND($Q1598,0)=0),"※外销却没有售价，请填实际售价",IF(AND($K1598="对外销售",$T1598&lt;&gt;"",$T1598&lt;0),"※这一笔外销是亏的，请核对售价",IF(IFERROR(VLOOKUP($D1598,库存台账!$A$5:$Y$1204,24,0),0)&lt;-0.001,"※这个物料账面已经变成负数了，查一下是不是漏记入库","")))))))))))</f>
        <v/>
      </c>
    </row>
    <row r="1599">
      <c r="A1599" s="24">
        <f>IF($D1599="","",COUNTA($D$4:$D1599))</f>
        <v/>
      </c>
      <c r="B1599" s="17" t="n"/>
      <c r="C1599" s="30" t="n"/>
      <c r="D1599" s="17" t="n"/>
      <c r="E1599" s="24">
        <f>IF($D1599="","",IFERROR(VLOOKUP($D1599,物料档案!$A$4:$P$1203,3,0),"※编码不在物料档案里"))</f>
        <v/>
      </c>
      <c r="F1599" s="24">
        <f>IF($D1599="","",IFERROR(VLOOKUP($D1599,物料档案!$A$4:$P$1203,4,0),"※编码不在物料档案里"))</f>
        <v/>
      </c>
      <c r="G1599" s="24">
        <f>IF($D1599="","",IFERROR(VLOOKUP($D1599,物料档案!$A$4:$P$1203,5,0),"※编码不在物料档案里"))</f>
        <v/>
      </c>
      <c r="H1599" s="24">
        <f>IF($D1599="","",IFERROR(VLOOKUP($D1599,物料档案!$A$4:$P$1203,2,0),"※编码不在物料档案里"))</f>
        <v/>
      </c>
      <c r="I1599" s="24">
        <f>IF($D1599="","",IFERROR(VLOOKUP($D1599,物料档案!$A$4:$P$1203,6,0),"※编码不在物料档案里"))</f>
        <v/>
      </c>
      <c r="J1599" s="23" t="n"/>
      <c r="K1599" s="17" t="n"/>
      <c r="L1599" s="17" t="n"/>
      <c r="M1599" s="17" t="n"/>
      <c r="N1599" s="17" t="n"/>
      <c r="O1599" s="26">
        <f>IF($D1599="","",IFERROR(VLOOKUP($D1599,物料档案!$A$4:$P$1203,10,0),0))</f>
        <v/>
      </c>
      <c r="P1599" s="32" t="n"/>
      <c r="Q1599" s="26">
        <f>IF($D1599="","",IF($K1599&lt;&gt;"对外销售",0,ROUND(N($J1599)*IF($P1599="",N($O1599),N($P1599)),0)))</f>
        <v/>
      </c>
      <c r="R1599" s="26">
        <f>IF($D1599="","",IFERROR(VLOOKUP($D1599,库存台账!$A$5:$Y$1204,11,0),0))</f>
        <v/>
      </c>
      <c r="S1599" s="26">
        <f>IF($D1599="","",ROUND(N($J1599)*N($R1599),0))</f>
        <v/>
      </c>
      <c r="T1599" s="26">
        <f>IF($D1599="","",IF($K1599&lt;&gt;"对外销售","",ROUND($Q1599-$S1599,0)))</f>
        <v/>
      </c>
      <c r="U1599" s="17" t="n"/>
      <c r="V1599" s="17" t="n"/>
      <c r="W1599" s="24">
        <f>IF($D1599="","",IF($E1599="※编码不在物料档案里","※物料编码不在档案里",IF(N($J1599)&lt;=0,"※出库数量要大于 0",IF($K1599="","※没填去向类型",IF($L1599="","※没填去向矿区",IF(AND($C1599&lt;&gt;"",$C1599&lt;=结账锁),"※日期早于已结账截止日，不能再录",IF(AND($K1599="自用消耗",COUNTIF({"一矿区";"二矿区"},$L1599)=0),"※自用消耗的去向只能是一矿区或二矿区",IF(AND($K1599="对外销售",COUNTIF({"三矿区";"六矿区"},$L1599)=0),"※对外销售的去向只能是三矿区或六矿区",IF(AND($K1599="对外销售",ROUND($Q1599,0)=0),"※外销却没有售价，请填实际售价",IF(AND($K1599="对外销售",$T1599&lt;&gt;"",$T1599&lt;0),"※这一笔外销是亏的，请核对售价",IF(IFERROR(VLOOKUP($D1599,库存台账!$A$5:$Y$1204,24,0),0)&lt;-0.001,"※这个物料账面已经变成负数了，查一下是不是漏记入库","")))))))))))</f>
        <v/>
      </c>
    </row>
    <row r="1600">
      <c r="A1600" s="24">
        <f>IF($D1600="","",COUNTA($D$4:$D1600))</f>
        <v/>
      </c>
      <c r="B1600" s="17" t="n"/>
      <c r="C1600" s="30" t="n"/>
      <c r="D1600" s="17" t="n"/>
      <c r="E1600" s="24">
        <f>IF($D1600="","",IFERROR(VLOOKUP($D1600,物料档案!$A$4:$P$1203,3,0),"※编码不在物料档案里"))</f>
        <v/>
      </c>
      <c r="F1600" s="24">
        <f>IF($D1600="","",IFERROR(VLOOKUP($D1600,物料档案!$A$4:$P$1203,4,0),"※编码不在物料档案里"))</f>
        <v/>
      </c>
      <c r="G1600" s="24">
        <f>IF($D1600="","",IFERROR(VLOOKUP($D1600,物料档案!$A$4:$P$1203,5,0),"※编码不在物料档案里"))</f>
        <v/>
      </c>
      <c r="H1600" s="24">
        <f>IF($D1600="","",IFERROR(VLOOKUP($D1600,物料档案!$A$4:$P$1203,2,0),"※编码不在物料档案里"))</f>
        <v/>
      </c>
      <c r="I1600" s="24">
        <f>IF($D1600="","",IFERROR(VLOOKUP($D1600,物料档案!$A$4:$P$1203,6,0),"※编码不在物料档案里"))</f>
        <v/>
      </c>
      <c r="J1600" s="23" t="n"/>
      <c r="K1600" s="17" t="n"/>
      <c r="L1600" s="17" t="n"/>
      <c r="M1600" s="17" t="n"/>
      <c r="N1600" s="17" t="n"/>
      <c r="O1600" s="26">
        <f>IF($D1600="","",IFERROR(VLOOKUP($D1600,物料档案!$A$4:$P$1203,10,0),0))</f>
        <v/>
      </c>
      <c r="P1600" s="32" t="n"/>
      <c r="Q1600" s="26">
        <f>IF($D1600="","",IF($K1600&lt;&gt;"对外销售",0,ROUND(N($J1600)*IF($P1600="",N($O1600),N($P1600)),0)))</f>
        <v/>
      </c>
      <c r="R1600" s="26">
        <f>IF($D1600="","",IFERROR(VLOOKUP($D1600,库存台账!$A$5:$Y$1204,11,0),0))</f>
        <v/>
      </c>
      <c r="S1600" s="26">
        <f>IF($D1600="","",ROUND(N($J1600)*N($R1600),0))</f>
        <v/>
      </c>
      <c r="T1600" s="26">
        <f>IF($D1600="","",IF($K1600&lt;&gt;"对外销售","",ROUND($Q1600-$S1600,0)))</f>
        <v/>
      </c>
      <c r="U1600" s="17" t="n"/>
      <c r="V1600" s="17" t="n"/>
      <c r="W1600" s="24">
        <f>IF($D1600="","",IF($E1600="※编码不在物料档案里","※物料编码不在档案里",IF(N($J1600)&lt;=0,"※出库数量要大于 0",IF($K1600="","※没填去向类型",IF($L1600="","※没填去向矿区",IF(AND($C1600&lt;&gt;"",$C1600&lt;=结账锁),"※日期早于已结账截止日，不能再录",IF(AND($K1600="自用消耗",COUNTIF({"一矿区";"二矿区"},$L1600)=0),"※自用消耗的去向只能是一矿区或二矿区",IF(AND($K1600="对外销售",COUNTIF({"三矿区";"六矿区"},$L1600)=0),"※对外销售的去向只能是三矿区或六矿区",IF(AND($K1600="对外销售",ROUND($Q1600,0)=0),"※外销却没有售价，请填实际售价",IF(AND($K1600="对外销售",$T1600&lt;&gt;"",$T1600&lt;0),"※这一笔外销是亏的，请核对售价",IF(IFERROR(VLOOKUP($D1600,库存台账!$A$5:$Y$1204,24,0),0)&lt;-0.001,"※这个物料账面已经变成负数了，查一下是不是漏记入库","")))))))))))</f>
        <v/>
      </c>
    </row>
    <row r="1601">
      <c r="A1601" s="24">
        <f>IF($D1601="","",COUNTA($D$4:$D1601))</f>
        <v/>
      </c>
      <c r="B1601" s="17" t="n"/>
      <c r="C1601" s="30" t="n"/>
      <c r="D1601" s="17" t="n"/>
      <c r="E1601" s="24">
        <f>IF($D1601="","",IFERROR(VLOOKUP($D1601,物料档案!$A$4:$P$1203,3,0),"※编码不在物料档案里"))</f>
        <v/>
      </c>
      <c r="F1601" s="24">
        <f>IF($D1601="","",IFERROR(VLOOKUP($D1601,物料档案!$A$4:$P$1203,4,0),"※编码不在物料档案里"))</f>
        <v/>
      </c>
      <c r="G1601" s="24">
        <f>IF($D1601="","",IFERROR(VLOOKUP($D1601,物料档案!$A$4:$P$1203,5,0),"※编码不在物料档案里"))</f>
        <v/>
      </c>
      <c r="H1601" s="24">
        <f>IF($D1601="","",IFERROR(VLOOKUP($D1601,物料档案!$A$4:$P$1203,2,0),"※编码不在物料档案里"))</f>
        <v/>
      </c>
      <c r="I1601" s="24">
        <f>IF($D1601="","",IFERROR(VLOOKUP($D1601,物料档案!$A$4:$P$1203,6,0),"※编码不在物料档案里"))</f>
        <v/>
      </c>
      <c r="J1601" s="23" t="n"/>
      <c r="K1601" s="17" t="n"/>
      <c r="L1601" s="17" t="n"/>
      <c r="M1601" s="17" t="n"/>
      <c r="N1601" s="17" t="n"/>
      <c r="O1601" s="26">
        <f>IF($D1601="","",IFERROR(VLOOKUP($D1601,物料档案!$A$4:$P$1203,10,0),0))</f>
        <v/>
      </c>
      <c r="P1601" s="32" t="n"/>
      <c r="Q1601" s="26">
        <f>IF($D1601="","",IF($K1601&lt;&gt;"对外销售",0,ROUND(N($J1601)*IF($P1601="",N($O1601),N($P1601)),0)))</f>
        <v/>
      </c>
      <c r="R1601" s="26">
        <f>IF($D1601="","",IFERROR(VLOOKUP($D1601,库存台账!$A$5:$Y$1204,11,0),0))</f>
        <v/>
      </c>
      <c r="S1601" s="26">
        <f>IF($D1601="","",ROUND(N($J1601)*N($R1601),0))</f>
        <v/>
      </c>
      <c r="T1601" s="26">
        <f>IF($D1601="","",IF($K1601&lt;&gt;"对外销售","",ROUND($Q1601-$S1601,0)))</f>
        <v/>
      </c>
      <c r="U1601" s="17" t="n"/>
      <c r="V1601" s="17" t="n"/>
      <c r="W1601" s="24">
        <f>IF($D1601="","",IF($E1601="※编码不在物料档案里","※物料编码不在档案里",IF(N($J1601)&lt;=0,"※出库数量要大于 0",IF($K1601="","※没填去向类型",IF($L1601="","※没填去向矿区",IF(AND($C1601&lt;&gt;"",$C1601&lt;=结账锁),"※日期早于已结账截止日，不能再录",IF(AND($K1601="自用消耗",COUNTIF({"一矿区";"二矿区"},$L1601)=0),"※自用消耗的去向只能是一矿区或二矿区",IF(AND($K1601="对外销售",COUNTIF({"三矿区";"六矿区"},$L1601)=0),"※对外销售的去向只能是三矿区或六矿区",IF(AND($K1601="对外销售",ROUND($Q1601,0)=0),"※外销却没有售价，请填实际售价",IF(AND($K1601="对外销售",$T1601&lt;&gt;"",$T1601&lt;0),"※这一笔外销是亏的，请核对售价",IF(IFERROR(VLOOKUP($D1601,库存台账!$A$5:$Y$1204,24,0),0)&lt;-0.001,"※这个物料账面已经变成负数了，查一下是不是漏记入库","")))))))))))</f>
        <v/>
      </c>
    </row>
    <row r="1602">
      <c r="A1602" s="24">
        <f>IF($D1602="","",COUNTA($D$4:$D1602))</f>
        <v/>
      </c>
      <c r="B1602" s="17" t="n"/>
      <c r="C1602" s="30" t="n"/>
      <c r="D1602" s="17" t="n"/>
      <c r="E1602" s="24">
        <f>IF($D1602="","",IFERROR(VLOOKUP($D1602,物料档案!$A$4:$P$1203,3,0),"※编码不在物料档案里"))</f>
        <v/>
      </c>
      <c r="F1602" s="24">
        <f>IF($D1602="","",IFERROR(VLOOKUP($D1602,物料档案!$A$4:$P$1203,4,0),"※编码不在物料档案里"))</f>
        <v/>
      </c>
      <c r="G1602" s="24">
        <f>IF($D1602="","",IFERROR(VLOOKUP($D1602,物料档案!$A$4:$P$1203,5,0),"※编码不在物料档案里"))</f>
        <v/>
      </c>
      <c r="H1602" s="24">
        <f>IF($D1602="","",IFERROR(VLOOKUP($D1602,物料档案!$A$4:$P$1203,2,0),"※编码不在物料档案里"))</f>
        <v/>
      </c>
      <c r="I1602" s="24">
        <f>IF($D1602="","",IFERROR(VLOOKUP($D1602,物料档案!$A$4:$P$1203,6,0),"※编码不在物料档案里"))</f>
        <v/>
      </c>
      <c r="J1602" s="23" t="n"/>
      <c r="K1602" s="17" t="n"/>
      <c r="L1602" s="17" t="n"/>
      <c r="M1602" s="17" t="n"/>
      <c r="N1602" s="17" t="n"/>
      <c r="O1602" s="26">
        <f>IF($D1602="","",IFERROR(VLOOKUP($D1602,物料档案!$A$4:$P$1203,10,0),0))</f>
        <v/>
      </c>
      <c r="P1602" s="32" t="n"/>
      <c r="Q1602" s="26">
        <f>IF($D1602="","",IF($K1602&lt;&gt;"对外销售",0,ROUND(N($J1602)*IF($P1602="",N($O1602),N($P1602)),0)))</f>
        <v/>
      </c>
      <c r="R1602" s="26">
        <f>IF($D1602="","",IFERROR(VLOOKUP($D1602,库存台账!$A$5:$Y$1204,11,0),0))</f>
        <v/>
      </c>
      <c r="S1602" s="26">
        <f>IF($D1602="","",ROUND(N($J1602)*N($R1602),0))</f>
        <v/>
      </c>
      <c r="T1602" s="26">
        <f>IF($D1602="","",IF($K1602&lt;&gt;"对外销售","",ROUND($Q1602-$S1602,0)))</f>
        <v/>
      </c>
      <c r="U1602" s="17" t="n"/>
      <c r="V1602" s="17" t="n"/>
      <c r="W1602" s="24">
        <f>IF($D1602="","",IF($E1602="※编码不在物料档案里","※物料编码不在档案里",IF(N($J1602)&lt;=0,"※出库数量要大于 0",IF($K1602="","※没填去向类型",IF($L1602="","※没填去向矿区",IF(AND($C1602&lt;&gt;"",$C1602&lt;=结账锁),"※日期早于已结账截止日，不能再录",IF(AND($K1602="自用消耗",COUNTIF({"一矿区";"二矿区"},$L1602)=0),"※自用消耗的去向只能是一矿区或二矿区",IF(AND($K1602="对外销售",COUNTIF({"三矿区";"六矿区"},$L1602)=0),"※对外销售的去向只能是三矿区或六矿区",IF(AND($K1602="对外销售",ROUND($Q1602,0)=0),"※外销却没有售价，请填实际售价",IF(AND($K1602="对外销售",$T1602&lt;&gt;"",$T1602&lt;0),"※这一笔外销是亏的，请核对售价",IF(IFERROR(VLOOKUP($D1602,库存台账!$A$5:$Y$1204,24,0),0)&lt;-0.001,"※这个物料账面已经变成负数了，查一下是不是漏记入库","")))))))))))</f>
        <v/>
      </c>
    </row>
    <row r="1603">
      <c r="A1603" s="24">
        <f>IF($D1603="","",COUNTA($D$4:$D1603))</f>
        <v/>
      </c>
      <c r="B1603" s="17" t="n"/>
      <c r="C1603" s="30" t="n"/>
      <c r="D1603" s="17" t="n"/>
      <c r="E1603" s="24">
        <f>IF($D1603="","",IFERROR(VLOOKUP($D1603,物料档案!$A$4:$P$1203,3,0),"※编码不在物料档案里"))</f>
        <v/>
      </c>
      <c r="F1603" s="24">
        <f>IF($D1603="","",IFERROR(VLOOKUP($D1603,物料档案!$A$4:$P$1203,4,0),"※编码不在物料档案里"))</f>
        <v/>
      </c>
      <c r="G1603" s="24">
        <f>IF($D1603="","",IFERROR(VLOOKUP($D1603,物料档案!$A$4:$P$1203,5,0),"※编码不在物料档案里"))</f>
        <v/>
      </c>
      <c r="H1603" s="24">
        <f>IF($D1603="","",IFERROR(VLOOKUP($D1603,物料档案!$A$4:$P$1203,2,0),"※编码不在物料档案里"))</f>
        <v/>
      </c>
      <c r="I1603" s="24">
        <f>IF($D1603="","",IFERROR(VLOOKUP($D1603,物料档案!$A$4:$P$1203,6,0),"※编码不在物料档案里"))</f>
        <v/>
      </c>
      <c r="J1603" s="23" t="n"/>
      <c r="K1603" s="17" t="n"/>
      <c r="L1603" s="17" t="n"/>
      <c r="M1603" s="17" t="n"/>
      <c r="N1603" s="17" t="n"/>
      <c r="O1603" s="26">
        <f>IF($D1603="","",IFERROR(VLOOKUP($D1603,物料档案!$A$4:$P$1203,10,0),0))</f>
        <v/>
      </c>
      <c r="P1603" s="32" t="n"/>
      <c r="Q1603" s="26">
        <f>IF($D1603="","",IF($K1603&lt;&gt;"对外销售",0,ROUND(N($J1603)*IF($P1603="",N($O1603),N($P1603)),0)))</f>
        <v/>
      </c>
      <c r="R1603" s="26">
        <f>IF($D1603="","",IFERROR(VLOOKUP($D1603,库存台账!$A$5:$Y$1204,11,0),0))</f>
        <v/>
      </c>
      <c r="S1603" s="26">
        <f>IF($D1603="","",ROUND(N($J1603)*N($R1603),0))</f>
        <v/>
      </c>
      <c r="T1603" s="26">
        <f>IF($D1603="","",IF($K1603&lt;&gt;"对外销售","",ROUND($Q1603-$S1603,0)))</f>
        <v/>
      </c>
      <c r="U1603" s="17" t="n"/>
      <c r="V1603" s="17" t="n"/>
      <c r="W1603" s="24">
        <f>IF($D1603="","",IF($E1603="※编码不在物料档案里","※物料编码不在档案里",IF(N($J1603)&lt;=0,"※出库数量要大于 0",IF($K1603="","※没填去向类型",IF($L1603="","※没填去向矿区",IF(AND($C1603&lt;&gt;"",$C1603&lt;=结账锁),"※日期早于已结账截止日，不能再录",IF(AND($K1603="自用消耗",COUNTIF({"一矿区";"二矿区"},$L1603)=0),"※自用消耗的去向只能是一矿区或二矿区",IF(AND($K1603="对外销售",COUNTIF({"三矿区";"六矿区"},$L1603)=0),"※对外销售的去向只能是三矿区或六矿区",IF(AND($K1603="对外销售",ROUND($Q1603,0)=0),"※外销却没有售价，请填实际售价",IF(AND($K1603="对外销售",$T1603&lt;&gt;"",$T1603&lt;0),"※这一笔外销是亏的，请核对售价",IF(IFERROR(VLOOKUP($D1603,库存台账!$A$5:$Y$1204,24,0),0)&lt;-0.001,"※这个物料账面已经变成负数了，查一下是不是漏记入库","")))))))))))</f>
        <v/>
      </c>
    </row>
    <row r="1604">
      <c r="A1604" s="24">
        <f>IF($D1604="","",COUNTA($D$4:$D1604))</f>
        <v/>
      </c>
      <c r="B1604" s="17" t="n"/>
      <c r="C1604" s="30" t="n"/>
      <c r="D1604" s="17" t="n"/>
      <c r="E1604" s="24">
        <f>IF($D1604="","",IFERROR(VLOOKUP($D1604,物料档案!$A$4:$P$1203,3,0),"※编码不在物料档案里"))</f>
        <v/>
      </c>
      <c r="F1604" s="24">
        <f>IF($D1604="","",IFERROR(VLOOKUP($D1604,物料档案!$A$4:$P$1203,4,0),"※编码不在物料档案里"))</f>
        <v/>
      </c>
      <c r="G1604" s="24">
        <f>IF($D1604="","",IFERROR(VLOOKUP($D1604,物料档案!$A$4:$P$1203,5,0),"※编码不在物料档案里"))</f>
        <v/>
      </c>
      <c r="H1604" s="24">
        <f>IF($D1604="","",IFERROR(VLOOKUP($D1604,物料档案!$A$4:$P$1203,2,0),"※编码不在物料档案里"))</f>
        <v/>
      </c>
      <c r="I1604" s="24">
        <f>IF($D1604="","",IFERROR(VLOOKUP($D1604,物料档案!$A$4:$P$1203,6,0),"※编码不在物料档案里"))</f>
        <v/>
      </c>
      <c r="J1604" s="23" t="n"/>
      <c r="K1604" s="17" t="n"/>
      <c r="L1604" s="17" t="n"/>
      <c r="M1604" s="17" t="n"/>
      <c r="N1604" s="17" t="n"/>
      <c r="O1604" s="26">
        <f>IF($D1604="","",IFERROR(VLOOKUP($D1604,物料档案!$A$4:$P$1203,10,0),0))</f>
        <v/>
      </c>
      <c r="P1604" s="32" t="n"/>
      <c r="Q1604" s="26">
        <f>IF($D1604="","",IF($K1604&lt;&gt;"对外销售",0,ROUND(N($J1604)*IF($P1604="",N($O1604),N($P1604)),0)))</f>
        <v/>
      </c>
      <c r="R1604" s="26">
        <f>IF($D1604="","",IFERROR(VLOOKUP($D1604,库存台账!$A$5:$Y$1204,11,0),0))</f>
        <v/>
      </c>
      <c r="S1604" s="26">
        <f>IF($D1604="","",ROUND(N($J1604)*N($R1604),0))</f>
        <v/>
      </c>
      <c r="T1604" s="26">
        <f>IF($D1604="","",IF($K1604&lt;&gt;"对外销售","",ROUND($Q1604-$S1604,0)))</f>
        <v/>
      </c>
      <c r="U1604" s="17" t="n"/>
      <c r="V1604" s="17" t="n"/>
      <c r="W1604" s="24">
        <f>IF($D1604="","",IF($E1604="※编码不在物料档案里","※物料编码不在档案里",IF(N($J1604)&lt;=0,"※出库数量要大于 0",IF($K1604="","※没填去向类型",IF($L1604="","※没填去向矿区",IF(AND($C1604&lt;&gt;"",$C1604&lt;=结账锁),"※日期早于已结账截止日，不能再录",IF(AND($K1604="自用消耗",COUNTIF({"一矿区";"二矿区"},$L1604)=0),"※自用消耗的去向只能是一矿区或二矿区",IF(AND($K1604="对外销售",COUNTIF({"三矿区";"六矿区"},$L1604)=0),"※对外销售的去向只能是三矿区或六矿区",IF(AND($K1604="对外销售",ROUND($Q1604,0)=0),"※外销却没有售价，请填实际售价",IF(AND($K1604="对外销售",$T1604&lt;&gt;"",$T1604&lt;0),"※这一笔外销是亏的，请核对售价",IF(IFERROR(VLOOKUP($D1604,库存台账!$A$5:$Y$1204,24,0),0)&lt;-0.001,"※这个物料账面已经变成负数了，查一下是不是漏记入库","")))))))))))</f>
        <v/>
      </c>
    </row>
    <row r="1605">
      <c r="A1605" s="24">
        <f>IF($D1605="","",COUNTA($D$4:$D1605))</f>
        <v/>
      </c>
      <c r="B1605" s="17" t="n"/>
      <c r="C1605" s="30" t="n"/>
      <c r="D1605" s="17" t="n"/>
      <c r="E1605" s="24">
        <f>IF($D1605="","",IFERROR(VLOOKUP($D1605,物料档案!$A$4:$P$1203,3,0),"※编码不在物料档案里"))</f>
        <v/>
      </c>
      <c r="F1605" s="24">
        <f>IF($D1605="","",IFERROR(VLOOKUP($D1605,物料档案!$A$4:$P$1203,4,0),"※编码不在物料档案里"))</f>
        <v/>
      </c>
      <c r="G1605" s="24">
        <f>IF($D1605="","",IFERROR(VLOOKUP($D1605,物料档案!$A$4:$P$1203,5,0),"※编码不在物料档案里"))</f>
        <v/>
      </c>
      <c r="H1605" s="24">
        <f>IF($D1605="","",IFERROR(VLOOKUP($D1605,物料档案!$A$4:$P$1203,2,0),"※编码不在物料档案里"))</f>
        <v/>
      </c>
      <c r="I1605" s="24">
        <f>IF($D1605="","",IFERROR(VLOOKUP($D1605,物料档案!$A$4:$P$1203,6,0),"※编码不在物料档案里"))</f>
        <v/>
      </c>
      <c r="J1605" s="23" t="n"/>
      <c r="K1605" s="17" t="n"/>
      <c r="L1605" s="17" t="n"/>
      <c r="M1605" s="17" t="n"/>
      <c r="N1605" s="17" t="n"/>
      <c r="O1605" s="26">
        <f>IF($D1605="","",IFERROR(VLOOKUP($D1605,物料档案!$A$4:$P$1203,10,0),0))</f>
        <v/>
      </c>
      <c r="P1605" s="32" t="n"/>
      <c r="Q1605" s="26">
        <f>IF($D1605="","",IF($K1605&lt;&gt;"对外销售",0,ROUND(N($J1605)*IF($P1605="",N($O1605),N($P1605)),0)))</f>
        <v/>
      </c>
      <c r="R1605" s="26">
        <f>IF($D1605="","",IFERROR(VLOOKUP($D1605,库存台账!$A$5:$Y$1204,11,0),0))</f>
        <v/>
      </c>
      <c r="S1605" s="26">
        <f>IF($D1605="","",ROUND(N($J1605)*N($R1605),0))</f>
        <v/>
      </c>
      <c r="T1605" s="26">
        <f>IF($D1605="","",IF($K1605&lt;&gt;"对外销售","",ROUND($Q1605-$S1605,0)))</f>
        <v/>
      </c>
      <c r="U1605" s="17" t="n"/>
      <c r="V1605" s="17" t="n"/>
      <c r="W1605" s="24">
        <f>IF($D1605="","",IF($E1605="※编码不在物料档案里","※物料编码不在档案里",IF(N($J1605)&lt;=0,"※出库数量要大于 0",IF($K1605="","※没填去向类型",IF($L1605="","※没填去向矿区",IF(AND($C1605&lt;&gt;"",$C1605&lt;=结账锁),"※日期早于已结账截止日，不能再录",IF(AND($K1605="自用消耗",COUNTIF({"一矿区";"二矿区"},$L1605)=0),"※自用消耗的去向只能是一矿区或二矿区",IF(AND($K1605="对外销售",COUNTIF({"三矿区";"六矿区"},$L1605)=0),"※对外销售的去向只能是三矿区或六矿区",IF(AND($K1605="对外销售",ROUND($Q1605,0)=0),"※外销却没有售价，请填实际售价",IF(AND($K1605="对外销售",$T1605&lt;&gt;"",$T1605&lt;0),"※这一笔外销是亏的，请核对售价",IF(IFERROR(VLOOKUP($D1605,库存台账!$A$5:$Y$1204,24,0),0)&lt;-0.001,"※这个物料账面已经变成负数了，查一下是不是漏记入库","")))))))))))</f>
        <v/>
      </c>
    </row>
    <row r="1606">
      <c r="A1606" s="24">
        <f>IF($D1606="","",COUNTA($D$4:$D1606))</f>
        <v/>
      </c>
      <c r="B1606" s="17" t="n"/>
      <c r="C1606" s="30" t="n"/>
      <c r="D1606" s="17" t="n"/>
      <c r="E1606" s="24">
        <f>IF($D1606="","",IFERROR(VLOOKUP($D1606,物料档案!$A$4:$P$1203,3,0),"※编码不在物料档案里"))</f>
        <v/>
      </c>
      <c r="F1606" s="24">
        <f>IF($D1606="","",IFERROR(VLOOKUP($D1606,物料档案!$A$4:$P$1203,4,0),"※编码不在物料档案里"))</f>
        <v/>
      </c>
      <c r="G1606" s="24">
        <f>IF($D1606="","",IFERROR(VLOOKUP($D1606,物料档案!$A$4:$P$1203,5,0),"※编码不在物料档案里"))</f>
        <v/>
      </c>
      <c r="H1606" s="24">
        <f>IF($D1606="","",IFERROR(VLOOKUP($D1606,物料档案!$A$4:$P$1203,2,0),"※编码不在物料档案里"))</f>
        <v/>
      </c>
      <c r="I1606" s="24">
        <f>IF($D1606="","",IFERROR(VLOOKUP($D1606,物料档案!$A$4:$P$1203,6,0),"※编码不在物料档案里"))</f>
        <v/>
      </c>
      <c r="J1606" s="23" t="n"/>
      <c r="K1606" s="17" t="n"/>
      <c r="L1606" s="17" t="n"/>
      <c r="M1606" s="17" t="n"/>
      <c r="N1606" s="17" t="n"/>
      <c r="O1606" s="26">
        <f>IF($D1606="","",IFERROR(VLOOKUP($D1606,物料档案!$A$4:$P$1203,10,0),0))</f>
        <v/>
      </c>
      <c r="P1606" s="32" t="n"/>
      <c r="Q1606" s="26">
        <f>IF($D1606="","",IF($K1606&lt;&gt;"对外销售",0,ROUND(N($J1606)*IF($P1606="",N($O1606),N($P1606)),0)))</f>
        <v/>
      </c>
      <c r="R1606" s="26">
        <f>IF($D1606="","",IFERROR(VLOOKUP($D1606,库存台账!$A$5:$Y$1204,11,0),0))</f>
        <v/>
      </c>
      <c r="S1606" s="26">
        <f>IF($D1606="","",ROUND(N($J1606)*N($R1606),0))</f>
        <v/>
      </c>
      <c r="T1606" s="26">
        <f>IF($D1606="","",IF($K1606&lt;&gt;"对外销售","",ROUND($Q1606-$S1606,0)))</f>
        <v/>
      </c>
      <c r="U1606" s="17" t="n"/>
      <c r="V1606" s="17" t="n"/>
      <c r="W1606" s="24">
        <f>IF($D1606="","",IF($E1606="※编码不在物料档案里","※物料编码不在档案里",IF(N($J1606)&lt;=0,"※出库数量要大于 0",IF($K1606="","※没填去向类型",IF($L1606="","※没填去向矿区",IF(AND($C1606&lt;&gt;"",$C1606&lt;=结账锁),"※日期早于已结账截止日，不能再录",IF(AND($K1606="自用消耗",COUNTIF({"一矿区";"二矿区"},$L1606)=0),"※自用消耗的去向只能是一矿区或二矿区",IF(AND($K1606="对外销售",COUNTIF({"三矿区";"六矿区"},$L1606)=0),"※对外销售的去向只能是三矿区或六矿区",IF(AND($K1606="对外销售",ROUND($Q1606,0)=0),"※外销却没有售价，请填实际售价",IF(AND($K1606="对外销售",$T1606&lt;&gt;"",$T1606&lt;0),"※这一笔外销是亏的，请核对售价",IF(IFERROR(VLOOKUP($D1606,库存台账!$A$5:$Y$1204,24,0),0)&lt;-0.001,"※这个物料账面已经变成负数了，查一下是不是漏记入库","")))))))))))</f>
        <v/>
      </c>
    </row>
    <row r="1607">
      <c r="A1607" s="24">
        <f>IF($D1607="","",COUNTA($D$4:$D1607))</f>
        <v/>
      </c>
      <c r="B1607" s="17" t="n"/>
      <c r="C1607" s="30" t="n"/>
      <c r="D1607" s="17" t="n"/>
      <c r="E1607" s="24">
        <f>IF($D1607="","",IFERROR(VLOOKUP($D1607,物料档案!$A$4:$P$1203,3,0),"※编码不在物料档案里"))</f>
        <v/>
      </c>
      <c r="F1607" s="24">
        <f>IF($D1607="","",IFERROR(VLOOKUP($D1607,物料档案!$A$4:$P$1203,4,0),"※编码不在物料档案里"))</f>
        <v/>
      </c>
      <c r="G1607" s="24">
        <f>IF($D1607="","",IFERROR(VLOOKUP($D1607,物料档案!$A$4:$P$1203,5,0),"※编码不在物料档案里"))</f>
        <v/>
      </c>
      <c r="H1607" s="24">
        <f>IF($D1607="","",IFERROR(VLOOKUP($D1607,物料档案!$A$4:$P$1203,2,0),"※编码不在物料档案里"))</f>
        <v/>
      </c>
      <c r="I1607" s="24">
        <f>IF($D1607="","",IFERROR(VLOOKUP($D1607,物料档案!$A$4:$P$1203,6,0),"※编码不在物料档案里"))</f>
        <v/>
      </c>
      <c r="J1607" s="23" t="n"/>
      <c r="K1607" s="17" t="n"/>
      <c r="L1607" s="17" t="n"/>
      <c r="M1607" s="17" t="n"/>
      <c r="N1607" s="17" t="n"/>
      <c r="O1607" s="26">
        <f>IF($D1607="","",IFERROR(VLOOKUP($D1607,物料档案!$A$4:$P$1203,10,0),0))</f>
        <v/>
      </c>
      <c r="P1607" s="32" t="n"/>
      <c r="Q1607" s="26">
        <f>IF($D1607="","",IF($K1607&lt;&gt;"对外销售",0,ROUND(N($J1607)*IF($P1607="",N($O1607),N($P1607)),0)))</f>
        <v/>
      </c>
      <c r="R1607" s="26">
        <f>IF($D1607="","",IFERROR(VLOOKUP($D1607,库存台账!$A$5:$Y$1204,11,0),0))</f>
        <v/>
      </c>
      <c r="S1607" s="26">
        <f>IF($D1607="","",ROUND(N($J1607)*N($R1607),0))</f>
        <v/>
      </c>
      <c r="T1607" s="26">
        <f>IF($D1607="","",IF($K1607&lt;&gt;"对外销售","",ROUND($Q1607-$S1607,0)))</f>
        <v/>
      </c>
      <c r="U1607" s="17" t="n"/>
      <c r="V1607" s="17" t="n"/>
      <c r="W1607" s="24">
        <f>IF($D1607="","",IF($E1607="※编码不在物料档案里","※物料编码不在档案里",IF(N($J1607)&lt;=0,"※出库数量要大于 0",IF($K1607="","※没填去向类型",IF($L1607="","※没填去向矿区",IF(AND($C1607&lt;&gt;"",$C1607&lt;=结账锁),"※日期早于已结账截止日，不能再录",IF(AND($K1607="自用消耗",COUNTIF({"一矿区";"二矿区"},$L1607)=0),"※自用消耗的去向只能是一矿区或二矿区",IF(AND($K1607="对外销售",COUNTIF({"三矿区";"六矿区"},$L1607)=0),"※对外销售的去向只能是三矿区或六矿区",IF(AND($K1607="对外销售",ROUND($Q1607,0)=0),"※外销却没有售价，请填实际售价",IF(AND($K1607="对外销售",$T1607&lt;&gt;"",$T1607&lt;0),"※这一笔外销是亏的，请核对售价",IF(IFERROR(VLOOKUP($D1607,库存台账!$A$5:$Y$1204,24,0),0)&lt;-0.001,"※这个物料账面已经变成负数了，查一下是不是漏记入库","")))))))))))</f>
        <v/>
      </c>
    </row>
    <row r="1608">
      <c r="A1608" s="24">
        <f>IF($D1608="","",COUNTA($D$4:$D1608))</f>
        <v/>
      </c>
      <c r="B1608" s="17" t="n"/>
      <c r="C1608" s="30" t="n"/>
      <c r="D1608" s="17" t="n"/>
      <c r="E1608" s="24">
        <f>IF($D1608="","",IFERROR(VLOOKUP($D1608,物料档案!$A$4:$P$1203,3,0),"※编码不在物料档案里"))</f>
        <v/>
      </c>
      <c r="F1608" s="24">
        <f>IF($D1608="","",IFERROR(VLOOKUP($D1608,物料档案!$A$4:$P$1203,4,0),"※编码不在物料档案里"))</f>
        <v/>
      </c>
      <c r="G1608" s="24">
        <f>IF($D1608="","",IFERROR(VLOOKUP($D1608,物料档案!$A$4:$P$1203,5,0),"※编码不在物料档案里"))</f>
        <v/>
      </c>
      <c r="H1608" s="24">
        <f>IF($D1608="","",IFERROR(VLOOKUP($D1608,物料档案!$A$4:$P$1203,2,0),"※编码不在物料档案里"))</f>
        <v/>
      </c>
      <c r="I1608" s="24">
        <f>IF($D1608="","",IFERROR(VLOOKUP($D1608,物料档案!$A$4:$P$1203,6,0),"※编码不在物料档案里"))</f>
        <v/>
      </c>
      <c r="J1608" s="23" t="n"/>
      <c r="K1608" s="17" t="n"/>
      <c r="L1608" s="17" t="n"/>
      <c r="M1608" s="17" t="n"/>
      <c r="N1608" s="17" t="n"/>
      <c r="O1608" s="26">
        <f>IF($D1608="","",IFERROR(VLOOKUP($D1608,物料档案!$A$4:$P$1203,10,0),0))</f>
        <v/>
      </c>
      <c r="P1608" s="32" t="n"/>
      <c r="Q1608" s="26">
        <f>IF($D1608="","",IF($K1608&lt;&gt;"对外销售",0,ROUND(N($J1608)*IF($P1608="",N($O1608),N($P1608)),0)))</f>
        <v/>
      </c>
      <c r="R1608" s="26">
        <f>IF($D1608="","",IFERROR(VLOOKUP($D1608,库存台账!$A$5:$Y$1204,11,0),0))</f>
        <v/>
      </c>
      <c r="S1608" s="26">
        <f>IF($D1608="","",ROUND(N($J1608)*N($R1608),0))</f>
        <v/>
      </c>
      <c r="T1608" s="26">
        <f>IF($D1608="","",IF($K1608&lt;&gt;"对外销售","",ROUND($Q1608-$S1608,0)))</f>
        <v/>
      </c>
      <c r="U1608" s="17" t="n"/>
      <c r="V1608" s="17" t="n"/>
      <c r="W1608" s="24">
        <f>IF($D1608="","",IF($E1608="※编码不在物料档案里","※物料编码不在档案里",IF(N($J1608)&lt;=0,"※出库数量要大于 0",IF($K1608="","※没填去向类型",IF($L1608="","※没填去向矿区",IF(AND($C1608&lt;&gt;"",$C1608&lt;=结账锁),"※日期早于已结账截止日，不能再录",IF(AND($K1608="自用消耗",COUNTIF({"一矿区";"二矿区"},$L1608)=0),"※自用消耗的去向只能是一矿区或二矿区",IF(AND($K1608="对外销售",COUNTIF({"三矿区";"六矿区"},$L1608)=0),"※对外销售的去向只能是三矿区或六矿区",IF(AND($K1608="对外销售",ROUND($Q1608,0)=0),"※外销却没有售价，请填实际售价",IF(AND($K1608="对外销售",$T1608&lt;&gt;"",$T1608&lt;0),"※这一笔外销是亏的，请核对售价",IF(IFERROR(VLOOKUP($D1608,库存台账!$A$5:$Y$1204,24,0),0)&lt;-0.001,"※这个物料账面已经变成负数了，查一下是不是漏记入库","")))))))))))</f>
        <v/>
      </c>
    </row>
    <row r="1609">
      <c r="A1609" s="24">
        <f>IF($D1609="","",COUNTA($D$4:$D1609))</f>
        <v/>
      </c>
      <c r="B1609" s="17" t="n"/>
      <c r="C1609" s="30" t="n"/>
      <c r="D1609" s="17" t="n"/>
      <c r="E1609" s="24">
        <f>IF($D1609="","",IFERROR(VLOOKUP($D1609,物料档案!$A$4:$P$1203,3,0),"※编码不在物料档案里"))</f>
        <v/>
      </c>
      <c r="F1609" s="24">
        <f>IF($D1609="","",IFERROR(VLOOKUP($D1609,物料档案!$A$4:$P$1203,4,0),"※编码不在物料档案里"))</f>
        <v/>
      </c>
      <c r="G1609" s="24">
        <f>IF($D1609="","",IFERROR(VLOOKUP($D1609,物料档案!$A$4:$P$1203,5,0),"※编码不在物料档案里"))</f>
        <v/>
      </c>
      <c r="H1609" s="24">
        <f>IF($D1609="","",IFERROR(VLOOKUP($D1609,物料档案!$A$4:$P$1203,2,0),"※编码不在物料档案里"))</f>
        <v/>
      </c>
      <c r="I1609" s="24">
        <f>IF($D1609="","",IFERROR(VLOOKUP($D1609,物料档案!$A$4:$P$1203,6,0),"※编码不在物料档案里"))</f>
        <v/>
      </c>
      <c r="J1609" s="23" t="n"/>
      <c r="K1609" s="17" t="n"/>
      <c r="L1609" s="17" t="n"/>
      <c r="M1609" s="17" t="n"/>
      <c r="N1609" s="17" t="n"/>
      <c r="O1609" s="26">
        <f>IF($D1609="","",IFERROR(VLOOKUP($D1609,物料档案!$A$4:$P$1203,10,0),0))</f>
        <v/>
      </c>
      <c r="P1609" s="32" t="n"/>
      <c r="Q1609" s="26">
        <f>IF($D1609="","",IF($K1609&lt;&gt;"对外销售",0,ROUND(N($J1609)*IF($P1609="",N($O1609),N($P1609)),0)))</f>
        <v/>
      </c>
      <c r="R1609" s="26">
        <f>IF($D1609="","",IFERROR(VLOOKUP($D1609,库存台账!$A$5:$Y$1204,11,0),0))</f>
        <v/>
      </c>
      <c r="S1609" s="26">
        <f>IF($D1609="","",ROUND(N($J1609)*N($R1609),0))</f>
        <v/>
      </c>
      <c r="T1609" s="26">
        <f>IF($D1609="","",IF($K1609&lt;&gt;"对外销售","",ROUND($Q1609-$S1609,0)))</f>
        <v/>
      </c>
      <c r="U1609" s="17" t="n"/>
      <c r="V1609" s="17" t="n"/>
      <c r="W1609" s="24">
        <f>IF($D1609="","",IF($E1609="※编码不在物料档案里","※物料编码不在档案里",IF(N($J1609)&lt;=0,"※出库数量要大于 0",IF($K1609="","※没填去向类型",IF($L1609="","※没填去向矿区",IF(AND($C1609&lt;&gt;"",$C1609&lt;=结账锁),"※日期早于已结账截止日，不能再录",IF(AND($K1609="自用消耗",COUNTIF({"一矿区";"二矿区"},$L1609)=0),"※自用消耗的去向只能是一矿区或二矿区",IF(AND($K1609="对外销售",COUNTIF({"三矿区";"六矿区"},$L1609)=0),"※对外销售的去向只能是三矿区或六矿区",IF(AND($K1609="对外销售",ROUND($Q1609,0)=0),"※外销却没有售价，请填实际售价",IF(AND($K1609="对外销售",$T1609&lt;&gt;"",$T1609&lt;0),"※这一笔外销是亏的，请核对售价",IF(IFERROR(VLOOKUP($D1609,库存台账!$A$5:$Y$1204,24,0),0)&lt;-0.001,"※这个物料账面已经变成负数了，查一下是不是漏记入库","")))))))))))</f>
        <v/>
      </c>
    </row>
    <row r="1610">
      <c r="A1610" s="24">
        <f>IF($D1610="","",COUNTA($D$4:$D1610))</f>
        <v/>
      </c>
      <c r="B1610" s="17" t="n"/>
      <c r="C1610" s="30" t="n"/>
      <c r="D1610" s="17" t="n"/>
      <c r="E1610" s="24">
        <f>IF($D1610="","",IFERROR(VLOOKUP($D1610,物料档案!$A$4:$P$1203,3,0),"※编码不在物料档案里"))</f>
        <v/>
      </c>
      <c r="F1610" s="24">
        <f>IF($D1610="","",IFERROR(VLOOKUP($D1610,物料档案!$A$4:$P$1203,4,0),"※编码不在物料档案里"))</f>
        <v/>
      </c>
      <c r="G1610" s="24">
        <f>IF($D1610="","",IFERROR(VLOOKUP($D1610,物料档案!$A$4:$P$1203,5,0),"※编码不在物料档案里"))</f>
        <v/>
      </c>
      <c r="H1610" s="24">
        <f>IF($D1610="","",IFERROR(VLOOKUP($D1610,物料档案!$A$4:$P$1203,2,0),"※编码不在物料档案里"))</f>
        <v/>
      </c>
      <c r="I1610" s="24">
        <f>IF($D1610="","",IFERROR(VLOOKUP($D1610,物料档案!$A$4:$P$1203,6,0),"※编码不在物料档案里"))</f>
        <v/>
      </c>
      <c r="J1610" s="23" t="n"/>
      <c r="K1610" s="17" t="n"/>
      <c r="L1610" s="17" t="n"/>
      <c r="M1610" s="17" t="n"/>
      <c r="N1610" s="17" t="n"/>
      <c r="O1610" s="26">
        <f>IF($D1610="","",IFERROR(VLOOKUP($D1610,物料档案!$A$4:$P$1203,10,0),0))</f>
        <v/>
      </c>
      <c r="P1610" s="32" t="n"/>
      <c r="Q1610" s="26">
        <f>IF($D1610="","",IF($K1610&lt;&gt;"对外销售",0,ROUND(N($J1610)*IF($P1610="",N($O1610),N($P1610)),0)))</f>
        <v/>
      </c>
      <c r="R1610" s="26">
        <f>IF($D1610="","",IFERROR(VLOOKUP($D1610,库存台账!$A$5:$Y$1204,11,0),0))</f>
        <v/>
      </c>
      <c r="S1610" s="26">
        <f>IF($D1610="","",ROUND(N($J1610)*N($R1610),0))</f>
        <v/>
      </c>
      <c r="T1610" s="26">
        <f>IF($D1610="","",IF($K1610&lt;&gt;"对外销售","",ROUND($Q1610-$S1610,0)))</f>
        <v/>
      </c>
      <c r="U1610" s="17" t="n"/>
      <c r="V1610" s="17" t="n"/>
      <c r="W1610" s="24">
        <f>IF($D1610="","",IF($E1610="※编码不在物料档案里","※物料编码不在档案里",IF(N($J1610)&lt;=0,"※出库数量要大于 0",IF($K1610="","※没填去向类型",IF($L1610="","※没填去向矿区",IF(AND($C1610&lt;&gt;"",$C1610&lt;=结账锁),"※日期早于已结账截止日，不能再录",IF(AND($K1610="自用消耗",COUNTIF({"一矿区";"二矿区"},$L1610)=0),"※自用消耗的去向只能是一矿区或二矿区",IF(AND($K1610="对外销售",COUNTIF({"三矿区";"六矿区"},$L1610)=0),"※对外销售的去向只能是三矿区或六矿区",IF(AND($K1610="对外销售",ROUND($Q1610,0)=0),"※外销却没有售价，请填实际售价",IF(AND($K1610="对外销售",$T1610&lt;&gt;"",$T1610&lt;0),"※这一笔外销是亏的，请核对售价",IF(IFERROR(VLOOKUP($D1610,库存台账!$A$5:$Y$1204,24,0),0)&lt;-0.001,"※这个物料账面已经变成负数了，查一下是不是漏记入库","")))))))))))</f>
        <v/>
      </c>
    </row>
    <row r="1611">
      <c r="A1611" s="24">
        <f>IF($D1611="","",COUNTA($D$4:$D1611))</f>
        <v/>
      </c>
      <c r="B1611" s="17" t="n"/>
      <c r="C1611" s="30" t="n"/>
      <c r="D1611" s="17" t="n"/>
      <c r="E1611" s="24">
        <f>IF($D1611="","",IFERROR(VLOOKUP($D1611,物料档案!$A$4:$P$1203,3,0),"※编码不在物料档案里"))</f>
        <v/>
      </c>
      <c r="F1611" s="24">
        <f>IF($D1611="","",IFERROR(VLOOKUP($D1611,物料档案!$A$4:$P$1203,4,0),"※编码不在物料档案里"))</f>
        <v/>
      </c>
      <c r="G1611" s="24">
        <f>IF($D1611="","",IFERROR(VLOOKUP($D1611,物料档案!$A$4:$P$1203,5,0),"※编码不在物料档案里"))</f>
        <v/>
      </c>
      <c r="H1611" s="24">
        <f>IF($D1611="","",IFERROR(VLOOKUP($D1611,物料档案!$A$4:$P$1203,2,0),"※编码不在物料档案里"))</f>
        <v/>
      </c>
      <c r="I1611" s="24">
        <f>IF($D1611="","",IFERROR(VLOOKUP($D1611,物料档案!$A$4:$P$1203,6,0),"※编码不在物料档案里"))</f>
        <v/>
      </c>
      <c r="J1611" s="23" t="n"/>
      <c r="K1611" s="17" t="n"/>
      <c r="L1611" s="17" t="n"/>
      <c r="M1611" s="17" t="n"/>
      <c r="N1611" s="17" t="n"/>
      <c r="O1611" s="26">
        <f>IF($D1611="","",IFERROR(VLOOKUP($D1611,物料档案!$A$4:$P$1203,10,0),0))</f>
        <v/>
      </c>
      <c r="P1611" s="32" t="n"/>
      <c r="Q1611" s="26">
        <f>IF($D1611="","",IF($K1611&lt;&gt;"对外销售",0,ROUND(N($J1611)*IF($P1611="",N($O1611),N($P1611)),0)))</f>
        <v/>
      </c>
      <c r="R1611" s="26">
        <f>IF($D1611="","",IFERROR(VLOOKUP($D1611,库存台账!$A$5:$Y$1204,11,0),0))</f>
        <v/>
      </c>
      <c r="S1611" s="26">
        <f>IF($D1611="","",ROUND(N($J1611)*N($R1611),0))</f>
        <v/>
      </c>
      <c r="T1611" s="26">
        <f>IF($D1611="","",IF($K1611&lt;&gt;"对外销售","",ROUND($Q1611-$S1611,0)))</f>
        <v/>
      </c>
      <c r="U1611" s="17" t="n"/>
      <c r="V1611" s="17" t="n"/>
      <c r="W1611" s="24">
        <f>IF($D1611="","",IF($E1611="※编码不在物料档案里","※物料编码不在档案里",IF(N($J1611)&lt;=0,"※出库数量要大于 0",IF($K1611="","※没填去向类型",IF($L1611="","※没填去向矿区",IF(AND($C1611&lt;&gt;"",$C1611&lt;=结账锁),"※日期早于已结账截止日，不能再录",IF(AND($K1611="自用消耗",COUNTIF({"一矿区";"二矿区"},$L1611)=0),"※自用消耗的去向只能是一矿区或二矿区",IF(AND($K1611="对外销售",COUNTIF({"三矿区";"六矿区"},$L1611)=0),"※对外销售的去向只能是三矿区或六矿区",IF(AND($K1611="对外销售",ROUND($Q1611,0)=0),"※外销却没有售价，请填实际售价",IF(AND($K1611="对外销售",$T1611&lt;&gt;"",$T1611&lt;0),"※这一笔外销是亏的，请核对售价",IF(IFERROR(VLOOKUP($D1611,库存台账!$A$5:$Y$1204,24,0),0)&lt;-0.001,"※这个物料账面已经变成负数了，查一下是不是漏记入库","")))))))))))</f>
        <v/>
      </c>
    </row>
    <row r="1612">
      <c r="A1612" s="24">
        <f>IF($D1612="","",COUNTA($D$4:$D1612))</f>
        <v/>
      </c>
      <c r="B1612" s="17" t="n"/>
      <c r="C1612" s="30" t="n"/>
      <c r="D1612" s="17" t="n"/>
      <c r="E1612" s="24">
        <f>IF($D1612="","",IFERROR(VLOOKUP($D1612,物料档案!$A$4:$P$1203,3,0),"※编码不在物料档案里"))</f>
        <v/>
      </c>
      <c r="F1612" s="24">
        <f>IF($D1612="","",IFERROR(VLOOKUP($D1612,物料档案!$A$4:$P$1203,4,0),"※编码不在物料档案里"))</f>
        <v/>
      </c>
      <c r="G1612" s="24">
        <f>IF($D1612="","",IFERROR(VLOOKUP($D1612,物料档案!$A$4:$P$1203,5,0),"※编码不在物料档案里"))</f>
        <v/>
      </c>
      <c r="H1612" s="24">
        <f>IF($D1612="","",IFERROR(VLOOKUP($D1612,物料档案!$A$4:$P$1203,2,0),"※编码不在物料档案里"))</f>
        <v/>
      </c>
      <c r="I1612" s="24">
        <f>IF($D1612="","",IFERROR(VLOOKUP($D1612,物料档案!$A$4:$P$1203,6,0),"※编码不在物料档案里"))</f>
        <v/>
      </c>
      <c r="J1612" s="23" t="n"/>
      <c r="K1612" s="17" t="n"/>
      <c r="L1612" s="17" t="n"/>
      <c r="M1612" s="17" t="n"/>
      <c r="N1612" s="17" t="n"/>
      <c r="O1612" s="26">
        <f>IF($D1612="","",IFERROR(VLOOKUP($D1612,物料档案!$A$4:$P$1203,10,0),0))</f>
        <v/>
      </c>
      <c r="P1612" s="32" t="n"/>
      <c r="Q1612" s="26">
        <f>IF($D1612="","",IF($K1612&lt;&gt;"对外销售",0,ROUND(N($J1612)*IF($P1612="",N($O1612),N($P1612)),0)))</f>
        <v/>
      </c>
      <c r="R1612" s="26">
        <f>IF($D1612="","",IFERROR(VLOOKUP($D1612,库存台账!$A$5:$Y$1204,11,0),0))</f>
        <v/>
      </c>
      <c r="S1612" s="26">
        <f>IF($D1612="","",ROUND(N($J1612)*N($R1612),0))</f>
        <v/>
      </c>
      <c r="T1612" s="26">
        <f>IF($D1612="","",IF($K1612&lt;&gt;"对外销售","",ROUND($Q1612-$S1612,0)))</f>
        <v/>
      </c>
      <c r="U1612" s="17" t="n"/>
      <c r="V1612" s="17" t="n"/>
      <c r="W1612" s="24">
        <f>IF($D1612="","",IF($E1612="※编码不在物料档案里","※物料编码不在档案里",IF(N($J1612)&lt;=0,"※出库数量要大于 0",IF($K1612="","※没填去向类型",IF($L1612="","※没填去向矿区",IF(AND($C1612&lt;&gt;"",$C1612&lt;=结账锁),"※日期早于已结账截止日，不能再录",IF(AND($K1612="自用消耗",COUNTIF({"一矿区";"二矿区"},$L1612)=0),"※自用消耗的去向只能是一矿区或二矿区",IF(AND($K1612="对外销售",COUNTIF({"三矿区";"六矿区"},$L1612)=0),"※对外销售的去向只能是三矿区或六矿区",IF(AND($K1612="对外销售",ROUND($Q1612,0)=0),"※外销却没有售价，请填实际售价",IF(AND($K1612="对外销售",$T1612&lt;&gt;"",$T1612&lt;0),"※这一笔外销是亏的，请核对售价",IF(IFERROR(VLOOKUP($D1612,库存台账!$A$5:$Y$1204,24,0),0)&lt;-0.001,"※这个物料账面已经变成负数了，查一下是不是漏记入库","")))))))))))</f>
        <v/>
      </c>
    </row>
    <row r="1613">
      <c r="A1613" s="24">
        <f>IF($D1613="","",COUNTA($D$4:$D1613))</f>
        <v/>
      </c>
      <c r="B1613" s="17" t="n"/>
      <c r="C1613" s="30" t="n"/>
      <c r="D1613" s="17" t="n"/>
      <c r="E1613" s="24">
        <f>IF($D1613="","",IFERROR(VLOOKUP($D1613,物料档案!$A$4:$P$1203,3,0),"※编码不在物料档案里"))</f>
        <v/>
      </c>
      <c r="F1613" s="24">
        <f>IF($D1613="","",IFERROR(VLOOKUP($D1613,物料档案!$A$4:$P$1203,4,0),"※编码不在物料档案里"))</f>
        <v/>
      </c>
      <c r="G1613" s="24">
        <f>IF($D1613="","",IFERROR(VLOOKUP($D1613,物料档案!$A$4:$P$1203,5,0),"※编码不在物料档案里"))</f>
        <v/>
      </c>
      <c r="H1613" s="24">
        <f>IF($D1613="","",IFERROR(VLOOKUP($D1613,物料档案!$A$4:$P$1203,2,0),"※编码不在物料档案里"))</f>
        <v/>
      </c>
      <c r="I1613" s="24">
        <f>IF($D1613="","",IFERROR(VLOOKUP($D1613,物料档案!$A$4:$P$1203,6,0),"※编码不在物料档案里"))</f>
        <v/>
      </c>
      <c r="J1613" s="23" t="n"/>
      <c r="K1613" s="17" t="n"/>
      <c r="L1613" s="17" t="n"/>
      <c r="M1613" s="17" t="n"/>
      <c r="N1613" s="17" t="n"/>
      <c r="O1613" s="26">
        <f>IF($D1613="","",IFERROR(VLOOKUP($D1613,物料档案!$A$4:$P$1203,10,0),0))</f>
        <v/>
      </c>
      <c r="P1613" s="32" t="n"/>
      <c r="Q1613" s="26">
        <f>IF($D1613="","",IF($K1613&lt;&gt;"对外销售",0,ROUND(N($J1613)*IF($P1613="",N($O1613),N($P1613)),0)))</f>
        <v/>
      </c>
      <c r="R1613" s="26">
        <f>IF($D1613="","",IFERROR(VLOOKUP($D1613,库存台账!$A$5:$Y$1204,11,0),0))</f>
        <v/>
      </c>
      <c r="S1613" s="26">
        <f>IF($D1613="","",ROUND(N($J1613)*N($R1613),0))</f>
        <v/>
      </c>
      <c r="T1613" s="26">
        <f>IF($D1613="","",IF($K1613&lt;&gt;"对外销售","",ROUND($Q1613-$S1613,0)))</f>
        <v/>
      </c>
      <c r="U1613" s="17" t="n"/>
      <c r="V1613" s="17" t="n"/>
      <c r="W1613" s="24">
        <f>IF($D1613="","",IF($E1613="※编码不在物料档案里","※物料编码不在档案里",IF(N($J1613)&lt;=0,"※出库数量要大于 0",IF($K1613="","※没填去向类型",IF($L1613="","※没填去向矿区",IF(AND($C1613&lt;&gt;"",$C1613&lt;=结账锁),"※日期早于已结账截止日，不能再录",IF(AND($K1613="自用消耗",COUNTIF({"一矿区";"二矿区"},$L1613)=0),"※自用消耗的去向只能是一矿区或二矿区",IF(AND($K1613="对外销售",COUNTIF({"三矿区";"六矿区"},$L1613)=0),"※对外销售的去向只能是三矿区或六矿区",IF(AND($K1613="对外销售",ROUND($Q1613,0)=0),"※外销却没有售价，请填实际售价",IF(AND($K1613="对外销售",$T1613&lt;&gt;"",$T1613&lt;0),"※这一笔外销是亏的，请核对售价",IF(IFERROR(VLOOKUP($D1613,库存台账!$A$5:$Y$1204,24,0),0)&lt;-0.001,"※这个物料账面已经变成负数了，查一下是不是漏记入库","")))))))))))</f>
        <v/>
      </c>
    </row>
    <row r="1614">
      <c r="A1614" s="24">
        <f>IF($D1614="","",COUNTA($D$4:$D1614))</f>
        <v/>
      </c>
      <c r="B1614" s="17" t="n"/>
      <c r="C1614" s="30" t="n"/>
      <c r="D1614" s="17" t="n"/>
      <c r="E1614" s="24">
        <f>IF($D1614="","",IFERROR(VLOOKUP($D1614,物料档案!$A$4:$P$1203,3,0),"※编码不在物料档案里"))</f>
        <v/>
      </c>
      <c r="F1614" s="24">
        <f>IF($D1614="","",IFERROR(VLOOKUP($D1614,物料档案!$A$4:$P$1203,4,0),"※编码不在物料档案里"))</f>
        <v/>
      </c>
      <c r="G1614" s="24">
        <f>IF($D1614="","",IFERROR(VLOOKUP($D1614,物料档案!$A$4:$P$1203,5,0),"※编码不在物料档案里"))</f>
        <v/>
      </c>
      <c r="H1614" s="24">
        <f>IF($D1614="","",IFERROR(VLOOKUP($D1614,物料档案!$A$4:$P$1203,2,0),"※编码不在物料档案里"))</f>
        <v/>
      </c>
      <c r="I1614" s="24">
        <f>IF($D1614="","",IFERROR(VLOOKUP($D1614,物料档案!$A$4:$P$1203,6,0),"※编码不在物料档案里"))</f>
        <v/>
      </c>
      <c r="J1614" s="23" t="n"/>
      <c r="K1614" s="17" t="n"/>
      <c r="L1614" s="17" t="n"/>
      <c r="M1614" s="17" t="n"/>
      <c r="N1614" s="17" t="n"/>
      <c r="O1614" s="26">
        <f>IF($D1614="","",IFERROR(VLOOKUP($D1614,物料档案!$A$4:$P$1203,10,0),0))</f>
        <v/>
      </c>
      <c r="P1614" s="32" t="n"/>
      <c r="Q1614" s="26">
        <f>IF($D1614="","",IF($K1614&lt;&gt;"对外销售",0,ROUND(N($J1614)*IF($P1614="",N($O1614),N($P1614)),0)))</f>
        <v/>
      </c>
      <c r="R1614" s="26">
        <f>IF($D1614="","",IFERROR(VLOOKUP($D1614,库存台账!$A$5:$Y$1204,11,0),0))</f>
        <v/>
      </c>
      <c r="S1614" s="26">
        <f>IF($D1614="","",ROUND(N($J1614)*N($R1614),0))</f>
        <v/>
      </c>
      <c r="T1614" s="26">
        <f>IF($D1614="","",IF($K1614&lt;&gt;"对外销售","",ROUND($Q1614-$S1614,0)))</f>
        <v/>
      </c>
      <c r="U1614" s="17" t="n"/>
      <c r="V1614" s="17" t="n"/>
      <c r="W1614" s="24">
        <f>IF($D1614="","",IF($E1614="※编码不在物料档案里","※物料编码不在档案里",IF(N($J1614)&lt;=0,"※出库数量要大于 0",IF($K1614="","※没填去向类型",IF($L1614="","※没填去向矿区",IF(AND($C1614&lt;&gt;"",$C1614&lt;=结账锁),"※日期早于已结账截止日，不能再录",IF(AND($K1614="自用消耗",COUNTIF({"一矿区";"二矿区"},$L1614)=0),"※自用消耗的去向只能是一矿区或二矿区",IF(AND($K1614="对外销售",COUNTIF({"三矿区";"六矿区"},$L1614)=0),"※对外销售的去向只能是三矿区或六矿区",IF(AND($K1614="对外销售",ROUND($Q1614,0)=0),"※外销却没有售价，请填实际售价",IF(AND($K1614="对外销售",$T1614&lt;&gt;"",$T1614&lt;0),"※这一笔外销是亏的，请核对售价",IF(IFERROR(VLOOKUP($D1614,库存台账!$A$5:$Y$1204,24,0),0)&lt;-0.001,"※这个物料账面已经变成负数了，查一下是不是漏记入库","")))))))))))</f>
        <v/>
      </c>
    </row>
    <row r="1615">
      <c r="A1615" s="24">
        <f>IF($D1615="","",COUNTA($D$4:$D1615))</f>
        <v/>
      </c>
      <c r="B1615" s="17" t="n"/>
      <c r="C1615" s="30" t="n"/>
      <c r="D1615" s="17" t="n"/>
      <c r="E1615" s="24">
        <f>IF($D1615="","",IFERROR(VLOOKUP($D1615,物料档案!$A$4:$P$1203,3,0),"※编码不在物料档案里"))</f>
        <v/>
      </c>
      <c r="F1615" s="24">
        <f>IF($D1615="","",IFERROR(VLOOKUP($D1615,物料档案!$A$4:$P$1203,4,0),"※编码不在物料档案里"))</f>
        <v/>
      </c>
      <c r="G1615" s="24">
        <f>IF($D1615="","",IFERROR(VLOOKUP($D1615,物料档案!$A$4:$P$1203,5,0),"※编码不在物料档案里"))</f>
        <v/>
      </c>
      <c r="H1615" s="24">
        <f>IF($D1615="","",IFERROR(VLOOKUP($D1615,物料档案!$A$4:$P$1203,2,0),"※编码不在物料档案里"))</f>
        <v/>
      </c>
      <c r="I1615" s="24">
        <f>IF($D1615="","",IFERROR(VLOOKUP($D1615,物料档案!$A$4:$P$1203,6,0),"※编码不在物料档案里"))</f>
        <v/>
      </c>
      <c r="J1615" s="23" t="n"/>
      <c r="K1615" s="17" t="n"/>
      <c r="L1615" s="17" t="n"/>
      <c r="M1615" s="17" t="n"/>
      <c r="N1615" s="17" t="n"/>
      <c r="O1615" s="26">
        <f>IF($D1615="","",IFERROR(VLOOKUP($D1615,物料档案!$A$4:$P$1203,10,0),0))</f>
        <v/>
      </c>
      <c r="P1615" s="32" t="n"/>
      <c r="Q1615" s="26">
        <f>IF($D1615="","",IF($K1615&lt;&gt;"对外销售",0,ROUND(N($J1615)*IF($P1615="",N($O1615),N($P1615)),0)))</f>
        <v/>
      </c>
      <c r="R1615" s="26">
        <f>IF($D1615="","",IFERROR(VLOOKUP($D1615,库存台账!$A$5:$Y$1204,11,0),0))</f>
        <v/>
      </c>
      <c r="S1615" s="26">
        <f>IF($D1615="","",ROUND(N($J1615)*N($R1615),0))</f>
        <v/>
      </c>
      <c r="T1615" s="26">
        <f>IF($D1615="","",IF($K1615&lt;&gt;"对外销售","",ROUND($Q1615-$S1615,0)))</f>
        <v/>
      </c>
      <c r="U1615" s="17" t="n"/>
      <c r="V1615" s="17" t="n"/>
      <c r="W1615" s="24">
        <f>IF($D1615="","",IF($E1615="※编码不在物料档案里","※物料编码不在档案里",IF(N($J1615)&lt;=0,"※出库数量要大于 0",IF($K1615="","※没填去向类型",IF($L1615="","※没填去向矿区",IF(AND($C1615&lt;&gt;"",$C1615&lt;=结账锁),"※日期早于已结账截止日，不能再录",IF(AND($K1615="自用消耗",COUNTIF({"一矿区";"二矿区"},$L1615)=0),"※自用消耗的去向只能是一矿区或二矿区",IF(AND($K1615="对外销售",COUNTIF({"三矿区";"六矿区"},$L1615)=0),"※对外销售的去向只能是三矿区或六矿区",IF(AND($K1615="对外销售",ROUND($Q1615,0)=0),"※外销却没有售价，请填实际售价",IF(AND($K1615="对外销售",$T1615&lt;&gt;"",$T1615&lt;0),"※这一笔外销是亏的，请核对售价",IF(IFERROR(VLOOKUP($D1615,库存台账!$A$5:$Y$1204,24,0),0)&lt;-0.001,"※这个物料账面已经变成负数了，查一下是不是漏记入库","")))))))))))</f>
        <v/>
      </c>
    </row>
    <row r="1616">
      <c r="A1616" s="24">
        <f>IF($D1616="","",COUNTA($D$4:$D1616))</f>
        <v/>
      </c>
      <c r="B1616" s="17" t="n"/>
      <c r="C1616" s="30" t="n"/>
      <c r="D1616" s="17" t="n"/>
      <c r="E1616" s="24">
        <f>IF($D1616="","",IFERROR(VLOOKUP($D1616,物料档案!$A$4:$P$1203,3,0),"※编码不在物料档案里"))</f>
        <v/>
      </c>
      <c r="F1616" s="24">
        <f>IF($D1616="","",IFERROR(VLOOKUP($D1616,物料档案!$A$4:$P$1203,4,0),"※编码不在物料档案里"))</f>
        <v/>
      </c>
      <c r="G1616" s="24">
        <f>IF($D1616="","",IFERROR(VLOOKUP($D1616,物料档案!$A$4:$P$1203,5,0),"※编码不在物料档案里"))</f>
        <v/>
      </c>
      <c r="H1616" s="24">
        <f>IF($D1616="","",IFERROR(VLOOKUP($D1616,物料档案!$A$4:$P$1203,2,0),"※编码不在物料档案里"))</f>
        <v/>
      </c>
      <c r="I1616" s="24">
        <f>IF($D1616="","",IFERROR(VLOOKUP($D1616,物料档案!$A$4:$P$1203,6,0),"※编码不在物料档案里"))</f>
        <v/>
      </c>
      <c r="J1616" s="23" t="n"/>
      <c r="K1616" s="17" t="n"/>
      <c r="L1616" s="17" t="n"/>
      <c r="M1616" s="17" t="n"/>
      <c r="N1616" s="17" t="n"/>
      <c r="O1616" s="26">
        <f>IF($D1616="","",IFERROR(VLOOKUP($D1616,物料档案!$A$4:$P$1203,10,0),0))</f>
        <v/>
      </c>
      <c r="P1616" s="32" t="n"/>
      <c r="Q1616" s="26">
        <f>IF($D1616="","",IF($K1616&lt;&gt;"对外销售",0,ROUND(N($J1616)*IF($P1616="",N($O1616),N($P1616)),0)))</f>
        <v/>
      </c>
      <c r="R1616" s="26">
        <f>IF($D1616="","",IFERROR(VLOOKUP($D1616,库存台账!$A$5:$Y$1204,11,0),0))</f>
        <v/>
      </c>
      <c r="S1616" s="26">
        <f>IF($D1616="","",ROUND(N($J1616)*N($R1616),0))</f>
        <v/>
      </c>
      <c r="T1616" s="26">
        <f>IF($D1616="","",IF($K1616&lt;&gt;"对外销售","",ROUND($Q1616-$S1616,0)))</f>
        <v/>
      </c>
      <c r="U1616" s="17" t="n"/>
      <c r="V1616" s="17" t="n"/>
      <c r="W1616" s="24">
        <f>IF($D1616="","",IF($E1616="※编码不在物料档案里","※物料编码不在档案里",IF(N($J1616)&lt;=0,"※出库数量要大于 0",IF($K1616="","※没填去向类型",IF($L1616="","※没填去向矿区",IF(AND($C1616&lt;&gt;"",$C1616&lt;=结账锁),"※日期早于已结账截止日，不能再录",IF(AND($K1616="自用消耗",COUNTIF({"一矿区";"二矿区"},$L1616)=0),"※自用消耗的去向只能是一矿区或二矿区",IF(AND($K1616="对外销售",COUNTIF({"三矿区";"六矿区"},$L1616)=0),"※对外销售的去向只能是三矿区或六矿区",IF(AND($K1616="对外销售",ROUND($Q1616,0)=0),"※外销却没有售价，请填实际售价",IF(AND($K1616="对外销售",$T1616&lt;&gt;"",$T1616&lt;0),"※这一笔外销是亏的，请核对售价",IF(IFERROR(VLOOKUP($D1616,库存台账!$A$5:$Y$1204,24,0),0)&lt;-0.001,"※这个物料账面已经变成负数了，查一下是不是漏记入库","")))))))))))</f>
        <v/>
      </c>
    </row>
    <row r="1617">
      <c r="A1617" s="24">
        <f>IF($D1617="","",COUNTA($D$4:$D1617))</f>
        <v/>
      </c>
      <c r="B1617" s="17" t="n"/>
      <c r="C1617" s="30" t="n"/>
      <c r="D1617" s="17" t="n"/>
      <c r="E1617" s="24">
        <f>IF($D1617="","",IFERROR(VLOOKUP($D1617,物料档案!$A$4:$P$1203,3,0),"※编码不在物料档案里"))</f>
        <v/>
      </c>
      <c r="F1617" s="24">
        <f>IF($D1617="","",IFERROR(VLOOKUP($D1617,物料档案!$A$4:$P$1203,4,0),"※编码不在物料档案里"))</f>
        <v/>
      </c>
      <c r="G1617" s="24">
        <f>IF($D1617="","",IFERROR(VLOOKUP($D1617,物料档案!$A$4:$P$1203,5,0),"※编码不在物料档案里"))</f>
        <v/>
      </c>
      <c r="H1617" s="24">
        <f>IF($D1617="","",IFERROR(VLOOKUP($D1617,物料档案!$A$4:$P$1203,2,0),"※编码不在物料档案里"))</f>
        <v/>
      </c>
      <c r="I1617" s="24">
        <f>IF($D1617="","",IFERROR(VLOOKUP($D1617,物料档案!$A$4:$P$1203,6,0),"※编码不在物料档案里"))</f>
        <v/>
      </c>
      <c r="J1617" s="23" t="n"/>
      <c r="K1617" s="17" t="n"/>
      <c r="L1617" s="17" t="n"/>
      <c r="M1617" s="17" t="n"/>
      <c r="N1617" s="17" t="n"/>
      <c r="O1617" s="26">
        <f>IF($D1617="","",IFERROR(VLOOKUP($D1617,物料档案!$A$4:$P$1203,10,0),0))</f>
        <v/>
      </c>
      <c r="P1617" s="32" t="n"/>
      <c r="Q1617" s="26">
        <f>IF($D1617="","",IF($K1617&lt;&gt;"对外销售",0,ROUND(N($J1617)*IF($P1617="",N($O1617),N($P1617)),0)))</f>
        <v/>
      </c>
      <c r="R1617" s="26">
        <f>IF($D1617="","",IFERROR(VLOOKUP($D1617,库存台账!$A$5:$Y$1204,11,0),0))</f>
        <v/>
      </c>
      <c r="S1617" s="26">
        <f>IF($D1617="","",ROUND(N($J1617)*N($R1617),0))</f>
        <v/>
      </c>
      <c r="T1617" s="26">
        <f>IF($D1617="","",IF($K1617&lt;&gt;"对外销售","",ROUND($Q1617-$S1617,0)))</f>
        <v/>
      </c>
      <c r="U1617" s="17" t="n"/>
      <c r="V1617" s="17" t="n"/>
      <c r="W1617" s="24">
        <f>IF($D1617="","",IF($E1617="※编码不在物料档案里","※物料编码不在档案里",IF(N($J1617)&lt;=0,"※出库数量要大于 0",IF($K1617="","※没填去向类型",IF($L1617="","※没填去向矿区",IF(AND($C1617&lt;&gt;"",$C1617&lt;=结账锁),"※日期早于已结账截止日，不能再录",IF(AND($K1617="自用消耗",COUNTIF({"一矿区";"二矿区"},$L1617)=0),"※自用消耗的去向只能是一矿区或二矿区",IF(AND($K1617="对外销售",COUNTIF({"三矿区";"六矿区"},$L1617)=0),"※对外销售的去向只能是三矿区或六矿区",IF(AND($K1617="对外销售",ROUND($Q1617,0)=0),"※外销却没有售价，请填实际售价",IF(AND($K1617="对外销售",$T1617&lt;&gt;"",$T1617&lt;0),"※这一笔外销是亏的，请核对售价",IF(IFERROR(VLOOKUP($D1617,库存台账!$A$5:$Y$1204,24,0),0)&lt;-0.001,"※这个物料账面已经变成负数了，查一下是不是漏记入库","")))))))))))</f>
        <v/>
      </c>
    </row>
    <row r="1618">
      <c r="A1618" s="24">
        <f>IF($D1618="","",COUNTA($D$4:$D1618))</f>
        <v/>
      </c>
      <c r="B1618" s="17" t="n"/>
      <c r="C1618" s="30" t="n"/>
      <c r="D1618" s="17" t="n"/>
      <c r="E1618" s="24">
        <f>IF($D1618="","",IFERROR(VLOOKUP($D1618,物料档案!$A$4:$P$1203,3,0),"※编码不在物料档案里"))</f>
        <v/>
      </c>
      <c r="F1618" s="24">
        <f>IF($D1618="","",IFERROR(VLOOKUP($D1618,物料档案!$A$4:$P$1203,4,0),"※编码不在物料档案里"))</f>
        <v/>
      </c>
      <c r="G1618" s="24">
        <f>IF($D1618="","",IFERROR(VLOOKUP($D1618,物料档案!$A$4:$P$1203,5,0),"※编码不在物料档案里"))</f>
        <v/>
      </c>
      <c r="H1618" s="24">
        <f>IF($D1618="","",IFERROR(VLOOKUP($D1618,物料档案!$A$4:$P$1203,2,0),"※编码不在物料档案里"))</f>
        <v/>
      </c>
      <c r="I1618" s="24">
        <f>IF($D1618="","",IFERROR(VLOOKUP($D1618,物料档案!$A$4:$P$1203,6,0),"※编码不在物料档案里"))</f>
        <v/>
      </c>
      <c r="J1618" s="23" t="n"/>
      <c r="K1618" s="17" t="n"/>
      <c r="L1618" s="17" t="n"/>
      <c r="M1618" s="17" t="n"/>
      <c r="N1618" s="17" t="n"/>
      <c r="O1618" s="26">
        <f>IF($D1618="","",IFERROR(VLOOKUP($D1618,物料档案!$A$4:$P$1203,10,0),0))</f>
        <v/>
      </c>
      <c r="P1618" s="32" t="n"/>
      <c r="Q1618" s="26">
        <f>IF($D1618="","",IF($K1618&lt;&gt;"对外销售",0,ROUND(N($J1618)*IF($P1618="",N($O1618),N($P1618)),0)))</f>
        <v/>
      </c>
      <c r="R1618" s="26">
        <f>IF($D1618="","",IFERROR(VLOOKUP($D1618,库存台账!$A$5:$Y$1204,11,0),0))</f>
        <v/>
      </c>
      <c r="S1618" s="26">
        <f>IF($D1618="","",ROUND(N($J1618)*N($R1618),0))</f>
        <v/>
      </c>
      <c r="T1618" s="26">
        <f>IF($D1618="","",IF($K1618&lt;&gt;"对外销售","",ROUND($Q1618-$S1618,0)))</f>
        <v/>
      </c>
      <c r="U1618" s="17" t="n"/>
      <c r="V1618" s="17" t="n"/>
      <c r="W1618" s="24">
        <f>IF($D1618="","",IF($E1618="※编码不在物料档案里","※物料编码不在档案里",IF(N($J1618)&lt;=0,"※出库数量要大于 0",IF($K1618="","※没填去向类型",IF($L1618="","※没填去向矿区",IF(AND($C1618&lt;&gt;"",$C1618&lt;=结账锁),"※日期早于已结账截止日，不能再录",IF(AND($K1618="自用消耗",COUNTIF({"一矿区";"二矿区"},$L1618)=0),"※自用消耗的去向只能是一矿区或二矿区",IF(AND($K1618="对外销售",COUNTIF({"三矿区";"六矿区"},$L1618)=0),"※对外销售的去向只能是三矿区或六矿区",IF(AND($K1618="对外销售",ROUND($Q1618,0)=0),"※外销却没有售价，请填实际售价",IF(AND($K1618="对外销售",$T1618&lt;&gt;"",$T1618&lt;0),"※这一笔外销是亏的，请核对售价",IF(IFERROR(VLOOKUP($D1618,库存台账!$A$5:$Y$1204,24,0),0)&lt;-0.001,"※这个物料账面已经变成负数了，查一下是不是漏记入库","")))))))))))</f>
        <v/>
      </c>
    </row>
    <row r="1619">
      <c r="A1619" s="24">
        <f>IF($D1619="","",COUNTA($D$4:$D1619))</f>
        <v/>
      </c>
      <c r="B1619" s="17" t="n"/>
      <c r="C1619" s="30" t="n"/>
      <c r="D1619" s="17" t="n"/>
      <c r="E1619" s="24">
        <f>IF($D1619="","",IFERROR(VLOOKUP($D1619,物料档案!$A$4:$P$1203,3,0),"※编码不在物料档案里"))</f>
        <v/>
      </c>
      <c r="F1619" s="24">
        <f>IF($D1619="","",IFERROR(VLOOKUP($D1619,物料档案!$A$4:$P$1203,4,0),"※编码不在物料档案里"))</f>
        <v/>
      </c>
      <c r="G1619" s="24">
        <f>IF($D1619="","",IFERROR(VLOOKUP($D1619,物料档案!$A$4:$P$1203,5,0),"※编码不在物料档案里"))</f>
        <v/>
      </c>
      <c r="H1619" s="24">
        <f>IF($D1619="","",IFERROR(VLOOKUP($D1619,物料档案!$A$4:$P$1203,2,0),"※编码不在物料档案里"))</f>
        <v/>
      </c>
      <c r="I1619" s="24">
        <f>IF($D1619="","",IFERROR(VLOOKUP($D1619,物料档案!$A$4:$P$1203,6,0),"※编码不在物料档案里"))</f>
        <v/>
      </c>
      <c r="J1619" s="23" t="n"/>
      <c r="K1619" s="17" t="n"/>
      <c r="L1619" s="17" t="n"/>
      <c r="M1619" s="17" t="n"/>
      <c r="N1619" s="17" t="n"/>
      <c r="O1619" s="26">
        <f>IF($D1619="","",IFERROR(VLOOKUP($D1619,物料档案!$A$4:$P$1203,10,0),0))</f>
        <v/>
      </c>
      <c r="P1619" s="32" t="n"/>
      <c r="Q1619" s="26">
        <f>IF($D1619="","",IF($K1619&lt;&gt;"对外销售",0,ROUND(N($J1619)*IF($P1619="",N($O1619),N($P1619)),0)))</f>
        <v/>
      </c>
      <c r="R1619" s="26">
        <f>IF($D1619="","",IFERROR(VLOOKUP($D1619,库存台账!$A$5:$Y$1204,11,0),0))</f>
        <v/>
      </c>
      <c r="S1619" s="26">
        <f>IF($D1619="","",ROUND(N($J1619)*N($R1619),0))</f>
        <v/>
      </c>
      <c r="T1619" s="26">
        <f>IF($D1619="","",IF($K1619&lt;&gt;"对外销售","",ROUND($Q1619-$S1619,0)))</f>
        <v/>
      </c>
      <c r="U1619" s="17" t="n"/>
      <c r="V1619" s="17" t="n"/>
      <c r="W1619" s="24">
        <f>IF($D1619="","",IF($E1619="※编码不在物料档案里","※物料编码不在档案里",IF(N($J1619)&lt;=0,"※出库数量要大于 0",IF($K1619="","※没填去向类型",IF($L1619="","※没填去向矿区",IF(AND($C1619&lt;&gt;"",$C1619&lt;=结账锁),"※日期早于已结账截止日，不能再录",IF(AND($K1619="自用消耗",COUNTIF({"一矿区";"二矿区"},$L1619)=0),"※自用消耗的去向只能是一矿区或二矿区",IF(AND($K1619="对外销售",COUNTIF({"三矿区";"六矿区"},$L1619)=0),"※对外销售的去向只能是三矿区或六矿区",IF(AND($K1619="对外销售",ROUND($Q1619,0)=0),"※外销却没有售价，请填实际售价",IF(AND($K1619="对外销售",$T1619&lt;&gt;"",$T1619&lt;0),"※这一笔外销是亏的，请核对售价",IF(IFERROR(VLOOKUP($D1619,库存台账!$A$5:$Y$1204,24,0),0)&lt;-0.001,"※这个物料账面已经变成负数了，查一下是不是漏记入库","")))))))))))</f>
        <v/>
      </c>
    </row>
    <row r="1620">
      <c r="A1620" s="24">
        <f>IF($D1620="","",COUNTA($D$4:$D1620))</f>
        <v/>
      </c>
      <c r="B1620" s="17" t="n"/>
      <c r="C1620" s="30" t="n"/>
      <c r="D1620" s="17" t="n"/>
      <c r="E1620" s="24">
        <f>IF($D1620="","",IFERROR(VLOOKUP($D1620,物料档案!$A$4:$P$1203,3,0),"※编码不在物料档案里"))</f>
        <v/>
      </c>
      <c r="F1620" s="24">
        <f>IF($D1620="","",IFERROR(VLOOKUP($D1620,物料档案!$A$4:$P$1203,4,0),"※编码不在物料档案里"))</f>
        <v/>
      </c>
      <c r="G1620" s="24">
        <f>IF($D1620="","",IFERROR(VLOOKUP($D1620,物料档案!$A$4:$P$1203,5,0),"※编码不在物料档案里"))</f>
        <v/>
      </c>
      <c r="H1620" s="24">
        <f>IF($D1620="","",IFERROR(VLOOKUP($D1620,物料档案!$A$4:$P$1203,2,0),"※编码不在物料档案里"))</f>
        <v/>
      </c>
      <c r="I1620" s="24">
        <f>IF($D1620="","",IFERROR(VLOOKUP($D1620,物料档案!$A$4:$P$1203,6,0),"※编码不在物料档案里"))</f>
        <v/>
      </c>
      <c r="J1620" s="23" t="n"/>
      <c r="K1620" s="17" t="n"/>
      <c r="L1620" s="17" t="n"/>
      <c r="M1620" s="17" t="n"/>
      <c r="N1620" s="17" t="n"/>
      <c r="O1620" s="26">
        <f>IF($D1620="","",IFERROR(VLOOKUP($D1620,物料档案!$A$4:$P$1203,10,0),0))</f>
        <v/>
      </c>
      <c r="P1620" s="32" t="n"/>
      <c r="Q1620" s="26">
        <f>IF($D1620="","",IF($K1620&lt;&gt;"对外销售",0,ROUND(N($J1620)*IF($P1620="",N($O1620),N($P1620)),0)))</f>
        <v/>
      </c>
      <c r="R1620" s="26">
        <f>IF($D1620="","",IFERROR(VLOOKUP($D1620,库存台账!$A$5:$Y$1204,11,0),0))</f>
        <v/>
      </c>
      <c r="S1620" s="26">
        <f>IF($D1620="","",ROUND(N($J1620)*N($R1620),0))</f>
        <v/>
      </c>
      <c r="T1620" s="26">
        <f>IF($D1620="","",IF($K1620&lt;&gt;"对外销售","",ROUND($Q1620-$S1620,0)))</f>
        <v/>
      </c>
      <c r="U1620" s="17" t="n"/>
      <c r="V1620" s="17" t="n"/>
      <c r="W1620" s="24">
        <f>IF($D1620="","",IF($E1620="※编码不在物料档案里","※物料编码不在档案里",IF(N($J1620)&lt;=0,"※出库数量要大于 0",IF($K1620="","※没填去向类型",IF($L1620="","※没填去向矿区",IF(AND($C1620&lt;&gt;"",$C1620&lt;=结账锁),"※日期早于已结账截止日，不能再录",IF(AND($K1620="自用消耗",COUNTIF({"一矿区";"二矿区"},$L1620)=0),"※自用消耗的去向只能是一矿区或二矿区",IF(AND($K1620="对外销售",COUNTIF({"三矿区";"六矿区"},$L1620)=0),"※对外销售的去向只能是三矿区或六矿区",IF(AND($K1620="对外销售",ROUND($Q1620,0)=0),"※外销却没有售价，请填实际售价",IF(AND($K1620="对外销售",$T1620&lt;&gt;"",$T1620&lt;0),"※这一笔外销是亏的，请核对售价",IF(IFERROR(VLOOKUP($D1620,库存台账!$A$5:$Y$1204,24,0),0)&lt;-0.001,"※这个物料账面已经变成负数了，查一下是不是漏记入库","")))))))))))</f>
        <v/>
      </c>
    </row>
    <row r="1621">
      <c r="A1621" s="24">
        <f>IF($D1621="","",COUNTA($D$4:$D1621))</f>
        <v/>
      </c>
      <c r="B1621" s="17" t="n"/>
      <c r="C1621" s="30" t="n"/>
      <c r="D1621" s="17" t="n"/>
      <c r="E1621" s="24">
        <f>IF($D1621="","",IFERROR(VLOOKUP($D1621,物料档案!$A$4:$P$1203,3,0),"※编码不在物料档案里"))</f>
        <v/>
      </c>
      <c r="F1621" s="24">
        <f>IF($D1621="","",IFERROR(VLOOKUP($D1621,物料档案!$A$4:$P$1203,4,0),"※编码不在物料档案里"))</f>
        <v/>
      </c>
      <c r="G1621" s="24">
        <f>IF($D1621="","",IFERROR(VLOOKUP($D1621,物料档案!$A$4:$P$1203,5,0),"※编码不在物料档案里"))</f>
        <v/>
      </c>
      <c r="H1621" s="24">
        <f>IF($D1621="","",IFERROR(VLOOKUP($D1621,物料档案!$A$4:$P$1203,2,0),"※编码不在物料档案里"))</f>
        <v/>
      </c>
      <c r="I1621" s="24">
        <f>IF($D1621="","",IFERROR(VLOOKUP($D1621,物料档案!$A$4:$P$1203,6,0),"※编码不在物料档案里"))</f>
        <v/>
      </c>
      <c r="J1621" s="23" t="n"/>
      <c r="K1621" s="17" t="n"/>
      <c r="L1621" s="17" t="n"/>
      <c r="M1621" s="17" t="n"/>
      <c r="N1621" s="17" t="n"/>
      <c r="O1621" s="26">
        <f>IF($D1621="","",IFERROR(VLOOKUP($D1621,物料档案!$A$4:$P$1203,10,0),0))</f>
        <v/>
      </c>
      <c r="P1621" s="32" t="n"/>
      <c r="Q1621" s="26">
        <f>IF($D1621="","",IF($K1621&lt;&gt;"对外销售",0,ROUND(N($J1621)*IF($P1621="",N($O1621),N($P1621)),0)))</f>
        <v/>
      </c>
      <c r="R1621" s="26">
        <f>IF($D1621="","",IFERROR(VLOOKUP($D1621,库存台账!$A$5:$Y$1204,11,0),0))</f>
        <v/>
      </c>
      <c r="S1621" s="26">
        <f>IF($D1621="","",ROUND(N($J1621)*N($R1621),0))</f>
        <v/>
      </c>
      <c r="T1621" s="26">
        <f>IF($D1621="","",IF($K1621&lt;&gt;"对外销售","",ROUND($Q1621-$S1621,0)))</f>
        <v/>
      </c>
      <c r="U1621" s="17" t="n"/>
      <c r="V1621" s="17" t="n"/>
      <c r="W1621" s="24">
        <f>IF($D1621="","",IF($E1621="※编码不在物料档案里","※物料编码不在档案里",IF(N($J1621)&lt;=0,"※出库数量要大于 0",IF($K1621="","※没填去向类型",IF($L1621="","※没填去向矿区",IF(AND($C1621&lt;&gt;"",$C1621&lt;=结账锁),"※日期早于已结账截止日，不能再录",IF(AND($K1621="自用消耗",COUNTIF({"一矿区";"二矿区"},$L1621)=0),"※自用消耗的去向只能是一矿区或二矿区",IF(AND($K1621="对外销售",COUNTIF({"三矿区";"六矿区"},$L1621)=0),"※对外销售的去向只能是三矿区或六矿区",IF(AND($K1621="对外销售",ROUND($Q1621,0)=0),"※外销却没有售价，请填实际售价",IF(AND($K1621="对外销售",$T1621&lt;&gt;"",$T1621&lt;0),"※这一笔外销是亏的，请核对售价",IF(IFERROR(VLOOKUP($D1621,库存台账!$A$5:$Y$1204,24,0),0)&lt;-0.001,"※这个物料账面已经变成负数了，查一下是不是漏记入库","")))))))))))</f>
        <v/>
      </c>
    </row>
    <row r="1622">
      <c r="A1622" s="24">
        <f>IF($D1622="","",COUNTA($D$4:$D1622))</f>
        <v/>
      </c>
      <c r="B1622" s="17" t="n"/>
      <c r="C1622" s="30" t="n"/>
      <c r="D1622" s="17" t="n"/>
      <c r="E1622" s="24">
        <f>IF($D1622="","",IFERROR(VLOOKUP($D1622,物料档案!$A$4:$P$1203,3,0),"※编码不在物料档案里"))</f>
        <v/>
      </c>
      <c r="F1622" s="24">
        <f>IF($D1622="","",IFERROR(VLOOKUP($D1622,物料档案!$A$4:$P$1203,4,0),"※编码不在物料档案里"))</f>
        <v/>
      </c>
      <c r="G1622" s="24">
        <f>IF($D1622="","",IFERROR(VLOOKUP($D1622,物料档案!$A$4:$P$1203,5,0),"※编码不在物料档案里"))</f>
        <v/>
      </c>
      <c r="H1622" s="24">
        <f>IF($D1622="","",IFERROR(VLOOKUP($D1622,物料档案!$A$4:$P$1203,2,0),"※编码不在物料档案里"))</f>
        <v/>
      </c>
      <c r="I1622" s="24">
        <f>IF($D1622="","",IFERROR(VLOOKUP($D1622,物料档案!$A$4:$P$1203,6,0),"※编码不在物料档案里"))</f>
        <v/>
      </c>
      <c r="J1622" s="23" t="n"/>
      <c r="K1622" s="17" t="n"/>
      <c r="L1622" s="17" t="n"/>
      <c r="M1622" s="17" t="n"/>
      <c r="N1622" s="17" t="n"/>
      <c r="O1622" s="26">
        <f>IF($D1622="","",IFERROR(VLOOKUP($D1622,物料档案!$A$4:$P$1203,10,0),0))</f>
        <v/>
      </c>
      <c r="P1622" s="32" t="n"/>
      <c r="Q1622" s="26">
        <f>IF($D1622="","",IF($K1622&lt;&gt;"对外销售",0,ROUND(N($J1622)*IF($P1622="",N($O1622),N($P1622)),0)))</f>
        <v/>
      </c>
      <c r="R1622" s="26">
        <f>IF($D1622="","",IFERROR(VLOOKUP($D1622,库存台账!$A$5:$Y$1204,11,0),0))</f>
        <v/>
      </c>
      <c r="S1622" s="26">
        <f>IF($D1622="","",ROUND(N($J1622)*N($R1622),0))</f>
        <v/>
      </c>
      <c r="T1622" s="26">
        <f>IF($D1622="","",IF($K1622&lt;&gt;"对外销售","",ROUND($Q1622-$S1622,0)))</f>
        <v/>
      </c>
      <c r="U1622" s="17" t="n"/>
      <c r="V1622" s="17" t="n"/>
      <c r="W1622" s="24">
        <f>IF($D1622="","",IF($E1622="※编码不在物料档案里","※物料编码不在档案里",IF(N($J1622)&lt;=0,"※出库数量要大于 0",IF($K1622="","※没填去向类型",IF($L1622="","※没填去向矿区",IF(AND($C1622&lt;&gt;"",$C1622&lt;=结账锁),"※日期早于已结账截止日，不能再录",IF(AND($K1622="自用消耗",COUNTIF({"一矿区";"二矿区"},$L1622)=0),"※自用消耗的去向只能是一矿区或二矿区",IF(AND($K1622="对外销售",COUNTIF({"三矿区";"六矿区"},$L1622)=0),"※对外销售的去向只能是三矿区或六矿区",IF(AND($K1622="对外销售",ROUND($Q1622,0)=0),"※外销却没有售价，请填实际售价",IF(AND($K1622="对外销售",$T1622&lt;&gt;"",$T1622&lt;0),"※这一笔外销是亏的，请核对售价",IF(IFERROR(VLOOKUP($D1622,库存台账!$A$5:$Y$1204,24,0),0)&lt;-0.001,"※这个物料账面已经变成负数了，查一下是不是漏记入库","")))))))))))</f>
        <v/>
      </c>
    </row>
    <row r="1623">
      <c r="A1623" s="24">
        <f>IF($D1623="","",COUNTA($D$4:$D1623))</f>
        <v/>
      </c>
      <c r="B1623" s="17" t="n"/>
      <c r="C1623" s="30" t="n"/>
      <c r="D1623" s="17" t="n"/>
      <c r="E1623" s="24">
        <f>IF($D1623="","",IFERROR(VLOOKUP($D1623,物料档案!$A$4:$P$1203,3,0),"※编码不在物料档案里"))</f>
        <v/>
      </c>
      <c r="F1623" s="24">
        <f>IF($D1623="","",IFERROR(VLOOKUP($D1623,物料档案!$A$4:$P$1203,4,0),"※编码不在物料档案里"))</f>
        <v/>
      </c>
      <c r="G1623" s="24">
        <f>IF($D1623="","",IFERROR(VLOOKUP($D1623,物料档案!$A$4:$P$1203,5,0),"※编码不在物料档案里"))</f>
        <v/>
      </c>
      <c r="H1623" s="24">
        <f>IF($D1623="","",IFERROR(VLOOKUP($D1623,物料档案!$A$4:$P$1203,2,0),"※编码不在物料档案里"))</f>
        <v/>
      </c>
      <c r="I1623" s="24">
        <f>IF($D1623="","",IFERROR(VLOOKUP($D1623,物料档案!$A$4:$P$1203,6,0),"※编码不在物料档案里"))</f>
        <v/>
      </c>
      <c r="J1623" s="23" t="n"/>
      <c r="K1623" s="17" t="n"/>
      <c r="L1623" s="17" t="n"/>
      <c r="M1623" s="17" t="n"/>
      <c r="N1623" s="17" t="n"/>
      <c r="O1623" s="26">
        <f>IF($D1623="","",IFERROR(VLOOKUP($D1623,物料档案!$A$4:$P$1203,10,0),0))</f>
        <v/>
      </c>
      <c r="P1623" s="32" t="n"/>
      <c r="Q1623" s="26">
        <f>IF($D1623="","",IF($K1623&lt;&gt;"对外销售",0,ROUND(N($J1623)*IF($P1623="",N($O1623),N($P1623)),0)))</f>
        <v/>
      </c>
      <c r="R1623" s="26">
        <f>IF($D1623="","",IFERROR(VLOOKUP($D1623,库存台账!$A$5:$Y$1204,11,0),0))</f>
        <v/>
      </c>
      <c r="S1623" s="26">
        <f>IF($D1623="","",ROUND(N($J1623)*N($R1623),0))</f>
        <v/>
      </c>
      <c r="T1623" s="26">
        <f>IF($D1623="","",IF($K1623&lt;&gt;"对外销售","",ROUND($Q1623-$S1623,0)))</f>
        <v/>
      </c>
      <c r="U1623" s="17" t="n"/>
      <c r="V1623" s="17" t="n"/>
      <c r="W1623" s="24">
        <f>IF($D1623="","",IF($E1623="※编码不在物料档案里","※物料编码不在档案里",IF(N($J1623)&lt;=0,"※出库数量要大于 0",IF($K1623="","※没填去向类型",IF($L1623="","※没填去向矿区",IF(AND($C1623&lt;&gt;"",$C1623&lt;=结账锁),"※日期早于已结账截止日，不能再录",IF(AND($K1623="自用消耗",COUNTIF({"一矿区";"二矿区"},$L1623)=0),"※自用消耗的去向只能是一矿区或二矿区",IF(AND($K1623="对外销售",COUNTIF({"三矿区";"六矿区"},$L1623)=0),"※对外销售的去向只能是三矿区或六矿区",IF(AND($K1623="对外销售",ROUND($Q1623,0)=0),"※外销却没有售价，请填实际售价",IF(AND($K1623="对外销售",$T1623&lt;&gt;"",$T1623&lt;0),"※这一笔外销是亏的，请核对售价",IF(IFERROR(VLOOKUP($D1623,库存台账!$A$5:$Y$1204,24,0),0)&lt;-0.001,"※这个物料账面已经变成负数了，查一下是不是漏记入库","")))))))))))</f>
        <v/>
      </c>
    </row>
    <row r="1624">
      <c r="A1624" s="24">
        <f>IF($D1624="","",COUNTA($D$4:$D1624))</f>
        <v/>
      </c>
      <c r="B1624" s="17" t="n"/>
      <c r="C1624" s="30" t="n"/>
      <c r="D1624" s="17" t="n"/>
      <c r="E1624" s="24">
        <f>IF($D1624="","",IFERROR(VLOOKUP($D1624,物料档案!$A$4:$P$1203,3,0),"※编码不在物料档案里"))</f>
        <v/>
      </c>
      <c r="F1624" s="24">
        <f>IF($D1624="","",IFERROR(VLOOKUP($D1624,物料档案!$A$4:$P$1203,4,0),"※编码不在物料档案里"))</f>
        <v/>
      </c>
      <c r="G1624" s="24">
        <f>IF($D1624="","",IFERROR(VLOOKUP($D1624,物料档案!$A$4:$P$1203,5,0),"※编码不在物料档案里"))</f>
        <v/>
      </c>
      <c r="H1624" s="24">
        <f>IF($D1624="","",IFERROR(VLOOKUP($D1624,物料档案!$A$4:$P$1203,2,0),"※编码不在物料档案里"))</f>
        <v/>
      </c>
      <c r="I1624" s="24">
        <f>IF($D1624="","",IFERROR(VLOOKUP($D1624,物料档案!$A$4:$P$1203,6,0),"※编码不在物料档案里"))</f>
        <v/>
      </c>
      <c r="J1624" s="23" t="n"/>
      <c r="K1624" s="17" t="n"/>
      <c r="L1624" s="17" t="n"/>
      <c r="M1624" s="17" t="n"/>
      <c r="N1624" s="17" t="n"/>
      <c r="O1624" s="26">
        <f>IF($D1624="","",IFERROR(VLOOKUP($D1624,物料档案!$A$4:$P$1203,10,0),0))</f>
        <v/>
      </c>
      <c r="P1624" s="32" t="n"/>
      <c r="Q1624" s="26">
        <f>IF($D1624="","",IF($K1624&lt;&gt;"对外销售",0,ROUND(N($J1624)*IF($P1624="",N($O1624),N($P1624)),0)))</f>
        <v/>
      </c>
      <c r="R1624" s="26">
        <f>IF($D1624="","",IFERROR(VLOOKUP($D1624,库存台账!$A$5:$Y$1204,11,0),0))</f>
        <v/>
      </c>
      <c r="S1624" s="26">
        <f>IF($D1624="","",ROUND(N($J1624)*N($R1624),0))</f>
        <v/>
      </c>
      <c r="T1624" s="26">
        <f>IF($D1624="","",IF($K1624&lt;&gt;"对外销售","",ROUND($Q1624-$S1624,0)))</f>
        <v/>
      </c>
      <c r="U1624" s="17" t="n"/>
      <c r="V1624" s="17" t="n"/>
      <c r="W1624" s="24">
        <f>IF($D1624="","",IF($E1624="※编码不在物料档案里","※物料编码不在档案里",IF(N($J1624)&lt;=0,"※出库数量要大于 0",IF($K1624="","※没填去向类型",IF($L1624="","※没填去向矿区",IF(AND($C1624&lt;&gt;"",$C1624&lt;=结账锁),"※日期早于已结账截止日，不能再录",IF(AND($K1624="自用消耗",COUNTIF({"一矿区";"二矿区"},$L1624)=0),"※自用消耗的去向只能是一矿区或二矿区",IF(AND($K1624="对外销售",COUNTIF({"三矿区";"六矿区"},$L1624)=0),"※对外销售的去向只能是三矿区或六矿区",IF(AND($K1624="对外销售",ROUND($Q1624,0)=0),"※外销却没有售价，请填实际售价",IF(AND($K1624="对外销售",$T1624&lt;&gt;"",$T1624&lt;0),"※这一笔外销是亏的，请核对售价",IF(IFERROR(VLOOKUP($D1624,库存台账!$A$5:$Y$1204,24,0),0)&lt;-0.001,"※这个物料账面已经变成负数了，查一下是不是漏记入库","")))))))))))</f>
        <v/>
      </c>
    </row>
    <row r="1625">
      <c r="A1625" s="24">
        <f>IF($D1625="","",COUNTA($D$4:$D1625))</f>
        <v/>
      </c>
      <c r="B1625" s="17" t="n"/>
      <c r="C1625" s="30" t="n"/>
      <c r="D1625" s="17" t="n"/>
      <c r="E1625" s="24">
        <f>IF($D1625="","",IFERROR(VLOOKUP($D1625,物料档案!$A$4:$P$1203,3,0),"※编码不在物料档案里"))</f>
        <v/>
      </c>
      <c r="F1625" s="24">
        <f>IF($D1625="","",IFERROR(VLOOKUP($D1625,物料档案!$A$4:$P$1203,4,0),"※编码不在物料档案里"))</f>
        <v/>
      </c>
      <c r="G1625" s="24">
        <f>IF($D1625="","",IFERROR(VLOOKUP($D1625,物料档案!$A$4:$P$1203,5,0),"※编码不在物料档案里"))</f>
        <v/>
      </c>
      <c r="H1625" s="24">
        <f>IF($D1625="","",IFERROR(VLOOKUP($D1625,物料档案!$A$4:$P$1203,2,0),"※编码不在物料档案里"))</f>
        <v/>
      </c>
      <c r="I1625" s="24">
        <f>IF($D1625="","",IFERROR(VLOOKUP($D1625,物料档案!$A$4:$P$1203,6,0),"※编码不在物料档案里"))</f>
        <v/>
      </c>
      <c r="J1625" s="23" t="n"/>
      <c r="K1625" s="17" t="n"/>
      <c r="L1625" s="17" t="n"/>
      <c r="M1625" s="17" t="n"/>
      <c r="N1625" s="17" t="n"/>
      <c r="O1625" s="26">
        <f>IF($D1625="","",IFERROR(VLOOKUP($D1625,物料档案!$A$4:$P$1203,10,0),0))</f>
        <v/>
      </c>
      <c r="P1625" s="32" t="n"/>
      <c r="Q1625" s="26">
        <f>IF($D1625="","",IF($K1625&lt;&gt;"对外销售",0,ROUND(N($J1625)*IF($P1625="",N($O1625),N($P1625)),0)))</f>
        <v/>
      </c>
      <c r="R1625" s="26">
        <f>IF($D1625="","",IFERROR(VLOOKUP($D1625,库存台账!$A$5:$Y$1204,11,0),0))</f>
        <v/>
      </c>
      <c r="S1625" s="26">
        <f>IF($D1625="","",ROUND(N($J1625)*N($R1625),0))</f>
        <v/>
      </c>
      <c r="T1625" s="26">
        <f>IF($D1625="","",IF($K1625&lt;&gt;"对外销售","",ROUND($Q1625-$S1625,0)))</f>
        <v/>
      </c>
      <c r="U1625" s="17" t="n"/>
      <c r="V1625" s="17" t="n"/>
      <c r="W1625" s="24">
        <f>IF($D1625="","",IF($E1625="※编码不在物料档案里","※物料编码不在档案里",IF(N($J1625)&lt;=0,"※出库数量要大于 0",IF($K1625="","※没填去向类型",IF($L1625="","※没填去向矿区",IF(AND($C1625&lt;&gt;"",$C1625&lt;=结账锁),"※日期早于已结账截止日，不能再录",IF(AND($K1625="自用消耗",COUNTIF({"一矿区";"二矿区"},$L1625)=0),"※自用消耗的去向只能是一矿区或二矿区",IF(AND($K1625="对外销售",COUNTIF({"三矿区";"六矿区"},$L1625)=0),"※对外销售的去向只能是三矿区或六矿区",IF(AND($K1625="对外销售",ROUND($Q1625,0)=0),"※外销却没有售价，请填实际售价",IF(AND($K1625="对外销售",$T1625&lt;&gt;"",$T1625&lt;0),"※这一笔外销是亏的，请核对售价",IF(IFERROR(VLOOKUP($D1625,库存台账!$A$5:$Y$1204,24,0),0)&lt;-0.001,"※这个物料账面已经变成负数了，查一下是不是漏记入库","")))))))))))</f>
        <v/>
      </c>
    </row>
    <row r="1626">
      <c r="A1626" s="24">
        <f>IF($D1626="","",COUNTA($D$4:$D1626))</f>
        <v/>
      </c>
      <c r="B1626" s="17" t="n"/>
      <c r="C1626" s="30" t="n"/>
      <c r="D1626" s="17" t="n"/>
      <c r="E1626" s="24">
        <f>IF($D1626="","",IFERROR(VLOOKUP($D1626,物料档案!$A$4:$P$1203,3,0),"※编码不在物料档案里"))</f>
        <v/>
      </c>
      <c r="F1626" s="24">
        <f>IF($D1626="","",IFERROR(VLOOKUP($D1626,物料档案!$A$4:$P$1203,4,0),"※编码不在物料档案里"))</f>
        <v/>
      </c>
      <c r="G1626" s="24">
        <f>IF($D1626="","",IFERROR(VLOOKUP($D1626,物料档案!$A$4:$P$1203,5,0),"※编码不在物料档案里"))</f>
        <v/>
      </c>
      <c r="H1626" s="24">
        <f>IF($D1626="","",IFERROR(VLOOKUP($D1626,物料档案!$A$4:$P$1203,2,0),"※编码不在物料档案里"))</f>
        <v/>
      </c>
      <c r="I1626" s="24">
        <f>IF($D1626="","",IFERROR(VLOOKUP($D1626,物料档案!$A$4:$P$1203,6,0),"※编码不在物料档案里"))</f>
        <v/>
      </c>
      <c r="J1626" s="23" t="n"/>
      <c r="K1626" s="17" t="n"/>
      <c r="L1626" s="17" t="n"/>
      <c r="M1626" s="17" t="n"/>
      <c r="N1626" s="17" t="n"/>
      <c r="O1626" s="26">
        <f>IF($D1626="","",IFERROR(VLOOKUP($D1626,物料档案!$A$4:$P$1203,10,0),0))</f>
        <v/>
      </c>
      <c r="P1626" s="32" t="n"/>
      <c r="Q1626" s="26">
        <f>IF($D1626="","",IF($K1626&lt;&gt;"对外销售",0,ROUND(N($J1626)*IF($P1626="",N($O1626),N($P1626)),0)))</f>
        <v/>
      </c>
      <c r="R1626" s="26">
        <f>IF($D1626="","",IFERROR(VLOOKUP($D1626,库存台账!$A$5:$Y$1204,11,0),0))</f>
        <v/>
      </c>
      <c r="S1626" s="26">
        <f>IF($D1626="","",ROUND(N($J1626)*N($R1626),0))</f>
        <v/>
      </c>
      <c r="T1626" s="26">
        <f>IF($D1626="","",IF($K1626&lt;&gt;"对外销售","",ROUND($Q1626-$S1626,0)))</f>
        <v/>
      </c>
      <c r="U1626" s="17" t="n"/>
      <c r="V1626" s="17" t="n"/>
      <c r="W1626" s="24">
        <f>IF($D1626="","",IF($E1626="※编码不在物料档案里","※物料编码不在档案里",IF(N($J1626)&lt;=0,"※出库数量要大于 0",IF($K1626="","※没填去向类型",IF($L1626="","※没填去向矿区",IF(AND($C1626&lt;&gt;"",$C1626&lt;=结账锁),"※日期早于已结账截止日，不能再录",IF(AND($K1626="自用消耗",COUNTIF({"一矿区";"二矿区"},$L1626)=0),"※自用消耗的去向只能是一矿区或二矿区",IF(AND($K1626="对外销售",COUNTIF({"三矿区";"六矿区"},$L1626)=0),"※对外销售的去向只能是三矿区或六矿区",IF(AND($K1626="对外销售",ROUND($Q1626,0)=0),"※外销却没有售价，请填实际售价",IF(AND($K1626="对外销售",$T1626&lt;&gt;"",$T1626&lt;0),"※这一笔外销是亏的，请核对售价",IF(IFERROR(VLOOKUP($D1626,库存台账!$A$5:$Y$1204,24,0),0)&lt;-0.001,"※这个物料账面已经变成负数了，查一下是不是漏记入库","")))))))))))</f>
        <v/>
      </c>
    </row>
    <row r="1627">
      <c r="A1627" s="24">
        <f>IF($D1627="","",COUNTA($D$4:$D1627))</f>
        <v/>
      </c>
      <c r="B1627" s="17" t="n"/>
      <c r="C1627" s="30" t="n"/>
      <c r="D1627" s="17" t="n"/>
      <c r="E1627" s="24">
        <f>IF($D1627="","",IFERROR(VLOOKUP($D1627,物料档案!$A$4:$P$1203,3,0),"※编码不在物料档案里"))</f>
        <v/>
      </c>
      <c r="F1627" s="24">
        <f>IF($D1627="","",IFERROR(VLOOKUP($D1627,物料档案!$A$4:$P$1203,4,0),"※编码不在物料档案里"))</f>
        <v/>
      </c>
      <c r="G1627" s="24">
        <f>IF($D1627="","",IFERROR(VLOOKUP($D1627,物料档案!$A$4:$P$1203,5,0),"※编码不在物料档案里"))</f>
        <v/>
      </c>
      <c r="H1627" s="24">
        <f>IF($D1627="","",IFERROR(VLOOKUP($D1627,物料档案!$A$4:$P$1203,2,0),"※编码不在物料档案里"))</f>
        <v/>
      </c>
      <c r="I1627" s="24">
        <f>IF($D1627="","",IFERROR(VLOOKUP($D1627,物料档案!$A$4:$P$1203,6,0),"※编码不在物料档案里"))</f>
        <v/>
      </c>
      <c r="J1627" s="23" t="n"/>
      <c r="K1627" s="17" t="n"/>
      <c r="L1627" s="17" t="n"/>
      <c r="M1627" s="17" t="n"/>
      <c r="N1627" s="17" t="n"/>
      <c r="O1627" s="26">
        <f>IF($D1627="","",IFERROR(VLOOKUP($D1627,物料档案!$A$4:$P$1203,10,0),0))</f>
        <v/>
      </c>
      <c r="P1627" s="32" t="n"/>
      <c r="Q1627" s="26">
        <f>IF($D1627="","",IF($K1627&lt;&gt;"对外销售",0,ROUND(N($J1627)*IF($P1627="",N($O1627),N($P1627)),0)))</f>
        <v/>
      </c>
      <c r="R1627" s="26">
        <f>IF($D1627="","",IFERROR(VLOOKUP($D1627,库存台账!$A$5:$Y$1204,11,0),0))</f>
        <v/>
      </c>
      <c r="S1627" s="26">
        <f>IF($D1627="","",ROUND(N($J1627)*N($R1627),0))</f>
        <v/>
      </c>
      <c r="T1627" s="26">
        <f>IF($D1627="","",IF($K1627&lt;&gt;"对外销售","",ROUND($Q1627-$S1627,0)))</f>
        <v/>
      </c>
      <c r="U1627" s="17" t="n"/>
      <c r="V1627" s="17" t="n"/>
      <c r="W1627" s="24">
        <f>IF($D1627="","",IF($E1627="※编码不在物料档案里","※物料编码不在档案里",IF(N($J1627)&lt;=0,"※出库数量要大于 0",IF($K1627="","※没填去向类型",IF($L1627="","※没填去向矿区",IF(AND($C1627&lt;&gt;"",$C1627&lt;=结账锁),"※日期早于已结账截止日，不能再录",IF(AND($K1627="自用消耗",COUNTIF({"一矿区";"二矿区"},$L1627)=0),"※自用消耗的去向只能是一矿区或二矿区",IF(AND($K1627="对外销售",COUNTIF({"三矿区";"六矿区"},$L1627)=0),"※对外销售的去向只能是三矿区或六矿区",IF(AND($K1627="对外销售",ROUND($Q1627,0)=0),"※外销却没有售价，请填实际售价",IF(AND($K1627="对外销售",$T1627&lt;&gt;"",$T1627&lt;0),"※这一笔外销是亏的，请核对售价",IF(IFERROR(VLOOKUP($D1627,库存台账!$A$5:$Y$1204,24,0),0)&lt;-0.001,"※这个物料账面已经变成负数了，查一下是不是漏记入库","")))))))))))</f>
        <v/>
      </c>
    </row>
    <row r="1628">
      <c r="A1628" s="24">
        <f>IF($D1628="","",COUNTA($D$4:$D1628))</f>
        <v/>
      </c>
      <c r="B1628" s="17" t="n"/>
      <c r="C1628" s="30" t="n"/>
      <c r="D1628" s="17" t="n"/>
      <c r="E1628" s="24">
        <f>IF($D1628="","",IFERROR(VLOOKUP($D1628,物料档案!$A$4:$P$1203,3,0),"※编码不在物料档案里"))</f>
        <v/>
      </c>
      <c r="F1628" s="24">
        <f>IF($D1628="","",IFERROR(VLOOKUP($D1628,物料档案!$A$4:$P$1203,4,0),"※编码不在物料档案里"))</f>
        <v/>
      </c>
      <c r="G1628" s="24">
        <f>IF($D1628="","",IFERROR(VLOOKUP($D1628,物料档案!$A$4:$P$1203,5,0),"※编码不在物料档案里"))</f>
        <v/>
      </c>
      <c r="H1628" s="24">
        <f>IF($D1628="","",IFERROR(VLOOKUP($D1628,物料档案!$A$4:$P$1203,2,0),"※编码不在物料档案里"))</f>
        <v/>
      </c>
      <c r="I1628" s="24">
        <f>IF($D1628="","",IFERROR(VLOOKUP($D1628,物料档案!$A$4:$P$1203,6,0),"※编码不在物料档案里"))</f>
        <v/>
      </c>
      <c r="J1628" s="23" t="n"/>
      <c r="K1628" s="17" t="n"/>
      <c r="L1628" s="17" t="n"/>
      <c r="M1628" s="17" t="n"/>
      <c r="N1628" s="17" t="n"/>
      <c r="O1628" s="26">
        <f>IF($D1628="","",IFERROR(VLOOKUP($D1628,物料档案!$A$4:$P$1203,10,0),0))</f>
        <v/>
      </c>
      <c r="P1628" s="32" t="n"/>
      <c r="Q1628" s="26">
        <f>IF($D1628="","",IF($K1628&lt;&gt;"对外销售",0,ROUND(N($J1628)*IF($P1628="",N($O1628),N($P1628)),0)))</f>
        <v/>
      </c>
      <c r="R1628" s="26">
        <f>IF($D1628="","",IFERROR(VLOOKUP($D1628,库存台账!$A$5:$Y$1204,11,0),0))</f>
        <v/>
      </c>
      <c r="S1628" s="26">
        <f>IF($D1628="","",ROUND(N($J1628)*N($R1628),0))</f>
        <v/>
      </c>
      <c r="T1628" s="26">
        <f>IF($D1628="","",IF($K1628&lt;&gt;"对外销售","",ROUND($Q1628-$S1628,0)))</f>
        <v/>
      </c>
      <c r="U1628" s="17" t="n"/>
      <c r="V1628" s="17" t="n"/>
      <c r="W1628" s="24">
        <f>IF($D1628="","",IF($E1628="※编码不在物料档案里","※物料编码不在档案里",IF(N($J1628)&lt;=0,"※出库数量要大于 0",IF($K1628="","※没填去向类型",IF($L1628="","※没填去向矿区",IF(AND($C1628&lt;&gt;"",$C1628&lt;=结账锁),"※日期早于已结账截止日，不能再录",IF(AND($K1628="自用消耗",COUNTIF({"一矿区";"二矿区"},$L1628)=0),"※自用消耗的去向只能是一矿区或二矿区",IF(AND($K1628="对外销售",COUNTIF({"三矿区";"六矿区"},$L1628)=0),"※对外销售的去向只能是三矿区或六矿区",IF(AND($K1628="对外销售",ROUND($Q1628,0)=0),"※外销却没有售价，请填实际售价",IF(AND($K1628="对外销售",$T1628&lt;&gt;"",$T1628&lt;0),"※这一笔外销是亏的，请核对售价",IF(IFERROR(VLOOKUP($D1628,库存台账!$A$5:$Y$1204,24,0),0)&lt;-0.001,"※这个物料账面已经变成负数了，查一下是不是漏记入库","")))))))))))</f>
        <v/>
      </c>
    </row>
    <row r="1629">
      <c r="A1629" s="24">
        <f>IF($D1629="","",COUNTA($D$4:$D1629))</f>
        <v/>
      </c>
      <c r="B1629" s="17" t="n"/>
      <c r="C1629" s="30" t="n"/>
      <c r="D1629" s="17" t="n"/>
      <c r="E1629" s="24">
        <f>IF($D1629="","",IFERROR(VLOOKUP($D1629,物料档案!$A$4:$P$1203,3,0),"※编码不在物料档案里"))</f>
        <v/>
      </c>
      <c r="F1629" s="24">
        <f>IF($D1629="","",IFERROR(VLOOKUP($D1629,物料档案!$A$4:$P$1203,4,0),"※编码不在物料档案里"))</f>
        <v/>
      </c>
      <c r="G1629" s="24">
        <f>IF($D1629="","",IFERROR(VLOOKUP($D1629,物料档案!$A$4:$P$1203,5,0),"※编码不在物料档案里"))</f>
        <v/>
      </c>
      <c r="H1629" s="24">
        <f>IF($D1629="","",IFERROR(VLOOKUP($D1629,物料档案!$A$4:$P$1203,2,0),"※编码不在物料档案里"))</f>
        <v/>
      </c>
      <c r="I1629" s="24">
        <f>IF($D1629="","",IFERROR(VLOOKUP($D1629,物料档案!$A$4:$P$1203,6,0),"※编码不在物料档案里"))</f>
        <v/>
      </c>
      <c r="J1629" s="23" t="n"/>
      <c r="K1629" s="17" t="n"/>
      <c r="L1629" s="17" t="n"/>
      <c r="M1629" s="17" t="n"/>
      <c r="N1629" s="17" t="n"/>
      <c r="O1629" s="26">
        <f>IF($D1629="","",IFERROR(VLOOKUP($D1629,物料档案!$A$4:$P$1203,10,0),0))</f>
        <v/>
      </c>
      <c r="P1629" s="32" t="n"/>
      <c r="Q1629" s="26">
        <f>IF($D1629="","",IF($K1629&lt;&gt;"对外销售",0,ROUND(N($J1629)*IF($P1629="",N($O1629),N($P1629)),0)))</f>
        <v/>
      </c>
      <c r="R1629" s="26">
        <f>IF($D1629="","",IFERROR(VLOOKUP($D1629,库存台账!$A$5:$Y$1204,11,0),0))</f>
        <v/>
      </c>
      <c r="S1629" s="26">
        <f>IF($D1629="","",ROUND(N($J1629)*N($R1629),0))</f>
        <v/>
      </c>
      <c r="T1629" s="26">
        <f>IF($D1629="","",IF($K1629&lt;&gt;"对外销售","",ROUND($Q1629-$S1629,0)))</f>
        <v/>
      </c>
      <c r="U1629" s="17" t="n"/>
      <c r="V1629" s="17" t="n"/>
      <c r="W1629" s="24">
        <f>IF($D1629="","",IF($E1629="※编码不在物料档案里","※物料编码不在档案里",IF(N($J1629)&lt;=0,"※出库数量要大于 0",IF($K1629="","※没填去向类型",IF($L1629="","※没填去向矿区",IF(AND($C1629&lt;&gt;"",$C1629&lt;=结账锁),"※日期早于已结账截止日，不能再录",IF(AND($K1629="自用消耗",COUNTIF({"一矿区";"二矿区"},$L1629)=0),"※自用消耗的去向只能是一矿区或二矿区",IF(AND($K1629="对外销售",COUNTIF({"三矿区";"六矿区"},$L1629)=0),"※对外销售的去向只能是三矿区或六矿区",IF(AND($K1629="对外销售",ROUND($Q1629,0)=0),"※外销却没有售价，请填实际售价",IF(AND($K1629="对外销售",$T1629&lt;&gt;"",$T1629&lt;0),"※这一笔外销是亏的，请核对售价",IF(IFERROR(VLOOKUP($D1629,库存台账!$A$5:$Y$1204,24,0),0)&lt;-0.001,"※这个物料账面已经变成负数了，查一下是不是漏记入库","")))))))))))</f>
        <v/>
      </c>
    </row>
    <row r="1630">
      <c r="A1630" s="24">
        <f>IF($D1630="","",COUNTA($D$4:$D1630))</f>
        <v/>
      </c>
      <c r="B1630" s="17" t="n"/>
      <c r="C1630" s="30" t="n"/>
      <c r="D1630" s="17" t="n"/>
      <c r="E1630" s="24">
        <f>IF($D1630="","",IFERROR(VLOOKUP($D1630,物料档案!$A$4:$P$1203,3,0),"※编码不在物料档案里"))</f>
        <v/>
      </c>
      <c r="F1630" s="24">
        <f>IF($D1630="","",IFERROR(VLOOKUP($D1630,物料档案!$A$4:$P$1203,4,0),"※编码不在物料档案里"))</f>
        <v/>
      </c>
      <c r="G1630" s="24">
        <f>IF($D1630="","",IFERROR(VLOOKUP($D1630,物料档案!$A$4:$P$1203,5,0),"※编码不在物料档案里"))</f>
        <v/>
      </c>
      <c r="H1630" s="24">
        <f>IF($D1630="","",IFERROR(VLOOKUP($D1630,物料档案!$A$4:$P$1203,2,0),"※编码不在物料档案里"))</f>
        <v/>
      </c>
      <c r="I1630" s="24">
        <f>IF($D1630="","",IFERROR(VLOOKUP($D1630,物料档案!$A$4:$P$1203,6,0),"※编码不在物料档案里"))</f>
        <v/>
      </c>
      <c r="J1630" s="23" t="n"/>
      <c r="K1630" s="17" t="n"/>
      <c r="L1630" s="17" t="n"/>
      <c r="M1630" s="17" t="n"/>
      <c r="N1630" s="17" t="n"/>
      <c r="O1630" s="26">
        <f>IF($D1630="","",IFERROR(VLOOKUP($D1630,物料档案!$A$4:$P$1203,10,0),0))</f>
        <v/>
      </c>
      <c r="P1630" s="32" t="n"/>
      <c r="Q1630" s="26">
        <f>IF($D1630="","",IF($K1630&lt;&gt;"对外销售",0,ROUND(N($J1630)*IF($P1630="",N($O1630),N($P1630)),0)))</f>
        <v/>
      </c>
      <c r="R1630" s="26">
        <f>IF($D1630="","",IFERROR(VLOOKUP($D1630,库存台账!$A$5:$Y$1204,11,0),0))</f>
        <v/>
      </c>
      <c r="S1630" s="26">
        <f>IF($D1630="","",ROUND(N($J1630)*N($R1630),0))</f>
        <v/>
      </c>
      <c r="T1630" s="26">
        <f>IF($D1630="","",IF($K1630&lt;&gt;"对外销售","",ROUND($Q1630-$S1630,0)))</f>
        <v/>
      </c>
      <c r="U1630" s="17" t="n"/>
      <c r="V1630" s="17" t="n"/>
      <c r="W1630" s="24">
        <f>IF($D1630="","",IF($E1630="※编码不在物料档案里","※物料编码不在档案里",IF(N($J1630)&lt;=0,"※出库数量要大于 0",IF($K1630="","※没填去向类型",IF($L1630="","※没填去向矿区",IF(AND($C1630&lt;&gt;"",$C1630&lt;=结账锁),"※日期早于已结账截止日，不能再录",IF(AND($K1630="自用消耗",COUNTIF({"一矿区";"二矿区"},$L1630)=0),"※自用消耗的去向只能是一矿区或二矿区",IF(AND($K1630="对外销售",COUNTIF({"三矿区";"六矿区"},$L1630)=0),"※对外销售的去向只能是三矿区或六矿区",IF(AND($K1630="对外销售",ROUND($Q1630,0)=0),"※外销却没有售价，请填实际售价",IF(AND($K1630="对外销售",$T1630&lt;&gt;"",$T1630&lt;0),"※这一笔外销是亏的，请核对售价",IF(IFERROR(VLOOKUP($D1630,库存台账!$A$5:$Y$1204,24,0),0)&lt;-0.001,"※这个物料账面已经变成负数了，查一下是不是漏记入库","")))))))))))</f>
        <v/>
      </c>
    </row>
    <row r="1631">
      <c r="A1631" s="24">
        <f>IF($D1631="","",COUNTA($D$4:$D1631))</f>
        <v/>
      </c>
      <c r="B1631" s="17" t="n"/>
      <c r="C1631" s="30" t="n"/>
      <c r="D1631" s="17" t="n"/>
      <c r="E1631" s="24">
        <f>IF($D1631="","",IFERROR(VLOOKUP($D1631,物料档案!$A$4:$P$1203,3,0),"※编码不在物料档案里"))</f>
        <v/>
      </c>
      <c r="F1631" s="24">
        <f>IF($D1631="","",IFERROR(VLOOKUP($D1631,物料档案!$A$4:$P$1203,4,0),"※编码不在物料档案里"))</f>
        <v/>
      </c>
      <c r="G1631" s="24">
        <f>IF($D1631="","",IFERROR(VLOOKUP($D1631,物料档案!$A$4:$P$1203,5,0),"※编码不在物料档案里"))</f>
        <v/>
      </c>
      <c r="H1631" s="24">
        <f>IF($D1631="","",IFERROR(VLOOKUP($D1631,物料档案!$A$4:$P$1203,2,0),"※编码不在物料档案里"))</f>
        <v/>
      </c>
      <c r="I1631" s="24">
        <f>IF($D1631="","",IFERROR(VLOOKUP($D1631,物料档案!$A$4:$P$1203,6,0),"※编码不在物料档案里"))</f>
        <v/>
      </c>
      <c r="J1631" s="23" t="n"/>
      <c r="K1631" s="17" t="n"/>
      <c r="L1631" s="17" t="n"/>
      <c r="M1631" s="17" t="n"/>
      <c r="N1631" s="17" t="n"/>
      <c r="O1631" s="26">
        <f>IF($D1631="","",IFERROR(VLOOKUP($D1631,物料档案!$A$4:$P$1203,10,0),0))</f>
        <v/>
      </c>
      <c r="P1631" s="32" t="n"/>
      <c r="Q1631" s="26">
        <f>IF($D1631="","",IF($K1631&lt;&gt;"对外销售",0,ROUND(N($J1631)*IF($P1631="",N($O1631),N($P1631)),0)))</f>
        <v/>
      </c>
      <c r="R1631" s="26">
        <f>IF($D1631="","",IFERROR(VLOOKUP($D1631,库存台账!$A$5:$Y$1204,11,0),0))</f>
        <v/>
      </c>
      <c r="S1631" s="26">
        <f>IF($D1631="","",ROUND(N($J1631)*N($R1631),0))</f>
        <v/>
      </c>
      <c r="T1631" s="26">
        <f>IF($D1631="","",IF($K1631&lt;&gt;"对外销售","",ROUND($Q1631-$S1631,0)))</f>
        <v/>
      </c>
      <c r="U1631" s="17" t="n"/>
      <c r="V1631" s="17" t="n"/>
      <c r="W1631" s="24">
        <f>IF($D1631="","",IF($E1631="※编码不在物料档案里","※物料编码不在档案里",IF(N($J1631)&lt;=0,"※出库数量要大于 0",IF($K1631="","※没填去向类型",IF($L1631="","※没填去向矿区",IF(AND($C1631&lt;&gt;"",$C1631&lt;=结账锁),"※日期早于已结账截止日，不能再录",IF(AND($K1631="自用消耗",COUNTIF({"一矿区";"二矿区"},$L1631)=0),"※自用消耗的去向只能是一矿区或二矿区",IF(AND($K1631="对外销售",COUNTIF({"三矿区";"六矿区"},$L1631)=0),"※对外销售的去向只能是三矿区或六矿区",IF(AND($K1631="对外销售",ROUND($Q1631,0)=0),"※外销却没有售价，请填实际售价",IF(AND($K1631="对外销售",$T1631&lt;&gt;"",$T1631&lt;0),"※这一笔外销是亏的，请核对售价",IF(IFERROR(VLOOKUP($D1631,库存台账!$A$5:$Y$1204,24,0),0)&lt;-0.001,"※这个物料账面已经变成负数了，查一下是不是漏记入库","")))))))))))</f>
        <v/>
      </c>
    </row>
    <row r="1632">
      <c r="A1632" s="24">
        <f>IF($D1632="","",COUNTA($D$4:$D1632))</f>
        <v/>
      </c>
      <c r="B1632" s="17" t="n"/>
      <c r="C1632" s="30" t="n"/>
      <c r="D1632" s="17" t="n"/>
      <c r="E1632" s="24">
        <f>IF($D1632="","",IFERROR(VLOOKUP($D1632,物料档案!$A$4:$P$1203,3,0),"※编码不在物料档案里"))</f>
        <v/>
      </c>
      <c r="F1632" s="24">
        <f>IF($D1632="","",IFERROR(VLOOKUP($D1632,物料档案!$A$4:$P$1203,4,0),"※编码不在物料档案里"))</f>
        <v/>
      </c>
      <c r="G1632" s="24">
        <f>IF($D1632="","",IFERROR(VLOOKUP($D1632,物料档案!$A$4:$P$1203,5,0),"※编码不在物料档案里"))</f>
        <v/>
      </c>
      <c r="H1632" s="24">
        <f>IF($D1632="","",IFERROR(VLOOKUP($D1632,物料档案!$A$4:$P$1203,2,0),"※编码不在物料档案里"))</f>
        <v/>
      </c>
      <c r="I1632" s="24">
        <f>IF($D1632="","",IFERROR(VLOOKUP($D1632,物料档案!$A$4:$P$1203,6,0),"※编码不在物料档案里"))</f>
        <v/>
      </c>
      <c r="J1632" s="23" t="n"/>
      <c r="K1632" s="17" t="n"/>
      <c r="L1632" s="17" t="n"/>
      <c r="M1632" s="17" t="n"/>
      <c r="N1632" s="17" t="n"/>
      <c r="O1632" s="26">
        <f>IF($D1632="","",IFERROR(VLOOKUP($D1632,物料档案!$A$4:$P$1203,10,0),0))</f>
        <v/>
      </c>
      <c r="P1632" s="32" t="n"/>
      <c r="Q1632" s="26">
        <f>IF($D1632="","",IF($K1632&lt;&gt;"对外销售",0,ROUND(N($J1632)*IF($P1632="",N($O1632),N($P1632)),0)))</f>
        <v/>
      </c>
      <c r="R1632" s="26">
        <f>IF($D1632="","",IFERROR(VLOOKUP($D1632,库存台账!$A$5:$Y$1204,11,0),0))</f>
        <v/>
      </c>
      <c r="S1632" s="26">
        <f>IF($D1632="","",ROUND(N($J1632)*N($R1632),0))</f>
        <v/>
      </c>
      <c r="T1632" s="26">
        <f>IF($D1632="","",IF($K1632&lt;&gt;"对外销售","",ROUND($Q1632-$S1632,0)))</f>
        <v/>
      </c>
      <c r="U1632" s="17" t="n"/>
      <c r="V1632" s="17" t="n"/>
      <c r="W1632" s="24">
        <f>IF($D1632="","",IF($E1632="※编码不在物料档案里","※物料编码不在档案里",IF(N($J1632)&lt;=0,"※出库数量要大于 0",IF($K1632="","※没填去向类型",IF($L1632="","※没填去向矿区",IF(AND($C1632&lt;&gt;"",$C1632&lt;=结账锁),"※日期早于已结账截止日，不能再录",IF(AND($K1632="自用消耗",COUNTIF({"一矿区";"二矿区"},$L1632)=0),"※自用消耗的去向只能是一矿区或二矿区",IF(AND($K1632="对外销售",COUNTIF({"三矿区";"六矿区"},$L1632)=0),"※对外销售的去向只能是三矿区或六矿区",IF(AND($K1632="对外销售",ROUND($Q1632,0)=0),"※外销却没有售价，请填实际售价",IF(AND($K1632="对外销售",$T1632&lt;&gt;"",$T1632&lt;0),"※这一笔外销是亏的，请核对售价",IF(IFERROR(VLOOKUP($D1632,库存台账!$A$5:$Y$1204,24,0),0)&lt;-0.001,"※这个物料账面已经变成负数了，查一下是不是漏记入库","")))))))))))</f>
        <v/>
      </c>
    </row>
    <row r="1633">
      <c r="A1633" s="24">
        <f>IF($D1633="","",COUNTA($D$4:$D1633))</f>
        <v/>
      </c>
      <c r="B1633" s="17" t="n"/>
      <c r="C1633" s="30" t="n"/>
      <c r="D1633" s="17" t="n"/>
      <c r="E1633" s="24">
        <f>IF($D1633="","",IFERROR(VLOOKUP($D1633,物料档案!$A$4:$P$1203,3,0),"※编码不在物料档案里"))</f>
        <v/>
      </c>
      <c r="F1633" s="24">
        <f>IF($D1633="","",IFERROR(VLOOKUP($D1633,物料档案!$A$4:$P$1203,4,0),"※编码不在物料档案里"))</f>
        <v/>
      </c>
      <c r="G1633" s="24">
        <f>IF($D1633="","",IFERROR(VLOOKUP($D1633,物料档案!$A$4:$P$1203,5,0),"※编码不在物料档案里"))</f>
        <v/>
      </c>
      <c r="H1633" s="24">
        <f>IF($D1633="","",IFERROR(VLOOKUP($D1633,物料档案!$A$4:$P$1203,2,0),"※编码不在物料档案里"))</f>
        <v/>
      </c>
      <c r="I1633" s="24">
        <f>IF($D1633="","",IFERROR(VLOOKUP($D1633,物料档案!$A$4:$P$1203,6,0),"※编码不在物料档案里"))</f>
        <v/>
      </c>
      <c r="J1633" s="23" t="n"/>
      <c r="K1633" s="17" t="n"/>
      <c r="L1633" s="17" t="n"/>
      <c r="M1633" s="17" t="n"/>
      <c r="N1633" s="17" t="n"/>
      <c r="O1633" s="26">
        <f>IF($D1633="","",IFERROR(VLOOKUP($D1633,物料档案!$A$4:$P$1203,10,0),0))</f>
        <v/>
      </c>
      <c r="P1633" s="32" t="n"/>
      <c r="Q1633" s="26">
        <f>IF($D1633="","",IF($K1633&lt;&gt;"对外销售",0,ROUND(N($J1633)*IF($P1633="",N($O1633),N($P1633)),0)))</f>
        <v/>
      </c>
      <c r="R1633" s="26">
        <f>IF($D1633="","",IFERROR(VLOOKUP($D1633,库存台账!$A$5:$Y$1204,11,0),0))</f>
        <v/>
      </c>
      <c r="S1633" s="26">
        <f>IF($D1633="","",ROUND(N($J1633)*N($R1633),0))</f>
        <v/>
      </c>
      <c r="T1633" s="26">
        <f>IF($D1633="","",IF($K1633&lt;&gt;"对外销售","",ROUND($Q1633-$S1633,0)))</f>
        <v/>
      </c>
      <c r="U1633" s="17" t="n"/>
      <c r="V1633" s="17" t="n"/>
      <c r="W1633" s="24">
        <f>IF($D1633="","",IF($E1633="※编码不在物料档案里","※物料编码不在档案里",IF(N($J1633)&lt;=0,"※出库数量要大于 0",IF($K1633="","※没填去向类型",IF($L1633="","※没填去向矿区",IF(AND($C1633&lt;&gt;"",$C1633&lt;=结账锁),"※日期早于已结账截止日，不能再录",IF(AND($K1633="自用消耗",COUNTIF({"一矿区";"二矿区"},$L1633)=0),"※自用消耗的去向只能是一矿区或二矿区",IF(AND($K1633="对外销售",COUNTIF({"三矿区";"六矿区"},$L1633)=0),"※对外销售的去向只能是三矿区或六矿区",IF(AND($K1633="对外销售",ROUND($Q1633,0)=0),"※外销却没有售价，请填实际售价",IF(AND($K1633="对外销售",$T1633&lt;&gt;"",$T1633&lt;0),"※这一笔外销是亏的，请核对售价",IF(IFERROR(VLOOKUP($D1633,库存台账!$A$5:$Y$1204,24,0),0)&lt;-0.001,"※这个物料账面已经变成负数了，查一下是不是漏记入库","")))))))))))</f>
        <v/>
      </c>
    </row>
    <row r="1634">
      <c r="A1634" s="24">
        <f>IF($D1634="","",COUNTA($D$4:$D1634))</f>
        <v/>
      </c>
      <c r="B1634" s="17" t="n"/>
      <c r="C1634" s="30" t="n"/>
      <c r="D1634" s="17" t="n"/>
      <c r="E1634" s="24">
        <f>IF($D1634="","",IFERROR(VLOOKUP($D1634,物料档案!$A$4:$P$1203,3,0),"※编码不在物料档案里"))</f>
        <v/>
      </c>
      <c r="F1634" s="24">
        <f>IF($D1634="","",IFERROR(VLOOKUP($D1634,物料档案!$A$4:$P$1203,4,0),"※编码不在物料档案里"))</f>
        <v/>
      </c>
      <c r="G1634" s="24">
        <f>IF($D1634="","",IFERROR(VLOOKUP($D1634,物料档案!$A$4:$P$1203,5,0),"※编码不在物料档案里"))</f>
        <v/>
      </c>
      <c r="H1634" s="24">
        <f>IF($D1634="","",IFERROR(VLOOKUP($D1634,物料档案!$A$4:$P$1203,2,0),"※编码不在物料档案里"))</f>
        <v/>
      </c>
      <c r="I1634" s="24">
        <f>IF($D1634="","",IFERROR(VLOOKUP($D1634,物料档案!$A$4:$P$1203,6,0),"※编码不在物料档案里"))</f>
        <v/>
      </c>
      <c r="J1634" s="23" t="n"/>
      <c r="K1634" s="17" t="n"/>
      <c r="L1634" s="17" t="n"/>
      <c r="M1634" s="17" t="n"/>
      <c r="N1634" s="17" t="n"/>
      <c r="O1634" s="26">
        <f>IF($D1634="","",IFERROR(VLOOKUP($D1634,物料档案!$A$4:$P$1203,10,0),0))</f>
        <v/>
      </c>
      <c r="P1634" s="32" t="n"/>
      <c r="Q1634" s="26">
        <f>IF($D1634="","",IF($K1634&lt;&gt;"对外销售",0,ROUND(N($J1634)*IF($P1634="",N($O1634),N($P1634)),0)))</f>
        <v/>
      </c>
      <c r="R1634" s="26">
        <f>IF($D1634="","",IFERROR(VLOOKUP($D1634,库存台账!$A$5:$Y$1204,11,0),0))</f>
        <v/>
      </c>
      <c r="S1634" s="26">
        <f>IF($D1634="","",ROUND(N($J1634)*N($R1634),0))</f>
        <v/>
      </c>
      <c r="T1634" s="26">
        <f>IF($D1634="","",IF($K1634&lt;&gt;"对外销售","",ROUND($Q1634-$S1634,0)))</f>
        <v/>
      </c>
      <c r="U1634" s="17" t="n"/>
      <c r="V1634" s="17" t="n"/>
      <c r="W1634" s="24">
        <f>IF($D1634="","",IF($E1634="※编码不在物料档案里","※物料编码不在档案里",IF(N($J1634)&lt;=0,"※出库数量要大于 0",IF($K1634="","※没填去向类型",IF($L1634="","※没填去向矿区",IF(AND($C1634&lt;&gt;"",$C1634&lt;=结账锁),"※日期早于已结账截止日，不能再录",IF(AND($K1634="自用消耗",COUNTIF({"一矿区";"二矿区"},$L1634)=0),"※自用消耗的去向只能是一矿区或二矿区",IF(AND($K1634="对外销售",COUNTIF({"三矿区";"六矿区"},$L1634)=0),"※对外销售的去向只能是三矿区或六矿区",IF(AND($K1634="对外销售",ROUND($Q1634,0)=0),"※外销却没有售价，请填实际售价",IF(AND($K1634="对外销售",$T1634&lt;&gt;"",$T1634&lt;0),"※这一笔外销是亏的，请核对售价",IF(IFERROR(VLOOKUP($D1634,库存台账!$A$5:$Y$1204,24,0),0)&lt;-0.001,"※这个物料账面已经变成负数了，查一下是不是漏记入库","")))))))))))</f>
        <v/>
      </c>
    </row>
    <row r="1635">
      <c r="A1635" s="24">
        <f>IF($D1635="","",COUNTA($D$4:$D1635))</f>
        <v/>
      </c>
      <c r="B1635" s="17" t="n"/>
      <c r="C1635" s="30" t="n"/>
      <c r="D1635" s="17" t="n"/>
      <c r="E1635" s="24">
        <f>IF($D1635="","",IFERROR(VLOOKUP($D1635,物料档案!$A$4:$P$1203,3,0),"※编码不在物料档案里"))</f>
        <v/>
      </c>
      <c r="F1635" s="24">
        <f>IF($D1635="","",IFERROR(VLOOKUP($D1635,物料档案!$A$4:$P$1203,4,0),"※编码不在物料档案里"))</f>
        <v/>
      </c>
      <c r="G1635" s="24">
        <f>IF($D1635="","",IFERROR(VLOOKUP($D1635,物料档案!$A$4:$P$1203,5,0),"※编码不在物料档案里"))</f>
        <v/>
      </c>
      <c r="H1635" s="24">
        <f>IF($D1635="","",IFERROR(VLOOKUP($D1635,物料档案!$A$4:$P$1203,2,0),"※编码不在物料档案里"))</f>
        <v/>
      </c>
      <c r="I1635" s="24">
        <f>IF($D1635="","",IFERROR(VLOOKUP($D1635,物料档案!$A$4:$P$1203,6,0),"※编码不在物料档案里"))</f>
        <v/>
      </c>
      <c r="J1635" s="23" t="n"/>
      <c r="K1635" s="17" t="n"/>
      <c r="L1635" s="17" t="n"/>
      <c r="M1635" s="17" t="n"/>
      <c r="N1635" s="17" t="n"/>
      <c r="O1635" s="26">
        <f>IF($D1635="","",IFERROR(VLOOKUP($D1635,物料档案!$A$4:$P$1203,10,0),0))</f>
        <v/>
      </c>
      <c r="P1635" s="32" t="n"/>
      <c r="Q1635" s="26">
        <f>IF($D1635="","",IF($K1635&lt;&gt;"对外销售",0,ROUND(N($J1635)*IF($P1635="",N($O1635),N($P1635)),0)))</f>
        <v/>
      </c>
      <c r="R1635" s="26">
        <f>IF($D1635="","",IFERROR(VLOOKUP($D1635,库存台账!$A$5:$Y$1204,11,0),0))</f>
        <v/>
      </c>
      <c r="S1635" s="26">
        <f>IF($D1635="","",ROUND(N($J1635)*N($R1635),0))</f>
        <v/>
      </c>
      <c r="T1635" s="26">
        <f>IF($D1635="","",IF($K1635&lt;&gt;"对外销售","",ROUND($Q1635-$S1635,0)))</f>
        <v/>
      </c>
      <c r="U1635" s="17" t="n"/>
      <c r="V1635" s="17" t="n"/>
      <c r="W1635" s="24">
        <f>IF($D1635="","",IF($E1635="※编码不在物料档案里","※物料编码不在档案里",IF(N($J1635)&lt;=0,"※出库数量要大于 0",IF($K1635="","※没填去向类型",IF($L1635="","※没填去向矿区",IF(AND($C1635&lt;&gt;"",$C1635&lt;=结账锁),"※日期早于已结账截止日，不能再录",IF(AND($K1635="自用消耗",COUNTIF({"一矿区";"二矿区"},$L1635)=0),"※自用消耗的去向只能是一矿区或二矿区",IF(AND($K1635="对外销售",COUNTIF({"三矿区";"六矿区"},$L1635)=0),"※对外销售的去向只能是三矿区或六矿区",IF(AND($K1635="对外销售",ROUND($Q1635,0)=0),"※外销却没有售价，请填实际售价",IF(AND($K1635="对外销售",$T1635&lt;&gt;"",$T1635&lt;0),"※这一笔外销是亏的，请核对售价",IF(IFERROR(VLOOKUP($D1635,库存台账!$A$5:$Y$1204,24,0),0)&lt;-0.001,"※这个物料账面已经变成负数了，查一下是不是漏记入库","")))))))))))</f>
        <v/>
      </c>
    </row>
    <row r="1636">
      <c r="A1636" s="24">
        <f>IF($D1636="","",COUNTA($D$4:$D1636))</f>
        <v/>
      </c>
      <c r="B1636" s="17" t="n"/>
      <c r="C1636" s="30" t="n"/>
      <c r="D1636" s="17" t="n"/>
      <c r="E1636" s="24">
        <f>IF($D1636="","",IFERROR(VLOOKUP($D1636,物料档案!$A$4:$P$1203,3,0),"※编码不在物料档案里"))</f>
        <v/>
      </c>
      <c r="F1636" s="24">
        <f>IF($D1636="","",IFERROR(VLOOKUP($D1636,物料档案!$A$4:$P$1203,4,0),"※编码不在物料档案里"))</f>
        <v/>
      </c>
      <c r="G1636" s="24">
        <f>IF($D1636="","",IFERROR(VLOOKUP($D1636,物料档案!$A$4:$P$1203,5,0),"※编码不在物料档案里"))</f>
        <v/>
      </c>
      <c r="H1636" s="24">
        <f>IF($D1636="","",IFERROR(VLOOKUP($D1636,物料档案!$A$4:$P$1203,2,0),"※编码不在物料档案里"))</f>
        <v/>
      </c>
      <c r="I1636" s="24">
        <f>IF($D1636="","",IFERROR(VLOOKUP($D1636,物料档案!$A$4:$P$1203,6,0),"※编码不在物料档案里"))</f>
        <v/>
      </c>
      <c r="J1636" s="23" t="n"/>
      <c r="K1636" s="17" t="n"/>
      <c r="L1636" s="17" t="n"/>
      <c r="M1636" s="17" t="n"/>
      <c r="N1636" s="17" t="n"/>
      <c r="O1636" s="26">
        <f>IF($D1636="","",IFERROR(VLOOKUP($D1636,物料档案!$A$4:$P$1203,10,0),0))</f>
        <v/>
      </c>
      <c r="P1636" s="32" t="n"/>
      <c r="Q1636" s="26">
        <f>IF($D1636="","",IF($K1636&lt;&gt;"对外销售",0,ROUND(N($J1636)*IF($P1636="",N($O1636),N($P1636)),0)))</f>
        <v/>
      </c>
      <c r="R1636" s="26">
        <f>IF($D1636="","",IFERROR(VLOOKUP($D1636,库存台账!$A$5:$Y$1204,11,0),0))</f>
        <v/>
      </c>
      <c r="S1636" s="26">
        <f>IF($D1636="","",ROUND(N($J1636)*N($R1636),0))</f>
        <v/>
      </c>
      <c r="T1636" s="26">
        <f>IF($D1636="","",IF($K1636&lt;&gt;"对外销售","",ROUND($Q1636-$S1636,0)))</f>
        <v/>
      </c>
      <c r="U1636" s="17" t="n"/>
      <c r="V1636" s="17" t="n"/>
      <c r="W1636" s="24">
        <f>IF($D1636="","",IF($E1636="※编码不在物料档案里","※物料编码不在档案里",IF(N($J1636)&lt;=0,"※出库数量要大于 0",IF($K1636="","※没填去向类型",IF($L1636="","※没填去向矿区",IF(AND($C1636&lt;&gt;"",$C1636&lt;=结账锁),"※日期早于已结账截止日，不能再录",IF(AND($K1636="自用消耗",COUNTIF({"一矿区";"二矿区"},$L1636)=0),"※自用消耗的去向只能是一矿区或二矿区",IF(AND($K1636="对外销售",COUNTIF({"三矿区";"六矿区"},$L1636)=0),"※对外销售的去向只能是三矿区或六矿区",IF(AND($K1636="对外销售",ROUND($Q1636,0)=0),"※外销却没有售价，请填实际售价",IF(AND($K1636="对外销售",$T1636&lt;&gt;"",$T1636&lt;0),"※这一笔外销是亏的，请核对售价",IF(IFERROR(VLOOKUP($D1636,库存台账!$A$5:$Y$1204,24,0),0)&lt;-0.001,"※这个物料账面已经变成负数了，查一下是不是漏记入库","")))))))))))</f>
        <v/>
      </c>
    </row>
    <row r="1637">
      <c r="A1637" s="24">
        <f>IF($D1637="","",COUNTA($D$4:$D1637))</f>
        <v/>
      </c>
      <c r="B1637" s="17" t="n"/>
      <c r="C1637" s="30" t="n"/>
      <c r="D1637" s="17" t="n"/>
      <c r="E1637" s="24">
        <f>IF($D1637="","",IFERROR(VLOOKUP($D1637,物料档案!$A$4:$P$1203,3,0),"※编码不在物料档案里"))</f>
        <v/>
      </c>
      <c r="F1637" s="24">
        <f>IF($D1637="","",IFERROR(VLOOKUP($D1637,物料档案!$A$4:$P$1203,4,0),"※编码不在物料档案里"))</f>
        <v/>
      </c>
      <c r="G1637" s="24">
        <f>IF($D1637="","",IFERROR(VLOOKUP($D1637,物料档案!$A$4:$P$1203,5,0),"※编码不在物料档案里"))</f>
        <v/>
      </c>
      <c r="H1637" s="24">
        <f>IF($D1637="","",IFERROR(VLOOKUP($D1637,物料档案!$A$4:$P$1203,2,0),"※编码不在物料档案里"))</f>
        <v/>
      </c>
      <c r="I1637" s="24">
        <f>IF($D1637="","",IFERROR(VLOOKUP($D1637,物料档案!$A$4:$P$1203,6,0),"※编码不在物料档案里"))</f>
        <v/>
      </c>
      <c r="J1637" s="23" t="n"/>
      <c r="K1637" s="17" t="n"/>
      <c r="L1637" s="17" t="n"/>
      <c r="M1637" s="17" t="n"/>
      <c r="N1637" s="17" t="n"/>
      <c r="O1637" s="26">
        <f>IF($D1637="","",IFERROR(VLOOKUP($D1637,物料档案!$A$4:$P$1203,10,0),0))</f>
        <v/>
      </c>
      <c r="P1637" s="32" t="n"/>
      <c r="Q1637" s="26">
        <f>IF($D1637="","",IF($K1637&lt;&gt;"对外销售",0,ROUND(N($J1637)*IF($P1637="",N($O1637),N($P1637)),0)))</f>
        <v/>
      </c>
      <c r="R1637" s="26">
        <f>IF($D1637="","",IFERROR(VLOOKUP($D1637,库存台账!$A$5:$Y$1204,11,0),0))</f>
        <v/>
      </c>
      <c r="S1637" s="26">
        <f>IF($D1637="","",ROUND(N($J1637)*N($R1637),0))</f>
        <v/>
      </c>
      <c r="T1637" s="26">
        <f>IF($D1637="","",IF($K1637&lt;&gt;"对外销售","",ROUND($Q1637-$S1637,0)))</f>
        <v/>
      </c>
      <c r="U1637" s="17" t="n"/>
      <c r="V1637" s="17" t="n"/>
      <c r="W1637" s="24">
        <f>IF($D1637="","",IF($E1637="※编码不在物料档案里","※物料编码不在档案里",IF(N($J1637)&lt;=0,"※出库数量要大于 0",IF($K1637="","※没填去向类型",IF($L1637="","※没填去向矿区",IF(AND($C1637&lt;&gt;"",$C1637&lt;=结账锁),"※日期早于已结账截止日，不能再录",IF(AND($K1637="自用消耗",COUNTIF({"一矿区";"二矿区"},$L1637)=0),"※自用消耗的去向只能是一矿区或二矿区",IF(AND($K1637="对外销售",COUNTIF({"三矿区";"六矿区"},$L1637)=0),"※对外销售的去向只能是三矿区或六矿区",IF(AND($K1637="对外销售",ROUND($Q1637,0)=0),"※外销却没有售价，请填实际售价",IF(AND($K1637="对外销售",$T1637&lt;&gt;"",$T1637&lt;0),"※这一笔外销是亏的，请核对售价",IF(IFERROR(VLOOKUP($D1637,库存台账!$A$5:$Y$1204,24,0),0)&lt;-0.001,"※这个物料账面已经变成负数了，查一下是不是漏记入库","")))))))))))</f>
        <v/>
      </c>
    </row>
    <row r="1638">
      <c r="A1638" s="24">
        <f>IF($D1638="","",COUNTA($D$4:$D1638))</f>
        <v/>
      </c>
      <c r="B1638" s="17" t="n"/>
      <c r="C1638" s="30" t="n"/>
      <c r="D1638" s="17" t="n"/>
      <c r="E1638" s="24">
        <f>IF($D1638="","",IFERROR(VLOOKUP($D1638,物料档案!$A$4:$P$1203,3,0),"※编码不在物料档案里"))</f>
        <v/>
      </c>
      <c r="F1638" s="24">
        <f>IF($D1638="","",IFERROR(VLOOKUP($D1638,物料档案!$A$4:$P$1203,4,0),"※编码不在物料档案里"))</f>
        <v/>
      </c>
      <c r="G1638" s="24">
        <f>IF($D1638="","",IFERROR(VLOOKUP($D1638,物料档案!$A$4:$P$1203,5,0),"※编码不在物料档案里"))</f>
        <v/>
      </c>
      <c r="H1638" s="24">
        <f>IF($D1638="","",IFERROR(VLOOKUP($D1638,物料档案!$A$4:$P$1203,2,0),"※编码不在物料档案里"))</f>
        <v/>
      </c>
      <c r="I1638" s="24">
        <f>IF($D1638="","",IFERROR(VLOOKUP($D1638,物料档案!$A$4:$P$1203,6,0),"※编码不在物料档案里"))</f>
        <v/>
      </c>
      <c r="J1638" s="23" t="n"/>
      <c r="K1638" s="17" t="n"/>
      <c r="L1638" s="17" t="n"/>
      <c r="M1638" s="17" t="n"/>
      <c r="N1638" s="17" t="n"/>
      <c r="O1638" s="26">
        <f>IF($D1638="","",IFERROR(VLOOKUP($D1638,物料档案!$A$4:$P$1203,10,0),0))</f>
        <v/>
      </c>
      <c r="P1638" s="32" t="n"/>
      <c r="Q1638" s="26">
        <f>IF($D1638="","",IF($K1638&lt;&gt;"对外销售",0,ROUND(N($J1638)*IF($P1638="",N($O1638),N($P1638)),0)))</f>
        <v/>
      </c>
      <c r="R1638" s="26">
        <f>IF($D1638="","",IFERROR(VLOOKUP($D1638,库存台账!$A$5:$Y$1204,11,0),0))</f>
        <v/>
      </c>
      <c r="S1638" s="26">
        <f>IF($D1638="","",ROUND(N($J1638)*N($R1638),0))</f>
        <v/>
      </c>
      <c r="T1638" s="26">
        <f>IF($D1638="","",IF($K1638&lt;&gt;"对外销售","",ROUND($Q1638-$S1638,0)))</f>
        <v/>
      </c>
      <c r="U1638" s="17" t="n"/>
      <c r="V1638" s="17" t="n"/>
      <c r="W1638" s="24">
        <f>IF($D1638="","",IF($E1638="※编码不在物料档案里","※物料编码不在档案里",IF(N($J1638)&lt;=0,"※出库数量要大于 0",IF($K1638="","※没填去向类型",IF($L1638="","※没填去向矿区",IF(AND($C1638&lt;&gt;"",$C1638&lt;=结账锁),"※日期早于已结账截止日，不能再录",IF(AND($K1638="自用消耗",COUNTIF({"一矿区";"二矿区"},$L1638)=0),"※自用消耗的去向只能是一矿区或二矿区",IF(AND($K1638="对外销售",COUNTIF({"三矿区";"六矿区"},$L1638)=0),"※对外销售的去向只能是三矿区或六矿区",IF(AND($K1638="对外销售",ROUND($Q1638,0)=0),"※外销却没有售价，请填实际售价",IF(AND($K1638="对外销售",$T1638&lt;&gt;"",$T1638&lt;0),"※这一笔外销是亏的，请核对售价",IF(IFERROR(VLOOKUP($D1638,库存台账!$A$5:$Y$1204,24,0),0)&lt;-0.001,"※这个物料账面已经变成负数了，查一下是不是漏记入库","")))))))))))</f>
        <v/>
      </c>
    </row>
    <row r="1639">
      <c r="A1639" s="24">
        <f>IF($D1639="","",COUNTA($D$4:$D1639))</f>
        <v/>
      </c>
      <c r="B1639" s="17" t="n"/>
      <c r="C1639" s="30" t="n"/>
      <c r="D1639" s="17" t="n"/>
      <c r="E1639" s="24">
        <f>IF($D1639="","",IFERROR(VLOOKUP($D1639,物料档案!$A$4:$P$1203,3,0),"※编码不在物料档案里"))</f>
        <v/>
      </c>
      <c r="F1639" s="24">
        <f>IF($D1639="","",IFERROR(VLOOKUP($D1639,物料档案!$A$4:$P$1203,4,0),"※编码不在物料档案里"))</f>
        <v/>
      </c>
      <c r="G1639" s="24">
        <f>IF($D1639="","",IFERROR(VLOOKUP($D1639,物料档案!$A$4:$P$1203,5,0),"※编码不在物料档案里"))</f>
        <v/>
      </c>
      <c r="H1639" s="24">
        <f>IF($D1639="","",IFERROR(VLOOKUP($D1639,物料档案!$A$4:$P$1203,2,0),"※编码不在物料档案里"))</f>
        <v/>
      </c>
      <c r="I1639" s="24">
        <f>IF($D1639="","",IFERROR(VLOOKUP($D1639,物料档案!$A$4:$P$1203,6,0),"※编码不在物料档案里"))</f>
        <v/>
      </c>
      <c r="J1639" s="23" t="n"/>
      <c r="K1639" s="17" t="n"/>
      <c r="L1639" s="17" t="n"/>
      <c r="M1639" s="17" t="n"/>
      <c r="N1639" s="17" t="n"/>
      <c r="O1639" s="26">
        <f>IF($D1639="","",IFERROR(VLOOKUP($D1639,物料档案!$A$4:$P$1203,10,0),0))</f>
        <v/>
      </c>
      <c r="P1639" s="32" t="n"/>
      <c r="Q1639" s="26">
        <f>IF($D1639="","",IF($K1639&lt;&gt;"对外销售",0,ROUND(N($J1639)*IF($P1639="",N($O1639),N($P1639)),0)))</f>
        <v/>
      </c>
      <c r="R1639" s="26">
        <f>IF($D1639="","",IFERROR(VLOOKUP($D1639,库存台账!$A$5:$Y$1204,11,0),0))</f>
        <v/>
      </c>
      <c r="S1639" s="26">
        <f>IF($D1639="","",ROUND(N($J1639)*N($R1639),0))</f>
        <v/>
      </c>
      <c r="T1639" s="26">
        <f>IF($D1639="","",IF($K1639&lt;&gt;"对外销售","",ROUND($Q1639-$S1639,0)))</f>
        <v/>
      </c>
      <c r="U1639" s="17" t="n"/>
      <c r="V1639" s="17" t="n"/>
      <c r="W1639" s="24">
        <f>IF($D1639="","",IF($E1639="※编码不在物料档案里","※物料编码不在档案里",IF(N($J1639)&lt;=0,"※出库数量要大于 0",IF($K1639="","※没填去向类型",IF($L1639="","※没填去向矿区",IF(AND($C1639&lt;&gt;"",$C1639&lt;=结账锁),"※日期早于已结账截止日，不能再录",IF(AND($K1639="自用消耗",COUNTIF({"一矿区";"二矿区"},$L1639)=0),"※自用消耗的去向只能是一矿区或二矿区",IF(AND($K1639="对外销售",COUNTIF({"三矿区";"六矿区"},$L1639)=0),"※对外销售的去向只能是三矿区或六矿区",IF(AND($K1639="对外销售",ROUND($Q1639,0)=0),"※外销却没有售价，请填实际售价",IF(AND($K1639="对外销售",$T1639&lt;&gt;"",$T1639&lt;0),"※这一笔外销是亏的，请核对售价",IF(IFERROR(VLOOKUP($D1639,库存台账!$A$5:$Y$1204,24,0),0)&lt;-0.001,"※这个物料账面已经变成负数了，查一下是不是漏记入库","")))))))))))</f>
        <v/>
      </c>
    </row>
    <row r="1640">
      <c r="A1640" s="24">
        <f>IF($D1640="","",COUNTA($D$4:$D1640))</f>
        <v/>
      </c>
      <c r="B1640" s="17" t="n"/>
      <c r="C1640" s="30" t="n"/>
      <c r="D1640" s="17" t="n"/>
      <c r="E1640" s="24">
        <f>IF($D1640="","",IFERROR(VLOOKUP($D1640,物料档案!$A$4:$P$1203,3,0),"※编码不在物料档案里"))</f>
        <v/>
      </c>
      <c r="F1640" s="24">
        <f>IF($D1640="","",IFERROR(VLOOKUP($D1640,物料档案!$A$4:$P$1203,4,0),"※编码不在物料档案里"))</f>
        <v/>
      </c>
      <c r="G1640" s="24">
        <f>IF($D1640="","",IFERROR(VLOOKUP($D1640,物料档案!$A$4:$P$1203,5,0),"※编码不在物料档案里"))</f>
        <v/>
      </c>
      <c r="H1640" s="24">
        <f>IF($D1640="","",IFERROR(VLOOKUP($D1640,物料档案!$A$4:$P$1203,2,0),"※编码不在物料档案里"))</f>
        <v/>
      </c>
      <c r="I1640" s="24">
        <f>IF($D1640="","",IFERROR(VLOOKUP($D1640,物料档案!$A$4:$P$1203,6,0),"※编码不在物料档案里"))</f>
        <v/>
      </c>
      <c r="J1640" s="23" t="n"/>
      <c r="K1640" s="17" t="n"/>
      <c r="L1640" s="17" t="n"/>
      <c r="M1640" s="17" t="n"/>
      <c r="N1640" s="17" t="n"/>
      <c r="O1640" s="26">
        <f>IF($D1640="","",IFERROR(VLOOKUP($D1640,物料档案!$A$4:$P$1203,10,0),0))</f>
        <v/>
      </c>
      <c r="P1640" s="32" t="n"/>
      <c r="Q1640" s="26">
        <f>IF($D1640="","",IF($K1640&lt;&gt;"对外销售",0,ROUND(N($J1640)*IF($P1640="",N($O1640),N($P1640)),0)))</f>
        <v/>
      </c>
      <c r="R1640" s="26">
        <f>IF($D1640="","",IFERROR(VLOOKUP($D1640,库存台账!$A$5:$Y$1204,11,0),0))</f>
        <v/>
      </c>
      <c r="S1640" s="26">
        <f>IF($D1640="","",ROUND(N($J1640)*N($R1640),0))</f>
        <v/>
      </c>
      <c r="T1640" s="26">
        <f>IF($D1640="","",IF($K1640&lt;&gt;"对外销售","",ROUND($Q1640-$S1640,0)))</f>
        <v/>
      </c>
      <c r="U1640" s="17" t="n"/>
      <c r="V1640" s="17" t="n"/>
      <c r="W1640" s="24">
        <f>IF($D1640="","",IF($E1640="※编码不在物料档案里","※物料编码不在档案里",IF(N($J1640)&lt;=0,"※出库数量要大于 0",IF($K1640="","※没填去向类型",IF($L1640="","※没填去向矿区",IF(AND($C1640&lt;&gt;"",$C1640&lt;=结账锁),"※日期早于已结账截止日，不能再录",IF(AND($K1640="自用消耗",COUNTIF({"一矿区";"二矿区"},$L1640)=0),"※自用消耗的去向只能是一矿区或二矿区",IF(AND($K1640="对外销售",COUNTIF({"三矿区";"六矿区"},$L1640)=0),"※对外销售的去向只能是三矿区或六矿区",IF(AND($K1640="对外销售",ROUND($Q1640,0)=0),"※外销却没有售价，请填实际售价",IF(AND($K1640="对外销售",$T1640&lt;&gt;"",$T1640&lt;0),"※这一笔外销是亏的，请核对售价",IF(IFERROR(VLOOKUP($D1640,库存台账!$A$5:$Y$1204,24,0),0)&lt;-0.001,"※这个物料账面已经变成负数了，查一下是不是漏记入库","")))))))))))</f>
        <v/>
      </c>
    </row>
    <row r="1641">
      <c r="A1641" s="24">
        <f>IF($D1641="","",COUNTA($D$4:$D1641))</f>
        <v/>
      </c>
      <c r="B1641" s="17" t="n"/>
      <c r="C1641" s="30" t="n"/>
      <c r="D1641" s="17" t="n"/>
      <c r="E1641" s="24">
        <f>IF($D1641="","",IFERROR(VLOOKUP($D1641,物料档案!$A$4:$P$1203,3,0),"※编码不在物料档案里"))</f>
        <v/>
      </c>
      <c r="F1641" s="24">
        <f>IF($D1641="","",IFERROR(VLOOKUP($D1641,物料档案!$A$4:$P$1203,4,0),"※编码不在物料档案里"))</f>
        <v/>
      </c>
      <c r="G1641" s="24">
        <f>IF($D1641="","",IFERROR(VLOOKUP($D1641,物料档案!$A$4:$P$1203,5,0),"※编码不在物料档案里"))</f>
        <v/>
      </c>
      <c r="H1641" s="24">
        <f>IF($D1641="","",IFERROR(VLOOKUP($D1641,物料档案!$A$4:$P$1203,2,0),"※编码不在物料档案里"))</f>
        <v/>
      </c>
      <c r="I1641" s="24">
        <f>IF($D1641="","",IFERROR(VLOOKUP($D1641,物料档案!$A$4:$P$1203,6,0),"※编码不在物料档案里"))</f>
        <v/>
      </c>
      <c r="J1641" s="23" t="n"/>
      <c r="K1641" s="17" t="n"/>
      <c r="L1641" s="17" t="n"/>
      <c r="M1641" s="17" t="n"/>
      <c r="N1641" s="17" t="n"/>
      <c r="O1641" s="26">
        <f>IF($D1641="","",IFERROR(VLOOKUP($D1641,物料档案!$A$4:$P$1203,10,0),0))</f>
        <v/>
      </c>
      <c r="P1641" s="32" t="n"/>
      <c r="Q1641" s="26">
        <f>IF($D1641="","",IF($K1641&lt;&gt;"对外销售",0,ROUND(N($J1641)*IF($P1641="",N($O1641),N($P1641)),0)))</f>
        <v/>
      </c>
      <c r="R1641" s="26">
        <f>IF($D1641="","",IFERROR(VLOOKUP($D1641,库存台账!$A$5:$Y$1204,11,0),0))</f>
        <v/>
      </c>
      <c r="S1641" s="26">
        <f>IF($D1641="","",ROUND(N($J1641)*N($R1641),0))</f>
        <v/>
      </c>
      <c r="T1641" s="26">
        <f>IF($D1641="","",IF($K1641&lt;&gt;"对外销售","",ROUND($Q1641-$S1641,0)))</f>
        <v/>
      </c>
      <c r="U1641" s="17" t="n"/>
      <c r="V1641" s="17" t="n"/>
      <c r="W1641" s="24">
        <f>IF($D1641="","",IF($E1641="※编码不在物料档案里","※物料编码不在档案里",IF(N($J1641)&lt;=0,"※出库数量要大于 0",IF($K1641="","※没填去向类型",IF($L1641="","※没填去向矿区",IF(AND($C1641&lt;&gt;"",$C1641&lt;=结账锁),"※日期早于已结账截止日，不能再录",IF(AND($K1641="自用消耗",COUNTIF({"一矿区";"二矿区"},$L1641)=0),"※自用消耗的去向只能是一矿区或二矿区",IF(AND($K1641="对外销售",COUNTIF({"三矿区";"六矿区"},$L1641)=0),"※对外销售的去向只能是三矿区或六矿区",IF(AND($K1641="对外销售",ROUND($Q1641,0)=0),"※外销却没有售价，请填实际售价",IF(AND($K1641="对外销售",$T1641&lt;&gt;"",$T1641&lt;0),"※这一笔外销是亏的，请核对售价",IF(IFERROR(VLOOKUP($D1641,库存台账!$A$5:$Y$1204,24,0),0)&lt;-0.001,"※这个物料账面已经变成负数了，查一下是不是漏记入库","")))))))))))</f>
        <v/>
      </c>
    </row>
    <row r="1642">
      <c r="A1642" s="24">
        <f>IF($D1642="","",COUNTA($D$4:$D1642))</f>
        <v/>
      </c>
      <c r="B1642" s="17" t="n"/>
      <c r="C1642" s="30" t="n"/>
      <c r="D1642" s="17" t="n"/>
      <c r="E1642" s="24">
        <f>IF($D1642="","",IFERROR(VLOOKUP($D1642,物料档案!$A$4:$P$1203,3,0),"※编码不在物料档案里"))</f>
        <v/>
      </c>
      <c r="F1642" s="24">
        <f>IF($D1642="","",IFERROR(VLOOKUP($D1642,物料档案!$A$4:$P$1203,4,0),"※编码不在物料档案里"))</f>
        <v/>
      </c>
      <c r="G1642" s="24">
        <f>IF($D1642="","",IFERROR(VLOOKUP($D1642,物料档案!$A$4:$P$1203,5,0),"※编码不在物料档案里"))</f>
        <v/>
      </c>
      <c r="H1642" s="24">
        <f>IF($D1642="","",IFERROR(VLOOKUP($D1642,物料档案!$A$4:$P$1203,2,0),"※编码不在物料档案里"))</f>
        <v/>
      </c>
      <c r="I1642" s="24">
        <f>IF($D1642="","",IFERROR(VLOOKUP($D1642,物料档案!$A$4:$P$1203,6,0),"※编码不在物料档案里"))</f>
        <v/>
      </c>
      <c r="J1642" s="23" t="n"/>
      <c r="K1642" s="17" t="n"/>
      <c r="L1642" s="17" t="n"/>
      <c r="M1642" s="17" t="n"/>
      <c r="N1642" s="17" t="n"/>
      <c r="O1642" s="26">
        <f>IF($D1642="","",IFERROR(VLOOKUP($D1642,物料档案!$A$4:$P$1203,10,0),0))</f>
        <v/>
      </c>
      <c r="P1642" s="32" t="n"/>
      <c r="Q1642" s="26">
        <f>IF($D1642="","",IF($K1642&lt;&gt;"对外销售",0,ROUND(N($J1642)*IF($P1642="",N($O1642),N($P1642)),0)))</f>
        <v/>
      </c>
      <c r="R1642" s="26">
        <f>IF($D1642="","",IFERROR(VLOOKUP($D1642,库存台账!$A$5:$Y$1204,11,0),0))</f>
        <v/>
      </c>
      <c r="S1642" s="26">
        <f>IF($D1642="","",ROUND(N($J1642)*N($R1642),0))</f>
        <v/>
      </c>
      <c r="T1642" s="26">
        <f>IF($D1642="","",IF($K1642&lt;&gt;"对外销售","",ROUND($Q1642-$S1642,0)))</f>
        <v/>
      </c>
      <c r="U1642" s="17" t="n"/>
      <c r="V1642" s="17" t="n"/>
      <c r="W1642" s="24">
        <f>IF($D1642="","",IF($E1642="※编码不在物料档案里","※物料编码不在档案里",IF(N($J1642)&lt;=0,"※出库数量要大于 0",IF($K1642="","※没填去向类型",IF($L1642="","※没填去向矿区",IF(AND($C1642&lt;&gt;"",$C1642&lt;=结账锁),"※日期早于已结账截止日，不能再录",IF(AND($K1642="自用消耗",COUNTIF({"一矿区";"二矿区"},$L1642)=0),"※自用消耗的去向只能是一矿区或二矿区",IF(AND($K1642="对外销售",COUNTIF({"三矿区";"六矿区"},$L1642)=0),"※对外销售的去向只能是三矿区或六矿区",IF(AND($K1642="对外销售",ROUND($Q1642,0)=0),"※外销却没有售价，请填实际售价",IF(AND($K1642="对外销售",$T1642&lt;&gt;"",$T1642&lt;0),"※这一笔外销是亏的，请核对售价",IF(IFERROR(VLOOKUP($D1642,库存台账!$A$5:$Y$1204,24,0),0)&lt;-0.001,"※这个物料账面已经变成负数了，查一下是不是漏记入库","")))))))))))</f>
        <v/>
      </c>
    </row>
    <row r="1643">
      <c r="A1643" s="24">
        <f>IF($D1643="","",COUNTA($D$4:$D1643))</f>
        <v/>
      </c>
      <c r="B1643" s="17" t="n"/>
      <c r="C1643" s="30" t="n"/>
      <c r="D1643" s="17" t="n"/>
      <c r="E1643" s="24">
        <f>IF($D1643="","",IFERROR(VLOOKUP($D1643,物料档案!$A$4:$P$1203,3,0),"※编码不在物料档案里"))</f>
        <v/>
      </c>
      <c r="F1643" s="24">
        <f>IF($D1643="","",IFERROR(VLOOKUP($D1643,物料档案!$A$4:$P$1203,4,0),"※编码不在物料档案里"))</f>
        <v/>
      </c>
      <c r="G1643" s="24">
        <f>IF($D1643="","",IFERROR(VLOOKUP($D1643,物料档案!$A$4:$P$1203,5,0),"※编码不在物料档案里"))</f>
        <v/>
      </c>
      <c r="H1643" s="24">
        <f>IF($D1643="","",IFERROR(VLOOKUP($D1643,物料档案!$A$4:$P$1203,2,0),"※编码不在物料档案里"))</f>
        <v/>
      </c>
      <c r="I1643" s="24">
        <f>IF($D1643="","",IFERROR(VLOOKUP($D1643,物料档案!$A$4:$P$1203,6,0),"※编码不在物料档案里"))</f>
        <v/>
      </c>
      <c r="J1643" s="23" t="n"/>
      <c r="K1643" s="17" t="n"/>
      <c r="L1643" s="17" t="n"/>
      <c r="M1643" s="17" t="n"/>
      <c r="N1643" s="17" t="n"/>
      <c r="O1643" s="26">
        <f>IF($D1643="","",IFERROR(VLOOKUP($D1643,物料档案!$A$4:$P$1203,10,0),0))</f>
        <v/>
      </c>
      <c r="P1643" s="32" t="n"/>
      <c r="Q1643" s="26">
        <f>IF($D1643="","",IF($K1643&lt;&gt;"对外销售",0,ROUND(N($J1643)*IF($P1643="",N($O1643),N($P1643)),0)))</f>
        <v/>
      </c>
      <c r="R1643" s="26">
        <f>IF($D1643="","",IFERROR(VLOOKUP($D1643,库存台账!$A$5:$Y$1204,11,0),0))</f>
        <v/>
      </c>
      <c r="S1643" s="26">
        <f>IF($D1643="","",ROUND(N($J1643)*N($R1643),0))</f>
        <v/>
      </c>
      <c r="T1643" s="26">
        <f>IF($D1643="","",IF($K1643&lt;&gt;"对外销售","",ROUND($Q1643-$S1643,0)))</f>
        <v/>
      </c>
      <c r="U1643" s="17" t="n"/>
      <c r="V1643" s="17" t="n"/>
      <c r="W1643" s="24">
        <f>IF($D1643="","",IF($E1643="※编码不在物料档案里","※物料编码不在档案里",IF(N($J1643)&lt;=0,"※出库数量要大于 0",IF($K1643="","※没填去向类型",IF($L1643="","※没填去向矿区",IF(AND($C1643&lt;&gt;"",$C1643&lt;=结账锁),"※日期早于已结账截止日，不能再录",IF(AND($K1643="自用消耗",COUNTIF({"一矿区";"二矿区"},$L1643)=0),"※自用消耗的去向只能是一矿区或二矿区",IF(AND($K1643="对外销售",COUNTIF({"三矿区";"六矿区"},$L1643)=0),"※对外销售的去向只能是三矿区或六矿区",IF(AND($K1643="对外销售",ROUND($Q1643,0)=0),"※外销却没有售价，请填实际售价",IF(AND($K1643="对外销售",$T1643&lt;&gt;"",$T1643&lt;0),"※这一笔外销是亏的，请核对售价",IF(IFERROR(VLOOKUP($D1643,库存台账!$A$5:$Y$1204,24,0),0)&lt;-0.001,"※这个物料账面已经变成负数了，查一下是不是漏记入库","")))))))))))</f>
        <v/>
      </c>
    </row>
    <row r="1644">
      <c r="A1644" s="24">
        <f>IF($D1644="","",COUNTA($D$4:$D1644))</f>
        <v/>
      </c>
      <c r="B1644" s="17" t="n"/>
      <c r="C1644" s="30" t="n"/>
      <c r="D1644" s="17" t="n"/>
      <c r="E1644" s="24">
        <f>IF($D1644="","",IFERROR(VLOOKUP($D1644,物料档案!$A$4:$P$1203,3,0),"※编码不在物料档案里"))</f>
        <v/>
      </c>
      <c r="F1644" s="24">
        <f>IF($D1644="","",IFERROR(VLOOKUP($D1644,物料档案!$A$4:$P$1203,4,0),"※编码不在物料档案里"))</f>
        <v/>
      </c>
      <c r="G1644" s="24">
        <f>IF($D1644="","",IFERROR(VLOOKUP($D1644,物料档案!$A$4:$P$1203,5,0),"※编码不在物料档案里"))</f>
        <v/>
      </c>
      <c r="H1644" s="24">
        <f>IF($D1644="","",IFERROR(VLOOKUP($D1644,物料档案!$A$4:$P$1203,2,0),"※编码不在物料档案里"))</f>
        <v/>
      </c>
      <c r="I1644" s="24">
        <f>IF($D1644="","",IFERROR(VLOOKUP($D1644,物料档案!$A$4:$P$1203,6,0),"※编码不在物料档案里"))</f>
        <v/>
      </c>
      <c r="J1644" s="23" t="n"/>
      <c r="K1644" s="17" t="n"/>
      <c r="L1644" s="17" t="n"/>
      <c r="M1644" s="17" t="n"/>
      <c r="N1644" s="17" t="n"/>
      <c r="O1644" s="26">
        <f>IF($D1644="","",IFERROR(VLOOKUP($D1644,物料档案!$A$4:$P$1203,10,0),0))</f>
        <v/>
      </c>
      <c r="P1644" s="32" t="n"/>
      <c r="Q1644" s="26">
        <f>IF($D1644="","",IF($K1644&lt;&gt;"对外销售",0,ROUND(N($J1644)*IF($P1644="",N($O1644),N($P1644)),0)))</f>
        <v/>
      </c>
      <c r="R1644" s="26">
        <f>IF($D1644="","",IFERROR(VLOOKUP($D1644,库存台账!$A$5:$Y$1204,11,0),0))</f>
        <v/>
      </c>
      <c r="S1644" s="26">
        <f>IF($D1644="","",ROUND(N($J1644)*N($R1644),0))</f>
        <v/>
      </c>
      <c r="T1644" s="26">
        <f>IF($D1644="","",IF($K1644&lt;&gt;"对外销售","",ROUND($Q1644-$S1644,0)))</f>
        <v/>
      </c>
      <c r="U1644" s="17" t="n"/>
      <c r="V1644" s="17" t="n"/>
      <c r="W1644" s="24">
        <f>IF($D1644="","",IF($E1644="※编码不在物料档案里","※物料编码不在档案里",IF(N($J1644)&lt;=0,"※出库数量要大于 0",IF($K1644="","※没填去向类型",IF($L1644="","※没填去向矿区",IF(AND($C1644&lt;&gt;"",$C1644&lt;=结账锁),"※日期早于已结账截止日，不能再录",IF(AND($K1644="自用消耗",COUNTIF({"一矿区";"二矿区"},$L1644)=0),"※自用消耗的去向只能是一矿区或二矿区",IF(AND($K1644="对外销售",COUNTIF({"三矿区";"六矿区"},$L1644)=0),"※对外销售的去向只能是三矿区或六矿区",IF(AND($K1644="对外销售",ROUND($Q1644,0)=0),"※外销却没有售价，请填实际售价",IF(AND($K1644="对外销售",$T1644&lt;&gt;"",$T1644&lt;0),"※这一笔外销是亏的，请核对售价",IF(IFERROR(VLOOKUP($D1644,库存台账!$A$5:$Y$1204,24,0),0)&lt;-0.001,"※这个物料账面已经变成负数了，查一下是不是漏记入库","")))))))))))</f>
        <v/>
      </c>
    </row>
    <row r="1645">
      <c r="A1645" s="24">
        <f>IF($D1645="","",COUNTA($D$4:$D1645))</f>
        <v/>
      </c>
      <c r="B1645" s="17" t="n"/>
      <c r="C1645" s="30" t="n"/>
      <c r="D1645" s="17" t="n"/>
      <c r="E1645" s="24">
        <f>IF($D1645="","",IFERROR(VLOOKUP($D1645,物料档案!$A$4:$P$1203,3,0),"※编码不在物料档案里"))</f>
        <v/>
      </c>
      <c r="F1645" s="24">
        <f>IF($D1645="","",IFERROR(VLOOKUP($D1645,物料档案!$A$4:$P$1203,4,0),"※编码不在物料档案里"))</f>
        <v/>
      </c>
      <c r="G1645" s="24">
        <f>IF($D1645="","",IFERROR(VLOOKUP($D1645,物料档案!$A$4:$P$1203,5,0),"※编码不在物料档案里"))</f>
        <v/>
      </c>
      <c r="H1645" s="24">
        <f>IF($D1645="","",IFERROR(VLOOKUP($D1645,物料档案!$A$4:$P$1203,2,0),"※编码不在物料档案里"))</f>
        <v/>
      </c>
      <c r="I1645" s="24">
        <f>IF($D1645="","",IFERROR(VLOOKUP($D1645,物料档案!$A$4:$P$1203,6,0),"※编码不在物料档案里"))</f>
        <v/>
      </c>
      <c r="J1645" s="23" t="n"/>
      <c r="K1645" s="17" t="n"/>
      <c r="L1645" s="17" t="n"/>
      <c r="M1645" s="17" t="n"/>
      <c r="N1645" s="17" t="n"/>
      <c r="O1645" s="26">
        <f>IF($D1645="","",IFERROR(VLOOKUP($D1645,物料档案!$A$4:$P$1203,10,0),0))</f>
        <v/>
      </c>
      <c r="P1645" s="32" t="n"/>
      <c r="Q1645" s="26">
        <f>IF($D1645="","",IF($K1645&lt;&gt;"对外销售",0,ROUND(N($J1645)*IF($P1645="",N($O1645),N($P1645)),0)))</f>
        <v/>
      </c>
      <c r="R1645" s="26">
        <f>IF($D1645="","",IFERROR(VLOOKUP($D1645,库存台账!$A$5:$Y$1204,11,0),0))</f>
        <v/>
      </c>
      <c r="S1645" s="26">
        <f>IF($D1645="","",ROUND(N($J1645)*N($R1645),0))</f>
        <v/>
      </c>
      <c r="T1645" s="26">
        <f>IF($D1645="","",IF($K1645&lt;&gt;"对外销售","",ROUND($Q1645-$S1645,0)))</f>
        <v/>
      </c>
      <c r="U1645" s="17" t="n"/>
      <c r="V1645" s="17" t="n"/>
      <c r="W1645" s="24">
        <f>IF($D1645="","",IF($E1645="※编码不在物料档案里","※物料编码不在档案里",IF(N($J1645)&lt;=0,"※出库数量要大于 0",IF($K1645="","※没填去向类型",IF($L1645="","※没填去向矿区",IF(AND($C1645&lt;&gt;"",$C1645&lt;=结账锁),"※日期早于已结账截止日，不能再录",IF(AND($K1645="自用消耗",COUNTIF({"一矿区";"二矿区"},$L1645)=0),"※自用消耗的去向只能是一矿区或二矿区",IF(AND($K1645="对外销售",COUNTIF({"三矿区";"六矿区"},$L1645)=0),"※对外销售的去向只能是三矿区或六矿区",IF(AND($K1645="对外销售",ROUND($Q1645,0)=0),"※外销却没有售价，请填实际售价",IF(AND($K1645="对外销售",$T1645&lt;&gt;"",$T1645&lt;0),"※这一笔外销是亏的，请核对售价",IF(IFERROR(VLOOKUP($D1645,库存台账!$A$5:$Y$1204,24,0),0)&lt;-0.001,"※这个物料账面已经变成负数了，查一下是不是漏记入库","")))))))))))</f>
        <v/>
      </c>
    </row>
    <row r="1646">
      <c r="A1646" s="24">
        <f>IF($D1646="","",COUNTA($D$4:$D1646))</f>
        <v/>
      </c>
      <c r="B1646" s="17" t="n"/>
      <c r="C1646" s="30" t="n"/>
      <c r="D1646" s="17" t="n"/>
      <c r="E1646" s="24">
        <f>IF($D1646="","",IFERROR(VLOOKUP($D1646,物料档案!$A$4:$P$1203,3,0),"※编码不在物料档案里"))</f>
        <v/>
      </c>
      <c r="F1646" s="24">
        <f>IF($D1646="","",IFERROR(VLOOKUP($D1646,物料档案!$A$4:$P$1203,4,0),"※编码不在物料档案里"))</f>
        <v/>
      </c>
      <c r="G1646" s="24">
        <f>IF($D1646="","",IFERROR(VLOOKUP($D1646,物料档案!$A$4:$P$1203,5,0),"※编码不在物料档案里"))</f>
        <v/>
      </c>
      <c r="H1646" s="24">
        <f>IF($D1646="","",IFERROR(VLOOKUP($D1646,物料档案!$A$4:$P$1203,2,0),"※编码不在物料档案里"))</f>
        <v/>
      </c>
      <c r="I1646" s="24">
        <f>IF($D1646="","",IFERROR(VLOOKUP($D1646,物料档案!$A$4:$P$1203,6,0),"※编码不在物料档案里"))</f>
        <v/>
      </c>
      <c r="J1646" s="23" t="n"/>
      <c r="K1646" s="17" t="n"/>
      <c r="L1646" s="17" t="n"/>
      <c r="M1646" s="17" t="n"/>
      <c r="N1646" s="17" t="n"/>
      <c r="O1646" s="26">
        <f>IF($D1646="","",IFERROR(VLOOKUP($D1646,物料档案!$A$4:$P$1203,10,0),0))</f>
        <v/>
      </c>
      <c r="P1646" s="32" t="n"/>
      <c r="Q1646" s="26">
        <f>IF($D1646="","",IF($K1646&lt;&gt;"对外销售",0,ROUND(N($J1646)*IF($P1646="",N($O1646),N($P1646)),0)))</f>
        <v/>
      </c>
      <c r="R1646" s="26">
        <f>IF($D1646="","",IFERROR(VLOOKUP($D1646,库存台账!$A$5:$Y$1204,11,0),0))</f>
        <v/>
      </c>
      <c r="S1646" s="26">
        <f>IF($D1646="","",ROUND(N($J1646)*N($R1646),0))</f>
        <v/>
      </c>
      <c r="T1646" s="26">
        <f>IF($D1646="","",IF($K1646&lt;&gt;"对外销售","",ROUND($Q1646-$S1646,0)))</f>
        <v/>
      </c>
      <c r="U1646" s="17" t="n"/>
      <c r="V1646" s="17" t="n"/>
      <c r="W1646" s="24">
        <f>IF($D1646="","",IF($E1646="※编码不在物料档案里","※物料编码不在档案里",IF(N($J1646)&lt;=0,"※出库数量要大于 0",IF($K1646="","※没填去向类型",IF($L1646="","※没填去向矿区",IF(AND($C1646&lt;&gt;"",$C1646&lt;=结账锁),"※日期早于已结账截止日，不能再录",IF(AND($K1646="自用消耗",COUNTIF({"一矿区";"二矿区"},$L1646)=0),"※自用消耗的去向只能是一矿区或二矿区",IF(AND($K1646="对外销售",COUNTIF({"三矿区";"六矿区"},$L1646)=0),"※对外销售的去向只能是三矿区或六矿区",IF(AND($K1646="对外销售",ROUND($Q1646,0)=0),"※外销却没有售价，请填实际售价",IF(AND($K1646="对外销售",$T1646&lt;&gt;"",$T1646&lt;0),"※这一笔外销是亏的，请核对售价",IF(IFERROR(VLOOKUP($D1646,库存台账!$A$5:$Y$1204,24,0),0)&lt;-0.001,"※这个物料账面已经变成负数了，查一下是不是漏记入库","")))))))))))</f>
        <v/>
      </c>
    </row>
    <row r="1647">
      <c r="A1647" s="24">
        <f>IF($D1647="","",COUNTA($D$4:$D1647))</f>
        <v/>
      </c>
      <c r="B1647" s="17" t="n"/>
      <c r="C1647" s="30" t="n"/>
      <c r="D1647" s="17" t="n"/>
      <c r="E1647" s="24">
        <f>IF($D1647="","",IFERROR(VLOOKUP($D1647,物料档案!$A$4:$P$1203,3,0),"※编码不在物料档案里"))</f>
        <v/>
      </c>
      <c r="F1647" s="24">
        <f>IF($D1647="","",IFERROR(VLOOKUP($D1647,物料档案!$A$4:$P$1203,4,0),"※编码不在物料档案里"))</f>
        <v/>
      </c>
      <c r="G1647" s="24">
        <f>IF($D1647="","",IFERROR(VLOOKUP($D1647,物料档案!$A$4:$P$1203,5,0),"※编码不在物料档案里"))</f>
        <v/>
      </c>
      <c r="H1647" s="24">
        <f>IF($D1647="","",IFERROR(VLOOKUP($D1647,物料档案!$A$4:$P$1203,2,0),"※编码不在物料档案里"))</f>
        <v/>
      </c>
      <c r="I1647" s="24">
        <f>IF($D1647="","",IFERROR(VLOOKUP($D1647,物料档案!$A$4:$P$1203,6,0),"※编码不在物料档案里"))</f>
        <v/>
      </c>
      <c r="J1647" s="23" t="n"/>
      <c r="K1647" s="17" t="n"/>
      <c r="L1647" s="17" t="n"/>
      <c r="M1647" s="17" t="n"/>
      <c r="N1647" s="17" t="n"/>
      <c r="O1647" s="26">
        <f>IF($D1647="","",IFERROR(VLOOKUP($D1647,物料档案!$A$4:$P$1203,10,0),0))</f>
        <v/>
      </c>
      <c r="P1647" s="32" t="n"/>
      <c r="Q1647" s="26">
        <f>IF($D1647="","",IF($K1647&lt;&gt;"对外销售",0,ROUND(N($J1647)*IF($P1647="",N($O1647),N($P1647)),0)))</f>
        <v/>
      </c>
      <c r="R1647" s="26">
        <f>IF($D1647="","",IFERROR(VLOOKUP($D1647,库存台账!$A$5:$Y$1204,11,0),0))</f>
        <v/>
      </c>
      <c r="S1647" s="26">
        <f>IF($D1647="","",ROUND(N($J1647)*N($R1647),0))</f>
        <v/>
      </c>
      <c r="T1647" s="26">
        <f>IF($D1647="","",IF($K1647&lt;&gt;"对外销售","",ROUND($Q1647-$S1647,0)))</f>
        <v/>
      </c>
      <c r="U1647" s="17" t="n"/>
      <c r="V1647" s="17" t="n"/>
      <c r="W1647" s="24">
        <f>IF($D1647="","",IF($E1647="※编码不在物料档案里","※物料编码不在档案里",IF(N($J1647)&lt;=0,"※出库数量要大于 0",IF($K1647="","※没填去向类型",IF($L1647="","※没填去向矿区",IF(AND($C1647&lt;&gt;"",$C1647&lt;=结账锁),"※日期早于已结账截止日，不能再录",IF(AND($K1647="自用消耗",COUNTIF({"一矿区";"二矿区"},$L1647)=0),"※自用消耗的去向只能是一矿区或二矿区",IF(AND($K1647="对外销售",COUNTIF({"三矿区";"六矿区"},$L1647)=0),"※对外销售的去向只能是三矿区或六矿区",IF(AND($K1647="对外销售",ROUND($Q1647,0)=0),"※外销却没有售价，请填实际售价",IF(AND($K1647="对外销售",$T1647&lt;&gt;"",$T1647&lt;0),"※这一笔外销是亏的，请核对售价",IF(IFERROR(VLOOKUP($D1647,库存台账!$A$5:$Y$1204,24,0),0)&lt;-0.001,"※这个物料账面已经变成负数了，查一下是不是漏记入库","")))))))))))</f>
        <v/>
      </c>
    </row>
    <row r="1648">
      <c r="A1648" s="24">
        <f>IF($D1648="","",COUNTA($D$4:$D1648))</f>
        <v/>
      </c>
      <c r="B1648" s="17" t="n"/>
      <c r="C1648" s="30" t="n"/>
      <c r="D1648" s="17" t="n"/>
      <c r="E1648" s="24">
        <f>IF($D1648="","",IFERROR(VLOOKUP($D1648,物料档案!$A$4:$P$1203,3,0),"※编码不在物料档案里"))</f>
        <v/>
      </c>
      <c r="F1648" s="24">
        <f>IF($D1648="","",IFERROR(VLOOKUP($D1648,物料档案!$A$4:$P$1203,4,0),"※编码不在物料档案里"))</f>
        <v/>
      </c>
      <c r="G1648" s="24">
        <f>IF($D1648="","",IFERROR(VLOOKUP($D1648,物料档案!$A$4:$P$1203,5,0),"※编码不在物料档案里"))</f>
        <v/>
      </c>
      <c r="H1648" s="24">
        <f>IF($D1648="","",IFERROR(VLOOKUP($D1648,物料档案!$A$4:$P$1203,2,0),"※编码不在物料档案里"))</f>
        <v/>
      </c>
      <c r="I1648" s="24">
        <f>IF($D1648="","",IFERROR(VLOOKUP($D1648,物料档案!$A$4:$P$1203,6,0),"※编码不在物料档案里"))</f>
        <v/>
      </c>
      <c r="J1648" s="23" t="n"/>
      <c r="K1648" s="17" t="n"/>
      <c r="L1648" s="17" t="n"/>
      <c r="M1648" s="17" t="n"/>
      <c r="N1648" s="17" t="n"/>
      <c r="O1648" s="26">
        <f>IF($D1648="","",IFERROR(VLOOKUP($D1648,物料档案!$A$4:$P$1203,10,0),0))</f>
        <v/>
      </c>
      <c r="P1648" s="32" t="n"/>
      <c r="Q1648" s="26">
        <f>IF($D1648="","",IF($K1648&lt;&gt;"对外销售",0,ROUND(N($J1648)*IF($P1648="",N($O1648),N($P1648)),0)))</f>
        <v/>
      </c>
      <c r="R1648" s="26">
        <f>IF($D1648="","",IFERROR(VLOOKUP($D1648,库存台账!$A$5:$Y$1204,11,0),0))</f>
        <v/>
      </c>
      <c r="S1648" s="26">
        <f>IF($D1648="","",ROUND(N($J1648)*N($R1648),0))</f>
        <v/>
      </c>
      <c r="T1648" s="26">
        <f>IF($D1648="","",IF($K1648&lt;&gt;"对外销售","",ROUND($Q1648-$S1648,0)))</f>
        <v/>
      </c>
      <c r="U1648" s="17" t="n"/>
      <c r="V1648" s="17" t="n"/>
      <c r="W1648" s="24">
        <f>IF($D1648="","",IF($E1648="※编码不在物料档案里","※物料编码不在档案里",IF(N($J1648)&lt;=0,"※出库数量要大于 0",IF($K1648="","※没填去向类型",IF($L1648="","※没填去向矿区",IF(AND($C1648&lt;&gt;"",$C1648&lt;=结账锁),"※日期早于已结账截止日，不能再录",IF(AND($K1648="自用消耗",COUNTIF({"一矿区";"二矿区"},$L1648)=0),"※自用消耗的去向只能是一矿区或二矿区",IF(AND($K1648="对外销售",COUNTIF({"三矿区";"六矿区"},$L1648)=0),"※对外销售的去向只能是三矿区或六矿区",IF(AND($K1648="对外销售",ROUND($Q1648,0)=0),"※外销却没有售价，请填实际售价",IF(AND($K1648="对外销售",$T1648&lt;&gt;"",$T1648&lt;0),"※这一笔外销是亏的，请核对售价",IF(IFERROR(VLOOKUP($D1648,库存台账!$A$5:$Y$1204,24,0),0)&lt;-0.001,"※这个物料账面已经变成负数了，查一下是不是漏记入库","")))))))))))</f>
        <v/>
      </c>
    </row>
    <row r="1649">
      <c r="A1649" s="24">
        <f>IF($D1649="","",COUNTA($D$4:$D1649))</f>
        <v/>
      </c>
      <c r="B1649" s="17" t="n"/>
      <c r="C1649" s="30" t="n"/>
      <c r="D1649" s="17" t="n"/>
      <c r="E1649" s="24">
        <f>IF($D1649="","",IFERROR(VLOOKUP($D1649,物料档案!$A$4:$P$1203,3,0),"※编码不在物料档案里"))</f>
        <v/>
      </c>
      <c r="F1649" s="24">
        <f>IF($D1649="","",IFERROR(VLOOKUP($D1649,物料档案!$A$4:$P$1203,4,0),"※编码不在物料档案里"))</f>
        <v/>
      </c>
      <c r="G1649" s="24">
        <f>IF($D1649="","",IFERROR(VLOOKUP($D1649,物料档案!$A$4:$P$1203,5,0),"※编码不在物料档案里"))</f>
        <v/>
      </c>
      <c r="H1649" s="24">
        <f>IF($D1649="","",IFERROR(VLOOKUP($D1649,物料档案!$A$4:$P$1203,2,0),"※编码不在物料档案里"))</f>
        <v/>
      </c>
      <c r="I1649" s="24">
        <f>IF($D1649="","",IFERROR(VLOOKUP($D1649,物料档案!$A$4:$P$1203,6,0),"※编码不在物料档案里"))</f>
        <v/>
      </c>
      <c r="J1649" s="23" t="n"/>
      <c r="K1649" s="17" t="n"/>
      <c r="L1649" s="17" t="n"/>
      <c r="M1649" s="17" t="n"/>
      <c r="N1649" s="17" t="n"/>
      <c r="O1649" s="26">
        <f>IF($D1649="","",IFERROR(VLOOKUP($D1649,物料档案!$A$4:$P$1203,10,0),0))</f>
        <v/>
      </c>
      <c r="P1649" s="32" t="n"/>
      <c r="Q1649" s="26">
        <f>IF($D1649="","",IF($K1649&lt;&gt;"对外销售",0,ROUND(N($J1649)*IF($P1649="",N($O1649),N($P1649)),0)))</f>
        <v/>
      </c>
      <c r="R1649" s="26">
        <f>IF($D1649="","",IFERROR(VLOOKUP($D1649,库存台账!$A$5:$Y$1204,11,0),0))</f>
        <v/>
      </c>
      <c r="S1649" s="26">
        <f>IF($D1649="","",ROUND(N($J1649)*N($R1649),0))</f>
        <v/>
      </c>
      <c r="T1649" s="26">
        <f>IF($D1649="","",IF($K1649&lt;&gt;"对外销售","",ROUND($Q1649-$S1649,0)))</f>
        <v/>
      </c>
      <c r="U1649" s="17" t="n"/>
      <c r="V1649" s="17" t="n"/>
      <c r="W1649" s="24">
        <f>IF($D1649="","",IF($E1649="※编码不在物料档案里","※物料编码不在档案里",IF(N($J1649)&lt;=0,"※出库数量要大于 0",IF($K1649="","※没填去向类型",IF($L1649="","※没填去向矿区",IF(AND($C1649&lt;&gt;"",$C1649&lt;=结账锁),"※日期早于已结账截止日，不能再录",IF(AND($K1649="自用消耗",COUNTIF({"一矿区";"二矿区"},$L1649)=0),"※自用消耗的去向只能是一矿区或二矿区",IF(AND($K1649="对外销售",COUNTIF({"三矿区";"六矿区"},$L1649)=0),"※对外销售的去向只能是三矿区或六矿区",IF(AND($K1649="对外销售",ROUND($Q1649,0)=0),"※外销却没有售价，请填实际售价",IF(AND($K1649="对外销售",$T1649&lt;&gt;"",$T1649&lt;0),"※这一笔外销是亏的，请核对售价",IF(IFERROR(VLOOKUP($D1649,库存台账!$A$5:$Y$1204,24,0),0)&lt;-0.001,"※这个物料账面已经变成负数了，查一下是不是漏记入库","")))))))))))</f>
        <v/>
      </c>
    </row>
    <row r="1650">
      <c r="A1650" s="24">
        <f>IF($D1650="","",COUNTA($D$4:$D1650))</f>
        <v/>
      </c>
      <c r="B1650" s="17" t="n"/>
      <c r="C1650" s="30" t="n"/>
      <c r="D1650" s="17" t="n"/>
      <c r="E1650" s="24">
        <f>IF($D1650="","",IFERROR(VLOOKUP($D1650,物料档案!$A$4:$P$1203,3,0),"※编码不在物料档案里"))</f>
        <v/>
      </c>
      <c r="F1650" s="24">
        <f>IF($D1650="","",IFERROR(VLOOKUP($D1650,物料档案!$A$4:$P$1203,4,0),"※编码不在物料档案里"))</f>
        <v/>
      </c>
      <c r="G1650" s="24">
        <f>IF($D1650="","",IFERROR(VLOOKUP($D1650,物料档案!$A$4:$P$1203,5,0),"※编码不在物料档案里"))</f>
        <v/>
      </c>
      <c r="H1650" s="24">
        <f>IF($D1650="","",IFERROR(VLOOKUP($D1650,物料档案!$A$4:$P$1203,2,0),"※编码不在物料档案里"))</f>
        <v/>
      </c>
      <c r="I1650" s="24">
        <f>IF($D1650="","",IFERROR(VLOOKUP($D1650,物料档案!$A$4:$P$1203,6,0),"※编码不在物料档案里"))</f>
        <v/>
      </c>
      <c r="J1650" s="23" t="n"/>
      <c r="K1650" s="17" t="n"/>
      <c r="L1650" s="17" t="n"/>
      <c r="M1650" s="17" t="n"/>
      <c r="N1650" s="17" t="n"/>
      <c r="O1650" s="26">
        <f>IF($D1650="","",IFERROR(VLOOKUP($D1650,物料档案!$A$4:$P$1203,10,0),0))</f>
        <v/>
      </c>
      <c r="P1650" s="32" t="n"/>
      <c r="Q1650" s="26">
        <f>IF($D1650="","",IF($K1650&lt;&gt;"对外销售",0,ROUND(N($J1650)*IF($P1650="",N($O1650),N($P1650)),0)))</f>
        <v/>
      </c>
      <c r="R1650" s="26">
        <f>IF($D1650="","",IFERROR(VLOOKUP($D1650,库存台账!$A$5:$Y$1204,11,0),0))</f>
        <v/>
      </c>
      <c r="S1650" s="26">
        <f>IF($D1650="","",ROUND(N($J1650)*N($R1650),0))</f>
        <v/>
      </c>
      <c r="T1650" s="26">
        <f>IF($D1650="","",IF($K1650&lt;&gt;"对外销售","",ROUND($Q1650-$S1650,0)))</f>
        <v/>
      </c>
      <c r="U1650" s="17" t="n"/>
      <c r="V1650" s="17" t="n"/>
      <c r="W1650" s="24">
        <f>IF($D1650="","",IF($E1650="※编码不在物料档案里","※物料编码不在档案里",IF(N($J1650)&lt;=0,"※出库数量要大于 0",IF($K1650="","※没填去向类型",IF($L1650="","※没填去向矿区",IF(AND($C1650&lt;&gt;"",$C1650&lt;=结账锁),"※日期早于已结账截止日，不能再录",IF(AND($K1650="自用消耗",COUNTIF({"一矿区";"二矿区"},$L1650)=0),"※自用消耗的去向只能是一矿区或二矿区",IF(AND($K1650="对外销售",COUNTIF({"三矿区";"六矿区"},$L1650)=0),"※对外销售的去向只能是三矿区或六矿区",IF(AND($K1650="对外销售",ROUND($Q1650,0)=0),"※外销却没有售价，请填实际售价",IF(AND($K1650="对外销售",$T1650&lt;&gt;"",$T1650&lt;0),"※这一笔外销是亏的，请核对售价",IF(IFERROR(VLOOKUP($D1650,库存台账!$A$5:$Y$1204,24,0),0)&lt;-0.001,"※这个物料账面已经变成负数了，查一下是不是漏记入库","")))))))))))</f>
        <v/>
      </c>
    </row>
    <row r="1651">
      <c r="A1651" s="24">
        <f>IF($D1651="","",COUNTA($D$4:$D1651))</f>
        <v/>
      </c>
      <c r="B1651" s="17" t="n"/>
      <c r="C1651" s="30" t="n"/>
      <c r="D1651" s="17" t="n"/>
      <c r="E1651" s="24">
        <f>IF($D1651="","",IFERROR(VLOOKUP($D1651,物料档案!$A$4:$P$1203,3,0),"※编码不在物料档案里"))</f>
        <v/>
      </c>
      <c r="F1651" s="24">
        <f>IF($D1651="","",IFERROR(VLOOKUP($D1651,物料档案!$A$4:$P$1203,4,0),"※编码不在物料档案里"))</f>
        <v/>
      </c>
      <c r="G1651" s="24">
        <f>IF($D1651="","",IFERROR(VLOOKUP($D1651,物料档案!$A$4:$P$1203,5,0),"※编码不在物料档案里"))</f>
        <v/>
      </c>
      <c r="H1651" s="24">
        <f>IF($D1651="","",IFERROR(VLOOKUP($D1651,物料档案!$A$4:$P$1203,2,0),"※编码不在物料档案里"))</f>
        <v/>
      </c>
      <c r="I1651" s="24">
        <f>IF($D1651="","",IFERROR(VLOOKUP($D1651,物料档案!$A$4:$P$1203,6,0),"※编码不在物料档案里"))</f>
        <v/>
      </c>
      <c r="J1651" s="23" t="n"/>
      <c r="K1651" s="17" t="n"/>
      <c r="L1651" s="17" t="n"/>
      <c r="M1651" s="17" t="n"/>
      <c r="N1651" s="17" t="n"/>
      <c r="O1651" s="26">
        <f>IF($D1651="","",IFERROR(VLOOKUP($D1651,物料档案!$A$4:$P$1203,10,0),0))</f>
        <v/>
      </c>
      <c r="P1651" s="32" t="n"/>
      <c r="Q1651" s="26">
        <f>IF($D1651="","",IF($K1651&lt;&gt;"对外销售",0,ROUND(N($J1651)*IF($P1651="",N($O1651),N($P1651)),0)))</f>
        <v/>
      </c>
      <c r="R1651" s="26">
        <f>IF($D1651="","",IFERROR(VLOOKUP($D1651,库存台账!$A$5:$Y$1204,11,0),0))</f>
        <v/>
      </c>
      <c r="S1651" s="26">
        <f>IF($D1651="","",ROUND(N($J1651)*N($R1651),0))</f>
        <v/>
      </c>
      <c r="T1651" s="26">
        <f>IF($D1651="","",IF($K1651&lt;&gt;"对外销售","",ROUND($Q1651-$S1651,0)))</f>
        <v/>
      </c>
      <c r="U1651" s="17" t="n"/>
      <c r="V1651" s="17" t="n"/>
      <c r="W1651" s="24">
        <f>IF($D1651="","",IF($E1651="※编码不在物料档案里","※物料编码不在档案里",IF(N($J1651)&lt;=0,"※出库数量要大于 0",IF($K1651="","※没填去向类型",IF($L1651="","※没填去向矿区",IF(AND($C1651&lt;&gt;"",$C1651&lt;=结账锁),"※日期早于已结账截止日，不能再录",IF(AND($K1651="自用消耗",COUNTIF({"一矿区";"二矿区"},$L1651)=0),"※自用消耗的去向只能是一矿区或二矿区",IF(AND($K1651="对外销售",COUNTIF({"三矿区";"六矿区"},$L1651)=0),"※对外销售的去向只能是三矿区或六矿区",IF(AND($K1651="对外销售",ROUND($Q1651,0)=0),"※外销却没有售价，请填实际售价",IF(AND($K1651="对外销售",$T1651&lt;&gt;"",$T1651&lt;0),"※这一笔外销是亏的，请核对售价",IF(IFERROR(VLOOKUP($D1651,库存台账!$A$5:$Y$1204,24,0),0)&lt;-0.001,"※这个物料账面已经变成负数了，查一下是不是漏记入库","")))))))))))</f>
        <v/>
      </c>
    </row>
    <row r="1652">
      <c r="A1652" s="24">
        <f>IF($D1652="","",COUNTA($D$4:$D1652))</f>
        <v/>
      </c>
      <c r="B1652" s="17" t="n"/>
      <c r="C1652" s="30" t="n"/>
      <c r="D1652" s="17" t="n"/>
      <c r="E1652" s="24">
        <f>IF($D1652="","",IFERROR(VLOOKUP($D1652,物料档案!$A$4:$P$1203,3,0),"※编码不在物料档案里"))</f>
        <v/>
      </c>
      <c r="F1652" s="24">
        <f>IF($D1652="","",IFERROR(VLOOKUP($D1652,物料档案!$A$4:$P$1203,4,0),"※编码不在物料档案里"))</f>
        <v/>
      </c>
      <c r="G1652" s="24">
        <f>IF($D1652="","",IFERROR(VLOOKUP($D1652,物料档案!$A$4:$P$1203,5,0),"※编码不在物料档案里"))</f>
        <v/>
      </c>
      <c r="H1652" s="24">
        <f>IF($D1652="","",IFERROR(VLOOKUP($D1652,物料档案!$A$4:$P$1203,2,0),"※编码不在物料档案里"))</f>
        <v/>
      </c>
      <c r="I1652" s="24">
        <f>IF($D1652="","",IFERROR(VLOOKUP($D1652,物料档案!$A$4:$P$1203,6,0),"※编码不在物料档案里"))</f>
        <v/>
      </c>
      <c r="J1652" s="23" t="n"/>
      <c r="K1652" s="17" t="n"/>
      <c r="L1652" s="17" t="n"/>
      <c r="M1652" s="17" t="n"/>
      <c r="N1652" s="17" t="n"/>
      <c r="O1652" s="26">
        <f>IF($D1652="","",IFERROR(VLOOKUP($D1652,物料档案!$A$4:$P$1203,10,0),0))</f>
        <v/>
      </c>
      <c r="P1652" s="32" t="n"/>
      <c r="Q1652" s="26">
        <f>IF($D1652="","",IF($K1652&lt;&gt;"对外销售",0,ROUND(N($J1652)*IF($P1652="",N($O1652),N($P1652)),0)))</f>
        <v/>
      </c>
      <c r="R1652" s="26">
        <f>IF($D1652="","",IFERROR(VLOOKUP($D1652,库存台账!$A$5:$Y$1204,11,0),0))</f>
        <v/>
      </c>
      <c r="S1652" s="26">
        <f>IF($D1652="","",ROUND(N($J1652)*N($R1652),0))</f>
        <v/>
      </c>
      <c r="T1652" s="26">
        <f>IF($D1652="","",IF($K1652&lt;&gt;"对外销售","",ROUND($Q1652-$S1652,0)))</f>
        <v/>
      </c>
      <c r="U1652" s="17" t="n"/>
      <c r="V1652" s="17" t="n"/>
      <c r="W1652" s="24">
        <f>IF($D1652="","",IF($E1652="※编码不在物料档案里","※物料编码不在档案里",IF(N($J1652)&lt;=0,"※出库数量要大于 0",IF($K1652="","※没填去向类型",IF($L1652="","※没填去向矿区",IF(AND($C1652&lt;&gt;"",$C1652&lt;=结账锁),"※日期早于已结账截止日，不能再录",IF(AND($K1652="自用消耗",COUNTIF({"一矿区";"二矿区"},$L1652)=0),"※自用消耗的去向只能是一矿区或二矿区",IF(AND($K1652="对外销售",COUNTIF({"三矿区";"六矿区"},$L1652)=0),"※对外销售的去向只能是三矿区或六矿区",IF(AND($K1652="对外销售",ROUND($Q1652,0)=0),"※外销却没有售价，请填实际售价",IF(AND($K1652="对外销售",$T1652&lt;&gt;"",$T1652&lt;0),"※这一笔外销是亏的，请核对售价",IF(IFERROR(VLOOKUP($D1652,库存台账!$A$5:$Y$1204,24,0),0)&lt;-0.001,"※这个物料账面已经变成负数了，查一下是不是漏记入库","")))))))))))</f>
        <v/>
      </c>
    </row>
    <row r="1653">
      <c r="A1653" s="24">
        <f>IF($D1653="","",COUNTA($D$4:$D1653))</f>
        <v/>
      </c>
      <c r="B1653" s="17" t="n"/>
      <c r="C1653" s="30" t="n"/>
      <c r="D1653" s="17" t="n"/>
      <c r="E1653" s="24">
        <f>IF($D1653="","",IFERROR(VLOOKUP($D1653,物料档案!$A$4:$P$1203,3,0),"※编码不在物料档案里"))</f>
        <v/>
      </c>
      <c r="F1653" s="24">
        <f>IF($D1653="","",IFERROR(VLOOKUP($D1653,物料档案!$A$4:$P$1203,4,0),"※编码不在物料档案里"))</f>
        <v/>
      </c>
      <c r="G1653" s="24">
        <f>IF($D1653="","",IFERROR(VLOOKUP($D1653,物料档案!$A$4:$P$1203,5,0),"※编码不在物料档案里"))</f>
        <v/>
      </c>
      <c r="H1653" s="24">
        <f>IF($D1653="","",IFERROR(VLOOKUP($D1653,物料档案!$A$4:$P$1203,2,0),"※编码不在物料档案里"))</f>
        <v/>
      </c>
      <c r="I1653" s="24">
        <f>IF($D1653="","",IFERROR(VLOOKUP($D1653,物料档案!$A$4:$P$1203,6,0),"※编码不在物料档案里"))</f>
        <v/>
      </c>
      <c r="J1653" s="23" t="n"/>
      <c r="K1653" s="17" t="n"/>
      <c r="L1653" s="17" t="n"/>
      <c r="M1653" s="17" t="n"/>
      <c r="N1653" s="17" t="n"/>
      <c r="O1653" s="26">
        <f>IF($D1653="","",IFERROR(VLOOKUP($D1653,物料档案!$A$4:$P$1203,10,0),0))</f>
        <v/>
      </c>
      <c r="P1653" s="32" t="n"/>
      <c r="Q1653" s="26">
        <f>IF($D1653="","",IF($K1653&lt;&gt;"对外销售",0,ROUND(N($J1653)*IF($P1653="",N($O1653),N($P1653)),0)))</f>
        <v/>
      </c>
      <c r="R1653" s="26">
        <f>IF($D1653="","",IFERROR(VLOOKUP($D1653,库存台账!$A$5:$Y$1204,11,0),0))</f>
        <v/>
      </c>
      <c r="S1653" s="26">
        <f>IF($D1653="","",ROUND(N($J1653)*N($R1653),0))</f>
        <v/>
      </c>
      <c r="T1653" s="26">
        <f>IF($D1653="","",IF($K1653&lt;&gt;"对外销售","",ROUND($Q1653-$S1653,0)))</f>
        <v/>
      </c>
      <c r="U1653" s="17" t="n"/>
      <c r="V1653" s="17" t="n"/>
      <c r="W1653" s="24">
        <f>IF($D1653="","",IF($E1653="※编码不在物料档案里","※物料编码不在档案里",IF(N($J1653)&lt;=0,"※出库数量要大于 0",IF($K1653="","※没填去向类型",IF($L1653="","※没填去向矿区",IF(AND($C1653&lt;&gt;"",$C1653&lt;=结账锁),"※日期早于已结账截止日，不能再录",IF(AND($K1653="自用消耗",COUNTIF({"一矿区";"二矿区"},$L1653)=0),"※自用消耗的去向只能是一矿区或二矿区",IF(AND($K1653="对外销售",COUNTIF({"三矿区";"六矿区"},$L1653)=0),"※对外销售的去向只能是三矿区或六矿区",IF(AND($K1653="对外销售",ROUND($Q1653,0)=0),"※外销却没有售价，请填实际售价",IF(AND($K1653="对外销售",$T1653&lt;&gt;"",$T1653&lt;0),"※这一笔外销是亏的，请核对售价",IF(IFERROR(VLOOKUP($D1653,库存台账!$A$5:$Y$1204,24,0),0)&lt;-0.001,"※这个物料账面已经变成负数了，查一下是不是漏记入库","")))))))))))</f>
        <v/>
      </c>
    </row>
    <row r="1654">
      <c r="A1654" s="24">
        <f>IF($D1654="","",COUNTA($D$4:$D1654))</f>
        <v/>
      </c>
      <c r="B1654" s="17" t="n"/>
      <c r="C1654" s="30" t="n"/>
      <c r="D1654" s="17" t="n"/>
      <c r="E1654" s="24">
        <f>IF($D1654="","",IFERROR(VLOOKUP($D1654,物料档案!$A$4:$P$1203,3,0),"※编码不在物料档案里"))</f>
        <v/>
      </c>
      <c r="F1654" s="24">
        <f>IF($D1654="","",IFERROR(VLOOKUP($D1654,物料档案!$A$4:$P$1203,4,0),"※编码不在物料档案里"))</f>
        <v/>
      </c>
      <c r="G1654" s="24">
        <f>IF($D1654="","",IFERROR(VLOOKUP($D1654,物料档案!$A$4:$P$1203,5,0),"※编码不在物料档案里"))</f>
        <v/>
      </c>
      <c r="H1654" s="24">
        <f>IF($D1654="","",IFERROR(VLOOKUP($D1654,物料档案!$A$4:$P$1203,2,0),"※编码不在物料档案里"))</f>
        <v/>
      </c>
      <c r="I1654" s="24">
        <f>IF($D1654="","",IFERROR(VLOOKUP($D1654,物料档案!$A$4:$P$1203,6,0),"※编码不在物料档案里"))</f>
        <v/>
      </c>
      <c r="J1654" s="23" t="n"/>
      <c r="K1654" s="17" t="n"/>
      <c r="L1654" s="17" t="n"/>
      <c r="M1654" s="17" t="n"/>
      <c r="N1654" s="17" t="n"/>
      <c r="O1654" s="26">
        <f>IF($D1654="","",IFERROR(VLOOKUP($D1654,物料档案!$A$4:$P$1203,10,0),0))</f>
        <v/>
      </c>
      <c r="P1654" s="32" t="n"/>
      <c r="Q1654" s="26">
        <f>IF($D1654="","",IF($K1654&lt;&gt;"对外销售",0,ROUND(N($J1654)*IF($P1654="",N($O1654),N($P1654)),0)))</f>
        <v/>
      </c>
      <c r="R1654" s="26">
        <f>IF($D1654="","",IFERROR(VLOOKUP($D1654,库存台账!$A$5:$Y$1204,11,0),0))</f>
        <v/>
      </c>
      <c r="S1654" s="26">
        <f>IF($D1654="","",ROUND(N($J1654)*N($R1654),0))</f>
        <v/>
      </c>
      <c r="T1654" s="26">
        <f>IF($D1654="","",IF($K1654&lt;&gt;"对外销售","",ROUND($Q1654-$S1654,0)))</f>
        <v/>
      </c>
      <c r="U1654" s="17" t="n"/>
      <c r="V1654" s="17" t="n"/>
      <c r="W1654" s="24">
        <f>IF($D1654="","",IF($E1654="※编码不在物料档案里","※物料编码不在档案里",IF(N($J1654)&lt;=0,"※出库数量要大于 0",IF($K1654="","※没填去向类型",IF($L1654="","※没填去向矿区",IF(AND($C1654&lt;&gt;"",$C1654&lt;=结账锁),"※日期早于已结账截止日，不能再录",IF(AND($K1654="自用消耗",COUNTIF({"一矿区";"二矿区"},$L1654)=0),"※自用消耗的去向只能是一矿区或二矿区",IF(AND($K1654="对外销售",COUNTIF({"三矿区";"六矿区"},$L1654)=0),"※对外销售的去向只能是三矿区或六矿区",IF(AND($K1654="对外销售",ROUND($Q1654,0)=0),"※外销却没有售价，请填实际售价",IF(AND($K1654="对外销售",$T1654&lt;&gt;"",$T1654&lt;0),"※这一笔外销是亏的，请核对售价",IF(IFERROR(VLOOKUP($D1654,库存台账!$A$5:$Y$1204,24,0),0)&lt;-0.001,"※这个物料账面已经变成负数了，查一下是不是漏记入库","")))))))))))</f>
        <v/>
      </c>
    </row>
    <row r="1655">
      <c r="A1655" s="24">
        <f>IF($D1655="","",COUNTA($D$4:$D1655))</f>
        <v/>
      </c>
      <c r="B1655" s="17" t="n"/>
      <c r="C1655" s="30" t="n"/>
      <c r="D1655" s="17" t="n"/>
      <c r="E1655" s="24">
        <f>IF($D1655="","",IFERROR(VLOOKUP($D1655,物料档案!$A$4:$P$1203,3,0),"※编码不在物料档案里"))</f>
        <v/>
      </c>
      <c r="F1655" s="24">
        <f>IF($D1655="","",IFERROR(VLOOKUP($D1655,物料档案!$A$4:$P$1203,4,0),"※编码不在物料档案里"))</f>
        <v/>
      </c>
      <c r="G1655" s="24">
        <f>IF($D1655="","",IFERROR(VLOOKUP($D1655,物料档案!$A$4:$P$1203,5,0),"※编码不在物料档案里"))</f>
        <v/>
      </c>
      <c r="H1655" s="24">
        <f>IF($D1655="","",IFERROR(VLOOKUP($D1655,物料档案!$A$4:$P$1203,2,0),"※编码不在物料档案里"))</f>
        <v/>
      </c>
      <c r="I1655" s="24">
        <f>IF($D1655="","",IFERROR(VLOOKUP($D1655,物料档案!$A$4:$P$1203,6,0),"※编码不在物料档案里"))</f>
        <v/>
      </c>
      <c r="J1655" s="23" t="n"/>
      <c r="K1655" s="17" t="n"/>
      <c r="L1655" s="17" t="n"/>
      <c r="M1655" s="17" t="n"/>
      <c r="N1655" s="17" t="n"/>
      <c r="O1655" s="26">
        <f>IF($D1655="","",IFERROR(VLOOKUP($D1655,物料档案!$A$4:$P$1203,10,0),0))</f>
        <v/>
      </c>
      <c r="P1655" s="32" t="n"/>
      <c r="Q1655" s="26">
        <f>IF($D1655="","",IF($K1655&lt;&gt;"对外销售",0,ROUND(N($J1655)*IF($P1655="",N($O1655),N($P1655)),0)))</f>
        <v/>
      </c>
      <c r="R1655" s="26">
        <f>IF($D1655="","",IFERROR(VLOOKUP($D1655,库存台账!$A$5:$Y$1204,11,0),0))</f>
        <v/>
      </c>
      <c r="S1655" s="26">
        <f>IF($D1655="","",ROUND(N($J1655)*N($R1655),0))</f>
        <v/>
      </c>
      <c r="T1655" s="26">
        <f>IF($D1655="","",IF($K1655&lt;&gt;"对外销售","",ROUND($Q1655-$S1655,0)))</f>
        <v/>
      </c>
      <c r="U1655" s="17" t="n"/>
      <c r="V1655" s="17" t="n"/>
      <c r="W1655" s="24">
        <f>IF($D1655="","",IF($E1655="※编码不在物料档案里","※物料编码不在档案里",IF(N($J1655)&lt;=0,"※出库数量要大于 0",IF($K1655="","※没填去向类型",IF($L1655="","※没填去向矿区",IF(AND($C1655&lt;&gt;"",$C1655&lt;=结账锁),"※日期早于已结账截止日，不能再录",IF(AND($K1655="自用消耗",COUNTIF({"一矿区";"二矿区"},$L1655)=0),"※自用消耗的去向只能是一矿区或二矿区",IF(AND($K1655="对外销售",COUNTIF({"三矿区";"六矿区"},$L1655)=0),"※对外销售的去向只能是三矿区或六矿区",IF(AND($K1655="对外销售",ROUND($Q1655,0)=0),"※外销却没有售价，请填实际售价",IF(AND($K1655="对外销售",$T1655&lt;&gt;"",$T1655&lt;0),"※这一笔外销是亏的，请核对售价",IF(IFERROR(VLOOKUP($D1655,库存台账!$A$5:$Y$1204,24,0),0)&lt;-0.001,"※这个物料账面已经变成负数了，查一下是不是漏记入库","")))))))))))</f>
        <v/>
      </c>
    </row>
    <row r="1656">
      <c r="A1656" s="24">
        <f>IF($D1656="","",COUNTA($D$4:$D1656))</f>
        <v/>
      </c>
      <c r="B1656" s="17" t="n"/>
      <c r="C1656" s="30" t="n"/>
      <c r="D1656" s="17" t="n"/>
      <c r="E1656" s="24">
        <f>IF($D1656="","",IFERROR(VLOOKUP($D1656,物料档案!$A$4:$P$1203,3,0),"※编码不在物料档案里"))</f>
        <v/>
      </c>
      <c r="F1656" s="24">
        <f>IF($D1656="","",IFERROR(VLOOKUP($D1656,物料档案!$A$4:$P$1203,4,0),"※编码不在物料档案里"))</f>
        <v/>
      </c>
      <c r="G1656" s="24">
        <f>IF($D1656="","",IFERROR(VLOOKUP($D1656,物料档案!$A$4:$P$1203,5,0),"※编码不在物料档案里"))</f>
        <v/>
      </c>
      <c r="H1656" s="24">
        <f>IF($D1656="","",IFERROR(VLOOKUP($D1656,物料档案!$A$4:$P$1203,2,0),"※编码不在物料档案里"))</f>
        <v/>
      </c>
      <c r="I1656" s="24">
        <f>IF($D1656="","",IFERROR(VLOOKUP($D1656,物料档案!$A$4:$P$1203,6,0),"※编码不在物料档案里"))</f>
        <v/>
      </c>
      <c r="J1656" s="23" t="n"/>
      <c r="K1656" s="17" t="n"/>
      <c r="L1656" s="17" t="n"/>
      <c r="M1656" s="17" t="n"/>
      <c r="N1656" s="17" t="n"/>
      <c r="O1656" s="26">
        <f>IF($D1656="","",IFERROR(VLOOKUP($D1656,物料档案!$A$4:$P$1203,10,0),0))</f>
        <v/>
      </c>
      <c r="P1656" s="32" t="n"/>
      <c r="Q1656" s="26">
        <f>IF($D1656="","",IF($K1656&lt;&gt;"对外销售",0,ROUND(N($J1656)*IF($P1656="",N($O1656),N($P1656)),0)))</f>
        <v/>
      </c>
      <c r="R1656" s="26">
        <f>IF($D1656="","",IFERROR(VLOOKUP($D1656,库存台账!$A$5:$Y$1204,11,0),0))</f>
        <v/>
      </c>
      <c r="S1656" s="26">
        <f>IF($D1656="","",ROUND(N($J1656)*N($R1656),0))</f>
        <v/>
      </c>
      <c r="T1656" s="26">
        <f>IF($D1656="","",IF($K1656&lt;&gt;"对外销售","",ROUND($Q1656-$S1656,0)))</f>
        <v/>
      </c>
      <c r="U1656" s="17" t="n"/>
      <c r="V1656" s="17" t="n"/>
      <c r="W1656" s="24">
        <f>IF($D1656="","",IF($E1656="※编码不在物料档案里","※物料编码不在档案里",IF(N($J1656)&lt;=0,"※出库数量要大于 0",IF($K1656="","※没填去向类型",IF($L1656="","※没填去向矿区",IF(AND($C1656&lt;&gt;"",$C1656&lt;=结账锁),"※日期早于已结账截止日，不能再录",IF(AND($K1656="自用消耗",COUNTIF({"一矿区";"二矿区"},$L1656)=0),"※自用消耗的去向只能是一矿区或二矿区",IF(AND($K1656="对外销售",COUNTIF({"三矿区";"六矿区"},$L1656)=0),"※对外销售的去向只能是三矿区或六矿区",IF(AND($K1656="对外销售",ROUND($Q1656,0)=0),"※外销却没有售价，请填实际售价",IF(AND($K1656="对外销售",$T1656&lt;&gt;"",$T1656&lt;0),"※这一笔外销是亏的，请核对售价",IF(IFERROR(VLOOKUP($D1656,库存台账!$A$5:$Y$1204,24,0),0)&lt;-0.001,"※这个物料账面已经变成负数了，查一下是不是漏记入库","")))))))))))</f>
        <v/>
      </c>
    </row>
    <row r="1657">
      <c r="A1657" s="24">
        <f>IF($D1657="","",COUNTA($D$4:$D1657))</f>
        <v/>
      </c>
      <c r="B1657" s="17" t="n"/>
      <c r="C1657" s="30" t="n"/>
      <c r="D1657" s="17" t="n"/>
      <c r="E1657" s="24">
        <f>IF($D1657="","",IFERROR(VLOOKUP($D1657,物料档案!$A$4:$P$1203,3,0),"※编码不在物料档案里"))</f>
        <v/>
      </c>
      <c r="F1657" s="24">
        <f>IF($D1657="","",IFERROR(VLOOKUP($D1657,物料档案!$A$4:$P$1203,4,0),"※编码不在物料档案里"))</f>
        <v/>
      </c>
      <c r="G1657" s="24">
        <f>IF($D1657="","",IFERROR(VLOOKUP($D1657,物料档案!$A$4:$P$1203,5,0),"※编码不在物料档案里"))</f>
        <v/>
      </c>
      <c r="H1657" s="24">
        <f>IF($D1657="","",IFERROR(VLOOKUP($D1657,物料档案!$A$4:$P$1203,2,0),"※编码不在物料档案里"))</f>
        <v/>
      </c>
      <c r="I1657" s="24">
        <f>IF($D1657="","",IFERROR(VLOOKUP($D1657,物料档案!$A$4:$P$1203,6,0),"※编码不在物料档案里"))</f>
        <v/>
      </c>
      <c r="J1657" s="23" t="n"/>
      <c r="K1657" s="17" t="n"/>
      <c r="L1657" s="17" t="n"/>
      <c r="M1657" s="17" t="n"/>
      <c r="N1657" s="17" t="n"/>
      <c r="O1657" s="26">
        <f>IF($D1657="","",IFERROR(VLOOKUP($D1657,物料档案!$A$4:$P$1203,10,0),0))</f>
        <v/>
      </c>
      <c r="P1657" s="32" t="n"/>
      <c r="Q1657" s="26">
        <f>IF($D1657="","",IF($K1657&lt;&gt;"对外销售",0,ROUND(N($J1657)*IF($P1657="",N($O1657),N($P1657)),0)))</f>
        <v/>
      </c>
      <c r="R1657" s="26">
        <f>IF($D1657="","",IFERROR(VLOOKUP($D1657,库存台账!$A$5:$Y$1204,11,0),0))</f>
        <v/>
      </c>
      <c r="S1657" s="26">
        <f>IF($D1657="","",ROUND(N($J1657)*N($R1657),0))</f>
        <v/>
      </c>
      <c r="T1657" s="26">
        <f>IF($D1657="","",IF($K1657&lt;&gt;"对外销售","",ROUND($Q1657-$S1657,0)))</f>
        <v/>
      </c>
      <c r="U1657" s="17" t="n"/>
      <c r="V1657" s="17" t="n"/>
      <c r="W1657" s="24">
        <f>IF($D1657="","",IF($E1657="※编码不在物料档案里","※物料编码不在档案里",IF(N($J1657)&lt;=0,"※出库数量要大于 0",IF($K1657="","※没填去向类型",IF($L1657="","※没填去向矿区",IF(AND($C1657&lt;&gt;"",$C1657&lt;=结账锁),"※日期早于已结账截止日，不能再录",IF(AND($K1657="自用消耗",COUNTIF({"一矿区";"二矿区"},$L1657)=0),"※自用消耗的去向只能是一矿区或二矿区",IF(AND($K1657="对外销售",COUNTIF({"三矿区";"六矿区"},$L1657)=0),"※对外销售的去向只能是三矿区或六矿区",IF(AND($K1657="对外销售",ROUND($Q1657,0)=0),"※外销却没有售价，请填实际售价",IF(AND($K1657="对外销售",$T1657&lt;&gt;"",$T1657&lt;0),"※这一笔外销是亏的，请核对售价",IF(IFERROR(VLOOKUP($D1657,库存台账!$A$5:$Y$1204,24,0),0)&lt;-0.001,"※这个物料账面已经变成负数了，查一下是不是漏记入库","")))))))))))</f>
        <v/>
      </c>
    </row>
    <row r="1658">
      <c r="A1658" s="24">
        <f>IF($D1658="","",COUNTA($D$4:$D1658))</f>
        <v/>
      </c>
      <c r="B1658" s="17" t="n"/>
      <c r="C1658" s="30" t="n"/>
      <c r="D1658" s="17" t="n"/>
      <c r="E1658" s="24">
        <f>IF($D1658="","",IFERROR(VLOOKUP($D1658,物料档案!$A$4:$P$1203,3,0),"※编码不在物料档案里"))</f>
        <v/>
      </c>
      <c r="F1658" s="24">
        <f>IF($D1658="","",IFERROR(VLOOKUP($D1658,物料档案!$A$4:$P$1203,4,0),"※编码不在物料档案里"))</f>
        <v/>
      </c>
      <c r="G1658" s="24">
        <f>IF($D1658="","",IFERROR(VLOOKUP($D1658,物料档案!$A$4:$P$1203,5,0),"※编码不在物料档案里"))</f>
        <v/>
      </c>
      <c r="H1658" s="24">
        <f>IF($D1658="","",IFERROR(VLOOKUP($D1658,物料档案!$A$4:$P$1203,2,0),"※编码不在物料档案里"))</f>
        <v/>
      </c>
      <c r="I1658" s="24">
        <f>IF($D1658="","",IFERROR(VLOOKUP($D1658,物料档案!$A$4:$P$1203,6,0),"※编码不在物料档案里"))</f>
        <v/>
      </c>
      <c r="J1658" s="23" t="n"/>
      <c r="K1658" s="17" t="n"/>
      <c r="L1658" s="17" t="n"/>
      <c r="M1658" s="17" t="n"/>
      <c r="N1658" s="17" t="n"/>
      <c r="O1658" s="26">
        <f>IF($D1658="","",IFERROR(VLOOKUP($D1658,物料档案!$A$4:$P$1203,10,0),0))</f>
        <v/>
      </c>
      <c r="P1658" s="32" t="n"/>
      <c r="Q1658" s="26">
        <f>IF($D1658="","",IF($K1658&lt;&gt;"对外销售",0,ROUND(N($J1658)*IF($P1658="",N($O1658),N($P1658)),0)))</f>
        <v/>
      </c>
      <c r="R1658" s="26">
        <f>IF($D1658="","",IFERROR(VLOOKUP($D1658,库存台账!$A$5:$Y$1204,11,0),0))</f>
        <v/>
      </c>
      <c r="S1658" s="26">
        <f>IF($D1658="","",ROUND(N($J1658)*N($R1658),0))</f>
        <v/>
      </c>
      <c r="T1658" s="26">
        <f>IF($D1658="","",IF($K1658&lt;&gt;"对外销售","",ROUND($Q1658-$S1658,0)))</f>
        <v/>
      </c>
      <c r="U1658" s="17" t="n"/>
      <c r="V1658" s="17" t="n"/>
      <c r="W1658" s="24">
        <f>IF($D1658="","",IF($E1658="※编码不在物料档案里","※物料编码不在档案里",IF(N($J1658)&lt;=0,"※出库数量要大于 0",IF($K1658="","※没填去向类型",IF($L1658="","※没填去向矿区",IF(AND($C1658&lt;&gt;"",$C1658&lt;=结账锁),"※日期早于已结账截止日，不能再录",IF(AND($K1658="自用消耗",COUNTIF({"一矿区";"二矿区"},$L1658)=0),"※自用消耗的去向只能是一矿区或二矿区",IF(AND($K1658="对外销售",COUNTIF({"三矿区";"六矿区"},$L1658)=0),"※对外销售的去向只能是三矿区或六矿区",IF(AND($K1658="对外销售",ROUND($Q1658,0)=0),"※外销却没有售价，请填实际售价",IF(AND($K1658="对外销售",$T1658&lt;&gt;"",$T1658&lt;0),"※这一笔外销是亏的，请核对售价",IF(IFERROR(VLOOKUP($D1658,库存台账!$A$5:$Y$1204,24,0),0)&lt;-0.001,"※这个物料账面已经变成负数了，查一下是不是漏记入库","")))))))))))</f>
        <v/>
      </c>
    </row>
    <row r="1659">
      <c r="A1659" s="24">
        <f>IF($D1659="","",COUNTA($D$4:$D1659))</f>
        <v/>
      </c>
      <c r="B1659" s="17" t="n"/>
      <c r="C1659" s="30" t="n"/>
      <c r="D1659" s="17" t="n"/>
      <c r="E1659" s="24">
        <f>IF($D1659="","",IFERROR(VLOOKUP($D1659,物料档案!$A$4:$P$1203,3,0),"※编码不在物料档案里"))</f>
        <v/>
      </c>
      <c r="F1659" s="24">
        <f>IF($D1659="","",IFERROR(VLOOKUP($D1659,物料档案!$A$4:$P$1203,4,0),"※编码不在物料档案里"))</f>
        <v/>
      </c>
      <c r="G1659" s="24">
        <f>IF($D1659="","",IFERROR(VLOOKUP($D1659,物料档案!$A$4:$P$1203,5,0),"※编码不在物料档案里"))</f>
        <v/>
      </c>
      <c r="H1659" s="24">
        <f>IF($D1659="","",IFERROR(VLOOKUP($D1659,物料档案!$A$4:$P$1203,2,0),"※编码不在物料档案里"))</f>
        <v/>
      </c>
      <c r="I1659" s="24">
        <f>IF($D1659="","",IFERROR(VLOOKUP($D1659,物料档案!$A$4:$P$1203,6,0),"※编码不在物料档案里"))</f>
        <v/>
      </c>
      <c r="J1659" s="23" t="n"/>
      <c r="K1659" s="17" t="n"/>
      <c r="L1659" s="17" t="n"/>
      <c r="M1659" s="17" t="n"/>
      <c r="N1659" s="17" t="n"/>
      <c r="O1659" s="26">
        <f>IF($D1659="","",IFERROR(VLOOKUP($D1659,物料档案!$A$4:$P$1203,10,0),0))</f>
        <v/>
      </c>
      <c r="P1659" s="32" t="n"/>
      <c r="Q1659" s="26">
        <f>IF($D1659="","",IF($K1659&lt;&gt;"对外销售",0,ROUND(N($J1659)*IF($P1659="",N($O1659),N($P1659)),0)))</f>
        <v/>
      </c>
      <c r="R1659" s="26">
        <f>IF($D1659="","",IFERROR(VLOOKUP($D1659,库存台账!$A$5:$Y$1204,11,0),0))</f>
        <v/>
      </c>
      <c r="S1659" s="26">
        <f>IF($D1659="","",ROUND(N($J1659)*N($R1659),0))</f>
        <v/>
      </c>
      <c r="T1659" s="26">
        <f>IF($D1659="","",IF($K1659&lt;&gt;"对外销售","",ROUND($Q1659-$S1659,0)))</f>
        <v/>
      </c>
      <c r="U1659" s="17" t="n"/>
      <c r="V1659" s="17" t="n"/>
      <c r="W1659" s="24">
        <f>IF($D1659="","",IF($E1659="※编码不在物料档案里","※物料编码不在档案里",IF(N($J1659)&lt;=0,"※出库数量要大于 0",IF($K1659="","※没填去向类型",IF($L1659="","※没填去向矿区",IF(AND($C1659&lt;&gt;"",$C1659&lt;=结账锁),"※日期早于已结账截止日，不能再录",IF(AND($K1659="自用消耗",COUNTIF({"一矿区";"二矿区"},$L1659)=0),"※自用消耗的去向只能是一矿区或二矿区",IF(AND($K1659="对外销售",COUNTIF({"三矿区";"六矿区"},$L1659)=0),"※对外销售的去向只能是三矿区或六矿区",IF(AND($K1659="对外销售",ROUND($Q1659,0)=0),"※外销却没有售价，请填实际售价",IF(AND($K1659="对外销售",$T1659&lt;&gt;"",$T1659&lt;0),"※这一笔外销是亏的，请核对售价",IF(IFERROR(VLOOKUP($D1659,库存台账!$A$5:$Y$1204,24,0),0)&lt;-0.001,"※这个物料账面已经变成负数了，查一下是不是漏记入库","")))))))))))</f>
        <v/>
      </c>
    </row>
    <row r="1660">
      <c r="A1660" s="24">
        <f>IF($D1660="","",COUNTA($D$4:$D1660))</f>
        <v/>
      </c>
      <c r="B1660" s="17" t="n"/>
      <c r="C1660" s="30" t="n"/>
      <c r="D1660" s="17" t="n"/>
      <c r="E1660" s="24">
        <f>IF($D1660="","",IFERROR(VLOOKUP($D1660,物料档案!$A$4:$P$1203,3,0),"※编码不在物料档案里"))</f>
        <v/>
      </c>
      <c r="F1660" s="24">
        <f>IF($D1660="","",IFERROR(VLOOKUP($D1660,物料档案!$A$4:$P$1203,4,0),"※编码不在物料档案里"))</f>
        <v/>
      </c>
      <c r="G1660" s="24">
        <f>IF($D1660="","",IFERROR(VLOOKUP($D1660,物料档案!$A$4:$P$1203,5,0),"※编码不在物料档案里"))</f>
        <v/>
      </c>
      <c r="H1660" s="24">
        <f>IF($D1660="","",IFERROR(VLOOKUP($D1660,物料档案!$A$4:$P$1203,2,0),"※编码不在物料档案里"))</f>
        <v/>
      </c>
      <c r="I1660" s="24">
        <f>IF($D1660="","",IFERROR(VLOOKUP($D1660,物料档案!$A$4:$P$1203,6,0),"※编码不在物料档案里"))</f>
        <v/>
      </c>
      <c r="J1660" s="23" t="n"/>
      <c r="K1660" s="17" t="n"/>
      <c r="L1660" s="17" t="n"/>
      <c r="M1660" s="17" t="n"/>
      <c r="N1660" s="17" t="n"/>
      <c r="O1660" s="26">
        <f>IF($D1660="","",IFERROR(VLOOKUP($D1660,物料档案!$A$4:$P$1203,10,0),0))</f>
        <v/>
      </c>
      <c r="P1660" s="32" t="n"/>
      <c r="Q1660" s="26">
        <f>IF($D1660="","",IF($K1660&lt;&gt;"对外销售",0,ROUND(N($J1660)*IF($P1660="",N($O1660),N($P1660)),0)))</f>
        <v/>
      </c>
      <c r="R1660" s="26">
        <f>IF($D1660="","",IFERROR(VLOOKUP($D1660,库存台账!$A$5:$Y$1204,11,0),0))</f>
        <v/>
      </c>
      <c r="S1660" s="26">
        <f>IF($D1660="","",ROUND(N($J1660)*N($R1660),0))</f>
        <v/>
      </c>
      <c r="T1660" s="26">
        <f>IF($D1660="","",IF($K1660&lt;&gt;"对外销售","",ROUND($Q1660-$S1660,0)))</f>
        <v/>
      </c>
      <c r="U1660" s="17" t="n"/>
      <c r="V1660" s="17" t="n"/>
      <c r="W1660" s="24">
        <f>IF($D1660="","",IF($E1660="※编码不在物料档案里","※物料编码不在档案里",IF(N($J1660)&lt;=0,"※出库数量要大于 0",IF($K1660="","※没填去向类型",IF($L1660="","※没填去向矿区",IF(AND($C1660&lt;&gt;"",$C1660&lt;=结账锁),"※日期早于已结账截止日，不能再录",IF(AND($K1660="自用消耗",COUNTIF({"一矿区";"二矿区"},$L1660)=0),"※自用消耗的去向只能是一矿区或二矿区",IF(AND($K1660="对外销售",COUNTIF({"三矿区";"六矿区"},$L1660)=0),"※对外销售的去向只能是三矿区或六矿区",IF(AND($K1660="对外销售",ROUND($Q1660,0)=0),"※外销却没有售价，请填实际售价",IF(AND($K1660="对外销售",$T1660&lt;&gt;"",$T1660&lt;0),"※这一笔外销是亏的，请核对售价",IF(IFERROR(VLOOKUP($D1660,库存台账!$A$5:$Y$1204,24,0),0)&lt;-0.001,"※这个物料账面已经变成负数了，查一下是不是漏记入库","")))))))))))</f>
        <v/>
      </c>
    </row>
    <row r="1661">
      <c r="A1661" s="24">
        <f>IF($D1661="","",COUNTA($D$4:$D1661))</f>
        <v/>
      </c>
      <c r="B1661" s="17" t="n"/>
      <c r="C1661" s="30" t="n"/>
      <c r="D1661" s="17" t="n"/>
      <c r="E1661" s="24">
        <f>IF($D1661="","",IFERROR(VLOOKUP($D1661,物料档案!$A$4:$P$1203,3,0),"※编码不在物料档案里"))</f>
        <v/>
      </c>
      <c r="F1661" s="24">
        <f>IF($D1661="","",IFERROR(VLOOKUP($D1661,物料档案!$A$4:$P$1203,4,0),"※编码不在物料档案里"))</f>
        <v/>
      </c>
      <c r="G1661" s="24">
        <f>IF($D1661="","",IFERROR(VLOOKUP($D1661,物料档案!$A$4:$P$1203,5,0),"※编码不在物料档案里"))</f>
        <v/>
      </c>
      <c r="H1661" s="24">
        <f>IF($D1661="","",IFERROR(VLOOKUP($D1661,物料档案!$A$4:$P$1203,2,0),"※编码不在物料档案里"))</f>
        <v/>
      </c>
      <c r="I1661" s="24">
        <f>IF($D1661="","",IFERROR(VLOOKUP($D1661,物料档案!$A$4:$P$1203,6,0),"※编码不在物料档案里"))</f>
        <v/>
      </c>
      <c r="J1661" s="23" t="n"/>
      <c r="K1661" s="17" t="n"/>
      <c r="L1661" s="17" t="n"/>
      <c r="M1661" s="17" t="n"/>
      <c r="N1661" s="17" t="n"/>
      <c r="O1661" s="26">
        <f>IF($D1661="","",IFERROR(VLOOKUP($D1661,物料档案!$A$4:$P$1203,10,0),0))</f>
        <v/>
      </c>
      <c r="P1661" s="32" t="n"/>
      <c r="Q1661" s="26">
        <f>IF($D1661="","",IF($K1661&lt;&gt;"对外销售",0,ROUND(N($J1661)*IF($P1661="",N($O1661),N($P1661)),0)))</f>
        <v/>
      </c>
      <c r="R1661" s="26">
        <f>IF($D1661="","",IFERROR(VLOOKUP($D1661,库存台账!$A$5:$Y$1204,11,0),0))</f>
        <v/>
      </c>
      <c r="S1661" s="26">
        <f>IF($D1661="","",ROUND(N($J1661)*N($R1661),0))</f>
        <v/>
      </c>
      <c r="T1661" s="26">
        <f>IF($D1661="","",IF($K1661&lt;&gt;"对外销售","",ROUND($Q1661-$S1661,0)))</f>
        <v/>
      </c>
      <c r="U1661" s="17" t="n"/>
      <c r="V1661" s="17" t="n"/>
      <c r="W1661" s="24">
        <f>IF($D1661="","",IF($E1661="※编码不在物料档案里","※物料编码不在档案里",IF(N($J1661)&lt;=0,"※出库数量要大于 0",IF($K1661="","※没填去向类型",IF($L1661="","※没填去向矿区",IF(AND($C1661&lt;&gt;"",$C1661&lt;=结账锁),"※日期早于已结账截止日，不能再录",IF(AND($K1661="自用消耗",COUNTIF({"一矿区";"二矿区"},$L1661)=0),"※自用消耗的去向只能是一矿区或二矿区",IF(AND($K1661="对外销售",COUNTIF({"三矿区";"六矿区"},$L1661)=0),"※对外销售的去向只能是三矿区或六矿区",IF(AND($K1661="对外销售",ROUND($Q1661,0)=0),"※外销却没有售价，请填实际售价",IF(AND($K1661="对外销售",$T1661&lt;&gt;"",$T1661&lt;0),"※这一笔外销是亏的，请核对售价",IF(IFERROR(VLOOKUP($D1661,库存台账!$A$5:$Y$1204,24,0),0)&lt;-0.001,"※这个物料账面已经变成负数了，查一下是不是漏记入库","")))))))))))</f>
        <v/>
      </c>
    </row>
    <row r="1662">
      <c r="A1662" s="24">
        <f>IF($D1662="","",COUNTA($D$4:$D1662))</f>
        <v/>
      </c>
      <c r="B1662" s="17" t="n"/>
      <c r="C1662" s="30" t="n"/>
      <c r="D1662" s="17" t="n"/>
      <c r="E1662" s="24">
        <f>IF($D1662="","",IFERROR(VLOOKUP($D1662,物料档案!$A$4:$P$1203,3,0),"※编码不在物料档案里"))</f>
        <v/>
      </c>
      <c r="F1662" s="24">
        <f>IF($D1662="","",IFERROR(VLOOKUP($D1662,物料档案!$A$4:$P$1203,4,0),"※编码不在物料档案里"))</f>
        <v/>
      </c>
      <c r="G1662" s="24">
        <f>IF($D1662="","",IFERROR(VLOOKUP($D1662,物料档案!$A$4:$P$1203,5,0),"※编码不在物料档案里"))</f>
        <v/>
      </c>
      <c r="H1662" s="24">
        <f>IF($D1662="","",IFERROR(VLOOKUP($D1662,物料档案!$A$4:$P$1203,2,0),"※编码不在物料档案里"))</f>
        <v/>
      </c>
      <c r="I1662" s="24">
        <f>IF($D1662="","",IFERROR(VLOOKUP($D1662,物料档案!$A$4:$P$1203,6,0),"※编码不在物料档案里"))</f>
        <v/>
      </c>
      <c r="J1662" s="23" t="n"/>
      <c r="K1662" s="17" t="n"/>
      <c r="L1662" s="17" t="n"/>
      <c r="M1662" s="17" t="n"/>
      <c r="N1662" s="17" t="n"/>
      <c r="O1662" s="26">
        <f>IF($D1662="","",IFERROR(VLOOKUP($D1662,物料档案!$A$4:$P$1203,10,0),0))</f>
        <v/>
      </c>
      <c r="P1662" s="32" t="n"/>
      <c r="Q1662" s="26">
        <f>IF($D1662="","",IF($K1662&lt;&gt;"对外销售",0,ROUND(N($J1662)*IF($P1662="",N($O1662),N($P1662)),0)))</f>
        <v/>
      </c>
      <c r="R1662" s="26">
        <f>IF($D1662="","",IFERROR(VLOOKUP($D1662,库存台账!$A$5:$Y$1204,11,0),0))</f>
        <v/>
      </c>
      <c r="S1662" s="26">
        <f>IF($D1662="","",ROUND(N($J1662)*N($R1662),0))</f>
        <v/>
      </c>
      <c r="T1662" s="26">
        <f>IF($D1662="","",IF($K1662&lt;&gt;"对外销售","",ROUND($Q1662-$S1662,0)))</f>
        <v/>
      </c>
      <c r="U1662" s="17" t="n"/>
      <c r="V1662" s="17" t="n"/>
      <c r="W1662" s="24">
        <f>IF($D1662="","",IF($E1662="※编码不在物料档案里","※物料编码不在档案里",IF(N($J1662)&lt;=0,"※出库数量要大于 0",IF($K1662="","※没填去向类型",IF($L1662="","※没填去向矿区",IF(AND($C1662&lt;&gt;"",$C1662&lt;=结账锁),"※日期早于已结账截止日，不能再录",IF(AND($K1662="自用消耗",COUNTIF({"一矿区";"二矿区"},$L1662)=0),"※自用消耗的去向只能是一矿区或二矿区",IF(AND($K1662="对外销售",COUNTIF({"三矿区";"六矿区"},$L1662)=0),"※对外销售的去向只能是三矿区或六矿区",IF(AND($K1662="对外销售",ROUND($Q1662,0)=0),"※外销却没有售价，请填实际售价",IF(AND($K1662="对外销售",$T1662&lt;&gt;"",$T1662&lt;0),"※这一笔外销是亏的，请核对售价",IF(IFERROR(VLOOKUP($D1662,库存台账!$A$5:$Y$1204,24,0),0)&lt;-0.001,"※这个物料账面已经变成负数了，查一下是不是漏记入库","")))))))))))</f>
        <v/>
      </c>
    </row>
    <row r="1663">
      <c r="A1663" s="24">
        <f>IF($D1663="","",COUNTA($D$4:$D1663))</f>
        <v/>
      </c>
      <c r="B1663" s="17" t="n"/>
      <c r="C1663" s="30" t="n"/>
      <c r="D1663" s="17" t="n"/>
      <c r="E1663" s="24">
        <f>IF($D1663="","",IFERROR(VLOOKUP($D1663,物料档案!$A$4:$P$1203,3,0),"※编码不在物料档案里"))</f>
        <v/>
      </c>
      <c r="F1663" s="24">
        <f>IF($D1663="","",IFERROR(VLOOKUP($D1663,物料档案!$A$4:$P$1203,4,0),"※编码不在物料档案里"))</f>
        <v/>
      </c>
      <c r="G1663" s="24">
        <f>IF($D1663="","",IFERROR(VLOOKUP($D1663,物料档案!$A$4:$P$1203,5,0),"※编码不在物料档案里"))</f>
        <v/>
      </c>
      <c r="H1663" s="24">
        <f>IF($D1663="","",IFERROR(VLOOKUP($D1663,物料档案!$A$4:$P$1203,2,0),"※编码不在物料档案里"))</f>
        <v/>
      </c>
      <c r="I1663" s="24">
        <f>IF($D1663="","",IFERROR(VLOOKUP($D1663,物料档案!$A$4:$P$1203,6,0),"※编码不在物料档案里"))</f>
        <v/>
      </c>
      <c r="J1663" s="23" t="n"/>
      <c r="K1663" s="17" t="n"/>
      <c r="L1663" s="17" t="n"/>
      <c r="M1663" s="17" t="n"/>
      <c r="N1663" s="17" t="n"/>
      <c r="O1663" s="26">
        <f>IF($D1663="","",IFERROR(VLOOKUP($D1663,物料档案!$A$4:$P$1203,10,0),0))</f>
        <v/>
      </c>
      <c r="P1663" s="32" t="n"/>
      <c r="Q1663" s="26">
        <f>IF($D1663="","",IF($K1663&lt;&gt;"对外销售",0,ROUND(N($J1663)*IF($P1663="",N($O1663),N($P1663)),0)))</f>
        <v/>
      </c>
      <c r="R1663" s="26">
        <f>IF($D1663="","",IFERROR(VLOOKUP($D1663,库存台账!$A$5:$Y$1204,11,0),0))</f>
        <v/>
      </c>
      <c r="S1663" s="26">
        <f>IF($D1663="","",ROUND(N($J1663)*N($R1663),0))</f>
        <v/>
      </c>
      <c r="T1663" s="26">
        <f>IF($D1663="","",IF($K1663&lt;&gt;"对外销售","",ROUND($Q1663-$S1663,0)))</f>
        <v/>
      </c>
      <c r="U1663" s="17" t="n"/>
      <c r="V1663" s="17" t="n"/>
      <c r="W1663" s="24">
        <f>IF($D1663="","",IF($E1663="※编码不在物料档案里","※物料编码不在档案里",IF(N($J1663)&lt;=0,"※出库数量要大于 0",IF($K1663="","※没填去向类型",IF($L1663="","※没填去向矿区",IF(AND($C1663&lt;&gt;"",$C1663&lt;=结账锁),"※日期早于已结账截止日，不能再录",IF(AND($K1663="自用消耗",COUNTIF({"一矿区";"二矿区"},$L1663)=0),"※自用消耗的去向只能是一矿区或二矿区",IF(AND($K1663="对外销售",COUNTIF({"三矿区";"六矿区"},$L1663)=0),"※对外销售的去向只能是三矿区或六矿区",IF(AND($K1663="对外销售",ROUND($Q1663,0)=0),"※外销却没有售价，请填实际售价",IF(AND($K1663="对外销售",$T1663&lt;&gt;"",$T1663&lt;0),"※这一笔外销是亏的，请核对售价",IF(IFERROR(VLOOKUP($D1663,库存台账!$A$5:$Y$1204,24,0),0)&lt;-0.001,"※这个物料账面已经变成负数了，查一下是不是漏记入库","")))))))))))</f>
        <v/>
      </c>
    </row>
    <row r="1664">
      <c r="A1664" s="24">
        <f>IF($D1664="","",COUNTA($D$4:$D1664))</f>
        <v/>
      </c>
      <c r="B1664" s="17" t="n"/>
      <c r="C1664" s="30" t="n"/>
      <c r="D1664" s="17" t="n"/>
      <c r="E1664" s="24">
        <f>IF($D1664="","",IFERROR(VLOOKUP($D1664,物料档案!$A$4:$P$1203,3,0),"※编码不在物料档案里"))</f>
        <v/>
      </c>
      <c r="F1664" s="24">
        <f>IF($D1664="","",IFERROR(VLOOKUP($D1664,物料档案!$A$4:$P$1203,4,0),"※编码不在物料档案里"))</f>
        <v/>
      </c>
      <c r="G1664" s="24">
        <f>IF($D1664="","",IFERROR(VLOOKUP($D1664,物料档案!$A$4:$P$1203,5,0),"※编码不在物料档案里"))</f>
        <v/>
      </c>
      <c r="H1664" s="24">
        <f>IF($D1664="","",IFERROR(VLOOKUP($D1664,物料档案!$A$4:$P$1203,2,0),"※编码不在物料档案里"))</f>
        <v/>
      </c>
      <c r="I1664" s="24">
        <f>IF($D1664="","",IFERROR(VLOOKUP($D1664,物料档案!$A$4:$P$1203,6,0),"※编码不在物料档案里"))</f>
        <v/>
      </c>
      <c r="J1664" s="23" t="n"/>
      <c r="K1664" s="17" t="n"/>
      <c r="L1664" s="17" t="n"/>
      <c r="M1664" s="17" t="n"/>
      <c r="N1664" s="17" t="n"/>
      <c r="O1664" s="26">
        <f>IF($D1664="","",IFERROR(VLOOKUP($D1664,物料档案!$A$4:$P$1203,10,0),0))</f>
        <v/>
      </c>
      <c r="P1664" s="32" t="n"/>
      <c r="Q1664" s="26">
        <f>IF($D1664="","",IF($K1664&lt;&gt;"对外销售",0,ROUND(N($J1664)*IF($P1664="",N($O1664),N($P1664)),0)))</f>
        <v/>
      </c>
      <c r="R1664" s="26">
        <f>IF($D1664="","",IFERROR(VLOOKUP($D1664,库存台账!$A$5:$Y$1204,11,0),0))</f>
        <v/>
      </c>
      <c r="S1664" s="26">
        <f>IF($D1664="","",ROUND(N($J1664)*N($R1664),0))</f>
        <v/>
      </c>
      <c r="T1664" s="26">
        <f>IF($D1664="","",IF($K1664&lt;&gt;"对外销售","",ROUND($Q1664-$S1664,0)))</f>
        <v/>
      </c>
      <c r="U1664" s="17" t="n"/>
      <c r="V1664" s="17" t="n"/>
      <c r="W1664" s="24">
        <f>IF($D1664="","",IF($E1664="※编码不在物料档案里","※物料编码不在档案里",IF(N($J1664)&lt;=0,"※出库数量要大于 0",IF($K1664="","※没填去向类型",IF($L1664="","※没填去向矿区",IF(AND($C1664&lt;&gt;"",$C1664&lt;=结账锁),"※日期早于已结账截止日，不能再录",IF(AND($K1664="自用消耗",COUNTIF({"一矿区";"二矿区"},$L1664)=0),"※自用消耗的去向只能是一矿区或二矿区",IF(AND($K1664="对外销售",COUNTIF({"三矿区";"六矿区"},$L1664)=0),"※对外销售的去向只能是三矿区或六矿区",IF(AND($K1664="对外销售",ROUND($Q1664,0)=0),"※外销却没有售价，请填实际售价",IF(AND($K1664="对外销售",$T1664&lt;&gt;"",$T1664&lt;0),"※这一笔外销是亏的，请核对售价",IF(IFERROR(VLOOKUP($D1664,库存台账!$A$5:$Y$1204,24,0),0)&lt;-0.001,"※这个物料账面已经变成负数了，查一下是不是漏记入库","")))))))))))</f>
        <v/>
      </c>
    </row>
    <row r="1665">
      <c r="A1665" s="24">
        <f>IF($D1665="","",COUNTA($D$4:$D1665))</f>
        <v/>
      </c>
      <c r="B1665" s="17" t="n"/>
      <c r="C1665" s="30" t="n"/>
      <c r="D1665" s="17" t="n"/>
      <c r="E1665" s="24">
        <f>IF($D1665="","",IFERROR(VLOOKUP($D1665,物料档案!$A$4:$P$1203,3,0),"※编码不在物料档案里"))</f>
        <v/>
      </c>
      <c r="F1665" s="24">
        <f>IF($D1665="","",IFERROR(VLOOKUP($D1665,物料档案!$A$4:$P$1203,4,0),"※编码不在物料档案里"))</f>
        <v/>
      </c>
      <c r="G1665" s="24">
        <f>IF($D1665="","",IFERROR(VLOOKUP($D1665,物料档案!$A$4:$P$1203,5,0),"※编码不在物料档案里"))</f>
        <v/>
      </c>
      <c r="H1665" s="24">
        <f>IF($D1665="","",IFERROR(VLOOKUP($D1665,物料档案!$A$4:$P$1203,2,0),"※编码不在物料档案里"))</f>
        <v/>
      </c>
      <c r="I1665" s="24">
        <f>IF($D1665="","",IFERROR(VLOOKUP($D1665,物料档案!$A$4:$P$1203,6,0),"※编码不在物料档案里"))</f>
        <v/>
      </c>
      <c r="J1665" s="23" t="n"/>
      <c r="K1665" s="17" t="n"/>
      <c r="L1665" s="17" t="n"/>
      <c r="M1665" s="17" t="n"/>
      <c r="N1665" s="17" t="n"/>
      <c r="O1665" s="26">
        <f>IF($D1665="","",IFERROR(VLOOKUP($D1665,物料档案!$A$4:$P$1203,10,0),0))</f>
        <v/>
      </c>
      <c r="P1665" s="32" t="n"/>
      <c r="Q1665" s="26">
        <f>IF($D1665="","",IF($K1665&lt;&gt;"对外销售",0,ROUND(N($J1665)*IF($P1665="",N($O1665),N($P1665)),0)))</f>
        <v/>
      </c>
      <c r="R1665" s="26">
        <f>IF($D1665="","",IFERROR(VLOOKUP($D1665,库存台账!$A$5:$Y$1204,11,0),0))</f>
        <v/>
      </c>
      <c r="S1665" s="26">
        <f>IF($D1665="","",ROUND(N($J1665)*N($R1665),0))</f>
        <v/>
      </c>
      <c r="T1665" s="26">
        <f>IF($D1665="","",IF($K1665&lt;&gt;"对外销售","",ROUND($Q1665-$S1665,0)))</f>
        <v/>
      </c>
      <c r="U1665" s="17" t="n"/>
      <c r="V1665" s="17" t="n"/>
      <c r="W1665" s="24">
        <f>IF($D1665="","",IF($E1665="※编码不在物料档案里","※物料编码不在档案里",IF(N($J1665)&lt;=0,"※出库数量要大于 0",IF($K1665="","※没填去向类型",IF($L1665="","※没填去向矿区",IF(AND($C1665&lt;&gt;"",$C1665&lt;=结账锁),"※日期早于已结账截止日，不能再录",IF(AND($K1665="自用消耗",COUNTIF({"一矿区";"二矿区"},$L1665)=0),"※自用消耗的去向只能是一矿区或二矿区",IF(AND($K1665="对外销售",COUNTIF({"三矿区";"六矿区"},$L1665)=0),"※对外销售的去向只能是三矿区或六矿区",IF(AND($K1665="对外销售",ROUND($Q1665,0)=0),"※外销却没有售价，请填实际售价",IF(AND($K1665="对外销售",$T1665&lt;&gt;"",$T1665&lt;0),"※这一笔外销是亏的，请核对售价",IF(IFERROR(VLOOKUP($D1665,库存台账!$A$5:$Y$1204,24,0),0)&lt;-0.001,"※这个物料账面已经变成负数了，查一下是不是漏记入库","")))))))))))</f>
        <v/>
      </c>
    </row>
    <row r="1666">
      <c r="A1666" s="24">
        <f>IF($D1666="","",COUNTA($D$4:$D1666))</f>
        <v/>
      </c>
      <c r="B1666" s="17" t="n"/>
      <c r="C1666" s="30" t="n"/>
      <c r="D1666" s="17" t="n"/>
      <c r="E1666" s="24">
        <f>IF($D1666="","",IFERROR(VLOOKUP($D1666,物料档案!$A$4:$P$1203,3,0),"※编码不在物料档案里"))</f>
        <v/>
      </c>
      <c r="F1666" s="24">
        <f>IF($D1666="","",IFERROR(VLOOKUP($D1666,物料档案!$A$4:$P$1203,4,0),"※编码不在物料档案里"))</f>
        <v/>
      </c>
      <c r="G1666" s="24">
        <f>IF($D1666="","",IFERROR(VLOOKUP($D1666,物料档案!$A$4:$P$1203,5,0),"※编码不在物料档案里"))</f>
        <v/>
      </c>
      <c r="H1666" s="24">
        <f>IF($D1666="","",IFERROR(VLOOKUP($D1666,物料档案!$A$4:$P$1203,2,0),"※编码不在物料档案里"))</f>
        <v/>
      </c>
      <c r="I1666" s="24">
        <f>IF($D1666="","",IFERROR(VLOOKUP($D1666,物料档案!$A$4:$P$1203,6,0),"※编码不在物料档案里"))</f>
        <v/>
      </c>
      <c r="J1666" s="23" t="n"/>
      <c r="K1666" s="17" t="n"/>
      <c r="L1666" s="17" t="n"/>
      <c r="M1666" s="17" t="n"/>
      <c r="N1666" s="17" t="n"/>
      <c r="O1666" s="26">
        <f>IF($D1666="","",IFERROR(VLOOKUP($D1666,物料档案!$A$4:$P$1203,10,0),0))</f>
        <v/>
      </c>
      <c r="P1666" s="32" t="n"/>
      <c r="Q1666" s="26">
        <f>IF($D1666="","",IF($K1666&lt;&gt;"对外销售",0,ROUND(N($J1666)*IF($P1666="",N($O1666),N($P1666)),0)))</f>
        <v/>
      </c>
      <c r="R1666" s="26">
        <f>IF($D1666="","",IFERROR(VLOOKUP($D1666,库存台账!$A$5:$Y$1204,11,0),0))</f>
        <v/>
      </c>
      <c r="S1666" s="26">
        <f>IF($D1666="","",ROUND(N($J1666)*N($R1666),0))</f>
        <v/>
      </c>
      <c r="T1666" s="26">
        <f>IF($D1666="","",IF($K1666&lt;&gt;"对外销售","",ROUND($Q1666-$S1666,0)))</f>
        <v/>
      </c>
      <c r="U1666" s="17" t="n"/>
      <c r="V1666" s="17" t="n"/>
      <c r="W1666" s="24">
        <f>IF($D1666="","",IF($E1666="※编码不在物料档案里","※物料编码不在档案里",IF(N($J1666)&lt;=0,"※出库数量要大于 0",IF($K1666="","※没填去向类型",IF($L1666="","※没填去向矿区",IF(AND($C1666&lt;&gt;"",$C1666&lt;=结账锁),"※日期早于已结账截止日，不能再录",IF(AND($K1666="自用消耗",COUNTIF({"一矿区";"二矿区"},$L1666)=0),"※自用消耗的去向只能是一矿区或二矿区",IF(AND($K1666="对外销售",COUNTIF({"三矿区";"六矿区"},$L1666)=0),"※对外销售的去向只能是三矿区或六矿区",IF(AND($K1666="对外销售",ROUND($Q1666,0)=0),"※外销却没有售价，请填实际售价",IF(AND($K1666="对外销售",$T1666&lt;&gt;"",$T1666&lt;0),"※这一笔外销是亏的，请核对售价",IF(IFERROR(VLOOKUP($D1666,库存台账!$A$5:$Y$1204,24,0),0)&lt;-0.001,"※这个物料账面已经变成负数了，查一下是不是漏记入库","")))))))))))</f>
        <v/>
      </c>
    </row>
    <row r="1667">
      <c r="A1667" s="24">
        <f>IF($D1667="","",COUNTA($D$4:$D1667))</f>
        <v/>
      </c>
      <c r="B1667" s="17" t="n"/>
      <c r="C1667" s="30" t="n"/>
      <c r="D1667" s="17" t="n"/>
      <c r="E1667" s="24">
        <f>IF($D1667="","",IFERROR(VLOOKUP($D1667,物料档案!$A$4:$P$1203,3,0),"※编码不在物料档案里"))</f>
        <v/>
      </c>
      <c r="F1667" s="24">
        <f>IF($D1667="","",IFERROR(VLOOKUP($D1667,物料档案!$A$4:$P$1203,4,0),"※编码不在物料档案里"))</f>
        <v/>
      </c>
      <c r="G1667" s="24">
        <f>IF($D1667="","",IFERROR(VLOOKUP($D1667,物料档案!$A$4:$P$1203,5,0),"※编码不在物料档案里"))</f>
        <v/>
      </c>
      <c r="H1667" s="24">
        <f>IF($D1667="","",IFERROR(VLOOKUP($D1667,物料档案!$A$4:$P$1203,2,0),"※编码不在物料档案里"))</f>
        <v/>
      </c>
      <c r="I1667" s="24">
        <f>IF($D1667="","",IFERROR(VLOOKUP($D1667,物料档案!$A$4:$P$1203,6,0),"※编码不在物料档案里"))</f>
        <v/>
      </c>
      <c r="J1667" s="23" t="n"/>
      <c r="K1667" s="17" t="n"/>
      <c r="L1667" s="17" t="n"/>
      <c r="M1667" s="17" t="n"/>
      <c r="N1667" s="17" t="n"/>
      <c r="O1667" s="26">
        <f>IF($D1667="","",IFERROR(VLOOKUP($D1667,物料档案!$A$4:$P$1203,10,0),0))</f>
        <v/>
      </c>
      <c r="P1667" s="32" t="n"/>
      <c r="Q1667" s="26">
        <f>IF($D1667="","",IF($K1667&lt;&gt;"对外销售",0,ROUND(N($J1667)*IF($P1667="",N($O1667),N($P1667)),0)))</f>
        <v/>
      </c>
      <c r="R1667" s="26">
        <f>IF($D1667="","",IFERROR(VLOOKUP($D1667,库存台账!$A$5:$Y$1204,11,0),0))</f>
        <v/>
      </c>
      <c r="S1667" s="26">
        <f>IF($D1667="","",ROUND(N($J1667)*N($R1667),0))</f>
        <v/>
      </c>
      <c r="T1667" s="26">
        <f>IF($D1667="","",IF($K1667&lt;&gt;"对外销售","",ROUND($Q1667-$S1667,0)))</f>
        <v/>
      </c>
      <c r="U1667" s="17" t="n"/>
      <c r="V1667" s="17" t="n"/>
      <c r="W1667" s="24">
        <f>IF($D1667="","",IF($E1667="※编码不在物料档案里","※物料编码不在档案里",IF(N($J1667)&lt;=0,"※出库数量要大于 0",IF($K1667="","※没填去向类型",IF($L1667="","※没填去向矿区",IF(AND($C1667&lt;&gt;"",$C1667&lt;=结账锁),"※日期早于已结账截止日，不能再录",IF(AND($K1667="自用消耗",COUNTIF({"一矿区";"二矿区"},$L1667)=0),"※自用消耗的去向只能是一矿区或二矿区",IF(AND($K1667="对外销售",COUNTIF({"三矿区";"六矿区"},$L1667)=0),"※对外销售的去向只能是三矿区或六矿区",IF(AND($K1667="对外销售",ROUND($Q1667,0)=0),"※外销却没有售价，请填实际售价",IF(AND($K1667="对外销售",$T1667&lt;&gt;"",$T1667&lt;0),"※这一笔外销是亏的，请核对售价",IF(IFERROR(VLOOKUP($D1667,库存台账!$A$5:$Y$1204,24,0),0)&lt;-0.001,"※这个物料账面已经变成负数了，查一下是不是漏记入库","")))))))))))</f>
        <v/>
      </c>
    </row>
    <row r="1668">
      <c r="A1668" s="24">
        <f>IF($D1668="","",COUNTA($D$4:$D1668))</f>
        <v/>
      </c>
      <c r="B1668" s="17" t="n"/>
      <c r="C1668" s="30" t="n"/>
      <c r="D1668" s="17" t="n"/>
      <c r="E1668" s="24">
        <f>IF($D1668="","",IFERROR(VLOOKUP($D1668,物料档案!$A$4:$P$1203,3,0),"※编码不在物料档案里"))</f>
        <v/>
      </c>
      <c r="F1668" s="24">
        <f>IF($D1668="","",IFERROR(VLOOKUP($D1668,物料档案!$A$4:$P$1203,4,0),"※编码不在物料档案里"))</f>
        <v/>
      </c>
      <c r="G1668" s="24">
        <f>IF($D1668="","",IFERROR(VLOOKUP($D1668,物料档案!$A$4:$P$1203,5,0),"※编码不在物料档案里"))</f>
        <v/>
      </c>
      <c r="H1668" s="24">
        <f>IF($D1668="","",IFERROR(VLOOKUP($D1668,物料档案!$A$4:$P$1203,2,0),"※编码不在物料档案里"))</f>
        <v/>
      </c>
      <c r="I1668" s="24">
        <f>IF($D1668="","",IFERROR(VLOOKUP($D1668,物料档案!$A$4:$P$1203,6,0),"※编码不在物料档案里"))</f>
        <v/>
      </c>
      <c r="J1668" s="23" t="n"/>
      <c r="K1668" s="17" t="n"/>
      <c r="L1668" s="17" t="n"/>
      <c r="M1668" s="17" t="n"/>
      <c r="N1668" s="17" t="n"/>
      <c r="O1668" s="26">
        <f>IF($D1668="","",IFERROR(VLOOKUP($D1668,物料档案!$A$4:$P$1203,10,0),0))</f>
        <v/>
      </c>
      <c r="P1668" s="32" t="n"/>
      <c r="Q1668" s="26">
        <f>IF($D1668="","",IF($K1668&lt;&gt;"对外销售",0,ROUND(N($J1668)*IF($P1668="",N($O1668),N($P1668)),0)))</f>
        <v/>
      </c>
      <c r="R1668" s="26">
        <f>IF($D1668="","",IFERROR(VLOOKUP($D1668,库存台账!$A$5:$Y$1204,11,0),0))</f>
        <v/>
      </c>
      <c r="S1668" s="26">
        <f>IF($D1668="","",ROUND(N($J1668)*N($R1668),0))</f>
        <v/>
      </c>
      <c r="T1668" s="26">
        <f>IF($D1668="","",IF($K1668&lt;&gt;"对外销售","",ROUND($Q1668-$S1668,0)))</f>
        <v/>
      </c>
      <c r="U1668" s="17" t="n"/>
      <c r="V1668" s="17" t="n"/>
      <c r="W1668" s="24">
        <f>IF($D1668="","",IF($E1668="※编码不在物料档案里","※物料编码不在档案里",IF(N($J1668)&lt;=0,"※出库数量要大于 0",IF($K1668="","※没填去向类型",IF($L1668="","※没填去向矿区",IF(AND($C1668&lt;&gt;"",$C1668&lt;=结账锁),"※日期早于已结账截止日，不能再录",IF(AND($K1668="自用消耗",COUNTIF({"一矿区";"二矿区"},$L1668)=0),"※自用消耗的去向只能是一矿区或二矿区",IF(AND($K1668="对外销售",COUNTIF({"三矿区";"六矿区"},$L1668)=0),"※对外销售的去向只能是三矿区或六矿区",IF(AND($K1668="对外销售",ROUND($Q1668,0)=0),"※外销却没有售价，请填实际售价",IF(AND($K1668="对外销售",$T1668&lt;&gt;"",$T1668&lt;0),"※这一笔外销是亏的，请核对售价",IF(IFERROR(VLOOKUP($D1668,库存台账!$A$5:$Y$1204,24,0),0)&lt;-0.001,"※这个物料账面已经变成负数了，查一下是不是漏记入库","")))))))))))</f>
        <v/>
      </c>
    </row>
    <row r="1669">
      <c r="A1669" s="24">
        <f>IF($D1669="","",COUNTA($D$4:$D1669))</f>
        <v/>
      </c>
      <c r="B1669" s="17" t="n"/>
      <c r="C1669" s="30" t="n"/>
      <c r="D1669" s="17" t="n"/>
      <c r="E1669" s="24">
        <f>IF($D1669="","",IFERROR(VLOOKUP($D1669,物料档案!$A$4:$P$1203,3,0),"※编码不在物料档案里"))</f>
        <v/>
      </c>
      <c r="F1669" s="24">
        <f>IF($D1669="","",IFERROR(VLOOKUP($D1669,物料档案!$A$4:$P$1203,4,0),"※编码不在物料档案里"))</f>
        <v/>
      </c>
      <c r="G1669" s="24">
        <f>IF($D1669="","",IFERROR(VLOOKUP($D1669,物料档案!$A$4:$P$1203,5,0),"※编码不在物料档案里"))</f>
        <v/>
      </c>
      <c r="H1669" s="24">
        <f>IF($D1669="","",IFERROR(VLOOKUP($D1669,物料档案!$A$4:$P$1203,2,0),"※编码不在物料档案里"))</f>
        <v/>
      </c>
      <c r="I1669" s="24">
        <f>IF($D1669="","",IFERROR(VLOOKUP($D1669,物料档案!$A$4:$P$1203,6,0),"※编码不在物料档案里"))</f>
        <v/>
      </c>
      <c r="J1669" s="23" t="n"/>
      <c r="K1669" s="17" t="n"/>
      <c r="L1669" s="17" t="n"/>
      <c r="M1669" s="17" t="n"/>
      <c r="N1669" s="17" t="n"/>
      <c r="O1669" s="26">
        <f>IF($D1669="","",IFERROR(VLOOKUP($D1669,物料档案!$A$4:$P$1203,10,0),0))</f>
        <v/>
      </c>
      <c r="P1669" s="32" t="n"/>
      <c r="Q1669" s="26">
        <f>IF($D1669="","",IF($K1669&lt;&gt;"对外销售",0,ROUND(N($J1669)*IF($P1669="",N($O1669),N($P1669)),0)))</f>
        <v/>
      </c>
      <c r="R1669" s="26">
        <f>IF($D1669="","",IFERROR(VLOOKUP($D1669,库存台账!$A$5:$Y$1204,11,0),0))</f>
        <v/>
      </c>
      <c r="S1669" s="26">
        <f>IF($D1669="","",ROUND(N($J1669)*N($R1669),0))</f>
        <v/>
      </c>
      <c r="T1669" s="26">
        <f>IF($D1669="","",IF($K1669&lt;&gt;"对外销售","",ROUND($Q1669-$S1669,0)))</f>
        <v/>
      </c>
      <c r="U1669" s="17" t="n"/>
      <c r="V1669" s="17" t="n"/>
      <c r="W1669" s="24">
        <f>IF($D1669="","",IF($E1669="※编码不在物料档案里","※物料编码不在档案里",IF(N($J1669)&lt;=0,"※出库数量要大于 0",IF($K1669="","※没填去向类型",IF($L1669="","※没填去向矿区",IF(AND($C1669&lt;&gt;"",$C1669&lt;=结账锁),"※日期早于已结账截止日，不能再录",IF(AND($K1669="自用消耗",COUNTIF({"一矿区";"二矿区"},$L1669)=0),"※自用消耗的去向只能是一矿区或二矿区",IF(AND($K1669="对外销售",COUNTIF({"三矿区";"六矿区"},$L1669)=0),"※对外销售的去向只能是三矿区或六矿区",IF(AND($K1669="对外销售",ROUND($Q1669,0)=0),"※外销却没有售价，请填实际售价",IF(AND($K1669="对外销售",$T1669&lt;&gt;"",$T1669&lt;0),"※这一笔外销是亏的，请核对售价",IF(IFERROR(VLOOKUP($D1669,库存台账!$A$5:$Y$1204,24,0),0)&lt;-0.001,"※这个物料账面已经变成负数了，查一下是不是漏记入库","")))))))))))</f>
        <v/>
      </c>
    </row>
    <row r="1670">
      <c r="A1670" s="24">
        <f>IF($D1670="","",COUNTA($D$4:$D1670))</f>
        <v/>
      </c>
      <c r="B1670" s="17" t="n"/>
      <c r="C1670" s="30" t="n"/>
      <c r="D1670" s="17" t="n"/>
      <c r="E1670" s="24">
        <f>IF($D1670="","",IFERROR(VLOOKUP($D1670,物料档案!$A$4:$P$1203,3,0),"※编码不在物料档案里"))</f>
        <v/>
      </c>
      <c r="F1670" s="24">
        <f>IF($D1670="","",IFERROR(VLOOKUP($D1670,物料档案!$A$4:$P$1203,4,0),"※编码不在物料档案里"))</f>
        <v/>
      </c>
      <c r="G1670" s="24">
        <f>IF($D1670="","",IFERROR(VLOOKUP($D1670,物料档案!$A$4:$P$1203,5,0),"※编码不在物料档案里"))</f>
        <v/>
      </c>
      <c r="H1670" s="24">
        <f>IF($D1670="","",IFERROR(VLOOKUP($D1670,物料档案!$A$4:$P$1203,2,0),"※编码不在物料档案里"))</f>
        <v/>
      </c>
      <c r="I1670" s="24">
        <f>IF($D1670="","",IFERROR(VLOOKUP($D1670,物料档案!$A$4:$P$1203,6,0),"※编码不在物料档案里"))</f>
        <v/>
      </c>
      <c r="J1670" s="23" t="n"/>
      <c r="K1670" s="17" t="n"/>
      <c r="L1670" s="17" t="n"/>
      <c r="M1670" s="17" t="n"/>
      <c r="N1670" s="17" t="n"/>
      <c r="O1670" s="26">
        <f>IF($D1670="","",IFERROR(VLOOKUP($D1670,物料档案!$A$4:$P$1203,10,0),0))</f>
        <v/>
      </c>
      <c r="P1670" s="32" t="n"/>
      <c r="Q1670" s="26">
        <f>IF($D1670="","",IF($K1670&lt;&gt;"对外销售",0,ROUND(N($J1670)*IF($P1670="",N($O1670),N($P1670)),0)))</f>
        <v/>
      </c>
      <c r="R1670" s="26">
        <f>IF($D1670="","",IFERROR(VLOOKUP($D1670,库存台账!$A$5:$Y$1204,11,0),0))</f>
        <v/>
      </c>
      <c r="S1670" s="26">
        <f>IF($D1670="","",ROUND(N($J1670)*N($R1670),0))</f>
        <v/>
      </c>
      <c r="T1670" s="26">
        <f>IF($D1670="","",IF($K1670&lt;&gt;"对外销售","",ROUND($Q1670-$S1670,0)))</f>
        <v/>
      </c>
      <c r="U1670" s="17" t="n"/>
      <c r="V1670" s="17" t="n"/>
      <c r="W1670" s="24">
        <f>IF($D1670="","",IF($E1670="※编码不在物料档案里","※物料编码不在档案里",IF(N($J1670)&lt;=0,"※出库数量要大于 0",IF($K1670="","※没填去向类型",IF($L1670="","※没填去向矿区",IF(AND($C1670&lt;&gt;"",$C1670&lt;=结账锁),"※日期早于已结账截止日，不能再录",IF(AND($K1670="自用消耗",COUNTIF({"一矿区";"二矿区"},$L1670)=0),"※自用消耗的去向只能是一矿区或二矿区",IF(AND($K1670="对外销售",COUNTIF({"三矿区";"六矿区"},$L1670)=0),"※对外销售的去向只能是三矿区或六矿区",IF(AND($K1670="对外销售",ROUND($Q1670,0)=0),"※外销却没有售价，请填实际售价",IF(AND($K1670="对外销售",$T1670&lt;&gt;"",$T1670&lt;0),"※这一笔外销是亏的，请核对售价",IF(IFERROR(VLOOKUP($D1670,库存台账!$A$5:$Y$1204,24,0),0)&lt;-0.001,"※这个物料账面已经变成负数了，查一下是不是漏记入库","")))))))))))</f>
        <v/>
      </c>
    </row>
    <row r="1671">
      <c r="A1671" s="24">
        <f>IF($D1671="","",COUNTA($D$4:$D1671))</f>
        <v/>
      </c>
      <c r="B1671" s="17" t="n"/>
      <c r="C1671" s="30" t="n"/>
      <c r="D1671" s="17" t="n"/>
      <c r="E1671" s="24">
        <f>IF($D1671="","",IFERROR(VLOOKUP($D1671,物料档案!$A$4:$P$1203,3,0),"※编码不在物料档案里"))</f>
        <v/>
      </c>
      <c r="F1671" s="24">
        <f>IF($D1671="","",IFERROR(VLOOKUP($D1671,物料档案!$A$4:$P$1203,4,0),"※编码不在物料档案里"))</f>
        <v/>
      </c>
      <c r="G1671" s="24">
        <f>IF($D1671="","",IFERROR(VLOOKUP($D1671,物料档案!$A$4:$P$1203,5,0),"※编码不在物料档案里"))</f>
        <v/>
      </c>
      <c r="H1671" s="24">
        <f>IF($D1671="","",IFERROR(VLOOKUP($D1671,物料档案!$A$4:$P$1203,2,0),"※编码不在物料档案里"))</f>
        <v/>
      </c>
      <c r="I1671" s="24">
        <f>IF($D1671="","",IFERROR(VLOOKUP($D1671,物料档案!$A$4:$P$1203,6,0),"※编码不在物料档案里"))</f>
        <v/>
      </c>
      <c r="J1671" s="23" t="n"/>
      <c r="K1671" s="17" t="n"/>
      <c r="L1671" s="17" t="n"/>
      <c r="M1671" s="17" t="n"/>
      <c r="N1671" s="17" t="n"/>
      <c r="O1671" s="26">
        <f>IF($D1671="","",IFERROR(VLOOKUP($D1671,物料档案!$A$4:$P$1203,10,0),0))</f>
        <v/>
      </c>
      <c r="P1671" s="32" t="n"/>
      <c r="Q1671" s="26">
        <f>IF($D1671="","",IF($K1671&lt;&gt;"对外销售",0,ROUND(N($J1671)*IF($P1671="",N($O1671),N($P1671)),0)))</f>
        <v/>
      </c>
      <c r="R1671" s="26">
        <f>IF($D1671="","",IFERROR(VLOOKUP($D1671,库存台账!$A$5:$Y$1204,11,0),0))</f>
        <v/>
      </c>
      <c r="S1671" s="26">
        <f>IF($D1671="","",ROUND(N($J1671)*N($R1671),0))</f>
        <v/>
      </c>
      <c r="T1671" s="26">
        <f>IF($D1671="","",IF($K1671&lt;&gt;"对外销售","",ROUND($Q1671-$S1671,0)))</f>
        <v/>
      </c>
      <c r="U1671" s="17" t="n"/>
      <c r="V1671" s="17" t="n"/>
      <c r="W1671" s="24">
        <f>IF($D1671="","",IF($E1671="※编码不在物料档案里","※物料编码不在档案里",IF(N($J1671)&lt;=0,"※出库数量要大于 0",IF($K1671="","※没填去向类型",IF($L1671="","※没填去向矿区",IF(AND($C1671&lt;&gt;"",$C1671&lt;=结账锁),"※日期早于已结账截止日，不能再录",IF(AND($K1671="自用消耗",COUNTIF({"一矿区";"二矿区"},$L1671)=0),"※自用消耗的去向只能是一矿区或二矿区",IF(AND($K1671="对外销售",COUNTIF({"三矿区";"六矿区"},$L1671)=0),"※对外销售的去向只能是三矿区或六矿区",IF(AND($K1671="对外销售",ROUND($Q1671,0)=0),"※外销却没有售价，请填实际售价",IF(AND($K1671="对外销售",$T1671&lt;&gt;"",$T1671&lt;0),"※这一笔外销是亏的，请核对售价",IF(IFERROR(VLOOKUP($D1671,库存台账!$A$5:$Y$1204,24,0),0)&lt;-0.001,"※这个物料账面已经变成负数了，查一下是不是漏记入库","")))))))))))</f>
        <v/>
      </c>
    </row>
    <row r="1672">
      <c r="A1672" s="24">
        <f>IF($D1672="","",COUNTA($D$4:$D1672))</f>
        <v/>
      </c>
      <c r="B1672" s="17" t="n"/>
      <c r="C1672" s="30" t="n"/>
      <c r="D1672" s="17" t="n"/>
      <c r="E1672" s="24">
        <f>IF($D1672="","",IFERROR(VLOOKUP($D1672,物料档案!$A$4:$P$1203,3,0),"※编码不在物料档案里"))</f>
        <v/>
      </c>
      <c r="F1672" s="24">
        <f>IF($D1672="","",IFERROR(VLOOKUP($D1672,物料档案!$A$4:$P$1203,4,0),"※编码不在物料档案里"))</f>
        <v/>
      </c>
      <c r="G1672" s="24">
        <f>IF($D1672="","",IFERROR(VLOOKUP($D1672,物料档案!$A$4:$P$1203,5,0),"※编码不在物料档案里"))</f>
        <v/>
      </c>
      <c r="H1672" s="24">
        <f>IF($D1672="","",IFERROR(VLOOKUP($D1672,物料档案!$A$4:$P$1203,2,0),"※编码不在物料档案里"))</f>
        <v/>
      </c>
      <c r="I1672" s="24">
        <f>IF($D1672="","",IFERROR(VLOOKUP($D1672,物料档案!$A$4:$P$1203,6,0),"※编码不在物料档案里"))</f>
        <v/>
      </c>
      <c r="J1672" s="23" t="n"/>
      <c r="K1672" s="17" t="n"/>
      <c r="L1672" s="17" t="n"/>
      <c r="M1672" s="17" t="n"/>
      <c r="N1672" s="17" t="n"/>
      <c r="O1672" s="26">
        <f>IF($D1672="","",IFERROR(VLOOKUP($D1672,物料档案!$A$4:$P$1203,10,0),0))</f>
        <v/>
      </c>
      <c r="P1672" s="32" t="n"/>
      <c r="Q1672" s="26">
        <f>IF($D1672="","",IF($K1672&lt;&gt;"对外销售",0,ROUND(N($J1672)*IF($P1672="",N($O1672),N($P1672)),0)))</f>
        <v/>
      </c>
      <c r="R1672" s="26">
        <f>IF($D1672="","",IFERROR(VLOOKUP($D1672,库存台账!$A$5:$Y$1204,11,0),0))</f>
        <v/>
      </c>
      <c r="S1672" s="26">
        <f>IF($D1672="","",ROUND(N($J1672)*N($R1672),0))</f>
        <v/>
      </c>
      <c r="T1672" s="26">
        <f>IF($D1672="","",IF($K1672&lt;&gt;"对外销售","",ROUND($Q1672-$S1672,0)))</f>
        <v/>
      </c>
      <c r="U1672" s="17" t="n"/>
      <c r="V1672" s="17" t="n"/>
      <c r="W1672" s="24">
        <f>IF($D1672="","",IF($E1672="※编码不在物料档案里","※物料编码不在档案里",IF(N($J1672)&lt;=0,"※出库数量要大于 0",IF($K1672="","※没填去向类型",IF($L1672="","※没填去向矿区",IF(AND($C1672&lt;&gt;"",$C1672&lt;=结账锁),"※日期早于已结账截止日，不能再录",IF(AND($K1672="自用消耗",COUNTIF({"一矿区";"二矿区"},$L1672)=0),"※自用消耗的去向只能是一矿区或二矿区",IF(AND($K1672="对外销售",COUNTIF({"三矿区";"六矿区"},$L1672)=0),"※对外销售的去向只能是三矿区或六矿区",IF(AND($K1672="对外销售",ROUND($Q1672,0)=0),"※外销却没有售价，请填实际售价",IF(AND($K1672="对外销售",$T1672&lt;&gt;"",$T1672&lt;0),"※这一笔外销是亏的，请核对售价",IF(IFERROR(VLOOKUP($D1672,库存台账!$A$5:$Y$1204,24,0),0)&lt;-0.001,"※这个物料账面已经变成负数了，查一下是不是漏记入库","")))))))))))</f>
        <v/>
      </c>
    </row>
    <row r="1673">
      <c r="A1673" s="24">
        <f>IF($D1673="","",COUNTA($D$4:$D1673))</f>
        <v/>
      </c>
      <c r="B1673" s="17" t="n"/>
      <c r="C1673" s="30" t="n"/>
      <c r="D1673" s="17" t="n"/>
      <c r="E1673" s="24">
        <f>IF($D1673="","",IFERROR(VLOOKUP($D1673,物料档案!$A$4:$P$1203,3,0),"※编码不在物料档案里"))</f>
        <v/>
      </c>
      <c r="F1673" s="24">
        <f>IF($D1673="","",IFERROR(VLOOKUP($D1673,物料档案!$A$4:$P$1203,4,0),"※编码不在物料档案里"))</f>
        <v/>
      </c>
      <c r="G1673" s="24">
        <f>IF($D1673="","",IFERROR(VLOOKUP($D1673,物料档案!$A$4:$P$1203,5,0),"※编码不在物料档案里"))</f>
        <v/>
      </c>
      <c r="H1673" s="24">
        <f>IF($D1673="","",IFERROR(VLOOKUP($D1673,物料档案!$A$4:$P$1203,2,0),"※编码不在物料档案里"))</f>
        <v/>
      </c>
      <c r="I1673" s="24">
        <f>IF($D1673="","",IFERROR(VLOOKUP($D1673,物料档案!$A$4:$P$1203,6,0),"※编码不在物料档案里"))</f>
        <v/>
      </c>
      <c r="J1673" s="23" t="n"/>
      <c r="K1673" s="17" t="n"/>
      <c r="L1673" s="17" t="n"/>
      <c r="M1673" s="17" t="n"/>
      <c r="N1673" s="17" t="n"/>
      <c r="O1673" s="26">
        <f>IF($D1673="","",IFERROR(VLOOKUP($D1673,物料档案!$A$4:$P$1203,10,0),0))</f>
        <v/>
      </c>
      <c r="P1673" s="32" t="n"/>
      <c r="Q1673" s="26">
        <f>IF($D1673="","",IF($K1673&lt;&gt;"对外销售",0,ROUND(N($J1673)*IF($P1673="",N($O1673),N($P1673)),0)))</f>
        <v/>
      </c>
      <c r="R1673" s="26">
        <f>IF($D1673="","",IFERROR(VLOOKUP($D1673,库存台账!$A$5:$Y$1204,11,0),0))</f>
        <v/>
      </c>
      <c r="S1673" s="26">
        <f>IF($D1673="","",ROUND(N($J1673)*N($R1673),0))</f>
        <v/>
      </c>
      <c r="T1673" s="26">
        <f>IF($D1673="","",IF($K1673&lt;&gt;"对外销售","",ROUND($Q1673-$S1673,0)))</f>
        <v/>
      </c>
      <c r="U1673" s="17" t="n"/>
      <c r="V1673" s="17" t="n"/>
      <c r="W1673" s="24">
        <f>IF($D1673="","",IF($E1673="※编码不在物料档案里","※物料编码不在档案里",IF(N($J1673)&lt;=0,"※出库数量要大于 0",IF($K1673="","※没填去向类型",IF($L1673="","※没填去向矿区",IF(AND($C1673&lt;&gt;"",$C1673&lt;=结账锁),"※日期早于已结账截止日，不能再录",IF(AND($K1673="自用消耗",COUNTIF({"一矿区";"二矿区"},$L1673)=0),"※自用消耗的去向只能是一矿区或二矿区",IF(AND($K1673="对外销售",COUNTIF({"三矿区";"六矿区"},$L1673)=0),"※对外销售的去向只能是三矿区或六矿区",IF(AND($K1673="对外销售",ROUND($Q1673,0)=0),"※外销却没有售价，请填实际售价",IF(AND($K1673="对外销售",$T1673&lt;&gt;"",$T1673&lt;0),"※这一笔外销是亏的，请核对售价",IF(IFERROR(VLOOKUP($D1673,库存台账!$A$5:$Y$1204,24,0),0)&lt;-0.001,"※这个物料账面已经变成负数了，查一下是不是漏记入库","")))))))))))</f>
        <v/>
      </c>
    </row>
    <row r="1674">
      <c r="A1674" s="24">
        <f>IF($D1674="","",COUNTA($D$4:$D1674))</f>
        <v/>
      </c>
      <c r="B1674" s="17" t="n"/>
      <c r="C1674" s="30" t="n"/>
      <c r="D1674" s="17" t="n"/>
      <c r="E1674" s="24">
        <f>IF($D1674="","",IFERROR(VLOOKUP($D1674,物料档案!$A$4:$P$1203,3,0),"※编码不在物料档案里"))</f>
        <v/>
      </c>
      <c r="F1674" s="24">
        <f>IF($D1674="","",IFERROR(VLOOKUP($D1674,物料档案!$A$4:$P$1203,4,0),"※编码不在物料档案里"))</f>
        <v/>
      </c>
      <c r="G1674" s="24">
        <f>IF($D1674="","",IFERROR(VLOOKUP($D1674,物料档案!$A$4:$P$1203,5,0),"※编码不在物料档案里"))</f>
        <v/>
      </c>
      <c r="H1674" s="24">
        <f>IF($D1674="","",IFERROR(VLOOKUP($D1674,物料档案!$A$4:$P$1203,2,0),"※编码不在物料档案里"))</f>
        <v/>
      </c>
      <c r="I1674" s="24">
        <f>IF($D1674="","",IFERROR(VLOOKUP($D1674,物料档案!$A$4:$P$1203,6,0),"※编码不在物料档案里"))</f>
        <v/>
      </c>
      <c r="J1674" s="23" t="n"/>
      <c r="K1674" s="17" t="n"/>
      <c r="L1674" s="17" t="n"/>
      <c r="M1674" s="17" t="n"/>
      <c r="N1674" s="17" t="n"/>
      <c r="O1674" s="26">
        <f>IF($D1674="","",IFERROR(VLOOKUP($D1674,物料档案!$A$4:$P$1203,10,0),0))</f>
        <v/>
      </c>
      <c r="P1674" s="32" t="n"/>
      <c r="Q1674" s="26">
        <f>IF($D1674="","",IF($K1674&lt;&gt;"对外销售",0,ROUND(N($J1674)*IF($P1674="",N($O1674),N($P1674)),0)))</f>
        <v/>
      </c>
      <c r="R1674" s="26">
        <f>IF($D1674="","",IFERROR(VLOOKUP($D1674,库存台账!$A$5:$Y$1204,11,0),0))</f>
        <v/>
      </c>
      <c r="S1674" s="26">
        <f>IF($D1674="","",ROUND(N($J1674)*N($R1674),0))</f>
        <v/>
      </c>
      <c r="T1674" s="26">
        <f>IF($D1674="","",IF($K1674&lt;&gt;"对外销售","",ROUND($Q1674-$S1674,0)))</f>
        <v/>
      </c>
      <c r="U1674" s="17" t="n"/>
      <c r="V1674" s="17" t="n"/>
      <c r="W1674" s="24">
        <f>IF($D1674="","",IF($E1674="※编码不在物料档案里","※物料编码不在档案里",IF(N($J1674)&lt;=0,"※出库数量要大于 0",IF($K1674="","※没填去向类型",IF($L1674="","※没填去向矿区",IF(AND($C1674&lt;&gt;"",$C1674&lt;=结账锁),"※日期早于已结账截止日，不能再录",IF(AND($K1674="自用消耗",COUNTIF({"一矿区";"二矿区"},$L1674)=0),"※自用消耗的去向只能是一矿区或二矿区",IF(AND($K1674="对外销售",COUNTIF({"三矿区";"六矿区"},$L1674)=0),"※对外销售的去向只能是三矿区或六矿区",IF(AND($K1674="对外销售",ROUND($Q1674,0)=0),"※外销却没有售价，请填实际售价",IF(AND($K1674="对外销售",$T1674&lt;&gt;"",$T1674&lt;0),"※这一笔外销是亏的，请核对售价",IF(IFERROR(VLOOKUP($D1674,库存台账!$A$5:$Y$1204,24,0),0)&lt;-0.001,"※这个物料账面已经变成负数了，查一下是不是漏记入库","")))))))))))</f>
        <v/>
      </c>
    </row>
    <row r="1675">
      <c r="A1675" s="24">
        <f>IF($D1675="","",COUNTA($D$4:$D1675))</f>
        <v/>
      </c>
      <c r="B1675" s="17" t="n"/>
      <c r="C1675" s="30" t="n"/>
      <c r="D1675" s="17" t="n"/>
      <c r="E1675" s="24">
        <f>IF($D1675="","",IFERROR(VLOOKUP($D1675,物料档案!$A$4:$P$1203,3,0),"※编码不在物料档案里"))</f>
        <v/>
      </c>
      <c r="F1675" s="24">
        <f>IF($D1675="","",IFERROR(VLOOKUP($D1675,物料档案!$A$4:$P$1203,4,0),"※编码不在物料档案里"))</f>
        <v/>
      </c>
      <c r="G1675" s="24">
        <f>IF($D1675="","",IFERROR(VLOOKUP($D1675,物料档案!$A$4:$P$1203,5,0),"※编码不在物料档案里"))</f>
        <v/>
      </c>
      <c r="H1675" s="24">
        <f>IF($D1675="","",IFERROR(VLOOKUP($D1675,物料档案!$A$4:$P$1203,2,0),"※编码不在物料档案里"))</f>
        <v/>
      </c>
      <c r="I1675" s="24">
        <f>IF($D1675="","",IFERROR(VLOOKUP($D1675,物料档案!$A$4:$P$1203,6,0),"※编码不在物料档案里"))</f>
        <v/>
      </c>
      <c r="J1675" s="23" t="n"/>
      <c r="K1675" s="17" t="n"/>
      <c r="L1675" s="17" t="n"/>
      <c r="M1675" s="17" t="n"/>
      <c r="N1675" s="17" t="n"/>
      <c r="O1675" s="26">
        <f>IF($D1675="","",IFERROR(VLOOKUP($D1675,物料档案!$A$4:$P$1203,10,0),0))</f>
        <v/>
      </c>
      <c r="P1675" s="32" t="n"/>
      <c r="Q1675" s="26">
        <f>IF($D1675="","",IF($K1675&lt;&gt;"对外销售",0,ROUND(N($J1675)*IF($P1675="",N($O1675),N($P1675)),0)))</f>
        <v/>
      </c>
      <c r="R1675" s="26">
        <f>IF($D1675="","",IFERROR(VLOOKUP($D1675,库存台账!$A$5:$Y$1204,11,0),0))</f>
        <v/>
      </c>
      <c r="S1675" s="26">
        <f>IF($D1675="","",ROUND(N($J1675)*N($R1675),0))</f>
        <v/>
      </c>
      <c r="T1675" s="26">
        <f>IF($D1675="","",IF($K1675&lt;&gt;"对外销售","",ROUND($Q1675-$S1675,0)))</f>
        <v/>
      </c>
      <c r="U1675" s="17" t="n"/>
      <c r="V1675" s="17" t="n"/>
      <c r="W1675" s="24">
        <f>IF($D1675="","",IF($E1675="※编码不在物料档案里","※物料编码不在档案里",IF(N($J1675)&lt;=0,"※出库数量要大于 0",IF($K1675="","※没填去向类型",IF($L1675="","※没填去向矿区",IF(AND($C1675&lt;&gt;"",$C1675&lt;=结账锁),"※日期早于已结账截止日，不能再录",IF(AND($K1675="自用消耗",COUNTIF({"一矿区";"二矿区"},$L1675)=0),"※自用消耗的去向只能是一矿区或二矿区",IF(AND($K1675="对外销售",COUNTIF({"三矿区";"六矿区"},$L1675)=0),"※对外销售的去向只能是三矿区或六矿区",IF(AND($K1675="对外销售",ROUND($Q1675,0)=0),"※外销却没有售价，请填实际售价",IF(AND($K1675="对外销售",$T1675&lt;&gt;"",$T1675&lt;0),"※这一笔外销是亏的，请核对售价",IF(IFERROR(VLOOKUP($D1675,库存台账!$A$5:$Y$1204,24,0),0)&lt;-0.001,"※这个物料账面已经变成负数了，查一下是不是漏记入库","")))))))))))</f>
        <v/>
      </c>
    </row>
    <row r="1676">
      <c r="A1676" s="24">
        <f>IF($D1676="","",COUNTA($D$4:$D1676))</f>
        <v/>
      </c>
      <c r="B1676" s="17" t="n"/>
      <c r="C1676" s="30" t="n"/>
      <c r="D1676" s="17" t="n"/>
      <c r="E1676" s="24">
        <f>IF($D1676="","",IFERROR(VLOOKUP($D1676,物料档案!$A$4:$P$1203,3,0),"※编码不在物料档案里"))</f>
        <v/>
      </c>
      <c r="F1676" s="24">
        <f>IF($D1676="","",IFERROR(VLOOKUP($D1676,物料档案!$A$4:$P$1203,4,0),"※编码不在物料档案里"))</f>
        <v/>
      </c>
      <c r="G1676" s="24">
        <f>IF($D1676="","",IFERROR(VLOOKUP($D1676,物料档案!$A$4:$P$1203,5,0),"※编码不在物料档案里"))</f>
        <v/>
      </c>
      <c r="H1676" s="24">
        <f>IF($D1676="","",IFERROR(VLOOKUP($D1676,物料档案!$A$4:$P$1203,2,0),"※编码不在物料档案里"))</f>
        <v/>
      </c>
      <c r="I1676" s="24">
        <f>IF($D1676="","",IFERROR(VLOOKUP($D1676,物料档案!$A$4:$P$1203,6,0),"※编码不在物料档案里"))</f>
        <v/>
      </c>
      <c r="J1676" s="23" t="n"/>
      <c r="K1676" s="17" t="n"/>
      <c r="L1676" s="17" t="n"/>
      <c r="M1676" s="17" t="n"/>
      <c r="N1676" s="17" t="n"/>
      <c r="O1676" s="26">
        <f>IF($D1676="","",IFERROR(VLOOKUP($D1676,物料档案!$A$4:$P$1203,10,0),0))</f>
        <v/>
      </c>
      <c r="P1676" s="32" t="n"/>
      <c r="Q1676" s="26">
        <f>IF($D1676="","",IF($K1676&lt;&gt;"对外销售",0,ROUND(N($J1676)*IF($P1676="",N($O1676),N($P1676)),0)))</f>
        <v/>
      </c>
      <c r="R1676" s="26">
        <f>IF($D1676="","",IFERROR(VLOOKUP($D1676,库存台账!$A$5:$Y$1204,11,0),0))</f>
        <v/>
      </c>
      <c r="S1676" s="26">
        <f>IF($D1676="","",ROUND(N($J1676)*N($R1676),0))</f>
        <v/>
      </c>
      <c r="T1676" s="26">
        <f>IF($D1676="","",IF($K1676&lt;&gt;"对外销售","",ROUND($Q1676-$S1676,0)))</f>
        <v/>
      </c>
      <c r="U1676" s="17" t="n"/>
      <c r="V1676" s="17" t="n"/>
      <c r="W1676" s="24">
        <f>IF($D1676="","",IF($E1676="※编码不在物料档案里","※物料编码不在档案里",IF(N($J1676)&lt;=0,"※出库数量要大于 0",IF($K1676="","※没填去向类型",IF($L1676="","※没填去向矿区",IF(AND($C1676&lt;&gt;"",$C1676&lt;=结账锁),"※日期早于已结账截止日，不能再录",IF(AND($K1676="自用消耗",COUNTIF({"一矿区";"二矿区"},$L1676)=0),"※自用消耗的去向只能是一矿区或二矿区",IF(AND($K1676="对外销售",COUNTIF({"三矿区";"六矿区"},$L1676)=0),"※对外销售的去向只能是三矿区或六矿区",IF(AND($K1676="对外销售",ROUND($Q1676,0)=0),"※外销却没有售价，请填实际售价",IF(AND($K1676="对外销售",$T1676&lt;&gt;"",$T1676&lt;0),"※这一笔外销是亏的，请核对售价",IF(IFERROR(VLOOKUP($D1676,库存台账!$A$5:$Y$1204,24,0),0)&lt;-0.001,"※这个物料账面已经变成负数了，查一下是不是漏记入库","")))))))))))</f>
        <v/>
      </c>
    </row>
    <row r="1677">
      <c r="A1677" s="24">
        <f>IF($D1677="","",COUNTA($D$4:$D1677))</f>
        <v/>
      </c>
      <c r="B1677" s="17" t="n"/>
      <c r="C1677" s="30" t="n"/>
      <c r="D1677" s="17" t="n"/>
      <c r="E1677" s="24">
        <f>IF($D1677="","",IFERROR(VLOOKUP($D1677,物料档案!$A$4:$P$1203,3,0),"※编码不在物料档案里"))</f>
        <v/>
      </c>
      <c r="F1677" s="24">
        <f>IF($D1677="","",IFERROR(VLOOKUP($D1677,物料档案!$A$4:$P$1203,4,0),"※编码不在物料档案里"))</f>
        <v/>
      </c>
      <c r="G1677" s="24">
        <f>IF($D1677="","",IFERROR(VLOOKUP($D1677,物料档案!$A$4:$P$1203,5,0),"※编码不在物料档案里"))</f>
        <v/>
      </c>
      <c r="H1677" s="24">
        <f>IF($D1677="","",IFERROR(VLOOKUP($D1677,物料档案!$A$4:$P$1203,2,0),"※编码不在物料档案里"))</f>
        <v/>
      </c>
      <c r="I1677" s="24">
        <f>IF($D1677="","",IFERROR(VLOOKUP($D1677,物料档案!$A$4:$P$1203,6,0),"※编码不在物料档案里"))</f>
        <v/>
      </c>
      <c r="J1677" s="23" t="n"/>
      <c r="K1677" s="17" t="n"/>
      <c r="L1677" s="17" t="n"/>
      <c r="M1677" s="17" t="n"/>
      <c r="N1677" s="17" t="n"/>
      <c r="O1677" s="26">
        <f>IF($D1677="","",IFERROR(VLOOKUP($D1677,物料档案!$A$4:$P$1203,10,0),0))</f>
        <v/>
      </c>
      <c r="P1677" s="32" t="n"/>
      <c r="Q1677" s="26">
        <f>IF($D1677="","",IF($K1677&lt;&gt;"对外销售",0,ROUND(N($J1677)*IF($P1677="",N($O1677),N($P1677)),0)))</f>
        <v/>
      </c>
      <c r="R1677" s="26">
        <f>IF($D1677="","",IFERROR(VLOOKUP($D1677,库存台账!$A$5:$Y$1204,11,0),0))</f>
        <v/>
      </c>
      <c r="S1677" s="26">
        <f>IF($D1677="","",ROUND(N($J1677)*N($R1677),0))</f>
        <v/>
      </c>
      <c r="T1677" s="26">
        <f>IF($D1677="","",IF($K1677&lt;&gt;"对外销售","",ROUND($Q1677-$S1677,0)))</f>
        <v/>
      </c>
      <c r="U1677" s="17" t="n"/>
      <c r="V1677" s="17" t="n"/>
      <c r="W1677" s="24">
        <f>IF($D1677="","",IF($E1677="※编码不在物料档案里","※物料编码不在档案里",IF(N($J1677)&lt;=0,"※出库数量要大于 0",IF($K1677="","※没填去向类型",IF($L1677="","※没填去向矿区",IF(AND($C1677&lt;&gt;"",$C1677&lt;=结账锁),"※日期早于已结账截止日，不能再录",IF(AND($K1677="自用消耗",COUNTIF({"一矿区";"二矿区"},$L1677)=0),"※自用消耗的去向只能是一矿区或二矿区",IF(AND($K1677="对外销售",COUNTIF({"三矿区";"六矿区"},$L1677)=0),"※对外销售的去向只能是三矿区或六矿区",IF(AND($K1677="对外销售",ROUND($Q1677,0)=0),"※外销却没有售价，请填实际售价",IF(AND($K1677="对外销售",$T1677&lt;&gt;"",$T1677&lt;0),"※这一笔外销是亏的，请核对售价",IF(IFERROR(VLOOKUP($D1677,库存台账!$A$5:$Y$1204,24,0),0)&lt;-0.001,"※这个物料账面已经变成负数了，查一下是不是漏记入库","")))))))))))</f>
        <v/>
      </c>
    </row>
    <row r="1678">
      <c r="A1678" s="24">
        <f>IF($D1678="","",COUNTA($D$4:$D1678))</f>
        <v/>
      </c>
      <c r="B1678" s="17" t="n"/>
      <c r="C1678" s="30" t="n"/>
      <c r="D1678" s="17" t="n"/>
      <c r="E1678" s="24">
        <f>IF($D1678="","",IFERROR(VLOOKUP($D1678,物料档案!$A$4:$P$1203,3,0),"※编码不在物料档案里"))</f>
        <v/>
      </c>
      <c r="F1678" s="24">
        <f>IF($D1678="","",IFERROR(VLOOKUP($D1678,物料档案!$A$4:$P$1203,4,0),"※编码不在物料档案里"))</f>
        <v/>
      </c>
      <c r="G1678" s="24">
        <f>IF($D1678="","",IFERROR(VLOOKUP($D1678,物料档案!$A$4:$P$1203,5,0),"※编码不在物料档案里"))</f>
        <v/>
      </c>
      <c r="H1678" s="24">
        <f>IF($D1678="","",IFERROR(VLOOKUP($D1678,物料档案!$A$4:$P$1203,2,0),"※编码不在物料档案里"))</f>
        <v/>
      </c>
      <c r="I1678" s="24">
        <f>IF($D1678="","",IFERROR(VLOOKUP($D1678,物料档案!$A$4:$P$1203,6,0),"※编码不在物料档案里"))</f>
        <v/>
      </c>
      <c r="J1678" s="23" t="n"/>
      <c r="K1678" s="17" t="n"/>
      <c r="L1678" s="17" t="n"/>
      <c r="M1678" s="17" t="n"/>
      <c r="N1678" s="17" t="n"/>
      <c r="O1678" s="26">
        <f>IF($D1678="","",IFERROR(VLOOKUP($D1678,物料档案!$A$4:$P$1203,10,0),0))</f>
        <v/>
      </c>
      <c r="P1678" s="32" t="n"/>
      <c r="Q1678" s="26">
        <f>IF($D1678="","",IF($K1678&lt;&gt;"对外销售",0,ROUND(N($J1678)*IF($P1678="",N($O1678),N($P1678)),0)))</f>
        <v/>
      </c>
      <c r="R1678" s="26">
        <f>IF($D1678="","",IFERROR(VLOOKUP($D1678,库存台账!$A$5:$Y$1204,11,0),0))</f>
        <v/>
      </c>
      <c r="S1678" s="26">
        <f>IF($D1678="","",ROUND(N($J1678)*N($R1678),0))</f>
        <v/>
      </c>
      <c r="T1678" s="26">
        <f>IF($D1678="","",IF($K1678&lt;&gt;"对外销售","",ROUND($Q1678-$S1678,0)))</f>
        <v/>
      </c>
      <c r="U1678" s="17" t="n"/>
      <c r="V1678" s="17" t="n"/>
      <c r="W1678" s="24">
        <f>IF($D1678="","",IF($E1678="※编码不在物料档案里","※物料编码不在档案里",IF(N($J1678)&lt;=0,"※出库数量要大于 0",IF($K1678="","※没填去向类型",IF($L1678="","※没填去向矿区",IF(AND($C1678&lt;&gt;"",$C1678&lt;=结账锁),"※日期早于已结账截止日，不能再录",IF(AND($K1678="自用消耗",COUNTIF({"一矿区";"二矿区"},$L1678)=0),"※自用消耗的去向只能是一矿区或二矿区",IF(AND($K1678="对外销售",COUNTIF({"三矿区";"六矿区"},$L1678)=0),"※对外销售的去向只能是三矿区或六矿区",IF(AND($K1678="对外销售",ROUND($Q1678,0)=0),"※外销却没有售价，请填实际售价",IF(AND($K1678="对外销售",$T1678&lt;&gt;"",$T1678&lt;0),"※这一笔外销是亏的，请核对售价",IF(IFERROR(VLOOKUP($D1678,库存台账!$A$5:$Y$1204,24,0),0)&lt;-0.001,"※这个物料账面已经变成负数了，查一下是不是漏记入库","")))))))))))</f>
        <v/>
      </c>
    </row>
    <row r="1679">
      <c r="A1679" s="24">
        <f>IF($D1679="","",COUNTA($D$4:$D1679))</f>
        <v/>
      </c>
      <c r="B1679" s="17" t="n"/>
      <c r="C1679" s="30" t="n"/>
      <c r="D1679" s="17" t="n"/>
      <c r="E1679" s="24">
        <f>IF($D1679="","",IFERROR(VLOOKUP($D1679,物料档案!$A$4:$P$1203,3,0),"※编码不在物料档案里"))</f>
        <v/>
      </c>
      <c r="F1679" s="24">
        <f>IF($D1679="","",IFERROR(VLOOKUP($D1679,物料档案!$A$4:$P$1203,4,0),"※编码不在物料档案里"))</f>
        <v/>
      </c>
      <c r="G1679" s="24">
        <f>IF($D1679="","",IFERROR(VLOOKUP($D1679,物料档案!$A$4:$P$1203,5,0),"※编码不在物料档案里"))</f>
        <v/>
      </c>
      <c r="H1679" s="24">
        <f>IF($D1679="","",IFERROR(VLOOKUP($D1679,物料档案!$A$4:$P$1203,2,0),"※编码不在物料档案里"))</f>
        <v/>
      </c>
      <c r="I1679" s="24">
        <f>IF($D1679="","",IFERROR(VLOOKUP($D1679,物料档案!$A$4:$P$1203,6,0),"※编码不在物料档案里"))</f>
        <v/>
      </c>
      <c r="J1679" s="23" t="n"/>
      <c r="K1679" s="17" t="n"/>
      <c r="L1679" s="17" t="n"/>
      <c r="M1679" s="17" t="n"/>
      <c r="N1679" s="17" t="n"/>
      <c r="O1679" s="26">
        <f>IF($D1679="","",IFERROR(VLOOKUP($D1679,物料档案!$A$4:$P$1203,10,0),0))</f>
        <v/>
      </c>
      <c r="P1679" s="32" t="n"/>
      <c r="Q1679" s="26">
        <f>IF($D1679="","",IF($K1679&lt;&gt;"对外销售",0,ROUND(N($J1679)*IF($P1679="",N($O1679),N($P1679)),0)))</f>
        <v/>
      </c>
      <c r="R1679" s="26">
        <f>IF($D1679="","",IFERROR(VLOOKUP($D1679,库存台账!$A$5:$Y$1204,11,0),0))</f>
        <v/>
      </c>
      <c r="S1679" s="26">
        <f>IF($D1679="","",ROUND(N($J1679)*N($R1679),0))</f>
        <v/>
      </c>
      <c r="T1679" s="26">
        <f>IF($D1679="","",IF($K1679&lt;&gt;"对外销售","",ROUND($Q1679-$S1679,0)))</f>
        <v/>
      </c>
      <c r="U1679" s="17" t="n"/>
      <c r="V1679" s="17" t="n"/>
      <c r="W1679" s="24">
        <f>IF($D1679="","",IF($E1679="※编码不在物料档案里","※物料编码不在档案里",IF(N($J1679)&lt;=0,"※出库数量要大于 0",IF($K1679="","※没填去向类型",IF($L1679="","※没填去向矿区",IF(AND($C1679&lt;&gt;"",$C1679&lt;=结账锁),"※日期早于已结账截止日，不能再录",IF(AND($K1679="自用消耗",COUNTIF({"一矿区";"二矿区"},$L1679)=0),"※自用消耗的去向只能是一矿区或二矿区",IF(AND($K1679="对外销售",COUNTIF({"三矿区";"六矿区"},$L1679)=0),"※对外销售的去向只能是三矿区或六矿区",IF(AND($K1679="对外销售",ROUND($Q1679,0)=0),"※外销却没有售价，请填实际售价",IF(AND($K1679="对外销售",$T1679&lt;&gt;"",$T1679&lt;0),"※这一笔外销是亏的，请核对售价",IF(IFERROR(VLOOKUP($D1679,库存台账!$A$5:$Y$1204,24,0),0)&lt;-0.001,"※这个物料账面已经变成负数了，查一下是不是漏记入库","")))))))))))</f>
        <v/>
      </c>
    </row>
    <row r="1680">
      <c r="A1680" s="24">
        <f>IF($D1680="","",COUNTA($D$4:$D1680))</f>
        <v/>
      </c>
      <c r="B1680" s="17" t="n"/>
      <c r="C1680" s="30" t="n"/>
      <c r="D1680" s="17" t="n"/>
      <c r="E1680" s="24">
        <f>IF($D1680="","",IFERROR(VLOOKUP($D1680,物料档案!$A$4:$P$1203,3,0),"※编码不在物料档案里"))</f>
        <v/>
      </c>
      <c r="F1680" s="24">
        <f>IF($D1680="","",IFERROR(VLOOKUP($D1680,物料档案!$A$4:$P$1203,4,0),"※编码不在物料档案里"))</f>
        <v/>
      </c>
      <c r="G1680" s="24">
        <f>IF($D1680="","",IFERROR(VLOOKUP($D1680,物料档案!$A$4:$P$1203,5,0),"※编码不在物料档案里"))</f>
        <v/>
      </c>
      <c r="H1680" s="24">
        <f>IF($D1680="","",IFERROR(VLOOKUP($D1680,物料档案!$A$4:$P$1203,2,0),"※编码不在物料档案里"))</f>
        <v/>
      </c>
      <c r="I1680" s="24">
        <f>IF($D1680="","",IFERROR(VLOOKUP($D1680,物料档案!$A$4:$P$1203,6,0),"※编码不在物料档案里"))</f>
        <v/>
      </c>
      <c r="J1680" s="23" t="n"/>
      <c r="K1680" s="17" t="n"/>
      <c r="L1680" s="17" t="n"/>
      <c r="M1680" s="17" t="n"/>
      <c r="N1680" s="17" t="n"/>
      <c r="O1680" s="26">
        <f>IF($D1680="","",IFERROR(VLOOKUP($D1680,物料档案!$A$4:$P$1203,10,0),0))</f>
        <v/>
      </c>
      <c r="P1680" s="32" t="n"/>
      <c r="Q1680" s="26">
        <f>IF($D1680="","",IF($K1680&lt;&gt;"对外销售",0,ROUND(N($J1680)*IF($P1680="",N($O1680),N($P1680)),0)))</f>
        <v/>
      </c>
      <c r="R1680" s="26">
        <f>IF($D1680="","",IFERROR(VLOOKUP($D1680,库存台账!$A$5:$Y$1204,11,0),0))</f>
        <v/>
      </c>
      <c r="S1680" s="26">
        <f>IF($D1680="","",ROUND(N($J1680)*N($R1680),0))</f>
        <v/>
      </c>
      <c r="T1680" s="26">
        <f>IF($D1680="","",IF($K1680&lt;&gt;"对外销售","",ROUND($Q1680-$S1680,0)))</f>
        <v/>
      </c>
      <c r="U1680" s="17" t="n"/>
      <c r="V1680" s="17" t="n"/>
      <c r="W1680" s="24">
        <f>IF($D1680="","",IF($E1680="※编码不在物料档案里","※物料编码不在档案里",IF(N($J1680)&lt;=0,"※出库数量要大于 0",IF($K1680="","※没填去向类型",IF($L1680="","※没填去向矿区",IF(AND($C1680&lt;&gt;"",$C1680&lt;=结账锁),"※日期早于已结账截止日，不能再录",IF(AND($K1680="自用消耗",COUNTIF({"一矿区";"二矿区"},$L1680)=0),"※自用消耗的去向只能是一矿区或二矿区",IF(AND($K1680="对外销售",COUNTIF({"三矿区";"六矿区"},$L1680)=0),"※对外销售的去向只能是三矿区或六矿区",IF(AND($K1680="对外销售",ROUND($Q1680,0)=0),"※外销却没有售价，请填实际售价",IF(AND($K1680="对外销售",$T1680&lt;&gt;"",$T1680&lt;0),"※这一笔外销是亏的，请核对售价",IF(IFERROR(VLOOKUP($D1680,库存台账!$A$5:$Y$1204,24,0),0)&lt;-0.001,"※这个物料账面已经变成负数了，查一下是不是漏记入库","")))))))))))</f>
        <v/>
      </c>
    </row>
    <row r="1681">
      <c r="A1681" s="24">
        <f>IF($D1681="","",COUNTA($D$4:$D1681))</f>
        <v/>
      </c>
      <c r="B1681" s="17" t="n"/>
      <c r="C1681" s="30" t="n"/>
      <c r="D1681" s="17" t="n"/>
      <c r="E1681" s="24">
        <f>IF($D1681="","",IFERROR(VLOOKUP($D1681,物料档案!$A$4:$P$1203,3,0),"※编码不在物料档案里"))</f>
        <v/>
      </c>
      <c r="F1681" s="24">
        <f>IF($D1681="","",IFERROR(VLOOKUP($D1681,物料档案!$A$4:$P$1203,4,0),"※编码不在物料档案里"))</f>
        <v/>
      </c>
      <c r="G1681" s="24">
        <f>IF($D1681="","",IFERROR(VLOOKUP($D1681,物料档案!$A$4:$P$1203,5,0),"※编码不在物料档案里"))</f>
        <v/>
      </c>
      <c r="H1681" s="24">
        <f>IF($D1681="","",IFERROR(VLOOKUP($D1681,物料档案!$A$4:$P$1203,2,0),"※编码不在物料档案里"))</f>
        <v/>
      </c>
      <c r="I1681" s="24">
        <f>IF($D1681="","",IFERROR(VLOOKUP($D1681,物料档案!$A$4:$P$1203,6,0),"※编码不在物料档案里"))</f>
        <v/>
      </c>
      <c r="J1681" s="23" t="n"/>
      <c r="K1681" s="17" t="n"/>
      <c r="L1681" s="17" t="n"/>
      <c r="M1681" s="17" t="n"/>
      <c r="N1681" s="17" t="n"/>
      <c r="O1681" s="26">
        <f>IF($D1681="","",IFERROR(VLOOKUP($D1681,物料档案!$A$4:$P$1203,10,0),0))</f>
        <v/>
      </c>
      <c r="P1681" s="32" t="n"/>
      <c r="Q1681" s="26">
        <f>IF($D1681="","",IF($K1681&lt;&gt;"对外销售",0,ROUND(N($J1681)*IF($P1681="",N($O1681),N($P1681)),0)))</f>
        <v/>
      </c>
      <c r="R1681" s="26">
        <f>IF($D1681="","",IFERROR(VLOOKUP($D1681,库存台账!$A$5:$Y$1204,11,0),0))</f>
        <v/>
      </c>
      <c r="S1681" s="26">
        <f>IF($D1681="","",ROUND(N($J1681)*N($R1681),0))</f>
        <v/>
      </c>
      <c r="T1681" s="26">
        <f>IF($D1681="","",IF($K1681&lt;&gt;"对外销售","",ROUND($Q1681-$S1681,0)))</f>
        <v/>
      </c>
      <c r="U1681" s="17" t="n"/>
      <c r="V1681" s="17" t="n"/>
      <c r="W1681" s="24">
        <f>IF($D1681="","",IF($E1681="※编码不在物料档案里","※物料编码不在档案里",IF(N($J1681)&lt;=0,"※出库数量要大于 0",IF($K1681="","※没填去向类型",IF($L1681="","※没填去向矿区",IF(AND($C1681&lt;&gt;"",$C1681&lt;=结账锁),"※日期早于已结账截止日，不能再录",IF(AND($K1681="自用消耗",COUNTIF({"一矿区";"二矿区"},$L1681)=0),"※自用消耗的去向只能是一矿区或二矿区",IF(AND($K1681="对外销售",COUNTIF({"三矿区";"六矿区"},$L1681)=0),"※对外销售的去向只能是三矿区或六矿区",IF(AND($K1681="对外销售",ROUND($Q1681,0)=0),"※外销却没有售价，请填实际售价",IF(AND($K1681="对外销售",$T1681&lt;&gt;"",$T1681&lt;0),"※这一笔外销是亏的，请核对售价",IF(IFERROR(VLOOKUP($D1681,库存台账!$A$5:$Y$1204,24,0),0)&lt;-0.001,"※这个物料账面已经变成负数了，查一下是不是漏记入库","")))))))))))</f>
        <v/>
      </c>
    </row>
    <row r="1682">
      <c r="A1682" s="24">
        <f>IF($D1682="","",COUNTA($D$4:$D1682))</f>
        <v/>
      </c>
      <c r="B1682" s="17" t="n"/>
      <c r="C1682" s="30" t="n"/>
      <c r="D1682" s="17" t="n"/>
      <c r="E1682" s="24">
        <f>IF($D1682="","",IFERROR(VLOOKUP($D1682,物料档案!$A$4:$P$1203,3,0),"※编码不在物料档案里"))</f>
        <v/>
      </c>
      <c r="F1682" s="24">
        <f>IF($D1682="","",IFERROR(VLOOKUP($D1682,物料档案!$A$4:$P$1203,4,0),"※编码不在物料档案里"))</f>
        <v/>
      </c>
      <c r="G1682" s="24">
        <f>IF($D1682="","",IFERROR(VLOOKUP($D1682,物料档案!$A$4:$P$1203,5,0),"※编码不在物料档案里"))</f>
        <v/>
      </c>
      <c r="H1682" s="24">
        <f>IF($D1682="","",IFERROR(VLOOKUP($D1682,物料档案!$A$4:$P$1203,2,0),"※编码不在物料档案里"))</f>
        <v/>
      </c>
      <c r="I1682" s="24">
        <f>IF($D1682="","",IFERROR(VLOOKUP($D1682,物料档案!$A$4:$P$1203,6,0),"※编码不在物料档案里"))</f>
        <v/>
      </c>
      <c r="J1682" s="23" t="n"/>
      <c r="K1682" s="17" t="n"/>
      <c r="L1682" s="17" t="n"/>
      <c r="M1682" s="17" t="n"/>
      <c r="N1682" s="17" t="n"/>
      <c r="O1682" s="26">
        <f>IF($D1682="","",IFERROR(VLOOKUP($D1682,物料档案!$A$4:$P$1203,10,0),0))</f>
        <v/>
      </c>
      <c r="P1682" s="32" t="n"/>
      <c r="Q1682" s="26">
        <f>IF($D1682="","",IF($K1682&lt;&gt;"对外销售",0,ROUND(N($J1682)*IF($P1682="",N($O1682),N($P1682)),0)))</f>
        <v/>
      </c>
      <c r="R1682" s="26">
        <f>IF($D1682="","",IFERROR(VLOOKUP($D1682,库存台账!$A$5:$Y$1204,11,0),0))</f>
        <v/>
      </c>
      <c r="S1682" s="26">
        <f>IF($D1682="","",ROUND(N($J1682)*N($R1682),0))</f>
        <v/>
      </c>
      <c r="T1682" s="26">
        <f>IF($D1682="","",IF($K1682&lt;&gt;"对外销售","",ROUND($Q1682-$S1682,0)))</f>
        <v/>
      </c>
      <c r="U1682" s="17" t="n"/>
      <c r="V1682" s="17" t="n"/>
      <c r="W1682" s="24">
        <f>IF($D1682="","",IF($E1682="※编码不在物料档案里","※物料编码不在档案里",IF(N($J1682)&lt;=0,"※出库数量要大于 0",IF($K1682="","※没填去向类型",IF($L1682="","※没填去向矿区",IF(AND($C1682&lt;&gt;"",$C1682&lt;=结账锁),"※日期早于已结账截止日，不能再录",IF(AND($K1682="自用消耗",COUNTIF({"一矿区";"二矿区"},$L1682)=0),"※自用消耗的去向只能是一矿区或二矿区",IF(AND($K1682="对外销售",COUNTIF({"三矿区";"六矿区"},$L1682)=0),"※对外销售的去向只能是三矿区或六矿区",IF(AND($K1682="对外销售",ROUND($Q1682,0)=0),"※外销却没有售价，请填实际售价",IF(AND($K1682="对外销售",$T1682&lt;&gt;"",$T1682&lt;0),"※这一笔外销是亏的，请核对售价",IF(IFERROR(VLOOKUP($D1682,库存台账!$A$5:$Y$1204,24,0),0)&lt;-0.001,"※这个物料账面已经变成负数了，查一下是不是漏记入库","")))))))))))</f>
        <v/>
      </c>
    </row>
    <row r="1683">
      <c r="A1683" s="24">
        <f>IF($D1683="","",COUNTA($D$4:$D1683))</f>
        <v/>
      </c>
      <c r="B1683" s="17" t="n"/>
      <c r="C1683" s="30" t="n"/>
      <c r="D1683" s="17" t="n"/>
      <c r="E1683" s="24">
        <f>IF($D1683="","",IFERROR(VLOOKUP($D1683,物料档案!$A$4:$P$1203,3,0),"※编码不在物料档案里"))</f>
        <v/>
      </c>
      <c r="F1683" s="24">
        <f>IF($D1683="","",IFERROR(VLOOKUP($D1683,物料档案!$A$4:$P$1203,4,0),"※编码不在物料档案里"))</f>
        <v/>
      </c>
      <c r="G1683" s="24">
        <f>IF($D1683="","",IFERROR(VLOOKUP($D1683,物料档案!$A$4:$P$1203,5,0),"※编码不在物料档案里"))</f>
        <v/>
      </c>
      <c r="H1683" s="24">
        <f>IF($D1683="","",IFERROR(VLOOKUP($D1683,物料档案!$A$4:$P$1203,2,0),"※编码不在物料档案里"))</f>
        <v/>
      </c>
      <c r="I1683" s="24">
        <f>IF($D1683="","",IFERROR(VLOOKUP($D1683,物料档案!$A$4:$P$1203,6,0),"※编码不在物料档案里"))</f>
        <v/>
      </c>
      <c r="J1683" s="23" t="n"/>
      <c r="K1683" s="17" t="n"/>
      <c r="L1683" s="17" t="n"/>
      <c r="M1683" s="17" t="n"/>
      <c r="N1683" s="17" t="n"/>
      <c r="O1683" s="26">
        <f>IF($D1683="","",IFERROR(VLOOKUP($D1683,物料档案!$A$4:$P$1203,10,0),0))</f>
        <v/>
      </c>
      <c r="P1683" s="32" t="n"/>
      <c r="Q1683" s="26">
        <f>IF($D1683="","",IF($K1683&lt;&gt;"对外销售",0,ROUND(N($J1683)*IF($P1683="",N($O1683),N($P1683)),0)))</f>
        <v/>
      </c>
      <c r="R1683" s="26">
        <f>IF($D1683="","",IFERROR(VLOOKUP($D1683,库存台账!$A$5:$Y$1204,11,0),0))</f>
        <v/>
      </c>
      <c r="S1683" s="26">
        <f>IF($D1683="","",ROUND(N($J1683)*N($R1683),0))</f>
        <v/>
      </c>
      <c r="T1683" s="26">
        <f>IF($D1683="","",IF($K1683&lt;&gt;"对外销售","",ROUND($Q1683-$S1683,0)))</f>
        <v/>
      </c>
      <c r="U1683" s="17" t="n"/>
      <c r="V1683" s="17" t="n"/>
      <c r="W1683" s="24">
        <f>IF($D1683="","",IF($E1683="※编码不在物料档案里","※物料编码不在档案里",IF(N($J1683)&lt;=0,"※出库数量要大于 0",IF($K1683="","※没填去向类型",IF($L1683="","※没填去向矿区",IF(AND($C1683&lt;&gt;"",$C1683&lt;=结账锁),"※日期早于已结账截止日，不能再录",IF(AND($K1683="自用消耗",COUNTIF({"一矿区";"二矿区"},$L1683)=0),"※自用消耗的去向只能是一矿区或二矿区",IF(AND($K1683="对外销售",COUNTIF({"三矿区";"六矿区"},$L1683)=0),"※对外销售的去向只能是三矿区或六矿区",IF(AND($K1683="对外销售",ROUND($Q1683,0)=0),"※外销却没有售价，请填实际售价",IF(AND($K1683="对外销售",$T1683&lt;&gt;"",$T1683&lt;0),"※这一笔外销是亏的，请核对售价",IF(IFERROR(VLOOKUP($D1683,库存台账!$A$5:$Y$1204,24,0),0)&lt;-0.001,"※这个物料账面已经变成负数了，查一下是不是漏记入库","")))))))))))</f>
        <v/>
      </c>
    </row>
    <row r="1684">
      <c r="A1684" s="24">
        <f>IF($D1684="","",COUNTA($D$4:$D1684))</f>
        <v/>
      </c>
      <c r="B1684" s="17" t="n"/>
      <c r="C1684" s="30" t="n"/>
      <c r="D1684" s="17" t="n"/>
      <c r="E1684" s="24">
        <f>IF($D1684="","",IFERROR(VLOOKUP($D1684,物料档案!$A$4:$P$1203,3,0),"※编码不在物料档案里"))</f>
        <v/>
      </c>
      <c r="F1684" s="24">
        <f>IF($D1684="","",IFERROR(VLOOKUP($D1684,物料档案!$A$4:$P$1203,4,0),"※编码不在物料档案里"))</f>
        <v/>
      </c>
      <c r="G1684" s="24">
        <f>IF($D1684="","",IFERROR(VLOOKUP($D1684,物料档案!$A$4:$P$1203,5,0),"※编码不在物料档案里"))</f>
        <v/>
      </c>
      <c r="H1684" s="24">
        <f>IF($D1684="","",IFERROR(VLOOKUP($D1684,物料档案!$A$4:$P$1203,2,0),"※编码不在物料档案里"))</f>
        <v/>
      </c>
      <c r="I1684" s="24">
        <f>IF($D1684="","",IFERROR(VLOOKUP($D1684,物料档案!$A$4:$P$1203,6,0),"※编码不在物料档案里"))</f>
        <v/>
      </c>
      <c r="J1684" s="23" t="n"/>
      <c r="K1684" s="17" t="n"/>
      <c r="L1684" s="17" t="n"/>
      <c r="M1684" s="17" t="n"/>
      <c r="N1684" s="17" t="n"/>
      <c r="O1684" s="26">
        <f>IF($D1684="","",IFERROR(VLOOKUP($D1684,物料档案!$A$4:$P$1203,10,0),0))</f>
        <v/>
      </c>
      <c r="P1684" s="32" t="n"/>
      <c r="Q1684" s="26">
        <f>IF($D1684="","",IF($K1684&lt;&gt;"对外销售",0,ROUND(N($J1684)*IF($P1684="",N($O1684),N($P1684)),0)))</f>
        <v/>
      </c>
      <c r="R1684" s="26">
        <f>IF($D1684="","",IFERROR(VLOOKUP($D1684,库存台账!$A$5:$Y$1204,11,0),0))</f>
        <v/>
      </c>
      <c r="S1684" s="26">
        <f>IF($D1684="","",ROUND(N($J1684)*N($R1684),0))</f>
        <v/>
      </c>
      <c r="T1684" s="26">
        <f>IF($D1684="","",IF($K1684&lt;&gt;"对外销售","",ROUND($Q1684-$S1684,0)))</f>
        <v/>
      </c>
      <c r="U1684" s="17" t="n"/>
      <c r="V1684" s="17" t="n"/>
      <c r="W1684" s="24">
        <f>IF($D1684="","",IF($E1684="※编码不在物料档案里","※物料编码不在档案里",IF(N($J1684)&lt;=0,"※出库数量要大于 0",IF($K1684="","※没填去向类型",IF($L1684="","※没填去向矿区",IF(AND($C1684&lt;&gt;"",$C1684&lt;=结账锁),"※日期早于已结账截止日，不能再录",IF(AND($K1684="自用消耗",COUNTIF({"一矿区";"二矿区"},$L1684)=0),"※自用消耗的去向只能是一矿区或二矿区",IF(AND($K1684="对外销售",COUNTIF({"三矿区";"六矿区"},$L1684)=0),"※对外销售的去向只能是三矿区或六矿区",IF(AND($K1684="对外销售",ROUND($Q1684,0)=0),"※外销却没有售价，请填实际售价",IF(AND($K1684="对外销售",$T1684&lt;&gt;"",$T1684&lt;0),"※这一笔外销是亏的，请核对售价",IF(IFERROR(VLOOKUP($D1684,库存台账!$A$5:$Y$1204,24,0),0)&lt;-0.001,"※这个物料账面已经变成负数了，查一下是不是漏记入库","")))))))))))</f>
        <v/>
      </c>
    </row>
    <row r="1685">
      <c r="A1685" s="24">
        <f>IF($D1685="","",COUNTA($D$4:$D1685))</f>
        <v/>
      </c>
      <c r="B1685" s="17" t="n"/>
      <c r="C1685" s="30" t="n"/>
      <c r="D1685" s="17" t="n"/>
      <c r="E1685" s="24">
        <f>IF($D1685="","",IFERROR(VLOOKUP($D1685,物料档案!$A$4:$P$1203,3,0),"※编码不在物料档案里"))</f>
        <v/>
      </c>
      <c r="F1685" s="24">
        <f>IF($D1685="","",IFERROR(VLOOKUP($D1685,物料档案!$A$4:$P$1203,4,0),"※编码不在物料档案里"))</f>
        <v/>
      </c>
      <c r="G1685" s="24">
        <f>IF($D1685="","",IFERROR(VLOOKUP($D1685,物料档案!$A$4:$P$1203,5,0),"※编码不在物料档案里"))</f>
        <v/>
      </c>
      <c r="H1685" s="24">
        <f>IF($D1685="","",IFERROR(VLOOKUP($D1685,物料档案!$A$4:$P$1203,2,0),"※编码不在物料档案里"))</f>
        <v/>
      </c>
      <c r="I1685" s="24">
        <f>IF($D1685="","",IFERROR(VLOOKUP($D1685,物料档案!$A$4:$P$1203,6,0),"※编码不在物料档案里"))</f>
        <v/>
      </c>
      <c r="J1685" s="23" t="n"/>
      <c r="K1685" s="17" t="n"/>
      <c r="L1685" s="17" t="n"/>
      <c r="M1685" s="17" t="n"/>
      <c r="N1685" s="17" t="n"/>
      <c r="O1685" s="26">
        <f>IF($D1685="","",IFERROR(VLOOKUP($D1685,物料档案!$A$4:$P$1203,10,0),0))</f>
        <v/>
      </c>
      <c r="P1685" s="32" t="n"/>
      <c r="Q1685" s="26">
        <f>IF($D1685="","",IF($K1685&lt;&gt;"对外销售",0,ROUND(N($J1685)*IF($P1685="",N($O1685),N($P1685)),0)))</f>
        <v/>
      </c>
      <c r="R1685" s="26">
        <f>IF($D1685="","",IFERROR(VLOOKUP($D1685,库存台账!$A$5:$Y$1204,11,0),0))</f>
        <v/>
      </c>
      <c r="S1685" s="26">
        <f>IF($D1685="","",ROUND(N($J1685)*N($R1685),0))</f>
        <v/>
      </c>
      <c r="T1685" s="26">
        <f>IF($D1685="","",IF($K1685&lt;&gt;"对外销售","",ROUND($Q1685-$S1685,0)))</f>
        <v/>
      </c>
      <c r="U1685" s="17" t="n"/>
      <c r="V1685" s="17" t="n"/>
      <c r="W1685" s="24">
        <f>IF($D1685="","",IF($E1685="※编码不在物料档案里","※物料编码不在档案里",IF(N($J1685)&lt;=0,"※出库数量要大于 0",IF($K1685="","※没填去向类型",IF($L1685="","※没填去向矿区",IF(AND($C1685&lt;&gt;"",$C1685&lt;=结账锁),"※日期早于已结账截止日，不能再录",IF(AND($K1685="自用消耗",COUNTIF({"一矿区";"二矿区"},$L1685)=0),"※自用消耗的去向只能是一矿区或二矿区",IF(AND($K1685="对外销售",COUNTIF({"三矿区";"六矿区"},$L1685)=0),"※对外销售的去向只能是三矿区或六矿区",IF(AND($K1685="对外销售",ROUND($Q1685,0)=0),"※外销却没有售价，请填实际售价",IF(AND($K1685="对外销售",$T1685&lt;&gt;"",$T1685&lt;0),"※这一笔外销是亏的，请核对售价",IF(IFERROR(VLOOKUP($D1685,库存台账!$A$5:$Y$1204,24,0),0)&lt;-0.001,"※这个物料账面已经变成负数了，查一下是不是漏记入库","")))))))))))</f>
        <v/>
      </c>
    </row>
    <row r="1686">
      <c r="A1686" s="24">
        <f>IF($D1686="","",COUNTA($D$4:$D1686))</f>
        <v/>
      </c>
      <c r="B1686" s="17" t="n"/>
      <c r="C1686" s="30" t="n"/>
      <c r="D1686" s="17" t="n"/>
      <c r="E1686" s="24">
        <f>IF($D1686="","",IFERROR(VLOOKUP($D1686,物料档案!$A$4:$P$1203,3,0),"※编码不在物料档案里"))</f>
        <v/>
      </c>
      <c r="F1686" s="24">
        <f>IF($D1686="","",IFERROR(VLOOKUP($D1686,物料档案!$A$4:$P$1203,4,0),"※编码不在物料档案里"))</f>
        <v/>
      </c>
      <c r="G1686" s="24">
        <f>IF($D1686="","",IFERROR(VLOOKUP($D1686,物料档案!$A$4:$P$1203,5,0),"※编码不在物料档案里"))</f>
        <v/>
      </c>
      <c r="H1686" s="24">
        <f>IF($D1686="","",IFERROR(VLOOKUP($D1686,物料档案!$A$4:$P$1203,2,0),"※编码不在物料档案里"))</f>
        <v/>
      </c>
      <c r="I1686" s="24">
        <f>IF($D1686="","",IFERROR(VLOOKUP($D1686,物料档案!$A$4:$P$1203,6,0),"※编码不在物料档案里"))</f>
        <v/>
      </c>
      <c r="J1686" s="23" t="n"/>
      <c r="K1686" s="17" t="n"/>
      <c r="L1686" s="17" t="n"/>
      <c r="M1686" s="17" t="n"/>
      <c r="N1686" s="17" t="n"/>
      <c r="O1686" s="26">
        <f>IF($D1686="","",IFERROR(VLOOKUP($D1686,物料档案!$A$4:$P$1203,10,0),0))</f>
        <v/>
      </c>
      <c r="P1686" s="32" t="n"/>
      <c r="Q1686" s="26">
        <f>IF($D1686="","",IF($K1686&lt;&gt;"对外销售",0,ROUND(N($J1686)*IF($P1686="",N($O1686),N($P1686)),0)))</f>
        <v/>
      </c>
      <c r="R1686" s="26">
        <f>IF($D1686="","",IFERROR(VLOOKUP($D1686,库存台账!$A$5:$Y$1204,11,0),0))</f>
        <v/>
      </c>
      <c r="S1686" s="26">
        <f>IF($D1686="","",ROUND(N($J1686)*N($R1686),0))</f>
        <v/>
      </c>
      <c r="T1686" s="26">
        <f>IF($D1686="","",IF($K1686&lt;&gt;"对外销售","",ROUND($Q1686-$S1686,0)))</f>
        <v/>
      </c>
      <c r="U1686" s="17" t="n"/>
      <c r="V1686" s="17" t="n"/>
      <c r="W1686" s="24">
        <f>IF($D1686="","",IF($E1686="※编码不在物料档案里","※物料编码不在档案里",IF(N($J1686)&lt;=0,"※出库数量要大于 0",IF($K1686="","※没填去向类型",IF($L1686="","※没填去向矿区",IF(AND($C1686&lt;&gt;"",$C1686&lt;=结账锁),"※日期早于已结账截止日，不能再录",IF(AND($K1686="自用消耗",COUNTIF({"一矿区";"二矿区"},$L1686)=0),"※自用消耗的去向只能是一矿区或二矿区",IF(AND($K1686="对外销售",COUNTIF({"三矿区";"六矿区"},$L1686)=0),"※对外销售的去向只能是三矿区或六矿区",IF(AND($K1686="对外销售",ROUND($Q1686,0)=0),"※外销却没有售价，请填实际售价",IF(AND($K1686="对外销售",$T1686&lt;&gt;"",$T1686&lt;0),"※这一笔外销是亏的，请核对售价",IF(IFERROR(VLOOKUP($D1686,库存台账!$A$5:$Y$1204,24,0),0)&lt;-0.001,"※这个物料账面已经变成负数了，查一下是不是漏记入库","")))))))))))</f>
        <v/>
      </c>
    </row>
    <row r="1687">
      <c r="A1687" s="24">
        <f>IF($D1687="","",COUNTA($D$4:$D1687))</f>
        <v/>
      </c>
      <c r="B1687" s="17" t="n"/>
      <c r="C1687" s="30" t="n"/>
      <c r="D1687" s="17" t="n"/>
      <c r="E1687" s="24">
        <f>IF($D1687="","",IFERROR(VLOOKUP($D1687,物料档案!$A$4:$P$1203,3,0),"※编码不在物料档案里"))</f>
        <v/>
      </c>
      <c r="F1687" s="24">
        <f>IF($D1687="","",IFERROR(VLOOKUP($D1687,物料档案!$A$4:$P$1203,4,0),"※编码不在物料档案里"))</f>
        <v/>
      </c>
      <c r="G1687" s="24">
        <f>IF($D1687="","",IFERROR(VLOOKUP($D1687,物料档案!$A$4:$P$1203,5,0),"※编码不在物料档案里"))</f>
        <v/>
      </c>
      <c r="H1687" s="24">
        <f>IF($D1687="","",IFERROR(VLOOKUP($D1687,物料档案!$A$4:$P$1203,2,0),"※编码不在物料档案里"))</f>
        <v/>
      </c>
      <c r="I1687" s="24">
        <f>IF($D1687="","",IFERROR(VLOOKUP($D1687,物料档案!$A$4:$P$1203,6,0),"※编码不在物料档案里"))</f>
        <v/>
      </c>
      <c r="J1687" s="23" t="n"/>
      <c r="K1687" s="17" t="n"/>
      <c r="L1687" s="17" t="n"/>
      <c r="M1687" s="17" t="n"/>
      <c r="N1687" s="17" t="n"/>
      <c r="O1687" s="26">
        <f>IF($D1687="","",IFERROR(VLOOKUP($D1687,物料档案!$A$4:$P$1203,10,0),0))</f>
        <v/>
      </c>
      <c r="P1687" s="32" t="n"/>
      <c r="Q1687" s="26">
        <f>IF($D1687="","",IF($K1687&lt;&gt;"对外销售",0,ROUND(N($J1687)*IF($P1687="",N($O1687),N($P1687)),0)))</f>
        <v/>
      </c>
      <c r="R1687" s="26">
        <f>IF($D1687="","",IFERROR(VLOOKUP($D1687,库存台账!$A$5:$Y$1204,11,0),0))</f>
        <v/>
      </c>
      <c r="S1687" s="26">
        <f>IF($D1687="","",ROUND(N($J1687)*N($R1687),0))</f>
        <v/>
      </c>
      <c r="T1687" s="26">
        <f>IF($D1687="","",IF($K1687&lt;&gt;"对外销售","",ROUND($Q1687-$S1687,0)))</f>
        <v/>
      </c>
      <c r="U1687" s="17" t="n"/>
      <c r="V1687" s="17" t="n"/>
      <c r="W1687" s="24">
        <f>IF($D1687="","",IF($E1687="※编码不在物料档案里","※物料编码不在档案里",IF(N($J1687)&lt;=0,"※出库数量要大于 0",IF($K1687="","※没填去向类型",IF($L1687="","※没填去向矿区",IF(AND($C1687&lt;&gt;"",$C1687&lt;=结账锁),"※日期早于已结账截止日，不能再录",IF(AND($K1687="自用消耗",COUNTIF({"一矿区";"二矿区"},$L1687)=0),"※自用消耗的去向只能是一矿区或二矿区",IF(AND($K1687="对外销售",COUNTIF({"三矿区";"六矿区"},$L1687)=0),"※对外销售的去向只能是三矿区或六矿区",IF(AND($K1687="对外销售",ROUND($Q1687,0)=0),"※外销却没有售价，请填实际售价",IF(AND($K1687="对外销售",$T1687&lt;&gt;"",$T1687&lt;0),"※这一笔外销是亏的，请核对售价",IF(IFERROR(VLOOKUP($D1687,库存台账!$A$5:$Y$1204,24,0),0)&lt;-0.001,"※这个物料账面已经变成负数了，查一下是不是漏记入库","")))))))))))</f>
        <v/>
      </c>
    </row>
    <row r="1688">
      <c r="A1688" s="24">
        <f>IF($D1688="","",COUNTA($D$4:$D1688))</f>
        <v/>
      </c>
      <c r="B1688" s="17" t="n"/>
      <c r="C1688" s="30" t="n"/>
      <c r="D1688" s="17" t="n"/>
      <c r="E1688" s="24">
        <f>IF($D1688="","",IFERROR(VLOOKUP($D1688,物料档案!$A$4:$P$1203,3,0),"※编码不在物料档案里"))</f>
        <v/>
      </c>
      <c r="F1688" s="24">
        <f>IF($D1688="","",IFERROR(VLOOKUP($D1688,物料档案!$A$4:$P$1203,4,0),"※编码不在物料档案里"))</f>
        <v/>
      </c>
      <c r="G1688" s="24">
        <f>IF($D1688="","",IFERROR(VLOOKUP($D1688,物料档案!$A$4:$P$1203,5,0),"※编码不在物料档案里"))</f>
        <v/>
      </c>
      <c r="H1688" s="24">
        <f>IF($D1688="","",IFERROR(VLOOKUP($D1688,物料档案!$A$4:$P$1203,2,0),"※编码不在物料档案里"))</f>
        <v/>
      </c>
      <c r="I1688" s="24">
        <f>IF($D1688="","",IFERROR(VLOOKUP($D1688,物料档案!$A$4:$P$1203,6,0),"※编码不在物料档案里"))</f>
        <v/>
      </c>
      <c r="J1688" s="23" t="n"/>
      <c r="K1688" s="17" t="n"/>
      <c r="L1688" s="17" t="n"/>
      <c r="M1688" s="17" t="n"/>
      <c r="N1688" s="17" t="n"/>
      <c r="O1688" s="26">
        <f>IF($D1688="","",IFERROR(VLOOKUP($D1688,物料档案!$A$4:$P$1203,10,0),0))</f>
        <v/>
      </c>
      <c r="P1688" s="32" t="n"/>
      <c r="Q1688" s="26">
        <f>IF($D1688="","",IF($K1688&lt;&gt;"对外销售",0,ROUND(N($J1688)*IF($P1688="",N($O1688),N($P1688)),0)))</f>
        <v/>
      </c>
      <c r="R1688" s="26">
        <f>IF($D1688="","",IFERROR(VLOOKUP($D1688,库存台账!$A$5:$Y$1204,11,0),0))</f>
        <v/>
      </c>
      <c r="S1688" s="26">
        <f>IF($D1688="","",ROUND(N($J1688)*N($R1688),0))</f>
        <v/>
      </c>
      <c r="T1688" s="26">
        <f>IF($D1688="","",IF($K1688&lt;&gt;"对外销售","",ROUND($Q1688-$S1688,0)))</f>
        <v/>
      </c>
      <c r="U1688" s="17" t="n"/>
      <c r="V1688" s="17" t="n"/>
      <c r="W1688" s="24">
        <f>IF($D1688="","",IF($E1688="※编码不在物料档案里","※物料编码不在档案里",IF(N($J1688)&lt;=0,"※出库数量要大于 0",IF($K1688="","※没填去向类型",IF($L1688="","※没填去向矿区",IF(AND($C1688&lt;&gt;"",$C1688&lt;=结账锁),"※日期早于已结账截止日，不能再录",IF(AND($K1688="自用消耗",COUNTIF({"一矿区";"二矿区"},$L1688)=0),"※自用消耗的去向只能是一矿区或二矿区",IF(AND($K1688="对外销售",COUNTIF({"三矿区";"六矿区"},$L1688)=0),"※对外销售的去向只能是三矿区或六矿区",IF(AND($K1688="对外销售",ROUND($Q1688,0)=0),"※外销却没有售价，请填实际售价",IF(AND($K1688="对外销售",$T1688&lt;&gt;"",$T1688&lt;0),"※这一笔外销是亏的，请核对售价",IF(IFERROR(VLOOKUP($D1688,库存台账!$A$5:$Y$1204,24,0),0)&lt;-0.001,"※这个物料账面已经变成负数了，查一下是不是漏记入库","")))))))))))</f>
        <v/>
      </c>
    </row>
    <row r="1689">
      <c r="A1689" s="24">
        <f>IF($D1689="","",COUNTA($D$4:$D1689))</f>
        <v/>
      </c>
      <c r="B1689" s="17" t="n"/>
      <c r="C1689" s="30" t="n"/>
      <c r="D1689" s="17" t="n"/>
      <c r="E1689" s="24">
        <f>IF($D1689="","",IFERROR(VLOOKUP($D1689,物料档案!$A$4:$P$1203,3,0),"※编码不在物料档案里"))</f>
        <v/>
      </c>
      <c r="F1689" s="24">
        <f>IF($D1689="","",IFERROR(VLOOKUP($D1689,物料档案!$A$4:$P$1203,4,0),"※编码不在物料档案里"))</f>
        <v/>
      </c>
      <c r="G1689" s="24">
        <f>IF($D1689="","",IFERROR(VLOOKUP($D1689,物料档案!$A$4:$P$1203,5,0),"※编码不在物料档案里"))</f>
        <v/>
      </c>
      <c r="H1689" s="24">
        <f>IF($D1689="","",IFERROR(VLOOKUP($D1689,物料档案!$A$4:$P$1203,2,0),"※编码不在物料档案里"))</f>
        <v/>
      </c>
      <c r="I1689" s="24">
        <f>IF($D1689="","",IFERROR(VLOOKUP($D1689,物料档案!$A$4:$P$1203,6,0),"※编码不在物料档案里"))</f>
        <v/>
      </c>
      <c r="J1689" s="23" t="n"/>
      <c r="K1689" s="17" t="n"/>
      <c r="L1689" s="17" t="n"/>
      <c r="M1689" s="17" t="n"/>
      <c r="N1689" s="17" t="n"/>
      <c r="O1689" s="26">
        <f>IF($D1689="","",IFERROR(VLOOKUP($D1689,物料档案!$A$4:$P$1203,10,0),0))</f>
        <v/>
      </c>
      <c r="P1689" s="32" t="n"/>
      <c r="Q1689" s="26">
        <f>IF($D1689="","",IF($K1689&lt;&gt;"对外销售",0,ROUND(N($J1689)*IF($P1689="",N($O1689),N($P1689)),0)))</f>
        <v/>
      </c>
      <c r="R1689" s="26">
        <f>IF($D1689="","",IFERROR(VLOOKUP($D1689,库存台账!$A$5:$Y$1204,11,0),0))</f>
        <v/>
      </c>
      <c r="S1689" s="26">
        <f>IF($D1689="","",ROUND(N($J1689)*N($R1689),0))</f>
        <v/>
      </c>
      <c r="T1689" s="26">
        <f>IF($D1689="","",IF($K1689&lt;&gt;"对外销售","",ROUND($Q1689-$S1689,0)))</f>
        <v/>
      </c>
      <c r="U1689" s="17" t="n"/>
      <c r="V1689" s="17" t="n"/>
      <c r="W1689" s="24">
        <f>IF($D1689="","",IF($E1689="※编码不在物料档案里","※物料编码不在档案里",IF(N($J1689)&lt;=0,"※出库数量要大于 0",IF($K1689="","※没填去向类型",IF($L1689="","※没填去向矿区",IF(AND($C1689&lt;&gt;"",$C1689&lt;=结账锁),"※日期早于已结账截止日，不能再录",IF(AND($K1689="自用消耗",COUNTIF({"一矿区";"二矿区"},$L1689)=0),"※自用消耗的去向只能是一矿区或二矿区",IF(AND($K1689="对外销售",COUNTIF({"三矿区";"六矿区"},$L1689)=0),"※对外销售的去向只能是三矿区或六矿区",IF(AND($K1689="对外销售",ROUND($Q1689,0)=0),"※外销却没有售价，请填实际售价",IF(AND($K1689="对外销售",$T1689&lt;&gt;"",$T1689&lt;0),"※这一笔外销是亏的，请核对售价",IF(IFERROR(VLOOKUP($D1689,库存台账!$A$5:$Y$1204,24,0),0)&lt;-0.001,"※这个物料账面已经变成负数了，查一下是不是漏记入库","")))))))))))</f>
        <v/>
      </c>
    </row>
    <row r="1690">
      <c r="A1690" s="24">
        <f>IF($D1690="","",COUNTA($D$4:$D1690))</f>
        <v/>
      </c>
      <c r="B1690" s="17" t="n"/>
      <c r="C1690" s="30" t="n"/>
      <c r="D1690" s="17" t="n"/>
      <c r="E1690" s="24">
        <f>IF($D1690="","",IFERROR(VLOOKUP($D1690,物料档案!$A$4:$P$1203,3,0),"※编码不在物料档案里"))</f>
        <v/>
      </c>
      <c r="F1690" s="24">
        <f>IF($D1690="","",IFERROR(VLOOKUP($D1690,物料档案!$A$4:$P$1203,4,0),"※编码不在物料档案里"))</f>
        <v/>
      </c>
      <c r="G1690" s="24">
        <f>IF($D1690="","",IFERROR(VLOOKUP($D1690,物料档案!$A$4:$P$1203,5,0),"※编码不在物料档案里"))</f>
        <v/>
      </c>
      <c r="H1690" s="24">
        <f>IF($D1690="","",IFERROR(VLOOKUP($D1690,物料档案!$A$4:$P$1203,2,0),"※编码不在物料档案里"))</f>
        <v/>
      </c>
      <c r="I1690" s="24">
        <f>IF($D1690="","",IFERROR(VLOOKUP($D1690,物料档案!$A$4:$P$1203,6,0),"※编码不在物料档案里"))</f>
        <v/>
      </c>
      <c r="J1690" s="23" t="n"/>
      <c r="K1690" s="17" t="n"/>
      <c r="L1690" s="17" t="n"/>
      <c r="M1690" s="17" t="n"/>
      <c r="N1690" s="17" t="n"/>
      <c r="O1690" s="26">
        <f>IF($D1690="","",IFERROR(VLOOKUP($D1690,物料档案!$A$4:$P$1203,10,0),0))</f>
        <v/>
      </c>
      <c r="P1690" s="32" t="n"/>
      <c r="Q1690" s="26">
        <f>IF($D1690="","",IF($K1690&lt;&gt;"对外销售",0,ROUND(N($J1690)*IF($P1690="",N($O1690),N($P1690)),0)))</f>
        <v/>
      </c>
      <c r="R1690" s="26">
        <f>IF($D1690="","",IFERROR(VLOOKUP($D1690,库存台账!$A$5:$Y$1204,11,0),0))</f>
        <v/>
      </c>
      <c r="S1690" s="26">
        <f>IF($D1690="","",ROUND(N($J1690)*N($R1690),0))</f>
        <v/>
      </c>
      <c r="T1690" s="26">
        <f>IF($D1690="","",IF($K1690&lt;&gt;"对外销售","",ROUND($Q1690-$S1690,0)))</f>
        <v/>
      </c>
      <c r="U1690" s="17" t="n"/>
      <c r="V1690" s="17" t="n"/>
      <c r="W1690" s="24">
        <f>IF($D1690="","",IF($E1690="※编码不在物料档案里","※物料编码不在档案里",IF(N($J1690)&lt;=0,"※出库数量要大于 0",IF($K1690="","※没填去向类型",IF($L1690="","※没填去向矿区",IF(AND($C1690&lt;&gt;"",$C1690&lt;=结账锁),"※日期早于已结账截止日，不能再录",IF(AND($K1690="自用消耗",COUNTIF({"一矿区";"二矿区"},$L1690)=0),"※自用消耗的去向只能是一矿区或二矿区",IF(AND($K1690="对外销售",COUNTIF({"三矿区";"六矿区"},$L1690)=0),"※对外销售的去向只能是三矿区或六矿区",IF(AND($K1690="对外销售",ROUND($Q1690,0)=0),"※外销却没有售价，请填实际售价",IF(AND($K1690="对外销售",$T1690&lt;&gt;"",$T1690&lt;0),"※这一笔外销是亏的，请核对售价",IF(IFERROR(VLOOKUP($D1690,库存台账!$A$5:$Y$1204,24,0),0)&lt;-0.001,"※这个物料账面已经变成负数了，查一下是不是漏记入库","")))))))))))</f>
        <v/>
      </c>
    </row>
    <row r="1691">
      <c r="A1691" s="24">
        <f>IF($D1691="","",COUNTA($D$4:$D1691))</f>
        <v/>
      </c>
      <c r="B1691" s="17" t="n"/>
      <c r="C1691" s="30" t="n"/>
      <c r="D1691" s="17" t="n"/>
      <c r="E1691" s="24">
        <f>IF($D1691="","",IFERROR(VLOOKUP($D1691,物料档案!$A$4:$P$1203,3,0),"※编码不在物料档案里"))</f>
        <v/>
      </c>
      <c r="F1691" s="24">
        <f>IF($D1691="","",IFERROR(VLOOKUP($D1691,物料档案!$A$4:$P$1203,4,0),"※编码不在物料档案里"))</f>
        <v/>
      </c>
      <c r="G1691" s="24">
        <f>IF($D1691="","",IFERROR(VLOOKUP($D1691,物料档案!$A$4:$P$1203,5,0),"※编码不在物料档案里"))</f>
        <v/>
      </c>
      <c r="H1691" s="24">
        <f>IF($D1691="","",IFERROR(VLOOKUP($D1691,物料档案!$A$4:$P$1203,2,0),"※编码不在物料档案里"))</f>
        <v/>
      </c>
      <c r="I1691" s="24">
        <f>IF($D1691="","",IFERROR(VLOOKUP($D1691,物料档案!$A$4:$P$1203,6,0),"※编码不在物料档案里"))</f>
        <v/>
      </c>
      <c r="J1691" s="23" t="n"/>
      <c r="K1691" s="17" t="n"/>
      <c r="L1691" s="17" t="n"/>
      <c r="M1691" s="17" t="n"/>
      <c r="N1691" s="17" t="n"/>
      <c r="O1691" s="26">
        <f>IF($D1691="","",IFERROR(VLOOKUP($D1691,物料档案!$A$4:$P$1203,10,0),0))</f>
        <v/>
      </c>
      <c r="P1691" s="32" t="n"/>
      <c r="Q1691" s="26">
        <f>IF($D1691="","",IF($K1691&lt;&gt;"对外销售",0,ROUND(N($J1691)*IF($P1691="",N($O1691),N($P1691)),0)))</f>
        <v/>
      </c>
      <c r="R1691" s="26">
        <f>IF($D1691="","",IFERROR(VLOOKUP($D1691,库存台账!$A$5:$Y$1204,11,0),0))</f>
        <v/>
      </c>
      <c r="S1691" s="26">
        <f>IF($D1691="","",ROUND(N($J1691)*N($R1691),0))</f>
        <v/>
      </c>
      <c r="T1691" s="26">
        <f>IF($D1691="","",IF($K1691&lt;&gt;"对外销售","",ROUND($Q1691-$S1691,0)))</f>
        <v/>
      </c>
      <c r="U1691" s="17" t="n"/>
      <c r="V1691" s="17" t="n"/>
      <c r="W1691" s="24">
        <f>IF($D1691="","",IF($E1691="※编码不在物料档案里","※物料编码不在档案里",IF(N($J1691)&lt;=0,"※出库数量要大于 0",IF($K1691="","※没填去向类型",IF($L1691="","※没填去向矿区",IF(AND($C1691&lt;&gt;"",$C1691&lt;=结账锁),"※日期早于已结账截止日，不能再录",IF(AND($K1691="自用消耗",COUNTIF({"一矿区";"二矿区"},$L1691)=0),"※自用消耗的去向只能是一矿区或二矿区",IF(AND($K1691="对外销售",COUNTIF({"三矿区";"六矿区"},$L1691)=0),"※对外销售的去向只能是三矿区或六矿区",IF(AND($K1691="对外销售",ROUND($Q1691,0)=0),"※外销却没有售价，请填实际售价",IF(AND($K1691="对外销售",$T1691&lt;&gt;"",$T1691&lt;0),"※这一笔外销是亏的，请核对售价",IF(IFERROR(VLOOKUP($D1691,库存台账!$A$5:$Y$1204,24,0),0)&lt;-0.001,"※这个物料账面已经变成负数了，查一下是不是漏记入库","")))))))))))</f>
        <v/>
      </c>
    </row>
    <row r="1692">
      <c r="A1692" s="24">
        <f>IF($D1692="","",COUNTA($D$4:$D1692))</f>
        <v/>
      </c>
      <c r="B1692" s="17" t="n"/>
      <c r="C1692" s="30" t="n"/>
      <c r="D1692" s="17" t="n"/>
      <c r="E1692" s="24">
        <f>IF($D1692="","",IFERROR(VLOOKUP($D1692,物料档案!$A$4:$P$1203,3,0),"※编码不在物料档案里"))</f>
        <v/>
      </c>
      <c r="F1692" s="24">
        <f>IF($D1692="","",IFERROR(VLOOKUP($D1692,物料档案!$A$4:$P$1203,4,0),"※编码不在物料档案里"))</f>
        <v/>
      </c>
      <c r="G1692" s="24">
        <f>IF($D1692="","",IFERROR(VLOOKUP($D1692,物料档案!$A$4:$P$1203,5,0),"※编码不在物料档案里"))</f>
        <v/>
      </c>
      <c r="H1692" s="24">
        <f>IF($D1692="","",IFERROR(VLOOKUP($D1692,物料档案!$A$4:$P$1203,2,0),"※编码不在物料档案里"))</f>
        <v/>
      </c>
      <c r="I1692" s="24">
        <f>IF($D1692="","",IFERROR(VLOOKUP($D1692,物料档案!$A$4:$P$1203,6,0),"※编码不在物料档案里"))</f>
        <v/>
      </c>
      <c r="J1692" s="23" t="n"/>
      <c r="K1692" s="17" t="n"/>
      <c r="L1692" s="17" t="n"/>
      <c r="M1692" s="17" t="n"/>
      <c r="N1692" s="17" t="n"/>
      <c r="O1692" s="26">
        <f>IF($D1692="","",IFERROR(VLOOKUP($D1692,物料档案!$A$4:$P$1203,10,0),0))</f>
        <v/>
      </c>
      <c r="P1692" s="32" t="n"/>
      <c r="Q1692" s="26">
        <f>IF($D1692="","",IF($K1692&lt;&gt;"对外销售",0,ROUND(N($J1692)*IF($P1692="",N($O1692),N($P1692)),0)))</f>
        <v/>
      </c>
      <c r="R1692" s="26">
        <f>IF($D1692="","",IFERROR(VLOOKUP($D1692,库存台账!$A$5:$Y$1204,11,0),0))</f>
        <v/>
      </c>
      <c r="S1692" s="26">
        <f>IF($D1692="","",ROUND(N($J1692)*N($R1692),0))</f>
        <v/>
      </c>
      <c r="T1692" s="26">
        <f>IF($D1692="","",IF($K1692&lt;&gt;"对外销售","",ROUND($Q1692-$S1692,0)))</f>
        <v/>
      </c>
      <c r="U1692" s="17" t="n"/>
      <c r="V1692" s="17" t="n"/>
      <c r="W1692" s="24">
        <f>IF($D1692="","",IF($E1692="※编码不在物料档案里","※物料编码不在档案里",IF(N($J1692)&lt;=0,"※出库数量要大于 0",IF($K1692="","※没填去向类型",IF($L1692="","※没填去向矿区",IF(AND($C1692&lt;&gt;"",$C1692&lt;=结账锁),"※日期早于已结账截止日，不能再录",IF(AND($K1692="自用消耗",COUNTIF({"一矿区";"二矿区"},$L1692)=0),"※自用消耗的去向只能是一矿区或二矿区",IF(AND($K1692="对外销售",COUNTIF({"三矿区";"六矿区"},$L1692)=0),"※对外销售的去向只能是三矿区或六矿区",IF(AND($K1692="对外销售",ROUND($Q1692,0)=0),"※外销却没有售价，请填实际售价",IF(AND($K1692="对外销售",$T1692&lt;&gt;"",$T1692&lt;0),"※这一笔外销是亏的，请核对售价",IF(IFERROR(VLOOKUP($D1692,库存台账!$A$5:$Y$1204,24,0),0)&lt;-0.001,"※这个物料账面已经变成负数了，查一下是不是漏记入库","")))))))))))</f>
        <v/>
      </c>
    </row>
    <row r="1693">
      <c r="A1693" s="24">
        <f>IF($D1693="","",COUNTA($D$4:$D1693))</f>
        <v/>
      </c>
      <c r="B1693" s="17" t="n"/>
      <c r="C1693" s="30" t="n"/>
      <c r="D1693" s="17" t="n"/>
      <c r="E1693" s="24">
        <f>IF($D1693="","",IFERROR(VLOOKUP($D1693,物料档案!$A$4:$P$1203,3,0),"※编码不在物料档案里"))</f>
        <v/>
      </c>
      <c r="F1693" s="24">
        <f>IF($D1693="","",IFERROR(VLOOKUP($D1693,物料档案!$A$4:$P$1203,4,0),"※编码不在物料档案里"))</f>
        <v/>
      </c>
      <c r="G1693" s="24">
        <f>IF($D1693="","",IFERROR(VLOOKUP($D1693,物料档案!$A$4:$P$1203,5,0),"※编码不在物料档案里"))</f>
        <v/>
      </c>
      <c r="H1693" s="24">
        <f>IF($D1693="","",IFERROR(VLOOKUP($D1693,物料档案!$A$4:$P$1203,2,0),"※编码不在物料档案里"))</f>
        <v/>
      </c>
      <c r="I1693" s="24">
        <f>IF($D1693="","",IFERROR(VLOOKUP($D1693,物料档案!$A$4:$P$1203,6,0),"※编码不在物料档案里"))</f>
        <v/>
      </c>
      <c r="J1693" s="23" t="n"/>
      <c r="K1693" s="17" t="n"/>
      <c r="L1693" s="17" t="n"/>
      <c r="M1693" s="17" t="n"/>
      <c r="N1693" s="17" t="n"/>
      <c r="O1693" s="26">
        <f>IF($D1693="","",IFERROR(VLOOKUP($D1693,物料档案!$A$4:$P$1203,10,0),0))</f>
        <v/>
      </c>
      <c r="P1693" s="32" t="n"/>
      <c r="Q1693" s="26">
        <f>IF($D1693="","",IF($K1693&lt;&gt;"对外销售",0,ROUND(N($J1693)*IF($P1693="",N($O1693),N($P1693)),0)))</f>
        <v/>
      </c>
      <c r="R1693" s="26">
        <f>IF($D1693="","",IFERROR(VLOOKUP($D1693,库存台账!$A$5:$Y$1204,11,0),0))</f>
        <v/>
      </c>
      <c r="S1693" s="26">
        <f>IF($D1693="","",ROUND(N($J1693)*N($R1693),0))</f>
        <v/>
      </c>
      <c r="T1693" s="26">
        <f>IF($D1693="","",IF($K1693&lt;&gt;"对外销售","",ROUND($Q1693-$S1693,0)))</f>
        <v/>
      </c>
      <c r="U1693" s="17" t="n"/>
      <c r="V1693" s="17" t="n"/>
      <c r="W1693" s="24">
        <f>IF($D1693="","",IF($E1693="※编码不在物料档案里","※物料编码不在档案里",IF(N($J1693)&lt;=0,"※出库数量要大于 0",IF($K1693="","※没填去向类型",IF($L1693="","※没填去向矿区",IF(AND($C1693&lt;&gt;"",$C1693&lt;=结账锁),"※日期早于已结账截止日，不能再录",IF(AND($K1693="自用消耗",COUNTIF({"一矿区";"二矿区"},$L1693)=0),"※自用消耗的去向只能是一矿区或二矿区",IF(AND($K1693="对外销售",COUNTIF({"三矿区";"六矿区"},$L1693)=0),"※对外销售的去向只能是三矿区或六矿区",IF(AND($K1693="对外销售",ROUND($Q1693,0)=0),"※外销却没有售价，请填实际售价",IF(AND($K1693="对外销售",$T1693&lt;&gt;"",$T1693&lt;0),"※这一笔外销是亏的，请核对售价",IF(IFERROR(VLOOKUP($D1693,库存台账!$A$5:$Y$1204,24,0),0)&lt;-0.001,"※这个物料账面已经变成负数了，查一下是不是漏记入库","")))))))))))</f>
        <v/>
      </c>
    </row>
    <row r="1694">
      <c r="A1694" s="24">
        <f>IF($D1694="","",COUNTA($D$4:$D1694))</f>
        <v/>
      </c>
      <c r="B1694" s="17" t="n"/>
      <c r="C1694" s="30" t="n"/>
      <c r="D1694" s="17" t="n"/>
      <c r="E1694" s="24">
        <f>IF($D1694="","",IFERROR(VLOOKUP($D1694,物料档案!$A$4:$P$1203,3,0),"※编码不在物料档案里"))</f>
        <v/>
      </c>
      <c r="F1694" s="24">
        <f>IF($D1694="","",IFERROR(VLOOKUP($D1694,物料档案!$A$4:$P$1203,4,0),"※编码不在物料档案里"))</f>
        <v/>
      </c>
      <c r="G1694" s="24">
        <f>IF($D1694="","",IFERROR(VLOOKUP($D1694,物料档案!$A$4:$P$1203,5,0),"※编码不在物料档案里"))</f>
        <v/>
      </c>
      <c r="H1694" s="24">
        <f>IF($D1694="","",IFERROR(VLOOKUP($D1694,物料档案!$A$4:$P$1203,2,0),"※编码不在物料档案里"))</f>
        <v/>
      </c>
      <c r="I1694" s="24">
        <f>IF($D1694="","",IFERROR(VLOOKUP($D1694,物料档案!$A$4:$P$1203,6,0),"※编码不在物料档案里"))</f>
        <v/>
      </c>
      <c r="J1694" s="23" t="n"/>
      <c r="K1694" s="17" t="n"/>
      <c r="L1694" s="17" t="n"/>
      <c r="M1694" s="17" t="n"/>
      <c r="N1694" s="17" t="n"/>
      <c r="O1694" s="26">
        <f>IF($D1694="","",IFERROR(VLOOKUP($D1694,物料档案!$A$4:$P$1203,10,0),0))</f>
        <v/>
      </c>
      <c r="P1694" s="32" t="n"/>
      <c r="Q1694" s="26">
        <f>IF($D1694="","",IF($K1694&lt;&gt;"对外销售",0,ROUND(N($J1694)*IF($P1694="",N($O1694),N($P1694)),0)))</f>
        <v/>
      </c>
      <c r="R1694" s="26">
        <f>IF($D1694="","",IFERROR(VLOOKUP($D1694,库存台账!$A$5:$Y$1204,11,0),0))</f>
        <v/>
      </c>
      <c r="S1694" s="26">
        <f>IF($D1694="","",ROUND(N($J1694)*N($R1694),0))</f>
        <v/>
      </c>
      <c r="T1694" s="26">
        <f>IF($D1694="","",IF($K1694&lt;&gt;"对外销售","",ROUND($Q1694-$S1694,0)))</f>
        <v/>
      </c>
      <c r="U1694" s="17" t="n"/>
      <c r="V1694" s="17" t="n"/>
      <c r="W1694" s="24">
        <f>IF($D1694="","",IF($E1694="※编码不在物料档案里","※物料编码不在档案里",IF(N($J1694)&lt;=0,"※出库数量要大于 0",IF($K1694="","※没填去向类型",IF($L1694="","※没填去向矿区",IF(AND($C1694&lt;&gt;"",$C1694&lt;=结账锁),"※日期早于已结账截止日，不能再录",IF(AND($K1694="自用消耗",COUNTIF({"一矿区";"二矿区"},$L1694)=0),"※自用消耗的去向只能是一矿区或二矿区",IF(AND($K1694="对外销售",COUNTIF({"三矿区";"六矿区"},$L1694)=0),"※对外销售的去向只能是三矿区或六矿区",IF(AND($K1694="对外销售",ROUND($Q1694,0)=0),"※外销却没有售价，请填实际售价",IF(AND($K1694="对外销售",$T1694&lt;&gt;"",$T1694&lt;0),"※这一笔外销是亏的，请核对售价",IF(IFERROR(VLOOKUP($D1694,库存台账!$A$5:$Y$1204,24,0),0)&lt;-0.001,"※这个物料账面已经变成负数了，查一下是不是漏记入库","")))))))))))</f>
        <v/>
      </c>
    </row>
    <row r="1695">
      <c r="A1695" s="24">
        <f>IF($D1695="","",COUNTA($D$4:$D1695))</f>
        <v/>
      </c>
      <c r="B1695" s="17" t="n"/>
      <c r="C1695" s="30" t="n"/>
      <c r="D1695" s="17" t="n"/>
      <c r="E1695" s="24">
        <f>IF($D1695="","",IFERROR(VLOOKUP($D1695,物料档案!$A$4:$P$1203,3,0),"※编码不在物料档案里"))</f>
        <v/>
      </c>
      <c r="F1695" s="24">
        <f>IF($D1695="","",IFERROR(VLOOKUP($D1695,物料档案!$A$4:$P$1203,4,0),"※编码不在物料档案里"))</f>
        <v/>
      </c>
      <c r="G1695" s="24">
        <f>IF($D1695="","",IFERROR(VLOOKUP($D1695,物料档案!$A$4:$P$1203,5,0),"※编码不在物料档案里"))</f>
        <v/>
      </c>
      <c r="H1695" s="24">
        <f>IF($D1695="","",IFERROR(VLOOKUP($D1695,物料档案!$A$4:$P$1203,2,0),"※编码不在物料档案里"))</f>
        <v/>
      </c>
      <c r="I1695" s="24">
        <f>IF($D1695="","",IFERROR(VLOOKUP($D1695,物料档案!$A$4:$P$1203,6,0),"※编码不在物料档案里"))</f>
        <v/>
      </c>
      <c r="J1695" s="23" t="n"/>
      <c r="K1695" s="17" t="n"/>
      <c r="L1695" s="17" t="n"/>
      <c r="M1695" s="17" t="n"/>
      <c r="N1695" s="17" t="n"/>
      <c r="O1695" s="26">
        <f>IF($D1695="","",IFERROR(VLOOKUP($D1695,物料档案!$A$4:$P$1203,10,0),0))</f>
        <v/>
      </c>
      <c r="P1695" s="32" t="n"/>
      <c r="Q1695" s="26">
        <f>IF($D1695="","",IF($K1695&lt;&gt;"对外销售",0,ROUND(N($J1695)*IF($P1695="",N($O1695),N($P1695)),0)))</f>
        <v/>
      </c>
      <c r="R1695" s="26">
        <f>IF($D1695="","",IFERROR(VLOOKUP($D1695,库存台账!$A$5:$Y$1204,11,0),0))</f>
        <v/>
      </c>
      <c r="S1695" s="26">
        <f>IF($D1695="","",ROUND(N($J1695)*N($R1695),0))</f>
        <v/>
      </c>
      <c r="T1695" s="26">
        <f>IF($D1695="","",IF($K1695&lt;&gt;"对外销售","",ROUND($Q1695-$S1695,0)))</f>
        <v/>
      </c>
      <c r="U1695" s="17" t="n"/>
      <c r="V1695" s="17" t="n"/>
      <c r="W1695" s="24">
        <f>IF($D1695="","",IF($E1695="※编码不在物料档案里","※物料编码不在档案里",IF(N($J1695)&lt;=0,"※出库数量要大于 0",IF($K1695="","※没填去向类型",IF($L1695="","※没填去向矿区",IF(AND($C1695&lt;&gt;"",$C1695&lt;=结账锁),"※日期早于已结账截止日，不能再录",IF(AND($K1695="自用消耗",COUNTIF({"一矿区";"二矿区"},$L1695)=0),"※自用消耗的去向只能是一矿区或二矿区",IF(AND($K1695="对外销售",COUNTIF({"三矿区";"六矿区"},$L1695)=0),"※对外销售的去向只能是三矿区或六矿区",IF(AND($K1695="对外销售",ROUND($Q1695,0)=0),"※外销却没有售价，请填实际售价",IF(AND($K1695="对外销售",$T1695&lt;&gt;"",$T1695&lt;0),"※这一笔外销是亏的，请核对售价",IF(IFERROR(VLOOKUP($D1695,库存台账!$A$5:$Y$1204,24,0),0)&lt;-0.001,"※这个物料账面已经变成负数了，查一下是不是漏记入库","")))))))))))</f>
        <v/>
      </c>
    </row>
    <row r="1696">
      <c r="A1696" s="24">
        <f>IF($D1696="","",COUNTA($D$4:$D1696))</f>
        <v/>
      </c>
      <c r="B1696" s="17" t="n"/>
      <c r="C1696" s="30" t="n"/>
      <c r="D1696" s="17" t="n"/>
      <c r="E1696" s="24">
        <f>IF($D1696="","",IFERROR(VLOOKUP($D1696,物料档案!$A$4:$P$1203,3,0),"※编码不在物料档案里"))</f>
        <v/>
      </c>
      <c r="F1696" s="24">
        <f>IF($D1696="","",IFERROR(VLOOKUP($D1696,物料档案!$A$4:$P$1203,4,0),"※编码不在物料档案里"))</f>
        <v/>
      </c>
      <c r="G1696" s="24">
        <f>IF($D1696="","",IFERROR(VLOOKUP($D1696,物料档案!$A$4:$P$1203,5,0),"※编码不在物料档案里"))</f>
        <v/>
      </c>
      <c r="H1696" s="24">
        <f>IF($D1696="","",IFERROR(VLOOKUP($D1696,物料档案!$A$4:$P$1203,2,0),"※编码不在物料档案里"))</f>
        <v/>
      </c>
      <c r="I1696" s="24">
        <f>IF($D1696="","",IFERROR(VLOOKUP($D1696,物料档案!$A$4:$P$1203,6,0),"※编码不在物料档案里"))</f>
        <v/>
      </c>
      <c r="J1696" s="23" t="n"/>
      <c r="K1696" s="17" t="n"/>
      <c r="L1696" s="17" t="n"/>
      <c r="M1696" s="17" t="n"/>
      <c r="N1696" s="17" t="n"/>
      <c r="O1696" s="26">
        <f>IF($D1696="","",IFERROR(VLOOKUP($D1696,物料档案!$A$4:$P$1203,10,0),0))</f>
        <v/>
      </c>
      <c r="P1696" s="32" t="n"/>
      <c r="Q1696" s="26">
        <f>IF($D1696="","",IF($K1696&lt;&gt;"对外销售",0,ROUND(N($J1696)*IF($P1696="",N($O1696),N($P1696)),0)))</f>
        <v/>
      </c>
      <c r="R1696" s="26">
        <f>IF($D1696="","",IFERROR(VLOOKUP($D1696,库存台账!$A$5:$Y$1204,11,0),0))</f>
        <v/>
      </c>
      <c r="S1696" s="26">
        <f>IF($D1696="","",ROUND(N($J1696)*N($R1696),0))</f>
        <v/>
      </c>
      <c r="T1696" s="26">
        <f>IF($D1696="","",IF($K1696&lt;&gt;"对外销售","",ROUND($Q1696-$S1696,0)))</f>
        <v/>
      </c>
      <c r="U1696" s="17" t="n"/>
      <c r="V1696" s="17" t="n"/>
      <c r="W1696" s="24">
        <f>IF($D1696="","",IF($E1696="※编码不在物料档案里","※物料编码不在档案里",IF(N($J1696)&lt;=0,"※出库数量要大于 0",IF($K1696="","※没填去向类型",IF($L1696="","※没填去向矿区",IF(AND($C1696&lt;&gt;"",$C1696&lt;=结账锁),"※日期早于已结账截止日，不能再录",IF(AND($K1696="自用消耗",COUNTIF({"一矿区";"二矿区"},$L1696)=0),"※自用消耗的去向只能是一矿区或二矿区",IF(AND($K1696="对外销售",COUNTIF({"三矿区";"六矿区"},$L1696)=0),"※对外销售的去向只能是三矿区或六矿区",IF(AND($K1696="对外销售",ROUND($Q1696,0)=0),"※外销却没有售价，请填实际售价",IF(AND($K1696="对外销售",$T1696&lt;&gt;"",$T1696&lt;0),"※这一笔外销是亏的，请核对售价",IF(IFERROR(VLOOKUP($D1696,库存台账!$A$5:$Y$1204,24,0),0)&lt;-0.001,"※这个物料账面已经变成负数了，查一下是不是漏记入库","")))))))))))</f>
        <v/>
      </c>
    </row>
    <row r="1697">
      <c r="A1697" s="24">
        <f>IF($D1697="","",COUNTA($D$4:$D1697))</f>
        <v/>
      </c>
      <c r="B1697" s="17" t="n"/>
      <c r="C1697" s="30" t="n"/>
      <c r="D1697" s="17" t="n"/>
      <c r="E1697" s="24">
        <f>IF($D1697="","",IFERROR(VLOOKUP($D1697,物料档案!$A$4:$P$1203,3,0),"※编码不在物料档案里"))</f>
        <v/>
      </c>
      <c r="F1697" s="24">
        <f>IF($D1697="","",IFERROR(VLOOKUP($D1697,物料档案!$A$4:$P$1203,4,0),"※编码不在物料档案里"))</f>
        <v/>
      </c>
      <c r="G1697" s="24">
        <f>IF($D1697="","",IFERROR(VLOOKUP($D1697,物料档案!$A$4:$P$1203,5,0),"※编码不在物料档案里"))</f>
        <v/>
      </c>
      <c r="H1697" s="24">
        <f>IF($D1697="","",IFERROR(VLOOKUP($D1697,物料档案!$A$4:$P$1203,2,0),"※编码不在物料档案里"))</f>
        <v/>
      </c>
      <c r="I1697" s="24">
        <f>IF($D1697="","",IFERROR(VLOOKUP($D1697,物料档案!$A$4:$P$1203,6,0),"※编码不在物料档案里"))</f>
        <v/>
      </c>
      <c r="J1697" s="23" t="n"/>
      <c r="K1697" s="17" t="n"/>
      <c r="L1697" s="17" t="n"/>
      <c r="M1697" s="17" t="n"/>
      <c r="N1697" s="17" t="n"/>
      <c r="O1697" s="26">
        <f>IF($D1697="","",IFERROR(VLOOKUP($D1697,物料档案!$A$4:$P$1203,10,0),0))</f>
        <v/>
      </c>
      <c r="P1697" s="32" t="n"/>
      <c r="Q1697" s="26">
        <f>IF($D1697="","",IF($K1697&lt;&gt;"对外销售",0,ROUND(N($J1697)*IF($P1697="",N($O1697),N($P1697)),0)))</f>
        <v/>
      </c>
      <c r="R1697" s="26">
        <f>IF($D1697="","",IFERROR(VLOOKUP($D1697,库存台账!$A$5:$Y$1204,11,0),0))</f>
        <v/>
      </c>
      <c r="S1697" s="26">
        <f>IF($D1697="","",ROUND(N($J1697)*N($R1697),0))</f>
        <v/>
      </c>
      <c r="T1697" s="26">
        <f>IF($D1697="","",IF($K1697&lt;&gt;"对外销售","",ROUND($Q1697-$S1697,0)))</f>
        <v/>
      </c>
      <c r="U1697" s="17" t="n"/>
      <c r="V1697" s="17" t="n"/>
      <c r="W1697" s="24">
        <f>IF($D1697="","",IF($E1697="※编码不在物料档案里","※物料编码不在档案里",IF(N($J1697)&lt;=0,"※出库数量要大于 0",IF($K1697="","※没填去向类型",IF($L1697="","※没填去向矿区",IF(AND($C1697&lt;&gt;"",$C1697&lt;=结账锁),"※日期早于已结账截止日，不能再录",IF(AND($K1697="自用消耗",COUNTIF({"一矿区";"二矿区"},$L1697)=0),"※自用消耗的去向只能是一矿区或二矿区",IF(AND($K1697="对外销售",COUNTIF({"三矿区";"六矿区"},$L1697)=0),"※对外销售的去向只能是三矿区或六矿区",IF(AND($K1697="对外销售",ROUND($Q1697,0)=0),"※外销却没有售价，请填实际售价",IF(AND($K1697="对外销售",$T1697&lt;&gt;"",$T1697&lt;0),"※这一笔外销是亏的，请核对售价",IF(IFERROR(VLOOKUP($D1697,库存台账!$A$5:$Y$1204,24,0),0)&lt;-0.001,"※这个物料账面已经变成负数了，查一下是不是漏记入库","")))))))))))</f>
        <v/>
      </c>
    </row>
    <row r="1698">
      <c r="A1698" s="24">
        <f>IF($D1698="","",COUNTA($D$4:$D1698))</f>
        <v/>
      </c>
      <c r="B1698" s="17" t="n"/>
      <c r="C1698" s="30" t="n"/>
      <c r="D1698" s="17" t="n"/>
      <c r="E1698" s="24">
        <f>IF($D1698="","",IFERROR(VLOOKUP($D1698,物料档案!$A$4:$P$1203,3,0),"※编码不在物料档案里"))</f>
        <v/>
      </c>
      <c r="F1698" s="24">
        <f>IF($D1698="","",IFERROR(VLOOKUP($D1698,物料档案!$A$4:$P$1203,4,0),"※编码不在物料档案里"))</f>
        <v/>
      </c>
      <c r="G1698" s="24">
        <f>IF($D1698="","",IFERROR(VLOOKUP($D1698,物料档案!$A$4:$P$1203,5,0),"※编码不在物料档案里"))</f>
        <v/>
      </c>
      <c r="H1698" s="24">
        <f>IF($D1698="","",IFERROR(VLOOKUP($D1698,物料档案!$A$4:$P$1203,2,0),"※编码不在物料档案里"))</f>
        <v/>
      </c>
      <c r="I1698" s="24">
        <f>IF($D1698="","",IFERROR(VLOOKUP($D1698,物料档案!$A$4:$P$1203,6,0),"※编码不在物料档案里"))</f>
        <v/>
      </c>
      <c r="J1698" s="23" t="n"/>
      <c r="K1698" s="17" t="n"/>
      <c r="L1698" s="17" t="n"/>
      <c r="M1698" s="17" t="n"/>
      <c r="N1698" s="17" t="n"/>
      <c r="O1698" s="26">
        <f>IF($D1698="","",IFERROR(VLOOKUP($D1698,物料档案!$A$4:$P$1203,10,0),0))</f>
        <v/>
      </c>
      <c r="P1698" s="32" t="n"/>
      <c r="Q1698" s="26">
        <f>IF($D1698="","",IF($K1698&lt;&gt;"对外销售",0,ROUND(N($J1698)*IF($P1698="",N($O1698),N($P1698)),0)))</f>
        <v/>
      </c>
      <c r="R1698" s="26">
        <f>IF($D1698="","",IFERROR(VLOOKUP($D1698,库存台账!$A$5:$Y$1204,11,0),0))</f>
        <v/>
      </c>
      <c r="S1698" s="26">
        <f>IF($D1698="","",ROUND(N($J1698)*N($R1698),0))</f>
        <v/>
      </c>
      <c r="T1698" s="26">
        <f>IF($D1698="","",IF($K1698&lt;&gt;"对外销售","",ROUND($Q1698-$S1698,0)))</f>
        <v/>
      </c>
      <c r="U1698" s="17" t="n"/>
      <c r="V1698" s="17" t="n"/>
      <c r="W1698" s="24">
        <f>IF($D1698="","",IF($E1698="※编码不在物料档案里","※物料编码不在档案里",IF(N($J1698)&lt;=0,"※出库数量要大于 0",IF($K1698="","※没填去向类型",IF($L1698="","※没填去向矿区",IF(AND($C1698&lt;&gt;"",$C1698&lt;=结账锁),"※日期早于已结账截止日，不能再录",IF(AND($K1698="自用消耗",COUNTIF({"一矿区";"二矿区"},$L1698)=0),"※自用消耗的去向只能是一矿区或二矿区",IF(AND($K1698="对外销售",COUNTIF({"三矿区";"六矿区"},$L1698)=0),"※对外销售的去向只能是三矿区或六矿区",IF(AND($K1698="对外销售",ROUND($Q1698,0)=0),"※外销却没有售价，请填实际售价",IF(AND($K1698="对外销售",$T1698&lt;&gt;"",$T1698&lt;0),"※这一笔外销是亏的，请核对售价",IF(IFERROR(VLOOKUP($D1698,库存台账!$A$5:$Y$1204,24,0),0)&lt;-0.001,"※这个物料账面已经变成负数了，查一下是不是漏记入库","")))))))))))</f>
        <v/>
      </c>
    </row>
    <row r="1699">
      <c r="A1699" s="24">
        <f>IF($D1699="","",COUNTA($D$4:$D1699))</f>
        <v/>
      </c>
      <c r="B1699" s="17" t="n"/>
      <c r="C1699" s="30" t="n"/>
      <c r="D1699" s="17" t="n"/>
      <c r="E1699" s="24">
        <f>IF($D1699="","",IFERROR(VLOOKUP($D1699,物料档案!$A$4:$P$1203,3,0),"※编码不在物料档案里"))</f>
        <v/>
      </c>
      <c r="F1699" s="24">
        <f>IF($D1699="","",IFERROR(VLOOKUP($D1699,物料档案!$A$4:$P$1203,4,0),"※编码不在物料档案里"))</f>
        <v/>
      </c>
      <c r="G1699" s="24">
        <f>IF($D1699="","",IFERROR(VLOOKUP($D1699,物料档案!$A$4:$P$1203,5,0),"※编码不在物料档案里"))</f>
        <v/>
      </c>
      <c r="H1699" s="24">
        <f>IF($D1699="","",IFERROR(VLOOKUP($D1699,物料档案!$A$4:$P$1203,2,0),"※编码不在物料档案里"))</f>
        <v/>
      </c>
      <c r="I1699" s="24">
        <f>IF($D1699="","",IFERROR(VLOOKUP($D1699,物料档案!$A$4:$P$1203,6,0),"※编码不在物料档案里"))</f>
        <v/>
      </c>
      <c r="J1699" s="23" t="n"/>
      <c r="K1699" s="17" t="n"/>
      <c r="L1699" s="17" t="n"/>
      <c r="M1699" s="17" t="n"/>
      <c r="N1699" s="17" t="n"/>
      <c r="O1699" s="26">
        <f>IF($D1699="","",IFERROR(VLOOKUP($D1699,物料档案!$A$4:$P$1203,10,0),0))</f>
        <v/>
      </c>
      <c r="P1699" s="32" t="n"/>
      <c r="Q1699" s="26">
        <f>IF($D1699="","",IF($K1699&lt;&gt;"对外销售",0,ROUND(N($J1699)*IF($P1699="",N($O1699),N($P1699)),0)))</f>
        <v/>
      </c>
      <c r="R1699" s="26">
        <f>IF($D1699="","",IFERROR(VLOOKUP($D1699,库存台账!$A$5:$Y$1204,11,0),0))</f>
        <v/>
      </c>
      <c r="S1699" s="26">
        <f>IF($D1699="","",ROUND(N($J1699)*N($R1699),0))</f>
        <v/>
      </c>
      <c r="T1699" s="26">
        <f>IF($D1699="","",IF($K1699&lt;&gt;"对外销售","",ROUND($Q1699-$S1699,0)))</f>
        <v/>
      </c>
      <c r="U1699" s="17" t="n"/>
      <c r="V1699" s="17" t="n"/>
      <c r="W1699" s="24">
        <f>IF($D1699="","",IF($E1699="※编码不在物料档案里","※物料编码不在档案里",IF(N($J1699)&lt;=0,"※出库数量要大于 0",IF($K1699="","※没填去向类型",IF($L1699="","※没填去向矿区",IF(AND($C1699&lt;&gt;"",$C1699&lt;=结账锁),"※日期早于已结账截止日，不能再录",IF(AND($K1699="自用消耗",COUNTIF({"一矿区";"二矿区"},$L1699)=0),"※自用消耗的去向只能是一矿区或二矿区",IF(AND($K1699="对外销售",COUNTIF({"三矿区";"六矿区"},$L1699)=0),"※对外销售的去向只能是三矿区或六矿区",IF(AND($K1699="对外销售",ROUND($Q1699,0)=0),"※外销却没有售价，请填实际售价",IF(AND($K1699="对外销售",$T1699&lt;&gt;"",$T1699&lt;0),"※这一笔外销是亏的，请核对售价",IF(IFERROR(VLOOKUP($D1699,库存台账!$A$5:$Y$1204,24,0),0)&lt;-0.001,"※这个物料账面已经变成负数了，查一下是不是漏记入库","")))))))))))</f>
        <v/>
      </c>
    </row>
    <row r="1700">
      <c r="A1700" s="24">
        <f>IF($D1700="","",COUNTA($D$4:$D1700))</f>
        <v/>
      </c>
      <c r="B1700" s="17" t="n"/>
      <c r="C1700" s="30" t="n"/>
      <c r="D1700" s="17" t="n"/>
      <c r="E1700" s="24">
        <f>IF($D1700="","",IFERROR(VLOOKUP($D1700,物料档案!$A$4:$P$1203,3,0),"※编码不在物料档案里"))</f>
        <v/>
      </c>
      <c r="F1700" s="24">
        <f>IF($D1700="","",IFERROR(VLOOKUP($D1700,物料档案!$A$4:$P$1203,4,0),"※编码不在物料档案里"))</f>
        <v/>
      </c>
      <c r="G1700" s="24">
        <f>IF($D1700="","",IFERROR(VLOOKUP($D1700,物料档案!$A$4:$P$1203,5,0),"※编码不在物料档案里"))</f>
        <v/>
      </c>
      <c r="H1700" s="24">
        <f>IF($D1700="","",IFERROR(VLOOKUP($D1700,物料档案!$A$4:$P$1203,2,0),"※编码不在物料档案里"))</f>
        <v/>
      </c>
      <c r="I1700" s="24">
        <f>IF($D1700="","",IFERROR(VLOOKUP($D1700,物料档案!$A$4:$P$1203,6,0),"※编码不在物料档案里"))</f>
        <v/>
      </c>
      <c r="J1700" s="23" t="n"/>
      <c r="K1700" s="17" t="n"/>
      <c r="L1700" s="17" t="n"/>
      <c r="M1700" s="17" t="n"/>
      <c r="N1700" s="17" t="n"/>
      <c r="O1700" s="26">
        <f>IF($D1700="","",IFERROR(VLOOKUP($D1700,物料档案!$A$4:$P$1203,10,0),0))</f>
        <v/>
      </c>
      <c r="P1700" s="32" t="n"/>
      <c r="Q1700" s="26">
        <f>IF($D1700="","",IF($K1700&lt;&gt;"对外销售",0,ROUND(N($J1700)*IF($P1700="",N($O1700),N($P1700)),0)))</f>
        <v/>
      </c>
      <c r="R1700" s="26">
        <f>IF($D1700="","",IFERROR(VLOOKUP($D1700,库存台账!$A$5:$Y$1204,11,0),0))</f>
        <v/>
      </c>
      <c r="S1700" s="26">
        <f>IF($D1700="","",ROUND(N($J1700)*N($R1700),0))</f>
        <v/>
      </c>
      <c r="T1700" s="26">
        <f>IF($D1700="","",IF($K1700&lt;&gt;"对外销售","",ROUND($Q1700-$S1700,0)))</f>
        <v/>
      </c>
      <c r="U1700" s="17" t="n"/>
      <c r="V1700" s="17" t="n"/>
      <c r="W1700" s="24">
        <f>IF($D1700="","",IF($E1700="※编码不在物料档案里","※物料编码不在档案里",IF(N($J1700)&lt;=0,"※出库数量要大于 0",IF($K1700="","※没填去向类型",IF($L1700="","※没填去向矿区",IF(AND($C1700&lt;&gt;"",$C1700&lt;=结账锁),"※日期早于已结账截止日，不能再录",IF(AND($K1700="自用消耗",COUNTIF({"一矿区";"二矿区"},$L1700)=0),"※自用消耗的去向只能是一矿区或二矿区",IF(AND($K1700="对外销售",COUNTIF({"三矿区";"六矿区"},$L1700)=0),"※对外销售的去向只能是三矿区或六矿区",IF(AND($K1700="对外销售",ROUND($Q1700,0)=0),"※外销却没有售价，请填实际售价",IF(AND($K1700="对外销售",$T1700&lt;&gt;"",$T1700&lt;0),"※这一笔外销是亏的，请核对售价",IF(IFERROR(VLOOKUP($D1700,库存台账!$A$5:$Y$1204,24,0),0)&lt;-0.001,"※这个物料账面已经变成负数了，查一下是不是漏记入库","")))))))))))</f>
        <v/>
      </c>
    </row>
    <row r="1701">
      <c r="A1701" s="24">
        <f>IF($D1701="","",COUNTA($D$4:$D1701))</f>
        <v/>
      </c>
      <c r="B1701" s="17" t="n"/>
      <c r="C1701" s="30" t="n"/>
      <c r="D1701" s="17" t="n"/>
      <c r="E1701" s="24">
        <f>IF($D1701="","",IFERROR(VLOOKUP($D1701,物料档案!$A$4:$P$1203,3,0),"※编码不在物料档案里"))</f>
        <v/>
      </c>
      <c r="F1701" s="24">
        <f>IF($D1701="","",IFERROR(VLOOKUP($D1701,物料档案!$A$4:$P$1203,4,0),"※编码不在物料档案里"))</f>
        <v/>
      </c>
      <c r="G1701" s="24">
        <f>IF($D1701="","",IFERROR(VLOOKUP($D1701,物料档案!$A$4:$P$1203,5,0),"※编码不在物料档案里"))</f>
        <v/>
      </c>
      <c r="H1701" s="24">
        <f>IF($D1701="","",IFERROR(VLOOKUP($D1701,物料档案!$A$4:$P$1203,2,0),"※编码不在物料档案里"))</f>
        <v/>
      </c>
      <c r="I1701" s="24">
        <f>IF($D1701="","",IFERROR(VLOOKUP($D1701,物料档案!$A$4:$P$1203,6,0),"※编码不在物料档案里"))</f>
        <v/>
      </c>
      <c r="J1701" s="23" t="n"/>
      <c r="K1701" s="17" t="n"/>
      <c r="L1701" s="17" t="n"/>
      <c r="M1701" s="17" t="n"/>
      <c r="N1701" s="17" t="n"/>
      <c r="O1701" s="26">
        <f>IF($D1701="","",IFERROR(VLOOKUP($D1701,物料档案!$A$4:$P$1203,10,0),0))</f>
        <v/>
      </c>
      <c r="P1701" s="32" t="n"/>
      <c r="Q1701" s="26">
        <f>IF($D1701="","",IF($K1701&lt;&gt;"对外销售",0,ROUND(N($J1701)*IF($P1701="",N($O1701),N($P1701)),0)))</f>
        <v/>
      </c>
      <c r="R1701" s="26">
        <f>IF($D1701="","",IFERROR(VLOOKUP($D1701,库存台账!$A$5:$Y$1204,11,0),0))</f>
        <v/>
      </c>
      <c r="S1701" s="26">
        <f>IF($D1701="","",ROUND(N($J1701)*N($R1701),0))</f>
        <v/>
      </c>
      <c r="T1701" s="26">
        <f>IF($D1701="","",IF($K1701&lt;&gt;"对外销售","",ROUND($Q1701-$S1701,0)))</f>
        <v/>
      </c>
      <c r="U1701" s="17" t="n"/>
      <c r="V1701" s="17" t="n"/>
      <c r="W1701" s="24">
        <f>IF($D1701="","",IF($E1701="※编码不在物料档案里","※物料编码不在档案里",IF(N($J1701)&lt;=0,"※出库数量要大于 0",IF($K1701="","※没填去向类型",IF($L1701="","※没填去向矿区",IF(AND($C1701&lt;&gt;"",$C1701&lt;=结账锁),"※日期早于已结账截止日，不能再录",IF(AND($K1701="自用消耗",COUNTIF({"一矿区";"二矿区"},$L1701)=0),"※自用消耗的去向只能是一矿区或二矿区",IF(AND($K1701="对外销售",COUNTIF({"三矿区";"六矿区"},$L1701)=0),"※对外销售的去向只能是三矿区或六矿区",IF(AND($K1701="对外销售",ROUND($Q1701,0)=0),"※外销却没有售价，请填实际售价",IF(AND($K1701="对外销售",$T1701&lt;&gt;"",$T1701&lt;0),"※这一笔外销是亏的，请核对售价",IF(IFERROR(VLOOKUP($D1701,库存台账!$A$5:$Y$1204,24,0),0)&lt;-0.001,"※这个物料账面已经变成负数了，查一下是不是漏记入库","")))))))))))</f>
        <v/>
      </c>
    </row>
    <row r="1702">
      <c r="A1702" s="24">
        <f>IF($D1702="","",COUNTA($D$4:$D1702))</f>
        <v/>
      </c>
      <c r="B1702" s="17" t="n"/>
      <c r="C1702" s="30" t="n"/>
      <c r="D1702" s="17" t="n"/>
      <c r="E1702" s="24">
        <f>IF($D1702="","",IFERROR(VLOOKUP($D1702,物料档案!$A$4:$P$1203,3,0),"※编码不在物料档案里"))</f>
        <v/>
      </c>
      <c r="F1702" s="24">
        <f>IF($D1702="","",IFERROR(VLOOKUP($D1702,物料档案!$A$4:$P$1203,4,0),"※编码不在物料档案里"))</f>
        <v/>
      </c>
      <c r="G1702" s="24">
        <f>IF($D1702="","",IFERROR(VLOOKUP($D1702,物料档案!$A$4:$P$1203,5,0),"※编码不在物料档案里"))</f>
        <v/>
      </c>
      <c r="H1702" s="24">
        <f>IF($D1702="","",IFERROR(VLOOKUP($D1702,物料档案!$A$4:$P$1203,2,0),"※编码不在物料档案里"))</f>
        <v/>
      </c>
      <c r="I1702" s="24">
        <f>IF($D1702="","",IFERROR(VLOOKUP($D1702,物料档案!$A$4:$P$1203,6,0),"※编码不在物料档案里"))</f>
        <v/>
      </c>
      <c r="J1702" s="23" t="n"/>
      <c r="K1702" s="17" t="n"/>
      <c r="L1702" s="17" t="n"/>
      <c r="M1702" s="17" t="n"/>
      <c r="N1702" s="17" t="n"/>
      <c r="O1702" s="26">
        <f>IF($D1702="","",IFERROR(VLOOKUP($D1702,物料档案!$A$4:$P$1203,10,0),0))</f>
        <v/>
      </c>
      <c r="P1702" s="32" t="n"/>
      <c r="Q1702" s="26">
        <f>IF($D1702="","",IF($K1702&lt;&gt;"对外销售",0,ROUND(N($J1702)*IF($P1702="",N($O1702),N($P1702)),0)))</f>
        <v/>
      </c>
      <c r="R1702" s="26">
        <f>IF($D1702="","",IFERROR(VLOOKUP($D1702,库存台账!$A$5:$Y$1204,11,0),0))</f>
        <v/>
      </c>
      <c r="S1702" s="26">
        <f>IF($D1702="","",ROUND(N($J1702)*N($R1702),0))</f>
        <v/>
      </c>
      <c r="T1702" s="26">
        <f>IF($D1702="","",IF($K1702&lt;&gt;"对外销售","",ROUND($Q1702-$S1702,0)))</f>
        <v/>
      </c>
      <c r="U1702" s="17" t="n"/>
      <c r="V1702" s="17" t="n"/>
      <c r="W1702" s="24">
        <f>IF($D1702="","",IF($E1702="※编码不在物料档案里","※物料编码不在档案里",IF(N($J1702)&lt;=0,"※出库数量要大于 0",IF($K1702="","※没填去向类型",IF($L1702="","※没填去向矿区",IF(AND($C1702&lt;&gt;"",$C1702&lt;=结账锁),"※日期早于已结账截止日，不能再录",IF(AND($K1702="自用消耗",COUNTIF({"一矿区";"二矿区"},$L1702)=0),"※自用消耗的去向只能是一矿区或二矿区",IF(AND($K1702="对外销售",COUNTIF({"三矿区";"六矿区"},$L1702)=0),"※对外销售的去向只能是三矿区或六矿区",IF(AND($K1702="对外销售",ROUND($Q1702,0)=0),"※外销却没有售价，请填实际售价",IF(AND($K1702="对外销售",$T1702&lt;&gt;"",$T1702&lt;0),"※这一笔外销是亏的，请核对售价",IF(IFERROR(VLOOKUP($D1702,库存台账!$A$5:$Y$1204,24,0),0)&lt;-0.001,"※这个物料账面已经变成负数了，查一下是不是漏记入库","")))))))))))</f>
        <v/>
      </c>
    </row>
    <row r="1703">
      <c r="A1703" s="24">
        <f>IF($D1703="","",COUNTA($D$4:$D1703))</f>
        <v/>
      </c>
      <c r="B1703" s="17" t="n"/>
      <c r="C1703" s="30" t="n"/>
      <c r="D1703" s="17" t="n"/>
      <c r="E1703" s="24">
        <f>IF($D1703="","",IFERROR(VLOOKUP($D1703,物料档案!$A$4:$P$1203,3,0),"※编码不在物料档案里"))</f>
        <v/>
      </c>
      <c r="F1703" s="24">
        <f>IF($D1703="","",IFERROR(VLOOKUP($D1703,物料档案!$A$4:$P$1203,4,0),"※编码不在物料档案里"))</f>
        <v/>
      </c>
      <c r="G1703" s="24">
        <f>IF($D1703="","",IFERROR(VLOOKUP($D1703,物料档案!$A$4:$P$1203,5,0),"※编码不在物料档案里"))</f>
        <v/>
      </c>
      <c r="H1703" s="24">
        <f>IF($D1703="","",IFERROR(VLOOKUP($D1703,物料档案!$A$4:$P$1203,2,0),"※编码不在物料档案里"))</f>
        <v/>
      </c>
      <c r="I1703" s="24">
        <f>IF($D1703="","",IFERROR(VLOOKUP($D1703,物料档案!$A$4:$P$1203,6,0),"※编码不在物料档案里"))</f>
        <v/>
      </c>
      <c r="J1703" s="23" t="n"/>
      <c r="K1703" s="17" t="n"/>
      <c r="L1703" s="17" t="n"/>
      <c r="M1703" s="17" t="n"/>
      <c r="N1703" s="17" t="n"/>
      <c r="O1703" s="26">
        <f>IF($D1703="","",IFERROR(VLOOKUP($D1703,物料档案!$A$4:$P$1203,10,0),0))</f>
        <v/>
      </c>
      <c r="P1703" s="32" t="n"/>
      <c r="Q1703" s="26">
        <f>IF($D1703="","",IF($K1703&lt;&gt;"对外销售",0,ROUND(N($J1703)*IF($P1703="",N($O1703),N($P1703)),0)))</f>
        <v/>
      </c>
      <c r="R1703" s="26">
        <f>IF($D1703="","",IFERROR(VLOOKUP($D1703,库存台账!$A$5:$Y$1204,11,0),0))</f>
        <v/>
      </c>
      <c r="S1703" s="26">
        <f>IF($D1703="","",ROUND(N($J1703)*N($R1703),0))</f>
        <v/>
      </c>
      <c r="T1703" s="26">
        <f>IF($D1703="","",IF($K1703&lt;&gt;"对外销售","",ROUND($Q1703-$S1703,0)))</f>
        <v/>
      </c>
      <c r="U1703" s="17" t="n"/>
      <c r="V1703" s="17" t="n"/>
      <c r="W1703" s="24">
        <f>IF($D1703="","",IF($E1703="※编码不在物料档案里","※物料编码不在档案里",IF(N($J1703)&lt;=0,"※出库数量要大于 0",IF($K1703="","※没填去向类型",IF($L1703="","※没填去向矿区",IF(AND($C1703&lt;&gt;"",$C1703&lt;=结账锁),"※日期早于已结账截止日，不能再录",IF(AND($K1703="自用消耗",COUNTIF({"一矿区";"二矿区"},$L1703)=0),"※自用消耗的去向只能是一矿区或二矿区",IF(AND($K1703="对外销售",COUNTIF({"三矿区";"六矿区"},$L1703)=0),"※对外销售的去向只能是三矿区或六矿区",IF(AND($K1703="对外销售",ROUND($Q1703,0)=0),"※外销却没有售价，请填实际售价",IF(AND($K1703="对外销售",$T1703&lt;&gt;"",$T1703&lt;0),"※这一笔外销是亏的，请核对售价",IF(IFERROR(VLOOKUP($D1703,库存台账!$A$5:$Y$1204,24,0),0)&lt;-0.001,"※这个物料账面已经变成负数了，查一下是不是漏记入库","")))))))))))</f>
        <v/>
      </c>
    </row>
    <row r="1704">
      <c r="A1704" s="24">
        <f>IF($D1704="","",COUNTA($D$4:$D1704))</f>
        <v/>
      </c>
      <c r="B1704" s="17" t="n"/>
      <c r="C1704" s="30" t="n"/>
      <c r="D1704" s="17" t="n"/>
      <c r="E1704" s="24">
        <f>IF($D1704="","",IFERROR(VLOOKUP($D1704,物料档案!$A$4:$P$1203,3,0),"※编码不在物料档案里"))</f>
        <v/>
      </c>
      <c r="F1704" s="24">
        <f>IF($D1704="","",IFERROR(VLOOKUP($D1704,物料档案!$A$4:$P$1203,4,0),"※编码不在物料档案里"))</f>
        <v/>
      </c>
      <c r="G1704" s="24">
        <f>IF($D1704="","",IFERROR(VLOOKUP($D1704,物料档案!$A$4:$P$1203,5,0),"※编码不在物料档案里"))</f>
        <v/>
      </c>
      <c r="H1704" s="24">
        <f>IF($D1704="","",IFERROR(VLOOKUP($D1704,物料档案!$A$4:$P$1203,2,0),"※编码不在物料档案里"))</f>
        <v/>
      </c>
      <c r="I1704" s="24">
        <f>IF($D1704="","",IFERROR(VLOOKUP($D1704,物料档案!$A$4:$P$1203,6,0),"※编码不在物料档案里"))</f>
        <v/>
      </c>
      <c r="J1704" s="23" t="n"/>
      <c r="K1704" s="17" t="n"/>
      <c r="L1704" s="17" t="n"/>
      <c r="M1704" s="17" t="n"/>
      <c r="N1704" s="17" t="n"/>
      <c r="O1704" s="26">
        <f>IF($D1704="","",IFERROR(VLOOKUP($D1704,物料档案!$A$4:$P$1203,10,0),0))</f>
        <v/>
      </c>
      <c r="P1704" s="32" t="n"/>
      <c r="Q1704" s="26">
        <f>IF($D1704="","",IF($K1704&lt;&gt;"对外销售",0,ROUND(N($J1704)*IF($P1704="",N($O1704),N($P1704)),0)))</f>
        <v/>
      </c>
      <c r="R1704" s="26">
        <f>IF($D1704="","",IFERROR(VLOOKUP($D1704,库存台账!$A$5:$Y$1204,11,0),0))</f>
        <v/>
      </c>
      <c r="S1704" s="26">
        <f>IF($D1704="","",ROUND(N($J1704)*N($R1704),0))</f>
        <v/>
      </c>
      <c r="T1704" s="26">
        <f>IF($D1704="","",IF($K1704&lt;&gt;"对外销售","",ROUND($Q1704-$S1704,0)))</f>
        <v/>
      </c>
      <c r="U1704" s="17" t="n"/>
      <c r="V1704" s="17" t="n"/>
      <c r="W1704" s="24">
        <f>IF($D1704="","",IF($E1704="※编码不在物料档案里","※物料编码不在档案里",IF(N($J1704)&lt;=0,"※出库数量要大于 0",IF($K1704="","※没填去向类型",IF($L1704="","※没填去向矿区",IF(AND($C1704&lt;&gt;"",$C1704&lt;=结账锁),"※日期早于已结账截止日，不能再录",IF(AND($K1704="自用消耗",COUNTIF({"一矿区";"二矿区"},$L1704)=0),"※自用消耗的去向只能是一矿区或二矿区",IF(AND($K1704="对外销售",COUNTIF({"三矿区";"六矿区"},$L1704)=0),"※对外销售的去向只能是三矿区或六矿区",IF(AND($K1704="对外销售",ROUND($Q1704,0)=0),"※外销却没有售价，请填实际售价",IF(AND($K1704="对外销售",$T1704&lt;&gt;"",$T1704&lt;0),"※这一笔外销是亏的，请核对售价",IF(IFERROR(VLOOKUP($D1704,库存台账!$A$5:$Y$1204,24,0),0)&lt;-0.001,"※这个物料账面已经变成负数了，查一下是不是漏记入库","")))))))))))</f>
        <v/>
      </c>
    </row>
    <row r="1705">
      <c r="A1705" s="24">
        <f>IF($D1705="","",COUNTA($D$4:$D1705))</f>
        <v/>
      </c>
      <c r="B1705" s="17" t="n"/>
      <c r="C1705" s="30" t="n"/>
      <c r="D1705" s="17" t="n"/>
      <c r="E1705" s="24">
        <f>IF($D1705="","",IFERROR(VLOOKUP($D1705,物料档案!$A$4:$P$1203,3,0),"※编码不在物料档案里"))</f>
        <v/>
      </c>
      <c r="F1705" s="24">
        <f>IF($D1705="","",IFERROR(VLOOKUP($D1705,物料档案!$A$4:$P$1203,4,0),"※编码不在物料档案里"))</f>
        <v/>
      </c>
      <c r="G1705" s="24">
        <f>IF($D1705="","",IFERROR(VLOOKUP($D1705,物料档案!$A$4:$P$1203,5,0),"※编码不在物料档案里"))</f>
        <v/>
      </c>
      <c r="H1705" s="24">
        <f>IF($D1705="","",IFERROR(VLOOKUP($D1705,物料档案!$A$4:$P$1203,2,0),"※编码不在物料档案里"))</f>
        <v/>
      </c>
      <c r="I1705" s="24">
        <f>IF($D1705="","",IFERROR(VLOOKUP($D1705,物料档案!$A$4:$P$1203,6,0),"※编码不在物料档案里"))</f>
        <v/>
      </c>
      <c r="J1705" s="23" t="n"/>
      <c r="K1705" s="17" t="n"/>
      <c r="L1705" s="17" t="n"/>
      <c r="M1705" s="17" t="n"/>
      <c r="N1705" s="17" t="n"/>
      <c r="O1705" s="26">
        <f>IF($D1705="","",IFERROR(VLOOKUP($D1705,物料档案!$A$4:$P$1203,10,0),0))</f>
        <v/>
      </c>
      <c r="P1705" s="32" t="n"/>
      <c r="Q1705" s="26">
        <f>IF($D1705="","",IF($K1705&lt;&gt;"对外销售",0,ROUND(N($J1705)*IF($P1705="",N($O1705),N($P1705)),0)))</f>
        <v/>
      </c>
      <c r="R1705" s="26">
        <f>IF($D1705="","",IFERROR(VLOOKUP($D1705,库存台账!$A$5:$Y$1204,11,0),0))</f>
        <v/>
      </c>
      <c r="S1705" s="26">
        <f>IF($D1705="","",ROUND(N($J1705)*N($R1705),0))</f>
        <v/>
      </c>
      <c r="T1705" s="26">
        <f>IF($D1705="","",IF($K1705&lt;&gt;"对外销售","",ROUND($Q1705-$S1705,0)))</f>
        <v/>
      </c>
      <c r="U1705" s="17" t="n"/>
      <c r="V1705" s="17" t="n"/>
      <c r="W1705" s="24">
        <f>IF($D1705="","",IF($E1705="※编码不在物料档案里","※物料编码不在档案里",IF(N($J1705)&lt;=0,"※出库数量要大于 0",IF($K1705="","※没填去向类型",IF($L1705="","※没填去向矿区",IF(AND($C1705&lt;&gt;"",$C1705&lt;=结账锁),"※日期早于已结账截止日，不能再录",IF(AND($K1705="自用消耗",COUNTIF({"一矿区";"二矿区"},$L1705)=0),"※自用消耗的去向只能是一矿区或二矿区",IF(AND($K1705="对外销售",COUNTIF({"三矿区";"六矿区"},$L1705)=0),"※对外销售的去向只能是三矿区或六矿区",IF(AND($K1705="对外销售",ROUND($Q1705,0)=0),"※外销却没有售价，请填实际售价",IF(AND($K1705="对外销售",$T1705&lt;&gt;"",$T1705&lt;0),"※这一笔外销是亏的，请核对售价",IF(IFERROR(VLOOKUP($D1705,库存台账!$A$5:$Y$1204,24,0),0)&lt;-0.001,"※这个物料账面已经变成负数了，查一下是不是漏记入库","")))))))))))</f>
        <v/>
      </c>
    </row>
    <row r="1706">
      <c r="A1706" s="24">
        <f>IF($D1706="","",COUNTA($D$4:$D1706))</f>
        <v/>
      </c>
      <c r="B1706" s="17" t="n"/>
      <c r="C1706" s="30" t="n"/>
      <c r="D1706" s="17" t="n"/>
      <c r="E1706" s="24">
        <f>IF($D1706="","",IFERROR(VLOOKUP($D1706,物料档案!$A$4:$P$1203,3,0),"※编码不在物料档案里"))</f>
        <v/>
      </c>
      <c r="F1706" s="24">
        <f>IF($D1706="","",IFERROR(VLOOKUP($D1706,物料档案!$A$4:$P$1203,4,0),"※编码不在物料档案里"))</f>
        <v/>
      </c>
      <c r="G1706" s="24">
        <f>IF($D1706="","",IFERROR(VLOOKUP($D1706,物料档案!$A$4:$P$1203,5,0),"※编码不在物料档案里"))</f>
        <v/>
      </c>
      <c r="H1706" s="24">
        <f>IF($D1706="","",IFERROR(VLOOKUP($D1706,物料档案!$A$4:$P$1203,2,0),"※编码不在物料档案里"))</f>
        <v/>
      </c>
      <c r="I1706" s="24">
        <f>IF($D1706="","",IFERROR(VLOOKUP($D1706,物料档案!$A$4:$P$1203,6,0),"※编码不在物料档案里"))</f>
        <v/>
      </c>
      <c r="J1706" s="23" t="n"/>
      <c r="K1706" s="17" t="n"/>
      <c r="L1706" s="17" t="n"/>
      <c r="M1706" s="17" t="n"/>
      <c r="N1706" s="17" t="n"/>
      <c r="O1706" s="26">
        <f>IF($D1706="","",IFERROR(VLOOKUP($D1706,物料档案!$A$4:$P$1203,10,0),0))</f>
        <v/>
      </c>
      <c r="P1706" s="32" t="n"/>
      <c r="Q1706" s="26">
        <f>IF($D1706="","",IF($K1706&lt;&gt;"对外销售",0,ROUND(N($J1706)*IF($P1706="",N($O1706),N($P1706)),0)))</f>
        <v/>
      </c>
      <c r="R1706" s="26">
        <f>IF($D1706="","",IFERROR(VLOOKUP($D1706,库存台账!$A$5:$Y$1204,11,0),0))</f>
        <v/>
      </c>
      <c r="S1706" s="26">
        <f>IF($D1706="","",ROUND(N($J1706)*N($R1706),0))</f>
        <v/>
      </c>
      <c r="T1706" s="26">
        <f>IF($D1706="","",IF($K1706&lt;&gt;"对外销售","",ROUND($Q1706-$S1706,0)))</f>
        <v/>
      </c>
      <c r="U1706" s="17" t="n"/>
      <c r="V1706" s="17" t="n"/>
      <c r="W1706" s="24">
        <f>IF($D1706="","",IF($E1706="※编码不在物料档案里","※物料编码不在档案里",IF(N($J1706)&lt;=0,"※出库数量要大于 0",IF($K1706="","※没填去向类型",IF($L1706="","※没填去向矿区",IF(AND($C1706&lt;&gt;"",$C1706&lt;=结账锁),"※日期早于已结账截止日，不能再录",IF(AND($K1706="自用消耗",COUNTIF({"一矿区";"二矿区"},$L1706)=0),"※自用消耗的去向只能是一矿区或二矿区",IF(AND($K1706="对外销售",COUNTIF({"三矿区";"六矿区"},$L1706)=0),"※对外销售的去向只能是三矿区或六矿区",IF(AND($K1706="对外销售",ROUND($Q1706,0)=0),"※外销却没有售价，请填实际售价",IF(AND($K1706="对外销售",$T1706&lt;&gt;"",$T1706&lt;0),"※这一笔外销是亏的，请核对售价",IF(IFERROR(VLOOKUP($D1706,库存台账!$A$5:$Y$1204,24,0),0)&lt;-0.001,"※这个物料账面已经变成负数了，查一下是不是漏记入库","")))))))))))</f>
        <v/>
      </c>
    </row>
    <row r="1707">
      <c r="A1707" s="24">
        <f>IF($D1707="","",COUNTA($D$4:$D1707))</f>
        <v/>
      </c>
      <c r="B1707" s="17" t="n"/>
      <c r="C1707" s="30" t="n"/>
      <c r="D1707" s="17" t="n"/>
      <c r="E1707" s="24">
        <f>IF($D1707="","",IFERROR(VLOOKUP($D1707,物料档案!$A$4:$P$1203,3,0),"※编码不在物料档案里"))</f>
        <v/>
      </c>
      <c r="F1707" s="24">
        <f>IF($D1707="","",IFERROR(VLOOKUP($D1707,物料档案!$A$4:$P$1203,4,0),"※编码不在物料档案里"))</f>
        <v/>
      </c>
      <c r="G1707" s="24">
        <f>IF($D1707="","",IFERROR(VLOOKUP($D1707,物料档案!$A$4:$P$1203,5,0),"※编码不在物料档案里"))</f>
        <v/>
      </c>
      <c r="H1707" s="24">
        <f>IF($D1707="","",IFERROR(VLOOKUP($D1707,物料档案!$A$4:$P$1203,2,0),"※编码不在物料档案里"))</f>
        <v/>
      </c>
      <c r="I1707" s="24">
        <f>IF($D1707="","",IFERROR(VLOOKUP($D1707,物料档案!$A$4:$P$1203,6,0),"※编码不在物料档案里"))</f>
        <v/>
      </c>
      <c r="J1707" s="23" t="n"/>
      <c r="K1707" s="17" t="n"/>
      <c r="L1707" s="17" t="n"/>
      <c r="M1707" s="17" t="n"/>
      <c r="N1707" s="17" t="n"/>
      <c r="O1707" s="26">
        <f>IF($D1707="","",IFERROR(VLOOKUP($D1707,物料档案!$A$4:$P$1203,10,0),0))</f>
        <v/>
      </c>
      <c r="P1707" s="32" t="n"/>
      <c r="Q1707" s="26">
        <f>IF($D1707="","",IF($K1707&lt;&gt;"对外销售",0,ROUND(N($J1707)*IF($P1707="",N($O1707),N($P1707)),0)))</f>
        <v/>
      </c>
      <c r="R1707" s="26">
        <f>IF($D1707="","",IFERROR(VLOOKUP($D1707,库存台账!$A$5:$Y$1204,11,0),0))</f>
        <v/>
      </c>
      <c r="S1707" s="26">
        <f>IF($D1707="","",ROUND(N($J1707)*N($R1707),0))</f>
        <v/>
      </c>
      <c r="T1707" s="26">
        <f>IF($D1707="","",IF($K1707&lt;&gt;"对外销售","",ROUND($Q1707-$S1707,0)))</f>
        <v/>
      </c>
      <c r="U1707" s="17" t="n"/>
      <c r="V1707" s="17" t="n"/>
      <c r="W1707" s="24">
        <f>IF($D1707="","",IF($E1707="※编码不在物料档案里","※物料编码不在档案里",IF(N($J1707)&lt;=0,"※出库数量要大于 0",IF($K1707="","※没填去向类型",IF($L1707="","※没填去向矿区",IF(AND($C1707&lt;&gt;"",$C1707&lt;=结账锁),"※日期早于已结账截止日，不能再录",IF(AND($K1707="自用消耗",COUNTIF({"一矿区";"二矿区"},$L1707)=0),"※自用消耗的去向只能是一矿区或二矿区",IF(AND($K1707="对外销售",COUNTIF({"三矿区";"六矿区"},$L1707)=0),"※对外销售的去向只能是三矿区或六矿区",IF(AND($K1707="对外销售",ROUND($Q1707,0)=0),"※外销却没有售价，请填实际售价",IF(AND($K1707="对外销售",$T1707&lt;&gt;"",$T1707&lt;0),"※这一笔外销是亏的，请核对售价",IF(IFERROR(VLOOKUP($D1707,库存台账!$A$5:$Y$1204,24,0),0)&lt;-0.001,"※这个物料账面已经变成负数了，查一下是不是漏记入库","")))))))))))</f>
        <v/>
      </c>
    </row>
    <row r="1708">
      <c r="A1708" s="24">
        <f>IF($D1708="","",COUNTA($D$4:$D1708))</f>
        <v/>
      </c>
      <c r="B1708" s="17" t="n"/>
      <c r="C1708" s="30" t="n"/>
      <c r="D1708" s="17" t="n"/>
      <c r="E1708" s="24">
        <f>IF($D1708="","",IFERROR(VLOOKUP($D1708,物料档案!$A$4:$P$1203,3,0),"※编码不在物料档案里"))</f>
        <v/>
      </c>
      <c r="F1708" s="24">
        <f>IF($D1708="","",IFERROR(VLOOKUP($D1708,物料档案!$A$4:$P$1203,4,0),"※编码不在物料档案里"))</f>
        <v/>
      </c>
      <c r="G1708" s="24">
        <f>IF($D1708="","",IFERROR(VLOOKUP($D1708,物料档案!$A$4:$P$1203,5,0),"※编码不在物料档案里"))</f>
        <v/>
      </c>
      <c r="H1708" s="24">
        <f>IF($D1708="","",IFERROR(VLOOKUP($D1708,物料档案!$A$4:$P$1203,2,0),"※编码不在物料档案里"))</f>
        <v/>
      </c>
      <c r="I1708" s="24">
        <f>IF($D1708="","",IFERROR(VLOOKUP($D1708,物料档案!$A$4:$P$1203,6,0),"※编码不在物料档案里"))</f>
        <v/>
      </c>
      <c r="J1708" s="23" t="n"/>
      <c r="K1708" s="17" t="n"/>
      <c r="L1708" s="17" t="n"/>
      <c r="M1708" s="17" t="n"/>
      <c r="N1708" s="17" t="n"/>
      <c r="O1708" s="26">
        <f>IF($D1708="","",IFERROR(VLOOKUP($D1708,物料档案!$A$4:$P$1203,10,0),0))</f>
        <v/>
      </c>
      <c r="P1708" s="32" t="n"/>
      <c r="Q1708" s="26">
        <f>IF($D1708="","",IF($K1708&lt;&gt;"对外销售",0,ROUND(N($J1708)*IF($P1708="",N($O1708),N($P1708)),0)))</f>
        <v/>
      </c>
      <c r="R1708" s="26">
        <f>IF($D1708="","",IFERROR(VLOOKUP($D1708,库存台账!$A$5:$Y$1204,11,0),0))</f>
        <v/>
      </c>
      <c r="S1708" s="26">
        <f>IF($D1708="","",ROUND(N($J1708)*N($R1708),0))</f>
        <v/>
      </c>
      <c r="T1708" s="26">
        <f>IF($D1708="","",IF($K1708&lt;&gt;"对外销售","",ROUND($Q1708-$S1708,0)))</f>
        <v/>
      </c>
      <c r="U1708" s="17" t="n"/>
      <c r="V1708" s="17" t="n"/>
      <c r="W1708" s="24">
        <f>IF($D1708="","",IF($E1708="※编码不在物料档案里","※物料编码不在档案里",IF(N($J1708)&lt;=0,"※出库数量要大于 0",IF($K1708="","※没填去向类型",IF($L1708="","※没填去向矿区",IF(AND($C1708&lt;&gt;"",$C1708&lt;=结账锁),"※日期早于已结账截止日，不能再录",IF(AND($K1708="自用消耗",COUNTIF({"一矿区";"二矿区"},$L1708)=0),"※自用消耗的去向只能是一矿区或二矿区",IF(AND($K1708="对外销售",COUNTIF({"三矿区";"六矿区"},$L1708)=0),"※对外销售的去向只能是三矿区或六矿区",IF(AND($K1708="对外销售",ROUND($Q1708,0)=0),"※外销却没有售价，请填实际售价",IF(AND($K1708="对外销售",$T1708&lt;&gt;"",$T1708&lt;0),"※这一笔外销是亏的，请核对售价",IF(IFERROR(VLOOKUP($D1708,库存台账!$A$5:$Y$1204,24,0),0)&lt;-0.001,"※这个物料账面已经变成负数了，查一下是不是漏记入库","")))))))))))</f>
        <v/>
      </c>
    </row>
    <row r="1709">
      <c r="A1709" s="24">
        <f>IF($D1709="","",COUNTA($D$4:$D1709))</f>
        <v/>
      </c>
      <c r="B1709" s="17" t="n"/>
      <c r="C1709" s="30" t="n"/>
      <c r="D1709" s="17" t="n"/>
      <c r="E1709" s="24">
        <f>IF($D1709="","",IFERROR(VLOOKUP($D1709,物料档案!$A$4:$P$1203,3,0),"※编码不在物料档案里"))</f>
        <v/>
      </c>
      <c r="F1709" s="24">
        <f>IF($D1709="","",IFERROR(VLOOKUP($D1709,物料档案!$A$4:$P$1203,4,0),"※编码不在物料档案里"))</f>
        <v/>
      </c>
      <c r="G1709" s="24">
        <f>IF($D1709="","",IFERROR(VLOOKUP($D1709,物料档案!$A$4:$P$1203,5,0),"※编码不在物料档案里"))</f>
        <v/>
      </c>
      <c r="H1709" s="24">
        <f>IF($D1709="","",IFERROR(VLOOKUP($D1709,物料档案!$A$4:$P$1203,2,0),"※编码不在物料档案里"))</f>
        <v/>
      </c>
      <c r="I1709" s="24">
        <f>IF($D1709="","",IFERROR(VLOOKUP($D1709,物料档案!$A$4:$P$1203,6,0),"※编码不在物料档案里"))</f>
        <v/>
      </c>
      <c r="J1709" s="23" t="n"/>
      <c r="K1709" s="17" t="n"/>
      <c r="L1709" s="17" t="n"/>
      <c r="M1709" s="17" t="n"/>
      <c r="N1709" s="17" t="n"/>
      <c r="O1709" s="26">
        <f>IF($D1709="","",IFERROR(VLOOKUP($D1709,物料档案!$A$4:$P$1203,10,0),0))</f>
        <v/>
      </c>
      <c r="P1709" s="32" t="n"/>
      <c r="Q1709" s="26">
        <f>IF($D1709="","",IF($K1709&lt;&gt;"对外销售",0,ROUND(N($J1709)*IF($P1709="",N($O1709),N($P1709)),0)))</f>
        <v/>
      </c>
      <c r="R1709" s="26">
        <f>IF($D1709="","",IFERROR(VLOOKUP($D1709,库存台账!$A$5:$Y$1204,11,0),0))</f>
        <v/>
      </c>
      <c r="S1709" s="26">
        <f>IF($D1709="","",ROUND(N($J1709)*N($R1709),0))</f>
        <v/>
      </c>
      <c r="T1709" s="26">
        <f>IF($D1709="","",IF($K1709&lt;&gt;"对外销售","",ROUND($Q1709-$S1709,0)))</f>
        <v/>
      </c>
      <c r="U1709" s="17" t="n"/>
      <c r="V1709" s="17" t="n"/>
      <c r="W1709" s="24">
        <f>IF($D1709="","",IF($E1709="※编码不在物料档案里","※物料编码不在档案里",IF(N($J1709)&lt;=0,"※出库数量要大于 0",IF($K1709="","※没填去向类型",IF($L1709="","※没填去向矿区",IF(AND($C1709&lt;&gt;"",$C1709&lt;=结账锁),"※日期早于已结账截止日，不能再录",IF(AND($K1709="自用消耗",COUNTIF({"一矿区";"二矿区"},$L1709)=0),"※自用消耗的去向只能是一矿区或二矿区",IF(AND($K1709="对外销售",COUNTIF({"三矿区";"六矿区"},$L1709)=0),"※对外销售的去向只能是三矿区或六矿区",IF(AND($K1709="对外销售",ROUND($Q1709,0)=0),"※外销却没有售价，请填实际售价",IF(AND($K1709="对外销售",$T1709&lt;&gt;"",$T1709&lt;0),"※这一笔外销是亏的，请核对售价",IF(IFERROR(VLOOKUP($D1709,库存台账!$A$5:$Y$1204,24,0),0)&lt;-0.001,"※这个物料账面已经变成负数了，查一下是不是漏记入库","")))))))))))</f>
        <v/>
      </c>
    </row>
    <row r="1710">
      <c r="A1710" s="24">
        <f>IF($D1710="","",COUNTA($D$4:$D1710))</f>
        <v/>
      </c>
      <c r="B1710" s="17" t="n"/>
      <c r="C1710" s="30" t="n"/>
      <c r="D1710" s="17" t="n"/>
      <c r="E1710" s="24">
        <f>IF($D1710="","",IFERROR(VLOOKUP($D1710,物料档案!$A$4:$P$1203,3,0),"※编码不在物料档案里"))</f>
        <v/>
      </c>
      <c r="F1710" s="24">
        <f>IF($D1710="","",IFERROR(VLOOKUP($D1710,物料档案!$A$4:$P$1203,4,0),"※编码不在物料档案里"))</f>
        <v/>
      </c>
      <c r="G1710" s="24">
        <f>IF($D1710="","",IFERROR(VLOOKUP($D1710,物料档案!$A$4:$P$1203,5,0),"※编码不在物料档案里"))</f>
        <v/>
      </c>
      <c r="H1710" s="24">
        <f>IF($D1710="","",IFERROR(VLOOKUP($D1710,物料档案!$A$4:$P$1203,2,0),"※编码不在物料档案里"))</f>
        <v/>
      </c>
      <c r="I1710" s="24">
        <f>IF($D1710="","",IFERROR(VLOOKUP($D1710,物料档案!$A$4:$P$1203,6,0),"※编码不在物料档案里"))</f>
        <v/>
      </c>
      <c r="J1710" s="23" t="n"/>
      <c r="K1710" s="17" t="n"/>
      <c r="L1710" s="17" t="n"/>
      <c r="M1710" s="17" t="n"/>
      <c r="N1710" s="17" t="n"/>
      <c r="O1710" s="26">
        <f>IF($D1710="","",IFERROR(VLOOKUP($D1710,物料档案!$A$4:$P$1203,10,0),0))</f>
        <v/>
      </c>
      <c r="P1710" s="32" t="n"/>
      <c r="Q1710" s="26">
        <f>IF($D1710="","",IF($K1710&lt;&gt;"对外销售",0,ROUND(N($J1710)*IF($P1710="",N($O1710),N($P1710)),0)))</f>
        <v/>
      </c>
      <c r="R1710" s="26">
        <f>IF($D1710="","",IFERROR(VLOOKUP($D1710,库存台账!$A$5:$Y$1204,11,0),0))</f>
        <v/>
      </c>
      <c r="S1710" s="26">
        <f>IF($D1710="","",ROUND(N($J1710)*N($R1710),0))</f>
        <v/>
      </c>
      <c r="T1710" s="26">
        <f>IF($D1710="","",IF($K1710&lt;&gt;"对外销售","",ROUND($Q1710-$S1710,0)))</f>
        <v/>
      </c>
      <c r="U1710" s="17" t="n"/>
      <c r="V1710" s="17" t="n"/>
      <c r="W1710" s="24">
        <f>IF($D1710="","",IF($E1710="※编码不在物料档案里","※物料编码不在档案里",IF(N($J1710)&lt;=0,"※出库数量要大于 0",IF($K1710="","※没填去向类型",IF($L1710="","※没填去向矿区",IF(AND($C1710&lt;&gt;"",$C1710&lt;=结账锁),"※日期早于已结账截止日，不能再录",IF(AND($K1710="自用消耗",COUNTIF({"一矿区";"二矿区"},$L1710)=0),"※自用消耗的去向只能是一矿区或二矿区",IF(AND($K1710="对外销售",COUNTIF({"三矿区";"六矿区"},$L1710)=0),"※对外销售的去向只能是三矿区或六矿区",IF(AND($K1710="对外销售",ROUND($Q1710,0)=0),"※外销却没有售价，请填实际售价",IF(AND($K1710="对外销售",$T1710&lt;&gt;"",$T1710&lt;0),"※这一笔外销是亏的，请核对售价",IF(IFERROR(VLOOKUP($D1710,库存台账!$A$5:$Y$1204,24,0),0)&lt;-0.001,"※这个物料账面已经变成负数了，查一下是不是漏记入库","")))))))))))</f>
        <v/>
      </c>
    </row>
    <row r="1711">
      <c r="A1711" s="24">
        <f>IF($D1711="","",COUNTA($D$4:$D1711))</f>
        <v/>
      </c>
      <c r="B1711" s="17" t="n"/>
      <c r="C1711" s="30" t="n"/>
      <c r="D1711" s="17" t="n"/>
      <c r="E1711" s="24">
        <f>IF($D1711="","",IFERROR(VLOOKUP($D1711,物料档案!$A$4:$P$1203,3,0),"※编码不在物料档案里"))</f>
        <v/>
      </c>
      <c r="F1711" s="24">
        <f>IF($D1711="","",IFERROR(VLOOKUP($D1711,物料档案!$A$4:$P$1203,4,0),"※编码不在物料档案里"))</f>
        <v/>
      </c>
      <c r="G1711" s="24">
        <f>IF($D1711="","",IFERROR(VLOOKUP($D1711,物料档案!$A$4:$P$1203,5,0),"※编码不在物料档案里"))</f>
        <v/>
      </c>
      <c r="H1711" s="24">
        <f>IF($D1711="","",IFERROR(VLOOKUP($D1711,物料档案!$A$4:$P$1203,2,0),"※编码不在物料档案里"))</f>
        <v/>
      </c>
      <c r="I1711" s="24">
        <f>IF($D1711="","",IFERROR(VLOOKUP($D1711,物料档案!$A$4:$P$1203,6,0),"※编码不在物料档案里"))</f>
        <v/>
      </c>
      <c r="J1711" s="23" t="n"/>
      <c r="K1711" s="17" t="n"/>
      <c r="L1711" s="17" t="n"/>
      <c r="M1711" s="17" t="n"/>
      <c r="N1711" s="17" t="n"/>
      <c r="O1711" s="26">
        <f>IF($D1711="","",IFERROR(VLOOKUP($D1711,物料档案!$A$4:$P$1203,10,0),0))</f>
        <v/>
      </c>
      <c r="P1711" s="32" t="n"/>
      <c r="Q1711" s="26">
        <f>IF($D1711="","",IF($K1711&lt;&gt;"对外销售",0,ROUND(N($J1711)*IF($P1711="",N($O1711),N($P1711)),0)))</f>
        <v/>
      </c>
      <c r="R1711" s="26">
        <f>IF($D1711="","",IFERROR(VLOOKUP($D1711,库存台账!$A$5:$Y$1204,11,0),0))</f>
        <v/>
      </c>
      <c r="S1711" s="26">
        <f>IF($D1711="","",ROUND(N($J1711)*N($R1711),0))</f>
        <v/>
      </c>
      <c r="T1711" s="26">
        <f>IF($D1711="","",IF($K1711&lt;&gt;"对外销售","",ROUND($Q1711-$S1711,0)))</f>
        <v/>
      </c>
      <c r="U1711" s="17" t="n"/>
      <c r="V1711" s="17" t="n"/>
      <c r="W1711" s="24">
        <f>IF($D1711="","",IF($E1711="※编码不在物料档案里","※物料编码不在档案里",IF(N($J1711)&lt;=0,"※出库数量要大于 0",IF($K1711="","※没填去向类型",IF($L1711="","※没填去向矿区",IF(AND($C1711&lt;&gt;"",$C1711&lt;=结账锁),"※日期早于已结账截止日，不能再录",IF(AND($K1711="自用消耗",COUNTIF({"一矿区";"二矿区"},$L1711)=0),"※自用消耗的去向只能是一矿区或二矿区",IF(AND($K1711="对外销售",COUNTIF({"三矿区";"六矿区"},$L1711)=0),"※对外销售的去向只能是三矿区或六矿区",IF(AND($K1711="对外销售",ROUND($Q1711,0)=0),"※外销却没有售价，请填实际售价",IF(AND($K1711="对外销售",$T1711&lt;&gt;"",$T1711&lt;0),"※这一笔外销是亏的，请核对售价",IF(IFERROR(VLOOKUP($D1711,库存台账!$A$5:$Y$1204,24,0),0)&lt;-0.001,"※这个物料账面已经变成负数了，查一下是不是漏记入库","")))))))))))</f>
        <v/>
      </c>
    </row>
    <row r="1712">
      <c r="A1712" s="24">
        <f>IF($D1712="","",COUNTA($D$4:$D1712))</f>
        <v/>
      </c>
      <c r="B1712" s="17" t="n"/>
      <c r="C1712" s="30" t="n"/>
      <c r="D1712" s="17" t="n"/>
      <c r="E1712" s="24">
        <f>IF($D1712="","",IFERROR(VLOOKUP($D1712,物料档案!$A$4:$P$1203,3,0),"※编码不在物料档案里"))</f>
        <v/>
      </c>
      <c r="F1712" s="24">
        <f>IF($D1712="","",IFERROR(VLOOKUP($D1712,物料档案!$A$4:$P$1203,4,0),"※编码不在物料档案里"))</f>
        <v/>
      </c>
      <c r="G1712" s="24">
        <f>IF($D1712="","",IFERROR(VLOOKUP($D1712,物料档案!$A$4:$P$1203,5,0),"※编码不在物料档案里"))</f>
        <v/>
      </c>
      <c r="H1712" s="24">
        <f>IF($D1712="","",IFERROR(VLOOKUP($D1712,物料档案!$A$4:$P$1203,2,0),"※编码不在物料档案里"))</f>
        <v/>
      </c>
      <c r="I1712" s="24">
        <f>IF($D1712="","",IFERROR(VLOOKUP($D1712,物料档案!$A$4:$P$1203,6,0),"※编码不在物料档案里"))</f>
        <v/>
      </c>
      <c r="J1712" s="23" t="n"/>
      <c r="K1712" s="17" t="n"/>
      <c r="L1712" s="17" t="n"/>
      <c r="M1712" s="17" t="n"/>
      <c r="N1712" s="17" t="n"/>
      <c r="O1712" s="26">
        <f>IF($D1712="","",IFERROR(VLOOKUP($D1712,物料档案!$A$4:$P$1203,10,0),0))</f>
        <v/>
      </c>
      <c r="P1712" s="32" t="n"/>
      <c r="Q1712" s="26">
        <f>IF($D1712="","",IF($K1712&lt;&gt;"对外销售",0,ROUND(N($J1712)*IF($P1712="",N($O1712),N($P1712)),0)))</f>
        <v/>
      </c>
      <c r="R1712" s="26">
        <f>IF($D1712="","",IFERROR(VLOOKUP($D1712,库存台账!$A$5:$Y$1204,11,0),0))</f>
        <v/>
      </c>
      <c r="S1712" s="26">
        <f>IF($D1712="","",ROUND(N($J1712)*N($R1712),0))</f>
        <v/>
      </c>
      <c r="T1712" s="26">
        <f>IF($D1712="","",IF($K1712&lt;&gt;"对外销售","",ROUND($Q1712-$S1712,0)))</f>
        <v/>
      </c>
      <c r="U1712" s="17" t="n"/>
      <c r="V1712" s="17" t="n"/>
      <c r="W1712" s="24">
        <f>IF($D1712="","",IF($E1712="※编码不在物料档案里","※物料编码不在档案里",IF(N($J1712)&lt;=0,"※出库数量要大于 0",IF($K1712="","※没填去向类型",IF($L1712="","※没填去向矿区",IF(AND($C1712&lt;&gt;"",$C1712&lt;=结账锁),"※日期早于已结账截止日，不能再录",IF(AND($K1712="自用消耗",COUNTIF({"一矿区";"二矿区"},$L1712)=0),"※自用消耗的去向只能是一矿区或二矿区",IF(AND($K1712="对外销售",COUNTIF({"三矿区";"六矿区"},$L1712)=0),"※对外销售的去向只能是三矿区或六矿区",IF(AND($K1712="对外销售",ROUND($Q1712,0)=0),"※外销却没有售价，请填实际售价",IF(AND($K1712="对外销售",$T1712&lt;&gt;"",$T1712&lt;0),"※这一笔外销是亏的，请核对售价",IF(IFERROR(VLOOKUP($D1712,库存台账!$A$5:$Y$1204,24,0),0)&lt;-0.001,"※这个物料账面已经变成负数了，查一下是不是漏记入库","")))))))))))</f>
        <v/>
      </c>
    </row>
    <row r="1713">
      <c r="A1713" s="24">
        <f>IF($D1713="","",COUNTA($D$4:$D1713))</f>
        <v/>
      </c>
      <c r="B1713" s="17" t="n"/>
      <c r="C1713" s="30" t="n"/>
      <c r="D1713" s="17" t="n"/>
      <c r="E1713" s="24">
        <f>IF($D1713="","",IFERROR(VLOOKUP($D1713,物料档案!$A$4:$P$1203,3,0),"※编码不在物料档案里"))</f>
        <v/>
      </c>
      <c r="F1713" s="24">
        <f>IF($D1713="","",IFERROR(VLOOKUP($D1713,物料档案!$A$4:$P$1203,4,0),"※编码不在物料档案里"))</f>
        <v/>
      </c>
      <c r="G1713" s="24">
        <f>IF($D1713="","",IFERROR(VLOOKUP($D1713,物料档案!$A$4:$P$1203,5,0),"※编码不在物料档案里"))</f>
        <v/>
      </c>
      <c r="H1713" s="24">
        <f>IF($D1713="","",IFERROR(VLOOKUP($D1713,物料档案!$A$4:$P$1203,2,0),"※编码不在物料档案里"))</f>
        <v/>
      </c>
      <c r="I1713" s="24">
        <f>IF($D1713="","",IFERROR(VLOOKUP($D1713,物料档案!$A$4:$P$1203,6,0),"※编码不在物料档案里"))</f>
        <v/>
      </c>
      <c r="J1713" s="23" t="n"/>
      <c r="K1713" s="17" t="n"/>
      <c r="L1713" s="17" t="n"/>
      <c r="M1713" s="17" t="n"/>
      <c r="N1713" s="17" t="n"/>
      <c r="O1713" s="26">
        <f>IF($D1713="","",IFERROR(VLOOKUP($D1713,物料档案!$A$4:$P$1203,10,0),0))</f>
        <v/>
      </c>
      <c r="P1713" s="32" t="n"/>
      <c r="Q1713" s="26">
        <f>IF($D1713="","",IF($K1713&lt;&gt;"对外销售",0,ROUND(N($J1713)*IF($P1713="",N($O1713),N($P1713)),0)))</f>
        <v/>
      </c>
      <c r="R1713" s="26">
        <f>IF($D1713="","",IFERROR(VLOOKUP($D1713,库存台账!$A$5:$Y$1204,11,0),0))</f>
        <v/>
      </c>
      <c r="S1713" s="26">
        <f>IF($D1713="","",ROUND(N($J1713)*N($R1713),0))</f>
        <v/>
      </c>
      <c r="T1713" s="26">
        <f>IF($D1713="","",IF($K1713&lt;&gt;"对外销售","",ROUND($Q1713-$S1713,0)))</f>
        <v/>
      </c>
      <c r="U1713" s="17" t="n"/>
      <c r="V1713" s="17" t="n"/>
      <c r="W1713" s="24">
        <f>IF($D1713="","",IF($E1713="※编码不在物料档案里","※物料编码不在档案里",IF(N($J1713)&lt;=0,"※出库数量要大于 0",IF($K1713="","※没填去向类型",IF($L1713="","※没填去向矿区",IF(AND($C1713&lt;&gt;"",$C1713&lt;=结账锁),"※日期早于已结账截止日，不能再录",IF(AND($K1713="自用消耗",COUNTIF({"一矿区";"二矿区"},$L1713)=0),"※自用消耗的去向只能是一矿区或二矿区",IF(AND($K1713="对外销售",COUNTIF({"三矿区";"六矿区"},$L1713)=0),"※对外销售的去向只能是三矿区或六矿区",IF(AND($K1713="对外销售",ROUND($Q1713,0)=0),"※外销却没有售价，请填实际售价",IF(AND($K1713="对外销售",$T1713&lt;&gt;"",$T1713&lt;0),"※这一笔外销是亏的，请核对售价",IF(IFERROR(VLOOKUP($D1713,库存台账!$A$5:$Y$1204,24,0),0)&lt;-0.001,"※这个物料账面已经变成负数了，查一下是不是漏记入库","")))))))))))</f>
        <v/>
      </c>
    </row>
    <row r="1714">
      <c r="A1714" s="24">
        <f>IF($D1714="","",COUNTA($D$4:$D1714))</f>
        <v/>
      </c>
      <c r="B1714" s="17" t="n"/>
      <c r="C1714" s="30" t="n"/>
      <c r="D1714" s="17" t="n"/>
      <c r="E1714" s="24">
        <f>IF($D1714="","",IFERROR(VLOOKUP($D1714,物料档案!$A$4:$P$1203,3,0),"※编码不在物料档案里"))</f>
        <v/>
      </c>
      <c r="F1714" s="24">
        <f>IF($D1714="","",IFERROR(VLOOKUP($D1714,物料档案!$A$4:$P$1203,4,0),"※编码不在物料档案里"))</f>
        <v/>
      </c>
      <c r="G1714" s="24">
        <f>IF($D1714="","",IFERROR(VLOOKUP($D1714,物料档案!$A$4:$P$1203,5,0),"※编码不在物料档案里"))</f>
        <v/>
      </c>
      <c r="H1714" s="24">
        <f>IF($D1714="","",IFERROR(VLOOKUP($D1714,物料档案!$A$4:$P$1203,2,0),"※编码不在物料档案里"))</f>
        <v/>
      </c>
      <c r="I1714" s="24">
        <f>IF($D1714="","",IFERROR(VLOOKUP($D1714,物料档案!$A$4:$P$1203,6,0),"※编码不在物料档案里"))</f>
        <v/>
      </c>
      <c r="J1714" s="23" t="n"/>
      <c r="K1714" s="17" t="n"/>
      <c r="L1714" s="17" t="n"/>
      <c r="M1714" s="17" t="n"/>
      <c r="N1714" s="17" t="n"/>
      <c r="O1714" s="26">
        <f>IF($D1714="","",IFERROR(VLOOKUP($D1714,物料档案!$A$4:$P$1203,10,0),0))</f>
        <v/>
      </c>
      <c r="P1714" s="32" t="n"/>
      <c r="Q1714" s="26">
        <f>IF($D1714="","",IF($K1714&lt;&gt;"对外销售",0,ROUND(N($J1714)*IF($P1714="",N($O1714),N($P1714)),0)))</f>
        <v/>
      </c>
      <c r="R1714" s="26">
        <f>IF($D1714="","",IFERROR(VLOOKUP($D1714,库存台账!$A$5:$Y$1204,11,0),0))</f>
        <v/>
      </c>
      <c r="S1714" s="26">
        <f>IF($D1714="","",ROUND(N($J1714)*N($R1714),0))</f>
        <v/>
      </c>
      <c r="T1714" s="26">
        <f>IF($D1714="","",IF($K1714&lt;&gt;"对外销售","",ROUND($Q1714-$S1714,0)))</f>
        <v/>
      </c>
      <c r="U1714" s="17" t="n"/>
      <c r="V1714" s="17" t="n"/>
      <c r="W1714" s="24">
        <f>IF($D1714="","",IF($E1714="※编码不在物料档案里","※物料编码不在档案里",IF(N($J1714)&lt;=0,"※出库数量要大于 0",IF($K1714="","※没填去向类型",IF($L1714="","※没填去向矿区",IF(AND($C1714&lt;&gt;"",$C1714&lt;=结账锁),"※日期早于已结账截止日，不能再录",IF(AND($K1714="自用消耗",COUNTIF({"一矿区";"二矿区"},$L1714)=0),"※自用消耗的去向只能是一矿区或二矿区",IF(AND($K1714="对外销售",COUNTIF({"三矿区";"六矿区"},$L1714)=0),"※对外销售的去向只能是三矿区或六矿区",IF(AND($K1714="对外销售",ROUND($Q1714,0)=0),"※外销却没有售价，请填实际售价",IF(AND($K1714="对外销售",$T1714&lt;&gt;"",$T1714&lt;0),"※这一笔外销是亏的，请核对售价",IF(IFERROR(VLOOKUP($D1714,库存台账!$A$5:$Y$1204,24,0),0)&lt;-0.001,"※这个物料账面已经变成负数了，查一下是不是漏记入库","")))))))))))</f>
        <v/>
      </c>
    </row>
    <row r="1715">
      <c r="A1715" s="24">
        <f>IF($D1715="","",COUNTA($D$4:$D1715))</f>
        <v/>
      </c>
      <c r="B1715" s="17" t="n"/>
      <c r="C1715" s="30" t="n"/>
      <c r="D1715" s="17" t="n"/>
      <c r="E1715" s="24">
        <f>IF($D1715="","",IFERROR(VLOOKUP($D1715,物料档案!$A$4:$P$1203,3,0),"※编码不在物料档案里"))</f>
        <v/>
      </c>
      <c r="F1715" s="24">
        <f>IF($D1715="","",IFERROR(VLOOKUP($D1715,物料档案!$A$4:$P$1203,4,0),"※编码不在物料档案里"))</f>
        <v/>
      </c>
      <c r="G1715" s="24">
        <f>IF($D1715="","",IFERROR(VLOOKUP($D1715,物料档案!$A$4:$P$1203,5,0),"※编码不在物料档案里"))</f>
        <v/>
      </c>
      <c r="H1715" s="24">
        <f>IF($D1715="","",IFERROR(VLOOKUP($D1715,物料档案!$A$4:$P$1203,2,0),"※编码不在物料档案里"))</f>
        <v/>
      </c>
      <c r="I1715" s="24">
        <f>IF($D1715="","",IFERROR(VLOOKUP($D1715,物料档案!$A$4:$P$1203,6,0),"※编码不在物料档案里"))</f>
        <v/>
      </c>
      <c r="J1715" s="23" t="n"/>
      <c r="K1715" s="17" t="n"/>
      <c r="L1715" s="17" t="n"/>
      <c r="M1715" s="17" t="n"/>
      <c r="N1715" s="17" t="n"/>
      <c r="O1715" s="26">
        <f>IF($D1715="","",IFERROR(VLOOKUP($D1715,物料档案!$A$4:$P$1203,10,0),0))</f>
        <v/>
      </c>
      <c r="P1715" s="32" t="n"/>
      <c r="Q1715" s="26">
        <f>IF($D1715="","",IF($K1715&lt;&gt;"对外销售",0,ROUND(N($J1715)*IF($P1715="",N($O1715),N($P1715)),0)))</f>
        <v/>
      </c>
      <c r="R1715" s="26">
        <f>IF($D1715="","",IFERROR(VLOOKUP($D1715,库存台账!$A$5:$Y$1204,11,0),0))</f>
        <v/>
      </c>
      <c r="S1715" s="26">
        <f>IF($D1715="","",ROUND(N($J1715)*N($R1715),0))</f>
        <v/>
      </c>
      <c r="T1715" s="26">
        <f>IF($D1715="","",IF($K1715&lt;&gt;"对外销售","",ROUND($Q1715-$S1715,0)))</f>
        <v/>
      </c>
      <c r="U1715" s="17" t="n"/>
      <c r="V1715" s="17" t="n"/>
      <c r="W1715" s="24">
        <f>IF($D1715="","",IF($E1715="※编码不在物料档案里","※物料编码不在档案里",IF(N($J1715)&lt;=0,"※出库数量要大于 0",IF($K1715="","※没填去向类型",IF($L1715="","※没填去向矿区",IF(AND($C1715&lt;&gt;"",$C1715&lt;=结账锁),"※日期早于已结账截止日，不能再录",IF(AND($K1715="自用消耗",COUNTIF({"一矿区";"二矿区"},$L1715)=0),"※自用消耗的去向只能是一矿区或二矿区",IF(AND($K1715="对外销售",COUNTIF({"三矿区";"六矿区"},$L1715)=0),"※对外销售的去向只能是三矿区或六矿区",IF(AND($K1715="对外销售",ROUND($Q1715,0)=0),"※外销却没有售价，请填实际售价",IF(AND($K1715="对外销售",$T1715&lt;&gt;"",$T1715&lt;0),"※这一笔外销是亏的，请核对售价",IF(IFERROR(VLOOKUP($D1715,库存台账!$A$5:$Y$1204,24,0),0)&lt;-0.001,"※这个物料账面已经变成负数了，查一下是不是漏记入库","")))))))))))</f>
        <v/>
      </c>
    </row>
    <row r="1716">
      <c r="A1716" s="24">
        <f>IF($D1716="","",COUNTA($D$4:$D1716))</f>
        <v/>
      </c>
      <c r="B1716" s="17" t="n"/>
      <c r="C1716" s="30" t="n"/>
      <c r="D1716" s="17" t="n"/>
      <c r="E1716" s="24">
        <f>IF($D1716="","",IFERROR(VLOOKUP($D1716,物料档案!$A$4:$P$1203,3,0),"※编码不在物料档案里"))</f>
        <v/>
      </c>
      <c r="F1716" s="24">
        <f>IF($D1716="","",IFERROR(VLOOKUP($D1716,物料档案!$A$4:$P$1203,4,0),"※编码不在物料档案里"))</f>
        <v/>
      </c>
      <c r="G1716" s="24">
        <f>IF($D1716="","",IFERROR(VLOOKUP($D1716,物料档案!$A$4:$P$1203,5,0),"※编码不在物料档案里"))</f>
        <v/>
      </c>
      <c r="H1716" s="24">
        <f>IF($D1716="","",IFERROR(VLOOKUP($D1716,物料档案!$A$4:$P$1203,2,0),"※编码不在物料档案里"))</f>
        <v/>
      </c>
      <c r="I1716" s="24">
        <f>IF($D1716="","",IFERROR(VLOOKUP($D1716,物料档案!$A$4:$P$1203,6,0),"※编码不在物料档案里"))</f>
        <v/>
      </c>
      <c r="J1716" s="23" t="n"/>
      <c r="K1716" s="17" t="n"/>
      <c r="L1716" s="17" t="n"/>
      <c r="M1716" s="17" t="n"/>
      <c r="N1716" s="17" t="n"/>
      <c r="O1716" s="26">
        <f>IF($D1716="","",IFERROR(VLOOKUP($D1716,物料档案!$A$4:$P$1203,10,0),0))</f>
        <v/>
      </c>
      <c r="P1716" s="32" t="n"/>
      <c r="Q1716" s="26">
        <f>IF($D1716="","",IF($K1716&lt;&gt;"对外销售",0,ROUND(N($J1716)*IF($P1716="",N($O1716),N($P1716)),0)))</f>
        <v/>
      </c>
      <c r="R1716" s="26">
        <f>IF($D1716="","",IFERROR(VLOOKUP($D1716,库存台账!$A$5:$Y$1204,11,0),0))</f>
        <v/>
      </c>
      <c r="S1716" s="26">
        <f>IF($D1716="","",ROUND(N($J1716)*N($R1716),0))</f>
        <v/>
      </c>
      <c r="T1716" s="26">
        <f>IF($D1716="","",IF($K1716&lt;&gt;"对外销售","",ROUND($Q1716-$S1716,0)))</f>
        <v/>
      </c>
      <c r="U1716" s="17" t="n"/>
      <c r="V1716" s="17" t="n"/>
      <c r="W1716" s="24">
        <f>IF($D1716="","",IF($E1716="※编码不在物料档案里","※物料编码不在档案里",IF(N($J1716)&lt;=0,"※出库数量要大于 0",IF($K1716="","※没填去向类型",IF($L1716="","※没填去向矿区",IF(AND($C1716&lt;&gt;"",$C1716&lt;=结账锁),"※日期早于已结账截止日，不能再录",IF(AND($K1716="自用消耗",COUNTIF({"一矿区";"二矿区"},$L1716)=0),"※自用消耗的去向只能是一矿区或二矿区",IF(AND($K1716="对外销售",COUNTIF({"三矿区";"六矿区"},$L1716)=0),"※对外销售的去向只能是三矿区或六矿区",IF(AND($K1716="对外销售",ROUND($Q1716,0)=0),"※外销却没有售价，请填实际售价",IF(AND($K1716="对外销售",$T1716&lt;&gt;"",$T1716&lt;0),"※这一笔外销是亏的，请核对售价",IF(IFERROR(VLOOKUP($D1716,库存台账!$A$5:$Y$1204,24,0),0)&lt;-0.001,"※这个物料账面已经变成负数了，查一下是不是漏记入库","")))))))))))</f>
        <v/>
      </c>
    </row>
    <row r="1717">
      <c r="A1717" s="24">
        <f>IF($D1717="","",COUNTA($D$4:$D1717))</f>
        <v/>
      </c>
      <c r="B1717" s="17" t="n"/>
      <c r="C1717" s="30" t="n"/>
      <c r="D1717" s="17" t="n"/>
      <c r="E1717" s="24">
        <f>IF($D1717="","",IFERROR(VLOOKUP($D1717,物料档案!$A$4:$P$1203,3,0),"※编码不在物料档案里"))</f>
        <v/>
      </c>
      <c r="F1717" s="24">
        <f>IF($D1717="","",IFERROR(VLOOKUP($D1717,物料档案!$A$4:$P$1203,4,0),"※编码不在物料档案里"))</f>
        <v/>
      </c>
      <c r="G1717" s="24">
        <f>IF($D1717="","",IFERROR(VLOOKUP($D1717,物料档案!$A$4:$P$1203,5,0),"※编码不在物料档案里"))</f>
        <v/>
      </c>
      <c r="H1717" s="24">
        <f>IF($D1717="","",IFERROR(VLOOKUP($D1717,物料档案!$A$4:$P$1203,2,0),"※编码不在物料档案里"))</f>
        <v/>
      </c>
      <c r="I1717" s="24">
        <f>IF($D1717="","",IFERROR(VLOOKUP($D1717,物料档案!$A$4:$P$1203,6,0),"※编码不在物料档案里"))</f>
        <v/>
      </c>
      <c r="J1717" s="23" t="n"/>
      <c r="K1717" s="17" t="n"/>
      <c r="L1717" s="17" t="n"/>
      <c r="M1717" s="17" t="n"/>
      <c r="N1717" s="17" t="n"/>
      <c r="O1717" s="26">
        <f>IF($D1717="","",IFERROR(VLOOKUP($D1717,物料档案!$A$4:$P$1203,10,0),0))</f>
        <v/>
      </c>
      <c r="P1717" s="32" t="n"/>
      <c r="Q1717" s="26">
        <f>IF($D1717="","",IF($K1717&lt;&gt;"对外销售",0,ROUND(N($J1717)*IF($P1717="",N($O1717),N($P1717)),0)))</f>
        <v/>
      </c>
      <c r="R1717" s="26">
        <f>IF($D1717="","",IFERROR(VLOOKUP($D1717,库存台账!$A$5:$Y$1204,11,0),0))</f>
        <v/>
      </c>
      <c r="S1717" s="26">
        <f>IF($D1717="","",ROUND(N($J1717)*N($R1717),0))</f>
        <v/>
      </c>
      <c r="T1717" s="26">
        <f>IF($D1717="","",IF($K1717&lt;&gt;"对外销售","",ROUND($Q1717-$S1717,0)))</f>
        <v/>
      </c>
      <c r="U1717" s="17" t="n"/>
      <c r="V1717" s="17" t="n"/>
      <c r="W1717" s="24">
        <f>IF($D1717="","",IF($E1717="※编码不在物料档案里","※物料编码不在档案里",IF(N($J1717)&lt;=0,"※出库数量要大于 0",IF($K1717="","※没填去向类型",IF($L1717="","※没填去向矿区",IF(AND($C1717&lt;&gt;"",$C1717&lt;=结账锁),"※日期早于已结账截止日，不能再录",IF(AND($K1717="自用消耗",COUNTIF({"一矿区";"二矿区"},$L1717)=0),"※自用消耗的去向只能是一矿区或二矿区",IF(AND($K1717="对外销售",COUNTIF({"三矿区";"六矿区"},$L1717)=0),"※对外销售的去向只能是三矿区或六矿区",IF(AND($K1717="对外销售",ROUND($Q1717,0)=0),"※外销却没有售价，请填实际售价",IF(AND($K1717="对外销售",$T1717&lt;&gt;"",$T1717&lt;0),"※这一笔外销是亏的，请核对售价",IF(IFERROR(VLOOKUP($D1717,库存台账!$A$5:$Y$1204,24,0),0)&lt;-0.001,"※这个物料账面已经变成负数了，查一下是不是漏记入库","")))))))))))</f>
        <v/>
      </c>
    </row>
    <row r="1718">
      <c r="A1718" s="24">
        <f>IF($D1718="","",COUNTA($D$4:$D1718))</f>
        <v/>
      </c>
      <c r="B1718" s="17" t="n"/>
      <c r="C1718" s="30" t="n"/>
      <c r="D1718" s="17" t="n"/>
      <c r="E1718" s="24">
        <f>IF($D1718="","",IFERROR(VLOOKUP($D1718,物料档案!$A$4:$P$1203,3,0),"※编码不在物料档案里"))</f>
        <v/>
      </c>
      <c r="F1718" s="24">
        <f>IF($D1718="","",IFERROR(VLOOKUP($D1718,物料档案!$A$4:$P$1203,4,0),"※编码不在物料档案里"))</f>
        <v/>
      </c>
      <c r="G1718" s="24">
        <f>IF($D1718="","",IFERROR(VLOOKUP($D1718,物料档案!$A$4:$P$1203,5,0),"※编码不在物料档案里"))</f>
        <v/>
      </c>
      <c r="H1718" s="24">
        <f>IF($D1718="","",IFERROR(VLOOKUP($D1718,物料档案!$A$4:$P$1203,2,0),"※编码不在物料档案里"))</f>
        <v/>
      </c>
      <c r="I1718" s="24">
        <f>IF($D1718="","",IFERROR(VLOOKUP($D1718,物料档案!$A$4:$P$1203,6,0),"※编码不在物料档案里"))</f>
        <v/>
      </c>
      <c r="J1718" s="23" t="n"/>
      <c r="K1718" s="17" t="n"/>
      <c r="L1718" s="17" t="n"/>
      <c r="M1718" s="17" t="n"/>
      <c r="N1718" s="17" t="n"/>
      <c r="O1718" s="26">
        <f>IF($D1718="","",IFERROR(VLOOKUP($D1718,物料档案!$A$4:$P$1203,10,0),0))</f>
        <v/>
      </c>
      <c r="P1718" s="32" t="n"/>
      <c r="Q1718" s="26">
        <f>IF($D1718="","",IF($K1718&lt;&gt;"对外销售",0,ROUND(N($J1718)*IF($P1718="",N($O1718),N($P1718)),0)))</f>
        <v/>
      </c>
      <c r="R1718" s="26">
        <f>IF($D1718="","",IFERROR(VLOOKUP($D1718,库存台账!$A$5:$Y$1204,11,0),0))</f>
        <v/>
      </c>
      <c r="S1718" s="26">
        <f>IF($D1718="","",ROUND(N($J1718)*N($R1718),0))</f>
        <v/>
      </c>
      <c r="T1718" s="26">
        <f>IF($D1718="","",IF($K1718&lt;&gt;"对外销售","",ROUND($Q1718-$S1718,0)))</f>
        <v/>
      </c>
      <c r="U1718" s="17" t="n"/>
      <c r="V1718" s="17" t="n"/>
      <c r="W1718" s="24">
        <f>IF($D1718="","",IF($E1718="※编码不在物料档案里","※物料编码不在档案里",IF(N($J1718)&lt;=0,"※出库数量要大于 0",IF($K1718="","※没填去向类型",IF($L1718="","※没填去向矿区",IF(AND($C1718&lt;&gt;"",$C1718&lt;=结账锁),"※日期早于已结账截止日，不能再录",IF(AND($K1718="自用消耗",COUNTIF({"一矿区";"二矿区"},$L1718)=0),"※自用消耗的去向只能是一矿区或二矿区",IF(AND($K1718="对外销售",COUNTIF({"三矿区";"六矿区"},$L1718)=0),"※对外销售的去向只能是三矿区或六矿区",IF(AND($K1718="对外销售",ROUND($Q1718,0)=0),"※外销却没有售价，请填实际售价",IF(AND($K1718="对外销售",$T1718&lt;&gt;"",$T1718&lt;0),"※这一笔外销是亏的，请核对售价",IF(IFERROR(VLOOKUP($D1718,库存台账!$A$5:$Y$1204,24,0),0)&lt;-0.001,"※这个物料账面已经变成负数了，查一下是不是漏记入库","")))))))))))</f>
        <v/>
      </c>
    </row>
    <row r="1719">
      <c r="A1719" s="24">
        <f>IF($D1719="","",COUNTA($D$4:$D1719))</f>
        <v/>
      </c>
      <c r="B1719" s="17" t="n"/>
      <c r="C1719" s="30" t="n"/>
      <c r="D1719" s="17" t="n"/>
      <c r="E1719" s="24">
        <f>IF($D1719="","",IFERROR(VLOOKUP($D1719,物料档案!$A$4:$P$1203,3,0),"※编码不在物料档案里"))</f>
        <v/>
      </c>
      <c r="F1719" s="24">
        <f>IF($D1719="","",IFERROR(VLOOKUP($D1719,物料档案!$A$4:$P$1203,4,0),"※编码不在物料档案里"))</f>
        <v/>
      </c>
      <c r="G1719" s="24">
        <f>IF($D1719="","",IFERROR(VLOOKUP($D1719,物料档案!$A$4:$P$1203,5,0),"※编码不在物料档案里"))</f>
        <v/>
      </c>
      <c r="H1719" s="24">
        <f>IF($D1719="","",IFERROR(VLOOKUP($D1719,物料档案!$A$4:$P$1203,2,0),"※编码不在物料档案里"))</f>
        <v/>
      </c>
      <c r="I1719" s="24">
        <f>IF($D1719="","",IFERROR(VLOOKUP($D1719,物料档案!$A$4:$P$1203,6,0),"※编码不在物料档案里"))</f>
        <v/>
      </c>
      <c r="J1719" s="23" t="n"/>
      <c r="K1719" s="17" t="n"/>
      <c r="L1719" s="17" t="n"/>
      <c r="M1719" s="17" t="n"/>
      <c r="N1719" s="17" t="n"/>
      <c r="O1719" s="26">
        <f>IF($D1719="","",IFERROR(VLOOKUP($D1719,物料档案!$A$4:$P$1203,10,0),0))</f>
        <v/>
      </c>
      <c r="P1719" s="32" t="n"/>
      <c r="Q1719" s="26">
        <f>IF($D1719="","",IF($K1719&lt;&gt;"对外销售",0,ROUND(N($J1719)*IF($P1719="",N($O1719),N($P1719)),0)))</f>
        <v/>
      </c>
      <c r="R1719" s="26">
        <f>IF($D1719="","",IFERROR(VLOOKUP($D1719,库存台账!$A$5:$Y$1204,11,0),0))</f>
        <v/>
      </c>
      <c r="S1719" s="26">
        <f>IF($D1719="","",ROUND(N($J1719)*N($R1719),0))</f>
        <v/>
      </c>
      <c r="T1719" s="26">
        <f>IF($D1719="","",IF($K1719&lt;&gt;"对外销售","",ROUND($Q1719-$S1719,0)))</f>
        <v/>
      </c>
      <c r="U1719" s="17" t="n"/>
      <c r="V1719" s="17" t="n"/>
      <c r="W1719" s="24">
        <f>IF($D1719="","",IF($E1719="※编码不在物料档案里","※物料编码不在档案里",IF(N($J1719)&lt;=0,"※出库数量要大于 0",IF($K1719="","※没填去向类型",IF($L1719="","※没填去向矿区",IF(AND($C1719&lt;&gt;"",$C1719&lt;=结账锁),"※日期早于已结账截止日，不能再录",IF(AND($K1719="自用消耗",COUNTIF({"一矿区";"二矿区"},$L1719)=0),"※自用消耗的去向只能是一矿区或二矿区",IF(AND($K1719="对外销售",COUNTIF({"三矿区";"六矿区"},$L1719)=0),"※对外销售的去向只能是三矿区或六矿区",IF(AND($K1719="对外销售",ROUND($Q1719,0)=0),"※外销却没有售价，请填实际售价",IF(AND($K1719="对外销售",$T1719&lt;&gt;"",$T1719&lt;0),"※这一笔外销是亏的，请核对售价",IF(IFERROR(VLOOKUP($D1719,库存台账!$A$5:$Y$1204,24,0),0)&lt;-0.001,"※这个物料账面已经变成负数了，查一下是不是漏记入库","")))))))))))</f>
        <v/>
      </c>
    </row>
    <row r="1720">
      <c r="A1720" s="24">
        <f>IF($D1720="","",COUNTA($D$4:$D1720))</f>
        <v/>
      </c>
      <c r="B1720" s="17" t="n"/>
      <c r="C1720" s="30" t="n"/>
      <c r="D1720" s="17" t="n"/>
      <c r="E1720" s="24">
        <f>IF($D1720="","",IFERROR(VLOOKUP($D1720,物料档案!$A$4:$P$1203,3,0),"※编码不在物料档案里"))</f>
        <v/>
      </c>
      <c r="F1720" s="24">
        <f>IF($D1720="","",IFERROR(VLOOKUP($D1720,物料档案!$A$4:$P$1203,4,0),"※编码不在物料档案里"))</f>
        <v/>
      </c>
      <c r="G1720" s="24">
        <f>IF($D1720="","",IFERROR(VLOOKUP($D1720,物料档案!$A$4:$P$1203,5,0),"※编码不在物料档案里"))</f>
        <v/>
      </c>
      <c r="H1720" s="24">
        <f>IF($D1720="","",IFERROR(VLOOKUP($D1720,物料档案!$A$4:$P$1203,2,0),"※编码不在物料档案里"))</f>
        <v/>
      </c>
      <c r="I1720" s="24">
        <f>IF($D1720="","",IFERROR(VLOOKUP($D1720,物料档案!$A$4:$P$1203,6,0),"※编码不在物料档案里"))</f>
        <v/>
      </c>
      <c r="J1720" s="23" t="n"/>
      <c r="K1720" s="17" t="n"/>
      <c r="L1720" s="17" t="n"/>
      <c r="M1720" s="17" t="n"/>
      <c r="N1720" s="17" t="n"/>
      <c r="O1720" s="26">
        <f>IF($D1720="","",IFERROR(VLOOKUP($D1720,物料档案!$A$4:$P$1203,10,0),0))</f>
        <v/>
      </c>
      <c r="P1720" s="32" t="n"/>
      <c r="Q1720" s="26">
        <f>IF($D1720="","",IF($K1720&lt;&gt;"对外销售",0,ROUND(N($J1720)*IF($P1720="",N($O1720),N($P1720)),0)))</f>
        <v/>
      </c>
      <c r="R1720" s="26">
        <f>IF($D1720="","",IFERROR(VLOOKUP($D1720,库存台账!$A$5:$Y$1204,11,0),0))</f>
        <v/>
      </c>
      <c r="S1720" s="26">
        <f>IF($D1720="","",ROUND(N($J1720)*N($R1720),0))</f>
        <v/>
      </c>
      <c r="T1720" s="26">
        <f>IF($D1720="","",IF($K1720&lt;&gt;"对外销售","",ROUND($Q1720-$S1720,0)))</f>
        <v/>
      </c>
      <c r="U1720" s="17" t="n"/>
      <c r="V1720" s="17" t="n"/>
      <c r="W1720" s="24">
        <f>IF($D1720="","",IF($E1720="※编码不在物料档案里","※物料编码不在档案里",IF(N($J1720)&lt;=0,"※出库数量要大于 0",IF($K1720="","※没填去向类型",IF($L1720="","※没填去向矿区",IF(AND($C1720&lt;&gt;"",$C1720&lt;=结账锁),"※日期早于已结账截止日，不能再录",IF(AND($K1720="自用消耗",COUNTIF({"一矿区";"二矿区"},$L1720)=0),"※自用消耗的去向只能是一矿区或二矿区",IF(AND($K1720="对外销售",COUNTIF({"三矿区";"六矿区"},$L1720)=0),"※对外销售的去向只能是三矿区或六矿区",IF(AND($K1720="对外销售",ROUND($Q1720,0)=0),"※外销却没有售价，请填实际售价",IF(AND($K1720="对外销售",$T1720&lt;&gt;"",$T1720&lt;0),"※这一笔外销是亏的，请核对售价",IF(IFERROR(VLOOKUP($D1720,库存台账!$A$5:$Y$1204,24,0),0)&lt;-0.001,"※这个物料账面已经变成负数了，查一下是不是漏记入库","")))))))))))</f>
        <v/>
      </c>
    </row>
    <row r="1721">
      <c r="A1721" s="24">
        <f>IF($D1721="","",COUNTA($D$4:$D1721))</f>
        <v/>
      </c>
      <c r="B1721" s="17" t="n"/>
      <c r="C1721" s="30" t="n"/>
      <c r="D1721" s="17" t="n"/>
      <c r="E1721" s="24">
        <f>IF($D1721="","",IFERROR(VLOOKUP($D1721,物料档案!$A$4:$P$1203,3,0),"※编码不在物料档案里"))</f>
        <v/>
      </c>
      <c r="F1721" s="24">
        <f>IF($D1721="","",IFERROR(VLOOKUP($D1721,物料档案!$A$4:$P$1203,4,0),"※编码不在物料档案里"))</f>
        <v/>
      </c>
      <c r="G1721" s="24">
        <f>IF($D1721="","",IFERROR(VLOOKUP($D1721,物料档案!$A$4:$P$1203,5,0),"※编码不在物料档案里"))</f>
        <v/>
      </c>
      <c r="H1721" s="24">
        <f>IF($D1721="","",IFERROR(VLOOKUP($D1721,物料档案!$A$4:$P$1203,2,0),"※编码不在物料档案里"))</f>
        <v/>
      </c>
      <c r="I1721" s="24">
        <f>IF($D1721="","",IFERROR(VLOOKUP($D1721,物料档案!$A$4:$P$1203,6,0),"※编码不在物料档案里"))</f>
        <v/>
      </c>
      <c r="J1721" s="23" t="n"/>
      <c r="K1721" s="17" t="n"/>
      <c r="L1721" s="17" t="n"/>
      <c r="M1721" s="17" t="n"/>
      <c r="N1721" s="17" t="n"/>
      <c r="O1721" s="26">
        <f>IF($D1721="","",IFERROR(VLOOKUP($D1721,物料档案!$A$4:$P$1203,10,0),0))</f>
        <v/>
      </c>
      <c r="P1721" s="32" t="n"/>
      <c r="Q1721" s="26">
        <f>IF($D1721="","",IF($K1721&lt;&gt;"对外销售",0,ROUND(N($J1721)*IF($P1721="",N($O1721),N($P1721)),0)))</f>
        <v/>
      </c>
      <c r="R1721" s="26">
        <f>IF($D1721="","",IFERROR(VLOOKUP($D1721,库存台账!$A$5:$Y$1204,11,0),0))</f>
        <v/>
      </c>
      <c r="S1721" s="26">
        <f>IF($D1721="","",ROUND(N($J1721)*N($R1721),0))</f>
        <v/>
      </c>
      <c r="T1721" s="26">
        <f>IF($D1721="","",IF($K1721&lt;&gt;"对外销售","",ROUND($Q1721-$S1721,0)))</f>
        <v/>
      </c>
      <c r="U1721" s="17" t="n"/>
      <c r="V1721" s="17" t="n"/>
      <c r="W1721" s="24">
        <f>IF($D1721="","",IF($E1721="※编码不在物料档案里","※物料编码不在档案里",IF(N($J1721)&lt;=0,"※出库数量要大于 0",IF($K1721="","※没填去向类型",IF($L1721="","※没填去向矿区",IF(AND($C1721&lt;&gt;"",$C1721&lt;=结账锁),"※日期早于已结账截止日，不能再录",IF(AND($K1721="自用消耗",COUNTIF({"一矿区";"二矿区"},$L1721)=0),"※自用消耗的去向只能是一矿区或二矿区",IF(AND($K1721="对外销售",COUNTIF({"三矿区";"六矿区"},$L1721)=0),"※对外销售的去向只能是三矿区或六矿区",IF(AND($K1721="对外销售",ROUND($Q1721,0)=0),"※外销却没有售价，请填实际售价",IF(AND($K1721="对外销售",$T1721&lt;&gt;"",$T1721&lt;0),"※这一笔外销是亏的，请核对售价",IF(IFERROR(VLOOKUP($D1721,库存台账!$A$5:$Y$1204,24,0),0)&lt;-0.001,"※这个物料账面已经变成负数了，查一下是不是漏记入库","")))))))))))</f>
        <v/>
      </c>
    </row>
    <row r="1722">
      <c r="A1722" s="24">
        <f>IF($D1722="","",COUNTA($D$4:$D1722))</f>
        <v/>
      </c>
      <c r="B1722" s="17" t="n"/>
      <c r="C1722" s="30" t="n"/>
      <c r="D1722" s="17" t="n"/>
      <c r="E1722" s="24">
        <f>IF($D1722="","",IFERROR(VLOOKUP($D1722,物料档案!$A$4:$P$1203,3,0),"※编码不在物料档案里"))</f>
        <v/>
      </c>
      <c r="F1722" s="24">
        <f>IF($D1722="","",IFERROR(VLOOKUP($D1722,物料档案!$A$4:$P$1203,4,0),"※编码不在物料档案里"))</f>
        <v/>
      </c>
      <c r="G1722" s="24">
        <f>IF($D1722="","",IFERROR(VLOOKUP($D1722,物料档案!$A$4:$P$1203,5,0),"※编码不在物料档案里"))</f>
        <v/>
      </c>
      <c r="H1722" s="24">
        <f>IF($D1722="","",IFERROR(VLOOKUP($D1722,物料档案!$A$4:$P$1203,2,0),"※编码不在物料档案里"))</f>
        <v/>
      </c>
      <c r="I1722" s="24">
        <f>IF($D1722="","",IFERROR(VLOOKUP($D1722,物料档案!$A$4:$P$1203,6,0),"※编码不在物料档案里"))</f>
        <v/>
      </c>
      <c r="J1722" s="23" t="n"/>
      <c r="K1722" s="17" t="n"/>
      <c r="L1722" s="17" t="n"/>
      <c r="M1722" s="17" t="n"/>
      <c r="N1722" s="17" t="n"/>
      <c r="O1722" s="26">
        <f>IF($D1722="","",IFERROR(VLOOKUP($D1722,物料档案!$A$4:$P$1203,10,0),0))</f>
        <v/>
      </c>
      <c r="P1722" s="32" t="n"/>
      <c r="Q1722" s="26">
        <f>IF($D1722="","",IF($K1722&lt;&gt;"对外销售",0,ROUND(N($J1722)*IF($P1722="",N($O1722),N($P1722)),0)))</f>
        <v/>
      </c>
      <c r="R1722" s="26">
        <f>IF($D1722="","",IFERROR(VLOOKUP($D1722,库存台账!$A$5:$Y$1204,11,0),0))</f>
        <v/>
      </c>
      <c r="S1722" s="26">
        <f>IF($D1722="","",ROUND(N($J1722)*N($R1722),0))</f>
        <v/>
      </c>
      <c r="T1722" s="26">
        <f>IF($D1722="","",IF($K1722&lt;&gt;"对外销售","",ROUND($Q1722-$S1722,0)))</f>
        <v/>
      </c>
      <c r="U1722" s="17" t="n"/>
      <c r="V1722" s="17" t="n"/>
      <c r="W1722" s="24">
        <f>IF($D1722="","",IF($E1722="※编码不在物料档案里","※物料编码不在档案里",IF(N($J1722)&lt;=0,"※出库数量要大于 0",IF($K1722="","※没填去向类型",IF($L1722="","※没填去向矿区",IF(AND($C1722&lt;&gt;"",$C1722&lt;=结账锁),"※日期早于已结账截止日，不能再录",IF(AND($K1722="自用消耗",COUNTIF({"一矿区";"二矿区"},$L1722)=0),"※自用消耗的去向只能是一矿区或二矿区",IF(AND($K1722="对外销售",COUNTIF({"三矿区";"六矿区"},$L1722)=0),"※对外销售的去向只能是三矿区或六矿区",IF(AND($K1722="对外销售",ROUND($Q1722,0)=0),"※外销却没有售价，请填实际售价",IF(AND($K1722="对外销售",$T1722&lt;&gt;"",$T1722&lt;0),"※这一笔外销是亏的，请核对售价",IF(IFERROR(VLOOKUP($D1722,库存台账!$A$5:$Y$1204,24,0),0)&lt;-0.001,"※这个物料账面已经变成负数了，查一下是不是漏记入库","")))))))))))</f>
        <v/>
      </c>
    </row>
    <row r="1723">
      <c r="A1723" s="24">
        <f>IF($D1723="","",COUNTA($D$4:$D1723))</f>
        <v/>
      </c>
      <c r="B1723" s="17" t="n"/>
      <c r="C1723" s="30" t="n"/>
      <c r="D1723" s="17" t="n"/>
      <c r="E1723" s="24">
        <f>IF($D1723="","",IFERROR(VLOOKUP($D1723,物料档案!$A$4:$P$1203,3,0),"※编码不在物料档案里"))</f>
        <v/>
      </c>
      <c r="F1723" s="24">
        <f>IF($D1723="","",IFERROR(VLOOKUP($D1723,物料档案!$A$4:$P$1203,4,0),"※编码不在物料档案里"))</f>
        <v/>
      </c>
      <c r="G1723" s="24">
        <f>IF($D1723="","",IFERROR(VLOOKUP($D1723,物料档案!$A$4:$P$1203,5,0),"※编码不在物料档案里"))</f>
        <v/>
      </c>
      <c r="H1723" s="24">
        <f>IF($D1723="","",IFERROR(VLOOKUP($D1723,物料档案!$A$4:$P$1203,2,0),"※编码不在物料档案里"))</f>
        <v/>
      </c>
      <c r="I1723" s="24">
        <f>IF($D1723="","",IFERROR(VLOOKUP($D1723,物料档案!$A$4:$P$1203,6,0),"※编码不在物料档案里"))</f>
        <v/>
      </c>
      <c r="J1723" s="23" t="n"/>
      <c r="K1723" s="17" t="n"/>
      <c r="L1723" s="17" t="n"/>
      <c r="M1723" s="17" t="n"/>
      <c r="N1723" s="17" t="n"/>
      <c r="O1723" s="26">
        <f>IF($D1723="","",IFERROR(VLOOKUP($D1723,物料档案!$A$4:$P$1203,10,0),0))</f>
        <v/>
      </c>
      <c r="P1723" s="32" t="n"/>
      <c r="Q1723" s="26">
        <f>IF($D1723="","",IF($K1723&lt;&gt;"对外销售",0,ROUND(N($J1723)*IF($P1723="",N($O1723),N($P1723)),0)))</f>
        <v/>
      </c>
      <c r="R1723" s="26">
        <f>IF($D1723="","",IFERROR(VLOOKUP($D1723,库存台账!$A$5:$Y$1204,11,0),0))</f>
        <v/>
      </c>
      <c r="S1723" s="26">
        <f>IF($D1723="","",ROUND(N($J1723)*N($R1723),0))</f>
        <v/>
      </c>
      <c r="T1723" s="26">
        <f>IF($D1723="","",IF($K1723&lt;&gt;"对外销售","",ROUND($Q1723-$S1723,0)))</f>
        <v/>
      </c>
      <c r="U1723" s="17" t="n"/>
      <c r="V1723" s="17" t="n"/>
      <c r="W1723" s="24">
        <f>IF($D1723="","",IF($E1723="※编码不在物料档案里","※物料编码不在档案里",IF(N($J1723)&lt;=0,"※出库数量要大于 0",IF($K1723="","※没填去向类型",IF($L1723="","※没填去向矿区",IF(AND($C1723&lt;&gt;"",$C1723&lt;=结账锁),"※日期早于已结账截止日，不能再录",IF(AND($K1723="自用消耗",COUNTIF({"一矿区";"二矿区"},$L1723)=0),"※自用消耗的去向只能是一矿区或二矿区",IF(AND($K1723="对外销售",COUNTIF({"三矿区";"六矿区"},$L1723)=0),"※对外销售的去向只能是三矿区或六矿区",IF(AND($K1723="对外销售",ROUND($Q1723,0)=0),"※外销却没有售价，请填实际售价",IF(AND($K1723="对外销售",$T1723&lt;&gt;"",$T1723&lt;0),"※这一笔外销是亏的，请核对售价",IF(IFERROR(VLOOKUP($D1723,库存台账!$A$5:$Y$1204,24,0),0)&lt;-0.001,"※这个物料账面已经变成负数了，查一下是不是漏记入库","")))))))))))</f>
        <v/>
      </c>
    </row>
    <row r="1724">
      <c r="A1724" s="24">
        <f>IF($D1724="","",COUNTA($D$4:$D1724))</f>
        <v/>
      </c>
      <c r="B1724" s="17" t="n"/>
      <c r="C1724" s="30" t="n"/>
      <c r="D1724" s="17" t="n"/>
      <c r="E1724" s="24">
        <f>IF($D1724="","",IFERROR(VLOOKUP($D1724,物料档案!$A$4:$P$1203,3,0),"※编码不在物料档案里"))</f>
        <v/>
      </c>
      <c r="F1724" s="24">
        <f>IF($D1724="","",IFERROR(VLOOKUP($D1724,物料档案!$A$4:$P$1203,4,0),"※编码不在物料档案里"))</f>
        <v/>
      </c>
      <c r="G1724" s="24">
        <f>IF($D1724="","",IFERROR(VLOOKUP($D1724,物料档案!$A$4:$P$1203,5,0),"※编码不在物料档案里"))</f>
        <v/>
      </c>
      <c r="H1724" s="24">
        <f>IF($D1724="","",IFERROR(VLOOKUP($D1724,物料档案!$A$4:$P$1203,2,0),"※编码不在物料档案里"))</f>
        <v/>
      </c>
      <c r="I1724" s="24">
        <f>IF($D1724="","",IFERROR(VLOOKUP($D1724,物料档案!$A$4:$P$1203,6,0),"※编码不在物料档案里"))</f>
        <v/>
      </c>
      <c r="J1724" s="23" t="n"/>
      <c r="K1724" s="17" t="n"/>
      <c r="L1724" s="17" t="n"/>
      <c r="M1724" s="17" t="n"/>
      <c r="N1724" s="17" t="n"/>
      <c r="O1724" s="26">
        <f>IF($D1724="","",IFERROR(VLOOKUP($D1724,物料档案!$A$4:$P$1203,10,0),0))</f>
        <v/>
      </c>
      <c r="P1724" s="32" t="n"/>
      <c r="Q1724" s="26">
        <f>IF($D1724="","",IF($K1724&lt;&gt;"对外销售",0,ROUND(N($J1724)*IF($P1724="",N($O1724),N($P1724)),0)))</f>
        <v/>
      </c>
      <c r="R1724" s="26">
        <f>IF($D1724="","",IFERROR(VLOOKUP($D1724,库存台账!$A$5:$Y$1204,11,0),0))</f>
        <v/>
      </c>
      <c r="S1724" s="26">
        <f>IF($D1724="","",ROUND(N($J1724)*N($R1724),0))</f>
        <v/>
      </c>
      <c r="T1724" s="26">
        <f>IF($D1724="","",IF($K1724&lt;&gt;"对外销售","",ROUND($Q1724-$S1724,0)))</f>
        <v/>
      </c>
      <c r="U1724" s="17" t="n"/>
      <c r="V1724" s="17" t="n"/>
      <c r="W1724" s="24">
        <f>IF($D1724="","",IF($E1724="※编码不在物料档案里","※物料编码不在档案里",IF(N($J1724)&lt;=0,"※出库数量要大于 0",IF($K1724="","※没填去向类型",IF($L1724="","※没填去向矿区",IF(AND($C1724&lt;&gt;"",$C1724&lt;=结账锁),"※日期早于已结账截止日，不能再录",IF(AND($K1724="自用消耗",COUNTIF({"一矿区";"二矿区"},$L1724)=0),"※自用消耗的去向只能是一矿区或二矿区",IF(AND($K1724="对外销售",COUNTIF({"三矿区";"六矿区"},$L1724)=0),"※对外销售的去向只能是三矿区或六矿区",IF(AND($K1724="对外销售",ROUND($Q1724,0)=0),"※外销却没有售价，请填实际售价",IF(AND($K1724="对外销售",$T1724&lt;&gt;"",$T1724&lt;0),"※这一笔外销是亏的，请核对售价",IF(IFERROR(VLOOKUP($D1724,库存台账!$A$5:$Y$1204,24,0),0)&lt;-0.001,"※这个物料账面已经变成负数了，查一下是不是漏记入库","")))))))))))</f>
        <v/>
      </c>
    </row>
    <row r="1725">
      <c r="A1725" s="24">
        <f>IF($D1725="","",COUNTA($D$4:$D1725))</f>
        <v/>
      </c>
      <c r="B1725" s="17" t="n"/>
      <c r="C1725" s="30" t="n"/>
      <c r="D1725" s="17" t="n"/>
      <c r="E1725" s="24">
        <f>IF($D1725="","",IFERROR(VLOOKUP($D1725,物料档案!$A$4:$P$1203,3,0),"※编码不在物料档案里"))</f>
        <v/>
      </c>
      <c r="F1725" s="24">
        <f>IF($D1725="","",IFERROR(VLOOKUP($D1725,物料档案!$A$4:$P$1203,4,0),"※编码不在物料档案里"))</f>
        <v/>
      </c>
      <c r="G1725" s="24">
        <f>IF($D1725="","",IFERROR(VLOOKUP($D1725,物料档案!$A$4:$P$1203,5,0),"※编码不在物料档案里"))</f>
        <v/>
      </c>
      <c r="H1725" s="24">
        <f>IF($D1725="","",IFERROR(VLOOKUP($D1725,物料档案!$A$4:$P$1203,2,0),"※编码不在物料档案里"))</f>
        <v/>
      </c>
      <c r="I1725" s="24">
        <f>IF($D1725="","",IFERROR(VLOOKUP($D1725,物料档案!$A$4:$P$1203,6,0),"※编码不在物料档案里"))</f>
        <v/>
      </c>
      <c r="J1725" s="23" t="n"/>
      <c r="K1725" s="17" t="n"/>
      <c r="L1725" s="17" t="n"/>
      <c r="M1725" s="17" t="n"/>
      <c r="N1725" s="17" t="n"/>
      <c r="O1725" s="26">
        <f>IF($D1725="","",IFERROR(VLOOKUP($D1725,物料档案!$A$4:$P$1203,10,0),0))</f>
        <v/>
      </c>
      <c r="P1725" s="32" t="n"/>
      <c r="Q1725" s="26">
        <f>IF($D1725="","",IF($K1725&lt;&gt;"对外销售",0,ROUND(N($J1725)*IF($P1725="",N($O1725),N($P1725)),0)))</f>
        <v/>
      </c>
      <c r="R1725" s="26">
        <f>IF($D1725="","",IFERROR(VLOOKUP($D1725,库存台账!$A$5:$Y$1204,11,0),0))</f>
        <v/>
      </c>
      <c r="S1725" s="26">
        <f>IF($D1725="","",ROUND(N($J1725)*N($R1725),0))</f>
        <v/>
      </c>
      <c r="T1725" s="26">
        <f>IF($D1725="","",IF($K1725&lt;&gt;"对外销售","",ROUND($Q1725-$S1725,0)))</f>
        <v/>
      </c>
      <c r="U1725" s="17" t="n"/>
      <c r="V1725" s="17" t="n"/>
      <c r="W1725" s="24">
        <f>IF($D1725="","",IF($E1725="※编码不在物料档案里","※物料编码不在档案里",IF(N($J1725)&lt;=0,"※出库数量要大于 0",IF($K1725="","※没填去向类型",IF($L1725="","※没填去向矿区",IF(AND($C1725&lt;&gt;"",$C1725&lt;=结账锁),"※日期早于已结账截止日，不能再录",IF(AND($K1725="自用消耗",COUNTIF({"一矿区";"二矿区"},$L1725)=0),"※自用消耗的去向只能是一矿区或二矿区",IF(AND($K1725="对外销售",COUNTIF({"三矿区";"六矿区"},$L1725)=0),"※对外销售的去向只能是三矿区或六矿区",IF(AND($K1725="对外销售",ROUND($Q1725,0)=0),"※外销却没有售价，请填实际售价",IF(AND($K1725="对外销售",$T1725&lt;&gt;"",$T1725&lt;0),"※这一笔外销是亏的，请核对售价",IF(IFERROR(VLOOKUP($D1725,库存台账!$A$5:$Y$1204,24,0),0)&lt;-0.001,"※这个物料账面已经变成负数了，查一下是不是漏记入库","")))))))))))</f>
        <v/>
      </c>
    </row>
    <row r="1726">
      <c r="A1726" s="24">
        <f>IF($D1726="","",COUNTA($D$4:$D1726))</f>
        <v/>
      </c>
      <c r="B1726" s="17" t="n"/>
      <c r="C1726" s="30" t="n"/>
      <c r="D1726" s="17" t="n"/>
      <c r="E1726" s="24">
        <f>IF($D1726="","",IFERROR(VLOOKUP($D1726,物料档案!$A$4:$P$1203,3,0),"※编码不在物料档案里"))</f>
        <v/>
      </c>
      <c r="F1726" s="24">
        <f>IF($D1726="","",IFERROR(VLOOKUP($D1726,物料档案!$A$4:$P$1203,4,0),"※编码不在物料档案里"))</f>
        <v/>
      </c>
      <c r="G1726" s="24">
        <f>IF($D1726="","",IFERROR(VLOOKUP($D1726,物料档案!$A$4:$P$1203,5,0),"※编码不在物料档案里"))</f>
        <v/>
      </c>
      <c r="H1726" s="24">
        <f>IF($D1726="","",IFERROR(VLOOKUP($D1726,物料档案!$A$4:$P$1203,2,0),"※编码不在物料档案里"))</f>
        <v/>
      </c>
      <c r="I1726" s="24">
        <f>IF($D1726="","",IFERROR(VLOOKUP($D1726,物料档案!$A$4:$P$1203,6,0),"※编码不在物料档案里"))</f>
        <v/>
      </c>
      <c r="J1726" s="23" t="n"/>
      <c r="K1726" s="17" t="n"/>
      <c r="L1726" s="17" t="n"/>
      <c r="M1726" s="17" t="n"/>
      <c r="N1726" s="17" t="n"/>
      <c r="O1726" s="26">
        <f>IF($D1726="","",IFERROR(VLOOKUP($D1726,物料档案!$A$4:$P$1203,10,0),0))</f>
        <v/>
      </c>
      <c r="P1726" s="32" t="n"/>
      <c r="Q1726" s="26">
        <f>IF($D1726="","",IF($K1726&lt;&gt;"对外销售",0,ROUND(N($J1726)*IF($P1726="",N($O1726),N($P1726)),0)))</f>
        <v/>
      </c>
      <c r="R1726" s="26">
        <f>IF($D1726="","",IFERROR(VLOOKUP($D1726,库存台账!$A$5:$Y$1204,11,0),0))</f>
        <v/>
      </c>
      <c r="S1726" s="26">
        <f>IF($D1726="","",ROUND(N($J1726)*N($R1726),0))</f>
        <v/>
      </c>
      <c r="T1726" s="26">
        <f>IF($D1726="","",IF($K1726&lt;&gt;"对外销售","",ROUND($Q1726-$S1726,0)))</f>
        <v/>
      </c>
      <c r="U1726" s="17" t="n"/>
      <c r="V1726" s="17" t="n"/>
      <c r="W1726" s="24">
        <f>IF($D1726="","",IF($E1726="※编码不在物料档案里","※物料编码不在档案里",IF(N($J1726)&lt;=0,"※出库数量要大于 0",IF($K1726="","※没填去向类型",IF($L1726="","※没填去向矿区",IF(AND($C1726&lt;&gt;"",$C1726&lt;=结账锁),"※日期早于已结账截止日，不能再录",IF(AND($K1726="自用消耗",COUNTIF({"一矿区";"二矿区"},$L1726)=0),"※自用消耗的去向只能是一矿区或二矿区",IF(AND($K1726="对外销售",COUNTIF({"三矿区";"六矿区"},$L1726)=0),"※对外销售的去向只能是三矿区或六矿区",IF(AND($K1726="对外销售",ROUND($Q1726,0)=0),"※外销却没有售价，请填实际售价",IF(AND($K1726="对外销售",$T1726&lt;&gt;"",$T1726&lt;0),"※这一笔外销是亏的，请核对售价",IF(IFERROR(VLOOKUP($D1726,库存台账!$A$5:$Y$1204,24,0),0)&lt;-0.001,"※这个物料账面已经变成负数了，查一下是不是漏记入库","")))))))))))</f>
        <v/>
      </c>
    </row>
    <row r="1727">
      <c r="A1727" s="24">
        <f>IF($D1727="","",COUNTA($D$4:$D1727))</f>
        <v/>
      </c>
      <c r="B1727" s="17" t="n"/>
      <c r="C1727" s="30" t="n"/>
      <c r="D1727" s="17" t="n"/>
      <c r="E1727" s="24">
        <f>IF($D1727="","",IFERROR(VLOOKUP($D1727,物料档案!$A$4:$P$1203,3,0),"※编码不在物料档案里"))</f>
        <v/>
      </c>
      <c r="F1727" s="24">
        <f>IF($D1727="","",IFERROR(VLOOKUP($D1727,物料档案!$A$4:$P$1203,4,0),"※编码不在物料档案里"))</f>
        <v/>
      </c>
      <c r="G1727" s="24">
        <f>IF($D1727="","",IFERROR(VLOOKUP($D1727,物料档案!$A$4:$P$1203,5,0),"※编码不在物料档案里"))</f>
        <v/>
      </c>
      <c r="H1727" s="24">
        <f>IF($D1727="","",IFERROR(VLOOKUP($D1727,物料档案!$A$4:$P$1203,2,0),"※编码不在物料档案里"))</f>
        <v/>
      </c>
      <c r="I1727" s="24">
        <f>IF($D1727="","",IFERROR(VLOOKUP($D1727,物料档案!$A$4:$P$1203,6,0),"※编码不在物料档案里"))</f>
        <v/>
      </c>
      <c r="J1727" s="23" t="n"/>
      <c r="K1727" s="17" t="n"/>
      <c r="L1727" s="17" t="n"/>
      <c r="M1727" s="17" t="n"/>
      <c r="N1727" s="17" t="n"/>
      <c r="O1727" s="26">
        <f>IF($D1727="","",IFERROR(VLOOKUP($D1727,物料档案!$A$4:$P$1203,10,0),0))</f>
        <v/>
      </c>
      <c r="P1727" s="32" t="n"/>
      <c r="Q1727" s="26">
        <f>IF($D1727="","",IF($K1727&lt;&gt;"对外销售",0,ROUND(N($J1727)*IF($P1727="",N($O1727),N($P1727)),0)))</f>
        <v/>
      </c>
      <c r="R1727" s="26">
        <f>IF($D1727="","",IFERROR(VLOOKUP($D1727,库存台账!$A$5:$Y$1204,11,0),0))</f>
        <v/>
      </c>
      <c r="S1727" s="26">
        <f>IF($D1727="","",ROUND(N($J1727)*N($R1727),0))</f>
        <v/>
      </c>
      <c r="T1727" s="26">
        <f>IF($D1727="","",IF($K1727&lt;&gt;"对外销售","",ROUND($Q1727-$S1727,0)))</f>
        <v/>
      </c>
      <c r="U1727" s="17" t="n"/>
      <c r="V1727" s="17" t="n"/>
      <c r="W1727" s="24">
        <f>IF($D1727="","",IF($E1727="※编码不在物料档案里","※物料编码不在档案里",IF(N($J1727)&lt;=0,"※出库数量要大于 0",IF($K1727="","※没填去向类型",IF($L1727="","※没填去向矿区",IF(AND($C1727&lt;&gt;"",$C1727&lt;=结账锁),"※日期早于已结账截止日，不能再录",IF(AND($K1727="自用消耗",COUNTIF({"一矿区";"二矿区"},$L1727)=0),"※自用消耗的去向只能是一矿区或二矿区",IF(AND($K1727="对外销售",COUNTIF({"三矿区";"六矿区"},$L1727)=0),"※对外销售的去向只能是三矿区或六矿区",IF(AND($K1727="对外销售",ROUND($Q1727,0)=0),"※外销却没有售价，请填实际售价",IF(AND($K1727="对外销售",$T1727&lt;&gt;"",$T1727&lt;0),"※这一笔外销是亏的，请核对售价",IF(IFERROR(VLOOKUP($D1727,库存台账!$A$5:$Y$1204,24,0),0)&lt;-0.001,"※这个物料账面已经变成负数了，查一下是不是漏记入库","")))))))))))</f>
        <v/>
      </c>
    </row>
    <row r="1728">
      <c r="A1728" s="24">
        <f>IF($D1728="","",COUNTA($D$4:$D1728))</f>
        <v/>
      </c>
      <c r="B1728" s="17" t="n"/>
      <c r="C1728" s="30" t="n"/>
      <c r="D1728" s="17" t="n"/>
      <c r="E1728" s="24">
        <f>IF($D1728="","",IFERROR(VLOOKUP($D1728,物料档案!$A$4:$P$1203,3,0),"※编码不在物料档案里"))</f>
        <v/>
      </c>
      <c r="F1728" s="24">
        <f>IF($D1728="","",IFERROR(VLOOKUP($D1728,物料档案!$A$4:$P$1203,4,0),"※编码不在物料档案里"))</f>
        <v/>
      </c>
      <c r="G1728" s="24">
        <f>IF($D1728="","",IFERROR(VLOOKUP($D1728,物料档案!$A$4:$P$1203,5,0),"※编码不在物料档案里"))</f>
        <v/>
      </c>
      <c r="H1728" s="24">
        <f>IF($D1728="","",IFERROR(VLOOKUP($D1728,物料档案!$A$4:$P$1203,2,0),"※编码不在物料档案里"))</f>
        <v/>
      </c>
      <c r="I1728" s="24">
        <f>IF($D1728="","",IFERROR(VLOOKUP($D1728,物料档案!$A$4:$P$1203,6,0),"※编码不在物料档案里"))</f>
        <v/>
      </c>
      <c r="J1728" s="23" t="n"/>
      <c r="K1728" s="17" t="n"/>
      <c r="L1728" s="17" t="n"/>
      <c r="M1728" s="17" t="n"/>
      <c r="N1728" s="17" t="n"/>
      <c r="O1728" s="26">
        <f>IF($D1728="","",IFERROR(VLOOKUP($D1728,物料档案!$A$4:$P$1203,10,0),0))</f>
        <v/>
      </c>
      <c r="P1728" s="32" t="n"/>
      <c r="Q1728" s="26">
        <f>IF($D1728="","",IF($K1728&lt;&gt;"对外销售",0,ROUND(N($J1728)*IF($P1728="",N($O1728),N($P1728)),0)))</f>
        <v/>
      </c>
      <c r="R1728" s="26">
        <f>IF($D1728="","",IFERROR(VLOOKUP($D1728,库存台账!$A$5:$Y$1204,11,0),0))</f>
        <v/>
      </c>
      <c r="S1728" s="26">
        <f>IF($D1728="","",ROUND(N($J1728)*N($R1728),0))</f>
        <v/>
      </c>
      <c r="T1728" s="26">
        <f>IF($D1728="","",IF($K1728&lt;&gt;"对外销售","",ROUND($Q1728-$S1728,0)))</f>
        <v/>
      </c>
      <c r="U1728" s="17" t="n"/>
      <c r="V1728" s="17" t="n"/>
      <c r="W1728" s="24">
        <f>IF($D1728="","",IF($E1728="※编码不在物料档案里","※物料编码不在档案里",IF(N($J1728)&lt;=0,"※出库数量要大于 0",IF($K1728="","※没填去向类型",IF($L1728="","※没填去向矿区",IF(AND($C1728&lt;&gt;"",$C1728&lt;=结账锁),"※日期早于已结账截止日，不能再录",IF(AND($K1728="自用消耗",COUNTIF({"一矿区";"二矿区"},$L1728)=0),"※自用消耗的去向只能是一矿区或二矿区",IF(AND($K1728="对外销售",COUNTIF({"三矿区";"六矿区"},$L1728)=0),"※对外销售的去向只能是三矿区或六矿区",IF(AND($K1728="对外销售",ROUND($Q1728,0)=0),"※外销却没有售价，请填实际售价",IF(AND($K1728="对外销售",$T1728&lt;&gt;"",$T1728&lt;0),"※这一笔外销是亏的，请核对售价",IF(IFERROR(VLOOKUP($D1728,库存台账!$A$5:$Y$1204,24,0),0)&lt;-0.001,"※这个物料账面已经变成负数了，查一下是不是漏记入库","")))))))))))</f>
        <v/>
      </c>
    </row>
    <row r="1729">
      <c r="A1729" s="24">
        <f>IF($D1729="","",COUNTA($D$4:$D1729))</f>
        <v/>
      </c>
      <c r="B1729" s="17" t="n"/>
      <c r="C1729" s="30" t="n"/>
      <c r="D1729" s="17" t="n"/>
      <c r="E1729" s="24">
        <f>IF($D1729="","",IFERROR(VLOOKUP($D1729,物料档案!$A$4:$P$1203,3,0),"※编码不在物料档案里"))</f>
        <v/>
      </c>
      <c r="F1729" s="24">
        <f>IF($D1729="","",IFERROR(VLOOKUP($D1729,物料档案!$A$4:$P$1203,4,0),"※编码不在物料档案里"))</f>
        <v/>
      </c>
      <c r="G1729" s="24">
        <f>IF($D1729="","",IFERROR(VLOOKUP($D1729,物料档案!$A$4:$P$1203,5,0),"※编码不在物料档案里"))</f>
        <v/>
      </c>
      <c r="H1729" s="24">
        <f>IF($D1729="","",IFERROR(VLOOKUP($D1729,物料档案!$A$4:$P$1203,2,0),"※编码不在物料档案里"))</f>
        <v/>
      </c>
      <c r="I1729" s="24">
        <f>IF($D1729="","",IFERROR(VLOOKUP($D1729,物料档案!$A$4:$P$1203,6,0),"※编码不在物料档案里"))</f>
        <v/>
      </c>
      <c r="J1729" s="23" t="n"/>
      <c r="K1729" s="17" t="n"/>
      <c r="L1729" s="17" t="n"/>
      <c r="M1729" s="17" t="n"/>
      <c r="N1729" s="17" t="n"/>
      <c r="O1729" s="26">
        <f>IF($D1729="","",IFERROR(VLOOKUP($D1729,物料档案!$A$4:$P$1203,10,0),0))</f>
        <v/>
      </c>
      <c r="P1729" s="32" t="n"/>
      <c r="Q1729" s="26">
        <f>IF($D1729="","",IF($K1729&lt;&gt;"对外销售",0,ROUND(N($J1729)*IF($P1729="",N($O1729),N($P1729)),0)))</f>
        <v/>
      </c>
      <c r="R1729" s="26">
        <f>IF($D1729="","",IFERROR(VLOOKUP($D1729,库存台账!$A$5:$Y$1204,11,0),0))</f>
        <v/>
      </c>
      <c r="S1729" s="26">
        <f>IF($D1729="","",ROUND(N($J1729)*N($R1729),0))</f>
        <v/>
      </c>
      <c r="T1729" s="26">
        <f>IF($D1729="","",IF($K1729&lt;&gt;"对外销售","",ROUND($Q1729-$S1729,0)))</f>
        <v/>
      </c>
      <c r="U1729" s="17" t="n"/>
      <c r="V1729" s="17" t="n"/>
      <c r="W1729" s="24">
        <f>IF($D1729="","",IF($E1729="※编码不在物料档案里","※物料编码不在档案里",IF(N($J1729)&lt;=0,"※出库数量要大于 0",IF($K1729="","※没填去向类型",IF($L1729="","※没填去向矿区",IF(AND($C1729&lt;&gt;"",$C1729&lt;=结账锁),"※日期早于已结账截止日，不能再录",IF(AND($K1729="自用消耗",COUNTIF({"一矿区";"二矿区"},$L1729)=0),"※自用消耗的去向只能是一矿区或二矿区",IF(AND($K1729="对外销售",COUNTIF({"三矿区";"六矿区"},$L1729)=0),"※对外销售的去向只能是三矿区或六矿区",IF(AND($K1729="对外销售",ROUND($Q1729,0)=0),"※外销却没有售价，请填实际售价",IF(AND($K1729="对外销售",$T1729&lt;&gt;"",$T1729&lt;0),"※这一笔外销是亏的，请核对售价",IF(IFERROR(VLOOKUP($D1729,库存台账!$A$5:$Y$1204,24,0),0)&lt;-0.001,"※这个物料账面已经变成负数了，查一下是不是漏记入库","")))))))))))</f>
        <v/>
      </c>
    </row>
    <row r="1730">
      <c r="A1730" s="24">
        <f>IF($D1730="","",COUNTA($D$4:$D1730))</f>
        <v/>
      </c>
      <c r="B1730" s="17" t="n"/>
      <c r="C1730" s="30" t="n"/>
      <c r="D1730" s="17" t="n"/>
      <c r="E1730" s="24">
        <f>IF($D1730="","",IFERROR(VLOOKUP($D1730,物料档案!$A$4:$P$1203,3,0),"※编码不在物料档案里"))</f>
        <v/>
      </c>
      <c r="F1730" s="24">
        <f>IF($D1730="","",IFERROR(VLOOKUP($D1730,物料档案!$A$4:$P$1203,4,0),"※编码不在物料档案里"))</f>
        <v/>
      </c>
      <c r="G1730" s="24">
        <f>IF($D1730="","",IFERROR(VLOOKUP($D1730,物料档案!$A$4:$P$1203,5,0),"※编码不在物料档案里"))</f>
        <v/>
      </c>
      <c r="H1730" s="24">
        <f>IF($D1730="","",IFERROR(VLOOKUP($D1730,物料档案!$A$4:$P$1203,2,0),"※编码不在物料档案里"))</f>
        <v/>
      </c>
      <c r="I1730" s="24">
        <f>IF($D1730="","",IFERROR(VLOOKUP($D1730,物料档案!$A$4:$P$1203,6,0),"※编码不在物料档案里"))</f>
        <v/>
      </c>
      <c r="J1730" s="23" t="n"/>
      <c r="K1730" s="17" t="n"/>
      <c r="L1730" s="17" t="n"/>
      <c r="M1730" s="17" t="n"/>
      <c r="N1730" s="17" t="n"/>
      <c r="O1730" s="26">
        <f>IF($D1730="","",IFERROR(VLOOKUP($D1730,物料档案!$A$4:$P$1203,10,0),0))</f>
        <v/>
      </c>
      <c r="P1730" s="32" t="n"/>
      <c r="Q1730" s="26">
        <f>IF($D1730="","",IF($K1730&lt;&gt;"对外销售",0,ROUND(N($J1730)*IF($P1730="",N($O1730),N($P1730)),0)))</f>
        <v/>
      </c>
      <c r="R1730" s="26">
        <f>IF($D1730="","",IFERROR(VLOOKUP($D1730,库存台账!$A$5:$Y$1204,11,0),0))</f>
        <v/>
      </c>
      <c r="S1730" s="26">
        <f>IF($D1730="","",ROUND(N($J1730)*N($R1730),0))</f>
        <v/>
      </c>
      <c r="T1730" s="26">
        <f>IF($D1730="","",IF($K1730&lt;&gt;"对外销售","",ROUND($Q1730-$S1730,0)))</f>
        <v/>
      </c>
      <c r="U1730" s="17" t="n"/>
      <c r="V1730" s="17" t="n"/>
      <c r="W1730" s="24">
        <f>IF($D1730="","",IF($E1730="※编码不在物料档案里","※物料编码不在档案里",IF(N($J1730)&lt;=0,"※出库数量要大于 0",IF($K1730="","※没填去向类型",IF($L1730="","※没填去向矿区",IF(AND($C1730&lt;&gt;"",$C1730&lt;=结账锁),"※日期早于已结账截止日，不能再录",IF(AND($K1730="自用消耗",COUNTIF({"一矿区";"二矿区"},$L1730)=0),"※自用消耗的去向只能是一矿区或二矿区",IF(AND($K1730="对外销售",COUNTIF({"三矿区";"六矿区"},$L1730)=0),"※对外销售的去向只能是三矿区或六矿区",IF(AND($K1730="对外销售",ROUND($Q1730,0)=0),"※外销却没有售价，请填实际售价",IF(AND($K1730="对外销售",$T1730&lt;&gt;"",$T1730&lt;0),"※这一笔外销是亏的，请核对售价",IF(IFERROR(VLOOKUP($D1730,库存台账!$A$5:$Y$1204,24,0),0)&lt;-0.001,"※这个物料账面已经变成负数了，查一下是不是漏记入库","")))))))))))</f>
        <v/>
      </c>
    </row>
    <row r="1731">
      <c r="A1731" s="24">
        <f>IF($D1731="","",COUNTA($D$4:$D1731))</f>
        <v/>
      </c>
      <c r="B1731" s="17" t="n"/>
      <c r="C1731" s="30" t="n"/>
      <c r="D1731" s="17" t="n"/>
      <c r="E1731" s="24">
        <f>IF($D1731="","",IFERROR(VLOOKUP($D1731,物料档案!$A$4:$P$1203,3,0),"※编码不在物料档案里"))</f>
        <v/>
      </c>
      <c r="F1731" s="24">
        <f>IF($D1731="","",IFERROR(VLOOKUP($D1731,物料档案!$A$4:$P$1203,4,0),"※编码不在物料档案里"))</f>
        <v/>
      </c>
      <c r="G1731" s="24">
        <f>IF($D1731="","",IFERROR(VLOOKUP($D1731,物料档案!$A$4:$P$1203,5,0),"※编码不在物料档案里"))</f>
        <v/>
      </c>
      <c r="H1731" s="24">
        <f>IF($D1731="","",IFERROR(VLOOKUP($D1731,物料档案!$A$4:$P$1203,2,0),"※编码不在物料档案里"))</f>
        <v/>
      </c>
      <c r="I1731" s="24">
        <f>IF($D1731="","",IFERROR(VLOOKUP($D1731,物料档案!$A$4:$P$1203,6,0),"※编码不在物料档案里"))</f>
        <v/>
      </c>
      <c r="J1731" s="23" t="n"/>
      <c r="K1731" s="17" t="n"/>
      <c r="L1731" s="17" t="n"/>
      <c r="M1731" s="17" t="n"/>
      <c r="N1731" s="17" t="n"/>
      <c r="O1731" s="26">
        <f>IF($D1731="","",IFERROR(VLOOKUP($D1731,物料档案!$A$4:$P$1203,10,0),0))</f>
        <v/>
      </c>
      <c r="P1731" s="32" t="n"/>
      <c r="Q1731" s="26">
        <f>IF($D1731="","",IF($K1731&lt;&gt;"对外销售",0,ROUND(N($J1731)*IF($P1731="",N($O1731),N($P1731)),0)))</f>
        <v/>
      </c>
      <c r="R1731" s="26">
        <f>IF($D1731="","",IFERROR(VLOOKUP($D1731,库存台账!$A$5:$Y$1204,11,0),0))</f>
        <v/>
      </c>
      <c r="S1731" s="26">
        <f>IF($D1731="","",ROUND(N($J1731)*N($R1731),0))</f>
        <v/>
      </c>
      <c r="T1731" s="26">
        <f>IF($D1731="","",IF($K1731&lt;&gt;"对外销售","",ROUND($Q1731-$S1731,0)))</f>
        <v/>
      </c>
      <c r="U1731" s="17" t="n"/>
      <c r="V1731" s="17" t="n"/>
      <c r="W1731" s="24">
        <f>IF($D1731="","",IF($E1731="※编码不在物料档案里","※物料编码不在档案里",IF(N($J1731)&lt;=0,"※出库数量要大于 0",IF($K1731="","※没填去向类型",IF($L1731="","※没填去向矿区",IF(AND($C1731&lt;&gt;"",$C1731&lt;=结账锁),"※日期早于已结账截止日，不能再录",IF(AND($K1731="自用消耗",COUNTIF({"一矿区";"二矿区"},$L1731)=0),"※自用消耗的去向只能是一矿区或二矿区",IF(AND($K1731="对外销售",COUNTIF({"三矿区";"六矿区"},$L1731)=0),"※对外销售的去向只能是三矿区或六矿区",IF(AND($K1731="对外销售",ROUND($Q1731,0)=0),"※外销却没有售价，请填实际售价",IF(AND($K1731="对外销售",$T1731&lt;&gt;"",$T1731&lt;0),"※这一笔外销是亏的，请核对售价",IF(IFERROR(VLOOKUP($D1731,库存台账!$A$5:$Y$1204,24,0),0)&lt;-0.001,"※这个物料账面已经变成负数了，查一下是不是漏记入库","")))))))))))</f>
        <v/>
      </c>
    </row>
    <row r="1732">
      <c r="A1732" s="24">
        <f>IF($D1732="","",COUNTA($D$4:$D1732))</f>
        <v/>
      </c>
      <c r="B1732" s="17" t="n"/>
      <c r="C1732" s="30" t="n"/>
      <c r="D1732" s="17" t="n"/>
      <c r="E1732" s="24">
        <f>IF($D1732="","",IFERROR(VLOOKUP($D1732,物料档案!$A$4:$P$1203,3,0),"※编码不在物料档案里"))</f>
        <v/>
      </c>
      <c r="F1732" s="24">
        <f>IF($D1732="","",IFERROR(VLOOKUP($D1732,物料档案!$A$4:$P$1203,4,0),"※编码不在物料档案里"))</f>
        <v/>
      </c>
      <c r="G1732" s="24">
        <f>IF($D1732="","",IFERROR(VLOOKUP($D1732,物料档案!$A$4:$P$1203,5,0),"※编码不在物料档案里"))</f>
        <v/>
      </c>
      <c r="H1732" s="24">
        <f>IF($D1732="","",IFERROR(VLOOKUP($D1732,物料档案!$A$4:$P$1203,2,0),"※编码不在物料档案里"))</f>
        <v/>
      </c>
      <c r="I1732" s="24">
        <f>IF($D1732="","",IFERROR(VLOOKUP($D1732,物料档案!$A$4:$P$1203,6,0),"※编码不在物料档案里"))</f>
        <v/>
      </c>
      <c r="J1732" s="23" t="n"/>
      <c r="K1732" s="17" t="n"/>
      <c r="L1732" s="17" t="n"/>
      <c r="M1732" s="17" t="n"/>
      <c r="N1732" s="17" t="n"/>
      <c r="O1732" s="26">
        <f>IF($D1732="","",IFERROR(VLOOKUP($D1732,物料档案!$A$4:$P$1203,10,0),0))</f>
        <v/>
      </c>
      <c r="P1732" s="32" t="n"/>
      <c r="Q1732" s="26">
        <f>IF($D1732="","",IF($K1732&lt;&gt;"对外销售",0,ROUND(N($J1732)*IF($P1732="",N($O1732),N($P1732)),0)))</f>
        <v/>
      </c>
      <c r="R1732" s="26">
        <f>IF($D1732="","",IFERROR(VLOOKUP($D1732,库存台账!$A$5:$Y$1204,11,0),0))</f>
        <v/>
      </c>
      <c r="S1732" s="26">
        <f>IF($D1732="","",ROUND(N($J1732)*N($R1732),0))</f>
        <v/>
      </c>
      <c r="T1732" s="26">
        <f>IF($D1732="","",IF($K1732&lt;&gt;"对外销售","",ROUND($Q1732-$S1732,0)))</f>
        <v/>
      </c>
      <c r="U1732" s="17" t="n"/>
      <c r="V1732" s="17" t="n"/>
      <c r="W1732" s="24">
        <f>IF($D1732="","",IF($E1732="※编码不在物料档案里","※物料编码不在档案里",IF(N($J1732)&lt;=0,"※出库数量要大于 0",IF($K1732="","※没填去向类型",IF($L1732="","※没填去向矿区",IF(AND($C1732&lt;&gt;"",$C1732&lt;=结账锁),"※日期早于已结账截止日，不能再录",IF(AND($K1732="自用消耗",COUNTIF({"一矿区";"二矿区"},$L1732)=0),"※自用消耗的去向只能是一矿区或二矿区",IF(AND($K1732="对外销售",COUNTIF({"三矿区";"六矿区"},$L1732)=0),"※对外销售的去向只能是三矿区或六矿区",IF(AND($K1732="对外销售",ROUND($Q1732,0)=0),"※外销却没有售价，请填实际售价",IF(AND($K1732="对外销售",$T1732&lt;&gt;"",$T1732&lt;0),"※这一笔外销是亏的，请核对售价",IF(IFERROR(VLOOKUP($D1732,库存台账!$A$5:$Y$1204,24,0),0)&lt;-0.001,"※这个物料账面已经变成负数了，查一下是不是漏记入库","")))))))))))</f>
        <v/>
      </c>
    </row>
    <row r="1733">
      <c r="A1733" s="24">
        <f>IF($D1733="","",COUNTA($D$4:$D1733))</f>
        <v/>
      </c>
      <c r="B1733" s="17" t="n"/>
      <c r="C1733" s="30" t="n"/>
      <c r="D1733" s="17" t="n"/>
      <c r="E1733" s="24">
        <f>IF($D1733="","",IFERROR(VLOOKUP($D1733,物料档案!$A$4:$P$1203,3,0),"※编码不在物料档案里"))</f>
        <v/>
      </c>
      <c r="F1733" s="24">
        <f>IF($D1733="","",IFERROR(VLOOKUP($D1733,物料档案!$A$4:$P$1203,4,0),"※编码不在物料档案里"))</f>
        <v/>
      </c>
      <c r="G1733" s="24">
        <f>IF($D1733="","",IFERROR(VLOOKUP($D1733,物料档案!$A$4:$P$1203,5,0),"※编码不在物料档案里"))</f>
        <v/>
      </c>
      <c r="H1733" s="24">
        <f>IF($D1733="","",IFERROR(VLOOKUP($D1733,物料档案!$A$4:$P$1203,2,0),"※编码不在物料档案里"))</f>
        <v/>
      </c>
      <c r="I1733" s="24">
        <f>IF($D1733="","",IFERROR(VLOOKUP($D1733,物料档案!$A$4:$P$1203,6,0),"※编码不在物料档案里"))</f>
        <v/>
      </c>
      <c r="J1733" s="23" t="n"/>
      <c r="K1733" s="17" t="n"/>
      <c r="L1733" s="17" t="n"/>
      <c r="M1733" s="17" t="n"/>
      <c r="N1733" s="17" t="n"/>
      <c r="O1733" s="26">
        <f>IF($D1733="","",IFERROR(VLOOKUP($D1733,物料档案!$A$4:$P$1203,10,0),0))</f>
        <v/>
      </c>
      <c r="P1733" s="32" t="n"/>
      <c r="Q1733" s="26">
        <f>IF($D1733="","",IF($K1733&lt;&gt;"对外销售",0,ROUND(N($J1733)*IF($P1733="",N($O1733),N($P1733)),0)))</f>
        <v/>
      </c>
      <c r="R1733" s="26">
        <f>IF($D1733="","",IFERROR(VLOOKUP($D1733,库存台账!$A$5:$Y$1204,11,0),0))</f>
        <v/>
      </c>
      <c r="S1733" s="26">
        <f>IF($D1733="","",ROUND(N($J1733)*N($R1733),0))</f>
        <v/>
      </c>
      <c r="T1733" s="26">
        <f>IF($D1733="","",IF($K1733&lt;&gt;"对外销售","",ROUND($Q1733-$S1733,0)))</f>
        <v/>
      </c>
      <c r="U1733" s="17" t="n"/>
      <c r="V1733" s="17" t="n"/>
      <c r="W1733" s="24">
        <f>IF($D1733="","",IF($E1733="※编码不在物料档案里","※物料编码不在档案里",IF(N($J1733)&lt;=0,"※出库数量要大于 0",IF($K1733="","※没填去向类型",IF($L1733="","※没填去向矿区",IF(AND($C1733&lt;&gt;"",$C1733&lt;=结账锁),"※日期早于已结账截止日，不能再录",IF(AND($K1733="自用消耗",COUNTIF({"一矿区";"二矿区"},$L1733)=0),"※自用消耗的去向只能是一矿区或二矿区",IF(AND($K1733="对外销售",COUNTIF({"三矿区";"六矿区"},$L1733)=0),"※对外销售的去向只能是三矿区或六矿区",IF(AND($K1733="对外销售",ROUND($Q1733,0)=0),"※外销却没有售价，请填实际售价",IF(AND($K1733="对外销售",$T1733&lt;&gt;"",$T1733&lt;0),"※这一笔外销是亏的，请核对售价",IF(IFERROR(VLOOKUP($D1733,库存台账!$A$5:$Y$1204,24,0),0)&lt;-0.001,"※这个物料账面已经变成负数了，查一下是不是漏记入库","")))))))))))</f>
        <v/>
      </c>
    </row>
    <row r="1734">
      <c r="A1734" s="24">
        <f>IF($D1734="","",COUNTA($D$4:$D1734))</f>
        <v/>
      </c>
      <c r="B1734" s="17" t="n"/>
      <c r="C1734" s="30" t="n"/>
      <c r="D1734" s="17" t="n"/>
      <c r="E1734" s="24">
        <f>IF($D1734="","",IFERROR(VLOOKUP($D1734,物料档案!$A$4:$P$1203,3,0),"※编码不在物料档案里"))</f>
        <v/>
      </c>
      <c r="F1734" s="24">
        <f>IF($D1734="","",IFERROR(VLOOKUP($D1734,物料档案!$A$4:$P$1203,4,0),"※编码不在物料档案里"))</f>
        <v/>
      </c>
      <c r="G1734" s="24">
        <f>IF($D1734="","",IFERROR(VLOOKUP($D1734,物料档案!$A$4:$P$1203,5,0),"※编码不在物料档案里"))</f>
        <v/>
      </c>
      <c r="H1734" s="24">
        <f>IF($D1734="","",IFERROR(VLOOKUP($D1734,物料档案!$A$4:$P$1203,2,0),"※编码不在物料档案里"))</f>
        <v/>
      </c>
      <c r="I1734" s="24">
        <f>IF($D1734="","",IFERROR(VLOOKUP($D1734,物料档案!$A$4:$P$1203,6,0),"※编码不在物料档案里"))</f>
        <v/>
      </c>
      <c r="J1734" s="23" t="n"/>
      <c r="K1734" s="17" t="n"/>
      <c r="L1734" s="17" t="n"/>
      <c r="M1734" s="17" t="n"/>
      <c r="N1734" s="17" t="n"/>
      <c r="O1734" s="26">
        <f>IF($D1734="","",IFERROR(VLOOKUP($D1734,物料档案!$A$4:$P$1203,10,0),0))</f>
        <v/>
      </c>
      <c r="P1734" s="32" t="n"/>
      <c r="Q1734" s="26">
        <f>IF($D1734="","",IF($K1734&lt;&gt;"对外销售",0,ROUND(N($J1734)*IF($P1734="",N($O1734),N($P1734)),0)))</f>
        <v/>
      </c>
      <c r="R1734" s="26">
        <f>IF($D1734="","",IFERROR(VLOOKUP($D1734,库存台账!$A$5:$Y$1204,11,0),0))</f>
        <v/>
      </c>
      <c r="S1734" s="26">
        <f>IF($D1734="","",ROUND(N($J1734)*N($R1734),0))</f>
        <v/>
      </c>
      <c r="T1734" s="26">
        <f>IF($D1734="","",IF($K1734&lt;&gt;"对外销售","",ROUND($Q1734-$S1734,0)))</f>
        <v/>
      </c>
      <c r="U1734" s="17" t="n"/>
      <c r="V1734" s="17" t="n"/>
      <c r="W1734" s="24">
        <f>IF($D1734="","",IF($E1734="※编码不在物料档案里","※物料编码不在档案里",IF(N($J1734)&lt;=0,"※出库数量要大于 0",IF($K1734="","※没填去向类型",IF($L1734="","※没填去向矿区",IF(AND($C1734&lt;&gt;"",$C1734&lt;=结账锁),"※日期早于已结账截止日，不能再录",IF(AND($K1734="自用消耗",COUNTIF({"一矿区";"二矿区"},$L1734)=0),"※自用消耗的去向只能是一矿区或二矿区",IF(AND($K1734="对外销售",COUNTIF({"三矿区";"六矿区"},$L1734)=0),"※对外销售的去向只能是三矿区或六矿区",IF(AND($K1734="对外销售",ROUND($Q1734,0)=0),"※外销却没有售价，请填实际售价",IF(AND($K1734="对外销售",$T1734&lt;&gt;"",$T1734&lt;0),"※这一笔外销是亏的，请核对售价",IF(IFERROR(VLOOKUP($D1734,库存台账!$A$5:$Y$1204,24,0),0)&lt;-0.001,"※这个物料账面已经变成负数了，查一下是不是漏记入库","")))))))))))</f>
        <v/>
      </c>
    </row>
    <row r="1735">
      <c r="A1735" s="24">
        <f>IF($D1735="","",COUNTA($D$4:$D1735))</f>
        <v/>
      </c>
      <c r="B1735" s="17" t="n"/>
      <c r="C1735" s="30" t="n"/>
      <c r="D1735" s="17" t="n"/>
      <c r="E1735" s="24">
        <f>IF($D1735="","",IFERROR(VLOOKUP($D1735,物料档案!$A$4:$P$1203,3,0),"※编码不在物料档案里"))</f>
        <v/>
      </c>
      <c r="F1735" s="24">
        <f>IF($D1735="","",IFERROR(VLOOKUP($D1735,物料档案!$A$4:$P$1203,4,0),"※编码不在物料档案里"))</f>
        <v/>
      </c>
      <c r="G1735" s="24">
        <f>IF($D1735="","",IFERROR(VLOOKUP($D1735,物料档案!$A$4:$P$1203,5,0),"※编码不在物料档案里"))</f>
        <v/>
      </c>
      <c r="H1735" s="24">
        <f>IF($D1735="","",IFERROR(VLOOKUP($D1735,物料档案!$A$4:$P$1203,2,0),"※编码不在物料档案里"))</f>
        <v/>
      </c>
      <c r="I1735" s="24">
        <f>IF($D1735="","",IFERROR(VLOOKUP($D1735,物料档案!$A$4:$P$1203,6,0),"※编码不在物料档案里"))</f>
        <v/>
      </c>
      <c r="J1735" s="23" t="n"/>
      <c r="K1735" s="17" t="n"/>
      <c r="L1735" s="17" t="n"/>
      <c r="M1735" s="17" t="n"/>
      <c r="N1735" s="17" t="n"/>
      <c r="O1735" s="26">
        <f>IF($D1735="","",IFERROR(VLOOKUP($D1735,物料档案!$A$4:$P$1203,10,0),0))</f>
        <v/>
      </c>
      <c r="P1735" s="32" t="n"/>
      <c r="Q1735" s="26">
        <f>IF($D1735="","",IF($K1735&lt;&gt;"对外销售",0,ROUND(N($J1735)*IF($P1735="",N($O1735),N($P1735)),0)))</f>
        <v/>
      </c>
      <c r="R1735" s="26">
        <f>IF($D1735="","",IFERROR(VLOOKUP($D1735,库存台账!$A$5:$Y$1204,11,0),0))</f>
        <v/>
      </c>
      <c r="S1735" s="26">
        <f>IF($D1735="","",ROUND(N($J1735)*N($R1735),0))</f>
        <v/>
      </c>
      <c r="T1735" s="26">
        <f>IF($D1735="","",IF($K1735&lt;&gt;"对外销售","",ROUND($Q1735-$S1735,0)))</f>
        <v/>
      </c>
      <c r="U1735" s="17" t="n"/>
      <c r="V1735" s="17" t="n"/>
      <c r="W1735" s="24">
        <f>IF($D1735="","",IF($E1735="※编码不在物料档案里","※物料编码不在档案里",IF(N($J1735)&lt;=0,"※出库数量要大于 0",IF($K1735="","※没填去向类型",IF($L1735="","※没填去向矿区",IF(AND($C1735&lt;&gt;"",$C1735&lt;=结账锁),"※日期早于已结账截止日，不能再录",IF(AND($K1735="自用消耗",COUNTIF({"一矿区";"二矿区"},$L1735)=0),"※自用消耗的去向只能是一矿区或二矿区",IF(AND($K1735="对外销售",COUNTIF({"三矿区";"六矿区"},$L1735)=0),"※对外销售的去向只能是三矿区或六矿区",IF(AND($K1735="对外销售",ROUND($Q1735,0)=0),"※外销却没有售价，请填实际售价",IF(AND($K1735="对外销售",$T1735&lt;&gt;"",$T1735&lt;0),"※这一笔外销是亏的，请核对售价",IF(IFERROR(VLOOKUP($D1735,库存台账!$A$5:$Y$1204,24,0),0)&lt;-0.001,"※这个物料账面已经变成负数了，查一下是不是漏记入库","")))))))))))</f>
        <v/>
      </c>
    </row>
    <row r="1736">
      <c r="A1736" s="24">
        <f>IF($D1736="","",COUNTA($D$4:$D1736))</f>
        <v/>
      </c>
      <c r="B1736" s="17" t="n"/>
      <c r="C1736" s="30" t="n"/>
      <c r="D1736" s="17" t="n"/>
      <c r="E1736" s="24">
        <f>IF($D1736="","",IFERROR(VLOOKUP($D1736,物料档案!$A$4:$P$1203,3,0),"※编码不在物料档案里"))</f>
        <v/>
      </c>
      <c r="F1736" s="24">
        <f>IF($D1736="","",IFERROR(VLOOKUP($D1736,物料档案!$A$4:$P$1203,4,0),"※编码不在物料档案里"))</f>
        <v/>
      </c>
      <c r="G1736" s="24">
        <f>IF($D1736="","",IFERROR(VLOOKUP($D1736,物料档案!$A$4:$P$1203,5,0),"※编码不在物料档案里"))</f>
        <v/>
      </c>
      <c r="H1736" s="24">
        <f>IF($D1736="","",IFERROR(VLOOKUP($D1736,物料档案!$A$4:$P$1203,2,0),"※编码不在物料档案里"))</f>
        <v/>
      </c>
      <c r="I1736" s="24">
        <f>IF($D1736="","",IFERROR(VLOOKUP($D1736,物料档案!$A$4:$P$1203,6,0),"※编码不在物料档案里"))</f>
        <v/>
      </c>
      <c r="J1736" s="23" t="n"/>
      <c r="K1736" s="17" t="n"/>
      <c r="L1736" s="17" t="n"/>
      <c r="M1736" s="17" t="n"/>
      <c r="N1736" s="17" t="n"/>
      <c r="O1736" s="26">
        <f>IF($D1736="","",IFERROR(VLOOKUP($D1736,物料档案!$A$4:$P$1203,10,0),0))</f>
        <v/>
      </c>
      <c r="P1736" s="32" t="n"/>
      <c r="Q1736" s="26">
        <f>IF($D1736="","",IF($K1736&lt;&gt;"对外销售",0,ROUND(N($J1736)*IF($P1736="",N($O1736),N($P1736)),0)))</f>
        <v/>
      </c>
      <c r="R1736" s="26">
        <f>IF($D1736="","",IFERROR(VLOOKUP($D1736,库存台账!$A$5:$Y$1204,11,0),0))</f>
        <v/>
      </c>
      <c r="S1736" s="26">
        <f>IF($D1736="","",ROUND(N($J1736)*N($R1736),0))</f>
        <v/>
      </c>
      <c r="T1736" s="26">
        <f>IF($D1736="","",IF($K1736&lt;&gt;"对外销售","",ROUND($Q1736-$S1736,0)))</f>
        <v/>
      </c>
      <c r="U1736" s="17" t="n"/>
      <c r="V1736" s="17" t="n"/>
      <c r="W1736" s="24">
        <f>IF($D1736="","",IF($E1736="※编码不在物料档案里","※物料编码不在档案里",IF(N($J1736)&lt;=0,"※出库数量要大于 0",IF($K1736="","※没填去向类型",IF($L1736="","※没填去向矿区",IF(AND($C1736&lt;&gt;"",$C1736&lt;=结账锁),"※日期早于已结账截止日，不能再录",IF(AND($K1736="自用消耗",COUNTIF({"一矿区";"二矿区"},$L1736)=0),"※自用消耗的去向只能是一矿区或二矿区",IF(AND($K1736="对外销售",COUNTIF({"三矿区";"六矿区"},$L1736)=0),"※对外销售的去向只能是三矿区或六矿区",IF(AND($K1736="对外销售",ROUND($Q1736,0)=0),"※外销却没有售价，请填实际售价",IF(AND($K1736="对外销售",$T1736&lt;&gt;"",$T1736&lt;0),"※这一笔外销是亏的，请核对售价",IF(IFERROR(VLOOKUP($D1736,库存台账!$A$5:$Y$1204,24,0),0)&lt;-0.001,"※这个物料账面已经变成负数了，查一下是不是漏记入库","")))))))))))</f>
        <v/>
      </c>
    </row>
    <row r="1737">
      <c r="A1737" s="24">
        <f>IF($D1737="","",COUNTA($D$4:$D1737))</f>
        <v/>
      </c>
      <c r="B1737" s="17" t="n"/>
      <c r="C1737" s="30" t="n"/>
      <c r="D1737" s="17" t="n"/>
      <c r="E1737" s="24">
        <f>IF($D1737="","",IFERROR(VLOOKUP($D1737,物料档案!$A$4:$P$1203,3,0),"※编码不在物料档案里"))</f>
        <v/>
      </c>
      <c r="F1737" s="24">
        <f>IF($D1737="","",IFERROR(VLOOKUP($D1737,物料档案!$A$4:$P$1203,4,0),"※编码不在物料档案里"))</f>
        <v/>
      </c>
      <c r="G1737" s="24">
        <f>IF($D1737="","",IFERROR(VLOOKUP($D1737,物料档案!$A$4:$P$1203,5,0),"※编码不在物料档案里"))</f>
        <v/>
      </c>
      <c r="H1737" s="24">
        <f>IF($D1737="","",IFERROR(VLOOKUP($D1737,物料档案!$A$4:$P$1203,2,0),"※编码不在物料档案里"))</f>
        <v/>
      </c>
      <c r="I1737" s="24">
        <f>IF($D1737="","",IFERROR(VLOOKUP($D1737,物料档案!$A$4:$P$1203,6,0),"※编码不在物料档案里"))</f>
        <v/>
      </c>
      <c r="J1737" s="23" t="n"/>
      <c r="K1737" s="17" t="n"/>
      <c r="L1737" s="17" t="n"/>
      <c r="M1737" s="17" t="n"/>
      <c r="N1737" s="17" t="n"/>
      <c r="O1737" s="26">
        <f>IF($D1737="","",IFERROR(VLOOKUP($D1737,物料档案!$A$4:$P$1203,10,0),0))</f>
        <v/>
      </c>
      <c r="P1737" s="32" t="n"/>
      <c r="Q1737" s="26">
        <f>IF($D1737="","",IF($K1737&lt;&gt;"对外销售",0,ROUND(N($J1737)*IF($P1737="",N($O1737),N($P1737)),0)))</f>
        <v/>
      </c>
      <c r="R1737" s="26">
        <f>IF($D1737="","",IFERROR(VLOOKUP($D1737,库存台账!$A$5:$Y$1204,11,0),0))</f>
        <v/>
      </c>
      <c r="S1737" s="26">
        <f>IF($D1737="","",ROUND(N($J1737)*N($R1737),0))</f>
        <v/>
      </c>
      <c r="T1737" s="26">
        <f>IF($D1737="","",IF($K1737&lt;&gt;"对外销售","",ROUND($Q1737-$S1737,0)))</f>
        <v/>
      </c>
      <c r="U1737" s="17" t="n"/>
      <c r="V1737" s="17" t="n"/>
      <c r="W1737" s="24">
        <f>IF($D1737="","",IF($E1737="※编码不在物料档案里","※物料编码不在档案里",IF(N($J1737)&lt;=0,"※出库数量要大于 0",IF($K1737="","※没填去向类型",IF($L1737="","※没填去向矿区",IF(AND($C1737&lt;&gt;"",$C1737&lt;=结账锁),"※日期早于已结账截止日，不能再录",IF(AND($K1737="自用消耗",COUNTIF({"一矿区";"二矿区"},$L1737)=0),"※自用消耗的去向只能是一矿区或二矿区",IF(AND($K1737="对外销售",COUNTIF({"三矿区";"六矿区"},$L1737)=0),"※对外销售的去向只能是三矿区或六矿区",IF(AND($K1737="对外销售",ROUND($Q1737,0)=0),"※外销却没有售价，请填实际售价",IF(AND($K1737="对外销售",$T1737&lt;&gt;"",$T1737&lt;0),"※这一笔外销是亏的，请核对售价",IF(IFERROR(VLOOKUP($D1737,库存台账!$A$5:$Y$1204,24,0),0)&lt;-0.001,"※这个物料账面已经变成负数了，查一下是不是漏记入库","")))))))))))</f>
        <v/>
      </c>
    </row>
    <row r="1738">
      <c r="A1738" s="24">
        <f>IF($D1738="","",COUNTA($D$4:$D1738))</f>
        <v/>
      </c>
      <c r="B1738" s="17" t="n"/>
      <c r="C1738" s="30" t="n"/>
      <c r="D1738" s="17" t="n"/>
      <c r="E1738" s="24">
        <f>IF($D1738="","",IFERROR(VLOOKUP($D1738,物料档案!$A$4:$P$1203,3,0),"※编码不在物料档案里"))</f>
        <v/>
      </c>
      <c r="F1738" s="24">
        <f>IF($D1738="","",IFERROR(VLOOKUP($D1738,物料档案!$A$4:$P$1203,4,0),"※编码不在物料档案里"))</f>
        <v/>
      </c>
      <c r="G1738" s="24">
        <f>IF($D1738="","",IFERROR(VLOOKUP($D1738,物料档案!$A$4:$P$1203,5,0),"※编码不在物料档案里"))</f>
        <v/>
      </c>
      <c r="H1738" s="24">
        <f>IF($D1738="","",IFERROR(VLOOKUP($D1738,物料档案!$A$4:$P$1203,2,0),"※编码不在物料档案里"))</f>
        <v/>
      </c>
      <c r="I1738" s="24">
        <f>IF($D1738="","",IFERROR(VLOOKUP($D1738,物料档案!$A$4:$P$1203,6,0),"※编码不在物料档案里"))</f>
        <v/>
      </c>
      <c r="J1738" s="23" t="n"/>
      <c r="K1738" s="17" t="n"/>
      <c r="L1738" s="17" t="n"/>
      <c r="M1738" s="17" t="n"/>
      <c r="N1738" s="17" t="n"/>
      <c r="O1738" s="26">
        <f>IF($D1738="","",IFERROR(VLOOKUP($D1738,物料档案!$A$4:$P$1203,10,0),0))</f>
        <v/>
      </c>
      <c r="P1738" s="32" t="n"/>
      <c r="Q1738" s="26">
        <f>IF($D1738="","",IF($K1738&lt;&gt;"对外销售",0,ROUND(N($J1738)*IF($P1738="",N($O1738),N($P1738)),0)))</f>
        <v/>
      </c>
      <c r="R1738" s="26">
        <f>IF($D1738="","",IFERROR(VLOOKUP($D1738,库存台账!$A$5:$Y$1204,11,0),0))</f>
        <v/>
      </c>
      <c r="S1738" s="26">
        <f>IF($D1738="","",ROUND(N($J1738)*N($R1738),0))</f>
        <v/>
      </c>
      <c r="T1738" s="26">
        <f>IF($D1738="","",IF($K1738&lt;&gt;"对外销售","",ROUND($Q1738-$S1738,0)))</f>
        <v/>
      </c>
      <c r="U1738" s="17" t="n"/>
      <c r="V1738" s="17" t="n"/>
      <c r="W1738" s="24">
        <f>IF($D1738="","",IF($E1738="※编码不在物料档案里","※物料编码不在档案里",IF(N($J1738)&lt;=0,"※出库数量要大于 0",IF($K1738="","※没填去向类型",IF($L1738="","※没填去向矿区",IF(AND($C1738&lt;&gt;"",$C1738&lt;=结账锁),"※日期早于已结账截止日，不能再录",IF(AND($K1738="自用消耗",COUNTIF({"一矿区";"二矿区"},$L1738)=0),"※自用消耗的去向只能是一矿区或二矿区",IF(AND($K1738="对外销售",COUNTIF({"三矿区";"六矿区"},$L1738)=0),"※对外销售的去向只能是三矿区或六矿区",IF(AND($K1738="对外销售",ROUND($Q1738,0)=0),"※外销却没有售价，请填实际售价",IF(AND($K1738="对外销售",$T1738&lt;&gt;"",$T1738&lt;0),"※这一笔外销是亏的，请核对售价",IF(IFERROR(VLOOKUP($D1738,库存台账!$A$5:$Y$1204,24,0),0)&lt;-0.001,"※这个物料账面已经变成负数了，查一下是不是漏记入库","")))))))))))</f>
        <v/>
      </c>
    </row>
    <row r="1739">
      <c r="A1739" s="24">
        <f>IF($D1739="","",COUNTA($D$4:$D1739))</f>
        <v/>
      </c>
      <c r="B1739" s="17" t="n"/>
      <c r="C1739" s="30" t="n"/>
      <c r="D1739" s="17" t="n"/>
      <c r="E1739" s="24">
        <f>IF($D1739="","",IFERROR(VLOOKUP($D1739,物料档案!$A$4:$P$1203,3,0),"※编码不在物料档案里"))</f>
        <v/>
      </c>
      <c r="F1739" s="24">
        <f>IF($D1739="","",IFERROR(VLOOKUP($D1739,物料档案!$A$4:$P$1203,4,0),"※编码不在物料档案里"))</f>
        <v/>
      </c>
      <c r="G1739" s="24">
        <f>IF($D1739="","",IFERROR(VLOOKUP($D1739,物料档案!$A$4:$P$1203,5,0),"※编码不在物料档案里"))</f>
        <v/>
      </c>
      <c r="H1739" s="24">
        <f>IF($D1739="","",IFERROR(VLOOKUP($D1739,物料档案!$A$4:$P$1203,2,0),"※编码不在物料档案里"))</f>
        <v/>
      </c>
      <c r="I1739" s="24">
        <f>IF($D1739="","",IFERROR(VLOOKUP($D1739,物料档案!$A$4:$P$1203,6,0),"※编码不在物料档案里"))</f>
        <v/>
      </c>
      <c r="J1739" s="23" t="n"/>
      <c r="K1739" s="17" t="n"/>
      <c r="L1739" s="17" t="n"/>
      <c r="M1739" s="17" t="n"/>
      <c r="N1739" s="17" t="n"/>
      <c r="O1739" s="26">
        <f>IF($D1739="","",IFERROR(VLOOKUP($D1739,物料档案!$A$4:$P$1203,10,0),0))</f>
        <v/>
      </c>
      <c r="P1739" s="32" t="n"/>
      <c r="Q1739" s="26">
        <f>IF($D1739="","",IF($K1739&lt;&gt;"对外销售",0,ROUND(N($J1739)*IF($P1739="",N($O1739),N($P1739)),0)))</f>
        <v/>
      </c>
      <c r="R1739" s="26">
        <f>IF($D1739="","",IFERROR(VLOOKUP($D1739,库存台账!$A$5:$Y$1204,11,0),0))</f>
        <v/>
      </c>
      <c r="S1739" s="26">
        <f>IF($D1739="","",ROUND(N($J1739)*N($R1739),0))</f>
        <v/>
      </c>
      <c r="T1739" s="26">
        <f>IF($D1739="","",IF($K1739&lt;&gt;"对外销售","",ROUND($Q1739-$S1739,0)))</f>
        <v/>
      </c>
      <c r="U1739" s="17" t="n"/>
      <c r="V1739" s="17" t="n"/>
      <c r="W1739" s="24">
        <f>IF($D1739="","",IF($E1739="※编码不在物料档案里","※物料编码不在档案里",IF(N($J1739)&lt;=0,"※出库数量要大于 0",IF($K1739="","※没填去向类型",IF($L1739="","※没填去向矿区",IF(AND($C1739&lt;&gt;"",$C1739&lt;=结账锁),"※日期早于已结账截止日，不能再录",IF(AND($K1739="自用消耗",COUNTIF({"一矿区";"二矿区"},$L1739)=0),"※自用消耗的去向只能是一矿区或二矿区",IF(AND($K1739="对外销售",COUNTIF({"三矿区";"六矿区"},$L1739)=0),"※对外销售的去向只能是三矿区或六矿区",IF(AND($K1739="对外销售",ROUND($Q1739,0)=0),"※外销却没有售价，请填实际售价",IF(AND($K1739="对外销售",$T1739&lt;&gt;"",$T1739&lt;0),"※这一笔外销是亏的，请核对售价",IF(IFERROR(VLOOKUP($D1739,库存台账!$A$5:$Y$1204,24,0),0)&lt;-0.001,"※这个物料账面已经变成负数了，查一下是不是漏记入库","")))))))))))</f>
        <v/>
      </c>
    </row>
    <row r="1740">
      <c r="A1740" s="24">
        <f>IF($D1740="","",COUNTA($D$4:$D1740))</f>
        <v/>
      </c>
      <c r="B1740" s="17" t="n"/>
      <c r="C1740" s="30" t="n"/>
      <c r="D1740" s="17" t="n"/>
      <c r="E1740" s="24">
        <f>IF($D1740="","",IFERROR(VLOOKUP($D1740,物料档案!$A$4:$P$1203,3,0),"※编码不在物料档案里"))</f>
        <v/>
      </c>
      <c r="F1740" s="24">
        <f>IF($D1740="","",IFERROR(VLOOKUP($D1740,物料档案!$A$4:$P$1203,4,0),"※编码不在物料档案里"))</f>
        <v/>
      </c>
      <c r="G1740" s="24">
        <f>IF($D1740="","",IFERROR(VLOOKUP($D1740,物料档案!$A$4:$P$1203,5,0),"※编码不在物料档案里"))</f>
        <v/>
      </c>
      <c r="H1740" s="24">
        <f>IF($D1740="","",IFERROR(VLOOKUP($D1740,物料档案!$A$4:$P$1203,2,0),"※编码不在物料档案里"))</f>
        <v/>
      </c>
      <c r="I1740" s="24">
        <f>IF($D1740="","",IFERROR(VLOOKUP($D1740,物料档案!$A$4:$P$1203,6,0),"※编码不在物料档案里"))</f>
        <v/>
      </c>
      <c r="J1740" s="23" t="n"/>
      <c r="K1740" s="17" t="n"/>
      <c r="L1740" s="17" t="n"/>
      <c r="M1740" s="17" t="n"/>
      <c r="N1740" s="17" t="n"/>
      <c r="O1740" s="26">
        <f>IF($D1740="","",IFERROR(VLOOKUP($D1740,物料档案!$A$4:$P$1203,10,0),0))</f>
        <v/>
      </c>
      <c r="P1740" s="32" t="n"/>
      <c r="Q1740" s="26">
        <f>IF($D1740="","",IF($K1740&lt;&gt;"对外销售",0,ROUND(N($J1740)*IF($P1740="",N($O1740),N($P1740)),0)))</f>
        <v/>
      </c>
      <c r="R1740" s="26">
        <f>IF($D1740="","",IFERROR(VLOOKUP($D1740,库存台账!$A$5:$Y$1204,11,0),0))</f>
        <v/>
      </c>
      <c r="S1740" s="26">
        <f>IF($D1740="","",ROUND(N($J1740)*N($R1740),0))</f>
        <v/>
      </c>
      <c r="T1740" s="26">
        <f>IF($D1740="","",IF($K1740&lt;&gt;"对外销售","",ROUND($Q1740-$S1740,0)))</f>
        <v/>
      </c>
      <c r="U1740" s="17" t="n"/>
      <c r="V1740" s="17" t="n"/>
      <c r="W1740" s="24">
        <f>IF($D1740="","",IF($E1740="※编码不在物料档案里","※物料编码不在档案里",IF(N($J1740)&lt;=0,"※出库数量要大于 0",IF($K1740="","※没填去向类型",IF($L1740="","※没填去向矿区",IF(AND($C1740&lt;&gt;"",$C1740&lt;=结账锁),"※日期早于已结账截止日，不能再录",IF(AND($K1740="自用消耗",COUNTIF({"一矿区";"二矿区"},$L1740)=0),"※自用消耗的去向只能是一矿区或二矿区",IF(AND($K1740="对外销售",COUNTIF({"三矿区";"六矿区"},$L1740)=0),"※对外销售的去向只能是三矿区或六矿区",IF(AND($K1740="对外销售",ROUND($Q1740,0)=0),"※外销却没有售价，请填实际售价",IF(AND($K1740="对外销售",$T1740&lt;&gt;"",$T1740&lt;0),"※这一笔外销是亏的，请核对售价",IF(IFERROR(VLOOKUP($D1740,库存台账!$A$5:$Y$1204,24,0),0)&lt;-0.001,"※这个物料账面已经变成负数了，查一下是不是漏记入库","")))))))))))</f>
        <v/>
      </c>
    </row>
    <row r="1741">
      <c r="A1741" s="24">
        <f>IF($D1741="","",COUNTA($D$4:$D1741))</f>
        <v/>
      </c>
      <c r="B1741" s="17" t="n"/>
      <c r="C1741" s="30" t="n"/>
      <c r="D1741" s="17" t="n"/>
      <c r="E1741" s="24">
        <f>IF($D1741="","",IFERROR(VLOOKUP($D1741,物料档案!$A$4:$P$1203,3,0),"※编码不在物料档案里"))</f>
        <v/>
      </c>
      <c r="F1741" s="24">
        <f>IF($D1741="","",IFERROR(VLOOKUP($D1741,物料档案!$A$4:$P$1203,4,0),"※编码不在物料档案里"))</f>
        <v/>
      </c>
      <c r="G1741" s="24">
        <f>IF($D1741="","",IFERROR(VLOOKUP($D1741,物料档案!$A$4:$P$1203,5,0),"※编码不在物料档案里"))</f>
        <v/>
      </c>
      <c r="H1741" s="24">
        <f>IF($D1741="","",IFERROR(VLOOKUP($D1741,物料档案!$A$4:$P$1203,2,0),"※编码不在物料档案里"))</f>
        <v/>
      </c>
      <c r="I1741" s="24">
        <f>IF($D1741="","",IFERROR(VLOOKUP($D1741,物料档案!$A$4:$P$1203,6,0),"※编码不在物料档案里"))</f>
        <v/>
      </c>
      <c r="J1741" s="23" t="n"/>
      <c r="K1741" s="17" t="n"/>
      <c r="L1741" s="17" t="n"/>
      <c r="M1741" s="17" t="n"/>
      <c r="N1741" s="17" t="n"/>
      <c r="O1741" s="26">
        <f>IF($D1741="","",IFERROR(VLOOKUP($D1741,物料档案!$A$4:$P$1203,10,0),0))</f>
        <v/>
      </c>
      <c r="P1741" s="32" t="n"/>
      <c r="Q1741" s="26">
        <f>IF($D1741="","",IF($K1741&lt;&gt;"对外销售",0,ROUND(N($J1741)*IF($P1741="",N($O1741),N($P1741)),0)))</f>
        <v/>
      </c>
      <c r="R1741" s="26">
        <f>IF($D1741="","",IFERROR(VLOOKUP($D1741,库存台账!$A$5:$Y$1204,11,0),0))</f>
        <v/>
      </c>
      <c r="S1741" s="26">
        <f>IF($D1741="","",ROUND(N($J1741)*N($R1741),0))</f>
        <v/>
      </c>
      <c r="T1741" s="26">
        <f>IF($D1741="","",IF($K1741&lt;&gt;"对外销售","",ROUND($Q1741-$S1741,0)))</f>
        <v/>
      </c>
      <c r="U1741" s="17" t="n"/>
      <c r="V1741" s="17" t="n"/>
      <c r="W1741" s="24">
        <f>IF($D1741="","",IF($E1741="※编码不在物料档案里","※物料编码不在档案里",IF(N($J1741)&lt;=0,"※出库数量要大于 0",IF($K1741="","※没填去向类型",IF($L1741="","※没填去向矿区",IF(AND($C1741&lt;&gt;"",$C1741&lt;=结账锁),"※日期早于已结账截止日，不能再录",IF(AND($K1741="自用消耗",COUNTIF({"一矿区";"二矿区"},$L1741)=0),"※自用消耗的去向只能是一矿区或二矿区",IF(AND($K1741="对外销售",COUNTIF({"三矿区";"六矿区"},$L1741)=0),"※对外销售的去向只能是三矿区或六矿区",IF(AND($K1741="对外销售",ROUND($Q1741,0)=0),"※外销却没有售价，请填实际售价",IF(AND($K1741="对外销售",$T1741&lt;&gt;"",$T1741&lt;0),"※这一笔外销是亏的，请核对售价",IF(IFERROR(VLOOKUP($D1741,库存台账!$A$5:$Y$1204,24,0),0)&lt;-0.001,"※这个物料账面已经变成负数了，查一下是不是漏记入库","")))))))))))</f>
        <v/>
      </c>
    </row>
    <row r="1742">
      <c r="A1742" s="24">
        <f>IF($D1742="","",COUNTA($D$4:$D1742))</f>
        <v/>
      </c>
      <c r="B1742" s="17" t="n"/>
      <c r="C1742" s="30" t="n"/>
      <c r="D1742" s="17" t="n"/>
      <c r="E1742" s="24">
        <f>IF($D1742="","",IFERROR(VLOOKUP($D1742,物料档案!$A$4:$P$1203,3,0),"※编码不在物料档案里"))</f>
        <v/>
      </c>
      <c r="F1742" s="24">
        <f>IF($D1742="","",IFERROR(VLOOKUP($D1742,物料档案!$A$4:$P$1203,4,0),"※编码不在物料档案里"))</f>
        <v/>
      </c>
      <c r="G1742" s="24">
        <f>IF($D1742="","",IFERROR(VLOOKUP($D1742,物料档案!$A$4:$P$1203,5,0),"※编码不在物料档案里"))</f>
        <v/>
      </c>
      <c r="H1742" s="24">
        <f>IF($D1742="","",IFERROR(VLOOKUP($D1742,物料档案!$A$4:$P$1203,2,0),"※编码不在物料档案里"))</f>
        <v/>
      </c>
      <c r="I1742" s="24">
        <f>IF($D1742="","",IFERROR(VLOOKUP($D1742,物料档案!$A$4:$P$1203,6,0),"※编码不在物料档案里"))</f>
        <v/>
      </c>
      <c r="J1742" s="23" t="n"/>
      <c r="K1742" s="17" t="n"/>
      <c r="L1742" s="17" t="n"/>
      <c r="M1742" s="17" t="n"/>
      <c r="N1742" s="17" t="n"/>
      <c r="O1742" s="26">
        <f>IF($D1742="","",IFERROR(VLOOKUP($D1742,物料档案!$A$4:$P$1203,10,0),0))</f>
        <v/>
      </c>
      <c r="P1742" s="32" t="n"/>
      <c r="Q1742" s="26">
        <f>IF($D1742="","",IF($K1742&lt;&gt;"对外销售",0,ROUND(N($J1742)*IF($P1742="",N($O1742),N($P1742)),0)))</f>
        <v/>
      </c>
      <c r="R1742" s="26">
        <f>IF($D1742="","",IFERROR(VLOOKUP($D1742,库存台账!$A$5:$Y$1204,11,0),0))</f>
        <v/>
      </c>
      <c r="S1742" s="26">
        <f>IF($D1742="","",ROUND(N($J1742)*N($R1742),0))</f>
        <v/>
      </c>
      <c r="T1742" s="26">
        <f>IF($D1742="","",IF($K1742&lt;&gt;"对外销售","",ROUND($Q1742-$S1742,0)))</f>
        <v/>
      </c>
      <c r="U1742" s="17" t="n"/>
      <c r="V1742" s="17" t="n"/>
      <c r="W1742" s="24">
        <f>IF($D1742="","",IF($E1742="※编码不在物料档案里","※物料编码不在档案里",IF(N($J1742)&lt;=0,"※出库数量要大于 0",IF($K1742="","※没填去向类型",IF($L1742="","※没填去向矿区",IF(AND($C1742&lt;&gt;"",$C1742&lt;=结账锁),"※日期早于已结账截止日，不能再录",IF(AND($K1742="自用消耗",COUNTIF({"一矿区";"二矿区"},$L1742)=0),"※自用消耗的去向只能是一矿区或二矿区",IF(AND($K1742="对外销售",COUNTIF({"三矿区";"六矿区"},$L1742)=0),"※对外销售的去向只能是三矿区或六矿区",IF(AND($K1742="对外销售",ROUND($Q1742,0)=0),"※外销却没有售价，请填实际售价",IF(AND($K1742="对外销售",$T1742&lt;&gt;"",$T1742&lt;0),"※这一笔外销是亏的，请核对售价",IF(IFERROR(VLOOKUP($D1742,库存台账!$A$5:$Y$1204,24,0),0)&lt;-0.001,"※这个物料账面已经变成负数了，查一下是不是漏记入库","")))))))))))</f>
        <v/>
      </c>
    </row>
    <row r="1743">
      <c r="A1743" s="24">
        <f>IF($D1743="","",COUNTA($D$4:$D1743))</f>
        <v/>
      </c>
      <c r="B1743" s="17" t="n"/>
      <c r="C1743" s="30" t="n"/>
      <c r="D1743" s="17" t="n"/>
      <c r="E1743" s="24">
        <f>IF($D1743="","",IFERROR(VLOOKUP($D1743,物料档案!$A$4:$P$1203,3,0),"※编码不在物料档案里"))</f>
        <v/>
      </c>
      <c r="F1743" s="24">
        <f>IF($D1743="","",IFERROR(VLOOKUP($D1743,物料档案!$A$4:$P$1203,4,0),"※编码不在物料档案里"))</f>
        <v/>
      </c>
      <c r="G1743" s="24">
        <f>IF($D1743="","",IFERROR(VLOOKUP($D1743,物料档案!$A$4:$P$1203,5,0),"※编码不在物料档案里"))</f>
        <v/>
      </c>
      <c r="H1743" s="24">
        <f>IF($D1743="","",IFERROR(VLOOKUP($D1743,物料档案!$A$4:$P$1203,2,0),"※编码不在物料档案里"))</f>
        <v/>
      </c>
      <c r="I1743" s="24">
        <f>IF($D1743="","",IFERROR(VLOOKUP($D1743,物料档案!$A$4:$P$1203,6,0),"※编码不在物料档案里"))</f>
        <v/>
      </c>
      <c r="J1743" s="23" t="n"/>
      <c r="K1743" s="17" t="n"/>
      <c r="L1743" s="17" t="n"/>
      <c r="M1743" s="17" t="n"/>
      <c r="N1743" s="17" t="n"/>
      <c r="O1743" s="26">
        <f>IF($D1743="","",IFERROR(VLOOKUP($D1743,物料档案!$A$4:$P$1203,10,0),0))</f>
        <v/>
      </c>
      <c r="P1743" s="32" t="n"/>
      <c r="Q1743" s="26">
        <f>IF($D1743="","",IF($K1743&lt;&gt;"对外销售",0,ROUND(N($J1743)*IF($P1743="",N($O1743),N($P1743)),0)))</f>
        <v/>
      </c>
      <c r="R1743" s="26">
        <f>IF($D1743="","",IFERROR(VLOOKUP($D1743,库存台账!$A$5:$Y$1204,11,0),0))</f>
        <v/>
      </c>
      <c r="S1743" s="26">
        <f>IF($D1743="","",ROUND(N($J1743)*N($R1743),0))</f>
        <v/>
      </c>
      <c r="T1743" s="26">
        <f>IF($D1743="","",IF($K1743&lt;&gt;"对外销售","",ROUND($Q1743-$S1743,0)))</f>
        <v/>
      </c>
      <c r="U1743" s="17" t="n"/>
      <c r="V1743" s="17" t="n"/>
      <c r="W1743" s="24">
        <f>IF($D1743="","",IF($E1743="※编码不在物料档案里","※物料编码不在档案里",IF(N($J1743)&lt;=0,"※出库数量要大于 0",IF($K1743="","※没填去向类型",IF($L1743="","※没填去向矿区",IF(AND($C1743&lt;&gt;"",$C1743&lt;=结账锁),"※日期早于已结账截止日，不能再录",IF(AND($K1743="自用消耗",COUNTIF({"一矿区";"二矿区"},$L1743)=0),"※自用消耗的去向只能是一矿区或二矿区",IF(AND($K1743="对外销售",COUNTIF({"三矿区";"六矿区"},$L1743)=0),"※对外销售的去向只能是三矿区或六矿区",IF(AND($K1743="对外销售",ROUND($Q1743,0)=0),"※外销却没有售价，请填实际售价",IF(AND($K1743="对外销售",$T1743&lt;&gt;"",$T1743&lt;0),"※这一笔外销是亏的，请核对售价",IF(IFERROR(VLOOKUP($D1743,库存台账!$A$5:$Y$1204,24,0),0)&lt;-0.001,"※这个物料账面已经变成负数了，查一下是不是漏记入库","")))))))))))</f>
        <v/>
      </c>
    </row>
    <row r="1744">
      <c r="A1744" s="24">
        <f>IF($D1744="","",COUNTA($D$4:$D1744))</f>
        <v/>
      </c>
      <c r="B1744" s="17" t="n"/>
      <c r="C1744" s="30" t="n"/>
      <c r="D1744" s="17" t="n"/>
      <c r="E1744" s="24">
        <f>IF($D1744="","",IFERROR(VLOOKUP($D1744,物料档案!$A$4:$P$1203,3,0),"※编码不在物料档案里"))</f>
        <v/>
      </c>
      <c r="F1744" s="24">
        <f>IF($D1744="","",IFERROR(VLOOKUP($D1744,物料档案!$A$4:$P$1203,4,0),"※编码不在物料档案里"))</f>
        <v/>
      </c>
      <c r="G1744" s="24">
        <f>IF($D1744="","",IFERROR(VLOOKUP($D1744,物料档案!$A$4:$P$1203,5,0),"※编码不在物料档案里"))</f>
        <v/>
      </c>
      <c r="H1744" s="24">
        <f>IF($D1744="","",IFERROR(VLOOKUP($D1744,物料档案!$A$4:$P$1203,2,0),"※编码不在物料档案里"))</f>
        <v/>
      </c>
      <c r="I1744" s="24">
        <f>IF($D1744="","",IFERROR(VLOOKUP($D1744,物料档案!$A$4:$P$1203,6,0),"※编码不在物料档案里"))</f>
        <v/>
      </c>
      <c r="J1744" s="23" t="n"/>
      <c r="K1744" s="17" t="n"/>
      <c r="L1744" s="17" t="n"/>
      <c r="M1744" s="17" t="n"/>
      <c r="N1744" s="17" t="n"/>
      <c r="O1744" s="26">
        <f>IF($D1744="","",IFERROR(VLOOKUP($D1744,物料档案!$A$4:$P$1203,10,0),0))</f>
        <v/>
      </c>
      <c r="P1744" s="32" t="n"/>
      <c r="Q1744" s="26">
        <f>IF($D1744="","",IF($K1744&lt;&gt;"对外销售",0,ROUND(N($J1744)*IF($P1744="",N($O1744),N($P1744)),0)))</f>
        <v/>
      </c>
      <c r="R1744" s="26">
        <f>IF($D1744="","",IFERROR(VLOOKUP($D1744,库存台账!$A$5:$Y$1204,11,0),0))</f>
        <v/>
      </c>
      <c r="S1744" s="26">
        <f>IF($D1744="","",ROUND(N($J1744)*N($R1744),0))</f>
        <v/>
      </c>
      <c r="T1744" s="26">
        <f>IF($D1744="","",IF($K1744&lt;&gt;"对外销售","",ROUND($Q1744-$S1744,0)))</f>
        <v/>
      </c>
      <c r="U1744" s="17" t="n"/>
      <c r="V1744" s="17" t="n"/>
      <c r="W1744" s="24">
        <f>IF($D1744="","",IF($E1744="※编码不在物料档案里","※物料编码不在档案里",IF(N($J1744)&lt;=0,"※出库数量要大于 0",IF($K1744="","※没填去向类型",IF($L1744="","※没填去向矿区",IF(AND($C1744&lt;&gt;"",$C1744&lt;=结账锁),"※日期早于已结账截止日，不能再录",IF(AND($K1744="自用消耗",COUNTIF({"一矿区";"二矿区"},$L1744)=0),"※自用消耗的去向只能是一矿区或二矿区",IF(AND($K1744="对外销售",COUNTIF({"三矿区";"六矿区"},$L1744)=0),"※对外销售的去向只能是三矿区或六矿区",IF(AND($K1744="对外销售",ROUND($Q1744,0)=0),"※外销却没有售价，请填实际售价",IF(AND($K1744="对外销售",$T1744&lt;&gt;"",$T1744&lt;0),"※这一笔外销是亏的，请核对售价",IF(IFERROR(VLOOKUP($D1744,库存台账!$A$5:$Y$1204,24,0),0)&lt;-0.001,"※这个物料账面已经变成负数了，查一下是不是漏记入库","")))))))))))</f>
        <v/>
      </c>
    </row>
    <row r="1745">
      <c r="A1745" s="24">
        <f>IF($D1745="","",COUNTA($D$4:$D1745))</f>
        <v/>
      </c>
      <c r="B1745" s="17" t="n"/>
      <c r="C1745" s="30" t="n"/>
      <c r="D1745" s="17" t="n"/>
      <c r="E1745" s="24">
        <f>IF($D1745="","",IFERROR(VLOOKUP($D1745,物料档案!$A$4:$P$1203,3,0),"※编码不在物料档案里"))</f>
        <v/>
      </c>
      <c r="F1745" s="24">
        <f>IF($D1745="","",IFERROR(VLOOKUP($D1745,物料档案!$A$4:$P$1203,4,0),"※编码不在物料档案里"))</f>
        <v/>
      </c>
      <c r="G1745" s="24">
        <f>IF($D1745="","",IFERROR(VLOOKUP($D1745,物料档案!$A$4:$P$1203,5,0),"※编码不在物料档案里"))</f>
        <v/>
      </c>
      <c r="H1745" s="24">
        <f>IF($D1745="","",IFERROR(VLOOKUP($D1745,物料档案!$A$4:$P$1203,2,0),"※编码不在物料档案里"))</f>
        <v/>
      </c>
      <c r="I1745" s="24">
        <f>IF($D1745="","",IFERROR(VLOOKUP($D1745,物料档案!$A$4:$P$1203,6,0),"※编码不在物料档案里"))</f>
        <v/>
      </c>
      <c r="J1745" s="23" t="n"/>
      <c r="K1745" s="17" t="n"/>
      <c r="L1745" s="17" t="n"/>
      <c r="M1745" s="17" t="n"/>
      <c r="N1745" s="17" t="n"/>
      <c r="O1745" s="26">
        <f>IF($D1745="","",IFERROR(VLOOKUP($D1745,物料档案!$A$4:$P$1203,10,0),0))</f>
        <v/>
      </c>
      <c r="P1745" s="32" t="n"/>
      <c r="Q1745" s="26">
        <f>IF($D1745="","",IF($K1745&lt;&gt;"对外销售",0,ROUND(N($J1745)*IF($P1745="",N($O1745),N($P1745)),0)))</f>
        <v/>
      </c>
      <c r="R1745" s="26">
        <f>IF($D1745="","",IFERROR(VLOOKUP($D1745,库存台账!$A$5:$Y$1204,11,0),0))</f>
        <v/>
      </c>
      <c r="S1745" s="26">
        <f>IF($D1745="","",ROUND(N($J1745)*N($R1745),0))</f>
        <v/>
      </c>
      <c r="T1745" s="26">
        <f>IF($D1745="","",IF($K1745&lt;&gt;"对外销售","",ROUND($Q1745-$S1745,0)))</f>
        <v/>
      </c>
      <c r="U1745" s="17" t="n"/>
      <c r="V1745" s="17" t="n"/>
      <c r="W1745" s="24">
        <f>IF($D1745="","",IF($E1745="※编码不在物料档案里","※物料编码不在档案里",IF(N($J1745)&lt;=0,"※出库数量要大于 0",IF($K1745="","※没填去向类型",IF($L1745="","※没填去向矿区",IF(AND($C1745&lt;&gt;"",$C1745&lt;=结账锁),"※日期早于已结账截止日，不能再录",IF(AND($K1745="自用消耗",COUNTIF({"一矿区";"二矿区"},$L1745)=0),"※自用消耗的去向只能是一矿区或二矿区",IF(AND($K1745="对外销售",COUNTIF({"三矿区";"六矿区"},$L1745)=0),"※对外销售的去向只能是三矿区或六矿区",IF(AND($K1745="对外销售",ROUND($Q1745,0)=0),"※外销却没有售价，请填实际售价",IF(AND($K1745="对外销售",$T1745&lt;&gt;"",$T1745&lt;0),"※这一笔外销是亏的，请核对售价",IF(IFERROR(VLOOKUP($D1745,库存台账!$A$5:$Y$1204,24,0),0)&lt;-0.001,"※这个物料账面已经变成负数了，查一下是不是漏记入库","")))))))))))</f>
        <v/>
      </c>
    </row>
    <row r="1746">
      <c r="A1746" s="24">
        <f>IF($D1746="","",COUNTA($D$4:$D1746))</f>
        <v/>
      </c>
      <c r="B1746" s="17" t="n"/>
      <c r="C1746" s="30" t="n"/>
      <c r="D1746" s="17" t="n"/>
      <c r="E1746" s="24">
        <f>IF($D1746="","",IFERROR(VLOOKUP($D1746,物料档案!$A$4:$P$1203,3,0),"※编码不在物料档案里"))</f>
        <v/>
      </c>
      <c r="F1746" s="24">
        <f>IF($D1746="","",IFERROR(VLOOKUP($D1746,物料档案!$A$4:$P$1203,4,0),"※编码不在物料档案里"))</f>
        <v/>
      </c>
      <c r="G1746" s="24">
        <f>IF($D1746="","",IFERROR(VLOOKUP($D1746,物料档案!$A$4:$P$1203,5,0),"※编码不在物料档案里"))</f>
        <v/>
      </c>
      <c r="H1746" s="24">
        <f>IF($D1746="","",IFERROR(VLOOKUP($D1746,物料档案!$A$4:$P$1203,2,0),"※编码不在物料档案里"))</f>
        <v/>
      </c>
      <c r="I1746" s="24">
        <f>IF($D1746="","",IFERROR(VLOOKUP($D1746,物料档案!$A$4:$P$1203,6,0),"※编码不在物料档案里"))</f>
        <v/>
      </c>
      <c r="J1746" s="23" t="n"/>
      <c r="K1746" s="17" t="n"/>
      <c r="L1746" s="17" t="n"/>
      <c r="M1746" s="17" t="n"/>
      <c r="N1746" s="17" t="n"/>
      <c r="O1746" s="26">
        <f>IF($D1746="","",IFERROR(VLOOKUP($D1746,物料档案!$A$4:$P$1203,10,0),0))</f>
        <v/>
      </c>
      <c r="P1746" s="32" t="n"/>
      <c r="Q1746" s="26">
        <f>IF($D1746="","",IF($K1746&lt;&gt;"对外销售",0,ROUND(N($J1746)*IF($P1746="",N($O1746),N($P1746)),0)))</f>
        <v/>
      </c>
      <c r="R1746" s="26">
        <f>IF($D1746="","",IFERROR(VLOOKUP($D1746,库存台账!$A$5:$Y$1204,11,0),0))</f>
        <v/>
      </c>
      <c r="S1746" s="26">
        <f>IF($D1746="","",ROUND(N($J1746)*N($R1746),0))</f>
        <v/>
      </c>
      <c r="T1746" s="26">
        <f>IF($D1746="","",IF($K1746&lt;&gt;"对外销售","",ROUND($Q1746-$S1746,0)))</f>
        <v/>
      </c>
      <c r="U1746" s="17" t="n"/>
      <c r="V1746" s="17" t="n"/>
      <c r="W1746" s="24">
        <f>IF($D1746="","",IF($E1746="※编码不在物料档案里","※物料编码不在档案里",IF(N($J1746)&lt;=0,"※出库数量要大于 0",IF($K1746="","※没填去向类型",IF($L1746="","※没填去向矿区",IF(AND($C1746&lt;&gt;"",$C1746&lt;=结账锁),"※日期早于已结账截止日，不能再录",IF(AND($K1746="自用消耗",COUNTIF({"一矿区";"二矿区"},$L1746)=0),"※自用消耗的去向只能是一矿区或二矿区",IF(AND($K1746="对外销售",COUNTIF({"三矿区";"六矿区"},$L1746)=0),"※对外销售的去向只能是三矿区或六矿区",IF(AND($K1746="对外销售",ROUND($Q1746,0)=0),"※外销却没有售价，请填实际售价",IF(AND($K1746="对外销售",$T1746&lt;&gt;"",$T1746&lt;0),"※这一笔外销是亏的，请核对售价",IF(IFERROR(VLOOKUP($D1746,库存台账!$A$5:$Y$1204,24,0),0)&lt;-0.001,"※这个物料账面已经变成负数了，查一下是不是漏记入库","")))))))))))</f>
        <v/>
      </c>
    </row>
    <row r="1747">
      <c r="A1747" s="24">
        <f>IF($D1747="","",COUNTA($D$4:$D1747))</f>
        <v/>
      </c>
      <c r="B1747" s="17" t="n"/>
      <c r="C1747" s="30" t="n"/>
      <c r="D1747" s="17" t="n"/>
      <c r="E1747" s="24">
        <f>IF($D1747="","",IFERROR(VLOOKUP($D1747,物料档案!$A$4:$P$1203,3,0),"※编码不在物料档案里"))</f>
        <v/>
      </c>
      <c r="F1747" s="24">
        <f>IF($D1747="","",IFERROR(VLOOKUP($D1747,物料档案!$A$4:$P$1203,4,0),"※编码不在物料档案里"))</f>
        <v/>
      </c>
      <c r="G1747" s="24">
        <f>IF($D1747="","",IFERROR(VLOOKUP($D1747,物料档案!$A$4:$P$1203,5,0),"※编码不在物料档案里"))</f>
        <v/>
      </c>
      <c r="H1747" s="24">
        <f>IF($D1747="","",IFERROR(VLOOKUP($D1747,物料档案!$A$4:$P$1203,2,0),"※编码不在物料档案里"))</f>
        <v/>
      </c>
      <c r="I1747" s="24">
        <f>IF($D1747="","",IFERROR(VLOOKUP($D1747,物料档案!$A$4:$P$1203,6,0),"※编码不在物料档案里"))</f>
        <v/>
      </c>
      <c r="J1747" s="23" t="n"/>
      <c r="K1747" s="17" t="n"/>
      <c r="L1747" s="17" t="n"/>
      <c r="M1747" s="17" t="n"/>
      <c r="N1747" s="17" t="n"/>
      <c r="O1747" s="26">
        <f>IF($D1747="","",IFERROR(VLOOKUP($D1747,物料档案!$A$4:$P$1203,10,0),0))</f>
        <v/>
      </c>
      <c r="P1747" s="32" t="n"/>
      <c r="Q1747" s="26">
        <f>IF($D1747="","",IF($K1747&lt;&gt;"对外销售",0,ROUND(N($J1747)*IF($P1747="",N($O1747),N($P1747)),0)))</f>
        <v/>
      </c>
      <c r="R1747" s="26">
        <f>IF($D1747="","",IFERROR(VLOOKUP($D1747,库存台账!$A$5:$Y$1204,11,0),0))</f>
        <v/>
      </c>
      <c r="S1747" s="26">
        <f>IF($D1747="","",ROUND(N($J1747)*N($R1747),0))</f>
        <v/>
      </c>
      <c r="T1747" s="26">
        <f>IF($D1747="","",IF($K1747&lt;&gt;"对外销售","",ROUND($Q1747-$S1747,0)))</f>
        <v/>
      </c>
      <c r="U1747" s="17" t="n"/>
      <c r="V1747" s="17" t="n"/>
      <c r="W1747" s="24">
        <f>IF($D1747="","",IF($E1747="※编码不在物料档案里","※物料编码不在档案里",IF(N($J1747)&lt;=0,"※出库数量要大于 0",IF($K1747="","※没填去向类型",IF($L1747="","※没填去向矿区",IF(AND($C1747&lt;&gt;"",$C1747&lt;=结账锁),"※日期早于已结账截止日，不能再录",IF(AND($K1747="自用消耗",COUNTIF({"一矿区";"二矿区"},$L1747)=0),"※自用消耗的去向只能是一矿区或二矿区",IF(AND($K1747="对外销售",COUNTIF({"三矿区";"六矿区"},$L1747)=0),"※对外销售的去向只能是三矿区或六矿区",IF(AND($K1747="对外销售",ROUND($Q1747,0)=0),"※外销却没有售价，请填实际售价",IF(AND($K1747="对外销售",$T1747&lt;&gt;"",$T1747&lt;0),"※这一笔外销是亏的，请核对售价",IF(IFERROR(VLOOKUP($D1747,库存台账!$A$5:$Y$1204,24,0),0)&lt;-0.001,"※这个物料账面已经变成负数了，查一下是不是漏记入库","")))))))))))</f>
        <v/>
      </c>
    </row>
    <row r="1748">
      <c r="A1748" s="24">
        <f>IF($D1748="","",COUNTA($D$4:$D1748))</f>
        <v/>
      </c>
      <c r="B1748" s="17" t="n"/>
      <c r="C1748" s="30" t="n"/>
      <c r="D1748" s="17" t="n"/>
      <c r="E1748" s="24">
        <f>IF($D1748="","",IFERROR(VLOOKUP($D1748,物料档案!$A$4:$P$1203,3,0),"※编码不在物料档案里"))</f>
        <v/>
      </c>
      <c r="F1748" s="24">
        <f>IF($D1748="","",IFERROR(VLOOKUP($D1748,物料档案!$A$4:$P$1203,4,0),"※编码不在物料档案里"))</f>
        <v/>
      </c>
      <c r="G1748" s="24">
        <f>IF($D1748="","",IFERROR(VLOOKUP($D1748,物料档案!$A$4:$P$1203,5,0),"※编码不在物料档案里"))</f>
        <v/>
      </c>
      <c r="H1748" s="24">
        <f>IF($D1748="","",IFERROR(VLOOKUP($D1748,物料档案!$A$4:$P$1203,2,0),"※编码不在物料档案里"))</f>
        <v/>
      </c>
      <c r="I1748" s="24">
        <f>IF($D1748="","",IFERROR(VLOOKUP($D1748,物料档案!$A$4:$P$1203,6,0),"※编码不在物料档案里"))</f>
        <v/>
      </c>
      <c r="J1748" s="23" t="n"/>
      <c r="K1748" s="17" t="n"/>
      <c r="L1748" s="17" t="n"/>
      <c r="M1748" s="17" t="n"/>
      <c r="N1748" s="17" t="n"/>
      <c r="O1748" s="26">
        <f>IF($D1748="","",IFERROR(VLOOKUP($D1748,物料档案!$A$4:$P$1203,10,0),0))</f>
        <v/>
      </c>
      <c r="P1748" s="32" t="n"/>
      <c r="Q1748" s="26">
        <f>IF($D1748="","",IF($K1748&lt;&gt;"对外销售",0,ROUND(N($J1748)*IF($P1748="",N($O1748),N($P1748)),0)))</f>
        <v/>
      </c>
      <c r="R1748" s="26">
        <f>IF($D1748="","",IFERROR(VLOOKUP($D1748,库存台账!$A$5:$Y$1204,11,0),0))</f>
        <v/>
      </c>
      <c r="S1748" s="26">
        <f>IF($D1748="","",ROUND(N($J1748)*N($R1748),0))</f>
        <v/>
      </c>
      <c r="T1748" s="26">
        <f>IF($D1748="","",IF($K1748&lt;&gt;"对外销售","",ROUND($Q1748-$S1748,0)))</f>
        <v/>
      </c>
      <c r="U1748" s="17" t="n"/>
      <c r="V1748" s="17" t="n"/>
      <c r="W1748" s="24">
        <f>IF($D1748="","",IF($E1748="※编码不在物料档案里","※物料编码不在档案里",IF(N($J1748)&lt;=0,"※出库数量要大于 0",IF($K1748="","※没填去向类型",IF($L1748="","※没填去向矿区",IF(AND($C1748&lt;&gt;"",$C1748&lt;=结账锁),"※日期早于已结账截止日，不能再录",IF(AND($K1748="自用消耗",COUNTIF({"一矿区";"二矿区"},$L1748)=0),"※自用消耗的去向只能是一矿区或二矿区",IF(AND($K1748="对外销售",COUNTIF({"三矿区";"六矿区"},$L1748)=0),"※对外销售的去向只能是三矿区或六矿区",IF(AND($K1748="对外销售",ROUND($Q1748,0)=0),"※外销却没有售价，请填实际售价",IF(AND($K1748="对外销售",$T1748&lt;&gt;"",$T1748&lt;0),"※这一笔外销是亏的，请核对售价",IF(IFERROR(VLOOKUP($D1748,库存台账!$A$5:$Y$1204,24,0),0)&lt;-0.001,"※这个物料账面已经变成负数了，查一下是不是漏记入库","")))))))))))</f>
        <v/>
      </c>
    </row>
    <row r="1749">
      <c r="A1749" s="24">
        <f>IF($D1749="","",COUNTA($D$4:$D1749))</f>
        <v/>
      </c>
      <c r="B1749" s="17" t="n"/>
      <c r="C1749" s="30" t="n"/>
      <c r="D1749" s="17" t="n"/>
      <c r="E1749" s="24">
        <f>IF($D1749="","",IFERROR(VLOOKUP($D1749,物料档案!$A$4:$P$1203,3,0),"※编码不在物料档案里"))</f>
        <v/>
      </c>
      <c r="F1749" s="24">
        <f>IF($D1749="","",IFERROR(VLOOKUP($D1749,物料档案!$A$4:$P$1203,4,0),"※编码不在物料档案里"))</f>
        <v/>
      </c>
      <c r="G1749" s="24">
        <f>IF($D1749="","",IFERROR(VLOOKUP($D1749,物料档案!$A$4:$P$1203,5,0),"※编码不在物料档案里"))</f>
        <v/>
      </c>
      <c r="H1749" s="24">
        <f>IF($D1749="","",IFERROR(VLOOKUP($D1749,物料档案!$A$4:$P$1203,2,0),"※编码不在物料档案里"))</f>
        <v/>
      </c>
      <c r="I1749" s="24">
        <f>IF($D1749="","",IFERROR(VLOOKUP($D1749,物料档案!$A$4:$P$1203,6,0),"※编码不在物料档案里"))</f>
        <v/>
      </c>
      <c r="J1749" s="23" t="n"/>
      <c r="K1749" s="17" t="n"/>
      <c r="L1749" s="17" t="n"/>
      <c r="M1749" s="17" t="n"/>
      <c r="N1749" s="17" t="n"/>
      <c r="O1749" s="26">
        <f>IF($D1749="","",IFERROR(VLOOKUP($D1749,物料档案!$A$4:$P$1203,10,0),0))</f>
        <v/>
      </c>
      <c r="P1749" s="32" t="n"/>
      <c r="Q1749" s="26">
        <f>IF($D1749="","",IF($K1749&lt;&gt;"对外销售",0,ROUND(N($J1749)*IF($P1749="",N($O1749),N($P1749)),0)))</f>
        <v/>
      </c>
      <c r="R1749" s="26">
        <f>IF($D1749="","",IFERROR(VLOOKUP($D1749,库存台账!$A$5:$Y$1204,11,0),0))</f>
        <v/>
      </c>
      <c r="S1749" s="26">
        <f>IF($D1749="","",ROUND(N($J1749)*N($R1749),0))</f>
        <v/>
      </c>
      <c r="T1749" s="26">
        <f>IF($D1749="","",IF($K1749&lt;&gt;"对外销售","",ROUND($Q1749-$S1749,0)))</f>
        <v/>
      </c>
      <c r="U1749" s="17" t="n"/>
      <c r="V1749" s="17" t="n"/>
      <c r="W1749" s="24">
        <f>IF($D1749="","",IF($E1749="※编码不在物料档案里","※物料编码不在档案里",IF(N($J1749)&lt;=0,"※出库数量要大于 0",IF($K1749="","※没填去向类型",IF($L1749="","※没填去向矿区",IF(AND($C1749&lt;&gt;"",$C1749&lt;=结账锁),"※日期早于已结账截止日，不能再录",IF(AND($K1749="自用消耗",COUNTIF({"一矿区";"二矿区"},$L1749)=0),"※自用消耗的去向只能是一矿区或二矿区",IF(AND($K1749="对外销售",COUNTIF({"三矿区";"六矿区"},$L1749)=0),"※对外销售的去向只能是三矿区或六矿区",IF(AND($K1749="对外销售",ROUND($Q1749,0)=0),"※外销却没有售价，请填实际售价",IF(AND($K1749="对外销售",$T1749&lt;&gt;"",$T1749&lt;0),"※这一笔外销是亏的，请核对售价",IF(IFERROR(VLOOKUP($D1749,库存台账!$A$5:$Y$1204,24,0),0)&lt;-0.001,"※这个物料账面已经变成负数了，查一下是不是漏记入库","")))))))))))</f>
        <v/>
      </c>
    </row>
    <row r="1750">
      <c r="A1750" s="24">
        <f>IF($D1750="","",COUNTA($D$4:$D1750))</f>
        <v/>
      </c>
      <c r="B1750" s="17" t="n"/>
      <c r="C1750" s="30" t="n"/>
      <c r="D1750" s="17" t="n"/>
      <c r="E1750" s="24">
        <f>IF($D1750="","",IFERROR(VLOOKUP($D1750,物料档案!$A$4:$P$1203,3,0),"※编码不在物料档案里"))</f>
        <v/>
      </c>
      <c r="F1750" s="24">
        <f>IF($D1750="","",IFERROR(VLOOKUP($D1750,物料档案!$A$4:$P$1203,4,0),"※编码不在物料档案里"))</f>
        <v/>
      </c>
      <c r="G1750" s="24">
        <f>IF($D1750="","",IFERROR(VLOOKUP($D1750,物料档案!$A$4:$P$1203,5,0),"※编码不在物料档案里"))</f>
        <v/>
      </c>
      <c r="H1750" s="24">
        <f>IF($D1750="","",IFERROR(VLOOKUP($D1750,物料档案!$A$4:$P$1203,2,0),"※编码不在物料档案里"))</f>
        <v/>
      </c>
      <c r="I1750" s="24">
        <f>IF($D1750="","",IFERROR(VLOOKUP($D1750,物料档案!$A$4:$P$1203,6,0),"※编码不在物料档案里"))</f>
        <v/>
      </c>
      <c r="J1750" s="23" t="n"/>
      <c r="K1750" s="17" t="n"/>
      <c r="L1750" s="17" t="n"/>
      <c r="M1750" s="17" t="n"/>
      <c r="N1750" s="17" t="n"/>
      <c r="O1750" s="26">
        <f>IF($D1750="","",IFERROR(VLOOKUP($D1750,物料档案!$A$4:$P$1203,10,0),0))</f>
        <v/>
      </c>
      <c r="P1750" s="32" t="n"/>
      <c r="Q1750" s="26">
        <f>IF($D1750="","",IF($K1750&lt;&gt;"对外销售",0,ROUND(N($J1750)*IF($P1750="",N($O1750),N($P1750)),0)))</f>
        <v/>
      </c>
      <c r="R1750" s="26">
        <f>IF($D1750="","",IFERROR(VLOOKUP($D1750,库存台账!$A$5:$Y$1204,11,0),0))</f>
        <v/>
      </c>
      <c r="S1750" s="26">
        <f>IF($D1750="","",ROUND(N($J1750)*N($R1750),0))</f>
        <v/>
      </c>
      <c r="T1750" s="26">
        <f>IF($D1750="","",IF($K1750&lt;&gt;"对外销售","",ROUND($Q1750-$S1750,0)))</f>
        <v/>
      </c>
      <c r="U1750" s="17" t="n"/>
      <c r="V1750" s="17" t="n"/>
      <c r="W1750" s="24">
        <f>IF($D1750="","",IF($E1750="※编码不在物料档案里","※物料编码不在档案里",IF(N($J1750)&lt;=0,"※出库数量要大于 0",IF($K1750="","※没填去向类型",IF($L1750="","※没填去向矿区",IF(AND($C1750&lt;&gt;"",$C1750&lt;=结账锁),"※日期早于已结账截止日，不能再录",IF(AND($K1750="自用消耗",COUNTIF({"一矿区";"二矿区"},$L1750)=0),"※自用消耗的去向只能是一矿区或二矿区",IF(AND($K1750="对外销售",COUNTIF({"三矿区";"六矿区"},$L1750)=0),"※对外销售的去向只能是三矿区或六矿区",IF(AND($K1750="对外销售",ROUND($Q1750,0)=0),"※外销却没有售价，请填实际售价",IF(AND($K1750="对外销售",$T1750&lt;&gt;"",$T1750&lt;0),"※这一笔外销是亏的，请核对售价",IF(IFERROR(VLOOKUP($D1750,库存台账!$A$5:$Y$1204,24,0),0)&lt;-0.001,"※这个物料账面已经变成负数了，查一下是不是漏记入库","")))))))))))</f>
        <v/>
      </c>
    </row>
    <row r="1751">
      <c r="A1751" s="24">
        <f>IF($D1751="","",COUNTA($D$4:$D1751))</f>
        <v/>
      </c>
      <c r="B1751" s="17" t="n"/>
      <c r="C1751" s="30" t="n"/>
      <c r="D1751" s="17" t="n"/>
      <c r="E1751" s="24">
        <f>IF($D1751="","",IFERROR(VLOOKUP($D1751,物料档案!$A$4:$P$1203,3,0),"※编码不在物料档案里"))</f>
        <v/>
      </c>
      <c r="F1751" s="24">
        <f>IF($D1751="","",IFERROR(VLOOKUP($D1751,物料档案!$A$4:$P$1203,4,0),"※编码不在物料档案里"))</f>
        <v/>
      </c>
      <c r="G1751" s="24">
        <f>IF($D1751="","",IFERROR(VLOOKUP($D1751,物料档案!$A$4:$P$1203,5,0),"※编码不在物料档案里"))</f>
        <v/>
      </c>
      <c r="H1751" s="24">
        <f>IF($D1751="","",IFERROR(VLOOKUP($D1751,物料档案!$A$4:$P$1203,2,0),"※编码不在物料档案里"))</f>
        <v/>
      </c>
      <c r="I1751" s="24">
        <f>IF($D1751="","",IFERROR(VLOOKUP($D1751,物料档案!$A$4:$P$1203,6,0),"※编码不在物料档案里"))</f>
        <v/>
      </c>
      <c r="J1751" s="23" t="n"/>
      <c r="K1751" s="17" t="n"/>
      <c r="L1751" s="17" t="n"/>
      <c r="M1751" s="17" t="n"/>
      <c r="N1751" s="17" t="n"/>
      <c r="O1751" s="26">
        <f>IF($D1751="","",IFERROR(VLOOKUP($D1751,物料档案!$A$4:$P$1203,10,0),0))</f>
        <v/>
      </c>
      <c r="P1751" s="32" t="n"/>
      <c r="Q1751" s="26">
        <f>IF($D1751="","",IF($K1751&lt;&gt;"对外销售",0,ROUND(N($J1751)*IF($P1751="",N($O1751),N($P1751)),0)))</f>
        <v/>
      </c>
      <c r="R1751" s="26">
        <f>IF($D1751="","",IFERROR(VLOOKUP($D1751,库存台账!$A$5:$Y$1204,11,0),0))</f>
        <v/>
      </c>
      <c r="S1751" s="26">
        <f>IF($D1751="","",ROUND(N($J1751)*N($R1751),0))</f>
        <v/>
      </c>
      <c r="T1751" s="26">
        <f>IF($D1751="","",IF($K1751&lt;&gt;"对外销售","",ROUND($Q1751-$S1751,0)))</f>
        <v/>
      </c>
      <c r="U1751" s="17" t="n"/>
      <c r="V1751" s="17" t="n"/>
      <c r="W1751" s="24">
        <f>IF($D1751="","",IF($E1751="※编码不在物料档案里","※物料编码不在档案里",IF(N($J1751)&lt;=0,"※出库数量要大于 0",IF($K1751="","※没填去向类型",IF($L1751="","※没填去向矿区",IF(AND($C1751&lt;&gt;"",$C1751&lt;=结账锁),"※日期早于已结账截止日，不能再录",IF(AND($K1751="自用消耗",COUNTIF({"一矿区";"二矿区"},$L1751)=0),"※自用消耗的去向只能是一矿区或二矿区",IF(AND($K1751="对外销售",COUNTIF({"三矿区";"六矿区"},$L1751)=0),"※对外销售的去向只能是三矿区或六矿区",IF(AND($K1751="对外销售",ROUND($Q1751,0)=0),"※外销却没有售价，请填实际售价",IF(AND($K1751="对外销售",$T1751&lt;&gt;"",$T1751&lt;0),"※这一笔外销是亏的，请核对售价",IF(IFERROR(VLOOKUP($D1751,库存台账!$A$5:$Y$1204,24,0),0)&lt;-0.001,"※这个物料账面已经变成负数了，查一下是不是漏记入库","")))))))))))</f>
        <v/>
      </c>
    </row>
    <row r="1752">
      <c r="A1752" s="24">
        <f>IF($D1752="","",COUNTA($D$4:$D1752))</f>
        <v/>
      </c>
      <c r="B1752" s="17" t="n"/>
      <c r="C1752" s="30" t="n"/>
      <c r="D1752" s="17" t="n"/>
      <c r="E1752" s="24">
        <f>IF($D1752="","",IFERROR(VLOOKUP($D1752,物料档案!$A$4:$P$1203,3,0),"※编码不在物料档案里"))</f>
        <v/>
      </c>
      <c r="F1752" s="24">
        <f>IF($D1752="","",IFERROR(VLOOKUP($D1752,物料档案!$A$4:$P$1203,4,0),"※编码不在物料档案里"))</f>
        <v/>
      </c>
      <c r="G1752" s="24">
        <f>IF($D1752="","",IFERROR(VLOOKUP($D1752,物料档案!$A$4:$P$1203,5,0),"※编码不在物料档案里"))</f>
        <v/>
      </c>
      <c r="H1752" s="24">
        <f>IF($D1752="","",IFERROR(VLOOKUP($D1752,物料档案!$A$4:$P$1203,2,0),"※编码不在物料档案里"))</f>
        <v/>
      </c>
      <c r="I1752" s="24">
        <f>IF($D1752="","",IFERROR(VLOOKUP($D1752,物料档案!$A$4:$P$1203,6,0),"※编码不在物料档案里"))</f>
        <v/>
      </c>
      <c r="J1752" s="23" t="n"/>
      <c r="K1752" s="17" t="n"/>
      <c r="L1752" s="17" t="n"/>
      <c r="M1752" s="17" t="n"/>
      <c r="N1752" s="17" t="n"/>
      <c r="O1752" s="26">
        <f>IF($D1752="","",IFERROR(VLOOKUP($D1752,物料档案!$A$4:$P$1203,10,0),0))</f>
        <v/>
      </c>
      <c r="P1752" s="32" t="n"/>
      <c r="Q1752" s="26">
        <f>IF($D1752="","",IF($K1752&lt;&gt;"对外销售",0,ROUND(N($J1752)*IF($P1752="",N($O1752),N($P1752)),0)))</f>
        <v/>
      </c>
      <c r="R1752" s="26">
        <f>IF($D1752="","",IFERROR(VLOOKUP($D1752,库存台账!$A$5:$Y$1204,11,0),0))</f>
        <v/>
      </c>
      <c r="S1752" s="26">
        <f>IF($D1752="","",ROUND(N($J1752)*N($R1752),0))</f>
        <v/>
      </c>
      <c r="T1752" s="26">
        <f>IF($D1752="","",IF($K1752&lt;&gt;"对外销售","",ROUND($Q1752-$S1752,0)))</f>
        <v/>
      </c>
      <c r="U1752" s="17" t="n"/>
      <c r="V1752" s="17" t="n"/>
      <c r="W1752" s="24">
        <f>IF($D1752="","",IF($E1752="※编码不在物料档案里","※物料编码不在档案里",IF(N($J1752)&lt;=0,"※出库数量要大于 0",IF($K1752="","※没填去向类型",IF($L1752="","※没填去向矿区",IF(AND($C1752&lt;&gt;"",$C1752&lt;=结账锁),"※日期早于已结账截止日，不能再录",IF(AND($K1752="自用消耗",COUNTIF({"一矿区";"二矿区"},$L1752)=0),"※自用消耗的去向只能是一矿区或二矿区",IF(AND($K1752="对外销售",COUNTIF({"三矿区";"六矿区"},$L1752)=0),"※对外销售的去向只能是三矿区或六矿区",IF(AND($K1752="对外销售",ROUND($Q1752,0)=0),"※外销却没有售价，请填实际售价",IF(AND($K1752="对外销售",$T1752&lt;&gt;"",$T1752&lt;0),"※这一笔外销是亏的，请核对售价",IF(IFERROR(VLOOKUP($D1752,库存台账!$A$5:$Y$1204,24,0),0)&lt;-0.001,"※这个物料账面已经变成负数了，查一下是不是漏记入库","")))))))))))</f>
        <v/>
      </c>
    </row>
    <row r="1753">
      <c r="A1753" s="24">
        <f>IF($D1753="","",COUNTA($D$4:$D1753))</f>
        <v/>
      </c>
      <c r="B1753" s="17" t="n"/>
      <c r="C1753" s="30" t="n"/>
      <c r="D1753" s="17" t="n"/>
      <c r="E1753" s="24">
        <f>IF($D1753="","",IFERROR(VLOOKUP($D1753,物料档案!$A$4:$P$1203,3,0),"※编码不在物料档案里"))</f>
        <v/>
      </c>
      <c r="F1753" s="24">
        <f>IF($D1753="","",IFERROR(VLOOKUP($D1753,物料档案!$A$4:$P$1203,4,0),"※编码不在物料档案里"))</f>
        <v/>
      </c>
      <c r="G1753" s="24">
        <f>IF($D1753="","",IFERROR(VLOOKUP($D1753,物料档案!$A$4:$P$1203,5,0),"※编码不在物料档案里"))</f>
        <v/>
      </c>
      <c r="H1753" s="24">
        <f>IF($D1753="","",IFERROR(VLOOKUP($D1753,物料档案!$A$4:$P$1203,2,0),"※编码不在物料档案里"))</f>
        <v/>
      </c>
      <c r="I1753" s="24">
        <f>IF($D1753="","",IFERROR(VLOOKUP($D1753,物料档案!$A$4:$P$1203,6,0),"※编码不在物料档案里"))</f>
        <v/>
      </c>
      <c r="J1753" s="23" t="n"/>
      <c r="K1753" s="17" t="n"/>
      <c r="L1753" s="17" t="n"/>
      <c r="M1753" s="17" t="n"/>
      <c r="N1753" s="17" t="n"/>
      <c r="O1753" s="26">
        <f>IF($D1753="","",IFERROR(VLOOKUP($D1753,物料档案!$A$4:$P$1203,10,0),0))</f>
        <v/>
      </c>
      <c r="P1753" s="32" t="n"/>
      <c r="Q1753" s="26">
        <f>IF($D1753="","",IF($K1753&lt;&gt;"对外销售",0,ROUND(N($J1753)*IF($P1753="",N($O1753),N($P1753)),0)))</f>
        <v/>
      </c>
      <c r="R1753" s="26">
        <f>IF($D1753="","",IFERROR(VLOOKUP($D1753,库存台账!$A$5:$Y$1204,11,0),0))</f>
        <v/>
      </c>
      <c r="S1753" s="26">
        <f>IF($D1753="","",ROUND(N($J1753)*N($R1753),0))</f>
        <v/>
      </c>
      <c r="T1753" s="26">
        <f>IF($D1753="","",IF($K1753&lt;&gt;"对外销售","",ROUND($Q1753-$S1753,0)))</f>
        <v/>
      </c>
      <c r="U1753" s="17" t="n"/>
      <c r="V1753" s="17" t="n"/>
      <c r="W1753" s="24">
        <f>IF($D1753="","",IF($E1753="※编码不在物料档案里","※物料编码不在档案里",IF(N($J1753)&lt;=0,"※出库数量要大于 0",IF($K1753="","※没填去向类型",IF($L1753="","※没填去向矿区",IF(AND($C1753&lt;&gt;"",$C1753&lt;=结账锁),"※日期早于已结账截止日，不能再录",IF(AND($K1753="自用消耗",COUNTIF({"一矿区";"二矿区"},$L1753)=0),"※自用消耗的去向只能是一矿区或二矿区",IF(AND($K1753="对外销售",COUNTIF({"三矿区";"六矿区"},$L1753)=0),"※对外销售的去向只能是三矿区或六矿区",IF(AND($K1753="对外销售",ROUND($Q1753,0)=0),"※外销却没有售价，请填实际售价",IF(AND($K1753="对外销售",$T1753&lt;&gt;"",$T1753&lt;0),"※这一笔外销是亏的，请核对售价",IF(IFERROR(VLOOKUP($D1753,库存台账!$A$5:$Y$1204,24,0),0)&lt;-0.001,"※这个物料账面已经变成负数了，查一下是不是漏记入库","")))))))))))</f>
        <v/>
      </c>
    </row>
    <row r="1754">
      <c r="A1754" s="24">
        <f>IF($D1754="","",COUNTA($D$4:$D1754))</f>
        <v/>
      </c>
      <c r="B1754" s="17" t="n"/>
      <c r="C1754" s="30" t="n"/>
      <c r="D1754" s="17" t="n"/>
      <c r="E1754" s="24">
        <f>IF($D1754="","",IFERROR(VLOOKUP($D1754,物料档案!$A$4:$P$1203,3,0),"※编码不在物料档案里"))</f>
        <v/>
      </c>
      <c r="F1754" s="24">
        <f>IF($D1754="","",IFERROR(VLOOKUP($D1754,物料档案!$A$4:$P$1203,4,0),"※编码不在物料档案里"))</f>
        <v/>
      </c>
      <c r="G1754" s="24">
        <f>IF($D1754="","",IFERROR(VLOOKUP($D1754,物料档案!$A$4:$P$1203,5,0),"※编码不在物料档案里"))</f>
        <v/>
      </c>
      <c r="H1754" s="24">
        <f>IF($D1754="","",IFERROR(VLOOKUP($D1754,物料档案!$A$4:$P$1203,2,0),"※编码不在物料档案里"))</f>
        <v/>
      </c>
      <c r="I1754" s="24">
        <f>IF($D1754="","",IFERROR(VLOOKUP($D1754,物料档案!$A$4:$P$1203,6,0),"※编码不在物料档案里"))</f>
        <v/>
      </c>
      <c r="J1754" s="23" t="n"/>
      <c r="K1754" s="17" t="n"/>
      <c r="L1754" s="17" t="n"/>
      <c r="M1754" s="17" t="n"/>
      <c r="N1754" s="17" t="n"/>
      <c r="O1754" s="26">
        <f>IF($D1754="","",IFERROR(VLOOKUP($D1754,物料档案!$A$4:$P$1203,10,0),0))</f>
        <v/>
      </c>
      <c r="P1754" s="32" t="n"/>
      <c r="Q1754" s="26">
        <f>IF($D1754="","",IF($K1754&lt;&gt;"对外销售",0,ROUND(N($J1754)*IF($P1754="",N($O1754),N($P1754)),0)))</f>
        <v/>
      </c>
      <c r="R1754" s="26">
        <f>IF($D1754="","",IFERROR(VLOOKUP($D1754,库存台账!$A$5:$Y$1204,11,0),0))</f>
        <v/>
      </c>
      <c r="S1754" s="26">
        <f>IF($D1754="","",ROUND(N($J1754)*N($R1754),0))</f>
        <v/>
      </c>
      <c r="T1754" s="26">
        <f>IF($D1754="","",IF($K1754&lt;&gt;"对外销售","",ROUND($Q1754-$S1754,0)))</f>
        <v/>
      </c>
      <c r="U1754" s="17" t="n"/>
      <c r="V1754" s="17" t="n"/>
      <c r="W1754" s="24">
        <f>IF($D1754="","",IF($E1754="※编码不在物料档案里","※物料编码不在档案里",IF(N($J1754)&lt;=0,"※出库数量要大于 0",IF($K1754="","※没填去向类型",IF($L1754="","※没填去向矿区",IF(AND($C1754&lt;&gt;"",$C1754&lt;=结账锁),"※日期早于已结账截止日，不能再录",IF(AND($K1754="自用消耗",COUNTIF({"一矿区";"二矿区"},$L1754)=0),"※自用消耗的去向只能是一矿区或二矿区",IF(AND($K1754="对外销售",COUNTIF({"三矿区";"六矿区"},$L1754)=0),"※对外销售的去向只能是三矿区或六矿区",IF(AND($K1754="对外销售",ROUND($Q1754,0)=0),"※外销却没有售价，请填实际售价",IF(AND($K1754="对外销售",$T1754&lt;&gt;"",$T1754&lt;0),"※这一笔外销是亏的，请核对售价",IF(IFERROR(VLOOKUP($D1754,库存台账!$A$5:$Y$1204,24,0),0)&lt;-0.001,"※这个物料账面已经变成负数了，查一下是不是漏记入库","")))))))))))</f>
        <v/>
      </c>
    </row>
    <row r="1755">
      <c r="A1755" s="24">
        <f>IF($D1755="","",COUNTA($D$4:$D1755))</f>
        <v/>
      </c>
      <c r="B1755" s="17" t="n"/>
      <c r="C1755" s="30" t="n"/>
      <c r="D1755" s="17" t="n"/>
      <c r="E1755" s="24">
        <f>IF($D1755="","",IFERROR(VLOOKUP($D1755,物料档案!$A$4:$P$1203,3,0),"※编码不在物料档案里"))</f>
        <v/>
      </c>
      <c r="F1755" s="24">
        <f>IF($D1755="","",IFERROR(VLOOKUP($D1755,物料档案!$A$4:$P$1203,4,0),"※编码不在物料档案里"))</f>
        <v/>
      </c>
      <c r="G1755" s="24">
        <f>IF($D1755="","",IFERROR(VLOOKUP($D1755,物料档案!$A$4:$P$1203,5,0),"※编码不在物料档案里"))</f>
        <v/>
      </c>
      <c r="H1755" s="24">
        <f>IF($D1755="","",IFERROR(VLOOKUP($D1755,物料档案!$A$4:$P$1203,2,0),"※编码不在物料档案里"))</f>
        <v/>
      </c>
      <c r="I1755" s="24">
        <f>IF($D1755="","",IFERROR(VLOOKUP($D1755,物料档案!$A$4:$P$1203,6,0),"※编码不在物料档案里"))</f>
        <v/>
      </c>
      <c r="J1755" s="23" t="n"/>
      <c r="K1755" s="17" t="n"/>
      <c r="L1755" s="17" t="n"/>
      <c r="M1755" s="17" t="n"/>
      <c r="N1755" s="17" t="n"/>
      <c r="O1755" s="26">
        <f>IF($D1755="","",IFERROR(VLOOKUP($D1755,物料档案!$A$4:$P$1203,10,0),0))</f>
        <v/>
      </c>
      <c r="P1755" s="32" t="n"/>
      <c r="Q1755" s="26">
        <f>IF($D1755="","",IF($K1755&lt;&gt;"对外销售",0,ROUND(N($J1755)*IF($P1755="",N($O1755),N($P1755)),0)))</f>
        <v/>
      </c>
      <c r="R1755" s="26">
        <f>IF($D1755="","",IFERROR(VLOOKUP($D1755,库存台账!$A$5:$Y$1204,11,0),0))</f>
        <v/>
      </c>
      <c r="S1755" s="26">
        <f>IF($D1755="","",ROUND(N($J1755)*N($R1755),0))</f>
        <v/>
      </c>
      <c r="T1755" s="26">
        <f>IF($D1755="","",IF($K1755&lt;&gt;"对外销售","",ROUND($Q1755-$S1755,0)))</f>
        <v/>
      </c>
      <c r="U1755" s="17" t="n"/>
      <c r="V1755" s="17" t="n"/>
      <c r="W1755" s="24">
        <f>IF($D1755="","",IF($E1755="※编码不在物料档案里","※物料编码不在档案里",IF(N($J1755)&lt;=0,"※出库数量要大于 0",IF($K1755="","※没填去向类型",IF($L1755="","※没填去向矿区",IF(AND($C1755&lt;&gt;"",$C1755&lt;=结账锁),"※日期早于已结账截止日，不能再录",IF(AND($K1755="自用消耗",COUNTIF({"一矿区";"二矿区"},$L1755)=0),"※自用消耗的去向只能是一矿区或二矿区",IF(AND($K1755="对外销售",COUNTIF({"三矿区";"六矿区"},$L1755)=0),"※对外销售的去向只能是三矿区或六矿区",IF(AND($K1755="对外销售",ROUND($Q1755,0)=0),"※外销却没有售价，请填实际售价",IF(AND($K1755="对外销售",$T1755&lt;&gt;"",$T1755&lt;0),"※这一笔外销是亏的，请核对售价",IF(IFERROR(VLOOKUP($D1755,库存台账!$A$5:$Y$1204,24,0),0)&lt;-0.001,"※这个物料账面已经变成负数了，查一下是不是漏记入库","")))))))))))</f>
        <v/>
      </c>
    </row>
    <row r="1756">
      <c r="A1756" s="24">
        <f>IF($D1756="","",COUNTA($D$4:$D1756))</f>
        <v/>
      </c>
      <c r="B1756" s="17" t="n"/>
      <c r="C1756" s="30" t="n"/>
      <c r="D1756" s="17" t="n"/>
      <c r="E1756" s="24">
        <f>IF($D1756="","",IFERROR(VLOOKUP($D1756,物料档案!$A$4:$P$1203,3,0),"※编码不在物料档案里"))</f>
        <v/>
      </c>
      <c r="F1756" s="24">
        <f>IF($D1756="","",IFERROR(VLOOKUP($D1756,物料档案!$A$4:$P$1203,4,0),"※编码不在物料档案里"))</f>
        <v/>
      </c>
      <c r="G1756" s="24">
        <f>IF($D1756="","",IFERROR(VLOOKUP($D1756,物料档案!$A$4:$P$1203,5,0),"※编码不在物料档案里"))</f>
        <v/>
      </c>
      <c r="H1756" s="24">
        <f>IF($D1756="","",IFERROR(VLOOKUP($D1756,物料档案!$A$4:$P$1203,2,0),"※编码不在物料档案里"))</f>
        <v/>
      </c>
      <c r="I1756" s="24">
        <f>IF($D1756="","",IFERROR(VLOOKUP($D1756,物料档案!$A$4:$P$1203,6,0),"※编码不在物料档案里"))</f>
        <v/>
      </c>
      <c r="J1756" s="23" t="n"/>
      <c r="K1756" s="17" t="n"/>
      <c r="L1756" s="17" t="n"/>
      <c r="M1756" s="17" t="n"/>
      <c r="N1756" s="17" t="n"/>
      <c r="O1756" s="26">
        <f>IF($D1756="","",IFERROR(VLOOKUP($D1756,物料档案!$A$4:$P$1203,10,0),0))</f>
        <v/>
      </c>
      <c r="P1756" s="32" t="n"/>
      <c r="Q1756" s="26">
        <f>IF($D1756="","",IF($K1756&lt;&gt;"对外销售",0,ROUND(N($J1756)*IF($P1756="",N($O1756),N($P1756)),0)))</f>
        <v/>
      </c>
      <c r="R1756" s="26">
        <f>IF($D1756="","",IFERROR(VLOOKUP($D1756,库存台账!$A$5:$Y$1204,11,0),0))</f>
        <v/>
      </c>
      <c r="S1756" s="26">
        <f>IF($D1756="","",ROUND(N($J1756)*N($R1756),0))</f>
        <v/>
      </c>
      <c r="T1756" s="26">
        <f>IF($D1756="","",IF($K1756&lt;&gt;"对外销售","",ROUND($Q1756-$S1756,0)))</f>
        <v/>
      </c>
      <c r="U1756" s="17" t="n"/>
      <c r="V1756" s="17" t="n"/>
      <c r="W1756" s="24">
        <f>IF($D1756="","",IF($E1756="※编码不在物料档案里","※物料编码不在档案里",IF(N($J1756)&lt;=0,"※出库数量要大于 0",IF($K1756="","※没填去向类型",IF($L1756="","※没填去向矿区",IF(AND($C1756&lt;&gt;"",$C1756&lt;=结账锁),"※日期早于已结账截止日，不能再录",IF(AND($K1756="自用消耗",COUNTIF({"一矿区";"二矿区"},$L1756)=0),"※自用消耗的去向只能是一矿区或二矿区",IF(AND($K1756="对外销售",COUNTIF({"三矿区";"六矿区"},$L1756)=0),"※对外销售的去向只能是三矿区或六矿区",IF(AND($K1756="对外销售",ROUND($Q1756,0)=0),"※外销却没有售价，请填实际售价",IF(AND($K1756="对外销售",$T1756&lt;&gt;"",$T1756&lt;0),"※这一笔外销是亏的，请核对售价",IF(IFERROR(VLOOKUP($D1756,库存台账!$A$5:$Y$1204,24,0),0)&lt;-0.001,"※这个物料账面已经变成负数了，查一下是不是漏记入库","")))))))))))</f>
        <v/>
      </c>
    </row>
    <row r="1757">
      <c r="A1757" s="24">
        <f>IF($D1757="","",COUNTA($D$4:$D1757))</f>
        <v/>
      </c>
      <c r="B1757" s="17" t="n"/>
      <c r="C1757" s="30" t="n"/>
      <c r="D1757" s="17" t="n"/>
      <c r="E1757" s="24">
        <f>IF($D1757="","",IFERROR(VLOOKUP($D1757,物料档案!$A$4:$P$1203,3,0),"※编码不在物料档案里"))</f>
        <v/>
      </c>
      <c r="F1757" s="24">
        <f>IF($D1757="","",IFERROR(VLOOKUP($D1757,物料档案!$A$4:$P$1203,4,0),"※编码不在物料档案里"))</f>
        <v/>
      </c>
      <c r="G1757" s="24">
        <f>IF($D1757="","",IFERROR(VLOOKUP($D1757,物料档案!$A$4:$P$1203,5,0),"※编码不在物料档案里"))</f>
        <v/>
      </c>
      <c r="H1757" s="24">
        <f>IF($D1757="","",IFERROR(VLOOKUP($D1757,物料档案!$A$4:$P$1203,2,0),"※编码不在物料档案里"))</f>
        <v/>
      </c>
      <c r="I1757" s="24">
        <f>IF($D1757="","",IFERROR(VLOOKUP($D1757,物料档案!$A$4:$P$1203,6,0),"※编码不在物料档案里"))</f>
        <v/>
      </c>
      <c r="J1757" s="23" t="n"/>
      <c r="K1757" s="17" t="n"/>
      <c r="L1757" s="17" t="n"/>
      <c r="M1757" s="17" t="n"/>
      <c r="N1757" s="17" t="n"/>
      <c r="O1757" s="26">
        <f>IF($D1757="","",IFERROR(VLOOKUP($D1757,物料档案!$A$4:$P$1203,10,0),0))</f>
        <v/>
      </c>
      <c r="P1757" s="32" t="n"/>
      <c r="Q1757" s="26">
        <f>IF($D1757="","",IF($K1757&lt;&gt;"对外销售",0,ROUND(N($J1757)*IF($P1757="",N($O1757),N($P1757)),0)))</f>
        <v/>
      </c>
      <c r="R1757" s="26">
        <f>IF($D1757="","",IFERROR(VLOOKUP($D1757,库存台账!$A$5:$Y$1204,11,0),0))</f>
        <v/>
      </c>
      <c r="S1757" s="26">
        <f>IF($D1757="","",ROUND(N($J1757)*N($R1757),0))</f>
        <v/>
      </c>
      <c r="T1757" s="26">
        <f>IF($D1757="","",IF($K1757&lt;&gt;"对外销售","",ROUND($Q1757-$S1757,0)))</f>
        <v/>
      </c>
      <c r="U1757" s="17" t="n"/>
      <c r="V1757" s="17" t="n"/>
      <c r="W1757" s="24">
        <f>IF($D1757="","",IF($E1757="※编码不在物料档案里","※物料编码不在档案里",IF(N($J1757)&lt;=0,"※出库数量要大于 0",IF($K1757="","※没填去向类型",IF($L1757="","※没填去向矿区",IF(AND($C1757&lt;&gt;"",$C1757&lt;=结账锁),"※日期早于已结账截止日，不能再录",IF(AND($K1757="自用消耗",COUNTIF({"一矿区";"二矿区"},$L1757)=0),"※自用消耗的去向只能是一矿区或二矿区",IF(AND($K1757="对外销售",COUNTIF({"三矿区";"六矿区"},$L1757)=0),"※对外销售的去向只能是三矿区或六矿区",IF(AND($K1757="对外销售",ROUND($Q1757,0)=0),"※外销却没有售价，请填实际售价",IF(AND($K1757="对外销售",$T1757&lt;&gt;"",$T1757&lt;0),"※这一笔外销是亏的，请核对售价",IF(IFERROR(VLOOKUP($D1757,库存台账!$A$5:$Y$1204,24,0),0)&lt;-0.001,"※这个物料账面已经变成负数了，查一下是不是漏记入库","")))))))))))</f>
        <v/>
      </c>
    </row>
    <row r="1758">
      <c r="A1758" s="24">
        <f>IF($D1758="","",COUNTA($D$4:$D1758))</f>
        <v/>
      </c>
      <c r="B1758" s="17" t="n"/>
      <c r="C1758" s="30" t="n"/>
      <c r="D1758" s="17" t="n"/>
      <c r="E1758" s="24">
        <f>IF($D1758="","",IFERROR(VLOOKUP($D1758,物料档案!$A$4:$P$1203,3,0),"※编码不在物料档案里"))</f>
        <v/>
      </c>
      <c r="F1758" s="24">
        <f>IF($D1758="","",IFERROR(VLOOKUP($D1758,物料档案!$A$4:$P$1203,4,0),"※编码不在物料档案里"))</f>
        <v/>
      </c>
      <c r="G1758" s="24">
        <f>IF($D1758="","",IFERROR(VLOOKUP($D1758,物料档案!$A$4:$P$1203,5,0),"※编码不在物料档案里"))</f>
        <v/>
      </c>
      <c r="H1758" s="24">
        <f>IF($D1758="","",IFERROR(VLOOKUP($D1758,物料档案!$A$4:$P$1203,2,0),"※编码不在物料档案里"))</f>
        <v/>
      </c>
      <c r="I1758" s="24">
        <f>IF($D1758="","",IFERROR(VLOOKUP($D1758,物料档案!$A$4:$P$1203,6,0),"※编码不在物料档案里"))</f>
        <v/>
      </c>
      <c r="J1758" s="23" t="n"/>
      <c r="K1758" s="17" t="n"/>
      <c r="L1758" s="17" t="n"/>
      <c r="M1758" s="17" t="n"/>
      <c r="N1758" s="17" t="n"/>
      <c r="O1758" s="26">
        <f>IF($D1758="","",IFERROR(VLOOKUP($D1758,物料档案!$A$4:$P$1203,10,0),0))</f>
        <v/>
      </c>
      <c r="P1758" s="32" t="n"/>
      <c r="Q1758" s="26">
        <f>IF($D1758="","",IF($K1758&lt;&gt;"对外销售",0,ROUND(N($J1758)*IF($P1758="",N($O1758),N($P1758)),0)))</f>
        <v/>
      </c>
      <c r="R1758" s="26">
        <f>IF($D1758="","",IFERROR(VLOOKUP($D1758,库存台账!$A$5:$Y$1204,11,0),0))</f>
        <v/>
      </c>
      <c r="S1758" s="26">
        <f>IF($D1758="","",ROUND(N($J1758)*N($R1758),0))</f>
        <v/>
      </c>
      <c r="T1758" s="26">
        <f>IF($D1758="","",IF($K1758&lt;&gt;"对外销售","",ROUND($Q1758-$S1758,0)))</f>
        <v/>
      </c>
      <c r="U1758" s="17" t="n"/>
      <c r="V1758" s="17" t="n"/>
      <c r="W1758" s="24">
        <f>IF($D1758="","",IF($E1758="※编码不在物料档案里","※物料编码不在档案里",IF(N($J1758)&lt;=0,"※出库数量要大于 0",IF($K1758="","※没填去向类型",IF($L1758="","※没填去向矿区",IF(AND($C1758&lt;&gt;"",$C1758&lt;=结账锁),"※日期早于已结账截止日，不能再录",IF(AND($K1758="自用消耗",COUNTIF({"一矿区";"二矿区"},$L1758)=0),"※自用消耗的去向只能是一矿区或二矿区",IF(AND($K1758="对外销售",COUNTIF({"三矿区";"六矿区"},$L1758)=0),"※对外销售的去向只能是三矿区或六矿区",IF(AND($K1758="对外销售",ROUND($Q1758,0)=0),"※外销却没有售价，请填实际售价",IF(AND($K1758="对外销售",$T1758&lt;&gt;"",$T1758&lt;0),"※这一笔外销是亏的，请核对售价",IF(IFERROR(VLOOKUP($D1758,库存台账!$A$5:$Y$1204,24,0),0)&lt;-0.001,"※这个物料账面已经变成负数了，查一下是不是漏记入库","")))))))))))</f>
        <v/>
      </c>
    </row>
    <row r="1759">
      <c r="A1759" s="24">
        <f>IF($D1759="","",COUNTA($D$4:$D1759))</f>
        <v/>
      </c>
      <c r="B1759" s="17" t="n"/>
      <c r="C1759" s="30" t="n"/>
      <c r="D1759" s="17" t="n"/>
      <c r="E1759" s="24">
        <f>IF($D1759="","",IFERROR(VLOOKUP($D1759,物料档案!$A$4:$P$1203,3,0),"※编码不在物料档案里"))</f>
        <v/>
      </c>
      <c r="F1759" s="24">
        <f>IF($D1759="","",IFERROR(VLOOKUP($D1759,物料档案!$A$4:$P$1203,4,0),"※编码不在物料档案里"))</f>
        <v/>
      </c>
      <c r="G1759" s="24">
        <f>IF($D1759="","",IFERROR(VLOOKUP($D1759,物料档案!$A$4:$P$1203,5,0),"※编码不在物料档案里"))</f>
        <v/>
      </c>
      <c r="H1759" s="24">
        <f>IF($D1759="","",IFERROR(VLOOKUP($D1759,物料档案!$A$4:$P$1203,2,0),"※编码不在物料档案里"))</f>
        <v/>
      </c>
      <c r="I1759" s="24">
        <f>IF($D1759="","",IFERROR(VLOOKUP($D1759,物料档案!$A$4:$P$1203,6,0),"※编码不在物料档案里"))</f>
        <v/>
      </c>
      <c r="J1759" s="23" t="n"/>
      <c r="K1759" s="17" t="n"/>
      <c r="L1759" s="17" t="n"/>
      <c r="M1759" s="17" t="n"/>
      <c r="N1759" s="17" t="n"/>
      <c r="O1759" s="26">
        <f>IF($D1759="","",IFERROR(VLOOKUP($D1759,物料档案!$A$4:$P$1203,10,0),0))</f>
        <v/>
      </c>
      <c r="P1759" s="32" t="n"/>
      <c r="Q1759" s="26">
        <f>IF($D1759="","",IF($K1759&lt;&gt;"对外销售",0,ROUND(N($J1759)*IF($P1759="",N($O1759),N($P1759)),0)))</f>
        <v/>
      </c>
      <c r="R1759" s="26">
        <f>IF($D1759="","",IFERROR(VLOOKUP($D1759,库存台账!$A$5:$Y$1204,11,0),0))</f>
        <v/>
      </c>
      <c r="S1759" s="26">
        <f>IF($D1759="","",ROUND(N($J1759)*N($R1759),0))</f>
        <v/>
      </c>
      <c r="T1759" s="26">
        <f>IF($D1759="","",IF($K1759&lt;&gt;"对外销售","",ROUND($Q1759-$S1759,0)))</f>
        <v/>
      </c>
      <c r="U1759" s="17" t="n"/>
      <c r="V1759" s="17" t="n"/>
      <c r="W1759" s="24">
        <f>IF($D1759="","",IF($E1759="※编码不在物料档案里","※物料编码不在档案里",IF(N($J1759)&lt;=0,"※出库数量要大于 0",IF($K1759="","※没填去向类型",IF($L1759="","※没填去向矿区",IF(AND($C1759&lt;&gt;"",$C1759&lt;=结账锁),"※日期早于已结账截止日，不能再录",IF(AND($K1759="自用消耗",COUNTIF({"一矿区";"二矿区"},$L1759)=0),"※自用消耗的去向只能是一矿区或二矿区",IF(AND($K1759="对外销售",COUNTIF({"三矿区";"六矿区"},$L1759)=0),"※对外销售的去向只能是三矿区或六矿区",IF(AND($K1759="对外销售",ROUND($Q1759,0)=0),"※外销却没有售价，请填实际售价",IF(AND($K1759="对外销售",$T1759&lt;&gt;"",$T1759&lt;0),"※这一笔外销是亏的，请核对售价",IF(IFERROR(VLOOKUP($D1759,库存台账!$A$5:$Y$1204,24,0),0)&lt;-0.001,"※这个物料账面已经变成负数了，查一下是不是漏记入库","")))))))))))</f>
        <v/>
      </c>
    </row>
    <row r="1760">
      <c r="A1760" s="24">
        <f>IF($D1760="","",COUNTA($D$4:$D1760))</f>
        <v/>
      </c>
      <c r="B1760" s="17" t="n"/>
      <c r="C1760" s="30" t="n"/>
      <c r="D1760" s="17" t="n"/>
      <c r="E1760" s="24">
        <f>IF($D1760="","",IFERROR(VLOOKUP($D1760,物料档案!$A$4:$P$1203,3,0),"※编码不在物料档案里"))</f>
        <v/>
      </c>
      <c r="F1760" s="24">
        <f>IF($D1760="","",IFERROR(VLOOKUP($D1760,物料档案!$A$4:$P$1203,4,0),"※编码不在物料档案里"))</f>
        <v/>
      </c>
      <c r="G1760" s="24">
        <f>IF($D1760="","",IFERROR(VLOOKUP($D1760,物料档案!$A$4:$P$1203,5,0),"※编码不在物料档案里"))</f>
        <v/>
      </c>
      <c r="H1760" s="24">
        <f>IF($D1760="","",IFERROR(VLOOKUP($D1760,物料档案!$A$4:$P$1203,2,0),"※编码不在物料档案里"))</f>
        <v/>
      </c>
      <c r="I1760" s="24">
        <f>IF($D1760="","",IFERROR(VLOOKUP($D1760,物料档案!$A$4:$P$1203,6,0),"※编码不在物料档案里"))</f>
        <v/>
      </c>
      <c r="J1760" s="23" t="n"/>
      <c r="K1760" s="17" t="n"/>
      <c r="L1760" s="17" t="n"/>
      <c r="M1760" s="17" t="n"/>
      <c r="N1760" s="17" t="n"/>
      <c r="O1760" s="26">
        <f>IF($D1760="","",IFERROR(VLOOKUP($D1760,物料档案!$A$4:$P$1203,10,0),0))</f>
        <v/>
      </c>
      <c r="P1760" s="32" t="n"/>
      <c r="Q1760" s="26">
        <f>IF($D1760="","",IF($K1760&lt;&gt;"对外销售",0,ROUND(N($J1760)*IF($P1760="",N($O1760),N($P1760)),0)))</f>
        <v/>
      </c>
      <c r="R1760" s="26">
        <f>IF($D1760="","",IFERROR(VLOOKUP($D1760,库存台账!$A$5:$Y$1204,11,0),0))</f>
        <v/>
      </c>
      <c r="S1760" s="26">
        <f>IF($D1760="","",ROUND(N($J1760)*N($R1760),0))</f>
        <v/>
      </c>
      <c r="T1760" s="26">
        <f>IF($D1760="","",IF($K1760&lt;&gt;"对外销售","",ROUND($Q1760-$S1760,0)))</f>
        <v/>
      </c>
      <c r="U1760" s="17" t="n"/>
      <c r="V1760" s="17" t="n"/>
      <c r="W1760" s="24">
        <f>IF($D1760="","",IF($E1760="※编码不在物料档案里","※物料编码不在档案里",IF(N($J1760)&lt;=0,"※出库数量要大于 0",IF($K1760="","※没填去向类型",IF($L1760="","※没填去向矿区",IF(AND($C1760&lt;&gt;"",$C1760&lt;=结账锁),"※日期早于已结账截止日，不能再录",IF(AND($K1760="自用消耗",COUNTIF({"一矿区";"二矿区"},$L1760)=0),"※自用消耗的去向只能是一矿区或二矿区",IF(AND($K1760="对外销售",COUNTIF({"三矿区";"六矿区"},$L1760)=0),"※对外销售的去向只能是三矿区或六矿区",IF(AND($K1760="对外销售",ROUND($Q1760,0)=0),"※外销却没有售价，请填实际售价",IF(AND($K1760="对外销售",$T1760&lt;&gt;"",$T1760&lt;0),"※这一笔外销是亏的，请核对售价",IF(IFERROR(VLOOKUP($D1760,库存台账!$A$5:$Y$1204,24,0),0)&lt;-0.001,"※这个物料账面已经变成负数了，查一下是不是漏记入库","")))))))))))</f>
        <v/>
      </c>
    </row>
    <row r="1761">
      <c r="A1761" s="24">
        <f>IF($D1761="","",COUNTA($D$4:$D1761))</f>
        <v/>
      </c>
      <c r="B1761" s="17" t="n"/>
      <c r="C1761" s="30" t="n"/>
      <c r="D1761" s="17" t="n"/>
      <c r="E1761" s="24">
        <f>IF($D1761="","",IFERROR(VLOOKUP($D1761,物料档案!$A$4:$P$1203,3,0),"※编码不在物料档案里"))</f>
        <v/>
      </c>
      <c r="F1761" s="24">
        <f>IF($D1761="","",IFERROR(VLOOKUP($D1761,物料档案!$A$4:$P$1203,4,0),"※编码不在物料档案里"))</f>
        <v/>
      </c>
      <c r="G1761" s="24">
        <f>IF($D1761="","",IFERROR(VLOOKUP($D1761,物料档案!$A$4:$P$1203,5,0),"※编码不在物料档案里"))</f>
        <v/>
      </c>
      <c r="H1761" s="24">
        <f>IF($D1761="","",IFERROR(VLOOKUP($D1761,物料档案!$A$4:$P$1203,2,0),"※编码不在物料档案里"))</f>
        <v/>
      </c>
      <c r="I1761" s="24">
        <f>IF($D1761="","",IFERROR(VLOOKUP($D1761,物料档案!$A$4:$P$1203,6,0),"※编码不在物料档案里"))</f>
        <v/>
      </c>
      <c r="J1761" s="23" t="n"/>
      <c r="K1761" s="17" t="n"/>
      <c r="L1761" s="17" t="n"/>
      <c r="M1761" s="17" t="n"/>
      <c r="N1761" s="17" t="n"/>
      <c r="O1761" s="26">
        <f>IF($D1761="","",IFERROR(VLOOKUP($D1761,物料档案!$A$4:$P$1203,10,0),0))</f>
        <v/>
      </c>
      <c r="P1761" s="32" t="n"/>
      <c r="Q1761" s="26">
        <f>IF($D1761="","",IF($K1761&lt;&gt;"对外销售",0,ROUND(N($J1761)*IF($P1761="",N($O1761),N($P1761)),0)))</f>
        <v/>
      </c>
      <c r="R1761" s="26">
        <f>IF($D1761="","",IFERROR(VLOOKUP($D1761,库存台账!$A$5:$Y$1204,11,0),0))</f>
        <v/>
      </c>
      <c r="S1761" s="26">
        <f>IF($D1761="","",ROUND(N($J1761)*N($R1761),0))</f>
        <v/>
      </c>
      <c r="T1761" s="26">
        <f>IF($D1761="","",IF($K1761&lt;&gt;"对外销售","",ROUND($Q1761-$S1761,0)))</f>
        <v/>
      </c>
      <c r="U1761" s="17" t="n"/>
      <c r="V1761" s="17" t="n"/>
      <c r="W1761" s="24">
        <f>IF($D1761="","",IF($E1761="※编码不在物料档案里","※物料编码不在档案里",IF(N($J1761)&lt;=0,"※出库数量要大于 0",IF($K1761="","※没填去向类型",IF($L1761="","※没填去向矿区",IF(AND($C1761&lt;&gt;"",$C1761&lt;=结账锁),"※日期早于已结账截止日，不能再录",IF(AND($K1761="自用消耗",COUNTIF({"一矿区";"二矿区"},$L1761)=0),"※自用消耗的去向只能是一矿区或二矿区",IF(AND($K1761="对外销售",COUNTIF({"三矿区";"六矿区"},$L1761)=0),"※对外销售的去向只能是三矿区或六矿区",IF(AND($K1761="对外销售",ROUND($Q1761,0)=0),"※外销却没有售价，请填实际售价",IF(AND($K1761="对外销售",$T1761&lt;&gt;"",$T1761&lt;0),"※这一笔外销是亏的，请核对售价",IF(IFERROR(VLOOKUP($D1761,库存台账!$A$5:$Y$1204,24,0),0)&lt;-0.001,"※这个物料账面已经变成负数了，查一下是不是漏记入库","")))))))))))</f>
        <v/>
      </c>
    </row>
    <row r="1762">
      <c r="A1762" s="24">
        <f>IF($D1762="","",COUNTA($D$4:$D1762))</f>
        <v/>
      </c>
      <c r="B1762" s="17" t="n"/>
      <c r="C1762" s="30" t="n"/>
      <c r="D1762" s="17" t="n"/>
      <c r="E1762" s="24">
        <f>IF($D1762="","",IFERROR(VLOOKUP($D1762,物料档案!$A$4:$P$1203,3,0),"※编码不在物料档案里"))</f>
        <v/>
      </c>
      <c r="F1762" s="24">
        <f>IF($D1762="","",IFERROR(VLOOKUP($D1762,物料档案!$A$4:$P$1203,4,0),"※编码不在物料档案里"))</f>
        <v/>
      </c>
      <c r="G1762" s="24">
        <f>IF($D1762="","",IFERROR(VLOOKUP($D1762,物料档案!$A$4:$P$1203,5,0),"※编码不在物料档案里"))</f>
        <v/>
      </c>
      <c r="H1762" s="24">
        <f>IF($D1762="","",IFERROR(VLOOKUP($D1762,物料档案!$A$4:$P$1203,2,0),"※编码不在物料档案里"))</f>
        <v/>
      </c>
      <c r="I1762" s="24">
        <f>IF($D1762="","",IFERROR(VLOOKUP($D1762,物料档案!$A$4:$P$1203,6,0),"※编码不在物料档案里"))</f>
        <v/>
      </c>
      <c r="J1762" s="23" t="n"/>
      <c r="K1762" s="17" t="n"/>
      <c r="L1762" s="17" t="n"/>
      <c r="M1762" s="17" t="n"/>
      <c r="N1762" s="17" t="n"/>
      <c r="O1762" s="26">
        <f>IF($D1762="","",IFERROR(VLOOKUP($D1762,物料档案!$A$4:$P$1203,10,0),0))</f>
        <v/>
      </c>
      <c r="P1762" s="32" t="n"/>
      <c r="Q1762" s="26">
        <f>IF($D1762="","",IF($K1762&lt;&gt;"对外销售",0,ROUND(N($J1762)*IF($P1762="",N($O1762),N($P1762)),0)))</f>
        <v/>
      </c>
      <c r="R1762" s="26">
        <f>IF($D1762="","",IFERROR(VLOOKUP($D1762,库存台账!$A$5:$Y$1204,11,0),0))</f>
        <v/>
      </c>
      <c r="S1762" s="26">
        <f>IF($D1762="","",ROUND(N($J1762)*N($R1762),0))</f>
        <v/>
      </c>
      <c r="T1762" s="26">
        <f>IF($D1762="","",IF($K1762&lt;&gt;"对外销售","",ROUND($Q1762-$S1762,0)))</f>
        <v/>
      </c>
      <c r="U1762" s="17" t="n"/>
      <c r="V1762" s="17" t="n"/>
      <c r="W1762" s="24">
        <f>IF($D1762="","",IF($E1762="※编码不在物料档案里","※物料编码不在档案里",IF(N($J1762)&lt;=0,"※出库数量要大于 0",IF($K1762="","※没填去向类型",IF($L1762="","※没填去向矿区",IF(AND($C1762&lt;&gt;"",$C1762&lt;=结账锁),"※日期早于已结账截止日，不能再录",IF(AND($K1762="自用消耗",COUNTIF({"一矿区";"二矿区"},$L1762)=0),"※自用消耗的去向只能是一矿区或二矿区",IF(AND($K1762="对外销售",COUNTIF({"三矿区";"六矿区"},$L1762)=0),"※对外销售的去向只能是三矿区或六矿区",IF(AND($K1762="对外销售",ROUND($Q1762,0)=0),"※外销却没有售价，请填实际售价",IF(AND($K1762="对外销售",$T1762&lt;&gt;"",$T1762&lt;0),"※这一笔外销是亏的，请核对售价",IF(IFERROR(VLOOKUP($D1762,库存台账!$A$5:$Y$1204,24,0),0)&lt;-0.001,"※这个物料账面已经变成负数了，查一下是不是漏记入库","")))))))))))</f>
        <v/>
      </c>
    </row>
    <row r="1763">
      <c r="A1763" s="24">
        <f>IF($D1763="","",COUNTA($D$4:$D1763))</f>
        <v/>
      </c>
      <c r="B1763" s="17" t="n"/>
      <c r="C1763" s="30" t="n"/>
      <c r="D1763" s="17" t="n"/>
      <c r="E1763" s="24">
        <f>IF($D1763="","",IFERROR(VLOOKUP($D1763,物料档案!$A$4:$P$1203,3,0),"※编码不在物料档案里"))</f>
        <v/>
      </c>
      <c r="F1763" s="24">
        <f>IF($D1763="","",IFERROR(VLOOKUP($D1763,物料档案!$A$4:$P$1203,4,0),"※编码不在物料档案里"))</f>
        <v/>
      </c>
      <c r="G1763" s="24">
        <f>IF($D1763="","",IFERROR(VLOOKUP($D1763,物料档案!$A$4:$P$1203,5,0),"※编码不在物料档案里"))</f>
        <v/>
      </c>
      <c r="H1763" s="24">
        <f>IF($D1763="","",IFERROR(VLOOKUP($D1763,物料档案!$A$4:$P$1203,2,0),"※编码不在物料档案里"))</f>
        <v/>
      </c>
      <c r="I1763" s="24">
        <f>IF($D1763="","",IFERROR(VLOOKUP($D1763,物料档案!$A$4:$P$1203,6,0),"※编码不在物料档案里"))</f>
        <v/>
      </c>
      <c r="J1763" s="23" t="n"/>
      <c r="K1763" s="17" t="n"/>
      <c r="L1763" s="17" t="n"/>
      <c r="M1763" s="17" t="n"/>
      <c r="N1763" s="17" t="n"/>
      <c r="O1763" s="26">
        <f>IF($D1763="","",IFERROR(VLOOKUP($D1763,物料档案!$A$4:$P$1203,10,0),0))</f>
        <v/>
      </c>
      <c r="P1763" s="32" t="n"/>
      <c r="Q1763" s="26">
        <f>IF($D1763="","",IF($K1763&lt;&gt;"对外销售",0,ROUND(N($J1763)*IF($P1763="",N($O1763),N($P1763)),0)))</f>
        <v/>
      </c>
      <c r="R1763" s="26">
        <f>IF($D1763="","",IFERROR(VLOOKUP($D1763,库存台账!$A$5:$Y$1204,11,0),0))</f>
        <v/>
      </c>
      <c r="S1763" s="26">
        <f>IF($D1763="","",ROUND(N($J1763)*N($R1763),0))</f>
        <v/>
      </c>
      <c r="T1763" s="26">
        <f>IF($D1763="","",IF($K1763&lt;&gt;"对外销售","",ROUND($Q1763-$S1763,0)))</f>
        <v/>
      </c>
      <c r="U1763" s="17" t="n"/>
      <c r="V1763" s="17" t="n"/>
      <c r="W1763" s="24">
        <f>IF($D1763="","",IF($E1763="※编码不在物料档案里","※物料编码不在档案里",IF(N($J1763)&lt;=0,"※出库数量要大于 0",IF($K1763="","※没填去向类型",IF($L1763="","※没填去向矿区",IF(AND($C1763&lt;&gt;"",$C1763&lt;=结账锁),"※日期早于已结账截止日，不能再录",IF(AND($K1763="自用消耗",COUNTIF({"一矿区";"二矿区"},$L1763)=0),"※自用消耗的去向只能是一矿区或二矿区",IF(AND($K1763="对外销售",COUNTIF({"三矿区";"六矿区"},$L1763)=0),"※对外销售的去向只能是三矿区或六矿区",IF(AND($K1763="对外销售",ROUND($Q1763,0)=0),"※外销却没有售价，请填实际售价",IF(AND($K1763="对外销售",$T1763&lt;&gt;"",$T1763&lt;0),"※这一笔外销是亏的，请核对售价",IF(IFERROR(VLOOKUP($D1763,库存台账!$A$5:$Y$1204,24,0),0)&lt;-0.001,"※这个物料账面已经变成负数了，查一下是不是漏记入库","")))))))))))</f>
        <v/>
      </c>
    </row>
    <row r="1764">
      <c r="A1764" s="24">
        <f>IF($D1764="","",COUNTA($D$4:$D1764))</f>
        <v/>
      </c>
      <c r="B1764" s="17" t="n"/>
      <c r="C1764" s="30" t="n"/>
      <c r="D1764" s="17" t="n"/>
      <c r="E1764" s="24">
        <f>IF($D1764="","",IFERROR(VLOOKUP($D1764,物料档案!$A$4:$P$1203,3,0),"※编码不在物料档案里"))</f>
        <v/>
      </c>
      <c r="F1764" s="24">
        <f>IF($D1764="","",IFERROR(VLOOKUP($D1764,物料档案!$A$4:$P$1203,4,0),"※编码不在物料档案里"))</f>
        <v/>
      </c>
      <c r="G1764" s="24">
        <f>IF($D1764="","",IFERROR(VLOOKUP($D1764,物料档案!$A$4:$P$1203,5,0),"※编码不在物料档案里"))</f>
        <v/>
      </c>
      <c r="H1764" s="24">
        <f>IF($D1764="","",IFERROR(VLOOKUP($D1764,物料档案!$A$4:$P$1203,2,0),"※编码不在物料档案里"))</f>
        <v/>
      </c>
      <c r="I1764" s="24">
        <f>IF($D1764="","",IFERROR(VLOOKUP($D1764,物料档案!$A$4:$P$1203,6,0),"※编码不在物料档案里"))</f>
        <v/>
      </c>
      <c r="J1764" s="23" t="n"/>
      <c r="K1764" s="17" t="n"/>
      <c r="L1764" s="17" t="n"/>
      <c r="M1764" s="17" t="n"/>
      <c r="N1764" s="17" t="n"/>
      <c r="O1764" s="26">
        <f>IF($D1764="","",IFERROR(VLOOKUP($D1764,物料档案!$A$4:$P$1203,10,0),0))</f>
        <v/>
      </c>
      <c r="P1764" s="32" t="n"/>
      <c r="Q1764" s="26">
        <f>IF($D1764="","",IF($K1764&lt;&gt;"对外销售",0,ROUND(N($J1764)*IF($P1764="",N($O1764),N($P1764)),0)))</f>
        <v/>
      </c>
      <c r="R1764" s="26">
        <f>IF($D1764="","",IFERROR(VLOOKUP($D1764,库存台账!$A$5:$Y$1204,11,0),0))</f>
        <v/>
      </c>
      <c r="S1764" s="26">
        <f>IF($D1764="","",ROUND(N($J1764)*N($R1764),0))</f>
        <v/>
      </c>
      <c r="T1764" s="26">
        <f>IF($D1764="","",IF($K1764&lt;&gt;"对外销售","",ROUND($Q1764-$S1764,0)))</f>
        <v/>
      </c>
      <c r="U1764" s="17" t="n"/>
      <c r="V1764" s="17" t="n"/>
      <c r="W1764" s="24">
        <f>IF($D1764="","",IF($E1764="※编码不在物料档案里","※物料编码不在档案里",IF(N($J1764)&lt;=0,"※出库数量要大于 0",IF($K1764="","※没填去向类型",IF($L1764="","※没填去向矿区",IF(AND($C1764&lt;&gt;"",$C1764&lt;=结账锁),"※日期早于已结账截止日，不能再录",IF(AND($K1764="自用消耗",COUNTIF({"一矿区";"二矿区"},$L1764)=0),"※自用消耗的去向只能是一矿区或二矿区",IF(AND($K1764="对外销售",COUNTIF({"三矿区";"六矿区"},$L1764)=0),"※对外销售的去向只能是三矿区或六矿区",IF(AND($K1764="对外销售",ROUND($Q1764,0)=0),"※外销却没有售价，请填实际售价",IF(AND($K1764="对外销售",$T1764&lt;&gt;"",$T1764&lt;0),"※这一笔外销是亏的，请核对售价",IF(IFERROR(VLOOKUP($D1764,库存台账!$A$5:$Y$1204,24,0),0)&lt;-0.001,"※这个物料账面已经变成负数了，查一下是不是漏记入库","")))))))))))</f>
        <v/>
      </c>
    </row>
    <row r="1765">
      <c r="A1765" s="24">
        <f>IF($D1765="","",COUNTA($D$4:$D1765))</f>
        <v/>
      </c>
      <c r="B1765" s="17" t="n"/>
      <c r="C1765" s="30" t="n"/>
      <c r="D1765" s="17" t="n"/>
      <c r="E1765" s="24">
        <f>IF($D1765="","",IFERROR(VLOOKUP($D1765,物料档案!$A$4:$P$1203,3,0),"※编码不在物料档案里"))</f>
        <v/>
      </c>
      <c r="F1765" s="24">
        <f>IF($D1765="","",IFERROR(VLOOKUP($D1765,物料档案!$A$4:$P$1203,4,0),"※编码不在物料档案里"))</f>
        <v/>
      </c>
      <c r="G1765" s="24">
        <f>IF($D1765="","",IFERROR(VLOOKUP($D1765,物料档案!$A$4:$P$1203,5,0),"※编码不在物料档案里"))</f>
        <v/>
      </c>
      <c r="H1765" s="24">
        <f>IF($D1765="","",IFERROR(VLOOKUP($D1765,物料档案!$A$4:$P$1203,2,0),"※编码不在物料档案里"))</f>
        <v/>
      </c>
      <c r="I1765" s="24">
        <f>IF($D1765="","",IFERROR(VLOOKUP($D1765,物料档案!$A$4:$P$1203,6,0),"※编码不在物料档案里"))</f>
        <v/>
      </c>
      <c r="J1765" s="23" t="n"/>
      <c r="K1765" s="17" t="n"/>
      <c r="L1765" s="17" t="n"/>
      <c r="M1765" s="17" t="n"/>
      <c r="N1765" s="17" t="n"/>
      <c r="O1765" s="26">
        <f>IF($D1765="","",IFERROR(VLOOKUP($D1765,物料档案!$A$4:$P$1203,10,0),0))</f>
        <v/>
      </c>
      <c r="P1765" s="32" t="n"/>
      <c r="Q1765" s="26">
        <f>IF($D1765="","",IF($K1765&lt;&gt;"对外销售",0,ROUND(N($J1765)*IF($P1765="",N($O1765),N($P1765)),0)))</f>
        <v/>
      </c>
      <c r="R1765" s="26">
        <f>IF($D1765="","",IFERROR(VLOOKUP($D1765,库存台账!$A$5:$Y$1204,11,0),0))</f>
        <v/>
      </c>
      <c r="S1765" s="26">
        <f>IF($D1765="","",ROUND(N($J1765)*N($R1765),0))</f>
        <v/>
      </c>
      <c r="T1765" s="26">
        <f>IF($D1765="","",IF($K1765&lt;&gt;"对外销售","",ROUND($Q1765-$S1765,0)))</f>
        <v/>
      </c>
      <c r="U1765" s="17" t="n"/>
      <c r="V1765" s="17" t="n"/>
      <c r="W1765" s="24">
        <f>IF($D1765="","",IF($E1765="※编码不在物料档案里","※物料编码不在档案里",IF(N($J1765)&lt;=0,"※出库数量要大于 0",IF($K1765="","※没填去向类型",IF($L1765="","※没填去向矿区",IF(AND($C1765&lt;&gt;"",$C1765&lt;=结账锁),"※日期早于已结账截止日，不能再录",IF(AND($K1765="自用消耗",COUNTIF({"一矿区";"二矿区"},$L1765)=0),"※自用消耗的去向只能是一矿区或二矿区",IF(AND($K1765="对外销售",COUNTIF({"三矿区";"六矿区"},$L1765)=0),"※对外销售的去向只能是三矿区或六矿区",IF(AND($K1765="对外销售",ROUND($Q1765,0)=0),"※外销却没有售价，请填实际售价",IF(AND($K1765="对外销售",$T1765&lt;&gt;"",$T1765&lt;0),"※这一笔外销是亏的，请核对售价",IF(IFERROR(VLOOKUP($D1765,库存台账!$A$5:$Y$1204,24,0),0)&lt;-0.001,"※这个物料账面已经变成负数了，查一下是不是漏记入库","")))))))))))</f>
        <v/>
      </c>
    </row>
    <row r="1766">
      <c r="A1766" s="24">
        <f>IF($D1766="","",COUNTA($D$4:$D1766))</f>
        <v/>
      </c>
      <c r="B1766" s="17" t="n"/>
      <c r="C1766" s="30" t="n"/>
      <c r="D1766" s="17" t="n"/>
      <c r="E1766" s="24">
        <f>IF($D1766="","",IFERROR(VLOOKUP($D1766,物料档案!$A$4:$P$1203,3,0),"※编码不在物料档案里"))</f>
        <v/>
      </c>
      <c r="F1766" s="24">
        <f>IF($D1766="","",IFERROR(VLOOKUP($D1766,物料档案!$A$4:$P$1203,4,0),"※编码不在物料档案里"))</f>
        <v/>
      </c>
      <c r="G1766" s="24">
        <f>IF($D1766="","",IFERROR(VLOOKUP($D1766,物料档案!$A$4:$P$1203,5,0),"※编码不在物料档案里"))</f>
        <v/>
      </c>
      <c r="H1766" s="24">
        <f>IF($D1766="","",IFERROR(VLOOKUP($D1766,物料档案!$A$4:$P$1203,2,0),"※编码不在物料档案里"))</f>
        <v/>
      </c>
      <c r="I1766" s="24">
        <f>IF($D1766="","",IFERROR(VLOOKUP($D1766,物料档案!$A$4:$P$1203,6,0),"※编码不在物料档案里"))</f>
        <v/>
      </c>
      <c r="J1766" s="23" t="n"/>
      <c r="K1766" s="17" t="n"/>
      <c r="L1766" s="17" t="n"/>
      <c r="M1766" s="17" t="n"/>
      <c r="N1766" s="17" t="n"/>
      <c r="O1766" s="26">
        <f>IF($D1766="","",IFERROR(VLOOKUP($D1766,物料档案!$A$4:$P$1203,10,0),0))</f>
        <v/>
      </c>
      <c r="P1766" s="32" t="n"/>
      <c r="Q1766" s="26">
        <f>IF($D1766="","",IF($K1766&lt;&gt;"对外销售",0,ROUND(N($J1766)*IF($P1766="",N($O1766),N($P1766)),0)))</f>
        <v/>
      </c>
      <c r="R1766" s="26">
        <f>IF($D1766="","",IFERROR(VLOOKUP($D1766,库存台账!$A$5:$Y$1204,11,0),0))</f>
        <v/>
      </c>
      <c r="S1766" s="26">
        <f>IF($D1766="","",ROUND(N($J1766)*N($R1766),0))</f>
        <v/>
      </c>
      <c r="T1766" s="26">
        <f>IF($D1766="","",IF($K1766&lt;&gt;"对外销售","",ROUND($Q1766-$S1766,0)))</f>
        <v/>
      </c>
      <c r="U1766" s="17" t="n"/>
      <c r="V1766" s="17" t="n"/>
      <c r="W1766" s="24">
        <f>IF($D1766="","",IF($E1766="※编码不在物料档案里","※物料编码不在档案里",IF(N($J1766)&lt;=0,"※出库数量要大于 0",IF($K1766="","※没填去向类型",IF($L1766="","※没填去向矿区",IF(AND($C1766&lt;&gt;"",$C1766&lt;=结账锁),"※日期早于已结账截止日，不能再录",IF(AND($K1766="自用消耗",COUNTIF({"一矿区";"二矿区"},$L1766)=0),"※自用消耗的去向只能是一矿区或二矿区",IF(AND($K1766="对外销售",COUNTIF({"三矿区";"六矿区"},$L1766)=0),"※对外销售的去向只能是三矿区或六矿区",IF(AND($K1766="对外销售",ROUND($Q1766,0)=0),"※外销却没有售价，请填实际售价",IF(AND($K1766="对外销售",$T1766&lt;&gt;"",$T1766&lt;0),"※这一笔外销是亏的，请核对售价",IF(IFERROR(VLOOKUP($D1766,库存台账!$A$5:$Y$1204,24,0),0)&lt;-0.001,"※这个物料账面已经变成负数了，查一下是不是漏记入库","")))))))))))</f>
        <v/>
      </c>
    </row>
    <row r="1767">
      <c r="A1767" s="24">
        <f>IF($D1767="","",COUNTA($D$4:$D1767))</f>
        <v/>
      </c>
      <c r="B1767" s="17" t="n"/>
      <c r="C1767" s="30" t="n"/>
      <c r="D1767" s="17" t="n"/>
      <c r="E1767" s="24">
        <f>IF($D1767="","",IFERROR(VLOOKUP($D1767,物料档案!$A$4:$P$1203,3,0),"※编码不在物料档案里"))</f>
        <v/>
      </c>
      <c r="F1767" s="24">
        <f>IF($D1767="","",IFERROR(VLOOKUP($D1767,物料档案!$A$4:$P$1203,4,0),"※编码不在物料档案里"))</f>
        <v/>
      </c>
      <c r="G1767" s="24">
        <f>IF($D1767="","",IFERROR(VLOOKUP($D1767,物料档案!$A$4:$P$1203,5,0),"※编码不在物料档案里"))</f>
        <v/>
      </c>
      <c r="H1767" s="24">
        <f>IF($D1767="","",IFERROR(VLOOKUP($D1767,物料档案!$A$4:$P$1203,2,0),"※编码不在物料档案里"))</f>
        <v/>
      </c>
      <c r="I1767" s="24">
        <f>IF($D1767="","",IFERROR(VLOOKUP($D1767,物料档案!$A$4:$P$1203,6,0),"※编码不在物料档案里"))</f>
        <v/>
      </c>
      <c r="J1767" s="23" t="n"/>
      <c r="K1767" s="17" t="n"/>
      <c r="L1767" s="17" t="n"/>
      <c r="M1767" s="17" t="n"/>
      <c r="N1767" s="17" t="n"/>
      <c r="O1767" s="26">
        <f>IF($D1767="","",IFERROR(VLOOKUP($D1767,物料档案!$A$4:$P$1203,10,0),0))</f>
        <v/>
      </c>
      <c r="P1767" s="32" t="n"/>
      <c r="Q1767" s="26">
        <f>IF($D1767="","",IF($K1767&lt;&gt;"对外销售",0,ROUND(N($J1767)*IF($P1767="",N($O1767),N($P1767)),0)))</f>
        <v/>
      </c>
      <c r="R1767" s="26">
        <f>IF($D1767="","",IFERROR(VLOOKUP($D1767,库存台账!$A$5:$Y$1204,11,0),0))</f>
        <v/>
      </c>
      <c r="S1767" s="26">
        <f>IF($D1767="","",ROUND(N($J1767)*N($R1767),0))</f>
        <v/>
      </c>
      <c r="T1767" s="26">
        <f>IF($D1767="","",IF($K1767&lt;&gt;"对外销售","",ROUND($Q1767-$S1767,0)))</f>
        <v/>
      </c>
      <c r="U1767" s="17" t="n"/>
      <c r="V1767" s="17" t="n"/>
      <c r="W1767" s="24">
        <f>IF($D1767="","",IF($E1767="※编码不在物料档案里","※物料编码不在档案里",IF(N($J1767)&lt;=0,"※出库数量要大于 0",IF($K1767="","※没填去向类型",IF($L1767="","※没填去向矿区",IF(AND($C1767&lt;&gt;"",$C1767&lt;=结账锁),"※日期早于已结账截止日，不能再录",IF(AND($K1767="自用消耗",COUNTIF({"一矿区";"二矿区"},$L1767)=0),"※自用消耗的去向只能是一矿区或二矿区",IF(AND($K1767="对外销售",COUNTIF({"三矿区";"六矿区"},$L1767)=0),"※对外销售的去向只能是三矿区或六矿区",IF(AND($K1767="对外销售",ROUND($Q1767,0)=0),"※外销却没有售价，请填实际售价",IF(AND($K1767="对外销售",$T1767&lt;&gt;"",$T1767&lt;0),"※这一笔外销是亏的，请核对售价",IF(IFERROR(VLOOKUP($D1767,库存台账!$A$5:$Y$1204,24,0),0)&lt;-0.001,"※这个物料账面已经变成负数了，查一下是不是漏记入库","")))))))))))</f>
        <v/>
      </c>
    </row>
    <row r="1768">
      <c r="A1768" s="24">
        <f>IF($D1768="","",COUNTA($D$4:$D1768))</f>
        <v/>
      </c>
      <c r="B1768" s="17" t="n"/>
      <c r="C1768" s="30" t="n"/>
      <c r="D1768" s="17" t="n"/>
      <c r="E1768" s="24">
        <f>IF($D1768="","",IFERROR(VLOOKUP($D1768,物料档案!$A$4:$P$1203,3,0),"※编码不在物料档案里"))</f>
        <v/>
      </c>
      <c r="F1768" s="24">
        <f>IF($D1768="","",IFERROR(VLOOKUP($D1768,物料档案!$A$4:$P$1203,4,0),"※编码不在物料档案里"))</f>
        <v/>
      </c>
      <c r="G1768" s="24">
        <f>IF($D1768="","",IFERROR(VLOOKUP($D1768,物料档案!$A$4:$P$1203,5,0),"※编码不在物料档案里"))</f>
        <v/>
      </c>
      <c r="H1768" s="24">
        <f>IF($D1768="","",IFERROR(VLOOKUP($D1768,物料档案!$A$4:$P$1203,2,0),"※编码不在物料档案里"))</f>
        <v/>
      </c>
      <c r="I1768" s="24">
        <f>IF($D1768="","",IFERROR(VLOOKUP($D1768,物料档案!$A$4:$P$1203,6,0),"※编码不在物料档案里"))</f>
        <v/>
      </c>
      <c r="J1768" s="23" t="n"/>
      <c r="K1768" s="17" t="n"/>
      <c r="L1768" s="17" t="n"/>
      <c r="M1768" s="17" t="n"/>
      <c r="N1768" s="17" t="n"/>
      <c r="O1768" s="26">
        <f>IF($D1768="","",IFERROR(VLOOKUP($D1768,物料档案!$A$4:$P$1203,10,0),0))</f>
        <v/>
      </c>
      <c r="P1768" s="32" t="n"/>
      <c r="Q1768" s="26">
        <f>IF($D1768="","",IF($K1768&lt;&gt;"对外销售",0,ROUND(N($J1768)*IF($P1768="",N($O1768),N($P1768)),0)))</f>
        <v/>
      </c>
      <c r="R1768" s="26">
        <f>IF($D1768="","",IFERROR(VLOOKUP($D1768,库存台账!$A$5:$Y$1204,11,0),0))</f>
        <v/>
      </c>
      <c r="S1768" s="26">
        <f>IF($D1768="","",ROUND(N($J1768)*N($R1768),0))</f>
        <v/>
      </c>
      <c r="T1768" s="26">
        <f>IF($D1768="","",IF($K1768&lt;&gt;"对外销售","",ROUND($Q1768-$S1768,0)))</f>
        <v/>
      </c>
      <c r="U1768" s="17" t="n"/>
      <c r="V1768" s="17" t="n"/>
      <c r="W1768" s="24">
        <f>IF($D1768="","",IF($E1768="※编码不在物料档案里","※物料编码不在档案里",IF(N($J1768)&lt;=0,"※出库数量要大于 0",IF($K1768="","※没填去向类型",IF($L1768="","※没填去向矿区",IF(AND($C1768&lt;&gt;"",$C1768&lt;=结账锁),"※日期早于已结账截止日，不能再录",IF(AND($K1768="自用消耗",COUNTIF({"一矿区";"二矿区"},$L1768)=0),"※自用消耗的去向只能是一矿区或二矿区",IF(AND($K1768="对外销售",COUNTIF({"三矿区";"六矿区"},$L1768)=0),"※对外销售的去向只能是三矿区或六矿区",IF(AND($K1768="对外销售",ROUND($Q1768,0)=0),"※外销却没有售价，请填实际售价",IF(AND($K1768="对外销售",$T1768&lt;&gt;"",$T1768&lt;0),"※这一笔外销是亏的，请核对售价",IF(IFERROR(VLOOKUP($D1768,库存台账!$A$5:$Y$1204,24,0),0)&lt;-0.001,"※这个物料账面已经变成负数了，查一下是不是漏记入库","")))))))))))</f>
        <v/>
      </c>
    </row>
    <row r="1769">
      <c r="A1769" s="24">
        <f>IF($D1769="","",COUNTA($D$4:$D1769))</f>
        <v/>
      </c>
      <c r="B1769" s="17" t="n"/>
      <c r="C1769" s="30" t="n"/>
      <c r="D1769" s="17" t="n"/>
      <c r="E1769" s="24">
        <f>IF($D1769="","",IFERROR(VLOOKUP($D1769,物料档案!$A$4:$P$1203,3,0),"※编码不在物料档案里"))</f>
        <v/>
      </c>
      <c r="F1769" s="24">
        <f>IF($D1769="","",IFERROR(VLOOKUP($D1769,物料档案!$A$4:$P$1203,4,0),"※编码不在物料档案里"))</f>
        <v/>
      </c>
      <c r="G1769" s="24">
        <f>IF($D1769="","",IFERROR(VLOOKUP($D1769,物料档案!$A$4:$P$1203,5,0),"※编码不在物料档案里"))</f>
        <v/>
      </c>
      <c r="H1769" s="24">
        <f>IF($D1769="","",IFERROR(VLOOKUP($D1769,物料档案!$A$4:$P$1203,2,0),"※编码不在物料档案里"))</f>
        <v/>
      </c>
      <c r="I1769" s="24">
        <f>IF($D1769="","",IFERROR(VLOOKUP($D1769,物料档案!$A$4:$P$1203,6,0),"※编码不在物料档案里"))</f>
        <v/>
      </c>
      <c r="J1769" s="23" t="n"/>
      <c r="K1769" s="17" t="n"/>
      <c r="L1769" s="17" t="n"/>
      <c r="M1769" s="17" t="n"/>
      <c r="N1769" s="17" t="n"/>
      <c r="O1769" s="26">
        <f>IF($D1769="","",IFERROR(VLOOKUP($D1769,物料档案!$A$4:$P$1203,10,0),0))</f>
        <v/>
      </c>
      <c r="P1769" s="32" t="n"/>
      <c r="Q1769" s="26">
        <f>IF($D1769="","",IF($K1769&lt;&gt;"对外销售",0,ROUND(N($J1769)*IF($P1769="",N($O1769),N($P1769)),0)))</f>
        <v/>
      </c>
      <c r="R1769" s="26">
        <f>IF($D1769="","",IFERROR(VLOOKUP($D1769,库存台账!$A$5:$Y$1204,11,0),0))</f>
        <v/>
      </c>
      <c r="S1769" s="26">
        <f>IF($D1769="","",ROUND(N($J1769)*N($R1769),0))</f>
        <v/>
      </c>
      <c r="T1769" s="26">
        <f>IF($D1769="","",IF($K1769&lt;&gt;"对外销售","",ROUND($Q1769-$S1769,0)))</f>
        <v/>
      </c>
      <c r="U1769" s="17" t="n"/>
      <c r="V1769" s="17" t="n"/>
      <c r="W1769" s="24">
        <f>IF($D1769="","",IF($E1769="※编码不在物料档案里","※物料编码不在档案里",IF(N($J1769)&lt;=0,"※出库数量要大于 0",IF($K1769="","※没填去向类型",IF($L1769="","※没填去向矿区",IF(AND($C1769&lt;&gt;"",$C1769&lt;=结账锁),"※日期早于已结账截止日，不能再录",IF(AND($K1769="自用消耗",COUNTIF({"一矿区";"二矿区"},$L1769)=0),"※自用消耗的去向只能是一矿区或二矿区",IF(AND($K1769="对外销售",COUNTIF({"三矿区";"六矿区"},$L1769)=0),"※对外销售的去向只能是三矿区或六矿区",IF(AND($K1769="对外销售",ROUND($Q1769,0)=0),"※外销却没有售价，请填实际售价",IF(AND($K1769="对外销售",$T1769&lt;&gt;"",$T1769&lt;0),"※这一笔外销是亏的，请核对售价",IF(IFERROR(VLOOKUP($D1769,库存台账!$A$5:$Y$1204,24,0),0)&lt;-0.001,"※这个物料账面已经变成负数了，查一下是不是漏记入库","")))))))))))</f>
        <v/>
      </c>
    </row>
    <row r="1770">
      <c r="A1770" s="24">
        <f>IF($D1770="","",COUNTA($D$4:$D1770))</f>
        <v/>
      </c>
      <c r="B1770" s="17" t="n"/>
      <c r="C1770" s="30" t="n"/>
      <c r="D1770" s="17" t="n"/>
      <c r="E1770" s="24">
        <f>IF($D1770="","",IFERROR(VLOOKUP($D1770,物料档案!$A$4:$P$1203,3,0),"※编码不在物料档案里"))</f>
        <v/>
      </c>
      <c r="F1770" s="24">
        <f>IF($D1770="","",IFERROR(VLOOKUP($D1770,物料档案!$A$4:$P$1203,4,0),"※编码不在物料档案里"))</f>
        <v/>
      </c>
      <c r="G1770" s="24">
        <f>IF($D1770="","",IFERROR(VLOOKUP($D1770,物料档案!$A$4:$P$1203,5,0),"※编码不在物料档案里"))</f>
        <v/>
      </c>
      <c r="H1770" s="24">
        <f>IF($D1770="","",IFERROR(VLOOKUP($D1770,物料档案!$A$4:$P$1203,2,0),"※编码不在物料档案里"))</f>
        <v/>
      </c>
      <c r="I1770" s="24">
        <f>IF($D1770="","",IFERROR(VLOOKUP($D1770,物料档案!$A$4:$P$1203,6,0),"※编码不在物料档案里"))</f>
        <v/>
      </c>
      <c r="J1770" s="23" t="n"/>
      <c r="K1770" s="17" t="n"/>
      <c r="L1770" s="17" t="n"/>
      <c r="M1770" s="17" t="n"/>
      <c r="N1770" s="17" t="n"/>
      <c r="O1770" s="26">
        <f>IF($D1770="","",IFERROR(VLOOKUP($D1770,物料档案!$A$4:$P$1203,10,0),0))</f>
        <v/>
      </c>
      <c r="P1770" s="32" t="n"/>
      <c r="Q1770" s="26">
        <f>IF($D1770="","",IF($K1770&lt;&gt;"对外销售",0,ROUND(N($J1770)*IF($P1770="",N($O1770),N($P1770)),0)))</f>
        <v/>
      </c>
      <c r="R1770" s="26">
        <f>IF($D1770="","",IFERROR(VLOOKUP($D1770,库存台账!$A$5:$Y$1204,11,0),0))</f>
        <v/>
      </c>
      <c r="S1770" s="26">
        <f>IF($D1770="","",ROUND(N($J1770)*N($R1770),0))</f>
        <v/>
      </c>
      <c r="T1770" s="26">
        <f>IF($D1770="","",IF($K1770&lt;&gt;"对外销售","",ROUND($Q1770-$S1770,0)))</f>
        <v/>
      </c>
      <c r="U1770" s="17" t="n"/>
      <c r="V1770" s="17" t="n"/>
      <c r="W1770" s="24">
        <f>IF($D1770="","",IF($E1770="※编码不在物料档案里","※物料编码不在档案里",IF(N($J1770)&lt;=0,"※出库数量要大于 0",IF($K1770="","※没填去向类型",IF($L1770="","※没填去向矿区",IF(AND($C1770&lt;&gt;"",$C1770&lt;=结账锁),"※日期早于已结账截止日，不能再录",IF(AND($K1770="自用消耗",COUNTIF({"一矿区";"二矿区"},$L1770)=0),"※自用消耗的去向只能是一矿区或二矿区",IF(AND($K1770="对外销售",COUNTIF({"三矿区";"六矿区"},$L1770)=0),"※对外销售的去向只能是三矿区或六矿区",IF(AND($K1770="对外销售",ROUND($Q1770,0)=0),"※外销却没有售价，请填实际售价",IF(AND($K1770="对外销售",$T1770&lt;&gt;"",$T1770&lt;0),"※这一笔外销是亏的，请核对售价",IF(IFERROR(VLOOKUP($D1770,库存台账!$A$5:$Y$1204,24,0),0)&lt;-0.001,"※这个物料账面已经变成负数了，查一下是不是漏记入库","")))))))))))</f>
        <v/>
      </c>
    </row>
    <row r="1771">
      <c r="A1771" s="24">
        <f>IF($D1771="","",COUNTA($D$4:$D1771))</f>
        <v/>
      </c>
      <c r="B1771" s="17" t="n"/>
      <c r="C1771" s="30" t="n"/>
      <c r="D1771" s="17" t="n"/>
      <c r="E1771" s="24">
        <f>IF($D1771="","",IFERROR(VLOOKUP($D1771,物料档案!$A$4:$P$1203,3,0),"※编码不在物料档案里"))</f>
        <v/>
      </c>
      <c r="F1771" s="24">
        <f>IF($D1771="","",IFERROR(VLOOKUP($D1771,物料档案!$A$4:$P$1203,4,0),"※编码不在物料档案里"))</f>
        <v/>
      </c>
      <c r="G1771" s="24">
        <f>IF($D1771="","",IFERROR(VLOOKUP($D1771,物料档案!$A$4:$P$1203,5,0),"※编码不在物料档案里"))</f>
        <v/>
      </c>
      <c r="H1771" s="24">
        <f>IF($D1771="","",IFERROR(VLOOKUP($D1771,物料档案!$A$4:$P$1203,2,0),"※编码不在物料档案里"))</f>
        <v/>
      </c>
      <c r="I1771" s="24">
        <f>IF($D1771="","",IFERROR(VLOOKUP($D1771,物料档案!$A$4:$P$1203,6,0),"※编码不在物料档案里"))</f>
        <v/>
      </c>
      <c r="J1771" s="23" t="n"/>
      <c r="K1771" s="17" t="n"/>
      <c r="L1771" s="17" t="n"/>
      <c r="M1771" s="17" t="n"/>
      <c r="N1771" s="17" t="n"/>
      <c r="O1771" s="26">
        <f>IF($D1771="","",IFERROR(VLOOKUP($D1771,物料档案!$A$4:$P$1203,10,0),0))</f>
        <v/>
      </c>
      <c r="P1771" s="32" t="n"/>
      <c r="Q1771" s="26">
        <f>IF($D1771="","",IF($K1771&lt;&gt;"对外销售",0,ROUND(N($J1771)*IF($P1771="",N($O1771),N($P1771)),0)))</f>
        <v/>
      </c>
      <c r="R1771" s="26">
        <f>IF($D1771="","",IFERROR(VLOOKUP($D1771,库存台账!$A$5:$Y$1204,11,0),0))</f>
        <v/>
      </c>
      <c r="S1771" s="26">
        <f>IF($D1771="","",ROUND(N($J1771)*N($R1771),0))</f>
        <v/>
      </c>
      <c r="T1771" s="26">
        <f>IF($D1771="","",IF($K1771&lt;&gt;"对外销售","",ROUND($Q1771-$S1771,0)))</f>
        <v/>
      </c>
      <c r="U1771" s="17" t="n"/>
      <c r="V1771" s="17" t="n"/>
      <c r="W1771" s="24">
        <f>IF($D1771="","",IF($E1771="※编码不在物料档案里","※物料编码不在档案里",IF(N($J1771)&lt;=0,"※出库数量要大于 0",IF($K1771="","※没填去向类型",IF($L1771="","※没填去向矿区",IF(AND($C1771&lt;&gt;"",$C1771&lt;=结账锁),"※日期早于已结账截止日，不能再录",IF(AND($K1771="自用消耗",COUNTIF({"一矿区";"二矿区"},$L1771)=0),"※自用消耗的去向只能是一矿区或二矿区",IF(AND($K1771="对外销售",COUNTIF({"三矿区";"六矿区"},$L1771)=0),"※对外销售的去向只能是三矿区或六矿区",IF(AND($K1771="对外销售",ROUND($Q1771,0)=0),"※外销却没有售价，请填实际售价",IF(AND($K1771="对外销售",$T1771&lt;&gt;"",$T1771&lt;0),"※这一笔外销是亏的，请核对售价",IF(IFERROR(VLOOKUP($D1771,库存台账!$A$5:$Y$1204,24,0),0)&lt;-0.001,"※这个物料账面已经变成负数了，查一下是不是漏记入库","")))))))))))</f>
        <v/>
      </c>
    </row>
    <row r="1772">
      <c r="A1772" s="24">
        <f>IF($D1772="","",COUNTA($D$4:$D1772))</f>
        <v/>
      </c>
      <c r="B1772" s="17" t="n"/>
      <c r="C1772" s="30" t="n"/>
      <c r="D1772" s="17" t="n"/>
      <c r="E1772" s="24">
        <f>IF($D1772="","",IFERROR(VLOOKUP($D1772,物料档案!$A$4:$P$1203,3,0),"※编码不在物料档案里"))</f>
        <v/>
      </c>
      <c r="F1772" s="24">
        <f>IF($D1772="","",IFERROR(VLOOKUP($D1772,物料档案!$A$4:$P$1203,4,0),"※编码不在物料档案里"))</f>
        <v/>
      </c>
      <c r="G1772" s="24">
        <f>IF($D1772="","",IFERROR(VLOOKUP($D1772,物料档案!$A$4:$P$1203,5,0),"※编码不在物料档案里"))</f>
        <v/>
      </c>
      <c r="H1772" s="24">
        <f>IF($D1772="","",IFERROR(VLOOKUP($D1772,物料档案!$A$4:$P$1203,2,0),"※编码不在物料档案里"))</f>
        <v/>
      </c>
      <c r="I1772" s="24">
        <f>IF($D1772="","",IFERROR(VLOOKUP($D1772,物料档案!$A$4:$P$1203,6,0),"※编码不在物料档案里"))</f>
        <v/>
      </c>
      <c r="J1772" s="23" t="n"/>
      <c r="K1772" s="17" t="n"/>
      <c r="L1772" s="17" t="n"/>
      <c r="M1772" s="17" t="n"/>
      <c r="N1772" s="17" t="n"/>
      <c r="O1772" s="26">
        <f>IF($D1772="","",IFERROR(VLOOKUP($D1772,物料档案!$A$4:$P$1203,10,0),0))</f>
        <v/>
      </c>
      <c r="P1772" s="32" t="n"/>
      <c r="Q1772" s="26">
        <f>IF($D1772="","",IF($K1772&lt;&gt;"对外销售",0,ROUND(N($J1772)*IF($P1772="",N($O1772),N($P1772)),0)))</f>
        <v/>
      </c>
      <c r="R1772" s="26">
        <f>IF($D1772="","",IFERROR(VLOOKUP($D1772,库存台账!$A$5:$Y$1204,11,0),0))</f>
        <v/>
      </c>
      <c r="S1772" s="26">
        <f>IF($D1772="","",ROUND(N($J1772)*N($R1772),0))</f>
        <v/>
      </c>
      <c r="T1772" s="26">
        <f>IF($D1772="","",IF($K1772&lt;&gt;"对外销售","",ROUND($Q1772-$S1772,0)))</f>
        <v/>
      </c>
      <c r="U1772" s="17" t="n"/>
      <c r="V1772" s="17" t="n"/>
      <c r="W1772" s="24">
        <f>IF($D1772="","",IF($E1772="※编码不在物料档案里","※物料编码不在档案里",IF(N($J1772)&lt;=0,"※出库数量要大于 0",IF($K1772="","※没填去向类型",IF($L1772="","※没填去向矿区",IF(AND($C1772&lt;&gt;"",$C1772&lt;=结账锁),"※日期早于已结账截止日，不能再录",IF(AND($K1772="自用消耗",COUNTIF({"一矿区";"二矿区"},$L1772)=0),"※自用消耗的去向只能是一矿区或二矿区",IF(AND($K1772="对外销售",COUNTIF({"三矿区";"六矿区"},$L1772)=0),"※对外销售的去向只能是三矿区或六矿区",IF(AND($K1772="对外销售",ROUND($Q1772,0)=0),"※外销却没有售价，请填实际售价",IF(AND($K1772="对外销售",$T1772&lt;&gt;"",$T1772&lt;0),"※这一笔外销是亏的，请核对售价",IF(IFERROR(VLOOKUP($D1772,库存台账!$A$5:$Y$1204,24,0),0)&lt;-0.001,"※这个物料账面已经变成负数了，查一下是不是漏记入库","")))))))))))</f>
        <v/>
      </c>
    </row>
    <row r="1773">
      <c r="A1773" s="24">
        <f>IF($D1773="","",COUNTA($D$4:$D1773))</f>
        <v/>
      </c>
      <c r="B1773" s="17" t="n"/>
      <c r="C1773" s="30" t="n"/>
      <c r="D1773" s="17" t="n"/>
      <c r="E1773" s="24">
        <f>IF($D1773="","",IFERROR(VLOOKUP($D1773,物料档案!$A$4:$P$1203,3,0),"※编码不在物料档案里"))</f>
        <v/>
      </c>
      <c r="F1773" s="24">
        <f>IF($D1773="","",IFERROR(VLOOKUP($D1773,物料档案!$A$4:$P$1203,4,0),"※编码不在物料档案里"))</f>
        <v/>
      </c>
      <c r="G1773" s="24">
        <f>IF($D1773="","",IFERROR(VLOOKUP($D1773,物料档案!$A$4:$P$1203,5,0),"※编码不在物料档案里"))</f>
        <v/>
      </c>
      <c r="H1773" s="24">
        <f>IF($D1773="","",IFERROR(VLOOKUP($D1773,物料档案!$A$4:$P$1203,2,0),"※编码不在物料档案里"))</f>
        <v/>
      </c>
      <c r="I1773" s="24">
        <f>IF($D1773="","",IFERROR(VLOOKUP($D1773,物料档案!$A$4:$P$1203,6,0),"※编码不在物料档案里"))</f>
        <v/>
      </c>
      <c r="J1773" s="23" t="n"/>
      <c r="K1773" s="17" t="n"/>
      <c r="L1773" s="17" t="n"/>
      <c r="M1773" s="17" t="n"/>
      <c r="N1773" s="17" t="n"/>
      <c r="O1773" s="26">
        <f>IF($D1773="","",IFERROR(VLOOKUP($D1773,物料档案!$A$4:$P$1203,10,0),0))</f>
        <v/>
      </c>
      <c r="P1773" s="32" t="n"/>
      <c r="Q1773" s="26">
        <f>IF($D1773="","",IF($K1773&lt;&gt;"对外销售",0,ROUND(N($J1773)*IF($P1773="",N($O1773),N($P1773)),0)))</f>
        <v/>
      </c>
      <c r="R1773" s="26">
        <f>IF($D1773="","",IFERROR(VLOOKUP($D1773,库存台账!$A$5:$Y$1204,11,0),0))</f>
        <v/>
      </c>
      <c r="S1773" s="26">
        <f>IF($D1773="","",ROUND(N($J1773)*N($R1773),0))</f>
        <v/>
      </c>
      <c r="T1773" s="26">
        <f>IF($D1773="","",IF($K1773&lt;&gt;"对外销售","",ROUND($Q1773-$S1773,0)))</f>
        <v/>
      </c>
      <c r="U1773" s="17" t="n"/>
      <c r="V1773" s="17" t="n"/>
      <c r="W1773" s="24">
        <f>IF($D1773="","",IF($E1773="※编码不在物料档案里","※物料编码不在档案里",IF(N($J1773)&lt;=0,"※出库数量要大于 0",IF($K1773="","※没填去向类型",IF($L1773="","※没填去向矿区",IF(AND($C1773&lt;&gt;"",$C1773&lt;=结账锁),"※日期早于已结账截止日，不能再录",IF(AND($K1773="自用消耗",COUNTIF({"一矿区";"二矿区"},$L1773)=0),"※自用消耗的去向只能是一矿区或二矿区",IF(AND($K1773="对外销售",COUNTIF({"三矿区";"六矿区"},$L1773)=0),"※对外销售的去向只能是三矿区或六矿区",IF(AND($K1773="对外销售",ROUND($Q1773,0)=0),"※外销却没有售价，请填实际售价",IF(AND($K1773="对外销售",$T1773&lt;&gt;"",$T1773&lt;0),"※这一笔外销是亏的，请核对售价",IF(IFERROR(VLOOKUP($D1773,库存台账!$A$5:$Y$1204,24,0),0)&lt;-0.001,"※这个物料账面已经变成负数了，查一下是不是漏记入库","")))))))))))</f>
        <v/>
      </c>
    </row>
    <row r="1774">
      <c r="A1774" s="24">
        <f>IF($D1774="","",COUNTA($D$4:$D1774))</f>
        <v/>
      </c>
      <c r="B1774" s="17" t="n"/>
      <c r="C1774" s="30" t="n"/>
      <c r="D1774" s="17" t="n"/>
      <c r="E1774" s="24">
        <f>IF($D1774="","",IFERROR(VLOOKUP($D1774,物料档案!$A$4:$P$1203,3,0),"※编码不在物料档案里"))</f>
        <v/>
      </c>
      <c r="F1774" s="24">
        <f>IF($D1774="","",IFERROR(VLOOKUP($D1774,物料档案!$A$4:$P$1203,4,0),"※编码不在物料档案里"))</f>
        <v/>
      </c>
      <c r="G1774" s="24">
        <f>IF($D1774="","",IFERROR(VLOOKUP($D1774,物料档案!$A$4:$P$1203,5,0),"※编码不在物料档案里"))</f>
        <v/>
      </c>
      <c r="H1774" s="24">
        <f>IF($D1774="","",IFERROR(VLOOKUP($D1774,物料档案!$A$4:$P$1203,2,0),"※编码不在物料档案里"))</f>
        <v/>
      </c>
      <c r="I1774" s="24">
        <f>IF($D1774="","",IFERROR(VLOOKUP($D1774,物料档案!$A$4:$P$1203,6,0),"※编码不在物料档案里"))</f>
        <v/>
      </c>
      <c r="J1774" s="23" t="n"/>
      <c r="K1774" s="17" t="n"/>
      <c r="L1774" s="17" t="n"/>
      <c r="M1774" s="17" t="n"/>
      <c r="N1774" s="17" t="n"/>
      <c r="O1774" s="26">
        <f>IF($D1774="","",IFERROR(VLOOKUP($D1774,物料档案!$A$4:$P$1203,10,0),0))</f>
        <v/>
      </c>
      <c r="P1774" s="32" t="n"/>
      <c r="Q1774" s="26">
        <f>IF($D1774="","",IF($K1774&lt;&gt;"对外销售",0,ROUND(N($J1774)*IF($P1774="",N($O1774),N($P1774)),0)))</f>
        <v/>
      </c>
      <c r="R1774" s="26">
        <f>IF($D1774="","",IFERROR(VLOOKUP($D1774,库存台账!$A$5:$Y$1204,11,0),0))</f>
        <v/>
      </c>
      <c r="S1774" s="26">
        <f>IF($D1774="","",ROUND(N($J1774)*N($R1774),0))</f>
        <v/>
      </c>
      <c r="T1774" s="26">
        <f>IF($D1774="","",IF($K1774&lt;&gt;"对外销售","",ROUND($Q1774-$S1774,0)))</f>
        <v/>
      </c>
      <c r="U1774" s="17" t="n"/>
      <c r="V1774" s="17" t="n"/>
      <c r="W1774" s="24">
        <f>IF($D1774="","",IF($E1774="※编码不在物料档案里","※物料编码不在档案里",IF(N($J1774)&lt;=0,"※出库数量要大于 0",IF($K1774="","※没填去向类型",IF($L1774="","※没填去向矿区",IF(AND($C1774&lt;&gt;"",$C1774&lt;=结账锁),"※日期早于已结账截止日，不能再录",IF(AND($K1774="自用消耗",COUNTIF({"一矿区";"二矿区"},$L1774)=0),"※自用消耗的去向只能是一矿区或二矿区",IF(AND($K1774="对外销售",COUNTIF({"三矿区";"六矿区"},$L1774)=0),"※对外销售的去向只能是三矿区或六矿区",IF(AND($K1774="对外销售",ROUND($Q1774,0)=0),"※外销却没有售价，请填实际售价",IF(AND($K1774="对外销售",$T1774&lt;&gt;"",$T1774&lt;0),"※这一笔外销是亏的，请核对售价",IF(IFERROR(VLOOKUP($D1774,库存台账!$A$5:$Y$1204,24,0),0)&lt;-0.001,"※这个物料账面已经变成负数了，查一下是不是漏记入库","")))))))))))</f>
        <v/>
      </c>
    </row>
    <row r="1775">
      <c r="A1775" s="24">
        <f>IF($D1775="","",COUNTA($D$4:$D1775))</f>
        <v/>
      </c>
      <c r="B1775" s="17" t="n"/>
      <c r="C1775" s="30" t="n"/>
      <c r="D1775" s="17" t="n"/>
      <c r="E1775" s="24">
        <f>IF($D1775="","",IFERROR(VLOOKUP($D1775,物料档案!$A$4:$P$1203,3,0),"※编码不在物料档案里"))</f>
        <v/>
      </c>
      <c r="F1775" s="24">
        <f>IF($D1775="","",IFERROR(VLOOKUP($D1775,物料档案!$A$4:$P$1203,4,0),"※编码不在物料档案里"))</f>
        <v/>
      </c>
      <c r="G1775" s="24">
        <f>IF($D1775="","",IFERROR(VLOOKUP($D1775,物料档案!$A$4:$P$1203,5,0),"※编码不在物料档案里"))</f>
        <v/>
      </c>
      <c r="H1775" s="24">
        <f>IF($D1775="","",IFERROR(VLOOKUP($D1775,物料档案!$A$4:$P$1203,2,0),"※编码不在物料档案里"))</f>
        <v/>
      </c>
      <c r="I1775" s="24">
        <f>IF($D1775="","",IFERROR(VLOOKUP($D1775,物料档案!$A$4:$P$1203,6,0),"※编码不在物料档案里"))</f>
        <v/>
      </c>
      <c r="J1775" s="23" t="n"/>
      <c r="K1775" s="17" t="n"/>
      <c r="L1775" s="17" t="n"/>
      <c r="M1775" s="17" t="n"/>
      <c r="N1775" s="17" t="n"/>
      <c r="O1775" s="26">
        <f>IF($D1775="","",IFERROR(VLOOKUP($D1775,物料档案!$A$4:$P$1203,10,0),0))</f>
        <v/>
      </c>
      <c r="P1775" s="32" t="n"/>
      <c r="Q1775" s="26">
        <f>IF($D1775="","",IF($K1775&lt;&gt;"对外销售",0,ROUND(N($J1775)*IF($P1775="",N($O1775),N($P1775)),0)))</f>
        <v/>
      </c>
      <c r="R1775" s="26">
        <f>IF($D1775="","",IFERROR(VLOOKUP($D1775,库存台账!$A$5:$Y$1204,11,0),0))</f>
        <v/>
      </c>
      <c r="S1775" s="26">
        <f>IF($D1775="","",ROUND(N($J1775)*N($R1775),0))</f>
        <v/>
      </c>
      <c r="T1775" s="26">
        <f>IF($D1775="","",IF($K1775&lt;&gt;"对外销售","",ROUND($Q1775-$S1775,0)))</f>
        <v/>
      </c>
      <c r="U1775" s="17" t="n"/>
      <c r="V1775" s="17" t="n"/>
      <c r="W1775" s="24">
        <f>IF($D1775="","",IF($E1775="※编码不在物料档案里","※物料编码不在档案里",IF(N($J1775)&lt;=0,"※出库数量要大于 0",IF($K1775="","※没填去向类型",IF($L1775="","※没填去向矿区",IF(AND($C1775&lt;&gt;"",$C1775&lt;=结账锁),"※日期早于已结账截止日，不能再录",IF(AND($K1775="自用消耗",COUNTIF({"一矿区";"二矿区"},$L1775)=0),"※自用消耗的去向只能是一矿区或二矿区",IF(AND($K1775="对外销售",COUNTIF({"三矿区";"六矿区"},$L1775)=0),"※对外销售的去向只能是三矿区或六矿区",IF(AND($K1775="对外销售",ROUND($Q1775,0)=0),"※外销却没有售价，请填实际售价",IF(AND($K1775="对外销售",$T1775&lt;&gt;"",$T1775&lt;0),"※这一笔外销是亏的，请核对售价",IF(IFERROR(VLOOKUP($D1775,库存台账!$A$5:$Y$1204,24,0),0)&lt;-0.001,"※这个物料账面已经变成负数了，查一下是不是漏记入库","")))))))))))</f>
        <v/>
      </c>
    </row>
    <row r="1776">
      <c r="A1776" s="24">
        <f>IF($D1776="","",COUNTA($D$4:$D1776))</f>
        <v/>
      </c>
      <c r="B1776" s="17" t="n"/>
      <c r="C1776" s="30" t="n"/>
      <c r="D1776" s="17" t="n"/>
      <c r="E1776" s="24">
        <f>IF($D1776="","",IFERROR(VLOOKUP($D1776,物料档案!$A$4:$P$1203,3,0),"※编码不在物料档案里"))</f>
        <v/>
      </c>
      <c r="F1776" s="24">
        <f>IF($D1776="","",IFERROR(VLOOKUP($D1776,物料档案!$A$4:$P$1203,4,0),"※编码不在物料档案里"))</f>
        <v/>
      </c>
      <c r="G1776" s="24">
        <f>IF($D1776="","",IFERROR(VLOOKUP($D1776,物料档案!$A$4:$P$1203,5,0),"※编码不在物料档案里"))</f>
        <v/>
      </c>
      <c r="H1776" s="24">
        <f>IF($D1776="","",IFERROR(VLOOKUP($D1776,物料档案!$A$4:$P$1203,2,0),"※编码不在物料档案里"))</f>
        <v/>
      </c>
      <c r="I1776" s="24">
        <f>IF($D1776="","",IFERROR(VLOOKUP($D1776,物料档案!$A$4:$P$1203,6,0),"※编码不在物料档案里"))</f>
        <v/>
      </c>
      <c r="J1776" s="23" t="n"/>
      <c r="K1776" s="17" t="n"/>
      <c r="L1776" s="17" t="n"/>
      <c r="M1776" s="17" t="n"/>
      <c r="N1776" s="17" t="n"/>
      <c r="O1776" s="26">
        <f>IF($D1776="","",IFERROR(VLOOKUP($D1776,物料档案!$A$4:$P$1203,10,0),0))</f>
        <v/>
      </c>
      <c r="P1776" s="32" t="n"/>
      <c r="Q1776" s="26">
        <f>IF($D1776="","",IF($K1776&lt;&gt;"对外销售",0,ROUND(N($J1776)*IF($P1776="",N($O1776),N($P1776)),0)))</f>
        <v/>
      </c>
      <c r="R1776" s="26">
        <f>IF($D1776="","",IFERROR(VLOOKUP($D1776,库存台账!$A$5:$Y$1204,11,0),0))</f>
        <v/>
      </c>
      <c r="S1776" s="26">
        <f>IF($D1776="","",ROUND(N($J1776)*N($R1776),0))</f>
        <v/>
      </c>
      <c r="T1776" s="26">
        <f>IF($D1776="","",IF($K1776&lt;&gt;"对外销售","",ROUND($Q1776-$S1776,0)))</f>
        <v/>
      </c>
      <c r="U1776" s="17" t="n"/>
      <c r="V1776" s="17" t="n"/>
      <c r="W1776" s="24">
        <f>IF($D1776="","",IF($E1776="※编码不在物料档案里","※物料编码不在档案里",IF(N($J1776)&lt;=0,"※出库数量要大于 0",IF($K1776="","※没填去向类型",IF($L1776="","※没填去向矿区",IF(AND($C1776&lt;&gt;"",$C1776&lt;=结账锁),"※日期早于已结账截止日，不能再录",IF(AND($K1776="自用消耗",COUNTIF({"一矿区";"二矿区"},$L1776)=0),"※自用消耗的去向只能是一矿区或二矿区",IF(AND($K1776="对外销售",COUNTIF({"三矿区";"六矿区"},$L1776)=0),"※对外销售的去向只能是三矿区或六矿区",IF(AND($K1776="对外销售",ROUND($Q1776,0)=0),"※外销却没有售价，请填实际售价",IF(AND($K1776="对外销售",$T1776&lt;&gt;"",$T1776&lt;0),"※这一笔外销是亏的，请核对售价",IF(IFERROR(VLOOKUP($D1776,库存台账!$A$5:$Y$1204,24,0),0)&lt;-0.001,"※这个物料账面已经变成负数了，查一下是不是漏记入库","")))))))))))</f>
        <v/>
      </c>
    </row>
    <row r="1777">
      <c r="A1777" s="24">
        <f>IF($D1777="","",COUNTA($D$4:$D1777))</f>
        <v/>
      </c>
      <c r="B1777" s="17" t="n"/>
      <c r="C1777" s="30" t="n"/>
      <c r="D1777" s="17" t="n"/>
      <c r="E1777" s="24">
        <f>IF($D1777="","",IFERROR(VLOOKUP($D1777,物料档案!$A$4:$P$1203,3,0),"※编码不在物料档案里"))</f>
        <v/>
      </c>
      <c r="F1777" s="24">
        <f>IF($D1777="","",IFERROR(VLOOKUP($D1777,物料档案!$A$4:$P$1203,4,0),"※编码不在物料档案里"))</f>
        <v/>
      </c>
      <c r="G1777" s="24">
        <f>IF($D1777="","",IFERROR(VLOOKUP($D1777,物料档案!$A$4:$P$1203,5,0),"※编码不在物料档案里"))</f>
        <v/>
      </c>
      <c r="H1777" s="24">
        <f>IF($D1777="","",IFERROR(VLOOKUP($D1777,物料档案!$A$4:$P$1203,2,0),"※编码不在物料档案里"))</f>
        <v/>
      </c>
      <c r="I1777" s="24">
        <f>IF($D1777="","",IFERROR(VLOOKUP($D1777,物料档案!$A$4:$P$1203,6,0),"※编码不在物料档案里"))</f>
        <v/>
      </c>
      <c r="J1777" s="23" t="n"/>
      <c r="K1777" s="17" t="n"/>
      <c r="L1777" s="17" t="n"/>
      <c r="M1777" s="17" t="n"/>
      <c r="N1777" s="17" t="n"/>
      <c r="O1777" s="26">
        <f>IF($D1777="","",IFERROR(VLOOKUP($D1777,物料档案!$A$4:$P$1203,10,0),0))</f>
        <v/>
      </c>
      <c r="P1777" s="32" t="n"/>
      <c r="Q1777" s="26">
        <f>IF($D1777="","",IF($K1777&lt;&gt;"对外销售",0,ROUND(N($J1777)*IF($P1777="",N($O1777),N($P1777)),0)))</f>
        <v/>
      </c>
      <c r="R1777" s="26">
        <f>IF($D1777="","",IFERROR(VLOOKUP($D1777,库存台账!$A$5:$Y$1204,11,0),0))</f>
        <v/>
      </c>
      <c r="S1777" s="26">
        <f>IF($D1777="","",ROUND(N($J1777)*N($R1777),0))</f>
        <v/>
      </c>
      <c r="T1777" s="26">
        <f>IF($D1777="","",IF($K1777&lt;&gt;"对外销售","",ROUND($Q1777-$S1777,0)))</f>
        <v/>
      </c>
      <c r="U1777" s="17" t="n"/>
      <c r="V1777" s="17" t="n"/>
      <c r="W1777" s="24">
        <f>IF($D1777="","",IF($E1777="※编码不在物料档案里","※物料编码不在档案里",IF(N($J1777)&lt;=0,"※出库数量要大于 0",IF($K1777="","※没填去向类型",IF($L1777="","※没填去向矿区",IF(AND($C1777&lt;&gt;"",$C1777&lt;=结账锁),"※日期早于已结账截止日，不能再录",IF(AND($K1777="自用消耗",COUNTIF({"一矿区";"二矿区"},$L1777)=0),"※自用消耗的去向只能是一矿区或二矿区",IF(AND($K1777="对外销售",COUNTIF({"三矿区";"六矿区"},$L1777)=0),"※对外销售的去向只能是三矿区或六矿区",IF(AND($K1777="对外销售",ROUND($Q1777,0)=0),"※外销却没有售价，请填实际售价",IF(AND($K1777="对外销售",$T1777&lt;&gt;"",$T1777&lt;0),"※这一笔外销是亏的，请核对售价",IF(IFERROR(VLOOKUP($D1777,库存台账!$A$5:$Y$1204,24,0),0)&lt;-0.001,"※这个物料账面已经变成负数了，查一下是不是漏记入库","")))))))))))</f>
        <v/>
      </c>
    </row>
    <row r="1778">
      <c r="A1778" s="24">
        <f>IF($D1778="","",COUNTA($D$4:$D1778))</f>
        <v/>
      </c>
      <c r="B1778" s="17" t="n"/>
      <c r="C1778" s="30" t="n"/>
      <c r="D1778" s="17" t="n"/>
      <c r="E1778" s="24">
        <f>IF($D1778="","",IFERROR(VLOOKUP($D1778,物料档案!$A$4:$P$1203,3,0),"※编码不在物料档案里"))</f>
        <v/>
      </c>
      <c r="F1778" s="24">
        <f>IF($D1778="","",IFERROR(VLOOKUP($D1778,物料档案!$A$4:$P$1203,4,0),"※编码不在物料档案里"))</f>
        <v/>
      </c>
      <c r="G1778" s="24">
        <f>IF($D1778="","",IFERROR(VLOOKUP($D1778,物料档案!$A$4:$P$1203,5,0),"※编码不在物料档案里"))</f>
        <v/>
      </c>
      <c r="H1778" s="24">
        <f>IF($D1778="","",IFERROR(VLOOKUP($D1778,物料档案!$A$4:$P$1203,2,0),"※编码不在物料档案里"))</f>
        <v/>
      </c>
      <c r="I1778" s="24">
        <f>IF($D1778="","",IFERROR(VLOOKUP($D1778,物料档案!$A$4:$P$1203,6,0),"※编码不在物料档案里"))</f>
        <v/>
      </c>
      <c r="J1778" s="23" t="n"/>
      <c r="K1778" s="17" t="n"/>
      <c r="L1778" s="17" t="n"/>
      <c r="M1778" s="17" t="n"/>
      <c r="N1778" s="17" t="n"/>
      <c r="O1778" s="26">
        <f>IF($D1778="","",IFERROR(VLOOKUP($D1778,物料档案!$A$4:$P$1203,10,0),0))</f>
        <v/>
      </c>
      <c r="P1778" s="32" t="n"/>
      <c r="Q1778" s="26">
        <f>IF($D1778="","",IF($K1778&lt;&gt;"对外销售",0,ROUND(N($J1778)*IF($P1778="",N($O1778),N($P1778)),0)))</f>
        <v/>
      </c>
      <c r="R1778" s="26">
        <f>IF($D1778="","",IFERROR(VLOOKUP($D1778,库存台账!$A$5:$Y$1204,11,0),0))</f>
        <v/>
      </c>
      <c r="S1778" s="26">
        <f>IF($D1778="","",ROUND(N($J1778)*N($R1778),0))</f>
        <v/>
      </c>
      <c r="T1778" s="26">
        <f>IF($D1778="","",IF($K1778&lt;&gt;"对外销售","",ROUND($Q1778-$S1778,0)))</f>
        <v/>
      </c>
      <c r="U1778" s="17" t="n"/>
      <c r="V1778" s="17" t="n"/>
      <c r="W1778" s="24">
        <f>IF($D1778="","",IF($E1778="※编码不在物料档案里","※物料编码不在档案里",IF(N($J1778)&lt;=0,"※出库数量要大于 0",IF($K1778="","※没填去向类型",IF($L1778="","※没填去向矿区",IF(AND($C1778&lt;&gt;"",$C1778&lt;=结账锁),"※日期早于已结账截止日，不能再录",IF(AND($K1778="自用消耗",COUNTIF({"一矿区";"二矿区"},$L1778)=0),"※自用消耗的去向只能是一矿区或二矿区",IF(AND($K1778="对外销售",COUNTIF({"三矿区";"六矿区"},$L1778)=0),"※对外销售的去向只能是三矿区或六矿区",IF(AND($K1778="对外销售",ROUND($Q1778,0)=0),"※外销却没有售价，请填实际售价",IF(AND($K1778="对外销售",$T1778&lt;&gt;"",$T1778&lt;0),"※这一笔外销是亏的，请核对售价",IF(IFERROR(VLOOKUP($D1778,库存台账!$A$5:$Y$1204,24,0),0)&lt;-0.001,"※这个物料账面已经变成负数了，查一下是不是漏记入库","")))))))))))</f>
        <v/>
      </c>
    </row>
    <row r="1779">
      <c r="A1779" s="24">
        <f>IF($D1779="","",COUNTA($D$4:$D1779))</f>
        <v/>
      </c>
      <c r="B1779" s="17" t="n"/>
      <c r="C1779" s="30" t="n"/>
      <c r="D1779" s="17" t="n"/>
      <c r="E1779" s="24">
        <f>IF($D1779="","",IFERROR(VLOOKUP($D1779,物料档案!$A$4:$P$1203,3,0),"※编码不在物料档案里"))</f>
        <v/>
      </c>
      <c r="F1779" s="24">
        <f>IF($D1779="","",IFERROR(VLOOKUP($D1779,物料档案!$A$4:$P$1203,4,0),"※编码不在物料档案里"))</f>
        <v/>
      </c>
      <c r="G1779" s="24">
        <f>IF($D1779="","",IFERROR(VLOOKUP($D1779,物料档案!$A$4:$P$1203,5,0),"※编码不在物料档案里"))</f>
        <v/>
      </c>
      <c r="H1779" s="24">
        <f>IF($D1779="","",IFERROR(VLOOKUP($D1779,物料档案!$A$4:$P$1203,2,0),"※编码不在物料档案里"))</f>
        <v/>
      </c>
      <c r="I1779" s="24">
        <f>IF($D1779="","",IFERROR(VLOOKUP($D1779,物料档案!$A$4:$P$1203,6,0),"※编码不在物料档案里"))</f>
        <v/>
      </c>
      <c r="J1779" s="23" t="n"/>
      <c r="K1779" s="17" t="n"/>
      <c r="L1779" s="17" t="n"/>
      <c r="M1779" s="17" t="n"/>
      <c r="N1779" s="17" t="n"/>
      <c r="O1779" s="26">
        <f>IF($D1779="","",IFERROR(VLOOKUP($D1779,物料档案!$A$4:$P$1203,10,0),0))</f>
        <v/>
      </c>
      <c r="P1779" s="32" t="n"/>
      <c r="Q1779" s="26">
        <f>IF($D1779="","",IF($K1779&lt;&gt;"对外销售",0,ROUND(N($J1779)*IF($P1779="",N($O1779),N($P1779)),0)))</f>
        <v/>
      </c>
      <c r="R1779" s="26">
        <f>IF($D1779="","",IFERROR(VLOOKUP($D1779,库存台账!$A$5:$Y$1204,11,0),0))</f>
        <v/>
      </c>
      <c r="S1779" s="26">
        <f>IF($D1779="","",ROUND(N($J1779)*N($R1779),0))</f>
        <v/>
      </c>
      <c r="T1779" s="26">
        <f>IF($D1779="","",IF($K1779&lt;&gt;"对外销售","",ROUND($Q1779-$S1779,0)))</f>
        <v/>
      </c>
      <c r="U1779" s="17" t="n"/>
      <c r="V1779" s="17" t="n"/>
      <c r="W1779" s="24">
        <f>IF($D1779="","",IF($E1779="※编码不在物料档案里","※物料编码不在档案里",IF(N($J1779)&lt;=0,"※出库数量要大于 0",IF($K1779="","※没填去向类型",IF($L1779="","※没填去向矿区",IF(AND($C1779&lt;&gt;"",$C1779&lt;=结账锁),"※日期早于已结账截止日，不能再录",IF(AND($K1779="自用消耗",COUNTIF({"一矿区";"二矿区"},$L1779)=0),"※自用消耗的去向只能是一矿区或二矿区",IF(AND($K1779="对外销售",COUNTIF({"三矿区";"六矿区"},$L1779)=0),"※对外销售的去向只能是三矿区或六矿区",IF(AND($K1779="对外销售",ROUND($Q1779,0)=0),"※外销却没有售价，请填实际售价",IF(AND($K1779="对外销售",$T1779&lt;&gt;"",$T1779&lt;0),"※这一笔外销是亏的，请核对售价",IF(IFERROR(VLOOKUP($D1779,库存台账!$A$5:$Y$1204,24,0),0)&lt;-0.001,"※这个物料账面已经变成负数了，查一下是不是漏记入库","")))))))))))</f>
        <v/>
      </c>
    </row>
    <row r="1780">
      <c r="A1780" s="24">
        <f>IF($D1780="","",COUNTA($D$4:$D1780))</f>
        <v/>
      </c>
      <c r="B1780" s="17" t="n"/>
      <c r="C1780" s="30" t="n"/>
      <c r="D1780" s="17" t="n"/>
      <c r="E1780" s="24">
        <f>IF($D1780="","",IFERROR(VLOOKUP($D1780,物料档案!$A$4:$P$1203,3,0),"※编码不在物料档案里"))</f>
        <v/>
      </c>
      <c r="F1780" s="24">
        <f>IF($D1780="","",IFERROR(VLOOKUP($D1780,物料档案!$A$4:$P$1203,4,0),"※编码不在物料档案里"))</f>
        <v/>
      </c>
      <c r="G1780" s="24">
        <f>IF($D1780="","",IFERROR(VLOOKUP($D1780,物料档案!$A$4:$P$1203,5,0),"※编码不在物料档案里"))</f>
        <v/>
      </c>
      <c r="H1780" s="24">
        <f>IF($D1780="","",IFERROR(VLOOKUP($D1780,物料档案!$A$4:$P$1203,2,0),"※编码不在物料档案里"))</f>
        <v/>
      </c>
      <c r="I1780" s="24">
        <f>IF($D1780="","",IFERROR(VLOOKUP($D1780,物料档案!$A$4:$P$1203,6,0),"※编码不在物料档案里"))</f>
        <v/>
      </c>
      <c r="J1780" s="23" t="n"/>
      <c r="K1780" s="17" t="n"/>
      <c r="L1780" s="17" t="n"/>
      <c r="M1780" s="17" t="n"/>
      <c r="N1780" s="17" t="n"/>
      <c r="O1780" s="26">
        <f>IF($D1780="","",IFERROR(VLOOKUP($D1780,物料档案!$A$4:$P$1203,10,0),0))</f>
        <v/>
      </c>
      <c r="P1780" s="32" t="n"/>
      <c r="Q1780" s="26">
        <f>IF($D1780="","",IF($K1780&lt;&gt;"对外销售",0,ROUND(N($J1780)*IF($P1780="",N($O1780),N($P1780)),0)))</f>
        <v/>
      </c>
      <c r="R1780" s="26">
        <f>IF($D1780="","",IFERROR(VLOOKUP($D1780,库存台账!$A$5:$Y$1204,11,0),0))</f>
        <v/>
      </c>
      <c r="S1780" s="26">
        <f>IF($D1780="","",ROUND(N($J1780)*N($R1780),0))</f>
        <v/>
      </c>
      <c r="T1780" s="26">
        <f>IF($D1780="","",IF($K1780&lt;&gt;"对外销售","",ROUND($Q1780-$S1780,0)))</f>
        <v/>
      </c>
      <c r="U1780" s="17" t="n"/>
      <c r="V1780" s="17" t="n"/>
      <c r="W1780" s="24">
        <f>IF($D1780="","",IF($E1780="※编码不在物料档案里","※物料编码不在档案里",IF(N($J1780)&lt;=0,"※出库数量要大于 0",IF($K1780="","※没填去向类型",IF($L1780="","※没填去向矿区",IF(AND($C1780&lt;&gt;"",$C1780&lt;=结账锁),"※日期早于已结账截止日，不能再录",IF(AND($K1780="自用消耗",COUNTIF({"一矿区";"二矿区"},$L1780)=0),"※自用消耗的去向只能是一矿区或二矿区",IF(AND($K1780="对外销售",COUNTIF({"三矿区";"六矿区"},$L1780)=0),"※对外销售的去向只能是三矿区或六矿区",IF(AND($K1780="对外销售",ROUND($Q1780,0)=0),"※外销却没有售价，请填实际售价",IF(AND($K1780="对外销售",$T1780&lt;&gt;"",$T1780&lt;0),"※这一笔外销是亏的，请核对售价",IF(IFERROR(VLOOKUP($D1780,库存台账!$A$5:$Y$1204,24,0),0)&lt;-0.001,"※这个物料账面已经变成负数了，查一下是不是漏记入库","")))))))))))</f>
        <v/>
      </c>
    </row>
    <row r="1781">
      <c r="A1781" s="24">
        <f>IF($D1781="","",COUNTA($D$4:$D1781))</f>
        <v/>
      </c>
      <c r="B1781" s="17" t="n"/>
      <c r="C1781" s="30" t="n"/>
      <c r="D1781" s="17" t="n"/>
      <c r="E1781" s="24">
        <f>IF($D1781="","",IFERROR(VLOOKUP($D1781,物料档案!$A$4:$P$1203,3,0),"※编码不在物料档案里"))</f>
        <v/>
      </c>
      <c r="F1781" s="24">
        <f>IF($D1781="","",IFERROR(VLOOKUP($D1781,物料档案!$A$4:$P$1203,4,0),"※编码不在物料档案里"))</f>
        <v/>
      </c>
      <c r="G1781" s="24">
        <f>IF($D1781="","",IFERROR(VLOOKUP($D1781,物料档案!$A$4:$P$1203,5,0),"※编码不在物料档案里"))</f>
        <v/>
      </c>
      <c r="H1781" s="24">
        <f>IF($D1781="","",IFERROR(VLOOKUP($D1781,物料档案!$A$4:$P$1203,2,0),"※编码不在物料档案里"))</f>
        <v/>
      </c>
      <c r="I1781" s="24">
        <f>IF($D1781="","",IFERROR(VLOOKUP($D1781,物料档案!$A$4:$P$1203,6,0),"※编码不在物料档案里"))</f>
        <v/>
      </c>
      <c r="J1781" s="23" t="n"/>
      <c r="K1781" s="17" t="n"/>
      <c r="L1781" s="17" t="n"/>
      <c r="M1781" s="17" t="n"/>
      <c r="N1781" s="17" t="n"/>
      <c r="O1781" s="26">
        <f>IF($D1781="","",IFERROR(VLOOKUP($D1781,物料档案!$A$4:$P$1203,10,0),0))</f>
        <v/>
      </c>
      <c r="P1781" s="32" t="n"/>
      <c r="Q1781" s="26">
        <f>IF($D1781="","",IF($K1781&lt;&gt;"对外销售",0,ROUND(N($J1781)*IF($P1781="",N($O1781),N($P1781)),0)))</f>
        <v/>
      </c>
      <c r="R1781" s="26">
        <f>IF($D1781="","",IFERROR(VLOOKUP($D1781,库存台账!$A$5:$Y$1204,11,0),0))</f>
        <v/>
      </c>
      <c r="S1781" s="26">
        <f>IF($D1781="","",ROUND(N($J1781)*N($R1781),0))</f>
        <v/>
      </c>
      <c r="T1781" s="26">
        <f>IF($D1781="","",IF($K1781&lt;&gt;"对外销售","",ROUND($Q1781-$S1781,0)))</f>
        <v/>
      </c>
      <c r="U1781" s="17" t="n"/>
      <c r="V1781" s="17" t="n"/>
      <c r="W1781" s="24">
        <f>IF($D1781="","",IF($E1781="※编码不在物料档案里","※物料编码不在档案里",IF(N($J1781)&lt;=0,"※出库数量要大于 0",IF($K1781="","※没填去向类型",IF($L1781="","※没填去向矿区",IF(AND($C1781&lt;&gt;"",$C1781&lt;=结账锁),"※日期早于已结账截止日，不能再录",IF(AND($K1781="自用消耗",COUNTIF({"一矿区";"二矿区"},$L1781)=0),"※自用消耗的去向只能是一矿区或二矿区",IF(AND($K1781="对外销售",COUNTIF({"三矿区";"六矿区"},$L1781)=0),"※对外销售的去向只能是三矿区或六矿区",IF(AND($K1781="对外销售",ROUND($Q1781,0)=0),"※外销却没有售价，请填实际售价",IF(AND($K1781="对外销售",$T1781&lt;&gt;"",$T1781&lt;0),"※这一笔外销是亏的，请核对售价",IF(IFERROR(VLOOKUP($D1781,库存台账!$A$5:$Y$1204,24,0),0)&lt;-0.001,"※这个物料账面已经变成负数了，查一下是不是漏记入库","")))))))))))</f>
        <v/>
      </c>
    </row>
    <row r="1782">
      <c r="A1782" s="24">
        <f>IF($D1782="","",COUNTA($D$4:$D1782))</f>
        <v/>
      </c>
      <c r="B1782" s="17" t="n"/>
      <c r="C1782" s="30" t="n"/>
      <c r="D1782" s="17" t="n"/>
      <c r="E1782" s="24">
        <f>IF($D1782="","",IFERROR(VLOOKUP($D1782,物料档案!$A$4:$P$1203,3,0),"※编码不在物料档案里"))</f>
        <v/>
      </c>
      <c r="F1782" s="24">
        <f>IF($D1782="","",IFERROR(VLOOKUP($D1782,物料档案!$A$4:$P$1203,4,0),"※编码不在物料档案里"))</f>
        <v/>
      </c>
      <c r="G1782" s="24">
        <f>IF($D1782="","",IFERROR(VLOOKUP($D1782,物料档案!$A$4:$P$1203,5,0),"※编码不在物料档案里"))</f>
        <v/>
      </c>
      <c r="H1782" s="24">
        <f>IF($D1782="","",IFERROR(VLOOKUP($D1782,物料档案!$A$4:$P$1203,2,0),"※编码不在物料档案里"))</f>
        <v/>
      </c>
      <c r="I1782" s="24">
        <f>IF($D1782="","",IFERROR(VLOOKUP($D1782,物料档案!$A$4:$P$1203,6,0),"※编码不在物料档案里"))</f>
        <v/>
      </c>
      <c r="J1782" s="23" t="n"/>
      <c r="K1782" s="17" t="n"/>
      <c r="L1782" s="17" t="n"/>
      <c r="M1782" s="17" t="n"/>
      <c r="N1782" s="17" t="n"/>
      <c r="O1782" s="26">
        <f>IF($D1782="","",IFERROR(VLOOKUP($D1782,物料档案!$A$4:$P$1203,10,0),0))</f>
        <v/>
      </c>
      <c r="P1782" s="32" t="n"/>
      <c r="Q1782" s="26">
        <f>IF($D1782="","",IF($K1782&lt;&gt;"对外销售",0,ROUND(N($J1782)*IF($P1782="",N($O1782),N($P1782)),0)))</f>
        <v/>
      </c>
      <c r="R1782" s="26">
        <f>IF($D1782="","",IFERROR(VLOOKUP($D1782,库存台账!$A$5:$Y$1204,11,0),0))</f>
        <v/>
      </c>
      <c r="S1782" s="26">
        <f>IF($D1782="","",ROUND(N($J1782)*N($R1782),0))</f>
        <v/>
      </c>
      <c r="T1782" s="26">
        <f>IF($D1782="","",IF($K1782&lt;&gt;"对外销售","",ROUND($Q1782-$S1782,0)))</f>
        <v/>
      </c>
      <c r="U1782" s="17" t="n"/>
      <c r="V1782" s="17" t="n"/>
      <c r="W1782" s="24">
        <f>IF($D1782="","",IF($E1782="※编码不在物料档案里","※物料编码不在档案里",IF(N($J1782)&lt;=0,"※出库数量要大于 0",IF($K1782="","※没填去向类型",IF($L1782="","※没填去向矿区",IF(AND($C1782&lt;&gt;"",$C1782&lt;=结账锁),"※日期早于已结账截止日，不能再录",IF(AND($K1782="自用消耗",COUNTIF({"一矿区";"二矿区"},$L1782)=0),"※自用消耗的去向只能是一矿区或二矿区",IF(AND($K1782="对外销售",COUNTIF({"三矿区";"六矿区"},$L1782)=0),"※对外销售的去向只能是三矿区或六矿区",IF(AND($K1782="对外销售",ROUND($Q1782,0)=0),"※外销却没有售价，请填实际售价",IF(AND($K1782="对外销售",$T1782&lt;&gt;"",$T1782&lt;0),"※这一笔外销是亏的，请核对售价",IF(IFERROR(VLOOKUP($D1782,库存台账!$A$5:$Y$1204,24,0),0)&lt;-0.001,"※这个物料账面已经变成负数了，查一下是不是漏记入库","")))))))))))</f>
        <v/>
      </c>
    </row>
    <row r="1783">
      <c r="A1783" s="24">
        <f>IF($D1783="","",COUNTA($D$4:$D1783))</f>
        <v/>
      </c>
      <c r="B1783" s="17" t="n"/>
      <c r="C1783" s="30" t="n"/>
      <c r="D1783" s="17" t="n"/>
      <c r="E1783" s="24">
        <f>IF($D1783="","",IFERROR(VLOOKUP($D1783,物料档案!$A$4:$P$1203,3,0),"※编码不在物料档案里"))</f>
        <v/>
      </c>
      <c r="F1783" s="24">
        <f>IF($D1783="","",IFERROR(VLOOKUP($D1783,物料档案!$A$4:$P$1203,4,0),"※编码不在物料档案里"))</f>
        <v/>
      </c>
      <c r="G1783" s="24">
        <f>IF($D1783="","",IFERROR(VLOOKUP($D1783,物料档案!$A$4:$P$1203,5,0),"※编码不在物料档案里"))</f>
        <v/>
      </c>
      <c r="H1783" s="24">
        <f>IF($D1783="","",IFERROR(VLOOKUP($D1783,物料档案!$A$4:$P$1203,2,0),"※编码不在物料档案里"))</f>
        <v/>
      </c>
      <c r="I1783" s="24">
        <f>IF($D1783="","",IFERROR(VLOOKUP($D1783,物料档案!$A$4:$P$1203,6,0),"※编码不在物料档案里"))</f>
        <v/>
      </c>
      <c r="J1783" s="23" t="n"/>
      <c r="K1783" s="17" t="n"/>
      <c r="L1783" s="17" t="n"/>
      <c r="M1783" s="17" t="n"/>
      <c r="N1783" s="17" t="n"/>
      <c r="O1783" s="26">
        <f>IF($D1783="","",IFERROR(VLOOKUP($D1783,物料档案!$A$4:$P$1203,10,0),0))</f>
        <v/>
      </c>
      <c r="P1783" s="32" t="n"/>
      <c r="Q1783" s="26">
        <f>IF($D1783="","",IF($K1783&lt;&gt;"对外销售",0,ROUND(N($J1783)*IF($P1783="",N($O1783),N($P1783)),0)))</f>
        <v/>
      </c>
      <c r="R1783" s="26">
        <f>IF($D1783="","",IFERROR(VLOOKUP($D1783,库存台账!$A$5:$Y$1204,11,0),0))</f>
        <v/>
      </c>
      <c r="S1783" s="26">
        <f>IF($D1783="","",ROUND(N($J1783)*N($R1783),0))</f>
        <v/>
      </c>
      <c r="T1783" s="26">
        <f>IF($D1783="","",IF($K1783&lt;&gt;"对外销售","",ROUND($Q1783-$S1783,0)))</f>
        <v/>
      </c>
      <c r="U1783" s="17" t="n"/>
      <c r="V1783" s="17" t="n"/>
      <c r="W1783" s="24">
        <f>IF($D1783="","",IF($E1783="※编码不在物料档案里","※物料编码不在档案里",IF(N($J1783)&lt;=0,"※出库数量要大于 0",IF($K1783="","※没填去向类型",IF($L1783="","※没填去向矿区",IF(AND($C1783&lt;&gt;"",$C1783&lt;=结账锁),"※日期早于已结账截止日，不能再录",IF(AND($K1783="自用消耗",COUNTIF({"一矿区";"二矿区"},$L1783)=0),"※自用消耗的去向只能是一矿区或二矿区",IF(AND($K1783="对外销售",COUNTIF({"三矿区";"六矿区"},$L1783)=0),"※对外销售的去向只能是三矿区或六矿区",IF(AND($K1783="对外销售",ROUND($Q1783,0)=0),"※外销却没有售价，请填实际售价",IF(AND($K1783="对外销售",$T1783&lt;&gt;"",$T1783&lt;0),"※这一笔外销是亏的，请核对售价",IF(IFERROR(VLOOKUP($D1783,库存台账!$A$5:$Y$1204,24,0),0)&lt;-0.001,"※这个物料账面已经变成负数了，查一下是不是漏记入库","")))))))))))</f>
        <v/>
      </c>
    </row>
    <row r="1784">
      <c r="A1784" s="24">
        <f>IF($D1784="","",COUNTA($D$4:$D1784))</f>
        <v/>
      </c>
      <c r="B1784" s="17" t="n"/>
      <c r="C1784" s="30" t="n"/>
      <c r="D1784" s="17" t="n"/>
      <c r="E1784" s="24">
        <f>IF($D1784="","",IFERROR(VLOOKUP($D1784,物料档案!$A$4:$P$1203,3,0),"※编码不在物料档案里"))</f>
        <v/>
      </c>
      <c r="F1784" s="24">
        <f>IF($D1784="","",IFERROR(VLOOKUP($D1784,物料档案!$A$4:$P$1203,4,0),"※编码不在物料档案里"))</f>
        <v/>
      </c>
      <c r="G1784" s="24">
        <f>IF($D1784="","",IFERROR(VLOOKUP($D1784,物料档案!$A$4:$P$1203,5,0),"※编码不在物料档案里"))</f>
        <v/>
      </c>
      <c r="H1784" s="24">
        <f>IF($D1784="","",IFERROR(VLOOKUP($D1784,物料档案!$A$4:$P$1203,2,0),"※编码不在物料档案里"))</f>
        <v/>
      </c>
      <c r="I1784" s="24">
        <f>IF($D1784="","",IFERROR(VLOOKUP($D1784,物料档案!$A$4:$P$1203,6,0),"※编码不在物料档案里"))</f>
        <v/>
      </c>
      <c r="J1784" s="23" t="n"/>
      <c r="K1784" s="17" t="n"/>
      <c r="L1784" s="17" t="n"/>
      <c r="M1784" s="17" t="n"/>
      <c r="N1784" s="17" t="n"/>
      <c r="O1784" s="26">
        <f>IF($D1784="","",IFERROR(VLOOKUP($D1784,物料档案!$A$4:$P$1203,10,0),0))</f>
        <v/>
      </c>
      <c r="P1784" s="32" t="n"/>
      <c r="Q1784" s="26">
        <f>IF($D1784="","",IF($K1784&lt;&gt;"对外销售",0,ROUND(N($J1784)*IF($P1784="",N($O1784),N($P1784)),0)))</f>
        <v/>
      </c>
      <c r="R1784" s="26">
        <f>IF($D1784="","",IFERROR(VLOOKUP($D1784,库存台账!$A$5:$Y$1204,11,0),0))</f>
        <v/>
      </c>
      <c r="S1784" s="26">
        <f>IF($D1784="","",ROUND(N($J1784)*N($R1784),0))</f>
        <v/>
      </c>
      <c r="T1784" s="26">
        <f>IF($D1784="","",IF($K1784&lt;&gt;"对外销售","",ROUND($Q1784-$S1784,0)))</f>
        <v/>
      </c>
      <c r="U1784" s="17" t="n"/>
      <c r="V1784" s="17" t="n"/>
      <c r="W1784" s="24">
        <f>IF($D1784="","",IF($E1784="※编码不在物料档案里","※物料编码不在档案里",IF(N($J1784)&lt;=0,"※出库数量要大于 0",IF($K1784="","※没填去向类型",IF($L1784="","※没填去向矿区",IF(AND($C1784&lt;&gt;"",$C1784&lt;=结账锁),"※日期早于已结账截止日，不能再录",IF(AND($K1784="自用消耗",COUNTIF({"一矿区";"二矿区"},$L1784)=0),"※自用消耗的去向只能是一矿区或二矿区",IF(AND($K1784="对外销售",COUNTIF({"三矿区";"六矿区"},$L1784)=0),"※对外销售的去向只能是三矿区或六矿区",IF(AND($K1784="对外销售",ROUND($Q1784,0)=0),"※外销却没有售价，请填实际售价",IF(AND($K1784="对外销售",$T1784&lt;&gt;"",$T1784&lt;0),"※这一笔外销是亏的，请核对售价",IF(IFERROR(VLOOKUP($D1784,库存台账!$A$5:$Y$1204,24,0),0)&lt;-0.001,"※这个物料账面已经变成负数了，查一下是不是漏记入库","")))))))))))</f>
        <v/>
      </c>
    </row>
    <row r="1785">
      <c r="A1785" s="24">
        <f>IF($D1785="","",COUNTA($D$4:$D1785))</f>
        <v/>
      </c>
      <c r="B1785" s="17" t="n"/>
      <c r="C1785" s="30" t="n"/>
      <c r="D1785" s="17" t="n"/>
      <c r="E1785" s="24">
        <f>IF($D1785="","",IFERROR(VLOOKUP($D1785,物料档案!$A$4:$P$1203,3,0),"※编码不在物料档案里"))</f>
        <v/>
      </c>
      <c r="F1785" s="24">
        <f>IF($D1785="","",IFERROR(VLOOKUP($D1785,物料档案!$A$4:$P$1203,4,0),"※编码不在物料档案里"))</f>
        <v/>
      </c>
      <c r="G1785" s="24">
        <f>IF($D1785="","",IFERROR(VLOOKUP($D1785,物料档案!$A$4:$P$1203,5,0),"※编码不在物料档案里"))</f>
        <v/>
      </c>
      <c r="H1785" s="24">
        <f>IF($D1785="","",IFERROR(VLOOKUP($D1785,物料档案!$A$4:$P$1203,2,0),"※编码不在物料档案里"))</f>
        <v/>
      </c>
      <c r="I1785" s="24">
        <f>IF($D1785="","",IFERROR(VLOOKUP($D1785,物料档案!$A$4:$P$1203,6,0),"※编码不在物料档案里"))</f>
        <v/>
      </c>
      <c r="J1785" s="23" t="n"/>
      <c r="K1785" s="17" t="n"/>
      <c r="L1785" s="17" t="n"/>
      <c r="M1785" s="17" t="n"/>
      <c r="N1785" s="17" t="n"/>
      <c r="O1785" s="26">
        <f>IF($D1785="","",IFERROR(VLOOKUP($D1785,物料档案!$A$4:$P$1203,10,0),0))</f>
        <v/>
      </c>
      <c r="P1785" s="32" t="n"/>
      <c r="Q1785" s="26">
        <f>IF($D1785="","",IF($K1785&lt;&gt;"对外销售",0,ROUND(N($J1785)*IF($P1785="",N($O1785),N($P1785)),0)))</f>
        <v/>
      </c>
      <c r="R1785" s="26">
        <f>IF($D1785="","",IFERROR(VLOOKUP($D1785,库存台账!$A$5:$Y$1204,11,0),0))</f>
        <v/>
      </c>
      <c r="S1785" s="26">
        <f>IF($D1785="","",ROUND(N($J1785)*N($R1785),0))</f>
        <v/>
      </c>
      <c r="T1785" s="26">
        <f>IF($D1785="","",IF($K1785&lt;&gt;"对外销售","",ROUND($Q1785-$S1785,0)))</f>
        <v/>
      </c>
      <c r="U1785" s="17" t="n"/>
      <c r="V1785" s="17" t="n"/>
      <c r="W1785" s="24">
        <f>IF($D1785="","",IF($E1785="※编码不在物料档案里","※物料编码不在档案里",IF(N($J1785)&lt;=0,"※出库数量要大于 0",IF($K1785="","※没填去向类型",IF($L1785="","※没填去向矿区",IF(AND($C1785&lt;&gt;"",$C1785&lt;=结账锁),"※日期早于已结账截止日，不能再录",IF(AND($K1785="自用消耗",COUNTIF({"一矿区";"二矿区"},$L1785)=0),"※自用消耗的去向只能是一矿区或二矿区",IF(AND($K1785="对外销售",COUNTIF({"三矿区";"六矿区"},$L1785)=0),"※对外销售的去向只能是三矿区或六矿区",IF(AND($K1785="对外销售",ROUND($Q1785,0)=0),"※外销却没有售价，请填实际售价",IF(AND($K1785="对外销售",$T1785&lt;&gt;"",$T1785&lt;0),"※这一笔外销是亏的，请核对售价",IF(IFERROR(VLOOKUP($D1785,库存台账!$A$5:$Y$1204,24,0),0)&lt;-0.001,"※这个物料账面已经变成负数了，查一下是不是漏记入库","")))))))))))</f>
        <v/>
      </c>
    </row>
    <row r="1786">
      <c r="A1786" s="24">
        <f>IF($D1786="","",COUNTA($D$4:$D1786))</f>
        <v/>
      </c>
      <c r="B1786" s="17" t="n"/>
      <c r="C1786" s="30" t="n"/>
      <c r="D1786" s="17" t="n"/>
      <c r="E1786" s="24">
        <f>IF($D1786="","",IFERROR(VLOOKUP($D1786,物料档案!$A$4:$P$1203,3,0),"※编码不在物料档案里"))</f>
        <v/>
      </c>
      <c r="F1786" s="24">
        <f>IF($D1786="","",IFERROR(VLOOKUP($D1786,物料档案!$A$4:$P$1203,4,0),"※编码不在物料档案里"))</f>
        <v/>
      </c>
      <c r="G1786" s="24">
        <f>IF($D1786="","",IFERROR(VLOOKUP($D1786,物料档案!$A$4:$P$1203,5,0),"※编码不在物料档案里"))</f>
        <v/>
      </c>
      <c r="H1786" s="24">
        <f>IF($D1786="","",IFERROR(VLOOKUP($D1786,物料档案!$A$4:$P$1203,2,0),"※编码不在物料档案里"))</f>
        <v/>
      </c>
      <c r="I1786" s="24">
        <f>IF($D1786="","",IFERROR(VLOOKUP($D1786,物料档案!$A$4:$P$1203,6,0),"※编码不在物料档案里"))</f>
        <v/>
      </c>
      <c r="J1786" s="23" t="n"/>
      <c r="K1786" s="17" t="n"/>
      <c r="L1786" s="17" t="n"/>
      <c r="M1786" s="17" t="n"/>
      <c r="N1786" s="17" t="n"/>
      <c r="O1786" s="26">
        <f>IF($D1786="","",IFERROR(VLOOKUP($D1786,物料档案!$A$4:$P$1203,10,0),0))</f>
        <v/>
      </c>
      <c r="P1786" s="32" t="n"/>
      <c r="Q1786" s="26">
        <f>IF($D1786="","",IF($K1786&lt;&gt;"对外销售",0,ROUND(N($J1786)*IF($P1786="",N($O1786),N($P1786)),0)))</f>
        <v/>
      </c>
      <c r="R1786" s="26">
        <f>IF($D1786="","",IFERROR(VLOOKUP($D1786,库存台账!$A$5:$Y$1204,11,0),0))</f>
        <v/>
      </c>
      <c r="S1786" s="26">
        <f>IF($D1786="","",ROUND(N($J1786)*N($R1786),0))</f>
        <v/>
      </c>
      <c r="T1786" s="26">
        <f>IF($D1786="","",IF($K1786&lt;&gt;"对外销售","",ROUND($Q1786-$S1786,0)))</f>
        <v/>
      </c>
      <c r="U1786" s="17" t="n"/>
      <c r="V1786" s="17" t="n"/>
      <c r="W1786" s="24">
        <f>IF($D1786="","",IF($E1786="※编码不在物料档案里","※物料编码不在档案里",IF(N($J1786)&lt;=0,"※出库数量要大于 0",IF($K1786="","※没填去向类型",IF($L1786="","※没填去向矿区",IF(AND($C1786&lt;&gt;"",$C1786&lt;=结账锁),"※日期早于已结账截止日，不能再录",IF(AND($K1786="自用消耗",COUNTIF({"一矿区";"二矿区"},$L1786)=0),"※自用消耗的去向只能是一矿区或二矿区",IF(AND($K1786="对外销售",COUNTIF({"三矿区";"六矿区"},$L1786)=0),"※对外销售的去向只能是三矿区或六矿区",IF(AND($K1786="对外销售",ROUND($Q1786,0)=0),"※外销却没有售价，请填实际售价",IF(AND($K1786="对外销售",$T1786&lt;&gt;"",$T1786&lt;0),"※这一笔外销是亏的，请核对售价",IF(IFERROR(VLOOKUP($D1786,库存台账!$A$5:$Y$1204,24,0),0)&lt;-0.001,"※这个物料账面已经变成负数了，查一下是不是漏记入库","")))))))))))</f>
        <v/>
      </c>
    </row>
    <row r="1787">
      <c r="A1787" s="24">
        <f>IF($D1787="","",COUNTA($D$4:$D1787))</f>
        <v/>
      </c>
      <c r="B1787" s="17" t="n"/>
      <c r="C1787" s="30" t="n"/>
      <c r="D1787" s="17" t="n"/>
      <c r="E1787" s="24">
        <f>IF($D1787="","",IFERROR(VLOOKUP($D1787,物料档案!$A$4:$P$1203,3,0),"※编码不在物料档案里"))</f>
        <v/>
      </c>
      <c r="F1787" s="24">
        <f>IF($D1787="","",IFERROR(VLOOKUP($D1787,物料档案!$A$4:$P$1203,4,0),"※编码不在物料档案里"))</f>
        <v/>
      </c>
      <c r="G1787" s="24">
        <f>IF($D1787="","",IFERROR(VLOOKUP($D1787,物料档案!$A$4:$P$1203,5,0),"※编码不在物料档案里"))</f>
        <v/>
      </c>
      <c r="H1787" s="24">
        <f>IF($D1787="","",IFERROR(VLOOKUP($D1787,物料档案!$A$4:$P$1203,2,0),"※编码不在物料档案里"))</f>
        <v/>
      </c>
      <c r="I1787" s="24">
        <f>IF($D1787="","",IFERROR(VLOOKUP($D1787,物料档案!$A$4:$P$1203,6,0),"※编码不在物料档案里"))</f>
        <v/>
      </c>
      <c r="J1787" s="23" t="n"/>
      <c r="K1787" s="17" t="n"/>
      <c r="L1787" s="17" t="n"/>
      <c r="M1787" s="17" t="n"/>
      <c r="N1787" s="17" t="n"/>
      <c r="O1787" s="26">
        <f>IF($D1787="","",IFERROR(VLOOKUP($D1787,物料档案!$A$4:$P$1203,10,0),0))</f>
        <v/>
      </c>
      <c r="P1787" s="32" t="n"/>
      <c r="Q1787" s="26">
        <f>IF($D1787="","",IF($K1787&lt;&gt;"对外销售",0,ROUND(N($J1787)*IF($P1787="",N($O1787),N($P1787)),0)))</f>
        <v/>
      </c>
      <c r="R1787" s="26">
        <f>IF($D1787="","",IFERROR(VLOOKUP($D1787,库存台账!$A$5:$Y$1204,11,0),0))</f>
        <v/>
      </c>
      <c r="S1787" s="26">
        <f>IF($D1787="","",ROUND(N($J1787)*N($R1787),0))</f>
        <v/>
      </c>
      <c r="T1787" s="26">
        <f>IF($D1787="","",IF($K1787&lt;&gt;"对外销售","",ROUND($Q1787-$S1787,0)))</f>
        <v/>
      </c>
      <c r="U1787" s="17" t="n"/>
      <c r="V1787" s="17" t="n"/>
      <c r="W1787" s="24">
        <f>IF($D1787="","",IF($E1787="※编码不在物料档案里","※物料编码不在档案里",IF(N($J1787)&lt;=0,"※出库数量要大于 0",IF($K1787="","※没填去向类型",IF($L1787="","※没填去向矿区",IF(AND($C1787&lt;&gt;"",$C1787&lt;=结账锁),"※日期早于已结账截止日，不能再录",IF(AND($K1787="自用消耗",COUNTIF({"一矿区";"二矿区"},$L1787)=0),"※自用消耗的去向只能是一矿区或二矿区",IF(AND($K1787="对外销售",COUNTIF({"三矿区";"六矿区"},$L1787)=0),"※对外销售的去向只能是三矿区或六矿区",IF(AND($K1787="对外销售",ROUND($Q1787,0)=0),"※外销却没有售价，请填实际售价",IF(AND($K1787="对外销售",$T1787&lt;&gt;"",$T1787&lt;0),"※这一笔外销是亏的，请核对售价",IF(IFERROR(VLOOKUP($D1787,库存台账!$A$5:$Y$1204,24,0),0)&lt;-0.001,"※这个物料账面已经变成负数了，查一下是不是漏记入库","")))))))))))</f>
        <v/>
      </c>
    </row>
    <row r="1788">
      <c r="A1788" s="24">
        <f>IF($D1788="","",COUNTA($D$4:$D1788))</f>
        <v/>
      </c>
      <c r="B1788" s="17" t="n"/>
      <c r="C1788" s="30" t="n"/>
      <c r="D1788" s="17" t="n"/>
      <c r="E1788" s="24">
        <f>IF($D1788="","",IFERROR(VLOOKUP($D1788,物料档案!$A$4:$P$1203,3,0),"※编码不在物料档案里"))</f>
        <v/>
      </c>
      <c r="F1788" s="24">
        <f>IF($D1788="","",IFERROR(VLOOKUP($D1788,物料档案!$A$4:$P$1203,4,0),"※编码不在物料档案里"))</f>
        <v/>
      </c>
      <c r="G1788" s="24">
        <f>IF($D1788="","",IFERROR(VLOOKUP($D1788,物料档案!$A$4:$P$1203,5,0),"※编码不在物料档案里"))</f>
        <v/>
      </c>
      <c r="H1788" s="24">
        <f>IF($D1788="","",IFERROR(VLOOKUP($D1788,物料档案!$A$4:$P$1203,2,0),"※编码不在物料档案里"))</f>
        <v/>
      </c>
      <c r="I1788" s="24">
        <f>IF($D1788="","",IFERROR(VLOOKUP($D1788,物料档案!$A$4:$P$1203,6,0),"※编码不在物料档案里"))</f>
        <v/>
      </c>
      <c r="J1788" s="23" t="n"/>
      <c r="K1788" s="17" t="n"/>
      <c r="L1788" s="17" t="n"/>
      <c r="M1788" s="17" t="n"/>
      <c r="N1788" s="17" t="n"/>
      <c r="O1788" s="26">
        <f>IF($D1788="","",IFERROR(VLOOKUP($D1788,物料档案!$A$4:$P$1203,10,0),0))</f>
        <v/>
      </c>
      <c r="P1788" s="32" t="n"/>
      <c r="Q1788" s="26">
        <f>IF($D1788="","",IF($K1788&lt;&gt;"对外销售",0,ROUND(N($J1788)*IF($P1788="",N($O1788),N($P1788)),0)))</f>
        <v/>
      </c>
      <c r="R1788" s="26">
        <f>IF($D1788="","",IFERROR(VLOOKUP($D1788,库存台账!$A$5:$Y$1204,11,0),0))</f>
        <v/>
      </c>
      <c r="S1788" s="26">
        <f>IF($D1788="","",ROUND(N($J1788)*N($R1788),0))</f>
        <v/>
      </c>
      <c r="T1788" s="26">
        <f>IF($D1788="","",IF($K1788&lt;&gt;"对外销售","",ROUND($Q1788-$S1788,0)))</f>
        <v/>
      </c>
      <c r="U1788" s="17" t="n"/>
      <c r="V1788" s="17" t="n"/>
      <c r="W1788" s="24">
        <f>IF($D1788="","",IF($E1788="※编码不在物料档案里","※物料编码不在档案里",IF(N($J1788)&lt;=0,"※出库数量要大于 0",IF($K1788="","※没填去向类型",IF($L1788="","※没填去向矿区",IF(AND($C1788&lt;&gt;"",$C1788&lt;=结账锁),"※日期早于已结账截止日，不能再录",IF(AND($K1788="自用消耗",COUNTIF({"一矿区";"二矿区"},$L1788)=0),"※自用消耗的去向只能是一矿区或二矿区",IF(AND($K1788="对外销售",COUNTIF({"三矿区";"六矿区"},$L1788)=0),"※对外销售的去向只能是三矿区或六矿区",IF(AND($K1788="对外销售",ROUND($Q1788,0)=0),"※外销却没有售价，请填实际售价",IF(AND($K1788="对外销售",$T1788&lt;&gt;"",$T1788&lt;0),"※这一笔外销是亏的，请核对售价",IF(IFERROR(VLOOKUP($D1788,库存台账!$A$5:$Y$1204,24,0),0)&lt;-0.001,"※这个物料账面已经变成负数了，查一下是不是漏记入库","")))))))))))</f>
        <v/>
      </c>
    </row>
    <row r="1789">
      <c r="A1789" s="24">
        <f>IF($D1789="","",COUNTA($D$4:$D1789))</f>
        <v/>
      </c>
      <c r="B1789" s="17" t="n"/>
      <c r="C1789" s="30" t="n"/>
      <c r="D1789" s="17" t="n"/>
      <c r="E1789" s="24">
        <f>IF($D1789="","",IFERROR(VLOOKUP($D1789,物料档案!$A$4:$P$1203,3,0),"※编码不在物料档案里"))</f>
        <v/>
      </c>
      <c r="F1789" s="24">
        <f>IF($D1789="","",IFERROR(VLOOKUP($D1789,物料档案!$A$4:$P$1203,4,0),"※编码不在物料档案里"))</f>
        <v/>
      </c>
      <c r="G1789" s="24">
        <f>IF($D1789="","",IFERROR(VLOOKUP($D1789,物料档案!$A$4:$P$1203,5,0),"※编码不在物料档案里"))</f>
        <v/>
      </c>
      <c r="H1789" s="24">
        <f>IF($D1789="","",IFERROR(VLOOKUP($D1789,物料档案!$A$4:$P$1203,2,0),"※编码不在物料档案里"))</f>
        <v/>
      </c>
      <c r="I1789" s="24">
        <f>IF($D1789="","",IFERROR(VLOOKUP($D1789,物料档案!$A$4:$P$1203,6,0),"※编码不在物料档案里"))</f>
        <v/>
      </c>
      <c r="J1789" s="23" t="n"/>
      <c r="K1789" s="17" t="n"/>
      <c r="L1789" s="17" t="n"/>
      <c r="M1789" s="17" t="n"/>
      <c r="N1789" s="17" t="n"/>
      <c r="O1789" s="26">
        <f>IF($D1789="","",IFERROR(VLOOKUP($D1789,物料档案!$A$4:$P$1203,10,0),0))</f>
        <v/>
      </c>
      <c r="P1789" s="32" t="n"/>
      <c r="Q1789" s="26">
        <f>IF($D1789="","",IF($K1789&lt;&gt;"对外销售",0,ROUND(N($J1789)*IF($P1789="",N($O1789),N($P1789)),0)))</f>
        <v/>
      </c>
      <c r="R1789" s="26">
        <f>IF($D1789="","",IFERROR(VLOOKUP($D1789,库存台账!$A$5:$Y$1204,11,0),0))</f>
        <v/>
      </c>
      <c r="S1789" s="26">
        <f>IF($D1789="","",ROUND(N($J1789)*N($R1789),0))</f>
        <v/>
      </c>
      <c r="T1789" s="26">
        <f>IF($D1789="","",IF($K1789&lt;&gt;"对外销售","",ROUND($Q1789-$S1789,0)))</f>
        <v/>
      </c>
      <c r="U1789" s="17" t="n"/>
      <c r="V1789" s="17" t="n"/>
      <c r="W1789" s="24">
        <f>IF($D1789="","",IF($E1789="※编码不在物料档案里","※物料编码不在档案里",IF(N($J1789)&lt;=0,"※出库数量要大于 0",IF($K1789="","※没填去向类型",IF($L1789="","※没填去向矿区",IF(AND($C1789&lt;&gt;"",$C1789&lt;=结账锁),"※日期早于已结账截止日，不能再录",IF(AND($K1789="自用消耗",COUNTIF({"一矿区";"二矿区"},$L1789)=0),"※自用消耗的去向只能是一矿区或二矿区",IF(AND($K1789="对外销售",COUNTIF({"三矿区";"六矿区"},$L1789)=0),"※对外销售的去向只能是三矿区或六矿区",IF(AND($K1789="对外销售",ROUND($Q1789,0)=0),"※外销却没有售价，请填实际售价",IF(AND($K1789="对外销售",$T1789&lt;&gt;"",$T1789&lt;0),"※这一笔外销是亏的，请核对售价",IF(IFERROR(VLOOKUP($D1789,库存台账!$A$5:$Y$1204,24,0),0)&lt;-0.001,"※这个物料账面已经变成负数了，查一下是不是漏记入库","")))))))))))</f>
        <v/>
      </c>
    </row>
    <row r="1790">
      <c r="A1790" s="24">
        <f>IF($D1790="","",COUNTA($D$4:$D1790))</f>
        <v/>
      </c>
      <c r="B1790" s="17" t="n"/>
      <c r="C1790" s="30" t="n"/>
      <c r="D1790" s="17" t="n"/>
      <c r="E1790" s="24">
        <f>IF($D1790="","",IFERROR(VLOOKUP($D1790,物料档案!$A$4:$P$1203,3,0),"※编码不在物料档案里"))</f>
        <v/>
      </c>
      <c r="F1790" s="24">
        <f>IF($D1790="","",IFERROR(VLOOKUP($D1790,物料档案!$A$4:$P$1203,4,0),"※编码不在物料档案里"))</f>
        <v/>
      </c>
      <c r="G1790" s="24">
        <f>IF($D1790="","",IFERROR(VLOOKUP($D1790,物料档案!$A$4:$P$1203,5,0),"※编码不在物料档案里"))</f>
        <v/>
      </c>
      <c r="H1790" s="24">
        <f>IF($D1790="","",IFERROR(VLOOKUP($D1790,物料档案!$A$4:$P$1203,2,0),"※编码不在物料档案里"))</f>
        <v/>
      </c>
      <c r="I1790" s="24">
        <f>IF($D1790="","",IFERROR(VLOOKUP($D1790,物料档案!$A$4:$P$1203,6,0),"※编码不在物料档案里"))</f>
        <v/>
      </c>
      <c r="J1790" s="23" t="n"/>
      <c r="K1790" s="17" t="n"/>
      <c r="L1790" s="17" t="n"/>
      <c r="M1790" s="17" t="n"/>
      <c r="N1790" s="17" t="n"/>
      <c r="O1790" s="26">
        <f>IF($D1790="","",IFERROR(VLOOKUP($D1790,物料档案!$A$4:$P$1203,10,0),0))</f>
        <v/>
      </c>
      <c r="P1790" s="32" t="n"/>
      <c r="Q1790" s="26">
        <f>IF($D1790="","",IF($K1790&lt;&gt;"对外销售",0,ROUND(N($J1790)*IF($P1790="",N($O1790),N($P1790)),0)))</f>
        <v/>
      </c>
      <c r="R1790" s="26">
        <f>IF($D1790="","",IFERROR(VLOOKUP($D1790,库存台账!$A$5:$Y$1204,11,0),0))</f>
        <v/>
      </c>
      <c r="S1790" s="26">
        <f>IF($D1790="","",ROUND(N($J1790)*N($R1790),0))</f>
        <v/>
      </c>
      <c r="T1790" s="26">
        <f>IF($D1790="","",IF($K1790&lt;&gt;"对外销售","",ROUND($Q1790-$S1790,0)))</f>
        <v/>
      </c>
      <c r="U1790" s="17" t="n"/>
      <c r="V1790" s="17" t="n"/>
      <c r="W1790" s="24">
        <f>IF($D1790="","",IF($E1790="※编码不在物料档案里","※物料编码不在档案里",IF(N($J1790)&lt;=0,"※出库数量要大于 0",IF($K1790="","※没填去向类型",IF($L1790="","※没填去向矿区",IF(AND($C1790&lt;&gt;"",$C1790&lt;=结账锁),"※日期早于已结账截止日，不能再录",IF(AND($K1790="自用消耗",COUNTIF({"一矿区";"二矿区"},$L1790)=0),"※自用消耗的去向只能是一矿区或二矿区",IF(AND($K1790="对外销售",COUNTIF({"三矿区";"六矿区"},$L1790)=0),"※对外销售的去向只能是三矿区或六矿区",IF(AND($K1790="对外销售",ROUND($Q1790,0)=0),"※外销却没有售价，请填实际售价",IF(AND($K1790="对外销售",$T1790&lt;&gt;"",$T1790&lt;0),"※这一笔外销是亏的，请核对售价",IF(IFERROR(VLOOKUP($D1790,库存台账!$A$5:$Y$1204,24,0),0)&lt;-0.001,"※这个物料账面已经变成负数了，查一下是不是漏记入库","")))))))))))</f>
        <v/>
      </c>
    </row>
    <row r="1791">
      <c r="A1791" s="24">
        <f>IF($D1791="","",COUNTA($D$4:$D1791))</f>
        <v/>
      </c>
      <c r="B1791" s="17" t="n"/>
      <c r="C1791" s="30" t="n"/>
      <c r="D1791" s="17" t="n"/>
      <c r="E1791" s="24">
        <f>IF($D1791="","",IFERROR(VLOOKUP($D1791,物料档案!$A$4:$P$1203,3,0),"※编码不在物料档案里"))</f>
        <v/>
      </c>
      <c r="F1791" s="24">
        <f>IF($D1791="","",IFERROR(VLOOKUP($D1791,物料档案!$A$4:$P$1203,4,0),"※编码不在物料档案里"))</f>
        <v/>
      </c>
      <c r="G1791" s="24">
        <f>IF($D1791="","",IFERROR(VLOOKUP($D1791,物料档案!$A$4:$P$1203,5,0),"※编码不在物料档案里"))</f>
        <v/>
      </c>
      <c r="H1791" s="24">
        <f>IF($D1791="","",IFERROR(VLOOKUP($D1791,物料档案!$A$4:$P$1203,2,0),"※编码不在物料档案里"))</f>
        <v/>
      </c>
      <c r="I1791" s="24">
        <f>IF($D1791="","",IFERROR(VLOOKUP($D1791,物料档案!$A$4:$P$1203,6,0),"※编码不在物料档案里"))</f>
        <v/>
      </c>
      <c r="J1791" s="23" t="n"/>
      <c r="K1791" s="17" t="n"/>
      <c r="L1791" s="17" t="n"/>
      <c r="M1791" s="17" t="n"/>
      <c r="N1791" s="17" t="n"/>
      <c r="O1791" s="26">
        <f>IF($D1791="","",IFERROR(VLOOKUP($D1791,物料档案!$A$4:$P$1203,10,0),0))</f>
        <v/>
      </c>
      <c r="P1791" s="32" t="n"/>
      <c r="Q1791" s="26">
        <f>IF($D1791="","",IF($K1791&lt;&gt;"对外销售",0,ROUND(N($J1791)*IF($P1791="",N($O1791),N($P1791)),0)))</f>
        <v/>
      </c>
      <c r="R1791" s="26">
        <f>IF($D1791="","",IFERROR(VLOOKUP($D1791,库存台账!$A$5:$Y$1204,11,0),0))</f>
        <v/>
      </c>
      <c r="S1791" s="26">
        <f>IF($D1791="","",ROUND(N($J1791)*N($R1791),0))</f>
        <v/>
      </c>
      <c r="T1791" s="26">
        <f>IF($D1791="","",IF($K1791&lt;&gt;"对外销售","",ROUND($Q1791-$S1791,0)))</f>
        <v/>
      </c>
      <c r="U1791" s="17" t="n"/>
      <c r="V1791" s="17" t="n"/>
      <c r="W1791" s="24">
        <f>IF($D1791="","",IF($E1791="※编码不在物料档案里","※物料编码不在档案里",IF(N($J1791)&lt;=0,"※出库数量要大于 0",IF($K1791="","※没填去向类型",IF($L1791="","※没填去向矿区",IF(AND($C1791&lt;&gt;"",$C1791&lt;=结账锁),"※日期早于已结账截止日，不能再录",IF(AND($K1791="自用消耗",COUNTIF({"一矿区";"二矿区"},$L1791)=0),"※自用消耗的去向只能是一矿区或二矿区",IF(AND($K1791="对外销售",COUNTIF({"三矿区";"六矿区"},$L1791)=0),"※对外销售的去向只能是三矿区或六矿区",IF(AND($K1791="对外销售",ROUND($Q1791,0)=0),"※外销却没有售价，请填实际售价",IF(AND($K1791="对外销售",$T1791&lt;&gt;"",$T1791&lt;0),"※这一笔外销是亏的，请核对售价",IF(IFERROR(VLOOKUP($D1791,库存台账!$A$5:$Y$1204,24,0),0)&lt;-0.001,"※这个物料账面已经变成负数了，查一下是不是漏记入库","")))))))))))</f>
        <v/>
      </c>
    </row>
    <row r="1792">
      <c r="A1792" s="24">
        <f>IF($D1792="","",COUNTA($D$4:$D1792))</f>
        <v/>
      </c>
      <c r="B1792" s="17" t="n"/>
      <c r="C1792" s="30" t="n"/>
      <c r="D1792" s="17" t="n"/>
      <c r="E1792" s="24">
        <f>IF($D1792="","",IFERROR(VLOOKUP($D1792,物料档案!$A$4:$P$1203,3,0),"※编码不在物料档案里"))</f>
        <v/>
      </c>
      <c r="F1792" s="24">
        <f>IF($D1792="","",IFERROR(VLOOKUP($D1792,物料档案!$A$4:$P$1203,4,0),"※编码不在物料档案里"))</f>
        <v/>
      </c>
      <c r="G1792" s="24">
        <f>IF($D1792="","",IFERROR(VLOOKUP($D1792,物料档案!$A$4:$P$1203,5,0),"※编码不在物料档案里"))</f>
        <v/>
      </c>
      <c r="H1792" s="24">
        <f>IF($D1792="","",IFERROR(VLOOKUP($D1792,物料档案!$A$4:$P$1203,2,0),"※编码不在物料档案里"))</f>
        <v/>
      </c>
      <c r="I1792" s="24">
        <f>IF($D1792="","",IFERROR(VLOOKUP($D1792,物料档案!$A$4:$P$1203,6,0),"※编码不在物料档案里"))</f>
        <v/>
      </c>
      <c r="J1792" s="23" t="n"/>
      <c r="K1792" s="17" t="n"/>
      <c r="L1792" s="17" t="n"/>
      <c r="M1792" s="17" t="n"/>
      <c r="N1792" s="17" t="n"/>
      <c r="O1792" s="26">
        <f>IF($D1792="","",IFERROR(VLOOKUP($D1792,物料档案!$A$4:$P$1203,10,0),0))</f>
        <v/>
      </c>
      <c r="P1792" s="32" t="n"/>
      <c r="Q1792" s="26">
        <f>IF($D1792="","",IF($K1792&lt;&gt;"对外销售",0,ROUND(N($J1792)*IF($P1792="",N($O1792),N($P1792)),0)))</f>
        <v/>
      </c>
      <c r="R1792" s="26">
        <f>IF($D1792="","",IFERROR(VLOOKUP($D1792,库存台账!$A$5:$Y$1204,11,0),0))</f>
        <v/>
      </c>
      <c r="S1792" s="26">
        <f>IF($D1792="","",ROUND(N($J1792)*N($R1792),0))</f>
        <v/>
      </c>
      <c r="T1792" s="26">
        <f>IF($D1792="","",IF($K1792&lt;&gt;"对外销售","",ROUND($Q1792-$S1792,0)))</f>
        <v/>
      </c>
      <c r="U1792" s="17" t="n"/>
      <c r="V1792" s="17" t="n"/>
      <c r="W1792" s="24">
        <f>IF($D1792="","",IF($E1792="※编码不在物料档案里","※物料编码不在档案里",IF(N($J1792)&lt;=0,"※出库数量要大于 0",IF($K1792="","※没填去向类型",IF($L1792="","※没填去向矿区",IF(AND($C1792&lt;&gt;"",$C1792&lt;=结账锁),"※日期早于已结账截止日，不能再录",IF(AND($K1792="自用消耗",COUNTIF({"一矿区";"二矿区"},$L1792)=0),"※自用消耗的去向只能是一矿区或二矿区",IF(AND($K1792="对外销售",COUNTIF({"三矿区";"六矿区"},$L1792)=0),"※对外销售的去向只能是三矿区或六矿区",IF(AND($K1792="对外销售",ROUND($Q1792,0)=0),"※外销却没有售价，请填实际售价",IF(AND($K1792="对外销售",$T1792&lt;&gt;"",$T1792&lt;0),"※这一笔外销是亏的，请核对售价",IF(IFERROR(VLOOKUP($D1792,库存台账!$A$5:$Y$1204,24,0),0)&lt;-0.001,"※这个物料账面已经变成负数了，查一下是不是漏记入库","")))))))))))</f>
        <v/>
      </c>
    </row>
    <row r="1793">
      <c r="A1793" s="24">
        <f>IF($D1793="","",COUNTA($D$4:$D1793))</f>
        <v/>
      </c>
      <c r="B1793" s="17" t="n"/>
      <c r="C1793" s="30" t="n"/>
      <c r="D1793" s="17" t="n"/>
      <c r="E1793" s="24">
        <f>IF($D1793="","",IFERROR(VLOOKUP($D1793,物料档案!$A$4:$P$1203,3,0),"※编码不在物料档案里"))</f>
        <v/>
      </c>
      <c r="F1793" s="24">
        <f>IF($D1793="","",IFERROR(VLOOKUP($D1793,物料档案!$A$4:$P$1203,4,0),"※编码不在物料档案里"))</f>
        <v/>
      </c>
      <c r="G1793" s="24">
        <f>IF($D1793="","",IFERROR(VLOOKUP($D1793,物料档案!$A$4:$P$1203,5,0),"※编码不在物料档案里"))</f>
        <v/>
      </c>
      <c r="H1793" s="24">
        <f>IF($D1793="","",IFERROR(VLOOKUP($D1793,物料档案!$A$4:$P$1203,2,0),"※编码不在物料档案里"))</f>
        <v/>
      </c>
      <c r="I1793" s="24">
        <f>IF($D1793="","",IFERROR(VLOOKUP($D1793,物料档案!$A$4:$P$1203,6,0),"※编码不在物料档案里"))</f>
        <v/>
      </c>
      <c r="J1793" s="23" t="n"/>
      <c r="K1793" s="17" t="n"/>
      <c r="L1793" s="17" t="n"/>
      <c r="M1793" s="17" t="n"/>
      <c r="N1793" s="17" t="n"/>
      <c r="O1793" s="26">
        <f>IF($D1793="","",IFERROR(VLOOKUP($D1793,物料档案!$A$4:$P$1203,10,0),0))</f>
        <v/>
      </c>
      <c r="P1793" s="32" t="n"/>
      <c r="Q1793" s="26">
        <f>IF($D1793="","",IF($K1793&lt;&gt;"对外销售",0,ROUND(N($J1793)*IF($P1793="",N($O1793),N($P1793)),0)))</f>
        <v/>
      </c>
      <c r="R1793" s="26">
        <f>IF($D1793="","",IFERROR(VLOOKUP($D1793,库存台账!$A$5:$Y$1204,11,0),0))</f>
        <v/>
      </c>
      <c r="S1793" s="26">
        <f>IF($D1793="","",ROUND(N($J1793)*N($R1793),0))</f>
        <v/>
      </c>
      <c r="T1793" s="26">
        <f>IF($D1793="","",IF($K1793&lt;&gt;"对外销售","",ROUND($Q1793-$S1793,0)))</f>
        <v/>
      </c>
      <c r="U1793" s="17" t="n"/>
      <c r="V1793" s="17" t="n"/>
      <c r="W1793" s="24">
        <f>IF($D1793="","",IF($E1793="※编码不在物料档案里","※物料编码不在档案里",IF(N($J1793)&lt;=0,"※出库数量要大于 0",IF($K1793="","※没填去向类型",IF($L1793="","※没填去向矿区",IF(AND($C1793&lt;&gt;"",$C1793&lt;=结账锁),"※日期早于已结账截止日，不能再录",IF(AND($K1793="自用消耗",COUNTIF({"一矿区";"二矿区"},$L1793)=0),"※自用消耗的去向只能是一矿区或二矿区",IF(AND($K1793="对外销售",COUNTIF({"三矿区";"六矿区"},$L1793)=0),"※对外销售的去向只能是三矿区或六矿区",IF(AND($K1793="对外销售",ROUND($Q1793,0)=0),"※外销却没有售价，请填实际售价",IF(AND($K1793="对外销售",$T1793&lt;&gt;"",$T1793&lt;0),"※这一笔外销是亏的，请核对售价",IF(IFERROR(VLOOKUP($D1793,库存台账!$A$5:$Y$1204,24,0),0)&lt;-0.001,"※这个物料账面已经变成负数了，查一下是不是漏记入库","")))))))))))</f>
        <v/>
      </c>
    </row>
    <row r="1794">
      <c r="A1794" s="24">
        <f>IF($D1794="","",COUNTA($D$4:$D1794))</f>
        <v/>
      </c>
      <c r="B1794" s="17" t="n"/>
      <c r="C1794" s="30" t="n"/>
      <c r="D1794" s="17" t="n"/>
      <c r="E1794" s="24">
        <f>IF($D1794="","",IFERROR(VLOOKUP($D1794,物料档案!$A$4:$P$1203,3,0),"※编码不在物料档案里"))</f>
        <v/>
      </c>
      <c r="F1794" s="24">
        <f>IF($D1794="","",IFERROR(VLOOKUP($D1794,物料档案!$A$4:$P$1203,4,0),"※编码不在物料档案里"))</f>
        <v/>
      </c>
      <c r="G1794" s="24">
        <f>IF($D1794="","",IFERROR(VLOOKUP($D1794,物料档案!$A$4:$P$1203,5,0),"※编码不在物料档案里"))</f>
        <v/>
      </c>
      <c r="H1794" s="24">
        <f>IF($D1794="","",IFERROR(VLOOKUP($D1794,物料档案!$A$4:$P$1203,2,0),"※编码不在物料档案里"))</f>
        <v/>
      </c>
      <c r="I1794" s="24">
        <f>IF($D1794="","",IFERROR(VLOOKUP($D1794,物料档案!$A$4:$P$1203,6,0),"※编码不在物料档案里"))</f>
        <v/>
      </c>
      <c r="J1794" s="23" t="n"/>
      <c r="K1794" s="17" t="n"/>
      <c r="L1794" s="17" t="n"/>
      <c r="M1794" s="17" t="n"/>
      <c r="N1794" s="17" t="n"/>
      <c r="O1794" s="26">
        <f>IF($D1794="","",IFERROR(VLOOKUP($D1794,物料档案!$A$4:$P$1203,10,0),0))</f>
        <v/>
      </c>
      <c r="P1794" s="32" t="n"/>
      <c r="Q1794" s="26">
        <f>IF($D1794="","",IF($K1794&lt;&gt;"对外销售",0,ROUND(N($J1794)*IF($P1794="",N($O1794),N($P1794)),0)))</f>
        <v/>
      </c>
      <c r="R1794" s="26">
        <f>IF($D1794="","",IFERROR(VLOOKUP($D1794,库存台账!$A$5:$Y$1204,11,0),0))</f>
        <v/>
      </c>
      <c r="S1794" s="26">
        <f>IF($D1794="","",ROUND(N($J1794)*N($R1794),0))</f>
        <v/>
      </c>
      <c r="T1794" s="26">
        <f>IF($D1794="","",IF($K1794&lt;&gt;"对外销售","",ROUND($Q1794-$S1794,0)))</f>
        <v/>
      </c>
      <c r="U1794" s="17" t="n"/>
      <c r="V1794" s="17" t="n"/>
      <c r="W1794" s="24">
        <f>IF($D1794="","",IF($E1794="※编码不在物料档案里","※物料编码不在档案里",IF(N($J1794)&lt;=0,"※出库数量要大于 0",IF($K1794="","※没填去向类型",IF($L1794="","※没填去向矿区",IF(AND($C1794&lt;&gt;"",$C1794&lt;=结账锁),"※日期早于已结账截止日，不能再录",IF(AND($K1794="自用消耗",COUNTIF({"一矿区";"二矿区"},$L1794)=0),"※自用消耗的去向只能是一矿区或二矿区",IF(AND($K1794="对外销售",COUNTIF({"三矿区";"六矿区"},$L1794)=0),"※对外销售的去向只能是三矿区或六矿区",IF(AND($K1794="对外销售",ROUND($Q1794,0)=0),"※外销却没有售价，请填实际售价",IF(AND($K1794="对外销售",$T1794&lt;&gt;"",$T1794&lt;0),"※这一笔外销是亏的，请核对售价",IF(IFERROR(VLOOKUP($D1794,库存台账!$A$5:$Y$1204,24,0),0)&lt;-0.001,"※这个物料账面已经变成负数了，查一下是不是漏记入库","")))))))))))</f>
        <v/>
      </c>
    </row>
    <row r="1795">
      <c r="A1795" s="24">
        <f>IF($D1795="","",COUNTA($D$4:$D1795))</f>
        <v/>
      </c>
      <c r="B1795" s="17" t="n"/>
      <c r="C1795" s="30" t="n"/>
      <c r="D1795" s="17" t="n"/>
      <c r="E1795" s="24">
        <f>IF($D1795="","",IFERROR(VLOOKUP($D1795,物料档案!$A$4:$P$1203,3,0),"※编码不在物料档案里"))</f>
        <v/>
      </c>
      <c r="F1795" s="24">
        <f>IF($D1795="","",IFERROR(VLOOKUP($D1795,物料档案!$A$4:$P$1203,4,0),"※编码不在物料档案里"))</f>
        <v/>
      </c>
      <c r="G1795" s="24">
        <f>IF($D1795="","",IFERROR(VLOOKUP($D1795,物料档案!$A$4:$P$1203,5,0),"※编码不在物料档案里"))</f>
        <v/>
      </c>
      <c r="H1795" s="24">
        <f>IF($D1795="","",IFERROR(VLOOKUP($D1795,物料档案!$A$4:$P$1203,2,0),"※编码不在物料档案里"))</f>
        <v/>
      </c>
      <c r="I1795" s="24">
        <f>IF($D1795="","",IFERROR(VLOOKUP($D1795,物料档案!$A$4:$P$1203,6,0),"※编码不在物料档案里"))</f>
        <v/>
      </c>
      <c r="J1795" s="23" t="n"/>
      <c r="K1795" s="17" t="n"/>
      <c r="L1795" s="17" t="n"/>
      <c r="M1795" s="17" t="n"/>
      <c r="N1795" s="17" t="n"/>
      <c r="O1795" s="26">
        <f>IF($D1795="","",IFERROR(VLOOKUP($D1795,物料档案!$A$4:$P$1203,10,0),0))</f>
        <v/>
      </c>
      <c r="P1795" s="32" t="n"/>
      <c r="Q1795" s="26">
        <f>IF($D1795="","",IF($K1795&lt;&gt;"对外销售",0,ROUND(N($J1795)*IF($P1795="",N($O1795),N($P1795)),0)))</f>
        <v/>
      </c>
      <c r="R1795" s="26">
        <f>IF($D1795="","",IFERROR(VLOOKUP($D1795,库存台账!$A$5:$Y$1204,11,0),0))</f>
        <v/>
      </c>
      <c r="S1795" s="26">
        <f>IF($D1795="","",ROUND(N($J1795)*N($R1795),0))</f>
        <v/>
      </c>
      <c r="T1795" s="26">
        <f>IF($D1795="","",IF($K1795&lt;&gt;"对外销售","",ROUND($Q1795-$S1795,0)))</f>
        <v/>
      </c>
      <c r="U1795" s="17" t="n"/>
      <c r="V1795" s="17" t="n"/>
      <c r="W1795" s="24">
        <f>IF($D1795="","",IF($E1795="※编码不在物料档案里","※物料编码不在档案里",IF(N($J1795)&lt;=0,"※出库数量要大于 0",IF($K1795="","※没填去向类型",IF($L1795="","※没填去向矿区",IF(AND($C1795&lt;&gt;"",$C1795&lt;=结账锁),"※日期早于已结账截止日，不能再录",IF(AND($K1795="自用消耗",COUNTIF({"一矿区";"二矿区"},$L1795)=0),"※自用消耗的去向只能是一矿区或二矿区",IF(AND($K1795="对外销售",COUNTIF({"三矿区";"六矿区"},$L1795)=0),"※对外销售的去向只能是三矿区或六矿区",IF(AND($K1795="对外销售",ROUND($Q1795,0)=0),"※外销却没有售价，请填实际售价",IF(AND($K1795="对外销售",$T1795&lt;&gt;"",$T1795&lt;0),"※这一笔外销是亏的，请核对售价",IF(IFERROR(VLOOKUP($D1795,库存台账!$A$5:$Y$1204,24,0),0)&lt;-0.001,"※这个物料账面已经变成负数了，查一下是不是漏记入库","")))))))))))</f>
        <v/>
      </c>
    </row>
    <row r="1796">
      <c r="A1796" s="24">
        <f>IF($D1796="","",COUNTA($D$4:$D1796))</f>
        <v/>
      </c>
      <c r="B1796" s="17" t="n"/>
      <c r="C1796" s="30" t="n"/>
      <c r="D1796" s="17" t="n"/>
      <c r="E1796" s="24">
        <f>IF($D1796="","",IFERROR(VLOOKUP($D1796,物料档案!$A$4:$P$1203,3,0),"※编码不在物料档案里"))</f>
        <v/>
      </c>
      <c r="F1796" s="24">
        <f>IF($D1796="","",IFERROR(VLOOKUP($D1796,物料档案!$A$4:$P$1203,4,0),"※编码不在物料档案里"))</f>
        <v/>
      </c>
      <c r="G1796" s="24">
        <f>IF($D1796="","",IFERROR(VLOOKUP($D1796,物料档案!$A$4:$P$1203,5,0),"※编码不在物料档案里"))</f>
        <v/>
      </c>
      <c r="H1796" s="24">
        <f>IF($D1796="","",IFERROR(VLOOKUP($D1796,物料档案!$A$4:$P$1203,2,0),"※编码不在物料档案里"))</f>
        <v/>
      </c>
      <c r="I1796" s="24">
        <f>IF($D1796="","",IFERROR(VLOOKUP($D1796,物料档案!$A$4:$P$1203,6,0),"※编码不在物料档案里"))</f>
        <v/>
      </c>
      <c r="J1796" s="23" t="n"/>
      <c r="K1796" s="17" t="n"/>
      <c r="L1796" s="17" t="n"/>
      <c r="M1796" s="17" t="n"/>
      <c r="N1796" s="17" t="n"/>
      <c r="O1796" s="26">
        <f>IF($D1796="","",IFERROR(VLOOKUP($D1796,物料档案!$A$4:$P$1203,10,0),0))</f>
        <v/>
      </c>
      <c r="P1796" s="32" t="n"/>
      <c r="Q1796" s="26">
        <f>IF($D1796="","",IF($K1796&lt;&gt;"对外销售",0,ROUND(N($J1796)*IF($P1796="",N($O1796),N($P1796)),0)))</f>
        <v/>
      </c>
      <c r="R1796" s="26">
        <f>IF($D1796="","",IFERROR(VLOOKUP($D1796,库存台账!$A$5:$Y$1204,11,0),0))</f>
        <v/>
      </c>
      <c r="S1796" s="26">
        <f>IF($D1796="","",ROUND(N($J1796)*N($R1796),0))</f>
        <v/>
      </c>
      <c r="T1796" s="26">
        <f>IF($D1796="","",IF($K1796&lt;&gt;"对外销售","",ROUND($Q1796-$S1796,0)))</f>
        <v/>
      </c>
      <c r="U1796" s="17" t="n"/>
      <c r="V1796" s="17" t="n"/>
      <c r="W1796" s="24">
        <f>IF($D1796="","",IF($E1796="※编码不在物料档案里","※物料编码不在档案里",IF(N($J1796)&lt;=0,"※出库数量要大于 0",IF($K1796="","※没填去向类型",IF($L1796="","※没填去向矿区",IF(AND($C1796&lt;&gt;"",$C1796&lt;=结账锁),"※日期早于已结账截止日，不能再录",IF(AND($K1796="自用消耗",COUNTIF({"一矿区";"二矿区"},$L1796)=0),"※自用消耗的去向只能是一矿区或二矿区",IF(AND($K1796="对外销售",COUNTIF({"三矿区";"六矿区"},$L1796)=0),"※对外销售的去向只能是三矿区或六矿区",IF(AND($K1796="对外销售",ROUND($Q1796,0)=0),"※外销却没有售价，请填实际售价",IF(AND($K1796="对外销售",$T1796&lt;&gt;"",$T1796&lt;0),"※这一笔外销是亏的，请核对售价",IF(IFERROR(VLOOKUP($D1796,库存台账!$A$5:$Y$1204,24,0),0)&lt;-0.001,"※这个物料账面已经变成负数了，查一下是不是漏记入库","")))))))))))</f>
        <v/>
      </c>
    </row>
    <row r="1797">
      <c r="A1797" s="24">
        <f>IF($D1797="","",COUNTA($D$4:$D1797))</f>
        <v/>
      </c>
      <c r="B1797" s="17" t="n"/>
      <c r="C1797" s="30" t="n"/>
      <c r="D1797" s="17" t="n"/>
      <c r="E1797" s="24">
        <f>IF($D1797="","",IFERROR(VLOOKUP($D1797,物料档案!$A$4:$P$1203,3,0),"※编码不在物料档案里"))</f>
        <v/>
      </c>
      <c r="F1797" s="24">
        <f>IF($D1797="","",IFERROR(VLOOKUP($D1797,物料档案!$A$4:$P$1203,4,0),"※编码不在物料档案里"))</f>
        <v/>
      </c>
      <c r="G1797" s="24">
        <f>IF($D1797="","",IFERROR(VLOOKUP($D1797,物料档案!$A$4:$P$1203,5,0),"※编码不在物料档案里"))</f>
        <v/>
      </c>
      <c r="H1797" s="24">
        <f>IF($D1797="","",IFERROR(VLOOKUP($D1797,物料档案!$A$4:$P$1203,2,0),"※编码不在物料档案里"))</f>
        <v/>
      </c>
      <c r="I1797" s="24">
        <f>IF($D1797="","",IFERROR(VLOOKUP($D1797,物料档案!$A$4:$P$1203,6,0),"※编码不在物料档案里"))</f>
        <v/>
      </c>
      <c r="J1797" s="23" t="n"/>
      <c r="K1797" s="17" t="n"/>
      <c r="L1797" s="17" t="n"/>
      <c r="M1797" s="17" t="n"/>
      <c r="N1797" s="17" t="n"/>
      <c r="O1797" s="26">
        <f>IF($D1797="","",IFERROR(VLOOKUP($D1797,物料档案!$A$4:$P$1203,10,0),0))</f>
        <v/>
      </c>
      <c r="P1797" s="32" t="n"/>
      <c r="Q1797" s="26">
        <f>IF($D1797="","",IF($K1797&lt;&gt;"对外销售",0,ROUND(N($J1797)*IF($P1797="",N($O1797),N($P1797)),0)))</f>
        <v/>
      </c>
      <c r="R1797" s="26">
        <f>IF($D1797="","",IFERROR(VLOOKUP($D1797,库存台账!$A$5:$Y$1204,11,0),0))</f>
        <v/>
      </c>
      <c r="S1797" s="26">
        <f>IF($D1797="","",ROUND(N($J1797)*N($R1797),0))</f>
        <v/>
      </c>
      <c r="T1797" s="26">
        <f>IF($D1797="","",IF($K1797&lt;&gt;"对外销售","",ROUND($Q1797-$S1797,0)))</f>
        <v/>
      </c>
      <c r="U1797" s="17" t="n"/>
      <c r="V1797" s="17" t="n"/>
      <c r="W1797" s="24">
        <f>IF($D1797="","",IF($E1797="※编码不在物料档案里","※物料编码不在档案里",IF(N($J1797)&lt;=0,"※出库数量要大于 0",IF($K1797="","※没填去向类型",IF($L1797="","※没填去向矿区",IF(AND($C1797&lt;&gt;"",$C1797&lt;=结账锁),"※日期早于已结账截止日，不能再录",IF(AND($K1797="自用消耗",COUNTIF({"一矿区";"二矿区"},$L1797)=0),"※自用消耗的去向只能是一矿区或二矿区",IF(AND($K1797="对外销售",COUNTIF({"三矿区";"六矿区"},$L1797)=0),"※对外销售的去向只能是三矿区或六矿区",IF(AND($K1797="对外销售",ROUND($Q1797,0)=0),"※外销却没有售价，请填实际售价",IF(AND($K1797="对外销售",$T1797&lt;&gt;"",$T1797&lt;0),"※这一笔外销是亏的，请核对售价",IF(IFERROR(VLOOKUP($D1797,库存台账!$A$5:$Y$1204,24,0),0)&lt;-0.001,"※这个物料账面已经变成负数了，查一下是不是漏记入库","")))))))))))</f>
        <v/>
      </c>
    </row>
    <row r="1798">
      <c r="A1798" s="24">
        <f>IF($D1798="","",COUNTA($D$4:$D1798))</f>
        <v/>
      </c>
      <c r="B1798" s="17" t="n"/>
      <c r="C1798" s="30" t="n"/>
      <c r="D1798" s="17" t="n"/>
      <c r="E1798" s="24">
        <f>IF($D1798="","",IFERROR(VLOOKUP($D1798,物料档案!$A$4:$P$1203,3,0),"※编码不在物料档案里"))</f>
        <v/>
      </c>
      <c r="F1798" s="24">
        <f>IF($D1798="","",IFERROR(VLOOKUP($D1798,物料档案!$A$4:$P$1203,4,0),"※编码不在物料档案里"))</f>
        <v/>
      </c>
      <c r="G1798" s="24">
        <f>IF($D1798="","",IFERROR(VLOOKUP($D1798,物料档案!$A$4:$P$1203,5,0),"※编码不在物料档案里"))</f>
        <v/>
      </c>
      <c r="H1798" s="24">
        <f>IF($D1798="","",IFERROR(VLOOKUP($D1798,物料档案!$A$4:$P$1203,2,0),"※编码不在物料档案里"))</f>
        <v/>
      </c>
      <c r="I1798" s="24">
        <f>IF($D1798="","",IFERROR(VLOOKUP($D1798,物料档案!$A$4:$P$1203,6,0),"※编码不在物料档案里"))</f>
        <v/>
      </c>
      <c r="J1798" s="23" t="n"/>
      <c r="K1798" s="17" t="n"/>
      <c r="L1798" s="17" t="n"/>
      <c r="M1798" s="17" t="n"/>
      <c r="N1798" s="17" t="n"/>
      <c r="O1798" s="26">
        <f>IF($D1798="","",IFERROR(VLOOKUP($D1798,物料档案!$A$4:$P$1203,10,0),0))</f>
        <v/>
      </c>
      <c r="P1798" s="32" t="n"/>
      <c r="Q1798" s="26">
        <f>IF($D1798="","",IF($K1798&lt;&gt;"对外销售",0,ROUND(N($J1798)*IF($P1798="",N($O1798),N($P1798)),0)))</f>
        <v/>
      </c>
      <c r="R1798" s="26">
        <f>IF($D1798="","",IFERROR(VLOOKUP($D1798,库存台账!$A$5:$Y$1204,11,0),0))</f>
        <v/>
      </c>
      <c r="S1798" s="26">
        <f>IF($D1798="","",ROUND(N($J1798)*N($R1798),0))</f>
        <v/>
      </c>
      <c r="T1798" s="26">
        <f>IF($D1798="","",IF($K1798&lt;&gt;"对外销售","",ROUND($Q1798-$S1798,0)))</f>
        <v/>
      </c>
      <c r="U1798" s="17" t="n"/>
      <c r="V1798" s="17" t="n"/>
      <c r="W1798" s="24">
        <f>IF($D1798="","",IF($E1798="※编码不在物料档案里","※物料编码不在档案里",IF(N($J1798)&lt;=0,"※出库数量要大于 0",IF($K1798="","※没填去向类型",IF($L1798="","※没填去向矿区",IF(AND($C1798&lt;&gt;"",$C1798&lt;=结账锁),"※日期早于已结账截止日，不能再录",IF(AND($K1798="自用消耗",COUNTIF({"一矿区";"二矿区"},$L1798)=0),"※自用消耗的去向只能是一矿区或二矿区",IF(AND($K1798="对外销售",COUNTIF({"三矿区";"六矿区"},$L1798)=0),"※对外销售的去向只能是三矿区或六矿区",IF(AND($K1798="对外销售",ROUND($Q1798,0)=0),"※外销却没有售价，请填实际售价",IF(AND($K1798="对外销售",$T1798&lt;&gt;"",$T1798&lt;0),"※这一笔外销是亏的，请核对售价",IF(IFERROR(VLOOKUP($D1798,库存台账!$A$5:$Y$1204,24,0),0)&lt;-0.001,"※这个物料账面已经变成负数了，查一下是不是漏记入库","")))))))))))</f>
        <v/>
      </c>
    </row>
    <row r="1799">
      <c r="A1799" s="24">
        <f>IF($D1799="","",COUNTA($D$4:$D1799))</f>
        <v/>
      </c>
      <c r="B1799" s="17" t="n"/>
      <c r="C1799" s="30" t="n"/>
      <c r="D1799" s="17" t="n"/>
      <c r="E1799" s="24">
        <f>IF($D1799="","",IFERROR(VLOOKUP($D1799,物料档案!$A$4:$P$1203,3,0),"※编码不在物料档案里"))</f>
        <v/>
      </c>
      <c r="F1799" s="24">
        <f>IF($D1799="","",IFERROR(VLOOKUP($D1799,物料档案!$A$4:$P$1203,4,0),"※编码不在物料档案里"))</f>
        <v/>
      </c>
      <c r="G1799" s="24">
        <f>IF($D1799="","",IFERROR(VLOOKUP($D1799,物料档案!$A$4:$P$1203,5,0),"※编码不在物料档案里"))</f>
        <v/>
      </c>
      <c r="H1799" s="24">
        <f>IF($D1799="","",IFERROR(VLOOKUP($D1799,物料档案!$A$4:$P$1203,2,0),"※编码不在物料档案里"))</f>
        <v/>
      </c>
      <c r="I1799" s="24">
        <f>IF($D1799="","",IFERROR(VLOOKUP($D1799,物料档案!$A$4:$P$1203,6,0),"※编码不在物料档案里"))</f>
        <v/>
      </c>
      <c r="J1799" s="23" t="n"/>
      <c r="K1799" s="17" t="n"/>
      <c r="L1799" s="17" t="n"/>
      <c r="M1799" s="17" t="n"/>
      <c r="N1799" s="17" t="n"/>
      <c r="O1799" s="26">
        <f>IF($D1799="","",IFERROR(VLOOKUP($D1799,物料档案!$A$4:$P$1203,10,0),0))</f>
        <v/>
      </c>
      <c r="P1799" s="32" t="n"/>
      <c r="Q1799" s="26">
        <f>IF($D1799="","",IF($K1799&lt;&gt;"对外销售",0,ROUND(N($J1799)*IF($P1799="",N($O1799),N($P1799)),0)))</f>
        <v/>
      </c>
      <c r="R1799" s="26">
        <f>IF($D1799="","",IFERROR(VLOOKUP($D1799,库存台账!$A$5:$Y$1204,11,0),0))</f>
        <v/>
      </c>
      <c r="S1799" s="26">
        <f>IF($D1799="","",ROUND(N($J1799)*N($R1799),0))</f>
        <v/>
      </c>
      <c r="T1799" s="26">
        <f>IF($D1799="","",IF($K1799&lt;&gt;"对外销售","",ROUND($Q1799-$S1799,0)))</f>
        <v/>
      </c>
      <c r="U1799" s="17" t="n"/>
      <c r="V1799" s="17" t="n"/>
      <c r="W1799" s="24">
        <f>IF($D1799="","",IF($E1799="※编码不在物料档案里","※物料编码不在档案里",IF(N($J1799)&lt;=0,"※出库数量要大于 0",IF($K1799="","※没填去向类型",IF($L1799="","※没填去向矿区",IF(AND($C1799&lt;&gt;"",$C1799&lt;=结账锁),"※日期早于已结账截止日，不能再录",IF(AND($K1799="自用消耗",COUNTIF({"一矿区";"二矿区"},$L1799)=0),"※自用消耗的去向只能是一矿区或二矿区",IF(AND($K1799="对外销售",COUNTIF({"三矿区";"六矿区"},$L1799)=0),"※对外销售的去向只能是三矿区或六矿区",IF(AND($K1799="对外销售",ROUND($Q1799,0)=0),"※外销却没有售价，请填实际售价",IF(AND($K1799="对外销售",$T1799&lt;&gt;"",$T1799&lt;0),"※这一笔外销是亏的，请核对售价",IF(IFERROR(VLOOKUP($D1799,库存台账!$A$5:$Y$1204,24,0),0)&lt;-0.001,"※这个物料账面已经变成负数了，查一下是不是漏记入库","")))))))))))</f>
        <v/>
      </c>
    </row>
    <row r="1800">
      <c r="A1800" s="24">
        <f>IF($D1800="","",COUNTA($D$4:$D1800))</f>
        <v/>
      </c>
      <c r="B1800" s="17" t="n"/>
      <c r="C1800" s="30" t="n"/>
      <c r="D1800" s="17" t="n"/>
      <c r="E1800" s="24">
        <f>IF($D1800="","",IFERROR(VLOOKUP($D1800,物料档案!$A$4:$P$1203,3,0),"※编码不在物料档案里"))</f>
        <v/>
      </c>
      <c r="F1800" s="24">
        <f>IF($D1800="","",IFERROR(VLOOKUP($D1800,物料档案!$A$4:$P$1203,4,0),"※编码不在物料档案里"))</f>
        <v/>
      </c>
      <c r="G1800" s="24">
        <f>IF($D1800="","",IFERROR(VLOOKUP($D1800,物料档案!$A$4:$P$1203,5,0),"※编码不在物料档案里"))</f>
        <v/>
      </c>
      <c r="H1800" s="24">
        <f>IF($D1800="","",IFERROR(VLOOKUP($D1800,物料档案!$A$4:$P$1203,2,0),"※编码不在物料档案里"))</f>
        <v/>
      </c>
      <c r="I1800" s="24">
        <f>IF($D1800="","",IFERROR(VLOOKUP($D1800,物料档案!$A$4:$P$1203,6,0),"※编码不在物料档案里"))</f>
        <v/>
      </c>
      <c r="J1800" s="23" t="n"/>
      <c r="K1800" s="17" t="n"/>
      <c r="L1800" s="17" t="n"/>
      <c r="M1800" s="17" t="n"/>
      <c r="N1800" s="17" t="n"/>
      <c r="O1800" s="26">
        <f>IF($D1800="","",IFERROR(VLOOKUP($D1800,物料档案!$A$4:$P$1203,10,0),0))</f>
        <v/>
      </c>
      <c r="P1800" s="32" t="n"/>
      <c r="Q1800" s="26">
        <f>IF($D1800="","",IF($K1800&lt;&gt;"对外销售",0,ROUND(N($J1800)*IF($P1800="",N($O1800),N($P1800)),0)))</f>
        <v/>
      </c>
      <c r="R1800" s="26">
        <f>IF($D1800="","",IFERROR(VLOOKUP($D1800,库存台账!$A$5:$Y$1204,11,0),0))</f>
        <v/>
      </c>
      <c r="S1800" s="26">
        <f>IF($D1800="","",ROUND(N($J1800)*N($R1800),0))</f>
        <v/>
      </c>
      <c r="T1800" s="26">
        <f>IF($D1800="","",IF($K1800&lt;&gt;"对外销售","",ROUND($Q1800-$S1800,0)))</f>
        <v/>
      </c>
      <c r="U1800" s="17" t="n"/>
      <c r="V1800" s="17" t="n"/>
      <c r="W1800" s="24">
        <f>IF($D1800="","",IF($E1800="※编码不在物料档案里","※物料编码不在档案里",IF(N($J1800)&lt;=0,"※出库数量要大于 0",IF($K1800="","※没填去向类型",IF($L1800="","※没填去向矿区",IF(AND($C1800&lt;&gt;"",$C1800&lt;=结账锁),"※日期早于已结账截止日，不能再录",IF(AND($K1800="自用消耗",COUNTIF({"一矿区";"二矿区"},$L1800)=0),"※自用消耗的去向只能是一矿区或二矿区",IF(AND($K1800="对外销售",COUNTIF({"三矿区";"六矿区"},$L1800)=0),"※对外销售的去向只能是三矿区或六矿区",IF(AND($K1800="对外销售",ROUND($Q1800,0)=0),"※外销却没有售价，请填实际售价",IF(AND($K1800="对外销售",$T1800&lt;&gt;"",$T1800&lt;0),"※这一笔外销是亏的，请核对售价",IF(IFERROR(VLOOKUP($D1800,库存台账!$A$5:$Y$1204,24,0),0)&lt;-0.001,"※这个物料账面已经变成负数了，查一下是不是漏记入库","")))))))))))</f>
        <v/>
      </c>
    </row>
    <row r="1801">
      <c r="A1801" s="24">
        <f>IF($D1801="","",COUNTA($D$4:$D1801))</f>
        <v/>
      </c>
      <c r="B1801" s="17" t="n"/>
      <c r="C1801" s="30" t="n"/>
      <c r="D1801" s="17" t="n"/>
      <c r="E1801" s="24">
        <f>IF($D1801="","",IFERROR(VLOOKUP($D1801,物料档案!$A$4:$P$1203,3,0),"※编码不在物料档案里"))</f>
        <v/>
      </c>
      <c r="F1801" s="24">
        <f>IF($D1801="","",IFERROR(VLOOKUP($D1801,物料档案!$A$4:$P$1203,4,0),"※编码不在物料档案里"))</f>
        <v/>
      </c>
      <c r="G1801" s="24">
        <f>IF($D1801="","",IFERROR(VLOOKUP($D1801,物料档案!$A$4:$P$1203,5,0),"※编码不在物料档案里"))</f>
        <v/>
      </c>
      <c r="H1801" s="24">
        <f>IF($D1801="","",IFERROR(VLOOKUP($D1801,物料档案!$A$4:$P$1203,2,0),"※编码不在物料档案里"))</f>
        <v/>
      </c>
      <c r="I1801" s="24">
        <f>IF($D1801="","",IFERROR(VLOOKUP($D1801,物料档案!$A$4:$P$1203,6,0),"※编码不在物料档案里"))</f>
        <v/>
      </c>
      <c r="J1801" s="23" t="n"/>
      <c r="K1801" s="17" t="n"/>
      <c r="L1801" s="17" t="n"/>
      <c r="M1801" s="17" t="n"/>
      <c r="N1801" s="17" t="n"/>
      <c r="O1801" s="26">
        <f>IF($D1801="","",IFERROR(VLOOKUP($D1801,物料档案!$A$4:$P$1203,10,0),0))</f>
        <v/>
      </c>
      <c r="P1801" s="32" t="n"/>
      <c r="Q1801" s="26">
        <f>IF($D1801="","",IF($K1801&lt;&gt;"对外销售",0,ROUND(N($J1801)*IF($P1801="",N($O1801),N($P1801)),0)))</f>
        <v/>
      </c>
      <c r="R1801" s="26">
        <f>IF($D1801="","",IFERROR(VLOOKUP($D1801,库存台账!$A$5:$Y$1204,11,0),0))</f>
        <v/>
      </c>
      <c r="S1801" s="26">
        <f>IF($D1801="","",ROUND(N($J1801)*N($R1801),0))</f>
        <v/>
      </c>
      <c r="T1801" s="26">
        <f>IF($D1801="","",IF($K1801&lt;&gt;"对外销售","",ROUND($Q1801-$S1801,0)))</f>
        <v/>
      </c>
      <c r="U1801" s="17" t="n"/>
      <c r="V1801" s="17" t="n"/>
      <c r="W1801" s="24">
        <f>IF($D1801="","",IF($E1801="※编码不在物料档案里","※物料编码不在档案里",IF(N($J1801)&lt;=0,"※出库数量要大于 0",IF($K1801="","※没填去向类型",IF($L1801="","※没填去向矿区",IF(AND($C1801&lt;&gt;"",$C1801&lt;=结账锁),"※日期早于已结账截止日，不能再录",IF(AND($K1801="自用消耗",COUNTIF({"一矿区";"二矿区"},$L1801)=0),"※自用消耗的去向只能是一矿区或二矿区",IF(AND($K1801="对外销售",COUNTIF({"三矿区";"六矿区"},$L1801)=0),"※对外销售的去向只能是三矿区或六矿区",IF(AND($K1801="对外销售",ROUND($Q1801,0)=0),"※外销却没有售价，请填实际售价",IF(AND($K1801="对外销售",$T1801&lt;&gt;"",$T1801&lt;0),"※这一笔外销是亏的，请核对售价",IF(IFERROR(VLOOKUP($D1801,库存台账!$A$5:$Y$1204,24,0),0)&lt;-0.001,"※这个物料账面已经变成负数了，查一下是不是漏记入库","")))))))))))</f>
        <v/>
      </c>
    </row>
    <row r="1802">
      <c r="A1802" s="24">
        <f>IF($D1802="","",COUNTA($D$4:$D1802))</f>
        <v/>
      </c>
      <c r="B1802" s="17" t="n"/>
      <c r="C1802" s="30" t="n"/>
      <c r="D1802" s="17" t="n"/>
      <c r="E1802" s="24">
        <f>IF($D1802="","",IFERROR(VLOOKUP($D1802,物料档案!$A$4:$P$1203,3,0),"※编码不在物料档案里"))</f>
        <v/>
      </c>
      <c r="F1802" s="24">
        <f>IF($D1802="","",IFERROR(VLOOKUP($D1802,物料档案!$A$4:$P$1203,4,0),"※编码不在物料档案里"))</f>
        <v/>
      </c>
      <c r="G1802" s="24">
        <f>IF($D1802="","",IFERROR(VLOOKUP($D1802,物料档案!$A$4:$P$1203,5,0),"※编码不在物料档案里"))</f>
        <v/>
      </c>
      <c r="H1802" s="24">
        <f>IF($D1802="","",IFERROR(VLOOKUP($D1802,物料档案!$A$4:$P$1203,2,0),"※编码不在物料档案里"))</f>
        <v/>
      </c>
      <c r="I1802" s="24">
        <f>IF($D1802="","",IFERROR(VLOOKUP($D1802,物料档案!$A$4:$P$1203,6,0),"※编码不在物料档案里"))</f>
        <v/>
      </c>
      <c r="J1802" s="23" t="n"/>
      <c r="K1802" s="17" t="n"/>
      <c r="L1802" s="17" t="n"/>
      <c r="M1802" s="17" t="n"/>
      <c r="N1802" s="17" t="n"/>
      <c r="O1802" s="26">
        <f>IF($D1802="","",IFERROR(VLOOKUP($D1802,物料档案!$A$4:$P$1203,10,0),0))</f>
        <v/>
      </c>
      <c r="P1802" s="32" t="n"/>
      <c r="Q1802" s="26">
        <f>IF($D1802="","",IF($K1802&lt;&gt;"对外销售",0,ROUND(N($J1802)*IF($P1802="",N($O1802),N($P1802)),0)))</f>
        <v/>
      </c>
      <c r="R1802" s="26">
        <f>IF($D1802="","",IFERROR(VLOOKUP($D1802,库存台账!$A$5:$Y$1204,11,0),0))</f>
        <v/>
      </c>
      <c r="S1802" s="26">
        <f>IF($D1802="","",ROUND(N($J1802)*N($R1802),0))</f>
        <v/>
      </c>
      <c r="T1802" s="26">
        <f>IF($D1802="","",IF($K1802&lt;&gt;"对外销售","",ROUND($Q1802-$S1802,0)))</f>
        <v/>
      </c>
      <c r="U1802" s="17" t="n"/>
      <c r="V1802" s="17" t="n"/>
      <c r="W1802" s="24">
        <f>IF($D1802="","",IF($E1802="※编码不在物料档案里","※物料编码不在档案里",IF(N($J1802)&lt;=0,"※出库数量要大于 0",IF($K1802="","※没填去向类型",IF($L1802="","※没填去向矿区",IF(AND($C1802&lt;&gt;"",$C1802&lt;=结账锁),"※日期早于已结账截止日，不能再录",IF(AND($K1802="自用消耗",COUNTIF({"一矿区";"二矿区"},$L1802)=0),"※自用消耗的去向只能是一矿区或二矿区",IF(AND($K1802="对外销售",COUNTIF({"三矿区";"六矿区"},$L1802)=0),"※对外销售的去向只能是三矿区或六矿区",IF(AND($K1802="对外销售",ROUND($Q1802,0)=0),"※外销却没有售价，请填实际售价",IF(AND($K1802="对外销售",$T1802&lt;&gt;"",$T1802&lt;0),"※这一笔外销是亏的，请核对售价",IF(IFERROR(VLOOKUP($D1802,库存台账!$A$5:$Y$1204,24,0),0)&lt;-0.001,"※这个物料账面已经变成负数了，查一下是不是漏记入库","")))))))))))</f>
        <v/>
      </c>
    </row>
    <row r="1803">
      <c r="A1803" s="24">
        <f>IF($D1803="","",COUNTA($D$4:$D1803))</f>
        <v/>
      </c>
      <c r="B1803" s="17" t="n"/>
      <c r="C1803" s="30" t="n"/>
      <c r="D1803" s="17" t="n"/>
      <c r="E1803" s="24">
        <f>IF($D1803="","",IFERROR(VLOOKUP($D1803,物料档案!$A$4:$P$1203,3,0),"※编码不在物料档案里"))</f>
        <v/>
      </c>
      <c r="F1803" s="24">
        <f>IF($D1803="","",IFERROR(VLOOKUP($D1803,物料档案!$A$4:$P$1203,4,0),"※编码不在物料档案里"))</f>
        <v/>
      </c>
      <c r="G1803" s="24">
        <f>IF($D1803="","",IFERROR(VLOOKUP($D1803,物料档案!$A$4:$P$1203,5,0),"※编码不在物料档案里"))</f>
        <v/>
      </c>
      <c r="H1803" s="24">
        <f>IF($D1803="","",IFERROR(VLOOKUP($D1803,物料档案!$A$4:$P$1203,2,0),"※编码不在物料档案里"))</f>
        <v/>
      </c>
      <c r="I1803" s="24">
        <f>IF($D1803="","",IFERROR(VLOOKUP($D1803,物料档案!$A$4:$P$1203,6,0),"※编码不在物料档案里"))</f>
        <v/>
      </c>
      <c r="J1803" s="23" t="n"/>
      <c r="K1803" s="17" t="n"/>
      <c r="L1803" s="17" t="n"/>
      <c r="M1803" s="17" t="n"/>
      <c r="N1803" s="17" t="n"/>
      <c r="O1803" s="26">
        <f>IF($D1803="","",IFERROR(VLOOKUP($D1803,物料档案!$A$4:$P$1203,10,0),0))</f>
        <v/>
      </c>
      <c r="P1803" s="32" t="n"/>
      <c r="Q1803" s="26">
        <f>IF($D1803="","",IF($K1803&lt;&gt;"对外销售",0,ROUND(N($J1803)*IF($P1803="",N($O1803),N($P1803)),0)))</f>
        <v/>
      </c>
      <c r="R1803" s="26">
        <f>IF($D1803="","",IFERROR(VLOOKUP($D1803,库存台账!$A$5:$Y$1204,11,0),0))</f>
        <v/>
      </c>
      <c r="S1803" s="26">
        <f>IF($D1803="","",ROUND(N($J1803)*N($R1803),0))</f>
        <v/>
      </c>
      <c r="T1803" s="26">
        <f>IF($D1803="","",IF($K1803&lt;&gt;"对外销售","",ROUND($Q1803-$S1803,0)))</f>
        <v/>
      </c>
      <c r="U1803" s="17" t="n"/>
      <c r="V1803" s="17" t="n"/>
      <c r="W1803" s="24">
        <f>IF($D1803="","",IF($E1803="※编码不在物料档案里","※物料编码不在档案里",IF(N($J1803)&lt;=0,"※出库数量要大于 0",IF($K1803="","※没填去向类型",IF($L1803="","※没填去向矿区",IF(AND($C1803&lt;&gt;"",$C1803&lt;=结账锁),"※日期早于已结账截止日，不能再录",IF(AND($K1803="自用消耗",COUNTIF({"一矿区";"二矿区"},$L1803)=0),"※自用消耗的去向只能是一矿区或二矿区",IF(AND($K1803="对外销售",COUNTIF({"三矿区";"六矿区"},$L1803)=0),"※对外销售的去向只能是三矿区或六矿区",IF(AND($K1803="对外销售",ROUND($Q1803,0)=0),"※外销却没有售价，请填实际售价",IF(AND($K1803="对外销售",$T1803&lt;&gt;"",$T1803&lt;0),"※这一笔外销是亏的，请核对售价",IF(IFERROR(VLOOKUP($D1803,库存台账!$A$5:$Y$1204,24,0),0)&lt;-0.001,"※这个物料账面已经变成负数了，查一下是不是漏记入库","")))))))))))</f>
        <v/>
      </c>
    </row>
    <row r="1804">
      <c r="A1804" s="24">
        <f>IF($D1804="","",COUNTA($D$4:$D1804))</f>
        <v/>
      </c>
      <c r="B1804" s="17" t="n"/>
      <c r="C1804" s="30" t="n"/>
      <c r="D1804" s="17" t="n"/>
      <c r="E1804" s="24">
        <f>IF($D1804="","",IFERROR(VLOOKUP($D1804,物料档案!$A$4:$P$1203,3,0),"※编码不在物料档案里"))</f>
        <v/>
      </c>
      <c r="F1804" s="24">
        <f>IF($D1804="","",IFERROR(VLOOKUP($D1804,物料档案!$A$4:$P$1203,4,0),"※编码不在物料档案里"))</f>
        <v/>
      </c>
      <c r="G1804" s="24">
        <f>IF($D1804="","",IFERROR(VLOOKUP($D1804,物料档案!$A$4:$P$1203,5,0),"※编码不在物料档案里"))</f>
        <v/>
      </c>
      <c r="H1804" s="24">
        <f>IF($D1804="","",IFERROR(VLOOKUP($D1804,物料档案!$A$4:$P$1203,2,0),"※编码不在物料档案里"))</f>
        <v/>
      </c>
      <c r="I1804" s="24">
        <f>IF($D1804="","",IFERROR(VLOOKUP($D1804,物料档案!$A$4:$P$1203,6,0),"※编码不在物料档案里"))</f>
        <v/>
      </c>
      <c r="J1804" s="23" t="n"/>
      <c r="K1804" s="17" t="n"/>
      <c r="L1804" s="17" t="n"/>
      <c r="M1804" s="17" t="n"/>
      <c r="N1804" s="17" t="n"/>
      <c r="O1804" s="26">
        <f>IF($D1804="","",IFERROR(VLOOKUP($D1804,物料档案!$A$4:$P$1203,10,0),0))</f>
        <v/>
      </c>
      <c r="P1804" s="32" t="n"/>
      <c r="Q1804" s="26">
        <f>IF($D1804="","",IF($K1804&lt;&gt;"对外销售",0,ROUND(N($J1804)*IF($P1804="",N($O1804),N($P1804)),0)))</f>
        <v/>
      </c>
      <c r="R1804" s="26">
        <f>IF($D1804="","",IFERROR(VLOOKUP($D1804,库存台账!$A$5:$Y$1204,11,0),0))</f>
        <v/>
      </c>
      <c r="S1804" s="26">
        <f>IF($D1804="","",ROUND(N($J1804)*N($R1804),0))</f>
        <v/>
      </c>
      <c r="T1804" s="26">
        <f>IF($D1804="","",IF($K1804&lt;&gt;"对外销售","",ROUND($Q1804-$S1804,0)))</f>
        <v/>
      </c>
      <c r="U1804" s="17" t="n"/>
      <c r="V1804" s="17" t="n"/>
      <c r="W1804" s="24">
        <f>IF($D1804="","",IF($E1804="※编码不在物料档案里","※物料编码不在档案里",IF(N($J1804)&lt;=0,"※出库数量要大于 0",IF($K1804="","※没填去向类型",IF($L1804="","※没填去向矿区",IF(AND($C1804&lt;&gt;"",$C1804&lt;=结账锁),"※日期早于已结账截止日，不能再录",IF(AND($K1804="自用消耗",COUNTIF({"一矿区";"二矿区"},$L1804)=0),"※自用消耗的去向只能是一矿区或二矿区",IF(AND($K1804="对外销售",COUNTIF({"三矿区";"六矿区"},$L1804)=0),"※对外销售的去向只能是三矿区或六矿区",IF(AND($K1804="对外销售",ROUND($Q1804,0)=0),"※外销却没有售价，请填实际售价",IF(AND($K1804="对外销售",$T1804&lt;&gt;"",$T1804&lt;0),"※这一笔外销是亏的，请核对售价",IF(IFERROR(VLOOKUP($D1804,库存台账!$A$5:$Y$1204,24,0),0)&lt;-0.001,"※这个物料账面已经变成负数了，查一下是不是漏记入库","")))))))))))</f>
        <v/>
      </c>
    </row>
    <row r="1805">
      <c r="A1805" s="24">
        <f>IF($D1805="","",COUNTA($D$4:$D1805))</f>
        <v/>
      </c>
      <c r="B1805" s="17" t="n"/>
      <c r="C1805" s="30" t="n"/>
      <c r="D1805" s="17" t="n"/>
      <c r="E1805" s="24">
        <f>IF($D1805="","",IFERROR(VLOOKUP($D1805,物料档案!$A$4:$P$1203,3,0),"※编码不在物料档案里"))</f>
        <v/>
      </c>
      <c r="F1805" s="24">
        <f>IF($D1805="","",IFERROR(VLOOKUP($D1805,物料档案!$A$4:$P$1203,4,0),"※编码不在物料档案里"))</f>
        <v/>
      </c>
      <c r="G1805" s="24">
        <f>IF($D1805="","",IFERROR(VLOOKUP($D1805,物料档案!$A$4:$P$1203,5,0),"※编码不在物料档案里"))</f>
        <v/>
      </c>
      <c r="H1805" s="24">
        <f>IF($D1805="","",IFERROR(VLOOKUP($D1805,物料档案!$A$4:$P$1203,2,0),"※编码不在物料档案里"))</f>
        <v/>
      </c>
      <c r="I1805" s="24">
        <f>IF($D1805="","",IFERROR(VLOOKUP($D1805,物料档案!$A$4:$P$1203,6,0),"※编码不在物料档案里"))</f>
        <v/>
      </c>
      <c r="J1805" s="23" t="n"/>
      <c r="K1805" s="17" t="n"/>
      <c r="L1805" s="17" t="n"/>
      <c r="M1805" s="17" t="n"/>
      <c r="N1805" s="17" t="n"/>
      <c r="O1805" s="26">
        <f>IF($D1805="","",IFERROR(VLOOKUP($D1805,物料档案!$A$4:$P$1203,10,0),0))</f>
        <v/>
      </c>
      <c r="P1805" s="32" t="n"/>
      <c r="Q1805" s="26">
        <f>IF($D1805="","",IF($K1805&lt;&gt;"对外销售",0,ROUND(N($J1805)*IF($P1805="",N($O1805),N($P1805)),0)))</f>
        <v/>
      </c>
      <c r="R1805" s="26">
        <f>IF($D1805="","",IFERROR(VLOOKUP($D1805,库存台账!$A$5:$Y$1204,11,0),0))</f>
        <v/>
      </c>
      <c r="S1805" s="26">
        <f>IF($D1805="","",ROUND(N($J1805)*N($R1805),0))</f>
        <v/>
      </c>
      <c r="T1805" s="26">
        <f>IF($D1805="","",IF($K1805&lt;&gt;"对外销售","",ROUND($Q1805-$S1805,0)))</f>
        <v/>
      </c>
      <c r="U1805" s="17" t="n"/>
      <c r="V1805" s="17" t="n"/>
      <c r="W1805" s="24">
        <f>IF($D1805="","",IF($E1805="※编码不在物料档案里","※物料编码不在档案里",IF(N($J1805)&lt;=0,"※出库数量要大于 0",IF($K1805="","※没填去向类型",IF($L1805="","※没填去向矿区",IF(AND($C1805&lt;&gt;"",$C1805&lt;=结账锁),"※日期早于已结账截止日，不能再录",IF(AND($K1805="自用消耗",COUNTIF({"一矿区";"二矿区"},$L1805)=0),"※自用消耗的去向只能是一矿区或二矿区",IF(AND($K1805="对外销售",COUNTIF({"三矿区";"六矿区"},$L1805)=0),"※对外销售的去向只能是三矿区或六矿区",IF(AND($K1805="对外销售",ROUND($Q1805,0)=0),"※外销却没有售价，请填实际售价",IF(AND($K1805="对外销售",$T1805&lt;&gt;"",$T1805&lt;0),"※这一笔外销是亏的，请核对售价",IF(IFERROR(VLOOKUP($D1805,库存台账!$A$5:$Y$1204,24,0),0)&lt;-0.001,"※这个物料账面已经变成负数了，查一下是不是漏记入库","")))))))))))</f>
        <v/>
      </c>
    </row>
    <row r="1806">
      <c r="A1806" s="24">
        <f>IF($D1806="","",COUNTA($D$4:$D1806))</f>
        <v/>
      </c>
      <c r="B1806" s="17" t="n"/>
      <c r="C1806" s="30" t="n"/>
      <c r="D1806" s="17" t="n"/>
      <c r="E1806" s="24">
        <f>IF($D1806="","",IFERROR(VLOOKUP($D1806,物料档案!$A$4:$P$1203,3,0),"※编码不在物料档案里"))</f>
        <v/>
      </c>
      <c r="F1806" s="24">
        <f>IF($D1806="","",IFERROR(VLOOKUP($D1806,物料档案!$A$4:$P$1203,4,0),"※编码不在物料档案里"))</f>
        <v/>
      </c>
      <c r="G1806" s="24">
        <f>IF($D1806="","",IFERROR(VLOOKUP($D1806,物料档案!$A$4:$P$1203,5,0),"※编码不在物料档案里"))</f>
        <v/>
      </c>
      <c r="H1806" s="24">
        <f>IF($D1806="","",IFERROR(VLOOKUP($D1806,物料档案!$A$4:$P$1203,2,0),"※编码不在物料档案里"))</f>
        <v/>
      </c>
      <c r="I1806" s="24">
        <f>IF($D1806="","",IFERROR(VLOOKUP($D1806,物料档案!$A$4:$P$1203,6,0),"※编码不在物料档案里"))</f>
        <v/>
      </c>
      <c r="J1806" s="23" t="n"/>
      <c r="K1806" s="17" t="n"/>
      <c r="L1806" s="17" t="n"/>
      <c r="M1806" s="17" t="n"/>
      <c r="N1806" s="17" t="n"/>
      <c r="O1806" s="26">
        <f>IF($D1806="","",IFERROR(VLOOKUP($D1806,物料档案!$A$4:$P$1203,10,0),0))</f>
        <v/>
      </c>
      <c r="P1806" s="32" t="n"/>
      <c r="Q1806" s="26">
        <f>IF($D1806="","",IF($K1806&lt;&gt;"对外销售",0,ROUND(N($J1806)*IF($P1806="",N($O1806),N($P1806)),0)))</f>
        <v/>
      </c>
      <c r="R1806" s="26">
        <f>IF($D1806="","",IFERROR(VLOOKUP($D1806,库存台账!$A$5:$Y$1204,11,0),0))</f>
        <v/>
      </c>
      <c r="S1806" s="26">
        <f>IF($D1806="","",ROUND(N($J1806)*N($R1806),0))</f>
        <v/>
      </c>
      <c r="T1806" s="26">
        <f>IF($D1806="","",IF($K1806&lt;&gt;"对外销售","",ROUND($Q1806-$S1806,0)))</f>
        <v/>
      </c>
      <c r="U1806" s="17" t="n"/>
      <c r="V1806" s="17" t="n"/>
      <c r="W1806" s="24">
        <f>IF($D1806="","",IF($E1806="※编码不在物料档案里","※物料编码不在档案里",IF(N($J1806)&lt;=0,"※出库数量要大于 0",IF($K1806="","※没填去向类型",IF($L1806="","※没填去向矿区",IF(AND($C1806&lt;&gt;"",$C1806&lt;=结账锁),"※日期早于已结账截止日，不能再录",IF(AND($K1806="自用消耗",COUNTIF({"一矿区";"二矿区"},$L1806)=0),"※自用消耗的去向只能是一矿区或二矿区",IF(AND($K1806="对外销售",COUNTIF({"三矿区";"六矿区"},$L1806)=0),"※对外销售的去向只能是三矿区或六矿区",IF(AND($K1806="对外销售",ROUND($Q1806,0)=0),"※外销却没有售价，请填实际售价",IF(AND($K1806="对外销售",$T1806&lt;&gt;"",$T1806&lt;0),"※这一笔外销是亏的，请核对售价",IF(IFERROR(VLOOKUP($D1806,库存台账!$A$5:$Y$1204,24,0),0)&lt;-0.001,"※这个物料账面已经变成负数了，查一下是不是漏记入库","")))))))))))</f>
        <v/>
      </c>
    </row>
    <row r="1807">
      <c r="A1807" s="24">
        <f>IF($D1807="","",COUNTA($D$4:$D1807))</f>
        <v/>
      </c>
      <c r="B1807" s="17" t="n"/>
      <c r="C1807" s="30" t="n"/>
      <c r="D1807" s="17" t="n"/>
      <c r="E1807" s="24">
        <f>IF($D1807="","",IFERROR(VLOOKUP($D1807,物料档案!$A$4:$P$1203,3,0),"※编码不在物料档案里"))</f>
        <v/>
      </c>
      <c r="F1807" s="24">
        <f>IF($D1807="","",IFERROR(VLOOKUP($D1807,物料档案!$A$4:$P$1203,4,0),"※编码不在物料档案里"))</f>
        <v/>
      </c>
      <c r="G1807" s="24">
        <f>IF($D1807="","",IFERROR(VLOOKUP($D1807,物料档案!$A$4:$P$1203,5,0),"※编码不在物料档案里"))</f>
        <v/>
      </c>
      <c r="H1807" s="24">
        <f>IF($D1807="","",IFERROR(VLOOKUP($D1807,物料档案!$A$4:$P$1203,2,0),"※编码不在物料档案里"))</f>
        <v/>
      </c>
      <c r="I1807" s="24">
        <f>IF($D1807="","",IFERROR(VLOOKUP($D1807,物料档案!$A$4:$P$1203,6,0),"※编码不在物料档案里"))</f>
        <v/>
      </c>
      <c r="J1807" s="23" t="n"/>
      <c r="K1807" s="17" t="n"/>
      <c r="L1807" s="17" t="n"/>
      <c r="M1807" s="17" t="n"/>
      <c r="N1807" s="17" t="n"/>
      <c r="O1807" s="26">
        <f>IF($D1807="","",IFERROR(VLOOKUP($D1807,物料档案!$A$4:$P$1203,10,0),0))</f>
        <v/>
      </c>
      <c r="P1807" s="32" t="n"/>
      <c r="Q1807" s="26">
        <f>IF($D1807="","",IF($K1807&lt;&gt;"对外销售",0,ROUND(N($J1807)*IF($P1807="",N($O1807),N($P1807)),0)))</f>
        <v/>
      </c>
      <c r="R1807" s="26">
        <f>IF($D1807="","",IFERROR(VLOOKUP($D1807,库存台账!$A$5:$Y$1204,11,0),0))</f>
        <v/>
      </c>
      <c r="S1807" s="26">
        <f>IF($D1807="","",ROUND(N($J1807)*N($R1807),0))</f>
        <v/>
      </c>
      <c r="T1807" s="26">
        <f>IF($D1807="","",IF($K1807&lt;&gt;"对外销售","",ROUND($Q1807-$S1807,0)))</f>
        <v/>
      </c>
      <c r="U1807" s="17" t="n"/>
      <c r="V1807" s="17" t="n"/>
      <c r="W1807" s="24">
        <f>IF($D1807="","",IF($E1807="※编码不在物料档案里","※物料编码不在档案里",IF(N($J1807)&lt;=0,"※出库数量要大于 0",IF($K1807="","※没填去向类型",IF($L1807="","※没填去向矿区",IF(AND($C1807&lt;&gt;"",$C1807&lt;=结账锁),"※日期早于已结账截止日，不能再录",IF(AND($K1807="自用消耗",COUNTIF({"一矿区";"二矿区"},$L1807)=0),"※自用消耗的去向只能是一矿区或二矿区",IF(AND($K1807="对外销售",COUNTIF({"三矿区";"六矿区"},$L1807)=0),"※对外销售的去向只能是三矿区或六矿区",IF(AND($K1807="对外销售",ROUND($Q1807,0)=0),"※外销却没有售价，请填实际售价",IF(AND($K1807="对外销售",$T1807&lt;&gt;"",$T1807&lt;0),"※这一笔外销是亏的，请核对售价",IF(IFERROR(VLOOKUP($D1807,库存台账!$A$5:$Y$1204,24,0),0)&lt;-0.001,"※这个物料账面已经变成负数了，查一下是不是漏记入库","")))))))))))</f>
        <v/>
      </c>
    </row>
    <row r="1808">
      <c r="A1808" s="24">
        <f>IF($D1808="","",COUNTA($D$4:$D1808))</f>
        <v/>
      </c>
      <c r="B1808" s="17" t="n"/>
      <c r="C1808" s="30" t="n"/>
      <c r="D1808" s="17" t="n"/>
      <c r="E1808" s="24">
        <f>IF($D1808="","",IFERROR(VLOOKUP($D1808,物料档案!$A$4:$P$1203,3,0),"※编码不在物料档案里"))</f>
        <v/>
      </c>
      <c r="F1808" s="24">
        <f>IF($D1808="","",IFERROR(VLOOKUP($D1808,物料档案!$A$4:$P$1203,4,0),"※编码不在物料档案里"))</f>
        <v/>
      </c>
      <c r="G1808" s="24">
        <f>IF($D1808="","",IFERROR(VLOOKUP($D1808,物料档案!$A$4:$P$1203,5,0),"※编码不在物料档案里"))</f>
        <v/>
      </c>
      <c r="H1808" s="24">
        <f>IF($D1808="","",IFERROR(VLOOKUP($D1808,物料档案!$A$4:$P$1203,2,0),"※编码不在物料档案里"))</f>
        <v/>
      </c>
      <c r="I1808" s="24">
        <f>IF($D1808="","",IFERROR(VLOOKUP($D1808,物料档案!$A$4:$P$1203,6,0),"※编码不在物料档案里"))</f>
        <v/>
      </c>
      <c r="J1808" s="23" t="n"/>
      <c r="K1808" s="17" t="n"/>
      <c r="L1808" s="17" t="n"/>
      <c r="M1808" s="17" t="n"/>
      <c r="N1808" s="17" t="n"/>
      <c r="O1808" s="26">
        <f>IF($D1808="","",IFERROR(VLOOKUP($D1808,物料档案!$A$4:$P$1203,10,0),0))</f>
        <v/>
      </c>
      <c r="P1808" s="32" t="n"/>
      <c r="Q1808" s="26">
        <f>IF($D1808="","",IF($K1808&lt;&gt;"对外销售",0,ROUND(N($J1808)*IF($P1808="",N($O1808),N($P1808)),0)))</f>
        <v/>
      </c>
      <c r="R1808" s="26">
        <f>IF($D1808="","",IFERROR(VLOOKUP($D1808,库存台账!$A$5:$Y$1204,11,0),0))</f>
        <v/>
      </c>
      <c r="S1808" s="26">
        <f>IF($D1808="","",ROUND(N($J1808)*N($R1808),0))</f>
        <v/>
      </c>
      <c r="T1808" s="26">
        <f>IF($D1808="","",IF($K1808&lt;&gt;"对外销售","",ROUND($Q1808-$S1808,0)))</f>
        <v/>
      </c>
      <c r="U1808" s="17" t="n"/>
      <c r="V1808" s="17" t="n"/>
      <c r="W1808" s="24">
        <f>IF($D1808="","",IF($E1808="※编码不在物料档案里","※物料编码不在档案里",IF(N($J1808)&lt;=0,"※出库数量要大于 0",IF($K1808="","※没填去向类型",IF($L1808="","※没填去向矿区",IF(AND($C1808&lt;&gt;"",$C1808&lt;=结账锁),"※日期早于已结账截止日，不能再录",IF(AND($K1808="自用消耗",COUNTIF({"一矿区";"二矿区"},$L1808)=0),"※自用消耗的去向只能是一矿区或二矿区",IF(AND($K1808="对外销售",COUNTIF({"三矿区";"六矿区"},$L1808)=0),"※对外销售的去向只能是三矿区或六矿区",IF(AND($K1808="对外销售",ROUND($Q1808,0)=0),"※外销却没有售价，请填实际售价",IF(AND($K1808="对外销售",$T1808&lt;&gt;"",$T1808&lt;0),"※这一笔外销是亏的，请核对售价",IF(IFERROR(VLOOKUP($D1808,库存台账!$A$5:$Y$1204,24,0),0)&lt;-0.001,"※这个物料账面已经变成负数了，查一下是不是漏记入库","")))))))))))</f>
        <v/>
      </c>
    </row>
    <row r="1809">
      <c r="A1809" s="24">
        <f>IF($D1809="","",COUNTA($D$4:$D1809))</f>
        <v/>
      </c>
      <c r="B1809" s="17" t="n"/>
      <c r="C1809" s="30" t="n"/>
      <c r="D1809" s="17" t="n"/>
      <c r="E1809" s="24">
        <f>IF($D1809="","",IFERROR(VLOOKUP($D1809,物料档案!$A$4:$P$1203,3,0),"※编码不在物料档案里"))</f>
        <v/>
      </c>
      <c r="F1809" s="24">
        <f>IF($D1809="","",IFERROR(VLOOKUP($D1809,物料档案!$A$4:$P$1203,4,0),"※编码不在物料档案里"))</f>
        <v/>
      </c>
      <c r="G1809" s="24">
        <f>IF($D1809="","",IFERROR(VLOOKUP($D1809,物料档案!$A$4:$P$1203,5,0),"※编码不在物料档案里"))</f>
        <v/>
      </c>
      <c r="H1809" s="24">
        <f>IF($D1809="","",IFERROR(VLOOKUP($D1809,物料档案!$A$4:$P$1203,2,0),"※编码不在物料档案里"))</f>
        <v/>
      </c>
      <c r="I1809" s="24">
        <f>IF($D1809="","",IFERROR(VLOOKUP($D1809,物料档案!$A$4:$P$1203,6,0),"※编码不在物料档案里"))</f>
        <v/>
      </c>
      <c r="J1809" s="23" t="n"/>
      <c r="K1809" s="17" t="n"/>
      <c r="L1809" s="17" t="n"/>
      <c r="M1809" s="17" t="n"/>
      <c r="N1809" s="17" t="n"/>
      <c r="O1809" s="26">
        <f>IF($D1809="","",IFERROR(VLOOKUP($D1809,物料档案!$A$4:$P$1203,10,0),0))</f>
        <v/>
      </c>
      <c r="P1809" s="32" t="n"/>
      <c r="Q1809" s="26">
        <f>IF($D1809="","",IF($K1809&lt;&gt;"对外销售",0,ROUND(N($J1809)*IF($P1809="",N($O1809),N($P1809)),0)))</f>
        <v/>
      </c>
      <c r="R1809" s="26">
        <f>IF($D1809="","",IFERROR(VLOOKUP($D1809,库存台账!$A$5:$Y$1204,11,0),0))</f>
        <v/>
      </c>
      <c r="S1809" s="26">
        <f>IF($D1809="","",ROUND(N($J1809)*N($R1809),0))</f>
        <v/>
      </c>
      <c r="T1809" s="26">
        <f>IF($D1809="","",IF($K1809&lt;&gt;"对外销售","",ROUND($Q1809-$S1809,0)))</f>
        <v/>
      </c>
      <c r="U1809" s="17" t="n"/>
      <c r="V1809" s="17" t="n"/>
      <c r="W1809" s="24">
        <f>IF($D1809="","",IF($E1809="※编码不在物料档案里","※物料编码不在档案里",IF(N($J1809)&lt;=0,"※出库数量要大于 0",IF($K1809="","※没填去向类型",IF($L1809="","※没填去向矿区",IF(AND($C1809&lt;&gt;"",$C1809&lt;=结账锁),"※日期早于已结账截止日，不能再录",IF(AND($K1809="自用消耗",COUNTIF({"一矿区";"二矿区"},$L1809)=0),"※自用消耗的去向只能是一矿区或二矿区",IF(AND($K1809="对外销售",COUNTIF({"三矿区";"六矿区"},$L1809)=0),"※对外销售的去向只能是三矿区或六矿区",IF(AND($K1809="对外销售",ROUND($Q1809,0)=0),"※外销却没有售价，请填实际售价",IF(AND($K1809="对外销售",$T1809&lt;&gt;"",$T1809&lt;0),"※这一笔外销是亏的，请核对售价",IF(IFERROR(VLOOKUP($D1809,库存台账!$A$5:$Y$1204,24,0),0)&lt;-0.001,"※这个物料账面已经变成负数了，查一下是不是漏记入库","")))))))))))</f>
        <v/>
      </c>
    </row>
    <row r="1810">
      <c r="A1810" s="24">
        <f>IF($D1810="","",COUNTA($D$4:$D1810))</f>
        <v/>
      </c>
      <c r="B1810" s="17" t="n"/>
      <c r="C1810" s="30" t="n"/>
      <c r="D1810" s="17" t="n"/>
      <c r="E1810" s="24">
        <f>IF($D1810="","",IFERROR(VLOOKUP($D1810,物料档案!$A$4:$P$1203,3,0),"※编码不在物料档案里"))</f>
        <v/>
      </c>
      <c r="F1810" s="24">
        <f>IF($D1810="","",IFERROR(VLOOKUP($D1810,物料档案!$A$4:$P$1203,4,0),"※编码不在物料档案里"))</f>
        <v/>
      </c>
      <c r="G1810" s="24">
        <f>IF($D1810="","",IFERROR(VLOOKUP($D1810,物料档案!$A$4:$P$1203,5,0),"※编码不在物料档案里"))</f>
        <v/>
      </c>
      <c r="H1810" s="24">
        <f>IF($D1810="","",IFERROR(VLOOKUP($D1810,物料档案!$A$4:$P$1203,2,0),"※编码不在物料档案里"))</f>
        <v/>
      </c>
      <c r="I1810" s="24">
        <f>IF($D1810="","",IFERROR(VLOOKUP($D1810,物料档案!$A$4:$P$1203,6,0),"※编码不在物料档案里"))</f>
        <v/>
      </c>
      <c r="J1810" s="23" t="n"/>
      <c r="K1810" s="17" t="n"/>
      <c r="L1810" s="17" t="n"/>
      <c r="M1810" s="17" t="n"/>
      <c r="N1810" s="17" t="n"/>
      <c r="O1810" s="26">
        <f>IF($D1810="","",IFERROR(VLOOKUP($D1810,物料档案!$A$4:$P$1203,10,0),0))</f>
        <v/>
      </c>
      <c r="P1810" s="32" t="n"/>
      <c r="Q1810" s="26">
        <f>IF($D1810="","",IF($K1810&lt;&gt;"对外销售",0,ROUND(N($J1810)*IF($P1810="",N($O1810),N($P1810)),0)))</f>
        <v/>
      </c>
      <c r="R1810" s="26">
        <f>IF($D1810="","",IFERROR(VLOOKUP($D1810,库存台账!$A$5:$Y$1204,11,0),0))</f>
        <v/>
      </c>
      <c r="S1810" s="26">
        <f>IF($D1810="","",ROUND(N($J1810)*N($R1810),0))</f>
        <v/>
      </c>
      <c r="T1810" s="26">
        <f>IF($D1810="","",IF($K1810&lt;&gt;"对外销售","",ROUND($Q1810-$S1810,0)))</f>
        <v/>
      </c>
      <c r="U1810" s="17" t="n"/>
      <c r="V1810" s="17" t="n"/>
      <c r="W1810" s="24">
        <f>IF($D1810="","",IF($E1810="※编码不在物料档案里","※物料编码不在档案里",IF(N($J1810)&lt;=0,"※出库数量要大于 0",IF($K1810="","※没填去向类型",IF($L1810="","※没填去向矿区",IF(AND($C1810&lt;&gt;"",$C1810&lt;=结账锁),"※日期早于已结账截止日，不能再录",IF(AND($K1810="自用消耗",COUNTIF({"一矿区";"二矿区"},$L1810)=0),"※自用消耗的去向只能是一矿区或二矿区",IF(AND($K1810="对外销售",COUNTIF({"三矿区";"六矿区"},$L1810)=0),"※对外销售的去向只能是三矿区或六矿区",IF(AND($K1810="对外销售",ROUND($Q1810,0)=0),"※外销却没有售价，请填实际售价",IF(AND($K1810="对外销售",$T1810&lt;&gt;"",$T1810&lt;0),"※这一笔外销是亏的，请核对售价",IF(IFERROR(VLOOKUP($D1810,库存台账!$A$5:$Y$1204,24,0),0)&lt;-0.001,"※这个物料账面已经变成负数了，查一下是不是漏记入库","")))))))))))</f>
        <v/>
      </c>
    </row>
    <row r="1811">
      <c r="A1811" s="24">
        <f>IF($D1811="","",COUNTA($D$4:$D1811))</f>
        <v/>
      </c>
      <c r="B1811" s="17" t="n"/>
      <c r="C1811" s="30" t="n"/>
      <c r="D1811" s="17" t="n"/>
      <c r="E1811" s="24">
        <f>IF($D1811="","",IFERROR(VLOOKUP($D1811,物料档案!$A$4:$P$1203,3,0),"※编码不在物料档案里"))</f>
        <v/>
      </c>
      <c r="F1811" s="24">
        <f>IF($D1811="","",IFERROR(VLOOKUP($D1811,物料档案!$A$4:$P$1203,4,0),"※编码不在物料档案里"))</f>
        <v/>
      </c>
      <c r="G1811" s="24">
        <f>IF($D1811="","",IFERROR(VLOOKUP($D1811,物料档案!$A$4:$P$1203,5,0),"※编码不在物料档案里"))</f>
        <v/>
      </c>
      <c r="H1811" s="24">
        <f>IF($D1811="","",IFERROR(VLOOKUP($D1811,物料档案!$A$4:$P$1203,2,0),"※编码不在物料档案里"))</f>
        <v/>
      </c>
      <c r="I1811" s="24">
        <f>IF($D1811="","",IFERROR(VLOOKUP($D1811,物料档案!$A$4:$P$1203,6,0),"※编码不在物料档案里"))</f>
        <v/>
      </c>
      <c r="J1811" s="23" t="n"/>
      <c r="K1811" s="17" t="n"/>
      <c r="L1811" s="17" t="n"/>
      <c r="M1811" s="17" t="n"/>
      <c r="N1811" s="17" t="n"/>
      <c r="O1811" s="26">
        <f>IF($D1811="","",IFERROR(VLOOKUP($D1811,物料档案!$A$4:$P$1203,10,0),0))</f>
        <v/>
      </c>
      <c r="P1811" s="32" t="n"/>
      <c r="Q1811" s="26">
        <f>IF($D1811="","",IF($K1811&lt;&gt;"对外销售",0,ROUND(N($J1811)*IF($P1811="",N($O1811),N($P1811)),0)))</f>
        <v/>
      </c>
      <c r="R1811" s="26">
        <f>IF($D1811="","",IFERROR(VLOOKUP($D1811,库存台账!$A$5:$Y$1204,11,0),0))</f>
        <v/>
      </c>
      <c r="S1811" s="26">
        <f>IF($D1811="","",ROUND(N($J1811)*N($R1811),0))</f>
        <v/>
      </c>
      <c r="T1811" s="26">
        <f>IF($D1811="","",IF($K1811&lt;&gt;"对外销售","",ROUND($Q1811-$S1811,0)))</f>
        <v/>
      </c>
      <c r="U1811" s="17" t="n"/>
      <c r="V1811" s="17" t="n"/>
      <c r="W1811" s="24">
        <f>IF($D1811="","",IF($E1811="※编码不在物料档案里","※物料编码不在档案里",IF(N($J1811)&lt;=0,"※出库数量要大于 0",IF($K1811="","※没填去向类型",IF($L1811="","※没填去向矿区",IF(AND($C1811&lt;&gt;"",$C1811&lt;=结账锁),"※日期早于已结账截止日，不能再录",IF(AND($K1811="自用消耗",COUNTIF({"一矿区";"二矿区"},$L1811)=0),"※自用消耗的去向只能是一矿区或二矿区",IF(AND($K1811="对外销售",COUNTIF({"三矿区";"六矿区"},$L1811)=0),"※对外销售的去向只能是三矿区或六矿区",IF(AND($K1811="对外销售",ROUND($Q1811,0)=0),"※外销却没有售价，请填实际售价",IF(AND($K1811="对外销售",$T1811&lt;&gt;"",$T1811&lt;0),"※这一笔外销是亏的，请核对售价",IF(IFERROR(VLOOKUP($D1811,库存台账!$A$5:$Y$1204,24,0),0)&lt;-0.001,"※这个物料账面已经变成负数了，查一下是不是漏记入库","")))))))))))</f>
        <v/>
      </c>
    </row>
    <row r="1812">
      <c r="A1812" s="24">
        <f>IF($D1812="","",COUNTA($D$4:$D1812))</f>
        <v/>
      </c>
      <c r="B1812" s="17" t="n"/>
      <c r="C1812" s="30" t="n"/>
      <c r="D1812" s="17" t="n"/>
      <c r="E1812" s="24">
        <f>IF($D1812="","",IFERROR(VLOOKUP($D1812,物料档案!$A$4:$P$1203,3,0),"※编码不在物料档案里"))</f>
        <v/>
      </c>
      <c r="F1812" s="24">
        <f>IF($D1812="","",IFERROR(VLOOKUP($D1812,物料档案!$A$4:$P$1203,4,0),"※编码不在物料档案里"))</f>
        <v/>
      </c>
      <c r="G1812" s="24">
        <f>IF($D1812="","",IFERROR(VLOOKUP($D1812,物料档案!$A$4:$P$1203,5,0),"※编码不在物料档案里"))</f>
        <v/>
      </c>
      <c r="H1812" s="24">
        <f>IF($D1812="","",IFERROR(VLOOKUP($D1812,物料档案!$A$4:$P$1203,2,0),"※编码不在物料档案里"))</f>
        <v/>
      </c>
      <c r="I1812" s="24">
        <f>IF($D1812="","",IFERROR(VLOOKUP($D1812,物料档案!$A$4:$P$1203,6,0),"※编码不在物料档案里"))</f>
        <v/>
      </c>
      <c r="J1812" s="23" t="n"/>
      <c r="K1812" s="17" t="n"/>
      <c r="L1812" s="17" t="n"/>
      <c r="M1812" s="17" t="n"/>
      <c r="N1812" s="17" t="n"/>
      <c r="O1812" s="26">
        <f>IF($D1812="","",IFERROR(VLOOKUP($D1812,物料档案!$A$4:$P$1203,10,0),0))</f>
        <v/>
      </c>
      <c r="P1812" s="32" t="n"/>
      <c r="Q1812" s="26">
        <f>IF($D1812="","",IF($K1812&lt;&gt;"对外销售",0,ROUND(N($J1812)*IF($P1812="",N($O1812),N($P1812)),0)))</f>
        <v/>
      </c>
      <c r="R1812" s="26">
        <f>IF($D1812="","",IFERROR(VLOOKUP($D1812,库存台账!$A$5:$Y$1204,11,0),0))</f>
        <v/>
      </c>
      <c r="S1812" s="26">
        <f>IF($D1812="","",ROUND(N($J1812)*N($R1812),0))</f>
        <v/>
      </c>
      <c r="T1812" s="26">
        <f>IF($D1812="","",IF($K1812&lt;&gt;"对外销售","",ROUND($Q1812-$S1812,0)))</f>
        <v/>
      </c>
      <c r="U1812" s="17" t="n"/>
      <c r="V1812" s="17" t="n"/>
      <c r="W1812" s="24">
        <f>IF($D1812="","",IF($E1812="※编码不在物料档案里","※物料编码不在档案里",IF(N($J1812)&lt;=0,"※出库数量要大于 0",IF($K1812="","※没填去向类型",IF($L1812="","※没填去向矿区",IF(AND($C1812&lt;&gt;"",$C1812&lt;=结账锁),"※日期早于已结账截止日，不能再录",IF(AND($K1812="自用消耗",COUNTIF({"一矿区";"二矿区"},$L1812)=0),"※自用消耗的去向只能是一矿区或二矿区",IF(AND($K1812="对外销售",COUNTIF({"三矿区";"六矿区"},$L1812)=0),"※对外销售的去向只能是三矿区或六矿区",IF(AND($K1812="对外销售",ROUND($Q1812,0)=0),"※外销却没有售价，请填实际售价",IF(AND($K1812="对外销售",$T1812&lt;&gt;"",$T1812&lt;0),"※这一笔外销是亏的，请核对售价",IF(IFERROR(VLOOKUP($D1812,库存台账!$A$5:$Y$1204,24,0),0)&lt;-0.001,"※这个物料账面已经变成负数了，查一下是不是漏记入库","")))))))))))</f>
        <v/>
      </c>
    </row>
    <row r="1813">
      <c r="A1813" s="24">
        <f>IF($D1813="","",COUNTA($D$4:$D1813))</f>
        <v/>
      </c>
      <c r="B1813" s="17" t="n"/>
      <c r="C1813" s="30" t="n"/>
      <c r="D1813" s="17" t="n"/>
      <c r="E1813" s="24">
        <f>IF($D1813="","",IFERROR(VLOOKUP($D1813,物料档案!$A$4:$P$1203,3,0),"※编码不在物料档案里"))</f>
        <v/>
      </c>
      <c r="F1813" s="24">
        <f>IF($D1813="","",IFERROR(VLOOKUP($D1813,物料档案!$A$4:$P$1203,4,0),"※编码不在物料档案里"))</f>
        <v/>
      </c>
      <c r="G1813" s="24">
        <f>IF($D1813="","",IFERROR(VLOOKUP($D1813,物料档案!$A$4:$P$1203,5,0),"※编码不在物料档案里"))</f>
        <v/>
      </c>
      <c r="H1813" s="24">
        <f>IF($D1813="","",IFERROR(VLOOKUP($D1813,物料档案!$A$4:$P$1203,2,0),"※编码不在物料档案里"))</f>
        <v/>
      </c>
      <c r="I1813" s="24">
        <f>IF($D1813="","",IFERROR(VLOOKUP($D1813,物料档案!$A$4:$P$1203,6,0),"※编码不在物料档案里"))</f>
        <v/>
      </c>
      <c r="J1813" s="23" t="n"/>
      <c r="K1813" s="17" t="n"/>
      <c r="L1813" s="17" t="n"/>
      <c r="M1813" s="17" t="n"/>
      <c r="N1813" s="17" t="n"/>
      <c r="O1813" s="26">
        <f>IF($D1813="","",IFERROR(VLOOKUP($D1813,物料档案!$A$4:$P$1203,10,0),0))</f>
        <v/>
      </c>
      <c r="P1813" s="32" t="n"/>
      <c r="Q1813" s="26">
        <f>IF($D1813="","",IF($K1813&lt;&gt;"对外销售",0,ROUND(N($J1813)*IF($P1813="",N($O1813),N($P1813)),0)))</f>
        <v/>
      </c>
      <c r="R1813" s="26">
        <f>IF($D1813="","",IFERROR(VLOOKUP($D1813,库存台账!$A$5:$Y$1204,11,0),0))</f>
        <v/>
      </c>
      <c r="S1813" s="26">
        <f>IF($D1813="","",ROUND(N($J1813)*N($R1813),0))</f>
        <v/>
      </c>
      <c r="T1813" s="26">
        <f>IF($D1813="","",IF($K1813&lt;&gt;"对外销售","",ROUND($Q1813-$S1813,0)))</f>
        <v/>
      </c>
      <c r="U1813" s="17" t="n"/>
      <c r="V1813" s="17" t="n"/>
      <c r="W1813" s="24">
        <f>IF($D1813="","",IF($E1813="※编码不在物料档案里","※物料编码不在档案里",IF(N($J1813)&lt;=0,"※出库数量要大于 0",IF($K1813="","※没填去向类型",IF($L1813="","※没填去向矿区",IF(AND($C1813&lt;&gt;"",$C1813&lt;=结账锁),"※日期早于已结账截止日，不能再录",IF(AND($K1813="自用消耗",COUNTIF({"一矿区";"二矿区"},$L1813)=0),"※自用消耗的去向只能是一矿区或二矿区",IF(AND($K1813="对外销售",COUNTIF({"三矿区";"六矿区"},$L1813)=0),"※对外销售的去向只能是三矿区或六矿区",IF(AND($K1813="对外销售",ROUND($Q1813,0)=0),"※外销却没有售价，请填实际售价",IF(AND($K1813="对外销售",$T1813&lt;&gt;"",$T1813&lt;0),"※这一笔外销是亏的，请核对售价",IF(IFERROR(VLOOKUP($D1813,库存台账!$A$5:$Y$1204,24,0),0)&lt;-0.001,"※这个物料账面已经变成负数了，查一下是不是漏记入库","")))))))))))</f>
        <v/>
      </c>
    </row>
    <row r="1814">
      <c r="A1814" s="24">
        <f>IF($D1814="","",COUNTA($D$4:$D1814))</f>
        <v/>
      </c>
      <c r="B1814" s="17" t="n"/>
      <c r="C1814" s="30" t="n"/>
      <c r="D1814" s="17" t="n"/>
      <c r="E1814" s="24">
        <f>IF($D1814="","",IFERROR(VLOOKUP($D1814,物料档案!$A$4:$P$1203,3,0),"※编码不在物料档案里"))</f>
        <v/>
      </c>
      <c r="F1814" s="24">
        <f>IF($D1814="","",IFERROR(VLOOKUP($D1814,物料档案!$A$4:$P$1203,4,0),"※编码不在物料档案里"))</f>
        <v/>
      </c>
      <c r="G1814" s="24">
        <f>IF($D1814="","",IFERROR(VLOOKUP($D1814,物料档案!$A$4:$P$1203,5,0),"※编码不在物料档案里"))</f>
        <v/>
      </c>
      <c r="H1814" s="24">
        <f>IF($D1814="","",IFERROR(VLOOKUP($D1814,物料档案!$A$4:$P$1203,2,0),"※编码不在物料档案里"))</f>
        <v/>
      </c>
      <c r="I1814" s="24">
        <f>IF($D1814="","",IFERROR(VLOOKUP($D1814,物料档案!$A$4:$P$1203,6,0),"※编码不在物料档案里"))</f>
        <v/>
      </c>
      <c r="J1814" s="23" t="n"/>
      <c r="K1814" s="17" t="n"/>
      <c r="L1814" s="17" t="n"/>
      <c r="M1814" s="17" t="n"/>
      <c r="N1814" s="17" t="n"/>
      <c r="O1814" s="26">
        <f>IF($D1814="","",IFERROR(VLOOKUP($D1814,物料档案!$A$4:$P$1203,10,0),0))</f>
        <v/>
      </c>
      <c r="P1814" s="32" t="n"/>
      <c r="Q1814" s="26">
        <f>IF($D1814="","",IF($K1814&lt;&gt;"对外销售",0,ROUND(N($J1814)*IF($P1814="",N($O1814),N($P1814)),0)))</f>
        <v/>
      </c>
      <c r="R1814" s="26">
        <f>IF($D1814="","",IFERROR(VLOOKUP($D1814,库存台账!$A$5:$Y$1204,11,0),0))</f>
        <v/>
      </c>
      <c r="S1814" s="26">
        <f>IF($D1814="","",ROUND(N($J1814)*N($R1814),0))</f>
        <v/>
      </c>
      <c r="T1814" s="26">
        <f>IF($D1814="","",IF($K1814&lt;&gt;"对外销售","",ROUND($Q1814-$S1814,0)))</f>
        <v/>
      </c>
      <c r="U1814" s="17" t="n"/>
      <c r="V1814" s="17" t="n"/>
      <c r="W1814" s="24">
        <f>IF($D1814="","",IF($E1814="※编码不在物料档案里","※物料编码不在档案里",IF(N($J1814)&lt;=0,"※出库数量要大于 0",IF($K1814="","※没填去向类型",IF($L1814="","※没填去向矿区",IF(AND($C1814&lt;&gt;"",$C1814&lt;=结账锁),"※日期早于已结账截止日，不能再录",IF(AND($K1814="自用消耗",COUNTIF({"一矿区";"二矿区"},$L1814)=0),"※自用消耗的去向只能是一矿区或二矿区",IF(AND($K1814="对外销售",COUNTIF({"三矿区";"六矿区"},$L1814)=0),"※对外销售的去向只能是三矿区或六矿区",IF(AND($K1814="对外销售",ROUND($Q1814,0)=0),"※外销却没有售价，请填实际售价",IF(AND($K1814="对外销售",$T1814&lt;&gt;"",$T1814&lt;0),"※这一笔外销是亏的，请核对售价",IF(IFERROR(VLOOKUP($D1814,库存台账!$A$5:$Y$1204,24,0),0)&lt;-0.001,"※这个物料账面已经变成负数了，查一下是不是漏记入库","")))))))))))</f>
        <v/>
      </c>
    </row>
    <row r="1815">
      <c r="A1815" s="24">
        <f>IF($D1815="","",COUNTA($D$4:$D1815))</f>
        <v/>
      </c>
      <c r="B1815" s="17" t="n"/>
      <c r="C1815" s="30" t="n"/>
      <c r="D1815" s="17" t="n"/>
      <c r="E1815" s="24">
        <f>IF($D1815="","",IFERROR(VLOOKUP($D1815,物料档案!$A$4:$P$1203,3,0),"※编码不在物料档案里"))</f>
        <v/>
      </c>
      <c r="F1815" s="24">
        <f>IF($D1815="","",IFERROR(VLOOKUP($D1815,物料档案!$A$4:$P$1203,4,0),"※编码不在物料档案里"))</f>
        <v/>
      </c>
      <c r="G1815" s="24">
        <f>IF($D1815="","",IFERROR(VLOOKUP($D1815,物料档案!$A$4:$P$1203,5,0),"※编码不在物料档案里"))</f>
        <v/>
      </c>
      <c r="H1815" s="24">
        <f>IF($D1815="","",IFERROR(VLOOKUP($D1815,物料档案!$A$4:$P$1203,2,0),"※编码不在物料档案里"))</f>
        <v/>
      </c>
      <c r="I1815" s="24">
        <f>IF($D1815="","",IFERROR(VLOOKUP($D1815,物料档案!$A$4:$P$1203,6,0),"※编码不在物料档案里"))</f>
        <v/>
      </c>
      <c r="J1815" s="23" t="n"/>
      <c r="K1815" s="17" t="n"/>
      <c r="L1815" s="17" t="n"/>
      <c r="M1815" s="17" t="n"/>
      <c r="N1815" s="17" t="n"/>
      <c r="O1815" s="26">
        <f>IF($D1815="","",IFERROR(VLOOKUP($D1815,物料档案!$A$4:$P$1203,10,0),0))</f>
        <v/>
      </c>
      <c r="P1815" s="32" t="n"/>
      <c r="Q1815" s="26">
        <f>IF($D1815="","",IF($K1815&lt;&gt;"对外销售",0,ROUND(N($J1815)*IF($P1815="",N($O1815),N($P1815)),0)))</f>
        <v/>
      </c>
      <c r="R1815" s="26">
        <f>IF($D1815="","",IFERROR(VLOOKUP($D1815,库存台账!$A$5:$Y$1204,11,0),0))</f>
        <v/>
      </c>
      <c r="S1815" s="26">
        <f>IF($D1815="","",ROUND(N($J1815)*N($R1815),0))</f>
        <v/>
      </c>
      <c r="T1815" s="26">
        <f>IF($D1815="","",IF($K1815&lt;&gt;"对外销售","",ROUND($Q1815-$S1815,0)))</f>
        <v/>
      </c>
      <c r="U1815" s="17" t="n"/>
      <c r="V1815" s="17" t="n"/>
      <c r="W1815" s="24">
        <f>IF($D1815="","",IF($E1815="※编码不在物料档案里","※物料编码不在档案里",IF(N($J1815)&lt;=0,"※出库数量要大于 0",IF($K1815="","※没填去向类型",IF($L1815="","※没填去向矿区",IF(AND($C1815&lt;&gt;"",$C1815&lt;=结账锁),"※日期早于已结账截止日，不能再录",IF(AND($K1815="自用消耗",COUNTIF({"一矿区";"二矿区"},$L1815)=0),"※自用消耗的去向只能是一矿区或二矿区",IF(AND($K1815="对外销售",COUNTIF({"三矿区";"六矿区"},$L1815)=0),"※对外销售的去向只能是三矿区或六矿区",IF(AND($K1815="对外销售",ROUND($Q1815,0)=0),"※外销却没有售价，请填实际售价",IF(AND($K1815="对外销售",$T1815&lt;&gt;"",$T1815&lt;0),"※这一笔外销是亏的，请核对售价",IF(IFERROR(VLOOKUP($D1815,库存台账!$A$5:$Y$1204,24,0),0)&lt;-0.001,"※这个物料账面已经变成负数了，查一下是不是漏记入库","")))))))))))</f>
        <v/>
      </c>
    </row>
    <row r="1816">
      <c r="A1816" s="24">
        <f>IF($D1816="","",COUNTA($D$4:$D1816))</f>
        <v/>
      </c>
      <c r="B1816" s="17" t="n"/>
      <c r="C1816" s="30" t="n"/>
      <c r="D1816" s="17" t="n"/>
      <c r="E1816" s="24">
        <f>IF($D1816="","",IFERROR(VLOOKUP($D1816,物料档案!$A$4:$P$1203,3,0),"※编码不在物料档案里"))</f>
        <v/>
      </c>
      <c r="F1816" s="24">
        <f>IF($D1816="","",IFERROR(VLOOKUP($D1816,物料档案!$A$4:$P$1203,4,0),"※编码不在物料档案里"))</f>
        <v/>
      </c>
      <c r="G1816" s="24">
        <f>IF($D1816="","",IFERROR(VLOOKUP($D1816,物料档案!$A$4:$P$1203,5,0),"※编码不在物料档案里"))</f>
        <v/>
      </c>
      <c r="H1816" s="24">
        <f>IF($D1816="","",IFERROR(VLOOKUP($D1816,物料档案!$A$4:$P$1203,2,0),"※编码不在物料档案里"))</f>
        <v/>
      </c>
      <c r="I1816" s="24">
        <f>IF($D1816="","",IFERROR(VLOOKUP($D1816,物料档案!$A$4:$P$1203,6,0),"※编码不在物料档案里"))</f>
        <v/>
      </c>
      <c r="J1816" s="23" t="n"/>
      <c r="K1816" s="17" t="n"/>
      <c r="L1816" s="17" t="n"/>
      <c r="M1816" s="17" t="n"/>
      <c r="N1816" s="17" t="n"/>
      <c r="O1816" s="26">
        <f>IF($D1816="","",IFERROR(VLOOKUP($D1816,物料档案!$A$4:$P$1203,10,0),0))</f>
        <v/>
      </c>
      <c r="P1816" s="32" t="n"/>
      <c r="Q1816" s="26">
        <f>IF($D1816="","",IF($K1816&lt;&gt;"对外销售",0,ROUND(N($J1816)*IF($P1816="",N($O1816),N($P1816)),0)))</f>
        <v/>
      </c>
      <c r="R1816" s="26">
        <f>IF($D1816="","",IFERROR(VLOOKUP($D1816,库存台账!$A$5:$Y$1204,11,0),0))</f>
        <v/>
      </c>
      <c r="S1816" s="26">
        <f>IF($D1816="","",ROUND(N($J1816)*N($R1816),0))</f>
        <v/>
      </c>
      <c r="T1816" s="26">
        <f>IF($D1816="","",IF($K1816&lt;&gt;"对外销售","",ROUND($Q1816-$S1816,0)))</f>
        <v/>
      </c>
      <c r="U1816" s="17" t="n"/>
      <c r="V1816" s="17" t="n"/>
      <c r="W1816" s="24">
        <f>IF($D1816="","",IF($E1816="※编码不在物料档案里","※物料编码不在档案里",IF(N($J1816)&lt;=0,"※出库数量要大于 0",IF($K1816="","※没填去向类型",IF($L1816="","※没填去向矿区",IF(AND($C1816&lt;&gt;"",$C1816&lt;=结账锁),"※日期早于已结账截止日，不能再录",IF(AND($K1816="自用消耗",COUNTIF({"一矿区";"二矿区"},$L1816)=0),"※自用消耗的去向只能是一矿区或二矿区",IF(AND($K1816="对外销售",COUNTIF({"三矿区";"六矿区"},$L1816)=0),"※对外销售的去向只能是三矿区或六矿区",IF(AND($K1816="对外销售",ROUND($Q1816,0)=0),"※外销却没有售价，请填实际售价",IF(AND($K1816="对外销售",$T1816&lt;&gt;"",$T1816&lt;0),"※这一笔外销是亏的，请核对售价",IF(IFERROR(VLOOKUP($D1816,库存台账!$A$5:$Y$1204,24,0),0)&lt;-0.001,"※这个物料账面已经变成负数了，查一下是不是漏记入库","")))))))))))</f>
        <v/>
      </c>
    </row>
    <row r="1817">
      <c r="A1817" s="24">
        <f>IF($D1817="","",COUNTA($D$4:$D1817))</f>
        <v/>
      </c>
      <c r="B1817" s="17" t="n"/>
      <c r="C1817" s="30" t="n"/>
      <c r="D1817" s="17" t="n"/>
      <c r="E1817" s="24">
        <f>IF($D1817="","",IFERROR(VLOOKUP($D1817,物料档案!$A$4:$P$1203,3,0),"※编码不在物料档案里"))</f>
        <v/>
      </c>
      <c r="F1817" s="24">
        <f>IF($D1817="","",IFERROR(VLOOKUP($D1817,物料档案!$A$4:$P$1203,4,0),"※编码不在物料档案里"))</f>
        <v/>
      </c>
      <c r="G1817" s="24">
        <f>IF($D1817="","",IFERROR(VLOOKUP($D1817,物料档案!$A$4:$P$1203,5,0),"※编码不在物料档案里"))</f>
        <v/>
      </c>
      <c r="H1817" s="24">
        <f>IF($D1817="","",IFERROR(VLOOKUP($D1817,物料档案!$A$4:$P$1203,2,0),"※编码不在物料档案里"))</f>
        <v/>
      </c>
      <c r="I1817" s="24">
        <f>IF($D1817="","",IFERROR(VLOOKUP($D1817,物料档案!$A$4:$P$1203,6,0),"※编码不在物料档案里"))</f>
        <v/>
      </c>
      <c r="J1817" s="23" t="n"/>
      <c r="K1817" s="17" t="n"/>
      <c r="L1817" s="17" t="n"/>
      <c r="M1817" s="17" t="n"/>
      <c r="N1817" s="17" t="n"/>
      <c r="O1817" s="26">
        <f>IF($D1817="","",IFERROR(VLOOKUP($D1817,物料档案!$A$4:$P$1203,10,0),0))</f>
        <v/>
      </c>
      <c r="P1817" s="32" t="n"/>
      <c r="Q1817" s="26">
        <f>IF($D1817="","",IF($K1817&lt;&gt;"对外销售",0,ROUND(N($J1817)*IF($P1817="",N($O1817),N($P1817)),0)))</f>
        <v/>
      </c>
      <c r="R1817" s="26">
        <f>IF($D1817="","",IFERROR(VLOOKUP($D1817,库存台账!$A$5:$Y$1204,11,0),0))</f>
        <v/>
      </c>
      <c r="S1817" s="26">
        <f>IF($D1817="","",ROUND(N($J1817)*N($R1817),0))</f>
        <v/>
      </c>
      <c r="T1817" s="26">
        <f>IF($D1817="","",IF($K1817&lt;&gt;"对外销售","",ROUND($Q1817-$S1817,0)))</f>
        <v/>
      </c>
      <c r="U1817" s="17" t="n"/>
      <c r="V1817" s="17" t="n"/>
      <c r="W1817" s="24">
        <f>IF($D1817="","",IF($E1817="※编码不在物料档案里","※物料编码不在档案里",IF(N($J1817)&lt;=0,"※出库数量要大于 0",IF($K1817="","※没填去向类型",IF($L1817="","※没填去向矿区",IF(AND($C1817&lt;&gt;"",$C1817&lt;=结账锁),"※日期早于已结账截止日，不能再录",IF(AND($K1817="自用消耗",COUNTIF({"一矿区";"二矿区"},$L1817)=0),"※自用消耗的去向只能是一矿区或二矿区",IF(AND($K1817="对外销售",COUNTIF({"三矿区";"六矿区"},$L1817)=0),"※对外销售的去向只能是三矿区或六矿区",IF(AND($K1817="对外销售",ROUND($Q1817,0)=0),"※外销却没有售价，请填实际售价",IF(AND($K1817="对外销售",$T1817&lt;&gt;"",$T1817&lt;0),"※这一笔外销是亏的，请核对售价",IF(IFERROR(VLOOKUP($D1817,库存台账!$A$5:$Y$1204,24,0),0)&lt;-0.001,"※这个物料账面已经变成负数了，查一下是不是漏记入库","")))))))))))</f>
        <v/>
      </c>
    </row>
    <row r="1818">
      <c r="A1818" s="24">
        <f>IF($D1818="","",COUNTA($D$4:$D1818))</f>
        <v/>
      </c>
      <c r="B1818" s="17" t="n"/>
      <c r="C1818" s="30" t="n"/>
      <c r="D1818" s="17" t="n"/>
      <c r="E1818" s="24">
        <f>IF($D1818="","",IFERROR(VLOOKUP($D1818,物料档案!$A$4:$P$1203,3,0),"※编码不在物料档案里"))</f>
        <v/>
      </c>
      <c r="F1818" s="24">
        <f>IF($D1818="","",IFERROR(VLOOKUP($D1818,物料档案!$A$4:$P$1203,4,0),"※编码不在物料档案里"))</f>
        <v/>
      </c>
      <c r="G1818" s="24">
        <f>IF($D1818="","",IFERROR(VLOOKUP($D1818,物料档案!$A$4:$P$1203,5,0),"※编码不在物料档案里"))</f>
        <v/>
      </c>
      <c r="H1818" s="24">
        <f>IF($D1818="","",IFERROR(VLOOKUP($D1818,物料档案!$A$4:$P$1203,2,0),"※编码不在物料档案里"))</f>
        <v/>
      </c>
      <c r="I1818" s="24">
        <f>IF($D1818="","",IFERROR(VLOOKUP($D1818,物料档案!$A$4:$P$1203,6,0),"※编码不在物料档案里"))</f>
        <v/>
      </c>
      <c r="J1818" s="23" t="n"/>
      <c r="K1818" s="17" t="n"/>
      <c r="L1818" s="17" t="n"/>
      <c r="M1818" s="17" t="n"/>
      <c r="N1818" s="17" t="n"/>
      <c r="O1818" s="26">
        <f>IF($D1818="","",IFERROR(VLOOKUP($D1818,物料档案!$A$4:$P$1203,10,0),0))</f>
        <v/>
      </c>
      <c r="P1818" s="32" t="n"/>
      <c r="Q1818" s="26">
        <f>IF($D1818="","",IF($K1818&lt;&gt;"对外销售",0,ROUND(N($J1818)*IF($P1818="",N($O1818),N($P1818)),0)))</f>
        <v/>
      </c>
      <c r="R1818" s="26">
        <f>IF($D1818="","",IFERROR(VLOOKUP($D1818,库存台账!$A$5:$Y$1204,11,0),0))</f>
        <v/>
      </c>
      <c r="S1818" s="26">
        <f>IF($D1818="","",ROUND(N($J1818)*N($R1818),0))</f>
        <v/>
      </c>
      <c r="T1818" s="26">
        <f>IF($D1818="","",IF($K1818&lt;&gt;"对外销售","",ROUND($Q1818-$S1818,0)))</f>
        <v/>
      </c>
      <c r="U1818" s="17" t="n"/>
      <c r="V1818" s="17" t="n"/>
      <c r="W1818" s="24">
        <f>IF($D1818="","",IF($E1818="※编码不在物料档案里","※物料编码不在档案里",IF(N($J1818)&lt;=0,"※出库数量要大于 0",IF($K1818="","※没填去向类型",IF($L1818="","※没填去向矿区",IF(AND($C1818&lt;&gt;"",$C1818&lt;=结账锁),"※日期早于已结账截止日，不能再录",IF(AND($K1818="自用消耗",COUNTIF({"一矿区";"二矿区"},$L1818)=0),"※自用消耗的去向只能是一矿区或二矿区",IF(AND($K1818="对外销售",COUNTIF({"三矿区";"六矿区"},$L1818)=0),"※对外销售的去向只能是三矿区或六矿区",IF(AND($K1818="对外销售",ROUND($Q1818,0)=0),"※外销却没有售价，请填实际售价",IF(AND($K1818="对外销售",$T1818&lt;&gt;"",$T1818&lt;0),"※这一笔外销是亏的，请核对售价",IF(IFERROR(VLOOKUP($D1818,库存台账!$A$5:$Y$1204,24,0),0)&lt;-0.001,"※这个物料账面已经变成负数了，查一下是不是漏记入库","")))))))))))</f>
        <v/>
      </c>
    </row>
    <row r="1819">
      <c r="A1819" s="24">
        <f>IF($D1819="","",COUNTA($D$4:$D1819))</f>
        <v/>
      </c>
      <c r="B1819" s="17" t="n"/>
      <c r="C1819" s="30" t="n"/>
      <c r="D1819" s="17" t="n"/>
      <c r="E1819" s="24">
        <f>IF($D1819="","",IFERROR(VLOOKUP($D1819,物料档案!$A$4:$P$1203,3,0),"※编码不在物料档案里"))</f>
        <v/>
      </c>
      <c r="F1819" s="24">
        <f>IF($D1819="","",IFERROR(VLOOKUP($D1819,物料档案!$A$4:$P$1203,4,0),"※编码不在物料档案里"))</f>
        <v/>
      </c>
      <c r="G1819" s="24">
        <f>IF($D1819="","",IFERROR(VLOOKUP($D1819,物料档案!$A$4:$P$1203,5,0),"※编码不在物料档案里"))</f>
        <v/>
      </c>
      <c r="H1819" s="24">
        <f>IF($D1819="","",IFERROR(VLOOKUP($D1819,物料档案!$A$4:$P$1203,2,0),"※编码不在物料档案里"))</f>
        <v/>
      </c>
      <c r="I1819" s="24">
        <f>IF($D1819="","",IFERROR(VLOOKUP($D1819,物料档案!$A$4:$P$1203,6,0),"※编码不在物料档案里"))</f>
        <v/>
      </c>
      <c r="J1819" s="23" t="n"/>
      <c r="K1819" s="17" t="n"/>
      <c r="L1819" s="17" t="n"/>
      <c r="M1819" s="17" t="n"/>
      <c r="N1819" s="17" t="n"/>
      <c r="O1819" s="26">
        <f>IF($D1819="","",IFERROR(VLOOKUP($D1819,物料档案!$A$4:$P$1203,10,0),0))</f>
        <v/>
      </c>
      <c r="P1819" s="32" t="n"/>
      <c r="Q1819" s="26">
        <f>IF($D1819="","",IF($K1819&lt;&gt;"对外销售",0,ROUND(N($J1819)*IF($P1819="",N($O1819),N($P1819)),0)))</f>
        <v/>
      </c>
      <c r="R1819" s="26">
        <f>IF($D1819="","",IFERROR(VLOOKUP($D1819,库存台账!$A$5:$Y$1204,11,0),0))</f>
        <v/>
      </c>
      <c r="S1819" s="26">
        <f>IF($D1819="","",ROUND(N($J1819)*N($R1819),0))</f>
        <v/>
      </c>
      <c r="T1819" s="26">
        <f>IF($D1819="","",IF($K1819&lt;&gt;"对外销售","",ROUND($Q1819-$S1819,0)))</f>
        <v/>
      </c>
      <c r="U1819" s="17" t="n"/>
      <c r="V1819" s="17" t="n"/>
      <c r="W1819" s="24">
        <f>IF($D1819="","",IF($E1819="※编码不在物料档案里","※物料编码不在档案里",IF(N($J1819)&lt;=0,"※出库数量要大于 0",IF($K1819="","※没填去向类型",IF($L1819="","※没填去向矿区",IF(AND($C1819&lt;&gt;"",$C1819&lt;=结账锁),"※日期早于已结账截止日，不能再录",IF(AND($K1819="自用消耗",COUNTIF({"一矿区";"二矿区"},$L1819)=0),"※自用消耗的去向只能是一矿区或二矿区",IF(AND($K1819="对外销售",COUNTIF({"三矿区";"六矿区"},$L1819)=0),"※对外销售的去向只能是三矿区或六矿区",IF(AND($K1819="对外销售",ROUND($Q1819,0)=0),"※外销却没有售价，请填实际售价",IF(AND($K1819="对外销售",$T1819&lt;&gt;"",$T1819&lt;0),"※这一笔外销是亏的，请核对售价",IF(IFERROR(VLOOKUP($D1819,库存台账!$A$5:$Y$1204,24,0),0)&lt;-0.001,"※这个物料账面已经变成负数了，查一下是不是漏记入库","")))))))))))</f>
        <v/>
      </c>
    </row>
    <row r="1820">
      <c r="A1820" s="24">
        <f>IF($D1820="","",COUNTA($D$4:$D1820))</f>
        <v/>
      </c>
      <c r="B1820" s="17" t="n"/>
      <c r="C1820" s="30" t="n"/>
      <c r="D1820" s="17" t="n"/>
      <c r="E1820" s="24">
        <f>IF($D1820="","",IFERROR(VLOOKUP($D1820,物料档案!$A$4:$P$1203,3,0),"※编码不在物料档案里"))</f>
        <v/>
      </c>
      <c r="F1820" s="24">
        <f>IF($D1820="","",IFERROR(VLOOKUP($D1820,物料档案!$A$4:$P$1203,4,0),"※编码不在物料档案里"))</f>
        <v/>
      </c>
      <c r="G1820" s="24">
        <f>IF($D1820="","",IFERROR(VLOOKUP($D1820,物料档案!$A$4:$P$1203,5,0),"※编码不在物料档案里"))</f>
        <v/>
      </c>
      <c r="H1820" s="24">
        <f>IF($D1820="","",IFERROR(VLOOKUP($D1820,物料档案!$A$4:$P$1203,2,0),"※编码不在物料档案里"))</f>
        <v/>
      </c>
      <c r="I1820" s="24">
        <f>IF($D1820="","",IFERROR(VLOOKUP($D1820,物料档案!$A$4:$P$1203,6,0),"※编码不在物料档案里"))</f>
        <v/>
      </c>
      <c r="J1820" s="23" t="n"/>
      <c r="K1820" s="17" t="n"/>
      <c r="L1820" s="17" t="n"/>
      <c r="M1820" s="17" t="n"/>
      <c r="N1820" s="17" t="n"/>
      <c r="O1820" s="26">
        <f>IF($D1820="","",IFERROR(VLOOKUP($D1820,物料档案!$A$4:$P$1203,10,0),0))</f>
        <v/>
      </c>
      <c r="P1820" s="32" t="n"/>
      <c r="Q1820" s="26">
        <f>IF($D1820="","",IF($K1820&lt;&gt;"对外销售",0,ROUND(N($J1820)*IF($P1820="",N($O1820),N($P1820)),0)))</f>
        <v/>
      </c>
      <c r="R1820" s="26">
        <f>IF($D1820="","",IFERROR(VLOOKUP($D1820,库存台账!$A$5:$Y$1204,11,0),0))</f>
        <v/>
      </c>
      <c r="S1820" s="26">
        <f>IF($D1820="","",ROUND(N($J1820)*N($R1820),0))</f>
        <v/>
      </c>
      <c r="T1820" s="26">
        <f>IF($D1820="","",IF($K1820&lt;&gt;"对外销售","",ROUND($Q1820-$S1820,0)))</f>
        <v/>
      </c>
      <c r="U1820" s="17" t="n"/>
      <c r="V1820" s="17" t="n"/>
      <c r="W1820" s="24">
        <f>IF($D1820="","",IF($E1820="※编码不在物料档案里","※物料编码不在档案里",IF(N($J1820)&lt;=0,"※出库数量要大于 0",IF($K1820="","※没填去向类型",IF($L1820="","※没填去向矿区",IF(AND($C1820&lt;&gt;"",$C1820&lt;=结账锁),"※日期早于已结账截止日，不能再录",IF(AND($K1820="自用消耗",COUNTIF({"一矿区";"二矿区"},$L1820)=0),"※自用消耗的去向只能是一矿区或二矿区",IF(AND($K1820="对外销售",COUNTIF({"三矿区";"六矿区"},$L1820)=0),"※对外销售的去向只能是三矿区或六矿区",IF(AND($K1820="对外销售",ROUND($Q1820,0)=0),"※外销却没有售价，请填实际售价",IF(AND($K1820="对外销售",$T1820&lt;&gt;"",$T1820&lt;0),"※这一笔外销是亏的，请核对售价",IF(IFERROR(VLOOKUP($D1820,库存台账!$A$5:$Y$1204,24,0),0)&lt;-0.001,"※这个物料账面已经变成负数了，查一下是不是漏记入库","")))))))))))</f>
        <v/>
      </c>
    </row>
    <row r="1821">
      <c r="A1821" s="24">
        <f>IF($D1821="","",COUNTA($D$4:$D1821))</f>
        <v/>
      </c>
      <c r="B1821" s="17" t="n"/>
      <c r="C1821" s="30" t="n"/>
      <c r="D1821" s="17" t="n"/>
      <c r="E1821" s="24">
        <f>IF($D1821="","",IFERROR(VLOOKUP($D1821,物料档案!$A$4:$P$1203,3,0),"※编码不在物料档案里"))</f>
        <v/>
      </c>
      <c r="F1821" s="24">
        <f>IF($D1821="","",IFERROR(VLOOKUP($D1821,物料档案!$A$4:$P$1203,4,0),"※编码不在物料档案里"))</f>
        <v/>
      </c>
      <c r="G1821" s="24">
        <f>IF($D1821="","",IFERROR(VLOOKUP($D1821,物料档案!$A$4:$P$1203,5,0),"※编码不在物料档案里"))</f>
        <v/>
      </c>
      <c r="H1821" s="24">
        <f>IF($D1821="","",IFERROR(VLOOKUP($D1821,物料档案!$A$4:$P$1203,2,0),"※编码不在物料档案里"))</f>
        <v/>
      </c>
      <c r="I1821" s="24">
        <f>IF($D1821="","",IFERROR(VLOOKUP($D1821,物料档案!$A$4:$P$1203,6,0),"※编码不在物料档案里"))</f>
        <v/>
      </c>
      <c r="J1821" s="23" t="n"/>
      <c r="K1821" s="17" t="n"/>
      <c r="L1821" s="17" t="n"/>
      <c r="M1821" s="17" t="n"/>
      <c r="N1821" s="17" t="n"/>
      <c r="O1821" s="26">
        <f>IF($D1821="","",IFERROR(VLOOKUP($D1821,物料档案!$A$4:$P$1203,10,0),0))</f>
        <v/>
      </c>
      <c r="P1821" s="32" t="n"/>
      <c r="Q1821" s="26">
        <f>IF($D1821="","",IF($K1821&lt;&gt;"对外销售",0,ROUND(N($J1821)*IF($P1821="",N($O1821),N($P1821)),0)))</f>
        <v/>
      </c>
      <c r="R1821" s="26">
        <f>IF($D1821="","",IFERROR(VLOOKUP($D1821,库存台账!$A$5:$Y$1204,11,0),0))</f>
        <v/>
      </c>
      <c r="S1821" s="26">
        <f>IF($D1821="","",ROUND(N($J1821)*N($R1821),0))</f>
        <v/>
      </c>
      <c r="T1821" s="26">
        <f>IF($D1821="","",IF($K1821&lt;&gt;"对外销售","",ROUND($Q1821-$S1821,0)))</f>
        <v/>
      </c>
      <c r="U1821" s="17" t="n"/>
      <c r="V1821" s="17" t="n"/>
      <c r="W1821" s="24">
        <f>IF($D1821="","",IF($E1821="※编码不在物料档案里","※物料编码不在档案里",IF(N($J1821)&lt;=0,"※出库数量要大于 0",IF($K1821="","※没填去向类型",IF($L1821="","※没填去向矿区",IF(AND($C1821&lt;&gt;"",$C1821&lt;=结账锁),"※日期早于已结账截止日，不能再录",IF(AND($K1821="自用消耗",COUNTIF({"一矿区";"二矿区"},$L1821)=0),"※自用消耗的去向只能是一矿区或二矿区",IF(AND($K1821="对外销售",COUNTIF({"三矿区";"六矿区"},$L1821)=0),"※对外销售的去向只能是三矿区或六矿区",IF(AND($K1821="对外销售",ROUND($Q1821,0)=0),"※外销却没有售价，请填实际售价",IF(AND($K1821="对外销售",$T1821&lt;&gt;"",$T1821&lt;0),"※这一笔外销是亏的，请核对售价",IF(IFERROR(VLOOKUP($D1821,库存台账!$A$5:$Y$1204,24,0),0)&lt;-0.001,"※这个物料账面已经变成负数了，查一下是不是漏记入库","")))))))))))</f>
        <v/>
      </c>
    </row>
    <row r="1822">
      <c r="A1822" s="24">
        <f>IF($D1822="","",COUNTA($D$4:$D1822))</f>
        <v/>
      </c>
      <c r="B1822" s="17" t="n"/>
      <c r="C1822" s="30" t="n"/>
      <c r="D1822" s="17" t="n"/>
      <c r="E1822" s="24">
        <f>IF($D1822="","",IFERROR(VLOOKUP($D1822,物料档案!$A$4:$P$1203,3,0),"※编码不在物料档案里"))</f>
        <v/>
      </c>
      <c r="F1822" s="24">
        <f>IF($D1822="","",IFERROR(VLOOKUP($D1822,物料档案!$A$4:$P$1203,4,0),"※编码不在物料档案里"))</f>
        <v/>
      </c>
      <c r="G1822" s="24">
        <f>IF($D1822="","",IFERROR(VLOOKUP($D1822,物料档案!$A$4:$P$1203,5,0),"※编码不在物料档案里"))</f>
        <v/>
      </c>
      <c r="H1822" s="24">
        <f>IF($D1822="","",IFERROR(VLOOKUP($D1822,物料档案!$A$4:$P$1203,2,0),"※编码不在物料档案里"))</f>
        <v/>
      </c>
      <c r="I1822" s="24">
        <f>IF($D1822="","",IFERROR(VLOOKUP($D1822,物料档案!$A$4:$P$1203,6,0),"※编码不在物料档案里"))</f>
        <v/>
      </c>
      <c r="J1822" s="23" t="n"/>
      <c r="K1822" s="17" t="n"/>
      <c r="L1822" s="17" t="n"/>
      <c r="M1822" s="17" t="n"/>
      <c r="N1822" s="17" t="n"/>
      <c r="O1822" s="26">
        <f>IF($D1822="","",IFERROR(VLOOKUP($D1822,物料档案!$A$4:$P$1203,10,0),0))</f>
        <v/>
      </c>
      <c r="P1822" s="32" t="n"/>
      <c r="Q1822" s="26">
        <f>IF($D1822="","",IF($K1822&lt;&gt;"对外销售",0,ROUND(N($J1822)*IF($P1822="",N($O1822),N($P1822)),0)))</f>
        <v/>
      </c>
      <c r="R1822" s="26">
        <f>IF($D1822="","",IFERROR(VLOOKUP($D1822,库存台账!$A$5:$Y$1204,11,0),0))</f>
        <v/>
      </c>
      <c r="S1822" s="26">
        <f>IF($D1822="","",ROUND(N($J1822)*N($R1822),0))</f>
        <v/>
      </c>
      <c r="T1822" s="26">
        <f>IF($D1822="","",IF($K1822&lt;&gt;"对外销售","",ROUND($Q1822-$S1822,0)))</f>
        <v/>
      </c>
      <c r="U1822" s="17" t="n"/>
      <c r="V1822" s="17" t="n"/>
      <c r="W1822" s="24">
        <f>IF($D1822="","",IF($E1822="※编码不在物料档案里","※物料编码不在档案里",IF(N($J1822)&lt;=0,"※出库数量要大于 0",IF($K1822="","※没填去向类型",IF($L1822="","※没填去向矿区",IF(AND($C1822&lt;&gt;"",$C1822&lt;=结账锁),"※日期早于已结账截止日，不能再录",IF(AND($K1822="自用消耗",COUNTIF({"一矿区";"二矿区"},$L1822)=0),"※自用消耗的去向只能是一矿区或二矿区",IF(AND($K1822="对外销售",COUNTIF({"三矿区";"六矿区"},$L1822)=0),"※对外销售的去向只能是三矿区或六矿区",IF(AND($K1822="对外销售",ROUND($Q1822,0)=0),"※外销却没有售价，请填实际售价",IF(AND($K1822="对外销售",$T1822&lt;&gt;"",$T1822&lt;0),"※这一笔外销是亏的，请核对售价",IF(IFERROR(VLOOKUP($D1822,库存台账!$A$5:$Y$1204,24,0),0)&lt;-0.001,"※这个物料账面已经变成负数了，查一下是不是漏记入库","")))))))))))</f>
        <v/>
      </c>
    </row>
    <row r="1823">
      <c r="A1823" s="24">
        <f>IF($D1823="","",COUNTA($D$4:$D1823))</f>
        <v/>
      </c>
      <c r="B1823" s="17" t="n"/>
      <c r="C1823" s="30" t="n"/>
      <c r="D1823" s="17" t="n"/>
      <c r="E1823" s="24">
        <f>IF($D1823="","",IFERROR(VLOOKUP($D1823,物料档案!$A$4:$P$1203,3,0),"※编码不在物料档案里"))</f>
        <v/>
      </c>
      <c r="F1823" s="24">
        <f>IF($D1823="","",IFERROR(VLOOKUP($D1823,物料档案!$A$4:$P$1203,4,0),"※编码不在物料档案里"))</f>
        <v/>
      </c>
      <c r="G1823" s="24">
        <f>IF($D1823="","",IFERROR(VLOOKUP($D1823,物料档案!$A$4:$P$1203,5,0),"※编码不在物料档案里"))</f>
        <v/>
      </c>
      <c r="H1823" s="24">
        <f>IF($D1823="","",IFERROR(VLOOKUP($D1823,物料档案!$A$4:$P$1203,2,0),"※编码不在物料档案里"))</f>
        <v/>
      </c>
      <c r="I1823" s="24">
        <f>IF($D1823="","",IFERROR(VLOOKUP($D1823,物料档案!$A$4:$P$1203,6,0),"※编码不在物料档案里"))</f>
        <v/>
      </c>
      <c r="J1823" s="23" t="n"/>
      <c r="K1823" s="17" t="n"/>
      <c r="L1823" s="17" t="n"/>
      <c r="M1823" s="17" t="n"/>
      <c r="N1823" s="17" t="n"/>
      <c r="O1823" s="26">
        <f>IF($D1823="","",IFERROR(VLOOKUP($D1823,物料档案!$A$4:$P$1203,10,0),0))</f>
        <v/>
      </c>
      <c r="P1823" s="32" t="n"/>
      <c r="Q1823" s="26">
        <f>IF($D1823="","",IF($K1823&lt;&gt;"对外销售",0,ROUND(N($J1823)*IF($P1823="",N($O1823),N($P1823)),0)))</f>
        <v/>
      </c>
      <c r="R1823" s="26">
        <f>IF($D1823="","",IFERROR(VLOOKUP($D1823,库存台账!$A$5:$Y$1204,11,0),0))</f>
        <v/>
      </c>
      <c r="S1823" s="26">
        <f>IF($D1823="","",ROUND(N($J1823)*N($R1823),0))</f>
        <v/>
      </c>
      <c r="T1823" s="26">
        <f>IF($D1823="","",IF($K1823&lt;&gt;"对外销售","",ROUND($Q1823-$S1823,0)))</f>
        <v/>
      </c>
      <c r="U1823" s="17" t="n"/>
      <c r="V1823" s="17" t="n"/>
      <c r="W1823" s="24">
        <f>IF($D1823="","",IF($E1823="※编码不在物料档案里","※物料编码不在档案里",IF(N($J1823)&lt;=0,"※出库数量要大于 0",IF($K1823="","※没填去向类型",IF($L1823="","※没填去向矿区",IF(AND($C1823&lt;&gt;"",$C1823&lt;=结账锁),"※日期早于已结账截止日，不能再录",IF(AND($K1823="自用消耗",COUNTIF({"一矿区";"二矿区"},$L1823)=0),"※自用消耗的去向只能是一矿区或二矿区",IF(AND($K1823="对外销售",COUNTIF({"三矿区";"六矿区"},$L1823)=0),"※对外销售的去向只能是三矿区或六矿区",IF(AND($K1823="对外销售",ROUND($Q1823,0)=0),"※外销却没有售价，请填实际售价",IF(AND($K1823="对外销售",$T1823&lt;&gt;"",$T1823&lt;0),"※这一笔外销是亏的，请核对售价",IF(IFERROR(VLOOKUP($D1823,库存台账!$A$5:$Y$1204,24,0),0)&lt;-0.001,"※这个物料账面已经变成负数了，查一下是不是漏记入库","")))))))))))</f>
        <v/>
      </c>
    </row>
    <row r="1824">
      <c r="A1824" s="24">
        <f>IF($D1824="","",COUNTA($D$4:$D1824))</f>
        <v/>
      </c>
      <c r="B1824" s="17" t="n"/>
      <c r="C1824" s="30" t="n"/>
      <c r="D1824" s="17" t="n"/>
      <c r="E1824" s="24">
        <f>IF($D1824="","",IFERROR(VLOOKUP($D1824,物料档案!$A$4:$P$1203,3,0),"※编码不在物料档案里"))</f>
        <v/>
      </c>
      <c r="F1824" s="24">
        <f>IF($D1824="","",IFERROR(VLOOKUP($D1824,物料档案!$A$4:$P$1203,4,0),"※编码不在物料档案里"))</f>
        <v/>
      </c>
      <c r="G1824" s="24">
        <f>IF($D1824="","",IFERROR(VLOOKUP($D1824,物料档案!$A$4:$P$1203,5,0),"※编码不在物料档案里"))</f>
        <v/>
      </c>
      <c r="H1824" s="24">
        <f>IF($D1824="","",IFERROR(VLOOKUP($D1824,物料档案!$A$4:$P$1203,2,0),"※编码不在物料档案里"))</f>
        <v/>
      </c>
      <c r="I1824" s="24">
        <f>IF($D1824="","",IFERROR(VLOOKUP($D1824,物料档案!$A$4:$P$1203,6,0),"※编码不在物料档案里"))</f>
        <v/>
      </c>
      <c r="J1824" s="23" t="n"/>
      <c r="K1824" s="17" t="n"/>
      <c r="L1824" s="17" t="n"/>
      <c r="M1824" s="17" t="n"/>
      <c r="N1824" s="17" t="n"/>
      <c r="O1824" s="26">
        <f>IF($D1824="","",IFERROR(VLOOKUP($D1824,物料档案!$A$4:$P$1203,10,0),0))</f>
        <v/>
      </c>
      <c r="P1824" s="32" t="n"/>
      <c r="Q1824" s="26">
        <f>IF($D1824="","",IF($K1824&lt;&gt;"对外销售",0,ROUND(N($J1824)*IF($P1824="",N($O1824),N($P1824)),0)))</f>
        <v/>
      </c>
      <c r="R1824" s="26">
        <f>IF($D1824="","",IFERROR(VLOOKUP($D1824,库存台账!$A$5:$Y$1204,11,0),0))</f>
        <v/>
      </c>
      <c r="S1824" s="26">
        <f>IF($D1824="","",ROUND(N($J1824)*N($R1824),0))</f>
        <v/>
      </c>
      <c r="T1824" s="26">
        <f>IF($D1824="","",IF($K1824&lt;&gt;"对外销售","",ROUND($Q1824-$S1824,0)))</f>
        <v/>
      </c>
      <c r="U1824" s="17" t="n"/>
      <c r="V1824" s="17" t="n"/>
      <c r="W1824" s="24">
        <f>IF($D1824="","",IF($E1824="※编码不在物料档案里","※物料编码不在档案里",IF(N($J1824)&lt;=0,"※出库数量要大于 0",IF($K1824="","※没填去向类型",IF($L1824="","※没填去向矿区",IF(AND($C1824&lt;&gt;"",$C1824&lt;=结账锁),"※日期早于已结账截止日，不能再录",IF(AND($K1824="自用消耗",COUNTIF({"一矿区";"二矿区"},$L1824)=0),"※自用消耗的去向只能是一矿区或二矿区",IF(AND($K1824="对外销售",COUNTIF({"三矿区";"六矿区"},$L1824)=0),"※对外销售的去向只能是三矿区或六矿区",IF(AND($K1824="对外销售",ROUND($Q1824,0)=0),"※外销却没有售价，请填实际售价",IF(AND($K1824="对外销售",$T1824&lt;&gt;"",$T1824&lt;0),"※这一笔外销是亏的，请核对售价",IF(IFERROR(VLOOKUP($D1824,库存台账!$A$5:$Y$1204,24,0),0)&lt;-0.001,"※这个物料账面已经变成负数了，查一下是不是漏记入库","")))))))))))</f>
        <v/>
      </c>
    </row>
    <row r="1825">
      <c r="A1825" s="24">
        <f>IF($D1825="","",COUNTA($D$4:$D1825))</f>
        <v/>
      </c>
      <c r="B1825" s="17" t="n"/>
      <c r="C1825" s="30" t="n"/>
      <c r="D1825" s="17" t="n"/>
      <c r="E1825" s="24">
        <f>IF($D1825="","",IFERROR(VLOOKUP($D1825,物料档案!$A$4:$P$1203,3,0),"※编码不在物料档案里"))</f>
        <v/>
      </c>
      <c r="F1825" s="24">
        <f>IF($D1825="","",IFERROR(VLOOKUP($D1825,物料档案!$A$4:$P$1203,4,0),"※编码不在物料档案里"))</f>
        <v/>
      </c>
      <c r="G1825" s="24">
        <f>IF($D1825="","",IFERROR(VLOOKUP($D1825,物料档案!$A$4:$P$1203,5,0),"※编码不在物料档案里"))</f>
        <v/>
      </c>
      <c r="H1825" s="24">
        <f>IF($D1825="","",IFERROR(VLOOKUP($D1825,物料档案!$A$4:$P$1203,2,0),"※编码不在物料档案里"))</f>
        <v/>
      </c>
      <c r="I1825" s="24">
        <f>IF($D1825="","",IFERROR(VLOOKUP($D1825,物料档案!$A$4:$P$1203,6,0),"※编码不在物料档案里"))</f>
        <v/>
      </c>
      <c r="J1825" s="23" t="n"/>
      <c r="K1825" s="17" t="n"/>
      <c r="L1825" s="17" t="n"/>
      <c r="M1825" s="17" t="n"/>
      <c r="N1825" s="17" t="n"/>
      <c r="O1825" s="26">
        <f>IF($D1825="","",IFERROR(VLOOKUP($D1825,物料档案!$A$4:$P$1203,10,0),0))</f>
        <v/>
      </c>
      <c r="P1825" s="32" t="n"/>
      <c r="Q1825" s="26">
        <f>IF($D1825="","",IF($K1825&lt;&gt;"对外销售",0,ROUND(N($J1825)*IF($P1825="",N($O1825),N($P1825)),0)))</f>
        <v/>
      </c>
      <c r="R1825" s="26">
        <f>IF($D1825="","",IFERROR(VLOOKUP($D1825,库存台账!$A$5:$Y$1204,11,0),0))</f>
        <v/>
      </c>
      <c r="S1825" s="26">
        <f>IF($D1825="","",ROUND(N($J1825)*N($R1825),0))</f>
        <v/>
      </c>
      <c r="T1825" s="26">
        <f>IF($D1825="","",IF($K1825&lt;&gt;"对外销售","",ROUND($Q1825-$S1825,0)))</f>
        <v/>
      </c>
      <c r="U1825" s="17" t="n"/>
      <c r="V1825" s="17" t="n"/>
      <c r="W1825" s="24">
        <f>IF($D1825="","",IF($E1825="※编码不在物料档案里","※物料编码不在档案里",IF(N($J1825)&lt;=0,"※出库数量要大于 0",IF($K1825="","※没填去向类型",IF($L1825="","※没填去向矿区",IF(AND($C1825&lt;&gt;"",$C1825&lt;=结账锁),"※日期早于已结账截止日，不能再录",IF(AND($K1825="自用消耗",COUNTIF({"一矿区";"二矿区"},$L1825)=0),"※自用消耗的去向只能是一矿区或二矿区",IF(AND($K1825="对外销售",COUNTIF({"三矿区";"六矿区"},$L1825)=0),"※对外销售的去向只能是三矿区或六矿区",IF(AND($K1825="对外销售",ROUND($Q1825,0)=0),"※外销却没有售价，请填实际售价",IF(AND($K1825="对外销售",$T1825&lt;&gt;"",$T1825&lt;0),"※这一笔外销是亏的，请核对售价",IF(IFERROR(VLOOKUP($D1825,库存台账!$A$5:$Y$1204,24,0),0)&lt;-0.001,"※这个物料账面已经变成负数了，查一下是不是漏记入库","")))))))))))</f>
        <v/>
      </c>
    </row>
    <row r="1826">
      <c r="A1826" s="24">
        <f>IF($D1826="","",COUNTA($D$4:$D1826))</f>
        <v/>
      </c>
      <c r="B1826" s="17" t="n"/>
      <c r="C1826" s="30" t="n"/>
      <c r="D1826" s="17" t="n"/>
      <c r="E1826" s="24">
        <f>IF($D1826="","",IFERROR(VLOOKUP($D1826,物料档案!$A$4:$P$1203,3,0),"※编码不在物料档案里"))</f>
        <v/>
      </c>
      <c r="F1826" s="24">
        <f>IF($D1826="","",IFERROR(VLOOKUP($D1826,物料档案!$A$4:$P$1203,4,0),"※编码不在物料档案里"))</f>
        <v/>
      </c>
      <c r="G1826" s="24">
        <f>IF($D1826="","",IFERROR(VLOOKUP($D1826,物料档案!$A$4:$P$1203,5,0),"※编码不在物料档案里"))</f>
        <v/>
      </c>
      <c r="H1826" s="24">
        <f>IF($D1826="","",IFERROR(VLOOKUP($D1826,物料档案!$A$4:$P$1203,2,0),"※编码不在物料档案里"))</f>
        <v/>
      </c>
      <c r="I1826" s="24">
        <f>IF($D1826="","",IFERROR(VLOOKUP($D1826,物料档案!$A$4:$P$1203,6,0),"※编码不在物料档案里"))</f>
        <v/>
      </c>
      <c r="J1826" s="23" t="n"/>
      <c r="K1826" s="17" t="n"/>
      <c r="L1826" s="17" t="n"/>
      <c r="M1826" s="17" t="n"/>
      <c r="N1826" s="17" t="n"/>
      <c r="O1826" s="26">
        <f>IF($D1826="","",IFERROR(VLOOKUP($D1826,物料档案!$A$4:$P$1203,10,0),0))</f>
        <v/>
      </c>
      <c r="P1826" s="32" t="n"/>
      <c r="Q1826" s="26">
        <f>IF($D1826="","",IF($K1826&lt;&gt;"对外销售",0,ROUND(N($J1826)*IF($P1826="",N($O1826),N($P1826)),0)))</f>
        <v/>
      </c>
      <c r="R1826" s="26">
        <f>IF($D1826="","",IFERROR(VLOOKUP($D1826,库存台账!$A$5:$Y$1204,11,0),0))</f>
        <v/>
      </c>
      <c r="S1826" s="26">
        <f>IF($D1826="","",ROUND(N($J1826)*N($R1826),0))</f>
        <v/>
      </c>
      <c r="T1826" s="26">
        <f>IF($D1826="","",IF($K1826&lt;&gt;"对外销售","",ROUND($Q1826-$S1826,0)))</f>
        <v/>
      </c>
      <c r="U1826" s="17" t="n"/>
      <c r="V1826" s="17" t="n"/>
      <c r="W1826" s="24">
        <f>IF($D1826="","",IF($E1826="※编码不在物料档案里","※物料编码不在档案里",IF(N($J1826)&lt;=0,"※出库数量要大于 0",IF($K1826="","※没填去向类型",IF($L1826="","※没填去向矿区",IF(AND($C1826&lt;&gt;"",$C1826&lt;=结账锁),"※日期早于已结账截止日，不能再录",IF(AND($K1826="自用消耗",COUNTIF({"一矿区";"二矿区"},$L1826)=0),"※自用消耗的去向只能是一矿区或二矿区",IF(AND($K1826="对外销售",COUNTIF({"三矿区";"六矿区"},$L1826)=0),"※对外销售的去向只能是三矿区或六矿区",IF(AND($K1826="对外销售",ROUND($Q1826,0)=0),"※外销却没有售价，请填实际售价",IF(AND($K1826="对外销售",$T1826&lt;&gt;"",$T1826&lt;0),"※这一笔外销是亏的，请核对售价",IF(IFERROR(VLOOKUP($D1826,库存台账!$A$5:$Y$1204,24,0),0)&lt;-0.001,"※这个物料账面已经变成负数了，查一下是不是漏记入库","")))))))))))</f>
        <v/>
      </c>
    </row>
    <row r="1827">
      <c r="A1827" s="24">
        <f>IF($D1827="","",COUNTA($D$4:$D1827))</f>
        <v/>
      </c>
      <c r="B1827" s="17" t="n"/>
      <c r="C1827" s="30" t="n"/>
      <c r="D1827" s="17" t="n"/>
      <c r="E1827" s="24">
        <f>IF($D1827="","",IFERROR(VLOOKUP($D1827,物料档案!$A$4:$P$1203,3,0),"※编码不在物料档案里"))</f>
        <v/>
      </c>
      <c r="F1827" s="24">
        <f>IF($D1827="","",IFERROR(VLOOKUP($D1827,物料档案!$A$4:$P$1203,4,0),"※编码不在物料档案里"))</f>
        <v/>
      </c>
      <c r="G1827" s="24">
        <f>IF($D1827="","",IFERROR(VLOOKUP($D1827,物料档案!$A$4:$P$1203,5,0),"※编码不在物料档案里"))</f>
        <v/>
      </c>
      <c r="H1827" s="24">
        <f>IF($D1827="","",IFERROR(VLOOKUP($D1827,物料档案!$A$4:$P$1203,2,0),"※编码不在物料档案里"))</f>
        <v/>
      </c>
      <c r="I1827" s="24">
        <f>IF($D1827="","",IFERROR(VLOOKUP($D1827,物料档案!$A$4:$P$1203,6,0),"※编码不在物料档案里"))</f>
        <v/>
      </c>
      <c r="J1827" s="23" t="n"/>
      <c r="K1827" s="17" t="n"/>
      <c r="L1827" s="17" t="n"/>
      <c r="M1827" s="17" t="n"/>
      <c r="N1827" s="17" t="n"/>
      <c r="O1827" s="26">
        <f>IF($D1827="","",IFERROR(VLOOKUP($D1827,物料档案!$A$4:$P$1203,10,0),0))</f>
        <v/>
      </c>
      <c r="P1827" s="32" t="n"/>
      <c r="Q1827" s="26">
        <f>IF($D1827="","",IF($K1827&lt;&gt;"对外销售",0,ROUND(N($J1827)*IF($P1827="",N($O1827),N($P1827)),0)))</f>
        <v/>
      </c>
      <c r="R1827" s="26">
        <f>IF($D1827="","",IFERROR(VLOOKUP($D1827,库存台账!$A$5:$Y$1204,11,0),0))</f>
        <v/>
      </c>
      <c r="S1827" s="26">
        <f>IF($D1827="","",ROUND(N($J1827)*N($R1827),0))</f>
        <v/>
      </c>
      <c r="T1827" s="26">
        <f>IF($D1827="","",IF($K1827&lt;&gt;"对外销售","",ROUND($Q1827-$S1827,0)))</f>
        <v/>
      </c>
      <c r="U1827" s="17" t="n"/>
      <c r="V1827" s="17" t="n"/>
      <c r="W1827" s="24">
        <f>IF($D1827="","",IF($E1827="※编码不在物料档案里","※物料编码不在档案里",IF(N($J1827)&lt;=0,"※出库数量要大于 0",IF($K1827="","※没填去向类型",IF($L1827="","※没填去向矿区",IF(AND($C1827&lt;&gt;"",$C1827&lt;=结账锁),"※日期早于已结账截止日，不能再录",IF(AND($K1827="自用消耗",COUNTIF({"一矿区";"二矿区"},$L1827)=0),"※自用消耗的去向只能是一矿区或二矿区",IF(AND($K1827="对外销售",COUNTIF({"三矿区";"六矿区"},$L1827)=0),"※对外销售的去向只能是三矿区或六矿区",IF(AND($K1827="对外销售",ROUND($Q1827,0)=0),"※外销却没有售价，请填实际售价",IF(AND($K1827="对外销售",$T1827&lt;&gt;"",$T1827&lt;0),"※这一笔外销是亏的，请核对售价",IF(IFERROR(VLOOKUP($D1827,库存台账!$A$5:$Y$1204,24,0),0)&lt;-0.001,"※这个物料账面已经变成负数了，查一下是不是漏记入库","")))))))))))</f>
        <v/>
      </c>
    </row>
    <row r="1828">
      <c r="A1828" s="24">
        <f>IF($D1828="","",COUNTA($D$4:$D1828))</f>
        <v/>
      </c>
      <c r="B1828" s="17" t="n"/>
      <c r="C1828" s="30" t="n"/>
      <c r="D1828" s="17" t="n"/>
      <c r="E1828" s="24">
        <f>IF($D1828="","",IFERROR(VLOOKUP($D1828,物料档案!$A$4:$P$1203,3,0),"※编码不在物料档案里"))</f>
        <v/>
      </c>
      <c r="F1828" s="24">
        <f>IF($D1828="","",IFERROR(VLOOKUP($D1828,物料档案!$A$4:$P$1203,4,0),"※编码不在物料档案里"))</f>
        <v/>
      </c>
      <c r="G1828" s="24">
        <f>IF($D1828="","",IFERROR(VLOOKUP($D1828,物料档案!$A$4:$P$1203,5,0),"※编码不在物料档案里"))</f>
        <v/>
      </c>
      <c r="H1828" s="24">
        <f>IF($D1828="","",IFERROR(VLOOKUP($D1828,物料档案!$A$4:$P$1203,2,0),"※编码不在物料档案里"))</f>
        <v/>
      </c>
      <c r="I1828" s="24">
        <f>IF($D1828="","",IFERROR(VLOOKUP($D1828,物料档案!$A$4:$P$1203,6,0),"※编码不在物料档案里"))</f>
        <v/>
      </c>
      <c r="J1828" s="23" t="n"/>
      <c r="K1828" s="17" t="n"/>
      <c r="L1828" s="17" t="n"/>
      <c r="M1828" s="17" t="n"/>
      <c r="N1828" s="17" t="n"/>
      <c r="O1828" s="26">
        <f>IF($D1828="","",IFERROR(VLOOKUP($D1828,物料档案!$A$4:$P$1203,10,0),0))</f>
        <v/>
      </c>
      <c r="P1828" s="32" t="n"/>
      <c r="Q1828" s="26">
        <f>IF($D1828="","",IF($K1828&lt;&gt;"对外销售",0,ROUND(N($J1828)*IF($P1828="",N($O1828),N($P1828)),0)))</f>
        <v/>
      </c>
      <c r="R1828" s="26">
        <f>IF($D1828="","",IFERROR(VLOOKUP($D1828,库存台账!$A$5:$Y$1204,11,0),0))</f>
        <v/>
      </c>
      <c r="S1828" s="26">
        <f>IF($D1828="","",ROUND(N($J1828)*N($R1828),0))</f>
        <v/>
      </c>
      <c r="T1828" s="26">
        <f>IF($D1828="","",IF($K1828&lt;&gt;"对外销售","",ROUND($Q1828-$S1828,0)))</f>
        <v/>
      </c>
      <c r="U1828" s="17" t="n"/>
      <c r="V1828" s="17" t="n"/>
      <c r="W1828" s="24">
        <f>IF($D1828="","",IF($E1828="※编码不在物料档案里","※物料编码不在档案里",IF(N($J1828)&lt;=0,"※出库数量要大于 0",IF($K1828="","※没填去向类型",IF($L1828="","※没填去向矿区",IF(AND($C1828&lt;&gt;"",$C1828&lt;=结账锁),"※日期早于已结账截止日，不能再录",IF(AND($K1828="自用消耗",COUNTIF({"一矿区";"二矿区"},$L1828)=0),"※自用消耗的去向只能是一矿区或二矿区",IF(AND($K1828="对外销售",COUNTIF({"三矿区";"六矿区"},$L1828)=0),"※对外销售的去向只能是三矿区或六矿区",IF(AND($K1828="对外销售",ROUND($Q1828,0)=0),"※外销却没有售价，请填实际售价",IF(AND($K1828="对外销售",$T1828&lt;&gt;"",$T1828&lt;0),"※这一笔外销是亏的，请核对售价",IF(IFERROR(VLOOKUP($D1828,库存台账!$A$5:$Y$1204,24,0),0)&lt;-0.001,"※这个物料账面已经变成负数了，查一下是不是漏记入库","")))))))))))</f>
        <v/>
      </c>
    </row>
    <row r="1829">
      <c r="A1829" s="24">
        <f>IF($D1829="","",COUNTA($D$4:$D1829))</f>
        <v/>
      </c>
      <c r="B1829" s="17" t="n"/>
      <c r="C1829" s="30" t="n"/>
      <c r="D1829" s="17" t="n"/>
      <c r="E1829" s="24">
        <f>IF($D1829="","",IFERROR(VLOOKUP($D1829,物料档案!$A$4:$P$1203,3,0),"※编码不在物料档案里"))</f>
        <v/>
      </c>
      <c r="F1829" s="24">
        <f>IF($D1829="","",IFERROR(VLOOKUP($D1829,物料档案!$A$4:$P$1203,4,0),"※编码不在物料档案里"))</f>
        <v/>
      </c>
      <c r="G1829" s="24">
        <f>IF($D1829="","",IFERROR(VLOOKUP($D1829,物料档案!$A$4:$P$1203,5,0),"※编码不在物料档案里"))</f>
        <v/>
      </c>
      <c r="H1829" s="24">
        <f>IF($D1829="","",IFERROR(VLOOKUP($D1829,物料档案!$A$4:$P$1203,2,0),"※编码不在物料档案里"))</f>
        <v/>
      </c>
      <c r="I1829" s="24">
        <f>IF($D1829="","",IFERROR(VLOOKUP($D1829,物料档案!$A$4:$P$1203,6,0),"※编码不在物料档案里"))</f>
        <v/>
      </c>
      <c r="J1829" s="23" t="n"/>
      <c r="K1829" s="17" t="n"/>
      <c r="L1829" s="17" t="n"/>
      <c r="M1829" s="17" t="n"/>
      <c r="N1829" s="17" t="n"/>
      <c r="O1829" s="26">
        <f>IF($D1829="","",IFERROR(VLOOKUP($D1829,物料档案!$A$4:$P$1203,10,0),0))</f>
        <v/>
      </c>
      <c r="P1829" s="32" t="n"/>
      <c r="Q1829" s="26">
        <f>IF($D1829="","",IF($K1829&lt;&gt;"对外销售",0,ROUND(N($J1829)*IF($P1829="",N($O1829),N($P1829)),0)))</f>
        <v/>
      </c>
      <c r="R1829" s="26">
        <f>IF($D1829="","",IFERROR(VLOOKUP($D1829,库存台账!$A$5:$Y$1204,11,0),0))</f>
        <v/>
      </c>
      <c r="S1829" s="26">
        <f>IF($D1829="","",ROUND(N($J1829)*N($R1829),0))</f>
        <v/>
      </c>
      <c r="T1829" s="26">
        <f>IF($D1829="","",IF($K1829&lt;&gt;"对外销售","",ROUND($Q1829-$S1829,0)))</f>
        <v/>
      </c>
      <c r="U1829" s="17" t="n"/>
      <c r="V1829" s="17" t="n"/>
      <c r="W1829" s="24">
        <f>IF($D1829="","",IF($E1829="※编码不在物料档案里","※物料编码不在档案里",IF(N($J1829)&lt;=0,"※出库数量要大于 0",IF($K1829="","※没填去向类型",IF($L1829="","※没填去向矿区",IF(AND($C1829&lt;&gt;"",$C1829&lt;=结账锁),"※日期早于已结账截止日，不能再录",IF(AND($K1829="自用消耗",COUNTIF({"一矿区";"二矿区"},$L1829)=0),"※自用消耗的去向只能是一矿区或二矿区",IF(AND($K1829="对外销售",COUNTIF({"三矿区";"六矿区"},$L1829)=0),"※对外销售的去向只能是三矿区或六矿区",IF(AND($K1829="对外销售",ROUND($Q1829,0)=0),"※外销却没有售价，请填实际售价",IF(AND($K1829="对外销售",$T1829&lt;&gt;"",$T1829&lt;0),"※这一笔外销是亏的，请核对售价",IF(IFERROR(VLOOKUP($D1829,库存台账!$A$5:$Y$1204,24,0),0)&lt;-0.001,"※这个物料账面已经变成负数了，查一下是不是漏记入库","")))))))))))</f>
        <v/>
      </c>
    </row>
    <row r="1830">
      <c r="A1830" s="24">
        <f>IF($D1830="","",COUNTA($D$4:$D1830))</f>
        <v/>
      </c>
      <c r="B1830" s="17" t="n"/>
      <c r="C1830" s="30" t="n"/>
      <c r="D1830" s="17" t="n"/>
      <c r="E1830" s="24">
        <f>IF($D1830="","",IFERROR(VLOOKUP($D1830,物料档案!$A$4:$P$1203,3,0),"※编码不在物料档案里"))</f>
        <v/>
      </c>
      <c r="F1830" s="24">
        <f>IF($D1830="","",IFERROR(VLOOKUP($D1830,物料档案!$A$4:$P$1203,4,0),"※编码不在物料档案里"))</f>
        <v/>
      </c>
      <c r="G1830" s="24">
        <f>IF($D1830="","",IFERROR(VLOOKUP($D1830,物料档案!$A$4:$P$1203,5,0),"※编码不在物料档案里"))</f>
        <v/>
      </c>
      <c r="H1830" s="24">
        <f>IF($D1830="","",IFERROR(VLOOKUP($D1830,物料档案!$A$4:$P$1203,2,0),"※编码不在物料档案里"))</f>
        <v/>
      </c>
      <c r="I1830" s="24">
        <f>IF($D1830="","",IFERROR(VLOOKUP($D1830,物料档案!$A$4:$P$1203,6,0),"※编码不在物料档案里"))</f>
        <v/>
      </c>
      <c r="J1830" s="23" t="n"/>
      <c r="K1830" s="17" t="n"/>
      <c r="L1830" s="17" t="n"/>
      <c r="M1830" s="17" t="n"/>
      <c r="N1830" s="17" t="n"/>
      <c r="O1830" s="26">
        <f>IF($D1830="","",IFERROR(VLOOKUP($D1830,物料档案!$A$4:$P$1203,10,0),0))</f>
        <v/>
      </c>
      <c r="P1830" s="32" t="n"/>
      <c r="Q1830" s="26">
        <f>IF($D1830="","",IF($K1830&lt;&gt;"对外销售",0,ROUND(N($J1830)*IF($P1830="",N($O1830),N($P1830)),0)))</f>
        <v/>
      </c>
      <c r="R1830" s="26">
        <f>IF($D1830="","",IFERROR(VLOOKUP($D1830,库存台账!$A$5:$Y$1204,11,0),0))</f>
        <v/>
      </c>
      <c r="S1830" s="26">
        <f>IF($D1830="","",ROUND(N($J1830)*N($R1830),0))</f>
        <v/>
      </c>
      <c r="T1830" s="26">
        <f>IF($D1830="","",IF($K1830&lt;&gt;"对外销售","",ROUND($Q1830-$S1830,0)))</f>
        <v/>
      </c>
      <c r="U1830" s="17" t="n"/>
      <c r="V1830" s="17" t="n"/>
      <c r="W1830" s="24">
        <f>IF($D1830="","",IF($E1830="※编码不在物料档案里","※物料编码不在档案里",IF(N($J1830)&lt;=0,"※出库数量要大于 0",IF($K1830="","※没填去向类型",IF($L1830="","※没填去向矿区",IF(AND($C1830&lt;&gt;"",$C1830&lt;=结账锁),"※日期早于已结账截止日，不能再录",IF(AND($K1830="自用消耗",COUNTIF({"一矿区";"二矿区"},$L1830)=0),"※自用消耗的去向只能是一矿区或二矿区",IF(AND($K1830="对外销售",COUNTIF({"三矿区";"六矿区"},$L1830)=0),"※对外销售的去向只能是三矿区或六矿区",IF(AND($K1830="对外销售",ROUND($Q1830,0)=0),"※外销却没有售价，请填实际售价",IF(AND($K1830="对外销售",$T1830&lt;&gt;"",$T1830&lt;0),"※这一笔外销是亏的，请核对售价",IF(IFERROR(VLOOKUP($D1830,库存台账!$A$5:$Y$1204,24,0),0)&lt;-0.001,"※这个物料账面已经变成负数了，查一下是不是漏记入库","")))))))))))</f>
        <v/>
      </c>
    </row>
    <row r="1831">
      <c r="A1831" s="24">
        <f>IF($D1831="","",COUNTA($D$4:$D1831))</f>
        <v/>
      </c>
      <c r="B1831" s="17" t="n"/>
      <c r="C1831" s="30" t="n"/>
      <c r="D1831" s="17" t="n"/>
      <c r="E1831" s="24">
        <f>IF($D1831="","",IFERROR(VLOOKUP($D1831,物料档案!$A$4:$P$1203,3,0),"※编码不在物料档案里"))</f>
        <v/>
      </c>
      <c r="F1831" s="24">
        <f>IF($D1831="","",IFERROR(VLOOKUP($D1831,物料档案!$A$4:$P$1203,4,0),"※编码不在物料档案里"))</f>
        <v/>
      </c>
      <c r="G1831" s="24">
        <f>IF($D1831="","",IFERROR(VLOOKUP($D1831,物料档案!$A$4:$P$1203,5,0),"※编码不在物料档案里"))</f>
        <v/>
      </c>
      <c r="H1831" s="24">
        <f>IF($D1831="","",IFERROR(VLOOKUP($D1831,物料档案!$A$4:$P$1203,2,0),"※编码不在物料档案里"))</f>
        <v/>
      </c>
      <c r="I1831" s="24">
        <f>IF($D1831="","",IFERROR(VLOOKUP($D1831,物料档案!$A$4:$P$1203,6,0),"※编码不在物料档案里"))</f>
        <v/>
      </c>
      <c r="J1831" s="23" t="n"/>
      <c r="K1831" s="17" t="n"/>
      <c r="L1831" s="17" t="n"/>
      <c r="M1831" s="17" t="n"/>
      <c r="N1831" s="17" t="n"/>
      <c r="O1831" s="26">
        <f>IF($D1831="","",IFERROR(VLOOKUP($D1831,物料档案!$A$4:$P$1203,10,0),0))</f>
        <v/>
      </c>
      <c r="P1831" s="32" t="n"/>
      <c r="Q1831" s="26">
        <f>IF($D1831="","",IF($K1831&lt;&gt;"对外销售",0,ROUND(N($J1831)*IF($P1831="",N($O1831),N($P1831)),0)))</f>
        <v/>
      </c>
      <c r="R1831" s="26">
        <f>IF($D1831="","",IFERROR(VLOOKUP($D1831,库存台账!$A$5:$Y$1204,11,0),0))</f>
        <v/>
      </c>
      <c r="S1831" s="26">
        <f>IF($D1831="","",ROUND(N($J1831)*N($R1831),0))</f>
        <v/>
      </c>
      <c r="T1831" s="26">
        <f>IF($D1831="","",IF($K1831&lt;&gt;"对外销售","",ROUND($Q1831-$S1831,0)))</f>
        <v/>
      </c>
      <c r="U1831" s="17" t="n"/>
      <c r="V1831" s="17" t="n"/>
      <c r="W1831" s="24">
        <f>IF($D1831="","",IF($E1831="※编码不在物料档案里","※物料编码不在档案里",IF(N($J1831)&lt;=0,"※出库数量要大于 0",IF($K1831="","※没填去向类型",IF($L1831="","※没填去向矿区",IF(AND($C1831&lt;&gt;"",$C1831&lt;=结账锁),"※日期早于已结账截止日，不能再录",IF(AND($K1831="自用消耗",COUNTIF({"一矿区";"二矿区"},$L1831)=0),"※自用消耗的去向只能是一矿区或二矿区",IF(AND($K1831="对外销售",COUNTIF({"三矿区";"六矿区"},$L1831)=0),"※对外销售的去向只能是三矿区或六矿区",IF(AND($K1831="对外销售",ROUND($Q1831,0)=0),"※外销却没有售价，请填实际售价",IF(AND($K1831="对外销售",$T1831&lt;&gt;"",$T1831&lt;0),"※这一笔外销是亏的，请核对售价",IF(IFERROR(VLOOKUP($D1831,库存台账!$A$5:$Y$1204,24,0),0)&lt;-0.001,"※这个物料账面已经变成负数了，查一下是不是漏记入库","")))))))))))</f>
        <v/>
      </c>
    </row>
    <row r="1832">
      <c r="A1832" s="24">
        <f>IF($D1832="","",COUNTA($D$4:$D1832))</f>
        <v/>
      </c>
      <c r="B1832" s="17" t="n"/>
      <c r="C1832" s="30" t="n"/>
      <c r="D1832" s="17" t="n"/>
      <c r="E1832" s="24">
        <f>IF($D1832="","",IFERROR(VLOOKUP($D1832,物料档案!$A$4:$P$1203,3,0),"※编码不在物料档案里"))</f>
        <v/>
      </c>
      <c r="F1832" s="24">
        <f>IF($D1832="","",IFERROR(VLOOKUP($D1832,物料档案!$A$4:$P$1203,4,0),"※编码不在物料档案里"))</f>
        <v/>
      </c>
      <c r="G1832" s="24">
        <f>IF($D1832="","",IFERROR(VLOOKUP($D1832,物料档案!$A$4:$P$1203,5,0),"※编码不在物料档案里"))</f>
        <v/>
      </c>
      <c r="H1832" s="24">
        <f>IF($D1832="","",IFERROR(VLOOKUP($D1832,物料档案!$A$4:$P$1203,2,0),"※编码不在物料档案里"))</f>
        <v/>
      </c>
      <c r="I1832" s="24">
        <f>IF($D1832="","",IFERROR(VLOOKUP($D1832,物料档案!$A$4:$P$1203,6,0),"※编码不在物料档案里"))</f>
        <v/>
      </c>
      <c r="J1832" s="23" t="n"/>
      <c r="K1832" s="17" t="n"/>
      <c r="L1832" s="17" t="n"/>
      <c r="M1832" s="17" t="n"/>
      <c r="N1832" s="17" t="n"/>
      <c r="O1832" s="26">
        <f>IF($D1832="","",IFERROR(VLOOKUP($D1832,物料档案!$A$4:$P$1203,10,0),0))</f>
        <v/>
      </c>
      <c r="P1832" s="32" t="n"/>
      <c r="Q1832" s="26">
        <f>IF($D1832="","",IF($K1832&lt;&gt;"对外销售",0,ROUND(N($J1832)*IF($P1832="",N($O1832),N($P1832)),0)))</f>
        <v/>
      </c>
      <c r="R1832" s="26">
        <f>IF($D1832="","",IFERROR(VLOOKUP($D1832,库存台账!$A$5:$Y$1204,11,0),0))</f>
        <v/>
      </c>
      <c r="S1832" s="26">
        <f>IF($D1832="","",ROUND(N($J1832)*N($R1832),0))</f>
        <v/>
      </c>
      <c r="T1832" s="26">
        <f>IF($D1832="","",IF($K1832&lt;&gt;"对外销售","",ROUND($Q1832-$S1832,0)))</f>
        <v/>
      </c>
      <c r="U1832" s="17" t="n"/>
      <c r="V1832" s="17" t="n"/>
      <c r="W1832" s="24">
        <f>IF($D1832="","",IF($E1832="※编码不在物料档案里","※物料编码不在档案里",IF(N($J1832)&lt;=0,"※出库数量要大于 0",IF($K1832="","※没填去向类型",IF($L1832="","※没填去向矿区",IF(AND($C1832&lt;&gt;"",$C1832&lt;=结账锁),"※日期早于已结账截止日，不能再录",IF(AND($K1832="自用消耗",COUNTIF({"一矿区";"二矿区"},$L1832)=0),"※自用消耗的去向只能是一矿区或二矿区",IF(AND($K1832="对外销售",COUNTIF({"三矿区";"六矿区"},$L1832)=0),"※对外销售的去向只能是三矿区或六矿区",IF(AND($K1832="对外销售",ROUND($Q1832,0)=0),"※外销却没有售价，请填实际售价",IF(AND($K1832="对外销售",$T1832&lt;&gt;"",$T1832&lt;0),"※这一笔外销是亏的，请核对售价",IF(IFERROR(VLOOKUP($D1832,库存台账!$A$5:$Y$1204,24,0),0)&lt;-0.001,"※这个物料账面已经变成负数了，查一下是不是漏记入库","")))))))))))</f>
        <v/>
      </c>
    </row>
    <row r="1833">
      <c r="A1833" s="24">
        <f>IF($D1833="","",COUNTA($D$4:$D1833))</f>
        <v/>
      </c>
      <c r="B1833" s="17" t="n"/>
      <c r="C1833" s="30" t="n"/>
      <c r="D1833" s="17" t="n"/>
      <c r="E1833" s="24">
        <f>IF($D1833="","",IFERROR(VLOOKUP($D1833,物料档案!$A$4:$P$1203,3,0),"※编码不在物料档案里"))</f>
        <v/>
      </c>
      <c r="F1833" s="24">
        <f>IF($D1833="","",IFERROR(VLOOKUP($D1833,物料档案!$A$4:$P$1203,4,0),"※编码不在物料档案里"))</f>
        <v/>
      </c>
      <c r="G1833" s="24">
        <f>IF($D1833="","",IFERROR(VLOOKUP($D1833,物料档案!$A$4:$P$1203,5,0),"※编码不在物料档案里"))</f>
        <v/>
      </c>
      <c r="H1833" s="24">
        <f>IF($D1833="","",IFERROR(VLOOKUP($D1833,物料档案!$A$4:$P$1203,2,0),"※编码不在物料档案里"))</f>
        <v/>
      </c>
      <c r="I1833" s="24">
        <f>IF($D1833="","",IFERROR(VLOOKUP($D1833,物料档案!$A$4:$P$1203,6,0),"※编码不在物料档案里"))</f>
        <v/>
      </c>
      <c r="J1833" s="23" t="n"/>
      <c r="K1833" s="17" t="n"/>
      <c r="L1833" s="17" t="n"/>
      <c r="M1833" s="17" t="n"/>
      <c r="N1833" s="17" t="n"/>
      <c r="O1833" s="26">
        <f>IF($D1833="","",IFERROR(VLOOKUP($D1833,物料档案!$A$4:$P$1203,10,0),0))</f>
        <v/>
      </c>
      <c r="P1833" s="32" t="n"/>
      <c r="Q1833" s="26">
        <f>IF($D1833="","",IF($K1833&lt;&gt;"对外销售",0,ROUND(N($J1833)*IF($P1833="",N($O1833),N($P1833)),0)))</f>
        <v/>
      </c>
      <c r="R1833" s="26">
        <f>IF($D1833="","",IFERROR(VLOOKUP($D1833,库存台账!$A$5:$Y$1204,11,0),0))</f>
        <v/>
      </c>
      <c r="S1833" s="26">
        <f>IF($D1833="","",ROUND(N($J1833)*N($R1833),0))</f>
        <v/>
      </c>
      <c r="T1833" s="26">
        <f>IF($D1833="","",IF($K1833&lt;&gt;"对外销售","",ROUND($Q1833-$S1833,0)))</f>
        <v/>
      </c>
      <c r="U1833" s="17" t="n"/>
      <c r="V1833" s="17" t="n"/>
      <c r="W1833" s="24">
        <f>IF($D1833="","",IF($E1833="※编码不在物料档案里","※物料编码不在档案里",IF(N($J1833)&lt;=0,"※出库数量要大于 0",IF($K1833="","※没填去向类型",IF($L1833="","※没填去向矿区",IF(AND($C1833&lt;&gt;"",$C1833&lt;=结账锁),"※日期早于已结账截止日，不能再录",IF(AND($K1833="自用消耗",COUNTIF({"一矿区";"二矿区"},$L1833)=0),"※自用消耗的去向只能是一矿区或二矿区",IF(AND($K1833="对外销售",COUNTIF({"三矿区";"六矿区"},$L1833)=0),"※对外销售的去向只能是三矿区或六矿区",IF(AND($K1833="对外销售",ROUND($Q1833,0)=0),"※外销却没有售价，请填实际售价",IF(AND($K1833="对外销售",$T1833&lt;&gt;"",$T1833&lt;0),"※这一笔外销是亏的，请核对售价",IF(IFERROR(VLOOKUP($D1833,库存台账!$A$5:$Y$1204,24,0),0)&lt;-0.001,"※这个物料账面已经变成负数了，查一下是不是漏记入库","")))))))))))</f>
        <v/>
      </c>
    </row>
    <row r="1834">
      <c r="A1834" s="24">
        <f>IF($D1834="","",COUNTA($D$4:$D1834))</f>
        <v/>
      </c>
      <c r="B1834" s="17" t="n"/>
      <c r="C1834" s="30" t="n"/>
      <c r="D1834" s="17" t="n"/>
      <c r="E1834" s="24">
        <f>IF($D1834="","",IFERROR(VLOOKUP($D1834,物料档案!$A$4:$P$1203,3,0),"※编码不在物料档案里"))</f>
        <v/>
      </c>
      <c r="F1834" s="24">
        <f>IF($D1834="","",IFERROR(VLOOKUP($D1834,物料档案!$A$4:$P$1203,4,0),"※编码不在物料档案里"))</f>
        <v/>
      </c>
      <c r="G1834" s="24">
        <f>IF($D1834="","",IFERROR(VLOOKUP($D1834,物料档案!$A$4:$P$1203,5,0),"※编码不在物料档案里"))</f>
        <v/>
      </c>
      <c r="H1834" s="24">
        <f>IF($D1834="","",IFERROR(VLOOKUP($D1834,物料档案!$A$4:$P$1203,2,0),"※编码不在物料档案里"))</f>
        <v/>
      </c>
      <c r="I1834" s="24">
        <f>IF($D1834="","",IFERROR(VLOOKUP($D1834,物料档案!$A$4:$P$1203,6,0),"※编码不在物料档案里"))</f>
        <v/>
      </c>
      <c r="J1834" s="23" t="n"/>
      <c r="K1834" s="17" t="n"/>
      <c r="L1834" s="17" t="n"/>
      <c r="M1834" s="17" t="n"/>
      <c r="N1834" s="17" t="n"/>
      <c r="O1834" s="26">
        <f>IF($D1834="","",IFERROR(VLOOKUP($D1834,物料档案!$A$4:$P$1203,10,0),0))</f>
        <v/>
      </c>
      <c r="P1834" s="32" t="n"/>
      <c r="Q1834" s="26">
        <f>IF($D1834="","",IF($K1834&lt;&gt;"对外销售",0,ROUND(N($J1834)*IF($P1834="",N($O1834),N($P1834)),0)))</f>
        <v/>
      </c>
      <c r="R1834" s="26">
        <f>IF($D1834="","",IFERROR(VLOOKUP($D1834,库存台账!$A$5:$Y$1204,11,0),0))</f>
        <v/>
      </c>
      <c r="S1834" s="26">
        <f>IF($D1834="","",ROUND(N($J1834)*N($R1834),0))</f>
        <v/>
      </c>
      <c r="T1834" s="26">
        <f>IF($D1834="","",IF($K1834&lt;&gt;"对外销售","",ROUND($Q1834-$S1834,0)))</f>
        <v/>
      </c>
      <c r="U1834" s="17" t="n"/>
      <c r="V1834" s="17" t="n"/>
      <c r="W1834" s="24">
        <f>IF($D1834="","",IF($E1834="※编码不在物料档案里","※物料编码不在档案里",IF(N($J1834)&lt;=0,"※出库数量要大于 0",IF($K1834="","※没填去向类型",IF($L1834="","※没填去向矿区",IF(AND($C1834&lt;&gt;"",$C1834&lt;=结账锁),"※日期早于已结账截止日，不能再录",IF(AND($K1834="自用消耗",COUNTIF({"一矿区";"二矿区"},$L1834)=0),"※自用消耗的去向只能是一矿区或二矿区",IF(AND($K1834="对外销售",COUNTIF({"三矿区";"六矿区"},$L1834)=0),"※对外销售的去向只能是三矿区或六矿区",IF(AND($K1834="对外销售",ROUND($Q1834,0)=0),"※外销却没有售价，请填实际售价",IF(AND($K1834="对外销售",$T1834&lt;&gt;"",$T1834&lt;0),"※这一笔外销是亏的，请核对售价",IF(IFERROR(VLOOKUP($D1834,库存台账!$A$5:$Y$1204,24,0),0)&lt;-0.001,"※这个物料账面已经变成负数了，查一下是不是漏记入库","")))))))))))</f>
        <v/>
      </c>
    </row>
    <row r="1835">
      <c r="A1835" s="24">
        <f>IF($D1835="","",COUNTA($D$4:$D1835))</f>
        <v/>
      </c>
      <c r="B1835" s="17" t="n"/>
      <c r="C1835" s="30" t="n"/>
      <c r="D1835" s="17" t="n"/>
      <c r="E1835" s="24">
        <f>IF($D1835="","",IFERROR(VLOOKUP($D1835,物料档案!$A$4:$P$1203,3,0),"※编码不在物料档案里"))</f>
        <v/>
      </c>
      <c r="F1835" s="24">
        <f>IF($D1835="","",IFERROR(VLOOKUP($D1835,物料档案!$A$4:$P$1203,4,0),"※编码不在物料档案里"))</f>
        <v/>
      </c>
      <c r="G1835" s="24">
        <f>IF($D1835="","",IFERROR(VLOOKUP($D1835,物料档案!$A$4:$P$1203,5,0),"※编码不在物料档案里"))</f>
        <v/>
      </c>
      <c r="H1835" s="24">
        <f>IF($D1835="","",IFERROR(VLOOKUP($D1835,物料档案!$A$4:$P$1203,2,0),"※编码不在物料档案里"))</f>
        <v/>
      </c>
      <c r="I1835" s="24">
        <f>IF($D1835="","",IFERROR(VLOOKUP($D1835,物料档案!$A$4:$P$1203,6,0),"※编码不在物料档案里"))</f>
        <v/>
      </c>
      <c r="J1835" s="23" t="n"/>
      <c r="K1835" s="17" t="n"/>
      <c r="L1835" s="17" t="n"/>
      <c r="M1835" s="17" t="n"/>
      <c r="N1835" s="17" t="n"/>
      <c r="O1835" s="26">
        <f>IF($D1835="","",IFERROR(VLOOKUP($D1835,物料档案!$A$4:$P$1203,10,0),0))</f>
        <v/>
      </c>
      <c r="P1835" s="32" t="n"/>
      <c r="Q1835" s="26">
        <f>IF($D1835="","",IF($K1835&lt;&gt;"对外销售",0,ROUND(N($J1835)*IF($P1835="",N($O1835),N($P1835)),0)))</f>
        <v/>
      </c>
      <c r="R1835" s="26">
        <f>IF($D1835="","",IFERROR(VLOOKUP($D1835,库存台账!$A$5:$Y$1204,11,0),0))</f>
        <v/>
      </c>
      <c r="S1835" s="26">
        <f>IF($D1835="","",ROUND(N($J1835)*N($R1835),0))</f>
        <v/>
      </c>
      <c r="T1835" s="26">
        <f>IF($D1835="","",IF($K1835&lt;&gt;"对外销售","",ROUND($Q1835-$S1835,0)))</f>
        <v/>
      </c>
      <c r="U1835" s="17" t="n"/>
      <c r="V1835" s="17" t="n"/>
      <c r="W1835" s="24">
        <f>IF($D1835="","",IF($E1835="※编码不在物料档案里","※物料编码不在档案里",IF(N($J1835)&lt;=0,"※出库数量要大于 0",IF($K1835="","※没填去向类型",IF($L1835="","※没填去向矿区",IF(AND($C1835&lt;&gt;"",$C1835&lt;=结账锁),"※日期早于已结账截止日，不能再录",IF(AND($K1835="自用消耗",COUNTIF({"一矿区";"二矿区"},$L1835)=0),"※自用消耗的去向只能是一矿区或二矿区",IF(AND($K1835="对外销售",COUNTIF({"三矿区";"六矿区"},$L1835)=0),"※对外销售的去向只能是三矿区或六矿区",IF(AND($K1835="对外销售",ROUND($Q1835,0)=0),"※外销却没有售价，请填实际售价",IF(AND($K1835="对外销售",$T1835&lt;&gt;"",$T1835&lt;0),"※这一笔外销是亏的，请核对售价",IF(IFERROR(VLOOKUP($D1835,库存台账!$A$5:$Y$1204,24,0),0)&lt;-0.001,"※这个物料账面已经变成负数了，查一下是不是漏记入库","")))))))))))</f>
        <v/>
      </c>
    </row>
    <row r="1836">
      <c r="A1836" s="24">
        <f>IF($D1836="","",COUNTA($D$4:$D1836))</f>
        <v/>
      </c>
      <c r="B1836" s="17" t="n"/>
      <c r="C1836" s="30" t="n"/>
      <c r="D1836" s="17" t="n"/>
      <c r="E1836" s="24">
        <f>IF($D1836="","",IFERROR(VLOOKUP($D1836,物料档案!$A$4:$P$1203,3,0),"※编码不在物料档案里"))</f>
        <v/>
      </c>
      <c r="F1836" s="24">
        <f>IF($D1836="","",IFERROR(VLOOKUP($D1836,物料档案!$A$4:$P$1203,4,0),"※编码不在物料档案里"))</f>
        <v/>
      </c>
      <c r="G1836" s="24">
        <f>IF($D1836="","",IFERROR(VLOOKUP($D1836,物料档案!$A$4:$P$1203,5,0),"※编码不在物料档案里"))</f>
        <v/>
      </c>
      <c r="H1836" s="24">
        <f>IF($D1836="","",IFERROR(VLOOKUP($D1836,物料档案!$A$4:$P$1203,2,0),"※编码不在物料档案里"))</f>
        <v/>
      </c>
      <c r="I1836" s="24">
        <f>IF($D1836="","",IFERROR(VLOOKUP($D1836,物料档案!$A$4:$P$1203,6,0),"※编码不在物料档案里"))</f>
        <v/>
      </c>
      <c r="J1836" s="23" t="n"/>
      <c r="K1836" s="17" t="n"/>
      <c r="L1836" s="17" t="n"/>
      <c r="M1836" s="17" t="n"/>
      <c r="N1836" s="17" t="n"/>
      <c r="O1836" s="26">
        <f>IF($D1836="","",IFERROR(VLOOKUP($D1836,物料档案!$A$4:$P$1203,10,0),0))</f>
        <v/>
      </c>
      <c r="P1836" s="32" t="n"/>
      <c r="Q1836" s="26">
        <f>IF($D1836="","",IF($K1836&lt;&gt;"对外销售",0,ROUND(N($J1836)*IF($P1836="",N($O1836),N($P1836)),0)))</f>
        <v/>
      </c>
      <c r="R1836" s="26">
        <f>IF($D1836="","",IFERROR(VLOOKUP($D1836,库存台账!$A$5:$Y$1204,11,0),0))</f>
        <v/>
      </c>
      <c r="S1836" s="26">
        <f>IF($D1836="","",ROUND(N($J1836)*N($R1836),0))</f>
        <v/>
      </c>
      <c r="T1836" s="26">
        <f>IF($D1836="","",IF($K1836&lt;&gt;"对外销售","",ROUND($Q1836-$S1836,0)))</f>
        <v/>
      </c>
      <c r="U1836" s="17" t="n"/>
      <c r="V1836" s="17" t="n"/>
      <c r="W1836" s="24">
        <f>IF($D1836="","",IF($E1836="※编码不在物料档案里","※物料编码不在档案里",IF(N($J1836)&lt;=0,"※出库数量要大于 0",IF($K1836="","※没填去向类型",IF($L1836="","※没填去向矿区",IF(AND($C1836&lt;&gt;"",$C1836&lt;=结账锁),"※日期早于已结账截止日，不能再录",IF(AND($K1836="自用消耗",COUNTIF({"一矿区";"二矿区"},$L1836)=0),"※自用消耗的去向只能是一矿区或二矿区",IF(AND($K1836="对外销售",COUNTIF({"三矿区";"六矿区"},$L1836)=0),"※对外销售的去向只能是三矿区或六矿区",IF(AND($K1836="对外销售",ROUND($Q1836,0)=0),"※外销却没有售价，请填实际售价",IF(AND($K1836="对外销售",$T1836&lt;&gt;"",$T1836&lt;0),"※这一笔外销是亏的，请核对售价",IF(IFERROR(VLOOKUP($D1836,库存台账!$A$5:$Y$1204,24,0),0)&lt;-0.001,"※这个物料账面已经变成负数了，查一下是不是漏记入库","")))))))))))</f>
        <v/>
      </c>
    </row>
    <row r="1837">
      <c r="A1837" s="24">
        <f>IF($D1837="","",COUNTA($D$4:$D1837))</f>
        <v/>
      </c>
      <c r="B1837" s="17" t="n"/>
      <c r="C1837" s="30" t="n"/>
      <c r="D1837" s="17" t="n"/>
      <c r="E1837" s="24">
        <f>IF($D1837="","",IFERROR(VLOOKUP($D1837,物料档案!$A$4:$P$1203,3,0),"※编码不在物料档案里"))</f>
        <v/>
      </c>
      <c r="F1837" s="24">
        <f>IF($D1837="","",IFERROR(VLOOKUP($D1837,物料档案!$A$4:$P$1203,4,0),"※编码不在物料档案里"))</f>
        <v/>
      </c>
      <c r="G1837" s="24">
        <f>IF($D1837="","",IFERROR(VLOOKUP($D1837,物料档案!$A$4:$P$1203,5,0),"※编码不在物料档案里"))</f>
        <v/>
      </c>
      <c r="H1837" s="24">
        <f>IF($D1837="","",IFERROR(VLOOKUP($D1837,物料档案!$A$4:$P$1203,2,0),"※编码不在物料档案里"))</f>
        <v/>
      </c>
      <c r="I1837" s="24">
        <f>IF($D1837="","",IFERROR(VLOOKUP($D1837,物料档案!$A$4:$P$1203,6,0),"※编码不在物料档案里"))</f>
        <v/>
      </c>
      <c r="J1837" s="23" t="n"/>
      <c r="K1837" s="17" t="n"/>
      <c r="L1837" s="17" t="n"/>
      <c r="M1837" s="17" t="n"/>
      <c r="N1837" s="17" t="n"/>
      <c r="O1837" s="26">
        <f>IF($D1837="","",IFERROR(VLOOKUP($D1837,物料档案!$A$4:$P$1203,10,0),0))</f>
        <v/>
      </c>
      <c r="P1837" s="32" t="n"/>
      <c r="Q1837" s="26">
        <f>IF($D1837="","",IF($K1837&lt;&gt;"对外销售",0,ROUND(N($J1837)*IF($P1837="",N($O1837),N($P1837)),0)))</f>
        <v/>
      </c>
      <c r="R1837" s="26">
        <f>IF($D1837="","",IFERROR(VLOOKUP($D1837,库存台账!$A$5:$Y$1204,11,0),0))</f>
        <v/>
      </c>
      <c r="S1837" s="26">
        <f>IF($D1837="","",ROUND(N($J1837)*N($R1837),0))</f>
        <v/>
      </c>
      <c r="T1837" s="26">
        <f>IF($D1837="","",IF($K1837&lt;&gt;"对外销售","",ROUND($Q1837-$S1837,0)))</f>
        <v/>
      </c>
      <c r="U1837" s="17" t="n"/>
      <c r="V1837" s="17" t="n"/>
      <c r="W1837" s="24">
        <f>IF($D1837="","",IF($E1837="※编码不在物料档案里","※物料编码不在档案里",IF(N($J1837)&lt;=0,"※出库数量要大于 0",IF($K1837="","※没填去向类型",IF($L1837="","※没填去向矿区",IF(AND($C1837&lt;&gt;"",$C1837&lt;=结账锁),"※日期早于已结账截止日，不能再录",IF(AND($K1837="自用消耗",COUNTIF({"一矿区";"二矿区"},$L1837)=0),"※自用消耗的去向只能是一矿区或二矿区",IF(AND($K1837="对外销售",COUNTIF({"三矿区";"六矿区"},$L1837)=0),"※对外销售的去向只能是三矿区或六矿区",IF(AND($K1837="对外销售",ROUND($Q1837,0)=0),"※外销却没有售价，请填实际售价",IF(AND($K1837="对外销售",$T1837&lt;&gt;"",$T1837&lt;0),"※这一笔外销是亏的，请核对售价",IF(IFERROR(VLOOKUP($D1837,库存台账!$A$5:$Y$1204,24,0),0)&lt;-0.001,"※这个物料账面已经变成负数了，查一下是不是漏记入库","")))))))))))</f>
        <v/>
      </c>
    </row>
    <row r="1838">
      <c r="A1838" s="24">
        <f>IF($D1838="","",COUNTA($D$4:$D1838))</f>
        <v/>
      </c>
      <c r="B1838" s="17" t="n"/>
      <c r="C1838" s="30" t="n"/>
      <c r="D1838" s="17" t="n"/>
      <c r="E1838" s="24">
        <f>IF($D1838="","",IFERROR(VLOOKUP($D1838,物料档案!$A$4:$P$1203,3,0),"※编码不在物料档案里"))</f>
        <v/>
      </c>
      <c r="F1838" s="24">
        <f>IF($D1838="","",IFERROR(VLOOKUP($D1838,物料档案!$A$4:$P$1203,4,0),"※编码不在物料档案里"))</f>
        <v/>
      </c>
      <c r="G1838" s="24">
        <f>IF($D1838="","",IFERROR(VLOOKUP($D1838,物料档案!$A$4:$P$1203,5,0),"※编码不在物料档案里"))</f>
        <v/>
      </c>
      <c r="H1838" s="24">
        <f>IF($D1838="","",IFERROR(VLOOKUP($D1838,物料档案!$A$4:$P$1203,2,0),"※编码不在物料档案里"))</f>
        <v/>
      </c>
      <c r="I1838" s="24">
        <f>IF($D1838="","",IFERROR(VLOOKUP($D1838,物料档案!$A$4:$P$1203,6,0),"※编码不在物料档案里"))</f>
        <v/>
      </c>
      <c r="J1838" s="23" t="n"/>
      <c r="K1838" s="17" t="n"/>
      <c r="L1838" s="17" t="n"/>
      <c r="M1838" s="17" t="n"/>
      <c r="N1838" s="17" t="n"/>
      <c r="O1838" s="26">
        <f>IF($D1838="","",IFERROR(VLOOKUP($D1838,物料档案!$A$4:$P$1203,10,0),0))</f>
        <v/>
      </c>
      <c r="P1838" s="32" t="n"/>
      <c r="Q1838" s="26">
        <f>IF($D1838="","",IF($K1838&lt;&gt;"对外销售",0,ROUND(N($J1838)*IF($P1838="",N($O1838),N($P1838)),0)))</f>
        <v/>
      </c>
      <c r="R1838" s="26">
        <f>IF($D1838="","",IFERROR(VLOOKUP($D1838,库存台账!$A$5:$Y$1204,11,0),0))</f>
        <v/>
      </c>
      <c r="S1838" s="26">
        <f>IF($D1838="","",ROUND(N($J1838)*N($R1838),0))</f>
        <v/>
      </c>
      <c r="T1838" s="26">
        <f>IF($D1838="","",IF($K1838&lt;&gt;"对外销售","",ROUND($Q1838-$S1838,0)))</f>
        <v/>
      </c>
      <c r="U1838" s="17" t="n"/>
      <c r="V1838" s="17" t="n"/>
      <c r="W1838" s="24">
        <f>IF($D1838="","",IF($E1838="※编码不在物料档案里","※物料编码不在档案里",IF(N($J1838)&lt;=0,"※出库数量要大于 0",IF($K1838="","※没填去向类型",IF($L1838="","※没填去向矿区",IF(AND($C1838&lt;&gt;"",$C1838&lt;=结账锁),"※日期早于已结账截止日，不能再录",IF(AND($K1838="自用消耗",COUNTIF({"一矿区";"二矿区"},$L1838)=0),"※自用消耗的去向只能是一矿区或二矿区",IF(AND($K1838="对外销售",COUNTIF({"三矿区";"六矿区"},$L1838)=0),"※对外销售的去向只能是三矿区或六矿区",IF(AND($K1838="对外销售",ROUND($Q1838,0)=0),"※外销却没有售价，请填实际售价",IF(AND($K1838="对外销售",$T1838&lt;&gt;"",$T1838&lt;0),"※这一笔外销是亏的，请核对售价",IF(IFERROR(VLOOKUP($D1838,库存台账!$A$5:$Y$1204,24,0),0)&lt;-0.001,"※这个物料账面已经变成负数了，查一下是不是漏记入库","")))))))))))</f>
        <v/>
      </c>
    </row>
    <row r="1839">
      <c r="A1839" s="24">
        <f>IF($D1839="","",COUNTA($D$4:$D1839))</f>
        <v/>
      </c>
      <c r="B1839" s="17" t="n"/>
      <c r="C1839" s="30" t="n"/>
      <c r="D1839" s="17" t="n"/>
      <c r="E1839" s="24">
        <f>IF($D1839="","",IFERROR(VLOOKUP($D1839,物料档案!$A$4:$P$1203,3,0),"※编码不在物料档案里"))</f>
        <v/>
      </c>
      <c r="F1839" s="24">
        <f>IF($D1839="","",IFERROR(VLOOKUP($D1839,物料档案!$A$4:$P$1203,4,0),"※编码不在物料档案里"))</f>
        <v/>
      </c>
      <c r="G1839" s="24">
        <f>IF($D1839="","",IFERROR(VLOOKUP($D1839,物料档案!$A$4:$P$1203,5,0),"※编码不在物料档案里"))</f>
        <v/>
      </c>
      <c r="H1839" s="24">
        <f>IF($D1839="","",IFERROR(VLOOKUP($D1839,物料档案!$A$4:$P$1203,2,0),"※编码不在物料档案里"))</f>
        <v/>
      </c>
      <c r="I1839" s="24">
        <f>IF($D1839="","",IFERROR(VLOOKUP($D1839,物料档案!$A$4:$P$1203,6,0),"※编码不在物料档案里"))</f>
        <v/>
      </c>
      <c r="J1839" s="23" t="n"/>
      <c r="K1839" s="17" t="n"/>
      <c r="L1839" s="17" t="n"/>
      <c r="M1839" s="17" t="n"/>
      <c r="N1839" s="17" t="n"/>
      <c r="O1839" s="26">
        <f>IF($D1839="","",IFERROR(VLOOKUP($D1839,物料档案!$A$4:$P$1203,10,0),0))</f>
        <v/>
      </c>
      <c r="P1839" s="32" t="n"/>
      <c r="Q1839" s="26">
        <f>IF($D1839="","",IF($K1839&lt;&gt;"对外销售",0,ROUND(N($J1839)*IF($P1839="",N($O1839),N($P1839)),0)))</f>
        <v/>
      </c>
      <c r="R1839" s="26">
        <f>IF($D1839="","",IFERROR(VLOOKUP($D1839,库存台账!$A$5:$Y$1204,11,0),0))</f>
        <v/>
      </c>
      <c r="S1839" s="26">
        <f>IF($D1839="","",ROUND(N($J1839)*N($R1839),0))</f>
        <v/>
      </c>
      <c r="T1839" s="26">
        <f>IF($D1839="","",IF($K1839&lt;&gt;"对外销售","",ROUND($Q1839-$S1839,0)))</f>
        <v/>
      </c>
      <c r="U1839" s="17" t="n"/>
      <c r="V1839" s="17" t="n"/>
      <c r="W1839" s="24">
        <f>IF($D1839="","",IF($E1839="※编码不在物料档案里","※物料编码不在档案里",IF(N($J1839)&lt;=0,"※出库数量要大于 0",IF($K1839="","※没填去向类型",IF($L1839="","※没填去向矿区",IF(AND($C1839&lt;&gt;"",$C1839&lt;=结账锁),"※日期早于已结账截止日，不能再录",IF(AND($K1839="自用消耗",COUNTIF({"一矿区";"二矿区"},$L1839)=0),"※自用消耗的去向只能是一矿区或二矿区",IF(AND($K1839="对外销售",COUNTIF({"三矿区";"六矿区"},$L1839)=0),"※对外销售的去向只能是三矿区或六矿区",IF(AND($K1839="对外销售",ROUND($Q1839,0)=0),"※外销却没有售价，请填实际售价",IF(AND($K1839="对外销售",$T1839&lt;&gt;"",$T1839&lt;0),"※这一笔外销是亏的，请核对售价",IF(IFERROR(VLOOKUP($D1839,库存台账!$A$5:$Y$1204,24,0),0)&lt;-0.001,"※这个物料账面已经变成负数了，查一下是不是漏记入库","")))))))))))</f>
        <v/>
      </c>
    </row>
    <row r="1840">
      <c r="A1840" s="24">
        <f>IF($D1840="","",COUNTA($D$4:$D1840))</f>
        <v/>
      </c>
      <c r="B1840" s="17" t="n"/>
      <c r="C1840" s="30" t="n"/>
      <c r="D1840" s="17" t="n"/>
      <c r="E1840" s="24">
        <f>IF($D1840="","",IFERROR(VLOOKUP($D1840,物料档案!$A$4:$P$1203,3,0),"※编码不在物料档案里"))</f>
        <v/>
      </c>
      <c r="F1840" s="24">
        <f>IF($D1840="","",IFERROR(VLOOKUP($D1840,物料档案!$A$4:$P$1203,4,0),"※编码不在物料档案里"))</f>
        <v/>
      </c>
      <c r="G1840" s="24">
        <f>IF($D1840="","",IFERROR(VLOOKUP($D1840,物料档案!$A$4:$P$1203,5,0),"※编码不在物料档案里"))</f>
        <v/>
      </c>
      <c r="H1840" s="24">
        <f>IF($D1840="","",IFERROR(VLOOKUP($D1840,物料档案!$A$4:$P$1203,2,0),"※编码不在物料档案里"))</f>
        <v/>
      </c>
      <c r="I1840" s="24">
        <f>IF($D1840="","",IFERROR(VLOOKUP($D1840,物料档案!$A$4:$P$1203,6,0),"※编码不在物料档案里"))</f>
        <v/>
      </c>
      <c r="J1840" s="23" t="n"/>
      <c r="K1840" s="17" t="n"/>
      <c r="L1840" s="17" t="n"/>
      <c r="M1840" s="17" t="n"/>
      <c r="N1840" s="17" t="n"/>
      <c r="O1840" s="26">
        <f>IF($D1840="","",IFERROR(VLOOKUP($D1840,物料档案!$A$4:$P$1203,10,0),0))</f>
        <v/>
      </c>
      <c r="P1840" s="32" t="n"/>
      <c r="Q1840" s="26">
        <f>IF($D1840="","",IF($K1840&lt;&gt;"对外销售",0,ROUND(N($J1840)*IF($P1840="",N($O1840),N($P1840)),0)))</f>
        <v/>
      </c>
      <c r="R1840" s="26">
        <f>IF($D1840="","",IFERROR(VLOOKUP($D1840,库存台账!$A$5:$Y$1204,11,0),0))</f>
        <v/>
      </c>
      <c r="S1840" s="26">
        <f>IF($D1840="","",ROUND(N($J1840)*N($R1840),0))</f>
        <v/>
      </c>
      <c r="T1840" s="26">
        <f>IF($D1840="","",IF($K1840&lt;&gt;"对外销售","",ROUND($Q1840-$S1840,0)))</f>
        <v/>
      </c>
      <c r="U1840" s="17" t="n"/>
      <c r="V1840" s="17" t="n"/>
      <c r="W1840" s="24">
        <f>IF($D1840="","",IF($E1840="※编码不在物料档案里","※物料编码不在档案里",IF(N($J1840)&lt;=0,"※出库数量要大于 0",IF($K1840="","※没填去向类型",IF($L1840="","※没填去向矿区",IF(AND($C1840&lt;&gt;"",$C1840&lt;=结账锁),"※日期早于已结账截止日，不能再录",IF(AND($K1840="自用消耗",COUNTIF({"一矿区";"二矿区"},$L1840)=0),"※自用消耗的去向只能是一矿区或二矿区",IF(AND($K1840="对外销售",COUNTIF({"三矿区";"六矿区"},$L1840)=0),"※对外销售的去向只能是三矿区或六矿区",IF(AND($K1840="对外销售",ROUND($Q1840,0)=0),"※外销却没有售价，请填实际售价",IF(AND($K1840="对外销售",$T1840&lt;&gt;"",$T1840&lt;0),"※这一笔外销是亏的，请核对售价",IF(IFERROR(VLOOKUP($D1840,库存台账!$A$5:$Y$1204,24,0),0)&lt;-0.001,"※这个物料账面已经变成负数了，查一下是不是漏记入库","")))))))))))</f>
        <v/>
      </c>
    </row>
    <row r="1841">
      <c r="A1841" s="24">
        <f>IF($D1841="","",COUNTA($D$4:$D1841))</f>
        <v/>
      </c>
      <c r="B1841" s="17" t="n"/>
      <c r="C1841" s="30" t="n"/>
      <c r="D1841" s="17" t="n"/>
      <c r="E1841" s="24">
        <f>IF($D1841="","",IFERROR(VLOOKUP($D1841,物料档案!$A$4:$P$1203,3,0),"※编码不在物料档案里"))</f>
        <v/>
      </c>
      <c r="F1841" s="24">
        <f>IF($D1841="","",IFERROR(VLOOKUP($D1841,物料档案!$A$4:$P$1203,4,0),"※编码不在物料档案里"))</f>
        <v/>
      </c>
      <c r="G1841" s="24">
        <f>IF($D1841="","",IFERROR(VLOOKUP($D1841,物料档案!$A$4:$P$1203,5,0),"※编码不在物料档案里"))</f>
        <v/>
      </c>
      <c r="H1841" s="24">
        <f>IF($D1841="","",IFERROR(VLOOKUP($D1841,物料档案!$A$4:$P$1203,2,0),"※编码不在物料档案里"))</f>
        <v/>
      </c>
      <c r="I1841" s="24">
        <f>IF($D1841="","",IFERROR(VLOOKUP($D1841,物料档案!$A$4:$P$1203,6,0),"※编码不在物料档案里"))</f>
        <v/>
      </c>
      <c r="J1841" s="23" t="n"/>
      <c r="K1841" s="17" t="n"/>
      <c r="L1841" s="17" t="n"/>
      <c r="M1841" s="17" t="n"/>
      <c r="N1841" s="17" t="n"/>
      <c r="O1841" s="26">
        <f>IF($D1841="","",IFERROR(VLOOKUP($D1841,物料档案!$A$4:$P$1203,10,0),0))</f>
        <v/>
      </c>
      <c r="P1841" s="32" t="n"/>
      <c r="Q1841" s="26">
        <f>IF($D1841="","",IF($K1841&lt;&gt;"对外销售",0,ROUND(N($J1841)*IF($P1841="",N($O1841),N($P1841)),0)))</f>
        <v/>
      </c>
      <c r="R1841" s="26">
        <f>IF($D1841="","",IFERROR(VLOOKUP($D1841,库存台账!$A$5:$Y$1204,11,0),0))</f>
        <v/>
      </c>
      <c r="S1841" s="26">
        <f>IF($D1841="","",ROUND(N($J1841)*N($R1841),0))</f>
        <v/>
      </c>
      <c r="T1841" s="26">
        <f>IF($D1841="","",IF($K1841&lt;&gt;"对外销售","",ROUND($Q1841-$S1841,0)))</f>
        <v/>
      </c>
      <c r="U1841" s="17" t="n"/>
      <c r="V1841" s="17" t="n"/>
      <c r="W1841" s="24">
        <f>IF($D1841="","",IF($E1841="※编码不在物料档案里","※物料编码不在档案里",IF(N($J1841)&lt;=0,"※出库数量要大于 0",IF($K1841="","※没填去向类型",IF($L1841="","※没填去向矿区",IF(AND($C1841&lt;&gt;"",$C1841&lt;=结账锁),"※日期早于已结账截止日，不能再录",IF(AND($K1841="自用消耗",COUNTIF({"一矿区";"二矿区"},$L1841)=0),"※自用消耗的去向只能是一矿区或二矿区",IF(AND($K1841="对外销售",COUNTIF({"三矿区";"六矿区"},$L1841)=0),"※对外销售的去向只能是三矿区或六矿区",IF(AND($K1841="对外销售",ROUND($Q1841,0)=0),"※外销却没有售价，请填实际售价",IF(AND($K1841="对外销售",$T1841&lt;&gt;"",$T1841&lt;0),"※这一笔外销是亏的，请核对售价",IF(IFERROR(VLOOKUP($D1841,库存台账!$A$5:$Y$1204,24,0),0)&lt;-0.001,"※这个物料账面已经变成负数了，查一下是不是漏记入库","")))))))))))</f>
        <v/>
      </c>
    </row>
    <row r="1842">
      <c r="A1842" s="24">
        <f>IF($D1842="","",COUNTA($D$4:$D1842))</f>
        <v/>
      </c>
      <c r="B1842" s="17" t="n"/>
      <c r="C1842" s="30" t="n"/>
      <c r="D1842" s="17" t="n"/>
      <c r="E1842" s="24">
        <f>IF($D1842="","",IFERROR(VLOOKUP($D1842,物料档案!$A$4:$P$1203,3,0),"※编码不在物料档案里"))</f>
        <v/>
      </c>
      <c r="F1842" s="24">
        <f>IF($D1842="","",IFERROR(VLOOKUP($D1842,物料档案!$A$4:$P$1203,4,0),"※编码不在物料档案里"))</f>
        <v/>
      </c>
      <c r="G1842" s="24">
        <f>IF($D1842="","",IFERROR(VLOOKUP($D1842,物料档案!$A$4:$P$1203,5,0),"※编码不在物料档案里"))</f>
        <v/>
      </c>
      <c r="H1842" s="24">
        <f>IF($D1842="","",IFERROR(VLOOKUP($D1842,物料档案!$A$4:$P$1203,2,0),"※编码不在物料档案里"))</f>
        <v/>
      </c>
      <c r="I1842" s="24">
        <f>IF($D1842="","",IFERROR(VLOOKUP($D1842,物料档案!$A$4:$P$1203,6,0),"※编码不在物料档案里"))</f>
        <v/>
      </c>
      <c r="J1842" s="23" t="n"/>
      <c r="K1842" s="17" t="n"/>
      <c r="L1842" s="17" t="n"/>
      <c r="M1842" s="17" t="n"/>
      <c r="N1842" s="17" t="n"/>
      <c r="O1842" s="26">
        <f>IF($D1842="","",IFERROR(VLOOKUP($D1842,物料档案!$A$4:$P$1203,10,0),0))</f>
        <v/>
      </c>
      <c r="P1842" s="32" t="n"/>
      <c r="Q1842" s="26">
        <f>IF($D1842="","",IF($K1842&lt;&gt;"对外销售",0,ROUND(N($J1842)*IF($P1842="",N($O1842),N($P1842)),0)))</f>
        <v/>
      </c>
      <c r="R1842" s="26">
        <f>IF($D1842="","",IFERROR(VLOOKUP($D1842,库存台账!$A$5:$Y$1204,11,0),0))</f>
        <v/>
      </c>
      <c r="S1842" s="26">
        <f>IF($D1842="","",ROUND(N($J1842)*N($R1842),0))</f>
        <v/>
      </c>
      <c r="T1842" s="26">
        <f>IF($D1842="","",IF($K1842&lt;&gt;"对外销售","",ROUND($Q1842-$S1842,0)))</f>
        <v/>
      </c>
      <c r="U1842" s="17" t="n"/>
      <c r="V1842" s="17" t="n"/>
      <c r="W1842" s="24">
        <f>IF($D1842="","",IF($E1842="※编码不在物料档案里","※物料编码不在档案里",IF(N($J1842)&lt;=0,"※出库数量要大于 0",IF($K1842="","※没填去向类型",IF($L1842="","※没填去向矿区",IF(AND($C1842&lt;&gt;"",$C1842&lt;=结账锁),"※日期早于已结账截止日，不能再录",IF(AND($K1842="自用消耗",COUNTIF({"一矿区";"二矿区"},$L1842)=0),"※自用消耗的去向只能是一矿区或二矿区",IF(AND($K1842="对外销售",COUNTIF({"三矿区";"六矿区"},$L1842)=0),"※对外销售的去向只能是三矿区或六矿区",IF(AND($K1842="对外销售",ROUND($Q1842,0)=0),"※外销却没有售价，请填实际售价",IF(AND($K1842="对外销售",$T1842&lt;&gt;"",$T1842&lt;0),"※这一笔外销是亏的，请核对售价",IF(IFERROR(VLOOKUP($D1842,库存台账!$A$5:$Y$1204,24,0),0)&lt;-0.001,"※这个物料账面已经变成负数了，查一下是不是漏记入库","")))))))))))</f>
        <v/>
      </c>
    </row>
    <row r="1843">
      <c r="A1843" s="24">
        <f>IF($D1843="","",COUNTA($D$4:$D1843))</f>
        <v/>
      </c>
      <c r="B1843" s="17" t="n"/>
      <c r="C1843" s="30" t="n"/>
      <c r="D1843" s="17" t="n"/>
      <c r="E1843" s="24">
        <f>IF($D1843="","",IFERROR(VLOOKUP($D1843,物料档案!$A$4:$P$1203,3,0),"※编码不在物料档案里"))</f>
        <v/>
      </c>
      <c r="F1843" s="24">
        <f>IF($D1843="","",IFERROR(VLOOKUP($D1843,物料档案!$A$4:$P$1203,4,0),"※编码不在物料档案里"))</f>
        <v/>
      </c>
      <c r="G1843" s="24">
        <f>IF($D1843="","",IFERROR(VLOOKUP($D1843,物料档案!$A$4:$P$1203,5,0),"※编码不在物料档案里"))</f>
        <v/>
      </c>
      <c r="H1843" s="24">
        <f>IF($D1843="","",IFERROR(VLOOKUP($D1843,物料档案!$A$4:$P$1203,2,0),"※编码不在物料档案里"))</f>
        <v/>
      </c>
      <c r="I1843" s="24">
        <f>IF($D1843="","",IFERROR(VLOOKUP($D1843,物料档案!$A$4:$P$1203,6,0),"※编码不在物料档案里"))</f>
        <v/>
      </c>
      <c r="J1843" s="23" t="n"/>
      <c r="K1843" s="17" t="n"/>
      <c r="L1843" s="17" t="n"/>
      <c r="M1843" s="17" t="n"/>
      <c r="N1843" s="17" t="n"/>
      <c r="O1843" s="26">
        <f>IF($D1843="","",IFERROR(VLOOKUP($D1843,物料档案!$A$4:$P$1203,10,0),0))</f>
        <v/>
      </c>
      <c r="P1843" s="32" t="n"/>
      <c r="Q1843" s="26">
        <f>IF($D1843="","",IF($K1843&lt;&gt;"对外销售",0,ROUND(N($J1843)*IF($P1843="",N($O1843),N($P1843)),0)))</f>
        <v/>
      </c>
      <c r="R1843" s="26">
        <f>IF($D1843="","",IFERROR(VLOOKUP($D1843,库存台账!$A$5:$Y$1204,11,0),0))</f>
        <v/>
      </c>
      <c r="S1843" s="26">
        <f>IF($D1843="","",ROUND(N($J1843)*N($R1843),0))</f>
        <v/>
      </c>
      <c r="T1843" s="26">
        <f>IF($D1843="","",IF($K1843&lt;&gt;"对外销售","",ROUND($Q1843-$S1843,0)))</f>
        <v/>
      </c>
      <c r="U1843" s="17" t="n"/>
      <c r="V1843" s="17" t="n"/>
      <c r="W1843" s="24">
        <f>IF($D1843="","",IF($E1843="※编码不在物料档案里","※物料编码不在档案里",IF(N($J1843)&lt;=0,"※出库数量要大于 0",IF($K1843="","※没填去向类型",IF($L1843="","※没填去向矿区",IF(AND($C1843&lt;&gt;"",$C1843&lt;=结账锁),"※日期早于已结账截止日，不能再录",IF(AND($K1843="自用消耗",COUNTIF({"一矿区";"二矿区"},$L1843)=0),"※自用消耗的去向只能是一矿区或二矿区",IF(AND($K1843="对外销售",COUNTIF({"三矿区";"六矿区"},$L1843)=0),"※对外销售的去向只能是三矿区或六矿区",IF(AND($K1843="对外销售",ROUND($Q1843,0)=0),"※外销却没有售价，请填实际售价",IF(AND($K1843="对外销售",$T1843&lt;&gt;"",$T1843&lt;0),"※这一笔外销是亏的，请核对售价",IF(IFERROR(VLOOKUP($D1843,库存台账!$A$5:$Y$1204,24,0),0)&lt;-0.001,"※这个物料账面已经变成负数了，查一下是不是漏记入库","")))))))))))</f>
        <v/>
      </c>
    </row>
    <row r="1844">
      <c r="A1844" s="24">
        <f>IF($D1844="","",COUNTA($D$4:$D1844))</f>
        <v/>
      </c>
      <c r="B1844" s="17" t="n"/>
      <c r="C1844" s="30" t="n"/>
      <c r="D1844" s="17" t="n"/>
      <c r="E1844" s="24">
        <f>IF($D1844="","",IFERROR(VLOOKUP($D1844,物料档案!$A$4:$P$1203,3,0),"※编码不在物料档案里"))</f>
        <v/>
      </c>
      <c r="F1844" s="24">
        <f>IF($D1844="","",IFERROR(VLOOKUP($D1844,物料档案!$A$4:$P$1203,4,0),"※编码不在物料档案里"))</f>
        <v/>
      </c>
      <c r="G1844" s="24">
        <f>IF($D1844="","",IFERROR(VLOOKUP($D1844,物料档案!$A$4:$P$1203,5,0),"※编码不在物料档案里"))</f>
        <v/>
      </c>
      <c r="H1844" s="24">
        <f>IF($D1844="","",IFERROR(VLOOKUP($D1844,物料档案!$A$4:$P$1203,2,0),"※编码不在物料档案里"))</f>
        <v/>
      </c>
      <c r="I1844" s="24">
        <f>IF($D1844="","",IFERROR(VLOOKUP($D1844,物料档案!$A$4:$P$1203,6,0),"※编码不在物料档案里"))</f>
        <v/>
      </c>
      <c r="J1844" s="23" t="n"/>
      <c r="K1844" s="17" t="n"/>
      <c r="L1844" s="17" t="n"/>
      <c r="M1844" s="17" t="n"/>
      <c r="N1844" s="17" t="n"/>
      <c r="O1844" s="26">
        <f>IF($D1844="","",IFERROR(VLOOKUP($D1844,物料档案!$A$4:$P$1203,10,0),0))</f>
        <v/>
      </c>
      <c r="P1844" s="32" t="n"/>
      <c r="Q1844" s="26">
        <f>IF($D1844="","",IF($K1844&lt;&gt;"对外销售",0,ROUND(N($J1844)*IF($P1844="",N($O1844),N($P1844)),0)))</f>
        <v/>
      </c>
      <c r="R1844" s="26">
        <f>IF($D1844="","",IFERROR(VLOOKUP($D1844,库存台账!$A$5:$Y$1204,11,0),0))</f>
        <v/>
      </c>
      <c r="S1844" s="26">
        <f>IF($D1844="","",ROUND(N($J1844)*N($R1844),0))</f>
        <v/>
      </c>
      <c r="T1844" s="26">
        <f>IF($D1844="","",IF($K1844&lt;&gt;"对外销售","",ROUND($Q1844-$S1844,0)))</f>
        <v/>
      </c>
      <c r="U1844" s="17" t="n"/>
      <c r="V1844" s="17" t="n"/>
      <c r="W1844" s="24">
        <f>IF($D1844="","",IF($E1844="※编码不在物料档案里","※物料编码不在档案里",IF(N($J1844)&lt;=0,"※出库数量要大于 0",IF($K1844="","※没填去向类型",IF($L1844="","※没填去向矿区",IF(AND($C1844&lt;&gt;"",$C1844&lt;=结账锁),"※日期早于已结账截止日，不能再录",IF(AND($K1844="自用消耗",COUNTIF({"一矿区";"二矿区"},$L1844)=0),"※自用消耗的去向只能是一矿区或二矿区",IF(AND($K1844="对外销售",COUNTIF({"三矿区";"六矿区"},$L1844)=0),"※对外销售的去向只能是三矿区或六矿区",IF(AND($K1844="对外销售",ROUND($Q1844,0)=0),"※外销却没有售价，请填实际售价",IF(AND($K1844="对外销售",$T1844&lt;&gt;"",$T1844&lt;0),"※这一笔外销是亏的，请核对售价",IF(IFERROR(VLOOKUP($D1844,库存台账!$A$5:$Y$1204,24,0),0)&lt;-0.001,"※这个物料账面已经变成负数了，查一下是不是漏记入库","")))))))))))</f>
        <v/>
      </c>
    </row>
    <row r="1845">
      <c r="A1845" s="24">
        <f>IF($D1845="","",COUNTA($D$4:$D1845))</f>
        <v/>
      </c>
      <c r="B1845" s="17" t="n"/>
      <c r="C1845" s="30" t="n"/>
      <c r="D1845" s="17" t="n"/>
      <c r="E1845" s="24">
        <f>IF($D1845="","",IFERROR(VLOOKUP($D1845,物料档案!$A$4:$P$1203,3,0),"※编码不在物料档案里"))</f>
        <v/>
      </c>
      <c r="F1845" s="24">
        <f>IF($D1845="","",IFERROR(VLOOKUP($D1845,物料档案!$A$4:$P$1203,4,0),"※编码不在物料档案里"))</f>
        <v/>
      </c>
      <c r="G1845" s="24">
        <f>IF($D1845="","",IFERROR(VLOOKUP($D1845,物料档案!$A$4:$P$1203,5,0),"※编码不在物料档案里"))</f>
        <v/>
      </c>
      <c r="H1845" s="24">
        <f>IF($D1845="","",IFERROR(VLOOKUP($D1845,物料档案!$A$4:$P$1203,2,0),"※编码不在物料档案里"))</f>
        <v/>
      </c>
      <c r="I1845" s="24">
        <f>IF($D1845="","",IFERROR(VLOOKUP($D1845,物料档案!$A$4:$P$1203,6,0),"※编码不在物料档案里"))</f>
        <v/>
      </c>
      <c r="J1845" s="23" t="n"/>
      <c r="K1845" s="17" t="n"/>
      <c r="L1845" s="17" t="n"/>
      <c r="M1845" s="17" t="n"/>
      <c r="N1845" s="17" t="n"/>
      <c r="O1845" s="26">
        <f>IF($D1845="","",IFERROR(VLOOKUP($D1845,物料档案!$A$4:$P$1203,10,0),0))</f>
        <v/>
      </c>
      <c r="P1845" s="32" t="n"/>
      <c r="Q1845" s="26">
        <f>IF($D1845="","",IF($K1845&lt;&gt;"对外销售",0,ROUND(N($J1845)*IF($P1845="",N($O1845),N($P1845)),0)))</f>
        <v/>
      </c>
      <c r="R1845" s="26">
        <f>IF($D1845="","",IFERROR(VLOOKUP($D1845,库存台账!$A$5:$Y$1204,11,0),0))</f>
        <v/>
      </c>
      <c r="S1845" s="26">
        <f>IF($D1845="","",ROUND(N($J1845)*N($R1845),0))</f>
        <v/>
      </c>
      <c r="T1845" s="26">
        <f>IF($D1845="","",IF($K1845&lt;&gt;"对外销售","",ROUND($Q1845-$S1845,0)))</f>
        <v/>
      </c>
      <c r="U1845" s="17" t="n"/>
      <c r="V1845" s="17" t="n"/>
      <c r="W1845" s="24">
        <f>IF($D1845="","",IF($E1845="※编码不在物料档案里","※物料编码不在档案里",IF(N($J1845)&lt;=0,"※出库数量要大于 0",IF($K1845="","※没填去向类型",IF($L1845="","※没填去向矿区",IF(AND($C1845&lt;&gt;"",$C1845&lt;=结账锁),"※日期早于已结账截止日，不能再录",IF(AND($K1845="自用消耗",COUNTIF({"一矿区";"二矿区"},$L1845)=0),"※自用消耗的去向只能是一矿区或二矿区",IF(AND($K1845="对外销售",COUNTIF({"三矿区";"六矿区"},$L1845)=0),"※对外销售的去向只能是三矿区或六矿区",IF(AND($K1845="对外销售",ROUND($Q1845,0)=0),"※外销却没有售价，请填实际售价",IF(AND($K1845="对外销售",$T1845&lt;&gt;"",$T1845&lt;0),"※这一笔外销是亏的，请核对售价",IF(IFERROR(VLOOKUP($D1845,库存台账!$A$5:$Y$1204,24,0),0)&lt;-0.001,"※这个物料账面已经变成负数了，查一下是不是漏记入库","")))))))))))</f>
        <v/>
      </c>
    </row>
    <row r="1846">
      <c r="A1846" s="24">
        <f>IF($D1846="","",COUNTA($D$4:$D1846))</f>
        <v/>
      </c>
      <c r="B1846" s="17" t="n"/>
      <c r="C1846" s="30" t="n"/>
      <c r="D1846" s="17" t="n"/>
      <c r="E1846" s="24">
        <f>IF($D1846="","",IFERROR(VLOOKUP($D1846,物料档案!$A$4:$P$1203,3,0),"※编码不在物料档案里"))</f>
        <v/>
      </c>
      <c r="F1846" s="24">
        <f>IF($D1846="","",IFERROR(VLOOKUP($D1846,物料档案!$A$4:$P$1203,4,0),"※编码不在物料档案里"))</f>
        <v/>
      </c>
      <c r="G1846" s="24">
        <f>IF($D1846="","",IFERROR(VLOOKUP($D1846,物料档案!$A$4:$P$1203,5,0),"※编码不在物料档案里"))</f>
        <v/>
      </c>
      <c r="H1846" s="24">
        <f>IF($D1846="","",IFERROR(VLOOKUP($D1846,物料档案!$A$4:$P$1203,2,0),"※编码不在物料档案里"))</f>
        <v/>
      </c>
      <c r="I1846" s="24">
        <f>IF($D1846="","",IFERROR(VLOOKUP($D1846,物料档案!$A$4:$P$1203,6,0),"※编码不在物料档案里"))</f>
        <v/>
      </c>
      <c r="J1846" s="23" t="n"/>
      <c r="K1846" s="17" t="n"/>
      <c r="L1846" s="17" t="n"/>
      <c r="M1846" s="17" t="n"/>
      <c r="N1846" s="17" t="n"/>
      <c r="O1846" s="26">
        <f>IF($D1846="","",IFERROR(VLOOKUP($D1846,物料档案!$A$4:$P$1203,10,0),0))</f>
        <v/>
      </c>
      <c r="P1846" s="32" t="n"/>
      <c r="Q1846" s="26">
        <f>IF($D1846="","",IF($K1846&lt;&gt;"对外销售",0,ROUND(N($J1846)*IF($P1846="",N($O1846),N($P1846)),0)))</f>
        <v/>
      </c>
      <c r="R1846" s="26">
        <f>IF($D1846="","",IFERROR(VLOOKUP($D1846,库存台账!$A$5:$Y$1204,11,0),0))</f>
        <v/>
      </c>
      <c r="S1846" s="26">
        <f>IF($D1846="","",ROUND(N($J1846)*N($R1846),0))</f>
        <v/>
      </c>
      <c r="T1846" s="26">
        <f>IF($D1846="","",IF($K1846&lt;&gt;"对外销售","",ROUND($Q1846-$S1846,0)))</f>
        <v/>
      </c>
      <c r="U1846" s="17" t="n"/>
      <c r="V1846" s="17" t="n"/>
      <c r="W1846" s="24">
        <f>IF($D1846="","",IF($E1846="※编码不在物料档案里","※物料编码不在档案里",IF(N($J1846)&lt;=0,"※出库数量要大于 0",IF($K1846="","※没填去向类型",IF($L1846="","※没填去向矿区",IF(AND($C1846&lt;&gt;"",$C1846&lt;=结账锁),"※日期早于已结账截止日，不能再录",IF(AND($K1846="自用消耗",COUNTIF({"一矿区";"二矿区"},$L1846)=0),"※自用消耗的去向只能是一矿区或二矿区",IF(AND($K1846="对外销售",COUNTIF({"三矿区";"六矿区"},$L1846)=0),"※对外销售的去向只能是三矿区或六矿区",IF(AND($K1846="对外销售",ROUND($Q1846,0)=0),"※外销却没有售价，请填实际售价",IF(AND($K1846="对外销售",$T1846&lt;&gt;"",$T1846&lt;0),"※这一笔外销是亏的，请核对售价",IF(IFERROR(VLOOKUP($D1846,库存台账!$A$5:$Y$1204,24,0),0)&lt;-0.001,"※这个物料账面已经变成负数了，查一下是不是漏记入库","")))))))))))</f>
        <v/>
      </c>
    </row>
    <row r="1847">
      <c r="A1847" s="24">
        <f>IF($D1847="","",COUNTA($D$4:$D1847))</f>
        <v/>
      </c>
      <c r="B1847" s="17" t="n"/>
      <c r="C1847" s="30" t="n"/>
      <c r="D1847" s="17" t="n"/>
      <c r="E1847" s="24">
        <f>IF($D1847="","",IFERROR(VLOOKUP($D1847,物料档案!$A$4:$P$1203,3,0),"※编码不在物料档案里"))</f>
        <v/>
      </c>
      <c r="F1847" s="24">
        <f>IF($D1847="","",IFERROR(VLOOKUP($D1847,物料档案!$A$4:$P$1203,4,0),"※编码不在物料档案里"))</f>
        <v/>
      </c>
      <c r="G1847" s="24">
        <f>IF($D1847="","",IFERROR(VLOOKUP($D1847,物料档案!$A$4:$P$1203,5,0),"※编码不在物料档案里"))</f>
        <v/>
      </c>
      <c r="H1847" s="24">
        <f>IF($D1847="","",IFERROR(VLOOKUP($D1847,物料档案!$A$4:$P$1203,2,0),"※编码不在物料档案里"))</f>
        <v/>
      </c>
      <c r="I1847" s="24">
        <f>IF($D1847="","",IFERROR(VLOOKUP($D1847,物料档案!$A$4:$P$1203,6,0),"※编码不在物料档案里"))</f>
        <v/>
      </c>
      <c r="J1847" s="23" t="n"/>
      <c r="K1847" s="17" t="n"/>
      <c r="L1847" s="17" t="n"/>
      <c r="M1847" s="17" t="n"/>
      <c r="N1847" s="17" t="n"/>
      <c r="O1847" s="26">
        <f>IF($D1847="","",IFERROR(VLOOKUP($D1847,物料档案!$A$4:$P$1203,10,0),0))</f>
        <v/>
      </c>
      <c r="P1847" s="32" t="n"/>
      <c r="Q1847" s="26">
        <f>IF($D1847="","",IF($K1847&lt;&gt;"对外销售",0,ROUND(N($J1847)*IF($P1847="",N($O1847),N($P1847)),0)))</f>
        <v/>
      </c>
      <c r="R1847" s="26">
        <f>IF($D1847="","",IFERROR(VLOOKUP($D1847,库存台账!$A$5:$Y$1204,11,0),0))</f>
        <v/>
      </c>
      <c r="S1847" s="26">
        <f>IF($D1847="","",ROUND(N($J1847)*N($R1847),0))</f>
        <v/>
      </c>
      <c r="T1847" s="26">
        <f>IF($D1847="","",IF($K1847&lt;&gt;"对外销售","",ROUND($Q1847-$S1847,0)))</f>
        <v/>
      </c>
      <c r="U1847" s="17" t="n"/>
      <c r="V1847" s="17" t="n"/>
      <c r="W1847" s="24">
        <f>IF($D1847="","",IF($E1847="※编码不在物料档案里","※物料编码不在档案里",IF(N($J1847)&lt;=0,"※出库数量要大于 0",IF($K1847="","※没填去向类型",IF($L1847="","※没填去向矿区",IF(AND($C1847&lt;&gt;"",$C1847&lt;=结账锁),"※日期早于已结账截止日，不能再录",IF(AND($K1847="自用消耗",COUNTIF({"一矿区";"二矿区"},$L1847)=0),"※自用消耗的去向只能是一矿区或二矿区",IF(AND($K1847="对外销售",COUNTIF({"三矿区";"六矿区"},$L1847)=0),"※对外销售的去向只能是三矿区或六矿区",IF(AND($K1847="对外销售",ROUND($Q1847,0)=0),"※外销却没有售价，请填实际售价",IF(AND($K1847="对外销售",$T1847&lt;&gt;"",$T1847&lt;0),"※这一笔外销是亏的，请核对售价",IF(IFERROR(VLOOKUP($D1847,库存台账!$A$5:$Y$1204,24,0),0)&lt;-0.001,"※这个物料账面已经变成负数了，查一下是不是漏记入库","")))))))))))</f>
        <v/>
      </c>
    </row>
    <row r="1848">
      <c r="A1848" s="24">
        <f>IF($D1848="","",COUNTA($D$4:$D1848))</f>
        <v/>
      </c>
      <c r="B1848" s="17" t="n"/>
      <c r="C1848" s="30" t="n"/>
      <c r="D1848" s="17" t="n"/>
      <c r="E1848" s="24">
        <f>IF($D1848="","",IFERROR(VLOOKUP($D1848,物料档案!$A$4:$P$1203,3,0),"※编码不在物料档案里"))</f>
        <v/>
      </c>
      <c r="F1848" s="24">
        <f>IF($D1848="","",IFERROR(VLOOKUP($D1848,物料档案!$A$4:$P$1203,4,0),"※编码不在物料档案里"))</f>
        <v/>
      </c>
      <c r="G1848" s="24">
        <f>IF($D1848="","",IFERROR(VLOOKUP($D1848,物料档案!$A$4:$P$1203,5,0),"※编码不在物料档案里"))</f>
        <v/>
      </c>
      <c r="H1848" s="24">
        <f>IF($D1848="","",IFERROR(VLOOKUP($D1848,物料档案!$A$4:$P$1203,2,0),"※编码不在物料档案里"))</f>
        <v/>
      </c>
      <c r="I1848" s="24">
        <f>IF($D1848="","",IFERROR(VLOOKUP($D1848,物料档案!$A$4:$P$1203,6,0),"※编码不在物料档案里"))</f>
        <v/>
      </c>
      <c r="J1848" s="23" t="n"/>
      <c r="K1848" s="17" t="n"/>
      <c r="L1848" s="17" t="n"/>
      <c r="M1848" s="17" t="n"/>
      <c r="N1848" s="17" t="n"/>
      <c r="O1848" s="26">
        <f>IF($D1848="","",IFERROR(VLOOKUP($D1848,物料档案!$A$4:$P$1203,10,0),0))</f>
        <v/>
      </c>
      <c r="P1848" s="32" t="n"/>
      <c r="Q1848" s="26">
        <f>IF($D1848="","",IF($K1848&lt;&gt;"对外销售",0,ROUND(N($J1848)*IF($P1848="",N($O1848),N($P1848)),0)))</f>
        <v/>
      </c>
      <c r="R1848" s="26">
        <f>IF($D1848="","",IFERROR(VLOOKUP($D1848,库存台账!$A$5:$Y$1204,11,0),0))</f>
        <v/>
      </c>
      <c r="S1848" s="26">
        <f>IF($D1848="","",ROUND(N($J1848)*N($R1848),0))</f>
        <v/>
      </c>
      <c r="T1848" s="26">
        <f>IF($D1848="","",IF($K1848&lt;&gt;"对外销售","",ROUND($Q1848-$S1848,0)))</f>
        <v/>
      </c>
      <c r="U1848" s="17" t="n"/>
      <c r="V1848" s="17" t="n"/>
      <c r="W1848" s="24">
        <f>IF($D1848="","",IF($E1848="※编码不在物料档案里","※物料编码不在档案里",IF(N($J1848)&lt;=0,"※出库数量要大于 0",IF($K1848="","※没填去向类型",IF($L1848="","※没填去向矿区",IF(AND($C1848&lt;&gt;"",$C1848&lt;=结账锁),"※日期早于已结账截止日，不能再录",IF(AND($K1848="自用消耗",COUNTIF({"一矿区";"二矿区"},$L1848)=0),"※自用消耗的去向只能是一矿区或二矿区",IF(AND($K1848="对外销售",COUNTIF({"三矿区";"六矿区"},$L1848)=0),"※对外销售的去向只能是三矿区或六矿区",IF(AND($K1848="对外销售",ROUND($Q1848,0)=0),"※外销却没有售价，请填实际售价",IF(AND($K1848="对外销售",$T1848&lt;&gt;"",$T1848&lt;0),"※这一笔外销是亏的，请核对售价",IF(IFERROR(VLOOKUP($D1848,库存台账!$A$5:$Y$1204,24,0),0)&lt;-0.001,"※这个物料账面已经变成负数了，查一下是不是漏记入库","")))))))))))</f>
        <v/>
      </c>
    </row>
    <row r="1849">
      <c r="A1849" s="24">
        <f>IF($D1849="","",COUNTA($D$4:$D1849))</f>
        <v/>
      </c>
      <c r="B1849" s="17" t="n"/>
      <c r="C1849" s="30" t="n"/>
      <c r="D1849" s="17" t="n"/>
      <c r="E1849" s="24">
        <f>IF($D1849="","",IFERROR(VLOOKUP($D1849,物料档案!$A$4:$P$1203,3,0),"※编码不在物料档案里"))</f>
        <v/>
      </c>
      <c r="F1849" s="24">
        <f>IF($D1849="","",IFERROR(VLOOKUP($D1849,物料档案!$A$4:$P$1203,4,0),"※编码不在物料档案里"))</f>
        <v/>
      </c>
      <c r="G1849" s="24">
        <f>IF($D1849="","",IFERROR(VLOOKUP($D1849,物料档案!$A$4:$P$1203,5,0),"※编码不在物料档案里"))</f>
        <v/>
      </c>
      <c r="H1849" s="24">
        <f>IF($D1849="","",IFERROR(VLOOKUP($D1849,物料档案!$A$4:$P$1203,2,0),"※编码不在物料档案里"))</f>
        <v/>
      </c>
      <c r="I1849" s="24">
        <f>IF($D1849="","",IFERROR(VLOOKUP($D1849,物料档案!$A$4:$P$1203,6,0),"※编码不在物料档案里"))</f>
        <v/>
      </c>
      <c r="J1849" s="23" t="n"/>
      <c r="K1849" s="17" t="n"/>
      <c r="L1849" s="17" t="n"/>
      <c r="M1849" s="17" t="n"/>
      <c r="N1849" s="17" t="n"/>
      <c r="O1849" s="26">
        <f>IF($D1849="","",IFERROR(VLOOKUP($D1849,物料档案!$A$4:$P$1203,10,0),0))</f>
        <v/>
      </c>
      <c r="P1849" s="32" t="n"/>
      <c r="Q1849" s="26">
        <f>IF($D1849="","",IF($K1849&lt;&gt;"对外销售",0,ROUND(N($J1849)*IF($P1849="",N($O1849),N($P1849)),0)))</f>
        <v/>
      </c>
      <c r="R1849" s="26">
        <f>IF($D1849="","",IFERROR(VLOOKUP($D1849,库存台账!$A$5:$Y$1204,11,0),0))</f>
        <v/>
      </c>
      <c r="S1849" s="26">
        <f>IF($D1849="","",ROUND(N($J1849)*N($R1849),0))</f>
        <v/>
      </c>
      <c r="T1849" s="26">
        <f>IF($D1849="","",IF($K1849&lt;&gt;"对外销售","",ROUND($Q1849-$S1849,0)))</f>
        <v/>
      </c>
      <c r="U1849" s="17" t="n"/>
      <c r="V1849" s="17" t="n"/>
      <c r="W1849" s="24">
        <f>IF($D1849="","",IF($E1849="※编码不在物料档案里","※物料编码不在档案里",IF(N($J1849)&lt;=0,"※出库数量要大于 0",IF($K1849="","※没填去向类型",IF($L1849="","※没填去向矿区",IF(AND($C1849&lt;&gt;"",$C1849&lt;=结账锁),"※日期早于已结账截止日，不能再录",IF(AND($K1849="自用消耗",COUNTIF({"一矿区";"二矿区"},$L1849)=0),"※自用消耗的去向只能是一矿区或二矿区",IF(AND($K1849="对外销售",COUNTIF({"三矿区";"六矿区"},$L1849)=0),"※对外销售的去向只能是三矿区或六矿区",IF(AND($K1849="对外销售",ROUND($Q1849,0)=0),"※外销却没有售价，请填实际售价",IF(AND($K1849="对外销售",$T1849&lt;&gt;"",$T1849&lt;0),"※这一笔外销是亏的，请核对售价",IF(IFERROR(VLOOKUP($D1849,库存台账!$A$5:$Y$1204,24,0),0)&lt;-0.001,"※这个物料账面已经变成负数了，查一下是不是漏记入库","")))))))))))</f>
        <v/>
      </c>
    </row>
    <row r="1850">
      <c r="A1850" s="24">
        <f>IF($D1850="","",COUNTA($D$4:$D1850))</f>
        <v/>
      </c>
      <c r="B1850" s="17" t="n"/>
      <c r="C1850" s="30" t="n"/>
      <c r="D1850" s="17" t="n"/>
      <c r="E1850" s="24">
        <f>IF($D1850="","",IFERROR(VLOOKUP($D1850,物料档案!$A$4:$P$1203,3,0),"※编码不在物料档案里"))</f>
        <v/>
      </c>
      <c r="F1850" s="24">
        <f>IF($D1850="","",IFERROR(VLOOKUP($D1850,物料档案!$A$4:$P$1203,4,0),"※编码不在物料档案里"))</f>
        <v/>
      </c>
      <c r="G1850" s="24">
        <f>IF($D1850="","",IFERROR(VLOOKUP($D1850,物料档案!$A$4:$P$1203,5,0),"※编码不在物料档案里"))</f>
        <v/>
      </c>
      <c r="H1850" s="24">
        <f>IF($D1850="","",IFERROR(VLOOKUP($D1850,物料档案!$A$4:$P$1203,2,0),"※编码不在物料档案里"))</f>
        <v/>
      </c>
      <c r="I1850" s="24">
        <f>IF($D1850="","",IFERROR(VLOOKUP($D1850,物料档案!$A$4:$P$1203,6,0),"※编码不在物料档案里"))</f>
        <v/>
      </c>
      <c r="J1850" s="23" t="n"/>
      <c r="K1850" s="17" t="n"/>
      <c r="L1850" s="17" t="n"/>
      <c r="M1850" s="17" t="n"/>
      <c r="N1850" s="17" t="n"/>
      <c r="O1850" s="26">
        <f>IF($D1850="","",IFERROR(VLOOKUP($D1850,物料档案!$A$4:$P$1203,10,0),0))</f>
        <v/>
      </c>
      <c r="P1850" s="32" t="n"/>
      <c r="Q1850" s="26">
        <f>IF($D1850="","",IF($K1850&lt;&gt;"对外销售",0,ROUND(N($J1850)*IF($P1850="",N($O1850),N($P1850)),0)))</f>
        <v/>
      </c>
      <c r="R1850" s="26">
        <f>IF($D1850="","",IFERROR(VLOOKUP($D1850,库存台账!$A$5:$Y$1204,11,0),0))</f>
        <v/>
      </c>
      <c r="S1850" s="26">
        <f>IF($D1850="","",ROUND(N($J1850)*N($R1850),0))</f>
        <v/>
      </c>
      <c r="T1850" s="26">
        <f>IF($D1850="","",IF($K1850&lt;&gt;"对外销售","",ROUND($Q1850-$S1850,0)))</f>
        <v/>
      </c>
      <c r="U1850" s="17" t="n"/>
      <c r="V1850" s="17" t="n"/>
      <c r="W1850" s="24">
        <f>IF($D1850="","",IF($E1850="※编码不在物料档案里","※物料编码不在档案里",IF(N($J1850)&lt;=0,"※出库数量要大于 0",IF($K1850="","※没填去向类型",IF($L1850="","※没填去向矿区",IF(AND($C1850&lt;&gt;"",$C1850&lt;=结账锁),"※日期早于已结账截止日，不能再录",IF(AND($K1850="自用消耗",COUNTIF({"一矿区";"二矿区"},$L1850)=0),"※自用消耗的去向只能是一矿区或二矿区",IF(AND($K1850="对外销售",COUNTIF({"三矿区";"六矿区"},$L1850)=0),"※对外销售的去向只能是三矿区或六矿区",IF(AND($K1850="对外销售",ROUND($Q1850,0)=0),"※外销却没有售价，请填实际售价",IF(AND($K1850="对外销售",$T1850&lt;&gt;"",$T1850&lt;0),"※这一笔外销是亏的，请核对售价",IF(IFERROR(VLOOKUP($D1850,库存台账!$A$5:$Y$1204,24,0),0)&lt;-0.001,"※这个物料账面已经变成负数了，查一下是不是漏记入库","")))))))))))</f>
        <v/>
      </c>
    </row>
    <row r="1851">
      <c r="A1851" s="24">
        <f>IF($D1851="","",COUNTA($D$4:$D1851))</f>
        <v/>
      </c>
      <c r="B1851" s="17" t="n"/>
      <c r="C1851" s="30" t="n"/>
      <c r="D1851" s="17" t="n"/>
      <c r="E1851" s="24">
        <f>IF($D1851="","",IFERROR(VLOOKUP($D1851,物料档案!$A$4:$P$1203,3,0),"※编码不在物料档案里"))</f>
        <v/>
      </c>
      <c r="F1851" s="24">
        <f>IF($D1851="","",IFERROR(VLOOKUP($D1851,物料档案!$A$4:$P$1203,4,0),"※编码不在物料档案里"))</f>
        <v/>
      </c>
      <c r="G1851" s="24">
        <f>IF($D1851="","",IFERROR(VLOOKUP($D1851,物料档案!$A$4:$P$1203,5,0),"※编码不在物料档案里"))</f>
        <v/>
      </c>
      <c r="H1851" s="24">
        <f>IF($D1851="","",IFERROR(VLOOKUP($D1851,物料档案!$A$4:$P$1203,2,0),"※编码不在物料档案里"))</f>
        <v/>
      </c>
      <c r="I1851" s="24">
        <f>IF($D1851="","",IFERROR(VLOOKUP($D1851,物料档案!$A$4:$P$1203,6,0),"※编码不在物料档案里"))</f>
        <v/>
      </c>
      <c r="J1851" s="23" t="n"/>
      <c r="K1851" s="17" t="n"/>
      <c r="L1851" s="17" t="n"/>
      <c r="M1851" s="17" t="n"/>
      <c r="N1851" s="17" t="n"/>
      <c r="O1851" s="26">
        <f>IF($D1851="","",IFERROR(VLOOKUP($D1851,物料档案!$A$4:$P$1203,10,0),0))</f>
        <v/>
      </c>
      <c r="P1851" s="32" t="n"/>
      <c r="Q1851" s="26">
        <f>IF($D1851="","",IF($K1851&lt;&gt;"对外销售",0,ROUND(N($J1851)*IF($P1851="",N($O1851),N($P1851)),0)))</f>
        <v/>
      </c>
      <c r="R1851" s="26">
        <f>IF($D1851="","",IFERROR(VLOOKUP($D1851,库存台账!$A$5:$Y$1204,11,0),0))</f>
        <v/>
      </c>
      <c r="S1851" s="26">
        <f>IF($D1851="","",ROUND(N($J1851)*N($R1851),0))</f>
        <v/>
      </c>
      <c r="T1851" s="26">
        <f>IF($D1851="","",IF($K1851&lt;&gt;"对外销售","",ROUND($Q1851-$S1851,0)))</f>
        <v/>
      </c>
      <c r="U1851" s="17" t="n"/>
      <c r="V1851" s="17" t="n"/>
      <c r="W1851" s="24">
        <f>IF($D1851="","",IF($E1851="※编码不在物料档案里","※物料编码不在档案里",IF(N($J1851)&lt;=0,"※出库数量要大于 0",IF($K1851="","※没填去向类型",IF($L1851="","※没填去向矿区",IF(AND($C1851&lt;&gt;"",$C1851&lt;=结账锁),"※日期早于已结账截止日，不能再录",IF(AND($K1851="自用消耗",COUNTIF({"一矿区";"二矿区"},$L1851)=0),"※自用消耗的去向只能是一矿区或二矿区",IF(AND($K1851="对外销售",COUNTIF({"三矿区";"六矿区"},$L1851)=0),"※对外销售的去向只能是三矿区或六矿区",IF(AND($K1851="对外销售",ROUND($Q1851,0)=0),"※外销却没有售价，请填实际售价",IF(AND($K1851="对外销售",$T1851&lt;&gt;"",$T1851&lt;0),"※这一笔外销是亏的，请核对售价",IF(IFERROR(VLOOKUP($D1851,库存台账!$A$5:$Y$1204,24,0),0)&lt;-0.001,"※这个物料账面已经变成负数了，查一下是不是漏记入库","")))))))))))</f>
        <v/>
      </c>
    </row>
    <row r="1852">
      <c r="A1852" s="24">
        <f>IF($D1852="","",COUNTA($D$4:$D1852))</f>
        <v/>
      </c>
      <c r="B1852" s="17" t="n"/>
      <c r="C1852" s="30" t="n"/>
      <c r="D1852" s="17" t="n"/>
      <c r="E1852" s="24">
        <f>IF($D1852="","",IFERROR(VLOOKUP($D1852,物料档案!$A$4:$P$1203,3,0),"※编码不在物料档案里"))</f>
        <v/>
      </c>
      <c r="F1852" s="24">
        <f>IF($D1852="","",IFERROR(VLOOKUP($D1852,物料档案!$A$4:$P$1203,4,0),"※编码不在物料档案里"))</f>
        <v/>
      </c>
      <c r="G1852" s="24">
        <f>IF($D1852="","",IFERROR(VLOOKUP($D1852,物料档案!$A$4:$P$1203,5,0),"※编码不在物料档案里"))</f>
        <v/>
      </c>
      <c r="H1852" s="24">
        <f>IF($D1852="","",IFERROR(VLOOKUP($D1852,物料档案!$A$4:$P$1203,2,0),"※编码不在物料档案里"))</f>
        <v/>
      </c>
      <c r="I1852" s="24">
        <f>IF($D1852="","",IFERROR(VLOOKUP($D1852,物料档案!$A$4:$P$1203,6,0),"※编码不在物料档案里"))</f>
        <v/>
      </c>
      <c r="J1852" s="23" t="n"/>
      <c r="K1852" s="17" t="n"/>
      <c r="L1852" s="17" t="n"/>
      <c r="M1852" s="17" t="n"/>
      <c r="N1852" s="17" t="n"/>
      <c r="O1852" s="26">
        <f>IF($D1852="","",IFERROR(VLOOKUP($D1852,物料档案!$A$4:$P$1203,10,0),0))</f>
        <v/>
      </c>
      <c r="P1852" s="32" t="n"/>
      <c r="Q1852" s="26">
        <f>IF($D1852="","",IF($K1852&lt;&gt;"对外销售",0,ROUND(N($J1852)*IF($P1852="",N($O1852),N($P1852)),0)))</f>
        <v/>
      </c>
      <c r="R1852" s="26">
        <f>IF($D1852="","",IFERROR(VLOOKUP($D1852,库存台账!$A$5:$Y$1204,11,0),0))</f>
        <v/>
      </c>
      <c r="S1852" s="26">
        <f>IF($D1852="","",ROUND(N($J1852)*N($R1852),0))</f>
        <v/>
      </c>
      <c r="T1852" s="26">
        <f>IF($D1852="","",IF($K1852&lt;&gt;"对外销售","",ROUND($Q1852-$S1852,0)))</f>
        <v/>
      </c>
      <c r="U1852" s="17" t="n"/>
      <c r="V1852" s="17" t="n"/>
      <c r="W1852" s="24">
        <f>IF($D1852="","",IF($E1852="※编码不在物料档案里","※物料编码不在档案里",IF(N($J1852)&lt;=0,"※出库数量要大于 0",IF($K1852="","※没填去向类型",IF($L1852="","※没填去向矿区",IF(AND($C1852&lt;&gt;"",$C1852&lt;=结账锁),"※日期早于已结账截止日，不能再录",IF(AND($K1852="自用消耗",COUNTIF({"一矿区";"二矿区"},$L1852)=0),"※自用消耗的去向只能是一矿区或二矿区",IF(AND($K1852="对外销售",COUNTIF({"三矿区";"六矿区"},$L1852)=0),"※对外销售的去向只能是三矿区或六矿区",IF(AND($K1852="对外销售",ROUND($Q1852,0)=0),"※外销却没有售价，请填实际售价",IF(AND($K1852="对外销售",$T1852&lt;&gt;"",$T1852&lt;0),"※这一笔外销是亏的，请核对售价",IF(IFERROR(VLOOKUP($D1852,库存台账!$A$5:$Y$1204,24,0),0)&lt;-0.001,"※这个物料账面已经变成负数了，查一下是不是漏记入库","")))))))))))</f>
        <v/>
      </c>
    </row>
    <row r="1853">
      <c r="A1853" s="24">
        <f>IF($D1853="","",COUNTA($D$4:$D1853))</f>
        <v/>
      </c>
      <c r="B1853" s="17" t="n"/>
      <c r="C1853" s="30" t="n"/>
      <c r="D1853" s="17" t="n"/>
      <c r="E1853" s="24">
        <f>IF($D1853="","",IFERROR(VLOOKUP($D1853,物料档案!$A$4:$P$1203,3,0),"※编码不在物料档案里"))</f>
        <v/>
      </c>
      <c r="F1853" s="24">
        <f>IF($D1853="","",IFERROR(VLOOKUP($D1853,物料档案!$A$4:$P$1203,4,0),"※编码不在物料档案里"))</f>
        <v/>
      </c>
      <c r="G1853" s="24">
        <f>IF($D1853="","",IFERROR(VLOOKUP($D1853,物料档案!$A$4:$P$1203,5,0),"※编码不在物料档案里"))</f>
        <v/>
      </c>
      <c r="H1853" s="24">
        <f>IF($D1853="","",IFERROR(VLOOKUP($D1853,物料档案!$A$4:$P$1203,2,0),"※编码不在物料档案里"))</f>
        <v/>
      </c>
      <c r="I1853" s="24">
        <f>IF($D1853="","",IFERROR(VLOOKUP($D1853,物料档案!$A$4:$P$1203,6,0),"※编码不在物料档案里"))</f>
        <v/>
      </c>
      <c r="J1853" s="23" t="n"/>
      <c r="K1853" s="17" t="n"/>
      <c r="L1853" s="17" t="n"/>
      <c r="M1853" s="17" t="n"/>
      <c r="N1853" s="17" t="n"/>
      <c r="O1853" s="26">
        <f>IF($D1853="","",IFERROR(VLOOKUP($D1853,物料档案!$A$4:$P$1203,10,0),0))</f>
        <v/>
      </c>
      <c r="P1853" s="32" t="n"/>
      <c r="Q1853" s="26">
        <f>IF($D1853="","",IF($K1853&lt;&gt;"对外销售",0,ROUND(N($J1853)*IF($P1853="",N($O1853),N($P1853)),0)))</f>
        <v/>
      </c>
      <c r="R1853" s="26">
        <f>IF($D1853="","",IFERROR(VLOOKUP($D1853,库存台账!$A$5:$Y$1204,11,0),0))</f>
        <v/>
      </c>
      <c r="S1853" s="26">
        <f>IF($D1853="","",ROUND(N($J1853)*N($R1853),0))</f>
        <v/>
      </c>
      <c r="T1853" s="26">
        <f>IF($D1853="","",IF($K1853&lt;&gt;"对外销售","",ROUND($Q1853-$S1853,0)))</f>
        <v/>
      </c>
      <c r="U1853" s="17" t="n"/>
      <c r="V1853" s="17" t="n"/>
      <c r="W1853" s="24">
        <f>IF($D1853="","",IF($E1853="※编码不在物料档案里","※物料编码不在档案里",IF(N($J1853)&lt;=0,"※出库数量要大于 0",IF($K1853="","※没填去向类型",IF($L1853="","※没填去向矿区",IF(AND($C1853&lt;&gt;"",$C1853&lt;=结账锁),"※日期早于已结账截止日，不能再录",IF(AND($K1853="自用消耗",COUNTIF({"一矿区";"二矿区"},$L1853)=0),"※自用消耗的去向只能是一矿区或二矿区",IF(AND($K1853="对外销售",COUNTIF({"三矿区";"六矿区"},$L1853)=0),"※对外销售的去向只能是三矿区或六矿区",IF(AND($K1853="对外销售",ROUND($Q1853,0)=0),"※外销却没有售价，请填实际售价",IF(AND($K1853="对外销售",$T1853&lt;&gt;"",$T1853&lt;0),"※这一笔外销是亏的，请核对售价",IF(IFERROR(VLOOKUP($D1853,库存台账!$A$5:$Y$1204,24,0),0)&lt;-0.001,"※这个物料账面已经变成负数了，查一下是不是漏记入库","")))))))))))</f>
        <v/>
      </c>
    </row>
    <row r="1854">
      <c r="A1854" s="24">
        <f>IF($D1854="","",COUNTA($D$4:$D1854))</f>
        <v/>
      </c>
      <c r="B1854" s="17" t="n"/>
      <c r="C1854" s="30" t="n"/>
      <c r="D1854" s="17" t="n"/>
      <c r="E1854" s="24">
        <f>IF($D1854="","",IFERROR(VLOOKUP($D1854,物料档案!$A$4:$P$1203,3,0),"※编码不在物料档案里"))</f>
        <v/>
      </c>
      <c r="F1854" s="24">
        <f>IF($D1854="","",IFERROR(VLOOKUP($D1854,物料档案!$A$4:$P$1203,4,0),"※编码不在物料档案里"))</f>
        <v/>
      </c>
      <c r="G1854" s="24">
        <f>IF($D1854="","",IFERROR(VLOOKUP($D1854,物料档案!$A$4:$P$1203,5,0),"※编码不在物料档案里"))</f>
        <v/>
      </c>
      <c r="H1854" s="24">
        <f>IF($D1854="","",IFERROR(VLOOKUP($D1854,物料档案!$A$4:$P$1203,2,0),"※编码不在物料档案里"))</f>
        <v/>
      </c>
      <c r="I1854" s="24">
        <f>IF($D1854="","",IFERROR(VLOOKUP($D1854,物料档案!$A$4:$P$1203,6,0),"※编码不在物料档案里"))</f>
        <v/>
      </c>
      <c r="J1854" s="23" t="n"/>
      <c r="K1854" s="17" t="n"/>
      <c r="L1854" s="17" t="n"/>
      <c r="M1854" s="17" t="n"/>
      <c r="N1854" s="17" t="n"/>
      <c r="O1854" s="26">
        <f>IF($D1854="","",IFERROR(VLOOKUP($D1854,物料档案!$A$4:$P$1203,10,0),0))</f>
        <v/>
      </c>
      <c r="P1854" s="32" t="n"/>
      <c r="Q1854" s="26">
        <f>IF($D1854="","",IF($K1854&lt;&gt;"对外销售",0,ROUND(N($J1854)*IF($P1854="",N($O1854),N($P1854)),0)))</f>
        <v/>
      </c>
      <c r="R1854" s="26">
        <f>IF($D1854="","",IFERROR(VLOOKUP($D1854,库存台账!$A$5:$Y$1204,11,0),0))</f>
        <v/>
      </c>
      <c r="S1854" s="26">
        <f>IF($D1854="","",ROUND(N($J1854)*N($R1854),0))</f>
        <v/>
      </c>
      <c r="T1854" s="26">
        <f>IF($D1854="","",IF($K1854&lt;&gt;"对外销售","",ROUND($Q1854-$S1854,0)))</f>
        <v/>
      </c>
      <c r="U1854" s="17" t="n"/>
      <c r="V1854" s="17" t="n"/>
      <c r="W1854" s="24">
        <f>IF($D1854="","",IF($E1854="※编码不在物料档案里","※物料编码不在档案里",IF(N($J1854)&lt;=0,"※出库数量要大于 0",IF($K1854="","※没填去向类型",IF($L1854="","※没填去向矿区",IF(AND($C1854&lt;&gt;"",$C1854&lt;=结账锁),"※日期早于已结账截止日，不能再录",IF(AND($K1854="自用消耗",COUNTIF({"一矿区";"二矿区"},$L1854)=0),"※自用消耗的去向只能是一矿区或二矿区",IF(AND($K1854="对外销售",COUNTIF({"三矿区";"六矿区"},$L1854)=0),"※对外销售的去向只能是三矿区或六矿区",IF(AND($K1854="对外销售",ROUND($Q1854,0)=0),"※外销却没有售价，请填实际售价",IF(AND($K1854="对外销售",$T1854&lt;&gt;"",$T1854&lt;0),"※这一笔外销是亏的，请核对售价",IF(IFERROR(VLOOKUP($D1854,库存台账!$A$5:$Y$1204,24,0),0)&lt;-0.001,"※这个物料账面已经变成负数了，查一下是不是漏记入库","")))))))))))</f>
        <v/>
      </c>
    </row>
    <row r="1855">
      <c r="A1855" s="24">
        <f>IF($D1855="","",COUNTA($D$4:$D1855))</f>
        <v/>
      </c>
      <c r="B1855" s="17" t="n"/>
      <c r="C1855" s="30" t="n"/>
      <c r="D1855" s="17" t="n"/>
      <c r="E1855" s="24">
        <f>IF($D1855="","",IFERROR(VLOOKUP($D1855,物料档案!$A$4:$P$1203,3,0),"※编码不在物料档案里"))</f>
        <v/>
      </c>
      <c r="F1855" s="24">
        <f>IF($D1855="","",IFERROR(VLOOKUP($D1855,物料档案!$A$4:$P$1203,4,0),"※编码不在物料档案里"))</f>
        <v/>
      </c>
      <c r="G1855" s="24">
        <f>IF($D1855="","",IFERROR(VLOOKUP($D1855,物料档案!$A$4:$P$1203,5,0),"※编码不在物料档案里"))</f>
        <v/>
      </c>
      <c r="H1855" s="24">
        <f>IF($D1855="","",IFERROR(VLOOKUP($D1855,物料档案!$A$4:$P$1203,2,0),"※编码不在物料档案里"))</f>
        <v/>
      </c>
      <c r="I1855" s="24">
        <f>IF($D1855="","",IFERROR(VLOOKUP($D1855,物料档案!$A$4:$P$1203,6,0),"※编码不在物料档案里"))</f>
        <v/>
      </c>
      <c r="J1855" s="23" t="n"/>
      <c r="K1855" s="17" t="n"/>
      <c r="L1855" s="17" t="n"/>
      <c r="M1855" s="17" t="n"/>
      <c r="N1855" s="17" t="n"/>
      <c r="O1855" s="26">
        <f>IF($D1855="","",IFERROR(VLOOKUP($D1855,物料档案!$A$4:$P$1203,10,0),0))</f>
        <v/>
      </c>
      <c r="P1855" s="32" t="n"/>
      <c r="Q1855" s="26">
        <f>IF($D1855="","",IF($K1855&lt;&gt;"对外销售",0,ROUND(N($J1855)*IF($P1855="",N($O1855),N($P1855)),0)))</f>
        <v/>
      </c>
      <c r="R1855" s="26">
        <f>IF($D1855="","",IFERROR(VLOOKUP($D1855,库存台账!$A$5:$Y$1204,11,0),0))</f>
        <v/>
      </c>
      <c r="S1855" s="26">
        <f>IF($D1855="","",ROUND(N($J1855)*N($R1855),0))</f>
        <v/>
      </c>
      <c r="T1855" s="26">
        <f>IF($D1855="","",IF($K1855&lt;&gt;"对外销售","",ROUND($Q1855-$S1855,0)))</f>
        <v/>
      </c>
      <c r="U1855" s="17" t="n"/>
      <c r="V1855" s="17" t="n"/>
      <c r="W1855" s="24">
        <f>IF($D1855="","",IF($E1855="※编码不在物料档案里","※物料编码不在档案里",IF(N($J1855)&lt;=0,"※出库数量要大于 0",IF($K1855="","※没填去向类型",IF($L1855="","※没填去向矿区",IF(AND($C1855&lt;&gt;"",$C1855&lt;=结账锁),"※日期早于已结账截止日，不能再录",IF(AND($K1855="自用消耗",COUNTIF({"一矿区";"二矿区"},$L1855)=0),"※自用消耗的去向只能是一矿区或二矿区",IF(AND($K1855="对外销售",COUNTIF({"三矿区";"六矿区"},$L1855)=0),"※对外销售的去向只能是三矿区或六矿区",IF(AND($K1855="对外销售",ROUND($Q1855,0)=0),"※外销却没有售价，请填实际售价",IF(AND($K1855="对外销售",$T1855&lt;&gt;"",$T1855&lt;0),"※这一笔外销是亏的，请核对售价",IF(IFERROR(VLOOKUP($D1855,库存台账!$A$5:$Y$1204,24,0),0)&lt;-0.001,"※这个物料账面已经变成负数了，查一下是不是漏记入库","")))))))))))</f>
        <v/>
      </c>
    </row>
    <row r="1856">
      <c r="A1856" s="24">
        <f>IF($D1856="","",COUNTA($D$4:$D1856))</f>
        <v/>
      </c>
      <c r="B1856" s="17" t="n"/>
      <c r="C1856" s="30" t="n"/>
      <c r="D1856" s="17" t="n"/>
      <c r="E1856" s="24">
        <f>IF($D1856="","",IFERROR(VLOOKUP($D1856,物料档案!$A$4:$P$1203,3,0),"※编码不在物料档案里"))</f>
        <v/>
      </c>
      <c r="F1856" s="24">
        <f>IF($D1856="","",IFERROR(VLOOKUP($D1856,物料档案!$A$4:$P$1203,4,0),"※编码不在物料档案里"))</f>
        <v/>
      </c>
      <c r="G1856" s="24">
        <f>IF($D1856="","",IFERROR(VLOOKUP($D1856,物料档案!$A$4:$P$1203,5,0),"※编码不在物料档案里"))</f>
        <v/>
      </c>
      <c r="H1856" s="24">
        <f>IF($D1856="","",IFERROR(VLOOKUP($D1856,物料档案!$A$4:$P$1203,2,0),"※编码不在物料档案里"))</f>
        <v/>
      </c>
      <c r="I1856" s="24">
        <f>IF($D1856="","",IFERROR(VLOOKUP($D1856,物料档案!$A$4:$P$1203,6,0),"※编码不在物料档案里"))</f>
        <v/>
      </c>
      <c r="J1856" s="23" t="n"/>
      <c r="K1856" s="17" t="n"/>
      <c r="L1856" s="17" t="n"/>
      <c r="M1856" s="17" t="n"/>
      <c r="N1856" s="17" t="n"/>
      <c r="O1856" s="26">
        <f>IF($D1856="","",IFERROR(VLOOKUP($D1856,物料档案!$A$4:$P$1203,10,0),0))</f>
        <v/>
      </c>
      <c r="P1856" s="32" t="n"/>
      <c r="Q1856" s="26">
        <f>IF($D1856="","",IF($K1856&lt;&gt;"对外销售",0,ROUND(N($J1856)*IF($P1856="",N($O1856),N($P1856)),0)))</f>
        <v/>
      </c>
      <c r="R1856" s="26">
        <f>IF($D1856="","",IFERROR(VLOOKUP($D1856,库存台账!$A$5:$Y$1204,11,0),0))</f>
        <v/>
      </c>
      <c r="S1856" s="26">
        <f>IF($D1856="","",ROUND(N($J1856)*N($R1856),0))</f>
        <v/>
      </c>
      <c r="T1856" s="26">
        <f>IF($D1856="","",IF($K1856&lt;&gt;"对外销售","",ROUND($Q1856-$S1856,0)))</f>
        <v/>
      </c>
      <c r="U1856" s="17" t="n"/>
      <c r="V1856" s="17" t="n"/>
      <c r="W1856" s="24">
        <f>IF($D1856="","",IF($E1856="※编码不在物料档案里","※物料编码不在档案里",IF(N($J1856)&lt;=0,"※出库数量要大于 0",IF($K1856="","※没填去向类型",IF($L1856="","※没填去向矿区",IF(AND($C1856&lt;&gt;"",$C1856&lt;=结账锁),"※日期早于已结账截止日，不能再录",IF(AND($K1856="自用消耗",COUNTIF({"一矿区";"二矿区"},$L1856)=0),"※自用消耗的去向只能是一矿区或二矿区",IF(AND($K1856="对外销售",COUNTIF({"三矿区";"六矿区"},$L1856)=0),"※对外销售的去向只能是三矿区或六矿区",IF(AND($K1856="对外销售",ROUND($Q1856,0)=0),"※外销却没有售价，请填实际售价",IF(AND($K1856="对外销售",$T1856&lt;&gt;"",$T1856&lt;0),"※这一笔外销是亏的，请核对售价",IF(IFERROR(VLOOKUP($D1856,库存台账!$A$5:$Y$1204,24,0),0)&lt;-0.001,"※这个物料账面已经变成负数了，查一下是不是漏记入库","")))))))))))</f>
        <v/>
      </c>
    </row>
    <row r="1857">
      <c r="A1857" s="24">
        <f>IF($D1857="","",COUNTA($D$4:$D1857))</f>
        <v/>
      </c>
      <c r="B1857" s="17" t="n"/>
      <c r="C1857" s="30" t="n"/>
      <c r="D1857" s="17" t="n"/>
      <c r="E1857" s="24">
        <f>IF($D1857="","",IFERROR(VLOOKUP($D1857,物料档案!$A$4:$P$1203,3,0),"※编码不在物料档案里"))</f>
        <v/>
      </c>
      <c r="F1857" s="24">
        <f>IF($D1857="","",IFERROR(VLOOKUP($D1857,物料档案!$A$4:$P$1203,4,0),"※编码不在物料档案里"))</f>
        <v/>
      </c>
      <c r="G1857" s="24">
        <f>IF($D1857="","",IFERROR(VLOOKUP($D1857,物料档案!$A$4:$P$1203,5,0),"※编码不在物料档案里"))</f>
        <v/>
      </c>
      <c r="H1857" s="24">
        <f>IF($D1857="","",IFERROR(VLOOKUP($D1857,物料档案!$A$4:$P$1203,2,0),"※编码不在物料档案里"))</f>
        <v/>
      </c>
      <c r="I1857" s="24">
        <f>IF($D1857="","",IFERROR(VLOOKUP($D1857,物料档案!$A$4:$P$1203,6,0),"※编码不在物料档案里"))</f>
        <v/>
      </c>
      <c r="J1857" s="23" t="n"/>
      <c r="K1857" s="17" t="n"/>
      <c r="L1857" s="17" t="n"/>
      <c r="M1857" s="17" t="n"/>
      <c r="N1857" s="17" t="n"/>
      <c r="O1857" s="26">
        <f>IF($D1857="","",IFERROR(VLOOKUP($D1857,物料档案!$A$4:$P$1203,10,0),0))</f>
        <v/>
      </c>
      <c r="P1857" s="32" t="n"/>
      <c r="Q1857" s="26">
        <f>IF($D1857="","",IF($K1857&lt;&gt;"对外销售",0,ROUND(N($J1857)*IF($P1857="",N($O1857),N($P1857)),0)))</f>
        <v/>
      </c>
      <c r="R1857" s="26">
        <f>IF($D1857="","",IFERROR(VLOOKUP($D1857,库存台账!$A$5:$Y$1204,11,0),0))</f>
        <v/>
      </c>
      <c r="S1857" s="26">
        <f>IF($D1857="","",ROUND(N($J1857)*N($R1857),0))</f>
        <v/>
      </c>
      <c r="T1857" s="26">
        <f>IF($D1857="","",IF($K1857&lt;&gt;"对外销售","",ROUND($Q1857-$S1857,0)))</f>
        <v/>
      </c>
      <c r="U1857" s="17" t="n"/>
      <c r="V1857" s="17" t="n"/>
      <c r="W1857" s="24">
        <f>IF($D1857="","",IF($E1857="※编码不在物料档案里","※物料编码不在档案里",IF(N($J1857)&lt;=0,"※出库数量要大于 0",IF($K1857="","※没填去向类型",IF($L1857="","※没填去向矿区",IF(AND($C1857&lt;&gt;"",$C1857&lt;=结账锁),"※日期早于已结账截止日，不能再录",IF(AND($K1857="自用消耗",COUNTIF({"一矿区";"二矿区"},$L1857)=0),"※自用消耗的去向只能是一矿区或二矿区",IF(AND($K1857="对外销售",COUNTIF({"三矿区";"六矿区"},$L1857)=0),"※对外销售的去向只能是三矿区或六矿区",IF(AND($K1857="对外销售",ROUND($Q1857,0)=0),"※外销却没有售价，请填实际售价",IF(AND($K1857="对外销售",$T1857&lt;&gt;"",$T1857&lt;0),"※这一笔外销是亏的，请核对售价",IF(IFERROR(VLOOKUP($D1857,库存台账!$A$5:$Y$1204,24,0),0)&lt;-0.001,"※这个物料账面已经变成负数了，查一下是不是漏记入库","")))))))))))</f>
        <v/>
      </c>
    </row>
    <row r="1858">
      <c r="A1858" s="24">
        <f>IF($D1858="","",COUNTA($D$4:$D1858))</f>
        <v/>
      </c>
      <c r="B1858" s="17" t="n"/>
      <c r="C1858" s="30" t="n"/>
      <c r="D1858" s="17" t="n"/>
      <c r="E1858" s="24">
        <f>IF($D1858="","",IFERROR(VLOOKUP($D1858,物料档案!$A$4:$P$1203,3,0),"※编码不在物料档案里"))</f>
        <v/>
      </c>
      <c r="F1858" s="24">
        <f>IF($D1858="","",IFERROR(VLOOKUP($D1858,物料档案!$A$4:$P$1203,4,0),"※编码不在物料档案里"))</f>
        <v/>
      </c>
      <c r="G1858" s="24">
        <f>IF($D1858="","",IFERROR(VLOOKUP($D1858,物料档案!$A$4:$P$1203,5,0),"※编码不在物料档案里"))</f>
        <v/>
      </c>
      <c r="H1858" s="24">
        <f>IF($D1858="","",IFERROR(VLOOKUP($D1858,物料档案!$A$4:$P$1203,2,0),"※编码不在物料档案里"))</f>
        <v/>
      </c>
      <c r="I1858" s="24">
        <f>IF($D1858="","",IFERROR(VLOOKUP($D1858,物料档案!$A$4:$P$1203,6,0),"※编码不在物料档案里"))</f>
        <v/>
      </c>
      <c r="J1858" s="23" t="n"/>
      <c r="K1858" s="17" t="n"/>
      <c r="L1858" s="17" t="n"/>
      <c r="M1858" s="17" t="n"/>
      <c r="N1858" s="17" t="n"/>
      <c r="O1858" s="26">
        <f>IF($D1858="","",IFERROR(VLOOKUP($D1858,物料档案!$A$4:$P$1203,10,0),0))</f>
        <v/>
      </c>
      <c r="P1858" s="32" t="n"/>
      <c r="Q1858" s="26">
        <f>IF($D1858="","",IF($K1858&lt;&gt;"对外销售",0,ROUND(N($J1858)*IF($P1858="",N($O1858),N($P1858)),0)))</f>
        <v/>
      </c>
      <c r="R1858" s="26">
        <f>IF($D1858="","",IFERROR(VLOOKUP($D1858,库存台账!$A$5:$Y$1204,11,0),0))</f>
        <v/>
      </c>
      <c r="S1858" s="26">
        <f>IF($D1858="","",ROUND(N($J1858)*N($R1858),0))</f>
        <v/>
      </c>
      <c r="T1858" s="26">
        <f>IF($D1858="","",IF($K1858&lt;&gt;"对外销售","",ROUND($Q1858-$S1858,0)))</f>
        <v/>
      </c>
      <c r="U1858" s="17" t="n"/>
      <c r="V1858" s="17" t="n"/>
      <c r="W1858" s="24">
        <f>IF($D1858="","",IF($E1858="※编码不在物料档案里","※物料编码不在档案里",IF(N($J1858)&lt;=0,"※出库数量要大于 0",IF($K1858="","※没填去向类型",IF($L1858="","※没填去向矿区",IF(AND($C1858&lt;&gt;"",$C1858&lt;=结账锁),"※日期早于已结账截止日，不能再录",IF(AND($K1858="自用消耗",COUNTIF({"一矿区";"二矿区"},$L1858)=0),"※自用消耗的去向只能是一矿区或二矿区",IF(AND($K1858="对外销售",COUNTIF({"三矿区";"六矿区"},$L1858)=0),"※对外销售的去向只能是三矿区或六矿区",IF(AND($K1858="对外销售",ROUND($Q1858,0)=0),"※外销却没有售价，请填实际售价",IF(AND($K1858="对外销售",$T1858&lt;&gt;"",$T1858&lt;0),"※这一笔外销是亏的，请核对售价",IF(IFERROR(VLOOKUP($D1858,库存台账!$A$5:$Y$1204,24,0),0)&lt;-0.001,"※这个物料账面已经变成负数了，查一下是不是漏记入库","")))))))))))</f>
        <v/>
      </c>
    </row>
    <row r="1859">
      <c r="A1859" s="24">
        <f>IF($D1859="","",COUNTA($D$4:$D1859))</f>
        <v/>
      </c>
      <c r="B1859" s="17" t="n"/>
      <c r="C1859" s="30" t="n"/>
      <c r="D1859" s="17" t="n"/>
      <c r="E1859" s="24">
        <f>IF($D1859="","",IFERROR(VLOOKUP($D1859,物料档案!$A$4:$P$1203,3,0),"※编码不在物料档案里"))</f>
        <v/>
      </c>
      <c r="F1859" s="24">
        <f>IF($D1859="","",IFERROR(VLOOKUP($D1859,物料档案!$A$4:$P$1203,4,0),"※编码不在物料档案里"))</f>
        <v/>
      </c>
      <c r="G1859" s="24">
        <f>IF($D1859="","",IFERROR(VLOOKUP($D1859,物料档案!$A$4:$P$1203,5,0),"※编码不在物料档案里"))</f>
        <v/>
      </c>
      <c r="H1859" s="24">
        <f>IF($D1859="","",IFERROR(VLOOKUP($D1859,物料档案!$A$4:$P$1203,2,0),"※编码不在物料档案里"))</f>
        <v/>
      </c>
      <c r="I1859" s="24">
        <f>IF($D1859="","",IFERROR(VLOOKUP($D1859,物料档案!$A$4:$P$1203,6,0),"※编码不在物料档案里"))</f>
        <v/>
      </c>
      <c r="J1859" s="23" t="n"/>
      <c r="K1859" s="17" t="n"/>
      <c r="L1859" s="17" t="n"/>
      <c r="M1859" s="17" t="n"/>
      <c r="N1859" s="17" t="n"/>
      <c r="O1859" s="26">
        <f>IF($D1859="","",IFERROR(VLOOKUP($D1859,物料档案!$A$4:$P$1203,10,0),0))</f>
        <v/>
      </c>
      <c r="P1859" s="32" t="n"/>
      <c r="Q1859" s="26">
        <f>IF($D1859="","",IF($K1859&lt;&gt;"对外销售",0,ROUND(N($J1859)*IF($P1859="",N($O1859),N($P1859)),0)))</f>
        <v/>
      </c>
      <c r="R1859" s="26">
        <f>IF($D1859="","",IFERROR(VLOOKUP($D1859,库存台账!$A$5:$Y$1204,11,0),0))</f>
        <v/>
      </c>
      <c r="S1859" s="26">
        <f>IF($D1859="","",ROUND(N($J1859)*N($R1859),0))</f>
        <v/>
      </c>
      <c r="T1859" s="26">
        <f>IF($D1859="","",IF($K1859&lt;&gt;"对外销售","",ROUND($Q1859-$S1859,0)))</f>
        <v/>
      </c>
      <c r="U1859" s="17" t="n"/>
      <c r="V1859" s="17" t="n"/>
      <c r="W1859" s="24">
        <f>IF($D1859="","",IF($E1859="※编码不在物料档案里","※物料编码不在档案里",IF(N($J1859)&lt;=0,"※出库数量要大于 0",IF($K1859="","※没填去向类型",IF($L1859="","※没填去向矿区",IF(AND($C1859&lt;&gt;"",$C1859&lt;=结账锁),"※日期早于已结账截止日，不能再录",IF(AND($K1859="自用消耗",COUNTIF({"一矿区";"二矿区"},$L1859)=0),"※自用消耗的去向只能是一矿区或二矿区",IF(AND($K1859="对外销售",COUNTIF({"三矿区";"六矿区"},$L1859)=0),"※对外销售的去向只能是三矿区或六矿区",IF(AND($K1859="对外销售",ROUND($Q1859,0)=0),"※外销却没有售价，请填实际售价",IF(AND($K1859="对外销售",$T1859&lt;&gt;"",$T1859&lt;0),"※这一笔外销是亏的，请核对售价",IF(IFERROR(VLOOKUP($D1859,库存台账!$A$5:$Y$1204,24,0),0)&lt;-0.001,"※这个物料账面已经变成负数了，查一下是不是漏记入库","")))))))))))</f>
        <v/>
      </c>
    </row>
    <row r="1860">
      <c r="A1860" s="24">
        <f>IF($D1860="","",COUNTA($D$4:$D1860))</f>
        <v/>
      </c>
      <c r="B1860" s="17" t="n"/>
      <c r="C1860" s="30" t="n"/>
      <c r="D1860" s="17" t="n"/>
      <c r="E1860" s="24">
        <f>IF($D1860="","",IFERROR(VLOOKUP($D1860,物料档案!$A$4:$P$1203,3,0),"※编码不在物料档案里"))</f>
        <v/>
      </c>
      <c r="F1860" s="24">
        <f>IF($D1860="","",IFERROR(VLOOKUP($D1860,物料档案!$A$4:$P$1203,4,0),"※编码不在物料档案里"))</f>
        <v/>
      </c>
      <c r="G1860" s="24">
        <f>IF($D1860="","",IFERROR(VLOOKUP($D1860,物料档案!$A$4:$P$1203,5,0),"※编码不在物料档案里"))</f>
        <v/>
      </c>
      <c r="H1860" s="24">
        <f>IF($D1860="","",IFERROR(VLOOKUP($D1860,物料档案!$A$4:$P$1203,2,0),"※编码不在物料档案里"))</f>
        <v/>
      </c>
      <c r="I1860" s="24">
        <f>IF($D1860="","",IFERROR(VLOOKUP($D1860,物料档案!$A$4:$P$1203,6,0),"※编码不在物料档案里"))</f>
        <v/>
      </c>
      <c r="J1860" s="23" t="n"/>
      <c r="K1860" s="17" t="n"/>
      <c r="L1860" s="17" t="n"/>
      <c r="M1860" s="17" t="n"/>
      <c r="N1860" s="17" t="n"/>
      <c r="O1860" s="26">
        <f>IF($D1860="","",IFERROR(VLOOKUP($D1860,物料档案!$A$4:$P$1203,10,0),0))</f>
        <v/>
      </c>
      <c r="P1860" s="32" t="n"/>
      <c r="Q1860" s="26">
        <f>IF($D1860="","",IF($K1860&lt;&gt;"对外销售",0,ROUND(N($J1860)*IF($P1860="",N($O1860),N($P1860)),0)))</f>
        <v/>
      </c>
      <c r="R1860" s="26">
        <f>IF($D1860="","",IFERROR(VLOOKUP($D1860,库存台账!$A$5:$Y$1204,11,0),0))</f>
        <v/>
      </c>
      <c r="S1860" s="26">
        <f>IF($D1860="","",ROUND(N($J1860)*N($R1860),0))</f>
        <v/>
      </c>
      <c r="T1860" s="26">
        <f>IF($D1860="","",IF($K1860&lt;&gt;"对外销售","",ROUND($Q1860-$S1860,0)))</f>
        <v/>
      </c>
      <c r="U1860" s="17" t="n"/>
      <c r="V1860" s="17" t="n"/>
      <c r="W1860" s="24">
        <f>IF($D1860="","",IF($E1860="※编码不在物料档案里","※物料编码不在档案里",IF(N($J1860)&lt;=0,"※出库数量要大于 0",IF($K1860="","※没填去向类型",IF($L1860="","※没填去向矿区",IF(AND($C1860&lt;&gt;"",$C1860&lt;=结账锁),"※日期早于已结账截止日，不能再录",IF(AND($K1860="自用消耗",COUNTIF({"一矿区";"二矿区"},$L1860)=0),"※自用消耗的去向只能是一矿区或二矿区",IF(AND($K1860="对外销售",COUNTIF({"三矿区";"六矿区"},$L1860)=0),"※对外销售的去向只能是三矿区或六矿区",IF(AND($K1860="对外销售",ROUND($Q1860,0)=0),"※外销却没有售价，请填实际售价",IF(AND($K1860="对外销售",$T1860&lt;&gt;"",$T1860&lt;0),"※这一笔外销是亏的，请核对售价",IF(IFERROR(VLOOKUP($D1860,库存台账!$A$5:$Y$1204,24,0),0)&lt;-0.001,"※这个物料账面已经变成负数了，查一下是不是漏记入库","")))))))))))</f>
        <v/>
      </c>
    </row>
    <row r="1861">
      <c r="A1861" s="24">
        <f>IF($D1861="","",COUNTA($D$4:$D1861))</f>
        <v/>
      </c>
      <c r="B1861" s="17" t="n"/>
      <c r="C1861" s="30" t="n"/>
      <c r="D1861" s="17" t="n"/>
      <c r="E1861" s="24">
        <f>IF($D1861="","",IFERROR(VLOOKUP($D1861,物料档案!$A$4:$P$1203,3,0),"※编码不在物料档案里"))</f>
        <v/>
      </c>
      <c r="F1861" s="24">
        <f>IF($D1861="","",IFERROR(VLOOKUP($D1861,物料档案!$A$4:$P$1203,4,0),"※编码不在物料档案里"))</f>
        <v/>
      </c>
      <c r="G1861" s="24">
        <f>IF($D1861="","",IFERROR(VLOOKUP($D1861,物料档案!$A$4:$P$1203,5,0),"※编码不在物料档案里"))</f>
        <v/>
      </c>
      <c r="H1861" s="24">
        <f>IF($D1861="","",IFERROR(VLOOKUP($D1861,物料档案!$A$4:$P$1203,2,0),"※编码不在物料档案里"))</f>
        <v/>
      </c>
      <c r="I1861" s="24">
        <f>IF($D1861="","",IFERROR(VLOOKUP($D1861,物料档案!$A$4:$P$1203,6,0),"※编码不在物料档案里"))</f>
        <v/>
      </c>
      <c r="J1861" s="23" t="n"/>
      <c r="K1861" s="17" t="n"/>
      <c r="L1861" s="17" t="n"/>
      <c r="M1861" s="17" t="n"/>
      <c r="N1861" s="17" t="n"/>
      <c r="O1861" s="26">
        <f>IF($D1861="","",IFERROR(VLOOKUP($D1861,物料档案!$A$4:$P$1203,10,0),0))</f>
        <v/>
      </c>
      <c r="P1861" s="32" t="n"/>
      <c r="Q1861" s="26">
        <f>IF($D1861="","",IF($K1861&lt;&gt;"对外销售",0,ROUND(N($J1861)*IF($P1861="",N($O1861),N($P1861)),0)))</f>
        <v/>
      </c>
      <c r="R1861" s="26">
        <f>IF($D1861="","",IFERROR(VLOOKUP($D1861,库存台账!$A$5:$Y$1204,11,0),0))</f>
        <v/>
      </c>
      <c r="S1861" s="26">
        <f>IF($D1861="","",ROUND(N($J1861)*N($R1861),0))</f>
        <v/>
      </c>
      <c r="T1861" s="26">
        <f>IF($D1861="","",IF($K1861&lt;&gt;"对外销售","",ROUND($Q1861-$S1861,0)))</f>
        <v/>
      </c>
      <c r="U1861" s="17" t="n"/>
      <c r="V1861" s="17" t="n"/>
      <c r="W1861" s="24">
        <f>IF($D1861="","",IF($E1861="※编码不在物料档案里","※物料编码不在档案里",IF(N($J1861)&lt;=0,"※出库数量要大于 0",IF($K1861="","※没填去向类型",IF($L1861="","※没填去向矿区",IF(AND($C1861&lt;&gt;"",$C1861&lt;=结账锁),"※日期早于已结账截止日，不能再录",IF(AND($K1861="自用消耗",COUNTIF({"一矿区";"二矿区"},$L1861)=0),"※自用消耗的去向只能是一矿区或二矿区",IF(AND($K1861="对外销售",COUNTIF({"三矿区";"六矿区"},$L1861)=0),"※对外销售的去向只能是三矿区或六矿区",IF(AND($K1861="对外销售",ROUND($Q1861,0)=0),"※外销却没有售价，请填实际售价",IF(AND($K1861="对外销售",$T1861&lt;&gt;"",$T1861&lt;0),"※这一笔外销是亏的，请核对售价",IF(IFERROR(VLOOKUP($D1861,库存台账!$A$5:$Y$1204,24,0),0)&lt;-0.001,"※这个物料账面已经变成负数了，查一下是不是漏记入库","")))))))))))</f>
        <v/>
      </c>
    </row>
    <row r="1862">
      <c r="A1862" s="24">
        <f>IF($D1862="","",COUNTA($D$4:$D1862))</f>
        <v/>
      </c>
      <c r="B1862" s="17" t="n"/>
      <c r="C1862" s="30" t="n"/>
      <c r="D1862" s="17" t="n"/>
      <c r="E1862" s="24">
        <f>IF($D1862="","",IFERROR(VLOOKUP($D1862,物料档案!$A$4:$P$1203,3,0),"※编码不在物料档案里"))</f>
        <v/>
      </c>
      <c r="F1862" s="24">
        <f>IF($D1862="","",IFERROR(VLOOKUP($D1862,物料档案!$A$4:$P$1203,4,0),"※编码不在物料档案里"))</f>
        <v/>
      </c>
      <c r="G1862" s="24">
        <f>IF($D1862="","",IFERROR(VLOOKUP($D1862,物料档案!$A$4:$P$1203,5,0),"※编码不在物料档案里"))</f>
        <v/>
      </c>
      <c r="H1862" s="24">
        <f>IF($D1862="","",IFERROR(VLOOKUP($D1862,物料档案!$A$4:$P$1203,2,0),"※编码不在物料档案里"))</f>
        <v/>
      </c>
      <c r="I1862" s="24">
        <f>IF($D1862="","",IFERROR(VLOOKUP($D1862,物料档案!$A$4:$P$1203,6,0),"※编码不在物料档案里"))</f>
        <v/>
      </c>
      <c r="J1862" s="23" t="n"/>
      <c r="K1862" s="17" t="n"/>
      <c r="L1862" s="17" t="n"/>
      <c r="M1862" s="17" t="n"/>
      <c r="N1862" s="17" t="n"/>
      <c r="O1862" s="26">
        <f>IF($D1862="","",IFERROR(VLOOKUP($D1862,物料档案!$A$4:$P$1203,10,0),0))</f>
        <v/>
      </c>
      <c r="P1862" s="32" t="n"/>
      <c r="Q1862" s="26">
        <f>IF($D1862="","",IF($K1862&lt;&gt;"对外销售",0,ROUND(N($J1862)*IF($P1862="",N($O1862),N($P1862)),0)))</f>
        <v/>
      </c>
      <c r="R1862" s="26">
        <f>IF($D1862="","",IFERROR(VLOOKUP($D1862,库存台账!$A$5:$Y$1204,11,0),0))</f>
        <v/>
      </c>
      <c r="S1862" s="26">
        <f>IF($D1862="","",ROUND(N($J1862)*N($R1862),0))</f>
        <v/>
      </c>
      <c r="T1862" s="26">
        <f>IF($D1862="","",IF($K1862&lt;&gt;"对外销售","",ROUND($Q1862-$S1862,0)))</f>
        <v/>
      </c>
      <c r="U1862" s="17" t="n"/>
      <c r="V1862" s="17" t="n"/>
      <c r="W1862" s="24">
        <f>IF($D1862="","",IF($E1862="※编码不在物料档案里","※物料编码不在档案里",IF(N($J1862)&lt;=0,"※出库数量要大于 0",IF($K1862="","※没填去向类型",IF($L1862="","※没填去向矿区",IF(AND($C1862&lt;&gt;"",$C1862&lt;=结账锁),"※日期早于已结账截止日，不能再录",IF(AND($K1862="自用消耗",COUNTIF({"一矿区";"二矿区"},$L1862)=0),"※自用消耗的去向只能是一矿区或二矿区",IF(AND($K1862="对外销售",COUNTIF({"三矿区";"六矿区"},$L1862)=0),"※对外销售的去向只能是三矿区或六矿区",IF(AND($K1862="对外销售",ROUND($Q1862,0)=0),"※外销却没有售价，请填实际售价",IF(AND($K1862="对外销售",$T1862&lt;&gt;"",$T1862&lt;0),"※这一笔外销是亏的，请核对售价",IF(IFERROR(VLOOKUP($D1862,库存台账!$A$5:$Y$1204,24,0),0)&lt;-0.001,"※这个物料账面已经变成负数了，查一下是不是漏记入库","")))))))))))</f>
        <v/>
      </c>
    </row>
    <row r="1863">
      <c r="A1863" s="24">
        <f>IF($D1863="","",COUNTA($D$4:$D1863))</f>
        <v/>
      </c>
      <c r="B1863" s="17" t="n"/>
      <c r="C1863" s="30" t="n"/>
      <c r="D1863" s="17" t="n"/>
      <c r="E1863" s="24">
        <f>IF($D1863="","",IFERROR(VLOOKUP($D1863,物料档案!$A$4:$P$1203,3,0),"※编码不在物料档案里"))</f>
        <v/>
      </c>
      <c r="F1863" s="24">
        <f>IF($D1863="","",IFERROR(VLOOKUP($D1863,物料档案!$A$4:$P$1203,4,0),"※编码不在物料档案里"))</f>
        <v/>
      </c>
      <c r="G1863" s="24">
        <f>IF($D1863="","",IFERROR(VLOOKUP($D1863,物料档案!$A$4:$P$1203,5,0),"※编码不在物料档案里"))</f>
        <v/>
      </c>
      <c r="H1863" s="24">
        <f>IF($D1863="","",IFERROR(VLOOKUP($D1863,物料档案!$A$4:$P$1203,2,0),"※编码不在物料档案里"))</f>
        <v/>
      </c>
      <c r="I1863" s="24">
        <f>IF($D1863="","",IFERROR(VLOOKUP($D1863,物料档案!$A$4:$P$1203,6,0),"※编码不在物料档案里"))</f>
        <v/>
      </c>
      <c r="J1863" s="23" t="n"/>
      <c r="K1863" s="17" t="n"/>
      <c r="L1863" s="17" t="n"/>
      <c r="M1863" s="17" t="n"/>
      <c r="N1863" s="17" t="n"/>
      <c r="O1863" s="26">
        <f>IF($D1863="","",IFERROR(VLOOKUP($D1863,物料档案!$A$4:$P$1203,10,0),0))</f>
        <v/>
      </c>
      <c r="P1863" s="32" t="n"/>
      <c r="Q1863" s="26">
        <f>IF($D1863="","",IF($K1863&lt;&gt;"对外销售",0,ROUND(N($J1863)*IF($P1863="",N($O1863),N($P1863)),0)))</f>
        <v/>
      </c>
      <c r="R1863" s="26">
        <f>IF($D1863="","",IFERROR(VLOOKUP($D1863,库存台账!$A$5:$Y$1204,11,0),0))</f>
        <v/>
      </c>
      <c r="S1863" s="26">
        <f>IF($D1863="","",ROUND(N($J1863)*N($R1863),0))</f>
        <v/>
      </c>
      <c r="T1863" s="26">
        <f>IF($D1863="","",IF($K1863&lt;&gt;"对外销售","",ROUND($Q1863-$S1863,0)))</f>
        <v/>
      </c>
      <c r="U1863" s="17" t="n"/>
      <c r="V1863" s="17" t="n"/>
      <c r="W1863" s="24">
        <f>IF($D1863="","",IF($E1863="※编码不在物料档案里","※物料编码不在档案里",IF(N($J1863)&lt;=0,"※出库数量要大于 0",IF($K1863="","※没填去向类型",IF($L1863="","※没填去向矿区",IF(AND($C1863&lt;&gt;"",$C1863&lt;=结账锁),"※日期早于已结账截止日，不能再录",IF(AND($K1863="自用消耗",COUNTIF({"一矿区";"二矿区"},$L1863)=0),"※自用消耗的去向只能是一矿区或二矿区",IF(AND($K1863="对外销售",COUNTIF({"三矿区";"六矿区"},$L1863)=0),"※对外销售的去向只能是三矿区或六矿区",IF(AND($K1863="对外销售",ROUND($Q1863,0)=0),"※外销却没有售价，请填实际售价",IF(AND($K1863="对外销售",$T1863&lt;&gt;"",$T1863&lt;0),"※这一笔外销是亏的，请核对售价",IF(IFERROR(VLOOKUP($D1863,库存台账!$A$5:$Y$1204,24,0),0)&lt;-0.001,"※这个物料账面已经变成负数了，查一下是不是漏记入库","")))))))))))</f>
        <v/>
      </c>
    </row>
    <row r="1864">
      <c r="A1864" s="24">
        <f>IF($D1864="","",COUNTA($D$4:$D1864))</f>
        <v/>
      </c>
      <c r="B1864" s="17" t="n"/>
      <c r="C1864" s="30" t="n"/>
      <c r="D1864" s="17" t="n"/>
      <c r="E1864" s="24">
        <f>IF($D1864="","",IFERROR(VLOOKUP($D1864,物料档案!$A$4:$P$1203,3,0),"※编码不在物料档案里"))</f>
        <v/>
      </c>
      <c r="F1864" s="24">
        <f>IF($D1864="","",IFERROR(VLOOKUP($D1864,物料档案!$A$4:$P$1203,4,0),"※编码不在物料档案里"))</f>
        <v/>
      </c>
      <c r="G1864" s="24">
        <f>IF($D1864="","",IFERROR(VLOOKUP($D1864,物料档案!$A$4:$P$1203,5,0),"※编码不在物料档案里"))</f>
        <v/>
      </c>
      <c r="H1864" s="24">
        <f>IF($D1864="","",IFERROR(VLOOKUP($D1864,物料档案!$A$4:$P$1203,2,0),"※编码不在物料档案里"))</f>
        <v/>
      </c>
      <c r="I1864" s="24">
        <f>IF($D1864="","",IFERROR(VLOOKUP($D1864,物料档案!$A$4:$P$1203,6,0),"※编码不在物料档案里"))</f>
        <v/>
      </c>
      <c r="J1864" s="23" t="n"/>
      <c r="K1864" s="17" t="n"/>
      <c r="L1864" s="17" t="n"/>
      <c r="M1864" s="17" t="n"/>
      <c r="N1864" s="17" t="n"/>
      <c r="O1864" s="26">
        <f>IF($D1864="","",IFERROR(VLOOKUP($D1864,物料档案!$A$4:$P$1203,10,0),0))</f>
        <v/>
      </c>
      <c r="P1864" s="32" t="n"/>
      <c r="Q1864" s="26">
        <f>IF($D1864="","",IF($K1864&lt;&gt;"对外销售",0,ROUND(N($J1864)*IF($P1864="",N($O1864),N($P1864)),0)))</f>
        <v/>
      </c>
      <c r="R1864" s="26">
        <f>IF($D1864="","",IFERROR(VLOOKUP($D1864,库存台账!$A$5:$Y$1204,11,0),0))</f>
        <v/>
      </c>
      <c r="S1864" s="26">
        <f>IF($D1864="","",ROUND(N($J1864)*N($R1864),0))</f>
        <v/>
      </c>
      <c r="T1864" s="26">
        <f>IF($D1864="","",IF($K1864&lt;&gt;"对外销售","",ROUND($Q1864-$S1864,0)))</f>
        <v/>
      </c>
      <c r="U1864" s="17" t="n"/>
      <c r="V1864" s="17" t="n"/>
      <c r="W1864" s="24">
        <f>IF($D1864="","",IF($E1864="※编码不在物料档案里","※物料编码不在档案里",IF(N($J1864)&lt;=0,"※出库数量要大于 0",IF($K1864="","※没填去向类型",IF($L1864="","※没填去向矿区",IF(AND($C1864&lt;&gt;"",$C1864&lt;=结账锁),"※日期早于已结账截止日，不能再录",IF(AND($K1864="自用消耗",COUNTIF({"一矿区";"二矿区"},$L1864)=0),"※自用消耗的去向只能是一矿区或二矿区",IF(AND($K1864="对外销售",COUNTIF({"三矿区";"六矿区"},$L1864)=0),"※对外销售的去向只能是三矿区或六矿区",IF(AND($K1864="对外销售",ROUND($Q1864,0)=0),"※外销却没有售价，请填实际售价",IF(AND($K1864="对外销售",$T1864&lt;&gt;"",$T1864&lt;0),"※这一笔外销是亏的，请核对售价",IF(IFERROR(VLOOKUP($D1864,库存台账!$A$5:$Y$1204,24,0),0)&lt;-0.001,"※这个物料账面已经变成负数了，查一下是不是漏记入库","")))))))))))</f>
        <v/>
      </c>
    </row>
    <row r="1865">
      <c r="A1865" s="24">
        <f>IF($D1865="","",COUNTA($D$4:$D1865))</f>
        <v/>
      </c>
      <c r="B1865" s="17" t="n"/>
      <c r="C1865" s="30" t="n"/>
      <c r="D1865" s="17" t="n"/>
      <c r="E1865" s="24">
        <f>IF($D1865="","",IFERROR(VLOOKUP($D1865,物料档案!$A$4:$P$1203,3,0),"※编码不在物料档案里"))</f>
        <v/>
      </c>
      <c r="F1865" s="24">
        <f>IF($D1865="","",IFERROR(VLOOKUP($D1865,物料档案!$A$4:$P$1203,4,0),"※编码不在物料档案里"))</f>
        <v/>
      </c>
      <c r="G1865" s="24">
        <f>IF($D1865="","",IFERROR(VLOOKUP($D1865,物料档案!$A$4:$P$1203,5,0),"※编码不在物料档案里"))</f>
        <v/>
      </c>
      <c r="H1865" s="24">
        <f>IF($D1865="","",IFERROR(VLOOKUP($D1865,物料档案!$A$4:$P$1203,2,0),"※编码不在物料档案里"))</f>
        <v/>
      </c>
      <c r="I1865" s="24">
        <f>IF($D1865="","",IFERROR(VLOOKUP($D1865,物料档案!$A$4:$P$1203,6,0),"※编码不在物料档案里"))</f>
        <v/>
      </c>
      <c r="J1865" s="23" t="n"/>
      <c r="K1865" s="17" t="n"/>
      <c r="L1865" s="17" t="n"/>
      <c r="M1865" s="17" t="n"/>
      <c r="N1865" s="17" t="n"/>
      <c r="O1865" s="26">
        <f>IF($D1865="","",IFERROR(VLOOKUP($D1865,物料档案!$A$4:$P$1203,10,0),0))</f>
        <v/>
      </c>
      <c r="P1865" s="32" t="n"/>
      <c r="Q1865" s="26">
        <f>IF($D1865="","",IF($K1865&lt;&gt;"对外销售",0,ROUND(N($J1865)*IF($P1865="",N($O1865),N($P1865)),0)))</f>
        <v/>
      </c>
      <c r="R1865" s="26">
        <f>IF($D1865="","",IFERROR(VLOOKUP($D1865,库存台账!$A$5:$Y$1204,11,0),0))</f>
        <v/>
      </c>
      <c r="S1865" s="26">
        <f>IF($D1865="","",ROUND(N($J1865)*N($R1865),0))</f>
        <v/>
      </c>
      <c r="T1865" s="26">
        <f>IF($D1865="","",IF($K1865&lt;&gt;"对外销售","",ROUND($Q1865-$S1865,0)))</f>
        <v/>
      </c>
      <c r="U1865" s="17" t="n"/>
      <c r="V1865" s="17" t="n"/>
      <c r="W1865" s="24">
        <f>IF($D1865="","",IF($E1865="※编码不在物料档案里","※物料编码不在档案里",IF(N($J1865)&lt;=0,"※出库数量要大于 0",IF($K1865="","※没填去向类型",IF($L1865="","※没填去向矿区",IF(AND($C1865&lt;&gt;"",$C1865&lt;=结账锁),"※日期早于已结账截止日，不能再录",IF(AND($K1865="自用消耗",COUNTIF({"一矿区";"二矿区"},$L1865)=0),"※自用消耗的去向只能是一矿区或二矿区",IF(AND($K1865="对外销售",COUNTIF({"三矿区";"六矿区"},$L1865)=0),"※对外销售的去向只能是三矿区或六矿区",IF(AND($K1865="对外销售",ROUND($Q1865,0)=0),"※外销却没有售价，请填实际售价",IF(AND($K1865="对外销售",$T1865&lt;&gt;"",$T1865&lt;0),"※这一笔外销是亏的，请核对售价",IF(IFERROR(VLOOKUP($D1865,库存台账!$A$5:$Y$1204,24,0),0)&lt;-0.001,"※这个物料账面已经变成负数了，查一下是不是漏记入库","")))))))))))</f>
        <v/>
      </c>
    </row>
    <row r="1866">
      <c r="A1866" s="24">
        <f>IF($D1866="","",COUNTA($D$4:$D1866))</f>
        <v/>
      </c>
      <c r="B1866" s="17" t="n"/>
      <c r="C1866" s="30" t="n"/>
      <c r="D1866" s="17" t="n"/>
      <c r="E1866" s="24">
        <f>IF($D1866="","",IFERROR(VLOOKUP($D1866,物料档案!$A$4:$P$1203,3,0),"※编码不在物料档案里"))</f>
        <v/>
      </c>
      <c r="F1866" s="24">
        <f>IF($D1866="","",IFERROR(VLOOKUP($D1866,物料档案!$A$4:$P$1203,4,0),"※编码不在物料档案里"))</f>
        <v/>
      </c>
      <c r="G1866" s="24">
        <f>IF($D1866="","",IFERROR(VLOOKUP($D1866,物料档案!$A$4:$P$1203,5,0),"※编码不在物料档案里"))</f>
        <v/>
      </c>
      <c r="H1866" s="24">
        <f>IF($D1866="","",IFERROR(VLOOKUP($D1866,物料档案!$A$4:$P$1203,2,0),"※编码不在物料档案里"))</f>
        <v/>
      </c>
      <c r="I1866" s="24">
        <f>IF($D1866="","",IFERROR(VLOOKUP($D1866,物料档案!$A$4:$P$1203,6,0),"※编码不在物料档案里"))</f>
        <v/>
      </c>
      <c r="J1866" s="23" t="n"/>
      <c r="K1866" s="17" t="n"/>
      <c r="L1866" s="17" t="n"/>
      <c r="M1866" s="17" t="n"/>
      <c r="N1866" s="17" t="n"/>
      <c r="O1866" s="26">
        <f>IF($D1866="","",IFERROR(VLOOKUP($D1866,物料档案!$A$4:$P$1203,10,0),0))</f>
        <v/>
      </c>
      <c r="P1866" s="32" t="n"/>
      <c r="Q1866" s="26">
        <f>IF($D1866="","",IF($K1866&lt;&gt;"对外销售",0,ROUND(N($J1866)*IF($P1866="",N($O1866),N($P1866)),0)))</f>
        <v/>
      </c>
      <c r="R1866" s="26">
        <f>IF($D1866="","",IFERROR(VLOOKUP($D1866,库存台账!$A$5:$Y$1204,11,0),0))</f>
        <v/>
      </c>
      <c r="S1866" s="26">
        <f>IF($D1866="","",ROUND(N($J1866)*N($R1866),0))</f>
        <v/>
      </c>
      <c r="T1866" s="26">
        <f>IF($D1866="","",IF($K1866&lt;&gt;"对外销售","",ROUND($Q1866-$S1866,0)))</f>
        <v/>
      </c>
      <c r="U1866" s="17" t="n"/>
      <c r="V1866" s="17" t="n"/>
      <c r="W1866" s="24">
        <f>IF($D1866="","",IF($E1866="※编码不在物料档案里","※物料编码不在档案里",IF(N($J1866)&lt;=0,"※出库数量要大于 0",IF($K1866="","※没填去向类型",IF($L1866="","※没填去向矿区",IF(AND($C1866&lt;&gt;"",$C1866&lt;=结账锁),"※日期早于已结账截止日，不能再录",IF(AND($K1866="自用消耗",COUNTIF({"一矿区";"二矿区"},$L1866)=0),"※自用消耗的去向只能是一矿区或二矿区",IF(AND($K1866="对外销售",COUNTIF({"三矿区";"六矿区"},$L1866)=0),"※对外销售的去向只能是三矿区或六矿区",IF(AND($K1866="对外销售",ROUND($Q1866,0)=0),"※外销却没有售价，请填实际售价",IF(AND($K1866="对外销售",$T1866&lt;&gt;"",$T1866&lt;0),"※这一笔外销是亏的，请核对售价",IF(IFERROR(VLOOKUP($D1866,库存台账!$A$5:$Y$1204,24,0),0)&lt;-0.001,"※这个物料账面已经变成负数了，查一下是不是漏记入库","")))))))))))</f>
        <v/>
      </c>
    </row>
    <row r="1867">
      <c r="A1867" s="24">
        <f>IF($D1867="","",COUNTA($D$4:$D1867))</f>
        <v/>
      </c>
      <c r="B1867" s="17" t="n"/>
      <c r="C1867" s="30" t="n"/>
      <c r="D1867" s="17" t="n"/>
      <c r="E1867" s="24">
        <f>IF($D1867="","",IFERROR(VLOOKUP($D1867,物料档案!$A$4:$P$1203,3,0),"※编码不在物料档案里"))</f>
        <v/>
      </c>
      <c r="F1867" s="24">
        <f>IF($D1867="","",IFERROR(VLOOKUP($D1867,物料档案!$A$4:$P$1203,4,0),"※编码不在物料档案里"))</f>
        <v/>
      </c>
      <c r="G1867" s="24">
        <f>IF($D1867="","",IFERROR(VLOOKUP($D1867,物料档案!$A$4:$P$1203,5,0),"※编码不在物料档案里"))</f>
        <v/>
      </c>
      <c r="H1867" s="24">
        <f>IF($D1867="","",IFERROR(VLOOKUP($D1867,物料档案!$A$4:$P$1203,2,0),"※编码不在物料档案里"))</f>
        <v/>
      </c>
      <c r="I1867" s="24">
        <f>IF($D1867="","",IFERROR(VLOOKUP($D1867,物料档案!$A$4:$P$1203,6,0),"※编码不在物料档案里"))</f>
        <v/>
      </c>
      <c r="J1867" s="23" t="n"/>
      <c r="K1867" s="17" t="n"/>
      <c r="L1867" s="17" t="n"/>
      <c r="M1867" s="17" t="n"/>
      <c r="N1867" s="17" t="n"/>
      <c r="O1867" s="26">
        <f>IF($D1867="","",IFERROR(VLOOKUP($D1867,物料档案!$A$4:$P$1203,10,0),0))</f>
        <v/>
      </c>
      <c r="P1867" s="32" t="n"/>
      <c r="Q1867" s="26">
        <f>IF($D1867="","",IF($K1867&lt;&gt;"对外销售",0,ROUND(N($J1867)*IF($P1867="",N($O1867),N($P1867)),0)))</f>
        <v/>
      </c>
      <c r="R1867" s="26">
        <f>IF($D1867="","",IFERROR(VLOOKUP($D1867,库存台账!$A$5:$Y$1204,11,0),0))</f>
        <v/>
      </c>
      <c r="S1867" s="26">
        <f>IF($D1867="","",ROUND(N($J1867)*N($R1867),0))</f>
        <v/>
      </c>
      <c r="T1867" s="26">
        <f>IF($D1867="","",IF($K1867&lt;&gt;"对外销售","",ROUND($Q1867-$S1867,0)))</f>
        <v/>
      </c>
      <c r="U1867" s="17" t="n"/>
      <c r="V1867" s="17" t="n"/>
      <c r="W1867" s="24">
        <f>IF($D1867="","",IF($E1867="※编码不在物料档案里","※物料编码不在档案里",IF(N($J1867)&lt;=0,"※出库数量要大于 0",IF($K1867="","※没填去向类型",IF($L1867="","※没填去向矿区",IF(AND($C1867&lt;&gt;"",$C1867&lt;=结账锁),"※日期早于已结账截止日，不能再录",IF(AND($K1867="自用消耗",COUNTIF({"一矿区";"二矿区"},$L1867)=0),"※自用消耗的去向只能是一矿区或二矿区",IF(AND($K1867="对外销售",COUNTIF({"三矿区";"六矿区"},$L1867)=0),"※对外销售的去向只能是三矿区或六矿区",IF(AND($K1867="对外销售",ROUND($Q1867,0)=0),"※外销却没有售价，请填实际售价",IF(AND($K1867="对外销售",$T1867&lt;&gt;"",$T1867&lt;0),"※这一笔外销是亏的，请核对售价",IF(IFERROR(VLOOKUP($D1867,库存台账!$A$5:$Y$1204,24,0),0)&lt;-0.001,"※这个物料账面已经变成负数了，查一下是不是漏记入库","")))))))))))</f>
        <v/>
      </c>
    </row>
    <row r="1868">
      <c r="A1868" s="24">
        <f>IF($D1868="","",COUNTA($D$4:$D1868))</f>
        <v/>
      </c>
      <c r="B1868" s="17" t="n"/>
      <c r="C1868" s="30" t="n"/>
      <c r="D1868" s="17" t="n"/>
      <c r="E1868" s="24">
        <f>IF($D1868="","",IFERROR(VLOOKUP($D1868,物料档案!$A$4:$P$1203,3,0),"※编码不在物料档案里"))</f>
        <v/>
      </c>
      <c r="F1868" s="24">
        <f>IF($D1868="","",IFERROR(VLOOKUP($D1868,物料档案!$A$4:$P$1203,4,0),"※编码不在物料档案里"))</f>
        <v/>
      </c>
      <c r="G1868" s="24">
        <f>IF($D1868="","",IFERROR(VLOOKUP($D1868,物料档案!$A$4:$P$1203,5,0),"※编码不在物料档案里"))</f>
        <v/>
      </c>
      <c r="H1868" s="24">
        <f>IF($D1868="","",IFERROR(VLOOKUP($D1868,物料档案!$A$4:$P$1203,2,0),"※编码不在物料档案里"))</f>
        <v/>
      </c>
      <c r="I1868" s="24">
        <f>IF($D1868="","",IFERROR(VLOOKUP($D1868,物料档案!$A$4:$P$1203,6,0),"※编码不在物料档案里"))</f>
        <v/>
      </c>
      <c r="J1868" s="23" t="n"/>
      <c r="K1868" s="17" t="n"/>
      <c r="L1868" s="17" t="n"/>
      <c r="M1868" s="17" t="n"/>
      <c r="N1868" s="17" t="n"/>
      <c r="O1868" s="26">
        <f>IF($D1868="","",IFERROR(VLOOKUP($D1868,物料档案!$A$4:$P$1203,10,0),0))</f>
        <v/>
      </c>
      <c r="P1868" s="32" t="n"/>
      <c r="Q1868" s="26">
        <f>IF($D1868="","",IF($K1868&lt;&gt;"对外销售",0,ROUND(N($J1868)*IF($P1868="",N($O1868),N($P1868)),0)))</f>
        <v/>
      </c>
      <c r="R1868" s="26">
        <f>IF($D1868="","",IFERROR(VLOOKUP($D1868,库存台账!$A$5:$Y$1204,11,0),0))</f>
        <v/>
      </c>
      <c r="S1868" s="26">
        <f>IF($D1868="","",ROUND(N($J1868)*N($R1868),0))</f>
        <v/>
      </c>
      <c r="T1868" s="26">
        <f>IF($D1868="","",IF($K1868&lt;&gt;"对外销售","",ROUND($Q1868-$S1868,0)))</f>
        <v/>
      </c>
      <c r="U1868" s="17" t="n"/>
      <c r="V1868" s="17" t="n"/>
      <c r="W1868" s="24">
        <f>IF($D1868="","",IF($E1868="※编码不在物料档案里","※物料编码不在档案里",IF(N($J1868)&lt;=0,"※出库数量要大于 0",IF($K1868="","※没填去向类型",IF($L1868="","※没填去向矿区",IF(AND($C1868&lt;&gt;"",$C1868&lt;=结账锁),"※日期早于已结账截止日，不能再录",IF(AND($K1868="自用消耗",COUNTIF({"一矿区";"二矿区"},$L1868)=0),"※自用消耗的去向只能是一矿区或二矿区",IF(AND($K1868="对外销售",COUNTIF({"三矿区";"六矿区"},$L1868)=0),"※对外销售的去向只能是三矿区或六矿区",IF(AND($K1868="对外销售",ROUND($Q1868,0)=0),"※外销却没有售价，请填实际售价",IF(AND($K1868="对外销售",$T1868&lt;&gt;"",$T1868&lt;0),"※这一笔外销是亏的，请核对售价",IF(IFERROR(VLOOKUP($D1868,库存台账!$A$5:$Y$1204,24,0),0)&lt;-0.001,"※这个物料账面已经变成负数了，查一下是不是漏记入库","")))))))))))</f>
        <v/>
      </c>
    </row>
    <row r="1869">
      <c r="A1869" s="24">
        <f>IF($D1869="","",COUNTA($D$4:$D1869))</f>
        <v/>
      </c>
      <c r="B1869" s="17" t="n"/>
      <c r="C1869" s="30" t="n"/>
      <c r="D1869" s="17" t="n"/>
      <c r="E1869" s="24">
        <f>IF($D1869="","",IFERROR(VLOOKUP($D1869,物料档案!$A$4:$P$1203,3,0),"※编码不在物料档案里"))</f>
        <v/>
      </c>
      <c r="F1869" s="24">
        <f>IF($D1869="","",IFERROR(VLOOKUP($D1869,物料档案!$A$4:$P$1203,4,0),"※编码不在物料档案里"))</f>
        <v/>
      </c>
      <c r="G1869" s="24">
        <f>IF($D1869="","",IFERROR(VLOOKUP($D1869,物料档案!$A$4:$P$1203,5,0),"※编码不在物料档案里"))</f>
        <v/>
      </c>
      <c r="H1869" s="24">
        <f>IF($D1869="","",IFERROR(VLOOKUP($D1869,物料档案!$A$4:$P$1203,2,0),"※编码不在物料档案里"))</f>
        <v/>
      </c>
      <c r="I1869" s="24">
        <f>IF($D1869="","",IFERROR(VLOOKUP($D1869,物料档案!$A$4:$P$1203,6,0),"※编码不在物料档案里"))</f>
        <v/>
      </c>
      <c r="J1869" s="23" t="n"/>
      <c r="K1869" s="17" t="n"/>
      <c r="L1869" s="17" t="n"/>
      <c r="M1869" s="17" t="n"/>
      <c r="N1869" s="17" t="n"/>
      <c r="O1869" s="26">
        <f>IF($D1869="","",IFERROR(VLOOKUP($D1869,物料档案!$A$4:$P$1203,10,0),0))</f>
        <v/>
      </c>
      <c r="P1869" s="32" t="n"/>
      <c r="Q1869" s="26">
        <f>IF($D1869="","",IF($K1869&lt;&gt;"对外销售",0,ROUND(N($J1869)*IF($P1869="",N($O1869),N($P1869)),0)))</f>
        <v/>
      </c>
      <c r="R1869" s="26">
        <f>IF($D1869="","",IFERROR(VLOOKUP($D1869,库存台账!$A$5:$Y$1204,11,0),0))</f>
        <v/>
      </c>
      <c r="S1869" s="26">
        <f>IF($D1869="","",ROUND(N($J1869)*N($R1869),0))</f>
        <v/>
      </c>
      <c r="T1869" s="26">
        <f>IF($D1869="","",IF($K1869&lt;&gt;"对外销售","",ROUND($Q1869-$S1869,0)))</f>
        <v/>
      </c>
      <c r="U1869" s="17" t="n"/>
      <c r="V1869" s="17" t="n"/>
      <c r="W1869" s="24">
        <f>IF($D1869="","",IF($E1869="※编码不在物料档案里","※物料编码不在档案里",IF(N($J1869)&lt;=0,"※出库数量要大于 0",IF($K1869="","※没填去向类型",IF($L1869="","※没填去向矿区",IF(AND($C1869&lt;&gt;"",$C1869&lt;=结账锁),"※日期早于已结账截止日，不能再录",IF(AND($K1869="自用消耗",COUNTIF({"一矿区";"二矿区"},$L1869)=0),"※自用消耗的去向只能是一矿区或二矿区",IF(AND($K1869="对外销售",COUNTIF({"三矿区";"六矿区"},$L1869)=0),"※对外销售的去向只能是三矿区或六矿区",IF(AND($K1869="对外销售",ROUND($Q1869,0)=0),"※外销却没有售价，请填实际售价",IF(AND($K1869="对外销售",$T1869&lt;&gt;"",$T1869&lt;0),"※这一笔外销是亏的，请核对售价",IF(IFERROR(VLOOKUP($D1869,库存台账!$A$5:$Y$1204,24,0),0)&lt;-0.001,"※这个物料账面已经变成负数了，查一下是不是漏记入库","")))))))))))</f>
        <v/>
      </c>
    </row>
    <row r="1870">
      <c r="A1870" s="24">
        <f>IF($D1870="","",COUNTA($D$4:$D1870))</f>
        <v/>
      </c>
      <c r="B1870" s="17" t="n"/>
      <c r="C1870" s="30" t="n"/>
      <c r="D1870" s="17" t="n"/>
      <c r="E1870" s="24">
        <f>IF($D1870="","",IFERROR(VLOOKUP($D1870,物料档案!$A$4:$P$1203,3,0),"※编码不在物料档案里"))</f>
        <v/>
      </c>
      <c r="F1870" s="24">
        <f>IF($D1870="","",IFERROR(VLOOKUP($D1870,物料档案!$A$4:$P$1203,4,0),"※编码不在物料档案里"))</f>
        <v/>
      </c>
      <c r="G1870" s="24">
        <f>IF($D1870="","",IFERROR(VLOOKUP($D1870,物料档案!$A$4:$P$1203,5,0),"※编码不在物料档案里"))</f>
        <v/>
      </c>
      <c r="H1870" s="24">
        <f>IF($D1870="","",IFERROR(VLOOKUP($D1870,物料档案!$A$4:$P$1203,2,0),"※编码不在物料档案里"))</f>
        <v/>
      </c>
      <c r="I1870" s="24">
        <f>IF($D1870="","",IFERROR(VLOOKUP($D1870,物料档案!$A$4:$P$1203,6,0),"※编码不在物料档案里"))</f>
        <v/>
      </c>
      <c r="J1870" s="23" t="n"/>
      <c r="K1870" s="17" t="n"/>
      <c r="L1870" s="17" t="n"/>
      <c r="M1870" s="17" t="n"/>
      <c r="N1870" s="17" t="n"/>
      <c r="O1870" s="26">
        <f>IF($D1870="","",IFERROR(VLOOKUP($D1870,物料档案!$A$4:$P$1203,10,0),0))</f>
        <v/>
      </c>
      <c r="P1870" s="32" t="n"/>
      <c r="Q1870" s="26">
        <f>IF($D1870="","",IF($K1870&lt;&gt;"对外销售",0,ROUND(N($J1870)*IF($P1870="",N($O1870),N($P1870)),0)))</f>
        <v/>
      </c>
      <c r="R1870" s="26">
        <f>IF($D1870="","",IFERROR(VLOOKUP($D1870,库存台账!$A$5:$Y$1204,11,0),0))</f>
        <v/>
      </c>
      <c r="S1870" s="26">
        <f>IF($D1870="","",ROUND(N($J1870)*N($R1870),0))</f>
        <v/>
      </c>
      <c r="T1870" s="26">
        <f>IF($D1870="","",IF($K1870&lt;&gt;"对外销售","",ROUND($Q1870-$S1870,0)))</f>
        <v/>
      </c>
      <c r="U1870" s="17" t="n"/>
      <c r="V1870" s="17" t="n"/>
      <c r="W1870" s="24">
        <f>IF($D1870="","",IF($E1870="※编码不在物料档案里","※物料编码不在档案里",IF(N($J1870)&lt;=0,"※出库数量要大于 0",IF($K1870="","※没填去向类型",IF($L1870="","※没填去向矿区",IF(AND($C1870&lt;&gt;"",$C1870&lt;=结账锁),"※日期早于已结账截止日，不能再录",IF(AND($K1870="自用消耗",COUNTIF({"一矿区";"二矿区"},$L1870)=0),"※自用消耗的去向只能是一矿区或二矿区",IF(AND($K1870="对外销售",COUNTIF({"三矿区";"六矿区"},$L1870)=0),"※对外销售的去向只能是三矿区或六矿区",IF(AND($K1870="对外销售",ROUND($Q1870,0)=0),"※外销却没有售价，请填实际售价",IF(AND($K1870="对外销售",$T1870&lt;&gt;"",$T1870&lt;0),"※这一笔外销是亏的，请核对售价",IF(IFERROR(VLOOKUP($D1870,库存台账!$A$5:$Y$1204,24,0),0)&lt;-0.001,"※这个物料账面已经变成负数了，查一下是不是漏记入库","")))))))))))</f>
        <v/>
      </c>
    </row>
    <row r="1871">
      <c r="A1871" s="24">
        <f>IF($D1871="","",COUNTA($D$4:$D1871))</f>
        <v/>
      </c>
      <c r="B1871" s="17" t="n"/>
      <c r="C1871" s="30" t="n"/>
      <c r="D1871" s="17" t="n"/>
      <c r="E1871" s="24">
        <f>IF($D1871="","",IFERROR(VLOOKUP($D1871,物料档案!$A$4:$P$1203,3,0),"※编码不在物料档案里"))</f>
        <v/>
      </c>
      <c r="F1871" s="24">
        <f>IF($D1871="","",IFERROR(VLOOKUP($D1871,物料档案!$A$4:$P$1203,4,0),"※编码不在物料档案里"))</f>
        <v/>
      </c>
      <c r="G1871" s="24">
        <f>IF($D1871="","",IFERROR(VLOOKUP($D1871,物料档案!$A$4:$P$1203,5,0),"※编码不在物料档案里"))</f>
        <v/>
      </c>
      <c r="H1871" s="24">
        <f>IF($D1871="","",IFERROR(VLOOKUP($D1871,物料档案!$A$4:$P$1203,2,0),"※编码不在物料档案里"))</f>
        <v/>
      </c>
      <c r="I1871" s="24">
        <f>IF($D1871="","",IFERROR(VLOOKUP($D1871,物料档案!$A$4:$P$1203,6,0),"※编码不在物料档案里"))</f>
        <v/>
      </c>
      <c r="J1871" s="23" t="n"/>
      <c r="K1871" s="17" t="n"/>
      <c r="L1871" s="17" t="n"/>
      <c r="M1871" s="17" t="n"/>
      <c r="N1871" s="17" t="n"/>
      <c r="O1871" s="26">
        <f>IF($D1871="","",IFERROR(VLOOKUP($D1871,物料档案!$A$4:$P$1203,10,0),0))</f>
        <v/>
      </c>
      <c r="P1871" s="32" t="n"/>
      <c r="Q1871" s="26">
        <f>IF($D1871="","",IF($K1871&lt;&gt;"对外销售",0,ROUND(N($J1871)*IF($P1871="",N($O1871),N($P1871)),0)))</f>
        <v/>
      </c>
      <c r="R1871" s="26">
        <f>IF($D1871="","",IFERROR(VLOOKUP($D1871,库存台账!$A$5:$Y$1204,11,0),0))</f>
        <v/>
      </c>
      <c r="S1871" s="26">
        <f>IF($D1871="","",ROUND(N($J1871)*N($R1871),0))</f>
        <v/>
      </c>
      <c r="T1871" s="26">
        <f>IF($D1871="","",IF($K1871&lt;&gt;"对外销售","",ROUND($Q1871-$S1871,0)))</f>
        <v/>
      </c>
      <c r="U1871" s="17" t="n"/>
      <c r="V1871" s="17" t="n"/>
      <c r="W1871" s="24">
        <f>IF($D1871="","",IF($E1871="※编码不在物料档案里","※物料编码不在档案里",IF(N($J1871)&lt;=0,"※出库数量要大于 0",IF($K1871="","※没填去向类型",IF($L1871="","※没填去向矿区",IF(AND($C1871&lt;&gt;"",$C1871&lt;=结账锁),"※日期早于已结账截止日，不能再录",IF(AND($K1871="自用消耗",COUNTIF({"一矿区";"二矿区"},$L1871)=0),"※自用消耗的去向只能是一矿区或二矿区",IF(AND($K1871="对外销售",COUNTIF({"三矿区";"六矿区"},$L1871)=0),"※对外销售的去向只能是三矿区或六矿区",IF(AND($K1871="对外销售",ROUND($Q1871,0)=0),"※外销却没有售价，请填实际售价",IF(AND($K1871="对外销售",$T1871&lt;&gt;"",$T1871&lt;0),"※这一笔外销是亏的，请核对售价",IF(IFERROR(VLOOKUP($D1871,库存台账!$A$5:$Y$1204,24,0),0)&lt;-0.001,"※这个物料账面已经变成负数了，查一下是不是漏记入库","")))))))))))</f>
        <v/>
      </c>
    </row>
    <row r="1872">
      <c r="A1872" s="24">
        <f>IF($D1872="","",COUNTA($D$4:$D1872))</f>
        <v/>
      </c>
      <c r="B1872" s="17" t="n"/>
      <c r="C1872" s="30" t="n"/>
      <c r="D1872" s="17" t="n"/>
      <c r="E1872" s="24">
        <f>IF($D1872="","",IFERROR(VLOOKUP($D1872,物料档案!$A$4:$P$1203,3,0),"※编码不在物料档案里"))</f>
        <v/>
      </c>
      <c r="F1872" s="24">
        <f>IF($D1872="","",IFERROR(VLOOKUP($D1872,物料档案!$A$4:$P$1203,4,0),"※编码不在物料档案里"))</f>
        <v/>
      </c>
      <c r="G1872" s="24">
        <f>IF($D1872="","",IFERROR(VLOOKUP($D1872,物料档案!$A$4:$P$1203,5,0),"※编码不在物料档案里"))</f>
        <v/>
      </c>
      <c r="H1872" s="24">
        <f>IF($D1872="","",IFERROR(VLOOKUP($D1872,物料档案!$A$4:$P$1203,2,0),"※编码不在物料档案里"))</f>
        <v/>
      </c>
      <c r="I1872" s="24">
        <f>IF($D1872="","",IFERROR(VLOOKUP($D1872,物料档案!$A$4:$P$1203,6,0),"※编码不在物料档案里"))</f>
        <v/>
      </c>
      <c r="J1872" s="23" t="n"/>
      <c r="K1872" s="17" t="n"/>
      <c r="L1872" s="17" t="n"/>
      <c r="M1872" s="17" t="n"/>
      <c r="N1872" s="17" t="n"/>
      <c r="O1872" s="26">
        <f>IF($D1872="","",IFERROR(VLOOKUP($D1872,物料档案!$A$4:$P$1203,10,0),0))</f>
        <v/>
      </c>
      <c r="P1872" s="32" t="n"/>
      <c r="Q1872" s="26">
        <f>IF($D1872="","",IF($K1872&lt;&gt;"对外销售",0,ROUND(N($J1872)*IF($P1872="",N($O1872),N($P1872)),0)))</f>
        <v/>
      </c>
      <c r="R1872" s="26">
        <f>IF($D1872="","",IFERROR(VLOOKUP($D1872,库存台账!$A$5:$Y$1204,11,0),0))</f>
        <v/>
      </c>
      <c r="S1872" s="26">
        <f>IF($D1872="","",ROUND(N($J1872)*N($R1872),0))</f>
        <v/>
      </c>
      <c r="T1872" s="26">
        <f>IF($D1872="","",IF($K1872&lt;&gt;"对外销售","",ROUND($Q1872-$S1872,0)))</f>
        <v/>
      </c>
      <c r="U1872" s="17" t="n"/>
      <c r="V1872" s="17" t="n"/>
      <c r="W1872" s="24">
        <f>IF($D1872="","",IF($E1872="※编码不在物料档案里","※物料编码不在档案里",IF(N($J1872)&lt;=0,"※出库数量要大于 0",IF($K1872="","※没填去向类型",IF($L1872="","※没填去向矿区",IF(AND($C1872&lt;&gt;"",$C1872&lt;=结账锁),"※日期早于已结账截止日，不能再录",IF(AND($K1872="自用消耗",COUNTIF({"一矿区";"二矿区"},$L1872)=0),"※自用消耗的去向只能是一矿区或二矿区",IF(AND($K1872="对外销售",COUNTIF({"三矿区";"六矿区"},$L1872)=0),"※对外销售的去向只能是三矿区或六矿区",IF(AND($K1872="对外销售",ROUND($Q1872,0)=0),"※外销却没有售价，请填实际售价",IF(AND($K1872="对外销售",$T1872&lt;&gt;"",$T1872&lt;0),"※这一笔外销是亏的，请核对售价",IF(IFERROR(VLOOKUP($D1872,库存台账!$A$5:$Y$1204,24,0),0)&lt;-0.001,"※这个物料账面已经变成负数了，查一下是不是漏记入库","")))))))))))</f>
        <v/>
      </c>
    </row>
    <row r="1873">
      <c r="A1873" s="24">
        <f>IF($D1873="","",COUNTA($D$4:$D1873))</f>
        <v/>
      </c>
      <c r="B1873" s="17" t="n"/>
      <c r="C1873" s="30" t="n"/>
      <c r="D1873" s="17" t="n"/>
      <c r="E1873" s="24">
        <f>IF($D1873="","",IFERROR(VLOOKUP($D1873,物料档案!$A$4:$P$1203,3,0),"※编码不在物料档案里"))</f>
        <v/>
      </c>
      <c r="F1873" s="24">
        <f>IF($D1873="","",IFERROR(VLOOKUP($D1873,物料档案!$A$4:$P$1203,4,0),"※编码不在物料档案里"))</f>
        <v/>
      </c>
      <c r="G1873" s="24">
        <f>IF($D1873="","",IFERROR(VLOOKUP($D1873,物料档案!$A$4:$P$1203,5,0),"※编码不在物料档案里"))</f>
        <v/>
      </c>
      <c r="H1873" s="24">
        <f>IF($D1873="","",IFERROR(VLOOKUP($D1873,物料档案!$A$4:$P$1203,2,0),"※编码不在物料档案里"))</f>
        <v/>
      </c>
      <c r="I1873" s="24">
        <f>IF($D1873="","",IFERROR(VLOOKUP($D1873,物料档案!$A$4:$P$1203,6,0),"※编码不在物料档案里"))</f>
        <v/>
      </c>
      <c r="J1873" s="23" t="n"/>
      <c r="K1873" s="17" t="n"/>
      <c r="L1873" s="17" t="n"/>
      <c r="M1873" s="17" t="n"/>
      <c r="N1873" s="17" t="n"/>
      <c r="O1873" s="26">
        <f>IF($D1873="","",IFERROR(VLOOKUP($D1873,物料档案!$A$4:$P$1203,10,0),0))</f>
        <v/>
      </c>
      <c r="P1873" s="32" t="n"/>
      <c r="Q1873" s="26">
        <f>IF($D1873="","",IF($K1873&lt;&gt;"对外销售",0,ROUND(N($J1873)*IF($P1873="",N($O1873),N($P1873)),0)))</f>
        <v/>
      </c>
      <c r="R1873" s="26">
        <f>IF($D1873="","",IFERROR(VLOOKUP($D1873,库存台账!$A$5:$Y$1204,11,0),0))</f>
        <v/>
      </c>
      <c r="S1873" s="26">
        <f>IF($D1873="","",ROUND(N($J1873)*N($R1873),0))</f>
        <v/>
      </c>
      <c r="T1873" s="26">
        <f>IF($D1873="","",IF($K1873&lt;&gt;"对外销售","",ROUND($Q1873-$S1873,0)))</f>
        <v/>
      </c>
      <c r="U1873" s="17" t="n"/>
      <c r="V1873" s="17" t="n"/>
      <c r="W1873" s="24">
        <f>IF($D1873="","",IF($E1873="※编码不在物料档案里","※物料编码不在档案里",IF(N($J1873)&lt;=0,"※出库数量要大于 0",IF($K1873="","※没填去向类型",IF($L1873="","※没填去向矿区",IF(AND($C1873&lt;&gt;"",$C1873&lt;=结账锁),"※日期早于已结账截止日，不能再录",IF(AND($K1873="自用消耗",COUNTIF({"一矿区";"二矿区"},$L1873)=0),"※自用消耗的去向只能是一矿区或二矿区",IF(AND($K1873="对外销售",COUNTIF({"三矿区";"六矿区"},$L1873)=0),"※对外销售的去向只能是三矿区或六矿区",IF(AND($K1873="对外销售",ROUND($Q1873,0)=0),"※外销却没有售价，请填实际售价",IF(AND($K1873="对外销售",$T1873&lt;&gt;"",$T1873&lt;0),"※这一笔外销是亏的，请核对售价",IF(IFERROR(VLOOKUP($D1873,库存台账!$A$5:$Y$1204,24,0),0)&lt;-0.001,"※这个物料账面已经变成负数了，查一下是不是漏记入库","")))))))))))</f>
        <v/>
      </c>
    </row>
    <row r="1874">
      <c r="A1874" s="24">
        <f>IF($D1874="","",COUNTA($D$4:$D1874))</f>
        <v/>
      </c>
      <c r="B1874" s="17" t="n"/>
      <c r="C1874" s="30" t="n"/>
      <c r="D1874" s="17" t="n"/>
      <c r="E1874" s="24">
        <f>IF($D1874="","",IFERROR(VLOOKUP($D1874,物料档案!$A$4:$P$1203,3,0),"※编码不在物料档案里"))</f>
        <v/>
      </c>
      <c r="F1874" s="24">
        <f>IF($D1874="","",IFERROR(VLOOKUP($D1874,物料档案!$A$4:$P$1203,4,0),"※编码不在物料档案里"))</f>
        <v/>
      </c>
      <c r="G1874" s="24">
        <f>IF($D1874="","",IFERROR(VLOOKUP($D1874,物料档案!$A$4:$P$1203,5,0),"※编码不在物料档案里"))</f>
        <v/>
      </c>
      <c r="H1874" s="24">
        <f>IF($D1874="","",IFERROR(VLOOKUP($D1874,物料档案!$A$4:$P$1203,2,0),"※编码不在物料档案里"))</f>
        <v/>
      </c>
      <c r="I1874" s="24">
        <f>IF($D1874="","",IFERROR(VLOOKUP($D1874,物料档案!$A$4:$P$1203,6,0),"※编码不在物料档案里"))</f>
        <v/>
      </c>
      <c r="J1874" s="23" t="n"/>
      <c r="K1874" s="17" t="n"/>
      <c r="L1874" s="17" t="n"/>
      <c r="M1874" s="17" t="n"/>
      <c r="N1874" s="17" t="n"/>
      <c r="O1874" s="26">
        <f>IF($D1874="","",IFERROR(VLOOKUP($D1874,物料档案!$A$4:$P$1203,10,0),0))</f>
        <v/>
      </c>
      <c r="P1874" s="32" t="n"/>
      <c r="Q1874" s="26">
        <f>IF($D1874="","",IF($K1874&lt;&gt;"对外销售",0,ROUND(N($J1874)*IF($P1874="",N($O1874),N($P1874)),0)))</f>
        <v/>
      </c>
      <c r="R1874" s="26">
        <f>IF($D1874="","",IFERROR(VLOOKUP($D1874,库存台账!$A$5:$Y$1204,11,0),0))</f>
        <v/>
      </c>
      <c r="S1874" s="26">
        <f>IF($D1874="","",ROUND(N($J1874)*N($R1874),0))</f>
        <v/>
      </c>
      <c r="T1874" s="26">
        <f>IF($D1874="","",IF($K1874&lt;&gt;"对外销售","",ROUND($Q1874-$S1874,0)))</f>
        <v/>
      </c>
      <c r="U1874" s="17" t="n"/>
      <c r="V1874" s="17" t="n"/>
      <c r="W1874" s="24">
        <f>IF($D1874="","",IF($E1874="※编码不在物料档案里","※物料编码不在档案里",IF(N($J1874)&lt;=0,"※出库数量要大于 0",IF($K1874="","※没填去向类型",IF($L1874="","※没填去向矿区",IF(AND($C1874&lt;&gt;"",$C1874&lt;=结账锁),"※日期早于已结账截止日，不能再录",IF(AND($K1874="自用消耗",COUNTIF({"一矿区";"二矿区"},$L1874)=0),"※自用消耗的去向只能是一矿区或二矿区",IF(AND($K1874="对外销售",COUNTIF({"三矿区";"六矿区"},$L1874)=0),"※对外销售的去向只能是三矿区或六矿区",IF(AND($K1874="对外销售",ROUND($Q1874,0)=0),"※外销却没有售价，请填实际售价",IF(AND($K1874="对外销售",$T1874&lt;&gt;"",$T1874&lt;0),"※这一笔外销是亏的，请核对售价",IF(IFERROR(VLOOKUP($D1874,库存台账!$A$5:$Y$1204,24,0),0)&lt;-0.001,"※这个物料账面已经变成负数了，查一下是不是漏记入库","")))))))))))</f>
        <v/>
      </c>
    </row>
    <row r="1875">
      <c r="A1875" s="24">
        <f>IF($D1875="","",COUNTA($D$4:$D1875))</f>
        <v/>
      </c>
      <c r="B1875" s="17" t="n"/>
      <c r="C1875" s="30" t="n"/>
      <c r="D1875" s="17" t="n"/>
      <c r="E1875" s="24">
        <f>IF($D1875="","",IFERROR(VLOOKUP($D1875,物料档案!$A$4:$P$1203,3,0),"※编码不在物料档案里"))</f>
        <v/>
      </c>
      <c r="F1875" s="24">
        <f>IF($D1875="","",IFERROR(VLOOKUP($D1875,物料档案!$A$4:$P$1203,4,0),"※编码不在物料档案里"))</f>
        <v/>
      </c>
      <c r="G1875" s="24">
        <f>IF($D1875="","",IFERROR(VLOOKUP($D1875,物料档案!$A$4:$P$1203,5,0),"※编码不在物料档案里"))</f>
        <v/>
      </c>
      <c r="H1875" s="24">
        <f>IF($D1875="","",IFERROR(VLOOKUP($D1875,物料档案!$A$4:$P$1203,2,0),"※编码不在物料档案里"))</f>
        <v/>
      </c>
      <c r="I1875" s="24">
        <f>IF($D1875="","",IFERROR(VLOOKUP($D1875,物料档案!$A$4:$P$1203,6,0),"※编码不在物料档案里"))</f>
        <v/>
      </c>
      <c r="J1875" s="23" t="n"/>
      <c r="K1875" s="17" t="n"/>
      <c r="L1875" s="17" t="n"/>
      <c r="M1875" s="17" t="n"/>
      <c r="N1875" s="17" t="n"/>
      <c r="O1875" s="26">
        <f>IF($D1875="","",IFERROR(VLOOKUP($D1875,物料档案!$A$4:$P$1203,10,0),0))</f>
        <v/>
      </c>
      <c r="P1875" s="32" t="n"/>
      <c r="Q1875" s="26">
        <f>IF($D1875="","",IF($K1875&lt;&gt;"对外销售",0,ROUND(N($J1875)*IF($P1875="",N($O1875),N($P1875)),0)))</f>
        <v/>
      </c>
      <c r="R1875" s="26">
        <f>IF($D1875="","",IFERROR(VLOOKUP($D1875,库存台账!$A$5:$Y$1204,11,0),0))</f>
        <v/>
      </c>
      <c r="S1875" s="26">
        <f>IF($D1875="","",ROUND(N($J1875)*N($R1875),0))</f>
        <v/>
      </c>
      <c r="T1875" s="26">
        <f>IF($D1875="","",IF($K1875&lt;&gt;"对外销售","",ROUND($Q1875-$S1875,0)))</f>
        <v/>
      </c>
      <c r="U1875" s="17" t="n"/>
      <c r="V1875" s="17" t="n"/>
      <c r="W1875" s="24">
        <f>IF($D1875="","",IF($E1875="※编码不在物料档案里","※物料编码不在档案里",IF(N($J1875)&lt;=0,"※出库数量要大于 0",IF($K1875="","※没填去向类型",IF($L1875="","※没填去向矿区",IF(AND($C1875&lt;&gt;"",$C1875&lt;=结账锁),"※日期早于已结账截止日，不能再录",IF(AND($K1875="自用消耗",COUNTIF({"一矿区";"二矿区"},$L1875)=0),"※自用消耗的去向只能是一矿区或二矿区",IF(AND($K1875="对外销售",COUNTIF({"三矿区";"六矿区"},$L1875)=0),"※对外销售的去向只能是三矿区或六矿区",IF(AND($K1875="对外销售",ROUND($Q1875,0)=0),"※外销却没有售价，请填实际售价",IF(AND($K1875="对外销售",$T1875&lt;&gt;"",$T1875&lt;0),"※这一笔外销是亏的，请核对售价",IF(IFERROR(VLOOKUP($D1875,库存台账!$A$5:$Y$1204,24,0),0)&lt;-0.001,"※这个物料账面已经变成负数了，查一下是不是漏记入库","")))))))))))</f>
        <v/>
      </c>
    </row>
    <row r="1876">
      <c r="A1876" s="24">
        <f>IF($D1876="","",COUNTA($D$4:$D1876))</f>
        <v/>
      </c>
      <c r="B1876" s="17" t="n"/>
      <c r="C1876" s="30" t="n"/>
      <c r="D1876" s="17" t="n"/>
      <c r="E1876" s="24">
        <f>IF($D1876="","",IFERROR(VLOOKUP($D1876,物料档案!$A$4:$P$1203,3,0),"※编码不在物料档案里"))</f>
        <v/>
      </c>
      <c r="F1876" s="24">
        <f>IF($D1876="","",IFERROR(VLOOKUP($D1876,物料档案!$A$4:$P$1203,4,0),"※编码不在物料档案里"))</f>
        <v/>
      </c>
      <c r="G1876" s="24">
        <f>IF($D1876="","",IFERROR(VLOOKUP($D1876,物料档案!$A$4:$P$1203,5,0),"※编码不在物料档案里"))</f>
        <v/>
      </c>
      <c r="H1876" s="24">
        <f>IF($D1876="","",IFERROR(VLOOKUP($D1876,物料档案!$A$4:$P$1203,2,0),"※编码不在物料档案里"))</f>
        <v/>
      </c>
      <c r="I1876" s="24">
        <f>IF($D1876="","",IFERROR(VLOOKUP($D1876,物料档案!$A$4:$P$1203,6,0),"※编码不在物料档案里"))</f>
        <v/>
      </c>
      <c r="J1876" s="23" t="n"/>
      <c r="K1876" s="17" t="n"/>
      <c r="L1876" s="17" t="n"/>
      <c r="M1876" s="17" t="n"/>
      <c r="N1876" s="17" t="n"/>
      <c r="O1876" s="26">
        <f>IF($D1876="","",IFERROR(VLOOKUP($D1876,物料档案!$A$4:$P$1203,10,0),0))</f>
        <v/>
      </c>
      <c r="P1876" s="32" t="n"/>
      <c r="Q1876" s="26">
        <f>IF($D1876="","",IF($K1876&lt;&gt;"对外销售",0,ROUND(N($J1876)*IF($P1876="",N($O1876),N($P1876)),0)))</f>
        <v/>
      </c>
      <c r="R1876" s="26">
        <f>IF($D1876="","",IFERROR(VLOOKUP($D1876,库存台账!$A$5:$Y$1204,11,0),0))</f>
        <v/>
      </c>
      <c r="S1876" s="26">
        <f>IF($D1876="","",ROUND(N($J1876)*N($R1876),0))</f>
        <v/>
      </c>
      <c r="T1876" s="26">
        <f>IF($D1876="","",IF($K1876&lt;&gt;"对外销售","",ROUND($Q1876-$S1876,0)))</f>
        <v/>
      </c>
      <c r="U1876" s="17" t="n"/>
      <c r="V1876" s="17" t="n"/>
      <c r="W1876" s="24">
        <f>IF($D1876="","",IF($E1876="※编码不在物料档案里","※物料编码不在档案里",IF(N($J1876)&lt;=0,"※出库数量要大于 0",IF($K1876="","※没填去向类型",IF($L1876="","※没填去向矿区",IF(AND($C1876&lt;&gt;"",$C1876&lt;=结账锁),"※日期早于已结账截止日，不能再录",IF(AND($K1876="自用消耗",COUNTIF({"一矿区";"二矿区"},$L1876)=0),"※自用消耗的去向只能是一矿区或二矿区",IF(AND($K1876="对外销售",COUNTIF({"三矿区";"六矿区"},$L1876)=0),"※对外销售的去向只能是三矿区或六矿区",IF(AND($K1876="对外销售",ROUND($Q1876,0)=0),"※外销却没有售价，请填实际售价",IF(AND($K1876="对外销售",$T1876&lt;&gt;"",$T1876&lt;0),"※这一笔外销是亏的，请核对售价",IF(IFERROR(VLOOKUP($D1876,库存台账!$A$5:$Y$1204,24,0),0)&lt;-0.001,"※这个物料账面已经变成负数了，查一下是不是漏记入库","")))))))))))</f>
        <v/>
      </c>
    </row>
    <row r="1877">
      <c r="A1877" s="24">
        <f>IF($D1877="","",COUNTA($D$4:$D1877))</f>
        <v/>
      </c>
      <c r="B1877" s="17" t="n"/>
      <c r="C1877" s="30" t="n"/>
      <c r="D1877" s="17" t="n"/>
      <c r="E1877" s="24">
        <f>IF($D1877="","",IFERROR(VLOOKUP($D1877,物料档案!$A$4:$P$1203,3,0),"※编码不在物料档案里"))</f>
        <v/>
      </c>
      <c r="F1877" s="24">
        <f>IF($D1877="","",IFERROR(VLOOKUP($D1877,物料档案!$A$4:$P$1203,4,0),"※编码不在物料档案里"))</f>
        <v/>
      </c>
      <c r="G1877" s="24">
        <f>IF($D1877="","",IFERROR(VLOOKUP($D1877,物料档案!$A$4:$P$1203,5,0),"※编码不在物料档案里"))</f>
        <v/>
      </c>
      <c r="H1877" s="24">
        <f>IF($D1877="","",IFERROR(VLOOKUP($D1877,物料档案!$A$4:$P$1203,2,0),"※编码不在物料档案里"))</f>
        <v/>
      </c>
      <c r="I1877" s="24">
        <f>IF($D1877="","",IFERROR(VLOOKUP($D1877,物料档案!$A$4:$P$1203,6,0),"※编码不在物料档案里"))</f>
        <v/>
      </c>
      <c r="J1877" s="23" t="n"/>
      <c r="K1877" s="17" t="n"/>
      <c r="L1877" s="17" t="n"/>
      <c r="M1877" s="17" t="n"/>
      <c r="N1877" s="17" t="n"/>
      <c r="O1877" s="26">
        <f>IF($D1877="","",IFERROR(VLOOKUP($D1877,物料档案!$A$4:$P$1203,10,0),0))</f>
        <v/>
      </c>
      <c r="P1877" s="32" t="n"/>
      <c r="Q1877" s="26">
        <f>IF($D1877="","",IF($K1877&lt;&gt;"对外销售",0,ROUND(N($J1877)*IF($P1877="",N($O1877),N($P1877)),0)))</f>
        <v/>
      </c>
      <c r="R1877" s="26">
        <f>IF($D1877="","",IFERROR(VLOOKUP($D1877,库存台账!$A$5:$Y$1204,11,0),0))</f>
        <v/>
      </c>
      <c r="S1877" s="26">
        <f>IF($D1877="","",ROUND(N($J1877)*N($R1877),0))</f>
        <v/>
      </c>
      <c r="T1877" s="26">
        <f>IF($D1877="","",IF($K1877&lt;&gt;"对外销售","",ROUND($Q1877-$S1877,0)))</f>
        <v/>
      </c>
      <c r="U1877" s="17" t="n"/>
      <c r="V1877" s="17" t="n"/>
      <c r="W1877" s="24">
        <f>IF($D1877="","",IF($E1877="※编码不在物料档案里","※物料编码不在档案里",IF(N($J1877)&lt;=0,"※出库数量要大于 0",IF($K1877="","※没填去向类型",IF($L1877="","※没填去向矿区",IF(AND($C1877&lt;&gt;"",$C1877&lt;=结账锁),"※日期早于已结账截止日，不能再录",IF(AND($K1877="自用消耗",COUNTIF({"一矿区";"二矿区"},$L1877)=0),"※自用消耗的去向只能是一矿区或二矿区",IF(AND($K1877="对外销售",COUNTIF({"三矿区";"六矿区"},$L1877)=0),"※对外销售的去向只能是三矿区或六矿区",IF(AND($K1877="对外销售",ROUND($Q1877,0)=0),"※外销却没有售价，请填实际售价",IF(AND($K1877="对外销售",$T1877&lt;&gt;"",$T1877&lt;0),"※这一笔外销是亏的，请核对售价",IF(IFERROR(VLOOKUP($D1877,库存台账!$A$5:$Y$1204,24,0),0)&lt;-0.001,"※这个物料账面已经变成负数了，查一下是不是漏记入库","")))))))))))</f>
        <v/>
      </c>
    </row>
    <row r="1878">
      <c r="A1878" s="24">
        <f>IF($D1878="","",COUNTA($D$4:$D1878))</f>
        <v/>
      </c>
      <c r="B1878" s="17" t="n"/>
      <c r="C1878" s="30" t="n"/>
      <c r="D1878" s="17" t="n"/>
      <c r="E1878" s="24">
        <f>IF($D1878="","",IFERROR(VLOOKUP($D1878,物料档案!$A$4:$P$1203,3,0),"※编码不在物料档案里"))</f>
        <v/>
      </c>
      <c r="F1878" s="24">
        <f>IF($D1878="","",IFERROR(VLOOKUP($D1878,物料档案!$A$4:$P$1203,4,0),"※编码不在物料档案里"))</f>
        <v/>
      </c>
      <c r="G1878" s="24">
        <f>IF($D1878="","",IFERROR(VLOOKUP($D1878,物料档案!$A$4:$P$1203,5,0),"※编码不在物料档案里"))</f>
        <v/>
      </c>
      <c r="H1878" s="24">
        <f>IF($D1878="","",IFERROR(VLOOKUP($D1878,物料档案!$A$4:$P$1203,2,0),"※编码不在物料档案里"))</f>
        <v/>
      </c>
      <c r="I1878" s="24">
        <f>IF($D1878="","",IFERROR(VLOOKUP($D1878,物料档案!$A$4:$P$1203,6,0),"※编码不在物料档案里"))</f>
        <v/>
      </c>
      <c r="J1878" s="23" t="n"/>
      <c r="K1878" s="17" t="n"/>
      <c r="L1878" s="17" t="n"/>
      <c r="M1878" s="17" t="n"/>
      <c r="N1878" s="17" t="n"/>
      <c r="O1878" s="26">
        <f>IF($D1878="","",IFERROR(VLOOKUP($D1878,物料档案!$A$4:$P$1203,10,0),0))</f>
        <v/>
      </c>
      <c r="P1878" s="32" t="n"/>
      <c r="Q1878" s="26">
        <f>IF($D1878="","",IF($K1878&lt;&gt;"对外销售",0,ROUND(N($J1878)*IF($P1878="",N($O1878),N($P1878)),0)))</f>
        <v/>
      </c>
      <c r="R1878" s="26">
        <f>IF($D1878="","",IFERROR(VLOOKUP($D1878,库存台账!$A$5:$Y$1204,11,0),0))</f>
        <v/>
      </c>
      <c r="S1878" s="26">
        <f>IF($D1878="","",ROUND(N($J1878)*N($R1878),0))</f>
        <v/>
      </c>
      <c r="T1878" s="26">
        <f>IF($D1878="","",IF($K1878&lt;&gt;"对外销售","",ROUND($Q1878-$S1878,0)))</f>
        <v/>
      </c>
      <c r="U1878" s="17" t="n"/>
      <c r="V1878" s="17" t="n"/>
      <c r="W1878" s="24">
        <f>IF($D1878="","",IF($E1878="※编码不在物料档案里","※物料编码不在档案里",IF(N($J1878)&lt;=0,"※出库数量要大于 0",IF($K1878="","※没填去向类型",IF($L1878="","※没填去向矿区",IF(AND($C1878&lt;&gt;"",$C1878&lt;=结账锁),"※日期早于已结账截止日，不能再录",IF(AND($K1878="自用消耗",COUNTIF({"一矿区";"二矿区"},$L1878)=0),"※自用消耗的去向只能是一矿区或二矿区",IF(AND($K1878="对外销售",COUNTIF({"三矿区";"六矿区"},$L1878)=0),"※对外销售的去向只能是三矿区或六矿区",IF(AND($K1878="对外销售",ROUND($Q1878,0)=0),"※外销却没有售价，请填实际售价",IF(AND($K1878="对外销售",$T1878&lt;&gt;"",$T1878&lt;0),"※这一笔外销是亏的，请核对售价",IF(IFERROR(VLOOKUP($D1878,库存台账!$A$5:$Y$1204,24,0),0)&lt;-0.001,"※这个物料账面已经变成负数了，查一下是不是漏记入库","")))))))))))</f>
        <v/>
      </c>
    </row>
    <row r="1879">
      <c r="A1879" s="24">
        <f>IF($D1879="","",COUNTA($D$4:$D1879))</f>
        <v/>
      </c>
      <c r="B1879" s="17" t="n"/>
      <c r="C1879" s="30" t="n"/>
      <c r="D1879" s="17" t="n"/>
      <c r="E1879" s="24">
        <f>IF($D1879="","",IFERROR(VLOOKUP($D1879,物料档案!$A$4:$P$1203,3,0),"※编码不在物料档案里"))</f>
        <v/>
      </c>
      <c r="F1879" s="24">
        <f>IF($D1879="","",IFERROR(VLOOKUP($D1879,物料档案!$A$4:$P$1203,4,0),"※编码不在物料档案里"))</f>
        <v/>
      </c>
      <c r="G1879" s="24">
        <f>IF($D1879="","",IFERROR(VLOOKUP($D1879,物料档案!$A$4:$P$1203,5,0),"※编码不在物料档案里"))</f>
        <v/>
      </c>
      <c r="H1879" s="24">
        <f>IF($D1879="","",IFERROR(VLOOKUP($D1879,物料档案!$A$4:$P$1203,2,0),"※编码不在物料档案里"))</f>
        <v/>
      </c>
      <c r="I1879" s="24">
        <f>IF($D1879="","",IFERROR(VLOOKUP($D1879,物料档案!$A$4:$P$1203,6,0),"※编码不在物料档案里"))</f>
        <v/>
      </c>
      <c r="J1879" s="23" t="n"/>
      <c r="K1879" s="17" t="n"/>
      <c r="L1879" s="17" t="n"/>
      <c r="M1879" s="17" t="n"/>
      <c r="N1879" s="17" t="n"/>
      <c r="O1879" s="26">
        <f>IF($D1879="","",IFERROR(VLOOKUP($D1879,物料档案!$A$4:$P$1203,10,0),0))</f>
        <v/>
      </c>
      <c r="P1879" s="32" t="n"/>
      <c r="Q1879" s="26">
        <f>IF($D1879="","",IF($K1879&lt;&gt;"对外销售",0,ROUND(N($J1879)*IF($P1879="",N($O1879),N($P1879)),0)))</f>
        <v/>
      </c>
      <c r="R1879" s="26">
        <f>IF($D1879="","",IFERROR(VLOOKUP($D1879,库存台账!$A$5:$Y$1204,11,0),0))</f>
        <v/>
      </c>
      <c r="S1879" s="26">
        <f>IF($D1879="","",ROUND(N($J1879)*N($R1879),0))</f>
        <v/>
      </c>
      <c r="T1879" s="26">
        <f>IF($D1879="","",IF($K1879&lt;&gt;"对外销售","",ROUND($Q1879-$S1879,0)))</f>
        <v/>
      </c>
      <c r="U1879" s="17" t="n"/>
      <c r="V1879" s="17" t="n"/>
      <c r="W1879" s="24">
        <f>IF($D1879="","",IF($E1879="※编码不在物料档案里","※物料编码不在档案里",IF(N($J1879)&lt;=0,"※出库数量要大于 0",IF($K1879="","※没填去向类型",IF($L1879="","※没填去向矿区",IF(AND($C1879&lt;&gt;"",$C1879&lt;=结账锁),"※日期早于已结账截止日，不能再录",IF(AND($K1879="自用消耗",COUNTIF({"一矿区";"二矿区"},$L1879)=0),"※自用消耗的去向只能是一矿区或二矿区",IF(AND($K1879="对外销售",COUNTIF({"三矿区";"六矿区"},$L1879)=0),"※对外销售的去向只能是三矿区或六矿区",IF(AND($K1879="对外销售",ROUND($Q1879,0)=0),"※外销却没有售价，请填实际售价",IF(AND($K1879="对外销售",$T1879&lt;&gt;"",$T1879&lt;0),"※这一笔外销是亏的，请核对售价",IF(IFERROR(VLOOKUP($D1879,库存台账!$A$5:$Y$1204,24,0),0)&lt;-0.001,"※这个物料账面已经变成负数了，查一下是不是漏记入库","")))))))))))</f>
        <v/>
      </c>
    </row>
    <row r="1880">
      <c r="A1880" s="24">
        <f>IF($D1880="","",COUNTA($D$4:$D1880))</f>
        <v/>
      </c>
      <c r="B1880" s="17" t="n"/>
      <c r="C1880" s="30" t="n"/>
      <c r="D1880" s="17" t="n"/>
      <c r="E1880" s="24">
        <f>IF($D1880="","",IFERROR(VLOOKUP($D1880,物料档案!$A$4:$P$1203,3,0),"※编码不在物料档案里"))</f>
        <v/>
      </c>
      <c r="F1880" s="24">
        <f>IF($D1880="","",IFERROR(VLOOKUP($D1880,物料档案!$A$4:$P$1203,4,0),"※编码不在物料档案里"))</f>
        <v/>
      </c>
      <c r="G1880" s="24">
        <f>IF($D1880="","",IFERROR(VLOOKUP($D1880,物料档案!$A$4:$P$1203,5,0),"※编码不在物料档案里"))</f>
        <v/>
      </c>
      <c r="H1880" s="24">
        <f>IF($D1880="","",IFERROR(VLOOKUP($D1880,物料档案!$A$4:$P$1203,2,0),"※编码不在物料档案里"))</f>
        <v/>
      </c>
      <c r="I1880" s="24">
        <f>IF($D1880="","",IFERROR(VLOOKUP($D1880,物料档案!$A$4:$P$1203,6,0),"※编码不在物料档案里"))</f>
        <v/>
      </c>
      <c r="J1880" s="23" t="n"/>
      <c r="K1880" s="17" t="n"/>
      <c r="L1880" s="17" t="n"/>
      <c r="M1880" s="17" t="n"/>
      <c r="N1880" s="17" t="n"/>
      <c r="O1880" s="26">
        <f>IF($D1880="","",IFERROR(VLOOKUP($D1880,物料档案!$A$4:$P$1203,10,0),0))</f>
        <v/>
      </c>
      <c r="P1880" s="32" t="n"/>
      <c r="Q1880" s="26">
        <f>IF($D1880="","",IF($K1880&lt;&gt;"对外销售",0,ROUND(N($J1880)*IF($P1880="",N($O1880),N($P1880)),0)))</f>
        <v/>
      </c>
      <c r="R1880" s="26">
        <f>IF($D1880="","",IFERROR(VLOOKUP($D1880,库存台账!$A$5:$Y$1204,11,0),0))</f>
        <v/>
      </c>
      <c r="S1880" s="26">
        <f>IF($D1880="","",ROUND(N($J1880)*N($R1880),0))</f>
        <v/>
      </c>
      <c r="T1880" s="26">
        <f>IF($D1880="","",IF($K1880&lt;&gt;"对外销售","",ROUND($Q1880-$S1880,0)))</f>
        <v/>
      </c>
      <c r="U1880" s="17" t="n"/>
      <c r="V1880" s="17" t="n"/>
      <c r="W1880" s="24">
        <f>IF($D1880="","",IF($E1880="※编码不在物料档案里","※物料编码不在档案里",IF(N($J1880)&lt;=0,"※出库数量要大于 0",IF($K1880="","※没填去向类型",IF($L1880="","※没填去向矿区",IF(AND($C1880&lt;&gt;"",$C1880&lt;=结账锁),"※日期早于已结账截止日，不能再录",IF(AND($K1880="自用消耗",COUNTIF({"一矿区";"二矿区"},$L1880)=0),"※自用消耗的去向只能是一矿区或二矿区",IF(AND($K1880="对外销售",COUNTIF({"三矿区";"六矿区"},$L1880)=0),"※对外销售的去向只能是三矿区或六矿区",IF(AND($K1880="对外销售",ROUND($Q1880,0)=0),"※外销却没有售价，请填实际售价",IF(AND($K1880="对外销售",$T1880&lt;&gt;"",$T1880&lt;0),"※这一笔外销是亏的，请核对售价",IF(IFERROR(VLOOKUP($D1880,库存台账!$A$5:$Y$1204,24,0),0)&lt;-0.001,"※这个物料账面已经变成负数了，查一下是不是漏记入库","")))))))))))</f>
        <v/>
      </c>
    </row>
    <row r="1881">
      <c r="A1881" s="24">
        <f>IF($D1881="","",COUNTA($D$4:$D1881))</f>
        <v/>
      </c>
      <c r="B1881" s="17" t="n"/>
      <c r="C1881" s="30" t="n"/>
      <c r="D1881" s="17" t="n"/>
      <c r="E1881" s="24">
        <f>IF($D1881="","",IFERROR(VLOOKUP($D1881,物料档案!$A$4:$P$1203,3,0),"※编码不在物料档案里"))</f>
        <v/>
      </c>
      <c r="F1881" s="24">
        <f>IF($D1881="","",IFERROR(VLOOKUP($D1881,物料档案!$A$4:$P$1203,4,0),"※编码不在物料档案里"))</f>
        <v/>
      </c>
      <c r="G1881" s="24">
        <f>IF($D1881="","",IFERROR(VLOOKUP($D1881,物料档案!$A$4:$P$1203,5,0),"※编码不在物料档案里"))</f>
        <v/>
      </c>
      <c r="H1881" s="24">
        <f>IF($D1881="","",IFERROR(VLOOKUP($D1881,物料档案!$A$4:$P$1203,2,0),"※编码不在物料档案里"))</f>
        <v/>
      </c>
      <c r="I1881" s="24">
        <f>IF($D1881="","",IFERROR(VLOOKUP($D1881,物料档案!$A$4:$P$1203,6,0),"※编码不在物料档案里"))</f>
        <v/>
      </c>
      <c r="J1881" s="23" t="n"/>
      <c r="K1881" s="17" t="n"/>
      <c r="L1881" s="17" t="n"/>
      <c r="M1881" s="17" t="n"/>
      <c r="N1881" s="17" t="n"/>
      <c r="O1881" s="26">
        <f>IF($D1881="","",IFERROR(VLOOKUP($D1881,物料档案!$A$4:$P$1203,10,0),0))</f>
        <v/>
      </c>
      <c r="P1881" s="32" t="n"/>
      <c r="Q1881" s="26">
        <f>IF($D1881="","",IF($K1881&lt;&gt;"对外销售",0,ROUND(N($J1881)*IF($P1881="",N($O1881),N($P1881)),0)))</f>
        <v/>
      </c>
      <c r="R1881" s="26">
        <f>IF($D1881="","",IFERROR(VLOOKUP($D1881,库存台账!$A$5:$Y$1204,11,0),0))</f>
        <v/>
      </c>
      <c r="S1881" s="26">
        <f>IF($D1881="","",ROUND(N($J1881)*N($R1881),0))</f>
        <v/>
      </c>
      <c r="T1881" s="26">
        <f>IF($D1881="","",IF($K1881&lt;&gt;"对外销售","",ROUND($Q1881-$S1881,0)))</f>
        <v/>
      </c>
      <c r="U1881" s="17" t="n"/>
      <c r="V1881" s="17" t="n"/>
      <c r="W1881" s="24">
        <f>IF($D1881="","",IF($E1881="※编码不在物料档案里","※物料编码不在档案里",IF(N($J1881)&lt;=0,"※出库数量要大于 0",IF($K1881="","※没填去向类型",IF($L1881="","※没填去向矿区",IF(AND($C1881&lt;&gt;"",$C1881&lt;=结账锁),"※日期早于已结账截止日，不能再录",IF(AND($K1881="自用消耗",COUNTIF({"一矿区";"二矿区"},$L1881)=0),"※自用消耗的去向只能是一矿区或二矿区",IF(AND($K1881="对外销售",COUNTIF({"三矿区";"六矿区"},$L1881)=0),"※对外销售的去向只能是三矿区或六矿区",IF(AND($K1881="对外销售",ROUND($Q1881,0)=0),"※外销却没有售价，请填实际售价",IF(AND($K1881="对外销售",$T1881&lt;&gt;"",$T1881&lt;0),"※这一笔外销是亏的，请核对售价",IF(IFERROR(VLOOKUP($D1881,库存台账!$A$5:$Y$1204,24,0),0)&lt;-0.001,"※这个物料账面已经变成负数了，查一下是不是漏记入库","")))))))))))</f>
        <v/>
      </c>
    </row>
    <row r="1882">
      <c r="A1882" s="24">
        <f>IF($D1882="","",COUNTA($D$4:$D1882))</f>
        <v/>
      </c>
      <c r="B1882" s="17" t="n"/>
      <c r="C1882" s="30" t="n"/>
      <c r="D1882" s="17" t="n"/>
      <c r="E1882" s="24">
        <f>IF($D1882="","",IFERROR(VLOOKUP($D1882,物料档案!$A$4:$P$1203,3,0),"※编码不在物料档案里"))</f>
        <v/>
      </c>
      <c r="F1882" s="24">
        <f>IF($D1882="","",IFERROR(VLOOKUP($D1882,物料档案!$A$4:$P$1203,4,0),"※编码不在物料档案里"))</f>
        <v/>
      </c>
      <c r="G1882" s="24">
        <f>IF($D1882="","",IFERROR(VLOOKUP($D1882,物料档案!$A$4:$P$1203,5,0),"※编码不在物料档案里"))</f>
        <v/>
      </c>
      <c r="H1882" s="24">
        <f>IF($D1882="","",IFERROR(VLOOKUP($D1882,物料档案!$A$4:$P$1203,2,0),"※编码不在物料档案里"))</f>
        <v/>
      </c>
      <c r="I1882" s="24">
        <f>IF($D1882="","",IFERROR(VLOOKUP($D1882,物料档案!$A$4:$P$1203,6,0),"※编码不在物料档案里"))</f>
        <v/>
      </c>
      <c r="J1882" s="23" t="n"/>
      <c r="K1882" s="17" t="n"/>
      <c r="L1882" s="17" t="n"/>
      <c r="M1882" s="17" t="n"/>
      <c r="N1882" s="17" t="n"/>
      <c r="O1882" s="26">
        <f>IF($D1882="","",IFERROR(VLOOKUP($D1882,物料档案!$A$4:$P$1203,10,0),0))</f>
        <v/>
      </c>
      <c r="P1882" s="32" t="n"/>
      <c r="Q1882" s="26">
        <f>IF($D1882="","",IF($K1882&lt;&gt;"对外销售",0,ROUND(N($J1882)*IF($P1882="",N($O1882),N($P1882)),0)))</f>
        <v/>
      </c>
      <c r="R1882" s="26">
        <f>IF($D1882="","",IFERROR(VLOOKUP($D1882,库存台账!$A$5:$Y$1204,11,0),0))</f>
        <v/>
      </c>
      <c r="S1882" s="26">
        <f>IF($D1882="","",ROUND(N($J1882)*N($R1882),0))</f>
        <v/>
      </c>
      <c r="T1882" s="26">
        <f>IF($D1882="","",IF($K1882&lt;&gt;"对外销售","",ROUND($Q1882-$S1882,0)))</f>
        <v/>
      </c>
      <c r="U1882" s="17" t="n"/>
      <c r="V1882" s="17" t="n"/>
      <c r="W1882" s="24">
        <f>IF($D1882="","",IF($E1882="※编码不在物料档案里","※物料编码不在档案里",IF(N($J1882)&lt;=0,"※出库数量要大于 0",IF($K1882="","※没填去向类型",IF($L1882="","※没填去向矿区",IF(AND($C1882&lt;&gt;"",$C1882&lt;=结账锁),"※日期早于已结账截止日，不能再录",IF(AND($K1882="自用消耗",COUNTIF({"一矿区";"二矿区"},$L1882)=0),"※自用消耗的去向只能是一矿区或二矿区",IF(AND($K1882="对外销售",COUNTIF({"三矿区";"六矿区"},$L1882)=0),"※对外销售的去向只能是三矿区或六矿区",IF(AND($K1882="对外销售",ROUND($Q1882,0)=0),"※外销却没有售价，请填实际售价",IF(AND($K1882="对外销售",$T1882&lt;&gt;"",$T1882&lt;0),"※这一笔外销是亏的，请核对售价",IF(IFERROR(VLOOKUP($D1882,库存台账!$A$5:$Y$1204,24,0),0)&lt;-0.001,"※这个物料账面已经变成负数了，查一下是不是漏记入库","")))))))))))</f>
        <v/>
      </c>
    </row>
    <row r="1883">
      <c r="A1883" s="24">
        <f>IF($D1883="","",COUNTA($D$4:$D1883))</f>
        <v/>
      </c>
      <c r="B1883" s="17" t="n"/>
      <c r="C1883" s="30" t="n"/>
      <c r="D1883" s="17" t="n"/>
      <c r="E1883" s="24">
        <f>IF($D1883="","",IFERROR(VLOOKUP($D1883,物料档案!$A$4:$P$1203,3,0),"※编码不在物料档案里"))</f>
        <v/>
      </c>
      <c r="F1883" s="24">
        <f>IF($D1883="","",IFERROR(VLOOKUP($D1883,物料档案!$A$4:$P$1203,4,0),"※编码不在物料档案里"))</f>
        <v/>
      </c>
      <c r="G1883" s="24">
        <f>IF($D1883="","",IFERROR(VLOOKUP($D1883,物料档案!$A$4:$P$1203,5,0),"※编码不在物料档案里"))</f>
        <v/>
      </c>
      <c r="H1883" s="24">
        <f>IF($D1883="","",IFERROR(VLOOKUP($D1883,物料档案!$A$4:$P$1203,2,0),"※编码不在物料档案里"))</f>
        <v/>
      </c>
      <c r="I1883" s="24">
        <f>IF($D1883="","",IFERROR(VLOOKUP($D1883,物料档案!$A$4:$P$1203,6,0),"※编码不在物料档案里"))</f>
        <v/>
      </c>
      <c r="J1883" s="23" t="n"/>
      <c r="K1883" s="17" t="n"/>
      <c r="L1883" s="17" t="n"/>
      <c r="M1883" s="17" t="n"/>
      <c r="N1883" s="17" t="n"/>
      <c r="O1883" s="26">
        <f>IF($D1883="","",IFERROR(VLOOKUP($D1883,物料档案!$A$4:$P$1203,10,0),0))</f>
        <v/>
      </c>
      <c r="P1883" s="32" t="n"/>
      <c r="Q1883" s="26">
        <f>IF($D1883="","",IF($K1883&lt;&gt;"对外销售",0,ROUND(N($J1883)*IF($P1883="",N($O1883),N($P1883)),0)))</f>
        <v/>
      </c>
      <c r="R1883" s="26">
        <f>IF($D1883="","",IFERROR(VLOOKUP($D1883,库存台账!$A$5:$Y$1204,11,0),0))</f>
        <v/>
      </c>
      <c r="S1883" s="26">
        <f>IF($D1883="","",ROUND(N($J1883)*N($R1883),0))</f>
        <v/>
      </c>
      <c r="T1883" s="26">
        <f>IF($D1883="","",IF($K1883&lt;&gt;"对外销售","",ROUND($Q1883-$S1883,0)))</f>
        <v/>
      </c>
      <c r="U1883" s="17" t="n"/>
      <c r="V1883" s="17" t="n"/>
      <c r="W1883" s="24">
        <f>IF($D1883="","",IF($E1883="※编码不在物料档案里","※物料编码不在档案里",IF(N($J1883)&lt;=0,"※出库数量要大于 0",IF($K1883="","※没填去向类型",IF($L1883="","※没填去向矿区",IF(AND($C1883&lt;&gt;"",$C1883&lt;=结账锁),"※日期早于已结账截止日，不能再录",IF(AND($K1883="自用消耗",COUNTIF({"一矿区";"二矿区"},$L1883)=0),"※自用消耗的去向只能是一矿区或二矿区",IF(AND($K1883="对外销售",COUNTIF({"三矿区";"六矿区"},$L1883)=0),"※对外销售的去向只能是三矿区或六矿区",IF(AND($K1883="对外销售",ROUND($Q1883,0)=0),"※外销却没有售价，请填实际售价",IF(AND($K1883="对外销售",$T1883&lt;&gt;"",$T1883&lt;0),"※这一笔外销是亏的，请核对售价",IF(IFERROR(VLOOKUP($D1883,库存台账!$A$5:$Y$1204,24,0),0)&lt;-0.001,"※这个物料账面已经变成负数了，查一下是不是漏记入库","")))))))))))</f>
        <v/>
      </c>
    </row>
    <row r="1884">
      <c r="A1884" s="24">
        <f>IF($D1884="","",COUNTA($D$4:$D1884))</f>
        <v/>
      </c>
      <c r="B1884" s="17" t="n"/>
      <c r="C1884" s="30" t="n"/>
      <c r="D1884" s="17" t="n"/>
      <c r="E1884" s="24">
        <f>IF($D1884="","",IFERROR(VLOOKUP($D1884,物料档案!$A$4:$P$1203,3,0),"※编码不在物料档案里"))</f>
        <v/>
      </c>
      <c r="F1884" s="24">
        <f>IF($D1884="","",IFERROR(VLOOKUP($D1884,物料档案!$A$4:$P$1203,4,0),"※编码不在物料档案里"))</f>
        <v/>
      </c>
      <c r="G1884" s="24">
        <f>IF($D1884="","",IFERROR(VLOOKUP($D1884,物料档案!$A$4:$P$1203,5,0),"※编码不在物料档案里"))</f>
        <v/>
      </c>
      <c r="H1884" s="24">
        <f>IF($D1884="","",IFERROR(VLOOKUP($D1884,物料档案!$A$4:$P$1203,2,0),"※编码不在物料档案里"))</f>
        <v/>
      </c>
      <c r="I1884" s="24">
        <f>IF($D1884="","",IFERROR(VLOOKUP($D1884,物料档案!$A$4:$P$1203,6,0),"※编码不在物料档案里"))</f>
        <v/>
      </c>
      <c r="J1884" s="23" t="n"/>
      <c r="K1884" s="17" t="n"/>
      <c r="L1884" s="17" t="n"/>
      <c r="M1884" s="17" t="n"/>
      <c r="N1884" s="17" t="n"/>
      <c r="O1884" s="26">
        <f>IF($D1884="","",IFERROR(VLOOKUP($D1884,物料档案!$A$4:$P$1203,10,0),0))</f>
        <v/>
      </c>
      <c r="P1884" s="32" t="n"/>
      <c r="Q1884" s="26">
        <f>IF($D1884="","",IF($K1884&lt;&gt;"对外销售",0,ROUND(N($J1884)*IF($P1884="",N($O1884),N($P1884)),0)))</f>
        <v/>
      </c>
      <c r="R1884" s="26">
        <f>IF($D1884="","",IFERROR(VLOOKUP($D1884,库存台账!$A$5:$Y$1204,11,0),0))</f>
        <v/>
      </c>
      <c r="S1884" s="26">
        <f>IF($D1884="","",ROUND(N($J1884)*N($R1884),0))</f>
        <v/>
      </c>
      <c r="T1884" s="26">
        <f>IF($D1884="","",IF($K1884&lt;&gt;"对外销售","",ROUND($Q1884-$S1884,0)))</f>
        <v/>
      </c>
      <c r="U1884" s="17" t="n"/>
      <c r="V1884" s="17" t="n"/>
      <c r="W1884" s="24">
        <f>IF($D1884="","",IF($E1884="※编码不在物料档案里","※物料编码不在档案里",IF(N($J1884)&lt;=0,"※出库数量要大于 0",IF($K1884="","※没填去向类型",IF($L1884="","※没填去向矿区",IF(AND($C1884&lt;&gt;"",$C1884&lt;=结账锁),"※日期早于已结账截止日，不能再录",IF(AND($K1884="自用消耗",COUNTIF({"一矿区";"二矿区"},$L1884)=0),"※自用消耗的去向只能是一矿区或二矿区",IF(AND($K1884="对外销售",COUNTIF({"三矿区";"六矿区"},$L1884)=0),"※对外销售的去向只能是三矿区或六矿区",IF(AND($K1884="对外销售",ROUND($Q1884,0)=0),"※外销却没有售价，请填实际售价",IF(AND($K1884="对外销售",$T1884&lt;&gt;"",$T1884&lt;0),"※这一笔外销是亏的，请核对售价",IF(IFERROR(VLOOKUP($D1884,库存台账!$A$5:$Y$1204,24,0),0)&lt;-0.001,"※这个物料账面已经变成负数了，查一下是不是漏记入库","")))))))))))</f>
        <v/>
      </c>
    </row>
    <row r="1885">
      <c r="A1885" s="24">
        <f>IF($D1885="","",COUNTA($D$4:$D1885))</f>
        <v/>
      </c>
      <c r="B1885" s="17" t="n"/>
      <c r="C1885" s="30" t="n"/>
      <c r="D1885" s="17" t="n"/>
      <c r="E1885" s="24">
        <f>IF($D1885="","",IFERROR(VLOOKUP($D1885,物料档案!$A$4:$P$1203,3,0),"※编码不在物料档案里"))</f>
        <v/>
      </c>
      <c r="F1885" s="24">
        <f>IF($D1885="","",IFERROR(VLOOKUP($D1885,物料档案!$A$4:$P$1203,4,0),"※编码不在物料档案里"))</f>
        <v/>
      </c>
      <c r="G1885" s="24">
        <f>IF($D1885="","",IFERROR(VLOOKUP($D1885,物料档案!$A$4:$P$1203,5,0),"※编码不在物料档案里"))</f>
        <v/>
      </c>
      <c r="H1885" s="24">
        <f>IF($D1885="","",IFERROR(VLOOKUP($D1885,物料档案!$A$4:$P$1203,2,0),"※编码不在物料档案里"))</f>
        <v/>
      </c>
      <c r="I1885" s="24">
        <f>IF($D1885="","",IFERROR(VLOOKUP($D1885,物料档案!$A$4:$P$1203,6,0),"※编码不在物料档案里"))</f>
        <v/>
      </c>
      <c r="J1885" s="23" t="n"/>
      <c r="K1885" s="17" t="n"/>
      <c r="L1885" s="17" t="n"/>
      <c r="M1885" s="17" t="n"/>
      <c r="N1885" s="17" t="n"/>
      <c r="O1885" s="26">
        <f>IF($D1885="","",IFERROR(VLOOKUP($D1885,物料档案!$A$4:$P$1203,10,0),0))</f>
        <v/>
      </c>
      <c r="P1885" s="32" t="n"/>
      <c r="Q1885" s="26">
        <f>IF($D1885="","",IF($K1885&lt;&gt;"对外销售",0,ROUND(N($J1885)*IF($P1885="",N($O1885),N($P1885)),0)))</f>
        <v/>
      </c>
      <c r="R1885" s="26">
        <f>IF($D1885="","",IFERROR(VLOOKUP($D1885,库存台账!$A$5:$Y$1204,11,0),0))</f>
        <v/>
      </c>
      <c r="S1885" s="26">
        <f>IF($D1885="","",ROUND(N($J1885)*N($R1885),0))</f>
        <v/>
      </c>
      <c r="T1885" s="26">
        <f>IF($D1885="","",IF($K1885&lt;&gt;"对外销售","",ROUND($Q1885-$S1885,0)))</f>
        <v/>
      </c>
      <c r="U1885" s="17" t="n"/>
      <c r="V1885" s="17" t="n"/>
      <c r="W1885" s="24">
        <f>IF($D1885="","",IF($E1885="※编码不在物料档案里","※物料编码不在档案里",IF(N($J1885)&lt;=0,"※出库数量要大于 0",IF($K1885="","※没填去向类型",IF($L1885="","※没填去向矿区",IF(AND($C1885&lt;&gt;"",$C1885&lt;=结账锁),"※日期早于已结账截止日，不能再录",IF(AND($K1885="自用消耗",COUNTIF({"一矿区";"二矿区"},$L1885)=0),"※自用消耗的去向只能是一矿区或二矿区",IF(AND($K1885="对外销售",COUNTIF({"三矿区";"六矿区"},$L1885)=0),"※对外销售的去向只能是三矿区或六矿区",IF(AND($K1885="对外销售",ROUND($Q1885,0)=0),"※外销却没有售价，请填实际售价",IF(AND($K1885="对外销售",$T1885&lt;&gt;"",$T1885&lt;0),"※这一笔外销是亏的，请核对售价",IF(IFERROR(VLOOKUP($D1885,库存台账!$A$5:$Y$1204,24,0),0)&lt;-0.001,"※这个物料账面已经变成负数了，查一下是不是漏记入库","")))))))))))</f>
        <v/>
      </c>
    </row>
    <row r="1886">
      <c r="A1886" s="24">
        <f>IF($D1886="","",COUNTA($D$4:$D1886))</f>
        <v/>
      </c>
      <c r="B1886" s="17" t="n"/>
      <c r="C1886" s="30" t="n"/>
      <c r="D1886" s="17" t="n"/>
      <c r="E1886" s="24">
        <f>IF($D1886="","",IFERROR(VLOOKUP($D1886,物料档案!$A$4:$P$1203,3,0),"※编码不在物料档案里"))</f>
        <v/>
      </c>
      <c r="F1886" s="24">
        <f>IF($D1886="","",IFERROR(VLOOKUP($D1886,物料档案!$A$4:$P$1203,4,0),"※编码不在物料档案里"))</f>
        <v/>
      </c>
      <c r="G1886" s="24">
        <f>IF($D1886="","",IFERROR(VLOOKUP($D1886,物料档案!$A$4:$P$1203,5,0),"※编码不在物料档案里"))</f>
        <v/>
      </c>
      <c r="H1886" s="24">
        <f>IF($D1886="","",IFERROR(VLOOKUP($D1886,物料档案!$A$4:$P$1203,2,0),"※编码不在物料档案里"))</f>
        <v/>
      </c>
      <c r="I1886" s="24">
        <f>IF($D1886="","",IFERROR(VLOOKUP($D1886,物料档案!$A$4:$P$1203,6,0),"※编码不在物料档案里"))</f>
        <v/>
      </c>
      <c r="J1886" s="23" t="n"/>
      <c r="K1886" s="17" t="n"/>
      <c r="L1886" s="17" t="n"/>
      <c r="M1886" s="17" t="n"/>
      <c r="N1886" s="17" t="n"/>
      <c r="O1886" s="26">
        <f>IF($D1886="","",IFERROR(VLOOKUP($D1886,物料档案!$A$4:$P$1203,10,0),0))</f>
        <v/>
      </c>
      <c r="P1886" s="32" t="n"/>
      <c r="Q1886" s="26">
        <f>IF($D1886="","",IF($K1886&lt;&gt;"对外销售",0,ROUND(N($J1886)*IF($P1886="",N($O1886),N($P1886)),0)))</f>
        <v/>
      </c>
      <c r="R1886" s="26">
        <f>IF($D1886="","",IFERROR(VLOOKUP($D1886,库存台账!$A$5:$Y$1204,11,0),0))</f>
        <v/>
      </c>
      <c r="S1886" s="26">
        <f>IF($D1886="","",ROUND(N($J1886)*N($R1886),0))</f>
        <v/>
      </c>
      <c r="T1886" s="26">
        <f>IF($D1886="","",IF($K1886&lt;&gt;"对外销售","",ROUND($Q1886-$S1886,0)))</f>
        <v/>
      </c>
      <c r="U1886" s="17" t="n"/>
      <c r="V1886" s="17" t="n"/>
      <c r="W1886" s="24">
        <f>IF($D1886="","",IF($E1886="※编码不在物料档案里","※物料编码不在档案里",IF(N($J1886)&lt;=0,"※出库数量要大于 0",IF($K1886="","※没填去向类型",IF($L1886="","※没填去向矿区",IF(AND($C1886&lt;&gt;"",$C1886&lt;=结账锁),"※日期早于已结账截止日，不能再录",IF(AND($K1886="自用消耗",COUNTIF({"一矿区";"二矿区"},$L1886)=0),"※自用消耗的去向只能是一矿区或二矿区",IF(AND($K1886="对外销售",COUNTIF({"三矿区";"六矿区"},$L1886)=0),"※对外销售的去向只能是三矿区或六矿区",IF(AND($K1886="对外销售",ROUND($Q1886,0)=0),"※外销却没有售价，请填实际售价",IF(AND($K1886="对外销售",$T1886&lt;&gt;"",$T1886&lt;0),"※这一笔外销是亏的，请核对售价",IF(IFERROR(VLOOKUP($D1886,库存台账!$A$5:$Y$1204,24,0),0)&lt;-0.001,"※这个物料账面已经变成负数了，查一下是不是漏记入库","")))))))))))</f>
        <v/>
      </c>
    </row>
    <row r="1887">
      <c r="A1887" s="24">
        <f>IF($D1887="","",COUNTA($D$4:$D1887))</f>
        <v/>
      </c>
      <c r="B1887" s="17" t="n"/>
      <c r="C1887" s="30" t="n"/>
      <c r="D1887" s="17" t="n"/>
      <c r="E1887" s="24">
        <f>IF($D1887="","",IFERROR(VLOOKUP($D1887,物料档案!$A$4:$P$1203,3,0),"※编码不在物料档案里"))</f>
        <v/>
      </c>
      <c r="F1887" s="24">
        <f>IF($D1887="","",IFERROR(VLOOKUP($D1887,物料档案!$A$4:$P$1203,4,0),"※编码不在物料档案里"))</f>
        <v/>
      </c>
      <c r="G1887" s="24">
        <f>IF($D1887="","",IFERROR(VLOOKUP($D1887,物料档案!$A$4:$P$1203,5,0),"※编码不在物料档案里"))</f>
        <v/>
      </c>
      <c r="H1887" s="24">
        <f>IF($D1887="","",IFERROR(VLOOKUP($D1887,物料档案!$A$4:$P$1203,2,0),"※编码不在物料档案里"))</f>
        <v/>
      </c>
      <c r="I1887" s="24">
        <f>IF($D1887="","",IFERROR(VLOOKUP($D1887,物料档案!$A$4:$P$1203,6,0),"※编码不在物料档案里"))</f>
        <v/>
      </c>
      <c r="J1887" s="23" t="n"/>
      <c r="K1887" s="17" t="n"/>
      <c r="L1887" s="17" t="n"/>
      <c r="M1887" s="17" t="n"/>
      <c r="N1887" s="17" t="n"/>
      <c r="O1887" s="26">
        <f>IF($D1887="","",IFERROR(VLOOKUP($D1887,物料档案!$A$4:$P$1203,10,0),0))</f>
        <v/>
      </c>
      <c r="P1887" s="32" t="n"/>
      <c r="Q1887" s="26">
        <f>IF($D1887="","",IF($K1887&lt;&gt;"对外销售",0,ROUND(N($J1887)*IF($P1887="",N($O1887),N($P1887)),0)))</f>
        <v/>
      </c>
      <c r="R1887" s="26">
        <f>IF($D1887="","",IFERROR(VLOOKUP($D1887,库存台账!$A$5:$Y$1204,11,0),0))</f>
        <v/>
      </c>
      <c r="S1887" s="26">
        <f>IF($D1887="","",ROUND(N($J1887)*N($R1887),0))</f>
        <v/>
      </c>
      <c r="T1887" s="26">
        <f>IF($D1887="","",IF($K1887&lt;&gt;"对外销售","",ROUND($Q1887-$S1887,0)))</f>
        <v/>
      </c>
      <c r="U1887" s="17" t="n"/>
      <c r="V1887" s="17" t="n"/>
      <c r="W1887" s="24">
        <f>IF($D1887="","",IF($E1887="※编码不在物料档案里","※物料编码不在档案里",IF(N($J1887)&lt;=0,"※出库数量要大于 0",IF($K1887="","※没填去向类型",IF($L1887="","※没填去向矿区",IF(AND($C1887&lt;&gt;"",$C1887&lt;=结账锁),"※日期早于已结账截止日，不能再录",IF(AND($K1887="自用消耗",COUNTIF({"一矿区";"二矿区"},$L1887)=0),"※自用消耗的去向只能是一矿区或二矿区",IF(AND($K1887="对外销售",COUNTIF({"三矿区";"六矿区"},$L1887)=0),"※对外销售的去向只能是三矿区或六矿区",IF(AND($K1887="对外销售",ROUND($Q1887,0)=0),"※外销却没有售价，请填实际售价",IF(AND($K1887="对外销售",$T1887&lt;&gt;"",$T1887&lt;0),"※这一笔外销是亏的，请核对售价",IF(IFERROR(VLOOKUP($D1887,库存台账!$A$5:$Y$1204,24,0),0)&lt;-0.001,"※这个物料账面已经变成负数了，查一下是不是漏记入库","")))))))))))</f>
        <v/>
      </c>
    </row>
    <row r="1888">
      <c r="A1888" s="24">
        <f>IF($D1888="","",COUNTA($D$4:$D1888))</f>
        <v/>
      </c>
      <c r="B1888" s="17" t="n"/>
      <c r="C1888" s="30" t="n"/>
      <c r="D1888" s="17" t="n"/>
      <c r="E1888" s="24">
        <f>IF($D1888="","",IFERROR(VLOOKUP($D1888,物料档案!$A$4:$P$1203,3,0),"※编码不在物料档案里"))</f>
        <v/>
      </c>
      <c r="F1888" s="24">
        <f>IF($D1888="","",IFERROR(VLOOKUP($D1888,物料档案!$A$4:$P$1203,4,0),"※编码不在物料档案里"))</f>
        <v/>
      </c>
      <c r="G1888" s="24">
        <f>IF($D1888="","",IFERROR(VLOOKUP($D1888,物料档案!$A$4:$P$1203,5,0),"※编码不在物料档案里"))</f>
        <v/>
      </c>
      <c r="H1888" s="24">
        <f>IF($D1888="","",IFERROR(VLOOKUP($D1888,物料档案!$A$4:$P$1203,2,0),"※编码不在物料档案里"))</f>
        <v/>
      </c>
      <c r="I1888" s="24">
        <f>IF($D1888="","",IFERROR(VLOOKUP($D1888,物料档案!$A$4:$P$1203,6,0),"※编码不在物料档案里"))</f>
        <v/>
      </c>
      <c r="J1888" s="23" t="n"/>
      <c r="K1888" s="17" t="n"/>
      <c r="L1888" s="17" t="n"/>
      <c r="M1888" s="17" t="n"/>
      <c r="N1888" s="17" t="n"/>
      <c r="O1888" s="26">
        <f>IF($D1888="","",IFERROR(VLOOKUP($D1888,物料档案!$A$4:$P$1203,10,0),0))</f>
        <v/>
      </c>
      <c r="P1888" s="32" t="n"/>
      <c r="Q1888" s="26">
        <f>IF($D1888="","",IF($K1888&lt;&gt;"对外销售",0,ROUND(N($J1888)*IF($P1888="",N($O1888),N($P1888)),0)))</f>
        <v/>
      </c>
      <c r="R1888" s="26">
        <f>IF($D1888="","",IFERROR(VLOOKUP($D1888,库存台账!$A$5:$Y$1204,11,0),0))</f>
        <v/>
      </c>
      <c r="S1888" s="26">
        <f>IF($D1888="","",ROUND(N($J1888)*N($R1888),0))</f>
        <v/>
      </c>
      <c r="T1888" s="26">
        <f>IF($D1888="","",IF($K1888&lt;&gt;"对外销售","",ROUND($Q1888-$S1888,0)))</f>
        <v/>
      </c>
      <c r="U1888" s="17" t="n"/>
      <c r="V1888" s="17" t="n"/>
      <c r="W1888" s="24">
        <f>IF($D1888="","",IF($E1888="※编码不在物料档案里","※物料编码不在档案里",IF(N($J1888)&lt;=0,"※出库数量要大于 0",IF($K1888="","※没填去向类型",IF($L1888="","※没填去向矿区",IF(AND($C1888&lt;&gt;"",$C1888&lt;=结账锁),"※日期早于已结账截止日，不能再录",IF(AND($K1888="自用消耗",COUNTIF({"一矿区";"二矿区"},$L1888)=0),"※自用消耗的去向只能是一矿区或二矿区",IF(AND($K1888="对外销售",COUNTIF({"三矿区";"六矿区"},$L1888)=0),"※对外销售的去向只能是三矿区或六矿区",IF(AND($K1888="对外销售",ROUND($Q1888,0)=0),"※外销却没有售价，请填实际售价",IF(AND($K1888="对外销售",$T1888&lt;&gt;"",$T1888&lt;0),"※这一笔外销是亏的，请核对售价",IF(IFERROR(VLOOKUP($D1888,库存台账!$A$5:$Y$1204,24,0),0)&lt;-0.001,"※这个物料账面已经变成负数了，查一下是不是漏记入库","")))))))))))</f>
        <v/>
      </c>
    </row>
    <row r="1889">
      <c r="A1889" s="24">
        <f>IF($D1889="","",COUNTA($D$4:$D1889))</f>
        <v/>
      </c>
      <c r="B1889" s="17" t="n"/>
      <c r="C1889" s="30" t="n"/>
      <c r="D1889" s="17" t="n"/>
      <c r="E1889" s="24">
        <f>IF($D1889="","",IFERROR(VLOOKUP($D1889,物料档案!$A$4:$P$1203,3,0),"※编码不在物料档案里"))</f>
        <v/>
      </c>
      <c r="F1889" s="24">
        <f>IF($D1889="","",IFERROR(VLOOKUP($D1889,物料档案!$A$4:$P$1203,4,0),"※编码不在物料档案里"))</f>
        <v/>
      </c>
      <c r="G1889" s="24">
        <f>IF($D1889="","",IFERROR(VLOOKUP($D1889,物料档案!$A$4:$P$1203,5,0),"※编码不在物料档案里"))</f>
        <v/>
      </c>
      <c r="H1889" s="24">
        <f>IF($D1889="","",IFERROR(VLOOKUP($D1889,物料档案!$A$4:$P$1203,2,0),"※编码不在物料档案里"))</f>
        <v/>
      </c>
      <c r="I1889" s="24">
        <f>IF($D1889="","",IFERROR(VLOOKUP($D1889,物料档案!$A$4:$P$1203,6,0),"※编码不在物料档案里"))</f>
        <v/>
      </c>
      <c r="J1889" s="23" t="n"/>
      <c r="K1889" s="17" t="n"/>
      <c r="L1889" s="17" t="n"/>
      <c r="M1889" s="17" t="n"/>
      <c r="N1889" s="17" t="n"/>
      <c r="O1889" s="26">
        <f>IF($D1889="","",IFERROR(VLOOKUP($D1889,物料档案!$A$4:$P$1203,10,0),0))</f>
        <v/>
      </c>
      <c r="P1889" s="32" t="n"/>
      <c r="Q1889" s="26">
        <f>IF($D1889="","",IF($K1889&lt;&gt;"对外销售",0,ROUND(N($J1889)*IF($P1889="",N($O1889),N($P1889)),0)))</f>
        <v/>
      </c>
      <c r="R1889" s="26">
        <f>IF($D1889="","",IFERROR(VLOOKUP($D1889,库存台账!$A$5:$Y$1204,11,0),0))</f>
        <v/>
      </c>
      <c r="S1889" s="26">
        <f>IF($D1889="","",ROUND(N($J1889)*N($R1889),0))</f>
        <v/>
      </c>
      <c r="T1889" s="26">
        <f>IF($D1889="","",IF($K1889&lt;&gt;"对外销售","",ROUND($Q1889-$S1889,0)))</f>
        <v/>
      </c>
      <c r="U1889" s="17" t="n"/>
      <c r="V1889" s="17" t="n"/>
      <c r="W1889" s="24">
        <f>IF($D1889="","",IF($E1889="※编码不在物料档案里","※物料编码不在档案里",IF(N($J1889)&lt;=0,"※出库数量要大于 0",IF($K1889="","※没填去向类型",IF($L1889="","※没填去向矿区",IF(AND($C1889&lt;&gt;"",$C1889&lt;=结账锁),"※日期早于已结账截止日，不能再录",IF(AND($K1889="自用消耗",COUNTIF({"一矿区";"二矿区"},$L1889)=0),"※自用消耗的去向只能是一矿区或二矿区",IF(AND($K1889="对外销售",COUNTIF({"三矿区";"六矿区"},$L1889)=0),"※对外销售的去向只能是三矿区或六矿区",IF(AND($K1889="对外销售",ROUND($Q1889,0)=0),"※外销却没有售价，请填实际售价",IF(AND($K1889="对外销售",$T1889&lt;&gt;"",$T1889&lt;0),"※这一笔外销是亏的，请核对售价",IF(IFERROR(VLOOKUP($D1889,库存台账!$A$5:$Y$1204,24,0),0)&lt;-0.001,"※这个物料账面已经变成负数了，查一下是不是漏记入库","")))))))))))</f>
        <v/>
      </c>
    </row>
    <row r="1890">
      <c r="A1890" s="24">
        <f>IF($D1890="","",COUNTA($D$4:$D1890))</f>
        <v/>
      </c>
      <c r="B1890" s="17" t="n"/>
      <c r="C1890" s="30" t="n"/>
      <c r="D1890" s="17" t="n"/>
      <c r="E1890" s="24">
        <f>IF($D1890="","",IFERROR(VLOOKUP($D1890,物料档案!$A$4:$P$1203,3,0),"※编码不在物料档案里"))</f>
        <v/>
      </c>
      <c r="F1890" s="24">
        <f>IF($D1890="","",IFERROR(VLOOKUP($D1890,物料档案!$A$4:$P$1203,4,0),"※编码不在物料档案里"))</f>
        <v/>
      </c>
      <c r="G1890" s="24">
        <f>IF($D1890="","",IFERROR(VLOOKUP($D1890,物料档案!$A$4:$P$1203,5,0),"※编码不在物料档案里"))</f>
        <v/>
      </c>
      <c r="H1890" s="24">
        <f>IF($D1890="","",IFERROR(VLOOKUP($D1890,物料档案!$A$4:$P$1203,2,0),"※编码不在物料档案里"))</f>
        <v/>
      </c>
      <c r="I1890" s="24">
        <f>IF($D1890="","",IFERROR(VLOOKUP($D1890,物料档案!$A$4:$P$1203,6,0),"※编码不在物料档案里"))</f>
        <v/>
      </c>
      <c r="J1890" s="23" t="n"/>
      <c r="K1890" s="17" t="n"/>
      <c r="L1890" s="17" t="n"/>
      <c r="M1890" s="17" t="n"/>
      <c r="N1890" s="17" t="n"/>
      <c r="O1890" s="26">
        <f>IF($D1890="","",IFERROR(VLOOKUP($D1890,物料档案!$A$4:$P$1203,10,0),0))</f>
        <v/>
      </c>
      <c r="P1890" s="32" t="n"/>
      <c r="Q1890" s="26">
        <f>IF($D1890="","",IF($K1890&lt;&gt;"对外销售",0,ROUND(N($J1890)*IF($P1890="",N($O1890),N($P1890)),0)))</f>
        <v/>
      </c>
      <c r="R1890" s="26">
        <f>IF($D1890="","",IFERROR(VLOOKUP($D1890,库存台账!$A$5:$Y$1204,11,0),0))</f>
        <v/>
      </c>
      <c r="S1890" s="26">
        <f>IF($D1890="","",ROUND(N($J1890)*N($R1890),0))</f>
        <v/>
      </c>
      <c r="T1890" s="26">
        <f>IF($D1890="","",IF($K1890&lt;&gt;"对外销售","",ROUND($Q1890-$S1890,0)))</f>
        <v/>
      </c>
      <c r="U1890" s="17" t="n"/>
      <c r="V1890" s="17" t="n"/>
      <c r="W1890" s="24">
        <f>IF($D1890="","",IF($E1890="※编码不在物料档案里","※物料编码不在档案里",IF(N($J1890)&lt;=0,"※出库数量要大于 0",IF($K1890="","※没填去向类型",IF($L1890="","※没填去向矿区",IF(AND($C1890&lt;&gt;"",$C1890&lt;=结账锁),"※日期早于已结账截止日，不能再录",IF(AND($K1890="自用消耗",COUNTIF({"一矿区";"二矿区"},$L1890)=0),"※自用消耗的去向只能是一矿区或二矿区",IF(AND($K1890="对外销售",COUNTIF({"三矿区";"六矿区"},$L1890)=0),"※对外销售的去向只能是三矿区或六矿区",IF(AND($K1890="对外销售",ROUND($Q1890,0)=0),"※外销却没有售价，请填实际售价",IF(AND($K1890="对外销售",$T1890&lt;&gt;"",$T1890&lt;0),"※这一笔外销是亏的，请核对售价",IF(IFERROR(VLOOKUP($D1890,库存台账!$A$5:$Y$1204,24,0),0)&lt;-0.001,"※这个物料账面已经变成负数了，查一下是不是漏记入库","")))))))))))</f>
        <v/>
      </c>
    </row>
    <row r="1891">
      <c r="A1891" s="24">
        <f>IF($D1891="","",COUNTA($D$4:$D1891))</f>
        <v/>
      </c>
      <c r="B1891" s="17" t="n"/>
      <c r="C1891" s="30" t="n"/>
      <c r="D1891" s="17" t="n"/>
      <c r="E1891" s="24">
        <f>IF($D1891="","",IFERROR(VLOOKUP($D1891,物料档案!$A$4:$P$1203,3,0),"※编码不在物料档案里"))</f>
        <v/>
      </c>
      <c r="F1891" s="24">
        <f>IF($D1891="","",IFERROR(VLOOKUP($D1891,物料档案!$A$4:$P$1203,4,0),"※编码不在物料档案里"))</f>
        <v/>
      </c>
      <c r="G1891" s="24">
        <f>IF($D1891="","",IFERROR(VLOOKUP($D1891,物料档案!$A$4:$P$1203,5,0),"※编码不在物料档案里"))</f>
        <v/>
      </c>
      <c r="H1891" s="24">
        <f>IF($D1891="","",IFERROR(VLOOKUP($D1891,物料档案!$A$4:$P$1203,2,0),"※编码不在物料档案里"))</f>
        <v/>
      </c>
      <c r="I1891" s="24">
        <f>IF($D1891="","",IFERROR(VLOOKUP($D1891,物料档案!$A$4:$P$1203,6,0),"※编码不在物料档案里"))</f>
        <v/>
      </c>
      <c r="J1891" s="23" t="n"/>
      <c r="K1891" s="17" t="n"/>
      <c r="L1891" s="17" t="n"/>
      <c r="M1891" s="17" t="n"/>
      <c r="N1891" s="17" t="n"/>
      <c r="O1891" s="26">
        <f>IF($D1891="","",IFERROR(VLOOKUP($D1891,物料档案!$A$4:$P$1203,10,0),0))</f>
        <v/>
      </c>
      <c r="P1891" s="32" t="n"/>
      <c r="Q1891" s="26">
        <f>IF($D1891="","",IF($K1891&lt;&gt;"对外销售",0,ROUND(N($J1891)*IF($P1891="",N($O1891),N($P1891)),0)))</f>
        <v/>
      </c>
      <c r="R1891" s="26">
        <f>IF($D1891="","",IFERROR(VLOOKUP($D1891,库存台账!$A$5:$Y$1204,11,0),0))</f>
        <v/>
      </c>
      <c r="S1891" s="26">
        <f>IF($D1891="","",ROUND(N($J1891)*N($R1891),0))</f>
        <v/>
      </c>
      <c r="T1891" s="26">
        <f>IF($D1891="","",IF($K1891&lt;&gt;"对外销售","",ROUND($Q1891-$S1891,0)))</f>
        <v/>
      </c>
      <c r="U1891" s="17" t="n"/>
      <c r="V1891" s="17" t="n"/>
      <c r="W1891" s="24">
        <f>IF($D1891="","",IF($E1891="※编码不在物料档案里","※物料编码不在档案里",IF(N($J1891)&lt;=0,"※出库数量要大于 0",IF($K1891="","※没填去向类型",IF($L1891="","※没填去向矿区",IF(AND($C1891&lt;&gt;"",$C1891&lt;=结账锁),"※日期早于已结账截止日，不能再录",IF(AND($K1891="自用消耗",COUNTIF({"一矿区";"二矿区"},$L1891)=0),"※自用消耗的去向只能是一矿区或二矿区",IF(AND($K1891="对外销售",COUNTIF({"三矿区";"六矿区"},$L1891)=0),"※对外销售的去向只能是三矿区或六矿区",IF(AND($K1891="对外销售",ROUND($Q1891,0)=0),"※外销却没有售价，请填实际售价",IF(AND($K1891="对外销售",$T1891&lt;&gt;"",$T1891&lt;0),"※这一笔外销是亏的，请核对售价",IF(IFERROR(VLOOKUP($D1891,库存台账!$A$5:$Y$1204,24,0),0)&lt;-0.001,"※这个物料账面已经变成负数了，查一下是不是漏记入库","")))))))))))</f>
        <v/>
      </c>
    </row>
    <row r="1892">
      <c r="A1892" s="24">
        <f>IF($D1892="","",COUNTA($D$4:$D1892))</f>
        <v/>
      </c>
      <c r="B1892" s="17" t="n"/>
      <c r="C1892" s="30" t="n"/>
      <c r="D1892" s="17" t="n"/>
      <c r="E1892" s="24">
        <f>IF($D1892="","",IFERROR(VLOOKUP($D1892,物料档案!$A$4:$P$1203,3,0),"※编码不在物料档案里"))</f>
        <v/>
      </c>
      <c r="F1892" s="24">
        <f>IF($D1892="","",IFERROR(VLOOKUP($D1892,物料档案!$A$4:$P$1203,4,0),"※编码不在物料档案里"))</f>
        <v/>
      </c>
      <c r="G1892" s="24">
        <f>IF($D1892="","",IFERROR(VLOOKUP($D1892,物料档案!$A$4:$P$1203,5,0),"※编码不在物料档案里"))</f>
        <v/>
      </c>
      <c r="H1892" s="24">
        <f>IF($D1892="","",IFERROR(VLOOKUP($D1892,物料档案!$A$4:$P$1203,2,0),"※编码不在物料档案里"))</f>
        <v/>
      </c>
      <c r="I1892" s="24">
        <f>IF($D1892="","",IFERROR(VLOOKUP($D1892,物料档案!$A$4:$P$1203,6,0),"※编码不在物料档案里"))</f>
        <v/>
      </c>
      <c r="J1892" s="23" t="n"/>
      <c r="K1892" s="17" t="n"/>
      <c r="L1892" s="17" t="n"/>
      <c r="M1892" s="17" t="n"/>
      <c r="N1892" s="17" t="n"/>
      <c r="O1892" s="26">
        <f>IF($D1892="","",IFERROR(VLOOKUP($D1892,物料档案!$A$4:$P$1203,10,0),0))</f>
        <v/>
      </c>
      <c r="P1892" s="32" t="n"/>
      <c r="Q1892" s="26">
        <f>IF($D1892="","",IF($K1892&lt;&gt;"对外销售",0,ROUND(N($J1892)*IF($P1892="",N($O1892),N($P1892)),0)))</f>
        <v/>
      </c>
      <c r="R1892" s="26">
        <f>IF($D1892="","",IFERROR(VLOOKUP($D1892,库存台账!$A$5:$Y$1204,11,0),0))</f>
        <v/>
      </c>
      <c r="S1892" s="26">
        <f>IF($D1892="","",ROUND(N($J1892)*N($R1892),0))</f>
        <v/>
      </c>
      <c r="T1892" s="26">
        <f>IF($D1892="","",IF($K1892&lt;&gt;"对外销售","",ROUND($Q1892-$S1892,0)))</f>
        <v/>
      </c>
      <c r="U1892" s="17" t="n"/>
      <c r="V1892" s="17" t="n"/>
      <c r="W1892" s="24">
        <f>IF($D1892="","",IF($E1892="※编码不在物料档案里","※物料编码不在档案里",IF(N($J1892)&lt;=0,"※出库数量要大于 0",IF($K1892="","※没填去向类型",IF($L1892="","※没填去向矿区",IF(AND($C1892&lt;&gt;"",$C1892&lt;=结账锁),"※日期早于已结账截止日，不能再录",IF(AND($K1892="自用消耗",COUNTIF({"一矿区";"二矿区"},$L1892)=0),"※自用消耗的去向只能是一矿区或二矿区",IF(AND($K1892="对外销售",COUNTIF({"三矿区";"六矿区"},$L1892)=0),"※对外销售的去向只能是三矿区或六矿区",IF(AND($K1892="对外销售",ROUND($Q1892,0)=0),"※外销却没有售价，请填实际售价",IF(AND($K1892="对外销售",$T1892&lt;&gt;"",$T1892&lt;0),"※这一笔外销是亏的，请核对售价",IF(IFERROR(VLOOKUP($D1892,库存台账!$A$5:$Y$1204,24,0),0)&lt;-0.001,"※这个物料账面已经变成负数了，查一下是不是漏记入库","")))))))))))</f>
        <v/>
      </c>
    </row>
    <row r="1893">
      <c r="A1893" s="24">
        <f>IF($D1893="","",COUNTA($D$4:$D1893))</f>
        <v/>
      </c>
      <c r="B1893" s="17" t="n"/>
      <c r="C1893" s="30" t="n"/>
      <c r="D1893" s="17" t="n"/>
      <c r="E1893" s="24">
        <f>IF($D1893="","",IFERROR(VLOOKUP($D1893,物料档案!$A$4:$P$1203,3,0),"※编码不在物料档案里"))</f>
        <v/>
      </c>
      <c r="F1893" s="24">
        <f>IF($D1893="","",IFERROR(VLOOKUP($D1893,物料档案!$A$4:$P$1203,4,0),"※编码不在物料档案里"))</f>
        <v/>
      </c>
      <c r="G1893" s="24">
        <f>IF($D1893="","",IFERROR(VLOOKUP($D1893,物料档案!$A$4:$P$1203,5,0),"※编码不在物料档案里"))</f>
        <v/>
      </c>
      <c r="H1893" s="24">
        <f>IF($D1893="","",IFERROR(VLOOKUP($D1893,物料档案!$A$4:$P$1203,2,0),"※编码不在物料档案里"))</f>
        <v/>
      </c>
      <c r="I1893" s="24">
        <f>IF($D1893="","",IFERROR(VLOOKUP($D1893,物料档案!$A$4:$P$1203,6,0),"※编码不在物料档案里"))</f>
        <v/>
      </c>
      <c r="J1893" s="23" t="n"/>
      <c r="K1893" s="17" t="n"/>
      <c r="L1893" s="17" t="n"/>
      <c r="M1893" s="17" t="n"/>
      <c r="N1893" s="17" t="n"/>
      <c r="O1893" s="26">
        <f>IF($D1893="","",IFERROR(VLOOKUP($D1893,物料档案!$A$4:$P$1203,10,0),0))</f>
        <v/>
      </c>
      <c r="P1893" s="32" t="n"/>
      <c r="Q1893" s="26">
        <f>IF($D1893="","",IF($K1893&lt;&gt;"对外销售",0,ROUND(N($J1893)*IF($P1893="",N($O1893),N($P1893)),0)))</f>
        <v/>
      </c>
      <c r="R1893" s="26">
        <f>IF($D1893="","",IFERROR(VLOOKUP($D1893,库存台账!$A$5:$Y$1204,11,0),0))</f>
        <v/>
      </c>
      <c r="S1893" s="26">
        <f>IF($D1893="","",ROUND(N($J1893)*N($R1893),0))</f>
        <v/>
      </c>
      <c r="T1893" s="26">
        <f>IF($D1893="","",IF($K1893&lt;&gt;"对外销售","",ROUND($Q1893-$S1893,0)))</f>
        <v/>
      </c>
      <c r="U1893" s="17" t="n"/>
      <c r="V1893" s="17" t="n"/>
      <c r="W1893" s="24">
        <f>IF($D1893="","",IF($E1893="※编码不在物料档案里","※物料编码不在档案里",IF(N($J1893)&lt;=0,"※出库数量要大于 0",IF($K1893="","※没填去向类型",IF($L1893="","※没填去向矿区",IF(AND($C1893&lt;&gt;"",$C1893&lt;=结账锁),"※日期早于已结账截止日，不能再录",IF(AND($K1893="自用消耗",COUNTIF({"一矿区";"二矿区"},$L1893)=0),"※自用消耗的去向只能是一矿区或二矿区",IF(AND($K1893="对外销售",COUNTIF({"三矿区";"六矿区"},$L1893)=0),"※对外销售的去向只能是三矿区或六矿区",IF(AND($K1893="对外销售",ROUND($Q1893,0)=0),"※外销却没有售价，请填实际售价",IF(AND($K1893="对外销售",$T1893&lt;&gt;"",$T1893&lt;0),"※这一笔外销是亏的，请核对售价",IF(IFERROR(VLOOKUP($D1893,库存台账!$A$5:$Y$1204,24,0),0)&lt;-0.001,"※这个物料账面已经变成负数了，查一下是不是漏记入库","")))))))))))</f>
        <v/>
      </c>
    </row>
    <row r="1894">
      <c r="A1894" s="24">
        <f>IF($D1894="","",COUNTA($D$4:$D1894))</f>
        <v/>
      </c>
      <c r="B1894" s="17" t="n"/>
      <c r="C1894" s="30" t="n"/>
      <c r="D1894" s="17" t="n"/>
      <c r="E1894" s="24">
        <f>IF($D1894="","",IFERROR(VLOOKUP($D1894,物料档案!$A$4:$P$1203,3,0),"※编码不在物料档案里"))</f>
        <v/>
      </c>
      <c r="F1894" s="24">
        <f>IF($D1894="","",IFERROR(VLOOKUP($D1894,物料档案!$A$4:$P$1203,4,0),"※编码不在物料档案里"))</f>
        <v/>
      </c>
      <c r="G1894" s="24">
        <f>IF($D1894="","",IFERROR(VLOOKUP($D1894,物料档案!$A$4:$P$1203,5,0),"※编码不在物料档案里"))</f>
        <v/>
      </c>
      <c r="H1894" s="24">
        <f>IF($D1894="","",IFERROR(VLOOKUP($D1894,物料档案!$A$4:$P$1203,2,0),"※编码不在物料档案里"))</f>
        <v/>
      </c>
      <c r="I1894" s="24">
        <f>IF($D1894="","",IFERROR(VLOOKUP($D1894,物料档案!$A$4:$P$1203,6,0),"※编码不在物料档案里"))</f>
        <v/>
      </c>
      <c r="J1894" s="23" t="n"/>
      <c r="K1894" s="17" t="n"/>
      <c r="L1894" s="17" t="n"/>
      <c r="M1894" s="17" t="n"/>
      <c r="N1894" s="17" t="n"/>
      <c r="O1894" s="26">
        <f>IF($D1894="","",IFERROR(VLOOKUP($D1894,物料档案!$A$4:$P$1203,10,0),0))</f>
        <v/>
      </c>
      <c r="P1894" s="32" t="n"/>
      <c r="Q1894" s="26">
        <f>IF($D1894="","",IF($K1894&lt;&gt;"对外销售",0,ROUND(N($J1894)*IF($P1894="",N($O1894),N($P1894)),0)))</f>
        <v/>
      </c>
      <c r="R1894" s="26">
        <f>IF($D1894="","",IFERROR(VLOOKUP($D1894,库存台账!$A$5:$Y$1204,11,0),0))</f>
        <v/>
      </c>
      <c r="S1894" s="26">
        <f>IF($D1894="","",ROUND(N($J1894)*N($R1894),0))</f>
        <v/>
      </c>
      <c r="T1894" s="26">
        <f>IF($D1894="","",IF($K1894&lt;&gt;"对外销售","",ROUND($Q1894-$S1894,0)))</f>
        <v/>
      </c>
      <c r="U1894" s="17" t="n"/>
      <c r="V1894" s="17" t="n"/>
      <c r="W1894" s="24">
        <f>IF($D1894="","",IF($E1894="※编码不在物料档案里","※物料编码不在档案里",IF(N($J1894)&lt;=0,"※出库数量要大于 0",IF($K1894="","※没填去向类型",IF($L1894="","※没填去向矿区",IF(AND($C1894&lt;&gt;"",$C1894&lt;=结账锁),"※日期早于已结账截止日，不能再录",IF(AND($K1894="自用消耗",COUNTIF({"一矿区";"二矿区"},$L1894)=0),"※自用消耗的去向只能是一矿区或二矿区",IF(AND($K1894="对外销售",COUNTIF({"三矿区";"六矿区"},$L1894)=0),"※对外销售的去向只能是三矿区或六矿区",IF(AND($K1894="对外销售",ROUND($Q1894,0)=0),"※外销却没有售价，请填实际售价",IF(AND($K1894="对外销售",$T1894&lt;&gt;"",$T1894&lt;0),"※这一笔外销是亏的，请核对售价",IF(IFERROR(VLOOKUP($D1894,库存台账!$A$5:$Y$1204,24,0),0)&lt;-0.001,"※这个物料账面已经变成负数了，查一下是不是漏记入库","")))))))))))</f>
        <v/>
      </c>
    </row>
    <row r="1895">
      <c r="A1895" s="24">
        <f>IF($D1895="","",COUNTA($D$4:$D1895))</f>
        <v/>
      </c>
      <c r="B1895" s="17" t="n"/>
      <c r="C1895" s="30" t="n"/>
      <c r="D1895" s="17" t="n"/>
      <c r="E1895" s="24">
        <f>IF($D1895="","",IFERROR(VLOOKUP($D1895,物料档案!$A$4:$P$1203,3,0),"※编码不在物料档案里"))</f>
        <v/>
      </c>
      <c r="F1895" s="24">
        <f>IF($D1895="","",IFERROR(VLOOKUP($D1895,物料档案!$A$4:$P$1203,4,0),"※编码不在物料档案里"))</f>
        <v/>
      </c>
      <c r="G1895" s="24">
        <f>IF($D1895="","",IFERROR(VLOOKUP($D1895,物料档案!$A$4:$P$1203,5,0),"※编码不在物料档案里"))</f>
        <v/>
      </c>
      <c r="H1895" s="24">
        <f>IF($D1895="","",IFERROR(VLOOKUP($D1895,物料档案!$A$4:$P$1203,2,0),"※编码不在物料档案里"))</f>
        <v/>
      </c>
      <c r="I1895" s="24">
        <f>IF($D1895="","",IFERROR(VLOOKUP($D1895,物料档案!$A$4:$P$1203,6,0),"※编码不在物料档案里"))</f>
        <v/>
      </c>
      <c r="J1895" s="23" t="n"/>
      <c r="K1895" s="17" t="n"/>
      <c r="L1895" s="17" t="n"/>
      <c r="M1895" s="17" t="n"/>
      <c r="N1895" s="17" t="n"/>
      <c r="O1895" s="26">
        <f>IF($D1895="","",IFERROR(VLOOKUP($D1895,物料档案!$A$4:$P$1203,10,0),0))</f>
        <v/>
      </c>
      <c r="P1895" s="32" t="n"/>
      <c r="Q1895" s="26">
        <f>IF($D1895="","",IF($K1895&lt;&gt;"对外销售",0,ROUND(N($J1895)*IF($P1895="",N($O1895),N($P1895)),0)))</f>
        <v/>
      </c>
      <c r="R1895" s="26">
        <f>IF($D1895="","",IFERROR(VLOOKUP($D1895,库存台账!$A$5:$Y$1204,11,0),0))</f>
        <v/>
      </c>
      <c r="S1895" s="26">
        <f>IF($D1895="","",ROUND(N($J1895)*N($R1895),0))</f>
        <v/>
      </c>
      <c r="T1895" s="26">
        <f>IF($D1895="","",IF($K1895&lt;&gt;"对外销售","",ROUND($Q1895-$S1895,0)))</f>
        <v/>
      </c>
      <c r="U1895" s="17" t="n"/>
      <c r="V1895" s="17" t="n"/>
      <c r="W1895" s="24">
        <f>IF($D1895="","",IF($E1895="※编码不在物料档案里","※物料编码不在档案里",IF(N($J1895)&lt;=0,"※出库数量要大于 0",IF($K1895="","※没填去向类型",IF($L1895="","※没填去向矿区",IF(AND($C1895&lt;&gt;"",$C1895&lt;=结账锁),"※日期早于已结账截止日，不能再录",IF(AND($K1895="自用消耗",COUNTIF({"一矿区";"二矿区"},$L1895)=0),"※自用消耗的去向只能是一矿区或二矿区",IF(AND($K1895="对外销售",COUNTIF({"三矿区";"六矿区"},$L1895)=0),"※对外销售的去向只能是三矿区或六矿区",IF(AND($K1895="对外销售",ROUND($Q1895,0)=0),"※外销却没有售价，请填实际售价",IF(AND($K1895="对外销售",$T1895&lt;&gt;"",$T1895&lt;0),"※这一笔外销是亏的，请核对售价",IF(IFERROR(VLOOKUP($D1895,库存台账!$A$5:$Y$1204,24,0),0)&lt;-0.001,"※这个物料账面已经变成负数了，查一下是不是漏记入库","")))))))))))</f>
        <v/>
      </c>
    </row>
    <row r="1896">
      <c r="A1896" s="24">
        <f>IF($D1896="","",COUNTA($D$4:$D1896))</f>
        <v/>
      </c>
      <c r="B1896" s="17" t="n"/>
      <c r="C1896" s="30" t="n"/>
      <c r="D1896" s="17" t="n"/>
      <c r="E1896" s="24">
        <f>IF($D1896="","",IFERROR(VLOOKUP($D1896,物料档案!$A$4:$P$1203,3,0),"※编码不在物料档案里"))</f>
        <v/>
      </c>
      <c r="F1896" s="24">
        <f>IF($D1896="","",IFERROR(VLOOKUP($D1896,物料档案!$A$4:$P$1203,4,0),"※编码不在物料档案里"))</f>
        <v/>
      </c>
      <c r="G1896" s="24">
        <f>IF($D1896="","",IFERROR(VLOOKUP($D1896,物料档案!$A$4:$P$1203,5,0),"※编码不在物料档案里"))</f>
        <v/>
      </c>
      <c r="H1896" s="24">
        <f>IF($D1896="","",IFERROR(VLOOKUP($D1896,物料档案!$A$4:$P$1203,2,0),"※编码不在物料档案里"))</f>
        <v/>
      </c>
      <c r="I1896" s="24">
        <f>IF($D1896="","",IFERROR(VLOOKUP($D1896,物料档案!$A$4:$P$1203,6,0),"※编码不在物料档案里"))</f>
        <v/>
      </c>
      <c r="J1896" s="23" t="n"/>
      <c r="K1896" s="17" t="n"/>
      <c r="L1896" s="17" t="n"/>
      <c r="M1896" s="17" t="n"/>
      <c r="N1896" s="17" t="n"/>
      <c r="O1896" s="26">
        <f>IF($D1896="","",IFERROR(VLOOKUP($D1896,物料档案!$A$4:$P$1203,10,0),0))</f>
        <v/>
      </c>
      <c r="P1896" s="32" t="n"/>
      <c r="Q1896" s="26">
        <f>IF($D1896="","",IF($K1896&lt;&gt;"对外销售",0,ROUND(N($J1896)*IF($P1896="",N($O1896),N($P1896)),0)))</f>
        <v/>
      </c>
      <c r="R1896" s="26">
        <f>IF($D1896="","",IFERROR(VLOOKUP($D1896,库存台账!$A$5:$Y$1204,11,0),0))</f>
        <v/>
      </c>
      <c r="S1896" s="26">
        <f>IF($D1896="","",ROUND(N($J1896)*N($R1896),0))</f>
        <v/>
      </c>
      <c r="T1896" s="26">
        <f>IF($D1896="","",IF($K1896&lt;&gt;"对外销售","",ROUND($Q1896-$S1896,0)))</f>
        <v/>
      </c>
      <c r="U1896" s="17" t="n"/>
      <c r="V1896" s="17" t="n"/>
      <c r="W1896" s="24">
        <f>IF($D1896="","",IF($E1896="※编码不在物料档案里","※物料编码不在档案里",IF(N($J1896)&lt;=0,"※出库数量要大于 0",IF($K1896="","※没填去向类型",IF($L1896="","※没填去向矿区",IF(AND($C1896&lt;&gt;"",$C1896&lt;=结账锁),"※日期早于已结账截止日，不能再录",IF(AND($K1896="自用消耗",COUNTIF({"一矿区";"二矿区"},$L1896)=0),"※自用消耗的去向只能是一矿区或二矿区",IF(AND($K1896="对外销售",COUNTIF({"三矿区";"六矿区"},$L1896)=0),"※对外销售的去向只能是三矿区或六矿区",IF(AND($K1896="对外销售",ROUND($Q1896,0)=0),"※外销却没有售价，请填实际售价",IF(AND($K1896="对外销售",$T1896&lt;&gt;"",$T1896&lt;0),"※这一笔外销是亏的，请核对售价",IF(IFERROR(VLOOKUP($D1896,库存台账!$A$5:$Y$1204,24,0),0)&lt;-0.001,"※这个物料账面已经变成负数了，查一下是不是漏记入库","")))))))))))</f>
        <v/>
      </c>
    </row>
    <row r="1897">
      <c r="A1897" s="24">
        <f>IF($D1897="","",COUNTA($D$4:$D1897))</f>
        <v/>
      </c>
      <c r="B1897" s="17" t="n"/>
      <c r="C1897" s="30" t="n"/>
      <c r="D1897" s="17" t="n"/>
      <c r="E1897" s="24">
        <f>IF($D1897="","",IFERROR(VLOOKUP($D1897,物料档案!$A$4:$P$1203,3,0),"※编码不在物料档案里"))</f>
        <v/>
      </c>
      <c r="F1897" s="24">
        <f>IF($D1897="","",IFERROR(VLOOKUP($D1897,物料档案!$A$4:$P$1203,4,0),"※编码不在物料档案里"))</f>
        <v/>
      </c>
      <c r="G1897" s="24">
        <f>IF($D1897="","",IFERROR(VLOOKUP($D1897,物料档案!$A$4:$P$1203,5,0),"※编码不在物料档案里"))</f>
        <v/>
      </c>
      <c r="H1897" s="24">
        <f>IF($D1897="","",IFERROR(VLOOKUP($D1897,物料档案!$A$4:$P$1203,2,0),"※编码不在物料档案里"))</f>
        <v/>
      </c>
      <c r="I1897" s="24">
        <f>IF($D1897="","",IFERROR(VLOOKUP($D1897,物料档案!$A$4:$P$1203,6,0),"※编码不在物料档案里"))</f>
        <v/>
      </c>
      <c r="J1897" s="23" t="n"/>
      <c r="K1897" s="17" t="n"/>
      <c r="L1897" s="17" t="n"/>
      <c r="M1897" s="17" t="n"/>
      <c r="N1897" s="17" t="n"/>
      <c r="O1897" s="26">
        <f>IF($D1897="","",IFERROR(VLOOKUP($D1897,物料档案!$A$4:$P$1203,10,0),0))</f>
        <v/>
      </c>
      <c r="P1897" s="32" t="n"/>
      <c r="Q1897" s="26">
        <f>IF($D1897="","",IF($K1897&lt;&gt;"对外销售",0,ROUND(N($J1897)*IF($P1897="",N($O1897),N($P1897)),0)))</f>
        <v/>
      </c>
      <c r="R1897" s="26">
        <f>IF($D1897="","",IFERROR(VLOOKUP($D1897,库存台账!$A$5:$Y$1204,11,0),0))</f>
        <v/>
      </c>
      <c r="S1897" s="26">
        <f>IF($D1897="","",ROUND(N($J1897)*N($R1897),0))</f>
        <v/>
      </c>
      <c r="T1897" s="26">
        <f>IF($D1897="","",IF($K1897&lt;&gt;"对外销售","",ROUND($Q1897-$S1897,0)))</f>
        <v/>
      </c>
      <c r="U1897" s="17" t="n"/>
      <c r="V1897" s="17" t="n"/>
      <c r="W1897" s="24">
        <f>IF($D1897="","",IF($E1897="※编码不在物料档案里","※物料编码不在档案里",IF(N($J1897)&lt;=0,"※出库数量要大于 0",IF($K1897="","※没填去向类型",IF($L1897="","※没填去向矿区",IF(AND($C1897&lt;&gt;"",$C1897&lt;=结账锁),"※日期早于已结账截止日，不能再录",IF(AND($K1897="自用消耗",COUNTIF({"一矿区";"二矿区"},$L1897)=0),"※自用消耗的去向只能是一矿区或二矿区",IF(AND($K1897="对外销售",COUNTIF({"三矿区";"六矿区"},$L1897)=0),"※对外销售的去向只能是三矿区或六矿区",IF(AND($K1897="对外销售",ROUND($Q1897,0)=0),"※外销却没有售价，请填实际售价",IF(AND($K1897="对外销售",$T1897&lt;&gt;"",$T1897&lt;0),"※这一笔外销是亏的，请核对售价",IF(IFERROR(VLOOKUP($D1897,库存台账!$A$5:$Y$1204,24,0),0)&lt;-0.001,"※这个物料账面已经变成负数了，查一下是不是漏记入库","")))))))))))</f>
        <v/>
      </c>
    </row>
    <row r="1898">
      <c r="A1898" s="24">
        <f>IF($D1898="","",COUNTA($D$4:$D1898))</f>
        <v/>
      </c>
      <c r="B1898" s="17" t="n"/>
      <c r="C1898" s="30" t="n"/>
      <c r="D1898" s="17" t="n"/>
      <c r="E1898" s="24">
        <f>IF($D1898="","",IFERROR(VLOOKUP($D1898,物料档案!$A$4:$P$1203,3,0),"※编码不在物料档案里"))</f>
        <v/>
      </c>
      <c r="F1898" s="24">
        <f>IF($D1898="","",IFERROR(VLOOKUP($D1898,物料档案!$A$4:$P$1203,4,0),"※编码不在物料档案里"))</f>
        <v/>
      </c>
      <c r="G1898" s="24">
        <f>IF($D1898="","",IFERROR(VLOOKUP($D1898,物料档案!$A$4:$P$1203,5,0),"※编码不在物料档案里"))</f>
        <v/>
      </c>
      <c r="H1898" s="24">
        <f>IF($D1898="","",IFERROR(VLOOKUP($D1898,物料档案!$A$4:$P$1203,2,0),"※编码不在物料档案里"))</f>
        <v/>
      </c>
      <c r="I1898" s="24">
        <f>IF($D1898="","",IFERROR(VLOOKUP($D1898,物料档案!$A$4:$P$1203,6,0),"※编码不在物料档案里"))</f>
        <v/>
      </c>
      <c r="J1898" s="23" t="n"/>
      <c r="K1898" s="17" t="n"/>
      <c r="L1898" s="17" t="n"/>
      <c r="M1898" s="17" t="n"/>
      <c r="N1898" s="17" t="n"/>
      <c r="O1898" s="26">
        <f>IF($D1898="","",IFERROR(VLOOKUP($D1898,物料档案!$A$4:$P$1203,10,0),0))</f>
        <v/>
      </c>
      <c r="P1898" s="32" t="n"/>
      <c r="Q1898" s="26">
        <f>IF($D1898="","",IF($K1898&lt;&gt;"对外销售",0,ROUND(N($J1898)*IF($P1898="",N($O1898),N($P1898)),0)))</f>
        <v/>
      </c>
      <c r="R1898" s="26">
        <f>IF($D1898="","",IFERROR(VLOOKUP($D1898,库存台账!$A$5:$Y$1204,11,0),0))</f>
        <v/>
      </c>
      <c r="S1898" s="26">
        <f>IF($D1898="","",ROUND(N($J1898)*N($R1898),0))</f>
        <v/>
      </c>
      <c r="T1898" s="26">
        <f>IF($D1898="","",IF($K1898&lt;&gt;"对外销售","",ROUND($Q1898-$S1898,0)))</f>
        <v/>
      </c>
      <c r="U1898" s="17" t="n"/>
      <c r="V1898" s="17" t="n"/>
      <c r="W1898" s="24">
        <f>IF($D1898="","",IF($E1898="※编码不在物料档案里","※物料编码不在档案里",IF(N($J1898)&lt;=0,"※出库数量要大于 0",IF($K1898="","※没填去向类型",IF($L1898="","※没填去向矿区",IF(AND($C1898&lt;&gt;"",$C1898&lt;=结账锁),"※日期早于已结账截止日，不能再录",IF(AND($K1898="自用消耗",COUNTIF({"一矿区";"二矿区"},$L1898)=0),"※自用消耗的去向只能是一矿区或二矿区",IF(AND($K1898="对外销售",COUNTIF({"三矿区";"六矿区"},$L1898)=0),"※对外销售的去向只能是三矿区或六矿区",IF(AND($K1898="对外销售",ROUND($Q1898,0)=0),"※外销却没有售价，请填实际售价",IF(AND($K1898="对外销售",$T1898&lt;&gt;"",$T1898&lt;0),"※这一笔外销是亏的，请核对售价",IF(IFERROR(VLOOKUP($D1898,库存台账!$A$5:$Y$1204,24,0),0)&lt;-0.001,"※这个物料账面已经变成负数了，查一下是不是漏记入库","")))))))))))</f>
        <v/>
      </c>
    </row>
    <row r="1899">
      <c r="A1899" s="24">
        <f>IF($D1899="","",COUNTA($D$4:$D1899))</f>
        <v/>
      </c>
      <c r="B1899" s="17" t="n"/>
      <c r="C1899" s="30" t="n"/>
      <c r="D1899" s="17" t="n"/>
      <c r="E1899" s="24">
        <f>IF($D1899="","",IFERROR(VLOOKUP($D1899,物料档案!$A$4:$P$1203,3,0),"※编码不在物料档案里"))</f>
        <v/>
      </c>
      <c r="F1899" s="24">
        <f>IF($D1899="","",IFERROR(VLOOKUP($D1899,物料档案!$A$4:$P$1203,4,0),"※编码不在物料档案里"))</f>
        <v/>
      </c>
      <c r="G1899" s="24">
        <f>IF($D1899="","",IFERROR(VLOOKUP($D1899,物料档案!$A$4:$P$1203,5,0),"※编码不在物料档案里"))</f>
        <v/>
      </c>
      <c r="H1899" s="24">
        <f>IF($D1899="","",IFERROR(VLOOKUP($D1899,物料档案!$A$4:$P$1203,2,0),"※编码不在物料档案里"))</f>
        <v/>
      </c>
      <c r="I1899" s="24">
        <f>IF($D1899="","",IFERROR(VLOOKUP($D1899,物料档案!$A$4:$P$1203,6,0),"※编码不在物料档案里"))</f>
        <v/>
      </c>
      <c r="J1899" s="23" t="n"/>
      <c r="K1899" s="17" t="n"/>
      <c r="L1899" s="17" t="n"/>
      <c r="M1899" s="17" t="n"/>
      <c r="N1899" s="17" t="n"/>
      <c r="O1899" s="26">
        <f>IF($D1899="","",IFERROR(VLOOKUP($D1899,物料档案!$A$4:$P$1203,10,0),0))</f>
        <v/>
      </c>
      <c r="P1899" s="32" t="n"/>
      <c r="Q1899" s="26">
        <f>IF($D1899="","",IF($K1899&lt;&gt;"对外销售",0,ROUND(N($J1899)*IF($P1899="",N($O1899),N($P1899)),0)))</f>
        <v/>
      </c>
      <c r="R1899" s="26">
        <f>IF($D1899="","",IFERROR(VLOOKUP($D1899,库存台账!$A$5:$Y$1204,11,0),0))</f>
        <v/>
      </c>
      <c r="S1899" s="26">
        <f>IF($D1899="","",ROUND(N($J1899)*N($R1899),0))</f>
        <v/>
      </c>
      <c r="T1899" s="26">
        <f>IF($D1899="","",IF($K1899&lt;&gt;"对外销售","",ROUND($Q1899-$S1899,0)))</f>
        <v/>
      </c>
      <c r="U1899" s="17" t="n"/>
      <c r="V1899" s="17" t="n"/>
      <c r="W1899" s="24">
        <f>IF($D1899="","",IF($E1899="※编码不在物料档案里","※物料编码不在档案里",IF(N($J1899)&lt;=0,"※出库数量要大于 0",IF($K1899="","※没填去向类型",IF($L1899="","※没填去向矿区",IF(AND($C1899&lt;&gt;"",$C1899&lt;=结账锁),"※日期早于已结账截止日，不能再录",IF(AND($K1899="自用消耗",COUNTIF({"一矿区";"二矿区"},$L1899)=0),"※自用消耗的去向只能是一矿区或二矿区",IF(AND($K1899="对外销售",COUNTIF({"三矿区";"六矿区"},$L1899)=0),"※对外销售的去向只能是三矿区或六矿区",IF(AND($K1899="对外销售",ROUND($Q1899,0)=0),"※外销却没有售价，请填实际售价",IF(AND($K1899="对外销售",$T1899&lt;&gt;"",$T1899&lt;0),"※这一笔外销是亏的，请核对售价",IF(IFERROR(VLOOKUP($D1899,库存台账!$A$5:$Y$1204,24,0),0)&lt;-0.001,"※这个物料账面已经变成负数了，查一下是不是漏记入库","")))))))))))</f>
        <v/>
      </c>
    </row>
    <row r="1900">
      <c r="A1900" s="24">
        <f>IF($D1900="","",COUNTA($D$4:$D1900))</f>
        <v/>
      </c>
      <c r="B1900" s="17" t="n"/>
      <c r="C1900" s="30" t="n"/>
      <c r="D1900" s="17" t="n"/>
      <c r="E1900" s="24">
        <f>IF($D1900="","",IFERROR(VLOOKUP($D1900,物料档案!$A$4:$P$1203,3,0),"※编码不在物料档案里"))</f>
        <v/>
      </c>
      <c r="F1900" s="24">
        <f>IF($D1900="","",IFERROR(VLOOKUP($D1900,物料档案!$A$4:$P$1203,4,0),"※编码不在物料档案里"))</f>
        <v/>
      </c>
      <c r="G1900" s="24">
        <f>IF($D1900="","",IFERROR(VLOOKUP($D1900,物料档案!$A$4:$P$1203,5,0),"※编码不在物料档案里"))</f>
        <v/>
      </c>
      <c r="H1900" s="24">
        <f>IF($D1900="","",IFERROR(VLOOKUP($D1900,物料档案!$A$4:$P$1203,2,0),"※编码不在物料档案里"))</f>
        <v/>
      </c>
      <c r="I1900" s="24">
        <f>IF($D1900="","",IFERROR(VLOOKUP($D1900,物料档案!$A$4:$P$1203,6,0),"※编码不在物料档案里"))</f>
        <v/>
      </c>
      <c r="J1900" s="23" t="n"/>
      <c r="K1900" s="17" t="n"/>
      <c r="L1900" s="17" t="n"/>
      <c r="M1900" s="17" t="n"/>
      <c r="N1900" s="17" t="n"/>
      <c r="O1900" s="26">
        <f>IF($D1900="","",IFERROR(VLOOKUP($D1900,物料档案!$A$4:$P$1203,10,0),0))</f>
        <v/>
      </c>
      <c r="P1900" s="32" t="n"/>
      <c r="Q1900" s="26">
        <f>IF($D1900="","",IF($K1900&lt;&gt;"对外销售",0,ROUND(N($J1900)*IF($P1900="",N($O1900),N($P1900)),0)))</f>
        <v/>
      </c>
      <c r="R1900" s="26">
        <f>IF($D1900="","",IFERROR(VLOOKUP($D1900,库存台账!$A$5:$Y$1204,11,0),0))</f>
        <v/>
      </c>
      <c r="S1900" s="26">
        <f>IF($D1900="","",ROUND(N($J1900)*N($R1900),0))</f>
        <v/>
      </c>
      <c r="T1900" s="26">
        <f>IF($D1900="","",IF($K1900&lt;&gt;"对外销售","",ROUND($Q1900-$S1900,0)))</f>
        <v/>
      </c>
      <c r="U1900" s="17" t="n"/>
      <c r="V1900" s="17" t="n"/>
      <c r="W1900" s="24">
        <f>IF($D1900="","",IF($E1900="※编码不在物料档案里","※物料编码不在档案里",IF(N($J1900)&lt;=0,"※出库数量要大于 0",IF($K1900="","※没填去向类型",IF($L1900="","※没填去向矿区",IF(AND($C1900&lt;&gt;"",$C1900&lt;=结账锁),"※日期早于已结账截止日，不能再录",IF(AND($K1900="自用消耗",COUNTIF({"一矿区";"二矿区"},$L1900)=0),"※自用消耗的去向只能是一矿区或二矿区",IF(AND($K1900="对外销售",COUNTIF({"三矿区";"六矿区"},$L1900)=0),"※对外销售的去向只能是三矿区或六矿区",IF(AND($K1900="对外销售",ROUND($Q1900,0)=0),"※外销却没有售价，请填实际售价",IF(AND($K1900="对外销售",$T1900&lt;&gt;"",$T1900&lt;0),"※这一笔外销是亏的，请核对售价",IF(IFERROR(VLOOKUP($D1900,库存台账!$A$5:$Y$1204,24,0),0)&lt;-0.001,"※这个物料账面已经变成负数了，查一下是不是漏记入库","")))))))))))</f>
        <v/>
      </c>
    </row>
    <row r="1901">
      <c r="A1901" s="24">
        <f>IF($D1901="","",COUNTA($D$4:$D1901))</f>
        <v/>
      </c>
      <c r="B1901" s="17" t="n"/>
      <c r="C1901" s="30" t="n"/>
      <c r="D1901" s="17" t="n"/>
      <c r="E1901" s="24">
        <f>IF($D1901="","",IFERROR(VLOOKUP($D1901,物料档案!$A$4:$P$1203,3,0),"※编码不在物料档案里"))</f>
        <v/>
      </c>
      <c r="F1901" s="24">
        <f>IF($D1901="","",IFERROR(VLOOKUP($D1901,物料档案!$A$4:$P$1203,4,0),"※编码不在物料档案里"))</f>
        <v/>
      </c>
      <c r="G1901" s="24">
        <f>IF($D1901="","",IFERROR(VLOOKUP($D1901,物料档案!$A$4:$P$1203,5,0),"※编码不在物料档案里"))</f>
        <v/>
      </c>
      <c r="H1901" s="24">
        <f>IF($D1901="","",IFERROR(VLOOKUP($D1901,物料档案!$A$4:$P$1203,2,0),"※编码不在物料档案里"))</f>
        <v/>
      </c>
      <c r="I1901" s="24">
        <f>IF($D1901="","",IFERROR(VLOOKUP($D1901,物料档案!$A$4:$P$1203,6,0),"※编码不在物料档案里"))</f>
        <v/>
      </c>
      <c r="J1901" s="23" t="n"/>
      <c r="K1901" s="17" t="n"/>
      <c r="L1901" s="17" t="n"/>
      <c r="M1901" s="17" t="n"/>
      <c r="N1901" s="17" t="n"/>
      <c r="O1901" s="26">
        <f>IF($D1901="","",IFERROR(VLOOKUP($D1901,物料档案!$A$4:$P$1203,10,0),0))</f>
        <v/>
      </c>
      <c r="P1901" s="32" t="n"/>
      <c r="Q1901" s="26">
        <f>IF($D1901="","",IF($K1901&lt;&gt;"对外销售",0,ROUND(N($J1901)*IF($P1901="",N($O1901),N($P1901)),0)))</f>
        <v/>
      </c>
      <c r="R1901" s="26">
        <f>IF($D1901="","",IFERROR(VLOOKUP($D1901,库存台账!$A$5:$Y$1204,11,0),0))</f>
        <v/>
      </c>
      <c r="S1901" s="26">
        <f>IF($D1901="","",ROUND(N($J1901)*N($R1901),0))</f>
        <v/>
      </c>
      <c r="T1901" s="26">
        <f>IF($D1901="","",IF($K1901&lt;&gt;"对外销售","",ROUND($Q1901-$S1901,0)))</f>
        <v/>
      </c>
      <c r="U1901" s="17" t="n"/>
      <c r="V1901" s="17" t="n"/>
      <c r="W1901" s="24">
        <f>IF($D1901="","",IF($E1901="※编码不在物料档案里","※物料编码不在档案里",IF(N($J1901)&lt;=0,"※出库数量要大于 0",IF($K1901="","※没填去向类型",IF($L1901="","※没填去向矿区",IF(AND($C1901&lt;&gt;"",$C1901&lt;=结账锁),"※日期早于已结账截止日，不能再录",IF(AND($K1901="自用消耗",COUNTIF({"一矿区";"二矿区"},$L1901)=0),"※自用消耗的去向只能是一矿区或二矿区",IF(AND($K1901="对外销售",COUNTIF({"三矿区";"六矿区"},$L1901)=0),"※对外销售的去向只能是三矿区或六矿区",IF(AND($K1901="对外销售",ROUND($Q1901,0)=0),"※外销却没有售价，请填实际售价",IF(AND($K1901="对外销售",$T1901&lt;&gt;"",$T1901&lt;0),"※这一笔外销是亏的，请核对售价",IF(IFERROR(VLOOKUP($D1901,库存台账!$A$5:$Y$1204,24,0),0)&lt;-0.001,"※这个物料账面已经变成负数了，查一下是不是漏记入库","")))))))))))</f>
        <v/>
      </c>
    </row>
    <row r="1902">
      <c r="A1902" s="24">
        <f>IF($D1902="","",COUNTA($D$4:$D1902))</f>
        <v/>
      </c>
      <c r="B1902" s="17" t="n"/>
      <c r="C1902" s="30" t="n"/>
      <c r="D1902" s="17" t="n"/>
      <c r="E1902" s="24">
        <f>IF($D1902="","",IFERROR(VLOOKUP($D1902,物料档案!$A$4:$P$1203,3,0),"※编码不在物料档案里"))</f>
        <v/>
      </c>
      <c r="F1902" s="24">
        <f>IF($D1902="","",IFERROR(VLOOKUP($D1902,物料档案!$A$4:$P$1203,4,0),"※编码不在物料档案里"))</f>
        <v/>
      </c>
      <c r="G1902" s="24">
        <f>IF($D1902="","",IFERROR(VLOOKUP($D1902,物料档案!$A$4:$P$1203,5,0),"※编码不在物料档案里"))</f>
        <v/>
      </c>
      <c r="H1902" s="24">
        <f>IF($D1902="","",IFERROR(VLOOKUP($D1902,物料档案!$A$4:$P$1203,2,0),"※编码不在物料档案里"))</f>
        <v/>
      </c>
      <c r="I1902" s="24">
        <f>IF($D1902="","",IFERROR(VLOOKUP($D1902,物料档案!$A$4:$P$1203,6,0),"※编码不在物料档案里"))</f>
        <v/>
      </c>
      <c r="J1902" s="23" t="n"/>
      <c r="K1902" s="17" t="n"/>
      <c r="L1902" s="17" t="n"/>
      <c r="M1902" s="17" t="n"/>
      <c r="N1902" s="17" t="n"/>
      <c r="O1902" s="26">
        <f>IF($D1902="","",IFERROR(VLOOKUP($D1902,物料档案!$A$4:$P$1203,10,0),0))</f>
        <v/>
      </c>
      <c r="P1902" s="32" t="n"/>
      <c r="Q1902" s="26">
        <f>IF($D1902="","",IF($K1902&lt;&gt;"对外销售",0,ROUND(N($J1902)*IF($P1902="",N($O1902),N($P1902)),0)))</f>
        <v/>
      </c>
      <c r="R1902" s="26">
        <f>IF($D1902="","",IFERROR(VLOOKUP($D1902,库存台账!$A$5:$Y$1204,11,0),0))</f>
        <v/>
      </c>
      <c r="S1902" s="26">
        <f>IF($D1902="","",ROUND(N($J1902)*N($R1902),0))</f>
        <v/>
      </c>
      <c r="T1902" s="26">
        <f>IF($D1902="","",IF($K1902&lt;&gt;"对外销售","",ROUND($Q1902-$S1902,0)))</f>
        <v/>
      </c>
      <c r="U1902" s="17" t="n"/>
      <c r="V1902" s="17" t="n"/>
      <c r="W1902" s="24">
        <f>IF($D1902="","",IF($E1902="※编码不在物料档案里","※物料编码不在档案里",IF(N($J1902)&lt;=0,"※出库数量要大于 0",IF($K1902="","※没填去向类型",IF($L1902="","※没填去向矿区",IF(AND($C1902&lt;&gt;"",$C1902&lt;=结账锁),"※日期早于已结账截止日，不能再录",IF(AND($K1902="自用消耗",COUNTIF({"一矿区";"二矿区"},$L1902)=0),"※自用消耗的去向只能是一矿区或二矿区",IF(AND($K1902="对外销售",COUNTIF({"三矿区";"六矿区"},$L1902)=0),"※对外销售的去向只能是三矿区或六矿区",IF(AND($K1902="对外销售",ROUND($Q1902,0)=0),"※外销却没有售价，请填实际售价",IF(AND($K1902="对外销售",$T1902&lt;&gt;"",$T1902&lt;0),"※这一笔外销是亏的，请核对售价",IF(IFERROR(VLOOKUP($D1902,库存台账!$A$5:$Y$1204,24,0),0)&lt;-0.001,"※这个物料账面已经变成负数了，查一下是不是漏记入库","")))))))))))</f>
        <v/>
      </c>
    </row>
    <row r="1903">
      <c r="A1903" s="24">
        <f>IF($D1903="","",COUNTA($D$4:$D1903))</f>
        <v/>
      </c>
      <c r="B1903" s="17" t="n"/>
      <c r="C1903" s="30" t="n"/>
      <c r="D1903" s="17" t="n"/>
      <c r="E1903" s="24">
        <f>IF($D1903="","",IFERROR(VLOOKUP($D1903,物料档案!$A$4:$P$1203,3,0),"※编码不在物料档案里"))</f>
        <v/>
      </c>
      <c r="F1903" s="24">
        <f>IF($D1903="","",IFERROR(VLOOKUP($D1903,物料档案!$A$4:$P$1203,4,0),"※编码不在物料档案里"))</f>
        <v/>
      </c>
      <c r="G1903" s="24">
        <f>IF($D1903="","",IFERROR(VLOOKUP($D1903,物料档案!$A$4:$P$1203,5,0),"※编码不在物料档案里"))</f>
        <v/>
      </c>
      <c r="H1903" s="24">
        <f>IF($D1903="","",IFERROR(VLOOKUP($D1903,物料档案!$A$4:$P$1203,2,0),"※编码不在物料档案里"))</f>
        <v/>
      </c>
      <c r="I1903" s="24">
        <f>IF($D1903="","",IFERROR(VLOOKUP($D1903,物料档案!$A$4:$P$1203,6,0),"※编码不在物料档案里"))</f>
        <v/>
      </c>
      <c r="J1903" s="23" t="n"/>
      <c r="K1903" s="17" t="n"/>
      <c r="L1903" s="17" t="n"/>
      <c r="M1903" s="17" t="n"/>
      <c r="N1903" s="17" t="n"/>
      <c r="O1903" s="26">
        <f>IF($D1903="","",IFERROR(VLOOKUP($D1903,物料档案!$A$4:$P$1203,10,0),0))</f>
        <v/>
      </c>
      <c r="P1903" s="32" t="n"/>
      <c r="Q1903" s="26">
        <f>IF($D1903="","",IF($K1903&lt;&gt;"对外销售",0,ROUND(N($J1903)*IF($P1903="",N($O1903),N($P1903)),0)))</f>
        <v/>
      </c>
      <c r="R1903" s="26">
        <f>IF($D1903="","",IFERROR(VLOOKUP($D1903,库存台账!$A$5:$Y$1204,11,0),0))</f>
        <v/>
      </c>
      <c r="S1903" s="26">
        <f>IF($D1903="","",ROUND(N($J1903)*N($R1903),0))</f>
        <v/>
      </c>
      <c r="T1903" s="26">
        <f>IF($D1903="","",IF($K1903&lt;&gt;"对外销售","",ROUND($Q1903-$S1903,0)))</f>
        <v/>
      </c>
      <c r="U1903" s="17" t="n"/>
      <c r="V1903" s="17" t="n"/>
      <c r="W1903" s="24">
        <f>IF($D1903="","",IF($E1903="※编码不在物料档案里","※物料编码不在档案里",IF(N($J1903)&lt;=0,"※出库数量要大于 0",IF($K1903="","※没填去向类型",IF($L1903="","※没填去向矿区",IF(AND($C1903&lt;&gt;"",$C1903&lt;=结账锁),"※日期早于已结账截止日，不能再录",IF(AND($K1903="自用消耗",COUNTIF({"一矿区";"二矿区"},$L1903)=0),"※自用消耗的去向只能是一矿区或二矿区",IF(AND($K1903="对外销售",COUNTIF({"三矿区";"六矿区"},$L1903)=0),"※对外销售的去向只能是三矿区或六矿区",IF(AND($K1903="对外销售",ROUND($Q1903,0)=0),"※外销却没有售价，请填实际售价",IF(AND($K1903="对外销售",$T1903&lt;&gt;"",$T1903&lt;0),"※这一笔外销是亏的，请核对售价",IF(IFERROR(VLOOKUP($D1903,库存台账!$A$5:$Y$1204,24,0),0)&lt;-0.001,"※这个物料账面已经变成负数了，查一下是不是漏记入库","")))))))))))</f>
        <v/>
      </c>
    </row>
    <row r="1904">
      <c r="A1904" s="24">
        <f>IF($D1904="","",COUNTA($D$4:$D1904))</f>
        <v/>
      </c>
      <c r="B1904" s="17" t="n"/>
      <c r="C1904" s="30" t="n"/>
      <c r="D1904" s="17" t="n"/>
      <c r="E1904" s="24">
        <f>IF($D1904="","",IFERROR(VLOOKUP($D1904,物料档案!$A$4:$P$1203,3,0),"※编码不在物料档案里"))</f>
        <v/>
      </c>
      <c r="F1904" s="24">
        <f>IF($D1904="","",IFERROR(VLOOKUP($D1904,物料档案!$A$4:$P$1203,4,0),"※编码不在物料档案里"))</f>
        <v/>
      </c>
      <c r="G1904" s="24">
        <f>IF($D1904="","",IFERROR(VLOOKUP($D1904,物料档案!$A$4:$P$1203,5,0),"※编码不在物料档案里"))</f>
        <v/>
      </c>
      <c r="H1904" s="24">
        <f>IF($D1904="","",IFERROR(VLOOKUP($D1904,物料档案!$A$4:$P$1203,2,0),"※编码不在物料档案里"))</f>
        <v/>
      </c>
      <c r="I1904" s="24">
        <f>IF($D1904="","",IFERROR(VLOOKUP($D1904,物料档案!$A$4:$P$1203,6,0),"※编码不在物料档案里"))</f>
        <v/>
      </c>
      <c r="J1904" s="23" t="n"/>
      <c r="K1904" s="17" t="n"/>
      <c r="L1904" s="17" t="n"/>
      <c r="M1904" s="17" t="n"/>
      <c r="N1904" s="17" t="n"/>
      <c r="O1904" s="26">
        <f>IF($D1904="","",IFERROR(VLOOKUP($D1904,物料档案!$A$4:$P$1203,10,0),0))</f>
        <v/>
      </c>
      <c r="P1904" s="32" t="n"/>
      <c r="Q1904" s="26">
        <f>IF($D1904="","",IF($K1904&lt;&gt;"对外销售",0,ROUND(N($J1904)*IF($P1904="",N($O1904),N($P1904)),0)))</f>
        <v/>
      </c>
      <c r="R1904" s="26">
        <f>IF($D1904="","",IFERROR(VLOOKUP($D1904,库存台账!$A$5:$Y$1204,11,0),0))</f>
        <v/>
      </c>
      <c r="S1904" s="26">
        <f>IF($D1904="","",ROUND(N($J1904)*N($R1904),0))</f>
        <v/>
      </c>
      <c r="T1904" s="26">
        <f>IF($D1904="","",IF($K1904&lt;&gt;"对外销售","",ROUND($Q1904-$S1904,0)))</f>
        <v/>
      </c>
      <c r="U1904" s="17" t="n"/>
      <c r="V1904" s="17" t="n"/>
      <c r="W1904" s="24">
        <f>IF($D1904="","",IF($E1904="※编码不在物料档案里","※物料编码不在档案里",IF(N($J1904)&lt;=0,"※出库数量要大于 0",IF($K1904="","※没填去向类型",IF($L1904="","※没填去向矿区",IF(AND($C1904&lt;&gt;"",$C1904&lt;=结账锁),"※日期早于已结账截止日，不能再录",IF(AND($K1904="自用消耗",COUNTIF({"一矿区";"二矿区"},$L1904)=0),"※自用消耗的去向只能是一矿区或二矿区",IF(AND($K1904="对外销售",COUNTIF({"三矿区";"六矿区"},$L1904)=0),"※对外销售的去向只能是三矿区或六矿区",IF(AND($K1904="对外销售",ROUND($Q1904,0)=0),"※外销却没有售价，请填实际售价",IF(AND($K1904="对外销售",$T1904&lt;&gt;"",$T1904&lt;0),"※这一笔外销是亏的，请核对售价",IF(IFERROR(VLOOKUP($D1904,库存台账!$A$5:$Y$1204,24,0),0)&lt;-0.001,"※这个物料账面已经变成负数了，查一下是不是漏记入库","")))))))))))</f>
        <v/>
      </c>
    </row>
    <row r="1905">
      <c r="A1905" s="24">
        <f>IF($D1905="","",COUNTA($D$4:$D1905))</f>
        <v/>
      </c>
      <c r="B1905" s="17" t="n"/>
      <c r="C1905" s="30" t="n"/>
      <c r="D1905" s="17" t="n"/>
      <c r="E1905" s="24">
        <f>IF($D1905="","",IFERROR(VLOOKUP($D1905,物料档案!$A$4:$P$1203,3,0),"※编码不在物料档案里"))</f>
        <v/>
      </c>
      <c r="F1905" s="24">
        <f>IF($D1905="","",IFERROR(VLOOKUP($D1905,物料档案!$A$4:$P$1203,4,0),"※编码不在物料档案里"))</f>
        <v/>
      </c>
      <c r="G1905" s="24">
        <f>IF($D1905="","",IFERROR(VLOOKUP($D1905,物料档案!$A$4:$P$1203,5,0),"※编码不在物料档案里"))</f>
        <v/>
      </c>
      <c r="H1905" s="24">
        <f>IF($D1905="","",IFERROR(VLOOKUP($D1905,物料档案!$A$4:$P$1203,2,0),"※编码不在物料档案里"))</f>
        <v/>
      </c>
      <c r="I1905" s="24">
        <f>IF($D1905="","",IFERROR(VLOOKUP($D1905,物料档案!$A$4:$P$1203,6,0),"※编码不在物料档案里"))</f>
        <v/>
      </c>
      <c r="J1905" s="23" t="n"/>
      <c r="K1905" s="17" t="n"/>
      <c r="L1905" s="17" t="n"/>
      <c r="M1905" s="17" t="n"/>
      <c r="N1905" s="17" t="n"/>
      <c r="O1905" s="26">
        <f>IF($D1905="","",IFERROR(VLOOKUP($D1905,物料档案!$A$4:$P$1203,10,0),0))</f>
        <v/>
      </c>
      <c r="P1905" s="32" t="n"/>
      <c r="Q1905" s="26">
        <f>IF($D1905="","",IF($K1905&lt;&gt;"对外销售",0,ROUND(N($J1905)*IF($P1905="",N($O1905),N($P1905)),0)))</f>
        <v/>
      </c>
      <c r="R1905" s="26">
        <f>IF($D1905="","",IFERROR(VLOOKUP($D1905,库存台账!$A$5:$Y$1204,11,0),0))</f>
        <v/>
      </c>
      <c r="S1905" s="26">
        <f>IF($D1905="","",ROUND(N($J1905)*N($R1905),0))</f>
        <v/>
      </c>
      <c r="T1905" s="26">
        <f>IF($D1905="","",IF($K1905&lt;&gt;"对外销售","",ROUND($Q1905-$S1905,0)))</f>
        <v/>
      </c>
      <c r="U1905" s="17" t="n"/>
      <c r="V1905" s="17" t="n"/>
      <c r="W1905" s="24">
        <f>IF($D1905="","",IF($E1905="※编码不在物料档案里","※物料编码不在档案里",IF(N($J1905)&lt;=0,"※出库数量要大于 0",IF($K1905="","※没填去向类型",IF($L1905="","※没填去向矿区",IF(AND($C1905&lt;&gt;"",$C1905&lt;=结账锁),"※日期早于已结账截止日，不能再录",IF(AND($K1905="自用消耗",COUNTIF({"一矿区";"二矿区"},$L1905)=0),"※自用消耗的去向只能是一矿区或二矿区",IF(AND($K1905="对外销售",COUNTIF({"三矿区";"六矿区"},$L1905)=0),"※对外销售的去向只能是三矿区或六矿区",IF(AND($K1905="对外销售",ROUND($Q1905,0)=0),"※外销却没有售价，请填实际售价",IF(AND($K1905="对外销售",$T1905&lt;&gt;"",$T1905&lt;0),"※这一笔外销是亏的，请核对售价",IF(IFERROR(VLOOKUP($D1905,库存台账!$A$5:$Y$1204,24,0),0)&lt;-0.001,"※这个物料账面已经变成负数了，查一下是不是漏记入库","")))))))))))</f>
        <v/>
      </c>
    </row>
    <row r="1906">
      <c r="A1906" s="24">
        <f>IF($D1906="","",COUNTA($D$4:$D1906))</f>
        <v/>
      </c>
      <c r="B1906" s="17" t="n"/>
      <c r="C1906" s="30" t="n"/>
      <c r="D1906" s="17" t="n"/>
      <c r="E1906" s="24">
        <f>IF($D1906="","",IFERROR(VLOOKUP($D1906,物料档案!$A$4:$P$1203,3,0),"※编码不在物料档案里"))</f>
        <v/>
      </c>
      <c r="F1906" s="24">
        <f>IF($D1906="","",IFERROR(VLOOKUP($D1906,物料档案!$A$4:$P$1203,4,0),"※编码不在物料档案里"))</f>
        <v/>
      </c>
      <c r="G1906" s="24">
        <f>IF($D1906="","",IFERROR(VLOOKUP($D1906,物料档案!$A$4:$P$1203,5,0),"※编码不在物料档案里"))</f>
        <v/>
      </c>
      <c r="H1906" s="24">
        <f>IF($D1906="","",IFERROR(VLOOKUP($D1906,物料档案!$A$4:$P$1203,2,0),"※编码不在物料档案里"))</f>
        <v/>
      </c>
      <c r="I1906" s="24">
        <f>IF($D1906="","",IFERROR(VLOOKUP($D1906,物料档案!$A$4:$P$1203,6,0),"※编码不在物料档案里"))</f>
        <v/>
      </c>
      <c r="J1906" s="23" t="n"/>
      <c r="K1906" s="17" t="n"/>
      <c r="L1906" s="17" t="n"/>
      <c r="M1906" s="17" t="n"/>
      <c r="N1906" s="17" t="n"/>
      <c r="O1906" s="26">
        <f>IF($D1906="","",IFERROR(VLOOKUP($D1906,物料档案!$A$4:$P$1203,10,0),0))</f>
        <v/>
      </c>
      <c r="P1906" s="32" t="n"/>
      <c r="Q1906" s="26">
        <f>IF($D1906="","",IF($K1906&lt;&gt;"对外销售",0,ROUND(N($J1906)*IF($P1906="",N($O1906),N($P1906)),0)))</f>
        <v/>
      </c>
      <c r="R1906" s="26">
        <f>IF($D1906="","",IFERROR(VLOOKUP($D1906,库存台账!$A$5:$Y$1204,11,0),0))</f>
        <v/>
      </c>
      <c r="S1906" s="26">
        <f>IF($D1906="","",ROUND(N($J1906)*N($R1906),0))</f>
        <v/>
      </c>
      <c r="T1906" s="26">
        <f>IF($D1906="","",IF($K1906&lt;&gt;"对外销售","",ROUND($Q1906-$S1906,0)))</f>
        <v/>
      </c>
      <c r="U1906" s="17" t="n"/>
      <c r="V1906" s="17" t="n"/>
      <c r="W1906" s="24">
        <f>IF($D1906="","",IF($E1906="※编码不在物料档案里","※物料编码不在档案里",IF(N($J1906)&lt;=0,"※出库数量要大于 0",IF($K1906="","※没填去向类型",IF($L1906="","※没填去向矿区",IF(AND($C1906&lt;&gt;"",$C1906&lt;=结账锁),"※日期早于已结账截止日，不能再录",IF(AND($K1906="自用消耗",COUNTIF({"一矿区";"二矿区"},$L1906)=0),"※自用消耗的去向只能是一矿区或二矿区",IF(AND($K1906="对外销售",COUNTIF({"三矿区";"六矿区"},$L1906)=0),"※对外销售的去向只能是三矿区或六矿区",IF(AND($K1906="对外销售",ROUND($Q1906,0)=0),"※外销却没有售价，请填实际售价",IF(AND($K1906="对外销售",$T1906&lt;&gt;"",$T1906&lt;0),"※这一笔外销是亏的，请核对售价",IF(IFERROR(VLOOKUP($D1906,库存台账!$A$5:$Y$1204,24,0),0)&lt;-0.001,"※这个物料账面已经变成负数了，查一下是不是漏记入库","")))))))))))</f>
        <v/>
      </c>
    </row>
    <row r="1907">
      <c r="A1907" s="24">
        <f>IF($D1907="","",COUNTA($D$4:$D1907))</f>
        <v/>
      </c>
      <c r="B1907" s="17" t="n"/>
      <c r="C1907" s="30" t="n"/>
      <c r="D1907" s="17" t="n"/>
      <c r="E1907" s="24">
        <f>IF($D1907="","",IFERROR(VLOOKUP($D1907,物料档案!$A$4:$P$1203,3,0),"※编码不在物料档案里"))</f>
        <v/>
      </c>
      <c r="F1907" s="24">
        <f>IF($D1907="","",IFERROR(VLOOKUP($D1907,物料档案!$A$4:$P$1203,4,0),"※编码不在物料档案里"))</f>
        <v/>
      </c>
      <c r="G1907" s="24">
        <f>IF($D1907="","",IFERROR(VLOOKUP($D1907,物料档案!$A$4:$P$1203,5,0),"※编码不在物料档案里"))</f>
        <v/>
      </c>
      <c r="H1907" s="24">
        <f>IF($D1907="","",IFERROR(VLOOKUP($D1907,物料档案!$A$4:$P$1203,2,0),"※编码不在物料档案里"))</f>
        <v/>
      </c>
      <c r="I1907" s="24">
        <f>IF($D1907="","",IFERROR(VLOOKUP($D1907,物料档案!$A$4:$P$1203,6,0),"※编码不在物料档案里"))</f>
        <v/>
      </c>
      <c r="J1907" s="23" t="n"/>
      <c r="K1907" s="17" t="n"/>
      <c r="L1907" s="17" t="n"/>
      <c r="M1907" s="17" t="n"/>
      <c r="N1907" s="17" t="n"/>
      <c r="O1907" s="26">
        <f>IF($D1907="","",IFERROR(VLOOKUP($D1907,物料档案!$A$4:$P$1203,10,0),0))</f>
        <v/>
      </c>
      <c r="P1907" s="32" t="n"/>
      <c r="Q1907" s="26">
        <f>IF($D1907="","",IF($K1907&lt;&gt;"对外销售",0,ROUND(N($J1907)*IF($P1907="",N($O1907),N($P1907)),0)))</f>
        <v/>
      </c>
      <c r="R1907" s="26">
        <f>IF($D1907="","",IFERROR(VLOOKUP($D1907,库存台账!$A$5:$Y$1204,11,0),0))</f>
        <v/>
      </c>
      <c r="S1907" s="26">
        <f>IF($D1907="","",ROUND(N($J1907)*N($R1907),0))</f>
        <v/>
      </c>
      <c r="T1907" s="26">
        <f>IF($D1907="","",IF($K1907&lt;&gt;"对外销售","",ROUND($Q1907-$S1907,0)))</f>
        <v/>
      </c>
      <c r="U1907" s="17" t="n"/>
      <c r="V1907" s="17" t="n"/>
      <c r="W1907" s="24">
        <f>IF($D1907="","",IF($E1907="※编码不在物料档案里","※物料编码不在档案里",IF(N($J1907)&lt;=0,"※出库数量要大于 0",IF($K1907="","※没填去向类型",IF($L1907="","※没填去向矿区",IF(AND($C1907&lt;&gt;"",$C1907&lt;=结账锁),"※日期早于已结账截止日，不能再录",IF(AND($K1907="自用消耗",COUNTIF({"一矿区";"二矿区"},$L1907)=0),"※自用消耗的去向只能是一矿区或二矿区",IF(AND($K1907="对外销售",COUNTIF({"三矿区";"六矿区"},$L1907)=0),"※对外销售的去向只能是三矿区或六矿区",IF(AND($K1907="对外销售",ROUND($Q1907,0)=0),"※外销却没有售价，请填实际售价",IF(AND($K1907="对外销售",$T1907&lt;&gt;"",$T1907&lt;0),"※这一笔外销是亏的，请核对售价",IF(IFERROR(VLOOKUP($D1907,库存台账!$A$5:$Y$1204,24,0),0)&lt;-0.001,"※这个物料账面已经变成负数了，查一下是不是漏记入库","")))))))))))</f>
        <v/>
      </c>
    </row>
    <row r="1908">
      <c r="A1908" s="24">
        <f>IF($D1908="","",COUNTA($D$4:$D1908))</f>
        <v/>
      </c>
      <c r="B1908" s="17" t="n"/>
      <c r="C1908" s="30" t="n"/>
      <c r="D1908" s="17" t="n"/>
      <c r="E1908" s="24">
        <f>IF($D1908="","",IFERROR(VLOOKUP($D1908,物料档案!$A$4:$P$1203,3,0),"※编码不在物料档案里"))</f>
        <v/>
      </c>
      <c r="F1908" s="24">
        <f>IF($D1908="","",IFERROR(VLOOKUP($D1908,物料档案!$A$4:$P$1203,4,0),"※编码不在物料档案里"))</f>
        <v/>
      </c>
      <c r="G1908" s="24">
        <f>IF($D1908="","",IFERROR(VLOOKUP($D1908,物料档案!$A$4:$P$1203,5,0),"※编码不在物料档案里"))</f>
        <v/>
      </c>
      <c r="H1908" s="24">
        <f>IF($D1908="","",IFERROR(VLOOKUP($D1908,物料档案!$A$4:$P$1203,2,0),"※编码不在物料档案里"))</f>
        <v/>
      </c>
      <c r="I1908" s="24">
        <f>IF($D1908="","",IFERROR(VLOOKUP($D1908,物料档案!$A$4:$P$1203,6,0),"※编码不在物料档案里"))</f>
        <v/>
      </c>
      <c r="J1908" s="23" t="n"/>
      <c r="K1908" s="17" t="n"/>
      <c r="L1908" s="17" t="n"/>
      <c r="M1908" s="17" t="n"/>
      <c r="N1908" s="17" t="n"/>
      <c r="O1908" s="26">
        <f>IF($D1908="","",IFERROR(VLOOKUP($D1908,物料档案!$A$4:$P$1203,10,0),0))</f>
        <v/>
      </c>
      <c r="P1908" s="32" t="n"/>
      <c r="Q1908" s="26">
        <f>IF($D1908="","",IF($K1908&lt;&gt;"对外销售",0,ROUND(N($J1908)*IF($P1908="",N($O1908),N($P1908)),0)))</f>
        <v/>
      </c>
      <c r="R1908" s="26">
        <f>IF($D1908="","",IFERROR(VLOOKUP($D1908,库存台账!$A$5:$Y$1204,11,0),0))</f>
        <v/>
      </c>
      <c r="S1908" s="26">
        <f>IF($D1908="","",ROUND(N($J1908)*N($R1908),0))</f>
        <v/>
      </c>
      <c r="T1908" s="26">
        <f>IF($D1908="","",IF($K1908&lt;&gt;"对外销售","",ROUND($Q1908-$S1908,0)))</f>
        <v/>
      </c>
      <c r="U1908" s="17" t="n"/>
      <c r="V1908" s="17" t="n"/>
      <c r="W1908" s="24">
        <f>IF($D1908="","",IF($E1908="※编码不在物料档案里","※物料编码不在档案里",IF(N($J1908)&lt;=0,"※出库数量要大于 0",IF($K1908="","※没填去向类型",IF($L1908="","※没填去向矿区",IF(AND($C1908&lt;&gt;"",$C1908&lt;=结账锁),"※日期早于已结账截止日，不能再录",IF(AND($K1908="自用消耗",COUNTIF({"一矿区";"二矿区"},$L1908)=0),"※自用消耗的去向只能是一矿区或二矿区",IF(AND($K1908="对外销售",COUNTIF({"三矿区";"六矿区"},$L1908)=0),"※对外销售的去向只能是三矿区或六矿区",IF(AND($K1908="对外销售",ROUND($Q1908,0)=0),"※外销却没有售价，请填实际售价",IF(AND($K1908="对外销售",$T1908&lt;&gt;"",$T1908&lt;0),"※这一笔外销是亏的，请核对售价",IF(IFERROR(VLOOKUP($D1908,库存台账!$A$5:$Y$1204,24,0),0)&lt;-0.001,"※这个物料账面已经变成负数了，查一下是不是漏记入库","")))))))))))</f>
        <v/>
      </c>
    </row>
    <row r="1909">
      <c r="A1909" s="24">
        <f>IF($D1909="","",COUNTA($D$4:$D1909))</f>
        <v/>
      </c>
      <c r="B1909" s="17" t="n"/>
      <c r="C1909" s="30" t="n"/>
      <c r="D1909" s="17" t="n"/>
      <c r="E1909" s="24">
        <f>IF($D1909="","",IFERROR(VLOOKUP($D1909,物料档案!$A$4:$P$1203,3,0),"※编码不在物料档案里"))</f>
        <v/>
      </c>
      <c r="F1909" s="24">
        <f>IF($D1909="","",IFERROR(VLOOKUP($D1909,物料档案!$A$4:$P$1203,4,0),"※编码不在物料档案里"))</f>
        <v/>
      </c>
      <c r="G1909" s="24">
        <f>IF($D1909="","",IFERROR(VLOOKUP($D1909,物料档案!$A$4:$P$1203,5,0),"※编码不在物料档案里"))</f>
        <v/>
      </c>
      <c r="H1909" s="24">
        <f>IF($D1909="","",IFERROR(VLOOKUP($D1909,物料档案!$A$4:$P$1203,2,0),"※编码不在物料档案里"))</f>
        <v/>
      </c>
      <c r="I1909" s="24">
        <f>IF($D1909="","",IFERROR(VLOOKUP($D1909,物料档案!$A$4:$P$1203,6,0),"※编码不在物料档案里"))</f>
        <v/>
      </c>
      <c r="J1909" s="23" t="n"/>
      <c r="K1909" s="17" t="n"/>
      <c r="L1909" s="17" t="n"/>
      <c r="M1909" s="17" t="n"/>
      <c r="N1909" s="17" t="n"/>
      <c r="O1909" s="26">
        <f>IF($D1909="","",IFERROR(VLOOKUP($D1909,物料档案!$A$4:$P$1203,10,0),0))</f>
        <v/>
      </c>
      <c r="P1909" s="32" t="n"/>
      <c r="Q1909" s="26">
        <f>IF($D1909="","",IF($K1909&lt;&gt;"对外销售",0,ROUND(N($J1909)*IF($P1909="",N($O1909),N($P1909)),0)))</f>
        <v/>
      </c>
      <c r="R1909" s="26">
        <f>IF($D1909="","",IFERROR(VLOOKUP($D1909,库存台账!$A$5:$Y$1204,11,0),0))</f>
        <v/>
      </c>
      <c r="S1909" s="26">
        <f>IF($D1909="","",ROUND(N($J1909)*N($R1909),0))</f>
        <v/>
      </c>
      <c r="T1909" s="26">
        <f>IF($D1909="","",IF($K1909&lt;&gt;"对外销售","",ROUND($Q1909-$S1909,0)))</f>
        <v/>
      </c>
      <c r="U1909" s="17" t="n"/>
      <c r="V1909" s="17" t="n"/>
      <c r="W1909" s="24">
        <f>IF($D1909="","",IF($E1909="※编码不在物料档案里","※物料编码不在档案里",IF(N($J1909)&lt;=0,"※出库数量要大于 0",IF($K1909="","※没填去向类型",IF($L1909="","※没填去向矿区",IF(AND($C1909&lt;&gt;"",$C1909&lt;=结账锁),"※日期早于已结账截止日，不能再录",IF(AND($K1909="自用消耗",COUNTIF({"一矿区";"二矿区"},$L1909)=0),"※自用消耗的去向只能是一矿区或二矿区",IF(AND($K1909="对外销售",COUNTIF({"三矿区";"六矿区"},$L1909)=0),"※对外销售的去向只能是三矿区或六矿区",IF(AND($K1909="对外销售",ROUND($Q1909,0)=0),"※外销却没有售价，请填实际售价",IF(AND($K1909="对外销售",$T1909&lt;&gt;"",$T1909&lt;0),"※这一笔外销是亏的，请核对售价",IF(IFERROR(VLOOKUP($D1909,库存台账!$A$5:$Y$1204,24,0),0)&lt;-0.001,"※这个物料账面已经变成负数了，查一下是不是漏记入库","")))))))))))</f>
        <v/>
      </c>
    </row>
    <row r="1910">
      <c r="A1910" s="24">
        <f>IF($D1910="","",COUNTA($D$4:$D1910))</f>
        <v/>
      </c>
      <c r="B1910" s="17" t="n"/>
      <c r="C1910" s="30" t="n"/>
      <c r="D1910" s="17" t="n"/>
      <c r="E1910" s="24">
        <f>IF($D1910="","",IFERROR(VLOOKUP($D1910,物料档案!$A$4:$P$1203,3,0),"※编码不在物料档案里"))</f>
        <v/>
      </c>
      <c r="F1910" s="24">
        <f>IF($D1910="","",IFERROR(VLOOKUP($D1910,物料档案!$A$4:$P$1203,4,0),"※编码不在物料档案里"))</f>
        <v/>
      </c>
      <c r="G1910" s="24">
        <f>IF($D1910="","",IFERROR(VLOOKUP($D1910,物料档案!$A$4:$P$1203,5,0),"※编码不在物料档案里"))</f>
        <v/>
      </c>
      <c r="H1910" s="24">
        <f>IF($D1910="","",IFERROR(VLOOKUP($D1910,物料档案!$A$4:$P$1203,2,0),"※编码不在物料档案里"))</f>
        <v/>
      </c>
      <c r="I1910" s="24">
        <f>IF($D1910="","",IFERROR(VLOOKUP($D1910,物料档案!$A$4:$P$1203,6,0),"※编码不在物料档案里"))</f>
        <v/>
      </c>
      <c r="J1910" s="23" t="n"/>
      <c r="K1910" s="17" t="n"/>
      <c r="L1910" s="17" t="n"/>
      <c r="M1910" s="17" t="n"/>
      <c r="N1910" s="17" t="n"/>
      <c r="O1910" s="26">
        <f>IF($D1910="","",IFERROR(VLOOKUP($D1910,物料档案!$A$4:$P$1203,10,0),0))</f>
        <v/>
      </c>
      <c r="P1910" s="32" t="n"/>
      <c r="Q1910" s="26">
        <f>IF($D1910="","",IF($K1910&lt;&gt;"对外销售",0,ROUND(N($J1910)*IF($P1910="",N($O1910),N($P1910)),0)))</f>
        <v/>
      </c>
      <c r="R1910" s="26">
        <f>IF($D1910="","",IFERROR(VLOOKUP($D1910,库存台账!$A$5:$Y$1204,11,0),0))</f>
        <v/>
      </c>
      <c r="S1910" s="26">
        <f>IF($D1910="","",ROUND(N($J1910)*N($R1910),0))</f>
        <v/>
      </c>
      <c r="T1910" s="26">
        <f>IF($D1910="","",IF($K1910&lt;&gt;"对外销售","",ROUND($Q1910-$S1910,0)))</f>
        <v/>
      </c>
      <c r="U1910" s="17" t="n"/>
      <c r="V1910" s="17" t="n"/>
      <c r="W1910" s="24">
        <f>IF($D1910="","",IF($E1910="※编码不在物料档案里","※物料编码不在档案里",IF(N($J1910)&lt;=0,"※出库数量要大于 0",IF($K1910="","※没填去向类型",IF($L1910="","※没填去向矿区",IF(AND($C1910&lt;&gt;"",$C1910&lt;=结账锁),"※日期早于已结账截止日，不能再录",IF(AND($K1910="自用消耗",COUNTIF({"一矿区";"二矿区"},$L1910)=0),"※自用消耗的去向只能是一矿区或二矿区",IF(AND($K1910="对外销售",COUNTIF({"三矿区";"六矿区"},$L1910)=0),"※对外销售的去向只能是三矿区或六矿区",IF(AND($K1910="对外销售",ROUND($Q1910,0)=0),"※外销却没有售价，请填实际售价",IF(AND($K1910="对外销售",$T1910&lt;&gt;"",$T1910&lt;0),"※这一笔外销是亏的，请核对售价",IF(IFERROR(VLOOKUP($D1910,库存台账!$A$5:$Y$1204,24,0),0)&lt;-0.001,"※这个物料账面已经变成负数了，查一下是不是漏记入库","")))))))))))</f>
        <v/>
      </c>
    </row>
    <row r="1911">
      <c r="A1911" s="24">
        <f>IF($D1911="","",COUNTA($D$4:$D1911))</f>
        <v/>
      </c>
      <c r="B1911" s="17" t="n"/>
      <c r="C1911" s="30" t="n"/>
      <c r="D1911" s="17" t="n"/>
      <c r="E1911" s="24">
        <f>IF($D1911="","",IFERROR(VLOOKUP($D1911,物料档案!$A$4:$P$1203,3,0),"※编码不在物料档案里"))</f>
        <v/>
      </c>
      <c r="F1911" s="24">
        <f>IF($D1911="","",IFERROR(VLOOKUP($D1911,物料档案!$A$4:$P$1203,4,0),"※编码不在物料档案里"))</f>
        <v/>
      </c>
      <c r="G1911" s="24">
        <f>IF($D1911="","",IFERROR(VLOOKUP($D1911,物料档案!$A$4:$P$1203,5,0),"※编码不在物料档案里"))</f>
        <v/>
      </c>
      <c r="H1911" s="24">
        <f>IF($D1911="","",IFERROR(VLOOKUP($D1911,物料档案!$A$4:$P$1203,2,0),"※编码不在物料档案里"))</f>
        <v/>
      </c>
      <c r="I1911" s="24">
        <f>IF($D1911="","",IFERROR(VLOOKUP($D1911,物料档案!$A$4:$P$1203,6,0),"※编码不在物料档案里"))</f>
        <v/>
      </c>
      <c r="J1911" s="23" t="n"/>
      <c r="K1911" s="17" t="n"/>
      <c r="L1911" s="17" t="n"/>
      <c r="M1911" s="17" t="n"/>
      <c r="N1911" s="17" t="n"/>
      <c r="O1911" s="26">
        <f>IF($D1911="","",IFERROR(VLOOKUP($D1911,物料档案!$A$4:$P$1203,10,0),0))</f>
        <v/>
      </c>
      <c r="P1911" s="32" t="n"/>
      <c r="Q1911" s="26">
        <f>IF($D1911="","",IF($K1911&lt;&gt;"对外销售",0,ROUND(N($J1911)*IF($P1911="",N($O1911),N($P1911)),0)))</f>
        <v/>
      </c>
      <c r="R1911" s="26">
        <f>IF($D1911="","",IFERROR(VLOOKUP($D1911,库存台账!$A$5:$Y$1204,11,0),0))</f>
        <v/>
      </c>
      <c r="S1911" s="26">
        <f>IF($D1911="","",ROUND(N($J1911)*N($R1911),0))</f>
        <v/>
      </c>
      <c r="T1911" s="26">
        <f>IF($D1911="","",IF($K1911&lt;&gt;"对外销售","",ROUND($Q1911-$S1911,0)))</f>
        <v/>
      </c>
      <c r="U1911" s="17" t="n"/>
      <c r="V1911" s="17" t="n"/>
      <c r="W1911" s="24">
        <f>IF($D1911="","",IF($E1911="※编码不在物料档案里","※物料编码不在档案里",IF(N($J1911)&lt;=0,"※出库数量要大于 0",IF($K1911="","※没填去向类型",IF($L1911="","※没填去向矿区",IF(AND($C1911&lt;&gt;"",$C1911&lt;=结账锁),"※日期早于已结账截止日，不能再录",IF(AND($K1911="自用消耗",COUNTIF({"一矿区";"二矿区"},$L1911)=0),"※自用消耗的去向只能是一矿区或二矿区",IF(AND($K1911="对外销售",COUNTIF({"三矿区";"六矿区"},$L1911)=0),"※对外销售的去向只能是三矿区或六矿区",IF(AND($K1911="对外销售",ROUND($Q1911,0)=0),"※外销却没有售价，请填实际售价",IF(AND($K1911="对外销售",$T1911&lt;&gt;"",$T1911&lt;0),"※这一笔外销是亏的，请核对售价",IF(IFERROR(VLOOKUP($D1911,库存台账!$A$5:$Y$1204,24,0),0)&lt;-0.001,"※这个物料账面已经变成负数了，查一下是不是漏记入库","")))))))))))</f>
        <v/>
      </c>
    </row>
    <row r="1912">
      <c r="A1912" s="24">
        <f>IF($D1912="","",COUNTA($D$4:$D1912))</f>
        <v/>
      </c>
      <c r="B1912" s="17" t="n"/>
      <c r="C1912" s="30" t="n"/>
      <c r="D1912" s="17" t="n"/>
      <c r="E1912" s="24">
        <f>IF($D1912="","",IFERROR(VLOOKUP($D1912,物料档案!$A$4:$P$1203,3,0),"※编码不在物料档案里"))</f>
        <v/>
      </c>
      <c r="F1912" s="24">
        <f>IF($D1912="","",IFERROR(VLOOKUP($D1912,物料档案!$A$4:$P$1203,4,0),"※编码不在物料档案里"))</f>
        <v/>
      </c>
      <c r="G1912" s="24">
        <f>IF($D1912="","",IFERROR(VLOOKUP($D1912,物料档案!$A$4:$P$1203,5,0),"※编码不在物料档案里"))</f>
        <v/>
      </c>
      <c r="H1912" s="24">
        <f>IF($D1912="","",IFERROR(VLOOKUP($D1912,物料档案!$A$4:$P$1203,2,0),"※编码不在物料档案里"))</f>
        <v/>
      </c>
      <c r="I1912" s="24">
        <f>IF($D1912="","",IFERROR(VLOOKUP($D1912,物料档案!$A$4:$P$1203,6,0),"※编码不在物料档案里"))</f>
        <v/>
      </c>
      <c r="J1912" s="23" t="n"/>
      <c r="K1912" s="17" t="n"/>
      <c r="L1912" s="17" t="n"/>
      <c r="M1912" s="17" t="n"/>
      <c r="N1912" s="17" t="n"/>
      <c r="O1912" s="26">
        <f>IF($D1912="","",IFERROR(VLOOKUP($D1912,物料档案!$A$4:$P$1203,10,0),0))</f>
        <v/>
      </c>
      <c r="P1912" s="32" t="n"/>
      <c r="Q1912" s="26">
        <f>IF($D1912="","",IF($K1912&lt;&gt;"对外销售",0,ROUND(N($J1912)*IF($P1912="",N($O1912),N($P1912)),0)))</f>
        <v/>
      </c>
      <c r="R1912" s="26">
        <f>IF($D1912="","",IFERROR(VLOOKUP($D1912,库存台账!$A$5:$Y$1204,11,0),0))</f>
        <v/>
      </c>
      <c r="S1912" s="26">
        <f>IF($D1912="","",ROUND(N($J1912)*N($R1912),0))</f>
        <v/>
      </c>
      <c r="T1912" s="26">
        <f>IF($D1912="","",IF($K1912&lt;&gt;"对外销售","",ROUND($Q1912-$S1912,0)))</f>
        <v/>
      </c>
      <c r="U1912" s="17" t="n"/>
      <c r="V1912" s="17" t="n"/>
      <c r="W1912" s="24">
        <f>IF($D1912="","",IF($E1912="※编码不在物料档案里","※物料编码不在档案里",IF(N($J1912)&lt;=0,"※出库数量要大于 0",IF($K1912="","※没填去向类型",IF($L1912="","※没填去向矿区",IF(AND($C1912&lt;&gt;"",$C1912&lt;=结账锁),"※日期早于已结账截止日，不能再录",IF(AND($K1912="自用消耗",COUNTIF({"一矿区";"二矿区"},$L1912)=0),"※自用消耗的去向只能是一矿区或二矿区",IF(AND($K1912="对外销售",COUNTIF({"三矿区";"六矿区"},$L1912)=0),"※对外销售的去向只能是三矿区或六矿区",IF(AND($K1912="对外销售",ROUND($Q1912,0)=0),"※外销却没有售价，请填实际售价",IF(AND($K1912="对外销售",$T1912&lt;&gt;"",$T1912&lt;0),"※这一笔外销是亏的，请核对售价",IF(IFERROR(VLOOKUP($D1912,库存台账!$A$5:$Y$1204,24,0),0)&lt;-0.001,"※这个物料账面已经变成负数了，查一下是不是漏记入库","")))))))))))</f>
        <v/>
      </c>
    </row>
    <row r="1913">
      <c r="A1913" s="24">
        <f>IF($D1913="","",COUNTA($D$4:$D1913))</f>
        <v/>
      </c>
      <c r="B1913" s="17" t="n"/>
      <c r="C1913" s="30" t="n"/>
      <c r="D1913" s="17" t="n"/>
      <c r="E1913" s="24">
        <f>IF($D1913="","",IFERROR(VLOOKUP($D1913,物料档案!$A$4:$P$1203,3,0),"※编码不在物料档案里"))</f>
        <v/>
      </c>
      <c r="F1913" s="24">
        <f>IF($D1913="","",IFERROR(VLOOKUP($D1913,物料档案!$A$4:$P$1203,4,0),"※编码不在物料档案里"))</f>
        <v/>
      </c>
      <c r="G1913" s="24">
        <f>IF($D1913="","",IFERROR(VLOOKUP($D1913,物料档案!$A$4:$P$1203,5,0),"※编码不在物料档案里"))</f>
        <v/>
      </c>
      <c r="H1913" s="24">
        <f>IF($D1913="","",IFERROR(VLOOKUP($D1913,物料档案!$A$4:$P$1203,2,0),"※编码不在物料档案里"))</f>
        <v/>
      </c>
      <c r="I1913" s="24">
        <f>IF($D1913="","",IFERROR(VLOOKUP($D1913,物料档案!$A$4:$P$1203,6,0),"※编码不在物料档案里"))</f>
        <v/>
      </c>
      <c r="J1913" s="23" t="n"/>
      <c r="K1913" s="17" t="n"/>
      <c r="L1913" s="17" t="n"/>
      <c r="M1913" s="17" t="n"/>
      <c r="N1913" s="17" t="n"/>
      <c r="O1913" s="26">
        <f>IF($D1913="","",IFERROR(VLOOKUP($D1913,物料档案!$A$4:$P$1203,10,0),0))</f>
        <v/>
      </c>
      <c r="P1913" s="32" t="n"/>
      <c r="Q1913" s="26">
        <f>IF($D1913="","",IF($K1913&lt;&gt;"对外销售",0,ROUND(N($J1913)*IF($P1913="",N($O1913),N($P1913)),0)))</f>
        <v/>
      </c>
      <c r="R1913" s="26">
        <f>IF($D1913="","",IFERROR(VLOOKUP($D1913,库存台账!$A$5:$Y$1204,11,0),0))</f>
        <v/>
      </c>
      <c r="S1913" s="26">
        <f>IF($D1913="","",ROUND(N($J1913)*N($R1913),0))</f>
        <v/>
      </c>
      <c r="T1913" s="26">
        <f>IF($D1913="","",IF($K1913&lt;&gt;"对外销售","",ROUND($Q1913-$S1913,0)))</f>
        <v/>
      </c>
      <c r="U1913" s="17" t="n"/>
      <c r="V1913" s="17" t="n"/>
      <c r="W1913" s="24">
        <f>IF($D1913="","",IF($E1913="※编码不在物料档案里","※物料编码不在档案里",IF(N($J1913)&lt;=0,"※出库数量要大于 0",IF($K1913="","※没填去向类型",IF($L1913="","※没填去向矿区",IF(AND($C1913&lt;&gt;"",$C1913&lt;=结账锁),"※日期早于已结账截止日，不能再录",IF(AND($K1913="自用消耗",COUNTIF({"一矿区";"二矿区"},$L1913)=0),"※自用消耗的去向只能是一矿区或二矿区",IF(AND($K1913="对外销售",COUNTIF({"三矿区";"六矿区"},$L1913)=0),"※对外销售的去向只能是三矿区或六矿区",IF(AND($K1913="对外销售",ROUND($Q1913,0)=0),"※外销却没有售价，请填实际售价",IF(AND($K1913="对外销售",$T1913&lt;&gt;"",$T1913&lt;0),"※这一笔外销是亏的，请核对售价",IF(IFERROR(VLOOKUP($D1913,库存台账!$A$5:$Y$1204,24,0),0)&lt;-0.001,"※这个物料账面已经变成负数了，查一下是不是漏记入库","")))))))))))</f>
        <v/>
      </c>
    </row>
    <row r="1914">
      <c r="A1914" s="24">
        <f>IF($D1914="","",COUNTA($D$4:$D1914))</f>
        <v/>
      </c>
      <c r="B1914" s="17" t="n"/>
      <c r="C1914" s="30" t="n"/>
      <c r="D1914" s="17" t="n"/>
      <c r="E1914" s="24">
        <f>IF($D1914="","",IFERROR(VLOOKUP($D1914,物料档案!$A$4:$P$1203,3,0),"※编码不在物料档案里"))</f>
        <v/>
      </c>
      <c r="F1914" s="24">
        <f>IF($D1914="","",IFERROR(VLOOKUP($D1914,物料档案!$A$4:$P$1203,4,0),"※编码不在物料档案里"))</f>
        <v/>
      </c>
      <c r="G1914" s="24">
        <f>IF($D1914="","",IFERROR(VLOOKUP($D1914,物料档案!$A$4:$P$1203,5,0),"※编码不在物料档案里"))</f>
        <v/>
      </c>
      <c r="H1914" s="24">
        <f>IF($D1914="","",IFERROR(VLOOKUP($D1914,物料档案!$A$4:$P$1203,2,0),"※编码不在物料档案里"))</f>
        <v/>
      </c>
      <c r="I1914" s="24">
        <f>IF($D1914="","",IFERROR(VLOOKUP($D1914,物料档案!$A$4:$P$1203,6,0),"※编码不在物料档案里"))</f>
        <v/>
      </c>
      <c r="J1914" s="23" t="n"/>
      <c r="K1914" s="17" t="n"/>
      <c r="L1914" s="17" t="n"/>
      <c r="M1914" s="17" t="n"/>
      <c r="N1914" s="17" t="n"/>
      <c r="O1914" s="26">
        <f>IF($D1914="","",IFERROR(VLOOKUP($D1914,物料档案!$A$4:$P$1203,10,0),0))</f>
        <v/>
      </c>
      <c r="P1914" s="32" t="n"/>
      <c r="Q1914" s="26">
        <f>IF($D1914="","",IF($K1914&lt;&gt;"对外销售",0,ROUND(N($J1914)*IF($P1914="",N($O1914),N($P1914)),0)))</f>
        <v/>
      </c>
      <c r="R1914" s="26">
        <f>IF($D1914="","",IFERROR(VLOOKUP($D1914,库存台账!$A$5:$Y$1204,11,0),0))</f>
        <v/>
      </c>
      <c r="S1914" s="26">
        <f>IF($D1914="","",ROUND(N($J1914)*N($R1914),0))</f>
        <v/>
      </c>
      <c r="T1914" s="26">
        <f>IF($D1914="","",IF($K1914&lt;&gt;"对外销售","",ROUND($Q1914-$S1914,0)))</f>
        <v/>
      </c>
      <c r="U1914" s="17" t="n"/>
      <c r="V1914" s="17" t="n"/>
      <c r="W1914" s="24">
        <f>IF($D1914="","",IF($E1914="※编码不在物料档案里","※物料编码不在档案里",IF(N($J1914)&lt;=0,"※出库数量要大于 0",IF($K1914="","※没填去向类型",IF($L1914="","※没填去向矿区",IF(AND($C1914&lt;&gt;"",$C1914&lt;=结账锁),"※日期早于已结账截止日，不能再录",IF(AND($K1914="自用消耗",COUNTIF({"一矿区";"二矿区"},$L1914)=0),"※自用消耗的去向只能是一矿区或二矿区",IF(AND($K1914="对外销售",COUNTIF({"三矿区";"六矿区"},$L1914)=0),"※对外销售的去向只能是三矿区或六矿区",IF(AND($K1914="对外销售",ROUND($Q1914,0)=0),"※外销却没有售价，请填实际售价",IF(AND($K1914="对外销售",$T1914&lt;&gt;"",$T1914&lt;0),"※这一笔外销是亏的，请核对售价",IF(IFERROR(VLOOKUP($D1914,库存台账!$A$5:$Y$1204,24,0),0)&lt;-0.001,"※这个物料账面已经变成负数了，查一下是不是漏记入库","")))))))))))</f>
        <v/>
      </c>
    </row>
    <row r="1915">
      <c r="A1915" s="24">
        <f>IF($D1915="","",COUNTA($D$4:$D1915))</f>
        <v/>
      </c>
      <c r="B1915" s="17" t="n"/>
      <c r="C1915" s="30" t="n"/>
      <c r="D1915" s="17" t="n"/>
      <c r="E1915" s="24">
        <f>IF($D1915="","",IFERROR(VLOOKUP($D1915,物料档案!$A$4:$P$1203,3,0),"※编码不在物料档案里"))</f>
        <v/>
      </c>
      <c r="F1915" s="24">
        <f>IF($D1915="","",IFERROR(VLOOKUP($D1915,物料档案!$A$4:$P$1203,4,0),"※编码不在物料档案里"))</f>
        <v/>
      </c>
      <c r="G1915" s="24">
        <f>IF($D1915="","",IFERROR(VLOOKUP($D1915,物料档案!$A$4:$P$1203,5,0),"※编码不在物料档案里"))</f>
        <v/>
      </c>
      <c r="H1915" s="24">
        <f>IF($D1915="","",IFERROR(VLOOKUP($D1915,物料档案!$A$4:$P$1203,2,0),"※编码不在物料档案里"))</f>
        <v/>
      </c>
      <c r="I1915" s="24">
        <f>IF($D1915="","",IFERROR(VLOOKUP($D1915,物料档案!$A$4:$P$1203,6,0),"※编码不在物料档案里"))</f>
        <v/>
      </c>
      <c r="J1915" s="23" t="n"/>
      <c r="K1915" s="17" t="n"/>
      <c r="L1915" s="17" t="n"/>
      <c r="M1915" s="17" t="n"/>
      <c r="N1915" s="17" t="n"/>
      <c r="O1915" s="26">
        <f>IF($D1915="","",IFERROR(VLOOKUP($D1915,物料档案!$A$4:$P$1203,10,0),0))</f>
        <v/>
      </c>
      <c r="P1915" s="32" t="n"/>
      <c r="Q1915" s="26">
        <f>IF($D1915="","",IF($K1915&lt;&gt;"对外销售",0,ROUND(N($J1915)*IF($P1915="",N($O1915),N($P1915)),0)))</f>
        <v/>
      </c>
      <c r="R1915" s="26">
        <f>IF($D1915="","",IFERROR(VLOOKUP($D1915,库存台账!$A$5:$Y$1204,11,0),0))</f>
        <v/>
      </c>
      <c r="S1915" s="26">
        <f>IF($D1915="","",ROUND(N($J1915)*N($R1915),0))</f>
        <v/>
      </c>
      <c r="T1915" s="26">
        <f>IF($D1915="","",IF($K1915&lt;&gt;"对外销售","",ROUND($Q1915-$S1915,0)))</f>
        <v/>
      </c>
      <c r="U1915" s="17" t="n"/>
      <c r="V1915" s="17" t="n"/>
      <c r="W1915" s="24">
        <f>IF($D1915="","",IF($E1915="※编码不在物料档案里","※物料编码不在档案里",IF(N($J1915)&lt;=0,"※出库数量要大于 0",IF($K1915="","※没填去向类型",IF($L1915="","※没填去向矿区",IF(AND($C1915&lt;&gt;"",$C1915&lt;=结账锁),"※日期早于已结账截止日，不能再录",IF(AND($K1915="自用消耗",COUNTIF({"一矿区";"二矿区"},$L1915)=0),"※自用消耗的去向只能是一矿区或二矿区",IF(AND($K1915="对外销售",COUNTIF({"三矿区";"六矿区"},$L1915)=0),"※对外销售的去向只能是三矿区或六矿区",IF(AND($K1915="对外销售",ROUND($Q1915,0)=0),"※外销却没有售价，请填实际售价",IF(AND($K1915="对外销售",$T1915&lt;&gt;"",$T1915&lt;0),"※这一笔外销是亏的，请核对售价",IF(IFERROR(VLOOKUP($D1915,库存台账!$A$5:$Y$1204,24,0),0)&lt;-0.001,"※这个物料账面已经变成负数了，查一下是不是漏记入库","")))))))))))</f>
        <v/>
      </c>
    </row>
    <row r="1916">
      <c r="A1916" s="24">
        <f>IF($D1916="","",COUNTA($D$4:$D1916))</f>
        <v/>
      </c>
      <c r="B1916" s="17" t="n"/>
      <c r="C1916" s="30" t="n"/>
      <c r="D1916" s="17" t="n"/>
      <c r="E1916" s="24">
        <f>IF($D1916="","",IFERROR(VLOOKUP($D1916,物料档案!$A$4:$P$1203,3,0),"※编码不在物料档案里"))</f>
        <v/>
      </c>
      <c r="F1916" s="24">
        <f>IF($D1916="","",IFERROR(VLOOKUP($D1916,物料档案!$A$4:$P$1203,4,0),"※编码不在物料档案里"))</f>
        <v/>
      </c>
      <c r="G1916" s="24">
        <f>IF($D1916="","",IFERROR(VLOOKUP($D1916,物料档案!$A$4:$P$1203,5,0),"※编码不在物料档案里"))</f>
        <v/>
      </c>
      <c r="H1916" s="24">
        <f>IF($D1916="","",IFERROR(VLOOKUP($D1916,物料档案!$A$4:$P$1203,2,0),"※编码不在物料档案里"))</f>
        <v/>
      </c>
      <c r="I1916" s="24">
        <f>IF($D1916="","",IFERROR(VLOOKUP($D1916,物料档案!$A$4:$P$1203,6,0),"※编码不在物料档案里"))</f>
        <v/>
      </c>
      <c r="J1916" s="23" t="n"/>
      <c r="K1916" s="17" t="n"/>
      <c r="L1916" s="17" t="n"/>
      <c r="M1916" s="17" t="n"/>
      <c r="N1916" s="17" t="n"/>
      <c r="O1916" s="26">
        <f>IF($D1916="","",IFERROR(VLOOKUP($D1916,物料档案!$A$4:$P$1203,10,0),0))</f>
        <v/>
      </c>
      <c r="P1916" s="32" t="n"/>
      <c r="Q1916" s="26">
        <f>IF($D1916="","",IF($K1916&lt;&gt;"对外销售",0,ROUND(N($J1916)*IF($P1916="",N($O1916),N($P1916)),0)))</f>
        <v/>
      </c>
      <c r="R1916" s="26">
        <f>IF($D1916="","",IFERROR(VLOOKUP($D1916,库存台账!$A$5:$Y$1204,11,0),0))</f>
        <v/>
      </c>
      <c r="S1916" s="26">
        <f>IF($D1916="","",ROUND(N($J1916)*N($R1916),0))</f>
        <v/>
      </c>
      <c r="T1916" s="26">
        <f>IF($D1916="","",IF($K1916&lt;&gt;"对外销售","",ROUND($Q1916-$S1916,0)))</f>
        <v/>
      </c>
      <c r="U1916" s="17" t="n"/>
      <c r="V1916" s="17" t="n"/>
      <c r="W1916" s="24">
        <f>IF($D1916="","",IF($E1916="※编码不在物料档案里","※物料编码不在档案里",IF(N($J1916)&lt;=0,"※出库数量要大于 0",IF($K1916="","※没填去向类型",IF($L1916="","※没填去向矿区",IF(AND($C1916&lt;&gt;"",$C1916&lt;=结账锁),"※日期早于已结账截止日，不能再录",IF(AND($K1916="自用消耗",COUNTIF({"一矿区";"二矿区"},$L1916)=0),"※自用消耗的去向只能是一矿区或二矿区",IF(AND($K1916="对外销售",COUNTIF({"三矿区";"六矿区"},$L1916)=0),"※对外销售的去向只能是三矿区或六矿区",IF(AND($K1916="对外销售",ROUND($Q1916,0)=0),"※外销却没有售价，请填实际售价",IF(AND($K1916="对外销售",$T1916&lt;&gt;"",$T1916&lt;0),"※这一笔外销是亏的，请核对售价",IF(IFERROR(VLOOKUP($D1916,库存台账!$A$5:$Y$1204,24,0),0)&lt;-0.001,"※这个物料账面已经变成负数了，查一下是不是漏记入库","")))))))))))</f>
        <v/>
      </c>
    </row>
    <row r="1917">
      <c r="A1917" s="24">
        <f>IF($D1917="","",COUNTA($D$4:$D1917))</f>
        <v/>
      </c>
      <c r="B1917" s="17" t="n"/>
      <c r="C1917" s="30" t="n"/>
      <c r="D1917" s="17" t="n"/>
      <c r="E1917" s="24">
        <f>IF($D1917="","",IFERROR(VLOOKUP($D1917,物料档案!$A$4:$P$1203,3,0),"※编码不在物料档案里"))</f>
        <v/>
      </c>
      <c r="F1917" s="24">
        <f>IF($D1917="","",IFERROR(VLOOKUP($D1917,物料档案!$A$4:$P$1203,4,0),"※编码不在物料档案里"))</f>
        <v/>
      </c>
      <c r="G1917" s="24">
        <f>IF($D1917="","",IFERROR(VLOOKUP($D1917,物料档案!$A$4:$P$1203,5,0),"※编码不在物料档案里"))</f>
        <v/>
      </c>
      <c r="H1917" s="24">
        <f>IF($D1917="","",IFERROR(VLOOKUP($D1917,物料档案!$A$4:$P$1203,2,0),"※编码不在物料档案里"))</f>
        <v/>
      </c>
      <c r="I1917" s="24">
        <f>IF($D1917="","",IFERROR(VLOOKUP($D1917,物料档案!$A$4:$P$1203,6,0),"※编码不在物料档案里"))</f>
        <v/>
      </c>
      <c r="J1917" s="23" t="n"/>
      <c r="K1917" s="17" t="n"/>
      <c r="L1917" s="17" t="n"/>
      <c r="M1917" s="17" t="n"/>
      <c r="N1917" s="17" t="n"/>
      <c r="O1917" s="26">
        <f>IF($D1917="","",IFERROR(VLOOKUP($D1917,物料档案!$A$4:$P$1203,10,0),0))</f>
        <v/>
      </c>
      <c r="P1917" s="32" t="n"/>
      <c r="Q1917" s="26">
        <f>IF($D1917="","",IF($K1917&lt;&gt;"对外销售",0,ROUND(N($J1917)*IF($P1917="",N($O1917),N($P1917)),0)))</f>
        <v/>
      </c>
      <c r="R1917" s="26">
        <f>IF($D1917="","",IFERROR(VLOOKUP($D1917,库存台账!$A$5:$Y$1204,11,0),0))</f>
        <v/>
      </c>
      <c r="S1917" s="26">
        <f>IF($D1917="","",ROUND(N($J1917)*N($R1917),0))</f>
        <v/>
      </c>
      <c r="T1917" s="26">
        <f>IF($D1917="","",IF($K1917&lt;&gt;"对外销售","",ROUND($Q1917-$S1917,0)))</f>
        <v/>
      </c>
      <c r="U1917" s="17" t="n"/>
      <c r="V1917" s="17" t="n"/>
      <c r="W1917" s="24">
        <f>IF($D1917="","",IF($E1917="※编码不在物料档案里","※物料编码不在档案里",IF(N($J1917)&lt;=0,"※出库数量要大于 0",IF($K1917="","※没填去向类型",IF($L1917="","※没填去向矿区",IF(AND($C1917&lt;&gt;"",$C1917&lt;=结账锁),"※日期早于已结账截止日，不能再录",IF(AND($K1917="自用消耗",COUNTIF({"一矿区";"二矿区"},$L1917)=0),"※自用消耗的去向只能是一矿区或二矿区",IF(AND($K1917="对外销售",COUNTIF({"三矿区";"六矿区"},$L1917)=0),"※对外销售的去向只能是三矿区或六矿区",IF(AND($K1917="对外销售",ROUND($Q1917,0)=0),"※外销却没有售价，请填实际售价",IF(AND($K1917="对外销售",$T1917&lt;&gt;"",$T1917&lt;0),"※这一笔外销是亏的，请核对售价",IF(IFERROR(VLOOKUP($D1917,库存台账!$A$5:$Y$1204,24,0),0)&lt;-0.001,"※这个物料账面已经变成负数了，查一下是不是漏记入库","")))))))))))</f>
        <v/>
      </c>
    </row>
    <row r="1918">
      <c r="A1918" s="24">
        <f>IF($D1918="","",COUNTA($D$4:$D1918))</f>
        <v/>
      </c>
      <c r="B1918" s="17" t="n"/>
      <c r="C1918" s="30" t="n"/>
      <c r="D1918" s="17" t="n"/>
      <c r="E1918" s="24">
        <f>IF($D1918="","",IFERROR(VLOOKUP($D1918,物料档案!$A$4:$P$1203,3,0),"※编码不在物料档案里"))</f>
        <v/>
      </c>
      <c r="F1918" s="24">
        <f>IF($D1918="","",IFERROR(VLOOKUP($D1918,物料档案!$A$4:$P$1203,4,0),"※编码不在物料档案里"))</f>
        <v/>
      </c>
      <c r="G1918" s="24">
        <f>IF($D1918="","",IFERROR(VLOOKUP($D1918,物料档案!$A$4:$P$1203,5,0),"※编码不在物料档案里"))</f>
        <v/>
      </c>
      <c r="H1918" s="24">
        <f>IF($D1918="","",IFERROR(VLOOKUP($D1918,物料档案!$A$4:$P$1203,2,0),"※编码不在物料档案里"))</f>
        <v/>
      </c>
      <c r="I1918" s="24">
        <f>IF($D1918="","",IFERROR(VLOOKUP($D1918,物料档案!$A$4:$P$1203,6,0),"※编码不在物料档案里"))</f>
        <v/>
      </c>
      <c r="J1918" s="23" t="n"/>
      <c r="K1918" s="17" t="n"/>
      <c r="L1918" s="17" t="n"/>
      <c r="M1918" s="17" t="n"/>
      <c r="N1918" s="17" t="n"/>
      <c r="O1918" s="26">
        <f>IF($D1918="","",IFERROR(VLOOKUP($D1918,物料档案!$A$4:$P$1203,10,0),0))</f>
        <v/>
      </c>
      <c r="P1918" s="32" t="n"/>
      <c r="Q1918" s="26">
        <f>IF($D1918="","",IF($K1918&lt;&gt;"对外销售",0,ROUND(N($J1918)*IF($P1918="",N($O1918),N($P1918)),0)))</f>
        <v/>
      </c>
      <c r="R1918" s="26">
        <f>IF($D1918="","",IFERROR(VLOOKUP($D1918,库存台账!$A$5:$Y$1204,11,0),0))</f>
        <v/>
      </c>
      <c r="S1918" s="26">
        <f>IF($D1918="","",ROUND(N($J1918)*N($R1918),0))</f>
        <v/>
      </c>
      <c r="T1918" s="26">
        <f>IF($D1918="","",IF($K1918&lt;&gt;"对外销售","",ROUND($Q1918-$S1918,0)))</f>
        <v/>
      </c>
      <c r="U1918" s="17" t="n"/>
      <c r="V1918" s="17" t="n"/>
      <c r="W1918" s="24">
        <f>IF($D1918="","",IF($E1918="※编码不在物料档案里","※物料编码不在档案里",IF(N($J1918)&lt;=0,"※出库数量要大于 0",IF($K1918="","※没填去向类型",IF($L1918="","※没填去向矿区",IF(AND($C1918&lt;&gt;"",$C1918&lt;=结账锁),"※日期早于已结账截止日，不能再录",IF(AND($K1918="自用消耗",COUNTIF({"一矿区";"二矿区"},$L1918)=0),"※自用消耗的去向只能是一矿区或二矿区",IF(AND($K1918="对外销售",COUNTIF({"三矿区";"六矿区"},$L1918)=0),"※对外销售的去向只能是三矿区或六矿区",IF(AND($K1918="对外销售",ROUND($Q1918,0)=0),"※外销却没有售价，请填实际售价",IF(AND($K1918="对外销售",$T1918&lt;&gt;"",$T1918&lt;0),"※这一笔外销是亏的，请核对售价",IF(IFERROR(VLOOKUP($D1918,库存台账!$A$5:$Y$1204,24,0),0)&lt;-0.001,"※这个物料账面已经变成负数了，查一下是不是漏记入库","")))))))))))</f>
        <v/>
      </c>
    </row>
    <row r="1919">
      <c r="A1919" s="24">
        <f>IF($D1919="","",COUNTA($D$4:$D1919))</f>
        <v/>
      </c>
      <c r="B1919" s="17" t="n"/>
      <c r="C1919" s="30" t="n"/>
      <c r="D1919" s="17" t="n"/>
      <c r="E1919" s="24">
        <f>IF($D1919="","",IFERROR(VLOOKUP($D1919,物料档案!$A$4:$P$1203,3,0),"※编码不在物料档案里"))</f>
        <v/>
      </c>
      <c r="F1919" s="24">
        <f>IF($D1919="","",IFERROR(VLOOKUP($D1919,物料档案!$A$4:$P$1203,4,0),"※编码不在物料档案里"))</f>
        <v/>
      </c>
      <c r="G1919" s="24">
        <f>IF($D1919="","",IFERROR(VLOOKUP($D1919,物料档案!$A$4:$P$1203,5,0),"※编码不在物料档案里"))</f>
        <v/>
      </c>
      <c r="H1919" s="24">
        <f>IF($D1919="","",IFERROR(VLOOKUP($D1919,物料档案!$A$4:$P$1203,2,0),"※编码不在物料档案里"))</f>
        <v/>
      </c>
      <c r="I1919" s="24">
        <f>IF($D1919="","",IFERROR(VLOOKUP($D1919,物料档案!$A$4:$P$1203,6,0),"※编码不在物料档案里"))</f>
        <v/>
      </c>
      <c r="J1919" s="23" t="n"/>
      <c r="K1919" s="17" t="n"/>
      <c r="L1919" s="17" t="n"/>
      <c r="M1919" s="17" t="n"/>
      <c r="N1919" s="17" t="n"/>
      <c r="O1919" s="26">
        <f>IF($D1919="","",IFERROR(VLOOKUP($D1919,物料档案!$A$4:$P$1203,10,0),0))</f>
        <v/>
      </c>
      <c r="P1919" s="32" t="n"/>
      <c r="Q1919" s="26">
        <f>IF($D1919="","",IF($K1919&lt;&gt;"对外销售",0,ROUND(N($J1919)*IF($P1919="",N($O1919),N($P1919)),0)))</f>
        <v/>
      </c>
      <c r="R1919" s="26">
        <f>IF($D1919="","",IFERROR(VLOOKUP($D1919,库存台账!$A$5:$Y$1204,11,0),0))</f>
        <v/>
      </c>
      <c r="S1919" s="26">
        <f>IF($D1919="","",ROUND(N($J1919)*N($R1919),0))</f>
        <v/>
      </c>
      <c r="T1919" s="26">
        <f>IF($D1919="","",IF($K1919&lt;&gt;"对外销售","",ROUND($Q1919-$S1919,0)))</f>
        <v/>
      </c>
      <c r="U1919" s="17" t="n"/>
      <c r="V1919" s="17" t="n"/>
      <c r="W1919" s="24">
        <f>IF($D1919="","",IF($E1919="※编码不在物料档案里","※物料编码不在档案里",IF(N($J1919)&lt;=0,"※出库数量要大于 0",IF($K1919="","※没填去向类型",IF($L1919="","※没填去向矿区",IF(AND($C1919&lt;&gt;"",$C1919&lt;=结账锁),"※日期早于已结账截止日，不能再录",IF(AND($K1919="自用消耗",COUNTIF({"一矿区";"二矿区"},$L1919)=0),"※自用消耗的去向只能是一矿区或二矿区",IF(AND($K1919="对外销售",COUNTIF({"三矿区";"六矿区"},$L1919)=0),"※对外销售的去向只能是三矿区或六矿区",IF(AND($K1919="对外销售",ROUND($Q1919,0)=0),"※外销却没有售价，请填实际售价",IF(AND($K1919="对外销售",$T1919&lt;&gt;"",$T1919&lt;0),"※这一笔外销是亏的，请核对售价",IF(IFERROR(VLOOKUP($D1919,库存台账!$A$5:$Y$1204,24,0),0)&lt;-0.001,"※这个物料账面已经变成负数了，查一下是不是漏记入库","")))))))))))</f>
        <v/>
      </c>
    </row>
    <row r="1920">
      <c r="A1920" s="24">
        <f>IF($D1920="","",COUNTA($D$4:$D1920))</f>
        <v/>
      </c>
      <c r="B1920" s="17" t="n"/>
      <c r="C1920" s="30" t="n"/>
      <c r="D1920" s="17" t="n"/>
      <c r="E1920" s="24">
        <f>IF($D1920="","",IFERROR(VLOOKUP($D1920,物料档案!$A$4:$P$1203,3,0),"※编码不在物料档案里"))</f>
        <v/>
      </c>
      <c r="F1920" s="24">
        <f>IF($D1920="","",IFERROR(VLOOKUP($D1920,物料档案!$A$4:$P$1203,4,0),"※编码不在物料档案里"))</f>
        <v/>
      </c>
      <c r="G1920" s="24">
        <f>IF($D1920="","",IFERROR(VLOOKUP($D1920,物料档案!$A$4:$P$1203,5,0),"※编码不在物料档案里"))</f>
        <v/>
      </c>
      <c r="H1920" s="24">
        <f>IF($D1920="","",IFERROR(VLOOKUP($D1920,物料档案!$A$4:$P$1203,2,0),"※编码不在物料档案里"))</f>
        <v/>
      </c>
      <c r="I1920" s="24">
        <f>IF($D1920="","",IFERROR(VLOOKUP($D1920,物料档案!$A$4:$P$1203,6,0),"※编码不在物料档案里"))</f>
        <v/>
      </c>
      <c r="J1920" s="23" t="n"/>
      <c r="K1920" s="17" t="n"/>
      <c r="L1920" s="17" t="n"/>
      <c r="M1920" s="17" t="n"/>
      <c r="N1920" s="17" t="n"/>
      <c r="O1920" s="26">
        <f>IF($D1920="","",IFERROR(VLOOKUP($D1920,物料档案!$A$4:$P$1203,10,0),0))</f>
        <v/>
      </c>
      <c r="P1920" s="32" t="n"/>
      <c r="Q1920" s="26">
        <f>IF($D1920="","",IF($K1920&lt;&gt;"对外销售",0,ROUND(N($J1920)*IF($P1920="",N($O1920),N($P1920)),0)))</f>
        <v/>
      </c>
      <c r="R1920" s="26">
        <f>IF($D1920="","",IFERROR(VLOOKUP($D1920,库存台账!$A$5:$Y$1204,11,0),0))</f>
        <v/>
      </c>
      <c r="S1920" s="26">
        <f>IF($D1920="","",ROUND(N($J1920)*N($R1920),0))</f>
        <v/>
      </c>
      <c r="T1920" s="26">
        <f>IF($D1920="","",IF($K1920&lt;&gt;"对外销售","",ROUND($Q1920-$S1920,0)))</f>
        <v/>
      </c>
      <c r="U1920" s="17" t="n"/>
      <c r="V1920" s="17" t="n"/>
      <c r="W1920" s="24">
        <f>IF($D1920="","",IF($E1920="※编码不在物料档案里","※物料编码不在档案里",IF(N($J1920)&lt;=0,"※出库数量要大于 0",IF($K1920="","※没填去向类型",IF($L1920="","※没填去向矿区",IF(AND($C1920&lt;&gt;"",$C1920&lt;=结账锁),"※日期早于已结账截止日，不能再录",IF(AND($K1920="自用消耗",COUNTIF({"一矿区";"二矿区"},$L1920)=0),"※自用消耗的去向只能是一矿区或二矿区",IF(AND($K1920="对外销售",COUNTIF({"三矿区";"六矿区"},$L1920)=0),"※对外销售的去向只能是三矿区或六矿区",IF(AND($K1920="对外销售",ROUND($Q1920,0)=0),"※外销却没有售价，请填实际售价",IF(AND($K1920="对外销售",$T1920&lt;&gt;"",$T1920&lt;0),"※这一笔外销是亏的，请核对售价",IF(IFERROR(VLOOKUP($D1920,库存台账!$A$5:$Y$1204,24,0),0)&lt;-0.001,"※这个物料账面已经变成负数了，查一下是不是漏记入库","")))))))))))</f>
        <v/>
      </c>
    </row>
    <row r="1921">
      <c r="A1921" s="24">
        <f>IF($D1921="","",COUNTA($D$4:$D1921))</f>
        <v/>
      </c>
      <c r="B1921" s="17" t="n"/>
      <c r="C1921" s="30" t="n"/>
      <c r="D1921" s="17" t="n"/>
      <c r="E1921" s="24">
        <f>IF($D1921="","",IFERROR(VLOOKUP($D1921,物料档案!$A$4:$P$1203,3,0),"※编码不在物料档案里"))</f>
        <v/>
      </c>
      <c r="F1921" s="24">
        <f>IF($D1921="","",IFERROR(VLOOKUP($D1921,物料档案!$A$4:$P$1203,4,0),"※编码不在物料档案里"))</f>
        <v/>
      </c>
      <c r="G1921" s="24">
        <f>IF($D1921="","",IFERROR(VLOOKUP($D1921,物料档案!$A$4:$P$1203,5,0),"※编码不在物料档案里"))</f>
        <v/>
      </c>
      <c r="H1921" s="24">
        <f>IF($D1921="","",IFERROR(VLOOKUP($D1921,物料档案!$A$4:$P$1203,2,0),"※编码不在物料档案里"))</f>
        <v/>
      </c>
      <c r="I1921" s="24">
        <f>IF($D1921="","",IFERROR(VLOOKUP($D1921,物料档案!$A$4:$P$1203,6,0),"※编码不在物料档案里"))</f>
        <v/>
      </c>
      <c r="J1921" s="23" t="n"/>
      <c r="K1921" s="17" t="n"/>
      <c r="L1921" s="17" t="n"/>
      <c r="M1921" s="17" t="n"/>
      <c r="N1921" s="17" t="n"/>
      <c r="O1921" s="26">
        <f>IF($D1921="","",IFERROR(VLOOKUP($D1921,物料档案!$A$4:$P$1203,10,0),0))</f>
        <v/>
      </c>
      <c r="P1921" s="32" t="n"/>
      <c r="Q1921" s="26">
        <f>IF($D1921="","",IF($K1921&lt;&gt;"对外销售",0,ROUND(N($J1921)*IF($P1921="",N($O1921),N($P1921)),0)))</f>
        <v/>
      </c>
      <c r="R1921" s="26">
        <f>IF($D1921="","",IFERROR(VLOOKUP($D1921,库存台账!$A$5:$Y$1204,11,0),0))</f>
        <v/>
      </c>
      <c r="S1921" s="26">
        <f>IF($D1921="","",ROUND(N($J1921)*N($R1921),0))</f>
        <v/>
      </c>
      <c r="T1921" s="26">
        <f>IF($D1921="","",IF($K1921&lt;&gt;"对外销售","",ROUND($Q1921-$S1921,0)))</f>
        <v/>
      </c>
      <c r="U1921" s="17" t="n"/>
      <c r="V1921" s="17" t="n"/>
      <c r="W1921" s="24">
        <f>IF($D1921="","",IF($E1921="※编码不在物料档案里","※物料编码不在档案里",IF(N($J1921)&lt;=0,"※出库数量要大于 0",IF($K1921="","※没填去向类型",IF($L1921="","※没填去向矿区",IF(AND($C1921&lt;&gt;"",$C1921&lt;=结账锁),"※日期早于已结账截止日，不能再录",IF(AND($K1921="自用消耗",COUNTIF({"一矿区";"二矿区"},$L1921)=0),"※自用消耗的去向只能是一矿区或二矿区",IF(AND($K1921="对外销售",COUNTIF({"三矿区";"六矿区"},$L1921)=0),"※对外销售的去向只能是三矿区或六矿区",IF(AND($K1921="对外销售",ROUND($Q1921,0)=0),"※外销却没有售价，请填实际售价",IF(AND($K1921="对外销售",$T1921&lt;&gt;"",$T1921&lt;0),"※这一笔外销是亏的，请核对售价",IF(IFERROR(VLOOKUP($D1921,库存台账!$A$5:$Y$1204,24,0),0)&lt;-0.001,"※这个物料账面已经变成负数了，查一下是不是漏记入库","")))))))))))</f>
        <v/>
      </c>
    </row>
    <row r="1922">
      <c r="A1922" s="24">
        <f>IF($D1922="","",COUNTA($D$4:$D1922))</f>
        <v/>
      </c>
      <c r="B1922" s="17" t="n"/>
      <c r="C1922" s="30" t="n"/>
      <c r="D1922" s="17" t="n"/>
      <c r="E1922" s="24">
        <f>IF($D1922="","",IFERROR(VLOOKUP($D1922,物料档案!$A$4:$P$1203,3,0),"※编码不在物料档案里"))</f>
        <v/>
      </c>
      <c r="F1922" s="24">
        <f>IF($D1922="","",IFERROR(VLOOKUP($D1922,物料档案!$A$4:$P$1203,4,0),"※编码不在物料档案里"))</f>
        <v/>
      </c>
      <c r="G1922" s="24">
        <f>IF($D1922="","",IFERROR(VLOOKUP($D1922,物料档案!$A$4:$P$1203,5,0),"※编码不在物料档案里"))</f>
        <v/>
      </c>
      <c r="H1922" s="24">
        <f>IF($D1922="","",IFERROR(VLOOKUP($D1922,物料档案!$A$4:$P$1203,2,0),"※编码不在物料档案里"))</f>
        <v/>
      </c>
      <c r="I1922" s="24">
        <f>IF($D1922="","",IFERROR(VLOOKUP($D1922,物料档案!$A$4:$P$1203,6,0),"※编码不在物料档案里"))</f>
        <v/>
      </c>
      <c r="J1922" s="23" t="n"/>
      <c r="K1922" s="17" t="n"/>
      <c r="L1922" s="17" t="n"/>
      <c r="M1922" s="17" t="n"/>
      <c r="N1922" s="17" t="n"/>
      <c r="O1922" s="26">
        <f>IF($D1922="","",IFERROR(VLOOKUP($D1922,物料档案!$A$4:$P$1203,10,0),0))</f>
        <v/>
      </c>
      <c r="P1922" s="32" t="n"/>
      <c r="Q1922" s="26">
        <f>IF($D1922="","",IF($K1922&lt;&gt;"对外销售",0,ROUND(N($J1922)*IF($P1922="",N($O1922),N($P1922)),0)))</f>
        <v/>
      </c>
      <c r="R1922" s="26">
        <f>IF($D1922="","",IFERROR(VLOOKUP($D1922,库存台账!$A$5:$Y$1204,11,0),0))</f>
        <v/>
      </c>
      <c r="S1922" s="26">
        <f>IF($D1922="","",ROUND(N($J1922)*N($R1922),0))</f>
        <v/>
      </c>
      <c r="T1922" s="26">
        <f>IF($D1922="","",IF($K1922&lt;&gt;"对外销售","",ROUND($Q1922-$S1922,0)))</f>
        <v/>
      </c>
      <c r="U1922" s="17" t="n"/>
      <c r="V1922" s="17" t="n"/>
      <c r="W1922" s="24">
        <f>IF($D1922="","",IF($E1922="※编码不在物料档案里","※物料编码不在档案里",IF(N($J1922)&lt;=0,"※出库数量要大于 0",IF($K1922="","※没填去向类型",IF($L1922="","※没填去向矿区",IF(AND($C1922&lt;&gt;"",$C1922&lt;=结账锁),"※日期早于已结账截止日，不能再录",IF(AND($K1922="自用消耗",COUNTIF({"一矿区";"二矿区"},$L1922)=0),"※自用消耗的去向只能是一矿区或二矿区",IF(AND($K1922="对外销售",COUNTIF({"三矿区";"六矿区"},$L1922)=0),"※对外销售的去向只能是三矿区或六矿区",IF(AND($K1922="对外销售",ROUND($Q1922,0)=0),"※外销却没有售价，请填实际售价",IF(AND($K1922="对外销售",$T1922&lt;&gt;"",$T1922&lt;0),"※这一笔外销是亏的，请核对售价",IF(IFERROR(VLOOKUP($D1922,库存台账!$A$5:$Y$1204,24,0),0)&lt;-0.001,"※这个物料账面已经变成负数了，查一下是不是漏记入库","")))))))))))</f>
        <v/>
      </c>
    </row>
    <row r="1923">
      <c r="A1923" s="24">
        <f>IF($D1923="","",COUNTA($D$4:$D1923))</f>
        <v/>
      </c>
      <c r="B1923" s="17" t="n"/>
      <c r="C1923" s="30" t="n"/>
      <c r="D1923" s="17" t="n"/>
      <c r="E1923" s="24">
        <f>IF($D1923="","",IFERROR(VLOOKUP($D1923,物料档案!$A$4:$P$1203,3,0),"※编码不在物料档案里"))</f>
        <v/>
      </c>
      <c r="F1923" s="24">
        <f>IF($D1923="","",IFERROR(VLOOKUP($D1923,物料档案!$A$4:$P$1203,4,0),"※编码不在物料档案里"))</f>
        <v/>
      </c>
      <c r="G1923" s="24">
        <f>IF($D1923="","",IFERROR(VLOOKUP($D1923,物料档案!$A$4:$P$1203,5,0),"※编码不在物料档案里"))</f>
        <v/>
      </c>
      <c r="H1923" s="24">
        <f>IF($D1923="","",IFERROR(VLOOKUP($D1923,物料档案!$A$4:$P$1203,2,0),"※编码不在物料档案里"))</f>
        <v/>
      </c>
      <c r="I1923" s="24">
        <f>IF($D1923="","",IFERROR(VLOOKUP($D1923,物料档案!$A$4:$P$1203,6,0),"※编码不在物料档案里"))</f>
        <v/>
      </c>
      <c r="J1923" s="23" t="n"/>
      <c r="K1923" s="17" t="n"/>
      <c r="L1923" s="17" t="n"/>
      <c r="M1923" s="17" t="n"/>
      <c r="N1923" s="17" t="n"/>
      <c r="O1923" s="26">
        <f>IF($D1923="","",IFERROR(VLOOKUP($D1923,物料档案!$A$4:$P$1203,10,0),0))</f>
        <v/>
      </c>
      <c r="P1923" s="32" t="n"/>
      <c r="Q1923" s="26">
        <f>IF($D1923="","",IF($K1923&lt;&gt;"对外销售",0,ROUND(N($J1923)*IF($P1923="",N($O1923),N($P1923)),0)))</f>
        <v/>
      </c>
      <c r="R1923" s="26">
        <f>IF($D1923="","",IFERROR(VLOOKUP($D1923,库存台账!$A$5:$Y$1204,11,0),0))</f>
        <v/>
      </c>
      <c r="S1923" s="26">
        <f>IF($D1923="","",ROUND(N($J1923)*N($R1923),0))</f>
        <v/>
      </c>
      <c r="T1923" s="26">
        <f>IF($D1923="","",IF($K1923&lt;&gt;"对外销售","",ROUND($Q1923-$S1923,0)))</f>
        <v/>
      </c>
      <c r="U1923" s="17" t="n"/>
      <c r="V1923" s="17" t="n"/>
      <c r="W1923" s="24">
        <f>IF($D1923="","",IF($E1923="※编码不在物料档案里","※物料编码不在档案里",IF(N($J1923)&lt;=0,"※出库数量要大于 0",IF($K1923="","※没填去向类型",IF($L1923="","※没填去向矿区",IF(AND($C1923&lt;&gt;"",$C1923&lt;=结账锁),"※日期早于已结账截止日，不能再录",IF(AND($K1923="自用消耗",COUNTIF({"一矿区";"二矿区"},$L1923)=0),"※自用消耗的去向只能是一矿区或二矿区",IF(AND($K1923="对外销售",COUNTIF({"三矿区";"六矿区"},$L1923)=0),"※对外销售的去向只能是三矿区或六矿区",IF(AND($K1923="对外销售",ROUND($Q1923,0)=0),"※外销却没有售价，请填实际售价",IF(AND($K1923="对外销售",$T1923&lt;&gt;"",$T1923&lt;0),"※这一笔外销是亏的，请核对售价",IF(IFERROR(VLOOKUP($D1923,库存台账!$A$5:$Y$1204,24,0),0)&lt;-0.001,"※这个物料账面已经变成负数了，查一下是不是漏记入库","")))))))))))</f>
        <v/>
      </c>
    </row>
    <row r="1924">
      <c r="A1924" s="24">
        <f>IF($D1924="","",COUNTA($D$4:$D1924))</f>
        <v/>
      </c>
      <c r="B1924" s="17" t="n"/>
      <c r="C1924" s="30" t="n"/>
      <c r="D1924" s="17" t="n"/>
      <c r="E1924" s="24">
        <f>IF($D1924="","",IFERROR(VLOOKUP($D1924,物料档案!$A$4:$P$1203,3,0),"※编码不在物料档案里"))</f>
        <v/>
      </c>
      <c r="F1924" s="24">
        <f>IF($D1924="","",IFERROR(VLOOKUP($D1924,物料档案!$A$4:$P$1203,4,0),"※编码不在物料档案里"))</f>
        <v/>
      </c>
      <c r="G1924" s="24">
        <f>IF($D1924="","",IFERROR(VLOOKUP($D1924,物料档案!$A$4:$P$1203,5,0),"※编码不在物料档案里"))</f>
        <v/>
      </c>
      <c r="H1924" s="24">
        <f>IF($D1924="","",IFERROR(VLOOKUP($D1924,物料档案!$A$4:$P$1203,2,0),"※编码不在物料档案里"))</f>
        <v/>
      </c>
      <c r="I1924" s="24">
        <f>IF($D1924="","",IFERROR(VLOOKUP($D1924,物料档案!$A$4:$P$1203,6,0),"※编码不在物料档案里"))</f>
        <v/>
      </c>
      <c r="J1924" s="23" t="n"/>
      <c r="K1924" s="17" t="n"/>
      <c r="L1924" s="17" t="n"/>
      <c r="M1924" s="17" t="n"/>
      <c r="N1924" s="17" t="n"/>
      <c r="O1924" s="26">
        <f>IF($D1924="","",IFERROR(VLOOKUP($D1924,物料档案!$A$4:$P$1203,10,0),0))</f>
        <v/>
      </c>
      <c r="P1924" s="32" t="n"/>
      <c r="Q1924" s="26">
        <f>IF($D1924="","",IF($K1924&lt;&gt;"对外销售",0,ROUND(N($J1924)*IF($P1924="",N($O1924),N($P1924)),0)))</f>
        <v/>
      </c>
      <c r="R1924" s="26">
        <f>IF($D1924="","",IFERROR(VLOOKUP($D1924,库存台账!$A$5:$Y$1204,11,0),0))</f>
        <v/>
      </c>
      <c r="S1924" s="26">
        <f>IF($D1924="","",ROUND(N($J1924)*N($R1924),0))</f>
        <v/>
      </c>
      <c r="T1924" s="26">
        <f>IF($D1924="","",IF($K1924&lt;&gt;"对外销售","",ROUND($Q1924-$S1924,0)))</f>
        <v/>
      </c>
      <c r="U1924" s="17" t="n"/>
      <c r="V1924" s="17" t="n"/>
      <c r="W1924" s="24">
        <f>IF($D1924="","",IF($E1924="※编码不在物料档案里","※物料编码不在档案里",IF(N($J1924)&lt;=0,"※出库数量要大于 0",IF($K1924="","※没填去向类型",IF($L1924="","※没填去向矿区",IF(AND($C1924&lt;&gt;"",$C1924&lt;=结账锁),"※日期早于已结账截止日，不能再录",IF(AND($K1924="自用消耗",COUNTIF({"一矿区";"二矿区"},$L1924)=0),"※自用消耗的去向只能是一矿区或二矿区",IF(AND($K1924="对外销售",COUNTIF({"三矿区";"六矿区"},$L1924)=0),"※对外销售的去向只能是三矿区或六矿区",IF(AND($K1924="对外销售",ROUND($Q1924,0)=0),"※外销却没有售价，请填实际售价",IF(AND($K1924="对外销售",$T1924&lt;&gt;"",$T1924&lt;0),"※这一笔外销是亏的，请核对售价",IF(IFERROR(VLOOKUP($D1924,库存台账!$A$5:$Y$1204,24,0),0)&lt;-0.001,"※这个物料账面已经变成负数了，查一下是不是漏记入库","")))))))))))</f>
        <v/>
      </c>
    </row>
    <row r="1925">
      <c r="A1925" s="24">
        <f>IF($D1925="","",COUNTA($D$4:$D1925))</f>
        <v/>
      </c>
      <c r="B1925" s="17" t="n"/>
      <c r="C1925" s="30" t="n"/>
      <c r="D1925" s="17" t="n"/>
      <c r="E1925" s="24">
        <f>IF($D1925="","",IFERROR(VLOOKUP($D1925,物料档案!$A$4:$P$1203,3,0),"※编码不在物料档案里"))</f>
        <v/>
      </c>
      <c r="F1925" s="24">
        <f>IF($D1925="","",IFERROR(VLOOKUP($D1925,物料档案!$A$4:$P$1203,4,0),"※编码不在物料档案里"))</f>
        <v/>
      </c>
      <c r="G1925" s="24">
        <f>IF($D1925="","",IFERROR(VLOOKUP($D1925,物料档案!$A$4:$P$1203,5,0),"※编码不在物料档案里"))</f>
        <v/>
      </c>
      <c r="H1925" s="24">
        <f>IF($D1925="","",IFERROR(VLOOKUP($D1925,物料档案!$A$4:$P$1203,2,0),"※编码不在物料档案里"))</f>
        <v/>
      </c>
      <c r="I1925" s="24">
        <f>IF($D1925="","",IFERROR(VLOOKUP($D1925,物料档案!$A$4:$P$1203,6,0),"※编码不在物料档案里"))</f>
        <v/>
      </c>
      <c r="J1925" s="23" t="n"/>
      <c r="K1925" s="17" t="n"/>
      <c r="L1925" s="17" t="n"/>
      <c r="M1925" s="17" t="n"/>
      <c r="N1925" s="17" t="n"/>
      <c r="O1925" s="26">
        <f>IF($D1925="","",IFERROR(VLOOKUP($D1925,物料档案!$A$4:$P$1203,10,0),0))</f>
        <v/>
      </c>
      <c r="P1925" s="32" t="n"/>
      <c r="Q1925" s="26">
        <f>IF($D1925="","",IF($K1925&lt;&gt;"对外销售",0,ROUND(N($J1925)*IF($P1925="",N($O1925),N($P1925)),0)))</f>
        <v/>
      </c>
      <c r="R1925" s="26">
        <f>IF($D1925="","",IFERROR(VLOOKUP($D1925,库存台账!$A$5:$Y$1204,11,0),0))</f>
        <v/>
      </c>
      <c r="S1925" s="26">
        <f>IF($D1925="","",ROUND(N($J1925)*N($R1925),0))</f>
        <v/>
      </c>
      <c r="T1925" s="26">
        <f>IF($D1925="","",IF($K1925&lt;&gt;"对外销售","",ROUND($Q1925-$S1925,0)))</f>
        <v/>
      </c>
      <c r="U1925" s="17" t="n"/>
      <c r="V1925" s="17" t="n"/>
      <c r="W1925" s="24">
        <f>IF($D1925="","",IF($E1925="※编码不在物料档案里","※物料编码不在档案里",IF(N($J1925)&lt;=0,"※出库数量要大于 0",IF($K1925="","※没填去向类型",IF($L1925="","※没填去向矿区",IF(AND($C1925&lt;&gt;"",$C1925&lt;=结账锁),"※日期早于已结账截止日，不能再录",IF(AND($K1925="自用消耗",COUNTIF({"一矿区";"二矿区"},$L1925)=0),"※自用消耗的去向只能是一矿区或二矿区",IF(AND($K1925="对外销售",COUNTIF({"三矿区";"六矿区"},$L1925)=0),"※对外销售的去向只能是三矿区或六矿区",IF(AND($K1925="对外销售",ROUND($Q1925,0)=0),"※外销却没有售价，请填实际售价",IF(AND($K1925="对外销售",$T1925&lt;&gt;"",$T1925&lt;0),"※这一笔外销是亏的，请核对售价",IF(IFERROR(VLOOKUP($D1925,库存台账!$A$5:$Y$1204,24,0),0)&lt;-0.001,"※这个物料账面已经变成负数了，查一下是不是漏记入库","")))))))))))</f>
        <v/>
      </c>
    </row>
    <row r="1926">
      <c r="A1926" s="24">
        <f>IF($D1926="","",COUNTA($D$4:$D1926))</f>
        <v/>
      </c>
      <c r="B1926" s="17" t="n"/>
      <c r="C1926" s="30" t="n"/>
      <c r="D1926" s="17" t="n"/>
      <c r="E1926" s="24">
        <f>IF($D1926="","",IFERROR(VLOOKUP($D1926,物料档案!$A$4:$P$1203,3,0),"※编码不在物料档案里"))</f>
        <v/>
      </c>
      <c r="F1926" s="24">
        <f>IF($D1926="","",IFERROR(VLOOKUP($D1926,物料档案!$A$4:$P$1203,4,0),"※编码不在物料档案里"))</f>
        <v/>
      </c>
      <c r="G1926" s="24">
        <f>IF($D1926="","",IFERROR(VLOOKUP($D1926,物料档案!$A$4:$P$1203,5,0),"※编码不在物料档案里"))</f>
        <v/>
      </c>
      <c r="H1926" s="24">
        <f>IF($D1926="","",IFERROR(VLOOKUP($D1926,物料档案!$A$4:$P$1203,2,0),"※编码不在物料档案里"))</f>
        <v/>
      </c>
      <c r="I1926" s="24">
        <f>IF($D1926="","",IFERROR(VLOOKUP($D1926,物料档案!$A$4:$P$1203,6,0),"※编码不在物料档案里"))</f>
        <v/>
      </c>
      <c r="J1926" s="23" t="n"/>
      <c r="K1926" s="17" t="n"/>
      <c r="L1926" s="17" t="n"/>
      <c r="M1926" s="17" t="n"/>
      <c r="N1926" s="17" t="n"/>
      <c r="O1926" s="26">
        <f>IF($D1926="","",IFERROR(VLOOKUP($D1926,物料档案!$A$4:$P$1203,10,0),0))</f>
        <v/>
      </c>
      <c r="P1926" s="32" t="n"/>
      <c r="Q1926" s="26">
        <f>IF($D1926="","",IF($K1926&lt;&gt;"对外销售",0,ROUND(N($J1926)*IF($P1926="",N($O1926),N($P1926)),0)))</f>
        <v/>
      </c>
      <c r="R1926" s="26">
        <f>IF($D1926="","",IFERROR(VLOOKUP($D1926,库存台账!$A$5:$Y$1204,11,0),0))</f>
        <v/>
      </c>
      <c r="S1926" s="26">
        <f>IF($D1926="","",ROUND(N($J1926)*N($R1926),0))</f>
        <v/>
      </c>
      <c r="T1926" s="26">
        <f>IF($D1926="","",IF($K1926&lt;&gt;"对外销售","",ROUND($Q1926-$S1926,0)))</f>
        <v/>
      </c>
      <c r="U1926" s="17" t="n"/>
      <c r="V1926" s="17" t="n"/>
      <c r="W1926" s="24">
        <f>IF($D1926="","",IF($E1926="※编码不在物料档案里","※物料编码不在档案里",IF(N($J1926)&lt;=0,"※出库数量要大于 0",IF($K1926="","※没填去向类型",IF($L1926="","※没填去向矿区",IF(AND($C1926&lt;&gt;"",$C1926&lt;=结账锁),"※日期早于已结账截止日，不能再录",IF(AND($K1926="自用消耗",COUNTIF({"一矿区";"二矿区"},$L1926)=0),"※自用消耗的去向只能是一矿区或二矿区",IF(AND($K1926="对外销售",COUNTIF({"三矿区";"六矿区"},$L1926)=0),"※对外销售的去向只能是三矿区或六矿区",IF(AND($K1926="对外销售",ROUND($Q1926,0)=0),"※外销却没有售价，请填实际售价",IF(AND($K1926="对外销售",$T1926&lt;&gt;"",$T1926&lt;0),"※这一笔外销是亏的，请核对售价",IF(IFERROR(VLOOKUP($D1926,库存台账!$A$5:$Y$1204,24,0),0)&lt;-0.001,"※这个物料账面已经变成负数了，查一下是不是漏记入库","")))))))))))</f>
        <v/>
      </c>
    </row>
    <row r="1927">
      <c r="A1927" s="24">
        <f>IF($D1927="","",COUNTA($D$4:$D1927))</f>
        <v/>
      </c>
      <c r="B1927" s="17" t="n"/>
      <c r="C1927" s="30" t="n"/>
      <c r="D1927" s="17" t="n"/>
      <c r="E1927" s="24">
        <f>IF($D1927="","",IFERROR(VLOOKUP($D1927,物料档案!$A$4:$P$1203,3,0),"※编码不在物料档案里"))</f>
        <v/>
      </c>
      <c r="F1927" s="24">
        <f>IF($D1927="","",IFERROR(VLOOKUP($D1927,物料档案!$A$4:$P$1203,4,0),"※编码不在物料档案里"))</f>
        <v/>
      </c>
      <c r="G1927" s="24">
        <f>IF($D1927="","",IFERROR(VLOOKUP($D1927,物料档案!$A$4:$P$1203,5,0),"※编码不在物料档案里"))</f>
        <v/>
      </c>
      <c r="H1927" s="24">
        <f>IF($D1927="","",IFERROR(VLOOKUP($D1927,物料档案!$A$4:$P$1203,2,0),"※编码不在物料档案里"))</f>
        <v/>
      </c>
      <c r="I1927" s="24">
        <f>IF($D1927="","",IFERROR(VLOOKUP($D1927,物料档案!$A$4:$P$1203,6,0),"※编码不在物料档案里"))</f>
        <v/>
      </c>
      <c r="J1927" s="23" t="n"/>
      <c r="K1927" s="17" t="n"/>
      <c r="L1927" s="17" t="n"/>
      <c r="M1927" s="17" t="n"/>
      <c r="N1927" s="17" t="n"/>
      <c r="O1927" s="26">
        <f>IF($D1927="","",IFERROR(VLOOKUP($D1927,物料档案!$A$4:$P$1203,10,0),0))</f>
        <v/>
      </c>
      <c r="P1927" s="32" t="n"/>
      <c r="Q1927" s="26">
        <f>IF($D1927="","",IF($K1927&lt;&gt;"对外销售",0,ROUND(N($J1927)*IF($P1927="",N($O1927),N($P1927)),0)))</f>
        <v/>
      </c>
      <c r="R1927" s="26">
        <f>IF($D1927="","",IFERROR(VLOOKUP($D1927,库存台账!$A$5:$Y$1204,11,0),0))</f>
        <v/>
      </c>
      <c r="S1927" s="26">
        <f>IF($D1927="","",ROUND(N($J1927)*N($R1927),0))</f>
        <v/>
      </c>
      <c r="T1927" s="26">
        <f>IF($D1927="","",IF($K1927&lt;&gt;"对外销售","",ROUND($Q1927-$S1927,0)))</f>
        <v/>
      </c>
      <c r="U1927" s="17" t="n"/>
      <c r="V1927" s="17" t="n"/>
      <c r="W1927" s="24">
        <f>IF($D1927="","",IF($E1927="※编码不在物料档案里","※物料编码不在档案里",IF(N($J1927)&lt;=0,"※出库数量要大于 0",IF($K1927="","※没填去向类型",IF($L1927="","※没填去向矿区",IF(AND($C1927&lt;&gt;"",$C1927&lt;=结账锁),"※日期早于已结账截止日，不能再录",IF(AND($K1927="自用消耗",COUNTIF({"一矿区";"二矿区"},$L1927)=0),"※自用消耗的去向只能是一矿区或二矿区",IF(AND($K1927="对外销售",COUNTIF({"三矿区";"六矿区"},$L1927)=0),"※对外销售的去向只能是三矿区或六矿区",IF(AND($K1927="对外销售",ROUND($Q1927,0)=0),"※外销却没有售价，请填实际售价",IF(AND($K1927="对外销售",$T1927&lt;&gt;"",$T1927&lt;0),"※这一笔外销是亏的，请核对售价",IF(IFERROR(VLOOKUP($D1927,库存台账!$A$5:$Y$1204,24,0),0)&lt;-0.001,"※这个物料账面已经变成负数了，查一下是不是漏记入库","")))))))))))</f>
        <v/>
      </c>
    </row>
    <row r="1928">
      <c r="A1928" s="24">
        <f>IF($D1928="","",COUNTA($D$4:$D1928))</f>
        <v/>
      </c>
      <c r="B1928" s="17" t="n"/>
      <c r="C1928" s="30" t="n"/>
      <c r="D1928" s="17" t="n"/>
      <c r="E1928" s="24">
        <f>IF($D1928="","",IFERROR(VLOOKUP($D1928,物料档案!$A$4:$P$1203,3,0),"※编码不在物料档案里"))</f>
        <v/>
      </c>
      <c r="F1928" s="24">
        <f>IF($D1928="","",IFERROR(VLOOKUP($D1928,物料档案!$A$4:$P$1203,4,0),"※编码不在物料档案里"))</f>
        <v/>
      </c>
      <c r="G1928" s="24">
        <f>IF($D1928="","",IFERROR(VLOOKUP($D1928,物料档案!$A$4:$P$1203,5,0),"※编码不在物料档案里"))</f>
        <v/>
      </c>
      <c r="H1928" s="24">
        <f>IF($D1928="","",IFERROR(VLOOKUP($D1928,物料档案!$A$4:$P$1203,2,0),"※编码不在物料档案里"))</f>
        <v/>
      </c>
      <c r="I1928" s="24">
        <f>IF($D1928="","",IFERROR(VLOOKUP($D1928,物料档案!$A$4:$P$1203,6,0),"※编码不在物料档案里"))</f>
        <v/>
      </c>
      <c r="J1928" s="23" t="n"/>
      <c r="K1928" s="17" t="n"/>
      <c r="L1928" s="17" t="n"/>
      <c r="M1928" s="17" t="n"/>
      <c r="N1928" s="17" t="n"/>
      <c r="O1928" s="26">
        <f>IF($D1928="","",IFERROR(VLOOKUP($D1928,物料档案!$A$4:$P$1203,10,0),0))</f>
        <v/>
      </c>
      <c r="P1928" s="32" t="n"/>
      <c r="Q1928" s="26">
        <f>IF($D1928="","",IF($K1928&lt;&gt;"对外销售",0,ROUND(N($J1928)*IF($P1928="",N($O1928),N($P1928)),0)))</f>
        <v/>
      </c>
      <c r="R1928" s="26">
        <f>IF($D1928="","",IFERROR(VLOOKUP($D1928,库存台账!$A$5:$Y$1204,11,0),0))</f>
        <v/>
      </c>
      <c r="S1928" s="26">
        <f>IF($D1928="","",ROUND(N($J1928)*N($R1928),0))</f>
        <v/>
      </c>
      <c r="T1928" s="26">
        <f>IF($D1928="","",IF($K1928&lt;&gt;"对外销售","",ROUND($Q1928-$S1928,0)))</f>
        <v/>
      </c>
      <c r="U1928" s="17" t="n"/>
      <c r="V1928" s="17" t="n"/>
      <c r="W1928" s="24">
        <f>IF($D1928="","",IF($E1928="※编码不在物料档案里","※物料编码不在档案里",IF(N($J1928)&lt;=0,"※出库数量要大于 0",IF($K1928="","※没填去向类型",IF($L1928="","※没填去向矿区",IF(AND($C1928&lt;&gt;"",$C1928&lt;=结账锁),"※日期早于已结账截止日，不能再录",IF(AND($K1928="自用消耗",COUNTIF({"一矿区";"二矿区"},$L1928)=0),"※自用消耗的去向只能是一矿区或二矿区",IF(AND($K1928="对外销售",COUNTIF({"三矿区";"六矿区"},$L1928)=0),"※对外销售的去向只能是三矿区或六矿区",IF(AND($K1928="对外销售",ROUND($Q1928,0)=0),"※外销却没有售价，请填实际售价",IF(AND($K1928="对外销售",$T1928&lt;&gt;"",$T1928&lt;0),"※这一笔外销是亏的，请核对售价",IF(IFERROR(VLOOKUP($D1928,库存台账!$A$5:$Y$1204,24,0),0)&lt;-0.001,"※这个物料账面已经变成负数了，查一下是不是漏记入库","")))))))))))</f>
        <v/>
      </c>
    </row>
    <row r="1929">
      <c r="A1929" s="24">
        <f>IF($D1929="","",COUNTA($D$4:$D1929))</f>
        <v/>
      </c>
      <c r="B1929" s="17" t="n"/>
      <c r="C1929" s="30" t="n"/>
      <c r="D1929" s="17" t="n"/>
      <c r="E1929" s="24">
        <f>IF($D1929="","",IFERROR(VLOOKUP($D1929,物料档案!$A$4:$P$1203,3,0),"※编码不在物料档案里"))</f>
        <v/>
      </c>
      <c r="F1929" s="24">
        <f>IF($D1929="","",IFERROR(VLOOKUP($D1929,物料档案!$A$4:$P$1203,4,0),"※编码不在物料档案里"))</f>
        <v/>
      </c>
      <c r="G1929" s="24">
        <f>IF($D1929="","",IFERROR(VLOOKUP($D1929,物料档案!$A$4:$P$1203,5,0),"※编码不在物料档案里"))</f>
        <v/>
      </c>
      <c r="H1929" s="24">
        <f>IF($D1929="","",IFERROR(VLOOKUP($D1929,物料档案!$A$4:$P$1203,2,0),"※编码不在物料档案里"))</f>
        <v/>
      </c>
      <c r="I1929" s="24">
        <f>IF($D1929="","",IFERROR(VLOOKUP($D1929,物料档案!$A$4:$P$1203,6,0),"※编码不在物料档案里"))</f>
        <v/>
      </c>
      <c r="J1929" s="23" t="n"/>
      <c r="K1929" s="17" t="n"/>
      <c r="L1929" s="17" t="n"/>
      <c r="M1929" s="17" t="n"/>
      <c r="N1929" s="17" t="n"/>
      <c r="O1929" s="26">
        <f>IF($D1929="","",IFERROR(VLOOKUP($D1929,物料档案!$A$4:$P$1203,10,0),0))</f>
        <v/>
      </c>
      <c r="P1929" s="32" t="n"/>
      <c r="Q1929" s="26">
        <f>IF($D1929="","",IF($K1929&lt;&gt;"对外销售",0,ROUND(N($J1929)*IF($P1929="",N($O1929),N($P1929)),0)))</f>
        <v/>
      </c>
      <c r="R1929" s="26">
        <f>IF($D1929="","",IFERROR(VLOOKUP($D1929,库存台账!$A$5:$Y$1204,11,0),0))</f>
        <v/>
      </c>
      <c r="S1929" s="26">
        <f>IF($D1929="","",ROUND(N($J1929)*N($R1929),0))</f>
        <v/>
      </c>
      <c r="T1929" s="26">
        <f>IF($D1929="","",IF($K1929&lt;&gt;"对外销售","",ROUND($Q1929-$S1929,0)))</f>
        <v/>
      </c>
      <c r="U1929" s="17" t="n"/>
      <c r="V1929" s="17" t="n"/>
      <c r="W1929" s="24">
        <f>IF($D1929="","",IF($E1929="※编码不在物料档案里","※物料编码不在档案里",IF(N($J1929)&lt;=0,"※出库数量要大于 0",IF($K1929="","※没填去向类型",IF($L1929="","※没填去向矿区",IF(AND($C1929&lt;&gt;"",$C1929&lt;=结账锁),"※日期早于已结账截止日，不能再录",IF(AND($K1929="自用消耗",COUNTIF({"一矿区";"二矿区"},$L1929)=0),"※自用消耗的去向只能是一矿区或二矿区",IF(AND($K1929="对外销售",COUNTIF({"三矿区";"六矿区"},$L1929)=0),"※对外销售的去向只能是三矿区或六矿区",IF(AND($K1929="对外销售",ROUND($Q1929,0)=0),"※外销却没有售价，请填实际售价",IF(AND($K1929="对外销售",$T1929&lt;&gt;"",$T1929&lt;0),"※这一笔外销是亏的，请核对售价",IF(IFERROR(VLOOKUP($D1929,库存台账!$A$5:$Y$1204,24,0),0)&lt;-0.001,"※这个物料账面已经变成负数了，查一下是不是漏记入库","")))))))))))</f>
        <v/>
      </c>
    </row>
    <row r="1930">
      <c r="A1930" s="24">
        <f>IF($D1930="","",COUNTA($D$4:$D1930))</f>
        <v/>
      </c>
      <c r="B1930" s="17" t="n"/>
      <c r="C1930" s="30" t="n"/>
      <c r="D1930" s="17" t="n"/>
      <c r="E1930" s="24">
        <f>IF($D1930="","",IFERROR(VLOOKUP($D1930,物料档案!$A$4:$P$1203,3,0),"※编码不在物料档案里"))</f>
        <v/>
      </c>
      <c r="F1930" s="24">
        <f>IF($D1930="","",IFERROR(VLOOKUP($D1930,物料档案!$A$4:$P$1203,4,0),"※编码不在物料档案里"))</f>
        <v/>
      </c>
      <c r="G1930" s="24">
        <f>IF($D1930="","",IFERROR(VLOOKUP($D1930,物料档案!$A$4:$P$1203,5,0),"※编码不在物料档案里"))</f>
        <v/>
      </c>
      <c r="H1930" s="24">
        <f>IF($D1930="","",IFERROR(VLOOKUP($D1930,物料档案!$A$4:$P$1203,2,0),"※编码不在物料档案里"))</f>
        <v/>
      </c>
      <c r="I1930" s="24">
        <f>IF($D1930="","",IFERROR(VLOOKUP($D1930,物料档案!$A$4:$P$1203,6,0),"※编码不在物料档案里"))</f>
        <v/>
      </c>
      <c r="J1930" s="23" t="n"/>
      <c r="K1930" s="17" t="n"/>
      <c r="L1930" s="17" t="n"/>
      <c r="M1930" s="17" t="n"/>
      <c r="N1930" s="17" t="n"/>
      <c r="O1930" s="26">
        <f>IF($D1930="","",IFERROR(VLOOKUP($D1930,物料档案!$A$4:$P$1203,10,0),0))</f>
        <v/>
      </c>
      <c r="P1930" s="32" t="n"/>
      <c r="Q1930" s="26">
        <f>IF($D1930="","",IF($K1930&lt;&gt;"对外销售",0,ROUND(N($J1930)*IF($P1930="",N($O1930),N($P1930)),0)))</f>
        <v/>
      </c>
      <c r="R1930" s="26">
        <f>IF($D1930="","",IFERROR(VLOOKUP($D1930,库存台账!$A$5:$Y$1204,11,0),0))</f>
        <v/>
      </c>
      <c r="S1930" s="26">
        <f>IF($D1930="","",ROUND(N($J1930)*N($R1930),0))</f>
        <v/>
      </c>
      <c r="T1930" s="26">
        <f>IF($D1930="","",IF($K1930&lt;&gt;"对外销售","",ROUND($Q1930-$S1930,0)))</f>
        <v/>
      </c>
      <c r="U1930" s="17" t="n"/>
      <c r="V1930" s="17" t="n"/>
      <c r="W1930" s="24">
        <f>IF($D1930="","",IF($E1930="※编码不在物料档案里","※物料编码不在档案里",IF(N($J1930)&lt;=0,"※出库数量要大于 0",IF($K1930="","※没填去向类型",IF($L1930="","※没填去向矿区",IF(AND($C1930&lt;&gt;"",$C1930&lt;=结账锁),"※日期早于已结账截止日，不能再录",IF(AND($K1930="自用消耗",COUNTIF({"一矿区";"二矿区"},$L1930)=0),"※自用消耗的去向只能是一矿区或二矿区",IF(AND($K1930="对外销售",COUNTIF({"三矿区";"六矿区"},$L1930)=0),"※对外销售的去向只能是三矿区或六矿区",IF(AND($K1930="对外销售",ROUND($Q1930,0)=0),"※外销却没有售价，请填实际售价",IF(AND($K1930="对外销售",$T1930&lt;&gt;"",$T1930&lt;0),"※这一笔外销是亏的，请核对售价",IF(IFERROR(VLOOKUP($D1930,库存台账!$A$5:$Y$1204,24,0),0)&lt;-0.001,"※这个物料账面已经变成负数了，查一下是不是漏记入库","")))))))))))</f>
        <v/>
      </c>
    </row>
    <row r="1931">
      <c r="A1931" s="24">
        <f>IF($D1931="","",COUNTA($D$4:$D1931))</f>
        <v/>
      </c>
      <c r="B1931" s="17" t="n"/>
      <c r="C1931" s="30" t="n"/>
      <c r="D1931" s="17" t="n"/>
      <c r="E1931" s="24">
        <f>IF($D1931="","",IFERROR(VLOOKUP($D1931,物料档案!$A$4:$P$1203,3,0),"※编码不在物料档案里"))</f>
        <v/>
      </c>
      <c r="F1931" s="24">
        <f>IF($D1931="","",IFERROR(VLOOKUP($D1931,物料档案!$A$4:$P$1203,4,0),"※编码不在物料档案里"))</f>
        <v/>
      </c>
      <c r="G1931" s="24">
        <f>IF($D1931="","",IFERROR(VLOOKUP($D1931,物料档案!$A$4:$P$1203,5,0),"※编码不在物料档案里"))</f>
        <v/>
      </c>
      <c r="H1931" s="24">
        <f>IF($D1931="","",IFERROR(VLOOKUP($D1931,物料档案!$A$4:$P$1203,2,0),"※编码不在物料档案里"))</f>
        <v/>
      </c>
      <c r="I1931" s="24">
        <f>IF($D1931="","",IFERROR(VLOOKUP($D1931,物料档案!$A$4:$P$1203,6,0),"※编码不在物料档案里"))</f>
        <v/>
      </c>
      <c r="J1931" s="23" t="n"/>
      <c r="K1931" s="17" t="n"/>
      <c r="L1931" s="17" t="n"/>
      <c r="M1931" s="17" t="n"/>
      <c r="N1931" s="17" t="n"/>
      <c r="O1931" s="26">
        <f>IF($D1931="","",IFERROR(VLOOKUP($D1931,物料档案!$A$4:$P$1203,10,0),0))</f>
        <v/>
      </c>
      <c r="P1931" s="32" t="n"/>
      <c r="Q1931" s="26">
        <f>IF($D1931="","",IF($K1931&lt;&gt;"对外销售",0,ROUND(N($J1931)*IF($P1931="",N($O1931),N($P1931)),0)))</f>
        <v/>
      </c>
      <c r="R1931" s="26">
        <f>IF($D1931="","",IFERROR(VLOOKUP($D1931,库存台账!$A$5:$Y$1204,11,0),0))</f>
        <v/>
      </c>
      <c r="S1931" s="26">
        <f>IF($D1931="","",ROUND(N($J1931)*N($R1931),0))</f>
        <v/>
      </c>
      <c r="T1931" s="26">
        <f>IF($D1931="","",IF($K1931&lt;&gt;"对外销售","",ROUND($Q1931-$S1931,0)))</f>
        <v/>
      </c>
      <c r="U1931" s="17" t="n"/>
      <c r="V1931" s="17" t="n"/>
      <c r="W1931" s="24">
        <f>IF($D1931="","",IF($E1931="※编码不在物料档案里","※物料编码不在档案里",IF(N($J1931)&lt;=0,"※出库数量要大于 0",IF($K1931="","※没填去向类型",IF($L1931="","※没填去向矿区",IF(AND($C1931&lt;&gt;"",$C1931&lt;=结账锁),"※日期早于已结账截止日，不能再录",IF(AND($K1931="自用消耗",COUNTIF({"一矿区";"二矿区"},$L1931)=0),"※自用消耗的去向只能是一矿区或二矿区",IF(AND($K1931="对外销售",COUNTIF({"三矿区";"六矿区"},$L1931)=0),"※对外销售的去向只能是三矿区或六矿区",IF(AND($K1931="对外销售",ROUND($Q1931,0)=0),"※外销却没有售价，请填实际售价",IF(AND($K1931="对外销售",$T1931&lt;&gt;"",$T1931&lt;0),"※这一笔外销是亏的，请核对售价",IF(IFERROR(VLOOKUP($D1931,库存台账!$A$5:$Y$1204,24,0),0)&lt;-0.001,"※这个物料账面已经变成负数了，查一下是不是漏记入库","")))))))))))</f>
        <v/>
      </c>
    </row>
    <row r="1932">
      <c r="A1932" s="24">
        <f>IF($D1932="","",COUNTA($D$4:$D1932))</f>
        <v/>
      </c>
      <c r="B1932" s="17" t="n"/>
      <c r="C1932" s="30" t="n"/>
      <c r="D1932" s="17" t="n"/>
      <c r="E1932" s="24">
        <f>IF($D1932="","",IFERROR(VLOOKUP($D1932,物料档案!$A$4:$P$1203,3,0),"※编码不在物料档案里"))</f>
        <v/>
      </c>
      <c r="F1932" s="24">
        <f>IF($D1932="","",IFERROR(VLOOKUP($D1932,物料档案!$A$4:$P$1203,4,0),"※编码不在物料档案里"))</f>
        <v/>
      </c>
      <c r="G1932" s="24">
        <f>IF($D1932="","",IFERROR(VLOOKUP($D1932,物料档案!$A$4:$P$1203,5,0),"※编码不在物料档案里"))</f>
        <v/>
      </c>
      <c r="H1932" s="24">
        <f>IF($D1932="","",IFERROR(VLOOKUP($D1932,物料档案!$A$4:$P$1203,2,0),"※编码不在物料档案里"))</f>
        <v/>
      </c>
      <c r="I1932" s="24">
        <f>IF($D1932="","",IFERROR(VLOOKUP($D1932,物料档案!$A$4:$P$1203,6,0),"※编码不在物料档案里"))</f>
        <v/>
      </c>
      <c r="J1932" s="23" t="n"/>
      <c r="K1932" s="17" t="n"/>
      <c r="L1932" s="17" t="n"/>
      <c r="M1932" s="17" t="n"/>
      <c r="N1932" s="17" t="n"/>
      <c r="O1932" s="26">
        <f>IF($D1932="","",IFERROR(VLOOKUP($D1932,物料档案!$A$4:$P$1203,10,0),0))</f>
        <v/>
      </c>
      <c r="P1932" s="32" t="n"/>
      <c r="Q1932" s="26">
        <f>IF($D1932="","",IF($K1932&lt;&gt;"对外销售",0,ROUND(N($J1932)*IF($P1932="",N($O1932),N($P1932)),0)))</f>
        <v/>
      </c>
      <c r="R1932" s="26">
        <f>IF($D1932="","",IFERROR(VLOOKUP($D1932,库存台账!$A$5:$Y$1204,11,0),0))</f>
        <v/>
      </c>
      <c r="S1932" s="26">
        <f>IF($D1932="","",ROUND(N($J1932)*N($R1932),0))</f>
        <v/>
      </c>
      <c r="T1932" s="26">
        <f>IF($D1932="","",IF($K1932&lt;&gt;"对外销售","",ROUND($Q1932-$S1932,0)))</f>
        <v/>
      </c>
      <c r="U1932" s="17" t="n"/>
      <c r="V1932" s="17" t="n"/>
      <c r="W1932" s="24">
        <f>IF($D1932="","",IF($E1932="※编码不在物料档案里","※物料编码不在档案里",IF(N($J1932)&lt;=0,"※出库数量要大于 0",IF($K1932="","※没填去向类型",IF($L1932="","※没填去向矿区",IF(AND($C1932&lt;&gt;"",$C1932&lt;=结账锁),"※日期早于已结账截止日，不能再录",IF(AND($K1932="自用消耗",COUNTIF({"一矿区";"二矿区"},$L1932)=0),"※自用消耗的去向只能是一矿区或二矿区",IF(AND($K1932="对外销售",COUNTIF({"三矿区";"六矿区"},$L1932)=0),"※对外销售的去向只能是三矿区或六矿区",IF(AND($K1932="对外销售",ROUND($Q1932,0)=0),"※外销却没有售价，请填实际售价",IF(AND($K1932="对外销售",$T1932&lt;&gt;"",$T1932&lt;0),"※这一笔外销是亏的，请核对售价",IF(IFERROR(VLOOKUP($D1932,库存台账!$A$5:$Y$1204,24,0),0)&lt;-0.001,"※这个物料账面已经变成负数了，查一下是不是漏记入库","")))))))))))</f>
        <v/>
      </c>
    </row>
    <row r="1933">
      <c r="A1933" s="24">
        <f>IF($D1933="","",COUNTA($D$4:$D1933))</f>
        <v/>
      </c>
      <c r="B1933" s="17" t="n"/>
      <c r="C1933" s="30" t="n"/>
      <c r="D1933" s="17" t="n"/>
      <c r="E1933" s="24">
        <f>IF($D1933="","",IFERROR(VLOOKUP($D1933,物料档案!$A$4:$P$1203,3,0),"※编码不在物料档案里"))</f>
        <v/>
      </c>
      <c r="F1933" s="24">
        <f>IF($D1933="","",IFERROR(VLOOKUP($D1933,物料档案!$A$4:$P$1203,4,0),"※编码不在物料档案里"))</f>
        <v/>
      </c>
      <c r="G1933" s="24">
        <f>IF($D1933="","",IFERROR(VLOOKUP($D1933,物料档案!$A$4:$P$1203,5,0),"※编码不在物料档案里"))</f>
        <v/>
      </c>
      <c r="H1933" s="24">
        <f>IF($D1933="","",IFERROR(VLOOKUP($D1933,物料档案!$A$4:$P$1203,2,0),"※编码不在物料档案里"))</f>
        <v/>
      </c>
      <c r="I1933" s="24">
        <f>IF($D1933="","",IFERROR(VLOOKUP($D1933,物料档案!$A$4:$P$1203,6,0),"※编码不在物料档案里"))</f>
        <v/>
      </c>
      <c r="J1933" s="23" t="n"/>
      <c r="K1933" s="17" t="n"/>
      <c r="L1933" s="17" t="n"/>
      <c r="M1933" s="17" t="n"/>
      <c r="N1933" s="17" t="n"/>
      <c r="O1933" s="26">
        <f>IF($D1933="","",IFERROR(VLOOKUP($D1933,物料档案!$A$4:$P$1203,10,0),0))</f>
        <v/>
      </c>
      <c r="P1933" s="32" t="n"/>
      <c r="Q1933" s="26">
        <f>IF($D1933="","",IF($K1933&lt;&gt;"对外销售",0,ROUND(N($J1933)*IF($P1933="",N($O1933),N($P1933)),0)))</f>
        <v/>
      </c>
      <c r="R1933" s="26">
        <f>IF($D1933="","",IFERROR(VLOOKUP($D1933,库存台账!$A$5:$Y$1204,11,0),0))</f>
        <v/>
      </c>
      <c r="S1933" s="26">
        <f>IF($D1933="","",ROUND(N($J1933)*N($R1933),0))</f>
        <v/>
      </c>
      <c r="T1933" s="26">
        <f>IF($D1933="","",IF($K1933&lt;&gt;"对外销售","",ROUND($Q1933-$S1933,0)))</f>
        <v/>
      </c>
      <c r="U1933" s="17" t="n"/>
      <c r="V1933" s="17" t="n"/>
      <c r="W1933" s="24">
        <f>IF($D1933="","",IF($E1933="※编码不在物料档案里","※物料编码不在档案里",IF(N($J1933)&lt;=0,"※出库数量要大于 0",IF($K1933="","※没填去向类型",IF($L1933="","※没填去向矿区",IF(AND($C1933&lt;&gt;"",$C1933&lt;=结账锁),"※日期早于已结账截止日，不能再录",IF(AND($K1933="自用消耗",COUNTIF({"一矿区";"二矿区"},$L1933)=0),"※自用消耗的去向只能是一矿区或二矿区",IF(AND($K1933="对外销售",COUNTIF({"三矿区";"六矿区"},$L1933)=0),"※对外销售的去向只能是三矿区或六矿区",IF(AND($K1933="对外销售",ROUND($Q1933,0)=0),"※外销却没有售价，请填实际售价",IF(AND($K1933="对外销售",$T1933&lt;&gt;"",$T1933&lt;0),"※这一笔外销是亏的，请核对售价",IF(IFERROR(VLOOKUP($D1933,库存台账!$A$5:$Y$1204,24,0),0)&lt;-0.001,"※这个物料账面已经变成负数了，查一下是不是漏记入库","")))))))))))</f>
        <v/>
      </c>
    </row>
    <row r="1934">
      <c r="A1934" s="24">
        <f>IF($D1934="","",COUNTA($D$4:$D1934))</f>
        <v/>
      </c>
      <c r="B1934" s="17" t="n"/>
      <c r="C1934" s="30" t="n"/>
      <c r="D1934" s="17" t="n"/>
      <c r="E1934" s="24">
        <f>IF($D1934="","",IFERROR(VLOOKUP($D1934,物料档案!$A$4:$P$1203,3,0),"※编码不在物料档案里"))</f>
        <v/>
      </c>
      <c r="F1934" s="24">
        <f>IF($D1934="","",IFERROR(VLOOKUP($D1934,物料档案!$A$4:$P$1203,4,0),"※编码不在物料档案里"))</f>
        <v/>
      </c>
      <c r="G1934" s="24">
        <f>IF($D1934="","",IFERROR(VLOOKUP($D1934,物料档案!$A$4:$P$1203,5,0),"※编码不在物料档案里"))</f>
        <v/>
      </c>
      <c r="H1934" s="24">
        <f>IF($D1934="","",IFERROR(VLOOKUP($D1934,物料档案!$A$4:$P$1203,2,0),"※编码不在物料档案里"))</f>
        <v/>
      </c>
      <c r="I1934" s="24">
        <f>IF($D1934="","",IFERROR(VLOOKUP($D1934,物料档案!$A$4:$P$1203,6,0),"※编码不在物料档案里"))</f>
        <v/>
      </c>
      <c r="J1934" s="23" t="n"/>
      <c r="K1934" s="17" t="n"/>
      <c r="L1934" s="17" t="n"/>
      <c r="M1934" s="17" t="n"/>
      <c r="N1934" s="17" t="n"/>
      <c r="O1934" s="26">
        <f>IF($D1934="","",IFERROR(VLOOKUP($D1934,物料档案!$A$4:$P$1203,10,0),0))</f>
        <v/>
      </c>
      <c r="P1934" s="32" t="n"/>
      <c r="Q1934" s="26">
        <f>IF($D1934="","",IF($K1934&lt;&gt;"对外销售",0,ROUND(N($J1934)*IF($P1934="",N($O1934),N($P1934)),0)))</f>
        <v/>
      </c>
      <c r="R1934" s="26">
        <f>IF($D1934="","",IFERROR(VLOOKUP($D1934,库存台账!$A$5:$Y$1204,11,0),0))</f>
        <v/>
      </c>
      <c r="S1934" s="26">
        <f>IF($D1934="","",ROUND(N($J1934)*N($R1934),0))</f>
        <v/>
      </c>
      <c r="T1934" s="26">
        <f>IF($D1934="","",IF($K1934&lt;&gt;"对外销售","",ROUND($Q1934-$S1934,0)))</f>
        <v/>
      </c>
      <c r="U1934" s="17" t="n"/>
      <c r="V1934" s="17" t="n"/>
      <c r="W1934" s="24">
        <f>IF($D1934="","",IF($E1934="※编码不在物料档案里","※物料编码不在档案里",IF(N($J1934)&lt;=0,"※出库数量要大于 0",IF($K1934="","※没填去向类型",IF($L1934="","※没填去向矿区",IF(AND($C1934&lt;&gt;"",$C1934&lt;=结账锁),"※日期早于已结账截止日，不能再录",IF(AND($K1934="自用消耗",COUNTIF({"一矿区";"二矿区"},$L1934)=0),"※自用消耗的去向只能是一矿区或二矿区",IF(AND($K1934="对外销售",COUNTIF({"三矿区";"六矿区"},$L1934)=0),"※对外销售的去向只能是三矿区或六矿区",IF(AND($K1934="对外销售",ROUND($Q1934,0)=0),"※外销却没有售价，请填实际售价",IF(AND($K1934="对外销售",$T1934&lt;&gt;"",$T1934&lt;0),"※这一笔外销是亏的，请核对售价",IF(IFERROR(VLOOKUP($D1934,库存台账!$A$5:$Y$1204,24,0),0)&lt;-0.001,"※这个物料账面已经变成负数了，查一下是不是漏记入库","")))))))))))</f>
        <v/>
      </c>
    </row>
    <row r="1935">
      <c r="A1935" s="24">
        <f>IF($D1935="","",COUNTA($D$4:$D1935))</f>
        <v/>
      </c>
      <c r="B1935" s="17" t="n"/>
      <c r="C1935" s="30" t="n"/>
      <c r="D1935" s="17" t="n"/>
      <c r="E1935" s="24">
        <f>IF($D1935="","",IFERROR(VLOOKUP($D1935,物料档案!$A$4:$P$1203,3,0),"※编码不在物料档案里"))</f>
        <v/>
      </c>
      <c r="F1935" s="24">
        <f>IF($D1935="","",IFERROR(VLOOKUP($D1935,物料档案!$A$4:$P$1203,4,0),"※编码不在物料档案里"))</f>
        <v/>
      </c>
      <c r="G1935" s="24">
        <f>IF($D1935="","",IFERROR(VLOOKUP($D1935,物料档案!$A$4:$P$1203,5,0),"※编码不在物料档案里"))</f>
        <v/>
      </c>
      <c r="H1935" s="24">
        <f>IF($D1935="","",IFERROR(VLOOKUP($D1935,物料档案!$A$4:$P$1203,2,0),"※编码不在物料档案里"))</f>
        <v/>
      </c>
      <c r="I1935" s="24">
        <f>IF($D1935="","",IFERROR(VLOOKUP($D1935,物料档案!$A$4:$P$1203,6,0),"※编码不在物料档案里"))</f>
        <v/>
      </c>
      <c r="J1935" s="23" t="n"/>
      <c r="K1935" s="17" t="n"/>
      <c r="L1935" s="17" t="n"/>
      <c r="M1935" s="17" t="n"/>
      <c r="N1935" s="17" t="n"/>
      <c r="O1935" s="26">
        <f>IF($D1935="","",IFERROR(VLOOKUP($D1935,物料档案!$A$4:$P$1203,10,0),0))</f>
        <v/>
      </c>
      <c r="P1935" s="32" t="n"/>
      <c r="Q1935" s="26">
        <f>IF($D1935="","",IF($K1935&lt;&gt;"对外销售",0,ROUND(N($J1935)*IF($P1935="",N($O1935),N($P1935)),0)))</f>
        <v/>
      </c>
      <c r="R1935" s="26">
        <f>IF($D1935="","",IFERROR(VLOOKUP($D1935,库存台账!$A$5:$Y$1204,11,0),0))</f>
        <v/>
      </c>
      <c r="S1935" s="26">
        <f>IF($D1935="","",ROUND(N($J1935)*N($R1935),0))</f>
        <v/>
      </c>
      <c r="T1935" s="26">
        <f>IF($D1935="","",IF($K1935&lt;&gt;"对外销售","",ROUND($Q1935-$S1935,0)))</f>
        <v/>
      </c>
      <c r="U1935" s="17" t="n"/>
      <c r="V1935" s="17" t="n"/>
      <c r="W1935" s="24">
        <f>IF($D1935="","",IF($E1935="※编码不在物料档案里","※物料编码不在档案里",IF(N($J1935)&lt;=0,"※出库数量要大于 0",IF($K1935="","※没填去向类型",IF($L1935="","※没填去向矿区",IF(AND($C1935&lt;&gt;"",$C1935&lt;=结账锁),"※日期早于已结账截止日，不能再录",IF(AND($K1935="自用消耗",COUNTIF({"一矿区";"二矿区"},$L1935)=0),"※自用消耗的去向只能是一矿区或二矿区",IF(AND($K1935="对外销售",COUNTIF({"三矿区";"六矿区"},$L1935)=0),"※对外销售的去向只能是三矿区或六矿区",IF(AND($K1935="对外销售",ROUND($Q1935,0)=0),"※外销却没有售价，请填实际售价",IF(AND($K1935="对外销售",$T1935&lt;&gt;"",$T1935&lt;0),"※这一笔外销是亏的，请核对售价",IF(IFERROR(VLOOKUP($D1935,库存台账!$A$5:$Y$1204,24,0),0)&lt;-0.001,"※这个物料账面已经变成负数了，查一下是不是漏记入库","")))))))))))</f>
        <v/>
      </c>
    </row>
    <row r="1936">
      <c r="A1936" s="24">
        <f>IF($D1936="","",COUNTA($D$4:$D1936))</f>
        <v/>
      </c>
      <c r="B1936" s="17" t="n"/>
      <c r="C1936" s="30" t="n"/>
      <c r="D1936" s="17" t="n"/>
      <c r="E1936" s="24">
        <f>IF($D1936="","",IFERROR(VLOOKUP($D1936,物料档案!$A$4:$P$1203,3,0),"※编码不在物料档案里"))</f>
        <v/>
      </c>
      <c r="F1936" s="24">
        <f>IF($D1936="","",IFERROR(VLOOKUP($D1936,物料档案!$A$4:$P$1203,4,0),"※编码不在物料档案里"))</f>
        <v/>
      </c>
      <c r="G1936" s="24">
        <f>IF($D1936="","",IFERROR(VLOOKUP($D1936,物料档案!$A$4:$P$1203,5,0),"※编码不在物料档案里"))</f>
        <v/>
      </c>
      <c r="H1936" s="24">
        <f>IF($D1936="","",IFERROR(VLOOKUP($D1936,物料档案!$A$4:$P$1203,2,0),"※编码不在物料档案里"))</f>
        <v/>
      </c>
      <c r="I1936" s="24">
        <f>IF($D1936="","",IFERROR(VLOOKUP($D1936,物料档案!$A$4:$P$1203,6,0),"※编码不在物料档案里"))</f>
        <v/>
      </c>
      <c r="J1936" s="23" t="n"/>
      <c r="K1936" s="17" t="n"/>
      <c r="L1936" s="17" t="n"/>
      <c r="M1936" s="17" t="n"/>
      <c r="N1936" s="17" t="n"/>
      <c r="O1936" s="26">
        <f>IF($D1936="","",IFERROR(VLOOKUP($D1936,物料档案!$A$4:$P$1203,10,0),0))</f>
        <v/>
      </c>
      <c r="P1936" s="32" t="n"/>
      <c r="Q1936" s="26">
        <f>IF($D1936="","",IF($K1936&lt;&gt;"对外销售",0,ROUND(N($J1936)*IF($P1936="",N($O1936),N($P1936)),0)))</f>
        <v/>
      </c>
      <c r="R1936" s="26">
        <f>IF($D1936="","",IFERROR(VLOOKUP($D1936,库存台账!$A$5:$Y$1204,11,0),0))</f>
        <v/>
      </c>
      <c r="S1936" s="26">
        <f>IF($D1936="","",ROUND(N($J1936)*N($R1936),0))</f>
        <v/>
      </c>
      <c r="T1936" s="26">
        <f>IF($D1936="","",IF($K1936&lt;&gt;"对外销售","",ROUND($Q1936-$S1936,0)))</f>
        <v/>
      </c>
      <c r="U1936" s="17" t="n"/>
      <c r="V1936" s="17" t="n"/>
      <c r="W1936" s="24">
        <f>IF($D1936="","",IF($E1936="※编码不在物料档案里","※物料编码不在档案里",IF(N($J1936)&lt;=0,"※出库数量要大于 0",IF($K1936="","※没填去向类型",IF($L1936="","※没填去向矿区",IF(AND($C1936&lt;&gt;"",$C1936&lt;=结账锁),"※日期早于已结账截止日，不能再录",IF(AND($K1936="自用消耗",COUNTIF({"一矿区";"二矿区"},$L1936)=0),"※自用消耗的去向只能是一矿区或二矿区",IF(AND($K1936="对外销售",COUNTIF({"三矿区";"六矿区"},$L1936)=0),"※对外销售的去向只能是三矿区或六矿区",IF(AND($K1936="对外销售",ROUND($Q1936,0)=0),"※外销却没有售价，请填实际售价",IF(AND($K1936="对外销售",$T1936&lt;&gt;"",$T1936&lt;0),"※这一笔外销是亏的，请核对售价",IF(IFERROR(VLOOKUP($D1936,库存台账!$A$5:$Y$1204,24,0),0)&lt;-0.001,"※这个物料账面已经变成负数了，查一下是不是漏记入库","")))))))))))</f>
        <v/>
      </c>
    </row>
    <row r="1937">
      <c r="A1937" s="24">
        <f>IF($D1937="","",COUNTA($D$4:$D1937))</f>
        <v/>
      </c>
      <c r="B1937" s="17" t="n"/>
      <c r="C1937" s="30" t="n"/>
      <c r="D1937" s="17" t="n"/>
      <c r="E1937" s="24">
        <f>IF($D1937="","",IFERROR(VLOOKUP($D1937,物料档案!$A$4:$P$1203,3,0),"※编码不在物料档案里"))</f>
        <v/>
      </c>
      <c r="F1937" s="24">
        <f>IF($D1937="","",IFERROR(VLOOKUP($D1937,物料档案!$A$4:$P$1203,4,0),"※编码不在物料档案里"))</f>
        <v/>
      </c>
      <c r="G1937" s="24">
        <f>IF($D1937="","",IFERROR(VLOOKUP($D1937,物料档案!$A$4:$P$1203,5,0),"※编码不在物料档案里"))</f>
        <v/>
      </c>
      <c r="H1937" s="24">
        <f>IF($D1937="","",IFERROR(VLOOKUP($D1937,物料档案!$A$4:$P$1203,2,0),"※编码不在物料档案里"))</f>
        <v/>
      </c>
      <c r="I1937" s="24">
        <f>IF($D1937="","",IFERROR(VLOOKUP($D1937,物料档案!$A$4:$P$1203,6,0),"※编码不在物料档案里"))</f>
        <v/>
      </c>
      <c r="J1937" s="23" t="n"/>
      <c r="K1937" s="17" t="n"/>
      <c r="L1937" s="17" t="n"/>
      <c r="M1937" s="17" t="n"/>
      <c r="N1937" s="17" t="n"/>
      <c r="O1937" s="26">
        <f>IF($D1937="","",IFERROR(VLOOKUP($D1937,物料档案!$A$4:$P$1203,10,0),0))</f>
        <v/>
      </c>
      <c r="P1937" s="32" t="n"/>
      <c r="Q1937" s="26">
        <f>IF($D1937="","",IF($K1937&lt;&gt;"对外销售",0,ROUND(N($J1937)*IF($P1937="",N($O1937),N($P1937)),0)))</f>
        <v/>
      </c>
      <c r="R1937" s="26">
        <f>IF($D1937="","",IFERROR(VLOOKUP($D1937,库存台账!$A$5:$Y$1204,11,0),0))</f>
        <v/>
      </c>
      <c r="S1937" s="26">
        <f>IF($D1937="","",ROUND(N($J1937)*N($R1937),0))</f>
        <v/>
      </c>
      <c r="T1937" s="26">
        <f>IF($D1937="","",IF($K1937&lt;&gt;"对外销售","",ROUND($Q1937-$S1937,0)))</f>
        <v/>
      </c>
      <c r="U1937" s="17" t="n"/>
      <c r="V1937" s="17" t="n"/>
      <c r="W1937" s="24">
        <f>IF($D1937="","",IF($E1937="※编码不在物料档案里","※物料编码不在档案里",IF(N($J1937)&lt;=0,"※出库数量要大于 0",IF($K1937="","※没填去向类型",IF($L1937="","※没填去向矿区",IF(AND($C1937&lt;&gt;"",$C1937&lt;=结账锁),"※日期早于已结账截止日，不能再录",IF(AND($K1937="自用消耗",COUNTIF({"一矿区";"二矿区"},$L1937)=0),"※自用消耗的去向只能是一矿区或二矿区",IF(AND($K1937="对外销售",COUNTIF({"三矿区";"六矿区"},$L1937)=0),"※对外销售的去向只能是三矿区或六矿区",IF(AND($K1937="对外销售",ROUND($Q1937,0)=0),"※外销却没有售价，请填实际售价",IF(AND($K1937="对外销售",$T1937&lt;&gt;"",$T1937&lt;0),"※这一笔外销是亏的，请核对售价",IF(IFERROR(VLOOKUP($D1937,库存台账!$A$5:$Y$1204,24,0),0)&lt;-0.001,"※这个物料账面已经变成负数了，查一下是不是漏记入库","")))))))))))</f>
        <v/>
      </c>
    </row>
    <row r="1938">
      <c r="A1938" s="24">
        <f>IF($D1938="","",COUNTA($D$4:$D1938))</f>
        <v/>
      </c>
      <c r="B1938" s="17" t="n"/>
      <c r="C1938" s="30" t="n"/>
      <c r="D1938" s="17" t="n"/>
      <c r="E1938" s="24">
        <f>IF($D1938="","",IFERROR(VLOOKUP($D1938,物料档案!$A$4:$P$1203,3,0),"※编码不在物料档案里"))</f>
        <v/>
      </c>
      <c r="F1938" s="24">
        <f>IF($D1938="","",IFERROR(VLOOKUP($D1938,物料档案!$A$4:$P$1203,4,0),"※编码不在物料档案里"))</f>
        <v/>
      </c>
      <c r="G1938" s="24">
        <f>IF($D1938="","",IFERROR(VLOOKUP($D1938,物料档案!$A$4:$P$1203,5,0),"※编码不在物料档案里"))</f>
        <v/>
      </c>
      <c r="H1938" s="24">
        <f>IF($D1938="","",IFERROR(VLOOKUP($D1938,物料档案!$A$4:$P$1203,2,0),"※编码不在物料档案里"))</f>
        <v/>
      </c>
      <c r="I1938" s="24">
        <f>IF($D1938="","",IFERROR(VLOOKUP($D1938,物料档案!$A$4:$P$1203,6,0),"※编码不在物料档案里"))</f>
        <v/>
      </c>
      <c r="J1938" s="23" t="n"/>
      <c r="K1938" s="17" t="n"/>
      <c r="L1938" s="17" t="n"/>
      <c r="M1938" s="17" t="n"/>
      <c r="N1938" s="17" t="n"/>
      <c r="O1938" s="26">
        <f>IF($D1938="","",IFERROR(VLOOKUP($D1938,物料档案!$A$4:$P$1203,10,0),0))</f>
        <v/>
      </c>
      <c r="P1938" s="32" t="n"/>
      <c r="Q1938" s="26">
        <f>IF($D1938="","",IF($K1938&lt;&gt;"对外销售",0,ROUND(N($J1938)*IF($P1938="",N($O1938),N($P1938)),0)))</f>
        <v/>
      </c>
      <c r="R1938" s="26">
        <f>IF($D1938="","",IFERROR(VLOOKUP($D1938,库存台账!$A$5:$Y$1204,11,0),0))</f>
        <v/>
      </c>
      <c r="S1938" s="26">
        <f>IF($D1938="","",ROUND(N($J1938)*N($R1938),0))</f>
        <v/>
      </c>
      <c r="T1938" s="26">
        <f>IF($D1938="","",IF($K1938&lt;&gt;"对外销售","",ROUND($Q1938-$S1938,0)))</f>
        <v/>
      </c>
      <c r="U1938" s="17" t="n"/>
      <c r="V1938" s="17" t="n"/>
      <c r="W1938" s="24">
        <f>IF($D1938="","",IF($E1938="※编码不在物料档案里","※物料编码不在档案里",IF(N($J1938)&lt;=0,"※出库数量要大于 0",IF($K1938="","※没填去向类型",IF($L1938="","※没填去向矿区",IF(AND($C1938&lt;&gt;"",$C1938&lt;=结账锁),"※日期早于已结账截止日，不能再录",IF(AND($K1938="自用消耗",COUNTIF({"一矿区";"二矿区"},$L1938)=0),"※自用消耗的去向只能是一矿区或二矿区",IF(AND($K1938="对外销售",COUNTIF({"三矿区";"六矿区"},$L1938)=0),"※对外销售的去向只能是三矿区或六矿区",IF(AND($K1938="对外销售",ROUND($Q1938,0)=0),"※外销却没有售价，请填实际售价",IF(AND($K1938="对外销售",$T1938&lt;&gt;"",$T1938&lt;0),"※这一笔外销是亏的，请核对售价",IF(IFERROR(VLOOKUP($D1938,库存台账!$A$5:$Y$1204,24,0),0)&lt;-0.001,"※这个物料账面已经变成负数了，查一下是不是漏记入库","")))))))))))</f>
        <v/>
      </c>
    </row>
    <row r="1939">
      <c r="A1939" s="24">
        <f>IF($D1939="","",COUNTA($D$4:$D1939))</f>
        <v/>
      </c>
      <c r="B1939" s="17" t="n"/>
      <c r="C1939" s="30" t="n"/>
      <c r="D1939" s="17" t="n"/>
      <c r="E1939" s="24">
        <f>IF($D1939="","",IFERROR(VLOOKUP($D1939,物料档案!$A$4:$P$1203,3,0),"※编码不在物料档案里"))</f>
        <v/>
      </c>
      <c r="F1939" s="24">
        <f>IF($D1939="","",IFERROR(VLOOKUP($D1939,物料档案!$A$4:$P$1203,4,0),"※编码不在物料档案里"))</f>
        <v/>
      </c>
      <c r="G1939" s="24">
        <f>IF($D1939="","",IFERROR(VLOOKUP($D1939,物料档案!$A$4:$P$1203,5,0),"※编码不在物料档案里"))</f>
        <v/>
      </c>
      <c r="H1939" s="24">
        <f>IF($D1939="","",IFERROR(VLOOKUP($D1939,物料档案!$A$4:$P$1203,2,0),"※编码不在物料档案里"))</f>
        <v/>
      </c>
      <c r="I1939" s="24">
        <f>IF($D1939="","",IFERROR(VLOOKUP($D1939,物料档案!$A$4:$P$1203,6,0),"※编码不在物料档案里"))</f>
        <v/>
      </c>
      <c r="J1939" s="23" t="n"/>
      <c r="K1939" s="17" t="n"/>
      <c r="L1939" s="17" t="n"/>
      <c r="M1939" s="17" t="n"/>
      <c r="N1939" s="17" t="n"/>
      <c r="O1939" s="26">
        <f>IF($D1939="","",IFERROR(VLOOKUP($D1939,物料档案!$A$4:$P$1203,10,0),0))</f>
        <v/>
      </c>
      <c r="P1939" s="32" t="n"/>
      <c r="Q1939" s="26">
        <f>IF($D1939="","",IF($K1939&lt;&gt;"对外销售",0,ROUND(N($J1939)*IF($P1939="",N($O1939),N($P1939)),0)))</f>
        <v/>
      </c>
      <c r="R1939" s="26">
        <f>IF($D1939="","",IFERROR(VLOOKUP($D1939,库存台账!$A$5:$Y$1204,11,0),0))</f>
        <v/>
      </c>
      <c r="S1939" s="26">
        <f>IF($D1939="","",ROUND(N($J1939)*N($R1939),0))</f>
        <v/>
      </c>
      <c r="T1939" s="26">
        <f>IF($D1939="","",IF($K1939&lt;&gt;"对外销售","",ROUND($Q1939-$S1939,0)))</f>
        <v/>
      </c>
      <c r="U1939" s="17" t="n"/>
      <c r="V1939" s="17" t="n"/>
      <c r="W1939" s="24">
        <f>IF($D1939="","",IF($E1939="※编码不在物料档案里","※物料编码不在档案里",IF(N($J1939)&lt;=0,"※出库数量要大于 0",IF($K1939="","※没填去向类型",IF($L1939="","※没填去向矿区",IF(AND($C1939&lt;&gt;"",$C1939&lt;=结账锁),"※日期早于已结账截止日，不能再录",IF(AND($K1939="自用消耗",COUNTIF({"一矿区";"二矿区"},$L1939)=0),"※自用消耗的去向只能是一矿区或二矿区",IF(AND($K1939="对外销售",COUNTIF({"三矿区";"六矿区"},$L1939)=0),"※对外销售的去向只能是三矿区或六矿区",IF(AND($K1939="对外销售",ROUND($Q1939,0)=0),"※外销却没有售价，请填实际售价",IF(AND($K1939="对外销售",$T1939&lt;&gt;"",$T1939&lt;0),"※这一笔外销是亏的，请核对售价",IF(IFERROR(VLOOKUP($D1939,库存台账!$A$5:$Y$1204,24,0),0)&lt;-0.001,"※这个物料账面已经变成负数了，查一下是不是漏记入库","")))))))))))</f>
        <v/>
      </c>
    </row>
    <row r="1940">
      <c r="A1940" s="24">
        <f>IF($D1940="","",COUNTA($D$4:$D1940))</f>
        <v/>
      </c>
      <c r="B1940" s="17" t="n"/>
      <c r="C1940" s="30" t="n"/>
      <c r="D1940" s="17" t="n"/>
      <c r="E1940" s="24">
        <f>IF($D1940="","",IFERROR(VLOOKUP($D1940,物料档案!$A$4:$P$1203,3,0),"※编码不在物料档案里"))</f>
        <v/>
      </c>
      <c r="F1940" s="24">
        <f>IF($D1940="","",IFERROR(VLOOKUP($D1940,物料档案!$A$4:$P$1203,4,0),"※编码不在物料档案里"))</f>
        <v/>
      </c>
      <c r="G1940" s="24">
        <f>IF($D1940="","",IFERROR(VLOOKUP($D1940,物料档案!$A$4:$P$1203,5,0),"※编码不在物料档案里"))</f>
        <v/>
      </c>
      <c r="H1940" s="24">
        <f>IF($D1940="","",IFERROR(VLOOKUP($D1940,物料档案!$A$4:$P$1203,2,0),"※编码不在物料档案里"))</f>
        <v/>
      </c>
      <c r="I1940" s="24">
        <f>IF($D1940="","",IFERROR(VLOOKUP($D1940,物料档案!$A$4:$P$1203,6,0),"※编码不在物料档案里"))</f>
        <v/>
      </c>
      <c r="J1940" s="23" t="n"/>
      <c r="K1940" s="17" t="n"/>
      <c r="L1940" s="17" t="n"/>
      <c r="M1940" s="17" t="n"/>
      <c r="N1940" s="17" t="n"/>
      <c r="O1940" s="26">
        <f>IF($D1940="","",IFERROR(VLOOKUP($D1940,物料档案!$A$4:$P$1203,10,0),0))</f>
        <v/>
      </c>
      <c r="P1940" s="32" t="n"/>
      <c r="Q1940" s="26">
        <f>IF($D1940="","",IF($K1940&lt;&gt;"对外销售",0,ROUND(N($J1940)*IF($P1940="",N($O1940),N($P1940)),0)))</f>
        <v/>
      </c>
      <c r="R1940" s="26">
        <f>IF($D1940="","",IFERROR(VLOOKUP($D1940,库存台账!$A$5:$Y$1204,11,0),0))</f>
        <v/>
      </c>
      <c r="S1940" s="26">
        <f>IF($D1940="","",ROUND(N($J1940)*N($R1940),0))</f>
        <v/>
      </c>
      <c r="T1940" s="26">
        <f>IF($D1940="","",IF($K1940&lt;&gt;"对外销售","",ROUND($Q1940-$S1940,0)))</f>
        <v/>
      </c>
      <c r="U1940" s="17" t="n"/>
      <c r="V1940" s="17" t="n"/>
      <c r="W1940" s="24">
        <f>IF($D1940="","",IF($E1940="※编码不在物料档案里","※物料编码不在档案里",IF(N($J1940)&lt;=0,"※出库数量要大于 0",IF($K1940="","※没填去向类型",IF($L1940="","※没填去向矿区",IF(AND($C1940&lt;&gt;"",$C1940&lt;=结账锁),"※日期早于已结账截止日，不能再录",IF(AND($K1940="自用消耗",COUNTIF({"一矿区";"二矿区"},$L1940)=0),"※自用消耗的去向只能是一矿区或二矿区",IF(AND($K1940="对外销售",COUNTIF({"三矿区";"六矿区"},$L1940)=0),"※对外销售的去向只能是三矿区或六矿区",IF(AND($K1940="对外销售",ROUND($Q1940,0)=0),"※外销却没有售价，请填实际售价",IF(AND($K1940="对外销售",$T1940&lt;&gt;"",$T1940&lt;0),"※这一笔外销是亏的，请核对售价",IF(IFERROR(VLOOKUP($D1940,库存台账!$A$5:$Y$1204,24,0),0)&lt;-0.001,"※这个物料账面已经变成负数了，查一下是不是漏记入库","")))))))))))</f>
        <v/>
      </c>
    </row>
    <row r="1941">
      <c r="A1941" s="24">
        <f>IF($D1941="","",COUNTA($D$4:$D1941))</f>
        <v/>
      </c>
      <c r="B1941" s="17" t="n"/>
      <c r="C1941" s="30" t="n"/>
      <c r="D1941" s="17" t="n"/>
      <c r="E1941" s="24">
        <f>IF($D1941="","",IFERROR(VLOOKUP($D1941,物料档案!$A$4:$P$1203,3,0),"※编码不在物料档案里"))</f>
        <v/>
      </c>
      <c r="F1941" s="24">
        <f>IF($D1941="","",IFERROR(VLOOKUP($D1941,物料档案!$A$4:$P$1203,4,0),"※编码不在物料档案里"))</f>
        <v/>
      </c>
      <c r="G1941" s="24">
        <f>IF($D1941="","",IFERROR(VLOOKUP($D1941,物料档案!$A$4:$P$1203,5,0),"※编码不在物料档案里"))</f>
        <v/>
      </c>
      <c r="H1941" s="24">
        <f>IF($D1941="","",IFERROR(VLOOKUP($D1941,物料档案!$A$4:$P$1203,2,0),"※编码不在物料档案里"))</f>
        <v/>
      </c>
      <c r="I1941" s="24">
        <f>IF($D1941="","",IFERROR(VLOOKUP($D1941,物料档案!$A$4:$P$1203,6,0),"※编码不在物料档案里"))</f>
        <v/>
      </c>
      <c r="J1941" s="23" t="n"/>
      <c r="K1941" s="17" t="n"/>
      <c r="L1941" s="17" t="n"/>
      <c r="M1941" s="17" t="n"/>
      <c r="N1941" s="17" t="n"/>
      <c r="O1941" s="26">
        <f>IF($D1941="","",IFERROR(VLOOKUP($D1941,物料档案!$A$4:$P$1203,10,0),0))</f>
        <v/>
      </c>
      <c r="P1941" s="32" t="n"/>
      <c r="Q1941" s="26">
        <f>IF($D1941="","",IF($K1941&lt;&gt;"对外销售",0,ROUND(N($J1941)*IF($P1941="",N($O1941),N($P1941)),0)))</f>
        <v/>
      </c>
      <c r="R1941" s="26">
        <f>IF($D1941="","",IFERROR(VLOOKUP($D1941,库存台账!$A$5:$Y$1204,11,0),0))</f>
        <v/>
      </c>
      <c r="S1941" s="26">
        <f>IF($D1941="","",ROUND(N($J1941)*N($R1941),0))</f>
        <v/>
      </c>
      <c r="T1941" s="26">
        <f>IF($D1941="","",IF($K1941&lt;&gt;"对外销售","",ROUND($Q1941-$S1941,0)))</f>
        <v/>
      </c>
      <c r="U1941" s="17" t="n"/>
      <c r="V1941" s="17" t="n"/>
      <c r="W1941" s="24">
        <f>IF($D1941="","",IF($E1941="※编码不在物料档案里","※物料编码不在档案里",IF(N($J1941)&lt;=0,"※出库数量要大于 0",IF($K1941="","※没填去向类型",IF($L1941="","※没填去向矿区",IF(AND($C1941&lt;&gt;"",$C1941&lt;=结账锁),"※日期早于已结账截止日，不能再录",IF(AND($K1941="自用消耗",COUNTIF({"一矿区";"二矿区"},$L1941)=0),"※自用消耗的去向只能是一矿区或二矿区",IF(AND($K1941="对外销售",COUNTIF({"三矿区";"六矿区"},$L1941)=0),"※对外销售的去向只能是三矿区或六矿区",IF(AND($K1941="对外销售",ROUND($Q1941,0)=0),"※外销却没有售价，请填实际售价",IF(AND($K1941="对外销售",$T1941&lt;&gt;"",$T1941&lt;0),"※这一笔外销是亏的，请核对售价",IF(IFERROR(VLOOKUP($D1941,库存台账!$A$5:$Y$1204,24,0),0)&lt;-0.001,"※这个物料账面已经变成负数了，查一下是不是漏记入库","")))))))))))</f>
        <v/>
      </c>
    </row>
    <row r="1942">
      <c r="A1942" s="24">
        <f>IF($D1942="","",COUNTA($D$4:$D1942))</f>
        <v/>
      </c>
      <c r="B1942" s="17" t="n"/>
      <c r="C1942" s="30" t="n"/>
      <c r="D1942" s="17" t="n"/>
      <c r="E1942" s="24">
        <f>IF($D1942="","",IFERROR(VLOOKUP($D1942,物料档案!$A$4:$P$1203,3,0),"※编码不在物料档案里"))</f>
        <v/>
      </c>
      <c r="F1942" s="24">
        <f>IF($D1942="","",IFERROR(VLOOKUP($D1942,物料档案!$A$4:$P$1203,4,0),"※编码不在物料档案里"))</f>
        <v/>
      </c>
      <c r="G1942" s="24">
        <f>IF($D1942="","",IFERROR(VLOOKUP($D1942,物料档案!$A$4:$P$1203,5,0),"※编码不在物料档案里"))</f>
        <v/>
      </c>
      <c r="H1942" s="24">
        <f>IF($D1942="","",IFERROR(VLOOKUP($D1942,物料档案!$A$4:$P$1203,2,0),"※编码不在物料档案里"))</f>
        <v/>
      </c>
      <c r="I1942" s="24">
        <f>IF($D1942="","",IFERROR(VLOOKUP($D1942,物料档案!$A$4:$P$1203,6,0),"※编码不在物料档案里"))</f>
        <v/>
      </c>
      <c r="J1942" s="23" t="n"/>
      <c r="K1942" s="17" t="n"/>
      <c r="L1942" s="17" t="n"/>
      <c r="M1942" s="17" t="n"/>
      <c r="N1942" s="17" t="n"/>
      <c r="O1942" s="26">
        <f>IF($D1942="","",IFERROR(VLOOKUP($D1942,物料档案!$A$4:$P$1203,10,0),0))</f>
        <v/>
      </c>
      <c r="P1942" s="32" t="n"/>
      <c r="Q1942" s="26">
        <f>IF($D1942="","",IF($K1942&lt;&gt;"对外销售",0,ROUND(N($J1942)*IF($P1942="",N($O1942),N($P1942)),0)))</f>
        <v/>
      </c>
      <c r="R1942" s="26">
        <f>IF($D1942="","",IFERROR(VLOOKUP($D1942,库存台账!$A$5:$Y$1204,11,0),0))</f>
        <v/>
      </c>
      <c r="S1942" s="26">
        <f>IF($D1942="","",ROUND(N($J1942)*N($R1942),0))</f>
        <v/>
      </c>
      <c r="T1942" s="26">
        <f>IF($D1942="","",IF($K1942&lt;&gt;"对外销售","",ROUND($Q1942-$S1942,0)))</f>
        <v/>
      </c>
      <c r="U1942" s="17" t="n"/>
      <c r="V1942" s="17" t="n"/>
      <c r="W1942" s="24">
        <f>IF($D1942="","",IF($E1942="※编码不在物料档案里","※物料编码不在档案里",IF(N($J1942)&lt;=0,"※出库数量要大于 0",IF($K1942="","※没填去向类型",IF($L1942="","※没填去向矿区",IF(AND($C1942&lt;&gt;"",$C1942&lt;=结账锁),"※日期早于已结账截止日，不能再录",IF(AND($K1942="自用消耗",COUNTIF({"一矿区";"二矿区"},$L1942)=0),"※自用消耗的去向只能是一矿区或二矿区",IF(AND($K1942="对外销售",COUNTIF({"三矿区";"六矿区"},$L1942)=0),"※对外销售的去向只能是三矿区或六矿区",IF(AND($K1942="对外销售",ROUND($Q1942,0)=0),"※外销却没有售价，请填实际售价",IF(AND($K1942="对外销售",$T1942&lt;&gt;"",$T1942&lt;0),"※这一笔外销是亏的，请核对售价",IF(IFERROR(VLOOKUP($D1942,库存台账!$A$5:$Y$1204,24,0),0)&lt;-0.001,"※这个物料账面已经变成负数了，查一下是不是漏记入库","")))))))))))</f>
        <v/>
      </c>
    </row>
    <row r="1943">
      <c r="A1943" s="24">
        <f>IF($D1943="","",COUNTA($D$4:$D1943))</f>
        <v/>
      </c>
      <c r="B1943" s="17" t="n"/>
      <c r="C1943" s="30" t="n"/>
      <c r="D1943" s="17" t="n"/>
      <c r="E1943" s="24">
        <f>IF($D1943="","",IFERROR(VLOOKUP($D1943,物料档案!$A$4:$P$1203,3,0),"※编码不在物料档案里"))</f>
        <v/>
      </c>
      <c r="F1943" s="24">
        <f>IF($D1943="","",IFERROR(VLOOKUP($D1943,物料档案!$A$4:$P$1203,4,0),"※编码不在物料档案里"))</f>
        <v/>
      </c>
      <c r="G1943" s="24">
        <f>IF($D1943="","",IFERROR(VLOOKUP($D1943,物料档案!$A$4:$P$1203,5,0),"※编码不在物料档案里"))</f>
        <v/>
      </c>
      <c r="H1943" s="24">
        <f>IF($D1943="","",IFERROR(VLOOKUP($D1943,物料档案!$A$4:$P$1203,2,0),"※编码不在物料档案里"))</f>
        <v/>
      </c>
      <c r="I1943" s="24">
        <f>IF($D1943="","",IFERROR(VLOOKUP($D1943,物料档案!$A$4:$P$1203,6,0),"※编码不在物料档案里"))</f>
        <v/>
      </c>
      <c r="J1943" s="23" t="n"/>
      <c r="K1943" s="17" t="n"/>
      <c r="L1943" s="17" t="n"/>
      <c r="M1943" s="17" t="n"/>
      <c r="N1943" s="17" t="n"/>
      <c r="O1943" s="26">
        <f>IF($D1943="","",IFERROR(VLOOKUP($D1943,物料档案!$A$4:$P$1203,10,0),0))</f>
        <v/>
      </c>
      <c r="P1943" s="32" t="n"/>
      <c r="Q1943" s="26">
        <f>IF($D1943="","",IF($K1943&lt;&gt;"对外销售",0,ROUND(N($J1943)*IF($P1943="",N($O1943),N($P1943)),0)))</f>
        <v/>
      </c>
      <c r="R1943" s="26">
        <f>IF($D1943="","",IFERROR(VLOOKUP($D1943,库存台账!$A$5:$Y$1204,11,0),0))</f>
        <v/>
      </c>
      <c r="S1943" s="26">
        <f>IF($D1943="","",ROUND(N($J1943)*N($R1943),0))</f>
        <v/>
      </c>
      <c r="T1943" s="26">
        <f>IF($D1943="","",IF($K1943&lt;&gt;"对外销售","",ROUND($Q1943-$S1943,0)))</f>
        <v/>
      </c>
      <c r="U1943" s="17" t="n"/>
      <c r="V1943" s="17" t="n"/>
      <c r="W1943" s="24">
        <f>IF($D1943="","",IF($E1943="※编码不在物料档案里","※物料编码不在档案里",IF(N($J1943)&lt;=0,"※出库数量要大于 0",IF($K1943="","※没填去向类型",IF($L1943="","※没填去向矿区",IF(AND($C1943&lt;&gt;"",$C1943&lt;=结账锁),"※日期早于已结账截止日，不能再录",IF(AND($K1943="自用消耗",COUNTIF({"一矿区";"二矿区"},$L1943)=0),"※自用消耗的去向只能是一矿区或二矿区",IF(AND($K1943="对外销售",COUNTIF({"三矿区";"六矿区"},$L1943)=0),"※对外销售的去向只能是三矿区或六矿区",IF(AND($K1943="对外销售",ROUND($Q1943,0)=0),"※外销却没有售价，请填实际售价",IF(AND($K1943="对外销售",$T1943&lt;&gt;"",$T1943&lt;0),"※这一笔外销是亏的，请核对售价",IF(IFERROR(VLOOKUP($D1943,库存台账!$A$5:$Y$1204,24,0),0)&lt;-0.001,"※这个物料账面已经变成负数了，查一下是不是漏记入库","")))))))))))</f>
        <v/>
      </c>
    </row>
    <row r="1944">
      <c r="A1944" s="24">
        <f>IF($D1944="","",COUNTA($D$4:$D1944))</f>
        <v/>
      </c>
      <c r="B1944" s="17" t="n"/>
      <c r="C1944" s="30" t="n"/>
      <c r="D1944" s="17" t="n"/>
      <c r="E1944" s="24">
        <f>IF($D1944="","",IFERROR(VLOOKUP($D1944,物料档案!$A$4:$P$1203,3,0),"※编码不在物料档案里"))</f>
        <v/>
      </c>
      <c r="F1944" s="24">
        <f>IF($D1944="","",IFERROR(VLOOKUP($D1944,物料档案!$A$4:$P$1203,4,0),"※编码不在物料档案里"))</f>
        <v/>
      </c>
      <c r="G1944" s="24">
        <f>IF($D1944="","",IFERROR(VLOOKUP($D1944,物料档案!$A$4:$P$1203,5,0),"※编码不在物料档案里"))</f>
        <v/>
      </c>
      <c r="H1944" s="24">
        <f>IF($D1944="","",IFERROR(VLOOKUP($D1944,物料档案!$A$4:$P$1203,2,0),"※编码不在物料档案里"))</f>
        <v/>
      </c>
      <c r="I1944" s="24">
        <f>IF($D1944="","",IFERROR(VLOOKUP($D1944,物料档案!$A$4:$P$1203,6,0),"※编码不在物料档案里"))</f>
        <v/>
      </c>
      <c r="J1944" s="23" t="n"/>
      <c r="K1944" s="17" t="n"/>
      <c r="L1944" s="17" t="n"/>
      <c r="M1944" s="17" t="n"/>
      <c r="N1944" s="17" t="n"/>
      <c r="O1944" s="26">
        <f>IF($D1944="","",IFERROR(VLOOKUP($D1944,物料档案!$A$4:$P$1203,10,0),0))</f>
        <v/>
      </c>
      <c r="P1944" s="32" t="n"/>
      <c r="Q1944" s="26">
        <f>IF($D1944="","",IF($K1944&lt;&gt;"对外销售",0,ROUND(N($J1944)*IF($P1944="",N($O1944),N($P1944)),0)))</f>
        <v/>
      </c>
      <c r="R1944" s="26">
        <f>IF($D1944="","",IFERROR(VLOOKUP($D1944,库存台账!$A$5:$Y$1204,11,0),0))</f>
        <v/>
      </c>
      <c r="S1944" s="26">
        <f>IF($D1944="","",ROUND(N($J1944)*N($R1944),0))</f>
        <v/>
      </c>
      <c r="T1944" s="26">
        <f>IF($D1944="","",IF($K1944&lt;&gt;"对外销售","",ROUND($Q1944-$S1944,0)))</f>
        <v/>
      </c>
      <c r="U1944" s="17" t="n"/>
      <c r="V1944" s="17" t="n"/>
      <c r="W1944" s="24">
        <f>IF($D1944="","",IF($E1944="※编码不在物料档案里","※物料编码不在档案里",IF(N($J1944)&lt;=0,"※出库数量要大于 0",IF($K1944="","※没填去向类型",IF($L1944="","※没填去向矿区",IF(AND($C1944&lt;&gt;"",$C1944&lt;=结账锁),"※日期早于已结账截止日，不能再录",IF(AND($K1944="自用消耗",COUNTIF({"一矿区";"二矿区"},$L1944)=0),"※自用消耗的去向只能是一矿区或二矿区",IF(AND($K1944="对外销售",COUNTIF({"三矿区";"六矿区"},$L1944)=0),"※对外销售的去向只能是三矿区或六矿区",IF(AND($K1944="对外销售",ROUND($Q1944,0)=0),"※外销却没有售价，请填实际售价",IF(AND($K1944="对外销售",$T1944&lt;&gt;"",$T1944&lt;0),"※这一笔外销是亏的，请核对售价",IF(IFERROR(VLOOKUP($D1944,库存台账!$A$5:$Y$1204,24,0),0)&lt;-0.001,"※这个物料账面已经变成负数了，查一下是不是漏记入库","")))))))))))</f>
        <v/>
      </c>
    </row>
    <row r="1945">
      <c r="A1945" s="24">
        <f>IF($D1945="","",COUNTA($D$4:$D1945))</f>
        <v/>
      </c>
      <c r="B1945" s="17" t="n"/>
      <c r="C1945" s="30" t="n"/>
      <c r="D1945" s="17" t="n"/>
      <c r="E1945" s="24">
        <f>IF($D1945="","",IFERROR(VLOOKUP($D1945,物料档案!$A$4:$P$1203,3,0),"※编码不在物料档案里"))</f>
        <v/>
      </c>
      <c r="F1945" s="24">
        <f>IF($D1945="","",IFERROR(VLOOKUP($D1945,物料档案!$A$4:$P$1203,4,0),"※编码不在物料档案里"))</f>
        <v/>
      </c>
      <c r="G1945" s="24">
        <f>IF($D1945="","",IFERROR(VLOOKUP($D1945,物料档案!$A$4:$P$1203,5,0),"※编码不在物料档案里"))</f>
        <v/>
      </c>
      <c r="H1945" s="24">
        <f>IF($D1945="","",IFERROR(VLOOKUP($D1945,物料档案!$A$4:$P$1203,2,0),"※编码不在物料档案里"))</f>
        <v/>
      </c>
      <c r="I1945" s="24">
        <f>IF($D1945="","",IFERROR(VLOOKUP($D1945,物料档案!$A$4:$P$1203,6,0),"※编码不在物料档案里"))</f>
        <v/>
      </c>
      <c r="J1945" s="23" t="n"/>
      <c r="K1945" s="17" t="n"/>
      <c r="L1945" s="17" t="n"/>
      <c r="M1945" s="17" t="n"/>
      <c r="N1945" s="17" t="n"/>
      <c r="O1945" s="26">
        <f>IF($D1945="","",IFERROR(VLOOKUP($D1945,物料档案!$A$4:$P$1203,10,0),0))</f>
        <v/>
      </c>
      <c r="P1945" s="32" t="n"/>
      <c r="Q1945" s="26">
        <f>IF($D1945="","",IF($K1945&lt;&gt;"对外销售",0,ROUND(N($J1945)*IF($P1945="",N($O1945),N($P1945)),0)))</f>
        <v/>
      </c>
      <c r="R1945" s="26">
        <f>IF($D1945="","",IFERROR(VLOOKUP($D1945,库存台账!$A$5:$Y$1204,11,0),0))</f>
        <v/>
      </c>
      <c r="S1945" s="26">
        <f>IF($D1945="","",ROUND(N($J1945)*N($R1945),0))</f>
        <v/>
      </c>
      <c r="T1945" s="26">
        <f>IF($D1945="","",IF($K1945&lt;&gt;"对外销售","",ROUND($Q1945-$S1945,0)))</f>
        <v/>
      </c>
      <c r="U1945" s="17" t="n"/>
      <c r="V1945" s="17" t="n"/>
      <c r="W1945" s="24">
        <f>IF($D1945="","",IF($E1945="※编码不在物料档案里","※物料编码不在档案里",IF(N($J1945)&lt;=0,"※出库数量要大于 0",IF($K1945="","※没填去向类型",IF($L1945="","※没填去向矿区",IF(AND($C1945&lt;&gt;"",$C1945&lt;=结账锁),"※日期早于已结账截止日，不能再录",IF(AND($K1945="自用消耗",COUNTIF({"一矿区";"二矿区"},$L1945)=0),"※自用消耗的去向只能是一矿区或二矿区",IF(AND($K1945="对外销售",COUNTIF({"三矿区";"六矿区"},$L1945)=0),"※对外销售的去向只能是三矿区或六矿区",IF(AND($K1945="对外销售",ROUND($Q1945,0)=0),"※外销却没有售价，请填实际售价",IF(AND($K1945="对外销售",$T1945&lt;&gt;"",$T1945&lt;0),"※这一笔外销是亏的，请核对售价",IF(IFERROR(VLOOKUP($D1945,库存台账!$A$5:$Y$1204,24,0),0)&lt;-0.001,"※这个物料账面已经变成负数了，查一下是不是漏记入库","")))))))))))</f>
        <v/>
      </c>
    </row>
    <row r="1946">
      <c r="A1946" s="24">
        <f>IF($D1946="","",COUNTA($D$4:$D1946))</f>
        <v/>
      </c>
      <c r="B1946" s="17" t="n"/>
      <c r="C1946" s="30" t="n"/>
      <c r="D1946" s="17" t="n"/>
      <c r="E1946" s="24">
        <f>IF($D1946="","",IFERROR(VLOOKUP($D1946,物料档案!$A$4:$P$1203,3,0),"※编码不在物料档案里"))</f>
        <v/>
      </c>
      <c r="F1946" s="24">
        <f>IF($D1946="","",IFERROR(VLOOKUP($D1946,物料档案!$A$4:$P$1203,4,0),"※编码不在物料档案里"))</f>
        <v/>
      </c>
      <c r="G1946" s="24">
        <f>IF($D1946="","",IFERROR(VLOOKUP($D1946,物料档案!$A$4:$P$1203,5,0),"※编码不在物料档案里"))</f>
        <v/>
      </c>
      <c r="H1946" s="24">
        <f>IF($D1946="","",IFERROR(VLOOKUP($D1946,物料档案!$A$4:$P$1203,2,0),"※编码不在物料档案里"))</f>
        <v/>
      </c>
      <c r="I1946" s="24">
        <f>IF($D1946="","",IFERROR(VLOOKUP($D1946,物料档案!$A$4:$P$1203,6,0),"※编码不在物料档案里"))</f>
        <v/>
      </c>
      <c r="J1946" s="23" t="n"/>
      <c r="K1946" s="17" t="n"/>
      <c r="L1946" s="17" t="n"/>
      <c r="M1946" s="17" t="n"/>
      <c r="N1946" s="17" t="n"/>
      <c r="O1946" s="26">
        <f>IF($D1946="","",IFERROR(VLOOKUP($D1946,物料档案!$A$4:$P$1203,10,0),0))</f>
        <v/>
      </c>
      <c r="P1946" s="32" t="n"/>
      <c r="Q1946" s="26">
        <f>IF($D1946="","",IF($K1946&lt;&gt;"对外销售",0,ROUND(N($J1946)*IF($P1946="",N($O1946),N($P1946)),0)))</f>
        <v/>
      </c>
      <c r="R1946" s="26">
        <f>IF($D1946="","",IFERROR(VLOOKUP($D1946,库存台账!$A$5:$Y$1204,11,0),0))</f>
        <v/>
      </c>
      <c r="S1946" s="26">
        <f>IF($D1946="","",ROUND(N($J1946)*N($R1946),0))</f>
        <v/>
      </c>
      <c r="T1946" s="26">
        <f>IF($D1946="","",IF($K1946&lt;&gt;"对外销售","",ROUND($Q1946-$S1946,0)))</f>
        <v/>
      </c>
      <c r="U1946" s="17" t="n"/>
      <c r="V1946" s="17" t="n"/>
      <c r="W1946" s="24">
        <f>IF($D1946="","",IF($E1946="※编码不在物料档案里","※物料编码不在档案里",IF(N($J1946)&lt;=0,"※出库数量要大于 0",IF($K1946="","※没填去向类型",IF($L1946="","※没填去向矿区",IF(AND($C1946&lt;&gt;"",$C1946&lt;=结账锁),"※日期早于已结账截止日，不能再录",IF(AND($K1946="自用消耗",COUNTIF({"一矿区";"二矿区"},$L1946)=0),"※自用消耗的去向只能是一矿区或二矿区",IF(AND($K1946="对外销售",COUNTIF({"三矿区";"六矿区"},$L1946)=0),"※对外销售的去向只能是三矿区或六矿区",IF(AND($K1946="对外销售",ROUND($Q1946,0)=0),"※外销却没有售价，请填实际售价",IF(AND($K1946="对外销售",$T1946&lt;&gt;"",$T1946&lt;0),"※这一笔外销是亏的，请核对售价",IF(IFERROR(VLOOKUP($D1946,库存台账!$A$5:$Y$1204,24,0),0)&lt;-0.001,"※这个物料账面已经变成负数了，查一下是不是漏记入库","")))))))))))</f>
        <v/>
      </c>
    </row>
    <row r="1947">
      <c r="A1947" s="24">
        <f>IF($D1947="","",COUNTA($D$4:$D1947))</f>
        <v/>
      </c>
      <c r="B1947" s="17" t="n"/>
      <c r="C1947" s="30" t="n"/>
      <c r="D1947" s="17" t="n"/>
      <c r="E1947" s="24">
        <f>IF($D1947="","",IFERROR(VLOOKUP($D1947,物料档案!$A$4:$P$1203,3,0),"※编码不在物料档案里"))</f>
        <v/>
      </c>
      <c r="F1947" s="24">
        <f>IF($D1947="","",IFERROR(VLOOKUP($D1947,物料档案!$A$4:$P$1203,4,0),"※编码不在物料档案里"))</f>
        <v/>
      </c>
      <c r="G1947" s="24">
        <f>IF($D1947="","",IFERROR(VLOOKUP($D1947,物料档案!$A$4:$P$1203,5,0),"※编码不在物料档案里"))</f>
        <v/>
      </c>
      <c r="H1947" s="24">
        <f>IF($D1947="","",IFERROR(VLOOKUP($D1947,物料档案!$A$4:$P$1203,2,0),"※编码不在物料档案里"))</f>
        <v/>
      </c>
      <c r="I1947" s="24">
        <f>IF($D1947="","",IFERROR(VLOOKUP($D1947,物料档案!$A$4:$P$1203,6,0),"※编码不在物料档案里"))</f>
        <v/>
      </c>
      <c r="J1947" s="23" t="n"/>
      <c r="K1947" s="17" t="n"/>
      <c r="L1947" s="17" t="n"/>
      <c r="M1947" s="17" t="n"/>
      <c r="N1947" s="17" t="n"/>
      <c r="O1947" s="26">
        <f>IF($D1947="","",IFERROR(VLOOKUP($D1947,物料档案!$A$4:$P$1203,10,0),0))</f>
        <v/>
      </c>
      <c r="P1947" s="32" t="n"/>
      <c r="Q1947" s="26">
        <f>IF($D1947="","",IF($K1947&lt;&gt;"对外销售",0,ROUND(N($J1947)*IF($P1947="",N($O1947),N($P1947)),0)))</f>
        <v/>
      </c>
      <c r="R1947" s="26">
        <f>IF($D1947="","",IFERROR(VLOOKUP($D1947,库存台账!$A$5:$Y$1204,11,0),0))</f>
        <v/>
      </c>
      <c r="S1947" s="26">
        <f>IF($D1947="","",ROUND(N($J1947)*N($R1947),0))</f>
        <v/>
      </c>
      <c r="T1947" s="26">
        <f>IF($D1947="","",IF($K1947&lt;&gt;"对外销售","",ROUND($Q1947-$S1947,0)))</f>
        <v/>
      </c>
      <c r="U1947" s="17" t="n"/>
      <c r="V1947" s="17" t="n"/>
      <c r="W1947" s="24">
        <f>IF($D1947="","",IF($E1947="※编码不在物料档案里","※物料编码不在档案里",IF(N($J1947)&lt;=0,"※出库数量要大于 0",IF($K1947="","※没填去向类型",IF($L1947="","※没填去向矿区",IF(AND($C1947&lt;&gt;"",$C1947&lt;=结账锁),"※日期早于已结账截止日，不能再录",IF(AND($K1947="自用消耗",COUNTIF({"一矿区";"二矿区"},$L1947)=0),"※自用消耗的去向只能是一矿区或二矿区",IF(AND($K1947="对外销售",COUNTIF({"三矿区";"六矿区"},$L1947)=0),"※对外销售的去向只能是三矿区或六矿区",IF(AND($K1947="对外销售",ROUND($Q1947,0)=0),"※外销却没有售价，请填实际售价",IF(AND($K1947="对外销售",$T1947&lt;&gt;"",$T1947&lt;0),"※这一笔外销是亏的，请核对售价",IF(IFERROR(VLOOKUP($D1947,库存台账!$A$5:$Y$1204,24,0),0)&lt;-0.001,"※这个物料账面已经变成负数了，查一下是不是漏记入库","")))))))))))</f>
        <v/>
      </c>
    </row>
    <row r="1948">
      <c r="A1948" s="24">
        <f>IF($D1948="","",COUNTA($D$4:$D1948))</f>
        <v/>
      </c>
      <c r="B1948" s="17" t="n"/>
      <c r="C1948" s="30" t="n"/>
      <c r="D1948" s="17" t="n"/>
      <c r="E1948" s="24">
        <f>IF($D1948="","",IFERROR(VLOOKUP($D1948,物料档案!$A$4:$P$1203,3,0),"※编码不在物料档案里"))</f>
        <v/>
      </c>
      <c r="F1948" s="24">
        <f>IF($D1948="","",IFERROR(VLOOKUP($D1948,物料档案!$A$4:$P$1203,4,0),"※编码不在物料档案里"))</f>
        <v/>
      </c>
      <c r="G1948" s="24">
        <f>IF($D1948="","",IFERROR(VLOOKUP($D1948,物料档案!$A$4:$P$1203,5,0),"※编码不在物料档案里"))</f>
        <v/>
      </c>
      <c r="H1948" s="24">
        <f>IF($D1948="","",IFERROR(VLOOKUP($D1948,物料档案!$A$4:$P$1203,2,0),"※编码不在物料档案里"))</f>
        <v/>
      </c>
      <c r="I1948" s="24">
        <f>IF($D1948="","",IFERROR(VLOOKUP($D1948,物料档案!$A$4:$P$1203,6,0),"※编码不在物料档案里"))</f>
        <v/>
      </c>
      <c r="J1948" s="23" t="n"/>
      <c r="K1948" s="17" t="n"/>
      <c r="L1948" s="17" t="n"/>
      <c r="M1948" s="17" t="n"/>
      <c r="N1948" s="17" t="n"/>
      <c r="O1948" s="26">
        <f>IF($D1948="","",IFERROR(VLOOKUP($D1948,物料档案!$A$4:$P$1203,10,0),0))</f>
        <v/>
      </c>
      <c r="P1948" s="32" t="n"/>
      <c r="Q1948" s="26">
        <f>IF($D1948="","",IF($K1948&lt;&gt;"对外销售",0,ROUND(N($J1948)*IF($P1948="",N($O1948),N($P1948)),0)))</f>
        <v/>
      </c>
      <c r="R1948" s="26">
        <f>IF($D1948="","",IFERROR(VLOOKUP($D1948,库存台账!$A$5:$Y$1204,11,0),0))</f>
        <v/>
      </c>
      <c r="S1948" s="26">
        <f>IF($D1948="","",ROUND(N($J1948)*N($R1948),0))</f>
        <v/>
      </c>
      <c r="T1948" s="26">
        <f>IF($D1948="","",IF($K1948&lt;&gt;"对外销售","",ROUND($Q1948-$S1948,0)))</f>
        <v/>
      </c>
      <c r="U1948" s="17" t="n"/>
      <c r="V1948" s="17" t="n"/>
      <c r="W1948" s="24">
        <f>IF($D1948="","",IF($E1948="※编码不在物料档案里","※物料编码不在档案里",IF(N($J1948)&lt;=0,"※出库数量要大于 0",IF($K1948="","※没填去向类型",IF($L1948="","※没填去向矿区",IF(AND($C1948&lt;&gt;"",$C1948&lt;=结账锁),"※日期早于已结账截止日，不能再录",IF(AND($K1948="自用消耗",COUNTIF({"一矿区";"二矿区"},$L1948)=0),"※自用消耗的去向只能是一矿区或二矿区",IF(AND($K1948="对外销售",COUNTIF({"三矿区";"六矿区"},$L1948)=0),"※对外销售的去向只能是三矿区或六矿区",IF(AND($K1948="对外销售",ROUND($Q1948,0)=0),"※外销却没有售价，请填实际售价",IF(AND($K1948="对外销售",$T1948&lt;&gt;"",$T1948&lt;0),"※这一笔外销是亏的，请核对售价",IF(IFERROR(VLOOKUP($D1948,库存台账!$A$5:$Y$1204,24,0),0)&lt;-0.001,"※这个物料账面已经变成负数了，查一下是不是漏记入库","")))))))))))</f>
        <v/>
      </c>
    </row>
    <row r="1949">
      <c r="A1949" s="24">
        <f>IF($D1949="","",COUNTA($D$4:$D1949))</f>
        <v/>
      </c>
      <c r="B1949" s="17" t="n"/>
      <c r="C1949" s="30" t="n"/>
      <c r="D1949" s="17" t="n"/>
      <c r="E1949" s="24">
        <f>IF($D1949="","",IFERROR(VLOOKUP($D1949,物料档案!$A$4:$P$1203,3,0),"※编码不在物料档案里"))</f>
        <v/>
      </c>
      <c r="F1949" s="24">
        <f>IF($D1949="","",IFERROR(VLOOKUP($D1949,物料档案!$A$4:$P$1203,4,0),"※编码不在物料档案里"))</f>
        <v/>
      </c>
      <c r="G1949" s="24">
        <f>IF($D1949="","",IFERROR(VLOOKUP($D1949,物料档案!$A$4:$P$1203,5,0),"※编码不在物料档案里"))</f>
        <v/>
      </c>
      <c r="H1949" s="24">
        <f>IF($D1949="","",IFERROR(VLOOKUP($D1949,物料档案!$A$4:$P$1203,2,0),"※编码不在物料档案里"))</f>
        <v/>
      </c>
      <c r="I1949" s="24">
        <f>IF($D1949="","",IFERROR(VLOOKUP($D1949,物料档案!$A$4:$P$1203,6,0),"※编码不在物料档案里"))</f>
        <v/>
      </c>
      <c r="J1949" s="23" t="n"/>
      <c r="K1949" s="17" t="n"/>
      <c r="L1949" s="17" t="n"/>
      <c r="M1949" s="17" t="n"/>
      <c r="N1949" s="17" t="n"/>
      <c r="O1949" s="26">
        <f>IF($D1949="","",IFERROR(VLOOKUP($D1949,物料档案!$A$4:$P$1203,10,0),0))</f>
        <v/>
      </c>
      <c r="P1949" s="32" t="n"/>
      <c r="Q1949" s="26">
        <f>IF($D1949="","",IF($K1949&lt;&gt;"对外销售",0,ROUND(N($J1949)*IF($P1949="",N($O1949),N($P1949)),0)))</f>
        <v/>
      </c>
      <c r="R1949" s="26">
        <f>IF($D1949="","",IFERROR(VLOOKUP($D1949,库存台账!$A$5:$Y$1204,11,0),0))</f>
        <v/>
      </c>
      <c r="S1949" s="26">
        <f>IF($D1949="","",ROUND(N($J1949)*N($R1949),0))</f>
        <v/>
      </c>
      <c r="T1949" s="26">
        <f>IF($D1949="","",IF($K1949&lt;&gt;"对外销售","",ROUND($Q1949-$S1949,0)))</f>
        <v/>
      </c>
      <c r="U1949" s="17" t="n"/>
      <c r="V1949" s="17" t="n"/>
      <c r="W1949" s="24">
        <f>IF($D1949="","",IF($E1949="※编码不在物料档案里","※物料编码不在档案里",IF(N($J1949)&lt;=0,"※出库数量要大于 0",IF($K1949="","※没填去向类型",IF($L1949="","※没填去向矿区",IF(AND($C1949&lt;&gt;"",$C1949&lt;=结账锁),"※日期早于已结账截止日，不能再录",IF(AND($K1949="自用消耗",COUNTIF({"一矿区";"二矿区"},$L1949)=0),"※自用消耗的去向只能是一矿区或二矿区",IF(AND($K1949="对外销售",COUNTIF({"三矿区";"六矿区"},$L1949)=0),"※对外销售的去向只能是三矿区或六矿区",IF(AND($K1949="对外销售",ROUND($Q1949,0)=0),"※外销却没有售价，请填实际售价",IF(AND($K1949="对外销售",$T1949&lt;&gt;"",$T1949&lt;0),"※这一笔外销是亏的，请核对售价",IF(IFERROR(VLOOKUP($D1949,库存台账!$A$5:$Y$1204,24,0),0)&lt;-0.001,"※这个物料账面已经变成负数了，查一下是不是漏记入库","")))))))))))</f>
        <v/>
      </c>
    </row>
    <row r="1950">
      <c r="A1950" s="24">
        <f>IF($D1950="","",COUNTA($D$4:$D1950))</f>
        <v/>
      </c>
      <c r="B1950" s="17" t="n"/>
      <c r="C1950" s="30" t="n"/>
      <c r="D1950" s="17" t="n"/>
      <c r="E1950" s="24">
        <f>IF($D1950="","",IFERROR(VLOOKUP($D1950,物料档案!$A$4:$P$1203,3,0),"※编码不在物料档案里"))</f>
        <v/>
      </c>
      <c r="F1950" s="24">
        <f>IF($D1950="","",IFERROR(VLOOKUP($D1950,物料档案!$A$4:$P$1203,4,0),"※编码不在物料档案里"))</f>
        <v/>
      </c>
      <c r="G1950" s="24">
        <f>IF($D1950="","",IFERROR(VLOOKUP($D1950,物料档案!$A$4:$P$1203,5,0),"※编码不在物料档案里"))</f>
        <v/>
      </c>
      <c r="H1950" s="24">
        <f>IF($D1950="","",IFERROR(VLOOKUP($D1950,物料档案!$A$4:$P$1203,2,0),"※编码不在物料档案里"))</f>
        <v/>
      </c>
      <c r="I1950" s="24">
        <f>IF($D1950="","",IFERROR(VLOOKUP($D1950,物料档案!$A$4:$P$1203,6,0),"※编码不在物料档案里"))</f>
        <v/>
      </c>
      <c r="J1950" s="23" t="n"/>
      <c r="K1950" s="17" t="n"/>
      <c r="L1950" s="17" t="n"/>
      <c r="M1950" s="17" t="n"/>
      <c r="N1950" s="17" t="n"/>
      <c r="O1950" s="26">
        <f>IF($D1950="","",IFERROR(VLOOKUP($D1950,物料档案!$A$4:$P$1203,10,0),0))</f>
        <v/>
      </c>
      <c r="P1950" s="32" t="n"/>
      <c r="Q1950" s="26">
        <f>IF($D1950="","",IF($K1950&lt;&gt;"对外销售",0,ROUND(N($J1950)*IF($P1950="",N($O1950),N($P1950)),0)))</f>
        <v/>
      </c>
      <c r="R1950" s="26">
        <f>IF($D1950="","",IFERROR(VLOOKUP($D1950,库存台账!$A$5:$Y$1204,11,0),0))</f>
        <v/>
      </c>
      <c r="S1950" s="26">
        <f>IF($D1950="","",ROUND(N($J1950)*N($R1950),0))</f>
        <v/>
      </c>
      <c r="T1950" s="26">
        <f>IF($D1950="","",IF($K1950&lt;&gt;"对外销售","",ROUND($Q1950-$S1950,0)))</f>
        <v/>
      </c>
      <c r="U1950" s="17" t="n"/>
      <c r="V1950" s="17" t="n"/>
      <c r="W1950" s="24">
        <f>IF($D1950="","",IF($E1950="※编码不在物料档案里","※物料编码不在档案里",IF(N($J1950)&lt;=0,"※出库数量要大于 0",IF($K1950="","※没填去向类型",IF($L1950="","※没填去向矿区",IF(AND($C1950&lt;&gt;"",$C1950&lt;=结账锁),"※日期早于已结账截止日，不能再录",IF(AND($K1950="自用消耗",COUNTIF({"一矿区";"二矿区"},$L1950)=0),"※自用消耗的去向只能是一矿区或二矿区",IF(AND($K1950="对外销售",COUNTIF({"三矿区";"六矿区"},$L1950)=0),"※对外销售的去向只能是三矿区或六矿区",IF(AND($K1950="对外销售",ROUND($Q1950,0)=0),"※外销却没有售价，请填实际售价",IF(AND($K1950="对外销售",$T1950&lt;&gt;"",$T1950&lt;0),"※这一笔外销是亏的，请核对售价",IF(IFERROR(VLOOKUP($D1950,库存台账!$A$5:$Y$1204,24,0),0)&lt;-0.001,"※这个物料账面已经变成负数了，查一下是不是漏记入库","")))))))))))</f>
        <v/>
      </c>
    </row>
    <row r="1951">
      <c r="A1951" s="24">
        <f>IF($D1951="","",COUNTA($D$4:$D1951))</f>
        <v/>
      </c>
      <c r="B1951" s="17" t="n"/>
      <c r="C1951" s="30" t="n"/>
      <c r="D1951" s="17" t="n"/>
      <c r="E1951" s="24">
        <f>IF($D1951="","",IFERROR(VLOOKUP($D1951,物料档案!$A$4:$P$1203,3,0),"※编码不在物料档案里"))</f>
        <v/>
      </c>
      <c r="F1951" s="24">
        <f>IF($D1951="","",IFERROR(VLOOKUP($D1951,物料档案!$A$4:$P$1203,4,0),"※编码不在物料档案里"))</f>
        <v/>
      </c>
      <c r="G1951" s="24">
        <f>IF($D1951="","",IFERROR(VLOOKUP($D1951,物料档案!$A$4:$P$1203,5,0),"※编码不在物料档案里"))</f>
        <v/>
      </c>
      <c r="H1951" s="24">
        <f>IF($D1951="","",IFERROR(VLOOKUP($D1951,物料档案!$A$4:$P$1203,2,0),"※编码不在物料档案里"))</f>
        <v/>
      </c>
      <c r="I1951" s="24">
        <f>IF($D1951="","",IFERROR(VLOOKUP($D1951,物料档案!$A$4:$P$1203,6,0),"※编码不在物料档案里"))</f>
        <v/>
      </c>
      <c r="J1951" s="23" t="n"/>
      <c r="K1951" s="17" t="n"/>
      <c r="L1951" s="17" t="n"/>
      <c r="M1951" s="17" t="n"/>
      <c r="N1951" s="17" t="n"/>
      <c r="O1951" s="26">
        <f>IF($D1951="","",IFERROR(VLOOKUP($D1951,物料档案!$A$4:$P$1203,10,0),0))</f>
        <v/>
      </c>
      <c r="P1951" s="32" t="n"/>
      <c r="Q1951" s="26">
        <f>IF($D1951="","",IF($K1951&lt;&gt;"对外销售",0,ROUND(N($J1951)*IF($P1951="",N($O1951),N($P1951)),0)))</f>
        <v/>
      </c>
      <c r="R1951" s="26">
        <f>IF($D1951="","",IFERROR(VLOOKUP($D1951,库存台账!$A$5:$Y$1204,11,0),0))</f>
        <v/>
      </c>
      <c r="S1951" s="26">
        <f>IF($D1951="","",ROUND(N($J1951)*N($R1951),0))</f>
        <v/>
      </c>
      <c r="T1951" s="26">
        <f>IF($D1951="","",IF($K1951&lt;&gt;"对外销售","",ROUND($Q1951-$S1951,0)))</f>
        <v/>
      </c>
      <c r="U1951" s="17" t="n"/>
      <c r="V1951" s="17" t="n"/>
      <c r="W1951" s="24">
        <f>IF($D1951="","",IF($E1951="※编码不在物料档案里","※物料编码不在档案里",IF(N($J1951)&lt;=0,"※出库数量要大于 0",IF($K1951="","※没填去向类型",IF($L1951="","※没填去向矿区",IF(AND($C1951&lt;&gt;"",$C1951&lt;=结账锁),"※日期早于已结账截止日，不能再录",IF(AND($K1951="自用消耗",COUNTIF({"一矿区";"二矿区"},$L1951)=0),"※自用消耗的去向只能是一矿区或二矿区",IF(AND($K1951="对外销售",COUNTIF({"三矿区";"六矿区"},$L1951)=0),"※对外销售的去向只能是三矿区或六矿区",IF(AND($K1951="对外销售",ROUND($Q1951,0)=0),"※外销却没有售价，请填实际售价",IF(AND($K1951="对外销售",$T1951&lt;&gt;"",$T1951&lt;0),"※这一笔外销是亏的，请核对售价",IF(IFERROR(VLOOKUP($D1951,库存台账!$A$5:$Y$1204,24,0),0)&lt;-0.001,"※这个物料账面已经变成负数了，查一下是不是漏记入库","")))))))))))</f>
        <v/>
      </c>
    </row>
    <row r="1952">
      <c r="A1952" s="24">
        <f>IF($D1952="","",COUNTA($D$4:$D1952))</f>
        <v/>
      </c>
      <c r="B1952" s="17" t="n"/>
      <c r="C1952" s="30" t="n"/>
      <c r="D1952" s="17" t="n"/>
      <c r="E1952" s="24">
        <f>IF($D1952="","",IFERROR(VLOOKUP($D1952,物料档案!$A$4:$P$1203,3,0),"※编码不在物料档案里"))</f>
        <v/>
      </c>
      <c r="F1952" s="24">
        <f>IF($D1952="","",IFERROR(VLOOKUP($D1952,物料档案!$A$4:$P$1203,4,0),"※编码不在物料档案里"))</f>
        <v/>
      </c>
      <c r="G1952" s="24">
        <f>IF($D1952="","",IFERROR(VLOOKUP($D1952,物料档案!$A$4:$P$1203,5,0),"※编码不在物料档案里"))</f>
        <v/>
      </c>
      <c r="H1952" s="24">
        <f>IF($D1952="","",IFERROR(VLOOKUP($D1952,物料档案!$A$4:$P$1203,2,0),"※编码不在物料档案里"))</f>
        <v/>
      </c>
      <c r="I1952" s="24">
        <f>IF($D1952="","",IFERROR(VLOOKUP($D1952,物料档案!$A$4:$P$1203,6,0),"※编码不在物料档案里"))</f>
        <v/>
      </c>
      <c r="J1952" s="23" t="n"/>
      <c r="K1952" s="17" t="n"/>
      <c r="L1952" s="17" t="n"/>
      <c r="M1952" s="17" t="n"/>
      <c r="N1952" s="17" t="n"/>
      <c r="O1952" s="26">
        <f>IF($D1952="","",IFERROR(VLOOKUP($D1952,物料档案!$A$4:$P$1203,10,0),0))</f>
        <v/>
      </c>
      <c r="P1952" s="32" t="n"/>
      <c r="Q1952" s="26">
        <f>IF($D1952="","",IF($K1952&lt;&gt;"对外销售",0,ROUND(N($J1952)*IF($P1952="",N($O1952),N($P1952)),0)))</f>
        <v/>
      </c>
      <c r="R1952" s="26">
        <f>IF($D1952="","",IFERROR(VLOOKUP($D1952,库存台账!$A$5:$Y$1204,11,0),0))</f>
        <v/>
      </c>
      <c r="S1952" s="26">
        <f>IF($D1952="","",ROUND(N($J1952)*N($R1952),0))</f>
        <v/>
      </c>
      <c r="T1952" s="26">
        <f>IF($D1952="","",IF($K1952&lt;&gt;"对外销售","",ROUND($Q1952-$S1952,0)))</f>
        <v/>
      </c>
      <c r="U1952" s="17" t="n"/>
      <c r="V1952" s="17" t="n"/>
      <c r="W1952" s="24">
        <f>IF($D1952="","",IF($E1952="※编码不在物料档案里","※物料编码不在档案里",IF(N($J1952)&lt;=0,"※出库数量要大于 0",IF($K1952="","※没填去向类型",IF($L1952="","※没填去向矿区",IF(AND($C1952&lt;&gt;"",$C1952&lt;=结账锁),"※日期早于已结账截止日，不能再录",IF(AND($K1952="自用消耗",COUNTIF({"一矿区";"二矿区"},$L1952)=0),"※自用消耗的去向只能是一矿区或二矿区",IF(AND($K1952="对外销售",COUNTIF({"三矿区";"六矿区"},$L1952)=0),"※对外销售的去向只能是三矿区或六矿区",IF(AND($K1952="对外销售",ROUND($Q1952,0)=0),"※外销却没有售价，请填实际售价",IF(AND($K1952="对外销售",$T1952&lt;&gt;"",$T1952&lt;0),"※这一笔外销是亏的，请核对售价",IF(IFERROR(VLOOKUP($D1952,库存台账!$A$5:$Y$1204,24,0),0)&lt;-0.001,"※这个物料账面已经变成负数了，查一下是不是漏记入库","")))))))))))</f>
        <v/>
      </c>
    </row>
    <row r="1953">
      <c r="A1953" s="24">
        <f>IF($D1953="","",COUNTA($D$4:$D1953))</f>
        <v/>
      </c>
      <c r="B1953" s="17" t="n"/>
      <c r="C1953" s="30" t="n"/>
      <c r="D1953" s="17" t="n"/>
      <c r="E1953" s="24">
        <f>IF($D1953="","",IFERROR(VLOOKUP($D1953,物料档案!$A$4:$P$1203,3,0),"※编码不在物料档案里"))</f>
        <v/>
      </c>
      <c r="F1953" s="24">
        <f>IF($D1953="","",IFERROR(VLOOKUP($D1953,物料档案!$A$4:$P$1203,4,0),"※编码不在物料档案里"))</f>
        <v/>
      </c>
      <c r="G1953" s="24">
        <f>IF($D1953="","",IFERROR(VLOOKUP($D1953,物料档案!$A$4:$P$1203,5,0),"※编码不在物料档案里"))</f>
        <v/>
      </c>
      <c r="H1953" s="24">
        <f>IF($D1953="","",IFERROR(VLOOKUP($D1953,物料档案!$A$4:$P$1203,2,0),"※编码不在物料档案里"))</f>
        <v/>
      </c>
      <c r="I1953" s="24">
        <f>IF($D1953="","",IFERROR(VLOOKUP($D1953,物料档案!$A$4:$P$1203,6,0),"※编码不在物料档案里"))</f>
        <v/>
      </c>
      <c r="J1953" s="23" t="n"/>
      <c r="K1953" s="17" t="n"/>
      <c r="L1953" s="17" t="n"/>
      <c r="M1953" s="17" t="n"/>
      <c r="N1953" s="17" t="n"/>
      <c r="O1953" s="26">
        <f>IF($D1953="","",IFERROR(VLOOKUP($D1953,物料档案!$A$4:$P$1203,10,0),0))</f>
        <v/>
      </c>
      <c r="P1953" s="32" t="n"/>
      <c r="Q1953" s="26">
        <f>IF($D1953="","",IF($K1953&lt;&gt;"对外销售",0,ROUND(N($J1953)*IF($P1953="",N($O1953),N($P1953)),0)))</f>
        <v/>
      </c>
      <c r="R1953" s="26">
        <f>IF($D1953="","",IFERROR(VLOOKUP($D1953,库存台账!$A$5:$Y$1204,11,0),0))</f>
        <v/>
      </c>
      <c r="S1953" s="26">
        <f>IF($D1953="","",ROUND(N($J1953)*N($R1953),0))</f>
        <v/>
      </c>
      <c r="T1953" s="26">
        <f>IF($D1953="","",IF($K1953&lt;&gt;"对外销售","",ROUND($Q1953-$S1953,0)))</f>
        <v/>
      </c>
      <c r="U1953" s="17" t="n"/>
      <c r="V1953" s="17" t="n"/>
      <c r="W1953" s="24">
        <f>IF($D1953="","",IF($E1953="※编码不在物料档案里","※物料编码不在档案里",IF(N($J1953)&lt;=0,"※出库数量要大于 0",IF($K1953="","※没填去向类型",IF($L1953="","※没填去向矿区",IF(AND($C1953&lt;&gt;"",$C1953&lt;=结账锁),"※日期早于已结账截止日，不能再录",IF(AND($K1953="自用消耗",COUNTIF({"一矿区";"二矿区"},$L1953)=0),"※自用消耗的去向只能是一矿区或二矿区",IF(AND($K1953="对外销售",COUNTIF({"三矿区";"六矿区"},$L1953)=0),"※对外销售的去向只能是三矿区或六矿区",IF(AND($K1953="对外销售",ROUND($Q1953,0)=0),"※外销却没有售价，请填实际售价",IF(AND($K1953="对外销售",$T1953&lt;&gt;"",$T1953&lt;0),"※这一笔外销是亏的，请核对售价",IF(IFERROR(VLOOKUP($D1953,库存台账!$A$5:$Y$1204,24,0),0)&lt;-0.001,"※这个物料账面已经变成负数了，查一下是不是漏记入库","")))))))))))</f>
        <v/>
      </c>
    </row>
    <row r="1954">
      <c r="A1954" s="24">
        <f>IF($D1954="","",COUNTA($D$4:$D1954))</f>
        <v/>
      </c>
      <c r="B1954" s="17" t="n"/>
      <c r="C1954" s="30" t="n"/>
      <c r="D1954" s="17" t="n"/>
      <c r="E1954" s="24">
        <f>IF($D1954="","",IFERROR(VLOOKUP($D1954,物料档案!$A$4:$P$1203,3,0),"※编码不在物料档案里"))</f>
        <v/>
      </c>
      <c r="F1954" s="24">
        <f>IF($D1954="","",IFERROR(VLOOKUP($D1954,物料档案!$A$4:$P$1203,4,0),"※编码不在物料档案里"))</f>
        <v/>
      </c>
      <c r="G1954" s="24">
        <f>IF($D1954="","",IFERROR(VLOOKUP($D1954,物料档案!$A$4:$P$1203,5,0),"※编码不在物料档案里"))</f>
        <v/>
      </c>
      <c r="H1954" s="24">
        <f>IF($D1954="","",IFERROR(VLOOKUP($D1954,物料档案!$A$4:$P$1203,2,0),"※编码不在物料档案里"))</f>
        <v/>
      </c>
      <c r="I1954" s="24">
        <f>IF($D1954="","",IFERROR(VLOOKUP($D1954,物料档案!$A$4:$P$1203,6,0),"※编码不在物料档案里"))</f>
        <v/>
      </c>
      <c r="J1954" s="23" t="n"/>
      <c r="K1954" s="17" t="n"/>
      <c r="L1954" s="17" t="n"/>
      <c r="M1954" s="17" t="n"/>
      <c r="N1954" s="17" t="n"/>
      <c r="O1954" s="26">
        <f>IF($D1954="","",IFERROR(VLOOKUP($D1954,物料档案!$A$4:$P$1203,10,0),0))</f>
        <v/>
      </c>
      <c r="P1954" s="32" t="n"/>
      <c r="Q1954" s="26">
        <f>IF($D1954="","",IF($K1954&lt;&gt;"对外销售",0,ROUND(N($J1954)*IF($P1954="",N($O1954),N($P1954)),0)))</f>
        <v/>
      </c>
      <c r="R1954" s="26">
        <f>IF($D1954="","",IFERROR(VLOOKUP($D1954,库存台账!$A$5:$Y$1204,11,0),0))</f>
        <v/>
      </c>
      <c r="S1954" s="26">
        <f>IF($D1954="","",ROUND(N($J1954)*N($R1954),0))</f>
        <v/>
      </c>
      <c r="T1954" s="26">
        <f>IF($D1954="","",IF($K1954&lt;&gt;"对外销售","",ROUND($Q1954-$S1954,0)))</f>
        <v/>
      </c>
      <c r="U1954" s="17" t="n"/>
      <c r="V1954" s="17" t="n"/>
      <c r="W1954" s="24">
        <f>IF($D1954="","",IF($E1954="※编码不在物料档案里","※物料编码不在档案里",IF(N($J1954)&lt;=0,"※出库数量要大于 0",IF($K1954="","※没填去向类型",IF($L1954="","※没填去向矿区",IF(AND($C1954&lt;&gt;"",$C1954&lt;=结账锁),"※日期早于已结账截止日，不能再录",IF(AND($K1954="自用消耗",COUNTIF({"一矿区";"二矿区"},$L1954)=0),"※自用消耗的去向只能是一矿区或二矿区",IF(AND($K1954="对外销售",COUNTIF({"三矿区";"六矿区"},$L1954)=0),"※对外销售的去向只能是三矿区或六矿区",IF(AND($K1954="对外销售",ROUND($Q1954,0)=0),"※外销却没有售价，请填实际售价",IF(AND($K1954="对外销售",$T1954&lt;&gt;"",$T1954&lt;0),"※这一笔外销是亏的，请核对售价",IF(IFERROR(VLOOKUP($D1954,库存台账!$A$5:$Y$1204,24,0),0)&lt;-0.001,"※这个物料账面已经变成负数了，查一下是不是漏记入库","")))))))))))</f>
        <v/>
      </c>
    </row>
    <row r="1955">
      <c r="A1955" s="24">
        <f>IF($D1955="","",COUNTA($D$4:$D1955))</f>
        <v/>
      </c>
      <c r="B1955" s="17" t="n"/>
      <c r="C1955" s="30" t="n"/>
      <c r="D1955" s="17" t="n"/>
      <c r="E1955" s="24">
        <f>IF($D1955="","",IFERROR(VLOOKUP($D1955,物料档案!$A$4:$P$1203,3,0),"※编码不在物料档案里"))</f>
        <v/>
      </c>
      <c r="F1955" s="24">
        <f>IF($D1955="","",IFERROR(VLOOKUP($D1955,物料档案!$A$4:$P$1203,4,0),"※编码不在物料档案里"))</f>
        <v/>
      </c>
      <c r="G1955" s="24">
        <f>IF($D1955="","",IFERROR(VLOOKUP($D1955,物料档案!$A$4:$P$1203,5,0),"※编码不在物料档案里"))</f>
        <v/>
      </c>
      <c r="H1955" s="24">
        <f>IF($D1955="","",IFERROR(VLOOKUP($D1955,物料档案!$A$4:$P$1203,2,0),"※编码不在物料档案里"))</f>
        <v/>
      </c>
      <c r="I1955" s="24">
        <f>IF($D1955="","",IFERROR(VLOOKUP($D1955,物料档案!$A$4:$P$1203,6,0),"※编码不在物料档案里"))</f>
        <v/>
      </c>
      <c r="J1955" s="23" t="n"/>
      <c r="K1955" s="17" t="n"/>
      <c r="L1955" s="17" t="n"/>
      <c r="M1955" s="17" t="n"/>
      <c r="N1955" s="17" t="n"/>
      <c r="O1955" s="26">
        <f>IF($D1955="","",IFERROR(VLOOKUP($D1955,物料档案!$A$4:$P$1203,10,0),0))</f>
        <v/>
      </c>
      <c r="P1955" s="32" t="n"/>
      <c r="Q1955" s="26">
        <f>IF($D1955="","",IF($K1955&lt;&gt;"对外销售",0,ROUND(N($J1955)*IF($P1955="",N($O1955),N($P1955)),0)))</f>
        <v/>
      </c>
      <c r="R1955" s="26">
        <f>IF($D1955="","",IFERROR(VLOOKUP($D1955,库存台账!$A$5:$Y$1204,11,0),0))</f>
        <v/>
      </c>
      <c r="S1955" s="26">
        <f>IF($D1955="","",ROUND(N($J1955)*N($R1955),0))</f>
        <v/>
      </c>
      <c r="T1955" s="26">
        <f>IF($D1955="","",IF($K1955&lt;&gt;"对外销售","",ROUND($Q1955-$S1955,0)))</f>
        <v/>
      </c>
      <c r="U1955" s="17" t="n"/>
      <c r="V1955" s="17" t="n"/>
      <c r="W1955" s="24">
        <f>IF($D1955="","",IF($E1955="※编码不在物料档案里","※物料编码不在档案里",IF(N($J1955)&lt;=0,"※出库数量要大于 0",IF($K1955="","※没填去向类型",IF($L1955="","※没填去向矿区",IF(AND($C1955&lt;&gt;"",$C1955&lt;=结账锁),"※日期早于已结账截止日，不能再录",IF(AND($K1955="自用消耗",COUNTIF({"一矿区";"二矿区"},$L1955)=0),"※自用消耗的去向只能是一矿区或二矿区",IF(AND($K1955="对外销售",COUNTIF({"三矿区";"六矿区"},$L1955)=0),"※对外销售的去向只能是三矿区或六矿区",IF(AND($K1955="对外销售",ROUND($Q1955,0)=0),"※外销却没有售价，请填实际售价",IF(AND($K1955="对外销售",$T1955&lt;&gt;"",$T1955&lt;0),"※这一笔外销是亏的，请核对售价",IF(IFERROR(VLOOKUP($D1955,库存台账!$A$5:$Y$1204,24,0),0)&lt;-0.001,"※这个物料账面已经变成负数了，查一下是不是漏记入库","")))))))))))</f>
        <v/>
      </c>
    </row>
    <row r="1956">
      <c r="A1956" s="24">
        <f>IF($D1956="","",COUNTA($D$4:$D1956))</f>
        <v/>
      </c>
      <c r="B1956" s="17" t="n"/>
      <c r="C1956" s="30" t="n"/>
      <c r="D1956" s="17" t="n"/>
      <c r="E1956" s="24">
        <f>IF($D1956="","",IFERROR(VLOOKUP($D1956,物料档案!$A$4:$P$1203,3,0),"※编码不在物料档案里"))</f>
        <v/>
      </c>
      <c r="F1956" s="24">
        <f>IF($D1956="","",IFERROR(VLOOKUP($D1956,物料档案!$A$4:$P$1203,4,0),"※编码不在物料档案里"))</f>
        <v/>
      </c>
      <c r="G1956" s="24">
        <f>IF($D1956="","",IFERROR(VLOOKUP($D1956,物料档案!$A$4:$P$1203,5,0),"※编码不在物料档案里"))</f>
        <v/>
      </c>
      <c r="H1956" s="24">
        <f>IF($D1956="","",IFERROR(VLOOKUP($D1956,物料档案!$A$4:$P$1203,2,0),"※编码不在物料档案里"))</f>
        <v/>
      </c>
      <c r="I1956" s="24">
        <f>IF($D1956="","",IFERROR(VLOOKUP($D1956,物料档案!$A$4:$P$1203,6,0),"※编码不在物料档案里"))</f>
        <v/>
      </c>
      <c r="J1956" s="23" t="n"/>
      <c r="K1956" s="17" t="n"/>
      <c r="L1956" s="17" t="n"/>
      <c r="M1956" s="17" t="n"/>
      <c r="N1956" s="17" t="n"/>
      <c r="O1956" s="26">
        <f>IF($D1956="","",IFERROR(VLOOKUP($D1956,物料档案!$A$4:$P$1203,10,0),0))</f>
        <v/>
      </c>
      <c r="P1956" s="32" t="n"/>
      <c r="Q1956" s="26">
        <f>IF($D1956="","",IF($K1956&lt;&gt;"对外销售",0,ROUND(N($J1956)*IF($P1956="",N($O1956),N($P1956)),0)))</f>
        <v/>
      </c>
      <c r="R1956" s="26">
        <f>IF($D1956="","",IFERROR(VLOOKUP($D1956,库存台账!$A$5:$Y$1204,11,0),0))</f>
        <v/>
      </c>
      <c r="S1956" s="26">
        <f>IF($D1956="","",ROUND(N($J1956)*N($R1956),0))</f>
        <v/>
      </c>
      <c r="T1956" s="26">
        <f>IF($D1956="","",IF($K1956&lt;&gt;"对外销售","",ROUND($Q1956-$S1956,0)))</f>
        <v/>
      </c>
      <c r="U1956" s="17" t="n"/>
      <c r="V1956" s="17" t="n"/>
      <c r="W1956" s="24">
        <f>IF($D1956="","",IF($E1956="※编码不在物料档案里","※物料编码不在档案里",IF(N($J1956)&lt;=0,"※出库数量要大于 0",IF($K1956="","※没填去向类型",IF($L1956="","※没填去向矿区",IF(AND($C1956&lt;&gt;"",$C1956&lt;=结账锁),"※日期早于已结账截止日，不能再录",IF(AND($K1956="自用消耗",COUNTIF({"一矿区";"二矿区"},$L1956)=0),"※自用消耗的去向只能是一矿区或二矿区",IF(AND($K1956="对外销售",COUNTIF({"三矿区";"六矿区"},$L1956)=0),"※对外销售的去向只能是三矿区或六矿区",IF(AND($K1956="对外销售",ROUND($Q1956,0)=0),"※外销却没有售价，请填实际售价",IF(AND($K1956="对外销售",$T1956&lt;&gt;"",$T1956&lt;0),"※这一笔外销是亏的，请核对售价",IF(IFERROR(VLOOKUP($D1956,库存台账!$A$5:$Y$1204,24,0),0)&lt;-0.001,"※这个物料账面已经变成负数了，查一下是不是漏记入库","")))))))))))</f>
        <v/>
      </c>
    </row>
    <row r="1957">
      <c r="A1957" s="24">
        <f>IF($D1957="","",COUNTA($D$4:$D1957))</f>
        <v/>
      </c>
      <c r="B1957" s="17" t="n"/>
      <c r="C1957" s="30" t="n"/>
      <c r="D1957" s="17" t="n"/>
      <c r="E1957" s="24">
        <f>IF($D1957="","",IFERROR(VLOOKUP($D1957,物料档案!$A$4:$P$1203,3,0),"※编码不在物料档案里"))</f>
        <v/>
      </c>
      <c r="F1957" s="24">
        <f>IF($D1957="","",IFERROR(VLOOKUP($D1957,物料档案!$A$4:$P$1203,4,0),"※编码不在物料档案里"))</f>
        <v/>
      </c>
      <c r="G1957" s="24">
        <f>IF($D1957="","",IFERROR(VLOOKUP($D1957,物料档案!$A$4:$P$1203,5,0),"※编码不在物料档案里"))</f>
        <v/>
      </c>
      <c r="H1957" s="24">
        <f>IF($D1957="","",IFERROR(VLOOKUP($D1957,物料档案!$A$4:$P$1203,2,0),"※编码不在物料档案里"))</f>
        <v/>
      </c>
      <c r="I1957" s="24">
        <f>IF($D1957="","",IFERROR(VLOOKUP($D1957,物料档案!$A$4:$P$1203,6,0),"※编码不在物料档案里"))</f>
        <v/>
      </c>
      <c r="J1957" s="23" t="n"/>
      <c r="K1957" s="17" t="n"/>
      <c r="L1957" s="17" t="n"/>
      <c r="M1957" s="17" t="n"/>
      <c r="N1957" s="17" t="n"/>
      <c r="O1957" s="26">
        <f>IF($D1957="","",IFERROR(VLOOKUP($D1957,物料档案!$A$4:$P$1203,10,0),0))</f>
        <v/>
      </c>
      <c r="P1957" s="32" t="n"/>
      <c r="Q1957" s="26">
        <f>IF($D1957="","",IF($K1957&lt;&gt;"对外销售",0,ROUND(N($J1957)*IF($P1957="",N($O1957),N($P1957)),0)))</f>
        <v/>
      </c>
      <c r="R1957" s="26">
        <f>IF($D1957="","",IFERROR(VLOOKUP($D1957,库存台账!$A$5:$Y$1204,11,0),0))</f>
        <v/>
      </c>
      <c r="S1957" s="26">
        <f>IF($D1957="","",ROUND(N($J1957)*N($R1957),0))</f>
        <v/>
      </c>
      <c r="T1957" s="26">
        <f>IF($D1957="","",IF($K1957&lt;&gt;"对外销售","",ROUND($Q1957-$S1957,0)))</f>
        <v/>
      </c>
      <c r="U1957" s="17" t="n"/>
      <c r="V1957" s="17" t="n"/>
      <c r="W1957" s="24">
        <f>IF($D1957="","",IF($E1957="※编码不在物料档案里","※物料编码不在档案里",IF(N($J1957)&lt;=0,"※出库数量要大于 0",IF($K1957="","※没填去向类型",IF($L1957="","※没填去向矿区",IF(AND($C1957&lt;&gt;"",$C1957&lt;=结账锁),"※日期早于已结账截止日，不能再录",IF(AND($K1957="自用消耗",COUNTIF({"一矿区";"二矿区"},$L1957)=0),"※自用消耗的去向只能是一矿区或二矿区",IF(AND($K1957="对外销售",COUNTIF({"三矿区";"六矿区"},$L1957)=0),"※对外销售的去向只能是三矿区或六矿区",IF(AND($K1957="对外销售",ROUND($Q1957,0)=0),"※外销却没有售价，请填实际售价",IF(AND($K1957="对外销售",$T1957&lt;&gt;"",$T1957&lt;0),"※这一笔外销是亏的，请核对售价",IF(IFERROR(VLOOKUP($D1957,库存台账!$A$5:$Y$1204,24,0),0)&lt;-0.001,"※这个物料账面已经变成负数了，查一下是不是漏记入库","")))))))))))</f>
        <v/>
      </c>
    </row>
    <row r="1958">
      <c r="A1958" s="24">
        <f>IF($D1958="","",COUNTA($D$4:$D1958))</f>
        <v/>
      </c>
      <c r="B1958" s="17" t="n"/>
      <c r="C1958" s="30" t="n"/>
      <c r="D1958" s="17" t="n"/>
      <c r="E1958" s="24">
        <f>IF($D1958="","",IFERROR(VLOOKUP($D1958,物料档案!$A$4:$P$1203,3,0),"※编码不在物料档案里"))</f>
        <v/>
      </c>
      <c r="F1958" s="24">
        <f>IF($D1958="","",IFERROR(VLOOKUP($D1958,物料档案!$A$4:$P$1203,4,0),"※编码不在物料档案里"))</f>
        <v/>
      </c>
      <c r="G1958" s="24">
        <f>IF($D1958="","",IFERROR(VLOOKUP($D1958,物料档案!$A$4:$P$1203,5,0),"※编码不在物料档案里"))</f>
        <v/>
      </c>
      <c r="H1958" s="24">
        <f>IF($D1958="","",IFERROR(VLOOKUP($D1958,物料档案!$A$4:$P$1203,2,0),"※编码不在物料档案里"))</f>
        <v/>
      </c>
      <c r="I1958" s="24">
        <f>IF($D1958="","",IFERROR(VLOOKUP($D1958,物料档案!$A$4:$P$1203,6,0),"※编码不在物料档案里"))</f>
        <v/>
      </c>
      <c r="J1958" s="23" t="n"/>
      <c r="K1958" s="17" t="n"/>
      <c r="L1958" s="17" t="n"/>
      <c r="M1958" s="17" t="n"/>
      <c r="N1958" s="17" t="n"/>
      <c r="O1958" s="26">
        <f>IF($D1958="","",IFERROR(VLOOKUP($D1958,物料档案!$A$4:$P$1203,10,0),0))</f>
        <v/>
      </c>
      <c r="P1958" s="32" t="n"/>
      <c r="Q1958" s="26">
        <f>IF($D1958="","",IF($K1958&lt;&gt;"对外销售",0,ROUND(N($J1958)*IF($P1958="",N($O1958),N($P1958)),0)))</f>
        <v/>
      </c>
      <c r="R1958" s="26">
        <f>IF($D1958="","",IFERROR(VLOOKUP($D1958,库存台账!$A$5:$Y$1204,11,0),0))</f>
        <v/>
      </c>
      <c r="S1958" s="26">
        <f>IF($D1958="","",ROUND(N($J1958)*N($R1958),0))</f>
        <v/>
      </c>
      <c r="T1958" s="26">
        <f>IF($D1958="","",IF($K1958&lt;&gt;"对外销售","",ROUND($Q1958-$S1958,0)))</f>
        <v/>
      </c>
      <c r="U1958" s="17" t="n"/>
      <c r="V1958" s="17" t="n"/>
      <c r="W1958" s="24">
        <f>IF($D1958="","",IF($E1958="※编码不在物料档案里","※物料编码不在档案里",IF(N($J1958)&lt;=0,"※出库数量要大于 0",IF($K1958="","※没填去向类型",IF($L1958="","※没填去向矿区",IF(AND($C1958&lt;&gt;"",$C1958&lt;=结账锁),"※日期早于已结账截止日，不能再录",IF(AND($K1958="自用消耗",COUNTIF({"一矿区";"二矿区"},$L1958)=0),"※自用消耗的去向只能是一矿区或二矿区",IF(AND($K1958="对外销售",COUNTIF({"三矿区";"六矿区"},$L1958)=0),"※对外销售的去向只能是三矿区或六矿区",IF(AND($K1958="对外销售",ROUND($Q1958,0)=0),"※外销却没有售价，请填实际售价",IF(AND($K1958="对外销售",$T1958&lt;&gt;"",$T1958&lt;0),"※这一笔外销是亏的，请核对售价",IF(IFERROR(VLOOKUP($D1958,库存台账!$A$5:$Y$1204,24,0),0)&lt;-0.001,"※这个物料账面已经变成负数了，查一下是不是漏记入库","")))))))))))</f>
        <v/>
      </c>
    </row>
    <row r="1959">
      <c r="A1959" s="24">
        <f>IF($D1959="","",COUNTA($D$4:$D1959))</f>
        <v/>
      </c>
      <c r="B1959" s="17" t="n"/>
      <c r="C1959" s="30" t="n"/>
      <c r="D1959" s="17" t="n"/>
      <c r="E1959" s="24">
        <f>IF($D1959="","",IFERROR(VLOOKUP($D1959,物料档案!$A$4:$P$1203,3,0),"※编码不在物料档案里"))</f>
        <v/>
      </c>
      <c r="F1959" s="24">
        <f>IF($D1959="","",IFERROR(VLOOKUP($D1959,物料档案!$A$4:$P$1203,4,0),"※编码不在物料档案里"))</f>
        <v/>
      </c>
      <c r="G1959" s="24">
        <f>IF($D1959="","",IFERROR(VLOOKUP($D1959,物料档案!$A$4:$P$1203,5,0),"※编码不在物料档案里"))</f>
        <v/>
      </c>
      <c r="H1959" s="24">
        <f>IF($D1959="","",IFERROR(VLOOKUP($D1959,物料档案!$A$4:$P$1203,2,0),"※编码不在物料档案里"))</f>
        <v/>
      </c>
      <c r="I1959" s="24">
        <f>IF($D1959="","",IFERROR(VLOOKUP($D1959,物料档案!$A$4:$P$1203,6,0),"※编码不在物料档案里"))</f>
        <v/>
      </c>
      <c r="J1959" s="23" t="n"/>
      <c r="K1959" s="17" t="n"/>
      <c r="L1959" s="17" t="n"/>
      <c r="M1959" s="17" t="n"/>
      <c r="N1959" s="17" t="n"/>
      <c r="O1959" s="26">
        <f>IF($D1959="","",IFERROR(VLOOKUP($D1959,物料档案!$A$4:$P$1203,10,0),0))</f>
        <v/>
      </c>
      <c r="P1959" s="32" t="n"/>
      <c r="Q1959" s="26">
        <f>IF($D1959="","",IF($K1959&lt;&gt;"对外销售",0,ROUND(N($J1959)*IF($P1959="",N($O1959),N($P1959)),0)))</f>
        <v/>
      </c>
      <c r="R1959" s="26">
        <f>IF($D1959="","",IFERROR(VLOOKUP($D1959,库存台账!$A$5:$Y$1204,11,0),0))</f>
        <v/>
      </c>
      <c r="S1959" s="26">
        <f>IF($D1959="","",ROUND(N($J1959)*N($R1959),0))</f>
        <v/>
      </c>
      <c r="T1959" s="26">
        <f>IF($D1959="","",IF($K1959&lt;&gt;"对外销售","",ROUND($Q1959-$S1959,0)))</f>
        <v/>
      </c>
      <c r="U1959" s="17" t="n"/>
      <c r="V1959" s="17" t="n"/>
      <c r="W1959" s="24">
        <f>IF($D1959="","",IF($E1959="※编码不在物料档案里","※物料编码不在档案里",IF(N($J1959)&lt;=0,"※出库数量要大于 0",IF($K1959="","※没填去向类型",IF($L1959="","※没填去向矿区",IF(AND($C1959&lt;&gt;"",$C1959&lt;=结账锁),"※日期早于已结账截止日，不能再录",IF(AND($K1959="自用消耗",COUNTIF({"一矿区";"二矿区"},$L1959)=0),"※自用消耗的去向只能是一矿区或二矿区",IF(AND($K1959="对外销售",COUNTIF({"三矿区";"六矿区"},$L1959)=0),"※对外销售的去向只能是三矿区或六矿区",IF(AND($K1959="对外销售",ROUND($Q1959,0)=0),"※外销却没有售价，请填实际售价",IF(AND($K1959="对外销售",$T1959&lt;&gt;"",$T1959&lt;0),"※这一笔外销是亏的，请核对售价",IF(IFERROR(VLOOKUP($D1959,库存台账!$A$5:$Y$1204,24,0),0)&lt;-0.001,"※这个物料账面已经变成负数了，查一下是不是漏记入库","")))))))))))</f>
        <v/>
      </c>
    </row>
    <row r="1960">
      <c r="A1960" s="24">
        <f>IF($D1960="","",COUNTA($D$4:$D1960))</f>
        <v/>
      </c>
      <c r="B1960" s="17" t="n"/>
      <c r="C1960" s="30" t="n"/>
      <c r="D1960" s="17" t="n"/>
      <c r="E1960" s="24">
        <f>IF($D1960="","",IFERROR(VLOOKUP($D1960,物料档案!$A$4:$P$1203,3,0),"※编码不在物料档案里"))</f>
        <v/>
      </c>
      <c r="F1960" s="24">
        <f>IF($D1960="","",IFERROR(VLOOKUP($D1960,物料档案!$A$4:$P$1203,4,0),"※编码不在物料档案里"))</f>
        <v/>
      </c>
      <c r="G1960" s="24">
        <f>IF($D1960="","",IFERROR(VLOOKUP($D1960,物料档案!$A$4:$P$1203,5,0),"※编码不在物料档案里"))</f>
        <v/>
      </c>
      <c r="H1960" s="24">
        <f>IF($D1960="","",IFERROR(VLOOKUP($D1960,物料档案!$A$4:$P$1203,2,0),"※编码不在物料档案里"))</f>
        <v/>
      </c>
      <c r="I1960" s="24">
        <f>IF($D1960="","",IFERROR(VLOOKUP($D1960,物料档案!$A$4:$P$1203,6,0),"※编码不在物料档案里"))</f>
        <v/>
      </c>
      <c r="J1960" s="23" t="n"/>
      <c r="K1960" s="17" t="n"/>
      <c r="L1960" s="17" t="n"/>
      <c r="M1960" s="17" t="n"/>
      <c r="N1960" s="17" t="n"/>
      <c r="O1960" s="26">
        <f>IF($D1960="","",IFERROR(VLOOKUP($D1960,物料档案!$A$4:$P$1203,10,0),0))</f>
        <v/>
      </c>
      <c r="P1960" s="32" t="n"/>
      <c r="Q1960" s="26">
        <f>IF($D1960="","",IF($K1960&lt;&gt;"对外销售",0,ROUND(N($J1960)*IF($P1960="",N($O1960),N($P1960)),0)))</f>
        <v/>
      </c>
      <c r="R1960" s="26">
        <f>IF($D1960="","",IFERROR(VLOOKUP($D1960,库存台账!$A$5:$Y$1204,11,0),0))</f>
        <v/>
      </c>
      <c r="S1960" s="26">
        <f>IF($D1960="","",ROUND(N($J1960)*N($R1960),0))</f>
        <v/>
      </c>
      <c r="T1960" s="26">
        <f>IF($D1960="","",IF($K1960&lt;&gt;"对外销售","",ROUND($Q1960-$S1960,0)))</f>
        <v/>
      </c>
      <c r="U1960" s="17" t="n"/>
      <c r="V1960" s="17" t="n"/>
      <c r="W1960" s="24">
        <f>IF($D1960="","",IF($E1960="※编码不在物料档案里","※物料编码不在档案里",IF(N($J1960)&lt;=0,"※出库数量要大于 0",IF($K1960="","※没填去向类型",IF($L1960="","※没填去向矿区",IF(AND($C1960&lt;&gt;"",$C1960&lt;=结账锁),"※日期早于已结账截止日，不能再录",IF(AND($K1960="自用消耗",COUNTIF({"一矿区";"二矿区"},$L1960)=0),"※自用消耗的去向只能是一矿区或二矿区",IF(AND($K1960="对外销售",COUNTIF({"三矿区";"六矿区"},$L1960)=0),"※对外销售的去向只能是三矿区或六矿区",IF(AND($K1960="对外销售",ROUND($Q1960,0)=0),"※外销却没有售价，请填实际售价",IF(AND($K1960="对外销售",$T1960&lt;&gt;"",$T1960&lt;0),"※这一笔外销是亏的，请核对售价",IF(IFERROR(VLOOKUP($D1960,库存台账!$A$5:$Y$1204,24,0),0)&lt;-0.001,"※这个物料账面已经变成负数了，查一下是不是漏记入库","")))))))))))</f>
        <v/>
      </c>
    </row>
    <row r="1961">
      <c r="A1961" s="24">
        <f>IF($D1961="","",COUNTA($D$4:$D1961))</f>
        <v/>
      </c>
      <c r="B1961" s="17" t="n"/>
      <c r="C1961" s="30" t="n"/>
      <c r="D1961" s="17" t="n"/>
      <c r="E1961" s="24">
        <f>IF($D1961="","",IFERROR(VLOOKUP($D1961,物料档案!$A$4:$P$1203,3,0),"※编码不在物料档案里"))</f>
        <v/>
      </c>
      <c r="F1961" s="24">
        <f>IF($D1961="","",IFERROR(VLOOKUP($D1961,物料档案!$A$4:$P$1203,4,0),"※编码不在物料档案里"))</f>
        <v/>
      </c>
      <c r="G1961" s="24">
        <f>IF($D1961="","",IFERROR(VLOOKUP($D1961,物料档案!$A$4:$P$1203,5,0),"※编码不在物料档案里"))</f>
        <v/>
      </c>
      <c r="H1961" s="24">
        <f>IF($D1961="","",IFERROR(VLOOKUP($D1961,物料档案!$A$4:$P$1203,2,0),"※编码不在物料档案里"))</f>
        <v/>
      </c>
      <c r="I1961" s="24">
        <f>IF($D1961="","",IFERROR(VLOOKUP($D1961,物料档案!$A$4:$P$1203,6,0),"※编码不在物料档案里"))</f>
        <v/>
      </c>
      <c r="J1961" s="23" t="n"/>
      <c r="K1961" s="17" t="n"/>
      <c r="L1961" s="17" t="n"/>
      <c r="M1961" s="17" t="n"/>
      <c r="N1961" s="17" t="n"/>
      <c r="O1961" s="26">
        <f>IF($D1961="","",IFERROR(VLOOKUP($D1961,物料档案!$A$4:$P$1203,10,0),0))</f>
        <v/>
      </c>
      <c r="P1961" s="32" t="n"/>
      <c r="Q1961" s="26">
        <f>IF($D1961="","",IF($K1961&lt;&gt;"对外销售",0,ROUND(N($J1961)*IF($P1961="",N($O1961),N($P1961)),0)))</f>
        <v/>
      </c>
      <c r="R1961" s="26">
        <f>IF($D1961="","",IFERROR(VLOOKUP($D1961,库存台账!$A$5:$Y$1204,11,0),0))</f>
        <v/>
      </c>
      <c r="S1961" s="26">
        <f>IF($D1961="","",ROUND(N($J1961)*N($R1961),0))</f>
        <v/>
      </c>
      <c r="T1961" s="26">
        <f>IF($D1961="","",IF($K1961&lt;&gt;"对外销售","",ROUND($Q1961-$S1961,0)))</f>
        <v/>
      </c>
      <c r="U1961" s="17" t="n"/>
      <c r="V1961" s="17" t="n"/>
      <c r="W1961" s="24">
        <f>IF($D1961="","",IF($E1961="※编码不在物料档案里","※物料编码不在档案里",IF(N($J1961)&lt;=0,"※出库数量要大于 0",IF($K1961="","※没填去向类型",IF($L1961="","※没填去向矿区",IF(AND($C1961&lt;&gt;"",$C1961&lt;=结账锁),"※日期早于已结账截止日，不能再录",IF(AND($K1961="自用消耗",COUNTIF({"一矿区";"二矿区"},$L1961)=0),"※自用消耗的去向只能是一矿区或二矿区",IF(AND($K1961="对外销售",COUNTIF({"三矿区";"六矿区"},$L1961)=0),"※对外销售的去向只能是三矿区或六矿区",IF(AND($K1961="对外销售",ROUND($Q1961,0)=0),"※外销却没有售价，请填实际售价",IF(AND($K1961="对外销售",$T1961&lt;&gt;"",$T1961&lt;0),"※这一笔外销是亏的，请核对售价",IF(IFERROR(VLOOKUP($D1961,库存台账!$A$5:$Y$1204,24,0),0)&lt;-0.001,"※这个物料账面已经变成负数了，查一下是不是漏记入库","")))))))))))</f>
        <v/>
      </c>
    </row>
    <row r="1962">
      <c r="A1962" s="24">
        <f>IF($D1962="","",COUNTA($D$4:$D1962))</f>
        <v/>
      </c>
      <c r="B1962" s="17" t="n"/>
      <c r="C1962" s="30" t="n"/>
      <c r="D1962" s="17" t="n"/>
      <c r="E1962" s="24">
        <f>IF($D1962="","",IFERROR(VLOOKUP($D1962,物料档案!$A$4:$P$1203,3,0),"※编码不在物料档案里"))</f>
        <v/>
      </c>
      <c r="F1962" s="24">
        <f>IF($D1962="","",IFERROR(VLOOKUP($D1962,物料档案!$A$4:$P$1203,4,0),"※编码不在物料档案里"))</f>
        <v/>
      </c>
      <c r="G1962" s="24">
        <f>IF($D1962="","",IFERROR(VLOOKUP($D1962,物料档案!$A$4:$P$1203,5,0),"※编码不在物料档案里"))</f>
        <v/>
      </c>
      <c r="H1962" s="24">
        <f>IF($D1962="","",IFERROR(VLOOKUP($D1962,物料档案!$A$4:$P$1203,2,0),"※编码不在物料档案里"))</f>
        <v/>
      </c>
      <c r="I1962" s="24">
        <f>IF($D1962="","",IFERROR(VLOOKUP($D1962,物料档案!$A$4:$P$1203,6,0),"※编码不在物料档案里"))</f>
        <v/>
      </c>
      <c r="J1962" s="23" t="n"/>
      <c r="K1962" s="17" t="n"/>
      <c r="L1962" s="17" t="n"/>
      <c r="M1962" s="17" t="n"/>
      <c r="N1962" s="17" t="n"/>
      <c r="O1962" s="26">
        <f>IF($D1962="","",IFERROR(VLOOKUP($D1962,物料档案!$A$4:$P$1203,10,0),0))</f>
        <v/>
      </c>
      <c r="P1962" s="32" t="n"/>
      <c r="Q1962" s="26">
        <f>IF($D1962="","",IF($K1962&lt;&gt;"对外销售",0,ROUND(N($J1962)*IF($P1962="",N($O1962),N($P1962)),0)))</f>
        <v/>
      </c>
      <c r="R1962" s="26">
        <f>IF($D1962="","",IFERROR(VLOOKUP($D1962,库存台账!$A$5:$Y$1204,11,0),0))</f>
        <v/>
      </c>
      <c r="S1962" s="26">
        <f>IF($D1962="","",ROUND(N($J1962)*N($R1962),0))</f>
        <v/>
      </c>
      <c r="T1962" s="26">
        <f>IF($D1962="","",IF($K1962&lt;&gt;"对外销售","",ROUND($Q1962-$S1962,0)))</f>
        <v/>
      </c>
      <c r="U1962" s="17" t="n"/>
      <c r="V1962" s="17" t="n"/>
      <c r="W1962" s="24">
        <f>IF($D1962="","",IF($E1962="※编码不在物料档案里","※物料编码不在档案里",IF(N($J1962)&lt;=0,"※出库数量要大于 0",IF($K1962="","※没填去向类型",IF($L1962="","※没填去向矿区",IF(AND($C1962&lt;&gt;"",$C1962&lt;=结账锁),"※日期早于已结账截止日，不能再录",IF(AND($K1962="自用消耗",COUNTIF({"一矿区";"二矿区"},$L1962)=0),"※自用消耗的去向只能是一矿区或二矿区",IF(AND($K1962="对外销售",COUNTIF({"三矿区";"六矿区"},$L1962)=0),"※对外销售的去向只能是三矿区或六矿区",IF(AND($K1962="对外销售",ROUND($Q1962,0)=0),"※外销却没有售价，请填实际售价",IF(AND($K1962="对外销售",$T1962&lt;&gt;"",$T1962&lt;0),"※这一笔外销是亏的，请核对售价",IF(IFERROR(VLOOKUP($D1962,库存台账!$A$5:$Y$1204,24,0),0)&lt;-0.001,"※这个物料账面已经变成负数了，查一下是不是漏记入库","")))))))))))</f>
        <v/>
      </c>
    </row>
    <row r="1963">
      <c r="A1963" s="24">
        <f>IF($D1963="","",COUNTA($D$4:$D1963))</f>
        <v/>
      </c>
      <c r="B1963" s="17" t="n"/>
      <c r="C1963" s="30" t="n"/>
      <c r="D1963" s="17" t="n"/>
      <c r="E1963" s="24">
        <f>IF($D1963="","",IFERROR(VLOOKUP($D1963,物料档案!$A$4:$P$1203,3,0),"※编码不在物料档案里"))</f>
        <v/>
      </c>
      <c r="F1963" s="24">
        <f>IF($D1963="","",IFERROR(VLOOKUP($D1963,物料档案!$A$4:$P$1203,4,0),"※编码不在物料档案里"))</f>
        <v/>
      </c>
      <c r="G1963" s="24">
        <f>IF($D1963="","",IFERROR(VLOOKUP($D1963,物料档案!$A$4:$P$1203,5,0),"※编码不在物料档案里"))</f>
        <v/>
      </c>
      <c r="H1963" s="24">
        <f>IF($D1963="","",IFERROR(VLOOKUP($D1963,物料档案!$A$4:$P$1203,2,0),"※编码不在物料档案里"))</f>
        <v/>
      </c>
      <c r="I1963" s="24">
        <f>IF($D1963="","",IFERROR(VLOOKUP($D1963,物料档案!$A$4:$P$1203,6,0),"※编码不在物料档案里"))</f>
        <v/>
      </c>
      <c r="J1963" s="23" t="n"/>
      <c r="K1963" s="17" t="n"/>
      <c r="L1963" s="17" t="n"/>
      <c r="M1963" s="17" t="n"/>
      <c r="N1963" s="17" t="n"/>
      <c r="O1963" s="26">
        <f>IF($D1963="","",IFERROR(VLOOKUP($D1963,物料档案!$A$4:$P$1203,10,0),0))</f>
        <v/>
      </c>
      <c r="P1963" s="32" t="n"/>
      <c r="Q1963" s="26">
        <f>IF($D1963="","",IF($K1963&lt;&gt;"对外销售",0,ROUND(N($J1963)*IF($P1963="",N($O1963),N($P1963)),0)))</f>
        <v/>
      </c>
      <c r="R1963" s="26">
        <f>IF($D1963="","",IFERROR(VLOOKUP($D1963,库存台账!$A$5:$Y$1204,11,0),0))</f>
        <v/>
      </c>
      <c r="S1963" s="26">
        <f>IF($D1963="","",ROUND(N($J1963)*N($R1963),0))</f>
        <v/>
      </c>
      <c r="T1963" s="26">
        <f>IF($D1963="","",IF($K1963&lt;&gt;"对外销售","",ROUND($Q1963-$S1963,0)))</f>
        <v/>
      </c>
      <c r="U1963" s="17" t="n"/>
      <c r="V1963" s="17" t="n"/>
      <c r="W1963" s="24">
        <f>IF($D1963="","",IF($E1963="※编码不在物料档案里","※物料编码不在档案里",IF(N($J1963)&lt;=0,"※出库数量要大于 0",IF($K1963="","※没填去向类型",IF($L1963="","※没填去向矿区",IF(AND($C1963&lt;&gt;"",$C1963&lt;=结账锁),"※日期早于已结账截止日，不能再录",IF(AND($K1963="自用消耗",COUNTIF({"一矿区";"二矿区"},$L1963)=0),"※自用消耗的去向只能是一矿区或二矿区",IF(AND($K1963="对外销售",COUNTIF({"三矿区";"六矿区"},$L1963)=0),"※对外销售的去向只能是三矿区或六矿区",IF(AND($K1963="对外销售",ROUND($Q1963,0)=0),"※外销却没有售价，请填实际售价",IF(AND($K1963="对外销售",$T1963&lt;&gt;"",$T1963&lt;0),"※这一笔外销是亏的，请核对售价",IF(IFERROR(VLOOKUP($D1963,库存台账!$A$5:$Y$1204,24,0),0)&lt;-0.001,"※这个物料账面已经变成负数了，查一下是不是漏记入库","")))))))))))</f>
        <v/>
      </c>
    </row>
    <row r="1964">
      <c r="A1964" s="24">
        <f>IF($D1964="","",COUNTA($D$4:$D1964))</f>
        <v/>
      </c>
      <c r="B1964" s="17" t="n"/>
      <c r="C1964" s="30" t="n"/>
      <c r="D1964" s="17" t="n"/>
      <c r="E1964" s="24">
        <f>IF($D1964="","",IFERROR(VLOOKUP($D1964,物料档案!$A$4:$P$1203,3,0),"※编码不在物料档案里"))</f>
        <v/>
      </c>
      <c r="F1964" s="24">
        <f>IF($D1964="","",IFERROR(VLOOKUP($D1964,物料档案!$A$4:$P$1203,4,0),"※编码不在物料档案里"))</f>
        <v/>
      </c>
      <c r="G1964" s="24">
        <f>IF($D1964="","",IFERROR(VLOOKUP($D1964,物料档案!$A$4:$P$1203,5,0),"※编码不在物料档案里"))</f>
        <v/>
      </c>
      <c r="H1964" s="24">
        <f>IF($D1964="","",IFERROR(VLOOKUP($D1964,物料档案!$A$4:$P$1203,2,0),"※编码不在物料档案里"))</f>
        <v/>
      </c>
      <c r="I1964" s="24">
        <f>IF($D1964="","",IFERROR(VLOOKUP($D1964,物料档案!$A$4:$P$1203,6,0),"※编码不在物料档案里"))</f>
        <v/>
      </c>
      <c r="J1964" s="23" t="n"/>
      <c r="K1964" s="17" t="n"/>
      <c r="L1964" s="17" t="n"/>
      <c r="M1964" s="17" t="n"/>
      <c r="N1964" s="17" t="n"/>
      <c r="O1964" s="26">
        <f>IF($D1964="","",IFERROR(VLOOKUP($D1964,物料档案!$A$4:$P$1203,10,0),0))</f>
        <v/>
      </c>
      <c r="P1964" s="32" t="n"/>
      <c r="Q1964" s="26">
        <f>IF($D1964="","",IF($K1964&lt;&gt;"对外销售",0,ROUND(N($J1964)*IF($P1964="",N($O1964),N($P1964)),0)))</f>
        <v/>
      </c>
      <c r="R1964" s="26">
        <f>IF($D1964="","",IFERROR(VLOOKUP($D1964,库存台账!$A$5:$Y$1204,11,0),0))</f>
        <v/>
      </c>
      <c r="S1964" s="26">
        <f>IF($D1964="","",ROUND(N($J1964)*N($R1964),0))</f>
        <v/>
      </c>
      <c r="T1964" s="26">
        <f>IF($D1964="","",IF($K1964&lt;&gt;"对外销售","",ROUND($Q1964-$S1964,0)))</f>
        <v/>
      </c>
      <c r="U1964" s="17" t="n"/>
      <c r="V1964" s="17" t="n"/>
      <c r="W1964" s="24">
        <f>IF($D1964="","",IF($E1964="※编码不在物料档案里","※物料编码不在档案里",IF(N($J1964)&lt;=0,"※出库数量要大于 0",IF($K1964="","※没填去向类型",IF($L1964="","※没填去向矿区",IF(AND($C1964&lt;&gt;"",$C1964&lt;=结账锁),"※日期早于已结账截止日，不能再录",IF(AND($K1964="自用消耗",COUNTIF({"一矿区";"二矿区"},$L1964)=0),"※自用消耗的去向只能是一矿区或二矿区",IF(AND($K1964="对外销售",COUNTIF({"三矿区";"六矿区"},$L1964)=0),"※对外销售的去向只能是三矿区或六矿区",IF(AND($K1964="对外销售",ROUND($Q1964,0)=0),"※外销却没有售价，请填实际售价",IF(AND($K1964="对外销售",$T1964&lt;&gt;"",$T1964&lt;0),"※这一笔外销是亏的，请核对售价",IF(IFERROR(VLOOKUP($D1964,库存台账!$A$5:$Y$1204,24,0),0)&lt;-0.001,"※这个物料账面已经变成负数了，查一下是不是漏记入库","")))))))))))</f>
        <v/>
      </c>
    </row>
    <row r="1965">
      <c r="A1965" s="24">
        <f>IF($D1965="","",COUNTA($D$4:$D1965))</f>
        <v/>
      </c>
      <c r="B1965" s="17" t="n"/>
      <c r="C1965" s="30" t="n"/>
      <c r="D1965" s="17" t="n"/>
      <c r="E1965" s="24">
        <f>IF($D1965="","",IFERROR(VLOOKUP($D1965,物料档案!$A$4:$P$1203,3,0),"※编码不在物料档案里"))</f>
        <v/>
      </c>
      <c r="F1965" s="24">
        <f>IF($D1965="","",IFERROR(VLOOKUP($D1965,物料档案!$A$4:$P$1203,4,0),"※编码不在物料档案里"))</f>
        <v/>
      </c>
      <c r="G1965" s="24">
        <f>IF($D1965="","",IFERROR(VLOOKUP($D1965,物料档案!$A$4:$P$1203,5,0),"※编码不在物料档案里"))</f>
        <v/>
      </c>
      <c r="H1965" s="24">
        <f>IF($D1965="","",IFERROR(VLOOKUP($D1965,物料档案!$A$4:$P$1203,2,0),"※编码不在物料档案里"))</f>
        <v/>
      </c>
      <c r="I1965" s="24">
        <f>IF($D1965="","",IFERROR(VLOOKUP($D1965,物料档案!$A$4:$P$1203,6,0),"※编码不在物料档案里"))</f>
        <v/>
      </c>
      <c r="J1965" s="23" t="n"/>
      <c r="K1965" s="17" t="n"/>
      <c r="L1965" s="17" t="n"/>
      <c r="M1965" s="17" t="n"/>
      <c r="N1965" s="17" t="n"/>
      <c r="O1965" s="26">
        <f>IF($D1965="","",IFERROR(VLOOKUP($D1965,物料档案!$A$4:$P$1203,10,0),0))</f>
        <v/>
      </c>
      <c r="P1965" s="32" t="n"/>
      <c r="Q1965" s="26">
        <f>IF($D1965="","",IF($K1965&lt;&gt;"对外销售",0,ROUND(N($J1965)*IF($P1965="",N($O1965),N($P1965)),0)))</f>
        <v/>
      </c>
      <c r="R1965" s="26">
        <f>IF($D1965="","",IFERROR(VLOOKUP($D1965,库存台账!$A$5:$Y$1204,11,0),0))</f>
        <v/>
      </c>
      <c r="S1965" s="26">
        <f>IF($D1965="","",ROUND(N($J1965)*N($R1965),0))</f>
        <v/>
      </c>
      <c r="T1965" s="26">
        <f>IF($D1965="","",IF($K1965&lt;&gt;"对外销售","",ROUND($Q1965-$S1965,0)))</f>
        <v/>
      </c>
      <c r="U1965" s="17" t="n"/>
      <c r="V1965" s="17" t="n"/>
      <c r="W1965" s="24">
        <f>IF($D1965="","",IF($E1965="※编码不在物料档案里","※物料编码不在档案里",IF(N($J1965)&lt;=0,"※出库数量要大于 0",IF($K1965="","※没填去向类型",IF($L1965="","※没填去向矿区",IF(AND($C1965&lt;&gt;"",$C1965&lt;=结账锁),"※日期早于已结账截止日，不能再录",IF(AND($K1965="自用消耗",COUNTIF({"一矿区";"二矿区"},$L1965)=0),"※自用消耗的去向只能是一矿区或二矿区",IF(AND($K1965="对外销售",COUNTIF({"三矿区";"六矿区"},$L1965)=0),"※对外销售的去向只能是三矿区或六矿区",IF(AND($K1965="对外销售",ROUND($Q1965,0)=0),"※外销却没有售价，请填实际售价",IF(AND($K1965="对外销售",$T1965&lt;&gt;"",$T1965&lt;0),"※这一笔外销是亏的，请核对售价",IF(IFERROR(VLOOKUP($D1965,库存台账!$A$5:$Y$1204,24,0),0)&lt;-0.001,"※这个物料账面已经变成负数了，查一下是不是漏记入库","")))))))))))</f>
        <v/>
      </c>
    </row>
    <row r="1966">
      <c r="A1966" s="24">
        <f>IF($D1966="","",COUNTA($D$4:$D1966))</f>
        <v/>
      </c>
      <c r="B1966" s="17" t="n"/>
      <c r="C1966" s="30" t="n"/>
      <c r="D1966" s="17" t="n"/>
      <c r="E1966" s="24">
        <f>IF($D1966="","",IFERROR(VLOOKUP($D1966,物料档案!$A$4:$P$1203,3,0),"※编码不在物料档案里"))</f>
        <v/>
      </c>
      <c r="F1966" s="24">
        <f>IF($D1966="","",IFERROR(VLOOKUP($D1966,物料档案!$A$4:$P$1203,4,0),"※编码不在物料档案里"))</f>
        <v/>
      </c>
      <c r="G1966" s="24">
        <f>IF($D1966="","",IFERROR(VLOOKUP($D1966,物料档案!$A$4:$P$1203,5,0),"※编码不在物料档案里"))</f>
        <v/>
      </c>
      <c r="H1966" s="24">
        <f>IF($D1966="","",IFERROR(VLOOKUP($D1966,物料档案!$A$4:$P$1203,2,0),"※编码不在物料档案里"))</f>
        <v/>
      </c>
      <c r="I1966" s="24">
        <f>IF($D1966="","",IFERROR(VLOOKUP($D1966,物料档案!$A$4:$P$1203,6,0),"※编码不在物料档案里"))</f>
        <v/>
      </c>
      <c r="J1966" s="23" t="n"/>
      <c r="K1966" s="17" t="n"/>
      <c r="L1966" s="17" t="n"/>
      <c r="M1966" s="17" t="n"/>
      <c r="N1966" s="17" t="n"/>
      <c r="O1966" s="26">
        <f>IF($D1966="","",IFERROR(VLOOKUP($D1966,物料档案!$A$4:$P$1203,10,0),0))</f>
        <v/>
      </c>
      <c r="P1966" s="32" t="n"/>
      <c r="Q1966" s="26">
        <f>IF($D1966="","",IF($K1966&lt;&gt;"对外销售",0,ROUND(N($J1966)*IF($P1966="",N($O1966),N($P1966)),0)))</f>
        <v/>
      </c>
      <c r="R1966" s="26">
        <f>IF($D1966="","",IFERROR(VLOOKUP($D1966,库存台账!$A$5:$Y$1204,11,0),0))</f>
        <v/>
      </c>
      <c r="S1966" s="26">
        <f>IF($D1966="","",ROUND(N($J1966)*N($R1966),0))</f>
        <v/>
      </c>
      <c r="T1966" s="26">
        <f>IF($D1966="","",IF($K1966&lt;&gt;"对外销售","",ROUND($Q1966-$S1966,0)))</f>
        <v/>
      </c>
      <c r="U1966" s="17" t="n"/>
      <c r="V1966" s="17" t="n"/>
      <c r="W1966" s="24">
        <f>IF($D1966="","",IF($E1966="※编码不在物料档案里","※物料编码不在档案里",IF(N($J1966)&lt;=0,"※出库数量要大于 0",IF($K1966="","※没填去向类型",IF($L1966="","※没填去向矿区",IF(AND($C1966&lt;&gt;"",$C1966&lt;=结账锁),"※日期早于已结账截止日，不能再录",IF(AND($K1966="自用消耗",COUNTIF({"一矿区";"二矿区"},$L1966)=0),"※自用消耗的去向只能是一矿区或二矿区",IF(AND($K1966="对外销售",COUNTIF({"三矿区";"六矿区"},$L1966)=0),"※对外销售的去向只能是三矿区或六矿区",IF(AND($K1966="对外销售",ROUND($Q1966,0)=0),"※外销却没有售价，请填实际售价",IF(AND($K1966="对外销售",$T1966&lt;&gt;"",$T1966&lt;0),"※这一笔外销是亏的，请核对售价",IF(IFERROR(VLOOKUP($D1966,库存台账!$A$5:$Y$1204,24,0),0)&lt;-0.001,"※这个物料账面已经变成负数了，查一下是不是漏记入库","")))))))))))</f>
        <v/>
      </c>
    </row>
    <row r="1967">
      <c r="A1967" s="24">
        <f>IF($D1967="","",COUNTA($D$4:$D1967))</f>
        <v/>
      </c>
      <c r="B1967" s="17" t="n"/>
      <c r="C1967" s="30" t="n"/>
      <c r="D1967" s="17" t="n"/>
      <c r="E1967" s="24">
        <f>IF($D1967="","",IFERROR(VLOOKUP($D1967,物料档案!$A$4:$P$1203,3,0),"※编码不在物料档案里"))</f>
        <v/>
      </c>
      <c r="F1967" s="24">
        <f>IF($D1967="","",IFERROR(VLOOKUP($D1967,物料档案!$A$4:$P$1203,4,0),"※编码不在物料档案里"))</f>
        <v/>
      </c>
      <c r="G1967" s="24">
        <f>IF($D1967="","",IFERROR(VLOOKUP($D1967,物料档案!$A$4:$P$1203,5,0),"※编码不在物料档案里"))</f>
        <v/>
      </c>
      <c r="H1967" s="24">
        <f>IF($D1967="","",IFERROR(VLOOKUP($D1967,物料档案!$A$4:$P$1203,2,0),"※编码不在物料档案里"))</f>
        <v/>
      </c>
      <c r="I1967" s="24">
        <f>IF($D1967="","",IFERROR(VLOOKUP($D1967,物料档案!$A$4:$P$1203,6,0),"※编码不在物料档案里"))</f>
        <v/>
      </c>
      <c r="J1967" s="23" t="n"/>
      <c r="K1967" s="17" t="n"/>
      <c r="L1967" s="17" t="n"/>
      <c r="M1967" s="17" t="n"/>
      <c r="N1967" s="17" t="n"/>
      <c r="O1967" s="26">
        <f>IF($D1967="","",IFERROR(VLOOKUP($D1967,物料档案!$A$4:$P$1203,10,0),0))</f>
        <v/>
      </c>
      <c r="P1967" s="32" t="n"/>
      <c r="Q1967" s="26">
        <f>IF($D1967="","",IF($K1967&lt;&gt;"对外销售",0,ROUND(N($J1967)*IF($P1967="",N($O1967),N($P1967)),0)))</f>
        <v/>
      </c>
      <c r="R1967" s="26">
        <f>IF($D1967="","",IFERROR(VLOOKUP($D1967,库存台账!$A$5:$Y$1204,11,0),0))</f>
        <v/>
      </c>
      <c r="S1967" s="26">
        <f>IF($D1967="","",ROUND(N($J1967)*N($R1967),0))</f>
        <v/>
      </c>
      <c r="T1967" s="26">
        <f>IF($D1967="","",IF($K1967&lt;&gt;"对外销售","",ROUND($Q1967-$S1967,0)))</f>
        <v/>
      </c>
      <c r="U1967" s="17" t="n"/>
      <c r="V1967" s="17" t="n"/>
      <c r="W1967" s="24">
        <f>IF($D1967="","",IF($E1967="※编码不在物料档案里","※物料编码不在档案里",IF(N($J1967)&lt;=0,"※出库数量要大于 0",IF($K1967="","※没填去向类型",IF($L1967="","※没填去向矿区",IF(AND($C1967&lt;&gt;"",$C1967&lt;=结账锁),"※日期早于已结账截止日，不能再录",IF(AND($K1967="自用消耗",COUNTIF({"一矿区";"二矿区"},$L1967)=0),"※自用消耗的去向只能是一矿区或二矿区",IF(AND($K1967="对外销售",COUNTIF({"三矿区";"六矿区"},$L1967)=0),"※对外销售的去向只能是三矿区或六矿区",IF(AND($K1967="对外销售",ROUND($Q1967,0)=0),"※外销却没有售价，请填实际售价",IF(AND($K1967="对外销售",$T1967&lt;&gt;"",$T1967&lt;0),"※这一笔外销是亏的，请核对售价",IF(IFERROR(VLOOKUP($D1967,库存台账!$A$5:$Y$1204,24,0),0)&lt;-0.001,"※这个物料账面已经变成负数了，查一下是不是漏记入库","")))))))))))</f>
        <v/>
      </c>
    </row>
    <row r="1968">
      <c r="A1968" s="24">
        <f>IF($D1968="","",COUNTA($D$4:$D1968))</f>
        <v/>
      </c>
      <c r="B1968" s="17" t="n"/>
      <c r="C1968" s="30" t="n"/>
      <c r="D1968" s="17" t="n"/>
      <c r="E1968" s="24">
        <f>IF($D1968="","",IFERROR(VLOOKUP($D1968,物料档案!$A$4:$P$1203,3,0),"※编码不在物料档案里"))</f>
        <v/>
      </c>
      <c r="F1968" s="24">
        <f>IF($D1968="","",IFERROR(VLOOKUP($D1968,物料档案!$A$4:$P$1203,4,0),"※编码不在物料档案里"))</f>
        <v/>
      </c>
      <c r="G1968" s="24">
        <f>IF($D1968="","",IFERROR(VLOOKUP($D1968,物料档案!$A$4:$P$1203,5,0),"※编码不在物料档案里"))</f>
        <v/>
      </c>
      <c r="H1968" s="24">
        <f>IF($D1968="","",IFERROR(VLOOKUP($D1968,物料档案!$A$4:$P$1203,2,0),"※编码不在物料档案里"))</f>
        <v/>
      </c>
      <c r="I1968" s="24">
        <f>IF($D1968="","",IFERROR(VLOOKUP($D1968,物料档案!$A$4:$P$1203,6,0),"※编码不在物料档案里"))</f>
        <v/>
      </c>
      <c r="J1968" s="23" t="n"/>
      <c r="K1968" s="17" t="n"/>
      <c r="L1968" s="17" t="n"/>
      <c r="M1968" s="17" t="n"/>
      <c r="N1968" s="17" t="n"/>
      <c r="O1968" s="26">
        <f>IF($D1968="","",IFERROR(VLOOKUP($D1968,物料档案!$A$4:$P$1203,10,0),0))</f>
        <v/>
      </c>
      <c r="P1968" s="32" t="n"/>
      <c r="Q1968" s="26">
        <f>IF($D1968="","",IF($K1968&lt;&gt;"对外销售",0,ROUND(N($J1968)*IF($P1968="",N($O1968),N($P1968)),0)))</f>
        <v/>
      </c>
      <c r="R1968" s="26">
        <f>IF($D1968="","",IFERROR(VLOOKUP($D1968,库存台账!$A$5:$Y$1204,11,0),0))</f>
        <v/>
      </c>
      <c r="S1968" s="26">
        <f>IF($D1968="","",ROUND(N($J1968)*N($R1968),0))</f>
        <v/>
      </c>
      <c r="T1968" s="26">
        <f>IF($D1968="","",IF($K1968&lt;&gt;"对外销售","",ROUND($Q1968-$S1968,0)))</f>
        <v/>
      </c>
      <c r="U1968" s="17" t="n"/>
      <c r="V1968" s="17" t="n"/>
      <c r="W1968" s="24">
        <f>IF($D1968="","",IF($E1968="※编码不在物料档案里","※物料编码不在档案里",IF(N($J1968)&lt;=0,"※出库数量要大于 0",IF($K1968="","※没填去向类型",IF($L1968="","※没填去向矿区",IF(AND($C1968&lt;&gt;"",$C1968&lt;=结账锁),"※日期早于已结账截止日，不能再录",IF(AND($K1968="自用消耗",COUNTIF({"一矿区";"二矿区"},$L1968)=0),"※自用消耗的去向只能是一矿区或二矿区",IF(AND($K1968="对外销售",COUNTIF({"三矿区";"六矿区"},$L1968)=0),"※对外销售的去向只能是三矿区或六矿区",IF(AND($K1968="对外销售",ROUND($Q1968,0)=0),"※外销却没有售价，请填实际售价",IF(AND($K1968="对外销售",$T1968&lt;&gt;"",$T1968&lt;0),"※这一笔外销是亏的，请核对售价",IF(IFERROR(VLOOKUP($D1968,库存台账!$A$5:$Y$1204,24,0),0)&lt;-0.001,"※这个物料账面已经变成负数了，查一下是不是漏记入库","")))))))))))</f>
        <v/>
      </c>
    </row>
    <row r="1969">
      <c r="A1969" s="24">
        <f>IF($D1969="","",COUNTA($D$4:$D1969))</f>
        <v/>
      </c>
      <c r="B1969" s="17" t="n"/>
      <c r="C1969" s="30" t="n"/>
      <c r="D1969" s="17" t="n"/>
      <c r="E1969" s="24">
        <f>IF($D1969="","",IFERROR(VLOOKUP($D1969,物料档案!$A$4:$P$1203,3,0),"※编码不在物料档案里"))</f>
        <v/>
      </c>
      <c r="F1969" s="24">
        <f>IF($D1969="","",IFERROR(VLOOKUP($D1969,物料档案!$A$4:$P$1203,4,0),"※编码不在物料档案里"))</f>
        <v/>
      </c>
      <c r="G1969" s="24">
        <f>IF($D1969="","",IFERROR(VLOOKUP($D1969,物料档案!$A$4:$P$1203,5,0),"※编码不在物料档案里"))</f>
        <v/>
      </c>
      <c r="H1969" s="24">
        <f>IF($D1969="","",IFERROR(VLOOKUP($D1969,物料档案!$A$4:$P$1203,2,0),"※编码不在物料档案里"))</f>
        <v/>
      </c>
      <c r="I1969" s="24">
        <f>IF($D1969="","",IFERROR(VLOOKUP($D1969,物料档案!$A$4:$P$1203,6,0),"※编码不在物料档案里"))</f>
        <v/>
      </c>
      <c r="J1969" s="23" t="n"/>
      <c r="K1969" s="17" t="n"/>
      <c r="L1969" s="17" t="n"/>
      <c r="M1969" s="17" t="n"/>
      <c r="N1969" s="17" t="n"/>
      <c r="O1969" s="26">
        <f>IF($D1969="","",IFERROR(VLOOKUP($D1969,物料档案!$A$4:$P$1203,10,0),0))</f>
        <v/>
      </c>
      <c r="P1969" s="32" t="n"/>
      <c r="Q1969" s="26">
        <f>IF($D1969="","",IF($K1969&lt;&gt;"对外销售",0,ROUND(N($J1969)*IF($P1969="",N($O1969),N($P1969)),0)))</f>
        <v/>
      </c>
      <c r="R1969" s="26">
        <f>IF($D1969="","",IFERROR(VLOOKUP($D1969,库存台账!$A$5:$Y$1204,11,0),0))</f>
        <v/>
      </c>
      <c r="S1969" s="26">
        <f>IF($D1969="","",ROUND(N($J1969)*N($R1969),0))</f>
        <v/>
      </c>
      <c r="T1969" s="26">
        <f>IF($D1969="","",IF($K1969&lt;&gt;"对外销售","",ROUND($Q1969-$S1969,0)))</f>
        <v/>
      </c>
      <c r="U1969" s="17" t="n"/>
      <c r="V1969" s="17" t="n"/>
      <c r="W1969" s="24">
        <f>IF($D1969="","",IF($E1969="※编码不在物料档案里","※物料编码不在档案里",IF(N($J1969)&lt;=0,"※出库数量要大于 0",IF($K1969="","※没填去向类型",IF($L1969="","※没填去向矿区",IF(AND($C1969&lt;&gt;"",$C1969&lt;=结账锁),"※日期早于已结账截止日，不能再录",IF(AND($K1969="自用消耗",COUNTIF({"一矿区";"二矿区"},$L1969)=0),"※自用消耗的去向只能是一矿区或二矿区",IF(AND($K1969="对外销售",COUNTIF({"三矿区";"六矿区"},$L1969)=0),"※对外销售的去向只能是三矿区或六矿区",IF(AND($K1969="对外销售",ROUND($Q1969,0)=0),"※外销却没有售价，请填实际售价",IF(AND($K1969="对外销售",$T1969&lt;&gt;"",$T1969&lt;0),"※这一笔外销是亏的，请核对售价",IF(IFERROR(VLOOKUP($D1969,库存台账!$A$5:$Y$1204,24,0),0)&lt;-0.001,"※这个物料账面已经变成负数了，查一下是不是漏记入库","")))))))))))</f>
        <v/>
      </c>
    </row>
    <row r="1970">
      <c r="A1970" s="24">
        <f>IF($D1970="","",COUNTA($D$4:$D1970))</f>
        <v/>
      </c>
      <c r="B1970" s="17" t="n"/>
      <c r="C1970" s="30" t="n"/>
      <c r="D1970" s="17" t="n"/>
      <c r="E1970" s="24">
        <f>IF($D1970="","",IFERROR(VLOOKUP($D1970,物料档案!$A$4:$P$1203,3,0),"※编码不在物料档案里"))</f>
        <v/>
      </c>
      <c r="F1970" s="24">
        <f>IF($D1970="","",IFERROR(VLOOKUP($D1970,物料档案!$A$4:$P$1203,4,0),"※编码不在物料档案里"))</f>
        <v/>
      </c>
      <c r="G1970" s="24">
        <f>IF($D1970="","",IFERROR(VLOOKUP($D1970,物料档案!$A$4:$P$1203,5,0),"※编码不在物料档案里"))</f>
        <v/>
      </c>
      <c r="H1970" s="24">
        <f>IF($D1970="","",IFERROR(VLOOKUP($D1970,物料档案!$A$4:$P$1203,2,0),"※编码不在物料档案里"))</f>
        <v/>
      </c>
      <c r="I1970" s="24">
        <f>IF($D1970="","",IFERROR(VLOOKUP($D1970,物料档案!$A$4:$P$1203,6,0),"※编码不在物料档案里"))</f>
        <v/>
      </c>
      <c r="J1970" s="23" t="n"/>
      <c r="K1970" s="17" t="n"/>
      <c r="L1970" s="17" t="n"/>
      <c r="M1970" s="17" t="n"/>
      <c r="N1970" s="17" t="n"/>
      <c r="O1970" s="26">
        <f>IF($D1970="","",IFERROR(VLOOKUP($D1970,物料档案!$A$4:$P$1203,10,0),0))</f>
        <v/>
      </c>
      <c r="P1970" s="32" t="n"/>
      <c r="Q1970" s="26">
        <f>IF($D1970="","",IF($K1970&lt;&gt;"对外销售",0,ROUND(N($J1970)*IF($P1970="",N($O1970),N($P1970)),0)))</f>
        <v/>
      </c>
      <c r="R1970" s="26">
        <f>IF($D1970="","",IFERROR(VLOOKUP($D1970,库存台账!$A$5:$Y$1204,11,0),0))</f>
        <v/>
      </c>
      <c r="S1970" s="26">
        <f>IF($D1970="","",ROUND(N($J1970)*N($R1970),0))</f>
        <v/>
      </c>
      <c r="T1970" s="26">
        <f>IF($D1970="","",IF($K1970&lt;&gt;"对外销售","",ROUND($Q1970-$S1970,0)))</f>
        <v/>
      </c>
      <c r="U1970" s="17" t="n"/>
      <c r="V1970" s="17" t="n"/>
      <c r="W1970" s="24">
        <f>IF($D1970="","",IF($E1970="※编码不在物料档案里","※物料编码不在档案里",IF(N($J1970)&lt;=0,"※出库数量要大于 0",IF($K1970="","※没填去向类型",IF($L1970="","※没填去向矿区",IF(AND($C1970&lt;&gt;"",$C1970&lt;=结账锁),"※日期早于已结账截止日，不能再录",IF(AND($K1970="自用消耗",COUNTIF({"一矿区";"二矿区"},$L1970)=0),"※自用消耗的去向只能是一矿区或二矿区",IF(AND($K1970="对外销售",COUNTIF({"三矿区";"六矿区"},$L1970)=0),"※对外销售的去向只能是三矿区或六矿区",IF(AND($K1970="对外销售",ROUND($Q1970,0)=0),"※外销却没有售价，请填实际售价",IF(AND($K1970="对外销售",$T1970&lt;&gt;"",$T1970&lt;0),"※这一笔外销是亏的，请核对售价",IF(IFERROR(VLOOKUP($D1970,库存台账!$A$5:$Y$1204,24,0),0)&lt;-0.001,"※这个物料账面已经变成负数了，查一下是不是漏记入库","")))))))))))</f>
        <v/>
      </c>
    </row>
    <row r="1971">
      <c r="A1971" s="24">
        <f>IF($D1971="","",COUNTA($D$4:$D1971))</f>
        <v/>
      </c>
      <c r="B1971" s="17" t="n"/>
      <c r="C1971" s="30" t="n"/>
      <c r="D1971" s="17" t="n"/>
      <c r="E1971" s="24">
        <f>IF($D1971="","",IFERROR(VLOOKUP($D1971,物料档案!$A$4:$P$1203,3,0),"※编码不在物料档案里"))</f>
        <v/>
      </c>
      <c r="F1971" s="24">
        <f>IF($D1971="","",IFERROR(VLOOKUP($D1971,物料档案!$A$4:$P$1203,4,0),"※编码不在物料档案里"))</f>
        <v/>
      </c>
      <c r="G1971" s="24">
        <f>IF($D1971="","",IFERROR(VLOOKUP($D1971,物料档案!$A$4:$P$1203,5,0),"※编码不在物料档案里"))</f>
        <v/>
      </c>
      <c r="H1971" s="24">
        <f>IF($D1971="","",IFERROR(VLOOKUP($D1971,物料档案!$A$4:$P$1203,2,0),"※编码不在物料档案里"))</f>
        <v/>
      </c>
      <c r="I1971" s="24">
        <f>IF($D1971="","",IFERROR(VLOOKUP($D1971,物料档案!$A$4:$P$1203,6,0),"※编码不在物料档案里"))</f>
        <v/>
      </c>
      <c r="J1971" s="23" t="n"/>
      <c r="K1971" s="17" t="n"/>
      <c r="L1971" s="17" t="n"/>
      <c r="M1971" s="17" t="n"/>
      <c r="N1971" s="17" t="n"/>
      <c r="O1971" s="26">
        <f>IF($D1971="","",IFERROR(VLOOKUP($D1971,物料档案!$A$4:$P$1203,10,0),0))</f>
        <v/>
      </c>
      <c r="P1971" s="32" t="n"/>
      <c r="Q1971" s="26">
        <f>IF($D1971="","",IF($K1971&lt;&gt;"对外销售",0,ROUND(N($J1971)*IF($P1971="",N($O1971),N($P1971)),0)))</f>
        <v/>
      </c>
      <c r="R1971" s="26">
        <f>IF($D1971="","",IFERROR(VLOOKUP($D1971,库存台账!$A$5:$Y$1204,11,0),0))</f>
        <v/>
      </c>
      <c r="S1971" s="26">
        <f>IF($D1971="","",ROUND(N($J1971)*N($R1971),0))</f>
        <v/>
      </c>
      <c r="T1971" s="26">
        <f>IF($D1971="","",IF($K1971&lt;&gt;"对外销售","",ROUND($Q1971-$S1971,0)))</f>
        <v/>
      </c>
      <c r="U1971" s="17" t="n"/>
      <c r="V1971" s="17" t="n"/>
      <c r="W1971" s="24">
        <f>IF($D1971="","",IF($E1971="※编码不在物料档案里","※物料编码不在档案里",IF(N($J1971)&lt;=0,"※出库数量要大于 0",IF($K1971="","※没填去向类型",IF($L1971="","※没填去向矿区",IF(AND($C1971&lt;&gt;"",$C1971&lt;=结账锁),"※日期早于已结账截止日，不能再录",IF(AND($K1971="自用消耗",COUNTIF({"一矿区";"二矿区"},$L1971)=0),"※自用消耗的去向只能是一矿区或二矿区",IF(AND($K1971="对外销售",COUNTIF({"三矿区";"六矿区"},$L1971)=0),"※对外销售的去向只能是三矿区或六矿区",IF(AND($K1971="对外销售",ROUND($Q1971,0)=0),"※外销却没有售价，请填实际售价",IF(AND($K1971="对外销售",$T1971&lt;&gt;"",$T1971&lt;0),"※这一笔外销是亏的，请核对售价",IF(IFERROR(VLOOKUP($D1971,库存台账!$A$5:$Y$1204,24,0),0)&lt;-0.001,"※这个物料账面已经变成负数了，查一下是不是漏记入库","")))))))))))</f>
        <v/>
      </c>
    </row>
    <row r="1972">
      <c r="A1972" s="24">
        <f>IF($D1972="","",COUNTA($D$4:$D1972))</f>
        <v/>
      </c>
      <c r="B1972" s="17" t="n"/>
      <c r="C1972" s="30" t="n"/>
      <c r="D1972" s="17" t="n"/>
      <c r="E1972" s="24">
        <f>IF($D1972="","",IFERROR(VLOOKUP($D1972,物料档案!$A$4:$P$1203,3,0),"※编码不在物料档案里"))</f>
        <v/>
      </c>
      <c r="F1972" s="24">
        <f>IF($D1972="","",IFERROR(VLOOKUP($D1972,物料档案!$A$4:$P$1203,4,0),"※编码不在物料档案里"))</f>
        <v/>
      </c>
      <c r="G1972" s="24">
        <f>IF($D1972="","",IFERROR(VLOOKUP($D1972,物料档案!$A$4:$P$1203,5,0),"※编码不在物料档案里"))</f>
        <v/>
      </c>
      <c r="H1972" s="24">
        <f>IF($D1972="","",IFERROR(VLOOKUP($D1972,物料档案!$A$4:$P$1203,2,0),"※编码不在物料档案里"))</f>
        <v/>
      </c>
      <c r="I1972" s="24">
        <f>IF($D1972="","",IFERROR(VLOOKUP($D1972,物料档案!$A$4:$P$1203,6,0),"※编码不在物料档案里"))</f>
        <v/>
      </c>
      <c r="J1972" s="23" t="n"/>
      <c r="K1972" s="17" t="n"/>
      <c r="L1972" s="17" t="n"/>
      <c r="M1972" s="17" t="n"/>
      <c r="N1972" s="17" t="n"/>
      <c r="O1972" s="26">
        <f>IF($D1972="","",IFERROR(VLOOKUP($D1972,物料档案!$A$4:$P$1203,10,0),0))</f>
        <v/>
      </c>
      <c r="P1972" s="32" t="n"/>
      <c r="Q1972" s="26">
        <f>IF($D1972="","",IF($K1972&lt;&gt;"对外销售",0,ROUND(N($J1972)*IF($P1972="",N($O1972),N($P1972)),0)))</f>
        <v/>
      </c>
      <c r="R1972" s="26">
        <f>IF($D1972="","",IFERROR(VLOOKUP($D1972,库存台账!$A$5:$Y$1204,11,0),0))</f>
        <v/>
      </c>
      <c r="S1972" s="26">
        <f>IF($D1972="","",ROUND(N($J1972)*N($R1972),0))</f>
        <v/>
      </c>
      <c r="T1972" s="26">
        <f>IF($D1972="","",IF($K1972&lt;&gt;"对外销售","",ROUND($Q1972-$S1972,0)))</f>
        <v/>
      </c>
      <c r="U1972" s="17" t="n"/>
      <c r="V1972" s="17" t="n"/>
      <c r="W1972" s="24">
        <f>IF($D1972="","",IF($E1972="※编码不在物料档案里","※物料编码不在档案里",IF(N($J1972)&lt;=0,"※出库数量要大于 0",IF($K1972="","※没填去向类型",IF($L1972="","※没填去向矿区",IF(AND($C1972&lt;&gt;"",$C1972&lt;=结账锁),"※日期早于已结账截止日，不能再录",IF(AND($K1972="自用消耗",COUNTIF({"一矿区";"二矿区"},$L1972)=0),"※自用消耗的去向只能是一矿区或二矿区",IF(AND($K1972="对外销售",COUNTIF({"三矿区";"六矿区"},$L1972)=0),"※对外销售的去向只能是三矿区或六矿区",IF(AND($K1972="对外销售",ROUND($Q1972,0)=0),"※外销却没有售价，请填实际售价",IF(AND($K1972="对外销售",$T1972&lt;&gt;"",$T1972&lt;0),"※这一笔外销是亏的，请核对售价",IF(IFERROR(VLOOKUP($D1972,库存台账!$A$5:$Y$1204,24,0),0)&lt;-0.001,"※这个物料账面已经变成负数了，查一下是不是漏记入库","")))))))))))</f>
        <v/>
      </c>
    </row>
    <row r="1973">
      <c r="A1973" s="24">
        <f>IF($D1973="","",COUNTA($D$4:$D1973))</f>
        <v/>
      </c>
      <c r="B1973" s="17" t="n"/>
      <c r="C1973" s="30" t="n"/>
      <c r="D1973" s="17" t="n"/>
      <c r="E1973" s="24">
        <f>IF($D1973="","",IFERROR(VLOOKUP($D1973,物料档案!$A$4:$P$1203,3,0),"※编码不在物料档案里"))</f>
        <v/>
      </c>
      <c r="F1973" s="24">
        <f>IF($D1973="","",IFERROR(VLOOKUP($D1973,物料档案!$A$4:$P$1203,4,0),"※编码不在物料档案里"))</f>
        <v/>
      </c>
      <c r="G1973" s="24">
        <f>IF($D1973="","",IFERROR(VLOOKUP($D1973,物料档案!$A$4:$P$1203,5,0),"※编码不在物料档案里"))</f>
        <v/>
      </c>
      <c r="H1973" s="24">
        <f>IF($D1973="","",IFERROR(VLOOKUP($D1973,物料档案!$A$4:$P$1203,2,0),"※编码不在物料档案里"))</f>
        <v/>
      </c>
      <c r="I1973" s="24">
        <f>IF($D1973="","",IFERROR(VLOOKUP($D1973,物料档案!$A$4:$P$1203,6,0),"※编码不在物料档案里"))</f>
        <v/>
      </c>
      <c r="J1973" s="23" t="n"/>
      <c r="K1973" s="17" t="n"/>
      <c r="L1973" s="17" t="n"/>
      <c r="M1973" s="17" t="n"/>
      <c r="N1973" s="17" t="n"/>
      <c r="O1973" s="26">
        <f>IF($D1973="","",IFERROR(VLOOKUP($D1973,物料档案!$A$4:$P$1203,10,0),0))</f>
        <v/>
      </c>
      <c r="P1973" s="32" t="n"/>
      <c r="Q1973" s="26">
        <f>IF($D1973="","",IF($K1973&lt;&gt;"对外销售",0,ROUND(N($J1973)*IF($P1973="",N($O1973),N($P1973)),0)))</f>
        <v/>
      </c>
      <c r="R1973" s="26">
        <f>IF($D1973="","",IFERROR(VLOOKUP($D1973,库存台账!$A$5:$Y$1204,11,0),0))</f>
        <v/>
      </c>
      <c r="S1973" s="26">
        <f>IF($D1973="","",ROUND(N($J1973)*N($R1973),0))</f>
        <v/>
      </c>
      <c r="T1973" s="26">
        <f>IF($D1973="","",IF($K1973&lt;&gt;"对外销售","",ROUND($Q1973-$S1973,0)))</f>
        <v/>
      </c>
      <c r="U1973" s="17" t="n"/>
      <c r="V1973" s="17" t="n"/>
      <c r="W1973" s="24">
        <f>IF($D1973="","",IF($E1973="※编码不在物料档案里","※物料编码不在档案里",IF(N($J1973)&lt;=0,"※出库数量要大于 0",IF($K1973="","※没填去向类型",IF($L1973="","※没填去向矿区",IF(AND($C1973&lt;&gt;"",$C1973&lt;=结账锁),"※日期早于已结账截止日，不能再录",IF(AND($K1973="自用消耗",COUNTIF({"一矿区";"二矿区"},$L1973)=0),"※自用消耗的去向只能是一矿区或二矿区",IF(AND($K1973="对外销售",COUNTIF({"三矿区";"六矿区"},$L1973)=0),"※对外销售的去向只能是三矿区或六矿区",IF(AND($K1973="对外销售",ROUND($Q1973,0)=0),"※外销却没有售价，请填实际售价",IF(AND($K1973="对外销售",$T1973&lt;&gt;"",$T1973&lt;0),"※这一笔外销是亏的，请核对售价",IF(IFERROR(VLOOKUP($D1973,库存台账!$A$5:$Y$1204,24,0),0)&lt;-0.001,"※这个物料账面已经变成负数了，查一下是不是漏记入库","")))))))))))</f>
        <v/>
      </c>
    </row>
    <row r="1974">
      <c r="A1974" s="24">
        <f>IF($D1974="","",COUNTA($D$4:$D1974))</f>
        <v/>
      </c>
      <c r="B1974" s="17" t="n"/>
      <c r="C1974" s="30" t="n"/>
      <c r="D1974" s="17" t="n"/>
      <c r="E1974" s="24">
        <f>IF($D1974="","",IFERROR(VLOOKUP($D1974,物料档案!$A$4:$P$1203,3,0),"※编码不在物料档案里"))</f>
        <v/>
      </c>
      <c r="F1974" s="24">
        <f>IF($D1974="","",IFERROR(VLOOKUP($D1974,物料档案!$A$4:$P$1203,4,0),"※编码不在物料档案里"))</f>
        <v/>
      </c>
      <c r="G1974" s="24">
        <f>IF($D1974="","",IFERROR(VLOOKUP($D1974,物料档案!$A$4:$P$1203,5,0),"※编码不在物料档案里"))</f>
        <v/>
      </c>
      <c r="H1974" s="24">
        <f>IF($D1974="","",IFERROR(VLOOKUP($D1974,物料档案!$A$4:$P$1203,2,0),"※编码不在物料档案里"))</f>
        <v/>
      </c>
      <c r="I1974" s="24">
        <f>IF($D1974="","",IFERROR(VLOOKUP($D1974,物料档案!$A$4:$P$1203,6,0),"※编码不在物料档案里"))</f>
        <v/>
      </c>
      <c r="J1974" s="23" t="n"/>
      <c r="K1974" s="17" t="n"/>
      <c r="L1974" s="17" t="n"/>
      <c r="M1974" s="17" t="n"/>
      <c r="N1974" s="17" t="n"/>
      <c r="O1974" s="26">
        <f>IF($D1974="","",IFERROR(VLOOKUP($D1974,物料档案!$A$4:$P$1203,10,0),0))</f>
        <v/>
      </c>
      <c r="P1974" s="32" t="n"/>
      <c r="Q1974" s="26">
        <f>IF($D1974="","",IF($K1974&lt;&gt;"对外销售",0,ROUND(N($J1974)*IF($P1974="",N($O1974),N($P1974)),0)))</f>
        <v/>
      </c>
      <c r="R1974" s="26">
        <f>IF($D1974="","",IFERROR(VLOOKUP($D1974,库存台账!$A$5:$Y$1204,11,0),0))</f>
        <v/>
      </c>
      <c r="S1974" s="26">
        <f>IF($D1974="","",ROUND(N($J1974)*N($R1974),0))</f>
        <v/>
      </c>
      <c r="T1974" s="26">
        <f>IF($D1974="","",IF($K1974&lt;&gt;"对外销售","",ROUND($Q1974-$S1974,0)))</f>
        <v/>
      </c>
      <c r="U1974" s="17" t="n"/>
      <c r="V1974" s="17" t="n"/>
      <c r="W1974" s="24">
        <f>IF($D1974="","",IF($E1974="※编码不在物料档案里","※物料编码不在档案里",IF(N($J1974)&lt;=0,"※出库数量要大于 0",IF($K1974="","※没填去向类型",IF($L1974="","※没填去向矿区",IF(AND($C1974&lt;&gt;"",$C1974&lt;=结账锁),"※日期早于已结账截止日，不能再录",IF(AND($K1974="自用消耗",COUNTIF({"一矿区";"二矿区"},$L1974)=0),"※自用消耗的去向只能是一矿区或二矿区",IF(AND($K1974="对外销售",COUNTIF({"三矿区";"六矿区"},$L1974)=0),"※对外销售的去向只能是三矿区或六矿区",IF(AND($K1974="对外销售",ROUND($Q1974,0)=0),"※外销却没有售价，请填实际售价",IF(AND($K1974="对外销售",$T1974&lt;&gt;"",$T1974&lt;0),"※这一笔外销是亏的，请核对售价",IF(IFERROR(VLOOKUP($D1974,库存台账!$A$5:$Y$1204,24,0),0)&lt;-0.001,"※这个物料账面已经变成负数了，查一下是不是漏记入库","")))))))))))</f>
        <v/>
      </c>
    </row>
    <row r="1975">
      <c r="A1975" s="24">
        <f>IF($D1975="","",COUNTA($D$4:$D1975))</f>
        <v/>
      </c>
      <c r="B1975" s="17" t="n"/>
      <c r="C1975" s="30" t="n"/>
      <c r="D1975" s="17" t="n"/>
      <c r="E1975" s="24">
        <f>IF($D1975="","",IFERROR(VLOOKUP($D1975,物料档案!$A$4:$P$1203,3,0),"※编码不在物料档案里"))</f>
        <v/>
      </c>
      <c r="F1975" s="24">
        <f>IF($D1975="","",IFERROR(VLOOKUP($D1975,物料档案!$A$4:$P$1203,4,0),"※编码不在物料档案里"))</f>
        <v/>
      </c>
      <c r="G1975" s="24">
        <f>IF($D1975="","",IFERROR(VLOOKUP($D1975,物料档案!$A$4:$P$1203,5,0),"※编码不在物料档案里"))</f>
        <v/>
      </c>
      <c r="H1975" s="24">
        <f>IF($D1975="","",IFERROR(VLOOKUP($D1975,物料档案!$A$4:$P$1203,2,0),"※编码不在物料档案里"))</f>
        <v/>
      </c>
      <c r="I1975" s="24">
        <f>IF($D1975="","",IFERROR(VLOOKUP($D1975,物料档案!$A$4:$P$1203,6,0),"※编码不在物料档案里"))</f>
        <v/>
      </c>
      <c r="J1975" s="23" t="n"/>
      <c r="K1975" s="17" t="n"/>
      <c r="L1975" s="17" t="n"/>
      <c r="M1975" s="17" t="n"/>
      <c r="N1975" s="17" t="n"/>
      <c r="O1975" s="26">
        <f>IF($D1975="","",IFERROR(VLOOKUP($D1975,物料档案!$A$4:$P$1203,10,0),0))</f>
        <v/>
      </c>
      <c r="P1975" s="32" t="n"/>
      <c r="Q1975" s="26">
        <f>IF($D1975="","",IF($K1975&lt;&gt;"对外销售",0,ROUND(N($J1975)*IF($P1975="",N($O1975),N($P1975)),0)))</f>
        <v/>
      </c>
      <c r="R1975" s="26">
        <f>IF($D1975="","",IFERROR(VLOOKUP($D1975,库存台账!$A$5:$Y$1204,11,0),0))</f>
        <v/>
      </c>
      <c r="S1975" s="26">
        <f>IF($D1975="","",ROUND(N($J1975)*N($R1975),0))</f>
        <v/>
      </c>
      <c r="T1975" s="26">
        <f>IF($D1975="","",IF($K1975&lt;&gt;"对外销售","",ROUND($Q1975-$S1975,0)))</f>
        <v/>
      </c>
      <c r="U1975" s="17" t="n"/>
      <c r="V1975" s="17" t="n"/>
      <c r="W1975" s="24">
        <f>IF($D1975="","",IF($E1975="※编码不在物料档案里","※物料编码不在档案里",IF(N($J1975)&lt;=0,"※出库数量要大于 0",IF($K1975="","※没填去向类型",IF($L1975="","※没填去向矿区",IF(AND($C1975&lt;&gt;"",$C1975&lt;=结账锁),"※日期早于已结账截止日，不能再录",IF(AND($K1975="自用消耗",COUNTIF({"一矿区";"二矿区"},$L1975)=0),"※自用消耗的去向只能是一矿区或二矿区",IF(AND($K1975="对外销售",COUNTIF({"三矿区";"六矿区"},$L1975)=0),"※对外销售的去向只能是三矿区或六矿区",IF(AND($K1975="对外销售",ROUND($Q1975,0)=0),"※外销却没有售价，请填实际售价",IF(AND($K1975="对外销售",$T1975&lt;&gt;"",$T1975&lt;0),"※这一笔外销是亏的，请核对售价",IF(IFERROR(VLOOKUP($D1975,库存台账!$A$5:$Y$1204,24,0),0)&lt;-0.001,"※这个物料账面已经变成负数了，查一下是不是漏记入库","")))))))))))</f>
        <v/>
      </c>
    </row>
    <row r="1976">
      <c r="A1976" s="24">
        <f>IF($D1976="","",COUNTA($D$4:$D1976))</f>
        <v/>
      </c>
      <c r="B1976" s="17" t="n"/>
      <c r="C1976" s="30" t="n"/>
      <c r="D1976" s="17" t="n"/>
      <c r="E1976" s="24">
        <f>IF($D1976="","",IFERROR(VLOOKUP($D1976,物料档案!$A$4:$P$1203,3,0),"※编码不在物料档案里"))</f>
        <v/>
      </c>
      <c r="F1976" s="24">
        <f>IF($D1976="","",IFERROR(VLOOKUP($D1976,物料档案!$A$4:$P$1203,4,0),"※编码不在物料档案里"))</f>
        <v/>
      </c>
      <c r="G1976" s="24">
        <f>IF($D1976="","",IFERROR(VLOOKUP($D1976,物料档案!$A$4:$P$1203,5,0),"※编码不在物料档案里"))</f>
        <v/>
      </c>
      <c r="H1976" s="24">
        <f>IF($D1976="","",IFERROR(VLOOKUP($D1976,物料档案!$A$4:$P$1203,2,0),"※编码不在物料档案里"))</f>
        <v/>
      </c>
      <c r="I1976" s="24">
        <f>IF($D1976="","",IFERROR(VLOOKUP($D1976,物料档案!$A$4:$P$1203,6,0),"※编码不在物料档案里"))</f>
        <v/>
      </c>
      <c r="J1976" s="23" t="n"/>
      <c r="K1976" s="17" t="n"/>
      <c r="L1976" s="17" t="n"/>
      <c r="M1976" s="17" t="n"/>
      <c r="N1976" s="17" t="n"/>
      <c r="O1976" s="26">
        <f>IF($D1976="","",IFERROR(VLOOKUP($D1976,物料档案!$A$4:$P$1203,10,0),0))</f>
        <v/>
      </c>
      <c r="P1976" s="32" t="n"/>
      <c r="Q1976" s="26">
        <f>IF($D1976="","",IF($K1976&lt;&gt;"对外销售",0,ROUND(N($J1976)*IF($P1976="",N($O1976),N($P1976)),0)))</f>
        <v/>
      </c>
      <c r="R1976" s="26">
        <f>IF($D1976="","",IFERROR(VLOOKUP($D1976,库存台账!$A$5:$Y$1204,11,0),0))</f>
        <v/>
      </c>
      <c r="S1976" s="26">
        <f>IF($D1976="","",ROUND(N($J1976)*N($R1976),0))</f>
        <v/>
      </c>
      <c r="T1976" s="26">
        <f>IF($D1976="","",IF($K1976&lt;&gt;"对外销售","",ROUND($Q1976-$S1976,0)))</f>
        <v/>
      </c>
      <c r="U1976" s="17" t="n"/>
      <c r="V1976" s="17" t="n"/>
      <c r="W1976" s="24">
        <f>IF($D1976="","",IF($E1976="※编码不在物料档案里","※物料编码不在档案里",IF(N($J1976)&lt;=0,"※出库数量要大于 0",IF($K1976="","※没填去向类型",IF($L1976="","※没填去向矿区",IF(AND($C1976&lt;&gt;"",$C1976&lt;=结账锁),"※日期早于已结账截止日，不能再录",IF(AND($K1976="自用消耗",COUNTIF({"一矿区";"二矿区"},$L1976)=0),"※自用消耗的去向只能是一矿区或二矿区",IF(AND($K1976="对外销售",COUNTIF({"三矿区";"六矿区"},$L1976)=0),"※对外销售的去向只能是三矿区或六矿区",IF(AND($K1976="对外销售",ROUND($Q1976,0)=0),"※外销却没有售价，请填实际售价",IF(AND($K1976="对外销售",$T1976&lt;&gt;"",$T1976&lt;0),"※这一笔外销是亏的，请核对售价",IF(IFERROR(VLOOKUP($D1976,库存台账!$A$5:$Y$1204,24,0),0)&lt;-0.001,"※这个物料账面已经变成负数了，查一下是不是漏记入库","")))))))))))</f>
        <v/>
      </c>
    </row>
    <row r="1977">
      <c r="A1977" s="24">
        <f>IF($D1977="","",COUNTA($D$4:$D1977))</f>
        <v/>
      </c>
      <c r="B1977" s="17" t="n"/>
      <c r="C1977" s="30" t="n"/>
      <c r="D1977" s="17" t="n"/>
      <c r="E1977" s="24">
        <f>IF($D1977="","",IFERROR(VLOOKUP($D1977,物料档案!$A$4:$P$1203,3,0),"※编码不在物料档案里"))</f>
        <v/>
      </c>
      <c r="F1977" s="24">
        <f>IF($D1977="","",IFERROR(VLOOKUP($D1977,物料档案!$A$4:$P$1203,4,0),"※编码不在物料档案里"))</f>
        <v/>
      </c>
      <c r="G1977" s="24">
        <f>IF($D1977="","",IFERROR(VLOOKUP($D1977,物料档案!$A$4:$P$1203,5,0),"※编码不在物料档案里"))</f>
        <v/>
      </c>
      <c r="H1977" s="24">
        <f>IF($D1977="","",IFERROR(VLOOKUP($D1977,物料档案!$A$4:$P$1203,2,0),"※编码不在物料档案里"))</f>
        <v/>
      </c>
      <c r="I1977" s="24">
        <f>IF($D1977="","",IFERROR(VLOOKUP($D1977,物料档案!$A$4:$P$1203,6,0),"※编码不在物料档案里"))</f>
        <v/>
      </c>
      <c r="J1977" s="23" t="n"/>
      <c r="K1977" s="17" t="n"/>
      <c r="L1977" s="17" t="n"/>
      <c r="M1977" s="17" t="n"/>
      <c r="N1977" s="17" t="n"/>
      <c r="O1977" s="26">
        <f>IF($D1977="","",IFERROR(VLOOKUP($D1977,物料档案!$A$4:$P$1203,10,0),0))</f>
        <v/>
      </c>
      <c r="P1977" s="32" t="n"/>
      <c r="Q1977" s="26">
        <f>IF($D1977="","",IF($K1977&lt;&gt;"对外销售",0,ROUND(N($J1977)*IF($P1977="",N($O1977),N($P1977)),0)))</f>
        <v/>
      </c>
      <c r="R1977" s="26">
        <f>IF($D1977="","",IFERROR(VLOOKUP($D1977,库存台账!$A$5:$Y$1204,11,0),0))</f>
        <v/>
      </c>
      <c r="S1977" s="26">
        <f>IF($D1977="","",ROUND(N($J1977)*N($R1977),0))</f>
        <v/>
      </c>
      <c r="T1977" s="26">
        <f>IF($D1977="","",IF($K1977&lt;&gt;"对外销售","",ROUND($Q1977-$S1977,0)))</f>
        <v/>
      </c>
      <c r="U1977" s="17" t="n"/>
      <c r="V1977" s="17" t="n"/>
      <c r="W1977" s="24">
        <f>IF($D1977="","",IF($E1977="※编码不在物料档案里","※物料编码不在档案里",IF(N($J1977)&lt;=0,"※出库数量要大于 0",IF($K1977="","※没填去向类型",IF($L1977="","※没填去向矿区",IF(AND($C1977&lt;&gt;"",$C1977&lt;=结账锁),"※日期早于已结账截止日，不能再录",IF(AND($K1977="自用消耗",COUNTIF({"一矿区";"二矿区"},$L1977)=0),"※自用消耗的去向只能是一矿区或二矿区",IF(AND($K1977="对外销售",COUNTIF({"三矿区";"六矿区"},$L1977)=0),"※对外销售的去向只能是三矿区或六矿区",IF(AND($K1977="对外销售",ROUND($Q1977,0)=0),"※外销却没有售价，请填实际售价",IF(AND($K1977="对外销售",$T1977&lt;&gt;"",$T1977&lt;0),"※这一笔外销是亏的，请核对售价",IF(IFERROR(VLOOKUP($D1977,库存台账!$A$5:$Y$1204,24,0),0)&lt;-0.001,"※这个物料账面已经变成负数了，查一下是不是漏记入库","")))))))))))</f>
        <v/>
      </c>
    </row>
    <row r="1978">
      <c r="A1978" s="24">
        <f>IF($D1978="","",COUNTA($D$4:$D1978))</f>
        <v/>
      </c>
      <c r="B1978" s="17" t="n"/>
      <c r="C1978" s="30" t="n"/>
      <c r="D1978" s="17" t="n"/>
      <c r="E1978" s="24">
        <f>IF($D1978="","",IFERROR(VLOOKUP($D1978,物料档案!$A$4:$P$1203,3,0),"※编码不在物料档案里"))</f>
        <v/>
      </c>
      <c r="F1978" s="24">
        <f>IF($D1978="","",IFERROR(VLOOKUP($D1978,物料档案!$A$4:$P$1203,4,0),"※编码不在物料档案里"))</f>
        <v/>
      </c>
      <c r="G1978" s="24">
        <f>IF($D1978="","",IFERROR(VLOOKUP($D1978,物料档案!$A$4:$P$1203,5,0),"※编码不在物料档案里"))</f>
        <v/>
      </c>
      <c r="H1978" s="24">
        <f>IF($D1978="","",IFERROR(VLOOKUP($D1978,物料档案!$A$4:$P$1203,2,0),"※编码不在物料档案里"))</f>
        <v/>
      </c>
      <c r="I1978" s="24">
        <f>IF($D1978="","",IFERROR(VLOOKUP($D1978,物料档案!$A$4:$P$1203,6,0),"※编码不在物料档案里"))</f>
        <v/>
      </c>
      <c r="J1978" s="23" t="n"/>
      <c r="K1978" s="17" t="n"/>
      <c r="L1978" s="17" t="n"/>
      <c r="M1978" s="17" t="n"/>
      <c r="N1978" s="17" t="n"/>
      <c r="O1978" s="26">
        <f>IF($D1978="","",IFERROR(VLOOKUP($D1978,物料档案!$A$4:$P$1203,10,0),0))</f>
        <v/>
      </c>
      <c r="P1978" s="32" t="n"/>
      <c r="Q1978" s="26">
        <f>IF($D1978="","",IF($K1978&lt;&gt;"对外销售",0,ROUND(N($J1978)*IF($P1978="",N($O1978),N($P1978)),0)))</f>
        <v/>
      </c>
      <c r="R1978" s="26">
        <f>IF($D1978="","",IFERROR(VLOOKUP($D1978,库存台账!$A$5:$Y$1204,11,0),0))</f>
        <v/>
      </c>
      <c r="S1978" s="26">
        <f>IF($D1978="","",ROUND(N($J1978)*N($R1978),0))</f>
        <v/>
      </c>
      <c r="T1978" s="26">
        <f>IF($D1978="","",IF($K1978&lt;&gt;"对外销售","",ROUND($Q1978-$S1978,0)))</f>
        <v/>
      </c>
      <c r="U1978" s="17" t="n"/>
      <c r="V1978" s="17" t="n"/>
      <c r="W1978" s="24">
        <f>IF($D1978="","",IF($E1978="※编码不在物料档案里","※物料编码不在档案里",IF(N($J1978)&lt;=0,"※出库数量要大于 0",IF($K1978="","※没填去向类型",IF($L1978="","※没填去向矿区",IF(AND($C1978&lt;&gt;"",$C1978&lt;=结账锁),"※日期早于已结账截止日，不能再录",IF(AND($K1978="自用消耗",COUNTIF({"一矿区";"二矿区"},$L1978)=0),"※自用消耗的去向只能是一矿区或二矿区",IF(AND($K1978="对外销售",COUNTIF({"三矿区";"六矿区"},$L1978)=0),"※对外销售的去向只能是三矿区或六矿区",IF(AND($K1978="对外销售",ROUND($Q1978,0)=0),"※外销却没有售价，请填实际售价",IF(AND($K1978="对外销售",$T1978&lt;&gt;"",$T1978&lt;0),"※这一笔外销是亏的，请核对售价",IF(IFERROR(VLOOKUP($D1978,库存台账!$A$5:$Y$1204,24,0),0)&lt;-0.001,"※这个物料账面已经变成负数了，查一下是不是漏记入库","")))))))))))</f>
        <v/>
      </c>
    </row>
    <row r="1979">
      <c r="A1979" s="24">
        <f>IF($D1979="","",COUNTA($D$4:$D1979))</f>
        <v/>
      </c>
      <c r="B1979" s="17" t="n"/>
      <c r="C1979" s="30" t="n"/>
      <c r="D1979" s="17" t="n"/>
      <c r="E1979" s="24">
        <f>IF($D1979="","",IFERROR(VLOOKUP($D1979,物料档案!$A$4:$P$1203,3,0),"※编码不在物料档案里"))</f>
        <v/>
      </c>
      <c r="F1979" s="24">
        <f>IF($D1979="","",IFERROR(VLOOKUP($D1979,物料档案!$A$4:$P$1203,4,0),"※编码不在物料档案里"))</f>
        <v/>
      </c>
      <c r="G1979" s="24">
        <f>IF($D1979="","",IFERROR(VLOOKUP($D1979,物料档案!$A$4:$P$1203,5,0),"※编码不在物料档案里"))</f>
        <v/>
      </c>
      <c r="H1979" s="24">
        <f>IF($D1979="","",IFERROR(VLOOKUP($D1979,物料档案!$A$4:$P$1203,2,0),"※编码不在物料档案里"))</f>
        <v/>
      </c>
      <c r="I1979" s="24">
        <f>IF($D1979="","",IFERROR(VLOOKUP($D1979,物料档案!$A$4:$P$1203,6,0),"※编码不在物料档案里"))</f>
        <v/>
      </c>
      <c r="J1979" s="23" t="n"/>
      <c r="K1979" s="17" t="n"/>
      <c r="L1979" s="17" t="n"/>
      <c r="M1979" s="17" t="n"/>
      <c r="N1979" s="17" t="n"/>
      <c r="O1979" s="26">
        <f>IF($D1979="","",IFERROR(VLOOKUP($D1979,物料档案!$A$4:$P$1203,10,0),0))</f>
        <v/>
      </c>
      <c r="P1979" s="32" t="n"/>
      <c r="Q1979" s="26">
        <f>IF($D1979="","",IF($K1979&lt;&gt;"对外销售",0,ROUND(N($J1979)*IF($P1979="",N($O1979),N($P1979)),0)))</f>
        <v/>
      </c>
      <c r="R1979" s="26">
        <f>IF($D1979="","",IFERROR(VLOOKUP($D1979,库存台账!$A$5:$Y$1204,11,0),0))</f>
        <v/>
      </c>
      <c r="S1979" s="26">
        <f>IF($D1979="","",ROUND(N($J1979)*N($R1979),0))</f>
        <v/>
      </c>
      <c r="T1979" s="26">
        <f>IF($D1979="","",IF($K1979&lt;&gt;"对外销售","",ROUND($Q1979-$S1979,0)))</f>
        <v/>
      </c>
      <c r="U1979" s="17" t="n"/>
      <c r="V1979" s="17" t="n"/>
      <c r="W1979" s="24">
        <f>IF($D1979="","",IF($E1979="※编码不在物料档案里","※物料编码不在档案里",IF(N($J1979)&lt;=0,"※出库数量要大于 0",IF($K1979="","※没填去向类型",IF($L1979="","※没填去向矿区",IF(AND($C1979&lt;&gt;"",$C1979&lt;=结账锁),"※日期早于已结账截止日，不能再录",IF(AND($K1979="自用消耗",COUNTIF({"一矿区";"二矿区"},$L1979)=0),"※自用消耗的去向只能是一矿区或二矿区",IF(AND($K1979="对外销售",COUNTIF({"三矿区";"六矿区"},$L1979)=0),"※对外销售的去向只能是三矿区或六矿区",IF(AND($K1979="对外销售",ROUND($Q1979,0)=0),"※外销却没有售价，请填实际售价",IF(AND($K1979="对外销售",$T1979&lt;&gt;"",$T1979&lt;0),"※这一笔外销是亏的，请核对售价",IF(IFERROR(VLOOKUP($D1979,库存台账!$A$5:$Y$1204,24,0),0)&lt;-0.001,"※这个物料账面已经变成负数了，查一下是不是漏记入库","")))))))))))</f>
        <v/>
      </c>
    </row>
    <row r="1980">
      <c r="A1980" s="24">
        <f>IF($D1980="","",COUNTA($D$4:$D1980))</f>
        <v/>
      </c>
      <c r="B1980" s="17" t="n"/>
      <c r="C1980" s="30" t="n"/>
      <c r="D1980" s="17" t="n"/>
      <c r="E1980" s="24">
        <f>IF($D1980="","",IFERROR(VLOOKUP($D1980,物料档案!$A$4:$P$1203,3,0),"※编码不在物料档案里"))</f>
        <v/>
      </c>
      <c r="F1980" s="24">
        <f>IF($D1980="","",IFERROR(VLOOKUP($D1980,物料档案!$A$4:$P$1203,4,0),"※编码不在物料档案里"))</f>
        <v/>
      </c>
      <c r="G1980" s="24">
        <f>IF($D1980="","",IFERROR(VLOOKUP($D1980,物料档案!$A$4:$P$1203,5,0),"※编码不在物料档案里"))</f>
        <v/>
      </c>
      <c r="H1980" s="24">
        <f>IF($D1980="","",IFERROR(VLOOKUP($D1980,物料档案!$A$4:$P$1203,2,0),"※编码不在物料档案里"))</f>
        <v/>
      </c>
      <c r="I1980" s="24">
        <f>IF($D1980="","",IFERROR(VLOOKUP($D1980,物料档案!$A$4:$P$1203,6,0),"※编码不在物料档案里"))</f>
        <v/>
      </c>
      <c r="J1980" s="23" t="n"/>
      <c r="K1980" s="17" t="n"/>
      <c r="L1980" s="17" t="n"/>
      <c r="M1980" s="17" t="n"/>
      <c r="N1980" s="17" t="n"/>
      <c r="O1980" s="26">
        <f>IF($D1980="","",IFERROR(VLOOKUP($D1980,物料档案!$A$4:$P$1203,10,0),0))</f>
        <v/>
      </c>
      <c r="P1980" s="32" t="n"/>
      <c r="Q1980" s="26">
        <f>IF($D1980="","",IF($K1980&lt;&gt;"对外销售",0,ROUND(N($J1980)*IF($P1980="",N($O1980),N($P1980)),0)))</f>
        <v/>
      </c>
      <c r="R1980" s="26">
        <f>IF($D1980="","",IFERROR(VLOOKUP($D1980,库存台账!$A$5:$Y$1204,11,0),0))</f>
        <v/>
      </c>
      <c r="S1980" s="26">
        <f>IF($D1980="","",ROUND(N($J1980)*N($R1980),0))</f>
        <v/>
      </c>
      <c r="T1980" s="26">
        <f>IF($D1980="","",IF($K1980&lt;&gt;"对外销售","",ROUND($Q1980-$S1980,0)))</f>
        <v/>
      </c>
      <c r="U1980" s="17" t="n"/>
      <c r="V1980" s="17" t="n"/>
      <c r="W1980" s="24">
        <f>IF($D1980="","",IF($E1980="※编码不在物料档案里","※物料编码不在档案里",IF(N($J1980)&lt;=0,"※出库数量要大于 0",IF($K1980="","※没填去向类型",IF($L1980="","※没填去向矿区",IF(AND($C1980&lt;&gt;"",$C1980&lt;=结账锁),"※日期早于已结账截止日，不能再录",IF(AND($K1980="自用消耗",COUNTIF({"一矿区";"二矿区"},$L1980)=0),"※自用消耗的去向只能是一矿区或二矿区",IF(AND($K1980="对外销售",COUNTIF({"三矿区";"六矿区"},$L1980)=0),"※对外销售的去向只能是三矿区或六矿区",IF(AND($K1980="对外销售",ROUND($Q1980,0)=0),"※外销却没有售价，请填实际售价",IF(AND($K1980="对外销售",$T1980&lt;&gt;"",$T1980&lt;0),"※这一笔外销是亏的，请核对售价",IF(IFERROR(VLOOKUP($D1980,库存台账!$A$5:$Y$1204,24,0),0)&lt;-0.001,"※这个物料账面已经变成负数了，查一下是不是漏记入库","")))))))))))</f>
        <v/>
      </c>
    </row>
    <row r="1981">
      <c r="A1981" s="24">
        <f>IF($D1981="","",COUNTA($D$4:$D1981))</f>
        <v/>
      </c>
      <c r="B1981" s="17" t="n"/>
      <c r="C1981" s="30" t="n"/>
      <c r="D1981" s="17" t="n"/>
      <c r="E1981" s="24">
        <f>IF($D1981="","",IFERROR(VLOOKUP($D1981,物料档案!$A$4:$P$1203,3,0),"※编码不在物料档案里"))</f>
        <v/>
      </c>
      <c r="F1981" s="24">
        <f>IF($D1981="","",IFERROR(VLOOKUP($D1981,物料档案!$A$4:$P$1203,4,0),"※编码不在物料档案里"))</f>
        <v/>
      </c>
      <c r="G1981" s="24">
        <f>IF($D1981="","",IFERROR(VLOOKUP($D1981,物料档案!$A$4:$P$1203,5,0),"※编码不在物料档案里"))</f>
        <v/>
      </c>
      <c r="H1981" s="24">
        <f>IF($D1981="","",IFERROR(VLOOKUP($D1981,物料档案!$A$4:$P$1203,2,0),"※编码不在物料档案里"))</f>
        <v/>
      </c>
      <c r="I1981" s="24">
        <f>IF($D1981="","",IFERROR(VLOOKUP($D1981,物料档案!$A$4:$P$1203,6,0),"※编码不在物料档案里"))</f>
        <v/>
      </c>
      <c r="J1981" s="23" t="n"/>
      <c r="K1981" s="17" t="n"/>
      <c r="L1981" s="17" t="n"/>
      <c r="M1981" s="17" t="n"/>
      <c r="N1981" s="17" t="n"/>
      <c r="O1981" s="26">
        <f>IF($D1981="","",IFERROR(VLOOKUP($D1981,物料档案!$A$4:$P$1203,10,0),0))</f>
        <v/>
      </c>
      <c r="P1981" s="32" t="n"/>
      <c r="Q1981" s="26">
        <f>IF($D1981="","",IF($K1981&lt;&gt;"对外销售",0,ROUND(N($J1981)*IF($P1981="",N($O1981),N($P1981)),0)))</f>
        <v/>
      </c>
      <c r="R1981" s="26">
        <f>IF($D1981="","",IFERROR(VLOOKUP($D1981,库存台账!$A$5:$Y$1204,11,0),0))</f>
        <v/>
      </c>
      <c r="S1981" s="26">
        <f>IF($D1981="","",ROUND(N($J1981)*N($R1981),0))</f>
        <v/>
      </c>
      <c r="T1981" s="26">
        <f>IF($D1981="","",IF($K1981&lt;&gt;"对外销售","",ROUND($Q1981-$S1981,0)))</f>
        <v/>
      </c>
      <c r="U1981" s="17" t="n"/>
      <c r="V1981" s="17" t="n"/>
      <c r="W1981" s="24">
        <f>IF($D1981="","",IF($E1981="※编码不在物料档案里","※物料编码不在档案里",IF(N($J1981)&lt;=0,"※出库数量要大于 0",IF($K1981="","※没填去向类型",IF($L1981="","※没填去向矿区",IF(AND($C1981&lt;&gt;"",$C1981&lt;=结账锁),"※日期早于已结账截止日，不能再录",IF(AND($K1981="自用消耗",COUNTIF({"一矿区";"二矿区"},$L1981)=0),"※自用消耗的去向只能是一矿区或二矿区",IF(AND($K1981="对外销售",COUNTIF({"三矿区";"六矿区"},$L1981)=0),"※对外销售的去向只能是三矿区或六矿区",IF(AND($K1981="对外销售",ROUND($Q1981,0)=0),"※外销却没有售价，请填实际售价",IF(AND($K1981="对外销售",$T1981&lt;&gt;"",$T1981&lt;0),"※这一笔外销是亏的，请核对售价",IF(IFERROR(VLOOKUP($D1981,库存台账!$A$5:$Y$1204,24,0),0)&lt;-0.001,"※这个物料账面已经变成负数了，查一下是不是漏记入库","")))))))))))</f>
        <v/>
      </c>
    </row>
    <row r="1982">
      <c r="A1982" s="24">
        <f>IF($D1982="","",COUNTA($D$4:$D1982))</f>
        <v/>
      </c>
      <c r="B1982" s="17" t="n"/>
      <c r="C1982" s="30" t="n"/>
      <c r="D1982" s="17" t="n"/>
      <c r="E1982" s="24">
        <f>IF($D1982="","",IFERROR(VLOOKUP($D1982,物料档案!$A$4:$P$1203,3,0),"※编码不在物料档案里"))</f>
        <v/>
      </c>
      <c r="F1982" s="24">
        <f>IF($D1982="","",IFERROR(VLOOKUP($D1982,物料档案!$A$4:$P$1203,4,0),"※编码不在物料档案里"))</f>
        <v/>
      </c>
      <c r="G1982" s="24">
        <f>IF($D1982="","",IFERROR(VLOOKUP($D1982,物料档案!$A$4:$P$1203,5,0),"※编码不在物料档案里"))</f>
        <v/>
      </c>
      <c r="H1982" s="24">
        <f>IF($D1982="","",IFERROR(VLOOKUP($D1982,物料档案!$A$4:$P$1203,2,0),"※编码不在物料档案里"))</f>
        <v/>
      </c>
      <c r="I1982" s="24">
        <f>IF($D1982="","",IFERROR(VLOOKUP($D1982,物料档案!$A$4:$P$1203,6,0),"※编码不在物料档案里"))</f>
        <v/>
      </c>
      <c r="J1982" s="23" t="n"/>
      <c r="K1982" s="17" t="n"/>
      <c r="L1982" s="17" t="n"/>
      <c r="M1982" s="17" t="n"/>
      <c r="N1982" s="17" t="n"/>
      <c r="O1982" s="26">
        <f>IF($D1982="","",IFERROR(VLOOKUP($D1982,物料档案!$A$4:$P$1203,10,0),0))</f>
        <v/>
      </c>
      <c r="P1982" s="32" t="n"/>
      <c r="Q1982" s="26">
        <f>IF($D1982="","",IF($K1982&lt;&gt;"对外销售",0,ROUND(N($J1982)*IF($P1982="",N($O1982),N($P1982)),0)))</f>
        <v/>
      </c>
      <c r="R1982" s="26">
        <f>IF($D1982="","",IFERROR(VLOOKUP($D1982,库存台账!$A$5:$Y$1204,11,0),0))</f>
        <v/>
      </c>
      <c r="S1982" s="26">
        <f>IF($D1982="","",ROUND(N($J1982)*N($R1982),0))</f>
        <v/>
      </c>
      <c r="T1982" s="26">
        <f>IF($D1982="","",IF($K1982&lt;&gt;"对外销售","",ROUND($Q1982-$S1982,0)))</f>
        <v/>
      </c>
      <c r="U1982" s="17" t="n"/>
      <c r="V1982" s="17" t="n"/>
      <c r="W1982" s="24">
        <f>IF($D1982="","",IF($E1982="※编码不在物料档案里","※物料编码不在档案里",IF(N($J1982)&lt;=0,"※出库数量要大于 0",IF($K1982="","※没填去向类型",IF($L1982="","※没填去向矿区",IF(AND($C1982&lt;&gt;"",$C1982&lt;=结账锁),"※日期早于已结账截止日，不能再录",IF(AND($K1982="自用消耗",COUNTIF({"一矿区";"二矿区"},$L1982)=0),"※自用消耗的去向只能是一矿区或二矿区",IF(AND($K1982="对外销售",COUNTIF({"三矿区";"六矿区"},$L1982)=0),"※对外销售的去向只能是三矿区或六矿区",IF(AND($K1982="对外销售",ROUND($Q1982,0)=0),"※外销却没有售价，请填实际售价",IF(AND($K1982="对外销售",$T1982&lt;&gt;"",$T1982&lt;0),"※这一笔外销是亏的，请核对售价",IF(IFERROR(VLOOKUP($D1982,库存台账!$A$5:$Y$1204,24,0),0)&lt;-0.001,"※这个物料账面已经变成负数了，查一下是不是漏记入库","")))))))))))</f>
        <v/>
      </c>
    </row>
    <row r="1983">
      <c r="A1983" s="24">
        <f>IF($D1983="","",COUNTA($D$4:$D1983))</f>
        <v/>
      </c>
      <c r="B1983" s="17" t="n"/>
      <c r="C1983" s="30" t="n"/>
      <c r="D1983" s="17" t="n"/>
      <c r="E1983" s="24">
        <f>IF($D1983="","",IFERROR(VLOOKUP($D1983,物料档案!$A$4:$P$1203,3,0),"※编码不在物料档案里"))</f>
        <v/>
      </c>
      <c r="F1983" s="24">
        <f>IF($D1983="","",IFERROR(VLOOKUP($D1983,物料档案!$A$4:$P$1203,4,0),"※编码不在物料档案里"))</f>
        <v/>
      </c>
      <c r="G1983" s="24">
        <f>IF($D1983="","",IFERROR(VLOOKUP($D1983,物料档案!$A$4:$P$1203,5,0),"※编码不在物料档案里"))</f>
        <v/>
      </c>
      <c r="H1983" s="24">
        <f>IF($D1983="","",IFERROR(VLOOKUP($D1983,物料档案!$A$4:$P$1203,2,0),"※编码不在物料档案里"))</f>
        <v/>
      </c>
      <c r="I1983" s="24">
        <f>IF($D1983="","",IFERROR(VLOOKUP($D1983,物料档案!$A$4:$P$1203,6,0),"※编码不在物料档案里"))</f>
        <v/>
      </c>
      <c r="J1983" s="23" t="n"/>
      <c r="K1983" s="17" t="n"/>
      <c r="L1983" s="17" t="n"/>
      <c r="M1983" s="17" t="n"/>
      <c r="N1983" s="17" t="n"/>
      <c r="O1983" s="26">
        <f>IF($D1983="","",IFERROR(VLOOKUP($D1983,物料档案!$A$4:$P$1203,10,0),0))</f>
        <v/>
      </c>
      <c r="P1983" s="32" t="n"/>
      <c r="Q1983" s="26">
        <f>IF($D1983="","",IF($K1983&lt;&gt;"对外销售",0,ROUND(N($J1983)*IF($P1983="",N($O1983),N($P1983)),0)))</f>
        <v/>
      </c>
      <c r="R1983" s="26">
        <f>IF($D1983="","",IFERROR(VLOOKUP($D1983,库存台账!$A$5:$Y$1204,11,0),0))</f>
        <v/>
      </c>
      <c r="S1983" s="26">
        <f>IF($D1983="","",ROUND(N($J1983)*N($R1983),0))</f>
        <v/>
      </c>
      <c r="T1983" s="26">
        <f>IF($D1983="","",IF($K1983&lt;&gt;"对外销售","",ROUND($Q1983-$S1983,0)))</f>
        <v/>
      </c>
      <c r="U1983" s="17" t="n"/>
      <c r="V1983" s="17" t="n"/>
      <c r="W1983" s="24">
        <f>IF($D1983="","",IF($E1983="※编码不在物料档案里","※物料编码不在档案里",IF(N($J1983)&lt;=0,"※出库数量要大于 0",IF($K1983="","※没填去向类型",IF($L1983="","※没填去向矿区",IF(AND($C1983&lt;&gt;"",$C1983&lt;=结账锁),"※日期早于已结账截止日，不能再录",IF(AND($K1983="自用消耗",COUNTIF({"一矿区";"二矿区"},$L1983)=0),"※自用消耗的去向只能是一矿区或二矿区",IF(AND($K1983="对外销售",COUNTIF({"三矿区";"六矿区"},$L1983)=0),"※对外销售的去向只能是三矿区或六矿区",IF(AND($K1983="对外销售",ROUND($Q1983,0)=0),"※外销却没有售价，请填实际售价",IF(AND($K1983="对外销售",$T1983&lt;&gt;"",$T1983&lt;0),"※这一笔外销是亏的，请核对售价",IF(IFERROR(VLOOKUP($D1983,库存台账!$A$5:$Y$1204,24,0),0)&lt;-0.001,"※这个物料账面已经变成负数了，查一下是不是漏记入库","")))))))))))</f>
        <v/>
      </c>
    </row>
    <row r="1984">
      <c r="A1984" s="24">
        <f>IF($D1984="","",COUNTA($D$4:$D1984))</f>
        <v/>
      </c>
      <c r="B1984" s="17" t="n"/>
      <c r="C1984" s="30" t="n"/>
      <c r="D1984" s="17" t="n"/>
      <c r="E1984" s="24">
        <f>IF($D1984="","",IFERROR(VLOOKUP($D1984,物料档案!$A$4:$P$1203,3,0),"※编码不在物料档案里"))</f>
        <v/>
      </c>
      <c r="F1984" s="24">
        <f>IF($D1984="","",IFERROR(VLOOKUP($D1984,物料档案!$A$4:$P$1203,4,0),"※编码不在物料档案里"))</f>
        <v/>
      </c>
      <c r="G1984" s="24">
        <f>IF($D1984="","",IFERROR(VLOOKUP($D1984,物料档案!$A$4:$P$1203,5,0),"※编码不在物料档案里"))</f>
        <v/>
      </c>
      <c r="H1984" s="24">
        <f>IF($D1984="","",IFERROR(VLOOKUP($D1984,物料档案!$A$4:$P$1203,2,0),"※编码不在物料档案里"))</f>
        <v/>
      </c>
      <c r="I1984" s="24">
        <f>IF($D1984="","",IFERROR(VLOOKUP($D1984,物料档案!$A$4:$P$1203,6,0),"※编码不在物料档案里"))</f>
        <v/>
      </c>
      <c r="J1984" s="23" t="n"/>
      <c r="K1984" s="17" t="n"/>
      <c r="L1984" s="17" t="n"/>
      <c r="M1984" s="17" t="n"/>
      <c r="N1984" s="17" t="n"/>
      <c r="O1984" s="26">
        <f>IF($D1984="","",IFERROR(VLOOKUP($D1984,物料档案!$A$4:$P$1203,10,0),0))</f>
        <v/>
      </c>
      <c r="P1984" s="32" t="n"/>
      <c r="Q1984" s="26">
        <f>IF($D1984="","",IF($K1984&lt;&gt;"对外销售",0,ROUND(N($J1984)*IF($P1984="",N($O1984),N($P1984)),0)))</f>
        <v/>
      </c>
      <c r="R1984" s="26">
        <f>IF($D1984="","",IFERROR(VLOOKUP($D1984,库存台账!$A$5:$Y$1204,11,0),0))</f>
        <v/>
      </c>
      <c r="S1984" s="26">
        <f>IF($D1984="","",ROUND(N($J1984)*N($R1984),0))</f>
        <v/>
      </c>
      <c r="T1984" s="26">
        <f>IF($D1984="","",IF($K1984&lt;&gt;"对外销售","",ROUND($Q1984-$S1984,0)))</f>
        <v/>
      </c>
      <c r="U1984" s="17" t="n"/>
      <c r="V1984" s="17" t="n"/>
      <c r="W1984" s="24">
        <f>IF($D1984="","",IF($E1984="※编码不在物料档案里","※物料编码不在档案里",IF(N($J1984)&lt;=0,"※出库数量要大于 0",IF($K1984="","※没填去向类型",IF($L1984="","※没填去向矿区",IF(AND($C1984&lt;&gt;"",$C1984&lt;=结账锁),"※日期早于已结账截止日，不能再录",IF(AND($K1984="自用消耗",COUNTIF({"一矿区";"二矿区"},$L1984)=0),"※自用消耗的去向只能是一矿区或二矿区",IF(AND($K1984="对外销售",COUNTIF({"三矿区";"六矿区"},$L1984)=0),"※对外销售的去向只能是三矿区或六矿区",IF(AND($K1984="对外销售",ROUND($Q1984,0)=0),"※外销却没有售价，请填实际售价",IF(AND($K1984="对外销售",$T1984&lt;&gt;"",$T1984&lt;0),"※这一笔外销是亏的，请核对售价",IF(IFERROR(VLOOKUP($D1984,库存台账!$A$5:$Y$1204,24,0),0)&lt;-0.001,"※这个物料账面已经变成负数了，查一下是不是漏记入库","")))))))))))</f>
        <v/>
      </c>
    </row>
    <row r="1985">
      <c r="A1985" s="24">
        <f>IF($D1985="","",COUNTA($D$4:$D1985))</f>
        <v/>
      </c>
      <c r="B1985" s="17" t="n"/>
      <c r="C1985" s="30" t="n"/>
      <c r="D1985" s="17" t="n"/>
      <c r="E1985" s="24">
        <f>IF($D1985="","",IFERROR(VLOOKUP($D1985,物料档案!$A$4:$P$1203,3,0),"※编码不在物料档案里"))</f>
        <v/>
      </c>
      <c r="F1985" s="24">
        <f>IF($D1985="","",IFERROR(VLOOKUP($D1985,物料档案!$A$4:$P$1203,4,0),"※编码不在物料档案里"))</f>
        <v/>
      </c>
      <c r="G1985" s="24">
        <f>IF($D1985="","",IFERROR(VLOOKUP($D1985,物料档案!$A$4:$P$1203,5,0),"※编码不在物料档案里"))</f>
        <v/>
      </c>
      <c r="H1985" s="24">
        <f>IF($D1985="","",IFERROR(VLOOKUP($D1985,物料档案!$A$4:$P$1203,2,0),"※编码不在物料档案里"))</f>
        <v/>
      </c>
      <c r="I1985" s="24">
        <f>IF($D1985="","",IFERROR(VLOOKUP($D1985,物料档案!$A$4:$P$1203,6,0),"※编码不在物料档案里"))</f>
        <v/>
      </c>
      <c r="J1985" s="23" t="n"/>
      <c r="K1985" s="17" t="n"/>
      <c r="L1985" s="17" t="n"/>
      <c r="M1985" s="17" t="n"/>
      <c r="N1985" s="17" t="n"/>
      <c r="O1985" s="26">
        <f>IF($D1985="","",IFERROR(VLOOKUP($D1985,物料档案!$A$4:$P$1203,10,0),0))</f>
        <v/>
      </c>
      <c r="P1985" s="32" t="n"/>
      <c r="Q1985" s="26">
        <f>IF($D1985="","",IF($K1985&lt;&gt;"对外销售",0,ROUND(N($J1985)*IF($P1985="",N($O1985),N($P1985)),0)))</f>
        <v/>
      </c>
      <c r="R1985" s="26">
        <f>IF($D1985="","",IFERROR(VLOOKUP($D1985,库存台账!$A$5:$Y$1204,11,0),0))</f>
        <v/>
      </c>
      <c r="S1985" s="26">
        <f>IF($D1985="","",ROUND(N($J1985)*N($R1985),0))</f>
        <v/>
      </c>
      <c r="T1985" s="26">
        <f>IF($D1985="","",IF($K1985&lt;&gt;"对外销售","",ROUND($Q1985-$S1985,0)))</f>
        <v/>
      </c>
      <c r="U1985" s="17" t="n"/>
      <c r="V1985" s="17" t="n"/>
      <c r="W1985" s="24">
        <f>IF($D1985="","",IF($E1985="※编码不在物料档案里","※物料编码不在档案里",IF(N($J1985)&lt;=0,"※出库数量要大于 0",IF($K1985="","※没填去向类型",IF($L1985="","※没填去向矿区",IF(AND($C1985&lt;&gt;"",$C1985&lt;=结账锁),"※日期早于已结账截止日，不能再录",IF(AND($K1985="自用消耗",COUNTIF({"一矿区";"二矿区"},$L1985)=0),"※自用消耗的去向只能是一矿区或二矿区",IF(AND($K1985="对外销售",COUNTIF({"三矿区";"六矿区"},$L1985)=0),"※对外销售的去向只能是三矿区或六矿区",IF(AND($K1985="对外销售",ROUND($Q1985,0)=0),"※外销却没有售价，请填实际售价",IF(AND($K1985="对外销售",$T1985&lt;&gt;"",$T1985&lt;0),"※这一笔外销是亏的，请核对售价",IF(IFERROR(VLOOKUP($D1985,库存台账!$A$5:$Y$1204,24,0),0)&lt;-0.001,"※这个物料账面已经变成负数了，查一下是不是漏记入库","")))))))))))</f>
        <v/>
      </c>
    </row>
    <row r="1986">
      <c r="A1986" s="24">
        <f>IF($D1986="","",COUNTA($D$4:$D1986))</f>
        <v/>
      </c>
      <c r="B1986" s="17" t="n"/>
      <c r="C1986" s="30" t="n"/>
      <c r="D1986" s="17" t="n"/>
      <c r="E1986" s="24">
        <f>IF($D1986="","",IFERROR(VLOOKUP($D1986,物料档案!$A$4:$P$1203,3,0),"※编码不在物料档案里"))</f>
        <v/>
      </c>
      <c r="F1986" s="24">
        <f>IF($D1986="","",IFERROR(VLOOKUP($D1986,物料档案!$A$4:$P$1203,4,0),"※编码不在物料档案里"))</f>
        <v/>
      </c>
      <c r="G1986" s="24">
        <f>IF($D1986="","",IFERROR(VLOOKUP($D1986,物料档案!$A$4:$P$1203,5,0),"※编码不在物料档案里"))</f>
        <v/>
      </c>
      <c r="H1986" s="24">
        <f>IF($D1986="","",IFERROR(VLOOKUP($D1986,物料档案!$A$4:$P$1203,2,0),"※编码不在物料档案里"))</f>
        <v/>
      </c>
      <c r="I1986" s="24">
        <f>IF($D1986="","",IFERROR(VLOOKUP($D1986,物料档案!$A$4:$P$1203,6,0),"※编码不在物料档案里"))</f>
        <v/>
      </c>
      <c r="J1986" s="23" t="n"/>
      <c r="K1986" s="17" t="n"/>
      <c r="L1986" s="17" t="n"/>
      <c r="M1986" s="17" t="n"/>
      <c r="N1986" s="17" t="n"/>
      <c r="O1986" s="26">
        <f>IF($D1986="","",IFERROR(VLOOKUP($D1986,物料档案!$A$4:$P$1203,10,0),0))</f>
        <v/>
      </c>
      <c r="P1986" s="32" t="n"/>
      <c r="Q1986" s="26">
        <f>IF($D1986="","",IF($K1986&lt;&gt;"对外销售",0,ROUND(N($J1986)*IF($P1986="",N($O1986),N($P1986)),0)))</f>
        <v/>
      </c>
      <c r="R1986" s="26">
        <f>IF($D1986="","",IFERROR(VLOOKUP($D1986,库存台账!$A$5:$Y$1204,11,0),0))</f>
        <v/>
      </c>
      <c r="S1986" s="26">
        <f>IF($D1986="","",ROUND(N($J1986)*N($R1986),0))</f>
        <v/>
      </c>
      <c r="T1986" s="26">
        <f>IF($D1986="","",IF($K1986&lt;&gt;"对外销售","",ROUND($Q1986-$S1986,0)))</f>
        <v/>
      </c>
      <c r="U1986" s="17" t="n"/>
      <c r="V1986" s="17" t="n"/>
      <c r="W1986" s="24">
        <f>IF($D1986="","",IF($E1986="※编码不在物料档案里","※物料编码不在档案里",IF(N($J1986)&lt;=0,"※出库数量要大于 0",IF($K1986="","※没填去向类型",IF($L1986="","※没填去向矿区",IF(AND($C1986&lt;&gt;"",$C1986&lt;=结账锁),"※日期早于已结账截止日，不能再录",IF(AND($K1986="自用消耗",COUNTIF({"一矿区";"二矿区"},$L1986)=0),"※自用消耗的去向只能是一矿区或二矿区",IF(AND($K1986="对外销售",COUNTIF({"三矿区";"六矿区"},$L1986)=0),"※对外销售的去向只能是三矿区或六矿区",IF(AND($K1986="对外销售",ROUND($Q1986,0)=0),"※外销却没有售价，请填实际售价",IF(AND($K1986="对外销售",$T1986&lt;&gt;"",$T1986&lt;0),"※这一笔外销是亏的，请核对售价",IF(IFERROR(VLOOKUP($D1986,库存台账!$A$5:$Y$1204,24,0),0)&lt;-0.001,"※这个物料账面已经变成负数了，查一下是不是漏记入库","")))))))))))</f>
        <v/>
      </c>
    </row>
    <row r="1987">
      <c r="A1987" s="24">
        <f>IF($D1987="","",COUNTA($D$4:$D1987))</f>
        <v/>
      </c>
      <c r="B1987" s="17" t="n"/>
      <c r="C1987" s="30" t="n"/>
      <c r="D1987" s="17" t="n"/>
      <c r="E1987" s="24">
        <f>IF($D1987="","",IFERROR(VLOOKUP($D1987,物料档案!$A$4:$P$1203,3,0),"※编码不在物料档案里"))</f>
        <v/>
      </c>
      <c r="F1987" s="24">
        <f>IF($D1987="","",IFERROR(VLOOKUP($D1987,物料档案!$A$4:$P$1203,4,0),"※编码不在物料档案里"))</f>
        <v/>
      </c>
      <c r="G1987" s="24">
        <f>IF($D1987="","",IFERROR(VLOOKUP($D1987,物料档案!$A$4:$P$1203,5,0),"※编码不在物料档案里"))</f>
        <v/>
      </c>
      <c r="H1987" s="24">
        <f>IF($D1987="","",IFERROR(VLOOKUP($D1987,物料档案!$A$4:$P$1203,2,0),"※编码不在物料档案里"))</f>
        <v/>
      </c>
      <c r="I1987" s="24">
        <f>IF($D1987="","",IFERROR(VLOOKUP($D1987,物料档案!$A$4:$P$1203,6,0),"※编码不在物料档案里"))</f>
        <v/>
      </c>
      <c r="J1987" s="23" t="n"/>
      <c r="K1987" s="17" t="n"/>
      <c r="L1987" s="17" t="n"/>
      <c r="M1987" s="17" t="n"/>
      <c r="N1987" s="17" t="n"/>
      <c r="O1987" s="26">
        <f>IF($D1987="","",IFERROR(VLOOKUP($D1987,物料档案!$A$4:$P$1203,10,0),0))</f>
        <v/>
      </c>
      <c r="P1987" s="32" t="n"/>
      <c r="Q1987" s="26">
        <f>IF($D1987="","",IF($K1987&lt;&gt;"对外销售",0,ROUND(N($J1987)*IF($P1987="",N($O1987),N($P1987)),0)))</f>
        <v/>
      </c>
      <c r="R1987" s="26">
        <f>IF($D1987="","",IFERROR(VLOOKUP($D1987,库存台账!$A$5:$Y$1204,11,0),0))</f>
        <v/>
      </c>
      <c r="S1987" s="26">
        <f>IF($D1987="","",ROUND(N($J1987)*N($R1987),0))</f>
        <v/>
      </c>
      <c r="T1987" s="26">
        <f>IF($D1987="","",IF($K1987&lt;&gt;"对外销售","",ROUND($Q1987-$S1987,0)))</f>
        <v/>
      </c>
      <c r="U1987" s="17" t="n"/>
      <c r="V1987" s="17" t="n"/>
      <c r="W1987" s="24">
        <f>IF($D1987="","",IF($E1987="※编码不在物料档案里","※物料编码不在档案里",IF(N($J1987)&lt;=0,"※出库数量要大于 0",IF($K1987="","※没填去向类型",IF($L1987="","※没填去向矿区",IF(AND($C1987&lt;&gt;"",$C1987&lt;=结账锁),"※日期早于已结账截止日，不能再录",IF(AND($K1987="自用消耗",COUNTIF({"一矿区";"二矿区"},$L1987)=0),"※自用消耗的去向只能是一矿区或二矿区",IF(AND($K1987="对外销售",COUNTIF({"三矿区";"六矿区"},$L1987)=0),"※对外销售的去向只能是三矿区或六矿区",IF(AND($K1987="对外销售",ROUND($Q1987,0)=0),"※外销却没有售价，请填实际售价",IF(AND($K1987="对外销售",$T1987&lt;&gt;"",$T1987&lt;0),"※这一笔外销是亏的，请核对售价",IF(IFERROR(VLOOKUP($D1987,库存台账!$A$5:$Y$1204,24,0),0)&lt;-0.001,"※这个物料账面已经变成负数了，查一下是不是漏记入库","")))))))))))</f>
        <v/>
      </c>
    </row>
    <row r="1988">
      <c r="A1988" s="24">
        <f>IF($D1988="","",COUNTA($D$4:$D1988))</f>
        <v/>
      </c>
      <c r="B1988" s="17" t="n"/>
      <c r="C1988" s="30" t="n"/>
      <c r="D1988" s="17" t="n"/>
      <c r="E1988" s="24">
        <f>IF($D1988="","",IFERROR(VLOOKUP($D1988,物料档案!$A$4:$P$1203,3,0),"※编码不在物料档案里"))</f>
        <v/>
      </c>
      <c r="F1988" s="24">
        <f>IF($D1988="","",IFERROR(VLOOKUP($D1988,物料档案!$A$4:$P$1203,4,0),"※编码不在物料档案里"))</f>
        <v/>
      </c>
      <c r="G1988" s="24">
        <f>IF($D1988="","",IFERROR(VLOOKUP($D1988,物料档案!$A$4:$P$1203,5,0),"※编码不在物料档案里"))</f>
        <v/>
      </c>
      <c r="H1988" s="24">
        <f>IF($D1988="","",IFERROR(VLOOKUP($D1988,物料档案!$A$4:$P$1203,2,0),"※编码不在物料档案里"))</f>
        <v/>
      </c>
      <c r="I1988" s="24">
        <f>IF($D1988="","",IFERROR(VLOOKUP($D1988,物料档案!$A$4:$P$1203,6,0),"※编码不在物料档案里"))</f>
        <v/>
      </c>
      <c r="J1988" s="23" t="n"/>
      <c r="K1988" s="17" t="n"/>
      <c r="L1988" s="17" t="n"/>
      <c r="M1988" s="17" t="n"/>
      <c r="N1988" s="17" t="n"/>
      <c r="O1988" s="26">
        <f>IF($D1988="","",IFERROR(VLOOKUP($D1988,物料档案!$A$4:$P$1203,10,0),0))</f>
        <v/>
      </c>
      <c r="P1988" s="32" t="n"/>
      <c r="Q1988" s="26">
        <f>IF($D1988="","",IF($K1988&lt;&gt;"对外销售",0,ROUND(N($J1988)*IF($P1988="",N($O1988),N($P1988)),0)))</f>
        <v/>
      </c>
      <c r="R1988" s="26">
        <f>IF($D1988="","",IFERROR(VLOOKUP($D1988,库存台账!$A$5:$Y$1204,11,0),0))</f>
        <v/>
      </c>
      <c r="S1988" s="26">
        <f>IF($D1988="","",ROUND(N($J1988)*N($R1988),0))</f>
        <v/>
      </c>
      <c r="T1988" s="26">
        <f>IF($D1988="","",IF($K1988&lt;&gt;"对外销售","",ROUND($Q1988-$S1988,0)))</f>
        <v/>
      </c>
      <c r="U1988" s="17" t="n"/>
      <c r="V1988" s="17" t="n"/>
      <c r="W1988" s="24">
        <f>IF($D1988="","",IF($E1988="※编码不在物料档案里","※物料编码不在档案里",IF(N($J1988)&lt;=0,"※出库数量要大于 0",IF($K1988="","※没填去向类型",IF($L1988="","※没填去向矿区",IF(AND($C1988&lt;&gt;"",$C1988&lt;=结账锁),"※日期早于已结账截止日，不能再录",IF(AND($K1988="自用消耗",COUNTIF({"一矿区";"二矿区"},$L1988)=0),"※自用消耗的去向只能是一矿区或二矿区",IF(AND($K1988="对外销售",COUNTIF({"三矿区";"六矿区"},$L1988)=0),"※对外销售的去向只能是三矿区或六矿区",IF(AND($K1988="对外销售",ROUND($Q1988,0)=0),"※外销却没有售价，请填实际售价",IF(AND($K1988="对外销售",$T1988&lt;&gt;"",$T1988&lt;0),"※这一笔外销是亏的，请核对售价",IF(IFERROR(VLOOKUP($D1988,库存台账!$A$5:$Y$1204,24,0),0)&lt;-0.001,"※这个物料账面已经变成负数了，查一下是不是漏记入库","")))))))))))</f>
        <v/>
      </c>
    </row>
    <row r="1989">
      <c r="A1989" s="24">
        <f>IF($D1989="","",COUNTA($D$4:$D1989))</f>
        <v/>
      </c>
      <c r="B1989" s="17" t="n"/>
      <c r="C1989" s="30" t="n"/>
      <c r="D1989" s="17" t="n"/>
      <c r="E1989" s="24">
        <f>IF($D1989="","",IFERROR(VLOOKUP($D1989,物料档案!$A$4:$P$1203,3,0),"※编码不在物料档案里"))</f>
        <v/>
      </c>
      <c r="F1989" s="24">
        <f>IF($D1989="","",IFERROR(VLOOKUP($D1989,物料档案!$A$4:$P$1203,4,0),"※编码不在物料档案里"))</f>
        <v/>
      </c>
      <c r="G1989" s="24">
        <f>IF($D1989="","",IFERROR(VLOOKUP($D1989,物料档案!$A$4:$P$1203,5,0),"※编码不在物料档案里"))</f>
        <v/>
      </c>
      <c r="H1989" s="24">
        <f>IF($D1989="","",IFERROR(VLOOKUP($D1989,物料档案!$A$4:$P$1203,2,0),"※编码不在物料档案里"))</f>
        <v/>
      </c>
      <c r="I1989" s="24">
        <f>IF($D1989="","",IFERROR(VLOOKUP($D1989,物料档案!$A$4:$P$1203,6,0),"※编码不在物料档案里"))</f>
        <v/>
      </c>
      <c r="J1989" s="23" t="n"/>
      <c r="K1989" s="17" t="n"/>
      <c r="L1989" s="17" t="n"/>
      <c r="M1989" s="17" t="n"/>
      <c r="N1989" s="17" t="n"/>
      <c r="O1989" s="26">
        <f>IF($D1989="","",IFERROR(VLOOKUP($D1989,物料档案!$A$4:$P$1203,10,0),0))</f>
        <v/>
      </c>
      <c r="P1989" s="32" t="n"/>
      <c r="Q1989" s="26">
        <f>IF($D1989="","",IF($K1989&lt;&gt;"对外销售",0,ROUND(N($J1989)*IF($P1989="",N($O1989),N($P1989)),0)))</f>
        <v/>
      </c>
      <c r="R1989" s="26">
        <f>IF($D1989="","",IFERROR(VLOOKUP($D1989,库存台账!$A$5:$Y$1204,11,0),0))</f>
        <v/>
      </c>
      <c r="S1989" s="26">
        <f>IF($D1989="","",ROUND(N($J1989)*N($R1989),0))</f>
        <v/>
      </c>
      <c r="T1989" s="26">
        <f>IF($D1989="","",IF($K1989&lt;&gt;"对外销售","",ROUND($Q1989-$S1989,0)))</f>
        <v/>
      </c>
      <c r="U1989" s="17" t="n"/>
      <c r="V1989" s="17" t="n"/>
      <c r="W1989" s="24">
        <f>IF($D1989="","",IF($E1989="※编码不在物料档案里","※物料编码不在档案里",IF(N($J1989)&lt;=0,"※出库数量要大于 0",IF($K1989="","※没填去向类型",IF($L1989="","※没填去向矿区",IF(AND($C1989&lt;&gt;"",$C1989&lt;=结账锁),"※日期早于已结账截止日，不能再录",IF(AND($K1989="自用消耗",COUNTIF({"一矿区";"二矿区"},$L1989)=0),"※自用消耗的去向只能是一矿区或二矿区",IF(AND($K1989="对外销售",COUNTIF({"三矿区";"六矿区"},$L1989)=0),"※对外销售的去向只能是三矿区或六矿区",IF(AND($K1989="对外销售",ROUND($Q1989,0)=0),"※外销却没有售价，请填实际售价",IF(AND($K1989="对外销售",$T1989&lt;&gt;"",$T1989&lt;0),"※这一笔外销是亏的，请核对售价",IF(IFERROR(VLOOKUP($D1989,库存台账!$A$5:$Y$1204,24,0),0)&lt;-0.001,"※这个物料账面已经变成负数了，查一下是不是漏记入库","")))))))))))</f>
        <v/>
      </c>
    </row>
    <row r="1990">
      <c r="A1990" s="24">
        <f>IF($D1990="","",COUNTA($D$4:$D1990))</f>
        <v/>
      </c>
      <c r="B1990" s="17" t="n"/>
      <c r="C1990" s="30" t="n"/>
      <c r="D1990" s="17" t="n"/>
      <c r="E1990" s="24">
        <f>IF($D1990="","",IFERROR(VLOOKUP($D1990,物料档案!$A$4:$P$1203,3,0),"※编码不在物料档案里"))</f>
        <v/>
      </c>
      <c r="F1990" s="24">
        <f>IF($D1990="","",IFERROR(VLOOKUP($D1990,物料档案!$A$4:$P$1203,4,0),"※编码不在物料档案里"))</f>
        <v/>
      </c>
      <c r="G1990" s="24">
        <f>IF($D1990="","",IFERROR(VLOOKUP($D1990,物料档案!$A$4:$P$1203,5,0),"※编码不在物料档案里"))</f>
        <v/>
      </c>
      <c r="H1990" s="24">
        <f>IF($D1990="","",IFERROR(VLOOKUP($D1990,物料档案!$A$4:$P$1203,2,0),"※编码不在物料档案里"))</f>
        <v/>
      </c>
      <c r="I1990" s="24">
        <f>IF($D1990="","",IFERROR(VLOOKUP($D1990,物料档案!$A$4:$P$1203,6,0),"※编码不在物料档案里"))</f>
        <v/>
      </c>
      <c r="J1990" s="23" t="n"/>
      <c r="K1990" s="17" t="n"/>
      <c r="L1990" s="17" t="n"/>
      <c r="M1990" s="17" t="n"/>
      <c r="N1990" s="17" t="n"/>
      <c r="O1990" s="26">
        <f>IF($D1990="","",IFERROR(VLOOKUP($D1990,物料档案!$A$4:$P$1203,10,0),0))</f>
        <v/>
      </c>
      <c r="P1990" s="32" t="n"/>
      <c r="Q1990" s="26">
        <f>IF($D1990="","",IF($K1990&lt;&gt;"对外销售",0,ROUND(N($J1990)*IF($P1990="",N($O1990),N($P1990)),0)))</f>
        <v/>
      </c>
      <c r="R1990" s="26">
        <f>IF($D1990="","",IFERROR(VLOOKUP($D1990,库存台账!$A$5:$Y$1204,11,0),0))</f>
        <v/>
      </c>
      <c r="S1990" s="26">
        <f>IF($D1990="","",ROUND(N($J1990)*N($R1990),0))</f>
        <v/>
      </c>
      <c r="T1990" s="26">
        <f>IF($D1990="","",IF($K1990&lt;&gt;"对外销售","",ROUND($Q1990-$S1990,0)))</f>
        <v/>
      </c>
      <c r="U1990" s="17" t="n"/>
      <c r="V1990" s="17" t="n"/>
      <c r="W1990" s="24">
        <f>IF($D1990="","",IF($E1990="※编码不在物料档案里","※物料编码不在档案里",IF(N($J1990)&lt;=0,"※出库数量要大于 0",IF($K1990="","※没填去向类型",IF($L1990="","※没填去向矿区",IF(AND($C1990&lt;&gt;"",$C1990&lt;=结账锁),"※日期早于已结账截止日，不能再录",IF(AND($K1990="自用消耗",COUNTIF({"一矿区";"二矿区"},$L1990)=0),"※自用消耗的去向只能是一矿区或二矿区",IF(AND($K1990="对外销售",COUNTIF({"三矿区";"六矿区"},$L1990)=0),"※对外销售的去向只能是三矿区或六矿区",IF(AND($K1990="对外销售",ROUND($Q1990,0)=0),"※外销却没有售价，请填实际售价",IF(AND($K1990="对外销售",$T1990&lt;&gt;"",$T1990&lt;0),"※这一笔外销是亏的，请核对售价",IF(IFERROR(VLOOKUP($D1990,库存台账!$A$5:$Y$1204,24,0),0)&lt;-0.001,"※这个物料账面已经变成负数了，查一下是不是漏记入库","")))))))))))</f>
        <v/>
      </c>
    </row>
    <row r="1991">
      <c r="A1991" s="24">
        <f>IF($D1991="","",COUNTA($D$4:$D1991))</f>
        <v/>
      </c>
      <c r="B1991" s="17" t="n"/>
      <c r="C1991" s="30" t="n"/>
      <c r="D1991" s="17" t="n"/>
      <c r="E1991" s="24">
        <f>IF($D1991="","",IFERROR(VLOOKUP($D1991,物料档案!$A$4:$P$1203,3,0),"※编码不在物料档案里"))</f>
        <v/>
      </c>
      <c r="F1991" s="24">
        <f>IF($D1991="","",IFERROR(VLOOKUP($D1991,物料档案!$A$4:$P$1203,4,0),"※编码不在物料档案里"))</f>
        <v/>
      </c>
      <c r="G1991" s="24">
        <f>IF($D1991="","",IFERROR(VLOOKUP($D1991,物料档案!$A$4:$P$1203,5,0),"※编码不在物料档案里"))</f>
        <v/>
      </c>
      <c r="H1991" s="24">
        <f>IF($D1991="","",IFERROR(VLOOKUP($D1991,物料档案!$A$4:$P$1203,2,0),"※编码不在物料档案里"))</f>
        <v/>
      </c>
      <c r="I1991" s="24">
        <f>IF($D1991="","",IFERROR(VLOOKUP($D1991,物料档案!$A$4:$P$1203,6,0),"※编码不在物料档案里"))</f>
        <v/>
      </c>
      <c r="J1991" s="23" t="n"/>
      <c r="K1991" s="17" t="n"/>
      <c r="L1991" s="17" t="n"/>
      <c r="M1991" s="17" t="n"/>
      <c r="N1991" s="17" t="n"/>
      <c r="O1991" s="26">
        <f>IF($D1991="","",IFERROR(VLOOKUP($D1991,物料档案!$A$4:$P$1203,10,0),0))</f>
        <v/>
      </c>
      <c r="P1991" s="32" t="n"/>
      <c r="Q1991" s="26">
        <f>IF($D1991="","",IF($K1991&lt;&gt;"对外销售",0,ROUND(N($J1991)*IF($P1991="",N($O1991),N($P1991)),0)))</f>
        <v/>
      </c>
      <c r="R1991" s="26">
        <f>IF($D1991="","",IFERROR(VLOOKUP($D1991,库存台账!$A$5:$Y$1204,11,0),0))</f>
        <v/>
      </c>
      <c r="S1991" s="26">
        <f>IF($D1991="","",ROUND(N($J1991)*N($R1991),0))</f>
        <v/>
      </c>
      <c r="T1991" s="26">
        <f>IF($D1991="","",IF($K1991&lt;&gt;"对外销售","",ROUND($Q1991-$S1991,0)))</f>
        <v/>
      </c>
      <c r="U1991" s="17" t="n"/>
      <c r="V1991" s="17" t="n"/>
      <c r="W1991" s="24">
        <f>IF($D1991="","",IF($E1991="※编码不在物料档案里","※物料编码不在档案里",IF(N($J1991)&lt;=0,"※出库数量要大于 0",IF($K1991="","※没填去向类型",IF($L1991="","※没填去向矿区",IF(AND($C1991&lt;&gt;"",$C1991&lt;=结账锁),"※日期早于已结账截止日，不能再录",IF(AND($K1991="自用消耗",COUNTIF({"一矿区";"二矿区"},$L1991)=0),"※自用消耗的去向只能是一矿区或二矿区",IF(AND($K1991="对外销售",COUNTIF({"三矿区";"六矿区"},$L1991)=0),"※对外销售的去向只能是三矿区或六矿区",IF(AND($K1991="对外销售",ROUND($Q1991,0)=0),"※外销却没有售价，请填实际售价",IF(AND($K1991="对外销售",$T1991&lt;&gt;"",$T1991&lt;0),"※这一笔外销是亏的，请核对售价",IF(IFERROR(VLOOKUP($D1991,库存台账!$A$5:$Y$1204,24,0),0)&lt;-0.001,"※这个物料账面已经变成负数了，查一下是不是漏记入库","")))))))))))</f>
        <v/>
      </c>
    </row>
    <row r="1992">
      <c r="A1992" s="24">
        <f>IF($D1992="","",COUNTA($D$4:$D1992))</f>
        <v/>
      </c>
      <c r="B1992" s="17" t="n"/>
      <c r="C1992" s="30" t="n"/>
      <c r="D1992" s="17" t="n"/>
      <c r="E1992" s="24">
        <f>IF($D1992="","",IFERROR(VLOOKUP($D1992,物料档案!$A$4:$P$1203,3,0),"※编码不在物料档案里"))</f>
        <v/>
      </c>
      <c r="F1992" s="24">
        <f>IF($D1992="","",IFERROR(VLOOKUP($D1992,物料档案!$A$4:$P$1203,4,0),"※编码不在物料档案里"))</f>
        <v/>
      </c>
      <c r="G1992" s="24">
        <f>IF($D1992="","",IFERROR(VLOOKUP($D1992,物料档案!$A$4:$P$1203,5,0),"※编码不在物料档案里"))</f>
        <v/>
      </c>
      <c r="H1992" s="24">
        <f>IF($D1992="","",IFERROR(VLOOKUP($D1992,物料档案!$A$4:$P$1203,2,0),"※编码不在物料档案里"))</f>
        <v/>
      </c>
      <c r="I1992" s="24">
        <f>IF($D1992="","",IFERROR(VLOOKUP($D1992,物料档案!$A$4:$P$1203,6,0),"※编码不在物料档案里"))</f>
        <v/>
      </c>
      <c r="J1992" s="23" t="n"/>
      <c r="K1992" s="17" t="n"/>
      <c r="L1992" s="17" t="n"/>
      <c r="M1992" s="17" t="n"/>
      <c r="N1992" s="17" t="n"/>
      <c r="O1992" s="26">
        <f>IF($D1992="","",IFERROR(VLOOKUP($D1992,物料档案!$A$4:$P$1203,10,0),0))</f>
        <v/>
      </c>
      <c r="P1992" s="32" t="n"/>
      <c r="Q1992" s="26">
        <f>IF($D1992="","",IF($K1992&lt;&gt;"对外销售",0,ROUND(N($J1992)*IF($P1992="",N($O1992),N($P1992)),0)))</f>
        <v/>
      </c>
      <c r="R1992" s="26">
        <f>IF($D1992="","",IFERROR(VLOOKUP($D1992,库存台账!$A$5:$Y$1204,11,0),0))</f>
        <v/>
      </c>
      <c r="S1992" s="26">
        <f>IF($D1992="","",ROUND(N($J1992)*N($R1992),0))</f>
        <v/>
      </c>
      <c r="T1992" s="26">
        <f>IF($D1992="","",IF($K1992&lt;&gt;"对外销售","",ROUND($Q1992-$S1992,0)))</f>
        <v/>
      </c>
      <c r="U1992" s="17" t="n"/>
      <c r="V1992" s="17" t="n"/>
      <c r="W1992" s="24">
        <f>IF($D1992="","",IF($E1992="※编码不在物料档案里","※物料编码不在档案里",IF(N($J1992)&lt;=0,"※出库数量要大于 0",IF($K1992="","※没填去向类型",IF($L1992="","※没填去向矿区",IF(AND($C1992&lt;&gt;"",$C1992&lt;=结账锁),"※日期早于已结账截止日，不能再录",IF(AND($K1992="自用消耗",COUNTIF({"一矿区";"二矿区"},$L1992)=0),"※自用消耗的去向只能是一矿区或二矿区",IF(AND($K1992="对外销售",COUNTIF({"三矿区";"六矿区"},$L1992)=0),"※对外销售的去向只能是三矿区或六矿区",IF(AND($K1992="对外销售",ROUND($Q1992,0)=0),"※外销却没有售价，请填实际售价",IF(AND($K1992="对外销售",$T1992&lt;&gt;"",$T1992&lt;0),"※这一笔外销是亏的，请核对售价",IF(IFERROR(VLOOKUP($D1992,库存台账!$A$5:$Y$1204,24,0),0)&lt;-0.001,"※这个物料账面已经变成负数了，查一下是不是漏记入库","")))))))))))</f>
        <v/>
      </c>
    </row>
    <row r="1993">
      <c r="A1993" s="24">
        <f>IF($D1993="","",COUNTA($D$4:$D1993))</f>
        <v/>
      </c>
      <c r="B1993" s="17" t="n"/>
      <c r="C1993" s="30" t="n"/>
      <c r="D1993" s="17" t="n"/>
      <c r="E1993" s="24">
        <f>IF($D1993="","",IFERROR(VLOOKUP($D1993,物料档案!$A$4:$P$1203,3,0),"※编码不在物料档案里"))</f>
        <v/>
      </c>
      <c r="F1993" s="24">
        <f>IF($D1993="","",IFERROR(VLOOKUP($D1993,物料档案!$A$4:$P$1203,4,0),"※编码不在物料档案里"))</f>
        <v/>
      </c>
      <c r="G1993" s="24">
        <f>IF($D1993="","",IFERROR(VLOOKUP($D1993,物料档案!$A$4:$P$1203,5,0),"※编码不在物料档案里"))</f>
        <v/>
      </c>
      <c r="H1993" s="24">
        <f>IF($D1993="","",IFERROR(VLOOKUP($D1993,物料档案!$A$4:$P$1203,2,0),"※编码不在物料档案里"))</f>
        <v/>
      </c>
      <c r="I1993" s="24">
        <f>IF($D1993="","",IFERROR(VLOOKUP($D1993,物料档案!$A$4:$P$1203,6,0),"※编码不在物料档案里"))</f>
        <v/>
      </c>
      <c r="J1993" s="23" t="n"/>
      <c r="K1993" s="17" t="n"/>
      <c r="L1993" s="17" t="n"/>
      <c r="M1993" s="17" t="n"/>
      <c r="N1993" s="17" t="n"/>
      <c r="O1993" s="26">
        <f>IF($D1993="","",IFERROR(VLOOKUP($D1993,物料档案!$A$4:$P$1203,10,0),0))</f>
        <v/>
      </c>
      <c r="P1993" s="32" t="n"/>
      <c r="Q1993" s="26">
        <f>IF($D1993="","",IF($K1993&lt;&gt;"对外销售",0,ROUND(N($J1993)*IF($P1993="",N($O1993),N($P1993)),0)))</f>
        <v/>
      </c>
      <c r="R1993" s="26">
        <f>IF($D1993="","",IFERROR(VLOOKUP($D1993,库存台账!$A$5:$Y$1204,11,0),0))</f>
        <v/>
      </c>
      <c r="S1993" s="26">
        <f>IF($D1993="","",ROUND(N($J1993)*N($R1993),0))</f>
        <v/>
      </c>
      <c r="T1993" s="26">
        <f>IF($D1993="","",IF($K1993&lt;&gt;"对外销售","",ROUND($Q1993-$S1993,0)))</f>
        <v/>
      </c>
      <c r="U1993" s="17" t="n"/>
      <c r="V1993" s="17" t="n"/>
      <c r="W1993" s="24">
        <f>IF($D1993="","",IF($E1993="※编码不在物料档案里","※物料编码不在档案里",IF(N($J1993)&lt;=0,"※出库数量要大于 0",IF($K1993="","※没填去向类型",IF($L1993="","※没填去向矿区",IF(AND($C1993&lt;&gt;"",$C1993&lt;=结账锁),"※日期早于已结账截止日，不能再录",IF(AND($K1993="自用消耗",COUNTIF({"一矿区";"二矿区"},$L1993)=0),"※自用消耗的去向只能是一矿区或二矿区",IF(AND($K1993="对外销售",COUNTIF({"三矿区";"六矿区"},$L1993)=0),"※对外销售的去向只能是三矿区或六矿区",IF(AND($K1993="对外销售",ROUND($Q1993,0)=0),"※外销却没有售价，请填实际售价",IF(AND($K1993="对外销售",$T1993&lt;&gt;"",$T1993&lt;0),"※这一笔外销是亏的，请核对售价",IF(IFERROR(VLOOKUP($D1993,库存台账!$A$5:$Y$1204,24,0),0)&lt;-0.001,"※这个物料账面已经变成负数了，查一下是不是漏记入库","")))))))))))</f>
        <v/>
      </c>
    </row>
    <row r="1994">
      <c r="A1994" s="24">
        <f>IF($D1994="","",COUNTA($D$4:$D1994))</f>
        <v/>
      </c>
      <c r="B1994" s="17" t="n"/>
      <c r="C1994" s="30" t="n"/>
      <c r="D1994" s="17" t="n"/>
      <c r="E1994" s="24">
        <f>IF($D1994="","",IFERROR(VLOOKUP($D1994,物料档案!$A$4:$P$1203,3,0),"※编码不在物料档案里"))</f>
        <v/>
      </c>
      <c r="F1994" s="24">
        <f>IF($D1994="","",IFERROR(VLOOKUP($D1994,物料档案!$A$4:$P$1203,4,0),"※编码不在物料档案里"))</f>
        <v/>
      </c>
      <c r="G1994" s="24">
        <f>IF($D1994="","",IFERROR(VLOOKUP($D1994,物料档案!$A$4:$P$1203,5,0),"※编码不在物料档案里"))</f>
        <v/>
      </c>
      <c r="H1994" s="24">
        <f>IF($D1994="","",IFERROR(VLOOKUP($D1994,物料档案!$A$4:$P$1203,2,0),"※编码不在物料档案里"))</f>
        <v/>
      </c>
      <c r="I1994" s="24">
        <f>IF($D1994="","",IFERROR(VLOOKUP($D1994,物料档案!$A$4:$P$1203,6,0),"※编码不在物料档案里"))</f>
        <v/>
      </c>
      <c r="J1994" s="23" t="n"/>
      <c r="K1994" s="17" t="n"/>
      <c r="L1994" s="17" t="n"/>
      <c r="M1994" s="17" t="n"/>
      <c r="N1994" s="17" t="n"/>
      <c r="O1994" s="26">
        <f>IF($D1994="","",IFERROR(VLOOKUP($D1994,物料档案!$A$4:$P$1203,10,0),0))</f>
        <v/>
      </c>
      <c r="P1994" s="32" t="n"/>
      <c r="Q1994" s="26">
        <f>IF($D1994="","",IF($K1994&lt;&gt;"对外销售",0,ROUND(N($J1994)*IF($P1994="",N($O1994),N($P1994)),0)))</f>
        <v/>
      </c>
      <c r="R1994" s="26">
        <f>IF($D1994="","",IFERROR(VLOOKUP($D1994,库存台账!$A$5:$Y$1204,11,0),0))</f>
        <v/>
      </c>
      <c r="S1994" s="26">
        <f>IF($D1994="","",ROUND(N($J1994)*N($R1994),0))</f>
        <v/>
      </c>
      <c r="T1994" s="26">
        <f>IF($D1994="","",IF($K1994&lt;&gt;"对外销售","",ROUND($Q1994-$S1994,0)))</f>
        <v/>
      </c>
      <c r="U1994" s="17" t="n"/>
      <c r="V1994" s="17" t="n"/>
      <c r="W1994" s="24">
        <f>IF($D1994="","",IF($E1994="※编码不在物料档案里","※物料编码不在档案里",IF(N($J1994)&lt;=0,"※出库数量要大于 0",IF($K1994="","※没填去向类型",IF($L1994="","※没填去向矿区",IF(AND($C1994&lt;&gt;"",$C1994&lt;=结账锁),"※日期早于已结账截止日，不能再录",IF(AND($K1994="自用消耗",COUNTIF({"一矿区";"二矿区"},$L1994)=0),"※自用消耗的去向只能是一矿区或二矿区",IF(AND($K1994="对外销售",COUNTIF({"三矿区";"六矿区"},$L1994)=0),"※对外销售的去向只能是三矿区或六矿区",IF(AND($K1994="对外销售",ROUND($Q1994,0)=0),"※外销却没有售价，请填实际售价",IF(AND($K1994="对外销售",$T1994&lt;&gt;"",$T1994&lt;0),"※这一笔外销是亏的，请核对售价",IF(IFERROR(VLOOKUP($D1994,库存台账!$A$5:$Y$1204,24,0),0)&lt;-0.001,"※这个物料账面已经变成负数了，查一下是不是漏记入库","")))))))))))</f>
        <v/>
      </c>
    </row>
    <row r="1995">
      <c r="A1995" s="24">
        <f>IF($D1995="","",COUNTA($D$4:$D1995))</f>
        <v/>
      </c>
      <c r="B1995" s="17" t="n"/>
      <c r="C1995" s="30" t="n"/>
      <c r="D1995" s="17" t="n"/>
      <c r="E1995" s="24">
        <f>IF($D1995="","",IFERROR(VLOOKUP($D1995,物料档案!$A$4:$P$1203,3,0),"※编码不在物料档案里"))</f>
        <v/>
      </c>
      <c r="F1995" s="24">
        <f>IF($D1995="","",IFERROR(VLOOKUP($D1995,物料档案!$A$4:$P$1203,4,0),"※编码不在物料档案里"))</f>
        <v/>
      </c>
      <c r="G1995" s="24">
        <f>IF($D1995="","",IFERROR(VLOOKUP($D1995,物料档案!$A$4:$P$1203,5,0),"※编码不在物料档案里"))</f>
        <v/>
      </c>
      <c r="H1995" s="24">
        <f>IF($D1995="","",IFERROR(VLOOKUP($D1995,物料档案!$A$4:$P$1203,2,0),"※编码不在物料档案里"))</f>
        <v/>
      </c>
      <c r="I1995" s="24">
        <f>IF($D1995="","",IFERROR(VLOOKUP($D1995,物料档案!$A$4:$P$1203,6,0),"※编码不在物料档案里"))</f>
        <v/>
      </c>
      <c r="J1995" s="23" t="n"/>
      <c r="K1995" s="17" t="n"/>
      <c r="L1995" s="17" t="n"/>
      <c r="M1995" s="17" t="n"/>
      <c r="N1995" s="17" t="n"/>
      <c r="O1995" s="26">
        <f>IF($D1995="","",IFERROR(VLOOKUP($D1995,物料档案!$A$4:$P$1203,10,0),0))</f>
        <v/>
      </c>
      <c r="P1995" s="32" t="n"/>
      <c r="Q1995" s="26">
        <f>IF($D1995="","",IF($K1995&lt;&gt;"对外销售",0,ROUND(N($J1995)*IF($P1995="",N($O1995),N($P1995)),0)))</f>
        <v/>
      </c>
      <c r="R1995" s="26">
        <f>IF($D1995="","",IFERROR(VLOOKUP($D1995,库存台账!$A$5:$Y$1204,11,0),0))</f>
        <v/>
      </c>
      <c r="S1995" s="26">
        <f>IF($D1995="","",ROUND(N($J1995)*N($R1995),0))</f>
        <v/>
      </c>
      <c r="T1995" s="26">
        <f>IF($D1995="","",IF($K1995&lt;&gt;"对外销售","",ROUND($Q1995-$S1995,0)))</f>
        <v/>
      </c>
      <c r="U1995" s="17" t="n"/>
      <c r="V1995" s="17" t="n"/>
      <c r="W1995" s="24">
        <f>IF($D1995="","",IF($E1995="※编码不在物料档案里","※物料编码不在档案里",IF(N($J1995)&lt;=0,"※出库数量要大于 0",IF($K1995="","※没填去向类型",IF($L1995="","※没填去向矿区",IF(AND($C1995&lt;&gt;"",$C1995&lt;=结账锁),"※日期早于已结账截止日，不能再录",IF(AND($K1995="自用消耗",COUNTIF({"一矿区";"二矿区"},$L1995)=0),"※自用消耗的去向只能是一矿区或二矿区",IF(AND($K1995="对外销售",COUNTIF({"三矿区";"六矿区"},$L1995)=0),"※对外销售的去向只能是三矿区或六矿区",IF(AND($K1995="对外销售",ROUND($Q1995,0)=0),"※外销却没有售价，请填实际售价",IF(AND($K1995="对外销售",$T1995&lt;&gt;"",$T1995&lt;0),"※这一笔外销是亏的，请核对售价",IF(IFERROR(VLOOKUP($D1995,库存台账!$A$5:$Y$1204,24,0),0)&lt;-0.001,"※这个物料账面已经变成负数了，查一下是不是漏记入库","")))))))))))</f>
        <v/>
      </c>
    </row>
    <row r="1996">
      <c r="A1996" s="24">
        <f>IF($D1996="","",COUNTA($D$4:$D1996))</f>
        <v/>
      </c>
      <c r="B1996" s="17" t="n"/>
      <c r="C1996" s="30" t="n"/>
      <c r="D1996" s="17" t="n"/>
      <c r="E1996" s="24">
        <f>IF($D1996="","",IFERROR(VLOOKUP($D1996,物料档案!$A$4:$P$1203,3,0),"※编码不在物料档案里"))</f>
        <v/>
      </c>
      <c r="F1996" s="24">
        <f>IF($D1996="","",IFERROR(VLOOKUP($D1996,物料档案!$A$4:$P$1203,4,0),"※编码不在物料档案里"))</f>
        <v/>
      </c>
      <c r="G1996" s="24">
        <f>IF($D1996="","",IFERROR(VLOOKUP($D1996,物料档案!$A$4:$P$1203,5,0),"※编码不在物料档案里"))</f>
        <v/>
      </c>
      <c r="H1996" s="24">
        <f>IF($D1996="","",IFERROR(VLOOKUP($D1996,物料档案!$A$4:$P$1203,2,0),"※编码不在物料档案里"))</f>
        <v/>
      </c>
      <c r="I1996" s="24">
        <f>IF($D1996="","",IFERROR(VLOOKUP($D1996,物料档案!$A$4:$P$1203,6,0),"※编码不在物料档案里"))</f>
        <v/>
      </c>
      <c r="J1996" s="23" t="n"/>
      <c r="K1996" s="17" t="n"/>
      <c r="L1996" s="17" t="n"/>
      <c r="M1996" s="17" t="n"/>
      <c r="N1996" s="17" t="n"/>
      <c r="O1996" s="26">
        <f>IF($D1996="","",IFERROR(VLOOKUP($D1996,物料档案!$A$4:$P$1203,10,0),0))</f>
        <v/>
      </c>
      <c r="P1996" s="32" t="n"/>
      <c r="Q1996" s="26">
        <f>IF($D1996="","",IF($K1996&lt;&gt;"对外销售",0,ROUND(N($J1996)*IF($P1996="",N($O1996),N($P1996)),0)))</f>
        <v/>
      </c>
      <c r="R1996" s="26">
        <f>IF($D1996="","",IFERROR(VLOOKUP($D1996,库存台账!$A$5:$Y$1204,11,0),0))</f>
        <v/>
      </c>
      <c r="S1996" s="26">
        <f>IF($D1996="","",ROUND(N($J1996)*N($R1996),0))</f>
        <v/>
      </c>
      <c r="T1996" s="26">
        <f>IF($D1996="","",IF($K1996&lt;&gt;"对外销售","",ROUND($Q1996-$S1996,0)))</f>
        <v/>
      </c>
      <c r="U1996" s="17" t="n"/>
      <c r="V1996" s="17" t="n"/>
      <c r="W1996" s="24">
        <f>IF($D1996="","",IF($E1996="※编码不在物料档案里","※物料编码不在档案里",IF(N($J1996)&lt;=0,"※出库数量要大于 0",IF($K1996="","※没填去向类型",IF($L1996="","※没填去向矿区",IF(AND($C1996&lt;&gt;"",$C1996&lt;=结账锁),"※日期早于已结账截止日，不能再录",IF(AND($K1996="自用消耗",COUNTIF({"一矿区";"二矿区"},$L1996)=0),"※自用消耗的去向只能是一矿区或二矿区",IF(AND($K1996="对外销售",COUNTIF({"三矿区";"六矿区"},$L1996)=0),"※对外销售的去向只能是三矿区或六矿区",IF(AND($K1996="对外销售",ROUND($Q1996,0)=0),"※外销却没有售价，请填实际售价",IF(AND($K1996="对外销售",$T1996&lt;&gt;"",$T1996&lt;0),"※这一笔外销是亏的，请核对售价",IF(IFERROR(VLOOKUP($D1996,库存台账!$A$5:$Y$1204,24,0),0)&lt;-0.001,"※这个物料账面已经变成负数了，查一下是不是漏记入库","")))))))))))</f>
        <v/>
      </c>
    </row>
    <row r="1997">
      <c r="A1997" s="24">
        <f>IF($D1997="","",COUNTA($D$4:$D1997))</f>
        <v/>
      </c>
      <c r="B1997" s="17" t="n"/>
      <c r="C1997" s="30" t="n"/>
      <c r="D1997" s="17" t="n"/>
      <c r="E1997" s="24">
        <f>IF($D1997="","",IFERROR(VLOOKUP($D1997,物料档案!$A$4:$P$1203,3,0),"※编码不在物料档案里"))</f>
        <v/>
      </c>
      <c r="F1997" s="24">
        <f>IF($D1997="","",IFERROR(VLOOKUP($D1997,物料档案!$A$4:$P$1203,4,0),"※编码不在物料档案里"))</f>
        <v/>
      </c>
      <c r="G1997" s="24">
        <f>IF($D1997="","",IFERROR(VLOOKUP($D1997,物料档案!$A$4:$P$1203,5,0),"※编码不在物料档案里"))</f>
        <v/>
      </c>
      <c r="H1997" s="24">
        <f>IF($D1997="","",IFERROR(VLOOKUP($D1997,物料档案!$A$4:$P$1203,2,0),"※编码不在物料档案里"))</f>
        <v/>
      </c>
      <c r="I1997" s="24">
        <f>IF($D1997="","",IFERROR(VLOOKUP($D1997,物料档案!$A$4:$P$1203,6,0),"※编码不在物料档案里"))</f>
        <v/>
      </c>
      <c r="J1997" s="23" t="n"/>
      <c r="K1997" s="17" t="n"/>
      <c r="L1997" s="17" t="n"/>
      <c r="M1997" s="17" t="n"/>
      <c r="N1997" s="17" t="n"/>
      <c r="O1997" s="26">
        <f>IF($D1997="","",IFERROR(VLOOKUP($D1997,物料档案!$A$4:$P$1203,10,0),0))</f>
        <v/>
      </c>
      <c r="P1997" s="32" t="n"/>
      <c r="Q1997" s="26">
        <f>IF($D1997="","",IF($K1997&lt;&gt;"对外销售",0,ROUND(N($J1997)*IF($P1997="",N($O1997),N($P1997)),0)))</f>
        <v/>
      </c>
      <c r="R1997" s="26">
        <f>IF($D1997="","",IFERROR(VLOOKUP($D1997,库存台账!$A$5:$Y$1204,11,0),0))</f>
        <v/>
      </c>
      <c r="S1997" s="26">
        <f>IF($D1997="","",ROUND(N($J1997)*N($R1997),0))</f>
        <v/>
      </c>
      <c r="T1997" s="26">
        <f>IF($D1997="","",IF($K1997&lt;&gt;"对外销售","",ROUND($Q1997-$S1997,0)))</f>
        <v/>
      </c>
      <c r="U1997" s="17" t="n"/>
      <c r="V1997" s="17" t="n"/>
      <c r="W1997" s="24">
        <f>IF($D1997="","",IF($E1997="※编码不在物料档案里","※物料编码不在档案里",IF(N($J1997)&lt;=0,"※出库数量要大于 0",IF($K1997="","※没填去向类型",IF($L1997="","※没填去向矿区",IF(AND($C1997&lt;&gt;"",$C1997&lt;=结账锁),"※日期早于已结账截止日，不能再录",IF(AND($K1997="自用消耗",COUNTIF({"一矿区";"二矿区"},$L1997)=0),"※自用消耗的去向只能是一矿区或二矿区",IF(AND($K1997="对外销售",COUNTIF({"三矿区";"六矿区"},$L1997)=0),"※对外销售的去向只能是三矿区或六矿区",IF(AND($K1997="对外销售",ROUND($Q1997,0)=0),"※外销却没有售价，请填实际售价",IF(AND($K1997="对外销售",$T1997&lt;&gt;"",$T1997&lt;0),"※这一笔外销是亏的，请核对售价",IF(IFERROR(VLOOKUP($D1997,库存台账!$A$5:$Y$1204,24,0),0)&lt;-0.001,"※这个物料账面已经变成负数了，查一下是不是漏记入库","")))))))))))</f>
        <v/>
      </c>
    </row>
    <row r="1998">
      <c r="A1998" s="24">
        <f>IF($D1998="","",COUNTA($D$4:$D1998))</f>
        <v/>
      </c>
      <c r="B1998" s="17" t="n"/>
      <c r="C1998" s="30" t="n"/>
      <c r="D1998" s="17" t="n"/>
      <c r="E1998" s="24">
        <f>IF($D1998="","",IFERROR(VLOOKUP($D1998,物料档案!$A$4:$P$1203,3,0),"※编码不在物料档案里"))</f>
        <v/>
      </c>
      <c r="F1998" s="24">
        <f>IF($D1998="","",IFERROR(VLOOKUP($D1998,物料档案!$A$4:$P$1203,4,0),"※编码不在物料档案里"))</f>
        <v/>
      </c>
      <c r="G1998" s="24">
        <f>IF($D1998="","",IFERROR(VLOOKUP($D1998,物料档案!$A$4:$P$1203,5,0),"※编码不在物料档案里"))</f>
        <v/>
      </c>
      <c r="H1998" s="24">
        <f>IF($D1998="","",IFERROR(VLOOKUP($D1998,物料档案!$A$4:$P$1203,2,0),"※编码不在物料档案里"))</f>
        <v/>
      </c>
      <c r="I1998" s="24">
        <f>IF($D1998="","",IFERROR(VLOOKUP($D1998,物料档案!$A$4:$P$1203,6,0),"※编码不在物料档案里"))</f>
        <v/>
      </c>
      <c r="J1998" s="23" t="n"/>
      <c r="K1998" s="17" t="n"/>
      <c r="L1998" s="17" t="n"/>
      <c r="M1998" s="17" t="n"/>
      <c r="N1998" s="17" t="n"/>
      <c r="O1998" s="26">
        <f>IF($D1998="","",IFERROR(VLOOKUP($D1998,物料档案!$A$4:$P$1203,10,0),0))</f>
        <v/>
      </c>
      <c r="P1998" s="32" t="n"/>
      <c r="Q1998" s="26">
        <f>IF($D1998="","",IF($K1998&lt;&gt;"对外销售",0,ROUND(N($J1998)*IF($P1998="",N($O1998),N($P1998)),0)))</f>
        <v/>
      </c>
      <c r="R1998" s="26">
        <f>IF($D1998="","",IFERROR(VLOOKUP($D1998,库存台账!$A$5:$Y$1204,11,0),0))</f>
        <v/>
      </c>
      <c r="S1998" s="26">
        <f>IF($D1998="","",ROUND(N($J1998)*N($R1998),0))</f>
        <v/>
      </c>
      <c r="T1998" s="26">
        <f>IF($D1998="","",IF($K1998&lt;&gt;"对外销售","",ROUND($Q1998-$S1998,0)))</f>
        <v/>
      </c>
      <c r="U1998" s="17" t="n"/>
      <c r="V1998" s="17" t="n"/>
      <c r="W1998" s="24">
        <f>IF($D1998="","",IF($E1998="※编码不在物料档案里","※物料编码不在档案里",IF(N($J1998)&lt;=0,"※出库数量要大于 0",IF($K1998="","※没填去向类型",IF($L1998="","※没填去向矿区",IF(AND($C1998&lt;&gt;"",$C1998&lt;=结账锁),"※日期早于已结账截止日，不能再录",IF(AND($K1998="自用消耗",COUNTIF({"一矿区";"二矿区"},$L1998)=0),"※自用消耗的去向只能是一矿区或二矿区",IF(AND($K1998="对外销售",COUNTIF({"三矿区";"六矿区"},$L1998)=0),"※对外销售的去向只能是三矿区或六矿区",IF(AND($K1998="对外销售",ROUND($Q1998,0)=0),"※外销却没有售价，请填实际售价",IF(AND($K1998="对外销售",$T1998&lt;&gt;"",$T1998&lt;0),"※这一笔外销是亏的，请核对售价",IF(IFERROR(VLOOKUP($D1998,库存台账!$A$5:$Y$1204,24,0),0)&lt;-0.001,"※这个物料账面已经变成负数了，查一下是不是漏记入库","")))))))))))</f>
        <v/>
      </c>
    </row>
    <row r="1999">
      <c r="A1999" s="24">
        <f>IF($D1999="","",COUNTA($D$4:$D1999))</f>
        <v/>
      </c>
      <c r="B1999" s="17" t="n"/>
      <c r="C1999" s="30" t="n"/>
      <c r="D1999" s="17" t="n"/>
      <c r="E1999" s="24">
        <f>IF($D1999="","",IFERROR(VLOOKUP($D1999,物料档案!$A$4:$P$1203,3,0),"※编码不在物料档案里"))</f>
        <v/>
      </c>
      <c r="F1999" s="24">
        <f>IF($D1999="","",IFERROR(VLOOKUP($D1999,物料档案!$A$4:$P$1203,4,0),"※编码不在物料档案里"))</f>
        <v/>
      </c>
      <c r="G1999" s="24">
        <f>IF($D1999="","",IFERROR(VLOOKUP($D1999,物料档案!$A$4:$P$1203,5,0),"※编码不在物料档案里"))</f>
        <v/>
      </c>
      <c r="H1999" s="24">
        <f>IF($D1999="","",IFERROR(VLOOKUP($D1999,物料档案!$A$4:$P$1203,2,0),"※编码不在物料档案里"))</f>
        <v/>
      </c>
      <c r="I1999" s="24">
        <f>IF($D1999="","",IFERROR(VLOOKUP($D1999,物料档案!$A$4:$P$1203,6,0),"※编码不在物料档案里"))</f>
        <v/>
      </c>
      <c r="J1999" s="23" t="n"/>
      <c r="K1999" s="17" t="n"/>
      <c r="L1999" s="17" t="n"/>
      <c r="M1999" s="17" t="n"/>
      <c r="N1999" s="17" t="n"/>
      <c r="O1999" s="26">
        <f>IF($D1999="","",IFERROR(VLOOKUP($D1999,物料档案!$A$4:$P$1203,10,0),0))</f>
        <v/>
      </c>
      <c r="P1999" s="32" t="n"/>
      <c r="Q1999" s="26">
        <f>IF($D1999="","",IF($K1999&lt;&gt;"对外销售",0,ROUND(N($J1999)*IF($P1999="",N($O1999),N($P1999)),0)))</f>
        <v/>
      </c>
      <c r="R1999" s="26">
        <f>IF($D1999="","",IFERROR(VLOOKUP($D1999,库存台账!$A$5:$Y$1204,11,0),0))</f>
        <v/>
      </c>
      <c r="S1999" s="26">
        <f>IF($D1999="","",ROUND(N($J1999)*N($R1999),0))</f>
        <v/>
      </c>
      <c r="T1999" s="26">
        <f>IF($D1999="","",IF($K1999&lt;&gt;"对外销售","",ROUND($Q1999-$S1999,0)))</f>
        <v/>
      </c>
      <c r="U1999" s="17" t="n"/>
      <c r="V1999" s="17" t="n"/>
      <c r="W1999" s="24">
        <f>IF($D1999="","",IF($E1999="※编码不在物料档案里","※物料编码不在档案里",IF(N($J1999)&lt;=0,"※出库数量要大于 0",IF($K1999="","※没填去向类型",IF($L1999="","※没填去向矿区",IF(AND($C1999&lt;&gt;"",$C1999&lt;=结账锁),"※日期早于已结账截止日，不能再录",IF(AND($K1999="自用消耗",COUNTIF({"一矿区";"二矿区"},$L1999)=0),"※自用消耗的去向只能是一矿区或二矿区",IF(AND($K1999="对外销售",COUNTIF({"三矿区";"六矿区"},$L1999)=0),"※对外销售的去向只能是三矿区或六矿区",IF(AND($K1999="对外销售",ROUND($Q1999,0)=0),"※外销却没有售价，请填实际售价",IF(AND($K1999="对外销售",$T1999&lt;&gt;"",$T1999&lt;0),"※这一笔外销是亏的，请核对售价",IF(IFERROR(VLOOKUP($D1999,库存台账!$A$5:$Y$1204,24,0),0)&lt;-0.001,"※这个物料账面已经变成负数了，查一下是不是漏记入库","")))))))))))</f>
        <v/>
      </c>
    </row>
    <row r="2000">
      <c r="A2000" s="24">
        <f>IF($D2000="","",COUNTA($D$4:$D2000))</f>
        <v/>
      </c>
      <c r="B2000" s="17" t="n"/>
      <c r="C2000" s="30" t="n"/>
      <c r="D2000" s="17" t="n"/>
      <c r="E2000" s="24">
        <f>IF($D2000="","",IFERROR(VLOOKUP($D2000,物料档案!$A$4:$P$1203,3,0),"※编码不在物料档案里"))</f>
        <v/>
      </c>
      <c r="F2000" s="24">
        <f>IF($D2000="","",IFERROR(VLOOKUP($D2000,物料档案!$A$4:$P$1203,4,0),"※编码不在物料档案里"))</f>
        <v/>
      </c>
      <c r="G2000" s="24">
        <f>IF($D2000="","",IFERROR(VLOOKUP($D2000,物料档案!$A$4:$P$1203,5,0),"※编码不在物料档案里"))</f>
        <v/>
      </c>
      <c r="H2000" s="24">
        <f>IF($D2000="","",IFERROR(VLOOKUP($D2000,物料档案!$A$4:$P$1203,2,0),"※编码不在物料档案里"))</f>
        <v/>
      </c>
      <c r="I2000" s="24">
        <f>IF($D2000="","",IFERROR(VLOOKUP($D2000,物料档案!$A$4:$P$1203,6,0),"※编码不在物料档案里"))</f>
        <v/>
      </c>
      <c r="J2000" s="23" t="n"/>
      <c r="K2000" s="17" t="n"/>
      <c r="L2000" s="17" t="n"/>
      <c r="M2000" s="17" t="n"/>
      <c r="N2000" s="17" t="n"/>
      <c r="O2000" s="26">
        <f>IF($D2000="","",IFERROR(VLOOKUP($D2000,物料档案!$A$4:$P$1203,10,0),0))</f>
        <v/>
      </c>
      <c r="P2000" s="32" t="n"/>
      <c r="Q2000" s="26">
        <f>IF($D2000="","",IF($K2000&lt;&gt;"对外销售",0,ROUND(N($J2000)*IF($P2000="",N($O2000),N($P2000)),0)))</f>
        <v/>
      </c>
      <c r="R2000" s="26">
        <f>IF($D2000="","",IFERROR(VLOOKUP($D2000,库存台账!$A$5:$Y$1204,11,0),0))</f>
        <v/>
      </c>
      <c r="S2000" s="26">
        <f>IF($D2000="","",ROUND(N($J2000)*N($R2000),0))</f>
        <v/>
      </c>
      <c r="T2000" s="26">
        <f>IF($D2000="","",IF($K2000&lt;&gt;"对外销售","",ROUND($Q2000-$S2000,0)))</f>
        <v/>
      </c>
      <c r="U2000" s="17" t="n"/>
      <c r="V2000" s="17" t="n"/>
      <c r="W2000" s="24">
        <f>IF($D2000="","",IF($E2000="※编码不在物料档案里","※物料编码不在档案里",IF(N($J2000)&lt;=0,"※出库数量要大于 0",IF($K2000="","※没填去向类型",IF($L2000="","※没填去向矿区",IF(AND($C2000&lt;&gt;"",$C2000&lt;=结账锁),"※日期早于已结账截止日，不能再录",IF(AND($K2000="自用消耗",COUNTIF({"一矿区";"二矿区"},$L2000)=0),"※自用消耗的去向只能是一矿区或二矿区",IF(AND($K2000="对外销售",COUNTIF({"三矿区";"六矿区"},$L2000)=0),"※对外销售的去向只能是三矿区或六矿区",IF(AND($K2000="对外销售",ROUND($Q2000,0)=0),"※外销却没有售价，请填实际售价",IF(AND($K2000="对外销售",$T2000&lt;&gt;"",$T2000&lt;0),"※这一笔外销是亏的，请核对售价",IF(IFERROR(VLOOKUP($D2000,库存台账!$A$5:$Y$1204,24,0),0)&lt;-0.001,"※这个物料账面已经变成负数了，查一下是不是漏记入库","")))))))))))</f>
        <v/>
      </c>
    </row>
    <row r="2001">
      <c r="A2001" s="24">
        <f>IF($D2001="","",COUNTA($D$4:$D2001))</f>
        <v/>
      </c>
      <c r="B2001" s="17" t="n"/>
      <c r="C2001" s="30" t="n"/>
      <c r="D2001" s="17" t="n"/>
      <c r="E2001" s="24">
        <f>IF($D2001="","",IFERROR(VLOOKUP($D2001,物料档案!$A$4:$P$1203,3,0),"※编码不在物料档案里"))</f>
        <v/>
      </c>
      <c r="F2001" s="24">
        <f>IF($D2001="","",IFERROR(VLOOKUP($D2001,物料档案!$A$4:$P$1203,4,0),"※编码不在物料档案里"))</f>
        <v/>
      </c>
      <c r="G2001" s="24">
        <f>IF($D2001="","",IFERROR(VLOOKUP($D2001,物料档案!$A$4:$P$1203,5,0),"※编码不在物料档案里"))</f>
        <v/>
      </c>
      <c r="H2001" s="24">
        <f>IF($D2001="","",IFERROR(VLOOKUP($D2001,物料档案!$A$4:$P$1203,2,0),"※编码不在物料档案里"))</f>
        <v/>
      </c>
      <c r="I2001" s="24">
        <f>IF($D2001="","",IFERROR(VLOOKUP($D2001,物料档案!$A$4:$P$1203,6,0),"※编码不在物料档案里"))</f>
        <v/>
      </c>
      <c r="J2001" s="23" t="n"/>
      <c r="K2001" s="17" t="n"/>
      <c r="L2001" s="17" t="n"/>
      <c r="M2001" s="17" t="n"/>
      <c r="N2001" s="17" t="n"/>
      <c r="O2001" s="26">
        <f>IF($D2001="","",IFERROR(VLOOKUP($D2001,物料档案!$A$4:$P$1203,10,0),0))</f>
        <v/>
      </c>
      <c r="P2001" s="32" t="n"/>
      <c r="Q2001" s="26">
        <f>IF($D2001="","",IF($K2001&lt;&gt;"对外销售",0,ROUND(N($J2001)*IF($P2001="",N($O2001),N($P2001)),0)))</f>
        <v/>
      </c>
      <c r="R2001" s="26">
        <f>IF($D2001="","",IFERROR(VLOOKUP($D2001,库存台账!$A$5:$Y$1204,11,0),0))</f>
        <v/>
      </c>
      <c r="S2001" s="26">
        <f>IF($D2001="","",ROUND(N($J2001)*N($R2001),0))</f>
        <v/>
      </c>
      <c r="T2001" s="26">
        <f>IF($D2001="","",IF($K2001&lt;&gt;"对外销售","",ROUND($Q2001-$S2001,0)))</f>
        <v/>
      </c>
      <c r="U2001" s="17" t="n"/>
      <c r="V2001" s="17" t="n"/>
      <c r="W2001" s="24">
        <f>IF($D2001="","",IF($E2001="※编码不在物料档案里","※物料编码不在档案里",IF(N($J2001)&lt;=0,"※出库数量要大于 0",IF($K2001="","※没填去向类型",IF($L2001="","※没填去向矿区",IF(AND($C2001&lt;&gt;"",$C2001&lt;=结账锁),"※日期早于已结账截止日，不能再录",IF(AND($K2001="自用消耗",COUNTIF({"一矿区";"二矿区"},$L2001)=0),"※自用消耗的去向只能是一矿区或二矿区",IF(AND($K2001="对外销售",COUNTIF({"三矿区";"六矿区"},$L2001)=0),"※对外销售的去向只能是三矿区或六矿区",IF(AND($K2001="对外销售",ROUND($Q2001,0)=0),"※外销却没有售价，请填实际售价",IF(AND($K2001="对外销售",$T2001&lt;&gt;"",$T2001&lt;0),"※这一笔外销是亏的，请核对售价",IF(IFERROR(VLOOKUP($D2001,库存台账!$A$5:$Y$1204,24,0),0)&lt;-0.001,"※这个物料账面已经变成负数了，查一下是不是漏记入库","")))))))))))</f>
        <v/>
      </c>
    </row>
    <row r="2002">
      <c r="A2002" s="24">
        <f>IF($D2002="","",COUNTA($D$4:$D2002))</f>
        <v/>
      </c>
      <c r="B2002" s="17" t="n"/>
      <c r="C2002" s="30" t="n"/>
      <c r="D2002" s="17" t="n"/>
      <c r="E2002" s="24">
        <f>IF($D2002="","",IFERROR(VLOOKUP($D2002,物料档案!$A$4:$P$1203,3,0),"※编码不在物料档案里"))</f>
        <v/>
      </c>
      <c r="F2002" s="24">
        <f>IF($D2002="","",IFERROR(VLOOKUP($D2002,物料档案!$A$4:$P$1203,4,0),"※编码不在物料档案里"))</f>
        <v/>
      </c>
      <c r="G2002" s="24">
        <f>IF($D2002="","",IFERROR(VLOOKUP($D2002,物料档案!$A$4:$P$1203,5,0),"※编码不在物料档案里"))</f>
        <v/>
      </c>
      <c r="H2002" s="24">
        <f>IF($D2002="","",IFERROR(VLOOKUP($D2002,物料档案!$A$4:$P$1203,2,0),"※编码不在物料档案里"))</f>
        <v/>
      </c>
      <c r="I2002" s="24">
        <f>IF($D2002="","",IFERROR(VLOOKUP($D2002,物料档案!$A$4:$P$1203,6,0),"※编码不在物料档案里"))</f>
        <v/>
      </c>
      <c r="J2002" s="23" t="n"/>
      <c r="K2002" s="17" t="n"/>
      <c r="L2002" s="17" t="n"/>
      <c r="M2002" s="17" t="n"/>
      <c r="N2002" s="17" t="n"/>
      <c r="O2002" s="26">
        <f>IF($D2002="","",IFERROR(VLOOKUP($D2002,物料档案!$A$4:$P$1203,10,0),0))</f>
        <v/>
      </c>
      <c r="P2002" s="32" t="n"/>
      <c r="Q2002" s="26">
        <f>IF($D2002="","",IF($K2002&lt;&gt;"对外销售",0,ROUND(N($J2002)*IF($P2002="",N($O2002),N($P2002)),0)))</f>
        <v/>
      </c>
      <c r="R2002" s="26">
        <f>IF($D2002="","",IFERROR(VLOOKUP($D2002,库存台账!$A$5:$Y$1204,11,0),0))</f>
        <v/>
      </c>
      <c r="S2002" s="26">
        <f>IF($D2002="","",ROUND(N($J2002)*N($R2002),0))</f>
        <v/>
      </c>
      <c r="T2002" s="26">
        <f>IF($D2002="","",IF($K2002&lt;&gt;"对外销售","",ROUND($Q2002-$S2002,0)))</f>
        <v/>
      </c>
      <c r="U2002" s="17" t="n"/>
      <c r="V2002" s="17" t="n"/>
      <c r="W2002" s="24">
        <f>IF($D2002="","",IF($E2002="※编码不在物料档案里","※物料编码不在档案里",IF(N($J2002)&lt;=0,"※出库数量要大于 0",IF($K2002="","※没填去向类型",IF($L2002="","※没填去向矿区",IF(AND($C2002&lt;&gt;"",$C2002&lt;=结账锁),"※日期早于已结账截止日，不能再录",IF(AND($K2002="自用消耗",COUNTIF({"一矿区";"二矿区"},$L2002)=0),"※自用消耗的去向只能是一矿区或二矿区",IF(AND($K2002="对外销售",COUNTIF({"三矿区";"六矿区"},$L2002)=0),"※对外销售的去向只能是三矿区或六矿区",IF(AND($K2002="对外销售",ROUND($Q2002,0)=0),"※外销却没有售价，请填实际售价",IF(AND($K2002="对外销售",$T2002&lt;&gt;"",$T2002&lt;0),"※这一笔外销是亏的，请核对售价",IF(IFERROR(VLOOKUP($D2002,库存台账!$A$5:$Y$1204,24,0),0)&lt;-0.001,"※这个物料账面已经变成负数了，查一下是不是漏记入库","")))))))))))</f>
        <v/>
      </c>
    </row>
    <row r="2003">
      <c r="A2003" s="24">
        <f>IF($D2003="","",COUNTA($D$4:$D2003))</f>
        <v/>
      </c>
      <c r="B2003" s="17" t="n"/>
      <c r="C2003" s="30" t="n"/>
      <c r="D2003" s="17" t="n"/>
      <c r="E2003" s="24">
        <f>IF($D2003="","",IFERROR(VLOOKUP($D2003,物料档案!$A$4:$P$1203,3,0),"※编码不在物料档案里"))</f>
        <v/>
      </c>
      <c r="F2003" s="24">
        <f>IF($D2003="","",IFERROR(VLOOKUP($D2003,物料档案!$A$4:$P$1203,4,0),"※编码不在物料档案里"))</f>
        <v/>
      </c>
      <c r="G2003" s="24">
        <f>IF($D2003="","",IFERROR(VLOOKUP($D2003,物料档案!$A$4:$P$1203,5,0),"※编码不在物料档案里"))</f>
        <v/>
      </c>
      <c r="H2003" s="24">
        <f>IF($D2003="","",IFERROR(VLOOKUP($D2003,物料档案!$A$4:$P$1203,2,0),"※编码不在物料档案里"))</f>
        <v/>
      </c>
      <c r="I2003" s="24">
        <f>IF($D2003="","",IFERROR(VLOOKUP($D2003,物料档案!$A$4:$P$1203,6,0),"※编码不在物料档案里"))</f>
        <v/>
      </c>
      <c r="J2003" s="23" t="n"/>
      <c r="K2003" s="17" t="n"/>
      <c r="L2003" s="17" t="n"/>
      <c r="M2003" s="17" t="n"/>
      <c r="N2003" s="17" t="n"/>
      <c r="O2003" s="26">
        <f>IF($D2003="","",IFERROR(VLOOKUP($D2003,物料档案!$A$4:$P$1203,10,0),0))</f>
        <v/>
      </c>
      <c r="P2003" s="32" t="n"/>
      <c r="Q2003" s="26">
        <f>IF($D2003="","",IF($K2003&lt;&gt;"对外销售",0,ROUND(N($J2003)*IF($P2003="",N($O2003),N($P2003)),0)))</f>
        <v/>
      </c>
      <c r="R2003" s="26">
        <f>IF($D2003="","",IFERROR(VLOOKUP($D2003,库存台账!$A$5:$Y$1204,11,0),0))</f>
        <v/>
      </c>
      <c r="S2003" s="26">
        <f>IF($D2003="","",ROUND(N($J2003)*N($R2003),0))</f>
        <v/>
      </c>
      <c r="T2003" s="26">
        <f>IF($D2003="","",IF($K2003&lt;&gt;"对外销售","",ROUND($Q2003-$S2003,0)))</f>
        <v/>
      </c>
      <c r="U2003" s="17" t="n"/>
      <c r="V2003" s="17" t="n"/>
      <c r="W2003" s="24">
        <f>IF($D2003="","",IF($E2003="※编码不在物料档案里","※物料编码不在档案里",IF(N($J2003)&lt;=0,"※出库数量要大于 0",IF($K2003="","※没填去向类型",IF($L2003="","※没填去向矿区",IF(AND($C2003&lt;&gt;"",$C2003&lt;=结账锁),"※日期早于已结账截止日，不能再录",IF(AND($K2003="自用消耗",COUNTIF({"一矿区";"二矿区"},$L2003)=0),"※自用消耗的去向只能是一矿区或二矿区",IF(AND($K2003="对外销售",COUNTIF({"三矿区";"六矿区"},$L2003)=0),"※对外销售的去向只能是三矿区或六矿区",IF(AND($K2003="对外销售",ROUND($Q2003,0)=0),"※外销却没有售价，请填实际售价",IF(AND($K2003="对外销售",$T2003&lt;&gt;"",$T2003&lt;0),"※这一笔外销是亏的，请核对售价",IF(IFERROR(VLOOKUP($D2003,库存台账!$A$5:$Y$1204,24,0),0)&lt;-0.001,"※这个物料账面已经变成负数了，查一下是不是漏记入库","")))))))))))</f>
        <v/>
      </c>
    </row>
    <row r="2004">
      <c r="A2004" s="24">
        <f>IF($D2004="","",COUNTA($D$4:$D2004))</f>
        <v/>
      </c>
      <c r="B2004" s="17" t="n"/>
      <c r="C2004" s="30" t="n"/>
      <c r="D2004" s="17" t="n"/>
      <c r="E2004" s="24">
        <f>IF($D2004="","",IFERROR(VLOOKUP($D2004,物料档案!$A$4:$P$1203,3,0),"※编码不在物料档案里"))</f>
        <v/>
      </c>
      <c r="F2004" s="24">
        <f>IF($D2004="","",IFERROR(VLOOKUP($D2004,物料档案!$A$4:$P$1203,4,0),"※编码不在物料档案里"))</f>
        <v/>
      </c>
      <c r="G2004" s="24">
        <f>IF($D2004="","",IFERROR(VLOOKUP($D2004,物料档案!$A$4:$P$1203,5,0),"※编码不在物料档案里"))</f>
        <v/>
      </c>
      <c r="H2004" s="24">
        <f>IF($D2004="","",IFERROR(VLOOKUP($D2004,物料档案!$A$4:$P$1203,2,0),"※编码不在物料档案里"))</f>
        <v/>
      </c>
      <c r="I2004" s="24">
        <f>IF($D2004="","",IFERROR(VLOOKUP($D2004,物料档案!$A$4:$P$1203,6,0),"※编码不在物料档案里"))</f>
        <v/>
      </c>
      <c r="J2004" s="23" t="n"/>
      <c r="K2004" s="17" t="n"/>
      <c r="L2004" s="17" t="n"/>
      <c r="M2004" s="17" t="n"/>
      <c r="N2004" s="17" t="n"/>
      <c r="O2004" s="26">
        <f>IF($D2004="","",IFERROR(VLOOKUP($D2004,物料档案!$A$4:$P$1203,10,0),0))</f>
        <v/>
      </c>
      <c r="P2004" s="32" t="n"/>
      <c r="Q2004" s="26">
        <f>IF($D2004="","",IF($K2004&lt;&gt;"对外销售",0,ROUND(N($J2004)*IF($P2004="",N($O2004),N($P2004)),0)))</f>
        <v/>
      </c>
      <c r="R2004" s="26">
        <f>IF($D2004="","",IFERROR(VLOOKUP($D2004,库存台账!$A$5:$Y$1204,11,0),0))</f>
        <v/>
      </c>
      <c r="S2004" s="26">
        <f>IF($D2004="","",ROUND(N($J2004)*N($R2004),0))</f>
        <v/>
      </c>
      <c r="T2004" s="26">
        <f>IF($D2004="","",IF($K2004&lt;&gt;"对外销售","",ROUND($Q2004-$S2004,0)))</f>
        <v/>
      </c>
      <c r="U2004" s="17" t="n"/>
      <c r="V2004" s="17" t="n"/>
      <c r="W2004" s="24">
        <f>IF($D2004="","",IF($E2004="※编码不在物料档案里","※物料编码不在档案里",IF(N($J2004)&lt;=0,"※出库数量要大于 0",IF($K2004="","※没填去向类型",IF($L2004="","※没填去向矿区",IF(AND($C2004&lt;&gt;"",$C2004&lt;=结账锁),"※日期早于已结账截止日，不能再录",IF(AND($K2004="自用消耗",COUNTIF({"一矿区";"二矿区"},$L2004)=0),"※自用消耗的去向只能是一矿区或二矿区",IF(AND($K2004="对外销售",COUNTIF({"三矿区";"六矿区"},$L2004)=0),"※对外销售的去向只能是三矿区或六矿区",IF(AND($K2004="对外销售",ROUND($Q2004,0)=0),"※外销却没有售价，请填实际售价",IF(AND($K2004="对外销售",$T2004&lt;&gt;"",$T2004&lt;0),"※这一笔外销是亏的，请核对售价",IF(IFERROR(VLOOKUP($D2004,库存台账!$A$5:$Y$1204,24,0),0)&lt;-0.001,"※这个物料账面已经变成负数了，查一下是不是漏记入库","")))))))))))</f>
        <v/>
      </c>
    </row>
    <row r="2005">
      <c r="A2005" s="24">
        <f>IF($D2005="","",COUNTA($D$4:$D2005))</f>
        <v/>
      </c>
      <c r="B2005" s="17" t="n"/>
      <c r="C2005" s="30" t="n"/>
      <c r="D2005" s="17" t="n"/>
      <c r="E2005" s="24">
        <f>IF($D2005="","",IFERROR(VLOOKUP($D2005,物料档案!$A$4:$P$1203,3,0),"※编码不在物料档案里"))</f>
        <v/>
      </c>
      <c r="F2005" s="24">
        <f>IF($D2005="","",IFERROR(VLOOKUP($D2005,物料档案!$A$4:$P$1203,4,0),"※编码不在物料档案里"))</f>
        <v/>
      </c>
      <c r="G2005" s="24">
        <f>IF($D2005="","",IFERROR(VLOOKUP($D2005,物料档案!$A$4:$P$1203,5,0),"※编码不在物料档案里"))</f>
        <v/>
      </c>
      <c r="H2005" s="24">
        <f>IF($D2005="","",IFERROR(VLOOKUP($D2005,物料档案!$A$4:$P$1203,2,0),"※编码不在物料档案里"))</f>
        <v/>
      </c>
      <c r="I2005" s="24">
        <f>IF($D2005="","",IFERROR(VLOOKUP($D2005,物料档案!$A$4:$P$1203,6,0),"※编码不在物料档案里"))</f>
        <v/>
      </c>
      <c r="J2005" s="23" t="n"/>
      <c r="K2005" s="17" t="n"/>
      <c r="L2005" s="17" t="n"/>
      <c r="M2005" s="17" t="n"/>
      <c r="N2005" s="17" t="n"/>
      <c r="O2005" s="26">
        <f>IF($D2005="","",IFERROR(VLOOKUP($D2005,物料档案!$A$4:$P$1203,10,0),0))</f>
        <v/>
      </c>
      <c r="P2005" s="32" t="n"/>
      <c r="Q2005" s="26">
        <f>IF($D2005="","",IF($K2005&lt;&gt;"对外销售",0,ROUND(N($J2005)*IF($P2005="",N($O2005),N($P2005)),0)))</f>
        <v/>
      </c>
      <c r="R2005" s="26">
        <f>IF($D2005="","",IFERROR(VLOOKUP($D2005,库存台账!$A$5:$Y$1204,11,0),0))</f>
        <v/>
      </c>
      <c r="S2005" s="26">
        <f>IF($D2005="","",ROUND(N($J2005)*N($R2005),0))</f>
        <v/>
      </c>
      <c r="T2005" s="26">
        <f>IF($D2005="","",IF($K2005&lt;&gt;"对外销售","",ROUND($Q2005-$S2005,0)))</f>
        <v/>
      </c>
      <c r="U2005" s="17" t="n"/>
      <c r="V2005" s="17" t="n"/>
      <c r="W2005" s="24">
        <f>IF($D2005="","",IF($E2005="※编码不在物料档案里","※物料编码不在档案里",IF(N($J2005)&lt;=0,"※出库数量要大于 0",IF($K2005="","※没填去向类型",IF($L2005="","※没填去向矿区",IF(AND($C2005&lt;&gt;"",$C2005&lt;=结账锁),"※日期早于已结账截止日，不能再录",IF(AND($K2005="自用消耗",COUNTIF({"一矿区";"二矿区"},$L2005)=0),"※自用消耗的去向只能是一矿区或二矿区",IF(AND($K2005="对外销售",COUNTIF({"三矿区";"六矿区"},$L2005)=0),"※对外销售的去向只能是三矿区或六矿区",IF(AND($K2005="对外销售",ROUND($Q2005,0)=0),"※外销却没有售价，请填实际售价",IF(AND($K2005="对外销售",$T2005&lt;&gt;"",$T2005&lt;0),"※这一笔外销是亏的，请核对售价",IF(IFERROR(VLOOKUP($D2005,库存台账!$A$5:$Y$1204,24,0),0)&lt;-0.001,"※这个物料账面已经变成负数了，查一下是不是漏记入库","")))))))))))</f>
        <v/>
      </c>
    </row>
    <row r="2006">
      <c r="A2006" s="24">
        <f>IF($D2006="","",COUNTA($D$4:$D2006))</f>
        <v/>
      </c>
      <c r="B2006" s="17" t="n"/>
      <c r="C2006" s="30" t="n"/>
      <c r="D2006" s="17" t="n"/>
      <c r="E2006" s="24">
        <f>IF($D2006="","",IFERROR(VLOOKUP($D2006,物料档案!$A$4:$P$1203,3,0),"※编码不在物料档案里"))</f>
        <v/>
      </c>
      <c r="F2006" s="24">
        <f>IF($D2006="","",IFERROR(VLOOKUP($D2006,物料档案!$A$4:$P$1203,4,0),"※编码不在物料档案里"))</f>
        <v/>
      </c>
      <c r="G2006" s="24">
        <f>IF($D2006="","",IFERROR(VLOOKUP($D2006,物料档案!$A$4:$P$1203,5,0),"※编码不在物料档案里"))</f>
        <v/>
      </c>
      <c r="H2006" s="24">
        <f>IF($D2006="","",IFERROR(VLOOKUP($D2006,物料档案!$A$4:$P$1203,2,0),"※编码不在物料档案里"))</f>
        <v/>
      </c>
      <c r="I2006" s="24">
        <f>IF($D2006="","",IFERROR(VLOOKUP($D2006,物料档案!$A$4:$P$1203,6,0),"※编码不在物料档案里"))</f>
        <v/>
      </c>
      <c r="J2006" s="23" t="n"/>
      <c r="K2006" s="17" t="n"/>
      <c r="L2006" s="17" t="n"/>
      <c r="M2006" s="17" t="n"/>
      <c r="N2006" s="17" t="n"/>
      <c r="O2006" s="26">
        <f>IF($D2006="","",IFERROR(VLOOKUP($D2006,物料档案!$A$4:$P$1203,10,0),0))</f>
        <v/>
      </c>
      <c r="P2006" s="32" t="n"/>
      <c r="Q2006" s="26">
        <f>IF($D2006="","",IF($K2006&lt;&gt;"对外销售",0,ROUND(N($J2006)*IF($P2006="",N($O2006),N($P2006)),0)))</f>
        <v/>
      </c>
      <c r="R2006" s="26">
        <f>IF($D2006="","",IFERROR(VLOOKUP($D2006,库存台账!$A$5:$Y$1204,11,0),0))</f>
        <v/>
      </c>
      <c r="S2006" s="26">
        <f>IF($D2006="","",ROUND(N($J2006)*N($R2006),0))</f>
        <v/>
      </c>
      <c r="T2006" s="26">
        <f>IF($D2006="","",IF($K2006&lt;&gt;"对外销售","",ROUND($Q2006-$S2006,0)))</f>
        <v/>
      </c>
      <c r="U2006" s="17" t="n"/>
      <c r="V2006" s="17" t="n"/>
      <c r="W2006" s="24">
        <f>IF($D2006="","",IF($E2006="※编码不在物料档案里","※物料编码不在档案里",IF(N($J2006)&lt;=0,"※出库数量要大于 0",IF($K2006="","※没填去向类型",IF($L2006="","※没填去向矿区",IF(AND($C2006&lt;&gt;"",$C2006&lt;=结账锁),"※日期早于已结账截止日，不能再录",IF(AND($K2006="自用消耗",COUNTIF({"一矿区";"二矿区"},$L2006)=0),"※自用消耗的去向只能是一矿区或二矿区",IF(AND($K2006="对外销售",COUNTIF({"三矿区";"六矿区"},$L2006)=0),"※对外销售的去向只能是三矿区或六矿区",IF(AND($K2006="对外销售",ROUND($Q2006,0)=0),"※外销却没有售价，请填实际售价",IF(AND($K2006="对外销售",$T2006&lt;&gt;"",$T2006&lt;0),"※这一笔外销是亏的，请核对售价",IF(IFERROR(VLOOKUP($D2006,库存台账!$A$5:$Y$1204,24,0),0)&lt;-0.001,"※这个物料账面已经变成负数了，查一下是不是漏记入库","")))))))))))</f>
        <v/>
      </c>
    </row>
    <row r="2007">
      <c r="A2007" s="24">
        <f>IF($D2007="","",COUNTA($D$4:$D2007))</f>
        <v/>
      </c>
      <c r="B2007" s="17" t="n"/>
      <c r="C2007" s="30" t="n"/>
      <c r="D2007" s="17" t="n"/>
      <c r="E2007" s="24">
        <f>IF($D2007="","",IFERROR(VLOOKUP($D2007,物料档案!$A$4:$P$1203,3,0),"※编码不在物料档案里"))</f>
        <v/>
      </c>
      <c r="F2007" s="24">
        <f>IF($D2007="","",IFERROR(VLOOKUP($D2007,物料档案!$A$4:$P$1203,4,0),"※编码不在物料档案里"))</f>
        <v/>
      </c>
      <c r="G2007" s="24">
        <f>IF($D2007="","",IFERROR(VLOOKUP($D2007,物料档案!$A$4:$P$1203,5,0),"※编码不在物料档案里"))</f>
        <v/>
      </c>
      <c r="H2007" s="24">
        <f>IF($D2007="","",IFERROR(VLOOKUP($D2007,物料档案!$A$4:$P$1203,2,0),"※编码不在物料档案里"))</f>
        <v/>
      </c>
      <c r="I2007" s="24">
        <f>IF($D2007="","",IFERROR(VLOOKUP($D2007,物料档案!$A$4:$P$1203,6,0),"※编码不在物料档案里"))</f>
        <v/>
      </c>
      <c r="J2007" s="23" t="n"/>
      <c r="K2007" s="17" t="n"/>
      <c r="L2007" s="17" t="n"/>
      <c r="M2007" s="17" t="n"/>
      <c r="N2007" s="17" t="n"/>
      <c r="O2007" s="26">
        <f>IF($D2007="","",IFERROR(VLOOKUP($D2007,物料档案!$A$4:$P$1203,10,0),0))</f>
        <v/>
      </c>
      <c r="P2007" s="32" t="n"/>
      <c r="Q2007" s="26">
        <f>IF($D2007="","",IF($K2007&lt;&gt;"对外销售",0,ROUND(N($J2007)*IF($P2007="",N($O2007),N($P2007)),0)))</f>
        <v/>
      </c>
      <c r="R2007" s="26">
        <f>IF($D2007="","",IFERROR(VLOOKUP($D2007,库存台账!$A$5:$Y$1204,11,0),0))</f>
        <v/>
      </c>
      <c r="S2007" s="26">
        <f>IF($D2007="","",ROUND(N($J2007)*N($R2007),0))</f>
        <v/>
      </c>
      <c r="T2007" s="26">
        <f>IF($D2007="","",IF($K2007&lt;&gt;"对外销售","",ROUND($Q2007-$S2007,0)))</f>
        <v/>
      </c>
      <c r="U2007" s="17" t="n"/>
      <c r="V2007" s="17" t="n"/>
      <c r="W2007" s="24">
        <f>IF($D2007="","",IF($E2007="※编码不在物料档案里","※物料编码不在档案里",IF(N($J2007)&lt;=0,"※出库数量要大于 0",IF($K2007="","※没填去向类型",IF($L2007="","※没填去向矿区",IF(AND($C2007&lt;&gt;"",$C2007&lt;=结账锁),"※日期早于已结账截止日，不能再录",IF(AND($K2007="自用消耗",COUNTIF({"一矿区";"二矿区"},$L2007)=0),"※自用消耗的去向只能是一矿区或二矿区",IF(AND($K2007="对外销售",COUNTIF({"三矿区";"六矿区"},$L2007)=0),"※对外销售的去向只能是三矿区或六矿区",IF(AND($K2007="对外销售",ROUND($Q2007,0)=0),"※外销却没有售价，请填实际售价",IF(AND($K2007="对外销售",$T2007&lt;&gt;"",$T2007&lt;0),"※这一笔外销是亏的，请核对售价",IF(IFERROR(VLOOKUP($D2007,库存台账!$A$5:$Y$1204,24,0),0)&lt;-0.001,"※这个物料账面已经变成负数了，查一下是不是漏记入库","")))))))))))</f>
        <v/>
      </c>
    </row>
    <row r="2008">
      <c r="A2008" s="24">
        <f>IF($D2008="","",COUNTA($D$4:$D2008))</f>
        <v/>
      </c>
      <c r="B2008" s="17" t="n"/>
      <c r="C2008" s="30" t="n"/>
      <c r="D2008" s="17" t="n"/>
      <c r="E2008" s="24">
        <f>IF($D2008="","",IFERROR(VLOOKUP($D2008,物料档案!$A$4:$P$1203,3,0),"※编码不在物料档案里"))</f>
        <v/>
      </c>
      <c r="F2008" s="24">
        <f>IF($D2008="","",IFERROR(VLOOKUP($D2008,物料档案!$A$4:$P$1203,4,0),"※编码不在物料档案里"))</f>
        <v/>
      </c>
      <c r="G2008" s="24">
        <f>IF($D2008="","",IFERROR(VLOOKUP($D2008,物料档案!$A$4:$P$1203,5,0),"※编码不在物料档案里"))</f>
        <v/>
      </c>
      <c r="H2008" s="24">
        <f>IF($D2008="","",IFERROR(VLOOKUP($D2008,物料档案!$A$4:$P$1203,2,0),"※编码不在物料档案里"))</f>
        <v/>
      </c>
      <c r="I2008" s="24">
        <f>IF($D2008="","",IFERROR(VLOOKUP($D2008,物料档案!$A$4:$P$1203,6,0),"※编码不在物料档案里"))</f>
        <v/>
      </c>
      <c r="J2008" s="23" t="n"/>
      <c r="K2008" s="17" t="n"/>
      <c r="L2008" s="17" t="n"/>
      <c r="M2008" s="17" t="n"/>
      <c r="N2008" s="17" t="n"/>
      <c r="O2008" s="26">
        <f>IF($D2008="","",IFERROR(VLOOKUP($D2008,物料档案!$A$4:$P$1203,10,0),0))</f>
        <v/>
      </c>
      <c r="P2008" s="32" t="n"/>
      <c r="Q2008" s="26">
        <f>IF($D2008="","",IF($K2008&lt;&gt;"对外销售",0,ROUND(N($J2008)*IF($P2008="",N($O2008),N($P2008)),0)))</f>
        <v/>
      </c>
      <c r="R2008" s="26">
        <f>IF($D2008="","",IFERROR(VLOOKUP($D2008,库存台账!$A$5:$Y$1204,11,0),0))</f>
        <v/>
      </c>
      <c r="S2008" s="26">
        <f>IF($D2008="","",ROUND(N($J2008)*N($R2008),0))</f>
        <v/>
      </c>
      <c r="T2008" s="26">
        <f>IF($D2008="","",IF($K2008&lt;&gt;"对外销售","",ROUND($Q2008-$S2008,0)))</f>
        <v/>
      </c>
      <c r="U2008" s="17" t="n"/>
      <c r="V2008" s="17" t="n"/>
      <c r="W2008" s="24">
        <f>IF($D2008="","",IF($E2008="※编码不在物料档案里","※物料编码不在档案里",IF(N($J2008)&lt;=0,"※出库数量要大于 0",IF($K2008="","※没填去向类型",IF($L2008="","※没填去向矿区",IF(AND($C2008&lt;&gt;"",$C2008&lt;=结账锁),"※日期早于已结账截止日，不能再录",IF(AND($K2008="自用消耗",COUNTIF({"一矿区";"二矿区"},$L2008)=0),"※自用消耗的去向只能是一矿区或二矿区",IF(AND($K2008="对外销售",COUNTIF({"三矿区";"六矿区"},$L2008)=0),"※对外销售的去向只能是三矿区或六矿区",IF(AND($K2008="对外销售",ROUND($Q2008,0)=0),"※外销却没有售价，请填实际售价",IF(AND($K2008="对外销售",$T2008&lt;&gt;"",$T2008&lt;0),"※这一笔外销是亏的，请核对售价",IF(IFERROR(VLOOKUP($D2008,库存台账!$A$5:$Y$1204,24,0),0)&lt;-0.001,"※这个物料账面已经变成负数了，查一下是不是漏记入库","")))))))))))</f>
        <v/>
      </c>
    </row>
    <row r="2009">
      <c r="A2009" s="24">
        <f>IF($D2009="","",COUNTA($D$4:$D2009))</f>
        <v/>
      </c>
      <c r="B2009" s="17" t="n"/>
      <c r="C2009" s="30" t="n"/>
      <c r="D2009" s="17" t="n"/>
      <c r="E2009" s="24">
        <f>IF($D2009="","",IFERROR(VLOOKUP($D2009,物料档案!$A$4:$P$1203,3,0),"※编码不在物料档案里"))</f>
        <v/>
      </c>
      <c r="F2009" s="24">
        <f>IF($D2009="","",IFERROR(VLOOKUP($D2009,物料档案!$A$4:$P$1203,4,0),"※编码不在物料档案里"))</f>
        <v/>
      </c>
      <c r="G2009" s="24">
        <f>IF($D2009="","",IFERROR(VLOOKUP($D2009,物料档案!$A$4:$P$1203,5,0),"※编码不在物料档案里"))</f>
        <v/>
      </c>
      <c r="H2009" s="24">
        <f>IF($D2009="","",IFERROR(VLOOKUP($D2009,物料档案!$A$4:$P$1203,2,0),"※编码不在物料档案里"))</f>
        <v/>
      </c>
      <c r="I2009" s="24">
        <f>IF($D2009="","",IFERROR(VLOOKUP($D2009,物料档案!$A$4:$P$1203,6,0),"※编码不在物料档案里"))</f>
        <v/>
      </c>
      <c r="J2009" s="23" t="n"/>
      <c r="K2009" s="17" t="n"/>
      <c r="L2009" s="17" t="n"/>
      <c r="M2009" s="17" t="n"/>
      <c r="N2009" s="17" t="n"/>
      <c r="O2009" s="26">
        <f>IF($D2009="","",IFERROR(VLOOKUP($D2009,物料档案!$A$4:$P$1203,10,0),0))</f>
        <v/>
      </c>
      <c r="P2009" s="32" t="n"/>
      <c r="Q2009" s="26">
        <f>IF($D2009="","",IF($K2009&lt;&gt;"对外销售",0,ROUND(N($J2009)*IF($P2009="",N($O2009),N($P2009)),0)))</f>
        <v/>
      </c>
      <c r="R2009" s="26">
        <f>IF($D2009="","",IFERROR(VLOOKUP($D2009,库存台账!$A$5:$Y$1204,11,0),0))</f>
        <v/>
      </c>
      <c r="S2009" s="26">
        <f>IF($D2009="","",ROUND(N($J2009)*N($R2009),0))</f>
        <v/>
      </c>
      <c r="T2009" s="26">
        <f>IF($D2009="","",IF($K2009&lt;&gt;"对外销售","",ROUND($Q2009-$S2009,0)))</f>
        <v/>
      </c>
      <c r="U2009" s="17" t="n"/>
      <c r="V2009" s="17" t="n"/>
      <c r="W2009" s="24">
        <f>IF($D2009="","",IF($E2009="※编码不在物料档案里","※物料编码不在档案里",IF(N($J2009)&lt;=0,"※出库数量要大于 0",IF($K2009="","※没填去向类型",IF($L2009="","※没填去向矿区",IF(AND($C2009&lt;&gt;"",$C2009&lt;=结账锁),"※日期早于已结账截止日，不能再录",IF(AND($K2009="自用消耗",COUNTIF({"一矿区";"二矿区"},$L2009)=0),"※自用消耗的去向只能是一矿区或二矿区",IF(AND($K2009="对外销售",COUNTIF({"三矿区";"六矿区"},$L2009)=0),"※对外销售的去向只能是三矿区或六矿区",IF(AND($K2009="对外销售",ROUND($Q2009,0)=0),"※外销却没有售价，请填实际售价",IF(AND($K2009="对外销售",$T2009&lt;&gt;"",$T2009&lt;0),"※这一笔外销是亏的，请核对售价",IF(IFERROR(VLOOKUP($D2009,库存台账!$A$5:$Y$1204,24,0),0)&lt;-0.001,"※这个物料账面已经变成负数了，查一下是不是漏记入库","")))))))))))</f>
        <v/>
      </c>
    </row>
    <row r="2010">
      <c r="A2010" s="24">
        <f>IF($D2010="","",COUNTA($D$4:$D2010))</f>
        <v/>
      </c>
      <c r="B2010" s="17" t="n"/>
      <c r="C2010" s="30" t="n"/>
      <c r="D2010" s="17" t="n"/>
      <c r="E2010" s="24">
        <f>IF($D2010="","",IFERROR(VLOOKUP($D2010,物料档案!$A$4:$P$1203,3,0),"※编码不在物料档案里"))</f>
        <v/>
      </c>
      <c r="F2010" s="24">
        <f>IF($D2010="","",IFERROR(VLOOKUP($D2010,物料档案!$A$4:$P$1203,4,0),"※编码不在物料档案里"))</f>
        <v/>
      </c>
      <c r="G2010" s="24">
        <f>IF($D2010="","",IFERROR(VLOOKUP($D2010,物料档案!$A$4:$P$1203,5,0),"※编码不在物料档案里"))</f>
        <v/>
      </c>
      <c r="H2010" s="24">
        <f>IF($D2010="","",IFERROR(VLOOKUP($D2010,物料档案!$A$4:$P$1203,2,0),"※编码不在物料档案里"))</f>
        <v/>
      </c>
      <c r="I2010" s="24">
        <f>IF($D2010="","",IFERROR(VLOOKUP($D2010,物料档案!$A$4:$P$1203,6,0),"※编码不在物料档案里"))</f>
        <v/>
      </c>
      <c r="J2010" s="23" t="n"/>
      <c r="K2010" s="17" t="n"/>
      <c r="L2010" s="17" t="n"/>
      <c r="M2010" s="17" t="n"/>
      <c r="N2010" s="17" t="n"/>
      <c r="O2010" s="26">
        <f>IF($D2010="","",IFERROR(VLOOKUP($D2010,物料档案!$A$4:$P$1203,10,0),0))</f>
        <v/>
      </c>
      <c r="P2010" s="32" t="n"/>
      <c r="Q2010" s="26">
        <f>IF($D2010="","",IF($K2010&lt;&gt;"对外销售",0,ROUND(N($J2010)*IF($P2010="",N($O2010),N($P2010)),0)))</f>
        <v/>
      </c>
      <c r="R2010" s="26">
        <f>IF($D2010="","",IFERROR(VLOOKUP($D2010,库存台账!$A$5:$Y$1204,11,0),0))</f>
        <v/>
      </c>
      <c r="S2010" s="26">
        <f>IF($D2010="","",ROUND(N($J2010)*N($R2010),0))</f>
        <v/>
      </c>
      <c r="T2010" s="26">
        <f>IF($D2010="","",IF($K2010&lt;&gt;"对外销售","",ROUND($Q2010-$S2010,0)))</f>
        <v/>
      </c>
      <c r="U2010" s="17" t="n"/>
      <c r="V2010" s="17" t="n"/>
      <c r="W2010" s="24">
        <f>IF($D2010="","",IF($E2010="※编码不在物料档案里","※物料编码不在档案里",IF(N($J2010)&lt;=0,"※出库数量要大于 0",IF($K2010="","※没填去向类型",IF($L2010="","※没填去向矿区",IF(AND($C2010&lt;&gt;"",$C2010&lt;=结账锁),"※日期早于已结账截止日，不能再录",IF(AND($K2010="自用消耗",COUNTIF({"一矿区";"二矿区"},$L2010)=0),"※自用消耗的去向只能是一矿区或二矿区",IF(AND($K2010="对外销售",COUNTIF({"三矿区";"六矿区"},$L2010)=0),"※对外销售的去向只能是三矿区或六矿区",IF(AND($K2010="对外销售",ROUND($Q2010,0)=0),"※外销却没有售价，请填实际售价",IF(AND($K2010="对外销售",$T2010&lt;&gt;"",$T2010&lt;0),"※这一笔外销是亏的，请核对售价",IF(IFERROR(VLOOKUP($D2010,库存台账!$A$5:$Y$1204,24,0),0)&lt;-0.001,"※这个物料账面已经变成负数了，查一下是不是漏记入库","")))))))))))</f>
        <v/>
      </c>
    </row>
    <row r="2011">
      <c r="A2011" s="24">
        <f>IF($D2011="","",COUNTA($D$4:$D2011))</f>
        <v/>
      </c>
      <c r="B2011" s="17" t="n"/>
      <c r="C2011" s="30" t="n"/>
      <c r="D2011" s="17" t="n"/>
      <c r="E2011" s="24">
        <f>IF($D2011="","",IFERROR(VLOOKUP($D2011,物料档案!$A$4:$P$1203,3,0),"※编码不在物料档案里"))</f>
        <v/>
      </c>
      <c r="F2011" s="24">
        <f>IF($D2011="","",IFERROR(VLOOKUP($D2011,物料档案!$A$4:$P$1203,4,0),"※编码不在物料档案里"))</f>
        <v/>
      </c>
      <c r="G2011" s="24">
        <f>IF($D2011="","",IFERROR(VLOOKUP($D2011,物料档案!$A$4:$P$1203,5,0),"※编码不在物料档案里"))</f>
        <v/>
      </c>
      <c r="H2011" s="24">
        <f>IF($D2011="","",IFERROR(VLOOKUP($D2011,物料档案!$A$4:$P$1203,2,0),"※编码不在物料档案里"))</f>
        <v/>
      </c>
      <c r="I2011" s="24">
        <f>IF($D2011="","",IFERROR(VLOOKUP($D2011,物料档案!$A$4:$P$1203,6,0),"※编码不在物料档案里"))</f>
        <v/>
      </c>
      <c r="J2011" s="23" t="n"/>
      <c r="K2011" s="17" t="n"/>
      <c r="L2011" s="17" t="n"/>
      <c r="M2011" s="17" t="n"/>
      <c r="N2011" s="17" t="n"/>
      <c r="O2011" s="26">
        <f>IF($D2011="","",IFERROR(VLOOKUP($D2011,物料档案!$A$4:$P$1203,10,0),0))</f>
        <v/>
      </c>
      <c r="P2011" s="32" t="n"/>
      <c r="Q2011" s="26">
        <f>IF($D2011="","",IF($K2011&lt;&gt;"对外销售",0,ROUND(N($J2011)*IF($P2011="",N($O2011),N($P2011)),0)))</f>
        <v/>
      </c>
      <c r="R2011" s="26">
        <f>IF($D2011="","",IFERROR(VLOOKUP($D2011,库存台账!$A$5:$Y$1204,11,0),0))</f>
        <v/>
      </c>
      <c r="S2011" s="26">
        <f>IF($D2011="","",ROUND(N($J2011)*N($R2011),0))</f>
        <v/>
      </c>
      <c r="T2011" s="26">
        <f>IF($D2011="","",IF($K2011&lt;&gt;"对外销售","",ROUND($Q2011-$S2011,0)))</f>
        <v/>
      </c>
      <c r="U2011" s="17" t="n"/>
      <c r="V2011" s="17" t="n"/>
      <c r="W2011" s="24">
        <f>IF($D2011="","",IF($E2011="※编码不在物料档案里","※物料编码不在档案里",IF(N($J2011)&lt;=0,"※出库数量要大于 0",IF($K2011="","※没填去向类型",IF($L2011="","※没填去向矿区",IF(AND($C2011&lt;&gt;"",$C2011&lt;=结账锁),"※日期早于已结账截止日，不能再录",IF(AND($K2011="自用消耗",COUNTIF({"一矿区";"二矿区"},$L2011)=0),"※自用消耗的去向只能是一矿区或二矿区",IF(AND($K2011="对外销售",COUNTIF({"三矿区";"六矿区"},$L2011)=0),"※对外销售的去向只能是三矿区或六矿区",IF(AND($K2011="对外销售",ROUND($Q2011,0)=0),"※外销却没有售价，请填实际售价",IF(AND($K2011="对外销售",$T2011&lt;&gt;"",$T2011&lt;0),"※这一笔外销是亏的，请核对售价",IF(IFERROR(VLOOKUP($D2011,库存台账!$A$5:$Y$1204,24,0),0)&lt;-0.001,"※这个物料账面已经变成负数了，查一下是不是漏记入库","")))))))))))</f>
        <v/>
      </c>
    </row>
    <row r="2012">
      <c r="A2012" s="24">
        <f>IF($D2012="","",COUNTA($D$4:$D2012))</f>
        <v/>
      </c>
      <c r="B2012" s="17" t="n"/>
      <c r="C2012" s="30" t="n"/>
      <c r="D2012" s="17" t="n"/>
      <c r="E2012" s="24">
        <f>IF($D2012="","",IFERROR(VLOOKUP($D2012,物料档案!$A$4:$P$1203,3,0),"※编码不在物料档案里"))</f>
        <v/>
      </c>
      <c r="F2012" s="24">
        <f>IF($D2012="","",IFERROR(VLOOKUP($D2012,物料档案!$A$4:$P$1203,4,0),"※编码不在物料档案里"))</f>
        <v/>
      </c>
      <c r="G2012" s="24">
        <f>IF($D2012="","",IFERROR(VLOOKUP($D2012,物料档案!$A$4:$P$1203,5,0),"※编码不在物料档案里"))</f>
        <v/>
      </c>
      <c r="H2012" s="24">
        <f>IF($D2012="","",IFERROR(VLOOKUP($D2012,物料档案!$A$4:$P$1203,2,0),"※编码不在物料档案里"))</f>
        <v/>
      </c>
      <c r="I2012" s="24">
        <f>IF($D2012="","",IFERROR(VLOOKUP($D2012,物料档案!$A$4:$P$1203,6,0),"※编码不在物料档案里"))</f>
        <v/>
      </c>
      <c r="J2012" s="23" t="n"/>
      <c r="K2012" s="17" t="n"/>
      <c r="L2012" s="17" t="n"/>
      <c r="M2012" s="17" t="n"/>
      <c r="N2012" s="17" t="n"/>
      <c r="O2012" s="26">
        <f>IF($D2012="","",IFERROR(VLOOKUP($D2012,物料档案!$A$4:$P$1203,10,0),0))</f>
        <v/>
      </c>
      <c r="P2012" s="32" t="n"/>
      <c r="Q2012" s="26">
        <f>IF($D2012="","",IF($K2012&lt;&gt;"对外销售",0,ROUND(N($J2012)*IF($P2012="",N($O2012),N($P2012)),0)))</f>
        <v/>
      </c>
      <c r="R2012" s="26">
        <f>IF($D2012="","",IFERROR(VLOOKUP($D2012,库存台账!$A$5:$Y$1204,11,0),0))</f>
        <v/>
      </c>
      <c r="S2012" s="26">
        <f>IF($D2012="","",ROUND(N($J2012)*N($R2012),0))</f>
        <v/>
      </c>
      <c r="T2012" s="26">
        <f>IF($D2012="","",IF($K2012&lt;&gt;"对外销售","",ROUND($Q2012-$S2012,0)))</f>
        <v/>
      </c>
      <c r="U2012" s="17" t="n"/>
      <c r="V2012" s="17" t="n"/>
      <c r="W2012" s="24">
        <f>IF($D2012="","",IF($E2012="※编码不在物料档案里","※物料编码不在档案里",IF(N($J2012)&lt;=0,"※出库数量要大于 0",IF($K2012="","※没填去向类型",IF($L2012="","※没填去向矿区",IF(AND($C2012&lt;&gt;"",$C2012&lt;=结账锁),"※日期早于已结账截止日，不能再录",IF(AND($K2012="自用消耗",COUNTIF({"一矿区";"二矿区"},$L2012)=0),"※自用消耗的去向只能是一矿区或二矿区",IF(AND($K2012="对外销售",COUNTIF({"三矿区";"六矿区"},$L2012)=0),"※对外销售的去向只能是三矿区或六矿区",IF(AND($K2012="对外销售",ROUND($Q2012,0)=0),"※外销却没有售价，请填实际售价",IF(AND($K2012="对外销售",$T2012&lt;&gt;"",$T2012&lt;0),"※这一笔外销是亏的，请核对售价",IF(IFERROR(VLOOKUP($D2012,库存台账!$A$5:$Y$1204,24,0),0)&lt;-0.001,"※这个物料账面已经变成负数了，查一下是不是漏记入库","")))))))))))</f>
        <v/>
      </c>
    </row>
    <row r="2013">
      <c r="A2013" s="24">
        <f>IF($D2013="","",COUNTA($D$4:$D2013))</f>
        <v/>
      </c>
      <c r="B2013" s="17" t="n"/>
      <c r="C2013" s="30" t="n"/>
      <c r="D2013" s="17" t="n"/>
      <c r="E2013" s="24">
        <f>IF($D2013="","",IFERROR(VLOOKUP($D2013,物料档案!$A$4:$P$1203,3,0),"※编码不在物料档案里"))</f>
        <v/>
      </c>
      <c r="F2013" s="24">
        <f>IF($D2013="","",IFERROR(VLOOKUP($D2013,物料档案!$A$4:$P$1203,4,0),"※编码不在物料档案里"))</f>
        <v/>
      </c>
      <c r="G2013" s="24">
        <f>IF($D2013="","",IFERROR(VLOOKUP($D2013,物料档案!$A$4:$P$1203,5,0),"※编码不在物料档案里"))</f>
        <v/>
      </c>
      <c r="H2013" s="24">
        <f>IF($D2013="","",IFERROR(VLOOKUP($D2013,物料档案!$A$4:$P$1203,2,0),"※编码不在物料档案里"))</f>
        <v/>
      </c>
      <c r="I2013" s="24">
        <f>IF($D2013="","",IFERROR(VLOOKUP($D2013,物料档案!$A$4:$P$1203,6,0),"※编码不在物料档案里"))</f>
        <v/>
      </c>
      <c r="J2013" s="23" t="n"/>
      <c r="K2013" s="17" t="n"/>
      <c r="L2013" s="17" t="n"/>
      <c r="M2013" s="17" t="n"/>
      <c r="N2013" s="17" t="n"/>
      <c r="O2013" s="26">
        <f>IF($D2013="","",IFERROR(VLOOKUP($D2013,物料档案!$A$4:$P$1203,10,0),0))</f>
        <v/>
      </c>
      <c r="P2013" s="32" t="n"/>
      <c r="Q2013" s="26">
        <f>IF($D2013="","",IF($K2013&lt;&gt;"对外销售",0,ROUND(N($J2013)*IF($P2013="",N($O2013),N($P2013)),0)))</f>
        <v/>
      </c>
      <c r="R2013" s="26">
        <f>IF($D2013="","",IFERROR(VLOOKUP($D2013,库存台账!$A$5:$Y$1204,11,0),0))</f>
        <v/>
      </c>
      <c r="S2013" s="26">
        <f>IF($D2013="","",ROUND(N($J2013)*N($R2013),0))</f>
        <v/>
      </c>
      <c r="T2013" s="26">
        <f>IF($D2013="","",IF($K2013&lt;&gt;"对外销售","",ROUND($Q2013-$S2013,0)))</f>
        <v/>
      </c>
      <c r="U2013" s="17" t="n"/>
      <c r="V2013" s="17" t="n"/>
      <c r="W2013" s="24">
        <f>IF($D2013="","",IF($E2013="※编码不在物料档案里","※物料编码不在档案里",IF(N($J2013)&lt;=0,"※出库数量要大于 0",IF($K2013="","※没填去向类型",IF($L2013="","※没填去向矿区",IF(AND($C2013&lt;&gt;"",$C2013&lt;=结账锁),"※日期早于已结账截止日，不能再录",IF(AND($K2013="自用消耗",COUNTIF({"一矿区";"二矿区"},$L2013)=0),"※自用消耗的去向只能是一矿区或二矿区",IF(AND($K2013="对外销售",COUNTIF({"三矿区";"六矿区"},$L2013)=0),"※对外销售的去向只能是三矿区或六矿区",IF(AND($K2013="对外销售",ROUND($Q2013,0)=0),"※外销却没有售价，请填实际售价",IF(AND($K2013="对外销售",$T2013&lt;&gt;"",$T2013&lt;0),"※这一笔外销是亏的，请核对售价",IF(IFERROR(VLOOKUP($D2013,库存台账!$A$5:$Y$1204,24,0),0)&lt;-0.001,"※这个物料账面已经变成负数了，查一下是不是漏记入库","")))))))))))</f>
        <v/>
      </c>
    </row>
    <row r="2014">
      <c r="A2014" s="24">
        <f>IF($D2014="","",COUNTA($D$4:$D2014))</f>
        <v/>
      </c>
      <c r="B2014" s="17" t="n"/>
      <c r="C2014" s="30" t="n"/>
      <c r="D2014" s="17" t="n"/>
      <c r="E2014" s="24">
        <f>IF($D2014="","",IFERROR(VLOOKUP($D2014,物料档案!$A$4:$P$1203,3,0),"※编码不在物料档案里"))</f>
        <v/>
      </c>
      <c r="F2014" s="24">
        <f>IF($D2014="","",IFERROR(VLOOKUP($D2014,物料档案!$A$4:$P$1203,4,0),"※编码不在物料档案里"))</f>
        <v/>
      </c>
      <c r="G2014" s="24">
        <f>IF($D2014="","",IFERROR(VLOOKUP($D2014,物料档案!$A$4:$P$1203,5,0),"※编码不在物料档案里"))</f>
        <v/>
      </c>
      <c r="H2014" s="24">
        <f>IF($D2014="","",IFERROR(VLOOKUP($D2014,物料档案!$A$4:$P$1203,2,0),"※编码不在物料档案里"))</f>
        <v/>
      </c>
      <c r="I2014" s="24">
        <f>IF($D2014="","",IFERROR(VLOOKUP($D2014,物料档案!$A$4:$P$1203,6,0),"※编码不在物料档案里"))</f>
        <v/>
      </c>
      <c r="J2014" s="23" t="n"/>
      <c r="K2014" s="17" t="n"/>
      <c r="L2014" s="17" t="n"/>
      <c r="M2014" s="17" t="n"/>
      <c r="N2014" s="17" t="n"/>
      <c r="O2014" s="26">
        <f>IF($D2014="","",IFERROR(VLOOKUP($D2014,物料档案!$A$4:$P$1203,10,0),0))</f>
        <v/>
      </c>
      <c r="P2014" s="32" t="n"/>
      <c r="Q2014" s="26">
        <f>IF($D2014="","",IF($K2014&lt;&gt;"对外销售",0,ROUND(N($J2014)*IF($P2014="",N($O2014),N($P2014)),0)))</f>
        <v/>
      </c>
      <c r="R2014" s="26">
        <f>IF($D2014="","",IFERROR(VLOOKUP($D2014,库存台账!$A$5:$Y$1204,11,0),0))</f>
        <v/>
      </c>
      <c r="S2014" s="26">
        <f>IF($D2014="","",ROUND(N($J2014)*N($R2014),0))</f>
        <v/>
      </c>
      <c r="T2014" s="26">
        <f>IF($D2014="","",IF($K2014&lt;&gt;"对外销售","",ROUND($Q2014-$S2014,0)))</f>
        <v/>
      </c>
      <c r="U2014" s="17" t="n"/>
      <c r="V2014" s="17" t="n"/>
      <c r="W2014" s="24">
        <f>IF($D2014="","",IF($E2014="※编码不在物料档案里","※物料编码不在档案里",IF(N($J2014)&lt;=0,"※出库数量要大于 0",IF($K2014="","※没填去向类型",IF($L2014="","※没填去向矿区",IF(AND($C2014&lt;&gt;"",$C2014&lt;=结账锁),"※日期早于已结账截止日，不能再录",IF(AND($K2014="自用消耗",COUNTIF({"一矿区";"二矿区"},$L2014)=0),"※自用消耗的去向只能是一矿区或二矿区",IF(AND($K2014="对外销售",COUNTIF({"三矿区";"六矿区"},$L2014)=0),"※对外销售的去向只能是三矿区或六矿区",IF(AND($K2014="对外销售",ROUND($Q2014,0)=0),"※外销却没有售价，请填实际售价",IF(AND($K2014="对外销售",$T2014&lt;&gt;"",$T2014&lt;0),"※这一笔外销是亏的，请核对售价",IF(IFERROR(VLOOKUP($D2014,库存台账!$A$5:$Y$1204,24,0),0)&lt;-0.001,"※这个物料账面已经变成负数了，查一下是不是漏记入库","")))))))))))</f>
        <v/>
      </c>
    </row>
    <row r="2015">
      <c r="A2015" s="24">
        <f>IF($D2015="","",COUNTA($D$4:$D2015))</f>
        <v/>
      </c>
      <c r="B2015" s="17" t="n"/>
      <c r="C2015" s="30" t="n"/>
      <c r="D2015" s="17" t="n"/>
      <c r="E2015" s="24">
        <f>IF($D2015="","",IFERROR(VLOOKUP($D2015,物料档案!$A$4:$P$1203,3,0),"※编码不在物料档案里"))</f>
        <v/>
      </c>
      <c r="F2015" s="24">
        <f>IF($D2015="","",IFERROR(VLOOKUP($D2015,物料档案!$A$4:$P$1203,4,0),"※编码不在物料档案里"))</f>
        <v/>
      </c>
      <c r="G2015" s="24">
        <f>IF($D2015="","",IFERROR(VLOOKUP($D2015,物料档案!$A$4:$P$1203,5,0),"※编码不在物料档案里"))</f>
        <v/>
      </c>
      <c r="H2015" s="24">
        <f>IF($D2015="","",IFERROR(VLOOKUP($D2015,物料档案!$A$4:$P$1203,2,0),"※编码不在物料档案里"))</f>
        <v/>
      </c>
      <c r="I2015" s="24">
        <f>IF($D2015="","",IFERROR(VLOOKUP($D2015,物料档案!$A$4:$P$1203,6,0),"※编码不在物料档案里"))</f>
        <v/>
      </c>
      <c r="J2015" s="23" t="n"/>
      <c r="K2015" s="17" t="n"/>
      <c r="L2015" s="17" t="n"/>
      <c r="M2015" s="17" t="n"/>
      <c r="N2015" s="17" t="n"/>
      <c r="O2015" s="26">
        <f>IF($D2015="","",IFERROR(VLOOKUP($D2015,物料档案!$A$4:$P$1203,10,0),0))</f>
        <v/>
      </c>
      <c r="P2015" s="32" t="n"/>
      <c r="Q2015" s="26">
        <f>IF($D2015="","",IF($K2015&lt;&gt;"对外销售",0,ROUND(N($J2015)*IF($P2015="",N($O2015),N($P2015)),0)))</f>
        <v/>
      </c>
      <c r="R2015" s="26">
        <f>IF($D2015="","",IFERROR(VLOOKUP($D2015,库存台账!$A$5:$Y$1204,11,0),0))</f>
        <v/>
      </c>
      <c r="S2015" s="26">
        <f>IF($D2015="","",ROUND(N($J2015)*N($R2015),0))</f>
        <v/>
      </c>
      <c r="T2015" s="26">
        <f>IF($D2015="","",IF($K2015&lt;&gt;"对外销售","",ROUND($Q2015-$S2015,0)))</f>
        <v/>
      </c>
      <c r="U2015" s="17" t="n"/>
      <c r="V2015" s="17" t="n"/>
      <c r="W2015" s="24">
        <f>IF($D2015="","",IF($E2015="※编码不在物料档案里","※物料编码不在档案里",IF(N($J2015)&lt;=0,"※出库数量要大于 0",IF($K2015="","※没填去向类型",IF($L2015="","※没填去向矿区",IF(AND($C2015&lt;&gt;"",$C2015&lt;=结账锁),"※日期早于已结账截止日，不能再录",IF(AND($K2015="自用消耗",COUNTIF({"一矿区";"二矿区"},$L2015)=0),"※自用消耗的去向只能是一矿区或二矿区",IF(AND($K2015="对外销售",COUNTIF({"三矿区";"六矿区"},$L2015)=0),"※对外销售的去向只能是三矿区或六矿区",IF(AND($K2015="对外销售",ROUND($Q2015,0)=0),"※外销却没有售价，请填实际售价",IF(AND($K2015="对外销售",$T2015&lt;&gt;"",$T2015&lt;0),"※这一笔外销是亏的，请核对售价",IF(IFERROR(VLOOKUP($D2015,库存台账!$A$5:$Y$1204,24,0),0)&lt;-0.001,"※这个物料账面已经变成负数了，查一下是不是漏记入库","")))))))))))</f>
        <v/>
      </c>
    </row>
    <row r="2016">
      <c r="A2016" s="24">
        <f>IF($D2016="","",COUNTA($D$4:$D2016))</f>
        <v/>
      </c>
      <c r="B2016" s="17" t="n"/>
      <c r="C2016" s="30" t="n"/>
      <c r="D2016" s="17" t="n"/>
      <c r="E2016" s="24">
        <f>IF($D2016="","",IFERROR(VLOOKUP($D2016,物料档案!$A$4:$P$1203,3,0),"※编码不在物料档案里"))</f>
        <v/>
      </c>
      <c r="F2016" s="24">
        <f>IF($D2016="","",IFERROR(VLOOKUP($D2016,物料档案!$A$4:$P$1203,4,0),"※编码不在物料档案里"))</f>
        <v/>
      </c>
      <c r="G2016" s="24">
        <f>IF($D2016="","",IFERROR(VLOOKUP($D2016,物料档案!$A$4:$P$1203,5,0),"※编码不在物料档案里"))</f>
        <v/>
      </c>
      <c r="H2016" s="24">
        <f>IF($D2016="","",IFERROR(VLOOKUP($D2016,物料档案!$A$4:$P$1203,2,0),"※编码不在物料档案里"))</f>
        <v/>
      </c>
      <c r="I2016" s="24">
        <f>IF($D2016="","",IFERROR(VLOOKUP($D2016,物料档案!$A$4:$P$1203,6,0),"※编码不在物料档案里"))</f>
        <v/>
      </c>
      <c r="J2016" s="23" t="n"/>
      <c r="K2016" s="17" t="n"/>
      <c r="L2016" s="17" t="n"/>
      <c r="M2016" s="17" t="n"/>
      <c r="N2016" s="17" t="n"/>
      <c r="O2016" s="26">
        <f>IF($D2016="","",IFERROR(VLOOKUP($D2016,物料档案!$A$4:$P$1203,10,0),0))</f>
        <v/>
      </c>
      <c r="P2016" s="32" t="n"/>
      <c r="Q2016" s="26">
        <f>IF($D2016="","",IF($K2016&lt;&gt;"对外销售",0,ROUND(N($J2016)*IF($P2016="",N($O2016),N($P2016)),0)))</f>
        <v/>
      </c>
      <c r="R2016" s="26">
        <f>IF($D2016="","",IFERROR(VLOOKUP($D2016,库存台账!$A$5:$Y$1204,11,0),0))</f>
        <v/>
      </c>
      <c r="S2016" s="26">
        <f>IF($D2016="","",ROUND(N($J2016)*N($R2016),0))</f>
        <v/>
      </c>
      <c r="T2016" s="26">
        <f>IF($D2016="","",IF($K2016&lt;&gt;"对外销售","",ROUND($Q2016-$S2016,0)))</f>
        <v/>
      </c>
      <c r="U2016" s="17" t="n"/>
      <c r="V2016" s="17" t="n"/>
      <c r="W2016" s="24">
        <f>IF($D2016="","",IF($E2016="※编码不在物料档案里","※物料编码不在档案里",IF(N($J2016)&lt;=0,"※出库数量要大于 0",IF($K2016="","※没填去向类型",IF($L2016="","※没填去向矿区",IF(AND($C2016&lt;&gt;"",$C2016&lt;=结账锁),"※日期早于已结账截止日，不能再录",IF(AND($K2016="自用消耗",COUNTIF({"一矿区";"二矿区"},$L2016)=0),"※自用消耗的去向只能是一矿区或二矿区",IF(AND($K2016="对外销售",COUNTIF({"三矿区";"六矿区"},$L2016)=0),"※对外销售的去向只能是三矿区或六矿区",IF(AND($K2016="对外销售",ROUND($Q2016,0)=0),"※外销却没有售价，请填实际售价",IF(AND($K2016="对外销售",$T2016&lt;&gt;"",$T2016&lt;0),"※这一笔外销是亏的，请核对售价",IF(IFERROR(VLOOKUP($D2016,库存台账!$A$5:$Y$1204,24,0),0)&lt;-0.001,"※这个物料账面已经变成负数了，查一下是不是漏记入库","")))))))))))</f>
        <v/>
      </c>
    </row>
    <row r="2017">
      <c r="A2017" s="24">
        <f>IF($D2017="","",COUNTA($D$4:$D2017))</f>
        <v/>
      </c>
      <c r="B2017" s="17" t="n"/>
      <c r="C2017" s="30" t="n"/>
      <c r="D2017" s="17" t="n"/>
      <c r="E2017" s="24">
        <f>IF($D2017="","",IFERROR(VLOOKUP($D2017,物料档案!$A$4:$P$1203,3,0),"※编码不在物料档案里"))</f>
        <v/>
      </c>
      <c r="F2017" s="24">
        <f>IF($D2017="","",IFERROR(VLOOKUP($D2017,物料档案!$A$4:$P$1203,4,0),"※编码不在物料档案里"))</f>
        <v/>
      </c>
      <c r="G2017" s="24">
        <f>IF($D2017="","",IFERROR(VLOOKUP($D2017,物料档案!$A$4:$P$1203,5,0),"※编码不在物料档案里"))</f>
        <v/>
      </c>
      <c r="H2017" s="24">
        <f>IF($D2017="","",IFERROR(VLOOKUP($D2017,物料档案!$A$4:$P$1203,2,0),"※编码不在物料档案里"))</f>
        <v/>
      </c>
      <c r="I2017" s="24">
        <f>IF($D2017="","",IFERROR(VLOOKUP($D2017,物料档案!$A$4:$P$1203,6,0),"※编码不在物料档案里"))</f>
        <v/>
      </c>
      <c r="J2017" s="23" t="n"/>
      <c r="K2017" s="17" t="n"/>
      <c r="L2017" s="17" t="n"/>
      <c r="M2017" s="17" t="n"/>
      <c r="N2017" s="17" t="n"/>
      <c r="O2017" s="26">
        <f>IF($D2017="","",IFERROR(VLOOKUP($D2017,物料档案!$A$4:$P$1203,10,0),0))</f>
        <v/>
      </c>
      <c r="P2017" s="32" t="n"/>
      <c r="Q2017" s="26">
        <f>IF($D2017="","",IF($K2017&lt;&gt;"对外销售",0,ROUND(N($J2017)*IF($P2017="",N($O2017),N($P2017)),0)))</f>
        <v/>
      </c>
      <c r="R2017" s="26">
        <f>IF($D2017="","",IFERROR(VLOOKUP($D2017,库存台账!$A$5:$Y$1204,11,0),0))</f>
        <v/>
      </c>
      <c r="S2017" s="26">
        <f>IF($D2017="","",ROUND(N($J2017)*N($R2017),0))</f>
        <v/>
      </c>
      <c r="T2017" s="26">
        <f>IF($D2017="","",IF($K2017&lt;&gt;"对外销售","",ROUND($Q2017-$S2017,0)))</f>
        <v/>
      </c>
      <c r="U2017" s="17" t="n"/>
      <c r="V2017" s="17" t="n"/>
      <c r="W2017" s="24">
        <f>IF($D2017="","",IF($E2017="※编码不在物料档案里","※物料编码不在档案里",IF(N($J2017)&lt;=0,"※出库数量要大于 0",IF($K2017="","※没填去向类型",IF($L2017="","※没填去向矿区",IF(AND($C2017&lt;&gt;"",$C2017&lt;=结账锁),"※日期早于已结账截止日，不能再录",IF(AND($K2017="自用消耗",COUNTIF({"一矿区";"二矿区"},$L2017)=0),"※自用消耗的去向只能是一矿区或二矿区",IF(AND($K2017="对外销售",COUNTIF({"三矿区";"六矿区"},$L2017)=0),"※对外销售的去向只能是三矿区或六矿区",IF(AND($K2017="对外销售",ROUND($Q2017,0)=0),"※外销却没有售价，请填实际售价",IF(AND($K2017="对外销售",$T2017&lt;&gt;"",$T2017&lt;0),"※这一笔外销是亏的，请核对售价",IF(IFERROR(VLOOKUP($D2017,库存台账!$A$5:$Y$1204,24,0),0)&lt;-0.001,"※这个物料账面已经变成负数了，查一下是不是漏记入库","")))))))))))</f>
        <v/>
      </c>
    </row>
    <row r="2018">
      <c r="A2018" s="24">
        <f>IF($D2018="","",COUNTA($D$4:$D2018))</f>
        <v/>
      </c>
      <c r="B2018" s="17" t="n"/>
      <c r="C2018" s="30" t="n"/>
      <c r="D2018" s="17" t="n"/>
      <c r="E2018" s="24">
        <f>IF($D2018="","",IFERROR(VLOOKUP($D2018,物料档案!$A$4:$P$1203,3,0),"※编码不在物料档案里"))</f>
        <v/>
      </c>
      <c r="F2018" s="24">
        <f>IF($D2018="","",IFERROR(VLOOKUP($D2018,物料档案!$A$4:$P$1203,4,0),"※编码不在物料档案里"))</f>
        <v/>
      </c>
      <c r="G2018" s="24">
        <f>IF($D2018="","",IFERROR(VLOOKUP($D2018,物料档案!$A$4:$P$1203,5,0),"※编码不在物料档案里"))</f>
        <v/>
      </c>
      <c r="H2018" s="24">
        <f>IF($D2018="","",IFERROR(VLOOKUP($D2018,物料档案!$A$4:$P$1203,2,0),"※编码不在物料档案里"))</f>
        <v/>
      </c>
      <c r="I2018" s="24">
        <f>IF($D2018="","",IFERROR(VLOOKUP($D2018,物料档案!$A$4:$P$1203,6,0),"※编码不在物料档案里"))</f>
        <v/>
      </c>
      <c r="J2018" s="23" t="n"/>
      <c r="K2018" s="17" t="n"/>
      <c r="L2018" s="17" t="n"/>
      <c r="M2018" s="17" t="n"/>
      <c r="N2018" s="17" t="n"/>
      <c r="O2018" s="26">
        <f>IF($D2018="","",IFERROR(VLOOKUP($D2018,物料档案!$A$4:$P$1203,10,0),0))</f>
        <v/>
      </c>
      <c r="P2018" s="32" t="n"/>
      <c r="Q2018" s="26">
        <f>IF($D2018="","",IF($K2018&lt;&gt;"对外销售",0,ROUND(N($J2018)*IF($P2018="",N($O2018),N($P2018)),0)))</f>
        <v/>
      </c>
      <c r="R2018" s="26">
        <f>IF($D2018="","",IFERROR(VLOOKUP($D2018,库存台账!$A$5:$Y$1204,11,0),0))</f>
        <v/>
      </c>
      <c r="S2018" s="26">
        <f>IF($D2018="","",ROUND(N($J2018)*N($R2018),0))</f>
        <v/>
      </c>
      <c r="T2018" s="26">
        <f>IF($D2018="","",IF($K2018&lt;&gt;"对外销售","",ROUND($Q2018-$S2018,0)))</f>
        <v/>
      </c>
      <c r="U2018" s="17" t="n"/>
      <c r="V2018" s="17" t="n"/>
      <c r="W2018" s="24">
        <f>IF($D2018="","",IF($E2018="※编码不在物料档案里","※物料编码不在档案里",IF(N($J2018)&lt;=0,"※出库数量要大于 0",IF($K2018="","※没填去向类型",IF($L2018="","※没填去向矿区",IF(AND($C2018&lt;&gt;"",$C2018&lt;=结账锁),"※日期早于已结账截止日，不能再录",IF(AND($K2018="自用消耗",COUNTIF({"一矿区";"二矿区"},$L2018)=0),"※自用消耗的去向只能是一矿区或二矿区",IF(AND($K2018="对外销售",COUNTIF({"三矿区";"六矿区"},$L2018)=0),"※对外销售的去向只能是三矿区或六矿区",IF(AND($K2018="对外销售",ROUND($Q2018,0)=0),"※外销却没有售价，请填实际售价",IF(AND($K2018="对外销售",$T2018&lt;&gt;"",$T2018&lt;0),"※这一笔外销是亏的，请核对售价",IF(IFERROR(VLOOKUP($D2018,库存台账!$A$5:$Y$1204,24,0),0)&lt;-0.001,"※这个物料账面已经变成负数了，查一下是不是漏记入库","")))))))))))</f>
        <v/>
      </c>
    </row>
    <row r="2019">
      <c r="A2019" s="24">
        <f>IF($D2019="","",COUNTA($D$4:$D2019))</f>
        <v/>
      </c>
      <c r="B2019" s="17" t="n"/>
      <c r="C2019" s="30" t="n"/>
      <c r="D2019" s="17" t="n"/>
      <c r="E2019" s="24">
        <f>IF($D2019="","",IFERROR(VLOOKUP($D2019,物料档案!$A$4:$P$1203,3,0),"※编码不在物料档案里"))</f>
        <v/>
      </c>
      <c r="F2019" s="24">
        <f>IF($D2019="","",IFERROR(VLOOKUP($D2019,物料档案!$A$4:$P$1203,4,0),"※编码不在物料档案里"))</f>
        <v/>
      </c>
      <c r="G2019" s="24">
        <f>IF($D2019="","",IFERROR(VLOOKUP($D2019,物料档案!$A$4:$P$1203,5,0),"※编码不在物料档案里"))</f>
        <v/>
      </c>
      <c r="H2019" s="24">
        <f>IF($D2019="","",IFERROR(VLOOKUP($D2019,物料档案!$A$4:$P$1203,2,0),"※编码不在物料档案里"))</f>
        <v/>
      </c>
      <c r="I2019" s="24">
        <f>IF($D2019="","",IFERROR(VLOOKUP($D2019,物料档案!$A$4:$P$1203,6,0),"※编码不在物料档案里"))</f>
        <v/>
      </c>
      <c r="J2019" s="23" t="n"/>
      <c r="K2019" s="17" t="n"/>
      <c r="L2019" s="17" t="n"/>
      <c r="M2019" s="17" t="n"/>
      <c r="N2019" s="17" t="n"/>
      <c r="O2019" s="26">
        <f>IF($D2019="","",IFERROR(VLOOKUP($D2019,物料档案!$A$4:$P$1203,10,0),0))</f>
        <v/>
      </c>
      <c r="P2019" s="32" t="n"/>
      <c r="Q2019" s="26">
        <f>IF($D2019="","",IF($K2019&lt;&gt;"对外销售",0,ROUND(N($J2019)*IF($P2019="",N($O2019),N($P2019)),0)))</f>
        <v/>
      </c>
      <c r="R2019" s="26">
        <f>IF($D2019="","",IFERROR(VLOOKUP($D2019,库存台账!$A$5:$Y$1204,11,0),0))</f>
        <v/>
      </c>
      <c r="S2019" s="26">
        <f>IF($D2019="","",ROUND(N($J2019)*N($R2019),0))</f>
        <v/>
      </c>
      <c r="T2019" s="26">
        <f>IF($D2019="","",IF($K2019&lt;&gt;"对外销售","",ROUND($Q2019-$S2019,0)))</f>
        <v/>
      </c>
      <c r="U2019" s="17" t="n"/>
      <c r="V2019" s="17" t="n"/>
      <c r="W2019" s="24">
        <f>IF($D2019="","",IF($E2019="※编码不在物料档案里","※物料编码不在档案里",IF(N($J2019)&lt;=0,"※出库数量要大于 0",IF($K2019="","※没填去向类型",IF($L2019="","※没填去向矿区",IF(AND($C2019&lt;&gt;"",$C2019&lt;=结账锁),"※日期早于已结账截止日，不能再录",IF(AND($K2019="自用消耗",COUNTIF({"一矿区";"二矿区"},$L2019)=0),"※自用消耗的去向只能是一矿区或二矿区",IF(AND($K2019="对外销售",COUNTIF({"三矿区";"六矿区"},$L2019)=0),"※对外销售的去向只能是三矿区或六矿区",IF(AND($K2019="对外销售",ROUND($Q2019,0)=0),"※外销却没有售价，请填实际售价",IF(AND($K2019="对外销售",$T2019&lt;&gt;"",$T2019&lt;0),"※这一笔外销是亏的，请核对售价",IF(IFERROR(VLOOKUP($D2019,库存台账!$A$5:$Y$1204,24,0),0)&lt;-0.001,"※这个物料账面已经变成负数了，查一下是不是漏记入库","")))))))))))</f>
        <v/>
      </c>
    </row>
    <row r="2020">
      <c r="A2020" s="24">
        <f>IF($D2020="","",COUNTA($D$4:$D2020))</f>
        <v/>
      </c>
      <c r="B2020" s="17" t="n"/>
      <c r="C2020" s="30" t="n"/>
      <c r="D2020" s="17" t="n"/>
      <c r="E2020" s="24">
        <f>IF($D2020="","",IFERROR(VLOOKUP($D2020,物料档案!$A$4:$P$1203,3,0),"※编码不在物料档案里"))</f>
        <v/>
      </c>
      <c r="F2020" s="24">
        <f>IF($D2020="","",IFERROR(VLOOKUP($D2020,物料档案!$A$4:$P$1203,4,0),"※编码不在物料档案里"))</f>
        <v/>
      </c>
      <c r="G2020" s="24">
        <f>IF($D2020="","",IFERROR(VLOOKUP($D2020,物料档案!$A$4:$P$1203,5,0),"※编码不在物料档案里"))</f>
        <v/>
      </c>
      <c r="H2020" s="24">
        <f>IF($D2020="","",IFERROR(VLOOKUP($D2020,物料档案!$A$4:$P$1203,2,0),"※编码不在物料档案里"))</f>
        <v/>
      </c>
      <c r="I2020" s="24">
        <f>IF($D2020="","",IFERROR(VLOOKUP($D2020,物料档案!$A$4:$P$1203,6,0),"※编码不在物料档案里"))</f>
        <v/>
      </c>
      <c r="J2020" s="23" t="n"/>
      <c r="K2020" s="17" t="n"/>
      <c r="L2020" s="17" t="n"/>
      <c r="M2020" s="17" t="n"/>
      <c r="N2020" s="17" t="n"/>
      <c r="O2020" s="26">
        <f>IF($D2020="","",IFERROR(VLOOKUP($D2020,物料档案!$A$4:$P$1203,10,0),0))</f>
        <v/>
      </c>
      <c r="P2020" s="32" t="n"/>
      <c r="Q2020" s="26">
        <f>IF($D2020="","",IF($K2020&lt;&gt;"对外销售",0,ROUND(N($J2020)*IF($P2020="",N($O2020),N($P2020)),0)))</f>
        <v/>
      </c>
      <c r="R2020" s="26">
        <f>IF($D2020="","",IFERROR(VLOOKUP($D2020,库存台账!$A$5:$Y$1204,11,0),0))</f>
        <v/>
      </c>
      <c r="S2020" s="26">
        <f>IF($D2020="","",ROUND(N($J2020)*N($R2020),0))</f>
        <v/>
      </c>
      <c r="T2020" s="26">
        <f>IF($D2020="","",IF($K2020&lt;&gt;"对外销售","",ROUND($Q2020-$S2020,0)))</f>
        <v/>
      </c>
      <c r="U2020" s="17" t="n"/>
      <c r="V2020" s="17" t="n"/>
      <c r="W2020" s="24">
        <f>IF($D2020="","",IF($E2020="※编码不在物料档案里","※物料编码不在档案里",IF(N($J2020)&lt;=0,"※出库数量要大于 0",IF($K2020="","※没填去向类型",IF($L2020="","※没填去向矿区",IF(AND($C2020&lt;&gt;"",$C2020&lt;=结账锁),"※日期早于已结账截止日，不能再录",IF(AND($K2020="自用消耗",COUNTIF({"一矿区";"二矿区"},$L2020)=0),"※自用消耗的去向只能是一矿区或二矿区",IF(AND($K2020="对外销售",COUNTIF({"三矿区";"六矿区"},$L2020)=0),"※对外销售的去向只能是三矿区或六矿区",IF(AND($K2020="对外销售",ROUND($Q2020,0)=0),"※外销却没有售价，请填实际售价",IF(AND($K2020="对外销售",$T2020&lt;&gt;"",$T2020&lt;0),"※这一笔外销是亏的，请核对售价",IF(IFERROR(VLOOKUP($D2020,库存台账!$A$5:$Y$1204,24,0),0)&lt;-0.001,"※这个物料账面已经变成负数了，查一下是不是漏记入库","")))))))))))</f>
        <v/>
      </c>
    </row>
    <row r="2021">
      <c r="A2021" s="24">
        <f>IF($D2021="","",COUNTA($D$4:$D2021))</f>
        <v/>
      </c>
      <c r="B2021" s="17" t="n"/>
      <c r="C2021" s="30" t="n"/>
      <c r="D2021" s="17" t="n"/>
      <c r="E2021" s="24">
        <f>IF($D2021="","",IFERROR(VLOOKUP($D2021,物料档案!$A$4:$P$1203,3,0),"※编码不在物料档案里"))</f>
        <v/>
      </c>
      <c r="F2021" s="24">
        <f>IF($D2021="","",IFERROR(VLOOKUP($D2021,物料档案!$A$4:$P$1203,4,0),"※编码不在物料档案里"))</f>
        <v/>
      </c>
      <c r="G2021" s="24">
        <f>IF($D2021="","",IFERROR(VLOOKUP($D2021,物料档案!$A$4:$P$1203,5,0),"※编码不在物料档案里"))</f>
        <v/>
      </c>
      <c r="H2021" s="24">
        <f>IF($D2021="","",IFERROR(VLOOKUP($D2021,物料档案!$A$4:$P$1203,2,0),"※编码不在物料档案里"))</f>
        <v/>
      </c>
      <c r="I2021" s="24">
        <f>IF($D2021="","",IFERROR(VLOOKUP($D2021,物料档案!$A$4:$P$1203,6,0),"※编码不在物料档案里"))</f>
        <v/>
      </c>
      <c r="J2021" s="23" t="n"/>
      <c r="K2021" s="17" t="n"/>
      <c r="L2021" s="17" t="n"/>
      <c r="M2021" s="17" t="n"/>
      <c r="N2021" s="17" t="n"/>
      <c r="O2021" s="26">
        <f>IF($D2021="","",IFERROR(VLOOKUP($D2021,物料档案!$A$4:$P$1203,10,0),0))</f>
        <v/>
      </c>
      <c r="P2021" s="32" t="n"/>
      <c r="Q2021" s="26">
        <f>IF($D2021="","",IF($K2021&lt;&gt;"对外销售",0,ROUND(N($J2021)*IF($P2021="",N($O2021),N($P2021)),0)))</f>
        <v/>
      </c>
      <c r="R2021" s="26">
        <f>IF($D2021="","",IFERROR(VLOOKUP($D2021,库存台账!$A$5:$Y$1204,11,0),0))</f>
        <v/>
      </c>
      <c r="S2021" s="26">
        <f>IF($D2021="","",ROUND(N($J2021)*N($R2021),0))</f>
        <v/>
      </c>
      <c r="T2021" s="26">
        <f>IF($D2021="","",IF($K2021&lt;&gt;"对外销售","",ROUND($Q2021-$S2021,0)))</f>
        <v/>
      </c>
      <c r="U2021" s="17" t="n"/>
      <c r="V2021" s="17" t="n"/>
      <c r="W2021" s="24">
        <f>IF($D2021="","",IF($E2021="※编码不在物料档案里","※物料编码不在档案里",IF(N($J2021)&lt;=0,"※出库数量要大于 0",IF($K2021="","※没填去向类型",IF($L2021="","※没填去向矿区",IF(AND($C2021&lt;&gt;"",$C2021&lt;=结账锁),"※日期早于已结账截止日，不能再录",IF(AND($K2021="自用消耗",COUNTIF({"一矿区";"二矿区"},$L2021)=0),"※自用消耗的去向只能是一矿区或二矿区",IF(AND($K2021="对外销售",COUNTIF({"三矿区";"六矿区"},$L2021)=0),"※对外销售的去向只能是三矿区或六矿区",IF(AND($K2021="对外销售",ROUND($Q2021,0)=0),"※外销却没有售价，请填实际售价",IF(AND($K2021="对外销售",$T2021&lt;&gt;"",$T2021&lt;0),"※这一笔外销是亏的，请核对售价",IF(IFERROR(VLOOKUP($D2021,库存台账!$A$5:$Y$1204,24,0),0)&lt;-0.001,"※这个物料账面已经变成负数了，查一下是不是漏记入库","")))))))))))</f>
        <v/>
      </c>
    </row>
    <row r="2022">
      <c r="A2022" s="24">
        <f>IF($D2022="","",COUNTA($D$4:$D2022))</f>
        <v/>
      </c>
      <c r="B2022" s="17" t="n"/>
      <c r="C2022" s="30" t="n"/>
      <c r="D2022" s="17" t="n"/>
      <c r="E2022" s="24">
        <f>IF($D2022="","",IFERROR(VLOOKUP($D2022,物料档案!$A$4:$P$1203,3,0),"※编码不在物料档案里"))</f>
        <v/>
      </c>
      <c r="F2022" s="24">
        <f>IF($D2022="","",IFERROR(VLOOKUP($D2022,物料档案!$A$4:$P$1203,4,0),"※编码不在物料档案里"))</f>
        <v/>
      </c>
      <c r="G2022" s="24">
        <f>IF($D2022="","",IFERROR(VLOOKUP($D2022,物料档案!$A$4:$P$1203,5,0),"※编码不在物料档案里"))</f>
        <v/>
      </c>
      <c r="H2022" s="24">
        <f>IF($D2022="","",IFERROR(VLOOKUP($D2022,物料档案!$A$4:$P$1203,2,0),"※编码不在物料档案里"))</f>
        <v/>
      </c>
      <c r="I2022" s="24">
        <f>IF($D2022="","",IFERROR(VLOOKUP($D2022,物料档案!$A$4:$P$1203,6,0),"※编码不在物料档案里"))</f>
        <v/>
      </c>
      <c r="J2022" s="23" t="n"/>
      <c r="K2022" s="17" t="n"/>
      <c r="L2022" s="17" t="n"/>
      <c r="M2022" s="17" t="n"/>
      <c r="N2022" s="17" t="n"/>
      <c r="O2022" s="26">
        <f>IF($D2022="","",IFERROR(VLOOKUP($D2022,物料档案!$A$4:$P$1203,10,0),0))</f>
        <v/>
      </c>
      <c r="P2022" s="32" t="n"/>
      <c r="Q2022" s="26">
        <f>IF($D2022="","",IF($K2022&lt;&gt;"对外销售",0,ROUND(N($J2022)*IF($P2022="",N($O2022),N($P2022)),0)))</f>
        <v/>
      </c>
      <c r="R2022" s="26">
        <f>IF($D2022="","",IFERROR(VLOOKUP($D2022,库存台账!$A$5:$Y$1204,11,0),0))</f>
        <v/>
      </c>
      <c r="S2022" s="26">
        <f>IF($D2022="","",ROUND(N($J2022)*N($R2022),0))</f>
        <v/>
      </c>
      <c r="T2022" s="26">
        <f>IF($D2022="","",IF($K2022&lt;&gt;"对外销售","",ROUND($Q2022-$S2022,0)))</f>
        <v/>
      </c>
      <c r="U2022" s="17" t="n"/>
      <c r="V2022" s="17" t="n"/>
      <c r="W2022" s="24">
        <f>IF($D2022="","",IF($E2022="※编码不在物料档案里","※物料编码不在档案里",IF(N($J2022)&lt;=0,"※出库数量要大于 0",IF($K2022="","※没填去向类型",IF($L2022="","※没填去向矿区",IF(AND($C2022&lt;&gt;"",$C2022&lt;=结账锁),"※日期早于已结账截止日，不能再录",IF(AND($K2022="自用消耗",COUNTIF({"一矿区";"二矿区"},$L2022)=0),"※自用消耗的去向只能是一矿区或二矿区",IF(AND($K2022="对外销售",COUNTIF({"三矿区";"六矿区"},$L2022)=0),"※对外销售的去向只能是三矿区或六矿区",IF(AND($K2022="对外销售",ROUND($Q2022,0)=0),"※外销却没有售价，请填实际售价",IF(AND($K2022="对外销售",$T2022&lt;&gt;"",$T2022&lt;0),"※这一笔外销是亏的，请核对售价",IF(IFERROR(VLOOKUP($D2022,库存台账!$A$5:$Y$1204,24,0),0)&lt;-0.001,"※这个物料账面已经变成负数了，查一下是不是漏记入库","")))))))))))</f>
        <v/>
      </c>
    </row>
    <row r="2023">
      <c r="A2023" s="24">
        <f>IF($D2023="","",COUNTA($D$4:$D2023))</f>
        <v/>
      </c>
      <c r="B2023" s="17" t="n"/>
      <c r="C2023" s="30" t="n"/>
      <c r="D2023" s="17" t="n"/>
      <c r="E2023" s="24">
        <f>IF($D2023="","",IFERROR(VLOOKUP($D2023,物料档案!$A$4:$P$1203,3,0),"※编码不在物料档案里"))</f>
        <v/>
      </c>
      <c r="F2023" s="24">
        <f>IF($D2023="","",IFERROR(VLOOKUP($D2023,物料档案!$A$4:$P$1203,4,0),"※编码不在物料档案里"))</f>
        <v/>
      </c>
      <c r="G2023" s="24">
        <f>IF($D2023="","",IFERROR(VLOOKUP($D2023,物料档案!$A$4:$P$1203,5,0),"※编码不在物料档案里"))</f>
        <v/>
      </c>
      <c r="H2023" s="24">
        <f>IF($D2023="","",IFERROR(VLOOKUP($D2023,物料档案!$A$4:$P$1203,2,0),"※编码不在物料档案里"))</f>
        <v/>
      </c>
      <c r="I2023" s="24">
        <f>IF($D2023="","",IFERROR(VLOOKUP($D2023,物料档案!$A$4:$P$1203,6,0),"※编码不在物料档案里"))</f>
        <v/>
      </c>
      <c r="J2023" s="23" t="n"/>
      <c r="K2023" s="17" t="n"/>
      <c r="L2023" s="17" t="n"/>
      <c r="M2023" s="17" t="n"/>
      <c r="N2023" s="17" t="n"/>
      <c r="O2023" s="26">
        <f>IF($D2023="","",IFERROR(VLOOKUP($D2023,物料档案!$A$4:$P$1203,10,0),0))</f>
        <v/>
      </c>
      <c r="P2023" s="32" t="n"/>
      <c r="Q2023" s="26">
        <f>IF($D2023="","",IF($K2023&lt;&gt;"对外销售",0,ROUND(N($J2023)*IF($P2023="",N($O2023),N($P2023)),0)))</f>
        <v/>
      </c>
      <c r="R2023" s="26">
        <f>IF($D2023="","",IFERROR(VLOOKUP($D2023,库存台账!$A$5:$Y$1204,11,0),0))</f>
        <v/>
      </c>
      <c r="S2023" s="26">
        <f>IF($D2023="","",ROUND(N($J2023)*N($R2023),0))</f>
        <v/>
      </c>
      <c r="T2023" s="26">
        <f>IF($D2023="","",IF($K2023&lt;&gt;"对外销售","",ROUND($Q2023-$S2023,0)))</f>
        <v/>
      </c>
      <c r="U2023" s="17" t="n"/>
      <c r="V2023" s="17" t="n"/>
      <c r="W2023" s="24">
        <f>IF($D2023="","",IF($E2023="※编码不在物料档案里","※物料编码不在档案里",IF(N($J2023)&lt;=0,"※出库数量要大于 0",IF($K2023="","※没填去向类型",IF($L2023="","※没填去向矿区",IF(AND($C2023&lt;&gt;"",$C2023&lt;=结账锁),"※日期早于已结账截止日，不能再录",IF(AND($K2023="自用消耗",COUNTIF({"一矿区";"二矿区"},$L2023)=0),"※自用消耗的去向只能是一矿区或二矿区",IF(AND($K2023="对外销售",COUNTIF({"三矿区";"六矿区"},$L2023)=0),"※对外销售的去向只能是三矿区或六矿区",IF(AND($K2023="对外销售",ROUND($Q2023,0)=0),"※外销却没有售价，请填实际售价",IF(AND($K2023="对外销售",$T2023&lt;&gt;"",$T2023&lt;0),"※这一笔外销是亏的，请核对售价",IF(IFERROR(VLOOKUP($D2023,库存台账!$A$5:$Y$1204,24,0),0)&lt;-0.001,"※这个物料账面已经变成负数了，查一下是不是漏记入库","")))))))))))</f>
        <v/>
      </c>
    </row>
    <row r="2024">
      <c r="A2024" s="24">
        <f>IF($D2024="","",COUNTA($D$4:$D2024))</f>
        <v/>
      </c>
      <c r="B2024" s="17" t="n"/>
      <c r="C2024" s="30" t="n"/>
      <c r="D2024" s="17" t="n"/>
      <c r="E2024" s="24">
        <f>IF($D2024="","",IFERROR(VLOOKUP($D2024,物料档案!$A$4:$P$1203,3,0),"※编码不在物料档案里"))</f>
        <v/>
      </c>
      <c r="F2024" s="24">
        <f>IF($D2024="","",IFERROR(VLOOKUP($D2024,物料档案!$A$4:$P$1203,4,0),"※编码不在物料档案里"))</f>
        <v/>
      </c>
      <c r="G2024" s="24">
        <f>IF($D2024="","",IFERROR(VLOOKUP($D2024,物料档案!$A$4:$P$1203,5,0),"※编码不在物料档案里"))</f>
        <v/>
      </c>
      <c r="H2024" s="24">
        <f>IF($D2024="","",IFERROR(VLOOKUP($D2024,物料档案!$A$4:$P$1203,2,0),"※编码不在物料档案里"))</f>
        <v/>
      </c>
      <c r="I2024" s="24">
        <f>IF($D2024="","",IFERROR(VLOOKUP($D2024,物料档案!$A$4:$P$1203,6,0),"※编码不在物料档案里"))</f>
        <v/>
      </c>
      <c r="J2024" s="23" t="n"/>
      <c r="K2024" s="17" t="n"/>
      <c r="L2024" s="17" t="n"/>
      <c r="M2024" s="17" t="n"/>
      <c r="N2024" s="17" t="n"/>
      <c r="O2024" s="26">
        <f>IF($D2024="","",IFERROR(VLOOKUP($D2024,物料档案!$A$4:$P$1203,10,0),0))</f>
        <v/>
      </c>
      <c r="P2024" s="32" t="n"/>
      <c r="Q2024" s="26">
        <f>IF($D2024="","",IF($K2024&lt;&gt;"对外销售",0,ROUND(N($J2024)*IF($P2024="",N($O2024),N($P2024)),0)))</f>
        <v/>
      </c>
      <c r="R2024" s="26">
        <f>IF($D2024="","",IFERROR(VLOOKUP($D2024,库存台账!$A$5:$Y$1204,11,0),0))</f>
        <v/>
      </c>
      <c r="S2024" s="26">
        <f>IF($D2024="","",ROUND(N($J2024)*N($R2024),0))</f>
        <v/>
      </c>
      <c r="T2024" s="26">
        <f>IF($D2024="","",IF($K2024&lt;&gt;"对外销售","",ROUND($Q2024-$S2024,0)))</f>
        <v/>
      </c>
      <c r="U2024" s="17" t="n"/>
      <c r="V2024" s="17" t="n"/>
      <c r="W2024" s="24">
        <f>IF($D2024="","",IF($E2024="※编码不在物料档案里","※物料编码不在档案里",IF(N($J2024)&lt;=0,"※出库数量要大于 0",IF($K2024="","※没填去向类型",IF($L2024="","※没填去向矿区",IF(AND($C2024&lt;&gt;"",$C2024&lt;=结账锁),"※日期早于已结账截止日，不能再录",IF(AND($K2024="自用消耗",COUNTIF({"一矿区";"二矿区"},$L2024)=0),"※自用消耗的去向只能是一矿区或二矿区",IF(AND($K2024="对外销售",COUNTIF({"三矿区";"六矿区"},$L2024)=0),"※对外销售的去向只能是三矿区或六矿区",IF(AND($K2024="对外销售",ROUND($Q2024,0)=0),"※外销却没有售价，请填实际售价",IF(AND($K2024="对外销售",$T2024&lt;&gt;"",$T2024&lt;0),"※这一笔外销是亏的，请核对售价",IF(IFERROR(VLOOKUP($D2024,库存台账!$A$5:$Y$1204,24,0),0)&lt;-0.001,"※这个物料账面已经变成负数了，查一下是不是漏记入库","")))))))))))</f>
        <v/>
      </c>
    </row>
    <row r="2025">
      <c r="A2025" s="24">
        <f>IF($D2025="","",COUNTA($D$4:$D2025))</f>
        <v/>
      </c>
      <c r="B2025" s="17" t="n"/>
      <c r="C2025" s="30" t="n"/>
      <c r="D2025" s="17" t="n"/>
      <c r="E2025" s="24">
        <f>IF($D2025="","",IFERROR(VLOOKUP($D2025,物料档案!$A$4:$P$1203,3,0),"※编码不在物料档案里"))</f>
        <v/>
      </c>
      <c r="F2025" s="24">
        <f>IF($D2025="","",IFERROR(VLOOKUP($D2025,物料档案!$A$4:$P$1203,4,0),"※编码不在物料档案里"))</f>
        <v/>
      </c>
      <c r="G2025" s="24">
        <f>IF($D2025="","",IFERROR(VLOOKUP($D2025,物料档案!$A$4:$P$1203,5,0),"※编码不在物料档案里"))</f>
        <v/>
      </c>
      <c r="H2025" s="24">
        <f>IF($D2025="","",IFERROR(VLOOKUP($D2025,物料档案!$A$4:$P$1203,2,0),"※编码不在物料档案里"))</f>
        <v/>
      </c>
      <c r="I2025" s="24">
        <f>IF($D2025="","",IFERROR(VLOOKUP($D2025,物料档案!$A$4:$P$1203,6,0),"※编码不在物料档案里"))</f>
        <v/>
      </c>
      <c r="J2025" s="23" t="n"/>
      <c r="K2025" s="17" t="n"/>
      <c r="L2025" s="17" t="n"/>
      <c r="M2025" s="17" t="n"/>
      <c r="N2025" s="17" t="n"/>
      <c r="O2025" s="26">
        <f>IF($D2025="","",IFERROR(VLOOKUP($D2025,物料档案!$A$4:$P$1203,10,0),0))</f>
        <v/>
      </c>
      <c r="P2025" s="32" t="n"/>
      <c r="Q2025" s="26">
        <f>IF($D2025="","",IF($K2025&lt;&gt;"对外销售",0,ROUND(N($J2025)*IF($P2025="",N($O2025),N($P2025)),0)))</f>
        <v/>
      </c>
      <c r="R2025" s="26">
        <f>IF($D2025="","",IFERROR(VLOOKUP($D2025,库存台账!$A$5:$Y$1204,11,0),0))</f>
        <v/>
      </c>
      <c r="S2025" s="26">
        <f>IF($D2025="","",ROUND(N($J2025)*N($R2025),0))</f>
        <v/>
      </c>
      <c r="T2025" s="26">
        <f>IF($D2025="","",IF($K2025&lt;&gt;"对外销售","",ROUND($Q2025-$S2025,0)))</f>
        <v/>
      </c>
      <c r="U2025" s="17" t="n"/>
      <c r="V2025" s="17" t="n"/>
      <c r="W2025" s="24">
        <f>IF($D2025="","",IF($E2025="※编码不在物料档案里","※物料编码不在档案里",IF(N($J2025)&lt;=0,"※出库数量要大于 0",IF($K2025="","※没填去向类型",IF($L2025="","※没填去向矿区",IF(AND($C2025&lt;&gt;"",$C2025&lt;=结账锁),"※日期早于已结账截止日，不能再录",IF(AND($K2025="自用消耗",COUNTIF({"一矿区";"二矿区"},$L2025)=0),"※自用消耗的去向只能是一矿区或二矿区",IF(AND($K2025="对外销售",COUNTIF({"三矿区";"六矿区"},$L2025)=0),"※对外销售的去向只能是三矿区或六矿区",IF(AND($K2025="对外销售",ROUND($Q2025,0)=0),"※外销却没有售价，请填实际售价",IF(AND($K2025="对外销售",$T2025&lt;&gt;"",$T2025&lt;0),"※这一笔外销是亏的，请核对售价",IF(IFERROR(VLOOKUP($D2025,库存台账!$A$5:$Y$1204,24,0),0)&lt;-0.001,"※这个物料账面已经变成负数了，查一下是不是漏记入库","")))))))))))</f>
        <v/>
      </c>
    </row>
    <row r="2026">
      <c r="A2026" s="24">
        <f>IF($D2026="","",COUNTA($D$4:$D2026))</f>
        <v/>
      </c>
      <c r="B2026" s="17" t="n"/>
      <c r="C2026" s="30" t="n"/>
      <c r="D2026" s="17" t="n"/>
      <c r="E2026" s="24">
        <f>IF($D2026="","",IFERROR(VLOOKUP($D2026,物料档案!$A$4:$P$1203,3,0),"※编码不在物料档案里"))</f>
        <v/>
      </c>
      <c r="F2026" s="24">
        <f>IF($D2026="","",IFERROR(VLOOKUP($D2026,物料档案!$A$4:$P$1203,4,0),"※编码不在物料档案里"))</f>
        <v/>
      </c>
      <c r="G2026" s="24">
        <f>IF($D2026="","",IFERROR(VLOOKUP($D2026,物料档案!$A$4:$P$1203,5,0),"※编码不在物料档案里"))</f>
        <v/>
      </c>
      <c r="H2026" s="24">
        <f>IF($D2026="","",IFERROR(VLOOKUP($D2026,物料档案!$A$4:$P$1203,2,0),"※编码不在物料档案里"))</f>
        <v/>
      </c>
      <c r="I2026" s="24">
        <f>IF($D2026="","",IFERROR(VLOOKUP($D2026,物料档案!$A$4:$P$1203,6,0),"※编码不在物料档案里"))</f>
        <v/>
      </c>
      <c r="J2026" s="23" t="n"/>
      <c r="K2026" s="17" t="n"/>
      <c r="L2026" s="17" t="n"/>
      <c r="M2026" s="17" t="n"/>
      <c r="N2026" s="17" t="n"/>
      <c r="O2026" s="26">
        <f>IF($D2026="","",IFERROR(VLOOKUP($D2026,物料档案!$A$4:$P$1203,10,0),0))</f>
        <v/>
      </c>
      <c r="P2026" s="32" t="n"/>
      <c r="Q2026" s="26">
        <f>IF($D2026="","",IF($K2026&lt;&gt;"对外销售",0,ROUND(N($J2026)*IF($P2026="",N($O2026),N($P2026)),0)))</f>
        <v/>
      </c>
      <c r="R2026" s="26">
        <f>IF($D2026="","",IFERROR(VLOOKUP($D2026,库存台账!$A$5:$Y$1204,11,0),0))</f>
        <v/>
      </c>
      <c r="S2026" s="26">
        <f>IF($D2026="","",ROUND(N($J2026)*N($R2026),0))</f>
        <v/>
      </c>
      <c r="T2026" s="26">
        <f>IF($D2026="","",IF($K2026&lt;&gt;"对外销售","",ROUND($Q2026-$S2026,0)))</f>
        <v/>
      </c>
      <c r="U2026" s="17" t="n"/>
      <c r="V2026" s="17" t="n"/>
      <c r="W2026" s="24">
        <f>IF($D2026="","",IF($E2026="※编码不在物料档案里","※物料编码不在档案里",IF(N($J2026)&lt;=0,"※出库数量要大于 0",IF($K2026="","※没填去向类型",IF($L2026="","※没填去向矿区",IF(AND($C2026&lt;&gt;"",$C2026&lt;=结账锁),"※日期早于已结账截止日，不能再录",IF(AND($K2026="自用消耗",COUNTIF({"一矿区";"二矿区"},$L2026)=0),"※自用消耗的去向只能是一矿区或二矿区",IF(AND($K2026="对外销售",COUNTIF({"三矿区";"六矿区"},$L2026)=0),"※对外销售的去向只能是三矿区或六矿区",IF(AND($K2026="对外销售",ROUND($Q2026,0)=0),"※外销却没有售价，请填实际售价",IF(AND($K2026="对外销售",$T2026&lt;&gt;"",$T2026&lt;0),"※这一笔外销是亏的，请核对售价",IF(IFERROR(VLOOKUP($D2026,库存台账!$A$5:$Y$1204,24,0),0)&lt;-0.001,"※这个物料账面已经变成负数了，查一下是不是漏记入库","")))))))))))</f>
        <v/>
      </c>
    </row>
    <row r="2027">
      <c r="A2027" s="24">
        <f>IF($D2027="","",COUNTA($D$4:$D2027))</f>
        <v/>
      </c>
      <c r="B2027" s="17" t="n"/>
      <c r="C2027" s="30" t="n"/>
      <c r="D2027" s="17" t="n"/>
      <c r="E2027" s="24">
        <f>IF($D2027="","",IFERROR(VLOOKUP($D2027,物料档案!$A$4:$P$1203,3,0),"※编码不在物料档案里"))</f>
        <v/>
      </c>
      <c r="F2027" s="24">
        <f>IF($D2027="","",IFERROR(VLOOKUP($D2027,物料档案!$A$4:$P$1203,4,0),"※编码不在物料档案里"))</f>
        <v/>
      </c>
      <c r="G2027" s="24">
        <f>IF($D2027="","",IFERROR(VLOOKUP($D2027,物料档案!$A$4:$P$1203,5,0),"※编码不在物料档案里"))</f>
        <v/>
      </c>
      <c r="H2027" s="24">
        <f>IF($D2027="","",IFERROR(VLOOKUP($D2027,物料档案!$A$4:$P$1203,2,0),"※编码不在物料档案里"))</f>
        <v/>
      </c>
      <c r="I2027" s="24">
        <f>IF($D2027="","",IFERROR(VLOOKUP($D2027,物料档案!$A$4:$P$1203,6,0),"※编码不在物料档案里"))</f>
        <v/>
      </c>
      <c r="J2027" s="23" t="n"/>
      <c r="K2027" s="17" t="n"/>
      <c r="L2027" s="17" t="n"/>
      <c r="M2027" s="17" t="n"/>
      <c r="N2027" s="17" t="n"/>
      <c r="O2027" s="26">
        <f>IF($D2027="","",IFERROR(VLOOKUP($D2027,物料档案!$A$4:$P$1203,10,0),0))</f>
        <v/>
      </c>
      <c r="P2027" s="32" t="n"/>
      <c r="Q2027" s="26">
        <f>IF($D2027="","",IF($K2027&lt;&gt;"对外销售",0,ROUND(N($J2027)*IF($P2027="",N($O2027),N($P2027)),0)))</f>
        <v/>
      </c>
      <c r="R2027" s="26">
        <f>IF($D2027="","",IFERROR(VLOOKUP($D2027,库存台账!$A$5:$Y$1204,11,0),0))</f>
        <v/>
      </c>
      <c r="S2027" s="26">
        <f>IF($D2027="","",ROUND(N($J2027)*N($R2027),0))</f>
        <v/>
      </c>
      <c r="T2027" s="26">
        <f>IF($D2027="","",IF($K2027&lt;&gt;"对外销售","",ROUND($Q2027-$S2027,0)))</f>
        <v/>
      </c>
      <c r="U2027" s="17" t="n"/>
      <c r="V2027" s="17" t="n"/>
      <c r="W2027" s="24">
        <f>IF($D2027="","",IF($E2027="※编码不在物料档案里","※物料编码不在档案里",IF(N($J2027)&lt;=0,"※出库数量要大于 0",IF($K2027="","※没填去向类型",IF($L2027="","※没填去向矿区",IF(AND($C2027&lt;&gt;"",$C2027&lt;=结账锁),"※日期早于已结账截止日，不能再录",IF(AND($K2027="自用消耗",COUNTIF({"一矿区";"二矿区"},$L2027)=0),"※自用消耗的去向只能是一矿区或二矿区",IF(AND($K2027="对外销售",COUNTIF({"三矿区";"六矿区"},$L2027)=0),"※对外销售的去向只能是三矿区或六矿区",IF(AND($K2027="对外销售",ROUND($Q2027,0)=0),"※外销却没有售价，请填实际售价",IF(AND($K2027="对外销售",$T2027&lt;&gt;"",$T2027&lt;0),"※这一笔外销是亏的，请核对售价",IF(IFERROR(VLOOKUP($D2027,库存台账!$A$5:$Y$1204,24,0),0)&lt;-0.001,"※这个物料账面已经变成负数了，查一下是不是漏记入库","")))))))))))</f>
        <v/>
      </c>
    </row>
    <row r="2028">
      <c r="A2028" s="24">
        <f>IF($D2028="","",COUNTA($D$4:$D2028))</f>
        <v/>
      </c>
      <c r="B2028" s="17" t="n"/>
      <c r="C2028" s="30" t="n"/>
      <c r="D2028" s="17" t="n"/>
      <c r="E2028" s="24">
        <f>IF($D2028="","",IFERROR(VLOOKUP($D2028,物料档案!$A$4:$P$1203,3,0),"※编码不在物料档案里"))</f>
        <v/>
      </c>
      <c r="F2028" s="24">
        <f>IF($D2028="","",IFERROR(VLOOKUP($D2028,物料档案!$A$4:$P$1203,4,0),"※编码不在物料档案里"))</f>
        <v/>
      </c>
      <c r="G2028" s="24">
        <f>IF($D2028="","",IFERROR(VLOOKUP($D2028,物料档案!$A$4:$P$1203,5,0),"※编码不在物料档案里"))</f>
        <v/>
      </c>
      <c r="H2028" s="24">
        <f>IF($D2028="","",IFERROR(VLOOKUP($D2028,物料档案!$A$4:$P$1203,2,0),"※编码不在物料档案里"))</f>
        <v/>
      </c>
      <c r="I2028" s="24">
        <f>IF($D2028="","",IFERROR(VLOOKUP($D2028,物料档案!$A$4:$P$1203,6,0),"※编码不在物料档案里"))</f>
        <v/>
      </c>
      <c r="J2028" s="23" t="n"/>
      <c r="K2028" s="17" t="n"/>
      <c r="L2028" s="17" t="n"/>
      <c r="M2028" s="17" t="n"/>
      <c r="N2028" s="17" t="n"/>
      <c r="O2028" s="26">
        <f>IF($D2028="","",IFERROR(VLOOKUP($D2028,物料档案!$A$4:$P$1203,10,0),0))</f>
        <v/>
      </c>
      <c r="P2028" s="32" t="n"/>
      <c r="Q2028" s="26">
        <f>IF($D2028="","",IF($K2028&lt;&gt;"对外销售",0,ROUND(N($J2028)*IF($P2028="",N($O2028),N($P2028)),0)))</f>
        <v/>
      </c>
      <c r="R2028" s="26">
        <f>IF($D2028="","",IFERROR(VLOOKUP($D2028,库存台账!$A$5:$Y$1204,11,0),0))</f>
        <v/>
      </c>
      <c r="S2028" s="26">
        <f>IF($D2028="","",ROUND(N($J2028)*N($R2028),0))</f>
        <v/>
      </c>
      <c r="T2028" s="26">
        <f>IF($D2028="","",IF($K2028&lt;&gt;"对外销售","",ROUND($Q2028-$S2028,0)))</f>
        <v/>
      </c>
      <c r="U2028" s="17" t="n"/>
      <c r="V2028" s="17" t="n"/>
      <c r="W2028" s="24">
        <f>IF($D2028="","",IF($E2028="※编码不在物料档案里","※物料编码不在档案里",IF(N($J2028)&lt;=0,"※出库数量要大于 0",IF($K2028="","※没填去向类型",IF($L2028="","※没填去向矿区",IF(AND($C2028&lt;&gt;"",$C2028&lt;=结账锁),"※日期早于已结账截止日，不能再录",IF(AND($K2028="自用消耗",COUNTIF({"一矿区";"二矿区"},$L2028)=0),"※自用消耗的去向只能是一矿区或二矿区",IF(AND($K2028="对外销售",COUNTIF({"三矿区";"六矿区"},$L2028)=0),"※对外销售的去向只能是三矿区或六矿区",IF(AND($K2028="对外销售",ROUND($Q2028,0)=0),"※外销却没有售价，请填实际售价",IF(AND($K2028="对外销售",$T2028&lt;&gt;"",$T2028&lt;0),"※这一笔外销是亏的，请核对售价",IF(IFERROR(VLOOKUP($D2028,库存台账!$A$5:$Y$1204,24,0),0)&lt;-0.001,"※这个物料账面已经变成负数了，查一下是不是漏记入库","")))))))))))</f>
        <v/>
      </c>
    </row>
    <row r="2029">
      <c r="A2029" s="24">
        <f>IF($D2029="","",COUNTA($D$4:$D2029))</f>
        <v/>
      </c>
      <c r="B2029" s="17" t="n"/>
      <c r="C2029" s="30" t="n"/>
      <c r="D2029" s="17" t="n"/>
      <c r="E2029" s="24">
        <f>IF($D2029="","",IFERROR(VLOOKUP($D2029,物料档案!$A$4:$P$1203,3,0),"※编码不在物料档案里"))</f>
        <v/>
      </c>
      <c r="F2029" s="24">
        <f>IF($D2029="","",IFERROR(VLOOKUP($D2029,物料档案!$A$4:$P$1203,4,0),"※编码不在物料档案里"))</f>
        <v/>
      </c>
      <c r="G2029" s="24">
        <f>IF($D2029="","",IFERROR(VLOOKUP($D2029,物料档案!$A$4:$P$1203,5,0),"※编码不在物料档案里"))</f>
        <v/>
      </c>
      <c r="H2029" s="24">
        <f>IF($D2029="","",IFERROR(VLOOKUP($D2029,物料档案!$A$4:$P$1203,2,0),"※编码不在物料档案里"))</f>
        <v/>
      </c>
      <c r="I2029" s="24">
        <f>IF($D2029="","",IFERROR(VLOOKUP($D2029,物料档案!$A$4:$P$1203,6,0),"※编码不在物料档案里"))</f>
        <v/>
      </c>
      <c r="J2029" s="23" t="n"/>
      <c r="K2029" s="17" t="n"/>
      <c r="L2029" s="17" t="n"/>
      <c r="M2029" s="17" t="n"/>
      <c r="N2029" s="17" t="n"/>
      <c r="O2029" s="26">
        <f>IF($D2029="","",IFERROR(VLOOKUP($D2029,物料档案!$A$4:$P$1203,10,0),0))</f>
        <v/>
      </c>
      <c r="P2029" s="32" t="n"/>
      <c r="Q2029" s="26">
        <f>IF($D2029="","",IF($K2029&lt;&gt;"对外销售",0,ROUND(N($J2029)*IF($P2029="",N($O2029),N($P2029)),0)))</f>
        <v/>
      </c>
      <c r="R2029" s="26">
        <f>IF($D2029="","",IFERROR(VLOOKUP($D2029,库存台账!$A$5:$Y$1204,11,0),0))</f>
        <v/>
      </c>
      <c r="S2029" s="26">
        <f>IF($D2029="","",ROUND(N($J2029)*N($R2029),0))</f>
        <v/>
      </c>
      <c r="T2029" s="26">
        <f>IF($D2029="","",IF($K2029&lt;&gt;"对外销售","",ROUND($Q2029-$S2029,0)))</f>
        <v/>
      </c>
      <c r="U2029" s="17" t="n"/>
      <c r="V2029" s="17" t="n"/>
      <c r="W2029" s="24">
        <f>IF($D2029="","",IF($E2029="※编码不在物料档案里","※物料编码不在档案里",IF(N($J2029)&lt;=0,"※出库数量要大于 0",IF($K2029="","※没填去向类型",IF($L2029="","※没填去向矿区",IF(AND($C2029&lt;&gt;"",$C2029&lt;=结账锁),"※日期早于已结账截止日，不能再录",IF(AND($K2029="自用消耗",COUNTIF({"一矿区";"二矿区"},$L2029)=0),"※自用消耗的去向只能是一矿区或二矿区",IF(AND($K2029="对外销售",COUNTIF({"三矿区";"六矿区"},$L2029)=0),"※对外销售的去向只能是三矿区或六矿区",IF(AND($K2029="对外销售",ROUND($Q2029,0)=0),"※外销却没有售价，请填实际售价",IF(AND($K2029="对外销售",$T2029&lt;&gt;"",$T2029&lt;0),"※这一笔外销是亏的，请核对售价",IF(IFERROR(VLOOKUP($D2029,库存台账!$A$5:$Y$1204,24,0),0)&lt;-0.001,"※这个物料账面已经变成负数了，查一下是不是漏记入库","")))))))))))</f>
        <v/>
      </c>
    </row>
    <row r="2030">
      <c r="A2030" s="24">
        <f>IF($D2030="","",COUNTA($D$4:$D2030))</f>
        <v/>
      </c>
      <c r="B2030" s="17" t="n"/>
      <c r="C2030" s="30" t="n"/>
      <c r="D2030" s="17" t="n"/>
      <c r="E2030" s="24">
        <f>IF($D2030="","",IFERROR(VLOOKUP($D2030,物料档案!$A$4:$P$1203,3,0),"※编码不在物料档案里"))</f>
        <v/>
      </c>
      <c r="F2030" s="24">
        <f>IF($D2030="","",IFERROR(VLOOKUP($D2030,物料档案!$A$4:$P$1203,4,0),"※编码不在物料档案里"))</f>
        <v/>
      </c>
      <c r="G2030" s="24">
        <f>IF($D2030="","",IFERROR(VLOOKUP($D2030,物料档案!$A$4:$P$1203,5,0),"※编码不在物料档案里"))</f>
        <v/>
      </c>
      <c r="H2030" s="24">
        <f>IF($D2030="","",IFERROR(VLOOKUP($D2030,物料档案!$A$4:$P$1203,2,0),"※编码不在物料档案里"))</f>
        <v/>
      </c>
      <c r="I2030" s="24">
        <f>IF($D2030="","",IFERROR(VLOOKUP($D2030,物料档案!$A$4:$P$1203,6,0),"※编码不在物料档案里"))</f>
        <v/>
      </c>
      <c r="J2030" s="23" t="n"/>
      <c r="K2030" s="17" t="n"/>
      <c r="L2030" s="17" t="n"/>
      <c r="M2030" s="17" t="n"/>
      <c r="N2030" s="17" t="n"/>
      <c r="O2030" s="26">
        <f>IF($D2030="","",IFERROR(VLOOKUP($D2030,物料档案!$A$4:$P$1203,10,0),0))</f>
        <v/>
      </c>
      <c r="P2030" s="32" t="n"/>
      <c r="Q2030" s="26">
        <f>IF($D2030="","",IF($K2030&lt;&gt;"对外销售",0,ROUND(N($J2030)*IF($P2030="",N($O2030),N($P2030)),0)))</f>
        <v/>
      </c>
      <c r="R2030" s="26">
        <f>IF($D2030="","",IFERROR(VLOOKUP($D2030,库存台账!$A$5:$Y$1204,11,0),0))</f>
        <v/>
      </c>
      <c r="S2030" s="26">
        <f>IF($D2030="","",ROUND(N($J2030)*N($R2030),0))</f>
        <v/>
      </c>
      <c r="T2030" s="26">
        <f>IF($D2030="","",IF($K2030&lt;&gt;"对外销售","",ROUND($Q2030-$S2030,0)))</f>
        <v/>
      </c>
      <c r="U2030" s="17" t="n"/>
      <c r="V2030" s="17" t="n"/>
      <c r="W2030" s="24">
        <f>IF($D2030="","",IF($E2030="※编码不在物料档案里","※物料编码不在档案里",IF(N($J2030)&lt;=0,"※出库数量要大于 0",IF($K2030="","※没填去向类型",IF($L2030="","※没填去向矿区",IF(AND($C2030&lt;&gt;"",$C2030&lt;=结账锁),"※日期早于已结账截止日，不能再录",IF(AND($K2030="自用消耗",COUNTIF({"一矿区";"二矿区"},$L2030)=0),"※自用消耗的去向只能是一矿区或二矿区",IF(AND($K2030="对外销售",COUNTIF({"三矿区";"六矿区"},$L2030)=0),"※对外销售的去向只能是三矿区或六矿区",IF(AND($K2030="对外销售",ROUND($Q2030,0)=0),"※外销却没有售价，请填实际售价",IF(AND($K2030="对外销售",$T2030&lt;&gt;"",$T2030&lt;0),"※这一笔外销是亏的，请核对售价",IF(IFERROR(VLOOKUP($D2030,库存台账!$A$5:$Y$1204,24,0),0)&lt;-0.001,"※这个物料账面已经变成负数了，查一下是不是漏记入库","")))))))))))</f>
        <v/>
      </c>
    </row>
    <row r="2031">
      <c r="A2031" s="24">
        <f>IF($D2031="","",COUNTA($D$4:$D2031))</f>
        <v/>
      </c>
      <c r="B2031" s="17" t="n"/>
      <c r="C2031" s="30" t="n"/>
      <c r="D2031" s="17" t="n"/>
      <c r="E2031" s="24">
        <f>IF($D2031="","",IFERROR(VLOOKUP($D2031,物料档案!$A$4:$P$1203,3,0),"※编码不在物料档案里"))</f>
        <v/>
      </c>
      <c r="F2031" s="24">
        <f>IF($D2031="","",IFERROR(VLOOKUP($D2031,物料档案!$A$4:$P$1203,4,0),"※编码不在物料档案里"))</f>
        <v/>
      </c>
      <c r="G2031" s="24">
        <f>IF($D2031="","",IFERROR(VLOOKUP($D2031,物料档案!$A$4:$P$1203,5,0),"※编码不在物料档案里"))</f>
        <v/>
      </c>
      <c r="H2031" s="24">
        <f>IF($D2031="","",IFERROR(VLOOKUP($D2031,物料档案!$A$4:$P$1203,2,0),"※编码不在物料档案里"))</f>
        <v/>
      </c>
      <c r="I2031" s="24">
        <f>IF($D2031="","",IFERROR(VLOOKUP($D2031,物料档案!$A$4:$P$1203,6,0),"※编码不在物料档案里"))</f>
        <v/>
      </c>
      <c r="J2031" s="23" t="n"/>
      <c r="K2031" s="17" t="n"/>
      <c r="L2031" s="17" t="n"/>
      <c r="M2031" s="17" t="n"/>
      <c r="N2031" s="17" t="n"/>
      <c r="O2031" s="26">
        <f>IF($D2031="","",IFERROR(VLOOKUP($D2031,物料档案!$A$4:$P$1203,10,0),0))</f>
        <v/>
      </c>
      <c r="P2031" s="32" t="n"/>
      <c r="Q2031" s="26">
        <f>IF($D2031="","",IF($K2031&lt;&gt;"对外销售",0,ROUND(N($J2031)*IF($P2031="",N($O2031),N($P2031)),0)))</f>
        <v/>
      </c>
      <c r="R2031" s="26">
        <f>IF($D2031="","",IFERROR(VLOOKUP($D2031,库存台账!$A$5:$Y$1204,11,0),0))</f>
        <v/>
      </c>
      <c r="S2031" s="26">
        <f>IF($D2031="","",ROUND(N($J2031)*N($R2031),0))</f>
        <v/>
      </c>
      <c r="T2031" s="26">
        <f>IF($D2031="","",IF($K2031&lt;&gt;"对外销售","",ROUND($Q2031-$S2031,0)))</f>
        <v/>
      </c>
      <c r="U2031" s="17" t="n"/>
      <c r="V2031" s="17" t="n"/>
      <c r="W2031" s="24">
        <f>IF($D2031="","",IF($E2031="※编码不在物料档案里","※物料编码不在档案里",IF(N($J2031)&lt;=0,"※出库数量要大于 0",IF($K2031="","※没填去向类型",IF($L2031="","※没填去向矿区",IF(AND($C2031&lt;&gt;"",$C2031&lt;=结账锁),"※日期早于已结账截止日，不能再录",IF(AND($K2031="自用消耗",COUNTIF({"一矿区";"二矿区"},$L2031)=0),"※自用消耗的去向只能是一矿区或二矿区",IF(AND($K2031="对外销售",COUNTIF({"三矿区";"六矿区"},$L2031)=0),"※对外销售的去向只能是三矿区或六矿区",IF(AND($K2031="对外销售",ROUND($Q2031,0)=0),"※外销却没有售价，请填实际售价",IF(AND($K2031="对外销售",$T2031&lt;&gt;"",$T2031&lt;0),"※这一笔外销是亏的，请核对售价",IF(IFERROR(VLOOKUP($D2031,库存台账!$A$5:$Y$1204,24,0),0)&lt;-0.001,"※这个物料账面已经变成负数了，查一下是不是漏记入库","")))))))))))</f>
        <v/>
      </c>
    </row>
    <row r="2032">
      <c r="A2032" s="24">
        <f>IF($D2032="","",COUNTA($D$4:$D2032))</f>
        <v/>
      </c>
      <c r="B2032" s="17" t="n"/>
      <c r="C2032" s="30" t="n"/>
      <c r="D2032" s="17" t="n"/>
      <c r="E2032" s="24">
        <f>IF($D2032="","",IFERROR(VLOOKUP($D2032,物料档案!$A$4:$P$1203,3,0),"※编码不在物料档案里"))</f>
        <v/>
      </c>
      <c r="F2032" s="24">
        <f>IF($D2032="","",IFERROR(VLOOKUP($D2032,物料档案!$A$4:$P$1203,4,0),"※编码不在物料档案里"))</f>
        <v/>
      </c>
      <c r="G2032" s="24">
        <f>IF($D2032="","",IFERROR(VLOOKUP($D2032,物料档案!$A$4:$P$1203,5,0),"※编码不在物料档案里"))</f>
        <v/>
      </c>
      <c r="H2032" s="24">
        <f>IF($D2032="","",IFERROR(VLOOKUP($D2032,物料档案!$A$4:$P$1203,2,0),"※编码不在物料档案里"))</f>
        <v/>
      </c>
      <c r="I2032" s="24">
        <f>IF($D2032="","",IFERROR(VLOOKUP($D2032,物料档案!$A$4:$P$1203,6,0),"※编码不在物料档案里"))</f>
        <v/>
      </c>
      <c r="J2032" s="23" t="n"/>
      <c r="K2032" s="17" t="n"/>
      <c r="L2032" s="17" t="n"/>
      <c r="M2032" s="17" t="n"/>
      <c r="N2032" s="17" t="n"/>
      <c r="O2032" s="26">
        <f>IF($D2032="","",IFERROR(VLOOKUP($D2032,物料档案!$A$4:$P$1203,10,0),0))</f>
        <v/>
      </c>
      <c r="P2032" s="32" t="n"/>
      <c r="Q2032" s="26">
        <f>IF($D2032="","",IF($K2032&lt;&gt;"对外销售",0,ROUND(N($J2032)*IF($P2032="",N($O2032),N($P2032)),0)))</f>
        <v/>
      </c>
      <c r="R2032" s="26">
        <f>IF($D2032="","",IFERROR(VLOOKUP($D2032,库存台账!$A$5:$Y$1204,11,0),0))</f>
        <v/>
      </c>
      <c r="S2032" s="26">
        <f>IF($D2032="","",ROUND(N($J2032)*N($R2032),0))</f>
        <v/>
      </c>
      <c r="T2032" s="26">
        <f>IF($D2032="","",IF($K2032&lt;&gt;"对外销售","",ROUND($Q2032-$S2032,0)))</f>
        <v/>
      </c>
      <c r="U2032" s="17" t="n"/>
      <c r="V2032" s="17" t="n"/>
      <c r="W2032" s="24">
        <f>IF($D2032="","",IF($E2032="※编码不在物料档案里","※物料编码不在档案里",IF(N($J2032)&lt;=0,"※出库数量要大于 0",IF($K2032="","※没填去向类型",IF($L2032="","※没填去向矿区",IF(AND($C2032&lt;&gt;"",$C2032&lt;=结账锁),"※日期早于已结账截止日，不能再录",IF(AND($K2032="自用消耗",COUNTIF({"一矿区";"二矿区"},$L2032)=0),"※自用消耗的去向只能是一矿区或二矿区",IF(AND($K2032="对外销售",COUNTIF({"三矿区";"六矿区"},$L2032)=0),"※对外销售的去向只能是三矿区或六矿区",IF(AND($K2032="对外销售",ROUND($Q2032,0)=0),"※外销却没有售价，请填实际售价",IF(AND($K2032="对外销售",$T2032&lt;&gt;"",$T2032&lt;0),"※这一笔外销是亏的，请核对售价",IF(IFERROR(VLOOKUP($D2032,库存台账!$A$5:$Y$1204,24,0),0)&lt;-0.001,"※这个物料账面已经变成负数了，查一下是不是漏记入库","")))))))))))</f>
        <v/>
      </c>
    </row>
    <row r="2033">
      <c r="A2033" s="24">
        <f>IF($D2033="","",COUNTA($D$4:$D2033))</f>
        <v/>
      </c>
      <c r="B2033" s="17" t="n"/>
      <c r="C2033" s="30" t="n"/>
      <c r="D2033" s="17" t="n"/>
      <c r="E2033" s="24">
        <f>IF($D2033="","",IFERROR(VLOOKUP($D2033,物料档案!$A$4:$P$1203,3,0),"※编码不在物料档案里"))</f>
        <v/>
      </c>
      <c r="F2033" s="24">
        <f>IF($D2033="","",IFERROR(VLOOKUP($D2033,物料档案!$A$4:$P$1203,4,0),"※编码不在物料档案里"))</f>
        <v/>
      </c>
      <c r="G2033" s="24">
        <f>IF($D2033="","",IFERROR(VLOOKUP($D2033,物料档案!$A$4:$P$1203,5,0),"※编码不在物料档案里"))</f>
        <v/>
      </c>
      <c r="H2033" s="24">
        <f>IF($D2033="","",IFERROR(VLOOKUP($D2033,物料档案!$A$4:$P$1203,2,0),"※编码不在物料档案里"))</f>
        <v/>
      </c>
      <c r="I2033" s="24">
        <f>IF($D2033="","",IFERROR(VLOOKUP($D2033,物料档案!$A$4:$P$1203,6,0),"※编码不在物料档案里"))</f>
        <v/>
      </c>
      <c r="J2033" s="23" t="n"/>
      <c r="K2033" s="17" t="n"/>
      <c r="L2033" s="17" t="n"/>
      <c r="M2033" s="17" t="n"/>
      <c r="N2033" s="17" t="n"/>
      <c r="O2033" s="26">
        <f>IF($D2033="","",IFERROR(VLOOKUP($D2033,物料档案!$A$4:$P$1203,10,0),0))</f>
        <v/>
      </c>
      <c r="P2033" s="32" t="n"/>
      <c r="Q2033" s="26">
        <f>IF($D2033="","",IF($K2033&lt;&gt;"对外销售",0,ROUND(N($J2033)*IF($P2033="",N($O2033),N($P2033)),0)))</f>
        <v/>
      </c>
      <c r="R2033" s="26">
        <f>IF($D2033="","",IFERROR(VLOOKUP($D2033,库存台账!$A$5:$Y$1204,11,0),0))</f>
        <v/>
      </c>
      <c r="S2033" s="26">
        <f>IF($D2033="","",ROUND(N($J2033)*N($R2033),0))</f>
        <v/>
      </c>
      <c r="T2033" s="26">
        <f>IF($D2033="","",IF($K2033&lt;&gt;"对外销售","",ROUND($Q2033-$S2033,0)))</f>
        <v/>
      </c>
      <c r="U2033" s="17" t="n"/>
      <c r="V2033" s="17" t="n"/>
      <c r="W2033" s="24">
        <f>IF($D2033="","",IF($E2033="※编码不在物料档案里","※物料编码不在档案里",IF(N($J2033)&lt;=0,"※出库数量要大于 0",IF($K2033="","※没填去向类型",IF($L2033="","※没填去向矿区",IF(AND($C2033&lt;&gt;"",$C2033&lt;=结账锁),"※日期早于已结账截止日，不能再录",IF(AND($K2033="自用消耗",COUNTIF({"一矿区";"二矿区"},$L2033)=0),"※自用消耗的去向只能是一矿区或二矿区",IF(AND($K2033="对外销售",COUNTIF({"三矿区";"六矿区"},$L2033)=0),"※对外销售的去向只能是三矿区或六矿区",IF(AND($K2033="对外销售",ROUND($Q2033,0)=0),"※外销却没有售价，请填实际售价",IF(AND($K2033="对外销售",$T2033&lt;&gt;"",$T2033&lt;0),"※这一笔外销是亏的，请核对售价",IF(IFERROR(VLOOKUP($D2033,库存台账!$A$5:$Y$1204,24,0),0)&lt;-0.001,"※这个物料账面已经变成负数了，查一下是不是漏记入库","")))))))))))</f>
        <v/>
      </c>
    </row>
    <row r="2034">
      <c r="A2034" s="24">
        <f>IF($D2034="","",COUNTA($D$4:$D2034))</f>
        <v/>
      </c>
      <c r="B2034" s="17" t="n"/>
      <c r="C2034" s="30" t="n"/>
      <c r="D2034" s="17" t="n"/>
      <c r="E2034" s="24">
        <f>IF($D2034="","",IFERROR(VLOOKUP($D2034,物料档案!$A$4:$P$1203,3,0),"※编码不在物料档案里"))</f>
        <v/>
      </c>
      <c r="F2034" s="24">
        <f>IF($D2034="","",IFERROR(VLOOKUP($D2034,物料档案!$A$4:$P$1203,4,0),"※编码不在物料档案里"))</f>
        <v/>
      </c>
      <c r="G2034" s="24">
        <f>IF($D2034="","",IFERROR(VLOOKUP($D2034,物料档案!$A$4:$P$1203,5,0),"※编码不在物料档案里"))</f>
        <v/>
      </c>
      <c r="H2034" s="24">
        <f>IF($D2034="","",IFERROR(VLOOKUP($D2034,物料档案!$A$4:$P$1203,2,0),"※编码不在物料档案里"))</f>
        <v/>
      </c>
      <c r="I2034" s="24">
        <f>IF($D2034="","",IFERROR(VLOOKUP($D2034,物料档案!$A$4:$P$1203,6,0),"※编码不在物料档案里"))</f>
        <v/>
      </c>
      <c r="J2034" s="23" t="n"/>
      <c r="K2034" s="17" t="n"/>
      <c r="L2034" s="17" t="n"/>
      <c r="M2034" s="17" t="n"/>
      <c r="N2034" s="17" t="n"/>
      <c r="O2034" s="26">
        <f>IF($D2034="","",IFERROR(VLOOKUP($D2034,物料档案!$A$4:$P$1203,10,0),0))</f>
        <v/>
      </c>
      <c r="P2034" s="32" t="n"/>
      <c r="Q2034" s="26">
        <f>IF($D2034="","",IF($K2034&lt;&gt;"对外销售",0,ROUND(N($J2034)*IF($P2034="",N($O2034),N($P2034)),0)))</f>
        <v/>
      </c>
      <c r="R2034" s="26">
        <f>IF($D2034="","",IFERROR(VLOOKUP($D2034,库存台账!$A$5:$Y$1204,11,0),0))</f>
        <v/>
      </c>
      <c r="S2034" s="26">
        <f>IF($D2034="","",ROUND(N($J2034)*N($R2034),0))</f>
        <v/>
      </c>
      <c r="T2034" s="26">
        <f>IF($D2034="","",IF($K2034&lt;&gt;"对外销售","",ROUND($Q2034-$S2034,0)))</f>
        <v/>
      </c>
      <c r="U2034" s="17" t="n"/>
      <c r="V2034" s="17" t="n"/>
      <c r="W2034" s="24">
        <f>IF($D2034="","",IF($E2034="※编码不在物料档案里","※物料编码不在档案里",IF(N($J2034)&lt;=0,"※出库数量要大于 0",IF($K2034="","※没填去向类型",IF($L2034="","※没填去向矿区",IF(AND($C2034&lt;&gt;"",$C2034&lt;=结账锁),"※日期早于已结账截止日，不能再录",IF(AND($K2034="自用消耗",COUNTIF({"一矿区";"二矿区"},$L2034)=0),"※自用消耗的去向只能是一矿区或二矿区",IF(AND($K2034="对外销售",COUNTIF({"三矿区";"六矿区"},$L2034)=0),"※对外销售的去向只能是三矿区或六矿区",IF(AND($K2034="对外销售",ROUND($Q2034,0)=0),"※外销却没有售价，请填实际售价",IF(AND($K2034="对外销售",$T2034&lt;&gt;"",$T2034&lt;0),"※这一笔外销是亏的，请核对售价",IF(IFERROR(VLOOKUP($D2034,库存台账!$A$5:$Y$1204,24,0),0)&lt;-0.001,"※这个物料账面已经变成负数了，查一下是不是漏记入库","")))))))))))</f>
        <v/>
      </c>
    </row>
    <row r="2035">
      <c r="A2035" s="24">
        <f>IF($D2035="","",COUNTA($D$4:$D2035))</f>
        <v/>
      </c>
      <c r="B2035" s="17" t="n"/>
      <c r="C2035" s="30" t="n"/>
      <c r="D2035" s="17" t="n"/>
      <c r="E2035" s="24">
        <f>IF($D2035="","",IFERROR(VLOOKUP($D2035,物料档案!$A$4:$P$1203,3,0),"※编码不在物料档案里"))</f>
        <v/>
      </c>
      <c r="F2035" s="24">
        <f>IF($D2035="","",IFERROR(VLOOKUP($D2035,物料档案!$A$4:$P$1203,4,0),"※编码不在物料档案里"))</f>
        <v/>
      </c>
      <c r="G2035" s="24">
        <f>IF($D2035="","",IFERROR(VLOOKUP($D2035,物料档案!$A$4:$P$1203,5,0),"※编码不在物料档案里"))</f>
        <v/>
      </c>
      <c r="H2035" s="24">
        <f>IF($D2035="","",IFERROR(VLOOKUP($D2035,物料档案!$A$4:$P$1203,2,0),"※编码不在物料档案里"))</f>
        <v/>
      </c>
      <c r="I2035" s="24">
        <f>IF($D2035="","",IFERROR(VLOOKUP($D2035,物料档案!$A$4:$P$1203,6,0),"※编码不在物料档案里"))</f>
        <v/>
      </c>
      <c r="J2035" s="23" t="n"/>
      <c r="K2035" s="17" t="n"/>
      <c r="L2035" s="17" t="n"/>
      <c r="M2035" s="17" t="n"/>
      <c r="N2035" s="17" t="n"/>
      <c r="O2035" s="26">
        <f>IF($D2035="","",IFERROR(VLOOKUP($D2035,物料档案!$A$4:$P$1203,10,0),0))</f>
        <v/>
      </c>
      <c r="P2035" s="32" t="n"/>
      <c r="Q2035" s="26">
        <f>IF($D2035="","",IF($K2035&lt;&gt;"对外销售",0,ROUND(N($J2035)*IF($P2035="",N($O2035),N($P2035)),0)))</f>
        <v/>
      </c>
      <c r="R2035" s="26">
        <f>IF($D2035="","",IFERROR(VLOOKUP($D2035,库存台账!$A$5:$Y$1204,11,0),0))</f>
        <v/>
      </c>
      <c r="S2035" s="26">
        <f>IF($D2035="","",ROUND(N($J2035)*N($R2035),0))</f>
        <v/>
      </c>
      <c r="T2035" s="26">
        <f>IF($D2035="","",IF($K2035&lt;&gt;"对外销售","",ROUND($Q2035-$S2035,0)))</f>
        <v/>
      </c>
      <c r="U2035" s="17" t="n"/>
      <c r="V2035" s="17" t="n"/>
      <c r="W2035" s="24">
        <f>IF($D2035="","",IF($E2035="※编码不在物料档案里","※物料编码不在档案里",IF(N($J2035)&lt;=0,"※出库数量要大于 0",IF($K2035="","※没填去向类型",IF($L2035="","※没填去向矿区",IF(AND($C2035&lt;&gt;"",$C2035&lt;=结账锁),"※日期早于已结账截止日，不能再录",IF(AND($K2035="自用消耗",COUNTIF({"一矿区";"二矿区"},$L2035)=0),"※自用消耗的去向只能是一矿区或二矿区",IF(AND($K2035="对外销售",COUNTIF({"三矿区";"六矿区"},$L2035)=0),"※对外销售的去向只能是三矿区或六矿区",IF(AND($K2035="对外销售",ROUND($Q2035,0)=0),"※外销却没有售价，请填实际售价",IF(AND($K2035="对外销售",$T2035&lt;&gt;"",$T2035&lt;0),"※这一笔外销是亏的，请核对售价",IF(IFERROR(VLOOKUP($D2035,库存台账!$A$5:$Y$1204,24,0),0)&lt;-0.001,"※这个物料账面已经变成负数了，查一下是不是漏记入库","")))))))))))</f>
        <v/>
      </c>
    </row>
    <row r="2036">
      <c r="A2036" s="24">
        <f>IF($D2036="","",COUNTA($D$4:$D2036))</f>
        <v/>
      </c>
      <c r="B2036" s="17" t="n"/>
      <c r="C2036" s="30" t="n"/>
      <c r="D2036" s="17" t="n"/>
      <c r="E2036" s="24">
        <f>IF($D2036="","",IFERROR(VLOOKUP($D2036,物料档案!$A$4:$P$1203,3,0),"※编码不在物料档案里"))</f>
        <v/>
      </c>
      <c r="F2036" s="24">
        <f>IF($D2036="","",IFERROR(VLOOKUP($D2036,物料档案!$A$4:$P$1203,4,0),"※编码不在物料档案里"))</f>
        <v/>
      </c>
      <c r="G2036" s="24">
        <f>IF($D2036="","",IFERROR(VLOOKUP($D2036,物料档案!$A$4:$P$1203,5,0),"※编码不在物料档案里"))</f>
        <v/>
      </c>
      <c r="H2036" s="24">
        <f>IF($D2036="","",IFERROR(VLOOKUP($D2036,物料档案!$A$4:$P$1203,2,0),"※编码不在物料档案里"))</f>
        <v/>
      </c>
      <c r="I2036" s="24">
        <f>IF($D2036="","",IFERROR(VLOOKUP($D2036,物料档案!$A$4:$P$1203,6,0),"※编码不在物料档案里"))</f>
        <v/>
      </c>
      <c r="J2036" s="23" t="n"/>
      <c r="K2036" s="17" t="n"/>
      <c r="L2036" s="17" t="n"/>
      <c r="M2036" s="17" t="n"/>
      <c r="N2036" s="17" t="n"/>
      <c r="O2036" s="26">
        <f>IF($D2036="","",IFERROR(VLOOKUP($D2036,物料档案!$A$4:$P$1203,10,0),0))</f>
        <v/>
      </c>
      <c r="P2036" s="32" t="n"/>
      <c r="Q2036" s="26">
        <f>IF($D2036="","",IF($K2036&lt;&gt;"对外销售",0,ROUND(N($J2036)*IF($P2036="",N($O2036),N($P2036)),0)))</f>
        <v/>
      </c>
      <c r="R2036" s="26">
        <f>IF($D2036="","",IFERROR(VLOOKUP($D2036,库存台账!$A$5:$Y$1204,11,0),0))</f>
        <v/>
      </c>
      <c r="S2036" s="26">
        <f>IF($D2036="","",ROUND(N($J2036)*N($R2036),0))</f>
        <v/>
      </c>
      <c r="T2036" s="26">
        <f>IF($D2036="","",IF($K2036&lt;&gt;"对外销售","",ROUND($Q2036-$S2036,0)))</f>
        <v/>
      </c>
      <c r="U2036" s="17" t="n"/>
      <c r="V2036" s="17" t="n"/>
      <c r="W2036" s="24">
        <f>IF($D2036="","",IF($E2036="※编码不在物料档案里","※物料编码不在档案里",IF(N($J2036)&lt;=0,"※出库数量要大于 0",IF($K2036="","※没填去向类型",IF($L2036="","※没填去向矿区",IF(AND($C2036&lt;&gt;"",$C2036&lt;=结账锁),"※日期早于已结账截止日，不能再录",IF(AND($K2036="自用消耗",COUNTIF({"一矿区";"二矿区"},$L2036)=0),"※自用消耗的去向只能是一矿区或二矿区",IF(AND($K2036="对外销售",COUNTIF({"三矿区";"六矿区"},$L2036)=0),"※对外销售的去向只能是三矿区或六矿区",IF(AND($K2036="对外销售",ROUND($Q2036,0)=0),"※外销却没有售价，请填实际售价",IF(AND($K2036="对外销售",$T2036&lt;&gt;"",$T2036&lt;0),"※这一笔外销是亏的，请核对售价",IF(IFERROR(VLOOKUP($D2036,库存台账!$A$5:$Y$1204,24,0),0)&lt;-0.001,"※这个物料账面已经变成负数了，查一下是不是漏记入库","")))))))))))</f>
        <v/>
      </c>
    </row>
    <row r="2037">
      <c r="A2037" s="24">
        <f>IF($D2037="","",COUNTA($D$4:$D2037))</f>
        <v/>
      </c>
      <c r="B2037" s="17" t="n"/>
      <c r="C2037" s="30" t="n"/>
      <c r="D2037" s="17" t="n"/>
      <c r="E2037" s="24">
        <f>IF($D2037="","",IFERROR(VLOOKUP($D2037,物料档案!$A$4:$P$1203,3,0),"※编码不在物料档案里"))</f>
        <v/>
      </c>
      <c r="F2037" s="24">
        <f>IF($D2037="","",IFERROR(VLOOKUP($D2037,物料档案!$A$4:$P$1203,4,0),"※编码不在物料档案里"))</f>
        <v/>
      </c>
      <c r="G2037" s="24">
        <f>IF($D2037="","",IFERROR(VLOOKUP($D2037,物料档案!$A$4:$P$1203,5,0),"※编码不在物料档案里"))</f>
        <v/>
      </c>
      <c r="H2037" s="24">
        <f>IF($D2037="","",IFERROR(VLOOKUP($D2037,物料档案!$A$4:$P$1203,2,0),"※编码不在物料档案里"))</f>
        <v/>
      </c>
      <c r="I2037" s="24">
        <f>IF($D2037="","",IFERROR(VLOOKUP($D2037,物料档案!$A$4:$P$1203,6,0),"※编码不在物料档案里"))</f>
        <v/>
      </c>
      <c r="J2037" s="23" t="n"/>
      <c r="K2037" s="17" t="n"/>
      <c r="L2037" s="17" t="n"/>
      <c r="M2037" s="17" t="n"/>
      <c r="N2037" s="17" t="n"/>
      <c r="O2037" s="26">
        <f>IF($D2037="","",IFERROR(VLOOKUP($D2037,物料档案!$A$4:$P$1203,10,0),0))</f>
        <v/>
      </c>
      <c r="P2037" s="32" t="n"/>
      <c r="Q2037" s="26">
        <f>IF($D2037="","",IF($K2037&lt;&gt;"对外销售",0,ROUND(N($J2037)*IF($P2037="",N($O2037),N($P2037)),0)))</f>
        <v/>
      </c>
      <c r="R2037" s="26">
        <f>IF($D2037="","",IFERROR(VLOOKUP($D2037,库存台账!$A$5:$Y$1204,11,0),0))</f>
        <v/>
      </c>
      <c r="S2037" s="26">
        <f>IF($D2037="","",ROUND(N($J2037)*N($R2037),0))</f>
        <v/>
      </c>
      <c r="T2037" s="26">
        <f>IF($D2037="","",IF($K2037&lt;&gt;"对外销售","",ROUND($Q2037-$S2037,0)))</f>
        <v/>
      </c>
      <c r="U2037" s="17" t="n"/>
      <c r="V2037" s="17" t="n"/>
      <c r="W2037" s="24">
        <f>IF($D2037="","",IF($E2037="※编码不在物料档案里","※物料编码不在档案里",IF(N($J2037)&lt;=0,"※出库数量要大于 0",IF($K2037="","※没填去向类型",IF($L2037="","※没填去向矿区",IF(AND($C2037&lt;&gt;"",$C2037&lt;=结账锁),"※日期早于已结账截止日，不能再录",IF(AND($K2037="自用消耗",COUNTIF({"一矿区";"二矿区"},$L2037)=0),"※自用消耗的去向只能是一矿区或二矿区",IF(AND($K2037="对外销售",COUNTIF({"三矿区";"六矿区"},$L2037)=0),"※对外销售的去向只能是三矿区或六矿区",IF(AND($K2037="对外销售",ROUND($Q2037,0)=0),"※外销却没有售价，请填实际售价",IF(AND($K2037="对外销售",$T2037&lt;&gt;"",$T2037&lt;0),"※这一笔外销是亏的，请核对售价",IF(IFERROR(VLOOKUP($D2037,库存台账!$A$5:$Y$1204,24,0),0)&lt;-0.001,"※这个物料账面已经变成负数了，查一下是不是漏记入库","")))))))))))</f>
        <v/>
      </c>
    </row>
    <row r="2038">
      <c r="A2038" s="24">
        <f>IF($D2038="","",COUNTA($D$4:$D2038))</f>
        <v/>
      </c>
      <c r="B2038" s="17" t="n"/>
      <c r="C2038" s="30" t="n"/>
      <c r="D2038" s="17" t="n"/>
      <c r="E2038" s="24">
        <f>IF($D2038="","",IFERROR(VLOOKUP($D2038,物料档案!$A$4:$P$1203,3,0),"※编码不在物料档案里"))</f>
        <v/>
      </c>
      <c r="F2038" s="24">
        <f>IF($D2038="","",IFERROR(VLOOKUP($D2038,物料档案!$A$4:$P$1203,4,0),"※编码不在物料档案里"))</f>
        <v/>
      </c>
      <c r="G2038" s="24">
        <f>IF($D2038="","",IFERROR(VLOOKUP($D2038,物料档案!$A$4:$P$1203,5,0),"※编码不在物料档案里"))</f>
        <v/>
      </c>
      <c r="H2038" s="24">
        <f>IF($D2038="","",IFERROR(VLOOKUP($D2038,物料档案!$A$4:$P$1203,2,0),"※编码不在物料档案里"))</f>
        <v/>
      </c>
      <c r="I2038" s="24">
        <f>IF($D2038="","",IFERROR(VLOOKUP($D2038,物料档案!$A$4:$P$1203,6,0),"※编码不在物料档案里"))</f>
        <v/>
      </c>
      <c r="J2038" s="23" t="n"/>
      <c r="K2038" s="17" t="n"/>
      <c r="L2038" s="17" t="n"/>
      <c r="M2038" s="17" t="n"/>
      <c r="N2038" s="17" t="n"/>
      <c r="O2038" s="26">
        <f>IF($D2038="","",IFERROR(VLOOKUP($D2038,物料档案!$A$4:$P$1203,10,0),0))</f>
        <v/>
      </c>
      <c r="P2038" s="32" t="n"/>
      <c r="Q2038" s="26">
        <f>IF($D2038="","",IF($K2038&lt;&gt;"对外销售",0,ROUND(N($J2038)*IF($P2038="",N($O2038),N($P2038)),0)))</f>
        <v/>
      </c>
      <c r="R2038" s="26">
        <f>IF($D2038="","",IFERROR(VLOOKUP($D2038,库存台账!$A$5:$Y$1204,11,0),0))</f>
        <v/>
      </c>
      <c r="S2038" s="26">
        <f>IF($D2038="","",ROUND(N($J2038)*N($R2038),0))</f>
        <v/>
      </c>
      <c r="T2038" s="26">
        <f>IF($D2038="","",IF($K2038&lt;&gt;"对外销售","",ROUND($Q2038-$S2038,0)))</f>
        <v/>
      </c>
      <c r="U2038" s="17" t="n"/>
      <c r="V2038" s="17" t="n"/>
      <c r="W2038" s="24">
        <f>IF($D2038="","",IF($E2038="※编码不在物料档案里","※物料编码不在档案里",IF(N($J2038)&lt;=0,"※出库数量要大于 0",IF($K2038="","※没填去向类型",IF($L2038="","※没填去向矿区",IF(AND($C2038&lt;&gt;"",$C2038&lt;=结账锁),"※日期早于已结账截止日，不能再录",IF(AND($K2038="自用消耗",COUNTIF({"一矿区";"二矿区"},$L2038)=0),"※自用消耗的去向只能是一矿区或二矿区",IF(AND($K2038="对外销售",COUNTIF({"三矿区";"六矿区"},$L2038)=0),"※对外销售的去向只能是三矿区或六矿区",IF(AND($K2038="对外销售",ROUND($Q2038,0)=0),"※外销却没有售价，请填实际售价",IF(AND($K2038="对外销售",$T2038&lt;&gt;"",$T2038&lt;0),"※这一笔外销是亏的，请核对售价",IF(IFERROR(VLOOKUP($D2038,库存台账!$A$5:$Y$1204,24,0),0)&lt;-0.001,"※这个物料账面已经变成负数了，查一下是不是漏记入库","")))))))))))</f>
        <v/>
      </c>
    </row>
    <row r="2039">
      <c r="A2039" s="24">
        <f>IF($D2039="","",COUNTA($D$4:$D2039))</f>
        <v/>
      </c>
      <c r="B2039" s="17" t="n"/>
      <c r="C2039" s="30" t="n"/>
      <c r="D2039" s="17" t="n"/>
      <c r="E2039" s="24">
        <f>IF($D2039="","",IFERROR(VLOOKUP($D2039,物料档案!$A$4:$P$1203,3,0),"※编码不在物料档案里"))</f>
        <v/>
      </c>
      <c r="F2039" s="24">
        <f>IF($D2039="","",IFERROR(VLOOKUP($D2039,物料档案!$A$4:$P$1203,4,0),"※编码不在物料档案里"))</f>
        <v/>
      </c>
      <c r="G2039" s="24">
        <f>IF($D2039="","",IFERROR(VLOOKUP($D2039,物料档案!$A$4:$P$1203,5,0),"※编码不在物料档案里"))</f>
        <v/>
      </c>
      <c r="H2039" s="24">
        <f>IF($D2039="","",IFERROR(VLOOKUP($D2039,物料档案!$A$4:$P$1203,2,0),"※编码不在物料档案里"))</f>
        <v/>
      </c>
      <c r="I2039" s="24">
        <f>IF($D2039="","",IFERROR(VLOOKUP($D2039,物料档案!$A$4:$P$1203,6,0),"※编码不在物料档案里"))</f>
        <v/>
      </c>
      <c r="J2039" s="23" t="n"/>
      <c r="K2039" s="17" t="n"/>
      <c r="L2039" s="17" t="n"/>
      <c r="M2039" s="17" t="n"/>
      <c r="N2039" s="17" t="n"/>
      <c r="O2039" s="26">
        <f>IF($D2039="","",IFERROR(VLOOKUP($D2039,物料档案!$A$4:$P$1203,10,0),0))</f>
        <v/>
      </c>
      <c r="P2039" s="32" t="n"/>
      <c r="Q2039" s="26">
        <f>IF($D2039="","",IF($K2039&lt;&gt;"对外销售",0,ROUND(N($J2039)*IF($P2039="",N($O2039),N($P2039)),0)))</f>
        <v/>
      </c>
      <c r="R2039" s="26">
        <f>IF($D2039="","",IFERROR(VLOOKUP($D2039,库存台账!$A$5:$Y$1204,11,0),0))</f>
        <v/>
      </c>
      <c r="S2039" s="26">
        <f>IF($D2039="","",ROUND(N($J2039)*N($R2039),0))</f>
        <v/>
      </c>
      <c r="T2039" s="26">
        <f>IF($D2039="","",IF($K2039&lt;&gt;"对外销售","",ROUND($Q2039-$S2039,0)))</f>
        <v/>
      </c>
      <c r="U2039" s="17" t="n"/>
      <c r="V2039" s="17" t="n"/>
      <c r="W2039" s="24">
        <f>IF($D2039="","",IF($E2039="※编码不在物料档案里","※物料编码不在档案里",IF(N($J2039)&lt;=0,"※出库数量要大于 0",IF($K2039="","※没填去向类型",IF($L2039="","※没填去向矿区",IF(AND($C2039&lt;&gt;"",$C2039&lt;=结账锁),"※日期早于已结账截止日，不能再录",IF(AND($K2039="自用消耗",COUNTIF({"一矿区";"二矿区"},$L2039)=0),"※自用消耗的去向只能是一矿区或二矿区",IF(AND($K2039="对外销售",COUNTIF({"三矿区";"六矿区"},$L2039)=0),"※对外销售的去向只能是三矿区或六矿区",IF(AND($K2039="对外销售",ROUND($Q2039,0)=0),"※外销却没有售价，请填实际售价",IF(AND($K2039="对外销售",$T2039&lt;&gt;"",$T2039&lt;0),"※这一笔外销是亏的，请核对售价",IF(IFERROR(VLOOKUP($D2039,库存台账!$A$5:$Y$1204,24,0),0)&lt;-0.001,"※这个物料账面已经变成负数了，查一下是不是漏记入库","")))))))))))</f>
        <v/>
      </c>
    </row>
    <row r="2040">
      <c r="A2040" s="24">
        <f>IF($D2040="","",COUNTA($D$4:$D2040))</f>
        <v/>
      </c>
      <c r="B2040" s="17" t="n"/>
      <c r="C2040" s="30" t="n"/>
      <c r="D2040" s="17" t="n"/>
      <c r="E2040" s="24">
        <f>IF($D2040="","",IFERROR(VLOOKUP($D2040,物料档案!$A$4:$P$1203,3,0),"※编码不在物料档案里"))</f>
        <v/>
      </c>
      <c r="F2040" s="24">
        <f>IF($D2040="","",IFERROR(VLOOKUP($D2040,物料档案!$A$4:$P$1203,4,0),"※编码不在物料档案里"))</f>
        <v/>
      </c>
      <c r="G2040" s="24">
        <f>IF($D2040="","",IFERROR(VLOOKUP($D2040,物料档案!$A$4:$P$1203,5,0),"※编码不在物料档案里"))</f>
        <v/>
      </c>
      <c r="H2040" s="24">
        <f>IF($D2040="","",IFERROR(VLOOKUP($D2040,物料档案!$A$4:$P$1203,2,0),"※编码不在物料档案里"))</f>
        <v/>
      </c>
      <c r="I2040" s="24">
        <f>IF($D2040="","",IFERROR(VLOOKUP($D2040,物料档案!$A$4:$P$1203,6,0),"※编码不在物料档案里"))</f>
        <v/>
      </c>
      <c r="J2040" s="23" t="n"/>
      <c r="K2040" s="17" t="n"/>
      <c r="L2040" s="17" t="n"/>
      <c r="M2040" s="17" t="n"/>
      <c r="N2040" s="17" t="n"/>
      <c r="O2040" s="26">
        <f>IF($D2040="","",IFERROR(VLOOKUP($D2040,物料档案!$A$4:$P$1203,10,0),0))</f>
        <v/>
      </c>
      <c r="P2040" s="32" t="n"/>
      <c r="Q2040" s="26">
        <f>IF($D2040="","",IF($K2040&lt;&gt;"对外销售",0,ROUND(N($J2040)*IF($P2040="",N($O2040),N($P2040)),0)))</f>
        <v/>
      </c>
      <c r="R2040" s="26">
        <f>IF($D2040="","",IFERROR(VLOOKUP($D2040,库存台账!$A$5:$Y$1204,11,0),0))</f>
        <v/>
      </c>
      <c r="S2040" s="26">
        <f>IF($D2040="","",ROUND(N($J2040)*N($R2040),0))</f>
        <v/>
      </c>
      <c r="T2040" s="26">
        <f>IF($D2040="","",IF($K2040&lt;&gt;"对外销售","",ROUND($Q2040-$S2040,0)))</f>
        <v/>
      </c>
      <c r="U2040" s="17" t="n"/>
      <c r="V2040" s="17" t="n"/>
      <c r="W2040" s="24">
        <f>IF($D2040="","",IF($E2040="※编码不在物料档案里","※物料编码不在档案里",IF(N($J2040)&lt;=0,"※出库数量要大于 0",IF($K2040="","※没填去向类型",IF($L2040="","※没填去向矿区",IF(AND($C2040&lt;&gt;"",$C2040&lt;=结账锁),"※日期早于已结账截止日，不能再录",IF(AND($K2040="自用消耗",COUNTIF({"一矿区";"二矿区"},$L2040)=0),"※自用消耗的去向只能是一矿区或二矿区",IF(AND($K2040="对外销售",COUNTIF({"三矿区";"六矿区"},$L2040)=0),"※对外销售的去向只能是三矿区或六矿区",IF(AND($K2040="对外销售",ROUND($Q2040,0)=0),"※外销却没有售价，请填实际售价",IF(AND($K2040="对外销售",$T2040&lt;&gt;"",$T2040&lt;0),"※这一笔外销是亏的，请核对售价",IF(IFERROR(VLOOKUP($D2040,库存台账!$A$5:$Y$1204,24,0),0)&lt;-0.001,"※这个物料账面已经变成负数了，查一下是不是漏记入库","")))))))))))</f>
        <v/>
      </c>
    </row>
    <row r="2041">
      <c r="A2041" s="24">
        <f>IF($D2041="","",COUNTA($D$4:$D2041))</f>
        <v/>
      </c>
      <c r="B2041" s="17" t="n"/>
      <c r="C2041" s="30" t="n"/>
      <c r="D2041" s="17" t="n"/>
      <c r="E2041" s="24">
        <f>IF($D2041="","",IFERROR(VLOOKUP($D2041,物料档案!$A$4:$P$1203,3,0),"※编码不在物料档案里"))</f>
        <v/>
      </c>
      <c r="F2041" s="24">
        <f>IF($D2041="","",IFERROR(VLOOKUP($D2041,物料档案!$A$4:$P$1203,4,0),"※编码不在物料档案里"))</f>
        <v/>
      </c>
      <c r="G2041" s="24">
        <f>IF($D2041="","",IFERROR(VLOOKUP($D2041,物料档案!$A$4:$P$1203,5,0),"※编码不在物料档案里"))</f>
        <v/>
      </c>
      <c r="H2041" s="24">
        <f>IF($D2041="","",IFERROR(VLOOKUP($D2041,物料档案!$A$4:$P$1203,2,0),"※编码不在物料档案里"))</f>
        <v/>
      </c>
      <c r="I2041" s="24">
        <f>IF($D2041="","",IFERROR(VLOOKUP($D2041,物料档案!$A$4:$P$1203,6,0),"※编码不在物料档案里"))</f>
        <v/>
      </c>
      <c r="J2041" s="23" t="n"/>
      <c r="K2041" s="17" t="n"/>
      <c r="L2041" s="17" t="n"/>
      <c r="M2041" s="17" t="n"/>
      <c r="N2041" s="17" t="n"/>
      <c r="O2041" s="26">
        <f>IF($D2041="","",IFERROR(VLOOKUP($D2041,物料档案!$A$4:$P$1203,10,0),0))</f>
        <v/>
      </c>
      <c r="P2041" s="32" t="n"/>
      <c r="Q2041" s="26">
        <f>IF($D2041="","",IF($K2041&lt;&gt;"对外销售",0,ROUND(N($J2041)*IF($P2041="",N($O2041),N($P2041)),0)))</f>
        <v/>
      </c>
      <c r="R2041" s="26">
        <f>IF($D2041="","",IFERROR(VLOOKUP($D2041,库存台账!$A$5:$Y$1204,11,0),0))</f>
        <v/>
      </c>
      <c r="S2041" s="26">
        <f>IF($D2041="","",ROUND(N($J2041)*N($R2041),0))</f>
        <v/>
      </c>
      <c r="T2041" s="26">
        <f>IF($D2041="","",IF($K2041&lt;&gt;"对外销售","",ROUND($Q2041-$S2041,0)))</f>
        <v/>
      </c>
      <c r="U2041" s="17" t="n"/>
      <c r="V2041" s="17" t="n"/>
      <c r="W2041" s="24">
        <f>IF($D2041="","",IF($E2041="※编码不在物料档案里","※物料编码不在档案里",IF(N($J2041)&lt;=0,"※出库数量要大于 0",IF($K2041="","※没填去向类型",IF($L2041="","※没填去向矿区",IF(AND($C2041&lt;&gt;"",$C2041&lt;=结账锁),"※日期早于已结账截止日，不能再录",IF(AND($K2041="自用消耗",COUNTIF({"一矿区";"二矿区"},$L2041)=0),"※自用消耗的去向只能是一矿区或二矿区",IF(AND($K2041="对外销售",COUNTIF({"三矿区";"六矿区"},$L2041)=0),"※对外销售的去向只能是三矿区或六矿区",IF(AND($K2041="对外销售",ROUND($Q2041,0)=0),"※外销却没有售价，请填实际售价",IF(AND($K2041="对外销售",$T2041&lt;&gt;"",$T2041&lt;0),"※这一笔外销是亏的，请核对售价",IF(IFERROR(VLOOKUP($D2041,库存台账!$A$5:$Y$1204,24,0),0)&lt;-0.001,"※这个物料账面已经变成负数了，查一下是不是漏记入库","")))))))))))</f>
        <v/>
      </c>
    </row>
    <row r="2042">
      <c r="A2042" s="24">
        <f>IF($D2042="","",COUNTA($D$4:$D2042))</f>
        <v/>
      </c>
      <c r="B2042" s="17" t="n"/>
      <c r="C2042" s="30" t="n"/>
      <c r="D2042" s="17" t="n"/>
      <c r="E2042" s="24">
        <f>IF($D2042="","",IFERROR(VLOOKUP($D2042,物料档案!$A$4:$P$1203,3,0),"※编码不在物料档案里"))</f>
        <v/>
      </c>
      <c r="F2042" s="24">
        <f>IF($D2042="","",IFERROR(VLOOKUP($D2042,物料档案!$A$4:$P$1203,4,0),"※编码不在物料档案里"))</f>
        <v/>
      </c>
      <c r="G2042" s="24">
        <f>IF($D2042="","",IFERROR(VLOOKUP($D2042,物料档案!$A$4:$P$1203,5,0),"※编码不在物料档案里"))</f>
        <v/>
      </c>
      <c r="H2042" s="24">
        <f>IF($D2042="","",IFERROR(VLOOKUP($D2042,物料档案!$A$4:$P$1203,2,0),"※编码不在物料档案里"))</f>
        <v/>
      </c>
      <c r="I2042" s="24">
        <f>IF($D2042="","",IFERROR(VLOOKUP($D2042,物料档案!$A$4:$P$1203,6,0),"※编码不在物料档案里"))</f>
        <v/>
      </c>
      <c r="J2042" s="23" t="n"/>
      <c r="K2042" s="17" t="n"/>
      <c r="L2042" s="17" t="n"/>
      <c r="M2042" s="17" t="n"/>
      <c r="N2042" s="17" t="n"/>
      <c r="O2042" s="26">
        <f>IF($D2042="","",IFERROR(VLOOKUP($D2042,物料档案!$A$4:$P$1203,10,0),0))</f>
        <v/>
      </c>
      <c r="P2042" s="32" t="n"/>
      <c r="Q2042" s="26">
        <f>IF($D2042="","",IF($K2042&lt;&gt;"对外销售",0,ROUND(N($J2042)*IF($P2042="",N($O2042),N($P2042)),0)))</f>
        <v/>
      </c>
      <c r="R2042" s="26">
        <f>IF($D2042="","",IFERROR(VLOOKUP($D2042,库存台账!$A$5:$Y$1204,11,0),0))</f>
        <v/>
      </c>
      <c r="S2042" s="26">
        <f>IF($D2042="","",ROUND(N($J2042)*N($R2042),0))</f>
        <v/>
      </c>
      <c r="T2042" s="26">
        <f>IF($D2042="","",IF($K2042&lt;&gt;"对外销售","",ROUND($Q2042-$S2042,0)))</f>
        <v/>
      </c>
      <c r="U2042" s="17" t="n"/>
      <c r="V2042" s="17" t="n"/>
      <c r="W2042" s="24">
        <f>IF($D2042="","",IF($E2042="※编码不在物料档案里","※物料编码不在档案里",IF(N($J2042)&lt;=0,"※出库数量要大于 0",IF($K2042="","※没填去向类型",IF($L2042="","※没填去向矿区",IF(AND($C2042&lt;&gt;"",$C2042&lt;=结账锁),"※日期早于已结账截止日，不能再录",IF(AND($K2042="自用消耗",COUNTIF({"一矿区";"二矿区"},$L2042)=0),"※自用消耗的去向只能是一矿区或二矿区",IF(AND($K2042="对外销售",COUNTIF({"三矿区";"六矿区"},$L2042)=0),"※对外销售的去向只能是三矿区或六矿区",IF(AND($K2042="对外销售",ROUND($Q2042,0)=0),"※外销却没有售价，请填实际售价",IF(AND($K2042="对外销售",$T2042&lt;&gt;"",$T2042&lt;0),"※这一笔外销是亏的，请核对售价",IF(IFERROR(VLOOKUP($D2042,库存台账!$A$5:$Y$1204,24,0),0)&lt;-0.001,"※这个物料账面已经变成负数了，查一下是不是漏记入库","")))))))))))</f>
        <v/>
      </c>
    </row>
    <row r="2043">
      <c r="A2043" s="24">
        <f>IF($D2043="","",COUNTA($D$4:$D2043))</f>
        <v/>
      </c>
      <c r="B2043" s="17" t="n"/>
      <c r="C2043" s="30" t="n"/>
      <c r="D2043" s="17" t="n"/>
      <c r="E2043" s="24">
        <f>IF($D2043="","",IFERROR(VLOOKUP($D2043,物料档案!$A$4:$P$1203,3,0),"※编码不在物料档案里"))</f>
        <v/>
      </c>
      <c r="F2043" s="24">
        <f>IF($D2043="","",IFERROR(VLOOKUP($D2043,物料档案!$A$4:$P$1203,4,0),"※编码不在物料档案里"))</f>
        <v/>
      </c>
      <c r="G2043" s="24">
        <f>IF($D2043="","",IFERROR(VLOOKUP($D2043,物料档案!$A$4:$P$1203,5,0),"※编码不在物料档案里"))</f>
        <v/>
      </c>
      <c r="H2043" s="24">
        <f>IF($D2043="","",IFERROR(VLOOKUP($D2043,物料档案!$A$4:$P$1203,2,0),"※编码不在物料档案里"))</f>
        <v/>
      </c>
      <c r="I2043" s="24">
        <f>IF($D2043="","",IFERROR(VLOOKUP($D2043,物料档案!$A$4:$P$1203,6,0),"※编码不在物料档案里"))</f>
        <v/>
      </c>
      <c r="J2043" s="23" t="n"/>
      <c r="K2043" s="17" t="n"/>
      <c r="L2043" s="17" t="n"/>
      <c r="M2043" s="17" t="n"/>
      <c r="N2043" s="17" t="n"/>
      <c r="O2043" s="26">
        <f>IF($D2043="","",IFERROR(VLOOKUP($D2043,物料档案!$A$4:$P$1203,10,0),0))</f>
        <v/>
      </c>
      <c r="P2043" s="32" t="n"/>
      <c r="Q2043" s="26">
        <f>IF($D2043="","",IF($K2043&lt;&gt;"对外销售",0,ROUND(N($J2043)*IF($P2043="",N($O2043),N($P2043)),0)))</f>
        <v/>
      </c>
      <c r="R2043" s="26">
        <f>IF($D2043="","",IFERROR(VLOOKUP($D2043,库存台账!$A$5:$Y$1204,11,0),0))</f>
        <v/>
      </c>
      <c r="S2043" s="26">
        <f>IF($D2043="","",ROUND(N($J2043)*N($R2043),0))</f>
        <v/>
      </c>
      <c r="T2043" s="26">
        <f>IF($D2043="","",IF($K2043&lt;&gt;"对外销售","",ROUND($Q2043-$S2043,0)))</f>
        <v/>
      </c>
      <c r="U2043" s="17" t="n"/>
      <c r="V2043" s="17" t="n"/>
      <c r="W2043" s="24">
        <f>IF($D2043="","",IF($E2043="※编码不在物料档案里","※物料编码不在档案里",IF(N($J2043)&lt;=0,"※出库数量要大于 0",IF($K2043="","※没填去向类型",IF($L2043="","※没填去向矿区",IF(AND($C2043&lt;&gt;"",$C2043&lt;=结账锁),"※日期早于已结账截止日，不能再录",IF(AND($K2043="自用消耗",COUNTIF({"一矿区";"二矿区"},$L2043)=0),"※自用消耗的去向只能是一矿区或二矿区",IF(AND($K2043="对外销售",COUNTIF({"三矿区";"六矿区"},$L2043)=0),"※对外销售的去向只能是三矿区或六矿区",IF(AND($K2043="对外销售",ROUND($Q2043,0)=0),"※外销却没有售价，请填实际售价",IF(AND($K2043="对外销售",$T2043&lt;&gt;"",$T2043&lt;0),"※这一笔外销是亏的，请核对售价",IF(IFERROR(VLOOKUP($D2043,库存台账!$A$5:$Y$1204,24,0),0)&lt;-0.001,"※这个物料账面已经变成负数了，查一下是不是漏记入库","")))))))))))</f>
        <v/>
      </c>
    </row>
    <row r="2044">
      <c r="A2044" s="24">
        <f>IF($D2044="","",COUNTA($D$4:$D2044))</f>
        <v/>
      </c>
      <c r="B2044" s="17" t="n"/>
      <c r="C2044" s="30" t="n"/>
      <c r="D2044" s="17" t="n"/>
      <c r="E2044" s="24">
        <f>IF($D2044="","",IFERROR(VLOOKUP($D2044,物料档案!$A$4:$P$1203,3,0),"※编码不在物料档案里"))</f>
        <v/>
      </c>
      <c r="F2044" s="24">
        <f>IF($D2044="","",IFERROR(VLOOKUP($D2044,物料档案!$A$4:$P$1203,4,0),"※编码不在物料档案里"))</f>
        <v/>
      </c>
      <c r="G2044" s="24">
        <f>IF($D2044="","",IFERROR(VLOOKUP($D2044,物料档案!$A$4:$P$1203,5,0),"※编码不在物料档案里"))</f>
        <v/>
      </c>
      <c r="H2044" s="24">
        <f>IF($D2044="","",IFERROR(VLOOKUP($D2044,物料档案!$A$4:$P$1203,2,0),"※编码不在物料档案里"))</f>
        <v/>
      </c>
      <c r="I2044" s="24">
        <f>IF($D2044="","",IFERROR(VLOOKUP($D2044,物料档案!$A$4:$P$1203,6,0),"※编码不在物料档案里"))</f>
        <v/>
      </c>
      <c r="J2044" s="23" t="n"/>
      <c r="K2044" s="17" t="n"/>
      <c r="L2044" s="17" t="n"/>
      <c r="M2044" s="17" t="n"/>
      <c r="N2044" s="17" t="n"/>
      <c r="O2044" s="26">
        <f>IF($D2044="","",IFERROR(VLOOKUP($D2044,物料档案!$A$4:$P$1203,10,0),0))</f>
        <v/>
      </c>
      <c r="P2044" s="32" t="n"/>
      <c r="Q2044" s="26">
        <f>IF($D2044="","",IF($K2044&lt;&gt;"对外销售",0,ROUND(N($J2044)*IF($P2044="",N($O2044),N($P2044)),0)))</f>
        <v/>
      </c>
      <c r="R2044" s="26">
        <f>IF($D2044="","",IFERROR(VLOOKUP($D2044,库存台账!$A$5:$Y$1204,11,0),0))</f>
        <v/>
      </c>
      <c r="S2044" s="26">
        <f>IF($D2044="","",ROUND(N($J2044)*N($R2044),0))</f>
        <v/>
      </c>
      <c r="T2044" s="26">
        <f>IF($D2044="","",IF($K2044&lt;&gt;"对外销售","",ROUND($Q2044-$S2044,0)))</f>
        <v/>
      </c>
      <c r="U2044" s="17" t="n"/>
      <c r="V2044" s="17" t="n"/>
      <c r="W2044" s="24">
        <f>IF($D2044="","",IF($E2044="※编码不在物料档案里","※物料编码不在档案里",IF(N($J2044)&lt;=0,"※出库数量要大于 0",IF($K2044="","※没填去向类型",IF($L2044="","※没填去向矿区",IF(AND($C2044&lt;&gt;"",$C2044&lt;=结账锁),"※日期早于已结账截止日，不能再录",IF(AND($K2044="自用消耗",COUNTIF({"一矿区";"二矿区"},$L2044)=0),"※自用消耗的去向只能是一矿区或二矿区",IF(AND($K2044="对外销售",COUNTIF({"三矿区";"六矿区"},$L2044)=0),"※对外销售的去向只能是三矿区或六矿区",IF(AND($K2044="对外销售",ROUND($Q2044,0)=0),"※外销却没有售价，请填实际售价",IF(AND($K2044="对外销售",$T2044&lt;&gt;"",$T2044&lt;0),"※这一笔外销是亏的，请核对售价",IF(IFERROR(VLOOKUP($D2044,库存台账!$A$5:$Y$1204,24,0),0)&lt;-0.001,"※这个物料账面已经变成负数了，查一下是不是漏记入库","")))))))))))</f>
        <v/>
      </c>
    </row>
    <row r="2045">
      <c r="A2045" s="24">
        <f>IF($D2045="","",COUNTA($D$4:$D2045))</f>
        <v/>
      </c>
      <c r="B2045" s="17" t="n"/>
      <c r="C2045" s="30" t="n"/>
      <c r="D2045" s="17" t="n"/>
      <c r="E2045" s="24">
        <f>IF($D2045="","",IFERROR(VLOOKUP($D2045,物料档案!$A$4:$P$1203,3,0),"※编码不在物料档案里"))</f>
        <v/>
      </c>
      <c r="F2045" s="24">
        <f>IF($D2045="","",IFERROR(VLOOKUP($D2045,物料档案!$A$4:$P$1203,4,0),"※编码不在物料档案里"))</f>
        <v/>
      </c>
      <c r="G2045" s="24">
        <f>IF($D2045="","",IFERROR(VLOOKUP($D2045,物料档案!$A$4:$P$1203,5,0),"※编码不在物料档案里"))</f>
        <v/>
      </c>
      <c r="H2045" s="24">
        <f>IF($D2045="","",IFERROR(VLOOKUP($D2045,物料档案!$A$4:$P$1203,2,0),"※编码不在物料档案里"))</f>
        <v/>
      </c>
      <c r="I2045" s="24">
        <f>IF($D2045="","",IFERROR(VLOOKUP($D2045,物料档案!$A$4:$P$1203,6,0),"※编码不在物料档案里"))</f>
        <v/>
      </c>
      <c r="J2045" s="23" t="n"/>
      <c r="K2045" s="17" t="n"/>
      <c r="L2045" s="17" t="n"/>
      <c r="M2045" s="17" t="n"/>
      <c r="N2045" s="17" t="n"/>
      <c r="O2045" s="26">
        <f>IF($D2045="","",IFERROR(VLOOKUP($D2045,物料档案!$A$4:$P$1203,10,0),0))</f>
        <v/>
      </c>
      <c r="P2045" s="32" t="n"/>
      <c r="Q2045" s="26">
        <f>IF($D2045="","",IF($K2045&lt;&gt;"对外销售",0,ROUND(N($J2045)*IF($P2045="",N($O2045),N($P2045)),0)))</f>
        <v/>
      </c>
      <c r="R2045" s="26">
        <f>IF($D2045="","",IFERROR(VLOOKUP($D2045,库存台账!$A$5:$Y$1204,11,0),0))</f>
        <v/>
      </c>
      <c r="S2045" s="26">
        <f>IF($D2045="","",ROUND(N($J2045)*N($R2045),0))</f>
        <v/>
      </c>
      <c r="T2045" s="26">
        <f>IF($D2045="","",IF($K2045&lt;&gt;"对外销售","",ROUND($Q2045-$S2045,0)))</f>
        <v/>
      </c>
      <c r="U2045" s="17" t="n"/>
      <c r="V2045" s="17" t="n"/>
      <c r="W2045" s="24">
        <f>IF($D2045="","",IF($E2045="※编码不在物料档案里","※物料编码不在档案里",IF(N($J2045)&lt;=0,"※出库数量要大于 0",IF($K2045="","※没填去向类型",IF($L2045="","※没填去向矿区",IF(AND($C2045&lt;&gt;"",$C2045&lt;=结账锁),"※日期早于已结账截止日，不能再录",IF(AND($K2045="自用消耗",COUNTIF({"一矿区";"二矿区"},$L2045)=0),"※自用消耗的去向只能是一矿区或二矿区",IF(AND($K2045="对外销售",COUNTIF({"三矿区";"六矿区"},$L2045)=0),"※对外销售的去向只能是三矿区或六矿区",IF(AND($K2045="对外销售",ROUND($Q2045,0)=0),"※外销却没有售价，请填实际售价",IF(AND($K2045="对外销售",$T2045&lt;&gt;"",$T2045&lt;0),"※这一笔外销是亏的，请核对售价",IF(IFERROR(VLOOKUP($D2045,库存台账!$A$5:$Y$1204,24,0),0)&lt;-0.001,"※这个物料账面已经变成负数了，查一下是不是漏记入库","")))))))))))</f>
        <v/>
      </c>
    </row>
    <row r="2046">
      <c r="A2046" s="24">
        <f>IF($D2046="","",COUNTA($D$4:$D2046))</f>
        <v/>
      </c>
      <c r="B2046" s="17" t="n"/>
      <c r="C2046" s="30" t="n"/>
      <c r="D2046" s="17" t="n"/>
      <c r="E2046" s="24">
        <f>IF($D2046="","",IFERROR(VLOOKUP($D2046,物料档案!$A$4:$P$1203,3,0),"※编码不在物料档案里"))</f>
        <v/>
      </c>
      <c r="F2046" s="24">
        <f>IF($D2046="","",IFERROR(VLOOKUP($D2046,物料档案!$A$4:$P$1203,4,0),"※编码不在物料档案里"))</f>
        <v/>
      </c>
      <c r="G2046" s="24">
        <f>IF($D2046="","",IFERROR(VLOOKUP($D2046,物料档案!$A$4:$P$1203,5,0),"※编码不在物料档案里"))</f>
        <v/>
      </c>
      <c r="H2046" s="24">
        <f>IF($D2046="","",IFERROR(VLOOKUP($D2046,物料档案!$A$4:$P$1203,2,0),"※编码不在物料档案里"))</f>
        <v/>
      </c>
      <c r="I2046" s="24">
        <f>IF($D2046="","",IFERROR(VLOOKUP($D2046,物料档案!$A$4:$P$1203,6,0),"※编码不在物料档案里"))</f>
        <v/>
      </c>
      <c r="J2046" s="23" t="n"/>
      <c r="K2046" s="17" t="n"/>
      <c r="L2046" s="17" t="n"/>
      <c r="M2046" s="17" t="n"/>
      <c r="N2046" s="17" t="n"/>
      <c r="O2046" s="26">
        <f>IF($D2046="","",IFERROR(VLOOKUP($D2046,物料档案!$A$4:$P$1203,10,0),0))</f>
        <v/>
      </c>
      <c r="P2046" s="32" t="n"/>
      <c r="Q2046" s="26">
        <f>IF($D2046="","",IF($K2046&lt;&gt;"对外销售",0,ROUND(N($J2046)*IF($P2046="",N($O2046),N($P2046)),0)))</f>
        <v/>
      </c>
      <c r="R2046" s="26">
        <f>IF($D2046="","",IFERROR(VLOOKUP($D2046,库存台账!$A$5:$Y$1204,11,0),0))</f>
        <v/>
      </c>
      <c r="S2046" s="26">
        <f>IF($D2046="","",ROUND(N($J2046)*N($R2046),0))</f>
        <v/>
      </c>
      <c r="T2046" s="26">
        <f>IF($D2046="","",IF($K2046&lt;&gt;"对外销售","",ROUND($Q2046-$S2046,0)))</f>
        <v/>
      </c>
      <c r="U2046" s="17" t="n"/>
      <c r="V2046" s="17" t="n"/>
      <c r="W2046" s="24">
        <f>IF($D2046="","",IF($E2046="※编码不在物料档案里","※物料编码不在档案里",IF(N($J2046)&lt;=0,"※出库数量要大于 0",IF($K2046="","※没填去向类型",IF($L2046="","※没填去向矿区",IF(AND($C2046&lt;&gt;"",$C2046&lt;=结账锁),"※日期早于已结账截止日，不能再录",IF(AND($K2046="自用消耗",COUNTIF({"一矿区";"二矿区"},$L2046)=0),"※自用消耗的去向只能是一矿区或二矿区",IF(AND($K2046="对外销售",COUNTIF({"三矿区";"六矿区"},$L2046)=0),"※对外销售的去向只能是三矿区或六矿区",IF(AND($K2046="对外销售",ROUND($Q2046,0)=0),"※外销却没有售价，请填实际售价",IF(AND($K2046="对外销售",$T2046&lt;&gt;"",$T2046&lt;0),"※这一笔外销是亏的，请核对售价",IF(IFERROR(VLOOKUP($D2046,库存台账!$A$5:$Y$1204,24,0),0)&lt;-0.001,"※这个物料账面已经变成负数了，查一下是不是漏记入库","")))))))))))</f>
        <v/>
      </c>
    </row>
    <row r="2047">
      <c r="A2047" s="24">
        <f>IF($D2047="","",COUNTA($D$4:$D2047))</f>
        <v/>
      </c>
      <c r="B2047" s="17" t="n"/>
      <c r="C2047" s="30" t="n"/>
      <c r="D2047" s="17" t="n"/>
      <c r="E2047" s="24">
        <f>IF($D2047="","",IFERROR(VLOOKUP($D2047,物料档案!$A$4:$P$1203,3,0),"※编码不在物料档案里"))</f>
        <v/>
      </c>
      <c r="F2047" s="24">
        <f>IF($D2047="","",IFERROR(VLOOKUP($D2047,物料档案!$A$4:$P$1203,4,0),"※编码不在物料档案里"))</f>
        <v/>
      </c>
      <c r="G2047" s="24">
        <f>IF($D2047="","",IFERROR(VLOOKUP($D2047,物料档案!$A$4:$P$1203,5,0),"※编码不在物料档案里"))</f>
        <v/>
      </c>
      <c r="H2047" s="24">
        <f>IF($D2047="","",IFERROR(VLOOKUP($D2047,物料档案!$A$4:$P$1203,2,0),"※编码不在物料档案里"))</f>
        <v/>
      </c>
      <c r="I2047" s="24">
        <f>IF($D2047="","",IFERROR(VLOOKUP($D2047,物料档案!$A$4:$P$1203,6,0),"※编码不在物料档案里"))</f>
        <v/>
      </c>
      <c r="J2047" s="23" t="n"/>
      <c r="K2047" s="17" t="n"/>
      <c r="L2047" s="17" t="n"/>
      <c r="M2047" s="17" t="n"/>
      <c r="N2047" s="17" t="n"/>
      <c r="O2047" s="26">
        <f>IF($D2047="","",IFERROR(VLOOKUP($D2047,物料档案!$A$4:$P$1203,10,0),0))</f>
        <v/>
      </c>
      <c r="P2047" s="32" t="n"/>
      <c r="Q2047" s="26">
        <f>IF($D2047="","",IF($K2047&lt;&gt;"对外销售",0,ROUND(N($J2047)*IF($P2047="",N($O2047),N($P2047)),0)))</f>
        <v/>
      </c>
      <c r="R2047" s="26">
        <f>IF($D2047="","",IFERROR(VLOOKUP($D2047,库存台账!$A$5:$Y$1204,11,0),0))</f>
        <v/>
      </c>
      <c r="S2047" s="26">
        <f>IF($D2047="","",ROUND(N($J2047)*N($R2047),0))</f>
        <v/>
      </c>
      <c r="T2047" s="26">
        <f>IF($D2047="","",IF($K2047&lt;&gt;"对外销售","",ROUND($Q2047-$S2047,0)))</f>
        <v/>
      </c>
      <c r="U2047" s="17" t="n"/>
      <c r="V2047" s="17" t="n"/>
      <c r="W2047" s="24">
        <f>IF($D2047="","",IF($E2047="※编码不在物料档案里","※物料编码不在档案里",IF(N($J2047)&lt;=0,"※出库数量要大于 0",IF($K2047="","※没填去向类型",IF($L2047="","※没填去向矿区",IF(AND($C2047&lt;&gt;"",$C2047&lt;=结账锁),"※日期早于已结账截止日，不能再录",IF(AND($K2047="自用消耗",COUNTIF({"一矿区";"二矿区"},$L2047)=0),"※自用消耗的去向只能是一矿区或二矿区",IF(AND($K2047="对外销售",COUNTIF({"三矿区";"六矿区"},$L2047)=0),"※对外销售的去向只能是三矿区或六矿区",IF(AND($K2047="对外销售",ROUND($Q2047,0)=0),"※外销却没有售价，请填实际售价",IF(AND($K2047="对外销售",$T2047&lt;&gt;"",$T2047&lt;0),"※这一笔外销是亏的，请核对售价",IF(IFERROR(VLOOKUP($D2047,库存台账!$A$5:$Y$1204,24,0),0)&lt;-0.001,"※这个物料账面已经变成负数了，查一下是不是漏记入库","")))))))))))</f>
        <v/>
      </c>
    </row>
    <row r="2048">
      <c r="A2048" s="24">
        <f>IF($D2048="","",COUNTA($D$4:$D2048))</f>
        <v/>
      </c>
      <c r="B2048" s="17" t="n"/>
      <c r="C2048" s="30" t="n"/>
      <c r="D2048" s="17" t="n"/>
      <c r="E2048" s="24">
        <f>IF($D2048="","",IFERROR(VLOOKUP($D2048,物料档案!$A$4:$P$1203,3,0),"※编码不在物料档案里"))</f>
        <v/>
      </c>
      <c r="F2048" s="24">
        <f>IF($D2048="","",IFERROR(VLOOKUP($D2048,物料档案!$A$4:$P$1203,4,0),"※编码不在物料档案里"))</f>
        <v/>
      </c>
      <c r="G2048" s="24">
        <f>IF($D2048="","",IFERROR(VLOOKUP($D2048,物料档案!$A$4:$P$1203,5,0),"※编码不在物料档案里"))</f>
        <v/>
      </c>
      <c r="H2048" s="24">
        <f>IF($D2048="","",IFERROR(VLOOKUP($D2048,物料档案!$A$4:$P$1203,2,0),"※编码不在物料档案里"))</f>
        <v/>
      </c>
      <c r="I2048" s="24">
        <f>IF($D2048="","",IFERROR(VLOOKUP($D2048,物料档案!$A$4:$P$1203,6,0),"※编码不在物料档案里"))</f>
        <v/>
      </c>
      <c r="J2048" s="23" t="n"/>
      <c r="K2048" s="17" t="n"/>
      <c r="L2048" s="17" t="n"/>
      <c r="M2048" s="17" t="n"/>
      <c r="N2048" s="17" t="n"/>
      <c r="O2048" s="26">
        <f>IF($D2048="","",IFERROR(VLOOKUP($D2048,物料档案!$A$4:$P$1203,10,0),0))</f>
        <v/>
      </c>
      <c r="P2048" s="32" t="n"/>
      <c r="Q2048" s="26">
        <f>IF($D2048="","",IF($K2048&lt;&gt;"对外销售",0,ROUND(N($J2048)*IF($P2048="",N($O2048),N($P2048)),0)))</f>
        <v/>
      </c>
      <c r="R2048" s="26">
        <f>IF($D2048="","",IFERROR(VLOOKUP($D2048,库存台账!$A$5:$Y$1204,11,0),0))</f>
        <v/>
      </c>
      <c r="S2048" s="26">
        <f>IF($D2048="","",ROUND(N($J2048)*N($R2048),0))</f>
        <v/>
      </c>
      <c r="T2048" s="26">
        <f>IF($D2048="","",IF($K2048&lt;&gt;"对外销售","",ROUND($Q2048-$S2048,0)))</f>
        <v/>
      </c>
      <c r="U2048" s="17" t="n"/>
      <c r="V2048" s="17" t="n"/>
      <c r="W2048" s="24">
        <f>IF($D2048="","",IF($E2048="※编码不在物料档案里","※物料编码不在档案里",IF(N($J2048)&lt;=0,"※出库数量要大于 0",IF($K2048="","※没填去向类型",IF($L2048="","※没填去向矿区",IF(AND($C2048&lt;&gt;"",$C2048&lt;=结账锁),"※日期早于已结账截止日，不能再录",IF(AND($K2048="自用消耗",COUNTIF({"一矿区";"二矿区"},$L2048)=0),"※自用消耗的去向只能是一矿区或二矿区",IF(AND($K2048="对外销售",COUNTIF({"三矿区";"六矿区"},$L2048)=0),"※对外销售的去向只能是三矿区或六矿区",IF(AND($K2048="对外销售",ROUND($Q2048,0)=0),"※外销却没有售价，请填实际售价",IF(AND($K2048="对外销售",$T2048&lt;&gt;"",$T2048&lt;0),"※这一笔外销是亏的，请核对售价",IF(IFERROR(VLOOKUP($D2048,库存台账!$A$5:$Y$1204,24,0),0)&lt;-0.001,"※这个物料账面已经变成负数了，查一下是不是漏记入库","")))))))))))</f>
        <v/>
      </c>
    </row>
    <row r="2049">
      <c r="A2049" s="24">
        <f>IF($D2049="","",COUNTA($D$4:$D2049))</f>
        <v/>
      </c>
      <c r="B2049" s="17" t="n"/>
      <c r="C2049" s="30" t="n"/>
      <c r="D2049" s="17" t="n"/>
      <c r="E2049" s="24">
        <f>IF($D2049="","",IFERROR(VLOOKUP($D2049,物料档案!$A$4:$P$1203,3,0),"※编码不在物料档案里"))</f>
        <v/>
      </c>
      <c r="F2049" s="24">
        <f>IF($D2049="","",IFERROR(VLOOKUP($D2049,物料档案!$A$4:$P$1203,4,0),"※编码不在物料档案里"))</f>
        <v/>
      </c>
      <c r="G2049" s="24">
        <f>IF($D2049="","",IFERROR(VLOOKUP($D2049,物料档案!$A$4:$P$1203,5,0),"※编码不在物料档案里"))</f>
        <v/>
      </c>
      <c r="H2049" s="24">
        <f>IF($D2049="","",IFERROR(VLOOKUP($D2049,物料档案!$A$4:$P$1203,2,0),"※编码不在物料档案里"))</f>
        <v/>
      </c>
      <c r="I2049" s="24">
        <f>IF($D2049="","",IFERROR(VLOOKUP($D2049,物料档案!$A$4:$P$1203,6,0),"※编码不在物料档案里"))</f>
        <v/>
      </c>
      <c r="J2049" s="23" t="n"/>
      <c r="K2049" s="17" t="n"/>
      <c r="L2049" s="17" t="n"/>
      <c r="M2049" s="17" t="n"/>
      <c r="N2049" s="17" t="n"/>
      <c r="O2049" s="26">
        <f>IF($D2049="","",IFERROR(VLOOKUP($D2049,物料档案!$A$4:$P$1203,10,0),0))</f>
        <v/>
      </c>
      <c r="P2049" s="32" t="n"/>
      <c r="Q2049" s="26">
        <f>IF($D2049="","",IF($K2049&lt;&gt;"对外销售",0,ROUND(N($J2049)*IF($P2049="",N($O2049),N($P2049)),0)))</f>
        <v/>
      </c>
      <c r="R2049" s="26">
        <f>IF($D2049="","",IFERROR(VLOOKUP($D2049,库存台账!$A$5:$Y$1204,11,0),0))</f>
        <v/>
      </c>
      <c r="S2049" s="26">
        <f>IF($D2049="","",ROUND(N($J2049)*N($R2049),0))</f>
        <v/>
      </c>
      <c r="T2049" s="26">
        <f>IF($D2049="","",IF($K2049&lt;&gt;"对外销售","",ROUND($Q2049-$S2049,0)))</f>
        <v/>
      </c>
      <c r="U2049" s="17" t="n"/>
      <c r="V2049" s="17" t="n"/>
      <c r="W2049" s="24">
        <f>IF($D2049="","",IF($E2049="※编码不在物料档案里","※物料编码不在档案里",IF(N($J2049)&lt;=0,"※出库数量要大于 0",IF($K2049="","※没填去向类型",IF($L2049="","※没填去向矿区",IF(AND($C2049&lt;&gt;"",$C2049&lt;=结账锁),"※日期早于已结账截止日，不能再录",IF(AND($K2049="自用消耗",COUNTIF({"一矿区";"二矿区"},$L2049)=0),"※自用消耗的去向只能是一矿区或二矿区",IF(AND($K2049="对外销售",COUNTIF({"三矿区";"六矿区"},$L2049)=0),"※对外销售的去向只能是三矿区或六矿区",IF(AND($K2049="对外销售",ROUND($Q2049,0)=0),"※外销却没有售价，请填实际售价",IF(AND($K2049="对外销售",$T2049&lt;&gt;"",$T2049&lt;0),"※这一笔外销是亏的，请核对售价",IF(IFERROR(VLOOKUP($D2049,库存台账!$A$5:$Y$1204,24,0),0)&lt;-0.001,"※这个物料账面已经变成负数了，查一下是不是漏记入库","")))))))))))</f>
        <v/>
      </c>
    </row>
    <row r="2050">
      <c r="A2050" s="24">
        <f>IF($D2050="","",COUNTA($D$4:$D2050))</f>
        <v/>
      </c>
      <c r="B2050" s="17" t="n"/>
      <c r="C2050" s="30" t="n"/>
      <c r="D2050" s="17" t="n"/>
      <c r="E2050" s="24">
        <f>IF($D2050="","",IFERROR(VLOOKUP($D2050,物料档案!$A$4:$P$1203,3,0),"※编码不在物料档案里"))</f>
        <v/>
      </c>
      <c r="F2050" s="24">
        <f>IF($D2050="","",IFERROR(VLOOKUP($D2050,物料档案!$A$4:$P$1203,4,0),"※编码不在物料档案里"))</f>
        <v/>
      </c>
      <c r="G2050" s="24">
        <f>IF($D2050="","",IFERROR(VLOOKUP($D2050,物料档案!$A$4:$P$1203,5,0),"※编码不在物料档案里"))</f>
        <v/>
      </c>
      <c r="H2050" s="24">
        <f>IF($D2050="","",IFERROR(VLOOKUP($D2050,物料档案!$A$4:$P$1203,2,0),"※编码不在物料档案里"))</f>
        <v/>
      </c>
      <c r="I2050" s="24">
        <f>IF($D2050="","",IFERROR(VLOOKUP($D2050,物料档案!$A$4:$P$1203,6,0),"※编码不在物料档案里"))</f>
        <v/>
      </c>
      <c r="J2050" s="23" t="n"/>
      <c r="K2050" s="17" t="n"/>
      <c r="L2050" s="17" t="n"/>
      <c r="M2050" s="17" t="n"/>
      <c r="N2050" s="17" t="n"/>
      <c r="O2050" s="26">
        <f>IF($D2050="","",IFERROR(VLOOKUP($D2050,物料档案!$A$4:$P$1203,10,0),0))</f>
        <v/>
      </c>
      <c r="P2050" s="32" t="n"/>
      <c r="Q2050" s="26">
        <f>IF($D2050="","",IF($K2050&lt;&gt;"对外销售",0,ROUND(N($J2050)*IF($P2050="",N($O2050),N($P2050)),0)))</f>
        <v/>
      </c>
      <c r="R2050" s="26">
        <f>IF($D2050="","",IFERROR(VLOOKUP($D2050,库存台账!$A$5:$Y$1204,11,0),0))</f>
        <v/>
      </c>
      <c r="S2050" s="26">
        <f>IF($D2050="","",ROUND(N($J2050)*N($R2050),0))</f>
        <v/>
      </c>
      <c r="T2050" s="26">
        <f>IF($D2050="","",IF($K2050&lt;&gt;"对外销售","",ROUND($Q2050-$S2050,0)))</f>
        <v/>
      </c>
      <c r="U2050" s="17" t="n"/>
      <c r="V2050" s="17" t="n"/>
      <c r="W2050" s="24">
        <f>IF($D2050="","",IF($E2050="※编码不在物料档案里","※物料编码不在档案里",IF(N($J2050)&lt;=0,"※出库数量要大于 0",IF($K2050="","※没填去向类型",IF($L2050="","※没填去向矿区",IF(AND($C2050&lt;&gt;"",$C2050&lt;=结账锁),"※日期早于已结账截止日，不能再录",IF(AND($K2050="自用消耗",COUNTIF({"一矿区";"二矿区"},$L2050)=0),"※自用消耗的去向只能是一矿区或二矿区",IF(AND($K2050="对外销售",COUNTIF({"三矿区";"六矿区"},$L2050)=0),"※对外销售的去向只能是三矿区或六矿区",IF(AND($K2050="对外销售",ROUND($Q2050,0)=0),"※外销却没有售价，请填实际售价",IF(AND($K2050="对外销售",$T2050&lt;&gt;"",$T2050&lt;0),"※这一笔外销是亏的，请核对售价",IF(IFERROR(VLOOKUP($D2050,库存台账!$A$5:$Y$1204,24,0),0)&lt;-0.001,"※这个物料账面已经变成负数了，查一下是不是漏记入库","")))))))))))</f>
        <v/>
      </c>
    </row>
    <row r="2051">
      <c r="A2051" s="24">
        <f>IF($D2051="","",COUNTA($D$4:$D2051))</f>
        <v/>
      </c>
      <c r="B2051" s="17" t="n"/>
      <c r="C2051" s="30" t="n"/>
      <c r="D2051" s="17" t="n"/>
      <c r="E2051" s="24">
        <f>IF($D2051="","",IFERROR(VLOOKUP($D2051,物料档案!$A$4:$P$1203,3,0),"※编码不在物料档案里"))</f>
        <v/>
      </c>
      <c r="F2051" s="24">
        <f>IF($D2051="","",IFERROR(VLOOKUP($D2051,物料档案!$A$4:$P$1203,4,0),"※编码不在物料档案里"))</f>
        <v/>
      </c>
      <c r="G2051" s="24">
        <f>IF($D2051="","",IFERROR(VLOOKUP($D2051,物料档案!$A$4:$P$1203,5,0),"※编码不在物料档案里"))</f>
        <v/>
      </c>
      <c r="H2051" s="24">
        <f>IF($D2051="","",IFERROR(VLOOKUP($D2051,物料档案!$A$4:$P$1203,2,0),"※编码不在物料档案里"))</f>
        <v/>
      </c>
      <c r="I2051" s="24">
        <f>IF($D2051="","",IFERROR(VLOOKUP($D2051,物料档案!$A$4:$P$1203,6,0),"※编码不在物料档案里"))</f>
        <v/>
      </c>
      <c r="J2051" s="23" t="n"/>
      <c r="K2051" s="17" t="n"/>
      <c r="L2051" s="17" t="n"/>
      <c r="M2051" s="17" t="n"/>
      <c r="N2051" s="17" t="n"/>
      <c r="O2051" s="26">
        <f>IF($D2051="","",IFERROR(VLOOKUP($D2051,物料档案!$A$4:$P$1203,10,0),0))</f>
        <v/>
      </c>
      <c r="P2051" s="32" t="n"/>
      <c r="Q2051" s="26">
        <f>IF($D2051="","",IF($K2051&lt;&gt;"对外销售",0,ROUND(N($J2051)*IF($P2051="",N($O2051),N($P2051)),0)))</f>
        <v/>
      </c>
      <c r="R2051" s="26">
        <f>IF($D2051="","",IFERROR(VLOOKUP($D2051,库存台账!$A$5:$Y$1204,11,0),0))</f>
        <v/>
      </c>
      <c r="S2051" s="26">
        <f>IF($D2051="","",ROUND(N($J2051)*N($R2051),0))</f>
        <v/>
      </c>
      <c r="T2051" s="26">
        <f>IF($D2051="","",IF($K2051&lt;&gt;"对外销售","",ROUND($Q2051-$S2051,0)))</f>
        <v/>
      </c>
      <c r="U2051" s="17" t="n"/>
      <c r="V2051" s="17" t="n"/>
      <c r="W2051" s="24">
        <f>IF($D2051="","",IF($E2051="※编码不在物料档案里","※物料编码不在档案里",IF(N($J2051)&lt;=0,"※出库数量要大于 0",IF($K2051="","※没填去向类型",IF($L2051="","※没填去向矿区",IF(AND($C2051&lt;&gt;"",$C2051&lt;=结账锁),"※日期早于已结账截止日，不能再录",IF(AND($K2051="自用消耗",COUNTIF({"一矿区";"二矿区"},$L2051)=0),"※自用消耗的去向只能是一矿区或二矿区",IF(AND($K2051="对外销售",COUNTIF({"三矿区";"六矿区"},$L2051)=0),"※对外销售的去向只能是三矿区或六矿区",IF(AND($K2051="对外销售",ROUND($Q2051,0)=0),"※外销却没有售价，请填实际售价",IF(AND($K2051="对外销售",$T2051&lt;&gt;"",$T2051&lt;0),"※这一笔外销是亏的，请核对售价",IF(IFERROR(VLOOKUP($D2051,库存台账!$A$5:$Y$1204,24,0),0)&lt;-0.001,"※这个物料账面已经变成负数了，查一下是不是漏记入库","")))))))))))</f>
        <v/>
      </c>
    </row>
    <row r="2052">
      <c r="A2052" s="24">
        <f>IF($D2052="","",COUNTA($D$4:$D2052))</f>
        <v/>
      </c>
      <c r="B2052" s="17" t="n"/>
      <c r="C2052" s="30" t="n"/>
      <c r="D2052" s="17" t="n"/>
      <c r="E2052" s="24">
        <f>IF($D2052="","",IFERROR(VLOOKUP($D2052,物料档案!$A$4:$P$1203,3,0),"※编码不在物料档案里"))</f>
        <v/>
      </c>
      <c r="F2052" s="24">
        <f>IF($D2052="","",IFERROR(VLOOKUP($D2052,物料档案!$A$4:$P$1203,4,0),"※编码不在物料档案里"))</f>
        <v/>
      </c>
      <c r="G2052" s="24">
        <f>IF($D2052="","",IFERROR(VLOOKUP($D2052,物料档案!$A$4:$P$1203,5,0),"※编码不在物料档案里"))</f>
        <v/>
      </c>
      <c r="H2052" s="24">
        <f>IF($D2052="","",IFERROR(VLOOKUP($D2052,物料档案!$A$4:$P$1203,2,0),"※编码不在物料档案里"))</f>
        <v/>
      </c>
      <c r="I2052" s="24">
        <f>IF($D2052="","",IFERROR(VLOOKUP($D2052,物料档案!$A$4:$P$1203,6,0),"※编码不在物料档案里"))</f>
        <v/>
      </c>
      <c r="J2052" s="23" t="n"/>
      <c r="K2052" s="17" t="n"/>
      <c r="L2052" s="17" t="n"/>
      <c r="M2052" s="17" t="n"/>
      <c r="N2052" s="17" t="n"/>
      <c r="O2052" s="26">
        <f>IF($D2052="","",IFERROR(VLOOKUP($D2052,物料档案!$A$4:$P$1203,10,0),0))</f>
        <v/>
      </c>
      <c r="P2052" s="32" t="n"/>
      <c r="Q2052" s="26">
        <f>IF($D2052="","",IF($K2052&lt;&gt;"对外销售",0,ROUND(N($J2052)*IF($P2052="",N($O2052),N($P2052)),0)))</f>
        <v/>
      </c>
      <c r="R2052" s="26">
        <f>IF($D2052="","",IFERROR(VLOOKUP($D2052,库存台账!$A$5:$Y$1204,11,0),0))</f>
        <v/>
      </c>
      <c r="S2052" s="26">
        <f>IF($D2052="","",ROUND(N($J2052)*N($R2052),0))</f>
        <v/>
      </c>
      <c r="T2052" s="26">
        <f>IF($D2052="","",IF($K2052&lt;&gt;"对外销售","",ROUND($Q2052-$S2052,0)))</f>
        <v/>
      </c>
      <c r="U2052" s="17" t="n"/>
      <c r="V2052" s="17" t="n"/>
      <c r="W2052" s="24">
        <f>IF($D2052="","",IF($E2052="※编码不在物料档案里","※物料编码不在档案里",IF(N($J2052)&lt;=0,"※出库数量要大于 0",IF($K2052="","※没填去向类型",IF($L2052="","※没填去向矿区",IF(AND($C2052&lt;&gt;"",$C2052&lt;=结账锁),"※日期早于已结账截止日，不能再录",IF(AND($K2052="自用消耗",COUNTIF({"一矿区";"二矿区"},$L2052)=0),"※自用消耗的去向只能是一矿区或二矿区",IF(AND($K2052="对外销售",COUNTIF({"三矿区";"六矿区"},$L2052)=0),"※对外销售的去向只能是三矿区或六矿区",IF(AND($K2052="对外销售",ROUND($Q2052,0)=0),"※外销却没有售价，请填实际售价",IF(AND($K2052="对外销售",$T2052&lt;&gt;"",$T2052&lt;0),"※这一笔外销是亏的，请核对售价",IF(IFERROR(VLOOKUP($D2052,库存台账!$A$5:$Y$1204,24,0),0)&lt;-0.001,"※这个物料账面已经变成负数了，查一下是不是漏记入库","")))))))))))</f>
        <v/>
      </c>
    </row>
    <row r="2053">
      <c r="A2053" s="24">
        <f>IF($D2053="","",COUNTA($D$4:$D2053))</f>
        <v/>
      </c>
      <c r="B2053" s="17" t="n"/>
      <c r="C2053" s="30" t="n"/>
      <c r="D2053" s="17" t="n"/>
      <c r="E2053" s="24">
        <f>IF($D2053="","",IFERROR(VLOOKUP($D2053,物料档案!$A$4:$P$1203,3,0),"※编码不在物料档案里"))</f>
        <v/>
      </c>
      <c r="F2053" s="24">
        <f>IF($D2053="","",IFERROR(VLOOKUP($D2053,物料档案!$A$4:$P$1203,4,0),"※编码不在物料档案里"))</f>
        <v/>
      </c>
      <c r="G2053" s="24">
        <f>IF($D2053="","",IFERROR(VLOOKUP($D2053,物料档案!$A$4:$P$1203,5,0),"※编码不在物料档案里"))</f>
        <v/>
      </c>
      <c r="H2053" s="24">
        <f>IF($D2053="","",IFERROR(VLOOKUP($D2053,物料档案!$A$4:$P$1203,2,0),"※编码不在物料档案里"))</f>
        <v/>
      </c>
      <c r="I2053" s="24">
        <f>IF($D2053="","",IFERROR(VLOOKUP($D2053,物料档案!$A$4:$P$1203,6,0),"※编码不在物料档案里"))</f>
        <v/>
      </c>
      <c r="J2053" s="23" t="n"/>
      <c r="K2053" s="17" t="n"/>
      <c r="L2053" s="17" t="n"/>
      <c r="M2053" s="17" t="n"/>
      <c r="N2053" s="17" t="n"/>
      <c r="O2053" s="26">
        <f>IF($D2053="","",IFERROR(VLOOKUP($D2053,物料档案!$A$4:$P$1203,10,0),0))</f>
        <v/>
      </c>
      <c r="P2053" s="32" t="n"/>
      <c r="Q2053" s="26">
        <f>IF($D2053="","",IF($K2053&lt;&gt;"对外销售",0,ROUND(N($J2053)*IF($P2053="",N($O2053),N($P2053)),0)))</f>
        <v/>
      </c>
      <c r="R2053" s="26">
        <f>IF($D2053="","",IFERROR(VLOOKUP($D2053,库存台账!$A$5:$Y$1204,11,0),0))</f>
        <v/>
      </c>
      <c r="S2053" s="26">
        <f>IF($D2053="","",ROUND(N($J2053)*N($R2053),0))</f>
        <v/>
      </c>
      <c r="T2053" s="26">
        <f>IF($D2053="","",IF($K2053&lt;&gt;"对外销售","",ROUND($Q2053-$S2053,0)))</f>
        <v/>
      </c>
      <c r="U2053" s="17" t="n"/>
      <c r="V2053" s="17" t="n"/>
      <c r="W2053" s="24">
        <f>IF($D2053="","",IF($E2053="※编码不在物料档案里","※物料编码不在档案里",IF(N($J2053)&lt;=0,"※出库数量要大于 0",IF($K2053="","※没填去向类型",IF($L2053="","※没填去向矿区",IF(AND($C2053&lt;&gt;"",$C2053&lt;=结账锁),"※日期早于已结账截止日，不能再录",IF(AND($K2053="自用消耗",COUNTIF({"一矿区";"二矿区"},$L2053)=0),"※自用消耗的去向只能是一矿区或二矿区",IF(AND($K2053="对外销售",COUNTIF({"三矿区";"六矿区"},$L2053)=0),"※对外销售的去向只能是三矿区或六矿区",IF(AND($K2053="对外销售",ROUND($Q2053,0)=0),"※外销却没有售价，请填实际售价",IF(AND($K2053="对外销售",$T2053&lt;&gt;"",$T2053&lt;0),"※这一笔外销是亏的，请核对售价",IF(IFERROR(VLOOKUP($D2053,库存台账!$A$5:$Y$1204,24,0),0)&lt;-0.001,"※这个物料账面已经变成负数了，查一下是不是漏记入库","")))))))))))</f>
        <v/>
      </c>
    </row>
    <row r="2054">
      <c r="A2054" s="24">
        <f>IF($D2054="","",COUNTA($D$4:$D2054))</f>
        <v/>
      </c>
      <c r="B2054" s="17" t="n"/>
      <c r="C2054" s="30" t="n"/>
      <c r="D2054" s="17" t="n"/>
      <c r="E2054" s="24">
        <f>IF($D2054="","",IFERROR(VLOOKUP($D2054,物料档案!$A$4:$P$1203,3,0),"※编码不在物料档案里"))</f>
        <v/>
      </c>
      <c r="F2054" s="24">
        <f>IF($D2054="","",IFERROR(VLOOKUP($D2054,物料档案!$A$4:$P$1203,4,0),"※编码不在物料档案里"))</f>
        <v/>
      </c>
      <c r="G2054" s="24">
        <f>IF($D2054="","",IFERROR(VLOOKUP($D2054,物料档案!$A$4:$P$1203,5,0),"※编码不在物料档案里"))</f>
        <v/>
      </c>
      <c r="H2054" s="24">
        <f>IF($D2054="","",IFERROR(VLOOKUP($D2054,物料档案!$A$4:$P$1203,2,0),"※编码不在物料档案里"))</f>
        <v/>
      </c>
      <c r="I2054" s="24">
        <f>IF($D2054="","",IFERROR(VLOOKUP($D2054,物料档案!$A$4:$P$1203,6,0),"※编码不在物料档案里"))</f>
        <v/>
      </c>
      <c r="J2054" s="23" t="n"/>
      <c r="K2054" s="17" t="n"/>
      <c r="L2054" s="17" t="n"/>
      <c r="M2054" s="17" t="n"/>
      <c r="N2054" s="17" t="n"/>
      <c r="O2054" s="26">
        <f>IF($D2054="","",IFERROR(VLOOKUP($D2054,物料档案!$A$4:$P$1203,10,0),0))</f>
        <v/>
      </c>
      <c r="P2054" s="32" t="n"/>
      <c r="Q2054" s="26">
        <f>IF($D2054="","",IF($K2054&lt;&gt;"对外销售",0,ROUND(N($J2054)*IF($P2054="",N($O2054),N($P2054)),0)))</f>
        <v/>
      </c>
      <c r="R2054" s="26">
        <f>IF($D2054="","",IFERROR(VLOOKUP($D2054,库存台账!$A$5:$Y$1204,11,0),0))</f>
        <v/>
      </c>
      <c r="S2054" s="26">
        <f>IF($D2054="","",ROUND(N($J2054)*N($R2054),0))</f>
        <v/>
      </c>
      <c r="T2054" s="26">
        <f>IF($D2054="","",IF($K2054&lt;&gt;"对外销售","",ROUND($Q2054-$S2054,0)))</f>
        <v/>
      </c>
      <c r="U2054" s="17" t="n"/>
      <c r="V2054" s="17" t="n"/>
      <c r="W2054" s="24">
        <f>IF($D2054="","",IF($E2054="※编码不在物料档案里","※物料编码不在档案里",IF(N($J2054)&lt;=0,"※出库数量要大于 0",IF($K2054="","※没填去向类型",IF($L2054="","※没填去向矿区",IF(AND($C2054&lt;&gt;"",$C2054&lt;=结账锁),"※日期早于已结账截止日，不能再录",IF(AND($K2054="自用消耗",COUNTIF({"一矿区";"二矿区"},$L2054)=0),"※自用消耗的去向只能是一矿区或二矿区",IF(AND($K2054="对外销售",COUNTIF({"三矿区";"六矿区"},$L2054)=0),"※对外销售的去向只能是三矿区或六矿区",IF(AND($K2054="对外销售",ROUND($Q2054,0)=0),"※外销却没有售价，请填实际售价",IF(AND($K2054="对外销售",$T2054&lt;&gt;"",$T2054&lt;0),"※这一笔外销是亏的，请核对售价",IF(IFERROR(VLOOKUP($D2054,库存台账!$A$5:$Y$1204,24,0),0)&lt;-0.001,"※这个物料账面已经变成负数了，查一下是不是漏记入库","")))))))))))</f>
        <v/>
      </c>
    </row>
    <row r="2055">
      <c r="A2055" s="24">
        <f>IF($D2055="","",COUNTA($D$4:$D2055))</f>
        <v/>
      </c>
      <c r="B2055" s="17" t="n"/>
      <c r="C2055" s="30" t="n"/>
      <c r="D2055" s="17" t="n"/>
      <c r="E2055" s="24">
        <f>IF($D2055="","",IFERROR(VLOOKUP($D2055,物料档案!$A$4:$P$1203,3,0),"※编码不在物料档案里"))</f>
        <v/>
      </c>
      <c r="F2055" s="24">
        <f>IF($D2055="","",IFERROR(VLOOKUP($D2055,物料档案!$A$4:$P$1203,4,0),"※编码不在物料档案里"))</f>
        <v/>
      </c>
      <c r="G2055" s="24">
        <f>IF($D2055="","",IFERROR(VLOOKUP($D2055,物料档案!$A$4:$P$1203,5,0),"※编码不在物料档案里"))</f>
        <v/>
      </c>
      <c r="H2055" s="24">
        <f>IF($D2055="","",IFERROR(VLOOKUP($D2055,物料档案!$A$4:$P$1203,2,0),"※编码不在物料档案里"))</f>
        <v/>
      </c>
      <c r="I2055" s="24">
        <f>IF($D2055="","",IFERROR(VLOOKUP($D2055,物料档案!$A$4:$P$1203,6,0),"※编码不在物料档案里"))</f>
        <v/>
      </c>
      <c r="J2055" s="23" t="n"/>
      <c r="K2055" s="17" t="n"/>
      <c r="L2055" s="17" t="n"/>
      <c r="M2055" s="17" t="n"/>
      <c r="N2055" s="17" t="n"/>
      <c r="O2055" s="26">
        <f>IF($D2055="","",IFERROR(VLOOKUP($D2055,物料档案!$A$4:$P$1203,10,0),0))</f>
        <v/>
      </c>
      <c r="P2055" s="32" t="n"/>
      <c r="Q2055" s="26">
        <f>IF($D2055="","",IF($K2055&lt;&gt;"对外销售",0,ROUND(N($J2055)*IF($P2055="",N($O2055),N($P2055)),0)))</f>
        <v/>
      </c>
      <c r="R2055" s="26">
        <f>IF($D2055="","",IFERROR(VLOOKUP($D2055,库存台账!$A$5:$Y$1204,11,0),0))</f>
        <v/>
      </c>
      <c r="S2055" s="26">
        <f>IF($D2055="","",ROUND(N($J2055)*N($R2055),0))</f>
        <v/>
      </c>
      <c r="T2055" s="26">
        <f>IF($D2055="","",IF($K2055&lt;&gt;"对外销售","",ROUND($Q2055-$S2055,0)))</f>
        <v/>
      </c>
      <c r="U2055" s="17" t="n"/>
      <c r="V2055" s="17" t="n"/>
      <c r="W2055" s="24">
        <f>IF($D2055="","",IF($E2055="※编码不在物料档案里","※物料编码不在档案里",IF(N($J2055)&lt;=0,"※出库数量要大于 0",IF($K2055="","※没填去向类型",IF($L2055="","※没填去向矿区",IF(AND($C2055&lt;&gt;"",$C2055&lt;=结账锁),"※日期早于已结账截止日，不能再录",IF(AND($K2055="自用消耗",COUNTIF({"一矿区";"二矿区"},$L2055)=0),"※自用消耗的去向只能是一矿区或二矿区",IF(AND($K2055="对外销售",COUNTIF({"三矿区";"六矿区"},$L2055)=0),"※对外销售的去向只能是三矿区或六矿区",IF(AND($K2055="对外销售",ROUND($Q2055,0)=0),"※外销却没有售价，请填实际售价",IF(AND($K2055="对外销售",$T2055&lt;&gt;"",$T2055&lt;0),"※这一笔外销是亏的，请核对售价",IF(IFERROR(VLOOKUP($D2055,库存台账!$A$5:$Y$1204,24,0),0)&lt;-0.001,"※这个物料账面已经变成负数了，查一下是不是漏记入库","")))))))))))</f>
        <v/>
      </c>
    </row>
    <row r="2056">
      <c r="A2056" s="24">
        <f>IF($D2056="","",COUNTA($D$4:$D2056))</f>
        <v/>
      </c>
      <c r="B2056" s="17" t="n"/>
      <c r="C2056" s="30" t="n"/>
      <c r="D2056" s="17" t="n"/>
      <c r="E2056" s="24">
        <f>IF($D2056="","",IFERROR(VLOOKUP($D2056,物料档案!$A$4:$P$1203,3,0),"※编码不在物料档案里"))</f>
        <v/>
      </c>
      <c r="F2056" s="24">
        <f>IF($D2056="","",IFERROR(VLOOKUP($D2056,物料档案!$A$4:$P$1203,4,0),"※编码不在物料档案里"))</f>
        <v/>
      </c>
      <c r="G2056" s="24">
        <f>IF($D2056="","",IFERROR(VLOOKUP($D2056,物料档案!$A$4:$P$1203,5,0),"※编码不在物料档案里"))</f>
        <v/>
      </c>
      <c r="H2056" s="24">
        <f>IF($D2056="","",IFERROR(VLOOKUP($D2056,物料档案!$A$4:$P$1203,2,0),"※编码不在物料档案里"))</f>
        <v/>
      </c>
      <c r="I2056" s="24">
        <f>IF($D2056="","",IFERROR(VLOOKUP($D2056,物料档案!$A$4:$P$1203,6,0),"※编码不在物料档案里"))</f>
        <v/>
      </c>
      <c r="J2056" s="23" t="n"/>
      <c r="K2056" s="17" t="n"/>
      <c r="L2056" s="17" t="n"/>
      <c r="M2056" s="17" t="n"/>
      <c r="N2056" s="17" t="n"/>
      <c r="O2056" s="26">
        <f>IF($D2056="","",IFERROR(VLOOKUP($D2056,物料档案!$A$4:$P$1203,10,0),0))</f>
        <v/>
      </c>
      <c r="P2056" s="32" t="n"/>
      <c r="Q2056" s="26">
        <f>IF($D2056="","",IF($K2056&lt;&gt;"对外销售",0,ROUND(N($J2056)*IF($P2056="",N($O2056),N($P2056)),0)))</f>
        <v/>
      </c>
      <c r="R2056" s="26">
        <f>IF($D2056="","",IFERROR(VLOOKUP($D2056,库存台账!$A$5:$Y$1204,11,0),0))</f>
        <v/>
      </c>
      <c r="S2056" s="26">
        <f>IF($D2056="","",ROUND(N($J2056)*N($R2056),0))</f>
        <v/>
      </c>
      <c r="T2056" s="26">
        <f>IF($D2056="","",IF($K2056&lt;&gt;"对外销售","",ROUND($Q2056-$S2056,0)))</f>
        <v/>
      </c>
      <c r="U2056" s="17" t="n"/>
      <c r="V2056" s="17" t="n"/>
      <c r="W2056" s="24">
        <f>IF($D2056="","",IF($E2056="※编码不在物料档案里","※物料编码不在档案里",IF(N($J2056)&lt;=0,"※出库数量要大于 0",IF($K2056="","※没填去向类型",IF($L2056="","※没填去向矿区",IF(AND($C2056&lt;&gt;"",$C2056&lt;=结账锁),"※日期早于已结账截止日，不能再录",IF(AND($K2056="自用消耗",COUNTIF({"一矿区";"二矿区"},$L2056)=0),"※自用消耗的去向只能是一矿区或二矿区",IF(AND($K2056="对外销售",COUNTIF({"三矿区";"六矿区"},$L2056)=0),"※对外销售的去向只能是三矿区或六矿区",IF(AND($K2056="对外销售",ROUND($Q2056,0)=0),"※外销却没有售价，请填实际售价",IF(AND($K2056="对外销售",$T2056&lt;&gt;"",$T2056&lt;0),"※这一笔外销是亏的，请核对售价",IF(IFERROR(VLOOKUP($D2056,库存台账!$A$5:$Y$1204,24,0),0)&lt;-0.001,"※这个物料账面已经变成负数了，查一下是不是漏记入库","")))))))))))</f>
        <v/>
      </c>
    </row>
    <row r="2057">
      <c r="A2057" s="24">
        <f>IF($D2057="","",COUNTA($D$4:$D2057))</f>
        <v/>
      </c>
      <c r="B2057" s="17" t="n"/>
      <c r="C2057" s="30" t="n"/>
      <c r="D2057" s="17" t="n"/>
      <c r="E2057" s="24">
        <f>IF($D2057="","",IFERROR(VLOOKUP($D2057,物料档案!$A$4:$P$1203,3,0),"※编码不在物料档案里"))</f>
        <v/>
      </c>
      <c r="F2057" s="24">
        <f>IF($D2057="","",IFERROR(VLOOKUP($D2057,物料档案!$A$4:$P$1203,4,0),"※编码不在物料档案里"))</f>
        <v/>
      </c>
      <c r="G2057" s="24">
        <f>IF($D2057="","",IFERROR(VLOOKUP($D2057,物料档案!$A$4:$P$1203,5,0),"※编码不在物料档案里"))</f>
        <v/>
      </c>
      <c r="H2057" s="24">
        <f>IF($D2057="","",IFERROR(VLOOKUP($D2057,物料档案!$A$4:$P$1203,2,0),"※编码不在物料档案里"))</f>
        <v/>
      </c>
      <c r="I2057" s="24">
        <f>IF($D2057="","",IFERROR(VLOOKUP($D2057,物料档案!$A$4:$P$1203,6,0),"※编码不在物料档案里"))</f>
        <v/>
      </c>
      <c r="J2057" s="23" t="n"/>
      <c r="K2057" s="17" t="n"/>
      <c r="L2057" s="17" t="n"/>
      <c r="M2057" s="17" t="n"/>
      <c r="N2057" s="17" t="n"/>
      <c r="O2057" s="26">
        <f>IF($D2057="","",IFERROR(VLOOKUP($D2057,物料档案!$A$4:$P$1203,10,0),0))</f>
        <v/>
      </c>
      <c r="P2057" s="32" t="n"/>
      <c r="Q2057" s="26">
        <f>IF($D2057="","",IF($K2057&lt;&gt;"对外销售",0,ROUND(N($J2057)*IF($P2057="",N($O2057),N($P2057)),0)))</f>
        <v/>
      </c>
      <c r="R2057" s="26">
        <f>IF($D2057="","",IFERROR(VLOOKUP($D2057,库存台账!$A$5:$Y$1204,11,0),0))</f>
        <v/>
      </c>
      <c r="S2057" s="26">
        <f>IF($D2057="","",ROUND(N($J2057)*N($R2057),0))</f>
        <v/>
      </c>
      <c r="T2057" s="26">
        <f>IF($D2057="","",IF($K2057&lt;&gt;"对外销售","",ROUND($Q2057-$S2057,0)))</f>
        <v/>
      </c>
      <c r="U2057" s="17" t="n"/>
      <c r="V2057" s="17" t="n"/>
      <c r="W2057" s="24">
        <f>IF($D2057="","",IF($E2057="※编码不在物料档案里","※物料编码不在档案里",IF(N($J2057)&lt;=0,"※出库数量要大于 0",IF($K2057="","※没填去向类型",IF($L2057="","※没填去向矿区",IF(AND($C2057&lt;&gt;"",$C2057&lt;=结账锁),"※日期早于已结账截止日，不能再录",IF(AND($K2057="自用消耗",COUNTIF({"一矿区";"二矿区"},$L2057)=0),"※自用消耗的去向只能是一矿区或二矿区",IF(AND($K2057="对外销售",COUNTIF({"三矿区";"六矿区"},$L2057)=0),"※对外销售的去向只能是三矿区或六矿区",IF(AND($K2057="对外销售",ROUND($Q2057,0)=0),"※外销却没有售价，请填实际售价",IF(AND($K2057="对外销售",$T2057&lt;&gt;"",$T2057&lt;0),"※这一笔外销是亏的，请核对售价",IF(IFERROR(VLOOKUP($D2057,库存台账!$A$5:$Y$1204,24,0),0)&lt;-0.001,"※这个物料账面已经变成负数了，查一下是不是漏记入库","")))))))))))</f>
        <v/>
      </c>
    </row>
    <row r="2058">
      <c r="A2058" s="24">
        <f>IF($D2058="","",COUNTA($D$4:$D2058))</f>
        <v/>
      </c>
      <c r="B2058" s="17" t="n"/>
      <c r="C2058" s="30" t="n"/>
      <c r="D2058" s="17" t="n"/>
      <c r="E2058" s="24">
        <f>IF($D2058="","",IFERROR(VLOOKUP($D2058,物料档案!$A$4:$P$1203,3,0),"※编码不在物料档案里"))</f>
        <v/>
      </c>
      <c r="F2058" s="24">
        <f>IF($D2058="","",IFERROR(VLOOKUP($D2058,物料档案!$A$4:$P$1203,4,0),"※编码不在物料档案里"))</f>
        <v/>
      </c>
      <c r="G2058" s="24">
        <f>IF($D2058="","",IFERROR(VLOOKUP($D2058,物料档案!$A$4:$P$1203,5,0),"※编码不在物料档案里"))</f>
        <v/>
      </c>
      <c r="H2058" s="24">
        <f>IF($D2058="","",IFERROR(VLOOKUP($D2058,物料档案!$A$4:$P$1203,2,0),"※编码不在物料档案里"))</f>
        <v/>
      </c>
      <c r="I2058" s="24">
        <f>IF($D2058="","",IFERROR(VLOOKUP($D2058,物料档案!$A$4:$P$1203,6,0),"※编码不在物料档案里"))</f>
        <v/>
      </c>
      <c r="J2058" s="23" t="n"/>
      <c r="K2058" s="17" t="n"/>
      <c r="L2058" s="17" t="n"/>
      <c r="M2058" s="17" t="n"/>
      <c r="N2058" s="17" t="n"/>
      <c r="O2058" s="26">
        <f>IF($D2058="","",IFERROR(VLOOKUP($D2058,物料档案!$A$4:$P$1203,10,0),0))</f>
        <v/>
      </c>
      <c r="P2058" s="32" t="n"/>
      <c r="Q2058" s="26">
        <f>IF($D2058="","",IF($K2058&lt;&gt;"对外销售",0,ROUND(N($J2058)*IF($P2058="",N($O2058),N($P2058)),0)))</f>
        <v/>
      </c>
      <c r="R2058" s="26">
        <f>IF($D2058="","",IFERROR(VLOOKUP($D2058,库存台账!$A$5:$Y$1204,11,0),0))</f>
        <v/>
      </c>
      <c r="S2058" s="26">
        <f>IF($D2058="","",ROUND(N($J2058)*N($R2058),0))</f>
        <v/>
      </c>
      <c r="T2058" s="26">
        <f>IF($D2058="","",IF($K2058&lt;&gt;"对外销售","",ROUND($Q2058-$S2058,0)))</f>
        <v/>
      </c>
      <c r="U2058" s="17" t="n"/>
      <c r="V2058" s="17" t="n"/>
      <c r="W2058" s="24">
        <f>IF($D2058="","",IF($E2058="※编码不在物料档案里","※物料编码不在档案里",IF(N($J2058)&lt;=0,"※出库数量要大于 0",IF($K2058="","※没填去向类型",IF($L2058="","※没填去向矿区",IF(AND($C2058&lt;&gt;"",$C2058&lt;=结账锁),"※日期早于已结账截止日，不能再录",IF(AND($K2058="自用消耗",COUNTIF({"一矿区";"二矿区"},$L2058)=0),"※自用消耗的去向只能是一矿区或二矿区",IF(AND($K2058="对外销售",COUNTIF({"三矿区";"六矿区"},$L2058)=0),"※对外销售的去向只能是三矿区或六矿区",IF(AND($K2058="对外销售",ROUND($Q2058,0)=0),"※外销却没有售价，请填实际售价",IF(AND($K2058="对外销售",$T2058&lt;&gt;"",$T2058&lt;0),"※这一笔外销是亏的，请核对售价",IF(IFERROR(VLOOKUP($D2058,库存台账!$A$5:$Y$1204,24,0),0)&lt;-0.001,"※这个物料账面已经变成负数了，查一下是不是漏记入库","")))))))))))</f>
        <v/>
      </c>
    </row>
    <row r="2059">
      <c r="A2059" s="24">
        <f>IF($D2059="","",COUNTA($D$4:$D2059))</f>
        <v/>
      </c>
      <c r="B2059" s="17" t="n"/>
      <c r="C2059" s="30" t="n"/>
      <c r="D2059" s="17" t="n"/>
      <c r="E2059" s="24">
        <f>IF($D2059="","",IFERROR(VLOOKUP($D2059,物料档案!$A$4:$P$1203,3,0),"※编码不在物料档案里"))</f>
        <v/>
      </c>
      <c r="F2059" s="24">
        <f>IF($D2059="","",IFERROR(VLOOKUP($D2059,物料档案!$A$4:$P$1203,4,0),"※编码不在物料档案里"))</f>
        <v/>
      </c>
      <c r="G2059" s="24">
        <f>IF($D2059="","",IFERROR(VLOOKUP($D2059,物料档案!$A$4:$P$1203,5,0),"※编码不在物料档案里"))</f>
        <v/>
      </c>
      <c r="H2059" s="24">
        <f>IF($D2059="","",IFERROR(VLOOKUP($D2059,物料档案!$A$4:$P$1203,2,0),"※编码不在物料档案里"))</f>
        <v/>
      </c>
      <c r="I2059" s="24">
        <f>IF($D2059="","",IFERROR(VLOOKUP($D2059,物料档案!$A$4:$P$1203,6,0),"※编码不在物料档案里"))</f>
        <v/>
      </c>
      <c r="J2059" s="23" t="n"/>
      <c r="K2059" s="17" t="n"/>
      <c r="L2059" s="17" t="n"/>
      <c r="M2059" s="17" t="n"/>
      <c r="N2059" s="17" t="n"/>
      <c r="O2059" s="26">
        <f>IF($D2059="","",IFERROR(VLOOKUP($D2059,物料档案!$A$4:$P$1203,10,0),0))</f>
        <v/>
      </c>
      <c r="P2059" s="32" t="n"/>
      <c r="Q2059" s="26">
        <f>IF($D2059="","",IF($K2059&lt;&gt;"对外销售",0,ROUND(N($J2059)*IF($P2059="",N($O2059),N($P2059)),0)))</f>
        <v/>
      </c>
      <c r="R2059" s="26">
        <f>IF($D2059="","",IFERROR(VLOOKUP($D2059,库存台账!$A$5:$Y$1204,11,0),0))</f>
        <v/>
      </c>
      <c r="S2059" s="26">
        <f>IF($D2059="","",ROUND(N($J2059)*N($R2059),0))</f>
        <v/>
      </c>
      <c r="T2059" s="26">
        <f>IF($D2059="","",IF($K2059&lt;&gt;"对外销售","",ROUND($Q2059-$S2059,0)))</f>
        <v/>
      </c>
      <c r="U2059" s="17" t="n"/>
      <c r="V2059" s="17" t="n"/>
      <c r="W2059" s="24">
        <f>IF($D2059="","",IF($E2059="※编码不在物料档案里","※物料编码不在档案里",IF(N($J2059)&lt;=0,"※出库数量要大于 0",IF($K2059="","※没填去向类型",IF($L2059="","※没填去向矿区",IF(AND($C2059&lt;&gt;"",$C2059&lt;=结账锁),"※日期早于已结账截止日，不能再录",IF(AND($K2059="自用消耗",COUNTIF({"一矿区";"二矿区"},$L2059)=0),"※自用消耗的去向只能是一矿区或二矿区",IF(AND($K2059="对外销售",COUNTIF({"三矿区";"六矿区"},$L2059)=0),"※对外销售的去向只能是三矿区或六矿区",IF(AND($K2059="对外销售",ROUND($Q2059,0)=0),"※外销却没有售价，请填实际售价",IF(AND($K2059="对外销售",$T2059&lt;&gt;"",$T2059&lt;0),"※这一笔外销是亏的，请核对售价",IF(IFERROR(VLOOKUP($D2059,库存台账!$A$5:$Y$1204,24,0),0)&lt;-0.001,"※这个物料账面已经变成负数了，查一下是不是漏记入库","")))))))))))</f>
        <v/>
      </c>
    </row>
    <row r="2060">
      <c r="A2060" s="24">
        <f>IF($D2060="","",COUNTA($D$4:$D2060))</f>
        <v/>
      </c>
      <c r="B2060" s="17" t="n"/>
      <c r="C2060" s="30" t="n"/>
      <c r="D2060" s="17" t="n"/>
      <c r="E2060" s="24">
        <f>IF($D2060="","",IFERROR(VLOOKUP($D2060,物料档案!$A$4:$P$1203,3,0),"※编码不在物料档案里"))</f>
        <v/>
      </c>
      <c r="F2060" s="24">
        <f>IF($D2060="","",IFERROR(VLOOKUP($D2060,物料档案!$A$4:$P$1203,4,0),"※编码不在物料档案里"))</f>
        <v/>
      </c>
      <c r="G2060" s="24">
        <f>IF($D2060="","",IFERROR(VLOOKUP($D2060,物料档案!$A$4:$P$1203,5,0),"※编码不在物料档案里"))</f>
        <v/>
      </c>
      <c r="H2060" s="24">
        <f>IF($D2060="","",IFERROR(VLOOKUP($D2060,物料档案!$A$4:$P$1203,2,0),"※编码不在物料档案里"))</f>
        <v/>
      </c>
      <c r="I2060" s="24">
        <f>IF($D2060="","",IFERROR(VLOOKUP($D2060,物料档案!$A$4:$P$1203,6,0),"※编码不在物料档案里"))</f>
        <v/>
      </c>
      <c r="J2060" s="23" t="n"/>
      <c r="K2060" s="17" t="n"/>
      <c r="L2060" s="17" t="n"/>
      <c r="M2060" s="17" t="n"/>
      <c r="N2060" s="17" t="n"/>
      <c r="O2060" s="26">
        <f>IF($D2060="","",IFERROR(VLOOKUP($D2060,物料档案!$A$4:$P$1203,10,0),0))</f>
        <v/>
      </c>
      <c r="P2060" s="32" t="n"/>
      <c r="Q2060" s="26">
        <f>IF($D2060="","",IF($K2060&lt;&gt;"对外销售",0,ROUND(N($J2060)*IF($P2060="",N($O2060),N($P2060)),0)))</f>
        <v/>
      </c>
      <c r="R2060" s="26">
        <f>IF($D2060="","",IFERROR(VLOOKUP($D2060,库存台账!$A$5:$Y$1204,11,0),0))</f>
        <v/>
      </c>
      <c r="S2060" s="26">
        <f>IF($D2060="","",ROUND(N($J2060)*N($R2060),0))</f>
        <v/>
      </c>
      <c r="T2060" s="26">
        <f>IF($D2060="","",IF($K2060&lt;&gt;"对外销售","",ROUND($Q2060-$S2060,0)))</f>
        <v/>
      </c>
      <c r="U2060" s="17" t="n"/>
      <c r="V2060" s="17" t="n"/>
      <c r="W2060" s="24">
        <f>IF($D2060="","",IF($E2060="※编码不在物料档案里","※物料编码不在档案里",IF(N($J2060)&lt;=0,"※出库数量要大于 0",IF($K2060="","※没填去向类型",IF($L2060="","※没填去向矿区",IF(AND($C2060&lt;&gt;"",$C2060&lt;=结账锁),"※日期早于已结账截止日，不能再录",IF(AND($K2060="自用消耗",COUNTIF({"一矿区";"二矿区"},$L2060)=0),"※自用消耗的去向只能是一矿区或二矿区",IF(AND($K2060="对外销售",COUNTIF({"三矿区";"六矿区"},$L2060)=0),"※对外销售的去向只能是三矿区或六矿区",IF(AND($K2060="对外销售",ROUND($Q2060,0)=0),"※外销却没有售价，请填实际售价",IF(AND($K2060="对外销售",$T2060&lt;&gt;"",$T2060&lt;0),"※这一笔外销是亏的，请核对售价",IF(IFERROR(VLOOKUP($D2060,库存台账!$A$5:$Y$1204,24,0),0)&lt;-0.001,"※这个物料账面已经变成负数了，查一下是不是漏记入库","")))))))))))</f>
        <v/>
      </c>
    </row>
    <row r="2061">
      <c r="A2061" s="24">
        <f>IF($D2061="","",COUNTA($D$4:$D2061))</f>
        <v/>
      </c>
      <c r="B2061" s="17" t="n"/>
      <c r="C2061" s="30" t="n"/>
      <c r="D2061" s="17" t="n"/>
      <c r="E2061" s="24">
        <f>IF($D2061="","",IFERROR(VLOOKUP($D2061,物料档案!$A$4:$P$1203,3,0),"※编码不在物料档案里"))</f>
        <v/>
      </c>
      <c r="F2061" s="24">
        <f>IF($D2061="","",IFERROR(VLOOKUP($D2061,物料档案!$A$4:$P$1203,4,0),"※编码不在物料档案里"))</f>
        <v/>
      </c>
      <c r="G2061" s="24">
        <f>IF($D2061="","",IFERROR(VLOOKUP($D2061,物料档案!$A$4:$P$1203,5,0),"※编码不在物料档案里"))</f>
        <v/>
      </c>
      <c r="H2061" s="24">
        <f>IF($D2061="","",IFERROR(VLOOKUP($D2061,物料档案!$A$4:$P$1203,2,0),"※编码不在物料档案里"))</f>
        <v/>
      </c>
      <c r="I2061" s="24">
        <f>IF($D2061="","",IFERROR(VLOOKUP($D2061,物料档案!$A$4:$P$1203,6,0),"※编码不在物料档案里"))</f>
        <v/>
      </c>
      <c r="J2061" s="23" t="n"/>
      <c r="K2061" s="17" t="n"/>
      <c r="L2061" s="17" t="n"/>
      <c r="M2061" s="17" t="n"/>
      <c r="N2061" s="17" t="n"/>
      <c r="O2061" s="26">
        <f>IF($D2061="","",IFERROR(VLOOKUP($D2061,物料档案!$A$4:$P$1203,10,0),0))</f>
        <v/>
      </c>
      <c r="P2061" s="32" t="n"/>
      <c r="Q2061" s="26">
        <f>IF($D2061="","",IF($K2061&lt;&gt;"对外销售",0,ROUND(N($J2061)*IF($P2061="",N($O2061),N($P2061)),0)))</f>
        <v/>
      </c>
      <c r="R2061" s="26">
        <f>IF($D2061="","",IFERROR(VLOOKUP($D2061,库存台账!$A$5:$Y$1204,11,0),0))</f>
        <v/>
      </c>
      <c r="S2061" s="26">
        <f>IF($D2061="","",ROUND(N($J2061)*N($R2061),0))</f>
        <v/>
      </c>
      <c r="T2061" s="26">
        <f>IF($D2061="","",IF($K2061&lt;&gt;"对外销售","",ROUND($Q2061-$S2061,0)))</f>
        <v/>
      </c>
      <c r="U2061" s="17" t="n"/>
      <c r="V2061" s="17" t="n"/>
      <c r="W2061" s="24">
        <f>IF($D2061="","",IF($E2061="※编码不在物料档案里","※物料编码不在档案里",IF(N($J2061)&lt;=0,"※出库数量要大于 0",IF($K2061="","※没填去向类型",IF($L2061="","※没填去向矿区",IF(AND($C2061&lt;&gt;"",$C2061&lt;=结账锁),"※日期早于已结账截止日，不能再录",IF(AND($K2061="自用消耗",COUNTIF({"一矿区";"二矿区"},$L2061)=0),"※自用消耗的去向只能是一矿区或二矿区",IF(AND($K2061="对外销售",COUNTIF({"三矿区";"六矿区"},$L2061)=0),"※对外销售的去向只能是三矿区或六矿区",IF(AND($K2061="对外销售",ROUND($Q2061,0)=0),"※外销却没有售价，请填实际售价",IF(AND($K2061="对外销售",$T2061&lt;&gt;"",$T2061&lt;0),"※这一笔外销是亏的，请核对售价",IF(IFERROR(VLOOKUP($D2061,库存台账!$A$5:$Y$1204,24,0),0)&lt;-0.001,"※这个物料账面已经变成负数了，查一下是不是漏记入库","")))))))))))</f>
        <v/>
      </c>
    </row>
    <row r="2062">
      <c r="A2062" s="24">
        <f>IF($D2062="","",COUNTA($D$4:$D2062))</f>
        <v/>
      </c>
      <c r="B2062" s="17" t="n"/>
      <c r="C2062" s="30" t="n"/>
      <c r="D2062" s="17" t="n"/>
      <c r="E2062" s="24">
        <f>IF($D2062="","",IFERROR(VLOOKUP($D2062,物料档案!$A$4:$P$1203,3,0),"※编码不在物料档案里"))</f>
        <v/>
      </c>
      <c r="F2062" s="24">
        <f>IF($D2062="","",IFERROR(VLOOKUP($D2062,物料档案!$A$4:$P$1203,4,0),"※编码不在物料档案里"))</f>
        <v/>
      </c>
      <c r="G2062" s="24">
        <f>IF($D2062="","",IFERROR(VLOOKUP($D2062,物料档案!$A$4:$P$1203,5,0),"※编码不在物料档案里"))</f>
        <v/>
      </c>
      <c r="H2062" s="24">
        <f>IF($D2062="","",IFERROR(VLOOKUP($D2062,物料档案!$A$4:$P$1203,2,0),"※编码不在物料档案里"))</f>
        <v/>
      </c>
      <c r="I2062" s="24">
        <f>IF($D2062="","",IFERROR(VLOOKUP($D2062,物料档案!$A$4:$P$1203,6,0),"※编码不在物料档案里"))</f>
        <v/>
      </c>
      <c r="J2062" s="23" t="n"/>
      <c r="K2062" s="17" t="n"/>
      <c r="L2062" s="17" t="n"/>
      <c r="M2062" s="17" t="n"/>
      <c r="N2062" s="17" t="n"/>
      <c r="O2062" s="26">
        <f>IF($D2062="","",IFERROR(VLOOKUP($D2062,物料档案!$A$4:$P$1203,10,0),0))</f>
        <v/>
      </c>
      <c r="P2062" s="32" t="n"/>
      <c r="Q2062" s="26">
        <f>IF($D2062="","",IF($K2062&lt;&gt;"对外销售",0,ROUND(N($J2062)*IF($P2062="",N($O2062),N($P2062)),0)))</f>
        <v/>
      </c>
      <c r="R2062" s="26">
        <f>IF($D2062="","",IFERROR(VLOOKUP($D2062,库存台账!$A$5:$Y$1204,11,0),0))</f>
        <v/>
      </c>
      <c r="S2062" s="26">
        <f>IF($D2062="","",ROUND(N($J2062)*N($R2062),0))</f>
        <v/>
      </c>
      <c r="T2062" s="26">
        <f>IF($D2062="","",IF($K2062&lt;&gt;"对外销售","",ROUND($Q2062-$S2062,0)))</f>
        <v/>
      </c>
      <c r="U2062" s="17" t="n"/>
      <c r="V2062" s="17" t="n"/>
      <c r="W2062" s="24">
        <f>IF($D2062="","",IF($E2062="※编码不在物料档案里","※物料编码不在档案里",IF(N($J2062)&lt;=0,"※出库数量要大于 0",IF($K2062="","※没填去向类型",IF($L2062="","※没填去向矿区",IF(AND($C2062&lt;&gt;"",$C2062&lt;=结账锁),"※日期早于已结账截止日，不能再录",IF(AND($K2062="自用消耗",COUNTIF({"一矿区";"二矿区"},$L2062)=0),"※自用消耗的去向只能是一矿区或二矿区",IF(AND($K2062="对外销售",COUNTIF({"三矿区";"六矿区"},$L2062)=0),"※对外销售的去向只能是三矿区或六矿区",IF(AND($K2062="对外销售",ROUND($Q2062,0)=0),"※外销却没有售价，请填实际售价",IF(AND($K2062="对外销售",$T2062&lt;&gt;"",$T2062&lt;0),"※这一笔外销是亏的，请核对售价",IF(IFERROR(VLOOKUP($D2062,库存台账!$A$5:$Y$1204,24,0),0)&lt;-0.001,"※这个物料账面已经变成负数了，查一下是不是漏记入库","")))))))))))</f>
        <v/>
      </c>
    </row>
    <row r="2063">
      <c r="A2063" s="24">
        <f>IF($D2063="","",COUNTA($D$4:$D2063))</f>
        <v/>
      </c>
      <c r="B2063" s="17" t="n"/>
      <c r="C2063" s="30" t="n"/>
      <c r="D2063" s="17" t="n"/>
      <c r="E2063" s="24">
        <f>IF($D2063="","",IFERROR(VLOOKUP($D2063,物料档案!$A$4:$P$1203,3,0),"※编码不在物料档案里"))</f>
        <v/>
      </c>
      <c r="F2063" s="24">
        <f>IF($D2063="","",IFERROR(VLOOKUP($D2063,物料档案!$A$4:$P$1203,4,0),"※编码不在物料档案里"))</f>
        <v/>
      </c>
      <c r="G2063" s="24">
        <f>IF($D2063="","",IFERROR(VLOOKUP($D2063,物料档案!$A$4:$P$1203,5,0),"※编码不在物料档案里"))</f>
        <v/>
      </c>
      <c r="H2063" s="24">
        <f>IF($D2063="","",IFERROR(VLOOKUP($D2063,物料档案!$A$4:$P$1203,2,0),"※编码不在物料档案里"))</f>
        <v/>
      </c>
      <c r="I2063" s="24">
        <f>IF($D2063="","",IFERROR(VLOOKUP($D2063,物料档案!$A$4:$P$1203,6,0),"※编码不在物料档案里"))</f>
        <v/>
      </c>
      <c r="J2063" s="23" t="n"/>
      <c r="K2063" s="17" t="n"/>
      <c r="L2063" s="17" t="n"/>
      <c r="M2063" s="17" t="n"/>
      <c r="N2063" s="17" t="n"/>
      <c r="O2063" s="26">
        <f>IF($D2063="","",IFERROR(VLOOKUP($D2063,物料档案!$A$4:$P$1203,10,0),0))</f>
        <v/>
      </c>
      <c r="P2063" s="32" t="n"/>
      <c r="Q2063" s="26">
        <f>IF($D2063="","",IF($K2063&lt;&gt;"对外销售",0,ROUND(N($J2063)*IF($P2063="",N($O2063),N($P2063)),0)))</f>
        <v/>
      </c>
      <c r="R2063" s="26">
        <f>IF($D2063="","",IFERROR(VLOOKUP($D2063,库存台账!$A$5:$Y$1204,11,0),0))</f>
        <v/>
      </c>
      <c r="S2063" s="26">
        <f>IF($D2063="","",ROUND(N($J2063)*N($R2063),0))</f>
        <v/>
      </c>
      <c r="T2063" s="26">
        <f>IF($D2063="","",IF($K2063&lt;&gt;"对外销售","",ROUND($Q2063-$S2063,0)))</f>
        <v/>
      </c>
      <c r="U2063" s="17" t="n"/>
      <c r="V2063" s="17" t="n"/>
      <c r="W2063" s="24">
        <f>IF($D2063="","",IF($E2063="※编码不在物料档案里","※物料编码不在档案里",IF(N($J2063)&lt;=0,"※出库数量要大于 0",IF($K2063="","※没填去向类型",IF($L2063="","※没填去向矿区",IF(AND($C2063&lt;&gt;"",$C2063&lt;=结账锁),"※日期早于已结账截止日，不能再录",IF(AND($K2063="自用消耗",COUNTIF({"一矿区";"二矿区"},$L2063)=0),"※自用消耗的去向只能是一矿区或二矿区",IF(AND($K2063="对外销售",COUNTIF({"三矿区";"六矿区"},$L2063)=0),"※对外销售的去向只能是三矿区或六矿区",IF(AND($K2063="对外销售",ROUND($Q2063,0)=0),"※外销却没有售价，请填实际售价",IF(AND($K2063="对外销售",$T2063&lt;&gt;"",$T2063&lt;0),"※这一笔外销是亏的，请核对售价",IF(IFERROR(VLOOKUP($D2063,库存台账!$A$5:$Y$1204,24,0),0)&lt;-0.001,"※这个物料账面已经变成负数了，查一下是不是漏记入库","")))))))))))</f>
        <v/>
      </c>
    </row>
    <row r="2064">
      <c r="A2064" s="24">
        <f>IF($D2064="","",COUNTA($D$4:$D2064))</f>
        <v/>
      </c>
      <c r="B2064" s="17" t="n"/>
      <c r="C2064" s="30" t="n"/>
      <c r="D2064" s="17" t="n"/>
      <c r="E2064" s="24">
        <f>IF($D2064="","",IFERROR(VLOOKUP($D2064,物料档案!$A$4:$P$1203,3,0),"※编码不在物料档案里"))</f>
        <v/>
      </c>
      <c r="F2064" s="24">
        <f>IF($D2064="","",IFERROR(VLOOKUP($D2064,物料档案!$A$4:$P$1203,4,0),"※编码不在物料档案里"))</f>
        <v/>
      </c>
      <c r="G2064" s="24">
        <f>IF($D2064="","",IFERROR(VLOOKUP($D2064,物料档案!$A$4:$P$1203,5,0),"※编码不在物料档案里"))</f>
        <v/>
      </c>
      <c r="H2064" s="24">
        <f>IF($D2064="","",IFERROR(VLOOKUP($D2064,物料档案!$A$4:$P$1203,2,0),"※编码不在物料档案里"))</f>
        <v/>
      </c>
      <c r="I2064" s="24">
        <f>IF($D2064="","",IFERROR(VLOOKUP($D2064,物料档案!$A$4:$P$1203,6,0),"※编码不在物料档案里"))</f>
        <v/>
      </c>
      <c r="J2064" s="23" t="n"/>
      <c r="K2064" s="17" t="n"/>
      <c r="L2064" s="17" t="n"/>
      <c r="M2064" s="17" t="n"/>
      <c r="N2064" s="17" t="n"/>
      <c r="O2064" s="26">
        <f>IF($D2064="","",IFERROR(VLOOKUP($D2064,物料档案!$A$4:$P$1203,10,0),0))</f>
        <v/>
      </c>
      <c r="P2064" s="32" t="n"/>
      <c r="Q2064" s="26">
        <f>IF($D2064="","",IF($K2064&lt;&gt;"对外销售",0,ROUND(N($J2064)*IF($P2064="",N($O2064),N($P2064)),0)))</f>
        <v/>
      </c>
      <c r="R2064" s="26">
        <f>IF($D2064="","",IFERROR(VLOOKUP($D2064,库存台账!$A$5:$Y$1204,11,0),0))</f>
        <v/>
      </c>
      <c r="S2064" s="26">
        <f>IF($D2064="","",ROUND(N($J2064)*N($R2064),0))</f>
        <v/>
      </c>
      <c r="T2064" s="26">
        <f>IF($D2064="","",IF($K2064&lt;&gt;"对外销售","",ROUND($Q2064-$S2064,0)))</f>
        <v/>
      </c>
      <c r="U2064" s="17" t="n"/>
      <c r="V2064" s="17" t="n"/>
      <c r="W2064" s="24">
        <f>IF($D2064="","",IF($E2064="※编码不在物料档案里","※物料编码不在档案里",IF(N($J2064)&lt;=0,"※出库数量要大于 0",IF($K2064="","※没填去向类型",IF($L2064="","※没填去向矿区",IF(AND($C2064&lt;&gt;"",$C2064&lt;=结账锁),"※日期早于已结账截止日，不能再录",IF(AND($K2064="自用消耗",COUNTIF({"一矿区";"二矿区"},$L2064)=0),"※自用消耗的去向只能是一矿区或二矿区",IF(AND($K2064="对外销售",COUNTIF({"三矿区";"六矿区"},$L2064)=0),"※对外销售的去向只能是三矿区或六矿区",IF(AND($K2064="对外销售",ROUND($Q2064,0)=0),"※外销却没有售价，请填实际售价",IF(AND($K2064="对外销售",$T2064&lt;&gt;"",$T2064&lt;0),"※这一笔外销是亏的，请核对售价",IF(IFERROR(VLOOKUP($D2064,库存台账!$A$5:$Y$1204,24,0),0)&lt;-0.001,"※这个物料账面已经变成负数了，查一下是不是漏记入库","")))))))))))</f>
        <v/>
      </c>
    </row>
    <row r="2065">
      <c r="A2065" s="24">
        <f>IF($D2065="","",COUNTA($D$4:$D2065))</f>
        <v/>
      </c>
      <c r="B2065" s="17" t="n"/>
      <c r="C2065" s="30" t="n"/>
      <c r="D2065" s="17" t="n"/>
      <c r="E2065" s="24">
        <f>IF($D2065="","",IFERROR(VLOOKUP($D2065,物料档案!$A$4:$P$1203,3,0),"※编码不在物料档案里"))</f>
        <v/>
      </c>
      <c r="F2065" s="24">
        <f>IF($D2065="","",IFERROR(VLOOKUP($D2065,物料档案!$A$4:$P$1203,4,0),"※编码不在物料档案里"))</f>
        <v/>
      </c>
      <c r="G2065" s="24">
        <f>IF($D2065="","",IFERROR(VLOOKUP($D2065,物料档案!$A$4:$P$1203,5,0),"※编码不在物料档案里"))</f>
        <v/>
      </c>
      <c r="H2065" s="24">
        <f>IF($D2065="","",IFERROR(VLOOKUP($D2065,物料档案!$A$4:$P$1203,2,0),"※编码不在物料档案里"))</f>
        <v/>
      </c>
      <c r="I2065" s="24">
        <f>IF($D2065="","",IFERROR(VLOOKUP($D2065,物料档案!$A$4:$P$1203,6,0),"※编码不在物料档案里"))</f>
        <v/>
      </c>
      <c r="J2065" s="23" t="n"/>
      <c r="K2065" s="17" t="n"/>
      <c r="L2065" s="17" t="n"/>
      <c r="M2065" s="17" t="n"/>
      <c r="N2065" s="17" t="n"/>
      <c r="O2065" s="26">
        <f>IF($D2065="","",IFERROR(VLOOKUP($D2065,物料档案!$A$4:$P$1203,10,0),0))</f>
        <v/>
      </c>
      <c r="P2065" s="32" t="n"/>
      <c r="Q2065" s="26">
        <f>IF($D2065="","",IF($K2065&lt;&gt;"对外销售",0,ROUND(N($J2065)*IF($P2065="",N($O2065),N($P2065)),0)))</f>
        <v/>
      </c>
      <c r="R2065" s="26">
        <f>IF($D2065="","",IFERROR(VLOOKUP($D2065,库存台账!$A$5:$Y$1204,11,0),0))</f>
        <v/>
      </c>
      <c r="S2065" s="26">
        <f>IF($D2065="","",ROUND(N($J2065)*N($R2065),0))</f>
        <v/>
      </c>
      <c r="T2065" s="26">
        <f>IF($D2065="","",IF($K2065&lt;&gt;"对外销售","",ROUND($Q2065-$S2065,0)))</f>
        <v/>
      </c>
      <c r="U2065" s="17" t="n"/>
      <c r="V2065" s="17" t="n"/>
      <c r="W2065" s="24">
        <f>IF($D2065="","",IF($E2065="※编码不在物料档案里","※物料编码不在档案里",IF(N($J2065)&lt;=0,"※出库数量要大于 0",IF($K2065="","※没填去向类型",IF($L2065="","※没填去向矿区",IF(AND($C2065&lt;&gt;"",$C2065&lt;=结账锁),"※日期早于已结账截止日，不能再录",IF(AND($K2065="自用消耗",COUNTIF({"一矿区";"二矿区"},$L2065)=0),"※自用消耗的去向只能是一矿区或二矿区",IF(AND($K2065="对外销售",COUNTIF({"三矿区";"六矿区"},$L2065)=0),"※对外销售的去向只能是三矿区或六矿区",IF(AND($K2065="对外销售",ROUND($Q2065,0)=0),"※外销却没有售价，请填实际售价",IF(AND($K2065="对外销售",$T2065&lt;&gt;"",$T2065&lt;0),"※这一笔外销是亏的，请核对售价",IF(IFERROR(VLOOKUP($D2065,库存台账!$A$5:$Y$1204,24,0),0)&lt;-0.001,"※这个物料账面已经变成负数了，查一下是不是漏记入库","")))))))))))</f>
        <v/>
      </c>
    </row>
    <row r="2066">
      <c r="A2066" s="24">
        <f>IF($D2066="","",COUNTA($D$4:$D2066))</f>
        <v/>
      </c>
      <c r="B2066" s="17" t="n"/>
      <c r="C2066" s="30" t="n"/>
      <c r="D2066" s="17" t="n"/>
      <c r="E2066" s="24">
        <f>IF($D2066="","",IFERROR(VLOOKUP($D2066,物料档案!$A$4:$P$1203,3,0),"※编码不在物料档案里"))</f>
        <v/>
      </c>
      <c r="F2066" s="24">
        <f>IF($D2066="","",IFERROR(VLOOKUP($D2066,物料档案!$A$4:$P$1203,4,0),"※编码不在物料档案里"))</f>
        <v/>
      </c>
      <c r="G2066" s="24">
        <f>IF($D2066="","",IFERROR(VLOOKUP($D2066,物料档案!$A$4:$P$1203,5,0),"※编码不在物料档案里"))</f>
        <v/>
      </c>
      <c r="H2066" s="24">
        <f>IF($D2066="","",IFERROR(VLOOKUP($D2066,物料档案!$A$4:$P$1203,2,0),"※编码不在物料档案里"))</f>
        <v/>
      </c>
      <c r="I2066" s="24">
        <f>IF($D2066="","",IFERROR(VLOOKUP($D2066,物料档案!$A$4:$P$1203,6,0),"※编码不在物料档案里"))</f>
        <v/>
      </c>
      <c r="J2066" s="23" t="n"/>
      <c r="K2066" s="17" t="n"/>
      <c r="L2066" s="17" t="n"/>
      <c r="M2066" s="17" t="n"/>
      <c r="N2066" s="17" t="n"/>
      <c r="O2066" s="26">
        <f>IF($D2066="","",IFERROR(VLOOKUP($D2066,物料档案!$A$4:$P$1203,10,0),0))</f>
        <v/>
      </c>
      <c r="P2066" s="32" t="n"/>
      <c r="Q2066" s="26">
        <f>IF($D2066="","",IF($K2066&lt;&gt;"对外销售",0,ROUND(N($J2066)*IF($P2066="",N($O2066),N($P2066)),0)))</f>
        <v/>
      </c>
      <c r="R2066" s="26">
        <f>IF($D2066="","",IFERROR(VLOOKUP($D2066,库存台账!$A$5:$Y$1204,11,0),0))</f>
        <v/>
      </c>
      <c r="S2066" s="26">
        <f>IF($D2066="","",ROUND(N($J2066)*N($R2066),0))</f>
        <v/>
      </c>
      <c r="T2066" s="26">
        <f>IF($D2066="","",IF($K2066&lt;&gt;"对外销售","",ROUND($Q2066-$S2066,0)))</f>
        <v/>
      </c>
      <c r="U2066" s="17" t="n"/>
      <c r="V2066" s="17" t="n"/>
      <c r="W2066" s="24">
        <f>IF($D2066="","",IF($E2066="※编码不在物料档案里","※物料编码不在档案里",IF(N($J2066)&lt;=0,"※出库数量要大于 0",IF($K2066="","※没填去向类型",IF($L2066="","※没填去向矿区",IF(AND($C2066&lt;&gt;"",$C2066&lt;=结账锁),"※日期早于已结账截止日，不能再录",IF(AND($K2066="自用消耗",COUNTIF({"一矿区";"二矿区"},$L2066)=0),"※自用消耗的去向只能是一矿区或二矿区",IF(AND($K2066="对外销售",COUNTIF({"三矿区";"六矿区"},$L2066)=0),"※对外销售的去向只能是三矿区或六矿区",IF(AND($K2066="对外销售",ROUND($Q2066,0)=0),"※外销却没有售价，请填实际售价",IF(AND($K2066="对外销售",$T2066&lt;&gt;"",$T2066&lt;0),"※这一笔外销是亏的，请核对售价",IF(IFERROR(VLOOKUP($D2066,库存台账!$A$5:$Y$1204,24,0),0)&lt;-0.001,"※这个物料账面已经变成负数了，查一下是不是漏记入库","")))))))))))</f>
        <v/>
      </c>
    </row>
    <row r="2067">
      <c r="A2067" s="24">
        <f>IF($D2067="","",COUNTA($D$4:$D2067))</f>
        <v/>
      </c>
      <c r="B2067" s="17" t="n"/>
      <c r="C2067" s="30" t="n"/>
      <c r="D2067" s="17" t="n"/>
      <c r="E2067" s="24">
        <f>IF($D2067="","",IFERROR(VLOOKUP($D2067,物料档案!$A$4:$P$1203,3,0),"※编码不在物料档案里"))</f>
        <v/>
      </c>
      <c r="F2067" s="24">
        <f>IF($D2067="","",IFERROR(VLOOKUP($D2067,物料档案!$A$4:$P$1203,4,0),"※编码不在物料档案里"))</f>
        <v/>
      </c>
      <c r="G2067" s="24">
        <f>IF($D2067="","",IFERROR(VLOOKUP($D2067,物料档案!$A$4:$P$1203,5,0),"※编码不在物料档案里"))</f>
        <v/>
      </c>
      <c r="H2067" s="24">
        <f>IF($D2067="","",IFERROR(VLOOKUP($D2067,物料档案!$A$4:$P$1203,2,0),"※编码不在物料档案里"))</f>
        <v/>
      </c>
      <c r="I2067" s="24">
        <f>IF($D2067="","",IFERROR(VLOOKUP($D2067,物料档案!$A$4:$P$1203,6,0),"※编码不在物料档案里"))</f>
        <v/>
      </c>
      <c r="J2067" s="23" t="n"/>
      <c r="K2067" s="17" t="n"/>
      <c r="L2067" s="17" t="n"/>
      <c r="M2067" s="17" t="n"/>
      <c r="N2067" s="17" t="n"/>
      <c r="O2067" s="26">
        <f>IF($D2067="","",IFERROR(VLOOKUP($D2067,物料档案!$A$4:$P$1203,10,0),0))</f>
        <v/>
      </c>
      <c r="P2067" s="32" t="n"/>
      <c r="Q2067" s="26">
        <f>IF($D2067="","",IF($K2067&lt;&gt;"对外销售",0,ROUND(N($J2067)*IF($P2067="",N($O2067),N($P2067)),0)))</f>
        <v/>
      </c>
      <c r="R2067" s="26">
        <f>IF($D2067="","",IFERROR(VLOOKUP($D2067,库存台账!$A$5:$Y$1204,11,0),0))</f>
        <v/>
      </c>
      <c r="S2067" s="26">
        <f>IF($D2067="","",ROUND(N($J2067)*N($R2067),0))</f>
        <v/>
      </c>
      <c r="T2067" s="26">
        <f>IF($D2067="","",IF($K2067&lt;&gt;"对外销售","",ROUND($Q2067-$S2067,0)))</f>
        <v/>
      </c>
      <c r="U2067" s="17" t="n"/>
      <c r="V2067" s="17" t="n"/>
      <c r="W2067" s="24">
        <f>IF($D2067="","",IF($E2067="※编码不在物料档案里","※物料编码不在档案里",IF(N($J2067)&lt;=0,"※出库数量要大于 0",IF($K2067="","※没填去向类型",IF($L2067="","※没填去向矿区",IF(AND($C2067&lt;&gt;"",$C2067&lt;=结账锁),"※日期早于已结账截止日，不能再录",IF(AND($K2067="自用消耗",COUNTIF({"一矿区";"二矿区"},$L2067)=0),"※自用消耗的去向只能是一矿区或二矿区",IF(AND($K2067="对外销售",COUNTIF({"三矿区";"六矿区"},$L2067)=0),"※对外销售的去向只能是三矿区或六矿区",IF(AND($K2067="对外销售",ROUND($Q2067,0)=0),"※外销却没有售价，请填实际售价",IF(AND($K2067="对外销售",$T2067&lt;&gt;"",$T2067&lt;0),"※这一笔外销是亏的，请核对售价",IF(IFERROR(VLOOKUP($D2067,库存台账!$A$5:$Y$1204,24,0),0)&lt;-0.001,"※这个物料账面已经变成负数了，查一下是不是漏记入库","")))))))))))</f>
        <v/>
      </c>
    </row>
    <row r="2068">
      <c r="A2068" s="24">
        <f>IF($D2068="","",COUNTA($D$4:$D2068))</f>
        <v/>
      </c>
      <c r="B2068" s="17" t="n"/>
      <c r="C2068" s="30" t="n"/>
      <c r="D2068" s="17" t="n"/>
      <c r="E2068" s="24">
        <f>IF($D2068="","",IFERROR(VLOOKUP($D2068,物料档案!$A$4:$P$1203,3,0),"※编码不在物料档案里"))</f>
        <v/>
      </c>
      <c r="F2068" s="24">
        <f>IF($D2068="","",IFERROR(VLOOKUP($D2068,物料档案!$A$4:$P$1203,4,0),"※编码不在物料档案里"))</f>
        <v/>
      </c>
      <c r="G2068" s="24">
        <f>IF($D2068="","",IFERROR(VLOOKUP($D2068,物料档案!$A$4:$P$1203,5,0),"※编码不在物料档案里"))</f>
        <v/>
      </c>
      <c r="H2068" s="24">
        <f>IF($D2068="","",IFERROR(VLOOKUP($D2068,物料档案!$A$4:$P$1203,2,0),"※编码不在物料档案里"))</f>
        <v/>
      </c>
      <c r="I2068" s="24">
        <f>IF($D2068="","",IFERROR(VLOOKUP($D2068,物料档案!$A$4:$P$1203,6,0),"※编码不在物料档案里"))</f>
        <v/>
      </c>
      <c r="J2068" s="23" t="n"/>
      <c r="K2068" s="17" t="n"/>
      <c r="L2068" s="17" t="n"/>
      <c r="M2068" s="17" t="n"/>
      <c r="N2068" s="17" t="n"/>
      <c r="O2068" s="26">
        <f>IF($D2068="","",IFERROR(VLOOKUP($D2068,物料档案!$A$4:$P$1203,10,0),0))</f>
        <v/>
      </c>
      <c r="P2068" s="32" t="n"/>
      <c r="Q2068" s="26">
        <f>IF($D2068="","",IF($K2068&lt;&gt;"对外销售",0,ROUND(N($J2068)*IF($P2068="",N($O2068),N($P2068)),0)))</f>
        <v/>
      </c>
      <c r="R2068" s="26">
        <f>IF($D2068="","",IFERROR(VLOOKUP($D2068,库存台账!$A$5:$Y$1204,11,0),0))</f>
        <v/>
      </c>
      <c r="S2068" s="26">
        <f>IF($D2068="","",ROUND(N($J2068)*N($R2068),0))</f>
        <v/>
      </c>
      <c r="T2068" s="26">
        <f>IF($D2068="","",IF($K2068&lt;&gt;"对外销售","",ROUND($Q2068-$S2068,0)))</f>
        <v/>
      </c>
      <c r="U2068" s="17" t="n"/>
      <c r="V2068" s="17" t="n"/>
      <c r="W2068" s="24">
        <f>IF($D2068="","",IF($E2068="※编码不在物料档案里","※物料编码不在档案里",IF(N($J2068)&lt;=0,"※出库数量要大于 0",IF($K2068="","※没填去向类型",IF($L2068="","※没填去向矿区",IF(AND($C2068&lt;&gt;"",$C2068&lt;=结账锁),"※日期早于已结账截止日，不能再录",IF(AND($K2068="自用消耗",COUNTIF({"一矿区";"二矿区"},$L2068)=0),"※自用消耗的去向只能是一矿区或二矿区",IF(AND($K2068="对外销售",COUNTIF({"三矿区";"六矿区"},$L2068)=0),"※对外销售的去向只能是三矿区或六矿区",IF(AND($K2068="对外销售",ROUND($Q2068,0)=0),"※外销却没有售价，请填实际售价",IF(AND($K2068="对外销售",$T2068&lt;&gt;"",$T2068&lt;0),"※这一笔外销是亏的，请核对售价",IF(IFERROR(VLOOKUP($D2068,库存台账!$A$5:$Y$1204,24,0),0)&lt;-0.001,"※这个物料账面已经变成负数了，查一下是不是漏记入库","")))))))))))</f>
        <v/>
      </c>
    </row>
    <row r="2069">
      <c r="A2069" s="24">
        <f>IF($D2069="","",COUNTA($D$4:$D2069))</f>
        <v/>
      </c>
      <c r="B2069" s="17" t="n"/>
      <c r="C2069" s="30" t="n"/>
      <c r="D2069" s="17" t="n"/>
      <c r="E2069" s="24">
        <f>IF($D2069="","",IFERROR(VLOOKUP($D2069,物料档案!$A$4:$P$1203,3,0),"※编码不在物料档案里"))</f>
        <v/>
      </c>
      <c r="F2069" s="24">
        <f>IF($D2069="","",IFERROR(VLOOKUP($D2069,物料档案!$A$4:$P$1203,4,0),"※编码不在物料档案里"))</f>
        <v/>
      </c>
      <c r="G2069" s="24">
        <f>IF($D2069="","",IFERROR(VLOOKUP($D2069,物料档案!$A$4:$P$1203,5,0),"※编码不在物料档案里"))</f>
        <v/>
      </c>
      <c r="H2069" s="24">
        <f>IF($D2069="","",IFERROR(VLOOKUP($D2069,物料档案!$A$4:$P$1203,2,0),"※编码不在物料档案里"))</f>
        <v/>
      </c>
      <c r="I2069" s="24">
        <f>IF($D2069="","",IFERROR(VLOOKUP($D2069,物料档案!$A$4:$P$1203,6,0),"※编码不在物料档案里"))</f>
        <v/>
      </c>
      <c r="J2069" s="23" t="n"/>
      <c r="K2069" s="17" t="n"/>
      <c r="L2069" s="17" t="n"/>
      <c r="M2069" s="17" t="n"/>
      <c r="N2069" s="17" t="n"/>
      <c r="O2069" s="26">
        <f>IF($D2069="","",IFERROR(VLOOKUP($D2069,物料档案!$A$4:$P$1203,10,0),0))</f>
        <v/>
      </c>
      <c r="P2069" s="32" t="n"/>
      <c r="Q2069" s="26">
        <f>IF($D2069="","",IF($K2069&lt;&gt;"对外销售",0,ROUND(N($J2069)*IF($P2069="",N($O2069),N($P2069)),0)))</f>
        <v/>
      </c>
      <c r="R2069" s="26">
        <f>IF($D2069="","",IFERROR(VLOOKUP($D2069,库存台账!$A$5:$Y$1204,11,0),0))</f>
        <v/>
      </c>
      <c r="S2069" s="26">
        <f>IF($D2069="","",ROUND(N($J2069)*N($R2069),0))</f>
        <v/>
      </c>
      <c r="T2069" s="26">
        <f>IF($D2069="","",IF($K2069&lt;&gt;"对外销售","",ROUND($Q2069-$S2069,0)))</f>
        <v/>
      </c>
      <c r="U2069" s="17" t="n"/>
      <c r="V2069" s="17" t="n"/>
      <c r="W2069" s="24">
        <f>IF($D2069="","",IF($E2069="※编码不在物料档案里","※物料编码不在档案里",IF(N($J2069)&lt;=0,"※出库数量要大于 0",IF($K2069="","※没填去向类型",IF($L2069="","※没填去向矿区",IF(AND($C2069&lt;&gt;"",$C2069&lt;=结账锁),"※日期早于已结账截止日，不能再录",IF(AND($K2069="自用消耗",COUNTIF({"一矿区";"二矿区"},$L2069)=0),"※自用消耗的去向只能是一矿区或二矿区",IF(AND($K2069="对外销售",COUNTIF({"三矿区";"六矿区"},$L2069)=0),"※对外销售的去向只能是三矿区或六矿区",IF(AND($K2069="对外销售",ROUND($Q2069,0)=0),"※外销却没有售价，请填实际售价",IF(AND($K2069="对外销售",$T2069&lt;&gt;"",$T2069&lt;0),"※这一笔外销是亏的，请核对售价",IF(IFERROR(VLOOKUP($D2069,库存台账!$A$5:$Y$1204,24,0),0)&lt;-0.001,"※这个物料账面已经变成负数了，查一下是不是漏记入库","")))))))))))</f>
        <v/>
      </c>
    </row>
    <row r="2070">
      <c r="A2070" s="24">
        <f>IF($D2070="","",COUNTA($D$4:$D2070))</f>
        <v/>
      </c>
      <c r="B2070" s="17" t="n"/>
      <c r="C2070" s="30" t="n"/>
      <c r="D2070" s="17" t="n"/>
      <c r="E2070" s="24">
        <f>IF($D2070="","",IFERROR(VLOOKUP($D2070,物料档案!$A$4:$P$1203,3,0),"※编码不在物料档案里"))</f>
        <v/>
      </c>
      <c r="F2070" s="24">
        <f>IF($D2070="","",IFERROR(VLOOKUP($D2070,物料档案!$A$4:$P$1203,4,0),"※编码不在物料档案里"))</f>
        <v/>
      </c>
      <c r="G2070" s="24">
        <f>IF($D2070="","",IFERROR(VLOOKUP($D2070,物料档案!$A$4:$P$1203,5,0),"※编码不在物料档案里"))</f>
        <v/>
      </c>
      <c r="H2070" s="24">
        <f>IF($D2070="","",IFERROR(VLOOKUP($D2070,物料档案!$A$4:$P$1203,2,0),"※编码不在物料档案里"))</f>
        <v/>
      </c>
      <c r="I2070" s="24">
        <f>IF($D2070="","",IFERROR(VLOOKUP($D2070,物料档案!$A$4:$P$1203,6,0),"※编码不在物料档案里"))</f>
        <v/>
      </c>
      <c r="J2070" s="23" t="n"/>
      <c r="K2070" s="17" t="n"/>
      <c r="L2070" s="17" t="n"/>
      <c r="M2070" s="17" t="n"/>
      <c r="N2070" s="17" t="n"/>
      <c r="O2070" s="26">
        <f>IF($D2070="","",IFERROR(VLOOKUP($D2070,物料档案!$A$4:$P$1203,10,0),0))</f>
        <v/>
      </c>
      <c r="P2070" s="32" t="n"/>
      <c r="Q2070" s="26">
        <f>IF($D2070="","",IF($K2070&lt;&gt;"对外销售",0,ROUND(N($J2070)*IF($P2070="",N($O2070),N($P2070)),0)))</f>
        <v/>
      </c>
      <c r="R2070" s="26">
        <f>IF($D2070="","",IFERROR(VLOOKUP($D2070,库存台账!$A$5:$Y$1204,11,0),0))</f>
        <v/>
      </c>
      <c r="S2070" s="26">
        <f>IF($D2070="","",ROUND(N($J2070)*N($R2070),0))</f>
        <v/>
      </c>
      <c r="T2070" s="26">
        <f>IF($D2070="","",IF($K2070&lt;&gt;"对外销售","",ROUND($Q2070-$S2070,0)))</f>
        <v/>
      </c>
      <c r="U2070" s="17" t="n"/>
      <c r="V2070" s="17" t="n"/>
      <c r="W2070" s="24">
        <f>IF($D2070="","",IF($E2070="※编码不在物料档案里","※物料编码不在档案里",IF(N($J2070)&lt;=0,"※出库数量要大于 0",IF($K2070="","※没填去向类型",IF($L2070="","※没填去向矿区",IF(AND($C2070&lt;&gt;"",$C2070&lt;=结账锁),"※日期早于已结账截止日，不能再录",IF(AND($K2070="自用消耗",COUNTIF({"一矿区";"二矿区"},$L2070)=0),"※自用消耗的去向只能是一矿区或二矿区",IF(AND($K2070="对外销售",COUNTIF({"三矿区";"六矿区"},$L2070)=0),"※对外销售的去向只能是三矿区或六矿区",IF(AND($K2070="对外销售",ROUND($Q2070,0)=0),"※外销却没有售价，请填实际售价",IF(AND($K2070="对外销售",$T2070&lt;&gt;"",$T2070&lt;0),"※这一笔外销是亏的，请核对售价",IF(IFERROR(VLOOKUP($D2070,库存台账!$A$5:$Y$1204,24,0),0)&lt;-0.001,"※这个物料账面已经变成负数了，查一下是不是漏记入库","")))))))))))</f>
        <v/>
      </c>
    </row>
    <row r="2071">
      <c r="A2071" s="24">
        <f>IF($D2071="","",COUNTA($D$4:$D2071))</f>
        <v/>
      </c>
      <c r="B2071" s="17" t="n"/>
      <c r="C2071" s="30" t="n"/>
      <c r="D2071" s="17" t="n"/>
      <c r="E2071" s="24">
        <f>IF($D2071="","",IFERROR(VLOOKUP($D2071,物料档案!$A$4:$P$1203,3,0),"※编码不在物料档案里"))</f>
        <v/>
      </c>
      <c r="F2071" s="24">
        <f>IF($D2071="","",IFERROR(VLOOKUP($D2071,物料档案!$A$4:$P$1203,4,0),"※编码不在物料档案里"))</f>
        <v/>
      </c>
      <c r="G2071" s="24">
        <f>IF($D2071="","",IFERROR(VLOOKUP($D2071,物料档案!$A$4:$P$1203,5,0),"※编码不在物料档案里"))</f>
        <v/>
      </c>
      <c r="H2071" s="24">
        <f>IF($D2071="","",IFERROR(VLOOKUP($D2071,物料档案!$A$4:$P$1203,2,0),"※编码不在物料档案里"))</f>
        <v/>
      </c>
      <c r="I2071" s="24">
        <f>IF($D2071="","",IFERROR(VLOOKUP($D2071,物料档案!$A$4:$P$1203,6,0),"※编码不在物料档案里"))</f>
        <v/>
      </c>
      <c r="J2071" s="23" t="n"/>
      <c r="K2071" s="17" t="n"/>
      <c r="L2071" s="17" t="n"/>
      <c r="M2071" s="17" t="n"/>
      <c r="N2071" s="17" t="n"/>
      <c r="O2071" s="26">
        <f>IF($D2071="","",IFERROR(VLOOKUP($D2071,物料档案!$A$4:$P$1203,10,0),0))</f>
        <v/>
      </c>
      <c r="P2071" s="32" t="n"/>
      <c r="Q2071" s="26">
        <f>IF($D2071="","",IF($K2071&lt;&gt;"对外销售",0,ROUND(N($J2071)*IF($P2071="",N($O2071),N($P2071)),0)))</f>
        <v/>
      </c>
      <c r="R2071" s="26">
        <f>IF($D2071="","",IFERROR(VLOOKUP($D2071,库存台账!$A$5:$Y$1204,11,0),0))</f>
        <v/>
      </c>
      <c r="S2071" s="26">
        <f>IF($D2071="","",ROUND(N($J2071)*N($R2071),0))</f>
        <v/>
      </c>
      <c r="T2071" s="26">
        <f>IF($D2071="","",IF($K2071&lt;&gt;"对外销售","",ROUND($Q2071-$S2071,0)))</f>
        <v/>
      </c>
      <c r="U2071" s="17" t="n"/>
      <c r="V2071" s="17" t="n"/>
      <c r="W2071" s="24">
        <f>IF($D2071="","",IF($E2071="※编码不在物料档案里","※物料编码不在档案里",IF(N($J2071)&lt;=0,"※出库数量要大于 0",IF($K2071="","※没填去向类型",IF($L2071="","※没填去向矿区",IF(AND($C2071&lt;&gt;"",$C2071&lt;=结账锁),"※日期早于已结账截止日，不能再录",IF(AND($K2071="自用消耗",COUNTIF({"一矿区";"二矿区"},$L2071)=0),"※自用消耗的去向只能是一矿区或二矿区",IF(AND($K2071="对外销售",COUNTIF({"三矿区";"六矿区"},$L2071)=0),"※对外销售的去向只能是三矿区或六矿区",IF(AND($K2071="对外销售",ROUND($Q2071,0)=0),"※外销却没有售价，请填实际售价",IF(AND($K2071="对外销售",$T2071&lt;&gt;"",$T2071&lt;0),"※这一笔外销是亏的，请核对售价",IF(IFERROR(VLOOKUP($D2071,库存台账!$A$5:$Y$1204,24,0),0)&lt;-0.001,"※这个物料账面已经变成负数了，查一下是不是漏记入库","")))))))))))</f>
        <v/>
      </c>
    </row>
    <row r="2072">
      <c r="A2072" s="24">
        <f>IF($D2072="","",COUNTA($D$4:$D2072))</f>
        <v/>
      </c>
      <c r="B2072" s="17" t="n"/>
      <c r="C2072" s="30" t="n"/>
      <c r="D2072" s="17" t="n"/>
      <c r="E2072" s="24">
        <f>IF($D2072="","",IFERROR(VLOOKUP($D2072,物料档案!$A$4:$P$1203,3,0),"※编码不在物料档案里"))</f>
        <v/>
      </c>
      <c r="F2072" s="24">
        <f>IF($D2072="","",IFERROR(VLOOKUP($D2072,物料档案!$A$4:$P$1203,4,0),"※编码不在物料档案里"))</f>
        <v/>
      </c>
      <c r="G2072" s="24">
        <f>IF($D2072="","",IFERROR(VLOOKUP($D2072,物料档案!$A$4:$P$1203,5,0),"※编码不在物料档案里"))</f>
        <v/>
      </c>
      <c r="H2072" s="24">
        <f>IF($D2072="","",IFERROR(VLOOKUP($D2072,物料档案!$A$4:$P$1203,2,0),"※编码不在物料档案里"))</f>
        <v/>
      </c>
      <c r="I2072" s="24">
        <f>IF($D2072="","",IFERROR(VLOOKUP($D2072,物料档案!$A$4:$P$1203,6,0),"※编码不在物料档案里"))</f>
        <v/>
      </c>
      <c r="J2072" s="23" t="n"/>
      <c r="K2072" s="17" t="n"/>
      <c r="L2072" s="17" t="n"/>
      <c r="M2072" s="17" t="n"/>
      <c r="N2072" s="17" t="n"/>
      <c r="O2072" s="26">
        <f>IF($D2072="","",IFERROR(VLOOKUP($D2072,物料档案!$A$4:$P$1203,10,0),0))</f>
        <v/>
      </c>
      <c r="P2072" s="32" t="n"/>
      <c r="Q2072" s="26">
        <f>IF($D2072="","",IF($K2072&lt;&gt;"对外销售",0,ROUND(N($J2072)*IF($P2072="",N($O2072),N($P2072)),0)))</f>
        <v/>
      </c>
      <c r="R2072" s="26">
        <f>IF($D2072="","",IFERROR(VLOOKUP($D2072,库存台账!$A$5:$Y$1204,11,0),0))</f>
        <v/>
      </c>
      <c r="S2072" s="26">
        <f>IF($D2072="","",ROUND(N($J2072)*N($R2072),0))</f>
        <v/>
      </c>
      <c r="T2072" s="26">
        <f>IF($D2072="","",IF($K2072&lt;&gt;"对外销售","",ROUND($Q2072-$S2072,0)))</f>
        <v/>
      </c>
      <c r="U2072" s="17" t="n"/>
      <c r="V2072" s="17" t="n"/>
      <c r="W2072" s="24">
        <f>IF($D2072="","",IF($E2072="※编码不在物料档案里","※物料编码不在档案里",IF(N($J2072)&lt;=0,"※出库数量要大于 0",IF($K2072="","※没填去向类型",IF($L2072="","※没填去向矿区",IF(AND($C2072&lt;&gt;"",$C2072&lt;=结账锁),"※日期早于已结账截止日，不能再录",IF(AND($K2072="自用消耗",COUNTIF({"一矿区";"二矿区"},$L2072)=0),"※自用消耗的去向只能是一矿区或二矿区",IF(AND($K2072="对外销售",COUNTIF({"三矿区";"六矿区"},$L2072)=0),"※对外销售的去向只能是三矿区或六矿区",IF(AND($K2072="对外销售",ROUND($Q2072,0)=0),"※外销却没有售价，请填实际售价",IF(AND($K2072="对外销售",$T2072&lt;&gt;"",$T2072&lt;0),"※这一笔外销是亏的，请核对售价",IF(IFERROR(VLOOKUP($D2072,库存台账!$A$5:$Y$1204,24,0),0)&lt;-0.001,"※这个物料账面已经变成负数了，查一下是不是漏记入库","")))))))))))</f>
        <v/>
      </c>
    </row>
    <row r="2073">
      <c r="A2073" s="24">
        <f>IF($D2073="","",COUNTA($D$4:$D2073))</f>
        <v/>
      </c>
      <c r="B2073" s="17" t="n"/>
      <c r="C2073" s="30" t="n"/>
      <c r="D2073" s="17" t="n"/>
      <c r="E2073" s="24">
        <f>IF($D2073="","",IFERROR(VLOOKUP($D2073,物料档案!$A$4:$P$1203,3,0),"※编码不在物料档案里"))</f>
        <v/>
      </c>
      <c r="F2073" s="24">
        <f>IF($D2073="","",IFERROR(VLOOKUP($D2073,物料档案!$A$4:$P$1203,4,0),"※编码不在物料档案里"))</f>
        <v/>
      </c>
      <c r="G2073" s="24">
        <f>IF($D2073="","",IFERROR(VLOOKUP($D2073,物料档案!$A$4:$P$1203,5,0),"※编码不在物料档案里"))</f>
        <v/>
      </c>
      <c r="H2073" s="24">
        <f>IF($D2073="","",IFERROR(VLOOKUP($D2073,物料档案!$A$4:$P$1203,2,0),"※编码不在物料档案里"))</f>
        <v/>
      </c>
      <c r="I2073" s="24">
        <f>IF($D2073="","",IFERROR(VLOOKUP($D2073,物料档案!$A$4:$P$1203,6,0),"※编码不在物料档案里"))</f>
        <v/>
      </c>
      <c r="J2073" s="23" t="n"/>
      <c r="K2073" s="17" t="n"/>
      <c r="L2073" s="17" t="n"/>
      <c r="M2073" s="17" t="n"/>
      <c r="N2073" s="17" t="n"/>
      <c r="O2073" s="26">
        <f>IF($D2073="","",IFERROR(VLOOKUP($D2073,物料档案!$A$4:$P$1203,10,0),0))</f>
        <v/>
      </c>
      <c r="P2073" s="32" t="n"/>
      <c r="Q2073" s="26">
        <f>IF($D2073="","",IF($K2073&lt;&gt;"对外销售",0,ROUND(N($J2073)*IF($P2073="",N($O2073),N($P2073)),0)))</f>
        <v/>
      </c>
      <c r="R2073" s="26">
        <f>IF($D2073="","",IFERROR(VLOOKUP($D2073,库存台账!$A$5:$Y$1204,11,0),0))</f>
        <v/>
      </c>
      <c r="S2073" s="26">
        <f>IF($D2073="","",ROUND(N($J2073)*N($R2073),0))</f>
        <v/>
      </c>
      <c r="T2073" s="26">
        <f>IF($D2073="","",IF($K2073&lt;&gt;"对外销售","",ROUND($Q2073-$S2073,0)))</f>
        <v/>
      </c>
      <c r="U2073" s="17" t="n"/>
      <c r="V2073" s="17" t="n"/>
      <c r="W2073" s="24">
        <f>IF($D2073="","",IF($E2073="※编码不在物料档案里","※物料编码不在档案里",IF(N($J2073)&lt;=0,"※出库数量要大于 0",IF($K2073="","※没填去向类型",IF($L2073="","※没填去向矿区",IF(AND($C2073&lt;&gt;"",$C2073&lt;=结账锁),"※日期早于已结账截止日，不能再录",IF(AND($K2073="自用消耗",COUNTIF({"一矿区";"二矿区"},$L2073)=0),"※自用消耗的去向只能是一矿区或二矿区",IF(AND($K2073="对外销售",COUNTIF({"三矿区";"六矿区"},$L2073)=0),"※对外销售的去向只能是三矿区或六矿区",IF(AND($K2073="对外销售",ROUND($Q2073,0)=0),"※外销却没有售价，请填实际售价",IF(AND($K2073="对外销售",$T2073&lt;&gt;"",$T2073&lt;0),"※这一笔外销是亏的，请核对售价",IF(IFERROR(VLOOKUP($D2073,库存台账!$A$5:$Y$1204,24,0),0)&lt;-0.001,"※这个物料账面已经变成负数了，查一下是不是漏记入库","")))))))))))</f>
        <v/>
      </c>
    </row>
    <row r="2074">
      <c r="A2074" s="24">
        <f>IF($D2074="","",COUNTA($D$4:$D2074))</f>
        <v/>
      </c>
      <c r="B2074" s="17" t="n"/>
      <c r="C2074" s="30" t="n"/>
      <c r="D2074" s="17" t="n"/>
      <c r="E2074" s="24">
        <f>IF($D2074="","",IFERROR(VLOOKUP($D2074,物料档案!$A$4:$P$1203,3,0),"※编码不在物料档案里"))</f>
        <v/>
      </c>
      <c r="F2074" s="24">
        <f>IF($D2074="","",IFERROR(VLOOKUP($D2074,物料档案!$A$4:$P$1203,4,0),"※编码不在物料档案里"))</f>
        <v/>
      </c>
      <c r="G2074" s="24">
        <f>IF($D2074="","",IFERROR(VLOOKUP($D2074,物料档案!$A$4:$P$1203,5,0),"※编码不在物料档案里"))</f>
        <v/>
      </c>
      <c r="H2074" s="24">
        <f>IF($D2074="","",IFERROR(VLOOKUP($D2074,物料档案!$A$4:$P$1203,2,0),"※编码不在物料档案里"))</f>
        <v/>
      </c>
      <c r="I2074" s="24">
        <f>IF($D2074="","",IFERROR(VLOOKUP($D2074,物料档案!$A$4:$P$1203,6,0),"※编码不在物料档案里"))</f>
        <v/>
      </c>
      <c r="J2074" s="23" t="n"/>
      <c r="K2074" s="17" t="n"/>
      <c r="L2074" s="17" t="n"/>
      <c r="M2074" s="17" t="n"/>
      <c r="N2074" s="17" t="n"/>
      <c r="O2074" s="26">
        <f>IF($D2074="","",IFERROR(VLOOKUP($D2074,物料档案!$A$4:$P$1203,10,0),0))</f>
        <v/>
      </c>
      <c r="P2074" s="32" t="n"/>
      <c r="Q2074" s="26">
        <f>IF($D2074="","",IF($K2074&lt;&gt;"对外销售",0,ROUND(N($J2074)*IF($P2074="",N($O2074),N($P2074)),0)))</f>
        <v/>
      </c>
      <c r="R2074" s="26">
        <f>IF($D2074="","",IFERROR(VLOOKUP($D2074,库存台账!$A$5:$Y$1204,11,0),0))</f>
        <v/>
      </c>
      <c r="S2074" s="26">
        <f>IF($D2074="","",ROUND(N($J2074)*N($R2074),0))</f>
        <v/>
      </c>
      <c r="T2074" s="26">
        <f>IF($D2074="","",IF($K2074&lt;&gt;"对外销售","",ROUND($Q2074-$S2074,0)))</f>
        <v/>
      </c>
      <c r="U2074" s="17" t="n"/>
      <c r="V2074" s="17" t="n"/>
      <c r="W2074" s="24">
        <f>IF($D2074="","",IF($E2074="※编码不在物料档案里","※物料编码不在档案里",IF(N($J2074)&lt;=0,"※出库数量要大于 0",IF($K2074="","※没填去向类型",IF($L2074="","※没填去向矿区",IF(AND($C2074&lt;&gt;"",$C2074&lt;=结账锁),"※日期早于已结账截止日，不能再录",IF(AND($K2074="自用消耗",COUNTIF({"一矿区";"二矿区"},$L2074)=0),"※自用消耗的去向只能是一矿区或二矿区",IF(AND($K2074="对外销售",COUNTIF({"三矿区";"六矿区"},$L2074)=0),"※对外销售的去向只能是三矿区或六矿区",IF(AND($K2074="对外销售",ROUND($Q2074,0)=0),"※外销却没有售价，请填实际售价",IF(AND($K2074="对外销售",$T2074&lt;&gt;"",$T2074&lt;0),"※这一笔外销是亏的，请核对售价",IF(IFERROR(VLOOKUP($D2074,库存台账!$A$5:$Y$1204,24,0),0)&lt;-0.001,"※这个物料账面已经变成负数了，查一下是不是漏记入库","")))))))))))</f>
        <v/>
      </c>
    </row>
    <row r="2075">
      <c r="A2075" s="24">
        <f>IF($D2075="","",COUNTA($D$4:$D2075))</f>
        <v/>
      </c>
      <c r="B2075" s="17" t="n"/>
      <c r="C2075" s="30" t="n"/>
      <c r="D2075" s="17" t="n"/>
      <c r="E2075" s="24">
        <f>IF($D2075="","",IFERROR(VLOOKUP($D2075,物料档案!$A$4:$P$1203,3,0),"※编码不在物料档案里"))</f>
        <v/>
      </c>
      <c r="F2075" s="24">
        <f>IF($D2075="","",IFERROR(VLOOKUP($D2075,物料档案!$A$4:$P$1203,4,0),"※编码不在物料档案里"))</f>
        <v/>
      </c>
      <c r="G2075" s="24">
        <f>IF($D2075="","",IFERROR(VLOOKUP($D2075,物料档案!$A$4:$P$1203,5,0),"※编码不在物料档案里"))</f>
        <v/>
      </c>
      <c r="H2075" s="24">
        <f>IF($D2075="","",IFERROR(VLOOKUP($D2075,物料档案!$A$4:$P$1203,2,0),"※编码不在物料档案里"))</f>
        <v/>
      </c>
      <c r="I2075" s="24">
        <f>IF($D2075="","",IFERROR(VLOOKUP($D2075,物料档案!$A$4:$P$1203,6,0),"※编码不在物料档案里"))</f>
        <v/>
      </c>
      <c r="J2075" s="23" t="n"/>
      <c r="K2075" s="17" t="n"/>
      <c r="L2075" s="17" t="n"/>
      <c r="M2075" s="17" t="n"/>
      <c r="N2075" s="17" t="n"/>
      <c r="O2075" s="26">
        <f>IF($D2075="","",IFERROR(VLOOKUP($D2075,物料档案!$A$4:$P$1203,10,0),0))</f>
        <v/>
      </c>
      <c r="P2075" s="32" t="n"/>
      <c r="Q2075" s="26">
        <f>IF($D2075="","",IF($K2075&lt;&gt;"对外销售",0,ROUND(N($J2075)*IF($P2075="",N($O2075),N($P2075)),0)))</f>
        <v/>
      </c>
      <c r="R2075" s="26">
        <f>IF($D2075="","",IFERROR(VLOOKUP($D2075,库存台账!$A$5:$Y$1204,11,0),0))</f>
        <v/>
      </c>
      <c r="S2075" s="26">
        <f>IF($D2075="","",ROUND(N($J2075)*N($R2075),0))</f>
        <v/>
      </c>
      <c r="T2075" s="26">
        <f>IF($D2075="","",IF($K2075&lt;&gt;"对外销售","",ROUND($Q2075-$S2075,0)))</f>
        <v/>
      </c>
      <c r="U2075" s="17" t="n"/>
      <c r="V2075" s="17" t="n"/>
      <c r="W2075" s="24">
        <f>IF($D2075="","",IF($E2075="※编码不在物料档案里","※物料编码不在档案里",IF(N($J2075)&lt;=0,"※出库数量要大于 0",IF($K2075="","※没填去向类型",IF($L2075="","※没填去向矿区",IF(AND($C2075&lt;&gt;"",$C2075&lt;=结账锁),"※日期早于已结账截止日，不能再录",IF(AND($K2075="自用消耗",COUNTIF({"一矿区";"二矿区"},$L2075)=0),"※自用消耗的去向只能是一矿区或二矿区",IF(AND($K2075="对外销售",COUNTIF({"三矿区";"六矿区"},$L2075)=0),"※对外销售的去向只能是三矿区或六矿区",IF(AND($K2075="对外销售",ROUND($Q2075,0)=0),"※外销却没有售价，请填实际售价",IF(AND($K2075="对外销售",$T2075&lt;&gt;"",$T2075&lt;0),"※这一笔外销是亏的，请核对售价",IF(IFERROR(VLOOKUP($D2075,库存台账!$A$5:$Y$1204,24,0),0)&lt;-0.001,"※这个物料账面已经变成负数了，查一下是不是漏记入库","")))))))))))</f>
        <v/>
      </c>
    </row>
    <row r="2076">
      <c r="A2076" s="24">
        <f>IF($D2076="","",COUNTA($D$4:$D2076))</f>
        <v/>
      </c>
      <c r="B2076" s="17" t="n"/>
      <c r="C2076" s="30" t="n"/>
      <c r="D2076" s="17" t="n"/>
      <c r="E2076" s="24">
        <f>IF($D2076="","",IFERROR(VLOOKUP($D2076,物料档案!$A$4:$P$1203,3,0),"※编码不在物料档案里"))</f>
        <v/>
      </c>
      <c r="F2076" s="24">
        <f>IF($D2076="","",IFERROR(VLOOKUP($D2076,物料档案!$A$4:$P$1203,4,0),"※编码不在物料档案里"))</f>
        <v/>
      </c>
      <c r="G2076" s="24">
        <f>IF($D2076="","",IFERROR(VLOOKUP($D2076,物料档案!$A$4:$P$1203,5,0),"※编码不在物料档案里"))</f>
        <v/>
      </c>
      <c r="H2076" s="24">
        <f>IF($D2076="","",IFERROR(VLOOKUP($D2076,物料档案!$A$4:$P$1203,2,0),"※编码不在物料档案里"))</f>
        <v/>
      </c>
      <c r="I2076" s="24">
        <f>IF($D2076="","",IFERROR(VLOOKUP($D2076,物料档案!$A$4:$P$1203,6,0),"※编码不在物料档案里"))</f>
        <v/>
      </c>
      <c r="J2076" s="23" t="n"/>
      <c r="K2076" s="17" t="n"/>
      <c r="L2076" s="17" t="n"/>
      <c r="M2076" s="17" t="n"/>
      <c r="N2076" s="17" t="n"/>
      <c r="O2076" s="26">
        <f>IF($D2076="","",IFERROR(VLOOKUP($D2076,物料档案!$A$4:$P$1203,10,0),0))</f>
        <v/>
      </c>
      <c r="P2076" s="32" t="n"/>
      <c r="Q2076" s="26">
        <f>IF($D2076="","",IF($K2076&lt;&gt;"对外销售",0,ROUND(N($J2076)*IF($P2076="",N($O2076),N($P2076)),0)))</f>
        <v/>
      </c>
      <c r="R2076" s="26">
        <f>IF($D2076="","",IFERROR(VLOOKUP($D2076,库存台账!$A$5:$Y$1204,11,0),0))</f>
        <v/>
      </c>
      <c r="S2076" s="26">
        <f>IF($D2076="","",ROUND(N($J2076)*N($R2076),0))</f>
        <v/>
      </c>
      <c r="T2076" s="26">
        <f>IF($D2076="","",IF($K2076&lt;&gt;"对外销售","",ROUND($Q2076-$S2076,0)))</f>
        <v/>
      </c>
      <c r="U2076" s="17" t="n"/>
      <c r="V2076" s="17" t="n"/>
      <c r="W2076" s="24">
        <f>IF($D2076="","",IF($E2076="※编码不在物料档案里","※物料编码不在档案里",IF(N($J2076)&lt;=0,"※出库数量要大于 0",IF($K2076="","※没填去向类型",IF($L2076="","※没填去向矿区",IF(AND($C2076&lt;&gt;"",$C2076&lt;=结账锁),"※日期早于已结账截止日，不能再录",IF(AND($K2076="自用消耗",COUNTIF({"一矿区";"二矿区"},$L2076)=0),"※自用消耗的去向只能是一矿区或二矿区",IF(AND($K2076="对外销售",COUNTIF({"三矿区";"六矿区"},$L2076)=0),"※对外销售的去向只能是三矿区或六矿区",IF(AND($K2076="对外销售",ROUND($Q2076,0)=0),"※外销却没有售价，请填实际售价",IF(AND($K2076="对外销售",$T2076&lt;&gt;"",$T2076&lt;0),"※这一笔外销是亏的，请核对售价",IF(IFERROR(VLOOKUP($D2076,库存台账!$A$5:$Y$1204,24,0),0)&lt;-0.001,"※这个物料账面已经变成负数了，查一下是不是漏记入库","")))))))))))</f>
        <v/>
      </c>
    </row>
    <row r="2077">
      <c r="A2077" s="24">
        <f>IF($D2077="","",COUNTA($D$4:$D2077))</f>
        <v/>
      </c>
      <c r="B2077" s="17" t="n"/>
      <c r="C2077" s="30" t="n"/>
      <c r="D2077" s="17" t="n"/>
      <c r="E2077" s="24">
        <f>IF($D2077="","",IFERROR(VLOOKUP($D2077,物料档案!$A$4:$P$1203,3,0),"※编码不在物料档案里"))</f>
        <v/>
      </c>
      <c r="F2077" s="24">
        <f>IF($D2077="","",IFERROR(VLOOKUP($D2077,物料档案!$A$4:$P$1203,4,0),"※编码不在物料档案里"))</f>
        <v/>
      </c>
      <c r="G2077" s="24">
        <f>IF($D2077="","",IFERROR(VLOOKUP($D2077,物料档案!$A$4:$P$1203,5,0),"※编码不在物料档案里"))</f>
        <v/>
      </c>
      <c r="H2077" s="24">
        <f>IF($D2077="","",IFERROR(VLOOKUP($D2077,物料档案!$A$4:$P$1203,2,0),"※编码不在物料档案里"))</f>
        <v/>
      </c>
      <c r="I2077" s="24">
        <f>IF($D2077="","",IFERROR(VLOOKUP($D2077,物料档案!$A$4:$P$1203,6,0),"※编码不在物料档案里"))</f>
        <v/>
      </c>
      <c r="J2077" s="23" t="n"/>
      <c r="K2077" s="17" t="n"/>
      <c r="L2077" s="17" t="n"/>
      <c r="M2077" s="17" t="n"/>
      <c r="N2077" s="17" t="n"/>
      <c r="O2077" s="26">
        <f>IF($D2077="","",IFERROR(VLOOKUP($D2077,物料档案!$A$4:$P$1203,10,0),0))</f>
        <v/>
      </c>
      <c r="P2077" s="32" t="n"/>
      <c r="Q2077" s="26">
        <f>IF($D2077="","",IF($K2077&lt;&gt;"对外销售",0,ROUND(N($J2077)*IF($P2077="",N($O2077),N($P2077)),0)))</f>
        <v/>
      </c>
      <c r="R2077" s="26">
        <f>IF($D2077="","",IFERROR(VLOOKUP($D2077,库存台账!$A$5:$Y$1204,11,0),0))</f>
        <v/>
      </c>
      <c r="S2077" s="26">
        <f>IF($D2077="","",ROUND(N($J2077)*N($R2077),0))</f>
        <v/>
      </c>
      <c r="T2077" s="26">
        <f>IF($D2077="","",IF($K2077&lt;&gt;"对外销售","",ROUND($Q2077-$S2077,0)))</f>
        <v/>
      </c>
      <c r="U2077" s="17" t="n"/>
      <c r="V2077" s="17" t="n"/>
      <c r="W2077" s="24">
        <f>IF($D2077="","",IF($E2077="※编码不在物料档案里","※物料编码不在档案里",IF(N($J2077)&lt;=0,"※出库数量要大于 0",IF($K2077="","※没填去向类型",IF($L2077="","※没填去向矿区",IF(AND($C2077&lt;&gt;"",$C2077&lt;=结账锁),"※日期早于已结账截止日，不能再录",IF(AND($K2077="自用消耗",COUNTIF({"一矿区";"二矿区"},$L2077)=0),"※自用消耗的去向只能是一矿区或二矿区",IF(AND($K2077="对外销售",COUNTIF({"三矿区";"六矿区"},$L2077)=0),"※对外销售的去向只能是三矿区或六矿区",IF(AND($K2077="对外销售",ROUND($Q2077,0)=0),"※外销却没有售价，请填实际售价",IF(AND($K2077="对外销售",$T2077&lt;&gt;"",$T2077&lt;0),"※这一笔外销是亏的，请核对售价",IF(IFERROR(VLOOKUP($D2077,库存台账!$A$5:$Y$1204,24,0),0)&lt;-0.001,"※这个物料账面已经变成负数了，查一下是不是漏记入库","")))))))))))</f>
        <v/>
      </c>
    </row>
    <row r="2078">
      <c r="A2078" s="24">
        <f>IF($D2078="","",COUNTA($D$4:$D2078))</f>
        <v/>
      </c>
      <c r="B2078" s="17" t="n"/>
      <c r="C2078" s="30" t="n"/>
      <c r="D2078" s="17" t="n"/>
      <c r="E2078" s="24">
        <f>IF($D2078="","",IFERROR(VLOOKUP($D2078,物料档案!$A$4:$P$1203,3,0),"※编码不在物料档案里"))</f>
        <v/>
      </c>
      <c r="F2078" s="24">
        <f>IF($D2078="","",IFERROR(VLOOKUP($D2078,物料档案!$A$4:$P$1203,4,0),"※编码不在物料档案里"))</f>
        <v/>
      </c>
      <c r="G2078" s="24">
        <f>IF($D2078="","",IFERROR(VLOOKUP($D2078,物料档案!$A$4:$P$1203,5,0),"※编码不在物料档案里"))</f>
        <v/>
      </c>
      <c r="H2078" s="24">
        <f>IF($D2078="","",IFERROR(VLOOKUP($D2078,物料档案!$A$4:$P$1203,2,0),"※编码不在物料档案里"))</f>
        <v/>
      </c>
      <c r="I2078" s="24">
        <f>IF($D2078="","",IFERROR(VLOOKUP($D2078,物料档案!$A$4:$P$1203,6,0),"※编码不在物料档案里"))</f>
        <v/>
      </c>
      <c r="J2078" s="23" t="n"/>
      <c r="K2078" s="17" t="n"/>
      <c r="L2078" s="17" t="n"/>
      <c r="M2078" s="17" t="n"/>
      <c r="N2078" s="17" t="n"/>
      <c r="O2078" s="26">
        <f>IF($D2078="","",IFERROR(VLOOKUP($D2078,物料档案!$A$4:$P$1203,10,0),0))</f>
        <v/>
      </c>
      <c r="P2078" s="32" t="n"/>
      <c r="Q2078" s="26">
        <f>IF($D2078="","",IF($K2078&lt;&gt;"对外销售",0,ROUND(N($J2078)*IF($P2078="",N($O2078),N($P2078)),0)))</f>
        <v/>
      </c>
      <c r="R2078" s="26">
        <f>IF($D2078="","",IFERROR(VLOOKUP($D2078,库存台账!$A$5:$Y$1204,11,0),0))</f>
        <v/>
      </c>
      <c r="S2078" s="26">
        <f>IF($D2078="","",ROUND(N($J2078)*N($R2078),0))</f>
        <v/>
      </c>
      <c r="T2078" s="26">
        <f>IF($D2078="","",IF($K2078&lt;&gt;"对外销售","",ROUND($Q2078-$S2078,0)))</f>
        <v/>
      </c>
      <c r="U2078" s="17" t="n"/>
      <c r="V2078" s="17" t="n"/>
      <c r="W2078" s="24">
        <f>IF($D2078="","",IF($E2078="※编码不在物料档案里","※物料编码不在档案里",IF(N($J2078)&lt;=0,"※出库数量要大于 0",IF($K2078="","※没填去向类型",IF($L2078="","※没填去向矿区",IF(AND($C2078&lt;&gt;"",$C2078&lt;=结账锁),"※日期早于已结账截止日，不能再录",IF(AND($K2078="自用消耗",COUNTIF({"一矿区";"二矿区"},$L2078)=0),"※自用消耗的去向只能是一矿区或二矿区",IF(AND($K2078="对外销售",COUNTIF({"三矿区";"六矿区"},$L2078)=0),"※对外销售的去向只能是三矿区或六矿区",IF(AND($K2078="对外销售",ROUND($Q2078,0)=0),"※外销却没有售价，请填实际售价",IF(AND($K2078="对外销售",$T2078&lt;&gt;"",$T2078&lt;0),"※这一笔外销是亏的，请核对售价",IF(IFERROR(VLOOKUP($D2078,库存台账!$A$5:$Y$1204,24,0),0)&lt;-0.001,"※这个物料账面已经变成负数了，查一下是不是漏记入库","")))))))))))</f>
        <v/>
      </c>
    </row>
    <row r="2079">
      <c r="A2079" s="24">
        <f>IF($D2079="","",COUNTA($D$4:$D2079))</f>
        <v/>
      </c>
      <c r="B2079" s="17" t="n"/>
      <c r="C2079" s="30" t="n"/>
      <c r="D2079" s="17" t="n"/>
      <c r="E2079" s="24">
        <f>IF($D2079="","",IFERROR(VLOOKUP($D2079,物料档案!$A$4:$P$1203,3,0),"※编码不在物料档案里"))</f>
        <v/>
      </c>
      <c r="F2079" s="24">
        <f>IF($D2079="","",IFERROR(VLOOKUP($D2079,物料档案!$A$4:$P$1203,4,0),"※编码不在物料档案里"))</f>
        <v/>
      </c>
      <c r="G2079" s="24">
        <f>IF($D2079="","",IFERROR(VLOOKUP($D2079,物料档案!$A$4:$P$1203,5,0),"※编码不在物料档案里"))</f>
        <v/>
      </c>
      <c r="H2079" s="24">
        <f>IF($D2079="","",IFERROR(VLOOKUP($D2079,物料档案!$A$4:$P$1203,2,0),"※编码不在物料档案里"))</f>
        <v/>
      </c>
      <c r="I2079" s="24">
        <f>IF($D2079="","",IFERROR(VLOOKUP($D2079,物料档案!$A$4:$P$1203,6,0),"※编码不在物料档案里"))</f>
        <v/>
      </c>
      <c r="J2079" s="23" t="n"/>
      <c r="K2079" s="17" t="n"/>
      <c r="L2079" s="17" t="n"/>
      <c r="M2079" s="17" t="n"/>
      <c r="N2079" s="17" t="n"/>
      <c r="O2079" s="26">
        <f>IF($D2079="","",IFERROR(VLOOKUP($D2079,物料档案!$A$4:$P$1203,10,0),0))</f>
        <v/>
      </c>
      <c r="P2079" s="32" t="n"/>
      <c r="Q2079" s="26">
        <f>IF($D2079="","",IF($K2079&lt;&gt;"对外销售",0,ROUND(N($J2079)*IF($P2079="",N($O2079),N($P2079)),0)))</f>
        <v/>
      </c>
      <c r="R2079" s="26">
        <f>IF($D2079="","",IFERROR(VLOOKUP($D2079,库存台账!$A$5:$Y$1204,11,0),0))</f>
        <v/>
      </c>
      <c r="S2079" s="26">
        <f>IF($D2079="","",ROUND(N($J2079)*N($R2079),0))</f>
        <v/>
      </c>
      <c r="T2079" s="26">
        <f>IF($D2079="","",IF($K2079&lt;&gt;"对外销售","",ROUND($Q2079-$S2079,0)))</f>
        <v/>
      </c>
      <c r="U2079" s="17" t="n"/>
      <c r="V2079" s="17" t="n"/>
      <c r="W2079" s="24">
        <f>IF($D2079="","",IF($E2079="※编码不在物料档案里","※物料编码不在档案里",IF(N($J2079)&lt;=0,"※出库数量要大于 0",IF($K2079="","※没填去向类型",IF($L2079="","※没填去向矿区",IF(AND($C2079&lt;&gt;"",$C2079&lt;=结账锁),"※日期早于已结账截止日，不能再录",IF(AND($K2079="自用消耗",COUNTIF({"一矿区";"二矿区"},$L2079)=0),"※自用消耗的去向只能是一矿区或二矿区",IF(AND($K2079="对外销售",COUNTIF({"三矿区";"六矿区"},$L2079)=0),"※对外销售的去向只能是三矿区或六矿区",IF(AND($K2079="对外销售",ROUND($Q2079,0)=0),"※外销却没有售价，请填实际售价",IF(AND($K2079="对外销售",$T2079&lt;&gt;"",$T2079&lt;0),"※这一笔外销是亏的，请核对售价",IF(IFERROR(VLOOKUP($D2079,库存台账!$A$5:$Y$1204,24,0),0)&lt;-0.001,"※这个物料账面已经变成负数了，查一下是不是漏记入库","")))))))))))</f>
        <v/>
      </c>
    </row>
    <row r="2080">
      <c r="A2080" s="24">
        <f>IF($D2080="","",COUNTA($D$4:$D2080))</f>
        <v/>
      </c>
      <c r="B2080" s="17" t="n"/>
      <c r="C2080" s="30" t="n"/>
      <c r="D2080" s="17" t="n"/>
      <c r="E2080" s="24">
        <f>IF($D2080="","",IFERROR(VLOOKUP($D2080,物料档案!$A$4:$P$1203,3,0),"※编码不在物料档案里"))</f>
        <v/>
      </c>
      <c r="F2080" s="24">
        <f>IF($D2080="","",IFERROR(VLOOKUP($D2080,物料档案!$A$4:$P$1203,4,0),"※编码不在物料档案里"))</f>
        <v/>
      </c>
      <c r="G2080" s="24">
        <f>IF($D2080="","",IFERROR(VLOOKUP($D2080,物料档案!$A$4:$P$1203,5,0),"※编码不在物料档案里"))</f>
        <v/>
      </c>
      <c r="H2080" s="24">
        <f>IF($D2080="","",IFERROR(VLOOKUP($D2080,物料档案!$A$4:$P$1203,2,0),"※编码不在物料档案里"))</f>
        <v/>
      </c>
      <c r="I2080" s="24">
        <f>IF($D2080="","",IFERROR(VLOOKUP($D2080,物料档案!$A$4:$P$1203,6,0),"※编码不在物料档案里"))</f>
        <v/>
      </c>
      <c r="J2080" s="23" t="n"/>
      <c r="K2080" s="17" t="n"/>
      <c r="L2080" s="17" t="n"/>
      <c r="M2080" s="17" t="n"/>
      <c r="N2080" s="17" t="n"/>
      <c r="O2080" s="26">
        <f>IF($D2080="","",IFERROR(VLOOKUP($D2080,物料档案!$A$4:$P$1203,10,0),0))</f>
        <v/>
      </c>
      <c r="P2080" s="32" t="n"/>
      <c r="Q2080" s="26">
        <f>IF($D2080="","",IF($K2080&lt;&gt;"对外销售",0,ROUND(N($J2080)*IF($P2080="",N($O2080),N($P2080)),0)))</f>
        <v/>
      </c>
      <c r="R2080" s="26">
        <f>IF($D2080="","",IFERROR(VLOOKUP($D2080,库存台账!$A$5:$Y$1204,11,0),0))</f>
        <v/>
      </c>
      <c r="S2080" s="26">
        <f>IF($D2080="","",ROUND(N($J2080)*N($R2080),0))</f>
        <v/>
      </c>
      <c r="T2080" s="26">
        <f>IF($D2080="","",IF($K2080&lt;&gt;"对外销售","",ROUND($Q2080-$S2080,0)))</f>
        <v/>
      </c>
      <c r="U2080" s="17" t="n"/>
      <c r="V2080" s="17" t="n"/>
      <c r="W2080" s="24">
        <f>IF($D2080="","",IF($E2080="※编码不在物料档案里","※物料编码不在档案里",IF(N($J2080)&lt;=0,"※出库数量要大于 0",IF($K2080="","※没填去向类型",IF($L2080="","※没填去向矿区",IF(AND($C2080&lt;&gt;"",$C2080&lt;=结账锁),"※日期早于已结账截止日，不能再录",IF(AND($K2080="自用消耗",COUNTIF({"一矿区";"二矿区"},$L2080)=0),"※自用消耗的去向只能是一矿区或二矿区",IF(AND($K2080="对外销售",COUNTIF({"三矿区";"六矿区"},$L2080)=0),"※对外销售的去向只能是三矿区或六矿区",IF(AND($K2080="对外销售",ROUND($Q2080,0)=0),"※外销却没有售价，请填实际售价",IF(AND($K2080="对外销售",$T2080&lt;&gt;"",$T2080&lt;0),"※这一笔外销是亏的，请核对售价",IF(IFERROR(VLOOKUP($D2080,库存台账!$A$5:$Y$1204,24,0),0)&lt;-0.001,"※这个物料账面已经变成负数了，查一下是不是漏记入库","")))))))))))</f>
        <v/>
      </c>
    </row>
    <row r="2081">
      <c r="A2081" s="24">
        <f>IF($D2081="","",COUNTA($D$4:$D2081))</f>
        <v/>
      </c>
      <c r="B2081" s="17" t="n"/>
      <c r="C2081" s="30" t="n"/>
      <c r="D2081" s="17" t="n"/>
      <c r="E2081" s="24">
        <f>IF($D2081="","",IFERROR(VLOOKUP($D2081,物料档案!$A$4:$P$1203,3,0),"※编码不在物料档案里"))</f>
        <v/>
      </c>
      <c r="F2081" s="24">
        <f>IF($D2081="","",IFERROR(VLOOKUP($D2081,物料档案!$A$4:$P$1203,4,0),"※编码不在物料档案里"))</f>
        <v/>
      </c>
      <c r="G2081" s="24">
        <f>IF($D2081="","",IFERROR(VLOOKUP($D2081,物料档案!$A$4:$P$1203,5,0),"※编码不在物料档案里"))</f>
        <v/>
      </c>
      <c r="H2081" s="24">
        <f>IF($D2081="","",IFERROR(VLOOKUP($D2081,物料档案!$A$4:$P$1203,2,0),"※编码不在物料档案里"))</f>
        <v/>
      </c>
      <c r="I2081" s="24">
        <f>IF($D2081="","",IFERROR(VLOOKUP($D2081,物料档案!$A$4:$P$1203,6,0),"※编码不在物料档案里"))</f>
        <v/>
      </c>
      <c r="J2081" s="23" t="n"/>
      <c r="K2081" s="17" t="n"/>
      <c r="L2081" s="17" t="n"/>
      <c r="M2081" s="17" t="n"/>
      <c r="N2081" s="17" t="n"/>
      <c r="O2081" s="26">
        <f>IF($D2081="","",IFERROR(VLOOKUP($D2081,物料档案!$A$4:$P$1203,10,0),0))</f>
        <v/>
      </c>
      <c r="P2081" s="32" t="n"/>
      <c r="Q2081" s="26">
        <f>IF($D2081="","",IF($K2081&lt;&gt;"对外销售",0,ROUND(N($J2081)*IF($P2081="",N($O2081),N($P2081)),0)))</f>
        <v/>
      </c>
      <c r="R2081" s="26">
        <f>IF($D2081="","",IFERROR(VLOOKUP($D2081,库存台账!$A$5:$Y$1204,11,0),0))</f>
        <v/>
      </c>
      <c r="S2081" s="26">
        <f>IF($D2081="","",ROUND(N($J2081)*N($R2081),0))</f>
        <v/>
      </c>
      <c r="T2081" s="26">
        <f>IF($D2081="","",IF($K2081&lt;&gt;"对外销售","",ROUND($Q2081-$S2081,0)))</f>
        <v/>
      </c>
      <c r="U2081" s="17" t="n"/>
      <c r="V2081" s="17" t="n"/>
      <c r="W2081" s="24">
        <f>IF($D2081="","",IF($E2081="※编码不在物料档案里","※物料编码不在档案里",IF(N($J2081)&lt;=0,"※出库数量要大于 0",IF($K2081="","※没填去向类型",IF($L2081="","※没填去向矿区",IF(AND($C2081&lt;&gt;"",$C2081&lt;=结账锁),"※日期早于已结账截止日，不能再录",IF(AND($K2081="自用消耗",COUNTIF({"一矿区";"二矿区"},$L2081)=0),"※自用消耗的去向只能是一矿区或二矿区",IF(AND($K2081="对外销售",COUNTIF({"三矿区";"六矿区"},$L2081)=0),"※对外销售的去向只能是三矿区或六矿区",IF(AND($K2081="对外销售",ROUND($Q2081,0)=0),"※外销却没有售价，请填实际售价",IF(AND($K2081="对外销售",$T2081&lt;&gt;"",$T2081&lt;0),"※这一笔外销是亏的，请核对售价",IF(IFERROR(VLOOKUP($D2081,库存台账!$A$5:$Y$1204,24,0),0)&lt;-0.001,"※这个物料账面已经变成负数了，查一下是不是漏记入库","")))))))))))</f>
        <v/>
      </c>
    </row>
    <row r="2082">
      <c r="A2082" s="24">
        <f>IF($D2082="","",COUNTA($D$4:$D2082))</f>
        <v/>
      </c>
      <c r="B2082" s="17" t="n"/>
      <c r="C2082" s="30" t="n"/>
      <c r="D2082" s="17" t="n"/>
      <c r="E2082" s="24">
        <f>IF($D2082="","",IFERROR(VLOOKUP($D2082,物料档案!$A$4:$P$1203,3,0),"※编码不在物料档案里"))</f>
        <v/>
      </c>
      <c r="F2082" s="24">
        <f>IF($D2082="","",IFERROR(VLOOKUP($D2082,物料档案!$A$4:$P$1203,4,0),"※编码不在物料档案里"))</f>
        <v/>
      </c>
      <c r="G2082" s="24">
        <f>IF($D2082="","",IFERROR(VLOOKUP($D2082,物料档案!$A$4:$P$1203,5,0),"※编码不在物料档案里"))</f>
        <v/>
      </c>
      <c r="H2082" s="24">
        <f>IF($D2082="","",IFERROR(VLOOKUP($D2082,物料档案!$A$4:$P$1203,2,0),"※编码不在物料档案里"))</f>
        <v/>
      </c>
      <c r="I2082" s="24">
        <f>IF($D2082="","",IFERROR(VLOOKUP($D2082,物料档案!$A$4:$P$1203,6,0),"※编码不在物料档案里"))</f>
        <v/>
      </c>
      <c r="J2082" s="23" t="n"/>
      <c r="K2082" s="17" t="n"/>
      <c r="L2082" s="17" t="n"/>
      <c r="M2082" s="17" t="n"/>
      <c r="N2082" s="17" t="n"/>
      <c r="O2082" s="26">
        <f>IF($D2082="","",IFERROR(VLOOKUP($D2082,物料档案!$A$4:$P$1203,10,0),0))</f>
        <v/>
      </c>
      <c r="P2082" s="32" t="n"/>
      <c r="Q2082" s="26">
        <f>IF($D2082="","",IF($K2082&lt;&gt;"对外销售",0,ROUND(N($J2082)*IF($P2082="",N($O2082),N($P2082)),0)))</f>
        <v/>
      </c>
      <c r="R2082" s="26">
        <f>IF($D2082="","",IFERROR(VLOOKUP($D2082,库存台账!$A$5:$Y$1204,11,0),0))</f>
        <v/>
      </c>
      <c r="S2082" s="26">
        <f>IF($D2082="","",ROUND(N($J2082)*N($R2082),0))</f>
        <v/>
      </c>
      <c r="T2082" s="26">
        <f>IF($D2082="","",IF($K2082&lt;&gt;"对外销售","",ROUND($Q2082-$S2082,0)))</f>
        <v/>
      </c>
      <c r="U2082" s="17" t="n"/>
      <c r="V2082" s="17" t="n"/>
      <c r="W2082" s="24">
        <f>IF($D2082="","",IF($E2082="※编码不在物料档案里","※物料编码不在档案里",IF(N($J2082)&lt;=0,"※出库数量要大于 0",IF($K2082="","※没填去向类型",IF($L2082="","※没填去向矿区",IF(AND($C2082&lt;&gt;"",$C2082&lt;=结账锁),"※日期早于已结账截止日，不能再录",IF(AND($K2082="自用消耗",COUNTIF({"一矿区";"二矿区"},$L2082)=0),"※自用消耗的去向只能是一矿区或二矿区",IF(AND($K2082="对外销售",COUNTIF({"三矿区";"六矿区"},$L2082)=0),"※对外销售的去向只能是三矿区或六矿区",IF(AND($K2082="对外销售",ROUND($Q2082,0)=0),"※外销却没有售价，请填实际售价",IF(AND($K2082="对外销售",$T2082&lt;&gt;"",$T2082&lt;0),"※这一笔外销是亏的，请核对售价",IF(IFERROR(VLOOKUP($D2082,库存台账!$A$5:$Y$1204,24,0),0)&lt;-0.001,"※这个物料账面已经变成负数了，查一下是不是漏记入库","")))))))))))</f>
        <v/>
      </c>
    </row>
    <row r="2083">
      <c r="A2083" s="24">
        <f>IF($D2083="","",COUNTA($D$4:$D2083))</f>
        <v/>
      </c>
      <c r="B2083" s="17" t="n"/>
      <c r="C2083" s="30" t="n"/>
      <c r="D2083" s="17" t="n"/>
      <c r="E2083" s="24">
        <f>IF($D2083="","",IFERROR(VLOOKUP($D2083,物料档案!$A$4:$P$1203,3,0),"※编码不在物料档案里"))</f>
        <v/>
      </c>
      <c r="F2083" s="24">
        <f>IF($D2083="","",IFERROR(VLOOKUP($D2083,物料档案!$A$4:$P$1203,4,0),"※编码不在物料档案里"))</f>
        <v/>
      </c>
      <c r="G2083" s="24">
        <f>IF($D2083="","",IFERROR(VLOOKUP($D2083,物料档案!$A$4:$P$1203,5,0),"※编码不在物料档案里"))</f>
        <v/>
      </c>
      <c r="H2083" s="24">
        <f>IF($D2083="","",IFERROR(VLOOKUP($D2083,物料档案!$A$4:$P$1203,2,0),"※编码不在物料档案里"))</f>
        <v/>
      </c>
      <c r="I2083" s="24">
        <f>IF($D2083="","",IFERROR(VLOOKUP($D2083,物料档案!$A$4:$P$1203,6,0),"※编码不在物料档案里"))</f>
        <v/>
      </c>
      <c r="J2083" s="23" t="n"/>
      <c r="K2083" s="17" t="n"/>
      <c r="L2083" s="17" t="n"/>
      <c r="M2083" s="17" t="n"/>
      <c r="N2083" s="17" t="n"/>
      <c r="O2083" s="26">
        <f>IF($D2083="","",IFERROR(VLOOKUP($D2083,物料档案!$A$4:$P$1203,10,0),0))</f>
        <v/>
      </c>
      <c r="P2083" s="32" t="n"/>
      <c r="Q2083" s="26">
        <f>IF($D2083="","",IF($K2083&lt;&gt;"对外销售",0,ROUND(N($J2083)*IF($P2083="",N($O2083),N($P2083)),0)))</f>
        <v/>
      </c>
      <c r="R2083" s="26">
        <f>IF($D2083="","",IFERROR(VLOOKUP($D2083,库存台账!$A$5:$Y$1204,11,0),0))</f>
        <v/>
      </c>
      <c r="S2083" s="26">
        <f>IF($D2083="","",ROUND(N($J2083)*N($R2083),0))</f>
        <v/>
      </c>
      <c r="T2083" s="26">
        <f>IF($D2083="","",IF($K2083&lt;&gt;"对外销售","",ROUND($Q2083-$S2083,0)))</f>
        <v/>
      </c>
      <c r="U2083" s="17" t="n"/>
      <c r="V2083" s="17" t="n"/>
      <c r="W2083" s="24">
        <f>IF($D2083="","",IF($E2083="※编码不在物料档案里","※物料编码不在档案里",IF(N($J2083)&lt;=0,"※出库数量要大于 0",IF($K2083="","※没填去向类型",IF($L2083="","※没填去向矿区",IF(AND($C2083&lt;&gt;"",$C2083&lt;=结账锁),"※日期早于已结账截止日，不能再录",IF(AND($K2083="自用消耗",COUNTIF({"一矿区";"二矿区"},$L2083)=0),"※自用消耗的去向只能是一矿区或二矿区",IF(AND($K2083="对外销售",COUNTIF({"三矿区";"六矿区"},$L2083)=0),"※对外销售的去向只能是三矿区或六矿区",IF(AND($K2083="对外销售",ROUND($Q2083,0)=0),"※外销却没有售价，请填实际售价",IF(AND($K2083="对外销售",$T2083&lt;&gt;"",$T2083&lt;0),"※这一笔外销是亏的，请核对售价",IF(IFERROR(VLOOKUP($D2083,库存台账!$A$5:$Y$1204,24,0),0)&lt;-0.001,"※这个物料账面已经变成负数了，查一下是不是漏记入库","")))))))))))</f>
        <v/>
      </c>
    </row>
    <row r="2084">
      <c r="A2084" s="24">
        <f>IF($D2084="","",COUNTA($D$4:$D2084))</f>
        <v/>
      </c>
      <c r="B2084" s="17" t="n"/>
      <c r="C2084" s="30" t="n"/>
      <c r="D2084" s="17" t="n"/>
      <c r="E2084" s="24">
        <f>IF($D2084="","",IFERROR(VLOOKUP($D2084,物料档案!$A$4:$P$1203,3,0),"※编码不在物料档案里"))</f>
        <v/>
      </c>
      <c r="F2084" s="24">
        <f>IF($D2084="","",IFERROR(VLOOKUP($D2084,物料档案!$A$4:$P$1203,4,0),"※编码不在物料档案里"))</f>
        <v/>
      </c>
      <c r="G2084" s="24">
        <f>IF($D2084="","",IFERROR(VLOOKUP($D2084,物料档案!$A$4:$P$1203,5,0),"※编码不在物料档案里"))</f>
        <v/>
      </c>
      <c r="H2084" s="24">
        <f>IF($D2084="","",IFERROR(VLOOKUP($D2084,物料档案!$A$4:$P$1203,2,0),"※编码不在物料档案里"))</f>
        <v/>
      </c>
      <c r="I2084" s="24">
        <f>IF($D2084="","",IFERROR(VLOOKUP($D2084,物料档案!$A$4:$P$1203,6,0),"※编码不在物料档案里"))</f>
        <v/>
      </c>
      <c r="J2084" s="23" t="n"/>
      <c r="K2084" s="17" t="n"/>
      <c r="L2084" s="17" t="n"/>
      <c r="M2084" s="17" t="n"/>
      <c r="N2084" s="17" t="n"/>
      <c r="O2084" s="26">
        <f>IF($D2084="","",IFERROR(VLOOKUP($D2084,物料档案!$A$4:$P$1203,10,0),0))</f>
        <v/>
      </c>
      <c r="P2084" s="32" t="n"/>
      <c r="Q2084" s="26">
        <f>IF($D2084="","",IF($K2084&lt;&gt;"对外销售",0,ROUND(N($J2084)*IF($P2084="",N($O2084),N($P2084)),0)))</f>
        <v/>
      </c>
      <c r="R2084" s="26">
        <f>IF($D2084="","",IFERROR(VLOOKUP($D2084,库存台账!$A$5:$Y$1204,11,0),0))</f>
        <v/>
      </c>
      <c r="S2084" s="26">
        <f>IF($D2084="","",ROUND(N($J2084)*N($R2084),0))</f>
        <v/>
      </c>
      <c r="T2084" s="26">
        <f>IF($D2084="","",IF($K2084&lt;&gt;"对外销售","",ROUND($Q2084-$S2084,0)))</f>
        <v/>
      </c>
      <c r="U2084" s="17" t="n"/>
      <c r="V2084" s="17" t="n"/>
      <c r="W2084" s="24">
        <f>IF($D2084="","",IF($E2084="※编码不在物料档案里","※物料编码不在档案里",IF(N($J2084)&lt;=0,"※出库数量要大于 0",IF($K2084="","※没填去向类型",IF($L2084="","※没填去向矿区",IF(AND($C2084&lt;&gt;"",$C2084&lt;=结账锁),"※日期早于已结账截止日，不能再录",IF(AND($K2084="自用消耗",COUNTIF({"一矿区";"二矿区"},$L2084)=0),"※自用消耗的去向只能是一矿区或二矿区",IF(AND($K2084="对外销售",COUNTIF({"三矿区";"六矿区"},$L2084)=0),"※对外销售的去向只能是三矿区或六矿区",IF(AND($K2084="对外销售",ROUND($Q2084,0)=0),"※外销却没有售价，请填实际售价",IF(AND($K2084="对外销售",$T2084&lt;&gt;"",$T2084&lt;0),"※这一笔外销是亏的，请核对售价",IF(IFERROR(VLOOKUP($D2084,库存台账!$A$5:$Y$1204,24,0),0)&lt;-0.001,"※这个物料账面已经变成负数了，查一下是不是漏记入库","")))))))))))</f>
        <v/>
      </c>
    </row>
    <row r="2085">
      <c r="A2085" s="24">
        <f>IF($D2085="","",COUNTA($D$4:$D2085))</f>
        <v/>
      </c>
      <c r="B2085" s="17" t="n"/>
      <c r="C2085" s="30" t="n"/>
      <c r="D2085" s="17" t="n"/>
      <c r="E2085" s="24">
        <f>IF($D2085="","",IFERROR(VLOOKUP($D2085,物料档案!$A$4:$P$1203,3,0),"※编码不在物料档案里"))</f>
        <v/>
      </c>
      <c r="F2085" s="24">
        <f>IF($D2085="","",IFERROR(VLOOKUP($D2085,物料档案!$A$4:$P$1203,4,0),"※编码不在物料档案里"))</f>
        <v/>
      </c>
      <c r="G2085" s="24">
        <f>IF($D2085="","",IFERROR(VLOOKUP($D2085,物料档案!$A$4:$P$1203,5,0),"※编码不在物料档案里"))</f>
        <v/>
      </c>
      <c r="H2085" s="24">
        <f>IF($D2085="","",IFERROR(VLOOKUP($D2085,物料档案!$A$4:$P$1203,2,0),"※编码不在物料档案里"))</f>
        <v/>
      </c>
      <c r="I2085" s="24">
        <f>IF($D2085="","",IFERROR(VLOOKUP($D2085,物料档案!$A$4:$P$1203,6,0),"※编码不在物料档案里"))</f>
        <v/>
      </c>
      <c r="J2085" s="23" t="n"/>
      <c r="K2085" s="17" t="n"/>
      <c r="L2085" s="17" t="n"/>
      <c r="M2085" s="17" t="n"/>
      <c r="N2085" s="17" t="n"/>
      <c r="O2085" s="26">
        <f>IF($D2085="","",IFERROR(VLOOKUP($D2085,物料档案!$A$4:$P$1203,10,0),0))</f>
        <v/>
      </c>
      <c r="P2085" s="32" t="n"/>
      <c r="Q2085" s="26">
        <f>IF($D2085="","",IF($K2085&lt;&gt;"对外销售",0,ROUND(N($J2085)*IF($P2085="",N($O2085),N($P2085)),0)))</f>
        <v/>
      </c>
      <c r="R2085" s="26">
        <f>IF($D2085="","",IFERROR(VLOOKUP($D2085,库存台账!$A$5:$Y$1204,11,0),0))</f>
        <v/>
      </c>
      <c r="S2085" s="26">
        <f>IF($D2085="","",ROUND(N($J2085)*N($R2085),0))</f>
        <v/>
      </c>
      <c r="T2085" s="26">
        <f>IF($D2085="","",IF($K2085&lt;&gt;"对外销售","",ROUND($Q2085-$S2085,0)))</f>
        <v/>
      </c>
      <c r="U2085" s="17" t="n"/>
      <c r="V2085" s="17" t="n"/>
      <c r="W2085" s="24">
        <f>IF($D2085="","",IF($E2085="※编码不在物料档案里","※物料编码不在档案里",IF(N($J2085)&lt;=0,"※出库数量要大于 0",IF($K2085="","※没填去向类型",IF($L2085="","※没填去向矿区",IF(AND($C2085&lt;&gt;"",$C2085&lt;=结账锁),"※日期早于已结账截止日，不能再录",IF(AND($K2085="自用消耗",COUNTIF({"一矿区";"二矿区"},$L2085)=0),"※自用消耗的去向只能是一矿区或二矿区",IF(AND($K2085="对外销售",COUNTIF({"三矿区";"六矿区"},$L2085)=0),"※对外销售的去向只能是三矿区或六矿区",IF(AND($K2085="对外销售",ROUND($Q2085,0)=0),"※外销却没有售价，请填实际售价",IF(AND($K2085="对外销售",$T2085&lt;&gt;"",$T2085&lt;0),"※这一笔外销是亏的，请核对售价",IF(IFERROR(VLOOKUP($D2085,库存台账!$A$5:$Y$1204,24,0),0)&lt;-0.001,"※这个物料账面已经变成负数了，查一下是不是漏记入库","")))))))))))</f>
        <v/>
      </c>
    </row>
    <row r="2086">
      <c r="A2086" s="24">
        <f>IF($D2086="","",COUNTA($D$4:$D2086))</f>
        <v/>
      </c>
      <c r="B2086" s="17" t="n"/>
      <c r="C2086" s="30" t="n"/>
      <c r="D2086" s="17" t="n"/>
      <c r="E2086" s="24">
        <f>IF($D2086="","",IFERROR(VLOOKUP($D2086,物料档案!$A$4:$P$1203,3,0),"※编码不在物料档案里"))</f>
        <v/>
      </c>
      <c r="F2086" s="24">
        <f>IF($D2086="","",IFERROR(VLOOKUP($D2086,物料档案!$A$4:$P$1203,4,0),"※编码不在物料档案里"))</f>
        <v/>
      </c>
      <c r="G2086" s="24">
        <f>IF($D2086="","",IFERROR(VLOOKUP($D2086,物料档案!$A$4:$P$1203,5,0),"※编码不在物料档案里"))</f>
        <v/>
      </c>
      <c r="H2086" s="24">
        <f>IF($D2086="","",IFERROR(VLOOKUP($D2086,物料档案!$A$4:$P$1203,2,0),"※编码不在物料档案里"))</f>
        <v/>
      </c>
      <c r="I2086" s="24">
        <f>IF($D2086="","",IFERROR(VLOOKUP($D2086,物料档案!$A$4:$P$1203,6,0),"※编码不在物料档案里"))</f>
        <v/>
      </c>
      <c r="J2086" s="23" t="n"/>
      <c r="K2086" s="17" t="n"/>
      <c r="L2086" s="17" t="n"/>
      <c r="M2086" s="17" t="n"/>
      <c r="N2086" s="17" t="n"/>
      <c r="O2086" s="26">
        <f>IF($D2086="","",IFERROR(VLOOKUP($D2086,物料档案!$A$4:$P$1203,10,0),0))</f>
        <v/>
      </c>
      <c r="P2086" s="32" t="n"/>
      <c r="Q2086" s="26">
        <f>IF($D2086="","",IF($K2086&lt;&gt;"对外销售",0,ROUND(N($J2086)*IF($P2086="",N($O2086),N($P2086)),0)))</f>
        <v/>
      </c>
      <c r="R2086" s="26">
        <f>IF($D2086="","",IFERROR(VLOOKUP($D2086,库存台账!$A$5:$Y$1204,11,0),0))</f>
        <v/>
      </c>
      <c r="S2086" s="26">
        <f>IF($D2086="","",ROUND(N($J2086)*N($R2086),0))</f>
        <v/>
      </c>
      <c r="T2086" s="26">
        <f>IF($D2086="","",IF($K2086&lt;&gt;"对外销售","",ROUND($Q2086-$S2086,0)))</f>
        <v/>
      </c>
      <c r="U2086" s="17" t="n"/>
      <c r="V2086" s="17" t="n"/>
      <c r="W2086" s="24">
        <f>IF($D2086="","",IF($E2086="※编码不在物料档案里","※物料编码不在档案里",IF(N($J2086)&lt;=0,"※出库数量要大于 0",IF($K2086="","※没填去向类型",IF($L2086="","※没填去向矿区",IF(AND($C2086&lt;&gt;"",$C2086&lt;=结账锁),"※日期早于已结账截止日，不能再录",IF(AND($K2086="自用消耗",COUNTIF({"一矿区";"二矿区"},$L2086)=0),"※自用消耗的去向只能是一矿区或二矿区",IF(AND($K2086="对外销售",COUNTIF({"三矿区";"六矿区"},$L2086)=0),"※对外销售的去向只能是三矿区或六矿区",IF(AND($K2086="对外销售",ROUND($Q2086,0)=0),"※外销却没有售价，请填实际售价",IF(AND($K2086="对外销售",$T2086&lt;&gt;"",$T2086&lt;0),"※这一笔外销是亏的，请核对售价",IF(IFERROR(VLOOKUP($D2086,库存台账!$A$5:$Y$1204,24,0),0)&lt;-0.001,"※这个物料账面已经变成负数了，查一下是不是漏记入库","")))))))))))</f>
        <v/>
      </c>
    </row>
    <row r="2087">
      <c r="A2087" s="24">
        <f>IF($D2087="","",COUNTA($D$4:$D2087))</f>
        <v/>
      </c>
      <c r="B2087" s="17" t="n"/>
      <c r="C2087" s="30" t="n"/>
      <c r="D2087" s="17" t="n"/>
      <c r="E2087" s="24">
        <f>IF($D2087="","",IFERROR(VLOOKUP($D2087,物料档案!$A$4:$P$1203,3,0),"※编码不在物料档案里"))</f>
        <v/>
      </c>
      <c r="F2087" s="24">
        <f>IF($D2087="","",IFERROR(VLOOKUP($D2087,物料档案!$A$4:$P$1203,4,0),"※编码不在物料档案里"))</f>
        <v/>
      </c>
      <c r="G2087" s="24">
        <f>IF($D2087="","",IFERROR(VLOOKUP($D2087,物料档案!$A$4:$P$1203,5,0),"※编码不在物料档案里"))</f>
        <v/>
      </c>
      <c r="H2087" s="24">
        <f>IF($D2087="","",IFERROR(VLOOKUP($D2087,物料档案!$A$4:$P$1203,2,0),"※编码不在物料档案里"))</f>
        <v/>
      </c>
      <c r="I2087" s="24">
        <f>IF($D2087="","",IFERROR(VLOOKUP($D2087,物料档案!$A$4:$P$1203,6,0),"※编码不在物料档案里"))</f>
        <v/>
      </c>
      <c r="J2087" s="23" t="n"/>
      <c r="K2087" s="17" t="n"/>
      <c r="L2087" s="17" t="n"/>
      <c r="M2087" s="17" t="n"/>
      <c r="N2087" s="17" t="n"/>
      <c r="O2087" s="26">
        <f>IF($D2087="","",IFERROR(VLOOKUP($D2087,物料档案!$A$4:$P$1203,10,0),0))</f>
        <v/>
      </c>
      <c r="P2087" s="32" t="n"/>
      <c r="Q2087" s="26">
        <f>IF($D2087="","",IF($K2087&lt;&gt;"对外销售",0,ROUND(N($J2087)*IF($P2087="",N($O2087),N($P2087)),0)))</f>
        <v/>
      </c>
      <c r="R2087" s="26">
        <f>IF($D2087="","",IFERROR(VLOOKUP($D2087,库存台账!$A$5:$Y$1204,11,0),0))</f>
        <v/>
      </c>
      <c r="S2087" s="26">
        <f>IF($D2087="","",ROUND(N($J2087)*N($R2087),0))</f>
        <v/>
      </c>
      <c r="T2087" s="26">
        <f>IF($D2087="","",IF($K2087&lt;&gt;"对外销售","",ROUND($Q2087-$S2087,0)))</f>
        <v/>
      </c>
      <c r="U2087" s="17" t="n"/>
      <c r="V2087" s="17" t="n"/>
      <c r="W2087" s="24">
        <f>IF($D2087="","",IF($E2087="※编码不在物料档案里","※物料编码不在档案里",IF(N($J2087)&lt;=0,"※出库数量要大于 0",IF($K2087="","※没填去向类型",IF($L2087="","※没填去向矿区",IF(AND($C2087&lt;&gt;"",$C2087&lt;=结账锁),"※日期早于已结账截止日，不能再录",IF(AND($K2087="自用消耗",COUNTIF({"一矿区";"二矿区"},$L2087)=0),"※自用消耗的去向只能是一矿区或二矿区",IF(AND($K2087="对外销售",COUNTIF({"三矿区";"六矿区"},$L2087)=0),"※对外销售的去向只能是三矿区或六矿区",IF(AND($K2087="对外销售",ROUND($Q2087,0)=0),"※外销却没有售价，请填实际售价",IF(AND($K2087="对外销售",$T2087&lt;&gt;"",$T2087&lt;0),"※这一笔外销是亏的，请核对售价",IF(IFERROR(VLOOKUP($D2087,库存台账!$A$5:$Y$1204,24,0),0)&lt;-0.001,"※这个物料账面已经变成负数了，查一下是不是漏记入库","")))))))))))</f>
        <v/>
      </c>
    </row>
    <row r="2088">
      <c r="A2088" s="24">
        <f>IF($D2088="","",COUNTA($D$4:$D2088))</f>
        <v/>
      </c>
      <c r="B2088" s="17" t="n"/>
      <c r="C2088" s="30" t="n"/>
      <c r="D2088" s="17" t="n"/>
      <c r="E2088" s="24">
        <f>IF($D2088="","",IFERROR(VLOOKUP($D2088,物料档案!$A$4:$P$1203,3,0),"※编码不在物料档案里"))</f>
        <v/>
      </c>
      <c r="F2088" s="24">
        <f>IF($D2088="","",IFERROR(VLOOKUP($D2088,物料档案!$A$4:$P$1203,4,0),"※编码不在物料档案里"))</f>
        <v/>
      </c>
      <c r="G2088" s="24">
        <f>IF($D2088="","",IFERROR(VLOOKUP($D2088,物料档案!$A$4:$P$1203,5,0),"※编码不在物料档案里"))</f>
        <v/>
      </c>
      <c r="H2088" s="24">
        <f>IF($D2088="","",IFERROR(VLOOKUP($D2088,物料档案!$A$4:$P$1203,2,0),"※编码不在物料档案里"))</f>
        <v/>
      </c>
      <c r="I2088" s="24">
        <f>IF($D2088="","",IFERROR(VLOOKUP($D2088,物料档案!$A$4:$P$1203,6,0),"※编码不在物料档案里"))</f>
        <v/>
      </c>
      <c r="J2088" s="23" t="n"/>
      <c r="K2088" s="17" t="n"/>
      <c r="L2088" s="17" t="n"/>
      <c r="M2088" s="17" t="n"/>
      <c r="N2088" s="17" t="n"/>
      <c r="O2088" s="26">
        <f>IF($D2088="","",IFERROR(VLOOKUP($D2088,物料档案!$A$4:$P$1203,10,0),0))</f>
        <v/>
      </c>
      <c r="P2088" s="32" t="n"/>
      <c r="Q2088" s="26">
        <f>IF($D2088="","",IF($K2088&lt;&gt;"对外销售",0,ROUND(N($J2088)*IF($P2088="",N($O2088),N($P2088)),0)))</f>
        <v/>
      </c>
      <c r="R2088" s="26">
        <f>IF($D2088="","",IFERROR(VLOOKUP($D2088,库存台账!$A$5:$Y$1204,11,0),0))</f>
        <v/>
      </c>
      <c r="S2088" s="26">
        <f>IF($D2088="","",ROUND(N($J2088)*N($R2088),0))</f>
        <v/>
      </c>
      <c r="T2088" s="26">
        <f>IF($D2088="","",IF($K2088&lt;&gt;"对外销售","",ROUND($Q2088-$S2088,0)))</f>
        <v/>
      </c>
      <c r="U2088" s="17" t="n"/>
      <c r="V2088" s="17" t="n"/>
      <c r="W2088" s="24">
        <f>IF($D2088="","",IF($E2088="※编码不在物料档案里","※物料编码不在档案里",IF(N($J2088)&lt;=0,"※出库数量要大于 0",IF($K2088="","※没填去向类型",IF($L2088="","※没填去向矿区",IF(AND($C2088&lt;&gt;"",$C2088&lt;=结账锁),"※日期早于已结账截止日，不能再录",IF(AND($K2088="自用消耗",COUNTIF({"一矿区";"二矿区"},$L2088)=0),"※自用消耗的去向只能是一矿区或二矿区",IF(AND($K2088="对外销售",COUNTIF({"三矿区";"六矿区"},$L2088)=0),"※对外销售的去向只能是三矿区或六矿区",IF(AND($K2088="对外销售",ROUND($Q2088,0)=0),"※外销却没有售价，请填实际售价",IF(AND($K2088="对外销售",$T2088&lt;&gt;"",$T2088&lt;0),"※这一笔外销是亏的，请核对售价",IF(IFERROR(VLOOKUP($D2088,库存台账!$A$5:$Y$1204,24,0),0)&lt;-0.001,"※这个物料账面已经变成负数了，查一下是不是漏记入库","")))))))))))</f>
        <v/>
      </c>
    </row>
    <row r="2089">
      <c r="A2089" s="24">
        <f>IF($D2089="","",COUNTA($D$4:$D2089))</f>
        <v/>
      </c>
      <c r="B2089" s="17" t="n"/>
      <c r="C2089" s="30" t="n"/>
      <c r="D2089" s="17" t="n"/>
      <c r="E2089" s="24">
        <f>IF($D2089="","",IFERROR(VLOOKUP($D2089,物料档案!$A$4:$P$1203,3,0),"※编码不在物料档案里"))</f>
        <v/>
      </c>
      <c r="F2089" s="24">
        <f>IF($D2089="","",IFERROR(VLOOKUP($D2089,物料档案!$A$4:$P$1203,4,0),"※编码不在物料档案里"))</f>
        <v/>
      </c>
      <c r="G2089" s="24">
        <f>IF($D2089="","",IFERROR(VLOOKUP($D2089,物料档案!$A$4:$P$1203,5,0),"※编码不在物料档案里"))</f>
        <v/>
      </c>
      <c r="H2089" s="24">
        <f>IF($D2089="","",IFERROR(VLOOKUP($D2089,物料档案!$A$4:$P$1203,2,0),"※编码不在物料档案里"))</f>
        <v/>
      </c>
      <c r="I2089" s="24">
        <f>IF($D2089="","",IFERROR(VLOOKUP($D2089,物料档案!$A$4:$P$1203,6,0),"※编码不在物料档案里"))</f>
        <v/>
      </c>
      <c r="J2089" s="23" t="n"/>
      <c r="K2089" s="17" t="n"/>
      <c r="L2089" s="17" t="n"/>
      <c r="M2089" s="17" t="n"/>
      <c r="N2089" s="17" t="n"/>
      <c r="O2089" s="26">
        <f>IF($D2089="","",IFERROR(VLOOKUP($D2089,物料档案!$A$4:$P$1203,10,0),0))</f>
        <v/>
      </c>
      <c r="P2089" s="32" t="n"/>
      <c r="Q2089" s="26">
        <f>IF($D2089="","",IF($K2089&lt;&gt;"对外销售",0,ROUND(N($J2089)*IF($P2089="",N($O2089),N($P2089)),0)))</f>
        <v/>
      </c>
      <c r="R2089" s="26">
        <f>IF($D2089="","",IFERROR(VLOOKUP($D2089,库存台账!$A$5:$Y$1204,11,0),0))</f>
        <v/>
      </c>
      <c r="S2089" s="26">
        <f>IF($D2089="","",ROUND(N($J2089)*N($R2089),0))</f>
        <v/>
      </c>
      <c r="T2089" s="26">
        <f>IF($D2089="","",IF($K2089&lt;&gt;"对外销售","",ROUND($Q2089-$S2089,0)))</f>
        <v/>
      </c>
      <c r="U2089" s="17" t="n"/>
      <c r="V2089" s="17" t="n"/>
      <c r="W2089" s="24">
        <f>IF($D2089="","",IF($E2089="※编码不在物料档案里","※物料编码不在档案里",IF(N($J2089)&lt;=0,"※出库数量要大于 0",IF($K2089="","※没填去向类型",IF($L2089="","※没填去向矿区",IF(AND($C2089&lt;&gt;"",$C2089&lt;=结账锁),"※日期早于已结账截止日，不能再录",IF(AND($K2089="自用消耗",COUNTIF({"一矿区";"二矿区"},$L2089)=0),"※自用消耗的去向只能是一矿区或二矿区",IF(AND($K2089="对外销售",COUNTIF({"三矿区";"六矿区"},$L2089)=0),"※对外销售的去向只能是三矿区或六矿区",IF(AND($K2089="对外销售",ROUND($Q2089,0)=0),"※外销却没有售价，请填实际售价",IF(AND($K2089="对外销售",$T2089&lt;&gt;"",$T2089&lt;0),"※这一笔外销是亏的，请核对售价",IF(IFERROR(VLOOKUP($D2089,库存台账!$A$5:$Y$1204,24,0),0)&lt;-0.001,"※这个物料账面已经变成负数了，查一下是不是漏记入库","")))))))))))</f>
        <v/>
      </c>
    </row>
    <row r="2090">
      <c r="A2090" s="24">
        <f>IF($D2090="","",COUNTA($D$4:$D2090))</f>
        <v/>
      </c>
      <c r="B2090" s="17" t="n"/>
      <c r="C2090" s="30" t="n"/>
      <c r="D2090" s="17" t="n"/>
      <c r="E2090" s="24">
        <f>IF($D2090="","",IFERROR(VLOOKUP($D2090,物料档案!$A$4:$P$1203,3,0),"※编码不在物料档案里"))</f>
        <v/>
      </c>
      <c r="F2090" s="24">
        <f>IF($D2090="","",IFERROR(VLOOKUP($D2090,物料档案!$A$4:$P$1203,4,0),"※编码不在物料档案里"))</f>
        <v/>
      </c>
      <c r="G2090" s="24">
        <f>IF($D2090="","",IFERROR(VLOOKUP($D2090,物料档案!$A$4:$P$1203,5,0),"※编码不在物料档案里"))</f>
        <v/>
      </c>
      <c r="H2090" s="24">
        <f>IF($D2090="","",IFERROR(VLOOKUP($D2090,物料档案!$A$4:$P$1203,2,0),"※编码不在物料档案里"))</f>
        <v/>
      </c>
      <c r="I2090" s="24">
        <f>IF($D2090="","",IFERROR(VLOOKUP($D2090,物料档案!$A$4:$P$1203,6,0),"※编码不在物料档案里"))</f>
        <v/>
      </c>
      <c r="J2090" s="23" t="n"/>
      <c r="K2090" s="17" t="n"/>
      <c r="L2090" s="17" t="n"/>
      <c r="M2090" s="17" t="n"/>
      <c r="N2090" s="17" t="n"/>
      <c r="O2090" s="26">
        <f>IF($D2090="","",IFERROR(VLOOKUP($D2090,物料档案!$A$4:$P$1203,10,0),0))</f>
        <v/>
      </c>
      <c r="P2090" s="32" t="n"/>
      <c r="Q2090" s="26">
        <f>IF($D2090="","",IF($K2090&lt;&gt;"对外销售",0,ROUND(N($J2090)*IF($P2090="",N($O2090),N($P2090)),0)))</f>
        <v/>
      </c>
      <c r="R2090" s="26">
        <f>IF($D2090="","",IFERROR(VLOOKUP($D2090,库存台账!$A$5:$Y$1204,11,0),0))</f>
        <v/>
      </c>
      <c r="S2090" s="26">
        <f>IF($D2090="","",ROUND(N($J2090)*N($R2090),0))</f>
        <v/>
      </c>
      <c r="T2090" s="26">
        <f>IF($D2090="","",IF($K2090&lt;&gt;"对外销售","",ROUND($Q2090-$S2090,0)))</f>
        <v/>
      </c>
      <c r="U2090" s="17" t="n"/>
      <c r="V2090" s="17" t="n"/>
      <c r="W2090" s="24">
        <f>IF($D2090="","",IF($E2090="※编码不在物料档案里","※物料编码不在档案里",IF(N($J2090)&lt;=0,"※出库数量要大于 0",IF($K2090="","※没填去向类型",IF($L2090="","※没填去向矿区",IF(AND($C2090&lt;&gt;"",$C2090&lt;=结账锁),"※日期早于已结账截止日，不能再录",IF(AND($K2090="自用消耗",COUNTIF({"一矿区";"二矿区"},$L2090)=0),"※自用消耗的去向只能是一矿区或二矿区",IF(AND($K2090="对外销售",COUNTIF({"三矿区";"六矿区"},$L2090)=0),"※对外销售的去向只能是三矿区或六矿区",IF(AND($K2090="对外销售",ROUND($Q2090,0)=0),"※外销却没有售价，请填实际售价",IF(AND($K2090="对外销售",$T2090&lt;&gt;"",$T2090&lt;0),"※这一笔外销是亏的，请核对售价",IF(IFERROR(VLOOKUP($D2090,库存台账!$A$5:$Y$1204,24,0),0)&lt;-0.001,"※这个物料账面已经变成负数了，查一下是不是漏记入库","")))))))))))</f>
        <v/>
      </c>
    </row>
    <row r="2091">
      <c r="A2091" s="24">
        <f>IF($D2091="","",COUNTA($D$4:$D2091))</f>
        <v/>
      </c>
      <c r="B2091" s="17" t="n"/>
      <c r="C2091" s="30" t="n"/>
      <c r="D2091" s="17" t="n"/>
      <c r="E2091" s="24">
        <f>IF($D2091="","",IFERROR(VLOOKUP($D2091,物料档案!$A$4:$P$1203,3,0),"※编码不在物料档案里"))</f>
        <v/>
      </c>
      <c r="F2091" s="24">
        <f>IF($D2091="","",IFERROR(VLOOKUP($D2091,物料档案!$A$4:$P$1203,4,0),"※编码不在物料档案里"))</f>
        <v/>
      </c>
      <c r="G2091" s="24">
        <f>IF($D2091="","",IFERROR(VLOOKUP($D2091,物料档案!$A$4:$P$1203,5,0),"※编码不在物料档案里"))</f>
        <v/>
      </c>
      <c r="H2091" s="24">
        <f>IF($D2091="","",IFERROR(VLOOKUP($D2091,物料档案!$A$4:$P$1203,2,0),"※编码不在物料档案里"))</f>
        <v/>
      </c>
      <c r="I2091" s="24">
        <f>IF($D2091="","",IFERROR(VLOOKUP($D2091,物料档案!$A$4:$P$1203,6,0),"※编码不在物料档案里"))</f>
        <v/>
      </c>
      <c r="J2091" s="23" t="n"/>
      <c r="K2091" s="17" t="n"/>
      <c r="L2091" s="17" t="n"/>
      <c r="M2091" s="17" t="n"/>
      <c r="N2091" s="17" t="n"/>
      <c r="O2091" s="26">
        <f>IF($D2091="","",IFERROR(VLOOKUP($D2091,物料档案!$A$4:$P$1203,10,0),0))</f>
        <v/>
      </c>
      <c r="P2091" s="32" t="n"/>
      <c r="Q2091" s="26">
        <f>IF($D2091="","",IF($K2091&lt;&gt;"对外销售",0,ROUND(N($J2091)*IF($P2091="",N($O2091),N($P2091)),0)))</f>
        <v/>
      </c>
      <c r="R2091" s="26">
        <f>IF($D2091="","",IFERROR(VLOOKUP($D2091,库存台账!$A$5:$Y$1204,11,0),0))</f>
        <v/>
      </c>
      <c r="S2091" s="26">
        <f>IF($D2091="","",ROUND(N($J2091)*N($R2091),0))</f>
        <v/>
      </c>
      <c r="T2091" s="26">
        <f>IF($D2091="","",IF($K2091&lt;&gt;"对外销售","",ROUND($Q2091-$S2091,0)))</f>
        <v/>
      </c>
      <c r="U2091" s="17" t="n"/>
      <c r="V2091" s="17" t="n"/>
      <c r="W2091" s="24">
        <f>IF($D2091="","",IF($E2091="※编码不在物料档案里","※物料编码不在档案里",IF(N($J2091)&lt;=0,"※出库数量要大于 0",IF($K2091="","※没填去向类型",IF($L2091="","※没填去向矿区",IF(AND($C2091&lt;&gt;"",$C2091&lt;=结账锁),"※日期早于已结账截止日，不能再录",IF(AND($K2091="自用消耗",COUNTIF({"一矿区";"二矿区"},$L2091)=0),"※自用消耗的去向只能是一矿区或二矿区",IF(AND($K2091="对外销售",COUNTIF({"三矿区";"六矿区"},$L2091)=0),"※对外销售的去向只能是三矿区或六矿区",IF(AND($K2091="对外销售",ROUND($Q2091,0)=0),"※外销却没有售价，请填实际售价",IF(AND($K2091="对外销售",$T2091&lt;&gt;"",$T2091&lt;0),"※这一笔外销是亏的，请核对售价",IF(IFERROR(VLOOKUP($D2091,库存台账!$A$5:$Y$1204,24,0),0)&lt;-0.001,"※这个物料账面已经变成负数了，查一下是不是漏记入库","")))))))))))</f>
        <v/>
      </c>
    </row>
    <row r="2092">
      <c r="A2092" s="24">
        <f>IF($D2092="","",COUNTA($D$4:$D2092))</f>
        <v/>
      </c>
      <c r="B2092" s="17" t="n"/>
      <c r="C2092" s="30" t="n"/>
      <c r="D2092" s="17" t="n"/>
      <c r="E2092" s="24">
        <f>IF($D2092="","",IFERROR(VLOOKUP($D2092,物料档案!$A$4:$P$1203,3,0),"※编码不在物料档案里"))</f>
        <v/>
      </c>
      <c r="F2092" s="24">
        <f>IF($D2092="","",IFERROR(VLOOKUP($D2092,物料档案!$A$4:$P$1203,4,0),"※编码不在物料档案里"))</f>
        <v/>
      </c>
      <c r="G2092" s="24">
        <f>IF($D2092="","",IFERROR(VLOOKUP($D2092,物料档案!$A$4:$P$1203,5,0),"※编码不在物料档案里"))</f>
        <v/>
      </c>
      <c r="H2092" s="24">
        <f>IF($D2092="","",IFERROR(VLOOKUP($D2092,物料档案!$A$4:$P$1203,2,0),"※编码不在物料档案里"))</f>
        <v/>
      </c>
      <c r="I2092" s="24">
        <f>IF($D2092="","",IFERROR(VLOOKUP($D2092,物料档案!$A$4:$P$1203,6,0),"※编码不在物料档案里"))</f>
        <v/>
      </c>
      <c r="J2092" s="23" t="n"/>
      <c r="K2092" s="17" t="n"/>
      <c r="L2092" s="17" t="n"/>
      <c r="M2092" s="17" t="n"/>
      <c r="N2092" s="17" t="n"/>
      <c r="O2092" s="26">
        <f>IF($D2092="","",IFERROR(VLOOKUP($D2092,物料档案!$A$4:$P$1203,10,0),0))</f>
        <v/>
      </c>
      <c r="P2092" s="32" t="n"/>
      <c r="Q2092" s="26">
        <f>IF($D2092="","",IF($K2092&lt;&gt;"对外销售",0,ROUND(N($J2092)*IF($P2092="",N($O2092),N($P2092)),0)))</f>
        <v/>
      </c>
      <c r="R2092" s="26">
        <f>IF($D2092="","",IFERROR(VLOOKUP($D2092,库存台账!$A$5:$Y$1204,11,0),0))</f>
        <v/>
      </c>
      <c r="S2092" s="26">
        <f>IF($D2092="","",ROUND(N($J2092)*N($R2092),0))</f>
        <v/>
      </c>
      <c r="T2092" s="26">
        <f>IF($D2092="","",IF($K2092&lt;&gt;"对外销售","",ROUND($Q2092-$S2092,0)))</f>
        <v/>
      </c>
      <c r="U2092" s="17" t="n"/>
      <c r="V2092" s="17" t="n"/>
      <c r="W2092" s="24">
        <f>IF($D2092="","",IF($E2092="※编码不在物料档案里","※物料编码不在档案里",IF(N($J2092)&lt;=0,"※出库数量要大于 0",IF($K2092="","※没填去向类型",IF($L2092="","※没填去向矿区",IF(AND($C2092&lt;&gt;"",$C2092&lt;=结账锁),"※日期早于已结账截止日，不能再录",IF(AND($K2092="自用消耗",COUNTIF({"一矿区";"二矿区"},$L2092)=0),"※自用消耗的去向只能是一矿区或二矿区",IF(AND($K2092="对外销售",COUNTIF({"三矿区";"六矿区"},$L2092)=0),"※对外销售的去向只能是三矿区或六矿区",IF(AND($K2092="对外销售",ROUND($Q2092,0)=0),"※外销却没有售价，请填实际售价",IF(AND($K2092="对外销售",$T2092&lt;&gt;"",$T2092&lt;0),"※这一笔外销是亏的，请核对售价",IF(IFERROR(VLOOKUP($D2092,库存台账!$A$5:$Y$1204,24,0),0)&lt;-0.001,"※这个物料账面已经变成负数了，查一下是不是漏记入库","")))))))))))</f>
        <v/>
      </c>
    </row>
    <row r="2093">
      <c r="A2093" s="24">
        <f>IF($D2093="","",COUNTA($D$4:$D2093))</f>
        <v/>
      </c>
      <c r="B2093" s="17" t="n"/>
      <c r="C2093" s="30" t="n"/>
      <c r="D2093" s="17" t="n"/>
      <c r="E2093" s="24">
        <f>IF($D2093="","",IFERROR(VLOOKUP($D2093,物料档案!$A$4:$P$1203,3,0),"※编码不在物料档案里"))</f>
        <v/>
      </c>
      <c r="F2093" s="24">
        <f>IF($D2093="","",IFERROR(VLOOKUP($D2093,物料档案!$A$4:$P$1203,4,0),"※编码不在物料档案里"))</f>
        <v/>
      </c>
      <c r="G2093" s="24">
        <f>IF($D2093="","",IFERROR(VLOOKUP($D2093,物料档案!$A$4:$P$1203,5,0),"※编码不在物料档案里"))</f>
        <v/>
      </c>
      <c r="H2093" s="24">
        <f>IF($D2093="","",IFERROR(VLOOKUP($D2093,物料档案!$A$4:$P$1203,2,0),"※编码不在物料档案里"))</f>
        <v/>
      </c>
      <c r="I2093" s="24">
        <f>IF($D2093="","",IFERROR(VLOOKUP($D2093,物料档案!$A$4:$P$1203,6,0),"※编码不在物料档案里"))</f>
        <v/>
      </c>
      <c r="J2093" s="23" t="n"/>
      <c r="K2093" s="17" t="n"/>
      <c r="L2093" s="17" t="n"/>
      <c r="M2093" s="17" t="n"/>
      <c r="N2093" s="17" t="n"/>
      <c r="O2093" s="26">
        <f>IF($D2093="","",IFERROR(VLOOKUP($D2093,物料档案!$A$4:$P$1203,10,0),0))</f>
        <v/>
      </c>
      <c r="P2093" s="32" t="n"/>
      <c r="Q2093" s="26">
        <f>IF($D2093="","",IF($K2093&lt;&gt;"对外销售",0,ROUND(N($J2093)*IF($P2093="",N($O2093),N($P2093)),0)))</f>
        <v/>
      </c>
      <c r="R2093" s="26">
        <f>IF($D2093="","",IFERROR(VLOOKUP($D2093,库存台账!$A$5:$Y$1204,11,0),0))</f>
        <v/>
      </c>
      <c r="S2093" s="26">
        <f>IF($D2093="","",ROUND(N($J2093)*N($R2093),0))</f>
        <v/>
      </c>
      <c r="T2093" s="26">
        <f>IF($D2093="","",IF($K2093&lt;&gt;"对外销售","",ROUND($Q2093-$S2093,0)))</f>
        <v/>
      </c>
      <c r="U2093" s="17" t="n"/>
      <c r="V2093" s="17" t="n"/>
      <c r="W2093" s="24">
        <f>IF($D2093="","",IF($E2093="※编码不在物料档案里","※物料编码不在档案里",IF(N($J2093)&lt;=0,"※出库数量要大于 0",IF($K2093="","※没填去向类型",IF($L2093="","※没填去向矿区",IF(AND($C2093&lt;&gt;"",$C2093&lt;=结账锁),"※日期早于已结账截止日，不能再录",IF(AND($K2093="自用消耗",COUNTIF({"一矿区";"二矿区"},$L2093)=0),"※自用消耗的去向只能是一矿区或二矿区",IF(AND($K2093="对外销售",COUNTIF({"三矿区";"六矿区"},$L2093)=0),"※对外销售的去向只能是三矿区或六矿区",IF(AND($K2093="对外销售",ROUND($Q2093,0)=0),"※外销却没有售价，请填实际售价",IF(AND($K2093="对外销售",$T2093&lt;&gt;"",$T2093&lt;0),"※这一笔外销是亏的，请核对售价",IF(IFERROR(VLOOKUP($D2093,库存台账!$A$5:$Y$1204,24,0),0)&lt;-0.001,"※这个物料账面已经变成负数了，查一下是不是漏记入库","")))))))))))</f>
        <v/>
      </c>
    </row>
    <row r="2094">
      <c r="A2094" s="24">
        <f>IF($D2094="","",COUNTA($D$4:$D2094))</f>
        <v/>
      </c>
      <c r="B2094" s="17" t="n"/>
      <c r="C2094" s="30" t="n"/>
      <c r="D2094" s="17" t="n"/>
      <c r="E2094" s="24">
        <f>IF($D2094="","",IFERROR(VLOOKUP($D2094,物料档案!$A$4:$P$1203,3,0),"※编码不在物料档案里"))</f>
        <v/>
      </c>
      <c r="F2094" s="24">
        <f>IF($D2094="","",IFERROR(VLOOKUP($D2094,物料档案!$A$4:$P$1203,4,0),"※编码不在物料档案里"))</f>
        <v/>
      </c>
      <c r="G2094" s="24">
        <f>IF($D2094="","",IFERROR(VLOOKUP($D2094,物料档案!$A$4:$P$1203,5,0),"※编码不在物料档案里"))</f>
        <v/>
      </c>
      <c r="H2094" s="24">
        <f>IF($D2094="","",IFERROR(VLOOKUP($D2094,物料档案!$A$4:$P$1203,2,0),"※编码不在物料档案里"))</f>
        <v/>
      </c>
      <c r="I2094" s="24">
        <f>IF($D2094="","",IFERROR(VLOOKUP($D2094,物料档案!$A$4:$P$1203,6,0),"※编码不在物料档案里"))</f>
        <v/>
      </c>
      <c r="J2094" s="23" t="n"/>
      <c r="K2094" s="17" t="n"/>
      <c r="L2094" s="17" t="n"/>
      <c r="M2094" s="17" t="n"/>
      <c r="N2094" s="17" t="n"/>
      <c r="O2094" s="26">
        <f>IF($D2094="","",IFERROR(VLOOKUP($D2094,物料档案!$A$4:$P$1203,10,0),0))</f>
        <v/>
      </c>
      <c r="P2094" s="32" t="n"/>
      <c r="Q2094" s="26">
        <f>IF($D2094="","",IF($K2094&lt;&gt;"对外销售",0,ROUND(N($J2094)*IF($P2094="",N($O2094),N($P2094)),0)))</f>
        <v/>
      </c>
      <c r="R2094" s="26">
        <f>IF($D2094="","",IFERROR(VLOOKUP($D2094,库存台账!$A$5:$Y$1204,11,0),0))</f>
        <v/>
      </c>
      <c r="S2094" s="26">
        <f>IF($D2094="","",ROUND(N($J2094)*N($R2094),0))</f>
        <v/>
      </c>
      <c r="T2094" s="26">
        <f>IF($D2094="","",IF($K2094&lt;&gt;"对外销售","",ROUND($Q2094-$S2094,0)))</f>
        <v/>
      </c>
      <c r="U2094" s="17" t="n"/>
      <c r="V2094" s="17" t="n"/>
      <c r="W2094" s="24">
        <f>IF($D2094="","",IF($E2094="※编码不在物料档案里","※物料编码不在档案里",IF(N($J2094)&lt;=0,"※出库数量要大于 0",IF($K2094="","※没填去向类型",IF($L2094="","※没填去向矿区",IF(AND($C2094&lt;&gt;"",$C2094&lt;=结账锁),"※日期早于已结账截止日，不能再录",IF(AND($K2094="自用消耗",COUNTIF({"一矿区";"二矿区"},$L2094)=0),"※自用消耗的去向只能是一矿区或二矿区",IF(AND($K2094="对外销售",COUNTIF({"三矿区";"六矿区"},$L2094)=0),"※对外销售的去向只能是三矿区或六矿区",IF(AND($K2094="对外销售",ROUND($Q2094,0)=0),"※外销却没有售价，请填实际售价",IF(AND($K2094="对外销售",$T2094&lt;&gt;"",$T2094&lt;0),"※这一笔外销是亏的，请核对售价",IF(IFERROR(VLOOKUP($D2094,库存台账!$A$5:$Y$1204,24,0),0)&lt;-0.001,"※这个物料账面已经变成负数了，查一下是不是漏记入库","")))))))))))</f>
        <v/>
      </c>
    </row>
    <row r="2095">
      <c r="A2095" s="24">
        <f>IF($D2095="","",COUNTA($D$4:$D2095))</f>
        <v/>
      </c>
      <c r="B2095" s="17" t="n"/>
      <c r="C2095" s="30" t="n"/>
      <c r="D2095" s="17" t="n"/>
      <c r="E2095" s="24">
        <f>IF($D2095="","",IFERROR(VLOOKUP($D2095,物料档案!$A$4:$P$1203,3,0),"※编码不在物料档案里"))</f>
        <v/>
      </c>
      <c r="F2095" s="24">
        <f>IF($D2095="","",IFERROR(VLOOKUP($D2095,物料档案!$A$4:$P$1203,4,0),"※编码不在物料档案里"))</f>
        <v/>
      </c>
      <c r="G2095" s="24">
        <f>IF($D2095="","",IFERROR(VLOOKUP($D2095,物料档案!$A$4:$P$1203,5,0),"※编码不在物料档案里"))</f>
        <v/>
      </c>
      <c r="H2095" s="24">
        <f>IF($D2095="","",IFERROR(VLOOKUP($D2095,物料档案!$A$4:$P$1203,2,0),"※编码不在物料档案里"))</f>
        <v/>
      </c>
      <c r="I2095" s="24">
        <f>IF($D2095="","",IFERROR(VLOOKUP($D2095,物料档案!$A$4:$P$1203,6,0),"※编码不在物料档案里"))</f>
        <v/>
      </c>
      <c r="J2095" s="23" t="n"/>
      <c r="K2095" s="17" t="n"/>
      <c r="L2095" s="17" t="n"/>
      <c r="M2095" s="17" t="n"/>
      <c r="N2095" s="17" t="n"/>
      <c r="O2095" s="26">
        <f>IF($D2095="","",IFERROR(VLOOKUP($D2095,物料档案!$A$4:$P$1203,10,0),0))</f>
        <v/>
      </c>
      <c r="P2095" s="32" t="n"/>
      <c r="Q2095" s="26">
        <f>IF($D2095="","",IF($K2095&lt;&gt;"对外销售",0,ROUND(N($J2095)*IF($P2095="",N($O2095),N($P2095)),0)))</f>
        <v/>
      </c>
      <c r="R2095" s="26">
        <f>IF($D2095="","",IFERROR(VLOOKUP($D2095,库存台账!$A$5:$Y$1204,11,0),0))</f>
        <v/>
      </c>
      <c r="S2095" s="26">
        <f>IF($D2095="","",ROUND(N($J2095)*N($R2095),0))</f>
        <v/>
      </c>
      <c r="T2095" s="26">
        <f>IF($D2095="","",IF($K2095&lt;&gt;"对外销售","",ROUND($Q2095-$S2095,0)))</f>
        <v/>
      </c>
      <c r="U2095" s="17" t="n"/>
      <c r="V2095" s="17" t="n"/>
      <c r="W2095" s="24">
        <f>IF($D2095="","",IF($E2095="※编码不在物料档案里","※物料编码不在档案里",IF(N($J2095)&lt;=0,"※出库数量要大于 0",IF($K2095="","※没填去向类型",IF($L2095="","※没填去向矿区",IF(AND($C2095&lt;&gt;"",$C2095&lt;=结账锁),"※日期早于已结账截止日，不能再录",IF(AND($K2095="自用消耗",COUNTIF({"一矿区";"二矿区"},$L2095)=0),"※自用消耗的去向只能是一矿区或二矿区",IF(AND($K2095="对外销售",COUNTIF({"三矿区";"六矿区"},$L2095)=0),"※对外销售的去向只能是三矿区或六矿区",IF(AND($K2095="对外销售",ROUND($Q2095,0)=0),"※外销却没有售价，请填实际售价",IF(AND($K2095="对外销售",$T2095&lt;&gt;"",$T2095&lt;0),"※这一笔外销是亏的，请核对售价",IF(IFERROR(VLOOKUP($D2095,库存台账!$A$5:$Y$1204,24,0),0)&lt;-0.001,"※这个物料账面已经变成负数了，查一下是不是漏记入库","")))))))))))</f>
        <v/>
      </c>
    </row>
    <row r="2096">
      <c r="A2096" s="24">
        <f>IF($D2096="","",COUNTA($D$4:$D2096))</f>
        <v/>
      </c>
      <c r="B2096" s="17" t="n"/>
      <c r="C2096" s="30" t="n"/>
      <c r="D2096" s="17" t="n"/>
      <c r="E2096" s="24">
        <f>IF($D2096="","",IFERROR(VLOOKUP($D2096,物料档案!$A$4:$P$1203,3,0),"※编码不在物料档案里"))</f>
        <v/>
      </c>
      <c r="F2096" s="24">
        <f>IF($D2096="","",IFERROR(VLOOKUP($D2096,物料档案!$A$4:$P$1203,4,0),"※编码不在物料档案里"))</f>
        <v/>
      </c>
      <c r="G2096" s="24">
        <f>IF($D2096="","",IFERROR(VLOOKUP($D2096,物料档案!$A$4:$P$1203,5,0),"※编码不在物料档案里"))</f>
        <v/>
      </c>
      <c r="H2096" s="24">
        <f>IF($D2096="","",IFERROR(VLOOKUP($D2096,物料档案!$A$4:$P$1203,2,0),"※编码不在物料档案里"))</f>
        <v/>
      </c>
      <c r="I2096" s="24">
        <f>IF($D2096="","",IFERROR(VLOOKUP($D2096,物料档案!$A$4:$P$1203,6,0),"※编码不在物料档案里"))</f>
        <v/>
      </c>
      <c r="J2096" s="23" t="n"/>
      <c r="K2096" s="17" t="n"/>
      <c r="L2096" s="17" t="n"/>
      <c r="M2096" s="17" t="n"/>
      <c r="N2096" s="17" t="n"/>
      <c r="O2096" s="26">
        <f>IF($D2096="","",IFERROR(VLOOKUP($D2096,物料档案!$A$4:$P$1203,10,0),0))</f>
        <v/>
      </c>
      <c r="P2096" s="32" t="n"/>
      <c r="Q2096" s="26">
        <f>IF($D2096="","",IF($K2096&lt;&gt;"对外销售",0,ROUND(N($J2096)*IF($P2096="",N($O2096),N($P2096)),0)))</f>
        <v/>
      </c>
      <c r="R2096" s="26">
        <f>IF($D2096="","",IFERROR(VLOOKUP($D2096,库存台账!$A$5:$Y$1204,11,0),0))</f>
        <v/>
      </c>
      <c r="S2096" s="26">
        <f>IF($D2096="","",ROUND(N($J2096)*N($R2096),0))</f>
        <v/>
      </c>
      <c r="T2096" s="26">
        <f>IF($D2096="","",IF($K2096&lt;&gt;"对外销售","",ROUND($Q2096-$S2096,0)))</f>
        <v/>
      </c>
      <c r="U2096" s="17" t="n"/>
      <c r="V2096" s="17" t="n"/>
      <c r="W2096" s="24">
        <f>IF($D2096="","",IF($E2096="※编码不在物料档案里","※物料编码不在档案里",IF(N($J2096)&lt;=0,"※出库数量要大于 0",IF($K2096="","※没填去向类型",IF($L2096="","※没填去向矿区",IF(AND($C2096&lt;&gt;"",$C2096&lt;=结账锁),"※日期早于已结账截止日，不能再录",IF(AND($K2096="自用消耗",COUNTIF({"一矿区";"二矿区"},$L2096)=0),"※自用消耗的去向只能是一矿区或二矿区",IF(AND($K2096="对外销售",COUNTIF({"三矿区";"六矿区"},$L2096)=0),"※对外销售的去向只能是三矿区或六矿区",IF(AND($K2096="对外销售",ROUND($Q2096,0)=0),"※外销却没有售价，请填实际售价",IF(AND($K2096="对外销售",$T2096&lt;&gt;"",$T2096&lt;0),"※这一笔外销是亏的，请核对售价",IF(IFERROR(VLOOKUP($D2096,库存台账!$A$5:$Y$1204,24,0),0)&lt;-0.001,"※这个物料账面已经变成负数了，查一下是不是漏记入库","")))))))))))</f>
        <v/>
      </c>
    </row>
    <row r="2097">
      <c r="A2097" s="24">
        <f>IF($D2097="","",COUNTA($D$4:$D2097))</f>
        <v/>
      </c>
      <c r="B2097" s="17" t="n"/>
      <c r="C2097" s="30" t="n"/>
      <c r="D2097" s="17" t="n"/>
      <c r="E2097" s="24">
        <f>IF($D2097="","",IFERROR(VLOOKUP($D2097,物料档案!$A$4:$P$1203,3,0),"※编码不在物料档案里"))</f>
        <v/>
      </c>
      <c r="F2097" s="24">
        <f>IF($D2097="","",IFERROR(VLOOKUP($D2097,物料档案!$A$4:$P$1203,4,0),"※编码不在物料档案里"))</f>
        <v/>
      </c>
      <c r="G2097" s="24">
        <f>IF($D2097="","",IFERROR(VLOOKUP($D2097,物料档案!$A$4:$P$1203,5,0),"※编码不在物料档案里"))</f>
        <v/>
      </c>
      <c r="H2097" s="24">
        <f>IF($D2097="","",IFERROR(VLOOKUP($D2097,物料档案!$A$4:$P$1203,2,0),"※编码不在物料档案里"))</f>
        <v/>
      </c>
      <c r="I2097" s="24">
        <f>IF($D2097="","",IFERROR(VLOOKUP($D2097,物料档案!$A$4:$P$1203,6,0),"※编码不在物料档案里"))</f>
        <v/>
      </c>
      <c r="J2097" s="23" t="n"/>
      <c r="K2097" s="17" t="n"/>
      <c r="L2097" s="17" t="n"/>
      <c r="M2097" s="17" t="n"/>
      <c r="N2097" s="17" t="n"/>
      <c r="O2097" s="26">
        <f>IF($D2097="","",IFERROR(VLOOKUP($D2097,物料档案!$A$4:$P$1203,10,0),0))</f>
        <v/>
      </c>
      <c r="P2097" s="32" t="n"/>
      <c r="Q2097" s="26">
        <f>IF($D2097="","",IF($K2097&lt;&gt;"对外销售",0,ROUND(N($J2097)*IF($P2097="",N($O2097),N($P2097)),0)))</f>
        <v/>
      </c>
      <c r="R2097" s="26">
        <f>IF($D2097="","",IFERROR(VLOOKUP($D2097,库存台账!$A$5:$Y$1204,11,0),0))</f>
        <v/>
      </c>
      <c r="S2097" s="26">
        <f>IF($D2097="","",ROUND(N($J2097)*N($R2097),0))</f>
        <v/>
      </c>
      <c r="T2097" s="26">
        <f>IF($D2097="","",IF($K2097&lt;&gt;"对外销售","",ROUND($Q2097-$S2097,0)))</f>
        <v/>
      </c>
      <c r="U2097" s="17" t="n"/>
      <c r="V2097" s="17" t="n"/>
      <c r="W2097" s="24">
        <f>IF($D2097="","",IF($E2097="※编码不在物料档案里","※物料编码不在档案里",IF(N($J2097)&lt;=0,"※出库数量要大于 0",IF($K2097="","※没填去向类型",IF($L2097="","※没填去向矿区",IF(AND($C2097&lt;&gt;"",$C2097&lt;=结账锁),"※日期早于已结账截止日，不能再录",IF(AND($K2097="自用消耗",COUNTIF({"一矿区";"二矿区"},$L2097)=0),"※自用消耗的去向只能是一矿区或二矿区",IF(AND($K2097="对外销售",COUNTIF({"三矿区";"六矿区"},$L2097)=0),"※对外销售的去向只能是三矿区或六矿区",IF(AND($K2097="对外销售",ROUND($Q2097,0)=0),"※外销却没有售价，请填实际售价",IF(AND($K2097="对外销售",$T2097&lt;&gt;"",$T2097&lt;0),"※这一笔外销是亏的，请核对售价",IF(IFERROR(VLOOKUP($D2097,库存台账!$A$5:$Y$1204,24,0),0)&lt;-0.001,"※这个物料账面已经变成负数了，查一下是不是漏记入库","")))))))))))</f>
        <v/>
      </c>
    </row>
    <row r="2098">
      <c r="A2098" s="24">
        <f>IF($D2098="","",COUNTA($D$4:$D2098))</f>
        <v/>
      </c>
      <c r="B2098" s="17" t="n"/>
      <c r="C2098" s="30" t="n"/>
      <c r="D2098" s="17" t="n"/>
      <c r="E2098" s="24">
        <f>IF($D2098="","",IFERROR(VLOOKUP($D2098,物料档案!$A$4:$P$1203,3,0),"※编码不在物料档案里"))</f>
        <v/>
      </c>
      <c r="F2098" s="24">
        <f>IF($D2098="","",IFERROR(VLOOKUP($D2098,物料档案!$A$4:$P$1203,4,0),"※编码不在物料档案里"))</f>
        <v/>
      </c>
      <c r="G2098" s="24">
        <f>IF($D2098="","",IFERROR(VLOOKUP($D2098,物料档案!$A$4:$P$1203,5,0),"※编码不在物料档案里"))</f>
        <v/>
      </c>
      <c r="H2098" s="24">
        <f>IF($D2098="","",IFERROR(VLOOKUP($D2098,物料档案!$A$4:$P$1203,2,0),"※编码不在物料档案里"))</f>
        <v/>
      </c>
      <c r="I2098" s="24">
        <f>IF($D2098="","",IFERROR(VLOOKUP($D2098,物料档案!$A$4:$P$1203,6,0),"※编码不在物料档案里"))</f>
        <v/>
      </c>
      <c r="J2098" s="23" t="n"/>
      <c r="K2098" s="17" t="n"/>
      <c r="L2098" s="17" t="n"/>
      <c r="M2098" s="17" t="n"/>
      <c r="N2098" s="17" t="n"/>
      <c r="O2098" s="26">
        <f>IF($D2098="","",IFERROR(VLOOKUP($D2098,物料档案!$A$4:$P$1203,10,0),0))</f>
        <v/>
      </c>
      <c r="P2098" s="32" t="n"/>
      <c r="Q2098" s="26">
        <f>IF($D2098="","",IF($K2098&lt;&gt;"对外销售",0,ROUND(N($J2098)*IF($P2098="",N($O2098),N($P2098)),0)))</f>
        <v/>
      </c>
      <c r="R2098" s="26">
        <f>IF($D2098="","",IFERROR(VLOOKUP($D2098,库存台账!$A$5:$Y$1204,11,0),0))</f>
        <v/>
      </c>
      <c r="S2098" s="26">
        <f>IF($D2098="","",ROUND(N($J2098)*N($R2098),0))</f>
        <v/>
      </c>
      <c r="T2098" s="26">
        <f>IF($D2098="","",IF($K2098&lt;&gt;"对外销售","",ROUND($Q2098-$S2098,0)))</f>
        <v/>
      </c>
      <c r="U2098" s="17" t="n"/>
      <c r="V2098" s="17" t="n"/>
      <c r="W2098" s="24">
        <f>IF($D2098="","",IF($E2098="※编码不在物料档案里","※物料编码不在档案里",IF(N($J2098)&lt;=0,"※出库数量要大于 0",IF($K2098="","※没填去向类型",IF($L2098="","※没填去向矿区",IF(AND($C2098&lt;&gt;"",$C2098&lt;=结账锁),"※日期早于已结账截止日，不能再录",IF(AND($K2098="自用消耗",COUNTIF({"一矿区";"二矿区"},$L2098)=0),"※自用消耗的去向只能是一矿区或二矿区",IF(AND($K2098="对外销售",COUNTIF({"三矿区";"六矿区"},$L2098)=0),"※对外销售的去向只能是三矿区或六矿区",IF(AND($K2098="对外销售",ROUND($Q2098,0)=0),"※外销却没有售价，请填实际售价",IF(AND($K2098="对外销售",$T2098&lt;&gt;"",$T2098&lt;0),"※这一笔外销是亏的，请核对售价",IF(IFERROR(VLOOKUP($D2098,库存台账!$A$5:$Y$1204,24,0),0)&lt;-0.001,"※这个物料账面已经变成负数了，查一下是不是漏记入库","")))))))))))</f>
        <v/>
      </c>
    </row>
    <row r="2099">
      <c r="A2099" s="24">
        <f>IF($D2099="","",COUNTA($D$4:$D2099))</f>
        <v/>
      </c>
      <c r="B2099" s="17" t="n"/>
      <c r="C2099" s="30" t="n"/>
      <c r="D2099" s="17" t="n"/>
      <c r="E2099" s="24">
        <f>IF($D2099="","",IFERROR(VLOOKUP($D2099,物料档案!$A$4:$P$1203,3,0),"※编码不在物料档案里"))</f>
        <v/>
      </c>
      <c r="F2099" s="24">
        <f>IF($D2099="","",IFERROR(VLOOKUP($D2099,物料档案!$A$4:$P$1203,4,0),"※编码不在物料档案里"))</f>
        <v/>
      </c>
      <c r="G2099" s="24">
        <f>IF($D2099="","",IFERROR(VLOOKUP($D2099,物料档案!$A$4:$P$1203,5,0),"※编码不在物料档案里"))</f>
        <v/>
      </c>
      <c r="H2099" s="24">
        <f>IF($D2099="","",IFERROR(VLOOKUP($D2099,物料档案!$A$4:$P$1203,2,0),"※编码不在物料档案里"))</f>
        <v/>
      </c>
      <c r="I2099" s="24">
        <f>IF($D2099="","",IFERROR(VLOOKUP($D2099,物料档案!$A$4:$P$1203,6,0),"※编码不在物料档案里"))</f>
        <v/>
      </c>
      <c r="J2099" s="23" t="n"/>
      <c r="K2099" s="17" t="n"/>
      <c r="L2099" s="17" t="n"/>
      <c r="M2099" s="17" t="n"/>
      <c r="N2099" s="17" t="n"/>
      <c r="O2099" s="26">
        <f>IF($D2099="","",IFERROR(VLOOKUP($D2099,物料档案!$A$4:$P$1203,10,0),0))</f>
        <v/>
      </c>
      <c r="P2099" s="32" t="n"/>
      <c r="Q2099" s="26">
        <f>IF($D2099="","",IF($K2099&lt;&gt;"对外销售",0,ROUND(N($J2099)*IF($P2099="",N($O2099),N($P2099)),0)))</f>
        <v/>
      </c>
      <c r="R2099" s="26">
        <f>IF($D2099="","",IFERROR(VLOOKUP($D2099,库存台账!$A$5:$Y$1204,11,0),0))</f>
        <v/>
      </c>
      <c r="S2099" s="26">
        <f>IF($D2099="","",ROUND(N($J2099)*N($R2099),0))</f>
        <v/>
      </c>
      <c r="T2099" s="26">
        <f>IF($D2099="","",IF($K2099&lt;&gt;"对外销售","",ROUND($Q2099-$S2099,0)))</f>
        <v/>
      </c>
      <c r="U2099" s="17" t="n"/>
      <c r="V2099" s="17" t="n"/>
      <c r="W2099" s="24">
        <f>IF($D2099="","",IF($E2099="※编码不在物料档案里","※物料编码不在档案里",IF(N($J2099)&lt;=0,"※出库数量要大于 0",IF($K2099="","※没填去向类型",IF($L2099="","※没填去向矿区",IF(AND($C2099&lt;&gt;"",$C2099&lt;=结账锁),"※日期早于已结账截止日，不能再录",IF(AND($K2099="自用消耗",COUNTIF({"一矿区";"二矿区"},$L2099)=0),"※自用消耗的去向只能是一矿区或二矿区",IF(AND($K2099="对外销售",COUNTIF({"三矿区";"六矿区"},$L2099)=0),"※对外销售的去向只能是三矿区或六矿区",IF(AND($K2099="对外销售",ROUND($Q2099,0)=0),"※外销却没有售价，请填实际售价",IF(AND($K2099="对外销售",$T2099&lt;&gt;"",$T2099&lt;0),"※这一笔外销是亏的，请核对售价",IF(IFERROR(VLOOKUP($D2099,库存台账!$A$5:$Y$1204,24,0),0)&lt;-0.001,"※这个物料账面已经变成负数了，查一下是不是漏记入库","")))))))))))</f>
        <v/>
      </c>
    </row>
    <row r="2100">
      <c r="A2100" s="24">
        <f>IF($D2100="","",COUNTA($D$4:$D2100))</f>
        <v/>
      </c>
      <c r="B2100" s="17" t="n"/>
      <c r="C2100" s="30" t="n"/>
      <c r="D2100" s="17" t="n"/>
      <c r="E2100" s="24">
        <f>IF($D2100="","",IFERROR(VLOOKUP($D2100,物料档案!$A$4:$P$1203,3,0),"※编码不在物料档案里"))</f>
        <v/>
      </c>
      <c r="F2100" s="24">
        <f>IF($D2100="","",IFERROR(VLOOKUP($D2100,物料档案!$A$4:$P$1203,4,0),"※编码不在物料档案里"))</f>
        <v/>
      </c>
      <c r="G2100" s="24">
        <f>IF($D2100="","",IFERROR(VLOOKUP($D2100,物料档案!$A$4:$P$1203,5,0),"※编码不在物料档案里"))</f>
        <v/>
      </c>
      <c r="H2100" s="24">
        <f>IF($D2100="","",IFERROR(VLOOKUP($D2100,物料档案!$A$4:$P$1203,2,0),"※编码不在物料档案里"))</f>
        <v/>
      </c>
      <c r="I2100" s="24">
        <f>IF($D2100="","",IFERROR(VLOOKUP($D2100,物料档案!$A$4:$P$1203,6,0),"※编码不在物料档案里"))</f>
        <v/>
      </c>
      <c r="J2100" s="23" t="n"/>
      <c r="K2100" s="17" t="n"/>
      <c r="L2100" s="17" t="n"/>
      <c r="M2100" s="17" t="n"/>
      <c r="N2100" s="17" t="n"/>
      <c r="O2100" s="26">
        <f>IF($D2100="","",IFERROR(VLOOKUP($D2100,物料档案!$A$4:$P$1203,10,0),0))</f>
        <v/>
      </c>
      <c r="P2100" s="32" t="n"/>
      <c r="Q2100" s="26">
        <f>IF($D2100="","",IF($K2100&lt;&gt;"对外销售",0,ROUND(N($J2100)*IF($P2100="",N($O2100),N($P2100)),0)))</f>
        <v/>
      </c>
      <c r="R2100" s="26">
        <f>IF($D2100="","",IFERROR(VLOOKUP($D2100,库存台账!$A$5:$Y$1204,11,0),0))</f>
        <v/>
      </c>
      <c r="S2100" s="26">
        <f>IF($D2100="","",ROUND(N($J2100)*N($R2100),0))</f>
        <v/>
      </c>
      <c r="T2100" s="26">
        <f>IF($D2100="","",IF($K2100&lt;&gt;"对外销售","",ROUND($Q2100-$S2100,0)))</f>
        <v/>
      </c>
      <c r="U2100" s="17" t="n"/>
      <c r="V2100" s="17" t="n"/>
      <c r="W2100" s="24">
        <f>IF($D2100="","",IF($E2100="※编码不在物料档案里","※物料编码不在档案里",IF(N($J2100)&lt;=0,"※出库数量要大于 0",IF($K2100="","※没填去向类型",IF($L2100="","※没填去向矿区",IF(AND($C2100&lt;&gt;"",$C2100&lt;=结账锁),"※日期早于已结账截止日，不能再录",IF(AND($K2100="自用消耗",COUNTIF({"一矿区";"二矿区"},$L2100)=0),"※自用消耗的去向只能是一矿区或二矿区",IF(AND($K2100="对外销售",COUNTIF({"三矿区";"六矿区"},$L2100)=0),"※对外销售的去向只能是三矿区或六矿区",IF(AND($K2100="对外销售",ROUND($Q2100,0)=0),"※外销却没有售价，请填实际售价",IF(AND($K2100="对外销售",$T2100&lt;&gt;"",$T2100&lt;0),"※这一笔外销是亏的，请核对售价",IF(IFERROR(VLOOKUP($D2100,库存台账!$A$5:$Y$1204,24,0),0)&lt;-0.001,"※这个物料账面已经变成负数了，查一下是不是漏记入库","")))))))))))</f>
        <v/>
      </c>
    </row>
    <row r="2101">
      <c r="A2101" s="24">
        <f>IF($D2101="","",COUNTA($D$4:$D2101))</f>
        <v/>
      </c>
      <c r="B2101" s="17" t="n"/>
      <c r="C2101" s="30" t="n"/>
      <c r="D2101" s="17" t="n"/>
      <c r="E2101" s="24">
        <f>IF($D2101="","",IFERROR(VLOOKUP($D2101,物料档案!$A$4:$P$1203,3,0),"※编码不在物料档案里"))</f>
        <v/>
      </c>
      <c r="F2101" s="24">
        <f>IF($D2101="","",IFERROR(VLOOKUP($D2101,物料档案!$A$4:$P$1203,4,0),"※编码不在物料档案里"))</f>
        <v/>
      </c>
      <c r="G2101" s="24">
        <f>IF($D2101="","",IFERROR(VLOOKUP($D2101,物料档案!$A$4:$P$1203,5,0),"※编码不在物料档案里"))</f>
        <v/>
      </c>
      <c r="H2101" s="24">
        <f>IF($D2101="","",IFERROR(VLOOKUP($D2101,物料档案!$A$4:$P$1203,2,0),"※编码不在物料档案里"))</f>
        <v/>
      </c>
      <c r="I2101" s="24">
        <f>IF($D2101="","",IFERROR(VLOOKUP($D2101,物料档案!$A$4:$P$1203,6,0),"※编码不在物料档案里"))</f>
        <v/>
      </c>
      <c r="J2101" s="23" t="n"/>
      <c r="K2101" s="17" t="n"/>
      <c r="L2101" s="17" t="n"/>
      <c r="M2101" s="17" t="n"/>
      <c r="N2101" s="17" t="n"/>
      <c r="O2101" s="26">
        <f>IF($D2101="","",IFERROR(VLOOKUP($D2101,物料档案!$A$4:$P$1203,10,0),0))</f>
        <v/>
      </c>
      <c r="P2101" s="32" t="n"/>
      <c r="Q2101" s="26">
        <f>IF($D2101="","",IF($K2101&lt;&gt;"对外销售",0,ROUND(N($J2101)*IF($P2101="",N($O2101),N($P2101)),0)))</f>
        <v/>
      </c>
      <c r="R2101" s="26">
        <f>IF($D2101="","",IFERROR(VLOOKUP($D2101,库存台账!$A$5:$Y$1204,11,0),0))</f>
        <v/>
      </c>
      <c r="S2101" s="26">
        <f>IF($D2101="","",ROUND(N($J2101)*N($R2101),0))</f>
        <v/>
      </c>
      <c r="T2101" s="26">
        <f>IF($D2101="","",IF($K2101&lt;&gt;"对外销售","",ROUND($Q2101-$S2101,0)))</f>
        <v/>
      </c>
      <c r="U2101" s="17" t="n"/>
      <c r="V2101" s="17" t="n"/>
      <c r="W2101" s="24">
        <f>IF($D2101="","",IF($E2101="※编码不在物料档案里","※物料编码不在档案里",IF(N($J2101)&lt;=0,"※出库数量要大于 0",IF($K2101="","※没填去向类型",IF($L2101="","※没填去向矿区",IF(AND($C2101&lt;&gt;"",$C2101&lt;=结账锁),"※日期早于已结账截止日，不能再录",IF(AND($K2101="自用消耗",COUNTIF({"一矿区";"二矿区"},$L2101)=0),"※自用消耗的去向只能是一矿区或二矿区",IF(AND($K2101="对外销售",COUNTIF({"三矿区";"六矿区"},$L2101)=0),"※对外销售的去向只能是三矿区或六矿区",IF(AND($K2101="对外销售",ROUND($Q2101,0)=0),"※外销却没有售价，请填实际售价",IF(AND($K2101="对外销售",$T2101&lt;&gt;"",$T2101&lt;0),"※这一笔外销是亏的，请核对售价",IF(IFERROR(VLOOKUP($D2101,库存台账!$A$5:$Y$1204,24,0),0)&lt;-0.001,"※这个物料账面已经变成负数了，查一下是不是漏记入库","")))))))))))</f>
        <v/>
      </c>
    </row>
    <row r="2102">
      <c r="A2102" s="24">
        <f>IF($D2102="","",COUNTA($D$4:$D2102))</f>
        <v/>
      </c>
      <c r="B2102" s="17" t="n"/>
      <c r="C2102" s="30" t="n"/>
      <c r="D2102" s="17" t="n"/>
      <c r="E2102" s="24">
        <f>IF($D2102="","",IFERROR(VLOOKUP($D2102,物料档案!$A$4:$P$1203,3,0),"※编码不在物料档案里"))</f>
        <v/>
      </c>
      <c r="F2102" s="24">
        <f>IF($D2102="","",IFERROR(VLOOKUP($D2102,物料档案!$A$4:$P$1203,4,0),"※编码不在物料档案里"))</f>
        <v/>
      </c>
      <c r="G2102" s="24">
        <f>IF($D2102="","",IFERROR(VLOOKUP($D2102,物料档案!$A$4:$P$1203,5,0),"※编码不在物料档案里"))</f>
        <v/>
      </c>
      <c r="H2102" s="24">
        <f>IF($D2102="","",IFERROR(VLOOKUP($D2102,物料档案!$A$4:$P$1203,2,0),"※编码不在物料档案里"))</f>
        <v/>
      </c>
      <c r="I2102" s="24">
        <f>IF($D2102="","",IFERROR(VLOOKUP($D2102,物料档案!$A$4:$P$1203,6,0),"※编码不在物料档案里"))</f>
        <v/>
      </c>
      <c r="J2102" s="23" t="n"/>
      <c r="K2102" s="17" t="n"/>
      <c r="L2102" s="17" t="n"/>
      <c r="M2102" s="17" t="n"/>
      <c r="N2102" s="17" t="n"/>
      <c r="O2102" s="26">
        <f>IF($D2102="","",IFERROR(VLOOKUP($D2102,物料档案!$A$4:$P$1203,10,0),0))</f>
        <v/>
      </c>
      <c r="P2102" s="32" t="n"/>
      <c r="Q2102" s="26">
        <f>IF($D2102="","",IF($K2102&lt;&gt;"对外销售",0,ROUND(N($J2102)*IF($P2102="",N($O2102),N($P2102)),0)))</f>
        <v/>
      </c>
      <c r="R2102" s="26">
        <f>IF($D2102="","",IFERROR(VLOOKUP($D2102,库存台账!$A$5:$Y$1204,11,0),0))</f>
        <v/>
      </c>
      <c r="S2102" s="26">
        <f>IF($D2102="","",ROUND(N($J2102)*N($R2102),0))</f>
        <v/>
      </c>
      <c r="T2102" s="26">
        <f>IF($D2102="","",IF($K2102&lt;&gt;"对外销售","",ROUND($Q2102-$S2102,0)))</f>
        <v/>
      </c>
      <c r="U2102" s="17" t="n"/>
      <c r="V2102" s="17" t="n"/>
      <c r="W2102" s="24">
        <f>IF($D2102="","",IF($E2102="※编码不在物料档案里","※物料编码不在档案里",IF(N($J2102)&lt;=0,"※出库数量要大于 0",IF($K2102="","※没填去向类型",IF($L2102="","※没填去向矿区",IF(AND($C2102&lt;&gt;"",$C2102&lt;=结账锁),"※日期早于已结账截止日，不能再录",IF(AND($K2102="自用消耗",COUNTIF({"一矿区";"二矿区"},$L2102)=0),"※自用消耗的去向只能是一矿区或二矿区",IF(AND($K2102="对外销售",COUNTIF({"三矿区";"六矿区"},$L2102)=0),"※对外销售的去向只能是三矿区或六矿区",IF(AND($K2102="对外销售",ROUND($Q2102,0)=0),"※外销却没有售价，请填实际售价",IF(AND($K2102="对外销售",$T2102&lt;&gt;"",$T2102&lt;0),"※这一笔外销是亏的，请核对售价",IF(IFERROR(VLOOKUP($D2102,库存台账!$A$5:$Y$1204,24,0),0)&lt;-0.001,"※这个物料账面已经变成负数了，查一下是不是漏记入库","")))))))))))</f>
        <v/>
      </c>
    </row>
    <row r="2103">
      <c r="A2103" s="24">
        <f>IF($D2103="","",COUNTA($D$4:$D2103))</f>
        <v/>
      </c>
      <c r="B2103" s="17" t="n"/>
      <c r="C2103" s="30" t="n"/>
      <c r="D2103" s="17" t="n"/>
      <c r="E2103" s="24">
        <f>IF($D2103="","",IFERROR(VLOOKUP($D2103,物料档案!$A$4:$P$1203,3,0),"※编码不在物料档案里"))</f>
        <v/>
      </c>
      <c r="F2103" s="24">
        <f>IF($D2103="","",IFERROR(VLOOKUP($D2103,物料档案!$A$4:$P$1203,4,0),"※编码不在物料档案里"))</f>
        <v/>
      </c>
      <c r="G2103" s="24">
        <f>IF($D2103="","",IFERROR(VLOOKUP($D2103,物料档案!$A$4:$P$1203,5,0),"※编码不在物料档案里"))</f>
        <v/>
      </c>
      <c r="H2103" s="24">
        <f>IF($D2103="","",IFERROR(VLOOKUP($D2103,物料档案!$A$4:$P$1203,2,0),"※编码不在物料档案里"))</f>
        <v/>
      </c>
      <c r="I2103" s="24">
        <f>IF($D2103="","",IFERROR(VLOOKUP($D2103,物料档案!$A$4:$P$1203,6,0),"※编码不在物料档案里"))</f>
        <v/>
      </c>
      <c r="J2103" s="23" t="n"/>
      <c r="K2103" s="17" t="n"/>
      <c r="L2103" s="17" t="n"/>
      <c r="M2103" s="17" t="n"/>
      <c r="N2103" s="17" t="n"/>
      <c r="O2103" s="26">
        <f>IF($D2103="","",IFERROR(VLOOKUP($D2103,物料档案!$A$4:$P$1203,10,0),0))</f>
        <v/>
      </c>
      <c r="P2103" s="32" t="n"/>
      <c r="Q2103" s="26">
        <f>IF($D2103="","",IF($K2103&lt;&gt;"对外销售",0,ROUND(N($J2103)*IF($P2103="",N($O2103),N($P2103)),0)))</f>
        <v/>
      </c>
      <c r="R2103" s="26">
        <f>IF($D2103="","",IFERROR(VLOOKUP($D2103,库存台账!$A$5:$Y$1204,11,0),0))</f>
        <v/>
      </c>
      <c r="S2103" s="26">
        <f>IF($D2103="","",ROUND(N($J2103)*N($R2103),0))</f>
        <v/>
      </c>
      <c r="T2103" s="26">
        <f>IF($D2103="","",IF($K2103&lt;&gt;"对外销售","",ROUND($Q2103-$S2103,0)))</f>
        <v/>
      </c>
      <c r="U2103" s="17" t="n"/>
      <c r="V2103" s="17" t="n"/>
      <c r="W2103" s="24">
        <f>IF($D2103="","",IF($E2103="※编码不在物料档案里","※物料编码不在档案里",IF(N($J2103)&lt;=0,"※出库数量要大于 0",IF($K2103="","※没填去向类型",IF($L2103="","※没填去向矿区",IF(AND($C2103&lt;&gt;"",$C2103&lt;=结账锁),"※日期早于已结账截止日，不能再录",IF(AND($K2103="自用消耗",COUNTIF({"一矿区";"二矿区"},$L2103)=0),"※自用消耗的去向只能是一矿区或二矿区",IF(AND($K2103="对外销售",COUNTIF({"三矿区";"六矿区"},$L2103)=0),"※对外销售的去向只能是三矿区或六矿区",IF(AND($K2103="对外销售",ROUND($Q2103,0)=0),"※外销却没有售价，请填实际售价",IF(AND($K2103="对外销售",$T2103&lt;&gt;"",$T2103&lt;0),"※这一笔外销是亏的，请核对售价",IF(IFERROR(VLOOKUP($D2103,库存台账!$A$5:$Y$1204,24,0),0)&lt;-0.001,"※这个物料账面已经变成负数了，查一下是不是漏记入库","")))))))))))</f>
        <v/>
      </c>
    </row>
    <row r="2104">
      <c r="A2104" s="24">
        <f>IF($D2104="","",COUNTA($D$4:$D2104))</f>
        <v/>
      </c>
      <c r="B2104" s="17" t="n"/>
      <c r="C2104" s="30" t="n"/>
      <c r="D2104" s="17" t="n"/>
      <c r="E2104" s="24">
        <f>IF($D2104="","",IFERROR(VLOOKUP($D2104,物料档案!$A$4:$P$1203,3,0),"※编码不在物料档案里"))</f>
        <v/>
      </c>
      <c r="F2104" s="24">
        <f>IF($D2104="","",IFERROR(VLOOKUP($D2104,物料档案!$A$4:$P$1203,4,0),"※编码不在物料档案里"))</f>
        <v/>
      </c>
      <c r="G2104" s="24">
        <f>IF($D2104="","",IFERROR(VLOOKUP($D2104,物料档案!$A$4:$P$1203,5,0),"※编码不在物料档案里"))</f>
        <v/>
      </c>
      <c r="H2104" s="24">
        <f>IF($D2104="","",IFERROR(VLOOKUP($D2104,物料档案!$A$4:$P$1203,2,0),"※编码不在物料档案里"))</f>
        <v/>
      </c>
      <c r="I2104" s="24">
        <f>IF($D2104="","",IFERROR(VLOOKUP($D2104,物料档案!$A$4:$P$1203,6,0),"※编码不在物料档案里"))</f>
        <v/>
      </c>
      <c r="J2104" s="23" t="n"/>
      <c r="K2104" s="17" t="n"/>
      <c r="L2104" s="17" t="n"/>
      <c r="M2104" s="17" t="n"/>
      <c r="N2104" s="17" t="n"/>
      <c r="O2104" s="26">
        <f>IF($D2104="","",IFERROR(VLOOKUP($D2104,物料档案!$A$4:$P$1203,10,0),0))</f>
        <v/>
      </c>
      <c r="P2104" s="32" t="n"/>
      <c r="Q2104" s="26">
        <f>IF($D2104="","",IF($K2104&lt;&gt;"对外销售",0,ROUND(N($J2104)*IF($P2104="",N($O2104),N($P2104)),0)))</f>
        <v/>
      </c>
      <c r="R2104" s="26">
        <f>IF($D2104="","",IFERROR(VLOOKUP($D2104,库存台账!$A$5:$Y$1204,11,0),0))</f>
        <v/>
      </c>
      <c r="S2104" s="26">
        <f>IF($D2104="","",ROUND(N($J2104)*N($R2104),0))</f>
        <v/>
      </c>
      <c r="T2104" s="26">
        <f>IF($D2104="","",IF($K2104&lt;&gt;"对外销售","",ROUND($Q2104-$S2104,0)))</f>
        <v/>
      </c>
      <c r="U2104" s="17" t="n"/>
      <c r="V2104" s="17" t="n"/>
      <c r="W2104" s="24">
        <f>IF($D2104="","",IF($E2104="※编码不在物料档案里","※物料编码不在档案里",IF(N($J2104)&lt;=0,"※出库数量要大于 0",IF($K2104="","※没填去向类型",IF($L2104="","※没填去向矿区",IF(AND($C2104&lt;&gt;"",$C2104&lt;=结账锁),"※日期早于已结账截止日，不能再录",IF(AND($K2104="自用消耗",COUNTIF({"一矿区";"二矿区"},$L2104)=0),"※自用消耗的去向只能是一矿区或二矿区",IF(AND($K2104="对外销售",COUNTIF({"三矿区";"六矿区"},$L2104)=0),"※对外销售的去向只能是三矿区或六矿区",IF(AND($K2104="对外销售",ROUND($Q2104,0)=0),"※外销却没有售价，请填实际售价",IF(AND($K2104="对外销售",$T2104&lt;&gt;"",$T2104&lt;0),"※这一笔外销是亏的，请核对售价",IF(IFERROR(VLOOKUP($D2104,库存台账!$A$5:$Y$1204,24,0),0)&lt;-0.001,"※这个物料账面已经变成负数了，查一下是不是漏记入库","")))))))))))</f>
        <v/>
      </c>
    </row>
    <row r="2105">
      <c r="A2105" s="24">
        <f>IF($D2105="","",COUNTA($D$4:$D2105))</f>
        <v/>
      </c>
      <c r="B2105" s="17" t="n"/>
      <c r="C2105" s="30" t="n"/>
      <c r="D2105" s="17" t="n"/>
      <c r="E2105" s="24">
        <f>IF($D2105="","",IFERROR(VLOOKUP($D2105,物料档案!$A$4:$P$1203,3,0),"※编码不在物料档案里"))</f>
        <v/>
      </c>
      <c r="F2105" s="24">
        <f>IF($D2105="","",IFERROR(VLOOKUP($D2105,物料档案!$A$4:$P$1203,4,0),"※编码不在物料档案里"))</f>
        <v/>
      </c>
      <c r="G2105" s="24">
        <f>IF($D2105="","",IFERROR(VLOOKUP($D2105,物料档案!$A$4:$P$1203,5,0),"※编码不在物料档案里"))</f>
        <v/>
      </c>
      <c r="H2105" s="24">
        <f>IF($D2105="","",IFERROR(VLOOKUP($D2105,物料档案!$A$4:$P$1203,2,0),"※编码不在物料档案里"))</f>
        <v/>
      </c>
      <c r="I2105" s="24">
        <f>IF($D2105="","",IFERROR(VLOOKUP($D2105,物料档案!$A$4:$P$1203,6,0),"※编码不在物料档案里"))</f>
        <v/>
      </c>
      <c r="J2105" s="23" t="n"/>
      <c r="K2105" s="17" t="n"/>
      <c r="L2105" s="17" t="n"/>
      <c r="M2105" s="17" t="n"/>
      <c r="N2105" s="17" t="n"/>
      <c r="O2105" s="26">
        <f>IF($D2105="","",IFERROR(VLOOKUP($D2105,物料档案!$A$4:$P$1203,10,0),0))</f>
        <v/>
      </c>
      <c r="P2105" s="32" t="n"/>
      <c r="Q2105" s="26">
        <f>IF($D2105="","",IF($K2105&lt;&gt;"对外销售",0,ROUND(N($J2105)*IF($P2105="",N($O2105),N($P2105)),0)))</f>
        <v/>
      </c>
      <c r="R2105" s="26">
        <f>IF($D2105="","",IFERROR(VLOOKUP($D2105,库存台账!$A$5:$Y$1204,11,0),0))</f>
        <v/>
      </c>
      <c r="S2105" s="26">
        <f>IF($D2105="","",ROUND(N($J2105)*N($R2105),0))</f>
        <v/>
      </c>
      <c r="T2105" s="26">
        <f>IF($D2105="","",IF($K2105&lt;&gt;"对外销售","",ROUND($Q2105-$S2105,0)))</f>
        <v/>
      </c>
      <c r="U2105" s="17" t="n"/>
      <c r="V2105" s="17" t="n"/>
      <c r="W2105" s="24">
        <f>IF($D2105="","",IF($E2105="※编码不在物料档案里","※物料编码不在档案里",IF(N($J2105)&lt;=0,"※出库数量要大于 0",IF($K2105="","※没填去向类型",IF($L2105="","※没填去向矿区",IF(AND($C2105&lt;&gt;"",$C2105&lt;=结账锁),"※日期早于已结账截止日，不能再录",IF(AND($K2105="自用消耗",COUNTIF({"一矿区";"二矿区"},$L2105)=0),"※自用消耗的去向只能是一矿区或二矿区",IF(AND($K2105="对外销售",COUNTIF({"三矿区";"六矿区"},$L2105)=0),"※对外销售的去向只能是三矿区或六矿区",IF(AND($K2105="对外销售",ROUND($Q2105,0)=0),"※外销却没有售价，请填实际售价",IF(AND($K2105="对外销售",$T2105&lt;&gt;"",$T2105&lt;0),"※这一笔外销是亏的，请核对售价",IF(IFERROR(VLOOKUP($D2105,库存台账!$A$5:$Y$1204,24,0),0)&lt;-0.001,"※这个物料账面已经变成负数了，查一下是不是漏记入库","")))))))))))</f>
        <v/>
      </c>
    </row>
    <row r="2106">
      <c r="A2106" s="24">
        <f>IF($D2106="","",COUNTA($D$4:$D2106))</f>
        <v/>
      </c>
      <c r="B2106" s="17" t="n"/>
      <c r="C2106" s="30" t="n"/>
      <c r="D2106" s="17" t="n"/>
      <c r="E2106" s="24">
        <f>IF($D2106="","",IFERROR(VLOOKUP($D2106,物料档案!$A$4:$P$1203,3,0),"※编码不在物料档案里"))</f>
        <v/>
      </c>
      <c r="F2106" s="24">
        <f>IF($D2106="","",IFERROR(VLOOKUP($D2106,物料档案!$A$4:$P$1203,4,0),"※编码不在物料档案里"))</f>
        <v/>
      </c>
      <c r="G2106" s="24">
        <f>IF($D2106="","",IFERROR(VLOOKUP($D2106,物料档案!$A$4:$P$1203,5,0),"※编码不在物料档案里"))</f>
        <v/>
      </c>
      <c r="H2106" s="24">
        <f>IF($D2106="","",IFERROR(VLOOKUP($D2106,物料档案!$A$4:$P$1203,2,0),"※编码不在物料档案里"))</f>
        <v/>
      </c>
      <c r="I2106" s="24">
        <f>IF($D2106="","",IFERROR(VLOOKUP($D2106,物料档案!$A$4:$P$1203,6,0),"※编码不在物料档案里"))</f>
        <v/>
      </c>
      <c r="J2106" s="23" t="n"/>
      <c r="K2106" s="17" t="n"/>
      <c r="L2106" s="17" t="n"/>
      <c r="M2106" s="17" t="n"/>
      <c r="N2106" s="17" t="n"/>
      <c r="O2106" s="26">
        <f>IF($D2106="","",IFERROR(VLOOKUP($D2106,物料档案!$A$4:$P$1203,10,0),0))</f>
        <v/>
      </c>
      <c r="P2106" s="32" t="n"/>
      <c r="Q2106" s="26">
        <f>IF($D2106="","",IF($K2106&lt;&gt;"对外销售",0,ROUND(N($J2106)*IF($P2106="",N($O2106),N($P2106)),0)))</f>
        <v/>
      </c>
      <c r="R2106" s="26">
        <f>IF($D2106="","",IFERROR(VLOOKUP($D2106,库存台账!$A$5:$Y$1204,11,0),0))</f>
        <v/>
      </c>
      <c r="S2106" s="26">
        <f>IF($D2106="","",ROUND(N($J2106)*N($R2106),0))</f>
        <v/>
      </c>
      <c r="T2106" s="26">
        <f>IF($D2106="","",IF($K2106&lt;&gt;"对外销售","",ROUND($Q2106-$S2106,0)))</f>
        <v/>
      </c>
      <c r="U2106" s="17" t="n"/>
      <c r="V2106" s="17" t="n"/>
      <c r="W2106" s="24">
        <f>IF($D2106="","",IF($E2106="※编码不在物料档案里","※物料编码不在档案里",IF(N($J2106)&lt;=0,"※出库数量要大于 0",IF($K2106="","※没填去向类型",IF($L2106="","※没填去向矿区",IF(AND($C2106&lt;&gt;"",$C2106&lt;=结账锁),"※日期早于已结账截止日，不能再录",IF(AND($K2106="自用消耗",COUNTIF({"一矿区";"二矿区"},$L2106)=0),"※自用消耗的去向只能是一矿区或二矿区",IF(AND($K2106="对外销售",COUNTIF({"三矿区";"六矿区"},$L2106)=0),"※对外销售的去向只能是三矿区或六矿区",IF(AND($K2106="对外销售",ROUND($Q2106,0)=0),"※外销却没有售价，请填实际售价",IF(AND($K2106="对外销售",$T2106&lt;&gt;"",$T2106&lt;0),"※这一笔外销是亏的，请核对售价",IF(IFERROR(VLOOKUP($D2106,库存台账!$A$5:$Y$1204,24,0),0)&lt;-0.001,"※这个物料账面已经变成负数了，查一下是不是漏记入库","")))))))))))</f>
        <v/>
      </c>
    </row>
    <row r="2107">
      <c r="A2107" s="24">
        <f>IF($D2107="","",COUNTA($D$4:$D2107))</f>
        <v/>
      </c>
      <c r="B2107" s="17" t="n"/>
      <c r="C2107" s="30" t="n"/>
      <c r="D2107" s="17" t="n"/>
      <c r="E2107" s="24">
        <f>IF($D2107="","",IFERROR(VLOOKUP($D2107,物料档案!$A$4:$P$1203,3,0),"※编码不在物料档案里"))</f>
        <v/>
      </c>
      <c r="F2107" s="24">
        <f>IF($D2107="","",IFERROR(VLOOKUP($D2107,物料档案!$A$4:$P$1203,4,0),"※编码不在物料档案里"))</f>
        <v/>
      </c>
      <c r="G2107" s="24">
        <f>IF($D2107="","",IFERROR(VLOOKUP($D2107,物料档案!$A$4:$P$1203,5,0),"※编码不在物料档案里"))</f>
        <v/>
      </c>
      <c r="H2107" s="24">
        <f>IF($D2107="","",IFERROR(VLOOKUP($D2107,物料档案!$A$4:$P$1203,2,0),"※编码不在物料档案里"))</f>
        <v/>
      </c>
      <c r="I2107" s="24">
        <f>IF($D2107="","",IFERROR(VLOOKUP($D2107,物料档案!$A$4:$P$1203,6,0),"※编码不在物料档案里"))</f>
        <v/>
      </c>
      <c r="J2107" s="23" t="n"/>
      <c r="K2107" s="17" t="n"/>
      <c r="L2107" s="17" t="n"/>
      <c r="M2107" s="17" t="n"/>
      <c r="N2107" s="17" t="n"/>
      <c r="O2107" s="26">
        <f>IF($D2107="","",IFERROR(VLOOKUP($D2107,物料档案!$A$4:$P$1203,10,0),0))</f>
        <v/>
      </c>
      <c r="P2107" s="32" t="n"/>
      <c r="Q2107" s="26">
        <f>IF($D2107="","",IF($K2107&lt;&gt;"对外销售",0,ROUND(N($J2107)*IF($P2107="",N($O2107),N($P2107)),0)))</f>
        <v/>
      </c>
      <c r="R2107" s="26">
        <f>IF($D2107="","",IFERROR(VLOOKUP($D2107,库存台账!$A$5:$Y$1204,11,0),0))</f>
        <v/>
      </c>
      <c r="S2107" s="26">
        <f>IF($D2107="","",ROUND(N($J2107)*N($R2107),0))</f>
        <v/>
      </c>
      <c r="T2107" s="26">
        <f>IF($D2107="","",IF($K2107&lt;&gt;"对外销售","",ROUND($Q2107-$S2107,0)))</f>
        <v/>
      </c>
      <c r="U2107" s="17" t="n"/>
      <c r="V2107" s="17" t="n"/>
      <c r="W2107" s="24">
        <f>IF($D2107="","",IF($E2107="※编码不在物料档案里","※物料编码不在档案里",IF(N($J2107)&lt;=0,"※出库数量要大于 0",IF($K2107="","※没填去向类型",IF($L2107="","※没填去向矿区",IF(AND($C2107&lt;&gt;"",$C2107&lt;=结账锁),"※日期早于已结账截止日，不能再录",IF(AND($K2107="自用消耗",COUNTIF({"一矿区";"二矿区"},$L2107)=0),"※自用消耗的去向只能是一矿区或二矿区",IF(AND($K2107="对外销售",COUNTIF({"三矿区";"六矿区"},$L2107)=0),"※对外销售的去向只能是三矿区或六矿区",IF(AND($K2107="对外销售",ROUND($Q2107,0)=0),"※外销却没有售价，请填实际售价",IF(AND($K2107="对外销售",$T2107&lt;&gt;"",$T2107&lt;0),"※这一笔外销是亏的，请核对售价",IF(IFERROR(VLOOKUP($D2107,库存台账!$A$5:$Y$1204,24,0),0)&lt;-0.001,"※这个物料账面已经变成负数了，查一下是不是漏记入库","")))))))))))</f>
        <v/>
      </c>
    </row>
    <row r="2108">
      <c r="A2108" s="24">
        <f>IF($D2108="","",COUNTA($D$4:$D2108))</f>
        <v/>
      </c>
      <c r="B2108" s="17" t="n"/>
      <c r="C2108" s="30" t="n"/>
      <c r="D2108" s="17" t="n"/>
      <c r="E2108" s="24">
        <f>IF($D2108="","",IFERROR(VLOOKUP($D2108,物料档案!$A$4:$P$1203,3,0),"※编码不在物料档案里"))</f>
        <v/>
      </c>
      <c r="F2108" s="24">
        <f>IF($D2108="","",IFERROR(VLOOKUP($D2108,物料档案!$A$4:$P$1203,4,0),"※编码不在物料档案里"))</f>
        <v/>
      </c>
      <c r="G2108" s="24">
        <f>IF($D2108="","",IFERROR(VLOOKUP($D2108,物料档案!$A$4:$P$1203,5,0),"※编码不在物料档案里"))</f>
        <v/>
      </c>
      <c r="H2108" s="24">
        <f>IF($D2108="","",IFERROR(VLOOKUP($D2108,物料档案!$A$4:$P$1203,2,0),"※编码不在物料档案里"))</f>
        <v/>
      </c>
      <c r="I2108" s="24">
        <f>IF($D2108="","",IFERROR(VLOOKUP($D2108,物料档案!$A$4:$P$1203,6,0),"※编码不在物料档案里"))</f>
        <v/>
      </c>
      <c r="J2108" s="23" t="n"/>
      <c r="K2108" s="17" t="n"/>
      <c r="L2108" s="17" t="n"/>
      <c r="M2108" s="17" t="n"/>
      <c r="N2108" s="17" t="n"/>
      <c r="O2108" s="26">
        <f>IF($D2108="","",IFERROR(VLOOKUP($D2108,物料档案!$A$4:$P$1203,10,0),0))</f>
        <v/>
      </c>
      <c r="P2108" s="32" t="n"/>
      <c r="Q2108" s="26">
        <f>IF($D2108="","",IF($K2108&lt;&gt;"对外销售",0,ROUND(N($J2108)*IF($P2108="",N($O2108),N($P2108)),0)))</f>
        <v/>
      </c>
      <c r="R2108" s="26">
        <f>IF($D2108="","",IFERROR(VLOOKUP($D2108,库存台账!$A$5:$Y$1204,11,0),0))</f>
        <v/>
      </c>
      <c r="S2108" s="26">
        <f>IF($D2108="","",ROUND(N($J2108)*N($R2108),0))</f>
        <v/>
      </c>
      <c r="T2108" s="26">
        <f>IF($D2108="","",IF($K2108&lt;&gt;"对外销售","",ROUND($Q2108-$S2108,0)))</f>
        <v/>
      </c>
      <c r="U2108" s="17" t="n"/>
      <c r="V2108" s="17" t="n"/>
      <c r="W2108" s="24">
        <f>IF($D2108="","",IF($E2108="※编码不在物料档案里","※物料编码不在档案里",IF(N($J2108)&lt;=0,"※出库数量要大于 0",IF($K2108="","※没填去向类型",IF($L2108="","※没填去向矿区",IF(AND($C2108&lt;&gt;"",$C2108&lt;=结账锁),"※日期早于已结账截止日，不能再录",IF(AND($K2108="自用消耗",COUNTIF({"一矿区";"二矿区"},$L2108)=0),"※自用消耗的去向只能是一矿区或二矿区",IF(AND($K2108="对外销售",COUNTIF({"三矿区";"六矿区"},$L2108)=0),"※对外销售的去向只能是三矿区或六矿区",IF(AND($K2108="对外销售",ROUND($Q2108,0)=0),"※外销却没有售价，请填实际售价",IF(AND($K2108="对外销售",$T2108&lt;&gt;"",$T2108&lt;0),"※这一笔外销是亏的，请核对售价",IF(IFERROR(VLOOKUP($D2108,库存台账!$A$5:$Y$1204,24,0),0)&lt;-0.001,"※这个物料账面已经变成负数了，查一下是不是漏记入库","")))))))))))</f>
        <v/>
      </c>
    </row>
    <row r="2109">
      <c r="A2109" s="24">
        <f>IF($D2109="","",COUNTA($D$4:$D2109))</f>
        <v/>
      </c>
      <c r="B2109" s="17" t="n"/>
      <c r="C2109" s="30" t="n"/>
      <c r="D2109" s="17" t="n"/>
      <c r="E2109" s="24">
        <f>IF($D2109="","",IFERROR(VLOOKUP($D2109,物料档案!$A$4:$P$1203,3,0),"※编码不在物料档案里"))</f>
        <v/>
      </c>
      <c r="F2109" s="24">
        <f>IF($D2109="","",IFERROR(VLOOKUP($D2109,物料档案!$A$4:$P$1203,4,0),"※编码不在物料档案里"))</f>
        <v/>
      </c>
      <c r="G2109" s="24">
        <f>IF($D2109="","",IFERROR(VLOOKUP($D2109,物料档案!$A$4:$P$1203,5,0),"※编码不在物料档案里"))</f>
        <v/>
      </c>
      <c r="H2109" s="24">
        <f>IF($D2109="","",IFERROR(VLOOKUP($D2109,物料档案!$A$4:$P$1203,2,0),"※编码不在物料档案里"))</f>
        <v/>
      </c>
      <c r="I2109" s="24">
        <f>IF($D2109="","",IFERROR(VLOOKUP($D2109,物料档案!$A$4:$P$1203,6,0),"※编码不在物料档案里"))</f>
        <v/>
      </c>
      <c r="J2109" s="23" t="n"/>
      <c r="K2109" s="17" t="n"/>
      <c r="L2109" s="17" t="n"/>
      <c r="M2109" s="17" t="n"/>
      <c r="N2109" s="17" t="n"/>
      <c r="O2109" s="26">
        <f>IF($D2109="","",IFERROR(VLOOKUP($D2109,物料档案!$A$4:$P$1203,10,0),0))</f>
        <v/>
      </c>
      <c r="P2109" s="32" t="n"/>
      <c r="Q2109" s="26">
        <f>IF($D2109="","",IF($K2109&lt;&gt;"对外销售",0,ROUND(N($J2109)*IF($P2109="",N($O2109),N($P2109)),0)))</f>
        <v/>
      </c>
      <c r="R2109" s="26">
        <f>IF($D2109="","",IFERROR(VLOOKUP($D2109,库存台账!$A$5:$Y$1204,11,0),0))</f>
        <v/>
      </c>
      <c r="S2109" s="26">
        <f>IF($D2109="","",ROUND(N($J2109)*N($R2109),0))</f>
        <v/>
      </c>
      <c r="T2109" s="26">
        <f>IF($D2109="","",IF($K2109&lt;&gt;"对外销售","",ROUND($Q2109-$S2109,0)))</f>
        <v/>
      </c>
      <c r="U2109" s="17" t="n"/>
      <c r="V2109" s="17" t="n"/>
      <c r="W2109" s="24">
        <f>IF($D2109="","",IF($E2109="※编码不在物料档案里","※物料编码不在档案里",IF(N($J2109)&lt;=0,"※出库数量要大于 0",IF($K2109="","※没填去向类型",IF($L2109="","※没填去向矿区",IF(AND($C2109&lt;&gt;"",$C2109&lt;=结账锁),"※日期早于已结账截止日，不能再录",IF(AND($K2109="自用消耗",COUNTIF({"一矿区";"二矿区"},$L2109)=0),"※自用消耗的去向只能是一矿区或二矿区",IF(AND($K2109="对外销售",COUNTIF({"三矿区";"六矿区"},$L2109)=0),"※对外销售的去向只能是三矿区或六矿区",IF(AND($K2109="对外销售",ROUND($Q2109,0)=0),"※外销却没有售价，请填实际售价",IF(AND($K2109="对外销售",$T2109&lt;&gt;"",$T2109&lt;0),"※这一笔外销是亏的，请核对售价",IF(IFERROR(VLOOKUP($D2109,库存台账!$A$5:$Y$1204,24,0),0)&lt;-0.001,"※这个物料账面已经变成负数了，查一下是不是漏记入库","")))))))))))</f>
        <v/>
      </c>
    </row>
    <row r="2110">
      <c r="A2110" s="24">
        <f>IF($D2110="","",COUNTA($D$4:$D2110))</f>
        <v/>
      </c>
      <c r="B2110" s="17" t="n"/>
      <c r="C2110" s="30" t="n"/>
      <c r="D2110" s="17" t="n"/>
      <c r="E2110" s="24">
        <f>IF($D2110="","",IFERROR(VLOOKUP($D2110,物料档案!$A$4:$P$1203,3,0),"※编码不在物料档案里"))</f>
        <v/>
      </c>
      <c r="F2110" s="24">
        <f>IF($D2110="","",IFERROR(VLOOKUP($D2110,物料档案!$A$4:$P$1203,4,0),"※编码不在物料档案里"))</f>
        <v/>
      </c>
      <c r="G2110" s="24">
        <f>IF($D2110="","",IFERROR(VLOOKUP($D2110,物料档案!$A$4:$P$1203,5,0),"※编码不在物料档案里"))</f>
        <v/>
      </c>
      <c r="H2110" s="24">
        <f>IF($D2110="","",IFERROR(VLOOKUP($D2110,物料档案!$A$4:$P$1203,2,0),"※编码不在物料档案里"))</f>
        <v/>
      </c>
      <c r="I2110" s="24">
        <f>IF($D2110="","",IFERROR(VLOOKUP($D2110,物料档案!$A$4:$P$1203,6,0),"※编码不在物料档案里"))</f>
        <v/>
      </c>
      <c r="J2110" s="23" t="n"/>
      <c r="K2110" s="17" t="n"/>
      <c r="L2110" s="17" t="n"/>
      <c r="M2110" s="17" t="n"/>
      <c r="N2110" s="17" t="n"/>
      <c r="O2110" s="26">
        <f>IF($D2110="","",IFERROR(VLOOKUP($D2110,物料档案!$A$4:$P$1203,10,0),0))</f>
        <v/>
      </c>
      <c r="P2110" s="32" t="n"/>
      <c r="Q2110" s="26">
        <f>IF($D2110="","",IF($K2110&lt;&gt;"对外销售",0,ROUND(N($J2110)*IF($P2110="",N($O2110),N($P2110)),0)))</f>
        <v/>
      </c>
      <c r="R2110" s="26">
        <f>IF($D2110="","",IFERROR(VLOOKUP($D2110,库存台账!$A$5:$Y$1204,11,0),0))</f>
        <v/>
      </c>
      <c r="S2110" s="26">
        <f>IF($D2110="","",ROUND(N($J2110)*N($R2110),0))</f>
        <v/>
      </c>
      <c r="T2110" s="26">
        <f>IF($D2110="","",IF($K2110&lt;&gt;"对外销售","",ROUND($Q2110-$S2110,0)))</f>
        <v/>
      </c>
      <c r="U2110" s="17" t="n"/>
      <c r="V2110" s="17" t="n"/>
      <c r="W2110" s="24">
        <f>IF($D2110="","",IF($E2110="※编码不在物料档案里","※物料编码不在档案里",IF(N($J2110)&lt;=0,"※出库数量要大于 0",IF($K2110="","※没填去向类型",IF($L2110="","※没填去向矿区",IF(AND($C2110&lt;&gt;"",$C2110&lt;=结账锁),"※日期早于已结账截止日，不能再录",IF(AND($K2110="自用消耗",COUNTIF({"一矿区";"二矿区"},$L2110)=0),"※自用消耗的去向只能是一矿区或二矿区",IF(AND($K2110="对外销售",COUNTIF({"三矿区";"六矿区"},$L2110)=0),"※对外销售的去向只能是三矿区或六矿区",IF(AND($K2110="对外销售",ROUND($Q2110,0)=0),"※外销却没有售价，请填实际售价",IF(AND($K2110="对外销售",$T2110&lt;&gt;"",$T2110&lt;0),"※这一笔外销是亏的，请核对售价",IF(IFERROR(VLOOKUP($D2110,库存台账!$A$5:$Y$1204,24,0),0)&lt;-0.001,"※这个物料账面已经变成负数了，查一下是不是漏记入库","")))))))))))</f>
        <v/>
      </c>
    </row>
    <row r="2111">
      <c r="A2111" s="24">
        <f>IF($D2111="","",COUNTA($D$4:$D2111))</f>
        <v/>
      </c>
      <c r="B2111" s="17" t="n"/>
      <c r="C2111" s="30" t="n"/>
      <c r="D2111" s="17" t="n"/>
      <c r="E2111" s="24">
        <f>IF($D2111="","",IFERROR(VLOOKUP($D2111,物料档案!$A$4:$P$1203,3,0),"※编码不在物料档案里"))</f>
        <v/>
      </c>
      <c r="F2111" s="24">
        <f>IF($D2111="","",IFERROR(VLOOKUP($D2111,物料档案!$A$4:$P$1203,4,0),"※编码不在物料档案里"))</f>
        <v/>
      </c>
      <c r="G2111" s="24">
        <f>IF($D2111="","",IFERROR(VLOOKUP($D2111,物料档案!$A$4:$P$1203,5,0),"※编码不在物料档案里"))</f>
        <v/>
      </c>
      <c r="H2111" s="24">
        <f>IF($D2111="","",IFERROR(VLOOKUP($D2111,物料档案!$A$4:$P$1203,2,0),"※编码不在物料档案里"))</f>
        <v/>
      </c>
      <c r="I2111" s="24">
        <f>IF($D2111="","",IFERROR(VLOOKUP($D2111,物料档案!$A$4:$P$1203,6,0),"※编码不在物料档案里"))</f>
        <v/>
      </c>
      <c r="J2111" s="23" t="n"/>
      <c r="K2111" s="17" t="n"/>
      <c r="L2111" s="17" t="n"/>
      <c r="M2111" s="17" t="n"/>
      <c r="N2111" s="17" t="n"/>
      <c r="O2111" s="26">
        <f>IF($D2111="","",IFERROR(VLOOKUP($D2111,物料档案!$A$4:$P$1203,10,0),0))</f>
        <v/>
      </c>
      <c r="P2111" s="32" t="n"/>
      <c r="Q2111" s="26">
        <f>IF($D2111="","",IF($K2111&lt;&gt;"对外销售",0,ROUND(N($J2111)*IF($P2111="",N($O2111),N($P2111)),0)))</f>
        <v/>
      </c>
      <c r="R2111" s="26">
        <f>IF($D2111="","",IFERROR(VLOOKUP($D2111,库存台账!$A$5:$Y$1204,11,0),0))</f>
        <v/>
      </c>
      <c r="S2111" s="26">
        <f>IF($D2111="","",ROUND(N($J2111)*N($R2111),0))</f>
        <v/>
      </c>
      <c r="T2111" s="26">
        <f>IF($D2111="","",IF($K2111&lt;&gt;"对外销售","",ROUND($Q2111-$S2111,0)))</f>
        <v/>
      </c>
      <c r="U2111" s="17" t="n"/>
      <c r="V2111" s="17" t="n"/>
      <c r="W2111" s="24">
        <f>IF($D2111="","",IF($E2111="※编码不在物料档案里","※物料编码不在档案里",IF(N($J2111)&lt;=0,"※出库数量要大于 0",IF($K2111="","※没填去向类型",IF($L2111="","※没填去向矿区",IF(AND($C2111&lt;&gt;"",$C2111&lt;=结账锁),"※日期早于已结账截止日，不能再录",IF(AND($K2111="自用消耗",COUNTIF({"一矿区";"二矿区"},$L2111)=0),"※自用消耗的去向只能是一矿区或二矿区",IF(AND($K2111="对外销售",COUNTIF({"三矿区";"六矿区"},$L2111)=0),"※对外销售的去向只能是三矿区或六矿区",IF(AND($K2111="对外销售",ROUND($Q2111,0)=0),"※外销却没有售价，请填实际售价",IF(AND($K2111="对外销售",$T2111&lt;&gt;"",$T2111&lt;0),"※这一笔外销是亏的，请核对售价",IF(IFERROR(VLOOKUP($D2111,库存台账!$A$5:$Y$1204,24,0),0)&lt;-0.001,"※这个物料账面已经变成负数了，查一下是不是漏记入库","")))))))))))</f>
        <v/>
      </c>
    </row>
    <row r="2112">
      <c r="A2112" s="24">
        <f>IF($D2112="","",COUNTA($D$4:$D2112))</f>
        <v/>
      </c>
      <c r="B2112" s="17" t="n"/>
      <c r="C2112" s="30" t="n"/>
      <c r="D2112" s="17" t="n"/>
      <c r="E2112" s="24">
        <f>IF($D2112="","",IFERROR(VLOOKUP($D2112,物料档案!$A$4:$P$1203,3,0),"※编码不在物料档案里"))</f>
        <v/>
      </c>
      <c r="F2112" s="24">
        <f>IF($D2112="","",IFERROR(VLOOKUP($D2112,物料档案!$A$4:$P$1203,4,0),"※编码不在物料档案里"))</f>
        <v/>
      </c>
      <c r="G2112" s="24">
        <f>IF($D2112="","",IFERROR(VLOOKUP($D2112,物料档案!$A$4:$P$1203,5,0),"※编码不在物料档案里"))</f>
        <v/>
      </c>
      <c r="H2112" s="24">
        <f>IF($D2112="","",IFERROR(VLOOKUP($D2112,物料档案!$A$4:$P$1203,2,0),"※编码不在物料档案里"))</f>
        <v/>
      </c>
      <c r="I2112" s="24">
        <f>IF($D2112="","",IFERROR(VLOOKUP($D2112,物料档案!$A$4:$P$1203,6,0),"※编码不在物料档案里"))</f>
        <v/>
      </c>
      <c r="J2112" s="23" t="n"/>
      <c r="K2112" s="17" t="n"/>
      <c r="L2112" s="17" t="n"/>
      <c r="M2112" s="17" t="n"/>
      <c r="N2112" s="17" t="n"/>
      <c r="O2112" s="26">
        <f>IF($D2112="","",IFERROR(VLOOKUP($D2112,物料档案!$A$4:$P$1203,10,0),0))</f>
        <v/>
      </c>
      <c r="P2112" s="32" t="n"/>
      <c r="Q2112" s="26">
        <f>IF($D2112="","",IF($K2112&lt;&gt;"对外销售",0,ROUND(N($J2112)*IF($P2112="",N($O2112),N($P2112)),0)))</f>
        <v/>
      </c>
      <c r="R2112" s="26">
        <f>IF($D2112="","",IFERROR(VLOOKUP($D2112,库存台账!$A$5:$Y$1204,11,0),0))</f>
        <v/>
      </c>
      <c r="S2112" s="26">
        <f>IF($D2112="","",ROUND(N($J2112)*N($R2112),0))</f>
        <v/>
      </c>
      <c r="T2112" s="26">
        <f>IF($D2112="","",IF($K2112&lt;&gt;"对外销售","",ROUND($Q2112-$S2112,0)))</f>
        <v/>
      </c>
      <c r="U2112" s="17" t="n"/>
      <c r="V2112" s="17" t="n"/>
      <c r="W2112" s="24">
        <f>IF($D2112="","",IF($E2112="※编码不在物料档案里","※物料编码不在档案里",IF(N($J2112)&lt;=0,"※出库数量要大于 0",IF($K2112="","※没填去向类型",IF($L2112="","※没填去向矿区",IF(AND($C2112&lt;&gt;"",$C2112&lt;=结账锁),"※日期早于已结账截止日，不能再录",IF(AND($K2112="自用消耗",COUNTIF({"一矿区";"二矿区"},$L2112)=0),"※自用消耗的去向只能是一矿区或二矿区",IF(AND($K2112="对外销售",COUNTIF({"三矿区";"六矿区"},$L2112)=0),"※对外销售的去向只能是三矿区或六矿区",IF(AND($K2112="对外销售",ROUND($Q2112,0)=0),"※外销却没有售价，请填实际售价",IF(AND($K2112="对外销售",$T2112&lt;&gt;"",$T2112&lt;0),"※这一笔外销是亏的，请核对售价",IF(IFERROR(VLOOKUP($D2112,库存台账!$A$5:$Y$1204,24,0),0)&lt;-0.001,"※这个物料账面已经变成负数了，查一下是不是漏记入库","")))))))))))</f>
        <v/>
      </c>
    </row>
    <row r="2113">
      <c r="A2113" s="24">
        <f>IF($D2113="","",COUNTA($D$4:$D2113))</f>
        <v/>
      </c>
      <c r="B2113" s="17" t="n"/>
      <c r="C2113" s="30" t="n"/>
      <c r="D2113" s="17" t="n"/>
      <c r="E2113" s="24">
        <f>IF($D2113="","",IFERROR(VLOOKUP($D2113,物料档案!$A$4:$P$1203,3,0),"※编码不在物料档案里"))</f>
        <v/>
      </c>
      <c r="F2113" s="24">
        <f>IF($D2113="","",IFERROR(VLOOKUP($D2113,物料档案!$A$4:$P$1203,4,0),"※编码不在物料档案里"))</f>
        <v/>
      </c>
      <c r="G2113" s="24">
        <f>IF($D2113="","",IFERROR(VLOOKUP($D2113,物料档案!$A$4:$P$1203,5,0),"※编码不在物料档案里"))</f>
        <v/>
      </c>
      <c r="H2113" s="24">
        <f>IF($D2113="","",IFERROR(VLOOKUP($D2113,物料档案!$A$4:$P$1203,2,0),"※编码不在物料档案里"))</f>
        <v/>
      </c>
      <c r="I2113" s="24">
        <f>IF($D2113="","",IFERROR(VLOOKUP($D2113,物料档案!$A$4:$P$1203,6,0),"※编码不在物料档案里"))</f>
        <v/>
      </c>
      <c r="J2113" s="23" t="n"/>
      <c r="K2113" s="17" t="n"/>
      <c r="L2113" s="17" t="n"/>
      <c r="M2113" s="17" t="n"/>
      <c r="N2113" s="17" t="n"/>
      <c r="O2113" s="26">
        <f>IF($D2113="","",IFERROR(VLOOKUP($D2113,物料档案!$A$4:$P$1203,10,0),0))</f>
        <v/>
      </c>
      <c r="P2113" s="32" t="n"/>
      <c r="Q2113" s="26">
        <f>IF($D2113="","",IF($K2113&lt;&gt;"对外销售",0,ROUND(N($J2113)*IF($P2113="",N($O2113),N($P2113)),0)))</f>
        <v/>
      </c>
      <c r="R2113" s="26">
        <f>IF($D2113="","",IFERROR(VLOOKUP($D2113,库存台账!$A$5:$Y$1204,11,0),0))</f>
        <v/>
      </c>
      <c r="S2113" s="26">
        <f>IF($D2113="","",ROUND(N($J2113)*N($R2113),0))</f>
        <v/>
      </c>
      <c r="T2113" s="26">
        <f>IF($D2113="","",IF($K2113&lt;&gt;"对外销售","",ROUND($Q2113-$S2113,0)))</f>
        <v/>
      </c>
      <c r="U2113" s="17" t="n"/>
      <c r="V2113" s="17" t="n"/>
      <c r="W2113" s="24">
        <f>IF($D2113="","",IF($E2113="※编码不在物料档案里","※物料编码不在档案里",IF(N($J2113)&lt;=0,"※出库数量要大于 0",IF($K2113="","※没填去向类型",IF($L2113="","※没填去向矿区",IF(AND($C2113&lt;&gt;"",$C2113&lt;=结账锁),"※日期早于已结账截止日，不能再录",IF(AND($K2113="自用消耗",COUNTIF({"一矿区";"二矿区"},$L2113)=0),"※自用消耗的去向只能是一矿区或二矿区",IF(AND($K2113="对外销售",COUNTIF({"三矿区";"六矿区"},$L2113)=0),"※对外销售的去向只能是三矿区或六矿区",IF(AND($K2113="对外销售",ROUND($Q2113,0)=0),"※外销却没有售价，请填实际售价",IF(AND($K2113="对外销售",$T2113&lt;&gt;"",$T2113&lt;0),"※这一笔外销是亏的，请核对售价",IF(IFERROR(VLOOKUP($D2113,库存台账!$A$5:$Y$1204,24,0),0)&lt;-0.001,"※这个物料账面已经变成负数了，查一下是不是漏记入库","")))))))))))</f>
        <v/>
      </c>
    </row>
    <row r="2114">
      <c r="A2114" s="24">
        <f>IF($D2114="","",COUNTA($D$4:$D2114))</f>
        <v/>
      </c>
      <c r="B2114" s="17" t="n"/>
      <c r="C2114" s="30" t="n"/>
      <c r="D2114" s="17" t="n"/>
      <c r="E2114" s="24">
        <f>IF($D2114="","",IFERROR(VLOOKUP($D2114,物料档案!$A$4:$P$1203,3,0),"※编码不在物料档案里"))</f>
        <v/>
      </c>
      <c r="F2114" s="24">
        <f>IF($D2114="","",IFERROR(VLOOKUP($D2114,物料档案!$A$4:$P$1203,4,0),"※编码不在物料档案里"))</f>
        <v/>
      </c>
      <c r="G2114" s="24">
        <f>IF($D2114="","",IFERROR(VLOOKUP($D2114,物料档案!$A$4:$P$1203,5,0),"※编码不在物料档案里"))</f>
        <v/>
      </c>
      <c r="H2114" s="24">
        <f>IF($D2114="","",IFERROR(VLOOKUP($D2114,物料档案!$A$4:$P$1203,2,0),"※编码不在物料档案里"))</f>
        <v/>
      </c>
      <c r="I2114" s="24">
        <f>IF($D2114="","",IFERROR(VLOOKUP($D2114,物料档案!$A$4:$P$1203,6,0),"※编码不在物料档案里"))</f>
        <v/>
      </c>
      <c r="J2114" s="23" t="n"/>
      <c r="K2114" s="17" t="n"/>
      <c r="L2114" s="17" t="n"/>
      <c r="M2114" s="17" t="n"/>
      <c r="N2114" s="17" t="n"/>
      <c r="O2114" s="26">
        <f>IF($D2114="","",IFERROR(VLOOKUP($D2114,物料档案!$A$4:$P$1203,10,0),0))</f>
        <v/>
      </c>
      <c r="P2114" s="32" t="n"/>
      <c r="Q2114" s="26">
        <f>IF($D2114="","",IF($K2114&lt;&gt;"对外销售",0,ROUND(N($J2114)*IF($P2114="",N($O2114),N($P2114)),0)))</f>
        <v/>
      </c>
      <c r="R2114" s="26">
        <f>IF($D2114="","",IFERROR(VLOOKUP($D2114,库存台账!$A$5:$Y$1204,11,0),0))</f>
        <v/>
      </c>
      <c r="S2114" s="26">
        <f>IF($D2114="","",ROUND(N($J2114)*N($R2114),0))</f>
        <v/>
      </c>
      <c r="T2114" s="26">
        <f>IF($D2114="","",IF($K2114&lt;&gt;"对外销售","",ROUND($Q2114-$S2114,0)))</f>
        <v/>
      </c>
      <c r="U2114" s="17" t="n"/>
      <c r="V2114" s="17" t="n"/>
      <c r="W2114" s="24">
        <f>IF($D2114="","",IF($E2114="※编码不在物料档案里","※物料编码不在档案里",IF(N($J2114)&lt;=0,"※出库数量要大于 0",IF($K2114="","※没填去向类型",IF($L2114="","※没填去向矿区",IF(AND($C2114&lt;&gt;"",$C2114&lt;=结账锁),"※日期早于已结账截止日，不能再录",IF(AND($K2114="自用消耗",COUNTIF({"一矿区";"二矿区"},$L2114)=0),"※自用消耗的去向只能是一矿区或二矿区",IF(AND($K2114="对外销售",COUNTIF({"三矿区";"六矿区"},$L2114)=0),"※对外销售的去向只能是三矿区或六矿区",IF(AND($K2114="对外销售",ROUND($Q2114,0)=0),"※外销却没有售价，请填实际售价",IF(AND($K2114="对外销售",$T2114&lt;&gt;"",$T2114&lt;0),"※这一笔外销是亏的，请核对售价",IF(IFERROR(VLOOKUP($D2114,库存台账!$A$5:$Y$1204,24,0),0)&lt;-0.001,"※这个物料账面已经变成负数了，查一下是不是漏记入库","")))))))))))</f>
        <v/>
      </c>
    </row>
    <row r="2115">
      <c r="A2115" s="24">
        <f>IF($D2115="","",COUNTA($D$4:$D2115))</f>
        <v/>
      </c>
      <c r="B2115" s="17" t="n"/>
      <c r="C2115" s="30" t="n"/>
      <c r="D2115" s="17" t="n"/>
      <c r="E2115" s="24">
        <f>IF($D2115="","",IFERROR(VLOOKUP($D2115,物料档案!$A$4:$P$1203,3,0),"※编码不在物料档案里"))</f>
        <v/>
      </c>
      <c r="F2115" s="24">
        <f>IF($D2115="","",IFERROR(VLOOKUP($D2115,物料档案!$A$4:$P$1203,4,0),"※编码不在物料档案里"))</f>
        <v/>
      </c>
      <c r="G2115" s="24">
        <f>IF($D2115="","",IFERROR(VLOOKUP($D2115,物料档案!$A$4:$P$1203,5,0),"※编码不在物料档案里"))</f>
        <v/>
      </c>
      <c r="H2115" s="24">
        <f>IF($D2115="","",IFERROR(VLOOKUP($D2115,物料档案!$A$4:$P$1203,2,0),"※编码不在物料档案里"))</f>
        <v/>
      </c>
      <c r="I2115" s="24">
        <f>IF($D2115="","",IFERROR(VLOOKUP($D2115,物料档案!$A$4:$P$1203,6,0),"※编码不在物料档案里"))</f>
        <v/>
      </c>
      <c r="J2115" s="23" t="n"/>
      <c r="K2115" s="17" t="n"/>
      <c r="L2115" s="17" t="n"/>
      <c r="M2115" s="17" t="n"/>
      <c r="N2115" s="17" t="n"/>
      <c r="O2115" s="26">
        <f>IF($D2115="","",IFERROR(VLOOKUP($D2115,物料档案!$A$4:$P$1203,10,0),0))</f>
        <v/>
      </c>
      <c r="P2115" s="32" t="n"/>
      <c r="Q2115" s="26">
        <f>IF($D2115="","",IF($K2115&lt;&gt;"对外销售",0,ROUND(N($J2115)*IF($P2115="",N($O2115),N($P2115)),0)))</f>
        <v/>
      </c>
      <c r="R2115" s="26">
        <f>IF($D2115="","",IFERROR(VLOOKUP($D2115,库存台账!$A$5:$Y$1204,11,0),0))</f>
        <v/>
      </c>
      <c r="S2115" s="26">
        <f>IF($D2115="","",ROUND(N($J2115)*N($R2115),0))</f>
        <v/>
      </c>
      <c r="T2115" s="26">
        <f>IF($D2115="","",IF($K2115&lt;&gt;"对外销售","",ROUND($Q2115-$S2115,0)))</f>
        <v/>
      </c>
      <c r="U2115" s="17" t="n"/>
      <c r="V2115" s="17" t="n"/>
      <c r="W2115" s="24">
        <f>IF($D2115="","",IF($E2115="※编码不在物料档案里","※物料编码不在档案里",IF(N($J2115)&lt;=0,"※出库数量要大于 0",IF($K2115="","※没填去向类型",IF($L2115="","※没填去向矿区",IF(AND($C2115&lt;&gt;"",$C2115&lt;=结账锁),"※日期早于已结账截止日，不能再录",IF(AND($K2115="自用消耗",COUNTIF({"一矿区";"二矿区"},$L2115)=0),"※自用消耗的去向只能是一矿区或二矿区",IF(AND($K2115="对外销售",COUNTIF({"三矿区";"六矿区"},$L2115)=0),"※对外销售的去向只能是三矿区或六矿区",IF(AND($K2115="对外销售",ROUND($Q2115,0)=0),"※外销却没有售价，请填实际售价",IF(AND($K2115="对外销售",$T2115&lt;&gt;"",$T2115&lt;0),"※这一笔外销是亏的，请核对售价",IF(IFERROR(VLOOKUP($D2115,库存台账!$A$5:$Y$1204,24,0),0)&lt;-0.001,"※这个物料账面已经变成负数了，查一下是不是漏记入库","")))))))))))</f>
        <v/>
      </c>
    </row>
    <row r="2116">
      <c r="A2116" s="24">
        <f>IF($D2116="","",COUNTA($D$4:$D2116))</f>
        <v/>
      </c>
      <c r="B2116" s="17" t="n"/>
      <c r="C2116" s="30" t="n"/>
      <c r="D2116" s="17" t="n"/>
      <c r="E2116" s="24">
        <f>IF($D2116="","",IFERROR(VLOOKUP($D2116,物料档案!$A$4:$P$1203,3,0),"※编码不在物料档案里"))</f>
        <v/>
      </c>
      <c r="F2116" s="24">
        <f>IF($D2116="","",IFERROR(VLOOKUP($D2116,物料档案!$A$4:$P$1203,4,0),"※编码不在物料档案里"))</f>
        <v/>
      </c>
      <c r="G2116" s="24">
        <f>IF($D2116="","",IFERROR(VLOOKUP($D2116,物料档案!$A$4:$P$1203,5,0),"※编码不在物料档案里"))</f>
        <v/>
      </c>
      <c r="H2116" s="24">
        <f>IF($D2116="","",IFERROR(VLOOKUP($D2116,物料档案!$A$4:$P$1203,2,0),"※编码不在物料档案里"))</f>
        <v/>
      </c>
      <c r="I2116" s="24">
        <f>IF($D2116="","",IFERROR(VLOOKUP($D2116,物料档案!$A$4:$P$1203,6,0),"※编码不在物料档案里"))</f>
        <v/>
      </c>
      <c r="J2116" s="23" t="n"/>
      <c r="K2116" s="17" t="n"/>
      <c r="L2116" s="17" t="n"/>
      <c r="M2116" s="17" t="n"/>
      <c r="N2116" s="17" t="n"/>
      <c r="O2116" s="26">
        <f>IF($D2116="","",IFERROR(VLOOKUP($D2116,物料档案!$A$4:$P$1203,10,0),0))</f>
        <v/>
      </c>
      <c r="P2116" s="32" t="n"/>
      <c r="Q2116" s="26">
        <f>IF($D2116="","",IF($K2116&lt;&gt;"对外销售",0,ROUND(N($J2116)*IF($P2116="",N($O2116),N($P2116)),0)))</f>
        <v/>
      </c>
      <c r="R2116" s="26">
        <f>IF($D2116="","",IFERROR(VLOOKUP($D2116,库存台账!$A$5:$Y$1204,11,0),0))</f>
        <v/>
      </c>
      <c r="S2116" s="26">
        <f>IF($D2116="","",ROUND(N($J2116)*N($R2116),0))</f>
        <v/>
      </c>
      <c r="T2116" s="26">
        <f>IF($D2116="","",IF($K2116&lt;&gt;"对外销售","",ROUND($Q2116-$S2116,0)))</f>
        <v/>
      </c>
      <c r="U2116" s="17" t="n"/>
      <c r="V2116" s="17" t="n"/>
      <c r="W2116" s="24">
        <f>IF($D2116="","",IF($E2116="※编码不在物料档案里","※物料编码不在档案里",IF(N($J2116)&lt;=0,"※出库数量要大于 0",IF($K2116="","※没填去向类型",IF($L2116="","※没填去向矿区",IF(AND($C2116&lt;&gt;"",$C2116&lt;=结账锁),"※日期早于已结账截止日，不能再录",IF(AND($K2116="自用消耗",COUNTIF({"一矿区";"二矿区"},$L2116)=0),"※自用消耗的去向只能是一矿区或二矿区",IF(AND($K2116="对外销售",COUNTIF({"三矿区";"六矿区"},$L2116)=0),"※对外销售的去向只能是三矿区或六矿区",IF(AND($K2116="对外销售",ROUND($Q2116,0)=0),"※外销却没有售价，请填实际售价",IF(AND($K2116="对外销售",$T2116&lt;&gt;"",$T2116&lt;0),"※这一笔外销是亏的，请核对售价",IF(IFERROR(VLOOKUP($D2116,库存台账!$A$5:$Y$1204,24,0),0)&lt;-0.001,"※这个物料账面已经变成负数了，查一下是不是漏记入库","")))))))))))</f>
        <v/>
      </c>
    </row>
    <row r="2117">
      <c r="A2117" s="24">
        <f>IF($D2117="","",COUNTA($D$4:$D2117))</f>
        <v/>
      </c>
      <c r="B2117" s="17" t="n"/>
      <c r="C2117" s="30" t="n"/>
      <c r="D2117" s="17" t="n"/>
      <c r="E2117" s="24">
        <f>IF($D2117="","",IFERROR(VLOOKUP($D2117,物料档案!$A$4:$P$1203,3,0),"※编码不在物料档案里"))</f>
        <v/>
      </c>
      <c r="F2117" s="24">
        <f>IF($D2117="","",IFERROR(VLOOKUP($D2117,物料档案!$A$4:$P$1203,4,0),"※编码不在物料档案里"))</f>
        <v/>
      </c>
      <c r="G2117" s="24">
        <f>IF($D2117="","",IFERROR(VLOOKUP($D2117,物料档案!$A$4:$P$1203,5,0),"※编码不在物料档案里"))</f>
        <v/>
      </c>
      <c r="H2117" s="24">
        <f>IF($D2117="","",IFERROR(VLOOKUP($D2117,物料档案!$A$4:$P$1203,2,0),"※编码不在物料档案里"))</f>
        <v/>
      </c>
      <c r="I2117" s="24">
        <f>IF($D2117="","",IFERROR(VLOOKUP($D2117,物料档案!$A$4:$P$1203,6,0),"※编码不在物料档案里"))</f>
        <v/>
      </c>
      <c r="J2117" s="23" t="n"/>
      <c r="K2117" s="17" t="n"/>
      <c r="L2117" s="17" t="n"/>
      <c r="M2117" s="17" t="n"/>
      <c r="N2117" s="17" t="n"/>
      <c r="O2117" s="26">
        <f>IF($D2117="","",IFERROR(VLOOKUP($D2117,物料档案!$A$4:$P$1203,10,0),0))</f>
        <v/>
      </c>
      <c r="P2117" s="32" t="n"/>
      <c r="Q2117" s="26">
        <f>IF($D2117="","",IF($K2117&lt;&gt;"对外销售",0,ROUND(N($J2117)*IF($P2117="",N($O2117),N($P2117)),0)))</f>
        <v/>
      </c>
      <c r="R2117" s="26">
        <f>IF($D2117="","",IFERROR(VLOOKUP($D2117,库存台账!$A$5:$Y$1204,11,0),0))</f>
        <v/>
      </c>
      <c r="S2117" s="26">
        <f>IF($D2117="","",ROUND(N($J2117)*N($R2117),0))</f>
        <v/>
      </c>
      <c r="T2117" s="26">
        <f>IF($D2117="","",IF($K2117&lt;&gt;"对外销售","",ROUND($Q2117-$S2117,0)))</f>
        <v/>
      </c>
      <c r="U2117" s="17" t="n"/>
      <c r="V2117" s="17" t="n"/>
      <c r="W2117" s="24">
        <f>IF($D2117="","",IF($E2117="※编码不在物料档案里","※物料编码不在档案里",IF(N($J2117)&lt;=0,"※出库数量要大于 0",IF($K2117="","※没填去向类型",IF($L2117="","※没填去向矿区",IF(AND($C2117&lt;&gt;"",$C2117&lt;=结账锁),"※日期早于已结账截止日，不能再录",IF(AND($K2117="自用消耗",COUNTIF({"一矿区";"二矿区"},$L2117)=0),"※自用消耗的去向只能是一矿区或二矿区",IF(AND($K2117="对外销售",COUNTIF({"三矿区";"六矿区"},$L2117)=0),"※对外销售的去向只能是三矿区或六矿区",IF(AND($K2117="对外销售",ROUND($Q2117,0)=0),"※外销却没有售价，请填实际售价",IF(AND($K2117="对外销售",$T2117&lt;&gt;"",$T2117&lt;0),"※这一笔外销是亏的，请核对售价",IF(IFERROR(VLOOKUP($D2117,库存台账!$A$5:$Y$1204,24,0),0)&lt;-0.001,"※这个物料账面已经变成负数了，查一下是不是漏记入库","")))))))))))</f>
        <v/>
      </c>
    </row>
    <row r="2118">
      <c r="A2118" s="24">
        <f>IF($D2118="","",COUNTA($D$4:$D2118))</f>
        <v/>
      </c>
      <c r="B2118" s="17" t="n"/>
      <c r="C2118" s="30" t="n"/>
      <c r="D2118" s="17" t="n"/>
      <c r="E2118" s="24">
        <f>IF($D2118="","",IFERROR(VLOOKUP($D2118,物料档案!$A$4:$P$1203,3,0),"※编码不在物料档案里"))</f>
        <v/>
      </c>
      <c r="F2118" s="24">
        <f>IF($D2118="","",IFERROR(VLOOKUP($D2118,物料档案!$A$4:$P$1203,4,0),"※编码不在物料档案里"))</f>
        <v/>
      </c>
      <c r="G2118" s="24">
        <f>IF($D2118="","",IFERROR(VLOOKUP($D2118,物料档案!$A$4:$P$1203,5,0),"※编码不在物料档案里"))</f>
        <v/>
      </c>
      <c r="H2118" s="24">
        <f>IF($D2118="","",IFERROR(VLOOKUP($D2118,物料档案!$A$4:$P$1203,2,0),"※编码不在物料档案里"))</f>
        <v/>
      </c>
      <c r="I2118" s="24">
        <f>IF($D2118="","",IFERROR(VLOOKUP($D2118,物料档案!$A$4:$P$1203,6,0),"※编码不在物料档案里"))</f>
        <v/>
      </c>
      <c r="J2118" s="23" t="n"/>
      <c r="K2118" s="17" t="n"/>
      <c r="L2118" s="17" t="n"/>
      <c r="M2118" s="17" t="n"/>
      <c r="N2118" s="17" t="n"/>
      <c r="O2118" s="26">
        <f>IF($D2118="","",IFERROR(VLOOKUP($D2118,物料档案!$A$4:$P$1203,10,0),0))</f>
        <v/>
      </c>
      <c r="P2118" s="32" t="n"/>
      <c r="Q2118" s="26">
        <f>IF($D2118="","",IF($K2118&lt;&gt;"对外销售",0,ROUND(N($J2118)*IF($P2118="",N($O2118),N($P2118)),0)))</f>
        <v/>
      </c>
      <c r="R2118" s="26">
        <f>IF($D2118="","",IFERROR(VLOOKUP($D2118,库存台账!$A$5:$Y$1204,11,0),0))</f>
        <v/>
      </c>
      <c r="S2118" s="26">
        <f>IF($D2118="","",ROUND(N($J2118)*N($R2118),0))</f>
        <v/>
      </c>
      <c r="T2118" s="26">
        <f>IF($D2118="","",IF($K2118&lt;&gt;"对外销售","",ROUND($Q2118-$S2118,0)))</f>
        <v/>
      </c>
      <c r="U2118" s="17" t="n"/>
      <c r="V2118" s="17" t="n"/>
      <c r="W2118" s="24">
        <f>IF($D2118="","",IF($E2118="※编码不在物料档案里","※物料编码不在档案里",IF(N($J2118)&lt;=0,"※出库数量要大于 0",IF($K2118="","※没填去向类型",IF($L2118="","※没填去向矿区",IF(AND($C2118&lt;&gt;"",$C2118&lt;=结账锁),"※日期早于已结账截止日，不能再录",IF(AND($K2118="自用消耗",COUNTIF({"一矿区";"二矿区"},$L2118)=0),"※自用消耗的去向只能是一矿区或二矿区",IF(AND($K2118="对外销售",COUNTIF({"三矿区";"六矿区"},$L2118)=0),"※对外销售的去向只能是三矿区或六矿区",IF(AND($K2118="对外销售",ROUND($Q2118,0)=0),"※外销却没有售价，请填实际售价",IF(AND($K2118="对外销售",$T2118&lt;&gt;"",$T2118&lt;0),"※这一笔外销是亏的，请核对售价",IF(IFERROR(VLOOKUP($D2118,库存台账!$A$5:$Y$1204,24,0),0)&lt;-0.001,"※这个物料账面已经变成负数了，查一下是不是漏记入库","")))))))))))</f>
        <v/>
      </c>
    </row>
    <row r="2119">
      <c r="A2119" s="24">
        <f>IF($D2119="","",COUNTA($D$4:$D2119))</f>
        <v/>
      </c>
      <c r="B2119" s="17" t="n"/>
      <c r="C2119" s="30" t="n"/>
      <c r="D2119" s="17" t="n"/>
      <c r="E2119" s="24">
        <f>IF($D2119="","",IFERROR(VLOOKUP($D2119,物料档案!$A$4:$P$1203,3,0),"※编码不在物料档案里"))</f>
        <v/>
      </c>
      <c r="F2119" s="24">
        <f>IF($D2119="","",IFERROR(VLOOKUP($D2119,物料档案!$A$4:$P$1203,4,0),"※编码不在物料档案里"))</f>
        <v/>
      </c>
      <c r="G2119" s="24">
        <f>IF($D2119="","",IFERROR(VLOOKUP($D2119,物料档案!$A$4:$P$1203,5,0),"※编码不在物料档案里"))</f>
        <v/>
      </c>
      <c r="H2119" s="24">
        <f>IF($D2119="","",IFERROR(VLOOKUP($D2119,物料档案!$A$4:$P$1203,2,0),"※编码不在物料档案里"))</f>
        <v/>
      </c>
      <c r="I2119" s="24">
        <f>IF($D2119="","",IFERROR(VLOOKUP($D2119,物料档案!$A$4:$P$1203,6,0),"※编码不在物料档案里"))</f>
        <v/>
      </c>
      <c r="J2119" s="23" t="n"/>
      <c r="K2119" s="17" t="n"/>
      <c r="L2119" s="17" t="n"/>
      <c r="M2119" s="17" t="n"/>
      <c r="N2119" s="17" t="n"/>
      <c r="O2119" s="26">
        <f>IF($D2119="","",IFERROR(VLOOKUP($D2119,物料档案!$A$4:$P$1203,10,0),0))</f>
        <v/>
      </c>
      <c r="P2119" s="32" t="n"/>
      <c r="Q2119" s="26">
        <f>IF($D2119="","",IF($K2119&lt;&gt;"对外销售",0,ROUND(N($J2119)*IF($P2119="",N($O2119),N($P2119)),0)))</f>
        <v/>
      </c>
      <c r="R2119" s="26">
        <f>IF($D2119="","",IFERROR(VLOOKUP($D2119,库存台账!$A$5:$Y$1204,11,0),0))</f>
        <v/>
      </c>
      <c r="S2119" s="26">
        <f>IF($D2119="","",ROUND(N($J2119)*N($R2119),0))</f>
        <v/>
      </c>
      <c r="T2119" s="26">
        <f>IF($D2119="","",IF($K2119&lt;&gt;"对外销售","",ROUND($Q2119-$S2119,0)))</f>
        <v/>
      </c>
      <c r="U2119" s="17" t="n"/>
      <c r="V2119" s="17" t="n"/>
      <c r="W2119" s="24">
        <f>IF($D2119="","",IF($E2119="※编码不在物料档案里","※物料编码不在档案里",IF(N($J2119)&lt;=0,"※出库数量要大于 0",IF($K2119="","※没填去向类型",IF($L2119="","※没填去向矿区",IF(AND($C2119&lt;&gt;"",$C2119&lt;=结账锁),"※日期早于已结账截止日，不能再录",IF(AND($K2119="自用消耗",COUNTIF({"一矿区";"二矿区"},$L2119)=0),"※自用消耗的去向只能是一矿区或二矿区",IF(AND($K2119="对外销售",COUNTIF({"三矿区";"六矿区"},$L2119)=0),"※对外销售的去向只能是三矿区或六矿区",IF(AND($K2119="对外销售",ROUND($Q2119,0)=0),"※外销却没有售价，请填实际售价",IF(AND($K2119="对外销售",$T2119&lt;&gt;"",$T2119&lt;0),"※这一笔外销是亏的，请核对售价",IF(IFERROR(VLOOKUP($D2119,库存台账!$A$5:$Y$1204,24,0),0)&lt;-0.001,"※这个物料账面已经变成负数了，查一下是不是漏记入库","")))))))))))</f>
        <v/>
      </c>
    </row>
    <row r="2120">
      <c r="A2120" s="24">
        <f>IF($D2120="","",COUNTA($D$4:$D2120))</f>
        <v/>
      </c>
      <c r="B2120" s="17" t="n"/>
      <c r="C2120" s="30" t="n"/>
      <c r="D2120" s="17" t="n"/>
      <c r="E2120" s="24">
        <f>IF($D2120="","",IFERROR(VLOOKUP($D2120,物料档案!$A$4:$P$1203,3,0),"※编码不在物料档案里"))</f>
        <v/>
      </c>
      <c r="F2120" s="24">
        <f>IF($D2120="","",IFERROR(VLOOKUP($D2120,物料档案!$A$4:$P$1203,4,0),"※编码不在物料档案里"))</f>
        <v/>
      </c>
      <c r="G2120" s="24">
        <f>IF($D2120="","",IFERROR(VLOOKUP($D2120,物料档案!$A$4:$P$1203,5,0),"※编码不在物料档案里"))</f>
        <v/>
      </c>
      <c r="H2120" s="24">
        <f>IF($D2120="","",IFERROR(VLOOKUP($D2120,物料档案!$A$4:$P$1203,2,0),"※编码不在物料档案里"))</f>
        <v/>
      </c>
      <c r="I2120" s="24">
        <f>IF($D2120="","",IFERROR(VLOOKUP($D2120,物料档案!$A$4:$P$1203,6,0),"※编码不在物料档案里"))</f>
        <v/>
      </c>
      <c r="J2120" s="23" t="n"/>
      <c r="K2120" s="17" t="n"/>
      <c r="L2120" s="17" t="n"/>
      <c r="M2120" s="17" t="n"/>
      <c r="N2120" s="17" t="n"/>
      <c r="O2120" s="26">
        <f>IF($D2120="","",IFERROR(VLOOKUP($D2120,物料档案!$A$4:$P$1203,10,0),0))</f>
        <v/>
      </c>
      <c r="P2120" s="32" t="n"/>
      <c r="Q2120" s="26">
        <f>IF($D2120="","",IF($K2120&lt;&gt;"对外销售",0,ROUND(N($J2120)*IF($P2120="",N($O2120),N($P2120)),0)))</f>
        <v/>
      </c>
      <c r="R2120" s="26">
        <f>IF($D2120="","",IFERROR(VLOOKUP($D2120,库存台账!$A$5:$Y$1204,11,0),0))</f>
        <v/>
      </c>
      <c r="S2120" s="26">
        <f>IF($D2120="","",ROUND(N($J2120)*N($R2120),0))</f>
        <v/>
      </c>
      <c r="T2120" s="26">
        <f>IF($D2120="","",IF($K2120&lt;&gt;"对外销售","",ROUND($Q2120-$S2120,0)))</f>
        <v/>
      </c>
      <c r="U2120" s="17" t="n"/>
      <c r="V2120" s="17" t="n"/>
      <c r="W2120" s="24">
        <f>IF($D2120="","",IF($E2120="※编码不在物料档案里","※物料编码不在档案里",IF(N($J2120)&lt;=0,"※出库数量要大于 0",IF($K2120="","※没填去向类型",IF($L2120="","※没填去向矿区",IF(AND($C2120&lt;&gt;"",$C2120&lt;=结账锁),"※日期早于已结账截止日，不能再录",IF(AND($K2120="自用消耗",COUNTIF({"一矿区";"二矿区"},$L2120)=0),"※自用消耗的去向只能是一矿区或二矿区",IF(AND($K2120="对外销售",COUNTIF({"三矿区";"六矿区"},$L2120)=0),"※对外销售的去向只能是三矿区或六矿区",IF(AND($K2120="对外销售",ROUND($Q2120,0)=0),"※外销却没有售价，请填实际售价",IF(AND($K2120="对外销售",$T2120&lt;&gt;"",$T2120&lt;0),"※这一笔外销是亏的，请核对售价",IF(IFERROR(VLOOKUP($D2120,库存台账!$A$5:$Y$1204,24,0),0)&lt;-0.001,"※这个物料账面已经变成负数了，查一下是不是漏记入库","")))))))))))</f>
        <v/>
      </c>
    </row>
    <row r="2121">
      <c r="A2121" s="24">
        <f>IF($D2121="","",COUNTA($D$4:$D2121))</f>
        <v/>
      </c>
      <c r="B2121" s="17" t="n"/>
      <c r="C2121" s="30" t="n"/>
      <c r="D2121" s="17" t="n"/>
      <c r="E2121" s="24">
        <f>IF($D2121="","",IFERROR(VLOOKUP($D2121,物料档案!$A$4:$P$1203,3,0),"※编码不在物料档案里"))</f>
        <v/>
      </c>
      <c r="F2121" s="24">
        <f>IF($D2121="","",IFERROR(VLOOKUP($D2121,物料档案!$A$4:$P$1203,4,0),"※编码不在物料档案里"))</f>
        <v/>
      </c>
      <c r="G2121" s="24">
        <f>IF($D2121="","",IFERROR(VLOOKUP($D2121,物料档案!$A$4:$P$1203,5,0),"※编码不在物料档案里"))</f>
        <v/>
      </c>
      <c r="H2121" s="24">
        <f>IF($D2121="","",IFERROR(VLOOKUP($D2121,物料档案!$A$4:$P$1203,2,0),"※编码不在物料档案里"))</f>
        <v/>
      </c>
      <c r="I2121" s="24">
        <f>IF($D2121="","",IFERROR(VLOOKUP($D2121,物料档案!$A$4:$P$1203,6,0),"※编码不在物料档案里"))</f>
        <v/>
      </c>
      <c r="J2121" s="23" t="n"/>
      <c r="K2121" s="17" t="n"/>
      <c r="L2121" s="17" t="n"/>
      <c r="M2121" s="17" t="n"/>
      <c r="N2121" s="17" t="n"/>
      <c r="O2121" s="26">
        <f>IF($D2121="","",IFERROR(VLOOKUP($D2121,物料档案!$A$4:$P$1203,10,0),0))</f>
        <v/>
      </c>
      <c r="P2121" s="32" t="n"/>
      <c r="Q2121" s="26">
        <f>IF($D2121="","",IF($K2121&lt;&gt;"对外销售",0,ROUND(N($J2121)*IF($P2121="",N($O2121),N($P2121)),0)))</f>
        <v/>
      </c>
      <c r="R2121" s="26">
        <f>IF($D2121="","",IFERROR(VLOOKUP($D2121,库存台账!$A$5:$Y$1204,11,0),0))</f>
        <v/>
      </c>
      <c r="S2121" s="26">
        <f>IF($D2121="","",ROUND(N($J2121)*N($R2121),0))</f>
        <v/>
      </c>
      <c r="T2121" s="26">
        <f>IF($D2121="","",IF($K2121&lt;&gt;"对外销售","",ROUND($Q2121-$S2121,0)))</f>
        <v/>
      </c>
      <c r="U2121" s="17" t="n"/>
      <c r="V2121" s="17" t="n"/>
      <c r="W2121" s="24">
        <f>IF($D2121="","",IF($E2121="※编码不在物料档案里","※物料编码不在档案里",IF(N($J2121)&lt;=0,"※出库数量要大于 0",IF($K2121="","※没填去向类型",IF($L2121="","※没填去向矿区",IF(AND($C2121&lt;&gt;"",$C2121&lt;=结账锁),"※日期早于已结账截止日，不能再录",IF(AND($K2121="自用消耗",COUNTIF({"一矿区";"二矿区"},$L2121)=0),"※自用消耗的去向只能是一矿区或二矿区",IF(AND($K2121="对外销售",COUNTIF({"三矿区";"六矿区"},$L2121)=0),"※对外销售的去向只能是三矿区或六矿区",IF(AND($K2121="对外销售",ROUND($Q2121,0)=0),"※外销却没有售价，请填实际售价",IF(AND($K2121="对外销售",$T2121&lt;&gt;"",$T2121&lt;0),"※这一笔外销是亏的，请核对售价",IF(IFERROR(VLOOKUP($D2121,库存台账!$A$5:$Y$1204,24,0),0)&lt;-0.001,"※这个物料账面已经变成负数了，查一下是不是漏记入库","")))))))))))</f>
        <v/>
      </c>
    </row>
    <row r="2122">
      <c r="A2122" s="24">
        <f>IF($D2122="","",COUNTA($D$4:$D2122))</f>
        <v/>
      </c>
      <c r="B2122" s="17" t="n"/>
      <c r="C2122" s="30" t="n"/>
      <c r="D2122" s="17" t="n"/>
      <c r="E2122" s="24">
        <f>IF($D2122="","",IFERROR(VLOOKUP($D2122,物料档案!$A$4:$P$1203,3,0),"※编码不在物料档案里"))</f>
        <v/>
      </c>
      <c r="F2122" s="24">
        <f>IF($D2122="","",IFERROR(VLOOKUP($D2122,物料档案!$A$4:$P$1203,4,0),"※编码不在物料档案里"))</f>
        <v/>
      </c>
      <c r="G2122" s="24">
        <f>IF($D2122="","",IFERROR(VLOOKUP($D2122,物料档案!$A$4:$P$1203,5,0),"※编码不在物料档案里"))</f>
        <v/>
      </c>
      <c r="H2122" s="24">
        <f>IF($D2122="","",IFERROR(VLOOKUP($D2122,物料档案!$A$4:$P$1203,2,0),"※编码不在物料档案里"))</f>
        <v/>
      </c>
      <c r="I2122" s="24">
        <f>IF($D2122="","",IFERROR(VLOOKUP($D2122,物料档案!$A$4:$P$1203,6,0),"※编码不在物料档案里"))</f>
        <v/>
      </c>
      <c r="J2122" s="23" t="n"/>
      <c r="K2122" s="17" t="n"/>
      <c r="L2122" s="17" t="n"/>
      <c r="M2122" s="17" t="n"/>
      <c r="N2122" s="17" t="n"/>
      <c r="O2122" s="26">
        <f>IF($D2122="","",IFERROR(VLOOKUP($D2122,物料档案!$A$4:$P$1203,10,0),0))</f>
        <v/>
      </c>
      <c r="P2122" s="32" t="n"/>
      <c r="Q2122" s="26">
        <f>IF($D2122="","",IF($K2122&lt;&gt;"对外销售",0,ROUND(N($J2122)*IF($P2122="",N($O2122),N($P2122)),0)))</f>
        <v/>
      </c>
      <c r="R2122" s="26">
        <f>IF($D2122="","",IFERROR(VLOOKUP($D2122,库存台账!$A$5:$Y$1204,11,0),0))</f>
        <v/>
      </c>
      <c r="S2122" s="26">
        <f>IF($D2122="","",ROUND(N($J2122)*N($R2122),0))</f>
        <v/>
      </c>
      <c r="T2122" s="26">
        <f>IF($D2122="","",IF($K2122&lt;&gt;"对外销售","",ROUND($Q2122-$S2122,0)))</f>
        <v/>
      </c>
      <c r="U2122" s="17" t="n"/>
      <c r="V2122" s="17" t="n"/>
      <c r="W2122" s="24">
        <f>IF($D2122="","",IF($E2122="※编码不在物料档案里","※物料编码不在档案里",IF(N($J2122)&lt;=0,"※出库数量要大于 0",IF($K2122="","※没填去向类型",IF($L2122="","※没填去向矿区",IF(AND($C2122&lt;&gt;"",$C2122&lt;=结账锁),"※日期早于已结账截止日，不能再录",IF(AND($K2122="自用消耗",COUNTIF({"一矿区";"二矿区"},$L2122)=0),"※自用消耗的去向只能是一矿区或二矿区",IF(AND($K2122="对外销售",COUNTIF({"三矿区";"六矿区"},$L2122)=0),"※对外销售的去向只能是三矿区或六矿区",IF(AND($K2122="对外销售",ROUND($Q2122,0)=0),"※外销却没有售价，请填实际售价",IF(AND($K2122="对外销售",$T2122&lt;&gt;"",$T2122&lt;0),"※这一笔外销是亏的，请核对售价",IF(IFERROR(VLOOKUP($D2122,库存台账!$A$5:$Y$1204,24,0),0)&lt;-0.001,"※这个物料账面已经变成负数了，查一下是不是漏记入库","")))))))))))</f>
        <v/>
      </c>
    </row>
    <row r="2123">
      <c r="A2123" s="24">
        <f>IF($D2123="","",COUNTA($D$4:$D2123))</f>
        <v/>
      </c>
      <c r="B2123" s="17" t="n"/>
      <c r="C2123" s="30" t="n"/>
      <c r="D2123" s="17" t="n"/>
      <c r="E2123" s="24">
        <f>IF($D2123="","",IFERROR(VLOOKUP($D2123,物料档案!$A$4:$P$1203,3,0),"※编码不在物料档案里"))</f>
        <v/>
      </c>
      <c r="F2123" s="24">
        <f>IF($D2123="","",IFERROR(VLOOKUP($D2123,物料档案!$A$4:$P$1203,4,0),"※编码不在物料档案里"))</f>
        <v/>
      </c>
      <c r="G2123" s="24">
        <f>IF($D2123="","",IFERROR(VLOOKUP($D2123,物料档案!$A$4:$P$1203,5,0),"※编码不在物料档案里"))</f>
        <v/>
      </c>
      <c r="H2123" s="24">
        <f>IF($D2123="","",IFERROR(VLOOKUP($D2123,物料档案!$A$4:$P$1203,2,0),"※编码不在物料档案里"))</f>
        <v/>
      </c>
      <c r="I2123" s="24">
        <f>IF($D2123="","",IFERROR(VLOOKUP($D2123,物料档案!$A$4:$P$1203,6,0),"※编码不在物料档案里"))</f>
        <v/>
      </c>
      <c r="J2123" s="23" t="n"/>
      <c r="K2123" s="17" t="n"/>
      <c r="L2123" s="17" t="n"/>
      <c r="M2123" s="17" t="n"/>
      <c r="N2123" s="17" t="n"/>
      <c r="O2123" s="26">
        <f>IF($D2123="","",IFERROR(VLOOKUP($D2123,物料档案!$A$4:$P$1203,10,0),0))</f>
        <v/>
      </c>
      <c r="P2123" s="32" t="n"/>
      <c r="Q2123" s="26">
        <f>IF($D2123="","",IF($K2123&lt;&gt;"对外销售",0,ROUND(N($J2123)*IF($P2123="",N($O2123),N($P2123)),0)))</f>
        <v/>
      </c>
      <c r="R2123" s="26">
        <f>IF($D2123="","",IFERROR(VLOOKUP($D2123,库存台账!$A$5:$Y$1204,11,0),0))</f>
        <v/>
      </c>
      <c r="S2123" s="26">
        <f>IF($D2123="","",ROUND(N($J2123)*N($R2123),0))</f>
        <v/>
      </c>
      <c r="T2123" s="26">
        <f>IF($D2123="","",IF($K2123&lt;&gt;"对外销售","",ROUND($Q2123-$S2123,0)))</f>
        <v/>
      </c>
      <c r="U2123" s="17" t="n"/>
      <c r="V2123" s="17" t="n"/>
      <c r="W2123" s="24">
        <f>IF($D2123="","",IF($E2123="※编码不在物料档案里","※物料编码不在档案里",IF(N($J2123)&lt;=0,"※出库数量要大于 0",IF($K2123="","※没填去向类型",IF($L2123="","※没填去向矿区",IF(AND($C2123&lt;&gt;"",$C2123&lt;=结账锁),"※日期早于已结账截止日，不能再录",IF(AND($K2123="自用消耗",COUNTIF({"一矿区";"二矿区"},$L2123)=0),"※自用消耗的去向只能是一矿区或二矿区",IF(AND($K2123="对外销售",COUNTIF({"三矿区";"六矿区"},$L2123)=0),"※对外销售的去向只能是三矿区或六矿区",IF(AND($K2123="对外销售",ROUND($Q2123,0)=0),"※外销却没有售价，请填实际售价",IF(AND($K2123="对外销售",$T2123&lt;&gt;"",$T2123&lt;0),"※这一笔外销是亏的，请核对售价",IF(IFERROR(VLOOKUP($D2123,库存台账!$A$5:$Y$1204,24,0),0)&lt;-0.001,"※这个物料账面已经变成负数了，查一下是不是漏记入库","")))))))))))</f>
        <v/>
      </c>
    </row>
    <row r="2124">
      <c r="A2124" s="24">
        <f>IF($D2124="","",COUNTA($D$4:$D2124))</f>
        <v/>
      </c>
      <c r="B2124" s="17" t="n"/>
      <c r="C2124" s="30" t="n"/>
      <c r="D2124" s="17" t="n"/>
      <c r="E2124" s="24">
        <f>IF($D2124="","",IFERROR(VLOOKUP($D2124,物料档案!$A$4:$P$1203,3,0),"※编码不在物料档案里"))</f>
        <v/>
      </c>
      <c r="F2124" s="24">
        <f>IF($D2124="","",IFERROR(VLOOKUP($D2124,物料档案!$A$4:$P$1203,4,0),"※编码不在物料档案里"))</f>
        <v/>
      </c>
      <c r="G2124" s="24">
        <f>IF($D2124="","",IFERROR(VLOOKUP($D2124,物料档案!$A$4:$P$1203,5,0),"※编码不在物料档案里"))</f>
        <v/>
      </c>
      <c r="H2124" s="24">
        <f>IF($D2124="","",IFERROR(VLOOKUP($D2124,物料档案!$A$4:$P$1203,2,0),"※编码不在物料档案里"))</f>
        <v/>
      </c>
      <c r="I2124" s="24">
        <f>IF($D2124="","",IFERROR(VLOOKUP($D2124,物料档案!$A$4:$P$1203,6,0),"※编码不在物料档案里"))</f>
        <v/>
      </c>
      <c r="J2124" s="23" t="n"/>
      <c r="K2124" s="17" t="n"/>
      <c r="L2124" s="17" t="n"/>
      <c r="M2124" s="17" t="n"/>
      <c r="N2124" s="17" t="n"/>
      <c r="O2124" s="26">
        <f>IF($D2124="","",IFERROR(VLOOKUP($D2124,物料档案!$A$4:$P$1203,10,0),0))</f>
        <v/>
      </c>
      <c r="P2124" s="32" t="n"/>
      <c r="Q2124" s="26">
        <f>IF($D2124="","",IF($K2124&lt;&gt;"对外销售",0,ROUND(N($J2124)*IF($P2124="",N($O2124),N($P2124)),0)))</f>
        <v/>
      </c>
      <c r="R2124" s="26">
        <f>IF($D2124="","",IFERROR(VLOOKUP($D2124,库存台账!$A$5:$Y$1204,11,0),0))</f>
        <v/>
      </c>
      <c r="S2124" s="26">
        <f>IF($D2124="","",ROUND(N($J2124)*N($R2124),0))</f>
        <v/>
      </c>
      <c r="T2124" s="26">
        <f>IF($D2124="","",IF($K2124&lt;&gt;"对外销售","",ROUND($Q2124-$S2124,0)))</f>
        <v/>
      </c>
      <c r="U2124" s="17" t="n"/>
      <c r="V2124" s="17" t="n"/>
      <c r="W2124" s="24">
        <f>IF($D2124="","",IF($E2124="※编码不在物料档案里","※物料编码不在档案里",IF(N($J2124)&lt;=0,"※出库数量要大于 0",IF($K2124="","※没填去向类型",IF($L2124="","※没填去向矿区",IF(AND($C2124&lt;&gt;"",$C2124&lt;=结账锁),"※日期早于已结账截止日，不能再录",IF(AND($K2124="自用消耗",COUNTIF({"一矿区";"二矿区"},$L2124)=0),"※自用消耗的去向只能是一矿区或二矿区",IF(AND($K2124="对外销售",COUNTIF({"三矿区";"六矿区"},$L2124)=0),"※对外销售的去向只能是三矿区或六矿区",IF(AND($K2124="对外销售",ROUND($Q2124,0)=0),"※外销却没有售价，请填实际售价",IF(AND($K2124="对外销售",$T2124&lt;&gt;"",$T2124&lt;0),"※这一笔外销是亏的，请核对售价",IF(IFERROR(VLOOKUP($D2124,库存台账!$A$5:$Y$1204,24,0),0)&lt;-0.001,"※这个物料账面已经变成负数了，查一下是不是漏记入库","")))))))))))</f>
        <v/>
      </c>
    </row>
    <row r="2125">
      <c r="A2125" s="24">
        <f>IF($D2125="","",COUNTA($D$4:$D2125))</f>
        <v/>
      </c>
      <c r="B2125" s="17" t="n"/>
      <c r="C2125" s="30" t="n"/>
      <c r="D2125" s="17" t="n"/>
      <c r="E2125" s="24">
        <f>IF($D2125="","",IFERROR(VLOOKUP($D2125,物料档案!$A$4:$P$1203,3,0),"※编码不在物料档案里"))</f>
        <v/>
      </c>
      <c r="F2125" s="24">
        <f>IF($D2125="","",IFERROR(VLOOKUP($D2125,物料档案!$A$4:$P$1203,4,0),"※编码不在物料档案里"))</f>
        <v/>
      </c>
      <c r="G2125" s="24">
        <f>IF($D2125="","",IFERROR(VLOOKUP($D2125,物料档案!$A$4:$P$1203,5,0),"※编码不在物料档案里"))</f>
        <v/>
      </c>
      <c r="H2125" s="24">
        <f>IF($D2125="","",IFERROR(VLOOKUP($D2125,物料档案!$A$4:$P$1203,2,0),"※编码不在物料档案里"))</f>
        <v/>
      </c>
      <c r="I2125" s="24">
        <f>IF($D2125="","",IFERROR(VLOOKUP($D2125,物料档案!$A$4:$P$1203,6,0),"※编码不在物料档案里"))</f>
        <v/>
      </c>
      <c r="J2125" s="23" t="n"/>
      <c r="K2125" s="17" t="n"/>
      <c r="L2125" s="17" t="n"/>
      <c r="M2125" s="17" t="n"/>
      <c r="N2125" s="17" t="n"/>
      <c r="O2125" s="26">
        <f>IF($D2125="","",IFERROR(VLOOKUP($D2125,物料档案!$A$4:$P$1203,10,0),0))</f>
        <v/>
      </c>
      <c r="P2125" s="32" t="n"/>
      <c r="Q2125" s="26">
        <f>IF($D2125="","",IF($K2125&lt;&gt;"对外销售",0,ROUND(N($J2125)*IF($P2125="",N($O2125),N($P2125)),0)))</f>
        <v/>
      </c>
      <c r="R2125" s="26">
        <f>IF($D2125="","",IFERROR(VLOOKUP($D2125,库存台账!$A$5:$Y$1204,11,0),0))</f>
        <v/>
      </c>
      <c r="S2125" s="26">
        <f>IF($D2125="","",ROUND(N($J2125)*N($R2125),0))</f>
        <v/>
      </c>
      <c r="T2125" s="26">
        <f>IF($D2125="","",IF($K2125&lt;&gt;"对外销售","",ROUND($Q2125-$S2125,0)))</f>
        <v/>
      </c>
      <c r="U2125" s="17" t="n"/>
      <c r="V2125" s="17" t="n"/>
      <c r="W2125" s="24">
        <f>IF($D2125="","",IF($E2125="※编码不在物料档案里","※物料编码不在档案里",IF(N($J2125)&lt;=0,"※出库数量要大于 0",IF($K2125="","※没填去向类型",IF($L2125="","※没填去向矿区",IF(AND($C2125&lt;&gt;"",$C2125&lt;=结账锁),"※日期早于已结账截止日，不能再录",IF(AND($K2125="自用消耗",COUNTIF({"一矿区";"二矿区"},$L2125)=0),"※自用消耗的去向只能是一矿区或二矿区",IF(AND($K2125="对外销售",COUNTIF({"三矿区";"六矿区"},$L2125)=0),"※对外销售的去向只能是三矿区或六矿区",IF(AND($K2125="对外销售",ROUND($Q2125,0)=0),"※外销却没有售价，请填实际售价",IF(AND($K2125="对外销售",$T2125&lt;&gt;"",$T2125&lt;0),"※这一笔外销是亏的，请核对售价",IF(IFERROR(VLOOKUP($D2125,库存台账!$A$5:$Y$1204,24,0),0)&lt;-0.001,"※这个物料账面已经变成负数了，查一下是不是漏记入库","")))))))))))</f>
        <v/>
      </c>
    </row>
    <row r="2126">
      <c r="A2126" s="24">
        <f>IF($D2126="","",COUNTA($D$4:$D2126))</f>
        <v/>
      </c>
      <c r="B2126" s="17" t="n"/>
      <c r="C2126" s="30" t="n"/>
      <c r="D2126" s="17" t="n"/>
      <c r="E2126" s="24">
        <f>IF($D2126="","",IFERROR(VLOOKUP($D2126,物料档案!$A$4:$P$1203,3,0),"※编码不在物料档案里"))</f>
        <v/>
      </c>
      <c r="F2126" s="24">
        <f>IF($D2126="","",IFERROR(VLOOKUP($D2126,物料档案!$A$4:$P$1203,4,0),"※编码不在物料档案里"))</f>
        <v/>
      </c>
      <c r="G2126" s="24">
        <f>IF($D2126="","",IFERROR(VLOOKUP($D2126,物料档案!$A$4:$P$1203,5,0),"※编码不在物料档案里"))</f>
        <v/>
      </c>
      <c r="H2126" s="24">
        <f>IF($D2126="","",IFERROR(VLOOKUP($D2126,物料档案!$A$4:$P$1203,2,0),"※编码不在物料档案里"))</f>
        <v/>
      </c>
      <c r="I2126" s="24">
        <f>IF($D2126="","",IFERROR(VLOOKUP($D2126,物料档案!$A$4:$P$1203,6,0),"※编码不在物料档案里"))</f>
        <v/>
      </c>
      <c r="J2126" s="23" t="n"/>
      <c r="K2126" s="17" t="n"/>
      <c r="L2126" s="17" t="n"/>
      <c r="M2126" s="17" t="n"/>
      <c r="N2126" s="17" t="n"/>
      <c r="O2126" s="26">
        <f>IF($D2126="","",IFERROR(VLOOKUP($D2126,物料档案!$A$4:$P$1203,10,0),0))</f>
        <v/>
      </c>
      <c r="P2126" s="32" t="n"/>
      <c r="Q2126" s="26">
        <f>IF($D2126="","",IF($K2126&lt;&gt;"对外销售",0,ROUND(N($J2126)*IF($P2126="",N($O2126),N($P2126)),0)))</f>
        <v/>
      </c>
      <c r="R2126" s="26">
        <f>IF($D2126="","",IFERROR(VLOOKUP($D2126,库存台账!$A$5:$Y$1204,11,0),0))</f>
        <v/>
      </c>
      <c r="S2126" s="26">
        <f>IF($D2126="","",ROUND(N($J2126)*N($R2126),0))</f>
        <v/>
      </c>
      <c r="T2126" s="26">
        <f>IF($D2126="","",IF($K2126&lt;&gt;"对外销售","",ROUND($Q2126-$S2126,0)))</f>
        <v/>
      </c>
      <c r="U2126" s="17" t="n"/>
      <c r="V2126" s="17" t="n"/>
      <c r="W2126" s="24">
        <f>IF($D2126="","",IF($E2126="※编码不在物料档案里","※物料编码不在档案里",IF(N($J2126)&lt;=0,"※出库数量要大于 0",IF($K2126="","※没填去向类型",IF($L2126="","※没填去向矿区",IF(AND($C2126&lt;&gt;"",$C2126&lt;=结账锁),"※日期早于已结账截止日，不能再录",IF(AND($K2126="自用消耗",COUNTIF({"一矿区";"二矿区"},$L2126)=0),"※自用消耗的去向只能是一矿区或二矿区",IF(AND($K2126="对外销售",COUNTIF({"三矿区";"六矿区"},$L2126)=0),"※对外销售的去向只能是三矿区或六矿区",IF(AND($K2126="对外销售",ROUND($Q2126,0)=0),"※外销却没有售价，请填实际售价",IF(AND($K2126="对外销售",$T2126&lt;&gt;"",$T2126&lt;0),"※这一笔外销是亏的，请核对售价",IF(IFERROR(VLOOKUP($D2126,库存台账!$A$5:$Y$1204,24,0),0)&lt;-0.001,"※这个物料账面已经变成负数了，查一下是不是漏记入库","")))))))))))</f>
        <v/>
      </c>
    </row>
    <row r="2127">
      <c r="A2127" s="24">
        <f>IF($D2127="","",COUNTA($D$4:$D2127))</f>
        <v/>
      </c>
      <c r="B2127" s="17" t="n"/>
      <c r="C2127" s="30" t="n"/>
      <c r="D2127" s="17" t="n"/>
      <c r="E2127" s="24">
        <f>IF($D2127="","",IFERROR(VLOOKUP($D2127,物料档案!$A$4:$P$1203,3,0),"※编码不在物料档案里"))</f>
        <v/>
      </c>
      <c r="F2127" s="24">
        <f>IF($D2127="","",IFERROR(VLOOKUP($D2127,物料档案!$A$4:$P$1203,4,0),"※编码不在物料档案里"))</f>
        <v/>
      </c>
      <c r="G2127" s="24">
        <f>IF($D2127="","",IFERROR(VLOOKUP($D2127,物料档案!$A$4:$P$1203,5,0),"※编码不在物料档案里"))</f>
        <v/>
      </c>
      <c r="H2127" s="24">
        <f>IF($D2127="","",IFERROR(VLOOKUP($D2127,物料档案!$A$4:$P$1203,2,0),"※编码不在物料档案里"))</f>
        <v/>
      </c>
      <c r="I2127" s="24">
        <f>IF($D2127="","",IFERROR(VLOOKUP($D2127,物料档案!$A$4:$P$1203,6,0),"※编码不在物料档案里"))</f>
        <v/>
      </c>
      <c r="J2127" s="23" t="n"/>
      <c r="K2127" s="17" t="n"/>
      <c r="L2127" s="17" t="n"/>
      <c r="M2127" s="17" t="n"/>
      <c r="N2127" s="17" t="n"/>
      <c r="O2127" s="26">
        <f>IF($D2127="","",IFERROR(VLOOKUP($D2127,物料档案!$A$4:$P$1203,10,0),0))</f>
        <v/>
      </c>
      <c r="P2127" s="32" t="n"/>
      <c r="Q2127" s="26">
        <f>IF($D2127="","",IF($K2127&lt;&gt;"对外销售",0,ROUND(N($J2127)*IF($P2127="",N($O2127),N($P2127)),0)))</f>
        <v/>
      </c>
      <c r="R2127" s="26">
        <f>IF($D2127="","",IFERROR(VLOOKUP($D2127,库存台账!$A$5:$Y$1204,11,0),0))</f>
        <v/>
      </c>
      <c r="S2127" s="26">
        <f>IF($D2127="","",ROUND(N($J2127)*N($R2127),0))</f>
        <v/>
      </c>
      <c r="T2127" s="26">
        <f>IF($D2127="","",IF($K2127&lt;&gt;"对外销售","",ROUND($Q2127-$S2127,0)))</f>
        <v/>
      </c>
      <c r="U2127" s="17" t="n"/>
      <c r="V2127" s="17" t="n"/>
      <c r="W2127" s="24">
        <f>IF($D2127="","",IF($E2127="※编码不在物料档案里","※物料编码不在档案里",IF(N($J2127)&lt;=0,"※出库数量要大于 0",IF($K2127="","※没填去向类型",IF($L2127="","※没填去向矿区",IF(AND($C2127&lt;&gt;"",$C2127&lt;=结账锁),"※日期早于已结账截止日，不能再录",IF(AND($K2127="自用消耗",COUNTIF({"一矿区";"二矿区"},$L2127)=0),"※自用消耗的去向只能是一矿区或二矿区",IF(AND($K2127="对外销售",COUNTIF({"三矿区";"六矿区"},$L2127)=0),"※对外销售的去向只能是三矿区或六矿区",IF(AND($K2127="对外销售",ROUND($Q2127,0)=0),"※外销却没有售价，请填实际售价",IF(AND($K2127="对外销售",$T2127&lt;&gt;"",$T2127&lt;0),"※这一笔外销是亏的，请核对售价",IF(IFERROR(VLOOKUP($D2127,库存台账!$A$5:$Y$1204,24,0),0)&lt;-0.001,"※这个物料账面已经变成负数了，查一下是不是漏记入库","")))))))))))</f>
        <v/>
      </c>
    </row>
    <row r="2128">
      <c r="A2128" s="24">
        <f>IF($D2128="","",COUNTA($D$4:$D2128))</f>
        <v/>
      </c>
      <c r="B2128" s="17" t="n"/>
      <c r="C2128" s="30" t="n"/>
      <c r="D2128" s="17" t="n"/>
      <c r="E2128" s="24">
        <f>IF($D2128="","",IFERROR(VLOOKUP($D2128,物料档案!$A$4:$P$1203,3,0),"※编码不在物料档案里"))</f>
        <v/>
      </c>
      <c r="F2128" s="24">
        <f>IF($D2128="","",IFERROR(VLOOKUP($D2128,物料档案!$A$4:$P$1203,4,0),"※编码不在物料档案里"))</f>
        <v/>
      </c>
      <c r="G2128" s="24">
        <f>IF($D2128="","",IFERROR(VLOOKUP($D2128,物料档案!$A$4:$P$1203,5,0),"※编码不在物料档案里"))</f>
        <v/>
      </c>
      <c r="H2128" s="24">
        <f>IF($D2128="","",IFERROR(VLOOKUP($D2128,物料档案!$A$4:$P$1203,2,0),"※编码不在物料档案里"))</f>
        <v/>
      </c>
      <c r="I2128" s="24">
        <f>IF($D2128="","",IFERROR(VLOOKUP($D2128,物料档案!$A$4:$P$1203,6,0),"※编码不在物料档案里"))</f>
        <v/>
      </c>
      <c r="J2128" s="23" t="n"/>
      <c r="K2128" s="17" t="n"/>
      <c r="L2128" s="17" t="n"/>
      <c r="M2128" s="17" t="n"/>
      <c r="N2128" s="17" t="n"/>
      <c r="O2128" s="26">
        <f>IF($D2128="","",IFERROR(VLOOKUP($D2128,物料档案!$A$4:$P$1203,10,0),0))</f>
        <v/>
      </c>
      <c r="P2128" s="32" t="n"/>
      <c r="Q2128" s="26">
        <f>IF($D2128="","",IF($K2128&lt;&gt;"对外销售",0,ROUND(N($J2128)*IF($P2128="",N($O2128),N($P2128)),0)))</f>
        <v/>
      </c>
      <c r="R2128" s="26">
        <f>IF($D2128="","",IFERROR(VLOOKUP($D2128,库存台账!$A$5:$Y$1204,11,0),0))</f>
        <v/>
      </c>
      <c r="S2128" s="26">
        <f>IF($D2128="","",ROUND(N($J2128)*N($R2128),0))</f>
        <v/>
      </c>
      <c r="T2128" s="26">
        <f>IF($D2128="","",IF($K2128&lt;&gt;"对外销售","",ROUND($Q2128-$S2128,0)))</f>
        <v/>
      </c>
      <c r="U2128" s="17" t="n"/>
      <c r="V2128" s="17" t="n"/>
      <c r="W2128" s="24">
        <f>IF($D2128="","",IF($E2128="※编码不在物料档案里","※物料编码不在档案里",IF(N($J2128)&lt;=0,"※出库数量要大于 0",IF($K2128="","※没填去向类型",IF($L2128="","※没填去向矿区",IF(AND($C2128&lt;&gt;"",$C2128&lt;=结账锁),"※日期早于已结账截止日，不能再录",IF(AND($K2128="自用消耗",COUNTIF({"一矿区";"二矿区"},$L2128)=0),"※自用消耗的去向只能是一矿区或二矿区",IF(AND($K2128="对外销售",COUNTIF({"三矿区";"六矿区"},$L2128)=0),"※对外销售的去向只能是三矿区或六矿区",IF(AND($K2128="对外销售",ROUND($Q2128,0)=0),"※外销却没有售价，请填实际售价",IF(AND($K2128="对外销售",$T2128&lt;&gt;"",$T2128&lt;0),"※这一笔外销是亏的，请核对售价",IF(IFERROR(VLOOKUP($D2128,库存台账!$A$5:$Y$1204,24,0),0)&lt;-0.001,"※这个物料账面已经变成负数了，查一下是不是漏记入库","")))))))))))</f>
        <v/>
      </c>
    </row>
    <row r="2129">
      <c r="A2129" s="24">
        <f>IF($D2129="","",COUNTA($D$4:$D2129))</f>
        <v/>
      </c>
      <c r="B2129" s="17" t="n"/>
      <c r="C2129" s="30" t="n"/>
      <c r="D2129" s="17" t="n"/>
      <c r="E2129" s="24">
        <f>IF($D2129="","",IFERROR(VLOOKUP($D2129,物料档案!$A$4:$P$1203,3,0),"※编码不在物料档案里"))</f>
        <v/>
      </c>
      <c r="F2129" s="24">
        <f>IF($D2129="","",IFERROR(VLOOKUP($D2129,物料档案!$A$4:$P$1203,4,0),"※编码不在物料档案里"))</f>
        <v/>
      </c>
      <c r="G2129" s="24">
        <f>IF($D2129="","",IFERROR(VLOOKUP($D2129,物料档案!$A$4:$P$1203,5,0),"※编码不在物料档案里"))</f>
        <v/>
      </c>
      <c r="H2129" s="24">
        <f>IF($D2129="","",IFERROR(VLOOKUP($D2129,物料档案!$A$4:$P$1203,2,0),"※编码不在物料档案里"))</f>
        <v/>
      </c>
      <c r="I2129" s="24">
        <f>IF($D2129="","",IFERROR(VLOOKUP($D2129,物料档案!$A$4:$P$1203,6,0),"※编码不在物料档案里"))</f>
        <v/>
      </c>
      <c r="J2129" s="23" t="n"/>
      <c r="K2129" s="17" t="n"/>
      <c r="L2129" s="17" t="n"/>
      <c r="M2129" s="17" t="n"/>
      <c r="N2129" s="17" t="n"/>
      <c r="O2129" s="26">
        <f>IF($D2129="","",IFERROR(VLOOKUP($D2129,物料档案!$A$4:$P$1203,10,0),0))</f>
        <v/>
      </c>
      <c r="P2129" s="32" t="n"/>
      <c r="Q2129" s="26">
        <f>IF($D2129="","",IF($K2129&lt;&gt;"对外销售",0,ROUND(N($J2129)*IF($P2129="",N($O2129),N($P2129)),0)))</f>
        <v/>
      </c>
      <c r="R2129" s="26">
        <f>IF($D2129="","",IFERROR(VLOOKUP($D2129,库存台账!$A$5:$Y$1204,11,0),0))</f>
        <v/>
      </c>
      <c r="S2129" s="26">
        <f>IF($D2129="","",ROUND(N($J2129)*N($R2129),0))</f>
        <v/>
      </c>
      <c r="T2129" s="26">
        <f>IF($D2129="","",IF($K2129&lt;&gt;"对外销售","",ROUND($Q2129-$S2129,0)))</f>
        <v/>
      </c>
      <c r="U2129" s="17" t="n"/>
      <c r="V2129" s="17" t="n"/>
      <c r="W2129" s="24">
        <f>IF($D2129="","",IF($E2129="※编码不在物料档案里","※物料编码不在档案里",IF(N($J2129)&lt;=0,"※出库数量要大于 0",IF($K2129="","※没填去向类型",IF($L2129="","※没填去向矿区",IF(AND($C2129&lt;&gt;"",$C2129&lt;=结账锁),"※日期早于已结账截止日，不能再录",IF(AND($K2129="自用消耗",COUNTIF({"一矿区";"二矿区"},$L2129)=0),"※自用消耗的去向只能是一矿区或二矿区",IF(AND($K2129="对外销售",COUNTIF({"三矿区";"六矿区"},$L2129)=0),"※对外销售的去向只能是三矿区或六矿区",IF(AND($K2129="对外销售",ROUND($Q2129,0)=0),"※外销却没有售价，请填实际售价",IF(AND($K2129="对外销售",$T2129&lt;&gt;"",$T2129&lt;0),"※这一笔外销是亏的，请核对售价",IF(IFERROR(VLOOKUP($D2129,库存台账!$A$5:$Y$1204,24,0),0)&lt;-0.001,"※这个物料账面已经变成负数了，查一下是不是漏记入库","")))))))))))</f>
        <v/>
      </c>
    </row>
    <row r="2130">
      <c r="A2130" s="24">
        <f>IF($D2130="","",COUNTA($D$4:$D2130))</f>
        <v/>
      </c>
      <c r="B2130" s="17" t="n"/>
      <c r="C2130" s="30" t="n"/>
      <c r="D2130" s="17" t="n"/>
      <c r="E2130" s="24">
        <f>IF($D2130="","",IFERROR(VLOOKUP($D2130,物料档案!$A$4:$P$1203,3,0),"※编码不在物料档案里"))</f>
        <v/>
      </c>
      <c r="F2130" s="24">
        <f>IF($D2130="","",IFERROR(VLOOKUP($D2130,物料档案!$A$4:$P$1203,4,0),"※编码不在物料档案里"))</f>
        <v/>
      </c>
      <c r="G2130" s="24">
        <f>IF($D2130="","",IFERROR(VLOOKUP($D2130,物料档案!$A$4:$P$1203,5,0),"※编码不在物料档案里"))</f>
        <v/>
      </c>
      <c r="H2130" s="24">
        <f>IF($D2130="","",IFERROR(VLOOKUP($D2130,物料档案!$A$4:$P$1203,2,0),"※编码不在物料档案里"))</f>
        <v/>
      </c>
      <c r="I2130" s="24">
        <f>IF($D2130="","",IFERROR(VLOOKUP($D2130,物料档案!$A$4:$P$1203,6,0),"※编码不在物料档案里"))</f>
        <v/>
      </c>
      <c r="J2130" s="23" t="n"/>
      <c r="K2130" s="17" t="n"/>
      <c r="L2130" s="17" t="n"/>
      <c r="M2130" s="17" t="n"/>
      <c r="N2130" s="17" t="n"/>
      <c r="O2130" s="26">
        <f>IF($D2130="","",IFERROR(VLOOKUP($D2130,物料档案!$A$4:$P$1203,10,0),0))</f>
        <v/>
      </c>
      <c r="P2130" s="32" t="n"/>
      <c r="Q2130" s="26">
        <f>IF($D2130="","",IF($K2130&lt;&gt;"对外销售",0,ROUND(N($J2130)*IF($P2130="",N($O2130),N($P2130)),0)))</f>
        <v/>
      </c>
      <c r="R2130" s="26">
        <f>IF($D2130="","",IFERROR(VLOOKUP($D2130,库存台账!$A$5:$Y$1204,11,0),0))</f>
        <v/>
      </c>
      <c r="S2130" s="26">
        <f>IF($D2130="","",ROUND(N($J2130)*N($R2130),0))</f>
        <v/>
      </c>
      <c r="T2130" s="26">
        <f>IF($D2130="","",IF($K2130&lt;&gt;"对外销售","",ROUND($Q2130-$S2130,0)))</f>
        <v/>
      </c>
      <c r="U2130" s="17" t="n"/>
      <c r="V2130" s="17" t="n"/>
      <c r="W2130" s="24">
        <f>IF($D2130="","",IF($E2130="※编码不在物料档案里","※物料编码不在档案里",IF(N($J2130)&lt;=0,"※出库数量要大于 0",IF($K2130="","※没填去向类型",IF($L2130="","※没填去向矿区",IF(AND($C2130&lt;&gt;"",$C2130&lt;=结账锁),"※日期早于已结账截止日，不能再录",IF(AND($K2130="自用消耗",COUNTIF({"一矿区";"二矿区"},$L2130)=0),"※自用消耗的去向只能是一矿区或二矿区",IF(AND($K2130="对外销售",COUNTIF({"三矿区";"六矿区"},$L2130)=0),"※对外销售的去向只能是三矿区或六矿区",IF(AND($K2130="对外销售",ROUND($Q2130,0)=0),"※外销却没有售价，请填实际售价",IF(AND($K2130="对外销售",$T2130&lt;&gt;"",$T2130&lt;0),"※这一笔外销是亏的，请核对售价",IF(IFERROR(VLOOKUP($D2130,库存台账!$A$5:$Y$1204,24,0),0)&lt;-0.001,"※这个物料账面已经变成负数了，查一下是不是漏记入库","")))))))))))</f>
        <v/>
      </c>
    </row>
    <row r="2131">
      <c r="A2131" s="24">
        <f>IF($D2131="","",COUNTA($D$4:$D2131))</f>
        <v/>
      </c>
      <c r="B2131" s="17" t="n"/>
      <c r="C2131" s="30" t="n"/>
      <c r="D2131" s="17" t="n"/>
      <c r="E2131" s="24">
        <f>IF($D2131="","",IFERROR(VLOOKUP($D2131,物料档案!$A$4:$P$1203,3,0),"※编码不在物料档案里"))</f>
        <v/>
      </c>
      <c r="F2131" s="24">
        <f>IF($D2131="","",IFERROR(VLOOKUP($D2131,物料档案!$A$4:$P$1203,4,0),"※编码不在物料档案里"))</f>
        <v/>
      </c>
      <c r="G2131" s="24">
        <f>IF($D2131="","",IFERROR(VLOOKUP($D2131,物料档案!$A$4:$P$1203,5,0),"※编码不在物料档案里"))</f>
        <v/>
      </c>
      <c r="H2131" s="24">
        <f>IF($D2131="","",IFERROR(VLOOKUP($D2131,物料档案!$A$4:$P$1203,2,0),"※编码不在物料档案里"))</f>
        <v/>
      </c>
      <c r="I2131" s="24">
        <f>IF($D2131="","",IFERROR(VLOOKUP($D2131,物料档案!$A$4:$P$1203,6,0),"※编码不在物料档案里"))</f>
        <v/>
      </c>
      <c r="J2131" s="23" t="n"/>
      <c r="K2131" s="17" t="n"/>
      <c r="L2131" s="17" t="n"/>
      <c r="M2131" s="17" t="n"/>
      <c r="N2131" s="17" t="n"/>
      <c r="O2131" s="26">
        <f>IF($D2131="","",IFERROR(VLOOKUP($D2131,物料档案!$A$4:$P$1203,10,0),0))</f>
        <v/>
      </c>
      <c r="P2131" s="32" t="n"/>
      <c r="Q2131" s="26">
        <f>IF($D2131="","",IF($K2131&lt;&gt;"对外销售",0,ROUND(N($J2131)*IF($P2131="",N($O2131),N($P2131)),0)))</f>
        <v/>
      </c>
      <c r="R2131" s="26">
        <f>IF($D2131="","",IFERROR(VLOOKUP($D2131,库存台账!$A$5:$Y$1204,11,0),0))</f>
        <v/>
      </c>
      <c r="S2131" s="26">
        <f>IF($D2131="","",ROUND(N($J2131)*N($R2131),0))</f>
        <v/>
      </c>
      <c r="T2131" s="26">
        <f>IF($D2131="","",IF($K2131&lt;&gt;"对外销售","",ROUND($Q2131-$S2131,0)))</f>
        <v/>
      </c>
      <c r="U2131" s="17" t="n"/>
      <c r="V2131" s="17" t="n"/>
      <c r="W2131" s="24">
        <f>IF($D2131="","",IF($E2131="※编码不在物料档案里","※物料编码不在档案里",IF(N($J2131)&lt;=0,"※出库数量要大于 0",IF($K2131="","※没填去向类型",IF($L2131="","※没填去向矿区",IF(AND($C2131&lt;&gt;"",$C2131&lt;=结账锁),"※日期早于已结账截止日，不能再录",IF(AND($K2131="自用消耗",COUNTIF({"一矿区";"二矿区"},$L2131)=0),"※自用消耗的去向只能是一矿区或二矿区",IF(AND($K2131="对外销售",COUNTIF({"三矿区";"六矿区"},$L2131)=0),"※对外销售的去向只能是三矿区或六矿区",IF(AND($K2131="对外销售",ROUND($Q2131,0)=0),"※外销却没有售价，请填实际售价",IF(AND($K2131="对外销售",$T2131&lt;&gt;"",$T2131&lt;0),"※这一笔外销是亏的，请核对售价",IF(IFERROR(VLOOKUP($D2131,库存台账!$A$5:$Y$1204,24,0),0)&lt;-0.001,"※这个物料账面已经变成负数了，查一下是不是漏记入库","")))))))))))</f>
        <v/>
      </c>
    </row>
    <row r="2132">
      <c r="A2132" s="24">
        <f>IF($D2132="","",COUNTA($D$4:$D2132))</f>
        <v/>
      </c>
      <c r="B2132" s="17" t="n"/>
      <c r="C2132" s="30" t="n"/>
      <c r="D2132" s="17" t="n"/>
      <c r="E2132" s="24">
        <f>IF($D2132="","",IFERROR(VLOOKUP($D2132,物料档案!$A$4:$P$1203,3,0),"※编码不在物料档案里"))</f>
        <v/>
      </c>
      <c r="F2132" s="24">
        <f>IF($D2132="","",IFERROR(VLOOKUP($D2132,物料档案!$A$4:$P$1203,4,0),"※编码不在物料档案里"))</f>
        <v/>
      </c>
      <c r="G2132" s="24">
        <f>IF($D2132="","",IFERROR(VLOOKUP($D2132,物料档案!$A$4:$P$1203,5,0),"※编码不在物料档案里"))</f>
        <v/>
      </c>
      <c r="H2132" s="24">
        <f>IF($D2132="","",IFERROR(VLOOKUP($D2132,物料档案!$A$4:$P$1203,2,0),"※编码不在物料档案里"))</f>
        <v/>
      </c>
      <c r="I2132" s="24">
        <f>IF($D2132="","",IFERROR(VLOOKUP($D2132,物料档案!$A$4:$P$1203,6,0),"※编码不在物料档案里"))</f>
        <v/>
      </c>
      <c r="J2132" s="23" t="n"/>
      <c r="K2132" s="17" t="n"/>
      <c r="L2132" s="17" t="n"/>
      <c r="M2132" s="17" t="n"/>
      <c r="N2132" s="17" t="n"/>
      <c r="O2132" s="26">
        <f>IF($D2132="","",IFERROR(VLOOKUP($D2132,物料档案!$A$4:$P$1203,10,0),0))</f>
        <v/>
      </c>
      <c r="P2132" s="32" t="n"/>
      <c r="Q2132" s="26">
        <f>IF($D2132="","",IF($K2132&lt;&gt;"对外销售",0,ROUND(N($J2132)*IF($P2132="",N($O2132),N($P2132)),0)))</f>
        <v/>
      </c>
      <c r="R2132" s="26">
        <f>IF($D2132="","",IFERROR(VLOOKUP($D2132,库存台账!$A$5:$Y$1204,11,0),0))</f>
        <v/>
      </c>
      <c r="S2132" s="26">
        <f>IF($D2132="","",ROUND(N($J2132)*N($R2132),0))</f>
        <v/>
      </c>
      <c r="T2132" s="26">
        <f>IF($D2132="","",IF($K2132&lt;&gt;"对外销售","",ROUND($Q2132-$S2132,0)))</f>
        <v/>
      </c>
      <c r="U2132" s="17" t="n"/>
      <c r="V2132" s="17" t="n"/>
      <c r="W2132" s="24">
        <f>IF($D2132="","",IF($E2132="※编码不在物料档案里","※物料编码不在档案里",IF(N($J2132)&lt;=0,"※出库数量要大于 0",IF($K2132="","※没填去向类型",IF($L2132="","※没填去向矿区",IF(AND($C2132&lt;&gt;"",$C2132&lt;=结账锁),"※日期早于已结账截止日，不能再录",IF(AND($K2132="自用消耗",COUNTIF({"一矿区";"二矿区"},$L2132)=0),"※自用消耗的去向只能是一矿区或二矿区",IF(AND($K2132="对外销售",COUNTIF({"三矿区";"六矿区"},$L2132)=0),"※对外销售的去向只能是三矿区或六矿区",IF(AND($K2132="对外销售",ROUND($Q2132,0)=0),"※外销却没有售价，请填实际售价",IF(AND($K2132="对外销售",$T2132&lt;&gt;"",$T2132&lt;0),"※这一笔外销是亏的，请核对售价",IF(IFERROR(VLOOKUP($D2132,库存台账!$A$5:$Y$1204,24,0),0)&lt;-0.001,"※这个物料账面已经变成负数了，查一下是不是漏记入库","")))))))))))</f>
        <v/>
      </c>
    </row>
    <row r="2133">
      <c r="A2133" s="24">
        <f>IF($D2133="","",COUNTA($D$4:$D2133))</f>
        <v/>
      </c>
      <c r="B2133" s="17" t="n"/>
      <c r="C2133" s="30" t="n"/>
      <c r="D2133" s="17" t="n"/>
      <c r="E2133" s="24">
        <f>IF($D2133="","",IFERROR(VLOOKUP($D2133,物料档案!$A$4:$P$1203,3,0),"※编码不在物料档案里"))</f>
        <v/>
      </c>
      <c r="F2133" s="24">
        <f>IF($D2133="","",IFERROR(VLOOKUP($D2133,物料档案!$A$4:$P$1203,4,0),"※编码不在物料档案里"))</f>
        <v/>
      </c>
      <c r="G2133" s="24">
        <f>IF($D2133="","",IFERROR(VLOOKUP($D2133,物料档案!$A$4:$P$1203,5,0),"※编码不在物料档案里"))</f>
        <v/>
      </c>
      <c r="H2133" s="24">
        <f>IF($D2133="","",IFERROR(VLOOKUP($D2133,物料档案!$A$4:$P$1203,2,0),"※编码不在物料档案里"))</f>
        <v/>
      </c>
      <c r="I2133" s="24">
        <f>IF($D2133="","",IFERROR(VLOOKUP($D2133,物料档案!$A$4:$P$1203,6,0),"※编码不在物料档案里"))</f>
        <v/>
      </c>
      <c r="J2133" s="23" t="n"/>
      <c r="K2133" s="17" t="n"/>
      <c r="L2133" s="17" t="n"/>
      <c r="M2133" s="17" t="n"/>
      <c r="N2133" s="17" t="n"/>
      <c r="O2133" s="26">
        <f>IF($D2133="","",IFERROR(VLOOKUP($D2133,物料档案!$A$4:$P$1203,10,0),0))</f>
        <v/>
      </c>
      <c r="P2133" s="32" t="n"/>
      <c r="Q2133" s="26">
        <f>IF($D2133="","",IF($K2133&lt;&gt;"对外销售",0,ROUND(N($J2133)*IF($P2133="",N($O2133),N($P2133)),0)))</f>
        <v/>
      </c>
      <c r="R2133" s="26">
        <f>IF($D2133="","",IFERROR(VLOOKUP($D2133,库存台账!$A$5:$Y$1204,11,0),0))</f>
        <v/>
      </c>
      <c r="S2133" s="26">
        <f>IF($D2133="","",ROUND(N($J2133)*N($R2133),0))</f>
        <v/>
      </c>
      <c r="T2133" s="26">
        <f>IF($D2133="","",IF($K2133&lt;&gt;"对外销售","",ROUND($Q2133-$S2133,0)))</f>
        <v/>
      </c>
      <c r="U2133" s="17" t="n"/>
      <c r="V2133" s="17" t="n"/>
      <c r="W2133" s="24">
        <f>IF($D2133="","",IF($E2133="※编码不在物料档案里","※物料编码不在档案里",IF(N($J2133)&lt;=0,"※出库数量要大于 0",IF($K2133="","※没填去向类型",IF($L2133="","※没填去向矿区",IF(AND($C2133&lt;&gt;"",$C2133&lt;=结账锁),"※日期早于已结账截止日，不能再录",IF(AND($K2133="自用消耗",COUNTIF({"一矿区";"二矿区"},$L2133)=0),"※自用消耗的去向只能是一矿区或二矿区",IF(AND($K2133="对外销售",COUNTIF({"三矿区";"六矿区"},$L2133)=0),"※对外销售的去向只能是三矿区或六矿区",IF(AND($K2133="对外销售",ROUND($Q2133,0)=0),"※外销却没有售价，请填实际售价",IF(AND($K2133="对外销售",$T2133&lt;&gt;"",$T2133&lt;0),"※这一笔外销是亏的，请核对售价",IF(IFERROR(VLOOKUP($D2133,库存台账!$A$5:$Y$1204,24,0),0)&lt;-0.001,"※这个物料账面已经变成负数了，查一下是不是漏记入库","")))))))))))</f>
        <v/>
      </c>
    </row>
    <row r="2134">
      <c r="A2134" s="24">
        <f>IF($D2134="","",COUNTA($D$4:$D2134))</f>
        <v/>
      </c>
      <c r="B2134" s="17" t="n"/>
      <c r="C2134" s="30" t="n"/>
      <c r="D2134" s="17" t="n"/>
      <c r="E2134" s="24">
        <f>IF($D2134="","",IFERROR(VLOOKUP($D2134,物料档案!$A$4:$P$1203,3,0),"※编码不在物料档案里"))</f>
        <v/>
      </c>
      <c r="F2134" s="24">
        <f>IF($D2134="","",IFERROR(VLOOKUP($D2134,物料档案!$A$4:$P$1203,4,0),"※编码不在物料档案里"))</f>
        <v/>
      </c>
      <c r="G2134" s="24">
        <f>IF($D2134="","",IFERROR(VLOOKUP($D2134,物料档案!$A$4:$P$1203,5,0),"※编码不在物料档案里"))</f>
        <v/>
      </c>
      <c r="H2134" s="24">
        <f>IF($D2134="","",IFERROR(VLOOKUP($D2134,物料档案!$A$4:$P$1203,2,0),"※编码不在物料档案里"))</f>
        <v/>
      </c>
      <c r="I2134" s="24">
        <f>IF($D2134="","",IFERROR(VLOOKUP($D2134,物料档案!$A$4:$P$1203,6,0),"※编码不在物料档案里"))</f>
        <v/>
      </c>
      <c r="J2134" s="23" t="n"/>
      <c r="K2134" s="17" t="n"/>
      <c r="L2134" s="17" t="n"/>
      <c r="M2134" s="17" t="n"/>
      <c r="N2134" s="17" t="n"/>
      <c r="O2134" s="26">
        <f>IF($D2134="","",IFERROR(VLOOKUP($D2134,物料档案!$A$4:$P$1203,10,0),0))</f>
        <v/>
      </c>
      <c r="P2134" s="32" t="n"/>
      <c r="Q2134" s="26">
        <f>IF($D2134="","",IF($K2134&lt;&gt;"对外销售",0,ROUND(N($J2134)*IF($P2134="",N($O2134),N($P2134)),0)))</f>
        <v/>
      </c>
      <c r="R2134" s="26">
        <f>IF($D2134="","",IFERROR(VLOOKUP($D2134,库存台账!$A$5:$Y$1204,11,0),0))</f>
        <v/>
      </c>
      <c r="S2134" s="26">
        <f>IF($D2134="","",ROUND(N($J2134)*N($R2134),0))</f>
        <v/>
      </c>
      <c r="T2134" s="26">
        <f>IF($D2134="","",IF($K2134&lt;&gt;"对外销售","",ROUND($Q2134-$S2134,0)))</f>
        <v/>
      </c>
      <c r="U2134" s="17" t="n"/>
      <c r="V2134" s="17" t="n"/>
      <c r="W2134" s="24">
        <f>IF($D2134="","",IF($E2134="※编码不在物料档案里","※物料编码不在档案里",IF(N($J2134)&lt;=0,"※出库数量要大于 0",IF($K2134="","※没填去向类型",IF($L2134="","※没填去向矿区",IF(AND($C2134&lt;&gt;"",$C2134&lt;=结账锁),"※日期早于已结账截止日，不能再录",IF(AND($K2134="自用消耗",COUNTIF({"一矿区";"二矿区"},$L2134)=0),"※自用消耗的去向只能是一矿区或二矿区",IF(AND($K2134="对外销售",COUNTIF({"三矿区";"六矿区"},$L2134)=0),"※对外销售的去向只能是三矿区或六矿区",IF(AND($K2134="对外销售",ROUND($Q2134,0)=0),"※外销却没有售价，请填实际售价",IF(AND($K2134="对外销售",$T2134&lt;&gt;"",$T2134&lt;0),"※这一笔外销是亏的，请核对售价",IF(IFERROR(VLOOKUP($D2134,库存台账!$A$5:$Y$1204,24,0),0)&lt;-0.001,"※这个物料账面已经变成负数了，查一下是不是漏记入库","")))))))))))</f>
        <v/>
      </c>
    </row>
    <row r="2135">
      <c r="A2135" s="24">
        <f>IF($D2135="","",COUNTA($D$4:$D2135))</f>
        <v/>
      </c>
      <c r="B2135" s="17" t="n"/>
      <c r="C2135" s="30" t="n"/>
      <c r="D2135" s="17" t="n"/>
      <c r="E2135" s="24">
        <f>IF($D2135="","",IFERROR(VLOOKUP($D2135,物料档案!$A$4:$P$1203,3,0),"※编码不在物料档案里"))</f>
        <v/>
      </c>
      <c r="F2135" s="24">
        <f>IF($D2135="","",IFERROR(VLOOKUP($D2135,物料档案!$A$4:$P$1203,4,0),"※编码不在物料档案里"))</f>
        <v/>
      </c>
      <c r="G2135" s="24">
        <f>IF($D2135="","",IFERROR(VLOOKUP($D2135,物料档案!$A$4:$P$1203,5,0),"※编码不在物料档案里"))</f>
        <v/>
      </c>
      <c r="H2135" s="24">
        <f>IF($D2135="","",IFERROR(VLOOKUP($D2135,物料档案!$A$4:$P$1203,2,0),"※编码不在物料档案里"))</f>
        <v/>
      </c>
      <c r="I2135" s="24">
        <f>IF($D2135="","",IFERROR(VLOOKUP($D2135,物料档案!$A$4:$P$1203,6,0),"※编码不在物料档案里"))</f>
        <v/>
      </c>
      <c r="J2135" s="23" t="n"/>
      <c r="K2135" s="17" t="n"/>
      <c r="L2135" s="17" t="n"/>
      <c r="M2135" s="17" t="n"/>
      <c r="N2135" s="17" t="n"/>
      <c r="O2135" s="26">
        <f>IF($D2135="","",IFERROR(VLOOKUP($D2135,物料档案!$A$4:$P$1203,10,0),0))</f>
        <v/>
      </c>
      <c r="P2135" s="32" t="n"/>
      <c r="Q2135" s="26">
        <f>IF($D2135="","",IF($K2135&lt;&gt;"对外销售",0,ROUND(N($J2135)*IF($P2135="",N($O2135),N($P2135)),0)))</f>
        <v/>
      </c>
      <c r="R2135" s="26">
        <f>IF($D2135="","",IFERROR(VLOOKUP($D2135,库存台账!$A$5:$Y$1204,11,0),0))</f>
        <v/>
      </c>
      <c r="S2135" s="26">
        <f>IF($D2135="","",ROUND(N($J2135)*N($R2135),0))</f>
        <v/>
      </c>
      <c r="T2135" s="26">
        <f>IF($D2135="","",IF($K2135&lt;&gt;"对外销售","",ROUND($Q2135-$S2135,0)))</f>
        <v/>
      </c>
      <c r="U2135" s="17" t="n"/>
      <c r="V2135" s="17" t="n"/>
      <c r="W2135" s="24">
        <f>IF($D2135="","",IF($E2135="※编码不在物料档案里","※物料编码不在档案里",IF(N($J2135)&lt;=0,"※出库数量要大于 0",IF($K2135="","※没填去向类型",IF($L2135="","※没填去向矿区",IF(AND($C2135&lt;&gt;"",$C2135&lt;=结账锁),"※日期早于已结账截止日，不能再录",IF(AND($K2135="自用消耗",COUNTIF({"一矿区";"二矿区"},$L2135)=0),"※自用消耗的去向只能是一矿区或二矿区",IF(AND($K2135="对外销售",COUNTIF({"三矿区";"六矿区"},$L2135)=0),"※对外销售的去向只能是三矿区或六矿区",IF(AND($K2135="对外销售",ROUND($Q2135,0)=0),"※外销却没有售价，请填实际售价",IF(AND($K2135="对外销售",$T2135&lt;&gt;"",$T2135&lt;0),"※这一笔外销是亏的，请核对售价",IF(IFERROR(VLOOKUP($D2135,库存台账!$A$5:$Y$1204,24,0),0)&lt;-0.001,"※这个物料账面已经变成负数了，查一下是不是漏记入库","")))))))))))</f>
        <v/>
      </c>
    </row>
    <row r="2136">
      <c r="A2136" s="24">
        <f>IF($D2136="","",COUNTA($D$4:$D2136))</f>
        <v/>
      </c>
      <c r="B2136" s="17" t="n"/>
      <c r="C2136" s="30" t="n"/>
      <c r="D2136" s="17" t="n"/>
      <c r="E2136" s="24">
        <f>IF($D2136="","",IFERROR(VLOOKUP($D2136,物料档案!$A$4:$P$1203,3,0),"※编码不在物料档案里"))</f>
        <v/>
      </c>
      <c r="F2136" s="24">
        <f>IF($D2136="","",IFERROR(VLOOKUP($D2136,物料档案!$A$4:$P$1203,4,0),"※编码不在物料档案里"))</f>
        <v/>
      </c>
      <c r="G2136" s="24">
        <f>IF($D2136="","",IFERROR(VLOOKUP($D2136,物料档案!$A$4:$P$1203,5,0),"※编码不在物料档案里"))</f>
        <v/>
      </c>
      <c r="H2136" s="24">
        <f>IF($D2136="","",IFERROR(VLOOKUP($D2136,物料档案!$A$4:$P$1203,2,0),"※编码不在物料档案里"))</f>
        <v/>
      </c>
      <c r="I2136" s="24">
        <f>IF($D2136="","",IFERROR(VLOOKUP($D2136,物料档案!$A$4:$P$1203,6,0),"※编码不在物料档案里"))</f>
        <v/>
      </c>
      <c r="J2136" s="23" t="n"/>
      <c r="K2136" s="17" t="n"/>
      <c r="L2136" s="17" t="n"/>
      <c r="M2136" s="17" t="n"/>
      <c r="N2136" s="17" t="n"/>
      <c r="O2136" s="26">
        <f>IF($D2136="","",IFERROR(VLOOKUP($D2136,物料档案!$A$4:$P$1203,10,0),0))</f>
        <v/>
      </c>
      <c r="P2136" s="32" t="n"/>
      <c r="Q2136" s="26">
        <f>IF($D2136="","",IF($K2136&lt;&gt;"对外销售",0,ROUND(N($J2136)*IF($P2136="",N($O2136),N($P2136)),0)))</f>
        <v/>
      </c>
      <c r="R2136" s="26">
        <f>IF($D2136="","",IFERROR(VLOOKUP($D2136,库存台账!$A$5:$Y$1204,11,0),0))</f>
        <v/>
      </c>
      <c r="S2136" s="26">
        <f>IF($D2136="","",ROUND(N($J2136)*N($R2136),0))</f>
        <v/>
      </c>
      <c r="T2136" s="26">
        <f>IF($D2136="","",IF($K2136&lt;&gt;"对外销售","",ROUND($Q2136-$S2136,0)))</f>
        <v/>
      </c>
      <c r="U2136" s="17" t="n"/>
      <c r="V2136" s="17" t="n"/>
      <c r="W2136" s="24">
        <f>IF($D2136="","",IF($E2136="※编码不在物料档案里","※物料编码不在档案里",IF(N($J2136)&lt;=0,"※出库数量要大于 0",IF($K2136="","※没填去向类型",IF($L2136="","※没填去向矿区",IF(AND($C2136&lt;&gt;"",$C2136&lt;=结账锁),"※日期早于已结账截止日，不能再录",IF(AND($K2136="自用消耗",COUNTIF({"一矿区";"二矿区"},$L2136)=0),"※自用消耗的去向只能是一矿区或二矿区",IF(AND($K2136="对外销售",COUNTIF({"三矿区";"六矿区"},$L2136)=0),"※对外销售的去向只能是三矿区或六矿区",IF(AND($K2136="对外销售",ROUND($Q2136,0)=0),"※外销却没有售价，请填实际售价",IF(AND($K2136="对外销售",$T2136&lt;&gt;"",$T2136&lt;0),"※这一笔外销是亏的，请核对售价",IF(IFERROR(VLOOKUP($D2136,库存台账!$A$5:$Y$1204,24,0),0)&lt;-0.001,"※这个物料账面已经变成负数了，查一下是不是漏记入库","")))))))))))</f>
        <v/>
      </c>
    </row>
    <row r="2137">
      <c r="A2137" s="24">
        <f>IF($D2137="","",COUNTA($D$4:$D2137))</f>
        <v/>
      </c>
      <c r="B2137" s="17" t="n"/>
      <c r="C2137" s="30" t="n"/>
      <c r="D2137" s="17" t="n"/>
      <c r="E2137" s="24">
        <f>IF($D2137="","",IFERROR(VLOOKUP($D2137,物料档案!$A$4:$P$1203,3,0),"※编码不在物料档案里"))</f>
        <v/>
      </c>
      <c r="F2137" s="24">
        <f>IF($D2137="","",IFERROR(VLOOKUP($D2137,物料档案!$A$4:$P$1203,4,0),"※编码不在物料档案里"))</f>
        <v/>
      </c>
      <c r="G2137" s="24">
        <f>IF($D2137="","",IFERROR(VLOOKUP($D2137,物料档案!$A$4:$P$1203,5,0),"※编码不在物料档案里"))</f>
        <v/>
      </c>
      <c r="H2137" s="24">
        <f>IF($D2137="","",IFERROR(VLOOKUP($D2137,物料档案!$A$4:$P$1203,2,0),"※编码不在物料档案里"))</f>
        <v/>
      </c>
      <c r="I2137" s="24">
        <f>IF($D2137="","",IFERROR(VLOOKUP($D2137,物料档案!$A$4:$P$1203,6,0),"※编码不在物料档案里"))</f>
        <v/>
      </c>
      <c r="J2137" s="23" t="n"/>
      <c r="K2137" s="17" t="n"/>
      <c r="L2137" s="17" t="n"/>
      <c r="M2137" s="17" t="n"/>
      <c r="N2137" s="17" t="n"/>
      <c r="O2137" s="26">
        <f>IF($D2137="","",IFERROR(VLOOKUP($D2137,物料档案!$A$4:$P$1203,10,0),0))</f>
        <v/>
      </c>
      <c r="P2137" s="32" t="n"/>
      <c r="Q2137" s="26">
        <f>IF($D2137="","",IF($K2137&lt;&gt;"对外销售",0,ROUND(N($J2137)*IF($P2137="",N($O2137),N($P2137)),0)))</f>
        <v/>
      </c>
      <c r="R2137" s="26">
        <f>IF($D2137="","",IFERROR(VLOOKUP($D2137,库存台账!$A$5:$Y$1204,11,0),0))</f>
        <v/>
      </c>
      <c r="S2137" s="26">
        <f>IF($D2137="","",ROUND(N($J2137)*N($R2137),0))</f>
        <v/>
      </c>
      <c r="T2137" s="26">
        <f>IF($D2137="","",IF($K2137&lt;&gt;"对外销售","",ROUND($Q2137-$S2137,0)))</f>
        <v/>
      </c>
      <c r="U2137" s="17" t="n"/>
      <c r="V2137" s="17" t="n"/>
      <c r="W2137" s="24">
        <f>IF($D2137="","",IF($E2137="※编码不在物料档案里","※物料编码不在档案里",IF(N($J2137)&lt;=0,"※出库数量要大于 0",IF($K2137="","※没填去向类型",IF($L2137="","※没填去向矿区",IF(AND($C2137&lt;&gt;"",$C2137&lt;=结账锁),"※日期早于已结账截止日，不能再录",IF(AND($K2137="自用消耗",COUNTIF({"一矿区";"二矿区"},$L2137)=0),"※自用消耗的去向只能是一矿区或二矿区",IF(AND($K2137="对外销售",COUNTIF({"三矿区";"六矿区"},$L2137)=0),"※对外销售的去向只能是三矿区或六矿区",IF(AND($K2137="对外销售",ROUND($Q2137,0)=0),"※外销却没有售价，请填实际售价",IF(AND($K2137="对外销售",$T2137&lt;&gt;"",$T2137&lt;0),"※这一笔外销是亏的，请核对售价",IF(IFERROR(VLOOKUP($D2137,库存台账!$A$5:$Y$1204,24,0),0)&lt;-0.001,"※这个物料账面已经变成负数了，查一下是不是漏记入库","")))))))))))</f>
        <v/>
      </c>
    </row>
    <row r="2138">
      <c r="A2138" s="24">
        <f>IF($D2138="","",COUNTA($D$4:$D2138))</f>
        <v/>
      </c>
      <c r="B2138" s="17" t="n"/>
      <c r="C2138" s="30" t="n"/>
      <c r="D2138" s="17" t="n"/>
      <c r="E2138" s="24">
        <f>IF($D2138="","",IFERROR(VLOOKUP($D2138,物料档案!$A$4:$P$1203,3,0),"※编码不在物料档案里"))</f>
        <v/>
      </c>
      <c r="F2138" s="24">
        <f>IF($D2138="","",IFERROR(VLOOKUP($D2138,物料档案!$A$4:$P$1203,4,0),"※编码不在物料档案里"))</f>
        <v/>
      </c>
      <c r="G2138" s="24">
        <f>IF($D2138="","",IFERROR(VLOOKUP($D2138,物料档案!$A$4:$P$1203,5,0),"※编码不在物料档案里"))</f>
        <v/>
      </c>
      <c r="H2138" s="24">
        <f>IF($D2138="","",IFERROR(VLOOKUP($D2138,物料档案!$A$4:$P$1203,2,0),"※编码不在物料档案里"))</f>
        <v/>
      </c>
      <c r="I2138" s="24">
        <f>IF($D2138="","",IFERROR(VLOOKUP($D2138,物料档案!$A$4:$P$1203,6,0),"※编码不在物料档案里"))</f>
        <v/>
      </c>
      <c r="J2138" s="23" t="n"/>
      <c r="K2138" s="17" t="n"/>
      <c r="L2138" s="17" t="n"/>
      <c r="M2138" s="17" t="n"/>
      <c r="N2138" s="17" t="n"/>
      <c r="O2138" s="26">
        <f>IF($D2138="","",IFERROR(VLOOKUP($D2138,物料档案!$A$4:$P$1203,10,0),0))</f>
        <v/>
      </c>
      <c r="P2138" s="32" t="n"/>
      <c r="Q2138" s="26">
        <f>IF($D2138="","",IF($K2138&lt;&gt;"对外销售",0,ROUND(N($J2138)*IF($P2138="",N($O2138),N($P2138)),0)))</f>
        <v/>
      </c>
      <c r="R2138" s="26">
        <f>IF($D2138="","",IFERROR(VLOOKUP($D2138,库存台账!$A$5:$Y$1204,11,0),0))</f>
        <v/>
      </c>
      <c r="S2138" s="26">
        <f>IF($D2138="","",ROUND(N($J2138)*N($R2138),0))</f>
        <v/>
      </c>
      <c r="T2138" s="26">
        <f>IF($D2138="","",IF($K2138&lt;&gt;"对外销售","",ROUND($Q2138-$S2138,0)))</f>
        <v/>
      </c>
      <c r="U2138" s="17" t="n"/>
      <c r="V2138" s="17" t="n"/>
      <c r="W2138" s="24">
        <f>IF($D2138="","",IF($E2138="※编码不在物料档案里","※物料编码不在档案里",IF(N($J2138)&lt;=0,"※出库数量要大于 0",IF($K2138="","※没填去向类型",IF($L2138="","※没填去向矿区",IF(AND($C2138&lt;&gt;"",$C2138&lt;=结账锁),"※日期早于已结账截止日，不能再录",IF(AND($K2138="自用消耗",COUNTIF({"一矿区";"二矿区"},$L2138)=0),"※自用消耗的去向只能是一矿区或二矿区",IF(AND($K2138="对外销售",COUNTIF({"三矿区";"六矿区"},$L2138)=0),"※对外销售的去向只能是三矿区或六矿区",IF(AND($K2138="对外销售",ROUND($Q2138,0)=0),"※外销却没有售价，请填实际售价",IF(AND($K2138="对外销售",$T2138&lt;&gt;"",$T2138&lt;0),"※这一笔外销是亏的，请核对售价",IF(IFERROR(VLOOKUP($D2138,库存台账!$A$5:$Y$1204,24,0),0)&lt;-0.001,"※这个物料账面已经变成负数了，查一下是不是漏记入库","")))))))))))</f>
        <v/>
      </c>
    </row>
    <row r="2139">
      <c r="A2139" s="24">
        <f>IF($D2139="","",COUNTA($D$4:$D2139))</f>
        <v/>
      </c>
      <c r="B2139" s="17" t="n"/>
      <c r="C2139" s="30" t="n"/>
      <c r="D2139" s="17" t="n"/>
      <c r="E2139" s="24">
        <f>IF($D2139="","",IFERROR(VLOOKUP($D2139,物料档案!$A$4:$P$1203,3,0),"※编码不在物料档案里"))</f>
        <v/>
      </c>
      <c r="F2139" s="24">
        <f>IF($D2139="","",IFERROR(VLOOKUP($D2139,物料档案!$A$4:$P$1203,4,0),"※编码不在物料档案里"))</f>
        <v/>
      </c>
      <c r="G2139" s="24">
        <f>IF($D2139="","",IFERROR(VLOOKUP($D2139,物料档案!$A$4:$P$1203,5,0),"※编码不在物料档案里"))</f>
        <v/>
      </c>
      <c r="H2139" s="24">
        <f>IF($D2139="","",IFERROR(VLOOKUP($D2139,物料档案!$A$4:$P$1203,2,0),"※编码不在物料档案里"))</f>
        <v/>
      </c>
      <c r="I2139" s="24">
        <f>IF($D2139="","",IFERROR(VLOOKUP($D2139,物料档案!$A$4:$P$1203,6,0),"※编码不在物料档案里"))</f>
        <v/>
      </c>
      <c r="J2139" s="23" t="n"/>
      <c r="K2139" s="17" t="n"/>
      <c r="L2139" s="17" t="n"/>
      <c r="M2139" s="17" t="n"/>
      <c r="N2139" s="17" t="n"/>
      <c r="O2139" s="26">
        <f>IF($D2139="","",IFERROR(VLOOKUP($D2139,物料档案!$A$4:$P$1203,10,0),0))</f>
        <v/>
      </c>
      <c r="P2139" s="32" t="n"/>
      <c r="Q2139" s="26">
        <f>IF($D2139="","",IF($K2139&lt;&gt;"对外销售",0,ROUND(N($J2139)*IF($P2139="",N($O2139),N($P2139)),0)))</f>
        <v/>
      </c>
      <c r="R2139" s="26">
        <f>IF($D2139="","",IFERROR(VLOOKUP($D2139,库存台账!$A$5:$Y$1204,11,0),0))</f>
        <v/>
      </c>
      <c r="S2139" s="26">
        <f>IF($D2139="","",ROUND(N($J2139)*N($R2139),0))</f>
        <v/>
      </c>
      <c r="T2139" s="26">
        <f>IF($D2139="","",IF($K2139&lt;&gt;"对外销售","",ROUND($Q2139-$S2139,0)))</f>
        <v/>
      </c>
      <c r="U2139" s="17" t="n"/>
      <c r="V2139" s="17" t="n"/>
      <c r="W2139" s="24">
        <f>IF($D2139="","",IF($E2139="※编码不在物料档案里","※物料编码不在档案里",IF(N($J2139)&lt;=0,"※出库数量要大于 0",IF($K2139="","※没填去向类型",IF($L2139="","※没填去向矿区",IF(AND($C2139&lt;&gt;"",$C2139&lt;=结账锁),"※日期早于已结账截止日，不能再录",IF(AND($K2139="自用消耗",COUNTIF({"一矿区";"二矿区"},$L2139)=0),"※自用消耗的去向只能是一矿区或二矿区",IF(AND($K2139="对外销售",COUNTIF({"三矿区";"六矿区"},$L2139)=0),"※对外销售的去向只能是三矿区或六矿区",IF(AND($K2139="对外销售",ROUND($Q2139,0)=0),"※外销却没有售价，请填实际售价",IF(AND($K2139="对外销售",$T2139&lt;&gt;"",$T2139&lt;0),"※这一笔外销是亏的，请核对售价",IF(IFERROR(VLOOKUP($D2139,库存台账!$A$5:$Y$1204,24,0),0)&lt;-0.001,"※这个物料账面已经变成负数了，查一下是不是漏记入库","")))))))))))</f>
        <v/>
      </c>
    </row>
    <row r="2140">
      <c r="A2140" s="24">
        <f>IF($D2140="","",COUNTA($D$4:$D2140))</f>
        <v/>
      </c>
      <c r="B2140" s="17" t="n"/>
      <c r="C2140" s="30" t="n"/>
      <c r="D2140" s="17" t="n"/>
      <c r="E2140" s="24">
        <f>IF($D2140="","",IFERROR(VLOOKUP($D2140,物料档案!$A$4:$P$1203,3,0),"※编码不在物料档案里"))</f>
        <v/>
      </c>
      <c r="F2140" s="24">
        <f>IF($D2140="","",IFERROR(VLOOKUP($D2140,物料档案!$A$4:$P$1203,4,0),"※编码不在物料档案里"))</f>
        <v/>
      </c>
      <c r="G2140" s="24">
        <f>IF($D2140="","",IFERROR(VLOOKUP($D2140,物料档案!$A$4:$P$1203,5,0),"※编码不在物料档案里"))</f>
        <v/>
      </c>
      <c r="H2140" s="24">
        <f>IF($D2140="","",IFERROR(VLOOKUP($D2140,物料档案!$A$4:$P$1203,2,0),"※编码不在物料档案里"))</f>
        <v/>
      </c>
      <c r="I2140" s="24">
        <f>IF($D2140="","",IFERROR(VLOOKUP($D2140,物料档案!$A$4:$P$1203,6,0),"※编码不在物料档案里"))</f>
        <v/>
      </c>
      <c r="J2140" s="23" t="n"/>
      <c r="K2140" s="17" t="n"/>
      <c r="L2140" s="17" t="n"/>
      <c r="M2140" s="17" t="n"/>
      <c r="N2140" s="17" t="n"/>
      <c r="O2140" s="26">
        <f>IF($D2140="","",IFERROR(VLOOKUP($D2140,物料档案!$A$4:$P$1203,10,0),0))</f>
        <v/>
      </c>
      <c r="P2140" s="32" t="n"/>
      <c r="Q2140" s="26">
        <f>IF($D2140="","",IF($K2140&lt;&gt;"对外销售",0,ROUND(N($J2140)*IF($P2140="",N($O2140),N($P2140)),0)))</f>
        <v/>
      </c>
      <c r="R2140" s="26">
        <f>IF($D2140="","",IFERROR(VLOOKUP($D2140,库存台账!$A$5:$Y$1204,11,0),0))</f>
        <v/>
      </c>
      <c r="S2140" s="26">
        <f>IF($D2140="","",ROUND(N($J2140)*N($R2140),0))</f>
        <v/>
      </c>
      <c r="T2140" s="26">
        <f>IF($D2140="","",IF($K2140&lt;&gt;"对外销售","",ROUND($Q2140-$S2140,0)))</f>
        <v/>
      </c>
      <c r="U2140" s="17" t="n"/>
      <c r="V2140" s="17" t="n"/>
      <c r="W2140" s="24">
        <f>IF($D2140="","",IF($E2140="※编码不在物料档案里","※物料编码不在档案里",IF(N($J2140)&lt;=0,"※出库数量要大于 0",IF($K2140="","※没填去向类型",IF($L2140="","※没填去向矿区",IF(AND($C2140&lt;&gt;"",$C2140&lt;=结账锁),"※日期早于已结账截止日，不能再录",IF(AND($K2140="自用消耗",COUNTIF({"一矿区";"二矿区"},$L2140)=0),"※自用消耗的去向只能是一矿区或二矿区",IF(AND($K2140="对外销售",COUNTIF({"三矿区";"六矿区"},$L2140)=0),"※对外销售的去向只能是三矿区或六矿区",IF(AND($K2140="对外销售",ROUND($Q2140,0)=0),"※外销却没有售价，请填实际售价",IF(AND($K2140="对外销售",$T2140&lt;&gt;"",$T2140&lt;0),"※这一笔外销是亏的，请核对售价",IF(IFERROR(VLOOKUP($D2140,库存台账!$A$5:$Y$1204,24,0),0)&lt;-0.001,"※这个物料账面已经变成负数了，查一下是不是漏记入库","")))))))))))</f>
        <v/>
      </c>
    </row>
    <row r="2141">
      <c r="A2141" s="24">
        <f>IF($D2141="","",COUNTA($D$4:$D2141))</f>
        <v/>
      </c>
      <c r="B2141" s="17" t="n"/>
      <c r="C2141" s="30" t="n"/>
      <c r="D2141" s="17" t="n"/>
      <c r="E2141" s="24">
        <f>IF($D2141="","",IFERROR(VLOOKUP($D2141,物料档案!$A$4:$P$1203,3,0),"※编码不在物料档案里"))</f>
        <v/>
      </c>
      <c r="F2141" s="24">
        <f>IF($D2141="","",IFERROR(VLOOKUP($D2141,物料档案!$A$4:$P$1203,4,0),"※编码不在物料档案里"))</f>
        <v/>
      </c>
      <c r="G2141" s="24">
        <f>IF($D2141="","",IFERROR(VLOOKUP($D2141,物料档案!$A$4:$P$1203,5,0),"※编码不在物料档案里"))</f>
        <v/>
      </c>
      <c r="H2141" s="24">
        <f>IF($D2141="","",IFERROR(VLOOKUP($D2141,物料档案!$A$4:$P$1203,2,0),"※编码不在物料档案里"))</f>
        <v/>
      </c>
      <c r="I2141" s="24">
        <f>IF($D2141="","",IFERROR(VLOOKUP($D2141,物料档案!$A$4:$P$1203,6,0),"※编码不在物料档案里"))</f>
        <v/>
      </c>
      <c r="J2141" s="23" t="n"/>
      <c r="K2141" s="17" t="n"/>
      <c r="L2141" s="17" t="n"/>
      <c r="M2141" s="17" t="n"/>
      <c r="N2141" s="17" t="n"/>
      <c r="O2141" s="26">
        <f>IF($D2141="","",IFERROR(VLOOKUP($D2141,物料档案!$A$4:$P$1203,10,0),0))</f>
        <v/>
      </c>
      <c r="P2141" s="32" t="n"/>
      <c r="Q2141" s="26">
        <f>IF($D2141="","",IF($K2141&lt;&gt;"对外销售",0,ROUND(N($J2141)*IF($P2141="",N($O2141),N($P2141)),0)))</f>
        <v/>
      </c>
      <c r="R2141" s="26">
        <f>IF($D2141="","",IFERROR(VLOOKUP($D2141,库存台账!$A$5:$Y$1204,11,0),0))</f>
        <v/>
      </c>
      <c r="S2141" s="26">
        <f>IF($D2141="","",ROUND(N($J2141)*N($R2141),0))</f>
        <v/>
      </c>
      <c r="T2141" s="26">
        <f>IF($D2141="","",IF($K2141&lt;&gt;"对外销售","",ROUND($Q2141-$S2141,0)))</f>
        <v/>
      </c>
      <c r="U2141" s="17" t="n"/>
      <c r="V2141" s="17" t="n"/>
      <c r="W2141" s="24">
        <f>IF($D2141="","",IF($E2141="※编码不在物料档案里","※物料编码不在档案里",IF(N($J2141)&lt;=0,"※出库数量要大于 0",IF($K2141="","※没填去向类型",IF($L2141="","※没填去向矿区",IF(AND($C2141&lt;&gt;"",$C2141&lt;=结账锁),"※日期早于已结账截止日，不能再录",IF(AND($K2141="自用消耗",COUNTIF({"一矿区";"二矿区"},$L2141)=0),"※自用消耗的去向只能是一矿区或二矿区",IF(AND($K2141="对外销售",COUNTIF({"三矿区";"六矿区"},$L2141)=0),"※对外销售的去向只能是三矿区或六矿区",IF(AND($K2141="对外销售",ROUND($Q2141,0)=0),"※外销却没有售价，请填实际售价",IF(AND($K2141="对外销售",$T2141&lt;&gt;"",$T2141&lt;0),"※这一笔外销是亏的，请核对售价",IF(IFERROR(VLOOKUP($D2141,库存台账!$A$5:$Y$1204,24,0),0)&lt;-0.001,"※这个物料账面已经变成负数了，查一下是不是漏记入库","")))))))))))</f>
        <v/>
      </c>
    </row>
    <row r="2142">
      <c r="A2142" s="24">
        <f>IF($D2142="","",COUNTA($D$4:$D2142))</f>
        <v/>
      </c>
      <c r="B2142" s="17" t="n"/>
      <c r="C2142" s="30" t="n"/>
      <c r="D2142" s="17" t="n"/>
      <c r="E2142" s="24">
        <f>IF($D2142="","",IFERROR(VLOOKUP($D2142,物料档案!$A$4:$P$1203,3,0),"※编码不在物料档案里"))</f>
        <v/>
      </c>
      <c r="F2142" s="24">
        <f>IF($D2142="","",IFERROR(VLOOKUP($D2142,物料档案!$A$4:$P$1203,4,0),"※编码不在物料档案里"))</f>
        <v/>
      </c>
      <c r="G2142" s="24">
        <f>IF($D2142="","",IFERROR(VLOOKUP($D2142,物料档案!$A$4:$P$1203,5,0),"※编码不在物料档案里"))</f>
        <v/>
      </c>
      <c r="H2142" s="24">
        <f>IF($D2142="","",IFERROR(VLOOKUP($D2142,物料档案!$A$4:$P$1203,2,0),"※编码不在物料档案里"))</f>
        <v/>
      </c>
      <c r="I2142" s="24">
        <f>IF($D2142="","",IFERROR(VLOOKUP($D2142,物料档案!$A$4:$P$1203,6,0),"※编码不在物料档案里"))</f>
        <v/>
      </c>
      <c r="J2142" s="23" t="n"/>
      <c r="K2142" s="17" t="n"/>
      <c r="L2142" s="17" t="n"/>
      <c r="M2142" s="17" t="n"/>
      <c r="N2142" s="17" t="n"/>
      <c r="O2142" s="26">
        <f>IF($D2142="","",IFERROR(VLOOKUP($D2142,物料档案!$A$4:$P$1203,10,0),0))</f>
        <v/>
      </c>
      <c r="P2142" s="32" t="n"/>
      <c r="Q2142" s="26">
        <f>IF($D2142="","",IF($K2142&lt;&gt;"对外销售",0,ROUND(N($J2142)*IF($P2142="",N($O2142),N($P2142)),0)))</f>
        <v/>
      </c>
      <c r="R2142" s="26">
        <f>IF($D2142="","",IFERROR(VLOOKUP($D2142,库存台账!$A$5:$Y$1204,11,0),0))</f>
        <v/>
      </c>
      <c r="S2142" s="26">
        <f>IF($D2142="","",ROUND(N($J2142)*N($R2142),0))</f>
        <v/>
      </c>
      <c r="T2142" s="26">
        <f>IF($D2142="","",IF($K2142&lt;&gt;"对外销售","",ROUND($Q2142-$S2142,0)))</f>
        <v/>
      </c>
      <c r="U2142" s="17" t="n"/>
      <c r="V2142" s="17" t="n"/>
      <c r="W2142" s="24">
        <f>IF($D2142="","",IF($E2142="※编码不在物料档案里","※物料编码不在档案里",IF(N($J2142)&lt;=0,"※出库数量要大于 0",IF($K2142="","※没填去向类型",IF($L2142="","※没填去向矿区",IF(AND($C2142&lt;&gt;"",$C2142&lt;=结账锁),"※日期早于已结账截止日，不能再录",IF(AND($K2142="自用消耗",COUNTIF({"一矿区";"二矿区"},$L2142)=0),"※自用消耗的去向只能是一矿区或二矿区",IF(AND($K2142="对外销售",COUNTIF({"三矿区";"六矿区"},$L2142)=0),"※对外销售的去向只能是三矿区或六矿区",IF(AND($K2142="对外销售",ROUND($Q2142,0)=0),"※外销却没有售价，请填实际售价",IF(AND($K2142="对外销售",$T2142&lt;&gt;"",$T2142&lt;0),"※这一笔外销是亏的，请核对售价",IF(IFERROR(VLOOKUP($D2142,库存台账!$A$5:$Y$1204,24,0),0)&lt;-0.001,"※这个物料账面已经变成负数了，查一下是不是漏记入库","")))))))))))</f>
        <v/>
      </c>
    </row>
    <row r="2143">
      <c r="A2143" s="24">
        <f>IF($D2143="","",COUNTA($D$4:$D2143))</f>
        <v/>
      </c>
      <c r="B2143" s="17" t="n"/>
      <c r="C2143" s="30" t="n"/>
      <c r="D2143" s="17" t="n"/>
      <c r="E2143" s="24">
        <f>IF($D2143="","",IFERROR(VLOOKUP($D2143,物料档案!$A$4:$P$1203,3,0),"※编码不在物料档案里"))</f>
        <v/>
      </c>
      <c r="F2143" s="24">
        <f>IF($D2143="","",IFERROR(VLOOKUP($D2143,物料档案!$A$4:$P$1203,4,0),"※编码不在物料档案里"))</f>
        <v/>
      </c>
      <c r="G2143" s="24">
        <f>IF($D2143="","",IFERROR(VLOOKUP($D2143,物料档案!$A$4:$P$1203,5,0),"※编码不在物料档案里"))</f>
        <v/>
      </c>
      <c r="H2143" s="24">
        <f>IF($D2143="","",IFERROR(VLOOKUP($D2143,物料档案!$A$4:$P$1203,2,0),"※编码不在物料档案里"))</f>
        <v/>
      </c>
      <c r="I2143" s="24">
        <f>IF($D2143="","",IFERROR(VLOOKUP($D2143,物料档案!$A$4:$P$1203,6,0),"※编码不在物料档案里"))</f>
        <v/>
      </c>
      <c r="J2143" s="23" t="n"/>
      <c r="K2143" s="17" t="n"/>
      <c r="L2143" s="17" t="n"/>
      <c r="M2143" s="17" t="n"/>
      <c r="N2143" s="17" t="n"/>
      <c r="O2143" s="26">
        <f>IF($D2143="","",IFERROR(VLOOKUP($D2143,物料档案!$A$4:$P$1203,10,0),0))</f>
        <v/>
      </c>
      <c r="P2143" s="32" t="n"/>
      <c r="Q2143" s="26">
        <f>IF($D2143="","",IF($K2143&lt;&gt;"对外销售",0,ROUND(N($J2143)*IF($P2143="",N($O2143),N($P2143)),0)))</f>
        <v/>
      </c>
      <c r="R2143" s="26">
        <f>IF($D2143="","",IFERROR(VLOOKUP($D2143,库存台账!$A$5:$Y$1204,11,0),0))</f>
        <v/>
      </c>
      <c r="S2143" s="26">
        <f>IF($D2143="","",ROUND(N($J2143)*N($R2143),0))</f>
        <v/>
      </c>
      <c r="T2143" s="26">
        <f>IF($D2143="","",IF($K2143&lt;&gt;"对外销售","",ROUND($Q2143-$S2143,0)))</f>
        <v/>
      </c>
      <c r="U2143" s="17" t="n"/>
      <c r="V2143" s="17" t="n"/>
      <c r="W2143" s="24">
        <f>IF($D2143="","",IF($E2143="※编码不在物料档案里","※物料编码不在档案里",IF(N($J2143)&lt;=0,"※出库数量要大于 0",IF($K2143="","※没填去向类型",IF($L2143="","※没填去向矿区",IF(AND($C2143&lt;&gt;"",$C2143&lt;=结账锁),"※日期早于已结账截止日，不能再录",IF(AND($K2143="自用消耗",COUNTIF({"一矿区";"二矿区"},$L2143)=0),"※自用消耗的去向只能是一矿区或二矿区",IF(AND($K2143="对外销售",COUNTIF({"三矿区";"六矿区"},$L2143)=0),"※对外销售的去向只能是三矿区或六矿区",IF(AND($K2143="对外销售",ROUND($Q2143,0)=0),"※外销却没有售价，请填实际售价",IF(AND($K2143="对外销售",$T2143&lt;&gt;"",$T2143&lt;0),"※这一笔外销是亏的，请核对售价",IF(IFERROR(VLOOKUP($D2143,库存台账!$A$5:$Y$1204,24,0),0)&lt;-0.001,"※这个物料账面已经变成负数了，查一下是不是漏记入库","")))))))))))</f>
        <v/>
      </c>
    </row>
    <row r="2144">
      <c r="A2144" s="24">
        <f>IF($D2144="","",COUNTA($D$4:$D2144))</f>
        <v/>
      </c>
      <c r="B2144" s="17" t="n"/>
      <c r="C2144" s="30" t="n"/>
      <c r="D2144" s="17" t="n"/>
      <c r="E2144" s="24">
        <f>IF($D2144="","",IFERROR(VLOOKUP($D2144,物料档案!$A$4:$P$1203,3,0),"※编码不在物料档案里"))</f>
        <v/>
      </c>
      <c r="F2144" s="24">
        <f>IF($D2144="","",IFERROR(VLOOKUP($D2144,物料档案!$A$4:$P$1203,4,0),"※编码不在物料档案里"))</f>
        <v/>
      </c>
      <c r="G2144" s="24">
        <f>IF($D2144="","",IFERROR(VLOOKUP($D2144,物料档案!$A$4:$P$1203,5,0),"※编码不在物料档案里"))</f>
        <v/>
      </c>
      <c r="H2144" s="24">
        <f>IF($D2144="","",IFERROR(VLOOKUP($D2144,物料档案!$A$4:$P$1203,2,0),"※编码不在物料档案里"))</f>
        <v/>
      </c>
      <c r="I2144" s="24">
        <f>IF($D2144="","",IFERROR(VLOOKUP($D2144,物料档案!$A$4:$P$1203,6,0),"※编码不在物料档案里"))</f>
        <v/>
      </c>
      <c r="J2144" s="23" t="n"/>
      <c r="K2144" s="17" t="n"/>
      <c r="L2144" s="17" t="n"/>
      <c r="M2144" s="17" t="n"/>
      <c r="N2144" s="17" t="n"/>
      <c r="O2144" s="26">
        <f>IF($D2144="","",IFERROR(VLOOKUP($D2144,物料档案!$A$4:$P$1203,10,0),0))</f>
        <v/>
      </c>
      <c r="P2144" s="32" t="n"/>
      <c r="Q2144" s="26">
        <f>IF($D2144="","",IF($K2144&lt;&gt;"对外销售",0,ROUND(N($J2144)*IF($P2144="",N($O2144),N($P2144)),0)))</f>
        <v/>
      </c>
      <c r="R2144" s="26">
        <f>IF($D2144="","",IFERROR(VLOOKUP($D2144,库存台账!$A$5:$Y$1204,11,0),0))</f>
        <v/>
      </c>
      <c r="S2144" s="26">
        <f>IF($D2144="","",ROUND(N($J2144)*N($R2144),0))</f>
        <v/>
      </c>
      <c r="T2144" s="26">
        <f>IF($D2144="","",IF($K2144&lt;&gt;"对外销售","",ROUND($Q2144-$S2144,0)))</f>
        <v/>
      </c>
      <c r="U2144" s="17" t="n"/>
      <c r="V2144" s="17" t="n"/>
      <c r="W2144" s="24">
        <f>IF($D2144="","",IF($E2144="※编码不在物料档案里","※物料编码不在档案里",IF(N($J2144)&lt;=0,"※出库数量要大于 0",IF($K2144="","※没填去向类型",IF($L2144="","※没填去向矿区",IF(AND($C2144&lt;&gt;"",$C2144&lt;=结账锁),"※日期早于已结账截止日，不能再录",IF(AND($K2144="自用消耗",COUNTIF({"一矿区";"二矿区"},$L2144)=0),"※自用消耗的去向只能是一矿区或二矿区",IF(AND($K2144="对外销售",COUNTIF({"三矿区";"六矿区"},$L2144)=0),"※对外销售的去向只能是三矿区或六矿区",IF(AND($K2144="对外销售",ROUND($Q2144,0)=0),"※外销却没有售价，请填实际售价",IF(AND($K2144="对外销售",$T2144&lt;&gt;"",$T2144&lt;0),"※这一笔外销是亏的，请核对售价",IF(IFERROR(VLOOKUP($D2144,库存台账!$A$5:$Y$1204,24,0),0)&lt;-0.001,"※这个物料账面已经变成负数了，查一下是不是漏记入库","")))))))))))</f>
        <v/>
      </c>
    </row>
    <row r="2145">
      <c r="A2145" s="24">
        <f>IF($D2145="","",COUNTA($D$4:$D2145))</f>
        <v/>
      </c>
      <c r="B2145" s="17" t="n"/>
      <c r="C2145" s="30" t="n"/>
      <c r="D2145" s="17" t="n"/>
      <c r="E2145" s="24">
        <f>IF($D2145="","",IFERROR(VLOOKUP($D2145,物料档案!$A$4:$P$1203,3,0),"※编码不在物料档案里"))</f>
        <v/>
      </c>
      <c r="F2145" s="24">
        <f>IF($D2145="","",IFERROR(VLOOKUP($D2145,物料档案!$A$4:$P$1203,4,0),"※编码不在物料档案里"))</f>
        <v/>
      </c>
      <c r="G2145" s="24">
        <f>IF($D2145="","",IFERROR(VLOOKUP($D2145,物料档案!$A$4:$P$1203,5,0),"※编码不在物料档案里"))</f>
        <v/>
      </c>
      <c r="H2145" s="24">
        <f>IF($D2145="","",IFERROR(VLOOKUP($D2145,物料档案!$A$4:$P$1203,2,0),"※编码不在物料档案里"))</f>
        <v/>
      </c>
      <c r="I2145" s="24">
        <f>IF($D2145="","",IFERROR(VLOOKUP($D2145,物料档案!$A$4:$P$1203,6,0),"※编码不在物料档案里"))</f>
        <v/>
      </c>
      <c r="J2145" s="23" t="n"/>
      <c r="K2145" s="17" t="n"/>
      <c r="L2145" s="17" t="n"/>
      <c r="M2145" s="17" t="n"/>
      <c r="N2145" s="17" t="n"/>
      <c r="O2145" s="26">
        <f>IF($D2145="","",IFERROR(VLOOKUP($D2145,物料档案!$A$4:$P$1203,10,0),0))</f>
        <v/>
      </c>
      <c r="P2145" s="32" t="n"/>
      <c r="Q2145" s="26">
        <f>IF($D2145="","",IF($K2145&lt;&gt;"对外销售",0,ROUND(N($J2145)*IF($P2145="",N($O2145),N($P2145)),0)))</f>
        <v/>
      </c>
      <c r="R2145" s="26">
        <f>IF($D2145="","",IFERROR(VLOOKUP($D2145,库存台账!$A$5:$Y$1204,11,0),0))</f>
        <v/>
      </c>
      <c r="S2145" s="26">
        <f>IF($D2145="","",ROUND(N($J2145)*N($R2145),0))</f>
        <v/>
      </c>
      <c r="T2145" s="26">
        <f>IF($D2145="","",IF($K2145&lt;&gt;"对外销售","",ROUND($Q2145-$S2145,0)))</f>
        <v/>
      </c>
      <c r="U2145" s="17" t="n"/>
      <c r="V2145" s="17" t="n"/>
      <c r="W2145" s="24">
        <f>IF($D2145="","",IF($E2145="※编码不在物料档案里","※物料编码不在档案里",IF(N($J2145)&lt;=0,"※出库数量要大于 0",IF($K2145="","※没填去向类型",IF($L2145="","※没填去向矿区",IF(AND($C2145&lt;&gt;"",$C2145&lt;=结账锁),"※日期早于已结账截止日，不能再录",IF(AND($K2145="自用消耗",COUNTIF({"一矿区";"二矿区"},$L2145)=0),"※自用消耗的去向只能是一矿区或二矿区",IF(AND($K2145="对外销售",COUNTIF({"三矿区";"六矿区"},$L2145)=0),"※对外销售的去向只能是三矿区或六矿区",IF(AND($K2145="对外销售",ROUND($Q2145,0)=0),"※外销却没有售价，请填实际售价",IF(AND($K2145="对外销售",$T2145&lt;&gt;"",$T2145&lt;0),"※这一笔外销是亏的，请核对售价",IF(IFERROR(VLOOKUP($D2145,库存台账!$A$5:$Y$1204,24,0),0)&lt;-0.001,"※这个物料账面已经变成负数了，查一下是不是漏记入库","")))))))))))</f>
        <v/>
      </c>
    </row>
    <row r="2146">
      <c r="A2146" s="24">
        <f>IF($D2146="","",COUNTA($D$4:$D2146))</f>
        <v/>
      </c>
      <c r="B2146" s="17" t="n"/>
      <c r="C2146" s="30" t="n"/>
      <c r="D2146" s="17" t="n"/>
      <c r="E2146" s="24">
        <f>IF($D2146="","",IFERROR(VLOOKUP($D2146,物料档案!$A$4:$P$1203,3,0),"※编码不在物料档案里"))</f>
        <v/>
      </c>
      <c r="F2146" s="24">
        <f>IF($D2146="","",IFERROR(VLOOKUP($D2146,物料档案!$A$4:$P$1203,4,0),"※编码不在物料档案里"))</f>
        <v/>
      </c>
      <c r="G2146" s="24">
        <f>IF($D2146="","",IFERROR(VLOOKUP($D2146,物料档案!$A$4:$P$1203,5,0),"※编码不在物料档案里"))</f>
        <v/>
      </c>
      <c r="H2146" s="24">
        <f>IF($D2146="","",IFERROR(VLOOKUP($D2146,物料档案!$A$4:$P$1203,2,0),"※编码不在物料档案里"))</f>
        <v/>
      </c>
      <c r="I2146" s="24">
        <f>IF($D2146="","",IFERROR(VLOOKUP($D2146,物料档案!$A$4:$P$1203,6,0),"※编码不在物料档案里"))</f>
        <v/>
      </c>
      <c r="J2146" s="23" t="n"/>
      <c r="K2146" s="17" t="n"/>
      <c r="L2146" s="17" t="n"/>
      <c r="M2146" s="17" t="n"/>
      <c r="N2146" s="17" t="n"/>
      <c r="O2146" s="26">
        <f>IF($D2146="","",IFERROR(VLOOKUP($D2146,物料档案!$A$4:$P$1203,10,0),0))</f>
        <v/>
      </c>
      <c r="P2146" s="32" t="n"/>
      <c r="Q2146" s="26">
        <f>IF($D2146="","",IF($K2146&lt;&gt;"对外销售",0,ROUND(N($J2146)*IF($P2146="",N($O2146),N($P2146)),0)))</f>
        <v/>
      </c>
      <c r="R2146" s="26">
        <f>IF($D2146="","",IFERROR(VLOOKUP($D2146,库存台账!$A$5:$Y$1204,11,0),0))</f>
        <v/>
      </c>
      <c r="S2146" s="26">
        <f>IF($D2146="","",ROUND(N($J2146)*N($R2146),0))</f>
        <v/>
      </c>
      <c r="T2146" s="26">
        <f>IF($D2146="","",IF($K2146&lt;&gt;"对外销售","",ROUND($Q2146-$S2146,0)))</f>
        <v/>
      </c>
      <c r="U2146" s="17" t="n"/>
      <c r="V2146" s="17" t="n"/>
      <c r="W2146" s="24">
        <f>IF($D2146="","",IF($E2146="※编码不在物料档案里","※物料编码不在档案里",IF(N($J2146)&lt;=0,"※出库数量要大于 0",IF($K2146="","※没填去向类型",IF($L2146="","※没填去向矿区",IF(AND($C2146&lt;&gt;"",$C2146&lt;=结账锁),"※日期早于已结账截止日，不能再录",IF(AND($K2146="自用消耗",COUNTIF({"一矿区";"二矿区"},$L2146)=0),"※自用消耗的去向只能是一矿区或二矿区",IF(AND($K2146="对外销售",COUNTIF({"三矿区";"六矿区"},$L2146)=0),"※对外销售的去向只能是三矿区或六矿区",IF(AND($K2146="对外销售",ROUND($Q2146,0)=0),"※外销却没有售价，请填实际售价",IF(AND($K2146="对外销售",$T2146&lt;&gt;"",$T2146&lt;0),"※这一笔外销是亏的，请核对售价",IF(IFERROR(VLOOKUP($D2146,库存台账!$A$5:$Y$1204,24,0),0)&lt;-0.001,"※这个物料账面已经变成负数了，查一下是不是漏记入库","")))))))))))</f>
        <v/>
      </c>
    </row>
    <row r="2147">
      <c r="A2147" s="24">
        <f>IF($D2147="","",COUNTA($D$4:$D2147))</f>
        <v/>
      </c>
      <c r="B2147" s="17" t="n"/>
      <c r="C2147" s="30" t="n"/>
      <c r="D2147" s="17" t="n"/>
      <c r="E2147" s="24">
        <f>IF($D2147="","",IFERROR(VLOOKUP($D2147,物料档案!$A$4:$P$1203,3,0),"※编码不在物料档案里"))</f>
        <v/>
      </c>
      <c r="F2147" s="24">
        <f>IF($D2147="","",IFERROR(VLOOKUP($D2147,物料档案!$A$4:$P$1203,4,0),"※编码不在物料档案里"))</f>
        <v/>
      </c>
      <c r="G2147" s="24">
        <f>IF($D2147="","",IFERROR(VLOOKUP($D2147,物料档案!$A$4:$P$1203,5,0),"※编码不在物料档案里"))</f>
        <v/>
      </c>
      <c r="H2147" s="24">
        <f>IF($D2147="","",IFERROR(VLOOKUP($D2147,物料档案!$A$4:$P$1203,2,0),"※编码不在物料档案里"))</f>
        <v/>
      </c>
      <c r="I2147" s="24">
        <f>IF($D2147="","",IFERROR(VLOOKUP($D2147,物料档案!$A$4:$P$1203,6,0),"※编码不在物料档案里"))</f>
        <v/>
      </c>
      <c r="J2147" s="23" t="n"/>
      <c r="K2147" s="17" t="n"/>
      <c r="L2147" s="17" t="n"/>
      <c r="M2147" s="17" t="n"/>
      <c r="N2147" s="17" t="n"/>
      <c r="O2147" s="26">
        <f>IF($D2147="","",IFERROR(VLOOKUP($D2147,物料档案!$A$4:$P$1203,10,0),0))</f>
        <v/>
      </c>
      <c r="P2147" s="32" t="n"/>
      <c r="Q2147" s="26">
        <f>IF($D2147="","",IF($K2147&lt;&gt;"对外销售",0,ROUND(N($J2147)*IF($P2147="",N($O2147),N($P2147)),0)))</f>
        <v/>
      </c>
      <c r="R2147" s="26">
        <f>IF($D2147="","",IFERROR(VLOOKUP($D2147,库存台账!$A$5:$Y$1204,11,0),0))</f>
        <v/>
      </c>
      <c r="S2147" s="26">
        <f>IF($D2147="","",ROUND(N($J2147)*N($R2147),0))</f>
        <v/>
      </c>
      <c r="T2147" s="26">
        <f>IF($D2147="","",IF($K2147&lt;&gt;"对外销售","",ROUND($Q2147-$S2147,0)))</f>
        <v/>
      </c>
      <c r="U2147" s="17" t="n"/>
      <c r="V2147" s="17" t="n"/>
      <c r="W2147" s="24">
        <f>IF($D2147="","",IF($E2147="※编码不在物料档案里","※物料编码不在档案里",IF(N($J2147)&lt;=0,"※出库数量要大于 0",IF($K2147="","※没填去向类型",IF($L2147="","※没填去向矿区",IF(AND($C2147&lt;&gt;"",$C2147&lt;=结账锁),"※日期早于已结账截止日，不能再录",IF(AND($K2147="自用消耗",COUNTIF({"一矿区";"二矿区"},$L2147)=0),"※自用消耗的去向只能是一矿区或二矿区",IF(AND($K2147="对外销售",COUNTIF({"三矿区";"六矿区"},$L2147)=0),"※对外销售的去向只能是三矿区或六矿区",IF(AND($K2147="对外销售",ROUND($Q2147,0)=0),"※外销却没有售价，请填实际售价",IF(AND($K2147="对外销售",$T2147&lt;&gt;"",$T2147&lt;0),"※这一笔外销是亏的，请核对售价",IF(IFERROR(VLOOKUP($D2147,库存台账!$A$5:$Y$1204,24,0),0)&lt;-0.001,"※这个物料账面已经变成负数了，查一下是不是漏记入库","")))))))))))</f>
        <v/>
      </c>
    </row>
    <row r="2148">
      <c r="A2148" s="24">
        <f>IF($D2148="","",COUNTA($D$4:$D2148))</f>
        <v/>
      </c>
      <c r="B2148" s="17" t="n"/>
      <c r="C2148" s="30" t="n"/>
      <c r="D2148" s="17" t="n"/>
      <c r="E2148" s="24">
        <f>IF($D2148="","",IFERROR(VLOOKUP($D2148,物料档案!$A$4:$P$1203,3,0),"※编码不在物料档案里"))</f>
        <v/>
      </c>
      <c r="F2148" s="24">
        <f>IF($D2148="","",IFERROR(VLOOKUP($D2148,物料档案!$A$4:$P$1203,4,0),"※编码不在物料档案里"))</f>
        <v/>
      </c>
      <c r="G2148" s="24">
        <f>IF($D2148="","",IFERROR(VLOOKUP($D2148,物料档案!$A$4:$P$1203,5,0),"※编码不在物料档案里"))</f>
        <v/>
      </c>
      <c r="H2148" s="24">
        <f>IF($D2148="","",IFERROR(VLOOKUP($D2148,物料档案!$A$4:$P$1203,2,0),"※编码不在物料档案里"))</f>
        <v/>
      </c>
      <c r="I2148" s="24">
        <f>IF($D2148="","",IFERROR(VLOOKUP($D2148,物料档案!$A$4:$P$1203,6,0),"※编码不在物料档案里"))</f>
        <v/>
      </c>
      <c r="J2148" s="23" t="n"/>
      <c r="K2148" s="17" t="n"/>
      <c r="L2148" s="17" t="n"/>
      <c r="M2148" s="17" t="n"/>
      <c r="N2148" s="17" t="n"/>
      <c r="O2148" s="26">
        <f>IF($D2148="","",IFERROR(VLOOKUP($D2148,物料档案!$A$4:$P$1203,10,0),0))</f>
        <v/>
      </c>
      <c r="P2148" s="32" t="n"/>
      <c r="Q2148" s="26">
        <f>IF($D2148="","",IF($K2148&lt;&gt;"对外销售",0,ROUND(N($J2148)*IF($P2148="",N($O2148),N($P2148)),0)))</f>
        <v/>
      </c>
      <c r="R2148" s="26">
        <f>IF($D2148="","",IFERROR(VLOOKUP($D2148,库存台账!$A$5:$Y$1204,11,0),0))</f>
        <v/>
      </c>
      <c r="S2148" s="26">
        <f>IF($D2148="","",ROUND(N($J2148)*N($R2148),0))</f>
        <v/>
      </c>
      <c r="T2148" s="26">
        <f>IF($D2148="","",IF($K2148&lt;&gt;"对外销售","",ROUND($Q2148-$S2148,0)))</f>
        <v/>
      </c>
      <c r="U2148" s="17" t="n"/>
      <c r="V2148" s="17" t="n"/>
      <c r="W2148" s="24">
        <f>IF($D2148="","",IF($E2148="※编码不在物料档案里","※物料编码不在档案里",IF(N($J2148)&lt;=0,"※出库数量要大于 0",IF($K2148="","※没填去向类型",IF($L2148="","※没填去向矿区",IF(AND($C2148&lt;&gt;"",$C2148&lt;=结账锁),"※日期早于已结账截止日，不能再录",IF(AND($K2148="自用消耗",COUNTIF({"一矿区";"二矿区"},$L2148)=0),"※自用消耗的去向只能是一矿区或二矿区",IF(AND($K2148="对外销售",COUNTIF({"三矿区";"六矿区"},$L2148)=0),"※对外销售的去向只能是三矿区或六矿区",IF(AND($K2148="对外销售",ROUND($Q2148,0)=0),"※外销却没有售价，请填实际售价",IF(AND($K2148="对外销售",$T2148&lt;&gt;"",$T2148&lt;0),"※这一笔外销是亏的，请核对售价",IF(IFERROR(VLOOKUP($D2148,库存台账!$A$5:$Y$1204,24,0),0)&lt;-0.001,"※这个物料账面已经变成负数了，查一下是不是漏记入库","")))))))))))</f>
        <v/>
      </c>
    </row>
    <row r="2149">
      <c r="A2149" s="24">
        <f>IF($D2149="","",COUNTA($D$4:$D2149))</f>
        <v/>
      </c>
      <c r="B2149" s="17" t="n"/>
      <c r="C2149" s="30" t="n"/>
      <c r="D2149" s="17" t="n"/>
      <c r="E2149" s="24">
        <f>IF($D2149="","",IFERROR(VLOOKUP($D2149,物料档案!$A$4:$P$1203,3,0),"※编码不在物料档案里"))</f>
        <v/>
      </c>
      <c r="F2149" s="24">
        <f>IF($D2149="","",IFERROR(VLOOKUP($D2149,物料档案!$A$4:$P$1203,4,0),"※编码不在物料档案里"))</f>
        <v/>
      </c>
      <c r="G2149" s="24">
        <f>IF($D2149="","",IFERROR(VLOOKUP($D2149,物料档案!$A$4:$P$1203,5,0),"※编码不在物料档案里"))</f>
        <v/>
      </c>
      <c r="H2149" s="24">
        <f>IF($D2149="","",IFERROR(VLOOKUP($D2149,物料档案!$A$4:$P$1203,2,0),"※编码不在物料档案里"))</f>
        <v/>
      </c>
      <c r="I2149" s="24">
        <f>IF($D2149="","",IFERROR(VLOOKUP($D2149,物料档案!$A$4:$P$1203,6,0),"※编码不在物料档案里"))</f>
        <v/>
      </c>
      <c r="J2149" s="23" t="n"/>
      <c r="K2149" s="17" t="n"/>
      <c r="L2149" s="17" t="n"/>
      <c r="M2149" s="17" t="n"/>
      <c r="N2149" s="17" t="n"/>
      <c r="O2149" s="26">
        <f>IF($D2149="","",IFERROR(VLOOKUP($D2149,物料档案!$A$4:$P$1203,10,0),0))</f>
        <v/>
      </c>
      <c r="P2149" s="32" t="n"/>
      <c r="Q2149" s="26">
        <f>IF($D2149="","",IF($K2149&lt;&gt;"对外销售",0,ROUND(N($J2149)*IF($P2149="",N($O2149),N($P2149)),0)))</f>
        <v/>
      </c>
      <c r="R2149" s="26">
        <f>IF($D2149="","",IFERROR(VLOOKUP($D2149,库存台账!$A$5:$Y$1204,11,0),0))</f>
        <v/>
      </c>
      <c r="S2149" s="26">
        <f>IF($D2149="","",ROUND(N($J2149)*N($R2149),0))</f>
        <v/>
      </c>
      <c r="T2149" s="26">
        <f>IF($D2149="","",IF($K2149&lt;&gt;"对外销售","",ROUND($Q2149-$S2149,0)))</f>
        <v/>
      </c>
      <c r="U2149" s="17" t="n"/>
      <c r="V2149" s="17" t="n"/>
      <c r="W2149" s="24">
        <f>IF($D2149="","",IF($E2149="※编码不在物料档案里","※物料编码不在档案里",IF(N($J2149)&lt;=0,"※出库数量要大于 0",IF($K2149="","※没填去向类型",IF($L2149="","※没填去向矿区",IF(AND($C2149&lt;&gt;"",$C2149&lt;=结账锁),"※日期早于已结账截止日，不能再录",IF(AND($K2149="自用消耗",COUNTIF({"一矿区";"二矿区"},$L2149)=0),"※自用消耗的去向只能是一矿区或二矿区",IF(AND($K2149="对外销售",COUNTIF({"三矿区";"六矿区"},$L2149)=0),"※对外销售的去向只能是三矿区或六矿区",IF(AND($K2149="对外销售",ROUND($Q2149,0)=0),"※外销却没有售价，请填实际售价",IF(AND($K2149="对外销售",$T2149&lt;&gt;"",$T2149&lt;0),"※这一笔外销是亏的，请核对售价",IF(IFERROR(VLOOKUP($D2149,库存台账!$A$5:$Y$1204,24,0),0)&lt;-0.001,"※这个物料账面已经变成负数了，查一下是不是漏记入库","")))))))))))</f>
        <v/>
      </c>
    </row>
    <row r="2150">
      <c r="A2150" s="24">
        <f>IF($D2150="","",COUNTA($D$4:$D2150))</f>
        <v/>
      </c>
      <c r="B2150" s="17" t="n"/>
      <c r="C2150" s="30" t="n"/>
      <c r="D2150" s="17" t="n"/>
      <c r="E2150" s="24">
        <f>IF($D2150="","",IFERROR(VLOOKUP($D2150,物料档案!$A$4:$P$1203,3,0),"※编码不在物料档案里"))</f>
        <v/>
      </c>
      <c r="F2150" s="24">
        <f>IF($D2150="","",IFERROR(VLOOKUP($D2150,物料档案!$A$4:$P$1203,4,0),"※编码不在物料档案里"))</f>
        <v/>
      </c>
      <c r="G2150" s="24">
        <f>IF($D2150="","",IFERROR(VLOOKUP($D2150,物料档案!$A$4:$P$1203,5,0),"※编码不在物料档案里"))</f>
        <v/>
      </c>
      <c r="H2150" s="24">
        <f>IF($D2150="","",IFERROR(VLOOKUP($D2150,物料档案!$A$4:$P$1203,2,0),"※编码不在物料档案里"))</f>
        <v/>
      </c>
      <c r="I2150" s="24">
        <f>IF($D2150="","",IFERROR(VLOOKUP($D2150,物料档案!$A$4:$P$1203,6,0),"※编码不在物料档案里"))</f>
        <v/>
      </c>
      <c r="J2150" s="23" t="n"/>
      <c r="K2150" s="17" t="n"/>
      <c r="L2150" s="17" t="n"/>
      <c r="M2150" s="17" t="n"/>
      <c r="N2150" s="17" t="n"/>
      <c r="O2150" s="26">
        <f>IF($D2150="","",IFERROR(VLOOKUP($D2150,物料档案!$A$4:$P$1203,10,0),0))</f>
        <v/>
      </c>
      <c r="P2150" s="32" t="n"/>
      <c r="Q2150" s="26">
        <f>IF($D2150="","",IF($K2150&lt;&gt;"对外销售",0,ROUND(N($J2150)*IF($P2150="",N($O2150),N($P2150)),0)))</f>
        <v/>
      </c>
      <c r="R2150" s="26">
        <f>IF($D2150="","",IFERROR(VLOOKUP($D2150,库存台账!$A$5:$Y$1204,11,0),0))</f>
        <v/>
      </c>
      <c r="S2150" s="26">
        <f>IF($D2150="","",ROUND(N($J2150)*N($R2150),0))</f>
        <v/>
      </c>
      <c r="T2150" s="26">
        <f>IF($D2150="","",IF($K2150&lt;&gt;"对外销售","",ROUND($Q2150-$S2150,0)))</f>
        <v/>
      </c>
      <c r="U2150" s="17" t="n"/>
      <c r="V2150" s="17" t="n"/>
      <c r="W2150" s="24">
        <f>IF($D2150="","",IF($E2150="※编码不在物料档案里","※物料编码不在档案里",IF(N($J2150)&lt;=0,"※出库数量要大于 0",IF($K2150="","※没填去向类型",IF($L2150="","※没填去向矿区",IF(AND($C2150&lt;&gt;"",$C2150&lt;=结账锁),"※日期早于已结账截止日，不能再录",IF(AND($K2150="自用消耗",COUNTIF({"一矿区";"二矿区"},$L2150)=0),"※自用消耗的去向只能是一矿区或二矿区",IF(AND($K2150="对外销售",COUNTIF({"三矿区";"六矿区"},$L2150)=0),"※对外销售的去向只能是三矿区或六矿区",IF(AND($K2150="对外销售",ROUND($Q2150,0)=0),"※外销却没有售价，请填实际售价",IF(AND($K2150="对外销售",$T2150&lt;&gt;"",$T2150&lt;0),"※这一笔外销是亏的，请核对售价",IF(IFERROR(VLOOKUP($D2150,库存台账!$A$5:$Y$1204,24,0),0)&lt;-0.001,"※这个物料账面已经变成负数了，查一下是不是漏记入库","")))))))))))</f>
        <v/>
      </c>
    </row>
    <row r="2151">
      <c r="A2151" s="24">
        <f>IF($D2151="","",COUNTA($D$4:$D2151))</f>
        <v/>
      </c>
      <c r="B2151" s="17" t="n"/>
      <c r="C2151" s="30" t="n"/>
      <c r="D2151" s="17" t="n"/>
      <c r="E2151" s="24">
        <f>IF($D2151="","",IFERROR(VLOOKUP($D2151,物料档案!$A$4:$P$1203,3,0),"※编码不在物料档案里"))</f>
        <v/>
      </c>
      <c r="F2151" s="24">
        <f>IF($D2151="","",IFERROR(VLOOKUP($D2151,物料档案!$A$4:$P$1203,4,0),"※编码不在物料档案里"))</f>
        <v/>
      </c>
      <c r="G2151" s="24">
        <f>IF($D2151="","",IFERROR(VLOOKUP($D2151,物料档案!$A$4:$P$1203,5,0),"※编码不在物料档案里"))</f>
        <v/>
      </c>
      <c r="H2151" s="24">
        <f>IF($D2151="","",IFERROR(VLOOKUP($D2151,物料档案!$A$4:$P$1203,2,0),"※编码不在物料档案里"))</f>
        <v/>
      </c>
      <c r="I2151" s="24">
        <f>IF($D2151="","",IFERROR(VLOOKUP($D2151,物料档案!$A$4:$P$1203,6,0),"※编码不在物料档案里"))</f>
        <v/>
      </c>
      <c r="J2151" s="23" t="n"/>
      <c r="K2151" s="17" t="n"/>
      <c r="L2151" s="17" t="n"/>
      <c r="M2151" s="17" t="n"/>
      <c r="N2151" s="17" t="n"/>
      <c r="O2151" s="26">
        <f>IF($D2151="","",IFERROR(VLOOKUP($D2151,物料档案!$A$4:$P$1203,10,0),0))</f>
        <v/>
      </c>
      <c r="P2151" s="32" t="n"/>
      <c r="Q2151" s="26">
        <f>IF($D2151="","",IF($K2151&lt;&gt;"对外销售",0,ROUND(N($J2151)*IF($P2151="",N($O2151),N($P2151)),0)))</f>
        <v/>
      </c>
      <c r="R2151" s="26">
        <f>IF($D2151="","",IFERROR(VLOOKUP($D2151,库存台账!$A$5:$Y$1204,11,0),0))</f>
        <v/>
      </c>
      <c r="S2151" s="26">
        <f>IF($D2151="","",ROUND(N($J2151)*N($R2151),0))</f>
        <v/>
      </c>
      <c r="T2151" s="26">
        <f>IF($D2151="","",IF($K2151&lt;&gt;"对外销售","",ROUND($Q2151-$S2151,0)))</f>
        <v/>
      </c>
      <c r="U2151" s="17" t="n"/>
      <c r="V2151" s="17" t="n"/>
      <c r="W2151" s="24">
        <f>IF($D2151="","",IF($E2151="※编码不在物料档案里","※物料编码不在档案里",IF(N($J2151)&lt;=0,"※出库数量要大于 0",IF($K2151="","※没填去向类型",IF($L2151="","※没填去向矿区",IF(AND($C2151&lt;&gt;"",$C2151&lt;=结账锁),"※日期早于已结账截止日，不能再录",IF(AND($K2151="自用消耗",COUNTIF({"一矿区";"二矿区"},$L2151)=0),"※自用消耗的去向只能是一矿区或二矿区",IF(AND($K2151="对外销售",COUNTIF({"三矿区";"六矿区"},$L2151)=0),"※对外销售的去向只能是三矿区或六矿区",IF(AND($K2151="对外销售",ROUND($Q2151,0)=0),"※外销却没有售价，请填实际售价",IF(AND($K2151="对外销售",$T2151&lt;&gt;"",$T2151&lt;0),"※这一笔外销是亏的，请核对售价",IF(IFERROR(VLOOKUP($D2151,库存台账!$A$5:$Y$1204,24,0),0)&lt;-0.001,"※这个物料账面已经变成负数了，查一下是不是漏记入库","")))))))))))</f>
        <v/>
      </c>
    </row>
    <row r="2152">
      <c r="A2152" s="24">
        <f>IF($D2152="","",COUNTA($D$4:$D2152))</f>
        <v/>
      </c>
      <c r="B2152" s="17" t="n"/>
      <c r="C2152" s="30" t="n"/>
      <c r="D2152" s="17" t="n"/>
      <c r="E2152" s="24">
        <f>IF($D2152="","",IFERROR(VLOOKUP($D2152,物料档案!$A$4:$P$1203,3,0),"※编码不在物料档案里"))</f>
        <v/>
      </c>
      <c r="F2152" s="24">
        <f>IF($D2152="","",IFERROR(VLOOKUP($D2152,物料档案!$A$4:$P$1203,4,0),"※编码不在物料档案里"))</f>
        <v/>
      </c>
      <c r="G2152" s="24">
        <f>IF($D2152="","",IFERROR(VLOOKUP($D2152,物料档案!$A$4:$P$1203,5,0),"※编码不在物料档案里"))</f>
        <v/>
      </c>
      <c r="H2152" s="24">
        <f>IF($D2152="","",IFERROR(VLOOKUP($D2152,物料档案!$A$4:$P$1203,2,0),"※编码不在物料档案里"))</f>
        <v/>
      </c>
      <c r="I2152" s="24">
        <f>IF($D2152="","",IFERROR(VLOOKUP($D2152,物料档案!$A$4:$P$1203,6,0),"※编码不在物料档案里"))</f>
        <v/>
      </c>
      <c r="J2152" s="23" t="n"/>
      <c r="K2152" s="17" t="n"/>
      <c r="L2152" s="17" t="n"/>
      <c r="M2152" s="17" t="n"/>
      <c r="N2152" s="17" t="n"/>
      <c r="O2152" s="26">
        <f>IF($D2152="","",IFERROR(VLOOKUP($D2152,物料档案!$A$4:$P$1203,10,0),0))</f>
        <v/>
      </c>
      <c r="P2152" s="32" t="n"/>
      <c r="Q2152" s="26">
        <f>IF($D2152="","",IF($K2152&lt;&gt;"对外销售",0,ROUND(N($J2152)*IF($P2152="",N($O2152),N($P2152)),0)))</f>
        <v/>
      </c>
      <c r="R2152" s="26">
        <f>IF($D2152="","",IFERROR(VLOOKUP($D2152,库存台账!$A$5:$Y$1204,11,0),0))</f>
        <v/>
      </c>
      <c r="S2152" s="26">
        <f>IF($D2152="","",ROUND(N($J2152)*N($R2152),0))</f>
        <v/>
      </c>
      <c r="T2152" s="26">
        <f>IF($D2152="","",IF($K2152&lt;&gt;"对外销售","",ROUND($Q2152-$S2152,0)))</f>
        <v/>
      </c>
      <c r="U2152" s="17" t="n"/>
      <c r="V2152" s="17" t="n"/>
      <c r="W2152" s="24">
        <f>IF($D2152="","",IF($E2152="※编码不在物料档案里","※物料编码不在档案里",IF(N($J2152)&lt;=0,"※出库数量要大于 0",IF($K2152="","※没填去向类型",IF($L2152="","※没填去向矿区",IF(AND($C2152&lt;&gt;"",$C2152&lt;=结账锁),"※日期早于已结账截止日，不能再录",IF(AND($K2152="自用消耗",COUNTIF({"一矿区";"二矿区"},$L2152)=0),"※自用消耗的去向只能是一矿区或二矿区",IF(AND($K2152="对外销售",COUNTIF({"三矿区";"六矿区"},$L2152)=0),"※对外销售的去向只能是三矿区或六矿区",IF(AND($K2152="对外销售",ROUND($Q2152,0)=0),"※外销却没有售价，请填实际售价",IF(AND($K2152="对外销售",$T2152&lt;&gt;"",$T2152&lt;0),"※这一笔外销是亏的，请核对售价",IF(IFERROR(VLOOKUP($D2152,库存台账!$A$5:$Y$1204,24,0),0)&lt;-0.001,"※这个物料账面已经变成负数了，查一下是不是漏记入库","")))))))))))</f>
        <v/>
      </c>
    </row>
    <row r="2153">
      <c r="A2153" s="24">
        <f>IF($D2153="","",COUNTA($D$4:$D2153))</f>
        <v/>
      </c>
      <c r="B2153" s="17" t="n"/>
      <c r="C2153" s="30" t="n"/>
      <c r="D2153" s="17" t="n"/>
      <c r="E2153" s="24">
        <f>IF($D2153="","",IFERROR(VLOOKUP($D2153,物料档案!$A$4:$P$1203,3,0),"※编码不在物料档案里"))</f>
        <v/>
      </c>
      <c r="F2153" s="24">
        <f>IF($D2153="","",IFERROR(VLOOKUP($D2153,物料档案!$A$4:$P$1203,4,0),"※编码不在物料档案里"))</f>
        <v/>
      </c>
      <c r="G2153" s="24">
        <f>IF($D2153="","",IFERROR(VLOOKUP($D2153,物料档案!$A$4:$P$1203,5,0),"※编码不在物料档案里"))</f>
        <v/>
      </c>
      <c r="H2153" s="24">
        <f>IF($D2153="","",IFERROR(VLOOKUP($D2153,物料档案!$A$4:$P$1203,2,0),"※编码不在物料档案里"))</f>
        <v/>
      </c>
      <c r="I2153" s="24">
        <f>IF($D2153="","",IFERROR(VLOOKUP($D2153,物料档案!$A$4:$P$1203,6,0),"※编码不在物料档案里"))</f>
        <v/>
      </c>
      <c r="J2153" s="23" t="n"/>
      <c r="K2153" s="17" t="n"/>
      <c r="L2153" s="17" t="n"/>
      <c r="M2153" s="17" t="n"/>
      <c r="N2153" s="17" t="n"/>
      <c r="O2153" s="26">
        <f>IF($D2153="","",IFERROR(VLOOKUP($D2153,物料档案!$A$4:$P$1203,10,0),0))</f>
        <v/>
      </c>
      <c r="P2153" s="32" t="n"/>
      <c r="Q2153" s="26">
        <f>IF($D2153="","",IF($K2153&lt;&gt;"对外销售",0,ROUND(N($J2153)*IF($P2153="",N($O2153),N($P2153)),0)))</f>
        <v/>
      </c>
      <c r="R2153" s="26">
        <f>IF($D2153="","",IFERROR(VLOOKUP($D2153,库存台账!$A$5:$Y$1204,11,0),0))</f>
        <v/>
      </c>
      <c r="S2153" s="26">
        <f>IF($D2153="","",ROUND(N($J2153)*N($R2153),0))</f>
        <v/>
      </c>
      <c r="T2153" s="26">
        <f>IF($D2153="","",IF($K2153&lt;&gt;"对外销售","",ROUND($Q2153-$S2153,0)))</f>
        <v/>
      </c>
      <c r="U2153" s="17" t="n"/>
      <c r="V2153" s="17" t="n"/>
      <c r="W2153" s="24">
        <f>IF($D2153="","",IF($E2153="※编码不在物料档案里","※物料编码不在档案里",IF(N($J2153)&lt;=0,"※出库数量要大于 0",IF($K2153="","※没填去向类型",IF($L2153="","※没填去向矿区",IF(AND($C2153&lt;&gt;"",$C2153&lt;=结账锁),"※日期早于已结账截止日，不能再录",IF(AND($K2153="自用消耗",COUNTIF({"一矿区";"二矿区"},$L2153)=0),"※自用消耗的去向只能是一矿区或二矿区",IF(AND($K2153="对外销售",COUNTIF({"三矿区";"六矿区"},$L2153)=0),"※对外销售的去向只能是三矿区或六矿区",IF(AND($K2153="对外销售",ROUND($Q2153,0)=0),"※外销却没有售价，请填实际售价",IF(AND($K2153="对外销售",$T2153&lt;&gt;"",$T2153&lt;0),"※这一笔外销是亏的，请核对售价",IF(IFERROR(VLOOKUP($D2153,库存台账!$A$5:$Y$1204,24,0),0)&lt;-0.001,"※这个物料账面已经变成负数了，查一下是不是漏记入库","")))))))))))</f>
        <v/>
      </c>
    </row>
    <row r="2154">
      <c r="A2154" s="24">
        <f>IF($D2154="","",COUNTA($D$4:$D2154))</f>
        <v/>
      </c>
      <c r="B2154" s="17" t="n"/>
      <c r="C2154" s="30" t="n"/>
      <c r="D2154" s="17" t="n"/>
      <c r="E2154" s="24">
        <f>IF($D2154="","",IFERROR(VLOOKUP($D2154,物料档案!$A$4:$P$1203,3,0),"※编码不在物料档案里"))</f>
        <v/>
      </c>
      <c r="F2154" s="24">
        <f>IF($D2154="","",IFERROR(VLOOKUP($D2154,物料档案!$A$4:$P$1203,4,0),"※编码不在物料档案里"))</f>
        <v/>
      </c>
      <c r="G2154" s="24">
        <f>IF($D2154="","",IFERROR(VLOOKUP($D2154,物料档案!$A$4:$P$1203,5,0),"※编码不在物料档案里"))</f>
        <v/>
      </c>
      <c r="H2154" s="24">
        <f>IF($D2154="","",IFERROR(VLOOKUP($D2154,物料档案!$A$4:$P$1203,2,0),"※编码不在物料档案里"))</f>
        <v/>
      </c>
      <c r="I2154" s="24">
        <f>IF($D2154="","",IFERROR(VLOOKUP($D2154,物料档案!$A$4:$P$1203,6,0),"※编码不在物料档案里"))</f>
        <v/>
      </c>
      <c r="J2154" s="23" t="n"/>
      <c r="K2154" s="17" t="n"/>
      <c r="L2154" s="17" t="n"/>
      <c r="M2154" s="17" t="n"/>
      <c r="N2154" s="17" t="n"/>
      <c r="O2154" s="26">
        <f>IF($D2154="","",IFERROR(VLOOKUP($D2154,物料档案!$A$4:$P$1203,10,0),0))</f>
        <v/>
      </c>
      <c r="P2154" s="32" t="n"/>
      <c r="Q2154" s="26">
        <f>IF($D2154="","",IF($K2154&lt;&gt;"对外销售",0,ROUND(N($J2154)*IF($P2154="",N($O2154),N($P2154)),0)))</f>
        <v/>
      </c>
      <c r="R2154" s="26">
        <f>IF($D2154="","",IFERROR(VLOOKUP($D2154,库存台账!$A$5:$Y$1204,11,0),0))</f>
        <v/>
      </c>
      <c r="S2154" s="26">
        <f>IF($D2154="","",ROUND(N($J2154)*N($R2154),0))</f>
        <v/>
      </c>
      <c r="T2154" s="26">
        <f>IF($D2154="","",IF($K2154&lt;&gt;"对外销售","",ROUND($Q2154-$S2154,0)))</f>
        <v/>
      </c>
      <c r="U2154" s="17" t="n"/>
      <c r="V2154" s="17" t="n"/>
      <c r="W2154" s="24">
        <f>IF($D2154="","",IF($E2154="※编码不在物料档案里","※物料编码不在档案里",IF(N($J2154)&lt;=0,"※出库数量要大于 0",IF($K2154="","※没填去向类型",IF($L2154="","※没填去向矿区",IF(AND($C2154&lt;&gt;"",$C2154&lt;=结账锁),"※日期早于已结账截止日，不能再录",IF(AND($K2154="自用消耗",COUNTIF({"一矿区";"二矿区"},$L2154)=0),"※自用消耗的去向只能是一矿区或二矿区",IF(AND($K2154="对外销售",COUNTIF({"三矿区";"六矿区"},$L2154)=0),"※对外销售的去向只能是三矿区或六矿区",IF(AND($K2154="对外销售",ROUND($Q2154,0)=0),"※外销却没有售价，请填实际售价",IF(AND($K2154="对外销售",$T2154&lt;&gt;"",$T2154&lt;0),"※这一笔外销是亏的，请核对售价",IF(IFERROR(VLOOKUP($D2154,库存台账!$A$5:$Y$1204,24,0),0)&lt;-0.001,"※这个物料账面已经变成负数了，查一下是不是漏记入库","")))))))))))</f>
        <v/>
      </c>
    </row>
    <row r="2155">
      <c r="A2155" s="24">
        <f>IF($D2155="","",COUNTA($D$4:$D2155))</f>
        <v/>
      </c>
      <c r="B2155" s="17" t="n"/>
      <c r="C2155" s="30" t="n"/>
      <c r="D2155" s="17" t="n"/>
      <c r="E2155" s="24">
        <f>IF($D2155="","",IFERROR(VLOOKUP($D2155,物料档案!$A$4:$P$1203,3,0),"※编码不在物料档案里"))</f>
        <v/>
      </c>
      <c r="F2155" s="24">
        <f>IF($D2155="","",IFERROR(VLOOKUP($D2155,物料档案!$A$4:$P$1203,4,0),"※编码不在物料档案里"))</f>
        <v/>
      </c>
      <c r="G2155" s="24">
        <f>IF($D2155="","",IFERROR(VLOOKUP($D2155,物料档案!$A$4:$P$1203,5,0),"※编码不在物料档案里"))</f>
        <v/>
      </c>
      <c r="H2155" s="24">
        <f>IF($D2155="","",IFERROR(VLOOKUP($D2155,物料档案!$A$4:$P$1203,2,0),"※编码不在物料档案里"))</f>
        <v/>
      </c>
      <c r="I2155" s="24">
        <f>IF($D2155="","",IFERROR(VLOOKUP($D2155,物料档案!$A$4:$P$1203,6,0),"※编码不在物料档案里"))</f>
        <v/>
      </c>
      <c r="J2155" s="23" t="n"/>
      <c r="K2155" s="17" t="n"/>
      <c r="L2155" s="17" t="n"/>
      <c r="M2155" s="17" t="n"/>
      <c r="N2155" s="17" t="n"/>
      <c r="O2155" s="26">
        <f>IF($D2155="","",IFERROR(VLOOKUP($D2155,物料档案!$A$4:$P$1203,10,0),0))</f>
        <v/>
      </c>
      <c r="P2155" s="32" t="n"/>
      <c r="Q2155" s="26">
        <f>IF($D2155="","",IF($K2155&lt;&gt;"对外销售",0,ROUND(N($J2155)*IF($P2155="",N($O2155),N($P2155)),0)))</f>
        <v/>
      </c>
      <c r="R2155" s="26">
        <f>IF($D2155="","",IFERROR(VLOOKUP($D2155,库存台账!$A$5:$Y$1204,11,0),0))</f>
        <v/>
      </c>
      <c r="S2155" s="26">
        <f>IF($D2155="","",ROUND(N($J2155)*N($R2155),0))</f>
        <v/>
      </c>
      <c r="T2155" s="26">
        <f>IF($D2155="","",IF($K2155&lt;&gt;"对外销售","",ROUND($Q2155-$S2155,0)))</f>
        <v/>
      </c>
      <c r="U2155" s="17" t="n"/>
      <c r="V2155" s="17" t="n"/>
      <c r="W2155" s="24">
        <f>IF($D2155="","",IF($E2155="※编码不在物料档案里","※物料编码不在档案里",IF(N($J2155)&lt;=0,"※出库数量要大于 0",IF($K2155="","※没填去向类型",IF($L2155="","※没填去向矿区",IF(AND($C2155&lt;&gt;"",$C2155&lt;=结账锁),"※日期早于已结账截止日，不能再录",IF(AND($K2155="自用消耗",COUNTIF({"一矿区";"二矿区"},$L2155)=0),"※自用消耗的去向只能是一矿区或二矿区",IF(AND($K2155="对外销售",COUNTIF({"三矿区";"六矿区"},$L2155)=0),"※对外销售的去向只能是三矿区或六矿区",IF(AND($K2155="对外销售",ROUND($Q2155,0)=0),"※外销却没有售价，请填实际售价",IF(AND($K2155="对外销售",$T2155&lt;&gt;"",$T2155&lt;0),"※这一笔外销是亏的，请核对售价",IF(IFERROR(VLOOKUP($D2155,库存台账!$A$5:$Y$1204,24,0),0)&lt;-0.001,"※这个物料账面已经变成负数了，查一下是不是漏记入库","")))))))))))</f>
        <v/>
      </c>
    </row>
    <row r="2156">
      <c r="A2156" s="24">
        <f>IF($D2156="","",COUNTA($D$4:$D2156))</f>
        <v/>
      </c>
      <c r="B2156" s="17" t="n"/>
      <c r="C2156" s="30" t="n"/>
      <c r="D2156" s="17" t="n"/>
      <c r="E2156" s="24">
        <f>IF($D2156="","",IFERROR(VLOOKUP($D2156,物料档案!$A$4:$P$1203,3,0),"※编码不在物料档案里"))</f>
        <v/>
      </c>
      <c r="F2156" s="24">
        <f>IF($D2156="","",IFERROR(VLOOKUP($D2156,物料档案!$A$4:$P$1203,4,0),"※编码不在物料档案里"))</f>
        <v/>
      </c>
      <c r="G2156" s="24">
        <f>IF($D2156="","",IFERROR(VLOOKUP($D2156,物料档案!$A$4:$P$1203,5,0),"※编码不在物料档案里"))</f>
        <v/>
      </c>
      <c r="H2156" s="24">
        <f>IF($D2156="","",IFERROR(VLOOKUP($D2156,物料档案!$A$4:$P$1203,2,0),"※编码不在物料档案里"))</f>
        <v/>
      </c>
      <c r="I2156" s="24">
        <f>IF($D2156="","",IFERROR(VLOOKUP($D2156,物料档案!$A$4:$P$1203,6,0),"※编码不在物料档案里"))</f>
        <v/>
      </c>
      <c r="J2156" s="23" t="n"/>
      <c r="K2156" s="17" t="n"/>
      <c r="L2156" s="17" t="n"/>
      <c r="M2156" s="17" t="n"/>
      <c r="N2156" s="17" t="n"/>
      <c r="O2156" s="26">
        <f>IF($D2156="","",IFERROR(VLOOKUP($D2156,物料档案!$A$4:$P$1203,10,0),0))</f>
        <v/>
      </c>
      <c r="P2156" s="32" t="n"/>
      <c r="Q2156" s="26">
        <f>IF($D2156="","",IF($K2156&lt;&gt;"对外销售",0,ROUND(N($J2156)*IF($P2156="",N($O2156),N($P2156)),0)))</f>
        <v/>
      </c>
      <c r="R2156" s="26">
        <f>IF($D2156="","",IFERROR(VLOOKUP($D2156,库存台账!$A$5:$Y$1204,11,0),0))</f>
        <v/>
      </c>
      <c r="S2156" s="26">
        <f>IF($D2156="","",ROUND(N($J2156)*N($R2156),0))</f>
        <v/>
      </c>
      <c r="T2156" s="26">
        <f>IF($D2156="","",IF($K2156&lt;&gt;"对外销售","",ROUND($Q2156-$S2156,0)))</f>
        <v/>
      </c>
      <c r="U2156" s="17" t="n"/>
      <c r="V2156" s="17" t="n"/>
      <c r="W2156" s="24">
        <f>IF($D2156="","",IF($E2156="※编码不在物料档案里","※物料编码不在档案里",IF(N($J2156)&lt;=0,"※出库数量要大于 0",IF($K2156="","※没填去向类型",IF($L2156="","※没填去向矿区",IF(AND($C2156&lt;&gt;"",$C2156&lt;=结账锁),"※日期早于已结账截止日，不能再录",IF(AND($K2156="自用消耗",COUNTIF({"一矿区";"二矿区"},$L2156)=0),"※自用消耗的去向只能是一矿区或二矿区",IF(AND($K2156="对外销售",COUNTIF({"三矿区";"六矿区"},$L2156)=0),"※对外销售的去向只能是三矿区或六矿区",IF(AND($K2156="对外销售",ROUND($Q2156,0)=0),"※外销却没有售价，请填实际售价",IF(AND($K2156="对外销售",$T2156&lt;&gt;"",$T2156&lt;0),"※这一笔外销是亏的，请核对售价",IF(IFERROR(VLOOKUP($D2156,库存台账!$A$5:$Y$1204,24,0),0)&lt;-0.001,"※这个物料账面已经变成负数了，查一下是不是漏记入库","")))))))))))</f>
        <v/>
      </c>
    </row>
    <row r="2157">
      <c r="A2157" s="24">
        <f>IF($D2157="","",COUNTA($D$4:$D2157))</f>
        <v/>
      </c>
      <c r="B2157" s="17" t="n"/>
      <c r="C2157" s="30" t="n"/>
      <c r="D2157" s="17" t="n"/>
      <c r="E2157" s="24">
        <f>IF($D2157="","",IFERROR(VLOOKUP($D2157,物料档案!$A$4:$P$1203,3,0),"※编码不在物料档案里"))</f>
        <v/>
      </c>
      <c r="F2157" s="24">
        <f>IF($D2157="","",IFERROR(VLOOKUP($D2157,物料档案!$A$4:$P$1203,4,0),"※编码不在物料档案里"))</f>
        <v/>
      </c>
      <c r="G2157" s="24">
        <f>IF($D2157="","",IFERROR(VLOOKUP($D2157,物料档案!$A$4:$P$1203,5,0),"※编码不在物料档案里"))</f>
        <v/>
      </c>
      <c r="H2157" s="24">
        <f>IF($D2157="","",IFERROR(VLOOKUP($D2157,物料档案!$A$4:$P$1203,2,0),"※编码不在物料档案里"))</f>
        <v/>
      </c>
      <c r="I2157" s="24">
        <f>IF($D2157="","",IFERROR(VLOOKUP($D2157,物料档案!$A$4:$P$1203,6,0),"※编码不在物料档案里"))</f>
        <v/>
      </c>
      <c r="J2157" s="23" t="n"/>
      <c r="K2157" s="17" t="n"/>
      <c r="L2157" s="17" t="n"/>
      <c r="M2157" s="17" t="n"/>
      <c r="N2157" s="17" t="n"/>
      <c r="O2157" s="26">
        <f>IF($D2157="","",IFERROR(VLOOKUP($D2157,物料档案!$A$4:$P$1203,10,0),0))</f>
        <v/>
      </c>
      <c r="P2157" s="32" t="n"/>
      <c r="Q2157" s="26">
        <f>IF($D2157="","",IF($K2157&lt;&gt;"对外销售",0,ROUND(N($J2157)*IF($P2157="",N($O2157),N($P2157)),0)))</f>
        <v/>
      </c>
      <c r="R2157" s="26">
        <f>IF($D2157="","",IFERROR(VLOOKUP($D2157,库存台账!$A$5:$Y$1204,11,0),0))</f>
        <v/>
      </c>
      <c r="S2157" s="26">
        <f>IF($D2157="","",ROUND(N($J2157)*N($R2157),0))</f>
        <v/>
      </c>
      <c r="T2157" s="26">
        <f>IF($D2157="","",IF($K2157&lt;&gt;"对外销售","",ROUND($Q2157-$S2157,0)))</f>
        <v/>
      </c>
      <c r="U2157" s="17" t="n"/>
      <c r="V2157" s="17" t="n"/>
      <c r="W2157" s="24">
        <f>IF($D2157="","",IF($E2157="※编码不在物料档案里","※物料编码不在档案里",IF(N($J2157)&lt;=0,"※出库数量要大于 0",IF($K2157="","※没填去向类型",IF($L2157="","※没填去向矿区",IF(AND($C2157&lt;&gt;"",$C2157&lt;=结账锁),"※日期早于已结账截止日，不能再录",IF(AND($K2157="自用消耗",COUNTIF({"一矿区";"二矿区"},$L2157)=0),"※自用消耗的去向只能是一矿区或二矿区",IF(AND($K2157="对外销售",COUNTIF({"三矿区";"六矿区"},$L2157)=0),"※对外销售的去向只能是三矿区或六矿区",IF(AND($K2157="对外销售",ROUND($Q2157,0)=0),"※外销却没有售价，请填实际售价",IF(AND($K2157="对外销售",$T2157&lt;&gt;"",$T2157&lt;0),"※这一笔外销是亏的，请核对售价",IF(IFERROR(VLOOKUP($D2157,库存台账!$A$5:$Y$1204,24,0),0)&lt;-0.001,"※这个物料账面已经变成负数了，查一下是不是漏记入库","")))))))))))</f>
        <v/>
      </c>
    </row>
    <row r="2158">
      <c r="A2158" s="24">
        <f>IF($D2158="","",COUNTA($D$4:$D2158))</f>
        <v/>
      </c>
      <c r="B2158" s="17" t="n"/>
      <c r="C2158" s="30" t="n"/>
      <c r="D2158" s="17" t="n"/>
      <c r="E2158" s="24">
        <f>IF($D2158="","",IFERROR(VLOOKUP($D2158,物料档案!$A$4:$P$1203,3,0),"※编码不在物料档案里"))</f>
        <v/>
      </c>
      <c r="F2158" s="24">
        <f>IF($D2158="","",IFERROR(VLOOKUP($D2158,物料档案!$A$4:$P$1203,4,0),"※编码不在物料档案里"))</f>
        <v/>
      </c>
      <c r="G2158" s="24">
        <f>IF($D2158="","",IFERROR(VLOOKUP($D2158,物料档案!$A$4:$P$1203,5,0),"※编码不在物料档案里"))</f>
        <v/>
      </c>
      <c r="H2158" s="24">
        <f>IF($D2158="","",IFERROR(VLOOKUP($D2158,物料档案!$A$4:$P$1203,2,0),"※编码不在物料档案里"))</f>
        <v/>
      </c>
      <c r="I2158" s="24">
        <f>IF($D2158="","",IFERROR(VLOOKUP($D2158,物料档案!$A$4:$P$1203,6,0),"※编码不在物料档案里"))</f>
        <v/>
      </c>
      <c r="J2158" s="23" t="n"/>
      <c r="K2158" s="17" t="n"/>
      <c r="L2158" s="17" t="n"/>
      <c r="M2158" s="17" t="n"/>
      <c r="N2158" s="17" t="n"/>
      <c r="O2158" s="26">
        <f>IF($D2158="","",IFERROR(VLOOKUP($D2158,物料档案!$A$4:$P$1203,10,0),0))</f>
        <v/>
      </c>
      <c r="P2158" s="32" t="n"/>
      <c r="Q2158" s="26">
        <f>IF($D2158="","",IF($K2158&lt;&gt;"对外销售",0,ROUND(N($J2158)*IF($P2158="",N($O2158),N($P2158)),0)))</f>
        <v/>
      </c>
      <c r="R2158" s="26">
        <f>IF($D2158="","",IFERROR(VLOOKUP($D2158,库存台账!$A$5:$Y$1204,11,0),0))</f>
        <v/>
      </c>
      <c r="S2158" s="26">
        <f>IF($D2158="","",ROUND(N($J2158)*N($R2158),0))</f>
        <v/>
      </c>
      <c r="T2158" s="26">
        <f>IF($D2158="","",IF($K2158&lt;&gt;"对外销售","",ROUND($Q2158-$S2158,0)))</f>
        <v/>
      </c>
      <c r="U2158" s="17" t="n"/>
      <c r="V2158" s="17" t="n"/>
      <c r="W2158" s="24">
        <f>IF($D2158="","",IF($E2158="※编码不在物料档案里","※物料编码不在档案里",IF(N($J2158)&lt;=0,"※出库数量要大于 0",IF($K2158="","※没填去向类型",IF($L2158="","※没填去向矿区",IF(AND($C2158&lt;&gt;"",$C2158&lt;=结账锁),"※日期早于已结账截止日，不能再录",IF(AND($K2158="自用消耗",COUNTIF({"一矿区";"二矿区"},$L2158)=0),"※自用消耗的去向只能是一矿区或二矿区",IF(AND($K2158="对外销售",COUNTIF({"三矿区";"六矿区"},$L2158)=0),"※对外销售的去向只能是三矿区或六矿区",IF(AND($K2158="对外销售",ROUND($Q2158,0)=0),"※外销却没有售价，请填实际售价",IF(AND($K2158="对外销售",$T2158&lt;&gt;"",$T2158&lt;0),"※这一笔外销是亏的，请核对售价",IF(IFERROR(VLOOKUP($D2158,库存台账!$A$5:$Y$1204,24,0),0)&lt;-0.001,"※这个物料账面已经变成负数了，查一下是不是漏记入库","")))))))))))</f>
        <v/>
      </c>
    </row>
    <row r="2159">
      <c r="A2159" s="24">
        <f>IF($D2159="","",COUNTA($D$4:$D2159))</f>
        <v/>
      </c>
      <c r="B2159" s="17" t="n"/>
      <c r="C2159" s="30" t="n"/>
      <c r="D2159" s="17" t="n"/>
      <c r="E2159" s="24">
        <f>IF($D2159="","",IFERROR(VLOOKUP($D2159,物料档案!$A$4:$P$1203,3,0),"※编码不在物料档案里"))</f>
        <v/>
      </c>
      <c r="F2159" s="24">
        <f>IF($D2159="","",IFERROR(VLOOKUP($D2159,物料档案!$A$4:$P$1203,4,0),"※编码不在物料档案里"))</f>
        <v/>
      </c>
      <c r="G2159" s="24">
        <f>IF($D2159="","",IFERROR(VLOOKUP($D2159,物料档案!$A$4:$P$1203,5,0),"※编码不在物料档案里"))</f>
        <v/>
      </c>
      <c r="H2159" s="24">
        <f>IF($D2159="","",IFERROR(VLOOKUP($D2159,物料档案!$A$4:$P$1203,2,0),"※编码不在物料档案里"))</f>
        <v/>
      </c>
      <c r="I2159" s="24">
        <f>IF($D2159="","",IFERROR(VLOOKUP($D2159,物料档案!$A$4:$P$1203,6,0),"※编码不在物料档案里"))</f>
        <v/>
      </c>
      <c r="J2159" s="23" t="n"/>
      <c r="K2159" s="17" t="n"/>
      <c r="L2159" s="17" t="n"/>
      <c r="M2159" s="17" t="n"/>
      <c r="N2159" s="17" t="n"/>
      <c r="O2159" s="26">
        <f>IF($D2159="","",IFERROR(VLOOKUP($D2159,物料档案!$A$4:$P$1203,10,0),0))</f>
        <v/>
      </c>
      <c r="P2159" s="32" t="n"/>
      <c r="Q2159" s="26">
        <f>IF($D2159="","",IF($K2159&lt;&gt;"对外销售",0,ROUND(N($J2159)*IF($P2159="",N($O2159),N($P2159)),0)))</f>
        <v/>
      </c>
      <c r="R2159" s="26">
        <f>IF($D2159="","",IFERROR(VLOOKUP($D2159,库存台账!$A$5:$Y$1204,11,0),0))</f>
        <v/>
      </c>
      <c r="S2159" s="26">
        <f>IF($D2159="","",ROUND(N($J2159)*N($R2159),0))</f>
        <v/>
      </c>
      <c r="T2159" s="26">
        <f>IF($D2159="","",IF($K2159&lt;&gt;"对外销售","",ROUND($Q2159-$S2159,0)))</f>
        <v/>
      </c>
      <c r="U2159" s="17" t="n"/>
      <c r="V2159" s="17" t="n"/>
      <c r="W2159" s="24">
        <f>IF($D2159="","",IF($E2159="※编码不在物料档案里","※物料编码不在档案里",IF(N($J2159)&lt;=0,"※出库数量要大于 0",IF($K2159="","※没填去向类型",IF($L2159="","※没填去向矿区",IF(AND($C2159&lt;&gt;"",$C2159&lt;=结账锁),"※日期早于已结账截止日，不能再录",IF(AND($K2159="自用消耗",COUNTIF({"一矿区";"二矿区"},$L2159)=0),"※自用消耗的去向只能是一矿区或二矿区",IF(AND($K2159="对外销售",COUNTIF({"三矿区";"六矿区"},$L2159)=0),"※对外销售的去向只能是三矿区或六矿区",IF(AND($K2159="对外销售",ROUND($Q2159,0)=0),"※外销却没有售价，请填实际售价",IF(AND($K2159="对外销售",$T2159&lt;&gt;"",$T2159&lt;0),"※这一笔外销是亏的，请核对售价",IF(IFERROR(VLOOKUP($D2159,库存台账!$A$5:$Y$1204,24,0),0)&lt;-0.001,"※这个物料账面已经变成负数了，查一下是不是漏记入库","")))))))))))</f>
        <v/>
      </c>
    </row>
    <row r="2160">
      <c r="A2160" s="24">
        <f>IF($D2160="","",COUNTA($D$4:$D2160))</f>
        <v/>
      </c>
      <c r="B2160" s="17" t="n"/>
      <c r="C2160" s="30" t="n"/>
      <c r="D2160" s="17" t="n"/>
      <c r="E2160" s="24">
        <f>IF($D2160="","",IFERROR(VLOOKUP($D2160,物料档案!$A$4:$P$1203,3,0),"※编码不在物料档案里"))</f>
        <v/>
      </c>
      <c r="F2160" s="24">
        <f>IF($D2160="","",IFERROR(VLOOKUP($D2160,物料档案!$A$4:$P$1203,4,0),"※编码不在物料档案里"))</f>
        <v/>
      </c>
      <c r="G2160" s="24">
        <f>IF($D2160="","",IFERROR(VLOOKUP($D2160,物料档案!$A$4:$P$1203,5,0),"※编码不在物料档案里"))</f>
        <v/>
      </c>
      <c r="H2160" s="24">
        <f>IF($D2160="","",IFERROR(VLOOKUP($D2160,物料档案!$A$4:$P$1203,2,0),"※编码不在物料档案里"))</f>
        <v/>
      </c>
      <c r="I2160" s="24">
        <f>IF($D2160="","",IFERROR(VLOOKUP($D2160,物料档案!$A$4:$P$1203,6,0),"※编码不在物料档案里"))</f>
        <v/>
      </c>
      <c r="J2160" s="23" t="n"/>
      <c r="K2160" s="17" t="n"/>
      <c r="L2160" s="17" t="n"/>
      <c r="M2160" s="17" t="n"/>
      <c r="N2160" s="17" t="n"/>
      <c r="O2160" s="26">
        <f>IF($D2160="","",IFERROR(VLOOKUP($D2160,物料档案!$A$4:$P$1203,10,0),0))</f>
        <v/>
      </c>
      <c r="P2160" s="32" t="n"/>
      <c r="Q2160" s="26">
        <f>IF($D2160="","",IF($K2160&lt;&gt;"对外销售",0,ROUND(N($J2160)*IF($P2160="",N($O2160),N($P2160)),0)))</f>
        <v/>
      </c>
      <c r="R2160" s="26">
        <f>IF($D2160="","",IFERROR(VLOOKUP($D2160,库存台账!$A$5:$Y$1204,11,0),0))</f>
        <v/>
      </c>
      <c r="S2160" s="26">
        <f>IF($D2160="","",ROUND(N($J2160)*N($R2160),0))</f>
        <v/>
      </c>
      <c r="T2160" s="26">
        <f>IF($D2160="","",IF($K2160&lt;&gt;"对外销售","",ROUND($Q2160-$S2160,0)))</f>
        <v/>
      </c>
      <c r="U2160" s="17" t="n"/>
      <c r="V2160" s="17" t="n"/>
      <c r="W2160" s="24">
        <f>IF($D2160="","",IF($E2160="※编码不在物料档案里","※物料编码不在档案里",IF(N($J2160)&lt;=0,"※出库数量要大于 0",IF($K2160="","※没填去向类型",IF($L2160="","※没填去向矿区",IF(AND($C2160&lt;&gt;"",$C2160&lt;=结账锁),"※日期早于已结账截止日，不能再录",IF(AND($K2160="自用消耗",COUNTIF({"一矿区";"二矿区"},$L2160)=0),"※自用消耗的去向只能是一矿区或二矿区",IF(AND($K2160="对外销售",COUNTIF({"三矿区";"六矿区"},$L2160)=0),"※对外销售的去向只能是三矿区或六矿区",IF(AND($K2160="对外销售",ROUND($Q2160,0)=0),"※外销却没有售价，请填实际售价",IF(AND($K2160="对外销售",$T2160&lt;&gt;"",$T2160&lt;0),"※这一笔外销是亏的，请核对售价",IF(IFERROR(VLOOKUP($D2160,库存台账!$A$5:$Y$1204,24,0),0)&lt;-0.001,"※这个物料账面已经变成负数了，查一下是不是漏记入库","")))))))))))</f>
        <v/>
      </c>
    </row>
    <row r="2161">
      <c r="A2161" s="24">
        <f>IF($D2161="","",COUNTA($D$4:$D2161))</f>
        <v/>
      </c>
      <c r="B2161" s="17" t="n"/>
      <c r="C2161" s="30" t="n"/>
      <c r="D2161" s="17" t="n"/>
      <c r="E2161" s="24">
        <f>IF($D2161="","",IFERROR(VLOOKUP($D2161,物料档案!$A$4:$P$1203,3,0),"※编码不在物料档案里"))</f>
        <v/>
      </c>
      <c r="F2161" s="24">
        <f>IF($D2161="","",IFERROR(VLOOKUP($D2161,物料档案!$A$4:$P$1203,4,0),"※编码不在物料档案里"))</f>
        <v/>
      </c>
      <c r="G2161" s="24">
        <f>IF($D2161="","",IFERROR(VLOOKUP($D2161,物料档案!$A$4:$P$1203,5,0),"※编码不在物料档案里"))</f>
        <v/>
      </c>
      <c r="H2161" s="24">
        <f>IF($D2161="","",IFERROR(VLOOKUP($D2161,物料档案!$A$4:$P$1203,2,0),"※编码不在物料档案里"))</f>
        <v/>
      </c>
      <c r="I2161" s="24">
        <f>IF($D2161="","",IFERROR(VLOOKUP($D2161,物料档案!$A$4:$P$1203,6,0),"※编码不在物料档案里"))</f>
        <v/>
      </c>
      <c r="J2161" s="23" t="n"/>
      <c r="K2161" s="17" t="n"/>
      <c r="L2161" s="17" t="n"/>
      <c r="M2161" s="17" t="n"/>
      <c r="N2161" s="17" t="n"/>
      <c r="O2161" s="26">
        <f>IF($D2161="","",IFERROR(VLOOKUP($D2161,物料档案!$A$4:$P$1203,10,0),0))</f>
        <v/>
      </c>
      <c r="P2161" s="32" t="n"/>
      <c r="Q2161" s="26">
        <f>IF($D2161="","",IF($K2161&lt;&gt;"对外销售",0,ROUND(N($J2161)*IF($P2161="",N($O2161),N($P2161)),0)))</f>
        <v/>
      </c>
      <c r="R2161" s="26">
        <f>IF($D2161="","",IFERROR(VLOOKUP($D2161,库存台账!$A$5:$Y$1204,11,0),0))</f>
        <v/>
      </c>
      <c r="S2161" s="26">
        <f>IF($D2161="","",ROUND(N($J2161)*N($R2161),0))</f>
        <v/>
      </c>
      <c r="T2161" s="26">
        <f>IF($D2161="","",IF($K2161&lt;&gt;"对外销售","",ROUND($Q2161-$S2161,0)))</f>
        <v/>
      </c>
      <c r="U2161" s="17" t="n"/>
      <c r="V2161" s="17" t="n"/>
      <c r="W2161" s="24">
        <f>IF($D2161="","",IF($E2161="※编码不在物料档案里","※物料编码不在档案里",IF(N($J2161)&lt;=0,"※出库数量要大于 0",IF($K2161="","※没填去向类型",IF($L2161="","※没填去向矿区",IF(AND($C2161&lt;&gt;"",$C2161&lt;=结账锁),"※日期早于已结账截止日，不能再录",IF(AND($K2161="自用消耗",COUNTIF({"一矿区";"二矿区"},$L2161)=0),"※自用消耗的去向只能是一矿区或二矿区",IF(AND($K2161="对外销售",COUNTIF({"三矿区";"六矿区"},$L2161)=0),"※对外销售的去向只能是三矿区或六矿区",IF(AND($K2161="对外销售",ROUND($Q2161,0)=0),"※外销却没有售价，请填实际售价",IF(AND($K2161="对外销售",$T2161&lt;&gt;"",$T2161&lt;0),"※这一笔外销是亏的，请核对售价",IF(IFERROR(VLOOKUP($D2161,库存台账!$A$5:$Y$1204,24,0),0)&lt;-0.001,"※这个物料账面已经变成负数了，查一下是不是漏记入库","")))))))))))</f>
        <v/>
      </c>
    </row>
    <row r="2162">
      <c r="A2162" s="24">
        <f>IF($D2162="","",COUNTA($D$4:$D2162))</f>
        <v/>
      </c>
      <c r="B2162" s="17" t="n"/>
      <c r="C2162" s="30" t="n"/>
      <c r="D2162" s="17" t="n"/>
      <c r="E2162" s="24">
        <f>IF($D2162="","",IFERROR(VLOOKUP($D2162,物料档案!$A$4:$P$1203,3,0),"※编码不在物料档案里"))</f>
        <v/>
      </c>
      <c r="F2162" s="24">
        <f>IF($D2162="","",IFERROR(VLOOKUP($D2162,物料档案!$A$4:$P$1203,4,0),"※编码不在物料档案里"))</f>
        <v/>
      </c>
      <c r="G2162" s="24">
        <f>IF($D2162="","",IFERROR(VLOOKUP($D2162,物料档案!$A$4:$P$1203,5,0),"※编码不在物料档案里"))</f>
        <v/>
      </c>
      <c r="H2162" s="24">
        <f>IF($D2162="","",IFERROR(VLOOKUP($D2162,物料档案!$A$4:$P$1203,2,0),"※编码不在物料档案里"))</f>
        <v/>
      </c>
      <c r="I2162" s="24">
        <f>IF($D2162="","",IFERROR(VLOOKUP($D2162,物料档案!$A$4:$P$1203,6,0),"※编码不在物料档案里"))</f>
        <v/>
      </c>
      <c r="J2162" s="23" t="n"/>
      <c r="K2162" s="17" t="n"/>
      <c r="L2162" s="17" t="n"/>
      <c r="M2162" s="17" t="n"/>
      <c r="N2162" s="17" t="n"/>
      <c r="O2162" s="26">
        <f>IF($D2162="","",IFERROR(VLOOKUP($D2162,物料档案!$A$4:$P$1203,10,0),0))</f>
        <v/>
      </c>
      <c r="P2162" s="32" t="n"/>
      <c r="Q2162" s="26">
        <f>IF($D2162="","",IF($K2162&lt;&gt;"对外销售",0,ROUND(N($J2162)*IF($P2162="",N($O2162),N($P2162)),0)))</f>
        <v/>
      </c>
      <c r="R2162" s="26">
        <f>IF($D2162="","",IFERROR(VLOOKUP($D2162,库存台账!$A$5:$Y$1204,11,0),0))</f>
        <v/>
      </c>
      <c r="S2162" s="26">
        <f>IF($D2162="","",ROUND(N($J2162)*N($R2162),0))</f>
        <v/>
      </c>
      <c r="T2162" s="26">
        <f>IF($D2162="","",IF($K2162&lt;&gt;"对外销售","",ROUND($Q2162-$S2162,0)))</f>
        <v/>
      </c>
      <c r="U2162" s="17" t="n"/>
      <c r="V2162" s="17" t="n"/>
      <c r="W2162" s="24">
        <f>IF($D2162="","",IF($E2162="※编码不在物料档案里","※物料编码不在档案里",IF(N($J2162)&lt;=0,"※出库数量要大于 0",IF($K2162="","※没填去向类型",IF($L2162="","※没填去向矿区",IF(AND($C2162&lt;&gt;"",$C2162&lt;=结账锁),"※日期早于已结账截止日，不能再录",IF(AND($K2162="自用消耗",COUNTIF({"一矿区";"二矿区"},$L2162)=0),"※自用消耗的去向只能是一矿区或二矿区",IF(AND($K2162="对外销售",COUNTIF({"三矿区";"六矿区"},$L2162)=0),"※对外销售的去向只能是三矿区或六矿区",IF(AND($K2162="对外销售",ROUND($Q2162,0)=0),"※外销却没有售价，请填实际售价",IF(AND($K2162="对外销售",$T2162&lt;&gt;"",$T2162&lt;0),"※这一笔外销是亏的，请核对售价",IF(IFERROR(VLOOKUP($D2162,库存台账!$A$5:$Y$1204,24,0),0)&lt;-0.001,"※这个物料账面已经变成负数了，查一下是不是漏记入库","")))))))))))</f>
        <v/>
      </c>
    </row>
    <row r="2163">
      <c r="A2163" s="24">
        <f>IF($D2163="","",COUNTA($D$4:$D2163))</f>
        <v/>
      </c>
      <c r="B2163" s="17" t="n"/>
      <c r="C2163" s="30" t="n"/>
      <c r="D2163" s="17" t="n"/>
      <c r="E2163" s="24">
        <f>IF($D2163="","",IFERROR(VLOOKUP($D2163,物料档案!$A$4:$P$1203,3,0),"※编码不在物料档案里"))</f>
        <v/>
      </c>
      <c r="F2163" s="24">
        <f>IF($D2163="","",IFERROR(VLOOKUP($D2163,物料档案!$A$4:$P$1203,4,0),"※编码不在物料档案里"))</f>
        <v/>
      </c>
      <c r="G2163" s="24">
        <f>IF($D2163="","",IFERROR(VLOOKUP($D2163,物料档案!$A$4:$P$1203,5,0),"※编码不在物料档案里"))</f>
        <v/>
      </c>
      <c r="H2163" s="24">
        <f>IF($D2163="","",IFERROR(VLOOKUP($D2163,物料档案!$A$4:$P$1203,2,0),"※编码不在物料档案里"))</f>
        <v/>
      </c>
      <c r="I2163" s="24">
        <f>IF($D2163="","",IFERROR(VLOOKUP($D2163,物料档案!$A$4:$P$1203,6,0),"※编码不在物料档案里"))</f>
        <v/>
      </c>
      <c r="J2163" s="23" t="n"/>
      <c r="K2163" s="17" t="n"/>
      <c r="L2163" s="17" t="n"/>
      <c r="M2163" s="17" t="n"/>
      <c r="N2163" s="17" t="n"/>
      <c r="O2163" s="26">
        <f>IF($D2163="","",IFERROR(VLOOKUP($D2163,物料档案!$A$4:$P$1203,10,0),0))</f>
        <v/>
      </c>
      <c r="P2163" s="32" t="n"/>
      <c r="Q2163" s="26">
        <f>IF($D2163="","",IF($K2163&lt;&gt;"对外销售",0,ROUND(N($J2163)*IF($P2163="",N($O2163),N($P2163)),0)))</f>
        <v/>
      </c>
      <c r="R2163" s="26">
        <f>IF($D2163="","",IFERROR(VLOOKUP($D2163,库存台账!$A$5:$Y$1204,11,0),0))</f>
        <v/>
      </c>
      <c r="S2163" s="26">
        <f>IF($D2163="","",ROUND(N($J2163)*N($R2163),0))</f>
        <v/>
      </c>
      <c r="T2163" s="26">
        <f>IF($D2163="","",IF($K2163&lt;&gt;"对外销售","",ROUND($Q2163-$S2163,0)))</f>
        <v/>
      </c>
      <c r="U2163" s="17" t="n"/>
      <c r="V2163" s="17" t="n"/>
      <c r="W2163" s="24">
        <f>IF($D2163="","",IF($E2163="※编码不在物料档案里","※物料编码不在档案里",IF(N($J2163)&lt;=0,"※出库数量要大于 0",IF($K2163="","※没填去向类型",IF($L2163="","※没填去向矿区",IF(AND($C2163&lt;&gt;"",$C2163&lt;=结账锁),"※日期早于已结账截止日，不能再录",IF(AND($K2163="自用消耗",COUNTIF({"一矿区";"二矿区"},$L2163)=0),"※自用消耗的去向只能是一矿区或二矿区",IF(AND($K2163="对外销售",COUNTIF({"三矿区";"六矿区"},$L2163)=0),"※对外销售的去向只能是三矿区或六矿区",IF(AND($K2163="对外销售",ROUND($Q2163,0)=0),"※外销却没有售价，请填实际售价",IF(AND($K2163="对外销售",$T2163&lt;&gt;"",$T2163&lt;0),"※这一笔外销是亏的，请核对售价",IF(IFERROR(VLOOKUP($D2163,库存台账!$A$5:$Y$1204,24,0),0)&lt;-0.001,"※这个物料账面已经变成负数了，查一下是不是漏记入库","")))))))))))</f>
        <v/>
      </c>
    </row>
    <row r="2164">
      <c r="A2164" s="24">
        <f>IF($D2164="","",COUNTA($D$4:$D2164))</f>
        <v/>
      </c>
      <c r="B2164" s="17" t="n"/>
      <c r="C2164" s="30" t="n"/>
      <c r="D2164" s="17" t="n"/>
      <c r="E2164" s="24">
        <f>IF($D2164="","",IFERROR(VLOOKUP($D2164,物料档案!$A$4:$P$1203,3,0),"※编码不在物料档案里"))</f>
        <v/>
      </c>
      <c r="F2164" s="24">
        <f>IF($D2164="","",IFERROR(VLOOKUP($D2164,物料档案!$A$4:$P$1203,4,0),"※编码不在物料档案里"))</f>
        <v/>
      </c>
      <c r="G2164" s="24">
        <f>IF($D2164="","",IFERROR(VLOOKUP($D2164,物料档案!$A$4:$P$1203,5,0),"※编码不在物料档案里"))</f>
        <v/>
      </c>
      <c r="H2164" s="24">
        <f>IF($D2164="","",IFERROR(VLOOKUP($D2164,物料档案!$A$4:$P$1203,2,0),"※编码不在物料档案里"))</f>
        <v/>
      </c>
      <c r="I2164" s="24">
        <f>IF($D2164="","",IFERROR(VLOOKUP($D2164,物料档案!$A$4:$P$1203,6,0),"※编码不在物料档案里"))</f>
        <v/>
      </c>
      <c r="J2164" s="23" t="n"/>
      <c r="K2164" s="17" t="n"/>
      <c r="L2164" s="17" t="n"/>
      <c r="M2164" s="17" t="n"/>
      <c r="N2164" s="17" t="n"/>
      <c r="O2164" s="26">
        <f>IF($D2164="","",IFERROR(VLOOKUP($D2164,物料档案!$A$4:$P$1203,10,0),0))</f>
        <v/>
      </c>
      <c r="P2164" s="32" t="n"/>
      <c r="Q2164" s="26">
        <f>IF($D2164="","",IF($K2164&lt;&gt;"对外销售",0,ROUND(N($J2164)*IF($P2164="",N($O2164),N($P2164)),0)))</f>
        <v/>
      </c>
      <c r="R2164" s="26">
        <f>IF($D2164="","",IFERROR(VLOOKUP($D2164,库存台账!$A$5:$Y$1204,11,0),0))</f>
        <v/>
      </c>
      <c r="S2164" s="26">
        <f>IF($D2164="","",ROUND(N($J2164)*N($R2164),0))</f>
        <v/>
      </c>
      <c r="T2164" s="26">
        <f>IF($D2164="","",IF($K2164&lt;&gt;"对外销售","",ROUND($Q2164-$S2164,0)))</f>
        <v/>
      </c>
      <c r="U2164" s="17" t="n"/>
      <c r="V2164" s="17" t="n"/>
      <c r="W2164" s="24">
        <f>IF($D2164="","",IF($E2164="※编码不在物料档案里","※物料编码不在档案里",IF(N($J2164)&lt;=0,"※出库数量要大于 0",IF($K2164="","※没填去向类型",IF($L2164="","※没填去向矿区",IF(AND($C2164&lt;&gt;"",$C2164&lt;=结账锁),"※日期早于已结账截止日，不能再录",IF(AND($K2164="自用消耗",COUNTIF({"一矿区";"二矿区"},$L2164)=0),"※自用消耗的去向只能是一矿区或二矿区",IF(AND($K2164="对外销售",COUNTIF({"三矿区";"六矿区"},$L2164)=0),"※对外销售的去向只能是三矿区或六矿区",IF(AND($K2164="对外销售",ROUND($Q2164,0)=0),"※外销却没有售价，请填实际售价",IF(AND($K2164="对外销售",$T2164&lt;&gt;"",$T2164&lt;0),"※这一笔外销是亏的，请核对售价",IF(IFERROR(VLOOKUP($D2164,库存台账!$A$5:$Y$1204,24,0),0)&lt;-0.001,"※这个物料账面已经变成负数了，查一下是不是漏记入库","")))))))))))</f>
        <v/>
      </c>
    </row>
    <row r="2165">
      <c r="A2165" s="24">
        <f>IF($D2165="","",COUNTA($D$4:$D2165))</f>
        <v/>
      </c>
      <c r="B2165" s="17" t="n"/>
      <c r="C2165" s="30" t="n"/>
      <c r="D2165" s="17" t="n"/>
      <c r="E2165" s="24">
        <f>IF($D2165="","",IFERROR(VLOOKUP($D2165,物料档案!$A$4:$P$1203,3,0),"※编码不在物料档案里"))</f>
        <v/>
      </c>
      <c r="F2165" s="24">
        <f>IF($D2165="","",IFERROR(VLOOKUP($D2165,物料档案!$A$4:$P$1203,4,0),"※编码不在物料档案里"))</f>
        <v/>
      </c>
      <c r="G2165" s="24">
        <f>IF($D2165="","",IFERROR(VLOOKUP($D2165,物料档案!$A$4:$P$1203,5,0),"※编码不在物料档案里"))</f>
        <v/>
      </c>
      <c r="H2165" s="24">
        <f>IF($D2165="","",IFERROR(VLOOKUP($D2165,物料档案!$A$4:$P$1203,2,0),"※编码不在物料档案里"))</f>
        <v/>
      </c>
      <c r="I2165" s="24">
        <f>IF($D2165="","",IFERROR(VLOOKUP($D2165,物料档案!$A$4:$P$1203,6,0),"※编码不在物料档案里"))</f>
        <v/>
      </c>
      <c r="J2165" s="23" t="n"/>
      <c r="K2165" s="17" t="n"/>
      <c r="L2165" s="17" t="n"/>
      <c r="M2165" s="17" t="n"/>
      <c r="N2165" s="17" t="n"/>
      <c r="O2165" s="26">
        <f>IF($D2165="","",IFERROR(VLOOKUP($D2165,物料档案!$A$4:$P$1203,10,0),0))</f>
        <v/>
      </c>
      <c r="P2165" s="32" t="n"/>
      <c r="Q2165" s="26">
        <f>IF($D2165="","",IF($K2165&lt;&gt;"对外销售",0,ROUND(N($J2165)*IF($P2165="",N($O2165),N($P2165)),0)))</f>
        <v/>
      </c>
      <c r="R2165" s="26">
        <f>IF($D2165="","",IFERROR(VLOOKUP($D2165,库存台账!$A$5:$Y$1204,11,0),0))</f>
        <v/>
      </c>
      <c r="S2165" s="26">
        <f>IF($D2165="","",ROUND(N($J2165)*N($R2165),0))</f>
        <v/>
      </c>
      <c r="T2165" s="26">
        <f>IF($D2165="","",IF($K2165&lt;&gt;"对外销售","",ROUND($Q2165-$S2165,0)))</f>
        <v/>
      </c>
      <c r="U2165" s="17" t="n"/>
      <c r="V2165" s="17" t="n"/>
      <c r="W2165" s="24">
        <f>IF($D2165="","",IF($E2165="※编码不在物料档案里","※物料编码不在档案里",IF(N($J2165)&lt;=0,"※出库数量要大于 0",IF($K2165="","※没填去向类型",IF($L2165="","※没填去向矿区",IF(AND($C2165&lt;&gt;"",$C2165&lt;=结账锁),"※日期早于已结账截止日，不能再录",IF(AND($K2165="自用消耗",COUNTIF({"一矿区";"二矿区"},$L2165)=0),"※自用消耗的去向只能是一矿区或二矿区",IF(AND($K2165="对外销售",COUNTIF({"三矿区";"六矿区"},$L2165)=0),"※对外销售的去向只能是三矿区或六矿区",IF(AND($K2165="对外销售",ROUND($Q2165,0)=0),"※外销却没有售价，请填实际售价",IF(AND($K2165="对外销售",$T2165&lt;&gt;"",$T2165&lt;0),"※这一笔外销是亏的，请核对售价",IF(IFERROR(VLOOKUP($D2165,库存台账!$A$5:$Y$1204,24,0),0)&lt;-0.001,"※这个物料账面已经变成负数了，查一下是不是漏记入库","")))))))))))</f>
        <v/>
      </c>
    </row>
    <row r="2166">
      <c r="A2166" s="24">
        <f>IF($D2166="","",COUNTA($D$4:$D2166))</f>
        <v/>
      </c>
      <c r="B2166" s="17" t="n"/>
      <c r="C2166" s="30" t="n"/>
      <c r="D2166" s="17" t="n"/>
      <c r="E2166" s="24">
        <f>IF($D2166="","",IFERROR(VLOOKUP($D2166,物料档案!$A$4:$P$1203,3,0),"※编码不在物料档案里"))</f>
        <v/>
      </c>
      <c r="F2166" s="24">
        <f>IF($D2166="","",IFERROR(VLOOKUP($D2166,物料档案!$A$4:$P$1203,4,0),"※编码不在物料档案里"))</f>
        <v/>
      </c>
      <c r="G2166" s="24">
        <f>IF($D2166="","",IFERROR(VLOOKUP($D2166,物料档案!$A$4:$P$1203,5,0),"※编码不在物料档案里"))</f>
        <v/>
      </c>
      <c r="H2166" s="24">
        <f>IF($D2166="","",IFERROR(VLOOKUP($D2166,物料档案!$A$4:$P$1203,2,0),"※编码不在物料档案里"))</f>
        <v/>
      </c>
      <c r="I2166" s="24">
        <f>IF($D2166="","",IFERROR(VLOOKUP($D2166,物料档案!$A$4:$P$1203,6,0),"※编码不在物料档案里"))</f>
        <v/>
      </c>
      <c r="J2166" s="23" t="n"/>
      <c r="K2166" s="17" t="n"/>
      <c r="L2166" s="17" t="n"/>
      <c r="M2166" s="17" t="n"/>
      <c r="N2166" s="17" t="n"/>
      <c r="O2166" s="26">
        <f>IF($D2166="","",IFERROR(VLOOKUP($D2166,物料档案!$A$4:$P$1203,10,0),0))</f>
        <v/>
      </c>
      <c r="P2166" s="32" t="n"/>
      <c r="Q2166" s="26">
        <f>IF($D2166="","",IF($K2166&lt;&gt;"对外销售",0,ROUND(N($J2166)*IF($P2166="",N($O2166),N($P2166)),0)))</f>
        <v/>
      </c>
      <c r="R2166" s="26">
        <f>IF($D2166="","",IFERROR(VLOOKUP($D2166,库存台账!$A$5:$Y$1204,11,0),0))</f>
        <v/>
      </c>
      <c r="S2166" s="26">
        <f>IF($D2166="","",ROUND(N($J2166)*N($R2166),0))</f>
        <v/>
      </c>
      <c r="T2166" s="26">
        <f>IF($D2166="","",IF($K2166&lt;&gt;"对外销售","",ROUND($Q2166-$S2166,0)))</f>
        <v/>
      </c>
      <c r="U2166" s="17" t="n"/>
      <c r="V2166" s="17" t="n"/>
      <c r="W2166" s="24">
        <f>IF($D2166="","",IF($E2166="※编码不在物料档案里","※物料编码不在档案里",IF(N($J2166)&lt;=0,"※出库数量要大于 0",IF($K2166="","※没填去向类型",IF($L2166="","※没填去向矿区",IF(AND($C2166&lt;&gt;"",$C2166&lt;=结账锁),"※日期早于已结账截止日，不能再录",IF(AND($K2166="自用消耗",COUNTIF({"一矿区";"二矿区"},$L2166)=0),"※自用消耗的去向只能是一矿区或二矿区",IF(AND($K2166="对外销售",COUNTIF({"三矿区";"六矿区"},$L2166)=0),"※对外销售的去向只能是三矿区或六矿区",IF(AND($K2166="对外销售",ROUND($Q2166,0)=0),"※外销却没有售价，请填实际售价",IF(AND($K2166="对外销售",$T2166&lt;&gt;"",$T2166&lt;0),"※这一笔外销是亏的，请核对售价",IF(IFERROR(VLOOKUP($D2166,库存台账!$A$5:$Y$1204,24,0),0)&lt;-0.001,"※这个物料账面已经变成负数了，查一下是不是漏记入库","")))))))))))</f>
        <v/>
      </c>
    </row>
    <row r="2167">
      <c r="A2167" s="24">
        <f>IF($D2167="","",COUNTA($D$4:$D2167))</f>
        <v/>
      </c>
      <c r="B2167" s="17" t="n"/>
      <c r="C2167" s="30" t="n"/>
      <c r="D2167" s="17" t="n"/>
      <c r="E2167" s="24">
        <f>IF($D2167="","",IFERROR(VLOOKUP($D2167,物料档案!$A$4:$P$1203,3,0),"※编码不在物料档案里"))</f>
        <v/>
      </c>
      <c r="F2167" s="24">
        <f>IF($D2167="","",IFERROR(VLOOKUP($D2167,物料档案!$A$4:$P$1203,4,0),"※编码不在物料档案里"))</f>
        <v/>
      </c>
      <c r="G2167" s="24">
        <f>IF($D2167="","",IFERROR(VLOOKUP($D2167,物料档案!$A$4:$P$1203,5,0),"※编码不在物料档案里"))</f>
        <v/>
      </c>
      <c r="H2167" s="24">
        <f>IF($D2167="","",IFERROR(VLOOKUP($D2167,物料档案!$A$4:$P$1203,2,0),"※编码不在物料档案里"))</f>
        <v/>
      </c>
      <c r="I2167" s="24">
        <f>IF($D2167="","",IFERROR(VLOOKUP($D2167,物料档案!$A$4:$P$1203,6,0),"※编码不在物料档案里"))</f>
        <v/>
      </c>
      <c r="J2167" s="23" t="n"/>
      <c r="K2167" s="17" t="n"/>
      <c r="L2167" s="17" t="n"/>
      <c r="M2167" s="17" t="n"/>
      <c r="N2167" s="17" t="n"/>
      <c r="O2167" s="26">
        <f>IF($D2167="","",IFERROR(VLOOKUP($D2167,物料档案!$A$4:$P$1203,10,0),0))</f>
        <v/>
      </c>
      <c r="P2167" s="32" t="n"/>
      <c r="Q2167" s="26">
        <f>IF($D2167="","",IF($K2167&lt;&gt;"对外销售",0,ROUND(N($J2167)*IF($P2167="",N($O2167),N($P2167)),0)))</f>
        <v/>
      </c>
      <c r="R2167" s="26">
        <f>IF($D2167="","",IFERROR(VLOOKUP($D2167,库存台账!$A$5:$Y$1204,11,0),0))</f>
        <v/>
      </c>
      <c r="S2167" s="26">
        <f>IF($D2167="","",ROUND(N($J2167)*N($R2167),0))</f>
        <v/>
      </c>
      <c r="T2167" s="26">
        <f>IF($D2167="","",IF($K2167&lt;&gt;"对外销售","",ROUND($Q2167-$S2167,0)))</f>
        <v/>
      </c>
      <c r="U2167" s="17" t="n"/>
      <c r="V2167" s="17" t="n"/>
      <c r="W2167" s="24">
        <f>IF($D2167="","",IF($E2167="※编码不在物料档案里","※物料编码不在档案里",IF(N($J2167)&lt;=0,"※出库数量要大于 0",IF($K2167="","※没填去向类型",IF($L2167="","※没填去向矿区",IF(AND($C2167&lt;&gt;"",$C2167&lt;=结账锁),"※日期早于已结账截止日，不能再录",IF(AND($K2167="自用消耗",COUNTIF({"一矿区";"二矿区"},$L2167)=0),"※自用消耗的去向只能是一矿区或二矿区",IF(AND($K2167="对外销售",COUNTIF({"三矿区";"六矿区"},$L2167)=0),"※对外销售的去向只能是三矿区或六矿区",IF(AND($K2167="对外销售",ROUND($Q2167,0)=0),"※外销却没有售价，请填实际售价",IF(AND($K2167="对外销售",$T2167&lt;&gt;"",$T2167&lt;0),"※这一笔外销是亏的，请核对售价",IF(IFERROR(VLOOKUP($D2167,库存台账!$A$5:$Y$1204,24,0),0)&lt;-0.001,"※这个物料账面已经变成负数了，查一下是不是漏记入库","")))))))))))</f>
        <v/>
      </c>
    </row>
    <row r="2168">
      <c r="A2168" s="24">
        <f>IF($D2168="","",COUNTA($D$4:$D2168))</f>
        <v/>
      </c>
      <c r="B2168" s="17" t="n"/>
      <c r="C2168" s="30" t="n"/>
      <c r="D2168" s="17" t="n"/>
      <c r="E2168" s="24">
        <f>IF($D2168="","",IFERROR(VLOOKUP($D2168,物料档案!$A$4:$P$1203,3,0),"※编码不在物料档案里"))</f>
        <v/>
      </c>
      <c r="F2168" s="24">
        <f>IF($D2168="","",IFERROR(VLOOKUP($D2168,物料档案!$A$4:$P$1203,4,0),"※编码不在物料档案里"))</f>
        <v/>
      </c>
      <c r="G2168" s="24">
        <f>IF($D2168="","",IFERROR(VLOOKUP($D2168,物料档案!$A$4:$P$1203,5,0),"※编码不在物料档案里"))</f>
        <v/>
      </c>
      <c r="H2168" s="24">
        <f>IF($D2168="","",IFERROR(VLOOKUP($D2168,物料档案!$A$4:$P$1203,2,0),"※编码不在物料档案里"))</f>
        <v/>
      </c>
      <c r="I2168" s="24">
        <f>IF($D2168="","",IFERROR(VLOOKUP($D2168,物料档案!$A$4:$P$1203,6,0),"※编码不在物料档案里"))</f>
        <v/>
      </c>
      <c r="J2168" s="23" t="n"/>
      <c r="K2168" s="17" t="n"/>
      <c r="L2168" s="17" t="n"/>
      <c r="M2168" s="17" t="n"/>
      <c r="N2168" s="17" t="n"/>
      <c r="O2168" s="26">
        <f>IF($D2168="","",IFERROR(VLOOKUP($D2168,物料档案!$A$4:$P$1203,10,0),0))</f>
        <v/>
      </c>
      <c r="P2168" s="32" t="n"/>
      <c r="Q2168" s="26">
        <f>IF($D2168="","",IF($K2168&lt;&gt;"对外销售",0,ROUND(N($J2168)*IF($P2168="",N($O2168),N($P2168)),0)))</f>
        <v/>
      </c>
      <c r="R2168" s="26">
        <f>IF($D2168="","",IFERROR(VLOOKUP($D2168,库存台账!$A$5:$Y$1204,11,0),0))</f>
        <v/>
      </c>
      <c r="S2168" s="26">
        <f>IF($D2168="","",ROUND(N($J2168)*N($R2168),0))</f>
        <v/>
      </c>
      <c r="T2168" s="26">
        <f>IF($D2168="","",IF($K2168&lt;&gt;"对外销售","",ROUND($Q2168-$S2168,0)))</f>
        <v/>
      </c>
      <c r="U2168" s="17" t="n"/>
      <c r="V2168" s="17" t="n"/>
      <c r="W2168" s="24">
        <f>IF($D2168="","",IF($E2168="※编码不在物料档案里","※物料编码不在档案里",IF(N($J2168)&lt;=0,"※出库数量要大于 0",IF($K2168="","※没填去向类型",IF($L2168="","※没填去向矿区",IF(AND($C2168&lt;&gt;"",$C2168&lt;=结账锁),"※日期早于已结账截止日，不能再录",IF(AND($K2168="自用消耗",COUNTIF({"一矿区";"二矿区"},$L2168)=0),"※自用消耗的去向只能是一矿区或二矿区",IF(AND($K2168="对外销售",COUNTIF({"三矿区";"六矿区"},$L2168)=0),"※对外销售的去向只能是三矿区或六矿区",IF(AND($K2168="对外销售",ROUND($Q2168,0)=0),"※外销却没有售价，请填实际售价",IF(AND($K2168="对外销售",$T2168&lt;&gt;"",$T2168&lt;0),"※这一笔外销是亏的，请核对售价",IF(IFERROR(VLOOKUP($D2168,库存台账!$A$5:$Y$1204,24,0),0)&lt;-0.001,"※这个物料账面已经变成负数了，查一下是不是漏记入库","")))))))))))</f>
        <v/>
      </c>
    </row>
    <row r="2169">
      <c r="A2169" s="24">
        <f>IF($D2169="","",COUNTA($D$4:$D2169))</f>
        <v/>
      </c>
      <c r="B2169" s="17" t="n"/>
      <c r="C2169" s="30" t="n"/>
      <c r="D2169" s="17" t="n"/>
      <c r="E2169" s="24">
        <f>IF($D2169="","",IFERROR(VLOOKUP($D2169,物料档案!$A$4:$P$1203,3,0),"※编码不在物料档案里"))</f>
        <v/>
      </c>
      <c r="F2169" s="24">
        <f>IF($D2169="","",IFERROR(VLOOKUP($D2169,物料档案!$A$4:$P$1203,4,0),"※编码不在物料档案里"))</f>
        <v/>
      </c>
      <c r="G2169" s="24">
        <f>IF($D2169="","",IFERROR(VLOOKUP($D2169,物料档案!$A$4:$P$1203,5,0),"※编码不在物料档案里"))</f>
        <v/>
      </c>
      <c r="H2169" s="24">
        <f>IF($D2169="","",IFERROR(VLOOKUP($D2169,物料档案!$A$4:$P$1203,2,0),"※编码不在物料档案里"))</f>
        <v/>
      </c>
      <c r="I2169" s="24">
        <f>IF($D2169="","",IFERROR(VLOOKUP($D2169,物料档案!$A$4:$P$1203,6,0),"※编码不在物料档案里"))</f>
        <v/>
      </c>
      <c r="J2169" s="23" t="n"/>
      <c r="K2169" s="17" t="n"/>
      <c r="L2169" s="17" t="n"/>
      <c r="M2169" s="17" t="n"/>
      <c r="N2169" s="17" t="n"/>
      <c r="O2169" s="26">
        <f>IF($D2169="","",IFERROR(VLOOKUP($D2169,物料档案!$A$4:$P$1203,10,0),0))</f>
        <v/>
      </c>
      <c r="P2169" s="32" t="n"/>
      <c r="Q2169" s="26">
        <f>IF($D2169="","",IF($K2169&lt;&gt;"对外销售",0,ROUND(N($J2169)*IF($P2169="",N($O2169),N($P2169)),0)))</f>
        <v/>
      </c>
      <c r="R2169" s="26">
        <f>IF($D2169="","",IFERROR(VLOOKUP($D2169,库存台账!$A$5:$Y$1204,11,0),0))</f>
        <v/>
      </c>
      <c r="S2169" s="26">
        <f>IF($D2169="","",ROUND(N($J2169)*N($R2169),0))</f>
        <v/>
      </c>
      <c r="T2169" s="26">
        <f>IF($D2169="","",IF($K2169&lt;&gt;"对外销售","",ROUND($Q2169-$S2169,0)))</f>
        <v/>
      </c>
      <c r="U2169" s="17" t="n"/>
      <c r="V2169" s="17" t="n"/>
      <c r="W2169" s="24">
        <f>IF($D2169="","",IF($E2169="※编码不在物料档案里","※物料编码不在档案里",IF(N($J2169)&lt;=0,"※出库数量要大于 0",IF($K2169="","※没填去向类型",IF($L2169="","※没填去向矿区",IF(AND($C2169&lt;&gt;"",$C2169&lt;=结账锁),"※日期早于已结账截止日，不能再录",IF(AND($K2169="自用消耗",COUNTIF({"一矿区";"二矿区"},$L2169)=0),"※自用消耗的去向只能是一矿区或二矿区",IF(AND($K2169="对外销售",COUNTIF({"三矿区";"六矿区"},$L2169)=0),"※对外销售的去向只能是三矿区或六矿区",IF(AND($K2169="对外销售",ROUND($Q2169,0)=0),"※外销却没有售价，请填实际售价",IF(AND($K2169="对外销售",$T2169&lt;&gt;"",$T2169&lt;0),"※这一笔外销是亏的，请核对售价",IF(IFERROR(VLOOKUP($D2169,库存台账!$A$5:$Y$1204,24,0),0)&lt;-0.001,"※这个物料账面已经变成负数了，查一下是不是漏记入库","")))))))))))</f>
        <v/>
      </c>
    </row>
    <row r="2170">
      <c r="A2170" s="24">
        <f>IF($D2170="","",COUNTA($D$4:$D2170))</f>
        <v/>
      </c>
      <c r="B2170" s="17" t="n"/>
      <c r="C2170" s="30" t="n"/>
      <c r="D2170" s="17" t="n"/>
      <c r="E2170" s="24">
        <f>IF($D2170="","",IFERROR(VLOOKUP($D2170,物料档案!$A$4:$P$1203,3,0),"※编码不在物料档案里"))</f>
        <v/>
      </c>
      <c r="F2170" s="24">
        <f>IF($D2170="","",IFERROR(VLOOKUP($D2170,物料档案!$A$4:$P$1203,4,0),"※编码不在物料档案里"))</f>
        <v/>
      </c>
      <c r="G2170" s="24">
        <f>IF($D2170="","",IFERROR(VLOOKUP($D2170,物料档案!$A$4:$P$1203,5,0),"※编码不在物料档案里"))</f>
        <v/>
      </c>
      <c r="H2170" s="24">
        <f>IF($D2170="","",IFERROR(VLOOKUP($D2170,物料档案!$A$4:$P$1203,2,0),"※编码不在物料档案里"))</f>
        <v/>
      </c>
      <c r="I2170" s="24">
        <f>IF($D2170="","",IFERROR(VLOOKUP($D2170,物料档案!$A$4:$P$1203,6,0),"※编码不在物料档案里"))</f>
        <v/>
      </c>
      <c r="J2170" s="23" t="n"/>
      <c r="K2170" s="17" t="n"/>
      <c r="L2170" s="17" t="n"/>
      <c r="M2170" s="17" t="n"/>
      <c r="N2170" s="17" t="n"/>
      <c r="O2170" s="26">
        <f>IF($D2170="","",IFERROR(VLOOKUP($D2170,物料档案!$A$4:$P$1203,10,0),0))</f>
        <v/>
      </c>
      <c r="P2170" s="32" t="n"/>
      <c r="Q2170" s="26">
        <f>IF($D2170="","",IF($K2170&lt;&gt;"对外销售",0,ROUND(N($J2170)*IF($P2170="",N($O2170),N($P2170)),0)))</f>
        <v/>
      </c>
      <c r="R2170" s="26">
        <f>IF($D2170="","",IFERROR(VLOOKUP($D2170,库存台账!$A$5:$Y$1204,11,0),0))</f>
        <v/>
      </c>
      <c r="S2170" s="26">
        <f>IF($D2170="","",ROUND(N($J2170)*N($R2170),0))</f>
        <v/>
      </c>
      <c r="T2170" s="26">
        <f>IF($D2170="","",IF($K2170&lt;&gt;"对外销售","",ROUND($Q2170-$S2170,0)))</f>
        <v/>
      </c>
      <c r="U2170" s="17" t="n"/>
      <c r="V2170" s="17" t="n"/>
      <c r="W2170" s="24">
        <f>IF($D2170="","",IF($E2170="※编码不在物料档案里","※物料编码不在档案里",IF(N($J2170)&lt;=0,"※出库数量要大于 0",IF($K2170="","※没填去向类型",IF($L2170="","※没填去向矿区",IF(AND($C2170&lt;&gt;"",$C2170&lt;=结账锁),"※日期早于已结账截止日，不能再录",IF(AND($K2170="自用消耗",COUNTIF({"一矿区";"二矿区"},$L2170)=0),"※自用消耗的去向只能是一矿区或二矿区",IF(AND($K2170="对外销售",COUNTIF({"三矿区";"六矿区"},$L2170)=0),"※对外销售的去向只能是三矿区或六矿区",IF(AND($K2170="对外销售",ROUND($Q2170,0)=0),"※外销却没有售价，请填实际售价",IF(AND($K2170="对外销售",$T2170&lt;&gt;"",$T2170&lt;0),"※这一笔外销是亏的，请核对售价",IF(IFERROR(VLOOKUP($D2170,库存台账!$A$5:$Y$1204,24,0),0)&lt;-0.001,"※这个物料账面已经变成负数了，查一下是不是漏记入库","")))))))))))</f>
        <v/>
      </c>
    </row>
    <row r="2171">
      <c r="A2171" s="24">
        <f>IF($D2171="","",COUNTA($D$4:$D2171))</f>
        <v/>
      </c>
      <c r="B2171" s="17" t="n"/>
      <c r="C2171" s="30" t="n"/>
      <c r="D2171" s="17" t="n"/>
      <c r="E2171" s="24">
        <f>IF($D2171="","",IFERROR(VLOOKUP($D2171,物料档案!$A$4:$P$1203,3,0),"※编码不在物料档案里"))</f>
        <v/>
      </c>
      <c r="F2171" s="24">
        <f>IF($D2171="","",IFERROR(VLOOKUP($D2171,物料档案!$A$4:$P$1203,4,0),"※编码不在物料档案里"))</f>
        <v/>
      </c>
      <c r="G2171" s="24">
        <f>IF($D2171="","",IFERROR(VLOOKUP($D2171,物料档案!$A$4:$P$1203,5,0),"※编码不在物料档案里"))</f>
        <v/>
      </c>
      <c r="H2171" s="24">
        <f>IF($D2171="","",IFERROR(VLOOKUP($D2171,物料档案!$A$4:$P$1203,2,0),"※编码不在物料档案里"))</f>
        <v/>
      </c>
      <c r="I2171" s="24">
        <f>IF($D2171="","",IFERROR(VLOOKUP($D2171,物料档案!$A$4:$P$1203,6,0),"※编码不在物料档案里"))</f>
        <v/>
      </c>
      <c r="J2171" s="23" t="n"/>
      <c r="K2171" s="17" t="n"/>
      <c r="L2171" s="17" t="n"/>
      <c r="M2171" s="17" t="n"/>
      <c r="N2171" s="17" t="n"/>
      <c r="O2171" s="26">
        <f>IF($D2171="","",IFERROR(VLOOKUP($D2171,物料档案!$A$4:$P$1203,10,0),0))</f>
        <v/>
      </c>
      <c r="P2171" s="32" t="n"/>
      <c r="Q2171" s="26">
        <f>IF($D2171="","",IF($K2171&lt;&gt;"对外销售",0,ROUND(N($J2171)*IF($P2171="",N($O2171),N($P2171)),0)))</f>
        <v/>
      </c>
      <c r="R2171" s="26">
        <f>IF($D2171="","",IFERROR(VLOOKUP($D2171,库存台账!$A$5:$Y$1204,11,0),0))</f>
        <v/>
      </c>
      <c r="S2171" s="26">
        <f>IF($D2171="","",ROUND(N($J2171)*N($R2171),0))</f>
        <v/>
      </c>
      <c r="T2171" s="26">
        <f>IF($D2171="","",IF($K2171&lt;&gt;"对外销售","",ROUND($Q2171-$S2171,0)))</f>
        <v/>
      </c>
      <c r="U2171" s="17" t="n"/>
      <c r="V2171" s="17" t="n"/>
      <c r="W2171" s="24">
        <f>IF($D2171="","",IF($E2171="※编码不在物料档案里","※物料编码不在档案里",IF(N($J2171)&lt;=0,"※出库数量要大于 0",IF($K2171="","※没填去向类型",IF($L2171="","※没填去向矿区",IF(AND($C2171&lt;&gt;"",$C2171&lt;=结账锁),"※日期早于已结账截止日，不能再录",IF(AND($K2171="自用消耗",COUNTIF({"一矿区";"二矿区"},$L2171)=0),"※自用消耗的去向只能是一矿区或二矿区",IF(AND($K2171="对外销售",COUNTIF({"三矿区";"六矿区"},$L2171)=0),"※对外销售的去向只能是三矿区或六矿区",IF(AND($K2171="对外销售",ROUND($Q2171,0)=0),"※外销却没有售价，请填实际售价",IF(AND($K2171="对外销售",$T2171&lt;&gt;"",$T2171&lt;0),"※这一笔外销是亏的，请核对售价",IF(IFERROR(VLOOKUP($D2171,库存台账!$A$5:$Y$1204,24,0),0)&lt;-0.001,"※这个物料账面已经变成负数了，查一下是不是漏记入库","")))))))))))</f>
        <v/>
      </c>
    </row>
    <row r="2172">
      <c r="A2172" s="24">
        <f>IF($D2172="","",COUNTA($D$4:$D2172))</f>
        <v/>
      </c>
      <c r="B2172" s="17" t="n"/>
      <c r="C2172" s="30" t="n"/>
      <c r="D2172" s="17" t="n"/>
      <c r="E2172" s="24">
        <f>IF($D2172="","",IFERROR(VLOOKUP($D2172,物料档案!$A$4:$P$1203,3,0),"※编码不在物料档案里"))</f>
        <v/>
      </c>
      <c r="F2172" s="24">
        <f>IF($D2172="","",IFERROR(VLOOKUP($D2172,物料档案!$A$4:$P$1203,4,0),"※编码不在物料档案里"))</f>
        <v/>
      </c>
      <c r="G2172" s="24">
        <f>IF($D2172="","",IFERROR(VLOOKUP($D2172,物料档案!$A$4:$P$1203,5,0),"※编码不在物料档案里"))</f>
        <v/>
      </c>
      <c r="H2172" s="24">
        <f>IF($D2172="","",IFERROR(VLOOKUP($D2172,物料档案!$A$4:$P$1203,2,0),"※编码不在物料档案里"))</f>
        <v/>
      </c>
      <c r="I2172" s="24">
        <f>IF($D2172="","",IFERROR(VLOOKUP($D2172,物料档案!$A$4:$P$1203,6,0),"※编码不在物料档案里"))</f>
        <v/>
      </c>
      <c r="J2172" s="23" t="n"/>
      <c r="K2172" s="17" t="n"/>
      <c r="L2172" s="17" t="n"/>
      <c r="M2172" s="17" t="n"/>
      <c r="N2172" s="17" t="n"/>
      <c r="O2172" s="26">
        <f>IF($D2172="","",IFERROR(VLOOKUP($D2172,物料档案!$A$4:$P$1203,10,0),0))</f>
        <v/>
      </c>
      <c r="P2172" s="32" t="n"/>
      <c r="Q2172" s="26">
        <f>IF($D2172="","",IF($K2172&lt;&gt;"对外销售",0,ROUND(N($J2172)*IF($P2172="",N($O2172),N($P2172)),0)))</f>
        <v/>
      </c>
      <c r="R2172" s="26">
        <f>IF($D2172="","",IFERROR(VLOOKUP($D2172,库存台账!$A$5:$Y$1204,11,0),0))</f>
        <v/>
      </c>
      <c r="S2172" s="26">
        <f>IF($D2172="","",ROUND(N($J2172)*N($R2172),0))</f>
        <v/>
      </c>
      <c r="T2172" s="26">
        <f>IF($D2172="","",IF($K2172&lt;&gt;"对外销售","",ROUND($Q2172-$S2172,0)))</f>
        <v/>
      </c>
      <c r="U2172" s="17" t="n"/>
      <c r="V2172" s="17" t="n"/>
      <c r="W2172" s="24">
        <f>IF($D2172="","",IF($E2172="※编码不在物料档案里","※物料编码不在档案里",IF(N($J2172)&lt;=0,"※出库数量要大于 0",IF($K2172="","※没填去向类型",IF($L2172="","※没填去向矿区",IF(AND($C2172&lt;&gt;"",$C2172&lt;=结账锁),"※日期早于已结账截止日，不能再录",IF(AND($K2172="自用消耗",COUNTIF({"一矿区";"二矿区"},$L2172)=0),"※自用消耗的去向只能是一矿区或二矿区",IF(AND($K2172="对外销售",COUNTIF({"三矿区";"六矿区"},$L2172)=0),"※对外销售的去向只能是三矿区或六矿区",IF(AND($K2172="对外销售",ROUND($Q2172,0)=0),"※外销却没有售价，请填实际售价",IF(AND($K2172="对外销售",$T2172&lt;&gt;"",$T2172&lt;0),"※这一笔外销是亏的，请核对售价",IF(IFERROR(VLOOKUP($D2172,库存台账!$A$5:$Y$1204,24,0),0)&lt;-0.001,"※这个物料账面已经变成负数了，查一下是不是漏记入库","")))))))))))</f>
        <v/>
      </c>
    </row>
    <row r="2173">
      <c r="A2173" s="24">
        <f>IF($D2173="","",COUNTA($D$4:$D2173))</f>
        <v/>
      </c>
      <c r="B2173" s="17" t="n"/>
      <c r="C2173" s="30" t="n"/>
      <c r="D2173" s="17" t="n"/>
      <c r="E2173" s="24">
        <f>IF($D2173="","",IFERROR(VLOOKUP($D2173,物料档案!$A$4:$P$1203,3,0),"※编码不在物料档案里"))</f>
        <v/>
      </c>
      <c r="F2173" s="24">
        <f>IF($D2173="","",IFERROR(VLOOKUP($D2173,物料档案!$A$4:$P$1203,4,0),"※编码不在物料档案里"))</f>
        <v/>
      </c>
      <c r="G2173" s="24">
        <f>IF($D2173="","",IFERROR(VLOOKUP($D2173,物料档案!$A$4:$P$1203,5,0),"※编码不在物料档案里"))</f>
        <v/>
      </c>
      <c r="H2173" s="24">
        <f>IF($D2173="","",IFERROR(VLOOKUP($D2173,物料档案!$A$4:$P$1203,2,0),"※编码不在物料档案里"))</f>
        <v/>
      </c>
      <c r="I2173" s="24">
        <f>IF($D2173="","",IFERROR(VLOOKUP($D2173,物料档案!$A$4:$P$1203,6,0),"※编码不在物料档案里"))</f>
        <v/>
      </c>
      <c r="J2173" s="23" t="n"/>
      <c r="K2173" s="17" t="n"/>
      <c r="L2173" s="17" t="n"/>
      <c r="M2173" s="17" t="n"/>
      <c r="N2173" s="17" t="n"/>
      <c r="O2173" s="26">
        <f>IF($D2173="","",IFERROR(VLOOKUP($D2173,物料档案!$A$4:$P$1203,10,0),0))</f>
        <v/>
      </c>
      <c r="P2173" s="32" t="n"/>
      <c r="Q2173" s="26">
        <f>IF($D2173="","",IF($K2173&lt;&gt;"对外销售",0,ROUND(N($J2173)*IF($P2173="",N($O2173),N($P2173)),0)))</f>
        <v/>
      </c>
      <c r="R2173" s="26">
        <f>IF($D2173="","",IFERROR(VLOOKUP($D2173,库存台账!$A$5:$Y$1204,11,0),0))</f>
        <v/>
      </c>
      <c r="S2173" s="26">
        <f>IF($D2173="","",ROUND(N($J2173)*N($R2173),0))</f>
        <v/>
      </c>
      <c r="T2173" s="26">
        <f>IF($D2173="","",IF($K2173&lt;&gt;"对外销售","",ROUND($Q2173-$S2173,0)))</f>
        <v/>
      </c>
      <c r="U2173" s="17" t="n"/>
      <c r="V2173" s="17" t="n"/>
      <c r="W2173" s="24">
        <f>IF($D2173="","",IF($E2173="※编码不在物料档案里","※物料编码不在档案里",IF(N($J2173)&lt;=0,"※出库数量要大于 0",IF($K2173="","※没填去向类型",IF($L2173="","※没填去向矿区",IF(AND($C2173&lt;&gt;"",$C2173&lt;=结账锁),"※日期早于已结账截止日，不能再录",IF(AND($K2173="自用消耗",COUNTIF({"一矿区";"二矿区"},$L2173)=0),"※自用消耗的去向只能是一矿区或二矿区",IF(AND($K2173="对外销售",COUNTIF({"三矿区";"六矿区"},$L2173)=0),"※对外销售的去向只能是三矿区或六矿区",IF(AND($K2173="对外销售",ROUND($Q2173,0)=0),"※外销却没有售价，请填实际售价",IF(AND($K2173="对外销售",$T2173&lt;&gt;"",$T2173&lt;0),"※这一笔外销是亏的，请核对售价",IF(IFERROR(VLOOKUP($D2173,库存台账!$A$5:$Y$1204,24,0),0)&lt;-0.001,"※这个物料账面已经变成负数了，查一下是不是漏记入库","")))))))))))</f>
        <v/>
      </c>
    </row>
    <row r="2174">
      <c r="A2174" s="24">
        <f>IF($D2174="","",COUNTA($D$4:$D2174))</f>
        <v/>
      </c>
      <c r="B2174" s="17" t="n"/>
      <c r="C2174" s="30" t="n"/>
      <c r="D2174" s="17" t="n"/>
      <c r="E2174" s="24">
        <f>IF($D2174="","",IFERROR(VLOOKUP($D2174,物料档案!$A$4:$P$1203,3,0),"※编码不在物料档案里"))</f>
        <v/>
      </c>
      <c r="F2174" s="24">
        <f>IF($D2174="","",IFERROR(VLOOKUP($D2174,物料档案!$A$4:$P$1203,4,0),"※编码不在物料档案里"))</f>
        <v/>
      </c>
      <c r="G2174" s="24">
        <f>IF($D2174="","",IFERROR(VLOOKUP($D2174,物料档案!$A$4:$P$1203,5,0),"※编码不在物料档案里"))</f>
        <v/>
      </c>
      <c r="H2174" s="24">
        <f>IF($D2174="","",IFERROR(VLOOKUP($D2174,物料档案!$A$4:$P$1203,2,0),"※编码不在物料档案里"))</f>
        <v/>
      </c>
      <c r="I2174" s="24">
        <f>IF($D2174="","",IFERROR(VLOOKUP($D2174,物料档案!$A$4:$P$1203,6,0),"※编码不在物料档案里"))</f>
        <v/>
      </c>
      <c r="J2174" s="23" t="n"/>
      <c r="K2174" s="17" t="n"/>
      <c r="L2174" s="17" t="n"/>
      <c r="M2174" s="17" t="n"/>
      <c r="N2174" s="17" t="n"/>
      <c r="O2174" s="26">
        <f>IF($D2174="","",IFERROR(VLOOKUP($D2174,物料档案!$A$4:$P$1203,10,0),0))</f>
        <v/>
      </c>
      <c r="P2174" s="32" t="n"/>
      <c r="Q2174" s="26">
        <f>IF($D2174="","",IF($K2174&lt;&gt;"对外销售",0,ROUND(N($J2174)*IF($P2174="",N($O2174),N($P2174)),0)))</f>
        <v/>
      </c>
      <c r="R2174" s="26">
        <f>IF($D2174="","",IFERROR(VLOOKUP($D2174,库存台账!$A$5:$Y$1204,11,0),0))</f>
        <v/>
      </c>
      <c r="S2174" s="26">
        <f>IF($D2174="","",ROUND(N($J2174)*N($R2174),0))</f>
        <v/>
      </c>
      <c r="T2174" s="26">
        <f>IF($D2174="","",IF($K2174&lt;&gt;"对外销售","",ROUND($Q2174-$S2174,0)))</f>
        <v/>
      </c>
      <c r="U2174" s="17" t="n"/>
      <c r="V2174" s="17" t="n"/>
      <c r="W2174" s="24">
        <f>IF($D2174="","",IF($E2174="※编码不在物料档案里","※物料编码不在档案里",IF(N($J2174)&lt;=0,"※出库数量要大于 0",IF($K2174="","※没填去向类型",IF($L2174="","※没填去向矿区",IF(AND($C2174&lt;&gt;"",$C2174&lt;=结账锁),"※日期早于已结账截止日，不能再录",IF(AND($K2174="自用消耗",COUNTIF({"一矿区";"二矿区"},$L2174)=0),"※自用消耗的去向只能是一矿区或二矿区",IF(AND($K2174="对外销售",COUNTIF({"三矿区";"六矿区"},$L2174)=0),"※对外销售的去向只能是三矿区或六矿区",IF(AND($K2174="对外销售",ROUND($Q2174,0)=0),"※外销却没有售价，请填实际售价",IF(AND($K2174="对外销售",$T2174&lt;&gt;"",$T2174&lt;0),"※这一笔外销是亏的，请核对售价",IF(IFERROR(VLOOKUP($D2174,库存台账!$A$5:$Y$1204,24,0),0)&lt;-0.001,"※这个物料账面已经变成负数了，查一下是不是漏记入库","")))))))))))</f>
        <v/>
      </c>
    </row>
    <row r="2175">
      <c r="A2175" s="24">
        <f>IF($D2175="","",COUNTA($D$4:$D2175))</f>
        <v/>
      </c>
      <c r="B2175" s="17" t="n"/>
      <c r="C2175" s="30" t="n"/>
      <c r="D2175" s="17" t="n"/>
      <c r="E2175" s="24">
        <f>IF($D2175="","",IFERROR(VLOOKUP($D2175,物料档案!$A$4:$P$1203,3,0),"※编码不在物料档案里"))</f>
        <v/>
      </c>
      <c r="F2175" s="24">
        <f>IF($D2175="","",IFERROR(VLOOKUP($D2175,物料档案!$A$4:$P$1203,4,0),"※编码不在物料档案里"))</f>
        <v/>
      </c>
      <c r="G2175" s="24">
        <f>IF($D2175="","",IFERROR(VLOOKUP($D2175,物料档案!$A$4:$P$1203,5,0),"※编码不在物料档案里"))</f>
        <v/>
      </c>
      <c r="H2175" s="24">
        <f>IF($D2175="","",IFERROR(VLOOKUP($D2175,物料档案!$A$4:$P$1203,2,0),"※编码不在物料档案里"))</f>
        <v/>
      </c>
      <c r="I2175" s="24">
        <f>IF($D2175="","",IFERROR(VLOOKUP($D2175,物料档案!$A$4:$P$1203,6,0),"※编码不在物料档案里"))</f>
        <v/>
      </c>
      <c r="J2175" s="23" t="n"/>
      <c r="K2175" s="17" t="n"/>
      <c r="L2175" s="17" t="n"/>
      <c r="M2175" s="17" t="n"/>
      <c r="N2175" s="17" t="n"/>
      <c r="O2175" s="26">
        <f>IF($D2175="","",IFERROR(VLOOKUP($D2175,物料档案!$A$4:$P$1203,10,0),0))</f>
        <v/>
      </c>
      <c r="P2175" s="32" t="n"/>
      <c r="Q2175" s="26">
        <f>IF($D2175="","",IF($K2175&lt;&gt;"对外销售",0,ROUND(N($J2175)*IF($P2175="",N($O2175),N($P2175)),0)))</f>
        <v/>
      </c>
      <c r="R2175" s="26">
        <f>IF($D2175="","",IFERROR(VLOOKUP($D2175,库存台账!$A$5:$Y$1204,11,0),0))</f>
        <v/>
      </c>
      <c r="S2175" s="26">
        <f>IF($D2175="","",ROUND(N($J2175)*N($R2175),0))</f>
        <v/>
      </c>
      <c r="T2175" s="26">
        <f>IF($D2175="","",IF($K2175&lt;&gt;"对外销售","",ROUND($Q2175-$S2175,0)))</f>
        <v/>
      </c>
      <c r="U2175" s="17" t="n"/>
      <c r="V2175" s="17" t="n"/>
      <c r="W2175" s="24">
        <f>IF($D2175="","",IF($E2175="※编码不在物料档案里","※物料编码不在档案里",IF(N($J2175)&lt;=0,"※出库数量要大于 0",IF($K2175="","※没填去向类型",IF($L2175="","※没填去向矿区",IF(AND($C2175&lt;&gt;"",$C2175&lt;=结账锁),"※日期早于已结账截止日，不能再录",IF(AND($K2175="自用消耗",COUNTIF({"一矿区";"二矿区"},$L2175)=0),"※自用消耗的去向只能是一矿区或二矿区",IF(AND($K2175="对外销售",COUNTIF({"三矿区";"六矿区"},$L2175)=0),"※对外销售的去向只能是三矿区或六矿区",IF(AND($K2175="对外销售",ROUND($Q2175,0)=0),"※外销却没有售价，请填实际售价",IF(AND($K2175="对外销售",$T2175&lt;&gt;"",$T2175&lt;0),"※这一笔外销是亏的，请核对售价",IF(IFERROR(VLOOKUP($D2175,库存台账!$A$5:$Y$1204,24,0),0)&lt;-0.001,"※这个物料账面已经变成负数了，查一下是不是漏记入库","")))))))))))</f>
        <v/>
      </c>
    </row>
    <row r="2176">
      <c r="A2176" s="24">
        <f>IF($D2176="","",COUNTA($D$4:$D2176))</f>
        <v/>
      </c>
      <c r="B2176" s="17" t="n"/>
      <c r="C2176" s="30" t="n"/>
      <c r="D2176" s="17" t="n"/>
      <c r="E2176" s="24">
        <f>IF($D2176="","",IFERROR(VLOOKUP($D2176,物料档案!$A$4:$P$1203,3,0),"※编码不在物料档案里"))</f>
        <v/>
      </c>
      <c r="F2176" s="24">
        <f>IF($D2176="","",IFERROR(VLOOKUP($D2176,物料档案!$A$4:$P$1203,4,0),"※编码不在物料档案里"))</f>
        <v/>
      </c>
      <c r="G2176" s="24">
        <f>IF($D2176="","",IFERROR(VLOOKUP($D2176,物料档案!$A$4:$P$1203,5,0),"※编码不在物料档案里"))</f>
        <v/>
      </c>
      <c r="H2176" s="24">
        <f>IF($D2176="","",IFERROR(VLOOKUP($D2176,物料档案!$A$4:$P$1203,2,0),"※编码不在物料档案里"))</f>
        <v/>
      </c>
      <c r="I2176" s="24">
        <f>IF($D2176="","",IFERROR(VLOOKUP($D2176,物料档案!$A$4:$P$1203,6,0),"※编码不在物料档案里"))</f>
        <v/>
      </c>
      <c r="J2176" s="23" t="n"/>
      <c r="K2176" s="17" t="n"/>
      <c r="L2176" s="17" t="n"/>
      <c r="M2176" s="17" t="n"/>
      <c r="N2176" s="17" t="n"/>
      <c r="O2176" s="26">
        <f>IF($D2176="","",IFERROR(VLOOKUP($D2176,物料档案!$A$4:$P$1203,10,0),0))</f>
        <v/>
      </c>
      <c r="P2176" s="32" t="n"/>
      <c r="Q2176" s="26">
        <f>IF($D2176="","",IF($K2176&lt;&gt;"对外销售",0,ROUND(N($J2176)*IF($P2176="",N($O2176),N($P2176)),0)))</f>
        <v/>
      </c>
      <c r="R2176" s="26">
        <f>IF($D2176="","",IFERROR(VLOOKUP($D2176,库存台账!$A$5:$Y$1204,11,0),0))</f>
        <v/>
      </c>
      <c r="S2176" s="26">
        <f>IF($D2176="","",ROUND(N($J2176)*N($R2176),0))</f>
        <v/>
      </c>
      <c r="T2176" s="26">
        <f>IF($D2176="","",IF($K2176&lt;&gt;"对外销售","",ROUND($Q2176-$S2176,0)))</f>
        <v/>
      </c>
      <c r="U2176" s="17" t="n"/>
      <c r="V2176" s="17" t="n"/>
      <c r="W2176" s="24">
        <f>IF($D2176="","",IF($E2176="※编码不在物料档案里","※物料编码不在档案里",IF(N($J2176)&lt;=0,"※出库数量要大于 0",IF($K2176="","※没填去向类型",IF($L2176="","※没填去向矿区",IF(AND($C2176&lt;&gt;"",$C2176&lt;=结账锁),"※日期早于已结账截止日，不能再录",IF(AND($K2176="自用消耗",COUNTIF({"一矿区";"二矿区"},$L2176)=0),"※自用消耗的去向只能是一矿区或二矿区",IF(AND($K2176="对外销售",COUNTIF({"三矿区";"六矿区"},$L2176)=0),"※对外销售的去向只能是三矿区或六矿区",IF(AND($K2176="对外销售",ROUND($Q2176,0)=0),"※外销却没有售价，请填实际售价",IF(AND($K2176="对外销售",$T2176&lt;&gt;"",$T2176&lt;0),"※这一笔外销是亏的，请核对售价",IF(IFERROR(VLOOKUP($D2176,库存台账!$A$5:$Y$1204,24,0),0)&lt;-0.001,"※这个物料账面已经变成负数了，查一下是不是漏记入库","")))))))))))</f>
        <v/>
      </c>
    </row>
    <row r="2177">
      <c r="A2177" s="24">
        <f>IF($D2177="","",COUNTA($D$4:$D2177))</f>
        <v/>
      </c>
      <c r="B2177" s="17" t="n"/>
      <c r="C2177" s="30" t="n"/>
      <c r="D2177" s="17" t="n"/>
      <c r="E2177" s="24">
        <f>IF($D2177="","",IFERROR(VLOOKUP($D2177,物料档案!$A$4:$P$1203,3,0),"※编码不在物料档案里"))</f>
        <v/>
      </c>
      <c r="F2177" s="24">
        <f>IF($D2177="","",IFERROR(VLOOKUP($D2177,物料档案!$A$4:$P$1203,4,0),"※编码不在物料档案里"))</f>
        <v/>
      </c>
      <c r="G2177" s="24">
        <f>IF($D2177="","",IFERROR(VLOOKUP($D2177,物料档案!$A$4:$P$1203,5,0),"※编码不在物料档案里"))</f>
        <v/>
      </c>
      <c r="H2177" s="24">
        <f>IF($D2177="","",IFERROR(VLOOKUP($D2177,物料档案!$A$4:$P$1203,2,0),"※编码不在物料档案里"))</f>
        <v/>
      </c>
      <c r="I2177" s="24">
        <f>IF($D2177="","",IFERROR(VLOOKUP($D2177,物料档案!$A$4:$P$1203,6,0),"※编码不在物料档案里"))</f>
        <v/>
      </c>
      <c r="J2177" s="23" t="n"/>
      <c r="K2177" s="17" t="n"/>
      <c r="L2177" s="17" t="n"/>
      <c r="M2177" s="17" t="n"/>
      <c r="N2177" s="17" t="n"/>
      <c r="O2177" s="26">
        <f>IF($D2177="","",IFERROR(VLOOKUP($D2177,物料档案!$A$4:$P$1203,10,0),0))</f>
        <v/>
      </c>
      <c r="P2177" s="32" t="n"/>
      <c r="Q2177" s="26">
        <f>IF($D2177="","",IF($K2177&lt;&gt;"对外销售",0,ROUND(N($J2177)*IF($P2177="",N($O2177),N($P2177)),0)))</f>
        <v/>
      </c>
      <c r="R2177" s="26">
        <f>IF($D2177="","",IFERROR(VLOOKUP($D2177,库存台账!$A$5:$Y$1204,11,0),0))</f>
        <v/>
      </c>
      <c r="S2177" s="26">
        <f>IF($D2177="","",ROUND(N($J2177)*N($R2177),0))</f>
        <v/>
      </c>
      <c r="T2177" s="26">
        <f>IF($D2177="","",IF($K2177&lt;&gt;"对外销售","",ROUND($Q2177-$S2177,0)))</f>
        <v/>
      </c>
      <c r="U2177" s="17" t="n"/>
      <c r="V2177" s="17" t="n"/>
      <c r="W2177" s="24">
        <f>IF($D2177="","",IF($E2177="※编码不在物料档案里","※物料编码不在档案里",IF(N($J2177)&lt;=0,"※出库数量要大于 0",IF($K2177="","※没填去向类型",IF($L2177="","※没填去向矿区",IF(AND($C2177&lt;&gt;"",$C2177&lt;=结账锁),"※日期早于已结账截止日，不能再录",IF(AND($K2177="自用消耗",COUNTIF({"一矿区";"二矿区"},$L2177)=0),"※自用消耗的去向只能是一矿区或二矿区",IF(AND($K2177="对外销售",COUNTIF({"三矿区";"六矿区"},$L2177)=0),"※对外销售的去向只能是三矿区或六矿区",IF(AND($K2177="对外销售",ROUND($Q2177,0)=0),"※外销却没有售价，请填实际售价",IF(AND($K2177="对外销售",$T2177&lt;&gt;"",$T2177&lt;0),"※这一笔外销是亏的，请核对售价",IF(IFERROR(VLOOKUP($D2177,库存台账!$A$5:$Y$1204,24,0),0)&lt;-0.001,"※这个物料账面已经变成负数了，查一下是不是漏记入库","")))))))))))</f>
        <v/>
      </c>
    </row>
    <row r="2178">
      <c r="A2178" s="24">
        <f>IF($D2178="","",COUNTA($D$4:$D2178))</f>
        <v/>
      </c>
      <c r="B2178" s="17" t="n"/>
      <c r="C2178" s="30" t="n"/>
      <c r="D2178" s="17" t="n"/>
      <c r="E2178" s="24">
        <f>IF($D2178="","",IFERROR(VLOOKUP($D2178,物料档案!$A$4:$P$1203,3,0),"※编码不在物料档案里"))</f>
        <v/>
      </c>
      <c r="F2178" s="24">
        <f>IF($D2178="","",IFERROR(VLOOKUP($D2178,物料档案!$A$4:$P$1203,4,0),"※编码不在物料档案里"))</f>
        <v/>
      </c>
      <c r="G2178" s="24">
        <f>IF($D2178="","",IFERROR(VLOOKUP($D2178,物料档案!$A$4:$P$1203,5,0),"※编码不在物料档案里"))</f>
        <v/>
      </c>
      <c r="H2178" s="24">
        <f>IF($D2178="","",IFERROR(VLOOKUP($D2178,物料档案!$A$4:$P$1203,2,0),"※编码不在物料档案里"))</f>
        <v/>
      </c>
      <c r="I2178" s="24">
        <f>IF($D2178="","",IFERROR(VLOOKUP($D2178,物料档案!$A$4:$P$1203,6,0),"※编码不在物料档案里"))</f>
        <v/>
      </c>
      <c r="J2178" s="23" t="n"/>
      <c r="K2178" s="17" t="n"/>
      <c r="L2178" s="17" t="n"/>
      <c r="M2178" s="17" t="n"/>
      <c r="N2178" s="17" t="n"/>
      <c r="O2178" s="26">
        <f>IF($D2178="","",IFERROR(VLOOKUP($D2178,物料档案!$A$4:$P$1203,10,0),0))</f>
        <v/>
      </c>
      <c r="P2178" s="32" t="n"/>
      <c r="Q2178" s="26">
        <f>IF($D2178="","",IF($K2178&lt;&gt;"对外销售",0,ROUND(N($J2178)*IF($P2178="",N($O2178),N($P2178)),0)))</f>
        <v/>
      </c>
      <c r="R2178" s="26">
        <f>IF($D2178="","",IFERROR(VLOOKUP($D2178,库存台账!$A$5:$Y$1204,11,0),0))</f>
        <v/>
      </c>
      <c r="S2178" s="26">
        <f>IF($D2178="","",ROUND(N($J2178)*N($R2178),0))</f>
        <v/>
      </c>
      <c r="T2178" s="26">
        <f>IF($D2178="","",IF($K2178&lt;&gt;"对外销售","",ROUND($Q2178-$S2178,0)))</f>
        <v/>
      </c>
      <c r="U2178" s="17" t="n"/>
      <c r="V2178" s="17" t="n"/>
      <c r="W2178" s="24">
        <f>IF($D2178="","",IF($E2178="※编码不在物料档案里","※物料编码不在档案里",IF(N($J2178)&lt;=0,"※出库数量要大于 0",IF($K2178="","※没填去向类型",IF($L2178="","※没填去向矿区",IF(AND($C2178&lt;&gt;"",$C2178&lt;=结账锁),"※日期早于已结账截止日，不能再录",IF(AND($K2178="自用消耗",COUNTIF({"一矿区";"二矿区"},$L2178)=0),"※自用消耗的去向只能是一矿区或二矿区",IF(AND($K2178="对外销售",COUNTIF({"三矿区";"六矿区"},$L2178)=0),"※对外销售的去向只能是三矿区或六矿区",IF(AND($K2178="对外销售",ROUND($Q2178,0)=0),"※外销却没有售价，请填实际售价",IF(AND($K2178="对外销售",$T2178&lt;&gt;"",$T2178&lt;0),"※这一笔外销是亏的，请核对售价",IF(IFERROR(VLOOKUP($D2178,库存台账!$A$5:$Y$1204,24,0),0)&lt;-0.001,"※这个物料账面已经变成负数了，查一下是不是漏记入库","")))))))))))</f>
        <v/>
      </c>
    </row>
    <row r="2179">
      <c r="A2179" s="24">
        <f>IF($D2179="","",COUNTA($D$4:$D2179))</f>
        <v/>
      </c>
      <c r="B2179" s="17" t="n"/>
      <c r="C2179" s="30" t="n"/>
      <c r="D2179" s="17" t="n"/>
      <c r="E2179" s="24">
        <f>IF($D2179="","",IFERROR(VLOOKUP($D2179,物料档案!$A$4:$P$1203,3,0),"※编码不在物料档案里"))</f>
        <v/>
      </c>
      <c r="F2179" s="24">
        <f>IF($D2179="","",IFERROR(VLOOKUP($D2179,物料档案!$A$4:$P$1203,4,0),"※编码不在物料档案里"))</f>
        <v/>
      </c>
      <c r="G2179" s="24">
        <f>IF($D2179="","",IFERROR(VLOOKUP($D2179,物料档案!$A$4:$P$1203,5,0),"※编码不在物料档案里"))</f>
        <v/>
      </c>
      <c r="H2179" s="24">
        <f>IF($D2179="","",IFERROR(VLOOKUP($D2179,物料档案!$A$4:$P$1203,2,0),"※编码不在物料档案里"))</f>
        <v/>
      </c>
      <c r="I2179" s="24">
        <f>IF($D2179="","",IFERROR(VLOOKUP($D2179,物料档案!$A$4:$P$1203,6,0),"※编码不在物料档案里"))</f>
        <v/>
      </c>
      <c r="J2179" s="23" t="n"/>
      <c r="K2179" s="17" t="n"/>
      <c r="L2179" s="17" t="n"/>
      <c r="M2179" s="17" t="n"/>
      <c r="N2179" s="17" t="n"/>
      <c r="O2179" s="26">
        <f>IF($D2179="","",IFERROR(VLOOKUP($D2179,物料档案!$A$4:$P$1203,10,0),0))</f>
        <v/>
      </c>
      <c r="P2179" s="32" t="n"/>
      <c r="Q2179" s="26">
        <f>IF($D2179="","",IF($K2179&lt;&gt;"对外销售",0,ROUND(N($J2179)*IF($P2179="",N($O2179),N($P2179)),0)))</f>
        <v/>
      </c>
      <c r="R2179" s="26">
        <f>IF($D2179="","",IFERROR(VLOOKUP($D2179,库存台账!$A$5:$Y$1204,11,0),0))</f>
        <v/>
      </c>
      <c r="S2179" s="26">
        <f>IF($D2179="","",ROUND(N($J2179)*N($R2179),0))</f>
        <v/>
      </c>
      <c r="T2179" s="26">
        <f>IF($D2179="","",IF($K2179&lt;&gt;"对外销售","",ROUND($Q2179-$S2179,0)))</f>
        <v/>
      </c>
      <c r="U2179" s="17" t="n"/>
      <c r="V2179" s="17" t="n"/>
      <c r="W2179" s="24">
        <f>IF($D2179="","",IF($E2179="※编码不在物料档案里","※物料编码不在档案里",IF(N($J2179)&lt;=0,"※出库数量要大于 0",IF($K2179="","※没填去向类型",IF($L2179="","※没填去向矿区",IF(AND($C2179&lt;&gt;"",$C2179&lt;=结账锁),"※日期早于已结账截止日，不能再录",IF(AND($K2179="自用消耗",COUNTIF({"一矿区";"二矿区"},$L2179)=0),"※自用消耗的去向只能是一矿区或二矿区",IF(AND($K2179="对外销售",COUNTIF({"三矿区";"六矿区"},$L2179)=0),"※对外销售的去向只能是三矿区或六矿区",IF(AND($K2179="对外销售",ROUND($Q2179,0)=0),"※外销却没有售价，请填实际售价",IF(AND($K2179="对外销售",$T2179&lt;&gt;"",$T2179&lt;0),"※这一笔外销是亏的，请核对售价",IF(IFERROR(VLOOKUP($D2179,库存台账!$A$5:$Y$1204,24,0),0)&lt;-0.001,"※这个物料账面已经变成负数了，查一下是不是漏记入库","")))))))))))</f>
        <v/>
      </c>
    </row>
    <row r="2180">
      <c r="A2180" s="24">
        <f>IF($D2180="","",COUNTA($D$4:$D2180))</f>
        <v/>
      </c>
      <c r="B2180" s="17" t="n"/>
      <c r="C2180" s="30" t="n"/>
      <c r="D2180" s="17" t="n"/>
      <c r="E2180" s="24">
        <f>IF($D2180="","",IFERROR(VLOOKUP($D2180,物料档案!$A$4:$P$1203,3,0),"※编码不在物料档案里"))</f>
        <v/>
      </c>
      <c r="F2180" s="24">
        <f>IF($D2180="","",IFERROR(VLOOKUP($D2180,物料档案!$A$4:$P$1203,4,0),"※编码不在物料档案里"))</f>
        <v/>
      </c>
      <c r="G2180" s="24">
        <f>IF($D2180="","",IFERROR(VLOOKUP($D2180,物料档案!$A$4:$P$1203,5,0),"※编码不在物料档案里"))</f>
        <v/>
      </c>
      <c r="H2180" s="24">
        <f>IF($D2180="","",IFERROR(VLOOKUP($D2180,物料档案!$A$4:$P$1203,2,0),"※编码不在物料档案里"))</f>
        <v/>
      </c>
      <c r="I2180" s="24">
        <f>IF($D2180="","",IFERROR(VLOOKUP($D2180,物料档案!$A$4:$P$1203,6,0),"※编码不在物料档案里"))</f>
        <v/>
      </c>
      <c r="J2180" s="23" t="n"/>
      <c r="K2180" s="17" t="n"/>
      <c r="L2180" s="17" t="n"/>
      <c r="M2180" s="17" t="n"/>
      <c r="N2180" s="17" t="n"/>
      <c r="O2180" s="26">
        <f>IF($D2180="","",IFERROR(VLOOKUP($D2180,物料档案!$A$4:$P$1203,10,0),0))</f>
        <v/>
      </c>
      <c r="P2180" s="32" t="n"/>
      <c r="Q2180" s="26">
        <f>IF($D2180="","",IF($K2180&lt;&gt;"对外销售",0,ROUND(N($J2180)*IF($P2180="",N($O2180),N($P2180)),0)))</f>
        <v/>
      </c>
      <c r="R2180" s="26">
        <f>IF($D2180="","",IFERROR(VLOOKUP($D2180,库存台账!$A$5:$Y$1204,11,0),0))</f>
        <v/>
      </c>
      <c r="S2180" s="26">
        <f>IF($D2180="","",ROUND(N($J2180)*N($R2180),0))</f>
        <v/>
      </c>
      <c r="T2180" s="26">
        <f>IF($D2180="","",IF($K2180&lt;&gt;"对外销售","",ROUND($Q2180-$S2180,0)))</f>
        <v/>
      </c>
      <c r="U2180" s="17" t="n"/>
      <c r="V2180" s="17" t="n"/>
      <c r="W2180" s="24">
        <f>IF($D2180="","",IF($E2180="※编码不在物料档案里","※物料编码不在档案里",IF(N($J2180)&lt;=0,"※出库数量要大于 0",IF($K2180="","※没填去向类型",IF($L2180="","※没填去向矿区",IF(AND($C2180&lt;&gt;"",$C2180&lt;=结账锁),"※日期早于已结账截止日，不能再录",IF(AND($K2180="自用消耗",COUNTIF({"一矿区";"二矿区"},$L2180)=0),"※自用消耗的去向只能是一矿区或二矿区",IF(AND($K2180="对外销售",COUNTIF({"三矿区";"六矿区"},$L2180)=0),"※对外销售的去向只能是三矿区或六矿区",IF(AND($K2180="对外销售",ROUND($Q2180,0)=0),"※外销却没有售价，请填实际售价",IF(AND($K2180="对外销售",$T2180&lt;&gt;"",$T2180&lt;0),"※这一笔外销是亏的，请核对售价",IF(IFERROR(VLOOKUP($D2180,库存台账!$A$5:$Y$1204,24,0),0)&lt;-0.001,"※这个物料账面已经变成负数了，查一下是不是漏记入库","")))))))))))</f>
        <v/>
      </c>
    </row>
    <row r="2181">
      <c r="A2181" s="24">
        <f>IF($D2181="","",COUNTA($D$4:$D2181))</f>
        <v/>
      </c>
      <c r="B2181" s="17" t="n"/>
      <c r="C2181" s="30" t="n"/>
      <c r="D2181" s="17" t="n"/>
      <c r="E2181" s="24">
        <f>IF($D2181="","",IFERROR(VLOOKUP($D2181,物料档案!$A$4:$P$1203,3,0),"※编码不在物料档案里"))</f>
        <v/>
      </c>
      <c r="F2181" s="24">
        <f>IF($D2181="","",IFERROR(VLOOKUP($D2181,物料档案!$A$4:$P$1203,4,0),"※编码不在物料档案里"))</f>
        <v/>
      </c>
      <c r="G2181" s="24">
        <f>IF($D2181="","",IFERROR(VLOOKUP($D2181,物料档案!$A$4:$P$1203,5,0),"※编码不在物料档案里"))</f>
        <v/>
      </c>
      <c r="H2181" s="24">
        <f>IF($D2181="","",IFERROR(VLOOKUP($D2181,物料档案!$A$4:$P$1203,2,0),"※编码不在物料档案里"))</f>
        <v/>
      </c>
      <c r="I2181" s="24">
        <f>IF($D2181="","",IFERROR(VLOOKUP($D2181,物料档案!$A$4:$P$1203,6,0),"※编码不在物料档案里"))</f>
        <v/>
      </c>
      <c r="J2181" s="23" t="n"/>
      <c r="K2181" s="17" t="n"/>
      <c r="L2181" s="17" t="n"/>
      <c r="M2181" s="17" t="n"/>
      <c r="N2181" s="17" t="n"/>
      <c r="O2181" s="26">
        <f>IF($D2181="","",IFERROR(VLOOKUP($D2181,物料档案!$A$4:$P$1203,10,0),0))</f>
        <v/>
      </c>
      <c r="P2181" s="32" t="n"/>
      <c r="Q2181" s="26">
        <f>IF($D2181="","",IF($K2181&lt;&gt;"对外销售",0,ROUND(N($J2181)*IF($P2181="",N($O2181),N($P2181)),0)))</f>
        <v/>
      </c>
      <c r="R2181" s="26">
        <f>IF($D2181="","",IFERROR(VLOOKUP($D2181,库存台账!$A$5:$Y$1204,11,0),0))</f>
        <v/>
      </c>
      <c r="S2181" s="26">
        <f>IF($D2181="","",ROUND(N($J2181)*N($R2181),0))</f>
        <v/>
      </c>
      <c r="T2181" s="26">
        <f>IF($D2181="","",IF($K2181&lt;&gt;"对外销售","",ROUND($Q2181-$S2181,0)))</f>
        <v/>
      </c>
      <c r="U2181" s="17" t="n"/>
      <c r="V2181" s="17" t="n"/>
      <c r="W2181" s="24">
        <f>IF($D2181="","",IF($E2181="※编码不在物料档案里","※物料编码不在档案里",IF(N($J2181)&lt;=0,"※出库数量要大于 0",IF($K2181="","※没填去向类型",IF($L2181="","※没填去向矿区",IF(AND($C2181&lt;&gt;"",$C2181&lt;=结账锁),"※日期早于已结账截止日，不能再录",IF(AND($K2181="自用消耗",COUNTIF({"一矿区";"二矿区"},$L2181)=0),"※自用消耗的去向只能是一矿区或二矿区",IF(AND($K2181="对外销售",COUNTIF({"三矿区";"六矿区"},$L2181)=0),"※对外销售的去向只能是三矿区或六矿区",IF(AND($K2181="对外销售",ROUND($Q2181,0)=0),"※外销却没有售价，请填实际售价",IF(AND($K2181="对外销售",$T2181&lt;&gt;"",$T2181&lt;0),"※这一笔外销是亏的，请核对售价",IF(IFERROR(VLOOKUP($D2181,库存台账!$A$5:$Y$1204,24,0),0)&lt;-0.001,"※这个物料账面已经变成负数了，查一下是不是漏记入库","")))))))))))</f>
        <v/>
      </c>
    </row>
    <row r="2182">
      <c r="A2182" s="24">
        <f>IF($D2182="","",COUNTA($D$4:$D2182))</f>
        <v/>
      </c>
      <c r="B2182" s="17" t="n"/>
      <c r="C2182" s="30" t="n"/>
      <c r="D2182" s="17" t="n"/>
      <c r="E2182" s="24">
        <f>IF($D2182="","",IFERROR(VLOOKUP($D2182,物料档案!$A$4:$P$1203,3,0),"※编码不在物料档案里"))</f>
        <v/>
      </c>
      <c r="F2182" s="24">
        <f>IF($D2182="","",IFERROR(VLOOKUP($D2182,物料档案!$A$4:$P$1203,4,0),"※编码不在物料档案里"))</f>
        <v/>
      </c>
      <c r="G2182" s="24">
        <f>IF($D2182="","",IFERROR(VLOOKUP($D2182,物料档案!$A$4:$P$1203,5,0),"※编码不在物料档案里"))</f>
        <v/>
      </c>
      <c r="H2182" s="24">
        <f>IF($D2182="","",IFERROR(VLOOKUP($D2182,物料档案!$A$4:$P$1203,2,0),"※编码不在物料档案里"))</f>
        <v/>
      </c>
      <c r="I2182" s="24">
        <f>IF($D2182="","",IFERROR(VLOOKUP($D2182,物料档案!$A$4:$P$1203,6,0),"※编码不在物料档案里"))</f>
        <v/>
      </c>
      <c r="J2182" s="23" t="n"/>
      <c r="K2182" s="17" t="n"/>
      <c r="L2182" s="17" t="n"/>
      <c r="M2182" s="17" t="n"/>
      <c r="N2182" s="17" t="n"/>
      <c r="O2182" s="26">
        <f>IF($D2182="","",IFERROR(VLOOKUP($D2182,物料档案!$A$4:$P$1203,10,0),0))</f>
        <v/>
      </c>
      <c r="P2182" s="32" t="n"/>
      <c r="Q2182" s="26">
        <f>IF($D2182="","",IF($K2182&lt;&gt;"对外销售",0,ROUND(N($J2182)*IF($P2182="",N($O2182),N($P2182)),0)))</f>
        <v/>
      </c>
      <c r="R2182" s="26">
        <f>IF($D2182="","",IFERROR(VLOOKUP($D2182,库存台账!$A$5:$Y$1204,11,0),0))</f>
        <v/>
      </c>
      <c r="S2182" s="26">
        <f>IF($D2182="","",ROUND(N($J2182)*N($R2182),0))</f>
        <v/>
      </c>
      <c r="T2182" s="26">
        <f>IF($D2182="","",IF($K2182&lt;&gt;"对外销售","",ROUND($Q2182-$S2182,0)))</f>
        <v/>
      </c>
      <c r="U2182" s="17" t="n"/>
      <c r="V2182" s="17" t="n"/>
      <c r="W2182" s="24">
        <f>IF($D2182="","",IF($E2182="※编码不在物料档案里","※物料编码不在档案里",IF(N($J2182)&lt;=0,"※出库数量要大于 0",IF($K2182="","※没填去向类型",IF($L2182="","※没填去向矿区",IF(AND($C2182&lt;&gt;"",$C2182&lt;=结账锁),"※日期早于已结账截止日，不能再录",IF(AND($K2182="自用消耗",COUNTIF({"一矿区";"二矿区"},$L2182)=0),"※自用消耗的去向只能是一矿区或二矿区",IF(AND($K2182="对外销售",COUNTIF({"三矿区";"六矿区"},$L2182)=0),"※对外销售的去向只能是三矿区或六矿区",IF(AND($K2182="对外销售",ROUND($Q2182,0)=0),"※外销却没有售价，请填实际售价",IF(AND($K2182="对外销售",$T2182&lt;&gt;"",$T2182&lt;0),"※这一笔外销是亏的，请核对售价",IF(IFERROR(VLOOKUP($D2182,库存台账!$A$5:$Y$1204,24,0),0)&lt;-0.001,"※这个物料账面已经变成负数了，查一下是不是漏记入库","")))))))))))</f>
        <v/>
      </c>
    </row>
    <row r="2183">
      <c r="A2183" s="24">
        <f>IF($D2183="","",COUNTA($D$4:$D2183))</f>
        <v/>
      </c>
      <c r="B2183" s="17" t="n"/>
      <c r="C2183" s="30" t="n"/>
      <c r="D2183" s="17" t="n"/>
      <c r="E2183" s="24">
        <f>IF($D2183="","",IFERROR(VLOOKUP($D2183,物料档案!$A$4:$P$1203,3,0),"※编码不在物料档案里"))</f>
        <v/>
      </c>
      <c r="F2183" s="24">
        <f>IF($D2183="","",IFERROR(VLOOKUP($D2183,物料档案!$A$4:$P$1203,4,0),"※编码不在物料档案里"))</f>
        <v/>
      </c>
      <c r="G2183" s="24">
        <f>IF($D2183="","",IFERROR(VLOOKUP($D2183,物料档案!$A$4:$P$1203,5,0),"※编码不在物料档案里"))</f>
        <v/>
      </c>
      <c r="H2183" s="24">
        <f>IF($D2183="","",IFERROR(VLOOKUP($D2183,物料档案!$A$4:$P$1203,2,0),"※编码不在物料档案里"))</f>
        <v/>
      </c>
      <c r="I2183" s="24">
        <f>IF($D2183="","",IFERROR(VLOOKUP($D2183,物料档案!$A$4:$P$1203,6,0),"※编码不在物料档案里"))</f>
        <v/>
      </c>
      <c r="J2183" s="23" t="n"/>
      <c r="K2183" s="17" t="n"/>
      <c r="L2183" s="17" t="n"/>
      <c r="M2183" s="17" t="n"/>
      <c r="N2183" s="17" t="n"/>
      <c r="O2183" s="26">
        <f>IF($D2183="","",IFERROR(VLOOKUP($D2183,物料档案!$A$4:$P$1203,10,0),0))</f>
        <v/>
      </c>
      <c r="P2183" s="32" t="n"/>
      <c r="Q2183" s="26">
        <f>IF($D2183="","",IF($K2183&lt;&gt;"对外销售",0,ROUND(N($J2183)*IF($P2183="",N($O2183),N($P2183)),0)))</f>
        <v/>
      </c>
      <c r="R2183" s="26">
        <f>IF($D2183="","",IFERROR(VLOOKUP($D2183,库存台账!$A$5:$Y$1204,11,0),0))</f>
        <v/>
      </c>
      <c r="S2183" s="26">
        <f>IF($D2183="","",ROUND(N($J2183)*N($R2183),0))</f>
        <v/>
      </c>
      <c r="T2183" s="26">
        <f>IF($D2183="","",IF($K2183&lt;&gt;"对外销售","",ROUND($Q2183-$S2183,0)))</f>
        <v/>
      </c>
      <c r="U2183" s="17" t="n"/>
      <c r="V2183" s="17" t="n"/>
      <c r="W2183" s="24">
        <f>IF($D2183="","",IF($E2183="※编码不在物料档案里","※物料编码不在档案里",IF(N($J2183)&lt;=0,"※出库数量要大于 0",IF($K2183="","※没填去向类型",IF($L2183="","※没填去向矿区",IF(AND($C2183&lt;&gt;"",$C2183&lt;=结账锁),"※日期早于已结账截止日，不能再录",IF(AND($K2183="自用消耗",COUNTIF({"一矿区";"二矿区"},$L2183)=0),"※自用消耗的去向只能是一矿区或二矿区",IF(AND($K2183="对外销售",COUNTIF({"三矿区";"六矿区"},$L2183)=0),"※对外销售的去向只能是三矿区或六矿区",IF(AND($K2183="对外销售",ROUND($Q2183,0)=0),"※外销却没有售价，请填实际售价",IF(AND($K2183="对外销售",$T2183&lt;&gt;"",$T2183&lt;0),"※这一笔外销是亏的，请核对售价",IF(IFERROR(VLOOKUP($D2183,库存台账!$A$5:$Y$1204,24,0),0)&lt;-0.001,"※这个物料账面已经变成负数了，查一下是不是漏记入库","")))))))))))</f>
        <v/>
      </c>
    </row>
    <row r="2184">
      <c r="A2184" s="24">
        <f>IF($D2184="","",COUNTA($D$4:$D2184))</f>
        <v/>
      </c>
      <c r="B2184" s="17" t="n"/>
      <c r="C2184" s="30" t="n"/>
      <c r="D2184" s="17" t="n"/>
      <c r="E2184" s="24">
        <f>IF($D2184="","",IFERROR(VLOOKUP($D2184,物料档案!$A$4:$P$1203,3,0),"※编码不在物料档案里"))</f>
        <v/>
      </c>
      <c r="F2184" s="24">
        <f>IF($D2184="","",IFERROR(VLOOKUP($D2184,物料档案!$A$4:$P$1203,4,0),"※编码不在物料档案里"))</f>
        <v/>
      </c>
      <c r="G2184" s="24">
        <f>IF($D2184="","",IFERROR(VLOOKUP($D2184,物料档案!$A$4:$P$1203,5,0),"※编码不在物料档案里"))</f>
        <v/>
      </c>
      <c r="H2184" s="24">
        <f>IF($D2184="","",IFERROR(VLOOKUP($D2184,物料档案!$A$4:$P$1203,2,0),"※编码不在物料档案里"))</f>
        <v/>
      </c>
      <c r="I2184" s="24">
        <f>IF($D2184="","",IFERROR(VLOOKUP($D2184,物料档案!$A$4:$P$1203,6,0),"※编码不在物料档案里"))</f>
        <v/>
      </c>
      <c r="J2184" s="23" t="n"/>
      <c r="K2184" s="17" t="n"/>
      <c r="L2184" s="17" t="n"/>
      <c r="M2184" s="17" t="n"/>
      <c r="N2184" s="17" t="n"/>
      <c r="O2184" s="26">
        <f>IF($D2184="","",IFERROR(VLOOKUP($D2184,物料档案!$A$4:$P$1203,10,0),0))</f>
        <v/>
      </c>
      <c r="P2184" s="32" t="n"/>
      <c r="Q2184" s="26">
        <f>IF($D2184="","",IF($K2184&lt;&gt;"对外销售",0,ROUND(N($J2184)*IF($P2184="",N($O2184),N($P2184)),0)))</f>
        <v/>
      </c>
      <c r="R2184" s="26">
        <f>IF($D2184="","",IFERROR(VLOOKUP($D2184,库存台账!$A$5:$Y$1204,11,0),0))</f>
        <v/>
      </c>
      <c r="S2184" s="26">
        <f>IF($D2184="","",ROUND(N($J2184)*N($R2184),0))</f>
        <v/>
      </c>
      <c r="T2184" s="26">
        <f>IF($D2184="","",IF($K2184&lt;&gt;"对外销售","",ROUND($Q2184-$S2184,0)))</f>
        <v/>
      </c>
      <c r="U2184" s="17" t="n"/>
      <c r="V2184" s="17" t="n"/>
      <c r="W2184" s="24">
        <f>IF($D2184="","",IF($E2184="※编码不在物料档案里","※物料编码不在档案里",IF(N($J2184)&lt;=0,"※出库数量要大于 0",IF($K2184="","※没填去向类型",IF($L2184="","※没填去向矿区",IF(AND($C2184&lt;&gt;"",$C2184&lt;=结账锁),"※日期早于已结账截止日，不能再录",IF(AND($K2184="自用消耗",COUNTIF({"一矿区";"二矿区"},$L2184)=0),"※自用消耗的去向只能是一矿区或二矿区",IF(AND($K2184="对外销售",COUNTIF({"三矿区";"六矿区"},$L2184)=0),"※对外销售的去向只能是三矿区或六矿区",IF(AND($K2184="对外销售",ROUND($Q2184,0)=0),"※外销却没有售价，请填实际售价",IF(AND($K2184="对外销售",$T2184&lt;&gt;"",$T2184&lt;0),"※这一笔外销是亏的，请核对售价",IF(IFERROR(VLOOKUP($D2184,库存台账!$A$5:$Y$1204,24,0),0)&lt;-0.001,"※这个物料账面已经变成负数了，查一下是不是漏记入库","")))))))))))</f>
        <v/>
      </c>
    </row>
    <row r="2185">
      <c r="A2185" s="24">
        <f>IF($D2185="","",COUNTA($D$4:$D2185))</f>
        <v/>
      </c>
      <c r="B2185" s="17" t="n"/>
      <c r="C2185" s="30" t="n"/>
      <c r="D2185" s="17" t="n"/>
      <c r="E2185" s="24">
        <f>IF($D2185="","",IFERROR(VLOOKUP($D2185,物料档案!$A$4:$P$1203,3,0),"※编码不在物料档案里"))</f>
        <v/>
      </c>
      <c r="F2185" s="24">
        <f>IF($D2185="","",IFERROR(VLOOKUP($D2185,物料档案!$A$4:$P$1203,4,0),"※编码不在物料档案里"))</f>
        <v/>
      </c>
      <c r="G2185" s="24">
        <f>IF($D2185="","",IFERROR(VLOOKUP($D2185,物料档案!$A$4:$P$1203,5,0),"※编码不在物料档案里"))</f>
        <v/>
      </c>
      <c r="H2185" s="24">
        <f>IF($D2185="","",IFERROR(VLOOKUP($D2185,物料档案!$A$4:$P$1203,2,0),"※编码不在物料档案里"))</f>
        <v/>
      </c>
      <c r="I2185" s="24">
        <f>IF($D2185="","",IFERROR(VLOOKUP($D2185,物料档案!$A$4:$P$1203,6,0),"※编码不在物料档案里"))</f>
        <v/>
      </c>
      <c r="J2185" s="23" t="n"/>
      <c r="K2185" s="17" t="n"/>
      <c r="L2185" s="17" t="n"/>
      <c r="M2185" s="17" t="n"/>
      <c r="N2185" s="17" t="n"/>
      <c r="O2185" s="26">
        <f>IF($D2185="","",IFERROR(VLOOKUP($D2185,物料档案!$A$4:$P$1203,10,0),0))</f>
        <v/>
      </c>
      <c r="P2185" s="32" t="n"/>
      <c r="Q2185" s="26">
        <f>IF($D2185="","",IF($K2185&lt;&gt;"对外销售",0,ROUND(N($J2185)*IF($P2185="",N($O2185),N($P2185)),0)))</f>
        <v/>
      </c>
      <c r="R2185" s="26">
        <f>IF($D2185="","",IFERROR(VLOOKUP($D2185,库存台账!$A$5:$Y$1204,11,0),0))</f>
        <v/>
      </c>
      <c r="S2185" s="26">
        <f>IF($D2185="","",ROUND(N($J2185)*N($R2185),0))</f>
        <v/>
      </c>
      <c r="T2185" s="26">
        <f>IF($D2185="","",IF($K2185&lt;&gt;"对外销售","",ROUND($Q2185-$S2185,0)))</f>
        <v/>
      </c>
      <c r="U2185" s="17" t="n"/>
      <c r="V2185" s="17" t="n"/>
      <c r="W2185" s="24">
        <f>IF($D2185="","",IF($E2185="※编码不在物料档案里","※物料编码不在档案里",IF(N($J2185)&lt;=0,"※出库数量要大于 0",IF($K2185="","※没填去向类型",IF($L2185="","※没填去向矿区",IF(AND($C2185&lt;&gt;"",$C2185&lt;=结账锁),"※日期早于已结账截止日，不能再录",IF(AND($K2185="自用消耗",COUNTIF({"一矿区";"二矿区"},$L2185)=0),"※自用消耗的去向只能是一矿区或二矿区",IF(AND($K2185="对外销售",COUNTIF({"三矿区";"六矿区"},$L2185)=0),"※对外销售的去向只能是三矿区或六矿区",IF(AND($K2185="对外销售",ROUND($Q2185,0)=0),"※外销却没有售价，请填实际售价",IF(AND($K2185="对外销售",$T2185&lt;&gt;"",$T2185&lt;0),"※这一笔外销是亏的，请核对售价",IF(IFERROR(VLOOKUP($D2185,库存台账!$A$5:$Y$1204,24,0),0)&lt;-0.001,"※这个物料账面已经变成负数了，查一下是不是漏记入库","")))))))))))</f>
        <v/>
      </c>
    </row>
    <row r="2186">
      <c r="A2186" s="24">
        <f>IF($D2186="","",COUNTA($D$4:$D2186))</f>
        <v/>
      </c>
      <c r="B2186" s="17" t="n"/>
      <c r="C2186" s="30" t="n"/>
      <c r="D2186" s="17" t="n"/>
      <c r="E2186" s="24">
        <f>IF($D2186="","",IFERROR(VLOOKUP($D2186,物料档案!$A$4:$P$1203,3,0),"※编码不在物料档案里"))</f>
        <v/>
      </c>
      <c r="F2186" s="24">
        <f>IF($D2186="","",IFERROR(VLOOKUP($D2186,物料档案!$A$4:$P$1203,4,0),"※编码不在物料档案里"))</f>
        <v/>
      </c>
      <c r="G2186" s="24">
        <f>IF($D2186="","",IFERROR(VLOOKUP($D2186,物料档案!$A$4:$P$1203,5,0),"※编码不在物料档案里"))</f>
        <v/>
      </c>
      <c r="H2186" s="24">
        <f>IF($D2186="","",IFERROR(VLOOKUP($D2186,物料档案!$A$4:$P$1203,2,0),"※编码不在物料档案里"))</f>
        <v/>
      </c>
      <c r="I2186" s="24">
        <f>IF($D2186="","",IFERROR(VLOOKUP($D2186,物料档案!$A$4:$P$1203,6,0),"※编码不在物料档案里"))</f>
        <v/>
      </c>
      <c r="J2186" s="23" t="n"/>
      <c r="K2186" s="17" t="n"/>
      <c r="L2186" s="17" t="n"/>
      <c r="M2186" s="17" t="n"/>
      <c r="N2186" s="17" t="n"/>
      <c r="O2186" s="26">
        <f>IF($D2186="","",IFERROR(VLOOKUP($D2186,物料档案!$A$4:$P$1203,10,0),0))</f>
        <v/>
      </c>
      <c r="P2186" s="32" t="n"/>
      <c r="Q2186" s="26">
        <f>IF($D2186="","",IF($K2186&lt;&gt;"对外销售",0,ROUND(N($J2186)*IF($P2186="",N($O2186),N($P2186)),0)))</f>
        <v/>
      </c>
      <c r="R2186" s="26">
        <f>IF($D2186="","",IFERROR(VLOOKUP($D2186,库存台账!$A$5:$Y$1204,11,0),0))</f>
        <v/>
      </c>
      <c r="S2186" s="26">
        <f>IF($D2186="","",ROUND(N($J2186)*N($R2186),0))</f>
        <v/>
      </c>
      <c r="T2186" s="26">
        <f>IF($D2186="","",IF($K2186&lt;&gt;"对外销售","",ROUND($Q2186-$S2186,0)))</f>
        <v/>
      </c>
      <c r="U2186" s="17" t="n"/>
      <c r="V2186" s="17" t="n"/>
      <c r="W2186" s="24">
        <f>IF($D2186="","",IF($E2186="※编码不在物料档案里","※物料编码不在档案里",IF(N($J2186)&lt;=0,"※出库数量要大于 0",IF($K2186="","※没填去向类型",IF($L2186="","※没填去向矿区",IF(AND($C2186&lt;&gt;"",$C2186&lt;=结账锁),"※日期早于已结账截止日，不能再录",IF(AND($K2186="自用消耗",COUNTIF({"一矿区";"二矿区"},$L2186)=0),"※自用消耗的去向只能是一矿区或二矿区",IF(AND($K2186="对外销售",COUNTIF({"三矿区";"六矿区"},$L2186)=0),"※对外销售的去向只能是三矿区或六矿区",IF(AND($K2186="对外销售",ROUND($Q2186,0)=0),"※外销却没有售价，请填实际售价",IF(AND($K2186="对外销售",$T2186&lt;&gt;"",$T2186&lt;0),"※这一笔外销是亏的，请核对售价",IF(IFERROR(VLOOKUP($D2186,库存台账!$A$5:$Y$1204,24,0),0)&lt;-0.001,"※这个物料账面已经变成负数了，查一下是不是漏记入库","")))))))))))</f>
        <v/>
      </c>
    </row>
    <row r="2187">
      <c r="A2187" s="24">
        <f>IF($D2187="","",COUNTA($D$4:$D2187))</f>
        <v/>
      </c>
      <c r="B2187" s="17" t="n"/>
      <c r="C2187" s="30" t="n"/>
      <c r="D2187" s="17" t="n"/>
      <c r="E2187" s="24">
        <f>IF($D2187="","",IFERROR(VLOOKUP($D2187,物料档案!$A$4:$P$1203,3,0),"※编码不在物料档案里"))</f>
        <v/>
      </c>
      <c r="F2187" s="24">
        <f>IF($D2187="","",IFERROR(VLOOKUP($D2187,物料档案!$A$4:$P$1203,4,0),"※编码不在物料档案里"))</f>
        <v/>
      </c>
      <c r="G2187" s="24">
        <f>IF($D2187="","",IFERROR(VLOOKUP($D2187,物料档案!$A$4:$P$1203,5,0),"※编码不在物料档案里"))</f>
        <v/>
      </c>
      <c r="H2187" s="24">
        <f>IF($D2187="","",IFERROR(VLOOKUP($D2187,物料档案!$A$4:$P$1203,2,0),"※编码不在物料档案里"))</f>
        <v/>
      </c>
      <c r="I2187" s="24">
        <f>IF($D2187="","",IFERROR(VLOOKUP($D2187,物料档案!$A$4:$P$1203,6,0),"※编码不在物料档案里"))</f>
        <v/>
      </c>
      <c r="J2187" s="23" t="n"/>
      <c r="K2187" s="17" t="n"/>
      <c r="L2187" s="17" t="n"/>
      <c r="M2187" s="17" t="n"/>
      <c r="N2187" s="17" t="n"/>
      <c r="O2187" s="26">
        <f>IF($D2187="","",IFERROR(VLOOKUP($D2187,物料档案!$A$4:$P$1203,10,0),0))</f>
        <v/>
      </c>
      <c r="P2187" s="32" t="n"/>
      <c r="Q2187" s="26">
        <f>IF($D2187="","",IF($K2187&lt;&gt;"对外销售",0,ROUND(N($J2187)*IF($P2187="",N($O2187),N($P2187)),0)))</f>
        <v/>
      </c>
      <c r="R2187" s="26">
        <f>IF($D2187="","",IFERROR(VLOOKUP($D2187,库存台账!$A$5:$Y$1204,11,0),0))</f>
        <v/>
      </c>
      <c r="S2187" s="26">
        <f>IF($D2187="","",ROUND(N($J2187)*N($R2187),0))</f>
        <v/>
      </c>
      <c r="T2187" s="26">
        <f>IF($D2187="","",IF($K2187&lt;&gt;"对外销售","",ROUND($Q2187-$S2187,0)))</f>
        <v/>
      </c>
      <c r="U2187" s="17" t="n"/>
      <c r="V2187" s="17" t="n"/>
      <c r="W2187" s="24">
        <f>IF($D2187="","",IF($E2187="※编码不在物料档案里","※物料编码不在档案里",IF(N($J2187)&lt;=0,"※出库数量要大于 0",IF($K2187="","※没填去向类型",IF($L2187="","※没填去向矿区",IF(AND($C2187&lt;&gt;"",$C2187&lt;=结账锁),"※日期早于已结账截止日，不能再录",IF(AND($K2187="自用消耗",COUNTIF({"一矿区";"二矿区"},$L2187)=0),"※自用消耗的去向只能是一矿区或二矿区",IF(AND($K2187="对外销售",COUNTIF({"三矿区";"六矿区"},$L2187)=0),"※对外销售的去向只能是三矿区或六矿区",IF(AND($K2187="对外销售",ROUND($Q2187,0)=0),"※外销却没有售价，请填实际售价",IF(AND($K2187="对外销售",$T2187&lt;&gt;"",$T2187&lt;0),"※这一笔外销是亏的，请核对售价",IF(IFERROR(VLOOKUP($D2187,库存台账!$A$5:$Y$1204,24,0),0)&lt;-0.001,"※这个物料账面已经变成负数了，查一下是不是漏记入库","")))))))))))</f>
        <v/>
      </c>
    </row>
    <row r="2188">
      <c r="A2188" s="24">
        <f>IF($D2188="","",COUNTA($D$4:$D2188))</f>
        <v/>
      </c>
      <c r="B2188" s="17" t="n"/>
      <c r="C2188" s="30" t="n"/>
      <c r="D2188" s="17" t="n"/>
      <c r="E2188" s="24">
        <f>IF($D2188="","",IFERROR(VLOOKUP($D2188,物料档案!$A$4:$P$1203,3,0),"※编码不在物料档案里"))</f>
        <v/>
      </c>
      <c r="F2188" s="24">
        <f>IF($D2188="","",IFERROR(VLOOKUP($D2188,物料档案!$A$4:$P$1203,4,0),"※编码不在物料档案里"))</f>
        <v/>
      </c>
      <c r="G2188" s="24">
        <f>IF($D2188="","",IFERROR(VLOOKUP($D2188,物料档案!$A$4:$P$1203,5,0),"※编码不在物料档案里"))</f>
        <v/>
      </c>
      <c r="H2188" s="24">
        <f>IF($D2188="","",IFERROR(VLOOKUP($D2188,物料档案!$A$4:$P$1203,2,0),"※编码不在物料档案里"))</f>
        <v/>
      </c>
      <c r="I2188" s="24">
        <f>IF($D2188="","",IFERROR(VLOOKUP($D2188,物料档案!$A$4:$P$1203,6,0),"※编码不在物料档案里"))</f>
        <v/>
      </c>
      <c r="J2188" s="23" t="n"/>
      <c r="K2188" s="17" t="n"/>
      <c r="L2188" s="17" t="n"/>
      <c r="M2188" s="17" t="n"/>
      <c r="N2188" s="17" t="n"/>
      <c r="O2188" s="26">
        <f>IF($D2188="","",IFERROR(VLOOKUP($D2188,物料档案!$A$4:$P$1203,10,0),0))</f>
        <v/>
      </c>
      <c r="P2188" s="32" t="n"/>
      <c r="Q2188" s="26">
        <f>IF($D2188="","",IF($K2188&lt;&gt;"对外销售",0,ROUND(N($J2188)*IF($P2188="",N($O2188),N($P2188)),0)))</f>
        <v/>
      </c>
      <c r="R2188" s="26">
        <f>IF($D2188="","",IFERROR(VLOOKUP($D2188,库存台账!$A$5:$Y$1204,11,0),0))</f>
        <v/>
      </c>
      <c r="S2188" s="26">
        <f>IF($D2188="","",ROUND(N($J2188)*N($R2188),0))</f>
        <v/>
      </c>
      <c r="T2188" s="26">
        <f>IF($D2188="","",IF($K2188&lt;&gt;"对外销售","",ROUND($Q2188-$S2188,0)))</f>
        <v/>
      </c>
      <c r="U2188" s="17" t="n"/>
      <c r="V2188" s="17" t="n"/>
      <c r="W2188" s="24">
        <f>IF($D2188="","",IF($E2188="※编码不在物料档案里","※物料编码不在档案里",IF(N($J2188)&lt;=0,"※出库数量要大于 0",IF($K2188="","※没填去向类型",IF($L2188="","※没填去向矿区",IF(AND($C2188&lt;&gt;"",$C2188&lt;=结账锁),"※日期早于已结账截止日，不能再录",IF(AND($K2188="自用消耗",COUNTIF({"一矿区";"二矿区"},$L2188)=0),"※自用消耗的去向只能是一矿区或二矿区",IF(AND($K2188="对外销售",COUNTIF({"三矿区";"六矿区"},$L2188)=0),"※对外销售的去向只能是三矿区或六矿区",IF(AND($K2188="对外销售",ROUND($Q2188,0)=0),"※外销却没有售价，请填实际售价",IF(AND($K2188="对外销售",$T2188&lt;&gt;"",$T2188&lt;0),"※这一笔外销是亏的，请核对售价",IF(IFERROR(VLOOKUP($D2188,库存台账!$A$5:$Y$1204,24,0),0)&lt;-0.001,"※这个物料账面已经变成负数了，查一下是不是漏记入库","")))))))))))</f>
        <v/>
      </c>
    </row>
    <row r="2189">
      <c r="A2189" s="24">
        <f>IF($D2189="","",COUNTA($D$4:$D2189))</f>
        <v/>
      </c>
      <c r="B2189" s="17" t="n"/>
      <c r="C2189" s="30" t="n"/>
      <c r="D2189" s="17" t="n"/>
      <c r="E2189" s="24">
        <f>IF($D2189="","",IFERROR(VLOOKUP($D2189,物料档案!$A$4:$P$1203,3,0),"※编码不在物料档案里"))</f>
        <v/>
      </c>
      <c r="F2189" s="24">
        <f>IF($D2189="","",IFERROR(VLOOKUP($D2189,物料档案!$A$4:$P$1203,4,0),"※编码不在物料档案里"))</f>
        <v/>
      </c>
      <c r="G2189" s="24">
        <f>IF($D2189="","",IFERROR(VLOOKUP($D2189,物料档案!$A$4:$P$1203,5,0),"※编码不在物料档案里"))</f>
        <v/>
      </c>
      <c r="H2189" s="24">
        <f>IF($D2189="","",IFERROR(VLOOKUP($D2189,物料档案!$A$4:$P$1203,2,0),"※编码不在物料档案里"))</f>
        <v/>
      </c>
      <c r="I2189" s="24">
        <f>IF($D2189="","",IFERROR(VLOOKUP($D2189,物料档案!$A$4:$P$1203,6,0),"※编码不在物料档案里"))</f>
        <v/>
      </c>
      <c r="J2189" s="23" t="n"/>
      <c r="K2189" s="17" t="n"/>
      <c r="L2189" s="17" t="n"/>
      <c r="M2189" s="17" t="n"/>
      <c r="N2189" s="17" t="n"/>
      <c r="O2189" s="26">
        <f>IF($D2189="","",IFERROR(VLOOKUP($D2189,物料档案!$A$4:$P$1203,10,0),0))</f>
        <v/>
      </c>
      <c r="P2189" s="32" t="n"/>
      <c r="Q2189" s="26">
        <f>IF($D2189="","",IF($K2189&lt;&gt;"对外销售",0,ROUND(N($J2189)*IF($P2189="",N($O2189),N($P2189)),0)))</f>
        <v/>
      </c>
      <c r="R2189" s="26">
        <f>IF($D2189="","",IFERROR(VLOOKUP($D2189,库存台账!$A$5:$Y$1204,11,0),0))</f>
        <v/>
      </c>
      <c r="S2189" s="26">
        <f>IF($D2189="","",ROUND(N($J2189)*N($R2189),0))</f>
        <v/>
      </c>
      <c r="T2189" s="26">
        <f>IF($D2189="","",IF($K2189&lt;&gt;"对外销售","",ROUND($Q2189-$S2189,0)))</f>
        <v/>
      </c>
      <c r="U2189" s="17" t="n"/>
      <c r="V2189" s="17" t="n"/>
      <c r="W2189" s="24">
        <f>IF($D2189="","",IF($E2189="※编码不在物料档案里","※物料编码不在档案里",IF(N($J2189)&lt;=0,"※出库数量要大于 0",IF($K2189="","※没填去向类型",IF($L2189="","※没填去向矿区",IF(AND($C2189&lt;&gt;"",$C2189&lt;=结账锁),"※日期早于已结账截止日，不能再录",IF(AND($K2189="自用消耗",COUNTIF({"一矿区";"二矿区"},$L2189)=0),"※自用消耗的去向只能是一矿区或二矿区",IF(AND($K2189="对外销售",COUNTIF({"三矿区";"六矿区"},$L2189)=0),"※对外销售的去向只能是三矿区或六矿区",IF(AND($K2189="对外销售",ROUND($Q2189,0)=0),"※外销却没有售价，请填实际售价",IF(AND($K2189="对外销售",$T2189&lt;&gt;"",$T2189&lt;0),"※这一笔外销是亏的，请核对售价",IF(IFERROR(VLOOKUP($D2189,库存台账!$A$5:$Y$1204,24,0),0)&lt;-0.001,"※这个物料账面已经变成负数了，查一下是不是漏记入库","")))))))))))</f>
        <v/>
      </c>
    </row>
    <row r="2190">
      <c r="A2190" s="24">
        <f>IF($D2190="","",COUNTA($D$4:$D2190))</f>
        <v/>
      </c>
      <c r="B2190" s="17" t="n"/>
      <c r="C2190" s="30" t="n"/>
      <c r="D2190" s="17" t="n"/>
      <c r="E2190" s="24">
        <f>IF($D2190="","",IFERROR(VLOOKUP($D2190,物料档案!$A$4:$P$1203,3,0),"※编码不在物料档案里"))</f>
        <v/>
      </c>
      <c r="F2190" s="24">
        <f>IF($D2190="","",IFERROR(VLOOKUP($D2190,物料档案!$A$4:$P$1203,4,0),"※编码不在物料档案里"))</f>
        <v/>
      </c>
      <c r="G2190" s="24">
        <f>IF($D2190="","",IFERROR(VLOOKUP($D2190,物料档案!$A$4:$P$1203,5,0),"※编码不在物料档案里"))</f>
        <v/>
      </c>
      <c r="H2190" s="24">
        <f>IF($D2190="","",IFERROR(VLOOKUP($D2190,物料档案!$A$4:$P$1203,2,0),"※编码不在物料档案里"))</f>
        <v/>
      </c>
      <c r="I2190" s="24">
        <f>IF($D2190="","",IFERROR(VLOOKUP($D2190,物料档案!$A$4:$P$1203,6,0),"※编码不在物料档案里"))</f>
        <v/>
      </c>
      <c r="J2190" s="23" t="n"/>
      <c r="K2190" s="17" t="n"/>
      <c r="L2190" s="17" t="n"/>
      <c r="M2190" s="17" t="n"/>
      <c r="N2190" s="17" t="n"/>
      <c r="O2190" s="26">
        <f>IF($D2190="","",IFERROR(VLOOKUP($D2190,物料档案!$A$4:$P$1203,10,0),0))</f>
        <v/>
      </c>
      <c r="P2190" s="32" t="n"/>
      <c r="Q2190" s="26">
        <f>IF($D2190="","",IF($K2190&lt;&gt;"对外销售",0,ROUND(N($J2190)*IF($P2190="",N($O2190),N($P2190)),0)))</f>
        <v/>
      </c>
      <c r="R2190" s="26">
        <f>IF($D2190="","",IFERROR(VLOOKUP($D2190,库存台账!$A$5:$Y$1204,11,0),0))</f>
        <v/>
      </c>
      <c r="S2190" s="26">
        <f>IF($D2190="","",ROUND(N($J2190)*N($R2190),0))</f>
        <v/>
      </c>
      <c r="T2190" s="26">
        <f>IF($D2190="","",IF($K2190&lt;&gt;"对外销售","",ROUND($Q2190-$S2190,0)))</f>
        <v/>
      </c>
      <c r="U2190" s="17" t="n"/>
      <c r="V2190" s="17" t="n"/>
      <c r="W2190" s="24">
        <f>IF($D2190="","",IF($E2190="※编码不在物料档案里","※物料编码不在档案里",IF(N($J2190)&lt;=0,"※出库数量要大于 0",IF($K2190="","※没填去向类型",IF($L2190="","※没填去向矿区",IF(AND($C2190&lt;&gt;"",$C2190&lt;=结账锁),"※日期早于已结账截止日，不能再录",IF(AND($K2190="自用消耗",COUNTIF({"一矿区";"二矿区"},$L2190)=0),"※自用消耗的去向只能是一矿区或二矿区",IF(AND($K2190="对外销售",COUNTIF({"三矿区";"六矿区"},$L2190)=0),"※对外销售的去向只能是三矿区或六矿区",IF(AND($K2190="对外销售",ROUND($Q2190,0)=0),"※外销却没有售价，请填实际售价",IF(AND($K2190="对外销售",$T2190&lt;&gt;"",$T2190&lt;0),"※这一笔外销是亏的，请核对售价",IF(IFERROR(VLOOKUP($D2190,库存台账!$A$5:$Y$1204,24,0),0)&lt;-0.001,"※这个物料账面已经变成负数了，查一下是不是漏记入库","")))))))))))</f>
        <v/>
      </c>
    </row>
    <row r="2191">
      <c r="A2191" s="24">
        <f>IF($D2191="","",COUNTA($D$4:$D2191))</f>
        <v/>
      </c>
      <c r="B2191" s="17" t="n"/>
      <c r="C2191" s="30" t="n"/>
      <c r="D2191" s="17" t="n"/>
      <c r="E2191" s="24">
        <f>IF($D2191="","",IFERROR(VLOOKUP($D2191,物料档案!$A$4:$P$1203,3,0),"※编码不在物料档案里"))</f>
        <v/>
      </c>
      <c r="F2191" s="24">
        <f>IF($D2191="","",IFERROR(VLOOKUP($D2191,物料档案!$A$4:$P$1203,4,0),"※编码不在物料档案里"))</f>
        <v/>
      </c>
      <c r="G2191" s="24">
        <f>IF($D2191="","",IFERROR(VLOOKUP($D2191,物料档案!$A$4:$P$1203,5,0),"※编码不在物料档案里"))</f>
        <v/>
      </c>
      <c r="H2191" s="24">
        <f>IF($D2191="","",IFERROR(VLOOKUP($D2191,物料档案!$A$4:$P$1203,2,0),"※编码不在物料档案里"))</f>
        <v/>
      </c>
      <c r="I2191" s="24">
        <f>IF($D2191="","",IFERROR(VLOOKUP($D2191,物料档案!$A$4:$P$1203,6,0),"※编码不在物料档案里"))</f>
        <v/>
      </c>
      <c r="J2191" s="23" t="n"/>
      <c r="K2191" s="17" t="n"/>
      <c r="L2191" s="17" t="n"/>
      <c r="M2191" s="17" t="n"/>
      <c r="N2191" s="17" t="n"/>
      <c r="O2191" s="26">
        <f>IF($D2191="","",IFERROR(VLOOKUP($D2191,物料档案!$A$4:$P$1203,10,0),0))</f>
        <v/>
      </c>
      <c r="P2191" s="32" t="n"/>
      <c r="Q2191" s="26">
        <f>IF($D2191="","",IF($K2191&lt;&gt;"对外销售",0,ROUND(N($J2191)*IF($P2191="",N($O2191),N($P2191)),0)))</f>
        <v/>
      </c>
      <c r="R2191" s="26">
        <f>IF($D2191="","",IFERROR(VLOOKUP($D2191,库存台账!$A$5:$Y$1204,11,0),0))</f>
        <v/>
      </c>
      <c r="S2191" s="26">
        <f>IF($D2191="","",ROUND(N($J2191)*N($R2191),0))</f>
        <v/>
      </c>
      <c r="T2191" s="26">
        <f>IF($D2191="","",IF($K2191&lt;&gt;"对外销售","",ROUND($Q2191-$S2191,0)))</f>
        <v/>
      </c>
      <c r="U2191" s="17" t="n"/>
      <c r="V2191" s="17" t="n"/>
      <c r="W2191" s="24">
        <f>IF($D2191="","",IF($E2191="※编码不在物料档案里","※物料编码不在档案里",IF(N($J2191)&lt;=0,"※出库数量要大于 0",IF($K2191="","※没填去向类型",IF($L2191="","※没填去向矿区",IF(AND($C2191&lt;&gt;"",$C2191&lt;=结账锁),"※日期早于已结账截止日，不能再录",IF(AND($K2191="自用消耗",COUNTIF({"一矿区";"二矿区"},$L2191)=0),"※自用消耗的去向只能是一矿区或二矿区",IF(AND($K2191="对外销售",COUNTIF({"三矿区";"六矿区"},$L2191)=0),"※对外销售的去向只能是三矿区或六矿区",IF(AND($K2191="对外销售",ROUND($Q2191,0)=0),"※外销却没有售价，请填实际售价",IF(AND($K2191="对外销售",$T2191&lt;&gt;"",$T2191&lt;0),"※这一笔外销是亏的，请核对售价",IF(IFERROR(VLOOKUP($D2191,库存台账!$A$5:$Y$1204,24,0),0)&lt;-0.001,"※这个物料账面已经变成负数了，查一下是不是漏记入库","")))))))))))</f>
        <v/>
      </c>
    </row>
    <row r="2192">
      <c r="A2192" s="24">
        <f>IF($D2192="","",COUNTA($D$4:$D2192))</f>
        <v/>
      </c>
      <c r="B2192" s="17" t="n"/>
      <c r="C2192" s="30" t="n"/>
      <c r="D2192" s="17" t="n"/>
      <c r="E2192" s="24">
        <f>IF($D2192="","",IFERROR(VLOOKUP($D2192,物料档案!$A$4:$P$1203,3,0),"※编码不在物料档案里"))</f>
        <v/>
      </c>
      <c r="F2192" s="24">
        <f>IF($D2192="","",IFERROR(VLOOKUP($D2192,物料档案!$A$4:$P$1203,4,0),"※编码不在物料档案里"))</f>
        <v/>
      </c>
      <c r="G2192" s="24">
        <f>IF($D2192="","",IFERROR(VLOOKUP($D2192,物料档案!$A$4:$P$1203,5,0),"※编码不在物料档案里"))</f>
        <v/>
      </c>
      <c r="H2192" s="24">
        <f>IF($D2192="","",IFERROR(VLOOKUP($D2192,物料档案!$A$4:$P$1203,2,0),"※编码不在物料档案里"))</f>
        <v/>
      </c>
      <c r="I2192" s="24">
        <f>IF($D2192="","",IFERROR(VLOOKUP($D2192,物料档案!$A$4:$P$1203,6,0),"※编码不在物料档案里"))</f>
        <v/>
      </c>
      <c r="J2192" s="23" t="n"/>
      <c r="K2192" s="17" t="n"/>
      <c r="L2192" s="17" t="n"/>
      <c r="M2192" s="17" t="n"/>
      <c r="N2192" s="17" t="n"/>
      <c r="O2192" s="26">
        <f>IF($D2192="","",IFERROR(VLOOKUP($D2192,物料档案!$A$4:$P$1203,10,0),0))</f>
        <v/>
      </c>
      <c r="P2192" s="32" t="n"/>
      <c r="Q2192" s="26">
        <f>IF($D2192="","",IF($K2192&lt;&gt;"对外销售",0,ROUND(N($J2192)*IF($P2192="",N($O2192),N($P2192)),0)))</f>
        <v/>
      </c>
      <c r="R2192" s="26">
        <f>IF($D2192="","",IFERROR(VLOOKUP($D2192,库存台账!$A$5:$Y$1204,11,0),0))</f>
        <v/>
      </c>
      <c r="S2192" s="26">
        <f>IF($D2192="","",ROUND(N($J2192)*N($R2192),0))</f>
        <v/>
      </c>
      <c r="T2192" s="26">
        <f>IF($D2192="","",IF($K2192&lt;&gt;"对外销售","",ROUND($Q2192-$S2192,0)))</f>
        <v/>
      </c>
      <c r="U2192" s="17" t="n"/>
      <c r="V2192" s="17" t="n"/>
      <c r="W2192" s="24">
        <f>IF($D2192="","",IF($E2192="※编码不在物料档案里","※物料编码不在档案里",IF(N($J2192)&lt;=0,"※出库数量要大于 0",IF($K2192="","※没填去向类型",IF($L2192="","※没填去向矿区",IF(AND($C2192&lt;&gt;"",$C2192&lt;=结账锁),"※日期早于已结账截止日，不能再录",IF(AND($K2192="自用消耗",COUNTIF({"一矿区";"二矿区"},$L2192)=0),"※自用消耗的去向只能是一矿区或二矿区",IF(AND($K2192="对外销售",COUNTIF({"三矿区";"六矿区"},$L2192)=0),"※对外销售的去向只能是三矿区或六矿区",IF(AND($K2192="对外销售",ROUND($Q2192,0)=0),"※外销却没有售价，请填实际售价",IF(AND($K2192="对外销售",$T2192&lt;&gt;"",$T2192&lt;0),"※这一笔外销是亏的，请核对售价",IF(IFERROR(VLOOKUP($D2192,库存台账!$A$5:$Y$1204,24,0),0)&lt;-0.001,"※这个物料账面已经变成负数了，查一下是不是漏记入库","")))))))))))</f>
        <v/>
      </c>
    </row>
    <row r="2193">
      <c r="A2193" s="24">
        <f>IF($D2193="","",COUNTA($D$4:$D2193))</f>
        <v/>
      </c>
      <c r="B2193" s="17" t="n"/>
      <c r="C2193" s="30" t="n"/>
      <c r="D2193" s="17" t="n"/>
      <c r="E2193" s="24">
        <f>IF($D2193="","",IFERROR(VLOOKUP($D2193,物料档案!$A$4:$P$1203,3,0),"※编码不在物料档案里"))</f>
        <v/>
      </c>
      <c r="F2193" s="24">
        <f>IF($D2193="","",IFERROR(VLOOKUP($D2193,物料档案!$A$4:$P$1203,4,0),"※编码不在物料档案里"))</f>
        <v/>
      </c>
      <c r="G2193" s="24">
        <f>IF($D2193="","",IFERROR(VLOOKUP($D2193,物料档案!$A$4:$P$1203,5,0),"※编码不在物料档案里"))</f>
        <v/>
      </c>
      <c r="H2193" s="24">
        <f>IF($D2193="","",IFERROR(VLOOKUP($D2193,物料档案!$A$4:$P$1203,2,0),"※编码不在物料档案里"))</f>
        <v/>
      </c>
      <c r="I2193" s="24">
        <f>IF($D2193="","",IFERROR(VLOOKUP($D2193,物料档案!$A$4:$P$1203,6,0),"※编码不在物料档案里"))</f>
        <v/>
      </c>
      <c r="J2193" s="23" t="n"/>
      <c r="K2193" s="17" t="n"/>
      <c r="L2193" s="17" t="n"/>
      <c r="M2193" s="17" t="n"/>
      <c r="N2193" s="17" t="n"/>
      <c r="O2193" s="26">
        <f>IF($D2193="","",IFERROR(VLOOKUP($D2193,物料档案!$A$4:$P$1203,10,0),0))</f>
        <v/>
      </c>
      <c r="P2193" s="32" t="n"/>
      <c r="Q2193" s="26">
        <f>IF($D2193="","",IF($K2193&lt;&gt;"对外销售",0,ROUND(N($J2193)*IF($P2193="",N($O2193),N($P2193)),0)))</f>
        <v/>
      </c>
      <c r="R2193" s="26">
        <f>IF($D2193="","",IFERROR(VLOOKUP($D2193,库存台账!$A$5:$Y$1204,11,0),0))</f>
        <v/>
      </c>
      <c r="S2193" s="26">
        <f>IF($D2193="","",ROUND(N($J2193)*N($R2193),0))</f>
        <v/>
      </c>
      <c r="T2193" s="26">
        <f>IF($D2193="","",IF($K2193&lt;&gt;"对外销售","",ROUND($Q2193-$S2193,0)))</f>
        <v/>
      </c>
      <c r="U2193" s="17" t="n"/>
      <c r="V2193" s="17" t="n"/>
      <c r="W2193" s="24">
        <f>IF($D2193="","",IF($E2193="※编码不在物料档案里","※物料编码不在档案里",IF(N($J2193)&lt;=0,"※出库数量要大于 0",IF($K2193="","※没填去向类型",IF($L2193="","※没填去向矿区",IF(AND($C2193&lt;&gt;"",$C2193&lt;=结账锁),"※日期早于已结账截止日，不能再录",IF(AND($K2193="自用消耗",COUNTIF({"一矿区";"二矿区"},$L2193)=0),"※自用消耗的去向只能是一矿区或二矿区",IF(AND($K2193="对外销售",COUNTIF({"三矿区";"六矿区"},$L2193)=0),"※对外销售的去向只能是三矿区或六矿区",IF(AND($K2193="对外销售",ROUND($Q2193,0)=0),"※外销却没有售价，请填实际售价",IF(AND($K2193="对外销售",$T2193&lt;&gt;"",$T2193&lt;0),"※这一笔外销是亏的，请核对售价",IF(IFERROR(VLOOKUP($D2193,库存台账!$A$5:$Y$1204,24,0),0)&lt;-0.001,"※这个物料账面已经变成负数了，查一下是不是漏记入库","")))))))))))</f>
        <v/>
      </c>
    </row>
    <row r="2194">
      <c r="A2194" s="24">
        <f>IF($D2194="","",COUNTA($D$4:$D2194))</f>
        <v/>
      </c>
      <c r="B2194" s="17" t="n"/>
      <c r="C2194" s="30" t="n"/>
      <c r="D2194" s="17" t="n"/>
      <c r="E2194" s="24">
        <f>IF($D2194="","",IFERROR(VLOOKUP($D2194,物料档案!$A$4:$P$1203,3,0),"※编码不在物料档案里"))</f>
        <v/>
      </c>
      <c r="F2194" s="24">
        <f>IF($D2194="","",IFERROR(VLOOKUP($D2194,物料档案!$A$4:$P$1203,4,0),"※编码不在物料档案里"))</f>
        <v/>
      </c>
      <c r="G2194" s="24">
        <f>IF($D2194="","",IFERROR(VLOOKUP($D2194,物料档案!$A$4:$P$1203,5,0),"※编码不在物料档案里"))</f>
        <v/>
      </c>
      <c r="H2194" s="24">
        <f>IF($D2194="","",IFERROR(VLOOKUP($D2194,物料档案!$A$4:$P$1203,2,0),"※编码不在物料档案里"))</f>
        <v/>
      </c>
      <c r="I2194" s="24">
        <f>IF($D2194="","",IFERROR(VLOOKUP($D2194,物料档案!$A$4:$P$1203,6,0),"※编码不在物料档案里"))</f>
        <v/>
      </c>
      <c r="J2194" s="23" t="n"/>
      <c r="K2194" s="17" t="n"/>
      <c r="L2194" s="17" t="n"/>
      <c r="M2194" s="17" t="n"/>
      <c r="N2194" s="17" t="n"/>
      <c r="O2194" s="26">
        <f>IF($D2194="","",IFERROR(VLOOKUP($D2194,物料档案!$A$4:$P$1203,10,0),0))</f>
        <v/>
      </c>
      <c r="P2194" s="32" t="n"/>
      <c r="Q2194" s="26">
        <f>IF($D2194="","",IF($K2194&lt;&gt;"对外销售",0,ROUND(N($J2194)*IF($P2194="",N($O2194),N($P2194)),0)))</f>
        <v/>
      </c>
      <c r="R2194" s="26">
        <f>IF($D2194="","",IFERROR(VLOOKUP($D2194,库存台账!$A$5:$Y$1204,11,0),0))</f>
        <v/>
      </c>
      <c r="S2194" s="26">
        <f>IF($D2194="","",ROUND(N($J2194)*N($R2194),0))</f>
        <v/>
      </c>
      <c r="T2194" s="26">
        <f>IF($D2194="","",IF($K2194&lt;&gt;"对外销售","",ROUND($Q2194-$S2194,0)))</f>
        <v/>
      </c>
      <c r="U2194" s="17" t="n"/>
      <c r="V2194" s="17" t="n"/>
      <c r="W2194" s="24">
        <f>IF($D2194="","",IF($E2194="※编码不在物料档案里","※物料编码不在档案里",IF(N($J2194)&lt;=0,"※出库数量要大于 0",IF($K2194="","※没填去向类型",IF($L2194="","※没填去向矿区",IF(AND($C2194&lt;&gt;"",$C2194&lt;=结账锁),"※日期早于已结账截止日，不能再录",IF(AND($K2194="自用消耗",COUNTIF({"一矿区";"二矿区"},$L2194)=0),"※自用消耗的去向只能是一矿区或二矿区",IF(AND($K2194="对外销售",COUNTIF({"三矿区";"六矿区"},$L2194)=0),"※对外销售的去向只能是三矿区或六矿区",IF(AND($K2194="对外销售",ROUND($Q2194,0)=0),"※外销却没有售价，请填实际售价",IF(AND($K2194="对外销售",$T2194&lt;&gt;"",$T2194&lt;0),"※这一笔外销是亏的，请核对售价",IF(IFERROR(VLOOKUP($D2194,库存台账!$A$5:$Y$1204,24,0),0)&lt;-0.001,"※这个物料账面已经变成负数了，查一下是不是漏记入库","")))))))))))</f>
        <v/>
      </c>
    </row>
    <row r="2195">
      <c r="A2195" s="24">
        <f>IF($D2195="","",COUNTA($D$4:$D2195))</f>
        <v/>
      </c>
      <c r="B2195" s="17" t="n"/>
      <c r="C2195" s="30" t="n"/>
      <c r="D2195" s="17" t="n"/>
      <c r="E2195" s="24">
        <f>IF($D2195="","",IFERROR(VLOOKUP($D2195,物料档案!$A$4:$P$1203,3,0),"※编码不在物料档案里"))</f>
        <v/>
      </c>
      <c r="F2195" s="24">
        <f>IF($D2195="","",IFERROR(VLOOKUP($D2195,物料档案!$A$4:$P$1203,4,0),"※编码不在物料档案里"))</f>
        <v/>
      </c>
      <c r="G2195" s="24">
        <f>IF($D2195="","",IFERROR(VLOOKUP($D2195,物料档案!$A$4:$P$1203,5,0),"※编码不在物料档案里"))</f>
        <v/>
      </c>
      <c r="H2195" s="24">
        <f>IF($D2195="","",IFERROR(VLOOKUP($D2195,物料档案!$A$4:$P$1203,2,0),"※编码不在物料档案里"))</f>
        <v/>
      </c>
      <c r="I2195" s="24">
        <f>IF($D2195="","",IFERROR(VLOOKUP($D2195,物料档案!$A$4:$P$1203,6,0),"※编码不在物料档案里"))</f>
        <v/>
      </c>
      <c r="J2195" s="23" t="n"/>
      <c r="K2195" s="17" t="n"/>
      <c r="L2195" s="17" t="n"/>
      <c r="M2195" s="17" t="n"/>
      <c r="N2195" s="17" t="n"/>
      <c r="O2195" s="26">
        <f>IF($D2195="","",IFERROR(VLOOKUP($D2195,物料档案!$A$4:$P$1203,10,0),0))</f>
        <v/>
      </c>
      <c r="P2195" s="32" t="n"/>
      <c r="Q2195" s="26">
        <f>IF($D2195="","",IF($K2195&lt;&gt;"对外销售",0,ROUND(N($J2195)*IF($P2195="",N($O2195),N($P2195)),0)))</f>
        <v/>
      </c>
      <c r="R2195" s="26">
        <f>IF($D2195="","",IFERROR(VLOOKUP($D2195,库存台账!$A$5:$Y$1204,11,0),0))</f>
        <v/>
      </c>
      <c r="S2195" s="26">
        <f>IF($D2195="","",ROUND(N($J2195)*N($R2195),0))</f>
        <v/>
      </c>
      <c r="T2195" s="26">
        <f>IF($D2195="","",IF($K2195&lt;&gt;"对外销售","",ROUND($Q2195-$S2195,0)))</f>
        <v/>
      </c>
      <c r="U2195" s="17" t="n"/>
      <c r="V2195" s="17" t="n"/>
      <c r="W2195" s="24">
        <f>IF($D2195="","",IF($E2195="※编码不在物料档案里","※物料编码不在档案里",IF(N($J2195)&lt;=0,"※出库数量要大于 0",IF($K2195="","※没填去向类型",IF($L2195="","※没填去向矿区",IF(AND($C2195&lt;&gt;"",$C2195&lt;=结账锁),"※日期早于已结账截止日，不能再录",IF(AND($K2195="自用消耗",COUNTIF({"一矿区";"二矿区"},$L2195)=0),"※自用消耗的去向只能是一矿区或二矿区",IF(AND($K2195="对外销售",COUNTIF({"三矿区";"六矿区"},$L2195)=0),"※对外销售的去向只能是三矿区或六矿区",IF(AND($K2195="对外销售",ROUND($Q2195,0)=0),"※外销却没有售价，请填实际售价",IF(AND($K2195="对外销售",$T2195&lt;&gt;"",$T2195&lt;0),"※这一笔外销是亏的，请核对售价",IF(IFERROR(VLOOKUP($D2195,库存台账!$A$5:$Y$1204,24,0),0)&lt;-0.001,"※这个物料账面已经变成负数了，查一下是不是漏记入库","")))))))))))</f>
        <v/>
      </c>
    </row>
    <row r="2196">
      <c r="A2196" s="24">
        <f>IF($D2196="","",COUNTA($D$4:$D2196))</f>
        <v/>
      </c>
      <c r="B2196" s="17" t="n"/>
      <c r="C2196" s="30" t="n"/>
      <c r="D2196" s="17" t="n"/>
      <c r="E2196" s="24">
        <f>IF($D2196="","",IFERROR(VLOOKUP($D2196,物料档案!$A$4:$P$1203,3,0),"※编码不在物料档案里"))</f>
        <v/>
      </c>
      <c r="F2196" s="24">
        <f>IF($D2196="","",IFERROR(VLOOKUP($D2196,物料档案!$A$4:$P$1203,4,0),"※编码不在物料档案里"))</f>
        <v/>
      </c>
      <c r="G2196" s="24">
        <f>IF($D2196="","",IFERROR(VLOOKUP($D2196,物料档案!$A$4:$P$1203,5,0),"※编码不在物料档案里"))</f>
        <v/>
      </c>
      <c r="H2196" s="24">
        <f>IF($D2196="","",IFERROR(VLOOKUP($D2196,物料档案!$A$4:$P$1203,2,0),"※编码不在物料档案里"))</f>
        <v/>
      </c>
      <c r="I2196" s="24">
        <f>IF($D2196="","",IFERROR(VLOOKUP($D2196,物料档案!$A$4:$P$1203,6,0),"※编码不在物料档案里"))</f>
        <v/>
      </c>
      <c r="J2196" s="23" t="n"/>
      <c r="K2196" s="17" t="n"/>
      <c r="L2196" s="17" t="n"/>
      <c r="M2196" s="17" t="n"/>
      <c r="N2196" s="17" t="n"/>
      <c r="O2196" s="26">
        <f>IF($D2196="","",IFERROR(VLOOKUP($D2196,物料档案!$A$4:$P$1203,10,0),0))</f>
        <v/>
      </c>
      <c r="P2196" s="32" t="n"/>
      <c r="Q2196" s="26">
        <f>IF($D2196="","",IF($K2196&lt;&gt;"对外销售",0,ROUND(N($J2196)*IF($P2196="",N($O2196),N($P2196)),0)))</f>
        <v/>
      </c>
      <c r="R2196" s="26">
        <f>IF($D2196="","",IFERROR(VLOOKUP($D2196,库存台账!$A$5:$Y$1204,11,0),0))</f>
        <v/>
      </c>
      <c r="S2196" s="26">
        <f>IF($D2196="","",ROUND(N($J2196)*N($R2196),0))</f>
        <v/>
      </c>
      <c r="T2196" s="26">
        <f>IF($D2196="","",IF($K2196&lt;&gt;"对外销售","",ROUND($Q2196-$S2196,0)))</f>
        <v/>
      </c>
      <c r="U2196" s="17" t="n"/>
      <c r="V2196" s="17" t="n"/>
      <c r="W2196" s="24">
        <f>IF($D2196="","",IF($E2196="※编码不在物料档案里","※物料编码不在档案里",IF(N($J2196)&lt;=0,"※出库数量要大于 0",IF($K2196="","※没填去向类型",IF($L2196="","※没填去向矿区",IF(AND($C2196&lt;&gt;"",$C2196&lt;=结账锁),"※日期早于已结账截止日，不能再录",IF(AND($K2196="自用消耗",COUNTIF({"一矿区";"二矿区"},$L2196)=0),"※自用消耗的去向只能是一矿区或二矿区",IF(AND($K2196="对外销售",COUNTIF({"三矿区";"六矿区"},$L2196)=0),"※对外销售的去向只能是三矿区或六矿区",IF(AND($K2196="对外销售",ROUND($Q2196,0)=0),"※外销却没有售价，请填实际售价",IF(AND($K2196="对外销售",$T2196&lt;&gt;"",$T2196&lt;0),"※这一笔外销是亏的，请核对售价",IF(IFERROR(VLOOKUP($D2196,库存台账!$A$5:$Y$1204,24,0),0)&lt;-0.001,"※这个物料账面已经变成负数了，查一下是不是漏记入库","")))))))))))</f>
        <v/>
      </c>
    </row>
    <row r="2197">
      <c r="A2197" s="24">
        <f>IF($D2197="","",COUNTA($D$4:$D2197))</f>
        <v/>
      </c>
      <c r="B2197" s="17" t="n"/>
      <c r="C2197" s="30" t="n"/>
      <c r="D2197" s="17" t="n"/>
      <c r="E2197" s="24">
        <f>IF($D2197="","",IFERROR(VLOOKUP($D2197,物料档案!$A$4:$P$1203,3,0),"※编码不在物料档案里"))</f>
        <v/>
      </c>
      <c r="F2197" s="24">
        <f>IF($D2197="","",IFERROR(VLOOKUP($D2197,物料档案!$A$4:$P$1203,4,0),"※编码不在物料档案里"))</f>
        <v/>
      </c>
      <c r="G2197" s="24">
        <f>IF($D2197="","",IFERROR(VLOOKUP($D2197,物料档案!$A$4:$P$1203,5,0),"※编码不在物料档案里"))</f>
        <v/>
      </c>
      <c r="H2197" s="24">
        <f>IF($D2197="","",IFERROR(VLOOKUP($D2197,物料档案!$A$4:$P$1203,2,0),"※编码不在物料档案里"))</f>
        <v/>
      </c>
      <c r="I2197" s="24">
        <f>IF($D2197="","",IFERROR(VLOOKUP($D2197,物料档案!$A$4:$P$1203,6,0),"※编码不在物料档案里"))</f>
        <v/>
      </c>
      <c r="J2197" s="23" t="n"/>
      <c r="K2197" s="17" t="n"/>
      <c r="L2197" s="17" t="n"/>
      <c r="M2197" s="17" t="n"/>
      <c r="N2197" s="17" t="n"/>
      <c r="O2197" s="26">
        <f>IF($D2197="","",IFERROR(VLOOKUP($D2197,物料档案!$A$4:$P$1203,10,0),0))</f>
        <v/>
      </c>
      <c r="P2197" s="32" t="n"/>
      <c r="Q2197" s="26">
        <f>IF($D2197="","",IF($K2197&lt;&gt;"对外销售",0,ROUND(N($J2197)*IF($P2197="",N($O2197),N($P2197)),0)))</f>
        <v/>
      </c>
      <c r="R2197" s="26">
        <f>IF($D2197="","",IFERROR(VLOOKUP($D2197,库存台账!$A$5:$Y$1204,11,0),0))</f>
        <v/>
      </c>
      <c r="S2197" s="26">
        <f>IF($D2197="","",ROUND(N($J2197)*N($R2197),0))</f>
        <v/>
      </c>
      <c r="T2197" s="26">
        <f>IF($D2197="","",IF($K2197&lt;&gt;"对外销售","",ROUND($Q2197-$S2197,0)))</f>
        <v/>
      </c>
      <c r="U2197" s="17" t="n"/>
      <c r="V2197" s="17" t="n"/>
      <c r="W2197" s="24">
        <f>IF($D2197="","",IF($E2197="※编码不在物料档案里","※物料编码不在档案里",IF(N($J2197)&lt;=0,"※出库数量要大于 0",IF($K2197="","※没填去向类型",IF($L2197="","※没填去向矿区",IF(AND($C2197&lt;&gt;"",$C2197&lt;=结账锁),"※日期早于已结账截止日，不能再录",IF(AND($K2197="自用消耗",COUNTIF({"一矿区";"二矿区"},$L2197)=0),"※自用消耗的去向只能是一矿区或二矿区",IF(AND($K2197="对外销售",COUNTIF({"三矿区";"六矿区"},$L2197)=0),"※对外销售的去向只能是三矿区或六矿区",IF(AND($K2197="对外销售",ROUND($Q2197,0)=0),"※外销却没有售价，请填实际售价",IF(AND($K2197="对外销售",$T2197&lt;&gt;"",$T2197&lt;0),"※这一笔外销是亏的，请核对售价",IF(IFERROR(VLOOKUP($D2197,库存台账!$A$5:$Y$1204,24,0),0)&lt;-0.001,"※这个物料账面已经变成负数了，查一下是不是漏记入库","")))))))))))</f>
        <v/>
      </c>
    </row>
    <row r="2198">
      <c r="A2198" s="24">
        <f>IF($D2198="","",COUNTA($D$4:$D2198))</f>
        <v/>
      </c>
      <c r="B2198" s="17" t="n"/>
      <c r="C2198" s="30" t="n"/>
      <c r="D2198" s="17" t="n"/>
      <c r="E2198" s="24">
        <f>IF($D2198="","",IFERROR(VLOOKUP($D2198,物料档案!$A$4:$P$1203,3,0),"※编码不在物料档案里"))</f>
        <v/>
      </c>
      <c r="F2198" s="24">
        <f>IF($D2198="","",IFERROR(VLOOKUP($D2198,物料档案!$A$4:$P$1203,4,0),"※编码不在物料档案里"))</f>
        <v/>
      </c>
      <c r="G2198" s="24">
        <f>IF($D2198="","",IFERROR(VLOOKUP($D2198,物料档案!$A$4:$P$1203,5,0),"※编码不在物料档案里"))</f>
        <v/>
      </c>
      <c r="H2198" s="24">
        <f>IF($D2198="","",IFERROR(VLOOKUP($D2198,物料档案!$A$4:$P$1203,2,0),"※编码不在物料档案里"))</f>
        <v/>
      </c>
      <c r="I2198" s="24">
        <f>IF($D2198="","",IFERROR(VLOOKUP($D2198,物料档案!$A$4:$P$1203,6,0),"※编码不在物料档案里"))</f>
        <v/>
      </c>
      <c r="J2198" s="23" t="n"/>
      <c r="K2198" s="17" t="n"/>
      <c r="L2198" s="17" t="n"/>
      <c r="M2198" s="17" t="n"/>
      <c r="N2198" s="17" t="n"/>
      <c r="O2198" s="26">
        <f>IF($D2198="","",IFERROR(VLOOKUP($D2198,物料档案!$A$4:$P$1203,10,0),0))</f>
        <v/>
      </c>
      <c r="P2198" s="32" t="n"/>
      <c r="Q2198" s="26">
        <f>IF($D2198="","",IF($K2198&lt;&gt;"对外销售",0,ROUND(N($J2198)*IF($P2198="",N($O2198),N($P2198)),0)))</f>
        <v/>
      </c>
      <c r="R2198" s="26">
        <f>IF($D2198="","",IFERROR(VLOOKUP($D2198,库存台账!$A$5:$Y$1204,11,0),0))</f>
        <v/>
      </c>
      <c r="S2198" s="26">
        <f>IF($D2198="","",ROUND(N($J2198)*N($R2198),0))</f>
        <v/>
      </c>
      <c r="T2198" s="26">
        <f>IF($D2198="","",IF($K2198&lt;&gt;"对外销售","",ROUND($Q2198-$S2198,0)))</f>
        <v/>
      </c>
      <c r="U2198" s="17" t="n"/>
      <c r="V2198" s="17" t="n"/>
      <c r="W2198" s="24">
        <f>IF($D2198="","",IF($E2198="※编码不在物料档案里","※物料编码不在档案里",IF(N($J2198)&lt;=0,"※出库数量要大于 0",IF($K2198="","※没填去向类型",IF($L2198="","※没填去向矿区",IF(AND($C2198&lt;&gt;"",$C2198&lt;=结账锁),"※日期早于已结账截止日，不能再录",IF(AND($K2198="自用消耗",COUNTIF({"一矿区";"二矿区"},$L2198)=0),"※自用消耗的去向只能是一矿区或二矿区",IF(AND($K2198="对外销售",COUNTIF({"三矿区";"六矿区"},$L2198)=0),"※对外销售的去向只能是三矿区或六矿区",IF(AND($K2198="对外销售",ROUND($Q2198,0)=0),"※外销却没有售价，请填实际售价",IF(AND($K2198="对外销售",$T2198&lt;&gt;"",$T2198&lt;0),"※这一笔外销是亏的，请核对售价",IF(IFERROR(VLOOKUP($D2198,库存台账!$A$5:$Y$1204,24,0),0)&lt;-0.001,"※这个物料账面已经变成负数了，查一下是不是漏记入库","")))))))))))</f>
        <v/>
      </c>
    </row>
    <row r="2199">
      <c r="A2199" s="24">
        <f>IF($D2199="","",COUNTA($D$4:$D2199))</f>
        <v/>
      </c>
      <c r="B2199" s="17" t="n"/>
      <c r="C2199" s="30" t="n"/>
      <c r="D2199" s="17" t="n"/>
      <c r="E2199" s="24">
        <f>IF($D2199="","",IFERROR(VLOOKUP($D2199,物料档案!$A$4:$P$1203,3,0),"※编码不在物料档案里"))</f>
        <v/>
      </c>
      <c r="F2199" s="24">
        <f>IF($D2199="","",IFERROR(VLOOKUP($D2199,物料档案!$A$4:$P$1203,4,0),"※编码不在物料档案里"))</f>
        <v/>
      </c>
      <c r="G2199" s="24">
        <f>IF($D2199="","",IFERROR(VLOOKUP($D2199,物料档案!$A$4:$P$1203,5,0),"※编码不在物料档案里"))</f>
        <v/>
      </c>
      <c r="H2199" s="24">
        <f>IF($D2199="","",IFERROR(VLOOKUP($D2199,物料档案!$A$4:$P$1203,2,0),"※编码不在物料档案里"))</f>
        <v/>
      </c>
      <c r="I2199" s="24">
        <f>IF($D2199="","",IFERROR(VLOOKUP($D2199,物料档案!$A$4:$P$1203,6,0),"※编码不在物料档案里"))</f>
        <v/>
      </c>
      <c r="J2199" s="23" t="n"/>
      <c r="K2199" s="17" t="n"/>
      <c r="L2199" s="17" t="n"/>
      <c r="M2199" s="17" t="n"/>
      <c r="N2199" s="17" t="n"/>
      <c r="O2199" s="26">
        <f>IF($D2199="","",IFERROR(VLOOKUP($D2199,物料档案!$A$4:$P$1203,10,0),0))</f>
        <v/>
      </c>
      <c r="P2199" s="32" t="n"/>
      <c r="Q2199" s="26">
        <f>IF($D2199="","",IF($K2199&lt;&gt;"对外销售",0,ROUND(N($J2199)*IF($P2199="",N($O2199),N($P2199)),0)))</f>
        <v/>
      </c>
      <c r="R2199" s="26">
        <f>IF($D2199="","",IFERROR(VLOOKUP($D2199,库存台账!$A$5:$Y$1204,11,0),0))</f>
        <v/>
      </c>
      <c r="S2199" s="26">
        <f>IF($D2199="","",ROUND(N($J2199)*N($R2199),0))</f>
        <v/>
      </c>
      <c r="T2199" s="26">
        <f>IF($D2199="","",IF($K2199&lt;&gt;"对外销售","",ROUND($Q2199-$S2199,0)))</f>
        <v/>
      </c>
      <c r="U2199" s="17" t="n"/>
      <c r="V2199" s="17" t="n"/>
      <c r="W2199" s="24">
        <f>IF($D2199="","",IF($E2199="※编码不在物料档案里","※物料编码不在档案里",IF(N($J2199)&lt;=0,"※出库数量要大于 0",IF($K2199="","※没填去向类型",IF($L2199="","※没填去向矿区",IF(AND($C2199&lt;&gt;"",$C2199&lt;=结账锁),"※日期早于已结账截止日，不能再录",IF(AND($K2199="自用消耗",COUNTIF({"一矿区";"二矿区"},$L2199)=0),"※自用消耗的去向只能是一矿区或二矿区",IF(AND($K2199="对外销售",COUNTIF({"三矿区";"六矿区"},$L2199)=0),"※对外销售的去向只能是三矿区或六矿区",IF(AND($K2199="对外销售",ROUND($Q2199,0)=0),"※外销却没有售价，请填实际售价",IF(AND($K2199="对外销售",$T2199&lt;&gt;"",$T2199&lt;0),"※这一笔外销是亏的，请核对售价",IF(IFERROR(VLOOKUP($D2199,库存台账!$A$5:$Y$1204,24,0),0)&lt;-0.001,"※这个物料账面已经变成负数了，查一下是不是漏记入库","")))))))))))</f>
        <v/>
      </c>
    </row>
    <row r="2200">
      <c r="A2200" s="24">
        <f>IF($D2200="","",COUNTA($D$4:$D2200))</f>
        <v/>
      </c>
      <c r="B2200" s="17" t="n"/>
      <c r="C2200" s="30" t="n"/>
      <c r="D2200" s="17" t="n"/>
      <c r="E2200" s="24">
        <f>IF($D2200="","",IFERROR(VLOOKUP($D2200,物料档案!$A$4:$P$1203,3,0),"※编码不在物料档案里"))</f>
        <v/>
      </c>
      <c r="F2200" s="24">
        <f>IF($D2200="","",IFERROR(VLOOKUP($D2200,物料档案!$A$4:$P$1203,4,0),"※编码不在物料档案里"))</f>
        <v/>
      </c>
      <c r="G2200" s="24">
        <f>IF($D2200="","",IFERROR(VLOOKUP($D2200,物料档案!$A$4:$P$1203,5,0),"※编码不在物料档案里"))</f>
        <v/>
      </c>
      <c r="H2200" s="24">
        <f>IF($D2200="","",IFERROR(VLOOKUP($D2200,物料档案!$A$4:$P$1203,2,0),"※编码不在物料档案里"))</f>
        <v/>
      </c>
      <c r="I2200" s="24">
        <f>IF($D2200="","",IFERROR(VLOOKUP($D2200,物料档案!$A$4:$P$1203,6,0),"※编码不在物料档案里"))</f>
        <v/>
      </c>
      <c r="J2200" s="23" t="n"/>
      <c r="K2200" s="17" t="n"/>
      <c r="L2200" s="17" t="n"/>
      <c r="M2200" s="17" t="n"/>
      <c r="N2200" s="17" t="n"/>
      <c r="O2200" s="26">
        <f>IF($D2200="","",IFERROR(VLOOKUP($D2200,物料档案!$A$4:$P$1203,10,0),0))</f>
        <v/>
      </c>
      <c r="P2200" s="32" t="n"/>
      <c r="Q2200" s="26">
        <f>IF($D2200="","",IF($K2200&lt;&gt;"对外销售",0,ROUND(N($J2200)*IF($P2200="",N($O2200),N($P2200)),0)))</f>
        <v/>
      </c>
      <c r="R2200" s="26">
        <f>IF($D2200="","",IFERROR(VLOOKUP($D2200,库存台账!$A$5:$Y$1204,11,0),0))</f>
        <v/>
      </c>
      <c r="S2200" s="26">
        <f>IF($D2200="","",ROUND(N($J2200)*N($R2200),0))</f>
        <v/>
      </c>
      <c r="T2200" s="26">
        <f>IF($D2200="","",IF($K2200&lt;&gt;"对外销售","",ROUND($Q2200-$S2200,0)))</f>
        <v/>
      </c>
      <c r="U2200" s="17" t="n"/>
      <c r="V2200" s="17" t="n"/>
      <c r="W2200" s="24">
        <f>IF($D2200="","",IF($E2200="※编码不在物料档案里","※物料编码不在档案里",IF(N($J2200)&lt;=0,"※出库数量要大于 0",IF($K2200="","※没填去向类型",IF($L2200="","※没填去向矿区",IF(AND($C2200&lt;&gt;"",$C2200&lt;=结账锁),"※日期早于已结账截止日，不能再录",IF(AND($K2200="自用消耗",COUNTIF({"一矿区";"二矿区"},$L2200)=0),"※自用消耗的去向只能是一矿区或二矿区",IF(AND($K2200="对外销售",COUNTIF({"三矿区";"六矿区"},$L2200)=0),"※对外销售的去向只能是三矿区或六矿区",IF(AND($K2200="对外销售",ROUND($Q2200,0)=0),"※外销却没有售价，请填实际售价",IF(AND($K2200="对外销售",$T2200&lt;&gt;"",$T2200&lt;0),"※这一笔外销是亏的，请核对售价",IF(IFERROR(VLOOKUP($D2200,库存台账!$A$5:$Y$1204,24,0),0)&lt;-0.001,"※这个物料账面已经变成负数了，查一下是不是漏记入库","")))))))))))</f>
        <v/>
      </c>
    </row>
    <row r="2201">
      <c r="A2201" s="24">
        <f>IF($D2201="","",COUNTA($D$4:$D2201))</f>
        <v/>
      </c>
      <c r="B2201" s="17" t="n"/>
      <c r="C2201" s="30" t="n"/>
      <c r="D2201" s="17" t="n"/>
      <c r="E2201" s="24">
        <f>IF($D2201="","",IFERROR(VLOOKUP($D2201,物料档案!$A$4:$P$1203,3,0),"※编码不在物料档案里"))</f>
        <v/>
      </c>
      <c r="F2201" s="24">
        <f>IF($D2201="","",IFERROR(VLOOKUP($D2201,物料档案!$A$4:$P$1203,4,0),"※编码不在物料档案里"))</f>
        <v/>
      </c>
      <c r="G2201" s="24">
        <f>IF($D2201="","",IFERROR(VLOOKUP($D2201,物料档案!$A$4:$P$1203,5,0),"※编码不在物料档案里"))</f>
        <v/>
      </c>
      <c r="H2201" s="24">
        <f>IF($D2201="","",IFERROR(VLOOKUP($D2201,物料档案!$A$4:$P$1203,2,0),"※编码不在物料档案里"))</f>
        <v/>
      </c>
      <c r="I2201" s="24">
        <f>IF($D2201="","",IFERROR(VLOOKUP($D2201,物料档案!$A$4:$P$1203,6,0),"※编码不在物料档案里"))</f>
        <v/>
      </c>
      <c r="J2201" s="23" t="n"/>
      <c r="K2201" s="17" t="n"/>
      <c r="L2201" s="17" t="n"/>
      <c r="M2201" s="17" t="n"/>
      <c r="N2201" s="17" t="n"/>
      <c r="O2201" s="26">
        <f>IF($D2201="","",IFERROR(VLOOKUP($D2201,物料档案!$A$4:$P$1203,10,0),0))</f>
        <v/>
      </c>
      <c r="P2201" s="32" t="n"/>
      <c r="Q2201" s="26">
        <f>IF($D2201="","",IF($K2201&lt;&gt;"对外销售",0,ROUND(N($J2201)*IF($P2201="",N($O2201),N($P2201)),0)))</f>
        <v/>
      </c>
      <c r="R2201" s="26">
        <f>IF($D2201="","",IFERROR(VLOOKUP($D2201,库存台账!$A$5:$Y$1204,11,0),0))</f>
        <v/>
      </c>
      <c r="S2201" s="26">
        <f>IF($D2201="","",ROUND(N($J2201)*N($R2201),0))</f>
        <v/>
      </c>
      <c r="T2201" s="26">
        <f>IF($D2201="","",IF($K2201&lt;&gt;"对外销售","",ROUND($Q2201-$S2201,0)))</f>
        <v/>
      </c>
      <c r="U2201" s="17" t="n"/>
      <c r="V2201" s="17" t="n"/>
      <c r="W2201" s="24">
        <f>IF($D2201="","",IF($E2201="※编码不在物料档案里","※物料编码不在档案里",IF(N($J2201)&lt;=0,"※出库数量要大于 0",IF($K2201="","※没填去向类型",IF($L2201="","※没填去向矿区",IF(AND($C2201&lt;&gt;"",$C2201&lt;=结账锁),"※日期早于已结账截止日，不能再录",IF(AND($K2201="自用消耗",COUNTIF({"一矿区";"二矿区"},$L2201)=0),"※自用消耗的去向只能是一矿区或二矿区",IF(AND($K2201="对外销售",COUNTIF({"三矿区";"六矿区"},$L2201)=0),"※对外销售的去向只能是三矿区或六矿区",IF(AND($K2201="对外销售",ROUND($Q2201,0)=0),"※外销却没有售价，请填实际售价",IF(AND($K2201="对外销售",$T2201&lt;&gt;"",$T2201&lt;0),"※这一笔外销是亏的，请核对售价",IF(IFERROR(VLOOKUP($D2201,库存台账!$A$5:$Y$1204,24,0),0)&lt;-0.001,"※这个物料账面已经变成负数了，查一下是不是漏记入库","")))))))))))</f>
        <v/>
      </c>
    </row>
    <row r="2202">
      <c r="A2202" s="24">
        <f>IF($D2202="","",COUNTA($D$4:$D2202))</f>
        <v/>
      </c>
      <c r="B2202" s="17" t="n"/>
      <c r="C2202" s="30" t="n"/>
      <c r="D2202" s="17" t="n"/>
      <c r="E2202" s="24">
        <f>IF($D2202="","",IFERROR(VLOOKUP($D2202,物料档案!$A$4:$P$1203,3,0),"※编码不在物料档案里"))</f>
        <v/>
      </c>
      <c r="F2202" s="24">
        <f>IF($D2202="","",IFERROR(VLOOKUP($D2202,物料档案!$A$4:$P$1203,4,0),"※编码不在物料档案里"))</f>
        <v/>
      </c>
      <c r="G2202" s="24">
        <f>IF($D2202="","",IFERROR(VLOOKUP($D2202,物料档案!$A$4:$P$1203,5,0),"※编码不在物料档案里"))</f>
        <v/>
      </c>
      <c r="H2202" s="24">
        <f>IF($D2202="","",IFERROR(VLOOKUP($D2202,物料档案!$A$4:$P$1203,2,0),"※编码不在物料档案里"))</f>
        <v/>
      </c>
      <c r="I2202" s="24">
        <f>IF($D2202="","",IFERROR(VLOOKUP($D2202,物料档案!$A$4:$P$1203,6,0),"※编码不在物料档案里"))</f>
        <v/>
      </c>
      <c r="J2202" s="23" t="n"/>
      <c r="K2202" s="17" t="n"/>
      <c r="L2202" s="17" t="n"/>
      <c r="M2202" s="17" t="n"/>
      <c r="N2202" s="17" t="n"/>
      <c r="O2202" s="26">
        <f>IF($D2202="","",IFERROR(VLOOKUP($D2202,物料档案!$A$4:$P$1203,10,0),0))</f>
        <v/>
      </c>
      <c r="P2202" s="32" t="n"/>
      <c r="Q2202" s="26">
        <f>IF($D2202="","",IF($K2202&lt;&gt;"对外销售",0,ROUND(N($J2202)*IF($P2202="",N($O2202),N($P2202)),0)))</f>
        <v/>
      </c>
      <c r="R2202" s="26">
        <f>IF($D2202="","",IFERROR(VLOOKUP($D2202,库存台账!$A$5:$Y$1204,11,0),0))</f>
        <v/>
      </c>
      <c r="S2202" s="26">
        <f>IF($D2202="","",ROUND(N($J2202)*N($R2202),0))</f>
        <v/>
      </c>
      <c r="T2202" s="26">
        <f>IF($D2202="","",IF($K2202&lt;&gt;"对外销售","",ROUND($Q2202-$S2202,0)))</f>
        <v/>
      </c>
      <c r="U2202" s="17" t="n"/>
      <c r="V2202" s="17" t="n"/>
      <c r="W2202" s="24">
        <f>IF($D2202="","",IF($E2202="※编码不在物料档案里","※物料编码不在档案里",IF(N($J2202)&lt;=0,"※出库数量要大于 0",IF($K2202="","※没填去向类型",IF($L2202="","※没填去向矿区",IF(AND($C2202&lt;&gt;"",$C2202&lt;=结账锁),"※日期早于已结账截止日，不能再录",IF(AND($K2202="自用消耗",COUNTIF({"一矿区";"二矿区"},$L2202)=0),"※自用消耗的去向只能是一矿区或二矿区",IF(AND($K2202="对外销售",COUNTIF({"三矿区";"六矿区"},$L2202)=0),"※对外销售的去向只能是三矿区或六矿区",IF(AND($K2202="对外销售",ROUND($Q2202,0)=0),"※外销却没有售价，请填实际售价",IF(AND($K2202="对外销售",$T2202&lt;&gt;"",$T2202&lt;0),"※这一笔外销是亏的，请核对售价",IF(IFERROR(VLOOKUP($D2202,库存台账!$A$5:$Y$1204,24,0),0)&lt;-0.001,"※这个物料账面已经变成负数了，查一下是不是漏记入库","")))))))))))</f>
        <v/>
      </c>
    </row>
    <row r="2203">
      <c r="A2203" s="24">
        <f>IF($D2203="","",COUNTA($D$4:$D2203))</f>
        <v/>
      </c>
      <c r="B2203" s="17" t="n"/>
      <c r="C2203" s="30" t="n"/>
      <c r="D2203" s="17" t="n"/>
      <c r="E2203" s="24">
        <f>IF($D2203="","",IFERROR(VLOOKUP($D2203,物料档案!$A$4:$P$1203,3,0),"※编码不在物料档案里"))</f>
        <v/>
      </c>
      <c r="F2203" s="24">
        <f>IF($D2203="","",IFERROR(VLOOKUP($D2203,物料档案!$A$4:$P$1203,4,0),"※编码不在物料档案里"))</f>
        <v/>
      </c>
      <c r="G2203" s="24">
        <f>IF($D2203="","",IFERROR(VLOOKUP($D2203,物料档案!$A$4:$P$1203,5,0),"※编码不在物料档案里"))</f>
        <v/>
      </c>
      <c r="H2203" s="24">
        <f>IF($D2203="","",IFERROR(VLOOKUP($D2203,物料档案!$A$4:$P$1203,2,0),"※编码不在物料档案里"))</f>
        <v/>
      </c>
      <c r="I2203" s="24">
        <f>IF($D2203="","",IFERROR(VLOOKUP($D2203,物料档案!$A$4:$P$1203,6,0),"※编码不在物料档案里"))</f>
        <v/>
      </c>
      <c r="J2203" s="23" t="n"/>
      <c r="K2203" s="17" t="n"/>
      <c r="L2203" s="17" t="n"/>
      <c r="M2203" s="17" t="n"/>
      <c r="N2203" s="17" t="n"/>
      <c r="O2203" s="26">
        <f>IF($D2203="","",IFERROR(VLOOKUP($D2203,物料档案!$A$4:$P$1203,10,0),0))</f>
        <v/>
      </c>
      <c r="P2203" s="32" t="n"/>
      <c r="Q2203" s="26">
        <f>IF($D2203="","",IF($K2203&lt;&gt;"对外销售",0,ROUND(N($J2203)*IF($P2203="",N($O2203),N($P2203)),0)))</f>
        <v/>
      </c>
      <c r="R2203" s="26">
        <f>IF($D2203="","",IFERROR(VLOOKUP($D2203,库存台账!$A$5:$Y$1204,11,0),0))</f>
        <v/>
      </c>
      <c r="S2203" s="26">
        <f>IF($D2203="","",ROUND(N($J2203)*N($R2203),0))</f>
        <v/>
      </c>
      <c r="T2203" s="26">
        <f>IF($D2203="","",IF($K2203&lt;&gt;"对外销售","",ROUND($Q2203-$S2203,0)))</f>
        <v/>
      </c>
      <c r="U2203" s="17" t="n"/>
      <c r="V2203" s="17" t="n"/>
      <c r="W2203" s="24">
        <f>IF($D2203="","",IF($E2203="※编码不在物料档案里","※物料编码不在档案里",IF(N($J2203)&lt;=0,"※出库数量要大于 0",IF($K2203="","※没填去向类型",IF($L2203="","※没填去向矿区",IF(AND($C2203&lt;&gt;"",$C2203&lt;=结账锁),"※日期早于已结账截止日，不能再录",IF(AND($K2203="自用消耗",COUNTIF({"一矿区";"二矿区"},$L2203)=0),"※自用消耗的去向只能是一矿区或二矿区",IF(AND($K2203="对外销售",COUNTIF({"三矿区";"六矿区"},$L2203)=0),"※对外销售的去向只能是三矿区或六矿区",IF(AND($K2203="对外销售",ROUND($Q2203,0)=0),"※外销却没有售价，请填实际售价",IF(AND($K2203="对外销售",$T2203&lt;&gt;"",$T2203&lt;0),"※这一笔外销是亏的，请核对售价",IF(IFERROR(VLOOKUP($D2203,库存台账!$A$5:$Y$1204,24,0),0)&lt;-0.001,"※这个物料账面已经变成负数了，查一下是不是漏记入库","")))))))))))</f>
        <v/>
      </c>
    </row>
    <row r="2204">
      <c r="A2204" s="24">
        <f>IF($D2204="","",COUNTA($D$4:$D2204))</f>
        <v/>
      </c>
      <c r="B2204" s="17" t="n"/>
      <c r="C2204" s="30" t="n"/>
      <c r="D2204" s="17" t="n"/>
      <c r="E2204" s="24">
        <f>IF($D2204="","",IFERROR(VLOOKUP($D2204,物料档案!$A$4:$P$1203,3,0),"※编码不在物料档案里"))</f>
        <v/>
      </c>
      <c r="F2204" s="24">
        <f>IF($D2204="","",IFERROR(VLOOKUP($D2204,物料档案!$A$4:$P$1203,4,0),"※编码不在物料档案里"))</f>
        <v/>
      </c>
      <c r="G2204" s="24">
        <f>IF($D2204="","",IFERROR(VLOOKUP($D2204,物料档案!$A$4:$P$1203,5,0),"※编码不在物料档案里"))</f>
        <v/>
      </c>
      <c r="H2204" s="24">
        <f>IF($D2204="","",IFERROR(VLOOKUP($D2204,物料档案!$A$4:$P$1203,2,0),"※编码不在物料档案里"))</f>
        <v/>
      </c>
      <c r="I2204" s="24">
        <f>IF($D2204="","",IFERROR(VLOOKUP($D2204,物料档案!$A$4:$P$1203,6,0),"※编码不在物料档案里"))</f>
        <v/>
      </c>
      <c r="J2204" s="23" t="n"/>
      <c r="K2204" s="17" t="n"/>
      <c r="L2204" s="17" t="n"/>
      <c r="M2204" s="17" t="n"/>
      <c r="N2204" s="17" t="n"/>
      <c r="O2204" s="26">
        <f>IF($D2204="","",IFERROR(VLOOKUP($D2204,物料档案!$A$4:$P$1203,10,0),0))</f>
        <v/>
      </c>
      <c r="P2204" s="32" t="n"/>
      <c r="Q2204" s="26">
        <f>IF($D2204="","",IF($K2204&lt;&gt;"对外销售",0,ROUND(N($J2204)*IF($P2204="",N($O2204),N($P2204)),0)))</f>
        <v/>
      </c>
      <c r="R2204" s="26">
        <f>IF($D2204="","",IFERROR(VLOOKUP($D2204,库存台账!$A$5:$Y$1204,11,0),0))</f>
        <v/>
      </c>
      <c r="S2204" s="26">
        <f>IF($D2204="","",ROUND(N($J2204)*N($R2204),0))</f>
        <v/>
      </c>
      <c r="T2204" s="26">
        <f>IF($D2204="","",IF($K2204&lt;&gt;"对外销售","",ROUND($Q2204-$S2204,0)))</f>
        <v/>
      </c>
      <c r="U2204" s="17" t="n"/>
      <c r="V2204" s="17" t="n"/>
      <c r="W2204" s="24">
        <f>IF($D2204="","",IF($E2204="※编码不在物料档案里","※物料编码不在档案里",IF(N($J2204)&lt;=0,"※出库数量要大于 0",IF($K2204="","※没填去向类型",IF($L2204="","※没填去向矿区",IF(AND($C2204&lt;&gt;"",$C2204&lt;=结账锁),"※日期早于已结账截止日，不能再录",IF(AND($K2204="自用消耗",COUNTIF({"一矿区";"二矿区"},$L2204)=0),"※自用消耗的去向只能是一矿区或二矿区",IF(AND($K2204="对外销售",COUNTIF({"三矿区";"六矿区"},$L2204)=0),"※对外销售的去向只能是三矿区或六矿区",IF(AND($K2204="对外销售",ROUND($Q2204,0)=0),"※外销却没有售价，请填实际售价",IF(AND($K2204="对外销售",$T2204&lt;&gt;"",$T2204&lt;0),"※这一笔外销是亏的，请核对售价",IF(IFERROR(VLOOKUP($D2204,库存台账!$A$5:$Y$1204,24,0),0)&lt;-0.001,"※这个物料账面已经变成负数了，查一下是不是漏记入库","")))))))))))</f>
        <v/>
      </c>
    </row>
    <row r="2205">
      <c r="A2205" s="24">
        <f>IF($D2205="","",COUNTA($D$4:$D2205))</f>
        <v/>
      </c>
      <c r="B2205" s="17" t="n"/>
      <c r="C2205" s="30" t="n"/>
      <c r="D2205" s="17" t="n"/>
      <c r="E2205" s="24">
        <f>IF($D2205="","",IFERROR(VLOOKUP($D2205,物料档案!$A$4:$P$1203,3,0),"※编码不在物料档案里"))</f>
        <v/>
      </c>
      <c r="F2205" s="24">
        <f>IF($D2205="","",IFERROR(VLOOKUP($D2205,物料档案!$A$4:$P$1203,4,0),"※编码不在物料档案里"))</f>
        <v/>
      </c>
      <c r="G2205" s="24">
        <f>IF($D2205="","",IFERROR(VLOOKUP($D2205,物料档案!$A$4:$P$1203,5,0),"※编码不在物料档案里"))</f>
        <v/>
      </c>
      <c r="H2205" s="24">
        <f>IF($D2205="","",IFERROR(VLOOKUP($D2205,物料档案!$A$4:$P$1203,2,0),"※编码不在物料档案里"))</f>
        <v/>
      </c>
      <c r="I2205" s="24">
        <f>IF($D2205="","",IFERROR(VLOOKUP($D2205,物料档案!$A$4:$P$1203,6,0),"※编码不在物料档案里"))</f>
        <v/>
      </c>
      <c r="J2205" s="23" t="n"/>
      <c r="K2205" s="17" t="n"/>
      <c r="L2205" s="17" t="n"/>
      <c r="M2205" s="17" t="n"/>
      <c r="N2205" s="17" t="n"/>
      <c r="O2205" s="26">
        <f>IF($D2205="","",IFERROR(VLOOKUP($D2205,物料档案!$A$4:$P$1203,10,0),0))</f>
        <v/>
      </c>
      <c r="P2205" s="32" t="n"/>
      <c r="Q2205" s="26">
        <f>IF($D2205="","",IF($K2205&lt;&gt;"对外销售",0,ROUND(N($J2205)*IF($P2205="",N($O2205),N($P2205)),0)))</f>
        <v/>
      </c>
      <c r="R2205" s="26">
        <f>IF($D2205="","",IFERROR(VLOOKUP($D2205,库存台账!$A$5:$Y$1204,11,0),0))</f>
        <v/>
      </c>
      <c r="S2205" s="26">
        <f>IF($D2205="","",ROUND(N($J2205)*N($R2205),0))</f>
        <v/>
      </c>
      <c r="T2205" s="26">
        <f>IF($D2205="","",IF($K2205&lt;&gt;"对外销售","",ROUND($Q2205-$S2205,0)))</f>
        <v/>
      </c>
      <c r="U2205" s="17" t="n"/>
      <c r="V2205" s="17" t="n"/>
      <c r="W2205" s="24">
        <f>IF($D2205="","",IF($E2205="※编码不在物料档案里","※物料编码不在档案里",IF(N($J2205)&lt;=0,"※出库数量要大于 0",IF($K2205="","※没填去向类型",IF($L2205="","※没填去向矿区",IF(AND($C2205&lt;&gt;"",$C2205&lt;=结账锁),"※日期早于已结账截止日，不能再录",IF(AND($K2205="自用消耗",COUNTIF({"一矿区";"二矿区"},$L2205)=0),"※自用消耗的去向只能是一矿区或二矿区",IF(AND($K2205="对外销售",COUNTIF({"三矿区";"六矿区"},$L2205)=0),"※对外销售的去向只能是三矿区或六矿区",IF(AND($K2205="对外销售",ROUND($Q2205,0)=0),"※外销却没有售价，请填实际售价",IF(AND($K2205="对外销售",$T2205&lt;&gt;"",$T2205&lt;0),"※这一笔外销是亏的，请核对售价",IF(IFERROR(VLOOKUP($D2205,库存台账!$A$5:$Y$1204,24,0),0)&lt;-0.001,"※这个物料账面已经变成负数了，查一下是不是漏记入库","")))))))))))</f>
        <v/>
      </c>
    </row>
    <row r="2206">
      <c r="A2206" s="24">
        <f>IF($D2206="","",COUNTA($D$4:$D2206))</f>
        <v/>
      </c>
      <c r="B2206" s="17" t="n"/>
      <c r="C2206" s="30" t="n"/>
      <c r="D2206" s="17" t="n"/>
      <c r="E2206" s="24">
        <f>IF($D2206="","",IFERROR(VLOOKUP($D2206,物料档案!$A$4:$P$1203,3,0),"※编码不在物料档案里"))</f>
        <v/>
      </c>
      <c r="F2206" s="24">
        <f>IF($D2206="","",IFERROR(VLOOKUP($D2206,物料档案!$A$4:$P$1203,4,0),"※编码不在物料档案里"))</f>
        <v/>
      </c>
      <c r="G2206" s="24">
        <f>IF($D2206="","",IFERROR(VLOOKUP($D2206,物料档案!$A$4:$P$1203,5,0),"※编码不在物料档案里"))</f>
        <v/>
      </c>
      <c r="H2206" s="24">
        <f>IF($D2206="","",IFERROR(VLOOKUP($D2206,物料档案!$A$4:$P$1203,2,0),"※编码不在物料档案里"))</f>
        <v/>
      </c>
      <c r="I2206" s="24">
        <f>IF($D2206="","",IFERROR(VLOOKUP($D2206,物料档案!$A$4:$P$1203,6,0),"※编码不在物料档案里"))</f>
        <v/>
      </c>
      <c r="J2206" s="23" t="n"/>
      <c r="K2206" s="17" t="n"/>
      <c r="L2206" s="17" t="n"/>
      <c r="M2206" s="17" t="n"/>
      <c r="N2206" s="17" t="n"/>
      <c r="O2206" s="26">
        <f>IF($D2206="","",IFERROR(VLOOKUP($D2206,物料档案!$A$4:$P$1203,10,0),0))</f>
        <v/>
      </c>
      <c r="P2206" s="32" t="n"/>
      <c r="Q2206" s="26">
        <f>IF($D2206="","",IF($K2206&lt;&gt;"对外销售",0,ROUND(N($J2206)*IF($P2206="",N($O2206),N($P2206)),0)))</f>
        <v/>
      </c>
      <c r="R2206" s="26">
        <f>IF($D2206="","",IFERROR(VLOOKUP($D2206,库存台账!$A$5:$Y$1204,11,0),0))</f>
        <v/>
      </c>
      <c r="S2206" s="26">
        <f>IF($D2206="","",ROUND(N($J2206)*N($R2206),0))</f>
        <v/>
      </c>
      <c r="T2206" s="26">
        <f>IF($D2206="","",IF($K2206&lt;&gt;"对外销售","",ROUND($Q2206-$S2206,0)))</f>
        <v/>
      </c>
      <c r="U2206" s="17" t="n"/>
      <c r="V2206" s="17" t="n"/>
      <c r="W2206" s="24">
        <f>IF($D2206="","",IF($E2206="※编码不在物料档案里","※物料编码不在档案里",IF(N($J2206)&lt;=0,"※出库数量要大于 0",IF($K2206="","※没填去向类型",IF($L2206="","※没填去向矿区",IF(AND($C2206&lt;&gt;"",$C2206&lt;=结账锁),"※日期早于已结账截止日，不能再录",IF(AND($K2206="自用消耗",COUNTIF({"一矿区";"二矿区"},$L2206)=0),"※自用消耗的去向只能是一矿区或二矿区",IF(AND($K2206="对外销售",COUNTIF({"三矿区";"六矿区"},$L2206)=0),"※对外销售的去向只能是三矿区或六矿区",IF(AND($K2206="对外销售",ROUND($Q2206,0)=0),"※外销却没有售价，请填实际售价",IF(AND($K2206="对外销售",$T2206&lt;&gt;"",$T2206&lt;0),"※这一笔外销是亏的，请核对售价",IF(IFERROR(VLOOKUP($D2206,库存台账!$A$5:$Y$1204,24,0),0)&lt;-0.001,"※这个物料账面已经变成负数了，查一下是不是漏记入库","")))))))))))</f>
        <v/>
      </c>
    </row>
    <row r="2207">
      <c r="A2207" s="24">
        <f>IF($D2207="","",COUNTA($D$4:$D2207))</f>
        <v/>
      </c>
      <c r="B2207" s="17" t="n"/>
      <c r="C2207" s="30" t="n"/>
      <c r="D2207" s="17" t="n"/>
      <c r="E2207" s="24">
        <f>IF($D2207="","",IFERROR(VLOOKUP($D2207,物料档案!$A$4:$P$1203,3,0),"※编码不在物料档案里"))</f>
        <v/>
      </c>
      <c r="F2207" s="24">
        <f>IF($D2207="","",IFERROR(VLOOKUP($D2207,物料档案!$A$4:$P$1203,4,0),"※编码不在物料档案里"))</f>
        <v/>
      </c>
      <c r="G2207" s="24">
        <f>IF($D2207="","",IFERROR(VLOOKUP($D2207,物料档案!$A$4:$P$1203,5,0),"※编码不在物料档案里"))</f>
        <v/>
      </c>
      <c r="H2207" s="24">
        <f>IF($D2207="","",IFERROR(VLOOKUP($D2207,物料档案!$A$4:$P$1203,2,0),"※编码不在物料档案里"))</f>
        <v/>
      </c>
      <c r="I2207" s="24">
        <f>IF($D2207="","",IFERROR(VLOOKUP($D2207,物料档案!$A$4:$P$1203,6,0),"※编码不在物料档案里"))</f>
        <v/>
      </c>
      <c r="J2207" s="23" t="n"/>
      <c r="K2207" s="17" t="n"/>
      <c r="L2207" s="17" t="n"/>
      <c r="M2207" s="17" t="n"/>
      <c r="N2207" s="17" t="n"/>
      <c r="O2207" s="26">
        <f>IF($D2207="","",IFERROR(VLOOKUP($D2207,物料档案!$A$4:$P$1203,10,0),0))</f>
        <v/>
      </c>
      <c r="P2207" s="32" t="n"/>
      <c r="Q2207" s="26">
        <f>IF($D2207="","",IF($K2207&lt;&gt;"对外销售",0,ROUND(N($J2207)*IF($P2207="",N($O2207),N($P2207)),0)))</f>
        <v/>
      </c>
      <c r="R2207" s="26">
        <f>IF($D2207="","",IFERROR(VLOOKUP($D2207,库存台账!$A$5:$Y$1204,11,0),0))</f>
        <v/>
      </c>
      <c r="S2207" s="26">
        <f>IF($D2207="","",ROUND(N($J2207)*N($R2207),0))</f>
        <v/>
      </c>
      <c r="T2207" s="26">
        <f>IF($D2207="","",IF($K2207&lt;&gt;"对外销售","",ROUND($Q2207-$S2207,0)))</f>
        <v/>
      </c>
      <c r="U2207" s="17" t="n"/>
      <c r="V2207" s="17" t="n"/>
      <c r="W2207" s="24">
        <f>IF($D2207="","",IF($E2207="※编码不在物料档案里","※物料编码不在档案里",IF(N($J2207)&lt;=0,"※出库数量要大于 0",IF($K2207="","※没填去向类型",IF($L2207="","※没填去向矿区",IF(AND($C2207&lt;&gt;"",$C2207&lt;=结账锁),"※日期早于已结账截止日，不能再录",IF(AND($K2207="自用消耗",COUNTIF({"一矿区";"二矿区"},$L2207)=0),"※自用消耗的去向只能是一矿区或二矿区",IF(AND($K2207="对外销售",COUNTIF({"三矿区";"六矿区"},$L2207)=0),"※对外销售的去向只能是三矿区或六矿区",IF(AND($K2207="对外销售",ROUND($Q2207,0)=0),"※外销却没有售价，请填实际售价",IF(AND($K2207="对外销售",$T2207&lt;&gt;"",$T2207&lt;0),"※这一笔外销是亏的，请核对售价",IF(IFERROR(VLOOKUP($D2207,库存台账!$A$5:$Y$1204,24,0),0)&lt;-0.001,"※这个物料账面已经变成负数了，查一下是不是漏记入库","")))))))))))</f>
        <v/>
      </c>
    </row>
    <row r="2208">
      <c r="A2208" s="24">
        <f>IF($D2208="","",COUNTA($D$4:$D2208))</f>
        <v/>
      </c>
      <c r="B2208" s="17" t="n"/>
      <c r="C2208" s="30" t="n"/>
      <c r="D2208" s="17" t="n"/>
      <c r="E2208" s="24">
        <f>IF($D2208="","",IFERROR(VLOOKUP($D2208,物料档案!$A$4:$P$1203,3,0),"※编码不在物料档案里"))</f>
        <v/>
      </c>
      <c r="F2208" s="24">
        <f>IF($D2208="","",IFERROR(VLOOKUP($D2208,物料档案!$A$4:$P$1203,4,0),"※编码不在物料档案里"))</f>
        <v/>
      </c>
      <c r="G2208" s="24">
        <f>IF($D2208="","",IFERROR(VLOOKUP($D2208,物料档案!$A$4:$P$1203,5,0),"※编码不在物料档案里"))</f>
        <v/>
      </c>
      <c r="H2208" s="24">
        <f>IF($D2208="","",IFERROR(VLOOKUP($D2208,物料档案!$A$4:$P$1203,2,0),"※编码不在物料档案里"))</f>
        <v/>
      </c>
      <c r="I2208" s="24">
        <f>IF($D2208="","",IFERROR(VLOOKUP($D2208,物料档案!$A$4:$P$1203,6,0),"※编码不在物料档案里"))</f>
        <v/>
      </c>
      <c r="J2208" s="23" t="n"/>
      <c r="K2208" s="17" t="n"/>
      <c r="L2208" s="17" t="n"/>
      <c r="M2208" s="17" t="n"/>
      <c r="N2208" s="17" t="n"/>
      <c r="O2208" s="26">
        <f>IF($D2208="","",IFERROR(VLOOKUP($D2208,物料档案!$A$4:$P$1203,10,0),0))</f>
        <v/>
      </c>
      <c r="P2208" s="32" t="n"/>
      <c r="Q2208" s="26">
        <f>IF($D2208="","",IF($K2208&lt;&gt;"对外销售",0,ROUND(N($J2208)*IF($P2208="",N($O2208),N($P2208)),0)))</f>
        <v/>
      </c>
      <c r="R2208" s="26">
        <f>IF($D2208="","",IFERROR(VLOOKUP($D2208,库存台账!$A$5:$Y$1204,11,0),0))</f>
        <v/>
      </c>
      <c r="S2208" s="26">
        <f>IF($D2208="","",ROUND(N($J2208)*N($R2208),0))</f>
        <v/>
      </c>
      <c r="T2208" s="26">
        <f>IF($D2208="","",IF($K2208&lt;&gt;"对外销售","",ROUND($Q2208-$S2208,0)))</f>
        <v/>
      </c>
      <c r="U2208" s="17" t="n"/>
      <c r="V2208" s="17" t="n"/>
      <c r="W2208" s="24">
        <f>IF($D2208="","",IF($E2208="※编码不在物料档案里","※物料编码不在档案里",IF(N($J2208)&lt;=0,"※出库数量要大于 0",IF($K2208="","※没填去向类型",IF($L2208="","※没填去向矿区",IF(AND($C2208&lt;&gt;"",$C2208&lt;=结账锁),"※日期早于已结账截止日，不能再录",IF(AND($K2208="自用消耗",COUNTIF({"一矿区";"二矿区"},$L2208)=0),"※自用消耗的去向只能是一矿区或二矿区",IF(AND($K2208="对外销售",COUNTIF({"三矿区";"六矿区"},$L2208)=0),"※对外销售的去向只能是三矿区或六矿区",IF(AND($K2208="对外销售",ROUND($Q2208,0)=0),"※外销却没有售价，请填实际售价",IF(AND($K2208="对外销售",$T2208&lt;&gt;"",$T2208&lt;0),"※这一笔外销是亏的，请核对售价",IF(IFERROR(VLOOKUP($D2208,库存台账!$A$5:$Y$1204,24,0),0)&lt;-0.001,"※这个物料账面已经变成负数了，查一下是不是漏记入库","")))))))))))</f>
        <v/>
      </c>
    </row>
    <row r="2209">
      <c r="A2209" s="24">
        <f>IF($D2209="","",COUNTA($D$4:$D2209))</f>
        <v/>
      </c>
      <c r="B2209" s="17" t="n"/>
      <c r="C2209" s="30" t="n"/>
      <c r="D2209" s="17" t="n"/>
      <c r="E2209" s="24">
        <f>IF($D2209="","",IFERROR(VLOOKUP($D2209,物料档案!$A$4:$P$1203,3,0),"※编码不在物料档案里"))</f>
        <v/>
      </c>
      <c r="F2209" s="24">
        <f>IF($D2209="","",IFERROR(VLOOKUP($D2209,物料档案!$A$4:$P$1203,4,0),"※编码不在物料档案里"))</f>
        <v/>
      </c>
      <c r="G2209" s="24">
        <f>IF($D2209="","",IFERROR(VLOOKUP($D2209,物料档案!$A$4:$P$1203,5,0),"※编码不在物料档案里"))</f>
        <v/>
      </c>
      <c r="H2209" s="24">
        <f>IF($D2209="","",IFERROR(VLOOKUP($D2209,物料档案!$A$4:$P$1203,2,0),"※编码不在物料档案里"))</f>
        <v/>
      </c>
      <c r="I2209" s="24">
        <f>IF($D2209="","",IFERROR(VLOOKUP($D2209,物料档案!$A$4:$P$1203,6,0),"※编码不在物料档案里"))</f>
        <v/>
      </c>
      <c r="J2209" s="23" t="n"/>
      <c r="K2209" s="17" t="n"/>
      <c r="L2209" s="17" t="n"/>
      <c r="M2209" s="17" t="n"/>
      <c r="N2209" s="17" t="n"/>
      <c r="O2209" s="26">
        <f>IF($D2209="","",IFERROR(VLOOKUP($D2209,物料档案!$A$4:$P$1203,10,0),0))</f>
        <v/>
      </c>
      <c r="P2209" s="32" t="n"/>
      <c r="Q2209" s="26">
        <f>IF($D2209="","",IF($K2209&lt;&gt;"对外销售",0,ROUND(N($J2209)*IF($P2209="",N($O2209),N($P2209)),0)))</f>
        <v/>
      </c>
      <c r="R2209" s="26">
        <f>IF($D2209="","",IFERROR(VLOOKUP($D2209,库存台账!$A$5:$Y$1204,11,0),0))</f>
        <v/>
      </c>
      <c r="S2209" s="26">
        <f>IF($D2209="","",ROUND(N($J2209)*N($R2209),0))</f>
        <v/>
      </c>
      <c r="T2209" s="26">
        <f>IF($D2209="","",IF($K2209&lt;&gt;"对外销售","",ROUND($Q2209-$S2209,0)))</f>
        <v/>
      </c>
      <c r="U2209" s="17" t="n"/>
      <c r="V2209" s="17" t="n"/>
      <c r="W2209" s="24">
        <f>IF($D2209="","",IF($E2209="※编码不在物料档案里","※物料编码不在档案里",IF(N($J2209)&lt;=0,"※出库数量要大于 0",IF($K2209="","※没填去向类型",IF($L2209="","※没填去向矿区",IF(AND($C2209&lt;&gt;"",$C2209&lt;=结账锁),"※日期早于已结账截止日，不能再录",IF(AND($K2209="自用消耗",COUNTIF({"一矿区";"二矿区"},$L2209)=0),"※自用消耗的去向只能是一矿区或二矿区",IF(AND($K2209="对外销售",COUNTIF({"三矿区";"六矿区"},$L2209)=0),"※对外销售的去向只能是三矿区或六矿区",IF(AND($K2209="对外销售",ROUND($Q2209,0)=0),"※外销却没有售价，请填实际售价",IF(AND($K2209="对外销售",$T2209&lt;&gt;"",$T2209&lt;0),"※这一笔外销是亏的，请核对售价",IF(IFERROR(VLOOKUP($D2209,库存台账!$A$5:$Y$1204,24,0),0)&lt;-0.001,"※这个物料账面已经变成负数了，查一下是不是漏记入库","")))))))))))</f>
        <v/>
      </c>
    </row>
    <row r="2210">
      <c r="A2210" s="24">
        <f>IF($D2210="","",COUNTA($D$4:$D2210))</f>
        <v/>
      </c>
      <c r="B2210" s="17" t="n"/>
      <c r="C2210" s="30" t="n"/>
      <c r="D2210" s="17" t="n"/>
      <c r="E2210" s="24">
        <f>IF($D2210="","",IFERROR(VLOOKUP($D2210,物料档案!$A$4:$P$1203,3,0),"※编码不在物料档案里"))</f>
        <v/>
      </c>
      <c r="F2210" s="24">
        <f>IF($D2210="","",IFERROR(VLOOKUP($D2210,物料档案!$A$4:$P$1203,4,0),"※编码不在物料档案里"))</f>
        <v/>
      </c>
      <c r="G2210" s="24">
        <f>IF($D2210="","",IFERROR(VLOOKUP($D2210,物料档案!$A$4:$P$1203,5,0),"※编码不在物料档案里"))</f>
        <v/>
      </c>
      <c r="H2210" s="24">
        <f>IF($D2210="","",IFERROR(VLOOKUP($D2210,物料档案!$A$4:$P$1203,2,0),"※编码不在物料档案里"))</f>
        <v/>
      </c>
      <c r="I2210" s="24">
        <f>IF($D2210="","",IFERROR(VLOOKUP($D2210,物料档案!$A$4:$P$1203,6,0),"※编码不在物料档案里"))</f>
        <v/>
      </c>
      <c r="J2210" s="23" t="n"/>
      <c r="K2210" s="17" t="n"/>
      <c r="L2210" s="17" t="n"/>
      <c r="M2210" s="17" t="n"/>
      <c r="N2210" s="17" t="n"/>
      <c r="O2210" s="26">
        <f>IF($D2210="","",IFERROR(VLOOKUP($D2210,物料档案!$A$4:$P$1203,10,0),0))</f>
        <v/>
      </c>
      <c r="P2210" s="32" t="n"/>
      <c r="Q2210" s="26">
        <f>IF($D2210="","",IF($K2210&lt;&gt;"对外销售",0,ROUND(N($J2210)*IF($P2210="",N($O2210),N($P2210)),0)))</f>
        <v/>
      </c>
      <c r="R2210" s="26">
        <f>IF($D2210="","",IFERROR(VLOOKUP($D2210,库存台账!$A$5:$Y$1204,11,0),0))</f>
        <v/>
      </c>
      <c r="S2210" s="26">
        <f>IF($D2210="","",ROUND(N($J2210)*N($R2210),0))</f>
        <v/>
      </c>
      <c r="T2210" s="26">
        <f>IF($D2210="","",IF($K2210&lt;&gt;"对外销售","",ROUND($Q2210-$S2210,0)))</f>
        <v/>
      </c>
      <c r="U2210" s="17" t="n"/>
      <c r="V2210" s="17" t="n"/>
      <c r="W2210" s="24">
        <f>IF($D2210="","",IF($E2210="※编码不在物料档案里","※物料编码不在档案里",IF(N($J2210)&lt;=0,"※出库数量要大于 0",IF($K2210="","※没填去向类型",IF($L2210="","※没填去向矿区",IF(AND($C2210&lt;&gt;"",$C2210&lt;=结账锁),"※日期早于已结账截止日，不能再录",IF(AND($K2210="自用消耗",COUNTIF({"一矿区";"二矿区"},$L2210)=0),"※自用消耗的去向只能是一矿区或二矿区",IF(AND($K2210="对外销售",COUNTIF({"三矿区";"六矿区"},$L2210)=0),"※对外销售的去向只能是三矿区或六矿区",IF(AND($K2210="对外销售",ROUND($Q2210,0)=0),"※外销却没有售价，请填实际售价",IF(AND($K2210="对外销售",$T2210&lt;&gt;"",$T2210&lt;0),"※这一笔外销是亏的，请核对售价",IF(IFERROR(VLOOKUP($D2210,库存台账!$A$5:$Y$1204,24,0),0)&lt;-0.001,"※这个物料账面已经变成负数了，查一下是不是漏记入库","")))))))))))</f>
        <v/>
      </c>
    </row>
    <row r="2211">
      <c r="A2211" s="24">
        <f>IF($D2211="","",COUNTA($D$4:$D2211))</f>
        <v/>
      </c>
      <c r="B2211" s="17" t="n"/>
      <c r="C2211" s="30" t="n"/>
      <c r="D2211" s="17" t="n"/>
      <c r="E2211" s="24">
        <f>IF($D2211="","",IFERROR(VLOOKUP($D2211,物料档案!$A$4:$P$1203,3,0),"※编码不在物料档案里"))</f>
        <v/>
      </c>
      <c r="F2211" s="24">
        <f>IF($D2211="","",IFERROR(VLOOKUP($D2211,物料档案!$A$4:$P$1203,4,0),"※编码不在物料档案里"))</f>
        <v/>
      </c>
      <c r="G2211" s="24">
        <f>IF($D2211="","",IFERROR(VLOOKUP($D2211,物料档案!$A$4:$P$1203,5,0),"※编码不在物料档案里"))</f>
        <v/>
      </c>
      <c r="H2211" s="24">
        <f>IF($D2211="","",IFERROR(VLOOKUP($D2211,物料档案!$A$4:$P$1203,2,0),"※编码不在物料档案里"))</f>
        <v/>
      </c>
      <c r="I2211" s="24">
        <f>IF($D2211="","",IFERROR(VLOOKUP($D2211,物料档案!$A$4:$P$1203,6,0),"※编码不在物料档案里"))</f>
        <v/>
      </c>
      <c r="J2211" s="23" t="n"/>
      <c r="K2211" s="17" t="n"/>
      <c r="L2211" s="17" t="n"/>
      <c r="M2211" s="17" t="n"/>
      <c r="N2211" s="17" t="n"/>
      <c r="O2211" s="26">
        <f>IF($D2211="","",IFERROR(VLOOKUP($D2211,物料档案!$A$4:$P$1203,10,0),0))</f>
        <v/>
      </c>
      <c r="P2211" s="32" t="n"/>
      <c r="Q2211" s="26">
        <f>IF($D2211="","",IF($K2211&lt;&gt;"对外销售",0,ROUND(N($J2211)*IF($P2211="",N($O2211),N($P2211)),0)))</f>
        <v/>
      </c>
      <c r="R2211" s="26">
        <f>IF($D2211="","",IFERROR(VLOOKUP($D2211,库存台账!$A$5:$Y$1204,11,0),0))</f>
        <v/>
      </c>
      <c r="S2211" s="26">
        <f>IF($D2211="","",ROUND(N($J2211)*N($R2211),0))</f>
        <v/>
      </c>
      <c r="T2211" s="26">
        <f>IF($D2211="","",IF($K2211&lt;&gt;"对外销售","",ROUND($Q2211-$S2211,0)))</f>
        <v/>
      </c>
      <c r="U2211" s="17" t="n"/>
      <c r="V2211" s="17" t="n"/>
      <c r="W2211" s="24">
        <f>IF($D2211="","",IF($E2211="※编码不在物料档案里","※物料编码不在档案里",IF(N($J2211)&lt;=0,"※出库数量要大于 0",IF($K2211="","※没填去向类型",IF($L2211="","※没填去向矿区",IF(AND($C2211&lt;&gt;"",$C2211&lt;=结账锁),"※日期早于已结账截止日，不能再录",IF(AND($K2211="自用消耗",COUNTIF({"一矿区";"二矿区"},$L2211)=0),"※自用消耗的去向只能是一矿区或二矿区",IF(AND($K2211="对外销售",COUNTIF({"三矿区";"六矿区"},$L2211)=0),"※对外销售的去向只能是三矿区或六矿区",IF(AND($K2211="对外销售",ROUND($Q2211,0)=0),"※外销却没有售价，请填实际售价",IF(AND($K2211="对外销售",$T2211&lt;&gt;"",$T2211&lt;0),"※这一笔外销是亏的，请核对售价",IF(IFERROR(VLOOKUP($D2211,库存台账!$A$5:$Y$1204,24,0),0)&lt;-0.001,"※这个物料账面已经变成负数了，查一下是不是漏记入库","")))))))))))</f>
        <v/>
      </c>
    </row>
    <row r="2212">
      <c r="A2212" s="24">
        <f>IF($D2212="","",COUNTA($D$4:$D2212))</f>
        <v/>
      </c>
      <c r="B2212" s="17" t="n"/>
      <c r="C2212" s="30" t="n"/>
      <c r="D2212" s="17" t="n"/>
      <c r="E2212" s="24">
        <f>IF($D2212="","",IFERROR(VLOOKUP($D2212,物料档案!$A$4:$P$1203,3,0),"※编码不在物料档案里"))</f>
        <v/>
      </c>
      <c r="F2212" s="24">
        <f>IF($D2212="","",IFERROR(VLOOKUP($D2212,物料档案!$A$4:$P$1203,4,0),"※编码不在物料档案里"))</f>
        <v/>
      </c>
      <c r="G2212" s="24">
        <f>IF($D2212="","",IFERROR(VLOOKUP($D2212,物料档案!$A$4:$P$1203,5,0),"※编码不在物料档案里"))</f>
        <v/>
      </c>
      <c r="H2212" s="24">
        <f>IF($D2212="","",IFERROR(VLOOKUP($D2212,物料档案!$A$4:$P$1203,2,0),"※编码不在物料档案里"))</f>
        <v/>
      </c>
      <c r="I2212" s="24">
        <f>IF($D2212="","",IFERROR(VLOOKUP($D2212,物料档案!$A$4:$P$1203,6,0),"※编码不在物料档案里"))</f>
        <v/>
      </c>
      <c r="J2212" s="23" t="n"/>
      <c r="K2212" s="17" t="n"/>
      <c r="L2212" s="17" t="n"/>
      <c r="M2212" s="17" t="n"/>
      <c r="N2212" s="17" t="n"/>
      <c r="O2212" s="26">
        <f>IF($D2212="","",IFERROR(VLOOKUP($D2212,物料档案!$A$4:$P$1203,10,0),0))</f>
        <v/>
      </c>
      <c r="P2212" s="32" t="n"/>
      <c r="Q2212" s="26">
        <f>IF($D2212="","",IF($K2212&lt;&gt;"对外销售",0,ROUND(N($J2212)*IF($P2212="",N($O2212),N($P2212)),0)))</f>
        <v/>
      </c>
      <c r="R2212" s="26">
        <f>IF($D2212="","",IFERROR(VLOOKUP($D2212,库存台账!$A$5:$Y$1204,11,0),0))</f>
        <v/>
      </c>
      <c r="S2212" s="26">
        <f>IF($D2212="","",ROUND(N($J2212)*N($R2212),0))</f>
        <v/>
      </c>
      <c r="T2212" s="26">
        <f>IF($D2212="","",IF($K2212&lt;&gt;"对外销售","",ROUND($Q2212-$S2212,0)))</f>
        <v/>
      </c>
      <c r="U2212" s="17" t="n"/>
      <c r="V2212" s="17" t="n"/>
      <c r="W2212" s="24">
        <f>IF($D2212="","",IF($E2212="※编码不在物料档案里","※物料编码不在档案里",IF(N($J2212)&lt;=0,"※出库数量要大于 0",IF($K2212="","※没填去向类型",IF($L2212="","※没填去向矿区",IF(AND($C2212&lt;&gt;"",$C2212&lt;=结账锁),"※日期早于已结账截止日，不能再录",IF(AND($K2212="自用消耗",COUNTIF({"一矿区";"二矿区"},$L2212)=0),"※自用消耗的去向只能是一矿区或二矿区",IF(AND($K2212="对外销售",COUNTIF({"三矿区";"六矿区"},$L2212)=0),"※对外销售的去向只能是三矿区或六矿区",IF(AND($K2212="对外销售",ROUND($Q2212,0)=0),"※外销却没有售价，请填实际售价",IF(AND($K2212="对外销售",$T2212&lt;&gt;"",$T2212&lt;0),"※这一笔外销是亏的，请核对售价",IF(IFERROR(VLOOKUP($D2212,库存台账!$A$5:$Y$1204,24,0),0)&lt;-0.001,"※这个物料账面已经变成负数了，查一下是不是漏记入库","")))))))))))</f>
        <v/>
      </c>
    </row>
    <row r="2213">
      <c r="A2213" s="24">
        <f>IF($D2213="","",COUNTA($D$4:$D2213))</f>
        <v/>
      </c>
      <c r="B2213" s="17" t="n"/>
      <c r="C2213" s="30" t="n"/>
      <c r="D2213" s="17" t="n"/>
      <c r="E2213" s="24">
        <f>IF($D2213="","",IFERROR(VLOOKUP($D2213,物料档案!$A$4:$P$1203,3,0),"※编码不在物料档案里"))</f>
        <v/>
      </c>
      <c r="F2213" s="24">
        <f>IF($D2213="","",IFERROR(VLOOKUP($D2213,物料档案!$A$4:$P$1203,4,0),"※编码不在物料档案里"))</f>
        <v/>
      </c>
      <c r="G2213" s="24">
        <f>IF($D2213="","",IFERROR(VLOOKUP($D2213,物料档案!$A$4:$P$1203,5,0),"※编码不在物料档案里"))</f>
        <v/>
      </c>
      <c r="H2213" s="24">
        <f>IF($D2213="","",IFERROR(VLOOKUP($D2213,物料档案!$A$4:$P$1203,2,0),"※编码不在物料档案里"))</f>
        <v/>
      </c>
      <c r="I2213" s="24">
        <f>IF($D2213="","",IFERROR(VLOOKUP($D2213,物料档案!$A$4:$P$1203,6,0),"※编码不在物料档案里"))</f>
        <v/>
      </c>
      <c r="J2213" s="23" t="n"/>
      <c r="K2213" s="17" t="n"/>
      <c r="L2213" s="17" t="n"/>
      <c r="M2213" s="17" t="n"/>
      <c r="N2213" s="17" t="n"/>
      <c r="O2213" s="26">
        <f>IF($D2213="","",IFERROR(VLOOKUP($D2213,物料档案!$A$4:$P$1203,10,0),0))</f>
        <v/>
      </c>
      <c r="P2213" s="32" t="n"/>
      <c r="Q2213" s="26">
        <f>IF($D2213="","",IF($K2213&lt;&gt;"对外销售",0,ROUND(N($J2213)*IF($P2213="",N($O2213),N($P2213)),0)))</f>
        <v/>
      </c>
      <c r="R2213" s="26">
        <f>IF($D2213="","",IFERROR(VLOOKUP($D2213,库存台账!$A$5:$Y$1204,11,0),0))</f>
        <v/>
      </c>
      <c r="S2213" s="26">
        <f>IF($D2213="","",ROUND(N($J2213)*N($R2213),0))</f>
        <v/>
      </c>
      <c r="T2213" s="26">
        <f>IF($D2213="","",IF($K2213&lt;&gt;"对外销售","",ROUND($Q2213-$S2213,0)))</f>
        <v/>
      </c>
      <c r="U2213" s="17" t="n"/>
      <c r="V2213" s="17" t="n"/>
      <c r="W2213" s="24">
        <f>IF($D2213="","",IF($E2213="※编码不在物料档案里","※物料编码不在档案里",IF(N($J2213)&lt;=0,"※出库数量要大于 0",IF($K2213="","※没填去向类型",IF($L2213="","※没填去向矿区",IF(AND($C2213&lt;&gt;"",$C2213&lt;=结账锁),"※日期早于已结账截止日，不能再录",IF(AND($K2213="自用消耗",COUNTIF({"一矿区";"二矿区"},$L2213)=0),"※自用消耗的去向只能是一矿区或二矿区",IF(AND($K2213="对外销售",COUNTIF({"三矿区";"六矿区"},$L2213)=0),"※对外销售的去向只能是三矿区或六矿区",IF(AND($K2213="对外销售",ROUND($Q2213,0)=0),"※外销却没有售价，请填实际售价",IF(AND($K2213="对外销售",$T2213&lt;&gt;"",$T2213&lt;0),"※这一笔外销是亏的，请核对售价",IF(IFERROR(VLOOKUP($D2213,库存台账!$A$5:$Y$1204,24,0),0)&lt;-0.001,"※这个物料账面已经变成负数了，查一下是不是漏记入库","")))))))))))</f>
        <v/>
      </c>
    </row>
    <row r="2214">
      <c r="A2214" s="24">
        <f>IF($D2214="","",COUNTA($D$4:$D2214))</f>
        <v/>
      </c>
      <c r="B2214" s="17" t="n"/>
      <c r="C2214" s="30" t="n"/>
      <c r="D2214" s="17" t="n"/>
      <c r="E2214" s="24">
        <f>IF($D2214="","",IFERROR(VLOOKUP($D2214,物料档案!$A$4:$P$1203,3,0),"※编码不在物料档案里"))</f>
        <v/>
      </c>
      <c r="F2214" s="24">
        <f>IF($D2214="","",IFERROR(VLOOKUP($D2214,物料档案!$A$4:$P$1203,4,0),"※编码不在物料档案里"))</f>
        <v/>
      </c>
      <c r="G2214" s="24">
        <f>IF($D2214="","",IFERROR(VLOOKUP($D2214,物料档案!$A$4:$P$1203,5,0),"※编码不在物料档案里"))</f>
        <v/>
      </c>
      <c r="H2214" s="24">
        <f>IF($D2214="","",IFERROR(VLOOKUP($D2214,物料档案!$A$4:$P$1203,2,0),"※编码不在物料档案里"))</f>
        <v/>
      </c>
      <c r="I2214" s="24">
        <f>IF($D2214="","",IFERROR(VLOOKUP($D2214,物料档案!$A$4:$P$1203,6,0),"※编码不在物料档案里"))</f>
        <v/>
      </c>
      <c r="J2214" s="23" t="n"/>
      <c r="K2214" s="17" t="n"/>
      <c r="L2214" s="17" t="n"/>
      <c r="M2214" s="17" t="n"/>
      <c r="N2214" s="17" t="n"/>
      <c r="O2214" s="26">
        <f>IF($D2214="","",IFERROR(VLOOKUP($D2214,物料档案!$A$4:$P$1203,10,0),0))</f>
        <v/>
      </c>
      <c r="P2214" s="32" t="n"/>
      <c r="Q2214" s="26">
        <f>IF($D2214="","",IF($K2214&lt;&gt;"对外销售",0,ROUND(N($J2214)*IF($P2214="",N($O2214),N($P2214)),0)))</f>
        <v/>
      </c>
      <c r="R2214" s="26">
        <f>IF($D2214="","",IFERROR(VLOOKUP($D2214,库存台账!$A$5:$Y$1204,11,0),0))</f>
        <v/>
      </c>
      <c r="S2214" s="26">
        <f>IF($D2214="","",ROUND(N($J2214)*N($R2214),0))</f>
        <v/>
      </c>
      <c r="T2214" s="26">
        <f>IF($D2214="","",IF($K2214&lt;&gt;"对外销售","",ROUND($Q2214-$S2214,0)))</f>
        <v/>
      </c>
      <c r="U2214" s="17" t="n"/>
      <c r="V2214" s="17" t="n"/>
      <c r="W2214" s="24">
        <f>IF($D2214="","",IF($E2214="※编码不在物料档案里","※物料编码不在档案里",IF(N($J2214)&lt;=0,"※出库数量要大于 0",IF($K2214="","※没填去向类型",IF($L2214="","※没填去向矿区",IF(AND($C2214&lt;&gt;"",$C2214&lt;=结账锁),"※日期早于已结账截止日，不能再录",IF(AND($K2214="自用消耗",COUNTIF({"一矿区";"二矿区"},$L2214)=0),"※自用消耗的去向只能是一矿区或二矿区",IF(AND($K2214="对外销售",COUNTIF({"三矿区";"六矿区"},$L2214)=0),"※对外销售的去向只能是三矿区或六矿区",IF(AND($K2214="对外销售",ROUND($Q2214,0)=0),"※外销却没有售价，请填实际售价",IF(AND($K2214="对外销售",$T2214&lt;&gt;"",$T2214&lt;0),"※这一笔外销是亏的，请核对售价",IF(IFERROR(VLOOKUP($D2214,库存台账!$A$5:$Y$1204,24,0),0)&lt;-0.001,"※这个物料账面已经变成负数了，查一下是不是漏记入库","")))))))))))</f>
        <v/>
      </c>
    </row>
    <row r="2215">
      <c r="A2215" s="24">
        <f>IF($D2215="","",COUNTA($D$4:$D2215))</f>
        <v/>
      </c>
      <c r="B2215" s="17" t="n"/>
      <c r="C2215" s="30" t="n"/>
      <c r="D2215" s="17" t="n"/>
      <c r="E2215" s="24">
        <f>IF($D2215="","",IFERROR(VLOOKUP($D2215,物料档案!$A$4:$P$1203,3,0),"※编码不在物料档案里"))</f>
        <v/>
      </c>
      <c r="F2215" s="24">
        <f>IF($D2215="","",IFERROR(VLOOKUP($D2215,物料档案!$A$4:$P$1203,4,0),"※编码不在物料档案里"))</f>
        <v/>
      </c>
      <c r="G2215" s="24">
        <f>IF($D2215="","",IFERROR(VLOOKUP($D2215,物料档案!$A$4:$P$1203,5,0),"※编码不在物料档案里"))</f>
        <v/>
      </c>
      <c r="H2215" s="24">
        <f>IF($D2215="","",IFERROR(VLOOKUP($D2215,物料档案!$A$4:$P$1203,2,0),"※编码不在物料档案里"))</f>
        <v/>
      </c>
      <c r="I2215" s="24">
        <f>IF($D2215="","",IFERROR(VLOOKUP($D2215,物料档案!$A$4:$P$1203,6,0),"※编码不在物料档案里"))</f>
        <v/>
      </c>
      <c r="J2215" s="23" t="n"/>
      <c r="K2215" s="17" t="n"/>
      <c r="L2215" s="17" t="n"/>
      <c r="M2215" s="17" t="n"/>
      <c r="N2215" s="17" t="n"/>
      <c r="O2215" s="26">
        <f>IF($D2215="","",IFERROR(VLOOKUP($D2215,物料档案!$A$4:$P$1203,10,0),0))</f>
        <v/>
      </c>
      <c r="P2215" s="32" t="n"/>
      <c r="Q2215" s="26">
        <f>IF($D2215="","",IF($K2215&lt;&gt;"对外销售",0,ROUND(N($J2215)*IF($P2215="",N($O2215),N($P2215)),0)))</f>
        <v/>
      </c>
      <c r="R2215" s="26">
        <f>IF($D2215="","",IFERROR(VLOOKUP($D2215,库存台账!$A$5:$Y$1204,11,0),0))</f>
        <v/>
      </c>
      <c r="S2215" s="26">
        <f>IF($D2215="","",ROUND(N($J2215)*N($R2215),0))</f>
        <v/>
      </c>
      <c r="T2215" s="26">
        <f>IF($D2215="","",IF($K2215&lt;&gt;"对外销售","",ROUND($Q2215-$S2215,0)))</f>
        <v/>
      </c>
      <c r="U2215" s="17" t="n"/>
      <c r="V2215" s="17" t="n"/>
      <c r="W2215" s="24">
        <f>IF($D2215="","",IF($E2215="※编码不在物料档案里","※物料编码不在档案里",IF(N($J2215)&lt;=0,"※出库数量要大于 0",IF($K2215="","※没填去向类型",IF($L2215="","※没填去向矿区",IF(AND($C2215&lt;&gt;"",$C2215&lt;=结账锁),"※日期早于已结账截止日，不能再录",IF(AND($K2215="自用消耗",COUNTIF({"一矿区";"二矿区"},$L2215)=0),"※自用消耗的去向只能是一矿区或二矿区",IF(AND($K2215="对外销售",COUNTIF({"三矿区";"六矿区"},$L2215)=0),"※对外销售的去向只能是三矿区或六矿区",IF(AND($K2215="对外销售",ROUND($Q2215,0)=0),"※外销却没有售价，请填实际售价",IF(AND($K2215="对外销售",$T2215&lt;&gt;"",$T2215&lt;0),"※这一笔外销是亏的，请核对售价",IF(IFERROR(VLOOKUP($D2215,库存台账!$A$5:$Y$1204,24,0),0)&lt;-0.001,"※这个物料账面已经变成负数了，查一下是不是漏记入库","")))))))))))</f>
        <v/>
      </c>
    </row>
    <row r="2216">
      <c r="A2216" s="24">
        <f>IF($D2216="","",COUNTA($D$4:$D2216))</f>
        <v/>
      </c>
      <c r="B2216" s="17" t="n"/>
      <c r="C2216" s="30" t="n"/>
      <c r="D2216" s="17" t="n"/>
      <c r="E2216" s="24">
        <f>IF($D2216="","",IFERROR(VLOOKUP($D2216,物料档案!$A$4:$P$1203,3,0),"※编码不在物料档案里"))</f>
        <v/>
      </c>
      <c r="F2216" s="24">
        <f>IF($D2216="","",IFERROR(VLOOKUP($D2216,物料档案!$A$4:$P$1203,4,0),"※编码不在物料档案里"))</f>
        <v/>
      </c>
      <c r="G2216" s="24">
        <f>IF($D2216="","",IFERROR(VLOOKUP($D2216,物料档案!$A$4:$P$1203,5,0),"※编码不在物料档案里"))</f>
        <v/>
      </c>
      <c r="H2216" s="24">
        <f>IF($D2216="","",IFERROR(VLOOKUP($D2216,物料档案!$A$4:$P$1203,2,0),"※编码不在物料档案里"))</f>
        <v/>
      </c>
      <c r="I2216" s="24">
        <f>IF($D2216="","",IFERROR(VLOOKUP($D2216,物料档案!$A$4:$P$1203,6,0),"※编码不在物料档案里"))</f>
        <v/>
      </c>
      <c r="J2216" s="23" t="n"/>
      <c r="K2216" s="17" t="n"/>
      <c r="L2216" s="17" t="n"/>
      <c r="M2216" s="17" t="n"/>
      <c r="N2216" s="17" t="n"/>
      <c r="O2216" s="26">
        <f>IF($D2216="","",IFERROR(VLOOKUP($D2216,物料档案!$A$4:$P$1203,10,0),0))</f>
        <v/>
      </c>
      <c r="P2216" s="32" t="n"/>
      <c r="Q2216" s="26">
        <f>IF($D2216="","",IF($K2216&lt;&gt;"对外销售",0,ROUND(N($J2216)*IF($P2216="",N($O2216),N($P2216)),0)))</f>
        <v/>
      </c>
      <c r="R2216" s="26">
        <f>IF($D2216="","",IFERROR(VLOOKUP($D2216,库存台账!$A$5:$Y$1204,11,0),0))</f>
        <v/>
      </c>
      <c r="S2216" s="26">
        <f>IF($D2216="","",ROUND(N($J2216)*N($R2216),0))</f>
        <v/>
      </c>
      <c r="T2216" s="26">
        <f>IF($D2216="","",IF($K2216&lt;&gt;"对外销售","",ROUND($Q2216-$S2216,0)))</f>
        <v/>
      </c>
      <c r="U2216" s="17" t="n"/>
      <c r="V2216" s="17" t="n"/>
      <c r="W2216" s="24">
        <f>IF($D2216="","",IF($E2216="※编码不在物料档案里","※物料编码不在档案里",IF(N($J2216)&lt;=0,"※出库数量要大于 0",IF($K2216="","※没填去向类型",IF($L2216="","※没填去向矿区",IF(AND($C2216&lt;&gt;"",$C2216&lt;=结账锁),"※日期早于已结账截止日，不能再录",IF(AND($K2216="自用消耗",COUNTIF({"一矿区";"二矿区"},$L2216)=0),"※自用消耗的去向只能是一矿区或二矿区",IF(AND($K2216="对外销售",COUNTIF({"三矿区";"六矿区"},$L2216)=0),"※对外销售的去向只能是三矿区或六矿区",IF(AND($K2216="对外销售",ROUND($Q2216,0)=0),"※外销却没有售价，请填实际售价",IF(AND($K2216="对外销售",$T2216&lt;&gt;"",$T2216&lt;0),"※这一笔外销是亏的，请核对售价",IF(IFERROR(VLOOKUP($D2216,库存台账!$A$5:$Y$1204,24,0),0)&lt;-0.001,"※这个物料账面已经变成负数了，查一下是不是漏记入库","")))))))))))</f>
        <v/>
      </c>
    </row>
    <row r="2217">
      <c r="A2217" s="24">
        <f>IF($D2217="","",COUNTA($D$4:$D2217))</f>
        <v/>
      </c>
      <c r="B2217" s="17" t="n"/>
      <c r="C2217" s="30" t="n"/>
      <c r="D2217" s="17" t="n"/>
      <c r="E2217" s="24">
        <f>IF($D2217="","",IFERROR(VLOOKUP($D2217,物料档案!$A$4:$P$1203,3,0),"※编码不在物料档案里"))</f>
        <v/>
      </c>
      <c r="F2217" s="24">
        <f>IF($D2217="","",IFERROR(VLOOKUP($D2217,物料档案!$A$4:$P$1203,4,0),"※编码不在物料档案里"))</f>
        <v/>
      </c>
      <c r="G2217" s="24">
        <f>IF($D2217="","",IFERROR(VLOOKUP($D2217,物料档案!$A$4:$P$1203,5,0),"※编码不在物料档案里"))</f>
        <v/>
      </c>
      <c r="H2217" s="24">
        <f>IF($D2217="","",IFERROR(VLOOKUP($D2217,物料档案!$A$4:$P$1203,2,0),"※编码不在物料档案里"))</f>
        <v/>
      </c>
      <c r="I2217" s="24">
        <f>IF($D2217="","",IFERROR(VLOOKUP($D2217,物料档案!$A$4:$P$1203,6,0),"※编码不在物料档案里"))</f>
        <v/>
      </c>
      <c r="J2217" s="23" t="n"/>
      <c r="K2217" s="17" t="n"/>
      <c r="L2217" s="17" t="n"/>
      <c r="M2217" s="17" t="n"/>
      <c r="N2217" s="17" t="n"/>
      <c r="O2217" s="26">
        <f>IF($D2217="","",IFERROR(VLOOKUP($D2217,物料档案!$A$4:$P$1203,10,0),0))</f>
        <v/>
      </c>
      <c r="P2217" s="32" t="n"/>
      <c r="Q2217" s="26">
        <f>IF($D2217="","",IF($K2217&lt;&gt;"对外销售",0,ROUND(N($J2217)*IF($P2217="",N($O2217),N($P2217)),0)))</f>
        <v/>
      </c>
      <c r="R2217" s="26">
        <f>IF($D2217="","",IFERROR(VLOOKUP($D2217,库存台账!$A$5:$Y$1204,11,0),0))</f>
        <v/>
      </c>
      <c r="S2217" s="26">
        <f>IF($D2217="","",ROUND(N($J2217)*N($R2217),0))</f>
        <v/>
      </c>
      <c r="T2217" s="26">
        <f>IF($D2217="","",IF($K2217&lt;&gt;"对外销售","",ROUND($Q2217-$S2217,0)))</f>
        <v/>
      </c>
      <c r="U2217" s="17" t="n"/>
      <c r="V2217" s="17" t="n"/>
      <c r="W2217" s="24">
        <f>IF($D2217="","",IF($E2217="※编码不在物料档案里","※物料编码不在档案里",IF(N($J2217)&lt;=0,"※出库数量要大于 0",IF($K2217="","※没填去向类型",IF($L2217="","※没填去向矿区",IF(AND($C2217&lt;&gt;"",$C2217&lt;=结账锁),"※日期早于已结账截止日，不能再录",IF(AND($K2217="自用消耗",COUNTIF({"一矿区";"二矿区"},$L2217)=0),"※自用消耗的去向只能是一矿区或二矿区",IF(AND($K2217="对外销售",COUNTIF({"三矿区";"六矿区"},$L2217)=0),"※对外销售的去向只能是三矿区或六矿区",IF(AND($K2217="对外销售",ROUND($Q2217,0)=0),"※外销却没有售价，请填实际售价",IF(AND($K2217="对外销售",$T2217&lt;&gt;"",$T2217&lt;0),"※这一笔外销是亏的，请核对售价",IF(IFERROR(VLOOKUP($D2217,库存台账!$A$5:$Y$1204,24,0),0)&lt;-0.001,"※这个物料账面已经变成负数了，查一下是不是漏记入库","")))))))))))</f>
        <v/>
      </c>
    </row>
    <row r="2218">
      <c r="A2218" s="24">
        <f>IF($D2218="","",COUNTA($D$4:$D2218))</f>
        <v/>
      </c>
      <c r="B2218" s="17" t="n"/>
      <c r="C2218" s="30" t="n"/>
      <c r="D2218" s="17" t="n"/>
      <c r="E2218" s="24">
        <f>IF($D2218="","",IFERROR(VLOOKUP($D2218,物料档案!$A$4:$P$1203,3,0),"※编码不在物料档案里"))</f>
        <v/>
      </c>
      <c r="F2218" s="24">
        <f>IF($D2218="","",IFERROR(VLOOKUP($D2218,物料档案!$A$4:$P$1203,4,0),"※编码不在物料档案里"))</f>
        <v/>
      </c>
      <c r="G2218" s="24">
        <f>IF($D2218="","",IFERROR(VLOOKUP($D2218,物料档案!$A$4:$P$1203,5,0),"※编码不在物料档案里"))</f>
        <v/>
      </c>
      <c r="H2218" s="24">
        <f>IF($D2218="","",IFERROR(VLOOKUP($D2218,物料档案!$A$4:$P$1203,2,0),"※编码不在物料档案里"))</f>
        <v/>
      </c>
      <c r="I2218" s="24">
        <f>IF($D2218="","",IFERROR(VLOOKUP($D2218,物料档案!$A$4:$P$1203,6,0),"※编码不在物料档案里"))</f>
        <v/>
      </c>
      <c r="J2218" s="23" t="n"/>
      <c r="K2218" s="17" t="n"/>
      <c r="L2218" s="17" t="n"/>
      <c r="M2218" s="17" t="n"/>
      <c r="N2218" s="17" t="n"/>
      <c r="O2218" s="26">
        <f>IF($D2218="","",IFERROR(VLOOKUP($D2218,物料档案!$A$4:$P$1203,10,0),0))</f>
        <v/>
      </c>
      <c r="P2218" s="32" t="n"/>
      <c r="Q2218" s="26">
        <f>IF($D2218="","",IF($K2218&lt;&gt;"对外销售",0,ROUND(N($J2218)*IF($P2218="",N($O2218),N($P2218)),0)))</f>
        <v/>
      </c>
      <c r="R2218" s="26">
        <f>IF($D2218="","",IFERROR(VLOOKUP($D2218,库存台账!$A$5:$Y$1204,11,0),0))</f>
        <v/>
      </c>
      <c r="S2218" s="26">
        <f>IF($D2218="","",ROUND(N($J2218)*N($R2218),0))</f>
        <v/>
      </c>
      <c r="T2218" s="26">
        <f>IF($D2218="","",IF($K2218&lt;&gt;"对外销售","",ROUND($Q2218-$S2218,0)))</f>
        <v/>
      </c>
      <c r="U2218" s="17" t="n"/>
      <c r="V2218" s="17" t="n"/>
      <c r="W2218" s="24">
        <f>IF($D2218="","",IF($E2218="※编码不在物料档案里","※物料编码不在档案里",IF(N($J2218)&lt;=0,"※出库数量要大于 0",IF($K2218="","※没填去向类型",IF($L2218="","※没填去向矿区",IF(AND($C2218&lt;&gt;"",$C2218&lt;=结账锁),"※日期早于已结账截止日，不能再录",IF(AND($K2218="自用消耗",COUNTIF({"一矿区";"二矿区"},$L2218)=0),"※自用消耗的去向只能是一矿区或二矿区",IF(AND($K2218="对外销售",COUNTIF({"三矿区";"六矿区"},$L2218)=0),"※对外销售的去向只能是三矿区或六矿区",IF(AND($K2218="对外销售",ROUND($Q2218,0)=0),"※外销却没有售价，请填实际售价",IF(AND($K2218="对外销售",$T2218&lt;&gt;"",$T2218&lt;0),"※这一笔外销是亏的，请核对售价",IF(IFERROR(VLOOKUP($D2218,库存台账!$A$5:$Y$1204,24,0),0)&lt;-0.001,"※这个物料账面已经变成负数了，查一下是不是漏记入库","")))))))))))</f>
        <v/>
      </c>
    </row>
    <row r="2219">
      <c r="A2219" s="24">
        <f>IF($D2219="","",COUNTA($D$4:$D2219))</f>
        <v/>
      </c>
      <c r="B2219" s="17" t="n"/>
      <c r="C2219" s="30" t="n"/>
      <c r="D2219" s="17" t="n"/>
      <c r="E2219" s="24">
        <f>IF($D2219="","",IFERROR(VLOOKUP($D2219,物料档案!$A$4:$P$1203,3,0),"※编码不在物料档案里"))</f>
        <v/>
      </c>
      <c r="F2219" s="24">
        <f>IF($D2219="","",IFERROR(VLOOKUP($D2219,物料档案!$A$4:$P$1203,4,0),"※编码不在物料档案里"))</f>
        <v/>
      </c>
      <c r="G2219" s="24">
        <f>IF($D2219="","",IFERROR(VLOOKUP($D2219,物料档案!$A$4:$P$1203,5,0),"※编码不在物料档案里"))</f>
        <v/>
      </c>
      <c r="H2219" s="24">
        <f>IF($D2219="","",IFERROR(VLOOKUP($D2219,物料档案!$A$4:$P$1203,2,0),"※编码不在物料档案里"))</f>
        <v/>
      </c>
      <c r="I2219" s="24">
        <f>IF($D2219="","",IFERROR(VLOOKUP($D2219,物料档案!$A$4:$P$1203,6,0),"※编码不在物料档案里"))</f>
        <v/>
      </c>
      <c r="J2219" s="23" t="n"/>
      <c r="K2219" s="17" t="n"/>
      <c r="L2219" s="17" t="n"/>
      <c r="M2219" s="17" t="n"/>
      <c r="N2219" s="17" t="n"/>
      <c r="O2219" s="26">
        <f>IF($D2219="","",IFERROR(VLOOKUP($D2219,物料档案!$A$4:$P$1203,10,0),0))</f>
        <v/>
      </c>
      <c r="P2219" s="32" t="n"/>
      <c r="Q2219" s="26">
        <f>IF($D2219="","",IF($K2219&lt;&gt;"对外销售",0,ROUND(N($J2219)*IF($P2219="",N($O2219),N($P2219)),0)))</f>
        <v/>
      </c>
      <c r="R2219" s="26">
        <f>IF($D2219="","",IFERROR(VLOOKUP($D2219,库存台账!$A$5:$Y$1204,11,0),0))</f>
        <v/>
      </c>
      <c r="S2219" s="26">
        <f>IF($D2219="","",ROUND(N($J2219)*N($R2219),0))</f>
        <v/>
      </c>
      <c r="T2219" s="26">
        <f>IF($D2219="","",IF($K2219&lt;&gt;"对外销售","",ROUND($Q2219-$S2219,0)))</f>
        <v/>
      </c>
      <c r="U2219" s="17" t="n"/>
      <c r="V2219" s="17" t="n"/>
      <c r="W2219" s="24">
        <f>IF($D2219="","",IF($E2219="※编码不在物料档案里","※物料编码不在档案里",IF(N($J2219)&lt;=0,"※出库数量要大于 0",IF($K2219="","※没填去向类型",IF($L2219="","※没填去向矿区",IF(AND($C2219&lt;&gt;"",$C2219&lt;=结账锁),"※日期早于已结账截止日，不能再录",IF(AND($K2219="自用消耗",COUNTIF({"一矿区";"二矿区"},$L2219)=0),"※自用消耗的去向只能是一矿区或二矿区",IF(AND($K2219="对外销售",COUNTIF({"三矿区";"六矿区"},$L2219)=0),"※对外销售的去向只能是三矿区或六矿区",IF(AND($K2219="对外销售",ROUND($Q2219,0)=0),"※外销却没有售价，请填实际售价",IF(AND($K2219="对外销售",$T2219&lt;&gt;"",$T2219&lt;0),"※这一笔外销是亏的，请核对售价",IF(IFERROR(VLOOKUP($D2219,库存台账!$A$5:$Y$1204,24,0),0)&lt;-0.001,"※这个物料账面已经变成负数了，查一下是不是漏记入库","")))))))))))</f>
        <v/>
      </c>
    </row>
    <row r="2220">
      <c r="A2220" s="24">
        <f>IF($D2220="","",COUNTA($D$4:$D2220))</f>
        <v/>
      </c>
      <c r="B2220" s="17" t="n"/>
      <c r="C2220" s="30" t="n"/>
      <c r="D2220" s="17" t="n"/>
      <c r="E2220" s="24">
        <f>IF($D2220="","",IFERROR(VLOOKUP($D2220,物料档案!$A$4:$P$1203,3,0),"※编码不在物料档案里"))</f>
        <v/>
      </c>
      <c r="F2220" s="24">
        <f>IF($D2220="","",IFERROR(VLOOKUP($D2220,物料档案!$A$4:$P$1203,4,0),"※编码不在物料档案里"))</f>
        <v/>
      </c>
      <c r="G2220" s="24">
        <f>IF($D2220="","",IFERROR(VLOOKUP($D2220,物料档案!$A$4:$P$1203,5,0),"※编码不在物料档案里"))</f>
        <v/>
      </c>
      <c r="H2220" s="24">
        <f>IF($D2220="","",IFERROR(VLOOKUP($D2220,物料档案!$A$4:$P$1203,2,0),"※编码不在物料档案里"))</f>
        <v/>
      </c>
      <c r="I2220" s="24">
        <f>IF($D2220="","",IFERROR(VLOOKUP($D2220,物料档案!$A$4:$P$1203,6,0),"※编码不在物料档案里"))</f>
        <v/>
      </c>
      <c r="J2220" s="23" t="n"/>
      <c r="K2220" s="17" t="n"/>
      <c r="L2220" s="17" t="n"/>
      <c r="M2220" s="17" t="n"/>
      <c r="N2220" s="17" t="n"/>
      <c r="O2220" s="26">
        <f>IF($D2220="","",IFERROR(VLOOKUP($D2220,物料档案!$A$4:$P$1203,10,0),0))</f>
        <v/>
      </c>
      <c r="P2220" s="32" t="n"/>
      <c r="Q2220" s="26">
        <f>IF($D2220="","",IF($K2220&lt;&gt;"对外销售",0,ROUND(N($J2220)*IF($P2220="",N($O2220),N($P2220)),0)))</f>
        <v/>
      </c>
      <c r="R2220" s="26">
        <f>IF($D2220="","",IFERROR(VLOOKUP($D2220,库存台账!$A$5:$Y$1204,11,0),0))</f>
        <v/>
      </c>
      <c r="S2220" s="26">
        <f>IF($D2220="","",ROUND(N($J2220)*N($R2220),0))</f>
        <v/>
      </c>
      <c r="T2220" s="26">
        <f>IF($D2220="","",IF($K2220&lt;&gt;"对外销售","",ROUND($Q2220-$S2220,0)))</f>
        <v/>
      </c>
      <c r="U2220" s="17" t="n"/>
      <c r="V2220" s="17" t="n"/>
      <c r="W2220" s="24">
        <f>IF($D2220="","",IF($E2220="※编码不在物料档案里","※物料编码不在档案里",IF(N($J2220)&lt;=0,"※出库数量要大于 0",IF($K2220="","※没填去向类型",IF($L2220="","※没填去向矿区",IF(AND($C2220&lt;&gt;"",$C2220&lt;=结账锁),"※日期早于已结账截止日，不能再录",IF(AND($K2220="自用消耗",COUNTIF({"一矿区";"二矿区"},$L2220)=0),"※自用消耗的去向只能是一矿区或二矿区",IF(AND($K2220="对外销售",COUNTIF({"三矿区";"六矿区"},$L2220)=0),"※对外销售的去向只能是三矿区或六矿区",IF(AND($K2220="对外销售",ROUND($Q2220,0)=0),"※外销却没有售价，请填实际售价",IF(AND($K2220="对外销售",$T2220&lt;&gt;"",$T2220&lt;0),"※这一笔外销是亏的，请核对售价",IF(IFERROR(VLOOKUP($D2220,库存台账!$A$5:$Y$1204,24,0),0)&lt;-0.001,"※这个物料账面已经变成负数了，查一下是不是漏记入库","")))))))))))</f>
        <v/>
      </c>
    </row>
    <row r="2221">
      <c r="A2221" s="24">
        <f>IF($D2221="","",COUNTA($D$4:$D2221))</f>
        <v/>
      </c>
      <c r="B2221" s="17" t="n"/>
      <c r="C2221" s="30" t="n"/>
      <c r="D2221" s="17" t="n"/>
      <c r="E2221" s="24">
        <f>IF($D2221="","",IFERROR(VLOOKUP($D2221,物料档案!$A$4:$P$1203,3,0),"※编码不在物料档案里"))</f>
        <v/>
      </c>
      <c r="F2221" s="24">
        <f>IF($D2221="","",IFERROR(VLOOKUP($D2221,物料档案!$A$4:$P$1203,4,0),"※编码不在物料档案里"))</f>
        <v/>
      </c>
      <c r="G2221" s="24">
        <f>IF($D2221="","",IFERROR(VLOOKUP($D2221,物料档案!$A$4:$P$1203,5,0),"※编码不在物料档案里"))</f>
        <v/>
      </c>
      <c r="H2221" s="24">
        <f>IF($D2221="","",IFERROR(VLOOKUP($D2221,物料档案!$A$4:$P$1203,2,0),"※编码不在物料档案里"))</f>
        <v/>
      </c>
      <c r="I2221" s="24">
        <f>IF($D2221="","",IFERROR(VLOOKUP($D2221,物料档案!$A$4:$P$1203,6,0),"※编码不在物料档案里"))</f>
        <v/>
      </c>
      <c r="J2221" s="23" t="n"/>
      <c r="K2221" s="17" t="n"/>
      <c r="L2221" s="17" t="n"/>
      <c r="M2221" s="17" t="n"/>
      <c r="N2221" s="17" t="n"/>
      <c r="O2221" s="26">
        <f>IF($D2221="","",IFERROR(VLOOKUP($D2221,物料档案!$A$4:$P$1203,10,0),0))</f>
        <v/>
      </c>
      <c r="P2221" s="32" t="n"/>
      <c r="Q2221" s="26">
        <f>IF($D2221="","",IF($K2221&lt;&gt;"对外销售",0,ROUND(N($J2221)*IF($P2221="",N($O2221),N($P2221)),0)))</f>
        <v/>
      </c>
      <c r="R2221" s="26">
        <f>IF($D2221="","",IFERROR(VLOOKUP($D2221,库存台账!$A$5:$Y$1204,11,0),0))</f>
        <v/>
      </c>
      <c r="S2221" s="26">
        <f>IF($D2221="","",ROUND(N($J2221)*N($R2221),0))</f>
        <v/>
      </c>
      <c r="T2221" s="26">
        <f>IF($D2221="","",IF($K2221&lt;&gt;"对外销售","",ROUND($Q2221-$S2221,0)))</f>
        <v/>
      </c>
      <c r="U2221" s="17" t="n"/>
      <c r="V2221" s="17" t="n"/>
      <c r="W2221" s="24">
        <f>IF($D2221="","",IF($E2221="※编码不在物料档案里","※物料编码不在档案里",IF(N($J2221)&lt;=0,"※出库数量要大于 0",IF($K2221="","※没填去向类型",IF($L2221="","※没填去向矿区",IF(AND($C2221&lt;&gt;"",$C2221&lt;=结账锁),"※日期早于已结账截止日，不能再录",IF(AND($K2221="自用消耗",COUNTIF({"一矿区";"二矿区"},$L2221)=0),"※自用消耗的去向只能是一矿区或二矿区",IF(AND($K2221="对外销售",COUNTIF({"三矿区";"六矿区"},$L2221)=0),"※对外销售的去向只能是三矿区或六矿区",IF(AND($K2221="对外销售",ROUND($Q2221,0)=0),"※外销却没有售价，请填实际售价",IF(AND($K2221="对外销售",$T2221&lt;&gt;"",$T2221&lt;0),"※这一笔外销是亏的，请核对售价",IF(IFERROR(VLOOKUP($D2221,库存台账!$A$5:$Y$1204,24,0),0)&lt;-0.001,"※这个物料账面已经变成负数了，查一下是不是漏记入库","")))))))))))</f>
        <v/>
      </c>
    </row>
    <row r="2222">
      <c r="A2222" s="24">
        <f>IF($D2222="","",COUNTA($D$4:$D2222))</f>
        <v/>
      </c>
      <c r="B2222" s="17" t="n"/>
      <c r="C2222" s="30" t="n"/>
      <c r="D2222" s="17" t="n"/>
      <c r="E2222" s="24">
        <f>IF($D2222="","",IFERROR(VLOOKUP($D2222,物料档案!$A$4:$P$1203,3,0),"※编码不在物料档案里"))</f>
        <v/>
      </c>
      <c r="F2222" s="24">
        <f>IF($D2222="","",IFERROR(VLOOKUP($D2222,物料档案!$A$4:$P$1203,4,0),"※编码不在物料档案里"))</f>
        <v/>
      </c>
      <c r="G2222" s="24">
        <f>IF($D2222="","",IFERROR(VLOOKUP($D2222,物料档案!$A$4:$P$1203,5,0),"※编码不在物料档案里"))</f>
        <v/>
      </c>
      <c r="H2222" s="24">
        <f>IF($D2222="","",IFERROR(VLOOKUP($D2222,物料档案!$A$4:$P$1203,2,0),"※编码不在物料档案里"))</f>
        <v/>
      </c>
      <c r="I2222" s="24">
        <f>IF($D2222="","",IFERROR(VLOOKUP($D2222,物料档案!$A$4:$P$1203,6,0),"※编码不在物料档案里"))</f>
        <v/>
      </c>
      <c r="J2222" s="23" t="n"/>
      <c r="K2222" s="17" t="n"/>
      <c r="L2222" s="17" t="n"/>
      <c r="M2222" s="17" t="n"/>
      <c r="N2222" s="17" t="n"/>
      <c r="O2222" s="26">
        <f>IF($D2222="","",IFERROR(VLOOKUP($D2222,物料档案!$A$4:$P$1203,10,0),0))</f>
        <v/>
      </c>
      <c r="P2222" s="32" t="n"/>
      <c r="Q2222" s="26">
        <f>IF($D2222="","",IF($K2222&lt;&gt;"对外销售",0,ROUND(N($J2222)*IF($P2222="",N($O2222),N($P2222)),0)))</f>
        <v/>
      </c>
      <c r="R2222" s="26">
        <f>IF($D2222="","",IFERROR(VLOOKUP($D2222,库存台账!$A$5:$Y$1204,11,0),0))</f>
        <v/>
      </c>
      <c r="S2222" s="26">
        <f>IF($D2222="","",ROUND(N($J2222)*N($R2222),0))</f>
        <v/>
      </c>
      <c r="T2222" s="26">
        <f>IF($D2222="","",IF($K2222&lt;&gt;"对外销售","",ROUND($Q2222-$S2222,0)))</f>
        <v/>
      </c>
      <c r="U2222" s="17" t="n"/>
      <c r="V2222" s="17" t="n"/>
      <c r="W2222" s="24">
        <f>IF($D2222="","",IF($E2222="※编码不在物料档案里","※物料编码不在档案里",IF(N($J2222)&lt;=0,"※出库数量要大于 0",IF($K2222="","※没填去向类型",IF($L2222="","※没填去向矿区",IF(AND($C2222&lt;&gt;"",$C2222&lt;=结账锁),"※日期早于已结账截止日，不能再录",IF(AND($K2222="自用消耗",COUNTIF({"一矿区";"二矿区"},$L2222)=0),"※自用消耗的去向只能是一矿区或二矿区",IF(AND($K2222="对外销售",COUNTIF({"三矿区";"六矿区"},$L2222)=0),"※对外销售的去向只能是三矿区或六矿区",IF(AND($K2222="对外销售",ROUND($Q2222,0)=0),"※外销却没有售价，请填实际售价",IF(AND($K2222="对外销售",$T2222&lt;&gt;"",$T2222&lt;0),"※这一笔外销是亏的，请核对售价",IF(IFERROR(VLOOKUP($D2222,库存台账!$A$5:$Y$1204,24,0),0)&lt;-0.001,"※这个物料账面已经变成负数了，查一下是不是漏记入库","")))))))))))</f>
        <v/>
      </c>
    </row>
    <row r="2223">
      <c r="A2223" s="24">
        <f>IF($D2223="","",COUNTA($D$4:$D2223))</f>
        <v/>
      </c>
      <c r="B2223" s="17" t="n"/>
      <c r="C2223" s="30" t="n"/>
      <c r="D2223" s="17" t="n"/>
      <c r="E2223" s="24">
        <f>IF($D2223="","",IFERROR(VLOOKUP($D2223,物料档案!$A$4:$P$1203,3,0),"※编码不在物料档案里"))</f>
        <v/>
      </c>
      <c r="F2223" s="24">
        <f>IF($D2223="","",IFERROR(VLOOKUP($D2223,物料档案!$A$4:$P$1203,4,0),"※编码不在物料档案里"))</f>
        <v/>
      </c>
      <c r="G2223" s="24">
        <f>IF($D2223="","",IFERROR(VLOOKUP($D2223,物料档案!$A$4:$P$1203,5,0),"※编码不在物料档案里"))</f>
        <v/>
      </c>
      <c r="H2223" s="24">
        <f>IF($D2223="","",IFERROR(VLOOKUP($D2223,物料档案!$A$4:$P$1203,2,0),"※编码不在物料档案里"))</f>
        <v/>
      </c>
      <c r="I2223" s="24">
        <f>IF($D2223="","",IFERROR(VLOOKUP($D2223,物料档案!$A$4:$P$1203,6,0),"※编码不在物料档案里"))</f>
        <v/>
      </c>
      <c r="J2223" s="23" t="n"/>
      <c r="K2223" s="17" t="n"/>
      <c r="L2223" s="17" t="n"/>
      <c r="M2223" s="17" t="n"/>
      <c r="N2223" s="17" t="n"/>
      <c r="O2223" s="26">
        <f>IF($D2223="","",IFERROR(VLOOKUP($D2223,物料档案!$A$4:$P$1203,10,0),0))</f>
        <v/>
      </c>
      <c r="P2223" s="32" t="n"/>
      <c r="Q2223" s="26">
        <f>IF($D2223="","",IF($K2223&lt;&gt;"对外销售",0,ROUND(N($J2223)*IF($P2223="",N($O2223),N($P2223)),0)))</f>
        <v/>
      </c>
      <c r="R2223" s="26">
        <f>IF($D2223="","",IFERROR(VLOOKUP($D2223,库存台账!$A$5:$Y$1204,11,0),0))</f>
        <v/>
      </c>
      <c r="S2223" s="26">
        <f>IF($D2223="","",ROUND(N($J2223)*N($R2223),0))</f>
        <v/>
      </c>
      <c r="T2223" s="26">
        <f>IF($D2223="","",IF($K2223&lt;&gt;"对外销售","",ROUND($Q2223-$S2223,0)))</f>
        <v/>
      </c>
      <c r="U2223" s="17" t="n"/>
      <c r="V2223" s="17" t="n"/>
      <c r="W2223" s="24">
        <f>IF($D2223="","",IF($E2223="※编码不在物料档案里","※物料编码不在档案里",IF(N($J2223)&lt;=0,"※出库数量要大于 0",IF($K2223="","※没填去向类型",IF($L2223="","※没填去向矿区",IF(AND($C2223&lt;&gt;"",$C2223&lt;=结账锁),"※日期早于已结账截止日，不能再录",IF(AND($K2223="自用消耗",COUNTIF({"一矿区";"二矿区"},$L2223)=0),"※自用消耗的去向只能是一矿区或二矿区",IF(AND($K2223="对外销售",COUNTIF({"三矿区";"六矿区"},$L2223)=0),"※对外销售的去向只能是三矿区或六矿区",IF(AND($K2223="对外销售",ROUND($Q2223,0)=0),"※外销却没有售价，请填实际售价",IF(AND($K2223="对外销售",$T2223&lt;&gt;"",$T2223&lt;0),"※这一笔外销是亏的，请核对售价",IF(IFERROR(VLOOKUP($D2223,库存台账!$A$5:$Y$1204,24,0),0)&lt;-0.001,"※这个物料账面已经变成负数了，查一下是不是漏记入库","")))))))))))</f>
        <v/>
      </c>
    </row>
    <row r="2224">
      <c r="A2224" s="24">
        <f>IF($D2224="","",COUNTA($D$4:$D2224))</f>
        <v/>
      </c>
      <c r="B2224" s="17" t="n"/>
      <c r="C2224" s="30" t="n"/>
      <c r="D2224" s="17" t="n"/>
      <c r="E2224" s="24">
        <f>IF($D2224="","",IFERROR(VLOOKUP($D2224,物料档案!$A$4:$P$1203,3,0),"※编码不在物料档案里"))</f>
        <v/>
      </c>
      <c r="F2224" s="24">
        <f>IF($D2224="","",IFERROR(VLOOKUP($D2224,物料档案!$A$4:$P$1203,4,0),"※编码不在物料档案里"))</f>
        <v/>
      </c>
      <c r="G2224" s="24">
        <f>IF($D2224="","",IFERROR(VLOOKUP($D2224,物料档案!$A$4:$P$1203,5,0),"※编码不在物料档案里"))</f>
        <v/>
      </c>
      <c r="H2224" s="24">
        <f>IF($D2224="","",IFERROR(VLOOKUP($D2224,物料档案!$A$4:$P$1203,2,0),"※编码不在物料档案里"))</f>
        <v/>
      </c>
      <c r="I2224" s="24">
        <f>IF($D2224="","",IFERROR(VLOOKUP($D2224,物料档案!$A$4:$P$1203,6,0),"※编码不在物料档案里"))</f>
        <v/>
      </c>
      <c r="J2224" s="23" t="n"/>
      <c r="K2224" s="17" t="n"/>
      <c r="L2224" s="17" t="n"/>
      <c r="M2224" s="17" t="n"/>
      <c r="N2224" s="17" t="n"/>
      <c r="O2224" s="26">
        <f>IF($D2224="","",IFERROR(VLOOKUP($D2224,物料档案!$A$4:$P$1203,10,0),0))</f>
        <v/>
      </c>
      <c r="P2224" s="32" t="n"/>
      <c r="Q2224" s="26">
        <f>IF($D2224="","",IF($K2224&lt;&gt;"对外销售",0,ROUND(N($J2224)*IF($P2224="",N($O2224),N($P2224)),0)))</f>
        <v/>
      </c>
      <c r="R2224" s="26">
        <f>IF($D2224="","",IFERROR(VLOOKUP($D2224,库存台账!$A$5:$Y$1204,11,0),0))</f>
        <v/>
      </c>
      <c r="S2224" s="26">
        <f>IF($D2224="","",ROUND(N($J2224)*N($R2224),0))</f>
        <v/>
      </c>
      <c r="T2224" s="26">
        <f>IF($D2224="","",IF($K2224&lt;&gt;"对外销售","",ROUND($Q2224-$S2224,0)))</f>
        <v/>
      </c>
      <c r="U2224" s="17" t="n"/>
      <c r="V2224" s="17" t="n"/>
      <c r="W2224" s="24">
        <f>IF($D2224="","",IF($E2224="※编码不在物料档案里","※物料编码不在档案里",IF(N($J2224)&lt;=0,"※出库数量要大于 0",IF($K2224="","※没填去向类型",IF($L2224="","※没填去向矿区",IF(AND($C2224&lt;&gt;"",$C2224&lt;=结账锁),"※日期早于已结账截止日，不能再录",IF(AND($K2224="自用消耗",COUNTIF({"一矿区";"二矿区"},$L2224)=0),"※自用消耗的去向只能是一矿区或二矿区",IF(AND($K2224="对外销售",COUNTIF({"三矿区";"六矿区"},$L2224)=0),"※对外销售的去向只能是三矿区或六矿区",IF(AND($K2224="对外销售",ROUND($Q2224,0)=0),"※外销却没有售价，请填实际售价",IF(AND($K2224="对外销售",$T2224&lt;&gt;"",$T2224&lt;0),"※这一笔外销是亏的，请核对售价",IF(IFERROR(VLOOKUP($D2224,库存台账!$A$5:$Y$1204,24,0),0)&lt;-0.001,"※这个物料账面已经变成负数了，查一下是不是漏记入库","")))))))))))</f>
        <v/>
      </c>
    </row>
    <row r="2225">
      <c r="A2225" s="24">
        <f>IF($D2225="","",COUNTA($D$4:$D2225))</f>
        <v/>
      </c>
      <c r="B2225" s="17" t="n"/>
      <c r="C2225" s="30" t="n"/>
      <c r="D2225" s="17" t="n"/>
      <c r="E2225" s="24">
        <f>IF($D2225="","",IFERROR(VLOOKUP($D2225,物料档案!$A$4:$P$1203,3,0),"※编码不在物料档案里"))</f>
        <v/>
      </c>
      <c r="F2225" s="24">
        <f>IF($D2225="","",IFERROR(VLOOKUP($D2225,物料档案!$A$4:$P$1203,4,0),"※编码不在物料档案里"))</f>
        <v/>
      </c>
      <c r="G2225" s="24">
        <f>IF($D2225="","",IFERROR(VLOOKUP($D2225,物料档案!$A$4:$P$1203,5,0),"※编码不在物料档案里"))</f>
        <v/>
      </c>
      <c r="H2225" s="24">
        <f>IF($D2225="","",IFERROR(VLOOKUP($D2225,物料档案!$A$4:$P$1203,2,0),"※编码不在物料档案里"))</f>
        <v/>
      </c>
      <c r="I2225" s="24">
        <f>IF($D2225="","",IFERROR(VLOOKUP($D2225,物料档案!$A$4:$P$1203,6,0),"※编码不在物料档案里"))</f>
        <v/>
      </c>
      <c r="J2225" s="23" t="n"/>
      <c r="K2225" s="17" t="n"/>
      <c r="L2225" s="17" t="n"/>
      <c r="M2225" s="17" t="n"/>
      <c r="N2225" s="17" t="n"/>
      <c r="O2225" s="26">
        <f>IF($D2225="","",IFERROR(VLOOKUP($D2225,物料档案!$A$4:$P$1203,10,0),0))</f>
        <v/>
      </c>
      <c r="P2225" s="32" t="n"/>
      <c r="Q2225" s="26">
        <f>IF($D2225="","",IF($K2225&lt;&gt;"对外销售",0,ROUND(N($J2225)*IF($P2225="",N($O2225),N($P2225)),0)))</f>
        <v/>
      </c>
      <c r="R2225" s="26">
        <f>IF($D2225="","",IFERROR(VLOOKUP($D2225,库存台账!$A$5:$Y$1204,11,0),0))</f>
        <v/>
      </c>
      <c r="S2225" s="26">
        <f>IF($D2225="","",ROUND(N($J2225)*N($R2225),0))</f>
        <v/>
      </c>
      <c r="T2225" s="26">
        <f>IF($D2225="","",IF($K2225&lt;&gt;"对外销售","",ROUND($Q2225-$S2225,0)))</f>
        <v/>
      </c>
      <c r="U2225" s="17" t="n"/>
      <c r="V2225" s="17" t="n"/>
      <c r="W2225" s="24">
        <f>IF($D2225="","",IF($E2225="※编码不在物料档案里","※物料编码不在档案里",IF(N($J2225)&lt;=0,"※出库数量要大于 0",IF($K2225="","※没填去向类型",IF($L2225="","※没填去向矿区",IF(AND($C2225&lt;&gt;"",$C2225&lt;=结账锁),"※日期早于已结账截止日，不能再录",IF(AND($K2225="自用消耗",COUNTIF({"一矿区";"二矿区"},$L2225)=0),"※自用消耗的去向只能是一矿区或二矿区",IF(AND($K2225="对外销售",COUNTIF({"三矿区";"六矿区"},$L2225)=0),"※对外销售的去向只能是三矿区或六矿区",IF(AND($K2225="对外销售",ROUND($Q2225,0)=0),"※外销却没有售价，请填实际售价",IF(AND($K2225="对外销售",$T2225&lt;&gt;"",$T2225&lt;0),"※这一笔外销是亏的，请核对售价",IF(IFERROR(VLOOKUP($D2225,库存台账!$A$5:$Y$1204,24,0),0)&lt;-0.001,"※这个物料账面已经变成负数了，查一下是不是漏记入库","")))))))))))</f>
        <v/>
      </c>
    </row>
    <row r="2226">
      <c r="A2226" s="24">
        <f>IF($D2226="","",COUNTA($D$4:$D2226))</f>
        <v/>
      </c>
      <c r="B2226" s="17" t="n"/>
      <c r="C2226" s="30" t="n"/>
      <c r="D2226" s="17" t="n"/>
      <c r="E2226" s="24">
        <f>IF($D2226="","",IFERROR(VLOOKUP($D2226,物料档案!$A$4:$P$1203,3,0),"※编码不在物料档案里"))</f>
        <v/>
      </c>
      <c r="F2226" s="24">
        <f>IF($D2226="","",IFERROR(VLOOKUP($D2226,物料档案!$A$4:$P$1203,4,0),"※编码不在物料档案里"))</f>
        <v/>
      </c>
      <c r="G2226" s="24">
        <f>IF($D2226="","",IFERROR(VLOOKUP($D2226,物料档案!$A$4:$P$1203,5,0),"※编码不在物料档案里"))</f>
        <v/>
      </c>
      <c r="H2226" s="24">
        <f>IF($D2226="","",IFERROR(VLOOKUP($D2226,物料档案!$A$4:$P$1203,2,0),"※编码不在物料档案里"))</f>
        <v/>
      </c>
      <c r="I2226" s="24">
        <f>IF($D2226="","",IFERROR(VLOOKUP($D2226,物料档案!$A$4:$P$1203,6,0),"※编码不在物料档案里"))</f>
        <v/>
      </c>
      <c r="J2226" s="23" t="n"/>
      <c r="K2226" s="17" t="n"/>
      <c r="L2226" s="17" t="n"/>
      <c r="M2226" s="17" t="n"/>
      <c r="N2226" s="17" t="n"/>
      <c r="O2226" s="26">
        <f>IF($D2226="","",IFERROR(VLOOKUP($D2226,物料档案!$A$4:$P$1203,10,0),0))</f>
        <v/>
      </c>
      <c r="P2226" s="32" t="n"/>
      <c r="Q2226" s="26">
        <f>IF($D2226="","",IF($K2226&lt;&gt;"对外销售",0,ROUND(N($J2226)*IF($P2226="",N($O2226),N($P2226)),0)))</f>
        <v/>
      </c>
      <c r="R2226" s="26">
        <f>IF($D2226="","",IFERROR(VLOOKUP($D2226,库存台账!$A$5:$Y$1204,11,0),0))</f>
        <v/>
      </c>
      <c r="S2226" s="26">
        <f>IF($D2226="","",ROUND(N($J2226)*N($R2226),0))</f>
        <v/>
      </c>
      <c r="T2226" s="26">
        <f>IF($D2226="","",IF($K2226&lt;&gt;"对外销售","",ROUND($Q2226-$S2226,0)))</f>
        <v/>
      </c>
      <c r="U2226" s="17" t="n"/>
      <c r="V2226" s="17" t="n"/>
      <c r="W2226" s="24">
        <f>IF($D2226="","",IF($E2226="※编码不在物料档案里","※物料编码不在档案里",IF(N($J2226)&lt;=0,"※出库数量要大于 0",IF($K2226="","※没填去向类型",IF($L2226="","※没填去向矿区",IF(AND($C2226&lt;&gt;"",$C2226&lt;=结账锁),"※日期早于已结账截止日，不能再录",IF(AND($K2226="自用消耗",COUNTIF({"一矿区";"二矿区"},$L2226)=0),"※自用消耗的去向只能是一矿区或二矿区",IF(AND($K2226="对外销售",COUNTIF({"三矿区";"六矿区"},$L2226)=0),"※对外销售的去向只能是三矿区或六矿区",IF(AND($K2226="对外销售",ROUND($Q2226,0)=0),"※外销却没有售价，请填实际售价",IF(AND($K2226="对外销售",$T2226&lt;&gt;"",$T2226&lt;0),"※这一笔外销是亏的，请核对售价",IF(IFERROR(VLOOKUP($D2226,库存台账!$A$5:$Y$1204,24,0),0)&lt;-0.001,"※这个物料账面已经变成负数了，查一下是不是漏记入库","")))))))))))</f>
        <v/>
      </c>
    </row>
    <row r="2227">
      <c r="A2227" s="24">
        <f>IF($D2227="","",COUNTA($D$4:$D2227))</f>
        <v/>
      </c>
      <c r="B2227" s="17" t="n"/>
      <c r="C2227" s="30" t="n"/>
      <c r="D2227" s="17" t="n"/>
      <c r="E2227" s="24">
        <f>IF($D2227="","",IFERROR(VLOOKUP($D2227,物料档案!$A$4:$P$1203,3,0),"※编码不在物料档案里"))</f>
        <v/>
      </c>
      <c r="F2227" s="24">
        <f>IF($D2227="","",IFERROR(VLOOKUP($D2227,物料档案!$A$4:$P$1203,4,0),"※编码不在物料档案里"))</f>
        <v/>
      </c>
      <c r="G2227" s="24">
        <f>IF($D2227="","",IFERROR(VLOOKUP($D2227,物料档案!$A$4:$P$1203,5,0),"※编码不在物料档案里"))</f>
        <v/>
      </c>
      <c r="H2227" s="24">
        <f>IF($D2227="","",IFERROR(VLOOKUP($D2227,物料档案!$A$4:$P$1203,2,0),"※编码不在物料档案里"))</f>
        <v/>
      </c>
      <c r="I2227" s="24">
        <f>IF($D2227="","",IFERROR(VLOOKUP($D2227,物料档案!$A$4:$P$1203,6,0),"※编码不在物料档案里"))</f>
        <v/>
      </c>
      <c r="J2227" s="23" t="n"/>
      <c r="K2227" s="17" t="n"/>
      <c r="L2227" s="17" t="n"/>
      <c r="M2227" s="17" t="n"/>
      <c r="N2227" s="17" t="n"/>
      <c r="O2227" s="26">
        <f>IF($D2227="","",IFERROR(VLOOKUP($D2227,物料档案!$A$4:$P$1203,10,0),0))</f>
        <v/>
      </c>
      <c r="P2227" s="32" t="n"/>
      <c r="Q2227" s="26">
        <f>IF($D2227="","",IF($K2227&lt;&gt;"对外销售",0,ROUND(N($J2227)*IF($P2227="",N($O2227),N($P2227)),0)))</f>
        <v/>
      </c>
      <c r="R2227" s="26">
        <f>IF($D2227="","",IFERROR(VLOOKUP($D2227,库存台账!$A$5:$Y$1204,11,0),0))</f>
        <v/>
      </c>
      <c r="S2227" s="26">
        <f>IF($D2227="","",ROUND(N($J2227)*N($R2227),0))</f>
        <v/>
      </c>
      <c r="T2227" s="26">
        <f>IF($D2227="","",IF($K2227&lt;&gt;"对外销售","",ROUND($Q2227-$S2227,0)))</f>
        <v/>
      </c>
      <c r="U2227" s="17" t="n"/>
      <c r="V2227" s="17" t="n"/>
      <c r="W2227" s="24">
        <f>IF($D2227="","",IF($E2227="※编码不在物料档案里","※物料编码不在档案里",IF(N($J2227)&lt;=0,"※出库数量要大于 0",IF($K2227="","※没填去向类型",IF($L2227="","※没填去向矿区",IF(AND($C2227&lt;&gt;"",$C2227&lt;=结账锁),"※日期早于已结账截止日，不能再录",IF(AND($K2227="自用消耗",COUNTIF({"一矿区";"二矿区"},$L2227)=0),"※自用消耗的去向只能是一矿区或二矿区",IF(AND($K2227="对外销售",COUNTIF({"三矿区";"六矿区"},$L2227)=0),"※对外销售的去向只能是三矿区或六矿区",IF(AND($K2227="对外销售",ROUND($Q2227,0)=0),"※外销却没有售价，请填实际售价",IF(AND($K2227="对外销售",$T2227&lt;&gt;"",$T2227&lt;0),"※这一笔外销是亏的，请核对售价",IF(IFERROR(VLOOKUP($D2227,库存台账!$A$5:$Y$1204,24,0),0)&lt;-0.001,"※这个物料账面已经变成负数了，查一下是不是漏记入库","")))))))))))</f>
        <v/>
      </c>
    </row>
    <row r="2228">
      <c r="A2228" s="24">
        <f>IF($D2228="","",COUNTA($D$4:$D2228))</f>
        <v/>
      </c>
      <c r="B2228" s="17" t="n"/>
      <c r="C2228" s="30" t="n"/>
      <c r="D2228" s="17" t="n"/>
      <c r="E2228" s="24">
        <f>IF($D2228="","",IFERROR(VLOOKUP($D2228,物料档案!$A$4:$P$1203,3,0),"※编码不在物料档案里"))</f>
        <v/>
      </c>
      <c r="F2228" s="24">
        <f>IF($D2228="","",IFERROR(VLOOKUP($D2228,物料档案!$A$4:$P$1203,4,0),"※编码不在物料档案里"))</f>
        <v/>
      </c>
      <c r="G2228" s="24">
        <f>IF($D2228="","",IFERROR(VLOOKUP($D2228,物料档案!$A$4:$P$1203,5,0),"※编码不在物料档案里"))</f>
        <v/>
      </c>
      <c r="H2228" s="24">
        <f>IF($D2228="","",IFERROR(VLOOKUP($D2228,物料档案!$A$4:$P$1203,2,0),"※编码不在物料档案里"))</f>
        <v/>
      </c>
      <c r="I2228" s="24">
        <f>IF($D2228="","",IFERROR(VLOOKUP($D2228,物料档案!$A$4:$P$1203,6,0),"※编码不在物料档案里"))</f>
        <v/>
      </c>
      <c r="J2228" s="23" t="n"/>
      <c r="K2228" s="17" t="n"/>
      <c r="L2228" s="17" t="n"/>
      <c r="M2228" s="17" t="n"/>
      <c r="N2228" s="17" t="n"/>
      <c r="O2228" s="26">
        <f>IF($D2228="","",IFERROR(VLOOKUP($D2228,物料档案!$A$4:$P$1203,10,0),0))</f>
        <v/>
      </c>
      <c r="P2228" s="32" t="n"/>
      <c r="Q2228" s="26">
        <f>IF($D2228="","",IF($K2228&lt;&gt;"对外销售",0,ROUND(N($J2228)*IF($P2228="",N($O2228),N($P2228)),0)))</f>
        <v/>
      </c>
      <c r="R2228" s="26">
        <f>IF($D2228="","",IFERROR(VLOOKUP($D2228,库存台账!$A$5:$Y$1204,11,0),0))</f>
        <v/>
      </c>
      <c r="S2228" s="26">
        <f>IF($D2228="","",ROUND(N($J2228)*N($R2228),0))</f>
        <v/>
      </c>
      <c r="T2228" s="26">
        <f>IF($D2228="","",IF($K2228&lt;&gt;"对外销售","",ROUND($Q2228-$S2228,0)))</f>
        <v/>
      </c>
      <c r="U2228" s="17" t="n"/>
      <c r="V2228" s="17" t="n"/>
      <c r="W2228" s="24">
        <f>IF($D2228="","",IF($E2228="※编码不在物料档案里","※物料编码不在档案里",IF(N($J2228)&lt;=0,"※出库数量要大于 0",IF($K2228="","※没填去向类型",IF($L2228="","※没填去向矿区",IF(AND($C2228&lt;&gt;"",$C2228&lt;=结账锁),"※日期早于已结账截止日，不能再录",IF(AND($K2228="自用消耗",COUNTIF({"一矿区";"二矿区"},$L2228)=0),"※自用消耗的去向只能是一矿区或二矿区",IF(AND($K2228="对外销售",COUNTIF({"三矿区";"六矿区"},$L2228)=0),"※对外销售的去向只能是三矿区或六矿区",IF(AND($K2228="对外销售",ROUND($Q2228,0)=0),"※外销却没有售价，请填实际售价",IF(AND($K2228="对外销售",$T2228&lt;&gt;"",$T2228&lt;0),"※这一笔外销是亏的，请核对售价",IF(IFERROR(VLOOKUP($D2228,库存台账!$A$5:$Y$1204,24,0),0)&lt;-0.001,"※这个物料账面已经变成负数了，查一下是不是漏记入库","")))))))))))</f>
        <v/>
      </c>
    </row>
    <row r="2229">
      <c r="A2229" s="24">
        <f>IF($D2229="","",COUNTA($D$4:$D2229))</f>
        <v/>
      </c>
      <c r="B2229" s="17" t="n"/>
      <c r="C2229" s="30" t="n"/>
      <c r="D2229" s="17" t="n"/>
      <c r="E2229" s="24">
        <f>IF($D2229="","",IFERROR(VLOOKUP($D2229,物料档案!$A$4:$P$1203,3,0),"※编码不在物料档案里"))</f>
        <v/>
      </c>
      <c r="F2229" s="24">
        <f>IF($D2229="","",IFERROR(VLOOKUP($D2229,物料档案!$A$4:$P$1203,4,0),"※编码不在物料档案里"))</f>
        <v/>
      </c>
      <c r="G2229" s="24">
        <f>IF($D2229="","",IFERROR(VLOOKUP($D2229,物料档案!$A$4:$P$1203,5,0),"※编码不在物料档案里"))</f>
        <v/>
      </c>
      <c r="H2229" s="24">
        <f>IF($D2229="","",IFERROR(VLOOKUP($D2229,物料档案!$A$4:$P$1203,2,0),"※编码不在物料档案里"))</f>
        <v/>
      </c>
      <c r="I2229" s="24">
        <f>IF($D2229="","",IFERROR(VLOOKUP($D2229,物料档案!$A$4:$P$1203,6,0),"※编码不在物料档案里"))</f>
        <v/>
      </c>
      <c r="J2229" s="23" t="n"/>
      <c r="K2229" s="17" t="n"/>
      <c r="L2229" s="17" t="n"/>
      <c r="M2229" s="17" t="n"/>
      <c r="N2229" s="17" t="n"/>
      <c r="O2229" s="26">
        <f>IF($D2229="","",IFERROR(VLOOKUP($D2229,物料档案!$A$4:$P$1203,10,0),0))</f>
        <v/>
      </c>
      <c r="P2229" s="32" t="n"/>
      <c r="Q2229" s="26">
        <f>IF($D2229="","",IF($K2229&lt;&gt;"对外销售",0,ROUND(N($J2229)*IF($P2229="",N($O2229),N($P2229)),0)))</f>
        <v/>
      </c>
      <c r="R2229" s="26">
        <f>IF($D2229="","",IFERROR(VLOOKUP($D2229,库存台账!$A$5:$Y$1204,11,0),0))</f>
        <v/>
      </c>
      <c r="S2229" s="26">
        <f>IF($D2229="","",ROUND(N($J2229)*N($R2229),0))</f>
        <v/>
      </c>
      <c r="T2229" s="26">
        <f>IF($D2229="","",IF($K2229&lt;&gt;"对外销售","",ROUND($Q2229-$S2229,0)))</f>
        <v/>
      </c>
      <c r="U2229" s="17" t="n"/>
      <c r="V2229" s="17" t="n"/>
      <c r="W2229" s="24">
        <f>IF($D2229="","",IF($E2229="※编码不在物料档案里","※物料编码不在档案里",IF(N($J2229)&lt;=0,"※出库数量要大于 0",IF($K2229="","※没填去向类型",IF($L2229="","※没填去向矿区",IF(AND($C2229&lt;&gt;"",$C2229&lt;=结账锁),"※日期早于已结账截止日，不能再录",IF(AND($K2229="自用消耗",COUNTIF({"一矿区";"二矿区"},$L2229)=0),"※自用消耗的去向只能是一矿区或二矿区",IF(AND($K2229="对外销售",COUNTIF({"三矿区";"六矿区"},$L2229)=0),"※对外销售的去向只能是三矿区或六矿区",IF(AND($K2229="对外销售",ROUND($Q2229,0)=0),"※外销却没有售价，请填实际售价",IF(AND($K2229="对外销售",$T2229&lt;&gt;"",$T2229&lt;0),"※这一笔外销是亏的，请核对售价",IF(IFERROR(VLOOKUP($D2229,库存台账!$A$5:$Y$1204,24,0),0)&lt;-0.001,"※这个物料账面已经变成负数了，查一下是不是漏记入库","")))))))))))</f>
        <v/>
      </c>
    </row>
    <row r="2230">
      <c r="A2230" s="24">
        <f>IF($D2230="","",COUNTA($D$4:$D2230))</f>
        <v/>
      </c>
      <c r="B2230" s="17" t="n"/>
      <c r="C2230" s="30" t="n"/>
      <c r="D2230" s="17" t="n"/>
      <c r="E2230" s="24">
        <f>IF($D2230="","",IFERROR(VLOOKUP($D2230,物料档案!$A$4:$P$1203,3,0),"※编码不在物料档案里"))</f>
        <v/>
      </c>
      <c r="F2230" s="24">
        <f>IF($D2230="","",IFERROR(VLOOKUP($D2230,物料档案!$A$4:$P$1203,4,0),"※编码不在物料档案里"))</f>
        <v/>
      </c>
      <c r="G2230" s="24">
        <f>IF($D2230="","",IFERROR(VLOOKUP($D2230,物料档案!$A$4:$P$1203,5,0),"※编码不在物料档案里"))</f>
        <v/>
      </c>
      <c r="H2230" s="24">
        <f>IF($D2230="","",IFERROR(VLOOKUP($D2230,物料档案!$A$4:$P$1203,2,0),"※编码不在物料档案里"))</f>
        <v/>
      </c>
      <c r="I2230" s="24">
        <f>IF($D2230="","",IFERROR(VLOOKUP($D2230,物料档案!$A$4:$P$1203,6,0),"※编码不在物料档案里"))</f>
        <v/>
      </c>
      <c r="J2230" s="23" t="n"/>
      <c r="K2230" s="17" t="n"/>
      <c r="L2230" s="17" t="n"/>
      <c r="M2230" s="17" t="n"/>
      <c r="N2230" s="17" t="n"/>
      <c r="O2230" s="26">
        <f>IF($D2230="","",IFERROR(VLOOKUP($D2230,物料档案!$A$4:$P$1203,10,0),0))</f>
        <v/>
      </c>
      <c r="P2230" s="32" t="n"/>
      <c r="Q2230" s="26">
        <f>IF($D2230="","",IF($K2230&lt;&gt;"对外销售",0,ROUND(N($J2230)*IF($P2230="",N($O2230),N($P2230)),0)))</f>
        <v/>
      </c>
      <c r="R2230" s="26">
        <f>IF($D2230="","",IFERROR(VLOOKUP($D2230,库存台账!$A$5:$Y$1204,11,0),0))</f>
        <v/>
      </c>
      <c r="S2230" s="26">
        <f>IF($D2230="","",ROUND(N($J2230)*N($R2230),0))</f>
        <v/>
      </c>
      <c r="T2230" s="26">
        <f>IF($D2230="","",IF($K2230&lt;&gt;"对外销售","",ROUND($Q2230-$S2230,0)))</f>
        <v/>
      </c>
      <c r="U2230" s="17" t="n"/>
      <c r="V2230" s="17" t="n"/>
      <c r="W2230" s="24">
        <f>IF($D2230="","",IF($E2230="※编码不在物料档案里","※物料编码不在档案里",IF(N($J2230)&lt;=0,"※出库数量要大于 0",IF($K2230="","※没填去向类型",IF($L2230="","※没填去向矿区",IF(AND($C2230&lt;&gt;"",$C2230&lt;=结账锁),"※日期早于已结账截止日，不能再录",IF(AND($K2230="自用消耗",COUNTIF({"一矿区";"二矿区"},$L2230)=0),"※自用消耗的去向只能是一矿区或二矿区",IF(AND($K2230="对外销售",COUNTIF({"三矿区";"六矿区"},$L2230)=0),"※对外销售的去向只能是三矿区或六矿区",IF(AND($K2230="对外销售",ROUND($Q2230,0)=0),"※外销却没有售价，请填实际售价",IF(AND($K2230="对外销售",$T2230&lt;&gt;"",$T2230&lt;0),"※这一笔外销是亏的，请核对售价",IF(IFERROR(VLOOKUP($D2230,库存台账!$A$5:$Y$1204,24,0),0)&lt;-0.001,"※这个物料账面已经变成负数了，查一下是不是漏记入库","")))))))))))</f>
        <v/>
      </c>
    </row>
    <row r="2231">
      <c r="A2231" s="24">
        <f>IF($D2231="","",COUNTA($D$4:$D2231))</f>
        <v/>
      </c>
      <c r="B2231" s="17" t="n"/>
      <c r="C2231" s="30" t="n"/>
      <c r="D2231" s="17" t="n"/>
      <c r="E2231" s="24">
        <f>IF($D2231="","",IFERROR(VLOOKUP($D2231,物料档案!$A$4:$P$1203,3,0),"※编码不在物料档案里"))</f>
        <v/>
      </c>
      <c r="F2231" s="24">
        <f>IF($D2231="","",IFERROR(VLOOKUP($D2231,物料档案!$A$4:$P$1203,4,0),"※编码不在物料档案里"))</f>
        <v/>
      </c>
      <c r="G2231" s="24">
        <f>IF($D2231="","",IFERROR(VLOOKUP($D2231,物料档案!$A$4:$P$1203,5,0),"※编码不在物料档案里"))</f>
        <v/>
      </c>
      <c r="H2231" s="24">
        <f>IF($D2231="","",IFERROR(VLOOKUP($D2231,物料档案!$A$4:$P$1203,2,0),"※编码不在物料档案里"))</f>
        <v/>
      </c>
      <c r="I2231" s="24">
        <f>IF($D2231="","",IFERROR(VLOOKUP($D2231,物料档案!$A$4:$P$1203,6,0),"※编码不在物料档案里"))</f>
        <v/>
      </c>
      <c r="J2231" s="23" t="n"/>
      <c r="K2231" s="17" t="n"/>
      <c r="L2231" s="17" t="n"/>
      <c r="M2231" s="17" t="n"/>
      <c r="N2231" s="17" t="n"/>
      <c r="O2231" s="26">
        <f>IF($D2231="","",IFERROR(VLOOKUP($D2231,物料档案!$A$4:$P$1203,10,0),0))</f>
        <v/>
      </c>
      <c r="P2231" s="32" t="n"/>
      <c r="Q2231" s="26">
        <f>IF($D2231="","",IF($K2231&lt;&gt;"对外销售",0,ROUND(N($J2231)*IF($P2231="",N($O2231),N($P2231)),0)))</f>
        <v/>
      </c>
      <c r="R2231" s="26">
        <f>IF($D2231="","",IFERROR(VLOOKUP($D2231,库存台账!$A$5:$Y$1204,11,0),0))</f>
        <v/>
      </c>
      <c r="S2231" s="26">
        <f>IF($D2231="","",ROUND(N($J2231)*N($R2231),0))</f>
        <v/>
      </c>
      <c r="T2231" s="26">
        <f>IF($D2231="","",IF($K2231&lt;&gt;"对外销售","",ROUND($Q2231-$S2231,0)))</f>
        <v/>
      </c>
      <c r="U2231" s="17" t="n"/>
      <c r="V2231" s="17" t="n"/>
      <c r="W2231" s="24">
        <f>IF($D2231="","",IF($E2231="※编码不在物料档案里","※物料编码不在档案里",IF(N($J2231)&lt;=0,"※出库数量要大于 0",IF($K2231="","※没填去向类型",IF($L2231="","※没填去向矿区",IF(AND($C2231&lt;&gt;"",$C2231&lt;=结账锁),"※日期早于已结账截止日，不能再录",IF(AND($K2231="自用消耗",COUNTIF({"一矿区";"二矿区"},$L2231)=0),"※自用消耗的去向只能是一矿区或二矿区",IF(AND($K2231="对外销售",COUNTIF({"三矿区";"六矿区"},$L2231)=0),"※对外销售的去向只能是三矿区或六矿区",IF(AND($K2231="对外销售",ROUND($Q2231,0)=0),"※外销却没有售价，请填实际售价",IF(AND($K2231="对外销售",$T2231&lt;&gt;"",$T2231&lt;0),"※这一笔外销是亏的，请核对售价",IF(IFERROR(VLOOKUP($D2231,库存台账!$A$5:$Y$1204,24,0),0)&lt;-0.001,"※这个物料账面已经变成负数了，查一下是不是漏记入库","")))))))))))</f>
        <v/>
      </c>
    </row>
    <row r="2232">
      <c r="A2232" s="24">
        <f>IF($D2232="","",COUNTA($D$4:$D2232))</f>
        <v/>
      </c>
      <c r="B2232" s="17" t="n"/>
      <c r="C2232" s="30" t="n"/>
      <c r="D2232" s="17" t="n"/>
      <c r="E2232" s="24">
        <f>IF($D2232="","",IFERROR(VLOOKUP($D2232,物料档案!$A$4:$P$1203,3,0),"※编码不在物料档案里"))</f>
        <v/>
      </c>
      <c r="F2232" s="24">
        <f>IF($D2232="","",IFERROR(VLOOKUP($D2232,物料档案!$A$4:$P$1203,4,0),"※编码不在物料档案里"))</f>
        <v/>
      </c>
      <c r="G2232" s="24">
        <f>IF($D2232="","",IFERROR(VLOOKUP($D2232,物料档案!$A$4:$P$1203,5,0),"※编码不在物料档案里"))</f>
        <v/>
      </c>
      <c r="H2232" s="24">
        <f>IF($D2232="","",IFERROR(VLOOKUP($D2232,物料档案!$A$4:$P$1203,2,0),"※编码不在物料档案里"))</f>
        <v/>
      </c>
      <c r="I2232" s="24">
        <f>IF($D2232="","",IFERROR(VLOOKUP($D2232,物料档案!$A$4:$P$1203,6,0),"※编码不在物料档案里"))</f>
        <v/>
      </c>
      <c r="J2232" s="23" t="n"/>
      <c r="K2232" s="17" t="n"/>
      <c r="L2232" s="17" t="n"/>
      <c r="M2232" s="17" t="n"/>
      <c r="N2232" s="17" t="n"/>
      <c r="O2232" s="26">
        <f>IF($D2232="","",IFERROR(VLOOKUP($D2232,物料档案!$A$4:$P$1203,10,0),0))</f>
        <v/>
      </c>
      <c r="P2232" s="32" t="n"/>
      <c r="Q2232" s="26">
        <f>IF($D2232="","",IF($K2232&lt;&gt;"对外销售",0,ROUND(N($J2232)*IF($P2232="",N($O2232),N($P2232)),0)))</f>
        <v/>
      </c>
      <c r="R2232" s="26">
        <f>IF($D2232="","",IFERROR(VLOOKUP($D2232,库存台账!$A$5:$Y$1204,11,0),0))</f>
        <v/>
      </c>
      <c r="S2232" s="26">
        <f>IF($D2232="","",ROUND(N($J2232)*N($R2232),0))</f>
        <v/>
      </c>
      <c r="T2232" s="26">
        <f>IF($D2232="","",IF($K2232&lt;&gt;"对外销售","",ROUND($Q2232-$S2232,0)))</f>
        <v/>
      </c>
      <c r="U2232" s="17" t="n"/>
      <c r="V2232" s="17" t="n"/>
      <c r="W2232" s="24">
        <f>IF($D2232="","",IF($E2232="※编码不在物料档案里","※物料编码不在档案里",IF(N($J2232)&lt;=0,"※出库数量要大于 0",IF($K2232="","※没填去向类型",IF($L2232="","※没填去向矿区",IF(AND($C2232&lt;&gt;"",$C2232&lt;=结账锁),"※日期早于已结账截止日，不能再录",IF(AND($K2232="自用消耗",COUNTIF({"一矿区";"二矿区"},$L2232)=0),"※自用消耗的去向只能是一矿区或二矿区",IF(AND($K2232="对外销售",COUNTIF({"三矿区";"六矿区"},$L2232)=0),"※对外销售的去向只能是三矿区或六矿区",IF(AND($K2232="对外销售",ROUND($Q2232,0)=0),"※外销却没有售价，请填实际售价",IF(AND($K2232="对外销售",$T2232&lt;&gt;"",$T2232&lt;0),"※这一笔外销是亏的，请核对售价",IF(IFERROR(VLOOKUP($D2232,库存台账!$A$5:$Y$1204,24,0),0)&lt;-0.001,"※这个物料账面已经变成负数了，查一下是不是漏记入库","")))))))))))</f>
        <v/>
      </c>
    </row>
    <row r="2233">
      <c r="A2233" s="24">
        <f>IF($D2233="","",COUNTA($D$4:$D2233))</f>
        <v/>
      </c>
      <c r="B2233" s="17" t="n"/>
      <c r="C2233" s="30" t="n"/>
      <c r="D2233" s="17" t="n"/>
      <c r="E2233" s="24">
        <f>IF($D2233="","",IFERROR(VLOOKUP($D2233,物料档案!$A$4:$P$1203,3,0),"※编码不在物料档案里"))</f>
        <v/>
      </c>
      <c r="F2233" s="24">
        <f>IF($D2233="","",IFERROR(VLOOKUP($D2233,物料档案!$A$4:$P$1203,4,0),"※编码不在物料档案里"))</f>
        <v/>
      </c>
      <c r="G2233" s="24">
        <f>IF($D2233="","",IFERROR(VLOOKUP($D2233,物料档案!$A$4:$P$1203,5,0),"※编码不在物料档案里"))</f>
        <v/>
      </c>
      <c r="H2233" s="24">
        <f>IF($D2233="","",IFERROR(VLOOKUP($D2233,物料档案!$A$4:$P$1203,2,0),"※编码不在物料档案里"))</f>
        <v/>
      </c>
      <c r="I2233" s="24">
        <f>IF($D2233="","",IFERROR(VLOOKUP($D2233,物料档案!$A$4:$P$1203,6,0),"※编码不在物料档案里"))</f>
        <v/>
      </c>
      <c r="J2233" s="23" t="n"/>
      <c r="K2233" s="17" t="n"/>
      <c r="L2233" s="17" t="n"/>
      <c r="M2233" s="17" t="n"/>
      <c r="N2233" s="17" t="n"/>
      <c r="O2233" s="26">
        <f>IF($D2233="","",IFERROR(VLOOKUP($D2233,物料档案!$A$4:$P$1203,10,0),0))</f>
        <v/>
      </c>
      <c r="P2233" s="32" t="n"/>
      <c r="Q2233" s="26">
        <f>IF($D2233="","",IF($K2233&lt;&gt;"对外销售",0,ROUND(N($J2233)*IF($P2233="",N($O2233),N($P2233)),0)))</f>
        <v/>
      </c>
      <c r="R2233" s="26">
        <f>IF($D2233="","",IFERROR(VLOOKUP($D2233,库存台账!$A$5:$Y$1204,11,0),0))</f>
        <v/>
      </c>
      <c r="S2233" s="26">
        <f>IF($D2233="","",ROUND(N($J2233)*N($R2233),0))</f>
        <v/>
      </c>
      <c r="T2233" s="26">
        <f>IF($D2233="","",IF($K2233&lt;&gt;"对外销售","",ROUND($Q2233-$S2233,0)))</f>
        <v/>
      </c>
      <c r="U2233" s="17" t="n"/>
      <c r="V2233" s="17" t="n"/>
      <c r="W2233" s="24">
        <f>IF($D2233="","",IF($E2233="※编码不在物料档案里","※物料编码不在档案里",IF(N($J2233)&lt;=0,"※出库数量要大于 0",IF($K2233="","※没填去向类型",IF($L2233="","※没填去向矿区",IF(AND($C2233&lt;&gt;"",$C2233&lt;=结账锁),"※日期早于已结账截止日，不能再录",IF(AND($K2233="自用消耗",COUNTIF({"一矿区";"二矿区"},$L2233)=0),"※自用消耗的去向只能是一矿区或二矿区",IF(AND($K2233="对外销售",COUNTIF({"三矿区";"六矿区"},$L2233)=0),"※对外销售的去向只能是三矿区或六矿区",IF(AND($K2233="对外销售",ROUND($Q2233,0)=0),"※外销却没有售价，请填实际售价",IF(AND($K2233="对外销售",$T2233&lt;&gt;"",$T2233&lt;0),"※这一笔外销是亏的，请核对售价",IF(IFERROR(VLOOKUP($D2233,库存台账!$A$5:$Y$1204,24,0),0)&lt;-0.001,"※这个物料账面已经变成负数了，查一下是不是漏记入库","")))))))))))</f>
        <v/>
      </c>
    </row>
    <row r="2234">
      <c r="A2234" s="24">
        <f>IF($D2234="","",COUNTA($D$4:$D2234))</f>
        <v/>
      </c>
      <c r="B2234" s="17" t="n"/>
      <c r="C2234" s="30" t="n"/>
      <c r="D2234" s="17" t="n"/>
      <c r="E2234" s="24">
        <f>IF($D2234="","",IFERROR(VLOOKUP($D2234,物料档案!$A$4:$P$1203,3,0),"※编码不在物料档案里"))</f>
        <v/>
      </c>
      <c r="F2234" s="24">
        <f>IF($D2234="","",IFERROR(VLOOKUP($D2234,物料档案!$A$4:$P$1203,4,0),"※编码不在物料档案里"))</f>
        <v/>
      </c>
      <c r="G2234" s="24">
        <f>IF($D2234="","",IFERROR(VLOOKUP($D2234,物料档案!$A$4:$P$1203,5,0),"※编码不在物料档案里"))</f>
        <v/>
      </c>
      <c r="H2234" s="24">
        <f>IF($D2234="","",IFERROR(VLOOKUP($D2234,物料档案!$A$4:$P$1203,2,0),"※编码不在物料档案里"))</f>
        <v/>
      </c>
      <c r="I2234" s="24">
        <f>IF($D2234="","",IFERROR(VLOOKUP($D2234,物料档案!$A$4:$P$1203,6,0),"※编码不在物料档案里"))</f>
        <v/>
      </c>
      <c r="J2234" s="23" t="n"/>
      <c r="K2234" s="17" t="n"/>
      <c r="L2234" s="17" t="n"/>
      <c r="M2234" s="17" t="n"/>
      <c r="N2234" s="17" t="n"/>
      <c r="O2234" s="26">
        <f>IF($D2234="","",IFERROR(VLOOKUP($D2234,物料档案!$A$4:$P$1203,10,0),0))</f>
        <v/>
      </c>
      <c r="P2234" s="32" t="n"/>
      <c r="Q2234" s="26">
        <f>IF($D2234="","",IF($K2234&lt;&gt;"对外销售",0,ROUND(N($J2234)*IF($P2234="",N($O2234),N($P2234)),0)))</f>
        <v/>
      </c>
      <c r="R2234" s="26">
        <f>IF($D2234="","",IFERROR(VLOOKUP($D2234,库存台账!$A$5:$Y$1204,11,0),0))</f>
        <v/>
      </c>
      <c r="S2234" s="26">
        <f>IF($D2234="","",ROUND(N($J2234)*N($R2234),0))</f>
        <v/>
      </c>
      <c r="T2234" s="26">
        <f>IF($D2234="","",IF($K2234&lt;&gt;"对外销售","",ROUND($Q2234-$S2234,0)))</f>
        <v/>
      </c>
      <c r="U2234" s="17" t="n"/>
      <c r="V2234" s="17" t="n"/>
      <c r="W2234" s="24">
        <f>IF($D2234="","",IF($E2234="※编码不在物料档案里","※物料编码不在档案里",IF(N($J2234)&lt;=0,"※出库数量要大于 0",IF($K2234="","※没填去向类型",IF($L2234="","※没填去向矿区",IF(AND($C2234&lt;&gt;"",$C2234&lt;=结账锁),"※日期早于已结账截止日，不能再录",IF(AND($K2234="自用消耗",COUNTIF({"一矿区";"二矿区"},$L2234)=0),"※自用消耗的去向只能是一矿区或二矿区",IF(AND($K2234="对外销售",COUNTIF({"三矿区";"六矿区"},$L2234)=0),"※对外销售的去向只能是三矿区或六矿区",IF(AND($K2234="对外销售",ROUND($Q2234,0)=0),"※外销却没有售价，请填实际售价",IF(AND($K2234="对外销售",$T2234&lt;&gt;"",$T2234&lt;0),"※这一笔外销是亏的，请核对售价",IF(IFERROR(VLOOKUP($D2234,库存台账!$A$5:$Y$1204,24,0),0)&lt;-0.001,"※这个物料账面已经变成负数了，查一下是不是漏记入库","")))))))))))</f>
        <v/>
      </c>
    </row>
    <row r="2235">
      <c r="A2235" s="24">
        <f>IF($D2235="","",COUNTA($D$4:$D2235))</f>
        <v/>
      </c>
      <c r="B2235" s="17" t="n"/>
      <c r="C2235" s="30" t="n"/>
      <c r="D2235" s="17" t="n"/>
      <c r="E2235" s="24">
        <f>IF($D2235="","",IFERROR(VLOOKUP($D2235,物料档案!$A$4:$P$1203,3,0),"※编码不在物料档案里"))</f>
        <v/>
      </c>
      <c r="F2235" s="24">
        <f>IF($D2235="","",IFERROR(VLOOKUP($D2235,物料档案!$A$4:$P$1203,4,0),"※编码不在物料档案里"))</f>
        <v/>
      </c>
      <c r="G2235" s="24">
        <f>IF($D2235="","",IFERROR(VLOOKUP($D2235,物料档案!$A$4:$P$1203,5,0),"※编码不在物料档案里"))</f>
        <v/>
      </c>
      <c r="H2235" s="24">
        <f>IF($D2235="","",IFERROR(VLOOKUP($D2235,物料档案!$A$4:$P$1203,2,0),"※编码不在物料档案里"))</f>
        <v/>
      </c>
      <c r="I2235" s="24">
        <f>IF($D2235="","",IFERROR(VLOOKUP($D2235,物料档案!$A$4:$P$1203,6,0),"※编码不在物料档案里"))</f>
        <v/>
      </c>
      <c r="J2235" s="23" t="n"/>
      <c r="K2235" s="17" t="n"/>
      <c r="L2235" s="17" t="n"/>
      <c r="M2235" s="17" t="n"/>
      <c r="N2235" s="17" t="n"/>
      <c r="O2235" s="26">
        <f>IF($D2235="","",IFERROR(VLOOKUP($D2235,物料档案!$A$4:$P$1203,10,0),0))</f>
        <v/>
      </c>
      <c r="P2235" s="32" t="n"/>
      <c r="Q2235" s="26">
        <f>IF($D2235="","",IF($K2235&lt;&gt;"对外销售",0,ROUND(N($J2235)*IF($P2235="",N($O2235),N($P2235)),0)))</f>
        <v/>
      </c>
      <c r="R2235" s="26">
        <f>IF($D2235="","",IFERROR(VLOOKUP($D2235,库存台账!$A$5:$Y$1204,11,0),0))</f>
        <v/>
      </c>
      <c r="S2235" s="26">
        <f>IF($D2235="","",ROUND(N($J2235)*N($R2235),0))</f>
        <v/>
      </c>
      <c r="T2235" s="26">
        <f>IF($D2235="","",IF($K2235&lt;&gt;"对外销售","",ROUND($Q2235-$S2235,0)))</f>
        <v/>
      </c>
      <c r="U2235" s="17" t="n"/>
      <c r="V2235" s="17" t="n"/>
      <c r="W2235" s="24">
        <f>IF($D2235="","",IF($E2235="※编码不在物料档案里","※物料编码不在档案里",IF(N($J2235)&lt;=0,"※出库数量要大于 0",IF($K2235="","※没填去向类型",IF($L2235="","※没填去向矿区",IF(AND($C2235&lt;&gt;"",$C2235&lt;=结账锁),"※日期早于已结账截止日，不能再录",IF(AND($K2235="自用消耗",COUNTIF({"一矿区";"二矿区"},$L2235)=0),"※自用消耗的去向只能是一矿区或二矿区",IF(AND($K2235="对外销售",COUNTIF({"三矿区";"六矿区"},$L2235)=0),"※对外销售的去向只能是三矿区或六矿区",IF(AND($K2235="对外销售",ROUND($Q2235,0)=0),"※外销却没有售价，请填实际售价",IF(AND($K2235="对外销售",$T2235&lt;&gt;"",$T2235&lt;0),"※这一笔外销是亏的，请核对售价",IF(IFERROR(VLOOKUP($D2235,库存台账!$A$5:$Y$1204,24,0),0)&lt;-0.001,"※这个物料账面已经变成负数了，查一下是不是漏记入库","")))))))))))</f>
        <v/>
      </c>
    </row>
    <row r="2236">
      <c r="A2236" s="24">
        <f>IF($D2236="","",COUNTA($D$4:$D2236))</f>
        <v/>
      </c>
      <c r="B2236" s="17" t="n"/>
      <c r="C2236" s="30" t="n"/>
      <c r="D2236" s="17" t="n"/>
      <c r="E2236" s="24">
        <f>IF($D2236="","",IFERROR(VLOOKUP($D2236,物料档案!$A$4:$P$1203,3,0),"※编码不在物料档案里"))</f>
        <v/>
      </c>
      <c r="F2236" s="24">
        <f>IF($D2236="","",IFERROR(VLOOKUP($D2236,物料档案!$A$4:$P$1203,4,0),"※编码不在物料档案里"))</f>
        <v/>
      </c>
      <c r="G2236" s="24">
        <f>IF($D2236="","",IFERROR(VLOOKUP($D2236,物料档案!$A$4:$P$1203,5,0),"※编码不在物料档案里"))</f>
        <v/>
      </c>
      <c r="H2236" s="24">
        <f>IF($D2236="","",IFERROR(VLOOKUP($D2236,物料档案!$A$4:$P$1203,2,0),"※编码不在物料档案里"))</f>
        <v/>
      </c>
      <c r="I2236" s="24">
        <f>IF($D2236="","",IFERROR(VLOOKUP($D2236,物料档案!$A$4:$P$1203,6,0),"※编码不在物料档案里"))</f>
        <v/>
      </c>
      <c r="J2236" s="23" t="n"/>
      <c r="K2236" s="17" t="n"/>
      <c r="L2236" s="17" t="n"/>
      <c r="M2236" s="17" t="n"/>
      <c r="N2236" s="17" t="n"/>
      <c r="O2236" s="26">
        <f>IF($D2236="","",IFERROR(VLOOKUP($D2236,物料档案!$A$4:$P$1203,10,0),0))</f>
        <v/>
      </c>
      <c r="P2236" s="32" t="n"/>
      <c r="Q2236" s="26">
        <f>IF($D2236="","",IF($K2236&lt;&gt;"对外销售",0,ROUND(N($J2236)*IF($P2236="",N($O2236),N($P2236)),0)))</f>
        <v/>
      </c>
      <c r="R2236" s="26">
        <f>IF($D2236="","",IFERROR(VLOOKUP($D2236,库存台账!$A$5:$Y$1204,11,0),0))</f>
        <v/>
      </c>
      <c r="S2236" s="26">
        <f>IF($D2236="","",ROUND(N($J2236)*N($R2236),0))</f>
        <v/>
      </c>
      <c r="T2236" s="26">
        <f>IF($D2236="","",IF($K2236&lt;&gt;"对外销售","",ROUND($Q2236-$S2236,0)))</f>
        <v/>
      </c>
      <c r="U2236" s="17" t="n"/>
      <c r="V2236" s="17" t="n"/>
      <c r="W2236" s="24">
        <f>IF($D2236="","",IF($E2236="※编码不在物料档案里","※物料编码不在档案里",IF(N($J2236)&lt;=0,"※出库数量要大于 0",IF($K2236="","※没填去向类型",IF($L2236="","※没填去向矿区",IF(AND($C2236&lt;&gt;"",$C2236&lt;=结账锁),"※日期早于已结账截止日，不能再录",IF(AND($K2236="自用消耗",COUNTIF({"一矿区";"二矿区"},$L2236)=0),"※自用消耗的去向只能是一矿区或二矿区",IF(AND($K2236="对外销售",COUNTIF({"三矿区";"六矿区"},$L2236)=0),"※对外销售的去向只能是三矿区或六矿区",IF(AND($K2236="对外销售",ROUND($Q2236,0)=0),"※外销却没有售价，请填实际售价",IF(AND($K2236="对外销售",$T2236&lt;&gt;"",$T2236&lt;0),"※这一笔外销是亏的，请核对售价",IF(IFERROR(VLOOKUP($D2236,库存台账!$A$5:$Y$1204,24,0),0)&lt;-0.001,"※这个物料账面已经变成负数了，查一下是不是漏记入库","")))))))))))</f>
        <v/>
      </c>
    </row>
    <row r="2237">
      <c r="A2237" s="24">
        <f>IF($D2237="","",COUNTA($D$4:$D2237))</f>
        <v/>
      </c>
      <c r="B2237" s="17" t="n"/>
      <c r="C2237" s="30" t="n"/>
      <c r="D2237" s="17" t="n"/>
      <c r="E2237" s="24">
        <f>IF($D2237="","",IFERROR(VLOOKUP($D2237,物料档案!$A$4:$P$1203,3,0),"※编码不在物料档案里"))</f>
        <v/>
      </c>
      <c r="F2237" s="24">
        <f>IF($D2237="","",IFERROR(VLOOKUP($D2237,物料档案!$A$4:$P$1203,4,0),"※编码不在物料档案里"))</f>
        <v/>
      </c>
      <c r="G2237" s="24">
        <f>IF($D2237="","",IFERROR(VLOOKUP($D2237,物料档案!$A$4:$P$1203,5,0),"※编码不在物料档案里"))</f>
        <v/>
      </c>
      <c r="H2237" s="24">
        <f>IF($D2237="","",IFERROR(VLOOKUP($D2237,物料档案!$A$4:$P$1203,2,0),"※编码不在物料档案里"))</f>
        <v/>
      </c>
      <c r="I2237" s="24">
        <f>IF($D2237="","",IFERROR(VLOOKUP($D2237,物料档案!$A$4:$P$1203,6,0),"※编码不在物料档案里"))</f>
        <v/>
      </c>
      <c r="J2237" s="23" t="n"/>
      <c r="K2237" s="17" t="n"/>
      <c r="L2237" s="17" t="n"/>
      <c r="M2237" s="17" t="n"/>
      <c r="N2237" s="17" t="n"/>
      <c r="O2237" s="26">
        <f>IF($D2237="","",IFERROR(VLOOKUP($D2237,物料档案!$A$4:$P$1203,10,0),0))</f>
        <v/>
      </c>
      <c r="P2237" s="32" t="n"/>
      <c r="Q2237" s="26">
        <f>IF($D2237="","",IF($K2237&lt;&gt;"对外销售",0,ROUND(N($J2237)*IF($P2237="",N($O2237),N($P2237)),0)))</f>
        <v/>
      </c>
      <c r="R2237" s="26">
        <f>IF($D2237="","",IFERROR(VLOOKUP($D2237,库存台账!$A$5:$Y$1204,11,0),0))</f>
        <v/>
      </c>
      <c r="S2237" s="26">
        <f>IF($D2237="","",ROUND(N($J2237)*N($R2237),0))</f>
        <v/>
      </c>
      <c r="T2237" s="26">
        <f>IF($D2237="","",IF($K2237&lt;&gt;"对外销售","",ROUND($Q2237-$S2237,0)))</f>
        <v/>
      </c>
      <c r="U2237" s="17" t="n"/>
      <c r="V2237" s="17" t="n"/>
      <c r="W2237" s="24">
        <f>IF($D2237="","",IF($E2237="※编码不在物料档案里","※物料编码不在档案里",IF(N($J2237)&lt;=0,"※出库数量要大于 0",IF($K2237="","※没填去向类型",IF($L2237="","※没填去向矿区",IF(AND($C2237&lt;&gt;"",$C2237&lt;=结账锁),"※日期早于已结账截止日，不能再录",IF(AND($K2237="自用消耗",COUNTIF({"一矿区";"二矿区"},$L2237)=0),"※自用消耗的去向只能是一矿区或二矿区",IF(AND($K2237="对外销售",COUNTIF({"三矿区";"六矿区"},$L2237)=0),"※对外销售的去向只能是三矿区或六矿区",IF(AND($K2237="对外销售",ROUND($Q2237,0)=0),"※外销却没有售价，请填实际售价",IF(AND($K2237="对外销售",$T2237&lt;&gt;"",$T2237&lt;0),"※这一笔外销是亏的，请核对售价",IF(IFERROR(VLOOKUP($D2237,库存台账!$A$5:$Y$1204,24,0),0)&lt;-0.001,"※这个物料账面已经变成负数了，查一下是不是漏记入库","")))))))))))</f>
        <v/>
      </c>
    </row>
    <row r="2238">
      <c r="A2238" s="24">
        <f>IF($D2238="","",COUNTA($D$4:$D2238))</f>
        <v/>
      </c>
      <c r="B2238" s="17" t="n"/>
      <c r="C2238" s="30" t="n"/>
      <c r="D2238" s="17" t="n"/>
      <c r="E2238" s="24">
        <f>IF($D2238="","",IFERROR(VLOOKUP($D2238,物料档案!$A$4:$P$1203,3,0),"※编码不在物料档案里"))</f>
        <v/>
      </c>
      <c r="F2238" s="24">
        <f>IF($D2238="","",IFERROR(VLOOKUP($D2238,物料档案!$A$4:$P$1203,4,0),"※编码不在物料档案里"))</f>
        <v/>
      </c>
      <c r="G2238" s="24">
        <f>IF($D2238="","",IFERROR(VLOOKUP($D2238,物料档案!$A$4:$P$1203,5,0),"※编码不在物料档案里"))</f>
        <v/>
      </c>
      <c r="H2238" s="24">
        <f>IF($D2238="","",IFERROR(VLOOKUP($D2238,物料档案!$A$4:$P$1203,2,0),"※编码不在物料档案里"))</f>
        <v/>
      </c>
      <c r="I2238" s="24">
        <f>IF($D2238="","",IFERROR(VLOOKUP($D2238,物料档案!$A$4:$P$1203,6,0),"※编码不在物料档案里"))</f>
        <v/>
      </c>
      <c r="J2238" s="23" t="n"/>
      <c r="K2238" s="17" t="n"/>
      <c r="L2238" s="17" t="n"/>
      <c r="M2238" s="17" t="n"/>
      <c r="N2238" s="17" t="n"/>
      <c r="O2238" s="26">
        <f>IF($D2238="","",IFERROR(VLOOKUP($D2238,物料档案!$A$4:$P$1203,10,0),0))</f>
        <v/>
      </c>
      <c r="P2238" s="32" t="n"/>
      <c r="Q2238" s="26">
        <f>IF($D2238="","",IF($K2238&lt;&gt;"对外销售",0,ROUND(N($J2238)*IF($P2238="",N($O2238),N($P2238)),0)))</f>
        <v/>
      </c>
      <c r="R2238" s="26">
        <f>IF($D2238="","",IFERROR(VLOOKUP($D2238,库存台账!$A$5:$Y$1204,11,0),0))</f>
        <v/>
      </c>
      <c r="S2238" s="26">
        <f>IF($D2238="","",ROUND(N($J2238)*N($R2238),0))</f>
        <v/>
      </c>
      <c r="T2238" s="26">
        <f>IF($D2238="","",IF($K2238&lt;&gt;"对外销售","",ROUND($Q2238-$S2238,0)))</f>
        <v/>
      </c>
      <c r="U2238" s="17" t="n"/>
      <c r="V2238" s="17" t="n"/>
      <c r="W2238" s="24">
        <f>IF($D2238="","",IF($E2238="※编码不在物料档案里","※物料编码不在档案里",IF(N($J2238)&lt;=0,"※出库数量要大于 0",IF($K2238="","※没填去向类型",IF($L2238="","※没填去向矿区",IF(AND($C2238&lt;&gt;"",$C2238&lt;=结账锁),"※日期早于已结账截止日，不能再录",IF(AND($K2238="自用消耗",COUNTIF({"一矿区";"二矿区"},$L2238)=0),"※自用消耗的去向只能是一矿区或二矿区",IF(AND($K2238="对外销售",COUNTIF({"三矿区";"六矿区"},$L2238)=0),"※对外销售的去向只能是三矿区或六矿区",IF(AND($K2238="对外销售",ROUND($Q2238,0)=0),"※外销却没有售价，请填实际售价",IF(AND($K2238="对外销售",$T2238&lt;&gt;"",$T2238&lt;0),"※这一笔外销是亏的，请核对售价",IF(IFERROR(VLOOKUP($D2238,库存台账!$A$5:$Y$1204,24,0),0)&lt;-0.001,"※这个物料账面已经变成负数了，查一下是不是漏记入库","")))))))))))</f>
        <v/>
      </c>
    </row>
    <row r="2239">
      <c r="A2239" s="24">
        <f>IF($D2239="","",COUNTA($D$4:$D2239))</f>
        <v/>
      </c>
      <c r="B2239" s="17" t="n"/>
      <c r="C2239" s="30" t="n"/>
      <c r="D2239" s="17" t="n"/>
      <c r="E2239" s="24">
        <f>IF($D2239="","",IFERROR(VLOOKUP($D2239,物料档案!$A$4:$P$1203,3,0),"※编码不在物料档案里"))</f>
        <v/>
      </c>
      <c r="F2239" s="24">
        <f>IF($D2239="","",IFERROR(VLOOKUP($D2239,物料档案!$A$4:$P$1203,4,0),"※编码不在物料档案里"))</f>
        <v/>
      </c>
      <c r="G2239" s="24">
        <f>IF($D2239="","",IFERROR(VLOOKUP($D2239,物料档案!$A$4:$P$1203,5,0),"※编码不在物料档案里"))</f>
        <v/>
      </c>
      <c r="H2239" s="24">
        <f>IF($D2239="","",IFERROR(VLOOKUP($D2239,物料档案!$A$4:$P$1203,2,0),"※编码不在物料档案里"))</f>
        <v/>
      </c>
      <c r="I2239" s="24">
        <f>IF($D2239="","",IFERROR(VLOOKUP($D2239,物料档案!$A$4:$P$1203,6,0),"※编码不在物料档案里"))</f>
        <v/>
      </c>
      <c r="J2239" s="23" t="n"/>
      <c r="K2239" s="17" t="n"/>
      <c r="L2239" s="17" t="n"/>
      <c r="M2239" s="17" t="n"/>
      <c r="N2239" s="17" t="n"/>
      <c r="O2239" s="26">
        <f>IF($D2239="","",IFERROR(VLOOKUP($D2239,物料档案!$A$4:$P$1203,10,0),0))</f>
        <v/>
      </c>
      <c r="P2239" s="32" t="n"/>
      <c r="Q2239" s="26">
        <f>IF($D2239="","",IF($K2239&lt;&gt;"对外销售",0,ROUND(N($J2239)*IF($P2239="",N($O2239),N($P2239)),0)))</f>
        <v/>
      </c>
      <c r="R2239" s="26">
        <f>IF($D2239="","",IFERROR(VLOOKUP($D2239,库存台账!$A$5:$Y$1204,11,0),0))</f>
        <v/>
      </c>
      <c r="S2239" s="26">
        <f>IF($D2239="","",ROUND(N($J2239)*N($R2239),0))</f>
        <v/>
      </c>
      <c r="T2239" s="26">
        <f>IF($D2239="","",IF($K2239&lt;&gt;"对外销售","",ROUND($Q2239-$S2239,0)))</f>
        <v/>
      </c>
      <c r="U2239" s="17" t="n"/>
      <c r="V2239" s="17" t="n"/>
      <c r="W2239" s="24">
        <f>IF($D2239="","",IF($E2239="※编码不在物料档案里","※物料编码不在档案里",IF(N($J2239)&lt;=0,"※出库数量要大于 0",IF($K2239="","※没填去向类型",IF($L2239="","※没填去向矿区",IF(AND($C2239&lt;&gt;"",$C2239&lt;=结账锁),"※日期早于已结账截止日，不能再录",IF(AND($K2239="自用消耗",COUNTIF({"一矿区";"二矿区"},$L2239)=0),"※自用消耗的去向只能是一矿区或二矿区",IF(AND($K2239="对外销售",COUNTIF({"三矿区";"六矿区"},$L2239)=0),"※对外销售的去向只能是三矿区或六矿区",IF(AND($K2239="对外销售",ROUND($Q2239,0)=0),"※外销却没有售价，请填实际售价",IF(AND($K2239="对外销售",$T2239&lt;&gt;"",$T2239&lt;0),"※这一笔外销是亏的，请核对售价",IF(IFERROR(VLOOKUP($D2239,库存台账!$A$5:$Y$1204,24,0),0)&lt;-0.001,"※这个物料账面已经变成负数了，查一下是不是漏记入库","")))))))))))</f>
        <v/>
      </c>
    </row>
    <row r="2240">
      <c r="A2240" s="24">
        <f>IF($D2240="","",COUNTA($D$4:$D2240))</f>
        <v/>
      </c>
      <c r="B2240" s="17" t="n"/>
      <c r="C2240" s="30" t="n"/>
      <c r="D2240" s="17" t="n"/>
      <c r="E2240" s="24">
        <f>IF($D2240="","",IFERROR(VLOOKUP($D2240,物料档案!$A$4:$P$1203,3,0),"※编码不在物料档案里"))</f>
        <v/>
      </c>
      <c r="F2240" s="24">
        <f>IF($D2240="","",IFERROR(VLOOKUP($D2240,物料档案!$A$4:$P$1203,4,0),"※编码不在物料档案里"))</f>
        <v/>
      </c>
      <c r="G2240" s="24">
        <f>IF($D2240="","",IFERROR(VLOOKUP($D2240,物料档案!$A$4:$P$1203,5,0),"※编码不在物料档案里"))</f>
        <v/>
      </c>
      <c r="H2240" s="24">
        <f>IF($D2240="","",IFERROR(VLOOKUP($D2240,物料档案!$A$4:$P$1203,2,0),"※编码不在物料档案里"))</f>
        <v/>
      </c>
      <c r="I2240" s="24">
        <f>IF($D2240="","",IFERROR(VLOOKUP($D2240,物料档案!$A$4:$P$1203,6,0),"※编码不在物料档案里"))</f>
        <v/>
      </c>
      <c r="J2240" s="23" t="n"/>
      <c r="K2240" s="17" t="n"/>
      <c r="L2240" s="17" t="n"/>
      <c r="M2240" s="17" t="n"/>
      <c r="N2240" s="17" t="n"/>
      <c r="O2240" s="26">
        <f>IF($D2240="","",IFERROR(VLOOKUP($D2240,物料档案!$A$4:$P$1203,10,0),0))</f>
        <v/>
      </c>
      <c r="P2240" s="32" t="n"/>
      <c r="Q2240" s="26">
        <f>IF($D2240="","",IF($K2240&lt;&gt;"对外销售",0,ROUND(N($J2240)*IF($P2240="",N($O2240),N($P2240)),0)))</f>
        <v/>
      </c>
      <c r="R2240" s="26">
        <f>IF($D2240="","",IFERROR(VLOOKUP($D2240,库存台账!$A$5:$Y$1204,11,0),0))</f>
        <v/>
      </c>
      <c r="S2240" s="26">
        <f>IF($D2240="","",ROUND(N($J2240)*N($R2240),0))</f>
        <v/>
      </c>
      <c r="T2240" s="26">
        <f>IF($D2240="","",IF($K2240&lt;&gt;"对外销售","",ROUND($Q2240-$S2240,0)))</f>
        <v/>
      </c>
      <c r="U2240" s="17" t="n"/>
      <c r="V2240" s="17" t="n"/>
      <c r="W2240" s="24">
        <f>IF($D2240="","",IF($E2240="※编码不在物料档案里","※物料编码不在档案里",IF(N($J2240)&lt;=0,"※出库数量要大于 0",IF($K2240="","※没填去向类型",IF($L2240="","※没填去向矿区",IF(AND($C2240&lt;&gt;"",$C2240&lt;=结账锁),"※日期早于已结账截止日，不能再录",IF(AND($K2240="自用消耗",COUNTIF({"一矿区";"二矿区"},$L2240)=0),"※自用消耗的去向只能是一矿区或二矿区",IF(AND($K2240="对外销售",COUNTIF({"三矿区";"六矿区"},$L2240)=0),"※对外销售的去向只能是三矿区或六矿区",IF(AND($K2240="对外销售",ROUND($Q2240,0)=0),"※外销却没有售价，请填实际售价",IF(AND($K2240="对外销售",$T2240&lt;&gt;"",$T2240&lt;0),"※这一笔外销是亏的，请核对售价",IF(IFERROR(VLOOKUP($D2240,库存台账!$A$5:$Y$1204,24,0),0)&lt;-0.001,"※这个物料账面已经变成负数了，查一下是不是漏记入库","")))))))))))</f>
        <v/>
      </c>
    </row>
    <row r="2241">
      <c r="A2241" s="24">
        <f>IF($D2241="","",COUNTA($D$4:$D2241))</f>
        <v/>
      </c>
      <c r="B2241" s="17" t="n"/>
      <c r="C2241" s="30" t="n"/>
      <c r="D2241" s="17" t="n"/>
      <c r="E2241" s="24">
        <f>IF($D2241="","",IFERROR(VLOOKUP($D2241,物料档案!$A$4:$P$1203,3,0),"※编码不在物料档案里"))</f>
        <v/>
      </c>
      <c r="F2241" s="24">
        <f>IF($D2241="","",IFERROR(VLOOKUP($D2241,物料档案!$A$4:$P$1203,4,0),"※编码不在物料档案里"))</f>
        <v/>
      </c>
      <c r="G2241" s="24">
        <f>IF($D2241="","",IFERROR(VLOOKUP($D2241,物料档案!$A$4:$P$1203,5,0),"※编码不在物料档案里"))</f>
        <v/>
      </c>
      <c r="H2241" s="24">
        <f>IF($D2241="","",IFERROR(VLOOKUP($D2241,物料档案!$A$4:$P$1203,2,0),"※编码不在物料档案里"))</f>
        <v/>
      </c>
      <c r="I2241" s="24">
        <f>IF($D2241="","",IFERROR(VLOOKUP($D2241,物料档案!$A$4:$P$1203,6,0),"※编码不在物料档案里"))</f>
        <v/>
      </c>
      <c r="J2241" s="23" t="n"/>
      <c r="K2241" s="17" t="n"/>
      <c r="L2241" s="17" t="n"/>
      <c r="M2241" s="17" t="n"/>
      <c r="N2241" s="17" t="n"/>
      <c r="O2241" s="26">
        <f>IF($D2241="","",IFERROR(VLOOKUP($D2241,物料档案!$A$4:$P$1203,10,0),0))</f>
        <v/>
      </c>
      <c r="P2241" s="32" t="n"/>
      <c r="Q2241" s="26">
        <f>IF($D2241="","",IF($K2241&lt;&gt;"对外销售",0,ROUND(N($J2241)*IF($P2241="",N($O2241),N($P2241)),0)))</f>
        <v/>
      </c>
      <c r="R2241" s="26">
        <f>IF($D2241="","",IFERROR(VLOOKUP($D2241,库存台账!$A$5:$Y$1204,11,0),0))</f>
        <v/>
      </c>
      <c r="S2241" s="26">
        <f>IF($D2241="","",ROUND(N($J2241)*N($R2241),0))</f>
        <v/>
      </c>
      <c r="T2241" s="26">
        <f>IF($D2241="","",IF($K2241&lt;&gt;"对外销售","",ROUND($Q2241-$S2241,0)))</f>
        <v/>
      </c>
      <c r="U2241" s="17" t="n"/>
      <c r="V2241" s="17" t="n"/>
      <c r="W2241" s="24">
        <f>IF($D2241="","",IF($E2241="※编码不在物料档案里","※物料编码不在档案里",IF(N($J2241)&lt;=0,"※出库数量要大于 0",IF($K2241="","※没填去向类型",IF($L2241="","※没填去向矿区",IF(AND($C2241&lt;&gt;"",$C2241&lt;=结账锁),"※日期早于已结账截止日，不能再录",IF(AND($K2241="自用消耗",COUNTIF({"一矿区";"二矿区"},$L2241)=0),"※自用消耗的去向只能是一矿区或二矿区",IF(AND($K2241="对外销售",COUNTIF({"三矿区";"六矿区"},$L2241)=0),"※对外销售的去向只能是三矿区或六矿区",IF(AND($K2241="对外销售",ROUND($Q2241,0)=0),"※外销却没有售价，请填实际售价",IF(AND($K2241="对外销售",$T2241&lt;&gt;"",$T2241&lt;0),"※这一笔外销是亏的，请核对售价",IF(IFERROR(VLOOKUP($D2241,库存台账!$A$5:$Y$1204,24,0),0)&lt;-0.001,"※这个物料账面已经变成负数了，查一下是不是漏记入库","")))))))))))</f>
        <v/>
      </c>
    </row>
    <row r="2242">
      <c r="A2242" s="24">
        <f>IF($D2242="","",COUNTA($D$4:$D2242))</f>
        <v/>
      </c>
      <c r="B2242" s="17" t="n"/>
      <c r="C2242" s="30" t="n"/>
      <c r="D2242" s="17" t="n"/>
      <c r="E2242" s="24">
        <f>IF($D2242="","",IFERROR(VLOOKUP($D2242,物料档案!$A$4:$P$1203,3,0),"※编码不在物料档案里"))</f>
        <v/>
      </c>
      <c r="F2242" s="24">
        <f>IF($D2242="","",IFERROR(VLOOKUP($D2242,物料档案!$A$4:$P$1203,4,0),"※编码不在物料档案里"))</f>
        <v/>
      </c>
      <c r="G2242" s="24">
        <f>IF($D2242="","",IFERROR(VLOOKUP($D2242,物料档案!$A$4:$P$1203,5,0),"※编码不在物料档案里"))</f>
        <v/>
      </c>
      <c r="H2242" s="24">
        <f>IF($D2242="","",IFERROR(VLOOKUP($D2242,物料档案!$A$4:$P$1203,2,0),"※编码不在物料档案里"))</f>
        <v/>
      </c>
      <c r="I2242" s="24">
        <f>IF($D2242="","",IFERROR(VLOOKUP($D2242,物料档案!$A$4:$P$1203,6,0),"※编码不在物料档案里"))</f>
        <v/>
      </c>
      <c r="J2242" s="23" t="n"/>
      <c r="K2242" s="17" t="n"/>
      <c r="L2242" s="17" t="n"/>
      <c r="M2242" s="17" t="n"/>
      <c r="N2242" s="17" t="n"/>
      <c r="O2242" s="26">
        <f>IF($D2242="","",IFERROR(VLOOKUP($D2242,物料档案!$A$4:$P$1203,10,0),0))</f>
        <v/>
      </c>
      <c r="P2242" s="32" t="n"/>
      <c r="Q2242" s="26">
        <f>IF($D2242="","",IF($K2242&lt;&gt;"对外销售",0,ROUND(N($J2242)*IF($P2242="",N($O2242),N($P2242)),0)))</f>
        <v/>
      </c>
      <c r="R2242" s="26">
        <f>IF($D2242="","",IFERROR(VLOOKUP($D2242,库存台账!$A$5:$Y$1204,11,0),0))</f>
        <v/>
      </c>
      <c r="S2242" s="26">
        <f>IF($D2242="","",ROUND(N($J2242)*N($R2242),0))</f>
        <v/>
      </c>
      <c r="T2242" s="26">
        <f>IF($D2242="","",IF($K2242&lt;&gt;"对外销售","",ROUND($Q2242-$S2242,0)))</f>
        <v/>
      </c>
      <c r="U2242" s="17" t="n"/>
      <c r="V2242" s="17" t="n"/>
      <c r="W2242" s="24">
        <f>IF($D2242="","",IF($E2242="※编码不在物料档案里","※物料编码不在档案里",IF(N($J2242)&lt;=0,"※出库数量要大于 0",IF($K2242="","※没填去向类型",IF($L2242="","※没填去向矿区",IF(AND($C2242&lt;&gt;"",$C2242&lt;=结账锁),"※日期早于已结账截止日，不能再录",IF(AND($K2242="自用消耗",COUNTIF({"一矿区";"二矿区"},$L2242)=0),"※自用消耗的去向只能是一矿区或二矿区",IF(AND($K2242="对外销售",COUNTIF({"三矿区";"六矿区"},$L2242)=0),"※对外销售的去向只能是三矿区或六矿区",IF(AND($K2242="对外销售",ROUND($Q2242,0)=0),"※外销却没有售价，请填实际售价",IF(AND($K2242="对外销售",$T2242&lt;&gt;"",$T2242&lt;0),"※这一笔外销是亏的，请核对售价",IF(IFERROR(VLOOKUP($D2242,库存台账!$A$5:$Y$1204,24,0),0)&lt;-0.001,"※这个物料账面已经变成负数了，查一下是不是漏记入库","")))))))))))</f>
        <v/>
      </c>
    </row>
    <row r="2243">
      <c r="A2243" s="24">
        <f>IF($D2243="","",COUNTA($D$4:$D2243))</f>
        <v/>
      </c>
      <c r="B2243" s="17" t="n"/>
      <c r="C2243" s="30" t="n"/>
      <c r="D2243" s="17" t="n"/>
      <c r="E2243" s="24">
        <f>IF($D2243="","",IFERROR(VLOOKUP($D2243,物料档案!$A$4:$P$1203,3,0),"※编码不在物料档案里"))</f>
        <v/>
      </c>
      <c r="F2243" s="24">
        <f>IF($D2243="","",IFERROR(VLOOKUP($D2243,物料档案!$A$4:$P$1203,4,0),"※编码不在物料档案里"))</f>
        <v/>
      </c>
      <c r="G2243" s="24">
        <f>IF($D2243="","",IFERROR(VLOOKUP($D2243,物料档案!$A$4:$P$1203,5,0),"※编码不在物料档案里"))</f>
        <v/>
      </c>
      <c r="H2243" s="24">
        <f>IF($D2243="","",IFERROR(VLOOKUP($D2243,物料档案!$A$4:$P$1203,2,0),"※编码不在物料档案里"))</f>
        <v/>
      </c>
      <c r="I2243" s="24">
        <f>IF($D2243="","",IFERROR(VLOOKUP($D2243,物料档案!$A$4:$P$1203,6,0),"※编码不在物料档案里"))</f>
        <v/>
      </c>
      <c r="J2243" s="23" t="n"/>
      <c r="K2243" s="17" t="n"/>
      <c r="L2243" s="17" t="n"/>
      <c r="M2243" s="17" t="n"/>
      <c r="N2243" s="17" t="n"/>
      <c r="O2243" s="26">
        <f>IF($D2243="","",IFERROR(VLOOKUP($D2243,物料档案!$A$4:$P$1203,10,0),0))</f>
        <v/>
      </c>
      <c r="P2243" s="32" t="n"/>
      <c r="Q2243" s="26">
        <f>IF($D2243="","",IF($K2243&lt;&gt;"对外销售",0,ROUND(N($J2243)*IF($P2243="",N($O2243),N($P2243)),0)))</f>
        <v/>
      </c>
      <c r="R2243" s="26">
        <f>IF($D2243="","",IFERROR(VLOOKUP($D2243,库存台账!$A$5:$Y$1204,11,0),0))</f>
        <v/>
      </c>
      <c r="S2243" s="26">
        <f>IF($D2243="","",ROUND(N($J2243)*N($R2243),0))</f>
        <v/>
      </c>
      <c r="T2243" s="26">
        <f>IF($D2243="","",IF($K2243&lt;&gt;"对外销售","",ROUND($Q2243-$S2243,0)))</f>
        <v/>
      </c>
      <c r="U2243" s="17" t="n"/>
      <c r="V2243" s="17" t="n"/>
      <c r="W2243" s="24">
        <f>IF($D2243="","",IF($E2243="※编码不在物料档案里","※物料编码不在档案里",IF(N($J2243)&lt;=0,"※出库数量要大于 0",IF($K2243="","※没填去向类型",IF($L2243="","※没填去向矿区",IF(AND($C2243&lt;&gt;"",$C2243&lt;=结账锁),"※日期早于已结账截止日，不能再录",IF(AND($K2243="自用消耗",COUNTIF({"一矿区";"二矿区"},$L2243)=0),"※自用消耗的去向只能是一矿区或二矿区",IF(AND($K2243="对外销售",COUNTIF({"三矿区";"六矿区"},$L2243)=0),"※对外销售的去向只能是三矿区或六矿区",IF(AND($K2243="对外销售",ROUND($Q2243,0)=0),"※外销却没有售价，请填实际售价",IF(AND($K2243="对外销售",$T2243&lt;&gt;"",$T2243&lt;0),"※这一笔外销是亏的，请核对售价",IF(IFERROR(VLOOKUP($D2243,库存台账!$A$5:$Y$1204,24,0),0)&lt;-0.001,"※这个物料账面已经变成负数了，查一下是不是漏记入库","")))))))))))</f>
        <v/>
      </c>
    </row>
    <row r="2244">
      <c r="A2244" s="24">
        <f>IF($D2244="","",COUNTA($D$4:$D2244))</f>
        <v/>
      </c>
      <c r="B2244" s="17" t="n"/>
      <c r="C2244" s="30" t="n"/>
      <c r="D2244" s="17" t="n"/>
      <c r="E2244" s="24">
        <f>IF($D2244="","",IFERROR(VLOOKUP($D2244,物料档案!$A$4:$P$1203,3,0),"※编码不在物料档案里"))</f>
        <v/>
      </c>
      <c r="F2244" s="24">
        <f>IF($D2244="","",IFERROR(VLOOKUP($D2244,物料档案!$A$4:$P$1203,4,0),"※编码不在物料档案里"))</f>
        <v/>
      </c>
      <c r="G2244" s="24">
        <f>IF($D2244="","",IFERROR(VLOOKUP($D2244,物料档案!$A$4:$P$1203,5,0),"※编码不在物料档案里"))</f>
        <v/>
      </c>
      <c r="H2244" s="24">
        <f>IF($D2244="","",IFERROR(VLOOKUP($D2244,物料档案!$A$4:$P$1203,2,0),"※编码不在物料档案里"))</f>
        <v/>
      </c>
      <c r="I2244" s="24">
        <f>IF($D2244="","",IFERROR(VLOOKUP($D2244,物料档案!$A$4:$P$1203,6,0),"※编码不在物料档案里"))</f>
        <v/>
      </c>
      <c r="J2244" s="23" t="n"/>
      <c r="K2244" s="17" t="n"/>
      <c r="L2244" s="17" t="n"/>
      <c r="M2244" s="17" t="n"/>
      <c r="N2244" s="17" t="n"/>
      <c r="O2244" s="26">
        <f>IF($D2244="","",IFERROR(VLOOKUP($D2244,物料档案!$A$4:$P$1203,10,0),0))</f>
        <v/>
      </c>
      <c r="P2244" s="32" t="n"/>
      <c r="Q2244" s="26">
        <f>IF($D2244="","",IF($K2244&lt;&gt;"对外销售",0,ROUND(N($J2244)*IF($P2244="",N($O2244),N($P2244)),0)))</f>
        <v/>
      </c>
      <c r="R2244" s="26">
        <f>IF($D2244="","",IFERROR(VLOOKUP($D2244,库存台账!$A$5:$Y$1204,11,0),0))</f>
        <v/>
      </c>
      <c r="S2244" s="26">
        <f>IF($D2244="","",ROUND(N($J2244)*N($R2244),0))</f>
        <v/>
      </c>
      <c r="T2244" s="26">
        <f>IF($D2244="","",IF($K2244&lt;&gt;"对外销售","",ROUND($Q2244-$S2244,0)))</f>
        <v/>
      </c>
      <c r="U2244" s="17" t="n"/>
      <c r="V2244" s="17" t="n"/>
      <c r="W2244" s="24">
        <f>IF($D2244="","",IF($E2244="※编码不在物料档案里","※物料编码不在档案里",IF(N($J2244)&lt;=0,"※出库数量要大于 0",IF($K2244="","※没填去向类型",IF($L2244="","※没填去向矿区",IF(AND($C2244&lt;&gt;"",$C2244&lt;=结账锁),"※日期早于已结账截止日，不能再录",IF(AND($K2244="自用消耗",COUNTIF({"一矿区";"二矿区"},$L2244)=0),"※自用消耗的去向只能是一矿区或二矿区",IF(AND($K2244="对外销售",COUNTIF({"三矿区";"六矿区"},$L2244)=0),"※对外销售的去向只能是三矿区或六矿区",IF(AND($K2244="对外销售",ROUND($Q2244,0)=0),"※外销却没有售价，请填实际售价",IF(AND($K2244="对外销售",$T2244&lt;&gt;"",$T2244&lt;0),"※这一笔外销是亏的，请核对售价",IF(IFERROR(VLOOKUP($D2244,库存台账!$A$5:$Y$1204,24,0),0)&lt;-0.001,"※这个物料账面已经变成负数了，查一下是不是漏记入库","")))))))))))</f>
        <v/>
      </c>
    </row>
    <row r="2245">
      <c r="A2245" s="24">
        <f>IF($D2245="","",COUNTA($D$4:$D2245))</f>
        <v/>
      </c>
      <c r="B2245" s="17" t="n"/>
      <c r="C2245" s="30" t="n"/>
      <c r="D2245" s="17" t="n"/>
      <c r="E2245" s="24">
        <f>IF($D2245="","",IFERROR(VLOOKUP($D2245,物料档案!$A$4:$P$1203,3,0),"※编码不在物料档案里"))</f>
        <v/>
      </c>
      <c r="F2245" s="24">
        <f>IF($D2245="","",IFERROR(VLOOKUP($D2245,物料档案!$A$4:$P$1203,4,0),"※编码不在物料档案里"))</f>
        <v/>
      </c>
      <c r="G2245" s="24">
        <f>IF($D2245="","",IFERROR(VLOOKUP($D2245,物料档案!$A$4:$P$1203,5,0),"※编码不在物料档案里"))</f>
        <v/>
      </c>
      <c r="H2245" s="24">
        <f>IF($D2245="","",IFERROR(VLOOKUP($D2245,物料档案!$A$4:$P$1203,2,0),"※编码不在物料档案里"))</f>
        <v/>
      </c>
      <c r="I2245" s="24">
        <f>IF($D2245="","",IFERROR(VLOOKUP($D2245,物料档案!$A$4:$P$1203,6,0),"※编码不在物料档案里"))</f>
        <v/>
      </c>
      <c r="J2245" s="23" t="n"/>
      <c r="K2245" s="17" t="n"/>
      <c r="L2245" s="17" t="n"/>
      <c r="M2245" s="17" t="n"/>
      <c r="N2245" s="17" t="n"/>
      <c r="O2245" s="26">
        <f>IF($D2245="","",IFERROR(VLOOKUP($D2245,物料档案!$A$4:$P$1203,10,0),0))</f>
        <v/>
      </c>
      <c r="P2245" s="32" t="n"/>
      <c r="Q2245" s="26">
        <f>IF($D2245="","",IF($K2245&lt;&gt;"对外销售",0,ROUND(N($J2245)*IF($P2245="",N($O2245),N($P2245)),0)))</f>
        <v/>
      </c>
      <c r="R2245" s="26">
        <f>IF($D2245="","",IFERROR(VLOOKUP($D2245,库存台账!$A$5:$Y$1204,11,0),0))</f>
        <v/>
      </c>
      <c r="S2245" s="26">
        <f>IF($D2245="","",ROUND(N($J2245)*N($R2245),0))</f>
        <v/>
      </c>
      <c r="T2245" s="26">
        <f>IF($D2245="","",IF($K2245&lt;&gt;"对外销售","",ROUND($Q2245-$S2245,0)))</f>
        <v/>
      </c>
      <c r="U2245" s="17" t="n"/>
      <c r="V2245" s="17" t="n"/>
      <c r="W2245" s="24">
        <f>IF($D2245="","",IF($E2245="※编码不在物料档案里","※物料编码不在档案里",IF(N($J2245)&lt;=0,"※出库数量要大于 0",IF($K2245="","※没填去向类型",IF($L2245="","※没填去向矿区",IF(AND($C2245&lt;&gt;"",$C2245&lt;=结账锁),"※日期早于已结账截止日，不能再录",IF(AND($K2245="自用消耗",COUNTIF({"一矿区";"二矿区"},$L2245)=0),"※自用消耗的去向只能是一矿区或二矿区",IF(AND($K2245="对外销售",COUNTIF({"三矿区";"六矿区"},$L2245)=0),"※对外销售的去向只能是三矿区或六矿区",IF(AND($K2245="对外销售",ROUND($Q2245,0)=0),"※外销却没有售价，请填实际售价",IF(AND($K2245="对外销售",$T2245&lt;&gt;"",$T2245&lt;0),"※这一笔外销是亏的，请核对售价",IF(IFERROR(VLOOKUP($D2245,库存台账!$A$5:$Y$1204,24,0),0)&lt;-0.001,"※这个物料账面已经变成负数了，查一下是不是漏记入库","")))))))))))</f>
        <v/>
      </c>
    </row>
    <row r="2246">
      <c r="A2246" s="24">
        <f>IF($D2246="","",COUNTA($D$4:$D2246))</f>
        <v/>
      </c>
      <c r="B2246" s="17" t="n"/>
      <c r="C2246" s="30" t="n"/>
      <c r="D2246" s="17" t="n"/>
      <c r="E2246" s="24">
        <f>IF($D2246="","",IFERROR(VLOOKUP($D2246,物料档案!$A$4:$P$1203,3,0),"※编码不在物料档案里"))</f>
        <v/>
      </c>
      <c r="F2246" s="24">
        <f>IF($D2246="","",IFERROR(VLOOKUP($D2246,物料档案!$A$4:$P$1203,4,0),"※编码不在物料档案里"))</f>
        <v/>
      </c>
      <c r="G2246" s="24">
        <f>IF($D2246="","",IFERROR(VLOOKUP($D2246,物料档案!$A$4:$P$1203,5,0),"※编码不在物料档案里"))</f>
        <v/>
      </c>
      <c r="H2246" s="24">
        <f>IF($D2246="","",IFERROR(VLOOKUP($D2246,物料档案!$A$4:$P$1203,2,0),"※编码不在物料档案里"))</f>
        <v/>
      </c>
      <c r="I2246" s="24">
        <f>IF($D2246="","",IFERROR(VLOOKUP($D2246,物料档案!$A$4:$P$1203,6,0),"※编码不在物料档案里"))</f>
        <v/>
      </c>
      <c r="J2246" s="23" t="n"/>
      <c r="K2246" s="17" t="n"/>
      <c r="L2246" s="17" t="n"/>
      <c r="M2246" s="17" t="n"/>
      <c r="N2246" s="17" t="n"/>
      <c r="O2246" s="26">
        <f>IF($D2246="","",IFERROR(VLOOKUP($D2246,物料档案!$A$4:$P$1203,10,0),0))</f>
        <v/>
      </c>
      <c r="P2246" s="32" t="n"/>
      <c r="Q2246" s="26">
        <f>IF($D2246="","",IF($K2246&lt;&gt;"对外销售",0,ROUND(N($J2246)*IF($P2246="",N($O2246),N($P2246)),0)))</f>
        <v/>
      </c>
      <c r="R2246" s="26">
        <f>IF($D2246="","",IFERROR(VLOOKUP($D2246,库存台账!$A$5:$Y$1204,11,0),0))</f>
        <v/>
      </c>
      <c r="S2246" s="26">
        <f>IF($D2246="","",ROUND(N($J2246)*N($R2246),0))</f>
        <v/>
      </c>
      <c r="T2246" s="26">
        <f>IF($D2246="","",IF($K2246&lt;&gt;"对外销售","",ROUND($Q2246-$S2246,0)))</f>
        <v/>
      </c>
      <c r="U2246" s="17" t="n"/>
      <c r="V2246" s="17" t="n"/>
      <c r="W2246" s="24">
        <f>IF($D2246="","",IF($E2246="※编码不在物料档案里","※物料编码不在档案里",IF(N($J2246)&lt;=0,"※出库数量要大于 0",IF($K2246="","※没填去向类型",IF($L2246="","※没填去向矿区",IF(AND($C2246&lt;&gt;"",$C2246&lt;=结账锁),"※日期早于已结账截止日，不能再录",IF(AND($K2246="自用消耗",COUNTIF({"一矿区";"二矿区"},$L2246)=0),"※自用消耗的去向只能是一矿区或二矿区",IF(AND($K2246="对外销售",COUNTIF({"三矿区";"六矿区"},$L2246)=0),"※对外销售的去向只能是三矿区或六矿区",IF(AND($K2246="对外销售",ROUND($Q2246,0)=0),"※外销却没有售价，请填实际售价",IF(AND($K2246="对外销售",$T2246&lt;&gt;"",$T2246&lt;0),"※这一笔外销是亏的，请核对售价",IF(IFERROR(VLOOKUP($D2246,库存台账!$A$5:$Y$1204,24,0),0)&lt;-0.001,"※这个物料账面已经变成负数了，查一下是不是漏记入库","")))))))))))</f>
        <v/>
      </c>
    </row>
    <row r="2247">
      <c r="A2247" s="24">
        <f>IF($D2247="","",COUNTA($D$4:$D2247))</f>
        <v/>
      </c>
      <c r="B2247" s="17" t="n"/>
      <c r="C2247" s="30" t="n"/>
      <c r="D2247" s="17" t="n"/>
      <c r="E2247" s="24">
        <f>IF($D2247="","",IFERROR(VLOOKUP($D2247,物料档案!$A$4:$P$1203,3,0),"※编码不在物料档案里"))</f>
        <v/>
      </c>
      <c r="F2247" s="24">
        <f>IF($D2247="","",IFERROR(VLOOKUP($D2247,物料档案!$A$4:$P$1203,4,0),"※编码不在物料档案里"))</f>
        <v/>
      </c>
      <c r="G2247" s="24">
        <f>IF($D2247="","",IFERROR(VLOOKUP($D2247,物料档案!$A$4:$P$1203,5,0),"※编码不在物料档案里"))</f>
        <v/>
      </c>
      <c r="H2247" s="24">
        <f>IF($D2247="","",IFERROR(VLOOKUP($D2247,物料档案!$A$4:$P$1203,2,0),"※编码不在物料档案里"))</f>
        <v/>
      </c>
      <c r="I2247" s="24">
        <f>IF($D2247="","",IFERROR(VLOOKUP($D2247,物料档案!$A$4:$P$1203,6,0),"※编码不在物料档案里"))</f>
        <v/>
      </c>
      <c r="J2247" s="23" t="n"/>
      <c r="K2247" s="17" t="n"/>
      <c r="L2247" s="17" t="n"/>
      <c r="M2247" s="17" t="n"/>
      <c r="N2247" s="17" t="n"/>
      <c r="O2247" s="26">
        <f>IF($D2247="","",IFERROR(VLOOKUP($D2247,物料档案!$A$4:$P$1203,10,0),0))</f>
        <v/>
      </c>
      <c r="P2247" s="32" t="n"/>
      <c r="Q2247" s="26">
        <f>IF($D2247="","",IF($K2247&lt;&gt;"对外销售",0,ROUND(N($J2247)*IF($P2247="",N($O2247),N($P2247)),0)))</f>
        <v/>
      </c>
      <c r="R2247" s="26">
        <f>IF($D2247="","",IFERROR(VLOOKUP($D2247,库存台账!$A$5:$Y$1204,11,0),0))</f>
        <v/>
      </c>
      <c r="S2247" s="26">
        <f>IF($D2247="","",ROUND(N($J2247)*N($R2247),0))</f>
        <v/>
      </c>
      <c r="T2247" s="26">
        <f>IF($D2247="","",IF($K2247&lt;&gt;"对外销售","",ROUND($Q2247-$S2247,0)))</f>
        <v/>
      </c>
      <c r="U2247" s="17" t="n"/>
      <c r="V2247" s="17" t="n"/>
      <c r="W2247" s="24">
        <f>IF($D2247="","",IF($E2247="※编码不在物料档案里","※物料编码不在档案里",IF(N($J2247)&lt;=0,"※出库数量要大于 0",IF($K2247="","※没填去向类型",IF($L2247="","※没填去向矿区",IF(AND($C2247&lt;&gt;"",$C2247&lt;=结账锁),"※日期早于已结账截止日，不能再录",IF(AND($K2247="自用消耗",COUNTIF({"一矿区";"二矿区"},$L2247)=0),"※自用消耗的去向只能是一矿区或二矿区",IF(AND($K2247="对外销售",COUNTIF({"三矿区";"六矿区"},$L2247)=0),"※对外销售的去向只能是三矿区或六矿区",IF(AND($K2247="对外销售",ROUND($Q2247,0)=0),"※外销却没有售价，请填实际售价",IF(AND($K2247="对外销售",$T2247&lt;&gt;"",$T2247&lt;0),"※这一笔外销是亏的，请核对售价",IF(IFERROR(VLOOKUP($D2247,库存台账!$A$5:$Y$1204,24,0),0)&lt;-0.001,"※这个物料账面已经变成负数了，查一下是不是漏记入库","")))))))))))</f>
        <v/>
      </c>
    </row>
    <row r="2248">
      <c r="A2248" s="24">
        <f>IF($D2248="","",COUNTA($D$4:$D2248))</f>
        <v/>
      </c>
      <c r="B2248" s="17" t="n"/>
      <c r="C2248" s="30" t="n"/>
      <c r="D2248" s="17" t="n"/>
      <c r="E2248" s="24">
        <f>IF($D2248="","",IFERROR(VLOOKUP($D2248,物料档案!$A$4:$P$1203,3,0),"※编码不在物料档案里"))</f>
        <v/>
      </c>
      <c r="F2248" s="24">
        <f>IF($D2248="","",IFERROR(VLOOKUP($D2248,物料档案!$A$4:$P$1203,4,0),"※编码不在物料档案里"))</f>
        <v/>
      </c>
      <c r="G2248" s="24">
        <f>IF($D2248="","",IFERROR(VLOOKUP($D2248,物料档案!$A$4:$P$1203,5,0),"※编码不在物料档案里"))</f>
        <v/>
      </c>
      <c r="H2248" s="24">
        <f>IF($D2248="","",IFERROR(VLOOKUP($D2248,物料档案!$A$4:$P$1203,2,0),"※编码不在物料档案里"))</f>
        <v/>
      </c>
      <c r="I2248" s="24">
        <f>IF($D2248="","",IFERROR(VLOOKUP($D2248,物料档案!$A$4:$P$1203,6,0),"※编码不在物料档案里"))</f>
        <v/>
      </c>
      <c r="J2248" s="23" t="n"/>
      <c r="K2248" s="17" t="n"/>
      <c r="L2248" s="17" t="n"/>
      <c r="M2248" s="17" t="n"/>
      <c r="N2248" s="17" t="n"/>
      <c r="O2248" s="26">
        <f>IF($D2248="","",IFERROR(VLOOKUP($D2248,物料档案!$A$4:$P$1203,10,0),0))</f>
        <v/>
      </c>
      <c r="P2248" s="32" t="n"/>
      <c r="Q2248" s="26">
        <f>IF($D2248="","",IF($K2248&lt;&gt;"对外销售",0,ROUND(N($J2248)*IF($P2248="",N($O2248),N($P2248)),0)))</f>
        <v/>
      </c>
      <c r="R2248" s="26">
        <f>IF($D2248="","",IFERROR(VLOOKUP($D2248,库存台账!$A$5:$Y$1204,11,0),0))</f>
        <v/>
      </c>
      <c r="S2248" s="26">
        <f>IF($D2248="","",ROUND(N($J2248)*N($R2248),0))</f>
        <v/>
      </c>
      <c r="T2248" s="26">
        <f>IF($D2248="","",IF($K2248&lt;&gt;"对外销售","",ROUND($Q2248-$S2248,0)))</f>
        <v/>
      </c>
      <c r="U2248" s="17" t="n"/>
      <c r="V2248" s="17" t="n"/>
      <c r="W2248" s="24">
        <f>IF($D2248="","",IF($E2248="※编码不在物料档案里","※物料编码不在档案里",IF(N($J2248)&lt;=0,"※出库数量要大于 0",IF($K2248="","※没填去向类型",IF($L2248="","※没填去向矿区",IF(AND($C2248&lt;&gt;"",$C2248&lt;=结账锁),"※日期早于已结账截止日，不能再录",IF(AND($K2248="自用消耗",COUNTIF({"一矿区";"二矿区"},$L2248)=0),"※自用消耗的去向只能是一矿区或二矿区",IF(AND($K2248="对外销售",COUNTIF({"三矿区";"六矿区"},$L2248)=0),"※对外销售的去向只能是三矿区或六矿区",IF(AND($K2248="对外销售",ROUND($Q2248,0)=0),"※外销却没有售价，请填实际售价",IF(AND($K2248="对外销售",$T2248&lt;&gt;"",$T2248&lt;0),"※这一笔外销是亏的，请核对售价",IF(IFERROR(VLOOKUP($D2248,库存台账!$A$5:$Y$1204,24,0),0)&lt;-0.001,"※这个物料账面已经变成负数了，查一下是不是漏记入库","")))))))))))</f>
        <v/>
      </c>
    </row>
    <row r="2249">
      <c r="A2249" s="24">
        <f>IF($D2249="","",COUNTA($D$4:$D2249))</f>
        <v/>
      </c>
      <c r="B2249" s="17" t="n"/>
      <c r="C2249" s="30" t="n"/>
      <c r="D2249" s="17" t="n"/>
      <c r="E2249" s="24">
        <f>IF($D2249="","",IFERROR(VLOOKUP($D2249,物料档案!$A$4:$P$1203,3,0),"※编码不在物料档案里"))</f>
        <v/>
      </c>
      <c r="F2249" s="24">
        <f>IF($D2249="","",IFERROR(VLOOKUP($D2249,物料档案!$A$4:$P$1203,4,0),"※编码不在物料档案里"))</f>
        <v/>
      </c>
      <c r="G2249" s="24">
        <f>IF($D2249="","",IFERROR(VLOOKUP($D2249,物料档案!$A$4:$P$1203,5,0),"※编码不在物料档案里"))</f>
        <v/>
      </c>
      <c r="H2249" s="24">
        <f>IF($D2249="","",IFERROR(VLOOKUP($D2249,物料档案!$A$4:$P$1203,2,0),"※编码不在物料档案里"))</f>
        <v/>
      </c>
      <c r="I2249" s="24">
        <f>IF($D2249="","",IFERROR(VLOOKUP($D2249,物料档案!$A$4:$P$1203,6,0),"※编码不在物料档案里"))</f>
        <v/>
      </c>
      <c r="J2249" s="23" t="n"/>
      <c r="K2249" s="17" t="n"/>
      <c r="L2249" s="17" t="n"/>
      <c r="M2249" s="17" t="n"/>
      <c r="N2249" s="17" t="n"/>
      <c r="O2249" s="26">
        <f>IF($D2249="","",IFERROR(VLOOKUP($D2249,物料档案!$A$4:$P$1203,10,0),0))</f>
        <v/>
      </c>
      <c r="P2249" s="32" t="n"/>
      <c r="Q2249" s="26">
        <f>IF($D2249="","",IF($K2249&lt;&gt;"对外销售",0,ROUND(N($J2249)*IF($P2249="",N($O2249),N($P2249)),0)))</f>
        <v/>
      </c>
      <c r="R2249" s="26">
        <f>IF($D2249="","",IFERROR(VLOOKUP($D2249,库存台账!$A$5:$Y$1204,11,0),0))</f>
        <v/>
      </c>
      <c r="S2249" s="26">
        <f>IF($D2249="","",ROUND(N($J2249)*N($R2249),0))</f>
        <v/>
      </c>
      <c r="T2249" s="26">
        <f>IF($D2249="","",IF($K2249&lt;&gt;"对外销售","",ROUND($Q2249-$S2249,0)))</f>
        <v/>
      </c>
      <c r="U2249" s="17" t="n"/>
      <c r="V2249" s="17" t="n"/>
      <c r="W2249" s="24">
        <f>IF($D2249="","",IF($E2249="※编码不在物料档案里","※物料编码不在档案里",IF(N($J2249)&lt;=0,"※出库数量要大于 0",IF($K2249="","※没填去向类型",IF($L2249="","※没填去向矿区",IF(AND($C2249&lt;&gt;"",$C2249&lt;=结账锁),"※日期早于已结账截止日，不能再录",IF(AND($K2249="自用消耗",COUNTIF({"一矿区";"二矿区"},$L2249)=0),"※自用消耗的去向只能是一矿区或二矿区",IF(AND($K2249="对外销售",COUNTIF({"三矿区";"六矿区"},$L2249)=0),"※对外销售的去向只能是三矿区或六矿区",IF(AND($K2249="对外销售",ROUND($Q2249,0)=0),"※外销却没有售价，请填实际售价",IF(AND($K2249="对外销售",$T2249&lt;&gt;"",$T2249&lt;0),"※这一笔外销是亏的，请核对售价",IF(IFERROR(VLOOKUP($D2249,库存台账!$A$5:$Y$1204,24,0),0)&lt;-0.001,"※这个物料账面已经变成负数了，查一下是不是漏记入库","")))))))))))</f>
        <v/>
      </c>
    </row>
    <row r="2250">
      <c r="A2250" s="24">
        <f>IF($D2250="","",COUNTA($D$4:$D2250))</f>
        <v/>
      </c>
      <c r="B2250" s="17" t="n"/>
      <c r="C2250" s="30" t="n"/>
      <c r="D2250" s="17" t="n"/>
      <c r="E2250" s="24">
        <f>IF($D2250="","",IFERROR(VLOOKUP($D2250,物料档案!$A$4:$P$1203,3,0),"※编码不在物料档案里"))</f>
        <v/>
      </c>
      <c r="F2250" s="24">
        <f>IF($D2250="","",IFERROR(VLOOKUP($D2250,物料档案!$A$4:$P$1203,4,0),"※编码不在物料档案里"))</f>
        <v/>
      </c>
      <c r="G2250" s="24">
        <f>IF($D2250="","",IFERROR(VLOOKUP($D2250,物料档案!$A$4:$P$1203,5,0),"※编码不在物料档案里"))</f>
        <v/>
      </c>
      <c r="H2250" s="24">
        <f>IF($D2250="","",IFERROR(VLOOKUP($D2250,物料档案!$A$4:$P$1203,2,0),"※编码不在物料档案里"))</f>
        <v/>
      </c>
      <c r="I2250" s="24">
        <f>IF($D2250="","",IFERROR(VLOOKUP($D2250,物料档案!$A$4:$P$1203,6,0),"※编码不在物料档案里"))</f>
        <v/>
      </c>
      <c r="J2250" s="23" t="n"/>
      <c r="K2250" s="17" t="n"/>
      <c r="L2250" s="17" t="n"/>
      <c r="M2250" s="17" t="n"/>
      <c r="N2250" s="17" t="n"/>
      <c r="O2250" s="26">
        <f>IF($D2250="","",IFERROR(VLOOKUP($D2250,物料档案!$A$4:$P$1203,10,0),0))</f>
        <v/>
      </c>
      <c r="P2250" s="32" t="n"/>
      <c r="Q2250" s="26">
        <f>IF($D2250="","",IF($K2250&lt;&gt;"对外销售",0,ROUND(N($J2250)*IF($P2250="",N($O2250),N($P2250)),0)))</f>
        <v/>
      </c>
      <c r="R2250" s="26">
        <f>IF($D2250="","",IFERROR(VLOOKUP($D2250,库存台账!$A$5:$Y$1204,11,0),0))</f>
        <v/>
      </c>
      <c r="S2250" s="26">
        <f>IF($D2250="","",ROUND(N($J2250)*N($R2250),0))</f>
        <v/>
      </c>
      <c r="T2250" s="26">
        <f>IF($D2250="","",IF($K2250&lt;&gt;"对外销售","",ROUND($Q2250-$S2250,0)))</f>
        <v/>
      </c>
      <c r="U2250" s="17" t="n"/>
      <c r="V2250" s="17" t="n"/>
      <c r="W2250" s="24">
        <f>IF($D2250="","",IF($E2250="※编码不在物料档案里","※物料编码不在档案里",IF(N($J2250)&lt;=0,"※出库数量要大于 0",IF($K2250="","※没填去向类型",IF($L2250="","※没填去向矿区",IF(AND($C2250&lt;&gt;"",$C2250&lt;=结账锁),"※日期早于已结账截止日，不能再录",IF(AND($K2250="自用消耗",COUNTIF({"一矿区";"二矿区"},$L2250)=0),"※自用消耗的去向只能是一矿区或二矿区",IF(AND($K2250="对外销售",COUNTIF({"三矿区";"六矿区"},$L2250)=0),"※对外销售的去向只能是三矿区或六矿区",IF(AND($K2250="对外销售",ROUND($Q2250,0)=0),"※外销却没有售价，请填实际售价",IF(AND($K2250="对外销售",$T2250&lt;&gt;"",$T2250&lt;0),"※这一笔外销是亏的，请核对售价",IF(IFERROR(VLOOKUP($D2250,库存台账!$A$5:$Y$1204,24,0),0)&lt;-0.001,"※这个物料账面已经变成负数了，查一下是不是漏记入库","")))))))))))</f>
        <v/>
      </c>
    </row>
    <row r="2251">
      <c r="A2251" s="24">
        <f>IF($D2251="","",COUNTA($D$4:$D2251))</f>
        <v/>
      </c>
      <c r="B2251" s="17" t="n"/>
      <c r="C2251" s="30" t="n"/>
      <c r="D2251" s="17" t="n"/>
      <c r="E2251" s="24">
        <f>IF($D2251="","",IFERROR(VLOOKUP($D2251,物料档案!$A$4:$P$1203,3,0),"※编码不在物料档案里"))</f>
        <v/>
      </c>
      <c r="F2251" s="24">
        <f>IF($D2251="","",IFERROR(VLOOKUP($D2251,物料档案!$A$4:$P$1203,4,0),"※编码不在物料档案里"))</f>
        <v/>
      </c>
      <c r="G2251" s="24">
        <f>IF($D2251="","",IFERROR(VLOOKUP($D2251,物料档案!$A$4:$P$1203,5,0),"※编码不在物料档案里"))</f>
        <v/>
      </c>
      <c r="H2251" s="24">
        <f>IF($D2251="","",IFERROR(VLOOKUP($D2251,物料档案!$A$4:$P$1203,2,0),"※编码不在物料档案里"))</f>
        <v/>
      </c>
      <c r="I2251" s="24">
        <f>IF($D2251="","",IFERROR(VLOOKUP($D2251,物料档案!$A$4:$P$1203,6,0),"※编码不在物料档案里"))</f>
        <v/>
      </c>
      <c r="J2251" s="23" t="n"/>
      <c r="K2251" s="17" t="n"/>
      <c r="L2251" s="17" t="n"/>
      <c r="M2251" s="17" t="n"/>
      <c r="N2251" s="17" t="n"/>
      <c r="O2251" s="26">
        <f>IF($D2251="","",IFERROR(VLOOKUP($D2251,物料档案!$A$4:$P$1203,10,0),0))</f>
        <v/>
      </c>
      <c r="P2251" s="32" t="n"/>
      <c r="Q2251" s="26">
        <f>IF($D2251="","",IF($K2251&lt;&gt;"对外销售",0,ROUND(N($J2251)*IF($P2251="",N($O2251),N($P2251)),0)))</f>
        <v/>
      </c>
      <c r="R2251" s="26">
        <f>IF($D2251="","",IFERROR(VLOOKUP($D2251,库存台账!$A$5:$Y$1204,11,0),0))</f>
        <v/>
      </c>
      <c r="S2251" s="26">
        <f>IF($D2251="","",ROUND(N($J2251)*N($R2251),0))</f>
        <v/>
      </c>
      <c r="T2251" s="26">
        <f>IF($D2251="","",IF($K2251&lt;&gt;"对外销售","",ROUND($Q2251-$S2251,0)))</f>
        <v/>
      </c>
      <c r="U2251" s="17" t="n"/>
      <c r="V2251" s="17" t="n"/>
      <c r="W2251" s="24">
        <f>IF($D2251="","",IF($E2251="※编码不在物料档案里","※物料编码不在档案里",IF(N($J2251)&lt;=0,"※出库数量要大于 0",IF($K2251="","※没填去向类型",IF($L2251="","※没填去向矿区",IF(AND($C2251&lt;&gt;"",$C2251&lt;=结账锁),"※日期早于已结账截止日，不能再录",IF(AND($K2251="自用消耗",COUNTIF({"一矿区";"二矿区"},$L2251)=0),"※自用消耗的去向只能是一矿区或二矿区",IF(AND($K2251="对外销售",COUNTIF({"三矿区";"六矿区"},$L2251)=0),"※对外销售的去向只能是三矿区或六矿区",IF(AND($K2251="对外销售",ROUND($Q2251,0)=0),"※外销却没有售价，请填实际售价",IF(AND($K2251="对外销售",$T2251&lt;&gt;"",$T2251&lt;0),"※这一笔外销是亏的，请核对售价",IF(IFERROR(VLOOKUP($D2251,库存台账!$A$5:$Y$1204,24,0),0)&lt;-0.001,"※这个物料账面已经变成负数了，查一下是不是漏记入库","")))))))))))</f>
        <v/>
      </c>
    </row>
    <row r="2252">
      <c r="A2252" s="24">
        <f>IF($D2252="","",COUNTA($D$4:$D2252))</f>
        <v/>
      </c>
      <c r="B2252" s="17" t="n"/>
      <c r="C2252" s="30" t="n"/>
      <c r="D2252" s="17" t="n"/>
      <c r="E2252" s="24">
        <f>IF($D2252="","",IFERROR(VLOOKUP($D2252,物料档案!$A$4:$P$1203,3,0),"※编码不在物料档案里"))</f>
        <v/>
      </c>
      <c r="F2252" s="24">
        <f>IF($D2252="","",IFERROR(VLOOKUP($D2252,物料档案!$A$4:$P$1203,4,0),"※编码不在物料档案里"))</f>
        <v/>
      </c>
      <c r="G2252" s="24">
        <f>IF($D2252="","",IFERROR(VLOOKUP($D2252,物料档案!$A$4:$P$1203,5,0),"※编码不在物料档案里"))</f>
        <v/>
      </c>
      <c r="H2252" s="24">
        <f>IF($D2252="","",IFERROR(VLOOKUP($D2252,物料档案!$A$4:$P$1203,2,0),"※编码不在物料档案里"))</f>
        <v/>
      </c>
      <c r="I2252" s="24">
        <f>IF($D2252="","",IFERROR(VLOOKUP($D2252,物料档案!$A$4:$P$1203,6,0),"※编码不在物料档案里"))</f>
        <v/>
      </c>
      <c r="J2252" s="23" t="n"/>
      <c r="K2252" s="17" t="n"/>
      <c r="L2252" s="17" t="n"/>
      <c r="M2252" s="17" t="n"/>
      <c r="N2252" s="17" t="n"/>
      <c r="O2252" s="26">
        <f>IF($D2252="","",IFERROR(VLOOKUP($D2252,物料档案!$A$4:$P$1203,10,0),0))</f>
        <v/>
      </c>
      <c r="P2252" s="32" t="n"/>
      <c r="Q2252" s="26">
        <f>IF($D2252="","",IF($K2252&lt;&gt;"对外销售",0,ROUND(N($J2252)*IF($P2252="",N($O2252),N($P2252)),0)))</f>
        <v/>
      </c>
      <c r="R2252" s="26">
        <f>IF($D2252="","",IFERROR(VLOOKUP($D2252,库存台账!$A$5:$Y$1204,11,0),0))</f>
        <v/>
      </c>
      <c r="S2252" s="26">
        <f>IF($D2252="","",ROUND(N($J2252)*N($R2252),0))</f>
        <v/>
      </c>
      <c r="T2252" s="26">
        <f>IF($D2252="","",IF($K2252&lt;&gt;"对外销售","",ROUND($Q2252-$S2252,0)))</f>
        <v/>
      </c>
      <c r="U2252" s="17" t="n"/>
      <c r="V2252" s="17" t="n"/>
      <c r="W2252" s="24">
        <f>IF($D2252="","",IF($E2252="※编码不在物料档案里","※物料编码不在档案里",IF(N($J2252)&lt;=0,"※出库数量要大于 0",IF($K2252="","※没填去向类型",IF($L2252="","※没填去向矿区",IF(AND($C2252&lt;&gt;"",$C2252&lt;=结账锁),"※日期早于已结账截止日，不能再录",IF(AND($K2252="自用消耗",COUNTIF({"一矿区";"二矿区"},$L2252)=0),"※自用消耗的去向只能是一矿区或二矿区",IF(AND($K2252="对外销售",COUNTIF({"三矿区";"六矿区"},$L2252)=0),"※对外销售的去向只能是三矿区或六矿区",IF(AND($K2252="对外销售",ROUND($Q2252,0)=0),"※外销却没有售价，请填实际售价",IF(AND($K2252="对外销售",$T2252&lt;&gt;"",$T2252&lt;0),"※这一笔外销是亏的，请核对售价",IF(IFERROR(VLOOKUP($D2252,库存台账!$A$5:$Y$1204,24,0),0)&lt;-0.001,"※这个物料账面已经变成负数了，查一下是不是漏记入库","")))))))))))</f>
        <v/>
      </c>
    </row>
    <row r="2253">
      <c r="A2253" s="24">
        <f>IF($D2253="","",COUNTA($D$4:$D2253))</f>
        <v/>
      </c>
      <c r="B2253" s="17" t="n"/>
      <c r="C2253" s="30" t="n"/>
      <c r="D2253" s="17" t="n"/>
      <c r="E2253" s="24">
        <f>IF($D2253="","",IFERROR(VLOOKUP($D2253,物料档案!$A$4:$P$1203,3,0),"※编码不在物料档案里"))</f>
        <v/>
      </c>
      <c r="F2253" s="24">
        <f>IF($D2253="","",IFERROR(VLOOKUP($D2253,物料档案!$A$4:$P$1203,4,0),"※编码不在物料档案里"))</f>
        <v/>
      </c>
      <c r="G2253" s="24">
        <f>IF($D2253="","",IFERROR(VLOOKUP($D2253,物料档案!$A$4:$P$1203,5,0),"※编码不在物料档案里"))</f>
        <v/>
      </c>
      <c r="H2253" s="24">
        <f>IF($D2253="","",IFERROR(VLOOKUP($D2253,物料档案!$A$4:$P$1203,2,0),"※编码不在物料档案里"))</f>
        <v/>
      </c>
      <c r="I2253" s="24">
        <f>IF($D2253="","",IFERROR(VLOOKUP($D2253,物料档案!$A$4:$P$1203,6,0),"※编码不在物料档案里"))</f>
        <v/>
      </c>
      <c r="J2253" s="23" t="n"/>
      <c r="K2253" s="17" t="n"/>
      <c r="L2253" s="17" t="n"/>
      <c r="M2253" s="17" t="n"/>
      <c r="N2253" s="17" t="n"/>
      <c r="O2253" s="26">
        <f>IF($D2253="","",IFERROR(VLOOKUP($D2253,物料档案!$A$4:$P$1203,10,0),0))</f>
        <v/>
      </c>
      <c r="P2253" s="32" t="n"/>
      <c r="Q2253" s="26">
        <f>IF($D2253="","",IF($K2253&lt;&gt;"对外销售",0,ROUND(N($J2253)*IF($P2253="",N($O2253),N($P2253)),0)))</f>
        <v/>
      </c>
      <c r="R2253" s="26">
        <f>IF($D2253="","",IFERROR(VLOOKUP($D2253,库存台账!$A$5:$Y$1204,11,0),0))</f>
        <v/>
      </c>
      <c r="S2253" s="26">
        <f>IF($D2253="","",ROUND(N($J2253)*N($R2253),0))</f>
        <v/>
      </c>
      <c r="T2253" s="26">
        <f>IF($D2253="","",IF($K2253&lt;&gt;"对外销售","",ROUND($Q2253-$S2253,0)))</f>
        <v/>
      </c>
      <c r="U2253" s="17" t="n"/>
      <c r="V2253" s="17" t="n"/>
      <c r="W2253" s="24">
        <f>IF($D2253="","",IF($E2253="※编码不在物料档案里","※物料编码不在档案里",IF(N($J2253)&lt;=0,"※出库数量要大于 0",IF($K2253="","※没填去向类型",IF($L2253="","※没填去向矿区",IF(AND($C2253&lt;&gt;"",$C2253&lt;=结账锁),"※日期早于已结账截止日，不能再录",IF(AND($K2253="自用消耗",COUNTIF({"一矿区";"二矿区"},$L2253)=0),"※自用消耗的去向只能是一矿区或二矿区",IF(AND($K2253="对外销售",COUNTIF({"三矿区";"六矿区"},$L2253)=0),"※对外销售的去向只能是三矿区或六矿区",IF(AND($K2253="对外销售",ROUND($Q2253,0)=0),"※外销却没有售价，请填实际售价",IF(AND($K2253="对外销售",$T2253&lt;&gt;"",$T2253&lt;0),"※这一笔外销是亏的，请核对售价",IF(IFERROR(VLOOKUP($D2253,库存台账!$A$5:$Y$1204,24,0),0)&lt;-0.001,"※这个物料账面已经变成负数了，查一下是不是漏记入库","")))))))))))</f>
        <v/>
      </c>
    </row>
    <row r="2254">
      <c r="A2254" s="24">
        <f>IF($D2254="","",COUNTA($D$4:$D2254))</f>
        <v/>
      </c>
      <c r="B2254" s="17" t="n"/>
      <c r="C2254" s="30" t="n"/>
      <c r="D2254" s="17" t="n"/>
      <c r="E2254" s="24">
        <f>IF($D2254="","",IFERROR(VLOOKUP($D2254,物料档案!$A$4:$P$1203,3,0),"※编码不在物料档案里"))</f>
        <v/>
      </c>
      <c r="F2254" s="24">
        <f>IF($D2254="","",IFERROR(VLOOKUP($D2254,物料档案!$A$4:$P$1203,4,0),"※编码不在物料档案里"))</f>
        <v/>
      </c>
      <c r="G2254" s="24">
        <f>IF($D2254="","",IFERROR(VLOOKUP($D2254,物料档案!$A$4:$P$1203,5,0),"※编码不在物料档案里"))</f>
        <v/>
      </c>
      <c r="H2254" s="24">
        <f>IF($D2254="","",IFERROR(VLOOKUP($D2254,物料档案!$A$4:$P$1203,2,0),"※编码不在物料档案里"))</f>
        <v/>
      </c>
      <c r="I2254" s="24">
        <f>IF($D2254="","",IFERROR(VLOOKUP($D2254,物料档案!$A$4:$P$1203,6,0),"※编码不在物料档案里"))</f>
        <v/>
      </c>
      <c r="J2254" s="23" t="n"/>
      <c r="K2254" s="17" t="n"/>
      <c r="L2254" s="17" t="n"/>
      <c r="M2254" s="17" t="n"/>
      <c r="N2254" s="17" t="n"/>
      <c r="O2254" s="26">
        <f>IF($D2254="","",IFERROR(VLOOKUP($D2254,物料档案!$A$4:$P$1203,10,0),0))</f>
        <v/>
      </c>
      <c r="P2254" s="32" t="n"/>
      <c r="Q2254" s="26">
        <f>IF($D2254="","",IF($K2254&lt;&gt;"对外销售",0,ROUND(N($J2254)*IF($P2254="",N($O2254),N($P2254)),0)))</f>
        <v/>
      </c>
      <c r="R2254" s="26">
        <f>IF($D2254="","",IFERROR(VLOOKUP($D2254,库存台账!$A$5:$Y$1204,11,0),0))</f>
        <v/>
      </c>
      <c r="S2254" s="26">
        <f>IF($D2254="","",ROUND(N($J2254)*N($R2254),0))</f>
        <v/>
      </c>
      <c r="T2254" s="26">
        <f>IF($D2254="","",IF($K2254&lt;&gt;"对外销售","",ROUND($Q2254-$S2254,0)))</f>
        <v/>
      </c>
      <c r="U2254" s="17" t="n"/>
      <c r="V2254" s="17" t="n"/>
      <c r="W2254" s="24">
        <f>IF($D2254="","",IF($E2254="※编码不在物料档案里","※物料编码不在档案里",IF(N($J2254)&lt;=0,"※出库数量要大于 0",IF($K2254="","※没填去向类型",IF($L2254="","※没填去向矿区",IF(AND($C2254&lt;&gt;"",$C2254&lt;=结账锁),"※日期早于已结账截止日，不能再录",IF(AND($K2254="自用消耗",COUNTIF({"一矿区";"二矿区"},$L2254)=0),"※自用消耗的去向只能是一矿区或二矿区",IF(AND($K2254="对外销售",COUNTIF({"三矿区";"六矿区"},$L2254)=0),"※对外销售的去向只能是三矿区或六矿区",IF(AND($K2254="对外销售",ROUND($Q2254,0)=0),"※外销却没有售价，请填实际售价",IF(AND($K2254="对外销售",$T2254&lt;&gt;"",$T2254&lt;0),"※这一笔外销是亏的，请核对售价",IF(IFERROR(VLOOKUP($D2254,库存台账!$A$5:$Y$1204,24,0),0)&lt;-0.001,"※这个物料账面已经变成负数了，查一下是不是漏记入库","")))))))))))</f>
        <v/>
      </c>
    </row>
    <row r="2255">
      <c r="A2255" s="24">
        <f>IF($D2255="","",COUNTA($D$4:$D2255))</f>
        <v/>
      </c>
      <c r="B2255" s="17" t="n"/>
      <c r="C2255" s="30" t="n"/>
      <c r="D2255" s="17" t="n"/>
      <c r="E2255" s="24">
        <f>IF($D2255="","",IFERROR(VLOOKUP($D2255,物料档案!$A$4:$P$1203,3,0),"※编码不在物料档案里"))</f>
        <v/>
      </c>
      <c r="F2255" s="24">
        <f>IF($D2255="","",IFERROR(VLOOKUP($D2255,物料档案!$A$4:$P$1203,4,0),"※编码不在物料档案里"))</f>
        <v/>
      </c>
      <c r="G2255" s="24">
        <f>IF($D2255="","",IFERROR(VLOOKUP($D2255,物料档案!$A$4:$P$1203,5,0),"※编码不在物料档案里"))</f>
        <v/>
      </c>
      <c r="H2255" s="24">
        <f>IF($D2255="","",IFERROR(VLOOKUP($D2255,物料档案!$A$4:$P$1203,2,0),"※编码不在物料档案里"))</f>
        <v/>
      </c>
      <c r="I2255" s="24">
        <f>IF($D2255="","",IFERROR(VLOOKUP($D2255,物料档案!$A$4:$P$1203,6,0),"※编码不在物料档案里"))</f>
        <v/>
      </c>
      <c r="J2255" s="23" t="n"/>
      <c r="K2255" s="17" t="n"/>
      <c r="L2255" s="17" t="n"/>
      <c r="M2255" s="17" t="n"/>
      <c r="N2255" s="17" t="n"/>
      <c r="O2255" s="26">
        <f>IF($D2255="","",IFERROR(VLOOKUP($D2255,物料档案!$A$4:$P$1203,10,0),0))</f>
        <v/>
      </c>
      <c r="P2255" s="32" t="n"/>
      <c r="Q2255" s="26">
        <f>IF($D2255="","",IF($K2255&lt;&gt;"对外销售",0,ROUND(N($J2255)*IF($P2255="",N($O2255),N($P2255)),0)))</f>
        <v/>
      </c>
      <c r="R2255" s="26">
        <f>IF($D2255="","",IFERROR(VLOOKUP($D2255,库存台账!$A$5:$Y$1204,11,0),0))</f>
        <v/>
      </c>
      <c r="S2255" s="26">
        <f>IF($D2255="","",ROUND(N($J2255)*N($R2255),0))</f>
        <v/>
      </c>
      <c r="T2255" s="26">
        <f>IF($D2255="","",IF($K2255&lt;&gt;"对外销售","",ROUND($Q2255-$S2255,0)))</f>
        <v/>
      </c>
      <c r="U2255" s="17" t="n"/>
      <c r="V2255" s="17" t="n"/>
      <c r="W2255" s="24">
        <f>IF($D2255="","",IF($E2255="※编码不在物料档案里","※物料编码不在档案里",IF(N($J2255)&lt;=0,"※出库数量要大于 0",IF($K2255="","※没填去向类型",IF($L2255="","※没填去向矿区",IF(AND($C2255&lt;&gt;"",$C2255&lt;=结账锁),"※日期早于已结账截止日，不能再录",IF(AND($K2255="自用消耗",COUNTIF({"一矿区";"二矿区"},$L2255)=0),"※自用消耗的去向只能是一矿区或二矿区",IF(AND($K2255="对外销售",COUNTIF({"三矿区";"六矿区"},$L2255)=0),"※对外销售的去向只能是三矿区或六矿区",IF(AND($K2255="对外销售",ROUND($Q2255,0)=0),"※外销却没有售价，请填实际售价",IF(AND($K2255="对外销售",$T2255&lt;&gt;"",$T2255&lt;0),"※这一笔外销是亏的，请核对售价",IF(IFERROR(VLOOKUP($D2255,库存台账!$A$5:$Y$1204,24,0),0)&lt;-0.001,"※这个物料账面已经变成负数了，查一下是不是漏记入库","")))))))))))</f>
        <v/>
      </c>
    </row>
    <row r="2256">
      <c r="A2256" s="24">
        <f>IF($D2256="","",COUNTA($D$4:$D2256))</f>
        <v/>
      </c>
      <c r="B2256" s="17" t="n"/>
      <c r="C2256" s="30" t="n"/>
      <c r="D2256" s="17" t="n"/>
      <c r="E2256" s="24">
        <f>IF($D2256="","",IFERROR(VLOOKUP($D2256,物料档案!$A$4:$P$1203,3,0),"※编码不在物料档案里"))</f>
        <v/>
      </c>
      <c r="F2256" s="24">
        <f>IF($D2256="","",IFERROR(VLOOKUP($D2256,物料档案!$A$4:$P$1203,4,0),"※编码不在物料档案里"))</f>
        <v/>
      </c>
      <c r="G2256" s="24">
        <f>IF($D2256="","",IFERROR(VLOOKUP($D2256,物料档案!$A$4:$P$1203,5,0),"※编码不在物料档案里"))</f>
        <v/>
      </c>
      <c r="H2256" s="24">
        <f>IF($D2256="","",IFERROR(VLOOKUP($D2256,物料档案!$A$4:$P$1203,2,0),"※编码不在物料档案里"))</f>
        <v/>
      </c>
      <c r="I2256" s="24">
        <f>IF($D2256="","",IFERROR(VLOOKUP($D2256,物料档案!$A$4:$P$1203,6,0),"※编码不在物料档案里"))</f>
        <v/>
      </c>
      <c r="J2256" s="23" t="n"/>
      <c r="K2256" s="17" t="n"/>
      <c r="L2256" s="17" t="n"/>
      <c r="M2256" s="17" t="n"/>
      <c r="N2256" s="17" t="n"/>
      <c r="O2256" s="26">
        <f>IF($D2256="","",IFERROR(VLOOKUP($D2256,物料档案!$A$4:$P$1203,10,0),0))</f>
        <v/>
      </c>
      <c r="P2256" s="32" t="n"/>
      <c r="Q2256" s="26">
        <f>IF($D2256="","",IF($K2256&lt;&gt;"对外销售",0,ROUND(N($J2256)*IF($P2256="",N($O2256),N($P2256)),0)))</f>
        <v/>
      </c>
      <c r="R2256" s="26">
        <f>IF($D2256="","",IFERROR(VLOOKUP($D2256,库存台账!$A$5:$Y$1204,11,0),0))</f>
        <v/>
      </c>
      <c r="S2256" s="26">
        <f>IF($D2256="","",ROUND(N($J2256)*N($R2256),0))</f>
        <v/>
      </c>
      <c r="T2256" s="26">
        <f>IF($D2256="","",IF($K2256&lt;&gt;"对外销售","",ROUND($Q2256-$S2256,0)))</f>
        <v/>
      </c>
      <c r="U2256" s="17" t="n"/>
      <c r="V2256" s="17" t="n"/>
      <c r="W2256" s="24">
        <f>IF($D2256="","",IF($E2256="※编码不在物料档案里","※物料编码不在档案里",IF(N($J2256)&lt;=0,"※出库数量要大于 0",IF($K2256="","※没填去向类型",IF($L2256="","※没填去向矿区",IF(AND($C2256&lt;&gt;"",$C2256&lt;=结账锁),"※日期早于已结账截止日，不能再录",IF(AND($K2256="自用消耗",COUNTIF({"一矿区";"二矿区"},$L2256)=0),"※自用消耗的去向只能是一矿区或二矿区",IF(AND($K2256="对外销售",COUNTIF({"三矿区";"六矿区"},$L2256)=0),"※对外销售的去向只能是三矿区或六矿区",IF(AND($K2256="对外销售",ROUND($Q2256,0)=0),"※外销却没有售价，请填实际售价",IF(AND($K2256="对外销售",$T2256&lt;&gt;"",$T2256&lt;0),"※这一笔外销是亏的，请核对售价",IF(IFERROR(VLOOKUP($D2256,库存台账!$A$5:$Y$1204,24,0),0)&lt;-0.001,"※这个物料账面已经变成负数了，查一下是不是漏记入库","")))))))))))</f>
        <v/>
      </c>
    </row>
    <row r="2257">
      <c r="A2257" s="24">
        <f>IF($D2257="","",COUNTA($D$4:$D2257))</f>
        <v/>
      </c>
      <c r="B2257" s="17" t="n"/>
      <c r="C2257" s="30" t="n"/>
      <c r="D2257" s="17" t="n"/>
      <c r="E2257" s="24">
        <f>IF($D2257="","",IFERROR(VLOOKUP($D2257,物料档案!$A$4:$P$1203,3,0),"※编码不在物料档案里"))</f>
        <v/>
      </c>
      <c r="F2257" s="24">
        <f>IF($D2257="","",IFERROR(VLOOKUP($D2257,物料档案!$A$4:$P$1203,4,0),"※编码不在物料档案里"))</f>
        <v/>
      </c>
      <c r="G2257" s="24">
        <f>IF($D2257="","",IFERROR(VLOOKUP($D2257,物料档案!$A$4:$P$1203,5,0),"※编码不在物料档案里"))</f>
        <v/>
      </c>
      <c r="H2257" s="24">
        <f>IF($D2257="","",IFERROR(VLOOKUP($D2257,物料档案!$A$4:$P$1203,2,0),"※编码不在物料档案里"))</f>
        <v/>
      </c>
      <c r="I2257" s="24">
        <f>IF($D2257="","",IFERROR(VLOOKUP($D2257,物料档案!$A$4:$P$1203,6,0),"※编码不在物料档案里"))</f>
        <v/>
      </c>
      <c r="J2257" s="23" t="n"/>
      <c r="K2257" s="17" t="n"/>
      <c r="L2257" s="17" t="n"/>
      <c r="M2257" s="17" t="n"/>
      <c r="N2257" s="17" t="n"/>
      <c r="O2257" s="26">
        <f>IF($D2257="","",IFERROR(VLOOKUP($D2257,物料档案!$A$4:$P$1203,10,0),0))</f>
        <v/>
      </c>
      <c r="P2257" s="32" t="n"/>
      <c r="Q2257" s="26">
        <f>IF($D2257="","",IF($K2257&lt;&gt;"对外销售",0,ROUND(N($J2257)*IF($P2257="",N($O2257),N($P2257)),0)))</f>
        <v/>
      </c>
      <c r="R2257" s="26">
        <f>IF($D2257="","",IFERROR(VLOOKUP($D2257,库存台账!$A$5:$Y$1204,11,0),0))</f>
        <v/>
      </c>
      <c r="S2257" s="26">
        <f>IF($D2257="","",ROUND(N($J2257)*N($R2257),0))</f>
        <v/>
      </c>
      <c r="T2257" s="26">
        <f>IF($D2257="","",IF($K2257&lt;&gt;"对外销售","",ROUND($Q2257-$S2257,0)))</f>
        <v/>
      </c>
      <c r="U2257" s="17" t="n"/>
      <c r="V2257" s="17" t="n"/>
      <c r="W2257" s="24">
        <f>IF($D2257="","",IF($E2257="※编码不在物料档案里","※物料编码不在档案里",IF(N($J2257)&lt;=0,"※出库数量要大于 0",IF($K2257="","※没填去向类型",IF($L2257="","※没填去向矿区",IF(AND($C2257&lt;&gt;"",$C2257&lt;=结账锁),"※日期早于已结账截止日，不能再录",IF(AND($K2257="自用消耗",COUNTIF({"一矿区";"二矿区"},$L2257)=0),"※自用消耗的去向只能是一矿区或二矿区",IF(AND($K2257="对外销售",COUNTIF({"三矿区";"六矿区"},$L2257)=0),"※对外销售的去向只能是三矿区或六矿区",IF(AND($K2257="对外销售",ROUND($Q2257,0)=0),"※外销却没有售价，请填实际售价",IF(AND($K2257="对外销售",$T2257&lt;&gt;"",$T2257&lt;0),"※这一笔外销是亏的，请核对售价",IF(IFERROR(VLOOKUP($D2257,库存台账!$A$5:$Y$1204,24,0),0)&lt;-0.001,"※这个物料账面已经变成负数了，查一下是不是漏记入库","")))))))))))</f>
        <v/>
      </c>
    </row>
    <row r="2258">
      <c r="A2258" s="24">
        <f>IF($D2258="","",COUNTA($D$4:$D2258))</f>
        <v/>
      </c>
      <c r="B2258" s="17" t="n"/>
      <c r="C2258" s="30" t="n"/>
      <c r="D2258" s="17" t="n"/>
      <c r="E2258" s="24">
        <f>IF($D2258="","",IFERROR(VLOOKUP($D2258,物料档案!$A$4:$P$1203,3,0),"※编码不在物料档案里"))</f>
        <v/>
      </c>
      <c r="F2258" s="24">
        <f>IF($D2258="","",IFERROR(VLOOKUP($D2258,物料档案!$A$4:$P$1203,4,0),"※编码不在物料档案里"))</f>
        <v/>
      </c>
      <c r="G2258" s="24">
        <f>IF($D2258="","",IFERROR(VLOOKUP($D2258,物料档案!$A$4:$P$1203,5,0),"※编码不在物料档案里"))</f>
        <v/>
      </c>
      <c r="H2258" s="24">
        <f>IF($D2258="","",IFERROR(VLOOKUP($D2258,物料档案!$A$4:$P$1203,2,0),"※编码不在物料档案里"))</f>
        <v/>
      </c>
      <c r="I2258" s="24">
        <f>IF($D2258="","",IFERROR(VLOOKUP($D2258,物料档案!$A$4:$P$1203,6,0),"※编码不在物料档案里"))</f>
        <v/>
      </c>
      <c r="J2258" s="23" t="n"/>
      <c r="K2258" s="17" t="n"/>
      <c r="L2258" s="17" t="n"/>
      <c r="M2258" s="17" t="n"/>
      <c r="N2258" s="17" t="n"/>
      <c r="O2258" s="26">
        <f>IF($D2258="","",IFERROR(VLOOKUP($D2258,物料档案!$A$4:$P$1203,10,0),0))</f>
        <v/>
      </c>
      <c r="P2258" s="32" t="n"/>
      <c r="Q2258" s="26">
        <f>IF($D2258="","",IF($K2258&lt;&gt;"对外销售",0,ROUND(N($J2258)*IF($P2258="",N($O2258),N($P2258)),0)))</f>
        <v/>
      </c>
      <c r="R2258" s="26">
        <f>IF($D2258="","",IFERROR(VLOOKUP($D2258,库存台账!$A$5:$Y$1204,11,0),0))</f>
        <v/>
      </c>
      <c r="S2258" s="26">
        <f>IF($D2258="","",ROUND(N($J2258)*N($R2258),0))</f>
        <v/>
      </c>
      <c r="T2258" s="26">
        <f>IF($D2258="","",IF($K2258&lt;&gt;"对外销售","",ROUND($Q2258-$S2258,0)))</f>
        <v/>
      </c>
      <c r="U2258" s="17" t="n"/>
      <c r="V2258" s="17" t="n"/>
      <c r="W2258" s="24">
        <f>IF($D2258="","",IF($E2258="※编码不在物料档案里","※物料编码不在档案里",IF(N($J2258)&lt;=0,"※出库数量要大于 0",IF($K2258="","※没填去向类型",IF($L2258="","※没填去向矿区",IF(AND($C2258&lt;&gt;"",$C2258&lt;=结账锁),"※日期早于已结账截止日，不能再录",IF(AND($K2258="自用消耗",COUNTIF({"一矿区";"二矿区"},$L2258)=0),"※自用消耗的去向只能是一矿区或二矿区",IF(AND($K2258="对外销售",COUNTIF({"三矿区";"六矿区"},$L2258)=0),"※对外销售的去向只能是三矿区或六矿区",IF(AND($K2258="对外销售",ROUND($Q2258,0)=0),"※外销却没有售价，请填实际售价",IF(AND($K2258="对外销售",$T2258&lt;&gt;"",$T2258&lt;0),"※这一笔外销是亏的，请核对售价",IF(IFERROR(VLOOKUP($D2258,库存台账!$A$5:$Y$1204,24,0),0)&lt;-0.001,"※这个物料账面已经变成负数了，查一下是不是漏记入库","")))))))))))</f>
        <v/>
      </c>
    </row>
    <row r="2259">
      <c r="A2259" s="24">
        <f>IF($D2259="","",COUNTA($D$4:$D2259))</f>
        <v/>
      </c>
      <c r="B2259" s="17" t="n"/>
      <c r="C2259" s="30" t="n"/>
      <c r="D2259" s="17" t="n"/>
      <c r="E2259" s="24">
        <f>IF($D2259="","",IFERROR(VLOOKUP($D2259,物料档案!$A$4:$P$1203,3,0),"※编码不在物料档案里"))</f>
        <v/>
      </c>
      <c r="F2259" s="24">
        <f>IF($D2259="","",IFERROR(VLOOKUP($D2259,物料档案!$A$4:$P$1203,4,0),"※编码不在物料档案里"))</f>
        <v/>
      </c>
      <c r="G2259" s="24">
        <f>IF($D2259="","",IFERROR(VLOOKUP($D2259,物料档案!$A$4:$P$1203,5,0),"※编码不在物料档案里"))</f>
        <v/>
      </c>
      <c r="H2259" s="24">
        <f>IF($D2259="","",IFERROR(VLOOKUP($D2259,物料档案!$A$4:$P$1203,2,0),"※编码不在物料档案里"))</f>
        <v/>
      </c>
      <c r="I2259" s="24">
        <f>IF($D2259="","",IFERROR(VLOOKUP($D2259,物料档案!$A$4:$P$1203,6,0),"※编码不在物料档案里"))</f>
        <v/>
      </c>
      <c r="J2259" s="23" t="n"/>
      <c r="K2259" s="17" t="n"/>
      <c r="L2259" s="17" t="n"/>
      <c r="M2259" s="17" t="n"/>
      <c r="N2259" s="17" t="n"/>
      <c r="O2259" s="26">
        <f>IF($D2259="","",IFERROR(VLOOKUP($D2259,物料档案!$A$4:$P$1203,10,0),0))</f>
        <v/>
      </c>
      <c r="P2259" s="32" t="n"/>
      <c r="Q2259" s="26">
        <f>IF($D2259="","",IF($K2259&lt;&gt;"对外销售",0,ROUND(N($J2259)*IF($P2259="",N($O2259),N($P2259)),0)))</f>
        <v/>
      </c>
      <c r="R2259" s="26">
        <f>IF($D2259="","",IFERROR(VLOOKUP($D2259,库存台账!$A$5:$Y$1204,11,0),0))</f>
        <v/>
      </c>
      <c r="S2259" s="26">
        <f>IF($D2259="","",ROUND(N($J2259)*N($R2259),0))</f>
        <v/>
      </c>
      <c r="T2259" s="26">
        <f>IF($D2259="","",IF($K2259&lt;&gt;"对外销售","",ROUND($Q2259-$S2259,0)))</f>
        <v/>
      </c>
      <c r="U2259" s="17" t="n"/>
      <c r="V2259" s="17" t="n"/>
      <c r="W2259" s="24">
        <f>IF($D2259="","",IF($E2259="※编码不在物料档案里","※物料编码不在档案里",IF(N($J2259)&lt;=0,"※出库数量要大于 0",IF($K2259="","※没填去向类型",IF($L2259="","※没填去向矿区",IF(AND($C2259&lt;&gt;"",$C2259&lt;=结账锁),"※日期早于已结账截止日，不能再录",IF(AND($K2259="自用消耗",COUNTIF({"一矿区";"二矿区"},$L2259)=0),"※自用消耗的去向只能是一矿区或二矿区",IF(AND($K2259="对外销售",COUNTIF({"三矿区";"六矿区"},$L2259)=0),"※对外销售的去向只能是三矿区或六矿区",IF(AND($K2259="对外销售",ROUND($Q2259,0)=0),"※外销却没有售价，请填实际售价",IF(AND($K2259="对外销售",$T2259&lt;&gt;"",$T2259&lt;0),"※这一笔外销是亏的，请核对售价",IF(IFERROR(VLOOKUP($D2259,库存台账!$A$5:$Y$1204,24,0),0)&lt;-0.001,"※这个物料账面已经变成负数了，查一下是不是漏记入库","")))))))))))</f>
        <v/>
      </c>
    </row>
    <row r="2260">
      <c r="A2260" s="24">
        <f>IF($D2260="","",COUNTA($D$4:$D2260))</f>
        <v/>
      </c>
      <c r="B2260" s="17" t="n"/>
      <c r="C2260" s="30" t="n"/>
      <c r="D2260" s="17" t="n"/>
      <c r="E2260" s="24">
        <f>IF($D2260="","",IFERROR(VLOOKUP($D2260,物料档案!$A$4:$P$1203,3,0),"※编码不在物料档案里"))</f>
        <v/>
      </c>
      <c r="F2260" s="24">
        <f>IF($D2260="","",IFERROR(VLOOKUP($D2260,物料档案!$A$4:$P$1203,4,0),"※编码不在物料档案里"))</f>
        <v/>
      </c>
      <c r="G2260" s="24">
        <f>IF($D2260="","",IFERROR(VLOOKUP($D2260,物料档案!$A$4:$P$1203,5,0),"※编码不在物料档案里"))</f>
        <v/>
      </c>
      <c r="H2260" s="24">
        <f>IF($D2260="","",IFERROR(VLOOKUP($D2260,物料档案!$A$4:$P$1203,2,0),"※编码不在物料档案里"))</f>
        <v/>
      </c>
      <c r="I2260" s="24">
        <f>IF($D2260="","",IFERROR(VLOOKUP($D2260,物料档案!$A$4:$P$1203,6,0),"※编码不在物料档案里"))</f>
        <v/>
      </c>
      <c r="J2260" s="23" t="n"/>
      <c r="K2260" s="17" t="n"/>
      <c r="L2260" s="17" t="n"/>
      <c r="M2260" s="17" t="n"/>
      <c r="N2260" s="17" t="n"/>
      <c r="O2260" s="26">
        <f>IF($D2260="","",IFERROR(VLOOKUP($D2260,物料档案!$A$4:$P$1203,10,0),0))</f>
        <v/>
      </c>
      <c r="P2260" s="32" t="n"/>
      <c r="Q2260" s="26">
        <f>IF($D2260="","",IF($K2260&lt;&gt;"对外销售",0,ROUND(N($J2260)*IF($P2260="",N($O2260),N($P2260)),0)))</f>
        <v/>
      </c>
      <c r="R2260" s="26">
        <f>IF($D2260="","",IFERROR(VLOOKUP($D2260,库存台账!$A$5:$Y$1204,11,0),0))</f>
        <v/>
      </c>
      <c r="S2260" s="26">
        <f>IF($D2260="","",ROUND(N($J2260)*N($R2260),0))</f>
        <v/>
      </c>
      <c r="T2260" s="26">
        <f>IF($D2260="","",IF($K2260&lt;&gt;"对外销售","",ROUND($Q2260-$S2260,0)))</f>
        <v/>
      </c>
      <c r="U2260" s="17" t="n"/>
      <c r="V2260" s="17" t="n"/>
      <c r="W2260" s="24">
        <f>IF($D2260="","",IF($E2260="※编码不在物料档案里","※物料编码不在档案里",IF(N($J2260)&lt;=0,"※出库数量要大于 0",IF($K2260="","※没填去向类型",IF($L2260="","※没填去向矿区",IF(AND($C2260&lt;&gt;"",$C2260&lt;=结账锁),"※日期早于已结账截止日，不能再录",IF(AND($K2260="自用消耗",COUNTIF({"一矿区";"二矿区"},$L2260)=0),"※自用消耗的去向只能是一矿区或二矿区",IF(AND($K2260="对外销售",COUNTIF({"三矿区";"六矿区"},$L2260)=0),"※对外销售的去向只能是三矿区或六矿区",IF(AND($K2260="对外销售",ROUND($Q2260,0)=0),"※外销却没有售价，请填实际售价",IF(AND($K2260="对外销售",$T2260&lt;&gt;"",$T2260&lt;0),"※这一笔外销是亏的，请核对售价",IF(IFERROR(VLOOKUP($D2260,库存台账!$A$5:$Y$1204,24,0),0)&lt;-0.001,"※这个物料账面已经变成负数了，查一下是不是漏记入库","")))))))))))</f>
        <v/>
      </c>
    </row>
    <row r="2261">
      <c r="A2261" s="24">
        <f>IF($D2261="","",COUNTA($D$4:$D2261))</f>
        <v/>
      </c>
      <c r="B2261" s="17" t="n"/>
      <c r="C2261" s="30" t="n"/>
      <c r="D2261" s="17" t="n"/>
      <c r="E2261" s="24">
        <f>IF($D2261="","",IFERROR(VLOOKUP($D2261,物料档案!$A$4:$P$1203,3,0),"※编码不在物料档案里"))</f>
        <v/>
      </c>
      <c r="F2261" s="24">
        <f>IF($D2261="","",IFERROR(VLOOKUP($D2261,物料档案!$A$4:$P$1203,4,0),"※编码不在物料档案里"))</f>
        <v/>
      </c>
      <c r="G2261" s="24">
        <f>IF($D2261="","",IFERROR(VLOOKUP($D2261,物料档案!$A$4:$P$1203,5,0),"※编码不在物料档案里"))</f>
        <v/>
      </c>
      <c r="H2261" s="24">
        <f>IF($D2261="","",IFERROR(VLOOKUP($D2261,物料档案!$A$4:$P$1203,2,0),"※编码不在物料档案里"))</f>
        <v/>
      </c>
      <c r="I2261" s="24">
        <f>IF($D2261="","",IFERROR(VLOOKUP($D2261,物料档案!$A$4:$P$1203,6,0),"※编码不在物料档案里"))</f>
        <v/>
      </c>
      <c r="J2261" s="23" t="n"/>
      <c r="K2261" s="17" t="n"/>
      <c r="L2261" s="17" t="n"/>
      <c r="M2261" s="17" t="n"/>
      <c r="N2261" s="17" t="n"/>
      <c r="O2261" s="26">
        <f>IF($D2261="","",IFERROR(VLOOKUP($D2261,物料档案!$A$4:$P$1203,10,0),0))</f>
        <v/>
      </c>
      <c r="P2261" s="32" t="n"/>
      <c r="Q2261" s="26">
        <f>IF($D2261="","",IF($K2261&lt;&gt;"对外销售",0,ROUND(N($J2261)*IF($P2261="",N($O2261),N($P2261)),0)))</f>
        <v/>
      </c>
      <c r="R2261" s="26">
        <f>IF($D2261="","",IFERROR(VLOOKUP($D2261,库存台账!$A$5:$Y$1204,11,0),0))</f>
        <v/>
      </c>
      <c r="S2261" s="26">
        <f>IF($D2261="","",ROUND(N($J2261)*N($R2261),0))</f>
        <v/>
      </c>
      <c r="T2261" s="26">
        <f>IF($D2261="","",IF($K2261&lt;&gt;"对外销售","",ROUND($Q2261-$S2261,0)))</f>
        <v/>
      </c>
      <c r="U2261" s="17" t="n"/>
      <c r="V2261" s="17" t="n"/>
      <c r="W2261" s="24">
        <f>IF($D2261="","",IF($E2261="※编码不在物料档案里","※物料编码不在档案里",IF(N($J2261)&lt;=0,"※出库数量要大于 0",IF($K2261="","※没填去向类型",IF($L2261="","※没填去向矿区",IF(AND($C2261&lt;&gt;"",$C2261&lt;=结账锁),"※日期早于已结账截止日，不能再录",IF(AND($K2261="自用消耗",COUNTIF({"一矿区";"二矿区"},$L2261)=0),"※自用消耗的去向只能是一矿区或二矿区",IF(AND($K2261="对外销售",COUNTIF({"三矿区";"六矿区"},$L2261)=0),"※对外销售的去向只能是三矿区或六矿区",IF(AND($K2261="对外销售",ROUND($Q2261,0)=0),"※外销却没有售价，请填实际售价",IF(AND($K2261="对外销售",$T2261&lt;&gt;"",$T2261&lt;0),"※这一笔外销是亏的，请核对售价",IF(IFERROR(VLOOKUP($D2261,库存台账!$A$5:$Y$1204,24,0),0)&lt;-0.001,"※这个物料账面已经变成负数了，查一下是不是漏记入库","")))))))))))</f>
        <v/>
      </c>
    </row>
    <row r="2262">
      <c r="A2262" s="24">
        <f>IF($D2262="","",COUNTA($D$4:$D2262))</f>
        <v/>
      </c>
      <c r="B2262" s="17" t="n"/>
      <c r="C2262" s="30" t="n"/>
      <c r="D2262" s="17" t="n"/>
      <c r="E2262" s="24">
        <f>IF($D2262="","",IFERROR(VLOOKUP($D2262,物料档案!$A$4:$P$1203,3,0),"※编码不在物料档案里"))</f>
        <v/>
      </c>
      <c r="F2262" s="24">
        <f>IF($D2262="","",IFERROR(VLOOKUP($D2262,物料档案!$A$4:$P$1203,4,0),"※编码不在物料档案里"))</f>
        <v/>
      </c>
      <c r="G2262" s="24">
        <f>IF($D2262="","",IFERROR(VLOOKUP($D2262,物料档案!$A$4:$P$1203,5,0),"※编码不在物料档案里"))</f>
        <v/>
      </c>
      <c r="H2262" s="24">
        <f>IF($D2262="","",IFERROR(VLOOKUP($D2262,物料档案!$A$4:$P$1203,2,0),"※编码不在物料档案里"))</f>
        <v/>
      </c>
      <c r="I2262" s="24">
        <f>IF($D2262="","",IFERROR(VLOOKUP($D2262,物料档案!$A$4:$P$1203,6,0),"※编码不在物料档案里"))</f>
        <v/>
      </c>
      <c r="J2262" s="23" t="n"/>
      <c r="K2262" s="17" t="n"/>
      <c r="L2262" s="17" t="n"/>
      <c r="M2262" s="17" t="n"/>
      <c r="N2262" s="17" t="n"/>
      <c r="O2262" s="26">
        <f>IF($D2262="","",IFERROR(VLOOKUP($D2262,物料档案!$A$4:$P$1203,10,0),0))</f>
        <v/>
      </c>
      <c r="P2262" s="32" t="n"/>
      <c r="Q2262" s="26">
        <f>IF($D2262="","",IF($K2262&lt;&gt;"对外销售",0,ROUND(N($J2262)*IF($P2262="",N($O2262),N($P2262)),0)))</f>
        <v/>
      </c>
      <c r="R2262" s="26">
        <f>IF($D2262="","",IFERROR(VLOOKUP($D2262,库存台账!$A$5:$Y$1204,11,0),0))</f>
        <v/>
      </c>
      <c r="S2262" s="26">
        <f>IF($D2262="","",ROUND(N($J2262)*N($R2262),0))</f>
        <v/>
      </c>
      <c r="T2262" s="26">
        <f>IF($D2262="","",IF($K2262&lt;&gt;"对外销售","",ROUND($Q2262-$S2262,0)))</f>
        <v/>
      </c>
      <c r="U2262" s="17" t="n"/>
      <c r="V2262" s="17" t="n"/>
      <c r="W2262" s="24">
        <f>IF($D2262="","",IF($E2262="※编码不在物料档案里","※物料编码不在档案里",IF(N($J2262)&lt;=0,"※出库数量要大于 0",IF($K2262="","※没填去向类型",IF($L2262="","※没填去向矿区",IF(AND($C2262&lt;&gt;"",$C2262&lt;=结账锁),"※日期早于已结账截止日，不能再录",IF(AND($K2262="自用消耗",COUNTIF({"一矿区";"二矿区"},$L2262)=0),"※自用消耗的去向只能是一矿区或二矿区",IF(AND($K2262="对外销售",COUNTIF({"三矿区";"六矿区"},$L2262)=0),"※对外销售的去向只能是三矿区或六矿区",IF(AND($K2262="对外销售",ROUND($Q2262,0)=0),"※外销却没有售价，请填实际售价",IF(AND($K2262="对外销售",$T2262&lt;&gt;"",$T2262&lt;0),"※这一笔外销是亏的，请核对售价",IF(IFERROR(VLOOKUP($D2262,库存台账!$A$5:$Y$1204,24,0),0)&lt;-0.001,"※这个物料账面已经变成负数了，查一下是不是漏记入库","")))))))))))</f>
        <v/>
      </c>
    </row>
    <row r="2263">
      <c r="A2263" s="24">
        <f>IF($D2263="","",COUNTA($D$4:$D2263))</f>
        <v/>
      </c>
      <c r="B2263" s="17" t="n"/>
      <c r="C2263" s="30" t="n"/>
      <c r="D2263" s="17" t="n"/>
      <c r="E2263" s="24">
        <f>IF($D2263="","",IFERROR(VLOOKUP($D2263,物料档案!$A$4:$P$1203,3,0),"※编码不在物料档案里"))</f>
        <v/>
      </c>
      <c r="F2263" s="24">
        <f>IF($D2263="","",IFERROR(VLOOKUP($D2263,物料档案!$A$4:$P$1203,4,0),"※编码不在物料档案里"))</f>
        <v/>
      </c>
      <c r="G2263" s="24">
        <f>IF($D2263="","",IFERROR(VLOOKUP($D2263,物料档案!$A$4:$P$1203,5,0),"※编码不在物料档案里"))</f>
        <v/>
      </c>
      <c r="H2263" s="24">
        <f>IF($D2263="","",IFERROR(VLOOKUP($D2263,物料档案!$A$4:$P$1203,2,0),"※编码不在物料档案里"))</f>
        <v/>
      </c>
      <c r="I2263" s="24">
        <f>IF($D2263="","",IFERROR(VLOOKUP($D2263,物料档案!$A$4:$P$1203,6,0),"※编码不在物料档案里"))</f>
        <v/>
      </c>
      <c r="J2263" s="23" t="n"/>
      <c r="K2263" s="17" t="n"/>
      <c r="L2263" s="17" t="n"/>
      <c r="M2263" s="17" t="n"/>
      <c r="N2263" s="17" t="n"/>
      <c r="O2263" s="26">
        <f>IF($D2263="","",IFERROR(VLOOKUP($D2263,物料档案!$A$4:$P$1203,10,0),0))</f>
        <v/>
      </c>
      <c r="P2263" s="32" t="n"/>
      <c r="Q2263" s="26">
        <f>IF($D2263="","",IF($K2263&lt;&gt;"对外销售",0,ROUND(N($J2263)*IF($P2263="",N($O2263),N($P2263)),0)))</f>
        <v/>
      </c>
      <c r="R2263" s="26">
        <f>IF($D2263="","",IFERROR(VLOOKUP($D2263,库存台账!$A$5:$Y$1204,11,0),0))</f>
        <v/>
      </c>
      <c r="S2263" s="26">
        <f>IF($D2263="","",ROUND(N($J2263)*N($R2263),0))</f>
        <v/>
      </c>
      <c r="T2263" s="26">
        <f>IF($D2263="","",IF($K2263&lt;&gt;"对外销售","",ROUND($Q2263-$S2263,0)))</f>
        <v/>
      </c>
      <c r="U2263" s="17" t="n"/>
      <c r="V2263" s="17" t="n"/>
      <c r="W2263" s="24">
        <f>IF($D2263="","",IF($E2263="※编码不在物料档案里","※物料编码不在档案里",IF(N($J2263)&lt;=0,"※出库数量要大于 0",IF($K2263="","※没填去向类型",IF($L2263="","※没填去向矿区",IF(AND($C2263&lt;&gt;"",$C2263&lt;=结账锁),"※日期早于已结账截止日，不能再录",IF(AND($K2263="自用消耗",COUNTIF({"一矿区";"二矿区"},$L2263)=0),"※自用消耗的去向只能是一矿区或二矿区",IF(AND($K2263="对外销售",COUNTIF({"三矿区";"六矿区"},$L2263)=0),"※对外销售的去向只能是三矿区或六矿区",IF(AND($K2263="对外销售",ROUND($Q2263,0)=0),"※外销却没有售价，请填实际售价",IF(AND($K2263="对外销售",$T2263&lt;&gt;"",$T2263&lt;0),"※这一笔外销是亏的，请核对售价",IF(IFERROR(VLOOKUP($D2263,库存台账!$A$5:$Y$1204,24,0),0)&lt;-0.001,"※这个物料账面已经变成负数了，查一下是不是漏记入库","")))))))))))</f>
        <v/>
      </c>
    </row>
    <row r="2264">
      <c r="A2264" s="24">
        <f>IF($D2264="","",COUNTA($D$4:$D2264))</f>
        <v/>
      </c>
      <c r="B2264" s="17" t="n"/>
      <c r="C2264" s="30" t="n"/>
      <c r="D2264" s="17" t="n"/>
      <c r="E2264" s="24">
        <f>IF($D2264="","",IFERROR(VLOOKUP($D2264,物料档案!$A$4:$P$1203,3,0),"※编码不在物料档案里"))</f>
        <v/>
      </c>
      <c r="F2264" s="24">
        <f>IF($D2264="","",IFERROR(VLOOKUP($D2264,物料档案!$A$4:$P$1203,4,0),"※编码不在物料档案里"))</f>
        <v/>
      </c>
      <c r="G2264" s="24">
        <f>IF($D2264="","",IFERROR(VLOOKUP($D2264,物料档案!$A$4:$P$1203,5,0),"※编码不在物料档案里"))</f>
        <v/>
      </c>
      <c r="H2264" s="24">
        <f>IF($D2264="","",IFERROR(VLOOKUP($D2264,物料档案!$A$4:$P$1203,2,0),"※编码不在物料档案里"))</f>
        <v/>
      </c>
      <c r="I2264" s="24">
        <f>IF($D2264="","",IFERROR(VLOOKUP($D2264,物料档案!$A$4:$P$1203,6,0),"※编码不在物料档案里"))</f>
        <v/>
      </c>
      <c r="J2264" s="23" t="n"/>
      <c r="K2264" s="17" t="n"/>
      <c r="L2264" s="17" t="n"/>
      <c r="M2264" s="17" t="n"/>
      <c r="N2264" s="17" t="n"/>
      <c r="O2264" s="26">
        <f>IF($D2264="","",IFERROR(VLOOKUP($D2264,物料档案!$A$4:$P$1203,10,0),0))</f>
        <v/>
      </c>
      <c r="P2264" s="32" t="n"/>
      <c r="Q2264" s="26">
        <f>IF($D2264="","",IF($K2264&lt;&gt;"对外销售",0,ROUND(N($J2264)*IF($P2264="",N($O2264),N($P2264)),0)))</f>
        <v/>
      </c>
      <c r="R2264" s="26">
        <f>IF($D2264="","",IFERROR(VLOOKUP($D2264,库存台账!$A$5:$Y$1204,11,0),0))</f>
        <v/>
      </c>
      <c r="S2264" s="26">
        <f>IF($D2264="","",ROUND(N($J2264)*N($R2264),0))</f>
        <v/>
      </c>
      <c r="T2264" s="26">
        <f>IF($D2264="","",IF($K2264&lt;&gt;"对外销售","",ROUND($Q2264-$S2264,0)))</f>
        <v/>
      </c>
      <c r="U2264" s="17" t="n"/>
      <c r="V2264" s="17" t="n"/>
      <c r="W2264" s="24">
        <f>IF($D2264="","",IF($E2264="※编码不在物料档案里","※物料编码不在档案里",IF(N($J2264)&lt;=0,"※出库数量要大于 0",IF($K2264="","※没填去向类型",IF($L2264="","※没填去向矿区",IF(AND($C2264&lt;&gt;"",$C2264&lt;=结账锁),"※日期早于已结账截止日，不能再录",IF(AND($K2264="自用消耗",COUNTIF({"一矿区";"二矿区"},$L2264)=0),"※自用消耗的去向只能是一矿区或二矿区",IF(AND($K2264="对外销售",COUNTIF({"三矿区";"六矿区"},$L2264)=0),"※对外销售的去向只能是三矿区或六矿区",IF(AND($K2264="对外销售",ROUND($Q2264,0)=0),"※外销却没有售价，请填实际售价",IF(AND($K2264="对外销售",$T2264&lt;&gt;"",$T2264&lt;0),"※这一笔外销是亏的，请核对售价",IF(IFERROR(VLOOKUP($D2264,库存台账!$A$5:$Y$1204,24,0),0)&lt;-0.001,"※这个物料账面已经变成负数了，查一下是不是漏记入库","")))))))))))</f>
        <v/>
      </c>
    </row>
    <row r="2265">
      <c r="A2265" s="24">
        <f>IF($D2265="","",COUNTA($D$4:$D2265))</f>
        <v/>
      </c>
      <c r="B2265" s="17" t="n"/>
      <c r="C2265" s="30" t="n"/>
      <c r="D2265" s="17" t="n"/>
      <c r="E2265" s="24">
        <f>IF($D2265="","",IFERROR(VLOOKUP($D2265,物料档案!$A$4:$P$1203,3,0),"※编码不在物料档案里"))</f>
        <v/>
      </c>
      <c r="F2265" s="24">
        <f>IF($D2265="","",IFERROR(VLOOKUP($D2265,物料档案!$A$4:$P$1203,4,0),"※编码不在物料档案里"))</f>
        <v/>
      </c>
      <c r="G2265" s="24">
        <f>IF($D2265="","",IFERROR(VLOOKUP($D2265,物料档案!$A$4:$P$1203,5,0),"※编码不在物料档案里"))</f>
        <v/>
      </c>
      <c r="H2265" s="24">
        <f>IF($D2265="","",IFERROR(VLOOKUP($D2265,物料档案!$A$4:$P$1203,2,0),"※编码不在物料档案里"))</f>
        <v/>
      </c>
      <c r="I2265" s="24">
        <f>IF($D2265="","",IFERROR(VLOOKUP($D2265,物料档案!$A$4:$P$1203,6,0),"※编码不在物料档案里"))</f>
        <v/>
      </c>
      <c r="J2265" s="23" t="n"/>
      <c r="K2265" s="17" t="n"/>
      <c r="L2265" s="17" t="n"/>
      <c r="M2265" s="17" t="n"/>
      <c r="N2265" s="17" t="n"/>
      <c r="O2265" s="26">
        <f>IF($D2265="","",IFERROR(VLOOKUP($D2265,物料档案!$A$4:$P$1203,10,0),0))</f>
        <v/>
      </c>
      <c r="P2265" s="32" t="n"/>
      <c r="Q2265" s="26">
        <f>IF($D2265="","",IF($K2265&lt;&gt;"对外销售",0,ROUND(N($J2265)*IF($P2265="",N($O2265),N($P2265)),0)))</f>
        <v/>
      </c>
      <c r="R2265" s="26">
        <f>IF($D2265="","",IFERROR(VLOOKUP($D2265,库存台账!$A$5:$Y$1204,11,0),0))</f>
        <v/>
      </c>
      <c r="S2265" s="26">
        <f>IF($D2265="","",ROUND(N($J2265)*N($R2265),0))</f>
        <v/>
      </c>
      <c r="T2265" s="26">
        <f>IF($D2265="","",IF($K2265&lt;&gt;"对外销售","",ROUND($Q2265-$S2265,0)))</f>
        <v/>
      </c>
      <c r="U2265" s="17" t="n"/>
      <c r="V2265" s="17" t="n"/>
      <c r="W2265" s="24">
        <f>IF($D2265="","",IF($E2265="※编码不在物料档案里","※物料编码不在档案里",IF(N($J2265)&lt;=0,"※出库数量要大于 0",IF($K2265="","※没填去向类型",IF($L2265="","※没填去向矿区",IF(AND($C2265&lt;&gt;"",$C2265&lt;=结账锁),"※日期早于已结账截止日，不能再录",IF(AND($K2265="自用消耗",COUNTIF({"一矿区";"二矿区"},$L2265)=0),"※自用消耗的去向只能是一矿区或二矿区",IF(AND($K2265="对外销售",COUNTIF({"三矿区";"六矿区"},$L2265)=0),"※对外销售的去向只能是三矿区或六矿区",IF(AND($K2265="对外销售",ROUND($Q2265,0)=0),"※外销却没有售价，请填实际售价",IF(AND($K2265="对外销售",$T2265&lt;&gt;"",$T2265&lt;0),"※这一笔外销是亏的，请核对售价",IF(IFERROR(VLOOKUP($D2265,库存台账!$A$5:$Y$1204,24,0),0)&lt;-0.001,"※这个物料账面已经变成负数了，查一下是不是漏记入库","")))))))))))</f>
        <v/>
      </c>
    </row>
    <row r="2266">
      <c r="A2266" s="24">
        <f>IF($D2266="","",COUNTA($D$4:$D2266))</f>
        <v/>
      </c>
      <c r="B2266" s="17" t="n"/>
      <c r="C2266" s="30" t="n"/>
      <c r="D2266" s="17" t="n"/>
      <c r="E2266" s="24">
        <f>IF($D2266="","",IFERROR(VLOOKUP($D2266,物料档案!$A$4:$P$1203,3,0),"※编码不在物料档案里"))</f>
        <v/>
      </c>
      <c r="F2266" s="24">
        <f>IF($D2266="","",IFERROR(VLOOKUP($D2266,物料档案!$A$4:$P$1203,4,0),"※编码不在物料档案里"))</f>
        <v/>
      </c>
      <c r="G2266" s="24">
        <f>IF($D2266="","",IFERROR(VLOOKUP($D2266,物料档案!$A$4:$P$1203,5,0),"※编码不在物料档案里"))</f>
        <v/>
      </c>
      <c r="H2266" s="24">
        <f>IF($D2266="","",IFERROR(VLOOKUP($D2266,物料档案!$A$4:$P$1203,2,0),"※编码不在物料档案里"))</f>
        <v/>
      </c>
      <c r="I2266" s="24">
        <f>IF($D2266="","",IFERROR(VLOOKUP($D2266,物料档案!$A$4:$P$1203,6,0),"※编码不在物料档案里"))</f>
        <v/>
      </c>
      <c r="J2266" s="23" t="n"/>
      <c r="K2266" s="17" t="n"/>
      <c r="L2266" s="17" t="n"/>
      <c r="M2266" s="17" t="n"/>
      <c r="N2266" s="17" t="n"/>
      <c r="O2266" s="26">
        <f>IF($D2266="","",IFERROR(VLOOKUP($D2266,物料档案!$A$4:$P$1203,10,0),0))</f>
        <v/>
      </c>
      <c r="P2266" s="32" t="n"/>
      <c r="Q2266" s="26">
        <f>IF($D2266="","",IF($K2266&lt;&gt;"对外销售",0,ROUND(N($J2266)*IF($P2266="",N($O2266),N($P2266)),0)))</f>
        <v/>
      </c>
      <c r="R2266" s="26">
        <f>IF($D2266="","",IFERROR(VLOOKUP($D2266,库存台账!$A$5:$Y$1204,11,0),0))</f>
        <v/>
      </c>
      <c r="S2266" s="26">
        <f>IF($D2266="","",ROUND(N($J2266)*N($R2266),0))</f>
        <v/>
      </c>
      <c r="T2266" s="26">
        <f>IF($D2266="","",IF($K2266&lt;&gt;"对外销售","",ROUND($Q2266-$S2266,0)))</f>
        <v/>
      </c>
      <c r="U2266" s="17" t="n"/>
      <c r="V2266" s="17" t="n"/>
      <c r="W2266" s="24">
        <f>IF($D2266="","",IF($E2266="※编码不在物料档案里","※物料编码不在档案里",IF(N($J2266)&lt;=0,"※出库数量要大于 0",IF($K2266="","※没填去向类型",IF($L2266="","※没填去向矿区",IF(AND($C2266&lt;&gt;"",$C2266&lt;=结账锁),"※日期早于已结账截止日，不能再录",IF(AND($K2266="自用消耗",COUNTIF({"一矿区";"二矿区"},$L2266)=0),"※自用消耗的去向只能是一矿区或二矿区",IF(AND($K2266="对外销售",COUNTIF({"三矿区";"六矿区"},$L2266)=0),"※对外销售的去向只能是三矿区或六矿区",IF(AND($K2266="对外销售",ROUND($Q2266,0)=0),"※外销却没有售价，请填实际售价",IF(AND($K2266="对外销售",$T2266&lt;&gt;"",$T2266&lt;0),"※这一笔外销是亏的，请核对售价",IF(IFERROR(VLOOKUP($D2266,库存台账!$A$5:$Y$1204,24,0),0)&lt;-0.001,"※这个物料账面已经变成负数了，查一下是不是漏记入库","")))))))))))</f>
        <v/>
      </c>
    </row>
    <row r="2267">
      <c r="A2267" s="24">
        <f>IF($D2267="","",COUNTA($D$4:$D2267))</f>
        <v/>
      </c>
      <c r="B2267" s="17" t="n"/>
      <c r="C2267" s="30" t="n"/>
      <c r="D2267" s="17" t="n"/>
      <c r="E2267" s="24">
        <f>IF($D2267="","",IFERROR(VLOOKUP($D2267,物料档案!$A$4:$P$1203,3,0),"※编码不在物料档案里"))</f>
        <v/>
      </c>
      <c r="F2267" s="24">
        <f>IF($D2267="","",IFERROR(VLOOKUP($D2267,物料档案!$A$4:$P$1203,4,0),"※编码不在物料档案里"))</f>
        <v/>
      </c>
      <c r="G2267" s="24">
        <f>IF($D2267="","",IFERROR(VLOOKUP($D2267,物料档案!$A$4:$P$1203,5,0),"※编码不在物料档案里"))</f>
        <v/>
      </c>
      <c r="H2267" s="24">
        <f>IF($D2267="","",IFERROR(VLOOKUP($D2267,物料档案!$A$4:$P$1203,2,0),"※编码不在物料档案里"))</f>
        <v/>
      </c>
      <c r="I2267" s="24">
        <f>IF($D2267="","",IFERROR(VLOOKUP($D2267,物料档案!$A$4:$P$1203,6,0),"※编码不在物料档案里"))</f>
        <v/>
      </c>
      <c r="J2267" s="23" t="n"/>
      <c r="K2267" s="17" t="n"/>
      <c r="L2267" s="17" t="n"/>
      <c r="M2267" s="17" t="n"/>
      <c r="N2267" s="17" t="n"/>
      <c r="O2267" s="26">
        <f>IF($D2267="","",IFERROR(VLOOKUP($D2267,物料档案!$A$4:$P$1203,10,0),0))</f>
        <v/>
      </c>
      <c r="P2267" s="32" t="n"/>
      <c r="Q2267" s="26">
        <f>IF($D2267="","",IF($K2267&lt;&gt;"对外销售",0,ROUND(N($J2267)*IF($P2267="",N($O2267),N($P2267)),0)))</f>
        <v/>
      </c>
      <c r="R2267" s="26">
        <f>IF($D2267="","",IFERROR(VLOOKUP($D2267,库存台账!$A$5:$Y$1204,11,0),0))</f>
        <v/>
      </c>
      <c r="S2267" s="26">
        <f>IF($D2267="","",ROUND(N($J2267)*N($R2267),0))</f>
        <v/>
      </c>
      <c r="T2267" s="26">
        <f>IF($D2267="","",IF($K2267&lt;&gt;"对外销售","",ROUND($Q2267-$S2267,0)))</f>
        <v/>
      </c>
      <c r="U2267" s="17" t="n"/>
      <c r="V2267" s="17" t="n"/>
      <c r="W2267" s="24">
        <f>IF($D2267="","",IF($E2267="※编码不在物料档案里","※物料编码不在档案里",IF(N($J2267)&lt;=0,"※出库数量要大于 0",IF($K2267="","※没填去向类型",IF($L2267="","※没填去向矿区",IF(AND($C2267&lt;&gt;"",$C2267&lt;=结账锁),"※日期早于已结账截止日，不能再录",IF(AND($K2267="自用消耗",COUNTIF({"一矿区";"二矿区"},$L2267)=0),"※自用消耗的去向只能是一矿区或二矿区",IF(AND($K2267="对外销售",COUNTIF({"三矿区";"六矿区"},$L2267)=0),"※对外销售的去向只能是三矿区或六矿区",IF(AND($K2267="对外销售",ROUND($Q2267,0)=0),"※外销却没有售价，请填实际售价",IF(AND($K2267="对外销售",$T2267&lt;&gt;"",$T2267&lt;0),"※这一笔外销是亏的，请核对售价",IF(IFERROR(VLOOKUP($D2267,库存台账!$A$5:$Y$1204,24,0),0)&lt;-0.001,"※这个物料账面已经变成负数了，查一下是不是漏记入库","")))))))))))</f>
        <v/>
      </c>
    </row>
    <row r="2268">
      <c r="A2268" s="24">
        <f>IF($D2268="","",COUNTA($D$4:$D2268))</f>
        <v/>
      </c>
      <c r="B2268" s="17" t="n"/>
      <c r="C2268" s="30" t="n"/>
      <c r="D2268" s="17" t="n"/>
      <c r="E2268" s="24">
        <f>IF($D2268="","",IFERROR(VLOOKUP($D2268,物料档案!$A$4:$P$1203,3,0),"※编码不在物料档案里"))</f>
        <v/>
      </c>
      <c r="F2268" s="24">
        <f>IF($D2268="","",IFERROR(VLOOKUP($D2268,物料档案!$A$4:$P$1203,4,0),"※编码不在物料档案里"))</f>
        <v/>
      </c>
      <c r="G2268" s="24">
        <f>IF($D2268="","",IFERROR(VLOOKUP($D2268,物料档案!$A$4:$P$1203,5,0),"※编码不在物料档案里"))</f>
        <v/>
      </c>
      <c r="H2268" s="24">
        <f>IF($D2268="","",IFERROR(VLOOKUP($D2268,物料档案!$A$4:$P$1203,2,0),"※编码不在物料档案里"))</f>
        <v/>
      </c>
      <c r="I2268" s="24">
        <f>IF($D2268="","",IFERROR(VLOOKUP($D2268,物料档案!$A$4:$P$1203,6,0),"※编码不在物料档案里"))</f>
        <v/>
      </c>
      <c r="J2268" s="23" t="n"/>
      <c r="K2268" s="17" t="n"/>
      <c r="L2268" s="17" t="n"/>
      <c r="M2268" s="17" t="n"/>
      <c r="N2268" s="17" t="n"/>
      <c r="O2268" s="26">
        <f>IF($D2268="","",IFERROR(VLOOKUP($D2268,物料档案!$A$4:$P$1203,10,0),0))</f>
        <v/>
      </c>
      <c r="P2268" s="32" t="n"/>
      <c r="Q2268" s="26">
        <f>IF($D2268="","",IF($K2268&lt;&gt;"对外销售",0,ROUND(N($J2268)*IF($P2268="",N($O2268),N($P2268)),0)))</f>
        <v/>
      </c>
      <c r="R2268" s="26">
        <f>IF($D2268="","",IFERROR(VLOOKUP($D2268,库存台账!$A$5:$Y$1204,11,0),0))</f>
        <v/>
      </c>
      <c r="S2268" s="26">
        <f>IF($D2268="","",ROUND(N($J2268)*N($R2268),0))</f>
        <v/>
      </c>
      <c r="T2268" s="26">
        <f>IF($D2268="","",IF($K2268&lt;&gt;"对外销售","",ROUND($Q2268-$S2268,0)))</f>
        <v/>
      </c>
      <c r="U2268" s="17" t="n"/>
      <c r="V2268" s="17" t="n"/>
      <c r="W2268" s="24">
        <f>IF($D2268="","",IF($E2268="※编码不在物料档案里","※物料编码不在档案里",IF(N($J2268)&lt;=0,"※出库数量要大于 0",IF($K2268="","※没填去向类型",IF($L2268="","※没填去向矿区",IF(AND($C2268&lt;&gt;"",$C2268&lt;=结账锁),"※日期早于已结账截止日，不能再录",IF(AND($K2268="自用消耗",COUNTIF({"一矿区";"二矿区"},$L2268)=0),"※自用消耗的去向只能是一矿区或二矿区",IF(AND($K2268="对外销售",COUNTIF({"三矿区";"六矿区"},$L2268)=0),"※对外销售的去向只能是三矿区或六矿区",IF(AND($K2268="对外销售",ROUND($Q2268,0)=0),"※外销却没有售价，请填实际售价",IF(AND($K2268="对外销售",$T2268&lt;&gt;"",$T2268&lt;0),"※这一笔外销是亏的，请核对售价",IF(IFERROR(VLOOKUP($D2268,库存台账!$A$5:$Y$1204,24,0),0)&lt;-0.001,"※这个物料账面已经变成负数了，查一下是不是漏记入库","")))))))))))</f>
        <v/>
      </c>
    </row>
    <row r="2269">
      <c r="A2269" s="24">
        <f>IF($D2269="","",COUNTA($D$4:$D2269))</f>
        <v/>
      </c>
      <c r="B2269" s="17" t="n"/>
      <c r="C2269" s="30" t="n"/>
      <c r="D2269" s="17" t="n"/>
      <c r="E2269" s="24">
        <f>IF($D2269="","",IFERROR(VLOOKUP($D2269,物料档案!$A$4:$P$1203,3,0),"※编码不在物料档案里"))</f>
        <v/>
      </c>
      <c r="F2269" s="24">
        <f>IF($D2269="","",IFERROR(VLOOKUP($D2269,物料档案!$A$4:$P$1203,4,0),"※编码不在物料档案里"))</f>
        <v/>
      </c>
      <c r="G2269" s="24">
        <f>IF($D2269="","",IFERROR(VLOOKUP($D2269,物料档案!$A$4:$P$1203,5,0),"※编码不在物料档案里"))</f>
        <v/>
      </c>
      <c r="H2269" s="24">
        <f>IF($D2269="","",IFERROR(VLOOKUP($D2269,物料档案!$A$4:$P$1203,2,0),"※编码不在物料档案里"))</f>
        <v/>
      </c>
      <c r="I2269" s="24">
        <f>IF($D2269="","",IFERROR(VLOOKUP($D2269,物料档案!$A$4:$P$1203,6,0),"※编码不在物料档案里"))</f>
        <v/>
      </c>
      <c r="J2269" s="23" t="n"/>
      <c r="K2269" s="17" t="n"/>
      <c r="L2269" s="17" t="n"/>
      <c r="M2269" s="17" t="n"/>
      <c r="N2269" s="17" t="n"/>
      <c r="O2269" s="26">
        <f>IF($D2269="","",IFERROR(VLOOKUP($D2269,物料档案!$A$4:$P$1203,10,0),0))</f>
        <v/>
      </c>
      <c r="P2269" s="32" t="n"/>
      <c r="Q2269" s="26">
        <f>IF($D2269="","",IF($K2269&lt;&gt;"对外销售",0,ROUND(N($J2269)*IF($P2269="",N($O2269),N($P2269)),0)))</f>
        <v/>
      </c>
      <c r="R2269" s="26">
        <f>IF($D2269="","",IFERROR(VLOOKUP($D2269,库存台账!$A$5:$Y$1204,11,0),0))</f>
        <v/>
      </c>
      <c r="S2269" s="26">
        <f>IF($D2269="","",ROUND(N($J2269)*N($R2269),0))</f>
        <v/>
      </c>
      <c r="T2269" s="26">
        <f>IF($D2269="","",IF($K2269&lt;&gt;"对外销售","",ROUND($Q2269-$S2269,0)))</f>
        <v/>
      </c>
      <c r="U2269" s="17" t="n"/>
      <c r="V2269" s="17" t="n"/>
      <c r="W2269" s="24">
        <f>IF($D2269="","",IF($E2269="※编码不在物料档案里","※物料编码不在档案里",IF(N($J2269)&lt;=0,"※出库数量要大于 0",IF($K2269="","※没填去向类型",IF($L2269="","※没填去向矿区",IF(AND($C2269&lt;&gt;"",$C2269&lt;=结账锁),"※日期早于已结账截止日，不能再录",IF(AND($K2269="自用消耗",COUNTIF({"一矿区";"二矿区"},$L2269)=0),"※自用消耗的去向只能是一矿区或二矿区",IF(AND($K2269="对外销售",COUNTIF({"三矿区";"六矿区"},$L2269)=0),"※对外销售的去向只能是三矿区或六矿区",IF(AND($K2269="对外销售",ROUND($Q2269,0)=0),"※外销却没有售价，请填实际售价",IF(AND($K2269="对外销售",$T2269&lt;&gt;"",$T2269&lt;0),"※这一笔外销是亏的，请核对售价",IF(IFERROR(VLOOKUP($D2269,库存台账!$A$5:$Y$1204,24,0),0)&lt;-0.001,"※这个物料账面已经变成负数了，查一下是不是漏记入库","")))))))))))</f>
        <v/>
      </c>
    </row>
    <row r="2270">
      <c r="A2270" s="24">
        <f>IF($D2270="","",COUNTA($D$4:$D2270))</f>
        <v/>
      </c>
      <c r="B2270" s="17" t="n"/>
      <c r="C2270" s="30" t="n"/>
      <c r="D2270" s="17" t="n"/>
      <c r="E2270" s="24">
        <f>IF($D2270="","",IFERROR(VLOOKUP($D2270,物料档案!$A$4:$P$1203,3,0),"※编码不在物料档案里"))</f>
        <v/>
      </c>
      <c r="F2270" s="24">
        <f>IF($D2270="","",IFERROR(VLOOKUP($D2270,物料档案!$A$4:$P$1203,4,0),"※编码不在物料档案里"))</f>
        <v/>
      </c>
      <c r="G2270" s="24">
        <f>IF($D2270="","",IFERROR(VLOOKUP($D2270,物料档案!$A$4:$P$1203,5,0),"※编码不在物料档案里"))</f>
        <v/>
      </c>
      <c r="H2270" s="24">
        <f>IF($D2270="","",IFERROR(VLOOKUP($D2270,物料档案!$A$4:$P$1203,2,0),"※编码不在物料档案里"))</f>
        <v/>
      </c>
      <c r="I2270" s="24">
        <f>IF($D2270="","",IFERROR(VLOOKUP($D2270,物料档案!$A$4:$P$1203,6,0),"※编码不在物料档案里"))</f>
        <v/>
      </c>
      <c r="J2270" s="23" t="n"/>
      <c r="K2270" s="17" t="n"/>
      <c r="L2270" s="17" t="n"/>
      <c r="M2270" s="17" t="n"/>
      <c r="N2270" s="17" t="n"/>
      <c r="O2270" s="26">
        <f>IF($D2270="","",IFERROR(VLOOKUP($D2270,物料档案!$A$4:$P$1203,10,0),0))</f>
        <v/>
      </c>
      <c r="P2270" s="32" t="n"/>
      <c r="Q2270" s="26">
        <f>IF($D2270="","",IF($K2270&lt;&gt;"对外销售",0,ROUND(N($J2270)*IF($P2270="",N($O2270),N($P2270)),0)))</f>
        <v/>
      </c>
      <c r="R2270" s="26">
        <f>IF($D2270="","",IFERROR(VLOOKUP($D2270,库存台账!$A$5:$Y$1204,11,0),0))</f>
        <v/>
      </c>
      <c r="S2270" s="26">
        <f>IF($D2270="","",ROUND(N($J2270)*N($R2270),0))</f>
        <v/>
      </c>
      <c r="T2270" s="26">
        <f>IF($D2270="","",IF($K2270&lt;&gt;"对外销售","",ROUND($Q2270-$S2270,0)))</f>
        <v/>
      </c>
      <c r="U2270" s="17" t="n"/>
      <c r="V2270" s="17" t="n"/>
      <c r="W2270" s="24">
        <f>IF($D2270="","",IF($E2270="※编码不在物料档案里","※物料编码不在档案里",IF(N($J2270)&lt;=0,"※出库数量要大于 0",IF($K2270="","※没填去向类型",IF($L2270="","※没填去向矿区",IF(AND($C2270&lt;&gt;"",$C2270&lt;=结账锁),"※日期早于已结账截止日，不能再录",IF(AND($K2270="自用消耗",COUNTIF({"一矿区";"二矿区"},$L2270)=0),"※自用消耗的去向只能是一矿区或二矿区",IF(AND($K2270="对外销售",COUNTIF({"三矿区";"六矿区"},$L2270)=0),"※对外销售的去向只能是三矿区或六矿区",IF(AND($K2270="对外销售",ROUND($Q2270,0)=0),"※外销却没有售价，请填实际售价",IF(AND($K2270="对外销售",$T2270&lt;&gt;"",$T2270&lt;0),"※这一笔外销是亏的，请核对售价",IF(IFERROR(VLOOKUP($D2270,库存台账!$A$5:$Y$1204,24,0),0)&lt;-0.001,"※这个物料账面已经变成负数了，查一下是不是漏记入库","")))))))))))</f>
        <v/>
      </c>
    </row>
    <row r="2271">
      <c r="A2271" s="24">
        <f>IF($D2271="","",COUNTA($D$4:$D2271))</f>
        <v/>
      </c>
      <c r="B2271" s="17" t="n"/>
      <c r="C2271" s="30" t="n"/>
      <c r="D2271" s="17" t="n"/>
      <c r="E2271" s="24">
        <f>IF($D2271="","",IFERROR(VLOOKUP($D2271,物料档案!$A$4:$P$1203,3,0),"※编码不在物料档案里"))</f>
        <v/>
      </c>
      <c r="F2271" s="24">
        <f>IF($D2271="","",IFERROR(VLOOKUP($D2271,物料档案!$A$4:$P$1203,4,0),"※编码不在物料档案里"))</f>
        <v/>
      </c>
      <c r="G2271" s="24">
        <f>IF($D2271="","",IFERROR(VLOOKUP($D2271,物料档案!$A$4:$P$1203,5,0),"※编码不在物料档案里"))</f>
        <v/>
      </c>
      <c r="H2271" s="24">
        <f>IF($D2271="","",IFERROR(VLOOKUP($D2271,物料档案!$A$4:$P$1203,2,0),"※编码不在物料档案里"))</f>
        <v/>
      </c>
      <c r="I2271" s="24">
        <f>IF($D2271="","",IFERROR(VLOOKUP($D2271,物料档案!$A$4:$P$1203,6,0),"※编码不在物料档案里"))</f>
        <v/>
      </c>
      <c r="J2271" s="23" t="n"/>
      <c r="K2271" s="17" t="n"/>
      <c r="L2271" s="17" t="n"/>
      <c r="M2271" s="17" t="n"/>
      <c r="N2271" s="17" t="n"/>
      <c r="O2271" s="26">
        <f>IF($D2271="","",IFERROR(VLOOKUP($D2271,物料档案!$A$4:$P$1203,10,0),0))</f>
        <v/>
      </c>
      <c r="P2271" s="32" t="n"/>
      <c r="Q2271" s="26">
        <f>IF($D2271="","",IF($K2271&lt;&gt;"对外销售",0,ROUND(N($J2271)*IF($P2271="",N($O2271),N($P2271)),0)))</f>
        <v/>
      </c>
      <c r="R2271" s="26">
        <f>IF($D2271="","",IFERROR(VLOOKUP($D2271,库存台账!$A$5:$Y$1204,11,0),0))</f>
        <v/>
      </c>
      <c r="S2271" s="26">
        <f>IF($D2271="","",ROUND(N($J2271)*N($R2271),0))</f>
        <v/>
      </c>
      <c r="T2271" s="26">
        <f>IF($D2271="","",IF($K2271&lt;&gt;"对外销售","",ROUND($Q2271-$S2271,0)))</f>
        <v/>
      </c>
      <c r="U2271" s="17" t="n"/>
      <c r="V2271" s="17" t="n"/>
      <c r="W2271" s="24">
        <f>IF($D2271="","",IF($E2271="※编码不在物料档案里","※物料编码不在档案里",IF(N($J2271)&lt;=0,"※出库数量要大于 0",IF($K2271="","※没填去向类型",IF($L2271="","※没填去向矿区",IF(AND($C2271&lt;&gt;"",$C2271&lt;=结账锁),"※日期早于已结账截止日，不能再录",IF(AND($K2271="自用消耗",COUNTIF({"一矿区";"二矿区"},$L2271)=0),"※自用消耗的去向只能是一矿区或二矿区",IF(AND($K2271="对外销售",COUNTIF({"三矿区";"六矿区"},$L2271)=0),"※对外销售的去向只能是三矿区或六矿区",IF(AND($K2271="对外销售",ROUND($Q2271,0)=0),"※外销却没有售价，请填实际售价",IF(AND($K2271="对外销售",$T2271&lt;&gt;"",$T2271&lt;0),"※这一笔外销是亏的，请核对售价",IF(IFERROR(VLOOKUP($D2271,库存台账!$A$5:$Y$1204,24,0),0)&lt;-0.001,"※这个物料账面已经变成负数了，查一下是不是漏记入库","")))))))))))</f>
        <v/>
      </c>
    </row>
    <row r="2272">
      <c r="A2272" s="24">
        <f>IF($D2272="","",COUNTA($D$4:$D2272))</f>
        <v/>
      </c>
      <c r="B2272" s="17" t="n"/>
      <c r="C2272" s="30" t="n"/>
      <c r="D2272" s="17" t="n"/>
      <c r="E2272" s="24">
        <f>IF($D2272="","",IFERROR(VLOOKUP($D2272,物料档案!$A$4:$P$1203,3,0),"※编码不在物料档案里"))</f>
        <v/>
      </c>
      <c r="F2272" s="24">
        <f>IF($D2272="","",IFERROR(VLOOKUP($D2272,物料档案!$A$4:$P$1203,4,0),"※编码不在物料档案里"))</f>
        <v/>
      </c>
      <c r="G2272" s="24">
        <f>IF($D2272="","",IFERROR(VLOOKUP($D2272,物料档案!$A$4:$P$1203,5,0),"※编码不在物料档案里"))</f>
        <v/>
      </c>
      <c r="H2272" s="24">
        <f>IF($D2272="","",IFERROR(VLOOKUP($D2272,物料档案!$A$4:$P$1203,2,0),"※编码不在物料档案里"))</f>
        <v/>
      </c>
      <c r="I2272" s="24">
        <f>IF($D2272="","",IFERROR(VLOOKUP($D2272,物料档案!$A$4:$P$1203,6,0),"※编码不在物料档案里"))</f>
        <v/>
      </c>
      <c r="J2272" s="23" t="n"/>
      <c r="K2272" s="17" t="n"/>
      <c r="L2272" s="17" t="n"/>
      <c r="M2272" s="17" t="n"/>
      <c r="N2272" s="17" t="n"/>
      <c r="O2272" s="26">
        <f>IF($D2272="","",IFERROR(VLOOKUP($D2272,物料档案!$A$4:$P$1203,10,0),0))</f>
        <v/>
      </c>
      <c r="P2272" s="32" t="n"/>
      <c r="Q2272" s="26">
        <f>IF($D2272="","",IF($K2272&lt;&gt;"对外销售",0,ROUND(N($J2272)*IF($P2272="",N($O2272),N($P2272)),0)))</f>
        <v/>
      </c>
      <c r="R2272" s="26">
        <f>IF($D2272="","",IFERROR(VLOOKUP($D2272,库存台账!$A$5:$Y$1204,11,0),0))</f>
        <v/>
      </c>
      <c r="S2272" s="26">
        <f>IF($D2272="","",ROUND(N($J2272)*N($R2272),0))</f>
        <v/>
      </c>
      <c r="T2272" s="26">
        <f>IF($D2272="","",IF($K2272&lt;&gt;"对外销售","",ROUND($Q2272-$S2272,0)))</f>
        <v/>
      </c>
      <c r="U2272" s="17" t="n"/>
      <c r="V2272" s="17" t="n"/>
      <c r="W2272" s="24">
        <f>IF($D2272="","",IF($E2272="※编码不在物料档案里","※物料编码不在档案里",IF(N($J2272)&lt;=0,"※出库数量要大于 0",IF($K2272="","※没填去向类型",IF($L2272="","※没填去向矿区",IF(AND($C2272&lt;&gt;"",$C2272&lt;=结账锁),"※日期早于已结账截止日，不能再录",IF(AND($K2272="自用消耗",COUNTIF({"一矿区";"二矿区"},$L2272)=0),"※自用消耗的去向只能是一矿区或二矿区",IF(AND($K2272="对外销售",COUNTIF({"三矿区";"六矿区"},$L2272)=0),"※对外销售的去向只能是三矿区或六矿区",IF(AND($K2272="对外销售",ROUND($Q2272,0)=0),"※外销却没有售价，请填实际售价",IF(AND($K2272="对外销售",$T2272&lt;&gt;"",$T2272&lt;0),"※这一笔外销是亏的，请核对售价",IF(IFERROR(VLOOKUP($D2272,库存台账!$A$5:$Y$1204,24,0),0)&lt;-0.001,"※这个物料账面已经变成负数了，查一下是不是漏记入库","")))))))))))</f>
        <v/>
      </c>
    </row>
    <row r="2273">
      <c r="A2273" s="24">
        <f>IF($D2273="","",COUNTA($D$4:$D2273))</f>
        <v/>
      </c>
      <c r="B2273" s="17" t="n"/>
      <c r="C2273" s="30" t="n"/>
      <c r="D2273" s="17" t="n"/>
      <c r="E2273" s="24">
        <f>IF($D2273="","",IFERROR(VLOOKUP($D2273,物料档案!$A$4:$P$1203,3,0),"※编码不在物料档案里"))</f>
        <v/>
      </c>
      <c r="F2273" s="24">
        <f>IF($D2273="","",IFERROR(VLOOKUP($D2273,物料档案!$A$4:$P$1203,4,0),"※编码不在物料档案里"))</f>
        <v/>
      </c>
      <c r="G2273" s="24">
        <f>IF($D2273="","",IFERROR(VLOOKUP($D2273,物料档案!$A$4:$P$1203,5,0),"※编码不在物料档案里"))</f>
        <v/>
      </c>
      <c r="H2273" s="24">
        <f>IF($D2273="","",IFERROR(VLOOKUP($D2273,物料档案!$A$4:$P$1203,2,0),"※编码不在物料档案里"))</f>
        <v/>
      </c>
      <c r="I2273" s="24">
        <f>IF($D2273="","",IFERROR(VLOOKUP($D2273,物料档案!$A$4:$P$1203,6,0),"※编码不在物料档案里"))</f>
        <v/>
      </c>
      <c r="J2273" s="23" t="n"/>
      <c r="K2273" s="17" t="n"/>
      <c r="L2273" s="17" t="n"/>
      <c r="M2273" s="17" t="n"/>
      <c r="N2273" s="17" t="n"/>
      <c r="O2273" s="26">
        <f>IF($D2273="","",IFERROR(VLOOKUP($D2273,物料档案!$A$4:$P$1203,10,0),0))</f>
        <v/>
      </c>
      <c r="P2273" s="32" t="n"/>
      <c r="Q2273" s="26">
        <f>IF($D2273="","",IF($K2273&lt;&gt;"对外销售",0,ROUND(N($J2273)*IF($P2273="",N($O2273),N($P2273)),0)))</f>
        <v/>
      </c>
      <c r="R2273" s="26">
        <f>IF($D2273="","",IFERROR(VLOOKUP($D2273,库存台账!$A$5:$Y$1204,11,0),0))</f>
        <v/>
      </c>
      <c r="S2273" s="26">
        <f>IF($D2273="","",ROUND(N($J2273)*N($R2273),0))</f>
        <v/>
      </c>
      <c r="T2273" s="26">
        <f>IF($D2273="","",IF($K2273&lt;&gt;"对外销售","",ROUND($Q2273-$S2273,0)))</f>
        <v/>
      </c>
      <c r="U2273" s="17" t="n"/>
      <c r="V2273" s="17" t="n"/>
      <c r="W2273" s="24">
        <f>IF($D2273="","",IF($E2273="※编码不在物料档案里","※物料编码不在档案里",IF(N($J2273)&lt;=0,"※出库数量要大于 0",IF($K2273="","※没填去向类型",IF($L2273="","※没填去向矿区",IF(AND($C2273&lt;&gt;"",$C2273&lt;=结账锁),"※日期早于已结账截止日，不能再录",IF(AND($K2273="自用消耗",COUNTIF({"一矿区";"二矿区"},$L2273)=0),"※自用消耗的去向只能是一矿区或二矿区",IF(AND($K2273="对外销售",COUNTIF({"三矿区";"六矿区"},$L2273)=0),"※对外销售的去向只能是三矿区或六矿区",IF(AND($K2273="对外销售",ROUND($Q2273,0)=0),"※外销却没有售价，请填实际售价",IF(AND($K2273="对外销售",$T2273&lt;&gt;"",$T2273&lt;0),"※这一笔外销是亏的，请核对售价",IF(IFERROR(VLOOKUP($D2273,库存台账!$A$5:$Y$1204,24,0),0)&lt;-0.001,"※这个物料账面已经变成负数了，查一下是不是漏记入库","")))))))))))</f>
        <v/>
      </c>
    </row>
    <row r="2274">
      <c r="A2274" s="24">
        <f>IF($D2274="","",COUNTA($D$4:$D2274))</f>
        <v/>
      </c>
      <c r="B2274" s="17" t="n"/>
      <c r="C2274" s="30" t="n"/>
      <c r="D2274" s="17" t="n"/>
      <c r="E2274" s="24">
        <f>IF($D2274="","",IFERROR(VLOOKUP($D2274,物料档案!$A$4:$P$1203,3,0),"※编码不在物料档案里"))</f>
        <v/>
      </c>
      <c r="F2274" s="24">
        <f>IF($D2274="","",IFERROR(VLOOKUP($D2274,物料档案!$A$4:$P$1203,4,0),"※编码不在物料档案里"))</f>
        <v/>
      </c>
      <c r="G2274" s="24">
        <f>IF($D2274="","",IFERROR(VLOOKUP($D2274,物料档案!$A$4:$P$1203,5,0),"※编码不在物料档案里"))</f>
        <v/>
      </c>
      <c r="H2274" s="24">
        <f>IF($D2274="","",IFERROR(VLOOKUP($D2274,物料档案!$A$4:$P$1203,2,0),"※编码不在物料档案里"))</f>
        <v/>
      </c>
      <c r="I2274" s="24">
        <f>IF($D2274="","",IFERROR(VLOOKUP($D2274,物料档案!$A$4:$P$1203,6,0),"※编码不在物料档案里"))</f>
        <v/>
      </c>
      <c r="J2274" s="23" t="n"/>
      <c r="K2274" s="17" t="n"/>
      <c r="L2274" s="17" t="n"/>
      <c r="M2274" s="17" t="n"/>
      <c r="N2274" s="17" t="n"/>
      <c r="O2274" s="26">
        <f>IF($D2274="","",IFERROR(VLOOKUP($D2274,物料档案!$A$4:$P$1203,10,0),0))</f>
        <v/>
      </c>
      <c r="P2274" s="32" t="n"/>
      <c r="Q2274" s="26">
        <f>IF($D2274="","",IF($K2274&lt;&gt;"对外销售",0,ROUND(N($J2274)*IF($P2274="",N($O2274),N($P2274)),0)))</f>
        <v/>
      </c>
      <c r="R2274" s="26">
        <f>IF($D2274="","",IFERROR(VLOOKUP($D2274,库存台账!$A$5:$Y$1204,11,0),0))</f>
        <v/>
      </c>
      <c r="S2274" s="26">
        <f>IF($D2274="","",ROUND(N($J2274)*N($R2274),0))</f>
        <v/>
      </c>
      <c r="T2274" s="26">
        <f>IF($D2274="","",IF($K2274&lt;&gt;"对外销售","",ROUND($Q2274-$S2274,0)))</f>
        <v/>
      </c>
      <c r="U2274" s="17" t="n"/>
      <c r="V2274" s="17" t="n"/>
      <c r="W2274" s="24">
        <f>IF($D2274="","",IF($E2274="※编码不在物料档案里","※物料编码不在档案里",IF(N($J2274)&lt;=0,"※出库数量要大于 0",IF($K2274="","※没填去向类型",IF($L2274="","※没填去向矿区",IF(AND($C2274&lt;&gt;"",$C2274&lt;=结账锁),"※日期早于已结账截止日，不能再录",IF(AND($K2274="自用消耗",COUNTIF({"一矿区";"二矿区"},$L2274)=0),"※自用消耗的去向只能是一矿区或二矿区",IF(AND($K2274="对外销售",COUNTIF({"三矿区";"六矿区"},$L2274)=0),"※对外销售的去向只能是三矿区或六矿区",IF(AND($K2274="对外销售",ROUND($Q2274,0)=0),"※外销却没有售价，请填实际售价",IF(AND($K2274="对外销售",$T2274&lt;&gt;"",$T2274&lt;0),"※这一笔外销是亏的，请核对售价",IF(IFERROR(VLOOKUP($D2274,库存台账!$A$5:$Y$1204,24,0),0)&lt;-0.001,"※这个物料账面已经变成负数了，查一下是不是漏记入库","")))))))))))</f>
        <v/>
      </c>
    </row>
    <row r="2275">
      <c r="A2275" s="24">
        <f>IF($D2275="","",COUNTA($D$4:$D2275))</f>
        <v/>
      </c>
      <c r="B2275" s="17" t="n"/>
      <c r="C2275" s="30" t="n"/>
      <c r="D2275" s="17" t="n"/>
      <c r="E2275" s="24">
        <f>IF($D2275="","",IFERROR(VLOOKUP($D2275,物料档案!$A$4:$P$1203,3,0),"※编码不在物料档案里"))</f>
        <v/>
      </c>
      <c r="F2275" s="24">
        <f>IF($D2275="","",IFERROR(VLOOKUP($D2275,物料档案!$A$4:$P$1203,4,0),"※编码不在物料档案里"))</f>
        <v/>
      </c>
      <c r="G2275" s="24">
        <f>IF($D2275="","",IFERROR(VLOOKUP($D2275,物料档案!$A$4:$P$1203,5,0),"※编码不在物料档案里"))</f>
        <v/>
      </c>
      <c r="H2275" s="24">
        <f>IF($D2275="","",IFERROR(VLOOKUP($D2275,物料档案!$A$4:$P$1203,2,0),"※编码不在物料档案里"))</f>
        <v/>
      </c>
      <c r="I2275" s="24">
        <f>IF($D2275="","",IFERROR(VLOOKUP($D2275,物料档案!$A$4:$P$1203,6,0),"※编码不在物料档案里"))</f>
        <v/>
      </c>
      <c r="J2275" s="23" t="n"/>
      <c r="K2275" s="17" t="n"/>
      <c r="L2275" s="17" t="n"/>
      <c r="M2275" s="17" t="n"/>
      <c r="N2275" s="17" t="n"/>
      <c r="O2275" s="26">
        <f>IF($D2275="","",IFERROR(VLOOKUP($D2275,物料档案!$A$4:$P$1203,10,0),0))</f>
        <v/>
      </c>
      <c r="P2275" s="32" t="n"/>
      <c r="Q2275" s="26">
        <f>IF($D2275="","",IF($K2275&lt;&gt;"对外销售",0,ROUND(N($J2275)*IF($P2275="",N($O2275),N($P2275)),0)))</f>
        <v/>
      </c>
      <c r="R2275" s="26">
        <f>IF($D2275="","",IFERROR(VLOOKUP($D2275,库存台账!$A$5:$Y$1204,11,0),0))</f>
        <v/>
      </c>
      <c r="S2275" s="26">
        <f>IF($D2275="","",ROUND(N($J2275)*N($R2275),0))</f>
        <v/>
      </c>
      <c r="T2275" s="26">
        <f>IF($D2275="","",IF($K2275&lt;&gt;"对外销售","",ROUND($Q2275-$S2275,0)))</f>
        <v/>
      </c>
      <c r="U2275" s="17" t="n"/>
      <c r="V2275" s="17" t="n"/>
      <c r="W2275" s="24">
        <f>IF($D2275="","",IF($E2275="※编码不在物料档案里","※物料编码不在档案里",IF(N($J2275)&lt;=0,"※出库数量要大于 0",IF($K2275="","※没填去向类型",IF($L2275="","※没填去向矿区",IF(AND($C2275&lt;&gt;"",$C2275&lt;=结账锁),"※日期早于已结账截止日，不能再录",IF(AND($K2275="自用消耗",COUNTIF({"一矿区";"二矿区"},$L2275)=0),"※自用消耗的去向只能是一矿区或二矿区",IF(AND($K2275="对外销售",COUNTIF({"三矿区";"六矿区"},$L2275)=0),"※对外销售的去向只能是三矿区或六矿区",IF(AND($K2275="对外销售",ROUND($Q2275,0)=0),"※外销却没有售价，请填实际售价",IF(AND($K2275="对外销售",$T2275&lt;&gt;"",$T2275&lt;0),"※这一笔外销是亏的，请核对售价",IF(IFERROR(VLOOKUP($D2275,库存台账!$A$5:$Y$1204,24,0),0)&lt;-0.001,"※这个物料账面已经变成负数了，查一下是不是漏记入库","")))))))))))</f>
        <v/>
      </c>
    </row>
    <row r="2276">
      <c r="A2276" s="24">
        <f>IF($D2276="","",COUNTA($D$4:$D2276))</f>
        <v/>
      </c>
      <c r="B2276" s="17" t="n"/>
      <c r="C2276" s="30" t="n"/>
      <c r="D2276" s="17" t="n"/>
      <c r="E2276" s="24">
        <f>IF($D2276="","",IFERROR(VLOOKUP($D2276,物料档案!$A$4:$P$1203,3,0),"※编码不在物料档案里"))</f>
        <v/>
      </c>
      <c r="F2276" s="24">
        <f>IF($D2276="","",IFERROR(VLOOKUP($D2276,物料档案!$A$4:$P$1203,4,0),"※编码不在物料档案里"))</f>
        <v/>
      </c>
      <c r="G2276" s="24">
        <f>IF($D2276="","",IFERROR(VLOOKUP($D2276,物料档案!$A$4:$P$1203,5,0),"※编码不在物料档案里"))</f>
        <v/>
      </c>
      <c r="H2276" s="24">
        <f>IF($D2276="","",IFERROR(VLOOKUP($D2276,物料档案!$A$4:$P$1203,2,0),"※编码不在物料档案里"))</f>
        <v/>
      </c>
      <c r="I2276" s="24">
        <f>IF($D2276="","",IFERROR(VLOOKUP($D2276,物料档案!$A$4:$P$1203,6,0),"※编码不在物料档案里"))</f>
        <v/>
      </c>
      <c r="J2276" s="23" t="n"/>
      <c r="K2276" s="17" t="n"/>
      <c r="L2276" s="17" t="n"/>
      <c r="M2276" s="17" t="n"/>
      <c r="N2276" s="17" t="n"/>
      <c r="O2276" s="26">
        <f>IF($D2276="","",IFERROR(VLOOKUP($D2276,物料档案!$A$4:$P$1203,10,0),0))</f>
        <v/>
      </c>
      <c r="P2276" s="32" t="n"/>
      <c r="Q2276" s="26">
        <f>IF($D2276="","",IF($K2276&lt;&gt;"对外销售",0,ROUND(N($J2276)*IF($P2276="",N($O2276),N($P2276)),0)))</f>
        <v/>
      </c>
      <c r="R2276" s="26">
        <f>IF($D2276="","",IFERROR(VLOOKUP($D2276,库存台账!$A$5:$Y$1204,11,0),0))</f>
        <v/>
      </c>
      <c r="S2276" s="26">
        <f>IF($D2276="","",ROUND(N($J2276)*N($R2276),0))</f>
        <v/>
      </c>
      <c r="T2276" s="26">
        <f>IF($D2276="","",IF($K2276&lt;&gt;"对外销售","",ROUND($Q2276-$S2276,0)))</f>
        <v/>
      </c>
      <c r="U2276" s="17" t="n"/>
      <c r="V2276" s="17" t="n"/>
      <c r="W2276" s="24">
        <f>IF($D2276="","",IF($E2276="※编码不在物料档案里","※物料编码不在档案里",IF(N($J2276)&lt;=0,"※出库数量要大于 0",IF($K2276="","※没填去向类型",IF($L2276="","※没填去向矿区",IF(AND($C2276&lt;&gt;"",$C2276&lt;=结账锁),"※日期早于已结账截止日，不能再录",IF(AND($K2276="自用消耗",COUNTIF({"一矿区";"二矿区"},$L2276)=0),"※自用消耗的去向只能是一矿区或二矿区",IF(AND($K2276="对外销售",COUNTIF({"三矿区";"六矿区"},$L2276)=0),"※对外销售的去向只能是三矿区或六矿区",IF(AND($K2276="对外销售",ROUND($Q2276,0)=0),"※外销却没有售价，请填实际售价",IF(AND($K2276="对外销售",$T2276&lt;&gt;"",$T2276&lt;0),"※这一笔外销是亏的，请核对售价",IF(IFERROR(VLOOKUP($D2276,库存台账!$A$5:$Y$1204,24,0),0)&lt;-0.001,"※这个物料账面已经变成负数了，查一下是不是漏记入库","")))))))))))</f>
        <v/>
      </c>
    </row>
    <row r="2277">
      <c r="A2277" s="24">
        <f>IF($D2277="","",COUNTA($D$4:$D2277))</f>
        <v/>
      </c>
      <c r="B2277" s="17" t="n"/>
      <c r="C2277" s="30" t="n"/>
      <c r="D2277" s="17" t="n"/>
      <c r="E2277" s="24">
        <f>IF($D2277="","",IFERROR(VLOOKUP($D2277,物料档案!$A$4:$P$1203,3,0),"※编码不在物料档案里"))</f>
        <v/>
      </c>
      <c r="F2277" s="24">
        <f>IF($D2277="","",IFERROR(VLOOKUP($D2277,物料档案!$A$4:$P$1203,4,0),"※编码不在物料档案里"))</f>
        <v/>
      </c>
      <c r="G2277" s="24">
        <f>IF($D2277="","",IFERROR(VLOOKUP($D2277,物料档案!$A$4:$P$1203,5,0),"※编码不在物料档案里"))</f>
        <v/>
      </c>
      <c r="H2277" s="24">
        <f>IF($D2277="","",IFERROR(VLOOKUP($D2277,物料档案!$A$4:$P$1203,2,0),"※编码不在物料档案里"))</f>
        <v/>
      </c>
      <c r="I2277" s="24">
        <f>IF($D2277="","",IFERROR(VLOOKUP($D2277,物料档案!$A$4:$P$1203,6,0),"※编码不在物料档案里"))</f>
        <v/>
      </c>
      <c r="J2277" s="23" t="n"/>
      <c r="K2277" s="17" t="n"/>
      <c r="L2277" s="17" t="n"/>
      <c r="M2277" s="17" t="n"/>
      <c r="N2277" s="17" t="n"/>
      <c r="O2277" s="26">
        <f>IF($D2277="","",IFERROR(VLOOKUP($D2277,物料档案!$A$4:$P$1203,10,0),0))</f>
        <v/>
      </c>
      <c r="P2277" s="32" t="n"/>
      <c r="Q2277" s="26">
        <f>IF($D2277="","",IF($K2277&lt;&gt;"对外销售",0,ROUND(N($J2277)*IF($P2277="",N($O2277),N($P2277)),0)))</f>
        <v/>
      </c>
      <c r="R2277" s="26">
        <f>IF($D2277="","",IFERROR(VLOOKUP($D2277,库存台账!$A$5:$Y$1204,11,0),0))</f>
        <v/>
      </c>
      <c r="S2277" s="26">
        <f>IF($D2277="","",ROUND(N($J2277)*N($R2277),0))</f>
        <v/>
      </c>
      <c r="T2277" s="26">
        <f>IF($D2277="","",IF($K2277&lt;&gt;"对外销售","",ROUND($Q2277-$S2277,0)))</f>
        <v/>
      </c>
      <c r="U2277" s="17" t="n"/>
      <c r="V2277" s="17" t="n"/>
      <c r="W2277" s="24">
        <f>IF($D2277="","",IF($E2277="※编码不在物料档案里","※物料编码不在档案里",IF(N($J2277)&lt;=0,"※出库数量要大于 0",IF($K2277="","※没填去向类型",IF($L2277="","※没填去向矿区",IF(AND($C2277&lt;&gt;"",$C2277&lt;=结账锁),"※日期早于已结账截止日，不能再录",IF(AND($K2277="自用消耗",COUNTIF({"一矿区";"二矿区"},$L2277)=0),"※自用消耗的去向只能是一矿区或二矿区",IF(AND($K2277="对外销售",COUNTIF({"三矿区";"六矿区"},$L2277)=0),"※对外销售的去向只能是三矿区或六矿区",IF(AND($K2277="对外销售",ROUND($Q2277,0)=0),"※外销却没有售价，请填实际售价",IF(AND($K2277="对外销售",$T2277&lt;&gt;"",$T2277&lt;0),"※这一笔外销是亏的，请核对售价",IF(IFERROR(VLOOKUP($D2277,库存台账!$A$5:$Y$1204,24,0),0)&lt;-0.001,"※这个物料账面已经变成负数了，查一下是不是漏记入库","")))))))))))</f>
        <v/>
      </c>
    </row>
    <row r="2278">
      <c r="A2278" s="24">
        <f>IF($D2278="","",COUNTA($D$4:$D2278))</f>
        <v/>
      </c>
      <c r="B2278" s="17" t="n"/>
      <c r="C2278" s="30" t="n"/>
      <c r="D2278" s="17" t="n"/>
      <c r="E2278" s="24">
        <f>IF($D2278="","",IFERROR(VLOOKUP($D2278,物料档案!$A$4:$P$1203,3,0),"※编码不在物料档案里"))</f>
        <v/>
      </c>
      <c r="F2278" s="24">
        <f>IF($D2278="","",IFERROR(VLOOKUP($D2278,物料档案!$A$4:$P$1203,4,0),"※编码不在物料档案里"))</f>
        <v/>
      </c>
      <c r="G2278" s="24">
        <f>IF($D2278="","",IFERROR(VLOOKUP($D2278,物料档案!$A$4:$P$1203,5,0),"※编码不在物料档案里"))</f>
        <v/>
      </c>
      <c r="H2278" s="24">
        <f>IF($D2278="","",IFERROR(VLOOKUP($D2278,物料档案!$A$4:$P$1203,2,0),"※编码不在物料档案里"))</f>
        <v/>
      </c>
      <c r="I2278" s="24">
        <f>IF($D2278="","",IFERROR(VLOOKUP($D2278,物料档案!$A$4:$P$1203,6,0),"※编码不在物料档案里"))</f>
        <v/>
      </c>
      <c r="J2278" s="23" t="n"/>
      <c r="K2278" s="17" t="n"/>
      <c r="L2278" s="17" t="n"/>
      <c r="M2278" s="17" t="n"/>
      <c r="N2278" s="17" t="n"/>
      <c r="O2278" s="26">
        <f>IF($D2278="","",IFERROR(VLOOKUP($D2278,物料档案!$A$4:$P$1203,10,0),0))</f>
        <v/>
      </c>
      <c r="P2278" s="32" t="n"/>
      <c r="Q2278" s="26">
        <f>IF($D2278="","",IF($K2278&lt;&gt;"对外销售",0,ROUND(N($J2278)*IF($P2278="",N($O2278),N($P2278)),0)))</f>
        <v/>
      </c>
      <c r="R2278" s="26">
        <f>IF($D2278="","",IFERROR(VLOOKUP($D2278,库存台账!$A$5:$Y$1204,11,0),0))</f>
        <v/>
      </c>
      <c r="S2278" s="26">
        <f>IF($D2278="","",ROUND(N($J2278)*N($R2278),0))</f>
        <v/>
      </c>
      <c r="T2278" s="26">
        <f>IF($D2278="","",IF($K2278&lt;&gt;"对外销售","",ROUND($Q2278-$S2278,0)))</f>
        <v/>
      </c>
      <c r="U2278" s="17" t="n"/>
      <c r="V2278" s="17" t="n"/>
      <c r="W2278" s="24">
        <f>IF($D2278="","",IF($E2278="※编码不在物料档案里","※物料编码不在档案里",IF(N($J2278)&lt;=0,"※出库数量要大于 0",IF($K2278="","※没填去向类型",IF($L2278="","※没填去向矿区",IF(AND($C2278&lt;&gt;"",$C2278&lt;=结账锁),"※日期早于已结账截止日，不能再录",IF(AND($K2278="自用消耗",COUNTIF({"一矿区";"二矿区"},$L2278)=0),"※自用消耗的去向只能是一矿区或二矿区",IF(AND($K2278="对外销售",COUNTIF({"三矿区";"六矿区"},$L2278)=0),"※对外销售的去向只能是三矿区或六矿区",IF(AND($K2278="对外销售",ROUND($Q2278,0)=0),"※外销却没有售价，请填实际售价",IF(AND($K2278="对外销售",$T2278&lt;&gt;"",$T2278&lt;0),"※这一笔外销是亏的，请核对售价",IF(IFERROR(VLOOKUP($D2278,库存台账!$A$5:$Y$1204,24,0),0)&lt;-0.001,"※这个物料账面已经变成负数了，查一下是不是漏记入库","")))))))))))</f>
        <v/>
      </c>
    </row>
    <row r="2279">
      <c r="A2279" s="24">
        <f>IF($D2279="","",COUNTA($D$4:$D2279))</f>
        <v/>
      </c>
      <c r="B2279" s="17" t="n"/>
      <c r="C2279" s="30" t="n"/>
      <c r="D2279" s="17" t="n"/>
      <c r="E2279" s="24">
        <f>IF($D2279="","",IFERROR(VLOOKUP($D2279,物料档案!$A$4:$P$1203,3,0),"※编码不在物料档案里"))</f>
        <v/>
      </c>
      <c r="F2279" s="24">
        <f>IF($D2279="","",IFERROR(VLOOKUP($D2279,物料档案!$A$4:$P$1203,4,0),"※编码不在物料档案里"))</f>
        <v/>
      </c>
      <c r="G2279" s="24">
        <f>IF($D2279="","",IFERROR(VLOOKUP($D2279,物料档案!$A$4:$P$1203,5,0),"※编码不在物料档案里"))</f>
        <v/>
      </c>
      <c r="H2279" s="24">
        <f>IF($D2279="","",IFERROR(VLOOKUP($D2279,物料档案!$A$4:$P$1203,2,0),"※编码不在物料档案里"))</f>
        <v/>
      </c>
      <c r="I2279" s="24">
        <f>IF($D2279="","",IFERROR(VLOOKUP($D2279,物料档案!$A$4:$P$1203,6,0),"※编码不在物料档案里"))</f>
        <v/>
      </c>
      <c r="J2279" s="23" t="n"/>
      <c r="K2279" s="17" t="n"/>
      <c r="L2279" s="17" t="n"/>
      <c r="M2279" s="17" t="n"/>
      <c r="N2279" s="17" t="n"/>
      <c r="O2279" s="26">
        <f>IF($D2279="","",IFERROR(VLOOKUP($D2279,物料档案!$A$4:$P$1203,10,0),0))</f>
        <v/>
      </c>
      <c r="P2279" s="32" t="n"/>
      <c r="Q2279" s="26">
        <f>IF($D2279="","",IF($K2279&lt;&gt;"对外销售",0,ROUND(N($J2279)*IF($P2279="",N($O2279),N($P2279)),0)))</f>
        <v/>
      </c>
      <c r="R2279" s="26">
        <f>IF($D2279="","",IFERROR(VLOOKUP($D2279,库存台账!$A$5:$Y$1204,11,0),0))</f>
        <v/>
      </c>
      <c r="S2279" s="26">
        <f>IF($D2279="","",ROUND(N($J2279)*N($R2279),0))</f>
        <v/>
      </c>
      <c r="T2279" s="26">
        <f>IF($D2279="","",IF($K2279&lt;&gt;"对外销售","",ROUND($Q2279-$S2279,0)))</f>
        <v/>
      </c>
      <c r="U2279" s="17" t="n"/>
      <c r="V2279" s="17" t="n"/>
      <c r="W2279" s="24">
        <f>IF($D2279="","",IF($E2279="※编码不在物料档案里","※物料编码不在档案里",IF(N($J2279)&lt;=0,"※出库数量要大于 0",IF($K2279="","※没填去向类型",IF($L2279="","※没填去向矿区",IF(AND($C2279&lt;&gt;"",$C2279&lt;=结账锁),"※日期早于已结账截止日，不能再录",IF(AND($K2279="自用消耗",COUNTIF({"一矿区";"二矿区"},$L2279)=0),"※自用消耗的去向只能是一矿区或二矿区",IF(AND($K2279="对外销售",COUNTIF({"三矿区";"六矿区"},$L2279)=0),"※对外销售的去向只能是三矿区或六矿区",IF(AND($K2279="对外销售",ROUND($Q2279,0)=0),"※外销却没有售价，请填实际售价",IF(AND($K2279="对外销售",$T2279&lt;&gt;"",$T2279&lt;0),"※这一笔外销是亏的，请核对售价",IF(IFERROR(VLOOKUP($D2279,库存台账!$A$5:$Y$1204,24,0),0)&lt;-0.001,"※这个物料账面已经变成负数了，查一下是不是漏记入库","")))))))))))</f>
        <v/>
      </c>
    </row>
    <row r="2280">
      <c r="A2280" s="24">
        <f>IF($D2280="","",COUNTA($D$4:$D2280))</f>
        <v/>
      </c>
      <c r="B2280" s="17" t="n"/>
      <c r="C2280" s="30" t="n"/>
      <c r="D2280" s="17" t="n"/>
      <c r="E2280" s="24">
        <f>IF($D2280="","",IFERROR(VLOOKUP($D2280,物料档案!$A$4:$P$1203,3,0),"※编码不在物料档案里"))</f>
        <v/>
      </c>
      <c r="F2280" s="24">
        <f>IF($D2280="","",IFERROR(VLOOKUP($D2280,物料档案!$A$4:$P$1203,4,0),"※编码不在物料档案里"))</f>
        <v/>
      </c>
      <c r="G2280" s="24">
        <f>IF($D2280="","",IFERROR(VLOOKUP($D2280,物料档案!$A$4:$P$1203,5,0),"※编码不在物料档案里"))</f>
        <v/>
      </c>
      <c r="H2280" s="24">
        <f>IF($D2280="","",IFERROR(VLOOKUP($D2280,物料档案!$A$4:$P$1203,2,0),"※编码不在物料档案里"))</f>
        <v/>
      </c>
      <c r="I2280" s="24">
        <f>IF($D2280="","",IFERROR(VLOOKUP($D2280,物料档案!$A$4:$P$1203,6,0),"※编码不在物料档案里"))</f>
        <v/>
      </c>
      <c r="J2280" s="23" t="n"/>
      <c r="K2280" s="17" t="n"/>
      <c r="L2280" s="17" t="n"/>
      <c r="M2280" s="17" t="n"/>
      <c r="N2280" s="17" t="n"/>
      <c r="O2280" s="26">
        <f>IF($D2280="","",IFERROR(VLOOKUP($D2280,物料档案!$A$4:$P$1203,10,0),0))</f>
        <v/>
      </c>
      <c r="P2280" s="32" t="n"/>
      <c r="Q2280" s="26">
        <f>IF($D2280="","",IF($K2280&lt;&gt;"对外销售",0,ROUND(N($J2280)*IF($P2280="",N($O2280),N($P2280)),0)))</f>
        <v/>
      </c>
      <c r="R2280" s="26">
        <f>IF($D2280="","",IFERROR(VLOOKUP($D2280,库存台账!$A$5:$Y$1204,11,0),0))</f>
        <v/>
      </c>
      <c r="S2280" s="26">
        <f>IF($D2280="","",ROUND(N($J2280)*N($R2280),0))</f>
        <v/>
      </c>
      <c r="T2280" s="26">
        <f>IF($D2280="","",IF($K2280&lt;&gt;"对外销售","",ROUND($Q2280-$S2280,0)))</f>
        <v/>
      </c>
      <c r="U2280" s="17" t="n"/>
      <c r="V2280" s="17" t="n"/>
      <c r="W2280" s="24">
        <f>IF($D2280="","",IF($E2280="※编码不在物料档案里","※物料编码不在档案里",IF(N($J2280)&lt;=0,"※出库数量要大于 0",IF($K2280="","※没填去向类型",IF($L2280="","※没填去向矿区",IF(AND($C2280&lt;&gt;"",$C2280&lt;=结账锁),"※日期早于已结账截止日，不能再录",IF(AND($K2280="自用消耗",COUNTIF({"一矿区";"二矿区"},$L2280)=0),"※自用消耗的去向只能是一矿区或二矿区",IF(AND($K2280="对外销售",COUNTIF({"三矿区";"六矿区"},$L2280)=0),"※对外销售的去向只能是三矿区或六矿区",IF(AND($K2280="对外销售",ROUND($Q2280,0)=0),"※外销却没有售价，请填实际售价",IF(AND($K2280="对外销售",$T2280&lt;&gt;"",$T2280&lt;0),"※这一笔外销是亏的，请核对售价",IF(IFERROR(VLOOKUP($D2280,库存台账!$A$5:$Y$1204,24,0),0)&lt;-0.001,"※这个物料账面已经变成负数了，查一下是不是漏记入库","")))))))))))</f>
        <v/>
      </c>
    </row>
    <row r="2281">
      <c r="A2281" s="24">
        <f>IF($D2281="","",COUNTA($D$4:$D2281))</f>
        <v/>
      </c>
      <c r="B2281" s="17" t="n"/>
      <c r="C2281" s="30" t="n"/>
      <c r="D2281" s="17" t="n"/>
      <c r="E2281" s="24">
        <f>IF($D2281="","",IFERROR(VLOOKUP($D2281,物料档案!$A$4:$P$1203,3,0),"※编码不在物料档案里"))</f>
        <v/>
      </c>
      <c r="F2281" s="24">
        <f>IF($D2281="","",IFERROR(VLOOKUP($D2281,物料档案!$A$4:$P$1203,4,0),"※编码不在物料档案里"))</f>
        <v/>
      </c>
      <c r="G2281" s="24">
        <f>IF($D2281="","",IFERROR(VLOOKUP($D2281,物料档案!$A$4:$P$1203,5,0),"※编码不在物料档案里"))</f>
        <v/>
      </c>
      <c r="H2281" s="24">
        <f>IF($D2281="","",IFERROR(VLOOKUP($D2281,物料档案!$A$4:$P$1203,2,0),"※编码不在物料档案里"))</f>
        <v/>
      </c>
      <c r="I2281" s="24">
        <f>IF($D2281="","",IFERROR(VLOOKUP($D2281,物料档案!$A$4:$P$1203,6,0),"※编码不在物料档案里"))</f>
        <v/>
      </c>
      <c r="J2281" s="23" t="n"/>
      <c r="K2281" s="17" t="n"/>
      <c r="L2281" s="17" t="n"/>
      <c r="M2281" s="17" t="n"/>
      <c r="N2281" s="17" t="n"/>
      <c r="O2281" s="26">
        <f>IF($D2281="","",IFERROR(VLOOKUP($D2281,物料档案!$A$4:$P$1203,10,0),0))</f>
        <v/>
      </c>
      <c r="P2281" s="32" t="n"/>
      <c r="Q2281" s="26">
        <f>IF($D2281="","",IF($K2281&lt;&gt;"对外销售",0,ROUND(N($J2281)*IF($P2281="",N($O2281),N($P2281)),0)))</f>
        <v/>
      </c>
      <c r="R2281" s="26">
        <f>IF($D2281="","",IFERROR(VLOOKUP($D2281,库存台账!$A$5:$Y$1204,11,0),0))</f>
        <v/>
      </c>
      <c r="S2281" s="26">
        <f>IF($D2281="","",ROUND(N($J2281)*N($R2281),0))</f>
        <v/>
      </c>
      <c r="T2281" s="26">
        <f>IF($D2281="","",IF($K2281&lt;&gt;"对外销售","",ROUND($Q2281-$S2281,0)))</f>
        <v/>
      </c>
      <c r="U2281" s="17" t="n"/>
      <c r="V2281" s="17" t="n"/>
      <c r="W2281" s="24">
        <f>IF($D2281="","",IF($E2281="※编码不在物料档案里","※物料编码不在档案里",IF(N($J2281)&lt;=0,"※出库数量要大于 0",IF($K2281="","※没填去向类型",IF($L2281="","※没填去向矿区",IF(AND($C2281&lt;&gt;"",$C2281&lt;=结账锁),"※日期早于已结账截止日，不能再录",IF(AND($K2281="自用消耗",COUNTIF({"一矿区";"二矿区"},$L2281)=0),"※自用消耗的去向只能是一矿区或二矿区",IF(AND($K2281="对外销售",COUNTIF({"三矿区";"六矿区"},$L2281)=0),"※对外销售的去向只能是三矿区或六矿区",IF(AND($K2281="对外销售",ROUND($Q2281,0)=0),"※外销却没有售价，请填实际售价",IF(AND($K2281="对外销售",$T2281&lt;&gt;"",$T2281&lt;0),"※这一笔外销是亏的，请核对售价",IF(IFERROR(VLOOKUP($D2281,库存台账!$A$5:$Y$1204,24,0),0)&lt;-0.001,"※这个物料账面已经变成负数了，查一下是不是漏记入库","")))))))))))</f>
        <v/>
      </c>
    </row>
    <row r="2282">
      <c r="A2282" s="24">
        <f>IF($D2282="","",COUNTA($D$4:$D2282))</f>
        <v/>
      </c>
      <c r="B2282" s="17" t="n"/>
      <c r="C2282" s="30" t="n"/>
      <c r="D2282" s="17" t="n"/>
      <c r="E2282" s="24">
        <f>IF($D2282="","",IFERROR(VLOOKUP($D2282,物料档案!$A$4:$P$1203,3,0),"※编码不在物料档案里"))</f>
        <v/>
      </c>
      <c r="F2282" s="24">
        <f>IF($D2282="","",IFERROR(VLOOKUP($D2282,物料档案!$A$4:$P$1203,4,0),"※编码不在物料档案里"))</f>
        <v/>
      </c>
      <c r="G2282" s="24">
        <f>IF($D2282="","",IFERROR(VLOOKUP($D2282,物料档案!$A$4:$P$1203,5,0),"※编码不在物料档案里"))</f>
        <v/>
      </c>
      <c r="H2282" s="24">
        <f>IF($D2282="","",IFERROR(VLOOKUP($D2282,物料档案!$A$4:$P$1203,2,0),"※编码不在物料档案里"))</f>
        <v/>
      </c>
      <c r="I2282" s="24">
        <f>IF($D2282="","",IFERROR(VLOOKUP($D2282,物料档案!$A$4:$P$1203,6,0),"※编码不在物料档案里"))</f>
        <v/>
      </c>
      <c r="J2282" s="23" t="n"/>
      <c r="K2282" s="17" t="n"/>
      <c r="L2282" s="17" t="n"/>
      <c r="M2282" s="17" t="n"/>
      <c r="N2282" s="17" t="n"/>
      <c r="O2282" s="26">
        <f>IF($D2282="","",IFERROR(VLOOKUP($D2282,物料档案!$A$4:$P$1203,10,0),0))</f>
        <v/>
      </c>
      <c r="P2282" s="32" t="n"/>
      <c r="Q2282" s="26">
        <f>IF($D2282="","",IF($K2282&lt;&gt;"对外销售",0,ROUND(N($J2282)*IF($P2282="",N($O2282),N($P2282)),0)))</f>
        <v/>
      </c>
      <c r="R2282" s="26">
        <f>IF($D2282="","",IFERROR(VLOOKUP($D2282,库存台账!$A$5:$Y$1204,11,0),0))</f>
        <v/>
      </c>
      <c r="S2282" s="26">
        <f>IF($D2282="","",ROUND(N($J2282)*N($R2282),0))</f>
        <v/>
      </c>
      <c r="T2282" s="26">
        <f>IF($D2282="","",IF($K2282&lt;&gt;"对外销售","",ROUND($Q2282-$S2282,0)))</f>
        <v/>
      </c>
      <c r="U2282" s="17" t="n"/>
      <c r="V2282" s="17" t="n"/>
      <c r="W2282" s="24">
        <f>IF($D2282="","",IF($E2282="※编码不在物料档案里","※物料编码不在档案里",IF(N($J2282)&lt;=0,"※出库数量要大于 0",IF($K2282="","※没填去向类型",IF($L2282="","※没填去向矿区",IF(AND($C2282&lt;&gt;"",$C2282&lt;=结账锁),"※日期早于已结账截止日，不能再录",IF(AND($K2282="自用消耗",COUNTIF({"一矿区";"二矿区"},$L2282)=0),"※自用消耗的去向只能是一矿区或二矿区",IF(AND($K2282="对外销售",COUNTIF({"三矿区";"六矿区"},$L2282)=0),"※对外销售的去向只能是三矿区或六矿区",IF(AND($K2282="对外销售",ROUND($Q2282,0)=0),"※外销却没有售价，请填实际售价",IF(AND($K2282="对外销售",$T2282&lt;&gt;"",$T2282&lt;0),"※这一笔外销是亏的，请核对售价",IF(IFERROR(VLOOKUP($D2282,库存台账!$A$5:$Y$1204,24,0),0)&lt;-0.001,"※这个物料账面已经变成负数了，查一下是不是漏记入库","")))))))))))</f>
        <v/>
      </c>
    </row>
    <row r="2283">
      <c r="A2283" s="24">
        <f>IF($D2283="","",COUNTA($D$4:$D2283))</f>
        <v/>
      </c>
      <c r="B2283" s="17" t="n"/>
      <c r="C2283" s="30" t="n"/>
      <c r="D2283" s="17" t="n"/>
      <c r="E2283" s="24">
        <f>IF($D2283="","",IFERROR(VLOOKUP($D2283,物料档案!$A$4:$P$1203,3,0),"※编码不在物料档案里"))</f>
        <v/>
      </c>
      <c r="F2283" s="24">
        <f>IF($D2283="","",IFERROR(VLOOKUP($D2283,物料档案!$A$4:$P$1203,4,0),"※编码不在物料档案里"))</f>
        <v/>
      </c>
      <c r="G2283" s="24">
        <f>IF($D2283="","",IFERROR(VLOOKUP($D2283,物料档案!$A$4:$P$1203,5,0),"※编码不在物料档案里"))</f>
        <v/>
      </c>
      <c r="H2283" s="24">
        <f>IF($D2283="","",IFERROR(VLOOKUP($D2283,物料档案!$A$4:$P$1203,2,0),"※编码不在物料档案里"))</f>
        <v/>
      </c>
      <c r="I2283" s="24">
        <f>IF($D2283="","",IFERROR(VLOOKUP($D2283,物料档案!$A$4:$P$1203,6,0),"※编码不在物料档案里"))</f>
        <v/>
      </c>
      <c r="J2283" s="23" t="n"/>
      <c r="K2283" s="17" t="n"/>
      <c r="L2283" s="17" t="n"/>
      <c r="M2283" s="17" t="n"/>
      <c r="N2283" s="17" t="n"/>
      <c r="O2283" s="26">
        <f>IF($D2283="","",IFERROR(VLOOKUP($D2283,物料档案!$A$4:$P$1203,10,0),0))</f>
        <v/>
      </c>
      <c r="P2283" s="32" t="n"/>
      <c r="Q2283" s="26">
        <f>IF($D2283="","",IF($K2283&lt;&gt;"对外销售",0,ROUND(N($J2283)*IF($P2283="",N($O2283),N($P2283)),0)))</f>
        <v/>
      </c>
      <c r="R2283" s="26">
        <f>IF($D2283="","",IFERROR(VLOOKUP($D2283,库存台账!$A$5:$Y$1204,11,0),0))</f>
        <v/>
      </c>
      <c r="S2283" s="26">
        <f>IF($D2283="","",ROUND(N($J2283)*N($R2283),0))</f>
        <v/>
      </c>
      <c r="T2283" s="26">
        <f>IF($D2283="","",IF($K2283&lt;&gt;"对外销售","",ROUND($Q2283-$S2283,0)))</f>
        <v/>
      </c>
      <c r="U2283" s="17" t="n"/>
      <c r="V2283" s="17" t="n"/>
      <c r="W2283" s="24">
        <f>IF($D2283="","",IF($E2283="※编码不在物料档案里","※物料编码不在档案里",IF(N($J2283)&lt;=0,"※出库数量要大于 0",IF($K2283="","※没填去向类型",IF($L2283="","※没填去向矿区",IF(AND($C2283&lt;&gt;"",$C2283&lt;=结账锁),"※日期早于已结账截止日，不能再录",IF(AND($K2283="自用消耗",COUNTIF({"一矿区";"二矿区"},$L2283)=0),"※自用消耗的去向只能是一矿区或二矿区",IF(AND($K2283="对外销售",COUNTIF({"三矿区";"六矿区"},$L2283)=0),"※对外销售的去向只能是三矿区或六矿区",IF(AND($K2283="对外销售",ROUND($Q2283,0)=0),"※外销却没有售价，请填实际售价",IF(AND($K2283="对外销售",$T2283&lt;&gt;"",$T2283&lt;0),"※这一笔外销是亏的，请核对售价",IF(IFERROR(VLOOKUP($D2283,库存台账!$A$5:$Y$1204,24,0),0)&lt;-0.001,"※这个物料账面已经变成负数了，查一下是不是漏记入库","")))))))))))</f>
        <v/>
      </c>
    </row>
    <row r="2284">
      <c r="A2284" s="24">
        <f>IF($D2284="","",COUNTA($D$4:$D2284))</f>
        <v/>
      </c>
      <c r="B2284" s="17" t="n"/>
      <c r="C2284" s="30" t="n"/>
      <c r="D2284" s="17" t="n"/>
      <c r="E2284" s="24">
        <f>IF($D2284="","",IFERROR(VLOOKUP($D2284,物料档案!$A$4:$P$1203,3,0),"※编码不在物料档案里"))</f>
        <v/>
      </c>
      <c r="F2284" s="24">
        <f>IF($D2284="","",IFERROR(VLOOKUP($D2284,物料档案!$A$4:$P$1203,4,0),"※编码不在物料档案里"))</f>
        <v/>
      </c>
      <c r="G2284" s="24">
        <f>IF($D2284="","",IFERROR(VLOOKUP($D2284,物料档案!$A$4:$P$1203,5,0),"※编码不在物料档案里"))</f>
        <v/>
      </c>
      <c r="H2284" s="24">
        <f>IF($D2284="","",IFERROR(VLOOKUP($D2284,物料档案!$A$4:$P$1203,2,0),"※编码不在物料档案里"))</f>
        <v/>
      </c>
      <c r="I2284" s="24">
        <f>IF($D2284="","",IFERROR(VLOOKUP($D2284,物料档案!$A$4:$P$1203,6,0),"※编码不在物料档案里"))</f>
        <v/>
      </c>
      <c r="J2284" s="23" t="n"/>
      <c r="K2284" s="17" t="n"/>
      <c r="L2284" s="17" t="n"/>
      <c r="M2284" s="17" t="n"/>
      <c r="N2284" s="17" t="n"/>
      <c r="O2284" s="26">
        <f>IF($D2284="","",IFERROR(VLOOKUP($D2284,物料档案!$A$4:$P$1203,10,0),0))</f>
        <v/>
      </c>
      <c r="P2284" s="32" t="n"/>
      <c r="Q2284" s="26">
        <f>IF($D2284="","",IF($K2284&lt;&gt;"对外销售",0,ROUND(N($J2284)*IF($P2284="",N($O2284),N($P2284)),0)))</f>
        <v/>
      </c>
      <c r="R2284" s="26">
        <f>IF($D2284="","",IFERROR(VLOOKUP($D2284,库存台账!$A$5:$Y$1204,11,0),0))</f>
        <v/>
      </c>
      <c r="S2284" s="26">
        <f>IF($D2284="","",ROUND(N($J2284)*N($R2284),0))</f>
        <v/>
      </c>
      <c r="T2284" s="26">
        <f>IF($D2284="","",IF($K2284&lt;&gt;"对外销售","",ROUND($Q2284-$S2284,0)))</f>
        <v/>
      </c>
      <c r="U2284" s="17" t="n"/>
      <c r="V2284" s="17" t="n"/>
      <c r="W2284" s="24">
        <f>IF($D2284="","",IF($E2284="※编码不在物料档案里","※物料编码不在档案里",IF(N($J2284)&lt;=0,"※出库数量要大于 0",IF($K2284="","※没填去向类型",IF($L2284="","※没填去向矿区",IF(AND($C2284&lt;&gt;"",$C2284&lt;=结账锁),"※日期早于已结账截止日，不能再录",IF(AND($K2284="自用消耗",COUNTIF({"一矿区";"二矿区"},$L2284)=0),"※自用消耗的去向只能是一矿区或二矿区",IF(AND($K2284="对外销售",COUNTIF({"三矿区";"六矿区"},$L2284)=0),"※对外销售的去向只能是三矿区或六矿区",IF(AND($K2284="对外销售",ROUND($Q2284,0)=0),"※外销却没有售价，请填实际售价",IF(AND($K2284="对外销售",$T2284&lt;&gt;"",$T2284&lt;0),"※这一笔外销是亏的，请核对售价",IF(IFERROR(VLOOKUP($D2284,库存台账!$A$5:$Y$1204,24,0),0)&lt;-0.001,"※这个物料账面已经变成负数了，查一下是不是漏记入库","")))))))))))</f>
        <v/>
      </c>
    </row>
    <row r="2285">
      <c r="A2285" s="24">
        <f>IF($D2285="","",COUNTA($D$4:$D2285))</f>
        <v/>
      </c>
      <c r="B2285" s="17" t="n"/>
      <c r="C2285" s="30" t="n"/>
      <c r="D2285" s="17" t="n"/>
      <c r="E2285" s="24">
        <f>IF($D2285="","",IFERROR(VLOOKUP($D2285,物料档案!$A$4:$P$1203,3,0),"※编码不在物料档案里"))</f>
        <v/>
      </c>
      <c r="F2285" s="24">
        <f>IF($D2285="","",IFERROR(VLOOKUP($D2285,物料档案!$A$4:$P$1203,4,0),"※编码不在物料档案里"))</f>
        <v/>
      </c>
      <c r="G2285" s="24">
        <f>IF($D2285="","",IFERROR(VLOOKUP($D2285,物料档案!$A$4:$P$1203,5,0),"※编码不在物料档案里"))</f>
        <v/>
      </c>
      <c r="H2285" s="24">
        <f>IF($D2285="","",IFERROR(VLOOKUP($D2285,物料档案!$A$4:$P$1203,2,0),"※编码不在物料档案里"))</f>
        <v/>
      </c>
      <c r="I2285" s="24">
        <f>IF($D2285="","",IFERROR(VLOOKUP($D2285,物料档案!$A$4:$P$1203,6,0),"※编码不在物料档案里"))</f>
        <v/>
      </c>
      <c r="J2285" s="23" t="n"/>
      <c r="K2285" s="17" t="n"/>
      <c r="L2285" s="17" t="n"/>
      <c r="M2285" s="17" t="n"/>
      <c r="N2285" s="17" t="n"/>
      <c r="O2285" s="26">
        <f>IF($D2285="","",IFERROR(VLOOKUP($D2285,物料档案!$A$4:$P$1203,10,0),0))</f>
        <v/>
      </c>
      <c r="P2285" s="32" t="n"/>
      <c r="Q2285" s="26">
        <f>IF($D2285="","",IF($K2285&lt;&gt;"对外销售",0,ROUND(N($J2285)*IF($P2285="",N($O2285),N($P2285)),0)))</f>
        <v/>
      </c>
      <c r="R2285" s="26">
        <f>IF($D2285="","",IFERROR(VLOOKUP($D2285,库存台账!$A$5:$Y$1204,11,0),0))</f>
        <v/>
      </c>
      <c r="S2285" s="26">
        <f>IF($D2285="","",ROUND(N($J2285)*N($R2285),0))</f>
        <v/>
      </c>
      <c r="T2285" s="26">
        <f>IF($D2285="","",IF($K2285&lt;&gt;"对外销售","",ROUND($Q2285-$S2285,0)))</f>
        <v/>
      </c>
      <c r="U2285" s="17" t="n"/>
      <c r="V2285" s="17" t="n"/>
      <c r="W2285" s="24">
        <f>IF($D2285="","",IF($E2285="※编码不在物料档案里","※物料编码不在档案里",IF(N($J2285)&lt;=0,"※出库数量要大于 0",IF($K2285="","※没填去向类型",IF($L2285="","※没填去向矿区",IF(AND($C2285&lt;&gt;"",$C2285&lt;=结账锁),"※日期早于已结账截止日，不能再录",IF(AND($K2285="自用消耗",COUNTIF({"一矿区";"二矿区"},$L2285)=0),"※自用消耗的去向只能是一矿区或二矿区",IF(AND($K2285="对外销售",COUNTIF({"三矿区";"六矿区"},$L2285)=0),"※对外销售的去向只能是三矿区或六矿区",IF(AND($K2285="对外销售",ROUND($Q2285,0)=0),"※外销却没有售价，请填实际售价",IF(AND($K2285="对外销售",$T2285&lt;&gt;"",$T2285&lt;0),"※这一笔外销是亏的，请核对售价",IF(IFERROR(VLOOKUP($D2285,库存台账!$A$5:$Y$1204,24,0),0)&lt;-0.001,"※这个物料账面已经变成负数了，查一下是不是漏记入库","")))))))))))</f>
        <v/>
      </c>
    </row>
    <row r="2286">
      <c r="A2286" s="24">
        <f>IF($D2286="","",COUNTA($D$4:$D2286))</f>
        <v/>
      </c>
      <c r="B2286" s="17" t="n"/>
      <c r="C2286" s="30" t="n"/>
      <c r="D2286" s="17" t="n"/>
      <c r="E2286" s="24">
        <f>IF($D2286="","",IFERROR(VLOOKUP($D2286,物料档案!$A$4:$P$1203,3,0),"※编码不在物料档案里"))</f>
        <v/>
      </c>
      <c r="F2286" s="24">
        <f>IF($D2286="","",IFERROR(VLOOKUP($D2286,物料档案!$A$4:$P$1203,4,0),"※编码不在物料档案里"))</f>
        <v/>
      </c>
      <c r="G2286" s="24">
        <f>IF($D2286="","",IFERROR(VLOOKUP($D2286,物料档案!$A$4:$P$1203,5,0),"※编码不在物料档案里"))</f>
        <v/>
      </c>
      <c r="H2286" s="24">
        <f>IF($D2286="","",IFERROR(VLOOKUP($D2286,物料档案!$A$4:$P$1203,2,0),"※编码不在物料档案里"))</f>
        <v/>
      </c>
      <c r="I2286" s="24">
        <f>IF($D2286="","",IFERROR(VLOOKUP($D2286,物料档案!$A$4:$P$1203,6,0),"※编码不在物料档案里"))</f>
        <v/>
      </c>
      <c r="J2286" s="23" t="n"/>
      <c r="K2286" s="17" t="n"/>
      <c r="L2286" s="17" t="n"/>
      <c r="M2286" s="17" t="n"/>
      <c r="N2286" s="17" t="n"/>
      <c r="O2286" s="26">
        <f>IF($D2286="","",IFERROR(VLOOKUP($D2286,物料档案!$A$4:$P$1203,10,0),0))</f>
        <v/>
      </c>
      <c r="P2286" s="32" t="n"/>
      <c r="Q2286" s="26">
        <f>IF($D2286="","",IF($K2286&lt;&gt;"对外销售",0,ROUND(N($J2286)*IF($P2286="",N($O2286),N($P2286)),0)))</f>
        <v/>
      </c>
      <c r="R2286" s="26">
        <f>IF($D2286="","",IFERROR(VLOOKUP($D2286,库存台账!$A$5:$Y$1204,11,0),0))</f>
        <v/>
      </c>
      <c r="S2286" s="26">
        <f>IF($D2286="","",ROUND(N($J2286)*N($R2286),0))</f>
        <v/>
      </c>
      <c r="T2286" s="26">
        <f>IF($D2286="","",IF($K2286&lt;&gt;"对外销售","",ROUND($Q2286-$S2286,0)))</f>
        <v/>
      </c>
      <c r="U2286" s="17" t="n"/>
      <c r="V2286" s="17" t="n"/>
      <c r="W2286" s="24">
        <f>IF($D2286="","",IF($E2286="※编码不在物料档案里","※物料编码不在档案里",IF(N($J2286)&lt;=0,"※出库数量要大于 0",IF($K2286="","※没填去向类型",IF($L2286="","※没填去向矿区",IF(AND($C2286&lt;&gt;"",$C2286&lt;=结账锁),"※日期早于已结账截止日，不能再录",IF(AND($K2286="自用消耗",COUNTIF({"一矿区";"二矿区"},$L2286)=0),"※自用消耗的去向只能是一矿区或二矿区",IF(AND($K2286="对外销售",COUNTIF({"三矿区";"六矿区"},$L2286)=0),"※对外销售的去向只能是三矿区或六矿区",IF(AND($K2286="对外销售",ROUND($Q2286,0)=0),"※外销却没有售价，请填实际售价",IF(AND($K2286="对外销售",$T2286&lt;&gt;"",$T2286&lt;0),"※这一笔外销是亏的，请核对售价",IF(IFERROR(VLOOKUP($D2286,库存台账!$A$5:$Y$1204,24,0),0)&lt;-0.001,"※这个物料账面已经变成负数了，查一下是不是漏记入库","")))))))))))</f>
        <v/>
      </c>
    </row>
    <row r="2287">
      <c r="A2287" s="24">
        <f>IF($D2287="","",COUNTA($D$4:$D2287))</f>
        <v/>
      </c>
      <c r="B2287" s="17" t="n"/>
      <c r="C2287" s="30" t="n"/>
      <c r="D2287" s="17" t="n"/>
      <c r="E2287" s="24">
        <f>IF($D2287="","",IFERROR(VLOOKUP($D2287,物料档案!$A$4:$P$1203,3,0),"※编码不在物料档案里"))</f>
        <v/>
      </c>
      <c r="F2287" s="24">
        <f>IF($D2287="","",IFERROR(VLOOKUP($D2287,物料档案!$A$4:$P$1203,4,0),"※编码不在物料档案里"))</f>
        <v/>
      </c>
      <c r="G2287" s="24">
        <f>IF($D2287="","",IFERROR(VLOOKUP($D2287,物料档案!$A$4:$P$1203,5,0),"※编码不在物料档案里"))</f>
        <v/>
      </c>
      <c r="H2287" s="24">
        <f>IF($D2287="","",IFERROR(VLOOKUP($D2287,物料档案!$A$4:$P$1203,2,0),"※编码不在物料档案里"))</f>
        <v/>
      </c>
      <c r="I2287" s="24">
        <f>IF($D2287="","",IFERROR(VLOOKUP($D2287,物料档案!$A$4:$P$1203,6,0),"※编码不在物料档案里"))</f>
        <v/>
      </c>
      <c r="J2287" s="23" t="n"/>
      <c r="K2287" s="17" t="n"/>
      <c r="L2287" s="17" t="n"/>
      <c r="M2287" s="17" t="n"/>
      <c r="N2287" s="17" t="n"/>
      <c r="O2287" s="26">
        <f>IF($D2287="","",IFERROR(VLOOKUP($D2287,物料档案!$A$4:$P$1203,10,0),0))</f>
        <v/>
      </c>
      <c r="P2287" s="32" t="n"/>
      <c r="Q2287" s="26">
        <f>IF($D2287="","",IF($K2287&lt;&gt;"对外销售",0,ROUND(N($J2287)*IF($P2287="",N($O2287),N($P2287)),0)))</f>
        <v/>
      </c>
      <c r="R2287" s="26">
        <f>IF($D2287="","",IFERROR(VLOOKUP($D2287,库存台账!$A$5:$Y$1204,11,0),0))</f>
        <v/>
      </c>
      <c r="S2287" s="26">
        <f>IF($D2287="","",ROUND(N($J2287)*N($R2287),0))</f>
        <v/>
      </c>
      <c r="T2287" s="26">
        <f>IF($D2287="","",IF($K2287&lt;&gt;"对外销售","",ROUND($Q2287-$S2287,0)))</f>
        <v/>
      </c>
      <c r="U2287" s="17" t="n"/>
      <c r="V2287" s="17" t="n"/>
      <c r="W2287" s="24">
        <f>IF($D2287="","",IF($E2287="※编码不在物料档案里","※物料编码不在档案里",IF(N($J2287)&lt;=0,"※出库数量要大于 0",IF($K2287="","※没填去向类型",IF($L2287="","※没填去向矿区",IF(AND($C2287&lt;&gt;"",$C2287&lt;=结账锁),"※日期早于已结账截止日，不能再录",IF(AND($K2287="自用消耗",COUNTIF({"一矿区";"二矿区"},$L2287)=0),"※自用消耗的去向只能是一矿区或二矿区",IF(AND($K2287="对外销售",COUNTIF({"三矿区";"六矿区"},$L2287)=0),"※对外销售的去向只能是三矿区或六矿区",IF(AND($K2287="对外销售",ROUND($Q2287,0)=0),"※外销却没有售价，请填实际售价",IF(AND($K2287="对外销售",$T2287&lt;&gt;"",$T2287&lt;0),"※这一笔外销是亏的，请核对售价",IF(IFERROR(VLOOKUP($D2287,库存台账!$A$5:$Y$1204,24,0),0)&lt;-0.001,"※这个物料账面已经变成负数了，查一下是不是漏记入库","")))))))))))</f>
        <v/>
      </c>
    </row>
    <row r="2288">
      <c r="A2288" s="24">
        <f>IF($D2288="","",COUNTA($D$4:$D2288))</f>
        <v/>
      </c>
      <c r="B2288" s="17" t="n"/>
      <c r="C2288" s="30" t="n"/>
      <c r="D2288" s="17" t="n"/>
      <c r="E2288" s="24">
        <f>IF($D2288="","",IFERROR(VLOOKUP($D2288,物料档案!$A$4:$P$1203,3,0),"※编码不在物料档案里"))</f>
        <v/>
      </c>
      <c r="F2288" s="24">
        <f>IF($D2288="","",IFERROR(VLOOKUP($D2288,物料档案!$A$4:$P$1203,4,0),"※编码不在物料档案里"))</f>
        <v/>
      </c>
      <c r="G2288" s="24">
        <f>IF($D2288="","",IFERROR(VLOOKUP($D2288,物料档案!$A$4:$P$1203,5,0),"※编码不在物料档案里"))</f>
        <v/>
      </c>
      <c r="H2288" s="24">
        <f>IF($D2288="","",IFERROR(VLOOKUP($D2288,物料档案!$A$4:$P$1203,2,0),"※编码不在物料档案里"))</f>
        <v/>
      </c>
      <c r="I2288" s="24">
        <f>IF($D2288="","",IFERROR(VLOOKUP($D2288,物料档案!$A$4:$P$1203,6,0),"※编码不在物料档案里"))</f>
        <v/>
      </c>
      <c r="J2288" s="23" t="n"/>
      <c r="K2288" s="17" t="n"/>
      <c r="L2288" s="17" t="n"/>
      <c r="M2288" s="17" t="n"/>
      <c r="N2288" s="17" t="n"/>
      <c r="O2288" s="26">
        <f>IF($D2288="","",IFERROR(VLOOKUP($D2288,物料档案!$A$4:$P$1203,10,0),0))</f>
        <v/>
      </c>
      <c r="P2288" s="32" t="n"/>
      <c r="Q2288" s="26">
        <f>IF($D2288="","",IF($K2288&lt;&gt;"对外销售",0,ROUND(N($J2288)*IF($P2288="",N($O2288),N($P2288)),0)))</f>
        <v/>
      </c>
      <c r="R2288" s="26">
        <f>IF($D2288="","",IFERROR(VLOOKUP($D2288,库存台账!$A$5:$Y$1204,11,0),0))</f>
        <v/>
      </c>
      <c r="S2288" s="26">
        <f>IF($D2288="","",ROUND(N($J2288)*N($R2288),0))</f>
        <v/>
      </c>
      <c r="T2288" s="26">
        <f>IF($D2288="","",IF($K2288&lt;&gt;"对外销售","",ROUND($Q2288-$S2288,0)))</f>
        <v/>
      </c>
      <c r="U2288" s="17" t="n"/>
      <c r="V2288" s="17" t="n"/>
      <c r="W2288" s="24">
        <f>IF($D2288="","",IF($E2288="※编码不在物料档案里","※物料编码不在档案里",IF(N($J2288)&lt;=0,"※出库数量要大于 0",IF($K2288="","※没填去向类型",IF($L2288="","※没填去向矿区",IF(AND($C2288&lt;&gt;"",$C2288&lt;=结账锁),"※日期早于已结账截止日，不能再录",IF(AND($K2288="自用消耗",COUNTIF({"一矿区";"二矿区"},$L2288)=0),"※自用消耗的去向只能是一矿区或二矿区",IF(AND($K2288="对外销售",COUNTIF({"三矿区";"六矿区"},$L2288)=0),"※对外销售的去向只能是三矿区或六矿区",IF(AND($K2288="对外销售",ROUND($Q2288,0)=0),"※外销却没有售价，请填实际售价",IF(AND($K2288="对外销售",$T2288&lt;&gt;"",$T2288&lt;0),"※这一笔外销是亏的，请核对售价",IF(IFERROR(VLOOKUP($D2288,库存台账!$A$5:$Y$1204,24,0),0)&lt;-0.001,"※这个物料账面已经变成负数了，查一下是不是漏记入库","")))))))))))</f>
        <v/>
      </c>
    </row>
    <row r="2289">
      <c r="A2289" s="24">
        <f>IF($D2289="","",COUNTA($D$4:$D2289))</f>
        <v/>
      </c>
      <c r="B2289" s="17" t="n"/>
      <c r="C2289" s="30" t="n"/>
      <c r="D2289" s="17" t="n"/>
      <c r="E2289" s="24">
        <f>IF($D2289="","",IFERROR(VLOOKUP($D2289,物料档案!$A$4:$P$1203,3,0),"※编码不在物料档案里"))</f>
        <v/>
      </c>
      <c r="F2289" s="24">
        <f>IF($D2289="","",IFERROR(VLOOKUP($D2289,物料档案!$A$4:$P$1203,4,0),"※编码不在物料档案里"))</f>
        <v/>
      </c>
      <c r="G2289" s="24">
        <f>IF($D2289="","",IFERROR(VLOOKUP($D2289,物料档案!$A$4:$P$1203,5,0),"※编码不在物料档案里"))</f>
        <v/>
      </c>
      <c r="H2289" s="24">
        <f>IF($D2289="","",IFERROR(VLOOKUP($D2289,物料档案!$A$4:$P$1203,2,0),"※编码不在物料档案里"))</f>
        <v/>
      </c>
      <c r="I2289" s="24">
        <f>IF($D2289="","",IFERROR(VLOOKUP($D2289,物料档案!$A$4:$P$1203,6,0),"※编码不在物料档案里"))</f>
        <v/>
      </c>
      <c r="J2289" s="23" t="n"/>
      <c r="K2289" s="17" t="n"/>
      <c r="L2289" s="17" t="n"/>
      <c r="M2289" s="17" t="n"/>
      <c r="N2289" s="17" t="n"/>
      <c r="O2289" s="26">
        <f>IF($D2289="","",IFERROR(VLOOKUP($D2289,物料档案!$A$4:$P$1203,10,0),0))</f>
        <v/>
      </c>
      <c r="P2289" s="32" t="n"/>
      <c r="Q2289" s="26">
        <f>IF($D2289="","",IF($K2289&lt;&gt;"对外销售",0,ROUND(N($J2289)*IF($P2289="",N($O2289),N($P2289)),0)))</f>
        <v/>
      </c>
      <c r="R2289" s="26">
        <f>IF($D2289="","",IFERROR(VLOOKUP($D2289,库存台账!$A$5:$Y$1204,11,0),0))</f>
        <v/>
      </c>
      <c r="S2289" s="26">
        <f>IF($D2289="","",ROUND(N($J2289)*N($R2289),0))</f>
        <v/>
      </c>
      <c r="T2289" s="26">
        <f>IF($D2289="","",IF($K2289&lt;&gt;"对外销售","",ROUND($Q2289-$S2289,0)))</f>
        <v/>
      </c>
      <c r="U2289" s="17" t="n"/>
      <c r="V2289" s="17" t="n"/>
      <c r="W2289" s="24">
        <f>IF($D2289="","",IF($E2289="※编码不在物料档案里","※物料编码不在档案里",IF(N($J2289)&lt;=0,"※出库数量要大于 0",IF($K2289="","※没填去向类型",IF($L2289="","※没填去向矿区",IF(AND($C2289&lt;&gt;"",$C2289&lt;=结账锁),"※日期早于已结账截止日，不能再录",IF(AND($K2289="自用消耗",COUNTIF({"一矿区";"二矿区"},$L2289)=0),"※自用消耗的去向只能是一矿区或二矿区",IF(AND($K2289="对外销售",COUNTIF({"三矿区";"六矿区"},$L2289)=0),"※对外销售的去向只能是三矿区或六矿区",IF(AND($K2289="对外销售",ROUND($Q2289,0)=0),"※外销却没有售价，请填实际售价",IF(AND($K2289="对外销售",$T2289&lt;&gt;"",$T2289&lt;0),"※这一笔外销是亏的，请核对售价",IF(IFERROR(VLOOKUP($D2289,库存台账!$A$5:$Y$1204,24,0),0)&lt;-0.001,"※这个物料账面已经变成负数了，查一下是不是漏记入库","")))))))))))</f>
        <v/>
      </c>
    </row>
    <row r="2290">
      <c r="A2290" s="24">
        <f>IF($D2290="","",COUNTA($D$4:$D2290))</f>
        <v/>
      </c>
      <c r="B2290" s="17" t="n"/>
      <c r="C2290" s="30" t="n"/>
      <c r="D2290" s="17" t="n"/>
      <c r="E2290" s="24">
        <f>IF($D2290="","",IFERROR(VLOOKUP($D2290,物料档案!$A$4:$P$1203,3,0),"※编码不在物料档案里"))</f>
        <v/>
      </c>
      <c r="F2290" s="24">
        <f>IF($D2290="","",IFERROR(VLOOKUP($D2290,物料档案!$A$4:$P$1203,4,0),"※编码不在物料档案里"))</f>
        <v/>
      </c>
      <c r="G2290" s="24">
        <f>IF($D2290="","",IFERROR(VLOOKUP($D2290,物料档案!$A$4:$P$1203,5,0),"※编码不在物料档案里"))</f>
        <v/>
      </c>
      <c r="H2290" s="24">
        <f>IF($D2290="","",IFERROR(VLOOKUP($D2290,物料档案!$A$4:$P$1203,2,0),"※编码不在物料档案里"))</f>
        <v/>
      </c>
      <c r="I2290" s="24">
        <f>IF($D2290="","",IFERROR(VLOOKUP($D2290,物料档案!$A$4:$P$1203,6,0),"※编码不在物料档案里"))</f>
        <v/>
      </c>
      <c r="J2290" s="23" t="n"/>
      <c r="K2290" s="17" t="n"/>
      <c r="L2290" s="17" t="n"/>
      <c r="M2290" s="17" t="n"/>
      <c r="N2290" s="17" t="n"/>
      <c r="O2290" s="26">
        <f>IF($D2290="","",IFERROR(VLOOKUP($D2290,物料档案!$A$4:$P$1203,10,0),0))</f>
        <v/>
      </c>
      <c r="P2290" s="32" t="n"/>
      <c r="Q2290" s="26">
        <f>IF($D2290="","",IF($K2290&lt;&gt;"对外销售",0,ROUND(N($J2290)*IF($P2290="",N($O2290),N($P2290)),0)))</f>
        <v/>
      </c>
      <c r="R2290" s="26">
        <f>IF($D2290="","",IFERROR(VLOOKUP($D2290,库存台账!$A$5:$Y$1204,11,0),0))</f>
        <v/>
      </c>
      <c r="S2290" s="26">
        <f>IF($D2290="","",ROUND(N($J2290)*N($R2290),0))</f>
        <v/>
      </c>
      <c r="T2290" s="26">
        <f>IF($D2290="","",IF($K2290&lt;&gt;"对外销售","",ROUND($Q2290-$S2290,0)))</f>
        <v/>
      </c>
      <c r="U2290" s="17" t="n"/>
      <c r="V2290" s="17" t="n"/>
      <c r="W2290" s="24">
        <f>IF($D2290="","",IF($E2290="※编码不在物料档案里","※物料编码不在档案里",IF(N($J2290)&lt;=0,"※出库数量要大于 0",IF($K2290="","※没填去向类型",IF($L2290="","※没填去向矿区",IF(AND($C2290&lt;&gt;"",$C2290&lt;=结账锁),"※日期早于已结账截止日，不能再录",IF(AND($K2290="自用消耗",COUNTIF({"一矿区";"二矿区"},$L2290)=0),"※自用消耗的去向只能是一矿区或二矿区",IF(AND($K2290="对外销售",COUNTIF({"三矿区";"六矿区"},$L2290)=0),"※对外销售的去向只能是三矿区或六矿区",IF(AND($K2290="对外销售",ROUND($Q2290,0)=0),"※外销却没有售价，请填实际售价",IF(AND($K2290="对外销售",$T2290&lt;&gt;"",$T2290&lt;0),"※这一笔外销是亏的，请核对售价",IF(IFERROR(VLOOKUP($D2290,库存台账!$A$5:$Y$1204,24,0),0)&lt;-0.001,"※这个物料账面已经变成负数了，查一下是不是漏记入库","")))))))))))</f>
        <v/>
      </c>
    </row>
    <row r="2291">
      <c r="A2291" s="24">
        <f>IF($D2291="","",COUNTA($D$4:$D2291))</f>
        <v/>
      </c>
      <c r="B2291" s="17" t="n"/>
      <c r="C2291" s="30" t="n"/>
      <c r="D2291" s="17" t="n"/>
      <c r="E2291" s="24">
        <f>IF($D2291="","",IFERROR(VLOOKUP($D2291,物料档案!$A$4:$P$1203,3,0),"※编码不在物料档案里"))</f>
        <v/>
      </c>
      <c r="F2291" s="24">
        <f>IF($D2291="","",IFERROR(VLOOKUP($D2291,物料档案!$A$4:$P$1203,4,0),"※编码不在物料档案里"))</f>
        <v/>
      </c>
      <c r="G2291" s="24">
        <f>IF($D2291="","",IFERROR(VLOOKUP($D2291,物料档案!$A$4:$P$1203,5,0),"※编码不在物料档案里"))</f>
        <v/>
      </c>
      <c r="H2291" s="24">
        <f>IF($D2291="","",IFERROR(VLOOKUP($D2291,物料档案!$A$4:$P$1203,2,0),"※编码不在物料档案里"))</f>
        <v/>
      </c>
      <c r="I2291" s="24">
        <f>IF($D2291="","",IFERROR(VLOOKUP($D2291,物料档案!$A$4:$P$1203,6,0),"※编码不在物料档案里"))</f>
        <v/>
      </c>
      <c r="J2291" s="23" t="n"/>
      <c r="K2291" s="17" t="n"/>
      <c r="L2291" s="17" t="n"/>
      <c r="M2291" s="17" t="n"/>
      <c r="N2291" s="17" t="n"/>
      <c r="O2291" s="26">
        <f>IF($D2291="","",IFERROR(VLOOKUP($D2291,物料档案!$A$4:$P$1203,10,0),0))</f>
        <v/>
      </c>
      <c r="P2291" s="32" t="n"/>
      <c r="Q2291" s="26">
        <f>IF($D2291="","",IF($K2291&lt;&gt;"对外销售",0,ROUND(N($J2291)*IF($P2291="",N($O2291),N($P2291)),0)))</f>
        <v/>
      </c>
      <c r="R2291" s="26">
        <f>IF($D2291="","",IFERROR(VLOOKUP($D2291,库存台账!$A$5:$Y$1204,11,0),0))</f>
        <v/>
      </c>
      <c r="S2291" s="26">
        <f>IF($D2291="","",ROUND(N($J2291)*N($R2291),0))</f>
        <v/>
      </c>
      <c r="T2291" s="26">
        <f>IF($D2291="","",IF($K2291&lt;&gt;"对外销售","",ROUND($Q2291-$S2291,0)))</f>
        <v/>
      </c>
      <c r="U2291" s="17" t="n"/>
      <c r="V2291" s="17" t="n"/>
      <c r="W2291" s="24">
        <f>IF($D2291="","",IF($E2291="※编码不在物料档案里","※物料编码不在档案里",IF(N($J2291)&lt;=0,"※出库数量要大于 0",IF($K2291="","※没填去向类型",IF($L2291="","※没填去向矿区",IF(AND($C2291&lt;&gt;"",$C2291&lt;=结账锁),"※日期早于已结账截止日，不能再录",IF(AND($K2291="自用消耗",COUNTIF({"一矿区";"二矿区"},$L2291)=0),"※自用消耗的去向只能是一矿区或二矿区",IF(AND($K2291="对外销售",COUNTIF({"三矿区";"六矿区"},$L2291)=0),"※对外销售的去向只能是三矿区或六矿区",IF(AND($K2291="对外销售",ROUND($Q2291,0)=0),"※外销却没有售价，请填实际售价",IF(AND($K2291="对外销售",$T2291&lt;&gt;"",$T2291&lt;0),"※这一笔外销是亏的，请核对售价",IF(IFERROR(VLOOKUP($D2291,库存台账!$A$5:$Y$1204,24,0),0)&lt;-0.001,"※这个物料账面已经变成负数了，查一下是不是漏记入库","")))))))))))</f>
        <v/>
      </c>
    </row>
    <row r="2292">
      <c r="A2292" s="24">
        <f>IF($D2292="","",COUNTA($D$4:$D2292))</f>
        <v/>
      </c>
      <c r="B2292" s="17" t="n"/>
      <c r="C2292" s="30" t="n"/>
      <c r="D2292" s="17" t="n"/>
      <c r="E2292" s="24">
        <f>IF($D2292="","",IFERROR(VLOOKUP($D2292,物料档案!$A$4:$P$1203,3,0),"※编码不在物料档案里"))</f>
        <v/>
      </c>
      <c r="F2292" s="24">
        <f>IF($D2292="","",IFERROR(VLOOKUP($D2292,物料档案!$A$4:$P$1203,4,0),"※编码不在物料档案里"))</f>
        <v/>
      </c>
      <c r="G2292" s="24">
        <f>IF($D2292="","",IFERROR(VLOOKUP($D2292,物料档案!$A$4:$P$1203,5,0),"※编码不在物料档案里"))</f>
        <v/>
      </c>
      <c r="H2292" s="24">
        <f>IF($D2292="","",IFERROR(VLOOKUP($D2292,物料档案!$A$4:$P$1203,2,0),"※编码不在物料档案里"))</f>
        <v/>
      </c>
      <c r="I2292" s="24">
        <f>IF($D2292="","",IFERROR(VLOOKUP($D2292,物料档案!$A$4:$P$1203,6,0),"※编码不在物料档案里"))</f>
        <v/>
      </c>
      <c r="J2292" s="23" t="n"/>
      <c r="K2292" s="17" t="n"/>
      <c r="L2292" s="17" t="n"/>
      <c r="M2292" s="17" t="n"/>
      <c r="N2292" s="17" t="n"/>
      <c r="O2292" s="26">
        <f>IF($D2292="","",IFERROR(VLOOKUP($D2292,物料档案!$A$4:$P$1203,10,0),0))</f>
        <v/>
      </c>
      <c r="P2292" s="32" t="n"/>
      <c r="Q2292" s="26">
        <f>IF($D2292="","",IF($K2292&lt;&gt;"对外销售",0,ROUND(N($J2292)*IF($P2292="",N($O2292),N($P2292)),0)))</f>
        <v/>
      </c>
      <c r="R2292" s="26">
        <f>IF($D2292="","",IFERROR(VLOOKUP($D2292,库存台账!$A$5:$Y$1204,11,0),0))</f>
        <v/>
      </c>
      <c r="S2292" s="26">
        <f>IF($D2292="","",ROUND(N($J2292)*N($R2292),0))</f>
        <v/>
      </c>
      <c r="T2292" s="26">
        <f>IF($D2292="","",IF($K2292&lt;&gt;"对外销售","",ROUND($Q2292-$S2292,0)))</f>
        <v/>
      </c>
      <c r="U2292" s="17" t="n"/>
      <c r="V2292" s="17" t="n"/>
      <c r="W2292" s="24">
        <f>IF($D2292="","",IF($E2292="※编码不在物料档案里","※物料编码不在档案里",IF(N($J2292)&lt;=0,"※出库数量要大于 0",IF($K2292="","※没填去向类型",IF($L2292="","※没填去向矿区",IF(AND($C2292&lt;&gt;"",$C2292&lt;=结账锁),"※日期早于已结账截止日，不能再录",IF(AND($K2292="自用消耗",COUNTIF({"一矿区";"二矿区"},$L2292)=0),"※自用消耗的去向只能是一矿区或二矿区",IF(AND($K2292="对外销售",COUNTIF({"三矿区";"六矿区"},$L2292)=0),"※对外销售的去向只能是三矿区或六矿区",IF(AND($K2292="对外销售",ROUND($Q2292,0)=0),"※外销却没有售价，请填实际售价",IF(AND($K2292="对外销售",$T2292&lt;&gt;"",$T2292&lt;0),"※这一笔外销是亏的，请核对售价",IF(IFERROR(VLOOKUP($D2292,库存台账!$A$5:$Y$1204,24,0),0)&lt;-0.001,"※这个物料账面已经变成负数了，查一下是不是漏记入库","")))))))))))</f>
        <v/>
      </c>
    </row>
    <row r="2293">
      <c r="A2293" s="24">
        <f>IF($D2293="","",COUNTA($D$4:$D2293))</f>
        <v/>
      </c>
      <c r="B2293" s="17" t="n"/>
      <c r="C2293" s="30" t="n"/>
      <c r="D2293" s="17" t="n"/>
      <c r="E2293" s="24">
        <f>IF($D2293="","",IFERROR(VLOOKUP($D2293,物料档案!$A$4:$P$1203,3,0),"※编码不在物料档案里"))</f>
        <v/>
      </c>
      <c r="F2293" s="24">
        <f>IF($D2293="","",IFERROR(VLOOKUP($D2293,物料档案!$A$4:$P$1203,4,0),"※编码不在物料档案里"))</f>
        <v/>
      </c>
      <c r="G2293" s="24">
        <f>IF($D2293="","",IFERROR(VLOOKUP($D2293,物料档案!$A$4:$P$1203,5,0),"※编码不在物料档案里"))</f>
        <v/>
      </c>
      <c r="H2293" s="24">
        <f>IF($D2293="","",IFERROR(VLOOKUP($D2293,物料档案!$A$4:$P$1203,2,0),"※编码不在物料档案里"))</f>
        <v/>
      </c>
      <c r="I2293" s="24">
        <f>IF($D2293="","",IFERROR(VLOOKUP($D2293,物料档案!$A$4:$P$1203,6,0),"※编码不在物料档案里"))</f>
        <v/>
      </c>
      <c r="J2293" s="23" t="n"/>
      <c r="K2293" s="17" t="n"/>
      <c r="L2293" s="17" t="n"/>
      <c r="M2293" s="17" t="n"/>
      <c r="N2293" s="17" t="n"/>
      <c r="O2293" s="26">
        <f>IF($D2293="","",IFERROR(VLOOKUP($D2293,物料档案!$A$4:$P$1203,10,0),0))</f>
        <v/>
      </c>
      <c r="P2293" s="32" t="n"/>
      <c r="Q2293" s="26">
        <f>IF($D2293="","",IF($K2293&lt;&gt;"对外销售",0,ROUND(N($J2293)*IF($P2293="",N($O2293),N($P2293)),0)))</f>
        <v/>
      </c>
      <c r="R2293" s="26">
        <f>IF($D2293="","",IFERROR(VLOOKUP($D2293,库存台账!$A$5:$Y$1204,11,0),0))</f>
        <v/>
      </c>
      <c r="S2293" s="26">
        <f>IF($D2293="","",ROUND(N($J2293)*N($R2293),0))</f>
        <v/>
      </c>
      <c r="T2293" s="26">
        <f>IF($D2293="","",IF($K2293&lt;&gt;"对外销售","",ROUND($Q2293-$S2293,0)))</f>
        <v/>
      </c>
      <c r="U2293" s="17" t="n"/>
      <c r="V2293" s="17" t="n"/>
      <c r="W2293" s="24">
        <f>IF($D2293="","",IF($E2293="※编码不在物料档案里","※物料编码不在档案里",IF(N($J2293)&lt;=0,"※出库数量要大于 0",IF($K2293="","※没填去向类型",IF($L2293="","※没填去向矿区",IF(AND($C2293&lt;&gt;"",$C2293&lt;=结账锁),"※日期早于已结账截止日，不能再录",IF(AND($K2293="自用消耗",COUNTIF({"一矿区";"二矿区"},$L2293)=0),"※自用消耗的去向只能是一矿区或二矿区",IF(AND($K2293="对外销售",COUNTIF({"三矿区";"六矿区"},$L2293)=0),"※对外销售的去向只能是三矿区或六矿区",IF(AND($K2293="对外销售",ROUND($Q2293,0)=0),"※外销却没有售价，请填实际售价",IF(AND($K2293="对外销售",$T2293&lt;&gt;"",$T2293&lt;0),"※这一笔外销是亏的，请核对售价",IF(IFERROR(VLOOKUP($D2293,库存台账!$A$5:$Y$1204,24,0),0)&lt;-0.001,"※这个物料账面已经变成负数了，查一下是不是漏记入库","")))))))))))</f>
        <v/>
      </c>
    </row>
    <row r="2294">
      <c r="A2294" s="24">
        <f>IF($D2294="","",COUNTA($D$4:$D2294))</f>
        <v/>
      </c>
      <c r="B2294" s="17" t="n"/>
      <c r="C2294" s="30" t="n"/>
      <c r="D2294" s="17" t="n"/>
      <c r="E2294" s="24">
        <f>IF($D2294="","",IFERROR(VLOOKUP($D2294,物料档案!$A$4:$P$1203,3,0),"※编码不在物料档案里"))</f>
        <v/>
      </c>
      <c r="F2294" s="24">
        <f>IF($D2294="","",IFERROR(VLOOKUP($D2294,物料档案!$A$4:$P$1203,4,0),"※编码不在物料档案里"))</f>
        <v/>
      </c>
      <c r="G2294" s="24">
        <f>IF($D2294="","",IFERROR(VLOOKUP($D2294,物料档案!$A$4:$P$1203,5,0),"※编码不在物料档案里"))</f>
        <v/>
      </c>
      <c r="H2294" s="24">
        <f>IF($D2294="","",IFERROR(VLOOKUP($D2294,物料档案!$A$4:$P$1203,2,0),"※编码不在物料档案里"))</f>
        <v/>
      </c>
      <c r="I2294" s="24">
        <f>IF($D2294="","",IFERROR(VLOOKUP($D2294,物料档案!$A$4:$P$1203,6,0),"※编码不在物料档案里"))</f>
        <v/>
      </c>
      <c r="J2294" s="23" t="n"/>
      <c r="K2294" s="17" t="n"/>
      <c r="L2294" s="17" t="n"/>
      <c r="M2294" s="17" t="n"/>
      <c r="N2294" s="17" t="n"/>
      <c r="O2294" s="26">
        <f>IF($D2294="","",IFERROR(VLOOKUP($D2294,物料档案!$A$4:$P$1203,10,0),0))</f>
        <v/>
      </c>
      <c r="P2294" s="32" t="n"/>
      <c r="Q2294" s="26">
        <f>IF($D2294="","",IF($K2294&lt;&gt;"对外销售",0,ROUND(N($J2294)*IF($P2294="",N($O2294),N($P2294)),0)))</f>
        <v/>
      </c>
      <c r="R2294" s="26">
        <f>IF($D2294="","",IFERROR(VLOOKUP($D2294,库存台账!$A$5:$Y$1204,11,0),0))</f>
        <v/>
      </c>
      <c r="S2294" s="26">
        <f>IF($D2294="","",ROUND(N($J2294)*N($R2294),0))</f>
        <v/>
      </c>
      <c r="T2294" s="26">
        <f>IF($D2294="","",IF($K2294&lt;&gt;"对外销售","",ROUND($Q2294-$S2294,0)))</f>
        <v/>
      </c>
      <c r="U2294" s="17" t="n"/>
      <c r="V2294" s="17" t="n"/>
      <c r="W2294" s="24">
        <f>IF($D2294="","",IF($E2294="※编码不在物料档案里","※物料编码不在档案里",IF(N($J2294)&lt;=0,"※出库数量要大于 0",IF($K2294="","※没填去向类型",IF($L2294="","※没填去向矿区",IF(AND($C2294&lt;&gt;"",$C2294&lt;=结账锁),"※日期早于已结账截止日，不能再录",IF(AND($K2294="自用消耗",COUNTIF({"一矿区";"二矿区"},$L2294)=0),"※自用消耗的去向只能是一矿区或二矿区",IF(AND($K2294="对外销售",COUNTIF({"三矿区";"六矿区"},$L2294)=0),"※对外销售的去向只能是三矿区或六矿区",IF(AND($K2294="对外销售",ROUND($Q2294,0)=0),"※外销却没有售价，请填实际售价",IF(AND($K2294="对外销售",$T2294&lt;&gt;"",$T2294&lt;0),"※这一笔外销是亏的，请核对售价",IF(IFERROR(VLOOKUP($D2294,库存台账!$A$5:$Y$1204,24,0),0)&lt;-0.001,"※这个物料账面已经变成负数了，查一下是不是漏记入库","")))))))))))</f>
        <v/>
      </c>
    </row>
    <row r="2295">
      <c r="A2295" s="24">
        <f>IF($D2295="","",COUNTA($D$4:$D2295))</f>
        <v/>
      </c>
      <c r="B2295" s="17" t="n"/>
      <c r="C2295" s="30" t="n"/>
      <c r="D2295" s="17" t="n"/>
      <c r="E2295" s="24">
        <f>IF($D2295="","",IFERROR(VLOOKUP($D2295,物料档案!$A$4:$P$1203,3,0),"※编码不在物料档案里"))</f>
        <v/>
      </c>
      <c r="F2295" s="24">
        <f>IF($D2295="","",IFERROR(VLOOKUP($D2295,物料档案!$A$4:$P$1203,4,0),"※编码不在物料档案里"))</f>
        <v/>
      </c>
      <c r="G2295" s="24">
        <f>IF($D2295="","",IFERROR(VLOOKUP($D2295,物料档案!$A$4:$P$1203,5,0),"※编码不在物料档案里"))</f>
        <v/>
      </c>
      <c r="H2295" s="24">
        <f>IF($D2295="","",IFERROR(VLOOKUP($D2295,物料档案!$A$4:$P$1203,2,0),"※编码不在物料档案里"))</f>
        <v/>
      </c>
      <c r="I2295" s="24">
        <f>IF($D2295="","",IFERROR(VLOOKUP($D2295,物料档案!$A$4:$P$1203,6,0),"※编码不在物料档案里"))</f>
        <v/>
      </c>
      <c r="J2295" s="23" t="n"/>
      <c r="K2295" s="17" t="n"/>
      <c r="L2295" s="17" t="n"/>
      <c r="M2295" s="17" t="n"/>
      <c r="N2295" s="17" t="n"/>
      <c r="O2295" s="26">
        <f>IF($D2295="","",IFERROR(VLOOKUP($D2295,物料档案!$A$4:$P$1203,10,0),0))</f>
        <v/>
      </c>
      <c r="P2295" s="32" t="n"/>
      <c r="Q2295" s="26">
        <f>IF($D2295="","",IF($K2295&lt;&gt;"对外销售",0,ROUND(N($J2295)*IF($P2295="",N($O2295),N($P2295)),0)))</f>
        <v/>
      </c>
      <c r="R2295" s="26">
        <f>IF($D2295="","",IFERROR(VLOOKUP($D2295,库存台账!$A$5:$Y$1204,11,0),0))</f>
        <v/>
      </c>
      <c r="S2295" s="26">
        <f>IF($D2295="","",ROUND(N($J2295)*N($R2295),0))</f>
        <v/>
      </c>
      <c r="T2295" s="26">
        <f>IF($D2295="","",IF($K2295&lt;&gt;"对外销售","",ROUND($Q2295-$S2295,0)))</f>
        <v/>
      </c>
      <c r="U2295" s="17" t="n"/>
      <c r="V2295" s="17" t="n"/>
      <c r="W2295" s="24">
        <f>IF($D2295="","",IF($E2295="※编码不在物料档案里","※物料编码不在档案里",IF(N($J2295)&lt;=0,"※出库数量要大于 0",IF($K2295="","※没填去向类型",IF($L2295="","※没填去向矿区",IF(AND($C2295&lt;&gt;"",$C2295&lt;=结账锁),"※日期早于已结账截止日，不能再录",IF(AND($K2295="自用消耗",COUNTIF({"一矿区";"二矿区"},$L2295)=0),"※自用消耗的去向只能是一矿区或二矿区",IF(AND($K2295="对外销售",COUNTIF({"三矿区";"六矿区"},$L2295)=0),"※对外销售的去向只能是三矿区或六矿区",IF(AND($K2295="对外销售",ROUND($Q2295,0)=0),"※外销却没有售价，请填实际售价",IF(AND($K2295="对外销售",$T2295&lt;&gt;"",$T2295&lt;0),"※这一笔外销是亏的，请核对售价",IF(IFERROR(VLOOKUP($D2295,库存台账!$A$5:$Y$1204,24,0),0)&lt;-0.001,"※这个物料账面已经变成负数了，查一下是不是漏记入库","")))))))))))</f>
        <v/>
      </c>
    </row>
    <row r="2296">
      <c r="A2296" s="24">
        <f>IF($D2296="","",COUNTA($D$4:$D2296))</f>
        <v/>
      </c>
      <c r="B2296" s="17" t="n"/>
      <c r="C2296" s="30" t="n"/>
      <c r="D2296" s="17" t="n"/>
      <c r="E2296" s="24">
        <f>IF($D2296="","",IFERROR(VLOOKUP($D2296,物料档案!$A$4:$P$1203,3,0),"※编码不在物料档案里"))</f>
        <v/>
      </c>
      <c r="F2296" s="24">
        <f>IF($D2296="","",IFERROR(VLOOKUP($D2296,物料档案!$A$4:$P$1203,4,0),"※编码不在物料档案里"))</f>
        <v/>
      </c>
      <c r="G2296" s="24">
        <f>IF($D2296="","",IFERROR(VLOOKUP($D2296,物料档案!$A$4:$P$1203,5,0),"※编码不在物料档案里"))</f>
        <v/>
      </c>
      <c r="H2296" s="24">
        <f>IF($D2296="","",IFERROR(VLOOKUP($D2296,物料档案!$A$4:$P$1203,2,0),"※编码不在物料档案里"))</f>
        <v/>
      </c>
      <c r="I2296" s="24">
        <f>IF($D2296="","",IFERROR(VLOOKUP($D2296,物料档案!$A$4:$P$1203,6,0),"※编码不在物料档案里"))</f>
        <v/>
      </c>
      <c r="J2296" s="23" t="n"/>
      <c r="K2296" s="17" t="n"/>
      <c r="L2296" s="17" t="n"/>
      <c r="M2296" s="17" t="n"/>
      <c r="N2296" s="17" t="n"/>
      <c r="O2296" s="26">
        <f>IF($D2296="","",IFERROR(VLOOKUP($D2296,物料档案!$A$4:$P$1203,10,0),0))</f>
        <v/>
      </c>
      <c r="P2296" s="32" t="n"/>
      <c r="Q2296" s="26">
        <f>IF($D2296="","",IF($K2296&lt;&gt;"对外销售",0,ROUND(N($J2296)*IF($P2296="",N($O2296),N($P2296)),0)))</f>
        <v/>
      </c>
      <c r="R2296" s="26">
        <f>IF($D2296="","",IFERROR(VLOOKUP($D2296,库存台账!$A$5:$Y$1204,11,0),0))</f>
        <v/>
      </c>
      <c r="S2296" s="26">
        <f>IF($D2296="","",ROUND(N($J2296)*N($R2296),0))</f>
        <v/>
      </c>
      <c r="T2296" s="26">
        <f>IF($D2296="","",IF($K2296&lt;&gt;"对外销售","",ROUND($Q2296-$S2296,0)))</f>
        <v/>
      </c>
      <c r="U2296" s="17" t="n"/>
      <c r="V2296" s="17" t="n"/>
      <c r="W2296" s="24">
        <f>IF($D2296="","",IF($E2296="※编码不在物料档案里","※物料编码不在档案里",IF(N($J2296)&lt;=0,"※出库数量要大于 0",IF($K2296="","※没填去向类型",IF($L2296="","※没填去向矿区",IF(AND($C2296&lt;&gt;"",$C2296&lt;=结账锁),"※日期早于已结账截止日，不能再录",IF(AND($K2296="自用消耗",COUNTIF({"一矿区";"二矿区"},$L2296)=0),"※自用消耗的去向只能是一矿区或二矿区",IF(AND($K2296="对外销售",COUNTIF({"三矿区";"六矿区"},$L2296)=0),"※对外销售的去向只能是三矿区或六矿区",IF(AND($K2296="对外销售",ROUND($Q2296,0)=0),"※外销却没有售价，请填实际售价",IF(AND($K2296="对外销售",$T2296&lt;&gt;"",$T2296&lt;0),"※这一笔外销是亏的，请核对售价",IF(IFERROR(VLOOKUP($D2296,库存台账!$A$5:$Y$1204,24,0),0)&lt;-0.001,"※这个物料账面已经变成负数了，查一下是不是漏记入库","")))))))))))</f>
        <v/>
      </c>
    </row>
    <row r="2297">
      <c r="A2297" s="24">
        <f>IF($D2297="","",COUNTA($D$4:$D2297))</f>
        <v/>
      </c>
      <c r="B2297" s="17" t="n"/>
      <c r="C2297" s="30" t="n"/>
      <c r="D2297" s="17" t="n"/>
      <c r="E2297" s="24">
        <f>IF($D2297="","",IFERROR(VLOOKUP($D2297,物料档案!$A$4:$P$1203,3,0),"※编码不在物料档案里"))</f>
        <v/>
      </c>
      <c r="F2297" s="24">
        <f>IF($D2297="","",IFERROR(VLOOKUP($D2297,物料档案!$A$4:$P$1203,4,0),"※编码不在物料档案里"))</f>
        <v/>
      </c>
      <c r="G2297" s="24">
        <f>IF($D2297="","",IFERROR(VLOOKUP($D2297,物料档案!$A$4:$P$1203,5,0),"※编码不在物料档案里"))</f>
        <v/>
      </c>
      <c r="H2297" s="24">
        <f>IF($D2297="","",IFERROR(VLOOKUP($D2297,物料档案!$A$4:$P$1203,2,0),"※编码不在物料档案里"))</f>
        <v/>
      </c>
      <c r="I2297" s="24">
        <f>IF($D2297="","",IFERROR(VLOOKUP($D2297,物料档案!$A$4:$P$1203,6,0),"※编码不在物料档案里"))</f>
        <v/>
      </c>
      <c r="J2297" s="23" t="n"/>
      <c r="K2297" s="17" t="n"/>
      <c r="L2297" s="17" t="n"/>
      <c r="M2297" s="17" t="n"/>
      <c r="N2297" s="17" t="n"/>
      <c r="O2297" s="26">
        <f>IF($D2297="","",IFERROR(VLOOKUP($D2297,物料档案!$A$4:$P$1203,10,0),0))</f>
        <v/>
      </c>
      <c r="P2297" s="32" t="n"/>
      <c r="Q2297" s="26">
        <f>IF($D2297="","",IF($K2297&lt;&gt;"对外销售",0,ROUND(N($J2297)*IF($P2297="",N($O2297),N($P2297)),0)))</f>
        <v/>
      </c>
      <c r="R2297" s="26">
        <f>IF($D2297="","",IFERROR(VLOOKUP($D2297,库存台账!$A$5:$Y$1204,11,0),0))</f>
        <v/>
      </c>
      <c r="S2297" s="26">
        <f>IF($D2297="","",ROUND(N($J2297)*N($R2297),0))</f>
        <v/>
      </c>
      <c r="T2297" s="26">
        <f>IF($D2297="","",IF($K2297&lt;&gt;"对外销售","",ROUND($Q2297-$S2297,0)))</f>
        <v/>
      </c>
      <c r="U2297" s="17" t="n"/>
      <c r="V2297" s="17" t="n"/>
      <c r="W2297" s="24">
        <f>IF($D2297="","",IF($E2297="※编码不在物料档案里","※物料编码不在档案里",IF(N($J2297)&lt;=0,"※出库数量要大于 0",IF($K2297="","※没填去向类型",IF($L2297="","※没填去向矿区",IF(AND($C2297&lt;&gt;"",$C2297&lt;=结账锁),"※日期早于已结账截止日，不能再录",IF(AND($K2297="自用消耗",COUNTIF({"一矿区";"二矿区"},$L2297)=0),"※自用消耗的去向只能是一矿区或二矿区",IF(AND($K2297="对外销售",COUNTIF({"三矿区";"六矿区"},$L2297)=0),"※对外销售的去向只能是三矿区或六矿区",IF(AND($K2297="对外销售",ROUND($Q2297,0)=0),"※外销却没有售价，请填实际售价",IF(AND($K2297="对外销售",$T2297&lt;&gt;"",$T2297&lt;0),"※这一笔外销是亏的，请核对售价",IF(IFERROR(VLOOKUP($D2297,库存台账!$A$5:$Y$1204,24,0),0)&lt;-0.001,"※这个物料账面已经变成负数了，查一下是不是漏记入库","")))))))))))</f>
        <v/>
      </c>
    </row>
    <row r="2298">
      <c r="A2298" s="24">
        <f>IF($D2298="","",COUNTA($D$4:$D2298))</f>
        <v/>
      </c>
      <c r="B2298" s="17" t="n"/>
      <c r="C2298" s="30" t="n"/>
      <c r="D2298" s="17" t="n"/>
      <c r="E2298" s="24">
        <f>IF($D2298="","",IFERROR(VLOOKUP($D2298,物料档案!$A$4:$P$1203,3,0),"※编码不在物料档案里"))</f>
        <v/>
      </c>
      <c r="F2298" s="24">
        <f>IF($D2298="","",IFERROR(VLOOKUP($D2298,物料档案!$A$4:$P$1203,4,0),"※编码不在物料档案里"))</f>
        <v/>
      </c>
      <c r="G2298" s="24">
        <f>IF($D2298="","",IFERROR(VLOOKUP($D2298,物料档案!$A$4:$P$1203,5,0),"※编码不在物料档案里"))</f>
        <v/>
      </c>
      <c r="H2298" s="24">
        <f>IF($D2298="","",IFERROR(VLOOKUP($D2298,物料档案!$A$4:$P$1203,2,0),"※编码不在物料档案里"))</f>
        <v/>
      </c>
      <c r="I2298" s="24">
        <f>IF($D2298="","",IFERROR(VLOOKUP($D2298,物料档案!$A$4:$P$1203,6,0),"※编码不在物料档案里"))</f>
        <v/>
      </c>
      <c r="J2298" s="23" t="n"/>
      <c r="K2298" s="17" t="n"/>
      <c r="L2298" s="17" t="n"/>
      <c r="M2298" s="17" t="n"/>
      <c r="N2298" s="17" t="n"/>
      <c r="O2298" s="26">
        <f>IF($D2298="","",IFERROR(VLOOKUP($D2298,物料档案!$A$4:$P$1203,10,0),0))</f>
        <v/>
      </c>
      <c r="P2298" s="32" t="n"/>
      <c r="Q2298" s="26">
        <f>IF($D2298="","",IF($K2298&lt;&gt;"对外销售",0,ROUND(N($J2298)*IF($P2298="",N($O2298),N($P2298)),0)))</f>
        <v/>
      </c>
      <c r="R2298" s="26">
        <f>IF($D2298="","",IFERROR(VLOOKUP($D2298,库存台账!$A$5:$Y$1204,11,0),0))</f>
        <v/>
      </c>
      <c r="S2298" s="26">
        <f>IF($D2298="","",ROUND(N($J2298)*N($R2298),0))</f>
        <v/>
      </c>
      <c r="T2298" s="26">
        <f>IF($D2298="","",IF($K2298&lt;&gt;"对外销售","",ROUND($Q2298-$S2298,0)))</f>
        <v/>
      </c>
      <c r="U2298" s="17" t="n"/>
      <c r="V2298" s="17" t="n"/>
      <c r="W2298" s="24">
        <f>IF($D2298="","",IF($E2298="※编码不在物料档案里","※物料编码不在档案里",IF(N($J2298)&lt;=0,"※出库数量要大于 0",IF($K2298="","※没填去向类型",IF($L2298="","※没填去向矿区",IF(AND($C2298&lt;&gt;"",$C2298&lt;=结账锁),"※日期早于已结账截止日，不能再录",IF(AND($K2298="自用消耗",COUNTIF({"一矿区";"二矿区"},$L2298)=0),"※自用消耗的去向只能是一矿区或二矿区",IF(AND($K2298="对外销售",COUNTIF({"三矿区";"六矿区"},$L2298)=0),"※对外销售的去向只能是三矿区或六矿区",IF(AND($K2298="对外销售",ROUND($Q2298,0)=0),"※外销却没有售价，请填实际售价",IF(AND($K2298="对外销售",$T2298&lt;&gt;"",$T2298&lt;0),"※这一笔外销是亏的，请核对售价",IF(IFERROR(VLOOKUP($D2298,库存台账!$A$5:$Y$1204,24,0),0)&lt;-0.001,"※这个物料账面已经变成负数了，查一下是不是漏记入库","")))))))))))</f>
        <v/>
      </c>
    </row>
    <row r="2299">
      <c r="A2299" s="24">
        <f>IF($D2299="","",COUNTA($D$4:$D2299))</f>
        <v/>
      </c>
      <c r="B2299" s="17" t="n"/>
      <c r="C2299" s="30" t="n"/>
      <c r="D2299" s="17" t="n"/>
      <c r="E2299" s="24">
        <f>IF($D2299="","",IFERROR(VLOOKUP($D2299,物料档案!$A$4:$P$1203,3,0),"※编码不在物料档案里"))</f>
        <v/>
      </c>
      <c r="F2299" s="24">
        <f>IF($D2299="","",IFERROR(VLOOKUP($D2299,物料档案!$A$4:$P$1203,4,0),"※编码不在物料档案里"))</f>
        <v/>
      </c>
      <c r="G2299" s="24">
        <f>IF($D2299="","",IFERROR(VLOOKUP($D2299,物料档案!$A$4:$P$1203,5,0),"※编码不在物料档案里"))</f>
        <v/>
      </c>
      <c r="H2299" s="24">
        <f>IF($D2299="","",IFERROR(VLOOKUP($D2299,物料档案!$A$4:$P$1203,2,0),"※编码不在物料档案里"))</f>
        <v/>
      </c>
      <c r="I2299" s="24">
        <f>IF($D2299="","",IFERROR(VLOOKUP($D2299,物料档案!$A$4:$P$1203,6,0),"※编码不在物料档案里"))</f>
        <v/>
      </c>
      <c r="J2299" s="23" t="n"/>
      <c r="K2299" s="17" t="n"/>
      <c r="L2299" s="17" t="n"/>
      <c r="M2299" s="17" t="n"/>
      <c r="N2299" s="17" t="n"/>
      <c r="O2299" s="26">
        <f>IF($D2299="","",IFERROR(VLOOKUP($D2299,物料档案!$A$4:$P$1203,10,0),0))</f>
        <v/>
      </c>
      <c r="P2299" s="32" t="n"/>
      <c r="Q2299" s="26">
        <f>IF($D2299="","",IF($K2299&lt;&gt;"对外销售",0,ROUND(N($J2299)*IF($P2299="",N($O2299),N($P2299)),0)))</f>
        <v/>
      </c>
      <c r="R2299" s="26">
        <f>IF($D2299="","",IFERROR(VLOOKUP($D2299,库存台账!$A$5:$Y$1204,11,0),0))</f>
        <v/>
      </c>
      <c r="S2299" s="26">
        <f>IF($D2299="","",ROUND(N($J2299)*N($R2299),0))</f>
        <v/>
      </c>
      <c r="T2299" s="26">
        <f>IF($D2299="","",IF($K2299&lt;&gt;"对外销售","",ROUND($Q2299-$S2299,0)))</f>
        <v/>
      </c>
      <c r="U2299" s="17" t="n"/>
      <c r="V2299" s="17" t="n"/>
      <c r="W2299" s="24">
        <f>IF($D2299="","",IF($E2299="※编码不在物料档案里","※物料编码不在档案里",IF(N($J2299)&lt;=0,"※出库数量要大于 0",IF($K2299="","※没填去向类型",IF($L2299="","※没填去向矿区",IF(AND($C2299&lt;&gt;"",$C2299&lt;=结账锁),"※日期早于已结账截止日，不能再录",IF(AND($K2299="自用消耗",COUNTIF({"一矿区";"二矿区"},$L2299)=0),"※自用消耗的去向只能是一矿区或二矿区",IF(AND($K2299="对外销售",COUNTIF({"三矿区";"六矿区"},$L2299)=0),"※对外销售的去向只能是三矿区或六矿区",IF(AND($K2299="对外销售",ROUND($Q2299,0)=0),"※外销却没有售价，请填实际售价",IF(AND($K2299="对外销售",$T2299&lt;&gt;"",$T2299&lt;0),"※这一笔外销是亏的，请核对售价",IF(IFERROR(VLOOKUP($D2299,库存台账!$A$5:$Y$1204,24,0),0)&lt;-0.001,"※这个物料账面已经变成负数了，查一下是不是漏记入库","")))))))))))</f>
        <v/>
      </c>
    </row>
    <row r="2300">
      <c r="A2300" s="24">
        <f>IF($D2300="","",COUNTA($D$4:$D2300))</f>
        <v/>
      </c>
      <c r="B2300" s="17" t="n"/>
      <c r="C2300" s="30" t="n"/>
      <c r="D2300" s="17" t="n"/>
      <c r="E2300" s="24">
        <f>IF($D2300="","",IFERROR(VLOOKUP($D2300,物料档案!$A$4:$P$1203,3,0),"※编码不在物料档案里"))</f>
        <v/>
      </c>
      <c r="F2300" s="24">
        <f>IF($D2300="","",IFERROR(VLOOKUP($D2300,物料档案!$A$4:$P$1203,4,0),"※编码不在物料档案里"))</f>
        <v/>
      </c>
      <c r="G2300" s="24">
        <f>IF($D2300="","",IFERROR(VLOOKUP($D2300,物料档案!$A$4:$P$1203,5,0),"※编码不在物料档案里"))</f>
        <v/>
      </c>
      <c r="H2300" s="24">
        <f>IF($D2300="","",IFERROR(VLOOKUP($D2300,物料档案!$A$4:$P$1203,2,0),"※编码不在物料档案里"))</f>
        <v/>
      </c>
      <c r="I2300" s="24">
        <f>IF($D2300="","",IFERROR(VLOOKUP($D2300,物料档案!$A$4:$P$1203,6,0),"※编码不在物料档案里"))</f>
        <v/>
      </c>
      <c r="J2300" s="23" t="n"/>
      <c r="K2300" s="17" t="n"/>
      <c r="L2300" s="17" t="n"/>
      <c r="M2300" s="17" t="n"/>
      <c r="N2300" s="17" t="n"/>
      <c r="O2300" s="26">
        <f>IF($D2300="","",IFERROR(VLOOKUP($D2300,物料档案!$A$4:$P$1203,10,0),0))</f>
        <v/>
      </c>
      <c r="P2300" s="32" t="n"/>
      <c r="Q2300" s="26">
        <f>IF($D2300="","",IF($K2300&lt;&gt;"对外销售",0,ROUND(N($J2300)*IF($P2300="",N($O2300),N($P2300)),0)))</f>
        <v/>
      </c>
      <c r="R2300" s="26">
        <f>IF($D2300="","",IFERROR(VLOOKUP($D2300,库存台账!$A$5:$Y$1204,11,0),0))</f>
        <v/>
      </c>
      <c r="S2300" s="26">
        <f>IF($D2300="","",ROUND(N($J2300)*N($R2300),0))</f>
        <v/>
      </c>
      <c r="T2300" s="26">
        <f>IF($D2300="","",IF($K2300&lt;&gt;"对外销售","",ROUND($Q2300-$S2300,0)))</f>
        <v/>
      </c>
      <c r="U2300" s="17" t="n"/>
      <c r="V2300" s="17" t="n"/>
      <c r="W2300" s="24">
        <f>IF($D2300="","",IF($E2300="※编码不在物料档案里","※物料编码不在档案里",IF(N($J2300)&lt;=0,"※出库数量要大于 0",IF($K2300="","※没填去向类型",IF($L2300="","※没填去向矿区",IF(AND($C2300&lt;&gt;"",$C2300&lt;=结账锁),"※日期早于已结账截止日，不能再录",IF(AND($K2300="自用消耗",COUNTIF({"一矿区";"二矿区"},$L2300)=0),"※自用消耗的去向只能是一矿区或二矿区",IF(AND($K2300="对外销售",COUNTIF({"三矿区";"六矿区"},$L2300)=0),"※对外销售的去向只能是三矿区或六矿区",IF(AND($K2300="对外销售",ROUND($Q2300,0)=0),"※外销却没有售价，请填实际售价",IF(AND($K2300="对外销售",$T2300&lt;&gt;"",$T2300&lt;0),"※这一笔外销是亏的，请核对售价",IF(IFERROR(VLOOKUP($D2300,库存台账!$A$5:$Y$1204,24,0),0)&lt;-0.001,"※这个物料账面已经变成负数了，查一下是不是漏记入库","")))))))))))</f>
        <v/>
      </c>
    </row>
    <row r="2301">
      <c r="A2301" s="24">
        <f>IF($D2301="","",COUNTA($D$4:$D2301))</f>
        <v/>
      </c>
      <c r="B2301" s="17" t="n"/>
      <c r="C2301" s="30" t="n"/>
      <c r="D2301" s="17" t="n"/>
      <c r="E2301" s="24">
        <f>IF($D2301="","",IFERROR(VLOOKUP($D2301,物料档案!$A$4:$P$1203,3,0),"※编码不在物料档案里"))</f>
        <v/>
      </c>
      <c r="F2301" s="24">
        <f>IF($D2301="","",IFERROR(VLOOKUP($D2301,物料档案!$A$4:$P$1203,4,0),"※编码不在物料档案里"))</f>
        <v/>
      </c>
      <c r="G2301" s="24">
        <f>IF($D2301="","",IFERROR(VLOOKUP($D2301,物料档案!$A$4:$P$1203,5,0),"※编码不在物料档案里"))</f>
        <v/>
      </c>
      <c r="H2301" s="24">
        <f>IF($D2301="","",IFERROR(VLOOKUP($D2301,物料档案!$A$4:$P$1203,2,0),"※编码不在物料档案里"))</f>
        <v/>
      </c>
      <c r="I2301" s="24">
        <f>IF($D2301="","",IFERROR(VLOOKUP($D2301,物料档案!$A$4:$P$1203,6,0),"※编码不在物料档案里"))</f>
        <v/>
      </c>
      <c r="J2301" s="23" t="n"/>
      <c r="K2301" s="17" t="n"/>
      <c r="L2301" s="17" t="n"/>
      <c r="M2301" s="17" t="n"/>
      <c r="N2301" s="17" t="n"/>
      <c r="O2301" s="26">
        <f>IF($D2301="","",IFERROR(VLOOKUP($D2301,物料档案!$A$4:$P$1203,10,0),0))</f>
        <v/>
      </c>
      <c r="P2301" s="32" t="n"/>
      <c r="Q2301" s="26">
        <f>IF($D2301="","",IF($K2301&lt;&gt;"对外销售",0,ROUND(N($J2301)*IF($P2301="",N($O2301),N($P2301)),0)))</f>
        <v/>
      </c>
      <c r="R2301" s="26">
        <f>IF($D2301="","",IFERROR(VLOOKUP($D2301,库存台账!$A$5:$Y$1204,11,0),0))</f>
        <v/>
      </c>
      <c r="S2301" s="26">
        <f>IF($D2301="","",ROUND(N($J2301)*N($R2301),0))</f>
        <v/>
      </c>
      <c r="T2301" s="26">
        <f>IF($D2301="","",IF($K2301&lt;&gt;"对外销售","",ROUND($Q2301-$S2301,0)))</f>
        <v/>
      </c>
      <c r="U2301" s="17" t="n"/>
      <c r="V2301" s="17" t="n"/>
      <c r="W2301" s="24">
        <f>IF($D2301="","",IF($E2301="※编码不在物料档案里","※物料编码不在档案里",IF(N($J2301)&lt;=0,"※出库数量要大于 0",IF($K2301="","※没填去向类型",IF($L2301="","※没填去向矿区",IF(AND($C2301&lt;&gt;"",$C2301&lt;=结账锁),"※日期早于已结账截止日，不能再录",IF(AND($K2301="自用消耗",COUNTIF({"一矿区";"二矿区"},$L2301)=0),"※自用消耗的去向只能是一矿区或二矿区",IF(AND($K2301="对外销售",COUNTIF({"三矿区";"六矿区"},$L2301)=0),"※对外销售的去向只能是三矿区或六矿区",IF(AND($K2301="对外销售",ROUND($Q2301,0)=0),"※外销却没有售价，请填实际售价",IF(AND($K2301="对外销售",$T2301&lt;&gt;"",$T2301&lt;0),"※这一笔外销是亏的，请核对售价",IF(IFERROR(VLOOKUP($D2301,库存台账!$A$5:$Y$1204,24,0),0)&lt;-0.001,"※这个物料账面已经变成负数了，查一下是不是漏记入库","")))))))))))</f>
        <v/>
      </c>
    </row>
    <row r="2302">
      <c r="A2302" s="24">
        <f>IF($D2302="","",COUNTA($D$4:$D2302))</f>
        <v/>
      </c>
      <c r="B2302" s="17" t="n"/>
      <c r="C2302" s="30" t="n"/>
      <c r="D2302" s="17" t="n"/>
      <c r="E2302" s="24">
        <f>IF($D2302="","",IFERROR(VLOOKUP($D2302,物料档案!$A$4:$P$1203,3,0),"※编码不在物料档案里"))</f>
        <v/>
      </c>
      <c r="F2302" s="24">
        <f>IF($D2302="","",IFERROR(VLOOKUP($D2302,物料档案!$A$4:$P$1203,4,0),"※编码不在物料档案里"))</f>
        <v/>
      </c>
      <c r="G2302" s="24">
        <f>IF($D2302="","",IFERROR(VLOOKUP($D2302,物料档案!$A$4:$P$1203,5,0),"※编码不在物料档案里"))</f>
        <v/>
      </c>
      <c r="H2302" s="24">
        <f>IF($D2302="","",IFERROR(VLOOKUP($D2302,物料档案!$A$4:$P$1203,2,0),"※编码不在物料档案里"))</f>
        <v/>
      </c>
      <c r="I2302" s="24">
        <f>IF($D2302="","",IFERROR(VLOOKUP($D2302,物料档案!$A$4:$P$1203,6,0),"※编码不在物料档案里"))</f>
        <v/>
      </c>
      <c r="J2302" s="23" t="n"/>
      <c r="K2302" s="17" t="n"/>
      <c r="L2302" s="17" t="n"/>
      <c r="M2302" s="17" t="n"/>
      <c r="N2302" s="17" t="n"/>
      <c r="O2302" s="26">
        <f>IF($D2302="","",IFERROR(VLOOKUP($D2302,物料档案!$A$4:$P$1203,10,0),0))</f>
        <v/>
      </c>
      <c r="P2302" s="32" t="n"/>
      <c r="Q2302" s="26">
        <f>IF($D2302="","",IF($K2302&lt;&gt;"对外销售",0,ROUND(N($J2302)*IF($P2302="",N($O2302),N($P2302)),0)))</f>
        <v/>
      </c>
      <c r="R2302" s="26">
        <f>IF($D2302="","",IFERROR(VLOOKUP($D2302,库存台账!$A$5:$Y$1204,11,0),0))</f>
        <v/>
      </c>
      <c r="S2302" s="26">
        <f>IF($D2302="","",ROUND(N($J2302)*N($R2302),0))</f>
        <v/>
      </c>
      <c r="T2302" s="26">
        <f>IF($D2302="","",IF($K2302&lt;&gt;"对外销售","",ROUND($Q2302-$S2302,0)))</f>
        <v/>
      </c>
      <c r="U2302" s="17" t="n"/>
      <c r="V2302" s="17" t="n"/>
      <c r="W2302" s="24">
        <f>IF($D2302="","",IF($E2302="※编码不在物料档案里","※物料编码不在档案里",IF(N($J2302)&lt;=0,"※出库数量要大于 0",IF($K2302="","※没填去向类型",IF($L2302="","※没填去向矿区",IF(AND($C2302&lt;&gt;"",$C2302&lt;=结账锁),"※日期早于已结账截止日，不能再录",IF(AND($K2302="自用消耗",COUNTIF({"一矿区";"二矿区"},$L2302)=0),"※自用消耗的去向只能是一矿区或二矿区",IF(AND($K2302="对外销售",COUNTIF({"三矿区";"六矿区"},$L2302)=0),"※对外销售的去向只能是三矿区或六矿区",IF(AND($K2302="对外销售",ROUND($Q2302,0)=0),"※外销却没有售价，请填实际售价",IF(AND($K2302="对外销售",$T2302&lt;&gt;"",$T2302&lt;0),"※这一笔外销是亏的，请核对售价",IF(IFERROR(VLOOKUP($D2302,库存台账!$A$5:$Y$1204,24,0),0)&lt;-0.001,"※这个物料账面已经变成负数了，查一下是不是漏记入库","")))))))))))</f>
        <v/>
      </c>
    </row>
    <row r="2303">
      <c r="A2303" s="24">
        <f>IF($D2303="","",COUNTA($D$4:$D2303))</f>
        <v/>
      </c>
      <c r="B2303" s="17" t="n"/>
      <c r="C2303" s="30" t="n"/>
      <c r="D2303" s="17" t="n"/>
      <c r="E2303" s="24">
        <f>IF($D2303="","",IFERROR(VLOOKUP($D2303,物料档案!$A$4:$P$1203,3,0),"※编码不在物料档案里"))</f>
        <v/>
      </c>
      <c r="F2303" s="24">
        <f>IF($D2303="","",IFERROR(VLOOKUP($D2303,物料档案!$A$4:$P$1203,4,0),"※编码不在物料档案里"))</f>
        <v/>
      </c>
      <c r="G2303" s="24">
        <f>IF($D2303="","",IFERROR(VLOOKUP($D2303,物料档案!$A$4:$P$1203,5,0),"※编码不在物料档案里"))</f>
        <v/>
      </c>
      <c r="H2303" s="24">
        <f>IF($D2303="","",IFERROR(VLOOKUP($D2303,物料档案!$A$4:$P$1203,2,0),"※编码不在物料档案里"))</f>
        <v/>
      </c>
      <c r="I2303" s="24">
        <f>IF($D2303="","",IFERROR(VLOOKUP($D2303,物料档案!$A$4:$P$1203,6,0),"※编码不在物料档案里"))</f>
        <v/>
      </c>
      <c r="J2303" s="23" t="n"/>
      <c r="K2303" s="17" t="n"/>
      <c r="L2303" s="17" t="n"/>
      <c r="M2303" s="17" t="n"/>
      <c r="N2303" s="17" t="n"/>
      <c r="O2303" s="26">
        <f>IF($D2303="","",IFERROR(VLOOKUP($D2303,物料档案!$A$4:$P$1203,10,0),0))</f>
        <v/>
      </c>
      <c r="P2303" s="32" t="n"/>
      <c r="Q2303" s="26">
        <f>IF($D2303="","",IF($K2303&lt;&gt;"对外销售",0,ROUND(N($J2303)*IF($P2303="",N($O2303),N($P2303)),0)))</f>
        <v/>
      </c>
      <c r="R2303" s="26">
        <f>IF($D2303="","",IFERROR(VLOOKUP($D2303,库存台账!$A$5:$Y$1204,11,0),0))</f>
        <v/>
      </c>
      <c r="S2303" s="26">
        <f>IF($D2303="","",ROUND(N($J2303)*N($R2303),0))</f>
        <v/>
      </c>
      <c r="T2303" s="26">
        <f>IF($D2303="","",IF($K2303&lt;&gt;"对外销售","",ROUND($Q2303-$S2303,0)))</f>
        <v/>
      </c>
      <c r="U2303" s="17" t="n"/>
      <c r="V2303" s="17" t="n"/>
      <c r="W2303" s="24">
        <f>IF($D2303="","",IF($E2303="※编码不在物料档案里","※物料编码不在档案里",IF(N($J2303)&lt;=0,"※出库数量要大于 0",IF($K2303="","※没填去向类型",IF($L2303="","※没填去向矿区",IF(AND($C2303&lt;&gt;"",$C2303&lt;=结账锁),"※日期早于已结账截止日，不能再录",IF(AND($K2303="自用消耗",COUNTIF({"一矿区";"二矿区"},$L2303)=0),"※自用消耗的去向只能是一矿区或二矿区",IF(AND($K2303="对外销售",COUNTIF({"三矿区";"六矿区"},$L2303)=0),"※对外销售的去向只能是三矿区或六矿区",IF(AND($K2303="对外销售",ROUND($Q2303,0)=0),"※外销却没有售价，请填实际售价",IF(AND($K2303="对外销售",$T2303&lt;&gt;"",$T2303&lt;0),"※这一笔外销是亏的，请核对售价",IF(IFERROR(VLOOKUP($D2303,库存台账!$A$5:$Y$1204,24,0),0)&lt;-0.001,"※这个物料账面已经变成负数了，查一下是不是漏记入库","")))))))))))</f>
        <v/>
      </c>
    </row>
    <row r="2304">
      <c r="A2304" s="24">
        <f>IF($D2304="","",COUNTA($D$4:$D2304))</f>
        <v/>
      </c>
      <c r="B2304" s="17" t="n"/>
      <c r="C2304" s="30" t="n"/>
      <c r="D2304" s="17" t="n"/>
      <c r="E2304" s="24">
        <f>IF($D2304="","",IFERROR(VLOOKUP($D2304,物料档案!$A$4:$P$1203,3,0),"※编码不在物料档案里"))</f>
        <v/>
      </c>
      <c r="F2304" s="24">
        <f>IF($D2304="","",IFERROR(VLOOKUP($D2304,物料档案!$A$4:$P$1203,4,0),"※编码不在物料档案里"))</f>
        <v/>
      </c>
      <c r="G2304" s="24">
        <f>IF($D2304="","",IFERROR(VLOOKUP($D2304,物料档案!$A$4:$P$1203,5,0),"※编码不在物料档案里"))</f>
        <v/>
      </c>
      <c r="H2304" s="24">
        <f>IF($D2304="","",IFERROR(VLOOKUP($D2304,物料档案!$A$4:$P$1203,2,0),"※编码不在物料档案里"))</f>
        <v/>
      </c>
      <c r="I2304" s="24">
        <f>IF($D2304="","",IFERROR(VLOOKUP($D2304,物料档案!$A$4:$P$1203,6,0),"※编码不在物料档案里"))</f>
        <v/>
      </c>
      <c r="J2304" s="23" t="n"/>
      <c r="K2304" s="17" t="n"/>
      <c r="L2304" s="17" t="n"/>
      <c r="M2304" s="17" t="n"/>
      <c r="N2304" s="17" t="n"/>
      <c r="O2304" s="26">
        <f>IF($D2304="","",IFERROR(VLOOKUP($D2304,物料档案!$A$4:$P$1203,10,0),0))</f>
        <v/>
      </c>
      <c r="P2304" s="32" t="n"/>
      <c r="Q2304" s="26">
        <f>IF($D2304="","",IF($K2304&lt;&gt;"对外销售",0,ROUND(N($J2304)*IF($P2304="",N($O2304),N($P2304)),0)))</f>
        <v/>
      </c>
      <c r="R2304" s="26">
        <f>IF($D2304="","",IFERROR(VLOOKUP($D2304,库存台账!$A$5:$Y$1204,11,0),0))</f>
        <v/>
      </c>
      <c r="S2304" s="26">
        <f>IF($D2304="","",ROUND(N($J2304)*N($R2304),0))</f>
        <v/>
      </c>
      <c r="T2304" s="26">
        <f>IF($D2304="","",IF($K2304&lt;&gt;"对外销售","",ROUND($Q2304-$S2304,0)))</f>
        <v/>
      </c>
      <c r="U2304" s="17" t="n"/>
      <c r="V2304" s="17" t="n"/>
      <c r="W2304" s="24">
        <f>IF($D2304="","",IF($E2304="※编码不在物料档案里","※物料编码不在档案里",IF(N($J2304)&lt;=0,"※出库数量要大于 0",IF($K2304="","※没填去向类型",IF($L2304="","※没填去向矿区",IF(AND($C2304&lt;&gt;"",$C2304&lt;=结账锁),"※日期早于已结账截止日，不能再录",IF(AND($K2304="自用消耗",COUNTIF({"一矿区";"二矿区"},$L2304)=0),"※自用消耗的去向只能是一矿区或二矿区",IF(AND($K2304="对外销售",COUNTIF({"三矿区";"六矿区"},$L2304)=0),"※对外销售的去向只能是三矿区或六矿区",IF(AND($K2304="对外销售",ROUND($Q2304,0)=0),"※外销却没有售价，请填实际售价",IF(AND($K2304="对外销售",$T2304&lt;&gt;"",$T2304&lt;0),"※这一笔外销是亏的，请核对售价",IF(IFERROR(VLOOKUP($D2304,库存台账!$A$5:$Y$1204,24,0),0)&lt;-0.001,"※这个物料账面已经变成负数了，查一下是不是漏记入库","")))))))))))</f>
        <v/>
      </c>
    </row>
    <row r="2305">
      <c r="A2305" s="24">
        <f>IF($D2305="","",COUNTA($D$4:$D2305))</f>
        <v/>
      </c>
      <c r="B2305" s="17" t="n"/>
      <c r="C2305" s="30" t="n"/>
      <c r="D2305" s="17" t="n"/>
      <c r="E2305" s="24">
        <f>IF($D2305="","",IFERROR(VLOOKUP($D2305,物料档案!$A$4:$P$1203,3,0),"※编码不在物料档案里"))</f>
        <v/>
      </c>
      <c r="F2305" s="24">
        <f>IF($D2305="","",IFERROR(VLOOKUP($D2305,物料档案!$A$4:$P$1203,4,0),"※编码不在物料档案里"))</f>
        <v/>
      </c>
      <c r="G2305" s="24">
        <f>IF($D2305="","",IFERROR(VLOOKUP($D2305,物料档案!$A$4:$P$1203,5,0),"※编码不在物料档案里"))</f>
        <v/>
      </c>
      <c r="H2305" s="24">
        <f>IF($D2305="","",IFERROR(VLOOKUP($D2305,物料档案!$A$4:$P$1203,2,0),"※编码不在物料档案里"))</f>
        <v/>
      </c>
      <c r="I2305" s="24">
        <f>IF($D2305="","",IFERROR(VLOOKUP($D2305,物料档案!$A$4:$P$1203,6,0),"※编码不在物料档案里"))</f>
        <v/>
      </c>
      <c r="J2305" s="23" t="n"/>
      <c r="K2305" s="17" t="n"/>
      <c r="L2305" s="17" t="n"/>
      <c r="M2305" s="17" t="n"/>
      <c r="N2305" s="17" t="n"/>
      <c r="O2305" s="26">
        <f>IF($D2305="","",IFERROR(VLOOKUP($D2305,物料档案!$A$4:$P$1203,10,0),0))</f>
        <v/>
      </c>
      <c r="P2305" s="32" t="n"/>
      <c r="Q2305" s="26">
        <f>IF($D2305="","",IF($K2305&lt;&gt;"对外销售",0,ROUND(N($J2305)*IF($P2305="",N($O2305),N($P2305)),0)))</f>
        <v/>
      </c>
      <c r="R2305" s="26">
        <f>IF($D2305="","",IFERROR(VLOOKUP($D2305,库存台账!$A$5:$Y$1204,11,0),0))</f>
        <v/>
      </c>
      <c r="S2305" s="26">
        <f>IF($D2305="","",ROUND(N($J2305)*N($R2305),0))</f>
        <v/>
      </c>
      <c r="T2305" s="26">
        <f>IF($D2305="","",IF($K2305&lt;&gt;"对外销售","",ROUND($Q2305-$S2305,0)))</f>
        <v/>
      </c>
      <c r="U2305" s="17" t="n"/>
      <c r="V2305" s="17" t="n"/>
      <c r="W2305" s="24">
        <f>IF($D2305="","",IF($E2305="※编码不在物料档案里","※物料编码不在档案里",IF(N($J2305)&lt;=0,"※出库数量要大于 0",IF($K2305="","※没填去向类型",IF($L2305="","※没填去向矿区",IF(AND($C2305&lt;&gt;"",$C2305&lt;=结账锁),"※日期早于已结账截止日，不能再录",IF(AND($K2305="自用消耗",COUNTIF({"一矿区";"二矿区"},$L2305)=0),"※自用消耗的去向只能是一矿区或二矿区",IF(AND($K2305="对外销售",COUNTIF({"三矿区";"六矿区"},$L2305)=0),"※对外销售的去向只能是三矿区或六矿区",IF(AND($K2305="对外销售",ROUND($Q2305,0)=0),"※外销却没有售价，请填实际售价",IF(AND($K2305="对外销售",$T2305&lt;&gt;"",$T2305&lt;0),"※这一笔外销是亏的，请核对售价",IF(IFERROR(VLOOKUP($D2305,库存台账!$A$5:$Y$1204,24,0),0)&lt;-0.001,"※这个物料账面已经变成负数了，查一下是不是漏记入库","")))))))))))</f>
        <v/>
      </c>
    </row>
    <row r="2306">
      <c r="A2306" s="24">
        <f>IF($D2306="","",COUNTA($D$4:$D2306))</f>
        <v/>
      </c>
      <c r="B2306" s="17" t="n"/>
      <c r="C2306" s="30" t="n"/>
      <c r="D2306" s="17" t="n"/>
      <c r="E2306" s="24">
        <f>IF($D2306="","",IFERROR(VLOOKUP($D2306,物料档案!$A$4:$P$1203,3,0),"※编码不在物料档案里"))</f>
        <v/>
      </c>
      <c r="F2306" s="24">
        <f>IF($D2306="","",IFERROR(VLOOKUP($D2306,物料档案!$A$4:$P$1203,4,0),"※编码不在物料档案里"))</f>
        <v/>
      </c>
      <c r="G2306" s="24">
        <f>IF($D2306="","",IFERROR(VLOOKUP($D2306,物料档案!$A$4:$P$1203,5,0),"※编码不在物料档案里"))</f>
        <v/>
      </c>
      <c r="H2306" s="24">
        <f>IF($D2306="","",IFERROR(VLOOKUP($D2306,物料档案!$A$4:$P$1203,2,0),"※编码不在物料档案里"))</f>
        <v/>
      </c>
      <c r="I2306" s="24">
        <f>IF($D2306="","",IFERROR(VLOOKUP($D2306,物料档案!$A$4:$P$1203,6,0),"※编码不在物料档案里"))</f>
        <v/>
      </c>
      <c r="J2306" s="23" t="n"/>
      <c r="K2306" s="17" t="n"/>
      <c r="L2306" s="17" t="n"/>
      <c r="M2306" s="17" t="n"/>
      <c r="N2306" s="17" t="n"/>
      <c r="O2306" s="26">
        <f>IF($D2306="","",IFERROR(VLOOKUP($D2306,物料档案!$A$4:$P$1203,10,0),0))</f>
        <v/>
      </c>
      <c r="P2306" s="32" t="n"/>
      <c r="Q2306" s="26">
        <f>IF($D2306="","",IF($K2306&lt;&gt;"对外销售",0,ROUND(N($J2306)*IF($P2306="",N($O2306),N($P2306)),0)))</f>
        <v/>
      </c>
      <c r="R2306" s="26">
        <f>IF($D2306="","",IFERROR(VLOOKUP($D2306,库存台账!$A$5:$Y$1204,11,0),0))</f>
        <v/>
      </c>
      <c r="S2306" s="26">
        <f>IF($D2306="","",ROUND(N($J2306)*N($R2306),0))</f>
        <v/>
      </c>
      <c r="T2306" s="26">
        <f>IF($D2306="","",IF($K2306&lt;&gt;"对外销售","",ROUND($Q2306-$S2306,0)))</f>
        <v/>
      </c>
      <c r="U2306" s="17" t="n"/>
      <c r="V2306" s="17" t="n"/>
      <c r="W2306" s="24">
        <f>IF($D2306="","",IF($E2306="※编码不在物料档案里","※物料编码不在档案里",IF(N($J2306)&lt;=0,"※出库数量要大于 0",IF($K2306="","※没填去向类型",IF($L2306="","※没填去向矿区",IF(AND($C2306&lt;&gt;"",$C2306&lt;=结账锁),"※日期早于已结账截止日，不能再录",IF(AND($K2306="自用消耗",COUNTIF({"一矿区";"二矿区"},$L2306)=0),"※自用消耗的去向只能是一矿区或二矿区",IF(AND($K2306="对外销售",COUNTIF({"三矿区";"六矿区"},$L2306)=0),"※对外销售的去向只能是三矿区或六矿区",IF(AND($K2306="对外销售",ROUND($Q2306,0)=0),"※外销却没有售价，请填实际售价",IF(AND($K2306="对外销售",$T2306&lt;&gt;"",$T2306&lt;0),"※这一笔外销是亏的，请核对售价",IF(IFERROR(VLOOKUP($D2306,库存台账!$A$5:$Y$1204,24,0),0)&lt;-0.001,"※这个物料账面已经变成负数了，查一下是不是漏记入库","")))))))))))</f>
        <v/>
      </c>
    </row>
    <row r="2307">
      <c r="A2307" s="24">
        <f>IF($D2307="","",COUNTA($D$4:$D2307))</f>
        <v/>
      </c>
      <c r="B2307" s="17" t="n"/>
      <c r="C2307" s="30" t="n"/>
      <c r="D2307" s="17" t="n"/>
      <c r="E2307" s="24">
        <f>IF($D2307="","",IFERROR(VLOOKUP($D2307,物料档案!$A$4:$P$1203,3,0),"※编码不在物料档案里"))</f>
        <v/>
      </c>
      <c r="F2307" s="24">
        <f>IF($D2307="","",IFERROR(VLOOKUP($D2307,物料档案!$A$4:$P$1203,4,0),"※编码不在物料档案里"))</f>
        <v/>
      </c>
      <c r="G2307" s="24">
        <f>IF($D2307="","",IFERROR(VLOOKUP($D2307,物料档案!$A$4:$P$1203,5,0),"※编码不在物料档案里"))</f>
        <v/>
      </c>
      <c r="H2307" s="24">
        <f>IF($D2307="","",IFERROR(VLOOKUP($D2307,物料档案!$A$4:$P$1203,2,0),"※编码不在物料档案里"))</f>
        <v/>
      </c>
      <c r="I2307" s="24">
        <f>IF($D2307="","",IFERROR(VLOOKUP($D2307,物料档案!$A$4:$P$1203,6,0),"※编码不在物料档案里"))</f>
        <v/>
      </c>
      <c r="J2307" s="23" t="n"/>
      <c r="K2307" s="17" t="n"/>
      <c r="L2307" s="17" t="n"/>
      <c r="M2307" s="17" t="n"/>
      <c r="N2307" s="17" t="n"/>
      <c r="O2307" s="26">
        <f>IF($D2307="","",IFERROR(VLOOKUP($D2307,物料档案!$A$4:$P$1203,10,0),0))</f>
        <v/>
      </c>
      <c r="P2307" s="32" t="n"/>
      <c r="Q2307" s="26">
        <f>IF($D2307="","",IF($K2307&lt;&gt;"对外销售",0,ROUND(N($J2307)*IF($P2307="",N($O2307),N($P2307)),0)))</f>
        <v/>
      </c>
      <c r="R2307" s="26">
        <f>IF($D2307="","",IFERROR(VLOOKUP($D2307,库存台账!$A$5:$Y$1204,11,0),0))</f>
        <v/>
      </c>
      <c r="S2307" s="26">
        <f>IF($D2307="","",ROUND(N($J2307)*N($R2307),0))</f>
        <v/>
      </c>
      <c r="T2307" s="26">
        <f>IF($D2307="","",IF($K2307&lt;&gt;"对外销售","",ROUND($Q2307-$S2307,0)))</f>
        <v/>
      </c>
      <c r="U2307" s="17" t="n"/>
      <c r="V2307" s="17" t="n"/>
      <c r="W2307" s="24">
        <f>IF($D2307="","",IF($E2307="※编码不在物料档案里","※物料编码不在档案里",IF(N($J2307)&lt;=0,"※出库数量要大于 0",IF($K2307="","※没填去向类型",IF($L2307="","※没填去向矿区",IF(AND($C2307&lt;&gt;"",$C2307&lt;=结账锁),"※日期早于已结账截止日，不能再录",IF(AND($K2307="自用消耗",COUNTIF({"一矿区";"二矿区"},$L2307)=0),"※自用消耗的去向只能是一矿区或二矿区",IF(AND($K2307="对外销售",COUNTIF({"三矿区";"六矿区"},$L2307)=0),"※对外销售的去向只能是三矿区或六矿区",IF(AND($K2307="对外销售",ROUND($Q2307,0)=0),"※外销却没有售价，请填实际售价",IF(AND($K2307="对外销售",$T2307&lt;&gt;"",$T2307&lt;0),"※这一笔外销是亏的，请核对售价",IF(IFERROR(VLOOKUP($D2307,库存台账!$A$5:$Y$1204,24,0),0)&lt;-0.001,"※这个物料账面已经变成负数了，查一下是不是漏记入库","")))))))))))</f>
        <v/>
      </c>
    </row>
    <row r="2308">
      <c r="A2308" s="24">
        <f>IF($D2308="","",COUNTA($D$4:$D2308))</f>
        <v/>
      </c>
      <c r="B2308" s="17" t="n"/>
      <c r="C2308" s="30" t="n"/>
      <c r="D2308" s="17" t="n"/>
      <c r="E2308" s="24">
        <f>IF($D2308="","",IFERROR(VLOOKUP($D2308,物料档案!$A$4:$P$1203,3,0),"※编码不在物料档案里"))</f>
        <v/>
      </c>
      <c r="F2308" s="24">
        <f>IF($D2308="","",IFERROR(VLOOKUP($D2308,物料档案!$A$4:$P$1203,4,0),"※编码不在物料档案里"))</f>
        <v/>
      </c>
      <c r="G2308" s="24">
        <f>IF($D2308="","",IFERROR(VLOOKUP($D2308,物料档案!$A$4:$P$1203,5,0),"※编码不在物料档案里"))</f>
        <v/>
      </c>
      <c r="H2308" s="24">
        <f>IF($D2308="","",IFERROR(VLOOKUP($D2308,物料档案!$A$4:$P$1203,2,0),"※编码不在物料档案里"))</f>
        <v/>
      </c>
      <c r="I2308" s="24">
        <f>IF($D2308="","",IFERROR(VLOOKUP($D2308,物料档案!$A$4:$P$1203,6,0),"※编码不在物料档案里"))</f>
        <v/>
      </c>
      <c r="J2308" s="23" t="n"/>
      <c r="K2308" s="17" t="n"/>
      <c r="L2308" s="17" t="n"/>
      <c r="M2308" s="17" t="n"/>
      <c r="N2308" s="17" t="n"/>
      <c r="O2308" s="26">
        <f>IF($D2308="","",IFERROR(VLOOKUP($D2308,物料档案!$A$4:$P$1203,10,0),0))</f>
        <v/>
      </c>
      <c r="P2308" s="32" t="n"/>
      <c r="Q2308" s="26">
        <f>IF($D2308="","",IF($K2308&lt;&gt;"对外销售",0,ROUND(N($J2308)*IF($P2308="",N($O2308),N($P2308)),0)))</f>
        <v/>
      </c>
      <c r="R2308" s="26">
        <f>IF($D2308="","",IFERROR(VLOOKUP($D2308,库存台账!$A$5:$Y$1204,11,0),0))</f>
        <v/>
      </c>
      <c r="S2308" s="26">
        <f>IF($D2308="","",ROUND(N($J2308)*N($R2308),0))</f>
        <v/>
      </c>
      <c r="T2308" s="26">
        <f>IF($D2308="","",IF($K2308&lt;&gt;"对外销售","",ROUND($Q2308-$S2308,0)))</f>
        <v/>
      </c>
      <c r="U2308" s="17" t="n"/>
      <c r="V2308" s="17" t="n"/>
      <c r="W2308" s="24">
        <f>IF($D2308="","",IF($E2308="※编码不在物料档案里","※物料编码不在档案里",IF(N($J2308)&lt;=0,"※出库数量要大于 0",IF($K2308="","※没填去向类型",IF($L2308="","※没填去向矿区",IF(AND($C2308&lt;&gt;"",$C2308&lt;=结账锁),"※日期早于已结账截止日，不能再录",IF(AND($K2308="自用消耗",COUNTIF({"一矿区";"二矿区"},$L2308)=0),"※自用消耗的去向只能是一矿区或二矿区",IF(AND($K2308="对外销售",COUNTIF({"三矿区";"六矿区"},$L2308)=0),"※对外销售的去向只能是三矿区或六矿区",IF(AND($K2308="对外销售",ROUND($Q2308,0)=0),"※外销却没有售价，请填实际售价",IF(AND($K2308="对外销售",$T2308&lt;&gt;"",$T2308&lt;0),"※这一笔外销是亏的，请核对售价",IF(IFERROR(VLOOKUP($D2308,库存台账!$A$5:$Y$1204,24,0),0)&lt;-0.001,"※这个物料账面已经变成负数了，查一下是不是漏记入库","")))))))))))</f>
        <v/>
      </c>
    </row>
    <row r="2309">
      <c r="A2309" s="24">
        <f>IF($D2309="","",COUNTA($D$4:$D2309))</f>
        <v/>
      </c>
      <c r="B2309" s="17" t="n"/>
      <c r="C2309" s="30" t="n"/>
      <c r="D2309" s="17" t="n"/>
      <c r="E2309" s="24">
        <f>IF($D2309="","",IFERROR(VLOOKUP($D2309,物料档案!$A$4:$P$1203,3,0),"※编码不在物料档案里"))</f>
        <v/>
      </c>
      <c r="F2309" s="24">
        <f>IF($D2309="","",IFERROR(VLOOKUP($D2309,物料档案!$A$4:$P$1203,4,0),"※编码不在物料档案里"))</f>
        <v/>
      </c>
      <c r="G2309" s="24">
        <f>IF($D2309="","",IFERROR(VLOOKUP($D2309,物料档案!$A$4:$P$1203,5,0),"※编码不在物料档案里"))</f>
        <v/>
      </c>
      <c r="H2309" s="24">
        <f>IF($D2309="","",IFERROR(VLOOKUP($D2309,物料档案!$A$4:$P$1203,2,0),"※编码不在物料档案里"))</f>
        <v/>
      </c>
      <c r="I2309" s="24">
        <f>IF($D2309="","",IFERROR(VLOOKUP($D2309,物料档案!$A$4:$P$1203,6,0),"※编码不在物料档案里"))</f>
        <v/>
      </c>
      <c r="J2309" s="23" t="n"/>
      <c r="K2309" s="17" t="n"/>
      <c r="L2309" s="17" t="n"/>
      <c r="M2309" s="17" t="n"/>
      <c r="N2309" s="17" t="n"/>
      <c r="O2309" s="26">
        <f>IF($D2309="","",IFERROR(VLOOKUP($D2309,物料档案!$A$4:$P$1203,10,0),0))</f>
        <v/>
      </c>
      <c r="P2309" s="32" t="n"/>
      <c r="Q2309" s="26">
        <f>IF($D2309="","",IF($K2309&lt;&gt;"对外销售",0,ROUND(N($J2309)*IF($P2309="",N($O2309),N($P2309)),0)))</f>
        <v/>
      </c>
      <c r="R2309" s="26">
        <f>IF($D2309="","",IFERROR(VLOOKUP($D2309,库存台账!$A$5:$Y$1204,11,0),0))</f>
        <v/>
      </c>
      <c r="S2309" s="26">
        <f>IF($D2309="","",ROUND(N($J2309)*N($R2309),0))</f>
        <v/>
      </c>
      <c r="T2309" s="26">
        <f>IF($D2309="","",IF($K2309&lt;&gt;"对外销售","",ROUND($Q2309-$S2309,0)))</f>
        <v/>
      </c>
      <c r="U2309" s="17" t="n"/>
      <c r="V2309" s="17" t="n"/>
      <c r="W2309" s="24">
        <f>IF($D2309="","",IF($E2309="※编码不在物料档案里","※物料编码不在档案里",IF(N($J2309)&lt;=0,"※出库数量要大于 0",IF($K2309="","※没填去向类型",IF($L2309="","※没填去向矿区",IF(AND($C2309&lt;&gt;"",$C2309&lt;=结账锁),"※日期早于已结账截止日，不能再录",IF(AND($K2309="自用消耗",COUNTIF({"一矿区";"二矿区"},$L2309)=0),"※自用消耗的去向只能是一矿区或二矿区",IF(AND($K2309="对外销售",COUNTIF({"三矿区";"六矿区"},$L2309)=0),"※对外销售的去向只能是三矿区或六矿区",IF(AND($K2309="对外销售",ROUND($Q2309,0)=0),"※外销却没有售价，请填实际售价",IF(AND($K2309="对外销售",$T2309&lt;&gt;"",$T2309&lt;0),"※这一笔外销是亏的，请核对售价",IF(IFERROR(VLOOKUP($D2309,库存台账!$A$5:$Y$1204,24,0),0)&lt;-0.001,"※这个物料账面已经变成负数了，查一下是不是漏记入库","")))))))))))</f>
        <v/>
      </c>
    </row>
    <row r="2310">
      <c r="A2310" s="24">
        <f>IF($D2310="","",COUNTA($D$4:$D2310))</f>
        <v/>
      </c>
      <c r="B2310" s="17" t="n"/>
      <c r="C2310" s="30" t="n"/>
      <c r="D2310" s="17" t="n"/>
      <c r="E2310" s="24">
        <f>IF($D2310="","",IFERROR(VLOOKUP($D2310,物料档案!$A$4:$P$1203,3,0),"※编码不在物料档案里"))</f>
        <v/>
      </c>
      <c r="F2310" s="24">
        <f>IF($D2310="","",IFERROR(VLOOKUP($D2310,物料档案!$A$4:$P$1203,4,0),"※编码不在物料档案里"))</f>
        <v/>
      </c>
      <c r="G2310" s="24">
        <f>IF($D2310="","",IFERROR(VLOOKUP($D2310,物料档案!$A$4:$P$1203,5,0),"※编码不在物料档案里"))</f>
        <v/>
      </c>
      <c r="H2310" s="24">
        <f>IF($D2310="","",IFERROR(VLOOKUP($D2310,物料档案!$A$4:$P$1203,2,0),"※编码不在物料档案里"))</f>
        <v/>
      </c>
      <c r="I2310" s="24">
        <f>IF($D2310="","",IFERROR(VLOOKUP($D2310,物料档案!$A$4:$P$1203,6,0),"※编码不在物料档案里"))</f>
        <v/>
      </c>
      <c r="J2310" s="23" t="n"/>
      <c r="K2310" s="17" t="n"/>
      <c r="L2310" s="17" t="n"/>
      <c r="M2310" s="17" t="n"/>
      <c r="N2310" s="17" t="n"/>
      <c r="O2310" s="26">
        <f>IF($D2310="","",IFERROR(VLOOKUP($D2310,物料档案!$A$4:$P$1203,10,0),0))</f>
        <v/>
      </c>
      <c r="P2310" s="32" t="n"/>
      <c r="Q2310" s="26">
        <f>IF($D2310="","",IF($K2310&lt;&gt;"对外销售",0,ROUND(N($J2310)*IF($P2310="",N($O2310),N($P2310)),0)))</f>
        <v/>
      </c>
      <c r="R2310" s="26">
        <f>IF($D2310="","",IFERROR(VLOOKUP($D2310,库存台账!$A$5:$Y$1204,11,0),0))</f>
        <v/>
      </c>
      <c r="S2310" s="26">
        <f>IF($D2310="","",ROUND(N($J2310)*N($R2310),0))</f>
        <v/>
      </c>
      <c r="T2310" s="26">
        <f>IF($D2310="","",IF($K2310&lt;&gt;"对外销售","",ROUND($Q2310-$S2310,0)))</f>
        <v/>
      </c>
      <c r="U2310" s="17" t="n"/>
      <c r="V2310" s="17" t="n"/>
      <c r="W2310" s="24">
        <f>IF($D2310="","",IF($E2310="※编码不在物料档案里","※物料编码不在档案里",IF(N($J2310)&lt;=0,"※出库数量要大于 0",IF($K2310="","※没填去向类型",IF($L2310="","※没填去向矿区",IF(AND($C2310&lt;&gt;"",$C2310&lt;=结账锁),"※日期早于已结账截止日，不能再录",IF(AND($K2310="自用消耗",COUNTIF({"一矿区";"二矿区"},$L2310)=0),"※自用消耗的去向只能是一矿区或二矿区",IF(AND($K2310="对外销售",COUNTIF({"三矿区";"六矿区"},$L2310)=0),"※对外销售的去向只能是三矿区或六矿区",IF(AND($K2310="对外销售",ROUND($Q2310,0)=0),"※外销却没有售价，请填实际售价",IF(AND($K2310="对外销售",$T2310&lt;&gt;"",$T2310&lt;0),"※这一笔外销是亏的，请核对售价",IF(IFERROR(VLOOKUP($D2310,库存台账!$A$5:$Y$1204,24,0),0)&lt;-0.001,"※这个物料账面已经变成负数了，查一下是不是漏记入库","")))))))))))</f>
        <v/>
      </c>
    </row>
    <row r="2311">
      <c r="A2311" s="24">
        <f>IF($D2311="","",COUNTA($D$4:$D2311))</f>
        <v/>
      </c>
      <c r="B2311" s="17" t="n"/>
      <c r="C2311" s="30" t="n"/>
      <c r="D2311" s="17" t="n"/>
      <c r="E2311" s="24">
        <f>IF($D2311="","",IFERROR(VLOOKUP($D2311,物料档案!$A$4:$P$1203,3,0),"※编码不在物料档案里"))</f>
        <v/>
      </c>
      <c r="F2311" s="24">
        <f>IF($D2311="","",IFERROR(VLOOKUP($D2311,物料档案!$A$4:$P$1203,4,0),"※编码不在物料档案里"))</f>
        <v/>
      </c>
      <c r="G2311" s="24">
        <f>IF($D2311="","",IFERROR(VLOOKUP($D2311,物料档案!$A$4:$P$1203,5,0),"※编码不在物料档案里"))</f>
        <v/>
      </c>
      <c r="H2311" s="24">
        <f>IF($D2311="","",IFERROR(VLOOKUP($D2311,物料档案!$A$4:$P$1203,2,0),"※编码不在物料档案里"))</f>
        <v/>
      </c>
      <c r="I2311" s="24">
        <f>IF($D2311="","",IFERROR(VLOOKUP($D2311,物料档案!$A$4:$P$1203,6,0),"※编码不在物料档案里"))</f>
        <v/>
      </c>
      <c r="J2311" s="23" t="n"/>
      <c r="K2311" s="17" t="n"/>
      <c r="L2311" s="17" t="n"/>
      <c r="M2311" s="17" t="n"/>
      <c r="N2311" s="17" t="n"/>
      <c r="O2311" s="26">
        <f>IF($D2311="","",IFERROR(VLOOKUP($D2311,物料档案!$A$4:$P$1203,10,0),0))</f>
        <v/>
      </c>
      <c r="P2311" s="32" t="n"/>
      <c r="Q2311" s="26">
        <f>IF($D2311="","",IF($K2311&lt;&gt;"对外销售",0,ROUND(N($J2311)*IF($P2311="",N($O2311),N($P2311)),0)))</f>
        <v/>
      </c>
      <c r="R2311" s="26">
        <f>IF($D2311="","",IFERROR(VLOOKUP($D2311,库存台账!$A$5:$Y$1204,11,0),0))</f>
        <v/>
      </c>
      <c r="S2311" s="26">
        <f>IF($D2311="","",ROUND(N($J2311)*N($R2311),0))</f>
        <v/>
      </c>
      <c r="T2311" s="26">
        <f>IF($D2311="","",IF($K2311&lt;&gt;"对外销售","",ROUND($Q2311-$S2311,0)))</f>
        <v/>
      </c>
      <c r="U2311" s="17" t="n"/>
      <c r="V2311" s="17" t="n"/>
      <c r="W2311" s="24">
        <f>IF($D2311="","",IF($E2311="※编码不在物料档案里","※物料编码不在档案里",IF(N($J2311)&lt;=0,"※出库数量要大于 0",IF($K2311="","※没填去向类型",IF($L2311="","※没填去向矿区",IF(AND($C2311&lt;&gt;"",$C2311&lt;=结账锁),"※日期早于已结账截止日，不能再录",IF(AND($K2311="自用消耗",COUNTIF({"一矿区";"二矿区"},$L2311)=0),"※自用消耗的去向只能是一矿区或二矿区",IF(AND($K2311="对外销售",COUNTIF({"三矿区";"六矿区"},$L2311)=0),"※对外销售的去向只能是三矿区或六矿区",IF(AND($K2311="对外销售",ROUND($Q2311,0)=0),"※外销却没有售价，请填实际售价",IF(AND($K2311="对外销售",$T2311&lt;&gt;"",$T2311&lt;0),"※这一笔外销是亏的，请核对售价",IF(IFERROR(VLOOKUP($D2311,库存台账!$A$5:$Y$1204,24,0),0)&lt;-0.001,"※这个物料账面已经变成负数了，查一下是不是漏记入库","")))))))))))</f>
        <v/>
      </c>
    </row>
    <row r="2312">
      <c r="A2312" s="24">
        <f>IF($D2312="","",COUNTA($D$4:$D2312))</f>
        <v/>
      </c>
      <c r="B2312" s="17" t="n"/>
      <c r="C2312" s="30" t="n"/>
      <c r="D2312" s="17" t="n"/>
      <c r="E2312" s="24">
        <f>IF($D2312="","",IFERROR(VLOOKUP($D2312,物料档案!$A$4:$P$1203,3,0),"※编码不在物料档案里"))</f>
        <v/>
      </c>
      <c r="F2312" s="24">
        <f>IF($D2312="","",IFERROR(VLOOKUP($D2312,物料档案!$A$4:$P$1203,4,0),"※编码不在物料档案里"))</f>
        <v/>
      </c>
      <c r="G2312" s="24">
        <f>IF($D2312="","",IFERROR(VLOOKUP($D2312,物料档案!$A$4:$P$1203,5,0),"※编码不在物料档案里"))</f>
        <v/>
      </c>
      <c r="H2312" s="24">
        <f>IF($D2312="","",IFERROR(VLOOKUP($D2312,物料档案!$A$4:$P$1203,2,0),"※编码不在物料档案里"))</f>
        <v/>
      </c>
      <c r="I2312" s="24">
        <f>IF($D2312="","",IFERROR(VLOOKUP($D2312,物料档案!$A$4:$P$1203,6,0),"※编码不在物料档案里"))</f>
        <v/>
      </c>
      <c r="J2312" s="23" t="n"/>
      <c r="K2312" s="17" t="n"/>
      <c r="L2312" s="17" t="n"/>
      <c r="M2312" s="17" t="n"/>
      <c r="N2312" s="17" t="n"/>
      <c r="O2312" s="26">
        <f>IF($D2312="","",IFERROR(VLOOKUP($D2312,物料档案!$A$4:$P$1203,10,0),0))</f>
        <v/>
      </c>
      <c r="P2312" s="32" t="n"/>
      <c r="Q2312" s="26">
        <f>IF($D2312="","",IF($K2312&lt;&gt;"对外销售",0,ROUND(N($J2312)*IF($P2312="",N($O2312),N($P2312)),0)))</f>
        <v/>
      </c>
      <c r="R2312" s="26">
        <f>IF($D2312="","",IFERROR(VLOOKUP($D2312,库存台账!$A$5:$Y$1204,11,0),0))</f>
        <v/>
      </c>
      <c r="S2312" s="26">
        <f>IF($D2312="","",ROUND(N($J2312)*N($R2312),0))</f>
        <v/>
      </c>
      <c r="T2312" s="26">
        <f>IF($D2312="","",IF($K2312&lt;&gt;"对外销售","",ROUND($Q2312-$S2312,0)))</f>
        <v/>
      </c>
      <c r="U2312" s="17" t="n"/>
      <c r="V2312" s="17" t="n"/>
      <c r="W2312" s="24">
        <f>IF($D2312="","",IF($E2312="※编码不在物料档案里","※物料编码不在档案里",IF(N($J2312)&lt;=0,"※出库数量要大于 0",IF($K2312="","※没填去向类型",IF($L2312="","※没填去向矿区",IF(AND($C2312&lt;&gt;"",$C2312&lt;=结账锁),"※日期早于已结账截止日，不能再录",IF(AND($K2312="自用消耗",COUNTIF({"一矿区";"二矿区"},$L2312)=0),"※自用消耗的去向只能是一矿区或二矿区",IF(AND($K2312="对外销售",COUNTIF({"三矿区";"六矿区"},$L2312)=0),"※对外销售的去向只能是三矿区或六矿区",IF(AND($K2312="对外销售",ROUND($Q2312,0)=0),"※外销却没有售价，请填实际售价",IF(AND($K2312="对外销售",$T2312&lt;&gt;"",$T2312&lt;0),"※这一笔外销是亏的，请核对售价",IF(IFERROR(VLOOKUP($D2312,库存台账!$A$5:$Y$1204,24,0),0)&lt;-0.001,"※这个物料账面已经变成负数了，查一下是不是漏记入库","")))))))))))</f>
        <v/>
      </c>
    </row>
    <row r="2313">
      <c r="A2313" s="24">
        <f>IF($D2313="","",COUNTA($D$4:$D2313))</f>
        <v/>
      </c>
      <c r="B2313" s="17" t="n"/>
      <c r="C2313" s="30" t="n"/>
      <c r="D2313" s="17" t="n"/>
      <c r="E2313" s="24">
        <f>IF($D2313="","",IFERROR(VLOOKUP($D2313,物料档案!$A$4:$P$1203,3,0),"※编码不在物料档案里"))</f>
        <v/>
      </c>
      <c r="F2313" s="24">
        <f>IF($D2313="","",IFERROR(VLOOKUP($D2313,物料档案!$A$4:$P$1203,4,0),"※编码不在物料档案里"))</f>
        <v/>
      </c>
      <c r="G2313" s="24">
        <f>IF($D2313="","",IFERROR(VLOOKUP($D2313,物料档案!$A$4:$P$1203,5,0),"※编码不在物料档案里"))</f>
        <v/>
      </c>
      <c r="H2313" s="24">
        <f>IF($D2313="","",IFERROR(VLOOKUP($D2313,物料档案!$A$4:$P$1203,2,0),"※编码不在物料档案里"))</f>
        <v/>
      </c>
      <c r="I2313" s="24">
        <f>IF($D2313="","",IFERROR(VLOOKUP($D2313,物料档案!$A$4:$P$1203,6,0),"※编码不在物料档案里"))</f>
        <v/>
      </c>
      <c r="J2313" s="23" t="n"/>
      <c r="K2313" s="17" t="n"/>
      <c r="L2313" s="17" t="n"/>
      <c r="M2313" s="17" t="n"/>
      <c r="N2313" s="17" t="n"/>
      <c r="O2313" s="26">
        <f>IF($D2313="","",IFERROR(VLOOKUP($D2313,物料档案!$A$4:$P$1203,10,0),0))</f>
        <v/>
      </c>
      <c r="P2313" s="32" t="n"/>
      <c r="Q2313" s="26">
        <f>IF($D2313="","",IF($K2313&lt;&gt;"对外销售",0,ROUND(N($J2313)*IF($P2313="",N($O2313),N($P2313)),0)))</f>
        <v/>
      </c>
      <c r="R2313" s="26">
        <f>IF($D2313="","",IFERROR(VLOOKUP($D2313,库存台账!$A$5:$Y$1204,11,0),0))</f>
        <v/>
      </c>
      <c r="S2313" s="26">
        <f>IF($D2313="","",ROUND(N($J2313)*N($R2313),0))</f>
        <v/>
      </c>
      <c r="T2313" s="26">
        <f>IF($D2313="","",IF($K2313&lt;&gt;"对外销售","",ROUND($Q2313-$S2313,0)))</f>
        <v/>
      </c>
      <c r="U2313" s="17" t="n"/>
      <c r="V2313" s="17" t="n"/>
      <c r="W2313" s="24">
        <f>IF($D2313="","",IF($E2313="※编码不在物料档案里","※物料编码不在档案里",IF(N($J2313)&lt;=0,"※出库数量要大于 0",IF($K2313="","※没填去向类型",IF($L2313="","※没填去向矿区",IF(AND($C2313&lt;&gt;"",$C2313&lt;=结账锁),"※日期早于已结账截止日，不能再录",IF(AND($K2313="自用消耗",COUNTIF({"一矿区";"二矿区"},$L2313)=0),"※自用消耗的去向只能是一矿区或二矿区",IF(AND($K2313="对外销售",COUNTIF({"三矿区";"六矿区"},$L2313)=0),"※对外销售的去向只能是三矿区或六矿区",IF(AND($K2313="对外销售",ROUND($Q2313,0)=0),"※外销却没有售价，请填实际售价",IF(AND($K2313="对外销售",$T2313&lt;&gt;"",$T2313&lt;0),"※这一笔外销是亏的，请核对售价",IF(IFERROR(VLOOKUP($D2313,库存台账!$A$5:$Y$1204,24,0),0)&lt;-0.001,"※这个物料账面已经变成负数了，查一下是不是漏记入库","")))))))))))</f>
        <v/>
      </c>
    </row>
    <row r="2314">
      <c r="A2314" s="24">
        <f>IF($D2314="","",COUNTA($D$4:$D2314))</f>
        <v/>
      </c>
      <c r="B2314" s="17" t="n"/>
      <c r="C2314" s="30" t="n"/>
      <c r="D2314" s="17" t="n"/>
      <c r="E2314" s="24">
        <f>IF($D2314="","",IFERROR(VLOOKUP($D2314,物料档案!$A$4:$P$1203,3,0),"※编码不在物料档案里"))</f>
        <v/>
      </c>
      <c r="F2314" s="24">
        <f>IF($D2314="","",IFERROR(VLOOKUP($D2314,物料档案!$A$4:$P$1203,4,0),"※编码不在物料档案里"))</f>
        <v/>
      </c>
      <c r="G2314" s="24">
        <f>IF($D2314="","",IFERROR(VLOOKUP($D2314,物料档案!$A$4:$P$1203,5,0),"※编码不在物料档案里"))</f>
        <v/>
      </c>
      <c r="H2314" s="24">
        <f>IF($D2314="","",IFERROR(VLOOKUP($D2314,物料档案!$A$4:$P$1203,2,0),"※编码不在物料档案里"))</f>
        <v/>
      </c>
      <c r="I2314" s="24">
        <f>IF($D2314="","",IFERROR(VLOOKUP($D2314,物料档案!$A$4:$P$1203,6,0),"※编码不在物料档案里"))</f>
        <v/>
      </c>
      <c r="J2314" s="23" t="n"/>
      <c r="K2314" s="17" t="n"/>
      <c r="L2314" s="17" t="n"/>
      <c r="M2314" s="17" t="n"/>
      <c r="N2314" s="17" t="n"/>
      <c r="O2314" s="26">
        <f>IF($D2314="","",IFERROR(VLOOKUP($D2314,物料档案!$A$4:$P$1203,10,0),0))</f>
        <v/>
      </c>
      <c r="P2314" s="32" t="n"/>
      <c r="Q2314" s="26">
        <f>IF($D2314="","",IF($K2314&lt;&gt;"对外销售",0,ROUND(N($J2314)*IF($P2314="",N($O2314),N($P2314)),0)))</f>
        <v/>
      </c>
      <c r="R2314" s="26">
        <f>IF($D2314="","",IFERROR(VLOOKUP($D2314,库存台账!$A$5:$Y$1204,11,0),0))</f>
        <v/>
      </c>
      <c r="S2314" s="26">
        <f>IF($D2314="","",ROUND(N($J2314)*N($R2314),0))</f>
        <v/>
      </c>
      <c r="T2314" s="26">
        <f>IF($D2314="","",IF($K2314&lt;&gt;"对外销售","",ROUND($Q2314-$S2314,0)))</f>
        <v/>
      </c>
      <c r="U2314" s="17" t="n"/>
      <c r="V2314" s="17" t="n"/>
      <c r="W2314" s="24">
        <f>IF($D2314="","",IF($E2314="※编码不在物料档案里","※物料编码不在档案里",IF(N($J2314)&lt;=0,"※出库数量要大于 0",IF($K2314="","※没填去向类型",IF($L2314="","※没填去向矿区",IF(AND($C2314&lt;&gt;"",$C2314&lt;=结账锁),"※日期早于已结账截止日，不能再录",IF(AND($K2314="自用消耗",COUNTIF({"一矿区";"二矿区"},$L2314)=0),"※自用消耗的去向只能是一矿区或二矿区",IF(AND($K2314="对外销售",COUNTIF({"三矿区";"六矿区"},$L2314)=0),"※对外销售的去向只能是三矿区或六矿区",IF(AND($K2314="对外销售",ROUND($Q2314,0)=0),"※外销却没有售价，请填实际售价",IF(AND($K2314="对外销售",$T2314&lt;&gt;"",$T2314&lt;0),"※这一笔外销是亏的，请核对售价",IF(IFERROR(VLOOKUP($D2314,库存台账!$A$5:$Y$1204,24,0),0)&lt;-0.001,"※这个物料账面已经变成负数了，查一下是不是漏记入库","")))))))))))</f>
        <v/>
      </c>
    </row>
    <row r="2315">
      <c r="A2315" s="24">
        <f>IF($D2315="","",COUNTA($D$4:$D2315))</f>
        <v/>
      </c>
      <c r="B2315" s="17" t="n"/>
      <c r="C2315" s="30" t="n"/>
      <c r="D2315" s="17" t="n"/>
      <c r="E2315" s="24">
        <f>IF($D2315="","",IFERROR(VLOOKUP($D2315,物料档案!$A$4:$P$1203,3,0),"※编码不在物料档案里"))</f>
        <v/>
      </c>
      <c r="F2315" s="24">
        <f>IF($D2315="","",IFERROR(VLOOKUP($D2315,物料档案!$A$4:$P$1203,4,0),"※编码不在物料档案里"))</f>
        <v/>
      </c>
      <c r="G2315" s="24">
        <f>IF($D2315="","",IFERROR(VLOOKUP($D2315,物料档案!$A$4:$P$1203,5,0),"※编码不在物料档案里"))</f>
        <v/>
      </c>
      <c r="H2315" s="24">
        <f>IF($D2315="","",IFERROR(VLOOKUP($D2315,物料档案!$A$4:$P$1203,2,0),"※编码不在物料档案里"))</f>
        <v/>
      </c>
      <c r="I2315" s="24">
        <f>IF($D2315="","",IFERROR(VLOOKUP($D2315,物料档案!$A$4:$P$1203,6,0),"※编码不在物料档案里"))</f>
        <v/>
      </c>
      <c r="J2315" s="23" t="n"/>
      <c r="K2315" s="17" t="n"/>
      <c r="L2315" s="17" t="n"/>
      <c r="M2315" s="17" t="n"/>
      <c r="N2315" s="17" t="n"/>
      <c r="O2315" s="26">
        <f>IF($D2315="","",IFERROR(VLOOKUP($D2315,物料档案!$A$4:$P$1203,10,0),0))</f>
        <v/>
      </c>
      <c r="P2315" s="32" t="n"/>
      <c r="Q2315" s="26">
        <f>IF($D2315="","",IF($K2315&lt;&gt;"对外销售",0,ROUND(N($J2315)*IF($P2315="",N($O2315),N($P2315)),0)))</f>
        <v/>
      </c>
      <c r="R2315" s="26">
        <f>IF($D2315="","",IFERROR(VLOOKUP($D2315,库存台账!$A$5:$Y$1204,11,0),0))</f>
        <v/>
      </c>
      <c r="S2315" s="26">
        <f>IF($D2315="","",ROUND(N($J2315)*N($R2315),0))</f>
        <v/>
      </c>
      <c r="T2315" s="26">
        <f>IF($D2315="","",IF($K2315&lt;&gt;"对外销售","",ROUND($Q2315-$S2315,0)))</f>
        <v/>
      </c>
      <c r="U2315" s="17" t="n"/>
      <c r="V2315" s="17" t="n"/>
      <c r="W2315" s="24">
        <f>IF($D2315="","",IF($E2315="※编码不在物料档案里","※物料编码不在档案里",IF(N($J2315)&lt;=0,"※出库数量要大于 0",IF($K2315="","※没填去向类型",IF($L2315="","※没填去向矿区",IF(AND($C2315&lt;&gt;"",$C2315&lt;=结账锁),"※日期早于已结账截止日，不能再录",IF(AND($K2315="自用消耗",COUNTIF({"一矿区";"二矿区"},$L2315)=0),"※自用消耗的去向只能是一矿区或二矿区",IF(AND($K2315="对外销售",COUNTIF({"三矿区";"六矿区"},$L2315)=0),"※对外销售的去向只能是三矿区或六矿区",IF(AND($K2315="对外销售",ROUND($Q2315,0)=0),"※外销却没有售价，请填实际售价",IF(AND($K2315="对外销售",$T2315&lt;&gt;"",$T2315&lt;0),"※这一笔外销是亏的，请核对售价",IF(IFERROR(VLOOKUP($D2315,库存台账!$A$5:$Y$1204,24,0),0)&lt;-0.001,"※这个物料账面已经变成负数了，查一下是不是漏记入库","")))))))))))</f>
        <v/>
      </c>
    </row>
    <row r="2316">
      <c r="A2316" s="24">
        <f>IF($D2316="","",COUNTA($D$4:$D2316))</f>
        <v/>
      </c>
      <c r="B2316" s="17" t="n"/>
      <c r="C2316" s="30" t="n"/>
      <c r="D2316" s="17" t="n"/>
      <c r="E2316" s="24">
        <f>IF($D2316="","",IFERROR(VLOOKUP($D2316,物料档案!$A$4:$P$1203,3,0),"※编码不在物料档案里"))</f>
        <v/>
      </c>
      <c r="F2316" s="24">
        <f>IF($D2316="","",IFERROR(VLOOKUP($D2316,物料档案!$A$4:$P$1203,4,0),"※编码不在物料档案里"))</f>
        <v/>
      </c>
      <c r="G2316" s="24">
        <f>IF($D2316="","",IFERROR(VLOOKUP($D2316,物料档案!$A$4:$P$1203,5,0),"※编码不在物料档案里"))</f>
        <v/>
      </c>
      <c r="H2316" s="24">
        <f>IF($D2316="","",IFERROR(VLOOKUP($D2316,物料档案!$A$4:$P$1203,2,0),"※编码不在物料档案里"))</f>
        <v/>
      </c>
      <c r="I2316" s="24">
        <f>IF($D2316="","",IFERROR(VLOOKUP($D2316,物料档案!$A$4:$P$1203,6,0),"※编码不在物料档案里"))</f>
        <v/>
      </c>
      <c r="J2316" s="23" t="n"/>
      <c r="K2316" s="17" t="n"/>
      <c r="L2316" s="17" t="n"/>
      <c r="M2316" s="17" t="n"/>
      <c r="N2316" s="17" t="n"/>
      <c r="O2316" s="26">
        <f>IF($D2316="","",IFERROR(VLOOKUP($D2316,物料档案!$A$4:$P$1203,10,0),0))</f>
        <v/>
      </c>
      <c r="P2316" s="32" t="n"/>
      <c r="Q2316" s="26">
        <f>IF($D2316="","",IF($K2316&lt;&gt;"对外销售",0,ROUND(N($J2316)*IF($P2316="",N($O2316),N($P2316)),0)))</f>
        <v/>
      </c>
      <c r="R2316" s="26">
        <f>IF($D2316="","",IFERROR(VLOOKUP($D2316,库存台账!$A$5:$Y$1204,11,0),0))</f>
        <v/>
      </c>
      <c r="S2316" s="26">
        <f>IF($D2316="","",ROUND(N($J2316)*N($R2316),0))</f>
        <v/>
      </c>
      <c r="T2316" s="26">
        <f>IF($D2316="","",IF($K2316&lt;&gt;"对外销售","",ROUND($Q2316-$S2316,0)))</f>
        <v/>
      </c>
      <c r="U2316" s="17" t="n"/>
      <c r="V2316" s="17" t="n"/>
      <c r="W2316" s="24">
        <f>IF($D2316="","",IF($E2316="※编码不在物料档案里","※物料编码不在档案里",IF(N($J2316)&lt;=0,"※出库数量要大于 0",IF($K2316="","※没填去向类型",IF($L2316="","※没填去向矿区",IF(AND($C2316&lt;&gt;"",$C2316&lt;=结账锁),"※日期早于已结账截止日，不能再录",IF(AND($K2316="自用消耗",COUNTIF({"一矿区";"二矿区"},$L2316)=0),"※自用消耗的去向只能是一矿区或二矿区",IF(AND($K2316="对外销售",COUNTIF({"三矿区";"六矿区"},$L2316)=0),"※对外销售的去向只能是三矿区或六矿区",IF(AND($K2316="对外销售",ROUND($Q2316,0)=0),"※外销却没有售价，请填实际售价",IF(AND($K2316="对外销售",$T2316&lt;&gt;"",$T2316&lt;0),"※这一笔外销是亏的，请核对售价",IF(IFERROR(VLOOKUP($D2316,库存台账!$A$5:$Y$1204,24,0),0)&lt;-0.001,"※这个物料账面已经变成负数了，查一下是不是漏记入库","")))))))))))</f>
        <v/>
      </c>
    </row>
    <row r="2317">
      <c r="A2317" s="24">
        <f>IF($D2317="","",COUNTA($D$4:$D2317))</f>
        <v/>
      </c>
      <c r="B2317" s="17" t="n"/>
      <c r="C2317" s="30" t="n"/>
      <c r="D2317" s="17" t="n"/>
      <c r="E2317" s="24">
        <f>IF($D2317="","",IFERROR(VLOOKUP($D2317,物料档案!$A$4:$P$1203,3,0),"※编码不在物料档案里"))</f>
        <v/>
      </c>
      <c r="F2317" s="24">
        <f>IF($D2317="","",IFERROR(VLOOKUP($D2317,物料档案!$A$4:$P$1203,4,0),"※编码不在物料档案里"))</f>
        <v/>
      </c>
      <c r="G2317" s="24">
        <f>IF($D2317="","",IFERROR(VLOOKUP($D2317,物料档案!$A$4:$P$1203,5,0),"※编码不在物料档案里"))</f>
        <v/>
      </c>
      <c r="H2317" s="24">
        <f>IF($D2317="","",IFERROR(VLOOKUP($D2317,物料档案!$A$4:$P$1203,2,0),"※编码不在物料档案里"))</f>
        <v/>
      </c>
      <c r="I2317" s="24">
        <f>IF($D2317="","",IFERROR(VLOOKUP($D2317,物料档案!$A$4:$P$1203,6,0),"※编码不在物料档案里"))</f>
        <v/>
      </c>
      <c r="J2317" s="23" t="n"/>
      <c r="K2317" s="17" t="n"/>
      <c r="L2317" s="17" t="n"/>
      <c r="M2317" s="17" t="n"/>
      <c r="N2317" s="17" t="n"/>
      <c r="O2317" s="26">
        <f>IF($D2317="","",IFERROR(VLOOKUP($D2317,物料档案!$A$4:$P$1203,10,0),0))</f>
        <v/>
      </c>
      <c r="P2317" s="32" t="n"/>
      <c r="Q2317" s="26">
        <f>IF($D2317="","",IF($K2317&lt;&gt;"对外销售",0,ROUND(N($J2317)*IF($P2317="",N($O2317),N($P2317)),0)))</f>
        <v/>
      </c>
      <c r="R2317" s="26">
        <f>IF($D2317="","",IFERROR(VLOOKUP($D2317,库存台账!$A$5:$Y$1204,11,0),0))</f>
        <v/>
      </c>
      <c r="S2317" s="26">
        <f>IF($D2317="","",ROUND(N($J2317)*N($R2317),0))</f>
        <v/>
      </c>
      <c r="T2317" s="26">
        <f>IF($D2317="","",IF($K2317&lt;&gt;"对外销售","",ROUND($Q2317-$S2317,0)))</f>
        <v/>
      </c>
      <c r="U2317" s="17" t="n"/>
      <c r="V2317" s="17" t="n"/>
      <c r="W2317" s="24">
        <f>IF($D2317="","",IF($E2317="※编码不在物料档案里","※物料编码不在档案里",IF(N($J2317)&lt;=0,"※出库数量要大于 0",IF($K2317="","※没填去向类型",IF($L2317="","※没填去向矿区",IF(AND($C2317&lt;&gt;"",$C2317&lt;=结账锁),"※日期早于已结账截止日，不能再录",IF(AND($K2317="自用消耗",COUNTIF({"一矿区";"二矿区"},$L2317)=0),"※自用消耗的去向只能是一矿区或二矿区",IF(AND($K2317="对外销售",COUNTIF({"三矿区";"六矿区"},$L2317)=0),"※对外销售的去向只能是三矿区或六矿区",IF(AND($K2317="对外销售",ROUND($Q2317,0)=0),"※外销却没有售价，请填实际售价",IF(AND($K2317="对外销售",$T2317&lt;&gt;"",$T2317&lt;0),"※这一笔外销是亏的，请核对售价",IF(IFERROR(VLOOKUP($D2317,库存台账!$A$5:$Y$1204,24,0),0)&lt;-0.001,"※这个物料账面已经变成负数了，查一下是不是漏记入库","")))))))))))</f>
        <v/>
      </c>
    </row>
    <row r="2318">
      <c r="A2318" s="24">
        <f>IF($D2318="","",COUNTA($D$4:$D2318))</f>
        <v/>
      </c>
      <c r="B2318" s="17" t="n"/>
      <c r="C2318" s="30" t="n"/>
      <c r="D2318" s="17" t="n"/>
      <c r="E2318" s="24">
        <f>IF($D2318="","",IFERROR(VLOOKUP($D2318,物料档案!$A$4:$P$1203,3,0),"※编码不在物料档案里"))</f>
        <v/>
      </c>
      <c r="F2318" s="24">
        <f>IF($D2318="","",IFERROR(VLOOKUP($D2318,物料档案!$A$4:$P$1203,4,0),"※编码不在物料档案里"))</f>
        <v/>
      </c>
      <c r="G2318" s="24">
        <f>IF($D2318="","",IFERROR(VLOOKUP($D2318,物料档案!$A$4:$P$1203,5,0),"※编码不在物料档案里"))</f>
        <v/>
      </c>
      <c r="H2318" s="24">
        <f>IF($D2318="","",IFERROR(VLOOKUP($D2318,物料档案!$A$4:$P$1203,2,0),"※编码不在物料档案里"))</f>
        <v/>
      </c>
      <c r="I2318" s="24">
        <f>IF($D2318="","",IFERROR(VLOOKUP($D2318,物料档案!$A$4:$P$1203,6,0),"※编码不在物料档案里"))</f>
        <v/>
      </c>
      <c r="J2318" s="23" t="n"/>
      <c r="K2318" s="17" t="n"/>
      <c r="L2318" s="17" t="n"/>
      <c r="M2318" s="17" t="n"/>
      <c r="N2318" s="17" t="n"/>
      <c r="O2318" s="26">
        <f>IF($D2318="","",IFERROR(VLOOKUP($D2318,物料档案!$A$4:$P$1203,10,0),0))</f>
        <v/>
      </c>
      <c r="P2318" s="32" t="n"/>
      <c r="Q2318" s="26">
        <f>IF($D2318="","",IF($K2318&lt;&gt;"对外销售",0,ROUND(N($J2318)*IF($P2318="",N($O2318),N($P2318)),0)))</f>
        <v/>
      </c>
      <c r="R2318" s="26">
        <f>IF($D2318="","",IFERROR(VLOOKUP($D2318,库存台账!$A$5:$Y$1204,11,0),0))</f>
        <v/>
      </c>
      <c r="S2318" s="26">
        <f>IF($D2318="","",ROUND(N($J2318)*N($R2318),0))</f>
        <v/>
      </c>
      <c r="T2318" s="26">
        <f>IF($D2318="","",IF($K2318&lt;&gt;"对外销售","",ROUND($Q2318-$S2318,0)))</f>
        <v/>
      </c>
      <c r="U2318" s="17" t="n"/>
      <c r="V2318" s="17" t="n"/>
      <c r="W2318" s="24">
        <f>IF($D2318="","",IF($E2318="※编码不在物料档案里","※物料编码不在档案里",IF(N($J2318)&lt;=0,"※出库数量要大于 0",IF($K2318="","※没填去向类型",IF($L2318="","※没填去向矿区",IF(AND($C2318&lt;&gt;"",$C2318&lt;=结账锁),"※日期早于已结账截止日，不能再录",IF(AND($K2318="自用消耗",COUNTIF({"一矿区";"二矿区"},$L2318)=0),"※自用消耗的去向只能是一矿区或二矿区",IF(AND($K2318="对外销售",COUNTIF({"三矿区";"六矿区"},$L2318)=0),"※对外销售的去向只能是三矿区或六矿区",IF(AND($K2318="对外销售",ROUND($Q2318,0)=0),"※外销却没有售价，请填实际售价",IF(AND($K2318="对外销售",$T2318&lt;&gt;"",$T2318&lt;0),"※这一笔外销是亏的，请核对售价",IF(IFERROR(VLOOKUP($D2318,库存台账!$A$5:$Y$1204,24,0),0)&lt;-0.001,"※这个物料账面已经变成负数了，查一下是不是漏记入库","")))))))))))</f>
        <v/>
      </c>
    </row>
    <row r="2319">
      <c r="A2319" s="24">
        <f>IF($D2319="","",COUNTA($D$4:$D2319))</f>
        <v/>
      </c>
      <c r="B2319" s="17" t="n"/>
      <c r="C2319" s="30" t="n"/>
      <c r="D2319" s="17" t="n"/>
      <c r="E2319" s="24">
        <f>IF($D2319="","",IFERROR(VLOOKUP($D2319,物料档案!$A$4:$P$1203,3,0),"※编码不在物料档案里"))</f>
        <v/>
      </c>
      <c r="F2319" s="24">
        <f>IF($D2319="","",IFERROR(VLOOKUP($D2319,物料档案!$A$4:$P$1203,4,0),"※编码不在物料档案里"))</f>
        <v/>
      </c>
      <c r="G2319" s="24">
        <f>IF($D2319="","",IFERROR(VLOOKUP($D2319,物料档案!$A$4:$P$1203,5,0),"※编码不在物料档案里"))</f>
        <v/>
      </c>
      <c r="H2319" s="24">
        <f>IF($D2319="","",IFERROR(VLOOKUP($D2319,物料档案!$A$4:$P$1203,2,0),"※编码不在物料档案里"))</f>
        <v/>
      </c>
      <c r="I2319" s="24">
        <f>IF($D2319="","",IFERROR(VLOOKUP($D2319,物料档案!$A$4:$P$1203,6,0),"※编码不在物料档案里"))</f>
        <v/>
      </c>
      <c r="J2319" s="23" t="n"/>
      <c r="K2319" s="17" t="n"/>
      <c r="L2319" s="17" t="n"/>
      <c r="M2319" s="17" t="n"/>
      <c r="N2319" s="17" t="n"/>
      <c r="O2319" s="26">
        <f>IF($D2319="","",IFERROR(VLOOKUP($D2319,物料档案!$A$4:$P$1203,10,0),0))</f>
        <v/>
      </c>
      <c r="P2319" s="32" t="n"/>
      <c r="Q2319" s="26">
        <f>IF($D2319="","",IF($K2319&lt;&gt;"对外销售",0,ROUND(N($J2319)*IF($P2319="",N($O2319),N($P2319)),0)))</f>
        <v/>
      </c>
      <c r="R2319" s="26">
        <f>IF($D2319="","",IFERROR(VLOOKUP($D2319,库存台账!$A$5:$Y$1204,11,0),0))</f>
        <v/>
      </c>
      <c r="S2319" s="26">
        <f>IF($D2319="","",ROUND(N($J2319)*N($R2319),0))</f>
        <v/>
      </c>
      <c r="T2319" s="26">
        <f>IF($D2319="","",IF($K2319&lt;&gt;"对外销售","",ROUND($Q2319-$S2319,0)))</f>
        <v/>
      </c>
      <c r="U2319" s="17" t="n"/>
      <c r="V2319" s="17" t="n"/>
      <c r="W2319" s="24">
        <f>IF($D2319="","",IF($E2319="※编码不在物料档案里","※物料编码不在档案里",IF(N($J2319)&lt;=0,"※出库数量要大于 0",IF($K2319="","※没填去向类型",IF($L2319="","※没填去向矿区",IF(AND($C2319&lt;&gt;"",$C2319&lt;=结账锁),"※日期早于已结账截止日，不能再录",IF(AND($K2319="自用消耗",COUNTIF({"一矿区";"二矿区"},$L2319)=0),"※自用消耗的去向只能是一矿区或二矿区",IF(AND($K2319="对外销售",COUNTIF({"三矿区";"六矿区"},$L2319)=0),"※对外销售的去向只能是三矿区或六矿区",IF(AND($K2319="对外销售",ROUND($Q2319,0)=0),"※外销却没有售价，请填实际售价",IF(AND($K2319="对外销售",$T2319&lt;&gt;"",$T2319&lt;0),"※这一笔外销是亏的，请核对售价",IF(IFERROR(VLOOKUP($D2319,库存台账!$A$5:$Y$1204,24,0),0)&lt;-0.001,"※这个物料账面已经变成负数了，查一下是不是漏记入库","")))))))))))</f>
        <v/>
      </c>
    </row>
    <row r="2320">
      <c r="A2320" s="24">
        <f>IF($D2320="","",COUNTA($D$4:$D2320))</f>
        <v/>
      </c>
      <c r="B2320" s="17" t="n"/>
      <c r="C2320" s="30" t="n"/>
      <c r="D2320" s="17" t="n"/>
      <c r="E2320" s="24">
        <f>IF($D2320="","",IFERROR(VLOOKUP($D2320,物料档案!$A$4:$P$1203,3,0),"※编码不在物料档案里"))</f>
        <v/>
      </c>
      <c r="F2320" s="24">
        <f>IF($D2320="","",IFERROR(VLOOKUP($D2320,物料档案!$A$4:$P$1203,4,0),"※编码不在物料档案里"))</f>
        <v/>
      </c>
      <c r="G2320" s="24">
        <f>IF($D2320="","",IFERROR(VLOOKUP($D2320,物料档案!$A$4:$P$1203,5,0),"※编码不在物料档案里"))</f>
        <v/>
      </c>
      <c r="H2320" s="24">
        <f>IF($D2320="","",IFERROR(VLOOKUP($D2320,物料档案!$A$4:$P$1203,2,0),"※编码不在物料档案里"))</f>
        <v/>
      </c>
      <c r="I2320" s="24">
        <f>IF($D2320="","",IFERROR(VLOOKUP($D2320,物料档案!$A$4:$P$1203,6,0),"※编码不在物料档案里"))</f>
        <v/>
      </c>
      <c r="J2320" s="23" t="n"/>
      <c r="K2320" s="17" t="n"/>
      <c r="L2320" s="17" t="n"/>
      <c r="M2320" s="17" t="n"/>
      <c r="N2320" s="17" t="n"/>
      <c r="O2320" s="26">
        <f>IF($D2320="","",IFERROR(VLOOKUP($D2320,物料档案!$A$4:$P$1203,10,0),0))</f>
        <v/>
      </c>
      <c r="P2320" s="32" t="n"/>
      <c r="Q2320" s="26">
        <f>IF($D2320="","",IF($K2320&lt;&gt;"对外销售",0,ROUND(N($J2320)*IF($P2320="",N($O2320),N($P2320)),0)))</f>
        <v/>
      </c>
      <c r="R2320" s="26">
        <f>IF($D2320="","",IFERROR(VLOOKUP($D2320,库存台账!$A$5:$Y$1204,11,0),0))</f>
        <v/>
      </c>
      <c r="S2320" s="26">
        <f>IF($D2320="","",ROUND(N($J2320)*N($R2320),0))</f>
        <v/>
      </c>
      <c r="T2320" s="26">
        <f>IF($D2320="","",IF($K2320&lt;&gt;"对外销售","",ROUND($Q2320-$S2320,0)))</f>
        <v/>
      </c>
      <c r="U2320" s="17" t="n"/>
      <c r="V2320" s="17" t="n"/>
      <c r="W2320" s="24">
        <f>IF($D2320="","",IF($E2320="※编码不在物料档案里","※物料编码不在档案里",IF(N($J2320)&lt;=0,"※出库数量要大于 0",IF($K2320="","※没填去向类型",IF($L2320="","※没填去向矿区",IF(AND($C2320&lt;&gt;"",$C2320&lt;=结账锁),"※日期早于已结账截止日，不能再录",IF(AND($K2320="自用消耗",COUNTIF({"一矿区";"二矿区"},$L2320)=0),"※自用消耗的去向只能是一矿区或二矿区",IF(AND($K2320="对外销售",COUNTIF({"三矿区";"六矿区"},$L2320)=0),"※对外销售的去向只能是三矿区或六矿区",IF(AND($K2320="对外销售",ROUND($Q2320,0)=0),"※外销却没有售价，请填实际售价",IF(AND($K2320="对外销售",$T2320&lt;&gt;"",$T2320&lt;0),"※这一笔外销是亏的，请核对售价",IF(IFERROR(VLOOKUP($D2320,库存台账!$A$5:$Y$1204,24,0),0)&lt;-0.001,"※这个物料账面已经变成负数了，查一下是不是漏记入库","")))))))))))</f>
        <v/>
      </c>
    </row>
    <row r="2321">
      <c r="A2321" s="24">
        <f>IF($D2321="","",COUNTA($D$4:$D2321))</f>
        <v/>
      </c>
      <c r="B2321" s="17" t="n"/>
      <c r="C2321" s="30" t="n"/>
      <c r="D2321" s="17" t="n"/>
      <c r="E2321" s="24">
        <f>IF($D2321="","",IFERROR(VLOOKUP($D2321,物料档案!$A$4:$P$1203,3,0),"※编码不在物料档案里"))</f>
        <v/>
      </c>
      <c r="F2321" s="24">
        <f>IF($D2321="","",IFERROR(VLOOKUP($D2321,物料档案!$A$4:$P$1203,4,0),"※编码不在物料档案里"))</f>
        <v/>
      </c>
      <c r="G2321" s="24">
        <f>IF($D2321="","",IFERROR(VLOOKUP($D2321,物料档案!$A$4:$P$1203,5,0),"※编码不在物料档案里"))</f>
        <v/>
      </c>
      <c r="H2321" s="24">
        <f>IF($D2321="","",IFERROR(VLOOKUP($D2321,物料档案!$A$4:$P$1203,2,0),"※编码不在物料档案里"))</f>
        <v/>
      </c>
      <c r="I2321" s="24">
        <f>IF($D2321="","",IFERROR(VLOOKUP($D2321,物料档案!$A$4:$P$1203,6,0),"※编码不在物料档案里"))</f>
        <v/>
      </c>
      <c r="J2321" s="23" t="n"/>
      <c r="K2321" s="17" t="n"/>
      <c r="L2321" s="17" t="n"/>
      <c r="M2321" s="17" t="n"/>
      <c r="N2321" s="17" t="n"/>
      <c r="O2321" s="26">
        <f>IF($D2321="","",IFERROR(VLOOKUP($D2321,物料档案!$A$4:$P$1203,10,0),0))</f>
        <v/>
      </c>
      <c r="P2321" s="32" t="n"/>
      <c r="Q2321" s="26">
        <f>IF($D2321="","",IF($K2321&lt;&gt;"对外销售",0,ROUND(N($J2321)*IF($P2321="",N($O2321),N($P2321)),0)))</f>
        <v/>
      </c>
      <c r="R2321" s="26">
        <f>IF($D2321="","",IFERROR(VLOOKUP($D2321,库存台账!$A$5:$Y$1204,11,0),0))</f>
        <v/>
      </c>
      <c r="S2321" s="26">
        <f>IF($D2321="","",ROUND(N($J2321)*N($R2321),0))</f>
        <v/>
      </c>
      <c r="T2321" s="26">
        <f>IF($D2321="","",IF($K2321&lt;&gt;"对外销售","",ROUND($Q2321-$S2321,0)))</f>
        <v/>
      </c>
      <c r="U2321" s="17" t="n"/>
      <c r="V2321" s="17" t="n"/>
      <c r="W2321" s="24">
        <f>IF($D2321="","",IF($E2321="※编码不在物料档案里","※物料编码不在档案里",IF(N($J2321)&lt;=0,"※出库数量要大于 0",IF($K2321="","※没填去向类型",IF($L2321="","※没填去向矿区",IF(AND($C2321&lt;&gt;"",$C2321&lt;=结账锁),"※日期早于已结账截止日，不能再录",IF(AND($K2321="自用消耗",COUNTIF({"一矿区";"二矿区"},$L2321)=0),"※自用消耗的去向只能是一矿区或二矿区",IF(AND($K2321="对外销售",COUNTIF({"三矿区";"六矿区"},$L2321)=0),"※对外销售的去向只能是三矿区或六矿区",IF(AND($K2321="对外销售",ROUND($Q2321,0)=0),"※外销却没有售价，请填实际售价",IF(AND($K2321="对外销售",$T2321&lt;&gt;"",$T2321&lt;0),"※这一笔外销是亏的，请核对售价",IF(IFERROR(VLOOKUP($D2321,库存台账!$A$5:$Y$1204,24,0),0)&lt;-0.001,"※这个物料账面已经变成负数了，查一下是不是漏记入库","")))))))))))</f>
        <v/>
      </c>
    </row>
    <row r="2322">
      <c r="A2322" s="24">
        <f>IF($D2322="","",COUNTA($D$4:$D2322))</f>
        <v/>
      </c>
      <c r="B2322" s="17" t="n"/>
      <c r="C2322" s="30" t="n"/>
      <c r="D2322" s="17" t="n"/>
      <c r="E2322" s="24">
        <f>IF($D2322="","",IFERROR(VLOOKUP($D2322,物料档案!$A$4:$P$1203,3,0),"※编码不在物料档案里"))</f>
        <v/>
      </c>
      <c r="F2322" s="24">
        <f>IF($D2322="","",IFERROR(VLOOKUP($D2322,物料档案!$A$4:$P$1203,4,0),"※编码不在物料档案里"))</f>
        <v/>
      </c>
      <c r="G2322" s="24">
        <f>IF($D2322="","",IFERROR(VLOOKUP($D2322,物料档案!$A$4:$P$1203,5,0),"※编码不在物料档案里"))</f>
        <v/>
      </c>
      <c r="H2322" s="24">
        <f>IF($D2322="","",IFERROR(VLOOKUP($D2322,物料档案!$A$4:$P$1203,2,0),"※编码不在物料档案里"))</f>
        <v/>
      </c>
      <c r="I2322" s="24">
        <f>IF($D2322="","",IFERROR(VLOOKUP($D2322,物料档案!$A$4:$P$1203,6,0),"※编码不在物料档案里"))</f>
        <v/>
      </c>
      <c r="J2322" s="23" t="n"/>
      <c r="K2322" s="17" t="n"/>
      <c r="L2322" s="17" t="n"/>
      <c r="M2322" s="17" t="n"/>
      <c r="N2322" s="17" t="n"/>
      <c r="O2322" s="26">
        <f>IF($D2322="","",IFERROR(VLOOKUP($D2322,物料档案!$A$4:$P$1203,10,0),0))</f>
        <v/>
      </c>
      <c r="P2322" s="32" t="n"/>
      <c r="Q2322" s="26">
        <f>IF($D2322="","",IF($K2322&lt;&gt;"对外销售",0,ROUND(N($J2322)*IF($P2322="",N($O2322),N($P2322)),0)))</f>
        <v/>
      </c>
      <c r="R2322" s="26">
        <f>IF($D2322="","",IFERROR(VLOOKUP($D2322,库存台账!$A$5:$Y$1204,11,0),0))</f>
        <v/>
      </c>
      <c r="S2322" s="26">
        <f>IF($D2322="","",ROUND(N($J2322)*N($R2322),0))</f>
        <v/>
      </c>
      <c r="T2322" s="26">
        <f>IF($D2322="","",IF($K2322&lt;&gt;"对外销售","",ROUND($Q2322-$S2322,0)))</f>
        <v/>
      </c>
      <c r="U2322" s="17" t="n"/>
      <c r="V2322" s="17" t="n"/>
      <c r="W2322" s="24">
        <f>IF($D2322="","",IF($E2322="※编码不在物料档案里","※物料编码不在档案里",IF(N($J2322)&lt;=0,"※出库数量要大于 0",IF($K2322="","※没填去向类型",IF($L2322="","※没填去向矿区",IF(AND($C2322&lt;&gt;"",$C2322&lt;=结账锁),"※日期早于已结账截止日，不能再录",IF(AND($K2322="自用消耗",COUNTIF({"一矿区";"二矿区"},$L2322)=0),"※自用消耗的去向只能是一矿区或二矿区",IF(AND($K2322="对外销售",COUNTIF({"三矿区";"六矿区"},$L2322)=0),"※对外销售的去向只能是三矿区或六矿区",IF(AND($K2322="对外销售",ROUND($Q2322,0)=0),"※外销却没有售价，请填实际售价",IF(AND($K2322="对外销售",$T2322&lt;&gt;"",$T2322&lt;0),"※这一笔外销是亏的，请核对售价",IF(IFERROR(VLOOKUP($D2322,库存台账!$A$5:$Y$1204,24,0),0)&lt;-0.001,"※这个物料账面已经变成负数了，查一下是不是漏记入库","")))))))))))</f>
        <v/>
      </c>
    </row>
    <row r="2323">
      <c r="A2323" s="24">
        <f>IF($D2323="","",COUNTA($D$4:$D2323))</f>
        <v/>
      </c>
      <c r="B2323" s="17" t="n"/>
      <c r="C2323" s="30" t="n"/>
      <c r="D2323" s="17" t="n"/>
      <c r="E2323" s="24">
        <f>IF($D2323="","",IFERROR(VLOOKUP($D2323,物料档案!$A$4:$P$1203,3,0),"※编码不在物料档案里"))</f>
        <v/>
      </c>
      <c r="F2323" s="24">
        <f>IF($D2323="","",IFERROR(VLOOKUP($D2323,物料档案!$A$4:$P$1203,4,0),"※编码不在物料档案里"))</f>
        <v/>
      </c>
      <c r="G2323" s="24">
        <f>IF($D2323="","",IFERROR(VLOOKUP($D2323,物料档案!$A$4:$P$1203,5,0),"※编码不在物料档案里"))</f>
        <v/>
      </c>
      <c r="H2323" s="24">
        <f>IF($D2323="","",IFERROR(VLOOKUP($D2323,物料档案!$A$4:$P$1203,2,0),"※编码不在物料档案里"))</f>
        <v/>
      </c>
      <c r="I2323" s="24">
        <f>IF($D2323="","",IFERROR(VLOOKUP($D2323,物料档案!$A$4:$P$1203,6,0),"※编码不在物料档案里"))</f>
        <v/>
      </c>
      <c r="J2323" s="23" t="n"/>
      <c r="K2323" s="17" t="n"/>
      <c r="L2323" s="17" t="n"/>
      <c r="M2323" s="17" t="n"/>
      <c r="N2323" s="17" t="n"/>
      <c r="O2323" s="26">
        <f>IF($D2323="","",IFERROR(VLOOKUP($D2323,物料档案!$A$4:$P$1203,10,0),0))</f>
        <v/>
      </c>
      <c r="P2323" s="32" t="n"/>
      <c r="Q2323" s="26">
        <f>IF($D2323="","",IF($K2323&lt;&gt;"对外销售",0,ROUND(N($J2323)*IF($P2323="",N($O2323),N($P2323)),0)))</f>
        <v/>
      </c>
      <c r="R2323" s="26">
        <f>IF($D2323="","",IFERROR(VLOOKUP($D2323,库存台账!$A$5:$Y$1204,11,0),0))</f>
        <v/>
      </c>
      <c r="S2323" s="26">
        <f>IF($D2323="","",ROUND(N($J2323)*N($R2323),0))</f>
        <v/>
      </c>
      <c r="T2323" s="26">
        <f>IF($D2323="","",IF($K2323&lt;&gt;"对外销售","",ROUND($Q2323-$S2323,0)))</f>
        <v/>
      </c>
      <c r="U2323" s="17" t="n"/>
      <c r="V2323" s="17" t="n"/>
      <c r="W2323" s="24">
        <f>IF($D2323="","",IF($E2323="※编码不在物料档案里","※物料编码不在档案里",IF(N($J2323)&lt;=0,"※出库数量要大于 0",IF($K2323="","※没填去向类型",IF($L2323="","※没填去向矿区",IF(AND($C2323&lt;&gt;"",$C2323&lt;=结账锁),"※日期早于已结账截止日，不能再录",IF(AND($K2323="自用消耗",COUNTIF({"一矿区";"二矿区"},$L2323)=0),"※自用消耗的去向只能是一矿区或二矿区",IF(AND($K2323="对外销售",COUNTIF({"三矿区";"六矿区"},$L2323)=0),"※对外销售的去向只能是三矿区或六矿区",IF(AND($K2323="对外销售",ROUND($Q2323,0)=0),"※外销却没有售价，请填实际售价",IF(AND($K2323="对外销售",$T2323&lt;&gt;"",$T2323&lt;0),"※这一笔外销是亏的，请核对售价",IF(IFERROR(VLOOKUP($D2323,库存台账!$A$5:$Y$1204,24,0),0)&lt;-0.001,"※这个物料账面已经变成负数了，查一下是不是漏记入库","")))))))))))</f>
        <v/>
      </c>
    </row>
    <row r="2324">
      <c r="A2324" s="24">
        <f>IF($D2324="","",COUNTA($D$4:$D2324))</f>
        <v/>
      </c>
      <c r="B2324" s="17" t="n"/>
      <c r="C2324" s="30" t="n"/>
      <c r="D2324" s="17" t="n"/>
      <c r="E2324" s="24">
        <f>IF($D2324="","",IFERROR(VLOOKUP($D2324,物料档案!$A$4:$P$1203,3,0),"※编码不在物料档案里"))</f>
        <v/>
      </c>
      <c r="F2324" s="24">
        <f>IF($D2324="","",IFERROR(VLOOKUP($D2324,物料档案!$A$4:$P$1203,4,0),"※编码不在物料档案里"))</f>
        <v/>
      </c>
      <c r="G2324" s="24">
        <f>IF($D2324="","",IFERROR(VLOOKUP($D2324,物料档案!$A$4:$P$1203,5,0),"※编码不在物料档案里"))</f>
        <v/>
      </c>
      <c r="H2324" s="24">
        <f>IF($D2324="","",IFERROR(VLOOKUP($D2324,物料档案!$A$4:$P$1203,2,0),"※编码不在物料档案里"))</f>
        <v/>
      </c>
      <c r="I2324" s="24">
        <f>IF($D2324="","",IFERROR(VLOOKUP($D2324,物料档案!$A$4:$P$1203,6,0),"※编码不在物料档案里"))</f>
        <v/>
      </c>
      <c r="J2324" s="23" t="n"/>
      <c r="K2324" s="17" t="n"/>
      <c r="L2324" s="17" t="n"/>
      <c r="M2324" s="17" t="n"/>
      <c r="N2324" s="17" t="n"/>
      <c r="O2324" s="26">
        <f>IF($D2324="","",IFERROR(VLOOKUP($D2324,物料档案!$A$4:$P$1203,10,0),0))</f>
        <v/>
      </c>
      <c r="P2324" s="32" t="n"/>
      <c r="Q2324" s="26">
        <f>IF($D2324="","",IF($K2324&lt;&gt;"对外销售",0,ROUND(N($J2324)*IF($P2324="",N($O2324),N($P2324)),0)))</f>
        <v/>
      </c>
      <c r="R2324" s="26">
        <f>IF($D2324="","",IFERROR(VLOOKUP($D2324,库存台账!$A$5:$Y$1204,11,0),0))</f>
        <v/>
      </c>
      <c r="S2324" s="26">
        <f>IF($D2324="","",ROUND(N($J2324)*N($R2324),0))</f>
        <v/>
      </c>
      <c r="T2324" s="26">
        <f>IF($D2324="","",IF($K2324&lt;&gt;"对外销售","",ROUND($Q2324-$S2324,0)))</f>
        <v/>
      </c>
      <c r="U2324" s="17" t="n"/>
      <c r="V2324" s="17" t="n"/>
      <c r="W2324" s="24">
        <f>IF($D2324="","",IF($E2324="※编码不在物料档案里","※物料编码不在档案里",IF(N($J2324)&lt;=0,"※出库数量要大于 0",IF($K2324="","※没填去向类型",IF($L2324="","※没填去向矿区",IF(AND($C2324&lt;&gt;"",$C2324&lt;=结账锁),"※日期早于已结账截止日，不能再录",IF(AND($K2324="自用消耗",COUNTIF({"一矿区";"二矿区"},$L2324)=0),"※自用消耗的去向只能是一矿区或二矿区",IF(AND($K2324="对外销售",COUNTIF({"三矿区";"六矿区"},$L2324)=0),"※对外销售的去向只能是三矿区或六矿区",IF(AND($K2324="对外销售",ROUND($Q2324,0)=0),"※外销却没有售价，请填实际售价",IF(AND($K2324="对外销售",$T2324&lt;&gt;"",$T2324&lt;0),"※这一笔外销是亏的，请核对售价",IF(IFERROR(VLOOKUP($D2324,库存台账!$A$5:$Y$1204,24,0),0)&lt;-0.001,"※这个物料账面已经变成负数了，查一下是不是漏记入库","")))))))))))</f>
        <v/>
      </c>
    </row>
    <row r="2325">
      <c r="A2325" s="24">
        <f>IF($D2325="","",COUNTA($D$4:$D2325))</f>
        <v/>
      </c>
      <c r="B2325" s="17" t="n"/>
      <c r="C2325" s="30" t="n"/>
      <c r="D2325" s="17" t="n"/>
      <c r="E2325" s="24">
        <f>IF($D2325="","",IFERROR(VLOOKUP($D2325,物料档案!$A$4:$P$1203,3,0),"※编码不在物料档案里"))</f>
        <v/>
      </c>
      <c r="F2325" s="24">
        <f>IF($D2325="","",IFERROR(VLOOKUP($D2325,物料档案!$A$4:$P$1203,4,0),"※编码不在物料档案里"))</f>
        <v/>
      </c>
      <c r="G2325" s="24">
        <f>IF($D2325="","",IFERROR(VLOOKUP($D2325,物料档案!$A$4:$P$1203,5,0),"※编码不在物料档案里"))</f>
        <v/>
      </c>
      <c r="H2325" s="24">
        <f>IF($D2325="","",IFERROR(VLOOKUP($D2325,物料档案!$A$4:$P$1203,2,0),"※编码不在物料档案里"))</f>
        <v/>
      </c>
      <c r="I2325" s="24">
        <f>IF($D2325="","",IFERROR(VLOOKUP($D2325,物料档案!$A$4:$P$1203,6,0),"※编码不在物料档案里"))</f>
        <v/>
      </c>
      <c r="J2325" s="23" t="n"/>
      <c r="K2325" s="17" t="n"/>
      <c r="L2325" s="17" t="n"/>
      <c r="M2325" s="17" t="n"/>
      <c r="N2325" s="17" t="n"/>
      <c r="O2325" s="26">
        <f>IF($D2325="","",IFERROR(VLOOKUP($D2325,物料档案!$A$4:$P$1203,10,0),0))</f>
        <v/>
      </c>
      <c r="P2325" s="32" t="n"/>
      <c r="Q2325" s="26">
        <f>IF($D2325="","",IF($K2325&lt;&gt;"对外销售",0,ROUND(N($J2325)*IF($P2325="",N($O2325),N($P2325)),0)))</f>
        <v/>
      </c>
      <c r="R2325" s="26">
        <f>IF($D2325="","",IFERROR(VLOOKUP($D2325,库存台账!$A$5:$Y$1204,11,0),0))</f>
        <v/>
      </c>
      <c r="S2325" s="26">
        <f>IF($D2325="","",ROUND(N($J2325)*N($R2325),0))</f>
        <v/>
      </c>
      <c r="T2325" s="26">
        <f>IF($D2325="","",IF($K2325&lt;&gt;"对外销售","",ROUND($Q2325-$S2325,0)))</f>
        <v/>
      </c>
      <c r="U2325" s="17" t="n"/>
      <c r="V2325" s="17" t="n"/>
      <c r="W2325" s="24">
        <f>IF($D2325="","",IF($E2325="※编码不在物料档案里","※物料编码不在档案里",IF(N($J2325)&lt;=0,"※出库数量要大于 0",IF($K2325="","※没填去向类型",IF($L2325="","※没填去向矿区",IF(AND($C2325&lt;&gt;"",$C2325&lt;=结账锁),"※日期早于已结账截止日，不能再录",IF(AND($K2325="自用消耗",COUNTIF({"一矿区";"二矿区"},$L2325)=0),"※自用消耗的去向只能是一矿区或二矿区",IF(AND($K2325="对外销售",COUNTIF({"三矿区";"六矿区"},$L2325)=0),"※对外销售的去向只能是三矿区或六矿区",IF(AND($K2325="对外销售",ROUND($Q2325,0)=0),"※外销却没有售价，请填实际售价",IF(AND($K2325="对外销售",$T2325&lt;&gt;"",$T2325&lt;0),"※这一笔外销是亏的，请核对售价",IF(IFERROR(VLOOKUP($D2325,库存台账!$A$5:$Y$1204,24,0),0)&lt;-0.001,"※这个物料账面已经变成负数了，查一下是不是漏记入库","")))))))))))</f>
        <v/>
      </c>
    </row>
    <row r="2326">
      <c r="A2326" s="24">
        <f>IF($D2326="","",COUNTA($D$4:$D2326))</f>
        <v/>
      </c>
      <c r="B2326" s="17" t="n"/>
      <c r="C2326" s="30" t="n"/>
      <c r="D2326" s="17" t="n"/>
      <c r="E2326" s="24">
        <f>IF($D2326="","",IFERROR(VLOOKUP($D2326,物料档案!$A$4:$P$1203,3,0),"※编码不在物料档案里"))</f>
        <v/>
      </c>
      <c r="F2326" s="24">
        <f>IF($D2326="","",IFERROR(VLOOKUP($D2326,物料档案!$A$4:$P$1203,4,0),"※编码不在物料档案里"))</f>
        <v/>
      </c>
      <c r="G2326" s="24">
        <f>IF($D2326="","",IFERROR(VLOOKUP($D2326,物料档案!$A$4:$P$1203,5,0),"※编码不在物料档案里"))</f>
        <v/>
      </c>
      <c r="H2326" s="24">
        <f>IF($D2326="","",IFERROR(VLOOKUP($D2326,物料档案!$A$4:$P$1203,2,0),"※编码不在物料档案里"))</f>
        <v/>
      </c>
      <c r="I2326" s="24">
        <f>IF($D2326="","",IFERROR(VLOOKUP($D2326,物料档案!$A$4:$P$1203,6,0),"※编码不在物料档案里"))</f>
        <v/>
      </c>
      <c r="J2326" s="23" t="n"/>
      <c r="K2326" s="17" t="n"/>
      <c r="L2326" s="17" t="n"/>
      <c r="M2326" s="17" t="n"/>
      <c r="N2326" s="17" t="n"/>
      <c r="O2326" s="26">
        <f>IF($D2326="","",IFERROR(VLOOKUP($D2326,物料档案!$A$4:$P$1203,10,0),0))</f>
        <v/>
      </c>
      <c r="P2326" s="32" t="n"/>
      <c r="Q2326" s="26">
        <f>IF($D2326="","",IF($K2326&lt;&gt;"对外销售",0,ROUND(N($J2326)*IF($P2326="",N($O2326),N($P2326)),0)))</f>
        <v/>
      </c>
      <c r="R2326" s="26">
        <f>IF($D2326="","",IFERROR(VLOOKUP($D2326,库存台账!$A$5:$Y$1204,11,0),0))</f>
        <v/>
      </c>
      <c r="S2326" s="26">
        <f>IF($D2326="","",ROUND(N($J2326)*N($R2326),0))</f>
        <v/>
      </c>
      <c r="T2326" s="26">
        <f>IF($D2326="","",IF($K2326&lt;&gt;"对外销售","",ROUND($Q2326-$S2326,0)))</f>
        <v/>
      </c>
      <c r="U2326" s="17" t="n"/>
      <c r="V2326" s="17" t="n"/>
      <c r="W2326" s="24">
        <f>IF($D2326="","",IF($E2326="※编码不在物料档案里","※物料编码不在档案里",IF(N($J2326)&lt;=0,"※出库数量要大于 0",IF($K2326="","※没填去向类型",IF($L2326="","※没填去向矿区",IF(AND($C2326&lt;&gt;"",$C2326&lt;=结账锁),"※日期早于已结账截止日，不能再录",IF(AND($K2326="自用消耗",COUNTIF({"一矿区";"二矿区"},$L2326)=0),"※自用消耗的去向只能是一矿区或二矿区",IF(AND($K2326="对外销售",COUNTIF({"三矿区";"六矿区"},$L2326)=0),"※对外销售的去向只能是三矿区或六矿区",IF(AND($K2326="对外销售",ROUND($Q2326,0)=0),"※外销却没有售价，请填实际售价",IF(AND($K2326="对外销售",$T2326&lt;&gt;"",$T2326&lt;0),"※这一笔外销是亏的，请核对售价",IF(IFERROR(VLOOKUP($D2326,库存台账!$A$5:$Y$1204,24,0),0)&lt;-0.001,"※这个物料账面已经变成负数了，查一下是不是漏记入库","")))))))))))</f>
        <v/>
      </c>
    </row>
    <row r="2327">
      <c r="A2327" s="24">
        <f>IF($D2327="","",COUNTA($D$4:$D2327))</f>
        <v/>
      </c>
      <c r="B2327" s="17" t="n"/>
      <c r="C2327" s="30" t="n"/>
      <c r="D2327" s="17" t="n"/>
      <c r="E2327" s="24">
        <f>IF($D2327="","",IFERROR(VLOOKUP($D2327,物料档案!$A$4:$P$1203,3,0),"※编码不在物料档案里"))</f>
        <v/>
      </c>
      <c r="F2327" s="24">
        <f>IF($D2327="","",IFERROR(VLOOKUP($D2327,物料档案!$A$4:$P$1203,4,0),"※编码不在物料档案里"))</f>
        <v/>
      </c>
      <c r="G2327" s="24">
        <f>IF($D2327="","",IFERROR(VLOOKUP($D2327,物料档案!$A$4:$P$1203,5,0),"※编码不在物料档案里"))</f>
        <v/>
      </c>
      <c r="H2327" s="24">
        <f>IF($D2327="","",IFERROR(VLOOKUP($D2327,物料档案!$A$4:$P$1203,2,0),"※编码不在物料档案里"))</f>
        <v/>
      </c>
      <c r="I2327" s="24">
        <f>IF($D2327="","",IFERROR(VLOOKUP($D2327,物料档案!$A$4:$P$1203,6,0),"※编码不在物料档案里"))</f>
        <v/>
      </c>
      <c r="J2327" s="23" t="n"/>
      <c r="K2327" s="17" t="n"/>
      <c r="L2327" s="17" t="n"/>
      <c r="M2327" s="17" t="n"/>
      <c r="N2327" s="17" t="n"/>
      <c r="O2327" s="26">
        <f>IF($D2327="","",IFERROR(VLOOKUP($D2327,物料档案!$A$4:$P$1203,10,0),0))</f>
        <v/>
      </c>
      <c r="P2327" s="32" t="n"/>
      <c r="Q2327" s="26">
        <f>IF($D2327="","",IF($K2327&lt;&gt;"对外销售",0,ROUND(N($J2327)*IF($P2327="",N($O2327),N($P2327)),0)))</f>
        <v/>
      </c>
      <c r="R2327" s="26">
        <f>IF($D2327="","",IFERROR(VLOOKUP($D2327,库存台账!$A$5:$Y$1204,11,0),0))</f>
        <v/>
      </c>
      <c r="S2327" s="26">
        <f>IF($D2327="","",ROUND(N($J2327)*N($R2327),0))</f>
        <v/>
      </c>
      <c r="T2327" s="26">
        <f>IF($D2327="","",IF($K2327&lt;&gt;"对外销售","",ROUND($Q2327-$S2327,0)))</f>
        <v/>
      </c>
      <c r="U2327" s="17" t="n"/>
      <c r="V2327" s="17" t="n"/>
      <c r="W2327" s="24">
        <f>IF($D2327="","",IF($E2327="※编码不在物料档案里","※物料编码不在档案里",IF(N($J2327)&lt;=0,"※出库数量要大于 0",IF($K2327="","※没填去向类型",IF($L2327="","※没填去向矿区",IF(AND($C2327&lt;&gt;"",$C2327&lt;=结账锁),"※日期早于已结账截止日，不能再录",IF(AND($K2327="自用消耗",COUNTIF({"一矿区";"二矿区"},$L2327)=0),"※自用消耗的去向只能是一矿区或二矿区",IF(AND($K2327="对外销售",COUNTIF({"三矿区";"六矿区"},$L2327)=0),"※对外销售的去向只能是三矿区或六矿区",IF(AND($K2327="对外销售",ROUND($Q2327,0)=0),"※外销却没有售价，请填实际售价",IF(AND($K2327="对外销售",$T2327&lt;&gt;"",$T2327&lt;0),"※这一笔外销是亏的，请核对售价",IF(IFERROR(VLOOKUP($D2327,库存台账!$A$5:$Y$1204,24,0),0)&lt;-0.001,"※这个物料账面已经变成负数了，查一下是不是漏记入库","")))))))))))</f>
        <v/>
      </c>
    </row>
    <row r="2328">
      <c r="A2328" s="24">
        <f>IF($D2328="","",COUNTA($D$4:$D2328))</f>
        <v/>
      </c>
      <c r="B2328" s="17" t="n"/>
      <c r="C2328" s="30" t="n"/>
      <c r="D2328" s="17" t="n"/>
      <c r="E2328" s="24">
        <f>IF($D2328="","",IFERROR(VLOOKUP($D2328,物料档案!$A$4:$P$1203,3,0),"※编码不在物料档案里"))</f>
        <v/>
      </c>
      <c r="F2328" s="24">
        <f>IF($D2328="","",IFERROR(VLOOKUP($D2328,物料档案!$A$4:$P$1203,4,0),"※编码不在物料档案里"))</f>
        <v/>
      </c>
      <c r="G2328" s="24">
        <f>IF($D2328="","",IFERROR(VLOOKUP($D2328,物料档案!$A$4:$P$1203,5,0),"※编码不在物料档案里"))</f>
        <v/>
      </c>
      <c r="H2328" s="24">
        <f>IF($D2328="","",IFERROR(VLOOKUP($D2328,物料档案!$A$4:$P$1203,2,0),"※编码不在物料档案里"))</f>
        <v/>
      </c>
      <c r="I2328" s="24">
        <f>IF($D2328="","",IFERROR(VLOOKUP($D2328,物料档案!$A$4:$P$1203,6,0),"※编码不在物料档案里"))</f>
        <v/>
      </c>
      <c r="J2328" s="23" t="n"/>
      <c r="K2328" s="17" t="n"/>
      <c r="L2328" s="17" t="n"/>
      <c r="M2328" s="17" t="n"/>
      <c r="N2328" s="17" t="n"/>
      <c r="O2328" s="26">
        <f>IF($D2328="","",IFERROR(VLOOKUP($D2328,物料档案!$A$4:$P$1203,10,0),0))</f>
        <v/>
      </c>
      <c r="P2328" s="32" t="n"/>
      <c r="Q2328" s="26">
        <f>IF($D2328="","",IF($K2328&lt;&gt;"对外销售",0,ROUND(N($J2328)*IF($P2328="",N($O2328),N($P2328)),0)))</f>
        <v/>
      </c>
      <c r="R2328" s="26">
        <f>IF($D2328="","",IFERROR(VLOOKUP($D2328,库存台账!$A$5:$Y$1204,11,0),0))</f>
        <v/>
      </c>
      <c r="S2328" s="26">
        <f>IF($D2328="","",ROUND(N($J2328)*N($R2328),0))</f>
        <v/>
      </c>
      <c r="T2328" s="26">
        <f>IF($D2328="","",IF($K2328&lt;&gt;"对外销售","",ROUND($Q2328-$S2328,0)))</f>
        <v/>
      </c>
      <c r="U2328" s="17" t="n"/>
      <c r="V2328" s="17" t="n"/>
      <c r="W2328" s="24">
        <f>IF($D2328="","",IF($E2328="※编码不在物料档案里","※物料编码不在档案里",IF(N($J2328)&lt;=0,"※出库数量要大于 0",IF($K2328="","※没填去向类型",IF($L2328="","※没填去向矿区",IF(AND($C2328&lt;&gt;"",$C2328&lt;=结账锁),"※日期早于已结账截止日，不能再录",IF(AND($K2328="自用消耗",COUNTIF({"一矿区";"二矿区"},$L2328)=0),"※自用消耗的去向只能是一矿区或二矿区",IF(AND($K2328="对外销售",COUNTIF({"三矿区";"六矿区"},$L2328)=0),"※对外销售的去向只能是三矿区或六矿区",IF(AND($K2328="对外销售",ROUND($Q2328,0)=0),"※外销却没有售价，请填实际售价",IF(AND($K2328="对外销售",$T2328&lt;&gt;"",$T2328&lt;0),"※这一笔外销是亏的，请核对售价",IF(IFERROR(VLOOKUP($D2328,库存台账!$A$5:$Y$1204,24,0),0)&lt;-0.001,"※这个物料账面已经变成负数了，查一下是不是漏记入库","")))))))))))</f>
        <v/>
      </c>
    </row>
    <row r="2329">
      <c r="A2329" s="24">
        <f>IF($D2329="","",COUNTA($D$4:$D2329))</f>
        <v/>
      </c>
      <c r="B2329" s="17" t="n"/>
      <c r="C2329" s="30" t="n"/>
      <c r="D2329" s="17" t="n"/>
      <c r="E2329" s="24">
        <f>IF($D2329="","",IFERROR(VLOOKUP($D2329,物料档案!$A$4:$P$1203,3,0),"※编码不在物料档案里"))</f>
        <v/>
      </c>
      <c r="F2329" s="24">
        <f>IF($D2329="","",IFERROR(VLOOKUP($D2329,物料档案!$A$4:$P$1203,4,0),"※编码不在物料档案里"))</f>
        <v/>
      </c>
      <c r="G2329" s="24">
        <f>IF($D2329="","",IFERROR(VLOOKUP($D2329,物料档案!$A$4:$P$1203,5,0),"※编码不在物料档案里"))</f>
        <v/>
      </c>
      <c r="H2329" s="24">
        <f>IF($D2329="","",IFERROR(VLOOKUP($D2329,物料档案!$A$4:$P$1203,2,0),"※编码不在物料档案里"))</f>
        <v/>
      </c>
      <c r="I2329" s="24">
        <f>IF($D2329="","",IFERROR(VLOOKUP($D2329,物料档案!$A$4:$P$1203,6,0),"※编码不在物料档案里"))</f>
        <v/>
      </c>
      <c r="J2329" s="23" t="n"/>
      <c r="K2329" s="17" t="n"/>
      <c r="L2329" s="17" t="n"/>
      <c r="M2329" s="17" t="n"/>
      <c r="N2329" s="17" t="n"/>
      <c r="O2329" s="26">
        <f>IF($D2329="","",IFERROR(VLOOKUP($D2329,物料档案!$A$4:$P$1203,10,0),0))</f>
        <v/>
      </c>
      <c r="P2329" s="32" t="n"/>
      <c r="Q2329" s="26">
        <f>IF($D2329="","",IF($K2329&lt;&gt;"对外销售",0,ROUND(N($J2329)*IF($P2329="",N($O2329),N($P2329)),0)))</f>
        <v/>
      </c>
      <c r="R2329" s="26">
        <f>IF($D2329="","",IFERROR(VLOOKUP($D2329,库存台账!$A$5:$Y$1204,11,0),0))</f>
        <v/>
      </c>
      <c r="S2329" s="26">
        <f>IF($D2329="","",ROUND(N($J2329)*N($R2329),0))</f>
        <v/>
      </c>
      <c r="T2329" s="26">
        <f>IF($D2329="","",IF($K2329&lt;&gt;"对外销售","",ROUND($Q2329-$S2329,0)))</f>
        <v/>
      </c>
      <c r="U2329" s="17" t="n"/>
      <c r="V2329" s="17" t="n"/>
      <c r="W2329" s="24">
        <f>IF($D2329="","",IF($E2329="※编码不在物料档案里","※物料编码不在档案里",IF(N($J2329)&lt;=0,"※出库数量要大于 0",IF($K2329="","※没填去向类型",IF($L2329="","※没填去向矿区",IF(AND($C2329&lt;&gt;"",$C2329&lt;=结账锁),"※日期早于已结账截止日，不能再录",IF(AND($K2329="自用消耗",COUNTIF({"一矿区";"二矿区"},$L2329)=0),"※自用消耗的去向只能是一矿区或二矿区",IF(AND($K2329="对外销售",COUNTIF({"三矿区";"六矿区"},$L2329)=0),"※对外销售的去向只能是三矿区或六矿区",IF(AND($K2329="对外销售",ROUND($Q2329,0)=0),"※外销却没有售价，请填实际售价",IF(AND($K2329="对外销售",$T2329&lt;&gt;"",$T2329&lt;0),"※这一笔外销是亏的，请核对售价",IF(IFERROR(VLOOKUP($D2329,库存台账!$A$5:$Y$1204,24,0),0)&lt;-0.001,"※这个物料账面已经变成负数了，查一下是不是漏记入库","")))))))))))</f>
        <v/>
      </c>
    </row>
    <row r="2330">
      <c r="A2330" s="24">
        <f>IF($D2330="","",COUNTA($D$4:$D2330))</f>
        <v/>
      </c>
      <c r="B2330" s="17" t="n"/>
      <c r="C2330" s="30" t="n"/>
      <c r="D2330" s="17" t="n"/>
      <c r="E2330" s="24">
        <f>IF($D2330="","",IFERROR(VLOOKUP($D2330,物料档案!$A$4:$P$1203,3,0),"※编码不在物料档案里"))</f>
        <v/>
      </c>
      <c r="F2330" s="24">
        <f>IF($D2330="","",IFERROR(VLOOKUP($D2330,物料档案!$A$4:$P$1203,4,0),"※编码不在物料档案里"))</f>
        <v/>
      </c>
      <c r="G2330" s="24">
        <f>IF($D2330="","",IFERROR(VLOOKUP($D2330,物料档案!$A$4:$P$1203,5,0),"※编码不在物料档案里"))</f>
        <v/>
      </c>
      <c r="H2330" s="24">
        <f>IF($D2330="","",IFERROR(VLOOKUP($D2330,物料档案!$A$4:$P$1203,2,0),"※编码不在物料档案里"))</f>
        <v/>
      </c>
      <c r="I2330" s="24">
        <f>IF($D2330="","",IFERROR(VLOOKUP($D2330,物料档案!$A$4:$P$1203,6,0),"※编码不在物料档案里"))</f>
        <v/>
      </c>
      <c r="J2330" s="23" t="n"/>
      <c r="K2330" s="17" t="n"/>
      <c r="L2330" s="17" t="n"/>
      <c r="M2330" s="17" t="n"/>
      <c r="N2330" s="17" t="n"/>
      <c r="O2330" s="26">
        <f>IF($D2330="","",IFERROR(VLOOKUP($D2330,物料档案!$A$4:$P$1203,10,0),0))</f>
        <v/>
      </c>
      <c r="P2330" s="32" t="n"/>
      <c r="Q2330" s="26">
        <f>IF($D2330="","",IF($K2330&lt;&gt;"对外销售",0,ROUND(N($J2330)*IF($P2330="",N($O2330),N($P2330)),0)))</f>
        <v/>
      </c>
      <c r="R2330" s="26">
        <f>IF($D2330="","",IFERROR(VLOOKUP($D2330,库存台账!$A$5:$Y$1204,11,0),0))</f>
        <v/>
      </c>
      <c r="S2330" s="26">
        <f>IF($D2330="","",ROUND(N($J2330)*N($R2330),0))</f>
        <v/>
      </c>
      <c r="T2330" s="26">
        <f>IF($D2330="","",IF($K2330&lt;&gt;"对外销售","",ROUND($Q2330-$S2330,0)))</f>
        <v/>
      </c>
      <c r="U2330" s="17" t="n"/>
      <c r="V2330" s="17" t="n"/>
      <c r="W2330" s="24">
        <f>IF($D2330="","",IF($E2330="※编码不在物料档案里","※物料编码不在档案里",IF(N($J2330)&lt;=0,"※出库数量要大于 0",IF($K2330="","※没填去向类型",IF($L2330="","※没填去向矿区",IF(AND($C2330&lt;&gt;"",$C2330&lt;=结账锁),"※日期早于已结账截止日，不能再录",IF(AND($K2330="自用消耗",COUNTIF({"一矿区";"二矿区"},$L2330)=0),"※自用消耗的去向只能是一矿区或二矿区",IF(AND($K2330="对外销售",COUNTIF({"三矿区";"六矿区"},$L2330)=0),"※对外销售的去向只能是三矿区或六矿区",IF(AND($K2330="对外销售",ROUND($Q2330,0)=0),"※外销却没有售价，请填实际售价",IF(AND($K2330="对外销售",$T2330&lt;&gt;"",$T2330&lt;0),"※这一笔外销是亏的，请核对售价",IF(IFERROR(VLOOKUP($D2330,库存台账!$A$5:$Y$1204,24,0),0)&lt;-0.001,"※这个物料账面已经变成负数了，查一下是不是漏记入库","")))))))))))</f>
        <v/>
      </c>
    </row>
    <row r="2331">
      <c r="A2331" s="24">
        <f>IF($D2331="","",COUNTA($D$4:$D2331))</f>
        <v/>
      </c>
      <c r="B2331" s="17" t="n"/>
      <c r="C2331" s="30" t="n"/>
      <c r="D2331" s="17" t="n"/>
      <c r="E2331" s="24">
        <f>IF($D2331="","",IFERROR(VLOOKUP($D2331,物料档案!$A$4:$P$1203,3,0),"※编码不在物料档案里"))</f>
        <v/>
      </c>
      <c r="F2331" s="24">
        <f>IF($D2331="","",IFERROR(VLOOKUP($D2331,物料档案!$A$4:$P$1203,4,0),"※编码不在物料档案里"))</f>
        <v/>
      </c>
      <c r="G2331" s="24">
        <f>IF($D2331="","",IFERROR(VLOOKUP($D2331,物料档案!$A$4:$P$1203,5,0),"※编码不在物料档案里"))</f>
        <v/>
      </c>
      <c r="H2331" s="24">
        <f>IF($D2331="","",IFERROR(VLOOKUP($D2331,物料档案!$A$4:$P$1203,2,0),"※编码不在物料档案里"))</f>
        <v/>
      </c>
      <c r="I2331" s="24">
        <f>IF($D2331="","",IFERROR(VLOOKUP($D2331,物料档案!$A$4:$P$1203,6,0),"※编码不在物料档案里"))</f>
        <v/>
      </c>
      <c r="J2331" s="23" t="n"/>
      <c r="K2331" s="17" t="n"/>
      <c r="L2331" s="17" t="n"/>
      <c r="M2331" s="17" t="n"/>
      <c r="N2331" s="17" t="n"/>
      <c r="O2331" s="26">
        <f>IF($D2331="","",IFERROR(VLOOKUP($D2331,物料档案!$A$4:$P$1203,10,0),0))</f>
        <v/>
      </c>
      <c r="P2331" s="32" t="n"/>
      <c r="Q2331" s="26">
        <f>IF($D2331="","",IF($K2331&lt;&gt;"对外销售",0,ROUND(N($J2331)*IF($P2331="",N($O2331),N($P2331)),0)))</f>
        <v/>
      </c>
      <c r="R2331" s="26">
        <f>IF($D2331="","",IFERROR(VLOOKUP($D2331,库存台账!$A$5:$Y$1204,11,0),0))</f>
        <v/>
      </c>
      <c r="S2331" s="26">
        <f>IF($D2331="","",ROUND(N($J2331)*N($R2331),0))</f>
        <v/>
      </c>
      <c r="T2331" s="26">
        <f>IF($D2331="","",IF($K2331&lt;&gt;"对外销售","",ROUND($Q2331-$S2331,0)))</f>
        <v/>
      </c>
      <c r="U2331" s="17" t="n"/>
      <c r="V2331" s="17" t="n"/>
      <c r="W2331" s="24">
        <f>IF($D2331="","",IF($E2331="※编码不在物料档案里","※物料编码不在档案里",IF(N($J2331)&lt;=0,"※出库数量要大于 0",IF($K2331="","※没填去向类型",IF($L2331="","※没填去向矿区",IF(AND($C2331&lt;&gt;"",$C2331&lt;=结账锁),"※日期早于已结账截止日，不能再录",IF(AND($K2331="自用消耗",COUNTIF({"一矿区";"二矿区"},$L2331)=0),"※自用消耗的去向只能是一矿区或二矿区",IF(AND($K2331="对外销售",COUNTIF({"三矿区";"六矿区"},$L2331)=0),"※对外销售的去向只能是三矿区或六矿区",IF(AND($K2331="对外销售",ROUND($Q2331,0)=0),"※外销却没有售价，请填实际售价",IF(AND($K2331="对外销售",$T2331&lt;&gt;"",$T2331&lt;0),"※这一笔外销是亏的，请核对售价",IF(IFERROR(VLOOKUP($D2331,库存台账!$A$5:$Y$1204,24,0),0)&lt;-0.001,"※这个物料账面已经变成负数了，查一下是不是漏记入库","")))))))))))</f>
        <v/>
      </c>
    </row>
    <row r="2332">
      <c r="A2332" s="24">
        <f>IF($D2332="","",COUNTA($D$4:$D2332))</f>
        <v/>
      </c>
      <c r="B2332" s="17" t="n"/>
      <c r="C2332" s="30" t="n"/>
      <c r="D2332" s="17" t="n"/>
      <c r="E2332" s="24">
        <f>IF($D2332="","",IFERROR(VLOOKUP($D2332,物料档案!$A$4:$P$1203,3,0),"※编码不在物料档案里"))</f>
        <v/>
      </c>
      <c r="F2332" s="24">
        <f>IF($D2332="","",IFERROR(VLOOKUP($D2332,物料档案!$A$4:$P$1203,4,0),"※编码不在物料档案里"))</f>
        <v/>
      </c>
      <c r="G2332" s="24">
        <f>IF($D2332="","",IFERROR(VLOOKUP($D2332,物料档案!$A$4:$P$1203,5,0),"※编码不在物料档案里"))</f>
        <v/>
      </c>
      <c r="H2332" s="24">
        <f>IF($D2332="","",IFERROR(VLOOKUP($D2332,物料档案!$A$4:$P$1203,2,0),"※编码不在物料档案里"))</f>
        <v/>
      </c>
      <c r="I2332" s="24">
        <f>IF($D2332="","",IFERROR(VLOOKUP($D2332,物料档案!$A$4:$P$1203,6,0),"※编码不在物料档案里"))</f>
        <v/>
      </c>
      <c r="J2332" s="23" t="n"/>
      <c r="K2332" s="17" t="n"/>
      <c r="L2332" s="17" t="n"/>
      <c r="M2332" s="17" t="n"/>
      <c r="N2332" s="17" t="n"/>
      <c r="O2332" s="26">
        <f>IF($D2332="","",IFERROR(VLOOKUP($D2332,物料档案!$A$4:$P$1203,10,0),0))</f>
        <v/>
      </c>
      <c r="P2332" s="32" t="n"/>
      <c r="Q2332" s="26">
        <f>IF($D2332="","",IF($K2332&lt;&gt;"对外销售",0,ROUND(N($J2332)*IF($P2332="",N($O2332),N($P2332)),0)))</f>
        <v/>
      </c>
      <c r="R2332" s="26">
        <f>IF($D2332="","",IFERROR(VLOOKUP($D2332,库存台账!$A$5:$Y$1204,11,0),0))</f>
        <v/>
      </c>
      <c r="S2332" s="26">
        <f>IF($D2332="","",ROUND(N($J2332)*N($R2332),0))</f>
        <v/>
      </c>
      <c r="T2332" s="26">
        <f>IF($D2332="","",IF($K2332&lt;&gt;"对外销售","",ROUND($Q2332-$S2332,0)))</f>
        <v/>
      </c>
      <c r="U2332" s="17" t="n"/>
      <c r="V2332" s="17" t="n"/>
      <c r="W2332" s="24">
        <f>IF($D2332="","",IF($E2332="※编码不在物料档案里","※物料编码不在档案里",IF(N($J2332)&lt;=0,"※出库数量要大于 0",IF($K2332="","※没填去向类型",IF($L2332="","※没填去向矿区",IF(AND($C2332&lt;&gt;"",$C2332&lt;=结账锁),"※日期早于已结账截止日，不能再录",IF(AND($K2332="自用消耗",COUNTIF({"一矿区";"二矿区"},$L2332)=0),"※自用消耗的去向只能是一矿区或二矿区",IF(AND($K2332="对外销售",COUNTIF({"三矿区";"六矿区"},$L2332)=0),"※对外销售的去向只能是三矿区或六矿区",IF(AND($K2332="对外销售",ROUND($Q2332,0)=0),"※外销却没有售价，请填实际售价",IF(AND($K2332="对外销售",$T2332&lt;&gt;"",$T2332&lt;0),"※这一笔外销是亏的，请核对售价",IF(IFERROR(VLOOKUP($D2332,库存台账!$A$5:$Y$1204,24,0),0)&lt;-0.001,"※这个物料账面已经变成负数了，查一下是不是漏记入库","")))))))))))</f>
        <v/>
      </c>
    </row>
    <row r="2333">
      <c r="A2333" s="24">
        <f>IF($D2333="","",COUNTA($D$4:$D2333))</f>
        <v/>
      </c>
      <c r="B2333" s="17" t="n"/>
      <c r="C2333" s="30" t="n"/>
      <c r="D2333" s="17" t="n"/>
      <c r="E2333" s="24">
        <f>IF($D2333="","",IFERROR(VLOOKUP($D2333,物料档案!$A$4:$P$1203,3,0),"※编码不在物料档案里"))</f>
        <v/>
      </c>
      <c r="F2333" s="24">
        <f>IF($D2333="","",IFERROR(VLOOKUP($D2333,物料档案!$A$4:$P$1203,4,0),"※编码不在物料档案里"))</f>
        <v/>
      </c>
      <c r="G2333" s="24">
        <f>IF($D2333="","",IFERROR(VLOOKUP($D2333,物料档案!$A$4:$P$1203,5,0),"※编码不在物料档案里"))</f>
        <v/>
      </c>
      <c r="H2333" s="24">
        <f>IF($D2333="","",IFERROR(VLOOKUP($D2333,物料档案!$A$4:$P$1203,2,0),"※编码不在物料档案里"))</f>
        <v/>
      </c>
      <c r="I2333" s="24">
        <f>IF($D2333="","",IFERROR(VLOOKUP($D2333,物料档案!$A$4:$P$1203,6,0),"※编码不在物料档案里"))</f>
        <v/>
      </c>
      <c r="J2333" s="23" t="n"/>
      <c r="K2333" s="17" t="n"/>
      <c r="L2333" s="17" t="n"/>
      <c r="M2333" s="17" t="n"/>
      <c r="N2333" s="17" t="n"/>
      <c r="O2333" s="26">
        <f>IF($D2333="","",IFERROR(VLOOKUP($D2333,物料档案!$A$4:$P$1203,10,0),0))</f>
        <v/>
      </c>
      <c r="P2333" s="32" t="n"/>
      <c r="Q2333" s="26">
        <f>IF($D2333="","",IF($K2333&lt;&gt;"对外销售",0,ROUND(N($J2333)*IF($P2333="",N($O2333),N($P2333)),0)))</f>
        <v/>
      </c>
      <c r="R2333" s="26">
        <f>IF($D2333="","",IFERROR(VLOOKUP($D2333,库存台账!$A$5:$Y$1204,11,0),0))</f>
        <v/>
      </c>
      <c r="S2333" s="26">
        <f>IF($D2333="","",ROUND(N($J2333)*N($R2333),0))</f>
        <v/>
      </c>
      <c r="T2333" s="26">
        <f>IF($D2333="","",IF($K2333&lt;&gt;"对外销售","",ROUND($Q2333-$S2333,0)))</f>
        <v/>
      </c>
      <c r="U2333" s="17" t="n"/>
      <c r="V2333" s="17" t="n"/>
      <c r="W2333" s="24">
        <f>IF($D2333="","",IF($E2333="※编码不在物料档案里","※物料编码不在档案里",IF(N($J2333)&lt;=0,"※出库数量要大于 0",IF($K2333="","※没填去向类型",IF($L2333="","※没填去向矿区",IF(AND($C2333&lt;&gt;"",$C2333&lt;=结账锁),"※日期早于已结账截止日，不能再录",IF(AND($K2333="自用消耗",COUNTIF({"一矿区";"二矿区"},$L2333)=0),"※自用消耗的去向只能是一矿区或二矿区",IF(AND($K2333="对外销售",COUNTIF({"三矿区";"六矿区"},$L2333)=0),"※对外销售的去向只能是三矿区或六矿区",IF(AND($K2333="对外销售",ROUND($Q2333,0)=0),"※外销却没有售价，请填实际售价",IF(AND($K2333="对外销售",$T2333&lt;&gt;"",$T2333&lt;0),"※这一笔外销是亏的，请核对售价",IF(IFERROR(VLOOKUP($D2333,库存台账!$A$5:$Y$1204,24,0),0)&lt;-0.001,"※这个物料账面已经变成负数了，查一下是不是漏记入库","")))))))))))</f>
        <v/>
      </c>
    </row>
    <row r="2334">
      <c r="A2334" s="24">
        <f>IF($D2334="","",COUNTA($D$4:$D2334))</f>
        <v/>
      </c>
      <c r="B2334" s="17" t="n"/>
      <c r="C2334" s="30" t="n"/>
      <c r="D2334" s="17" t="n"/>
      <c r="E2334" s="24">
        <f>IF($D2334="","",IFERROR(VLOOKUP($D2334,物料档案!$A$4:$P$1203,3,0),"※编码不在物料档案里"))</f>
        <v/>
      </c>
      <c r="F2334" s="24">
        <f>IF($D2334="","",IFERROR(VLOOKUP($D2334,物料档案!$A$4:$P$1203,4,0),"※编码不在物料档案里"))</f>
        <v/>
      </c>
      <c r="G2334" s="24">
        <f>IF($D2334="","",IFERROR(VLOOKUP($D2334,物料档案!$A$4:$P$1203,5,0),"※编码不在物料档案里"))</f>
        <v/>
      </c>
      <c r="H2334" s="24">
        <f>IF($D2334="","",IFERROR(VLOOKUP($D2334,物料档案!$A$4:$P$1203,2,0),"※编码不在物料档案里"))</f>
        <v/>
      </c>
      <c r="I2334" s="24">
        <f>IF($D2334="","",IFERROR(VLOOKUP($D2334,物料档案!$A$4:$P$1203,6,0),"※编码不在物料档案里"))</f>
        <v/>
      </c>
      <c r="J2334" s="23" t="n"/>
      <c r="K2334" s="17" t="n"/>
      <c r="L2334" s="17" t="n"/>
      <c r="M2334" s="17" t="n"/>
      <c r="N2334" s="17" t="n"/>
      <c r="O2334" s="26">
        <f>IF($D2334="","",IFERROR(VLOOKUP($D2334,物料档案!$A$4:$P$1203,10,0),0))</f>
        <v/>
      </c>
      <c r="P2334" s="32" t="n"/>
      <c r="Q2334" s="26">
        <f>IF($D2334="","",IF($K2334&lt;&gt;"对外销售",0,ROUND(N($J2334)*IF($P2334="",N($O2334),N($P2334)),0)))</f>
        <v/>
      </c>
      <c r="R2334" s="26">
        <f>IF($D2334="","",IFERROR(VLOOKUP($D2334,库存台账!$A$5:$Y$1204,11,0),0))</f>
        <v/>
      </c>
      <c r="S2334" s="26">
        <f>IF($D2334="","",ROUND(N($J2334)*N($R2334),0))</f>
        <v/>
      </c>
      <c r="T2334" s="26">
        <f>IF($D2334="","",IF($K2334&lt;&gt;"对外销售","",ROUND($Q2334-$S2334,0)))</f>
        <v/>
      </c>
      <c r="U2334" s="17" t="n"/>
      <c r="V2334" s="17" t="n"/>
      <c r="W2334" s="24">
        <f>IF($D2334="","",IF($E2334="※编码不在物料档案里","※物料编码不在档案里",IF(N($J2334)&lt;=0,"※出库数量要大于 0",IF($K2334="","※没填去向类型",IF($L2334="","※没填去向矿区",IF(AND($C2334&lt;&gt;"",$C2334&lt;=结账锁),"※日期早于已结账截止日，不能再录",IF(AND($K2334="自用消耗",COUNTIF({"一矿区";"二矿区"},$L2334)=0),"※自用消耗的去向只能是一矿区或二矿区",IF(AND($K2334="对外销售",COUNTIF({"三矿区";"六矿区"},$L2334)=0),"※对外销售的去向只能是三矿区或六矿区",IF(AND($K2334="对外销售",ROUND($Q2334,0)=0),"※外销却没有售价，请填实际售价",IF(AND($K2334="对外销售",$T2334&lt;&gt;"",$T2334&lt;0),"※这一笔外销是亏的，请核对售价",IF(IFERROR(VLOOKUP($D2334,库存台账!$A$5:$Y$1204,24,0),0)&lt;-0.001,"※这个物料账面已经变成负数了，查一下是不是漏记入库","")))))))))))</f>
        <v/>
      </c>
    </row>
    <row r="2335">
      <c r="A2335" s="24">
        <f>IF($D2335="","",COUNTA($D$4:$D2335))</f>
        <v/>
      </c>
      <c r="B2335" s="17" t="n"/>
      <c r="C2335" s="30" t="n"/>
      <c r="D2335" s="17" t="n"/>
      <c r="E2335" s="24">
        <f>IF($D2335="","",IFERROR(VLOOKUP($D2335,物料档案!$A$4:$P$1203,3,0),"※编码不在物料档案里"))</f>
        <v/>
      </c>
      <c r="F2335" s="24">
        <f>IF($D2335="","",IFERROR(VLOOKUP($D2335,物料档案!$A$4:$P$1203,4,0),"※编码不在物料档案里"))</f>
        <v/>
      </c>
      <c r="G2335" s="24">
        <f>IF($D2335="","",IFERROR(VLOOKUP($D2335,物料档案!$A$4:$P$1203,5,0),"※编码不在物料档案里"))</f>
        <v/>
      </c>
      <c r="H2335" s="24">
        <f>IF($D2335="","",IFERROR(VLOOKUP($D2335,物料档案!$A$4:$P$1203,2,0),"※编码不在物料档案里"))</f>
        <v/>
      </c>
      <c r="I2335" s="24">
        <f>IF($D2335="","",IFERROR(VLOOKUP($D2335,物料档案!$A$4:$P$1203,6,0),"※编码不在物料档案里"))</f>
        <v/>
      </c>
      <c r="J2335" s="23" t="n"/>
      <c r="K2335" s="17" t="n"/>
      <c r="L2335" s="17" t="n"/>
      <c r="M2335" s="17" t="n"/>
      <c r="N2335" s="17" t="n"/>
      <c r="O2335" s="26">
        <f>IF($D2335="","",IFERROR(VLOOKUP($D2335,物料档案!$A$4:$P$1203,10,0),0))</f>
        <v/>
      </c>
      <c r="P2335" s="32" t="n"/>
      <c r="Q2335" s="26">
        <f>IF($D2335="","",IF($K2335&lt;&gt;"对外销售",0,ROUND(N($J2335)*IF($P2335="",N($O2335),N($P2335)),0)))</f>
        <v/>
      </c>
      <c r="R2335" s="26">
        <f>IF($D2335="","",IFERROR(VLOOKUP($D2335,库存台账!$A$5:$Y$1204,11,0),0))</f>
        <v/>
      </c>
      <c r="S2335" s="26">
        <f>IF($D2335="","",ROUND(N($J2335)*N($R2335),0))</f>
        <v/>
      </c>
      <c r="T2335" s="26">
        <f>IF($D2335="","",IF($K2335&lt;&gt;"对外销售","",ROUND($Q2335-$S2335,0)))</f>
        <v/>
      </c>
      <c r="U2335" s="17" t="n"/>
      <c r="V2335" s="17" t="n"/>
      <c r="W2335" s="24">
        <f>IF($D2335="","",IF($E2335="※编码不在物料档案里","※物料编码不在档案里",IF(N($J2335)&lt;=0,"※出库数量要大于 0",IF($K2335="","※没填去向类型",IF($L2335="","※没填去向矿区",IF(AND($C2335&lt;&gt;"",$C2335&lt;=结账锁),"※日期早于已结账截止日，不能再录",IF(AND($K2335="自用消耗",COUNTIF({"一矿区";"二矿区"},$L2335)=0),"※自用消耗的去向只能是一矿区或二矿区",IF(AND($K2335="对外销售",COUNTIF({"三矿区";"六矿区"},$L2335)=0),"※对外销售的去向只能是三矿区或六矿区",IF(AND($K2335="对外销售",ROUND($Q2335,0)=0),"※外销却没有售价，请填实际售价",IF(AND($K2335="对外销售",$T2335&lt;&gt;"",$T2335&lt;0),"※这一笔外销是亏的，请核对售价",IF(IFERROR(VLOOKUP($D2335,库存台账!$A$5:$Y$1204,24,0),0)&lt;-0.001,"※这个物料账面已经变成负数了，查一下是不是漏记入库","")))))))))))</f>
        <v/>
      </c>
    </row>
    <row r="2336">
      <c r="A2336" s="24">
        <f>IF($D2336="","",COUNTA($D$4:$D2336))</f>
        <v/>
      </c>
      <c r="B2336" s="17" t="n"/>
      <c r="C2336" s="30" t="n"/>
      <c r="D2336" s="17" t="n"/>
      <c r="E2336" s="24">
        <f>IF($D2336="","",IFERROR(VLOOKUP($D2336,物料档案!$A$4:$P$1203,3,0),"※编码不在物料档案里"))</f>
        <v/>
      </c>
      <c r="F2336" s="24">
        <f>IF($D2336="","",IFERROR(VLOOKUP($D2336,物料档案!$A$4:$P$1203,4,0),"※编码不在物料档案里"))</f>
        <v/>
      </c>
      <c r="G2336" s="24">
        <f>IF($D2336="","",IFERROR(VLOOKUP($D2336,物料档案!$A$4:$P$1203,5,0),"※编码不在物料档案里"))</f>
        <v/>
      </c>
      <c r="H2336" s="24">
        <f>IF($D2336="","",IFERROR(VLOOKUP($D2336,物料档案!$A$4:$P$1203,2,0),"※编码不在物料档案里"))</f>
        <v/>
      </c>
      <c r="I2336" s="24">
        <f>IF($D2336="","",IFERROR(VLOOKUP($D2336,物料档案!$A$4:$P$1203,6,0),"※编码不在物料档案里"))</f>
        <v/>
      </c>
      <c r="J2336" s="23" t="n"/>
      <c r="K2336" s="17" t="n"/>
      <c r="L2336" s="17" t="n"/>
      <c r="M2336" s="17" t="n"/>
      <c r="N2336" s="17" t="n"/>
      <c r="O2336" s="26">
        <f>IF($D2336="","",IFERROR(VLOOKUP($D2336,物料档案!$A$4:$P$1203,10,0),0))</f>
        <v/>
      </c>
      <c r="P2336" s="32" t="n"/>
      <c r="Q2336" s="26">
        <f>IF($D2336="","",IF($K2336&lt;&gt;"对外销售",0,ROUND(N($J2336)*IF($P2336="",N($O2336),N($P2336)),0)))</f>
        <v/>
      </c>
      <c r="R2336" s="26">
        <f>IF($D2336="","",IFERROR(VLOOKUP($D2336,库存台账!$A$5:$Y$1204,11,0),0))</f>
        <v/>
      </c>
      <c r="S2336" s="26">
        <f>IF($D2336="","",ROUND(N($J2336)*N($R2336),0))</f>
        <v/>
      </c>
      <c r="T2336" s="26">
        <f>IF($D2336="","",IF($K2336&lt;&gt;"对外销售","",ROUND($Q2336-$S2336,0)))</f>
        <v/>
      </c>
      <c r="U2336" s="17" t="n"/>
      <c r="V2336" s="17" t="n"/>
      <c r="W2336" s="24">
        <f>IF($D2336="","",IF($E2336="※编码不在物料档案里","※物料编码不在档案里",IF(N($J2336)&lt;=0,"※出库数量要大于 0",IF($K2336="","※没填去向类型",IF($L2336="","※没填去向矿区",IF(AND($C2336&lt;&gt;"",$C2336&lt;=结账锁),"※日期早于已结账截止日，不能再录",IF(AND($K2336="自用消耗",COUNTIF({"一矿区";"二矿区"},$L2336)=0),"※自用消耗的去向只能是一矿区或二矿区",IF(AND($K2336="对外销售",COUNTIF({"三矿区";"六矿区"},$L2336)=0),"※对外销售的去向只能是三矿区或六矿区",IF(AND($K2336="对外销售",ROUND($Q2336,0)=0),"※外销却没有售价，请填实际售价",IF(AND($K2336="对外销售",$T2336&lt;&gt;"",$T2336&lt;0),"※这一笔外销是亏的，请核对售价",IF(IFERROR(VLOOKUP($D2336,库存台账!$A$5:$Y$1204,24,0),0)&lt;-0.001,"※这个物料账面已经变成负数了，查一下是不是漏记入库","")))))))))))</f>
        <v/>
      </c>
    </row>
    <row r="2337">
      <c r="A2337" s="24">
        <f>IF($D2337="","",COUNTA($D$4:$D2337))</f>
        <v/>
      </c>
      <c r="B2337" s="17" t="n"/>
      <c r="C2337" s="30" t="n"/>
      <c r="D2337" s="17" t="n"/>
      <c r="E2337" s="24">
        <f>IF($D2337="","",IFERROR(VLOOKUP($D2337,物料档案!$A$4:$P$1203,3,0),"※编码不在物料档案里"))</f>
        <v/>
      </c>
      <c r="F2337" s="24">
        <f>IF($D2337="","",IFERROR(VLOOKUP($D2337,物料档案!$A$4:$P$1203,4,0),"※编码不在物料档案里"))</f>
        <v/>
      </c>
      <c r="G2337" s="24">
        <f>IF($D2337="","",IFERROR(VLOOKUP($D2337,物料档案!$A$4:$P$1203,5,0),"※编码不在物料档案里"))</f>
        <v/>
      </c>
      <c r="H2337" s="24">
        <f>IF($D2337="","",IFERROR(VLOOKUP($D2337,物料档案!$A$4:$P$1203,2,0),"※编码不在物料档案里"))</f>
        <v/>
      </c>
      <c r="I2337" s="24">
        <f>IF($D2337="","",IFERROR(VLOOKUP($D2337,物料档案!$A$4:$P$1203,6,0),"※编码不在物料档案里"))</f>
        <v/>
      </c>
      <c r="J2337" s="23" t="n"/>
      <c r="K2337" s="17" t="n"/>
      <c r="L2337" s="17" t="n"/>
      <c r="M2337" s="17" t="n"/>
      <c r="N2337" s="17" t="n"/>
      <c r="O2337" s="26">
        <f>IF($D2337="","",IFERROR(VLOOKUP($D2337,物料档案!$A$4:$P$1203,10,0),0))</f>
        <v/>
      </c>
      <c r="P2337" s="32" t="n"/>
      <c r="Q2337" s="26">
        <f>IF($D2337="","",IF($K2337&lt;&gt;"对外销售",0,ROUND(N($J2337)*IF($P2337="",N($O2337),N($P2337)),0)))</f>
        <v/>
      </c>
      <c r="R2337" s="26">
        <f>IF($D2337="","",IFERROR(VLOOKUP($D2337,库存台账!$A$5:$Y$1204,11,0),0))</f>
        <v/>
      </c>
      <c r="S2337" s="26">
        <f>IF($D2337="","",ROUND(N($J2337)*N($R2337),0))</f>
        <v/>
      </c>
      <c r="T2337" s="26">
        <f>IF($D2337="","",IF($K2337&lt;&gt;"对外销售","",ROUND($Q2337-$S2337,0)))</f>
        <v/>
      </c>
      <c r="U2337" s="17" t="n"/>
      <c r="V2337" s="17" t="n"/>
      <c r="W2337" s="24">
        <f>IF($D2337="","",IF($E2337="※编码不在物料档案里","※物料编码不在档案里",IF(N($J2337)&lt;=0,"※出库数量要大于 0",IF($K2337="","※没填去向类型",IF($L2337="","※没填去向矿区",IF(AND($C2337&lt;&gt;"",$C2337&lt;=结账锁),"※日期早于已结账截止日，不能再录",IF(AND($K2337="自用消耗",COUNTIF({"一矿区";"二矿区"},$L2337)=0),"※自用消耗的去向只能是一矿区或二矿区",IF(AND($K2337="对外销售",COUNTIF({"三矿区";"六矿区"},$L2337)=0),"※对外销售的去向只能是三矿区或六矿区",IF(AND($K2337="对外销售",ROUND($Q2337,0)=0),"※外销却没有售价，请填实际售价",IF(AND($K2337="对外销售",$T2337&lt;&gt;"",$T2337&lt;0),"※这一笔外销是亏的，请核对售价",IF(IFERROR(VLOOKUP($D2337,库存台账!$A$5:$Y$1204,24,0),0)&lt;-0.001,"※这个物料账面已经变成负数了，查一下是不是漏记入库","")))))))))))</f>
        <v/>
      </c>
    </row>
    <row r="2338">
      <c r="A2338" s="24">
        <f>IF($D2338="","",COUNTA($D$4:$D2338))</f>
        <v/>
      </c>
      <c r="B2338" s="17" t="n"/>
      <c r="C2338" s="30" t="n"/>
      <c r="D2338" s="17" t="n"/>
      <c r="E2338" s="24">
        <f>IF($D2338="","",IFERROR(VLOOKUP($D2338,物料档案!$A$4:$P$1203,3,0),"※编码不在物料档案里"))</f>
        <v/>
      </c>
      <c r="F2338" s="24">
        <f>IF($D2338="","",IFERROR(VLOOKUP($D2338,物料档案!$A$4:$P$1203,4,0),"※编码不在物料档案里"))</f>
        <v/>
      </c>
      <c r="G2338" s="24">
        <f>IF($D2338="","",IFERROR(VLOOKUP($D2338,物料档案!$A$4:$P$1203,5,0),"※编码不在物料档案里"))</f>
        <v/>
      </c>
      <c r="H2338" s="24">
        <f>IF($D2338="","",IFERROR(VLOOKUP($D2338,物料档案!$A$4:$P$1203,2,0),"※编码不在物料档案里"))</f>
        <v/>
      </c>
      <c r="I2338" s="24">
        <f>IF($D2338="","",IFERROR(VLOOKUP($D2338,物料档案!$A$4:$P$1203,6,0),"※编码不在物料档案里"))</f>
        <v/>
      </c>
      <c r="J2338" s="23" t="n"/>
      <c r="K2338" s="17" t="n"/>
      <c r="L2338" s="17" t="n"/>
      <c r="M2338" s="17" t="n"/>
      <c r="N2338" s="17" t="n"/>
      <c r="O2338" s="26">
        <f>IF($D2338="","",IFERROR(VLOOKUP($D2338,物料档案!$A$4:$P$1203,10,0),0))</f>
        <v/>
      </c>
      <c r="P2338" s="32" t="n"/>
      <c r="Q2338" s="26">
        <f>IF($D2338="","",IF($K2338&lt;&gt;"对外销售",0,ROUND(N($J2338)*IF($P2338="",N($O2338),N($P2338)),0)))</f>
        <v/>
      </c>
      <c r="R2338" s="26">
        <f>IF($D2338="","",IFERROR(VLOOKUP($D2338,库存台账!$A$5:$Y$1204,11,0),0))</f>
        <v/>
      </c>
      <c r="S2338" s="26">
        <f>IF($D2338="","",ROUND(N($J2338)*N($R2338),0))</f>
        <v/>
      </c>
      <c r="T2338" s="26">
        <f>IF($D2338="","",IF($K2338&lt;&gt;"对外销售","",ROUND($Q2338-$S2338,0)))</f>
        <v/>
      </c>
      <c r="U2338" s="17" t="n"/>
      <c r="V2338" s="17" t="n"/>
      <c r="W2338" s="24">
        <f>IF($D2338="","",IF($E2338="※编码不在物料档案里","※物料编码不在档案里",IF(N($J2338)&lt;=0,"※出库数量要大于 0",IF($K2338="","※没填去向类型",IF($L2338="","※没填去向矿区",IF(AND($C2338&lt;&gt;"",$C2338&lt;=结账锁),"※日期早于已结账截止日，不能再录",IF(AND($K2338="自用消耗",COUNTIF({"一矿区";"二矿区"},$L2338)=0),"※自用消耗的去向只能是一矿区或二矿区",IF(AND($K2338="对外销售",COUNTIF({"三矿区";"六矿区"},$L2338)=0),"※对外销售的去向只能是三矿区或六矿区",IF(AND($K2338="对外销售",ROUND($Q2338,0)=0),"※外销却没有售价，请填实际售价",IF(AND($K2338="对外销售",$T2338&lt;&gt;"",$T2338&lt;0),"※这一笔外销是亏的，请核对售价",IF(IFERROR(VLOOKUP($D2338,库存台账!$A$5:$Y$1204,24,0),0)&lt;-0.001,"※这个物料账面已经变成负数了，查一下是不是漏记入库","")))))))))))</f>
        <v/>
      </c>
    </row>
    <row r="2339">
      <c r="A2339" s="24">
        <f>IF($D2339="","",COUNTA($D$4:$D2339))</f>
        <v/>
      </c>
      <c r="B2339" s="17" t="n"/>
      <c r="C2339" s="30" t="n"/>
      <c r="D2339" s="17" t="n"/>
      <c r="E2339" s="24">
        <f>IF($D2339="","",IFERROR(VLOOKUP($D2339,物料档案!$A$4:$P$1203,3,0),"※编码不在物料档案里"))</f>
        <v/>
      </c>
      <c r="F2339" s="24">
        <f>IF($D2339="","",IFERROR(VLOOKUP($D2339,物料档案!$A$4:$P$1203,4,0),"※编码不在物料档案里"))</f>
        <v/>
      </c>
      <c r="G2339" s="24">
        <f>IF($D2339="","",IFERROR(VLOOKUP($D2339,物料档案!$A$4:$P$1203,5,0),"※编码不在物料档案里"))</f>
        <v/>
      </c>
      <c r="H2339" s="24">
        <f>IF($D2339="","",IFERROR(VLOOKUP($D2339,物料档案!$A$4:$P$1203,2,0),"※编码不在物料档案里"))</f>
        <v/>
      </c>
      <c r="I2339" s="24">
        <f>IF($D2339="","",IFERROR(VLOOKUP($D2339,物料档案!$A$4:$P$1203,6,0),"※编码不在物料档案里"))</f>
        <v/>
      </c>
      <c r="J2339" s="23" t="n"/>
      <c r="K2339" s="17" t="n"/>
      <c r="L2339" s="17" t="n"/>
      <c r="M2339" s="17" t="n"/>
      <c r="N2339" s="17" t="n"/>
      <c r="O2339" s="26">
        <f>IF($D2339="","",IFERROR(VLOOKUP($D2339,物料档案!$A$4:$P$1203,10,0),0))</f>
        <v/>
      </c>
      <c r="P2339" s="32" t="n"/>
      <c r="Q2339" s="26">
        <f>IF($D2339="","",IF($K2339&lt;&gt;"对外销售",0,ROUND(N($J2339)*IF($P2339="",N($O2339),N($P2339)),0)))</f>
        <v/>
      </c>
      <c r="R2339" s="26">
        <f>IF($D2339="","",IFERROR(VLOOKUP($D2339,库存台账!$A$5:$Y$1204,11,0),0))</f>
        <v/>
      </c>
      <c r="S2339" s="26">
        <f>IF($D2339="","",ROUND(N($J2339)*N($R2339),0))</f>
        <v/>
      </c>
      <c r="T2339" s="26">
        <f>IF($D2339="","",IF($K2339&lt;&gt;"对外销售","",ROUND($Q2339-$S2339,0)))</f>
        <v/>
      </c>
      <c r="U2339" s="17" t="n"/>
      <c r="V2339" s="17" t="n"/>
      <c r="W2339" s="24">
        <f>IF($D2339="","",IF($E2339="※编码不在物料档案里","※物料编码不在档案里",IF(N($J2339)&lt;=0,"※出库数量要大于 0",IF($K2339="","※没填去向类型",IF($L2339="","※没填去向矿区",IF(AND($C2339&lt;&gt;"",$C2339&lt;=结账锁),"※日期早于已结账截止日，不能再录",IF(AND($K2339="自用消耗",COUNTIF({"一矿区";"二矿区"},$L2339)=0),"※自用消耗的去向只能是一矿区或二矿区",IF(AND($K2339="对外销售",COUNTIF({"三矿区";"六矿区"},$L2339)=0),"※对外销售的去向只能是三矿区或六矿区",IF(AND($K2339="对外销售",ROUND($Q2339,0)=0),"※外销却没有售价，请填实际售价",IF(AND($K2339="对外销售",$T2339&lt;&gt;"",$T2339&lt;0),"※这一笔外销是亏的，请核对售价",IF(IFERROR(VLOOKUP($D2339,库存台账!$A$5:$Y$1204,24,0),0)&lt;-0.001,"※这个物料账面已经变成负数了，查一下是不是漏记入库","")))))))))))</f>
        <v/>
      </c>
    </row>
    <row r="2340">
      <c r="A2340" s="24">
        <f>IF($D2340="","",COUNTA($D$4:$D2340))</f>
        <v/>
      </c>
      <c r="B2340" s="17" t="n"/>
      <c r="C2340" s="30" t="n"/>
      <c r="D2340" s="17" t="n"/>
      <c r="E2340" s="24">
        <f>IF($D2340="","",IFERROR(VLOOKUP($D2340,物料档案!$A$4:$P$1203,3,0),"※编码不在物料档案里"))</f>
        <v/>
      </c>
      <c r="F2340" s="24">
        <f>IF($D2340="","",IFERROR(VLOOKUP($D2340,物料档案!$A$4:$P$1203,4,0),"※编码不在物料档案里"))</f>
        <v/>
      </c>
      <c r="G2340" s="24">
        <f>IF($D2340="","",IFERROR(VLOOKUP($D2340,物料档案!$A$4:$P$1203,5,0),"※编码不在物料档案里"))</f>
        <v/>
      </c>
      <c r="H2340" s="24">
        <f>IF($D2340="","",IFERROR(VLOOKUP($D2340,物料档案!$A$4:$P$1203,2,0),"※编码不在物料档案里"))</f>
        <v/>
      </c>
      <c r="I2340" s="24">
        <f>IF($D2340="","",IFERROR(VLOOKUP($D2340,物料档案!$A$4:$P$1203,6,0),"※编码不在物料档案里"))</f>
        <v/>
      </c>
      <c r="J2340" s="23" t="n"/>
      <c r="K2340" s="17" t="n"/>
      <c r="L2340" s="17" t="n"/>
      <c r="M2340" s="17" t="n"/>
      <c r="N2340" s="17" t="n"/>
      <c r="O2340" s="26">
        <f>IF($D2340="","",IFERROR(VLOOKUP($D2340,物料档案!$A$4:$P$1203,10,0),0))</f>
        <v/>
      </c>
      <c r="P2340" s="32" t="n"/>
      <c r="Q2340" s="26">
        <f>IF($D2340="","",IF($K2340&lt;&gt;"对外销售",0,ROUND(N($J2340)*IF($P2340="",N($O2340),N($P2340)),0)))</f>
        <v/>
      </c>
      <c r="R2340" s="26">
        <f>IF($D2340="","",IFERROR(VLOOKUP($D2340,库存台账!$A$5:$Y$1204,11,0),0))</f>
        <v/>
      </c>
      <c r="S2340" s="26">
        <f>IF($D2340="","",ROUND(N($J2340)*N($R2340),0))</f>
        <v/>
      </c>
      <c r="T2340" s="26">
        <f>IF($D2340="","",IF($K2340&lt;&gt;"对外销售","",ROUND($Q2340-$S2340,0)))</f>
        <v/>
      </c>
      <c r="U2340" s="17" t="n"/>
      <c r="V2340" s="17" t="n"/>
      <c r="W2340" s="24">
        <f>IF($D2340="","",IF($E2340="※编码不在物料档案里","※物料编码不在档案里",IF(N($J2340)&lt;=0,"※出库数量要大于 0",IF($K2340="","※没填去向类型",IF($L2340="","※没填去向矿区",IF(AND($C2340&lt;&gt;"",$C2340&lt;=结账锁),"※日期早于已结账截止日，不能再录",IF(AND($K2340="自用消耗",COUNTIF({"一矿区";"二矿区"},$L2340)=0),"※自用消耗的去向只能是一矿区或二矿区",IF(AND($K2340="对外销售",COUNTIF({"三矿区";"六矿区"},$L2340)=0),"※对外销售的去向只能是三矿区或六矿区",IF(AND($K2340="对外销售",ROUND($Q2340,0)=0),"※外销却没有售价，请填实际售价",IF(AND($K2340="对外销售",$T2340&lt;&gt;"",$T2340&lt;0),"※这一笔外销是亏的，请核对售价",IF(IFERROR(VLOOKUP($D2340,库存台账!$A$5:$Y$1204,24,0),0)&lt;-0.001,"※这个物料账面已经变成负数了，查一下是不是漏记入库","")))))))))))</f>
        <v/>
      </c>
    </row>
    <row r="2341">
      <c r="A2341" s="24">
        <f>IF($D2341="","",COUNTA($D$4:$D2341))</f>
        <v/>
      </c>
      <c r="B2341" s="17" t="n"/>
      <c r="C2341" s="30" t="n"/>
      <c r="D2341" s="17" t="n"/>
      <c r="E2341" s="24">
        <f>IF($D2341="","",IFERROR(VLOOKUP($D2341,物料档案!$A$4:$P$1203,3,0),"※编码不在物料档案里"))</f>
        <v/>
      </c>
      <c r="F2341" s="24">
        <f>IF($D2341="","",IFERROR(VLOOKUP($D2341,物料档案!$A$4:$P$1203,4,0),"※编码不在物料档案里"))</f>
        <v/>
      </c>
      <c r="G2341" s="24">
        <f>IF($D2341="","",IFERROR(VLOOKUP($D2341,物料档案!$A$4:$P$1203,5,0),"※编码不在物料档案里"))</f>
        <v/>
      </c>
      <c r="H2341" s="24">
        <f>IF($D2341="","",IFERROR(VLOOKUP($D2341,物料档案!$A$4:$P$1203,2,0),"※编码不在物料档案里"))</f>
        <v/>
      </c>
      <c r="I2341" s="24">
        <f>IF($D2341="","",IFERROR(VLOOKUP($D2341,物料档案!$A$4:$P$1203,6,0),"※编码不在物料档案里"))</f>
        <v/>
      </c>
      <c r="J2341" s="23" t="n"/>
      <c r="K2341" s="17" t="n"/>
      <c r="L2341" s="17" t="n"/>
      <c r="M2341" s="17" t="n"/>
      <c r="N2341" s="17" t="n"/>
      <c r="O2341" s="26">
        <f>IF($D2341="","",IFERROR(VLOOKUP($D2341,物料档案!$A$4:$P$1203,10,0),0))</f>
        <v/>
      </c>
      <c r="P2341" s="32" t="n"/>
      <c r="Q2341" s="26">
        <f>IF($D2341="","",IF($K2341&lt;&gt;"对外销售",0,ROUND(N($J2341)*IF($P2341="",N($O2341),N($P2341)),0)))</f>
        <v/>
      </c>
      <c r="R2341" s="26">
        <f>IF($D2341="","",IFERROR(VLOOKUP($D2341,库存台账!$A$5:$Y$1204,11,0),0))</f>
        <v/>
      </c>
      <c r="S2341" s="26">
        <f>IF($D2341="","",ROUND(N($J2341)*N($R2341),0))</f>
        <v/>
      </c>
      <c r="T2341" s="26">
        <f>IF($D2341="","",IF($K2341&lt;&gt;"对外销售","",ROUND($Q2341-$S2341,0)))</f>
        <v/>
      </c>
      <c r="U2341" s="17" t="n"/>
      <c r="V2341" s="17" t="n"/>
      <c r="W2341" s="24">
        <f>IF($D2341="","",IF($E2341="※编码不在物料档案里","※物料编码不在档案里",IF(N($J2341)&lt;=0,"※出库数量要大于 0",IF($K2341="","※没填去向类型",IF($L2341="","※没填去向矿区",IF(AND($C2341&lt;&gt;"",$C2341&lt;=结账锁),"※日期早于已结账截止日，不能再录",IF(AND($K2341="自用消耗",COUNTIF({"一矿区";"二矿区"},$L2341)=0),"※自用消耗的去向只能是一矿区或二矿区",IF(AND($K2341="对外销售",COUNTIF({"三矿区";"六矿区"},$L2341)=0),"※对外销售的去向只能是三矿区或六矿区",IF(AND($K2341="对外销售",ROUND($Q2341,0)=0),"※外销却没有售价，请填实际售价",IF(AND($K2341="对外销售",$T2341&lt;&gt;"",$T2341&lt;0),"※这一笔外销是亏的，请核对售价",IF(IFERROR(VLOOKUP($D2341,库存台账!$A$5:$Y$1204,24,0),0)&lt;-0.001,"※这个物料账面已经变成负数了，查一下是不是漏记入库","")))))))))))</f>
        <v/>
      </c>
    </row>
    <row r="2342">
      <c r="A2342" s="24">
        <f>IF($D2342="","",COUNTA($D$4:$D2342))</f>
        <v/>
      </c>
      <c r="B2342" s="17" t="n"/>
      <c r="C2342" s="30" t="n"/>
      <c r="D2342" s="17" t="n"/>
      <c r="E2342" s="24">
        <f>IF($D2342="","",IFERROR(VLOOKUP($D2342,物料档案!$A$4:$P$1203,3,0),"※编码不在物料档案里"))</f>
        <v/>
      </c>
      <c r="F2342" s="24">
        <f>IF($D2342="","",IFERROR(VLOOKUP($D2342,物料档案!$A$4:$P$1203,4,0),"※编码不在物料档案里"))</f>
        <v/>
      </c>
      <c r="G2342" s="24">
        <f>IF($D2342="","",IFERROR(VLOOKUP($D2342,物料档案!$A$4:$P$1203,5,0),"※编码不在物料档案里"))</f>
        <v/>
      </c>
      <c r="H2342" s="24">
        <f>IF($D2342="","",IFERROR(VLOOKUP($D2342,物料档案!$A$4:$P$1203,2,0),"※编码不在物料档案里"))</f>
        <v/>
      </c>
      <c r="I2342" s="24">
        <f>IF($D2342="","",IFERROR(VLOOKUP($D2342,物料档案!$A$4:$P$1203,6,0),"※编码不在物料档案里"))</f>
        <v/>
      </c>
      <c r="J2342" s="23" t="n"/>
      <c r="K2342" s="17" t="n"/>
      <c r="L2342" s="17" t="n"/>
      <c r="M2342" s="17" t="n"/>
      <c r="N2342" s="17" t="n"/>
      <c r="O2342" s="26">
        <f>IF($D2342="","",IFERROR(VLOOKUP($D2342,物料档案!$A$4:$P$1203,10,0),0))</f>
        <v/>
      </c>
      <c r="P2342" s="32" t="n"/>
      <c r="Q2342" s="26">
        <f>IF($D2342="","",IF($K2342&lt;&gt;"对外销售",0,ROUND(N($J2342)*IF($P2342="",N($O2342),N($P2342)),0)))</f>
        <v/>
      </c>
      <c r="R2342" s="26">
        <f>IF($D2342="","",IFERROR(VLOOKUP($D2342,库存台账!$A$5:$Y$1204,11,0),0))</f>
        <v/>
      </c>
      <c r="S2342" s="26">
        <f>IF($D2342="","",ROUND(N($J2342)*N($R2342),0))</f>
        <v/>
      </c>
      <c r="T2342" s="26">
        <f>IF($D2342="","",IF($K2342&lt;&gt;"对外销售","",ROUND($Q2342-$S2342,0)))</f>
        <v/>
      </c>
      <c r="U2342" s="17" t="n"/>
      <c r="V2342" s="17" t="n"/>
      <c r="W2342" s="24">
        <f>IF($D2342="","",IF($E2342="※编码不在物料档案里","※物料编码不在档案里",IF(N($J2342)&lt;=0,"※出库数量要大于 0",IF($K2342="","※没填去向类型",IF($L2342="","※没填去向矿区",IF(AND($C2342&lt;&gt;"",$C2342&lt;=结账锁),"※日期早于已结账截止日，不能再录",IF(AND($K2342="自用消耗",COUNTIF({"一矿区";"二矿区"},$L2342)=0),"※自用消耗的去向只能是一矿区或二矿区",IF(AND($K2342="对外销售",COUNTIF({"三矿区";"六矿区"},$L2342)=0),"※对外销售的去向只能是三矿区或六矿区",IF(AND($K2342="对外销售",ROUND($Q2342,0)=0),"※外销却没有售价，请填实际售价",IF(AND($K2342="对外销售",$T2342&lt;&gt;"",$T2342&lt;0),"※这一笔外销是亏的，请核对售价",IF(IFERROR(VLOOKUP($D2342,库存台账!$A$5:$Y$1204,24,0),0)&lt;-0.001,"※这个物料账面已经变成负数了，查一下是不是漏记入库","")))))))))))</f>
        <v/>
      </c>
    </row>
    <row r="2343">
      <c r="A2343" s="24">
        <f>IF($D2343="","",COUNTA($D$4:$D2343))</f>
        <v/>
      </c>
      <c r="B2343" s="17" t="n"/>
      <c r="C2343" s="30" t="n"/>
      <c r="D2343" s="17" t="n"/>
      <c r="E2343" s="24">
        <f>IF($D2343="","",IFERROR(VLOOKUP($D2343,物料档案!$A$4:$P$1203,3,0),"※编码不在物料档案里"))</f>
        <v/>
      </c>
      <c r="F2343" s="24">
        <f>IF($D2343="","",IFERROR(VLOOKUP($D2343,物料档案!$A$4:$P$1203,4,0),"※编码不在物料档案里"))</f>
        <v/>
      </c>
      <c r="G2343" s="24">
        <f>IF($D2343="","",IFERROR(VLOOKUP($D2343,物料档案!$A$4:$P$1203,5,0),"※编码不在物料档案里"))</f>
        <v/>
      </c>
      <c r="H2343" s="24">
        <f>IF($D2343="","",IFERROR(VLOOKUP($D2343,物料档案!$A$4:$P$1203,2,0),"※编码不在物料档案里"))</f>
        <v/>
      </c>
      <c r="I2343" s="24">
        <f>IF($D2343="","",IFERROR(VLOOKUP($D2343,物料档案!$A$4:$P$1203,6,0),"※编码不在物料档案里"))</f>
        <v/>
      </c>
      <c r="J2343" s="23" t="n"/>
      <c r="K2343" s="17" t="n"/>
      <c r="L2343" s="17" t="n"/>
      <c r="M2343" s="17" t="n"/>
      <c r="N2343" s="17" t="n"/>
      <c r="O2343" s="26">
        <f>IF($D2343="","",IFERROR(VLOOKUP($D2343,物料档案!$A$4:$P$1203,10,0),0))</f>
        <v/>
      </c>
      <c r="P2343" s="32" t="n"/>
      <c r="Q2343" s="26">
        <f>IF($D2343="","",IF($K2343&lt;&gt;"对外销售",0,ROUND(N($J2343)*IF($P2343="",N($O2343),N($P2343)),0)))</f>
        <v/>
      </c>
      <c r="R2343" s="26">
        <f>IF($D2343="","",IFERROR(VLOOKUP($D2343,库存台账!$A$5:$Y$1204,11,0),0))</f>
        <v/>
      </c>
      <c r="S2343" s="26">
        <f>IF($D2343="","",ROUND(N($J2343)*N($R2343),0))</f>
        <v/>
      </c>
      <c r="T2343" s="26">
        <f>IF($D2343="","",IF($K2343&lt;&gt;"对外销售","",ROUND($Q2343-$S2343,0)))</f>
        <v/>
      </c>
      <c r="U2343" s="17" t="n"/>
      <c r="V2343" s="17" t="n"/>
      <c r="W2343" s="24">
        <f>IF($D2343="","",IF($E2343="※编码不在物料档案里","※物料编码不在档案里",IF(N($J2343)&lt;=0,"※出库数量要大于 0",IF($K2343="","※没填去向类型",IF($L2343="","※没填去向矿区",IF(AND($C2343&lt;&gt;"",$C2343&lt;=结账锁),"※日期早于已结账截止日，不能再录",IF(AND($K2343="自用消耗",COUNTIF({"一矿区";"二矿区"},$L2343)=0),"※自用消耗的去向只能是一矿区或二矿区",IF(AND($K2343="对外销售",COUNTIF({"三矿区";"六矿区"},$L2343)=0),"※对外销售的去向只能是三矿区或六矿区",IF(AND($K2343="对外销售",ROUND($Q2343,0)=0),"※外销却没有售价，请填实际售价",IF(AND($K2343="对外销售",$T2343&lt;&gt;"",$T2343&lt;0),"※这一笔外销是亏的，请核对售价",IF(IFERROR(VLOOKUP($D2343,库存台账!$A$5:$Y$1204,24,0),0)&lt;-0.001,"※这个物料账面已经变成负数了，查一下是不是漏记入库","")))))))))))</f>
        <v/>
      </c>
    </row>
    <row r="2344">
      <c r="A2344" s="24">
        <f>IF($D2344="","",COUNTA($D$4:$D2344))</f>
        <v/>
      </c>
      <c r="B2344" s="17" t="n"/>
      <c r="C2344" s="30" t="n"/>
      <c r="D2344" s="17" t="n"/>
      <c r="E2344" s="24">
        <f>IF($D2344="","",IFERROR(VLOOKUP($D2344,物料档案!$A$4:$P$1203,3,0),"※编码不在物料档案里"))</f>
        <v/>
      </c>
      <c r="F2344" s="24">
        <f>IF($D2344="","",IFERROR(VLOOKUP($D2344,物料档案!$A$4:$P$1203,4,0),"※编码不在物料档案里"))</f>
        <v/>
      </c>
      <c r="G2344" s="24">
        <f>IF($D2344="","",IFERROR(VLOOKUP($D2344,物料档案!$A$4:$P$1203,5,0),"※编码不在物料档案里"))</f>
        <v/>
      </c>
      <c r="H2344" s="24">
        <f>IF($D2344="","",IFERROR(VLOOKUP($D2344,物料档案!$A$4:$P$1203,2,0),"※编码不在物料档案里"))</f>
        <v/>
      </c>
      <c r="I2344" s="24">
        <f>IF($D2344="","",IFERROR(VLOOKUP($D2344,物料档案!$A$4:$P$1203,6,0),"※编码不在物料档案里"))</f>
        <v/>
      </c>
      <c r="J2344" s="23" t="n"/>
      <c r="K2344" s="17" t="n"/>
      <c r="L2344" s="17" t="n"/>
      <c r="M2344" s="17" t="n"/>
      <c r="N2344" s="17" t="n"/>
      <c r="O2344" s="26">
        <f>IF($D2344="","",IFERROR(VLOOKUP($D2344,物料档案!$A$4:$P$1203,10,0),0))</f>
        <v/>
      </c>
      <c r="P2344" s="32" t="n"/>
      <c r="Q2344" s="26">
        <f>IF($D2344="","",IF($K2344&lt;&gt;"对外销售",0,ROUND(N($J2344)*IF($P2344="",N($O2344),N($P2344)),0)))</f>
        <v/>
      </c>
      <c r="R2344" s="26">
        <f>IF($D2344="","",IFERROR(VLOOKUP($D2344,库存台账!$A$5:$Y$1204,11,0),0))</f>
        <v/>
      </c>
      <c r="S2344" s="26">
        <f>IF($D2344="","",ROUND(N($J2344)*N($R2344),0))</f>
        <v/>
      </c>
      <c r="T2344" s="26">
        <f>IF($D2344="","",IF($K2344&lt;&gt;"对外销售","",ROUND($Q2344-$S2344,0)))</f>
        <v/>
      </c>
      <c r="U2344" s="17" t="n"/>
      <c r="V2344" s="17" t="n"/>
      <c r="W2344" s="24">
        <f>IF($D2344="","",IF($E2344="※编码不在物料档案里","※物料编码不在档案里",IF(N($J2344)&lt;=0,"※出库数量要大于 0",IF($K2344="","※没填去向类型",IF($L2344="","※没填去向矿区",IF(AND($C2344&lt;&gt;"",$C2344&lt;=结账锁),"※日期早于已结账截止日，不能再录",IF(AND($K2344="自用消耗",COUNTIF({"一矿区";"二矿区"},$L2344)=0),"※自用消耗的去向只能是一矿区或二矿区",IF(AND($K2344="对外销售",COUNTIF({"三矿区";"六矿区"},$L2344)=0),"※对外销售的去向只能是三矿区或六矿区",IF(AND($K2344="对外销售",ROUND($Q2344,0)=0),"※外销却没有售价，请填实际售价",IF(AND($K2344="对外销售",$T2344&lt;&gt;"",$T2344&lt;0),"※这一笔外销是亏的，请核对售价",IF(IFERROR(VLOOKUP($D2344,库存台账!$A$5:$Y$1204,24,0),0)&lt;-0.001,"※这个物料账面已经变成负数了，查一下是不是漏记入库","")))))))))))</f>
        <v/>
      </c>
    </row>
    <row r="2345">
      <c r="A2345" s="24">
        <f>IF($D2345="","",COUNTA($D$4:$D2345))</f>
        <v/>
      </c>
      <c r="B2345" s="17" t="n"/>
      <c r="C2345" s="30" t="n"/>
      <c r="D2345" s="17" t="n"/>
      <c r="E2345" s="24">
        <f>IF($D2345="","",IFERROR(VLOOKUP($D2345,物料档案!$A$4:$P$1203,3,0),"※编码不在物料档案里"))</f>
        <v/>
      </c>
      <c r="F2345" s="24">
        <f>IF($D2345="","",IFERROR(VLOOKUP($D2345,物料档案!$A$4:$P$1203,4,0),"※编码不在物料档案里"))</f>
        <v/>
      </c>
      <c r="G2345" s="24">
        <f>IF($D2345="","",IFERROR(VLOOKUP($D2345,物料档案!$A$4:$P$1203,5,0),"※编码不在物料档案里"))</f>
        <v/>
      </c>
      <c r="H2345" s="24">
        <f>IF($D2345="","",IFERROR(VLOOKUP($D2345,物料档案!$A$4:$P$1203,2,0),"※编码不在物料档案里"))</f>
        <v/>
      </c>
      <c r="I2345" s="24">
        <f>IF($D2345="","",IFERROR(VLOOKUP($D2345,物料档案!$A$4:$P$1203,6,0),"※编码不在物料档案里"))</f>
        <v/>
      </c>
      <c r="J2345" s="23" t="n"/>
      <c r="K2345" s="17" t="n"/>
      <c r="L2345" s="17" t="n"/>
      <c r="M2345" s="17" t="n"/>
      <c r="N2345" s="17" t="n"/>
      <c r="O2345" s="26">
        <f>IF($D2345="","",IFERROR(VLOOKUP($D2345,物料档案!$A$4:$P$1203,10,0),0))</f>
        <v/>
      </c>
      <c r="P2345" s="32" t="n"/>
      <c r="Q2345" s="26">
        <f>IF($D2345="","",IF($K2345&lt;&gt;"对外销售",0,ROUND(N($J2345)*IF($P2345="",N($O2345),N($P2345)),0)))</f>
        <v/>
      </c>
      <c r="R2345" s="26">
        <f>IF($D2345="","",IFERROR(VLOOKUP($D2345,库存台账!$A$5:$Y$1204,11,0),0))</f>
        <v/>
      </c>
      <c r="S2345" s="26">
        <f>IF($D2345="","",ROUND(N($J2345)*N($R2345),0))</f>
        <v/>
      </c>
      <c r="T2345" s="26">
        <f>IF($D2345="","",IF($K2345&lt;&gt;"对外销售","",ROUND($Q2345-$S2345,0)))</f>
        <v/>
      </c>
      <c r="U2345" s="17" t="n"/>
      <c r="V2345" s="17" t="n"/>
      <c r="W2345" s="24">
        <f>IF($D2345="","",IF($E2345="※编码不在物料档案里","※物料编码不在档案里",IF(N($J2345)&lt;=0,"※出库数量要大于 0",IF($K2345="","※没填去向类型",IF($L2345="","※没填去向矿区",IF(AND($C2345&lt;&gt;"",$C2345&lt;=结账锁),"※日期早于已结账截止日，不能再录",IF(AND($K2345="自用消耗",COUNTIF({"一矿区";"二矿区"},$L2345)=0),"※自用消耗的去向只能是一矿区或二矿区",IF(AND($K2345="对外销售",COUNTIF({"三矿区";"六矿区"},$L2345)=0),"※对外销售的去向只能是三矿区或六矿区",IF(AND($K2345="对外销售",ROUND($Q2345,0)=0),"※外销却没有售价，请填实际售价",IF(AND($K2345="对外销售",$T2345&lt;&gt;"",$T2345&lt;0),"※这一笔外销是亏的，请核对售价",IF(IFERROR(VLOOKUP($D2345,库存台账!$A$5:$Y$1204,24,0),0)&lt;-0.001,"※这个物料账面已经变成负数了，查一下是不是漏记入库","")))))))))))</f>
        <v/>
      </c>
    </row>
    <row r="2346">
      <c r="A2346" s="24">
        <f>IF($D2346="","",COUNTA($D$4:$D2346))</f>
        <v/>
      </c>
      <c r="B2346" s="17" t="n"/>
      <c r="C2346" s="30" t="n"/>
      <c r="D2346" s="17" t="n"/>
      <c r="E2346" s="24">
        <f>IF($D2346="","",IFERROR(VLOOKUP($D2346,物料档案!$A$4:$P$1203,3,0),"※编码不在物料档案里"))</f>
        <v/>
      </c>
      <c r="F2346" s="24">
        <f>IF($D2346="","",IFERROR(VLOOKUP($D2346,物料档案!$A$4:$P$1203,4,0),"※编码不在物料档案里"))</f>
        <v/>
      </c>
      <c r="G2346" s="24">
        <f>IF($D2346="","",IFERROR(VLOOKUP($D2346,物料档案!$A$4:$P$1203,5,0),"※编码不在物料档案里"))</f>
        <v/>
      </c>
      <c r="H2346" s="24">
        <f>IF($D2346="","",IFERROR(VLOOKUP($D2346,物料档案!$A$4:$P$1203,2,0),"※编码不在物料档案里"))</f>
        <v/>
      </c>
      <c r="I2346" s="24">
        <f>IF($D2346="","",IFERROR(VLOOKUP($D2346,物料档案!$A$4:$P$1203,6,0),"※编码不在物料档案里"))</f>
        <v/>
      </c>
      <c r="J2346" s="23" t="n"/>
      <c r="K2346" s="17" t="n"/>
      <c r="L2346" s="17" t="n"/>
      <c r="M2346" s="17" t="n"/>
      <c r="N2346" s="17" t="n"/>
      <c r="O2346" s="26">
        <f>IF($D2346="","",IFERROR(VLOOKUP($D2346,物料档案!$A$4:$P$1203,10,0),0))</f>
        <v/>
      </c>
      <c r="P2346" s="32" t="n"/>
      <c r="Q2346" s="26">
        <f>IF($D2346="","",IF($K2346&lt;&gt;"对外销售",0,ROUND(N($J2346)*IF($P2346="",N($O2346),N($P2346)),0)))</f>
        <v/>
      </c>
      <c r="R2346" s="26">
        <f>IF($D2346="","",IFERROR(VLOOKUP($D2346,库存台账!$A$5:$Y$1204,11,0),0))</f>
        <v/>
      </c>
      <c r="S2346" s="26">
        <f>IF($D2346="","",ROUND(N($J2346)*N($R2346),0))</f>
        <v/>
      </c>
      <c r="T2346" s="26">
        <f>IF($D2346="","",IF($K2346&lt;&gt;"对外销售","",ROUND($Q2346-$S2346,0)))</f>
        <v/>
      </c>
      <c r="U2346" s="17" t="n"/>
      <c r="V2346" s="17" t="n"/>
      <c r="W2346" s="24">
        <f>IF($D2346="","",IF($E2346="※编码不在物料档案里","※物料编码不在档案里",IF(N($J2346)&lt;=0,"※出库数量要大于 0",IF($K2346="","※没填去向类型",IF($L2346="","※没填去向矿区",IF(AND($C2346&lt;&gt;"",$C2346&lt;=结账锁),"※日期早于已结账截止日，不能再录",IF(AND($K2346="自用消耗",COUNTIF({"一矿区";"二矿区"},$L2346)=0),"※自用消耗的去向只能是一矿区或二矿区",IF(AND($K2346="对外销售",COUNTIF({"三矿区";"六矿区"},$L2346)=0),"※对外销售的去向只能是三矿区或六矿区",IF(AND($K2346="对外销售",ROUND($Q2346,0)=0),"※外销却没有售价，请填实际售价",IF(AND($K2346="对外销售",$T2346&lt;&gt;"",$T2346&lt;0),"※这一笔外销是亏的，请核对售价",IF(IFERROR(VLOOKUP($D2346,库存台账!$A$5:$Y$1204,24,0),0)&lt;-0.001,"※这个物料账面已经变成负数了，查一下是不是漏记入库","")))))))))))</f>
        <v/>
      </c>
    </row>
    <row r="2347">
      <c r="A2347" s="24">
        <f>IF($D2347="","",COUNTA($D$4:$D2347))</f>
        <v/>
      </c>
      <c r="B2347" s="17" t="n"/>
      <c r="C2347" s="30" t="n"/>
      <c r="D2347" s="17" t="n"/>
      <c r="E2347" s="24">
        <f>IF($D2347="","",IFERROR(VLOOKUP($D2347,物料档案!$A$4:$P$1203,3,0),"※编码不在物料档案里"))</f>
        <v/>
      </c>
      <c r="F2347" s="24">
        <f>IF($D2347="","",IFERROR(VLOOKUP($D2347,物料档案!$A$4:$P$1203,4,0),"※编码不在物料档案里"))</f>
        <v/>
      </c>
      <c r="G2347" s="24">
        <f>IF($D2347="","",IFERROR(VLOOKUP($D2347,物料档案!$A$4:$P$1203,5,0),"※编码不在物料档案里"))</f>
        <v/>
      </c>
      <c r="H2347" s="24">
        <f>IF($D2347="","",IFERROR(VLOOKUP($D2347,物料档案!$A$4:$P$1203,2,0),"※编码不在物料档案里"))</f>
        <v/>
      </c>
      <c r="I2347" s="24">
        <f>IF($D2347="","",IFERROR(VLOOKUP($D2347,物料档案!$A$4:$P$1203,6,0),"※编码不在物料档案里"))</f>
        <v/>
      </c>
      <c r="J2347" s="23" t="n"/>
      <c r="K2347" s="17" t="n"/>
      <c r="L2347" s="17" t="n"/>
      <c r="M2347" s="17" t="n"/>
      <c r="N2347" s="17" t="n"/>
      <c r="O2347" s="26">
        <f>IF($D2347="","",IFERROR(VLOOKUP($D2347,物料档案!$A$4:$P$1203,10,0),0))</f>
        <v/>
      </c>
      <c r="P2347" s="32" t="n"/>
      <c r="Q2347" s="26">
        <f>IF($D2347="","",IF($K2347&lt;&gt;"对外销售",0,ROUND(N($J2347)*IF($P2347="",N($O2347),N($P2347)),0)))</f>
        <v/>
      </c>
      <c r="R2347" s="26">
        <f>IF($D2347="","",IFERROR(VLOOKUP($D2347,库存台账!$A$5:$Y$1204,11,0),0))</f>
        <v/>
      </c>
      <c r="S2347" s="26">
        <f>IF($D2347="","",ROUND(N($J2347)*N($R2347),0))</f>
        <v/>
      </c>
      <c r="T2347" s="26">
        <f>IF($D2347="","",IF($K2347&lt;&gt;"对外销售","",ROUND($Q2347-$S2347,0)))</f>
        <v/>
      </c>
      <c r="U2347" s="17" t="n"/>
      <c r="V2347" s="17" t="n"/>
      <c r="W2347" s="24">
        <f>IF($D2347="","",IF($E2347="※编码不在物料档案里","※物料编码不在档案里",IF(N($J2347)&lt;=0,"※出库数量要大于 0",IF($K2347="","※没填去向类型",IF($L2347="","※没填去向矿区",IF(AND($C2347&lt;&gt;"",$C2347&lt;=结账锁),"※日期早于已结账截止日，不能再录",IF(AND($K2347="自用消耗",COUNTIF({"一矿区";"二矿区"},$L2347)=0),"※自用消耗的去向只能是一矿区或二矿区",IF(AND($K2347="对外销售",COUNTIF({"三矿区";"六矿区"},$L2347)=0),"※对外销售的去向只能是三矿区或六矿区",IF(AND($K2347="对外销售",ROUND($Q2347,0)=0),"※外销却没有售价，请填实际售价",IF(AND($K2347="对外销售",$T2347&lt;&gt;"",$T2347&lt;0),"※这一笔外销是亏的，请核对售价",IF(IFERROR(VLOOKUP($D2347,库存台账!$A$5:$Y$1204,24,0),0)&lt;-0.001,"※这个物料账面已经变成负数了，查一下是不是漏记入库","")))))))))))</f>
        <v/>
      </c>
    </row>
    <row r="2348">
      <c r="A2348" s="24">
        <f>IF($D2348="","",COUNTA($D$4:$D2348))</f>
        <v/>
      </c>
      <c r="B2348" s="17" t="n"/>
      <c r="C2348" s="30" t="n"/>
      <c r="D2348" s="17" t="n"/>
      <c r="E2348" s="24">
        <f>IF($D2348="","",IFERROR(VLOOKUP($D2348,物料档案!$A$4:$P$1203,3,0),"※编码不在物料档案里"))</f>
        <v/>
      </c>
      <c r="F2348" s="24">
        <f>IF($D2348="","",IFERROR(VLOOKUP($D2348,物料档案!$A$4:$P$1203,4,0),"※编码不在物料档案里"))</f>
        <v/>
      </c>
      <c r="G2348" s="24">
        <f>IF($D2348="","",IFERROR(VLOOKUP($D2348,物料档案!$A$4:$P$1203,5,0),"※编码不在物料档案里"))</f>
        <v/>
      </c>
      <c r="H2348" s="24">
        <f>IF($D2348="","",IFERROR(VLOOKUP($D2348,物料档案!$A$4:$P$1203,2,0),"※编码不在物料档案里"))</f>
        <v/>
      </c>
      <c r="I2348" s="24">
        <f>IF($D2348="","",IFERROR(VLOOKUP($D2348,物料档案!$A$4:$P$1203,6,0),"※编码不在物料档案里"))</f>
        <v/>
      </c>
      <c r="J2348" s="23" t="n"/>
      <c r="K2348" s="17" t="n"/>
      <c r="L2348" s="17" t="n"/>
      <c r="M2348" s="17" t="n"/>
      <c r="N2348" s="17" t="n"/>
      <c r="O2348" s="26">
        <f>IF($D2348="","",IFERROR(VLOOKUP($D2348,物料档案!$A$4:$P$1203,10,0),0))</f>
        <v/>
      </c>
      <c r="P2348" s="32" t="n"/>
      <c r="Q2348" s="26">
        <f>IF($D2348="","",IF($K2348&lt;&gt;"对外销售",0,ROUND(N($J2348)*IF($P2348="",N($O2348),N($P2348)),0)))</f>
        <v/>
      </c>
      <c r="R2348" s="26">
        <f>IF($D2348="","",IFERROR(VLOOKUP($D2348,库存台账!$A$5:$Y$1204,11,0),0))</f>
        <v/>
      </c>
      <c r="S2348" s="26">
        <f>IF($D2348="","",ROUND(N($J2348)*N($R2348),0))</f>
        <v/>
      </c>
      <c r="T2348" s="26">
        <f>IF($D2348="","",IF($K2348&lt;&gt;"对外销售","",ROUND($Q2348-$S2348,0)))</f>
        <v/>
      </c>
      <c r="U2348" s="17" t="n"/>
      <c r="V2348" s="17" t="n"/>
      <c r="W2348" s="24">
        <f>IF($D2348="","",IF($E2348="※编码不在物料档案里","※物料编码不在档案里",IF(N($J2348)&lt;=0,"※出库数量要大于 0",IF($K2348="","※没填去向类型",IF($L2348="","※没填去向矿区",IF(AND($C2348&lt;&gt;"",$C2348&lt;=结账锁),"※日期早于已结账截止日，不能再录",IF(AND($K2348="自用消耗",COUNTIF({"一矿区";"二矿区"},$L2348)=0),"※自用消耗的去向只能是一矿区或二矿区",IF(AND($K2348="对外销售",COUNTIF({"三矿区";"六矿区"},$L2348)=0),"※对外销售的去向只能是三矿区或六矿区",IF(AND($K2348="对外销售",ROUND($Q2348,0)=0),"※外销却没有售价，请填实际售价",IF(AND($K2348="对外销售",$T2348&lt;&gt;"",$T2348&lt;0),"※这一笔外销是亏的，请核对售价",IF(IFERROR(VLOOKUP($D2348,库存台账!$A$5:$Y$1204,24,0),0)&lt;-0.001,"※这个物料账面已经变成负数了，查一下是不是漏记入库","")))))))))))</f>
        <v/>
      </c>
    </row>
    <row r="2349">
      <c r="A2349" s="24">
        <f>IF($D2349="","",COUNTA($D$4:$D2349))</f>
        <v/>
      </c>
      <c r="B2349" s="17" t="n"/>
      <c r="C2349" s="30" t="n"/>
      <c r="D2349" s="17" t="n"/>
      <c r="E2349" s="24">
        <f>IF($D2349="","",IFERROR(VLOOKUP($D2349,物料档案!$A$4:$P$1203,3,0),"※编码不在物料档案里"))</f>
        <v/>
      </c>
      <c r="F2349" s="24">
        <f>IF($D2349="","",IFERROR(VLOOKUP($D2349,物料档案!$A$4:$P$1203,4,0),"※编码不在物料档案里"))</f>
        <v/>
      </c>
      <c r="G2349" s="24">
        <f>IF($D2349="","",IFERROR(VLOOKUP($D2349,物料档案!$A$4:$P$1203,5,0),"※编码不在物料档案里"))</f>
        <v/>
      </c>
      <c r="H2349" s="24">
        <f>IF($D2349="","",IFERROR(VLOOKUP($D2349,物料档案!$A$4:$P$1203,2,0),"※编码不在物料档案里"))</f>
        <v/>
      </c>
      <c r="I2349" s="24">
        <f>IF($D2349="","",IFERROR(VLOOKUP($D2349,物料档案!$A$4:$P$1203,6,0),"※编码不在物料档案里"))</f>
        <v/>
      </c>
      <c r="J2349" s="23" t="n"/>
      <c r="K2349" s="17" t="n"/>
      <c r="L2349" s="17" t="n"/>
      <c r="M2349" s="17" t="n"/>
      <c r="N2349" s="17" t="n"/>
      <c r="O2349" s="26">
        <f>IF($D2349="","",IFERROR(VLOOKUP($D2349,物料档案!$A$4:$P$1203,10,0),0))</f>
        <v/>
      </c>
      <c r="P2349" s="32" t="n"/>
      <c r="Q2349" s="26">
        <f>IF($D2349="","",IF($K2349&lt;&gt;"对外销售",0,ROUND(N($J2349)*IF($P2349="",N($O2349),N($P2349)),0)))</f>
        <v/>
      </c>
      <c r="R2349" s="26">
        <f>IF($D2349="","",IFERROR(VLOOKUP($D2349,库存台账!$A$5:$Y$1204,11,0),0))</f>
        <v/>
      </c>
      <c r="S2349" s="26">
        <f>IF($D2349="","",ROUND(N($J2349)*N($R2349),0))</f>
        <v/>
      </c>
      <c r="T2349" s="26">
        <f>IF($D2349="","",IF($K2349&lt;&gt;"对外销售","",ROUND($Q2349-$S2349,0)))</f>
        <v/>
      </c>
      <c r="U2349" s="17" t="n"/>
      <c r="V2349" s="17" t="n"/>
      <c r="W2349" s="24">
        <f>IF($D2349="","",IF($E2349="※编码不在物料档案里","※物料编码不在档案里",IF(N($J2349)&lt;=0,"※出库数量要大于 0",IF($K2349="","※没填去向类型",IF($L2349="","※没填去向矿区",IF(AND($C2349&lt;&gt;"",$C2349&lt;=结账锁),"※日期早于已结账截止日，不能再录",IF(AND($K2349="自用消耗",COUNTIF({"一矿区";"二矿区"},$L2349)=0),"※自用消耗的去向只能是一矿区或二矿区",IF(AND($K2349="对外销售",COUNTIF({"三矿区";"六矿区"},$L2349)=0),"※对外销售的去向只能是三矿区或六矿区",IF(AND($K2349="对外销售",ROUND($Q2349,0)=0),"※外销却没有售价，请填实际售价",IF(AND($K2349="对外销售",$T2349&lt;&gt;"",$T2349&lt;0),"※这一笔外销是亏的，请核对售价",IF(IFERROR(VLOOKUP($D2349,库存台账!$A$5:$Y$1204,24,0),0)&lt;-0.001,"※这个物料账面已经变成负数了，查一下是不是漏记入库","")))))))))))</f>
        <v/>
      </c>
    </row>
    <row r="2350">
      <c r="A2350" s="24">
        <f>IF($D2350="","",COUNTA($D$4:$D2350))</f>
        <v/>
      </c>
      <c r="B2350" s="17" t="n"/>
      <c r="C2350" s="30" t="n"/>
      <c r="D2350" s="17" t="n"/>
      <c r="E2350" s="24">
        <f>IF($D2350="","",IFERROR(VLOOKUP($D2350,物料档案!$A$4:$P$1203,3,0),"※编码不在物料档案里"))</f>
        <v/>
      </c>
      <c r="F2350" s="24">
        <f>IF($D2350="","",IFERROR(VLOOKUP($D2350,物料档案!$A$4:$P$1203,4,0),"※编码不在物料档案里"))</f>
        <v/>
      </c>
      <c r="G2350" s="24">
        <f>IF($D2350="","",IFERROR(VLOOKUP($D2350,物料档案!$A$4:$P$1203,5,0),"※编码不在物料档案里"))</f>
        <v/>
      </c>
      <c r="H2350" s="24">
        <f>IF($D2350="","",IFERROR(VLOOKUP($D2350,物料档案!$A$4:$P$1203,2,0),"※编码不在物料档案里"))</f>
        <v/>
      </c>
      <c r="I2350" s="24">
        <f>IF($D2350="","",IFERROR(VLOOKUP($D2350,物料档案!$A$4:$P$1203,6,0),"※编码不在物料档案里"))</f>
        <v/>
      </c>
      <c r="J2350" s="23" t="n"/>
      <c r="K2350" s="17" t="n"/>
      <c r="L2350" s="17" t="n"/>
      <c r="M2350" s="17" t="n"/>
      <c r="N2350" s="17" t="n"/>
      <c r="O2350" s="26">
        <f>IF($D2350="","",IFERROR(VLOOKUP($D2350,物料档案!$A$4:$P$1203,10,0),0))</f>
        <v/>
      </c>
      <c r="P2350" s="32" t="n"/>
      <c r="Q2350" s="26">
        <f>IF($D2350="","",IF($K2350&lt;&gt;"对外销售",0,ROUND(N($J2350)*IF($P2350="",N($O2350),N($P2350)),0)))</f>
        <v/>
      </c>
      <c r="R2350" s="26">
        <f>IF($D2350="","",IFERROR(VLOOKUP($D2350,库存台账!$A$5:$Y$1204,11,0),0))</f>
        <v/>
      </c>
      <c r="S2350" s="26">
        <f>IF($D2350="","",ROUND(N($J2350)*N($R2350),0))</f>
        <v/>
      </c>
      <c r="T2350" s="26">
        <f>IF($D2350="","",IF($K2350&lt;&gt;"对外销售","",ROUND($Q2350-$S2350,0)))</f>
        <v/>
      </c>
      <c r="U2350" s="17" t="n"/>
      <c r="V2350" s="17" t="n"/>
      <c r="W2350" s="24">
        <f>IF($D2350="","",IF($E2350="※编码不在物料档案里","※物料编码不在档案里",IF(N($J2350)&lt;=0,"※出库数量要大于 0",IF($K2350="","※没填去向类型",IF($L2350="","※没填去向矿区",IF(AND($C2350&lt;&gt;"",$C2350&lt;=结账锁),"※日期早于已结账截止日，不能再录",IF(AND($K2350="自用消耗",COUNTIF({"一矿区";"二矿区"},$L2350)=0),"※自用消耗的去向只能是一矿区或二矿区",IF(AND($K2350="对外销售",COUNTIF({"三矿区";"六矿区"},$L2350)=0),"※对外销售的去向只能是三矿区或六矿区",IF(AND($K2350="对外销售",ROUND($Q2350,0)=0),"※外销却没有售价，请填实际售价",IF(AND($K2350="对外销售",$T2350&lt;&gt;"",$T2350&lt;0),"※这一笔外销是亏的，请核对售价",IF(IFERROR(VLOOKUP($D2350,库存台账!$A$5:$Y$1204,24,0),0)&lt;-0.001,"※这个物料账面已经变成负数了，查一下是不是漏记入库","")))))))))))</f>
        <v/>
      </c>
    </row>
    <row r="2351">
      <c r="A2351" s="24">
        <f>IF($D2351="","",COUNTA($D$4:$D2351))</f>
        <v/>
      </c>
      <c r="B2351" s="17" t="n"/>
      <c r="C2351" s="30" t="n"/>
      <c r="D2351" s="17" t="n"/>
      <c r="E2351" s="24">
        <f>IF($D2351="","",IFERROR(VLOOKUP($D2351,物料档案!$A$4:$P$1203,3,0),"※编码不在物料档案里"))</f>
        <v/>
      </c>
      <c r="F2351" s="24">
        <f>IF($D2351="","",IFERROR(VLOOKUP($D2351,物料档案!$A$4:$P$1203,4,0),"※编码不在物料档案里"))</f>
        <v/>
      </c>
      <c r="G2351" s="24">
        <f>IF($D2351="","",IFERROR(VLOOKUP($D2351,物料档案!$A$4:$P$1203,5,0),"※编码不在物料档案里"))</f>
        <v/>
      </c>
      <c r="H2351" s="24">
        <f>IF($D2351="","",IFERROR(VLOOKUP($D2351,物料档案!$A$4:$P$1203,2,0),"※编码不在物料档案里"))</f>
        <v/>
      </c>
      <c r="I2351" s="24">
        <f>IF($D2351="","",IFERROR(VLOOKUP($D2351,物料档案!$A$4:$P$1203,6,0),"※编码不在物料档案里"))</f>
        <v/>
      </c>
      <c r="J2351" s="23" t="n"/>
      <c r="K2351" s="17" t="n"/>
      <c r="L2351" s="17" t="n"/>
      <c r="M2351" s="17" t="n"/>
      <c r="N2351" s="17" t="n"/>
      <c r="O2351" s="26">
        <f>IF($D2351="","",IFERROR(VLOOKUP($D2351,物料档案!$A$4:$P$1203,10,0),0))</f>
        <v/>
      </c>
      <c r="P2351" s="32" t="n"/>
      <c r="Q2351" s="26">
        <f>IF($D2351="","",IF($K2351&lt;&gt;"对外销售",0,ROUND(N($J2351)*IF($P2351="",N($O2351),N($P2351)),0)))</f>
        <v/>
      </c>
      <c r="R2351" s="26">
        <f>IF($D2351="","",IFERROR(VLOOKUP($D2351,库存台账!$A$5:$Y$1204,11,0),0))</f>
        <v/>
      </c>
      <c r="S2351" s="26">
        <f>IF($D2351="","",ROUND(N($J2351)*N($R2351),0))</f>
        <v/>
      </c>
      <c r="T2351" s="26">
        <f>IF($D2351="","",IF($K2351&lt;&gt;"对外销售","",ROUND($Q2351-$S2351,0)))</f>
        <v/>
      </c>
      <c r="U2351" s="17" t="n"/>
      <c r="V2351" s="17" t="n"/>
      <c r="W2351" s="24">
        <f>IF($D2351="","",IF($E2351="※编码不在物料档案里","※物料编码不在档案里",IF(N($J2351)&lt;=0,"※出库数量要大于 0",IF($K2351="","※没填去向类型",IF($L2351="","※没填去向矿区",IF(AND($C2351&lt;&gt;"",$C2351&lt;=结账锁),"※日期早于已结账截止日，不能再录",IF(AND($K2351="自用消耗",COUNTIF({"一矿区";"二矿区"},$L2351)=0),"※自用消耗的去向只能是一矿区或二矿区",IF(AND($K2351="对外销售",COUNTIF({"三矿区";"六矿区"},$L2351)=0),"※对外销售的去向只能是三矿区或六矿区",IF(AND($K2351="对外销售",ROUND($Q2351,0)=0),"※外销却没有售价，请填实际售价",IF(AND($K2351="对外销售",$T2351&lt;&gt;"",$T2351&lt;0),"※这一笔外销是亏的，请核对售价",IF(IFERROR(VLOOKUP($D2351,库存台账!$A$5:$Y$1204,24,0),0)&lt;-0.001,"※这个物料账面已经变成负数了，查一下是不是漏记入库","")))))))))))</f>
        <v/>
      </c>
    </row>
    <row r="2352">
      <c r="A2352" s="24">
        <f>IF($D2352="","",COUNTA($D$4:$D2352))</f>
        <v/>
      </c>
      <c r="B2352" s="17" t="n"/>
      <c r="C2352" s="30" t="n"/>
      <c r="D2352" s="17" t="n"/>
      <c r="E2352" s="24">
        <f>IF($D2352="","",IFERROR(VLOOKUP($D2352,物料档案!$A$4:$P$1203,3,0),"※编码不在物料档案里"))</f>
        <v/>
      </c>
      <c r="F2352" s="24">
        <f>IF($D2352="","",IFERROR(VLOOKUP($D2352,物料档案!$A$4:$P$1203,4,0),"※编码不在物料档案里"))</f>
        <v/>
      </c>
      <c r="G2352" s="24">
        <f>IF($D2352="","",IFERROR(VLOOKUP($D2352,物料档案!$A$4:$P$1203,5,0),"※编码不在物料档案里"))</f>
        <v/>
      </c>
      <c r="H2352" s="24">
        <f>IF($D2352="","",IFERROR(VLOOKUP($D2352,物料档案!$A$4:$P$1203,2,0),"※编码不在物料档案里"))</f>
        <v/>
      </c>
      <c r="I2352" s="24">
        <f>IF($D2352="","",IFERROR(VLOOKUP($D2352,物料档案!$A$4:$P$1203,6,0),"※编码不在物料档案里"))</f>
        <v/>
      </c>
      <c r="J2352" s="23" t="n"/>
      <c r="K2352" s="17" t="n"/>
      <c r="L2352" s="17" t="n"/>
      <c r="M2352" s="17" t="n"/>
      <c r="N2352" s="17" t="n"/>
      <c r="O2352" s="26">
        <f>IF($D2352="","",IFERROR(VLOOKUP($D2352,物料档案!$A$4:$P$1203,10,0),0))</f>
        <v/>
      </c>
      <c r="P2352" s="32" t="n"/>
      <c r="Q2352" s="26">
        <f>IF($D2352="","",IF($K2352&lt;&gt;"对外销售",0,ROUND(N($J2352)*IF($P2352="",N($O2352),N($P2352)),0)))</f>
        <v/>
      </c>
      <c r="R2352" s="26">
        <f>IF($D2352="","",IFERROR(VLOOKUP($D2352,库存台账!$A$5:$Y$1204,11,0),0))</f>
        <v/>
      </c>
      <c r="S2352" s="26">
        <f>IF($D2352="","",ROUND(N($J2352)*N($R2352),0))</f>
        <v/>
      </c>
      <c r="T2352" s="26">
        <f>IF($D2352="","",IF($K2352&lt;&gt;"对外销售","",ROUND($Q2352-$S2352,0)))</f>
        <v/>
      </c>
      <c r="U2352" s="17" t="n"/>
      <c r="V2352" s="17" t="n"/>
      <c r="W2352" s="24">
        <f>IF($D2352="","",IF($E2352="※编码不在物料档案里","※物料编码不在档案里",IF(N($J2352)&lt;=0,"※出库数量要大于 0",IF($K2352="","※没填去向类型",IF($L2352="","※没填去向矿区",IF(AND($C2352&lt;&gt;"",$C2352&lt;=结账锁),"※日期早于已结账截止日，不能再录",IF(AND($K2352="自用消耗",COUNTIF({"一矿区";"二矿区"},$L2352)=0),"※自用消耗的去向只能是一矿区或二矿区",IF(AND($K2352="对外销售",COUNTIF({"三矿区";"六矿区"},$L2352)=0),"※对外销售的去向只能是三矿区或六矿区",IF(AND($K2352="对外销售",ROUND($Q2352,0)=0),"※外销却没有售价，请填实际售价",IF(AND($K2352="对外销售",$T2352&lt;&gt;"",$T2352&lt;0),"※这一笔外销是亏的，请核对售价",IF(IFERROR(VLOOKUP($D2352,库存台账!$A$5:$Y$1204,24,0),0)&lt;-0.001,"※这个物料账面已经变成负数了，查一下是不是漏记入库","")))))))))))</f>
        <v/>
      </c>
    </row>
    <row r="2353">
      <c r="A2353" s="24">
        <f>IF($D2353="","",COUNTA($D$4:$D2353))</f>
        <v/>
      </c>
      <c r="B2353" s="17" t="n"/>
      <c r="C2353" s="30" t="n"/>
      <c r="D2353" s="17" t="n"/>
      <c r="E2353" s="24">
        <f>IF($D2353="","",IFERROR(VLOOKUP($D2353,物料档案!$A$4:$P$1203,3,0),"※编码不在物料档案里"))</f>
        <v/>
      </c>
      <c r="F2353" s="24">
        <f>IF($D2353="","",IFERROR(VLOOKUP($D2353,物料档案!$A$4:$P$1203,4,0),"※编码不在物料档案里"))</f>
        <v/>
      </c>
      <c r="G2353" s="24">
        <f>IF($D2353="","",IFERROR(VLOOKUP($D2353,物料档案!$A$4:$P$1203,5,0),"※编码不在物料档案里"))</f>
        <v/>
      </c>
      <c r="H2353" s="24">
        <f>IF($D2353="","",IFERROR(VLOOKUP($D2353,物料档案!$A$4:$P$1203,2,0),"※编码不在物料档案里"))</f>
        <v/>
      </c>
      <c r="I2353" s="24">
        <f>IF($D2353="","",IFERROR(VLOOKUP($D2353,物料档案!$A$4:$P$1203,6,0),"※编码不在物料档案里"))</f>
        <v/>
      </c>
      <c r="J2353" s="23" t="n"/>
      <c r="K2353" s="17" t="n"/>
      <c r="L2353" s="17" t="n"/>
      <c r="M2353" s="17" t="n"/>
      <c r="N2353" s="17" t="n"/>
      <c r="O2353" s="26">
        <f>IF($D2353="","",IFERROR(VLOOKUP($D2353,物料档案!$A$4:$P$1203,10,0),0))</f>
        <v/>
      </c>
      <c r="P2353" s="32" t="n"/>
      <c r="Q2353" s="26">
        <f>IF($D2353="","",IF($K2353&lt;&gt;"对外销售",0,ROUND(N($J2353)*IF($P2353="",N($O2353),N($P2353)),0)))</f>
        <v/>
      </c>
      <c r="R2353" s="26">
        <f>IF($D2353="","",IFERROR(VLOOKUP($D2353,库存台账!$A$5:$Y$1204,11,0),0))</f>
        <v/>
      </c>
      <c r="S2353" s="26">
        <f>IF($D2353="","",ROUND(N($J2353)*N($R2353),0))</f>
        <v/>
      </c>
      <c r="T2353" s="26">
        <f>IF($D2353="","",IF($K2353&lt;&gt;"对外销售","",ROUND($Q2353-$S2353,0)))</f>
        <v/>
      </c>
      <c r="U2353" s="17" t="n"/>
      <c r="V2353" s="17" t="n"/>
      <c r="W2353" s="24">
        <f>IF($D2353="","",IF($E2353="※编码不在物料档案里","※物料编码不在档案里",IF(N($J2353)&lt;=0,"※出库数量要大于 0",IF($K2353="","※没填去向类型",IF($L2353="","※没填去向矿区",IF(AND($C2353&lt;&gt;"",$C2353&lt;=结账锁),"※日期早于已结账截止日，不能再录",IF(AND($K2353="自用消耗",COUNTIF({"一矿区";"二矿区"},$L2353)=0),"※自用消耗的去向只能是一矿区或二矿区",IF(AND($K2353="对外销售",COUNTIF({"三矿区";"六矿区"},$L2353)=0),"※对外销售的去向只能是三矿区或六矿区",IF(AND($K2353="对外销售",ROUND($Q2353,0)=0),"※外销却没有售价，请填实际售价",IF(AND($K2353="对外销售",$T2353&lt;&gt;"",$T2353&lt;0),"※这一笔外销是亏的，请核对售价",IF(IFERROR(VLOOKUP($D2353,库存台账!$A$5:$Y$1204,24,0),0)&lt;-0.001,"※这个物料账面已经变成负数了，查一下是不是漏记入库","")))))))))))</f>
        <v/>
      </c>
    </row>
    <row r="2354">
      <c r="A2354" s="24">
        <f>IF($D2354="","",COUNTA($D$4:$D2354))</f>
        <v/>
      </c>
      <c r="B2354" s="17" t="n"/>
      <c r="C2354" s="30" t="n"/>
      <c r="D2354" s="17" t="n"/>
      <c r="E2354" s="24">
        <f>IF($D2354="","",IFERROR(VLOOKUP($D2354,物料档案!$A$4:$P$1203,3,0),"※编码不在物料档案里"))</f>
        <v/>
      </c>
      <c r="F2354" s="24">
        <f>IF($D2354="","",IFERROR(VLOOKUP($D2354,物料档案!$A$4:$P$1203,4,0),"※编码不在物料档案里"))</f>
        <v/>
      </c>
      <c r="G2354" s="24">
        <f>IF($D2354="","",IFERROR(VLOOKUP($D2354,物料档案!$A$4:$P$1203,5,0),"※编码不在物料档案里"))</f>
        <v/>
      </c>
      <c r="H2354" s="24">
        <f>IF($D2354="","",IFERROR(VLOOKUP($D2354,物料档案!$A$4:$P$1203,2,0),"※编码不在物料档案里"))</f>
        <v/>
      </c>
      <c r="I2354" s="24">
        <f>IF($D2354="","",IFERROR(VLOOKUP($D2354,物料档案!$A$4:$P$1203,6,0),"※编码不在物料档案里"))</f>
        <v/>
      </c>
      <c r="J2354" s="23" t="n"/>
      <c r="K2354" s="17" t="n"/>
      <c r="L2354" s="17" t="n"/>
      <c r="M2354" s="17" t="n"/>
      <c r="N2354" s="17" t="n"/>
      <c r="O2354" s="26">
        <f>IF($D2354="","",IFERROR(VLOOKUP($D2354,物料档案!$A$4:$P$1203,10,0),0))</f>
        <v/>
      </c>
      <c r="P2354" s="32" t="n"/>
      <c r="Q2354" s="26">
        <f>IF($D2354="","",IF($K2354&lt;&gt;"对外销售",0,ROUND(N($J2354)*IF($P2354="",N($O2354),N($P2354)),0)))</f>
        <v/>
      </c>
      <c r="R2354" s="26">
        <f>IF($D2354="","",IFERROR(VLOOKUP($D2354,库存台账!$A$5:$Y$1204,11,0),0))</f>
        <v/>
      </c>
      <c r="S2354" s="26">
        <f>IF($D2354="","",ROUND(N($J2354)*N($R2354),0))</f>
        <v/>
      </c>
      <c r="T2354" s="26">
        <f>IF($D2354="","",IF($K2354&lt;&gt;"对外销售","",ROUND($Q2354-$S2354,0)))</f>
        <v/>
      </c>
      <c r="U2354" s="17" t="n"/>
      <c r="V2354" s="17" t="n"/>
      <c r="W2354" s="24">
        <f>IF($D2354="","",IF($E2354="※编码不在物料档案里","※物料编码不在档案里",IF(N($J2354)&lt;=0,"※出库数量要大于 0",IF($K2354="","※没填去向类型",IF($L2354="","※没填去向矿区",IF(AND($C2354&lt;&gt;"",$C2354&lt;=结账锁),"※日期早于已结账截止日，不能再录",IF(AND($K2354="自用消耗",COUNTIF({"一矿区";"二矿区"},$L2354)=0),"※自用消耗的去向只能是一矿区或二矿区",IF(AND($K2354="对外销售",COUNTIF({"三矿区";"六矿区"},$L2354)=0),"※对外销售的去向只能是三矿区或六矿区",IF(AND($K2354="对外销售",ROUND($Q2354,0)=0),"※外销却没有售价，请填实际售价",IF(AND($K2354="对外销售",$T2354&lt;&gt;"",$T2354&lt;0),"※这一笔外销是亏的，请核对售价",IF(IFERROR(VLOOKUP($D2354,库存台账!$A$5:$Y$1204,24,0),0)&lt;-0.001,"※这个物料账面已经变成负数了，查一下是不是漏记入库","")))))))))))</f>
        <v/>
      </c>
    </row>
    <row r="2355">
      <c r="A2355" s="24">
        <f>IF($D2355="","",COUNTA($D$4:$D2355))</f>
        <v/>
      </c>
      <c r="B2355" s="17" t="n"/>
      <c r="C2355" s="30" t="n"/>
      <c r="D2355" s="17" t="n"/>
      <c r="E2355" s="24">
        <f>IF($D2355="","",IFERROR(VLOOKUP($D2355,物料档案!$A$4:$P$1203,3,0),"※编码不在物料档案里"))</f>
        <v/>
      </c>
      <c r="F2355" s="24">
        <f>IF($D2355="","",IFERROR(VLOOKUP($D2355,物料档案!$A$4:$P$1203,4,0),"※编码不在物料档案里"))</f>
        <v/>
      </c>
      <c r="G2355" s="24">
        <f>IF($D2355="","",IFERROR(VLOOKUP($D2355,物料档案!$A$4:$P$1203,5,0),"※编码不在物料档案里"))</f>
        <v/>
      </c>
      <c r="H2355" s="24">
        <f>IF($D2355="","",IFERROR(VLOOKUP($D2355,物料档案!$A$4:$P$1203,2,0),"※编码不在物料档案里"))</f>
        <v/>
      </c>
      <c r="I2355" s="24">
        <f>IF($D2355="","",IFERROR(VLOOKUP($D2355,物料档案!$A$4:$P$1203,6,0),"※编码不在物料档案里"))</f>
        <v/>
      </c>
      <c r="J2355" s="23" t="n"/>
      <c r="K2355" s="17" t="n"/>
      <c r="L2355" s="17" t="n"/>
      <c r="M2355" s="17" t="n"/>
      <c r="N2355" s="17" t="n"/>
      <c r="O2355" s="26">
        <f>IF($D2355="","",IFERROR(VLOOKUP($D2355,物料档案!$A$4:$P$1203,10,0),0))</f>
        <v/>
      </c>
      <c r="P2355" s="32" t="n"/>
      <c r="Q2355" s="26">
        <f>IF($D2355="","",IF($K2355&lt;&gt;"对外销售",0,ROUND(N($J2355)*IF($P2355="",N($O2355),N($P2355)),0)))</f>
        <v/>
      </c>
      <c r="R2355" s="26">
        <f>IF($D2355="","",IFERROR(VLOOKUP($D2355,库存台账!$A$5:$Y$1204,11,0),0))</f>
        <v/>
      </c>
      <c r="S2355" s="26">
        <f>IF($D2355="","",ROUND(N($J2355)*N($R2355),0))</f>
        <v/>
      </c>
      <c r="T2355" s="26">
        <f>IF($D2355="","",IF($K2355&lt;&gt;"对外销售","",ROUND($Q2355-$S2355,0)))</f>
        <v/>
      </c>
      <c r="U2355" s="17" t="n"/>
      <c r="V2355" s="17" t="n"/>
      <c r="W2355" s="24">
        <f>IF($D2355="","",IF($E2355="※编码不在物料档案里","※物料编码不在档案里",IF(N($J2355)&lt;=0,"※出库数量要大于 0",IF($K2355="","※没填去向类型",IF($L2355="","※没填去向矿区",IF(AND($C2355&lt;&gt;"",$C2355&lt;=结账锁),"※日期早于已结账截止日，不能再录",IF(AND($K2355="自用消耗",COUNTIF({"一矿区";"二矿区"},$L2355)=0),"※自用消耗的去向只能是一矿区或二矿区",IF(AND($K2355="对外销售",COUNTIF({"三矿区";"六矿区"},$L2355)=0),"※对外销售的去向只能是三矿区或六矿区",IF(AND($K2355="对外销售",ROUND($Q2355,0)=0),"※外销却没有售价，请填实际售价",IF(AND($K2355="对外销售",$T2355&lt;&gt;"",$T2355&lt;0),"※这一笔外销是亏的，请核对售价",IF(IFERROR(VLOOKUP($D2355,库存台账!$A$5:$Y$1204,24,0),0)&lt;-0.001,"※这个物料账面已经变成负数了，查一下是不是漏记入库","")))))))))))</f>
        <v/>
      </c>
    </row>
    <row r="2356">
      <c r="A2356" s="24">
        <f>IF($D2356="","",COUNTA($D$4:$D2356))</f>
        <v/>
      </c>
      <c r="B2356" s="17" t="n"/>
      <c r="C2356" s="30" t="n"/>
      <c r="D2356" s="17" t="n"/>
      <c r="E2356" s="24">
        <f>IF($D2356="","",IFERROR(VLOOKUP($D2356,物料档案!$A$4:$P$1203,3,0),"※编码不在物料档案里"))</f>
        <v/>
      </c>
      <c r="F2356" s="24">
        <f>IF($D2356="","",IFERROR(VLOOKUP($D2356,物料档案!$A$4:$P$1203,4,0),"※编码不在物料档案里"))</f>
        <v/>
      </c>
      <c r="G2356" s="24">
        <f>IF($D2356="","",IFERROR(VLOOKUP($D2356,物料档案!$A$4:$P$1203,5,0),"※编码不在物料档案里"))</f>
        <v/>
      </c>
      <c r="H2356" s="24">
        <f>IF($D2356="","",IFERROR(VLOOKUP($D2356,物料档案!$A$4:$P$1203,2,0),"※编码不在物料档案里"))</f>
        <v/>
      </c>
      <c r="I2356" s="24">
        <f>IF($D2356="","",IFERROR(VLOOKUP($D2356,物料档案!$A$4:$P$1203,6,0),"※编码不在物料档案里"))</f>
        <v/>
      </c>
      <c r="J2356" s="23" t="n"/>
      <c r="K2356" s="17" t="n"/>
      <c r="L2356" s="17" t="n"/>
      <c r="M2356" s="17" t="n"/>
      <c r="N2356" s="17" t="n"/>
      <c r="O2356" s="26">
        <f>IF($D2356="","",IFERROR(VLOOKUP($D2356,物料档案!$A$4:$P$1203,10,0),0))</f>
        <v/>
      </c>
      <c r="P2356" s="32" t="n"/>
      <c r="Q2356" s="26">
        <f>IF($D2356="","",IF($K2356&lt;&gt;"对外销售",0,ROUND(N($J2356)*IF($P2356="",N($O2356),N($P2356)),0)))</f>
        <v/>
      </c>
      <c r="R2356" s="26">
        <f>IF($D2356="","",IFERROR(VLOOKUP($D2356,库存台账!$A$5:$Y$1204,11,0),0))</f>
        <v/>
      </c>
      <c r="S2356" s="26">
        <f>IF($D2356="","",ROUND(N($J2356)*N($R2356),0))</f>
        <v/>
      </c>
      <c r="T2356" s="26">
        <f>IF($D2356="","",IF($K2356&lt;&gt;"对外销售","",ROUND($Q2356-$S2356,0)))</f>
        <v/>
      </c>
      <c r="U2356" s="17" t="n"/>
      <c r="V2356" s="17" t="n"/>
      <c r="W2356" s="24">
        <f>IF($D2356="","",IF($E2356="※编码不在物料档案里","※物料编码不在档案里",IF(N($J2356)&lt;=0,"※出库数量要大于 0",IF($K2356="","※没填去向类型",IF($L2356="","※没填去向矿区",IF(AND($C2356&lt;&gt;"",$C2356&lt;=结账锁),"※日期早于已结账截止日，不能再录",IF(AND($K2356="自用消耗",COUNTIF({"一矿区";"二矿区"},$L2356)=0),"※自用消耗的去向只能是一矿区或二矿区",IF(AND($K2356="对外销售",COUNTIF({"三矿区";"六矿区"},$L2356)=0),"※对外销售的去向只能是三矿区或六矿区",IF(AND($K2356="对外销售",ROUND($Q2356,0)=0),"※外销却没有售价，请填实际售价",IF(AND($K2356="对外销售",$T2356&lt;&gt;"",$T2356&lt;0),"※这一笔外销是亏的，请核对售价",IF(IFERROR(VLOOKUP($D2356,库存台账!$A$5:$Y$1204,24,0),0)&lt;-0.001,"※这个物料账面已经变成负数了，查一下是不是漏记入库","")))))))))))</f>
        <v/>
      </c>
    </row>
    <row r="2357">
      <c r="A2357" s="24">
        <f>IF($D2357="","",COUNTA($D$4:$D2357))</f>
        <v/>
      </c>
      <c r="B2357" s="17" t="n"/>
      <c r="C2357" s="30" t="n"/>
      <c r="D2357" s="17" t="n"/>
      <c r="E2357" s="24">
        <f>IF($D2357="","",IFERROR(VLOOKUP($D2357,物料档案!$A$4:$P$1203,3,0),"※编码不在物料档案里"))</f>
        <v/>
      </c>
      <c r="F2357" s="24">
        <f>IF($D2357="","",IFERROR(VLOOKUP($D2357,物料档案!$A$4:$P$1203,4,0),"※编码不在物料档案里"))</f>
        <v/>
      </c>
      <c r="G2357" s="24">
        <f>IF($D2357="","",IFERROR(VLOOKUP($D2357,物料档案!$A$4:$P$1203,5,0),"※编码不在物料档案里"))</f>
        <v/>
      </c>
      <c r="H2357" s="24">
        <f>IF($D2357="","",IFERROR(VLOOKUP($D2357,物料档案!$A$4:$P$1203,2,0),"※编码不在物料档案里"))</f>
        <v/>
      </c>
      <c r="I2357" s="24">
        <f>IF($D2357="","",IFERROR(VLOOKUP($D2357,物料档案!$A$4:$P$1203,6,0),"※编码不在物料档案里"))</f>
        <v/>
      </c>
      <c r="J2357" s="23" t="n"/>
      <c r="K2357" s="17" t="n"/>
      <c r="L2357" s="17" t="n"/>
      <c r="M2357" s="17" t="n"/>
      <c r="N2357" s="17" t="n"/>
      <c r="O2357" s="26">
        <f>IF($D2357="","",IFERROR(VLOOKUP($D2357,物料档案!$A$4:$P$1203,10,0),0))</f>
        <v/>
      </c>
      <c r="P2357" s="32" t="n"/>
      <c r="Q2357" s="26">
        <f>IF($D2357="","",IF($K2357&lt;&gt;"对外销售",0,ROUND(N($J2357)*IF($P2357="",N($O2357),N($P2357)),0)))</f>
        <v/>
      </c>
      <c r="R2357" s="26">
        <f>IF($D2357="","",IFERROR(VLOOKUP($D2357,库存台账!$A$5:$Y$1204,11,0),0))</f>
        <v/>
      </c>
      <c r="S2357" s="26">
        <f>IF($D2357="","",ROUND(N($J2357)*N($R2357),0))</f>
        <v/>
      </c>
      <c r="T2357" s="26">
        <f>IF($D2357="","",IF($K2357&lt;&gt;"对外销售","",ROUND($Q2357-$S2357,0)))</f>
        <v/>
      </c>
      <c r="U2357" s="17" t="n"/>
      <c r="V2357" s="17" t="n"/>
      <c r="W2357" s="24">
        <f>IF($D2357="","",IF($E2357="※编码不在物料档案里","※物料编码不在档案里",IF(N($J2357)&lt;=0,"※出库数量要大于 0",IF($K2357="","※没填去向类型",IF($L2357="","※没填去向矿区",IF(AND($C2357&lt;&gt;"",$C2357&lt;=结账锁),"※日期早于已结账截止日，不能再录",IF(AND($K2357="自用消耗",COUNTIF({"一矿区";"二矿区"},$L2357)=0),"※自用消耗的去向只能是一矿区或二矿区",IF(AND($K2357="对外销售",COUNTIF({"三矿区";"六矿区"},$L2357)=0),"※对外销售的去向只能是三矿区或六矿区",IF(AND($K2357="对外销售",ROUND($Q2357,0)=0),"※外销却没有售价，请填实际售价",IF(AND($K2357="对外销售",$T2357&lt;&gt;"",$T2357&lt;0),"※这一笔外销是亏的，请核对售价",IF(IFERROR(VLOOKUP($D2357,库存台账!$A$5:$Y$1204,24,0),0)&lt;-0.001,"※这个物料账面已经变成负数了，查一下是不是漏记入库","")))))))))))</f>
        <v/>
      </c>
    </row>
    <row r="2358">
      <c r="A2358" s="24">
        <f>IF($D2358="","",COUNTA($D$4:$D2358))</f>
        <v/>
      </c>
      <c r="B2358" s="17" t="n"/>
      <c r="C2358" s="30" t="n"/>
      <c r="D2358" s="17" t="n"/>
      <c r="E2358" s="24">
        <f>IF($D2358="","",IFERROR(VLOOKUP($D2358,物料档案!$A$4:$P$1203,3,0),"※编码不在物料档案里"))</f>
        <v/>
      </c>
      <c r="F2358" s="24">
        <f>IF($D2358="","",IFERROR(VLOOKUP($D2358,物料档案!$A$4:$P$1203,4,0),"※编码不在物料档案里"))</f>
        <v/>
      </c>
      <c r="G2358" s="24">
        <f>IF($D2358="","",IFERROR(VLOOKUP($D2358,物料档案!$A$4:$P$1203,5,0),"※编码不在物料档案里"))</f>
        <v/>
      </c>
      <c r="H2358" s="24">
        <f>IF($D2358="","",IFERROR(VLOOKUP($D2358,物料档案!$A$4:$P$1203,2,0),"※编码不在物料档案里"))</f>
        <v/>
      </c>
      <c r="I2358" s="24">
        <f>IF($D2358="","",IFERROR(VLOOKUP($D2358,物料档案!$A$4:$P$1203,6,0),"※编码不在物料档案里"))</f>
        <v/>
      </c>
      <c r="J2358" s="23" t="n"/>
      <c r="K2358" s="17" t="n"/>
      <c r="L2358" s="17" t="n"/>
      <c r="M2358" s="17" t="n"/>
      <c r="N2358" s="17" t="n"/>
      <c r="O2358" s="26">
        <f>IF($D2358="","",IFERROR(VLOOKUP($D2358,物料档案!$A$4:$P$1203,10,0),0))</f>
        <v/>
      </c>
      <c r="P2358" s="32" t="n"/>
      <c r="Q2358" s="26">
        <f>IF($D2358="","",IF($K2358&lt;&gt;"对外销售",0,ROUND(N($J2358)*IF($P2358="",N($O2358),N($P2358)),0)))</f>
        <v/>
      </c>
      <c r="R2358" s="26">
        <f>IF($D2358="","",IFERROR(VLOOKUP($D2358,库存台账!$A$5:$Y$1204,11,0),0))</f>
        <v/>
      </c>
      <c r="S2358" s="26">
        <f>IF($D2358="","",ROUND(N($J2358)*N($R2358),0))</f>
        <v/>
      </c>
      <c r="T2358" s="26">
        <f>IF($D2358="","",IF($K2358&lt;&gt;"对外销售","",ROUND($Q2358-$S2358,0)))</f>
        <v/>
      </c>
      <c r="U2358" s="17" t="n"/>
      <c r="V2358" s="17" t="n"/>
      <c r="W2358" s="24">
        <f>IF($D2358="","",IF($E2358="※编码不在物料档案里","※物料编码不在档案里",IF(N($J2358)&lt;=0,"※出库数量要大于 0",IF($K2358="","※没填去向类型",IF($L2358="","※没填去向矿区",IF(AND($C2358&lt;&gt;"",$C2358&lt;=结账锁),"※日期早于已结账截止日，不能再录",IF(AND($K2358="自用消耗",COUNTIF({"一矿区";"二矿区"},$L2358)=0),"※自用消耗的去向只能是一矿区或二矿区",IF(AND($K2358="对外销售",COUNTIF({"三矿区";"六矿区"},$L2358)=0),"※对外销售的去向只能是三矿区或六矿区",IF(AND($K2358="对外销售",ROUND($Q2358,0)=0),"※外销却没有售价，请填实际售价",IF(AND($K2358="对外销售",$T2358&lt;&gt;"",$T2358&lt;0),"※这一笔外销是亏的，请核对售价",IF(IFERROR(VLOOKUP($D2358,库存台账!$A$5:$Y$1204,24,0),0)&lt;-0.001,"※这个物料账面已经变成负数了，查一下是不是漏记入库","")))))))))))</f>
        <v/>
      </c>
    </row>
    <row r="2359">
      <c r="A2359" s="24">
        <f>IF($D2359="","",COUNTA($D$4:$D2359))</f>
        <v/>
      </c>
      <c r="B2359" s="17" t="n"/>
      <c r="C2359" s="30" t="n"/>
      <c r="D2359" s="17" t="n"/>
      <c r="E2359" s="24">
        <f>IF($D2359="","",IFERROR(VLOOKUP($D2359,物料档案!$A$4:$P$1203,3,0),"※编码不在物料档案里"))</f>
        <v/>
      </c>
      <c r="F2359" s="24">
        <f>IF($D2359="","",IFERROR(VLOOKUP($D2359,物料档案!$A$4:$P$1203,4,0),"※编码不在物料档案里"))</f>
        <v/>
      </c>
      <c r="G2359" s="24">
        <f>IF($D2359="","",IFERROR(VLOOKUP($D2359,物料档案!$A$4:$P$1203,5,0),"※编码不在物料档案里"))</f>
        <v/>
      </c>
      <c r="H2359" s="24">
        <f>IF($D2359="","",IFERROR(VLOOKUP($D2359,物料档案!$A$4:$P$1203,2,0),"※编码不在物料档案里"))</f>
        <v/>
      </c>
      <c r="I2359" s="24">
        <f>IF($D2359="","",IFERROR(VLOOKUP($D2359,物料档案!$A$4:$P$1203,6,0),"※编码不在物料档案里"))</f>
        <v/>
      </c>
      <c r="J2359" s="23" t="n"/>
      <c r="K2359" s="17" t="n"/>
      <c r="L2359" s="17" t="n"/>
      <c r="M2359" s="17" t="n"/>
      <c r="N2359" s="17" t="n"/>
      <c r="O2359" s="26">
        <f>IF($D2359="","",IFERROR(VLOOKUP($D2359,物料档案!$A$4:$P$1203,10,0),0))</f>
        <v/>
      </c>
      <c r="P2359" s="32" t="n"/>
      <c r="Q2359" s="26">
        <f>IF($D2359="","",IF($K2359&lt;&gt;"对外销售",0,ROUND(N($J2359)*IF($P2359="",N($O2359),N($P2359)),0)))</f>
        <v/>
      </c>
      <c r="R2359" s="26">
        <f>IF($D2359="","",IFERROR(VLOOKUP($D2359,库存台账!$A$5:$Y$1204,11,0),0))</f>
        <v/>
      </c>
      <c r="S2359" s="26">
        <f>IF($D2359="","",ROUND(N($J2359)*N($R2359),0))</f>
        <v/>
      </c>
      <c r="T2359" s="26">
        <f>IF($D2359="","",IF($K2359&lt;&gt;"对外销售","",ROUND($Q2359-$S2359,0)))</f>
        <v/>
      </c>
      <c r="U2359" s="17" t="n"/>
      <c r="V2359" s="17" t="n"/>
      <c r="W2359" s="24">
        <f>IF($D2359="","",IF($E2359="※编码不在物料档案里","※物料编码不在档案里",IF(N($J2359)&lt;=0,"※出库数量要大于 0",IF($K2359="","※没填去向类型",IF($L2359="","※没填去向矿区",IF(AND($C2359&lt;&gt;"",$C2359&lt;=结账锁),"※日期早于已结账截止日，不能再录",IF(AND($K2359="自用消耗",COUNTIF({"一矿区";"二矿区"},$L2359)=0),"※自用消耗的去向只能是一矿区或二矿区",IF(AND($K2359="对外销售",COUNTIF({"三矿区";"六矿区"},$L2359)=0),"※对外销售的去向只能是三矿区或六矿区",IF(AND($K2359="对外销售",ROUND($Q2359,0)=0),"※外销却没有售价，请填实际售价",IF(AND($K2359="对外销售",$T2359&lt;&gt;"",$T2359&lt;0),"※这一笔外销是亏的，请核对售价",IF(IFERROR(VLOOKUP($D2359,库存台账!$A$5:$Y$1204,24,0),0)&lt;-0.001,"※这个物料账面已经变成负数了，查一下是不是漏记入库","")))))))))))</f>
        <v/>
      </c>
    </row>
    <row r="2360">
      <c r="A2360" s="24">
        <f>IF($D2360="","",COUNTA($D$4:$D2360))</f>
        <v/>
      </c>
      <c r="B2360" s="17" t="n"/>
      <c r="C2360" s="30" t="n"/>
      <c r="D2360" s="17" t="n"/>
      <c r="E2360" s="24">
        <f>IF($D2360="","",IFERROR(VLOOKUP($D2360,物料档案!$A$4:$P$1203,3,0),"※编码不在物料档案里"))</f>
        <v/>
      </c>
      <c r="F2360" s="24">
        <f>IF($D2360="","",IFERROR(VLOOKUP($D2360,物料档案!$A$4:$P$1203,4,0),"※编码不在物料档案里"))</f>
        <v/>
      </c>
      <c r="G2360" s="24">
        <f>IF($D2360="","",IFERROR(VLOOKUP($D2360,物料档案!$A$4:$P$1203,5,0),"※编码不在物料档案里"))</f>
        <v/>
      </c>
      <c r="H2360" s="24">
        <f>IF($D2360="","",IFERROR(VLOOKUP($D2360,物料档案!$A$4:$P$1203,2,0),"※编码不在物料档案里"))</f>
        <v/>
      </c>
      <c r="I2360" s="24">
        <f>IF($D2360="","",IFERROR(VLOOKUP($D2360,物料档案!$A$4:$P$1203,6,0),"※编码不在物料档案里"))</f>
        <v/>
      </c>
      <c r="J2360" s="23" t="n"/>
      <c r="K2360" s="17" t="n"/>
      <c r="L2360" s="17" t="n"/>
      <c r="M2360" s="17" t="n"/>
      <c r="N2360" s="17" t="n"/>
      <c r="O2360" s="26">
        <f>IF($D2360="","",IFERROR(VLOOKUP($D2360,物料档案!$A$4:$P$1203,10,0),0))</f>
        <v/>
      </c>
      <c r="P2360" s="32" t="n"/>
      <c r="Q2360" s="26">
        <f>IF($D2360="","",IF($K2360&lt;&gt;"对外销售",0,ROUND(N($J2360)*IF($P2360="",N($O2360),N($P2360)),0)))</f>
        <v/>
      </c>
      <c r="R2360" s="26">
        <f>IF($D2360="","",IFERROR(VLOOKUP($D2360,库存台账!$A$5:$Y$1204,11,0),0))</f>
        <v/>
      </c>
      <c r="S2360" s="26">
        <f>IF($D2360="","",ROUND(N($J2360)*N($R2360),0))</f>
        <v/>
      </c>
      <c r="T2360" s="26">
        <f>IF($D2360="","",IF($K2360&lt;&gt;"对外销售","",ROUND($Q2360-$S2360,0)))</f>
        <v/>
      </c>
      <c r="U2360" s="17" t="n"/>
      <c r="V2360" s="17" t="n"/>
      <c r="W2360" s="24">
        <f>IF($D2360="","",IF($E2360="※编码不在物料档案里","※物料编码不在档案里",IF(N($J2360)&lt;=0,"※出库数量要大于 0",IF($K2360="","※没填去向类型",IF($L2360="","※没填去向矿区",IF(AND($C2360&lt;&gt;"",$C2360&lt;=结账锁),"※日期早于已结账截止日，不能再录",IF(AND($K2360="自用消耗",COUNTIF({"一矿区";"二矿区"},$L2360)=0),"※自用消耗的去向只能是一矿区或二矿区",IF(AND($K2360="对外销售",COUNTIF({"三矿区";"六矿区"},$L2360)=0),"※对外销售的去向只能是三矿区或六矿区",IF(AND($K2360="对外销售",ROUND($Q2360,0)=0),"※外销却没有售价，请填实际售价",IF(AND($K2360="对外销售",$T2360&lt;&gt;"",$T2360&lt;0),"※这一笔外销是亏的，请核对售价",IF(IFERROR(VLOOKUP($D2360,库存台账!$A$5:$Y$1204,24,0),0)&lt;-0.001,"※这个物料账面已经变成负数了，查一下是不是漏记入库","")))))))))))</f>
        <v/>
      </c>
    </row>
    <row r="2361">
      <c r="A2361" s="24">
        <f>IF($D2361="","",COUNTA($D$4:$D2361))</f>
        <v/>
      </c>
      <c r="B2361" s="17" t="n"/>
      <c r="C2361" s="30" t="n"/>
      <c r="D2361" s="17" t="n"/>
      <c r="E2361" s="24">
        <f>IF($D2361="","",IFERROR(VLOOKUP($D2361,物料档案!$A$4:$P$1203,3,0),"※编码不在物料档案里"))</f>
        <v/>
      </c>
      <c r="F2361" s="24">
        <f>IF($D2361="","",IFERROR(VLOOKUP($D2361,物料档案!$A$4:$P$1203,4,0),"※编码不在物料档案里"))</f>
        <v/>
      </c>
      <c r="G2361" s="24">
        <f>IF($D2361="","",IFERROR(VLOOKUP($D2361,物料档案!$A$4:$P$1203,5,0),"※编码不在物料档案里"))</f>
        <v/>
      </c>
      <c r="H2361" s="24">
        <f>IF($D2361="","",IFERROR(VLOOKUP($D2361,物料档案!$A$4:$P$1203,2,0),"※编码不在物料档案里"))</f>
        <v/>
      </c>
      <c r="I2361" s="24">
        <f>IF($D2361="","",IFERROR(VLOOKUP($D2361,物料档案!$A$4:$P$1203,6,0),"※编码不在物料档案里"))</f>
        <v/>
      </c>
      <c r="J2361" s="23" t="n"/>
      <c r="K2361" s="17" t="n"/>
      <c r="L2361" s="17" t="n"/>
      <c r="M2361" s="17" t="n"/>
      <c r="N2361" s="17" t="n"/>
      <c r="O2361" s="26">
        <f>IF($D2361="","",IFERROR(VLOOKUP($D2361,物料档案!$A$4:$P$1203,10,0),0))</f>
        <v/>
      </c>
      <c r="P2361" s="32" t="n"/>
      <c r="Q2361" s="26">
        <f>IF($D2361="","",IF($K2361&lt;&gt;"对外销售",0,ROUND(N($J2361)*IF($P2361="",N($O2361),N($P2361)),0)))</f>
        <v/>
      </c>
      <c r="R2361" s="26">
        <f>IF($D2361="","",IFERROR(VLOOKUP($D2361,库存台账!$A$5:$Y$1204,11,0),0))</f>
        <v/>
      </c>
      <c r="S2361" s="26">
        <f>IF($D2361="","",ROUND(N($J2361)*N($R2361),0))</f>
        <v/>
      </c>
      <c r="T2361" s="26">
        <f>IF($D2361="","",IF($K2361&lt;&gt;"对外销售","",ROUND($Q2361-$S2361,0)))</f>
        <v/>
      </c>
      <c r="U2361" s="17" t="n"/>
      <c r="V2361" s="17" t="n"/>
      <c r="W2361" s="24">
        <f>IF($D2361="","",IF($E2361="※编码不在物料档案里","※物料编码不在档案里",IF(N($J2361)&lt;=0,"※出库数量要大于 0",IF($K2361="","※没填去向类型",IF($L2361="","※没填去向矿区",IF(AND($C2361&lt;&gt;"",$C2361&lt;=结账锁),"※日期早于已结账截止日，不能再录",IF(AND($K2361="自用消耗",COUNTIF({"一矿区";"二矿区"},$L2361)=0),"※自用消耗的去向只能是一矿区或二矿区",IF(AND($K2361="对外销售",COUNTIF({"三矿区";"六矿区"},$L2361)=0),"※对外销售的去向只能是三矿区或六矿区",IF(AND($K2361="对外销售",ROUND($Q2361,0)=0),"※外销却没有售价，请填实际售价",IF(AND($K2361="对外销售",$T2361&lt;&gt;"",$T2361&lt;0),"※这一笔外销是亏的，请核对售价",IF(IFERROR(VLOOKUP($D2361,库存台账!$A$5:$Y$1204,24,0),0)&lt;-0.001,"※这个物料账面已经变成负数了，查一下是不是漏记入库","")))))))))))</f>
        <v/>
      </c>
    </row>
    <row r="2362">
      <c r="A2362" s="24">
        <f>IF($D2362="","",COUNTA($D$4:$D2362))</f>
        <v/>
      </c>
      <c r="B2362" s="17" t="n"/>
      <c r="C2362" s="30" t="n"/>
      <c r="D2362" s="17" t="n"/>
      <c r="E2362" s="24">
        <f>IF($D2362="","",IFERROR(VLOOKUP($D2362,物料档案!$A$4:$P$1203,3,0),"※编码不在物料档案里"))</f>
        <v/>
      </c>
      <c r="F2362" s="24">
        <f>IF($D2362="","",IFERROR(VLOOKUP($D2362,物料档案!$A$4:$P$1203,4,0),"※编码不在物料档案里"))</f>
        <v/>
      </c>
      <c r="G2362" s="24">
        <f>IF($D2362="","",IFERROR(VLOOKUP($D2362,物料档案!$A$4:$P$1203,5,0),"※编码不在物料档案里"))</f>
        <v/>
      </c>
      <c r="H2362" s="24">
        <f>IF($D2362="","",IFERROR(VLOOKUP($D2362,物料档案!$A$4:$P$1203,2,0),"※编码不在物料档案里"))</f>
        <v/>
      </c>
      <c r="I2362" s="24">
        <f>IF($D2362="","",IFERROR(VLOOKUP($D2362,物料档案!$A$4:$P$1203,6,0),"※编码不在物料档案里"))</f>
        <v/>
      </c>
      <c r="J2362" s="23" t="n"/>
      <c r="K2362" s="17" t="n"/>
      <c r="L2362" s="17" t="n"/>
      <c r="M2362" s="17" t="n"/>
      <c r="N2362" s="17" t="n"/>
      <c r="O2362" s="26">
        <f>IF($D2362="","",IFERROR(VLOOKUP($D2362,物料档案!$A$4:$P$1203,10,0),0))</f>
        <v/>
      </c>
      <c r="P2362" s="32" t="n"/>
      <c r="Q2362" s="26">
        <f>IF($D2362="","",IF($K2362&lt;&gt;"对外销售",0,ROUND(N($J2362)*IF($P2362="",N($O2362),N($P2362)),0)))</f>
        <v/>
      </c>
      <c r="R2362" s="26">
        <f>IF($D2362="","",IFERROR(VLOOKUP($D2362,库存台账!$A$5:$Y$1204,11,0),0))</f>
        <v/>
      </c>
      <c r="S2362" s="26">
        <f>IF($D2362="","",ROUND(N($J2362)*N($R2362),0))</f>
        <v/>
      </c>
      <c r="T2362" s="26">
        <f>IF($D2362="","",IF($K2362&lt;&gt;"对外销售","",ROUND($Q2362-$S2362,0)))</f>
        <v/>
      </c>
      <c r="U2362" s="17" t="n"/>
      <c r="V2362" s="17" t="n"/>
      <c r="W2362" s="24">
        <f>IF($D2362="","",IF($E2362="※编码不在物料档案里","※物料编码不在档案里",IF(N($J2362)&lt;=0,"※出库数量要大于 0",IF($K2362="","※没填去向类型",IF($L2362="","※没填去向矿区",IF(AND($C2362&lt;&gt;"",$C2362&lt;=结账锁),"※日期早于已结账截止日，不能再录",IF(AND($K2362="自用消耗",COUNTIF({"一矿区";"二矿区"},$L2362)=0),"※自用消耗的去向只能是一矿区或二矿区",IF(AND($K2362="对外销售",COUNTIF({"三矿区";"六矿区"},$L2362)=0),"※对外销售的去向只能是三矿区或六矿区",IF(AND($K2362="对外销售",ROUND($Q2362,0)=0),"※外销却没有售价，请填实际售价",IF(AND($K2362="对外销售",$T2362&lt;&gt;"",$T2362&lt;0),"※这一笔外销是亏的，请核对售价",IF(IFERROR(VLOOKUP($D2362,库存台账!$A$5:$Y$1204,24,0),0)&lt;-0.001,"※这个物料账面已经变成负数了，查一下是不是漏记入库","")))))))))))</f>
        <v/>
      </c>
    </row>
    <row r="2363">
      <c r="A2363" s="24">
        <f>IF($D2363="","",COUNTA($D$4:$D2363))</f>
        <v/>
      </c>
      <c r="B2363" s="17" t="n"/>
      <c r="C2363" s="30" t="n"/>
      <c r="D2363" s="17" t="n"/>
      <c r="E2363" s="24">
        <f>IF($D2363="","",IFERROR(VLOOKUP($D2363,物料档案!$A$4:$P$1203,3,0),"※编码不在物料档案里"))</f>
        <v/>
      </c>
      <c r="F2363" s="24">
        <f>IF($D2363="","",IFERROR(VLOOKUP($D2363,物料档案!$A$4:$P$1203,4,0),"※编码不在物料档案里"))</f>
        <v/>
      </c>
      <c r="G2363" s="24">
        <f>IF($D2363="","",IFERROR(VLOOKUP($D2363,物料档案!$A$4:$P$1203,5,0),"※编码不在物料档案里"))</f>
        <v/>
      </c>
      <c r="H2363" s="24">
        <f>IF($D2363="","",IFERROR(VLOOKUP($D2363,物料档案!$A$4:$P$1203,2,0),"※编码不在物料档案里"))</f>
        <v/>
      </c>
      <c r="I2363" s="24">
        <f>IF($D2363="","",IFERROR(VLOOKUP($D2363,物料档案!$A$4:$P$1203,6,0),"※编码不在物料档案里"))</f>
        <v/>
      </c>
      <c r="J2363" s="23" t="n"/>
      <c r="K2363" s="17" t="n"/>
      <c r="L2363" s="17" t="n"/>
      <c r="M2363" s="17" t="n"/>
      <c r="N2363" s="17" t="n"/>
      <c r="O2363" s="26">
        <f>IF($D2363="","",IFERROR(VLOOKUP($D2363,物料档案!$A$4:$P$1203,10,0),0))</f>
        <v/>
      </c>
      <c r="P2363" s="32" t="n"/>
      <c r="Q2363" s="26">
        <f>IF($D2363="","",IF($K2363&lt;&gt;"对外销售",0,ROUND(N($J2363)*IF($P2363="",N($O2363),N($P2363)),0)))</f>
        <v/>
      </c>
      <c r="R2363" s="26">
        <f>IF($D2363="","",IFERROR(VLOOKUP($D2363,库存台账!$A$5:$Y$1204,11,0),0))</f>
        <v/>
      </c>
      <c r="S2363" s="26">
        <f>IF($D2363="","",ROUND(N($J2363)*N($R2363),0))</f>
        <v/>
      </c>
      <c r="T2363" s="26">
        <f>IF($D2363="","",IF($K2363&lt;&gt;"对外销售","",ROUND($Q2363-$S2363,0)))</f>
        <v/>
      </c>
      <c r="U2363" s="17" t="n"/>
      <c r="V2363" s="17" t="n"/>
      <c r="W2363" s="24">
        <f>IF($D2363="","",IF($E2363="※编码不在物料档案里","※物料编码不在档案里",IF(N($J2363)&lt;=0,"※出库数量要大于 0",IF($K2363="","※没填去向类型",IF($L2363="","※没填去向矿区",IF(AND($C2363&lt;&gt;"",$C2363&lt;=结账锁),"※日期早于已结账截止日，不能再录",IF(AND($K2363="自用消耗",COUNTIF({"一矿区";"二矿区"},$L2363)=0),"※自用消耗的去向只能是一矿区或二矿区",IF(AND($K2363="对外销售",COUNTIF({"三矿区";"六矿区"},$L2363)=0),"※对外销售的去向只能是三矿区或六矿区",IF(AND($K2363="对外销售",ROUND($Q2363,0)=0),"※外销却没有售价，请填实际售价",IF(AND($K2363="对外销售",$T2363&lt;&gt;"",$T2363&lt;0),"※这一笔外销是亏的，请核对售价",IF(IFERROR(VLOOKUP($D2363,库存台账!$A$5:$Y$1204,24,0),0)&lt;-0.001,"※这个物料账面已经变成负数了，查一下是不是漏记入库","")))))))))))</f>
        <v/>
      </c>
    </row>
    <row r="2364">
      <c r="A2364" s="24">
        <f>IF($D2364="","",COUNTA($D$4:$D2364))</f>
        <v/>
      </c>
      <c r="B2364" s="17" t="n"/>
      <c r="C2364" s="30" t="n"/>
      <c r="D2364" s="17" t="n"/>
      <c r="E2364" s="24">
        <f>IF($D2364="","",IFERROR(VLOOKUP($D2364,物料档案!$A$4:$P$1203,3,0),"※编码不在物料档案里"))</f>
        <v/>
      </c>
      <c r="F2364" s="24">
        <f>IF($D2364="","",IFERROR(VLOOKUP($D2364,物料档案!$A$4:$P$1203,4,0),"※编码不在物料档案里"))</f>
        <v/>
      </c>
      <c r="G2364" s="24">
        <f>IF($D2364="","",IFERROR(VLOOKUP($D2364,物料档案!$A$4:$P$1203,5,0),"※编码不在物料档案里"))</f>
        <v/>
      </c>
      <c r="H2364" s="24">
        <f>IF($D2364="","",IFERROR(VLOOKUP($D2364,物料档案!$A$4:$P$1203,2,0),"※编码不在物料档案里"))</f>
        <v/>
      </c>
      <c r="I2364" s="24">
        <f>IF($D2364="","",IFERROR(VLOOKUP($D2364,物料档案!$A$4:$P$1203,6,0),"※编码不在物料档案里"))</f>
        <v/>
      </c>
      <c r="J2364" s="23" t="n"/>
      <c r="K2364" s="17" t="n"/>
      <c r="L2364" s="17" t="n"/>
      <c r="M2364" s="17" t="n"/>
      <c r="N2364" s="17" t="n"/>
      <c r="O2364" s="26">
        <f>IF($D2364="","",IFERROR(VLOOKUP($D2364,物料档案!$A$4:$P$1203,10,0),0))</f>
        <v/>
      </c>
      <c r="P2364" s="32" t="n"/>
      <c r="Q2364" s="26">
        <f>IF($D2364="","",IF($K2364&lt;&gt;"对外销售",0,ROUND(N($J2364)*IF($P2364="",N($O2364),N($P2364)),0)))</f>
        <v/>
      </c>
      <c r="R2364" s="26">
        <f>IF($D2364="","",IFERROR(VLOOKUP($D2364,库存台账!$A$5:$Y$1204,11,0),0))</f>
        <v/>
      </c>
      <c r="S2364" s="26">
        <f>IF($D2364="","",ROUND(N($J2364)*N($R2364),0))</f>
        <v/>
      </c>
      <c r="T2364" s="26">
        <f>IF($D2364="","",IF($K2364&lt;&gt;"对外销售","",ROUND($Q2364-$S2364,0)))</f>
        <v/>
      </c>
      <c r="U2364" s="17" t="n"/>
      <c r="V2364" s="17" t="n"/>
      <c r="W2364" s="24">
        <f>IF($D2364="","",IF($E2364="※编码不在物料档案里","※物料编码不在档案里",IF(N($J2364)&lt;=0,"※出库数量要大于 0",IF($K2364="","※没填去向类型",IF($L2364="","※没填去向矿区",IF(AND($C2364&lt;&gt;"",$C2364&lt;=结账锁),"※日期早于已结账截止日，不能再录",IF(AND($K2364="自用消耗",COUNTIF({"一矿区";"二矿区"},$L2364)=0),"※自用消耗的去向只能是一矿区或二矿区",IF(AND($K2364="对外销售",COUNTIF({"三矿区";"六矿区"},$L2364)=0),"※对外销售的去向只能是三矿区或六矿区",IF(AND($K2364="对外销售",ROUND($Q2364,0)=0),"※外销却没有售价，请填实际售价",IF(AND($K2364="对外销售",$T2364&lt;&gt;"",$T2364&lt;0),"※这一笔外销是亏的，请核对售价",IF(IFERROR(VLOOKUP($D2364,库存台账!$A$5:$Y$1204,24,0),0)&lt;-0.001,"※这个物料账面已经变成负数了，查一下是不是漏记入库","")))))))))))</f>
        <v/>
      </c>
    </row>
    <row r="2365">
      <c r="A2365" s="24">
        <f>IF($D2365="","",COUNTA($D$4:$D2365))</f>
        <v/>
      </c>
      <c r="B2365" s="17" t="n"/>
      <c r="C2365" s="30" t="n"/>
      <c r="D2365" s="17" t="n"/>
      <c r="E2365" s="24">
        <f>IF($D2365="","",IFERROR(VLOOKUP($D2365,物料档案!$A$4:$P$1203,3,0),"※编码不在物料档案里"))</f>
        <v/>
      </c>
      <c r="F2365" s="24">
        <f>IF($D2365="","",IFERROR(VLOOKUP($D2365,物料档案!$A$4:$P$1203,4,0),"※编码不在物料档案里"))</f>
        <v/>
      </c>
      <c r="G2365" s="24">
        <f>IF($D2365="","",IFERROR(VLOOKUP($D2365,物料档案!$A$4:$P$1203,5,0),"※编码不在物料档案里"))</f>
        <v/>
      </c>
      <c r="H2365" s="24">
        <f>IF($D2365="","",IFERROR(VLOOKUP($D2365,物料档案!$A$4:$P$1203,2,0),"※编码不在物料档案里"))</f>
        <v/>
      </c>
      <c r="I2365" s="24">
        <f>IF($D2365="","",IFERROR(VLOOKUP($D2365,物料档案!$A$4:$P$1203,6,0),"※编码不在物料档案里"))</f>
        <v/>
      </c>
      <c r="J2365" s="23" t="n"/>
      <c r="K2365" s="17" t="n"/>
      <c r="L2365" s="17" t="n"/>
      <c r="M2365" s="17" t="n"/>
      <c r="N2365" s="17" t="n"/>
      <c r="O2365" s="26">
        <f>IF($D2365="","",IFERROR(VLOOKUP($D2365,物料档案!$A$4:$P$1203,10,0),0))</f>
        <v/>
      </c>
      <c r="P2365" s="32" t="n"/>
      <c r="Q2365" s="26">
        <f>IF($D2365="","",IF($K2365&lt;&gt;"对外销售",0,ROUND(N($J2365)*IF($P2365="",N($O2365),N($P2365)),0)))</f>
        <v/>
      </c>
      <c r="R2365" s="26">
        <f>IF($D2365="","",IFERROR(VLOOKUP($D2365,库存台账!$A$5:$Y$1204,11,0),0))</f>
        <v/>
      </c>
      <c r="S2365" s="26">
        <f>IF($D2365="","",ROUND(N($J2365)*N($R2365),0))</f>
        <v/>
      </c>
      <c r="T2365" s="26">
        <f>IF($D2365="","",IF($K2365&lt;&gt;"对外销售","",ROUND($Q2365-$S2365,0)))</f>
        <v/>
      </c>
      <c r="U2365" s="17" t="n"/>
      <c r="V2365" s="17" t="n"/>
      <c r="W2365" s="24">
        <f>IF($D2365="","",IF($E2365="※编码不在物料档案里","※物料编码不在档案里",IF(N($J2365)&lt;=0,"※出库数量要大于 0",IF($K2365="","※没填去向类型",IF($L2365="","※没填去向矿区",IF(AND($C2365&lt;&gt;"",$C2365&lt;=结账锁),"※日期早于已结账截止日，不能再录",IF(AND($K2365="自用消耗",COUNTIF({"一矿区";"二矿区"},$L2365)=0),"※自用消耗的去向只能是一矿区或二矿区",IF(AND($K2365="对外销售",COUNTIF({"三矿区";"六矿区"},$L2365)=0),"※对外销售的去向只能是三矿区或六矿区",IF(AND($K2365="对外销售",ROUND($Q2365,0)=0),"※外销却没有售价，请填实际售价",IF(AND($K2365="对外销售",$T2365&lt;&gt;"",$T2365&lt;0),"※这一笔外销是亏的，请核对售价",IF(IFERROR(VLOOKUP($D2365,库存台账!$A$5:$Y$1204,24,0),0)&lt;-0.001,"※这个物料账面已经变成负数了，查一下是不是漏记入库","")))))))))))</f>
        <v/>
      </c>
    </row>
    <row r="2366">
      <c r="A2366" s="24">
        <f>IF($D2366="","",COUNTA($D$4:$D2366))</f>
        <v/>
      </c>
      <c r="B2366" s="17" t="n"/>
      <c r="C2366" s="30" t="n"/>
      <c r="D2366" s="17" t="n"/>
      <c r="E2366" s="24">
        <f>IF($D2366="","",IFERROR(VLOOKUP($D2366,物料档案!$A$4:$P$1203,3,0),"※编码不在物料档案里"))</f>
        <v/>
      </c>
      <c r="F2366" s="24">
        <f>IF($D2366="","",IFERROR(VLOOKUP($D2366,物料档案!$A$4:$P$1203,4,0),"※编码不在物料档案里"))</f>
        <v/>
      </c>
      <c r="G2366" s="24">
        <f>IF($D2366="","",IFERROR(VLOOKUP($D2366,物料档案!$A$4:$P$1203,5,0),"※编码不在物料档案里"))</f>
        <v/>
      </c>
      <c r="H2366" s="24">
        <f>IF($D2366="","",IFERROR(VLOOKUP($D2366,物料档案!$A$4:$P$1203,2,0),"※编码不在物料档案里"))</f>
        <v/>
      </c>
      <c r="I2366" s="24">
        <f>IF($D2366="","",IFERROR(VLOOKUP($D2366,物料档案!$A$4:$P$1203,6,0),"※编码不在物料档案里"))</f>
        <v/>
      </c>
      <c r="J2366" s="23" t="n"/>
      <c r="K2366" s="17" t="n"/>
      <c r="L2366" s="17" t="n"/>
      <c r="M2366" s="17" t="n"/>
      <c r="N2366" s="17" t="n"/>
      <c r="O2366" s="26">
        <f>IF($D2366="","",IFERROR(VLOOKUP($D2366,物料档案!$A$4:$P$1203,10,0),0))</f>
        <v/>
      </c>
      <c r="P2366" s="32" t="n"/>
      <c r="Q2366" s="26">
        <f>IF($D2366="","",IF($K2366&lt;&gt;"对外销售",0,ROUND(N($J2366)*IF($P2366="",N($O2366),N($P2366)),0)))</f>
        <v/>
      </c>
      <c r="R2366" s="26">
        <f>IF($D2366="","",IFERROR(VLOOKUP($D2366,库存台账!$A$5:$Y$1204,11,0),0))</f>
        <v/>
      </c>
      <c r="S2366" s="26">
        <f>IF($D2366="","",ROUND(N($J2366)*N($R2366),0))</f>
        <v/>
      </c>
      <c r="T2366" s="26">
        <f>IF($D2366="","",IF($K2366&lt;&gt;"对外销售","",ROUND($Q2366-$S2366,0)))</f>
        <v/>
      </c>
      <c r="U2366" s="17" t="n"/>
      <c r="V2366" s="17" t="n"/>
      <c r="W2366" s="24">
        <f>IF($D2366="","",IF($E2366="※编码不在物料档案里","※物料编码不在档案里",IF(N($J2366)&lt;=0,"※出库数量要大于 0",IF($K2366="","※没填去向类型",IF($L2366="","※没填去向矿区",IF(AND($C2366&lt;&gt;"",$C2366&lt;=结账锁),"※日期早于已结账截止日，不能再录",IF(AND($K2366="自用消耗",COUNTIF({"一矿区";"二矿区"},$L2366)=0),"※自用消耗的去向只能是一矿区或二矿区",IF(AND($K2366="对外销售",COUNTIF({"三矿区";"六矿区"},$L2366)=0),"※对外销售的去向只能是三矿区或六矿区",IF(AND($K2366="对外销售",ROUND($Q2366,0)=0),"※外销却没有售价，请填实际售价",IF(AND($K2366="对外销售",$T2366&lt;&gt;"",$T2366&lt;0),"※这一笔外销是亏的，请核对售价",IF(IFERROR(VLOOKUP($D2366,库存台账!$A$5:$Y$1204,24,0),0)&lt;-0.001,"※这个物料账面已经变成负数了，查一下是不是漏记入库","")))))))))))</f>
        <v/>
      </c>
    </row>
    <row r="2367">
      <c r="A2367" s="24">
        <f>IF($D2367="","",COUNTA($D$4:$D2367))</f>
        <v/>
      </c>
      <c r="B2367" s="17" t="n"/>
      <c r="C2367" s="30" t="n"/>
      <c r="D2367" s="17" t="n"/>
      <c r="E2367" s="24">
        <f>IF($D2367="","",IFERROR(VLOOKUP($D2367,物料档案!$A$4:$P$1203,3,0),"※编码不在物料档案里"))</f>
        <v/>
      </c>
      <c r="F2367" s="24">
        <f>IF($D2367="","",IFERROR(VLOOKUP($D2367,物料档案!$A$4:$P$1203,4,0),"※编码不在物料档案里"))</f>
        <v/>
      </c>
      <c r="G2367" s="24">
        <f>IF($D2367="","",IFERROR(VLOOKUP($D2367,物料档案!$A$4:$P$1203,5,0),"※编码不在物料档案里"))</f>
        <v/>
      </c>
      <c r="H2367" s="24">
        <f>IF($D2367="","",IFERROR(VLOOKUP($D2367,物料档案!$A$4:$P$1203,2,0),"※编码不在物料档案里"))</f>
        <v/>
      </c>
      <c r="I2367" s="24">
        <f>IF($D2367="","",IFERROR(VLOOKUP($D2367,物料档案!$A$4:$P$1203,6,0),"※编码不在物料档案里"))</f>
        <v/>
      </c>
      <c r="J2367" s="23" t="n"/>
      <c r="K2367" s="17" t="n"/>
      <c r="L2367" s="17" t="n"/>
      <c r="M2367" s="17" t="n"/>
      <c r="N2367" s="17" t="n"/>
      <c r="O2367" s="26">
        <f>IF($D2367="","",IFERROR(VLOOKUP($D2367,物料档案!$A$4:$P$1203,10,0),0))</f>
        <v/>
      </c>
      <c r="P2367" s="32" t="n"/>
      <c r="Q2367" s="26">
        <f>IF($D2367="","",IF($K2367&lt;&gt;"对外销售",0,ROUND(N($J2367)*IF($P2367="",N($O2367),N($P2367)),0)))</f>
        <v/>
      </c>
      <c r="R2367" s="26">
        <f>IF($D2367="","",IFERROR(VLOOKUP($D2367,库存台账!$A$5:$Y$1204,11,0),0))</f>
        <v/>
      </c>
      <c r="S2367" s="26">
        <f>IF($D2367="","",ROUND(N($J2367)*N($R2367),0))</f>
        <v/>
      </c>
      <c r="T2367" s="26">
        <f>IF($D2367="","",IF($K2367&lt;&gt;"对外销售","",ROUND($Q2367-$S2367,0)))</f>
        <v/>
      </c>
      <c r="U2367" s="17" t="n"/>
      <c r="V2367" s="17" t="n"/>
      <c r="W2367" s="24">
        <f>IF($D2367="","",IF($E2367="※编码不在物料档案里","※物料编码不在档案里",IF(N($J2367)&lt;=0,"※出库数量要大于 0",IF($K2367="","※没填去向类型",IF($L2367="","※没填去向矿区",IF(AND($C2367&lt;&gt;"",$C2367&lt;=结账锁),"※日期早于已结账截止日，不能再录",IF(AND($K2367="自用消耗",COUNTIF({"一矿区";"二矿区"},$L2367)=0),"※自用消耗的去向只能是一矿区或二矿区",IF(AND($K2367="对外销售",COUNTIF({"三矿区";"六矿区"},$L2367)=0),"※对外销售的去向只能是三矿区或六矿区",IF(AND($K2367="对外销售",ROUND($Q2367,0)=0),"※外销却没有售价，请填实际售价",IF(AND($K2367="对外销售",$T2367&lt;&gt;"",$T2367&lt;0),"※这一笔外销是亏的，请核对售价",IF(IFERROR(VLOOKUP($D2367,库存台账!$A$5:$Y$1204,24,0),0)&lt;-0.001,"※这个物料账面已经变成负数了，查一下是不是漏记入库","")))))))))))</f>
        <v/>
      </c>
    </row>
    <row r="2368">
      <c r="A2368" s="24">
        <f>IF($D2368="","",COUNTA($D$4:$D2368))</f>
        <v/>
      </c>
      <c r="B2368" s="17" t="n"/>
      <c r="C2368" s="30" t="n"/>
      <c r="D2368" s="17" t="n"/>
      <c r="E2368" s="24">
        <f>IF($D2368="","",IFERROR(VLOOKUP($D2368,物料档案!$A$4:$P$1203,3,0),"※编码不在物料档案里"))</f>
        <v/>
      </c>
      <c r="F2368" s="24">
        <f>IF($D2368="","",IFERROR(VLOOKUP($D2368,物料档案!$A$4:$P$1203,4,0),"※编码不在物料档案里"))</f>
        <v/>
      </c>
      <c r="G2368" s="24">
        <f>IF($D2368="","",IFERROR(VLOOKUP($D2368,物料档案!$A$4:$P$1203,5,0),"※编码不在物料档案里"))</f>
        <v/>
      </c>
      <c r="H2368" s="24">
        <f>IF($D2368="","",IFERROR(VLOOKUP($D2368,物料档案!$A$4:$P$1203,2,0),"※编码不在物料档案里"))</f>
        <v/>
      </c>
      <c r="I2368" s="24">
        <f>IF($D2368="","",IFERROR(VLOOKUP($D2368,物料档案!$A$4:$P$1203,6,0),"※编码不在物料档案里"))</f>
        <v/>
      </c>
      <c r="J2368" s="23" t="n"/>
      <c r="K2368" s="17" t="n"/>
      <c r="L2368" s="17" t="n"/>
      <c r="M2368" s="17" t="n"/>
      <c r="N2368" s="17" t="n"/>
      <c r="O2368" s="26">
        <f>IF($D2368="","",IFERROR(VLOOKUP($D2368,物料档案!$A$4:$P$1203,10,0),0))</f>
        <v/>
      </c>
      <c r="P2368" s="32" t="n"/>
      <c r="Q2368" s="26">
        <f>IF($D2368="","",IF($K2368&lt;&gt;"对外销售",0,ROUND(N($J2368)*IF($P2368="",N($O2368),N($P2368)),0)))</f>
        <v/>
      </c>
      <c r="R2368" s="26">
        <f>IF($D2368="","",IFERROR(VLOOKUP($D2368,库存台账!$A$5:$Y$1204,11,0),0))</f>
        <v/>
      </c>
      <c r="S2368" s="26">
        <f>IF($D2368="","",ROUND(N($J2368)*N($R2368),0))</f>
        <v/>
      </c>
      <c r="T2368" s="26">
        <f>IF($D2368="","",IF($K2368&lt;&gt;"对外销售","",ROUND($Q2368-$S2368,0)))</f>
        <v/>
      </c>
      <c r="U2368" s="17" t="n"/>
      <c r="V2368" s="17" t="n"/>
      <c r="W2368" s="24">
        <f>IF($D2368="","",IF($E2368="※编码不在物料档案里","※物料编码不在档案里",IF(N($J2368)&lt;=0,"※出库数量要大于 0",IF($K2368="","※没填去向类型",IF($L2368="","※没填去向矿区",IF(AND($C2368&lt;&gt;"",$C2368&lt;=结账锁),"※日期早于已结账截止日，不能再录",IF(AND($K2368="自用消耗",COUNTIF({"一矿区";"二矿区"},$L2368)=0),"※自用消耗的去向只能是一矿区或二矿区",IF(AND($K2368="对外销售",COUNTIF({"三矿区";"六矿区"},$L2368)=0),"※对外销售的去向只能是三矿区或六矿区",IF(AND($K2368="对外销售",ROUND($Q2368,0)=0),"※外销却没有售价，请填实际售价",IF(AND($K2368="对外销售",$T2368&lt;&gt;"",$T2368&lt;0),"※这一笔外销是亏的，请核对售价",IF(IFERROR(VLOOKUP($D2368,库存台账!$A$5:$Y$1204,24,0),0)&lt;-0.001,"※这个物料账面已经变成负数了，查一下是不是漏记入库","")))))))))))</f>
        <v/>
      </c>
    </row>
    <row r="2369">
      <c r="A2369" s="24">
        <f>IF($D2369="","",COUNTA($D$4:$D2369))</f>
        <v/>
      </c>
      <c r="B2369" s="17" t="n"/>
      <c r="C2369" s="30" t="n"/>
      <c r="D2369" s="17" t="n"/>
      <c r="E2369" s="24">
        <f>IF($D2369="","",IFERROR(VLOOKUP($D2369,物料档案!$A$4:$P$1203,3,0),"※编码不在物料档案里"))</f>
        <v/>
      </c>
      <c r="F2369" s="24">
        <f>IF($D2369="","",IFERROR(VLOOKUP($D2369,物料档案!$A$4:$P$1203,4,0),"※编码不在物料档案里"))</f>
        <v/>
      </c>
      <c r="G2369" s="24">
        <f>IF($D2369="","",IFERROR(VLOOKUP($D2369,物料档案!$A$4:$P$1203,5,0),"※编码不在物料档案里"))</f>
        <v/>
      </c>
      <c r="H2369" s="24">
        <f>IF($D2369="","",IFERROR(VLOOKUP($D2369,物料档案!$A$4:$P$1203,2,0),"※编码不在物料档案里"))</f>
        <v/>
      </c>
      <c r="I2369" s="24">
        <f>IF($D2369="","",IFERROR(VLOOKUP($D2369,物料档案!$A$4:$P$1203,6,0),"※编码不在物料档案里"))</f>
        <v/>
      </c>
      <c r="J2369" s="23" t="n"/>
      <c r="K2369" s="17" t="n"/>
      <c r="L2369" s="17" t="n"/>
      <c r="M2369" s="17" t="n"/>
      <c r="N2369" s="17" t="n"/>
      <c r="O2369" s="26">
        <f>IF($D2369="","",IFERROR(VLOOKUP($D2369,物料档案!$A$4:$P$1203,10,0),0))</f>
        <v/>
      </c>
      <c r="P2369" s="32" t="n"/>
      <c r="Q2369" s="26">
        <f>IF($D2369="","",IF($K2369&lt;&gt;"对外销售",0,ROUND(N($J2369)*IF($P2369="",N($O2369),N($P2369)),0)))</f>
        <v/>
      </c>
      <c r="R2369" s="26">
        <f>IF($D2369="","",IFERROR(VLOOKUP($D2369,库存台账!$A$5:$Y$1204,11,0),0))</f>
        <v/>
      </c>
      <c r="S2369" s="26">
        <f>IF($D2369="","",ROUND(N($J2369)*N($R2369),0))</f>
        <v/>
      </c>
      <c r="T2369" s="26">
        <f>IF($D2369="","",IF($K2369&lt;&gt;"对外销售","",ROUND($Q2369-$S2369,0)))</f>
        <v/>
      </c>
      <c r="U2369" s="17" t="n"/>
      <c r="V2369" s="17" t="n"/>
      <c r="W2369" s="24">
        <f>IF($D2369="","",IF($E2369="※编码不在物料档案里","※物料编码不在档案里",IF(N($J2369)&lt;=0,"※出库数量要大于 0",IF($K2369="","※没填去向类型",IF($L2369="","※没填去向矿区",IF(AND($C2369&lt;&gt;"",$C2369&lt;=结账锁),"※日期早于已结账截止日，不能再录",IF(AND($K2369="自用消耗",COUNTIF({"一矿区";"二矿区"},$L2369)=0),"※自用消耗的去向只能是一矿区或二矿区",IF(AND($K2369="对外销售",COUNTIF({"三矿区";"六矿区"},$L2369)=0),"※对外销售的去向只能是三矿区或六矿区",IF(AND($K2369="对外销售",ROUND($Q2369,0)=0),"※外销却没有售价，请填实际售价",IF(AND($K2369="对外销售",$T2369&lt;&gt;"",$T2369&lt;0),"※这一笔外销是亏的，请核对售价",IF(IFERROR(VLOOKUP($D2369,库存台账!$A$5:$Y$1204,24,0),0)&lt;-0.001,"※这个物料账面已经变成负数了，查一下是不是漏记入库","")))))))))))</f>
        <v/>
      </c>
    </row>
    <row r="2370">
      <c r="A2370" s="24">
        <f>IF($D2370="","",COUNTA($D$4:$D2370))</f>
        <v/>
      </c>
      <c r="B2370" s="17" t="n"/>
      <c r="C2370" s="30" t="n"/>
      <c r="D2370" s="17" t="n"/>
      <c r="E2370" s="24">
        <f>IF($D2370="","",IFERROR(VLOOKUP($D2370,物料档案!$A$4:$P$1203,3,0),"※编码不在物料档案里"))</f>
        <v/>
      </c>
      <c r="F2370" s="24">
        <f>IF($D2370="","",IFERROR(VLOOKUP($D2370,物料档案!$A$4:$P$1203,4,0),"※编码不在物料档案里"))</f>
        <v/>
      </c>
      <c r="G2370" s="24">
        <f>IF($D2370="","",IFERROR(VLOOKUP($D2370,物料档案!$A$4:$P$1203,5,0),"※编码不在物料档案里"))</f>
        <v/>
      </c>
      <c r="H2370" s="24">
        <f>IF($D2370="","",IFERROR(VLOOKUP($D2370,物料档案!$A$4:$P$1203,2,0),"※编码不在物料档案里"))</f>
        <v/>
      </c>
      <c r="I2370" s="24">
        <f>IF($D2370="","",IFERROR(VLOOKUP($D2370,物料档案!$A$4:$P$1203,6,0),"※编码不在物料档案里"))</f>
        <v/>
      </c>
      <c r="J2370" s="23" t="n"/>
      <c r="K2370" s="17" t="n"/>
      <c r="L2370" s="17" t="n"/>
      <c r="M2370" s="17" t="n"/>
      <c r="N2370" s="17" t="n"/>
      <c r="O2370" s="26">
        <f>IF($D2370="","",IFERROR(VLOOKUP($D2370,物料档案!$A$4:$P$1203,10,0),0))</f>
        <v/>
      </c>
      <c r="P2370" s="32" t="n"/>
      <c r="Q2370" s="26">
        <f>IF($D2370="","",IF($K2370&lt;&gt;"对外销售",0,ROUND(N($J2370)*IF($P2370="",N($O2370),N($P2370)),0)))</f>
        <v/>
      </c>
      <c r="R2370" s="26">
        <f>IF($D2370="","",IFERROR(VLOOKUP($D2370,库存台账!$A$5:$Y$1204,11,0),0))</f>
        <v/>
      </c>
      <c r="S2370" s="26">
        <f>IF($D2370="","",ROUND(N($J2370)*N($R2370),0))</f>
        <v/>
      </c>
      <c r="T2370" s="26">
        <f>IF($D2370="","",IF($K2370&lt;&gt;"对外销售","",ROUND($Q2370-$S2370,0)))</f>
        <v/>
      </c>
      <c r="U2370" s="17" t="n"/>
      <c r="V2370" s="17" t="n"/>
      <c r="W2370" s="24">
        <f>IF($D2370="","",IF($E2370="※编码不在物料档案里","※物料编码不在档案里",IF(N($J2370)&lt;=0,"※出库数量要大于 0",IF($K2370="","※没填去向类型",IF($L2370="","※没填去向矿区",IF(AND($C2370&lt;&gt;"",$C2370&lt;=结账锁),"※日期早于已结账截止日，不能再录",IF(AND($K2370="自用消耗",COUNTIF({"一矿区";"二矿区"},$L2370)=0),"※自用消耗的去向只能是一矿区或二矿区",IF(AND($K2370="对外销售",COUNTIF({"三矿区";"六矿区"},$L2370)=0),"※对外销售的去向只能是三矿区或六矿区",IF(AND($K2370="对外销售",ROUND($Q2370,0)=0),"※外销却没有售价，请填实际售价",IF(AND($K2370="对外销售",$T2370&lt;&gt;"",$T2370&lt;0),"※这一笔外销是亏的，请核对售价",IF(IFERROR(VLOOKUP($D2370,库存台账!$A$5:$Y$1204,24,0),0)&lt;-0.001,"※这个物料账面已经变成负数了，查一下是不是漏记入库","")))))))))))</f>
        <v/>
      </c>
    </row>
    <row r="2371">
      <c r="A2371" s="24">
        <f>IF($D2371="","",COUNTA($D$4:$D2371))</f>
        <v/>
      </c>
      <c r="B2371" s="17" t="n"/>
      <c r="C2371" s="30" t="n"/>
      <c r="D2371" s="17" t="n"/>
      <c r="E2371" s="24">
        <f>IF($D2371="","",IFERROR(VLOOKUP($D2371,物料档案!$A$4:$P$1203,3,0),"※编码不在物料档案里"))</f>
        <v/>
      </c>
      <c r="F2371" s="24">
        <f>IF($D2371="","",IFERROR(VLOOKUP($D2371,物料档案!$A$4:$P$1203,4,0),"※编码不在物料档案里"))</f>
        <v/>
      </c>
      <c r="G2371" s="24">
        <f>IF($D2371="","",IFERROR(VLOOKUP($D2371,物料档案!$A$4:$P$1203,5,0),"※编码不在物料档案里"))</f>
        <v/>
      </c>
      <c r="H2371" s="24">
        <f>IF($D2371="","",IFERROR(VLOOKUP($D2371,物料档案!$A$4:$P$1203,2,0),"※编码不在物料档案里"))</f>
        <v/>
      </c>
      <c r="I2371" s="24">
        <f>IF($D2371="","",IFERROR(VLOOKUP($D2371,物料档案!$A$4:$P$1203,6,0),"※编码不在物料档案里"))</f>
        <v/>
      </c>
      <c r="J2371" s="23" t="n"/>
      <c r="K2371" s="17" t="n"/>
      <c r="L2371" s="17" t="n"/>
      <c r="M2371" s="17" t="n"/>
      <c r="N2371" s="17" t="n"/>
      <c r="O2371" s="26">
        <f>IF($D2371="","",IFERROR(VLOOKUP($D2371,物料档案!$A$4:$P$1203,10,0),0))</f>
        <v/>
      </c>
      <c r="P2371" s="32" t="n"/>
      <c r="Q2371" s="26">
        <f>IF($D2371="","",IF($K2371&lt;&gt;"对外销售",0,ROUND(N($J2371)*IF($P2371="",N($O2371),N($P2371)),0)))</f>
        <v/>
      </c>
      <c r="R2371" s="26">
        <f>IF($D2371="","",IFERROR(VLOOKUP($D2371,库存台账!$A$5:$Y$1204,11,0),0))</f>
        <v/>
      </c>
      <c r="S2371" s="26">
        <f>IF($D2371="","",ROUND(N($J2371)*N($R2371),0))</f>
        <v/>
      </c>
      <c r="T2371" s="26">
        <f>IF($D2371="","",IF($K2371&lt;&gt;"对外销售","",ROUND($Q2371-$S2371,0)))</f>
        <v/>
      </c>
      <c r="U2371" s="17" t="n"/>
      <c r="V2371" s="17" t="n"/>
      <c r="W2371" s="24">
        <f>IF($D2371="","",IF($E2371="※编码不在物料档案里","※物料编码不在档案里",IF(N($J2371)&lt;=0,"※出库数量要大于 0",IF($K2371="","※没填去向类型",IF($L2371="","※没填去向矿区",IF(AND($C2371&lt;&gt;"",$C2371&lt;=结账锁),"※日期早于已结账截止日，不能再录",IF(AND($K2371="自用消耗",COUNTIF({"一矿区";"二矿区"},$L2371)=0),"※自用消耗的去向只能是一矿区或二矿区",IF(AND($K2371="对外销售",COUNTIF({"三矿区";"六矿区"},$L2371)=0),"※对外销售的去向只能是三矿区或六矿区",IF(AND($K2371="对外销售",ROUND($Q2371,0)=0),"※外销却没有售价，请填实际售价",IF(AND($K2371="对外销售",$T2371&lt;&gt;"",$T2371&lt;0),"※这一笔外销是亏的，请核对售价",IF(IFERROR(VLOOKUP($D2371,库存台账!$A$5:$Y$1204,24,0),0)&lt;-0.001,"※这个物料账面已经变成负数了，查一下是不是漏记入库","")))))))))))</f>
        <v/>
      </c>
    </row>
    <row r="2372">
      <c r="A2372" s="24">
        <f>IF($D2372="","",COUNTA($D$4:$D2372))</f>
        <v/>
      </c>
      <c r="B2372" s="17" t="n"/>
      <c r="C2372" s="30" t="n"/>
      <c r="D2372" s="17" t="n"/>
      <c r="E2372" s="24">
        <f>IF($D2372="","",IFERROR(VLOOKUP($D2372,物料档案!$A$4:$P$1203,3,0),"※编码不在物料档案里"))</f>
        <v/>
      </c>
      <c r="F2372" s="24">
        <f>IF($D2372="","",IFERROR(VLOOKUP($D2372,物料档案!$A$4:$P$1203,4,0),"※编码不在物料档案里"))</f>
        <v/>
      </c>
      <c r="G2372" s="24">
        <f>IF($D2372="","",IFERROR(VLOOKUP($D2372,物料档案!$A$4:$P$1203,5,0),"※编码不在物料档案里"))</f>
        <v/>
      </c>
      <c r="H2372" s="24">
        <f>IF($D2372="","",IFERROR(VLOOKUP($D2372,物料档案!$A$4:$P$1203,2,0),"※编码不在物料档案里"))</f>
        <v/>
      </c>
      <c r="I2372" s="24">
        <f>IF($D2372="","",IFERROR(VLOOKUP($D2372,物料档案!$A$4:$P$1203,6,0),"※编码不在物料档案里"))</f>
        <v/>
      </c>
      <c r="J2372" s="23" t="n"/>
      <c r="K2372" s="17" t="n"/>
      <c r="L2372" s="17" t="n"/>
      <c r="M2372" s="17" t="n"/>
      <c r="N2372" s="17" t="n"/>
      <c r="O2372" s="26">
        <f>IF($D2372="","",IFERROR(VLOOKUP($D2372,物料档案!$A$4:$P$1203,10,0),0))</f>
        <v/>
      </c>
      <c r="P2372" s="32" t="n"/>
      <c r="Q2372" s="26">
        <f>IF($D2372="","",IF($K2372&lt;&gt;"对外销售",0,ROUND(N($J2372)*IF($P2372="",N($O2372),N($P2372)),0)))</f>
        <v/>
      </c>
      <c r="R2372" s="26">
        <f>IF($D2372="","",IFERROR(VLOOKUP($D2372,库存台账!$A$5:$Y$1204,11,0),0))</f>
        <v/>
      </c>
      <c r="S2372" s="26">
        <f>IF($D2372="","",ROUND(N($J2372)*N($R2372),0))</f>
        <v/>
      </c>
      <c r="T2372" s="26">
        <f>IF($D2372="","",IF($K2372&lt;&gt;"对外销售","",ROUND($Q2372-$S2372,0)))</f>
        <v/>
      </c>
      <c r="U2372" s="17" t="n"/>
      <c r="V2372" s="17" t="n"/>
      <c r="W2372" s="24">
        <f>IF($D2372="","",IF($E2372="※编码不在物料档案里","※物料编码不在档案里",IF(N($J2372)&lt;=0,"※出库数量要大于 0",IF($K2372="","※没填去向类型",IF($L2372="","※没填去向矿区",IF(AND($C2372&lt;&gt;"",$C2372&lt;=结账锁),"※日期早于已结账截止日，不能再录",IF(AND($K2372="自用消耗",COUNTIF({"一矿区";"二矿区"},$L2372)=0),"※自用消耗的去向只能是一矿区或二矿区",IF(AND($K2372="对外销售",COUNTIF({"三矿区";"六矿区"},$L2372)=0),"※对外销售的去向只能是三矿区或六矿区",IF(AND($K2372="对外销售",ROUND($Q2372,0)=0),"※外销却没有售价，请填实际售价",IF(AND($K2372="对外销售",$T2372&lt;&gt;"",$T2372&lt;0),"※这一笔外销是亏的，请核对售价",IF(IFERROR(VLOOKUP($D2372,库存台账!$A$5:$Y$1204,24,0),0)&lt;-0.001,"※这个物料账面已经变成负数了，查一下是不是漏记入库","")))))))))))</f>
        <v/>
      </c>
    </row>
    <row r="2373">
      <c r="A2373" s="24">
        <f>IF($D2373="","",COUNTA($D$4:$D2373))</f>
        <v/>
      </c>
      <c r="B2373" s="17" t="n"/>
      <c r="C2373" s="30" t="n"/>
      <c r="D2373" s="17" t="n"/>
      <c r="E2373" s="24">
        <f>IF($D2373="","",IFERROR(VLOOKUP($D2373,物料档案!$A$4:$P$1203,3,0),"※编码不在物料档案里"))</f>
        <v/>
      </c>
      <c r="F2373" s="24">
        <f>IF($D2373="","",IFERROR(VLOOKUP($D2373,物料档案!$A$4:$P$1203,4,0),"※编码不在物料档案里"))</f>
        <v/>
      </c>
      <c r="G2373" s="24">
        <f>IF($D2373="","",IFERROR(VLOOKUP($D2373,物料档案!$A$4:$P$1203,5,0),"※编码不在物料档案里"))</f>
        <v/>
      </c>
      <c r="H2373" s="24">
        <f>IF($D2373="","",IFERROR(VLOOKUP($D2373,物料档案!$A$4:$P$1203,2,0),"※编码不在物料档案里"))</f>
        <v/>
      </c>
      <c r="I2373" s="24">
        <f>IF($D2373="","",IFERROR(VLOOKUP($D2373,物料档案!$A$4:$P$1203,6,0),"※编码不在物料档案里"))</f>
        <v/>
      </c>
      <c r="J2373" s="23" t="n"/>
      <c r="K2373" s="17" t="n"/>
      <c r="L2373" s="17" t="n"/>
      <c r="M2373" s="17" t="n"/>
      <c r="N2373" s="17" t="n"/>
      <c r="O2373" s="26">
        <f>IF($D2373="","",IFERROR(VLOOKUP($D2373,物料档案!$A$4:$P$1203,10,0),0))</f>
        <v/>
      </c>
      <c r="P2373" s="32" t="n"/>
      <c r="Q2373" s="26">
        <f>IF($D2373="","",IF($K2373&lt;&gt;"对外销售",0,ROUND(N($J2373)*IF($P2373="",N($O2373),N($P2373)),0)))</f>
        <v/>
      </c>
      <c r="R2373" s="26">
        <f>IF($D2373="","",IFERROR(VLOOKUP($D2373,库存台账!$A$5:$Y$1204,11,0),0))</f>
        <v/>
      </c>
      <c r="S2373" s="26">
        <f>IF($D2373="","",ROUND(N($J2373)*N($R2373),0))</f>
        <v/>
      </c>
      <c r="T2373" s="26">
        <f>IF($D2373="","",IF($K2373&lt;&gt;"对外销售","",ROUND($Q2373-$S2373,0)))</f>
        <v/>
      </c>
      <c r="U2373" s="17" t="n"/>
      <c r="V2373" s="17" t="n"/>
      <c r="W2373" s="24">
        <f>IF($D2373="","",IF($E2373="※编码不在物料档案里","※物料编码不在档案里",IF(N($J2373)&lt;=0,"※出库数量要大于 0",IF($K2373="","※没填去向类型",IF($L2373="","※没填去向矿区",IF(AND($C2373&lt;&gt;"",$C2373&lt;=结账锁),"※日期早于已结账截止日，不能再录",IF(AND($K2373="自用消耗",COUNTIF({"一矿区";"二矿区"},$L2373)=0),"※自用消耗的去向只能是一矿区或二矿区",IF(AND($K2373="对外销售",COUNTIF({"三矿区";"六矿区"},$L2373)=0),"※对外销售的去向只能是三矿区或六矿区",IF(AND($K2373="对外销售",ROUND($Q2373,0)=0),"※外销却没有售价，请填实际售价",IF(AND($K2373="对外销售",$T2373&lt;&gt;"",$T2373&lt;0),"※这一笔外销是亏的，请核对售价",IF(IFERROR(VLOOKUP($D2373,库存台账!$A$5:$Y$1204,24,0),0)&lt;-0.001,"※这个物料账面已经变成负数了，查一下是不是漏记入库","")))))))))))</f>
        <v/>
      </c>
    </row>
    <row r="2374">
      <c r="A2374" s="24">
        <f>IF($D2374="","",COUNTA($D$4:$D2374))</f>
        <v/>
      </c>
      <c r="B2374" s="17" t="n"/>
      <c r="C2374" s="30" t="n"/>
      <c r="D2374" s="17" t="n"/>
      <c r="E2374" s="24">
        <f>IF($D2374="","",IFERROR(VLOOKUP($D2374,物料档案!$A$4:$P$1203,3,0),"※编码不在物料档案里"))</f>
        <v/>
      </c>
      <c r="F2374" s="24">
        <f>IF($D2374="","",IFERROR(VLOOKUP($D2374,物料档案!$A$4:$P$1203,4,0),"※编码不在物料档案里"))</f>
        <v/>
      </c>
      <c r="G2374" s="24">
        <f>IF($D2374="","",IFERROR(VLOOKUP($D2374,物料档案!$A$4:$P$1203,5,0),"※编码不在物料档案里"))</f>
        <v/>
      </c>
      <c r="H2374" s="24">
        <f>IF($D2374="","",IFERROR(VLOOKUP($D2374,物料档案!$A$4:$P$1203,2,0),"※编码不在物料档案里"))</f>
        <v/>
      </c>
      <c r="I2374" s="24">
        <f>IF($D2374="","",IFERROR(VLOOKUP($D2374,物料档案!$A$4:$P$1203,6,0),"※编码不在物料档案里"))</f>
        <v/>
      </c>
      <c r="J2374" s="23" t="n"/>
      <c r="K2374" s="17" t="n"/>
      <c r="L2374" s="17" t="n"/>
      <c r="M2374" s="17" t="n"/>
      <c r="N2374" s="17" t="n"/>
      <c r="O2374" s="26">
        <f>IF($D2374="","",IFERROR(VLOOKUP($D2374,物料档案!$A$4:$P$1203,10,0),0))</f>
        <v/>
      </c>
      <c r="P2374" s="32" t="n"/>
      <c r="Q2374" s="26">
        <f>IF($D2374="","",IF($K2374&lt;&gt;"对外销售",0,ROUND(N($J2374)*IF($P2374="",N($O2374),N($P2374)),0)))</f>
        <v/>
      </c>
      <c r="R2374" s="26">
        <f>IF($D2374="","",IFERROR(VLOOKUP($D2374,库存台账!$A$5:$Y$1204,11,0),0))</f>
        <v/>
      </c>
      <c r="S2374" s="26">
        <f>IF($D2374="","",ROUND(N($J2374)*N($R2374),0))</f>
        <v/>
      </c>
      <c r="T2374" s="26">
        <f>IF($D2374="","",IF($K2374&lt;&gt;"对外销售","",ROUND($Q2374-$S2374,0)))</f>
        <v/>
      </c>
      <c r="U2374" s="17" t="n"/>
      <c r="V2374" s="17" t="n"/>
      <c r="W2374" s="24">
        <f>IF($D2374="","",IF($E2374="※编码不在物料档案里","※物料编码不在档案里",IF(N($J2374)&lt;=0,"※出库数量要大于 0",IF($K2374="","※没填去向类型",IF($L2374="","※没填去向矿区",IF(AND($C2374&lt;&gt;"",$C2374&lt;=结账锁),"※日期早于已结账截止日，不能再录",IF(AND($K2374="自用消耗",COUNTIF({"一矿区";"二矿区"},$L2374)=0),"※自用消耗的去向只能是一矿区或二矿区",IF(AND($K2374="对外销售",COUNTIF({"三矿区";"六矿区"},$L2374)=0),"※对外销售的去向只能是三矿区或六矿区",IF(AND($K2374="对外销售",ROUND($Q2374,0)=0),"※外销却没有售价，请填实际售价",IF(AND($K2374="对外销售",$T2374&lt;&gt;"",$T2374&lt;0),"※这一笔外销是亏的，请核对售价",IF(IFERROR(VLOOKUP($D2374,库存台账!$A$5:$Y$1204,24,0),0)&lt;-0.001,"※这个物料账面已经变成负数了，查一下是不是漏记入库","")))))))))))</f>
        <v/>
      </c>
    </row>
    <row r="2375">
      <c r="A2375" s="24">
        <f>IF($D2375="","",COUNTA($D$4:$D2375))</f>
        <v/>
      </c>
      <c r="B2375" s="17" t="n"/>
      <c r="C2375" s="30" t="n"/>
      <c r="D2375" s="17" t="n"/>
      <c r="E2375" s="24">
        <f>IF($D2375="","",IFERROR(VLOOKUP($D2375,物料档案!$A$4:$P$1203,3,0),"※编码不在物料档案里"))</f>
        <v/>
      </c>
      <c r="F2375" s="24">
        <f>IF($D2375="","",IFERROR(VLOOKUP($D2375,物料档案!$A$4:$P$1203,4,0),"※编码不在物料档案里"))</f>
        <v/>
      </c>
      <c r="G2375" s="24">
        <f>IF($D2375="","",IFERROR(VLOOKUP($D2375,物料档案!$A$4:$P$1203,5,0),"※编码不在物料档案里"))</f>
        <v/>
      </c>
      <c r="H2375" s="24">
        <f>IF($D2375="","",IFERROR(VLOOKUP($D2375,物料档案!$A$4:$P$1203,2,0),"※编码不在物料档案里"))</f>
        <v/>
      </c>
      <c r="I2375" s="24">
        <f>IF($D2375="","",IFERROR(VLOOKUP($D2375,物料档案!$A$4:$P$1203,6,0),"※编码不在物料档案里"))</f>
        <v/>
      </c>
      <c r="J2375" s="23" t="n"/>
      <c r="K2375" s="17" t="n"/>
      <c r="L2375" s="17" t="n"/>
      <c r="M2375" s="17" t="n"/>
      <c r="N2375" s="17" t="n"/>
      <c r="O2375" s="26">
        <f>IF($D2375="","",IFERROR(VLOOKUP($D2375,物料档案!$A$4:$P$1203,10,0),0))</f>
        <v/>
      </c>
      <c r="P2375" s="32" t="n"/>
      <c r="Q2375" s="26">
        <f>IF($D2375="","",IF($K2375&lt;&gt;"对外销售",0,ROUND(N($J2375)*IF($P2375="",N($O2375),N($P2375)),0)))</f>
        <v/>
      </c>
      <c r="R2375" s="26">
        <f>IF($D2375="","",IFERROR(VLOOKUP($D2375,库存台账!$A$5:$Y$1204,11,0),0))</f>
        <v/>
      </c>
      <c r="S2375" s="26">
        <f>IF($D2375="","",ROUND(N($J2375)*N($R2375),0))</f>
        <v/>
      </c>
      <c r="T2375" s="26">
        <f>IF($D2375="","",IF($K2375&lt;&gt;"对外销售","",ROUND($Q2375-$S2375,0)))</f>
        <v/>
      </c>
      <c r="U2375" s="17" t="n"/>
      <c r="V2375" s="17" t="n"/>
      <c r="W2375" s="24">
        <f>IF($D2375="","",IF($E2375="※编码不在物料档案里","※物料编码不在档案里",IF(N($J2375)&lt;=0,"※出库数量要大于 0",IF($K2375="","※没填去向类型",IF($L2375="","※没填去向矿区",IF(AND($C2375&lt;&gt;"",$C2375&lt;=结账锁),"※日期早于已结账截止日，不能再录",IF(AND($K2375="自用消耗",COUNTIF({"一矿区";"二矿区"},$L2375)=0),"※自用消耗的去向只能是一矿区或二矿区",IF(AND($K2375="对外销售",COUNTIF({"三矿区";"六矿区"},$L2375)=0),"※对外销售的去向只能是三矿区或六矿区",IF(AND($K2375="对外销售",ROUND($Q2375,0)=0),"※外销却没有售价，请填实际售价",IF(AND($K2375="对外销售",$T2375&lt;&gt;"",$T2375&lt;0),"※这一笔外销是亏的，请核对售价",IF(IFERROR(VLOOKUP($D2375,库存台账!$A$5:$Y$1204,24,0),0)&lt;-0.001,"※这个物料账面已经变成负数了，查一下是不是漏记入库","")))))))))))</f>
        <v/>
      </c>
    </row>
    <row r="2376">
      <c r="A2376" s="24">
        <f>IF($D2376="","",COUNTA($D$4:$D2376))</f>
        <v/>
      </c>
      <c r="B2376" s="17" t="n"/>
      <c r="C2376" s="30" t="n"/>
      <c r="D2376" s="17" t="n"/>
      <c r="E2376" s="24">
        <f>IF($D2376="","",IFERROR(VLOOKUP($D2376,物料档案!$A$4:$P$1203,3,0),"※编码不在物料档案里"))</f>
        <v/>
      </c>
      <c r="F2376" s="24">
        <f>IF($D2376="","",IFERROR(VLOOKUP($D2376,物料档案!$A$4:$P$1203,4,0),"※编码不在物料档案里"))</f>
        <v/>
      </c>
      <c r="G2376" s="24">
        <f>IF($D2376="","",IFERROR(VLOOKUP($D2376,物料档案!$A$4:$P$1203,5,0),"※编码不在物料档案里"))</f>
        <v/>
      </c>
      <c r="H2376" s="24">
        <f>IF($D2376="","",IFERROR(VLOOKUP($D2376,物料档案!$A$4:$P$1203,2,0),"※编码不在物料档案里"))</f>
        <v/>
      </c>
      <c r="I2376" s="24">
        <f>IF($D2376="","",IFERROR(VLOOKUP($D2376,物料档案!$A$4:$P$1203,6,0),"※编码不在物料档案里"))</f>
        <v/>
      </c>
      <c r="J2376" s="23" t="n"/>
      <c r="K2376" s="17" t="n"/>
      <c r="L2376" s="17" t="n"/>
      <c r="M2376" s="17" t="n"/>
      <c r="N2376" s="17" t="n"/>
      <c r="O2376" s="26">
        <f>IF($D2376="","",IFERROR(VLOOKUP($D2376,物料档案!$A$4:$P$1203,10,0),0))</f>
        <v/>
      </c>
      <c r="P2376" s="32" t="n"/>
      <c r="Q2376" s="26">
        <f>IF($D2376="","",IF($K2376&lt;&gt;"对外销售",0,ROUND(N($J2376)*IF($P2376="",N($O2376),N($P2376)),0)))</f>
        <v/>
      </c>
      <c r="R2376" s="26">
        <f>IF($D2376="","",IFERROR(VLOOKUP($D2376,库存台账!$A$5:$Y$1204,11,0),0))</f>
        <v/>
      </c>
      <c r="S2376" s="26">
        <f>IF($D2376="","",ROUND(N($J2376)*N($R2376),0))</f>
        <v/>
      </c>
      <c r="T2376" s="26">
        <f>IF($D2376="","",IF($K2376&lt;&gt;"对外销售","",ROUND($Q2376-$S2376,0)))</f>
        <v/>
      </c>
      <c r="U2376" s="17" t="n"/>
      <c r="V2376" s="17" t="n"/>
      <c r="W2376" s="24">
        <f>IF($D2376="","",IF($E2376="※编码不在物料档案里","※物料编码不在档案里",IF(N($J2376)&lt;=0,"※出库数量要大于 0",IF($K2376="","※没填去向类型",IF($L2376="","※没填去向矿区",IF(AND($C2376&lt;&gt;"",$C2376&lt;=结账锁),"※日期早于已结账截止日，不能再录",IF(AND($K2376="自用消耗",COUNTIF({"一矿区";"二矿区"},$L2376)=0),"※自用消耗的去向只能是一矿区或二矿区",IF(AND($K2376="对外销售",COUNTIF({"三矿区";"六矿区"},$L2376)=0),"※对外销售的去向只能是三矿区或六矿区",IF(AND($K2376="对外销售",ROUND($Q2376,0)=0),"※外销却没有售价，请填实际售价",IF(AND($K2376="对外销售",$T2376&lt;&gt;"",$T2376&lt;0),"※这一笔外销是亏的，请核对售价",IF(IFERROR(VLOOKUP($D2376,库存台账!$A$5:$Y$1204,24,0),0)&lt;-0.001,"※这个物料账面已经变成负数了，查一下是不是漏记入库","")))))))))))</f>
        <v/>
      </c>
    </row>
    <row r="2377">
      <c r="A2377" s="24">
        <f>IF($D2377="","",COUNTA($D$4:$D2377))</f>
        <v/>
      </c>
      <c r="B2377" s="17" t="n"/>
      <c r="C2377" s="30" t="n"/>
      <c r="D2377" s="17" t="n"/>
      <c r="E2377" s="24">
        <f>IF($D2377="","",IFERROR(VLOOKUP($D2377,物料档案!$A$4:$P$1203,3,0),"※编码不在物料档案里"))</f>
        <v/>
      </c>
      <c r="F2377" s="24">
        <f>IF($D2377="","",IFERROR(VLOOKUP($D2377,物料档案!$A$4:$P$1203,4,0),"※编码不在物料档案里"))</f>
        <v/>
      </c>
      <c r="G2377" s="24">
        <f>IF($D2377="","",IFERROR(VLOOKUP($D2377,物料档案!$A$4:$P$1203,5,0),"※编码不在物料档案里"))</f>
        <v/>
      </c>
      <c r="H2377" s="24">
        <f>IF($D2377="","",IFERROR(VLOOKUP($D2377,物料档案!$A$4:$P$1203,2,0),"※编码不在物料档案里"))</f>
        <v/>
      </c>
      <c r="I2377" s="24">
        <f>IF($D2377="","",IFERROR(VLOOKUP($D2377,物料档案!$A$4:$P$1203,6,0),"※编码不在物料档案里"))</f>
        <v/>
      </c>
      <c r="J2377" s="23" t="n"/>
      <c r="K2377" s="17" t="n"/>
      <c r="L2377" s="17" t="n"/>
      <c r="M2377" s="17" t="n"/>
      <c r="N2377" s="17" t="n"/>
      <c r="O2377" s="26">
        <f>IF($D2377="","",IFERROR(VLOOKUP($D2377,物料档案!$A$4:$P$1203,10,0),0))</f>
        <v/>
      </c>
      <c r="P2377" s="32" t="n"/>
      <c r="Q2377" s="26">
        <f>IF($D2377="","",IF($K2377&lt;&gt;"对外销售",0,ROUND(N($J2377)*IF($P2377="",N($O2377),N($P2377)),0)))</f>
        <v/>
      </c>
      <c r="R2377" s="26">
        <f>IF($D2377="","",IFERROR(VLOOKUP($D2377,库存台账!$A$5:$Y$1204,11,0),0))</f>
        <v/>
      </c>
      <c r="S2377" s="26">
        <f>IF($D2377="","",ROUND(N($J2377)*N($R2377),0))</f>
        <v/>
      </c>
      <c r="T2377" s="26">
        <f>IF($D2377="","",IF($K2377&lt;&gt;"对外销售","",ROUND($Q2377-$S2377,0)))</f>
        <v/>
      </c>
      <c r="U2377" s="17" t="n"/>
      <c r="V2377" s="17" t="n"/>
      <c r="W2377" s="24">
        <f>IF($D2377="","",IF($E2377="※编码不在物料档案里","※物料编码不在档案里",IF(N($J2377)&lt;=0,"※出库数量要大于 0",IF($K2377="","※没填去向类型",IF($L2377="","※没填去向矿区",IF(AND($C2377&lt;&gt;"",$C2377&lt;=结账锁),"※日期早于已结账截止日，不能再录",IF(AND($K2377="自用消耗",COUNTIF({"一矿区";"二矿区"},$L2377)=0),"※自用消耗的去向只能是一矿区或二矿区",IF(AND($K2377="对外销售",COUNTIF({"三矿区";"六矿区"},$L2377)=0),"※对外销售的去向只能是三矿区或六矿区",IF(AND($K2377="对外销售",ROUND($Q2377,0)=0),"※外销却没有售价，请填实际售价",IF(AND($K2377="对外销售",$T2377&lt;&gt;"",$T2377&lt;0),"※这一笔外销是亏的，请核对售价",IF(IFERROR(VLOOKUP($D2377,库存台账!$A$5:$Y$1204,24,0),0)&lt;-0.001,"※这个物料账面已经变成负数了，查一下是不是漏记入库","")))))))))))</f>
        <v/>
      </c>
    </row>
    <row r="2378">
      <c r="A2378" s="24">
        <f>IF($D2378="","",COUNTA($D$4:$D2378))</f>
        <v/>
      </c>
      <c r="B2378" s="17" t="n"/>
      <c r="C2378" s="30" t="n"/>
      <c r="D2378" s="17" t="n"/>
      <c r="E2378" s="24">
        <f>IF($D2378="","",IFERROR(VLOOKUP($D2378,物料档案!$A$4:$P$1203,3,0),"※编码不在物料档案里"))</f>
        <v/>
      </c>
      <c r="F2378" s="24">
        <f>IF($D2378="","",IFERROR(VLOOKUP($D2378,物料档案!$A$4:$P$1203,4,0),"※编码不在物料档案里"))</f>
        <v/>
      </c>
      <c r="G2378" s="24">
        <f>IF($D2378="","",IFERROR(VLOOKUP($D2378,物料档案!$A$4:$P$1203,5,0),"※编码不在物料档案里"))</f>
        <v/>
      </c>
      <c r="H2378" s="24">
        <f>IF($D2378="","",IFERROR(VLOOKUP($D2378,物料档案!$A$4:$P$1203,2,0),"※编码不在物料档案里"))</f>
        <v/>
      </c>
      <c r="I2378" s="24">
        <f>IF($D2378="","",IFERROR(VLOOKUP($D2378,物料档案!$A$4:$P$1203,6,0),"※编码不在物料档案里"))</f>
        <v/>
      </c>
      <c r="J2378" s="23" t="n"/>
      <c r="K2378" s="17" t="n"/>
      <c r="L2378" s="17" t="n"/>
      <c r="M2378" s="17" t="n"/>
      <c r="N2378" s="17" t="n"/>
      <c r="O2378" s="26">
        <f>IF($D2378="","",IFERROR(VLOOKUP($D2378,物料档案!$A$4:$P$1203,10,0),0))</f>
        <v/>
      </c>
      <c r="P2378" s="32" t="n"/>
      <c r="Q2378" s="26">
        <f>IF($D2378="","",IF($K2378&lt;&gt;"对外销售",0,ROUND(N($J2378)*IF($P2378="",N($O2378),N($P2378)),0)))</f>
        <v/>
      </c>
      <c r="R2378" s="26">
        <f>IF($D2378="","",IFERROR(VLOOKUP($D2378,库存台账!$A$5:$Y$1204,11,0),0))</f>
        <v/>
      </c>
      <c r="S2378" s="26">
        <f>IF($D2378="","",ROUND(N($J2378)*N($R2378),0))</f>
        <v/>
      </c>
      <c r="T2378" s="26">
        <f>IF($D2378="","",IF($K2378&lt;&gt;"对外销售","",ROUND($Q2378-$S2378,0)))</f>
        <v/>
      </c>
      <c r="U2378" s="17" t="n"/>
      <c r="V2378" s="17" t="n"/>
      <c r="W2378" s="24">
        <f>IF($D2378="","",IF($E2378="※编码不在物料档案里","※物料编码不在档案里",IF(N($J2378)&lt;=0,"※出库数量要大于 0",IF($K2378="","※没填去向类型",IF($L2378="","※没填去向矿区",IF(AND($C2378&lt;&gt;"",$C2378&lt;=结账锁),"※日期早于已结账截止日，不能再录",IF(AND($K2378="自用消耗",COUNTIF({"一矿区";"二矿区"},$L2378)=0),"※自用消耗的去向只能是一矿区或二矿区",IF(AND($K2378="对外销售",COUNTIF({"三矿区";"六矿区"},$L2378)=0),"※对外销售的去向只能是三矿区或六矿区",IF(AND($K2378="对外销售",ROUND($Q2378,0)=0),"※外销却没有售价，请填实际售价",IF(AND($K2378="对外销售",$T2378&lt;&gt;"",$T2378&lt;0),"※这一笔外销是亏的，请核对售价",IF(IFERROR(VLOOKUP($D2378,库存台账!$A$5:$Y$1204,24,0),0)&lt;-0.001,"※这个物料账面已经变成负数了，查一下是不是漏记入库","")))))))))))</f>
        <v/>
      </c>
    </row>
    <row r="2379">
      <c r="A2379" s="24">
        <f>IF($D2379="","",COUNTA($D$4:$D2379))</f>
        <v/>
      </c>
      <c r="B2379" s="17" t="n"/>
      <c r="C2379" s="30" t="n"/>
      <c r="D2379" s="17" t="n"/>
      <c r="E2379" s="24">
        <f>IF($D2379="","",IFERROR(VLOOKUP($D2379,物料档案!$A$4:$P$1203,3,0),"※编码不在物料档案里"))</f>
        <v/>
      </c>
      <c r="F2379" s="24">
        <f>IF($D2379="","",IFERROR(VLOOKUP($D2379,物料档案!$A$4:$P$1203,4,0),"※编码不在物料档案里"))</f>
        <v/>
      </c>
      <c r="G2379" s="24">
        <f>IF($D2379="","",IFERROR(VLOOKUP($D2379,物料档案!$A$4:$P$1203,5,0),"※编码不在物料档案里"))</f>
        <v/>
      </c>
      <c r="H2379" s="24">
        <f>IF($D2379="","",IFERROR(VLOOKUP($D2379,物料档案!$A$4:$P$1203,2,0),"※编码不在物料档案里"))</f>
        <v/>
      </c>
      <c r="I2379" s="24">
        <f>IF($D2379="","",IFERROR(VLOOKUP($D2379,物料档案!$A$4:$P$1203,6,0),"※编码不在物料档案里"))</f>
        <v/>
      </c>
      <c r="J2379" s="23" t="n"/>
      <c r="K2379" s="17" t="n"/>
      <c r="L2379" s="17" t="n"/>
      <c r="M2379" s="17" t="n"/>
      <c r="N2379" s="17" t="n"/>
      <c r="O2379" s="26">
        <f>IF($D2379="","",IFERROR(VLOOKUP($D2379,物料档案!$A$4:$P$1203,10,0),0))</f>
        <v/>
      </c>
      <c r="P2379" s="32" t="n"/>
      <c r="Q2379" s="26">
        <f>IF($D2379="","",IF($K2379&lt;&gt;"对外销售",0,ROUND(N($J2379)*IF($P2379="",N($O2379),N($P2379)),0)))</f>
        <v/>
      </c>
      <c r="R2379" s="26">
        <f>IF($D2379="","",IFERROR(VLOOKUP($D2379,库存台账!$A$5:$Y$1204,11,0),0))</f>
        <v/>
      </c>
      <c r="S2379" s="26">
        <f>IF($D2379="","",ROUND(N($J2379)*N($R2379),0))</f>
        <v/>
      </c>
      <c r="T2379" s="26">
        <f>IF($D2379="","",IF($K2379&lt;&gt;"对外销售","",ROUND($Q2379-$S2379,0)))</f>
        <v/>
      </c>
      <c r="U2379" s="17" t="n"/>
      <c r="V2379" s="17" t="n"/>
      <c r="W2379" s="24">
        <f>IF($D2379="","",IF($E2379="※编码不在物料档案里","※物料编码不在档案里",IF(N($J2379)&lt;=0,"※出库数量要大于 0",IF($K2379="","※没填去向类型",IF($L2379="","※没填去向矿区",IF(AND($C2379&lt;&gt;"",$C2379&lt;=结账锁),"※日期早于已结账截止日，不能再录",IF(AND($K2379="自用消耗",COUNTIF({"一矿区";"二矿区"},$L2379)=0),"※自用消耗的去向只能是一矿区或二矿区",IF(AND($K2379="对外销售",COUNTIF({"三矿区";"六矿区"},$L2379)=0),"※对外销售的去向只能是三矿区或六矿区",IF(AND($K2379="对外销售",ROUND($Q2379,0)=0),"※外销却没有售价，请填实际售价",IF(AND($K2379="对外销售",$T2379&lt;&gt;"",$T2379&lt;0),"※这一笔外销是亏的，请核对售价",IF(IFERROR(VLOOKUP($D2379,库存台账!$A$5:$Y$1204,24,0),0)&lt;-0.001,"※这个物料账面已经变成负数了，查一下是不是漏记入库","")))))))))))</f>
        <v/>
      </c>
    </row>
    <row r="2380">
      <c r="A2380" s="24">
        <f>IF($D2380="","",COUNTA($D$4:$D2380))</f>
        <v/>
      </c>
      <c r="B2380" s="17" t="n"/>
      <c r="C2380" s="30" t="n"/>
      <c r="D2380" s="17" t="n"/>
      <c r="E2380" s="24">
        <f>IF($D2380="","",IFERROR(VLOOKUP($D2380,物料档案!$A$4:$P$1203,3,0),"※编码不在物料档案里"))</f>
        <v/>
      </c>
      <c r="F2380" s="24">
        <f>IF($D2380="","",IFERROR(VLOOKUP($D2380,物料档案!$A$4:$P$1203,4,0),"※编码不在物料档案里"))</f>
        <v/>
      </c>
      <c r="G2380" s="24">
        <f>IF($D2380="","",IFERROR(VLOOKUP($D2380,物料档案!$A$4:$P$1203,5,0),"※编码不在物料档案里"))</f>
        <v/>
      </c>
      <c r="H2380" s="24">
        <f>IF($D2380="","",IFERROR(VLOOKUP($D2380,物料档案!$A$4:$P$1203,2,0),"※编码不在物料档案里"))</f>
        <v/>
      </c>
      <c r="I2380" s="24">
        <f>IF($D2380="","",IFERROR(VLOOKUP($D2380,物料档案!$A$4:$P$1203,6,0),"※编码不在物料档案里"))</f>
        <v/>
      </c>
      <c r="J2380" s="23" t="n"/>
      <c r="K2380" s="17" t="n"/>
      <c r="L2380" s="17" t="n"/>
      <c r="M2380" s="17" t="n"/>
      <c r="N2380" s="17" t="n"/>
      <c r="O2380" s="26">
        <f>IF($D2380="","",IFERROR(VLOOKUP($D2380,物料档案!$A$4:$P$1203,10,0),0))</f>
        <v/>
      </c>
      <c r="P2380" s="32" t="n"/>
      <c r="Q2380" s="26">
        <f>IF($D2380="","",IF($K2380&lt;&gt;"对外销售",0,ROUND(N($J2380)*IF($P2380="",N($O2380),N($P2380)),0)))</f>
        <v/>
      </c>
      <c r="R2380" s="26">
        <f>IF($D2380="","",IFERROR(VLOOKUP($D2380,库存台账!$A$5:$Y$1204,11,0),0))</f>
        <v/>
      </c>
      <c r="S2380" s="26">
        <f>IF($D2380="","",ROUND(N($J2380)*N($R2380),0))</f>
        <v/>
      </c>
      <c r="T2380" s="26">
        <f>IF($D2380="","",IF($K2380&lt;&gt;"对外销售","",ROUND($Q2380-$S2380,0)))</f>
        <v/>
      </c>
      <c r="U2380" s="17" t="n"/>
      <c r="V2380" s="17" t="n"/>
      <c r="W2380" s="24">
        <f>IF($D2380="","",IF($E2380="※编码不在物料档案里","※物料编码不在档案里",IF(N($J2380)&lt;=0,"※出库数量要大于 0",IF($K2380="","※没填去向类型",IF($L2380="","※没填去向矿区",IF(AND($C2380&lt;&gt;"",$C2380&lt;=结账锁),"※日期早于已结账截止日，不能再录",IF(AND($K2380="自用消耗",COUNTIF({"一矿区";"二矿区"},$L2380)=0),"※自用消耗的去向只能是一矿区或二矿区",IF(AND($K2380="对外销售",COUNTIF({"三矿区";"六矿区"},$L2380)=0),"※对外销售的去向只能是三矿区或六矿区",IF(AND($K2380="对外销售",ROUND($Q2380,0)=0),"※外销却没有售价，请填实际售价",IF(AND($K2380="对外销售",$T2380&lt;&gt;"",$T2380&lt;0),"※这一笔外销是亏的，请核对售价",IF(IFERROR(VLOOKUP($D2380,库存台账!$A$5:$Y$1204,24,0),0)&lt;-0.001,"※这个物料账面已经变成负数了，查一下是不是漏记入库","")))))))))))</f>
        <v/>
      </c>
    </row>
    <row r="2381">
      <c r="A2381" s="24">
        <f>IF($D2381="","",COUNTA($D$4:$D2381))</f>
        <v/>
      </c>
      <c r="B2381" s="17" t="n"/>
      <c r="C2381" s="30" t="n"/>
      <c r="D2381" s="17" t="n"/>
      <c r="E2381" s="24">
        <f>IF($D2381="","",IFERROR(VLOOKUP($D2381,物料档案!$A$4:$P$1203,3,0),"※编码不在物料档案里"))</f>
        <v/>
      </c>
      <c r="F2381" s="24">
        <f>IF($D2381="","",IFERROR(VLOOKUP($D2381,物料档案!$A$4:$P$1203,4,0),"※编码不在物料档案里"))</f>
        <v/>
      </c>
      <c r="G2381" s="24">
        <f>IF($D2381="","",IFERROR(VLOOKUP($D2381,物料档案!$A$4:$P$1203,5,0),"※编码不在物料档案里"))</f>
        <v/>
      </c>
      <c r="H2381" s="24">
        <f>IF($D2381="","",IFERROR(VLOOKUP($D2381,物料档案!$A$4:$P$1203,2,0),"※编码不在物料档案里"))</f>
        <v/>
      </c>
      <c r="I2381" s="24">
        <f>IF($D2381="","",IFERROR(VLOOKUP($D2381,物料档案!$A$4:$P$1203,6,0),"※编码不在物料档案里"))</f>
        <v/>
      </c>
      <c r="J2381" s="23" t="n"/>
      <c r="K2381" s="17" t="n"/>
      <c r="L2381" s="17" t="n"/>
      <c r="M2381" s="17" t="n"/>
      <c r="N2381" s="17" t="n"/>
      <c r="O2381" s="26">
        <f>IF($D2381="","",IFERROR(VLOOKUP($D2381,物料档案!$A$4:$P$1203,10,0),0))</f>
        <v/>
      </c>
      <c r="P2381" s="32" t="n"/>
      <c r="Q2381" s="26">
        <f>IF($D2381="","",IF($K2381&lt;&gt;"对外销售",0,ROUND(N($J2381)*IF($P2381="",N($O2381),N($P2381)),0)))</f>
        <v/>
      </c>
      <c r="R2381" s="26">
        <f>IF($D2381="","",IFERROR(VLOOKUP($D2381,库存台账!$A$5:$Y$1204,11,0),0))</f>
        <v/>
      </c>
      <c r="S2381" s="26">
        <f>IF($D2381="","",ROUND(N($J2381)*N($R2381),0))</f>
        <v/>
      </c>
      <c r="T2381" s="26">
        <f>IF($D2381="","",IF($K2381&lt;&gt;"对外销售","",ROUND($Q2381-$S2381,0)))</f>
        <v/>
      </c>
      <c r="U2381" s="17" t="n"/>
      <c r="V2381" s="17" t="n"/>
      <c r="W2381" s="24">
        <f>IF($D2381="","",IF($E2381="※编码不在物料档案里","※物料编码不在档案里",IF(N($J2381)&lt;=0,"※出库数量要大于 0",IF($K2381="","※没填去向类型",IF($L2381="","※没填去向矿区",IF(AND($C2381&lt;&gt;"",$C2381&lt;=结账锁),"※日期早于已结账截止日，不能再录",IF(AND($K2381="自用消耗",COUNTIF({"一矿区";"二矿区"},$L2381)=0),"※自用消耗的去向只能是一矿区或二矿区",IF(AND($K2381="对外销售",COUNTIF({"三矿区";"六矿区"},$L2381)=0),"※对外销售的去向只能是三矿区或六矿区",IF(AND($K2381="对外销售",ROUND($Q2381,0)=0),"※外销却没有售价，请填实际售价",IF(AND($K2381="对外销售",$T2381&lt;&gt;"",$T2381&lt;0),"※这一笔外销是亏的，请核对售价",IF(IFERROR(VLOOKUP($D2381,库存台账!$A$5:$Y$1204,24,0),0)&lt;-0.001,"※这个物料账面已经变成负数了，查一下是不是漏记入库","")))))))))))</f>
        <v/>
      </c>
    </row>
    <row r="2382">
      <c r="A2382" s="24">
        <f>IF($D2382="","",COUNTA($D$4:$D2382))</f>
        <v/>
      </c>
      <c r="B2382" s="17" t="n"/>
      <c r="C2382" s="30" t="n"/>
      <c r="D2382" s="17" t="n"/>
      <c r="E2382" s="24">
        <f>IF($D2382="","",IFERROR(VLOOKUP($D2382,物料档案!$A$4:$P$1203,3,0),"※编码不在物料档案里"))</f>
        <v/>
      </c>
      <c r="F2382" s="24">
        <f>IF($D2382="","",IFERROR(VLOOKUP($D2382,物料档案!$A$4:$P$1203,4,0),"※编码不在物料档案里"))</f>
        <v/>
      </c>
      <c r="G2382" s="24">
        <f>IF($D2382="","",IFERROR(VLOOKUP($D2382,物料档案!$A$4:$P$1203,5,0),"※编码不在物料档案里"))</f>
        <v/>
      </c>
      <c r="H2382" s="24">
        <f>IF($D2382="","",IFERROR(VLOOKUP($D2382,物料档案!$A$4:$P$1203,2,0),"※编码不在物料档案里"))</f>
        <v/>
      </c>
      <c r="I2382" s="24">
        <f>IF($D2382="","",IFERROR(VLOOKUP($D2382,物料档案!$A$4:$P$1203,6,0),"※编码不在物料档案里"))</f>
        <v/>
      </c>
      <c r="J2382" s="23" t="n"/>
      <c r="K2382" s="17" t="n"/>
      <c r="L2382" s="17" t="n"/>
      <c r="M2382" s="17" t="n"/>
      <c r="N2382" s="17" t="n"/>
      <c r="O2382" s="26">
        <f>IF($D2382="","",IFERROR(VLOOKUP($D2382,物料档案!$A$4:$P$1203,10,0),0))</f>
        <v/>
      </c>
      <c r="P2382" s="32" t="n"/>
      <c r="Q2382" s="26">
        <f>IF($D2382="","",IF($K2382&lt;&gt;"对外销售",0,ROUND(N($J2382)*IF($P2382="",N($O2382),N($P2382)),0)))</f>
        <v/>
      </c>
      <c r="R2382" s="26">
        <f>IF($D2382="","",IFERROR(VLOOKUP($D2382,库存台账!$A$5:$Y$1204,11,0),0))</f>
        <v/>
      </c>
      <c r="S2382" s="26">
        <f>IF($D2382="","",ROUND(N($J2382)*N($R2382),0))</f>
        <v/>
      </c>
      <c r="T2382" s="26">
        <f>IF($D2382="","",IF($K2382&lt;&gt;"对外销售","",ROUND($Q2382-$S2382,0)))</f>
        <v/>
      </c>
      <c r="U2382" s="17" t="n"/>
      <c r="V2382" s="17" t="n"/>
      <c r="W2382" s="24">
        <f>IF($D2382="","",IF($E2382="※编码不在物料档案里","※物料编码不在档案里",IF(N($J2382)&lt;=0,"※出库数量要大于 0",IF($K2382="","※没填去向类型",IF($L2382="","※没填去向矿区",IF(AND($C2382&lt;&gt;"",$C2382&lt;=结账锁),"※日期早于已结账截止日，不能再录",IF(AND($K2382="自用消耗",COUNTIF({"一矿区";"二矿区"},$L2382)=0),"※自用消耗的去向只能是一矿区或二矿区",IF(AND($K2382="对外销售",COUNTIF({"三矿区";"六矿区"},$L2382)=0),"※对外销售的去向只能是三矿区或六矿区",IF(AND($K2382="对外销售",ROUND($Q2382,0)=0),"※外销却没有售价，请填实际售价",IF(AND($K2382="对外销售",$T2382&lt;&gt;"",$T2382&lt;0),"※这一笔外销是亏的，请核对售价",IF(IFERROR(VLOOKUP($D2382,库存台账!$A$5:$Y$1204,24,0),0)&lt;-0.001,"※这个物料账面已经变成负数了，查一下是不是漏记入库","")))))))))))</f>
        <v/>
      </c>
    </row>
    <row r="2383">
      <c r="A2383" s="24">
        <f>IF($D2383="","",COUNTA($D$4:$D2383))</f>
        <v/>
      </c>
      <c r="B2383" s="17" t="n"/>
      <c r="C2383" s="30" t="n"/>
      <c r="D2383" s="17" t="n"/>
      <c r="E2383" s="24">
        <f>IF($D2383="","",IFERROR(VLOOKUP($D2383,物料档案!$A$4:$P$1203,3,0),"※编码不在物料档案里"))</f>
        <v/>
      </c>
      <c r="F2383" s="24">
        <f>IF($D2383="","",IFERROR(VLOOKUP($D2383,物料档案!$A$4:$P$1203,4,0),"※编码不在物料档案里"))</f>
        <v/>
      </c>
      <c r="G2383" s="24">
        <f>IF($D2383="","",IFERROR(VLOOKUP($D2383,物料档案!$A$4:$P$1203,5,0),"※编码不在物料档案里"))</f>
        <v/>
      </c>
      <c r="H2383" s="24">
        <f>IF($D2383="","",IFERROR(VLOOKUP($D2383,物料档案!$A$4:$P$1203,2,0),"※编码不在物料档案里"))</f>
        <v/>
      </c>
      <c r="I2383" s="24">
        <f>IF($D2383="","",IFERROR(VLOOKUP($D2383,物料档案!$A$4:$P$1203,6,0),"※编码不在物料档案里"))</f>
        <v/>
      </c>
      <c r="J2383" s="23" t="n"/>
      <c r="K2383" s="17" t="n"/>
      <c r="L2383" s="17" t="n"/>
      <c r="M2383" s="17" t="n"/>
      <c r="N2383" s="17" t="n"/>
      <c r="O2383" s="26">
        <f>IF($D2383="","",IFERROR(VLOOKUP($D2383,物料档案!$A$4:$P$1203,10,0),0))</f>
        <v/>
      </c>
      <c r="P2383" s="32" t="n"/>
      <c r="Q2383" s="26">
        <f>IF($D2383="","",IF($K2383&lt;&gt;"对外销售",0,ROUND(N($J2383)*IF($P2383="",N($O2383),N($P2383)),0)))</f>
        <v/>
      </c>
      <c r="R2383" s="26">
        <f>IF($D2383="","",IFERROR(VLOOKUP($D2383,库存台账!$A$5:$Y$1204,11,0),0))</f>
        <v/>
      </c>
      <c r="S2383" s="26">
        <f>IF($D2383="","",ROUND(N($J2383)*N($R2383),0))</f>
        <v/>
      </c>
      <c r="T2383" s="26">
        <f>IF($D2383="","",IF($K2383&lt;&gt;"对外销售","",ROUND($Q2383-$S2383,0)))</f>
        <v/>
      </c>
      <c r="U2383" s="17" t="n"/>
      <c r="V2383" s="17" t="n"/>
      <c r="W2383" s="24">
        <f>IF($D2383="","",IF($E2383="※编码不在物料档案里","※物料编码不在档案里",IF(N($J2383)&lt;=0,"※出库数量要大于 0",IF($K2383="","※没填去向类型",IF($L2383="","※没填去向矿区",IF(AND($C2383&lt;&gt;"",$C2383&lt;=结账锁),"※日期早于已结账截止日，不能再录",IF(AND($K2383="自用消耗",COUNTIF({"一矿区";"二矿区"},$L2383)=0),"※自用消耗的去向只能是一矿区或二矿区",IF(AND($K2383="对外销售",COUNTIF({"三矿区";"六矿区"},$L2383)=0),"※对外销售的去向只能是三矿区或六矿区",IF(AND($K2383="对外销售",ROUND($Q2383,0)=0),"※外销却没有售价，请填实际售价",IF(AND($K2383="对外销售",$T2383&lt;&gt;"",$T2383&lt;0),"※这一笔外销是亏的，请核对售价",IF(IFERROR(VLOOKUP($D2383,库存台账!$A$5:$Y$1204,24,0),0)&lt;-0.001,"※这个物料账面已经变成负数了，查一下是不是漏记入库","")))))))))))</f>
        <v/>
      </c>
    </row>
    <row r="2384">
      <c r="A2384" s="24">
        <f>IF($D2384="","",COUNTA($D$4:$D2384))</f>
        <v/>
      </c>
      <c r="B2384" s="17" t="n"/>
      <c r="C2384" s="30" t="n"/>
      <c r="D2384" s="17" t="n"/>
      <c r="E2384" s="24">
        <f>IF($D2384="","",IFERROR(VLOOKUP($D2384,物料档案!$A$4:$P$1203,3,0),"※编码不在物料档案里"))</f>
        <v/>
      </c>
      <c r="F2384" s="24">
        <f>IF($D2384="","",IFERROR(VLOOKUP($D2384,物料档案!$A$4:$P$1203,4,0),"※编码不在物料档案里"))</f>
        <v/>
      </c>
      <c r="G2384" s="24">
        <f>IF($D2384="","",IFERROR(VLOOKUP($D2384,物料档案!$A$4:$P$1203,5,0),"※编码不在物料档案里"))</f>
        <v/>
      </c>
      <c r="H2384" s="24">
        <f>IF($D2384="","",IFERROR(VLOOKUP($D2384,物料档案!$A$4:$P$1203,2,0),"※编码不在物料档案里"))</f>
        <v/>
      </c>
      <c r="I2384" s="24">
        <f>IF($D2384="","",IFERROR(VLOOKUP($D2384,物料档案!$A$4:$P$1203,6,0),"※编码不在物料档案里"))</f>
        <v/>
      </c>
      <c r="J2384" s="23" t="n"/>
      <c r="K2384" s="17" t="n"/>
      <c r="L2384" s="17" t="n"/>
      <c r="M2384" s="17" t="n"/>
      <c r="N2384" s="17" t="n"/>
      <c r="O2384" s="26">
        <f>IF($D2384="","",IFERROR(VLOOKUP($D2384,物料档案!$A$4:$P$1203,10,0),0))</f>
        <v/>
      </c>
      <c r="P2384" s="32" t="n"/>
      <c r="Q2384" s="26">
        <f>IF($D2384="","",IF($K2384&lt;&gt;"对外销售",0,ROUND(N($J2384)*IF($P2384="",N($O2384),N($P2384)),0)))</f>
        <v/>
      </c>
      <c r="R2384" s="26">
        <f>IF($D2384="","",IFERROR(VLOOKUP($D2384,库存台账!$A$5:$Y$1204,11,0),0))</f>
        <v/>
      </c>
      <c r="S2384" s="26">
        <f>IF($D2384="","",ROUND(N($J2384)*N($R2384),0))</f>
        <v/>
      </c>
      <c r="T2384" s="26">
        <f>IF($D2384="","",IF($K2384&lt;&gt;"对外销售","",ROUND($Q2384-$S2384,0)))</f>
        <v/>
      </c>
      <c r="U2384" s="17" t="n"/>
      <c r="V2384" s="17" t="n"/>
      <c r="W2384" s="24">
        <f>IF($D2384="","",IF($E2384="※编码不在物料档案里","※物料编码不在档案里",IF(N($J2384)&lt;=0,"※出库数量要大于 0",IF($K2384="","※没填去向类型",IF($L2384="","※没填去向矿区",IF(AND($C2384&lt;&gt;"",$C2384&lt;=结账锁),"※日期早于已结账截止日，不能再录",IF(AND($K2384="自用消耗",COUNTIF({"一矿区";"二矿区"},$L2384)=0),"※自用消耗的去向只能是一矿区或二矿区",IF(AND($K2384="对外销售",COUNTIF({"三矿区";"六矿区"},$L2384)=0),"※对外销售的去向只能是三矿区或六矿区",IF(AND($K2384="对外销售",ROUND($Q2384,0)=0),"※外销却没有售价，请填实际售价",IF(AND($K2384="对外销售",$T2384&lt;&gt;"",$T2384&lt;0),"※这一笔外销是亏的，请核对售价",IF(IFERROR(VLOOKUP($D2384,库存台账!$A$5:$Y$1204,24,0),0)&lt;-0.001,"※这个物料账面已经变成负数了，查一下是不是漏记入库","")))))))))))</f>
        <v/>
      </c>
    </row>
    <row r="2385">
      <c r="A2385" s="24">
        <f>IF($D2385="","",COUNTA($D$4:$D2385))</f>
        <v/>
      </c>
      <c r="B2385" s="17" t="n"/>
      <c r="C2385" s="30" t="n"/>
      <c r="D2385" s="17" t="n"/>
      <c r="E2385" s="24">
        <f>IF($D2385="","",IFERROR(VLOOKUP($D2385,物料档案!$A$4:$P$1203,3,0),"※编码不在物料档案里"))</f>
        <v/>
      </c>
      <c r="F2385" s="24">
        <f>IF($D2385="","",IFERROR(VLOOKUP($D2385,物料档案!$A$4:$P$1203,4,0),"※编码不在物料档案里"))</f>
        <v/>
      </c>
      <c r="G2385" s="24">
        <f>IF($D2385="","",IFERROR(VLOOKUP($D2385,物料档案!$A$4:$P$1203,5,0),"※编码不在物料档案里"))</f>
        <v/>
      </c>
      <c r="H2385" s="24">
        <f>IF($D2385="","",IFERROR(VLOOKUP($D2385,物料档案!$A$4:$P$1203,2,0),"※编码不在物料档案里"))</f>
        <v/>
      </c>
      <c r="I2385" s="24">
        <f>IF($D2385="","",IFERROR(VLOOKUP($D2385,物料档案!$A$4:$P$1203,6,0),"※编码不在物料档案里"))</f>
        <v/>
      </c>
      <c r="J2385" s="23" t="n"/>
      <c r="K2385" s="17" t="n"/>
      <c r="L2385" s="17" t="n"/>
      <c r="M2385" s="17" t="n"/>
      <c r="N2385" s="17" t="n"/>
      <c r="O2385" s="26">
        <f>IF($D2385="","",IFERROR(VLOOKUP($D2385,物料档案!$A$4:$P$1203,10,0),0))</f>
        <v/>
      </c>
      <c r="P2385" s="32" t="n"/>
      <c r="Q2385" s="26">
        <f>IF($D2385="","",IF($K2385&lt;&gt;"对外销售",0,ROUND(N($J2385)*IF($P2385="",N($O2385),N($P2385)),0)))</f>
        <v/>
      </c>
      <c r="R2385" s="26">
        <f>IF($D2385="","",IFERROR(VLOOKUP($D2385,库存台账!$A$5:$Y$1204,11,0),0))</f>
        <v/>
      </c>
      <c r="S2385" s="26">
        <f>IF($D2385="","",ROUND(N($J2385)*N($R2385),0))</f>
        <v/>
      </c>
      <c r="T2385" s="26">
        <f>IF($D2385="","",IF($K2385&lt;&gt;"对外销售","",ROUND($Q2385-$S2385,0)))</f>
        <v/>
      </c>
      <c r="U2385" s="17" t="n"/>
      <c r="V2385" s="17" t="n"/>
      <c r="W2385" s="24">
        <f>IF($D2385="","",IF($E2385="※编码不在物料档案里","※物料编码不在档案里",IF(N($J2385)&lt;=0,"※出库数量要大于 0",IF($K2385="","※没填去向类型",IF($L2385="","※没填去向矿区",IF(AND($C2385&lt;&gt;"",$C2385&lt;=结账锁),"※日期早于已结账截止日，不能再录",IF(AND($K2385="自用消耗",COUNTIF({"一矿区";"二矿区"},$L2385)=0),"※自用消耗的去向只能是一矿区或二矿区",IF(AND($K2385="对外销售",COUNTIF({"三矿区";"六矿区"},$L2385)=0),"※对外销售的去向只能是三矿区或六矿区",IF(AND($K2385="对外销售",ROUND($Q2385,0)=0),"※外销却没有售价，请填实际售价",IF(AND($K2385="对外销售",$T2385&lt;&gt;"",$T2385&lt;0),"※这一笔外销是亏的，请核对售价",IF(IFERROR(VLOOKUP($D2385,库存台账!$A$5:$Y$1204,24,0),0)&lt;-0.001,"※这个物料账面已经变成负数了，查一下是不是漏记入库","")))))))))))</f>
        <v/>
      </c>
    </row>
    <row r="2386">
      <c r="A2386" s="24">
        <f>IF($D2386="","",COUNTA($D$4:$D2386))</f>
        <v/>
      </c>
      <c r="B2386" s="17" t="n"/>
      <c r="C2386" s="30" t="n"/>
      <c r="D2386" s="17" t="n"/>
      <c r="E2386" s="24">
        <f>IF($D2386="","",IFERROR(VLOOKUP($D2386,物料档案!$A$4:$P$1203,3,0),"※编码不在物料档案里"))</f>
        <v/>
      </c>
      <c r="F2386" s="24">
        <f>IF($D2386="","",IFERROR(VLOOKUP($D2386,物料档案!$A$4:$P$1203,4,0),"※编码不在物料档案里"))</f>
        <v/>
      </c>
      <c r="G2386" s="24">
        <f>IF($D2386="","",IFERROR(VLOOKUP($D2386,物料档案!$A$4:$P$1203,5,0),"※编码不在物料档案里"))</f>
        <v/>
      </c>
      <c r="H2386" s="24">
        <f>IF($D2386="","",IFERROR(VLOOKUP($D2386,物料档案!$A$4:$P$1203,2,0),"※编码不在物料档案里"))</f>
        <v/>
      </c>
      <c r="I2386" s="24">
        <f>IF($D2386="","",IFERROR(VLOOKUP($D2386,物料档案!$A$4:$P$1203,6,0),"※编码不在物料档案里"))</f>
        <v/>
      </c>
      <c r="J2386" s="23" t="n"/>
      <c r="K2386" s="17" t="n"/>
      <c r="L2386" s="17" t="n"/>
      <c r="M2386" s="17" t="n"/>
      <c r="N2386" s="17" t="n"/>
      <c r="O2386" s="26">
        <f>IF($D2386="","",IFERROR(VLOOKUP($D2386,物料档案!$A$4:$P$1203,10,0),0))</f>
        <v/>
      </c>
      <c r="P2386" s="32" t="n"/>
      <c r="Q2386" s="26">
        <f>IF($D2386="","",IF($K2386&lt;&gt;"对外销售",0,ROUND(N($J2386)*IF($P2386="",N($O2386),N($P2386)),0)))</f>
        <v/>
      </c>
      <c r="R2386" s="26">
        <f>IF($D2386="","",IFERROR(VLOOKUP($D2386,库存台账!$A$5:$Y$1204,11,0),0))</f>
        <v/>
      </c>
      <c r="S2386" s="26">
        <f>IF($D2386="","",ROUND(N($J2386)*N($R2386),0))</f>
        <v/>
      </c>
      <c r="T2386" s="26">
        <f>IF($D2386="","",IF($K2386&lt;&gt;"对外销售","",ROUND($Q2386-$S2386,0)))</f>
        <v/>
      </c>
      <c r="U2386" s="17" t="n"/>
      <c r="V2386" s="17" t="n"/>
      <c r="W2386" s="24">
        <f>IF($D2386="","",IF($E2386="※编码不在物料档案里","※物料编码不在档案里",IF(N($J2386)&lt;=0,"※出库数量要大于 0",IF($K2386="","※没填去向类型",IF($L2386="","※没填去向矿区",IF(AND($C2386&lt;&gt;"",$C2386&lt;=结账锁),"※日期早于已结账截止日，不能再录",IF(AND($K2386="自用消耗",COUNTIF({"一矿区";"二矿区"},$L2386)=0),"※自用消耗的去向只能是一矿区或二矿区",IF(AND($K2386="对外销售",COUNTIF({"三矿区";"六矿区"},$L2386)=0),"※对外销售的去向只能是三矿区或六矿区",IF(AND($K2386="对外销售",ROUND($Q2386,0)=0),"※外销却没有售价，请填实际售价",IF(AND($K2386="对外销售",$T2386&lt;&gt;"",$T2386&lt;0),"※这一笔外销是亏的，请核对售价",IF(IFERROR(VLOOKUP($D2386,库存台账!$A$5:$Y$1204,24,0),0)&lt;-0.001,"※这个物料账面已经变成负数了，查一下是不是漏记入库","")))))))))))</f>
        <v/>
      </c>
    </row>
    <row r="2387">
      <c r="A2387" s="24">
        <f>IF($D2387="","",COUNTA($D$4:$D2387))</f>
        <v/>
      </c>
      <c r="B2387" s="17" t="n"/>
      <c r="C2387" s="30" t="n"/>
      <c r="D2387" s="17" t="n"/>
      <c r="E2387" s="24">
        <f>IF($D2387="","",IFERROR(VLOOKUP($D2387,物料档案!$A$4:$P$1203,3,0),"※编码不在物料档案里"))</f>
        <v/>
      </c>
      <c r="F2387" s="24">
        <f>IF($D2387="","",IFERROR(VLOOKUP($D2387,物料档案!$A$4:$P$1203,4,0),"※编码不在物料档案里"))</f>
        <v/>
      </c>
      <c r="G2387" s="24">
        <f>IF($D2387="","",IFERROR(VLOOKUP($D2387,物料档案!$A$4:$P$1203,5,0),"※编码不在物料档案里"))</f>
        <v/>
      </c>
      <c r="H2387" s="24">
        <f>IF($D2387="","",IFERROR(VLOOKUP($D2387,物料档案!$A$4:$P$1203,2,0),"※编码不在物料档案里"))</f>
        <v/>
      </c>
      <c r="I2387" s="24">
        <f>IF($D2387="","",IFERROR(VLOOKUP($D2387,物料档案!$A$4:$P$1203,6,0),"※编码不在物料档案里"))</f>
        <v/>
      </c>
      <c r="J2387" s="23" t="n"/>
      <c r="K2387" s="17" t="n"/>
      <c r="L2387" s="17" t="n"/>
      <c r="M2387" s="17" t="n"/>
      <c r="N2387" s="17" t="n"/>
      <c r="O2387" s="26">
        <f>IF($D2387="","",IFERROR(VLOOKUP($D2387,物料档案!$A$4:$P$1203,10,0),0))</f>
        <v/>
      </c>
      <c r="P2387" s="32" t="n"/>
      <c r="Q2387" s="26">
        <f>IF($D2387="","",IF($K2387&lt;&gt;"对外销售",0,ROUND(N($J2387)*IF($P2387="",N($O2387),N($P2387)),0)))</f>
        <v/>
      </c>
      <c r="R2387" s="26">
        <f>IF($D2387="","",IFERROR(VLOOKUP($D2387,库存台账!$A$5:$Y$1204,11,0),0))</f>
        <v/>
      </c>
      <c r="S2387" s="26">
        <f>IF($D2387="","",ROUND(N($J2387)*N($R2387),0))</f>
        <v/>
      </c>
      <c r="T2387" s="26">
        <f>IF($D2387="","",IF($K2387&lt;&gt;"对外销售","",ROUND($Q2387-$S2387,0)))</f>
        <v/>
      </c>
      <c r="U2387" s="17" t="n"/>
      <c r="V2387" s="17" t="n"/>
      <c r="W2387" s="24">
        <f>IF($D2387="","",IF($E2387="※编码不在物料档案里","※物料编码不在档案里",IF(N($J2387)&lt;=0,"※出库数量要大于 0",IF($K2387="","※没填去向类型",IF($L2387="","※没填去向矿区",IF(AND($C2387&lt;&gt;"",$C2387&lt;=结账锁),"※日期早于已结账截止日，不能再录",IF(AND($K2387="自用消耗",COUNTIF({"一矿区";"二矿区"},$L2387)=0),"※自用消耗的去向只能是一矿区或二矿区",IF(AND($K2387="对外销售",COUNTIF({"三矿区";"六矿区"},$L2387)=0),"※对外销售的去向只能是三矿区或六矿区",IF(AND($K2387="对外销售",ROUND($Q2387,0)=0),"※外销却没有售价，请填实际售价",IF(AND($K2387="对外销售",$T2387&lt;&gt;"",$T2387&lt;0),"※这一笔外销是亏的，请核对售价",IF(IFERROR(VLOOKUP($D2387,库存台账!$A$5:$Y$1204,24,0),0)&lt;-0.001,"※这个物料账面已经变成负数了，查一下是不是漏记入库","")))))))))))</f>
        <v/>
      </c>
    </row>
    <row r="2388">
      <c r="A2388" s="24">
        <f>IF($D2388="","",COUNTA($D$4:$D2388))</f>
        <v/>
      </c>
      <c r="B2388" s="17" t="n"/>
      <c r="C2388" s="30" t="n"/>
      <c r="D2388" s="17" t="n"/>
      <c r="E2388" s="24">
        <f>IF($D2388="","",IFERROR(VLOOKUP($D2388,物料档案!$A$4:$P$1203,3,0),"※编码不在物料档案里"))</f>
        <v/>
      </c>
      <c r="F2388" s="24">
        <f>IF($D2388="","",IFERROR(VLOOKUP($D2388,物料档案!$A$4:$P$1203,4,0),"※编码不在物料档案里"))</f>
        <v/>
      </c>
      <c r="G2388" s="24">
        <f>IF($D2388="","",IFERROR(VLOOKUP($D2388,物料档案!$A$4:$P$1203,5,0),"※编码不在物料档案里"))</f>
        <v/>
      </c>
      <c r="H2388" s="24">
        <f>IF($D2388="","",IFERROR(VLOOKUP($D2388,物料档案!$A$4:$P$1203,2,0),"※编码不在物料档案里"))</f>
        <v/>
      </c>
      <c r="I2388" s="24">
        <f>IF($D2388="","",IFERROR(VLOOKUP($D2388,物料档案!$A$4:$P$1203,6,0),"※编码不在物料档案里"))</f>
        <v/>
      </c>
      <c r="J2388" s="23" t="n"/>
      <c r="K2388" s="17" t="n"/>
      <c r="L2388" s="17" t="n"/>
      <c r="M2388" s="17" t="n"/>
      <c r="N2388" s="17" t="n"/>
      <c r="O2388" s="26">
        <f>IF($D2388="","",IFERROR(VLOOKUP($D2388,物料档案!$A$4:$P$1203,10,0),0))</f>
        <v/>
      </c>
      <c r="P2388" s="32" t="n"/>
      <c r="Q2388" s="26">
        <f>IF($D2388="","",IF($K2388&lt;&gt;"对外销售",0,ROUND(N($J2388)*IF($P2388="",N($O2388),N($P2388)),0)))</f>
        <v/>
      </c>
      <c r="R2388" s="26">
        <f>IF($D2388="","",IFERROR(VLOOKUP($D2388,库存台账!$A$5:$Y$1204,11,0),0))</f>
        <v/>
      </c>
      <c r="S2388" s="26">
        <f>IF($D2388="","",ROUND(N($J2388)*N($R2388),0))</f>
        <v/>
      </c>
      <c r="T2388" s="26">
        <f>IF($D2388="","",IF($K2388&lt;&gt;"对外销售","",ROUND($Q2388-$S2388,0)))</f>
        <v/>
      </c>
      <c r="U2388" s="17" t="n"/>
      <c r="V2388" s="17" t="n"/>
      <c r="W2388" s="24">
        <f>IF($D2388="","",IF($E2388="※编码不在物料档案里","※物料编码不在档案里",IF(N($J2388)&lt;=0,"※出库数量要大于 0",IF($K2388="","※没填去向类型",IF($L2388="","※没填去向矿区",IF(AND($C2388&lt;&gt;"",$C2388&lt;=结账锁),"※日期早于已结账截止日，不能再录",IF(AND($K2388="自用消耗",COUNTIF({"一矿区";"二矿区"},$L2388)=0),"※自用消耗的去向只能是一矿区或二矿区",IF(AND($K2388="对外销售",COUNTIF({"三矿区";"六矿区"},$L2388)=0),"※对外销售的去向只能是三矿区或六矿区",IF(AND($K2388="对外销售",ROUND($Q2388,0)=0),"※外销却没有售价，请填实际售价",IF(AND($K2388="对外销售",$T2388&lt;&gt;"",$T2388&lt;0),"※这一笔外销是亏的，请核对售价",IF(IFERROR(VLOOKUP($D2388,库存台账!$A$5:$Y$1204,24,0),0)&lt;-0.001,"※这个物料账面已经变成负数了，查一下是不是漏记入库","")))))))))))</f>
        <v/>
      </c>
    </row>
    <row r="2389">
      <c r="A2389" s="24">
        <f>IF($D2389="","",COUNTA($D$4:$D2389))</f>
        <v/>
      </c>
      <c r="B2389" s="17" t="n"/>
      <c r="C2389" s="30" t="n"/>
      <c r="D2389" s="17" t="n"/>
      <c r="E2389" s="24">
        <f>IF($D2389="","",IFERROR(VLOOKUP($D2389,物料档案!$A$4:$P$1203,3,0),"※编码不在物料档案里"))</f>
        <v/>
      </c>
      <c r="F2389" s="24">
        <f>IF($D2389="","",IFERROR(VLOOKUP($D2389,物料档案!$A$4:$P$1203,4,0),"※编码不在物料档案里"))</f>
        <v/>
      </c>
      <c r="G2389" s="24">
        <f>IF($D2389="","",IFERROR(VLOOKUP($D2389,物料档案!$A$4:$P$1203,5,0),"※编码不在物料档案里"))</f>
        <v/>
      </c>
      <c r="H2389" s="24">
        <f>IF($D2389="","",IFERROR(VLOOKUP($D2389,物料档案!$A$4:$P$1203,2,0),"※编码不在物料档案里"))</f>
        <v/>
      </c>
      <c r="I2389" s="24">
        <f>IF($D2389="","",IFERROR(VLOOKUP($D2389,物料档案!$A$4:$P$1203,6,0),"※编码不在物料档案里"))</f>
        <v/>
      </c>
      <c r="J2389" s="23" t="n"/>
      <c r="K2389" s="17" t="n"/>
      <c r="L2389" s="17" t="n"/>
      <c r="M2389" s="17" t="n"/>
      <c r="N2389" s="17" t="n"/>
      <c r="O2389" s="26">
        <f>IF($D2389="","",IFERROR(VLOOKUP($D2389,物料档案!$A$4:$P$1203,10,0),0))</f>
        <v/>
      </c>
      <c r="P2389" s="32" t="n"/>
      <c r="Q2389" s="26">
        <f>IF($D2389="","",IF($K2389&lt;&gt;"对外销售",0,ROUND(N($J2389)*IF($P2389="",N($O2389),N($P2389)),0)))</f>
        <v/>
      </c>
      <c r="R2389" s="26">
        <f>IF($D2389="","",IFERROR(VLOOKUP($D2389,库存台账!$A$5:$Y$1204,11,0),0))</f>
        <v/>
      </c>
      <c r="S2389" s="26">
        <f>IF($D2389="","",ROUND(N($J2389)*N($R2389),0))</f>
        <v/>
      </c>
      <c r="T2389" s="26">
        <f>IF($D2389="","",IF($K2389&lt;&gt;"对外销售","",ROUND($Q2389-$S2389,0)))</f>
        <v/>
      </c>
      <c r="U2389" s="17" t="n"/>
      <c r="V2389" s="17" t="n"/>
      <c r="W2389" s="24">
        <f>IF($D2389="","",IF($E2389="※编码不在物料档案里","※物料编码不在档案里",IF(N($J2389)&lt;=0,"※出库数量要大于 0",IF($K2389="","※没填去向类型",IF($L2389="","※没填去向矿区",IF(AND($C2389&lt;&gt;"",$C2389&lt;=结账锁),"※日期早于已结账截止日，不能再录",IF(AND($K2389="自用消耗",COUNTIF({"一矿区";"二矿区"},$L2389)=0),"※自用消耗的去向只能是一矿区或二矿区",IF(AND($K2389="对外销售",COUNTIF({"三矿区";"六矿区"},$L2389)=0),"※对外销售的去向只能是三矿区或六矿区",IF(AND($K2389="对外销售",ROUND($Q2389,0)=0),"※外销却没有售价，请填实际售价",IF(AND($K2389="对外销售",$T2389&lt;&gt;"",$T2389&lt;0),"※这一笔外销是亏的，请核对售价",IF(IFERROR(VLOOKUP($D2389,库存台账!$A$5:$Y$1204,24,0),0)&lt;-0.001,"※这个物料账面已经变成负数了，查一下是不是漏记入库","")))))))))))</f>
        <v/>
      </c>
    </row>
    <row r="2390">
      <c r="A2390" s="24">
        <f>IF($D2390="","",COUNTA($D$4:$D2390))</f>
        <v/>
      </c>
      <c r="B2390" s="17" t="n"/>
      <c r="C2390" s="30" t="n"/>
      <c r="D2390" s="17" t="n"/>
      <c r="E2390" s="24">
        <f>IF($D2390="","",IFERROR(VLOOKUP($D2390,物料档案!$A$4:$P$1203,3,0),"※编码不在物料档案里"))</f>
        <v/>
      </c>
      <c r="F2390" s="24">
        <f>IF($D2390="","",IFERROR(VLOOKUP($D2390,物料档案!$A$4:$P$1203,4,0),"※编码不在物料档案里"))</f>
        <v/>
      </c>
      <c r="G2390" s="24">
        <f>IF($D2390="","",IFERROR(VLOOKUP($D2390,物料档案!$A$4:$P$1203,5,0),"※编码不在物料档案里"))</f>
        <v/>
      </c>
      <c r="H2390" s="24">
        <f>IF($D2390="","",IFERROR(VLOOKUP($D2390,物料档案!$A$4:$P$1203,2,0),"※编码不在物料档案里"))</f>
        <v/>
      </c>
      <c r="I2390" s="24">
        <f>IF($D2390="","",IFERROR(VLOOKUP($D2390,物料档案!$A$4:$P$1203,6,0),"※编码不在物料档案里"))</f>
        <v/>
      </c>
      <c r="J2390" s="23" t="n"/>
      <c r="K2390" s="17" t="n"/>
      <c r="L2390" s="17" t="n"/>
      <c r="M2390" s="17" t="n"/>
      <c r="N2390" s="17" t="n"/>
      <c r="O2390" s="26">
        <f>IF($D2390="","",IFERROR(VLOOKUP($D2390,物料档案!$A$4:$P$1203,10,0),0))</f>
        <v/>
      </c>
      <c r="P2390" s="32" t="n"/>
      <c r="Q2390" s="26">
        <f>IF($D2390="","",IF($K2390&lt;&gt;"对外销售",0,ROUND(N($J2390)*IF($P2390="",N($O2390),N($P2390)),0)))</f>
        <v/>
      </c>
      <c r="R2390" s="26">
        <f>IF($D2390="","",IFERROR(VLOOKUP($D2390,库存台账!$A$5:$Y$1204,11,0),0))</f>
        <v/>
      </c>
      <c r="S2390" s="26">
        <f>IF($D2390="","",ROUND(N($J2390)*N($R2390),0))</f>
        <v/>
      </c>
      <c r="T2390" s="26">
        <f>IF($D2390="","",IF($K2390&lt;&gt;"对外销售","",ROUND($Q2390-$S2390,0)))</f>
        <v/>
      </c>
      <c r="U2390" s="17" t="n"/>
      <c r="V2390" s="17" t="n"/>
      <c r="W2390" s="24">
        <f>IF($D2390="","",IF($E2390="※编码不在物料档案里","※物料编码不在档案里",IF(N($J2390)&lt;=0,"※出库数量要大于 0",IF($K2390="","※没填去向类型",IF($L2390="","※没填去向矿区",IF(AND($C2390&lt;&gt;"",$C2390&lt;=结账锁),"※日期早于已结账截止日，不能再录",IF(AND($K2390="自用消耗",COUNTIF({"一矿区";"二矿区"},$L2390)=0),"※自用消耗的去向只能是一矿区或二矿区",IF(AND($K2390="对外销售",COUNTIF({"三矿区";"六矿区"},$L2390)=0),"※对外销售的去向只能是三矿区或六矿区",IF(AND($K2390="对外销售",ROUND($Q2390,0)=0),"※外销却没有售价，请填实际售价",IF(AND($K2390="对外销售",$T2390&lt;&gt;"",$T2390&lt;0),"※这一笔外销是亏的，请核对售价",IF(IFERROR(VLOOKUP($D2390,库存台账!$A$5:$Y$1204,24,0),0)&lt;-0.001,"※这个物料账面已经变成负数了，查一下是不是漏记入库","")))))))))))</f>
        <v/>
      </c>
    </row>
    <row r="2391">
      <c r="A2391" s="24">
        <f>IF($D2391="","",COUNTA($D$4:$D2391))</f>
        <v/>
      </c>
      <c r="B2391" s="17" t="n"/>
      <c r="C2391" s="30" t="n"/>
      <c r="D2391" s="17" t="n"/>
      <c r="E2391" s="24">
        <f>IF($D2391="","",IFERROR(VLOOKUP($D2391,物料档案!$A$4:$P$1203,3,0),"※编码不在物料档案里"))</f>
        <v/>
      </c>
      <c r="F2391" s="24">
        <f>IF($D2391="","",IFERROR(VLOOKUP($D2391,物料档案!$A$4:$P$1203,4,0),"※编码不在物料档案里"))</f>
        <v/>
      </c>
      <c r="G2391" s="24">
        <f>IF($D2391="","",IFERROR(VLOOKUP($D2391,物料档案!$A$4:$P$1203,5,0),"※编码不在物料档案里"))</f>
        <v/>
      </c>
      <c r="H2391" s="24">
        <f>IF($D2391="","",IFERROR(VLOOKUP($D2391,物料档案!$A$4:$P$1203,2,0),"※编码不在物料档案里"))</f>
        <v/>
      </c>
      <c r="I2391" s="24">
        <f>IF($D2391="","",IFERROR(VLOOKUP($D2391,物料档案!$A$4:$P$1203,6,0),"※编码不在物料档案里"))</f>
        <v/>
      </c>
      <c r="J2391" s="23" t="n"/>
      <c r="K2391" s="17" t="n"/>
      <c r="L2391" s="17" t="n"/>
      <c r="M2391" s="17" t="n"/>
      <c r="N2391" s="17" t="n"/>
      <c r="O2391" s="26">
        <f>IF($D2391="","",IFERROR(VLOOKUP($D2391,物料档案!$A$4:$P$1203,10,0),0))</f>
        <v/>
      </c>
      <c r="P2391" s="32" t="n"/>
      <c r="Q2391" s="26">
        <f>IF($D2391="","",IF($K2391&lt;&gt;"对外销售",0,ROUND(N($J2391)*IF($P2391="",N($O2391),N($P2391)),0)))</f>
        <v/>
      </c>
      <c r="R2391" s="26">
        <f>IF($D2391="","",IFERROR(VLOOKUP($D2391,库存台账!$A$5:$Y$1204,11,0),0))</f>
        <v/>
      </c>
      <c r="S2391" s="26">
        <f>IF($D2391="","",ROUND(N($J2391)*N($R2391),0))</f>
        <v/>
      </c>
      <c r="T2391" s="26">
        <f>IF($D2391="","",IF($K2391&lt;&gt;"对外销售","",ROUND($Q2391-$S2391,0)))</f>
        <v/>
      </c>
      <c r="U2391" s="17" t="n"/>
      <c r="V2391" s="17" t="n"/>
      <c r="W2391" s="24">
        <f>IF($D2391="","",IF($E2391="※编码不在物料档案里","※物料编码不在档案里",IF(N($J2391)&lt;=0,"※出库数量要大于 0",IF($K2391="","※没填去向类型",IF($L2391="","※没填去向矿区",IF(AND($C2391&lt;&gt;"",$C2391&lt;=结账锁),"※日期早于已结账截止日，不能再录",IF(AND($K2391="自用消耗",COUNTIF({"一矿区";"二矿区"},$L2391)=0),"※自用消耗的去向只能是一矿区或二矿区",IF(AND($K2391="对外销售",COUNTIF({"三矿区";"六矿区"},$L2391)=0),"※对外销售的去向只能是三矿区或六矿区",IF(AND($K2391="对外销售",ROUND($Q2391,0)=0),"※外销却没有售价，请填实际售价",IF(AND($K2391="对外销售",$T2391&lt;&gt;"",$T2391&lt;0),"※这一笔外销是亏的，请核对售价",IF(IFERROR(VLOOKUP($D2391,库存台账!$A$5:$Y$1204,24,0),0)&lt;-0.001,"※这个物料账面已经变成负数了，查一下是不是漏记入库","")))))))))))</f>
        <v/>
      </c>
    </row>
    <row r="2392">
      <c r="A2392" s="24">
        <f>IF($D2392="","",COUNTA($D$4:$D2392))</f>
        <v/>
      </c>
      <c r="B2392" s="17" t="n"/>
      <c r="C2392" s="30" t="n"/>
      <c r="D2392" s="17" t="n"/>
      <c r="E2392" s="24">
        <f>IF($D2392="","",IFERROR(VLOOKUP($D2392,物料档案!$A$4:$P$1203,3,0),"※编码不在物料档案里"))</f>
        <v/>
      </c>
      <c r="F2392" s="24">
        <f>IF($D2392="","",IFERROR(VLOOKUP($D2392,物料档案!$A$4:$P$1203,4,0),"※编码不在物料档案里"))</f>
        <v/>
      </c>
      <c r="G2392" s="24">
        <f>IF($D2392="","",IFERROR(VLOOKUP($D2392,物料档案!$A$4:$P$1203,5,0),"※编码不在物料档案里"))</f>
        <v/>
      </c>
      <c r="H2392" s="24">
        <f>IF($D2392="","",IFERROR(VLOOKUP($D2392,物料档案!$A$4:$P$1203,2,0),"※编码不在物料档案里"))</f>
        <v/>
      </c>
      <c r="I2392" s="24">
        <f>IF($D2392="","",IFERROR(VLOOKUP($D2392,物料档案!$A$4:$P$1203,6,0),"※编码不在物料档案里"))</f>
        <v/>
      </c>
      <c r="J2392" s="23" t="n"/>
      <c r="K2392" s="17" t="n"/>
      <c r="L2392" s="17" t="n"/>
      <c r="M2392" s="17" t="n"/>
      <c r="N2392" s="17" t="n"/>
      <c r="O2392" s="26">
        <f>IF($D2392="","",IFERROR(VLOOKUP($D2392,物料档案!$A$4:$P$1203,10,0),0))</f>
        <v/>
      </c>
      <c r="P2392" s="32" t="n"/>
      <c r="Q2392" s="26">
        <f>IF($D2392="","",IF($K2392&lt;&gt;"对外销售",0,ROUND(N($J2392)*IF($P2392="",N($O2392),N($P2392)),0)))</f>
        <v/>
      </c>
      <c r="R2392" s="26">
        <f>IF($D2392="","",IFERROR(VLOOKUP($D2392,库存台账!$A$5:$Y$1204,11,0),0))</f>
        <v/>
      </c>
      <c r="S2392" s="26">
        <f>IF($D2392="","",ROUND(N($J2392)*N($R2392),0))</f>
        <v/>
      </c>
      <c r="T2392" s="26">
        <f>IF($D2392="","",IF($K2392&lt;&gt;"对外销售","",ROUND($Q2392-$S2392,0)))</f>
        <v/>
      </c>
      <c r="U2392" s="17" t="n"/>
      <c r="V2392" s="17" t="n"/>
      <c r="W2392" s="24">
        <f>IF($D2392="","",IF($E2392="※编码不在物料档案里","※物料编码不在档案里",IF(N($J2392)&lt;=0,"※出库数量要大于 0",IF($K2392="","※没填去向类型",IF($L2392="","※没填去向矿区",IF(AND($C2392&lt;&gt;"",$C2392&lt;=结账锁),"※日期早于已结账截止日，不能再录",IF(AND($K2392="自用消耗",COUNTIF({"一矿区";"二矿区"},$L2392)=0),"※自用消耗的去向只能是一矿区或二矿区",IF(AND($K2392="对外销售",COUNTIF({"三矿区";"六矿区"},$L2392)=0),"※对外销售的去向只能是三矿区或六矿区",IF(AND($K2392="对外销售",ROUND($Q2392,0)=0),"※外销却没有售价，请填实际售价",IF(AND($K2392="对外销售",$T2392&lt;&gt;"",$T2392&lt;0),"※这一笔外销是亏的，请核对售价",IF(IFERROR(VLOOKUP($D2392,库存台账!$A$5:$Y$1204,24,0),0)&lt;-0.001,"※这个物料账面已经变成负数了，查一下是不是漏记入库","")))))))))))</f>
        <v/>
      </c>
    </row>
    <row r="2393">
      <c r="A2393" s="24">
        <f>IF($D2393="","",COUNTA($D$4:$D2393))</f>
        <v/>
      </c>
      <c r="B2393" s="17" t="n"/>
      <c r="C2393" s="30" t="n"/>
      <c r="D2393" s="17" t="n"/>
      <c r="E2393" s="24">
        <f>IF($D2393="","",IFERROR(VLOOKUP($D2393,物料档案!$A$4:$P$1203,3,0),"※编码不在物料档案里"))</f>
        <v/>
      </c>
      <c r="F2393" s="24">
        <f>IF($D2393="","",IFERROR(VLOOKUP($D2393,物料档案!$A$4:$P$1203,4,0),"※编码不在物料档案里"))</f>
        <v/>
      </c>
      <c r="G2393" s="24">
        <f>IF($D2393="","",IFERROR(VLOOKUP($D2393,物料档案!$A$4:$P$1203,5,0),"※编码不在物料档案里"))</f>
        <v/>
      </c>
      <c r="H2393" s="24">
        <f>IF($D2393="","",IFERROR(VLOOKUP($D2393,物料档案!$A$4:$P$1203,2,0),"※编码不在物料档案里"))</f>
        <v/>
      </c>
      <c r="I2393" s="24">
        <f>IF($D2393="","",IFERROR(VLOOKUP($D2393,物料档案!$A$4:$P$1203,6,0),"※编码不在物料档案里"))</f>
        <v/>
      </c>
      <c r="J2393" s="23" t="n"/>
      <c r="K2393" s="17" t="n"/>
      <c r="L2393" s="17" t="n"/>
      <c r="M2393" s="17" t="n"/>
      <c r="N2393" s="17" t="n"/>
      <c r="O2393" s="26">
        <f>IF($D2393="","",IFERROR(VLOOKUP($D2393,物料档案!$A$4:$P$1203,10,0),0))</f>
        <v/>
      </c>
      <c r="P2393" s="32" t="n"/>
      <c r="Q2393" s="26">
        <f>IF($D2393="","",IF($K2393&lt;&gt;"对外销售",0,ROUND(N($J2393)*IF($P2393="",N($O2393),N($P2393)),0)))</f>
        <v/>
      </c>
      <c r="R2393" s="26">
        <f>IF($D2393="","",IFERROR(VLOOKUP($D2393,库存台账!$A$5:$Y$1204,11,0),0))</f>
        <v/>
      </c>
      <c r="S2393" s="26">
        <f>IF($D2393="","",ROUND(N($J2393)*N($R2393),0))</f>
        <v/>
      </c>
      <c r="T2393" s="26">
        <f>IF($D2393="","",IF($K2393&lt;&gt;"对外销售","",ROUND($Q2393-$S2393,0)))</f>
        <v/>
      </c>
      <c r="U2393" s="17" t="n"/>
      <c r="V2393" s="17" t="n"/>
      <c r="W2393" s="24">
        <f>IF($D2393="","",IF($E2393="※编码不在物料档案里","※物料编码不在档案里",IF(N($J2393)&lt;=0,"※出库数量要大于 0",IF($K2393="","※没填去向类型",IF($L2393="","※没填去向矿区",IF(AND($C2393&lt;&gt;"",$C2393&lt;=结账锁),"※日期早于已结账截止日，不能再录",IF(AND($K2393="自用消耗",COUNTIF({"一矿区";"二矿区"},$L2393)=0),"※自用消耗的去向只能是一矿区或二矿区",IF(AND($K2393="对外销售",COUNTIF({"三矿区";"六矿区"},$L2393)=0),"※对外销售的去向只能是三矿区或六矿区",IF(AND($K2393="对外销售",ROUND($Q2393,0)=0),"※外销却没有售价，请填实际售价",IF(AND($K2393="对外销售",$T2393&lt;&gt;"",$T2393&lt;0),"※这一笔外销是亏的，请核对售价",IF(IFERROR(VLOOKUP($D2393,库存台账!$A$5:$Y$1204,24,0),0)&lt;-0.001,"※这个物料账面已经变成负数了，查一下是不是漏记入库","")))))))))))</f>
        <v/>
      </c>
    </row>
    <row r="2394">
      <c r="A2394" s="24">
        <f>IF($D2394="","",COUNTA($D$4:$D2394))</f>
        <v/>
      </c>
      <c r="B2394" s="17" t="n"/>
      <c r="C2394" s="30" t="n"/>
      <c r="D2394" s="17" t="n"/>
      <c r="E2394" s="24">
        <f>IF($D2394="","",IFERROR(VLOOKUP($D2394,物料档案!$A$4:$P$1203,3,0),"※编码不在物料档案里"))</f>
        <v/>
      </c>
      <c r="F2394" s="24">
        <f>IF($D2394="","",IFERROR(VLOOKUP($D2394,物料档案!$A$4:$P$1203,4,0),"※编码不在物料档案里"))</f>
        <v/>
      </c>
      <c r="G2394" s="24">
        <f>IF($D2394="","",IFERROR(VLOOKUP($D2394,物料档案!$A$4:$P$1203,5,0),"※编码不在物料档案里"))</f>
        <v/>
      </c>
      <c r="H2394" s="24">
        <f>IF($D2394="","",IFERROR(VLOOKUP($D2394,物料档案!$A$4:$P$1203,2,0),"※编码不在物料档案里"))</f>
        <v/>
      </c>
      <c r="I2394" s="24">
        <f>IF($D2394="","",IFERROR(VLOOKUP($D2394,物料档案!$A$4:$P$1203,6,0),"※编码不在物料档案里"))</f>
        <v/>
      </c>
      <c r="J2394" s="23" t="n"/>
      <c r="K2394" s="17" t="n"/>
      <c r="L2394" s="17" t="n"/>
      <c r="M2394" s="17" t="n"/>
      <c r="N2394" s="17" t="n"/>
      <c r="O2394" s="26">
        <f>IF($D2394="","",IFERROR(VLOOKUP($D2394,物料档案!$A$4:$P$1203,10,0),0))</f>
        <v/>
      </c>
      <c r="P2394" s="32" t="n"/>
      <c r="Q2394" s="26">
        <f>IF($D2394="","",IF($K2394&lt;&gt;"对外销售",0,ROUND(N($J2394)*IF($P2394="",N($O2394),N($P2394)),0)))</f>
        <v/>
      </c>
      <c r="R2394" s="26">
        <f>IF($D2394="","",IFERROR(VLOOKUP($D2394,库存台账!$A$5:$Y$1204,11,0),0))</f>
        <v/>
      </c>
      <c r="S2394" s="26">
        <f>IF($D2394="","",ROUND(N($J2394)*N($R2394),0))</f>
        <v/>
      </c>
      <c r="T2394" s="26">
        <f>IF($D2394="","",IF($K2394&lt;&gt;"对外销售","",ROUND($Q2394-$S2394,0)))</f>
        <v/>
      </c>
      <c r="U2394" s="17" t="n"/>
      <c r="V2394" s="17" t="n"/>
      <c r="W2394" s="24">
        <f>IF($D2394="","",IF($E2394="※编码不在物料档案里","※物料编码不在档案里",IF(N($J2394)&lt;=0,"※出库数量要大于 0",IF($K2394="","※没填去向类型",IF($L2394="","※没填去向矿区",IF(AND($C2394&lt;&gt;"",$C2394&lt;=结账锁),"※日期早于已结账截止日，不能再录",IF(AND($K2394="自用消耗",COUNTIF({"一矿区";"二矿区"},$L2394)=0),"※自用消耗的去向只能是一矿区或二矿区",IF(AND($K2394="对外销售",COUNTIF({"三矿区";"六矿区"},$L2394)=0),"※对外销售的去向只能是三矿区或六矿区",IF(AND($K2394="对外销售",ROUND($Q2394,0)=0),"※外销却没有售价，请填实际售价",IF(AND($K2394="对外销售",$T2394&lt;&gt;"",$T2394&lt;0),"※这一笔外销是亏的，请核对售价",IF(IFERROR(VLOOKUP($D2394,库存台账!$A$5:$Y$1204,24,0),0)&lt;-0.001,"※这个物料账面已经变成负数了，查一下是不是漏记入库","")))))))))))</f>
        <v/>
      </c>
    </row>
    <row r="2395">
      <c r="A2395" s="24">
        <f>IF($D2395="","",COUNTA($D$4:$D2395))</f>
        <v/>
      </c>
      <c r="B2395" s="17" t="n"/>
      <c r="C2395" s="30" t="n"/>
      <c r="D2395" s="17" t="n"/>
      <c r="E2395" s="24">
        <f>IF($D2395="","",IFERROR(VLOOKUP($D2395,物料档案!$A$4:$P$1203,3,0),"※编码不在物料档案里"))</f>
        <v/>
      </c>
      <c r="F2395" s="24">
        <f>IF($D2395="","",IFERROR(VLOOKUP($D2395,物料档案!$A$4:$P$1203,4,0),"※编码不在物料档案里"))</f>
        <v/>
      </c>
      <c r="G2395" s="24">
        <f>IF($D2395="","",IFERROR(VLOOKUP($D2395,物料档案!$A$4:$P$1203,5,0),"※编码不在物料档案里"))</f>
        <v/>
      </c>
      <c r="H2395" s="24">
        <f>IF($D2395="","",IFERROR(VLOOKUP($D2395,物料档案!$A$4:$P$1203,2,0),"※编码不在物料档案里"))</f>
        <v/>
      </c>
      <c r="I2395" s="24">
        <f>IF($D2395="","",IFERROR(VLOOKUP($D2395,物料档案!$A$4:$P$1203,6,0),"※编码不在物料档案里"))</f>
        <v/>
      </c>
      <c r="J2395" s="23" t="n"/>
      <c r="K2395" s="17" t="n"/>
      <c r="L2395" s="17" t="n"/>
      <c r="M2395" s="17" t="n"/>
      <c r="N2395" s="17" t="n"/>
      <c r="O2395" s="26">
        <f>IF($D2395="","",IFERROR(VLOOKUP($D2395,物料档案!$A$4:$P$1203,10,0),0))</f>
        <v/>
      </c>
      <c r="P2395" s="32" t="n"/>
      <c r="Q2395" s="26">
        <f>IF($D2395="","",IF($K2395&lt;&gt;"对外销售",0,ROUND(N($J2395)*IF($P2395="",N($O2395),N($P2395)),0)))</f>
        <v/>
      </c>
      <c r="R2395" s="26">
        <f>IF($D2395="","",IFERROR(VLOOKUP($D2395,库存台账!$A$5:$Y$1204,11,0),0))</f>
        <v/>
      </c>
      <c r="S2395" s="26">
        <f>IF($D2395="","",ROUND(N($J2395)*N($R2395),0))</f>
        <v/>
      </c>
      <c r="T2395" s="26">
        <f>IF($D2395="","",IF($K2395&lt;&gt;"对外销售","",ROUND($Q2395-$S2395,0)))</f>
        <v/>
      </c>
      <c r="U2395" s="17" t="n"/>
      <c r="V2395" s="17" t="n"/>
      <c r="W2395" s="24">
        <f>IF($D2395="","",IF($E2395="※编码不在物料档案里","※物料编码不在档案里",IF(N($J2395)&lt;=0,"※出库数量要大于 0",IF($K2395="","※没填去向类型",IF($L2395="","※没填去向矿区",IF(AND($C2395&lt;&gt;"",$C2395&lt;=结账锁),"※日期早于已结账截止日，不能再录",IF(AND($K2395="自用消耗",COUNTIF({"一矿区";"二矿区"},$L2395)=0),"※自用消耗的去向只能是一矿区或二矿区",IF(AND($K2395="对外销售",COUNTIF({"三矿区";"六矿区"},$L2395)=0),"※对外销售的去向只能是三矿区或六矿区",IF(AND($K2395="对外销售",ROUND($Q2395,0)=0),"※外销却没有售价，请填实际售价",IF(AND($K2395="对外销售",$T2395&lt;&gt;"",$T2395&lt;0),"※这一笔外销是亏的，请核对售价",IF(IFERROR(VLOOKUP($D2395,库存台账!$A$5:$Y$1204,24,0),0)&lt;-0.001,"※这个物料账面已经变成负数了，查一下是不是漏记入库","")))))))))))</f>
        <v/>
      </c>
    </row>
    <row r="2396">
      <c r="A2396" s="24">
        <f>IF($D2396="","",COUNTA($D$4:$D2396))</f>
        <v/>
      </c>
      <c r="B2396" s="17" t="n"/>
      <c r="C2396" s="30" t="n"/>
      <c r="D2396" s="17" t="n"/>
      <c r="E2396" s="24">
        <f>IF($D2396="","",IFERROR(VLOOKUP($D2396,物料档案!$A$4:$P$1203,3,0),"※编码不在物料档案里"))</f>
        <v/>
      </c>
      <c r="F2396" s="24">
        <f>IF($D2396="","",IFERROR(VLOOKUP($D2396,物料档案!$A$4:$P$1203,4,0),"※编码不在物料档案里"))</f>
        <v/>
      </c>
      <c r="G2396" s="24">
        <f>IF($D2396="","",IFERROR(VLOOKUP($D2396,物料档案!$A$4:$P$1203,5,0),"※编码不在物料档案里"))</f>
        <v/>
      </c>
      <c r="H2396" s="24">
        <f>IF($D2396="","",IFERROR(VLOOKUP($D2396,物料档案!$A$4:$P$1203,2,0),"※编码不在物料档案里"))</f>
        <v/>
      </c>
      <c r="I2396" s="24">
        <f>IF($D2396="","",IFERROR(VLOOKUP($D2396,物料档案!$A$4:$P$1203,6,0),"※编码不在物料档案里"))</f>
        <v/>
      </c>
      <c r="J2396" s="23" t="n"/>
      <c r="K2396" s="17" t="n"/>
      <c r="L2396" s="17" t="n"/>
      <c r="M2396" s="17" t="n"/>
      <c r="N2396" s="17" t="n"/>
      <c r="O2396" s="26">
        <f>IF($D2396="","",IFERROR(VLOOKUP($D2396,物料档案!$A$4:$P$1203,10,0),0))</f>
        <v/>
      </c>
      <c r="P2396" s="32" t="n"/>
      <c r="Q2396" s="26">
        <f>IF($D2396="","",IF($K2396&lt;&gt;"对外销售",0,ROUND(N($J2396)*IF($P2396="",N($O2396),N($P2396)),0)))</f>
        <v/>
      </c>
      <c r="R2396" s="26">
        <f>IF($D2396="","",IFERROR(VLOOKUP($D2396,库存台账!$A$5:$Y$1204,11,0),0))</f>
        <v/>
      </c>
      <c r="S2396" s="26">
        <f>IF($D2396="","",ROUND(N($J2396)*N($R2396),0))</f>
        <v/>
      </c>
      <c r="T2396" s="26">
        <f>IF($D2396="","",IF($K2396&lt;&gt;"对外销售","",ROUND($Q2396-$S2396,0)))</f>
        <v/>
      </c>
      <c r="U2396" s="17" t="n"/>
      <c r="V2396" s="17" t="n"/>
      <c r="W2396" s="24">
        <f>IF($D2396="","",IF($E2396="※编码不在物料档案里","※物料编码不在档案里",IF(N($J2396)&lt;=0,"※出库数量要大于 0",IF($K2396="","※没填去向类型",IF($L2396="","※没填去向矿区",IF(AND($C2396&lt;&gt;"",$C2396&lt;=结账锁),"※日期早于已结账截止日，不能再录",IF(AND($K2396="自用消耗",COUNTIF({"一矿区";"二矿区"},$L2396)=0),"※自用消耗的去向只能是一矿区或二矿区",IF(AND($K2396="对外销售",COUNTIF({"三矿区";"六矿区"},$L2396)=0),"※对外销售的去向只能是三矿区或六矿区",IF(AND($K2396="对外销售",ROUND($Q2396,0)=0),"※外销却没有售价，请填实际售价",IF(AND($K2396="对外销售",$T2396&lt;&gt;"",$T2396&lt;0),"※这一笔外销是亏的，请核对售价",IF(IFERROR(VLOOKUP($D2396,库存台账!$A$5:$Y$1204,24,0),0)&lt;-0.001,"※这个物料账面已经变成负数了，查一下是不是漏记入库","")))))))))))</f>
        <v/>
      </c>
    </row>
    <row r="2397">
      <c r="A2397" s="24">
        <f>IF($D2397="","",COUNTA($D$4:$D2397))</f>
        <v/>
      </c>
      <c r="B2397" s="17" t="n"/>
      <c r="C2397" s="30" t="n"/>
      <c r="D2397" s="17" t="n"/>
      <c r="E2397" s="24">
        <f>IF($D2397="","",IFERROR(VLOOKUP($D2397,物料档案!$A$4:$P$1203,3,0),"※编码不在物料档案里"))</f>
        <v/>
      </c>
      <c r="F2397" s="24">
        <f>IF($D2397="","",IFERROR(VLOOKUP($D2397,物料档案!$A$4:$P$1203,4,0),"※编码不在物料档案里"))</f>
        <v/>
      </c>
      <c r="G2397" s="24">
        <f>IF($D2397="","",IFERROR(VLOOKUP($D2397,物料档案!$A$4:$P$1203,5,0),"※编码不在物料档案里"))</f>
        <v/>
      </c>
      <c r="H2397" s="24">
        <f>IF($D2397="","",IFERROR(VLOOKUP($D2397,物料档案!$A$4:$P$1203,2,0),"※编码不在物料档案里"))</f>
        <v/>
      </c>
      <c r="I2397" s="24">
        <f>IF($D2397="","",IFERROR(VLOOKUP($D2397,物料档案!$A$4:$P$1203,6,0),"※编码不在物料档案里"))</f>
        <v/>
      </c>
      <c r="J2397" s="23" t="n"/>
      <c r="K2397" s="17" t="n"/>
      <c r="L2397" s="17" t="n"/>
      <c r="M2397" s="17" t="n"/>
      <c r="N2397" s="17" t="n"/>
      <c r="O2397" s="26">
        <f>IF($D2397="","",IFERROR(VLOOKUP($D2397,物料档案!$A$4:$P$1203,10,0),0))</f>
        <v/>
      </c>
      <c r="P2397" s="32" t="n"/>
      <c r="Q2397" s="26">
        <f>IF($D2397="","",IF($K2397&lt;&gt;"对外销售",0,ROUND(N($J2397)*IF($P2397="",N($O2397),N($P2397)),0)))</f>
        <v/>
      </c>
      <c r="R2397" s="26">
        <f>IF($D2397="","",IFERROR(VLOOKUP($D2397,库存台账!$A$5:$Y$1204,11,0),0))</f>
        <v/>
      </c>
      <c r="S2397" s="26">
        <f>IF($D2397="","",ROUND(N($J2397)*N($R2397),0))</f>
        <v/>
      </c>
      <c r="T2397" s="26">
        <f>IF($D2397="","",IF($K2397&lt;&gt;"对外销售","",ROUND($Q2397-$S2397,0)))</f>
        <v/>
      </c>
      <c r="U2397" s="17" t="n"/>
      <c r="V2397" s="17" t="n"/>
      <c r="W2397" s="24">
        <f>IF($D2397="","",IF($E2397="※编码不在物料档案里","※物料编码不在档案里",IF(N($J2397)&lt;=0,"※出库数量要大于 0",IF($K2397="","※没填去向类型",IF($L2397="","※没填去向矿区",IF(AND($C2397&lt;&gt;"",$C2397&lt;=结账锁),"※日期早于已结账截止日，不能再录",IF(AND($K2397="自用消耗",COUNTIF({"一矿区";"二矿区"},$L2397)=0),"※自用消耗的去向只能是一矿区或二矿区",IF(AND($K2397="对外销售",COUNTIF({"三矿区";"六矿区"},$L2397)=0),"※对外销售的去向只能是三矿区或六矿区",IF(AND($K2397="对外销售",ROUND($Q2397,0)=0),"※外销却没有售价，请填实际售价",IF(AND($K2397="对外销售",$T2397&lt;&gt;"",$T2397&lt;0),"※这一笔外销是亏的，请核对售价",IF(IFERROR(VLOOKUP($D2397,库存台账!$A$5:$Y$1204,24,0),0)&lt;-0.001,"※这个物料账面已经变成负数了，查一下是不是漏记入库","")))))))))))</f>
        <v/>
      </c>
    </row>
    <row r="2398">
      <c r="A2398" s="24">
        <f>IF($D2398="","",COUNTA($D$4:$D2398))</f>
        <v/>
      </c>
      <c r="B2398" s="17" t="n"/>
      <c r="C2398" s="30" t="n"/>
      <c r="D2398" s="17" t="n"/>
      <c r="E2398" s="24">
        <f>IF($D2398="","",IFERROR(VLOOKUP($D2398,物料档案!$A$4:$P$1203,3,0),"※编码不在物料档案里"))</f>
        <v/>
      </c>
      <c r="F2398" s="24">
        <f>IF($D2398="","",IFERROR(VLOOKUP($D2398,物料档案!$A$4:$P$1203,4,0),"※编码不在物料档案里"))</f>
        <v/>
      </c>
      <c r="G2398" s="24">
        <f>IF($D2398="","",IFERROR(VLOOKUP($D2398,物料档案!$A$4:$P$1203,5,0),"※编码不在物料档案里"))</f>
        <v/>
      </c>
      <c r="H2398" s="24">
        <f>IF($D2398="","",IFERROR(VLOOKUP($D2398,物料档案!$A$4:$P$1203,2,0),"※编码不在物料档案里"))</f>
        <v/>
      </c>
      <c r="I2398" s="24">
        <f>IF($D2398="","",IFERROR(VLOOKUP($D2398,物料档案!$A$4:$P$1203,6,0),"※编码不在物料档案里"))</f>
        <v/>
      </c>
      <c r="J2398" s="23" t="n"/>
      <c r="K2398" s="17" t="n"/>
      <c r="L2398" s="17" t="n"/>
      <c r="M2398" s="17" t="n"/>
      <c r="N2398" s="17" t="n"/>
      <c r="O2398" s="26">
        <f>IF($D2398="","",IFERROR(VLOOKUP($D2398,物料档案!$A$4:$P$1203,10,0),0))</f>
        <v/>
      </c>
      <c r="P2398" s="32" t="n"/>
      <c r="Q2398" s="26">
        <f>IF($D2398="","",IF($K2398&lt;&gt;"对外销售",0,ROUND(N($J2398)*IF($P2398="",N($O2398),N($P2398)),0)))</f>
        <v/>
      </c>
      <c r="R2398" s="26">
        <f>IF($D2398="","",IFERROR(VLOOKUP($D2398,库存台账!$A$5:$Y$1204,11,0),0))</f>
        <v/>
      </c>
      <c r="S2398" s="26">
        <f>IF($D2398="","",ROUND(N($J2398)*N($R2398),0))</f>
        <v/>
      </c>
      <c r="T2398" s="26">
        <f>IF($D2398="","",IF($K2398&lt;&gt;"对外销售","",ROUND($Q2398-$S2398,0)))</f>
        <v/>
      </c>
      <c r="U2398" s="17" t="n"/>
      <c r="V2398" s="17" t="n"/>
      <c r="W2398" s="24">
        <f>IF($D2398="","",IF($E2398="※编码不在物料档案里","※物料编码不在档案里",IF(N($J2398)&lt;=0,"※出库数量要大于 0",IF($K2398="","※没填去向类型",IF($L2398="","※没填去向矿区",IF(AND($C2398&lt;&gt;"",$C2398&lt;=结账锁),"※日期早于已结账截止日，不能再录",IF(AND($K2398="自用消耗",COUNTIF({"一矿区";"二矿区"},$L2398)=0),"※自用消耗的去向只能是一矿区或二矿区",IF(AND($K2398="对外销售",COUNTIF({"三矿区";"六矿区"},$L2398)=0),"※对外销售的去向只能是三矿区或六矿区",IF(AND($K2398="对外销售",ROUND($Q2398,0)=0),"※外销却没有售价，请填实际售价",IF(AND($K2398="对外销售",$T2398&lt;&gt;"",$T2398&lt;0),"※这一笔外销是亏的，请核对售价",IF(IFERROR(VLOOKUP($D2398,库存台账!$A$5:$Y$1204,24,0),0)&lt;-0.001,"※这个物料账面已经变成负数了，查一下是不是漏记入库","")))))))))))</f>
        <v/>
      </c>
    </row>
    <row r="2399">
      <c r="A2399" s="24">
        <f>IF($D2399="","",COUNTA($D$4:$D2399))</f>
        <v/>
      </c>
      <c r="B2399" s="17" t="n"/>
      <c r="C2399" s="30" t="n"/>
      <c r="D2399" s="17" t="n"/>
      <c r="E2399" s="24">
        <f>IF($D2399="","",IFERROR(VLOOKUP($D2399,物料档案!$A$4:$P$1203,3,0),"※编码不在物料档案里"))</f>
        <v/>
      </c>
      <c r="F2399" s="24">
        <f>IF($D2399="","",IFERROR(VLOOKUP($D2399,物料档案!$A$4:$P$1203,4,0),"※编码不在物料档案里"))</f>
        <v/>
      </c>
      <c r="G2399" s="24">
        <f>IF($D2399="","",IFERROR(VLOOKUP($D2399,物料档案!$A$4:$P$1203,5,0),"※编码不在物料档案里"))</f>
        <v/>
      </c>
      <c r="H2399" s="24">
        <f>IF($D2399="","",IFERROR(VLOOKUP($D2399,物料档案!$A$4:$P$1203,2,0),"※编码不在物料档案里"))</f>
        <v/>
      </c>
      <c r="I2399" s="24">
        <f>IF($D2399="","",IFERROR(VLOOKUP($D2399,物料档案!$A$4:$P$1203,6,0),"※编码不在物料档案里"))</f>
        <v/>
      </c>
      <c r="J2399" s="23" t="n"/>
      <c r="K2399" s="17" t="n"/>
      <c r="L2399" s="17" t="n"/>
      <c r="M2399" s="17" t="n"/>
      <c r="N2399" s="17" t="n"/>
      <c r="O2399" s="26">
        <f>IF($D2399="","",IFERROR(VLOOKUP($D2399,物料档案!$A$4:$P$1203,10,0),0))</f>
        <v/>
      </c>
      <c r="P2399" s="32" t="n"/>
      <c r="Q2399" s="26">
        <f>IF($D2399="","",IF($K2399&lt;&gt;"对外销售",0,ROUND(N($J2399)*IF($P2399="",N($O2399),N($P2399)),0)))</f>
        <v/>
      </c>
      <c r="R2399" s="26">
        <f>IF($D2399="","",IFERROR(VLOOKUP($D2399,库存台账!$A$5:$Y$1204,11,0),0))</f>
        <v/>
      </c>
      <c r="S2399" s="26">
        <f>IF($D2399="","",ROUND(N($J2399)*N($R2399),0))</f>
        <v/>
      </c>
      <c r="T2399" s="26">
        <f>IF($D2399="","",IF($K2399&lt;&gt;"对外销售","",ROUND($Q2399-$S2399,0)))</f>
        <v/>
      </c>
      <c r="U2399" s="17" t="n"/>
      <c r="V2399" s="17" t="n"/>
      <c r="W2399" s="24">
        <f>IF($D2399="","",IF($E2399="※编码不在物料档案里","※物料编码不在档案里",IF(N($J2399)&lt;=0,"※出库数量要大于 0",IF($K2399="","※没填去向类型",IF($L2399="","※没填去向矿区",IF(AND($C2399&lt;&gt;"",$C2399&lt;=结账锁),"※日期早于已结账截止日，不能再录",IF(AND($K2399="自用消耗",COUNTIF({"一矿区";"二矿区"},$L2399)=0),"※自用消耗的去向只能是一矿区或二矿区",IF(AND($K2399="对外销售",COUNTIF({"三矿区";"六矿区"},$L2399)=0),"※对外销售的去向只能是三矿区或六矿区",IF(AND($K2399="对外销售",ROUND($Q2399,0)=0),"※外销却没有售价，请填实际售价",IF(AND($K2399="对外销售",$T2399&lt;&gt;"",$T2399&lt;0),"※这一笔外销是亏的，请核对售价",IF(IFERROR(VLOOKUP($D2399,库存台账!$A$5:$Y$1204,24,0),0)&lt;-0.001,"※这个物料账面已经变成负数了，查一下是不是漏记入库","")))))))))))</f>
        <v/>
      </c>
    </row>
    <row r="2400">
      <c r="A2400" s="24">
        <f>IF($D2400="","",COUNTA($D$4:$D2400))</f>
        <v/>
      </c>
      <c r="B2400" s="17" t="n"/>
      <c r="C2400" s="30" t="n"/>
      <c r="D2400" s="17" t="n"/>
      <c r="E2400" s="24">
        <f>IF($D2400="","",IFERROR(VLOOKUP($D2400,物料档案!$A$4:$P$1203,3,0),"※编码不在物料档案里"))</f>
        <v/>
      </c>
      <c r="F2400" s="24">
        <f>IF($D2400="","",IFERROR(VLOOKUP($D2400,物料档案!$A$4:$P$1203,4,0),"※编码不在物料档案里"))</f>
        <v/>
      </c>
      <c r="G2400" s="24">
        <f>IF($D2400="","",IFERROR(VLOOKUP($D2400,物料档案!$A$4:$P$1203,5,0),"※编码不在物料档案里"))</f>
        <v/>
      </c>
      <c r="H2400" s="24">
        <f>IF($D2400="","",IFERROR(VLOOKUP($D2400,物料档案!$A$4:$P$1203,2,0),"※编码不在物料档案里"))</f>
        <v/>
      </c>
      <c r="I2400" s="24">
        <f>IF($D2400="","",IFERROR(VLOOKUP($D2400,物料档案!$A$4:$P$1203,6,0),"※编码不在物料档案里"))</f>
        <v/>
      </c>
      <c r="J2400" s="23" t="n"/>
      <c r="K2400" s="17" t="n"/>
      <c r="L2400" s="17" t="n"/>
      <c r="M2400" s="17" t="n"/>
      <c r="N2400" s="17" t="n"/>
      <c r="O2400" s="26">
        <f>IF($D2400="","",IFERROR(VLOOKUP($D2400,物料档案!$A$4:$P$1203,10,0),0))</f>
        <v/>
      </c>
      <c r="P2400" s="32" t="n"/>
      <c r="Q2400" s="26">
        <f>IF($D2400="","",IF($K2400&lt;&gt;"对外销售",0,ROUND(N($J2400)*IF($P2400="",N($O2400),N($P2400)),0)))</f>
        <v/>
      </c>
      <c r="R2400" s="26">
        <f>IF($D2400="","",IFERROR(VLOOKUP($D2400,库存台账!$A$5:$Y$1204,11,0),0))</f>
        <v/>
      </c>
      <c r="S2400" s="26">
        <f>IF($D2400="","",ROUND(N($J2400)*N($R2400),0))</f>
        <v/>
      </c>
      <c r="T2400" s="26">
        <f>IF($D2400="","",IF($K2400&lt;&gt;"对外销售","",ROUND($Q2400-$S2400,0)))</f>
        <v/>
      </c>
      <c r="U2400" s="17" t="n"/>
      <c r="V2400" s="17" t="n"/>
      <c r="W2400" s="24">
        <f>IF($D2400="","",IF($E2400="※编码不在物料档案里","※物料编码不在档案里",IF(N($J2400)&lt;=0,"※出库数量要大于 0",IF($K2400="","※没填去向类型",IF($L2400="","※没填去向矿区",IF(AND($C2400&lt;&gt;"",$C2400&lt;=结账锁),"※日期早于已结账截止日，不能再录",IF(AND($K2400="自用消耗",COUNTIF({"一矿区";"二矿区"},$L2400)=0),"※自用消耗的去向只能是一矿区或二矿区",IF(AND($K2400="对外销售",COUNTIF({"三矿区";"六矿区"},$L2400)=0),"※对外销售的去向只能是三矿区或六矿区",IF(AND($K2400="对外销售",ROUND($Q2400,0)=0),"※外销却没有售价，请填实际售价",IF(AND($K2400="对外销售",$T2400&lt;&gt;"",$T2400&lt;0),"※这一笔外销是亏的，请核对售价",IF(IFERROR(VLOOKUP($D2400,库存台账!$A$5:$Y$1204,24,0),0)&lt;-0.001,"※这个物料账面已经变成负数了，查一下是不是漏记入库","")))))))))))</f>
        <v/>
      </c>
    </row>
    <row r="2401">
      <c r="A2401" s="24">
        <f>IF($D2401="","",COUNTA($D$4:$D2401))</f>
        <v/>
      </c>
      <c r="B2401" s="17" t="n"/>
      <c r="C2401" s="30" t="n"/>
      <c r="D2401" s="17" t="n"/>
      <c r="E2401" s="24">
        <f>IF($D2401="","",IFERROR(VLOOKUP($D2401,物料档案!$A$4:$P$1203,3,0),"※编码不在物料档案里"))</f>
        <v/>
      </c>
      <c r="F2401" s="24">
        <f>IF($D2401="","",IFERROR(VLOOKUP($D2401,物料档案!$A$4:$P$1203,4,0),"※编码不在物料档案里"))</f>
        <v/>
      </c>
      <c r="G2401" s="24">
        <f>IF($D2401="","",IFERROR(VLOOKUP($D2401,物料档案!$A$4:$P$1203,5,0),"※编码不在物料档案里"))</f>
        <v/>
      </c>
      <c r="H2401" s="24">
        <f>IF($D2401="","",IFERROR(VLOOKUP($D2401,物料档案!$A$4:$P$1203,2,0),"※编码不在物料档案里"))</f>
        <v/>
      </c>
      <c r="I2401" s="24">
        <f>IF($D2401="","",IFERROR(VLOOKUP($D2401,物料档案!$A$4:$P$1203,6,0),"※编码不在物料档案里"))</f>
        <v/>
      </c>
      <c r="J2401" s="23" t="n"/>
      <c r="K2401" s="17" t="n"/>
      <c r="L2401" s="17" t="n"/>
      <c r="M2401" s="17" t="n"/>
      <c r="N2401" s="17" t="n"/>
      <c r="O2401" s="26">
        <f>IF($D2401="","",IFERROR(VLOOKUP($D2401,物料档案!$A$4:$P$1203,10,0),0))</f>
        <v/>
      </c>
      <c r="P2401" s="32" t="n"/>
      <c r="Q2401" s="26">
        <f>IF($D2401="","",IF($K2401&lt;&gt;"对外销售",0,ROUND(N($J2401)*IF($P2401="",N($O2401),N($P2401)),0)))</f>
        <v/>
      </c>
      <c r="R2401" s="26">
        <f>IF($D2401="","",IFERROR(VLOOKUP($D2401,库存台账!$A$5:$Y$1204,11,0),0))</f>
        <v/>
      </c>
      <c r="S2401" s="26">
        <f>IF($D2401="","",ROUND(N($J2401)*N($R2401),0))</f>
        <v/>
      </c>
      <c r="T2401" s="26">
        <f>IF($D2401="","",IF($K2401&lt;&gt;"对外销售","",ROUND($Q2401-$S2401,0)))</f>
        <v/>
      </c>
      <c r="U2401" s="17" t="n"/>
      <c r="V2401" s="17" t="n"/>
      <c r="W2401" s="24">
        <f>IF($D2401="","",IF($E2401="※编码不在物料档案里","※物料编码不在档案里",IF(N($J2401)&lt;=0,"※出库数量要大于 0",IF($K2401="","※没填去向类型",IF($L2401="","※没填去向矿区",IF(AND($C2401&lt;&gt;"",$C2401&lt;=结账锁),"※日期早于已结账截止日，不能再录",IF(AND($K2401="自用消耗",COUNTIF({"一矿区";"二矿区"},$L2401)=0),"※自用消耗的去向只能是一矿区或二矿区",IF(AND($K2401="对外销售",COUNTIF({"三矿区";"六矿区"},$L2401)=0),"※对外销售的去向只能是三矿区或六矿区",IF(AND($K2401="对外销售",ROUND($Q2401,0)=0),"※外销却没有售价，请填实际售价",IF(AND($K2401="对外销售",$T2401&lt;&gt;"",$T2401&lt;0),"※这一笔外销是亏的，请核对售价",IF(IFERROR(VLOOKUP($D2401,库存台账!$A$5:$Y$1204,24,0),0)&lt;-0.001,"※这个物料账面已经变成负数了，查一下是不是漏记入库","")))))))))))</f>
        <v/>
      </c>
    </row>
    <row r="2402">
      <c r="A2402" s="24">
        <f>IF($D2402="","",COUNTA($D$4:$D2402))</f>
        <v/>
      </c>
      <c r="B2402" s="17" t="n"/>
      <c r="C2402" s="30" t="n"/>
      <c r="D2402" s="17" t="n"/>
      <c r="E2402" s="24">
        <f>IF($D2402="","",IFERROR(VLOOKUP($D2402,物料档案!$A$4:$P$1203,3,0),"※编码不在物料档案里"))</f>
        <v/>
      </c>
      <c r="F2402" s="24">
        <f>IF($D2402="","",IFERROR(VLOOKUP($D2402,物料档案!$A$4:$P$1203,4,0),"※编码不在物料档案里"))</f>
        <v/>
      </c>
      <c r="G2402" s="24">
        <f>IF($D2402="","",IFERROR(VLOOKUP($D2402,物料档案!$A$4:$P$1203,5,0),"※编码不在物料档案里"))</f>
        <v/>
      </c>
      <c r="H2402" s="24">
        <f>IF($D2402="","",IFERROR(VLOOKUP($D2402,物料档案!$A$4:$P$1203,2,0),"※编码不在物料档案里"))</f>
        <v/>
      </c>
      <c r="I2402" s="24">
        <f>IF($D2402="","",IFERROR(VLOOKUP($D2402,物料档案!$A$4:$P$1203,6,0),"※编码不在物料档案里"))</f>
        <v/>
      </c>
      <c r="J2402" s="23" t="n"/>
      <c r="K2402" s="17" t="n"/>
      <c r="L2402" s="17" t="n"/>
      <c r="M2402" s="17" t="n"/>
      <c r="N2402" s="17" t="n"/>
      <c r="O2402" s="26">
        <f>IF($D2402="","",IFERROR(VLOOKUP($D2402,物料档案!$A$4:$P$1203,10,0),0))</f>
        <v/>
      </c>
      <c r="P2402" s="32" t="n"/>
      <c r="Q2402" s="26">
        <f>IF($D2402="","",IF($K2402&lt;&gt;"对外销售",0,ROUND(N($J2402)*IF($P2402="",N($O2402),N($P2402)),0)))</f>
        <v/>
      </c>
      <c r="R2402" s="26">
        <f>IF($D2402="","",IFERROR(VLOOKUP($D2402,库存台账!$A$5:$Y$1204,11,0),0))</f>
        <v/>
      </c>
      <c r="S2402" s="26">
        <f>IF($D2402="","",ROUND(N($J2402)*N($R2402),0))</f>
        <v/>
      </c>
      <c r="T2402" s="26">
        <f>IF($D2402="","",IF($K2402&lt;&gt;"对外销售","",ROUND($Q2402-$S2402,0)))</f>
        <v/>
      </c>
      <c r="U2402" s="17" t="n"/>
      <c r="V2402" s="17" t="n"/>
      <c r="W2402" s="24">
        <f>IF($D2402="","",IF($E2402="※编码不在物料档案里","※物料编码不在档案里",IF(N($J2402)&lt;=0,"※出库数量要大于 0",IF($K2402="","※没填去向类型",IF($L2402="","※没填去向矿区",IF(AND($C2402&lt;&gt;"",$C2402&lt;=结账锁),"※日期早于已结账截止日，不能再录",IF(AND($K2402="自用消耗",COUNTIF({"一矿区";"二矿区"},$L2402)=0),"※自用消耗的去向只能是一矿区或二矿区",IF(AND($K2402="对外销售",COUNTIF({"三矿区";"六矿区"},$L2402)=0),"※对外销售的去向只能是三矿区或六矿区",IF(AND($K2402="对外销售",ROUND($Q2402,0)=0),"※外销却没有售价，请填实际售价",IF(AND($K2402="对外销售",$T2402&lt;&gt;"",$T2402&lt;0),"※这一笔外销是亏的，请核对售价",IF(IFERROR(VLOOKUP($D2402,库存台账!$A$5:$Y$1204,24,0),0)&lt;-0.001,"※这个物料账面已经变成负数了，查一下是不是漏记入库","")))))))))))</f>
        <v/>
      </c>
    </row>
    <row r="2403">
      <c r="A2403" s="24">
        <f>IF($D2403="","",COUNTA($D$4:$D2403))</f>
        <v/>
      </c>
      <c r="B2403" s="17" t="n"/>
      <c r="C2403" s="30" t="n"/>
      <c r="D2403" s="17" t="n"/>
      <c r="E2403" s="24">
        <f>IF($D2403="","",IFERROR(VLOOKUP($D2403,物料档案!$A$4:$P$1203,3,0),"※编码不在物料档案里"))</f>
        <v/>
      </c>
      <c r="F2403" s="24">
        <f>IF($D2403="","",IFERROR(VLOOKUP($D2403,物料档案!$A$4:$P$1203,4,0),"※编码不在物料档案里"))</f>
        <v/>
      </c>
      <c r="G2403" s="24">
        <f>IF($D2403="","",IFERROR(VLOOKUP($D2403,物料档案!$A$4:$P$1203,5,0),"※编码不在物料档案里"))</f>
        <v/>
      </c>
      <c r="H2403" s="24">
        <f>IF($D2403="","",IFERROR(VLOOKUP($D2403,物料档案!$A$4:$P$1203,2,0),"※编码不在物料档案里"))</f>
        <v/>
      </c>
      <c r="I2403" s="24">
        <f>IF($D2403="","",IFERROR(VLOOKUP($D2403,物料档案!$A$4:$P$1203,6,0),"※编码不在物料档案里"))</f>
        <v/>
      </c>
      <c r="J2403" s="23" t="n"/>
      <c r="K2403" s="17" t="n"/>
      <c r="L2403" s="17" t="n"/>
      <c r="M2403" s="17" t="n"/>
      <c r="N2403" s="17" t="n"/>
      <c r="O2403" s="26">
        <f>IF($D2403="","",IFERROR(VLOOKUP($D2403,物料档案!$A$4:$P$1203,10,0),0))</f>
        <v/>
      </c>
      <c r="P2403" s="32" t="n"/>
      <c r="Q2403" s="26">
        <f>IF($D2403="","",IF($K2403&lt;&gt;"对外销售",0,ROUND(N($J2403)*IF($P2403="",N($O2403),N($P2403)),0)))</f>
        <v/>
      </c>
      <c r="R2403" s="26">
        <f>IF($D2403="","",IFERROR(VLOOKUP($D2403,库存台账!$A$5:$Y$1204,11,0),0))</f>
        <v/>
      </c>
      <c r="S2403" s="26">
        <f>IF($D2403="","",ROUND(N($J2403)*N($R2403),0))</f>
        <v/>
      </c>
      <c r="T2403" s="26">
        <f>IF($D2403="","",IF($K2403&lt;&gt;"对外销售","",ROUND($Q2403-$S2403,0)))</f>
        <v/>
      </c>
      <c r="U2403" s="17" t="n"/>
      <c r="V2403" s="17" t="n"/>
      <c r="W2403" s="24">
        <f>IF($D2403="","",IF($E2403="※编码不在物料档案里","※物料编码不在档案里",IF(N($J2403)&lt;=0,"※出库数量要大于 0",IF($K2403="","※没填去向类型",IF($L2403="","※没填去向矿区",IF(AND($C2403&lt;&gt;"",$C2403&lt;=结账锁),"※日期早于已结账截止日，不能再录",IF(AND($K2403="自用消耗",COUNTIF({"一矿区";"二矿区"},$L2403)=0),"※自用消耗的去向只能是一矿区或二矿区",IF(AND($K2403="对外销售",COUNTIF({"三矿区";"六矿区"},$L2403)=0),"※对外销售的去向只能是三矿区或六矿区",IF(AND($K2403="对外销售",ROUND($Q2403,0)=0),"※外销却没有售价，请填实际售价",IF(AND($K2403="对外销售",$T2403&lt;&gt;"",$T2403&lt;0),"※这一笔外销是亏的，请核对售价",IF(IFERROR(VLOOKUP($D2403,库存台账!$A$5:$Y$1204,24,0),0)&lt;-0.001,"※这个物料账面已经变成负数了，查一下是不是漏记入库","")))))))))))</f>
        <v/>
      </c>
    </row>
    <row r="2404">
      <c r="A2404" s="24">
        <f>IF($D2404="","",COUNTA($D$4:$D2404))</f>
        <v/>
      </c>
      <c r="B2404" s="17" t="n"/>
      <c r="C2404" s="30" t="n"/>
      <c r="D2404" s="17" t="n"/>
      <c r="E2404" s="24">
        <f>IF($D2404="","",IFERROR(VLOOKUP($D2404,物料档案!$A$4:$P$1203,3,0),"※编码不在物料档案里"))</f>
        <v/>
      </c>
      <c r="F2404" s="24">
        <f>IF($D2404="","",IFERROR(VLOOKUP($D2404,物料档案!$A$4:$P$1203,4,0),"※编码不在物料档案里"))</f>
        <v/>
      </c>
      <c r="G2404" s="24">
        <f>IF($D2404="","",IFERROR(VLOOKUP($D2404,物料档案!$A$4:$P$1203,5,0),"※编码不在物料档案里"))</f>
        <v/>
      </c>
      <c r="H2404" s="24">
        <f>IF($D2404="","",IFERROR(VLOOKUP($D2404,物料档案!$A$4:$P$1203,2,0),"※编码不在物料档案里"))</f>
        <v/>
      </c>
      <c r="I2404" s="24">
        <f>IF($D2404="","",IFERROR(VLOOKUP($D2404,物料档案!$A$4:$P$1203,6,0),"※编码不在物料档案里"))</f>
        <v/>
      </c>
      <c r="J2404" s="23" t="n"/>
      <c r="K2404" s="17" t="n"/>
      <c r="L2404" s="17" t="n"/>
      <c r="M2404" s="17" t="n"/>
      <c r="N2404" s="17" t="n"/>
      <c r="O2404" s="26">
        <f>IF($D2404="","",IFERROR(VLOOKUP($D2404,物料档案!$A$4:$P$1203,10,0),0))</f>
        <v/>
      </c>
      <c r="P2404" s="32" t="n"/>
      <c r="Q2404" s="26">
        <f>IF($D2404="","",IF($K2404&lt;&gt;"对外销售",0,ROUND(N($J2404)*IF($P2404="",N($O2404),N($P2404)),0)))</f>
        <v/>
      </c>
      <c r="R2404" s="26">
        <f>IF($D2404="","",IFERROR(VLOOKUP($D2404,库存台账!$A$5:$Y$1204,11,0),0))</f>
        <v/>
      </c>
      <c r="S2404" s="26">
        <f>IF($D2404="","",ROUND(N($J2404)*N($R2404),0))</f>
        <v/>
      </c>
      <c r="T2404" s="26">
        <f>IF($D2404="","",IF($K2404&lt;&gt;"对外销售","",ROUND($Q2404-$S2404,0)))</f>
        <v/>
      </c>
      <c r="U2404" s="17" t="n"/>
      <c r="V2404" s="17" t="n"/>
      <c r="W2404" s="24">
        <f>IF($D2404="","",IF($E2404="※编码不在物料档案里","※物料编码不在档案里",IF(N($J2404)&lt;=0,"※出库数量要大于 0",IF($K2404="","※没填去向类型",IF($L2404="","※没填去向矿区",IF(AND($C2404&lt;&gt;"",$C2404&lt;=结账锁),"※日期早于已结账截止日，不能再录",IF(AND($K2404="自用消耗",COUNTIF({"一矿区";"二矿区"},$L2404)=0),"※自用消耗的去向只能是一矿区或二矿区",IF(AND($K2404="对外销售",COUNTIF({"三矿区";"六矿区"},$L2404)=0),"※对外销售的去向只能是三矿区或六矿区",IF(AND($K2404="对外销售",ROUND($Q2404,0)=0),"※外销却没有售价，请填实际售价",IF(AND($K2404="对外销售",$T2404&lt;&gt;"",$T2404&lt;0),"※这一笔外销是亏的，请核对售价",IF(IFERROR(VLOOKUP($D2404,库存台账!$A$5:$Y$1204,24,0),0)&lt;-0.001,"※这个物料账面已经变成负数了，查一下是不是漏记入库","")))))))))))</f>
        <v/>
      </c>
    </row>
    <row r="2405">
      <c r="A2405" s="24">
        <f>IF($D2405="","",COUNTA($D$4:$D2405))</f>
        <v/>
      </c>
      <c r="B2405" s="17" t="n"/>
      <c r="C2405" s="30" t="n"/>
      <c r="D2405" s="17" t="n"/>
      <c r="E2405" s="24">
        <f>IF($D2405="","",IFERROR(VLOOKUP($D2405,物料档案!$A$4:$P$1203,3,0),"※编码不在物料档案里"))</f>
        <v/>
      </c>
      <c r="F2405" s="24">
        <f>IF($D2405="","",IFERROR(VLOOKUP($D2405,物料档案!$A$4:$P$1203,4,0),"※编码不在物料档案里"))</f>
        <v/>
      </c>
      <c r="G2405" s="24">
        <f>IF($D2405="","",IFERROR(VLOOKUP($D2405,物料档案!$A$4:$P$1203,5,0),"※编码不在物料档案里"))</f>
        <v/>
      </c>
      <c r="H2405" s="24">
        <f>IF($D2405="","",IFERROR(VLOOKUP($D2405,物料档案!$A$4:$P$1203,2,0),"※编码不在物料档案里"))</f>
        <v/>
      </c>
      <c r="I2405" s="24">
        <f>IF($D2405="","",IFERROR(VLOOKUP($D2405,物料档案!$A$4:$P$1203,6,0),"※编码不在物料档案里"))</f>
        <v/>
      </c>
      <c r="J2405" s="23" t="n"/>
      <c r="K2405" s="17" t="n"/>
      <c r="L2405" s="17" t="n"/>
      <c r="M2405" s="17" t="n"/>
      <c r="N2405" s="17" t="n"/>
      <c r="O2405" s="26">
        <f>IF($D2405="","",IFERROR(VLOOKUP($D2405,物料档案!$A$4:$P$1203,10,0),0))</f>
        <v/>
      </c>
      <c r="P2405" s="32" t="n"/>
      <c r="Q2405" s="26">
        <f>IF($D2405="","",IF($K2405&lt;&gt;"对外销售",0,ROUND(N($J2405)*IF($P2405="",N($O2405),N($P2405)),0)))</f>
        <v/>
      </c>
      <c r="R2405" s="26">
        <f>IF($D2405="","",IFERROR(VLOOKUP($D2405,库存台账!$A$5:$Y$1204,11,0),0))</f>
        <v/>
      </c>
      <c r="S2405" s="26">
        <f>IF($D2405="","",ROUND(N($J2405)*N($R2405),0))</f>
        <v/>
      </c>
      <c r="T2405" s="26">
        <f>IF($D2405="","",IF($K2405&lt;&gt;"对外销售","",ROUND($Q2405-$S2405,0)))</f>
        <v/>
      </c>
      <c r="U2405" s="17" t="n"/>
      <c r="V2405" s="17" t="n"/>
      <c r="W2405" s="24">
        <f>IF($D2405="","",IF($E2405="※编码不在物料档案里","※物料编码不在档案里",IF(N($J2405)&lt;=0,"※出库数量要大于 0",IF($K2405="","※没填去向类型",IF($L2405="","※没填去向矿区",IF(AND($C2405&lt;&gt;"",$C2405&lt;=结账锁),"※日期早于已结账截止日，不能再录",IF(AND($K2405="自用消耗",COUNTIF({"一矿区";"二矿区"},$L2405)=0),"※自用消耗的去向只能是一矿区或二矿区",IF(AND($K2405="对外销售",COUNTIF({"三矿区";"六矿区"},$L2405)=0),"※对外销售的去向只能是三矿区或六矿区",IF(AND($K2405="对外销售",ROUND($Q2405,0)=0),"※外销却没有售价，请填实际售价",IF(AND($K2405="对外销售",$T2405&lt;&gt;"",$T2405&lt;0),"※这一笔外销是亏的，请核对售价",IF(IFERROR(VLOOKUP($D2405,库存台账!$A$5:$Y$1204,24,0),0)&lt;-0.001,"※这个物料账面已经变成负数了，查一下是不是漏记入库","")))))))))))</f>
        <v/>
      </c>
    </row>
    <row r="2406">
      <c r="A2406" s="24">
        <f>IF($D2406="","",COUNTA($D$4:$D2406))</f>
        <v/>
      </c>
      <c r="B2406" s="17" t="n"/>
      <c r="C2406" s="30" t="n"/>
      <c r="D2406" s="17" t="n"/>
      <c r="E2406" s="24">
        <f>IF($D2406="","",IFERROR(VLOOKUP($D2406,物料档案!$A$4:$P$1203,3,0),"※编码不在物料档案里"))</f>
        <v/>
      </c>
      <c r="F2406" s="24">
        <f>IF($D2406="","",IFERROR(VLOOKUP($D2406,物料档案!$A$4:$P$1203,4,0),"※编码不在物料档案里"))</f>
        <v/>
      </c>
      <c r="G2406" s="24">
        <f>IF($D2406="","",IFERROR(VLOOKUP($D2406,物料档案!$A$4:$P$1203,5,0),"※编码不在物料档案里"))</f>
        <v/>
      </c>
      <c r="H2406" s="24">
        <f>IF($D2406="","",IFERROR(VLOOKUP($D2406,物料档案!$A$4:$P$1203,2,0),"※编码不在物料档案里"))</f>
        <v/>
      </c>
      <c r="I2406" s="24">
        <f>IF($D2406="","",IFERROR(VLOOKUP($D2406,物料档案!$A$4:$P$1203,6,0),"※编码不在物料档案里"))</f>
        <v/>
      </c>
      <c r="J2406" s="23" t="n"/>
      <c r="K2406" s="17" t="n"/>
      <c r="L2406" s="17" t="n"/>
      <c r="M2406" s="17" t="n"/>
      <c r="N2406" s="17" t="n"/>
      <c r="O2406" s="26">
        <f>IF($D2406="","",IFERROR(VLOOKUP($D2406,物料档案!$A$4:$P$1203,10,0),0))</f>
        <v/>
      </c>
      <c r="P2406" s="32" t="n"/>
      <c r="Q2406" s="26">
        <f>IF($D2406="","",IF($K2406&lt;&gt;"对外销售",0,ROUND(N($J2406)*IF($P2406="",N($O2406),N($P2406)),0)))</f>
        <v/>
      </c>
      <c r="R2406" s="26">
        <f>IF($D2406="","",IFERROR(VLOOKUP($D2406,库存台账!$A$5:$Y$1204,11,0),0))</f>
        <v/>
      </c>
      <c r="S2406" s="26">
        <f>IF($D2406="","",ROUND(N($J2406)*N($R2406),0))</f>
        <v/>
      </c>
      <c r="T2406" s="26">
        <f>IF($D2406="","",IF($K2406&lt;&gt;"对外销售","",ROUND($Q2406-$S2406,0)))</f>
        <v/>
      </c>
      <c r="U2406" s="17" t="n"/>
      <c r="V2406" s="17" t="n"/>
      <c r="W2406" s="24">
        <f>IF($D2406="","",IF($E2406="※编码不在物料档案里","※物料编码不在档案里",IF(N($J2406)&lt;=0,"※出库数量要大于 0",IF($K2406="","※没填去向类型",IF($L2406="","※没填去向矿区",IF(AND($C2406&lt;&gt;"",$C2406&lt;=结账锁),"※日期早于已结账截止日，不能再录",IF(AND($K2406="自用消耗",COUNTIF({"一矿区";"二矿区"},$L2406)=0),"※自用消耗的去向只能是一矿区或二矿区",IF(AND($K2406="对外销售",COUNTIF({"三矿区";"六矿区"},$L2406)=0),"※对外销售的去向只能是三矿区或六矿区",IF(AND($K2406="对外销售",ROUND($Q2406,0)=0),"※外销却没有售价，请填实际售价",IF(AND($K2406="对外销售",$T2406&lt;&gt;"",$T2406&lt;0),"※这一笔外销是亏的，请核对售价",IF(IFERROR(VLOOKUP($D2406,库存台账!$A$5:$Y$1204,24,0),0)&lt;-0.001,"※这个物料账面已经变成负数了，查一下是不是漏记入库","")))))))))))</f>
        <v/>
      </c>
    </row>
    <row r="2407">
      <c r="A2407" s="24">
        <f>IF($D2407="","",COUNTA($D$4:$D2407))</f>
        <v/>
      </c>
      <c r="B2407" s="17" t="n"/>
      <c r="C2407" s="30" t="n"/>
      <c r="D2407" s="17" t="n"/>
      <c r="E2407" s="24">
        <f>IF($D2407="","",IFERROR(VLOOKUP($D2407,物料档案!$A$4:$P$1203,3,0),"※编码不在物料档案里"))</f>
        <v/>
      </c>
      <c r="F2407" s="24">
        <f>IF($D2407="","",IFERROR(VLOOKUP($D2407,物料档案!$A$4:$P$1203,4,0),"※编码不在物料档案里"))</f>
        <v/>
      </c>
      <c r="G2407" s="24">
        <f>IF($D2407="","",IFERROR(VLOOKUP($D2407,物料档案!$A$4:$P$1203,5,0),"※编码不在物料档案里"))</f>
        <v/>
      </c>
      <c r="H2407" s="24">
        <f>IF($D2407="","",IFERROR(VLOOKUP($D2407,物料档案!$A$4:$P$1203,2,0),"※编码不在物料档案里"))</f>
        <v/>
      </c>
      <c r="I2407" s="24">
        <f>IF($D2407="","",IFERROR(VLOOKUP($D2407,物料档案!$A$4:$P$1203,6,0),"※编码不在物料档案里"))</f>
        <v/>
      </c>
      <c r="J2407" s="23" t="n"/>
      <c r="K2407" s="17" t="n"/>
      <c r="L2407" s="17" t="n"/>
      <c r="M2407" s="17" t="n"/>
      <c r="N2407" s="17" t="n"/>
      <c r="O2407" s="26">
        <f>IF($D2407="","",IFERROR(VLOOKUP($D2407,物料档案!$A$4:$P$1203,10,0),0))</f>
        <v/>
      </c>
      <c r="P2407" s="32" t="n"/>
      <c r="Q2407" s="26">
        <f>IF($D2407="","",IF($K2407&lt;&gt;"对外销售",0,ROUND(N($J2407)*IF($P2407="",N($O2407),N($P2407)),0)))</f>
        <v/>
      </c>
      <c r="R2407" s="26">
        <f>IF($D2407="","",IFERROR(VLOOKUP($D2407,库存台账!$A$5:$Y$1204,11,0),0))</f>
        <v/>
      </c>
      <c r="S2407" s="26">
        <f>IF($D2407="","",ROUND(N($J2407)*N($R2407),0))</f>
        <v/>
      </c>
      <c r="T2407" s="26">
        <f>IF($D2407="","",IF($K2407&lt;&gt;"对外销售","",ROUND($Q2407-$S2407,0)))</f>
        <v/>
      </c>
      <c r="U2407" s="17" t="n"/>
      <c r="V2407" s="17" t="n"/>
      <c r="W2407" s="24">
        <f>IF($D2407="","",IF($E2407="※编码不在物料档案里","※物料编码不在档案里",IF(N($J2407)&lt;=0,"※出库数量要大于 0",IF($K2407="","※没填去向类型",IF($L2407="","※没填去向矿区",IF(AND($C2407&lt;&gt;"",$C2407&lt;=结账锁),"※日期早于已结账截止日，不能再录",IF(AND($K2407="自用消耗",COUNTIF({"一矿区";"二矿区"},$L2407)=0),"※自用消耗的去向只能是一矿区或二矿区",IF(AND($K2407="对外销售",COUNTIF({"三矿区";"六矿区"},$L2407)=0),"※对外销售的去向只能是三矿区或六矿区",IF(AND($K2407="对外销售",ROUND($Q2407,0)=0),"※外销却没有售价，请填实际售价",IF(AND($K2407="对外销售",$T2407&lt;&gt;"",$T2407&lt;0),"※这一笔外销是亏的，请核对售价",IF(IFERROR(VLOOKUP($D2407,库存台账!$A$5:$Y$1204,24,0),0)&lt;-0.001,"※这个物料账面已经变成负数了，查一下是不是漏记入库","")))))))))))</f>
        <v/>
      </c>
    </row>
    <row r="2408">
      <c r="A2408" s="24">
        <f>IF($D2408="","",COUNTA($D$4:$D2408))</f>
        <v/>
      </c>
      <c r="B2408" s="17" t="n"/>
      <c r="C2408" s="30" t="n"/>
      <c r="D2408" s="17" t="n"/>
      <c r="E2408" s="24">
        <f>IF($D2408="","",IFERROR(VLOOKUP($D2408,物料档案!$A$4:$P$1203,3,0),"※编码不在物料档案里"))</f>
        <v/>
      </c>
      <c r="F2408" s="24">
        <f>IF($D2408="","",IFERROR(VLOOKUP($D2408,物料档案!$A$4:$P$1203,4,0),"※编码不在物料档案里"))</f>
        <v/>
      </c>
      <c r="G2408" s="24">
        <f>IF($D2408="","",IFERROR(VLOOKUP($D2408,物料档案!$A$4:$P$1203,5,0),"※编码不在物料档案里"))</f>
        <v/>
      </c>
      <c r="H2408" s="24">
        <f>IF($D2408="","",IFERROR(VLOOKUP($D2408,物料档案!$A$4:$P$1203,2,0),"※编码不在物料档案里"))</f>
        <v/>
      </c>
      <c r="I2408" s="24">
        <f>IF($D2408="","",IFERROR(VLOOKUP($D2408,物料档案!$A$4:$P$1203,6,0),"※编码不在物料档案里"))</f>
        <v/>
      </c>
      <c r="J2408" s="23" t="n"/>
      <c r="K2408" s="17" t="n"/>
      <c r="L2408" s="17" t="n"/>
      <c r="M2408" s="17" t="n"/>
      <c r="N2408" s="17" t="n"/>
      <c r="O2408" s="26">
        <f>IF($D2408="","",IFERROR(VLOOKUP($D2408,物料档案!$A$4:$P$1203,10,0),0))</f>
        <v/>
      </c>
      <c r="P2408" s="32" t="n"/>
      <c r="Q2408" s="26">
        <f>IF($D2408="","",IF($K2408&lt;&gt;"对外销售",0,ROUND(N($J2408)*IF($P2408="",N($O2408),N($P2408)),0)))</f>
        <v/>
      </c>
      <c r="R2408" s="26">
        <f>IF($D2408="","",IFERROR(VLOOKUP($D2408,库存台账!$A$5:$Y$1204,11,0),0))</f>
        <v/>
      </c>
      <c r="S2408" s="26">
        <f>IF($D2408="","",ROUND(N($J2408)*N($R2408),0))</f>
        <v/>
      </c>
      <c r="T2408" s="26">
        <f>IF($D2408="","",IF($K2408&lt;&gt;"对外销售","",ROUND($Q2408-$S2408,0)))</f>
        <v/>
      </c>
      <c r="U2408" s="17" t="n"/>
      <c r="V2408" s="17" t="n"/>
      <c r="W2408" s="24">
        <f>IF($D2408="","",IF($E2408="※编码不在物料档案里","※物料编码不在档案里",IF(N($J2408)&lt;=0,"※出库数量要大于 0",IF($K2408="","※没填去向类型",IF($L2408="","※没填去向矿区",IF(AND($C2408&lt;&gt;"",$C2408&lt;=结账锁),"※日期早于已结账截止日，不能再录",IF(AND($K2408="自用消耗",COUNTIF({"一矿区";"二矿区"},$L2408)=0),"※自用消耗的去向只能是一矿区或二矿区",IF(AND($K2408="对外销售",COUNTIF({"三矿区";"六矿区"},$L2408)=0),"※对外销售的去向只能是三矿区或六矿区",IF(AND($K2408="对外销售",ROUND($Q2408,0)=0),"※外销却没有售价，请填实际售价",IF(AND($K2408="对外销售",$T2408&lt;&gt;"",$T2408&lt;0),"※这一笔外销是亏的，请核对售价",IF(IFERROR(VLOOKUP($D2408,库存台账!$A$5:$Y$1204,24,0),0)&lt;-0.001,"※这个物料账面已经变成负数了，查一下是不是漏记入库","")))))))))))</f>
        <v/>
      </c>
    </row>
    <row r="2409">
      <c r="A2409" s="24">
        <f>IF($D2409="","",COUNTA($D$4:$D2409))</f>
        <v/>
      </c>
      <c r="B2409" s="17" t="n"/>
      <c r="C2409" s="30" t="n"/>
      <c r="D2409" s="17" t="n"/>
      <c r="E2409" s="24">
        <f>IF($D2409="","",IFERROR(VLOOKUP($D2409,物料档案!$A$4:$P$1203,3,0),"※编码不在物料档案里"))</f>
        <v/>
      </c>
      <c r="F2409" s="24">
        <f>IF($D2409="","",IFERROR(VLOOKUP($D2409,物料档案!$A$4:$P$1203,4,0),"※编码不在物料档案里"))</f>
        <v/>
      </c>
      <c r="G2409" s="24">
        <f>IF($D2409="","",IFERROR(VLOOKUP($D2409,物料档案!$A$4:$P$1203,5,0),"※编码不在物料档案里"))</f>
        <v/>
      </c>
      <c r="H2409" s="24">
        <f>IF($D2409="","",IFERROR(VLOOKUP($D2409,物料档案!$A$4:$P$1203,2,0),"※编码不在物料档案里"))</f>
        <v/>
      </c>
      <c r="I2409" s="24">
        <f>IF($D2409="","",IFERROR(VLOOKUP($D2409,物料档案!$A$4:$P$1203,6,0),"※编码不在物料档案里"))</f>
        <v/>
      </c>
      <c r="J2409" s="23" t="n"/>
      <c r="K2409" s="17" t="n"/>
      <c r="L2409" s="17" t="n"/>
      <c r="M2409" s="17" t="n"/>
      <c r="N2409" s="17" t="n"/>
      <c r="O2409" s="26">
        <f>IF($D2409="","",IFERROR(VLOOKUP($D2409,物料档案!$A$4:$P$1203,10,0),0))</f>
        <v/>
      </c>
      <c r="P2409" s="32" t="n"/>
      <c r="Q2409" s="26">
        <f>IF($D2409="","",IF($K2409&lt;&gt;"对外销售",0,ROUND(N($J2409)*IF($P2409="",N($O2409),N($P2409)),0)))</f>
        <v/>
      </c>
      <c r="R2409" s="26">
        <f>IF($D2409="","",IFERROR(VLOOKUP($D2409,库存台账!$A$5:$Y$1204,11,0),0))</f>
        <v/>
      </c>
      <c r="S2409" s="26">
        <f>IF($D2409="","",ROUND(N($J2409)*N($R2409),0))</f>
        <v/>
      </c>
      <c r="T2409" s="26">
        <f>IF($D2409="","",IF($K2409&lt;&gt;"对外销售","",ROUND($Q2409-$S2409,0)))</f>
        <v/>
      </c>
      <c r="U2409" s="17" t="n"/>
      <c r="V2409" s="17" t="n"/>
      <c r="W2409" s="24">
        <f>IF($D2409="","",IF($E2409="※编码不在物料档案里","※物料编码不在档案里",IF(N($J2409)&lt;=0,"※出库数量要大于 0",IF($K2409="","※没填去向类型",IF($L2409="","※没填去向矿区",IF(AND($C2409&lt;&gt;"",$C2409&lt;=结账锁),"※日期早于已结账截止日，不能再录",IF(AND($K2409="自用消耗",COUNTIF({"一矿区";"二矿区"},$L2409)=0),"※自用消耗的去向只能是一矿区或二矿区",IF(AND($K2409="对外销售",COUNTIF({"三矿区";"六矿区"},$L2409)=0),"※对外销售的去向只能是三矿区或六矿区",IF(AND($K2409="对外销售",ROUND($Q2409,0)=0),"※外销却没有售价，请填实际售价",IF(AND($K2409="对外销售",$T2409&lt;&gt;"",$T2409&lt;0),"※这一笔外销是亏的，请核对售价",IF(IFERROR(VLOOKUP($D2409,库存台账!$A$5:$Y$1204,24,0),0)&lt;-0.001,"※这个物料账面已经变成负数了，查一下是不是漏记入库","")))))))))))</f>
        <v/>
      </c>
    </row>
    <row r="2410">
      <c r="A2410" s="24">
        <f>IF($D2410="","",COUNTA($D$4:$D2410))</f>
        <v/>
      </c>
      <c r="B2410" s="17" t="n"/>
      <c r="C2410" s="30" t="n"/>
      <c r="D2410" s="17" t="n"/>
      <c r="E2410" s="24">
        <f>IF($D2410="","",IFERROR(VLOOKUP($D2410,物料档案!$A$4:$P$1203,3,0),"※编码不在物料档案里"))</f>
        <v/>
      </c>
      <c r="F2410" s="24">
        <f>IF($D2410="","",IFERROR(VLOOKUP($D2410,物料档案!$A$4:$P$1203,4,0),"※编码不在物料档案里"))</f>
        <v/>
      </c>
      <c r="G2410" s="24">
        <f>IF($D2410="","",IFERROR(VLOOKUP($D2410,物料档案!$A$4:$P$1203,5,0),"※编码不在物料档案里"))</f>
        <v/>
      </c>
      <c r="H2410" s="24">
        <f>IF($D2410="","",IFERROR(VLOOKUP($D2410,物料档案!$A$4:$P$1203,2,0),"※编码不在物料档案里"))</f>
        <v/>
      </c>
      <c r="I2410" s="24">
        <f>IF($D2410="","",IFERROR(VLOOKUP($D2410,物料档案!$A$4:$P$1203,6,0),"※编码不在物料档案里"))</f>
        <v/>
      </c>
      <c r="J2410" s="23" t="n"/>
      <c r="K2410" s="17" t="n"/>
      <c r="L2410" s="17" t="n"/>
      <c r="M2410" s="17" t="n"/>
      <c r="N2410" s="17" t="n"/>
      <c r="O2410" s="26">
        <f>IF($D2410="","",IFERROR(VLOOKUP($D2410,物料档案!$A$4:$P$1203,10,0),0))</f>
        <v/>
      </c>
      <c r="P2410" s="32" t="n"/>
      <c r="Q2410" s="26">
        <f>IF($D2410="","",IF($K2410&lt;&gt;"对外销售",0,ROUND(N($J2410)*IF($P2410="",N($O2410),N($P2410)),0)))</f>
        <v/>
      </c>
      <c r="R2410" s="26">
        <f>IF($D2410="","",IFERROR(VLOOKUP($D2410,库存台账!$A$5:$Y$1204,11,0),0))</f>
        <v/>
      </c>
      <c r="S2410" s="26">
        <f>IF($D2410="","",ROUND(N($J2410)*N($R2410),0))</f>
        <v/>
      </c>
      <c r="T2410" s="26">
        <f>IF($D2410="","",IF($K2410&lt;&gt;"对外销售","",ROUND($Q2410-$S2410,0)))</f>
        <v/>
      </c>
      <c r="U2410" s="17" t="n"/>
      <c r="V2410" s="17" t="n"/>
      <c r="W2410" s="24">
        <f>IF($D2410="","",IF($E2410="※编码不在物料档案里","※物料编码不在档案里",IF(N($J2410)&lt;=0,"※出库数量要大于 0",IF($K2410="","※没填去向类型",IF($L2410="","※没填去向矿区",IF(AND($C2410&lt;&gt;"",$C2410&lt;=结账锁),"※日期早于已结账截止日，不能再录",IF(AND($K2410="自用消耗",COUNTIF({"一矿区";"二矿区"},$L2410)=0),"※自用消耗的去向只能是一矿区或二矿区",IF(AND($K2410="对外销售",COUNTIF({"三矿区";"六矿区"},$L2410)=0),"※对外销售的去向只能是三矿区或六矿区",IF(AND($K2410="对外销售",ROUND($Q2410,0)=0),"※外销却没有售价，请填实际售价",IF(AND($K2410="对外销售",$T2410&lt;&gt;"",$T2410&lt;0),"※这一笔外销是亏的，请核对售价",IF(IFERROR(VLOOKUP($D2410,库存台账!$A$5:$Y$1204,24,0),0)&lt;-0.001,"※这个物料账面已经变成负数了，查一下是不是漏记入库","")))))))))))</f>
        <v/>
      </c>
    </row>
    <row r="2411">
      <c r="A2411" s="24">
        <f>IF($D2411="","",COUNTA($D$4:$D2411))</f>
        <v/>
      </c>
      <c r="B2411" s="17" t="n"/>
      <c r="C2411" s="30" t="n"/>
      <c r="D2411" s="17" t="n"/>
      <c r="E2411" s="24">
        <f>IF($D2411="","",IFERROR(VLOOKUP($D2411,物料档案!$A$4:$P$1203,3,0),"※编码不在物料档案里"))</f>
        <v/>
      </c>
      <c r="F2411" s="24">
        <f>IF($D2411="","",IFERROR(VLOOKUP($D2411,物料档案!$A$4:$P$1203,4,0),"※编码不在物料档案里"))</f>
        <v/>
      </c>
      <c r="G2411" s="24">
        <f>IF($D2411="","",IFERROR(VLOOKUP($D2411,物料档案!$A$4:$P$1203,5,0),"※编码不在物料档案里"))</f>
        <v/>
      </c>
      <c r="H2411" s="24">
        <f>IF($D2411="","",IFERROR(VLOOKUP($D2411,物料档案!$A$4:$P$1203,2,0),"※编码不在物料档案里"))</f>
        <v/>
      </c>
      <c r="I2411" s="24">
        <f>IF($D2411="","",IFERROR(VLOOKUP($D2411,物料档案!$A$4:$P$1203,6,0),"※编码不在物料档案里"))</f>
        <v/>
      </c>
      <c r="J2411" s="23" t="n"/>
      <c r="K2411" s="17" t="n"/>
      <c r="L2411" s="17" t="n"/>
      <c r="M2411" s="17" t="n"/>
      <c r="N2411" s="17" t="n"/>
      <c r="O2411" s="26">
        <f>IF($D2411="","",IFERROR(VLOOKUP($D2411,物料档案!$A$4:$P$1203,10,0),0))</f>
        <v/>
      </c>
      <c r="P2411" s="32" t="n"/>
      <c r="Q2411" s="26">
        <f>IF($D2411="","",IF($K2411&lt;&gt;"对外销售",0,ROUND(N($J2411)*IF($P2411="",N($O2411),N($P2411)),0)))</f>
        <v/>
      </c>
      <c r="R2411" s="26">
        <f>IF($D2411="","",IFERROR(VLOOKUP($D2411,库存台账!$A$5:$Y$1204,11,0),0))</f>
        <v/>
      </c>
      <c r="S2411" s="26">
        <f>IF($D2411="","",ROUND(N($J2411)*N($R2411),0))</f>
        <v/>
      </c>
      <c r="T2411" s="26">
        <f>IF($D2411="","",IF($K2411&lt;&gt;"对外销售","",ROUND($Q2411-$S2411,0)))</f>
        <v/>
      </c>
      <c r="U2411" s="17" t="n"/>
      <c r="V2411" s="17" t="n"/>
      <c r="W2411" s="24">
        <f>IF($D2411="","",IF($E2411="※编码不在物料档案里","※物料编码不在档案里",IF(N($J2411)&lt;=0,"※出库数量要大于 0",IF($K2411="","※没填去向类型",IF($L2411="","※没填去向矿区",IF(AND($C2411&lt;&gt;"",$C2411&lt;=结账锁),"※日期早于已结账截止日，不能再录",IF(AND($K2411="自用消耗",COUNTIF({"一矿区";"二矿区"},$L2411)=0),"※自用消耗的去向只能是一矿区或二矿区",IF(AND($K2411="对外销售",COUNTIF({"三矿区";"六矿区"},$L2411)=0),"※对外销售的去向只能是三矿区或六矿区",IF(AND($K2411="对外销售",ROUND($Q2411,0)=0),"※外销却没有售价，请填实际售价",IF(AND($K2411="对外销售",$T2411&lt;&gt;"",$T2411&lt;0),"※这一笔外销是亏的，请核对售价",IF(IFERROR(VLOOKUP($D2411,库存台账!$A$5:$Y$1204,24,0),0)&lt;-0.001,"※这个物料账面已经变成负数了，查一下是不是漏记入库","")))))))))))</f>
        <v/>
      </c>
    </row>
    <row r="2412">
      <c r="A2412" s="24">
        <f>IF($D2412="","",COUNTA($D$4:$D2412))</f>
        <v/>
      </c>
      <c r="B2412" s="17" t="n"/>
      <c r="C2412" s="30" t="n"/>
      <c r="D2412" s="17" t="n"/>
      <c r="E2412" s="24">
        <f>IF($D2412="","",IFERROR(VLOOKUP($D2412,物料档案!$A$4:$P$1203,3,0),"※编码不在物料档案里"))</f>
        <v/>
      </c>
      <c r="F2412" s="24">
        <f>IF($D2412="","",IFERROR(VLOOKUP($D2412,物料档案!$A$4:$P$1203,4,0),"※编码不在物料档案里"))</f>
        <v/>
      </c>
      <c r="G2412" s="24">
        <f>IF($D2412="","",IFERROR(VLOOKUP($D2412,物料档案!$A$4:$P$1203,5,0),"※编码不在物料档案里"))</f>
        <v/>
      </c>
      <c r="H2412" s="24">
        <f>IF($D2412="","",IFERROR(VLOOKUP($D2412,物料档案!$A$4:$P$1203,2,0),"※编码不在物料档案里"))</f>
        <v/>
      </c>
      <c r="I2412" s="24">
        <f>IF($D2412="","",IFERROR(VLOOKUP($D2412,物料档案!$A$4:$P$1203,6,0),"※编码不在物料档案里"))</f>
        <v/>
      </c>
      <c r="J2412" s="23" t="n"/>
      <c r="K2412" s="17" t="n"/>
      <c r="L2412" s="17" t="n"/>
      <c r="M2412" s="17" t="n"/>
      <c r="N2412" s="17" t="n"/>
      <c r="O2412" s="26">
        <f>IF($D2412="","",IFERROR(VLOOKUP($D2412,物料档案!$A$4:$P$1203,10,0),0))</f>
        <v/>
      </c>
      <c r="P2412" s="32" t="n"/>
      <c r="Q2412" s="26">
        <f>IF($D2412="","",IF($K2412&lt;&gt;"对外销售",0,ROUND(N($J2412)*IF($P2412="",N($O2412),N($P2412)),0)))</f>
        <v/>
      </c>
      <c r="R2412" s="26">
        <f>IF($D2412="","",IFERROR(VLOOKUP($D2412,库存台账!$A$5:$Y$1204,11,0),0))</f>
        <v/>
      </c>
      <c r="S2412" s="26">
        <f>IF($D2412="","",ROUND(N($J2412)*N($R2412),0))</f>
        <v/>
      </c>
      <c r="T2412" s="26">
        <f>IF($D2412="","",IF($K2412&lt;&gt;"对外销售","",ROUND($Q2412-$S2412,0)))</f>
        <v/>
      </c>
      <c r="U2412" s="17" t="n"/>
      <c r="V2412" s="17" t="n"/>
      <c r="W2412" s="24">
        <f>IF($D2412="","",IF($E2412="※编码不在物料档案里","※物料编码不在档案里",IF(N($J2412)&lt;=0,"※出库数量要大于 0",IF($K2412="","※没填去向类型",IF($L2412="","※没填去向矿区",IF(AND($C2412&lt;&gt;"",$C2412&lt;=结账锁),"※日期早于已结账截止日，不能再录",IF(AND($K2412="自用消耗",COUNTIF({"一矿区";"二矿区"},$L2412)=0),"※自用消耗的去向只能是一矿区或二矿区",IF(AND($K2412="对外销售",COUNTIF({"三矿区";"六矿区"},$L2412)=0),"※对外销售的去向只能是三矿区或六矿区",IF(AND($K2412="对外销售",ROUND($Q2412,0)=0),"※外销却没有售价，请填实际售价",IF(AND($K2412="对外销售",$T2412&lt;&gt;"",$T2412&lt;0),"※这一笔外销是亏的，请核对售价",IF(IFERROR(VLOOKUP($D2412,库存台账!$A$5:$Y$1204,24,0),0)&lt;-0.001,"※这个物料账面已经变成负数了，查一下是不是漏记入库","")))))))))))</f>
        <v/>
      </c>
    </row>
    <row r="2413">
      <c r="A2413" s="24">
        <f>IF($D2413="","",COUNTA($D$4:$D2413))</f>
        <v/>
      </c>
      <c r="B2413" s="17" t="n"/>
      <c r="C2413" s="30" t="n"/>
      <c r="D2413" s="17" t="n"/>
      <c r="E2413" s="24">
        <f>IF($D2413="","",IFERROR(VLOOKUP($D2413,物料档案!$A$4:$P$1203,3,0),"※编码不在物料档案里"))</f>
        <v/>
      </c>
      <c r="F2413" s="24">
        <f>IF($D2413="","",IFERROR(VLOOKUP($D2413,物料档案!$A$4:$P$1203,4,0),"※编码不在物料档案里"))</f>
        <v/>
      </c>
      <c r="G2413" s="24">
        <f>IF($D2413="","",IFERROR(VLOOKUP($D2413,物料档案!$A$4:$P$1203,5,0),"※编码不在物料档案里"))</f>
        <v/>
      </c>
      <c r="H2413" s="24">
        <f>IF($D2413="","",IFERROR(VLOOKUP($D2413,物料档案!$A$4:$P$1203,2,0),"※编码不在物料档案里"))</f>
        <v/>
      </c>
      <c r="I2413" s="24">
        <f>IF($D2413="","",IFERROR(VLOOKUP($D2413,物料档案!$A$4:$P$1203,6,0),"※编码不在物料档案里"))</f>
        <v/>
      </c>
      <c r="J2413" s="23" t="n"/>
      <c r="K2413" s="17" t="n"/>
      <c r="L2413" s="17" t="n"/>
      <c r="M2413" s="17" t="n"/>
      <c r="N2413" s="17" t="n"/>
      <c r="O2413" s="26">
        <f>IF($D2413="","",IFERROR(VLOOKUP($D2413,物料档案!$A$4:$P$1203,10,0),0))</f>
        <v/>
      </c>
      <c r="P2413" s="32" t="n"/>
      <c r="Q2413" s="26">
        <f>IF($D2413="","",IF($K2413&lt;&gt;"对外销售",0,ROUND(N($J2413)*IF($P2413="",N($O2413),N($P2413)),0)))</f>
        <v/>
      </c>
      <c r="R2413" s="26">
        <f>IF($D2413="","",IFERROR(VLOOKUP($D2413,库存台账!$A$5:$Y$1204,11,0),0))</f>
        <v/>
      </c>
      <c r="S2413" s="26">
        <f>IF($D2413="","",ROUND(N($J2413)*N($R2413),0))</f>
        <v/>
      </c>
      <c r="T2413" s="26">
        <f>IF($D2413="","",IF($K2413&lt;&gt;"对外销售","",ROUND($Q2413-$S2413,0)))</f>
        <v/>
      </c>
      <c r="U2413" s="17" t="n"/>
      <c r="V2413" s="17" t="n"/>
      <c r="W2413" s="24">
        <f>IF($D2413="","",IF($E2413="※编码不在物料档案里","※物料编码不在档案里",IF(N($J2413)&lt;=0,"※出库数量要大于 0",IF($K2413="","※没填去向类型",IF($L2413="","※没填去向矿区",IF(AND($C2413&lt;&gt;"",$C2413&lt;=结账锁),"※日期早于已结账截止日，不能再录",IF(AND($K2413="自用消耗",COUNTIF({"一矿区";"二矿区"},$L2413)=0),"※自用消耗的去向只能是一矿区或二矿区",IF(AND($K2413="对外销售",COUNTIF({"三矿区";"六矿区"},$L2413)=0),"※对外销售的去向只能是三矿区或六矿区",IF(AND($K2413="对外销售",ROUND($Q2413,0)=0),"※外销却没有售价，请填实际售价",IF(AND($K2413="对外销售",$T2413&lt;&gt;"",$T2413&lt;0),"※这一笔外销是亏的，请核对售价",IF(IFERROR(VLOOKUP($D2413,库存台账!$A$5:$Y$1204,24,0),0)&lt;-0.001,"※这个物料账面已经变成负数了，查一下是不是漏记入库","")))))))))))</f>
        <v/>
      </c>
    </row>
    <row r="2414">
      <c r="A2414" s="24">
        <f>IF($D2414="","",COUNTA($D$4:$D2414))</f>
        <v/>
      </c>
      <c r="B2414" s="17" t="n"/>
      <c r="C2414" s="30" t="n"/>
      <c r="D2414" s="17" t="n"/>
      <c r="E2414" s="24">
        <f>IF($D2414="","",IFERROR(VLOOKUP($D2414,物料档案!$A$4:$P$1203,3,0),"※编码不在物料档案里"))</f>
        <v/>
      </c>
      <c r="F2414" s="24">
        <f>IF($D2414="","",IFERROR(VLOOKUP($D2414,物料档案!$A$4:$P$1203,4,0),"※编码不在物料档案里"))</f>
        <v/>
      </c>
      <c r="G2414" s="24">
        <f>IF($D2414="","",IFERROR(VLOOKUP($D2414,物料档案!$A$4:$P$1203,5,0),"※编码不在物料档案里"))</f>
        <v/>
      </c>
      <c r="H2414" s="24">
        <f>IF($D2414="","",IFERROR(VLOOKUP($D2414,物料档案!$A$4:$P$1203,2,0),"※编码不在物料档案里"))</f>
        <v/>
      </c>
      <c r="I2414" s="24">
        <f>IF($D2414="","",IFERROR(VLOOKUP($D2414,物料档案!$A$4:$P$1203,6,0),"※编码不在物料档案里"))</f>
        <v/>
      </c>
      <c r="J2414" s="23" t="n"/>
      <c r="K2414" s="17" t="n"/>
      <c r="L2414" s="17" t="n"/>
      <c r="M2414" s="17" t="n"/>
      <c r="N2414" s="17" t="n"/>
      <c r="O2414" s="26">
        <f>IF($D2414="","",IFERROR(VLOOKUP($D2414,物料档案!$A$4:$P$1203,10,0),0))</f>
        <v/>
      </c>
      <c r="P2414" s="32" t="n"/>
      <c r="Q2414" s="26">
        <f>IF($D2414="","",IF($K2414&lt;&gt;"对外销售",0,ROUND(N($J2414)*IF($P2414="",N($O2414),N($P2414)),0)))</f>
        <v/>
      </c>
      <c r="R2414" s="26">
        <f>IF($D2414="","",IFERROR(VLOOKUP($D2414,库存台账!$A$5:$Y$1204,11,0),0))</f>
        <v/>
      </c>
      <c r="S2414" s="26">
        <f>IF($D2414="","",ROUND(N($J2414)*N($R2414),0))</f>
        <v/>
      </c>
      <c r="T2414" s="26">
        <f>IF($D2414="","",IF($K2414&lt;&gt;"对外销售","",ROUND($Q2414-$S2414,0)))</f>
        <v/>
      </c>
      <c r="U2414" s="17" t="n"/>
      <c r="V2414" s="17" t="n"/>
      <c r="W2414" s="24">
        <f>IF($D2414="","",IF($E2414="※编码不在物料档案里","※物料编码不在档案里",IF(N($J2414)&lt;=0,"※出库数量要大于 0",IF($K2414="","※没填去向类型",IF($L2414="","※没填去向矿区",IF(AND($C2414&lt;&gt;"",$C2414&lt;=结账锁),"※日期早于已结账截止日，不能再录",IF(AND($K2414="自用消耗",COUNTIF({"一矿区";"二矿区"},$L2414)=0),"※自用消耗的去向只能是一矿区或二矿区",IF(AND($K2414="对外销售",COUNTIF({"三矿区";"六矿区"},$L2414)=0),"※对外销售的去向只能是三矿区或六矿区",IF(AND($K2414="对外销售",ROUND($Q2414,0)=0),"※外销却没有售价，请填实际售价",IF(AND($K2414="对外销售",$T2414&lt;&gt;"",$T2414&lt;0),"※这一笔外销是亏的，请核对售价",IF(IFERROR(VLOOKUP($D2414,库存台账!$A$5:$Y$1204,24,0),0)&lt;-0.001,"※这个物料账面已经变成负数了，查一下是不是漏记入库","")))))))))))</f>
        <v/>
      </c>
    </row>
    <row r="2415">
      <c r="A2415" s="24">
        <f>IF($D2415="","",COUNTA($D$4:$D2415))</f>
        <v/>
      </c>
      <c r="B2415" s="17" t="n"/>
      <c r="C2415" s="30" t="n"/>
      <c r="D2415" s="17" t="n"/>
      <c r="E2415" s="24">
        <f>IF($D2415="","",IFERROR(VLOOKUP($D2415,物料档案!$A$4:$P$1203,3,0),"※编码不在物料档案里"))</f>
        <v/>
      </c>
      <c r="F2415" s="24">
        <f>IF($D2415="","",IFERROR(VLOOKUP($D2415,物料档案!$A$4:$P$1203,4,0),"※编码不在物料档案里"))</f>
        <v/>
      </c>
      <c r="G2415" s="24">
        <f>IF($D2415="","",IFERROR(VLOOKUP($D2415,物料档案!$A$4:$P$1203,5,0),"※编码不在物料档案里"))</f>
        <v/>
      </c>
      <c r="H2415" s="24">
        <f>IF($D2415="","",IFERROR(VLOOKUP($D2415,物料档案!$A$4:$P$1203,2,0),"※编码不在物料档案里"))</f>
        <v/>
      </c>
      <c r="I2415" s="24">
        <f>IF($D2415="","",IFERROR(VLOOKUP($D2415,物料档案!$A$4:$P$1203,6,0),"※编码不在物料档案里"))</f>
        <v/>
      </c>
      <c r="J2415" s="23" t="n"/>
      <c r="K2415" s="17" t="n"/>
      <c r="L2415" s="17" t="n"/>
      <c r="M2415" s="17" t="n"/>
      <c r="N2415" s="17" t="n"/>
      <c r="O2415" s="26">
        <f>IF($D2415="","",IFERROR(VLOOKUP($D2415,物料档案!$A$4:$P$1203,10,0),0))</f>
        <v/>
      </c>
      <c r="P2415" s="32" t="n"/>
      <c r="Q2415" s="26">
        <f>IF($D2415="","",IF($K2415&lt;&gt;"对外销售",0,ROUND(N($J2415)*IF($P2415="",N($O2415),N($P2415)),0)))</f>
        <v/>
      </c>
      <c r="R2415" s="26">
        <f>IF($D2415="","",IFERROR(VLOOKUP($D2415,库存台账!$A$5:$Y$1204,11,0),0))</f>
        <v/>
      </c>
      <c r="S2415" s="26">
        <f>IF($D2415="","",ROUND(N($J2415)*N($R2415),0))</f>
        <v/>
      </c>
      <c r="T2415" s="26">
        <f>IF($D2415="","",IF($K2415&lt;&gt;"对外销售","",ROUND($Q2415-$S2415,0)))</f>
        <v/>
      </c>
      <c r="U2415" s="17" t="n"/>
      <c r="V2415" s="17" t="n"/>
      <c r="W2415" s="24">
        <f>IF($D2415="","",IF($E2415="※编码不在物料档案里","※物料编码不在档案里",IF(N($J2415)&lt;=0,"※出库数量要大于 0",IF($K2415="","※没填去向类型",IF($L2415="","※没填去向矿区",IF(AND($C2415&lt;&gt;"",$C2415&lt;=结账锁),"※日期早于已结账截止日，不能再录",IF(AND($K2415="自用消耗",COUNTIF({"一矿区";"二矿区"},$L2415)=0),"※自用消耗的去向只能是一矿区或二矿区",IF(AND($K2415="对外销售",COUNTIF({"三矿区";"六矿区"},$L2415)=0),"※对外销售的去向只能是三矿区或六矿区",IF(AND($K2415="对外销售",ROUND($Q2415,0)=0),"※外销却没有售价，请填实际售价",IF(AND($K2415="对外销售",$T2415&lt;&gt;"",$T2415&lt;0),"※这一笔外销是亏的，请核对售价",IF(IFERROR(VLOOKUP($D2415,库存台账!$A$5:$Y$1204,24,0),0)&lt;-0.001,"※这个物料账面已经变成负数了，查一下是不是漏记入库","")))))))))))</f>
        <v/>
      </c>
    </row>
    <row r="2416">
      <c r="A2416" s="24">
        <f>IF($D2416="","",COUNTA($D$4:$D2416))</f>
        <v/>
      </c>
      <c r="B2416" s="17" t="n"/>
      <c r="C2416" s="30" t="n"/>
      <c r="D2416" s="17" t="n"/>
      <c r="E2416" s="24">
        <f>IF($D2416="","",IFERROR(VLOOKUP($D2416,物料档案!$A$4:$P$1203,3,0),"※编码不在物料档案里"))</f>
        <v/>
      </c>
      <c r="F2416" s="24">
        <f>IF($D2416="","",IFERROR(VLOOKUP($D2416,物料档案!$A$4:$P$1203,4,0),"※编码不在物料档案里"))</f>
        <v/>
      </c>
      <c r="G2416" s="24">
        <f>IF($D2416="","",IFERROR(VLOOKUP($D2416,物料档案!$A$4:$P$1203,5,0),"※编码不在物料档案里"))</f>
        <v/>
      </c>
      <c r="H2416" s="24">
        <f>IF($D2416="","",IFERROR(VLOOKUP($D2416,物料档案!$A$4:$P$1203,2,0),"※编码不在物料档案里"))</f>
        <v/>
      </c>
      <c r="I2416" s="24">
        <f>IF($D2416="","",IFERROR(VLOOKUP($D2416,物料档案!$A$4:$P$1203,6,0),"※编码不在物料档案里"))</f>
        <v/>
      </c>
      <c r="J2416" s="23" t="n"/>
      <c r="K2416" s="17" t="n"/>
      <c r="L2416" s="17" t="n"/>
      <c r="M2416" s="17" t="n"/>
      <c r="N2416" s="17" t="n"/>
      <c r="O2416" s="26">
        <f>IF($D2416="","",IFERROR(VLOOKUP($D2416,物料档案!$A$4:$P$1203,10,0),0))</f>
        <v/>
      </c>
      <c r="P2416" s="32" t="n"/>
      <c r="Q2416" s="26">
        <f>IF($D2416="","",IF($K2416&lt;&gt;"对外销售",0,ROUND(N($J2416)*IF($P2416="",N($O2416),N($P2416)),0)))</f>
        <v/>
      </c>
      <c r="R2416" s="26">
        <f>IF($D2416="","",IFERROR(VLOOKUP($D2416,库存台账!$A$5:$Y$1204,11,0),0))</f>
        <v/>
      </c>
      <c r="S2416" s="26">
        <f>IF($D2416="","",ROUND(N($J2416)*N($R2416),0))</f>
        <v/>
      </c>
      <c r="T2416" s="26">
        <f>IF($D2416="","",IF($K2416&lt;&gt;"对外销售","",ROUND($Q2416-$S2416,0)))</f>
        <v/>
      </c>
      <c r="U2416" s="17" t="n"/>
      <c r="V2416" s="17" t="n"/>
      <c r="W2416" s="24">
        <f>IF($D2416="","",IF($E2416="※编码不在物料档案里","※物料编码不在档案里",IF(N($J2416)&lt;=0,"※出库数量要大于 0",IF($K2416="","※没填去向类型",IF($L2416="","※没填去向矿区",IF(AND($C2416&lt;&gt;"",$C2416&lt;=结账锁),"※日期早于已结账截止日，不能再录",IF(AND($K2416="自用消耗",COUNTIF({"一矿区";"二矿区"},$L2416)=0),"※自用消耗的去向只能是一矿区或二矿区",IF(AND($K2416="对外销售",COUNTIF({"三矿区";"六矿区"},$L2416)=0),"※对外销售的去向只能是三矿区或六矿区",IF(AND($K2416="对外销售",ROUND($Q2416,0)=0),"※外销却没有售价，请填实际售价",IF(AND($K2416="对外销售",$T2416&lt;&gt;"",$T2416&lt;0),"※这一笔外销是亏的，请核对售价",IF(IFERROR(VLOOKUP($D2416,库存台账!$A$5:$Y$1204,24,0),0)&lt;-0.001,"※这个物料账面已经变成负数了，查一下是不是漏记入库","")))))))))))</f>
        <v/>
      </c>
    </row>
    <row r="2417">
      <c r="A2417" s="24">
        <f>IF($D2417="","",COUNTA($D$4:$D2417))</f>
        <v/>
      </c>
      <c r="B2417" s="17" t="n"/>
      <c r="C2417" s="30" t="n"/>
      <c r="D2417" s="17" t="n"/>
      <c r="E2417" s="24">
        <f>IF($D2417="","",IFERROR(VLOOKUP($D2417,物料档案!$A$4:$P$1203,3,0),"※编码不在物料档案里"))</f>
        <v/>
      </c>
      <c r="F2417" s="24">
        <f>IF($D2417="","",IFERROR(VLOOKUP($D2417,物料档案!$A$4:$P$1203,4,0),"※编码不在物料档案里"))</f>
        <v/>
      </c>
      <c r="G2417" s="24">
        <f>IF($D2417="","",IFERROR(VLOOKUP($D2417,物料档案!$A$4:$P$1203,5,0),"※编码不在物料档案里"))</f>
        <v/>
      </c>
      <c r="H2417" s="24">
        <f>IF($D2417="","",IFERROR(VLOOKUP($D2417,物料档案!$A$4:$P$1203,2,0),"※编码不在物料档案里"))</f>
        <v/>
      </c>
      <c r="I2417" s="24">
        <f>IF($D2417="","",IFERROR(VLOOKUP($D2417,物料档案!$A$4:$P$1203,6,0),"※编码不在物料档案里"))</f>
        <v/>
      </c>
      <c r="J2417" s="23" t="n"/>
      <c r="K2417" s="17" t="n"/>
      <c r="L2417" s="17" t="n"/>
      <c r="M2417" s="17" t="n"/>
      <c r="N2417" s="17" t="n"/>
      <c r="O2417" s="26">
        <f>IF($D2417="","",IFERROR(VLOOKUP($D2417,物料档案!$A$4:$P$1203,10,0),0))</f>
        <v/>
      </c>
      <c r="P2417" s="32" t="n"/>
      <c r="Q2417" s="26">
        <f>IF($D2417="","",IF($K2417&lt;&gt;"对外销售",0,ROUND(N($J2417)*IF($P2417="",N($O2417),N($P2417)),0)))</f>
        <v/>
      </c>
      <c r="R2417" s="26">
        <f>IF($D2417="","",IFERROR(VLOOKUP($D2417,库存台账!$A$5:$Y$1204,11,0),0))</f>
        <v/>
      </c>
      <c r="S2417" s="26">
        <f>IF($D2417="","",ROUND(N($J2417)*N($R2417),0))</f>
        <v/>
      </c>
      <c r="T2417" s="26">
        <f>IF($D2417="","",IF($K2417&lt;&gt;"对外销售","",ROUND($Q2417-$S2417,0)))</f>
        <v/>
      </c>
      <c r="U2417" s="17" t="n"/>
      <c r="V2417" s="17" t="n"/>
      <c r="W2417" s="24">
        <f>IF($D2417="","",IF($E2417="※编码不在物料档案里","※物料编码不在档案里",IF(N($J2417)&lt;=0,"※出库数量要大于 0",IF($K2417="","※没填去向类型",IF($L2417="","※没填去向矿区",IF(AND($C2417&lt;&gt;"",$C2417&lt;=结账锁),"※日期早于已结账截止日，不能再录",IF(AND($K2417="自用消耗",COUNTIF({"一矿区";"二矿区"},$L2417)=0),"※自用消耗的去向只能是一矿区或二矿区",IF(AND($K2417="对外销售",COUNTIF({"三矿区";"六矿区"},$L2417)=0),"※对外销售的去向只能是三矿区或六矿区",IF(AND($K2417="对外销售",ROUND($Q2417,0)=0),"※外销却没有售价，请填实际售价",IF(AND($K2417="对外销售",$T2417&lt;&gt;"",$T2417&lt;0),"※这一笔外销是亏的，请核对售价",IF(IFERROR(VLOOKUP($D2417,库存台账!$A$5:$Y$1204,24,0),0)&lt;-0.001,"※这个物料账面已经变成负数了，查一下是不是漏记入库","")))))))))))</f>
        <v/>
      </c>
    </row>
    <row r="2418">
      <c r="A2418" s="24">
        <f>IF($D2418="","",COUNTA($D$4:$D2418))</f>
        <v/>
      </c>
      <c r="B2418" s="17" t="n"/>
      <c r="C2418" s="30" t="n"/>
      <c r="D2418" s="17" t="n"/>
      <c r="E2418" s="24">
        <f>IF($D2418="","",IFERROR(VLOOKUP($D2418,物料档案!$A$4:$P$1203,3,0),"※编码不在物料档案里"))</f>
        <v/>
      </c>
      <c r="F2418" s="24">
        <f>IF($D2418="","",IFERROR(VLOOKUP($D2418,物料档案!$A$4:$P$1203,4,0),"※编码不在物料档案里"))</f>
        <v/>
      </c>
      <c r="G2418" s="24">
        <f>IF($D2418="","",IFERROR(VLOOKUP($D2418,物料档案!$A$4:$P$1203,5,0),"※编码不在物料档案里"))</f>
        <v/>
      </c>
      <c r="H2418" s="24">
        <f>IF($D2418="","",IFERROR(VLOOKUP($D2418,物料档案!$A$4:$P$1203,2,0),"※编码不在物料档案里"))</f>
        <v/>
      </c>
      <c r="I2418" s="24">
        <f>IF($D2418="","",IFERROR(VLOOKUP($D2418,物料档案!$A$4:$P$1203,6,0),"※编码不在物料档案里"))</f>
        <v/>
      </c>
      <c r="J2418" s="23" t="n"/>
      <c r="K2418" s="17" t="n"/>
      <c r="L2418" s="17" t="n"/>
      <c r="M2418" s="17" t="n"/>
      <c r="N2418" s="17" t="n"/>
      <c r="O2418" s="26">
        <f>IF($D2418="","",IFERROR(VLOOKUP($D2418,物料档案!$A$4:$P$1203,10,0),0))</f>
        <v/>
      </c>
      <c r="P2418" s="32" t="n"/>
      <c r="Q2418" s="26">
        <f>IF($D2418="","",IF($K2418&lt;&gt;"对外销售",0,ROUND(N($J2418)*IF($P2418="",N($O2418),N($P2418)),0)))</f>
        <v/>
      </c>
      <c r="R2418" s="26">
        <f>IF($D2418="","",IFERROR(VLOOKUP($D2418,库存台账!$A$5:$Y$1204,11,0),0))</f>
        <v/>
      </c>
      <c r="S2418" s="26">
        <f>IF($D2418="","",ROUND(N($J2418)*N($R2418),0))</f>
        <v/>
      </c>
      <c r="T2418" s="26">
        <f>IF($D2418="","",IF($K2418&lt;&gt;"对外销售","",ROUND($Q2418-$S2418,0)))</f>
        <v/>
      </c>
      <c r="U2418" s="17" t="n"/>
      <c r="V2418" s="17" t="n"/>
      <c r="W2418" s="24">
        <f>IF($D2418="","",IF($E2418="※编码不在物料档案里","※物料编码不在档案里",IF(N($J2418)&lt;=0,"※出库数量要大于 0",IF($K2418="","※没填去向类型",IF($L2418="","※没填去向矿区",IF(AND($C2418&lt;&gt;"",$C2418&lt;=结账锁),"※日期早于已结账截止日，不能再录",IF(AND($K2418="自用消耗",COUNTIF({"一矿区";"二矿区"},$L2418)=0),"※自用消耗的去向只能是一矿区或二矿区",IF(AND($K2418="对外销售",COUNTIF({"三矿区";"六矿区"},$L2418)=0),"※对外销售的去向只能是三矿区或六矿区",IF(AND($K2418="对外销售",ROUND($Q2418,0)=0),"※外销却没有售价，请填实际售价",IF(AND($K2418="对外销售",$T2418&lt;&gt;"",$T2418&lt;0),"※这一笔外销是亏的，请核对售价",IF(IFERROR(VLOOKUP($D2418,库存台账!$A$5:$Y$1204,24,0),0)&lt;-0.001,"※这个物料账面已经变成负数了，查一下是不是漏记入库","")))))))))))</f>
        <v/>
      </c>
    </row>
    <row r="2419">
      <c r="A2419" s="24">
        <f>IF($D2419="","",COUNTA($D$4:$D2419))</f>
        <v/>
      </c>
      <c r="B2419" s="17" t="n"/>
      <c r="C2419" s="30" t="n"/>
      <c r="D2419" s="17" t="n"/>
      <c r="E2419" s="24">
        <f>IF($D2419="","",IFERROR(VLOOKUP($D2419,物料档案!$A$4:$P$1203,3,0),"※编码不在物料档案里"))</f>
        <v/>
      </c>
      <c r="F2419" s="24">
        <f>IF($D2419="","",IFERROR(VLOOKUP($D2419,物料档案!$A$4:$P$1203,4,0),"※编码不在物料档案里"))</f>
        <v/>
      </c>
      <c r="G2419" s="24">
        <f>IF($D2419="","",IFERROR(VLOOKUP($D2419,物料档案!$A$4:$P$1203,5,0),"※编码不在物料档案里"))</f>
        <v/>
      </c>
      <c r="H2419" s="24">
        <f>IF($D2419="","",IFERROR(VLOOKUP($D2419,物料档案!$A$4:$P$1203,2,0),"※编码不在物料档案里"))</f>
        <v/>
      </c>
      <c r="I2419" s="24">
        <f>IF($D2419="","",IFERROR(VLOOKUP($D2419,物料档案!$A$4:$P$1203,6,0),"※编码不在物料档案里"))</f>
        <v/>
      </c>
      <c r="J2419" s="23" t="n"/>
      <c r="K2419" s="17" t="n"/>
      <c r="L2419" s="17" t="n"/>
      <c r="M2419" s="17" t="n"/>
      <c r="N2419" s="17" t="n"/>
      <c r="O2419" s="26">
        <f>IF($D2419="","",IFERROR(VLOOKUP($D2419,物料档案!$A$4:$P$1203,10,0),0))</f>
        <v/>
      </c>
      <c r="P2419" s="32" t="n"/>
      <c r="Q2419" s="26">
        <f>IF($D2419="","",IF($K2419&lt;&gt;"对外销售",0,ROUND(N($J2419)*IF($P2419="",N($O2419),N($P2419)),0)))</f>
        <v/>
      </c>
      <c r="R2419" s="26">
        <f>IF($D2419="","",IFERROR(VLOOKUP($D2419,库存台账!$A$5:$Y$1204,11,0),0))</f>
        <v/>
      </c>
      <c r="S2419" s="26">
        <f>IF($D2419="","",ROUND(N($J2419)*N($R2419),0))</f>
        <v/>
      </c>
      <c r="T2419" s="26">
        <f>IF($D2419="","",IF($K2419&lt;&gt;"对外销售","",ROUND($Q2419-$S2419,0)))</f>
        <v/>
      </c>
      <c r="U2419" s="17" t="n"/>
      <c r="V2419" s="17" t="n"/>
      <c r="W2419" s="24">
        <f>IF($D2419="","",IF($E2419="※编码不在物料档案里","※物料编码不在档案里",IF(N($J2419)&lt;=0,"※出库数量要大于 0",IF($K2419="","※没填去向类型",IF($L2419="","※没填去向矿区",IF(AND($C2419&lt;&gt;"",$C2419&lt;=结账锁),"※日期早于已结账截止日，不能再录",IF(AND($K2419="自用消耗",COUNTIF({"一矿区";"二矿区"},$L2419)=0),"※自用消耗的去向只能是一矿区或二矿区",IF(AND($K2419="对外销售",COUNTIF({"三矿区";"六矿区"},$L2419)=0),"※对外销售的去向只能是三矿区或六矿区",IF(AND($K2419="对外销售",ROUND($Q2419,0)=0),"※外销却没有售价，请填实际售价",IF(AND($K2419="对外销售",$T2419&lt;&gt;"",$T2419&lt;0),"※这一笔外销是亏的，请核对售价",IF(IFERROR(VLOOKUP($D2419,库存台账!$A$5:$Y$1204,24,0),0)&lt;-0.001,"※这个物料账面已经变成负数了，查一下是不是漏记入库","")))))))))))</f>
        <v/>
      </c>
    </row>
    <row r="2420">
      <c r="A2420" s="24">
        <f>IF($D2420="","",COUNTA($D$4:$D2420))</f>
        <v/>
      </c>
      <c r="B2420" s="17" t="n"/>
      <c r="C2420" s="30" t="n"/>
      <c r="D2420" s="17" t="n"/>
      <c r="E2420" s="24">
        <f>IF($D2420="","",IFERROR(VLOOKUP($D2420,物料档案!$A$4:$P$1203,3,0),"※编码不在物料档案里"))</f>
        <v/>
      </c>
      <c r="F2420" s="24">
        <f>IF($D2420="","",IFERROR(VLOOKUP($D2420,物料档案!$A$4:$P$1203,4,0),"※编码不在物料档案里"))</f>
        <v/>
      </c>
      <c r="G2420" s="24">
        <f>IF($D2420="","",IFERROR(VLOOKUP($D2420,物料档案!$A$4:$P$1203,5,0),"※编码不在物料档案里"))</f>
        <v/>
      </c>
      <c r="H2420" s="24">
        <f>IF($D2420="","",IFERROR(VLOOKUP($D2420,物料档案!$A$4:$P$1203,2,0),"※编码不在物料档案里"))</f>
        <v/>
      </c>
      <c r="I2420" s="24">
        <f>IF($D2420="","",IFERROR(VLOOKUP($D2420,物料档案!$A$4:$P$1203,6,0),"※编码不在物料档案里"))</f>
        <v/>
      </c>
      <c r="J2420" s="23" t="n"/>
      <c r="K2420" s="17" t="n"/>
      <c r="L2420" s="17" t="n"/>
      <c r="M2420" s="17" t="n"/>
      <c r="N2420" s="17" t="n"/>
      <c r="O2420" s="26">
        <f>IF($D2420="","",IFERROR(VLOOKUP($D2420,物料档案!$A$4:$P$1203,10,0),0))</f>
        <v/>
      </c>
      <c r="P2420" s="32" t="n"/>
      <c r="Q2420" s="26">
        <f>IF($D2420="","",IF($K2420&lt;&gt;"对外销售",0,ROUND(N($J2420)*IF($P2420="",N($O2420),N($P2420)),0)))</f>
        <v/>
      </c>
      <c r="R2420" s="26">
        <f>IF($D2420="","",IFERROR(VLOOKUP($D2420,库存台账!$A$5:$Y$1204,11,0),0))</f>
        <v/>
      </c>
      <c r="S2420" s="26">
        <f>IF($D2420="","",ROUND(N($J2420)*N($R2420),0))</f>
        <v/>
      </c>
      <c r="T2420" s="26">
        <f>IF($D2420="","",IF($K2420&lt;&gt;"对外销售","",ROUND($Q2420-$S2420,0)))</f>
        <v/>
      </c>
      <c r="U2420" s="17" t="n"/>
      <c r="V2420" s="17" t="n"/>
      <c r="W2420" s="24">
        <f>IF($D2420="","",IF($E2420="※编码不在物料档案里","※物料编码不在档案里",IF(N($J2420)&lt;=0,"※出库数量要大于 0",IF($K2420="","※没填去向类型",IF($L2420="","※没填去向矿区",IF(AND($C2420&lt;&gt;"",$C2420&lt;=结账锁),"※日期早于已结账截止日，不能再录",IF(AND($K2420="自用消耗",COUNTIF({"一矿区";"二矿区"},$L2420)=0),"※自用消耗的去向只能是一矿区或二矿区",IF(AND($K2420="对外销售",COUNTIF({"三矿区";"六矿区"},$L2420)=0),"※对外销售的去向只能是三矿区或六矿区",IF(AND($K2420="对外销售",ROUND($Q2420,0)=0),"※外销却没有售价，请填实际售价",IF(AND($K2420="对外销售",$T2420&lt;&gt;"",$T2420&lt;0),"※这一笔外销是亏的，请核对售价",IF(IFERROR(VLOOKUP($D2420,库存台账!$A$5:$Y$1204,24,0),0)&lt;-0.001,"※这个物料账面已经变成负数了，查一下是不是漏记入库","")))))))))))</f>
        <v/>
      </c>
    </row>
    <row r="2421">
      <c r="A2421" s="24">
        <f>IF($D2421="","",COUNTA($D$4:$D2421))</f>
        <v/>
      </c>
      <c r="B2421" s="17" t="n"/>
      <c r="C2421" s="30" t="n"/>
      <c r="D2421" s="17" t="n"/>
      <c r="E2421" s="24">
        <f>IF($D2421="","",IFERROR(VLOOKUP($D2421,物料档案!$A$4:$P$1203,3,0),"※编码不在物料档案里"))</f>
        <v/>
      </c>
      <c r="F2421" s="24">
        <f>IF($D2421="","",IFERROR(VLOOKUP($D2421,物料档案!$A$4:$P$1203,4,0),"※编码不在物料档案里"))</f>
        <v/>
      </c>
      <c r="G2421" s="24">
        <f>IF($D2421="","",IFERROR(VLOOKUP($D2421,物料档案!$A$4:$P$1203,5,0),"※编码不在物料档案里"))</f>
        <v/>
      </c>
      <c r="H2421" s="24">
        <f>IF($D2421="","",IFERROR(VLOOKUP($D2421,物料档案!$A$4:$P$1203,2,0),"※编码不在物料档案里"))</f>
        <v/>
      </c>
      <c r="I2421" s="24">
        <f>IF($D2421="","",IFERROR(VLOOKUP($D2421,物料档案!$A$4:$P$1203,6,0),"※编码不在物料档案里"))</f>
        <v/>
      </c>
      <c r="J2421" s="23" t="n"/>
      <c r="K2421" s="17" t="n"/>
      <c r="L2421" s="17" t="n"/>
      <c r="M2421" s="17" t="n"/>
      <c r="N2421" s="17" t="n"/>
      <c r="O2421" s="26">
        <f>IF($D2421="","",IFERROR(VLOOKUP($D2421,物料档案!$A$4:$P$1203,10,0),0))</f>
        <v/>
      </c>
      <c r="P2421" s="32" t="n"/>
      <c r="Q2421" s="26">
        <f>IF($D2421="","",IF($K2421&lt;&gt;"对外销售",0,ROUND(N($J2421)*IF($P2421="",N($O2421),N($P2421)),0)))</f>
        <v/>
      </c>
      <c r="R2421" s="26">
        <f>IF($D2421="","",IFERROR(VLOOKUP($D2421,库存台账!$A$5:$Y$1204,11,0),0))</f>
        <v/>
      </c>
      <c r="S2421" s="26">
        <f>IF($D2421="","",ROUND(N($J2421)*N($R2421),0))</f>
        <v/>
      </c>
      <c r="T2421" s="26">
        <f>IF($D2421="","",IF($K2421&lt;&gt;"对外销售","",ROUND($Q2421-$S2421,0)))</f>
        <v/>
      </c>
      <c r="U2421" s="17" t="n"/>
      <c r="V2421" s="17" t="n"/>
      <c r="W2421" s="24">
        <f>IF($D2421="","",IF($E2421="※编码不在物料档案里","※物料编码不在档案里",IF(N($J2421)&lt;=0,"※出库数量要大于 0",IF($K2421="","※没填去向类型",IF($L2421="","※没填去向矿区",IF(AND($C2421&lt;&gt;"",$C2421&lt;=结账锁),"※日期早于已结账截止日，不能再录",IF(AND($K2421="自用消耗",COUNTIF({"一矿区";"二矿区"},$L2421)=0),"※自用消耗的去向只能是一矿区或二矿区",IF(AND($K2421="对外销售",COUNTIF({"三矿区";"六矿区"},$L2421)=0),"※对外销售的去向只能是三矿区或六矿区",IF(AND($K2421="对外销售",ROUND($Q2421,0)=0),"※外销却没有售价，请填实际售价",IF(AND($K2421="对外销售",$T2421&lt;&gt;"",$T2421&lt;0),"※这一笔外销是亏的，请核对售价",IF(IFERROR(VLOOKUP($D2421,库存台账!$A$5:$Y$1204,24,0),0)&lt;-0.001,"※这个物料账面已经变成负数了，查一下是不是漏记入库","")))))))))))</f>
        <v/>
      </c>
    </row>
    <row r="2422">
      <c r="A2422" s="24">
        <f>IF($D2422="","",COUNTA($D$4:$D2422))</f>
        <v/>
      </c>
      <c r="B2422" s="17" t="n"/>
      <c r="C2422" s="30" t="n"/>
      <c r="D2422" s="17" t="n"/>
      <c r="E2422" s="24">
        <f>IF($D2422="","",IFERROR(VLOOKUP($D2422,物料档案!$A$4:$P$1203,3,0),"※编码不在物料档案里"))</f>
        <v/>
      </c>
      <c r="F2422" s="24">
        <f>IF($D2422="","",IFERROR(VLOOKUP($D2422,物料档案!$A$4:$P$1203,4,0),"※编码不在物料档案里"))</f>
        <v/>
      </c>
      <c r="G2422" s="24">
        <f>IF($D2422="","",IFERROR(VLOOKUP($D2422,物料档案!$A$4:$P$1203,5,0),"※编码不在物料档案里"))</f>
        <v/>
      </c>
      <c r="H2422" s="24">
        <f>IF($D2422="","",IFERROR(VLOOKUP($D2422,物料档案!$A$4:$P$1203,2,0),"※编码不在物料档案里"))</f>
        <v/>
      </c>
      <c r="I2422" s="24">
        <f>IF($D2422="","",IFERROR(VLOOKUP($D2422,物料档案!$A$4:$P$1203,6,0),"※编码不在物料档案里"))</f>
        <v/>
      </c>
      <c r="J2422" s="23" t="n"/>
      <c r="K2422" s="17" t="n"/>
      <c r="L2422" s="17" t="n"/>
      <c r="M2422" s="17" t="n"/>
      <c r="N2422" s="17" t="n"/>
      <c r="O2422" s="26">
        <f>IF($D2422="","",IFERROR(VLOOKUP($D2422,物料档案!$A$4:$P$1203,10,0),0))</f>
        <v/>
      </c>
      <c r="P2422" s="32" t="n"/>
      <c r="Q2422" s="26">
        <f>IF($D2422="","",IF($K2422&lt;&gt;"对外销售",0,ROUND(N($J2422)*IF($P2422="",N($O2422),N($P2422)),0)))</f>
        <v/>
      </c>
      <c r="R2422" s="26">
        <f>IF($D2422="","",IFERROR(VLOOKUP($D2422,库存台账!$A$5:$Y$1204,11,0),0))</f>
        <v/>
      </c>
      <c r="S2422" s="26">
        <f>IF($D2422="","",ROUND(N($J2422)*N($R2422),0))</f>
        <v/>
      </c>
      <c r="T2422" s="26">
        <f>IF($D2422="","",IF($K2422&lt;&gt;"对外销售","",ROUND($Q2422-$S2422,0)))</f>
        <v/>
      </c>
      <c r="U2422" s="17" t="n"/>
      <c r="V2422" s="17" t="n"/>
      <c r="W2422" s="24">
        <f>IF($D2422="","",IF($E2422="※编码不在物料档案里","※物料编码不在档案里",IF(N($J2422)&lt;=0,"※出库数量要大于 0",IF($K2422="","※没填去向类型",IF($L2422="","※没填去向矿区",IF(AND($C2422&lt;&gt;"",$C2422&lt;=结账锁),"※日期早于已结账截止日，不能再录",IF(AND($K2422="自用消耗",COUNTIF({"一矿区";"二矿区"},$L2422)=0),"※自用消耗的去向只能是一矿区或二矿区",IF(AND($K2422="对外销售",COUNTIF({"三矿区";"六矿区"},$L2422)=0),"※对外销售的去向只能是三矿区或六矿区",IF(AND($K2422="对外销售",ROUND($Q2422,0)=0),"※外销却没有售价，请填实际售价",IF(AND($K2422="对外销售",$T2422&lt;&gt;"",$T2422&lt;0),"※这一笔外销是亏的，请核对售价",IF(IFERROR(VLOOKUP($D2422,库存台账!$A$5:$Y$1204,24,0),0)&lt;-0.001,"※这个物料账面已经变成负数了，查一下是不是漏记入库","")))))))))))</f>
        <v/>
      </c>
    </row>
    <row r="2423">
      <c r="A2423" s="24">
        <f>IF($D2423="","",COUNTA($D$4:$D2423))</f>
        <v/>
      </c>
      <c r="B2423" s="17" t="n"/>
      <c r="C2423" s="30" t="n"/>
      <c r="D2423" s="17" t="n"/>
      <c r="E2423" s="24">
        <f>IF($D2423="","",IFERROR(VLOOKUP($D2423,物料档案!$A$4:$P$1203,3,0),"※编码不在物料档案里"))</f>
        <v/>
      </c>
      <c r="F2423" s="24">
        <f>IF($D2423="","",IFERROR(VLOOKUP($D2423,物料档案!$A$4:$P$1203,4,0),"※编码不在物料档案里"))</f>
        <v/>
      </c>
      <c r="G2423" s="24">
        <f>IF($D2423="","",IFERROR(VLOOKUP($D2423,物料档案!$A$4:$P$1203,5,0),"※编码不在物料档案里"))</f>
        <v/>
      </c>
      <c r="H2423" s="24">
        <f>IF($D2423="","",IFERROR(VLOOKUP($D2423,物料档案!$A$4:$P$1203,2,0),"※编码不在物料档案里"))</f>
        <v/>
      </c>
      <c r="I2423" s="24">
        <f>IF($D2423="","",IFERROR(VLOOKUP($D2423,物料档案!$A$4:$P$1203,6,0),"※编码不在物料档案里"))</f>
        <v/>
      </c>
      <c r="J2423" s="23" t="n"/>
      <c r="K2423" s="17" t="n"/>
      <c r="L2423" s="17" t="n"/>
      <c r="M2423" s="17" t="n"/>
      <c r="N2423" s="17" t="n"/>
      <c r="O2423" s="26">
        <f>IF($D2423="","",IFERROR(VLOOKUP($D2423,物料档案!$A$4:$P$1203,10,0),0))</f>
        <v/>
      </c>
      <c r="P2423" s="32" t="n"/>
      <c r="Q2423" s="26">
        <f>IF($D2423="","",IF($K2423&lt;&gt;"对外销售",0,ROUND(N($J2423)*IF($P2423="",N($O2423),N($P2423)),0)))</f>
        <v/>
      </c>
      <c r="R2423" s="26">
        <f>IF($D2423="","",IFERROR(VLOOKUP($D2423,库存台账!$A$5:$Y$1204,11,0),0))</f>
        <v/>
      </c>
      <c r="S2423" s="26">
        <f>IF($D2423="","",ROUND(N($J2423)*N($R2423),0))</f>
        <v/>
      </c>
      <c r="T2423" s="26">
        <f>IF($D2423="","",IF($K2423&lt;&gt;"对外销售","",ROUND($Q2423-$S2423,0)))</f>
        <v/>
      </c>
      <c r="U2423" s="17" t="n"/>
      <c r="V2423" s="17" t="n"/>
      <c r="W2423" s="24">
        <f>IF($D2423="","",IF($E2423="※编码不在物料档案里","※物料编码不在档案里",IF(N($J2423)&lt;=0,"※出库数量要大于 0",IF($K2423="","※没填去向类型",IF($L2423="","※没填去向矿区",IF(AND($C2423&lt;&gt;"",$C2423&lt;=结账锁),"※日期早于已结账截止日，不能再录",IF(AND($K2423="自用消耗",COUNTIF({"一矿区";"二矿区"},$L2423)=0),"※自用消耗的去向只能是一矿区或二矿区",IF(AND($K2423="对外销售",COUNTIF({"三矿区";"六矿区"},$L2423)=0),"※对外销售的去向只能是三矿区或六矿区",IF(AND($K2423="对外销售",ROUND($Q2423,0)=0),"※外销却没有售价，请填实际售价",IF(AND($K2423="对外销售",$T2423&lt;&gt;"",$T2423&lt;0),"※这一笔外销是亏的，请核对售价",IF(IFERROR(VLOOKUP($D2423,库存台账!$A$5:$Y$1204,24,0),0)&lt;-0.001,"※这个物料账面已经变成负数了，查一下是不是漏记入库","")))))))))))</f>
        <v/>
      </c>
    </row>
    <row r="2424">
      <c r="A2424" s="24">
        <f>IF($D2424="","",COUNTA($D$4:$D2424))</f>
        <v/>
      </c>
      <c r="B2424" s="17" t="n"/>
      <c r="C2424" s="30" t="n"/>
      <c r="D2424" s="17" t="n"/>
      <c r="E2424" s="24">
        <f>IF($D2424="","",IFERROR(VLOOKUP($D2424,物料档案!$A$4:$P$1203,3,0),"※编码不在物料档案里"))</f>
        <v/>
      </c>
      <c r="F2424" s="24">
        <f>IF($D2424="","",IFERROR(VLOOKUP($D2424,物料档案!$A$4:$P$1203,4,0),"※编码不在物料档案里"))</f>
        <v/>
      </c>
      <c r="G2424" s="24">
        <f>IF($D2424="","",IFERROR(VLOOKUP($D2424,物料档案!$A$4:$P$1203,5,0),"※编码不在物料档案里"))</f>
        <v/>
      </c>
      <c r="H2424" s="24">
        <f>IF($D2424="","",IFERROR(VLOOKUP($D2424,物料档案!$A$4:$P$1203,2,0),"※编码不在物料档案里"))</f>
        <v/>
      </c>
      <c r="I2424" s="24">
        <f>IF($D2424="","",IFERROR(VLOOKUP($D2424,物料档案!$A$4:$P$1203,6,0),"※编码不在物料档案里"))</f>
        <v/>
      </c>
      <c r="J2424" s="23" t="n"/>
      <c r="K2424" s="17" t="n"/>
      <c r="L2424" s="17" t="n"/>
      <c r="M2424" s="17" t="n"/>
      <c r="N2424" s="17" t="n"/>
      <c r="O2424" s="26">
        <f>IF($D2424="","",IFERROR(VLOOKUP($D2424,物料档案!$A$4:$P$1203,10,0),0))</f>
        <v/>
      </c>
      <c r="P2424" s="32" t="n"/>
      <c r="Q2424" s="26">
        <f>IF($D2424="","",IF($K2424&lt;&gt;"对外销售",0,ROUND(N($J2424)*IF($P2424="",N($O2424),N($P2424)),0)))</f>
        <v/>
      </c>
      <c r="R2424" s="26">
        <f>IF($D2424="","",IFERROR(VLOOKUP($D2424,库存台账!$A$5:$Y$1204,11,0),0))</f>
        <v/>
      </c>
      <c r="S2424" s="26">
        <f>IF($D2424="","",ROUND(N($J2424)*N($R2424),0))</f>
        <v/>
      </c>
      <c r="T2424" s="26">
        <f>IF($D2424="","",IF($K2424&lt;&gt;"对外销售","",ROUND($Q2424-$S2424,0)))</f>
        <v/>
      </c>
      <c r="U2424" s="17" t="n"/>
      <c r="V2424" s="17" t="n"/>
      <c r="W2424" s="24">
        <f>IF($D2424="","",IF($E2424="※编码不在物料档案里","※物料编码不在档案里",IF(N($J2424)&lt;=0,"※出库数量要大于 0",IF($K2424="","※没填去向类型",IF($L2424="","※没填去向矿区",IF(AND($C2424&lt;&gt;"",$C2424&lt;=结账锁),"※日期早于已结账截止日，不能再录",IF(AND($K2424="自用消耗",COUNTIF({"一矿区";"二矿区"},$L2424)=0),"※自用消耗的去向只能是一矿区或二矿区",IF(AND($K2424="对外销售",COUNTIF({"三矿区";"六矿区"},$L2424)=0),"※对外销售的去向只能是三矿区或六矿区",IF(AND($K2424="对外销售",ROUND($Q2424,0)=0),"※外销却没有售价，请填实际售价",IF(AND($K2424="对外销售",$T2424&lt;&gt;"",$T2424&lt;0),"※这一笔外销是亏的，请核对售价",IF(IFERROR(VLOOKUP($D2424,库存台账!$A$5:$Y$1204,24,0),0)&lt;-0.001,"※这个物料账面已经变成负数了，查一下是不是漏记入库","")))))))))))</f>
        <v/>
      </c>
    </row>
    <row r="2425">
      <c r="A2425" s="24">
        <f>IF($D2425="","",COUNTA($D$4:$D2425))</f>
        <v/>
      </c>
      <c r="B2425" s="17" t="n"/>
      <c r="C2425" s="30" t="n"/>
      <c r="D2425" s="17" t="n"/>
      <c r="E2425" s="24">
        <f>IF($D2425="","",IFERROR(VLOOKUP($D2425,物料档案!$A$4:$P$1203,3,0),"※编码不在物料档案里"))</f>
        <v/>
      </c>
      <c r="F2425" s="24">
        <f>IF($D2425="","",IFERROR(VLOOKUP($D2425,物料档案!$A$4:$P$1203,4,0),"※编码不在物料档案里"))</f>
        <v/>
      </c>
      <c r="G2425" s="24">
        <f>IF($D2425="","",IFERROR(VLOOKUP($D2425,物料档案!$A$4:$P$1203,5,0),"※编码不在物料档案里"))</f>
        <v/>
      </c>
      <c r="H2425" s="24">
        <f>IF($D2425="","",IFERROR(VLOOKUP($D2425,物料档案!$A$4:$P$1203,2,0),"※编码不在物料档案里"))</f>
        <v/>
      </c>
      <c r="I2425" s="24">
        <f>IF($D2425="","",IFERROR(VLOOKUP($D2425,物料档案!$A$4:$P$1203,6,0),"※编码不在物料档案里"))</f>
        <v/>
      </c>
      <c r="J2425" s="23" t="n"/>
      <c r="K2425" s="17" t="n"/>
      <c r="L2425" s="17" t="n"/>
      <c r="M2425" s="17" t="n"/>
      <c r="N2425" s="17" t="n"/>
      <c r="O2425" s="26">
        <f>IF($D2425="","",IFERROR(VLOOKUP($D2425,物料档案!$A$4:$P$1203,10,0),0))</f>
        <v/>
      </c>
      <c r="P2425" s="32" t="n"/>
      <c r="Q2425" s="26">
        <f>IF($D2425="","",IF($K2425&lt;&gt;"对外销售",0,ROUND(N($J2425)*IF($P2425="",N($O2425),N($P2425)),0)))</f>
        <v/>
      </c>
      <c r="R2425" s="26">
        <f>IF($D2425="","",IFERROR(VLOOKUP($D2425,库存台账!$A$5:$Y$1204,11,0),0))</f>
        <v/>
      </c>
      <c r="S2425" s="26">
        <f>IF($D2425="","",ROUND(N($J2425)*N($R2425),0))</f>
        <v/>
      </c>
      <c r="T2425" s="26">
        <f>IF($D2425="","",IF($K2425&lt;&gt;"对外销售","",ROUND($Q2425-$S2425,0)))</f>
        <v/>
      </c>
      <c r="U2425" s="17" t="n"/>
      <c r="V2425" s="17" t="n"/>
      <c r="W2425" s="24">
        <f>IF($D2425="","",IF($E2425="※编码不在物料档案里","※物料编码不在档案里",IF(N($J2425)&lt;=0,"※出库数量要大于 0",IF($K2425="","※没填去向类型",IF($L2425="","※没填去向矿区",IF(AND($C2425&lt;&gt;"",$C2425&lt;=结账锁),"※日期早于已结账截止日，不能再录",IF(AND($K2425="自用消耗",COUNTIF({"一矿区";"二矿区"},$L2425)=0),"※自用消耗的去向只能是一矿区或二矿区",IF(AND($K2425="对外销售",COUNTIF({"三矿区";"六矿区"},$L2425)=0),"※对外销售的去向只能是三矿区或六矿区",IF(AND($K2425="对外销售",ROUND($Q2425,0)=0),"※外销却没有售价，请填实际售价",IF(AND($K2425="对外销售",$T2425&lt;&gt;"",$T2425&lt;0),"※这一笔外销是亏的，请核对售价",IF(IFERROR(VLOOKUP($D2425,库存台账!$A$5:$Y$1204,24,0),0)&lt;-0.001,"※这个物料账面已经变成负数了，查一下是不是漏记入库","")))))))))))</f>
        <v/>
      </c>
    </row>
    <row r="2426">
      <c r="A2426" s="24">
        <f>IF($D2426="","",COUNTA($D$4:$D2426))</f>
        <v/>
      </c>
      <c r="B2426" s="17" t="n"/>
      <c r="C2426" s="30" t="n"/>
      <c r="D2426" s="17" t="n"/>
      <c r="E2426" s="24">
        <f>IF($D2426="","",IFERROR(VLOOKUP($D2426,物料档案!$A$4:$P$1203,3,0),"※编码不在物料档案里"))</f>
        <v/>
      </c>
      <c r="F2426" s="24">
        <f>IF($D2426="","",IFERROR(VLOOKUP($D2426,物料档案!$A$4:$P$1203,4,0),"※编码不在物料档案里"))</f>
        <v/>
      </c>
      <c r="G2426" s="24">
        <f>IF($D2426="","",IFERROR(VLOOKUP($D2426,物料档案!$A$4:$P$1203,5,0),"※编码不在物料档案里"))</f>
        <v/>
      </c>
      <c r="H2426" s="24">
        <f>IF($D2426="","",IFERROR(VLOOKUP($D2426,物料档案!$A$4:$P$1203,2,0),"※编码不在物料档案里"))</f>
        <v/>
      </c>
      <c r="I2426" s="24">
        <f>IF($D2426="","",IFERROR(VLOOKUP($D2426,物料档案!$A$4:$P$1203,6,0),"※编码不在物料档案里"))</f>
        <v/>
      </c>
      <c r="J2426" s="23" t="n"/>
      <c r="K2426" s="17" t="n"/>
      <c r="L2426" s="17" t="n"/>
      <c r="M2426" s="17" t="n"/>
      <c r="N2426" s="17" t="n"/>
      <c r="O2426" s="26">
        <f>IF($D2426="","",IFERROR(VLOOKUP($D2426,物料档案!$A$4:$P$1203,10,0),0))</f>
        <v/>
      </c>
      <c r="P2426" s="32" t="n"/>
      <c r="Q2426" s="26">
        <f>IF($D2426="","",IF($K2426&lt;&gt;"对外销售",0,ROUND(N($J2426)*IF($P2426="",N($O2426),N($P2426)),0)))</f>
        <v/>
      </c>
      <c r="R2426" s="26">
        <f>IF($D2426="","",IFERROR(VLOOKUP($D2426,库存台账!$A$5:$Y$1204,11,0),0))</f>
        <v/>
      </c>
      <c r="S2426" s="26">
        <f>IF($D2426="","",ROUND(N($J2426)*N($R2426),0))</f>
        <v/>
      </c>
      <c r="T2426" s="26">
        <f>IF($D2426="","",IF($K2426&lt;&gt;"对外销售","",ROUND($Q2426-$S2426,0)))</f>
        <v/>
      </c>
      <c r="U2426" s="17" t="n"/>
      <c r="V2426" s="17" t="n"/>
      <c r="W2426" s="24">
        <f>IF($D2426="","",IF($E2426="※编码不在物料档案里","※物料编码不在档案里",IF(N($J2426)&lt;=0,"※出库数量要大于 0",IF($K2426="","※没填去向类型",IF($L2426="","※没填去向矿区",IF(AND($C2426&lt;&gt;"",$C2426&lt;=结账锁),"※日期早于已结账截止日，不能再录",IF(AND($K2426="自用消耗",COUNTIF({"一矿区";"二矿区"},$L2426)=0),"※自用消耗的去向只能是一矿区或二矿区",IF(AND($K2426="对外销售",COUNTIF({"三矿区";"六矿区"},$L2426)=0),"※对外销售的去向只能是三矿区或六矿区",IF(AND($K2426="对外销售",ROUND($Q2426,0)=0),"※外销却没有售价，请填实际售价",IF(AND($K2426="对外销售",$T2426&lt;&gt;"",$T2426&lt;0),"※这一笔外销是亏的，请核对售价",IF(IFERROR(VLOOKUP($D2426,库存台账!$A$5:$Y$1204,24,0),0)&lt;-0.001,"※这个物料账面已经变成负数了，查一下是不是漏记入库","")))))))))))</f>
        <v/>
      </c>
    </row>
    <row r="2427">
      <c r="A2427" s="24">
        <f>IF($D2427="","",COUNTA($D$4:$D2427))</f>
        <v/>
      </c>
      <c r="B2427" s="17" t="n"/>
      <c r="C2427" s="30" t="n"/>
      <c r="D2427" s="17" t="n"/>
      <c r="E2427" s="24">
        <f>IF($D2427="","",IFERROR(VLOOKUP($D2427,物料档案!$A$4:$P$1203,3,0),"※编码不在物料档案里"))</f>
        <v/>
      </c>
      <c r="F2427" s="24">
        <f>IF($D2427="","",IFERROR(VLOOKUP($D2427,物料档案!$A$4:$P$1203,4,0),"※编码不在物料档案里"))</f>
        <v/>
      </c>
      <c r="G2427" s="24">
        <f>IF($D2427="","",IFERROR(VLOOKUP($D2427,物料档案!$A$4:$P$1203,5,0),"※编码不在物料档案里"))</f>
        <v/>
      </c>
      <c r="H2427" s="24">
        <f>IF($D2427="","",IFERROR(VLOOKUP($D2427,物料档案!$A$4:$P$1203,2,0),"※编码不在物料档案里"))</f>
        <v/>
      </c>
      <c r="I2427" s="24">
        <f>IF($D2427="","",IFERROR(VLOOKUP($D2427,物料档案!$A$4:$P$1203,6,0),"※编码不在物料档案里"))</f>
        <v/>
      </c>
      <c r="J2427" s="23" t="n"/>
      <c r="K2427" s="17" t="n"/>
      <c r="L2427" s="17" t="n"/>
      <c r="M2427" s="17" t="n"/>
      <c r="N2427" s="17" t="n"/>
      <c r="O2427" s="26">
        <f>IF($D2427="","",IFERROR(VLOOKUP($D2427,物料档案!$A$4:$P$1203,10,0),0))</f>
        <v/>
      </c>
      <c r="P2427" s="32" t="n"/>
      <c r="Q2427" s="26">
        <f>IF($D2427="","",IF($K2427&lt;&gt;"对外销售",0,ROUND(N($J2427)*IF($P2427="",N($O2427),N($P2427)),0)))</f>
        <v/>
      </c>
      <c r="R2427" s="26">
        <f>IF($D2427="","",IFERROR(VLOOKUP($D2427,库存台账!$A$5:$Y$1204,11,0),0))</f>
        <v/>
      </c>
      <c r="S2427" s="26">
        <f>IF($D2427="","",ROUND(N($J2427)*N($R2427),0))</f>
        <v/>
      </c>
      <c r="T2427" s="26">
        <f>IF($D2427="","",IF($K2427&lt;&gt;"对外销售","",ROUND($Q2427-$S2427,0)))</f>
        <v/>
      </c>
      <c r="U2427" s="17" t="n"/>
      <c r="V2427" s="17" t="n"/>
      <c r="W2427" s="24">
        <f>IF($D2427="","",IF($E2427="※编码不在物料档案里","※物料编码不在档案里",IF(N($J2427)&lt;=0,"※出库数量要大于 0",IF($K2427="","※没填去向类型",IF($L2427="","※没填去向矿区",IF(AND($C2427&lt;&gt;"",$C2427&lt;=结账锁),"※日期早于已结账截止日，不能再录",IF(AND($K2427="自用消耗",COUNTIF({"一矿区";"二矿区"},$L2427)=0),"※自用消耗的去向只能是一矿区或二矿区",IF(AND($K2427="对外销售",COUNTIF({"三矿区";"六矿区"},$L2427)=0),"※对外销售的去向只能是三矿区或六矿区",IF(AND($K2427="对外销售",ROUND($Q2427,0)=0),"※外销却没有售价，请填实际售价",IF(AND($K2427="对外销售",$T2427&lt;&gt;"",$T2427&lt;0),"※这一笔外销是亏的，请核对售价",IF(IFERROR(VLOOKUP($D2427,库存台账!$A$5:$Y$1204,24,0),0)&lt;-0.001,"※这个物料账面已经变成负数了，查一下是不是漏记入库","")))))))))))</f>
        <v/>
      </c>
    </row>
    <row r="2428">
      <c r="A2428" s="24">
        <f>IF($D2428="","",COUNTA($D$4:$D2428))</f>
        <v/>
      </c>
      <c r="B2428" s="17" t="n"/>
      <c r="C2428" s="30" t="n"/>
      <c r="D2428" s="17" t="n"/>
      <c r="E2428" s="24">
        <f>IF($D2428="","",IFERROR(VLOOKUP($D2428,物料档案!$A$4:$P$1203,3,0),"※编码不在物料档案里"))</f>
        <v/>
      </c>
      <c r="F2428" s="24">
        <f>IF($D2428="","",IFERROR(VLOOKUP($D2428,物料档案!$A$4:$P$1203,4,0),"※编码不在物料档案里"))</f>
        <v/>
      </c>
      <c r="G2428" s="24">
        <f>IF($D2428="","",IFERROR(VLOOKUP($D2428,物料档案!$A$4:$P$1203,5,0),"※编码不在物料档案里"))</f>
        <v/>
      </c>
      <c r="H2428" s="24">
        <f>IF($D2428="","",IFERROR(VLOOKUP($D2428,物料档案!$A$4:$P$1203,2,0),"※编码不在物料档案里"))</f>
        <v/>
      </c>
      <c r="I2428" s="24">
        <f>IF($D2428="","",IFERROR(VLOOKUP($D2428,物料档案!$A$4:$P$1203,6,0),"※编码不在物料档案里"))</f>
        <v/>
      </c>
      <c r="J2428" s="23" t="n"/>
      <c r="K2428" s="17" t="n"/>
      <c r="L2428" s="17" t="n"/>
      <c r="M2428" s="17" t="n"/>
      <c r="N2428" s="17" t="n"/>
      <c r="O2428" s="26">
        <f>IF($D2428="","",IFERROR(VLOOKUP($D2428,物料档案!$A$4:$P$1203,10,0),0))</f>
        <v/>
      </c>
      <c r="P2428" s="32" t="n"/>
      <c r="Q2428" s="26">
        <f>IF($D2428="","",IF($K2428&lt;&gt;"对外销售",0,ROUND(N($J2428)*IF($P2428="",N($O2428),N($P2428)),0)))</f>
        <v/>
      </c>
      <c r="R2428" s="26">
        <f>IF($D2428="","",IFERROR(VLOOKUP($D2428,库存台账!$A$5:$Y$1204,11,0),0))</f>
        <v/>
      </c>
      <c r="S2428" s="26">
        <f>IF($D2428="","",ROUND(N($J2428)*N($R2428),0))</f>
        <v/>
      </c>
      <c r="T2428" s="26">
        <f>IF($D2428="","",IF($K2428&lt;&gt;"对外销售","",ROUND($Q2428-$S2428,0)))</f>
        <v/>
      </c>
      <c r="U2428" s="17" t="n"/>
      <c r="V2428" s="17" t="n"/>
      <c r="W2428" s="24">
        <f>IF($D2428="","",IF($E2428="※编码不在物料档案里","※物料编码不在档案里",IF(N($J2428)&lt;=0,"※出库数量要大于 0",IF($K2428="","※没填去向类型",IF($L2428="","※没填去向矿区",IF(AND($C2428&lt;&gt;"",$C2428&lt;=结账锁),"※日期早于已结账截止日，不能再录",IF(AND($K2428="自用消耗",COUNTIF({"一矿区";"二矿区"},$L2428)=0),"※自用消耗的去向只能是一矿区或二矿区",IF(AND($K2428="对外销售",COUNTIF({"三矿区";"六矿区"},$L2428)=0),"※对外销售的去向只能是三矿区或六矿区",IF(AND($K2428="对外销售",ROUND($Q2428,0)=0),"※外销却没有售价，请填实际售价",IF(AND($K2428="对外销售",$T2428&lt;&gt;"",$T2428&lt;0),"※这一笔外销是亏的，请核对售价",IF(IFERROR(VLOOKUP($D2428,库存台账!$A$5:$Y$1204,24,0),0)&lt;-0.001,"※这个物料账面已经变成负数了，查一下是不是漏记入库","")))))))))))</f>
        <v/>
      </c>
    </row>
    <row r="2429">
      <c r="A2429" s="24">
        <f>IF($D2429="","",COUNTA($D$4:$D2429))</f>
        <v/>
      </c>
      <c r="B2429" s="17" t="n"/>
      <c r="C2429" s="30" t="n"/>
      <c r="D2429" s="17" t="n"/>
      <c r="E2429" s="24">
        <f>IF($D2429="","",IFERROR(VLOOKUP($D2429,物料档案!$A$4:$P$1203,3,0),"※编码不在物料档案里"))</f>
        <v/>
      </c>
      <c r="F2429" s="24">
        <f>IF($D2429="","",IFERROR(VLOOKUP($D2429,物料档案!$A$4:$P$1203,4,0),"※编码不在物料档案里"))</f>
        <v/>
      </c>
      <c r="G2429" s="24">
        <f>IF($D2429="","",IFERROR(VLOOKUP($D2429,物料档案!$A$4:$P$1203,5,0),"※编码不在物料档案里"))</f>
        <v/>
      </c>
      <c r="H2429" s="24">
        <f>IF($D2429="","",IFERROR(VLOOKUP($D2429,物料档案!$A$4:$P$1203,2,0),"※编码不在物料档案里"))</f>
        <v/>
      </c>
      <c r="I2429" s="24">
        <f>IF($D2429="","",IFERROR(VLOOKUP($D2429,物料档案!$A$4:$P$1203,6,0),"※编码不在物料档案里"))</f>
        <v/>
      </c>
      <c r="J2429" s="23" t="n"/>
      <c r="K2429" s="17" t="n"/>
      <c r="L2429" s="17" t="n"/>
      <c r="M2429" s="17" t="n"/>
      <c r="N2429" s="17" t="n"/>
      <c r="O2429" s="26">
        <f>IF($D2429="","",IFERROR(VLOOKUP($D2429,物料档案!$A$4:$P$1203,10,0),0))</f>
        <v/>
      </c>
      <c r="P2429" s="32" t="n"/>
      <c r="Q2429" s="26">
        <f>IF($D2429="","",IF($K2429&lt;&gt;"对外销售",0,ROUND(N($J2429)*IF($P2429="",N($O2429),N($P2429)),0)))</f>
        <v/>
      </c>
      <c r="R2429" s="26">
        <f>IF($D2429="","",IFERROR(VLOOKUP($D2429,库存台账!$A$5:$Y$1204,11,0),0))</f>
        <v/>
      </c>
      <c r="S2429" s="26">
        <f>IF($D2429="","",ROUND(N($J2429)*N($R2429),0))</f>
        <v/>
      </c>
      <c r="T2429" s="26">
        <f>IF($D2429="","",IF($K2429&lt;&gt;"对外销售","",ROUND($Q2429-$S2429,0)))</f>
        <v/>
      </c>
      <c r="U2429" s="17" t="n"/>
      <c r="V2429" s="17" t="n"/>
      <c r="W2429" s="24">
        <f>IF($D2429="","",IF($E2429="※编码不在物料档案里","※物料编码不在档案里",IF(N($J2429)&lt;=0,"※出库数量要大于 0",IF($K2429="","※没填去向类型",IF($L2429="","※没填去向矿区",IF(AND($C2429&lt;&gt;"",$C2429&lt;=结账锁),"※日期早于已结账截止日，不能再录",IF(AND($K2429="自用消耗",COUNTIF({"一矿区";"二矿区"},$L2429)=0),"※自用消耗的去向只能是一矿区或二矿区",IF(AND($K2429="对外销售",COUNTIF({"三矿区";"六矿区"},$L2429)=0),"※对外销售的去向只能是三矿区或六矿区",IF(AND($K2429="对外销售",ROUND($Q2429,0)=0),"※外销却没有售价，请填实际售价",IF(AND($K2429="对外销售",$T2429&lt;&gt;"",$T2429&lt;0),"※这一笔外销是亏的，请核对售价",IF(IFERROR(VLOOKUP($D2429,库存台账!$A$5:$Y$1204,24,0),0)&lt;-0.001,"※这个物料账面已经变成负数了，查一下是不是漏记入库","")))))))))))</f>
        <v/>
      </c>
    </row>
    <row r="2430">
      <c r="A2430" s="24">
        <f>IF($D2430="","",COUNTA($D$4:$D2430))</f>
        <v/>
      </c>
      <c r="B2430" s="17" t="n"/>
      <c r="C2430" s="30" t="n"/>
      <c r="D2430" s="17" t="n"/>
      <c r="E2430" s="24">
        <f>IF($D2430="","",IFERROR(VLOOKUP($D2430,物料档案!$A$4:$P$1203,3,0),"※编码不在物料档案里"))</f>
        <v/>
      </c>
      <c r="F2430" s="24">
        <f>IF($D2430="","",IFERROR(VLOOKUP($D2430,物料档案!$A$4:$P$1203,4,0),"※编码不在物料档案里"))</f>
        <v/>
      </c>
      <c r="G2430" s="24">
        <f>IF($D2430="","",IFERROR(VLOOKUP($D2430,物料档案!$A$4:$P$1203,5,0),"※编码不在物料档案里"))</f>
        <v/>
      </c>
      <c r="H2430" s="24">
        <f>IF($D2430="","",IFERROR(VLOOKUP($D2430,物料档案!$A$4:$P$1203,2,0),"※编码不在物料档案里"))</f>
        <v/>
      </c>
      <c r="I2430" s="24">
        <f>IF($D2430="","",IFERROR(VLOOKUP($D2430,物料档案!$A$4:$P$1203,6,0),"※编码不在物料档案里"))</f>
        <v/>
      </c>
      <c r="J2430" s="23" t="n"/>
      <c r="K2430" s="17" t="n"/>
      <c r="L2430" s="17" t="n"/>
      <c r="M2430" s="17" t="n"/>
      <c r="N2430" s="17" t="n"/>
      <c r="O2430" s="26">
        <f>IF($D2430="","",IFERROR(VLOOKUP($D2430,物料档案!$A$4:$P$1203,10,0),0))</f>
        <v/>
      </c>
      <c r="P2430" s="32" t="n"/>
      <c r="Q2430" s="26">
        <f>IF($D2430="","",IF($K2430&lt;&gt;"对外销售",0,ROUND(N($J2430)*IF($P2430="",N($O2430),N($P2430)),0)))</f>
        <v/>
      </c>
      <c r="R2430" s="26">
        <f>IF($D2430="","",IFERROR(VLOOKUP($D2430,库存台账!$A$5:$Y$1204,11,0),0))</f>
        <v/>
      </c>
      <c r="S2430" s="26">
        <f>IF($D2430="","",ROUND(N($J2430)*N($R2430),0))</f>
        <v/>
      </c>
      <c r="T2430" s="26">
        <f>IF($D2430="","",IF($K2430&lt;&gt;"对外销售","",ROUND($Q2430-$S2430,0)))</f>
        <v/>
      </c>
      <c r="U2430" s="17" t="n"/>
      <c r="V2430" s="17" t="n"/>
      <c r="W2430" s="24">
        <f>IF($D2430="","",IF($E2430="※编码不在物料档案里","※物料编码不在档案里",IF(N($J2430)&lt;=0,"※出库数量要大于 0",IF($K2430="","※没填去向类型",IF($L2430="","※没填去向矿区",IF(AND($C2430&lt;&gt;"",$C2430&lt;=结账锁),"※日期早于已结账截止日，不能再录",IF(AND($K2430="自用消耗",COUNTIF({"一矿区";"二矿区"},$L2430)=0),"※自用消耗的去向只能是一矿区或二矿区",IF(AND($K2430="对外销售",COUNTIF({"三矿区";"六矿区"},$L2430)=0),"※对外销售的去向只能是三矿区或六矿区",IF(AND($K2430="对外销售",ROUND($Q2430,0)=0),"※外销却没有售价，请填实际售价",IF(AND($K2430="对外销售",$T2430&lt;&gt;"",$T2430&lt;0),"※这一笔外销是亏的，请核对售价",IF(IFERROR(VLOOKUP($D2430,库存台账!$A$5:$Y$1204,24,0),0)&lt;-0.001,"※这个物料账面已经变成负数了，查一下是不是漏记入库","")))))))))))</f>
        <v/>
      </c>
    </row>
    <row r="2431">
      <c r="A2431" s="24">
        <f>IF($D2431="","",COUNTA($D$4:$D2431))</f>
        <v/>
      </c>
      <c r="B2431" s="17" t="n"/>
      <c r="C2431" s="30" t="n"/>
      <c r="D2431" s="17" t="n"/>
      <c r="E2431" s="24">
        <f>IF($D2431="","",IFERROR(VLOOKUP($D2431,物料档案!$A$4:$P$1203,3,0),"※编码不在物料档案里"))</f>
        <v/>
      </c>
      <c r="F2431" s="24">
        <f>IF($D2431="","",IFERROR(VLOOKUP($D2431,物料档案!$A$4:$P$1203,4,0),"※编码不在物料档案里"))</f>
        <v/>
      </c>
      <c r="G2431" s="24">
        <f>IF($D2431="","",IFERROR(VLOOKUP($D2431,物料档案!$A$4:$P$1203,5,0),"※编码不在物料档案里"))</f>
        <v/>
      </c>
      <c r="H2431" s="24">
        <f>IF($D2431="","",IFERROR(VLOOKUP($D2431,物料档案!$A$4:$P$1203,2,0),"※编码不在物料档案里"))</f>
        <v/>
      </c>
      <c r="I2431" s="24">
        <f>IF($D2431="","",IFERROR(VLOOKUP($D2431,物料档案!$A$4:$P$1203,6,0),"※编码不在物料档案里"))</f>
        <v/>
      </c>
      <c r="J2431" s="23" t="n"/>
      <c r="K2431" s="17" t="n"/>
      <c r="L2431" s="17" t="n"/>
      <c r="M2431" s="17" t="n"/>
      <c r="N2431" s="17" t="n"/>
      <c r="O2431" s="26">
        <f>IF($D2431="","",IFERROR(VLOOKUP($D2431,物料档案!$A$4:$P$1203,10,0),0))</f>
        <v/>
      </c>
      <c r="P2431" s="32" t="n"/>
      <c r="Q2431" s="26">
        <f>IF($D2431="","",IF($K2431&lt;&gt;"对外销售",0,ROUND(N($J2431)*IF($P2431="",N($O2431),N($P2431)),0)))</f>
        <v/>
      </c>
      <c r="R2431" s="26">
        <f>IF($D2431="","",IFERROR(VLOOKUP($D2431,库存台账!$A$5:$Y$1204,11,0),0))</f>
        <v/>
      </c>
      <c r="S2431" s="26">
        <f>IF($D2431="","",ROUND(N($J2431)*N($R2431),0))</f>
        <v/>
      </c>
      <c r="T2431" s="26">
        <f>IF($D2431="","",IF($K2431&lt;&gt;"对外销售","",ROUND($Q2431-$S2431,0)))</f>
        <v/>
      </c>
      <c r="U2431" s="17" t="n"/>
      <c r="V2431" s="17" t="n"/>
      <c r="W2431" s="24">
        <f>IF($D2431="","",IF($E2431="※编码不在物料档案里","※物料编码不在档案里",IF(N($J2431)&lt;=0,"※出库数量要大于 0",IF($K2431="","※没填去向类型",IF($L2431="","※没填去向矿区",IF(AND($C2431&lt;&gt;"",$C2431&lt;=结账锁),"※日期早于已结账截止日，不能再录",IF(AND($K2431="自用消耗",COUNTIF({"一矿区";"二矿区"},$L2431)=0),"※自用消耗的去向只能是一矿区或二矿区",IF(AND($K2431="对外销售",COUNTIF({"三矿区";"六矿区"},$L2431)=0),"※对外销售的去向只能是三矿区或六矿区",IF(AND($K2431="对外销售",ROUND($Q2431,0)=0),"※外销却没有售价，请填实际售价",IF(AND($K2431="对外销售",$T2431&lt;&gt;"",$T2431&lt;0),"※这一笔外销是亏的，请核对售价",IF(IFERROR(VLOOKUP($D2431,库存台账!$A$5:$Y$1204,24,0),0)&lt;-0.001,"※这个物料账面已经变成负数了，查一下是不是漏记入库","")))))))))))</f>
        <v/>
      </c>
    </row>
    <row r="2432">
      <c r="A2432" s="24">
        <f>IF($D2432="","",COUNTA($D$4:$D2432))</f>
        <v/>
      </c>
      <c r="B2432" s="17" t="n"/>
      <c r="C2432" s="30" t="n"/>
      <c r="D2432" s="17" t="n"/>
      <c r="E2432" s="24">
        <f>IF($D2432="","",IFERROR(VLOOKUP($D2432,物料档案!$A$4:$P$1203,3,0),"※编码不在物料档案里"))</f>
        <v/>
      </c>
      <c r="F2432" s="24">
        <f>IF($D2432="","",IFERROR(VLOOKUP($D2432,物料档案!$A$4:$P$1203,4,0),"※编码不在物料档案里"))</f>
        <v/>
      </c>
      <c r="G2432" s="24">
        <f>IF($D2432="","",IFERROR(VLOOKUP($D2432,物料档案!$A$4:$P$1203,5,0),"※编码不在物料档案里"))</f>
        <v/>
      </c>
      <c r="H2432" s="24">
        <f>IF($D2432="","",IFERROR(VLOOKUP($D2432,物料档案!$A$4:$P$1203,2,0),"※编码不在物料档案里"))</f>
        <v/>
      </c>
      <c r="I2432" s="24">
        <f>IF($D2432="","",IFERROR(VLOOKUP($D2432,物料档案!$A$4:$P$1203,6,0),"※编码不在物料档案里"))</f>
        <v/>
      </c>
      <c r="J2432" s="23" t="n"/>
      <c r="K2432" s="17" t="n"/>
      <c r="L2432" s="17" t="n"/>
      <c r="M2432" s="17" t="n"/>
      <c r="N2432" s="17" t="n"/>
      <c r="O2432" s="26">
        <f>IF($D2432="","",IFERROR(VLOOKUP($D2432,物料档案!$A$4:$P$1203,10,0),0))</f>
        <v/>
      </c>
      <c r="P2432" s="32" t="n"/>
      <c r="Q2432" s="26">
        <f>IF($D2432="","",IF($K2432&lt;&gt;"对外销售",0,ROUND(N($J2432)*IF($P2432="",N($O2432),N($P2432)),0)))</f>
        <v/>
      </c>
      <c r="R2432" s="26">
        <f>IF($D2432="","",IFERROR(VLOOKUP($D2432,库存台账!$A$5:$Y$1204,11,0),0))</f>
        <v/>
      </c>
      <c r="S2432" s="26">
        <f>IF($D2432="","",ROUND(N($J2432)*N($R2432),0))</f>
        <v/>
      </c>
      <c r="T2432" s="26">
        <f>IF($D2432="","",IF($K2432&lt;&gt;"对外销售","",ROUND($Q2432-$S2432,0)))</f>
        <v/>
      </c>
      <c r="U2432" s="17" t="n"/>
      <c r="V2432" s="17" t="n"/>
      <c r="W2432" s="24">
        <f>IF($D2432="","",IF($E2432="※编码不在物料档案里","※物料编码不在档案里",IF(N($J2432)&lt;=0,"※出库数量要大于 0",IF($K2432="","※没填去向类型",IF($L2432="","※没填去向矿区",IF(AND($C2432&lt;&gt;"",$C2432&lt;=结账锁),"※日期早于已结账截止日，不能再录",IF(AND($K2432="自用消耗",COUNTIF({"一矿区";"二矿区"},$L2432)=0),"※自用消耗的去向只能是一矿区或二矿区",IF(AND($K2432="对外销售",COUNTIF({"三矿区";"六矿区"},$L2432)=0),"※对外销售的去向只能是三矿区或六矿区",IF(AND($K2432="对外销售",ROUND($Q2432,0)=0),"※外销却没有售价，请填实际售价",IF(AND($K2432="对外销售",$T2432&lt;&gt;"",$T2432&lt;0),"※这一笔外销是亏的，请核对售价",IF(IFERROR(VLOOKUP($D2432,库存台账!$A$5:$Y$1204,24,0),0)&lt;-0.001,"※这个物料账面已经变成负数了，查一下是不是漏记入库","")))))))))))</f>
        <v/>
      </c>
    </row>
    <row r="2433">
      <c r="A2433" s="24">
        <f>IF($D2433="","",COUNTA($D$4:$D2433))</f>
        <v/>
      </c>
      <c r="B2433" s="17" t="n"/>
      <c r="C2433" s="30" t="n"/>
      <c r="D2433" s="17" t="n"/>
      <c r="E2433" s="24">
        <f>IF($D2433="","",IFERROR(VLOOKUP($D2433,物料档案!$A$4:$P$1203,3,0),"※编码不在物料档案里"))</f>
        <v/>
      </c>
      <c r="F2433" s="24">
        <f>IF($D2433="","",IFERROR(VLOOKUP($D2433,物料档案!$A$4:$P$1203,4,0),"※编码不在物料档案里"))</f>
        <v/>
      </c>
      <c r="G2433" s="24">
        <f>IF($D2433="","",IFERROR(VLOOKUP($D2433,物料档案!$A$4:$P$1203,5,0),"※编码不在物料档案里"))</f>
        <v/>
      </c>
      <c r="H2433" s="24">
        <f>IF($D2433="","",IFERROR(VLOOKUP($D2433,物料档案!$A$4:$P$1203,2,0),"※编码不在物料档案里"))</f>
        <v/>
      </c>
      <c r="I2433" s="24">
        <f>IF($D2433="","",IFERROR(VLOOKUP($D2433,物料档案!$A$4:$P$1203,6,0),"※编码不在物料档案里"))</f>
        <v/>
      </c>
      <c r="J2433" s="23" t="n"/>
      <c r="K2433" s="17" t="n"/>
      <c r="L2433" s="17" t="n"/>
      <c r="M2433" s="17" t="n"/>
      <c r="N2433" s="17" t="n"/>
      <c r="O2433" s="26">
        <f>IF($D2433="","",IFERROR(VLOOKUP($D2433,物料档案!$A$4:$P$1203,10,0),0))</f>
        <v/>
      </c>
      <c r="P2433" s="32" t="n"/>
      <c r="Q2433" s="26">
        <f>IF($D2433="","",IF($K2433&lt;&gt;"对外销售",0,ROUND(N($J2433)*IF($P2433="",N($O2433),N($P2433)),0)))</f>
        <v/>
      </c>
      <c r="R2433" s="26">
        <f>IF($D2433="","",IFERROR(VLOOKUP($D2433,库存台账!$A$5:$Y$1204,11,0),0))</f>
        <v/>
      </c>
      <c r="S2433" s="26">
        <f>IF($D2433="","",ROUND(N($J2433)*N($R2433),0))</f>
        <v/>
      </c>
      <c r="T2433" s="26">
        <f>IF($D2433="","",IF($K2433&lt;&gt;"对外销售","",ROUND($Q2433-$S2433,0)))</f>
        <v/>
      </c>
      <c r="U2433" s="17" t="n"/>
      <c r="V2433" s="17" t="n"/>
      <c r="W2433" s="24">
        <f>IF($D2433="","",IF($E2433="※编码不在物料档案里","※物料编码不在档案里",IF(N($J2433)&lt;=0,"※出库数量要大于 0",IF($K2433="","※没填去向类型",IF($L2433="","※没填去向矿区",IF(AND($C2433&lt;&gt;"",$C2433&lt;=结账锁),"※日期早于已结账截止日，不能再录",IF(AND($K2433="自用消耗",COUNTIF({"一矿区";"二矿区"},$L2433)=0),"※自用消耗的去向只能是一矿区或二矿区",IF(AND($K2433="对外销售",COUNTIF({"三矿区";"六矿区"},$L2433)=0),"※对外销售的去向只能是三矿区或六矿区",IF(AND($K2433="对外销售",ROUND($Q2433,0)=0),"※外销却没有售价，请填实际售价",IF(AND($K2433="对外销售",$T2433&lt;&gt;"",$T2433&lt;0),"※这一笔外销是亏的，请核对售价",IF(IFERROR(VLOOKUP($D2433,库存台账!$A$5:$Y$1204,24,0),0)&lt;-0.001,"※这个物料账面已经变成负数了，查一下是不是漏记入库","")))))))))))</f>
        <v/>
      </c>
    </row>
    <row r="2434">
      <c r="A2434" s="24">
        <f>IF($D2434="","",COUNTA($D$4:$D2434))</f>
        <v/>
      </c>
      <c r="B2434" s="17" t="n"/>
      <c r="C2434" s="30" t="n"/>
      <c r="D2434" s="17" t="n"/>
      <c r="E2434" s="24">
        <f>IF($D2434="","",IFERROR(VLOOKUP($D2434,物料档案!$A$4:$P$1203,3,0),"※编码不在物料档案里"))</f>
        <v/>
      </c>
      <c r="F2434" s="24">
        <f>IF($D2434="","",IFERROR(VLOOKUP($D2434,物料档案!$A$4:$P$1203,4,0),"※编码不在物料档案里"))</f>
        <v/>
      </c>
      <c r="G2434" s="24">
        <f>IF($D2434="","",IFERROR(VLOOKUP($D2434,物料档案!$A$4:$P$1203,5,0),"※编码不在物料档案里"))</f>
        <v/>
      </c>
      <c r="H2434" s="24">
        <f>IF($D2434="","",IFERROR(VLOOKUP($D2434,物料档案!$A$4:$P$1203,2,0),"※编码不在物料档案里"))</f>
        <v/>
      </c>
      <c r="I2434" s="24">
        <f>IF($D2434="","",IFERROR(VLOOKUP($D2434,物料档案!$A$4:$P$1203,6,0),"※编码不在物料档案里"))</f>
        <v/>
      </c>
      <c r="J2434" s="23" t="n"/>
      <c r="K2434" s="17" t="n"/>
      <c r="L2434" s="17" t="n"/>
      <c r="M2434" s="17" t="n"/>
      <c r="N2434" s="17" t="n"/>
      <c r="O2434" s="26">
        <f>IF($D2434="","",IFERROR(VLOOKUP($D2434,物料档案!$A$4:$P$1203,10,0),0))</f>
        <v/>
      </c>
      <c r="P2434" s="32" t="n"/>
      <c r="Q2434" s="26">
        <f>IF($D2434="","",IF($K2434&lt;&gt;"对外销售",0,ROUND(N($J2434)*IF($P2434="",N($O2434),N($P2434)),0)))</f>
        <v/>
      </c>
      <c r="R2434" s="26">
        <f>IF($D2434="","",IFERROR(VLOOKUP($D2434,库存台账!$A$5:$Y$1204,11,0),0))</f>
        <v/>
      </c>
      <c r="S2434" s="26">
        <f>IF($D2434="","",ROUND(N($J2434)*N($R2434),0))</f>
        <v/>
      </c>
      <c r="T2434" s="26">
        <f>IF($D2434="","",IF($K2434&lt;&gt;"对外销售","",ROUND($Q2434-$S2434,0)))</f>
        <v/>
      </c>
      <c r="U2434" s="17" t="n"/>
      <c r="V2434" s="17" t="n"/>
      <c r="W2434" s="24">
        <f>IF($D2434="","",IF($E2434="※编码不在物料档案里","※物料编码不在档案里",IF(N($J2434)&lt;=0,"※出库数量要大于 0",IF($K2434="","※没填去向类型",IF($L2434="","※没填去向矿区",IF(AND($C2434&lt;&gt;"",$C2434&lt;=结账锁),"※日期早于已结账截止日，不能再录",IF(AND($K2434="自用消耗",COUNTIF({"一矿区";"二矿区"},$L2434)=0),"※自用消耗的去向只能是一矿区或二矿区",IF(AND($K2434="对外销售",COUNTIF({"三矿区";"六矿区"},$L2434)=0),"※对外销售的去向只能是三矿区或六矿区",IF(AND($K2434="对外销售",ROUND($Q2434,0)=0),"※外销却没有售价，请填实际售价",IF(AND($K2434="对外销售",$T2434&lt;&gt;"",$T2434&lt;0),"※这一笔外销是亏的，请核对售价",IF(IFERROR(VLOOKUP($D2434,库存台账!$A$5:$Y$1204,24,0),0)&lt;-0.001,"※这个物料账面已经变成负数了，查一下是不是漏记入库","")))))))))))</f>
        <v/>
      </c>
    </row>
    <row r="2435">
      <c r="A2435" s="24">
        <f>IF($D2435="","",COUNTA($D$4:$D2435))</f>
        <v/>
      </c>
      <c r="B2435" s="17" t="n"/>
      <c r="C2435" s="30" t="n"/>
      <c r="D2435" s="17" t="n"/>
      <c r="E2435" s="24">
        <f>IF($D2435="","",IFERROR(VLOOKUP($D2435,物料档案!$A$4:$P$1203,3,0),"※编码不在物料档案里"))</f>
        <v/>
      </c>
      <c r="F2435" s="24">
        <f>IF($D2435="","",IFERROR(VLOOKUP($D2435,物料档案!$A$4:$P$1203,4,0),"※编码不在物料档案里"))</f>
        <v/>
      </c>
      <c r="G2435" s="24">
        <f>IF($D2435="","",IFERROR(VLOOKUP($D2435,物料档案!$A$4:$P$1203,5,0),"※编码不在物料档案里"))</f>
        <v/>
      </c>
      <c r="H2435" s="24">
        <f>IF($D2435="","",IFERROR(VLOOKUP($D2435,物料档案!$A$4:$P$1203,2,0),"※编码不在物料档案里"))</f>
        <v/>
      </c>
      <c r="I2435" s="24">
        <f>IF($D2435="","",IFERROR(VLOOKUP($D2435,物料档案!$A$4:$P$1203,6,0),"※编码不在物料档案里"))</f>
        <v/>
      </c>
      <c r="J2435" s="23" t="n"/>
      <c r="K2435" s="17" t="n"/>
      <c r="L2435" s="17" t="n"/>
      <c r="M2435" s="17" t="n"/>
      <c r="N2435" s="17" t="n"/>
      <c r="O2435" s="26">
        <f>IF($D2435="","",IFERROR(VLOOKUP($D2435,物料档案!$A$4:$P$1203,10,0),0))</f>
        <v/>
      </c>
      <c r="P2435" s="32" t="n"/>
      <c r="Q2435" s="26">
        <f>IF($D2435="","",IF($K2435&lt;&gt;"对外销售",0,ROUND(N($J2435)*IF($P2435="",N($O2435),N($P2435)),0)))</f>
        <v/>
      </c>
      <c r="R2435" s="26">
        <f>IF($D2435="","",IFERROR(VLOOKUP($D2435,库存台账!$A$5:$Y$1204,11,0),0))</f>
        <v/>
      </c>
      <c r="S2435" s="26">
        <f>IF($D2435="","",ROUND(N($J2435)*N($R2435),0))</f>
        <v/>
      </c>
      <c r="T2435" s="26">
        <f>IF($D2435="","",IF($K2435&lt;&gt;"对外销售","",ROUND($Q2435-$S2435,0)))</f>
        <v/>
      </c>
      <c r="U2435" s="17" t="n"/>
      <c r="V2435" s="17" t="n"/>
      <c r="W2435" s="24">
        <f>IF($D2435="","",IF($E2435="※编码不在物料档案里","※物料编码不在档案里",IF(N($J2435)&lt;=0,"※出库数量要大于 0",IF($K2435="","※没填去向类型",IF($L2435="","※没填去向矿区",IF(AND($C2435&lt;&gt;"",$C2435&lt;=结账锁),"※日期早于已结账截止日，不能再录",IF(AND($K2435="自用消耗",COUNTIF({"一矿区";"二矿区"},$L2435)=0),"※自用消耗的去向只能是一矿区或二矿区",IF(AND($K2435="对外销售",COUNTIF({"三矿区";"六矿区"},$L2435)=0),"※对外销售的去向只能是三矿区或六矿区",IF(AND($K2435="对外销售",ROUND($Q2435,0)=0),"※外销却没有售价，请填实际售价",IF(AND($K2435="对外销售",$T2435&lt;&gt;"",$T2435&lt;0),"※这一笔外销是亏的，请核对售价",IF(IFERROR(VLOOKUP($D2435,库存台账!$A$5:$Y$1204,24,0),0)&lt;-0.001,"※这个物料账面已经变成负数了，查一下是不是漏记入库","")))))))))))</f>
        <v/>
      </c>
    </row>
    <row r="2436">
      <c r="A2436" s="24">
        <f>IF($D2436="","",COUNTA($D$4:$D2436))</f>
        <v/>
      </c>
      <c r="B2436" s="17" t="n"/>
      <c r="C2436" s="30" t="n"/>
      <c r="D2436" s="17" t="n"/>
      <c r="E2436" s="24">
        <f>IF($D2436="","",IFERROR(VLOOKUP($D2436,物料档案!$A$4:$P$1203,3,0),"※编码不在物料档案里"))</f>
        <v/>
      </c>
      <c r="F2436" s="24">
        <f>IF($D2436="","",IFERROR(VLOOKUP($D2436,物料档案!$A$4:$P$1203,4,0),"※编码不在物料档案里"))</f>
        <v/>
      </c>
      <c r="G2436" s="24">
        <f>IF($D2436="","",IFERROR(VLOOKUP($D2436,物料档案!$A$4:$P$1203,5,0),"※编码不在物料档案里"))</f>
        <v/>
      </c>
      <c r="H2436" s="24">
        <f>IF($D2436="","",IFERROR(VLOOKUP($D2436,物料档案!$A$4:$P$1203,2,0),"※编码不在物料档案里"))</f>
        <v/>
      </c>
      <c r="I2436" s="24">
        <f>IF($D2436="","",IFERROR(VLOOKUP($D2436,物料档案!$A$4:$P$1203,6,0),"※编码不在物料档案里"))</f>
        <v/>
      </c>
      <c r="J2436" s="23" t="n"/>
      <c r="K2436" s="17" t="n"/>
      <c r="L2436" s="17" t="n"/>
      <c r="M2436" s="17" t="n"/>
      <c r="N2436" s="17" t="n"/>
      <c r="O2436" s="26">
        <f>IF($D2436="","",IFERROR(VLOOKUP($D2436,物料档案!$A$4:$P$1203,10,0),0))</f>
        <v/>
      </c>
      <c r="P2436" s="32" t="n"/>
      <c r="Q2436" s="26">
        <f>IF($D2436="","",IF($K2436&lt;&gt;"对外销售",0,ROUND(N($J2436)*IF($P2436="",N($O2436),N($P2436)),0)))</f>
        <v/>
      </c>
      <c r="R2436" s="26">
        <f>IF($D2436="","",IFERROR(VLOOKUP($D2436,库存台账!$A$5:$Y$1204,11,0),0))</f>
        <v/>
      </c>
      <c r="S2436" s="26">
        <f>IF($D2436="","",ROUND(N($J2436)*N($R2436),0))</f>
        <v/>
      </c>
      <c r="T2436" s="26">
        <f>IF($D2436="","",IF($K2436&lt;&gt;"对外销售","",ROUND($Q2436-$S2436,0)))</f>
        <v/>
      </c>
      <c r="U2436" s="17" t="n"/>
      <c r="V2436" s="17" t="n"/>
      <c r="W2436" s="24">
        <f>IF($D2436="","",IF($E2436="※编码不在物料档案里","※物料编码不在档案里",IF(N($J2436)&lt;=0,"※出库数量要大于 0",IF($K2436="","※没填去向类型",IF($L2436="","※没填去向矿区",IF(AND($C2436&lt;&gt;"",$C2436&lt;=结账锁),"※日期早于已结账截止日，不能再录",IF(AND($K2436="自用消耗",COUNTIF({"一矿区";"二矿区"},$L2436)=0),"※自用消耗的去向只能是一矿区或二矿区",IF(AND($K2436="对外销售",COUNTIF({"三矿区";"六矿区"},$L2436)=0),"※对外销售的去向只能是三矿区或六矿区",IF(AND($K2436="对外销售",ROUND($Q2436,0)=0),"※外销却没有售价，请填实际售价",IF(AND($K2436="对外销售",$T2436&lt;&gt;"",$T2436&lt;0),"※这一笔外销是亏的，请核对售价",IF(IFERROR(VLOOKUP($D2436,库存台账!$A$5:$Y$1204,24,0),0)&lt;-0.001,"※这个物料账面已经变成负数了，查一下是不是漏记入库","")))))))))))</f>
        <v/>
      </c>
    </row>
    <row r="2437">
      <c r="A2437" s="24">
        <f>IF($D2437="","",COUNTA($D$4:$D2437))</f>
        <v/>
      </c>
      <c r="B2437" s="17" t="n"/>
      <c r="C2437" s="30" t="n"/>
      <c r="D2437" s="17" t="n"/>
      <c r="E2437" s="24">
        <f>IF($D2437="","",IFERROR(VLOOKUP($D2437,物料档案!$A$4:$P$1203,3,0),"※编码不在物料档案里"))</f>
        <v/>
      </c>
      <c r="F2437" s="24">
        <f>IF($D2437="","",IFERROR(VLOOKUP($D2437,物料档案!$A$4:$P$1203,4,0),"※编码不在物料档案里"))</f>
        <v/>
      </c>
      <c r="G2437" s="24">
        <f>IF($D2437="","",IFERROR(VLOOKUP($D2437,物料档案!$A$4:$P$1203,5,0),"※编码不在物料档案里"))</f>
        <v/>
      </c>
      <c r="H2437" s="24">
        <f>IF($D2437="","",IFERROR(VLOOKUP($D2437,物料档案!$A$4:$P$1203,2,0),"※编码不在物料档案里"))</f>
        <v/>
      </c>
      <c r="I2437" s="24">
        <f>IF($D2437="","",IFERROR(VLOOKUP($D2437,物料档案!$A$4:$P$1203,6,0),"※编码不在物料档案里"))</f>
        <v/>
      </c>
      <c r="J2437" s="23" t="n"/>
      <c r="K2437" s="17" t="n"/>
      <c r="L2437" s="17" t="n"/>
      <c r="M2437" s="17" t="n"/>
      <c r="N2437" s="17" t="n"/>
      <c r="O2437" s="26">
        <f>IF($D2437="","",IFERROR(VLOOKUP($D2437,物料档案!$A$4:$P$1203,10,0),0))</f>
        <v/>
      </c>
      <c r="P2437" s="32" t="n"/>
      <c r="Q2437" s="26">
        <f>IF($D2437="","",IF($K2437&lt;&gt;"对外销售",0,ROUND(N($J2437)*IF($P2437="",N($O2437),N($P2437)),0)))</f>
        <v/>
      </c>
      <c r="R2437" s="26">
        <f>IF($D2437="","",IFERROR(VLOOKUP($D2437,库存台账!$A$5:$Y$1204,11,0),0))</f>
        <v/>
      </c>
      <c r="S2437" s="26">
        <f>IF($D2437="","",ROUND(N($J2437)*N($R2437),0))</f>
        <v/>
      </c>
      <c r="T2437" s="26">
        <f>IF($D2437="","",IF($K2437&lt;&gt;"对外销售","",ROUND($Q2437-$S2437,0)))</f>
        <v/>
      </c>
      <c r="U2437" s="17" t="n"/>
      <c r="V2437" s="17" t="n"/>
      <c r="W2437" s="24">
        <f>IF($D2437="","",IF($E2437="※编码不在物料档案里","※物料编码不在档案里",IF(N($J2437)&lt;=0,"※出库数量要大于 0",IF($K2437="","※没填去向类型",IF($L2437="","※没填去向矿区",IF(AND($C2437&lt;&gt;"",$C2437&lt;=结账锁),"※日期早于已结账截止日，不能再录",IF(AND($K2437="自用消耗",COUNTIF({"一矿区";"二矿区"},$L2437)=0),"※自用消耗的去向只能是一矿区或二矿区",IF(AND($K2437="对外销售",COUNTIF({"三矿区";"六矿区"},$L2437)=0),"※对外销售的去向只能是三矿区或六矿区",IF(AND($K2437="对外销售",ROUND($Q2437,0)=0),"※外销却没有售价，请填实际售价",IF(AND($K2437="对外销售",$T2437&lt;&gt;"",$T2437&lt;0),"※这一笔外销是亏的，请核对售价",IF(IFERROR(VLOOKUP($D2437,库存台账!$A$5:$Y$1204,24,0),0)&lt;-0.001,"※这个物料账面已经变成负数了，查一下是不是漏记入库","")))))))))))</f>
        <v/>
      </c>
    </row>
    <row r="2438">
      <c r="A2438" s="24">
        <f>IF($D2438="","",COUNTA($D$4:$D2438))</f>
        <v/>
      </c>
      <c r="B2438" s="17" t="n"/>
      <c r="C2438" s="30" t="n"/>
      <c r="D2438" s="17" t="n"/>
      <c r="E2438" s="24">
        <f>IF($D2438="","",IFERROR(VLOOKUP($D2438,物料档案!$A$4:$P$1203,3,0),"※编码不在物料档案里"))</f>
        <v/>
      </c>
      <c r="F2438" s="24">
        <f>IF($D2438="","",IFERROR(VLOOKUP($D2438,物料档案!$A$4:$P$1203,4,0),"※编码不在物料档案里"))</f>
        <v/>
      </c>
      <c r="G2438" s="24">
        <f>IF($D2438="","",IFERROR(VLOOKUP($D2438,物料档案!$A$4:$P$1203,5,0),"※编码不在物料档案里"))</f>
        <v/>
      </c>
      <c r="H2438" s="24">
        <f>IF($D2438="","",IFERROR(VLOOKUP($D2438,物料档案!$A$4:$P$1203,2,0),"※编码不在物料档案里"))</f>
        <v/>
      </c>
      <c r="I2438" s="24">
        <f>IF($D2438="","",IFERROR(VLOOKUP($D2438,物料档案!$A$4:$P$1203,6,0),"※编码不在物料档案里"))</f>
        <v/>
      </c>
      <c r="J2438" s="23" t="n"/>
      <c r="K2438" s="17" t="n"/>
      <c r="L2438" s="17" t="n"/>
      <c r="M2438" s="17" t="n"/>
      <c r="N2438" s="17" t="n"/>
      <c r="O2438" s="26">
        <f>IF($D2438="","",IFERROR(VLOOKUP($D2438,物料档案!$A$4:$P$1203,10,0),0))</f>
        <v/>
      </c>
      <c r="P2438" s="32" t="n"/>
      <c r="Q2438" s="26">
        <f>IF($D2438="","",IF($K2438&lt;&gt;"对外销售",0,ROUND(N($J2438)*IF($P2438="",N($O2438),N($P2438)),0)))</f>
        <v/>
      </c>
      <c r="R2438" s="26">
        <f>IF($D2438="","",IFERROR(VLOOKUP($D2438,库存台账!$A$5:$Y$1204,11,0),0))</f>
        <v/>
      </c>
      <c r="S2438" s="26">
        <f>IF($D2438="","",ROUND(N($J2438)*N($R2438),0))</f>
        <v/>
      </c>
      <c r="T2438" s="26">
        <f>IF($D2438="","",IF($K2438&lt;&gt;"对外销售","",ROUND($Q2438-$S2438,0)))</f>
        <v/>
      </c>
      <c r="U2438" s="17" t="n"/>
      <c r="V2438" s="17" t="n"/>
      <c r="W2438" s="24">
        <f>IF($D2438="","",IF($E2438="※编码不在物料档案里","※物料编码不在档案里",IF(N($J2438)&lt;=0,"※出库数量要大于 0",IF($K2438="","※没填去向类型",IF($L2438="","※没填去向矿区",IF(AND($C2438&lt;&gt;"",$C2438&lt;=结账锁),"※日期早于已结账截止日，不能再录",IF(AND($K2438="自用消耗",COUNTIF({"一矿区";"二矿区"},$L2438)=0),"※自用消耗的去向只能是一矿区或二矿区",IF(AND($K2438="对外销售",COUNTIF({"三矿区";"六矿区"},$L2438)=0),"※对外销售的去向只能是三矿区或六矿区",IF(AND($K2438="对外销售",ROUND($Q2438,0)=0),"※外销却没有售价，请填实际售价",IF(AND($K2438="对外销售",$T2438&lt;&gt;"",$T2438&lt;0),"※这一笔外销是亏的，请核对售价",IF(IFERROR(VLOOKUP($D2438,库存台账!$A$5:$Y$1204,24,0),0)&lt;-0.001,"※这个物料账面已经变成负数了，查一下是不是漏记入库","")))))))))))</f>
        <v/>
      </c>
    </row>
    <row r="2439">
      <c r="A2439" s="24">
        <f>IF($D2439="","",COUNTA($D$4:$D2439))</f>
        <v/>
      </c>
      <c r="B2439" s="17" t="n"/>
      <c r="C2439" s="30" t="n"/>
      <c r="D2439" s="17" t="n"/>
      <c r="E2439" s="24">
        <f>IF($D2439="","",IFERROR(VLOOKUP($D2439,物料档案!$A$4:$P$1203,3,0),"※编码不在物料档案里"))</f>
        <v/>
      </c>
      <c r="F2439" s="24">
        <f>IF($D2439="","",IFERROR(VLOOKUP($D2439,物料档案!$A$4:$P$1203,4,0),"※编码不在物料档案里"))</f>
        <v/>
      </c>
      <c r="G2439" s="24">
        <f>IF($D2439="","",IFERROR(VLOOKUP($D2439,物料档案!$A$4:$P$1203,5,0),"※编码不在物料档案里"))</f>
        <v/>
      </c>
      <c r="H2439" s="24">
        <f>IF($D2439="","",IFERROR(VLOOKUP($D2439,物料档案!$A$4:$P$1203,2,0),"※编码不在物料档案里"))</f>
        <v/>
      </c>
      <c r="I2439" s="24">
        <f>IF($D2439="","",IFERROR(VLOOKUP($D2439,物料档案!$A$4:$P$1203,6,0),"※编码不在物料档案里"))</f>
        <v/>
      </c>
      <c r="J2439" s="23" t="n"/>
      <c r="K2439" s="17" t="n"/>
      <c r="L2439" s="17" t="n"/>
      <c r="M2439" s="17" t="n"/>
      <c r="N2439" s="17" t="n"/>
      <c r="O2439" s="26">
        <f>IF($D2439="","",IFERROR(VLOOKUP($D2439,物料档案!$A$4:$P$1203,10,0),0))</f>
        <v/>
      </c>
      <c r="P2439" s="32" t="n"/>
      <c r="Q2439" s="26">
        <f>IF($D2439="","",IF($K2439&lt;&gt;"对外销售",0,ROUND(N($J2439)*IF($P2439="",N($O2439),N($P2439)),0)))</f>
        <v/>
      </c>
      <c r="R2439" s="26">
        <f>IF($D2439="","",IFERROR(VLOOKUP($D2439,库存台账!$A$5:$Y$1204,11,0),0))</f>
        <v/>
      </c>
      <c r="S2439" s="26">
        <f>IF($D2439="","",ROUND(N($J2439)*N($R2439),0))</f>
        <v/>
      </c>
      <c r="T2439" s="26">
        <f>IF($D2439="","",IF($K2439&lt;&gt;"对外销售","",ROUND($Q2439-$S2439,0)))</f>
        <v/>
      </c>
      <c r="U2439" s="17" t="n"/>
      <c r="V2439" s="17" t="n"/>
      <c r="W2439" s="24">
        <f>IF($D2439="","",IF($E2439="※编码不在物料档案里","※物料编码不在档案里",IF(N($J2439)&lt;=0,"※出库数量要大于 0",IF($K2439="","※没填去向类型",IF($L2439="","※没填去向矿区",IF(AND($C2439&lt;&gt;"",$C2439&lt;=结账锁),"※日期早于已结账截止日，不能再录",IF(AND($K2439="自用消耗",COUNTIF({"一矿区";"二矿区"},$L2439)=0),"※自用消耗的去向只能是一矿区或二矿区",IF(AND($K2439="对外销售",COUNTIF({"三矿区";"六矿区"},$L2439)=0),"※对外销售的去向只能是三矿区或六矿区",IF(AND($K2439="对外销售",ROUND($Q2439,0)=0),"※外销却没有售价，请填实际售价",IF(AND($K2439="对外销售",$T2439&lt;&gt;"",$T2439&lt;0),"※这一笔外销是亏的，请核对售价",IF(IFERROR(VLOOKUP($D2439,库存台账!$A$5:$Y$1204,24,0),0)&lt;-0.001,"※这个物料账面已经变成负数了，查一下是不是漏记入库","")))))))))))</f>
        <v/>
      </c>
    </row>
    <row r="2440">
      <c r="A2440" s="24">
        <f>IF($D2440="","",COUNTA($D$4:$D2440))</f>
        <v/>
      </c>
      <c r="B2440" s="17" t="n"/>
      <c r="C2440" s="30" t="n"/>
      <c r="D2440" s="17" t="n"/>
      <c r="E2440" s="24">
        <f>IF($D2440="","",IFERROR(VLOOKUP($D2440,物料档案!$A$4:$P$1203,3,0),"※编码不在物料档案里"))</f>
        <v/>
      </c>
      <c r="F2440" s="24">
        <f>IF($D2440="","",IFERROR(VLOOKUP($D2440,物料档案!$A$4:$P$1203,4,0),"※编码不在物料档案里"))</f>
        <v/>
      </c>
      <c r="G2440" s="24">
        <f>IF($D2440="","",IFERROR(VLOOKUP($D2440,物料档案!$A$4:$P$1203,5,0),"※编码不在物料档案里"))</f>
        <v/>
      </c>
      <c r="H2440" s="24">
        <f>IF($D2440="","",IFERROR(VLOOKUP($D2440,物料档案!$A$4:$P$1203,2,0),"※编码不在物料档案里"))</f>
        <v/>
      </c>
      <c r="I2440" s="24">
        <f>IF($D2440="","",IFERROR(VLOOKUP($D2440,物料档案!$A$4:$P$1203,6,0),"※编码不在物料档案里"))</f>
        <v/>
      </c>
      <c r="J2440" s="23" t="n"/>
      <c r="K2440" s="17" t="n"/>
      <c r="L2440" s="17" t="n"/>
      <c r="M2440" s="17" t="n"/>
      <c r="N2440" s="17" t="n"/>
      <c r="O2440" s="26">
        <f>IF($D2440="","",IFERROR(VLOOKUP($D2440,物料档案!$A$4:$P$1203,10,0),0))</f>
        <v/>
      </c>
      <c r="P2440" s="32" t="n"/>
      <c r="Q2440" s="26">
        <f>IF($D2440="","",IF($K2440&lt;&gt;"对外销售",0,ROUND(N($J2440)*IF($P2440="",N($O2440),N($P2440)),0)))</f>
        <v/>
      </c>
      <c r="R2440" s="26">
        <f>IF($D2440="","",IFERROR(VLOOKUP($D2440,库存台账!$A$5:$Y$1204,11,0),0))</f>
        <v/>
      </c>
      <c r="S2440" s="26">
        <f>IF($D2440="","",ROUND(N($J2440)*N($R2440),0))</f>
        <v/>
      </c>
      <c r="T2440" s="26">
        <f>IF($D2440="","",IF($K2440&lt;&gt;"对外销售","",ROUND($Q2440-$S2440,0)))</f>
        <v/>
      </c>
      <c r="U2440" s="17" t="n"/>
      <c r="V2440" s="17" t="n"/>
      <c r="W2440" s="24">
        <f>IF($D2440="","",IF($E2440="※编码不在物料档案里","※物料编码不在档案里",IF(N($J2440)&lt;=0,"※出库数量要大于 0",IF($K2440="","※没填去向类型",IF($L2440="","※没填去向矿区",IF(AND($C2440&lt;&gt;"",$C2440&lt;=结账锁),"※日期早于已结账截止日，不能再录",IF(AND($K2440="自用消耗",COUNTIF({"一矿区";"二矿区"},$L2440)=0),"※自用消耗的去向只能是一矿区或二矿区",IF(AND($K2440="对外销售",COUNTIF({"三矿区";"六矿区"},$L2440)=0),"※对外销售的去向只能是三矿区或六矿区",IF(AND($K2440="对外销售",ROUND($Q2440,0)=0),"※外销却没有售价，请填实际售价",IF(AND($K2440="对外销售",$T2440&lt;&gt;"",$T2440&lt;0),"※这一笔外销是亏的，请核对售价",IF(IFERROR(VLOOKUP($D2440,库存台账!$A$5:$Y$1204,24,0),0)&lt;-0.001,"※这个物料账面已经变成负数了，查一下是不是漏记入库","")))))))))))</f>
        <v/>
      </c>
    </row>
    <row r="2441">
      <c r="A2441" s="24">
        <f>IF($D2441="","",COUNTA($D$4:$D2441))</f>
        <v/>
      </c>
      <c r="B2441" s="17" t="n"/>
      <c r="C2441" s="30" t="n"/>
      <c r="D2441" s="17" t="n"/>
      <c r="E2441" s="24">
        <f>IF($D2441="","",IFERROR(VLOOKUP($D2441,物料档案!$A$4:$P$1203,3,0),"※编码不在物料档案里"))</f>
        <v/>
      </c>
      <c r="F2441" s="24">
        <f>IF($D2441="","",IFERROR(VLOOKUP($D2441,物料档案!$A$4:$P$1203,4,0),"※编码不在物料档案里"))</f>
        <v/>
      </c>
      <c r="G2441" s="24">
        <f>IF($D2441="","",IFERROR(VLOOKUP($D2441,物料档案!$A$4:$P$1203,5,0),"※编码不在物料档案里"))</f>
        <v/>
      </c>
      <c r="H2441" s="24">
        <f>IF($D2441="","",IFERROR(VLOOKUP($D2441,物料档案!$A$4:$P$1203,2,0),"※编码不在物料档案里"))</f>
        <v/>
      </c>
      <c r="I2441" s="24">
        <f>IF($D2441="","",IFERROR(VLOOKUP($D2441,物料档案!$A$4:$P$1203,6,0),"※编码不在物料档案里"))</f>
        <v/>
      </c>
      <c r="J2441" s="23" t="n"/>
      <c r="K2441" s="17" t="n"/>
      <c r="L2441" s="17" t="n"/>
      <c r="M2441" s="17" t="n"/>
      <c r="N2441" s="17" t="n"/>
      <c r="O2441" s="26">
        <f>IF($D2441="","",IFERROR(VLOOKUP($D2441,物料档案!$A$4:$P$1203,10,0),0))</f>
        <v/>
      </c>
      <c r="P2441" s="32" t="n"/>
      <c r="Q2441" s="26">
        <f>IF($D2441="","",IF($K2441&lt;&gt;"对外销售",0,ROUND(N($J2441)*IF($P2441="",N($O2441),N($P2441)),0)))</f>
        <v/>
      </c>
      <c r="R2441" s="26">
        <f>IF($D2441="","",IFERROR(VLOOKUP($D2441,库存台账!$A$5:$Y$1204,11,0),0))</f>
        <v/>
      </c>
      <c r="S2441" s="26">
        <f>IF($D2441="","",ROUND(N($J2441)*N($R2441),0))</f>
        <v/>
      </c>
      <c r="T2441" s="26">
        <f>IF($D2441="","",IF($K2441&lt;&gt;"对外销售","",ROUND($Q2441-$S2441,0)))</f>
        <v/>
      </c>
      <c r="U2441" s="17" t="n"/>
      <c r="V2441" s="17" t="n"/>
      <c r="W2441" s="24">
        <f>IF($D2441="","",IF($E2441="※编码不在物料档案里","※物料编码不在档案里",IF(N($J2441)&lt;=0,"※出库数量要大于 0",IF($K2441="","※没填去向类型",IF($L2441="","※没填去向矿区",IF(AND($C2441&lt;&gt;"",$C2441&lt;=结账锁),"※日期早于已结账截止日，不能再录",IF(AND($K2441="自用消耗",COUNTIF({"一矿区";"二矿区"},$L2441)=0),"※自用消耗的去向只能是一矿区或二矿区",IF(AND($K2441="对外销售",COUNTIF({"三矿区";"六矿区"},$L2441)=0),"※对外销售的去向只能是三矿区或六矿区",IF(AND($K2441="对外销售",ROUND($Q2441,0)=0),"※外销却没有售价，请填实际售价",IF(AND($K2441="对外销售",$T2441&lt;&gt;"",$T2441&lt;0),"※这一笔外销是亏的，请核对售价",IF(IFERROR(VLOOKUP($D2441,库存台账!$A$5:$Y$1204,24,0),0)&lt;-0.001,"※这个物料账面已经变成负数了，查一下是不是漏记入库","")))))))))))</f>
        <v/>
      </c>
    </row>
    <row r="2442">
      <c r="A2442" s="24">
        <f>IF($D2442="","",COUNTA($D$4:$D2442))</f>
        <v/>
      </c>
      <c r="B2442" s="17" t="n"/>
      <c r="C2442" s="30" t="n"/>
      <c r="D2442" s="17" t="n"/>
      <c r="E2442" s="24">
        <f>IF($D2442="","",IFERROR(VLOOKUP($D2442,物料档案!$A$4:$P$1203,3,0),"※编码不在物料档案里"))</f>
        <v/>
      </c>
      <c r="F2442" s="24">
        <f>IF($D2442="","",IFERROR(VLOOKUP($D2442,物料档案!$A$4:$P$1203,4,0),"※编码不在物料档案里"))</f>
        <v/>
      </c>
      <c r="G2442" s="24">
        <f>IF($D2442="","",IFERROR(VLOOKUP($D2442,物料档案!$A$4:$P$1203,5,0),"※编码不在物料档案里"))</f>
        <v/>
      </c>
      <c r="H2442" s="24">
        <f>IF($D2442="","",IFERROR(VLOOKUP($D2442,物料档案!$A$4:$P$1203,2,0),"※编码不在物料档案里"))</f>
        <v/>
      </c>
      <c r="I2442" s="24">
        <f>IF($D2442="","",IFERROR(VLOOKUP($D2442,物料档案!$A$4:$P$1203,6,0),"※编码不在物料档案里"))</f>
        <v/>
      </c>
      <c r="J2442" s="23" t="n"/>
      <c r="K2442" s="17" t="n"/>
      <c r="L2442" s="17" t="n"/>
      <c r="M2442" s="17" t="n"/>
      <c r="N2442" s="17" t="n"/>
      <c r="O2442" s="26">
        <f>IF($D2442="","",IFERROR(VLOOKUP($D2442,物料档案!$A$4:$P$1203,10,0),0))</f>
        <v/>
      </c>
      <c r="P2442" s="32" t="n"/>
      <c r="Q2442" s="26">
        <f>IF($D2442="","",IF($K2442&lt;&gt;"对外销售",0,ROUND(N($J2442)*IF($P2442="",N($O2442),N($P2442)),0)))</f>
        <v/>
      </c>
      <c r="R2442" s="26">
        <f>IF($D2442="","",IFERROR(VLOOKUP($D2442,库存台账!$A$5:$Y$1204,11,0),0))</f>
        <v/>
      </c>
      <c r="S2442" s="26">
        <f>IF($D2442="","",ROUND(N($J2442)*N($R2442),0))</f>
        <v/>
      </c>
      <c r="T2442" s="26">
        <f>IF($D2442="","",IF($K2442&lt;&gt;"对外销售","",ROUND($Q2442-$S2442,0)))</f>
        <v/>
      </c>
      <c r="U2442" s="17" t="n"/>
      <c r="V2442" s="17" t="n"/>
      <c r="W2442" s="24">
        <f>IF($D2442="","",IF($E2442="※编码不在物料档案里","※物料编码不在档案里",IF(N($J2442)&lt;=0,"※出库数量要大于 0",IF($K2442="","※没填去向类型",IF($L2442="","※没填去向矿区",IF(AND($C2442&lt;&gt;"",$C2442&lt;=结账锁),"※日期早于已结账截止日，不能再录",IF(AND($K2442="自用消耗",COUNTIF({"一矿区";"二矿区"},$L2442)=0),"※自用消耗的去向只能是一矿区或二矿区",IF(AND($K2442="对外销售",COUNTIF({"三矿区";"六矿区"},$L2442)=0),"※对外销售的去向只能是三矿区或六矿区",IF(AND($K2442="对外销售",ROUND($Q2442,0)=0),"※外销却没有售价，请填实际售价",IF(AND($K2442="对外销售",$T2442&lt;&gt;"",$T2442&lt;0),"※这一笔外销是亏的，请核对售价",IF(IFERROR(VLOOKUP($D2442,库存台账!$A$5:$Y$1204,24,0),0)&lt;-0.001,"※这个物料账面已经变成负数了，查一下是不是漏记入库","")))))))))))</f>
        <v/>
      </c>
    </row>
    <row r="2443">
      <c r="A2443" s="24">
        <f>IF($D2443="","",COUNTA($D$4:$D2443))</f>
        <v/>
      </c>
      <c r="B2443" s="17" t="n"/>
      <c r="C2443" s="30" t="n"/>
      <c r="D2443" s="17" t="n"/>
      <c r="E2443" s="24">
        <f>IF($D2443="","",IFERROR(VLOOKUP($D2443,物料档案!$A$4:$P$1203,3,0),"※编码不在物料档案里"))</f>
        <v/>
      </c>
      <c r="F2443" s="24">
        <f>IF($D2443="","",IFERROR(VLOOKUP($D2443,物料档案!$A$4:$P$1203,4,0),"※编码不在物料档案里"))</f>
        <v/>
      </c>
      <c r="G2443" s="24">
        <f>IF($D2443="","",IFERROR(VLOOKUP($D2443,物料档案!$A$4:$P$1203,5,0),"※编码不在物料档案里"))</f>
        <v/>
      </c>
      <c r="H2443" s="24">
        <f>IF($D2443="","",IFERROR(VLOOKUP($D2443,物料档案!$A$4:$P$1203,2,0),"※编码不在物料档案里"))</f>
        <v/>
      </c>
      <c r="I2443" s="24">
        <f>IF($D2443="","",IFERROR(VLOOKUP($D2443,物料档案!$A$4:$P$1203,6,0),"※编码不在物料档案里"))</f>
        <v/>
      </c>
      <c r="J2443" s="23" t="n"/>
      <c r="K2443" s="17" t="n"/>
      <c r="L2443" s="17" t="n"/>
      <c r="M2443" s="17" t="n"/>
      <c r="N2443" s="17" t="n"/>
      <c r="O2443" s="26">
        <f>IF($D2443="","",IFERROR(VLOOKUP($D2443,物料档案!$A$4:$P$1203,10,0),0))</f>
        <v/>
      </c>
      <c r="P2443" s="32" t="n"/>
      <c r="Q2443" s="26">
        <f>IF($D2443="","",IF($K2443&lt;&gt;"对外销售",0,ROUND(N($J2443)*IF($P2443="",N($O2443),N($P2443)),0)))</f>
        <v/>
      </c>
      <c r="R2443" s="26">
        <f>IF($D2443="","",IFERROR(VLOOKUP($D2443,库存台账!$A$5:$Y$1204,11,0),0))</f>
        <v/>
      </c>
      <c r="S2443" s="26">
        <f>IF($D2443="","",ROUND(N($J2443)*N($R2443),0))</f>
        <v/>
      </c>
      <c r="T2443" s="26">
        <f>IF($D2443="","",IF($K2443&lt;&gt;"对外销售","",ROUND($Q2443-$S2443,0)))</f>
        <v/>
      </c>
      <c r="U2443" s="17" t="n"/>
      <c r="V2443" s="17" t="n"/>
      <c r="W2443" s="24">
        <f>IF($D2443="","",IF($E2443="※编码不在物料档案里","※物料编码不在档案里",IF(N($J2443)&lt;=0,"※出库数量要大于 0",IF($K2443="","※没填去向类型",IF($L2443="","※没填去向矿区",IF(AND($C2443&lt;&gt;"",$C2443&lt;=结账锁),"※日期早于已结账截止日，不能再录",IF(AND($K2443="自用消耗",COUNTIF({"一矿区";"二矿区"},$L2443)=0),"※自用消耗的去向只能是一矿区或二矿区",IF(AND($K2443="对外销售",COUNTIF({"三矿区";"六矿区"},$L2443)=0),"※对外销售的去向只能是三矿区或六矿区",IF(AND($K2443="对外销售",ROUND($Q2443,0)=0),"※外销却没有售价，请填实际售价",IF(AND($K2443="对外销售",$T2443&lt;&gt;"",$T2443&lt;0),"※这一笔外销是亏的，请核对售价",IF(IFERROR(VLOOKUP($D2443,库存台账!$A$5:$Y$1204,24,0),0)&lt;-0.001,"※这个物料账面已经变成负数了，查一下是不是漏记入库","")))))))))))</f>
        <v/>
      </c>
    </row>
    <row r="2444">
      <c r="A2444" s="24">
        <f>IF($D2444="","",COUNTA($D$4:$D2444))</f>
        <v/>
      </c>
      <c r="B2444" s="17" t="n"/>
      <c r="C2444" s="30" t="n"/>
      <c r="D2444" s="17" t="n"/>
      <c r="E2444" s="24">
        <f>IF($D2444="","",IFERROR(VLOOKUP($D2444,物料档案!$A$4:$P$1203,3,0),"※编码不在物料档案里"))</f>
        <v/>
      </c>
      <c r="F2444" s="24">
        <f>IF($D2444="","",IFERROR(VLOOKUP($D2444,物料档案!$A$4:$P$1203,4,0),"※编码不在物料档案里"))</f>
        <v/>
      </c>
      <c r="G2444" s="24">
        <f>IF($D2444="","",IFERROR(VLOOKUP($D2444,物料档案!$A$4:$P$1203,5,0),"※编码不在物料档案里"))</f>
        <v/>
      </c>
      <c r="H2444" s="24">
        <f>IF($D2444="","",IFERROR(VLOOKUP($D2444,物料档案!$A$4:$P$1203,2,0),"※编码不在物料档案里"))</f>
        <v/>
      </c>
      <c r="I2444" s="24">
        <f>IF($D2444="","",IFERROR(VLOOKUP($D2444,物料档案!$A$4:$P$1203,6,0),"※编码不在物料档案里"))</f>
        <v/>
      </c>
      <c r="J2444" s="23" t="n"/>
      <c r="K2444" s="17" t="n"/>
      <c r="L2444" s="17" t="n"/>
      <c r="M2444" s="17" t="n"/>
      <c r="N2444" s="17" t="n"/>
      <c r="O2444" s="26">
        <f>IF($D2444="","",IFERROR(VLOOKUP($D2444,物料档案!$A$4:$P$1203,10,0),0))</f>
        <v/>
      </c>
      <c r="P2444" s="32" t="n"/>
      <c r="Q2444" s="26">
        <f>IF($D2444="","",IF($K2444&lt;&gt;"对外销售",0,ROUND(N($J2444)*IF($P2444="",N($O2444),N($P2444)),0)))</f>
        <v/>
      </c>
      <c r="R2444" s="26">
        <f>IF($D2444="","",IFERROR(VLOOKUP($D2444,库存台账!$A$5:$Y$1204,11,0),0))</f>
        <v/>
      </c>
      <c r="S2444" s="26">
        <f>IF($D2444="","",ROUND(N($J2444)*N($R2444),0))</f>
        <v/>
      </c>
      <c r="T2444" s="26">
        <f>IF($D2444="","",IF($K2444&lt;&gt;"对外销售","",ROUND($Q2444-$S2444,0)))</f>
        <v/>
      </c>
      <c r="U2444" s="17" t="n"/>
      <c r="V2444" s="17" t="n"/>
      <c r="W2444" s="24">
        <f>IF($D2444="","",IF($E2444="※编码不在物料档案里","※物料编码不在档案里",IF(N($J2444)&lt;=0,"※出库数量要大于 0",IF($K2444="","※没填去向类型",IF($L2444="","※没填去向矿区",IF(AND($C2444&lt;&gt;"",$C2444&lt;=结账锁),"※日期早于已结账截止日，不能再录",IF(AND($K2444="自用消耗",COUNTIF({"一矿区";"二矿区"},$L2444)=0),"※自用消耗的去向只能是一矿区或二矿区",IF(AND($K2444="对外销售",COUNTIF({"三矿区";"六矿区"},$L2444)=0),"※对外销售的去向只能是三矿区或六矿区",IF(AND($K2444="对外销售",ROUND($Q2444,0)=0),"※外销却没有售价，请填实际售价",IF(AND($K2444="对外销售",$T2444&lt;&gt;"",$T2444&lt;0),"※这一笔外销是亏的，请核对售价",IF(IFERROR(VLOOKUP($D2444,库存台账!$A$5:$Y$1204,24,0),0)&lt;-0.001,"※这个物料账面已经变成负数了，查一下是不是漏记入库","")))))))))))</f>
        <v/>
      </c>
    </row>
    <row r="2445">
      <c r="A2445" s="24">
        <f>IF($D2445="","",COUNTA($D$4:$D2445))</f>
        <v/>
      </c>
      <c r="B2445" s="17" t="n"/>
      <c r="C2445" s="30" t="n"/>
      <c r="D2445" s="17" t="n"/>
      <c r="E2445" s="24">
        <f>IF($D2445="","",IFERROR(VLOOKUP($D2445,物料档案!$A$4:$P$1203,3,0),"※编码不在物料档案里"))</f>
        <v/>
      </c>
      <c r="F2445" s="24">
        <f>IF($D2445="","",IFERROR(VLOOKUP($D2445,物料档案!$A$4:$P$1203,4,0),"※编码不在物料档案里"))</f>
        <v/>
      </c>
      <c r="G2445" s="24">
        <f>IF($D2445="","",IFERROR(VLOOKUP($D2445,物料档案!$A$4:$P$1203,5,0),"※编码不在物料档案里"))</f>
        <v/>
      </c>
      <c r="H2445" s="24">
        <f>IF($D2445="","",IFERROR(VLOOKUP($D2445,物料档案!$A$4:$P$1203,2,0),"※编码不在物料档案里"))</f>
        <v/>
      </c>
      <c r="I2445" s="24">
        <f>IF($D2445="","",IFERROR(VLOOKUP($D2445,物料档案!$A$4:$P$1203,6,0),"※编码不在物料档案里"))</f>
        <v/>
      </c>
      <c r="J2445" s="23" t="n"/>
      <c r="K2445" s="17" t="n"/>
      <c r="L2445" s="17" t="n"/>
      <c r="M2445" s="17" t="n"/>
      <c r="N2445" s="17" t="n"/>
      <c r="O2445" s="26">
        <f>IF($D2445="","",IFERROR(VLOOKUP($D2445,物料档案!$A$4:$P$1203,10,0),0))</f>
        <v/>
      </c>
      <c r="P2445" s="32" t="n"/>
      <c r="Q2445" s="26">
        <f>IF($D2445="","",IF($K2445&lt;&gt;"对外销售",0,ROUND(N($J2445)*IF($P2445="",N($O2445),N($P2445)),0)))</f>
        <v/>
      </c>
      <c r="R2445" s="26">
        <f>IF($D2445="","",IFERROR(VLOOKUP($D2445,库存台账!$A$5:$Y$1204,11,0),0))</f>
        <v/>
      </c>
      <c r="S2445" s="26">
        <f>IF($D2445="","",ROUND(N($J2445)*N($R2445),0))</f>
        <v/>
      </c>
      <c r="T2445" s="26">
        <f>IF($D2445="","",IF($K2445&lt;&gt;"对外销售","",ROUND($Q2445-$S2445,0)))</f>
        <v/>
      </c>
      <c r="U2445" s="17" t="n"/>
      <c r="V2445" s="17" t="n"/>
      <c r="W2445" s="24">
        <f>IF($D2445="","",IF($E2445="※编码不在物料档案里","※物料编码不在档案里",IF(N($J2445)&lt;=0,"※出库数量要大于 0",IF($K2445="","※没填去向类型",IF($L2445="","※没填去向矿区",IF(AND($C2445&lt;&gt;"",$C2445&lt;=结账锁),"※日期早于已结账截止日，不能再录",IF(AND($K2445="自用消耗",COUNTIF({"一矿区";"二矿区"},$L2445)=0),"※自用消耗的去向只能是一矿区或二矿区",IF(AND($K2445="对外销售",COUNTIF({"三矿区";"六矿区"},$L2445)=0),"※对外销售的去向只能是三矿区或六矿区",IF(AND($K2445="对外销售",ROUND($Q2445,0)=0),"※外销却没有售价，请填实际售价",IF(AND($K2445="对外销售",$T2445&lt;&gt;"",$T2445&lt;0),"※这一笔外销是亏的，请核对售价",IF(IFERROR(VLOOKUP($D2445,库存台账!$A$5:$Y$1204,24,0),0)&lt;-0.001,"※这个物料账面已经变成负数了，查一下是不是漏记入库","")))))))))))</f>
        <v/>
      </c>
    </row>
    <row r="2446">
      <c r="A2446" s="24">
        <f>IF($D2446="","",COUNTA($D$4:$D2446))</f>
        <v/>
      </c>
      <c r="B2446" s="17" t="n"/>
      <c r="C2446" s="30" t="n"/>
      <c r="D2446" s="17" t="n"/>
      <c r="E2446" s="24">
        <f>IF($D2446="","",IFERROR(VLOOKUP($D2446,物料档案!$A$4:$P$1203,3,0),"※编码不在物料档案里"))</f>
        <v/>
      </c>
      <c r="F2446" s="24">
        <f>IF($D2446="","",IFERROR(VLOOKUP($D2446,物料档案!$A$4:$P$1203,4,0),"※编码不在物料档案里"))</f>
        <v/>
      </c>
      <c r="G2446" s="24">
        <f>IF($D2446="","",IFERROR(VLOOKUP($D2446,物料档案!$A$4:$P$1203,5,0),"※编码不在物料档案里"))</f>
        <v/>
      </c>
      <c r="H2446" s="24">
        <f>IF($D2446="","",IFERROR(VLOOKUP($D2446,物料档案!$A$4:$P$1203,2,0),"※编码不在物料档案里"))</f>
        <v/>
      </c>
      <c r="I2446" s="24">
        <f>IF($D2446="","",IFERROR(VLOOKUP($D2446,物料档案!$A$4:$P$1203,6,0),"※编码不在物料档案里"))</f>
        <v/>
      </c>
      <c r="J2446" s="23" t="n"/>
      <c r="K2446" s="17" t="n"/>
      <c r="L2446" s="17" t="n"/>
      <c r="M2446" s="17" t="n"/>
      <c r="N2446" s="17" t="n"/>
      <c r="O2446" s="26">
        <f>IF($D2446="","",IFERROR(VLOOKUP($D2446,物料档案!$A$4:$P$1203,10,0),0))</f>
        <v/>
      </c>
      <c r="P2446" s="32" t="n"/>
      <c r="Q2446" s="26">
        <f>IF($D2446="","",IF($K2446&lt;&gt;"对外销售",0,ROUND(N($J2446)*IF($P2446="",N($O2446),N($P2446)),0)))</f>
        <v/>
      </c>
      <c r="R2446" s="26">
        <f>IF($D2446="","",IFERROR(VLOOKUP($D2446,库存台账!$A$5:$Y$1204,11,0),0))</f>
        <v/>
      </c>
      <c r="S2446" s="26">
        <f>IF($D2446="","",ROUND(N($J2446)*N($R2446),0))</f>
        <v/>
      </c>
      <c r="T2446" s="26">
        <f>IF($D2446="","",IF($K2446&lt;&gt;"对外销售","",ROUND($Q2446-$S2446,0)))</f>
        <v/>
      </c>
      <c r="U2446" s="17" t="n"/>
      <c r="V2446" s="17" t="n"/>
      <c r="W2446" s="24">
        <f>IF($D2446="","",IF($E2446="※编码不在物料档案里","※物料编码不在档案里",IF(N($J2446)&lt;=0,"※出库数量要大于 0",IF($K2446="","※没填去向类型",IF($L2446="","※没填去向矿区",IF(AND($C2446&lt;&gt;"",$C2446&lt;=结账锁),"※日期早于已结账截止日，不能再录",IF(AND($K2446="自用消耗",COUNTIF({"一矿区";"二矿区"},$L2446)=0),"※自用消耗的去向只能是一矿区或二矿区",IF(AND($K2446="对外销售",COUNTIF({"三矿区";"六矿区"},$L2446)=0),"※对外销售的去向只能是三矿区或六矿区",IF(AND($K2446="对外销售",ROUND($Q2446,0)=0),"※外销却没有售价，请填实际售价",IF(AND($K2446="对外销售",$T2446&lt;&gt;"",$T2446&lt;0),"※这一笔外销是亏的，请核对售价",IF(IFERROR(VLOOKUP($D2446,库存台账!$A$5:$Y$1204,24,0),0)&lt;-0.001,"※这个物料账面已经变成负数了，查一下是不是漏记入库","")))))))))))</f>
        <v/>
      </c>
    </row>
    <row r="2447">
      <c r="A2447" s="24">
        <f>IF($D2447="","",COUNTA($D$4:$D2447))</f>
        <v/>
      </c>
      <c r="B2447" s="17" t="n"/>
      <c r="C2447" s="30" t="n"/>
      <c r="D2447" s="17" t="n"/>
      <c r="E2447" s="24">
        <f>IF($D2447="","",IFERROR(VLOOKUP($D2447,物料档案!$A$4:$P$1203,3,0),"※编码不在物料档案里"))</f>
        <v/>
      </c>
      <c r="F2447" s="24">
        <f>IF($D2447="","",IFERROR(VLOOKUP($D2447,物料档案!$A$4:$P$1203,4,0),"※编码不在物料档案里"))</f>
        <v/>
      </c>
      <c r="G2447" s="24">
        <f>IF($D2447="","",IFERROR(VLOOKUP($D2447,物料档案!$A$4:$P$1203,5,0),"※编码不在物料档案里"))</f>
        <v/>
      </c>
      <c r="H2447" s="24">
        <f>IF($D2447="","",IFERROR(VLOOKUP($D2447,物料档案!$A$4:$P$1203,2,0),"※编码不在物料档案里"))</f>
        <v/>
      </c>
      <c r="I2447" s="24">
        <f>IF($D2447="","",IFERROR(VLOOKUP($D2447,物料档案!$A$4:$P$1203,6,0),"※编码不在物料档案里"))</f>
        <v/>
      </c>
      <c r="J2447" s="23" t="n"/>
      <c r="K2447" s="17" t="n"/>
      <c r="L2447" s="17" t="n"/>
      <c r="M2447" s="17" t="n"/>
      <c r="N2447" s="17" t="n"/>
      <c r="O2447" s="26">
        <f>IF($D2447="","",IFERROR(VLOOKUP($D2447,物料档案!$A$4:$P$1203,10,0),0))</f>
        <v/>
      </c>
      <c r="P2447" s="32" t="n"/>
      <c r="Q2447" s="26">
        <f>IF($D2447="","",IF($K2447&lt;&gt;"对外销售",0,ROUND(N($J2447)*IF($P2447="",N($O2447),N($P2447)),0)))</f>
        <v/>
      </c>
      <c r="R2447" s="26">
        <f>IF($D2447="","",IFERROR(VLOOKUP($D2447,库存台账!$A$5:$Y$1204,11,0),0))</f>
        <v/>
      </c>
      <c r="S2447" s="26">
        <f>IF($D2447="","",ROUND(N($J2447)*N($R2447),0))</f>
        <v/>
      </c>
      <c r="T2447" s="26">
        <f>IF($D2447="","",IF($K2447&lt;&gt;"对外销售","",ROUND($Q2447-$S2447,0)))</f>
        <v/>
      </c>
      <c r="U2447" s="17" t="n"/>
      <c r="V2447" s="17" t="n"/>
      <c r="W2447" s="24">
        <f>IF($D2447="","",IF($E2447="※编码不在物料档案里","※物料编码不在档案里",IF(N($J2447)&lt;=0,"※出库数量要大于 0",IF($K2447="","※没填去向类型",IF($L2447="","※没填去向矿区",IF(AND($C2447&lt;&gt;"",$C2447&lt;=结账锁),"※日期早于已结账截止日，不能再录",IF(AND($K2447="自用消耗",COUNTIF({"一矿区";"二矿区"},$L2447)=0),"※自用消耗的去向只能是一矿区或二矿区",IF(AND($K2447="对外销售",COUNTIF({"三矿区";"六矿区"},$L2447)=0),"※对外销售的去向只能是三矿区或六矿区",IF(AND($K2447="对外销售",ROUND($Q2447,0)=0),"※外销却没有售价，请填实际售价",IF(AND($K2447="对外销售",$T2447&lt;&gt;"",$T2447&lt;0),"※这一笔外销是亏的，请核对售价",IF(IFERROR(VLOOKUP($D2447,库存台账!$A$5:$Y$1204,24,0),0)&lt;-0.001,"※这个物料账面已经变成负数了，查一下是不是漏记入库","")))))))))))</f>
        <v/>
      </c>
    </row>
    <row r="2448">
      <c r="A2448" s="24">
        <f>IF($D2448="","",COUNTA($D$4:$D2448))</f>
        <v/>
      </c>
      <c r="B2448" s="17" t="n"/>
      <c r="C2448" s="30" t="n"/>
      <c r="D2448" s="17" t="n"/>
      <c r="E2448" s="24">
        <f>IF($D2448="","",IFERROR(VLOOKUP($D2448,物料档案!$A$4:$P$1203,3,0),"※编码不在物料档案里"))</f>
        <v/>
      </c>
      <c r="F2448" s="24">
        <f>IF($D2448="","",IFERROR(VLOOKUP($D2448,物料档案!$A$4:$P$1203,4,0),"※编码不在物料档案里"))</f>
        <v/>
      </c>
      <c r="G2448" s="24">
        <f>IF($D2448="","",IFERROR(VLOOKUP($D2448,物料档案!$A$4:$P$1203,5,0),"※编码不在物料档案里"))</f>
        <v/>
      </c>
      <c r="H2448" s="24">
        <f>IF($D2448="","",IFERROR(VLOOKUP($D2448,物料档案!$A$4:$P$1203,2,0),"※编码不在物料档案里"))</f>
        <v/>
      </c>
      <c r="I2448" s="24">
        <f>IF($D2448="","",IFERROR(VLOOKUP($D2448,物料档案!$A$4:$P$1203,6,0),"※编码不在物料档案里"))</f>
        <v/>
      </c>
      <c r="J2448" s="23" t="n"/>
      <c r="K2448" s="17" t="n"/>
      <c r="L2448" s="17" t="n"/>
      <c r="M2448" s="17" t="n"/>
      <c r="N2448" s="17" t="n"/>
      <c r="O2448" s="26">
        <f>IF($D2448="","",IFERROR(VLOOKUP($D2448,物料档案!$A$4:$P$1203,10,0),0))</f>
        <v/>
      </c>
      <c r="P2448" s="32" t="n"/>
      <c r="Q2448" s="26">
        <f>IF($D2448="","",IF($K2448&lt;&gt;"对外销售",0,ROUND(N($J2448)*IF($P2448="",N($O2448),N($P2448)),0)))</f>
        <v/>
      </c>
      <c r="R2448" s="26">
        <f>IF($D2448="","",IFERROR(VLOOKUP($D2448,库存台账!$A$5:$Y$1204,11,0),0))</f>
        <v/>
      </c>
      <c r="S2448" s="26">
        <f>IF($D2448="","",ROUND(N($J2448)*N($R2448),0))</f>
        <v/>
      </c>
      <c r="T2448" s="26">
        <f>IF($D2448="","",IF($K2448&lt;&gt;"对外销售","",ROUND($Q2448-$S2448,0)))</f>
        <v/>
      </c>
      <c r="U2448" s="17" t="n"/>
      <c r="V2448" s="17" t="n"/>
      <c r="W2448" s="24">
        <f>IF($D2448="","",IF($E2448="※编码不在物料档案里","※物料编码不在档案里",IF(N($J2448)&lt;=0,"※出库数量要大于 0",IF($K2448="","※没填去向类型",IF($L2448="","※没填去向矿区",IF(AND($C2448&lt;&gt;"",$C2448&lt;=结账锁),"※日期早于已结账截止日，不能再录",IF(AND($K2448="自用消耗",COUNTIF({"一矿区";"二矿区"},$L2448)=0),"※自用消耗的去向只能是一矿区或二矿区",IF(AND($K2448="对外销售",COUNTIF({"三矿区";"六矿区"},$L2448)=0),"※对外销售的去向只能是三矿区或六矿区",IF(AND($K2448="对外销售",ROUND($Q2448,0)=0),"※外销却没有售价，请填实际售价",IF(AND($K2448="对外销售",$T2448&lt;&gt;"",$T2448&lt;0),"※这一笔外销是亏的，请核对售价",IF(IFERROR(VLOOKUP($D2448,库存台账!$A$5:$Y$1204,24,0),0)&lt;-0.001,"※这个物料账面已经变成负数了，查一下是不是漏记入库","")))))))))))</f>
        <v/>
      </c>
    </row>
    <row r="2449">
      <c r="A2449" s="24">
        <f>IF($D2449="","",COUNTA($D$4:$D2449))</f>
        <v/>
      </c>
      <c r="B2449" s="17" t="n"/>
      <c r="C2449" s="30" t="n"/>
      <c r="D2449" s="17" t="n"/>
      <c r="E2449" s="24">
        <f>IF($D2449="","",IFERROR(VLOOKUP($D2449,物料档案!$A$4:$P$1203,3,0),"※编码不在物料档案里"))</f>
        <v/>
      </c>
      <c r="F2449" s="24">
        <f>IF($D2449="","",IFERROR(VLOOKUP($D2449,物料档案!$A$4:$P$1203,4,0),"※编码不在物料档案里"))</f>
        <v/>
      </c>
      <c r="G2449" s="24">
        <f>IF($D2449="","",IFERROR(VLOOKUP($D2449,物料档案!$A$4:$P$1203,5,0),"※编码不在物料档案里"))</f>
        <v/>
      </c>
      <c r="H2449" s="24">
        <f>IF($D2449="","",IFERROR(VLOOKUP($D2449,物料档案!$A$4:$P$1203,2,0),"※编码不在物料档案里"))</f>
        <v/>
      </c>
      <c r="I2449" s="24">
        <f>IF($D2449="","",IFERROR(VLOOKUP($D2449,物料档案!$A$4:$P$1203,6,0),"※编码不在物料档案里"))</f>
        <v/>
      </c>
      <c r="J2449" s="23" t="n"/>
      <c r="K2449" s="17" t="n"/>
      <c r="L2449" s="17" t="n"/>
      <c r="M2449" s="17" t="n"/>
      <c r="N2449" s="17" t="n"/>
      <c r="O2449" s="26">
        <f>IF($D2449="","",IFERROR(VLOOKUP($D2449,物料档案!$A$4:$P$1203,10,0),0))</f>
        <v/>
      </c>
      <c r="P2449" s="32" t="n"/>
      <c r="Q2449" s="26">
        <f>IF($D2449="","",IF($K2449&lt;&gt;"对外销售",0,ROUND(N($J2449)*IF($P2449="",N($O2449),N($P2449)),0)))</f>
        <v/>
      </c>
      <c r="R2449" s="26">
        <f>IF($D2449="","",IFERROR(VLOOKUP($D2449,库存台账!$A$5:$Y$1204,11,0),0))</f>
        <v/>
      </c>
      <c r="S2449" s="26">
        <f>IF($D2449="","",ROUND(N($J2449)*N($R2449),0))</f>
        <v/>
      </c>
      <c r="T2449" s="26">
        <f>IF($D2449="","",IF($K2449&lt;&gt;"对外销售","",ROUND($Q2449-$S2449,0)))</f>
        <v/>
      </c>
      <c r="U2449" s="17" t="n"/>
      <c r="V2449" s="17" t="n"/>
      <c r="W2449" s="24">
        <f>IF($D2449="","",IF($E2449="※编码不在物料档案里","※物料编码不在档案里",IF(N($J2449)&lt;=0,"※出库数量要大于 0",IF($K2449="","※没填去向类型",IF($L2449="","※没填去向矿区",IF(AND($C2449&lt;&gt;"",$C2449&lt;=结账锁),"※日期早于已结账截止日，不能再录",IF(AND($K2449="自用消耗",COUNTIF({"一矿区";"二矿区"},$L2449)=0),"※自用消耗的去向只能是一矿区或二矿区",IF(AND($K2449="对外销售",COUNTIF({"三矿区";"六矿区"},$L2449)=0),"※对外销售的去向只能是三矿区或六矿区",IF(AND($K2449="对外销售",ROUND($Q2449,0)=0),"※外销却没有售价，请填实际售价",IF(AND($K2449="对外销售",$T2449&lt;&gt;"",$T2449&lt;0),"※这一笔外销是亏的，请核对售价",IF(IFERROR(VLOOKUP($D2449,库存台账!$A$5:$Y$1204,24,0),0)&lt;-0.001,"※这个物料账面已经变成负数了，查一下是不是漏记入库","")))))))))))</f>
        <v/>
      </c>
    </row>
    <row r="2450">
      <c r="A2450" s="24">
        <f>IF($D2450="","",COUNTA($D$4:$D2450))</f>
        <v/>
      </c>
      <c r="B2450" s="17" t="n"/>
      <c r="C2450" s="30" t="n"/>
      <c r="D2450" s="17" t="n"/>
      <c r="E2450" s="24">
        <f>IF($D2450="","",IFERROR(VLOOKUP($D2450,物料档案!$A$4:$P$1203,3,0),"※编码不在物料档案里"))</f>
        <v/>
      </c>
      <c r="F2450" s="24">
        <f>IF($D2450="","",IFERROR(VLOOKUP($D2450,物料档案!$A$4:$P$1203,4,0),"※编码不在物料档案里"))</f>
        <v/>
      </c>
      <c r="G2450" s="24">
        <f>IF($D2450="","",IFERROR(VLOOKUP($D2450,物料档案!$A$4:$P$1203,5,0),"※编码不在物料档案里"))</f>
        <v/>
      </c>
      <c r="H2450" s="24">
        <f>IF($D2450="","",IFERROR(VLOOKUP($D2450,物料档案!$A$4:$P$1203,2,0),"※编码不在物料档案里"))</f>
        <v/>
      </c>
      <c r="I2450" s="24">
        <f>IF($D2450="","",IFERROR(VLOOKUP($D2450,物料档案!$A$4:$P$1203,6,0),"※编码不在物料档案里"))</f>
        <v/>
      </c>
      <c r="J2450" s="23" t="n"/>
      <c r="K2450" s="17" t="n"/>
      <c r="L2450" s="17" t="n"/>
      <c r="M2450" s="17" t="n"/>
      <c r="N2450" s="17" t="n"/>
      <c r="O2450" s="26">
        <f>IF($D2450="","",IFERROR(VLOOKUP($D2450,物料档案!$A$4:$P$1203,10,0),0))</f>
        <v/>
      </c>
      <c r="P2450" s="32" t="n"/>
      <c r="Q2450" s="26">
        <f>IF($D2450="","",IF($K2450&lt;&gt;"对外销售",0,ROUND(N($J2450)*IF($P2450="",N($O2450),N($P2450)),0)))</f>
        <v/>
      </c>
      <c r="R2450" s="26">
        <f>IF($D2450="","",IFERROR(VLOOKUP($D2450,库存台账!$A$5:$Y$1204,11,0),0))</f>
        <v/>
      </c>
      <c r="S2450" s="26">
        <f>IF($D2450="","",ROUND(N($J2450)*N($R2450),0))</f>
        <v/>
      </c>
      <c r="T2450" s="26">
        <f>IF($D2450="","",IF($K2450&lt;&gt;"对外销售","",ROUND($Q2450-$S2450,0)))</f>
        <v/>
      </c>
      <c r="U2450" s="17" t="n"/>
      <c r="V2450" s="17" t="n"/>
      <c r="W2450" s="24">
        <f>IF($D2450="","",IF($E2450="※编码不在物料档案里","※物料编码不在档案里",IF(N($J2450)&lt;=0,"※出库数量要大于 0",IF($K2450="","※没填去向类型",IF($L2450="","※没填去向矿区",IF(AND($C2450&lt;&gt;"",$C2450&lt;=结账锁),"※日期早于已结账截止日，不能再录",IF(AND($K2450="自用消耗",COUNTIF({"一矿区";"二矿区"},$L2450)=0),"※自用消耗的去向只能是一矿区或二矿区",IF(AND($K2450="对外销售",COUNTIF({"三矿区";"六矿区"},$L2450)=0),"※对外销售的去向只能是三矿区或六矿区",IF(AND($K2450="对外销售",ROUND($Q2450,0)=0),"※外销却没有售价，请填实际售价",IF(AND($K2450="对外销售",$T2450&lt;&gt;"",$T2450&lt;0),"※这一笔外销是亏的，请核对售价",IF(IFERROR(VLOOKUP($D2450,库存台账!$A$5:$Y$1204,24,0),0)&lt;-0.001,"※这个物料账面已经变成负数了，查一下是不是漏记入库","")))))))))))</f>
        <v/>
      </c>
    </row>
    <row r="2451">
      <c r="A2451" s="24">
        <f>IF($D2451="","",COUNTA($D$4:$D2451))</f>
        <v/>
      </c>
      <c r="B2451" s="17" t="n"/>
      <c r="C2451" s="30" t="n"/>
      <c r="D2451" s="17" t="n"/>
      <c r="E2451" s="24">
        <f>IF($D2451="","",IFERROR(VLOOKUP($D2451,物料档案!$A$4:$P$1203,3,0),"※编码不在物料档案里"))</f>
        <v/>
      </c>
      <c r="F2451" s="24">
        <f>IF($D2451="","",IFERROR(VLOOKUP($D2451,物料档案!$A$4:$P$1203,4,0),"※编码不在物料档案里"))</f>
        <v/>
      </c>
      <c r="G2451" s="24">
        <f>IF($D2451="","",IFERROR(VLOOKUP($D2451,物料档案!$A$4:$P$1203,5,0),"※编码不在物料档案里"))</f>
        <v/>
      </c>
      <c r="H2451" s="24">
        <f>IF($D2451="","",IFERROR(VLOOKUP($D2451,物料档案!$A$4:$P$1203,2,0),"※编码不在物料档案里"))</f>
        <v/>
      </c>
      <c r="I2451" s="24">
        <f>IF($D2451="","",IFERROR(VLOOKUP($D2451,物料档案!$A$4:$P$1203,6,0),"※编码不在物料档案里"))</f>
        <v/>
      </c>
      <c r="J2451" s="23" t="n"/>
      <c r="K2451" s="17" t="n"/>
      <c r="L2451" s="17" t="n"/>
      <c r="M2451" s="17" t="n"/>
      <c r="N2451" s="17" t="n"/>
      <c r="O2451" s="26">
        <f>IF($D2451="","",IFERROR(VLOOKUP($D2451,物料档案!$A$4:$P$1203,10,0),0))</f>
        <v/>
      </c>
      <c r="P2451" s="32" t="n"/>
      <c r="Q2451" s="26">
        <f>IF($D2451="","",IF($K2451&lt;&gt;"对外销售",0,ROUND(N($J2451)*IF($P2451="",N($O2451),N($P2451)),0)))</f>
        <v/>
      </c>
      <c r="R2451" s="26">
        <f>IF($D2451="","",IFERROR(VLOOKUP($D2451,库存台账!$A$5:$Y$1204,11,0),0))</f>
        <v/>
      </c>
      <c r="S2451" s="26">
        <f>IF($D2451="","",ROUND(N($J2451)*N($R2451),0))</f>
        <v/>
      </c>
      <c r="T2451" s="26">
        <f>IF($D2451="","",IF($K2451&lt;&gt;"对外销售","",ROUND($Q2451-$S2451,0)))</f>
        <v/>
      </c>
      <c r="U2451" s="17" t="n"/>
      <c r="V2451" s="17" t="n"/>
      <c r="W2451" s="24">
        <f>IF($D2451="","",IF($E2451="※编码不在物料档案里","※物料编码不在档案里",IF(N($J2451)&lt;=0,"※出库数量要大于 0",IF($K2451="","※没填去向类型",IF($L2451="","※没填去向矿区",IF(AND($C2451&lt;&gt;"",$C2451&lt;=结账锁),"※日期早于已结账截止日，不能再录",IF(AND($K2451="自用消耗",COUNTIF({"一矿区";"二矿区"},$L2451)=0),"※自用消耗的去向只能是一矿区或二矿区",IF(AND($K2451="对外销售",COUNTIF({"三矿区";"六矿区"},$L2451)=0),"※对外销售的去向只能是三矿区或六矿区",IF(AND($K2451="对外销售",ROUND($Q2451,0)=0),"※外销却没有售价，请填实际售价",IF(AND($K2451="对外销售",$T2451&lt;&gt;"",$T2451&lt;0),"※这一笔外销是亏的，请核对售价",IF(IFERROR(VLOOKUP($D2451,库存台账!$A$5:$Y$1204,24,0),0)&lt;-0.001,"※这个物料账面已经变成负数了，查一下是不是漏记入库","")))))))))))</f>
        <v/>
      </c>
    </row>
    <row r="2452">
      <c r="A2452" s="24">
        <f>IF($D2452="","",COUNTA($D$4:$D2452))</f>
        <v/>
      </c>
      <c r="B2452" s="17" t="n"/>
      <c r="C2452" s="30" t="n"/>
      <c r="D2452" s="17" t="n"/>
      <c r="E2452" s="24">
        <f>IF($D2452="","",IFERROR(VLOOKUP($D2452,物料档案!$A$4:$P$1203,3,0),"※编码不在物料档案里"))</f>
        <v/>
      </c>
      <c r="F2452" s="24">
        <f>IF($D2452="","",IFERROR(VLOOKUP($D2452,物料档案!$A$4:$P$1203,4,0),"※编码不在物料档案里"))</f>
        <v/>
      </c>
      <c r="G2452" s="24">
        <f>IF($D2452="","",IFERROR(VLOOKUP($D2452,物料档案!$A$4:$P$1203,5,0),"※编码不在物料档案里"))</f>
        <v/>
      </c>
      <c r="H2452" s="24">
        <f>IF($D2452="","",IFERROR(VLOOKUP($D2452,物料档案!$A$4:$P$1203,2,0),"※编码不在物料档案里"))</f>
        <v/>
      </c>
      <c r="I2452" s="24">
        <f>IF($D2452="","",IFERROR(VLOOKUP($D2452,物料档案!$A$4:$P$1203,6,0),"※编码不在物料档案里"))</f>
        <v/>
      </c>
      <c r="J2452" s="23" t="n"/>
      <c r="K2452" s="17" t="n"/>
      <c r="L2452" s="17" t="n"/>
      <c r="M2452" s="17" t="n"/>
      <c r="N2452" s="17" t="n"/>
      <c r="O2452" s="26">
        <f>IF($D2452="","",IFERROR(VLOOKUP($D2452,物料档案!$A$4:$P$1203,10,0),0))</f>
        <v/>
      </c>
      <c r="P2452" s="32" t="n"/>
      <c r="Q2452" s="26">
        <f>IF($D2452="","",IF($K2452&lt;&gt;"对外销售",0,ROUND(N($J2452)*IF($P2452="",N($O2452),N($P2452)),0)))</f>
        <v/>
      </c>
      <c r="R2452" s="26">
        <f>IF($D2452="","",IFERROR(VLOOKUP($D2452,库存台账!$A$5:$Y$1204,11,0),0))</f>
        <v/>
      </c>
      <c r="S2452" s="26">
        <f>IF($D2452="","",ROUND(N($J2452)*N($R2452),0))</f>
        <v/>
      </c>
      <c r="T2452" s="26">
        <f>IF($D2452="","",IF($K2452&lt;&gt;"对外销售","",ROUND($Q2452-$S2452,0)))</f>
        <v/>
      </c>
      <c r="U2452" s="17" t="n"/>
      <c r="V2452" s="17" t="n"/>
      <c r="W2452" s="24">
        <f>IF($D2452="","",IF($E2452="※编码不在物料档案里","※物料编码不在档案里",IF(N($J2452)&lt;=0,"※出库数量要大于 0",IF($K2452="","※没填去向类型",IF($L2452="","※没填去向矿区",IF(AND($C2452&lt;&gt;"",$C2452&lt;=结账锁),"※日期早于已结账截止日，不能再录",IF(AND($K2452="自用消耗",COUNTIF({"一矿区";"二矿区"},$L2452)=0),"※自用消耗的去向只能是一矿区或二矿区",IF(AND($K2452="对外销售",COUNTIF({"三矿区";"六矿区"},$L2452)=0),"※对外销售的去向只能是三矿区或六矿区",IF(AND($K2452="对外销售",ROUND($Q2452,0)=0),"※外销却没有售价，请填实际售价",IF(AND($K2452="对外销售",$T2452&lt;&gt;"",$T2452&lt;0),"※这一笔外销是亏的，请核对售价",IF(IFERROR(VLOOKUP($D2452,库存台账!$A$5:$Y$1204,24,0),0)&lt;-0.001,"※这个物料账面已经变成负数了，查一下是不是漏记入库","")))))))))))</f>
        <v/>
      </c>
    </row>
    <row r="2453">
      <c r="A2453" s="24">
        <f>IF($D2453="","",COUNTA($D$4:$D2453))</f>
        <v/>
      </c>
      <c r="B2453" s="17" t="n"/>
      <c r="C2453" s="30" t="n"/>
      <c r="D2453" s="17" t="n"/>
      <c r="E2453" s="24">
        <f>IF($D2453="","",IFERROR(VLOOKUP($D2453,物料档案!$A$4:$P$1203,3,0),"※编码不在物料档案里"))</f>
        <v/>
      </c>
      <c r="F2453" s="24">
        <f>IF($D2453="","",IFERROR(VLOOKUP($D2453,物料档案!$A$4:$P$1203,4,0),"※编码不在物料档案里"))</f>
        <v/>
      </c>
      <c r="G2453" s="24">
        <f>IF($D2453="","",IFERROR(VLOOKUP($D2453,物料档案!$A$4:$P$1203,5,0),"※编码不在物料档案里"))</f>
        <v/>
      </c>
      <c r="H2453" s="24">
        <f>IF($D2453="","",IFERROR(VLOOKUP($D2453,物料档案!$A$4:$P$1203,2,0),"※编码不在物料档案里"))</f>
        <v/>
      </c>
      <c r="I2453" s="24">
        <f>IF($D2453="","",IFERROR(VLOOKUP($D2453,物料档案!$A$4:$P$1203,6,0),"※编码不在物料档案里"))</f>
        <v/>
      </c>
      <c r="J2453" s="23" t="n"/>
      <c r="K2453" s="17" t="n"/>
      <c r="L2453" s="17" t="n"/>
      <c r="M2453" s="17" t="n"/>
      <c r="N2453" s="17" t="n"/>
      <c r="O2453" s="26">
        <f>IF($D2453="","",IFERROR(VLOOKUP($D2453,物料档案!$A$4:$P$1203,10,0),0))</f>
        <v/>
      </c>
      <c r="P2453" s="32" t="n"/>
      <c r="Q2453" s="26">
        <f>IF($D2453="","",IF($K2453&lt;&gt;"对外销售",0,ROUND(N($J2453)*IF($P2453="",N($O2453),N($P2453)),0)))</f>
        <v/>
      </c>
      <c r="R2453" s="26">
        <f>IF($D2453="","",IFERROR(VLOOKUP($D2453,库存台账!$A$5:$Y$1204,11,0),0))</f>
        <v/>
      </c>
      <c r="S2453" s="26">
        <f>IF($D2453="","",ROUND(N($J2453)*N($R2453),0))</f>
        <v/>
      </c>
      <c r="T2453" s="26">
        <f>IF($D2453="","",IF($K2453&lt;&gt;"对外销售","",ROUND($Q2453-$S2453,0)))</f>
        <v/>
      </c>
      <c r="U2453" s="17" t="n"/>
      <c r="V2453" s="17" t="n"/>
      <c r="W2453" s="24">
        <f>IF($D2453="","",IF($E2453="※编码不在物料档案里","※物料编码不在档案里",IF(N($J2453)&lt;=0,"※出库数量要大于 0",IF($K2453="","※没填去向类型",IF($L2453="","※没填去向矿区",IF(AND($C2453&lt;&gt;"",$C2453&lt;=结账锁),"※日期早于已结账截止日，不能再录",IF(AND($K2453="自用消耗",COUNTIF({"一矿区";"二矿区"},$L2453)=0),"※自用消耗的去向只能是一矿区或二矿区",IF(AND($K2453="对外销售",COUNTIF({"三矿区";"六矿区"},$L2453)=0),"※对外销售的去向只能是三矿区或六矿区",IF(AND($K2453="对外销售",ROUND($Q2453,0)=0),"※外销却没有售价，请填实际售价",IF(AND($K2453="对外销售",$T2453&lt;&gt;"",$T2453&lt;0),"※这一笔外销是亏的，请核对售价",IF(IFERROR(VLOOKUP($D2453,库存台账!$A$5:$Y$1204,24,0),0)&lt;-0.001,"※这个物料账面已经变成负数了，查一下是不是漏记入库","")))))))))))</f>
        <v/>
      </c>
    </row>
    <row r="2454">
      <c r="A2454" s="24">
        <f>IF($D2454="","",COUNTA($D$4:$D2454))</f>
        <v/>
      </c>
      <c r="B2454" s="17" t="n"/>
      <c r="C2454" s="30" t="n"/>
      <c r="D2454" s="17" t="n"/>
      <c r="E2454" s="24">
        <f>IF($D2454="","",IFERROR(VLOOKUP($D2454,物料档案!$A$4:$P$1203,3,0),"※编码不在物料档案里"))</f>
        <v/>
      </c>
      <c r="F2454" s="24">
        <f>IF($D2454="","",IFERROR(VLOOKUP($D2454,物料档案!$A$4:$P$1203,4,0),"※编码不在物料档案里"))</f>
        <v/>
      </c>
      <c r="G2454" s="24">
        <f>IF($D2454="","",IFERROR(VLOOKUP($D2454,物料档案!$A$4:$P$1203,5,0),"※编码不在物料档案里"))</f>
        <v/>
      </c>
      <c r="H2454" s="24">
        <f>IF($D2454="","",IFERROR(VLOOKUP($D2454,物料档案!$A$4:$P$1203,2,0),"※编码不在物料档案里"))</f>
        <v/>
      </c>
      <c r="I2454" s="24">
        <f>IF($D2454="","",IFERROR(VLOOKUP($D2454,物料档案!$A$4:$P$1203,6,0),"※编码不在物料档案里"))</f>
        <v/>
      </c>
      <c r="J2454" s="23" t="n"/>
      <c r="K2454" s="17" t="n"/>
      <c r="L2454" s="17" t="n"/>
      <c r="M2454" s="17" t="n"/>
      <c r="N2454" s="17" t="n"/>
      <c r="O2454" s="26">
        <f>IF($D2454="","",IFERROR(VLOOKUP($D2454,物料档案!$A$4:$P$1203,10,0),0))</f>
        <v/>
      </c>
      <c r="P2454" s="32" t="n"/>
      <c r="Q2454" s="26">
        <f>IF($D2454="","",IF($K2454&lt;&gt;"对外销售",0,ROUND(N($J2454)*IF($P2454="",N($O2454),N($P2454)),0)))</f>
        <v/>
      </c>
      <c r="R2454" s="26">
        <f>IF($D2454="","",IFERROR(VLOOKUP($D2454,库存台账!$A$5:$Y$1204,11,0),0))</f>
        <v/>
      </c>
      <c r="S2454" s="26">
        <f>IF($D2454="","",ROUND(N($J2454)*N($R2454),0))</f>
        <v/>
      </c>
      <c r="T2454" s="26">
        <f>IF($D2454="","",IF($K2454&lt;&gt;"对外销售","",ROUND($Q2454-$S2454,0)))</f>
        <v/>
      </c>
      <c r="U2454" s="17" t="n"/>
      <c r="V2454" s="17" t="n"/>
      <c r="W2454" s="24">
        <f>IF($D2454="","",IF($E2454="※编码不在物料档案里","※物料编码不在档案里",IF(N($J2454)&lt;=0,"※出库数量要大于 0",IF($K2454="","※没填去向类型",IF($L2454="","※没填去向矿区",IF(AND($C2454&lt;&gt;"",$C2454&lt;=结账锁),"※日期早于已结账截止日，不能再录",IF(AND($K2454="自用消耗",COUNTIF({"一矿区";"二矿区"},$L2454)=0),"※自用消耗的去向只能是一矿区或二矿区",IF(AND($K2454="对外销售",COUNTIF({"三矿区";"六矿区"},$L2454)=0),"※对外销售的去向只能是三矿区或六矿区",IF(AND($K2454="对外销售",ROUND($Q2454,0)=0),"※外销却没有售价，请填实际售价",IF(AND($K2454="对外销售",$T2454&lt;&gt;"",$T2454&lt;0),"※这一笔外销是亏的，请核对售价",IF(IFERROR(VLOOKUP($D2454,库存台账!$A$5:$Y$1204,24,0),0)&lt;-0.001,"※这个物料账面已经变成负数了，查一下是不是漏记入库","")))))))))))</f>
        <v/>
      </c>
    </row>
    <row r="2455">
      <c r="A2455" s="24">
        <f>IF($D2455="","",COUNTA($D$4:$D2455))</f>
        <v/>
      </c>
      <c r="B2455" s="17" t="n"/>
      <c r="C2455" s="30" t="n"/>
      <c r="D2455" s="17" t="n"/>
      <c r="E2455" s="24">
        <f>IF($D2455="","",IFERROR(VLOOKUP($D2455,物料档案!$A$4:$P$1203,3,0),"※编码不在物料档案里"))</f>
        <v/>
      </c>
      <c r="F2455" s="24">
        <f>IF($D2455="","",IFERROR(VLOOKUP($D2455,物料档案!$A$4:$P$1203,4,0),"※编码不在物料档案里"))</f>
        <v/>
      </c>
      <c r="G2455" s="24">
        <f>IF($D2455="","",IFERROR(VLOOKUP($D2455,物料档案!$A$4:$P$1203,5,0),"※编码不在物料档案里"))</f>
        <v/>
      </c>
      <c r="H2455" s="24">
        <f>IF($D2455="","",IFERROR(VLOOKUP($D2455,物料档案!$A$4:$P$1203,2,0),"※编码不在物料档案里"))</f>
        <v/>
      </c>
      <c r="I2455" s="24">
        <f>IF($D2455="","",IFERROR(VLOOKUP($D2455,物料档案!$A$4:$P$1203,6,0),"※编码不在物料档案里"))</f>
        <v/>
      </c>
      <c r="J2455" s="23" t="n"/>
      <c r="K2455" s="17" t="n"/>
      <c r="L2455" s="17" t="n"/>
      <c r="M2455" s="17" t="n"/>
      <c r="N2455" s="17" t="n"/>
      <c r="O2455" s="26">
        <f>IF($D2455="","",IFERROR(VLOOKUP($D2455,物料档案!$A$4:$P$1203,10,0),0))</f>
        <v/>
      </c>
      <c r="P2455" s="32" t="n"/>
      <c r="Q2455" s="26">
        <f>IF($D2455="","",IF($K2455&lt;&gt;"对外销售",0,ROUND(N($J2455)*IF($P2455="",N($O2455),N($P2455)),0)))</f>
        <v/>
      </c>
      <c r="R2455" s="26">
        <f>IF($D2455="","",IFERROR(VLOOKUP($D2455,库存台账!$A$5:$Y$1204,11,0),0))</f>
        <v/>
      </c>
      <c r="S2455" s="26">
        <f>IF($D2455="","",ROUND(N($J2455)*N($R2455),0))</f>
        <v/>
      </c>
      <c r="T2455" s="26">
        <f>IF($D2455="","",IF($K2455&lt;&gt;"对外销售","",ROUND($Q2455-$S2455,0)))</f>
        <v/>
      </c>
      <c r="U2455" s="17" t="n"/>
      <c r="V2455" s="17" t="n"/>
      <c r="W2455" s="24">
        <f>IF($D2455="","",IF($E2455="※编码不在物料档案里","※物料编码不在档案里",IF(N($J2455)&lt;=0,"※出库数量要大于 0",IF($K2455="","※没填去向类型",IF($L2455="","※没填去向矿区",IF(AND($C2455&lt;&gt;"",$C2455&lt;=结账锁),"※日期早于已结账截止日，不能再录",IF(AND($K2455="自用消耗",COUNTIF({"一矿区";"二矿区"},$L2455)=0),"※自用消耗的去向只能是一矿区或二矿区",IF(AND($K2455="对外销售",COUNTIF({"三矿区";"六矿区"},$L2455)=0),"※对外销售的去向只能是三矿区或六矿区",IF(AND($K2455="对外销售",ROUND($Q2455,0)=0),"※外销却没有售价，请填实际售价",IF(AND($K2455="对外销售",$T2455&lt;&gt;"",$T2455&lt;0),"※这一笔外销是亏的，请核对售价",IF(IFERROR(VLOOKUP($D2455,库存台账!$A$5:$Y$1204,24,0),0)&lt;-0.001,"※这个物料账面已经变成负数了，查一下是不是漏记入库","")))))))))))</f>
        <v/>
      </c>
    </row>
    <row r="2456">
      <c r="A2456" s="24">
        <f>IF($D2456="","",COUNTA($D$4:$D2456))</f>
        <v/>
      </c>
      <c r="B2456" s="17" t="n"/>
      <c r="C2456" s="30" t="n"/>
      <c r="D2456" s="17" t="n"/>
      <c r="E2456" s="24">
        <f>IF($D2456="","",IFERROR(VLOOKUP($D2456,物料档案!$A$4:$P$1203,3,0),"※编码不在物料档案里"))</f>
        <v/>
      </c>
      <c r="F2456" s="24">
        <f>IF($D2456="","",IFERROR(VLOOKUP($D2456,物料档案!$A$4:$P$1203,4,0),"※编码不在物料档案里"))</f>
        <v/>
      </c>
      <c r="G2456" s="24">
        <f>IF($D2456="","",IFERROR(VLOOKUP($D2456,物料档案!$A$4:$P$1203,5,0),"※编码不在物料档案里"))</f>
        <v/>
      </c>
      <c r="H2456" s="24">
        <f>IF($D2456="","",IFERROR(VLOOKUP($D2456,物料档案!$A$4:$P$1203,2,0),"※编码不在物料档案里"))</f>
        <v/>
      </c>
      <c r="I2456" s="24">
        <f>IF($D2456="","",IFERROR(VLOOKUP($D2456,物料档案!$A$4:$P$1203,6,0),"※编码不在物料档案里"))</f>
        <v/>
      </c>
      <c r="J2456" s="23" t="n"/>
      <c r="K2456" s="17" t="n"/>
      <c r="L2456" s="17" t="n"/>
      <c r="M2456" s="17" t="n"/>
      <c r="N2456" s="17" t="n"/>
      <c r="O2456" s="26">
        <f>IF($D2456="","",IFERROR(VLOOKUP($D2456,物料档案!$A$4:$P$1203,10,0),0))</f>
        <v/>
      </c>
      <c r="P2456" s="32" t="n"/>
      <c r="Q2456" s="26">
        <f>IF($D2456="","",IF($K2456&lt;&gt;"对外销售",0,ROUND(N($J2456)*IF($P2456="",N($O2456),N($P2456)),0)))</f>
        <v/>
      </c>
      <c r="R2456" s="26">
        <f>IF($D2456="","",IFERROR(VLOOKUP($D2456,库存台账!$A$5:$Y$1204,11,0),0))</f>
        <v/>
      </c>
      <c r="S2456" s="26">
        <f>IF($D2456="","",ROUND(N($J2456)*N($R2456),0))</f>
        <v/>
      </c>
      <c r="T2456" s="26">
        <f>IF($D2456="","",IF($K2456&lt;&gt;"对外销售","",ROUND($Q2456-$S2456,0)))</f>
        <v/>
      </c>
      <c r="U2456" s="17" t="n"/>
      <c r="V2456" s="17" t="n"/>
      <c r="W2456" s="24">
        <f>IF($D2456="","",IF($E2456="※编码不在物料档案里","※物料编码不在档案里",IF(N($J2456)&lt;=0,"※出库数量要大于 0",IF($K2456="","※没填去向类型",IF($L2456="","※没填去向矿区",IF(AND($C2456&lt;&gt;"",$C2456&lt;=结账锁),"※日期早于已结账截止日，不能再录",IF(AND($K2456="自用消耗",COUNTIF({"一矿区";"二矿区"},$L2456)=0),"※自用消耗的去向只能是一矿区或二矿区",IF(AND($K2456="对外销售",COUNTIF({"三矿区";"六矿区"},$L2456)=0),"※对外销售的去向只能是三矿区或六矿区",IF(AND($K2456="对外销售",ROUND($Q2456,0)=0),"※外销却没有售价，请填实际售价",IF(AND($K2456="对外销售",$T2456&lt;&gt;"",$T2456&lt;0),"※这一笔外销是亏的，请核对售价",IF(IFERROR(VLOOKUP($D2456,库存台账!$A$5:$Y$1204,24,0),0)&lt;-0.001,"※这个物料账面已经变成负数了，查一下是不是漏记入库","")))))))))))</f>
        <v/>
      </c>
    </row>
    <row r="2457">
      <c r="A2457" s="24">
        <f>IF($D2457="","",COUNTA($D$4:$D2457))</f>
        <v/>
      </c>
      <c r="B2457" s="17" t="n"/>
      <c r="C2457" s="30" t="n"/>
      <c r="D2457" s="17" t="n"/>
      <c r="E2457" s="24">
        <f>IF($D2457="","",IFERROR(VLOOKUP($D2457,物料档案!$A$4:$P$1203,3,0),"※编码不在物料档案里"))</f>
        <v/>
      </c>
      <c r="F2457" s="24">
        <f>IF($D2457="","",IFERROR(VLOOKUP($D2457,物料档案!$A$4:$P$1203,4,0),"※编码不在物料档案里"))</f>
        <v/>
      </c>
      <c r="G2457" s="24">
        <f>IF($D2457="","",IFERROR(VLOOKUP($D2457,物料档案!$A$4:$P$1203,5,0),"※编码不在物料档案里"))</f>
        <v/>
      </c>
      <c r="H2457" s="24">
        <f>IF($D2457="","",IFERROR(VLOOKUP($D2457,物料档案!$A$4:$P$1203,2,0),"※编码不在物料档案里"))</f>
        <v/>
      </c>
      <c r="I2457" s="24">
        <f>IF($D2457="","",IFERROR(VLOOKUP($D2457,物料档案!$A$4:$P$1203,6,0),"※编码不在物料档案里"))</f>
        <v/>
      </c>
      <c r="J2457" s="23" t="n"/>
      <c r="K2457" s="17" t="n"/>
      <c r="L2457" s="17" t="n"/>
      <c r="M2457" s="17" t="n"/>
      <c r="N2457" s="17" t="n"/>
      <c r="O2457" s="26">
        <f>IF($D2457="","",IFERROR(VLOOKUP($D2457,物料档案!$A$4:$P$1203,10,0),0))</f>
        <v/>
      </c>
      <c r="P2457" s="32" t="n"/>
      <c r="Q2457" s="26">
        <f>IF($D2457="","",IF($K2457&lt;&gt;"对外销售",0,ROUND(N($J2457)*IF($P2457="",N($O2457),N($P2457)),0)))</f>
        <v/>
      </c>
      <c r="R2457" s="26">
        <f>IF($D2457="","",IFERROR(VLOOKUP($D2457,库存台账!$A$5:$Y$1204,11,0),0))</f>
        <v/>
      </c>
      <c r="S2457" s="26">
        <f>IF($D2457="","",ROUND(N($J2457)*N($R2457),0))</f>
        <v/>
      </c>
      <c r="T2457" s="26">
        <f>IF($D2457="","",IF($K2457&lt;&gt;"对外销售","",ROUND($Q2457-$S2457,0)))</f>
        <v/>
      </c>
      <c r="U2457" s="17" t="n"/>
      <c r="V2457" s="17" t="n"/>
      <c r="W2457" s="24">
        <f>IF($D2457="","",IF($E2457="※编码不在物料档案里","※物料编码不在档案里",IF(N($J2457)&lt;=0,"※出库数量要大于 0",IF($K2457="","※没填去向类型",IF($L2457="","※没填去向矿区",IF(AND($C2457&lt;&gt;"",$C2457&lt;=结账锁),"※日期早于已结账截止日，不能再录",IF(AND($K2457="自用消耗",COUNTIF({"一矿区";"二矿区"},$L2457)=0),"※自用消耗的去向只能是一矿区或二矿区",IF(AND($K2457="对外销售",COUNTIF({"三矿区";"六矿区"},$L2457)=0),"※对外销售的去向只能是三矿区或六矿区",IF(AND($K2457="对外销售",ROUND($Q2457,0)=0),"※外销却没有售价，请填实际售价",IF(AND($K2457="对外销售",$T2457&lt;&gt;"",$T2457&lt;0),"※这一笔外销是亏的，请核对售价",IF(IFERROR(VLOOKUP($D2457,库存台账!$A$5:$Y$1204,24,0),0)&lt;-0.001,"※这个物料账面已经变成负数了，查一下是不是漏记入库","")))))))))))</f>
        <v/>
      </c>
    </row>
    <row r="2458">
      <c r="A2458" s="24">
        <f>IF($D2458="","",COUNTA($D$4:$D2458))</f>
        <v/>
      </c>
      <c r="B2458" s="17" t="n"/>
      <c r="C2458" s="30" t="n"/>
      <c r="D2458" s="17" t="n"/>
      <c r="E2458" s="24">
        <f>IF($D2458="","",IFERROR(VLOOKUP($D2458,物料档案!$A$4:$P$1203,3,0),"※编码不在物料档案里"))</f>
        <v/>
      </c>
      <c r="F2458" s="24">
        <f>IF($D2458="","",IFERROR(VLOOKUP($D2458,物料档案!$A$4:$P$1203,4,0),"※编码不在物料档案里"))</f>
        <v/>
      </c>
      <c r="G2458" s="24">
        <f>IF($D2458="","",IFERROR(VLOOKUP($D2458,物料档案!$A$4:$P$1203,5,0),"※编码不在物料档案里"))</f>
        <v/>
      </c>
      <c r="H2458" s="24">
        <f>IF($D2458="","",IFERROR(VLOOKUP($D2458,物料档案!$A$4:$P$1203,2,0),"※编码不在物料档案里"))</f>
        <v/>
      </c>
      <c r="I2458" s="24">
        <f>IF($D2458="","",IFERROR(VLOOKUP($D2458,物料档案!$A$4:$P$1203,6,0),"※编码不在物料档案里"))</f>
        <v/>
      </c>
      <c r="J2458" s="23" t="n"/>
      <c r="K2458" s="17" t="n"/>
      <c r="L2458" s="17" t="n"/>
      <c r="M2458" s="17" t="n"/>
      <c r="N2458" s="17" t="n"/>
      <c r="O2458" s="26">
        <f>IF($D2458="","",IFERROR(VLOOKUP($D2458,物料档案!$A$4:$P$1203,10,0),0))</f>
        <v/>
      </c>
      <c r="P2458" s="32" t="n"/>
      <c r="Q2458" s="26">
        <f>IF($D2458="","",IF($K2458&lt;&gt;"对外销售",0,ROUND(N($J2458)*IF($P2458="",N($O2458),N($P2458)),0)))</f>
        <v/>
      </c>
      <c r="R2458" s="26">
        <f>IF($D2458="","",IFERROR(VLOOKUP($D2458,库存台账!$A$5:$Y$1204,11,0),0))</f>
        <v/>
      </c>
      <c r="S2458" s="26">
        <f>IF($D2458="","",ROUND(N($J2458)*N($R2458),0))</f>
        <v/>
      </c>
      <c r="T2458" s="26">
        <f>IF($D2458="","",IF($K2458&lt;&gt;"对外销售","",ROUND($Q2458-$S2458,0)))</f>
        <v/>
      </c>
      <c r="U2458" s="17" t="n"/>
      <c r="V2458" s="17" t="n"/>
      <c r="W2458" s="24">
        <f>IF($D2458="","",IF($E2458="※编码不在物料档案里","※物料编码不在档案里",IF(N($J2458)&lt;=0,"※出库数量要大于 0",IF($K2458="","※没填去向类型",IF($L2458="","※没填去向矿区",IF(AND($C2458&lt;&gt;"",$C2458&lt;=结账锁),"※日期早于已结账截止日，不能再录",IF(AND($K2458="自用消耗",COUNTIF({"一矿区";"二矿区"},$L2458)=0),"※自用消耗的去向只能是一矿区或二矿区",IF(AND($K2458="对外销售",COUNTIF({"三矿区";"六矿区"},$L2458)=0),"※对外销售的去向只能是三矿区或六矿区",IF(AND($K2458="对外销售",ROUND($Q2458,0)=0),"※外销却没有售价，请填实际售价",IF(AND($K2458="对外销售",$T2458&lt;&gt;"",$T2458&lt;0),"※这一笔外销是亏的，请核对售价",IF(IFERROR(VLOOKUP($D2458,库存台账!$A$5:$Y$1204,24,0),0)&lt;-0.001,"※这个物料账面已经变成负数了，查一下是不是漏记入库","")))))))))))</f>
        <v/>
      </c>
    </row>
    <row r="2459">
      <c r="A2459" s="24">
        <f>IF($D2459="","",COUNTA($D$4:$D2459))</f>
        <v/>
      </c>
      <c r="B2459" s="17" t="n"/>
      <c r="C2459" s="30" t="n"/>
      <c r="D2459" s="17" t="n"/>
      <c r="E2459" s="24">
        <f>IF($D2459="","",IFERROR(VLOOKUP($D2459,物料档案!$A$4:$P$1203,3,0),"※编码不在物料档案里"))</f>
        <v/>
      </c>
      <c r="F2459" s="24">
        <f>IF($D2459="","",IFERROR(VLOOKUP($D2459,物料档案!$A$4:$P$1203,4,0),"※编码不在物料档案里"))</f>
        <v/>
      </c>
      <c r="G2459" s="24">
        <f>IF($D2459="","",IFERROR(VLOOKUP($D2459,物料档案!$A$4:$P$1203,5,0),"※编码不在物料档案里"))</f>
        <v/>
      </c>
      <c r="H2459" s="24">
        <f>IF($D2459="","",IFERROR(VLOOKUP($D2459,物料档案!$A$4:$P$1203,2,0),"※编码不在物料档案里"))</f>
        <v/>
      </c>
      <c r="I2459" s="24">
        <f>IF($D2459="","",IFERROR(VLOOKUP($D2459,物料档案!$A$4:$P$1203,6,0),"※编码不在物料档案里"))</f>
        <v/>
      </c>
      <c r="J2459" s="23" t="n"/>
      <c r="K2459" s="17" t="n"/>
      <c r="L2459" s="17" t="n"/>
      <c r="M2459" s="17" t="n"/>
      <c r="N2459" s="17" t="n"/>
      <c r="O2459" s="26">
        <f>IF($D2459="","",IFERROR(VLOOKUP($D2459,物料档案!$A$4:$P$1203,10,0),0))</f>
        <v/>
      </c>
      <c r="P2459" s="32" t="n"/>
      <c r="Q2459" s="26">
        <f>IF($D2459="","",IF($K2459&lt;&gt;"对外销售",0,ROUND(N($J2459)*IF($P2459="",N($O2459),N($P2459)),0)))</f>
        <v/>
      </c>
      <c r="R2459" s="26">
        <f>IF($D2459="","",IFERROR(VLOOKUP($D2459,库存台账!$A$5:$Y$1204,11,0),0))</f>
        <v/>
      </c>
      <c r="S2459" s="26">
        <f>IF($D2459="","",ROUND(N($J2459)*N($R2459),0))</f>
        <v/>
      </c>
      <c r="T2459" s="26">
        <f>IF($D2459="","",IF($K2459&lt;&gt;"对外销售","",ROUND($Q2459-$S2459,0)))</f>
        <v/>
      </c>
      <c r="U2459" s="17" t="n"/>
      <c r="V2459" s="17" t="n"/>
      <c r="W2459" s="24">
        <f>IF($D2459="","",IF($E2459="※编码不在物料档案里","※物料编码不在档案里",IF(N($J2459)&lt;=0,"※出库数量要大于 0",IF($K2459="","※没填去向类型",IF($L2459="","※没填去向矿区",IF(AND($C2459&lt;&gt;"",$C2459&lt;=结账锁),"※日期早于已结账截止日，不能再录",IF(AND($K2459="自用消耗",COUNTIF({"一矿区";"二矿区"},$L2459)=0),"※自用消耗的去向只能是一矿区或二矿区",IF(AND($K2459="对外销售",COUNTIF({"三矿区";"六矿区"},$L2459)=0),"※对外销售的去向只能是三矿区或六矿区",IF(AND($K2459="对外销售",ROUND($Q2459,0)=0),"※外销却没有售价，请填实际售价",IF(AND($K2459="对外销售",$T2459&lt;&gt;"",$T2459&lt;0),"※这一笔外销是亏的，请核对售价",IF(IFERROR(VLOOKUP($D2459,库存台账!$A$5:$Y$1204,24,0),0)&lt;-0.001,"※这个物料账面已经变成负数了，查一下是不是漏记入库","")))))))))))</f>
        <v/>
      </c>
    </row>
    <row r="2460">
      <c r="A2460" s="24">
        <f>IF($D2460="","",COUNTA($D$4:$D2460))</f>
        <v/>
      </c>
      <c r="B2460" s="17" t="n"/>
      <c r="C2460" s="30" t="n"/>
      <c r="D2460" s="17" t="n"/>
      <c r="E2460" s="24">
        <f>IF($D2460="","",IFERROR(VLOOKUP($D2460,物料档案!$A$4:$P$1203,3,0),"※编码不在物料档案里"))</f>
        <v/>
      </c>
      <c r="F2460" s="24">
        <f>IF($D2460="","",IFERROR(VLOOKUP($D2460,物料档案!$A$4:$P$1203,4,0),"※编码不在物料档案里"))</f>
        <v/>
      </c>
      <c r="G2460" s="24">
        <f>IF($D2460="","",IFERROR(VLOOKUP($D2460,物料档案!$A$4:$P$1203,5,0),"※编码不在物料档案里"))</f>
        <v/>
      </c>
      <c r="H2460" s="24">
        <f>IF($D2460="","",IFERROR(VLOOKUP($D2460,物料档案!$A$4:$P$1203,2,0),"※编码不在物料档案里"))</f>
        <v/>
      </c>
      <c r="I2460" s="24">
        <f>IF($D2460="","",IFERROR(VLOOKUP($D2460,物料档案!$A$4:$P$1203,6,0),"※编码不在物料档案里"))</f>
        <v/>
      </c>
      <c r="J2460" s="23" t="n"/>
      <c r="K2460" s="17" t="n"/>
      <c r="L2460" s="17" t="n"/>
      <c r="M2460" s="17" t="n"/>
      <c r="N2460" s="17" t="n"/>
      <c r="O2460" s="26">
        <f>IF($D2460="","",IFERROR(VLOOKUP($D2460,物料档案!$A$4:$P$1203,10,0),0))</f>
        <v/>
      </c>
      <c r="P2460" s="32" t="n"/>
      <c r="Q2460" s="26">
        <f>IF($D2460="","",IF($K2460&lt;&gt;"对外销售",0,ROUND(N($J2460)*IF($P2460="",N($O2460),N($P2460)),0)))</f>
        <v/>
      </c>
      <c r="R2460" s="26">
        <f>IF($D2460="","",IFERROR(VLOOKUP($D2460,库存台账!$A$5:$Y$1204,11,0),0))</f>
        <v/>
      </c>
      <c r="S2460" s="26">
        <f>IF($D2460="","",ROUND(N($J2460)*N($R2460),0))</f>
        <v/>
      </c>
      <c r="T2460" s="26">
        <f>IF($D2460="","",IF($K2460&lt;&gt;"对外销售","",ROUND($Q2460-$S2460,0)))</f>
        <v/>
      </c>
      <c r="U2460" s="17" t="n"/>
      <c r="V2460" s="17" t="n"/>
      <c r="W2460" s="24">
        <f>IF($D2460="","",IF($E2460="※编码不在物料档案里","※物料编码不在档案里",IF(N($J2460)&lt;=0,"※出库数量要大于 0",IF($K2460="","※没填去向类型",IF($L2460="","※没填去向矿区",IF(AND($C2460&lt;&gt;"",$C2460&lt;=结账锁),"※日期早于已结账截止日，不能再录",IF(AND($K2460="自用消耗",COUNTIF({"一矿区";"二矿区"},$L2460)=0),"※自用消耗的去向只能是一矿区或二矿区",IF(AND($K2460="对外销售",COUNTIF({"三矿区";"六矿区"},$L2460)=0),"※对外销售的去向只能是三矿区或六矿区",IF(AND($K2460="对外销售",ROUND($Q2460,0)=0),"※外销却没有售价，请填实际售价",IF(AND($K2460="对外销售",$T2460&lt;&gt;"",$T2460&lt;0),"※这一笔外销是亏的，请核对售价",IF(IFERROR(VLOOKUP($D2460,库存台账!$A$5:$Y$1204,24,0),0)&lt;-0.001,"※这个物料账面已经变成负数了，查一下是不是漏记入库","")))))))))))</f>
        <v/>
      </c>
    </row>
    <row r="2461">
      <c r="A2461" s="24">
        <f>IF($D2461="","",COUNTA($D$4:$D2461))</f>
        <v/>
      </c>
      <c r="B2461" s="17" t="n"/>
      <c r="C2461" s="30" t="n"/>
      <c r="D2461" s="17" t="n"/>
      <c r="E2461" s="24">
        <f>IF($D2461="","",IFERROR(VLOOKUP($D2461,物料档案!$A$4:$P$1203,3,0),"※编码不在物料档案里"))</f>
        <v/>
      </c>
      <c r="F2461" s="24">
        <f>IF($D2461="","",IFERROR(VLOOKUP($D2461,物料档案!$A$4:$P$1203,4,0),"※编码不在物料档案里"))</f>
        <v/>
      </c>
      <c r="G2461" s="24">
        <f>IF($D2461="","",IFERROR(VLOOKUP($D2461,物料档案!$A$4:$P$1203,5,0),"※编码不在物料档案里"))</f>
        <v/>
      </c>
      <c r="H2461" s="24">
        <f>IF($D2461="","",IFERROR(VLOOKUP($D2461,物料档案!$A$4:$P$1203,2,0),"※编码不在物料档案里"))</f>
        <v/>
      </c>
      <c r="I2461" s="24">
        <f>IF($D2461="","",IFERROR(VLOOKUP($D2461,物料档案!$A$4:$P$1203,6,0),"※编码不在物料档案里"))</f>
        <v/>
      </c>
      <c r="J2461" s="23" t="n"/>
      <c r="K2461" s="17" t="n"/>
      <c r="L2461" s="17" t="n"/>
      <c r="M2461" s="17" t="n"/>
      <c r="N2461" s="17" t="n"/>
      <c r="O2461" s="26">
        <f>IF($D2461="","",IFERROR(VLOOKUP($D2461,物料档案!$A$4:$P$1203,10,0),0))</f>
        <v/>
      </c>
      <c r="P2461" s="32" t="n"/>
      <c r="Q2461" s="26">
        <f>IF($D2461="","",IF($K2461&lt;&gt;"对外销售",0,ROUND(N($J2461)*IF($P2461="",N($O2461),N($P2461)),0)))</f>
        <v/>
      </c>
      <c r="R2461" s="26">
        <f>IF($D2461="","",IFERROR(VLOOKUP($D2461,库存台账!$A$5:$Y$1204,11,0),0))</f>
        <v/>
      </c>
      <c r="S2461" s="26">
        <f>IF($D2461="","",ROUND(N($J2461)*N($R2461),0))</f>
        <v/>
      </c>
      <c r="T2461" s="26">
        <f>IF($D2461="","",IF($K2461&lt;&gt;"对外销售","",ROUND($Q2461-$S2461,0)))</f>
        <v/>
      </c>
      <c r="U2461" s="17" t="n"/>
      <c r="V2461" s="17" t="n"/>
      <c r="W2461" s="24">
        <f>IF($D2461="","",IF($E2461="※编码不在物料档案里","※物料编码不在档案里",IF(N($J2461)&lt;=0,"※出库数量要大于 0",IF($K2461="","※没填去向类型",IF($L2461="","※没填去向矿区",IF(AND($C2461&lt;&gt;"",$C2461&lt;=结账锁),"※日期早于已结账截止日，不能再录",IF(AND($K2461="自用消耗",COUNTIF({"一矿区";"二矿区"},$L2461)=0),"※自用消耗的去向只能是一矿区或二矿区",IF(AND($K2461="对外销售",COUNTIF({"三矿区";"六矿区"},$L2461)=0),"※对外销售的去向只能是三矿区或六矿区",IF(AND($K2461="对外销售",ROUND($Q2461,0)=0),"※外销却没有售价，请填实际售价",IF(AND($K2461="对外销售",$T2461&lt;&gt;"",$T2461&lt;0),"※这一笔外销是亏的，请核对售价",IF(IFERROR(VLOOKUP($D2461,库存台账!$A$5:$Y$1204,24,0),0)&lt;-0.001,"※这个物料账面已经变成负数了，查一下是不是漏记入库","")))))))))))</f>
        <v/>
      </c>
    </row>
    <row r="2462">
      <c r="A2462" s="24">
        <f>IF($D2462="","",COUNTA($D$4:$D2462))</f>
        <v/>
      </c>
      <c r="B2462" s="17" t="n"/>
      <c r="C2462" s="30" t="n"/>
      <c r="D2462" s="17" t="n"/>
      <c r="E2462" s="24">
        <f>IF($D2462="","",IFERROR(VLOOKUP($D2462,物料档案!$A$4:$P$1203,3,0),"※编码不在物料档案里"))</f>
        <v/>
      </c>
      <c r="F2462" s="24">
        <f>IF($D2462="","",IFERROR(VLOOKUP($D2462,物料档案!$A$4:$P$1203,4,0),"※编码不在物料档案里"))</f>
        <v/>
      </c>
      <c r="G2462" s="24">
        <f>IF($D2462="","",IFERROR(VLOOKUP($D2462,物料档案!$A$4:$P$1203,5,0),"※编码不在物料档案里"))</f>
        <v/>
      </c>
      <c r="H2462" s="24">
        <f>IF($D2462="","",IFERROR(VLOOKUP($D2462,物料档案!$A$4:$P$1203,2,0),"※编码不在物料档案里"))</f>
        <v/>
      </c>
      <c r="I2462" s="24">
        <f>IF($D2462="","",IFERROR(VLOOKUP($D2462,物料档案!$A$4:$P$1203,6,0),"※编码不在物料档案里"))</f>
        <v/>
      </c>
      <c r="J2462" s="23" t="n"/>
      <c r="K2462" s="17" t="n"/>
      <c r="L2462" s="17" t="n"/>
      <c r="M2462" s="17" t="n"/>
      <c r="N2462" s="17" t="n"/>
      <c r="O2462" s="26">
        <f>IF($D2462="","",IFERROR(VLOOKUP($D2462,物料档案!$A$4:$P$1203,10,0),0))</f>
        <v/>
      </c>
      <c r="P2462" s="32" t="n"/>
      <c r="Q2462" s="26">
        <f>IF($D2462="","",IF($K2462&lt;&gt;"对外销售",0,ROUND(N($J2462)*IF($P2462="",N($O2462),N($P2462)),0)))</f>
        <v/>
      </c>
      <c r="R2462" s="26">
        <f>IF($D2462="","",IFERROR(VLOOKUP($D2462,库存台账!$A$5:$Y$1204,11,0),0))</f>
        <v/>
      </c>
      <c r="S2462" s="26">
        <f>IF($D2462="","",ROUND(N($J2462)*N($R2462),0))</f>
        <v/>
      </c>
      <c r="T2462" s="26">
        <f>IF($D2462="","",IF($K2462&lt;&gt;"对外销售","",ROUND($Q2462-$S2462,0)))</f>
        <v/>
      </c>
      <c r="U2462" s="17" t="n"/>
      <c r="V2462" s="17" t="n"/>
      <c r="W2462" s="24">
        <f>IF($D2462="","",IF($E2462="※编码不在物料档案里","※物料编码不在档案里",IF(N($J2462)&lt;=0,"※出库数量要大于 0",IF($K2462="","※没填去向类型",IF($L2462="","※没填去向矿区",IF(AND($C2462&lt;&gt;"",$C2462&lt;=结账锁),"※日期早于已结账截止日，不能再录",IF(AND($K2462="自用消耗",COUNTIF({"一矿区";"二矿区"},$L2462)=0),"※自用消耗的去向只能是一矿区或二矿区",IF(AND($K2462="对外销售",COUNTIF({"三矿区";"六矿区"},$L2462)=0),"※对外销售的去向只能是三矿区或六矿区",IF(AND($K2462="对外销售",ROUND($Q2462,0)=0),"※外销却没有售价，请填实际售价",IF(AND($K2462="对外销售",$T2462&lt;&gt;"",$T2462&lt;0),"※这一笔外销是亏的，请核对售价",IF(IFERROR(VLOOKUP($D2462,库存台账!$A$5:$Y$1204,24,0),0)&lt;-0.001,"※这个物料账面已经变成负数了，查一下是不是漏记入库","")))))))))))</f>
        <v/>
      </c>
    </row>
    <row r="2463">
      <c r="A2463" s="24">
        <f>IF($D2463="","",COUNTA($D$4:$D2463))</f>
        <v/>
      </c>
      <c r="B2463" s="17" t="n"/>
      <c r="C2463" s="30" t="n"/>
      <c r="D2463" s="17" t="n"/>
      <c r="E2463" s="24">
        <f>IF($D2463="","",IFERROR(VLOOKUP($D2463,物料档案!$A$4:$P$1203,3,0),"※编码不在物料档案里"))</f>
        <v/>
      </c>
      <c r="F2463" s="24">
        <f>IF($D2463="","",IFERROR(VLOOKUP($D2463,物料档案!$A$4:$P$1203,4,0),"※编码不在物料档案里"))</f>
        <v/>
      </c>
      <c r="G2463" s="24">
        <f>IF($D2463="","",IFERROR(VLOOKUP($D2463,物料档案!$A$4:$P$1203,5,0),"※编码不在物料档案里"))</f>
        <v/>
      </c>
      <c r="H2463" s="24">
        <f>IF($D2463="","",IFERROR(VLOOKUP($D2463,物料档案!$A$4:$P$1203,2,0),"※编码不在物料档案里"))</f>
        <v/>
      </c>
      <c r="I2463" s="24">
        <f>IF($D2463="","",IFERROR(VLOOKUP($D2463,物料档案!$A$4:$P$1203,6,0),"※编码不在物料档案里"))</f>
        <v/>
      </c>
      <c r="J2463" s="23" t="n"/>
      <c r="K2463" s="17" t="n"/>
      <c r="L2463" s="17" t="n"/>
      <c r="M2463" s="17" t="n"/>
      <c r="N2463" s="17" t="n"/>
      <c r="O2463" s="26">
        <f>IF($D2463="","",IFERROR(VLOOKUP($D2463,物料档案!$A$4:$P$1203,10,0),0))</f>
        <v/>
      </c>
      <c r="P2463" s="32" t="n"/>
      <c r="Q2463" s="26">
        <f>IF($D2463="","",IF($K2463&lt;&gt;"对外销售",0,ROUND(N($J2463)*IF($P2463="",N($O2463),N($P2463)),0)))</f>
        <v/>
      </c>
      <c r="R2463" s="26">
        <f>IF($D2463="","",IFERROR(VLOOKUP($D2463,库存台账!$A$5:$Y$1204,11,0),0))</f>
        <v/>
      </c>
      <c r="S2463" s="26">
        <f>IF($D2463="","",ROUND(N($J2463)*N($R2463),0))</f>
        <v/>
      </c>
      <c r="T2463" s="26">
        <f>IF($D2463="","",IF($K2463&lt;&gt;"对外销售","",ROUND($Q2463-$S2463,0)))</f>
        <v/>
      </c>
      <c r="U2463" s="17" t="n"/>
      <c r="V2463" s="17" t="n"/>
      <c r="W2463" s="24">
        <f>IF($D2463="","",IF($E2463="※编码不在物料档案里","※物料编码不在档案里",IF(N($J2463)&lt;=0,"※出库数量要大于 0",IF($K2463="","※没填去向类型",IF($L2463="","※没填去向矿区",IF(AND($C2463&lt;&gt;"",$C2463&lt;=结账锁),"※日期早于已结账截止日，不能再录",IF(AND($K2463="自用消耗",COUNTIF({"一矿区";"二矿区"},$L2463)=0),"※自用消耗的去向只能是一矿区或二矿区",IF(AND($K2463="对外销售",COUNTIF({"三矿区";"六矿区"},$L2463)=0),"※对外销售的去向只能是三矿区或六矿区",IF(AND($K2463="对外销售",ROUND($Q2463,0)=0),"※外销却没有售价，请填实际售价",IF(AND($K2463="对外销售",$T2463&lt;&gt;"",$T2463&lt;0),"※这一笔外销是亏的，请核对售价",IF(IFERROR(VLOOKUP($D2463,库存台账!$A$5:$Y$1204,24,0),0)&lt;-0.001,"※这个物料账面已经变成负数了，查一下是不是漏记入库","")))))))))))</f>
        <v/>
      </c>
    </row>
    <row r="2464">
      <c r="A2464" s="24">
        <f>IF($D2464="","",COUNTA($D$4:$D2464))</f>
        <v/>
      </c>
      <c r="B2464" s="17" t="n"/>
      <c r="C2464" s="30" t="n"/>
      <c r="D2464" s="17" t="n"/>
      <c r="E2464" s="24">
        <f>IF($D2464="","",IFERROR(VLOOKUP($D2464,物料档案!$A$4:$P$1203,3,0),"※编码不在物料档案里"))</f>
        <v/>
      </c>
      <c r="F2464" s="24">
        <f>IF($D2464="","",IFERROR(VLOOKUP($D2464,物料档案!$A$4:$P$1203,4,0),"※编码不在物料档案里"))</f>
        <v/>
      </c>
      <c r="G2464" s="24">
        <f>IF($D2464="","",IFERROR(VLOOKUP($D2464,物料档案!$A$4:$P$1203,5,0),"※编码不在物料档案里"))</f>
        <v/>
      </c>
      <c r="H2464" s="24">
        <f>IF($D2464="","",IFERROR(VLOOKUP($D2464,物料档案!$A$4:$P$1203,2,0),"※编码不在物料档案里"))</f>
        <v/>
      </c>
      <c r="I2464" s="24">
        <f>IF($D2464="","",IFERROR(VLOOKUP($D2464,物料档案!$A$4:$P$1203,6,0),"※编码不在物料档案里"))</f>
        <v/>
      </c>
      <c r="J2464" s="23" t="n"/>
      <c r="K2464" s="17" t="n"/>
      <c r="L2464" s="17" t="n"/>
      <c r="M2464" s="17" t="n"/>
      <c r="N2464" s="17" t="n"/>
      <c r="O2464" s="26">
        <f>IF($D2464="","",IFERROR(VLOOKUP($D2464,物料档案!$A$4:$P$1203,10,0),0))</f>
        <v/>
      </c>
      <c r="P2464" s="32" t="n"/>
      <c r="Q2464" s="26">
        <f>IF($D2464="","",IF($K2464&lt;&gt;"对外销售",0,ROUND(N($J2464)*IF($P2464="",N($O2464),N($P2464)),0)))</f>
        <v/>
      </c>
      <c r="R2464" s="26">
        <f>IF($D2464="","",IFERROR(VLOOKUP($D2464,库存台账!$A$5:$Y$1204,11,0),0))</f>
        <v/>
      </c>
      <c r="S2464" s="26">
        <f>IF($D2464="","",ROUND(N($J2464)*N($R2464),0))</f>
        <v/>
      </c>
      <c r="T2464" s="26">
        <f>IF($D2464="","",IF($K2464&lt;&gt;"对外销售","",ROUND($Q2464-$S2464,0)))</f>
        <v/>
      </c>
      <c r="U2464" s="17" t="n"/>
      <c r="V2464" s="17" t="n"/>
      <c r="W2464" s="24">
        <f>IF($D2464="","",IF($E2464="※编码不在物料档案里","※物料编码不在档案里",IF(N($J2464)&lt;=0,"※出库数量要大于 0",IF($K2464="","※没填去向类型",IF($L2464="","※没填去向矿区",IF(AND($C2464&lt;&gt;"",$C2464&lt;=结账锁),"※日期早于已结账截止日，不能再录",IF(AND($K2464="自用消耗",COUNTIF({"一矿区";"二矿区"},$L2464)=0),"※自用消耗的去向只能是一矿区或二矿区",IF(AND($K2464="对外销售",COUNTIF({"三矿区";"六矿区"},$L2464)=0),"※对外销售的去向只能是三矿区或六矿区",IF(AND($K2464="对外销售",ROUND($Q2464,0)=0),"※外销却没有售价，请填实际售价",IF(AND($K2464="对外销售",$T2464&lt;&gt;"",$T2464&lt;0),"※这一笔外销是亏的，请核对售价",IF(IFERROR(VLOOKUP($D2464,库存台账!$A$5:$Y$1204,24,0),0)&lt;-0.001,"※这个物料账面已经变成负数了，查一下是不是漏记入库","")))))))))))</f>
        <v/>
      </c>
    </row>
    <row r="2465">
      <c r="A2465" s="24">
        <f>IF($D2465="","",COUNTA($D$4:$D2465))</f>
        <v/>
      </c>
      <c r="B2465" s="17" t="n"/>
      <c r="C2465" s="30" t="n"/>
      <c r="D2465" s="17" t="n"/>
      <c r="E2465" s="24">
        <f>IF($D2465="","",IFERROR(VLOOKUP($D2465,物料档案!$A$4:$P$1203,3,0),"※编码不在物料档案里"))</f>
        <v/>
      </c>
      <c r="F2465" s="24">
        <f>IF($D2465="","",IFERROR(VLOOKUP($D2465,物料档案!$A$4:$P$1203,4,0),"※编码不在物料档案里"))</f>
        <v/>
      </c>
      <c r="G2465" s="24">
        <f>IF($D2465="","",IFERROR(VLOOKUP($D2465,物料档案!$A$4:$P$1203,5,0),"※编码不在物料档案里"))</f>
        <v/>
      </c>
      <c r="H2465" s="24">
        <f>IF($D2465="","",IFERROR(VLOOKUP($D2465,物料档案!$A$4:$P$1203,2,0),"※编码不在物料档案里"))</f>
        <v/>
      </c>
      <c r="I2465" s="24">
        <f>IF($D2465="","",IFERROR(VLOOKUP($D2465,物料档案!$A$4:$P$1203,6,0),"※编码不在物料档案里"))</f>
        <v/>
      </c>
      <c r="J2465" s="23" t="n"/>
      <c r="K2465" s="17" t="n"/>
      <c r="L2465" s="17" t="n"/>
      <c r="M2465" s="17" t="n"/>
      <c r="N2465" s="17" t="n"/>
      <c r="O2465" s="26">
        <f>IF($D2465="","",IFERROR(VLOOKUP($D2465,物料档案!$A$4:$P$1203,10,0),0))</f>
        <v/>
      </c>
      <c r="P2465" s="32" t="n"/>
      <c r="Q2465" s="26">
        <f>IF($D2465="","",IF($K2465&lt;&gt;"对外销售",0,ROUND(N($J2465)*IF($P2465="",N($O2465),N($P2465)),0)))</f>
        <v/>
      </c>
      <c r="R2465" s="26">
        <f>IF($D2465="","",IFERROR(VLOOKUP($D2465,库存台账!$A$5:$Y$1204,11,0),0))</f>
        <v/>
      </c>
      <c r="S2465" s="26">
        <f>IF($D2465="","",ROUND(N($J2465)*N($R2465),0))</f>
        <v/>
      </c>
      <c r="T2465" s="26">
        <f>IF($D2465="","",IF($K2465&lt;&gt;"对外销售","",ROUND($Q2465-$S2465,0)))</f>
        <v/>
      </c>
      <c r="U2465" s="17" t="n"/>
      <c r="V2465" s="17" t="n"/>
      <c r="W2465" s="24">
        <f>IF($D2465="","",IF($E2465="※编码不在物料档案里","※物料编码不在档案里",IF(N($J2465)&lt;=0,"※出库数量要大于 0",IF($K2465="","※没填去向类型",IF($L2465="","※没填去向矿区",IF(AND($C2465&lt;&gt;"",$C2465&lt;=结账锁),"※日期早于已结账截止日，不能再录",IF(AND($K2465="自用消耗",COUNTIF({"一矿区";"二矿区"},$L2465)=0),"※自用消耗的去向只能是一矿区或二矿区",IF(AND($K2465="对外销售",COUNTIF({"三矿区";"六矿区"},$L2465)=0),"※对外销售的去向只能是三矿区或六矿区",IF(AND($K2465="对外销售",ROUND($Q2465,0)=0),"※外销却没有售价，请填实际售价",IF(AND($K2465="对外销售",$T2465&lt;&gt;"",$T2465&lt;0),"※这一笔外销是亏的，请核对售价",IF(IFERROR(VLOOKUP($D2465,库存台账!$A$5:$Y$1204,24,0),0)&lt;-0.001,"※这个物料账面已经变成负数了，查一下是不是漏记入库","")))))))))))</f>
        <v/>
      </c>
    </row>
    <row r="2466">
      <c r="A2466" s="24">
        <f>IF($D2466="","",COUNTA($D$4:$D2466))</f>
        <v/>
      </c>
      <c r="B2466" s="17" t="n"/>
      <c r="C2466" s="30" t="n"/>
      <c r="D2466" s="17" t="n"/>
      <c r="E2466" s="24">
        <f>IF($D2466="","",IFERROR(VLOOKUP($D2466,物料档案!$A$4:$P$1203,3,0),"※编码不在物料档案里"))</f>
        <v/>
      </c>
      <c r="F2466" s="24">
        <f>IF($D2466="","",IFERROR(VLOOKUP($D2466,物料档案!$A$4:$P$1203,4,0),"※编码不在物料档案里"))</f>
        <v/>
      </c>
      <c r="G2466" s="24">
        <f>IF($D2466="","",IFERROR(VLOOKUP($D2466,物料档案!$A$4:$P$1203,5,0),"※编码不在物料档案里"))</f>
        <v/>
      </c>
      <c r="H2466" s="24">
        <f>IF($D2466="","",IFERROR(VLOOKUP($D2466,物料档案!$A$4:$P$1203,2,0),"※编码不在物料档案里"))</f>
        <v/>
      </c>
      <c r="I2466" s="24">
        <f>IF($D2466="","",IFERROR(VLOOKUP($D2466,物料档案!$A$4:$P$1203,6,0),"※编码不在物料档案里"))</f>
        <v/>
      </c>
      <c r="J2466" s="23" t="n"/>
      <c r="K2466" s="17" t="n"/>
      <c r="L2466" s="17" t="n"/>
      <c r="M2466" s="17" t="n"/>
      <c r="N2466" s="17" t="n"/>
      <c r="O2466" s="26">
        <f>IF($D2466="","",IFERROR(VLOOKUP($D2466,物料档案!$A$4:$P$1203,10,0),0))</f>
        <v/>
      </c>
      <c r="P2466" s="32" t="n"/>
      <c r="Q2466" s="26">
        <f>IF($D2466="","",IF($K2466&lt;&gt;"对外销售",0,ROUND(N($J2466)*IF($P2466="",N($O2466),N($P2466)),0)))</f>
        <v/>
      </c>
      <c r="R2466" s="26">
        <f>IF($D2466="","",IFERROR(VLOOKUP($D2466,库存台账!$A$5:$Y$1204,11,0),0))</f>
        <v/>
      </c>
      <c r="S2466" s="26">
        <f>IF($D2466="","",ROUND(N($J2466)*N($R2466),0))</f>
        <v/>
      </c>
      <c r="T2466" s="26">
        <f>IF($D2466="","",IF($K2466&lt;&gt;"对外销售","",ROUND($Q2466-$S2466,0)))</f>
        <v/>
      </c>
      <c r="U2466" s="17" t="n"/>
      <c r="V2466" s="17" t="n"/>
      <c r="W2466" s="24">
        <f>IF($D2466="","",IF($E2466="※编码不在物料档案里","※物料编码不在档案里",IF(N($J2466)&lt;=0,"※出库数量要大于 0",IF($K2466="","※没填去向类型",IF($L2466="","※没填去向矿区",IF(AND($C2466&lt;&gt;"",$C2466&lt;=结账锁),"※日期早于已结账截止日，不能再录",IF(AND($K2466="自用消耗",COUNTIF({"一矿区";"二矿区"},$L2466)=0),"※自用消耗的去向只能是一矿区或二矿区",IF(AND($K2466="对外销售",COUNTIF({"三矿区";"六矿区"},$L2466)=0),"※对外销售的去向只能是三矿区或六矿区",IF(AND($K2466="对外销售",ROUND($Q2466,0)=0),"※外销却没有售价，请填实际售价",IF(AND($K2466="对外销售",$T2466&lt;&gt;"",$T2466&lt;0),"※这一笔外销是亏的，请核对售价",IF(IFERROR(VLOOKUP($D2466,库存台账!$A$5:$Y$1204,24,0),0)&lt;-0.001,"※这个物料账面已经变成负数了，查一下是不是漏记入库","")))))))))))</f>
        <v/>
      </c>
    </row>
    <row r="2467">
      <c r="A2467" s="24">
        <f>IF($D2467="","",COUNTA($D$4:$D2467))</f>
        <v/>
      </c>
      <c r="B2467" s="17" t="n"/>
      <c r="C2467" s="30" t="n"/>
      <c r="D2467" s="17" t="n"/>
      <c r="E2467" s="24">
        <f>IF($D2467="","",IFERROR(VLOOKUP($D2467,物料档案!$A$4:$P$1203,3,0),"※编码不在物料档案里"))</f>
        <v/>
      </c>
      <c r="F2467" s="24">
        <f>IF($D2467="","",IFERROR(VLOOKUP($D2467,物料档案!$A$4:$P$1203,4,0),"※编码不在物料档案里"))</f>
        <v/>
      </c>
      <c r="G2467" s="24">
        <f>IF($D2467="","",IFERROR(VLOOKUP($D2467,物料档案!$A$4:$P$1203,5,0),"※编码不在物料档案里"))</f>
        <v/>
      </c>
      <c r="H2467" s="24">
        <f>IF($D2467="","",IFERROR(VLOOKUP($D2467,物料档案!$A$4:$P$1203,2,0),"※编码不在物料档案里"))</f>
        <v/>
      </c>
      <c r="I2467" s="24">
        <f>IF($D2467="","",IFERROR(VLOOKUP($D2467,物料档案!$A$4:$P$1203,6,0),"※编码不在物料档案里"))</f>
        <v/>
      </c>
      <c r="J2467" s="23" t="n"/>
      <c r="K2467" s="17" t="n"/>
      <c r="L2467" s="17" t="n"/>
      <c r="M2467" s="17" t="n"/>
      <c r="N2467" s="17" t="n"/>
      <c r="O2467" s="26">
        <f>IF($D2467="","",IFERROR(VLOOKUP($D2467,物料档案!$A$4:$P$1203,10,0),0))</f>
        <v/>
      </c>
      <c r="P2467" s="32" t="n"/>
      <c r="Q2467" s="26">
        <f>IF($D2467="","",IF($K2467&lt;&gt;"对外销售",0,ROUND(N($J2467)*IF($P2467="",N($O2467),N($P2467)),0)))</f>
        <v/>
      </c>
      <c r="R2467" s="26">
        <f>IF($D2467="","",IFERROR(VLOOKUP($D2467,库存台账!$A$5:$Y$1204,11,0),0))</f>
        <v/>
      </c>
      <c r="S2467" s="26">
        <f>IF($D2467="","",ROUND(N($J2467)*N($R2467),0))</f>
        <v/>
      </c>
      <c r="T2467" s="26">
        <f>IF($D2467="","",IF($K2467&lt;&gt;"对外销售","",ROUND($Q2467-$S2467,0)))</f>
        <v/>
      </c>
      <c r="U2467" s="17" t="n"/>
      <c r="V2467" s="17" t="n"/>
      <c r="W2467" s="24">
        <f>IF($D2467="","",IF($E2467="※编码不在物料档案里","※物料编码不在档案里",IF(N($J2467)&lt;=0,"※出库数量要大于 0",IF($K2467="","※没填去向类型",IF($L2467="","※没填去向矿区",IF(AND($C2467&lt;&gt;"",$C2467&lt;=结账锁),"※日期早于已结账截止日，不能再录",IF(AND($K2467="自用消耗",COUNTIF({"一矿区";"二矿区"},$L2467)=0),"※自用消耗的去向只能是一矿区或二矿区",IF(AND($K2467="对外销售",COUNTIF({"三矿区";"六矿区"},$L2467)=0),"※对外销售的去向只能是三矿区或六矿区",IF(AND($K2467="对外销售",ROUND($Q2467,0)=0),"※外销却没有售价，请填实际售价",IF(AND($K2467="对外销售",$T2467&lt;&gt;"",$T2467&lt;0),"※这一笔外销是亏的，请核对售价",IF(IFERROR(VLOOKUP($D2467,库存台账!$A$5:$Y$1204,24,0),0)&lt;-0.001,"※这个物料账面已经变成负数了，查一下是不是漏记入库","")))))))))))</f>
        <v/>
      </c>
    </row>
    <row r="2468">
      <c r="A2468" s="24">
        <f>IF($D2468="","",COUNTA($D$4:$D2468))</f>
        <v/>
      </c>
      <c r="B2468" s="17" t="n"/>
      <c r="C2468" s="30" t="n"/>
      <c r="D2468" s="17" t="n"/>
      <c r="E2468" s="24">
        <f>IF($D2468="","",IFERROR(VLOOKUP($D2468,物料档案!$A$4:$P$1203,3,0),"※编码不在物料档案里"))</f>
        <v/>
      </c>
      <c r="F2468" s="24">
        <f>IF($D2468="","",IFERROR(VLOOKUP($D2468,物料档案!$A$4:$P$1203,4,0),"※编码不在物料档案里"))</f>
        <v/>
      </c>
      <c r="G2468" s="24">
        <f>IF($D2468="","",IFERROR(VLOOKUP($D2468,物料档案!$A$4:$P$1203,5,0),"※编码不在物料档案里"))</f>
        <v/>
      </c>
      <c r="H2468" s="24">
        <f>IF($D2468="","",IFERROR(VLOOKUP($D2468,物料档案!$A$4:$P$1203,2,0),"※编码不在物料档案里"))</f>
        <v/>
      </c>
      <c r="I2468" s="24">
        <f>IF($D2468="","",IFERROR(VLOOKUP($D2468,物料档案!$A$4:$P$1203,6,0),"※编码不在物料档案里"))</f>
        <v/>
      </c>
      <c r="J2468" s="23" t="n"/>
      <c r="K2468" s="17" t="n"/>
      <c r="L2468" s="17" t="n"/>
      <c r="M2468" s="17" t="n"/>
      <c r="N2468" s="17" t="n"/>
      <c r="O2468" s="26">
        <f>IF($D2468="","",IFERROR(VLOOKUP($D2468,物料档案!$A$4:$P$1203,10,0),0))</f>
        <v/>
      </c>
      <c r="P2468" s="32" t="n"/>
      <c r="Q2468" s="26">
        <f>IF($D2468="","",IF($K2468&lt;&gt;"对外销售",0,ROUND(N($J2468)*IF($P2468="",N($O2468),N($P2468)),0)))</f>
        <v/>
      </c>
      <c r="R2468" s="26">
        <f>IF($D2468="","",IFERROR(VLOOKUP($D2468,库存台账!$A$5:$Y$1204,11,0),0))</f>
        <v/>
      </c>
      <c r="S2468" s="26">
        <f>IF($D2468="","",ROUND(N($J2468)*N($R2468),0))</f>
        <v/>
      </c>
      <c r="T2468" s="26">
        <f>IF($D2468="","",IF($K2468&lt;&gt;"对外销售","",ROUND($Q2468-$S2468,0)))</f>
        <v/>
      </c>
      <c r="U2468" s="17" t="n"/>
      <c r="V2468" s="17" t="n"/>
      <c r="W2468" s="24">
        <f>IF($D2468="","",IF($E2468="※编码不在物料档案里","※物料编码不在档案里",IF(N($J2468)&lt;=0,"※出库数量要大于 0",IF($K2468="","※没填去向类型",IF($L2468="","※没填去向矿区",IF(AND($C2468&lt;&gt;"",$C2468&lt;=结账锁),"※日期早于已结账截止日，不能再录",IF(AND($K2468="自用消耗",COUNTIF({"一矿区";"二矿区"},$L2468)=0),"※自用消耗的去向只能是一矿区或二矿区",IF(AND($K2468="对外销售",COUNTIF({"三矿区";"六矿区"},$L2468)=0),"※对外销售的去向只能是三矿区或六矿区",IF(AND($K2468="对外销售",ROUND($Q2468,0)=0),"※外销却没有售价，请填实际售价",IF(AND($K2468="对外销售",$T2468&lt;&gt;"",$T2468&lt;0),"※这一笔外销是亏的，请核对售价",IF(IFERROR(VLOOKUP($D2468,库存台账!$A$5:$Y$1204,24,0),0)&lt;-0.001,"※这个物料账面已经变成负数了，查一下是不是漏记入库","")))))))))))</f>
        <v/>
      </c>
    </row>
    <row r="2469">
      <c r="A2469" s="24">
        <f>IF($D2469="","",COUNTA($D$4:$D2469))</f>
        <v/>
      </c>
      <c r="B2469" s="17" t="n"/>
      <c r="C2469" s="30" t="n"/>
      <c r="D2469" s="17" t="n"/>
      <c r="E2469" s="24">
        <f>IF($D2469="","",IFERROR(VLOOKUP($D2469,物料档案!$A$4:$P$1203,3,0),"※编码不在物料档案里"))</f>
        <v/>
      </c>
      <c r="F2469" s="24">
        <f>IF($D2469="","",IFERROR(VLOOKUP($D2469,物料档案!$A$4:$P$1203,4,0),"※编码不在物料档案里"))</f>
        <v/>
      </c>
      <c r="G2469" s="24">
        <f>IF($D2469="","",IFERROR(VLOOKUP($D2469,物料档案!$A$4:$P$1203,5,0),"※编码不在物料档案里"))</f>
        <v/>
      </c>
      <c r="H2469" s="24">
        <f>IF($D2469="","",IFERROR(VLOOKUP($D2469,物料档案!$A$4:$P$1203,2,0),"※编码不在物料档案里"))</f>
        <v/>
      </c>
      <c r="I2469" s="24">
        <f>IF($D2469="","",IFERROR(VLOOKUP($D2469,物料档案!$A$4:$P$1203,6,0),"※编码不在物料档案里"))</f>
        <v/>
      </c>
      <c r="J2469" s="23" t="n"/>
      <c r="K2469" s="17" t="n"/>
      <c r="L2469" s="17" t="n"/>
      <c r="M2469" s="17" t="n"/>
      <c r="N2469" s="17" t="n"/>
      <c r="O2469" s="26">
        <f>IF($D2469="","",IFERROR(VLOOKUP($D2469,物料档案!$A$4:$P$1203,10,0),0))</f>
        <v/>
      </c>
      <c r="P2469" s="32" t="n"/>
      <c r="Q2469" s="26">
        <f>IF($D2469="","",IF($K2469&lt;&gt;"对外销售",0,ROUND(N($J2469)*IF($P2469="",N($O2469),N($P2469)),0)))</f>
        <v/>
      </c>
      <c r="R2469" s="26">
        <f>IF($D2469="","",IFERROR(VLOOKUP($D2469,库存台账!$A$5:$Y$1204,11,0),0))</f>
        <v/>
      </c>
      <c r="S2469" s="26">
        <f>IF($D2469="","",ROUND(N($J2469)*N($R2469),0))</f>
        <v/>
      </c>
      <c r="T2469" s="26">
        <f>IF($D2469="","",IF($K2469&lt;&gt;"对外销售","",ROUND($Q2469-$S2469,0)))</f>
        <v/>
      </c>
      <c r="U2469" s="17" t="n"/>
      <c r="V2469" s="17" t="n"/>
      <c r="W2469" s="24">
        <f>IF($D2469="","",IF($E2469="※编码不在物料档案里","※物料编码不在档案里",IF(N($J2469)&lt;=0,"※出库数量要大于 0",IF($K2469="","※没填去向类型",IF($L2469="","※没填去向矿区",IF(AND($C2469&lt;&gt;"",$C2469&lt;=结账锁),"※日期早于已结账截止日，不能再录",IF(AND($K2469="自用消耗",COUNTIF({"一矿区";"二矿区"},$L2469)=0),"※自用消耗的去向只能是一矿区或二矿区",IF(AND($K2469="对外销售",COUNTIF({"三矿区";"六矿区"},$L2469)=0),"※对外销售的去向只能是三矿区或六矿区",IF(AND($K2469="对外销售",ROUND($Q2469,0)=0),"※外销却没有售价，请填实际售价",IF(AND($K2469="对外销售",$T2469&lt;&gt;"",$T2469&lt;0),"※这一笔外销是亏的，请核对售价",IF(IFERROR(VLOOKUP($D2469,库存台账!$A$5:$Y$1204,24,0),0)&lt;-0.001,"※这个物料账面已经变成负数了，查一下是不是漏记入库","")))))))))))</f>
        <v/>
      </c>
    </row>
    <row r="2470">
      <c r="A2470" s="24">
        <f>IF($D2470="","",COUNTA($D$4:$D2470))</f>
        <v/>
      </c>
      <c r="B2470" s="17" t="n"/>
      <c r="C2470" s="30" t="n"/>
      <c r="D2470" s="17" t="n"/>
      <c r="E2470" s="24">
        <f>IF($D2470="","",IFERROR(VLOOKUP($D2470,物料档案!$A$4:$P$1203,3,0),"※编码不在物料档案里"))</f>
        <v/>
      </c>
      <c r="F2470" s="24">
        <f>IF($D2470="","",IFERROR(VLOOKUP($D2470,物料档案!$A$4:$P$1203,4,0),"※编码不在物料档案里"))</f>
        <v/>
      </c>
      <c r="G2470" s="24">
        <f>IF($D2470="","",IFERROR(VLOOKUP($D2470,物料档案!$A$4:$P$1203,5,0),"※编码不在物料档案里"))</f>
        <v/>
      </c>
      <c r="H2470" s="24">
        <f>IF($D2470="","",IFERROR(VLOOKUP($D2470,物料档案!$A$4:$P$1203,2,0),"※编码不在物料档案里"))</f>
        <v/>
      </c>
      <c r="I2470" s="24">
        <f>IF($D2470="","",IFERROR(VLOOKUP($D2470,物料档案!$A$4:$P$1203,6,0),"※编码不在物料档案里"))</f>
        <v/>
      </c>
      <c r="J2470" s="23" t="n"/>
      <c r="K2470" s="17" t="n"/>
      <c r="L2470" s="17" t="n"/>
      <c r="M2470" s="17" t="n"/>
      <c r="N2470" s="17" t="n"/>
      <c r="O2470" s="26">
        <f>IF($D2470="","",IFERROR(VLOOKUP($D2470,物料档案!$A$4:$P$1203,10,0),0))</f>
        <v/>
      </c>
      <c r="P2470" s="32" t="n"/>
      <c r="Q2470" s="26">
        <f>IF($D2470="","",IF($K2470&lt;&gt;"对外销售",0,ROUND(N($J2470)*IF($P2470="",N($O2470),N($P2470)),0)))</f>
        <v/>
      </c>
      <c r="R2470" s="26">
        <f>IF($D2470="","",IFERROR(VLOOKUP($D2470,库存台账!$A$5:$Y$1204,11,0),0))</f>
        <v/>
      </c>
      <c r="S2470" s="26">
        <f>IF($D2470="","",ROUND(N($J2470)*N($R2470),0))</f>
        <v/>
      </c>
      <c r="T2470" s="26">
        <f>IF($D2470="","",IF($K2470&lt;&gt;"对外销售","",ROUND($Q2470-$S2470,0)))</f>
        <v/>
      </c>
      <c r="U2470" s="17" t="n"/>
      <c r="V2470" s="17" t="n"/>
      <c r="W2470" s="24">
        <f>IF($D2470="","",IF($E2470="※编码不在物料档案里","※物料编码不在档案里",IF(N($J2470)&lt;=0,"※出库数量要大于 0",IF($K2470="","※没填去向类型",IF($L2470="","※没填去向矿区",IF(AND($C2470&lt;&gt;"",$C2470&lt;=结账锁),"※日期早于已结账截止日，不能再录",IF(AND($K2470="自用消耗",COUNTIF({"一矿区";"二矿区"},$L2470)=0),"※自用消耗的去向只能是一矿区或二矿区",IF(AND($K2470="对外销售",COUNTIF({"三矿区";"六矿区"},$L2470)=0),"※对外销售的去向只能是三矿区或六矿区",IF(AND($K2470="对外销售",ROUND($Q2470,0)=0),"※外销却没有售价，请填实际售价",IF(AND($K2470="对外销售",$T2470&lt;&gt;"",$T2470&lt;0),"※这一笔外销是亏的，请核对售价",IF(IFERROR(VLOOKUP($D2470,库存台账!$A$5:$Y$1204,24,0),0)&lt;-0.001,"※这个物料账面已经变成负数了，查一下是不是漏记入库","")))))))))))</f>
        <v/>
      </c>
    </row>
    <row r="2471">
      <c r="A2471" s="24">
        <f>IF($D2471="","",COUNTA($D$4:$D2471))</f>
        <v/>
      </c>
      <c r="B2471" s="17" t="n"/>
      <c r="C2471" s="30" t="n"/>
      <c r="D2471" s="17" t="n"/>
      <c r="E2471" s="24">
        <f>IF($D2471="","",IFERROR(VLOOKUP($D2471,物料档案!$A$4:$P$1203,3,0),"※编码不在物料档案里"))</f>
        <v/>
      </c>
      <c r="F2471" s="24">
        <f>IF($D2471="","",IFERROR(VLOOKUP($D2471,物料档案!$A$4:$P$1203,4,0),"※编码不在物料档案里"))</f>
        <v/>
      </c>
      <c r="G2471" s="24">
        <f>IF($D2471="","",IFERROR(VLOOKUP($D2471,物料档案!$A$4:$P$1203,5,0),"※编码不在物料档案里"))</f>
        <v/>
      </c>
      <c r="H2471" s="24">
        <f>IF($D2471="","",IFERROR(VLOOKUP($D2471,物料档案!$A$4:$P$1203,2,0),"※编码不在物料档案里"))</f>
        <v/>
      </c>
      <c r="I2471" s="24">
        <f>IF($D2471="","",IFERROR(VLOOKUP($D2471,物料档案!$A$4:$P$1203,6,0),"※编码不在物料档案里"))</f>
        <v/>
      </c>
      <c r="J2471" s="23" t="n"/>
      <c r="K2471" s="17" t="n"/>
      <c r="L2471" s="17" t="n"/>
      <c r="M2471" s="17" t="n"/>
      <c r="N2471" s="17" t="n"/>
      <c r="O2471" s="26">
        <f>IF($D2471="","",IFERROR(VLOOKUP($D2471,物料档案!$A$4:$P$1203,10,0),0))</f>
        <v/>
      </c>
      <c r="P2471" s="32" t="n"/>
      <c r="Q2471" s="26">
        <f>IF($D2471="","",IF($K2471&lt;&gt;"对外销售",0,ROUND(N($J2471)*IF($P2471="",N($O2471),N($P2471)),0)))</f>
        <v/>
      </c>
      <c r="R2471" s="26">
        <f>IF($D2471="","",IFERROR(VLOOKUP($D2471,库存台账!$A$5:$Y$1204,11,0),0))</f>
        <v/>
      </c>
      <c r="S2471" s="26">
        <f>IF($D2471="","",ROUND(N($J2471)*N($R2471),0))</f>
        <v/>
      </c>
      <c r="T2471" s="26">
        <f>IF($D2471="","",IF($K2471&lt;&gt;"对外销售","",ROUND($Q2471-$S2471,0)))</f>
        <v/>
      </c>
      <c r="U2471" s="17" t="n"/>
      <c r="V2471" s="17" t="n"/>
      <c r="W2471" s="24">
        <f>IF($D2471="","",IF($E2471="※编码不在物料档案里","※物料编码不在档案里",IF(N($J2471)&lt;=0,"※出库数量要大于 0",IF($K2471="","※没填去向类型",IF($L2471="","※没填去向矿区",IF(AND($C2471&lt;&gt;"",$C2471&lt;=结账锁),"※日期早于已结账截止日，不能再录",IF(AND($K2471="自用消耗",COUNTIF({"一矿区";"二矿区"},$L2471)=0),"※自用消耗的去向只能是一矿区或二矿区",IF(AND($K2471="对外销售",COUNTIF({"三矿区";"六矿区"},$L2471)=0),"※对外销售的去向只能是三矿区或六矿区",IF(AND($K2471="对外销售",ROUND($Q2471,0)=0),"※外销却没有售价，请填实际售价",IF(AND($K2471="对外销售",$T2471&lt;&gt;"",$T2471&lt;0),"※这一笔外销是亏的，请核对售价",IF(IFERROR(VLOOKUP($D2471,库存台账!$A$5:$Y$1204,24,0),0)&lt;-0.001,"※这个物料账面已经变成负数了，查一下是不是漏记入库","")))))))))))</f>
        <v/>
      </c>
    </row>
    <row r="2472">
      <c r="A2472" s="24">
        <f>IF($D2472="","",COUNTA($D$4:$D2472))</f>
        <v/>
      </c>
      <c r="B2472" s="17" t="n"/>
      <c r="C2472" s="30" t="n"/>
      <c r="D2472" s="17" t="n"/>
      <c r="E2472" s="24">
        <f>IF($D2472="","",IFERROR(VLOOKUP($D2472,物料档案!$A$4:$P$1203,3,0),"※编码不在物料档案里"))</f>
        <v/>
      </c>
      <c r="F2472" s="24">
        <f>IF($D2472="","",IFERROR(VLOOKUP($D2472,物料档案!$A$4:$P$1203,4,0),"※编码不在物料档案里"))</f>
        <v/>
      </c>
      <c r="G2472" s="24">
        <f>IF($D2472="","",IFERROR(VLOOKUP($D2472,物料档案!$A$4:$P$1203,5,0),"※编码不在物料档案里"))</f>
        <v/>
      </c>
      <c r="H2472" s="24">
        <f>IF($D2472="","",IFERROR(VLOOKUP($D2472,物料档案!$A$4:$P$1203,2,0),"※编码不在物料档案里"))</f>
        <v/>
      </c>
      <c r="I2472" s="24">
        <f>IF($D2472="","",IFERROR(VLOOKUP($D2472,物料档案!$A$4:$P$1203,6,0),"※编码不在物料档案里"))</f>
        <v/>
      </c>
      <c r="J2472" s="23" t="n"/>
      <c r="K2472" s="17" t="n"/>
      <c r="L2472" s="17" t="n"/>
      <c r="M2472" s="17" t="n"/>
      <c r="N2472" s="17" t="n"/>
      <c r="O2472" s="26">
        <f>IF($D2472="","",IFERROR(VLOOKUP($D2472,物料档案!$A$4:$P$1203,10,0),0))</f>
        <v/>
      </c>
      <c r="P2472" s="32" t="n"/>
      <c r="Q2472" s="26">
        <f>IF($D2472="","",IF($K2472&lt;&gt;"对外销售",0,ROUND(N($J2472)*IF($P2472="",N($O2472),N($P2472)),0)))</f>
        <v/>
      </c>
      <c r="R2472" s="26">
        <f>IF($D2472="","",IFERROR(VLOOKUP($D2472,库存台账!$A$5:$Y$1204,11,0),0))</f>
        <v/>
      </c>
      <c r="S2472" s="26">
        <f>IF($D2472="","",ROUND(N($J2472)*N($R2472),0))</f>
        <v/>
      </c>
      <c r="T2472" s="26">
        <f>IF($D2472="","",IF($K2472&lt;&gt;"对外销售","",ROUND($Q2472-$S2472,0)))</f>
        <v/>
      </c>
      <c r="U2472" s="17" t="n"/>
      <c r="V2472" s="17" t="n"/>
      <c r="W2472" s="24">
        <f>IF($D2472="","",IF($E2472="※编码不在物料档案里","※物料编码不在档案里",IF(N($J2472)&lt;=0,"※出库数量要大于 0",IF($K2472="","※没填去向类型",IF($L2472="","※没填去向矿区",IF(AND($C2472&lt;&gt;"",$C2472&lt;=结账锁),"※日期早于已结账截止日，不能再录",IF(AND($K2472="自用消耗",COUNTIF({"一矿区";"二矿区"},$L2472)=0),"※自用消耗的去向只能是一矿区或二矿区",IF(AND($K2472="对外销售",COUNTIF({"三矿区";"六矿区"},$L2472)=0),"※对外销售的去向只能是三矿区或六矿区",IF(AND($K2472="对外销售",ROUND($Q2472,0)=0),"※外销却没有售价，请填实际售价",IF(AND($K2472="对外销售",$T2472&lt;&gt;"",$T2472&lt;0),"※这一笔外销是亏的，请核对售价",IF(IFERROR(VLOOKUP($D2472,库存台账!$A$5:$Y$1204,24,0),0)&lt;-0.001,"※这个物料账面已经变成负数了，查一下是不是漏记入库","")))))))))))</f>
        <v/>
      </c>
    </row>
    <row r="2473">
      <c r="A2473" s="24">
        <f>IF($D2473="","",COUNTA($D$4:$D2473))</f>
        <v/>
      </c>
      <c r="B2473" s="17" t="n"/>
      <c r="C2473" s="30" t="n"/>
      <c r="D2473" s="17" t="n"/>
      <c r="E2473" s="24">
        <f>IF($D2473="","",IFERROR(VLOOKUP($D2473,物料档案!$A$4:$P$1203,3,0),"※编码不在物料档案里"))</f>
        <v/>
      </c>
      <c r="F2473" s="24">
        <f>IF($D2473="","",IFERROR(VLOOKUP($D2473,物料档案!$A$4:$P$1203,4,0),"※编码不在物料档案里"))</f>
        <v/>
      </c>
      <c r="G2473" s="24">
        <f>IF($D2473="","",IFERROR(VLOOKUP($D2473,物料档案!$A$4:$P$1203,5,0),"※编码不在物料档案里"))</f>
        <v/>
      </c>
      <c r="H2473" s="24">
        <f>IF($D2473="","",IFERROR(VLOOKUP($D2473,物料档案!$A$4:$P$1203,2,0),"※编码不在物料档案里"))</f>
        <v/>
      </c>
      <c r="I2473" s="24">
        <f>IF($D2473="","",IFERROR(VLOOKUP($D2473,物料档案!$A$4:$P$1203,6,0),"※编码不在物料档案里"))</f>
        <v/>
      </c>
      <c r="J2473" s="23" t="n"/>
      <c r="K2473" s="17" t="n"/>
      <c r="L2473" s="17" t="n"/>
      <c r="M2473" s="17" t="n"/>
      <c r="N2473" s="17" t="n"/>
      <c r="O2473" s="26">
        <f>IF($D2473="","",IFERROR(VLOOKUP($D2473,物料档案!$A$4:$P$1203,10,0),0))</f>
        <v/>
      </c>
      <c r="P2473" s="32" t="n"/>
      <c r="Q2473" s="26">
        <f>IF($D2473="","",IF($K2473&lt;&gt;"对外销售",0,ROUND(N($J2473)*IF($P2473="",N($O2473),N($P2473)),0)))</f>
        <v/>
      </c>
      <c r="R2473" s="26">
        <f>IF($D2473="","",IFERROR(VLOOKUP($D2473,库存台账!$A$5:$Y$1204,11,0),0))</f>
        <v/>
      </c>
      <c r="S2473" s="26">
        <f>IF($D2473="","",ROUND(N($J2473)*N($R2473),0))</f>
        <v/>
      </c>
      <c r="T2473" s="26">
        <f>IF($D2473="","",IF($K2473&lt;&gt;"对外销售","",ROUND($Q2473-$S2473,0)))</f>
        <v/>
      </c>
      <c r="U2473" s="17" t="n"/>
      <c r="V2473" s="17" t="n"/>
      <c r="W2473" s="24">
        <f>IF($D2473="","",IF($E2473="※编码不在物料档案里","※物料编码不在档案里",IF(N($J2473)&lt;=0,"※出库数量要大于 0",IF($K2473="","※没填去向类型",IF($L2473="","※没填去向矿区",IF(AND($C2473&lt;&gt;"",$C2473&lt;=结账锁),"※日期早于已结账截止日，不能再录",IF(AND($K2473="自用消耗",COUNTIF({"一矿区";"二矿区"},$L2473)=0),"※自用消耗的去向只能是一矿区或二矿区",IF(AND($K2473="对外销售",COUNTIF({"三矿区";"六矿区"},$L2473)=0),"※对外销售的去向只能是三矿区或六矿区",IF(AND($K2473="对外销售",ROUND($Q2473,0)=0),"※外销却没有售价，请填实际售价",IF(AND($K2473="对外销售",$T2473&lt;&gt;"",$T2473&lt;0),"※这一笔外销是亏的，请核对售价",IF(IFERROR(VLOOKUP($D2473,库存台账!$A$5:$Y$1204,24,0),0)&lt;-0.001,"※这个物料账面已经变成负数了，查一下是不是漏记入库","")))))))))))</f>
        <v/>
      </c>
    </row>
    <row r="2474">
      <c r="A2474" s="24">
        <f>IF($D2474="","",COUNTA($D$4:$D2474))</f>
        <v/>
      </c>
      <c r="B2474" s="17" t="n"/>
      <c r="C2474" s="30" t="n"/>
      <c r="D2474" s="17" t="n"/>
      <c r="E2474" s="24">
        <f>IF($D2474="","",IFERROR(VLOOKUP($D2474,物料档案!$A$4:$P$1203,3,0),"※编码不在物料档案里"))</f>
        <v/>
      </c>
      <c r="F2474" s="24">
        <f>IF($D2474="","",IFERROR(VLOOKUP($D2474,物料档案!$A$4:$P$1203,4,0),"※编码不在物料档案里"))</f>
        <v/>
      </c>
      <c r="G2474" s="24">
        <f>IF($D2474="","",IFERROR(VLOOKUP($D2474,物料档案!$A$4:$P$1203,5,0),"※编码不在物料档案里"))</f>
        <v/>
      </c>
      <c r="H2474" s="24">
        <f>IF($D2474="","",IFERROR(VLOOKUP($D2474,物料档案!$A$4:$P$1203,2,0),"※编码不在物料档案里"))</f>
        <v/>
      </c>
      <c r="I2474" s="24">
        <f>IF($D2474="","",IFERROR(VLOOKUP($D2474,物料档案!$A$4:$P$1203,6,0),"※编码不在物料档案里"))</f>
        <v/>
      </c>
      <c r="J2474" s="23" t="n"/>
      <c r="K2474" s="17" t="n"/>
      <c r="L2474" s="17" t="n"/>
      <c r="M2474" s="17" t="n"/>
      <c r="N2474" s="17" t="n"/>
      <c r="O2474" s="26">
        <f>IF($D2474="","",IFERROR(VLOOKUP($D2474,物料档案!$A$4:$P$1203,10,0),0))</f>
        <v/>
      </c>
      <c r="P2474" s="32" t="n"/>
      <c r="Q2474" s="26">
        <f>IF($D2474="","",IF($K2474&lt;&gt;"对外销售",0,ROUND(N($J2474)*IF($P2474="",N($O2474),N($P2474)),0)))</f>
        <v/>
      </c>
      <c r="R2474" s="26">
        <f>IF($D2474="","",IFERROR(VLOOKUP($D2474,库存台账!$A$5:$Y$1204,11,0),0))</f>
        <v/>
      </c>
      <c r="S2474" s="26">
        <f>IF($D2474="","",ROUND(N($J2474)*N($R2474),0))</f>
        <v/>
      </c>
      <c r="T2474" s="26">
        <f>IF($D2474="","",IF($K2474&lt;&gt;"对外销售","",ROUND($Q2474-$S2474,0)))</f>
        <v/>
      </c>
      <c r="U2474" s="17" t="n"/>
      <c r="V2474" s="17" t="n"/>
      <c r="W2474" s="24">
        <f>IF($D2474="","",IF($E2474="※编码不在物料档案里","※物料编码不在档案里",IF(N($J2474)&lt;=0,"※出库数量要大于 0",IF($K2474="","※没填去向类型",IF($L2474="","※没填去向矿区",IF(AND($C2474&lt;&gt;"",$C2474&lt;=结账锁),"※日期早于已结账截止日，不能再录",IF(AND($K2474="自用消耗",COUNTIF({"一矿区";"二矿区"},$L2474)=0),"※自用消耗的去向只能是一矿区或二矿区",IF(AND($K2474="对外销售",COUNTIF({"三矿区";"六矿区"},$L2474)=0),"※对外销售的去向只能是三矿区或六矿区",IF(AND($K2474="对外销售",ROUND($Q2474,0)=0),"※外销却没有售价，请填实际售价",IF(AND($K2474="对外销售",$T2474&lt;&gt;"",$T2474&lt;0),"※这一笔外销是亏的，请核对售价",IF(IFERROR(VLOOKUP($D2474,库存台账!$A$5:$Y$1204,24,0),0)&lt;-0.001,"※这个物料账面已经变成负数了，查一下是不是漏记入库","")))))))))))</f>
        <v/>
      </c>
    </row>
    <row r="2475">
      <c r="A2475" s="24">
        <f>IF($D2475="","",COUNTA($D$4:$D2475))</f>
        <v/>
      </c>
      <c r="B2475" s="17" t="n"/>
      <c r="C2475" s="30" t="n"/>
      <c r="D2475" s="17" t="n"/>
      <c r="E2475" s="24">
        <f>IF($D2475="","",IFERROR(VLOOKUP($D2475,物料档案!$A$4:$P$1203,3,0),"※编码不在物料档案里"))</f>
        <v/>
      </c>
      <c r="F2475" s="24">
        <f>IF($D2475="","",IFERROR(VLOOKUP($D2475,物料档案!$A$4:$P$1203,4,0),"※编码不在物料档案里"))</f>
        <v/>
      </c>
      <c r="G2475" s="24">
        <f>IF($D2475="","",IFERROR(VLOOKUP($D2475,物料档案!$A$4:$P$1203,5,0),"※编码不在物料档案里"))</f>
        <v/>
      </c>
      <c r="H2475" s="24">
        <f>IF($D2475="","",IFERROR(VLOOKUP($D2475,物料档案!$A$4:$P$1203,2,0),"※编码不在物料档案里"))</f>
        <v/>
      </c>
      <c r="I2475" s="24">
        <f>IF($D2475="","",IFERROR(VLOOKUP($D2475,物料档案!$A$4:$P$1203,6,0),"※编码不在物料档案里"))</f>
        <v/>
      </c>
      <c r="J2475" s="23" t="n"/>
      <c r="K2475" s="17" t="n"/>
      <c r="L2475" s="17" t="n"/>
      <c r="M2475" s="17" t="n"/>
      <c r="N2475" s="17" t="n"/>
      <c r="O2475" s="26">
        <f>IF($D2475="","",IFERROR(VLOOKUP($D2475,物料档案!$A$4:$P$1203,10,0),0))</f>
        <v/>
      </c>
      <c r="P2475" s="32" t="n"/>
      <c r="Q2475" s="26">
        <f>IF($D2475="","",IF($K2475&lt;&gt;"对外销售",0,ROUND(N($J2475)*IF($P2475="",N($O2475),N($P2475)),0)))</f>
        <v/>
      </c>
      <c r="R2475" s="26">
        <f>IF($D2475="","",IFERROR(VLOOKUP($D2475,库存台账!$A$5:$Y$1204,11,0),0))</f>
        <v/>
      </c>
      <c r="S2475" s="26">
        <f>IF($D2475="","",ROUND(N($J2475)*N($R2475),0))</f>
        <v/>
      </c>
      <c r="T2475" s="26">
        <f>IF($D2475="","",IF($K2475&lt;&gt;"对外销售","",ROUND($Q2475-$S2475,0)))</f>
        <v/>
      </c>
      <c r="U2475" s="17" t="n"/>
      <c r="V2475" s="17" t="n"/>
      <c r="W2475" s="24">
        <f>IF($D2475="","",IF($E2475="※编码不在物料档案里","※物料编码不在档案里",IF(N($J2475)&lt;=0,"※出库数量要大于 0",IF($K2475="","※没填去向类型",IF($L2475="","※没填去向矿区",IF(AND($C2475&lt;&gt;"",$C2475&lt;=结账锁),"※日期早于已结账截止日，不能再录",IF(AND($K2475="自用消耗",COUNTIF({"一矿区";"二矿区"},$L2475)=0),"※自用消耗的去向只能是一矿区或二矿区",IF(AND($K2475="对外销售",COUNTIF({"三矿区";"六矿区"},$L2475)=0),"※对外销售的去向只能是三矿区或六矿区",IF(AND($K2475="对外销售",ROUND($Q2475,0)=0),"※外销却没有售价，请填实际售价",IF(AND($K2475="对外销售",$T2475&lt;&gt;"",$T2475&lt;0),"※这一笔外销是亏的，请核对售价",IF(IFERROR(VLOOKUP($D2475,库存台账!$A$5:$Y$1204,24,0),0)&lt;-0.001,"※这个物料账面已经变成负数了，查一下是不是漏记入库","")))))))))))</f>
        <v/>
      </c>
    </row>
    <row r="2476">
      <c r="A2476" s="24">
        <f>IF($D2476="","",COUNTA($D$4:$D2476))</f>
        <v/>
      </c>
      <c r="B2476" s="17" t="n"/>
      <c r="C2476" s="30" t="n"/>
      <c r="D2476" s="17" t="n"/>
      <c r="E2476" s="24">
        <f>IF($D2476="","",IFERROR(VLOOKUP($D2476,物料档案!$A$4:$P$1203,3,0),"※编码不在物料档案里"))</f>
        <v/>
      </c>
      <c r="F2476" s="24">
        <f>IF($D2476="","",IFERROR(VLOOKUP($D2476,物料档案!$A$4:$P$1203,4,0),"※编码不在物料档案里"))</f>
        <v/>
      </c>
      <c r="G2476" s="24">
        <f>IF($D2476="","",IFERROR(VLOOKUP($D2476,物料档案!$A$4:$P$1203,5,0),"※编码不在物料档案里"))</f>
        <v/>
      </c>
      <c r="H2476" s="24">
        <f>IF($D2476="","",IFERROR(VLOOKUP($D2476,物料档案!$A$4:$P$1203,2,0),"※编码不在物料档案里"))</f>
        <v/>
      </c>
      <c r="I2476" s="24">
        <f>IF($D2476="","",IFERROR(VLOOKUP($D2476,物料档案!$A$4:$P$1203,6,0),"※编码不在物料档案里"))</f>
        <v/>
      </c>
      <c r="J2476" s="23" t="n"/>
      <c r="K2476" s="17" t="n"/>
      <c r="L2476" s="17" t="n"/>
      <c r="M2476" s="17" t="n"/>
      <c r="N2476" s="17" t="n"/>
      <c r="O2476" s="26">
        <f>IF($D2476="","",IFERROR(VLOOKUP($D2476,物料档案!$A$4:$P$1203,10,0),0))</f>
        <v/>
      </c>
      <c r="P2476" s="32" t="n"/>
      <c r="Q2476" s="26">
        <f>IF($D2476="","",IF($K2476&lt;&gt;"对外销售",0,ROUND(N($J2476)*IF($P2476="",N($O2476),N($P2476)),0)))</f>
        <v/>
      </c>
      <c r="R2476" s="26">
        <f>IF($D2476="","",IFERROR(VLOOKUP($D2476,库存台账!$A$5:$Y$1204,11,0),0))</f>
        <v/>
      </c>
      <c r="S2476" s="26">
        <f>IF($D2476="","",ROUND(N($J2476)*N($R2476),0))</f>
        <v/>
      </c>
      <c r="T2476" s="26">
        <f>IF($D2476="","",IF($K2476&lt;&gt;"对外销售","",ROUND($Q2476-$S2476,0)))</f>
        <v/>
      </c>
      <c r="U2476" s="17" t="n"/>
      <c r="V2476" s="17" t="n"/>
      <c r="W2476" s="24">
        <f>IF($D2476="","",IF($E2476="※编码不在物料档案里","※物料编码不在档案里",IF(N($J2476)&lt;=0,"※出库数量要大于 0",IF($K2476="","※没填去向类型",IF($L2476="","※没填去向矿区",IF(AND($C2476&lt;&gt;"",$C2476&lt;=结账锁),"※日期早于已结账截止日，不能再录",IF(AND($K2476="自用消耗",COUNTIF({"一矿区";"二矿区"},$L2476)=0),"※自用消耗的去向只能是一矿区或二矿区",IF(AND($K2476="对外销售",COUNTIF({"三矿区";"六矿区"},$L2476)=0),"※对外销售的去向只能是三矿区或六矿区",IF(AND($K2476="对外销售",ROUND($Q2476,0)=0),"※外销却没有售价，请填实际售价",IF(AND($K2476="对外销售",$T2476&lt;&gt;"",$T2476&lt;0),"※这一笔外销是亏的，请核对售价",IF(IFERROR(VLOOKUP($D2476,库存台账!$A$5:$Y$1204,24,0),0)&lt;-0.001,"※这个物料账面已经变成负数了，查一下是不是漏记入库","")))))))))))</f>
        <v/>
      </c>
    </row>
    <row r="2477">
      <c r="A2477" s="24">
        <f>IF($D2477="","",COUNTA($D$4:$D2477))</f>
        <v/>
      </c>
      <c r="B2477" s="17" t="n"/>
      <c r="C2477" s="30" t="n"/>
      <c r="D2477" s="17" t="n"/>
      <c r="E2477" s="24">
        <f>IF($D2477="","",IFERROR(VLOOKUP($D2477,物料档案!$A$4:$P$1203,3,0),"※编码不在物料档案里"))</f>
        <v/>
      </c>
      <c r="F2477" s="24">
        <f>IF($D2477="","",IFERROR(VLOOKUP($D2477,物料档案!$A$4:$P$1203,4,0),"※编码不在物料档案里"))</f>
        <v/>
      </c>
      <c r="G2477" s="24">
        <f>IF($D2477="","",IFERROR(VLOOKUP($D2477,物料档案!$A$4:$P$1203,5,0),"※编码不在物料档案里"))</f>
        <v/>
      </c>
      <c r="H2477" s="24">
        <f>IF($D2477="","",IFERROR(VLOOKUP($D2477,物料档案!$A$4:$P$1203,2,0),"※编码不在物料档案里"))</f>
        <v/>
      </c>
      <c r="I2477" s="24">
        <f>IF($D2477="","",IFERROR(VLOOKUP($D2477,物料档案!$A$4:$P$1203,6,0),"※编码不在物料档案里"))</f>
        <v/>
      </c>
      <c r="J2477" s="23" t="n"/>
      <c r="K2477" s="17" t="n"/>
      <c r="L2477" s="17" t="n"/>
      <c r="M2477" s="17" t="n"/>
      <c r="N2477" s="17" t="n"/>
      <c r="O2477" s="26">
        <f>IF($D2477="","",IFERROR(VLOOKUP($D2477,物料档案!$A$4:$P$1203,10,0),0))</f>
        <v/>
      </c>
      <c r="P2477" s="32" t="n"/>
      <c r="Q2477" s="26">
        <f>IF($D2477="","",IF($K2477&lt;&gt;"对外销售",0,ROUND(N($J2477)*IF($P2477="",N($O2477),N($P2477)),0)))</f>
        <v/>
      </c>
      <c r="R2477" s="26">
        <f>IF($D2477="","",IFERROR(VLOOKUP($D2477,库存台账!$A$5:$Y$1204,11,0),0))</f>
        <v/>
      </c>
      <c r="S2477" s="26">
        <f>IF($D2477="","",ROUND(N($J2477)*N($R2477),0))</f>
        <v/>
      </c>
      <c r="T2477" s="26">
        <f>IF($D2477="","",IF($K2477&lt;&gt;"对外销售","",ROUND($Q2477-$S2477,0)))</f>
        <v/>
      </c>
      <c r="U2477" s="17" t="n"/>
      <c r="V2477" s="17" t="n"/>
      <c r="W2477" s="24">
        <f>IF($D2477="","",IF($E2477="※编码不在物料档案里","※物料编码不在档案里",IF(N($J2477)&lt;=0,"※出库数量要大于 0",IF($K2477="","※没填去向类型",IF($L2477="","※没填去向矿区",IF(AND($C2477&lt;&gt;"",$C2477&lt;=结账锁),"※日期早于已结账截止日，不能再录",IF(AND($K2477="自用消耗",COUNTIF({"一矿区";"二矿区"},$L2477)=0),"※自用消耗的去向只能是一矿区或二矿区",IF(AND($K2477="对外销售",COUNTIF({"三矿区";"六矿区"},$L2477)=0),"※对外销售的去向只能是三矿区或六矿区",IF(AND($K2477="对外销售",ROUND($Q2477,0)=0),"※外销却没有售价，请填实际售价",IF(AND($K2477="对外销售",$T2477&lt;&gt;"",$T2477&lt;0),"※这一笔外销是亏的，请核对售价",IF(IFERROR(VLOOKUP($D2477,库存台账!$A$5:$Y$1204,24,0),0)&lt;-0.001,"※这个物料账面已经变成负数了，查一下是不是漏记入库","")))))))))))</f>
        <v/>
      </c>
    </row>
    <row r="2478">
      <c r="A2478" s="24">
        <f>IF($D2478="","",COUNTA($D$4:$D2478))</f>
        <v/>
      </c>
      <c r="B2478" s="17" t="n"/>
      <c r="C2478" s="30" t="n"/>
      <c r="D2478" s="17" t="n"/>
      <c r="E2478" s="24">
        <f>IF($D2478="","",IFERROR(VLOOKUP($D2478,物料档案!$A$4:$P$1203,3,0),"※编码不在物料档案里"))</f>
        <v/>
      </c>
      <c r="F2478" s="24">
        <f>IF($D2478="","",IFERROR(VLOOKUP($D2478,物料档案!$A$4:$P$1203,4,0),"※编码不在物料档案里"))</f>
        <v/>
      </c>
      <c r="G2478" s="24">
        <f>IF($D2478="","",IFERROR(VLOOKUP($D2478,物料档案!$A$4:$P$1203,5,0),"※编码不在物料档案里"))</f>
        <v/>
      </c>
      <c r="H2478" s="24">
        <f>IF($D2478="","",IFERROR(VLOOKUP($D2478,物料档案!$A$4:$P$1203,2,0),"※编码不在物料档案里"))</f>
        <v/>
      </c>
      <c r="I2478" s="24">
        <f>IF($D2478="","",IFERROR(VLOOKUP($D2478,物料档案!$A$4:$P$1203,6,0),"※编码不在物料档案里"))</f>
        <v/>
      </c>
      <c r="J2478" s="23" t="n"/>
      <c r="K2478" s="17" t="n"/>
      <c r="L2478" s="17" t="n"/>
      <c r="M2478" s="17" t="n"/>
      <c r="N2478" s="17" t="n"/>
      <c r="O2478" s="26">
        <f>IF($D2478="","",IFERROR(VLOOKUP($D2478,物料档案!$A$4:$P$1203,10,0),0))</f>
        <v/>
      </c>
      <c r="P2478" s="32" t="n"/>
      <c r="Q2478" s="26">
        <f>IF($D2478="","",IF($K2478&lt;&gt;"对外销售",0,ROUND(N($J2478)*IF($P2478="",N($O2478),N($P2478)),0)))</f>
        <v/>
      </c>
      <c r="R2478" s="26">
        <f>IF($D2478="","",IFERROR(VLOOKUP($D2478,库存台账!$A$5:$Y$1204,11,0),0))</f>
        <v/>
      </c>
      <c r="S2478" s="26">
        <f>IF($D2478="","",ROUND(N($J2478)*N($R2478),0))</f>
        <v/>
      </c>
      <c r="T2478" s="26">
        <f>IF($D2478="","",IF($K2478&lt;&gt;"对外销售","",ROUND($Q2478-$S2478,0)))</f>
        <v/>
      </c>
      <c r="U2478" s="17" t="n"/>
      <c r="V2478" s="17" t="n"/>
      <c r="W2478" s="24">
        <f>IF($D2478="","",IF($E2478="※编码不在物料档案里","※物料编码不在档案里",IF(N($J2478)&lt;=0,"※出库数量要大于 0",IF($K2478="","※没填去向类型",IF($L2478="","※没填去向矿区",IF(AND($C2478&lt;&gt;"",$C2478&lt;=结账锁),"※日期早于已结账截止日，不能再录",IF(AND($K2478="自用消耗",COUNTIF({"一矿区";"二矿区"},$L2478)=0),"※自用消耗的去向只能是一矿区或二矿区",IF(AND($K2478="对外销售",COUNTIF({"三矿区";"六矿区"},$L2478)=0),"※对外销售的去向只能是三矿区或六矿区",IF(AND($K2478="对外销售",ROUND($Q2478,0)=0),"※外销却没有售价，请填实际售价",IF(AND($K2478="对外销售",$T2478&lt;&gt;"",$T2478&lt;0),"※这一笔外销是亏的，请核对售价",IF(IFERROR(VLOOKUP($D2478,库存台账!$A$5:$Y$1204,24,0),0)&lt;-0.001,"※这个物料账面已经变成负数了，查一下是不是漏记入库","")))))))))))</f>
        <v/>
      </c>
    </row>
    <row r="2479">
      <c r="A2479" s="24">
        <f>IF($D2479="","",COUNTA($D$4:$D2479))</f>
        <v/>
      </c>
      <c r="B2479" s="17" t="n"/>
      <c r="C2479" s="30" t="n"/>
      <c r="D2479" s="17" t="n"/>
      <c r="E2479" s="24">
        <f>IF($D2479="","",IFERROR(VLOOKUP($D2479,物料档案!$A$4:$P$1203,3,0),"※编码不在物料档案里"))</f>
        <v/>
      </c>
      <c r="F2479" s="24">
        <f>IF($D2479="","",IFERROR(VLOOKUP($D2479,物料档案!$A$4:$P$1203,4,0),"※编码不在物料档案里"))</f>
        <v/>
      </c>
      <c r="G2479" s="24">
        <f>IF($D2479="","",IFERROR(VLOOKUP($D2479,物料档案!$A$4:$P$1203,5,0),"※编码不在物料档案里"))</f>
        <v/>
      </c>
      <c r="H2479" s="24">
        <f>IF($D2479="","",IFERROR(VLOOKUP($D2479,物料档案!$A$4:$P$1203,2,0),"※编码不在物料档案里"))</f>
        <v/>
      </c>
      <c r="I2479" s="24">
        <f>IF($D2479="","",IFERROR(VLOOKUP($D2479,物料档案!$A$4:$P$1203,6,0),"※编码不在物料档案里"))</f>
        <v/>
      </c>
      <c r="J2479" s="23" t="n"/>
      <c r="K2479" s="17" t="n"/>
      <c r="L2479" s="17" t="n"/>
      <c r="M2479" s="17" t="n"/>
      <c r="N2479" s="17" t="n"/>
      <c r="O2479" s="26">
        <f>IF($D2479="","",IFERROR(VLOOKUP($D2479,物料档案!$A$4:$P$1203,10,0),0))</f>
        <v/>
      </c>
      <c r="P2479" s="32" t="n"/>
      <c r="Q2479" s="26">
        <f>IF($D2479="","",IF($K2479&lt;&gt;"对外销售",0,ROUND(N($J2479)*IF($P2479="",N($O2479),N($P2479)),0)))</f>
        <v/>
      </c>
      <c r="R2479" s="26">
        <f>IF($D2479="","",IFERROR(VLOOKUP($D2479,库存台账!$A$5:$Y$1204,11,0),0))</f>
        <v/>
      </c>
      <c r="S2479" s="26">
        <f>IF($D2479="","",ROUND(N($J2479)*N($R2479),0))</f>
        <v/>
      </c>
      <c r="T2479" s="26">
        <f>IF($D2479="","",IF($K2479&lt;&gt;"对外销售","",ROUND($Q2479-$S2479,0)))</f>
        <v/>
      </c>
      <c r="U2479" s="17" t="n"/>
      <c r="V2479" s="17" t="n"/>
      <c r="W2479" s="24">
        <f>IF($D2479="","",IF($E2479="※编码不在物料档案里","※物料编码不在档案里",IF(N($J2479)&lt;=0,"※出库数量要大于 0",IF($K2479="","※没填去向类型",IF($L2479="","※没填去向矿区",IF(AND($C2479&lt;&gt;"",$C2479&lt;=结账锁),"※日期早于已结账截止日，不能再录",IF(AND($K2479="自用消耗",COUNTIF({"一矿区";"二矿区"},$L2479)=0),"※自用消耗的去向只能是一矿区或二矿区",IF(AND($K2479="对外销售",COUNTIF({"三矿区";"六矿区"},$L2479)=0),"※对外销售的去向只能是三矿区或六矿区",IF(AND($K2479="对外销售",ROUND($Q2479,0)=0),"※外销却没有售价，请填实际售价",IF(AND($K2479="对外销售",$T2479&lt;&gt;"",$T2479&lt;0),"※这一笔外销是亏的，请核对售价",IF(IFERROR(VLOOKUP($D2479,库存台账!$A$5:$Y$1204,24,0),0)&lt;-0.001,"※这个物料账面已经变成负数了，查一下是不是漏记入库","")))))))))))</f>
        <v/>
      </c>
    </row>
    <row r="2480">
      <c r="A2480" s="24">
        <f>IF($D2480="","",COUNTA($D$4:$D2480))</f>
        <v/>
      </c>
      <c r="B2480" s="17" t="n"/>
      <c r="C2480" s="30" t="n"/>
      <c r="D2480" s="17" t="n"/>
      <c r="E2480" s="24">
        <f>IF($D2480="","",IFERROR(VLOOKUP($D2480,物料档案!$A$4:$P$1203,3,0),"※编码不在物料档案里"))</f>
        <v/>
      </c>
      <c r="F2480" s="24">
        <f>IF($D2480="","",IFERROR(VLOOKUP($D2480,物料档案!$A$4:$P$1203,4,0),"※编码不在物料档案里"))</f>
        <v/>
      </c>
      <c r="G2480" s="24">
        <f>IF($D2480="","",IFERROR(VLOOKUP($D2480,物料档案!$A$4:$P$1203,5,0),"※编码不在物料档案里"))</f>
        <v/>
      </c>
      <c r="H2480" s="24">
        <f>IF($D2480="","",IFERROR(VLOOKUP($D2480,物料档案!$A$4:$P$1203,2,0),"※编码不在物料档案里"))</f>
        <v/>
      </c>
      <c r="I2480" s="24">
        <f>IF($D2480="","",IFERROR(VLOOKUP($D2480,物料档案!$A$4:$P$1203,6,0),"※编码不在物料档案里"))</f>
        <v/>
      </c>
      <c r="J2480" s="23" t="n"/>
      <c r="K2480" s="17" t="n"/>
      <c r="L2480" s="17" t="n"/>
      <c r="M2480" s="17" t="n"/>
      <c r="N2480" s="17" t="n"/>
      <c r="O2480" s="26">
        <f>IF($D2480="","",IFERROR(VLOOKUP($D2480,物料档案!$A$4:$P$1203,10,0),0))</f>
        <v/>
      </c>
      <c r="P2480" s="32" t="n"/>
      <c r="Q2480" s="26">
        <f>IF($D2480="","",IF($K2480&lt;&gt;"对外销售",0,ROUND(N($J2480)*IF($P2480="",N($O2480),N($P2480)),0)))</f>
        <v/>
      </c>
      <c r="R2480" s="26">
        <f>IF($D2480="","",IFERROR(VLOOKUP($D2480,库存台账!$A$5:$Y$1204,11,0),0))</f>
        <v/>
      </c>
      <c r="S2480" s="26">
        <f>IF($D2480="","",ROUND(N($J2480)*N($R2480),0))</f>
        <v/>
      </c>
      <c r="T2480" s="26">
        <f>IF($D2480="","",IF($K2480&lt;&gt;"对外销售","",ROUND($Q2480-$S2480,0)))</f>
        <v/>
      </c>
      <c r="U2480" s="17" t="n"/>
      <c r="V2480" s="17" t="n"/>
      <c r="W2480" s="24">
        <f>IF($D2480="","",IF($E2480="※编码不在物料档案里","※物料编码不在档案里",IF(N($J2480)&lt;=0,"※出库数量要大于 0",IF($K2480="","※没填去向类型",IF($L2480="","※没填去向矿区",IF(AND($C2480&lt;&gt;"",$C2480&lt;=结账锁),"※日期早于已结账截止日，不能再录",IF(AND($K2480="自用消耗",COUNTIF({"一矿区";"二矿区"},$L2480)=0),"※自用消耗的去向只能是一矿区或二矿区",IF(AND($K2480="对外销售",COUNTIF({"三矿区";"六矿区"},$L2480)=0),"※对外销售的去向只能是三矿区或六矿区",IF(AND($K2480="对外销售",ROUND($Q2480,0)=0),"※外销却没有售价，请填实际售价",IF(AND($K2480="对外销售",$T2480&lt;&gt;"",$T2480&lt;0),"※这一笔外销是亏的，请核对售价",IF(IFERROR(VLOOKUP($D2480,库存台账!$A$5:$Y$1204,24,0),0)&lt;-0.001,"※这个物料账面已经变成负数了，查一下是不是漏记入库","")))))))))))</f>
        <v/>
      </c>
    </row>
    <row r="2481">
      <c r="A2481" s="24">
        <f>IF($D2481="","",COUNTA($D$4:$D2481))</f>
        <v/>
      </c>
      <c r="B2481" s="17" t="n"/>
      <c r="C2481" s="30" t="n"/>
      <c r="D2481" s="17" t="n"/>
      <c r="E2481" s="24">
        <f>IF($D2481="","",IFERROR(VLOOKUP($D2481,物料档案!$A$4:$P$1203,3,0),"※编码不在物料档案里"))</f>
        <v/>
      </c>
      <c r="F2481" s="24">
        <f>IF($D2481="","",IFERROR(VLOOKUP($D2481,物料档案!$A$4:$P$1203,4,0),"※编码不在物料档案里"))</f>
        <v/>
      </c>
      <c r="G2481" s="24">
        <f>IF($D2481="","",IFERROR(VLOOKUP($D2481,物料档案!$A$4:$P$1203,5,0),"※编码不在物料档案里"))</f>
        <v/>
      </c>
      <c r="H2481" s="24">
        <f>IF($D2481="","",IFERROR(VLOOKUP($D2481,物料档案!$A$4:$P$1203,2,0),"※编码不在物料档案里"))</f>
        <v/>
      </c>
      <c r="I2481" s="24">
        <f>IF($D2481="","",IFERROR(VLOOKUP($D2481,物料档案!$A$4:$P$1203,6,0),"※编码不在物料档案里"))</f>
        <v/>
      </c>
      <c r="J2481" s="23" t="n"/>
      <c r="K2481" s="17" t="n"/>
      <c r="L2481" s="17" t="n"/>
      <c r="M2481" s="17" t="n"/>
      <c r="N2481" s="17" t="n"/>
      <c r="O2481" s="26">
        <f>IF($D2481="","",IFERROR(VLOOKUP($D2481,物料档案!$A$4:$P$1203,10,0),0))</f>
        <v/>
      </c>
      <c r="P2481" s="32" t="n"/>
      <c r="Q2481" s="26">
        <f>IF($D2481="","",IF($K2481&lt;&gt;"对外销售",0,ROUND(N($J2481)*IF($P2481="",N($O2481),N($P2481)),0)))</f>
        <v/>
      </c>
      <c r="R2481" s="26">
        <f>IF($D2481="","",IFERROR(VLOOKUP($D2481,库存台账!$A$5:$Y$1204,11,0),0))</f>
        <v/>
      </c>
      <c r="S2481" s="26">
        <f>IF($D2481="","",ROUND(N($J2481)*N($R2481),0))</f>
        <v/>
      </c>
      <c r="T2481" s="26">
        <f>IF($D2481="","",IF($K2481&lt;&gt;"对外销售","",ROUND($Q2481-$S2481,0)))</f>
        <v/>
      </c>
      <c r="U2481" s="17" t="n"/>
      <c r="V2481" s="17" t="n"/>
      <c r="W2481" s="24">
        <f>IF($D2481="","",IF($E2481="※编码不在物料档案里","※物料编码不在档案里",IF(N($J2481)&lt;=0,"※出库数量要大于 0",IF($K2481="","※没填去向类型",IF($L2481="","※没填去向矿区",IF(AND($C2481&lt;&gt;"",$C2481&lt;=结账锁),"※日期早于已结账截止日，不能再录",IF(AND($K2481="自用消耗",COUNTIF({"一矿区";"二矿区"},$L2481)=0),"※自用消耗的去向只能是一矿区或二矿区",IF(AND($K2481="对外销售",COUNTIF({"三矿区";"六矿区"},$L2481)=0),"※对外销售的去向只能是三矿区或六矿区",IF(AND($K2481="对外销售",ROUND($Q2481,0)=0),"※外销却没有售价，请填实际售价",IF(AND($K2481="对外销售",$T2481&lt;&gt;"",$T2481&lt;0),"※这一笔外销是亏的，请核对售价",IF(IFERROR(VLOOKUP($D2481,库存台账!$A$5:$Y$1204,24,0),0)&lt;-0.001,"※这个物料账面已经变成负数了，查一下是不是漏记入库","")))))))))))</f>
        <v/>
      </c>
    </row>
    <row r="2482">
      <c r="A2482" s="24">
        <f>IF($D2482="","",COUNTA($D$4:$D2482))</f>
        <v/>
      </c>
      <c r="B2482" s="17" t="n"/>
      <c r="C2482" s="30" t="n"/>
      <c r="D2482" s="17" t="n"/>
      <c r="E2482" s="24">
        <f>IF($D2482="","",IFERROR(VLOOKUP($D2482,物料档案!$A$4:$P$1203,3,0),"※编码不在物料档案里"))</f>
        <v/>
      </c>
      <c r="F2482" s="24">
        <f>IF($D2482="","",IFERROR(VLOOKUP($D2482,物料档案!$A$4:$P$1203,4,0),"※编码不在物料档案里"))</f>
        <v/>
      </c>
      <c r="G2482" s="24">
        <f>IF($D2482="","",IFERROR(VLOOKUP($D2482,物料档案!$A$4:$P$1203,5,0),"※编码不在物料档案里"))</f>
        <v/>
      </c>
      <c r="H2482" s="24">
        <f>IF($D2482="","",IFERROR(VLOOKUP($D2482,物料档案!$A$4:$P$1203,2,0),"※编码不在物料档案里"))</f>
        <v/>
      </c>
      <c r="I2482" s="24">
        <f>IF($D2482="","",IFERROR(VLOOKUP($D2482,物料档案!$A$4:$P$1203,6,0),"※编码不在物料档案里"))</f>
        <v/>
      </c>
      <c r="J2482" s="23" t="n"/>
      <c r="K2482" s="17" t="n"/>
      <c r="L2482" s="17" t="n"/>
      <c r="M2482" s="17" t="n"/>
      <c r="N2482" s="17" t="n"/>
      <c r="O2482" s="26">
        <f>IF($D2482="","",IFERROR(VLOOKUP($D2482,物料档案!$A$4:$P$1203,10,0),0))</f>
        <v/>
      </c>
      <c r="P2482" s="32" t="n"/>
      <c r="Q2482" s="26">
        <f>IF($D2482="","",IF($K2482&lt;&gt;"对外销售",0,ROUND(N($J2482)*IF($P2482="",N($O2482),N($P2482)),0)))</f>
        <v/>
      </c>
      <c r="R2482" s="26">
        <f>IF($D2482="","",IFERROR(VLOOKUP($D2482,库存台账!$A$5:$Y$1204,11,0),0))</f>
        <v/>
      </c>
      <c r="S2482" s="26">
        <f>IF($D2482="","",ROUND(N($J2482)*N($R2482),0))</f>
        <v/>
      </c>
      <c r="T2482" s="26">
        <f>IF($D2482="","",IF($K2482&lt;&gt;"对外销售","",ROUND($Q2482-$S2482,0)))</f>
        <v/>
      </c>
      <c r="U2482" s="17" t="n"/>
      <c r="V2482" s="17" t="n"/>
      <c r="W2482" s="24">
        <f>IF($D2482="","",IF($E2482="※编码不在物料档案里","※物料编码不在档案里",IF(N($J2482)&lt;=0,"※出库数量要大于 0",IF($K2482="","※没填去向类型",IF($L2482="","※没填去向矿区",IF(AND($C2482&lt;&gt;"",$C2482&lt;=结账锁),"※日期早于已结账截止日，不能再录",IF(AND($K2482="自用消耗",COUNTIF({"一矿区";"二矿区"},$L2482)=0),"※自用消耗的去向只能是一矿区或二矿区",IF(AND($K2482="对外销售",COUNTIF({"三矿区";"六矿区"},$L2482)=0),"※对外销售的去向只能是三矿区或六矿区",IF(AND($K2482="对外销售",ROUND($Q2482,0)=0),"※外销却没有售价，请填实际售价",IF(AND($K2482="对外销售",$T2482&lt;&gt;"",$T2482&lt;0),"※这一笔外销是亏的，请核对售价",IF(IFERROR(VLOOKUP($D2482,库存台账!$A$5:$Y$1204,24,0),0)&lt;-0.001,"※这个物料账面已经变成负数了，查一下是不是漏记入库","")))))))))))</f>
        <v/>
      </c>
    </row>
    <row r="2483">
      <c r="A2483" s="24">
        <f>IF($D2483="","",COUNTA($D$4:$D2483))</f>
        <v/>
      </c>
      <c r="B2483" s="17" t="n"/>
      <c r="C2483" s="30" t="n"/>
      <c r="D2483" s="17" t="n"/>
      <c r="E2483" s="24">
        <f>IF($D2483="","",IFERROR(VLOOKUP($D2483,物料档案!$A$4:$P$1203,3,0),"※编码不在物料档案里"))</f>
        <v/>
      </c>
      <c r="F2483" s="24">
        <f>IF($D2483="","",IFERROR(VLOOKUP($D2483,物料档案!$A$4:$P$1203,4,0),"※编码不在物料档案里"))</f>
        <v/>
      </c>
      <c r="G2483" s="24">
        <f>IF($D2483="","",IFERROR(VLOOKUP($D2483,物料档案!$A$4:$P$1203,5,0),"※编码不在物料档案里"))</f>
        <v/>
      </c>
      <c r="H2483" s="24">
        <f>IF($D2483="","",IFERROR(VLOOKUP($D2483,物料档案!$A$4:$P$1203,2,0),"※编码不在物料档案里"))</f>
        <v/>
      </c>
      <c r="I2483" s="24">
        <f>IF($D2483="","",IFERROR(VLOOKUP($D2483,物料档案!$A$4:$P$1203,6,0),"※编码不在物料档案里"))</f>
        <v/>
      </c>
      <c r="J2483" s="23" t="n"/>
      <c r="K2483" s="17" t="n"/>
      <c r="L2483" s="17" t="n"/>
      <c r="M2483" s="17" t="n"/>
      <c r="N2483" s="17" t="n"/>
      <c r="O2483" s="26">
        <f>IF($D2483="","",IFERROR(VLOOKUP($D2483,物料档案!$A$4:$P$1203,10,0),0))</f>
        <v/>
      </c>
      <c r="P2483" s="32" t="n"/>
      <c r="Q2483" s="26">
        <f>IF($D2483="","",IF($K2483&lt;&gt;"对外销售",0,ROUND(N($J2483)*IF($P2483="",N($O2483),N($P2483)),0)))</f>
        <v/>
      </c>
      <c r="R2483" s="26">
        <f>IF($D2483="","",IFERROR(VLOOKUP($D2483,库存台账!$A$5:$Y$1204,11,0),0))</f>
        <v/>
      </c>
      <c r="S2483" s="26">
        <f>IF($D2483="","",ROUND(N($J2483)*N($R2483),0))</f>
        <v/>
      </c>
      <c r="T2483" s="26">
        <f>IF($D2483="","",IF($K2483&lt;&gt;"对外销售","",ROUND($Q2483-$S2483,0)))</f>
        <v/>
      </c>
      <c r="U2483" s="17" t="n"/>
      <c r="V2483" s="17" t="n"/>
      <c r="W2483" s="24">
        <f>IF($D2483="","",IF($E2483="※编码不在物料档案里","※物料编码不在档案里",IF(N($J2483)&lt;=0,"※出库数量要大于 0",IF($K2483="","※没填去向类型",IF($L2483="","※没填去向矿区",IF(AND($C2483&lt;&gt;"",$C2483&lt;=结账锁),"※日期早于已结账截止日，不能再录",IF(AND($K2483="自用消耗",COUNTIF({"一矿区";"二矿区"},$L2483)=0),"※自用消耗的去向只能是一矿区或二矿区",IF(AND($K2483="对外销售",COUNTIF({"三矿区";"六矿区"},$L2483)=0),"※对外销售的去向只能是三矿区或六矿区",IF(AND($K2483="对外销售",ROUND($Q2483,0)=0),"※外销却没有售价，请填实际售价",IF(AND($K2483="对外销售",$T2483&lt;&gt;"",$T2483&lt;0),"※这一笔外销是亏的，请核对售价",IF(IFERROR(VLOOKUP($D2483,库存台账!$A$5:$Y$1204,24,0),0)&lt;-0.001,"※这个物料账面已经变成负数了，查一下是不是漏记入库","")))))))))))</f>
        <v/>
      </c>
    </row>
    <row r="2484">
      <c r="A2484" s="24">
        <f>IF($D2484="","",COUNTA($D$4:$D2484))</f>
        <v/>
      </c>
      <c r="B2484" s="17" t="n"/>
      <c r="C2484" s="30" t="n"/>
      <c r="D2484" s="17" t="n"/>
      <c r="E2484" s="24">
        <f>IF($D2484="","",IFERROR(VLOOKUP($D2484,物料档案!$A$4:$P$1203,3,0),"※编码不在物料档案里"))</f>
        <v/>
      </c>
      <c r="F2484" s="24">
        <f>IF($D2484="","",IFERROR(VLOOKUP($D2484,物料档案!$A$4:$P$1203,4,0),"※编码不在物料档案里"))</f>
        <v/>
      </c>
      <c r="G2484" s="24">
        <f>IF($D2484="","",IFERROR(VLOOKUP($D2484,物料档案!$A$4:$P$1203,5,0),"※编码不在物料档案里"))</f>
        <v/>
      </c>
      <c r="H2484" s="24">
        <f>IF($D2484="","",IFERROR(VLOOKUP($D2484,物料档案!$A$4:$P$1203,2,0),"※编码不在物料档案里"))</f>
        <v/>
      </c>
      <c r="I2484" s="24">
        <f>IF($D2484="","",IFERROR(VLOOKUP($D2484,物料档案!$A$4:$P$1203,6,0),"※编码不在物料档案里"))</f>
        <v/>
      </c>
      <c r="J2484" s="23" t="n"/>
      <c r="K2484" s="17" t="n"/>
      <c r="L2484" s="17" t="n"/>
      <c r="M2484" s="17" t="n"/>
      <c r="N2484" s="17" t="n"/>
      <c r="O2484" s="26">
        <f>IF($D2484="","",IFERROR(VLOOKUP($D2484,物料档案!$A$4:$P$1203,10,0),0))</f>
        <v/>
      </c>
      <c r="P2484" s="32" t="n"/>
      <c r="Q2484" s="26">
        <f>IF($D2484="","",IF($K2484&lt;&gt;"对外销售",0,ROUND(N($J2484)*IF($P2484="",N($O2484),N($P2484)),0)))</f>
        <v/>
      </c>
      <c r="R2484" s="26">
        <f>IF($D2484="","",IFERROR(VLOOKUP($D2484,库存台账!$A$5:$Y$1204,11,0),0))</f>
        <v/>
      </c>
      <c r="S2484" s="26">
        <f>IF($D2484="","",ROUND(N($J2484)*N($R2484),0))</f>
        <v/>
      </c>
      <c r="T2484" s="26">
        <f>IF($D2484="","",IF($K2484&lt;&gt;"对外销售","",ROUND($Q2484-$S2484,0)))</f>
        <v/>
      </c>
      <c r="U2484" s="17" t="n"/>
      <c r="V2484" s="17" t="n"/>
      <c r="W2484" s="24">
        <f>IF($D2484="","",IF($E2484="※编码不在物料档案里","※物料编码不在档案里",IF(N($J2484)&lt;=0,"※出库数量要大于 0",IF($K2484="","※没填去向类型",IF($L2484="","※没填去向矿区",IF(AND($C2484&lt;&gt;"",$C2484&lt;=结账锁),"※日期早于已结账截止日，不能再录",IF(AND($K2484="自用消耗",COUNTIF({"一矿区";"二矿区"},$L2484)=0),"※自用消耗的去向只能是一矿区或二矿区",IF(AND($K2484="对外销售",COUNTIF({"三矿区";"六矿区"},$L2484)=0),"※对外销售的去向只能是三矿区或六矿区",IF(AND($K2484="对外销售",ROUND($Q2484,0)=0),"※外销却没有售价，请填实际售价",IF(AND($K2484="对外销售",$T2484&lt;&gt;"",$T2484&lt;0),"※这一笔外销是亏的，请核对售价",IF(IFERROR(VLOOKUP($D2484,库存台账!$A$5:$Y$1204,24,0),0)&lt;-0.001,"※这个物料账面已经变成负数了，查一下是不是漏记入库","")))))))))))</f>
        <v/>
      </c>
    </row>
    <row r="2485">
      <c r="A2485" s="24">
        <f>IF($D2485="","",COUNTA($D$4:$D2485))</f>
        <v/>
      </c>
      <c r="B2485" s="17" t="n"/>
      <c r="C2485" s="30" t="n"/>
      <c r="D2485" s="17" t="n"/>
      <c r="E2485" s="24">
        <f>IF($D2485="","",IFERROR(VLOOKUP($D2485,物料档案!$A$4:$P$1203,3,0),"※编码不在物料档案里"))</f>
        <v/>
      </c>
      <c r="F2485" s="24">
        <f>IF($D2485="","",IFERROR(VLOOKUP($D2485,物料档案!$A$4:$P$1203,4,0),"※编码不在物料档案里"))</f>
        <v/>
      </c>
      <c r="G2485" s="24">
        <f>IF($D2485="","",IFERROR(VLOOKUP($D2485,物料档案!$A$4:$P$1203,5,0),"※编码不在物料档案里"))</f>
        <v/>
      </c>
      <c r="H2485" s="24">
        <f>IF($D2485="","",IFERROR(VLOOKUP($D2485,物料档案!$A$4:$P$1203,2,0),"※编码不在物料档案里"))</f>
        <v/>
      </c>
      <c r="I2485" s="24">
        <f>IF($D2485="","",IFERROR(VLOOKUP($D2485,物料档案!$A$4:$P$1203,6,0),"※编码不在物料档案里"))</f>
        <v/>
      </c>
      <c r="J2485" s="23" t="n"/>
      <c r="K2485" s="17" t="n"/>
      <c r="L2485" s="17" t="n"/>
      <c r="M2485" s="17" t="n"/>
      <c r="N2485" s="17" t="n"/>
      <c r="O2485" s="26">
        <f>IF($D2485="","",IFERROR(VLOOKUP($D2485,物料档案!$A$4:$P$1203,10,0),0))</f>
        <v/>
      </c>
      <c r="P2485" s="32" t="n"/>
      <c r="Q2485" s="26">
        <f>IF($D2485="","",IF($K2485&lt;&gt;"对外销售",0,ROUND(N($J2485)*IF($P2485="",N($O2485),N($P2485)),0)))</f>
        <v/>
      </c>
      <c r="R2485" s="26">
        <f>IF($D2485="","",IFERROR(VLOOKUP($D2485,库存台账!$A$5:$Y$1204,11,0),0))</f>
        <v/>
      </c>
      <c r="S2485" s="26">
        <f>IF($D2485="","",ROUND(N($J2485)*N($R2485),0))</f>
        <v/>
      </c>
      <c r="T2485" s="26">
        <f>IF($D2485="","",IF($K2485&lt;&gt;"对外销售","",ROUND($Q2485-$S2485,0)))</f>
        <v/>
      </c>
      <c r="U2485" s="17" t="n"/>
      <c r="V2485" s="17" t="n"/>
      <c r="W2485" s="24">
        <f>IF($D2485="","",IF($E2485="※编码不在物料档案里","※物料编码不在档案里",IF(N($J2485)&lt;=0,"※出库数量要大于 0",IF($K2485="","※没填去向类型",IF($L2485="","※没填去向矿区",IF(AND($C2485&lt;&gt;"",$C2485&lt;=结账锁),"※日期早于已结账截止日，不能再录",IF(AND($K2485="自用消耗",COUNTIF({"一矿区";"二矿区"},$L2485)=0),"※自用消耗的去向只能是一矿区或二矿区",IF(AND($K2485="对外销售",COUNTIF({"三矿区";"六矿区"},$L2485)=0),"※对外销售的去向只能是三矿区或六矿区",IF(AND($K2485="对外销售",ROUND($Q2485,0)=0),"※外销却没有售价，请填实际售价",IF(AND($K2485="对外销售",$T2485&lt;&gt;"",$T2485&lt;0),"※这一笔外销是亏的，请核对售价",IF(IFERROR(VLOOKUP($D2485,库存台账!$A$5:$Y$1204,24,0),0)&lt;-0.001,"※这个物料账面已经变成负数了，查一下是不是漏记入库","")))))))))))</f>
        <v/>
      </c>
    </row>
    <row r="2486">
      <c r="A2486" s="24">
        <f>IF($D2486="","",COUNTA($D$4:$D2486))</f>
        <v/>
      </c>
      <c r="B2486" s="17" t="n"/>
      <c r="C2486" s="30" t="n"/>
      <c r="D2486" s="17" t="n"/>
      <c r="E2486" s="24">
        <f>IF($D2486="","",IFERROR(VLOOKUP($D2486,物料档案!$A$4:$P$1203,3,0),"※编码不在物料档案里"))</f>
        <v/>
      </c>
      <c r="F2486" s="24">
        <f>IF($D2486="","",IFERROR(VLOOKUP($D2486,物料档案!$A$4:$P$1203,4,0),"※编码不在物料档案里"))</f>
        <v/>
      </c>
      <c r="G2486" s="24">
        <f>IF($D2486="","",IFERROR(VLOOKUP($D2486,物料档案!$A$4:$P$1203,5,0),"※编码不在物料档案里"))</f>
        <v/>
      </c>
      <c r="H2486" s="24">
        <f>IF($D2486="","",IFERROR(VLOOKUP($D2486,物料档案!$A$4:$P$1203,2,0),"※编码不在物料档案里"))</f>
        <v/>
      </c>
      <c r="I2486" s="24">
        <f>IF($D2486="","",IFERROR(VLOOKUP($D2486,物料档案!$A$4:$P$1203,6,0),"※编码不在物料档案里"))</f>
        <v/>
      </c>
      <c r="J2486" s="23" t="n"/>
      <c r="K2486" s="17" t="n"/>
      <c r="L2486" s="17" t="n"/>
      <c r="M2486" s="17" t="n"/>
      <c r="N2486" s="17" t="n"/>
      <c r="O2486" s="26">
        <f>IF($D2486="","",IFERROR(VLOOKUP($D2486,物料档案!$A$4:$P$1203,10,0),0))</f>
        <v/>
      </c>
      <c r="P2486" s="32" t="n"/>
      <c r="Q2486" s="26">
        <f>IF($D2486="","",IF($K2486&lt;&gt;"对外销售",0,ROUND(N($J2486)*IF($P2486="",N($O2486),N($P2486)),0)))</f>
        <v/>
      </c>
      <c r="R2486" s="26">
        <f>IF($D2486="","",IFERROR(VLOOKUP($D2486,库存台账!$A$5:$Y$1204,11,0),0))</f>
        <v/>
      </c>
      <c r="S2486" s="26">
        <f>IF($D2486="","",ROUND(N($J2486)*N($R2486),0))</f>
        <v/>
      </c>
      <c r="T2486" s="26">
        <f>IF($D2486="","",IF($K2486&lt;&gt;"对外销售","",ROUND($Q2486-$S2486,0)))</f>
        <v/>
      </c>
      <c r="U2486" s="17" t="n"/>
      <c r="V2486" s="17" t="n"/>
      <c r="W2486" s="24">
        <f>IF($D2486="","",IF($E2486="※编码不在物料档案里","※物料编码不在档案里",IF(N($J2486)&lt;=0,"※出库数量要大于 0",IF($K2486="","※没填去向类型",IF($L2486="","※没填去向矿区",IF(AND($C2486&lt;&gt;"",$C2486&lt;=结账锁),"※日期早于已结账截止日，不能再录",IF(AND($K2486="自用消耗",COUNTIF({"一矿区";"二矿区"},$L2486)=0),"※自用消耗的去向只能是一矿区或二矿区",IF(AND($K2486="对外销售",COUNTIF({"三矿区";"六矿区"},$L2486)=0),"※对外销售的去向只能是三矿区或六矿区",IF(AND($K2486="对外销售",ROUND($Q2486,0)=0),"※外销却没有售价，请填实际售价",IF(AND($K2486="对外销售",$T2486&lt;&gt;"",$T2486&lt;0),"※这一笔外销是亏的，请核对售价",IF(IFERROR(VLOOKUP($D2486,库存台账!$A$5:$Y$1204,24,0),0)&lt;-0.001,"※这个物料账面已经变成负数了，查一下是不是漏记入库","")))))))))))</f>
        <v/>
      </c>
    </row>
    <row r="2487">
      <c r="A2487" s="24">
        <f>IF($D2487="","",COUNTA($D$4:$D2487))</f>
        <v/>
      </c>
      <c r="B2487" s="17" t="n"/>
      <c r="C2487" s="30" t="n"/>
      <c r="D2487" s="17" t="n"/>
      <c r="E2487" s="24">
        <f>IF($D2487="","",IFERROR(VLOOKUP($D2487,物料档案!$A$4:$P$1203,3,0),"※编码不在物料档案里"))</f>
        <v/>
      </c>
      <c r="F2487" s="24">
        <f>IF($D2487="","",IFERROR(VLOOKUP($D2487,物料档案!$A$4:$P$1203,4,0),"※编码不在物料档案里"))</f>
        <v/>
      </c>
      <c r="G2487" s="24">
        <f>IF($D2487="","",IFERROR(VLOOKUP($D2487,物料档案!$A$4:$P$1203,5,0),"※编码不在物料档案里"))</f>
        <v/>
      </c>
      <c r="H2487" s="24">
        <f>IF($D2487="","",IFERROR(VLOOKUP($D2487,物料档案!$A$4:$P$1203,2,0),"※编码不在物料档案里"))</f>
        <v/>
      </c>
      <c r="I2487" s="24">
        <f>IF($D2487="","",IFERROR(VLOOKUP($D2487,物料档案!$A$4:$P$1203,6,0),"※编码不在物料档案里"))</f>
        <v/>
      </c>
      <c r="J2487" s="23" t="n"/>
      <c r="K2487" s="17" t="n"/>
      <c r="L2487" s="17" t="n"/>
      <c r="M2487" s="17" t="n"/>
      <c r="N2487" s="17" t="n"/>
      <c r="O2487" s="26">
        <f>IF($D2487="","",IFERROR(VLOOKUP($D2487,物料档案!$A$4:$P$1203,10,0),0))</f>
        <v/>
      </c>
      <c r="P2487" s="32" t="n"/>
      <c r="Q2487" s="26">
        <f>IF($D2487="","",IF($K2487&lt;&gt;"对外销售",0,ROUND(N($J2487)*IF($P2487="",N($O2487),N($P2487)),0)))</f>
        <v/>
      </c>
      <c r="R2487" s="26">
        <f>IF($D2487="","",IFERROR(VLOOKUP($D2487,库存台账!$A$5:$Y$1204,11,0),0))</f>
        <v/>
      </c>
      <c r="S2487" s="26">
        <f>IF($D2487="","",ROUND(N($J2487)*N($R2487),0))</f>
        <v/>
      </c>
      <c r="T2487" s="26">
        <f>IF($D2487="","",IF($K2487&lt;&gt;"对外销售","",ROUND($Q2487-$S2487,0)))</f>
        <v/>
      </c>
      <c r="U2487" s="17" t="n"/>
      <c r="V2487" s="17" t="n"/>
      <c r="W2487" s="24">
        <f>IF($D2487="","",IF($E2487="※编码不在物料档案里","※物料编码不在档案里",IF(N($J2487)&lt;=0,"※出库数量要大于 0",IF($K2487="","※没填去向类型",IF($L2487="","※没填去向矿区",IF(AND($C2487&lt;&gt;"",$C2487&lt;=结账锁),"※日期早于已结账截止日，不能再录",IF(AND($K2487="自用消耗",COUNTIF({"一矿区";"二矿区"},$L2487)=0),"※自用消耗的去向只能是一矿区或二矿区",IF(AND($K2487="对外销售",COUNTIF({"三矿区";"六矿区"},$L2487)=0),"※对外销售的去向只能是三矿区或六矿区",IF(AND($K2487="对外销售",ROUND($Q2487,0)=0),"※外销却没有售价，请填实际售价",IF(AND($K2487="对外销售",$T2487&lt;&gt;"",$T2487&lt;0),"※这一笔外销是亏的，请核对售价",IF(IFERROR(VLOOKUP($D2487,库存台账!$A$5:$Y$1204,24,0),0)&lt;-0.001,"※这个物料账面已经变成负数了，查一下是不是漏记入库","")))))))))))</f>
        <v/>
      </c>
    </row>
    <row r="2488">
      <c r="A2488" s="24">
        <f>IF($D2488="","",COUNTA($D$4:$D2488))</f>
        <v/>
      </c>
      <c r="B2488" s="17" t="n"/>
      <c r="C2488" s="30" t="n"/>
      <c r="D2488" s="17" t="n"/>
      <c r="E2488" s="24">
        <f>IF($D2488="","",IFERROR(VLOOKUP($D2488,物料档案!$A$4:$P$1203,3,0),"※编码不在物料档案里"))</f>
        <v/>
      </c>
      <c r="F2488" s="24">
        <f>IF($D2488="","",IFERROR(VLOOKUP($D2488,物料档案!$A$4:$P$1203,4,0),"※编码不在物料档案里"))</f>
        <v/>
      </c>
      <c r="G2488" s="24">
        <f>IF($D2488="","",IFERROR(VLOOKUP($D2488,物料档案!$A$4:$P$1203,5,0),"※编码不在物料档案里"))</f>
        <v/>
      </c>
      <c r="H2488" s="24">
        <f>IF($D2488="","",IFERROR(VLOOKUP($D2488,物料档案!$A$4:$P$1203,2,0),"※编码不在物料档案里"))</f>
        <v/>
      </c>
      <c r="I2488" s="24">
        <f>IF($D2488="","",IFERROR(VLOOKUP($D2488,物料档案!$A$4:$P$1203,6,0),"※编码不在物料档案里"))</f>
        <v/>
      </c>
      <c r="J2488" s="23" t="n"/>
      <c r="K2488" s="17" t="n"/>
      <c r="L2488" s="17" t="n"/>
      <c r="M2488" s="17" t="n"/>
      <c r="N2488" s="17" t="n"/>
      <c r="O2488" s="26">
        <f>IF($D2488="","",IFERROR(VLOOKUP($D2488,物料档案!$A$4:$P$1203,10,0),0))</f>
        <v/>
      </c>
      <c r="P2488" s="32" t="n"/>
      <c r="Q2488" s="26">
        <f>IF($D2488="","",IF($K2488&lt;&gt;"对外销售",0,ROUND(N($J2488)*IF($P2488="",N($O2488),N($P2488)),0)))</f>
        <v/>
      </c>
      <c r="R2488" s="26">
        <f>IF($D2488="","",IFERROR(VLOOKUP($D2488,库存台账!$A$5:$Y$1204,11,0),0))</f>
        <v/>
      </c>
      <c r="S2488" s="26">
        <f>IF($D2488="","",ROUND(N($J2488)*N($R2488),0))</f>
        <v/>
      </c>
      <c r="T2488" s="26">
        <f>IF($D2488="","",IF($K2488&lt;&gt;"对外销售","",ROUND($Q2488-$S2488,0)))</f>
        <v/>
      </c>
      <c r="U2488" s="17" t="n"/>
      <c r="V2488" s="17" t="n"/>
      <c r="W2488" s="24">
        <f>IF($D2488="","",IF($E2488="※编码不在物料档案里","※物料编码不在档案里",IF(N($J2488)&lt;=0,"※出库数量要大于 0",IF($K2488="","※没填去向类型",IF($L2488="","※没填去向矿区",IF(AND($C2488&lt;&gt;"",$C2488&lt;=结账锁),"※日期早于已结账截止日，不能再录",IF(AND($K2488="自用消耗",COUNTIF({"一矿区";"二矿区"},$L2488)=0),"※自用消耗的去向只能是一矿区或二矿区",IF(AND($K2488="对外销售",COUNTIF({"三矿区";"六矿区"},$L2488)=0),"※对外销售的去向只能是三矿区或六矿区",IF(AND($K2488="对外销售",ROUND($Q2488,0)=0),"※外销却没有售价，请填实际售价",IF(AND($K2488="对外销售",$T2488&lt;&gt;"",$T2488&lt;0),"※这一笔外销是亏的，请核对售价",IF(IFERROR(VLOOKUP($D2488,库存台账!$A$5:$Y$1204,24,0),0)&lt;-0.001,"※这个物料账面已经变成负数了，查一下是不是漏记入库","")))))))))))</f>
        <v/>
      </c>
    </row>
    <row r="2489">
      <c r="A2489" s="24">
        <f>IF($D2489="","",COUNTA($D$4:$D2489))</f>
        <v/>
      </c>
      <c r="B2489" s="17" t="n"/>
      <c r="C2489" s="30" t="n"/>
      <c r="D2489" s="17" t="n"/>
      <c r="E2489" s="24">
        <f>IF($D2489="","",IFERROR(VLOOKUP($D2489,物料档案!$A$4:$P$1203,3,0),"※编码不在物料档案里"))</f>
        <v/>
      </c>
      <c r="F2489" s="24">
        <f>IF($D2489="","",IFERROR(VLOOKUP($D2489,物料档案!$A$4:$P$1203,4,0),"※编码不在物料档案里"))</f>
        <v/>
      </c>
      <c r="G2489" s="24">
        <f>IF($D2489="","",IFERROR(VLOOKUP($D2489,物料档案!$A$4:$P$1203,5,0),"※编码不在物料档案里"))</f>
        <v/>
      </c>
      <c r="H2489" s="24">
        <f>IF($D2489="","",IFERROR(VLOOKUP($D2489,物料档案!$A$4:$P$1203,2,0),"※编码不在物料档案里"))</f>
        <v/>
      </c>
      <c r="I2489" s="24">
        <f>IF($D2489="","",IFERROR(VLOOKUP($D2489,物料档案!$A$4:$P$1203,6,0),"※编码不在物料档案里"))</f>
        <v/>
      </c>
      <c r="J2489" s="23" t="n"/>
      <c r="K2489" s="17" t="n"/>
      <c r="L2489" s="17" t="n"/>
      <c r="M2489" s="17" t="n"/>
      <c r="N2489" s="17" t="n"/>
      <c r="O2489" s="26">
        <f>IF($D2489="","",IFERROR(VLOOKUP($D2489,物料档案!$A$4:$P$1203,10,0),0))</f>
        <v/>
      </c>
      <c r="P2489" s="32" t="n"/>
      <c r="Q2489" s="26">
        <f>IF($D2489="","",IF($K2489&lt;&gt;"对外销售",0,ROUND(N($J2489)*IF($P2489="",N($O2489),N($P2489)),0)))</f>
        <v/>
      </c>
      <c r="R2489" s="26">
        <f>IF($D2489="","",IFERROR(VLOOKUP($D2489,库存台账!$A$5:$Y$1204,11,0),0))</f>
        <v/>
      </c>
      <c r="S2489" s="26">
        <f>IF($D2489="","",ROUND(N($J2489)*N($R2489),0))</f>
        <v/>
      </c>
      <c r="T2489" s="26">
        <f>IF($D2489="","",IF($K2489&lt;&gt;"对外销售","",ROUND($Q2489-$S2489,0)))</f>
        <v/>
      </c>
      <c r="U2489" s="17" t="n"/>
      <c r="V2489" s="17" t="n"/>
      <c r="W2489" s="24">
        <f>IF($D2489="","",IF($E2489="※编码不在物料档案里","※物料编码不在档案里",IF(N($J2489)&lt;=0,"※出库数量要大于 0",IF($K2489="","※没填去向类型",IF($L2489="","※没填去向矿区",IF(AND($C2489&lt;&gt;"",$C2489&lt;=结账锁),"※日期早于已结账截止日，不能再录",IF(AND($K2489="自用消耗",COUNTIF({"一矿区";"二矿区"},$L2489)=0),"※自用消耗的去向只能是一矿区或二矿区",IF(AND($K2489="对外销售",COUNTIF({"三矿区";"六矿区"},$L2489)=0),"※对外销售的去向只能是三矿区或六矿区",IF(AND($K2489="对外销售",ROUND($Q2489,0)=0),"※外销却没有售价，请填实际售价",IF(AND($K2489="对外销售",$T2489&lt;&gt;"",$T2489&lt;0),"※这一笔外销是亏的，请核对售价",IF(IFERROR(VLOOKUP($D2489,库存台账!$A$5:$Y$1204,24,0),0)&lt;-0.001,"※这个物料账面已经变成负数了，查一下是不是漏记入库","")))))))))))</f>
        <v/>
      </c>
    </row>
    <row r="2490">
      <c r="A2490" s="24">
        <f>IF($D2490="","",COUNTA($D$4:$D2490))</f>
        <v/>
      </c>
      <c r="B2490" s="17" t="n"/>
      <c r="C2490" s="30" t="n"/>
      <c r="D2490" s="17" t="n"/>
      <c r="E2490" s="24">
        <f>IF($D2490="","",IFERROR(VLOOKUP($D2490,物料档案!$A$4:$P$1203,3,0),"※编码不在物料档案里"))</f>
        <v/>
      </c>
      <c r="F2490" s="24">
        <f>IF($D2490="","",IFERROR(VLOOKUP($D2490,物料档案!$A$4:$P$1203,4,0),"※编码不在物料档案里"))</f>
        <v/>
      </c>
      <c r="G2490" s="24">
        <f>IF($D2490="","",IFERROR(VLOOKUP($D2490,物料档案!$A$4:$P$1203,5,0),"※编码不在物料档案里"))</f>
        <v/>
      </c>
      <c r="H2490" s="24">
        <f>IF($D2490="","",IFERROR(VLOOKUP($D2490,物料档案!$A$4:$P$1203,2,0),"※编码不在物料档案里"))</f>
        <v/>
      </c>
      <c r="I2490" s="24">
        <f>IF($D2490="","",IFERROR(VLOOKUP($D2490,物料档案!$A$4:$P$1203,6,0),"※编码不在物料档案里"))</f>
        <v/>
      </c>
      <c r="J2490" s="23" t="n"/>
      <c r="K2490" s="17" t="n"/>
      <c r="L2490" s="17" t="n"/>
      <c r="M2490" s="17" t="n"/>
      <c r="N2490" s="17" t="n"/>
      <c r="O2490" s="26">
        <f>IF($D2490="","",IFERROR(VLOOKUP($D2490,物料档案!$A$4:$P$1203,10,0),0))</f>
        <v/>
      </c>
      <c r="P2490" s="32" t="n"/>
      <c r="Q2490" s="26">
        <f>IF($D2490="","",IF($K2490&lt;&gt;"对外销售",0,ROUND(N($J2490)*IF($P2490="",N($O2490),N($P2490)),0)))</f>
        <v/>
      </c>
      <c r="R2490" s="26">
        <f>IF($D2490="","",IFERROR(VLOOKUP($D2490,库存台账!$A$5:$Y$1204,11,0),0))</f>
        <v/>
      </c>
      <c r="S2490" s="26">
        <f>IF($D2490="","",ROUND(N($J2490)*N($R2490),0))</f>
        <v/>
      </c>
      <c r="T2490" s="26">
        <f>IF($D2490="","",IF($K2490&lt;&gt;"对外销售","",ROUND($Q2490-$S2490,0)))</f>
        <v/>
      </c>
      <c r="U2490" s="17" t="n"/>
      <c r="V2490" s="17" t="n"/>
      <c r="W2490" s="24">
        <f>IF($D2490="","",IF($E2490="※编码不在物料档案里","※物料编码不在档案里",IF(N($J2490)&lt;=0,"※出库数量要大于 0",IF($K2490="","※没填去向类型",IF($L2490="","※没填去向矿区",IF(AND($C2490&lt;&gt;"",$C2490&lt;=结账锁),"※日期早于已结账截止日，不能再录",IF(AND($K2490="自用消耗",COUNTIF({"一矿区";"二矿区"},$L2490)=0),"※自用消耗的去向只能是一矿区或二矿区",IF(AND($K2490="对外销售",COUNTIF({"三矿区";"六矿区"},$L2490)=0),"※对外销售的去向只能是三矿区或六矿区",IF(AND($K2490="对外销售",ROUND($Q2490,0)=0),"※外销却没有售价，请填实际售价",IF(AND($K2490="对外销售",$T2490&lt;&gt;"",$T2490&lt;0),"※这一笔外销是亏的，请核对售价",IF(IFERROR(VLOOKUP($D2490,库存台账!$A$5:$Y$1204,24,0),0)&lt;-0.001,"※这个物料账面已经变成负数了，查一下是不是漏记入库","")))))))))))</f>
        <v/>
      </c>
    </row>
    <row r="2491">
      <c r="A2491" s="24">
        <f>IF($D2491="","",COUNTA($D$4:$D2491))</f>
        <v/>
      </c>
      <c r="B2491" s="17" t="n"/>
      <c r="C2491" s="30" t="n"/>
      <c r="D2491" s="17" t="n"/>
      <c r="E2491" s="24">
        <f>IF($D2491="","",IFERROR(VLOOKUP($D2491,物料档案!$A$4:$P$1203,3,0),"※编码不在物料档案里"))</f>
        <v/>
      </c>
      <c r="F2491" s="24">
        <f>IF($D2491="","",IFERROR(VLOOKUP($D2491,物料档案!$A$4:$P$1203,4,0),"※编码不在物料档案里"))</f>
        <v/>
      </c>
      <c r="G2491" s="24">
        <f>IF($D2491="","",IFERROR(VLOOKUP($D2491,物料档案!$A$4:$P$1203,5,0),"※编码不在物料档案里"))</f>
        <v/>
      </c>
      <c r="H2491" s="24">
        <f>IF($D2491="","",IFERROR(VLOOKUP($D2491,物料档案!$A$4:$P$1203,2,0),"※编码不在物料档案里"))</f>
        <v/>
      </c>
      <c r="I2491" s="24">
        <f>IF($D2491="","",IFERROR(VLOOKUP($D2491,物料档案!$A$4:$P$1203,6,0),"※编码不在物料档案里"))</f>
        <v/>
      </c>
      <c r="J2491" s="23" t="n"/>
      <c r="K2491" s="17" t="n"/>
      <c r="L2491" s="17" t="n"/>
      <c r="M2491" s="17" t="n"/>
      <c r="N2491" s="17" t="n"/>
      <c r="O2491" s="26">
        <f>IF($D2491="","",IFERROR(VLOOKUP($D2491,物料档案!$A$4:$P$1203,10,0),0))</f>
        <v/>
      </c>
      <c r="P2491" s="32" t="n"/>
      <c r="Q2491" s="26">
        <f>IF($D2491="","",IF($K2491&lt;&gt;"对外销售",0,ROUND(N($J2491)*IF($P2491="",N($O2491),N($P2491)),0)))</f>
        <v/>
      </c>
      <c r="R2491" s="26">
        <f>IF($D2491="","",IFERROR(VLOOKUP($D2491,库存台账!$A$5:$Y$1204,11,0),0))</f>
        <v/>
      </c>
      <c r="S2491" s="26">
        <f>IF($D2491="","",ROUND(N($J2491)*N($R2491),0))</f>
        <v/>
      </c>
      <c r="T2491" s="26">
        <f>IF($D2491="","",IF($K2491&lt;&gt;"对外销售","",ROUND($Q2491-$S2491,0)))</f>
        <v/>
      </c>
      <c r="U2491" s="17" t="n"/>
      <c r="V2491" s="17" t="n"/>
      <c r="W2491" s="24">
        <f>IF($D2491="","",IF($E2491="※编码不在物料档案里","※物料编码不在档案里",IF(N($J2491)&lt;=0,"※出库数量要大于 0",IF($K2491="","※没填去向类型",IF($L2491="","※没填去向矿区",IF(AND($C2491&lt;&gt;"",$C2491&lt;=结账锁),"※日期早于已结账截止日，不能再录",IF(AND($K2491="自用消耗",COUNTIF({"一矿区";"二矿区"},$L2491)=0),"※自用消耗的去向只能是一矿区或二矿区",IF(AND($K2491="对外销售",COUNTIF({"三矿区";"六矿区"},$L2491)=0),"※对外销售的去向只能是三矿区或六矿区",IF(AND($K2491="对外销售",ROUND($Q2491,0)=0),"※外销却没有售价，请填实际售价",IF(AND($K2491="对外销售",$T2491&lt;&gt;"",$T2491&lt;0),"※这一笔外销是亏的，请核对售价",IF(IFERROR(VLOOKUP($D2491,库存台账!$A$5:$Y$1204,24,0),0)&lt;-0.001,"※这个物料账面已经变成负数了，查一下是不是漏记入库","")))))))))))</f>
        <v/>
      </c>
    </row>
    <row r="2492">
      <c r="A2492" s="24">
        <f>IF($D2492="","",COUNTA($D$4:$D2492))</f>
        <v/>
      </c>
      <c r="B2492" s="17" t="n"/>
      <c r="C2492" s="30" t="n"/>
      <c r="D2492" s="17" t="n"/>
      <c r="E2492" s="24">
        <f>IF($D2492="","",IFERROR(VLOOKUP($D2492,物料档案!$A$4:$P$1203,3,0),"※编码不在物料档案里"))</f>
        <v/>
      </c>
      <c r="F2492" s="24">
        <f>IF($D2492="","",IFERROR(VLOOKUP($D2492,物料档案!$A$4:$P$1203,4,0),"※编码不在物料档案里"))</f>
        <v/>
      </c>
      <c r="G2492" s="24">
        <f>IF($D2492="","",IFERROR(VLOOKUP($D2492,物料档案!$A$4:$P$1203,5,0),"※编码不在物料档案里"))</f>
        <v/>
      </c>
      <c r="H2492" s="24">
        <f>IF($D2492="","",IFERROR(VLOOKUP($D2492,物料档案!$A$4:$P$1203,2,0),"※编码不在物料档案里"))</f>
        <v/>
      </c>
      <c r="I2492" s="24">
        <f>IF($D2492="","",IFERROR(VLOOKUP($D2492,物料档案!$A$4:$P$1203,6,0),"※编码不在物料档案里"))</f>
        <v/>
      </c>
      <c r="J2492" s="23" t="n"/>
      <c r="K2492" s="17" t="n"/>
      <c r="L2492" s="17" t="n"/>
      <c r="M2492" s="17" t="n"/>
      <c r="N2492" s="17" t="n"/>
      <c r="O2492" s="26">
        <f>IF($D2492="","",IFERROR(VLOOKUP($D2492,物料档案!$A$4:$P$1203,10,0),0))</f>
        <v/>
      </c>
      <c r="P2492" s="32" t="n"/>
      <c r="Q2492" s="26">
        <f>IF($D2492="","",IF($K2492&lt;&gt;"对外销售",0,ROUND(N($J2492)*IF($P2492="",N($O2492),N($P2492)),0)))</f>
        <v/>
      </c>
      <c r="R2492" s="26">
        <f>IF($D2492="","",IFERROR(VLOOKUP($D2492,库存台账!$A$5:$Y$1204,11,0),0))</f>
        <v/>
      </c>
      <c r="S2492" s="26">
        <f>IF($D2492="","",ROUND(N($J2492)*N($R2492),0))</f>
        <v/>
      </c>
      <c r="T2492" s="26">
        <f>IF($D2492="","",IF($K2492&lt;&gt;"对外销售","",ROUND($Q2492-$S2492,0)))</f>
        <v/>
      </c>
      <c r="U2492" s="17" t="n"/>
      <c r="V2492" s="17" t="n"/>
      <c r="W2492" s="24">
        <f>IF($D2492="","",IF($E2492="※编码不在物料档案里","※物料编码不在档案里",IF(N($J2492)&lt;=0,"※出库数量要大于 0",IF($K2492="","※没填去向类型",IF($L2492="","※没填去向矿区",IF(AND($C2492&lt;&gt;"",$C2492&lt;=结账锁),"※日期早于已结账截止日，不能再录",IF(AND($K2492="自用消耗",COUNTIF({"一矿区";"二矿区"},$L2492)=0),"※自用消耗的去向只能是一矿区或二矿区",IF(AND($K2492="对外销售",COUNTIF({"三矿区";"六矿区"},$L2492)=0),"※对外销售的去向只能是三矿区或六矿区",IF(AND($K2492="对外销售",ROUND($Q2492,0)=0),"※外销却没有售价，请填实际售价",IF(AND($K2492="对外销售",$T2492&lt;&gt;"",$T2492&lt;0),"※这一笔外销是亏的，请核对售价",IF(IFERROR(VLOOKUP($D2492,库存台账!$A$5:$Y$1204,24,0),0)&lt;-0.001,"※这个物料账面已经变成负数了，查一下是不是漏记入库","")))))))))))</f>
        <v/>
      </c>
    </row>
    <row r="2493">
      <c r="A2493" s="24">
        <f>IF($D2493="","",COUNTA($D$4:$D2493))</f>
        <v/>
      </c>
      <c r="B2493" s="17" t="n"/>
      <c r="C2493" s="30" t="n"/>
      <c r="D2493" s="17" t="n"/>
      <c r="E2493" s="24">
        <f>IF($D2493="","",IFERROR(VLOOKUP($D2493,物料档案!$A$4:$P$1203,3,0),"※编码不在物料档案里"))</f>
        <v/>
      </c>
      <c r="F2493" s="24">
        <f>IF($D2493="","",IFERROR(VLOOKUP($D2493,物料档案!$A$4:$P$1203,4,0),"※编码不在物料档案里"))</f>
        <v/>
      </c>
      <c r="G2493" s="24">
        <f>IF($D2493="","",IFERROR(VLOOKUP($D2493,物料档案!$A$4:$P$1203,5,0),"※编码不在物料档案里"))</f>
        <v/>
      </c>
      <c r="H2493" s="24">
        <f>IF($D2493="","",IFERROR(VLOOKUP($D2493,物料档案!$A$4:$P$1203,2,0),"※编码不在物料档案里"))</f>
        <v/>
      </c>
      <c r="I2493" s="24">
        <f>IF($D2493="","",IFERROR(VLOOKUP($D2493,物料档案!$A$4:$P$1203,6,0),"※编码不在物料档案里"))</f>
        <v/>
      </c>
      <c r="J2493" s="23" t="n"/>
      <c r="K2493" s="17" t="n"/>
      <c r="L2493" s="17" t="n"/>
      <c r="M2493" s="17" t="n"/>
      <c r="N2493" s="17" t="n"/>
      <c r="O2493" s="26">
        <f>IF($D2493="","",IFERROR(VLOOKUP($D2493,物料档案!$A$4:$P$1203,10,0),0))</f>
        <v/>
      </c>
      <c r="P2493" s="32" t="n"/>
      <c r="Q2493" s="26">
        <f>IF($D2493="","",IF($K2493&lt;&gt;"对外销售",0,ROUND(N($J2493)*IF($P2493="",N($O2493),N($P2493)),0)))</f>
        <v/>
      </c>
      <c r="R2493" s="26">
        <f>IF($D2493="","",IFERROR(VLOOKUP($D2493,库存台账!$A$5:$Y$1204,11,0),0))</f>
        <v/>
      </c>
      <c r="S2493" s="26">
        <f>IF($D2493="","",ROUND(N($J2493)*N($R2493),0))</f>
        <v/>
      </c>
      <c r="T2493" s="26">
        <f>IF($D2493="","",IF($K2493&lt;&gt;"对外销售","",ROUND($Q2493-$S2493,0)))</f>
        <v/>
      </c>
      <c r="U2493" s="17" t="n"/>
      <c r="V2493" s="17" t="n"/>
      <c r="W2493" s="24">
        <f>IF($D2493="","",IF($E2493="※编码不在物料档案里","※物料编码不在档案里",IF(N($J2493)&lt;=0,"※出库数量要大于 0",IF($K2493="","※没填去向类型",IF($L2493="","※没填去向矿区",IF(AND($C2493&lt;&gt;"",$C2493&lt;=结账锁),"※日期早于已结账截止日，不能再录",IF(AND($K2493="自用消耗",COUNTIF({"一矿区";"二矿区"},$L2493)=0),"※自用消耗的去向只能是一矿区或二矿区",IF(AND($K2493="对外销售",COUNTIF({"三矿区";"六矿区"},$L2493)=0),"※对外销售的去向只能是三矿区或六矿区",IF(AND($K2493="对外销售",ROUND($Q2493,0)=0),"※外销却没有售价，请填实际售价",IF(AND($K2493="对外销售",$T2493&lt;&gt;"",$T2493&lt;0),"※这一笔外销是亏的，请核对售价",IF(IFERROR(VLOOKUP($D2493,库存台账!$A$5:$Y$1204,24,0),0)&lt;-0.001,"※这个物料账面已经变成负数了，查一下是不是漏记入库","")))))))))))</f>
        <v/>
      </c>
    </row>
    <row r="2494">
      <c r="A2494" s="24">
        <f>IF($D2494="","",COUNTA($D$4:$D2494))</f>
        <v/>
      </c>
      <c r="B2494" s="17" t="n"/>
      <c r="C2494" s="30" t="n"/>
      <c r="D2494" s="17" t="n"/>
      <c r="E2494" s="24">
        <f>IF($D2494="","",IFERROR(VLOOKUP($D2494,物料档案!$A$4:$P$1203,3,0),"※编码不在物料档案里"))</f>
        <v/>
      </c>
      <c r="F2494" s="24">
        <f>IF($D2494="","",IFERROR(VLOOKUP($D2494,物料档案!$A$4:$P$1203,4,0),"※编码不在物料档案里"))</f>
        <v/>
      </c>
      <c r="G2494" s="24">
        <f>IF($D2494="","",IFERROR(VLOOKUP($D2494,物料档案!$A$4:$P$1203,5,0),"※编码不在物料档案里"))</f>
        <v/>
      </c>
      <c r="H2494" s="24">
        <f>IF($D2494="","",IFERROR(VLOOKUP($D2494,物料档案!$A$4:$P$1203,2,0),"※编码不在物料档案里"))</f>
        <v/>
      </c>
      <c r="I2494" s="24">
        <f>IF($D2494="","",IFERROR(VLOOKUP($D2494,物料档案!$A$4:$P$1203,6,0),"※编码不在物料档案里"))</f>
        <v/>
      </c>
      <c r="J2494" s="23" t="n"/>
      <c r="K2494" s="17" t="n"/>
      <c r="L2494" s="17" t="n"/>
      <c r="M2494" s="17" t="n"/>
      <c r="N2494" s="17" t="n"/>
      <c r="O2494" s="26">
        <f>IF($D2494="","",IFERROR(VLOOKUP($D2494,物料档案!$A$4:$P$1203,10,0),0))</f>
        <v/>
      </c>
      <c r="P2494" s="32" t="n"/>
      <c r="Q2494" s="26">
        <f>IF($D2494="","",IF($K2494&lt;&gt;"对外销售",0,ROUND(N($J2494)*IF($P2494="",N($O2494),N($P2494)),0)))</f>
        <v/>
      </c>
      <c r="R2494" s="26">
        <f>IF($D2494="","",IFERROR(VLOOKUP($D2494,库存台账!$A$5:$Y$1204,11,0),0))</f>
        <v/>
      </c>
      <c r="S2494" s="26">
        <f>IF($D2494="","",ROUND(N($J2494)*N($R2494),0))</f>
        <v/>
      </c>
      <c r="T2494" s="26">
        <f>IF($D2494="","",IF($K2494&lt;&gt;"对外销售","",ROUND($Q2494-$S2494,0)))</f>
        <v/>
      </c>
      <c r="U2494" s="17" t="n"/>
      <c r="V2494" s="17" t="n"/>
      <c r="W2494" s="24">
        <f>IF($D2494="","",IF($E2494="※编码不在物料档案里","※物料编码不在档案里",IF(N($J2494)&lt;=0,"※出库数量要大于 0",IF($K2494="","※没填去向类型",IF($L2494="","※没填去向矿区",IF(AND($C2494&lt;&gt;"",$C2494&lt;=结账锁),"※日期早于已结账截止日，不能再录",IF(AND($K2494="自用消耗",COUNTIF({"一矿区";"二矿区"},$L2494)=0),"※自用消耗的去向只能是一矿区或二矿区",IF(AND($K2494="对外销售",COUNTIF({"三矿区";"六矿区"},$L2494)=0),"※对外销售的去向只能是三矿区或六矿区",IF(AND($K2494="对外销售",ROUND($Q2494,0)=0),"※外销却没有售价，请填实际售价",IF(AND($K2494="对外销售",$T2494&lt;&gt;"",$T2494&lt;0),"※这一笔外销是亏的，请核对售价",IF(IFERROR(VLOOKUP($D2494,库存台账!$A$5:$Y$1204,24,0),0)&lt;-0.001,"※这个物料账面已经变成负数了，查一下是不是漏记入库","")))))))))))</f>
        <v/>
      </c>
    </row>
    <row r="2495">
      <c r="A2495" s="24">
        <f>IF($D2495="","",COUNTA($D$4:$D2495))</f>
        <v/>
      </c>
      <c r="B2495" s="17" t="n"/>
      <c r="C2495" s="30" t="n"/>
      <c r="D2495" s="17" t="n"/>
      <c r="E2495" s="24">
        <f>IF($D2495="","",IFERROR(VLOOKUP($D2495,物料档案!$A$4:$P$1203,3,0),"※编码不在物料档案里"))</f>
        <v/>
      </c>
      <c r="F2495" s="24">
        <f>IF($D2495="","",IFERROR(VLOOKUP($D2495,物料档案!$A$4:$P$1203,4,0),"※编码不在物料档案里"))</f>
        <v/>
      </c>
      <c r="G2495" s="24">
        <f>IF($D2495="","",IFERROR(VLOOKUP($D2495,物料档案!$A$4:$P$1203,5,0),"※编码不在物料档案里"))</f>
        <v/>
      </c>
      <c r="H2495" s="24">
        <f>IF($D2495="","",IFERROR(VLOOKUP($D2495,物料档案!$A$4:$P$1203,2,0),"※编码不在物料档案里"))</f>
        <v/>
      </c>
      <c r="I2495" s="24">
        <f>IF($D2495="","",IFERROR(VLOOKUP($D2495,物料档案!$A$4:$P$1203,6,0),"※编码不在物料档案里"))</f>
        <v/>
      </c>
      <c r="J2495" s="23" t="n"/>
      <c r="K2495" s="17" t="n"/>
      <c r="L2495" s="17" t="n"/>
      <c r="M2495" s="17" t="n"/>
      <c r="N2495" s="17" t="n"/>
      <c r="O2495" s="26">
        <f>IF($D2495="","",IFERROR(VLOOKUP($D2495,物料档案!$A$4:$P$1203,10,0),0))</f>
        <v/>
      </c>
      <c r="P2495" s="32" t="n"/>
      <c r="Q2495" s="26">
        <f>IF($D2495="","",IF($K2495&lt;&gt;"对外销售",0,ROUND(N($J2495)*IF($P2495="",N($O2495),N($P2495)),0)))</f>
        <v/>
      </c>
      <c r="R2495" s="26">
        <f>IF($D2495="","",IFERROR(VLOOKUP($D2495,库存台账!$A$5:$Y$1204,11,0),0))</f>
        <v/>
      </c>
      <c r="S2495" s="26">
        <f>IF($D2495="","",ROUND(N($J2495)*N($R2495),0))</f>
        <v/>
      </c>
      <c r="T2495" s="26">
        <f>IF($D2495="","",IF($K2495&lt;&gt;"对外销售","",ROUND($Q2495-$S2495,0)))</f>
        <v/>
      </c>
      <c r="U2495" s="17" t="n"/>
      <c r="V2495" s="17" t="n"/>
      <c r="W2495" s="24">
        <f>IF($D2495="","",IF($E2495="※编码不在物料档案里","※物料编码不在档案里",IF(N($J2495)&lt;=0,"※出库数量要大于 0",IF($K2495="","※没填去向类型",IF($L2495="","※没填去向矿区",IF(AND($C2495&lt;&gt;"",$C2495&lt;=结账锁),"※日期早于已结账截止日，不能再录",IF(AND($K2495="自用消耗",COUNTIF({"一矿区";"二矿区"},$L2495)=0),"※自用消耗的去向只能是一矿区或二矿区",IF(AND($K2495="对外销售",COUNTIF({"三矿区";"六矿区"},$L2495)=0),"※对外销售的去向只能是三矿区或六矿区",IF(AND($K2495="对外销售",ROUND($Q2495,0)=0),"※外销却没有售价，请填实际售价",IF(AND($K2495="对外销售",$T2495&lt;&gt;"",$T2495&lt;0),"※这一笔外销是亏的，请核对售价",IF(IFERROR(VLOOKUP($D2495,库存台账!$A$5:$Y$1204,24,0),0)&lt;-0.001,"※这个物料账面已经变成负数了，查一下是不是漏记入库","")))))))))))</f>
        <v/>
      </c>
    </row>
    <row r="2496">
      <c r="A2496" s="24">
        <f>IF($D2496="","",COUNTA($D$4:$D2496))</f>
        <v/>
      </c>
      <c r="B2496" s="17" t="n"/>
      <c r="C2496" s="30" t="n"/>
      <c r="D2496" s="17" t="n"/>
      <c r="E2496" s="24">
        <f>IF($D2496="","",IFERROR(VLOOKUP($D2496,物料档案!$A$4:$P$1203,3,0),"※编码不在物料档案里"))</f>
        <v/>
      </c>
      <c r="F2496" s="24">
        <f>IF($D2496="","",IFERROR(VLOOKUP($D2496,物料档案!$A$4:$P$1203,4,0),"※编码不在物料档案里"))</f>
        <v/>
      </c>
      <c r="G2496" s="24">
        <f>IF($D2496="","",IFERROR(VLOOKUP($D2496,物料档案!$A$4:$P$1203,5,0),"※编码不在物料档案里"))</f>
        <v/>
      </c>
      <c r="H2496" s="24">
        <f>IF($D2496="","",IFERROR(VLOOKUP($D2496,物料档案!$A$4:$P$1203,2,0),"※编码不在物料档案里"))</f>
        <v/>
      </c>
      <c r="I2496" s="24">
        <f>IF($D2496="","",IFERROR(VLOOKUP($D2496,物料档案!$A$4:$P$1203,6,0),"※编码不在物料档案里"))</f>
        <v/>
      </c>
      <c r="J2496" s="23" t="n"/>
      <c r="K2496" s="17" t="n"/>
      <c r="L2496" s="17" t="n"/>
      <c r="M2496" s="17" t="n"/>
      <c r="N2496" s="17" t="n"/>
      <c r="O2496" s="26">
        <f>IF($D2496="","",IFERROR(VLOOKUP($D2496,物料档案!$A$4:$P$1203,10,0),0))</f>
        <v/>
      </c>
      <c r="P2496" s="32" t="n"/>
      <c r="Q2496" s="26">
        <f>IF($D2496="","",IF($K2496&lt;&gt;"对外销售",0,ROUND(N($J2496)*IF($P2496="",N($O2496),N($P2496)),0)))</f>
        <v/>
      </c>
      <c r="R2496" s="26">
        <f>IF($D2496="","",IFERROR(VLOOKUP($D2496,库存台账!$A$5:$Y$1204,11,0),0))</f>
        <v/>
      </c>
      <c r="S2496" s="26">
        <f>IF($D2496="","",ROUND(N($J2496)*N($R2496),0))</f>
        <v/>
      </c>
      <c r="T2496" s="26">
        <f>IF($D2496="","",IF($K2496&lt;&gt;"对外销售","",ROUND($Q2496-$S2496,0)))</f>
        <v/>
      </c>
      <c r="U2496" s="17" t="n"/>
      <c r="V2496" s="17" t="n"/>
      <c r="W2496" s="24">
        <f>IF($D2496="","",IF($E2496="※编码不在物料档案里","※物料编码不在档案里",IF(N($J2496)&lt;=0,"※出库数量要大于 0",IF($K2496="","※没填去向类型",IF($L2496="","※没填去向矿区",IF(AND($C2496&lt;&gt;"",$C2496&lt;=结账锁),"※日期早于已结账截止日，不能再录",IF(AND($K2496="自用消耗",COUNTIF({"一矿区";"二矿区"},$L2496)=0),"※自用消耗的去向只能是一矿区或二矿区",IF(AND($K2496="对外销售",COUNTIF({"三矿区";"六矿区"},$L2496)=0),"※对外销售的去向只能是三矿区或六矿区",IF(AND($K2496="对外销售",ROUND($Q2496,0)=0),"※外销却没有售价，请填实际售价",IF(AND($K2496="对外销售",$T2496&lt;&gt;"",$T2496&lt;0),"※这一笔外销是亏的，请核对售价",IF(IFERROR(VLOOKUP($D2496,库存台账!$A$5:$Y$1204,24,0),0)&lt;-0.001,"※这个物料账面已经变成负数了，查一下是不是漏记入库","")))))))))))</f>
        <v/>
      </c>
    </row>
    <row r="2497">
      <c r="A2497" s="24">
        <f>IF($D2497="","",COUNTA($D$4:$D2497))</f>
        <v/>
      </c>
      <c r="B2497" s="17" t="n"/>
      <c r="C2497" s="30" t="n"/>
      <c r="D2497" s="17" t="n"/>
      <c r="E2497" s="24">
        <f>IF($D2497="","",IFERROR(VLOOKUP($D2497,物料档案!$A$4:$P$1203,3,0),"※编码不在物料档案里"))</f>
        <v/>
      </c>
      <c r="F2497" s="24">
        <f>IF($D2497="","",IFERROR(VLOOKUP($D2497,物料档案!$A$4:$P$1203,4,0),"※编码不在物料档案里"))</f>
        <v/>
      </c>
      <c r="G2497" s="24">
        <f>IF($D2497="","",IFERROR(VLOOKUP($D2497,物料档案!$A$4:$P$1203,5,0),"※编码不在物料档案里"))</f>
        <v/>
      </c>
      <c r="H2497" s="24">
        <f>IF($D2497="","",IFERROR(VLOOKUP($D2497,物料档案!$A$4:$P$1203,2,0),"※编码不在物料档案里"))</f>
        <v/>
      </c>
      <c r="I2497" s="24">
        <f>IF($D2497="","",IFERROR(VLOOKUP($D2497,物料档案!$A$4:$P$1203,6,0),"※编码不在物料档案里"))</f>
        <v/>
      </c>
      <c r="J2497" s="23" t="n"/>
      <c r="K2497" s="17" t="n"/>
      <c r="L2497" s="17" t="n"/>
      <c r="M2497" s="17" t="n"/>
      <c r="N2497" s="17" t="n"/>
      <c r="O2497" s="26">
        <f>IF($D2497="","",IFERROR(VLOOKUP($D2497,物料档案!$A$4:$P$1203,10,0),0))</f>
        <v/>
      </c>
      <c r="P2497" s="32" t="n"/>
      <c r="Q2497" s="26">
        <f>IF($D2497="","",IF($K2497&lt;&gt;"对外销售",0,ROUND(N($J2497)*IF($P2497="",N($O2497),N($P2497)),0)))</f>
        <v/>
      </c>
      <c r="R2497" s="26">
        <f>IF($D2497="","",IFERROR(VLOOKUP($D2497,库存台账!$A$5:$Y$1204,11,0),0))</f>
        <v/>
      </c>
      <c r="S2497" s="26">
        <f>IF($D2497="","",ROUND(N($J2497)*N($R2497),0))</f>
        <v/>
      </c>
      <c r="T2497" s="26">
        <f>IF($D2497="","",IF($K2497&lt;&gt;"对外销售","",ROUND($Q2497-$S2497,0)))</f>
        <v/>
      </c>
      <c r="U2497" s="17" t="n"/>
      <c r="V2497" s="17" t="n"/>
      <c r="W2497" s="24">
        <f>IF($D2497="","",IF($E2497="※编码不在物料档案里","※物料编码不在档案里",IF(N($J2497)&lt;=0,"※出库数量要大于 0",IF($K2497="","※没填去向类型",IF($L2497="","※没填去向矿区",IF(AND($C2497&lt;&gt;"",$C2497&lt;=结账锁),"※日期早于已结账截止日，不能再录",IF(AND($K2497="自用消耗",COUNTIF({"一矿区";"二矿区"},$L2497)=0),"※自用消耗的去向只能是一矿区或二矿区",IF(AND($K2497="对外销售",COUNTIF({"三矿区";"六矿区"},$L2497)=0),"※对外销售的去向只能是三矿区或六矿区",IF(AND($K2497="对外销售",ROUND($Q2497,0)=0),"※外销却没有售价，请填实际售价",IF(AND($K2497="对外销售",$T2497&lt;&gt;"",$T2497&lt;0),"※这一笔外销是亏的，请核对售价",IF(IFERROR(VLOOKUP($D2497,库存台账!$A$5:$Y$1204,24,0),0)&lt;-0.001,"※这个物料账面已经变成负数了，查一下是不是漏记入库","")))))))))))</f>
        <v/>
      </c>
    </row>
    <row r="2498">
      <c r="A2498" s="24">
        <f>IF($D2498="","",COUNTA($D$4:$D2498))</f>
        <v/>
      </c>
      <c r="B2498" s="17" t="n"/>
      <c r="C2498" s="30" t="n"/>
      <c r="D2498" s="17" t="n"/>
      <c r="E2498" s="24">
        <f>IF($D2498="","",IFERROR(VLOOKUP($D2498,物料档案!$A$4:$P$1203,3,0),"※编码不在物料档案里"))</f>
        <v/>
      </c>
      <c r="F2498" s="24">
        <f>IF($D2498="","",IFERROR(VLOOKUP($D2498,物料档案!$A$4:$P$1203,4,0),"※编码不在物料档案里"))</f>
        <v/>
      </c>
      <c r="G2498" s="24">
        <f>IF($D2498="","",IFERROR(VLOOKUP($D2498,物料档案!$A$4:$P$1203,5,0),"※编码不在物料档案里"))</f>
        <v/>
      </c>
      <c r="H2498" s="24">
        <f>IF($D2498="","",IFERROR(VLOOKUP($D2498,物料档案!$A$4:$P$1203,2,0),"※编码不在物料档案里"))</f>
        <v/>
      </c>
      <c r="I2498" s="24">
        <f>IF($D2498="","",IFERROR(VLOOKUP($D2498,物料档案!$A$4:$P$1203,6,0),"※编码不在物料档案里"))</f>
        <v/>
      </c>
      <c r="J2498" s="23" t="n"/>
      <c r="K2498" s="17" t="n"/>
      <c r="L2498" s="17" t="n"/>
      <c r="M2498" s="17" t="n"/>
      <c r="N2498" s="17" t="n"/>
      <c r="O2498" s="26">
        <f>IF($D2498="","",IFERROR(VLOOKUP($D2498,物料档案!$A$4:$P$1203,10,0),0))</f>
        <v/>
      </c>
      <c r="P2498" s="32" t="n"/>
      <c r="Q2498" s="26">
        <f>IF($D2498="","",IF($K2498&lt;&gt;"对外销售",0,ROUND(N($J2498)*IF($P2498="",N($O2498),N($P2498)),0)))</f>
        <v/>
      </c>
      <c r="R2498" s="26">
        <f>IF($D2498="","",IFERROR(VLOOKUP($D2498,库存台账!$A$5:$Y$1204,11,0),0))</f>
        <v/>
      </c>
      <c r="S2498" s="26">
        <f>IF($D2498="","",ROUND(N($J2498)*N($R2498),0))</f>
        <v/>
      </c>
      <c r="T2498" s="26">
        <f>IF($D2498="","",IF($K2498&lt;&gt;"对外销售","",ROUND($Q2498-$S2498,0)))</f>
        <v/>
      </c>
      <c r="U2498" s="17" t="n"/>
      <c r="V2498" s="17" t="n"/>
      <c r="W2498" s="24">
        <f>IF($D2498="","",IF($E2498="※编码不在物料档案里","※物料编码不在档案里",IF(N($J2498)&lt;=0,"※出库数量要大于 0",IF($K2498="","※没填去向类型",IF($L2498="","※没填去向矿区",IF(AND($C2498&lt;&gt;"",$C2498&lt;=结账锁),"※日期早于已结账截止日，不能再录",IF(AND($K2498="自用消耗",COUNTIF({"一矿区";"二矿区"},$L2498)=0),"※自用消耗的去向只能是一矿区或二矿区",IF(AND($K2498="对外销售",COUNTIF({"三矿区";"六矿区"},$L2498)=0),"※对外销售的去向只能是三矿区或六矿区",IF(AND($K2498="对外销售",ROUND($Q2498,0)=0),"※外销却没有售价，请填实际售价",IF(AND($K2498="对外销售",$T2498&lt;&gt;"",$T2498&lt;0),"※这一笔外销是亏的，请核对售价",IF(IFERROR(VLOOKUP($D2498,库存台账!$A$5:$Y$1204,24,0),0)&lt;-0.001,"※这个物料账面已经变成负数了，查一下是不是漏记入库","")))))))))))</f>
        <v/>
      </c>
    </row>
    <row r="2499">
      <c r="A2499" s="24">
        <f>IF($D2499="","",COUNTA($D$4:$D2499))</f>
        <v/>
      </c>
      <c r="B2499" s="17" t="n"/>
      <c r="C2499" s="30" t="n"/>
      <c r="D2499" s="17" t="n"/>
      <c r="E2499" s="24">
        <f>IF($D2499="","",IFERROR(VLOOKUP($D2499,物料档案!$A$4:$P$1203,3,0),"※编码不在物料档案里"))</f>
        <v/>
      </c>
      <c r="F2499" s="24">
        <f>IF($D2499="","",IFERROR(VLOOKUP($D2499,物料档案!$A$4:$P$1203,4,0),"※编码不在物料档案里"))</f>
        <v/>
      </c>
      <c r="G2499" s="24">
        <f>IF($D2499="","",IFERROR(VLOOKUP($D2499,物料档案!$A$4:$P$1203,5,0),"※编码不在物料档案里"))</f>
        <v/>
      </c>
      <c r="H2499" s="24">
        <f>IF($D2499="","",IFERROR(VLOOKUP($D2499,物料档案!$A$4:$P$1203,2,0),"※编码不在物料档案里"))</f>
        <v/>
      </c>
      <c r="I2499" s="24">
        <f>IF($D2499="","",IFERROR(VLOOKUP($D2499,物料档案!$A$4:$P$1203,6,0),"※编码不在物料档案里"))</f>
        <v/>
      </c>
      <c r="J2499" s="23" t="n"/>
      <c r="K2499" s="17" t="n"/>
      <c r="L2499" s="17" t="n"/>
      <c r="M2499" s="17" t="n"/>
      <c r="N2499" s="17" t="n"/>
      <c r="O2499" s="26">
        <f>IF($D2499="","",IFERROR(VLOOKUP($D2499,物料档案!$A$4:$P$1203,10,0),0))</f>
        <v/>
      </c>
      <c r="P2499" s="32" t="n"/>
      <c r="Q2499" s="26">
        <f>IF($D2499="","",IF($K2499&lt;&gt;"对外销售",0,ROUND(N($J2499)*IF($P2499="",N($O2499),N($P2499)),0)))</f>
        <v/>
      </c>
      <c r="R2499" s="26">
        <f>IF($D2499="","",IFERROR(VLOOKUP($D2499,库存台账!$A$5:$Y$1204,11,0),0))</f>
        <v/>
      </c>
      <c r="S2499" s="26">
        <f>IF($D2499="","",ROUND(N($J2499)*N($R2499),0))</f>
        <v/>
      </c>
      <c r="T2499" s="26">
        <f>IF($D2499="","",IF($K2499&lt;&gt;"对外销售","",ROUND($Q2499-$S2499,0)))</f>
        <v/>
      </c>
      <c r="U2499" s="17" t="n"/>
      <c r="V2499" s="17" t="n"/>
      <c r="W2499" s="24">
        <f>IF($D2499="","",IF($E2499="※编码不在物料档案里","※物料编码不在档案里",IF(N($J2499)&lt;=0,"※出库数量要大于 0",IF($K2499="","※没填去向类型",IF($L2499="","※没填去向矿区",IF(AND($C2499&lt;&gt;"",$C2499&lt;=结账锁),"※日期早于已结账截止日，不能再录",IF(AND($K2499="自用消耗",COUNTIF({"一矿区";"二矿区"},$L2499)=0),"※自用消耗的去向只能是一矿区或二矿区",IF(AND($K2499="对外销售",COUNTIF({"三矿区";"六矿区"},$L2499)=0),"※对外销售的去向只能是三矿区或六矿区",IF(AND($K2499="对外销售",ROUND($Q2499,0)=0),"※外销却没有售价，请填实际售价",IF(AND($K2499="对外销售",$T2499&lt;&gt;"",$T2499&lt;0),"※这一笔外销是亏的，请核对售价",IF(IFERROR(VLOOKUP($D2499,库存台账!$A$5:$Y$1204,24,0),0)&lt;-0.001,"※这个物料账面已经变成负数了，查一下是不是漏记入库","")))))))))))</f>
        <v/>
      </c>
    </row>
    <row r="2500">
      <c r="A2500" s="24">
        <f>IF($D2500="","",COUNTA($D$4:$D2500))</f>
        <v/>
      </c>
      <c r="B2500" s="17" t="n"/>
      <c r="C2500" s="30" t="n"/>
      <c r="D2500" s="17" t="n"/>
      <c r="E2500" s="24">
        <f>IF($D2500="","",IFERROR(VLOOKUP($D2500,物料档案!$A$4:$P$1203,3,0),"※编码不在物料档案里"))</f>
        <v/>
      </c>
      <c r="F2500" s="24">
        <f>IF($D2500="","",IFERROR(VLOOKUP($D2500,物料档案!$A$4:$P$1203,4,0),"※编码不在物料档案里"))</f>
        <v/>
      </c>
      <c r="G2500" s="24">
        <f>IF($D2500="","",IFERROR(VLOOKUP($D2500,物料档案!$A$4:$P$1203,5,0),"※编码不在物料档案里"))</f>
        <v/>
      </c>
      <c r="H2500" s="24">
        <f>IF($D2500="","",IFERROR(VLOOKUP($D2500,物料档案!$A$4:$P$1203,2,0),"※编码不在物料档案里"))</f>
        <v/>
      </c>
      <c r="I2500" s="24">
        <f>IF($D2500="","",IFERROR(VLOOKUP($D2500,物料档案!$A$4:$P$1203,6,0),"※编码不在物料档案里"))</f>
        <v/>
      </c>
      <c r="J2500" s="23" t="n"/>
      <c r="K2500" s="17" t="n"/>
      <c r="L2500" s="17" t="n"/>
      <c r="M2500" s="17" t="n"/>
      <c r="N2500" s="17" t="n"/>
      <c r="O2500" s="26">
        <f>IF($D2500="","",IFERROR(VLOOKUP($D2500,物料档案!$A$4:$P$1203,10,0),0))</f>
        <v/>
      </c>
      <c r="P2500" s="32" t="n"/>
      <c r="Q2500" s="26">
        <f>IF($D2500="","",IF($K2500&lt;&gt;"对外销售",0,ROUND(N($J2500)*IF($P2500="",N($O2500),N($P2500)),0)))</f>
        <v/>
      </c>
      <c r="R2500" s="26">
        <f>IF($D2500="","",IFERROR(VLOOKUP($D2500,库存台账!$A$5:$Y$1204,11,0),0))</f>
        <v/>
      </c>
      <c r="S2500" s="26">
        <f>IF($D2500="","",ROUND(N($J2500)*N($R2500),0))</f>
        <v/>
      </c>
      <c r="T2500" s="26">
        <f>IF($D2500="","",IF($K2500&lt;&gt;"对外销售","",ROUND($Q2500-$S2500,0)))</f>
        <v/>
      </c>
      <c r="U2500" s="17" t="n"/>
      <c r="V2500" s="17" t="n"/>
      <c r="W2500" s="24">
        <f>IF($D2500="","",IF($E2500="※编码不在物料档案里","※物料编码不在档案里",IF(N($J2500)&lt;=0,"※出库数量要大于 0",IF($K2500="","※没填去向类型",IF($L2500="","※没填去向矿区",IF(AND($C2500&lt;&gt;"",$C2500&lt;=结账锁),"※日期早于已结账截止日，不能再录",IF(AND($K2500="自用消耗",COUNTIF({"一矿区";"二矿区"},$L2500)=0),"※自用消耗的去向只能是一矿区或二矿区",IF(AND($K2500="对外销售",COUNTIF({"三矿区";"六矿区"},$L2500)=0),"※对外销售的去向只能是三矿区或六矿区",IF(AND($K2500="对外销售",ROUND($Q2500,0)=0),"※外销却没有售价，请填实际售价",IF(AND($K2500="对外销售",$T2500&lt;&gt;"",$T2500&lt;0),"※这一笔外销是亏的，请核对售价",IF(IFERROR(VLOOKUP($D2500,库存台账!$A$5:$Y$1204,24,0),0)&lt;-0.001,"※这个物料账面已经变成负数了，查一下是不是漏记入库","")))))))))))</f>
        <v/>
      </c>
    </row>
    <row r="2501">
      <c r="A2501" s="24">
        <f>IF($D2501="","",COUNTA($D$4:$D2501))</f>
        <v/>
      </c>
      <c r="B2501" s="17" t="n"/>
      <c r="C2501" s="30" t="n"/>
      <c r="D2501" s="17" t="n"/>
      <c r="E2501" s="24">
        <f>IF($D2501="","",IFERROR(VLOOKUP($D2501,物料档案!$A$4:$P$1203,3,0),"※编码不在物料档案里"))</f>
        <v/>
      </c>
      <c r="F2501" s="24">
        <f>IF($D2501="","",IFERROR(VLOOKUP($D2501,物料档案!$A$4:$P$1203,4,0),"※编码不在物料档案里"))</f>
        <v/>
      </c>
      <c r="G2501" s="24">
        <f>IF($D2501="","",IFERROR(VLOOKUP($D2501,物料档案!$A$4:$P$1203,5,0),"※编码不在物料档案里"))</f>
        <v/>
      </c>
      <c r="H2501" s="24">
        <f>IF($D2501="","",IFERROR(VLOOKUP($D2501,物料档案!$A$4:$P$1203,2,0),"※编码不在物料档案里"))</f>
        <v/>
      </c>
      <c r="I2501" s="24">
        <f>IF($D2501="","",IFERROR(VLOOKUP($D2501,物料档案!$A$4:$P$1203,6,0),"※编码不在物料档案里"))</f>
        <v/>
      </c>
      <c r="J2501" s="23" t="n"/>
      <c r="K2501" s="17" t="n"/>
      <c r="L2501" s="17" t="n"/>
      <c r="M2501" s="17" t="n"/>
      <c r="N2501" s="17" t="n"/>
      <c r="O2501" s="26">
        <f>IF($D2501="","",IFERROR(VLOOKUP($D2501,物料档案!$A$4:$P$1203,10,0),0))</f>
        <v/>
      </c>
      <c r="P2501" s="32" t="n"/>
      <c r="Q2501" s="26">
        <f>IF($D2501="","",IF($K2501&lt;&gt;"对外销售",0,ROUND(N($J2501)*IF($P2501="",N($O2501),N($P2501)),0)))</f>
        <v/>
      </c>
      <c r="R2501" s="26">
        <f>IF($D2501="","",IFERROR(VLOOKUP($D2501,库存台账!$A$5:$Y$1204,11,0),0))</f>
        <v/>
      </c>
      <c r="S2501" s="26">
        <f>IF($D2501="","",ROUND(N($J2501)*N($R2501),0))</f>
        <v/>
      </c>
      <c r="T2501" s="26">
        <f>IF($D2501="","",IF($K2501&lt;&gt;"对外销售","",ROUND($Q2501-$S2501,0)))</f>
        <v/>
      </c>
      <c r="U2501" s="17" t="n"/>
      <c r="V2501" s="17" t="n"/>
      <c r="W2501" s="24">
        <f>IF($D2501="","",IF($E2501="※编码不在物料档案里","※物料编码不在档案里",IF(N($J2501)&lt;=0,"※出库数量要大于 0",IF($K2501="","※没填去向类型",IF($L2501="","※没填去向矿区",IF(AND($C2501&lt;&gt;"",$C2501&lt;=结账锁),"※日期早于已结账截止日，不能再录",IF(AND($K2501="自用消耗",COUNTIF({"一矿区";"二矿区"},$L2501)=0),"※自用消耗的去向只能是一矿区或二矿区",IF(AND($K2501="对外销售",COUNTIF({"三矿区";"六矿区"},$L2501)=0),"※对外销售的去向只能是三矿区或六矿区",IF(AND($K2501="对外销售",ROUND($Q2501,0)=0),"※外销却没有售价，请填实际售价",IF(AND($K2501="对外销售",$T2501&lt;&gt;"",$T2501&lt;0),"※这一笔外销是亏的，请核对售价",IF(IFERROR(VLOOKUP($D2501,库存台账!$A$5:$Y$1204,24,0),0)&lt;-0.001,"※这个物料账面已经变成负数了，查一下是不是漏记入库","")))))))))))</f>
        <v/>
      </c>
    </row>
    <row r="2502">
      <c r="A2502" s="24">
        <f>IF($D2502="","",COUNTA($D$4:$D2502))</f>
        <v/>
      </c>
      <c r="B2502" s="17" t="n"/>
      <c r="C2502" s="30" t="n"/>
      <c r="D2502" s="17" t="n"/>
      <c r="E2502" s="24">
        <f>IF($D2502="","",IFERROR(VLOOKUP($D2502,物料档案!$A$4:$P$1203,3,0),"※编码不在物料档案里"))</f>
        <v/>
      </c>
      <c r="F2502" s="24">
        <f>IF($D2502="","",IFERROR(VLOOKUP($D2502,物料档案!$A$4:$P$1203,4,0),"※编码不在物料档案里"))</f>
        <v/>
      </c>
      <c r="G2502" s="24">
        <f>IF($D2502="","",IFERROR(VLOOKUP($D2502,物料档案!$A$4:$P$1203,5,0),"※编码不在物料档案里"))</f>
        <v/>
      </c>
      <c r="H2502" s="24">
        <f>IF($D2502="","",IFERROR(VLOOKUP($D2502,物料档案!$A$4:$P$1203,2,0),"※编码不在物料档案里"))</f>
        <v/>
      </c>
      <c r="I2502" s="24">
        <f>IF($D2502="","",IFERROR(VLOOKUP($D2502,物料档案!$A$4:$P$1203,6,0),"※编码不在物料档案里"))</f>
        <v/>
      </c>
      <c r="J2502" s="23" t="n"/>
      <c r="K2502" s="17" t="n"/>
      <c r="L2502" s="17" t="n"/>
      <c r="M2502" s="17" t="n"/>
      <c r="N2502" s="17" t="n"/>
      <c r="O2502" s="26">
        <f>IF($D2502="","",IFERROR(VLOOKUP($D2502,物料档案!$A$4:$P$1203,10,0),0))</f>
        <v/>
      </c>
      <c r="P2502" s="32" t="n"/>
      <c r="Q2502" s="26">
        <f>IF($D2502="","",IF($K2502&lt;&gt;"对外销售",0,ROUND(N($J2502)*IF($P2502="",N($O2502),N($P2502)),0)))</f>
        <v/>
      </c>
      <c r="R2502" s="26">
        <f>IF($D2502="","",IFERROR(VLOOKUP($D2502,库存台账!$A$5:$Y$1204,11,0),0))</f>
        <v/>
      </c>
      <c r="S2502" s="26">
        <f>IF($D2502="","",ROUND(N($J2502)*N($R2502),0))</f>
        <v/>
      </c>
      <c r="T2502" s="26">
        <f>IF($D2502="","",IF($K2502&lt;&gt;"对外销售","",ROUND($Q2502-$S2502,0)))</f>
        <v/>
      </c>
      <c r="U2502" s="17" t="n"/>
      <c r="V2502" s="17" t="n"/>
      <c r="W2502" s="24">
        <f>IF($D2502="","",IF($E2502="※编码不在物料档案里","※物料编码不在档案里",IF(N($J2502)&lt;=0,"※出库数量要大于 0",IF($K2502="","※没填去向类型",IF($L2502="","※没填去向矿区",IF(AND($C2502&lt;&gt;"",$C2502&lt;=结账锁),"※日期早于已结账截止日，不能再录",IF(AND($K2502="自用消耗",COUNTIF({"一矿区";"二矿区"},$L2502)=0),"※自用消耗的去向只能是一矿区或二矿区",IF(AND($K2502="对外销售",COUNTIF({"三矿区";"六矿区"},$L2502)=0),"※对外销售的去向只能是三矿区或六矿区",IF(AND($K2502="对外销售",ROUND($Q2502,0)=0),"※外销却没有售价，请填实际售价",IF(AND($K2502="对外销售",$T2502&lt;&gt;"",$T2502&lt;0),"※这一笔外销是亏的，请核对售价",IF(IFERROR(VLOOKUP($D2502,库存台账!$A$5:$Y$1204,24,0),0)&lt;-0.001,"※这个物料账面已经变成负数了，查一下是不是漏记入库","")))))))))))</f>
        <v/>
      </c>
    </row>
    <row r="2503">
      <c r="A2503" s="24">
        <f>IF($D2503="","",COUNTA($D$4:$D2503))</f>
        <v/>
      </c>
      <c r="B2503" s="17" t="n"/>
      <c r="C2503" s="30" t="n"/>
      <c r="D2503" s="17" t="n"/>
      <c r="E2503" s="24">
        <f>IF($D2503="","",IFERROR(VLOOKUP($D2503,物料档案!$A$4:$P$1203,3,0),"※编码不在物料档案里"))</f>
        <v/>
      </c>
      <c r="F2503" s="24">
        <f>IF($D2503="","",IFERROR(VLOOKUP($D2503,物料档案!$A$4:$P$1203,4,0),"※编码不在物料档案里"))</f>
        <v/>
      </c>
      <c r="G2503" s="24">
        <f>IF($D2503="","",IFERROR(VLOOKUP($D2503,物料档案!$A$4:$P$1203,5,0),"※编码不在物料档案里"))</f>
        <v/>
      </c>
      <c r="H2503" s="24">
        <f>IF($D2503="","",IFERROR(VLOOKUP($D2503,物料档案!$A$4:$P$1203,2,0),"※编码不在物料档案里"))</f>
        <v/>
      </c>
      <c r="I2503" s="24">
        <f>IF($D2503="","",IFERROR(VLOOKUP($D2503,物料档案!$A$4:$P$1203,6,0),"※编码不在物料档案里"))</f>
        <v/>
      </c>
      <c r="J2503" s="23" t="n"/>
      <c r="K2503" s="17" t="n"/>
      <c r="L2503" s="17" t="n"/>
      <c r="M2503" s="17" t="n"/>
      <c r="N2503" s="17" t="n"/>
      <c r="O2503" s="26">
        <f>IF($D2503="","",IFERROR(VLOOKUP($D2503,物料档案!$A$4:$P$1203,10,0),0))</f>
        <v/>
      </c>
      <c r="P2503" s="32" t="n"/>
      <c r="Q2503" s="26">
        <f>IF($D2503="","",IF($K2503&lt;&gt;"对外销售",0,ROUND(N($J2503)*IF($P2503="",N($O2503),N($P2503)),0)))</f>
        <v/>
      </c>
      <c r="R2503" s="26">
        <f>IF($D2503="","",IFERROR(VLOOKUP($D2503,库存台账!$A$5:$Y$1204,11,0),0))</f>
        <v/>
      </c>
      <c r="S2503" s="26">
        <f>IF($D2503="","",ROUND(N($J2503)*N($R2503),0))</f>
        <v/>
      </c>
      <c r="T2503" s="26">
        <f>IF($D2503="","",IF($K2503&lt;&gt;"对外销售","",ROUND($Q2503-$S2503,0)))</f>
        <v/>
      </c>
      <c r="U2503" s="17" t="n"/>
      <c r="V2503" s="17" t="n"/>
      <c r="W2503" s="24">
        <f>IF($D2503="","",IF($E2503="※编码不在物料档案里","※物料编码不在档案里",IF(N($J2503)&lt;=0,"※出库数量要大于 0",IF($K2503="","※没填去向类型",IF($L2503="","※没填去向矿区",IF(AND($C2503&lt;&gt;"",$C2503&lt;=结账锁),"※日期早于已结账截止日，不能再录",IF(AND($K2503="自用消耗",COUNTIF({"一矿区";"二矿区"},$L2503)=0),"※自用消耗的去向只能是一矿区或二矿区",IF(AND($K2503="对外销售",COUNTIF({"三矿区";"六矿区"},$L2503)=0),"※对外销售的去向只能是三矿区或六矿区",IF(AND($K2503="对外销售",ROUND($Q2503,0)=0),"※外销却没有售价，请填实际售价",IF(AND($K2503="对外销售",$T2503&lt;&gt;"",$T2503&lt;0),"※这一笔外销是亏的，请核对售价",IF(IFERROR(VLOOKUP($D2503,库存台账!$A$5:$Y$1204,24,0),0)&lt;-0.001,"※这个物料账面已经变成负数了，查一下是不是漏记入库","")))))))))))</f>
        <v/>
      </c>
    </row>
    <row r="2504">
      <c r="A2504" s="24">
        <f>IF($D2504="","",COUNTA($D$4:$D2504))</f>
        <v/>
      </c>
      <c r="B2504" s="17" t="n"/>
      <c r="C2504" s="30" t="n"/>
      <c r="D2504" s="17" t="n"/>
      <c r="E2504" s="24">
        <f>IF($D2504="","",IFERROR(VLOOKUP($D2504,物料档案!$A$4:$P$1203,3,0),"※编码不在物料档案里"))</f>
        <v/>
      </c>
      <c r="F2504" s="24">
        <f>IF($D2504="","",IFERROR(VLOOKUP($D2504,物料档案!$A$4:$P$1203,4,0),"※编码不在物料档案里"))</f>
        <v/>
      </c>
      <c r="G2504" s="24">
        <f>IF($D2504="","",IFERROR(VLOOKUP($D2504,物料档案!$A$4:$P$1203,5,0),"※编码不在物料档案里"))</f>
        <v/>
      </c>
      <c r="H2504" s="24">
        <f>IF($D2504="","",IFERROR(VLOOKUP($D2504,物料档案!$A$4:$P$1203,2,0),"※编码不在物料档案里"))</f>
        <v/>
      </c>
      <c r="I2504" s="24">
        <f>IF($D2504="","",IFERROR(VLOOKUP($D2504,物料档案!$A$4:$P$1203,6,0),"※编码不在物料档案里"))</f>
        <v/>
      </c>
      <c r="J2504" s="23" t="n"/>
      <c r="K2504" s="17" t="n"/>
      <c r="L2504" s="17" t="n"/>
      <c r="M2504" s="17" t="n"/>
      <c r="N2504" s="17" t="n"/>
      <c r="O2504" s="26">
        <f>IF($D2504="","",IFERROR(VLOOKUP($D2504,物料档案!$A$4:$P$1203,10,0),0))</f>
        <v/>
      </c>
      <c r="P2504" s="32" t="n"/>
      <c r="Q2504" s="26">
        <f>IF($D2504="","",IF($K2504&lt;&gt;"对外销售",0,ROUND(N($J2504)*IF($P2504="",N($O2504),N($P2504)),0)))</f>
        <v/>
      </c>
      <c r="R2504" s="26">
        <f>IF($D2504="","",IFERROR(VLOOKUP($D2504,库存台账!$A$5:$Y$1204,11,0),0))</f>
        <v/>
      </c>
      <c r="S2504" s="26">
        <f>IF($D2504="","",ROUND(N($J2504)*N($R2504),0))</f>
        <v/>
      </c>
      <c r="T2504" s="26">
        <f>IF($D2504="","",IF($K2504&lt;&gt;"对外销售","",ROUND($Q2504-$S2504,0)))</f>
        <v/>
      </c>
      <c r="U2504" s="17" t="n"/>
      <c r="V2504" s="17" t="n"/>
      <c r="W2504" s="24">
        <f>IF($D2504="","",IF($E2504="※编码不在物料档案里","※物料编码不在档案里",IF(N($J2504)&lt;=0,"※出库数量要大于 0",IF($K2504="","※没填去向类型",IF($L2504="","※没填去向矿区",IF(AND($C2504&lt;&gt;"",$C2504&lt;=结账锁),"※日期早于已结账截止日，不能再录",IF(AND($K2504="自用消耗",COUNTIF({"一矿区";"二矿区"},$L2504)=0),"※自用消耗的去向只能是一矿区或二矿区",IF(AND($K2504="对外销售",COUNTIF({"三矿区";"六矿区"},$L2504)=0),"※对外销售的去向只能是三矿区或六矿区",IF(AND($K2504="对外销售",ROUND($Q2504,0)=0),"※外销却没有售价，请填实际售价",IF(AND($K2504="对外销售",$T2504&lt;&gt;"",$T2504&lt;0),"※这一笔外销是亏的，请核对售价",IF(IFERROR(VLOOKUP($D2504,库存台账!$A$5:$Y$1204,24,0),0)&lt;-0.001,"※这个物料账面已经变成负数了，查一下是不是漏记入库","")))))))))))</f>
        <v/>
      </c>
    </row>
    <row r="2505">
      <c r="A2505" s="24">
        <f>IF($D2505="","",COUNTA($D$4:$D2505))</f>
        <v/>
      </c>
      <c r="B2505" s="17" t="n"/>
      <c r="C2505" s="30" t="n"/>
      <c r="D2505" s="17" t="n"/>
      <c r="E2505" s="24">
        <f>IF($D2505="","",IFERROR(VLOOKUP($D2505,物料档案!$A$4:$P$1203,3,0),"※编码不在物料档案里"))</f>
        <v/>
      </c>
      <c r="F2505" s="24">
        <f>IF($D2505="","",IFERROR(VLOOKUP($D2505,物料档案!$A$4:$P$1203,4,0),"※编码不在物料档案里"))</f>
        <v/>
      </c>
      <c r="G2505" s="24">
        <f>IF($D2505="","",IFERROR(VLOOKUP($D2505,物料档案!$A$4:$P$1203,5,0),"※编码不在物料档案里"))</f>
        <v/>
      </c>
      <c r="H2505" s="24">
        <f>IF($D2505="","",IFERROR(VLOOKUP($D2505,物料档案!$A$4:$P$1203,2,0),"※编码不在物料档案里"))</f>
        <v/>
      </c>
      <c r="I2505" s="24">
        <f>IF($D2505="","",IFERROR(VLOOKUP($D2505,物料档案!$A$4:$P$1203,6,0),"※编码不在物料档案里"))</f>
        <v/>
      </c>
      <c r="J2505" s="23" t="n"/>
      <c r="K2505" s="17" t="n"/>
      <c r="L2505" s="17" t="n"/>
      <c r="M2505" s="17" t="n"/>
      <c r="N2505" s="17" t="n"/>
      <c r="O2505" s="26">
        <f>IF($D2505="","",IFERROR(VLOOKUP($D2505,物料档案!$A$4:$P$1203,10,0),0))</f>
        <v/>
      </c>
      <c r="P2505" s="32" t="n"/>
      <c r="Q2505" s="26">
        <f>IF($D2505="","",IF($K2505&lt;&gt;"对外销售",0,ROUND(N($J2505)*IF($P2505="",N($O2505),N($P2505)),0)))</f>
        <v/>
      </c>
      <c r="R2505" s="26">
        <f>IF($D2505="","",IFERROR(VLOOKUP($D2505,库存台账!$A$5:$Y$1204,11,0),0))</f>
        <v/>
      </c>
      <c r="S2505" s="26">
        <f>IF($D2505="","",ROUND(N($J2505)*N($R2505),0))</f>
        <v/>
      </c>
      <c r="T2505" s="26">
        <f>IF($D2505="","",IF($K2505&lt;&gt;"对外销售","",ROUND($Q2505-$S2505,0)))</f>
        <v/>
      </c>
      <c r="U2505" s="17" t="n"/>
      <c r="V2505" s="17" t="n"/>
      <c r="W2505" s="24">
        <f>IF($D2505="","",IF($E2505="※编码不在物料档案里","※物料编码不在档案里",IF(N($J2505)&lt;=0,"※出库数量要大于 0",IF($K2505="","※没填去向类型",IF($L2505="","※没填去向矿区",IF(AND($C2505&lt;&gt;"",$C2505&lt;=结账锁),"※日期早于已结账截止日，不能再录",IF(AND($K2505="自用消耗",COUNTIF({"一矿区";"二矿区"},$L2505)=0),"※自用消耗的去向只能是一矿区或二矿区",IF(AND($K2505="对外销售",COUNTIF({"三矿区";"六矿区"},$L2505)=0),"※对外销售的去向只能是三矿区或六矿区",IF(AND($K2505="对外销售",ROUND($Q2505,0)=0),"※外销却没有售价，请填实际售价",IF(AND($K2505="对外销售",$T2505&lt;&gt;"",$T2505&lt;0),"※这一笔外销是亏的，请核对售价",IF(IFERROR(VLOOKUP($D2505,库存台账!$A$5:$Y$1204,24,0),0)&lt;-0.001,"※这个物料账面已经变成负数了，查一下是不是漏记入库","")))))))))))</f>
        <v/>
      </c>
    </row>
    <row r="2506">
      <c r="A2506" s="24">
        <f>IF($D2506="","",COUNTA($D$4:$D2506))</f>
        <v/>
      </c>
      <c r="B2506" s="17" t="n"/>
      <c r="C2506" s="30" t="n"/>
      <c r="D2506" s="17" t="n"/>
      <c r="E2506" s="24">
        <f>IF($D2506="","",IFERROR(VLOOKUP($D2506,物料档案!$A$4:$P$1203,3,0),"※编码不在物料档案里"))</f>
        <v/>
      </c>
      <c r="F2506" s="24">
        <f>IF($D2506="","",IFERROR(VLOOKUP($D2506,物料档案!$A$4:$P$1203,4,0),"※编码不在物料档案里"))</f>
        <v/>
      </c>
      <c r="G2506" s="24">
        <f>IF($D2506="","",IFERROR(VLOOKUP($D2506,物料档案!$A$4:$P$1203,5,0),"※编码不在物料档案里"))</f>
        <v/>
      </c>
      <c r="H2506" s="24">
        <f>IF($D2506="","",IFERROR(VLOOKUP($D2506,物料档案!$A$4:$P$1203,2,0),"※编码不在物料档案里"))</f>
        <v/>
      </c>
      <c r="I2506" s="24">
        <f>IF($D2506="","",IFERROR(VLOOKUP($D2506,物料档案!$A$4:$P$1203,6,0),"※编码不在物料档案里"))</f>
        <v/>
      </c>
      <c r="J2506" s="23" t="n"/>
      <c r="K2506" s="17" t="n"/>
      <c r="L2506" s="17" t="n"/>
      <c r="M2506" s="17" t="n"/>
      <c r="N2506" s="17" t="n"/>
      <c r="O2506" s="26">
        <f>IF($D2506="","",IFERROR(VLOOKUP($D2506,物料档案!$A$4:$P$1203,10,0),0))</f>
        <v/>
      </c>
      <c r="P2506" s="32" t="n"/>
      <c r="Q2506" s="26">
        <f>IF($D2506="","",IF($K2506&lt;&gt;"对外销售",0,ROUND(N($J2506)*IF($P2506="",N($O2506),N($P2506)),0)))</f>
        <v/>
      </c>
      <c r="R2506" s="26">
        <f>IF($D2506="","",IFERROR(VLOOKUP($D2506,库存台账!$A$5:$Y$1204,11,0),0))</f>
        <v/>
      </c>
      <c r="S2506" s="26">
        <f>IF($D2506="","",ROUND(N($J2506)*N($R2506),0))</f>
        <v/>
      </c>
      <c r="T2506" s="26">
        <f>IF($D2506="","",IF($K2506&lt;&gt;"对外销售","",ROUND($Q2506-$S2506,0)))</f>
        <v/>
      </c>
      <c r="U2506" s="17" t="n"/>
      <c r="V2506" s="17" t="n"/>
      <c r="W2506" s="24">
        <f>IF($D2506="","",IF($E2506="※编码不在物料档案里","※物料编码不在档案里",IF(N($J2506)&lt;=0,"※出库数量要大于 0",IF($K2506="","※没填去向类型",IF($L2506="","※没填去向矿区",IF(AND($C2506&lt;&gt;"",$C2506&lt;=结账锁),"※日期早于已结账截止日，不能再录",IF(AND($K2506="自用消耗",COUNTIF({"一矿区";"二矿区"},$L2506)=0),"※自用消耗的去向只能是一矿区或二矿区",IF(AND($K2506="对外销售",COUNTIF({"三矿区";"六矿区"},$L2506)=0),"※对外销售的去向只能是三矿区或六矿区",IF(AND($K2506="对外销售",ROUND($Q2506,0)=0),"※外销却没有售价，请填实际售价",IF(AND($K2506="对外销售",$T2506&lt;&gt;"",$T2506&lt;0),"※这一笔外销是亏的，请核对售价",IF(IFERROR(VLOOKUP($D2506,库存台账!$A$5:$Y$1204,24,0),0)&lt;-0.001,"※这个物料账面已经变成负数了，查一下是不是漏记入库","")))))))))))</f>
        <v/>
      </c>
    </row>
    <row r="2507">
      <c r="A2507" s="24">
        <f>IF($D2507="","",COUNTA($D$4:$D2507))</f>
        <v/>
      </c>
      <c r="B2507" s="17" t="n"/>
      <c r="C2507" s="30" t="n"/>
      <c r="D2507" s="17" t="n"/>
      <c r="E2507" s="24">
        <f>IF($D2507="","",IFERROR(VLOOKUP($D2507,物料档案!$A$4:$P$1203,3,0),"※编码不在物料档案里"))</f>
        <v/>
      </c>
      <c r="F2507" s="24">
        <f>IF($D2507="","",IFERROR(VLOOKUP($D2507,物料档案!$A$4:$P$1203,4,0),"※编码不在物料档案里"))</f>
        <v/>
      </c>
      <c r="G2507" s="24">
        <f>IF($D2507="","",IFERROR(VLOOKUP($D2507,物料档案!$A$4:$P$1203,5,0),"※编码不在物料档案里"))</f>
        <v/>
      </c>
      <c r="H2507" s="24">
        <f>IF($D2507="","",IFERROR(VLOOKUP($D2507,物料档案!$A$4:$P$1203,2,0),"※编码不在物料档案里"))</f>
        <v/>
      </c>
      <c r="I2507" s="24">
        <f>IF($D2507="","",IFERROR(VLOOKUP($D2507,物料档案!$A$4:$P$1203,6,0),"※编码不在物料档案里"))</f>
        <v/>
      </c>
      <c r="J2507" s="23" t="n"/>
      <c r="K2507" s="17" t="n"/>
      <c r="L2507" s="17" t="n"/>
      <c r="M2507" s="17" t="n"/>
      <c r="N2507" s="17" t="n"/>
      <c r="O2507" s="26">
        <f>IF($D2507="","",IFERROR(VLOOKUP($D2507,物料档案!$A$4:$P$1203,10,0),0))</f>
        <v/>
      </c>
      <c r="P2507" s="32" t="n"/>
      <c r="Q2507" s="26">
        <f>IF($D2507="","",IF($K2507&lt;&gt;"对外销售",0,ROUND(N($J2507)*IF($P2507="",N($O2507),N($P2507)),0)))</f>
        <v/>
      </c>
      <c r="R2507" s="26">
        <f>IF($D2507="","",IFERROR(VLOOKUP($D2507,库存台账!$A$5:$Y$1204,11,0),0))</f>
        <v/>
      </c>
      <c r="S2507" s="26">
        <f>IF($D2507="","",ROUND(N($J2507)*N($R2507),0))</f>
        <v/>
      </c>
      <c r="T2507" s="26">
        <f>IF($D2507="","",IF($K2507&lt;&gt;"对外销售","",ROUND($Q2507-$S2507,0)))</f>
        <v/>
      </c>
      <c r="U2507" s="17" t="n"/>
      <c r="V2507" s="17" t="n"/>
      <c r="W2507" s="24">
        <f>IF($D2507="","",IF($E2507="※编码不在物料档案里","※物料编码不在档案里",IF(N($J2507)&lt;=0,"※出库数量要大于 0",IF($K2507="","※没填去向类型",IF($L2507="","※没填去向矿区",IF(AND($C2507&lt;&gt;"",$C2507&lt;=结账锁),"※日期早于已结账截止日，不能再录",IF(AND($K2507="自用消耗",COUNTIF({"一矿区";"二矿区"},$L2507)=0),"※自用消耗的去向只能是一矿区或二矿区",IF(AND($K2507="对外销售",COUNTIF({"三矿区";"六矿区"},$L2507)=0),"※对外销售的去向只能是三矿区或六矿区",IF(AND($K2507="对外销售",ROUND($Q2507,0)=0),"※外销却没有售价，请填实际售价",IF(AND($K2507="对外销售",$T2507&lt;&gt;"",$T2507&lt;0),"※这一笔外销是亏的，请核对售价",IF(IFERROR(VLOOKUP($D2507,库存台账!$A$5:$Y$1204,24,0),0)&lt;-0.001,"※这个物料账面已经变成负数了，查一下是不是漏记入库","")))))))))))</f>
        <v/>
      </c>
    </row>
    <row r="2508">
      <c r="A2508" s="24">
        <f>IF($D2508="","",COUNTA($D$4:$D2508))</f>
        <v/>
      </c>
      <c r="B2508" s="17" t="n"/>
      <c r="C2508" s="30" t="n"/>
      <c r="D2508" s="17" t="n"/>
      <c r="E2508" s="24">
        <f>IF($D2508="","",IFERROR(VLOOKUP($D2508,物料档案!$A$4:$P$1203,3,0),"※编码不在物料档案里"))</f>
        <v/>
      </c>
      <c r="F2508" s="24">
        <f>IF($D2508="","",IFERROR(VLOOKUP($D2508,物料档案!$A$4:$P$1203,4,0),"※编码不在物料档案里"))</f>
        <v/>
      </c>
      <c r="G2508" s="24">
        <f>IF($D2508="","",IFERROR(VLOOKUP($D2508,物料档案!$A$4:$P$1203,5,0),"※编码不在物料档案里"))</f>
        <v/>
      </c>
      <c r="H2508" s="24">
        <f>IF($D2508="","",IFERROR(VLOOKUP($D2508,物料档案!$A$4:$P$1203,2,0),"※编码不在物料档案里"))</f>
        <v/>
      </c>
      <c r="I2508" s="24">
        <f>IF($D2508="","",IFERROR(VLOOKUP($D2508,物料档案!$A$4:$P$1203,6,0),"※编码不在物料档案里"))</f>
        <v/>
      </c>
      <c r="J2508" s="23" t="n"/>
      <c r="K2508" s="17" t="n"/>
      <c r="L2508" s="17" t="n"/>
      <c r="M2508" s="17" t="n"/>
      <c r="N2508" s="17" t="n"/>
      <c r="O2508" s="26">
        <f>IF($D2508="","",IFERROR(VLOOKUP($D2508,物料档案!$A$4:$P$1203,10,0),0))</f>
        <v/>
      </c>
      <c r="P2508" s="32" t="n"/>
      <c r="Q2508" s="26">
        <f>IF($D2508="","",IF($K2508&lt;&gt;"对外销售",0,ROUND(N($J2508)*IF($P2508="",N($O2508),N($P2508)),0)))</f>
        <v/>
      </c>
      <c r="R2508" s="26">
        <f>IF($D2508="","",IFERROR(VLOOKUP($D2508,库存台账!$A$5:$Y$1204,11,0),0))</f>
        <v/>
      </c>
      <c r="S2508" s="26">
        <f>IF($D2508="","",ROUND(N($J2508)*N($R2508),0))</f>
        <v/>
      </c>
      <c r="T2508" s="26">
        <f>IF($D2508="","",IF($K2508&lt;&gt;"对外销售","",ROUND($Q2508-$S2508,0)))</f>
        <v/>
      </c>
      <c r="U2508" s="17" t="n"/>
      <c r="V2508" s="17" t="n"/>
      <c r="W2508" s="24">
        <f>IF($D2508="","",IF($E2508="※编码不在物料档案里","※物料编码不在档案里",IF(N($J2508)&lt;=0,"※出库数量要大于 0",IF($K2508="","※没填去向类型",IF($L2508="","※没填去向矿区",IF(AND($C2508&lt;&gt;"",$C2508&lt;=结账锁),"※日期早于已结账截止日，不能再录",IF(AND($K2508="自用消耗",COUNTIF({"一矿区";"二矿区"},$L2508)=0),"※自用消耗的去向只能是一矿区或二矿区",IF(AND($K2508="对外销售",COUNTIF({"三矿区";"六矿区"},$L2508)=0),"※对外销售的去向只能是三矿区或六矿区",IF(AND($K2508="对外销售",ROUND($Q2508,0)=0),"※外销却没有售价，请填实际售价",IF(AND($K2508="对外销售",$T2508&lt;&gt;"",$T2508&lt;0),"※这一笔外销是亏的，请核对售价",IF(IFERROR(VLOOKUP($D2508,库存台账!$A$5:$Y$1204,24,0),0)&lt;-0.001,"※这个物料账面已经变成负数了，查一下是不是漏记入库","")))))))))))</f>
        <v/>
      </c>
    </row>
    <row r="2509">
      <c r="A2509" s="24">
        <f>IF($D2509="","",COUNTA($D$4:$D2509))</f>
        <v/>
      </c>
      <c r="B2509" s="17" t="n"/>
      <c r="C2509" s="30" t="n"/>
      <c r="D2509" s="17" t="n"/>
      <c r="E2509" s="24">
        <f>IF($D2509="","",IFERROR(VLOOKUP($D2509,物料档案!$A$4:$P$1203,3,0),"※编码不在物料档案里"))</f>
        <v/>
      </c>
      <c r="F2509" s="24">
        <f>IF($D2509="","",IFERROR(VLOOKUP($D2509,物料档案!$A$4:$P$1203,4,0),"※编码不在物料档案里"))</f>
        <v/>
      </c>
      <c r="G2509" s="24">
        <f>IF($D2509="","",IFERROR(VLOOKUP($D2509,物料档案!$A$4:$P$1203,5,0),"※编码不在物料档案里"))</f>
        <v/>
      </c>
      <c r="H2509" s="24">
        <f>IF($D2509="","",IFERROR(VLOOKUP($D2509,物料档案!$A$4:$P$1203,2,0),"※编码不在物料档案里"))</f>
        <v/>
      </c>
      <c r="I2509" s="24">
        <f>IF($D2509="","",IFERROR(VLOOKUP($D2509,物料档案!$A$4:$P$1203,6,0),"※编码不在物料档案里"))</f>
        <v/>
      </c>
      <c r="J2509" s="23" t="n"/>
      <c r="K2509" s="17" t="n"/>
      <c r="L2509" s="17" t="n"/>
      <c r="M2509" s="17" t="n"/>
      <c r="N2509" s="17" t="n"/>
      <c r="O2509" s="26">
        <f>IF($D2509="","",IFERROR(VLOOKUP($D2509,物料档案!$A$4:$P$1203,10,0),0))</f>
        <v/>
      </c>
      <c r="P2509" s="32" t="n"/>
      <c r="Q2509" s="26">
        <f>IF($D2509="","",IF($K2509&lt;&gt;"对外销售",0,ROUND(N($J2509)*IF($P2509="",N($O2509),N($P2509)),0)))</f>
        <v/>
      </c>
      <c r="R2509" s="26">
        <f>IF($D2509="","",IFERROR(VLOOKUP($D2509,库存台账!$A$5:$Y$1204,11,0),0))</f>
        <v/>
      </c>
      <c r="S2509" s="26">
        <f>IF($D2509="","",ROUND(N($J2509)*N($R2509),0))</f>
        <v/>
      </c>
      <c r="T2509" s="26">
        <f>IF($D2509="","",IF($K2509&lt;&gt;"对外销售","",ROUND($Q2509-$S2509,0)))</f>
        <v/>
      </c>
      <c r="U2509" s="17" t="n"/>
      <c r="V2509" s="17" t="n"/>
      <c r="W2509" s="24">
        <f>IF($D2509="","",IF($E2509="※编码不在物料档案里","※物料编码不在档案里",IF(N($J2509)&lt;=0,"※出库数量要大于 0",IF($K2509="","※没填去向类型",IF($L2509="","※没填去向矿区",IF(AND($C2509&lt;&gt;"",$C2509&lt;=结账锁),"※日期早于已结账截止日，不能再录",IF(AND($K2509="自用消耗",COUNTIF({"一矿区";"二矿区"},$L2509)=0),"※自用消耗的去向只能是一矿区或二矿区",IF(AND($K2509="对外销售",COUNTIF({"三矿区";"六矿区"},$L2509)=0),"※对外销售的去向只能是三矿区或六矿区",IF(AND($K2509="对外销售",ROUND($Q2509,0)=0),"※外销却没有售价，请填实际售价",IF(AND($K2509="对外销售",$T2509&lt;&gt;"",$T2509&lt;0),"※这一笔外销是亏的，请核对售价",IF(IFERROR(VLOOKUP($D2509,库存台账!$A$5:$Y$1204,24,0),0)&lt;-0.001,"※这个物料账面已经变成负数了，查一下是不是漏记入库","")))))))))))</f>
        <v/>
      </c>
    </row>
    <row r="2510">
      <c r="A2510" s="24">
        <f>IF($D2510="","",COUNTA($D$4:$D2510))</f>
        <v/>
      </c>
      <c r="B2510" s="17" t="n"/>
      <c r="C2510" s="30" t="n"/>
      <c r="D2510" s="17" t="n"/>
      <c r="E2510" s="24">
        <f>IF($D2510="","",IFERROR(VLOOKUP($D2510,物料档案!$A$4:$P$1203,3,0),"※编码不在物料档案里"))</f>
        <v/>
      </c>
      <c r="F2510" s="24">
        <f>IF($D2510="","",IFERROR(VLOOKUP($D2510,物料档案!$A$4:$P$1203,4,0),"※编码不在物料档案里"))</f>
        <v/>
      </c>
      <c r="G2510" s="24">
        <f>IF($D2510="","",IFERROR(VLOOKUP($D2510,物料档案!$A$4:$P$1203,5,0),"※编码不在物料档案里"))</f>
        <v/>
      </c>
      <c r="H2510" s="24">
        <f>IF($D2510="","",IFERROR(VLOOKUP($D2510,物料档案!$A$4:$P$1203,2,0),"※编码不在物料档案里"))</f>
        <v/>
      </c>
      <c r="I2510" s="24">
        <f>IF($D2510="","",IFERROR(VLOOKUP($D2510,物料档案!$A$4:$P$1203,6,0),"※编码不在物料档案里"))</f>
        <v/>
      </c>
      <c r="J2510" s="23" t="n"/>
      <c r="K2510" s="17" t="n"/>
      <c r="L2510" s="17" t="n"/>
      <c r="M2510" s="17" t="n"/>
      <c r="N2510" s="17" t="n"/>
      <c r="O2510" s="26">
        <f>IF($D2510="","",IFERROR(VLOOKUP($D2510,物料档案!$A$4:$P$1203,10,0),0))</f>
        <v/>
      </c>
      <c r="P2510" s="32" t="n"/>
      <c r="Q2510" s="26">
        <f>IF($D2510="","",IF($K2510&lt;&gt;"对外销售",0,ROUND(N($J2510)*IF($P2510="",N($O2510),N($P2510)),0)))</f>
        <v/>
      </c>
      <c r="R2510" s="26">
        <f>IF($D2510="","",IFERROR(VLOOKUP($D2510,库存台账!$A$5:$Y$1204,11,0),0))</f>
        <v/>
      </c>
      <c r="S2510" s="26">
        <f>IF($D2510="","",ROUND(N($J2510)*N($R2510),0))</f>
        <v/>
      </c>
      <c r="T2510" s="26">
        <f>IF($D2510="","",IF($K2510&lt;&gt;"对外销售","",ROUND($Q2510-$S2510,0)))</f>
        <v/>
      </c>
      <c r="U2510" s="17" t="n"/>
      <c r="V2510" s="17" t="n"/>
      <c r="W2510" s="24">
        <f>IF($D2510="","",IF($E2510="※编码不在物料档案里","※物料编码不在档案里",IF(N($J2510)&lt;=0,"※出库数量要大于 0",IF($K2510="","※没填去向类型",IF($L2510="","※没填去向矿区",IF(AND($C2510&lt;&gt;"",$C2510&lt;=结账锁),"※日期早于已结账截止日，不能再录",IF(AND($K2510="自用消耗",COUNTIF({"一矿区";"二矿区"},$L2510)=0),"※自用消耗的去向只能是一矿区或二矿区",IF(AND($K2510="对外销售",COUNTIF({"三矿区";"六矿区"},$L2510)=0),"※对外销售的去向只能是三矿区或六矿区",IF(AND($K2510="对外销售",ROUND($Q2510,0)=0),"※外销却没有售价，请填实际售价",IF(AND($K2510="对外销售",$T2510&lt;&gt;"",$T2510&lt;0),"※这一笔外销是亏的，请核对售价",IF(IFERROR(VLOOKUP($D2510,库存台账!$A$5:$Y$1204,24,0),0)&lt;-0.001,"※这个物料账面已经变成负数了，查一下是不是漏记入库","")))))))))))</f>
        <v/>
      </c>
    </row>
    <row r="2511">
      <c r="A2511" s="24">
        <f>IF($D2511="","",COUNTA($D$4:$D2511))</f>
        <v/>
      </c>
      <c r="B2511" s="17" t="n"/>
      <c r="C2511" s="30" t="n"/>
      <c r="D2511" s="17" t="n"/>
      <c r="E2511" s="24">
        <f>IF($D2511="","",IFERROR(VLOOKUP($D2511,物料档案!$A$4:$P$1203,3,0),"※编码不在物料档案里"))</f>
        <v/>
      </c>
      <c r="F2511" s="24">
        <f>IF($D2511="","",IFERROR(VLOOKUP($D2511,物料档案!$A$4:$P$1203,4,0),"※编码不在物料档案里"))</f>
        <v/>
      </c>
      <c r="G2511" s="24">
        <f>IF($D2511="","",IFERROR(VLOOKUP($D2511,物料档案!$A$4:$P$1203,5,0),"※编码不在物料档案里"))</f>
        <v/>
      </c>
      <c r="H2511" s="24">
        <f>IF($D2511="","",IFERROR(VLOOKUP($D2511,物料档案!$A$4:$P$1203,2,0),"※编码不在物料档案里"))</f>
        <v/>
      </c>
      <c r="I2511" s="24">
        <f>IF($D2511="","",IFERROR(VLOOKUP($D2511,物料档案!$A$4:$P$1203,6,0),"※编码不在物料档案里"))</f>
        <v/>
      </c>
      <c r="J2511" s="23" t="n"/>
      <c r="K2511" s="17" t="n"/>
      <c r="L2511" s="17" t="n"/>
      <c r="M2511" s="17" t="n"/>
      <c r="N2511" s="17" t="n"/>
      <c r="O2511" s="26">
        <f>IF($D2511="","",IFERROR(VLOOKUP($D2511,物料档案!$A$4:$P$1203,10,0),0))</f>
        <v/>
      </c>
      <c r="P2511" s="32" t="n"/>
      <c r="Q2511" s="26">
        <f>IF($D2511="","",IF($K2511&lt;&gt;"对外销售",0,ROUND(N($J2511)*IF($P2511="",N($O2511),N($P2511)),0)))</f>
        <v/>
      </c>
      <c r="R2511" s="26">
        <f>IF($D2511="","",IFERROR(VLOOKUP($D2511,库存台账!$A$5:$Y$1204,11,0),0))</f>
        <v/>
      </c>
      <c r="S2511" s="26">
        <f>IF($D2511="","",ROUND(N($J2511)*N($R2511),0))</f>
        <v/>
      </c>
      <c r="T2511" s="26">
        <f>IF($D2511="","",IF($K2511&lt;&gt;"对外销售","",ROUND($Q2511-$S2511,0)))</f>
        <v/>
      </c>
      <c r="U2511" s="17" t="n"/>
      <c r="V2511" s="17" t="n"/>
      <c r="W2511" s="24">
        <f>IF($D2511="","",IF($E2511="※编码不在物料档案里","※物料编码不在档案里",IF(N($J2511)&lt;=0,"※出库数量要大于 0",IF($K2511="","※没填去向类型",IF($L2511="","※没填去向矿区",IF(AND($C2511&lt;&gt;"",$C2511&lt;=结账锁),"※日期早于已结账截止日，不能再录",IF(AND($K2511="自用消耗",COUNTIF({"一矿区";"二矿区"},$L2511)=0),"※自用消耗的去向只能是一矿区或二矿区",IF(AND($K2511="对外销售",COUNTIF({"三矿区";"六矿区"},$L2511)=0),"※对外销售的去向只能是三矿区或六矿区",IF(AND($K2511="对外销售",ROUND($Q2511,0)=0),"※外销却没有售价，请填实际售价",IF(AND($K2511="对外销售",$T2511&lt;&gt;"",$T2511&lt;0),"※这一笔外销是亏的，请核对售价",IF(IFERROR(VLOOKUP($D2511,库存台账!$A$5:$Y$1204,24,0),0)&lt;-0.001,"※这个物料账面已经变成负数了，查一下是不是漏记入库","")))))))))))</f>
        <v/>
      </c>
    </row>
    <row r="2512">
      <c r="A2512" s="24">
        <f>IF($D2512="","",COUNTA($D$4:$D2512))</f>
        <v/>
      </c>
      <c r="B2512" s="17" t="n"/>
      <c r="C2512" s="30" t="n"/>
      <c r="D2512" s="17" t="n"/>
      <c r="E2512" s="24">
        <f>IF($D2512="","",IFERROR(VLOOKUP($D2512,物料档案!$A$4:$P$1203,3,0),"※编码不在物料档案里"))</f>
        <v/>
      </c>
      <c r="F2512" s="24">
        <f>IF($D2512="","",IFERROR(VLOOKUP($D2512,物料档案!$A$4:$P$1203,4,0),"※编码不在物料档案里"))</f>
        <v/>
      </c>
      <c r="G2512" s="24">
        <f>IF($D2512="","",IFERROR(VLOOKUP($D2512,物料档案!$A$4:$P$1203,5,0),"※编码不在物料档案里"))</f>
        <v/>
      </c>
      <c r="H2512" s="24">
        <f>IF($D2512="","",IFERROR(VLOOKUP($D2512,物料档案!$A$4:$P$1203,2,0),"※编码不在物料档案里"))</f>
        <v/>
      </c>
      <c r="I2512" s="24">
        <f>IF($D2512="","",IFERROR(VLOOKUP($D2512,物料档案!$A$4:$P$1203,6,0),"※编码不在物料档案里"))</f>
        <v/>
      </c>
      <c r="J2512" s="23" t="n"/>
      <c r="K2512" s="17" t="n"/>
      <c r="L2512" s="17" t="n"/>
      <c r="M2512" s="17" t="n"/>
      <c r="N2512" s="17" t="n"/>
      <c r="O2512" s="26">
        <f>IF($D2512="","",IFERROR(VLOOKUP($D2512,物料档案!$A$4:$P$1203,10,0),0))</f>
        <v/>
      </c>
      <c r="P2512" s="32" t="n"/>
      <c r="Q2512" s="26">
        <f>IF($D2512="","",IF($K2512&lt;&gt;"对外销售",0,ROUND(N($J2512)*IF($P2512="",N($O2512),N($P2512)),0)))</f>
        <v/>
      </c>
      <c r="R2512" s="26">
        <f>IF($D2512="","",IFERROR(VLOOKUP($D2512,库存台账!$A$5:$Y$1204,11,0),0))</f>
        <v/>
      </c>
      <c r="S2512" s="26">
        <f>IF($D2512="","",ROUND(N($J2512)*N($R2512),0))</f>
        <v/>
      </c>
      <c r="T2512" s="26">
        <f>IF($D2512="","",IF($K2512&lt;&gt;"对外销售","",ROUND($Q2512-$S2512,0)))</f>
        <v/>
      </c>
      <c r="U2512" s="17" t="n"/>
      <c r="V2512" s="17" t="n"/>
      <c r="W2512" s="24">
        <f>IF($D2512="","",IF($E2512="※编码不在物料档案里","※物料编码不在档案里",IF(N($J2512)&lt;=0,"※出库数量要大于 0",IF($K2512="","※没填去向类型",IF($L2512="","※没填去向矿区",IF(AND($C2512&lt;&gt;"",$C2512&lt;=结账锁),"※日期早于已结账截止日，不能再录",IF(AND($K2512="自用消耗",COUNTIF({"一矿区";"二矿区"},$L2512)=0),"※自用消耗的去向只能是一矿区或二矿区",IF(AND($K2512="对外销售",COUNTIF({"三矿区";"六矿区"},$L2512)=0),"※对外销售的去向只能是三矿区或六矿区",IF(AND($K2512="对外销售",ROUND($Q2512,0)=0),"※外销却没有售价，请填实际售价",IF(AND($K2512="对外销售",$T2512&lt;&gt;"",$T2512&lt;0),"※这一笔外销是亏的，请核对售价",IF(IFERROR(VLOOKUP($D2512,库存台账!$A$5:$Y$1204,24,0),0)&lt;-0.001,"※这个物料账面已经变成负数了，查一下是不是漏记入库","")))))))))))</f>
        <v/>
      </c>
    </row>
    <row r="2513">
      <c r="A2513" s="24">
        <f>IF($D2513="","",COUNTA($D$4:$D2513))</f>
        <v/>
      </c>
      <c r="B2513" s="17" t="n"/>
      <c r="C2513" s="30" t="n"/>
      <c r="D2513" s="17" t="n"/>
      <c r="E2513" s="24">
        <f>IF($D2513="","",IFERROR(VLOOKUP($D2513,物料档案!$A$4:$P$1203,3,0),"※编码不在物料档案里"))</f>
        <v/>
      </c>
      <c r="F2513" s="24">
        <f>IF($D2513="","",IFERROR(VLOOKUP($D2513,物料档案!$A$4:$P$1203,4,0),"※编码不在物料档案里"))</f>
        <v/>
      </c>
      <c r="G2513" s="24">
        <f>IF($D2513="","",IFERROR(VLOOKUP($D2513,物料档案!$A$4:$P$1203,5,0),"※编码不在物料档案里"))</f>
        <v/>
      </c>
      <c r="H2513" s="24">
        <f>IF($D2513="","",IFERROR(VLOOKUP($D2513,物料档案!$A$4:$P$1203,2,0),"※编码不在物料档案里"))</f>
        <v/>
      </c>
      <c r="I2513" s="24">
        <f>IF($D2513="","",IFERROR(VLOOKUP($D2513,物料档案!$A$4:$P$1203,6,0),"※编码不在物料档案里"))</f>
        <v/>
      </c>
      <c r="J2513" s="23" t="n"/>
      <c r="K2513" s="17" t="n"/>
      <c r="L2513" s="17" t="n"/>
      <c r="M2513" s="17" t="n"/>
      <c r="N2513" s="17" t="n"/>
      <c r="O2513" s="26">
        <f>IF($D2513="","",IFERROR(VLOOKUP($D2513,物料档案!$A$4:$P$1203,10,0),0))</f>
        <v/>
      </c>
      <c r="P2513" s="32" t="n"/>
      <c r="Q2513" s="26">
        <f>IF($D2513="","",IF($K2513&lt;&gt;"对外销售",0,ROUND(N($J2513)*IF($P2513="",N($O2513),N($P2513)),0)))</f>
        <v/>
      </c>
      <c r="R2513" s="26">
        <f>IF($D2513="","",IFERROR(VLOOKUP($D2513,库存台账!$A$5:$Y$1204,11,0),0))</f>
        <v/>
      </c>
      <c r="S2513" s="26">
        <f>IF($D2513="","",ROUND(N($J2513)*N($R2513),0))</f>
        <v/>
      </c>
      <c r="T2513" s="26">
        <f>IF($D2513="","",IF($K2513&lt;&gt;"对外销售","",ROUND($Q2513-$S2513,0)))</f>
        <v/>
      </c>
      <c r="U2513" s="17" t="n"/>
      <c r="V2513" s="17" t="n"/>
      <c r="W2513" s="24">
        <f>IF($D2513="","",IF($E2513="※编码不在物料档案里","※物料编码不在档案里",IF(N($J2513)&lt;=0,"※出库数量要大于 0",IF($K2513="","※没填去向类型",IF($L2513="","※没填去向矿区",IF(AND($C2513&lt;&gt;"",$C2513&lt;=结账锁),"※日期早于已结账截止日，不能再录",IF(AND($K2513="自用消耗",COUNTIF({"一矿区";"二矿区"},$L2513)=0),"※自用消耗的去向只能是一矿区或二矿区",IF(AND($K2513="对外销售",COUNTIF({"三矿区";"六矿区"},$L2513)=0),"※对外销售的去向只能是三矿区或六矿区",IF(AND($K2513="对外销售",ROUND($Q2513,0)=0),"※外销却没有售价，请填实际售价",IF(AND($K2513="对外销售",$T2513&lt;&gt;"",$T2513&lt;0),"※这一笔外销是亏的，请核对售价",IF(IFERROR(VLOOKUP($D2513,库存台账!$A$5:$Y$1204,24,0),0)&lt;-0.001,"※这个物料账面已经变成负数了，查一下是不是漏记入库","")))))))))))</f>
        <v/>
      </c>
    </row>
    <row r="2514">
      <c r="A2514" s="24">
        <f>IF($D2514="","",COUNTA($D$4:$D2514))</f>
        <v/>
      </c>
      <c r="B2514" s="17" t="n"/>
      <c r="C2514" s="30" t="n"/>
      <c r="D2514" s="17" t="n"/>
      <c r="E2514" s="24">
        <f>IF($D2514="","",IFERROR(VLOOKUP($D2514,物料档案!$A$4:$P$1203,3,0),"※编码不在物料档案里"))</f>
        <v/>
      </c>
      <c r="F2514" s="24">
        <f>IF($D2514="","",IFERROR(VLOOKUP($D2514,物料档案!$A$4:$P$1203,4,0),"※编码不在物料档案里"))</f>
        <v/>
      </c>
      <c r="G2514" s="24">
        <f>IF($D2514="","",IFERROR(VLOOKUP($D2514,物料档案!$A$4:$P$1203,5,0),"※编码不在物料档案里"))</f>
        <v/>
      </c>
      <c r="H2514" s="24">
        <f>IF($D2514="","",IFERROR(VLOOKUP($D2514,物料档案!$A$4:$P$1203,2,0),"※编码不在物料档案里"))</f>
        <v/>
      </c>
      <c r="I2514" s="24">
        <f>IF($D2514="","",IFERROR(VLOOKUP($D2514,物料档案!$A$4:$P$1203,6,0),"※编码不在物料档案里"))</f>
        <v/>
      </c>
      <c r="J2514" s="23" t="n"/>
      <c r="K2514" s="17" t="n"/>
      <c r="L2514" s="17" t="n"/>
      <c r="M2514" s="17" t="n"/>
      <c r="N2514" s="17" t="n"/>
      <c r="O2514" s="26">
        <f>IF($D2514="","",IFERROR(VLOOKUP($D2514,物料档案!$A$4:$P$1203,10,0),0))</f>
        <v/>
      </c>
      <c r="P2514" s="32" t="n"/>
      <c r="Q2514" s="26">
        <f>IF($D2514="","",IF($K2514&lt;&gt;"对外销售",0,ROUND(N($J2514)*IF($P2514="",N($O2514),N($P2514)),0)))</f>
        <v/>
      </c>
      <c r="R2514" s="26">
        <f>IF($D2514="","",IFERROR(VLOOKUP($D2514,库存台账!$A$5:$Y$1204,11,0),0))</f>
        <v/>
      </c>
      <c r="S2514" s="26">
        <f>IF($D2514="","",ROUND(N($J2514)*N($R2514),0))</f>
        <v/>
      </c>
      <c r="T2514" s="26">
        <f>IF($D2514="","",IF($K2514&lt;&gt;"对外销售","",ROUND($Q2514-$S2514,0)))</f>
        <v/>
      </c>
      <c r="U2514" s="17" t="n"/>
      <c r="V2514" s="17" t="n"/>
      <c r="W2514" s="24">
        <f>IF($D2514="","",IF($E2514="※编码不在物料档案里","※物料编码不在档案里",IF(N($J2514)&lt;=0,"※出库数量要大于 0",IF($K2514="","※没填去向类型",IF($L2514="","※没填去向矿区",IF(AND($C2514&lt;&gt;"",$C2514&lt;=结账锁),"※日期早于已结账截止日，不能再录",IF(AND($K2514="自用消耗",COUNTIF({"一矿区";"二矿区"},$L2514)=0),"※自用消耗的去向只能是一矿区或二矿区",IF(AND($K2514="对外销售",COUNTIF({"三矿区";"六矿区"},$L2514)=0),"※对外销售的去向只能是三矿区或六矿区",IF(AND($K2514="对外销售",ROUND($Q2514,0)=0),"※外销却没有售价，请填实际售价",IF(AND($K2514="对外销售",$T2514&lt;&gt;"",$T2514&lt;0),"※这一笔外销是亏的，请核对售价",IF(IFERROR(VLOOKUP($D2514,库存台账!$A$5:$Y$1204,24,0),0)&lt;-0.001,"※这个物料账面已经变成负数了，查一下是不是漏记入库","")))))))))))</f>
        <v/>
      </c>
    </row>
    <row r="2515">
      <c r="A2515" s="24">
        <f>IF($D2515="","",COUNTA($D$4:$D2515))</f>
        <v/>
      </c>
      <c r="B2515" s="17" t="n"/>
      <c r="C2515" s="30" t="n"/>
      <c r="D2515" s="17" t="n"/>
      <c r="E2515" s="24">
        <f>IF($D2515="","",IFERROR(VLOOKUP($D2515,物料档案!$A$4:$P$1203,3,0),"※编码不在物料档案里"))</f>
        <v/>
      </c>
      <c r="F2515" s="24">
        <f>IF($D2515="","",IFERROR(VLOOKUP($D2515,物料档案!$A$4:$P$1203,4,0),"※编码不在物料档案里"))</f>
        <v/>
      </c>
      <c r="G2515" s="24">
        <f>IF($D2515="","",IFERROR(VLOOKUP($D2515,物料档案!$A$4:$P$1203,5,0),"※编码不在物料档案里"))</f>
        <v/>
      </c>
      <c r="H2515" s="24">
        <f>IF($D2515="","",IFERROR(VLOOKUP($D2515,物料档案!$A$4:$P$1203,2,0),"※编码不在物料档案里"))</f>
        <v/>
      </c>
      <c r="I2515" s="24">
        <f>IF($D2515="","",IFERROR(VLOOKUP($D2515,物料档案!$A$4:$P$1203,6,0),"※编码不在物料档案里"))</f>
        <v/>
      </c>
      <c r="J2515" s="23" t="n"/>
      <c r="K2515" s="17" t="n"/>
      <c r="L2515" s="17" t="n"/>
      <c r="M2515" s="17" t="n"/>
      <c r="N2515" s="17" t="n"/>
      <c r="O2515" s="26">
        <f>IF($D2515="","",IFERROR(VLOOKUP($D2515,物料档案!$A$4:$P$1203,10,0),0))</f>
        <v/>
      </c>
      <c r="P2515" s="32" t="n"/>
      <c r="Q2515" s="26">
        <f>IF($D2515="","",IF($K2515&lt;&gt;"对外销售",0,ROUND(N($J2515)*IF($P2515="",N($O2515),N($P2515)),0)))</f>
        <v/>
      </c>
      <c r="R2515" s="26">
        <f>IF($D2515="","",IFERROR(VLOOKUP($D2515,库存台账!$A$5:$Y$1204,11,0),0))</f>
        <v/>
      </c>
      <c r="S2515" s="26">
        <f>IF($D2515="","",ROUND(N($J2515)*N($R2515),0))</f>
        <v/>
      </c>
      <c r="T2515" s="26">
        <f>IF($D2515="","",IF($K2515&lt;&gt;"对外销售","",ROUND($Q2515-$S2515,0)))</f>
        <v/>
      </c>
      <c r="U2515" s="17" t="n"/>
      <c r="V2515" s="17" t="n"/>
      <c r="W2515" s="24">
        <f>IF($D2515="","",IF($E2515="※编码不在物料档案里","※物料编码不在档案里",IF(N($J2515)&lt;=0,"※出库数量要大于 0",IF($K2515="","※没填去向类型",IF($L2515="","※没填去向矿区",IF(AND($C2515&lt;&gt;"",$C2515&lt;=结账锁),"※日期早于已结账截止日，不能再录",IF(AND($K2515="自用消耗",COUNTIF({"一矿区";"二矿区"},$L2515)=0),"※自用消耗的去向只能是一矿区或二矿区",IF(AND($K2515="对外销售",COUNTIF({"三矿区";"六矿区"},$L2515)=0),"※对外销售的去向只能是三矿区或六矿区",IF(AND($K2515="对外销售",ROUND($Q2515,0)=0),"※外销却没有售价，请填实际售价",IF(AND($K2515="对外销售",$T2515&lt;&gt;"",$T2515&lt;0),"※这一笔外销是亏的，请核对售价",IF(IFERROR(VLOOKUP($D2515,库存台账!$A$5:$Y$1204,24,0),0)&lt;-0.001,"※这个物料账面已经变成负数了，查一下是不是漏记入库","")))))))))))</f>
        <v/>
      </c>
    </row>
    <row r="2516">
      <c r="A2516" s="24">
        <f>IF($D2516="","",COUNTA($D$4:$D2516))</f>
        <v/>
      </c>
      <c r="B2516" s="17" t="n"/>
      <c r="C2516" s="30" t="n"/>
      <c r="D2516" s="17" t="n"/>
      <c r="E2516" s="24">
        <f>IF($D2516="","",IFERROR(VLOOKUP($D2516,物料档案!$A$4:$P$1203,3,0),"※编码不在物料档案里"))</f>
        <v/>
      </c>
      <c r="F2516" s="24">
        <f>IF($D2516="","",IFERROR(VLOOKUP($D2516,物料档案!$A$4:$P$1203,4,0),"※编码不在物料档案里"))</f>
        <v/>
      </c>
      <c r="G2516" s="24">
        <f>IF($D2516="","",IFERROR(VLOOKUP($D2516,物料档案!$A$4:$P$1203,5,0),"※编码不在物料档案里"))</f>
        <v/>
      </c>
      <c r="H2516" s="24">
        <f>IF($D2516="","",IFERROR(VLOOKUP($D2516,物料档案!$A$4:$P$1203,2,0),"※编码不在物料档案里"))</f>
        <v/>
      </c>
      <c r="I2516" s="24">
        <f>IF($D2516="","",IFERROR(VLOOKUP($D2516,物料档案!$A$4:$P$1203,6,0),"※编码不在物料档案里"))</f>
        <v/>
      </c>
      <c r="J2516" s="23" t="n"/>
      <c r="K2516" s="17" t="n"/>
      <c r="L2516" s="17" t="n"/>
      <c r="M2516" s="17" t="n"/>
      <c r="N2516" s="17" t="n"/>
      <c r="O2516" s="26">
        <f>IF($D2516="","",IFERROR(VLOOKUP($D2516,物料档案!$A$4:$P$1203,10,0),0))</f>
        <v/>
      </c>
      <c r="P2516" s="32" t="n"/>
      <c r="Q2516" s="26">
        <f>IF($D2516="","",IF($K2516&lt;&gt;"对外销售",0,ROUND(N($J2516)*IF($P2516="",N($O2516),N($P2516)),0)))</f>
        <v/>
      </c>
      <c r="R2516" s="26">
        <f>IF($D2516="","",IFERROR(VLOOKUP($D2516,库存台账!$A$5:$Y$1204,11,0),0))</f>
        <v/>
      </c>
      <c r="S2516" s="26">
        <f>IF($D2516="","",ROUND(N($J2516)*N($R2516),0))</f>
        <v/>
      </c>
      <c r="T2516" s="26">
        <f>IF($D2516="","",IF($K2516&lt;&gt;"对外销售","",ROUND($Q2516-$S2516,0)))</f>
        <v/>
      </c>
      <c r="U2516" s="17" t="n"/>
      <c r="V2516" s="17" t="n"/>
      <c r="W2516" s="24">
        <f>IF($D2516="","",IF($E2516="※编码不在物料档案里","※物料编码不在档案里",IF(N($J2516)&lt;=0,"※出库数量要大于 0",IF($K2516="","※没填去向类型",IF($L2516="","※没填去向矿区",IF(AND($C2516&lt;&gt;"",$C2516&lt;=结账锁),"※日期早于已结账截止日，不能再录",IF(AND($K2516="自用消耗",COUNTIF({"一矿区";"二矿区"},$L2516)=0),"※自用消耗的去向只能是一矿区或二矿区",IF(AND($K2516="对外销售",COUNTIF({"三矿区";"六矿区"},$L2516)=0),"※对外销售的去向只能是三矿区或六矿区",IF(AND($K2516="对外销售",ROUND($Q2516,0)=0),"※外销却没有售价，请填实际售价",IF(AND($K2516="对外销售",$T2516&lt;&gt;"",$T2516&lt;0),"※这一笔外销是亏的，请核对售价",IF(IFERROR(VLOOKUP($D2516,库存台账!$A$5:$Y$1204,24,0),0)&lt;-0.001,"※这个物料账面已经变成负数了，查一下是不是漏记入库","")))))))))))</f>
        <v/>
      </c>
    </row>
    <row r="2517">
      <c r="A2517" s="24">
        <f>IF($D2517="","",COUNTA($D$4:$D2517))</f>
        <v/>
      </c>
      <c r="B2517" s="17" t="n"/>
      <c r="C2517" s="30" t="n"/>
      <c r="D2517" s="17" t="n"/>
      <c r="E2517" s="24">
        <f>IF($D2517="","",IFERROR(VLOOKUP($D2517,物料档案!$A$4:$P$1203,3,0),"※编码不在物料档案里"))</f>
        <v/>
      </c>
      <c r="F2517" s="24">
        <f>IF($D2517="","",IFERROR(VLOOKUP($D2517,物料档案!$A$4:$P$1203,4,0),"※编码不在物料档案里"))</f>
        <v/>
      </c>
      <c r="G2517" s="24">
        <f>IF($D2517="","",IFERROR(VLOOKUP($D2517,物料档案!$A$4:$P$1203,5,0),"※编码不在物料档案里"))</f>
        <v/>
      </c>
      <c r="H2517" s="24">
        <f>IF($D2517="","",IFERROR(VLOOKUP($D2517,物料档案!$A$4:$P$1203,2,0),"※编码不在物料档案里"))</f>
        <v/>
      </c>
      <c r="I2517" s="24">
        <f>IF($D2517="","",IFERROR(VLOOKUP($D2517,物料档案!$A$4:$P$1203,6,0),"※编码不在物料档案里"))</f>
        <v/>
      </c>
      <c r="J2517" s="23" t="n"/>
      <c r="K2517" s="17" t="n"/>
      <c r="L2517" s="17" t="n"/>
      <c r="M2517" s="17" t="n"/>
      <c r="N2517" s="17" t="n"/>
      <c r="O2517" s="26">
        <f>IF($D2517="","",IFERROR(VLOOKUP($D2517,物料档案!$A$4:$P$1203,10,0),0))</f>
        <v/>
      </c>
      <c r="P2517" s="32" t="n"/>
      <c r="Q2517" s="26">
        <f>IF($D2517="","",IF($K2517&lt;&gt;"对外销售",0,ROUND(N($J2517)*IF($P2517="",N($O2517),N($P2517)),0)))</f>
        <v/>
      </c>
      <c r="R2517" s="26">
        <f>IF($D2517="","",IFERROR(VLOOKUP($D2517,库存台账!$A$5:$Y$1204,11,0),0))</f>
        <v/>
      </c>
      <c r="S2517" s="26">
        <f>IF($D2517="","",ROUND(N($J2517)*N($R2517),0))</f>
        <v/>
      </c>
      <c r="T2517" s="26">
        <f>IF($D2517="","",IF($K2517&lt;&gt;"对外销售","",ROUND($Q2517-$S2517,0)))</f>
        <v/>
      </c>
      <c r="U2517" s="17" t="n"/>
      <c r="V2517" s="17" t="n"/>
      <c r="W2517" s="24">
        <f>IF($D2517="","",IF($E2517="※编码不在物料档案里","※物料编码不在档案里",IF(N($J2517)&lt;=0,"※出库数量要大于 0",IF($K2517="","※没填去向类型",IF($L2517="","※没填去向矿区",IF(AND($C2517&lt;&gt;"",$C2517&lt;=结账锁),"※日期早于已结账截止日，不能再录",IF(AND($K2517="自用消耗",COUNTIF({"一矿区";"二矿区"},$L2517)=0),"※自用消耗的去向只能是一矿区或二矿区",IF(AND($K2517="对外销售",COUNTIF({"三矿区";"六矿区"},$L2517)=0),"※对外销售的去向只能是三矿区或六矿区",IF(AND($K2517="对外销售",ROUND($Q2517,0)=0),"※外销却没有售价，请填实际售价",IF(AND($K2517="对外销售",$T2517&lt;&gt;"",$T2517&lt;0),"※这一笔外销是亏的，请核对售价",IF(IFERROR(VLOOKUP($D2517,库存台账!$A$5:$Y$1204,24,0),0)&lt;-0.001,"※这个物料账面已经变成负数了，查一下是不是漏记入库","")))))))))))</f>
        <v/>
      </c>
    </row>
    <row r="2518">
      <c r="A2518" s="24">
        <f>IF($D2518="","",COUNTA($D$4:$D2518))</f>
        <v/>
      </c>
      <c r="B2518" s="17" t="n"/>
      <c r="C2518" s="30" t="n"/>
      <c r="D2518" s="17" t="n"/>
      <c r="E2518" s="24">
        <f>IF($D2518="","",IFERROR(VLOOKUP($D2518,物料档案!$A$4:$P$1203,3,0),"※编码不在物料档案里"))</f>
        <v/>
      </c>
      <c r="F2518" s="24">
        <f>IF($D2518="","",IFERROR(VLOOKUP($D2518,物料档案!$A$4:$P$1203,4,0),"※编码不在物料档案里"))</f>
        <v/>
      </c>
      <c r="G2518" s="24">
        <f>IF($D2518="","",IFERROR(VLOOKUP($D2518,物料档案!$A$4:$P$1203,5,0),"※编码不在物料档案里"))</f>
        <v/>
      </c>
      <c r="H2518" s="24">
        <f>IF($D2518="","",IFERROR(VLOOKUP($D2518,物料档案!$A$4:$P$1203,2,0),"※编码不在物料档案里"))</f>
        <v/>
      </c>
      <c r="I2518" s="24">
        <f>IF($D2518="","",IFERROR(VLOOKUP($D2518,物料档案!$A$4:$P$1203,6,0),"※编码不在物料档案里"))</f>
        <v/>
      </c>
      <c r="J2518" s="23" t="n"/>
      <c r="K2518" s="17" t="n"/>
      <c r="L2518" s="17" t="n"/>
      <c r="M2518" s="17" t="n"/>
      <c r="N2518" s="17" t="n"/>
      <c r="O2518" s="26">
        <f>IF($D2518="","",IFERROR(VLOOKUP($D2518,物料档案!$A$4:$P$1203,10,0),0))</f>
        <v/>
      </c>
      <c r="P2518" s="32" t="n"/>
      <c r="Q2518" s="26">
        <f>IF($D2518="","",IF($K2518&lt;&gt;"对外销售",0,ROUND(N($J2518)*IF($P2518="",N($O2518),N($P2518)),0)))</f>
        <v/>
      </c>
      <c r="R2518" s="26">
        <f>IF($D2518="","",IFERROR(VLOOKUP($D2518,库存台账!$A$5:$Y$1204,11,0),0))</f>
        <v/>
      </c>
      <c r="S2518" s="26">
        <f>IF($D2518="","",ROUND(N($J2518)*N($R2518),0))</f>
        <v/>
      </c>
      <c r="T2518" s="26">
        <f>IF($D2518="","",IF($K2518&lt;&gt;"对外销售","",ROUND($Q2518-$S2518,0)))</f>
        <v/>
      </c>
      <c r="U2518" s="17" t="n"/>
      <c r="V2518" s="17" t="n"/>
      <c r="W2518" s="24">
        <f>IF($D2518="","",IF($E2518="※编码不在物料档案里","※物料编码不在档案里",IF(N($J2518)&lt;=0,"※出库数量要大于 0",IF($K2518="","※没填去向类型",IF($L2518="","※没填去向矿区",IF(AND($C2518&lt;&gt;"",$C2518&lt;=结账锁),"※日期早于已结账截止日，不能再录",IF(AND($K2518="自用消耗",COUNTIF({"一矿区";"二矿区"},$L2518)=0),"※自用消耗的去向只能是一矿区或二矿区",IF(AND($K2518="对外销售",COUNTIF({"三矿区";"六矿区"},$L2518)=0),"※对外销售的去向只能是三矿区或六矿区",IF(AND($K2518="对外销售",ROUND($Q2518,0)=0),"※外销却没有售价，请填实际售价",IF(AND($K2518="对外销售",$T2518&lt;&gt;"",$T2518&lt;0),"※这一笔外销是亏的，请核对售价",IF(IFERROR(VLOOKUP($D2518,库存台账!$A$5:$Y$1204,24,0),0)&lt;-0.001,"※这个物料账面已经变成负数了，查一下是不是漏记入库","")))))))))))</f>
        <v/>
      </c>
    </row>
    <row r="2519">
      <c r="A2519" s="24">
        <f>IF($D2519="","",COUNTA($D$4:$D2519))</f>
        <v/>
      </c>
      <c r="B2519" s="17" t="n"/>
      <c r="C2519" s="30" t="n"/>
      <c r="D2519" s="17" t="n"/>
      <c r="E2519" s="24">
        <f>IF($D2519="","",IFERROR(VLOOKUP($D2519,物料档案!$A$4:$P$1203,3,0),"※编码不在物料档案里"))</f>
        <v/>
      </c>
      <c r="F2519" s="24">
        <f>IF($D2519="","",IFERROR(VLOOKUP($D2519,物料档案!$A$4:$P$1203,4,0),"※编码不在物料档案里"))</f>
        <v/>
      </c>
      <c r="G2519" s="24">
        <f>IF($D2519="","",IFERROR(VLOOKUP($D2519,物料档案!$A$4:$P$1203,5,0),"※编码不在物料档案里"))</f>
        <v/>
      </c>
      <c r="H2519" s="24">
        <f>IF($D2519="","",IFERROR(VLOOKUP($D2519,物料档案!$A$4:$P$1203,2,0),"※编码不在物料档案里"))</f>
        <v/>
      </c>
      <c r="I2519" s="24">
        <f>IF($D2519="","",IFERROR(VLOOKUP($D2519,物料档案!$A$4:$P$1203,6,0),"※编码不在物料档案里"))</f>
        <v/>
      </c>
      <c r="J2519" s="23" t="n"/>
      <c r="K2519" s="17" t="n"/>
      <c r="L2519" s="17" t="n"/>
      <c r="M2519" s="17" t="n"/>
      <c r="N2519" s="17" t="n"/>
      <c r="O2519" s="26">
        <f>IF($D2519="","",IFERROR(VLOOKUP($D2519,物料档案!$A$4:$P$1203,10,0),0))</f>
        <v/>
      </c>
      <c r="P2519" s="32" t="n"/>
      <c r="Q2519" s="26">
        <f>IF($D2519="","",IF($K2519&lt;&gt;"对外销售",0,ROUND(N($J2519)*IF($P2519="",N($O2519),N($P2519)),0)))</f>
        <v/>
      </c>
      <c r="R2519" s="26">
        <f>IF($D2519="","",IFERROR(VLOOKUP($D2519,库存台账!$A$5:$Y$1204,11,0),0))</f>
        <v/>
      </c>
      <c r="S2519" s="26">
        <f>IF($D2519="","",ROUND(N($J2519)*N($R2519),0))</f>
        <v/>
      </c>
      <c r="T2519" s="26">
        <f>IF($D2519="","",IF($K2519&lt;&gt;"对外销售","",ROUND($Q2519-$S2519,0)))</f>
        <v/>
      </c>
      <c r="U2519" s="17" t="n"/>
      <c r="V2519" s="17" t="n"/>
      <c r="W2519" s="24">
        <f>IF($D2519="","",IF($E2519="※编码不在物料档案里","※物料编码不在档案里",IF(N($J2519)&lt;=0,"※出库数量要大于 0",IF($K2519="","※没填去向类型",IF($L2519="","※没填去向矿区",IF(AND($C2519&lt;&gt;"",$C2519&lt;=结账锁),"※日期早于已结账截止日，不能再录",IF(AND($K2519="自用消耗",COUNTIF({"一矿区";"二矿区"},$L2519)=0),"※自用消耗的去向只能是一矿区或二矿区",IF(AND($K2519="对外销售",COUNTIF({"三矿区";"六矿区"},$L2519)=0),"※对外销售的去向只能是三矿区或六矿区",IF(AND($K2519="对外销售",ROUND($Q2519,0)=0),"※外销却没有售价，请填实际售价",IF(AND($K2519="对外销售",$T2519&lt;&gt;"",$T2519&lt;0),"※这一笔外销是亏的，请核对售价",IF(IFERROR(VLOOKUP($D2519,库存台账!$A$5:$Y$1204,24,0),0)&lt;-0.001,"※这个物料账面已经变成负数了，查一下是不是漏记入库","")))))))))))</f>
        <v/>
      </c>
    </row>
    <row r="2520">
      <c r="A2520" s="24">
        <f>IF($D2520="","",COUNTA($D$4:$D2520))</f>
        <v/>
      </c>
      <c r="B2520" s="17" t="n"/>
      <c r="C2520" s="30" t="n"/>
      <c r="D2520" s="17" t="n"/>
      <c r="E2520" s="24">
        <f>IF($D2520="","",IFERROR(VLOOKUP($D2520,物料档案!$A$4:$P$1203,3,0),"※编码不在物料档案里"))</f>
        <v/>
      </c>
      <c r="F2520" s="24">
        <f>IF($D2520="","",IFERROR(VLOOKUP($D2520,物料档案!$A$4:$P$1203,4,0),"※编码不在物料档案里"))</f>
        <v/>
      </c>
      <c r="G2520" s="24">
        <f>IF($D2520="","",IFERROR(VLOOKUP($D2520,物料档案!$A$4:$P$1203,5,0),"※编码不在物料档案里"))</f>
        <v/>
      </c>
      <c r="H2520" s="24">
        <f>IF($D2520="","",IFERROR(VLOOKUP($D2520,物料档案!$A$4:$P$1203,2,0),"※编码不在物料档案里"))</f>
        <v/>
      </c>
      <c r="I2520" s="24">
        <f>IF($D2520="","",IFERROR(VLOOKUP($D2520,物料档案!$A$4:$P$1203,6,0),"※编码不在物料档案里"))</f>
        <v/>
      </c>
      <c r="J2520" s="23" t="n"/>
      <c r="K2520" s="17" t="n"/>
      <c r="L2520" s="17" t="n"/>
      <c r="M2520" s="17" t="n"/>
      <c r="N2520" s="17" t="n"/>
      <c r="O2520" s="26">
        <f>IF($D2520="","",IFERROR(VLOOKUP($D2520,物料档案!$A$4:$P$1203,10,0),0))</f>
        <v/>
      </c>
      <c r="P2520" s="32" t="n"/>
      <c r="Q2520" s="26">
        <f>IF($D2520="","",IF($K2520&lt;&gt;"对外销售",0,ROUND(N($J2520)*IF($P2520="",N($O2520),N($P2520)),0)))</f>
        <v/>
      </c>
      <c r="R2520" s="26">
        <f>IF($D2520="","",IFERROR(VLOOKUP($D2520,库存台账!$A$5:$Y$1204,11,0),0))</f>
        <v/>
      </c>
      <c r="S2520" s="26">
        <f>IF($D2520="","",ROUND(N($J2520)*N($R2520),0))</f>
        <v/>
      </c>
      <c r="T2520" s="26">
        <f>IF($D2520="","",IF($K2520&lt;&gt;"对外销售","",ROUND($Q2520-$S2520,0)))</f>
        <v/>
      </c>
      <c r="U2520" s="17" t="n"/>
      <c r="V2520" s="17" t="n"/>
      <c r="W2520" s="24">
        <f>IF($D2520="","",IF($E2520="※编码不在物料档案里","※物料编码不在档案里",IF(N($J2520)&lt;=0,"※出库数量要大于 0",IF($K2520="","※没填去向类型",IF($L2520="","※没填去向矿区",IF(AND($C2520&lt;&gt;"",$C2520&lt;=结账锁),"※日期早于已结账截止日，不能再录",IF(AND($K2520="自用消耗",COUNTIF({"一矿区";"二矿区"},$L2520)=0),"※自用消耗的去向只能是一矿区或二矿区",IF(AND($K2520="对外销售",COUNTIF({"三矿区";"六矿区"},$L2520)=0),"※对外销售的去向只能是三矿区或六矿区",IF(AND($K2520="对外销售",ROUND($Q2520,0)=0),"※外销却没有售价，请填实际售价",IF(AND($K2520="对外销售",$T2520&lt;&gt;"",$T2520&lt;0),"※这一笔外销是亏的，请核对售价",IF(IFERROR(VLOOKUP($D2520,库存台账!$A$5:$Y$1204,24,0),0)&lt;-0.001,"※这个物料账面已经变成负数了，查一下是不是漏记入库","")))))))))))</f>
        <v/>
      </c>
    </row>
    <row r="2521">
      <c r="A2521" s="24">
        <f>IF($D2521="","",COUNTA($D$4:$D2521))</f>
        <v/>
      </c>
      <c r="B2521" s="17" t="n"/>
      <c r="C2521" s="30" t="n"/>
      <c r="D2521" s="17" t="n"/>
      <c r="E2521" s="24">
        <f>IF($D2521="","",IFERROR(VLOOKUP($D2521,物料档案!$A$4:$P$1203,3,0),"※编码不在物料档案里"))</f>
        <v/>
      </c>
      <c r="F2521" s="24">
        <f>IF($D2521="","",IFERROR(VLOOKUP($D2521,物料档案!$A$4:$P$1203,4,0),"※编码不在物料档案里"))</f>
        <v/>
      </c>
      <c r="G2521" s="24">
        <f>IF($D2521="","",IFERROR(VLOOKUP($D2521,物料档案!$A$4:$P$1203,5,0),"※编码不在物料档案里"))</f>
        <v/>
      </c>
      <c r="H2521" s="24">
        <f>IF($D2521="","",IFERROR(VLOOKUP($D2521,物料档案!$A$4:$P$1203,2,0),"※编码不在物料档案里"))</f>
        <v/>
      </c>
      <c r="I2521" s="24">
        <f>IF($D2521="","",IFERROR(VLOOKUP($D2521,物料档案!$A$4:$P$1203,6,0),"※编码不在物料档案里"))</f>
        <v/>
      </c>
      <c r="J2521" s="23" t="n"/>
      <c r="K2521" s="17" t="n"/>
      <c r="L2521" s="17" t="n"/>
      <c r="M2521" s="17" t="n"/>
      <c r="N2521" s="17" t="n"/>
      <c r="O2521" s="26">
        <f>IF($D2521="","",IFERROR(VLOOKUP($D2521,物料档案!$A$4:$P$1203,10,0),0))</f>
        <v/>
      </c>
      <c r="P2521" s="32" t="n"/>
      <c r="Q2521" s="26">
        <f>IF($D2521="","",IF($K2521&lt;&gt;"对外销售",0,ROUND(N($J2521)*IF($P2521="",N($O2521),N($P2521)),0)))</f>
        <v/>
      </c>
      <c r="R2521" s="26">
        <f>IF($D2521="","",IFERROR(VLOOKUP($D2521,库存台账!$A$5:$Y$1204,11,0),0))</f>
        <v/>
      </c>
      <c r="S2521" s="26">
        <f>IF($D2521="","",ROUND(N($J2521)*N($R2521),0))</f>
        <v/>
      </c>
      <c r="T2521" s="26">
        <f>IF($D2521="","",IF($K2521&lt;&gt;"对外销售","",ROUND($Q2521-$S2521,0)))</f>
        <v/>
      </c>
      <c r="U2521" s="17" t="n"/>
      <c r="V2521" s="17" t="n"/>
      <c r="W2521" s="24">
        <f>IF($D2521="","",IF($E2521="※编码不在物料档案里","※物料编码不在档案里",IF(N($J2521)&lt;=0,"※出库数量要大于 0",IF($K2521="","※没填去向类型",IF($L2521="","※没填去向矿区",IF(AND($C2521&lt;&gt;"",$C2521&lt;=结账锁),"※日期早于已结账截止日，不能再录",IF(AND($K2521="自用消耗",COUNTIF({"一矿区";"二矿区"},$L2521)=0),"※自用消耗的去向只能是一矿区或二矿区",IF(AND($K2521="对外销售",COUNTIF({"三矿区";"六矿区"},$L2521)=0),"※对外销售的去向只能是三矿区或六矿区",IF(AND($K2521="对外销售",ROUND($Q2521,0)=0),"※外销却没有售价，请填实际售价",IF(AND($K2521="对外销售",$T2521&lt;&gt;"",$T2521&lt;0),"※这一笔外销是亏的，请核对售价",IF(IFERROR(VLOOKUP($D2521,库存台账!$A$5:$Y$1204,24,0),0)&lt;-0.001,"※这个物料账面已经变成负数了，查一下是不是漏记入库","")))))))))))</f>
        <v/>
      </c>
    </row>
    <row r="2522">
      <c r="A2522" s="24">
        <f>IF($D2522="","",COUNTA($D$4:$D2522))</f>
        <v/>
      </c>
      <c r="B2522" s="17" t="n"/>
      <c r="C2522" s="30" t="n"/>
      <c r="D2522" s="17" t="n"/>
      <c r="E2522" s="24">
        <f>IF($D2522="","",IFERROR(VLOOKUP($D2522,物料档案!$A$4:$P$1203,3,0),"※编码不在物料档案里"))</f>
        <v/>
      </c>
      <c r="F2522" s="24">
        <f>IF($D2522="","",IFERROR(VLOOKUP($D2522,物料档案!$A$4:$P$1203,4,0),"※编码不在物料档案里"))</f>
        <v/>
      </c>
      <c r="G2522" s="24">
        <f>IF($D2522="","",IFERROR(VLOOKUP($D2522,物料档案!$A$4:$P$1203,5,0),"※编码不在物料档案里"))</f>
        <v/>
      </c>
      <c r="H2522" s="24">
        <f>IF($D2522="","",IFERROR(VLOOKUP($D2522,物料档案!$A$4:$P$1203,2,0),"※编码不在物料档案里"))</f>
        <v/>
      </c>
      <c r="I2522" s="24">
        <f>IF($D2522="","",IFERROR(VLOOKUP($D2522,物料档案!$A$4:$P$1203,6,0),"※编码不在物料档案里"))</f>
        <v/>
      </c>
      <c r="J2522" s="23" t="n"/>
      <c r="K2522" s="17" t="n"/>
      <c r="L2522" s="17" t="n"/>
      <c r="M2522" s="17" t="n"/>
      <c r="N2522" s="17" t="n"/>
      <c r="O2522" s="26">
        <f>IF($D2522="","",IFERROR(VLOOKUP($D2522,物料档案!$A$4:$P$1203,10,0),0))</f>
        <v/>
      </c>
      <c r="P2522" s="32" t="n"/>
      <c r="Q2522" s="26">
        <f>IF($D2522="","",IF($K2522&lt;&gt;"对外销售",0,ROUND(N($J2522)*IF($P2522="",N($O2522),N($P2522)),0)))</f>
        <v/>
      </c>
      <c r="R2522" s="26">
        <f>IF($D2522="","",IFERROR(VLOOKUP($D2522,库存台账!$A$5:$Y$1204,11,0),0))</f>
        <v/>
      </c>
      <c r="S2522" s="26">
        <f>IF($D2522="","",ROUND(N($J2522)*N($R2522),0))</f>
        <v/>
      </c>
      <c r="T2522" s="26">
        <f>IF($D2522="","",IF($K2522&lt;&gt;"对外销售","",ROUND($Q2522-$S2522,0)))</f>
        <v/>
      </c>
      <c r="U2522" s="17" t="n"/>
      <c r="V2522" s="17" t="n"/>
      <c r="W2522" s="24">
        <f>IF($D2522="","",IF($E2522="※编码不在物料档案里","※物料编码不在档案里",IF(N($J2522)&lt;=0,"※出库数量要大于 0",IF($K2522="","※没填去向类型",IF($L2522="","※没填去向矿区",IF(AND($C2522&lt;&gt;"",$C2522&lt;=结账锁),"※日期早于已结账截止日，不能再录",IF(AND($K2522="自用消耗",COUNTIF({"一矿区";"二矿区"},$L2522)=0),"※自用消耗的去向只能是一矿区或二矿区",IF(AND($K2522="对外销售",COUNTIF({"三矿区";"六矿区"},$L2522)=0),"※对外销售的去向只能是三矿区或六矿区",IF(AND($K2522="对外销售",ROUND($Q2522,0)=0),"※外销却没有售价，请填实际售价",IF(AND($K2522="对外销售",$T2522&lt;&gt;"",$T2522&lt;0),"※这一笔外销是亏的，请核对售价",IF(IFERROR(VLOOKUP($D2522,库存台账!$A$5:$Y$1204,24,0),0)&lt;-0.001,"※这个物料账面已经变成负数了，查一下是不是漏记入库","")))))))))))</f>
        <v/>
      </c>
    </row>
    <row r="2523">
      <c r="A2523" s="24">
        <f>IF($D2523="","",COUNTA($D$4:$D2523))</f>
        <v/>
      </c>
      <c r="B2523" s="17" t="n"/>
      <c r="C2523" s="30" t="n"/>
      <c r="D2523" s="17" t="n"/>
      <c r="E2523" s="24">
        <f>IF($D2523="","",IFERROR(VLOOKUP($D2523,物料档案!$A$4:$P$1203,3,0),"※编码不在物料档案里"))</f>
        <v/>
      </c>
      <c r="F2523" s="24">
        <f>IF($D2523="","",IFERROR(VLOOKUP($D2523,物料档案!$A$4:$P$1203,4,0),"※编码不在物料档案里"))</f>
        <v/>
      </c>
      <c r="G2523" s="24">
        <f>IF($D2523="","",IFERROR(VLOOKUP($D2523,物料档案!$A$4:$P$1203,5,0),"※编码不在物料档案里"))</f>
        <v/>
      </c>
      <c r="H2523" s="24">
        <f>IF($D2523="","",IFERROR(VLOOKUP($D2523,物料档案!$A$4:$P$1203,2,0),"※编码不在物料档案里"))</f>
        <v/>
      </c>
      <c r="I2523" s="24">
        <f>IF($D2523="","",IFERROR(VLOOKUP($D2523,物料档案!$A$4:$P$1203,6,0),"※编码不在物料档案里"))</f>
        <v/>
      </c>
      <c r="J2523" s="23" t="n"/>
      <c r="K2523" s="17" t="n"/>
      <c r="L2523" s="17" t="n"/>
      <c r="M2523" s="17" t="n"/>
      <c r="N2523" s="17" t="n"/>
      <c r="O2523" s="26">
        <f>IF($D2523="","",IFERROR(VLOOKUP($D2523,物料档案!$A$4:$P$1203,10,0),0))</f>
        <v/>
      </c>
      <c r="P2523" s="32" t="n"/>
      <c r="Q2523" s="26">
        <f>IF($D2523="","",IF($K2523&lt;&gt;"对外销售",0,ROUND(N($J2523)*IF($P2523="",N($O2523),N($P2523)),0)))</f>
        <v/>
      </c>
      <c r="R2523" s="26">
        <f>IF($D2523="","",IFERROR(VLOOKUP($D2523,库存台账!$A$5:$Y$1204,11,0),0))</f>
        <v/>
      </c>
      <c r="S2523" s="26">
        <f>IF($D2523="","",ROUND(N($J2523)*N($R2523),0))</f>
        <v/>
      </c>
      <c r="T2523" s="26">
        <f>IF($D2523="","",IF($K2523&lt;&gt;"对外销售","",ROUND($Q2523-$S2523,0)))</f>
        <v/>
      </c>
      <c r="U2523" s="17" t="n"/>
      <c r="V2523" s="17" t="n"/>
      <c r="W2523" s="24">
        <f>IF($D2523="","",IF($E2523="※编码不在物料档案里","※物料编码不在档案里",IF(N($J2523)&lt;=0,"※出库数量要大于 0",IF($K2523="","※没填去向类型",IF($L2523="","※没填去向矿区",IF(AND($C2523&lt;&gt;"",$C2523&lt;=结账锁),"※日期早于已结账截止日，不能再录",IF(AND($K2523="自用消耗",COUNTIF({"一矿区";"二矿区"},$L2523)=0),"※自用消耗的去向只能是一矿区或二矿区",IF(AND($K2523="对外销售",COUNTIF({"三矿区";"六矿区"},$L2523)=0),"※对外销售的去向只能是三矿区或六矿区",IF(AND($K2523="对外销售",ROUND($Q2523,0)=0),"※外销却没有售价，请填实际售价",IF(AND($K2523="对外销售",$T2523&lt;&gt;"",$T2523&lt;0),"※这一笔外销是亏的，请核对售价",IF(IFERROR(VLOOKUP($D2523,库存台账!$A$5:$Y$1204,24,0),0)&lt;-0.001,"※这个物料账面已经变成负数了，查一下是不是漏记入库","")))))))))))</f>
        <v/>
      </c>
    </row>
    <row r="2524">
      <c r="A2524" s="24">
        <f>IF($D2524="","",COUNTA($D$4:$D2524))</f>
        <v/>
      </c>
      <c r="B2524" s="17" t="n"/>
      <c r="C2524" s="30" t="n"/>
      <c r="D2524" s="17" t="n"/>
      <c r="E2524" s="24">
        <f>IF($D2524="","",IFERROR(VLOOKUP($D2524,物料档案!$A$4:$P$1203,3,0),"※编码不在物料档案里"))</f>
        <v/>
      </c>
      <c r="F2524" s="24">
        <f>IF($D2524="","",IFERROR(VLOOKUP($D2524,物料档案!$A$4:$P$1203,4,0),"※编码不在物料档案里"))</f>
        <v/>
      </c>
      <c r="G2524" s="24">
        <f>IF($D2524="","",IFERROR(VLOOKUP($D2524,物料档案!$A$4:$P$1203,5,0),"※编码不在物料档案里"))</f>
        <v/>
      </c>
      <c r="H2524" s="24">
        <f>IF($D2524="","",IFERROR(VLOOKUP($D2524,物料档案!$A$4:$P$1203,2,0),"※编码不在物料档案里"))</f>
        <v/>
      </c>
      <c r="I2524" s="24">
        <f>IF($D2524="","",IFERROR(VLOOKUP($D2524,物料档案!$A$4:$P$1203,6,0),"※编码不在物料档案里"))</f>
        <v/>
      </c>
      <c r="J2524" s="23" t="n"/>
      <c r="K2524" s="17" t="n"/>
      <c r="L2524" s="17" t="n"/>
      <c r="M2524" s="17" t="n"/>
      <c r="N2524" s="17" t="n"/>
      <c r="O2524" s="26">
        <f>IF($D2524="","",IFERROR(VLOOKUP($D2524,物料档案!$A$4:$P$1203,10,0),0))</f>
        <v/>
      </c>
      <c r="P2524" s="32" t="n"/>
      <c r="Q2524" s="26">
        <f>IF($D2524="","",IF($K2524&lt;&gt;"对外销售",0,ROUND(N($J2524)*IF($P2524="",N($O2524),N($P2524)),0)))</f>
        <v/>
      </c>
      <c r="R2524" s="26">
        <f>IF($D2524="","",IFERROR(VLOOKUP($D2524,库存台账!$A$5:$Y$1204,11,0),0))</f>
        <v/>
      </c>
      <c r="S2524" s="26">
        <f>IF($D2524="","",ROUND(N($J2524)*N($R2524),0))</f>
        <v/>
      </c>
      <c r="T2524" s="26">
        <f>IF($D2524="","",IF($K2524&lt;&gt;"对外销售","",ROUND($Q2524-$S2524,0)))</f>
        <v/>
      </c>
      <c r="U2524" s="17" t="n"/>
      <c r="V2524" s="17" t="n"/>
      <c r="W2524" s="24">
        <f>IF($D2524="","",IF($E2524="※编码不在物料档案里","※物料编码不在档案里",IF(N($J2524)&lt;=0,"※出库数量要大于 0",IF($K2524="","※没填去向类型",IF($L2524="","※没填去向矿区",IF(AND($C2524&lt;&gt;"",$C2524&lt;=结账锁),"※日期早于已结账截止日，不能再录",IF(AND($K2524="自用消耗",COUNTIF({"一矿区";"二矿区"},$L2524)=0),"※自用消耗的去向只能是一矿区或二矿区",IF(AND($K2524="对外销售",COUNTIF({"三矿区";"六矿区"},$L2524)=0),"※对外销售的去向只能是三矿区或六矿区",IF(AND($K2524="对外销售",ROUND($Q2524,0)=0),"※外销却没有售价，请填实际售价",IF(AND($K2524="对外销售",$T2524&lt;&gt;"",$T2524&lt;0),"※这一笔外销是亏的，请核对售价",IF(IFERROR(VLOOKUP($D2524,库存台账!$A$5:$Y$1204,24,0),0)&lt;-0.001,"※这个物料账面已经变成负数了，查一下是不是漏记入库","")))))))))))</f>
        <v/>
      </c>
    </row>
    <row r="2525">
      <c r="A2525" s="24">
        <f>IF($D2525="","",COUNTA($D$4:$D2525))</f>
        <v/>
      </c>
      <c r="B2525" s="17" t="n"/>
      <c r="C2525" s="30" t="n"/>
      <c r="D2525" s="17" t="n"/>
      <c r="E2525" s="24">
        <f>IF($D2525="","",IFERROR(VLOOKUP($D2525,物料档案!$A$4:$P$1203,3,0),"※编码不在物料档案里"))</f>
        <v/>
      </c>
      <c r="F2525" s="24">
        <f>IF($D2525="","",IFERROR(VLOOKUP($D2525,物料档案!$A$4:$P$1203,4,0),"※编码不在物料档案里"))</f>
        <v/>
      </c>
      <c r="G2525" s="24">
        <f>IF($D2525="","",IFERROR(VLOOKUP($D2525,物料档案!$A$4:$P$1203,5,0),"※编码不在物料档案里"))</f>
        <v/>
      </c>
      <c r="H2525" s="24">
        <f>IF($D2525="","",IFERROR(VLOOKUP($D2525,物料档案!$A$4:$P$1203,2,0),"※编码不在物料档案里"))</f>
        <v/>
      </c>
      <c r="I2525" s="24">
        <f>IF($D2525="","",IFERROR(VLOOKUP($D2525,物料档案!$A$4:$P$1203,6,0),"※编码不在物料档案里"))</f>
        <v/>
      </c>
      <c r="J2525" s="23" t="n"/>
      <c r="K2525" s="17" t="n"/>
      <c r="L2525" s="17" t="n"/>
      <c r="M2525" s="17" t="n"/>
      <c r="N2525" s="17" t="n"/>
      <c r="O2525" s="26">
        <f>IF($D2525="","",IFERROR(VLOOKUP($D2525,物料档案!$A$4:$P$1203,10,0),0))</f>
        <v/>
      </c>
      <c r="P2525" s="32" t="n"/>
      <c r="Q2525" s="26">
        <f>IF($D2525="","",IF($K2525&lt;&gt;"对外销售",0,ROUND(N($J2525)*IF($P2525="",N($O2525),N($P2525)),0)))</f>
        <v/>
      </c>
      <c r="R2525" s="26">
        <f>IF($D2525="","",IFERROR(VLOOKUP($D2525,库存台账!$A$5:$Y$1204,11,0),0))</f>
        <v/>
      </c>
      <c r="S2525" s="26">
        <f>IF($D2525="","",ROUND(N($J2525)*N($R2525),0))</f>
        <v/>
      </c>
      <c r="T2525" s="26">
        <f>IF($D2525="","",IF($K2525&lt;&gt;"对外销售","",ROUND($Q2525-$S2525,0)))</f>
        <v/>
      </c>
      <c r="U2525" s="17" t="n"/>
      <c r="V2525" s="17" t="n"/>
      <c r="W2525" s="24">
        <f>IF($D2525="","",IF($E2525="※编码不在物料档案里","※物料编码不在档案里",IF(N($J2525)&lt;=0,"※出库数量要大于 0",IF($K2525="","※没填去向类型",IF($L2525="","※没填去向矿区",IF(AND($C2525&lt;&gt;"",$C2525&lt;=结账锁),"※日期早于已结账截止日，不能再录",IF(AND($K2525="自用消耗",COUNTIF({"一矿区";"二矿区"},$L2525)=0),"※自用消耗的去向只能是一矿区或二矿区",IF(AND($K2525="对外销售",COUNTIF({"三矿区";"六矿区"},$L2525)=0),"※对外销售的去向只能是三矿区或六矿区",IF(AND($K2525="对外销售",ROUND($Q2525,0)=0),"※外销却没有售价，请填实际售价",IF(AND($K2525="对外销售",$T2525&lt;&gt;"",$T2525&lt;0),"※这一笔外销是亏的，请核对售价",IF(IFERROR(VLOOKUP($D2525,库存台账!$A$5:$Y$1204,24,0),0)&lt;-0.001,"※这个物料账面已经变成负数了，查一下是不是漏记入库","")))))))))))</f>
        <v/>
      </c>
    </row>
    <row r="2526">
      <c r="A2526" s="24">
        <f>IF($D2526="","",COUNTA($D$4:$D2526))</f>
        <v/>
      </c>
      <c r="B2526" s="17" t="n"/>
      <c r="C2526" s="30" t="n"/>
      <c r="D2526" s="17" t="n"/>
      <c r="E2526" s="24">
        <f>IF($D2526="","",IFERROR(VLOOKUP($D2526,物料档案!$A$4:$P$1203,3,0),"※编码不在物料档案里"))</f>
        <v/>
      </c>
      <c r="F2526" s="24">
        <f>IF($D2526="","",IFERROR(VLOOKUP($D2526,物料档案!$A$4:$P$1203,4,0),"※编码不在物料档案里"))</f>
        <v/>
      </c>
      <c r="G2526" s="24">
        <f>IF($D2526="","",IFERROR(VLOOKUP($D2526,物料档案!$A$4:$P$1203,5,0),"※编码不在物料档案里"))</f>
        <v/>
      </c>
      <c r="H2526" s="24">
        <f>IF($D2526="","",IFERROR(VLOOKUP($D2526,物料档案!$A$4:$P$1203,2,0),"※编码不在物料档案里"))</f>
        <v/>
      </c>
      <c r="I2526" s="24">
        <f>IF($D2526="","",IFERROR(VLOOKUP($D2526,物料档案!$A$4:$P$1203,6,0),"※编码不在物料档案里"))</f>
        <v/>
      </c>
      <c r="J2526" s="23" t="n"/>
      <c r="K2526" s="17" t="n"/>
      <c r="L2526" s="17" t="n"/>
      <c r="M2526" s="17" t="n"/>
      <c r="N2526" s="17" t="n"/>
      <c r="O2526" s="26">
        <f>IF($D2526="","",IFERROR(VLOOKUP($D2526,物料档案!$A$4:$P$1203,10,0),0))</f>
        <v/>
      </c>
      <c r="P2526" s="32" t="n"/>
      <c r="Q2526" s="26">
        <f>IF($D2526="","",IF($K2526&lt;&gt;"对外销售",0,ROUND(N($J2526)*IF($P2526="",N($O2526),N($P2526)),0)))</f>
        <v/>
      </c>
      <c r="R2526" s="26">
        <f>IF($D2526="","",IFERROR(VLOOKUP($D2526,库存台账!$A$5:$Y$1204,11,0),0))</f>
        <v/>
      </c>
      <c r="S2526" s="26">
        <f>IF($D2526="","",ROUND(N($J2526)*N($R2526),0))</f>
        <v/>
      </c>
      <c r="T2526" s="26">
        <f>IF($D2526="","",IF($K2526&lt;&gt;"对外销售","",ROUND($Q2526-$S2526,0)))</f>
        <v/>
      </c>
      <c r="U2526" s="17" t="n"/>
      <c r="V2526" s="17" t="n"/>
      <c r="W2526" s="24">
        <f>IF($D2526="","",IF($E2526="※编码不在物料档案里","※物料编码不在档案里",IF(N($J2526)&lt;=0,"※出库数量要大于 0",IF($K2526="","※没填去向类型",IF($L2526="","※没填去向矿区",IF(AND($C2526&lt;&gt;"",$C2526&lt;=结账锁),"※日期早于已结账截止日，不能再录",IF(AND($K2526="自用消耗",COUNTIF({"一矿区";"二矿区"},$L2526)=0),"※自用消耗的去向只能是一矿区或二矿区",IF(AND($K2526="对外销售",COUNTIF({"三矿区";"六矿区"},$L2526)=0),"※对外销售的去向只能是三矿区或六矿区",IF(AND($K2526="对外销售",ROUND($Q2526,0)=0),"※外销却没有售价，请填实际售价",IF(AND($K2526="对外销售",$T2526&lt;&gt;"",$T2526&lt;0),"※这一笔外销是亏的，请核对售价",IF(IFERROR(VLOOKUP($D2526,库存台账!$A$5:$Y$1204,24,0),0)&lt;-0.001,"※这个物料账面已经变成负数了，查一下是不是漏记入库","")))))))))))</f>
        <v/>
      </c>
    </row>
    <row r="2527">
      <c r="A2527" s="24">
        <f>IF($D2527="","",COUNTA($D$4:$D2527))</f>
        <v/>
      </c>
      <c r="B2527" s="17" t="n"/>
      <c r="C2527" s="30" t="n"/>
      <c r="D2527" s="17" t="n"/>
      <c r="E2527" s="24">
        <f>IF($D2527="","",IFERROR(VLOOKUP($D2527,物料档案!$A$4:$P$1203,3,0),"※编码不在物料档案里"))</f>
        <v/>
      </c>
      <c r="F2527" s="24">
        <f>IF($D2527="","",IFERROR(VLOOKUP($D2527,物料档案!$A$4:$P$1203,4,0),"※编码不在物料档案里"))</f>
        <v/>
      </c>
      <c r="G2527" s="24">
        <f>IF($D2527="","",IFERROR(VLOOKUP($D2527,物料档案!$A$4:$P$1203,5,0),"※编码不在物料档案里"))</f>
        <v/>
      </c>
      <c r="H2527" s="24">
        <f>IF($D2527="","",IFERROR(VLOOKUP($D2527,物料档案!$A$4:$P$1203,2,0),"※编码不在物料档案里"))</f>
        <v/>
      </c>
      <c r="I2527" s="24">
        <f>IF($D2527="","",IFERROR(VLOOKUP($D2527,物料档案!$A$4:$P$1203,6,0),"※编码不在物料档案里"))</f>
        <v/>
      </c>
      <c r="J2527" s="23" t="n"/>
      <c r="K2527" s="17" t="n"/>
      <c r="L2527" s="17" t="n"/>
      <c r="M2527" s="17" t="n"/>
      <c r="N2527" s="17" t="n"/>
      <c r="O2527" s="26">
        <f>IF($D2527="","",IFERROR(VLOOKUP($D2527,物料档案!$A$4:$P$1203,10,0),0))</f>
        <v/>
      </c>
      <c r="P2527" s="32" t="n"/>
      <c r="Q2527" s="26">
        <f>IF($D2527="","",IF($K2527&lt;&gt;"对外销售",0,ROUND(N($J2527)*IF($P2527="",N($O2527),N($P2527)),0)))</f>
        <v/>
      </c>
      <c r="R2527" s="26">
        <f>IF($D2527="","",IFERROR(VLOOKUP($D2527,库存台账!$A$5:$Y$1204,11,0),0))</f>
        <v/>
      </c>
      <c r="S2527" s="26">
        <f>IF($D2527="","",ROUND(N($J2527)*N($R2527),0))</f>
        <v/>
      </c>
      <c r="T2527" s="26">
        <f>IF($D2527="","",IF($K2527&lt;&gt;"对外销售","",ROUND($Q2527-$S2527,0)))</f>
        <v/>
      </c>
      <c r="U2527" s="17" t="n"/>
      <c r="V2527" s="17" t="n"/>
      <c r="W2527" s="24">
        <f>IF($D2527="","",IF($E2527="※编码不在物料档案里","※物料编码不在档案里",IF(N($J2527)&lt;=0,"※出库数量要大于 0",IF($K2527="","※没填去向类型",IF($L2527="","※没填去向矿区",IF(AND($C2527&lt;&gt;"",$C2527&lt;=结账锁),"※日期早于已结账截止日，不能再录",IF(AND($K2527="自用消耗",COUNTIF({"一矿区";"二矿区"},$L2527)=0),"※自用消耗的去向只能是一矿区或二矿区",IF(AND($K2527="对外销售",COUNTIF({"三矿区";"六矿区"},$L2527)=0),"※对外销售的去向只能是三矿区或六矿区",IF(AND($K2527="对外销售",ROUND($Q2527,0)=0),"※外销却没有售价，请填实际售价",IF(AND($K2527="对外销售",$T2527&lt;&gt;"",$T2527&lt;0),"※这一笔外销是亏的，请核对售价",IF(IFERROR(VLOOKUP($D2527,库存台账!$A$5:$Y$1204,24,0),0)&lt;-0.001,"※这个物料账面已经变成负数了，查一下是不是漏记入库","")))))))))))</f>
        <v/>
      </c>
    </row>
    <row r="2528">
      <c r="A2528" s="24">
        <f>IF($D2528="","",COUNTA($D$4:$D2528))</f>
        <v/>
      </c>
      <c r="B2528" s="17" t="n"/>
      <c r="C2528" s="30" t="n"/>
      <c r="D2528" s="17" t="n"/>
      <c r="E2528" s="24">
        <f>IF($D2528="","",IFERROR(VLOOKUP($D2528,物料档案!$A$4:$P$1203,3,0),"※编码不在物料档案里"))</f>
        <v/>
      </c>
      <c r="F2528" s="24">
        <f>IF($D2528="","",IFERROR(VLOOKUP($D2528,物料档案!$A$4:$P$1203,4,0),"※编码不在物料档案里"))</f>
        <v/>
      </c>
      <c r="G2528" s="24">
        <f>IF($D2528="","",IFERROR(VLOOKUP($D2528,物料档案!$A$4:$P$1203,5,0),"※编码不在物料档案里"))</f>
        <v/>
      </c>
      <c r="H2528" s="24">
        <f>IF($D2528="","",IFERROR(VLOOKUP($D2528,物料档案!$A$4:$P$1203,2,0),"※编码不在物料档案里"))</f>
        <v/>
      </c>
      <c r="I2528" s="24">
        <f>IF($D2528="","",IFERROR(VLOOKUP($D2528,物料档案!$A$4:$P$1203,6,0),"※编码不在物料档案里"))</f>
        <v/>
      </c>
      <c r="J2528" s="23" t="n"/>
      <c r="K2528" s="17" t="n"/>
      <c r="L2528" s="17" t="n"/>
      <c r="M2528" s="17" t="n"/>
      <c r="N2528" s="17" t="n"/>
      <c r="O2528" s="26">
        <f>IF($D2528="","",IFERROR(VLOOKUP($D2528,物料档案!$A$4:$P$1203,10,0),0))</f>
        <v/>
      </c>
      <c r="P2528" s="32" t="n"/>
      <c r="Q2528" s="26">
        <f>IF($D2528="","",IF($K2528&lt;&gt;"对外销售",0,ROUND(N($J2528)*IF($P2528="",N($O2528),N($P2528)),0)))</f>
        <v/>
      </c>
      <c r="R2528" s="26">
        <f>IF($D2528="","",IFERROR(VLOOKUP($D2528,库存台账!$A$5:$Y$1204,11,0),0))</f>
        <v/>
      </c>
      <c r="S2528" s="26">
        <f>IF($D2528="","",ROUND(N($J2528)*N($R2528),0))</f>
        <v/>
      </c>
      <c r="T2528" s="26">
        <f>IF($D2528="","",IF($K2528&lt;&gt;"对外销售","",ROUND($Q2528-$S2528,0)))</f>
        <v/>
      </c>
      <c r="U2528" s="17" t="n"/>
      <c r="V2528" s="17" t="n"/>
      <c r="W2528" s="24">
        <f>IF($D2528="","",IF($E2528="※编码不在物料档案里","※物料编码不在档案里",IF(N($J2528)&lt;=0,"※出库数量要大于 0",IF($K2528="","※没填去向类型",IF($L2528="","※没填去向矿区",IF(AND($C2528&lt;&gt;"",$C2528&lt;=结账锁),"※日期早于已结账截止日，不能再录",IF(AND($K2528="自用消耗",COUNTIF({"一矿区";"二矿区"},$L2528)=0),"※自用消耗的去向只能是一矿区或二矿区",IF(AND($K2528="对外销售",COUNTIF({"三矿区";"六矿区"},$L2528)=0),"※对外销售的去向只能是三矿区或六矿区",IF(AND($K2528="对外销售",ROUND($Q2528,0)=0),"※外销却没有售价，请填实际售价",IF(AND($K2528="对外销售",$T2528&lt;&gt;"",$T2528&lt;0),"※这一笔外销是亏的，请核对售价",IF(IFERROR(VLOOKUP($D2528,库存台账!$A$5:$Y$1204,24,0),0)&lt;-0.001,"※这个物料账面已经变成负数了，查一下是不是漏记入库","")))))))))))</f>
        <v/>
      </c>
    </row>
    <row r="2529">
      <c r="A2529" s="24">
        <f>IF($D2529="","",COUNTA($D$4:$D2529))</f>
        <v/>
      </c>
      <c r="B2529" s="17" t="n"/>
      <c r="C2529" s="30" t="n"/>
      <c r="D2529" s="17" t="n"/>
      <c r="E2529" s="24">
        <f>IF($D2529="","",IFERROR(VLOOKUP($D2529,物料档案!$A$4:$P$1203,3,0),"※编码不在物料档案里"))</f>
        <v/>
      </c>
      <c r="F2529" s="24">
        <f>IF($D2529="","",IFERROR(VLOOKUP($D2529,物料档案!$A$4:$P$1203,4,0),"※编码不在物料档案里"))</f>
        <v/>
      </c>
      <c r="G2529" s="24">
        <f>IF($D2529="","",IFERROR(VLOOKUP($D2529,物料档案!$A$4:$P$1203,5,0),"※编码不在物料档案里"))</f>
        <v/>
      </c>
      <c r="H2529" s="24">
        <f>IF($D2529="","",IFERROR(VLOOKUP($D2529,物料档案!$A$4:$P$1203,2,0),"※编码不在物料档案里"))</f>
        <v/>
      </c>
      <c r="I2529" s="24">
        <f>IF($D2529="","",IFERROR(VLOOKUP($D2529,物料档案!$A$4:$P$1203,6,0),"※编码不在物料档案里"))</f>
        <v/>
      </c>
      <c r="J2529" s="23" t="n"/>
      <c r="K2529" s="17" t="n"/>
      <c r="L2529" s="17" t="n"/>
      <c r="M2529" s="17" t="n"/>
      <c r="N2529" s="17" t="n"/>
      <c r="O2529" s="26">
        <f>IF($D2529="","",IFERROR(VLOOKUP($D2529,物料档案!$A$4:$P$1203,10,0),0))</f>
        <v/>
      </c>
      <c r="P2529" s="32" t="n"/>
      <c r="Q2529" s="26">
        <f>IF($D2529="","",IF($K2529&lt;&gt;"对外销售",0,ROUND(N($J2529)*IF($P2529="",N($O2529),N($P2529)),0)))</f>
        <v/>
      </c>
      <c r="R2529" s="26">
        <f>IF($D2529="","",IFERROR(VLOOKUP($D2529,库存台账!$A$5:$Y$1204,11,0),0))</f>
        <v/>
      </c>
      <c r="S2529" s="26">
        <f>IF($D2529="","",ROUND(N($J2529)*N($R2529),0))</f>
        <v/>
      </c>
      <c r="T2529" s="26">
        <f>IF($D2529="","",IF($K2529&lt;&gt;"对外销售","",ROUND($Q2529-$S2529,0)))</f>
        <v/>
      </c>
      <c r="U2529" s="17" t="n"/>
      <c r="V2529" s="17" t="n"/>
      <c r="W2529" s="24">
        <f>IF($D2529="","",IF($E2529="※编码不在物料档案里","※物料编码不在档案里",IF(N($J2529)&lt;=0,"※出库数量要大于 0",IF($K2529="","※没填去向类型",IF($L2529="","※没填去向矿区",IF(AND($C2529&lt;&gt;"",$C2529&lt;=结账锁),"※日期早于已结账截止日，不能再录",IF(AND($K2529="自用消耗",COUNTIF({"一矿区";"二矿区"},$L2529)=0),"※自用消耗的去向只能是一矿区或二矿区",IF(AND($K2529="对外销售",COUNTIF({"三矿区";"六矿区"},$L2529)=0),"※对外销售的去向只能是三矿区或六矿区",IF(AND($K2529="对外销售",ROUND($Q2529,0)=0),"※外销却没有售价，请填实际售价",IF(AND($K2529="对外销售",$T2529&lt;&gt;"",$T2529&lt;0),"※这一笔外销是亏的，请核对售价",IF(IFERROR(VLOOKUP($D2529,库存台账!$A$5:$Y$1204,24,0),0)&lt;-0.001,"※这个物料账面已经变成负数了，查一下是不是漏记入库","")))))))))))</f>
        <v/>
      </c>
    </row>
    <row r="2530">
      <c r="A2530" s="24">
        <f>IF($D2530="","",COUNTA($D$4:$D2530))</f>
        <v/>
      </c>
      <c r="B2530" s="17" t="n"/>
      <c r="C2530" s="30" t="n"/>
      <c r="D2530" s="17" t="n"/>
      <c r="E2530" s="24">
        <f>IF($D2530="","",IFERROR(VLOOKUP($D2530,物料档案!$A$4:$P$1203,3,0),"※编码不在物料档案里"))</f>
        <v/>
      </c>
      <c r="F2530" s="24">
        <f>IF($D2530="","",IFERROR(VLOOKUP($D2530,物料档案!$A$4:$P$1203,4,0),"※编码不在物料档案里"))</f>
        <v/>
      </c>
      <c r="G2530" s="24">
        <f>IF($D2530="","",IFERROR(VLOOKUP($D2530,物料档案!$A$4:$P$1203,5,0),"※编码不在物料档案里"))</f>
        <v/>
      </c>
      <c r="H2530" s="24">
        <f>IF($D2530="","",IFERROR(VLOOKUP($D2530,物料档案!$A$4:$P$1203,2,0),"※编码不在物料档案里"))</f>
        <v/>
      </c>
      <c r="I2530" s="24">
        <f>IF($D2530="","",IFERROR(VLOOKUP($D2530,物料档案!$A$4:$P$1203,6,0),"※编码不在物料档案里"))</f>
        <v/>
      </c>
      <c r="J2530" s="23" t="n"/>
      <c r="K2530" s="17" t="n"/>
      <c r="L2530" s="17" t="n"/>
      <c r="M2530" s="17" t="n"/>
      <c r="N2530" s="17" t="n"/>
      <c r="O2530" s="26">
        <f>IF($D2530="","",IFERROR(VLOOKUP($D2530,物料档案!$A$4:$P$1203,10,0),0))</f>
        <v/>
      </c>
      <c r="P2530" s="32" t="n"/>
      <c r="Q2530" s="26">
        <f>IF($D2530="","",IF($K2530&lt;&gt;"对外销售",0,ROUND(N($J2530)*IF($P2530="",N($O2530),N($P2530)),0)))</f>
        <v/>
      </c>
      <c r="R2530" s="26">
        <f>IF($D2530="","",IFERROR(VLOOKUP($D2530,库存台账!$A$5:$Y$1204,11,0),0))</f>
        <v/>
      </c>
      <c r="S2530" s="26">
        <f>IF($D2530="","",ROUND(N($J2530)*N($R2530),0))</f>
        <v/>
      </c>
      <c r="T2530" s="26">
        <f>IF($D2530="","",IF($K2530&lt;&gt;"对外销售","",ROUND($Q2530-$S2530,0)))</f>
        <v/>
      </c>
      <c r="U2530" s="17" t="n"/>
      <c r="V2530" s="17" t="n"/>
      <c r="W2530" s="24">
        <f>IF($D2530="","",IF($E2530="※编码不在物料档案里","※物料编码不在档案里",IF(N($J2530)&lt;=0,"※出库数量要大于 0",IF($K2530="","※没填去向类型",IF($L2530="","※没填去向矿区",IF(AND($C2530&lt;&gt;"",$C2530&lt;=结账锁),"※日期早于已结账截止日，不能再录",IF(AND($K2530="自用消耗",COUNTIF({"一矿区";"二矿区"},$L2530)=0),"※自用消耗的去向只能是一矿区或二矿区",IF(AND($K2530="对外销售",COUNTIF({"三矿区";"六矿区"},$L2530)=0),"※对外销售的去向只能是三矿区或六矿区",IF(AND($K2530="对外销售",ROUND($Q2530,0)=0),"※外销却没有售价，请填实际售价",IF(AND($K2530="对外销售",$T2530&lt;&gt;"",$T2530&lt;0),"※这一笔外销是亏的，请核对售价",IF(IFERROR(VLOOKUP($D2530,库存台账!$A$5:$Y$1204,24,0),0)&lt;-0.001,"※这个物料账面已经变成负数了，查一下是不是漏记入库","")))))))))))</f>
        <v/>
      </c>
    </row>
    <row r="2531">
      <c r="A2531" s="24">
        <f>IF($D2531="","",COUNTA($D$4:$D2531))</f>
        <v/>
      </c>
      <c r="B2531" s="17" t="n"/>
      <c r="C2531" s="30" t="n"/>
      <c r="D2531" s="17" t="n"/>
      <c r="E2531" s="24">
        <f>IF($D2531="","",IFERROR(VLOOKUP($D2531,物料档案!$A$4:$P$1203,3,0),"※编码不在物料档案里"))</f>
        <v/>
      </c>
      <c r="F2531" s="24">
        <f>IF($D2531="","",IFERROR(VLOOKUP($D2531,物料档案!$A$4:$P$1203,4,0),"※编码不在物料档案里"))</f>
        <v/>
      </c>
      <c r="G2531" s="24">
        <f>IF($D2531="","",IFERROR(VLOOKUP($D2531,物料档案!$A$4:$P$1203,5,0),"※编码不在物料档案里"))</f>
        <v/>
      </c>
      <c r="H2531" s="24">
        <f>IF($D2531="","",IFERROR(VLOOKUP($D2531,物料档案!$A$4:$P$1203,2,0),"※编码不在物料档案里"))</f>
        <v/>
      </c>
      <c r="I2531" s="24">
        <f>IF($D2531="","",IFERROR(VLOOKUP($D2531,物料档案!$A$4:$P$1203,6,0),"※编码不在物料档案里"))</f>
        <v/>
      </c>
      <c r="J2531" s="23" t="n"/>
      <c r="K2531" s="17" t="n"/>
      <c r="L2531" s="17" t="n"/>
      <c r="M2531" s="17" t="n"/>
      <c r="N2531" s="17" t="n"/>
      <c r="O2531" s="26">
        <f>IF($D2531="","",IFERROR(VLOOKUP($D2531,物料档案!$A$4:$P$1203,10,0),0))</f>
        <v/>
      </c>
      <c r="P2531" s="32" t="n"/>
      <c r="Q2531" s="26">
        <f>IF($D2531="","",IF($K2531&lt;&gt;"对外销售",0,ROUND(N($J2531)*IF($P2531="",N($O2531),N($P2531)),0)))</f>
        <v/>
      </c>
      <c r="R2531" s="26">
        <f>IF($D2531="","",IFERROR(VLOOKUP($D2531,库存台账!$A$5:$Y$1204,11,0),0))</f>
        <v/>
      </c>
      <c r="S2531" s="26">
        <f>IF($D2531="","",ROUND(N($J2531)*N($R2531),0))</f>
        <v/>
      </c>
      <c r="T2531" s="26">
        <f>IF($D2531="","",IF($K2531&lt;&gt;"对外销售","",ROUND($Q2531-$S2531,0)))</f>
        <v/>
      </c>
      <c r="U2531" s="17" t="n"/>
      <c r="V2531" s="17" t="n"/>
      <c r="W2531" s="24">
        <f>IF($D2531="","",IF($E2531="※编码不在物料档案里","※物料编码不在档案里",IF(N($J2531)&lt;=0,"※出库数量要大于 0",IF($K2531="","※没填去向类型",IF($L2531="","※没填去向矿区",IF(AND($C2531&lt;&gt;"",$C2531&lt;=结账锁),"※日期早于已结账截止日，不能再录",IF(AND($K2531="自用消耗",COUNTIF({"一矿区";"二矿区"},$L2531)=0),"※自用消耗的去向只能是一矿区或二矿区",IF(AND($K2531="对外销售",COUNTIF({"三矿区";"六矿区"},$L2531)=0),"※对外销售的去向只能是三矿区或六矿区",IF(AND($K2531="对外销售",ROUND($Q2531,0)=0),"※外销却没有售价，请填实际售价",IF(AND($K2531="对外销售",$T2531&lt;&gt;"",$T2531&lt;0),"※这一笔外销是亏的，请核对售价",IF(IFERROR(VLOOKUP($D2531,库存台账!$A$5:$Y$1204,24,0),0)&lt;-0.001,"※这个物料账面已经变成负数了，查一下是不是漏记入库","")))))))))))</f>
        <v/>
      </c>
    </row>
    <row r="2532">
      <c r="A2532" s="24">
        <f>IF($D2532="","",COUNTA($D$4:$D2532))</f>
        <v/>
      </c>
      <c r="B2532" s="17" t="n"/>
      <c r="C2532" s="30" t="n"/>
      <c r="D2532" s="17" t="n"/>
      <c r="E2532" s="24">
        <f>IF($D2532="","",IFERROR(VLOOKUP($D2532,物料档案!$A$4:$P$1203,3,0),"※编码不在物料档案里"))</f>
        <v/>
      </c>
      <c r="F2532" s="24">
        <f>IF($D2532="","",IFERROR(VLOOKUP($D2532,物料档案!$A$4:$P$1203,4,0),"※编码不在物料档案里"))</f>
        <v/>
      </c>
      <c r="G2532" s="24">
        <f>IF($D2532="","",IFERROR(VLOOKUP($D2532,物料档案!$A$4:$P$1203,5,0),"※编码不在物料档案里"))</f>
        <v/>
      </c>
      <c r="H2532" s="24">
        <f>IF($D2532="","",IFERROR(VLOOKUP($D2532,物料档案!$A$4:$P$1203,2,0),"※编码不在物料档案里"))</f>
        <v/>
      </c>
      <c r="I2532" s="24">
        <f>IF($D2532="","",IFERROR(VLOOKUP($D2532,物料档案!$A$4:$P$1203,6,0),"※编码不在物料档案里"))</f>
        <v/>
      </c>
      <c r="J2532" s="23" t="n"/>
      <c r="K2532" s="17" t="n"/>
      <c r="L2532" s="17" t="n"/>
      <c r="M2532" s="17" t="n"/>
      <c r="N2532" s="17" t="n"/>
      <c r="O2532" s="26">
        <f>IF($D2532="","",IFERROR(VLOOKUP($D2532,物料档案!$A$4:$P$1203,10,0),0))</f>
        <v/>
      </c>
      <c r="P2532" s="32" t="n"/>
      <c r="Q2532" s="26">
        <f>IF($D2532="","",IF($K2532&lt;&gt;"对外销售",0,ROUND(N($J2532)*IF($P2532="",N($O2532),N($P2532)),0)))</f>
        <v/>
      </c>
      <c r="R2532" s="26">
        <f>IF($D2532="","",IFERROR(VLOOKUP($D2532,库存台账!$A$5:$Y$1204,11,0),0))</f>
        <v/>
      </c>
      <c r="S2532" s="26">
        <f>IF($D2532="","",ROUND(N($J2532)*N($R2532),0))</f>
        <v/>
      </c>
      <c r="T2532" s="26">
        <f>IF($D2532="","",IF($K2532&lt;&gt;"对外销售","",ROUND($Q2532-$S2532,0)))</f>
        <v/>
      </c>
      <c r="U2532" s="17" t="n"/>
      <c r="V2532" s="17" t="n"/>
      <c r="W2532" s="24">
        <f>IF($D2532="","",IF($E2532="※编码不在物料档案里","※物料编码不在档案里",IF(N($J2532)&lt;=0,"※出库数量要大于 0",IF($K2532="","※没填去向类型",IF($L2532="","※没填去向矿区",IF(AND($C2532&lt;&gt;"",$C2532&lt;=结账锁),"※日期早于已结账截止日，不能再录",IF(AND($K2532="自用消耗",COUNTIF({"一矿区";"二矿区"},$L2532)=0),"※自用消耗的去向只能是一矿区或二矿区",IF(AND($K2532="对外销售",COUNTIF({"三矿区";"六矿区"},$L2532)=0),"※对外销售的去向只能是三矿区或六矿区",IF(AND($K2532="对外销售",ROUND($Q2532,0)=0),"※外销却没有售价，请填实际售价",IF(AND($K2532="对外销售",$T2532&lt;&gt;"",$T2532&lt;0),"※这一笔外销是亏的，请核对售价",IF(IFERROR(VLOOKUP($D2532,库存台账!$A$5:$Y$1204,24,0),0)&lt;-0.001,"※这个物料账面已经变成负数了，查一下是不是漏记入库","")))))))))))</f>
        <v/>
      </c>
    </row>
    <row r="2533">
      <c r="A2533" s="24">
        <f>IF($D2533="","",COUNTA($D$4:$D2533))</f>
        <v/>
      </c>
      <c r="B2533" s="17" t="n"/>
      <c r="C2533" s="30" t="n"/>
      <c r="D2533" s="17" t="n"/>
      <c r="E2533" s="24">
        <f>IF($D2533="","",IFERROR(VLOOKUP($D2533,物料档案!$A$4:$P$1203,3,0),"※编码不在物料档案里"))</f>
        <v/>
      </c>
      <c r="F2533" s="24">
        <f>IF($D2533="","",IFERROR(VLOOKUP($D2533,物料档案!$A$4:$P$1203,4,0),"※编码不在物料档案里"))</f>
        <v/>
      </c>
      <c r="G2533" s="24">
        <f>IF($D2533="","",IFERROR(VLOOKUP($D2533,物料档案!$A$4:$P$1203,5,0),"※编码不在物料档案里"))</f>
        <v/>
      </c>
      <c r="H2533" s="24">
        <f>IF($D2533="","",IFERROR(VLOOKUP($D2533,物料档案!$A$4:$P$1203,2,0),"※编码不在物料档案里"))</f>
        <v/>
      </c>
      <c r="I2533" s="24">
        <f>IF($D2533="","",IFERROR(VLOOKUP($D2533,物料档案!$A$4:$P$1203,6,0),"※编码不在物料档案里"))</f>
        <v/>
      </c>
      <c r="J2533" s="23" t="n"/>
      <c r="K2533" s="17" t="n"/>
      <c r="L2533" s="17" t="n"/>
      <c r="M2533" s="17" t="n"/>
      <c r="N2533" s="17" t="n"/>
      <c r="O2533" s="26">
        <f>IF($D2533="","",IFERROR(VLOOKUP($D2533,物料档案!$A$4:$P$1203,10,0),0))</f>
        <v/>
      </c>
      <c r="P2533" s="32" t="n"/>
      <c r="Q2533" s="26">
        <f>IF($D2533="","",IF($K2533&lt;&gt;"对外销售",0,ROUND(N($J2533)*IF($P2533="",N($O2533),N($P2533)),0)))</f>
        <v/>
      </c>
      <c r="R2533" s="26">
        <f>IF($D2533="","",IFERROR(VLOOKUP($D2533,库存台账!$A$5:$Y$1204,11,0),0))</f>
        <v/>
      </c>
      <c r="S2533" s="26">
        <f>IF($D2533="","",ROUND(N($J2533)*N($R2533),0))</f>
        <v/>
      </c>
      <c r="T2533" s="26">
        <f>IF($D2533="","",IF($K2533&lt;&gt;"对外销售","",ROUND($Q2533-$S2533,0)))</f>
        <v/>
      </c>
      <c r="U2533" s="17" t="n"/>
      <c r="V2533" s="17" t="n"/>
      <c r="W2533" s="24">
        <f>IF($D2533="","",IF($E2533="※编码不在物料档案里","※物料编码不在档案里",IF(N($J2533)&lt;=0,"※出库数量要大于 0",IF($K2533="","※没填去向类型",IF($L2533="","※没填去向矿区",IF(AND($C2533&lt;&gt;"",$C2533&lt;=结账锁),"※日期早于已结账截止日，不能再录",IF(AND($K2533="自用消耗",COUNTIF({"一矿区";"二矿区"},$L2533)=0),"※自用消耗的去向只能是一矿区或二矿区",IF(AND($K2533="对外销售",COUNTIF({"三矿区";"六矿区"},$L2533)=0),"※对外销售的去向只能是三矿区或六矿区",IF(AND($K2533="对外销售",ROUND($Q2533,0)=0),"※外销却没有售价，请填实际售价",IF(AND($K2533="对外销售",$T2533&lt;&gt;"",$T2533&lt;0),"※这一笔外销是亏的，请核对售价",IF(IFERROR(VLOOKUP($D2533,库存台账!$A$5:$Y$1204,24,0),0)&lt;-0.001,"※这个物料账面已经变成负数了，查一下是不是漏记入库","")))))))))))</f>
        <v/>
      </c>
    </row>
    <row r="2534">
      <c r="A2534" s="24">
        <f>IF($D2534="","",COUNTA($D$4:$D2534))</f>
        <v/>
      </c>
      <c r="B2534" s="17" t="n"/>
      <c r="C2534" s="30" t="n"/>
      <c r="D2534" s="17" t="n"/>
      <c r="E2534" s="24">
        <f>IF($D2534="","",IFERROR(VLOOKUP($D2534,物料档案!$A$4:$P$1203,3,0),"※编码不在物料档案里"))</f>
        <v/>
      </c>
      <c r="F2534" s="24">
        <f>IF($D2534="","",IFERROR(VLOOKUP($D2534,物料档案!$A$4:$P$1203,4,0),"※编码不在物料档案里"))</f>
        <v/>
      </c>
      <c r="G2534" s="24">
        <f>IF($D2534="","",IFERROR(VLOOKUP($D2534,物料档案!$A$4:$P$1203,5,0),"※编码不在物料档案里"))</f>
        <v/>
      </c>
      <c r="H2534" s="24">
        <f>IF($D2534="","",IFERROR(VLOOKUP($D2534,物料档案!$A$4:$P$1203,2,0),"※编码不在物料档案里"))</f>
        <v/>
      </c>
      <c r="I2534" s="24">
        <f>IF($D2534="","",IFERROR(VLOOKUP($D2534,物料档案!$A$4:$P$1203,6,0),"※编码不在物料档案里"))</f>
        <v/>
      </c>
      <c r="J2534" s="23" t="n"/>
      <c r="K2534" s="17" t="n"/>
      <c r="L2534" s="17" t="n"/>
      <c r="M2534" s="17" t="n"/>
      <c r="N2534" s="17" t="n"/>
      <c r="O2534" s="26">
        <f>IF($D2534="","",IFERROR(VLOOKUP($D2534,物料档案!$A$4:$P$1203,10,0),0))</f>
        <v/>
      </c>
      <c r="P2534" s="32" t="n"/>
      <c r="Q2534" s="26">
        <f>IF($D2534="","",IF($K2534&lt;&gt;"对外销售",0,ROUND(N($J2534)*IF($P2534="",N($O2534),N($P2534)),0)))</f>
        <v/>
      </c>
      <c r="R2534" s="26">
        <f>IF($D2534="","",IFERROR(VLOOKUP($D2534,库存台账!$A$5:$Y$1204,11,0),0))</f>
        <v/>
      </c>
      <c r="S2534" s="26">
        <f>IF($D2534="","",ROUND(N($J2534)*N($R2534),0))</f>
        <v/>
      </c>
      <c r="T2534" s="26">
        <f>IF($D2534="","",IF($K2534&lt;&gt;"对外销售","",ROUND($Q2534-$S2534,0)))</f>
        <v/>
      </c>
      <c r="U2534" s="17" t="n"/>
      <c r="V2534" s="17" t="n"/>
      <c r="W2534" s="24">
        <f>IF($D2534="","",IF($E2534="※编码不在物料档案里","※物料编码不在档案里",IF(N($J2534)&lt;=0,"※出库数量要大于 0",IF($K2534="","※没填去向类型",IF($L2534="","※没填去向矿区",IF(AND($C2534&lt;&gt;"",$C2534&lt;=结账锁),"※日期早于已结账截止日，不能再录",IF(AND($K2534="自用消耗",COUNTIF({"一矿区";"二矿区"},$L2534)=0),"※自用消耗的去向只能是一矿区或二矿区",IF(AND($K2534="对外销售",COUNTIF({"三矿区";"六矿区"},$L2534)=0),"※对外销售的去向只能是三矿区或六矿区",IF(AND($K2534="对外销售",ROUND($Q2534,0)=0),"※外销却没有售价，请填实际售价",IF(AND($K2534="对外销售",$T2534&lt;&gt;"",$T2534&lt;0),"※这一笔外销是亏的，请核对售价",IF(IFERROR(VLOOKUP($D2534,库存台账!$A$5:$Y$1204,24,0),0)&lt;-0.001,"※这个物料账面已经变成负数了，查一下是不是漏记入库","")))))))))))</f>
        <v/>
      </c>
    </row>
    <row r="2535">
      <c r="A2535" s="24">
        <f>IF($D2535="","",COUNTA($D$4:$D2535))</f>
        <v/>
      </c>
      <c r="B2535" s="17" t="n"/>
      <c r="C2535" s="30" t="n"/>
      <c r="D2535" s="17" t="n"/>
      <c r="E2535" s="24">
        <f>IF($D2535="","",IFERROR(VLOOKUP($D2535,物料档案!$A$4:$P$1203,3,0),"※编码不在物料档案里"))</f>
        <v/>
      </c>
      <c r="F2535" s="24">
        <f>IF($D2535="","",IFERROR(VLOOKUP($D2535,物料档案!$A$4:$P$1203,4,0),"※编码不在物料档案里"))</f>
        <v/>
      </c>
      <c r="G2535" s="24">
        <f>IF($D2535="","",IFERROR(VLOOKUP($D2535,物料档案!$A$4:$P$1203,5,0),"※编码不在物料档案里"))</f>
        <v/>
      </c>
      <c r="H2535" s="24">
        <f>IF($D2535="","",IFERROR(VLOOKUP($D2535,物料档案!$A$4:$P$1203,2,0),"※编码不在物料档案里"))</f>
        <v/>
      </c>
      <c r="I2535" s="24">
        <f>IF($D2535="","",IFERROR(VLOOKUP($D2535,物料档案!$A$4:$P$1203,6,0),"※编码不在物料档案里"))</f>
        <v/>
      </c>
      <c r="J2535" s="23" t="n"/>
      <c r="K2535" s="17" t="n"/>
      <c r="L2535" s="17" t="n"/>
      <c r="M2535" s="17" t="n"/>
      <c r="N2535" s="17" t="n"/>
      <c r="O2535" s="26">
        <f>IF($D2535="","",IFERROR(VLOOKUP($D2535,物料档案!$A$4:$P$1203,10,0),0))</f>
        <v/>
      </c>
      <c r="P2535" s="32" t="n"/>
      <c r="Q2535" s="26">
        <f>IF($D2535="","",IF($K2535&lt;&gt;"对外销售",0,ROUND(N($J2535)*IF($P2535="",N($O2535),N($P2535)),0)))</f>
        <v/>
      </c>
      <c r="R2535" s="26">
        <f>IF($D2535="","",IFERROR(VLOOKUP($D2535,库存台账!$A$5:$Y$1204,11,0),0))</f>
        <v/>
      </c>
      <c r="S2535" s="26">
        <f>IF($D2535="","",ROUND(N($J2535)*N($R2535),0))</f>
        <v/>
      </c>
      <c r="T2535" s="26">
        <f>IF($D2535="","",IF($K2535&lt;&gt;"对外销售","",ROUND($Q2535-$S2535,0)))</f>
        <v/>
      </c>
      <c r="U2535" s="17" t="n"/>
      <c r="V2535" s="17" t="n"/>
      <c r="W2535" s="24">
        <f>IF($D2535="","",IF($E2535="※编码不在物料档案里","※物料编码不在档案里",IF(N($J2535)&lt;=0,"※出库数量要大于 0",IF($K2535="","※没填去向类型",IF($L2535="","※没填去向矿区",IF(AND($C2535&lt;&gt;"",$C2535&lt;=结账锁),"※日期早于已结账截止日，不能再录",IF(AND($K2535="自用消耗",COUNTIF({"一矿区";"二矿区"},$L2535)=0),"※自用消耗的去向只能是一矿区或二矿区",IF(AND($K2535="对外销售",COUNTIF({"三矿区";"六矿区"},$L2535)=0),"※对外销售的去向只能是三矿区或六矿区",IF(AND($K2535="对外销售",ROUND($Q2535,0)=0),"※外销却没有售价，请填实际售价",IF(AND($K2535="对外销售",$T2535&lt;&gt;"",$T2535&lt;0),"※这一笔外销是亏的，请核对售价",IF(IFERROR(VLOOKUP($D2535,库存台账!$A$5:$Y$1204,24,0),0)&lt;-0.001,"※这个物料账面已经变成负数了，查一下是不是漏记入库","")))))))))))</f>
        <v/>
      </c>
    </row>
    <row r="2536">
      <c r="A2536" s="24">
        <f>IF($D2536="","",COUNTA($D$4:$D2536))</f>
        <v/>
      </c>
      <c r="B2536" s="17" t="n"/>
      <c r="C2536" s="30" t="n"/>
      <c r="D2536" s="17" t="n"/>
      <c r="E2536" s="24">
        <f>IF($D2536="","",IFERROR(VLOOKUP($D2536,物料档案!$A$4:$P$1203,3,0),"※编码不在物料档案里"))</f>
        <v/>
      </c>
      <c r="F2536" s="24">
        <f>IF($D2536="","",IFERROR(VLOOKUP($D2536,物料档案!$A$4:$P$1203,4,0),"※编码不在物料档案里"))</f>
        <v/>
      </c>
      <c r="G2536" s="24">
        <f>IF($D2536="","",IFERROR(VLOOKUP($D2536,物料档案!$A$4:$P$1203,5,0),"※编码不在物料档案里"))</f>
        <v/>
      </c>
      <c r="H2536" s="24">
        <f>IF($D2536="","",IFERROR(VLOOKUP($D2536,物料档案!$A$4:$P$1203,2,0),"※编码不在物料档案里"))</f>
        <v/>
      </c>
      <c r="I2536" s="24">
        <f>IF($D2536="","",IFERROR(VLOOKUP($D2536,物料档案!$A$4:$P$1203,6,0),"※编码不在物料档案里"))</f>
        <v/>
      </c>
      <c r="J2536" s="23" t="n"/>
      <c r="K2536" s="17" t="n"/>
      <c r="L2536" s="17" t="n"/>
      <c r="M2536" s="17" t="n"/>
      <c r="N2536" s="17" t="n"/>
      <c r="O2536" s="26">
        <f>IF($D2536="","",IFERROR(VLOOKUP($D2536,物料档案!$A$4:$P$1203,10,0),0))</f>
        <v/>
      </c>
      <c r="P2536" s="32" t="n"/>
      <c r="Q2536" s="26">
        <f>IF($D2536="","",IF($K2536&lt;&gt;"对外销售",0,ROUND(N($J2536)*IF($P2536="",N($O2536),N($P2536)),0)))</f>
        <v/>
      </c>
      <c r="R2536" s="26">
        <f>IF($D2536="","",IFERROR(VLOOKUP($D2536,库存台账!$A$5:$Y$1204,11,0),0))</f>
        <v/>
      </c>
      <c r="S2536" s="26">
        <f>IF($D2536="","",ROUND(N($J2536)*N($R2536),0))</f>
        <v/>
      </c>
      <c r="T2536" s="26">
        <f>IF($D2536="","",IF($K2536&lt;&gt;"对外销售","",ROUND($Q2536-$S2536,0)))</f>
        <v/>
      </c>
      <c r="U2536" s="17" t="n"/>
      <c r="V2536" s="17" t="n"/>
      <c r="W2536" s="24">
        <f>IF($D2536="","",IF($E2536="※编码不在物料档案里","※物料编码不在档案里",IF(N($J2536)&lt;=0,"※出库数量要大于 0",IF($K2536="","※没填去向类型",IF($L2536="","※没填去向矿区",IF(AND($C2536&lt;&gt;"",$C2536&lt;=结账锁),"※日期早于已结账截止日，不能再录",IF(AND($K2536="自用消耗",COUNTIF({"一矿区";"二矿区"},$L2536)=0),"※自用消耗的去向只能是一矿区或二矿区",IF(AND($K2536="对外销售",COUNTIF({"三矿区";"六矿区"},$L2536)=0),"※对外销售的去向只能是三矿区或六矿区",IF(AND($K2536="对外销售",ROUND($Q2536,0)=0),"※外销却没有售价，请填实际售价",IF(AND($K2536="对外销售",$T2536&lt;&gt;"",$T2536&lt;0),"※这一笔外销是亏的，请核对售价",IF(IFERROR(VLOOKUP($D2536,库存台账!$A$5:$Y$1204,24,0),0)&lt;-0.001,"※这个物料账面已经变成负数了，查一下是不是漏记入库","")))))))))))</f>
        <v/>
      </c>
    </row>
    <row r="2537">
      <c r="A2537" s="24">
        <f>IF($D2537="","",COUNTA($D$4:$D2537))</f>
        <v/>
      </c>
      <c r="B2537" s="17" t="n"/>
      <c r="C2537" s="30" t="n"/>
      <c r="D2537" s="17" t="n"/>
      <c r="E2537" s="24">
        <f>IF($D2537="","",IFERROR(VLOOKUP($D2537,物料档案!$A$4:$P$1203,3,0),"※编码不在物料档案里"))</f>
        <v/>
      </c>
      <c r="F2537" s="24">
        <f>IF($D2537="","",IFERROR(VLOOKUP($D2537,物料档案!$A$4:$P$1203,4,0),"※编码不在物料档案里"))</f>
        <v/>
      </c>
      <c r="G2537" s="24">
        <f>IF($D2537="","",IFERROR(VLOOKUP($D2537,物料档案!$A$4:$P$1203,5,0),"※编码不在物料档案里"))</f>
        <v/>
      </c>
      <c r="H2537" s="24">
        <f>IF($D2537="","",IFERROR(VLOOKUP($D2537,物料档案!$A$4:$P$1203,2,0),"※编码不在物料档案里"))</f>
        <v/>
      </c>
      <c r="I2537" s="24">
        <f>IF($D2537="","",IFERROR(VLOOKUP($D2537,物料档案!$A$4:$P$1203,6,0),"※编码不在物料档案里"))</f>
        <v/>
      </c>
      <c r="J2537" s="23" t="n"/>
      <c r="K2537" s="17" t="n"/>
      <c r="L2537" s="17" t="n"/>
      <c r="M2537" s="17" t="n"/>
      <c r="N2537" s="17" t="n"/>
      <c r="O2537" s="26">
        <f>IF($D2537="","",IFERROR(VLOOKUP($D2537,物料档案!$A$4:$P$1203,10,0),0))</f>
        <v/>
      </c>
      <c r="P2537" s="32" t="n"/>
      <c r="Q2537" s="26">
        <f>IF($D2537="","",IF($K2537&lt;&gt;"对外销售",0,ROUND(N($J2537)*IF($P2537="",N($O2537),N($P2537)),0)))</f>
        <v/>
      </c>
      <c r="R2537" s="26">
        <f>IF($D2537="","",IFERROR(VLOOKUP($D2537,库存台账!$A$5:$Y$1204,11,0),0))</f>
        <v/>
      </c>
      <c r="S2537" s="26">
        <f>IF($D2537="","",ROUND(N($J2537)*N($R2537),0))</f>
        <v/>
      </c>
      <c r="T2537" s="26">
        <f>IF($D2537="","",IF($K2537&lt;&gt;"对外销售","",ROUND($Q2537-$S2537,0)))</f>
        <v/>
      </c>
      <c r="U2537" s="17" t="n"/>
      <c r="V2537" s="17" t="n"/>
      <c r="W2537" s="24">
        <f>IF($D2537="","",IF($E2537="※编码不在物料档案里","※物料编码不在档案里",IF(N($J2537)&lt;=0,"※出库数量要大于 0",IF($K2537="","※没填去向类型",IF($L2537="","※没填去向矿区",IF(AND($C2537&lt;&gt;"",$C2537&lt;=结账锁),"※日期早于已结账截止日，不能再录",IF(AND($K2537="自用消耗",COUNTIF({"一矿区";"二矿区"},$L2537)=0),"※自用消耗的去向只能是一矿区或二矿区",IF(AND($K2537="对外销售",COUNTIF({"三矿区";"六矿区"},$L2537)=0),"※对外销售的去向只能是三矿区或六矿区",IF(AND($K2537="对外销售",ROUND($Q2537,0)=0),"※外销却没有售价，请填实际售价",IF(AND($K2537="对外销售",$T2537&lt;&gt;"",$T2537&lt;0),"※这一笔外销是亏的，请核对售价",IF(IFERROR(VLOOKUP($D2537,库存台账!$A$5:$Y$1204,24,0),0)&lt;-0.001,"※这个物料账面已经变成负数了，查一下是不是漏记入库","")))))))))))</f>
        <v/>
      </c>
    </row>
    <row r="2538">
      <c r="A2538" s="24">
        <f>IF($D2538="","",COUNTA($D$4:$D2538))</f>
        <v/>
      </c>
      <c r="B2538" s="17" t="n"/>
      <c r="C2538" s="30" t="n"/>
      <c r="D2538" s="17" t="n"/>
      <c r="E2538" s="24">
        <f>IF($D2538="","",IFERROR(VLOOKUP($D2538,物料档案!$A$4:$P$1203,3,0),"※编码不在物料档案里"))</f>
        <v/>
      </c>
      <c r="F2538" s="24">
        <f>IF($D2538="","",IFERROR(VLOOKUP($D2538,物料档案!$A$4:$P$1203,4,0),"※编码不在物料档案里"))</f>
        <v/>
      </c>
      <c r="G2538" s="24">
        <f>IF($D2538="","",IFERROR(VLOOKUP($D2538,物料档案!$A$4:$P$1203,5,0),"※编码不在物料档案里"))</f>
        <v/>
      </c>
      <c r="H2538" s="24">
        <f>IF($D2538="","",IFERROR(VLOOKUP($D2538,物料档案!$A$4:$P$1203,2,0),"※编码不在物料档案里"))</f>
        <v/>
      </c>
      <c r="I2538" s="24">
        <f>IF($D2538="","",IFERROR(VLOOKUP($D2538,物料档案!$A$4:$P$1203,6,0),"※编码不在物料档案里"))</f>
        <v/>
      </c>
      <c r="J2538" s="23" t="n"/>
      <c r="K2538" s="17" t="n"/>
      <c r="L2538" s="17" t="n"/>
      <c r="M2538" s="17" t="n"/>
      <c r="N2538" s="17" t="n"/>
      <c r="O2538" s="26">
        <f>IF($D2538="","",IFERROR(VLOOKUP($D2538,物料档案!$A$4:$P$1203,10,0),0))</f>
        <v/>
      </c>
      <c r="P2538" s="32" t="n"/>
      <c r="Q2538" s="26">
        <f>IF($D2538="","",IF($K2538&lt;&gt;"对外销售",0,ROUND(N($J2538)*IF($P2538="",N($O2538),N($P2538)),0)))</f>
        <v/>
      </c>
      <c r="R2538" s="26">
        <f>IF($D2538="","",IFERROR(VLOOKUP($D2538,库存台账!$A$5:$Y$1204,11,0),0))</f>
        <v/>
      </c>
      <c r="S2538" s="26">
        <f>IF($D2538="","",ROUND(N($J2538)*N($R2538),0))</f>
        <v/>
      </c>
      <c r="T2538" s="26">
        <f>IF($D2538="","",IF($K2538&lt;&gt;"对外销售","",ROUND($Q2538-$S2538,0)))</f>
        <v/>
      </c>
      <c r="U2538" s="17" t="n"/>
      <c r="V2538" s="17" t="n"/>
      <c r="W2538" s="24">
        <f>IF($D2538="","",IF($E2538="※编码不在物料档案里","※物料编码不在档案里",IF(N($J2538)&lt;=0,"※出库数量要大于 0",IF($K2538="","※没填去向类型",IF($L2538="","※没填去向矿区",IF(AND($C2538&lt;&gt;"",$C2538&lt;=结账锁),"※日期早于已结账截止日，不能再录",IF(AND($K2538="自用消耗",COUNTIF({"一矿区";"二矿区"},$L2538)=0),"※自用消耗的去向只能是一矿区或二矿区",IF(AND($K2538="对外销售",COUNTIF({"三矿区";"六矿区"},$L2538)=0),"※对外销售的去向只能是三矿区或六矿区",IF(AND($K2538="对外销售",ROUND($Q2538,0)=0),"※外销却没有售价，请填实际售价",IF(AND($K2538="对外销售",$T2538&lt;&gt;"",$T2538&lt;0),"※这一笔外销是亏的，请核对售价",IF(IFERROR(VLOOKUP($D2538,库存台账!$A$5:$Y$1204,24,0),0)&lt;-0.001,"※这个物料账面已经变成负数了，查一下是不是漏记入库","")))))))))))</f>
        <v/>
      </c>
    </row>
    <row r="2539">
      <c r="A2539" s="24">
        <f>IF($D2539="","",COUNTA($D$4:$D2539))</f>
        <v/>
      </c>
      <c r="B2539" s="17" t="n"/>
      <c r="C2539" s="30" t="n"/>
      <c r="D2539" s="17" t="n"/>
      <c r="E2539" s="24">
        <f>IF($D2539="","",IFERROR(VLOOKUP($D2539,物料档案!$A$4:$P$1203,3,0),"※编码不在物料档案里"))</f>
        <v/>
      </c>
      <c r="F2539" s="24">
        <f>IF($D2539="","",IFERROR(VLOOKUP($D2539,物料档案!$A$4:$P$1203,4,0),"※编码不在物料档案里"))</f>
        <v/>
      </c>
      <c r="G2539" s="24">
        <f>IF($D2539="","",IFERROR(VLOOKUP($D2539,物料档案!$A$4:$P$1203,5,0),"※编码不在物料档案里"))</f>
        <v/>
      </c>
      <c r="H2539" s="24">
        <f>IF($D2539="","",IFERROR(VLOOKUP($D2539,物料档案!$A$4:$P$1203,2,0),"※编码不在物料档案里"))</f>
        <v/>
      </c>
      <c r="I2539" s="24">
        <f>IF($D2539="","",IFERROR(VLOOKUP($D2539,物料档案!$A$4:$P$1203,6,0),"※编码不在物料档案里"))</f>
        <v/>
      </c>
      <c r="J2539" s="23" t="n"/>
      <c r="K2539" s="17" t="n"/>
      <c r="L2539" s="17" t="n"/>
      <c r="M2539" s="17" t="n"/>
      <c r="N2539" s="17" t="n"/>
      <c r="O2539" s="26">
        <f>IF($D2539="","",IFERROR(VLOOKUP($D2539,物料档案!$A$4:$P$1203,10,0),0))</f>
        <v/>
      </c>
      <c r="P2539" s="32" t="n"/>
      <c r="Q2539" s="26">
        <f>IF($D2539="","",IF($K2539&lt;&gt;"对外销售",0,ROUND(N($J2539)*IF($P2539="",N($O2539),N($P2539)),0)))</f>
        <v/>
      </c>
      <c r="R2539" s="26">
        <f>IF($D2539="","",IFERROR(VLOOKUP($D2539,库存台账!$A$5:$Y$1204,11,0),0))</f>
        <v/>
      </c>
      <c r="S2539" s="26">
        <f>IF($D2539="","",ROUND(N($J2539)*N($R2539),0))</f>
        <v/>
      </c>
      <c r="T2539" s="26">
        <f>IF($D2539="","",IF($K2539&lt;&gt;"对外销售","",ROUND($Q2539-$S2539,0)))</f>
        <v/>
      </c>
      <c r="U2539" s="17" t="n"/>
      <c r="V2539" s="17" t="n"/>
      <c r="W2539" s="24">
        <f>IF($D2539="","",IF($E2539="※编码不在物料档案里","※物料编码不在档案里",IF(N($J2539)&lt;=0,"※出库数量要大于 0",IF($K2539="","※没填去向类型",IF($L2539="","※没填去向矿区",IF(AND($C2539&lt;&gt;"",$C2539&lt;=结账锁),"※日期早于已结账截止日，不能再录",IF(AND($K2539="自用消耗",COUNTIF({"一矿区";"二矿区"},$L2539)=0),"※自用消耗的去向只能是一矿区或二矿区",IF(AND($K2539="对外销售",COUNTIF({"三矿区";"六矿区"},$L2539)=0),"※对外销售的去向只能是三矿区或六矿区",IF(AND($K2539="对外销售",ROUND($Q2539,0)=0),"※外销却没有售价，请填实际售价",IF(AND($K2539="对外销售",$T2539&lt;&gt;"",$T2539&lt;0),"※这一笔外销是亏的，请核对售价",IF(IFERROR(VLOOKUP($D2539,库存台账!$A$5:$Y$1204,24,0),0)&lt;-0.001,"※这个物料账面已经变成负数了，查一下是不是漏记入库","")))))))))))</f>
        <v/>
      </c>
    </row>
    <row r="2540">
      <c r="A2540" s="24">
        <f>IF($D2540="","",COUNTA($D$4:$D2540))</f>
        <v/>
      </c>
      <c r="B2540" s="17" t="n"/>
      <c r="C2540" s="30" t="n"/>
      <c r="D2540" s="17" t="n"/>
      <c r="E2540" s="24">
        <f>IF($D2540="","",IFERROR(VLOOKUP($D2540,物料档案!$A$4:$P$1203,3,0),"※编码不在物料档案里"))</f>
        <v/>
      </c>
      <c r="F2540" s="24">
        <f>IF($D2540="","",IFERROR(VLOOKUP($D2540,物料档案!$A$4:$P$1203,4,0),"※编码不在物料档案里"))</f>
        <v/>
      </c>
      <c r="G2540" s="24">
        <f>IF($D2540="","",IFERROR(VLOOKUP($D2540,物料档案!$A$4:$P$1203,5,0),"※编码不在物料档案里"))</f>
        <v/>
      </c>
      <c r="H2540" s="24">
        <f>IF($D2540="","",IFERROR(VLOOKUP($D2540,物料档案!$A$4:$P$1203,2,0),"※编码不在物料档案里"))</f>
        <v/>
      </c>
      <c r="I2540" s="24">
        <f>IF($D2540="","",IFERROR(VLOOKUP($D2540,物料档案!$A$4:$P$1203,6,0),"※编码不在物料档案里"))</f>
        <v/>
      </c>
      <c r="J2540" s="23" t="n"/>
      <c r="K2540" s="17" t="n"/>
      <c r="L2540" s="17" t="n"/>
      <c r="M2540" s="17" t="n"/>
      <c r="N2540" s="17" t="n"/>
      <c r="O2540" s="26">
        <f>IF($D2540="","",IFERROR(VLOOKUP($D2540,物料档案!$A$4:$P$1203,10,0),0))</f>
        <v/>
      </c>
      <c r="P2540" s="32" t="n"/>
      <c r="Q2540" s="26">
        <f>IF($D2540="","",IF($K2540&lt;&gt;"对外销售",0,ROUND(N($J2540)*IF($P2540="",N($O2540),N($P2540)),0)))</f>
        <v/>
      </c>
      <c r="R2540" s="26">
        <f>IF($D2540="","",IFERROR(VLOOKUP($D2540,库存台账!$A$5:$Y$1204,11,0),0))</f>
        <v/>
      </c>
      <c r="S2540" s="26">
        <f>IF($D2540="","",ROUND(N($J2540)*N($R2540),0))</f>
        <v/>
      </c>
      <c r="T2540" s="26">
        <f>IF($D2540="","",IF($K2540&lt;&gt;"对外销售","",ROUND($Q2540-$S2540,0)))</f>
        <v/>
      </c>
      <c r="U2540" s="17" t="n"/>
      <c r="V2540" s="17" t="n"/>
      <c r="W2540" s="24">
        <f>IF($D2540="","",IF($E2540="※编码不在物料档案里","※物料编码不在档案里",IF(N($J2540)&lt;=0,"※出库数量要大于 0",IF($K2540="","※没填去向类型",IF($L2540="","※没填去向矿区",IF(AND($C2540&lt;&gt;"",$C2540&lt;=结账锁),"※日期早于已结账截止日，不能再录",IF(AND($K2540="自用消耗",COUNTIF({"一矿区";"二矿区"},$L2540)=0),"※自用消耗的去向只能是一矿区或二矿区",IF(AND($K2540="对外销售",COUNTIF({"三矿区";"六矿区"},$L2540)=0),"※对外销售的去向只能是三矿区或六矿区",IF(AND($K2540="对外销售",ROUND($Q2540,0)=0),"※外销却没有售价，请填实际售价",IF(AND($K2540="对外销售",$T2540&lt;&gt;"",$T2540&lt;0),"※这一笔外销是亏的，请核对售价",IF(IFERROR(VLOOKUP($D2540,库存台账!$A$5:$Y$1204,24,0),0)&lt;-0.001,"※这个物料账面已经变成负数了，查一下是不是漏记入库","")))))))))))</f>
        <v/>
      </c>
    </row>
    <row r="2541">
      <c r="A2541" s="24">
        <f>IF($D2541="","",COUNTA($D$4:$D2541))</f>
        <v/>
      </c>
      <c r="B2541" s="17" t="n"/>
      <c r="C2541" s="30" t="n"/>
      <c r="D2541" s="17" t="n"/>
      <c r="E2541" s="24">
        <f>IF($D2541="","",IFERROR(VLOOKUP($D2541,物料档案!$A$4:$P$1203,3,0),"※编码不在物料档案里"))</f>
        <v/>
      </c>
      <c r="F2541" s="24">
        <f>IF($D2541="","",IFERROR(VLOOKUP($D2541,物料档案!$A$4:$P$1203,4,0),"※编码不在物料档案里"))</f>
        <v/>
      </c>
      <c r="G2541" s="24">
        <f>IF($D2541="","",IFERROR(VLOOKUP($D2541,物料档案!$A$4:$P$1203,5,0),"※编码不在物料档案里"))</f>
        <v/>
      </c>
      <c r="H2541" s="24">
        <f>IF($D2541="","",IFERROR(VLOOKUP($D2541,物料档案!$A$4:$P$1203,2,0),"※编码不在物料档案里"))</f>
        <v/>
      </c>
      <c r="I2541" s="24">
        <f>IF($D2541="","",IFERROR(VLOOKUP($D2541,物料档案!$A$4:$P$1203,6,0),"※编码不在物料档案里"))</f>
        <v/>
      </c>
      <c r="J2541" s="23" t="n"/>
      <c r="K2541" s="17" t="n"/>
      <c r="L2541" s="17" t="n"/>
      <c r="M2541" s="17" t="n"/>
      <c r="N2541" s="17" t="n"/>
      <c r="O2541" s="26">
        <f>IF($D2541="","",IFERROR(VLOOKUP($D2541,物料档案!$A$4:$P$1203,10,0),0))</f>
        <v/>
      </c>
      <c r="P2541" s="32" t="n"/>
      <c r="Q2541" s="26">
        <f>IF($D2541="","",IF($K2541&lt;&gt;"对外销售",0,ROUND(N($J2541)*IF($P2541="",N($O2541),N($P2541)),0)))</f>
        <v/>
      </c>
      <c r="R2541" s="26">
        <f>IF($D2541="","",IFERROR(VLOOKUP($D2541,库存台账!$A$5:$Y$1204,11,0),0))</f>
        <v/>
      </c>
      <c r="S2541" s="26">
        <f>IF($D2541="","",ROUND(N($J2541)*N($R2541),0))</f>
        <v/>
      </c>
      <c r="T2541" s="26">
        <f>IF($D2541="","",IF($K2541&lt;&gt;"对外销售","",ROUND($Q2541-$S2541,0)))</f>
        <v/>
      </c>
      <c r="U2541" s="17" t="n"/>
      <c r="V2541" s="17" t="n"/>
      <c r="W2541" s="24">
        <f>IF($D2541="","",IF($E2541="※编码不在物料档案里","※物料编码不在档案里",IF(N($J2541)&lt;=0,"※出库数量要大于 0",IF($K2541="","※没填去向类型",IF($L2541="","※没填去向矿区",IF(AND($C2541&lt;&gt;"",$C2541&lt;=结账锁),"※日期早于已结账截止日，不能再录",IF(AND($K2541="自用消耗",COUNTIF({"一矿区";"二矿区"},$L2541)=0),"※自用消耗的去向只能是一矿区或二矿区",IF(AND($K2541="对外销售",COUNTIF({"三矿区";"六矿区"},$L2541)=0),"※对外销售的去向只能是三矿区或六矿区",IF(AND($K2541="对外销售",ROUND($Q2541,0)=0),"※外销却没有售价，请填实际售价",IF(AND($K2541="对外销售",$T2541&lt;&gt;"",$T2541&lt;0),"※这一笔外销是亏的，请核对售价",IF(IFERROR(VLOOKUP($D2541,库存台账!$A$5:$Y$1204,24,0),0)&lt;-0.001,"※这个物料账面已经变成负数了，查一下是不是漏记入库","")))))))))))</f>
        <v/>
      </c>
    </row>
    <row r="2542">
      <c r="A2542" s="24">
        <f>IF($D2542="","",COUNTA($D$4:$D2542))</f>
        <v/>
      </c>
      <c r="B2542" s="17" t="n"/>
      <c r="C2542" s="30" t="n"/>
      <c r="D2542" s="17" t="n"/>
      <c r="E2542" s="24">
        <f>IF($D2542="","",IFERROR(VLOOKUP($D2542,物料档案!$A$4:$P$1203,3,0),"※编码不在物料档案里"))</f>
        <v/>
      </c>
      <c r="F2542" s="24">
        <f>IF($D2542="","",IFERROR(VLOOKUP($D2542,物料档案!$A$4:$P$1203,4,0),"※编码不在物料档案里"))</f>
        <v/>
      </c>
      <c r="G2542" s="24">
        <f>IF($D2542="","",IFERROR(VLOOKUP($D2542,物料档案!$A$4:$P$1203,5,0),"※编码不在物料档案里"))</f>
        <v/>
      </c>
      <c r="H2542" s="24">
        <f>IF($D2542="","",IFERROR(VLOOKUP($D2542,物料档案!$A$4:$P$1203,2,0),"※编码不在物料档案里"))</f>
        <v/>
      </c>
      <c r="I2542" s="24">
        <f>IF($D2542="","",IFERROR(VLOOKUP($D2542,物料档案!$A$4:$P$1203,6,0),"※编码不在物料档案里"))</f>
        <v/>
      </c>
      <c r="J2542" s="23" t="n"/>
      <c r="K2542" s="17" t="n"/>
      <c r="L2542" s="17" t="n"/>
      <c r="M2542" s="17" t="n"/>
      <c r="N2542" s="17" t="n"/>
      <c r="O2542" s="26">
        <f>IF($D2542="","",IFERROR(VLOOKUP($D2542,物料档案!$A$4:$P$1203,10,0),0))</f>
        <v/>
      </c>
      <c r="P2542" s="32" t="n"/>
      <c r="Q2542" s="26">
        <f>IF($D2542="","",IF($K2542&lt;&gt;"对外销售",0,ROUND(N($J2542)*IF($P2542="",N($O2542),N($P2542)),0)))</f>
        <v/>
      </c>
      <c r="R2542" s="26">
        <f>IF($D2542="","",IFERROR(VLOOKUP($D2542,库存台账!$A$5:$Y$1204,11,0),0))</f>
        <v/>
      </c>
      <c r="S2542" s="26">
        <f>IF($D2542="","",ROUND(N($J2542)*N($R2542),0))</f>
        <v/>
      </c>
      <c r="T2542" s="26">
        <f>IF($D2542="","",IF($K2542&lt;&gt;"对外销售","",ROUND($Q2542-$S2542,0)))</f>
        <v/>
      </c>
      <c r="U2542" s="17" t="n"/>
      <c r="V2542" s="17" t="n"/>
      <c r="W2542" s="24">
        <f>IF($D2542="","",IF($E2542="※编码不在物料档案里","※物料编码不在档案里",IF(N($J2542)&lt;=0,"※出库数量要大于 0",IF($K2542="","※没填去向类型",IF($L2542="","※没填去向矿区",IF(AND($C2542&lt;&gt;"",$C2542&lt;=结账锁),"※日期早于已结账截止日，不能再录",IF(AND($K2542="自用消耗",COUNTIF({"一矿区";"二矿区"},$L2542)=0),"※自用消耗的去向只能是一矿区或二矿区",IF(AND($K2542="对外销售",COUNTIF({"三矿区";"六矿区"},$L2542)=0),"※对外销售的去向只能是三矿区或六矿区",IF(AND($K2542="对外销售",ROUND($Q2542,0)=0),"※外销却没有售价，请填实际售价",IF(AND($K2542="对外销售",$T2542&lt;&gt;"",$T2542&lt;0),"※这一笔外销是亏的，请核对售价",IF(IFERROR(VLOOKUP($D2542,库存台账!$A$5:$Y$1204,24,0),0)&lt;-0.001,"※这个物料账面已经变成负数了，查一下是不是漏记入库","")))))))))))</f>
        <v/>
      </c>
    </row>
    <row r="2543">
      <c r="A2543" s="24">
        <f>IF($D2543="","",COUNTA($D$4:$D2543))</f>
        <v/>
      </c>
      <c r="B2543" s="17" t="n"/>
      <c r="C2543" s="30" t="n"/>
      <c r="D2543" s="17" t="n"/>
      <c r="E2543" s="24">
        <f>IF($D2543="","",IFERROR(VLOOKUP($D2543,物料档案!$A$4:$P$1203,3,0),"※编码不在物料档案里"))</f>
        <v/>
      </c>
      <c r="F2543" s="24">
        <f>IF($D2543="","",IFERROR(VLOOKUP($D2543,物料档案!$A$4:$P$1203,4,0),"※编码不在物料档案里"))</f>
        <v/>
      </c>
      <c r="G2543" s="24">
        <f>IF($D2543="","",IFERROR(VLOOKUP($D2543,物料档案!$A$4:$P$1203,5,0),"※编码不在物料档案里"))</f>
        <v/>
      </c>
      <c r="H2543" s="24">
        <f>IF($D2543="","",IFERROR(VLOOKUP($D2543,物料档案!$A$4:$P$1203,2,0),"※编码不在物料档案里"))</f>
        <v/>
      </c>
      <c r="I2543" s="24">
        <f>IF($D2543="","",IFERROR(VLOOKUP($D2543,物料档案!$A$4:$P$1203,6,0),"※编码不在物料档案里"))</f>
        <v/>
      </c>
      <c r="J2543" s="23" t="n"/>
      <c r="K2543" s="17" t="n"/>
      <c r="L2543" s="17" t="n"/>
      <c r="M2543" s="17" t="n"/>
      <c r="N2543" s="17" t="n"/>
      <c r="O2543" s="26">
        <f>IF($D2543="","",IFERROR(VLOOKUP($D2543,物料档案!$A$4:$P$1203,10,0),0))</f>
        <v/>
      </c>
      <c r="P2543" s="32" t="n"/>
      <c r="Q2543" s="26">
        <f>IF($D2543="","",IF($K2543&lt;&gt;"对外销售",0,ROUND(N($J2543)*IF($P2543="",N($O2543),N($P2543)),0)))</f>
        <v/>
      </c>
      <c r="R2543" s="26">
        <f>IF($D2543="","",IFERROR(VLOOKUP($D2543,库存台账!$A$5:$Y$1204,11,0),0))</f>
        <v/>
      </c>
      <c r="S2543" s="26">
        <f>IF($D2543="","",ROUND(N($J2543)*N($R2543),0))</f>
        <v/>
      </c>
      <c r="T2543" s="26">
        <f>IF($D2543="","",IF($K2543&lt;&gt;"对外销售","",ROUND($Q2543-$S2543,0)))</f>
        <v/>
      </c>
      <c r="U2543" s="17" t="n"/>
      <c r="V2543" s="17" t="n"/>
      <c r="W2543" s="24">
        <f>IF($D2543="","",IF($E2543="※编码不在物料档案里","※物料编码不在档案里",IF(N($J2543)&lt;=0,"※出库数量要大于 0",IF($K2543="","※没填去向类型",IF($L2543="","※没填去向矿区",IF(AND($C2543&lt;&gt;"",$C2543&lt;=结账锁),"※日期早于已结账截止日，不能再录",IF(AND($K2543="自用消耗",COUNTIF({"一矿区";"二矿区"},$L2543)=0),"※自用消耗的去向只能是一矿区或二矿区",IF(AND($K2543="对外销售",COUNTIF({"三矿区";"六矿区"},$L2543)=0),"※对外销售的去向只能是三矿区或六矿区",IF(AND($K2543="对外销售",ROUND($Q2543,0)=0),"※外销却没有售价，请填实际售价",IF(AND($K2543="对外销售",$T2543&lt;&gt;"",$T2543&lt;0),"※这一笔外销是亏的，请核对售价",IF(IFERROR(VLOOKUP($D2543,库存台账!$A$5:$Y$1204,24,0),0)&lt;-0.001,"※这个物料账面已经变成负数了，查一下是不是漏记入库","")))))))))))</f>
        <v/>
      </c>
    </row>
    <row r="2544">
      <c r="A2544" s="24">
        <f>IF($D2544="","",COUNTA($D$4:$D2544))</f>
        <v/>
      </c>
      <c r="B2544" s="17" t="n"/>
      <c r="C2544" s="30" t="n"/>
      <c r="D2544" s="17" t="n"/>
      <c r="E2544" s="24">
        <f>IF($D2544="","",IFERROR(VLOOKUP($D2544,物料档案!$A$4:$P$1203,3,0),"※编码不在物料档案里"))</f>
        <v/>
      </c>
      <c r="F2544" s="24">
        <f>IF($D2544="","",IFERROR(VLOOKUP($D2544,物料档案!$A$4:$P$1203,4,0),"※编码不在物料档案里"))</f>
        <v/>
      </c>
      <c r="G2544" s="24">
        <f>IF($D2544="","",IFERROR(VLOOKUP($D2544,物料档案!$A$4:$P$1203,5,0),"※编码不在物料档案里"))</f>
        <v/>
      </c>
      <c r="H2544" s="24">
        <f>IF($D2544="","",IFERROR(VLOOKUP($D2544,物料档案!$A$4:$P$1203,2,0),"※编码不在物料档案里"))</f>
        <v/>
      </c>
      <c r="I2544" s="24">
        <f>IF($D2544="","",IFERROR(VLOOKUP($D2544,物料档案!$A$4:$P$1203,6,0),"※编码不在物料档案里"))</f>
        <v/>
      </c>
      <c r="J2544" s="23" t="n"/>
      <c r="K2544" s="17" t="n"/>
      <c r="L2544" s="17" t="n"/>
      <c r="M2544" s="17" t="n"/>
      <c r="N2544" s="17" t="n"/>
      <c r="O2544" s="26">
        <f>IF($D2544="","",IFERROR(VLOOKUP($D2544,物料档案!$A$4:$P$1203,10,0),0))</f>
        <v/>
      </c>
      <c r="P2544" s="32" t="n"/>
      <c r="Q2544" s="26">
        <f>IF($D2544="","",IF($K2544&lt;&gt;"对外销售",0,ROUND(N($J2544)*IF($P2544="",N($O2544),N($P2544)),0)))</f>
        <v/>
      </c>
      <c r="R2544" s="26">
        <f>IF($D2544="","",IFERROR(VLOOKUP($D2544,库存台账!$A$5:$Y$1204,11,0),0))</f>
        <v/>
      </c>
      <c r="S2544" s="26">
        <f>IF($D2544="","",ROUND(N($J2544)*N($R2544),0))</f>
        <v/>
      </c>
      <c r="T2544" s="26">
        <f>IF($D2544="","",IF($K2544&lt;&gt;"对外销售","",ROUND($Q2544-$S2544,0)))</f>
        <v/>
      </c>
      <c r="U2544" s="17" t="n"/>
      <c r="V2544" s="17" t="n"/>
      <c r="W2544" s="24">
        <f>IF($D2544="","",IF($E2544="※编码不在物料档案里","※物料编码不在档案里",IF(N($J2544)&lt;=0,"※出库数量要大于 0",IF($K2544="","※没填去向类型",IF($L2544="","※没填去向矿区",IF(AND($C2544&lt;&gt;"",$C2544&lt;=结账锁),"※日期早于已结账截止日，不能再录",IF(AND($K2544="自用消耗",COUNTIF({"一矿区";"二矿区"},$L2544)=0),"※自用消耗的去向只能是一矿区或二矿区",IF(AND($K2544="对外销售",COUNTIF({"三矿区";"六矿区"},$L2544)=0),"※对外销售的去向只能是三矿区或六矿区",IF(AND($K2544="对外销售",ROUND($Q2544,0)=0),"※外销却没有售价，请填实际售价",IF(AND($K2544="对外销售",$T2544&lt;&gt;"",$T2544&lt;0),"※这一笔外销是亏的，请核对售价",IF(IFERROR(VLOOKUP($D2544,库存台账!$A$5:$Y$1204,24,0),0)&lt;-0.001,"※这个物料账面已经变成负数了，查一下是不是漏记入库","")))))))))))</f>
        <v/>
      </c>
    </row>
    <row r="2545">
      <c r="A2545" s="24">
        <f>IF($D2545="","",COUNTA($D$4:$D2545))</f>
        <v/>
      </c>
      <c r="B2545" s="17" t="n"/>
      <c r="C2545" s="30" t="n"/>
      <c r="D2545" s="17" t="n"/>
      <c r="E2545" s="24">
        <f>IF($D2545="","",IFERROR(VLOOKUP($D2545,物料档案!$A$4:$P$1203,3,0),"※编码不在物料档案里"))</f>
        <v/>
      </c>
      <c r="F2545" s="24">
        <f>IF($D2545="","",IFERROR(VLOOKUP($D2545,物料档案!$A$4:$P$1203,4,0),"※编码不在物料档案里"))</f>
        <v/>
      </c>
      <c r="G2545" s="24">
        <f>IF($D2545="","",IFERROR(VLOOKUP($D2545,物料档案!$A$4:$P$1203,5,0),"※编码不在物料档案里"))</f>
        <v/>
      </c>
      <c r="H2545" s="24">
        <f>IF($D2545="","",IFERROR(VLOOKUP($D2545,物料档案!$A$4:$P$1203,2,0),"※编码不在物料档案里"))</f>
        <v/>
      </c>
      <c r="I2545" s="24">
        <f>IF($D2545="","",IFERROR(VLOOKUP($D2545,物料档案!$A$4:$P$1203,6,0),"※编码不在物料档案里"))</f>
        <v/>
      </c>
      <c r="J2545" s="23" t="n"/>
      <c r="K2545" s="17" t="n"/>
      <c r="L2545" s="17" t="n"/>
      <c r="M2545" s="17" t="n"/>
      <c r="N2545" s="17" t="n"/>
      <c r="O2545" s="26">
        <f>IF($D2545="","",IFERROR(VLOOKUP($D2545,物料档案!$A$4:$P$1203,10,0),0))</f>
        <v/>
      </c>
      <c r="P2545" s="32" t="n"/>
      <c r="Q2545" s="26">
        <f>IF($D2545="","",IF($K2545&lt;&gt;"对外销售",0,ROUND(N($J2545)*IF($P2545="",N($O2545),N($P2545)),0)))</f>
        <v/>
      </c>
      <c r="R2545" s="26">
        <f>IF($D2545="","",IFERROR(VLOOKUP($D2545,库存台账!$A$5:$Y$1204,11,0),0))</f>
        <v/>
      </c>
      <c r="S2545" s="26">
        <f>IF($D2545="","",ROUND(N($J2545)*N($R2545),0))</f>
        <v/>
      </c>
      <c r="T2545" s="26">
        <f>IF($D2545="","",IF($K2545&lt;&gt;"对外销售","",ROUND($Q2545-$S2545,0)))</f>
        <v/>
      </c>
      <c r="U2545" s="17" t="n"/>
      <c r="V2545" s="17" t="n"/>
      <c r="W2545" s="24">
        <f>IF($D2545="","",IF($E2545="※编码不在物料档案里","※物料编码不在档案里",IF(N($J2545)&lt;=0,"※出库数量要大于 0",IF($K2545="","※没填去向类型",IF($L2545="","※没填去向矿区",IF(AND($C2545&lt;&gt;"",$C2545&lt;=结账锁),"※日期早于已结账截止日，不能再录",IF(AND($K2545="自用消耗",COUNTIF({"一矿区";"二矿区"},$L2545)=0),"※自用消耗的去向只能是一矿区或二矿区",IF(AND($K2545="对外销售",COUNTIF({"三矿区";"六矿区"},$L2545)=0),"※对外销售的去向只能是三矿区或六矿区",IF(AND($K2545="对外销售",ROUND($Q2545,0)=0),"※外销却没有售价，请填实际售价",IF(AND($K2545="对外销售",$T2545&lt;&gt;"",$T2545&lt;0),"※这一笔外销是亏的，请核对售价",IF(IFERROR(VLOOKUP($D2545,库存台账!$A$5:$Y$1204,24,0),0)&lt;-0.001,"※这个物料账面已经变成负数了，查一下是不是漏记入库","")))))))))))</f>
        <v/>
      </c>
    </row>
    <row r="2546">
      <c r="A2546" s="24">
        <f>IF($D2546="","",COUNTA($D$4:$D2546))</f>
        <v/>
      </c>
      <c r="B2546" s="17" t="n"/>
      <c r="C2546" s="30" t="n"/>
      <c r="D2546" s="17" t="n"/>
      <c r="E2546" s="24">
        <f>IF($D2546="","",IFERROR(VLOOKUP($D2546,物料档案!$A$4:$P$1203,3,0),"※编码不在物料档案里"))</f>
        <v/>
      </c>
      <c r="F2546" s="24">
        <f>IF($D2546="","",IFERROR(VLOOKUP($D2546,物料档案!$A$4:$P$1203,4,0),"※编码不在物料档案里"))</f>
        <v/>
      </c>
      <c r="G2546" s="24">
        <f>IF($D2546="","",IFERROR(VLOOKUP($D2546,物料档案!$A$4:$P$1203,5,0),"※编码不在物料档案里"))</f>
        <v/>
      </c>
      <c r="H2546" s="24">
        <f>IF($D2546="","",IFERROR(VLOOKUP($D2546,物料档案!$A$4:$P$1203,2,0),"※编码不在物料档案里"))</f>
        <v/>
      </c>
      <c r="I2546" s="24">
        <f>IF($D2546="","",IFERROR(VLOOKUP($D2546,物料档案!$A$4:$P$1203,6,0),"※编码不在物料档案里"))</f>
        <v/>
      </c>
      <c r="J2546" s="23" t="n"/>
      <c r="K2546" s="17" t="n"/>
      <c r="L2546" s="17" t="n"/>
      <c r="M2546" s="17" t="n"/>
      <c r="N2546" s="17" t="n"/>
      <c r="O2546" s="26">
        <f>IF($D2546="","",IFERROR(VLOOKUP($D2546,物料档案!$A$4:$P$1203,10,0),0))</f>
        <v/>
      </c>
      <c r="P2546" s="32" t="n"/>
      <c r="Q2546" s="26">
        <f>IF($D2546="","",IF($K2546&lt;&gt;"对外销售",0,ROUND(N($J2546)*IF($P2546="",N($O2546),N($P2546)),0)))</f>
        <v/>
      </c>
      <c r="R2546" s="26">
        <f>IF($D2546="","",IFERROR(VLOOKUP($D2546,库存台账!$A$5:$Y$1204,11,0),0))</f>
        <v/>
      </c>
      <c r="S2546" s="26">
        <f>IF($D2546="","",ROUND(N($J2546)*N($R2546),0))</f>
        <v/>
      </c>
      <c r="T2546" s="26">
        <f>IF($D2546="","",IF($K2546&lt;&gt;"对外销售","",ROUND($Q2546-$S2546,0)))</f>
        <v/>
      </c>
      <c r="U2546" s="17" t="n"/>
      <c r="V2546" s="17" t="n"/>
      <c r="W2546" s="24">
        <f>IF($D2546="","",IF($E2546="※编码不在物料档案里","※物料编码不在档案里",IF(N($J2546)&lt;=0,"※出库数量要大于 0",IF($K2546="","※没填去向类型",IF($L2546="","※没填去向矿区",IF(AND($C2546&lt;&gt;"",$C2546&lt;=结账锁),"※日期早于已结账截止日，不能再录",IF(AND($K2546="自用消耗",COUNTIF({"一矿区";"二矿区"},$L2546)=0),"※自用消耗的去向只能是一矿区或二矿区",IF(AND($K2546="对外销售",COUNTIF({"三矿区";"六矿区"},$L2546)=0),"※对外销售的去向只能是三矿区或六矿区",IF(AND($K2546="对外销售",ROUND($Q2546,0)=0),"※外销却没有售价，请填实际售价",IF(AND($K2546="对外销售",$T2546&lt;&gt;"",$T2546&lt;0),"※这一笔外销是亏的，请核对售价",IF(IFERROR(VLOOKUP($D2546,库存台账!$A$5:$Y$1204,24,0),0)&lt;-0.001,"※这个物料账面已经变成负数了，查一下是不是漏记入库","")))))))))))</f>
        <v/>
      </c>
    </row>
    <row r="2547">
      <c r="A2547" s="24">
        <f>IF($D2547="","",COUNTA($D$4:$D2547))</f>
        <v/>
      </c>
      <c r="B2547" s="17" t="n"/>
      <c r="C2547" s="30" t="n"/>
      <c r="D2547" s="17" t="n"/>
      <c r="E2547" s="24">
        <f>IF($D2547="","",IFERROR(VLOOKUP($D2547,物料档案!$A$4:$P$1203,3,0),"※编码不在物料档案里"))</f>
        <v/>
      </c>
      <c r="F2547" s="24">
        <f>IF($D2547="","",IFERROR(VLOOKUP($D2547,物料档案!$A$4:$P$1203,4,0),"※编码不在物料档案里"))</f>
        <v/>
      </c>
      <c r="G2547" s="24">
        <f>IF($D2547="","",IFERROR(VLOOKUP($D2547,物料档案!$A$4:$P$1203,5,0),"※编码不在物料档案里"))</f>
        <v/>
      </c>
      <c r="H2547" s="24">
        <f>IF($D2547="","",IFERROR(VLOOKUP($D2547,物料档案!$A$4:$P$1203,2,0),"※编码不在物料档案里"))</f>
        <v/>
      </c>
      <c r="I2547" s="24">
        <f>IF($D2547="","",IFERROR(VLOOKUP($D2547,物料档案!$A$4:$P$1203,6,0),"※编码不在物料档案里"))</f>
        <v/>
      </c>
      <c r="J2547" s="23" t="n"/>
      <c r="K2547" s="17" t="n"/>
      <c r="L2547" s="17" t="n"/>
      <c r="M2547" s="17" t="n"/>
      <c r="N2547" s="17" t="n"/>
      <c r="O2547" s="26">
        <f>IF($D2547="","",IFERROR(VLOOKUP($D2547,物料档案!$A$4:$P$1203,10,0),0))</f>
        <v/>
      </c>
      <c r="P2547" s="32" t="n"/>
      <c r="Q2547" s="26">
        <f>IF($D2547="","",IF($K2547&lt;&gt;"对外销售",0,ROUND(N($J2547)*IF($P2547="",N($O2547),N($P2547)),0)))</f>
        <v/>
      </c>
      <c r="R2547" s="26">
        <f>IF($D2547="","",IFERROR(VLOOKUP($D2547,库存台账!$A$5:$Y$1204,11,0),0))</f>
        <v/>
      </c>
      <c r="S2547" s="26">
        <f>IF($D2547="","",ROUND(N($J2547)*N($R2547),0))</f>
        <v/>
      </c>
      <c r="T2547" s="26">
        <f>IF($D2547="","",IF($K2547&lt;&gt;"对外销售","",ROUND($Q2547-$S2547,0)))</f>
        <v/>
      </c>
      <c r="U2547" s="17" t="n"/>
      <c r="V2547" s="17" t="n"/>
      <c r="W2547" s="24">
        <f>IF($D2547="","",IF($E2547="※编码不在物料档案里","※物料编码不在档案里",IF(N($J2547)&lt;=0,"※出库数量要大于 0",IF($K2547="","※没填去向类型",IF($L2547="","※没填去向矿区",IF(AND($C2547&lt;&gt;"",$C2547&lt;=结账锁),"※日期早于已结账截止日，不能再录",IF(AND($K2547="自用消耗",COUNTIF({"一矿区";"二矿区"},$L2547)=0),"※自用消耗的去向只能是一矿区或二矿区",IF(AND($K2547="对外销售",COUNTIF({"三矿区";"六矿区"},$L2547)=0),"※对外销售的去向只能是三矿区或六矿区",IF(AND($K2547="对外销售",ROUND($Q2547,0)=0),"※外销却没有售价，请填实际售价",IF(AND($K2547="对外销售",$T2547&lt;&gt;"",$T2547&lt;0),"※这一笔外销是亏的，请核对售价",IF(IFERROR(VLOOKUP($D2547,库存台账!$A$5:$Y$1204,24,0),0)&lt;-0.001,"※这个物料账面已经变成负数了，查一下是不是漏记入库","")))))))))))</f>
        <v/>
      </c>
    </row>
    <row r="2548">
      <c r="A2548" s="24">
        <f>IF($D2548="","",COUNTA($D$4:$D2548))</f>
        <v/>
      </c>
      <c r="B2548" s="17" t="n"/>
      <c r="C2548" s="30" t="n"/>
      <c r="D2548" s="17" t="n"/>
      <c r="E2548" s="24">
        <f>IF($D2548="","",IFERROR(VLOOKUP($D2548,物料档案!$A$4:$P$1203,3,0),"※编码不在物料档案里"))</f>
        <v/>
      </c>
      <c r="F2548" s="24">
        <f>IF($D2548="","",IFERROR(VLOOKUP($D2548,物料档案!$A$4:$P$1203,4,0),"※编码不在物料档案里"))</f>
        <v/>
      </c>
      <c r="G2548" s="24">
        <f>IF($D2548="","",IFERROR(VLOOKUP($D2548,物料档案!$A$4:$P$1203,5,0),"※编码不在物料档案里"))</f>
        <v/>
      </c>
      <c r="H2548" s="24">
        <f>IF($D2548="","",IFERROR(VLOOKUP($D2548,物料档案!$A$4:$P$1203,2,0),"※编码不在物料档案里"))</f>
        <v/>
      </c>
      <c r="I2548" s="24">
        <f>IF($D2548="","",IFERROR(VLOOKUP($D2548,物料档案!$A$4:$P$1203,6,0),"※编码不在物料档案里"))</f>
        <v/>
      </c>
      <c r="J2548" s="23" t="n"/>
      <c r="K2548" s="17" t="n"/>
      <c r="L2548" s="17" t="n"/>
      <c r="M2548" s="17" t="n"/>
      <c r="N2548" s="17" t="n"/>
      <c r="O2548" s="26">
        <f>IF($D2548="","",IFERROR(VLOOKUP($D2548,物料档案!$A$4:$P$1203,10,0),0))</f>
        <v/>
      </c>
      <c r="P2548" s="32" t="n"/>
      <c r="Q2548" s="26">
        <f>IF($D2548="","",IF($K2548&lt;&gt;"对外销售",0,ROUND(N($J2548)*IF($P2548="",N($O2548),N($P2548)),0)))</f>
        <v/>
      </c>
      <c r="R2548" s="26">
        <f>IF($D2548="","",IFERROR(VLOOKUP($D2548,库存台账!$A$5:$Y$1204,11,0),0))</f>
        <v/>
      </c>
      <c r="S2548" s="26">
        <f>IF($D2548="","",ROUND(N($J2548)*N($R2548),0))</f>
        <v/>
      </c>
      <c r="T2548" s="26">
        <f>IF($D2548="","",IF($K2548&lt;&gt;"对外销售","",ROUND($Q2548-$S2548,0)))</f>
        <v/>
      </c>
      <c r="U2548" s="17" t="n"/>
      <c r="V2548" s="17" t="n"/>
      <c r="W2548" s="24">
        <f>IF($D2548="","",IF($E2548="※编码不在物料档案里","※物料编码不在档案里",IF(N($J2548)&lt;=0,"※出库数量要大于 0",IF($K2548="","※没填去向类型",IF($L2548="","※没填去向矿区",IF(AND($C2548&lt;&gt;"",$C2548&lt;=结账锁),"※日期早于已结账截止日，不能再录",IF(AND($K2548="自用消耗",COUNTIF({"一矿区";"二矿区"},$L2548)=0),"※自用消耗的去向只能是一矿区或二矿区",IF(AND($K2548="对外销售",COUNTIF({"三矿区";"六矿区"},$L2548)=0),"※对外销售的去向只能是三矿区或六矿区",IF(AND($K2548="对外销售",ROUND($Q2548,0)=0),"※外销却没有售价，请填实际售价",IF(AND($K2548="对外销售",$T2548&lt;&gt;"",$T2548&lt;0),"※这一笔外销是亏的，请核对售价",IF(IFERROR(VLOOKUP($D2548,库存台账!$A$5:$Y$1204,24,0),0)&lt;-0.001,"※这个物料账面已经变成负数了，查一下是不是漏记入库","")))))))))))</f>
        <v/>
      </c>
    </row>
    <row r="2549">
      <c r="A2549" s="24">
        <f>IF($D2549="","",COUNTA($D$4:$D2549))</f>
        <v/>
      </c>
      <c r="B2549" s="17" t="n"/>
      <c r="C2549" s="30" t="n"/>
      <c r="D2549" s="17" t="n"/>
      <c r="E2549" s="24">
        <f>IF($D2549="","",IFERROR(VLOOKUP($D2549,物料档案!$A$4:$P$1203,3,0),"※编码不在物料档案里"))</f>
        <v/>
      </c>
      <c r="F2549" s="24">
        <f>IF($D2549="","",IFERROR(VLOOKUP($D2549,物料档案!$A$4:$P$1203,4,0),"※编码不在物料档案里"))</f>
        <v/>
      </c>
      <c r="G2549" s="24">
        <f>IF($D2549="","",IFERROR(VLOOKUP($D2549,物料档案!$A$4:$P$1203,5,0),"※编码不在物料档案里"))</f>
        <v/>
      </c>
      <c r="H2549" s="24">
        <f>IF($D2549="","",IFERROR(VLOOKUP($D2549,物料档案!$A$4:$P$1203,2,0),"※编码不在物料档案里"))</f>
        <v/>
      </c>
      <c r="I2549" s="24">
        <f>IF($D2549="","",IFERROR(VLOOKUP($D2549,物料档案!$A$4:$P$1203,6,0),"※编码不在物料档案里"))</f>
        <v/>
      </c>
      <c r="J2549" s="23" t="n"/>
      <c r="K2549" s="17" t="n"/>
      <c r="L2549" s="17" t="n"/>
      <c r="M2549" s="17" t="n"/>
      <c r="N2549" s="17" t="n"/>
      <c r="O2549" s="26">
        <f>IF($D2549="","",IFERROR(VLOOKUP($D2549,物料档案!$A$4:$P$1203,10,0),0))</f>
        <v/>
      </c>
      <c r="P2549" s="32" t="n"/>
      <c r="Q2549" s="26">
        <f>IF($D2549="","",IF($K2549&lt;&gt;"对外销售",0,ROUND(N($J2549)*IF($P2549="",N($O2549),N($P2549)),0)))</f>
        <v/>
      </c>
      <c r="R2549" s="26">
        <f>IF($D2549="","",IFERROR(VLOOKUP($D2549,库存台账!$A$5:$Y$1204,11,0),0))</f>
        <v/>
      </c>
      <c r="S2549" s="26">
        <f>IF($D2549="","",ROUND(N($J2549)*N($R2549),0))</f>
        <v/>
      </c>
      <c r="T2549" s="26">
        <f>IF($D2549="","",IF($K2549&lt;&gt;"对外销售","",ROUND($Q2549-$S2549,0)))</f>
        <v/>
      </c>
      <c r="U2549" s="17" t="n"/>
      <c r="V2549" s="17" t="n"/>
      <c r="W2549" s="24">
        <f>IF($D2549="","",IF($E2549="※编码不在物料档案里","※物料编码不在档案里",IF(N($J2549)&lt;=0,"※出库数量要大于 0",IF($K2549="","※没填去向类型",IF($L2549="","※没填去向矿区",IF(AND($C2549&lt;&gt;"",$C2549&lt;=结账锁),"※日期早于已结账截止日，不能再录",IF(AND($K2549="自用消耗",COUNTIF({"一矿区";"二矿区"},$L2549)=0),"※自用消耗的去向只能是一矿区或二矿区",IF(AND($K2549="对外销售",COUNTIF({"三矿区";"六矿区"},$L2549)=0),"※对外销售的去向只能是三矿区或六矿区",IF(AND($K2549="对外销售",ROUND($Q2549,0)=0),"※外销却没有售价，请填实际售价",IF(AND($K2549="对外销售",$T2549&lt;&gt;"",$T2549&lt;0),"※这一笔外销是亏的，请核对售价",IF(IFERROR(VLOOKUP($D2549,库存台账!$A$5:$Y$1204,24,0),0)&lt;-0.001,"※这个物料账面已经变成负数了，查一下是不是漏记入库","")))))))))))</f>
        <v/>
      </c>
    </row>
    <row r="2550">
      <c r="A2550" s="24">
        <f>IF($D2550="","",COUNTA($D$4:$D2550))</f>
        <v/>
      </c>
      <c r="B2550" s="17" t="n"/>
      <c r="C2550" s="30" t="n"/>
      <c r="D2550" s="17" t="n"/>
      <c r="E2550" s="24">
        <f>IF($D2550="","",IFERROR(VLOOKUP($D2550,物料档案!$A$4:$P$1203,3,0),"※编码不在物料档案里"))</f>
        <v/>
      </c>
      <c r="F2550" s="24">
        <f>IF($D2550="","",IFERROR(VLOOKUP($D2550,物料档案!$A$4:$P$1203,4,0),"※编码不在物料档案里"))</f>
        <v/>
      </c>
      <c r="G2550" s="24">
        <f>IF($D2550="","",IFERROR(VLOOKUP($D2550,物料档案!$A$4:$P$1203,5,0),"※编码不在物料档案里"))</f>
        <v/>
      </c>
      <c r="H2550" s="24">
        <f>IF($D2550="","",IFERROR(VLOOKUP($D2550,物料档案!$A$4:$P$1203,2,0),"※编码不在物料档案里"))</f>
        <v/>
      </c>
      <c r="I2550" s="24">
        <f>IF($D2550="","",IFERROR(VLOOKUP($D2550,物料档案!$A$4:$P$1203,6,0),"※编码不在物料档案里"))</f>
        <v/>
      </c>
      <c r="J2550" s="23" t="n"/>
      <c r="K2550" s="17" t="n"/>
      <c r="L2550" s="17" t="n"/>
      <c r="M2550" s="17" t="n"/>
      <c r="N2550" s="17" t="n"/>
      <c r="O2550" s="26">
        <f>IF($D2550="","",IFERROR(VLOOKUP($D2550,物料档案!$A$4:$P$1203,10,0),0))</f>
        <v/>
      </c>
      <c r="P2550" s="32" t="n"/>
      <c r="Q2550" s="26">
        <f>IF($D2550="","",IF($K2550&lt;&gt;"对外销售",0,ROUND(N($J2550)*IF($P2550="",N($O2550),N($P2550)),0)))</f>
        <v/>
      </c>
      <c r="R2550" s="26">
        <f>IF($D2550="","",IFERROR(VLOOKUP($D2550,库存台账!$A$5:$Y$1204,11,0),0))</f>
        <v/>
      </c>
      <c r="S2550" s="26">
        <f>IF($D2550="","",ROUND(N($J2550)*N($R2550),0))</f>
        <v/>
      </c>
      <c r="T2550" s="26">
        <f>IF($D2550="","",IF($K2550&lt;&gt;"对外销售","",ROUND($Q2550-$S2550,0)))</f>
        <v/>
      </c>
      <c r="U2550" s="17" t="n"/>
      <c r="V2550" s="17" t="n"/>
      <c r="W2550" s="24">
        <f>IF($D2550="","",IF($E2550="※编码不在物料档案里","※物料编码不在档案里",IF(N($J2550)&lt;=0,"※出库数量要大于 0",IF($K2550="","※没填去向类型",IF($L2550="","※没填去向矿区",IF(AND($C2550&lt;&gt;"",$C2550&lt;=结账锁),"※日期早于已结账截止日，不能再录",IF(AND($K2550="自用消耗",COUNTIF({"一矿区";"二矿区"},$L2550)=0),"※自用消耗的去向只能是一矿区或二矿区",IF(AND($K2550="对外销售",COUNTIF({"三矿区";"六矿区"},$L2550)=0),"※对外销售的去向只能是三矿区或六矿区",IF(AND($K2550="对外销售",ROUND($Q2550,0)=0),"※外销却没有售价，请填实际售价",IF(AND($K2550="对外销售",$T2550&lt;&gt;"",$T2550&lt;0),"※这一笔外销是亏的，请核对售价",IF(IFERROR(VLOOKUP($D2550,库存台账!$A$5:$Y$1204,24,0),0)&lt;-0.001,"※这个物料账面已经变成负数了，查一下是不是漏记入库","")))))))))))</f>
        <v/>
      </c>
    </row>
    <row r="2551">
      <c r="A2551" s="24">
        <f>IF($D2551="","",COUNTA($D$4:$D2551))</f>
        <v/>
      </c>
      <c r="B2551" s="17" t="n"/>
      <c r="C2551" s="30" t="n"/>
      <c r="D2551" s="17" t="n"/>
      <c r="E2551" s="24">
        <f>IF($D2551="","",IFERROR(VLOOKUP($D2551,物料档案!$A$4:$P$1203,3,0),"※编码不在物料档案里"))</f>
        <v/>
      </c>
      <c r="F2551" s="24">
        <f>IF($D2551="","",IFERROR(VLOOKUP($D2551,物料档案!$A$4:$P$1203,4,0),"※编码不在物料档案里"))</f>
        <v/>
      </c>
      <c r="G2551" s="24">
        <f>IF($D2551="","",IFERROR(VLOOKUP($D2551,物料档案!$A$4:$P$1203,5,0),"※编码不在物料档案里"))</f>
        <v/>
      </c>
      <c r="H2551" s="24">
        <f>IF($D2551="","",IFERROR(VLOOKUP($D2551,物料档案!$A$4:$P$1203,2,0),"※编码不在物料档案里"))</f>
        <v/>
      </c>
      <c r="I2551" s="24">
        <f>IF($D2551="","",IFERROR(VLOOKUP($D2551,物料档案!$A$4:$P$1203,6,0),"※编码不在物料档案里"))</f>
        <v/>
      </c>
      <c r="J2551" s="23" t="n"/>
      <c r="K2551" s="17" t="n"/>
      <c r="L2551" s="17" t="n"/>
      <c r="M2551" s="17" t="n"/>
      <c r="N2551" s="17" t="n"/>
      <c r="O2551" s="26">
        <f>IF($D2551="","",IFERROR(VLOOKUP($D2551,物料档案!$A$4:$P$1203,10,0),0))</f>
        <v/>
      </c>
      <c r="P2551" s="32" t="n"/>
      <c r="Q2551" s="26">
        <f>IF($D2551="","",IF($K2551&lt;&gt;"对外销售",0,ROUND(N($J2551)*IF($P2551="",N($O2551),N($P2551)),0)))</f>
        <v/>
      </c>
      <c r="R2551" s="26">
        <f>IF($D2551="","",IFERROR(VLOOKUP($D2551,库存台账!$A$5:$Y$1204,11,0),0))</f>
        <v/>
      </c>
      <c r="S2551" s="26">
        <f>IF($D2551="","",ROUND(N($J2551)*N($R2551),0))</f>
        <v/>
      </c>
      <c r="T2551" s="26">
        <f>IF($D2551="","",IF($K2551&lt;&gt;"对外销售","",ROUND($Q2551-$S2551,0)))</f>
        <v/>
      </c>
      <c r="U2551" s="17" t="n"/>
      <c r="V2551" s="17" t="n"/>
      <c r="W2551" s="24">
        <f>IF($D2551="","",IF($E2551="※编码不在物料档案里","※物料编码不在档案里",IF(N($J2551)&lt;=0,"※出库数量要大于 0",IF($K2551="","※没填去向类型",IF($L2551="","※没填去向矿区",IF(AND($C2551&lt;&gt;"",$C2551&lt;=结账锁),"※日期早于已结账截止日，不能再录",IF(AND($K2551="自用消耗",COUNTIF({"一矿区";"二矿区"},$L2551)=0),"※自用消耗的去向只能是一矿区或二矿区",IF(AND($K2551="对外销售",COUNTIF({"三矿区";"六矿区"},$L2551)=0),"※对外销售的去向只能是三矿区或六矿区",IF(AND($K2551="对外销售",ROUND($Q2551,0)=0),"※外销却没有售价，请填实际售价",IF(AND($K2551="对外销售",$T2551&lt;&gt;"",$T2551&lt;0),"※这一笔外销是亏的，请核对售价",IF(IFERROR(VLOOKUP($D2551,库存台账!$A$5:$Y$1204,24,0),0)&lt;-0.001,"※这个物料账面已经变成负数了，查一下是不是漏记入库","")))))))))))</f>
        <v/>
      </c>
    </row>
    <row r="2552">
      <c r="A2552" s="24">
        <f>IF($D2552="","",COUNTA($D$4:$D2552))</f>
        <v/>
      </c>
      <c r="B2552" s="17" t="n"/>
      <c r="C2552" s="30" t="n"/>
      <c r="D2552" s="17" t="n"/>
      <c r="E2552" s="24">
        <f>IF($D2552="","",IFERROR(VLOOKUP($D2552,物料档案!$A$4:$P$1203,3,0),"※编码不在物料档案里"))</f>
        <v/>
      </c>
      <c r="F2552" s="24">
        <f>IF($D2552="","",IFERROR(VLOOKUP($D2552,物料档案!$A$4:$P$1203,4,0),"※编码不在物料档案里"))</f>
        <v/>
      </c>
      <c r="G2552" s="24">
        <f>IF($D2552="","",IFERROR(VLOOKUP($D2552,物料档案!$A$4:$P$1203,5,0),"※编码不在物料档案里"))</f>
        <v/>
      </c>
      <c r="H2552" s="24">
        <f>IF($D2552="","",IFERROR(VLOOKUP($D2552,物料档案!$A$4:$P$1203,2,0),"※编码不在物料档案里"))</f>
        <v/>
      </c>
      <c r="I2552" s="24">
        <f>IF($D2552="","",IFERROR(VLOOKUP($D2552,物料档案!$A$4:$P$1203,6,0),"※编码不在物料档案里"))</f>
        <v/>
      </c>
      <c r="J2552" s="23" t="n"/>
      <c r="K2552" s="17" t="n"/>
      <c r="L2552" s="17" t="n"/>
      <c r="M2552" s="17" t="n"/>
      <c r="N2552" s="17" t="n"/>
      <c r="O2552" s="26">
        <f>IF($D2552="","",IFERROR(VLOOKUP($D2552,物料档案!$A$4:$P$1203,10,0),0))</f>
        <v/>
      </c>
      <c r="P2552" s="32" t="n"/>
      <c r="Q2552" s="26">
        <f>IF($D2552="","",IF($K2552&lt;&gt;"对外销售",0,ROUND(N($J2552)*IF($P2552="",N($O2552),N($P2552)),0)))</f>
        <v/>
      </c>
      <c r="R2552" s="26">
        <f>IF($D2552="","",IFERROR(VLOOKUP($D2552,库存台账!$A$5:$Y$1204,11,0),0))</f>
        <v/>
      </c>
      <c r="S2552" s="26">
        <f>IF($D2552="","",ROUND(N($J2552)*N($R2552),0))</f>
        <v/>
      </c>
      <c r="T2552" s="26">
        <f>IF($D2552="","",IF($K2552&lt;&gt;"对外销售","",ROUND($Q2552-$S2552,0)))</f>
        <v/>
      </c>
      <c r="U2552" s="17" t="n"/>
      <c r="V2552" s="17" t="n"/>
      <c r="W2552" s="24">
        <f>IF($D2552="","",IF($E2552="※编码不在物料档案里","※物料编码不在档案里",IF(N($J2552)&lt;=0,"※出库数量要大于 0",IF($K2552="","※没填去向类型",IF($L2552="","※没填去向矿区",IF(AND($C2552&lt;&gt;"",$C2552&lt;=结账锁),"※日期早于已结账截止日，不能再录",IF(AND($K2552="自用消耗",COUNTIF({"一矿区";"二矿区"},$L2552)=0),"※自用消耗的去向只能是一矿区或二矿区",IF(AND($K2552="对外销售",COUNTIF({"三矿区";"六矿区"},$L2552)=0),"※对外销售的去向只能是三矿区或六矿区",IF(AND($K2552="对外销售",ROUND($Q2552,0)=0),"※外销却没有售价，请填实际售价",IF(AND($K2552="对外销售",$T2552&lt;&gt;"",$T2552&lt;0),"※这一笔外销是亏的，请核对售价",IF(IFERROR(VLOOKUP($D2552,库存台账!$A$5:$Y$1204,24,0),0)&lt;-0.001,"※这个物料账面已经变成负数了，查一下是不是漏记入库","")))))))))))</f>
        <v/>
      </c>
    </row>
    <row r="2553">
      <c r="A2553" s="24">
        <f>IF($D2553="","",COUNTA($D$4:$D2553))</f>
        <v/>
      </c>
      <c r="B2553" s="17" t="n"/>
      <c r="C2553" s="30" t="n"/>
      <c r="D2553" s="17" t="n"/>
      <c r="E2553" s="24">
        <f>IF($D2553="","",IFERROR(VLOOKUP($D2553,物料档案!$A$4:$P$1203,3,0),"※编码不在物料档案里"))</f>
        <v/>
      </c>
      <c r="F2553" s="24">
        <f>IF($D2553="","",IFERROR(VLOOKUP($D2553,物料档案!$A$4:$P$1203,4,0),"※编码不在物料档案里"))</f>
        <v/>
      </c>
      <c r="G2553" s="24">
        <f>IF($D2553="","",IFERROR(VLOOKUP($D2553,物料档案!$A$4:$P$1203,5,0),"※编码不在物料档案里"))</f>
        <v/>
      </c>
      <c r="H2553" s="24">
        <f>IF($D2553="","",IFERROR(VLOOKUP($D2553,物料档案!$A$4:$P$1203,2,0),"※编码不在物料档案里"))</f>
        <v/>
      </c>
      <c r="I2553" s="24">
        <f>IF($D2553="","",IFERROR(VLOOKUP($D2553,物料档案!$A$4:$P$1203,6,0),"※编码不在物料档案里"))</f>
        <v/>
      </c>
      <c r="J2553" s="23" t="n"/>
      <c r="K2553" s="17" t="n"/>
      <c r="L2553" s="17" t="n"/>
      <c r="M2553" s="17" t="n"/>
      <c r="N2553" s="17" t="n"/>
      <c r="O2553" s="26">
        <f>IF($D2553="","",IFERROR(VLOOKUP($D2553,物料档案!$A$4:$P$1203,10,0),0))</f>
        <v/>
      </c>
      <c r="P2553" s="32" t="n"/>
      <c r="Q2553" s="26">
        <f>IF($D2553="","",IF($K2553&lt;&gt;"对外销售",0,ROUND(N($J2553)*IF($P2553="",N($O2553),N($P2553)),0)))</f>
        <v/>
      </c>
      <c r="R2553" s="26">
        <f>IF($D2553="","",IFERROR(VLOOKUP($D2553,库存台账!$A$5:$Y$1204,11,0),0))</f>
        <v/>
      </c>
      <c r="S2553" s="26">
        <f>IF($D2553="","",ROUND(N($J2553)*N($R2553),0))</f>
        <v/>
      </c>
      <c r="T2553" s="26">
        <f>IF($D2553="","",IF($K2553&lt;&gt;"对外销售","",ROUND($Q2553-$S2553,0)))</f>
        <v/>
      </c>
      <c r="U2553" s="17" t="n"/>
      <c r="V2553" s="17" t="n"/>
      <c r="W2553" s="24">
        <f>IF($D2553="","",IF($E2553="※编码不在物料档案里","※物料编码不在档案里",IF(N($J2553)&lt;=0,"※出库数量要大于 0",IF($K2553="","※没填去向类型",IF($L2553="","※没填去向矿区",IF(AND($C2553&lt;&gt;"",$C2553&lt;=结账锁),"※日期早于已结账截止日，不能再录",IF(AND($K2553="自用消耗",COUNTIF({"一矿区";"二矿区"},$L2553)=0),"※自用消耗的去向只能是一矿区或二矿区",IF(AND($K2553="对外销售",COUNTIF({"三矿区";"六矿区"},$L2553)=0),"※对外销售的去向只能是三矿区或六矿区",IF(AND($K2553="对外销售",ROUND($Q2553,0)=0),"※外销却没有售价，请填实际售价",IF(AND($K2553="对外销售",$T2553&lt;&gt;"",$T2553&lt;0),"※这一笔外销是亏的，请核对售价",IF(IFERROR(VLOOKUP($D2553,库存台账!$A$5:$Y$1204,24,0),0)&lt;-0.001,"※这个物料账面已经变成负数了，查一下是不是漏记入库","")))))))))))</f>
        <v/>
      </c>
    </row>
    <row r="2554">
      <c r="A2554" s="24">
        <f>IF($D2554="","",COUNTA($D$4:$D2554))</f>
        <v/>
      </c>
      <c r="B2554" s="17" t="n"/>
      <c r="C2554" s="30" t="n"/>
      <c r="D2554" s="17" t="n"/>
      <c r="E2554" s="24">
        <f>IF($D2554="","",IFERROR(VLOOKUP($D2554,物料档案!$A$4:$P$1203,3,0),"※编码不在物料档案里"))</f>
        <v/>
      </c>
      <c r="F2554" s="24">
        <f>IF($D2554="","",IFERROR(VLOOKUP($D2554,物料档案!$A$4:$P$1203,4,0),"※编码不在物料档案里"))</f>
        <v/>
      </c>
      <c r="G2554" s="24">
        <f>IF($D2554="","",IFERROR(VLOOKUP($D2554,物料档案!$A$4:$P$1203,5,0),"※编码不在物料档案里"))</f>
        <v/>
      </c>
      <c r="H2554" s="24">
        <f>IF($D2554="","",IFERROR(VLOOKUP($D2554,物料档案!$A$4:$P$1203,2,0),"※编码不在物料档案里"))</f>
        <v/>
      </c>
      <c r="I2554" s="24">
        <f>IF($D2554="","",IFERROR(VLOOKUP($D2554,物料档案!$A$4:$P$1203,6,0),"※编码不在物料档案里"))</f>
        <v/>
      </c>
      <c r="J2554" s="23" t="n"/>
      <c r="K2554" s="17" t="n"/>
      <c r="L2554" s="17" t="n"/>
      <c r="M2554" s="17" t="n"/>
      <c r="N2554" s="17" t="n"/>
      <c r="O2554" s="26">
        <f>IF($D2554="","",IFERROR(VLOOKUP($D2554,物料档案!$A$4:$P$1203,10,0),0))</f>
        <v/>
      </c>
      <c r="P2554" s="32" t="n"/>
      <c r="Q2554" s="26">
        <f>IF($D2554="","",IF($K2554&lt;&gt;"对外销售",0,ROUND(N($J2554)*IF($P2554="",N($O2554),N($P2554)),0)))</f>
        <v/>
      </c>
      <c r="R2554" s="26">
        <f>IF($D2554="","",IFERROR(VLOOKUP($D2554,库存台账!$A$5:$Y$1204,11,0),0))</f>
        <v/>
      </c>
      <c r="S2554" s="26">
        <f>IF($D2554="","",ROUND(N($J2554)*N($R2554),0))</f>
        <v/>
      </c>
      <c r="T2554" s="26">
        <f>IF($D2554="","",IF($K2554&lt;&gt;"对外销售","",ROUND($Q2554-$S2554,0)))</f>
        <v/>
      </c>
      <c r="U2554" s="17" t="n"/>
      <c r="V2554" s="17" t="n"/>
      <c r="W2554" s="24">
        <f>IF($D2554="","",IF($E2554="※编码不在物料档案里","※物料编码不在档案里",IF(N($J2554)&lt;=0,"※出库数量要大于 0",IF($K2554="","※没填去向类型",IF($L2554="","※没填去向矿区",IF(AND($C2554&lt;&gt;"",$C2554&lt;=结账锁),"※日期早于已结账截止日，不能再录",IF(AND($K2554="自用消耗",COUNTIF({"一矿区";"二矿区"},$L2554)=0),"※自用消耗的去向只能是一矿区或二矿区",IF(AND($K2554="对外销售",COUNTIF({"三矿区";"六矿区"},$L2554)=0),"※对外销售的去向只能是三矿区或六矿区",IF(AND($K2554="对外销售",ROUND($Q2554,0)=0),"※外销却没有售价，请填实际售价",IF(AND($K2554="对外销售",$T2554&lt;&gt;"",$T2554&lt;0),"※这一笔外销是亏的，请核对售价",IF(IFERROR(VLOOKUP($D2554,库存台账!$A$5:$Y$1204,24,0),0)&lt;-0.001,"※这个物料账面已经变成负数了，查一下是不是漏记入库","")))))))))))</f>
        <v/>
      </c>
    </row>
    <row r="2555">
      <c r="A2555" s="24">
        <f>IF($D2555="","",COUNTA($D$4:$D2555))</f>
        <v/>
      </c>
      <c r="B2555" s="17" t="n"/>
      <c r="C2555" s="30" t="n"/>
      <c r="D2555" s="17" t="n"/>
      <c r="E2555" s="24">
        <f>IF($D2555="","",IFERROR(VLOOKUP($D2555,物料档案!$A$4:$P$1203,3,0),"※编码不在物料档案里"))</f>
        <v/>
      </c>
      <c r="F2555" s="24">
        <f>IF($D2555="","",IFERROR(VLOOKUP($D2555,物料档案!$A$4:$P$1203,4,0),"※编码不在物料档案里"))</f>
        <v/>
      </c>
      <c r="G2555" s="24">
        <f>IF($D2555="","",IFERROR(VLOOKUP($D2555,物料档案!$A$4:$P$1203,5,0),"※编码不在物料档案里"))</f>
        <v/>
      </c>
      <c r="H2555" s="24">
        <f>IF($D2555="","",IFERROR(VLOOKUP($D2555,物料档案!$A$4:$P$1203,2,0),"※编码不在物料档案里"))</f>
        <v/>
      </c>
      <c r="I2555" s="24">
        <f>IF($D2555="","",IFERROR(VLOOKUP($D2555,物料档案!$A$4:$P$1203,6,0),"※编码不在物料档案里"))</f>
        <v/>
      </c>
      <c r="J2555" s="23" t="n"/>
      <c r="K2555" s="17" t="n"/>
      <c r="L2555" s="17" t="n"/>
      <c r="M2555" s="17" t="n"/>
      <c r="N2555" s="17" t="n"/>
      <c r="O2555" s="26">
        <f>IF($D2555="","",IFERROR(VLOOKUP($D2555,物料档案!$A$4:$P$1203,10,0),0))</f>
        <v/>
      </c>
      <c r="P2555" s="32" t="n"/>
      <c r="Q2555" s="26">
        <f>IF($D2555="","",IF($K2555&lt;&gt;"对外销售",0,ROUND(N($J2555)*IF($P2555="",N($O2555),N($P2555)),0)))</f>
        <v/>
      </c>
      <c r="R2555" s="26">
        <f>IF($D2555="","",IFERROR(VLOOKUP($D2555,库存台账!$A$5:$Y$1204,11,0),0))</f>
        <v/>
      </c>
      <c r="S2555" s="26">
        <f>IF($D2555="","",ROUND(N($J2555)*N($R2555),0))</f>
        <v/>
      </c>
      <c r="T2555" s="26">
        <f>IF($D2555="","",IF($K2555&lt;&gt;"对外销售","",ROUND($Q2555-$S2555,0)))</f>
        <v/>
      </c>
      <c r="U2555" s="17" t="n"/>
      <c r="V2555" s="17" t="n"/>
      <c r="W2555" s="24">
        <f>IF($D2555="","",IF($E2555="※编码不在物料档案里","※物料编码不在档案里",IF(N($J2555)&lt;=0,"※出库数量要大于 0",IF($K2555="","※没填去向类型",IF($L2555="","※没填去向矿区",IF(AND($C2555&lt;&gt;"",$C2555&lt;=结账锁),"※日期早于已结账截止日，不能再录",IF(AND($K2555="自用消耗",COUNTIF({"一矿区";"二矿区"},$L2555)=0),"※自用消耗的去向只能是一矿区或二矿区",IF(AND($K2555="对外销售",COUNTIF({"三矿区";"六矿区"},$L2555)=0),"※对外销售的去向只能是三矿区或六矿区",IF(AND($K2555="对外销售",ROUND($Q2555,0)=0),"※外销却没有售价，请填实际售价",IF(AND($K2555="对外销售",$T2555&lt;&gt;"",$T2555&lt;0),"※这一笔外销是亏的，请核对售价",IF(IFERROR(VLOOKUP($D2555,库存台账!$A$5:$Y$1204,24,0),0)&lt;-0.001,"※这个物料账面已经变成负数了，查一下是不是漏记入库","")))))))))))</f>
        <v/>
      </c>
    </row>
    <row r="2556">
      <c r="A2556" s="24">
        <f>IF($D2556="","",COUNTA($D$4:$D2556))</f>
        <v/>
      </c>
      <c r="B2556" s="17" t="n"/>
      <c r="C2556" s="30" t="n"/>
      <c r="D2556" s="17" t="n"/>
      <c r="E2556" s="24">
        <f>IF($D2556="","",IFERROR(VLOOKUP($D2556,物料档案!$A$4:$P$1203,3,0),"※编码不在物料档案里"))</f>
        <v/>
      </c>
      <c r="F2556" s="24">
        <f>IF($D2556="","",IFERROR(VLOOKUP($D2556,物料档案!$A$4:$P$1203,4,0),"※编码不在物料档案里"))</f>
        <v/>
      </c>
      <c r="G2556" s="24">
        <f>IF($D2556="","",IFERROR(VLOOKUP($D2556,物料档案!$A$4:$P$1203,5,0),"※编码不在物料档案里"))</f>
        <v/>
      </c>
      <c r="H2556" s="24">
        <f>IF($D2556="","",IFERROR(VLOOKUP($D2556,物料档案!$A$4:$P$1203,2,0),"※编码不在物料档案里"))</f>
        <v/>
      </c>
      <c r="I2556" s="24">
        <f>IF($D2556="","",IFERROR(VLOOKUP($D2556,物料档案!$A$4:$P$1203,6,0),"※编码不在物料档案里"))</f>
        <v/>
      </c>
      <c r="J2556" s="23" t="n"/>
      <c r="K2556" s="17" t="n"/>
      <c r="L2556" s="17" t="n"/>
      <c r="M2556" s="17" t="n"/>
      <c r="N2556" s="17" t="n"/>
      <c r="O2556" s="26">
        <f>IF($D2556="","",IFERROR(VLOOKUP($D2556,物料档案!$A$4:$P$1203,10,0),0))</f>
        <v/>
      </c>
      <c r="P2556" s="32" t="n"/>
      <c r="Q2556" s="26">
        <f>IF($D2556="","",IF($K2556&lt;&gt;"对外销售",0,ROUND(N($J2556)*IF($P2556="",N($O2556),N($P2556)),0)))</f>
        <v/>
      </c>
      <c r="R2556" s="26">
        <f>IF($D2556="","",IFERROR(VLOOKUP($D2556,库存台账!$A$5:$Y$1204,11,0),0))</f>
        <v/>
      </c>
      <c r="S2556" s="26">
        <f>IF($D2556="","",ROUND(N($J2556)*N($R2556),0))</f>
        <v/>
      </c>
      <c r="T2556" s="26">
        <f>IF($D2556="","",IF($K2556&lt;&gt;"对外销售","",ROUND($Q2556-$S2556,0)))</f>
        <v/>
      </c>
      <c r="U2556" s="17" t="n"/>
      <c r="V2556" s="17" t="n"/>
      <c r="W2556" s="24">
        <f>IF($D2556="","",IF($E2556="※编码不在物料档案里","※物料编码不在档案里",IF(N($J2556)&lt;=0,"※出库数量要大于 0",IF($K2556="","※没填去向类型",IF($L2556="","※没填去向矿区",IF(AND($C2556&lt;&gt;"",$C2556&lt;=结账锁),"※日期早于已结账截止日，不能再录",IF(AND($K2556="自用消耗",COUNTIF({"一矿区";"二矿区"},$L2556)=0),"※自用消耗的去向只能是一矿区或二矿区",IF(AND($K2556="对外销售",COUNTIF({"三矿区";"六矿区"},$L2556)=0),"※对外销售的去向只能是三矿区或六矿区",IF(AND($K2556="对外销售",ROUND($Q2556,0)=0),"※外销却没有售价，请填实际售价",IF(AND($K2556="对外销售",$T2556&lt;&gt;"",$T2556&lt;0),"※这一笔外销是亏的，请核对售价",IF(IFERROR(VLOOKUP($D2556,库存台账!$A$5:$Y$1204,24,0),0)&lt;-0.001,"※这个物料账面已经变成负数了，查一下是不是漏记入库","")))))))))))</f>
        <v/>
      </c>
    </row>
    <row r="2557">
      <c r="A2557" s="24">
        <f>IF($D2557="","",COUNTA($D$4:$D2557))</f>
        <v/>
      </c>
      <c r="B2557" s="17" t="n"/>
      <c r="C2557" s="30" t="n"/>
      <c r="D2557" s="17" t="n"/>
      <c r="E2557" s="24">
        <f>IF($D2557="","",IFERROR(VLOOKUP($D2557,物料档案!$A$4:$P$1203,3,0),"※编码不在物料档案里"))</f>
        <v/>
      </c>
      <c r="F2557" s="24">
        <f>IF($D2557="","",IFERROR(VLOOKUP($D2557,物料档案!$A$4:$P$1203,4,0),"※编码不在物料档案里"))</f>
        <v/>
      </c>
      <c r="G2557" s="24">
        <f>IF($D2557="","",IFERROR(VLOOKUP($D2557,物料档案!$A$4:$P$1203,5,0),"※编码不在物料档案里"))</f>
        <v/>
      </c>
      <c r="H2557" s="24">
        <f>IF($D2557="","",IFERROR(VLOOKUP($D2557,物料档案!$A$4:$P$1203,2,0),"※编码不在物料档案里"))</f>
        <v/>
      </c>
      <c r="I2557" s="24">
        <f>IF($D2557="","",IFERROR(VLOOKUP($D2557,物料档案!$A$4:$P$1203,6,0),"※编码不在物料档案里"))</f>
        <v/>
      </c>
      <c r="J2557" s="23" t="n"/>
      <c r="K2557" s="17" t="n"/>
      <c r="L2557" s="17" t="n"/>
      <c r="M2557" s="17" t="n"/>
      <c r="N2557" s="17" t="n"/>
      <c r="O2557" s="26">
        <f>IF($D2557="","",IFERROR(VLOOKUP($D2557,物料档案!$A$4:$P$1203,10,0),0))</f>
        <v/>
      </c>
      <c r="P2557" s="32" t="n"/>
      <c r="Q2557" s="26">
        <f>IF($D2557="","",IF($K2557&lt;&gt;"对外销售",0,ROUND(N($J2557)*IF($P2557="",N($O2557),N($P2557)),0)))</f>
        <v/>
      </c>
      <c r="R2557" s="26">
        <f>IF($D2557="","",IFERROR(VLOOKUP($D2557,库存台账!$A$5:$Y$1204,11,0),0))</f>
        <v/>
      </c>
      <c r="S2557" s="26">
        <f>IF($D2557="","",ROUND(N($J2557)*N($R2557),0))</f>
        <v/>
      </c>
      <c r="T2557" s="26">
        <f>IF($D2557="","",IF($K2557&lt;&gt;"对外销售","",ROUND($Q2557-$S2557,0)))</f>
        <v/>
      </c>
      <c r="U2557" s="17" t="n"/>
      <c r="V2557" s="17" t="n"/>
      <c r="W2557" s="24">
        <f>IF($D2557="","",IF($E2557="※编码不在物料档案里","※物料编码不在档案里",IF(N($J2557)&lt;=0,"※出库数量要大于 0",IF($K2557="","※没填去向类型",IF($L2557="","※没填去向矿区",IF(AND($C2557&lt;&gt;"",$C2557&lt;=结账锁),"※日期早于已结账截止日，不能再录",IF(AND($K2557="自用消耗",COUNTIF({"一矿区";"二矿区"},$L2557)=0),"※自用消耗的去向只能是一矿区或二矿区",IF(AND($K2557="对外销售",COUNTIF({"三矿区";"六矿区"},$L2557)=0),"※对外销售的去向只能是三矿区或六矿区",IF(AND($K2557="对外销售",ROUND($Q2557,0)=0),"※外销却没有售价，请填实际售价",IF(AND($K2557="对外销售",$T2557&lt;&gt;"",$T2557&lt;0),"※这一笔外销是亏的，请核对售价",IF(IFERROR(VLOOKUP($D2557,库存台账!$A$5:$Y$1204,24,0),0)&lt;-0.001,"※这个物料账面已经变成负数了，查一下是不是漏记入库","")))))))))))</f>
        <v/>
      </c>
    </row>
    <row r="2558">
      <c r="A2558" s="24">
        <f>IF($D2558="","",COUNTA($D$4:$D2558))</f>
        <v/>
      </c>
      <c r="B2558" s="17" t="n"/>
      <c r="C2558" s="30" t="n"/>
      <c r="D2558" s="17" t="n"/>
      <c r="E2558" s="24">
        <f>IF($D2558="","",IFERROR(VLOOKUP($D2558,物料档案!$A$4:$P$1203,3,0),"※编码不在物料档案里"))</f>
        <v/>
      </c>
      <c r="F2558" s="24">
        <f>IF($D2558="","",IFERROR(VLOOKUP($D2558,物料档案!$A$4:$P$1203,4,0),"※编码不在物料档案里"))</f>
        <v/>
      </c>
      <c r="G2558" s="24">
        <f>IF($D2558="","",IFERROR(VLOOKUP($D2558,物料档案!$A$4:$P$1203,5,0),"※编码不在物料档案里"))</f>
        <v/>
      </c>
      <c r="H2558" s="24">
        <f>IF($D2558="","",IFERROR(VLOOKUP($D2558,物料档案!$A$4:$P$1203,2,0),"※编码不在物料档案里"))</f>
        <v/>
      </c>
      <c r="I2558" s="24">
        <f>IF($D2558="","",IFERROR(VLOOKUP($D2558,物料档案!$A$4:$P$1203,6,0),"※编码不在物料档案里"))</f>
        <v/>
      </c>
      <c r="J2558" s="23" t="n"/>
      <c r="K2558" s="17" t="n"/>
      <c r="L2558" s="17" t="n"/>
      <c r="M2558" s="17" t="n"/>
      <c r="N2558" s="17" t="n"/>
      <c r="O2558" s="26">
        <f>IF($D2558="","",IFERROR(VLOOKUP($D2558,物料档案!$A$4:$P$1203,10,0),0))</f>
        <v/>
      </c>
      <c r="P2558" s="32" t="n"/>
      <c r="Q2558" s="26">
        <f>IF($D2558="","",IF($K2558&lt;&gt;"对外销售",0,ROUND(N($J2558)*IF($P2558="",N($O2558),N($P2558)),0)))</f>
        <v/>
      </c>
      <c r="R2558" s="26">
        <f>IF($D2558="","",IFERROR(VLOOKUP($D2558,库存台账!$A$5:$Y$1204,11,0),0))</f>
        <v/>
      </c>
      <c r="S2558" s="26">
        <f>IF($D2558="","",ROUND(N($J2558)*N($R2558),0))</f>
        <v/>
      </c>
      <c r="T2558" s="26">
        <f>IF($D2558="","",IF($K2558&lt;&gt;"对外销售","",ROUND($Q2558-$S2558,0)))</f>
        <v/>
      </c>
      <c r="U2558" s="17" t="n"/>
      <c r="V2558" s="17" t="n"/>
      <c r="W2558" s="24">
        <f>IF($D2558="","",IF($E2558="※编码不在物料档案里","※物料编码不在档案里",IF(N($J2558)&lt;=0,"※出库数量要大于 0",IF($K2558="","※没填去向类型",IF($L2558="","※没填去向矿区",IF(AND($C2558&lt;&gt;"",$C2558&lt;=结账锁),"※日期早于已结账截止日，不能再录",IF(AND($K2558="自用消耗",COUNTIF({"一矿区";"二矿区"},$L2558)=0),"※自用消耗的去向只能是一矿区或二矿区",IF(AND($K2558="对外销售",COUNTIF({"三矿区";"六矿区"},$L2558)=0),"※对外销售的去向只能是三矿区或六矿区",IF(AND($K2558="对外销售",ROUND($Q2558,0)=0),"※外销却没有售价，请填实际售价",IF(AND($K2558="对外销售",$T2558&lt;&gt;"",$T2558&lt;0),"※这一笔外销是亏的，请核对售价",IF(IFERROR(VLOOKUP($D2558,库存台账!$A$5:$Y$1204,24,0),0)&lt;-0.001,"※这个物料账面已经变成负数了，查一下是不是漏记入库","")))))))))))</f>
        <v/>
      </c>
    </row>
    <row r="2559">
      <c r="A2559" s="24">
        <f>IF($D2559="","",COUNTA($D$4:$D2559))</f>
        <v/>
      </c>
      <c r="B2559" s="17" t="n"/>
      <c r="C2559" s="30" t="n"/>
      <c r="D2559" s="17" t="n"/>
      <c r="E2559" s="24">
        <f>IF($D2559="","",IFERROR(VLOOKUP($D2559,物料档案!$A$4:$P$1203,3,0),"※编码不在物料档案里"))</f>
        <v/>
      </c>
      <c r="F2559" s="24">
        <f>IF($D2559="","",IFERROR(VLOOKUP($D2559,物料档案!$A$4:$P$1203,4,0),"※编码不在物料档案里"))</f>
        <v/>
      </c>
      <c r="G2559" s="24">
        <f>IF($D2559="","",IFERROR(VLOOKUP($D2559,物料档案!$A$4:$P$1203,5,0),"※编码不在物料档案里"))</f>
        <v/>
      </c>
      <c r="H2559" s="24">
        <f>IF($D2559="","",IFERROR(VLOOKUP($D2559,物料档案!$A$4:$P$1203,2,0),"※编码不在物料档案里"))</f>
        <v/>
      </c>
      <c r="I2559" s="24">
        <f>IF($D2559="","",IFERROR(VLOOKUP($D2559,物料档案!$A$4:$P$1203,6,0),"※编码不在物料档案里"))</f>
        <v/>
      </c>
      <c r="J2559" s="23" t="n"/>
      <c r="K2559" s="17" t="n"/>
      <c r="L2559" s="17" t="n"/>
      <c r="M2559" s="17" t="n"/>
      <c r="N2559" s="17" t="n"/>
      <c r="O2559" s="26">
        <f>IF($D2559="","",IFERROR(VLOOKUP($D2559,物料档案!$A$4:$P$1203,10,0),0))</f>
        <v/>
      </c>
      <c r="P2559" s="32" t="n"/>
      <c r="Q2559" s="26">
        <f>IF($D2559="","",IF($K2559&lt;&gt;"对外销售",0,ROUND(N($J2559)*IF($P2559="",N($O2559),N($P2559)),0)))</f>
        <v/>
      </c>
      <c r="R2559" s="26">
        <f>IF($D2559="","",IFERROR(VLOOKUP($D2559,库存台账!$A$5:$Y$1204,11,0),0))</f>
        <v/>
      </c>
      <c r="S2559" s="26">
        <f>IF($D2559="","",ROUND(N($J2559)*N($R2559),0))</f>
        <v/>
      </c>
      <c r="T2559" s="26">
        <f>IF($D2559="","",IF($K2559&lt;&gt;"对外销售","",ROUND($Q2559-$S2559,0)))</f>
        <v/>
      </c>
      <c r="U2559" s="17" t="n"/>
      <c r="V2559" s="17" t="n"/>
      <c r="W2559" s="24">
        <f>IF($D2559="","",IF($E2559="※编码不在物料档案里","※物料编码不在档案里",IF(N($J2559)&lt;=0,"※出库数量要大于 0",IF($K2559="","※没填去向类型",IF($L2559="","※没填去向矿区",IF(AND($C2559&lt;&gt;"",$C2559&lt;=结账锁),"※日期早于已结账截止日，不能再录",IF(AND($K2559="自用消耗",COUNTIF({"一矿区";"二矿区"},$L2559)=0),"※自用消耗的去向只能是一矿区或二矿区",IF(AND($K2559="对外销售",COUNTIF({"三矿区";"六矿区"},$L2559)=0),"※对外销售的去向只能是三矿区或六矿区",IF(AND($K2559="对外销售",ROUND($Q2559,0)=0),"※外销却没有售价，请填实际售价",IF(AND($K2559="对外销售",$T2559&lt;&gt;"",$T2559&lt;0),"※这一笔外销是亏的，请核对售价",IF(IFERROR(VLOOKUP($D2559,库存台账!$A$5:$Y$1204,24,0),0)&lt;-0.001,"※这个物料账面已经变成负数了，查一下是不是漏记入库","")))))))))))</f>
        <v/>
      </c>
    </row>
    <row r="2560">
      <c r="A2560" s="24">
        <f>IF($D2560="","",COUNTA($D$4:$D2560))</f>
        <v/>
      </c>
      <c r="B2560" s="17" t="n"/>
      <c r="C2560" s="30" t="n"/>
      <c r="D2560" s="17" t="n"/>
      <c r="E2560" s="24">
        <f>IF($D2560="","",IFERROR(VLOOKUP($D2560,物料档案!$A$4:$P$1203,3,0),"※编码不在物料档案里"))</f>
        <v/>
      </c>
      <c r="F2560" s="24">
        <f>IF($D2560="","",IFERROR(VLOOKUP($D2560,物料档案!$A$4:$P$1203,4,0),"※编码不在物料档案里"))</f>
        <v/>
      </c>
      <c r="G2560" s="24">
        <f>IF($D2560="","",IFERROR(VLOOKUP($D2560,物料档案!$A$4:$P$1203,5,0),"※编码不在物料档案里"))</f>
        <v/>
      </c>
      <c r="H2560" s="24">
        <f>IF($D2560="","",IFERROR(VLOOKUP($D2560,物料档案!$A$4:$P$1203,2,0),"※编码不在物料档案里"))</f>
        <v/>
      </c>
      <c r="I2560" s="24">
        <f>IF($D2560="","",IFERROR(VLOOKUP($D2560,物料档案!$A$4:$P$1203,6,0),"※编码不在物料档案里"))</f>
        <v/>
      </c>
      <c r="J2560" s="23" t="n"/>
      <c r="K2560" s="17" t="n"/>
      <c r="L2560" s="17" t="n"/>
      <c r="M2560" s="17" t="n"/>
      <c r="N2560" s="17" t="n"/>
      <c r="O2560" s="26">
        <f>IF($D2560="","",IFERROR(VLOOKUP($D2560,物料档案!$A$4:$P$1203,10,0),0))</f>
        <v/>
      </c>
      <c r="P2560" s="32" t="n"/>
      <c r="Q2560" s="26">
        <f>IF($D2560="","",IF($K2560&lt;&gt;"对外销售",0,ROUND(N($J2560)*IF($P2560="",N($O2560),N($P2560)),0)))</f>
        <v/>
      </c>
      <c r="R2560" s="26">
        <f>IF($D2560="","",IFERROR(VLOOKUP($D2560,库存台账!$A$5:$Y$1204,11,0),0))</f>
        <v/>
      </c>
      <c r="S2560" s="26">
        <f>IF($D2560="","",ROUND(N($J2560)*N($R2560),0))</f>
        <v/>
      </c>
      <c r="T2560" s="26">
        <f>IF($D2560="","",IF($K2560&lt;&gt;"对外销售","",ROUND($Q2560-$S2560,0)))</f>
        <v/>
      </c>
      <c r="U2560" s="17" t="n"/>
      <c r="V2560" s="17" t="n"/>
      <c r="W2560" s="24">
        <f>IF($D2560="","",IF($E2560="※编码不在物料档案里","※物料编码不在档案里",IF(N($J2560)&lt;=0,"※出库数量要大于 0",IF($K2560="","※没填去向类型",IF($L2560="","※没填去向矿区",IF(AND($C2560&lt;&gt;"",$C2560&lt;=结账锁),"※日期早于已结账截止日，不能再录",IF(AND($K2560="自用消耗",COUNTIF({"一矿区";"二矿区"},$L2560)=0),"※自用消耗的去向只能是一矿区或二矿区",IF(AND($K2560="对外销售",COUNTIF({"三矿区";"六矿区"},$L2560)=0),"※对外销售的去向只能是三矿区或六矿区",IF(AND($K2560="对外销售",ROUND($Q2560,0)=0),"※外销却没有售价，请填实际售价",IF(AND($K2560="对外销售",$T2560&lt;&gt;"",$T2560&lt;0),"※这一笔外销是亏的，请核对售价",IF(IFERROR(VLOOKUP($D2560,库存台账!$A$5:$Y$1204,24,0),0)&lt;-0.001,"※这个物料账面已经变成负数了，查一下是不是漏记入库","")))))))))))</f>
        <v/>
      </c>
    </row>
    <row r="2561">
      <c r="A2561" s="24">
        <f>IF($D2561="","",COUNTA($D$4:$D2561))</f>
        <v/>
      </c>
      <c r="B2561" s="17" t="n"/>
      <c r="C2561" s="30" t="n"/>
      <c r="D2561" s="17" t="n"/>
      <c r="E2561" s="24">
        <f>IF($D2561="","",IFERROR(VLOOKUP($D2561,物料档案!$A$4:$P$1203,3,0),"※编码不在物料档案里"))</f>
        <v/>
      </c>
      <c r="F2561" s="24">
        <f>IF($D2561="","",IFERROR(VLOOKUP($D2561,物料档案!$A$4:$P$1203,4,0),"※编码不在物料档案里"))</f>
        <v/>
      </c>
      <c r="G2561" s="24">
        <f>IF($D2561="","",IFERROR(VLOOKUP($D2561,物料档案!$A$4:$P$1203,5,0),"※编码不在物料档案里"))</f>
        <v/>
      </c>
      <c r="H2561" s="24">
        <f>IF($D2561="","",IFERROR(VLOOKUP($D2561,物料档案!$A$4:$P$1203,2,0),"※编码不在物料档案里"))</f>
        <v/>
      </c>
      <c r="I2561" s="24">
        <f>IF($D2561="","",IFERROR(VLOOKUP($D2561,物料档案!$A$4:$P$1203,6,0),"※编码不在物料档案里"))</f>
        <v/>
      </c>
      <c r="J2561" s="23" t="n"/>
      <c r="K2561" s="17" t="n"/>
      <c r="L2561" s="17" t="n"/>
      <c r="M2561" s="17" t="n"/>
      <c r="N2561" s="17" t="n"/>
      <c r="O2561" s="26">
        <f>IF($D2561="","",IFERROR(VLOOKUP($D2561,物料档案!$A$4:$P$1203,10,0),0))</f>
        <v/>
      </c>
      <c r="P2561" s="32" t="n"/>
      <c r="Q2561" s="26">
        <f>IF($D2561="","",IF($K2561&lt;&gt;"对外销售",0,ROUND(N($J2561)*IF($P2561="",N($O2561),N($P2561)),0)))</f>
        <v/>
      </c>
      <c r="R2561" s="26">
        <f>IF($D2561="","",IFERROR(VLOOKUP($D2561,库存台账!$A$5:$Y$1204,11,0),0))</f>
        <v/>
      </c>
      <c r="S2561" s="26">
        <f>IF($D2561="","",ROUND(N($J2561)*N($R2561),0))</f>
        <v/>
      </c>
      <c r="T2561" s="26">
        <f>IF($D2561="","",IF($K2561&lt;&gt;"对外销售","",ROUND($Q2561-$S2561,0)))</f>
        <v/>
      </c>
      <c r="U2561" s="17" t="n"/>
      <c r="V2561" s="17" t="n"/>
      <c r="W2561" s="24">
        <f>IF($D2561="","",IF($E2561="※编码不在物料档案里","※物料编码不在档案里",IF(N($J2561)&lt;=0,"※出库数量要大于 0",IF($K2561="","※没填去向类型",IF($L2561="","※没填去向矿区",IF(AND($C2561&lt;&gt;"",$C2561&lt;=结账锁),"※日期早于已结账截止日，不能再录",IF(AND($K2561="自用消耗",COUNTIF({"一矿区";"二矿区"},$L2561)=0),"※自用消耗的去向只能是一矿区或二矿区",IF(AND($K2561="对外销售",COUNTIF({"三矿区";"六矿区"},$L2561)=0),"※对外销售的去向只能是三矿区或六矿区",IF(AND($K2561="对外销售",ROUND($Q2561,0)=0),"※外销却没有售价，请填实际售价",IF(AND($K2561="对外销售",$T2561&lt;&gt;"",$T2561&lt;0),"※这一笔外销是亏的，请核对售价",IF(IFERROR(VLOOKUP($D2561,库存台账!$A$5:$Y$1204,24,0),0)&lt;-0.001,"※这个物料账面已经变成负数了，查一下是不是漏记入库","")))))))))))</f>
        <v/>
      </c>
    </row>
    <row r="2562">
      <c r="A2562" s="24">
        <f>IF($D2562="","",COUNTA($D$4:$D2562))</f>
        <v/>
      </c>
      <c r="B2562" s="17" t="n"/>
      <c r="C2562" s="30" t="n"/>
      <c r="D2562" s="17" t="n"/>
      <c r="E2562" s="24">
        <f>IF($D2562="","",IFERROR(VLOOKUP($D2562,物料档案!$A$4:$P$1203,3,0),"※编码不在物料档案里"))</f>
        <v/>
      </c>
      <c r="F2562" s="24">
        <f>IF($D2562="","",IFERROR(VLOOKUP($D2562,物料档案!$A$4:$P$1203,4,0),"※编码不在物料档案里"))</f>
        <v/>
      </c>
      <c r="G2562" s="24">
        <f>IF($D2562="","",IFERROR(VLOOKUP($D2562,物料档案!$A$4:$P$1203,5,0),"※编码不在物料档案里"))</f>
        <v/>
      </c>
      <c r="H2562" s="24">
        <f>IF($D2562="","",IFERROR(VLOOKUP($D2562,物料档案!$A$4:$P$1203,2,0),"※编码不在物料档案里"))</f>
        <v/>
      </c>
      <c r="I2562" s="24">
        <f>IF($D2562="","",IFERROR(VLOOKUP($D2562,物料档案!$A$4:$P$1203,6,0),"※编码不在物料档案里"))</f>
        <v/>
      </c>
      <c r="J2562" s="23" t="n"/>
      <c r="K2562" s="17" t="n"/>
      <c r="L2562" s="17" t="n"/>
      <c r="M2562" s="17" t="n"/>
      <c r="N2562" s="17" t="n"/>
      <c r="O2562" s="26">
        <f>IF($D2562="","",IFERROR(VLOOKUP($D2562,物料档案!$A$4:$P$1203,10,0),0))</f>
        <v/>
      </c>
      <c r="P2562" s="32" t="n"/>
      <c r="Q2562" s="26">
        <f>IF($D2562="","",IF($K2562&lt;&gt;"对外销售",0,ROUND(N($J2562)*IF($P2562="",N($O2562),N($P2562)),0)))</f>
        <v/>
      </c>
      <c r="R2562" s="26">
        <f>IF($D2562="","",IFERROR(VLOOKUP($D2562,库存台账!$A$5:$Y$1204,11,0),0))</f>
        <v/>
      </c>
      <c r="S2562" s="26">
        <f>IF($D2562="","",ROUND(N($J2562)*N($R2562),0))</f>
        <v/>
      </c>
      <c r="T2562" s="26">
        <f>IF($D2562="","",IF($K2562&lt;&gt;"对外销售","",ROUND($Q2562-$S2562,0)))</f>
        <v/>
      </c>
      <c r="U2562" s="17" t="n"/>
      <c r="V2562" s="17" t="n"/>
      <c r="W2562" s="24">
        <f>IF($D2562="","",IF($E2562="※编码不在物料档案里","※物料编码不在档案里",IF(N($J2562)&lt;=0,"※出库数量要大于 0",IF($K2562="","※没填去向类型",IF($L2562="","※没填去向矿区",IF(AND($C2562&lt;&gt;"",$C2562&lt;=结账锁),"※日期早于已结账截止日，不能再录",IF(AND($K2562="自用消耗",COUNTIF({"一矿区";"二矿区"},$L2562)=0),"※自用消耗的去向只能是一矿区或二矿区",IF(AND($K2562="对外销售",COUNTIF({"三矿区";"六矿区"},$L2562)=0),"※对外销售的去向只能是三矿区或六矿区",IF(AND($K2562="对外销售",ROUND($Q2562,0)=0),"※外销却没有售价，请填实际售价",IF(AND($K2562="对外销售",$T2562&lt;&gt;"",$T2562&lt;0),"※这一笔外销是亏的，请核对售价",IF(IFERROR(VLOOKUP($D2562,库存台账!$A$5:$Y$1204,24,0),0)&lt;-0.001,"※这个物料账面已经变成负数了，查一下是不是漏记入库","")))))))))))</f>
        <v/>
      </c>
    </row>
    <row r="2563">
      <c r="A2563" s="24">
        <f>IF($D2563="","",COUNTA($D$4:$D2563))</f>
        <v/>
      </c>
      <c r="B2563" s="17" t="n"/>
      <c r="C2563" s="30" t="n"/>
      <c r="D2563" s="17" t="n"/>
      <c r="E2563" s="24">
        <f>IF($D2563="","",IFERROR(VLOOKUP($D2563,物料档案!$A$4:$P$1203,3,0),"※编码不在物料档案里"))</f>
        <v/>
      </c>
      <c r="F2563" s="24">
        <f>IF($D2563="","",IFERROR(VLOOKUP($D2563,物料档案!$A$4:$P$1203,4,0),"※编码不在物料档案里"))</f>
        <v/>
      </c>
      <c r="G2563" s="24">
        <f>IF($D2563="","",IFERROR(VLOOKUP($D2563,物料档案!$A$4:$P$1203,5,0),"※编码不在物料档案里"))</f>
        <v/>
      </c>
      <c r="H2563" s="24">
        <f>IF($D2563="","",IFERROR(VLOOKUP($D2563,物料档案!$A$4:$P$1203,2,0),"※编码不在物料档案里"))</f>
        <v/>
      </c>
      <c r="I2563" s="24">
        <f>IF($D2563="","",IFERROR(VLOOKUP($D2563,物料档案!$A$4:$P$1203,6,0),"※编码不在物料档案里"))</f>
        <v/>
      </c>
      <c r="J2563" s="23" t="n"/>
      <c r="K2563" s="17" t="n"/>
      <c r="L2563" s="17" t="n"/>
      <c r="M2563" s="17" t="n"/>
      <c r="N2563" s="17" t="n"/>
      <c r="O2563" s="26">
        <f>IF($D2563="","",IFERROR(VLOOKUP($D2563,物料档案!$A$4:$P$1203,10,0),0))</f>
        <v/>
      </c>
      <c r="P2563" s="32" t="n"/>
      <c r="Q2563" s="26">
        <f>IF($D2563="","",IF($K2563&lt;&gt;"对外销售",0,ROUND(N($J2563)*IF($P2563="",N($O2563),N($P2563)),0)))</f>
        <v/>
      </c>
      <c r="R2563" s="26">
        <f>IF($D2563="","",IFERROR(VLOOKUP($D2563,库存台账!$A$5:$Y$1204,11,0),0))</f>
        <v/>
      </c>
      <c r="S2563" s="26">
        <f>IF($D2563="","",ROUND(N($J2563)*N($R2563),0))</f>
        <v/>
      </c>
      <c r="T2563" s="26">
        <f>IF($D2563="","",IF($K2563&lt;&gt;"对外销售","",ROUND($Q2563-$S2563,0)))</f>
        <v/>
      </c>
      <c r="U2563" s="17" t="n"/>
      <c r="V2563" s="17" t="n"/>
      <c r="W2563" s="24">
        <f>IF($D2563="","",IF($E2563="※编码不在物料档案里","※物料编码不在档案里",IF(N($J2563)&lt;=0,"※出库数量要大于 0",IF($K2563="","※没填去向类型",IF($L2563="","※没填去向矿区",IF(AND($C2563&lt;&gt;"",$C2563&lt;=结账锁),"※日期早于已结账截止日，不能再录",IF(AND($K2563="自用消耗",COUNTIF({"一矿区";"二矿区"},$L2563)=0),"※自用消耗的去向只能是一矿区或二矿区",IF(AND($K2563="对外销售",COUNTIF({"三矿区";"六矿区"},$L2563)=0),"※对外销售的去向只能是三矿区或六矿区",IF(AND($K2563="对外销售",ROUND($Q2563,0)=0),"※外销却没有售价，请填实际售价",IF(AND($K2563="对外销售",$T2563&lt;&gt;"",$T2563&lt;0),"※这一笔外销是亏的，请核对售价",IF(IFERROR(VLOOKUP($D2563,库存台账!$A$5:$Y$1204,24,0),0)&lt;-0.001,"※这个物料账面已经变成负数了，查一下是不是漏记入库","")))))))))))</f>
        <v/>
      </c>
    </row>
    <row r="2564">
      <c r="A2564" s="24">
        <f>IF($D2564="","",COUNTA($D$4:$D2564))</f>
        <v/>
      </c>
      <c r="B2564" s="17" t="n"/>
      <c r="C2564" s="30" t="n"/>
      <c r="D2564" s="17" t="n"/>
      <c r="E2564" s="24">
        <f>IF($D2564="","",IFERROR(VLOOKUP($D2564,物料档案!$A$4:$P$1203,3,0),"※编码不在物料档案里"))</f>
        <v/>
      </c>
      <c r="F2564" s="24">
        <f>IF($D2564="","",IFERROR(VLOOKUP($D2564,物料档案!$A$4:$P$1203,4,0),"※编码不在物料档案里"))</f>
        <v/>
      </c>
      <c r="G2564" s="24">
        <f>IF($D2564="","",IFERROR(VLOOKUP($D2564,物料档案!$A$4:$P$1203,5,0),"※编码不在物料档案里"))</f>
        <v/>
      </c>
      <c r="H2564" s="24">
        <f>IF($D2564="","",IFERROR(VLOOKUP($D2564,物料档案!$A$4:$P$1203,2,0),"※编码不在物料档案里"))</f>
        <v/>
      </c>
      <c r="I2564" s="24">
        <f>IF($D2564="","",IFERROR(VLOOKUP($D2564,物料档案!$A$4:$P$1203,6,0),"※编码不在物料档案里"))</f>
        <v/>
      </c>
      <c r="J2564" s="23" t="n"/>
      <c r="K2564" s="17" t="n"/>
      <c r="L2564" s="17" t="n"/>
      <c r="M2564" s="17" t="n"/>
      <c r="N2564" s="17" t="n"/>
      <c r="O2564" s="26">
        <f>IF($D2564="","",IFERROR(VLOOKUP($D2564,物料档案!$A$4:$P$1203,10,0),0))</f>
        <v/>
      </c>
      <c r="P2564" s="32" t="n"/>
      <c r="Q2564" s="26">
        <f>IF($D2564="","",IF($K2564&lt;&gt;"对外销售",0,ROUND(N($J2564)*IF($P2564="",N($O2564),N($P2564)),0)))</f>
        <v/>
      </c>
      <c r="R2564" s="26">
        <f>IF($D2564="","",IFERROR(VLOOKUP($D2564,库存台账!$A$5:$Y$1204,11,0),0))</f>
        <v/>
      </c>
      <c r="S2564" s="26">
        <f>IF($D2564="","",ROUND(N($J2564)*N($R2564),0))</f>
        <v/>
      </c>
      <c r="T2564" s="26">
        <f>IF($D2564="","",IF($K2564&lt;&gt;"对外销售","",ROUND($Q2564-$S2564,0)))</f>
        <v/>
      </c>
      <c r="U2564" s="17" t="n"/>
      <c r="V2564" s="17" t="n"/>
      <c r="W2564" s="24">
        <f>IF($D2564="","",IF($E2564="※编码不在物料档案里","※物料编码不在档案里",IF(N($J2564)&lt;=0,"※出库数量要大于 0",IF($K2564="","※没填去向类型",IF($L2564="","※没填去向矿区",IF(AND($C2564&lt;&gt;"",$C2564&lt;=结账锁),"※日期早于已结账截止日，不能再录",IF(AND($K2564="自用消耗",COUNTIF({"一矿区";"二矿区"},$L2564)=0),"※自用消耗的去向只能是一矿区或二矿区",IF(AND($K2564="对外销售",COUNTIF({"三矿区";"六矿区"},$L2564)=0),"※对外销售的去向只能是三矿区或六矿区",IF(AND($K2564="对外销售",ROUND($Q2564,0)=0),"※外销却没有售价，请填实际售价",IF(AND($K2564="对外销售",$T2564&lt;&gt;"",$T2564&lt;0),"※这一笔外销是亏的，请核对售价",IF(IFERROR(VLOOKUP($D2564,库存台账!$A$5:$Y$1204,24,0),0)&lt;-0.001,"※这个物料账面已经变成负数了，查一下是不是漏记入库","")))))))))))</f>
        <v/>
      </c>
    </row>
    <row r="2565">
      <c r="A2565" s="24">
        <f>IF($D2565="","",COUNTA($D$4:$D2565))</f>
        <v/>
      </c>
      <c r="B2565" s="17" t="n"/>
      <c r="C2565" s="30" t="n"/>
      <c r="D2565" s="17" t="n"/>
      <c r="E2565" s="24">
        <f>IF($D2565="","",IFERROR(VLOOKUP($D2565,物料档案!$A$4:$P$1203,3,0),"※编码不在物料档案里"))</f>
        <v/>
      </c>
      <c r="F2565" s="24">
        <f>IF($D2565="","",IFERROR(VLOOKUP($D2565,物料档案!$A$4:$P$1203,4,0),"※编码不在物料档案里"))</f>
        <v/>
      </c>
      <c r="G2565" s="24">
        <f>IF($D2565="","",IFERROR(VLOOKUP($D2565,物料档案!$A$4:$P$1203,5,0),"※编码不在物料档案里"))</f>
        <v/>
      </c>
      <c r="H2565" s="24">
        <f>IF($D2565="","",IFERROR(VLOOKUP($D2565,物料档案!$A$4:$P$1203,2,0),"※编码不在物料档案里"))</f>
        <v/>
      </c>
      <c r="I2565" s="24">
        <f>IF($D2565="","",IFERROR(VLOOKUP($D2565,物料档案!$A$4:$P$1203,6,0),"※编码不在物料档案里"))</f>
        <v/>
      </c>
      <c r="J2565" s="23" t="n"/>
      <c r="K2565" s="17" t="n"/>
      <c r="L2565" s="17" t="n"/>
      <c r="M2565" s="17" t="n"/>
      <c r="N2565" s="17" t="n"/>
      <c r="O2565" s="26">
        <f>IF($D2565="","",IFERROR(VLOOKUP($D2565,物料档案!$A$4:$P$1203,10,0),0))</f>
        <v/>
      </c>
      <c r="P2565" s="32" t="n"/>
      <c r="Q2565" s="26">
        <f>IF($D2565="","",IF($K2565&lt;&gt;"对外销售",0,ROUND(N($J2565)*IF($P2565="",N($O2565),N($P2565)),0)))</f>
        <v/>
      </c>
      <c r="R2565" s="26">
        <f>IF($D2565="","",IFERROR(VLOOKUP($D2565,库存台账!$A$5:$Y$1204,11,0),0))</f>
        <v/>
      </c>
      <c r="S2565" s="26">
        <f>IF($D2565="","",ROUND(N($J2565)*N($R2565),0))</f>
        <v/>
      </c>
      <c r="T2565" s="26">
        <f>IF($D2565="","",IF($K2565&lt;&gt;"对外销售","",ROUND($Q2565-$S2565,0)))</f>
        <v/>
      </c>
      <c r="U2565" s="17" t="n"/>
      <c r="V2565" s="17" t="n"/>
      <c r="W2565" s="24">
        <f>IF($D2565="","",IF($E2565="※编码不在物料档案里","※物料编码不在档案里",IF(N($J2565)&lt;=0,"※出库数量要大于 0",IF($K2565="","※没填去向类型",IF($L2565="","※没填去向矿区",IF(AND($C2565&lt;&gt;"",$C2565&lt;=结账锁),"※日期早于已结账截止日，不能再录",IF(AND($K2565="自用消耗",COUNTIF({"一矿区";"二矿区"},$L2565)=0),"※自用消耗的去向只能是一矿区或二矿区",IF(AND($K2565="对外销售",COUNTIF({"三矿区";"六矿区"},$L2565)=0),"※对外销售的去向只能是三矿区或六矿区",IF(AND($K2565="对外销售",ROUND($Q2565,0)=0),"※外销却没有售价，请填实际售价",IF(AND($K2565="对外销售",$T2565&lt;&gt;"",$T2565&lt;0),"※这一笔外销是亏的，请核对售价",IF(IFERROR(VLOOKUP($D2565,库存台账!$A$5:$Y$1204,24,0),0)&lt;-0.001,"※这个物料账面已经变成负数了，查一下是不是漏记入库","")))))))))))</f>
        <v/>
      </c>
    </row>
    <row r="2566">
      <c r="A2566" s="24">
        <f>IF($D2566="","",COUNTA($D$4:$D2566))</f>
        <v/>
      </c>
      <c r="B2566" s="17" t="n"/>
      <c r="C2566" s="30" t="n"/>
      <c r="D2566" s="17" t="n"/>
      <c r="E2566" s="24">
        <f>IF($D2566="","",IFERROR(VLOOKUP($D2566,物料档案!$A$4:$P$1203,3,0),"※编码不在物料档案里"))</f>
        <v/>
      </c>
      <c r="F2566" s="24">
        <f>IF($D2566="","",IFERROR(VLOOKUP($D2566,物料档案!$A$4:$P$1203,4,0),"※编码不在物料档案里"))</f>
        <v/>
      </c>
      <c r="G2566" s="24">
        <f>IF($D2566="","",IFERROR(VLOOKUP($D2566,物料档案!$A$4:$P$1203,5,0),"※编码不在物料档案里"))</f>
        <v/>
      </c>
      <c r="H2566" s="24">
        <f>IF($D2566="","",IFERROR(VLOOKUP($D2566,物料档案!$A$4:$P$1203,2,0),"※编码不在物料档案里"))</f>
        <v/>
      </c>
      <c r="I2566" s="24">
        <f>IF($D2566="","",IFERROR(VLOOKUP($D2566,物料档案!$A$4:$P$1203,6,0),"※编码不在物料档案里"))</f>
        <v/>
      </c>
      <c r="J2566" s="23" t="n"/>
      <c r="K2566" s="17" t="n"/>
      <c r="L2566" s="17" t="n"/>
      <c r="M2566" s="17" t="n"/>
      <c r="N2566" s="17" t="n"/>
      <c r="O2566" s="26">
        <f>IF($D2566="","",IFERROR(VLOOKUP($D2566,物料档案!$A$4:$P$1203,10,0),0))</f>
        <v/>
      </c>
      <c r="P2566" s="32" t="n"/>
      <c r="Q2566" s="26">
        <f>IF($D2566="","",IF($K2566&lt;&gt;"对外销售",0,ROUND(N($J2566)*IF($P2566="",N($O2566),N($P2566)),0)))</f>
        <v/>
      </c>
      <c r="R2566" s="26">
        <f>IF($D2566="","",IFERROR(VLOOKUP($D2566,库存台账!$A$5:$Y$1204,11,0),0))</f>
        <v/>
      </c>
      <c r="S2566" s="26">
        <f>IF($D2566="","",ROUND(N($J2566)*N($R2566),0))</f>
        <v/>
      </c>
      <c r="T2566" s="26">
        <f>IF($D2566="","",IF($K2566&lt;&gt;"对外销售","",ROUND($Q2566-$S2566,0)))</f>
        <v/>
      </c>
      <c r="U2566" s="17" t="n"/>
      <c r="V2566" s="17" t="n"/>
      <c r="W2566" s="24">
        <f>IF($D2566="","",IF($E2566="※编码不在物料档案里","※物料编码不在档案里",IF(N($J2566)&lt;=0,"※出库数量要大于 0",IF($K2566="","※没填去向类型",IF($L2566="","※没填去向矿区",IF(AND($C2566&lt;&gt;"",$C2566&lt;=结账锁),"※日期早于已结账截止日，不能再录",IF(AND($K2566="自用消耗",COUNTIF({"一矿区";"二矿区"},$L2566)=0),"※自用消耗的去向只能是一矿区或二矿区",IF(AND($K2566="对外销售",COUNTIF({"三矿区";"六矿区"},$L2566)=0),"※对外销售的去向只能是三矿区或六矿区",IF(AND($K2566="对外销售",ROUND($Q2566,0)=0),"※外销却没有售价，请填实际售价",IF(AND($K2566="对外销售",$T2566&lt;&gt;"",$T2566&lt;0),"※这一笔外销是亏的，请核对售价",IF(IFERROR(VLOOKUP($D2566,库存台账!$A$5:$Y$1204,24,0),0)&lt;-0.001,"※这个物料账面已经变成负数了，查一下是不是漏记入库","")))))))))))</f>
        <v/>
      </c>
    </row>
    <row r="2567">
      <c r="A2567" s="24">
        <f>IF($D2567="","",COUNTA($D$4:$D2567))</f>
        <v/>
      </c>
      <c r="B2567" s="17" t="n"/>
      <c r="C2567" s="30" t="n"/>
      <c r="D2567" s="17" t="n"/>
      <c r="E2567" s="24">
        <f>IF($D2567="","",IFERROR(VLOOKUP($D2567,物料档案!$A$4:$P$1203,3,0),"※编码不在物料档案里"))</f>
        <v/>
      </c>
      <c r="F2567" s="24">
        <f>IF($D2567="","",IFERROR(VLOOKUP($D2567,物料档案!$A$4:$P$1203,4,0),"※编码不在物料档案里"))</f>
        <v/>
      </c>
      <c r="G2567" s="24">
        <f>IF($D2567="","",IFERROR(VLOOKUP($D2567,物料档案!$A$4:$P$1203,5,0),"※编码不在物料档案里"))</f>
        <v/>
      </c>
      <c r="H2567" s="24">
        <f>IF($D2567="","",IFERROR(VLOOKUP($D2567,物料档案!$A$4:$P$1203,2,0),"※编码不在物料档案里"))</f>
        <v/>
      </c>
      <c r="I2567" s="24">
        <f>IF($D2567="","",IFERROR(VLOOKUP($D2567,物料档案!$A$4:$P$1203,6,0),"※编码不在物料档案里"))</f>
        <v/>
      </c>
      <c r="J2567" s="23" t="n"/>
      <c r="K2567" s="17" t="n"/>
      <c r="L2567" s="17" t="n"/>
      <c r="M2567" s="17" t="n"/>
      <c r="N2567" s="17" t="n"/>
      <c r="O2567" s="26">
        <f>IF($D2567="","",IFERROR(VLOOKUP($D2567,物料档案!$A$4:$P$1203,10,0),0))</f>
        <v/>
      </c>
      <c r="P2567" s="32" t="n"/>
      <c r="Q2567" s="26">
        <f>IF($D2567="","",IF($K2567&lt;&gt;"对外销售",0,ROUND(N($J2567)*IF($P2567="",N($O2567),N($P2567)),0)))</f>
        <v/>
      </c>
      <c r="R2567" s="26">
        <f>IF($D2567="","",IFERROR(VLOOKUP($D2567,库存台账!$A$5:$Y$1204,11,0),0))</f>
        <v/>
      </c>
      <c r="S2567" s="26">
        <f>IF($D2567="","",ROUND(N($J2567)*N($R2567),0))</f>
        <v/>
      </c>
      <c r="T2567" s="26">
        <f>IF($D2567="","",IF($K2567&lt;&gt;"对外销售","",ROUND($Q2567-$S2567,0)))</f>
        <v/>
      </c>
      <c r="U2567" s="17" t="n"/>
      <c r="V2567" s="17" t="n"/>
      <c r="W2567" s="24">
        <f>IF($D2567="","",IF($E2567="※编码不在物料档案里","※物料编码不在档案里",IF(N($J2567)&lt;=0,"※出库数量要大于 0",IF($K2567="","※没填去向类型",IF($L2567="","※没填去向矿区",IF(AND($C2567&lt;&gt;"",$C2567&lt;=结账锁),"※日期早于已结账截止日，不能再录",IF(AND($K2567="自用消耗",COUNTIF({"一矿区";"二矿区"},$L2567)=0),"※自用消耗的去向只能是一矿区或二矿区",IF(AND($K2567="对外销售",COUNTIF({"三矿区";"六矿区"},$L2567)=0),"※对外销售的去向只能是三矿区或六矿区",IF(AND($K2567="对外销售",ROUND($Q2567,0)=0),"※外销却没有售价，请填实际售价",IF(AND($K2567="对外销售",$T2567&lt;&gt;"",$T2567&lt;0),"※这一笔外销是亏的，请核对售价",IF(IFERROR(VLOOKUP($D2567,库存台账!$A$5:$Y$1204,24,0),0)&lt;-0.001,"※这个物料账面已经变成负数了，查一下是不是漏记入库","")))))))))))</f>
        <v/>
      </c>
    </row>
    <row r="2568">
      <c r="A2568" s="24">
        <f>IF($D2568="","",COUNTA($D$4:$D2568))</f>
        <v/>
      </c>
      <c r="B2568" s="17" t="n"/>
      <c r="C2568" s="30" t="n"/>
      <c r="D2568" s="17" t="n"/>
      <c r="E2568" s="24">
        <f>IF($D2568="","",IFERROR(VLOOKUP($D2568,物料档案!$A$4:$P$1203,3,0),"※编码不在物料档案里"))</f>
        <v/>
      </c>
      <c r="F2568" s="24">
        <f>IF($D2568="","",IFERROR(VLOOKUP($D2568,物料档案!$A$4:$P$1203,4,0),"※编码不在物料档案里"))</f>
        <v/>
      </c>
      <c r="G2568" s="24">
        <f>IF($D2568="","",IFERROR(VLOOKUP($D2568,物料档案!$A$4:$P$1203,5,0),"※编码不在物料档案里"))</f>
        <v/>
      </c>
      <c r="H2568" s="24">
        <f>IF($D2568="","",IFERROR(VLOOKUP($D2568,物料档案!$A$4:$P$1203,2,0),"※编码不在物料档案里"))</f>
        <v/>
      </c>
      <c r="I2568" s="24">
        <f>IF($D2568="","",IFERROR(VLOOKUP($D2568,物料档案!$A$4:$P$1203,6,0),"※编码不在物料档案里"))</f>
        <v/>
      </c>
      <c r="J2568" s="23" t="n"/>
      <c r="K2568" s="17" t="n"/>
      <c r="L2568" s="17" t="n"/>
      <c r="M2568" s="17" t="n"/>
      <c r="N2568" s="17" t="n"/>
      <c r="O2568" s="26">
        <f>IF($D2568="","",IFERROR(VLOOKUP($D2568,物料档案!$A$4:$P$1203,10,0),0))</f>
        <v/>
      </c>
      <c r="P2568" s="32" t="n"/>
      <c r="Q2568" s="26">
        <f>IF($D2568="","",IF($K2568&lt;&gt;"对外销售",0,ROUND(N($J2568)*IF($P2568="",N($O2568),N($P2568)),0)))</f>
        <v/>
      </c>
      <c r="R2568" s="26">
        <f>IF($D2568="","",IFERROR(VLOOKUP($D2568,库存台账!$A$5:$Y$1204,11,0),0))</f>
        <v/>
      </c>
      <c r="S2568" s="26">
        <f>IF($D2568="","",ROUND(N($J2568)*N($R2568),0))</f>
        <v/>
      </c>
      <c r="T2568" s="26">
        <f>IF($D2568="","",IF($K2568&lt;&gt;"对外销售","",ROUND($Q2568-$S2568,0)))</f>
        <v/>
      </c>
      <c r="U2568" s="17" t="n"/>
      <c r="V2568" s="17" t="n"/>
      <c r="W2568" s="24">
        <f>IF($D2568="","",IF($E2568="※编码不在物料档案里","※物料编码不在档案里",IF(N($J2568)&lt;=0,"※出库数量要大于 0",IF($K2568="","※没填去向类型",IF($L2568="","※没填去向矿区",IF(AND($C2568&lt;&gt;"",$C2568&lt;=结账锁),"※日期早于已结账截止日，不能再录",IF(AND($K2568="自用消耗",COUNTIF({"一矿区";"二矿区"},$L2568)=0),"※自用消耗的去向只能是一矿区或二矿区",IF(AND($K2568="对外销售",COUNTIF({"三矿区";"六矿区"},$L2568)=0),"※对外销售的去向只能是三矿区或六矿区",IF(AND($K2568="对外销售",ROUND($Q2568,0)=0),"※外销却没有售价，请填实际售价",IF(AND($K2568="对外销售",$T2568&lt;&gt;"",$T2568&lt;0),"※这一笔外销是亏的，请核对售价",IF(IFERROR(VLOOKUP($D2568,库存台账!$A$5:$Y$1204,24,0),0)&lt;-0.001,"※这个物料账面已经变成负数了，查一下是不是漏记入库","")))))))))))</f>
        <v/>
      </c>
    </row>
    <row r="2569">
      <c r="A2569" s="24">
        <f>IF($D2569="","",COUNTA($D$4:$D2569))</f>
        <v/>
      </c>
      <c r="B2569" s="17" t="n"/>
      <c r="C2569" s="30" t="n"/>
      <c r="D2569" s="17" t="n"/>
      <c r="E2569" s="24">
        <f>IF($D2569="","",IFERROR(VLOOKUP($D2569,物料档案!$A$4:$P$1203,3,0),"※编码不在物料档案里"))</f>
        <v/>
      </c>
      <c r="F2569" s="24">
        <f>IF($D2569="","",IFERROR(VLOOKUP($D2569,物料档案!$A$4:$P$1203,4,0),"※编码不在物料档案里"))</f>
        <v/>
      </c>
      <c r="G2569" s="24">
        <f>IF($D2569="","",IFERROR(VLOOKUP($D2569,物料档案!$A$4:$P$1203,5,0),"※编码不在物料档案里"))</f>
        <v/>
      </c>
      <c r="H2569" s="24">
        <f>IF($D2569="","",IFERROR(VLOOKUP($D2569,物料档案!$A$4:$P$1203,2,0),"※编码不在物料档案里"))</f>
        <v/>
      </c>
      <c r="I2569" s="24">
        <f>IF($D2569="","",IFERROR(VLOOKUP($D2569,物料档案!$A$4:$P$1203,6,0),"※编码不在物料档案里"))</f>
        <v/>
      </c>
      <c r="J2569" s="23" t="n"/>
      <c r="K2569" s="17" t="n"/>
      <c r="L2569" s="17" t="n"/>
      <c r="M2569" s="17" t="n"/>
      <c r="N2569" s="17" t="n"/>
      <c r="O2569" s="26">
        <f>IF($D2569="","",IFERROR(VLOOKUP($D2569,物料档案!$A$4:$P$1203,10,0),0))</f>
        <v/>
      </c>
      <c r="P2569" s="32" t="n"/>
      <c r="Q2569" s="26">
        <f>IF($D2569="","",IF($K2569&lt;&gt;"对外销售",0,ROUND(N($J2569)*IF($P2569="",N($O2569),N($P2569)),0)))</f>
        <v/>
      </c>
      <c r="R2569" s="26">
        <f>IF($D2569="","",IFERROR(VLOOKUP($D2569,库存台账!$A$5:$Y$1204,11,0),0))</f>
        <v/>
      </c>
      <c r="S2569" s="26">
        <f>IF($D2569="","",ROUND(N($J2569)*N($R2569),0))</f>
        <v/>
      </c>
      <c r="T2569" s="26">
        <f>IF($D2569="","",IF($K2569&lt;&gt;"对外销售","",ROUND($Q2569-$S2569,0)))</f>
        <v/>
      </c>
      <c r="U2569" s="17" t="n"/>
      <c r="V2569" s="17" t="n"/>
      <c r="W2569" s="24">
        <f>IF($D2569="","",IF($E2569="※编码不在物料档案里","※物料编码不在档案里",IF(N($J2569)&lt;=0,"※出库数量要大于 0",IF($K2569="","※没填去向类型",IF($L2569="","※没填去向矿区",IF(AND($C2569&lt;&gt;"",$C2569&lt;=结账锁),"※日期早于已结账截止日，不能再录",IF(AND($K2569="自用消耗",COUNTIF({"一矿区";"二矿区"},$L2569)=0),"※自用消耗的去向只能是一矿区或二矿区",IF(AND($K2569="对外销售",COUNTIF({"三矿区";"六矿区"},$L2569)=0),"※对外销售的去向只能是三矿区或六矿区",IF(AND($K2569="对外销售",ROUND($Q2569,0)=0),"※外销却没有售价，请填实际售价",IF(AND($K2569="对外销售",$T2569&lt;&gt;"",$T2569&lt;0),"※这一笔外销是亏的，请核对售价",IF(IFERROR(VLOOKUP($D2569,库存台账!$A$5:$Y$1204,24,0),0)&lt;-0.001,"※这个物料账面已经变成负数了，查一下是不是漏记入库","")))))))))))</f>
        <v/>
      </c>
    </row>
    <row r="2570">
      <c r="A2570" s="24">
        <f>IF($D2570="","",COUNTA($D$4:$D2570))</f>
        <v/>
      </c>
      <c r="B2570" s="17" t="n"/>
      <c r="C2570" s="30" t="n"/>
      <c r="D2570" s="17" t="n"/>
      <c r="E2570" s="24">
        <f>IF($D2570="","",IFERROR(VLOOKUP($D2570,物料档案!$A$4:$P$1203,3,0),"※编码不在物料档案里"))</f>
        <v/>
      </c>
      <c r="F2570" s="24">
        <f>IF($D2570="","",IFERROR(VLOOKUP($D2570,物料档案!$A$4:$P$1203,4,0),"※编码不在物料档案里"))</f>
        <v/>
      </c>
      <c r="G2570" s="24">
        <f>IF($D2570="","",IFERROR(VLOOKUP($D2570,物料档案!$A$4:$P$1203,5,0),"※编码不在物料档案里"))</f>
        <v/>
      </c>
      <c r="H2570" s="24">
        <f>IF($D2570="","",IFERROR(VLOOKUP($D2570,物料档案!$A$4:$P$1203,2,0),"※编码不在物料档案里"))</f>
        <v/>
      </c>
      <c r="I2570" s="24">
        <f>IF($D2570="","",IFERROR(VLOOKUP($D2570,物料档案!$A$4:$P$1203,6,0),"※编码不在物料档案里"))</f>
        <v/>
      </c>
      <c r="J2570" s="23" t="n"/>
      <c r="K2570" s="17" t="n"/>
      <c r="L2570" s="17" t="n"/>
      <c r="M2570" s="17" t="n"/>
      <c r="N2570" s="17" t="n"/>
      <c r="O2570" s="26">
        <f>IF($D2570="","",IFERROR(VLOOKUP($D2570,物料档案!$A$4:$P$1203,10,0),0))</f>
        <v/>
      </c>
      <c r="P2570" s="32" t="n"/>
      <c r="Q2570" s="26">
        <f>IF($D2570="","",IF($K2570&lt;&gt;"对外销售",0,ROUND(N($J2570)*IF($P2570="",N($O2570),N($P2570)),0)))</f>
        <v/>
      </c>
      <c r="R2570" s="26">
        <f>IF($D2570="","",IFERROR(VLOOKUP($D2570,库存台账!$A$5:$Y$1204,11,0),0))</f>
        <v/>
      </c>
      <c r="S2570" s="26">
        <f>IF($D2570="","",ROUND(N($J2570)*N($R2570),0))</f>
        <v/>
      </c>
      <c r="T2570" s="26">
        <f>IF($D2570="","",IF($K2570&lt;&gt;"对外销售","",ROUND($Q2570-$S2570,0)))</f>
        <v/>
      </c>
      <c r="U2570" s="17" t="n"/>
      <c r="V2570" s="17" t="n"/>
      <c r="W2570" s="24">
        <f>IF($D2570="","",IF($E2570="※编码不在物料档案里","※物料编码不在档案里",IF(N($J2570)&lt;=0,"※出库数量要大于 0",IF($K2570="","※没填去向类型",IF($L2570="","※没填去向矿区",IF(AND($C2570&lt;&gt;"",$C2570&lt;=结账锁),"※日期早于已结账截止日，不能再录",IF(AND($K2570="自用消耗",COUNTIF({"一矿区";"二矿区"},$L2570)=0),"※自用消耗的去向只能是一矿区或二矿区",IF(AND($K2570="对外销售",COUNTIF({"三矿区";"六矿区"},$L2570)=0),"※对外销售的去向只能是三矿区或六矿区",IF(AND($K2570="对外销售",ROUND($Q2570,0)=0),"※外销却没有售价，请填实际售价",IF(AND($K2570="对外销售",$T2570&lt;&gt;"",$T2570&lt;0),"※这一笔外销是亏的，请核对售价",IF(IFERROR(VLOOKUP($D2570,库存台账!$A$5:$Y$1204,24,0),0)&lt;-0.001,"※这个物料账面已经变成负数了，查一下是不是漏记入库","")))))))))))</f>
        <v/>
      </c>
    </row>
    <row r="2571">
      <c r="A2571" s="24">
        <f>IF($D2571="","",COUNTA($D$4:$D2571))</f>
        <v/>
      </c>
      <c r="B2571" s="17" t="n"/>
      <c r="C2571" s="30" t="n"/>
      <c r="D2571" s="17" t="n"/>
      <c r="E2571" s="24">
        <f>IF($D2571="","",IFERROR(VLOOKUP($D2571,物料档案!$A$4:$P$1203,3,0),"※编码不在物料档案里"))</f>
        <v/>
      </c>
      <c r="F2571" s="24">
        <f>IF($D2571="","",IFERROR(VLOOKUP($D2571,物料档案!$A$4:$P$1203,4,0),"※编码不在物料档案里"))</f>
        <v/>
      </c>
      <c r="G2571" s="24">
        <f>IF($D2571="","",IFERROR(VLOOKUP($D2571,物料档案!$A$4:$P$1203,5,0),"※编码不在物料档案里"))</f>
        <v/>
      </c>
      <c r="H2571" s="24">
        <f>IF($D2571="","",IFERROR(VLOOKUP($D2571,物料档案!$A$4:$P$1203,2,0),"※编码不在物料档案里"))</f>
        <v/>
      </c>
      <c r="I2571" s="24">
        <f>IF($D2571="","",IFERROR(VLOOKUP($D2571,物料档案!$A$4:$P$1203,6,0),"※编码不在物料档案里"))</f>
        <v/>
      </c>
      <c r="J2571" s="23" t="n"/>
      <c r="K2571" s="17" t="n"/>
      <c r="L2571" s="17" t="n"/>
      <c r="M2571" s="17" t="n"/>
      <c r="N2571" s="17" t="n"/>
      <c r="O2571" s="26">
        <f>IF($D2571="","",IFERROR(VLOOKUP($D2571,物料档案!$A$4:$P$1203,10,0),0))</f>
        <v/>
      </c>
      <c r="P2571" s="32" t="n"/>
      <c r="Q2571" s="26">
        <f>IF($D2571="","",IF($K2571&lt;&gt;"对外销售",0,ROUND(N($J2571)*IF($P2571="",N($O2571),N($P2571)),0)))</f>
        <v/>
      </c>
      <c r="R2571" s="26">
        <f>IF($D2571="","",IFERROR(VLOOKUP($D2571,库存台账!$A$5:$Y$1204,11,0),0))</f>
        <v/>
      </c>
      <c r="S2571" s="26">
        <f>IF($D2571="","",ROUND(N($J2571)*N($R2571),0))</f>
        <v/>
      </c>
      <c r="T2571" s="26">
        <f>IF($D2571="","",IF($K2571&lt;&gt;"对外销售","",ROUND($Q2571-$S2571,0)))</f>
        <v/>
      </c>
      <c r="U2571" s="17" t="n"/>
      <c r="V2571" s="17" t="n"/>
      <c r="W2571" s="24">
        <f>IF($D2571="","",IF($E2571="※编码不在物料档案里","※物料编码不在档案里",IF(N($J2571)&lt;=0,"※出库数量要大于 0",IF($K2571="","※没填去向类型",IF($L2571="","※没填去向矿区",IF(AND($C2571&lt;&gt;"",$C2571&lt;=结账锁),"※日期早于已结账截止日，不能再录",IF(AND($K2571="自用消耗",COUNTIF({"一矿区";"二矿区"},$L2571)=0),"※自用消耗的去向只能是一矿区或二矿区",IF(AND($K2571="对外销售",COUNTIF({"三矿区";"六矿区"},$L2571)=0),"※对外销售的去向只能是三矿区或六矿区",IF(AND($K2571="对外销售",ROUND($Q2571,0)=0),"※外销却没有售价，请填实际售价",IF(AND($K2571="对外销售",$T2571&lt;&gt;"",$T2571&lt;0),"※这一笔外销是亏的，请核对售价",IF(IFERROR(VLOOKUP($D2571,库存台账!$A$5:$Y$1204,24,0),0)&lt;-0.001,"※这个物料账面已经变成负数了，查一下是不是漏记入库","")))))))))))</f>
        <v/>
      </c>
    </row>
    <row r="2572">
      <c r="A2572" s="24">
        <f>IF($D2572="","",COUNTA($D$4:$D2572))</f>
        <v/>
      </c>
      <c r="B2572" s="17" t="n"/>
      <c r="C2572" s="30" t="n"/>
      <c r="D2572" s="17" t="n"/>
      <c r="E2572" s="24">
        <f>IF($D2572="","",IFERROR(VLOOKUP($D2572,物料档案!$A$4:$P$1203,3,0),"※编码不在物料档案里"))</f>
        <v/>
      </c>
      <c r="F2572" s="24">
        <f>IF($D2572="","",IFERROR(VLOOKUP($D2572,物料档案!$A$4:$P$1203,4,0),"※编码不在物料档案里"))</f>
        <v/>
      </c>
      <c r="G2572" s="24">
        <f>IF($D2572="","",IFERROR(VLOOKUP($D2572,物料档案!$A$4:$P$1203,5,0),"※编码不在物料档案里"))</f>
        <v/>
      </c>
      <c r="H2572" s="24">
        <f>IF($D2572="","",IFERROR(VLOOKUP($D2572,物料档案!$A$4:$P$1203,2,0),"※编码不在物料档案里"))</f>
        <v/>
      </c>
      <c r="I2572" s="24">
        <f>IF($D2572="","",IFERROR(VLOOKUP($D2572,物料档案!$A$4:$P$1203,6,0),"※编码不在物料档案里"))</f>
        <v/>
      </c>
      <c r="J2572" s="23" t="n"/>
      <c r="K2572" s="17" t="n"/>
      <c r="L2572" s="17" t="n"/>
      <c r="M2572" s="17" t="n"/>
      <c r="N2572" s="17" t="n"/>
      <c r="O2572" s="26">
        <f>IF($D2572="","",IFERROR(VLOOKUP($D2572,物料档案!$A$4:$P$1203,10,0),0))</f>
        <v/>
      </c>
      <c r="P2572" s="32" t="n"/>
      <c r="Q2572" s="26">
        <f>IF($D2572="","",IF($K2572&lt;&gt;"对外销售",0,ROUND(N($J2572)*IF($P2572="",N($O2572),N($P2572)),0)))</f>
        <v/>
      </c>
      <c r="R2572" s="26">
        <f>IF($D2572="","",IFERROR(VLOOKUP($D2572,库存台账!$A$5:$Y$1204,11,0),0))</f>
        <v/>
      </c>
      <c r="S2572" s="26">
        <f>IF($D2572="","",ROUND(N($J2572)*N($R2572),0))</f>
        <v/>
      </c>
      <c r="T2572" s="26">
        <f>IF($D2572="","",IF($K2572&lt;&gt;"对外销售","",ROUND($Q2572-$S2572,0)))</f>
        <v/>
      </c>
      <c r="U2572" s="17" t="n"/>
      <c r="V2572" s="17" t="n"/>
      <c r="W2572" s="24">
        <f>IF($D2572="","",IF($E2572="※编码不在物料档案里","※物料编码不在档案里",IF(N($J2572)&lt;=0,"※出库数量要大于 0",IF($K2572="","※没填去向类型",IF($L2572="","※没填去向矿区",IF(AND($C2572&lt;&gt;"",$C2572&lt;=结账锁),"※日期早于已结账截止日，不能再录",IF(AND($K2572="自用消耗",COUNTIF({"一矿区";"二矿区"},$L2572)=0),"※自用消耗的去向只能是一矿区或二矿区",IF(AND($K2572="对外销售",COUNTIF({"三矿区";"六矿区"},$L2572)=0),"※对外销售的去向只能是三矿区或六矿区",IF(AND($K2572="对外销售",ROUND($Q2572,0)=0),"※外销却没有售价，请填实际售价",IF(AND($K2572="对外销售",$T2572&lt;&gt;"",$T2572&lt;0),"※这一笔外销是亏的，请核对售价",IF(IFERROR(VLOOKUP($D2572,库存台账!$A$5:$Y$1204,24,0),0)&lt;-0.001,"※这个物料账面已经变成负数了，查一下是不是漏记入库","")))))))))))</f>
        <v/>
      </c>
    </row>
    <row r="2573">
      <c r="A2573" s="24">
        <f>IF($D2573="","",COUNTA($D$4:$D2573))</f>
        <v/>
      </c>
      <c r="B2573" s="17" t="n"/>
      <c r="C2573" s="30" t="n"/>
      <c r="D2573" s="17" t="n"/>
      <c r="E2573" s="24">
        <f>IF($D2573="","",IFERROR(VLOOKUP($D2573,物料档案!$A$4:$P$1203,3,0),"※编码不在物料档案里"))</f>
        <v/>
      </c>
      <c r="F2573" s="24">
        <f>IF($D2573="","",IFERROR(VLOOKUP($D2573,物料档案!$A$4:$P$1203,4,0),"※编码不在物料档案里"))</f>
        <v/>
      </c>
      <c r="G2573" s="24">
        <f>IF($D2573="","",IFERROR(VLOOKUP($D2573,物料档案!$A$4:$P$1203,5,0),"※编码不在物料档案里"))</f>
        <v/>
      </c>
      <c r="H2573" s="24">
        <f>IF($D2573="","",IFERROR(VLOOKUP($D2573,物料档案!$A$4:$P$1203,2,0),"※编码不在物料档案里"))</f>
        <v/>
      </c>
      <c r="I2573" s="24">
        <f>IF($D2573="","",IFERROR(VLOOKUP($D2573,物料档案!$A$4:$P$1203,6,0),"※编码不在物料档案里"))</f>
        <v/>
      </c>
      <c r="J2573" s="23" t="n"/>
      <c r="K2573" s="17" t="n"/>
      <c r="L2573" s="17" t="n"/>
      <c r="M2573" s="17" t="n"/>
      <c r="N2573" s="17" t="n"/>
      <c r="O2573" s="26">
        <f>IF($D2573="","",IFERROR(VLOOKUP($D2573,物料档案!$A$4:$P$1203,10,0),0))</f>
        <v/>
      </c>
      <c r="P2573" s="32" t="n"/>
      <c r="Q2573" s="26">
        <f>IF($D2573="","",IF($K2573&lt;&gt;"对外销售",0,ROUND(N($J2573)*IF($P2573="",N($O2573),N($P2573)),0)))</f>
        <v/>
      </c>
      <c r="R2573" s="26">
        <f>IF($D2573="","",IFERROR(VLOOKUP($D2573,库存台账!$A$5:$Y$1204,11,0),0))</f>
        <v/>
      </c>
      <c r="S2573" s="26">
        <f>IF($D2573="","",ROUND(N($J2573)*N($R2573),0))</f>
        <v/>
      </c>
      <c r="T2573" s="26">
        <f>IF($D2573="","",IF($K2573&lt;&gt;"对外销售","",ROUND($Q2573-$S2573,0)))</f>
        <v/>
      </c>
      <c r="U2573" s="17" t="n"/>
      <c r="V2573" s="17" t="n"/>
      <c r="W2573" s="24">
        <f>IF($D2573="","",IF($E2573="※编码不在物料档案里","※物料编码不在档案里",IF(N($J2573)&lt;=0,"※出库数量要大于 0",IF($K2573="","※没填去向类型",IF($L2573="","※没填去向矿区",IF(AND($C2573&lt;&gt;"",$C2573&lt;=结账锁),"※日期早于已结账截止日，不能再录",IF(AND($K2573="自用消耗",COUNTIF({"一矿区";"二矿区"},$L2573)=0),"※自用消耗的去向只能是一矿区或二矿区",IF(AND($K2573="对外销售",COUNTIF({"三矿区";"六矿区"},$L2573)=0),"※对外销售的去向只能是三矿区或六矿区",IF(AND($K2573="对外销售",ROUND($Q2573,0)=0),"※外销却没有售价，请填实际售价",IF(AND($K2573="对外销售",$T2573&lt;&gt;"",$T2573&lt;0),"※这一笔外销是亏的，请核对售价",IF(IFERROR(VLOOKUP($D2573,库存台账!$A$5:$Y$1204,24,0),0)&lt;-0.001,"※这个物料账面已经变成负数了，查一下是不是漏记入库","")))))))))))</f>
        <v/>
      </c>
    </row>
    <row r="2574">
      <c r="A2574" s="24">
        <f>IF($D2574="","",COUNTA($D$4:$D2574))</f>
        <v/>
      </c>
      <c r="B2574" s="17" t="n"/>
      <c r="C2574" s="30" t="n"/>
      <c r="D2574" s="17" t="n"/>
      <c r="E2574" s="24">
        <f>IF($D2574="","",IFERROR(VLOOKUP($D2574,物料档案!$A$4:$P$1203,3,0),"※编码不在物料档案里"))</f>
        <v/>
      </c>
      <c r="F2574" s="24">
        <f>IF($D2574="","",IFERROR(VLOOKUP($D2574,物料档案!$A$4:$P$1203,4,0),"※编码不在物料档案里"))</f>
        <v/>
      </c>
      <c r="G2574" s="24">
        <f>IF($D2574="","",IFERROR(VLOOKUP($D2574,物料档案!$A$4:$P$1203,5,0),"※编码不在物料档案里"))</f>
        <v/>
      </c>
      <c r="H2574" s="24">
        <f>IF($D2574="","",IFERROR(VLOOKUP($D2574,物料档案!$A$4:$P$1203,2,0),"※编码不在物料档案里"))</f>
        <v/>
      </c>
      <c r="I2574" s="24">
        <f>IF($D2574="","",IFERROR(VLOOKUP($D2574,物料档案!$A$4:$P$1203,6,0),"※编码不在物料档案里"))</f>
        <v/>
      </c>
      <c r="J2574" s="23" t="n"/>
      <c r="K2574" s="17" t="n"/>
      <c r="L2574" s="17" t="n"/>
      <c r="M2574" s="17" t="n"/>
      <c r="N2574" s="17" t="n"/>
      <c r="O2574" s="26">
        <f>IF($D2574="","",IFERROR(VLOOKUP($D2574,物料档案!$A$4:$P$1203,10,0),0))</f>
        <v/>
      </c>
      <c r="P2574" s="32" t="n"/>
      <c r="Q2574" s="26">
        <f>IF($D2574="","",IF($K2574&lt;&gt;"对外销售",0,ROUND(N($J2574)*IF($P2574="",N($O2574),N($P2574)),0)))</f>
        <v/>
      </c>
      <c r="R2574" s="26">
        <f>IF($D2574="","",IFERROR(VLOOKUP($D2574,库存台账!$A$5:$Y$1204,11,0),0))</f>
        <v/>
      </c>
      <c r="S2574" s="26">
        <f>IF($D2574="","",ROUND(N($J2574)*N($R2574),0))</f>
        <v/>
      </c>
      <c r="T2574" s="26">
        <f>IF($D2574="","",IF($K2574&lt;&gt;"对外销售","",ROUND($Q2574-$S2574,0)))</f>
        <v/>
      </c>
      <c r="U2574" s="17" t="n"/>
      <c r="V2574" s="17" t="n"/>
      <c r="W2574" s="24">
        <f>IF($D2574="","",IF($E2574="※编码不在物料档案里","※物料编码不在档案里",IF(N($J2574)&lt;=0,"※出库数量要大于 0",IF($K2574="","※没填去向类型",IF($L2574="","※没填去向矿区",IF(AND($C2574&lt;&gt;"",$C2574&lt;=结账锁),"※日期早于已结账截止日，不能再录",IF(AND($K2574="自用消耗",COUNTIF({"一矿区";"二矿区"},$L2574)=0),"※自用消耗的去向只能是一矿区或二矿区",IF(AND($K2574="对外销售",COUNTIF({"三矿区";"六矿区"},$L2574)=0),"※对外销售的去向只能是三矿区或六矿区",IF(AND($K2574="对外销售",ROUND($Q2574,0)=0),"※外销却没有售价，请填实际售价",IF(AND($K2574="对外销售",$T2574&lt;&gt;"",$T2574&lt;0),"※这一笔外销是亏的，请核对售价",IF(IFERROR(VLOOKUP($D2574,库存台账!$A$5:$Y$1204,24,0),0)&lt;-0.001,"※这个物料账面已经变成负数了，查一下是不是漏记入库","")))))))))))</f>
        <v/>
      </c>
    </row>
    <row r="2575">
      <c r="A2575" s="24">
        <f>IF($D2575="","",COUNTA($D$4:$D2575))</f>
        <v/>
      </c>
      <c r="B2575" s="17" t="n"/>
      <c r="C2575" s="30" t="n"/>
      <c r="D2575" s="17" t="n"/>
      <c r="E2575" s="24">
        <f>IF($D2575="","",IFERROR(VLOOKUP($D2575,物料档案!$A$4:$P$1203,3,0),"※编码不在物料档案里"))</f>
        <v/>
      </c>
      <c r="F2575" s="24">
        <f>IF($D2575="","",IFERROR(VLOOKUP($D2575,物料档案!$A$4:$P$1203,4,0),"※编码不在物料档案里"))</f>
        <v/>
      </c>
      <c r="G2575" s="24">
        <f>IF($D2575="","",IFERROR(VLOOKUP($D2575,物料档案!$A$4:$P$1203,5,0),"※编码不在物料档案里"))</f>
        <v/>
      </c>
      <c r="H2575" s="24">
        <f>IF($D2575="","",IFERROR(VLOOKUP($D2575,物料档案!$A$4:$P$1203,2,0),"※编码不在物料档案里"))</f>
        <v/>
      </c>
      <c r="I2575" s="24">
        <f>IF($D2575="","",IFERROR(VLOOKUP($D2575,物料档案!$A$4:$P$1203,6,0),"※编码不在物料档案里"))</f>
        <v/>
      </c>
      <c r="J2575" s="23" t="n"/>
      <c r="K2575" s="17" t="n"/>
      <c r="L2575" s="17" t="n"/>
      <c r="M2575" s="17" t="n"/>
      <c r="N2575" s="17" t="n"/>
      <c r="O2575" s="26">
        <f>IF($D2575="","",IFERROR(VLOOKUP($D2575,物料档案!$A$4:$P$1203,10,0),0))</f>
        <v/>
      </c>
      <c r="P2575" s="32" t="n"/>
      <c r="Q2575" s="26">
        <f>IF($D2575="","",IF($K2575&lt;&gt;"对外销售",0,ROUND(N($J2575)*IF($P2575="",N($O2575),N($P2575)),0)))</f>
        <v/>
      </c>
      <c r="R2575" s="26">
        <f>IF($D2575="","",IFERROR(VLOOKUP($D2575,库存台账!$A$5:$Y$1204,11,0),0))</f>
        <v/>
      </c>
      <c r="S2575" s="26">
        <f>IF($D2575="","",ROUND(N($J2575)*N($R2575),0))</f>
        <v/>
      </c>
      <c r="T2575" s="26">
        <f>IF($D2575="","",IF($K2575&lt;&gt;"对外销售","",ROUND($Q2575-$S2575,0)))</f>
        <v/>
      </c>
      <c r="U2575" s="17" t="n"/>
      <c r="V2575" s="17" t="n"/>
      <c r="W2575" s="24">
        <f>IF($D2575="","",IF($E2575="※编码不在物料档案里","※物料编码不在档案里",IF(N($J2575)&lt;=0,"※出库数量要大于 0",IF($K2575="","※没填去向类型",IF($L2575="","※没填去向矿区",IF(AND($C2575&lt;&gt;"",$C2575&lt;=结账锁),"※日期早于已结账截止日，不能再录",IF(AND($K2575="自用消耗",COUNTIF({"一矿区";"二矿区"},$L2575)=0),"※自用消耗的去向只能是一矿区或二矿区",IF(AND($K2575="对外销售",COUNTIF({"三矿区";"六矿区"},$L2575)=0),"※对外销售的去向只能是三矿区或六矿区",IF(AND($K2575="对外销售",ROUND($Q2575,0)=0),"※外销却没有售价，请填实际售价",IF(AND($K2575="对外销售",$T2575&lt;&gt;"",$T2575&lt;0),"※这一笔外销是亏的，请核对售价",IF(IFERROR(VLOOKUP($D2575,库存台账!$A$5:$Y$1204,24,0),0)&lt;-0.001,"※这个物料账面已经变成负数了，查一下是不是漏记入库","")))))))))))</f>
        <v/>
      </c>
    </row>
    <row r="2576">
      <c r="A2576" s="24">
        <f>IF($D2576="","",COUNTA($D$4:$D2576))</f>
        <v/>
      </c>
      <c r="B2576" s="17" t="n"/>
      <c r="C2576" s="30" t="n"/>
      <c r="D2576" s="17" t="n"/>
      <c r="E2576" s="24">
        <f>IF($D2576="","",IFERROR(VLOOKUP($D2576,物料档案!$A$4:$P$1203,3,0),"※编码不在物料档案里"))</f>
        <v/>
      </c>
      <c r="F2576" s="24">
        <f>IF($D2576="","",IFERROR(VLOOKUP($D2576,物料档案!$A$4:$P$1203,4,0),"※编码不在物料档案里"))</f>
        <v/>
      </c>
      <c r="G2576" s="24">
        <f>IF($D2576="","",IFERROR(VLOOKUP($D2576,物料档案!$A$4:$P$1203,5,0),"※编码不在物料档案里"))</f>
        <v/>
      </c>
      <c r="H2576" s="24">
        <f>IF($D2576="","",IFERROR(VLOOKUP($D2576,物料档案!$A$4:$P$1203,2,0),"※编码不在物料档案里"))</f>
        <v/>
      </c>
      <c r="I2576" s="24">
        <f>IF($D2576="","",IFERROR(VLOOKUP($D2576,物料档案!$A$4:$P$1203,6,0),"※编码不在物料档案里"))</f>
        <v/>
      </c>
      <c r="J2576" s="23" t="n"/>
      <c r="K2576" s="17" t="n"/>
      <c r="L2576" s="17" t="n"/>
      <c r="M2576" s="17" t="n"/>
      <c r="N2576" s="17" t="n"/>
      <c r="O2576" s="26">
        <f>IF($D2576="","",IFERROR(VLOOKUP($D2576,物料档案!$A$4:$P$1203,10,0),0))</f>
        <v/>
      </c>
      <c r="P2576" s="32" t="n"/>
      <c r="Q2576" s="26">
        <f>IF($D2576="","",IF($K2576&lt;&gt;"对外销售",0,ROUND(N($J2576)*IF($P2576="",N($O2576),N($P2576)),0)))</f>
        <v/>
      </c>
      <c r="R2576" s="26">
        <f>IF($D2576="","",IFERROR(VLOOKUP($D2576,库存台账!$A$5:$Y$1204,11,0),0))</f>
        <v/>
      </c>
      <c r="S2576" s="26">
        <f>IF($D2576="","",ROUND(N($J2576)*N($R2576),0))</f>
        <v/>
      </c>
      <c r="T2576" s="26">
        <f>IF($D2576="","",IF($K2576&lt;&gt;"对外销售","",ROUND($Q2576-$S2576,0)))</f>
        <v/>
      </c>
      <c r="U2576" s="17" t="n"/>
      <c r="V2576" s="17" t="n"/>
      <c r="W2576" s="24">
        <f>IF($D2576="","",IF($E2576="※编码不在物料档案里","※物料编码不在档案里",IF(N($J2576)&lt;=0,"※出库数量要大于 0",IF($K2576="","※没填去向类型",IF($L2576="","※没填去向矿区",IF(AND($C2576&lt;&gt;"",$C2576&lt;=结账锁),"※日期早于已结账截止日，不能再录",IF(AND($K2576="自用消耗",COUNTIF({"一矿区";"二矿区"},$L2576)=0),"※自用消耗的去向只能是一矿区或二矿区",IF(AND($K2576="对外销售",COUNTIF({"三矿区";"六矿区"},$L2576)=0),"※对外销售的去向只能是三矿区或六矿区",IF(AND($K2576="对外销售",ROUND($Q2576,0)=0),"※外销却没有售价，请填实际售价",IF(AND($K2576="对外销售",$T2576&lt;&gt;"",$T2576&lt;0),"※这一笔外销是亏的，请核对售价",IF(IFERROR(VLOOKUP($D2576,库存台账!$A$5:$Y$1204,24,0),0)&lt;-0.001,"※这个物料账面已经变成负数了，查一下是不是漏记入库","")))))))))))</f>
        <v/>
      </c>
    </row>
    <row r="2577">
      <c r="A2577" s="24">
        <f>IF($D2577="","",COUNTA($D$4:$D2577))</f>
        <v/>
      </c>
      <c r="B2577" s="17" t="n"/>
      <c r="C2577" s="30" t="n"/>
      <c r="D2577" s="17" t="n"/>
      <c r="E2577" s="24">
        <f>IF($D2577="","",IFERROR(VLOOKUP($D2577,物料档案!$A$4:$P$1203,3,0),"※编码不在物料档案里"))</f>
        <v/>
      </c>
      <c r="F2577" s="24">
        <f>IF($D2577="","",IFERROR(VLOOKUP($D2577,物料档案!$A$4:$P$1203,4,0),"※编码不在物料档案里"))</f>
        <v/>
      </c>
      <c r="G2577" s="24">
        <f>IF($D2577="","",IFERROR(VLOOKUP($D2577,物料档案!$A$4:$P$1203,5,0),"※编码不在物料档案里"))</f>
        <v/>
      </c>
      <c r="H2577" s="24">
        <f>IF($D2577="","",IFERROR(VLOOKUP($D2577,物料档案!$A$4:$P$1203,2,0),"※编码不在物料档案里"))</f>
        <v/>
      </c>
      <c r="I2577" s="24">
        <f>IF($D2577="","",IFERROR(VLOOKUP($D2577,物料档案!$A$4:$P$1203,6,0),"※编码不在物料档案里"))</f>
        <v/>
      </c>
      <c r="J2577" s="23" t="n"/>
      <c r="K2577" s="17" t="n"/>
      <c r="L2577" s="17" t="n"/>
      <c r="M2577" s="17" t="n"/>
      <c r="N2577" s="17" t="n"/>
      <c r="O2577" s="26">
        <f>IF($D2577="","",IFERROR(VLOOKUP($D2577,物料档案!$A$4:$P$1203,10,0),0))</f>
        <v/>
      </c>
      <c r="P2577" s="32" t="n"/>
      <c r="Q2577" s="26">
        <f>IF($D2577="","",IF($K2577&lt;&gt;"对外销售",0,ROUND(N($J2577)*IF($P2577="",N($O2577),N($P2577)),0)))</f>
        <v/>
      </c>
      <c r="R2577" s="26">
        <f>IF($D2577="","",IFERROR(VLOOKUP($D2577,库存台账!$A$5:$Y$1204,11,0),0))</f>
        <v/>
      </c>
      <c r="S2577" s="26">
        <f>IF($D2577="","",ROUND(N($J2577)*N($R2577),0))</f>
        <v/>
      </c>
      <c r="T2577" s="26">
        <f>IF($D2577="","",IF($K2577&lt;&gt;"对外销售","",ROUND($Q2577-$S2577,0)))</f>
        <v/>
      </c>
      <c r="U2577" s="17" t="n"/>
      <c r="V2577" s="17" t="n"/>
      <c r="W2577" s="24">
        <f>IF($D2577="","",IF($E2577="※编码不在物料档案里","※物料编码不在档案里",IF(N($J2577)&lt;=0,"※出库数量要大于 0",IF($K2577="","※没填去向类型",IF($L2577="","※没填去向矿区",IF(AND($C2577&lt;&gt;"",$C2577&lt;=结账锁),"※日期早于已结账截止日，不能再录",IF(AND($K2577="自用消耗",COUNTIF({"一矿区";"二矿区"},$L2577)=0),"※自用消耗的去向只能是一矿区或二矿区",IF(AND($K2577="对外销售",COUNTIF({"三矿区";"六矿区"},$L2577)=0),"※对外销售的去向只能是三矿区或六矿区",IF(AND($K2577="对外销售",ROUND($Q2577,0)=0),"※外销却没有售价，请填实际售价",IF(AND($K2577="对外销售",$T2577&lt;&gt;"",$T2577&lt;0),"※这一笔外销是亏的，请核对售价",IF(IFERROR(VLOOKUP($D2577,库存台账!$A$5:$Y$1204,24,0),0)&lt;-0.001,"※这个物料账面已经变成负数了，查一下是不是漏记入库","")))))))))))</f>
        <v/>
      </c>
    </row>
    <row r="2578">
      <c r="A2578" s="24">
        <f>IF($D2578="","",COUNTA($D$4:$D2578))</f>
        <v/>
      </c>
      <c r="B2578" s="17" t="n"/>
      <c r="C2578" s="30" t="n"/>
      <c r="D2578" s="17" t="n"/>
      <c r="E2578" s="24">
        <f>IF($D2578="","",IFERROR(VLOOKUP($D2578,物料档案!$A$4:$P$1203,3,0),"※编码不在物料档案里"))</f>
        <v/>
      </c>
      <c r="F2578" s="24">
        <f>IF($D2578="","",IFERROR(VLOOKUP($D2578,物料档案!$A$4:$P$1203,4,0),"※编码不在物料档案里"))</f>
        <v/>
      </c>
      <c r="G2578" s="24">
        <f>IF($D2578="","",IFERROR(VLOOKUP($D2578,物料档案!$A$4:$P$1203,5,0),"※编码不在物料档案里"))</f>
        <v/>
      </c>
      <c r="H2578" s="24">
        <f>IF($D2578="","",IFERROR(VLOOKUP($D2578,物料档案!$A$4:$P$1203,2,0),"※编码不在物料档案里"))</f>
        <v/>
      </c>
      <c r="I2578" s="24">
        <f>IF($D2578="","",IFERROR(VLOOKUP($D2578,物料档案!$A$4:$P$1203,6,0),"※编码不在物料档案里"))</f>
        <v/>
      </c>
      <c r="J2578" s="23" t="n"/>
      <c r="K2578" s="17" t="n"/>
      <c r="L2578" s="17" t="n"/>
      <c r="M2578" s="17" t="n"/>
      <c r="N2578" s="17" t="n"/>
      <c r="O2578" s="26">
        <f>IF($D2578="","",IFERROR(VLOOKUP($D2578,物料档案!$A$4:$P$1203,10,0),0))</f>
        <v/>
      </c>
      <c r="P2578" s="32" t="n"/>
      <c r="Q2578" s="26">
        <f>IF($D2578="","",IF($K2578&lt;&gt;"对外销售",0,ROUND(N($J2578)*IF($P2578="",N($O2578),N($P2578)),0)))</f>
        <v/>
      </c>
      <c r="R2578" s="26">
        <f>IF($D2578="","",IFERROR(VLOOKUP($D2578,库存台账!$A$5:$Y$1204,11,0),0))</f>
        <v/>
      </c>
      <c r="S2578" s="26">
        <f>IF($D2578="","",ROUND(N($J2578)*N($R2578),0))</f>
        <v/>
      </c>
      <c r="T2578" s="26">
        <f>IF($D2578="","",IF($K2578&lt;&gt;"对外销售","",ROUND($Q2578-$S2578,0)))</f>
        <v/>
      </c>
      <c r="U2578" s="17" t="n"/>
      <c r="V2578" s="17" t="n"/>
      <c r="W2578" s="24">
        <f>IF($D2578="","",IF($E2578="※编码不在物料档案里","※物料编码不在档案里",IF(N($J2578)&lt;=0,"※出库数量要大于 0",IF($K2578="","※没填去向类型",IF($L2578="","※没填去向矿区",IF(AND($C2578&lt;&gt;"",$C2578&lt;=结账锁),"※日期早于已结账截止日，不能再录",IF(AND($K2578="自用消耗",COUNTIF({"一矿区";"二矿区"},$L2578)=0),"※自用消耗的去向只能是一矿区或二矿区",IF(AND($K2578="对外销售",COUNTIF({"三矿区";"六矿区"},$L2578)=0),"※对外销售的去向只能是三矿区或六矿区",IF(AND($K2578="对外销售",ROUND($Q2578,0)=0),"※外销却没有售价，请填实际售价",IF(AND($K2578="对外销售",$T2578&lt;&gt;"",$T2578&lt;0),"※这一笔外销是亏的，请核对售价",IF(IFERROR(VLOOKUP($D2578,库存台账!$A$5:$Y$1204,24,0),0)&lt;-0.001,"※这个物料账面已经变成负数了，查一下是不是漏记入库","")))))))))))</f>
        <v/>
      </c>
    </row>
    <row r="2579">
      <c r="A2579" s="24">
        <f>IF($D2579="","",COUNTA($D$4:$D2579))</f>
        <v/>
      </c>
      <c r="B2579" s="17" t="n"/>
      <c r="C2579" s="30" t="n"/>
      <c r="D2579" s="17" t="n"/>
      <c r="E2579" s="24">
        <f>IF($D2579="","",IFERROR(VLOOKUP($D2579,物料档案!$A$4:$P$1203,3,0),"※编码不在物料档案里"))</f>
        <v/>
      </c>
      <c r="F2579" s="24">
        <f>IF($D2579="","",IFERROR(VLOOKUP($D2579,物料档案!$A$4:$P$1203,4,0),"※编码不在物料档案里"))</f>
        <v/>
      </c>
      <c r="G2579" s="24">
        <f>IF($D2579="","",IFERROR(VLOOKUP($D2579,物料档案!$A$4:$P$1203,5,0),"※编码不在物料档案里"))</f>
        <v/>
      </c>
      <c r="H2579" s="24">
        <f>IF($D2579="","",IFERROR(VLOOKUP($D2579,物料档案!$A$4:$P$1203,2,0),"※编码不在物料档案里"))</f>
        <v/>
      </c>
      <c r="I2579" s="24">
        <f>IF($D2579="","",IFERROR(VLOOKUP($D2579,物料档案!$A$4:$P$1203,6,0),"※编码不在物料档案里"))</f>
        <v/>
      </c>
      <c r="J2579" s="23" t="n"/>
      <c r="K2579" s="17" t="n"/>
      <c r="L2579" s="17" t="n"/>
      <c r="M2579" s="17" t="n"/>
      <c r="N2579" s="17" t="n"/>
      <c r="O2579" s="26">
        <f>IF($D2579="","",IFERROR(VLOOKUP($D2579,物料档案!$A$4:$P$1203,10,0),0))</f>
        <v/>
      </c>
      <c r="P2579" s="32" t="n"/>
      <c r="Q2579" s="26">
        <f>IF($D2579="","",IF($K2579&lt;&gt;"对外销售",0,ROUND(N($J2579)*IF($P2579="",N($O2579),N($P2579)),0)))</f>
        <v/>
      </c>
      <c r="R2579" s="26">
        <f>IF($D2579="","",IFERROR(VLOOKUP($D2579,库存台账!$A$5:$Y$1204,11,0),0))</f>
        <v/>
      </c>
      <c r="S2579" s="26">
        <f>IF($D2579="","",ROUND(N($J2579)*N($R2579),0))</f>
        <v/>
      </c>
      <c r="T2579" s="26">
        <f>IF($D2579="","",IF($K2579&lt;&gt;"对外销售","",ROUND($Q2579-$S2579,0)))</f>
        <v/>
      </c>
      <c r="U2579" s="17" t="n"/>
      <c r="V2579" s="17" t="n"/>
      <c r="W2579" s="24">
        <f>IF($D2579="","",IF($E2579="※编码不在物料档案里","※物料编码不在档案里",IF(N($J2579)&lt;=0,"※出库数量要大于 0",IF($K2579="","※没填去向类型",IF($L2579="","※没填去向矿区",IF(AND($C2579&lt;&gt;"",$C2579&lt;=结账锁),"※日期早于已结账截止日，不能再录",IF(AND($K2579="自用消耗",COUNTIF({"一矿区";"二矿区"},$L2579)=0),"※自用消耗的去向只能是一矿区或二矿区",IF(AND($K2579="对外销售",COUNTIF({"三矿区";"六矿区"},$L2579)=0),"※对外销售的去向只能是三矿区或六矿区",IF(AND($K2579="对外销售",ROUND($Q2579,0)=0),"※外销却没有售价，请填实际售价",IF(AND($K2579="对外销售",$T2579&lt;&gt;"",$T2579&lt;0),"※这一笔外销是亏的，请核对售价",IF(IFERROR(VLOOKUP($D2579,库存台账!$A$5:$Y$1204,24,0),0)&lt;-0.001,"※这个物料账面已经变成负数了，查一下是不是漏记入库","")))))))))))</f>
        <v/>
      </c>
    </row>
    <row r="2580">
      <c r="A2580" s="24">
        <f>IF($D2580="","",COUNTA($D$4:$D2580))</f>
        <v/>
      </c>
      <c r="B2580" s="17" t="n"/>
      <c r="C2580" s="30" t="n"/>
      <c r="D2580" s="17" t="n"/>
      <c r="E2580" s="24">
        <f>IF($D2580="","",IFERROR(VLOOKUP($D2580,物料档案!$A$4:$P$1203,3,0),"※编码不在物料档案里"))</f>
        <v/>
      </c>
      <c r="F2580" s="24">
        <f>IF($D2580="","",IFERROR(VLOOKUP($D2580,物料档案!$A$4:$P$1203,4,0),"※编码不在物料档案里"))</f>
        <v/>
      </c>
      <c r="G2580" s="24">
        <f>IF($D2580="","",IFERROR(VLOOKUP($D2580,物料档案!$A$4:$P$1203,5,0),"※编码不在物料档案里"))</f>
        <v/>
      </c>
      <c r="H2580" s="24">
        <f>IF($D2580="","",IFERROR(VLOOKUP($D2580,物料档案!$A$4:$P$1203,2,0),"※编码不在物料档案里"))</f>
        <v/>
      </c>
      <c r="I2580" s="24">
        <f>IF($D2580="","",IFERROR(VLOOKUP($D2580,物料档案!$A$4:$P$1203,6,0),"※编码不在物料档案里"))</f>
        <v/>
      </c>
      <c r="J2580" s="23" t="n"/>
      <c r="K2580" s="17" t="n"/>
      <c r="L2580" s="17" t="n"/>
      <c r="M2580" s="17" t="n"/>
      <c r="N2580" s="17" t="n"/>
      <c r="O2580" s="26">
        <f>IF($D2580="","",IFERROR(VLOOKUP($D2580,物料档案!$A$4:$P$1203,10,0),0))</f>
        <v/>
      </c>
      <c r="P2580" s="32" t="n"/>
      <c r="Q2580" s="26">
        <f>IF($D2580="","",IF($K2580&lt;&gt;"对外销售",0,ROUND(N($J2580)*IF($P2580="",N($O2580),N($P2580)),0)))</f>
        <v/>
      </c>
      <c r="R2580" s="26">
        <f>IF($D2580="","",IFERROR(VLOOKUP($D2580,库存台账!$A$5:$Y$1204,11,0),0))</f>
        <v/>
      </c>
      <c r="S2580" s="26">
        <f>IF($D2580="","",ROUND(N($J2580)*N($R2580),0))</f>
        <v/>
      </c>
      <c r="T2580" s="26">
        <f>IF($D2580="","",IF($K2580&lt;&gt;"对外销售","",ROUND($Q2580-$S2580,0)))</f>
        <v/>
      </c>
      <c r="U2580" s="17" t="n"/>
      <c r="V2580" s="17" t="n"/>
      <c r="W2580" s="24">
        <f>IF($D2580="","",IF($E2580="※编码不在物料档案里","※物料编码不在档案里",IF(N($J2580)&lt;=0,"※出库数量要大于 0",IF($K2580="","※没填去向类型",IF($L2580="","※没填去向矿区",IF(AND($C2580&lt;&gt;"",$C2580&lt;=结账锁),"※日期早于已结账截止日，不能再录",IF(AND($K2580="自用消耗",COUNTIF({"一矿区";"二矿区"},$L2580)=0),"※自用消耗的去向只能是一矿区或二矿区",IF(AND($K2580="对外销售",COUNTIF({"三矿区";"六矿区"},$L2580)=0),"※对外销售的去向只能是三矿区或六矿区",IF(AND($K2580="对外销售",ROUND($Q2580,0)=0),"※外销却没有售价，请填实际售价",IF(AND($K2580="对外销售",$T2580&lt;&gt;"",$T2580&lt;0),"※这一笔外销是亏的，请核对售价",IF(IFERROR(VLOOKUP($D2580,库存台账!$A$5:$Y$1204,24,0),0)&lt;-0.001,"※这个物料账面已经变成负数了，查一下是不是漏记入库","")))))))))))</f>
        <v/>
      </c>
    </row>
    <row r="2581">
      <c r="A2581" s="24">
        <f>IF($D2581="","",COUNTA($D$4:$D2581))</f>
        <v/>
      </c>
      <c r="B2581" s="17" t="n"/>
      <c r="C2581" s="30" t="n"/>
      <c r="D2581" s="17" t="n"/>
      <c r="E2581" s="24">
        <f>IF($D2581="","",IFERROR(VLOOKUP($D2581,物料档案!$A$4:$P$1203,3,0),"※编码不在物料档案里"))</f>
        <v/>
      </c>
      <c r="F2581" s="24">
        <f>IF($D2581="","",IFERROR(VLOOKUP($D2581,物料档案!$A$4:$P$1203,4,0),"※编码不在物料档案里"))</f>
        <v/>
      </c>
      <c r="G2581" s="24">
        <f>IF($D2581="","",IFERROR(VLOOKUP($D2581,物料档案!$A$4:$P$1203,5,0),"※编码不在物料档案里"))</f>
        <v/>
      </c>
      <c r="H2581" s="24">
        <f>IF($D2581="","",IFERROR(VLOOKUP($D2581,物料档案!$A$4:$P$1203,2,0),"※编码不在物料档案里"))</f>
        <v/>
      </c>
      <c r="I2581" s="24">
        <f>IF($D2581="","",IFERROR(VLOOKUP($D2581,物料档案!$A$4:$P$1203,6,0),"※编码不在物料档案里"))</f>
        <v/>
      </c>
      <c r="J2581" s="23" t="n"/>
      <c r="K2581" s="17" t="n"/>
      <c r="L2581" s="17" t="n"/>
      <c r="M2581" s="17" t="n"/>
      <c r="N2581" s="17" t="n"/>
      <c r="O2581" s="26">
        <f>IF($D2581="","",IFERROR(VLOOKUP($D2581,物料档案!$A$4:$P$1203,10,0),0))</f>
        <v/>
      </c>
      <c r="P2581" s="32" t="n"/>
      <c r="Q2581" s="26">
        <f>IF($D2581="","",IF($K2581&lt;&gt;"对外销售",0,ROUND(N($J2581)*IF($P2581="",N($O2581),N($P2581)),0)))</f>
        <v/>
      </c>
      <c r="R2581" s="26">
        <f>IF($D2581="","",IFERROR(VLOOKUP($D2581,库存台账!$A$5:$Y$1204,11,0),0))</f>
        <v/>
      </c>
      <c r="S2581" s="26">
        <f>IF($D2581="","",ROUND(N($J2581)*N($R2581),0))</f>
        <v/>
      </c>
      <c r="T2581" s="26">
        <f>IF($D2581="","",IF($K2581&lt;&gt;"对外销售","",ROUND($Q2581-$S2581,0)))</f>
        <v/>
      </c>
      <c r="U2581" s="17" t="n"/>
      <c r="V2581" s="17" t="n"/>
      <c r="W2581" s="24">
        <f>IF($D2581="","",IF($E2581="※编码不在物料档案里","※物料编码不在档案里",IF(N($J2581)&lt;=0,"※出库数量要大于 0",IF($K2581="","※没填去向类型",IF($L2581="","※没填去向矿区",IF(AND($C2581&lt;&gt;"",$C2581&lt;=结账锁),"※日期早于已结账截止日，不能再录",IF(AND($K2581="自用消耗",COUNTIF({"一矿区";"二矿区"},$L2581)=0),"※自用消耗的去向只能是一矿区或二矿区",IF(AND($K2581="对外销售",COUNTIF({"三矿区";"六矿区"},$L2581)=0),"※对外销售的去向只能是三矿区或六矿区",IF(AND($K2581="对外销售",ROUND($Q2581,0)=0),"※外销却没有售价，请填实际售价",IF(AND($K2581="对外销售",$T2581&lt;&gt;"",$T2581&lt;0),"※这一笔外销是亏的，请核对售价",IF(IFERROR(VLOOKUP($D2581,库存台账!$A$5:$Y$1204,24,0),0)&lt;-0.001,"※这个物料账面已经变成负数了，查一下是不是漏记入库","")))))))))))</f>
        <v/>
      </c>
    </row>
    <row r="2582">
      <c r="A2582" s="24">
        <f>IF($D2582="","",COUNTA($D$4:$D2582))</f>
        <v/>
      </c>
      <c r="B2582" s="17" t="n"/>
      <c r="C2582" s="30" t="n"/>
      <c r="D2582" s="17" t="n"/>
      <c r="E2582" s="24">
        <f>IF($D2582="","",IFERROR(VLOOKUP($D2582,物料档案!$A$4:$P$1203,3,0),"※编码不在物料档案里"))</f>
        <v/>
      </c>
      <c r="F2582" s="24">
        <f>IF($D2582="","",IFERROR(VLOOKUP($D2582,物料档案!$A$4:$P$1203,4,0),"※编码不在物料档案里"))</f>
        <v/>
      </c>
      <c r="G2582" s="24">
        <f>IF($D2582="","",IFERROR(VLOOKUP($D2582,物料档案!$A$4:$P$1203,5,0),"※编码不在物料档案里"))</f>
        <v/>
      </c>
      <c r="H2582" s="24">
        <f>IF($D2582="","",IFERROR(VLOOKUP($D2582,物料档案!$A$4:$P$1203,2,0),"※编码不在物料档案里"))</f>
        <v/>
      </c>
      <c r="I2582" s="24">
        <f>IF($D2582="","",IFERROR(VLOOKUP($D2582,物料档案!$A$4:$P$1203,6,0),"※编码不在物料档案里"))</f>
        <v/>
      </c>
      <c r="J2582" s="23" t="n"/>
      <c r="K2582" s="17" t="n"/>
      <c r="L2582" s="17" t="n"/>
      <c r="M2582" s="17" t="n"/>
      <c r="N2582" s="17" t="n"/>
      <c r="O2582" s="26">
        <f>IF($D2582="","",IFERROR(VLOOKUP($D2582,物料档案!$A$4:$P$1203,10,0),0))</f>
        <v/>
      </c>
      <c r="P2582" s="32" t="n"/>
      <c r="Q2582" s="26">
        <f>IF($D2582="","",IF($K2582&lt;&gt;"对外销售",0,ROUND(N($J2582)*IF($P2582="",N($O2582),N($P2582)),0)))</f>
        <v/>
      </c>
      <c r="R2582" s="26">
        <f>IF($D2582="","",IFERROR(VLOOKUP($D2582,库存台账!$A$5:$Y$1204,11,0),0))</f>
        <v/>
      </c>
      <c r="S2582" s="26">
        <f>IF($D2582="","",ROUND(N($J2582)*N($R2582),0))</f>
        <v/>
      </c>
      <c r="T2582" s="26">
        <f>IF($D2582="","",IF($K2582&lt;&gt;"对外销售","",ROUND($Q2582-$S2582,0)))</f>
        <v/>
      </c>
      <c r="U2582" s="17" t="n"/>
      <c r="V2582" s="17" t="n"/>
      <c r="W2582" s="24">
        <f>IF($D2582="","",IF($E2582="※编码不在物料档案里","※物料编码不在档案里",IF(N($J2582)&lt;=0,"※出库数量要大于 0",IF($K2582="","※没填去向类型",IF($L2582="","※没填去向矿区",IF(AND($C2582&lt;&gt;"",$C2582&lt;=结账锁),"※日期早于已结账截止日，不能再录",IF(AND($K2582="自用消耗",COUNTIF({"一矿区";"二矿区"},$L2582)=0),"※自用消耗的去向只能是一矿区或二矿区",IF(AND($K2582="对外销售",COUNTIF({"三矿区";"六矿区"},$L2582)=0),"※对外销售的去向只能是三矿区或六矿区",IF(AND($K2582="对外销售",ROUND($Q2582,0)=0),"※外销却没有售价，请填实际售价",IF(AND($K2582="对外销售",$T2582&lt;&gt;"",$T2582&lt;0),"※这一笔外销是亏的，请核对售价",IF(IFERROR(VLOOKUP($D2582,库存台账!$A$5:$Y$1204,24,0),0)&lt;-0.001,"※这个物料账面已经变成负数了，查一下是不是漏记入库","")))))))))))</f>
        <v/>
      </c>
    </row>
    <row r="2583">
      <c r="A2583" s="24">
        <f>IF($D2583="","",COUNTA($D$4:$D2583))</f>
        <v/>
      </c>
      <c r="B2583" s="17" t="n"/>
      <c r="C2583" s="30" t="n"/>
      <c r="D2583" s="17" t="n"/>
      <c r="E2583" s="24">
        <f>IF($D2583="","",IFERROR(VLOOKUP($D2583,物料档案!$A$4:$P$1203,3,0),"※编码不在物料档案里"))</f>
        <v/>
      </c>
      <c r="F2583" s="24">
        <f>IF($D2583="","",IFERROR(VLOOKUP($D2583,物料档案!$A$4:$P$1203,4,0),"※编码不在物料档案里"))</f>
        <v/>
      </c>
      <c r="G2583" s="24">
        <f>IF($D2583="","",IFERROR(VLOOKUP($D2583,物料档案!$A$4:$P$1203,5,0),"※编码不在物料档案里"))</f>
        <v/>
      </c>
      <c r="H2583" s="24">
        <f>IF($D2583="","",IFERROR(VLOOKUP($D2583,物料档案!$A$4:$P$1203,2,0),"※编码不在物料档案里"))</f>
        <v/>
      </c>
      <c r="I2583" s="24">
        <f>IF($D2583="","",IFERROR(VLOOKUP($D2583,物料档案!$A$4:$P$1203,6,0),"※编码不在物料档案里"))</f>
        <v/>
      </c>
      <c r="J2583" s="23" t="n"/>
      <c r="K2583" s="17" t="n"/>
      <c r="L2583" s="17" t="n"/>
      <c r="M2583" s="17" t="n"/>
      <c r="N2583" s="17" t="n"/>
      <c r="O2583" s="26">
        <f>IF($D2583="","",IFERROR(VLOOKUP($D2583,物料档案!$A$4:$P$1203,10,0),0))</f>
        <v/>
      </c>
      <c r="P2583" s="32" t="n"/>
      <c r="Q2583" s="26">
        <f>IF($D2583="","",IF($K2583&lt;&gt;"对外销售",0,ROUND(N($J2583)*IF($P2583="",N($O2583),N($P2583)),0)))</f>
        <v/>
      </c>
      <c r="R2583" s="26">
        <f>IF($D2583="","",IFERROR(VLOOKUP($D2583,库存台账!$A$5:$Y$1204,11,0),0))</f>
        <v/>
      </c>
      <c r="S2583" s="26">
        <f>IF($D2583="","",ROUND(N($J2583)*N($R2583),0))</f>
        <v/>
      </c>
      <c r="T2583" s="26">
        <f>IF($D2583="","",IF($K2583&lt;&gt;"对外销售","",ROUND($Q2583-$S2583,0)))</f>
        <v/>
      </c>
      <c r="U2583" s="17" t="n"/>
      <c r="V2583" s="17" t="n"/>
      <c r="W2583" s="24">
        <f>IF($D2583="","",IF($E2583="※编码不在物料档案里","※物料编码不在档案里",IF(N($J2583)&lt;=0,"※出库数量要大于 0",IF($K2583="","※没填去向类型",IF($L2583="","※没填去向矿区",IF(AND($C2583&lt;&gt;"",$C2583&lt;=结账锁),"※日期早于已结账截止日，不能再录",IF(AND($K2583="自用消耗",COUNTIF({"一矿区";"二矿区"},$L2583)=0),"※自用消耗的去向只能是一矿区或二矿区",IF(AND($K2583="对外销售",COUNTIF({"三矿区";"六矿区"},$L2583)=0),"※对外销售的去向只能是三矿区或六矿区",IF(AND($K2583="对外销售",ROUND($Q2583,0)=0),"※外销却没有售价，请填实际售价",IF(AND($K2583="对外销售",$T2583&lt;&gt;"",$T2583&lt;0),"※这一笔外销是亏的，请核对售价",IF(IFERROR(VLOOKUP($D2583,库存台账!$A$5:$Y$1204,24,0),0)&lt;-0.001,"※这个物料账面已经变成负数了，查一下是不是漏记入库","")))))))))))</f>
        <v/>
      </c>
    </row>
    <row r="2584">
      <c r="A2584" s="24">
        <f>IF($D2584="","",COUNTA($D$4:$D2584))</f>
        <v/>
      </c>
      <c r="B2584" s="17" t="n"/>
      <c r="C2584" s="30" t="n"/>
      <c r="D2584" s="17" t="n"/>
      <c r="E2584" s="24">
        <f>IF($D2584="","",IFERROR(VLOOKUP($D2584,物料档案!$A$4:$P$1203,3,0),"※编码不在物料档案里"))</f>
        <v/>
      </c>
      <c r="F2584" s="24">
        <f>IF($D2584="","",IFERROR(VLOOKUP($D2584,物料档案!$A$4:$P$1203,4,0),"※编码不在物料档案里"))</f>
        <v/>
      </c>
      <c r="G2584" s="24">
        <f>IF($D2584="","",IFERROR(VLOOKUP($D2584,物料档案!$A$4:$P$1203,5,0),"※编码不在物料档案里"))</f>
        <v/>
      </c>
      <c r="H2584" s="24">
        <f>IF($D2584="","",IFERROR(VLOOKUP($D2584,物料档案!$A$4:$P$1203,2,0),"※编码不在物料档案里"))</f>
        <v/>
      </c>
      <c r="I2584" s="24">
        <f>IF($D2584="","",IFERROR(VLOOKUP($D2584,物料档案!$A$4:$P$1203,6,0),"※编码不在物料档案里"))</f>
        <v/>
      </c>
      <c r="J2584" s="23" t="n"/>
      <c r="K2584" s="17" t="n"/>
      <c r="L2584" s="17" t="n"/>
      <c r="M2584" s="17" t="n"/>
      <c r="N2584" s="17" t="n"/>
      <c r="O2584" s="26">
        <f>IF($D2584="","",IFERROR(VLOOKUP($D2584,物料档案!$A$4:$P$1203,10,0),0))</f>
        <v/>
      </c>
      <c r="P2584" s="32" t="n"/>
      <c r="Q2584" s="26">
        <f>IF($D2584="","",IF($K2584&lt;&gt;"对外销售",0,ROUND(N($J2584)*IF($P2584="",N($O2584),N($P2584)),0)))</f>
        <v/>
      </c>
      <c r="R2584" s="26">
        <f>IF($D2584="","",IFERROR(VLOOKUP($D2584,库存台账!$A$5:$Y$1204,11,0),0))</f>
        <v/>
      </c>
      <c r="S2584" s="26">
        <f>IF($D2584="","",ROUND(N($J2584)*N($R2584),0))</f>
        <v/>
      </c>
      <c r="T2584" s="26">
        <f>IF($D2584="","",IF($K2584&lt;&gt;"对外销售","",ROUND($Q2584-$S2584,0)))</f>
        <v/>
      </c>
      <c r="U2584" s="17" t="n"/>
      <c r="V2584" s="17" t="n"/>
      <c r="W2584" s="24">
        <f>IF($D2584="","",IF($E2584="※编码不在物料档案里","※物料编码不在档案里",IF(N($J2584)&lt;=0,"※出库数量要大于 0",IF($K2584="","※没填去向类型",IF($L2584="","※没填去向矿区",IF(AND($C2584&lt;&gt;"",$C2584&lt;=结账锁),"※日期早于已结账截止日，不能再录",IF(AND($K2584="自用消耗",COUNTIF({"一矿区";"二矿区"},$L2584)=0),"※自用消耗的去向只能是一矿区或二矿区",IF(AND($K2584="对外销售",COUNTIF({"三矿区";"六矿区"},$L2584)=0),"※对外销售的去向只能是三矿区或六矿区",IF(AND($K2584="对外销售",ROUND($Q2584,0)=0),"※外销却没有售价，请填实际售价",IF(AND($K2584="对外销售",$T2584&lt;&gt;"",$T2584&lt;0),"※这一笔外销是亏的，请核对售价",IF(IFERROR(VLOOKUP($D2584,库存台账!$A$5:$Y$1204,24,0),0)&lt;-0.001,"※这个物料账面已经变成负数了，查一下是不是漏记入库","")))))))))))</f>
        <v/>
      </c>
    </row>
    <row r="2585">
      <c r="A2585" s="24">
        <f>IF($D2585="","",COUNTA($D$4:$D2585))</f>
        <v/>
      </c>
      <c r="B2585" s="17" t="n"/>
      <c r="C2585" s="30" t="n"/>
      <c r="D2585" s="17" t="n"/>
      <c r="E2585" s="24">
        <f>IF($D2585="","",IFERROR(VLOOKUP($D2585,物料档案!$A$4:$P$1203,3,0),"※编码不在物料档案里"))</f>
        <v/>
      </c>
      <c r="F2585" s="24">
        <f>IF($D2585="","",IFERROR(VLOOKUP($D2585,物料档案!$A$4:$P$1203,4,0),"※编码不在物料档案里"))</f>
        <v/>
      </c>
      <c r="G2585" s="24">
        <f>IF($D2585="","",IFERROR(VLOOKUP($D2585,物料档案!$A$4:$P$1203,5,0),"※编码不在物料档案里"))</f>
        <v/>
      </c>
      <c r="H2585" s="24">
        <f>IF($D2585="","",IFERROR(VLOOKUP($D2585,物料档案!$A$4:$P$1203,2,0),"※编码不在物料档案里"))</f>
        <v/>
      </c>
      <c r="I2585" s="24">
        <f>IF($D2585="","",IFERROR(VLOOKUP($D2585,物料档案!$A$4:$P$1203,6,0),"※编码不在物料档案里"))</f>
        <v/>
      </c>
      <c r="J2585" s="23" t="n"/>
      <c r="K2585" s="17" t="n"/>
      <c r="L2585" s="17" t="n"/>
      <c r="M2585" s="17" t="n"/>
      <c r="N2585" s="17" t="n"/>
      <c r="O2585" s="26">
        <f>IF($D2585="","",IFERROR(VLOOKUP($D2585,物料档案!$A$4:$P$1203,10,0),0))</f>
        <v/>
      </c>
      <c r="P2585" s="32" t="n"/>
      <c r="Q2585" s="26">
        <f>IF($D2585="","",IF($K2585&lt;&gt;"对外销售",0,ROUND(N($J2585)*IF($P2585="",N($O2585),N($P2585)),0)))</f>
        <v/>
      </c>
      <c r="R2585" s="26">
        <f>IF($D2585="","",IFERROR(VLOOKUP($D2585,库存台账!$A$5:$Y$1204,11,0),0))</f>
        <v/>
      </c>
      <c r="S2585" s="26">
        <f>IF($D2585="","",ROUND(N($J2585)*N($R2585),0))</f>
        <v/>
      </c>
      <c r="T2585" s="26">
        <f>IF($D2585="","",IF($K2585&lt;&gt;"对外销售","",ROUND($Q2585-$S2585,0)))</f>
        <v/>
      </c>
      <c r="U2585" s="17" t="n"/>
      <c r="V2585" s="17" t="n"/>
      <c r="W2585" s="24">
        <f>IF($D2585="","",IF($E2585="※编码不在物料档案里","※物料编码不在档案里",IF(N($J2585)&lt;=0,"※出库数量要大于 0",IF($K2585="","※没填去向类型",IF($L2585="","※没填去向矿区",IF(AND($C2585&lt;&gt;"",$C2585&lt;=结账锁),"※日期早于已结账截止日，不能再录",IF(AND($K2585="自用消耗",COUNTIF({"一矿区";"二矿区"},$L2585)=0),"※自用消耗的去向只能是一矿区或二矿区",IF(AND($K2585="对外销售",COUNTIF({"三矿区";"六矿区"},$L2585)=0),"※对外销售的去向只能是三矿区或六矿区",IF(AND($K2585="对外销售",ROUND($Q2585,0)=0),"※外销却没有售价，请填实际售价",IF(AND($K2585="对外销售",$T2585&lt;&gt;"",$T2585&lt;0),"※这一笔外销是亏的，请核对售价",IF(IFERROR(VLOOKUP($D2585,库存台账!$A$5:$Y$1204,24,0),0)&lt;-0.001,"※这个物料账面已经变成负数了，查一下是不是漏记入库","")))))))))))</f>
        <v/>
      </c>
    </row>
    <row r="2586">
      <c r="A2586" s="24">
        <f>IF($D2586="","",COUNTA($D$4:$D2586))</f>
        <v/>
      </c>
      <c r="B2586" s="17" t="n"/>
      <c r="C2586" s="30" t="n"/>
      <c r="D2586" s="17" t="n"/>
      <c r="E2586" s="24">
        <f>IF($D2586="","",IFERROR(VLOOKUP($D2586,物料档案!$A$4:$P$1203,3,0),"※编码不在物料档案里"))</f>
        <v/>
      </c>
      <c r="F2586" s="24">
        <f>IF($D2586="","",IFERROR(VLOOKUP($D2586,物料档案!$A$4:$P$1203,4,0),"※编码不在物料档案里"))</f>
        <v/>
      </c>
      <c r="G2586" s="24">
        <f>IF($D2586="","",IFERROR(VLOOKUP($D2586,物料档案!$A$4:$P$1203,5,0),"※编码不在物料档案里"))</f>
        <v/>
      </c>
      <c r="H2586" s="24">
        <f>IF($D2586="","",IFERROR(VLOOKUP($D2586,物料档案!$A$4:$P$1203,2,0),"※编码不在物料档案里"))</f>
        <v/>
      </c>
      <c r="I2586" s="24">
        <f>IF($D2586="","",IFERROR(VLOOKUP($D2586,物料档案!$A$4:$P$1203,6,0),"※编码不在物料档案里"))</f>
        <v/>
      </c>
      <c r="J2586" s="23" t="n"/>
      <c r="K2586" s="17" t="n"/>
      <c r="L2586" s="17" t="n"/>
      <c r="M2586" s="17" t="n"/>
      <c r="N2586" s="17" t="n"/>
      <c r="O2586" s="26">
        <f>IF($D2586="","",IFERROR(VLOOKUP($D2586,物料档案!$A$4:$P$1203,10,0),0))</f>
        <v/>
      </c>
      <c r="P2586" s="32" t="n"/>
      <c r="Q2586" s="26">
        <f>IF($D2586="","",IF($K2586&lt;&gt;"对外销售",0,ROUND(N($J2586)*IF($P2586="",N($O2586),N($P2586)),0)))</f>
        <v/>
      </c>
      <c r="R2586" s="26">
        <f>IF($D2586="","",IFERROR(VLOOKUP($D2586,库存台账!$A$5:$Y$1204,11,0),0))</f>
        <v/>
      </c>
      <c r="S2586" s="26">
        <f>IF($D2586="","",ROUND(N($J2586)*N($R2586),0))</f>
        <v/>
      </c>
      <c r="T2586" s="26">
        <f>IF($D2586="","",IF($K2586&lt;&gt;"对外销售","",ROUND($Q2586-$S2586,0)))</f>
        <v/>
      </c>
      <c r="U2586" s="17" t="n"/>
      <c r="V2586" s="17" t="n"/>
      <c r="W2586" s="24">
        <f>IF($D2586="","",IF($E2586="※编码不在物料档案里","※物料编码不在档案里",IF(N($J2586)&lt;=0,"※出库数量要大于 0",IF($K2586="","※没填去向类型",IF($L2586="","※没填去向矿区",IF(AND($C2586&lt;&gt;"",$C2586&lt;=结账锁),"※日期早于已结账截止日，不能再录",IF(AND($K2586="自用消耗",COUNTIF({"一矿区";"二矿区"},$L2586)=0),"※自用消耗的去向只能是一矿区或二矿区",IF(AND($K2586="对外销售",COUNTIF({"三矿区";"六矿区"},$L2586)=0),"※对外销售的去向只能是三矿区或六矿区",IF(AND($K2586="对外销售",ROUND($Q2586,0)=0),"※外销却没有售价，请填实际售价",IF(AND($K2586="对外销售",$T2586&lt;&gt;"",$T2586&lt;0),"※这一笔外销是亏的，请核对售价",IF(IFERROR(VLOOKUP($D2586,库存台账!$A$5:$Y$1204,24,0),0)&lt;-0.001,"※这个物料账面已经变成负数了，查一下是不是漏记入库","")))))))))))</f>
        <v/>
      </c>
    </row>
    <row r="2587">
      <c r="A2587" s="24">
        <f>IF($D2587="","",COUNTA($D$4:$D2587))</f>
        <v/>
      </c>
      <c r="B2587" s="17" t="n"/>
      <c r="C2587" s="30" t="n"/>
      <c r="D2587" s="17" t="n"/>
      <c r="E2587" s="24">
        <f>IF($D2587="","",IFERROR(VLOOKUP($D2587,物料档案!$A$4:$P$1203,3,0),"※编码不在物料档案里"))</f>
        <v/>
      </c>
      <c r="F2587" s="24">
        <f>IF($D2587="","",IFERROR(VLOOKUP($D2587,物料档案!$A$4:$P$1203,4,0),"※编码不在物料档案里"))</f>
        <v/>
      </c>
      <c r="G2587" s="24">
        <f>IF($D2587="","",IFERROR(VLOOKUP($D2587,物料档案!$A$4:$P$1203,5,0),"※编码不在物料档案里"))</f>
        <v/>
      </c>
      <c r="H2587" s="24">
        <f>IF($D2587="","",IFERROR(VLOOKUP($D2587,物料档案!$A$4:$P$1203,2,0),"※编码不在物料档案里"))</f>
        <v/>
      </c>
      <c r="I2587" s="24">
        <f>IF($D2587="","",IFERROR(VLOOKUP($D2587,物料档案!$A$4:$P$1203,6,0),"※编码不在物料档案里"))</f>
        <v/>
      </c>
      <c r="J2587" s="23" t="n"/>
      <c r="K2587" s="17" t="n"/>
      <c r="L2587" s="17" t="n"/>
      <c r="M2587" s="17" t="n"/>
      <c r="N2587" s="17" t="n"/>
      <c r="O2587" s="26">
        <f>IF($D2587="","",IFERROR(VLOOKUP($D2587,物料档案!$A$4:$P$1203,10,0),0))</f>
        <v/>
      </c>
      <c r="P2587" s="32" t="n"/>
      <c r="Q2587" s="26">
        <f>IF($D2587="","",IF($K2587&lt;&gt;"对外销售",0,ROUND(N($J2587)*IF($P2587="",N($O2587),N($P2587)),0)))</f>
        <v/>
      </c>
      <c r="R2587" s="26">
        <f>IF($D2587="","",IFERROR(VLOOKUP($D2587,库存台账!$A$5:$Y$1204,11,0),0))</f>
        <v/>
      </c>
      <c r="S2587" s="26">
        <f>IF($D2587="","",ROUND(N($J2587)*N($R2587),0))</f>
        <v/>
      </c>
      <c r="T2587" s="26">
        <f>IF($D2587="","",IF($K2587&lt;&gt;"对外销售","",ROUND($Q2587-$S2587,0)))</f>
        <v/>
      </c>
      <c r="U2587" s="17" t="n"/>
      <c r="V2587" s="17" t="n"/>
      <c r="W2587" s="24">
        <f>IF($D2587="","",IF($E2587="※编码不在物料档案里","※物料编码不在档案里",IF(N($J2587)&lt;=0,"※出库数量要大于 0",IF($K2587="","※没填去向类型",IF($L2587="","※没填去向矿区",IF(AND($C2587&lt;&gt;"",$C2587&lt;=结账锁),"※日期早于已结账截止日，不能再录",IF(AND($K2587="自用消耗",COUNTIF({"一矿区";"二矿区"},$L2587)=0),"※自用消耗的去向只能是一矿区或二矿区",IF(AND($K2587="对外销售",COUNTIF({"三矿区";"六矿区"},$L2587)=0),"※对外销售的去向只能是三矿区或六矿区",IF(AND($K2587="对外销售",ROUND($Q2587,0)=0),"※外销却没有售价，请填实际售价",IF(AND($K2587="对外销售",$T2587&lt;&gt;"",$T2587&lt;0),"※这一笔外销是亏的，请核对售价",IF(IFERROR(VLOOKUP($D2587,库存台账!$A$5:$Y$1204,24,0),0)&lt;-0.001,"※这个物料账面已经变成负数了，查一下是不是漏记入库","")))))))))))</f>
        <v/>
      </c>
    </row>
    <row r="2588">
      <c r="A2588" s="24">
        <f>IF($D2588="","",COUNTA($D$4:$D2588))</f>
        <v/>
      </c>
      <c r="B2588" s="17" t="n"/>
      <c r="C2588" s="30" t="n"/>
      <c r="D2588" s="17" t="n"/>
      <c r="E2588" s="24">
        <f>IF($D2588="","",IFERROR(VLOOKUP($D2588,物料档案!$A$4:$P$1203,3,0),"※编码不在物料档案里"))</f>
        <v/>
      </c>
      <c r="F2588" s="24">
        <f>IF($D2588="","",IFERROR(VLOOKUP($D2588,物料档案!$A$4:$P$1203,4,0),"※编码不在物料档案里"))</f>
        <v/>
      </c>
      <c r="G2588" s="24">
        <f>IF($D2588="","",IFERROR(VLOOKUP($D2588,物料档案!$A$4:$P$1203,5,0),"※编码不在物料档案里"))</f>
        <v/>
      </c>
      <c r="H2588" s="24">
        <f>IF($D2588="","",IFERROR(VLOOKUP($D2588,物料档案!$A$4:$P$1203,2,0),"※编码不在物料档案里"))</f>
        <v/>
      </c>
      <c r="I2588" s="24">
        <f>IF($D2588="","",IFERROR(VLOOKUP($D2588,物料档案!$A$4:$P$1203,6,0),"※编码不在物料档案里"))</f>
        <v/>
      </c>
      <c r="J2588" s="23" t="n"/>
      <c r="K2588" s="17" t="n"/>
      <c r="L2588" s="17" t="n"/>
      <c r="M2588" s="17" t="n"/>
      <c r="N2588" s="17" t="n"/>
      <c r="O2588" s="26">
        <f>IF($D2588="","",IFERROR(VLOOKUP($D2588,物料档案!$A$4:$P$1203,10,0),0))</f>
        <v/>
      </c>
      <c r="P2588" s="32" t="n"/>
      <c r="Q2588" s="26">
        <f>IF($D2588="","",IF($K2588&lt;&gt;"对外销售",0,ROUND(N($J2588)*IF($P2588="",N($O2588),N($P2588)),0)))</f>
        <v/>
      </c>
      <c r="R2588" s="26">
        <f>IF($D2588="","",IFERROR(VLOOKUP($D2588,库存台账!$A$5:$Y$1204,11,0),0))</f>
        <v/>
      </c>
      <c r="S2588" s="26">
        <f>IF($D2588="","",ROUND(N($J2588)*N($R2588),0))</f>
        <v/>
      </c>
      <c r="T2588" s="26">
        <f>IF($D2588="","",IF($K2588&lt;&gt;"对外销售","",ROUND($Q2588-$S2588,0)))</f>
        <v/>
      </c>
      <c r="U2588" s="17" t="n"/>
      <c r="V2588" s="17" t="n"/>
      <c r="W2588" s="24">
        <f>IF($D2588="","",IF($E2588="※编码不在物料档案里","※物料编码不在档案里",IF(N($J2588)&lt;=0,"※出库数量要大于 0",IF($K2588="","※没填去向类型",IF($L2588="","※没填去向矿区",IF(AND($C2588&lt;&gt;"",$C2588&lt;=结账锁),"※日期早于已结账截止日，不能再录",IF(AND($K2588="自用消耗",COUNTIF({"一矿区";"二矿区"},$L2588)=0),"※自用消耗的去向只能是一矿区或二矿区",IF(AND($K2588="对外销售",COUNTIF({"三矿区";"六矿区"},$L2588)=0),"※对外销售的去向只能是三矿区或六矿区",IF(AND($K2588="对外销售",ROUND($Q2588,0)=0),"※外销却没有售价，请填实际售价",IF(AND($K2588="对外销售",$T2588&lt;&gt;"",$T2588&lt;0),"※这一笔外销是亏的，请核对售价",IF(IFERROR(VLOOKUP($D2588,库存台账!$A$5:$Y$1204,24,0),0)&lt;-0.001,"※这个物料账面已经变成负数了，查一下是不是漏记入库","")))))))))))</f>
        <v/>
      </c>
    </row>
    <row r="2589">
      <c r="A2589" s="24">
        <f>IF($D2589="","",COUNTA($D$4:$D2589))</f>
        <v/>
      </c>
      <c r="B2589" s="17" t="n"/>
      <c r="C2589" s="30" t="n"/>
      <c r="D2589" s="17" t="n"/>
      <c r="E2589" s="24">
        <f>IF($D2589="","",IFERROR(VLOOKUP($D2589,物料档案!$A$4:$P$1203,3,0),"※编码不在物料档案里"))</f>
        <v/>
      </c>
      <c r="F2589" s="24">
        <f>IF($D2589="","",IFERROR(VLOOKUP($D2589,物料档案!$A$4:$P$1203,4,0),"※编码不在物料档案里"))</f>
        <v/>
      </c>
      <c r="G2589" s="24">
        <f>IF($D2589="","",IFERROR(VLOOKUP($D2589,物料档案!$A$4:$P$1203,5,0),"※编码不在物料档案里"))</f>
        <v/>
      </c>
      <c r="H2589" s="24">
        <f>IF($D2589="","",IFERROR(VLOOKUP($D2589,物料档案!$A$4:$P$1203,2,0),"※编码不在物料档案里"))</f>
        <v/>
      </c>
      <c r="I2589" s="24">
        <f>IF($D2589="","",IFERROR(VLOOKUP($D2589,物料档案!$A$4:$P$1203,6,0),"※编码不在物料档案里"))</f>
        <v/>
      </c>
      <c r="J2589" s="23" t="n"/>
      <c r="K2589" s="17" t="n"/>
      <c r="L2589" s="17" t="n"/>
      <c r="M2589" s="17" t="n"/>
      <c r="N2589" s="17" t="n"/>
      <c r="O2589" s="26">
        <f>IF($D2589="","",IFERROR(VLOOKUP($D2589,物料档案!$A$4:$P$1203,10,0),0))</f>
        <v/>
      </c>
      <c r="P2589" s="32" t="n"/>
      <c r="Q2589" s="26">
        <f>IF($D2589="","",IF($K2589&lt;&gt;"对外销售",0,ROUND(N($J2589)*IF($P2589="",N($O2589),N($P2589)),0)))</f>
        <v/>
      </c>
      <c r="R2589" s="26">
        <f>IF($D2589="","",IFERROR(VLOOKUP($D2589,库存台账!$A$5:$Y$1204,11,0),0))</f>
        <v/>
      </c>
      <c r="S2589" s="26">
        <f>IF($D2589="","",ROUND(N($J2589)*N($R2589),0))</f>
        <v/>
      </c>
      <c r="T2589" s="26">
        <f>IF($D2589="","",IF($K2589&lt;&gt;"对外销售","",ROUND($Q2589-$S2589,0)))</f>
        <v/>
      </c>
      <c r="U2589" s="17" t="n"/>
      <c r="V2589" s="17" t="n"/>
      <c r="W2589" s="24">
        <f>IF($D2589="","",IF($E2589="※编码不在物料档案里","※物料编码不在档案里",IF(N($J2589)&lt;=0,"※出库数量要大于 0",IF($K2589="","※没填去向类型",IF($L2589="","※没填去向矿区",IF(AND($C2589&lt;&gt;"",$C2589&lt;=结账锁),"※日期早于已结账截止日，不能再录",IF(AND($K2589="自用消耗",COUNTIF({"一矿区";"二矿区"},$L2589)=0),"※自用消耗的去向只能是一矿区或二矿区",IF(AND($K2589="对外销售",COUNTIF({"三矿区";"六矿区"},$L2589)=0),"※对外销售的去向只能是三矿区或六矿区",IF(AND($K2589="对外销售",ROUND($Q2589,0)=0),"※外销却没有售价，请填实际售价",IF(AND($K2589="对外销售",$T2589&lt;&gt;"",$T2589&lt;0),"※这一笔外销是亏的，请核对售价",IF(IFERROR(VLOOKUP($D2589,库存台账!$A$5:$Y$1204,24,0),0)&lt;-0.001,"※这个物料账面已经变成负数了，查一下是不是漏记入库","")))))))))))</f>
        <v/>
      </c>
    </row>
    <row r="2590">
      <c r="A2590" s="24">
        <f>IF($D2590="","",COUNTA($D$4:$D2590))</f>
        <v/>
      </c>
      <c r="B2590" s="17" t="n"/>
      <c r="C2590" s="30" t="n"/>
      <c r="D2590" s="17" t="n"/>
      <c r="E2590" s="24">
        <f>IF($D2590="","",IFERROR(VLOOKUP($D2590,物料档案!$A$4:$P$1203,3,0),"※编码不在物料档案里"))</f>
        <v/>
      </c>
      <c r="F2590" s="24">
        <f>IF($D2590="","",IFERROR(VLOOKUP($D2590,物料档案!$A$4:$P$1203,4,0),"※编码不在物料档案里"))</f>
        <v/>
      </c>
      <c r="G2590" s="24">
        <f>IF($D2590="","",IFERROR(VLOOKUP($D2590,物料档案!$A$4:$P$1203,5,0),"※编码不在物料档案里"))</f>
        <v/>
      </c>
      <c r="H2590" s="24">
        <f>IF($D2590="","",IFERROR(VLOOKUP($D2590,物料档案!$A$4:$P$1203,2,0),"※编码不在物料档案里"))</f>
        <v/>
      </c>
      <c r="I2590" s="24">
        <f>IF($D2590="","",IFERROR(VLOOKUP($D2590,物料档案!$A$4:$P$1203,6,0),"※编码不在物料档案里"))</f>
        <v/>
      </c>
      <c r="J2590" s="23" t="n"/>
      <c r="K2590" s="17" t="n"/>
      <c r="L2590" s="17" t="n"/>
      <c r="M2590" s="17" t="n"/>
      <c r="N2590" s="17" t="n"/>
      <c r="O2590" s="26">
        <f>IF($D2590="","",IFERROR(VLOOKUP($D2590,物料档案!$A$4:$P$1203,10,0),0))</f>
        <v/>
      </c>
      <c r="P2590" s="32" t="n"/>
      <c r="Q2590" s="26">
        <f>IF($D2590="","",IF($K2590&lt;&gt;"对外销售",0,ROUND(N($J2590)*IF($P2590="",N($O2590),N($P2590)),0)))</f>
        <v/>
      </c>
      <c r="R2590" s="26">
        <f>IF($D2590="","",IFERROR(VLOOKUP($D2590,库存台账!$A$5:$Y$1204,11,0),0))</f>
        <v/>
      </c>
      <c r="S2590" s="26">
        <f>IF($D2590="","",ROUND(N($J2590)*N($R2590),0))</f>
        <v/>
      </c>
      <c r="T2590" s="26">
        <f>IF($D2590="","",IF($K2590&lt;&gt;"对外销售","",ROUND($Q2590-$S2590,0)))</f>
        <v/>
      </c>
      <c r="U2590" s="17" t="n"/>
      <c r="V2590" s="17" t="n"/>
      <c r="W2590" s="24">
        <f>IF($D2590="","",IF($E2590="※编码不在物料档案里","※物料编码不在档案里",IF(N($J2590)&lt;=0,"※出库数量要大于 0",IF($K2590="","※没填去向类型",IF($L2590="","※没填去向矿区",IF(AND($C2590&lt;&gt;"",$C2590&lt;=结账锁),"※日期早于已结账截止日，不能再录",IF(AND($K2590="自用消耗",COUNTIF({"一矿区";"二矿区"},$L2590)=0),"※自用消耗的去向只能是一矿区或二矿区",IF(AND($K2590="对外销售",COUNTIF({"三矿区";"六矿区"},$L2590)=0),"※对外销售的去向只能是三矿区或六矿区",IF(AND($K2590="对外销售",ROUND($Q2590,0)=0),"※外销却没有售价，请填实际售价",IF(AND($K2590="对外销售",$T2590&lt;&gt;"",$T2590&lt;0),"※这一笔外销是亏的，请核对售价",IF(IFERROR(VLOOKUP($D2590,库存台账!$A$5:$Y$1204,24,0),0)&lt;-0.001,"※这个物料账面已经变成负数了，查一下是不是漏记入库","")))))))))))</f>
        <v/>
      </c>
    </row>
    <row r="2591">
      <c r="A2591" s="24">
        <f>IF($D2591="","",COUNTA($D$4:$D2591))</f>
        <v/>
      </c>
      <c r="B2591" s="17" t="n"/>
      <c r="C2591" s="30" t="n"/>
      <c r="D2591" s="17" t="n"/>
      <c r="E2591" s="24">
        <f>IF($D2591="","",IFERROR(VLOOKUP($D2591,物料档案!$A$4:$P$1203,3,0),"※编码不在物料档案里"))</f>
        <v/>
      </c>
      <c r="F2591" s="24">
        <f>IF($D2591="","",IFERROR(VLOOKUP($D2591,物料档案!$A$4:$P$1203,4,0),"※编码不在物料档案里"))</f>
        <v/>
      </c>
      <c r="G2591" s="24">
        <f>IF($D2591="","",IFERROR(VLOOKUP($D2591,物料档案!$A$4:$P$1203,5,0),"※编码不在物料档案里"))</f>
        <v/>
      </c>
      <c r="H2591" s="24">
        <f>IF($D2591="","",IFERROR(VLOOKUP($D2591,物料档案!$A$4:$P$1203,2,0),"※编码不在物料档案里"))</f>
        <v/>
      </c>
      <c r="I2591" s="24">
        <f>IF($D2591="","",IFERROR(VLOOKUP($D2591,物料档案!$A$4:$P$1203,6,0),"※编码不在物料档案里"))</f>
        <v/>
      </c>
      <c r="J2591" s="23" t="n"/>
      <c r="K2591" s="17" t="n"/>
      <c r="L2591" s="17" t="n"/>
      <c r="M2591" s="17" t="n"/>
      <c r="N2591" s="17" t="n"/>
      <c r="O2591" s="26">
        <f>IF($D2591="","",IFERROR(VLOOKUP($D2591,物料档案!$A$4:$P$1203,10,0),0))</f>
        <v/>
      </c>
      <c r="P2591" s="32" t="n"/>
      <c r="Q2591" s="26">
        <f>IF($D2591="","",IF($K2591&lt;&gt;"对外销售",0,ROUND(N($J2591)*IF($P2591="",N($O2591),N($P2591)),0)))</f>
        <v/>
      </c>
      <c r="R2591" s="26">
        <f>IF($D2591="","",IFERROR(VLOOKUP($D2591,库存台账!$A$5:$Y$1204,11,0),0))</f>
        <v/>
      </c>
      <c r="S2591" s="26">
        <f>IF($D2591="","",ROUND(N($J2591)*N($R2591),0))</f>
        <v/>
      </c>
      <c r="T2591" s="26">
        <f>IF($D2591="","",IF($K2591&lt;&gt;"对外销售","",ROUND($Q2591-$S2591,0)))</f>
        <v/>
      </c>
      <c r="U2591" s="17" t="n"/>
      <c r="V2591" s="17" t="n"/>
      <c r="W2591" s="24">
        <f>IF($D2591="","",IF($E2591="※编码不在物料档案里","※物料编码不在档案里",IF(N($J2591)&lt;=0,"※出库数量要大于 0",IF($K2591="","※没填去向类型",IF($L2591="","※没填去向矿区",IF(AND($C2591&lt;&gt;"",$C2591&lt;=结账锁),"※日期早于已结账截止日，不能再录",IF(AND($K2591="自用消耗",COUNTIF({"一矿区";"二矿区"},$L2591)=0),"※自用消耗的去向只能是一矿区或二矿区",IF(AND($K2591="对外销售",COUNTIF({"三矿区";"六矿区"},$L2591)=0),"※对外销售的去向只能是三矿区或六矿区",IF(AND($K2591="对外销售",ROUND($Q2591,0)=0),"※外销却没有售价，请填实际售价",IF(AND($K2591="对外销售",$T2591&lt;&gt;"",$T2591&lt;0),"※这一笔外销是亏的，请核对售价",IF(IFERROR(VLOOKUP($D2591,库存台账!$A$5:$Y$1204,24,0),0)&lt;-0.001,"※这个物料账面已经变成负数了，查一下是不是漏记入库","")))))))))))</f>
        <v/>
      </c>
    </row>
    <row r="2592">
      <c r="A2592" s="24">
        <f>IF($D2592="","",COUNTA($D$4:$D2592))</f>
        <v/>
      </c>
      <c r="B2592" s="17" t="n"/>
      <c r="C2592" s="30" t="n"/>
      <c r="D2592" s="17" t="n"/>
      <c r="E2592" s="24">
        <f>IF($D2592="","",IFERROR(VLOOKUP($D2592,物料档案!$A$4:$P$1203,3,0),"※编码不在物料档案里"))</f>
        <v/>
      </c>
      <c r="F2592" s="24">
        <f>IF($D2592="","",IFERROR(VLOOKUP($D2592,物料档案!$A$4:$P$1203,4,0),"※编码不在物料档案里"))</f>
        <v/>
      </c>
      <c r="G2592" s="24">
        <f>IF($D2592="","",IFERROR(VLOOKUP($D2592,物料档案!$A$4:$P$1203,5,0),"※编码不在物料档案里"))</f>
        <v/>
      </c>
      <c r="H2592" s="24">
        <f>IF($D2592="","",IFERROR(VLOOKUP($D2592,物料档案!$A$4:$P$1203,2,0),"※编码不在物料档案里"))</f>
        <v/>
      </c>
      <c r="I2592" s="24">
        <f>IF($D2592="","",IFERROR(VLOOKUP($D2592,物料档案!$A$4:$P$1203,6,0),"※编码不在物料档案里"))</f>
        <v/>
      </c>
      <c r="J2592" s="23" t="n"/>
      <c r="K2592" s="17" t="n"/>
      <c r="L2592" s="17" t="n"/>
      <c r="M2592" s="17" t="n"/>
      <c r="N2592" s="17" t="n"/>
      <c r="O2592" s="26">
        <f>IF($D2592="","",IFERROR(VLOOKUP($D2592,物料档案!$A$4:$P$1203,10,0),0))</f>
        <v/>
      </c>
      <c r="P2592" s="32" t="n"/>
      <c r="Q2592" s="26">
        <f>IF($D2592="","",IF($K2592&lt;&gt;"对外销售",0,ROUND(N($J2592)*IF($P2592="",N($O2592),N($P2592)),0)))</f>
        <v/>
      </c>
      <c r="R2592" s="26">
        <f>IF($D2592="","",IFERROR(VLOOKUP($D2592,库存台账!$A$5:$Y$1204,11,0),0))</f>
        <v/>
      </c>
      <c r="S2592" s="26">
        <f>IF($D2592="","",ROUND(N($J2592)*N($R2592),0))</f>
        <v/>
      </c>
      <c r="T2592" s="26">
        <f>IF($D2592="","",IF($K2592&lt;&gt;"对外销售","",ROUND($Q2592-$S2592,0)))</f>
        <v/>
      </c>
      <c r="U2592" s="17" t="n"/>
      <c r="V2592" s="17" t="n"/>
      <c r="W2592" s="24">
        <f>IF($D2592="","",IF($E2592="※编码不在物料档案里","※物料编码不在档案里",IF(N($J2592)&lt;=0,"※出库数量要大于 0",IF($K2592="","※没填去向类型",IF($L2592="","※没填去向矿区",IF(AND($C2592&lt;&gt;"",$C2592&lt;=结账锁),"※日期早于已结账截止日，不能再录",IF(AND($K2592="自用消耗",COUNTIF({"一矿区";"二矿区"},$L2592)=0),"※自用消耗的去向只能是一矿区或二矿区",IF(AND($K2592="对外销售",COUNTIF({"三矿区";"六矿区"},$L2592)=0),"※对外销售的去向只能是三矿区或六矿区",IF(AND($K2592="对外销售",ROUND($Q2592,0)=0),"※外销却没有售价，请填实际售价",IF(AND($K2592="对外销售",$T2592&lt;&gt;"",$T2592&lt;0),"※这一笔外销是亏的，请核对售价",IF(IFERROR(VLOOKUP($D2592,库存台账!$A$5:$Y$1204,24,0),0)&lt;-0.001,"※这个物料账面已经变成负数了，查一下是不是漏记入库","")))))))))))</f>
        <v/>
      </c>
    </row>
    <row r="2593">
      <c r="A2593" s="24">
        <f>IF($D2593="","",COUNTA($D$4:$D2593))</f>
        <v/>
      </c>
      <c r="B2593" s="17" t="n"/>
      <c r="C2593" s="30" t="n"/>
      <c r="D2593" s="17" t="n"/>
      <c r="E2593" s="24">
        <f>IF($D2593="","",IFERROR(VLOOKUP($D2593,物料档案!$A$4:$P$1203,3,0),"※编码不在物料档案里"))</f>
        <v/>
      </c>
      <c r="F2593" s="24">
        <f>IF($D2593="","",IFERROR(VLOOKUP($D2593,物料档案!$A$4:$P$1203,4,0),"※编码不在物料档案里"))</f>
        <v/>
      </c>
      <c r="G2593" s="24">
        <f>IF($D2593="","",IFERROR(VLOOKUP($D2593,物料档案!$A$4:$P$1203,5,0),"※编码不在物料档案里"))</f>
        <v/>
      </c>
      <c r="H2593" s="24">
        <f>IF($D2593="","",IFERROR(VLOOKUP($D2593,物料档案!$A$4:$P$1203,2,0),"※编码不在物料档案里"))</f>
        <v/>
      </c>
      <c r="I2593" s="24">
        <f>IF($D2593="","",IFERROR(VLOOKUP($D2593,物料档案!$A$4:$P$1203,6,0),"※编码不在物料档案里"))</f>
        <v/>
      </c>
      <c r="J2593" s="23" t="n"/>
      <c r="K2593" s="17" t="n"/>
      <c r="L2593" s="17" t="n"/>
      <c r="M2593" s="17" t="n"/>
      <c r="N2593" s="17" t="n"/>
      <c r="O2593" s="26">
        <f>IF($D2593="","",IFERROR(VLOOKUP($D2593,物料档案!$A$4:$P$1203,10,0),0))</f>
        <v/>
      </c>
      <c r="P2593" s="32" t="n"/>
      <c r="Q2593" s="26">
        <f>IF($D2593="","",IF($K2593&lt;&gt;"对外销售",0,ROUND(N($J2593)*IF($P2593="",N($O2593),N($P2593)),0)))</f>
        <v/>
      </c>
      <c r="R2593" s="26">
        <f>IF($D2593="","",IFERROR(VLOOKUP($D2593,库存台账!$A$5:$Y$1204,11,0),0))</f>
        <v/>
      </c>
      <c r="S2593" s="26">
        <f>IF($D2593="","",ROUND(N($J2593)*N($R2593),0))</f>
        <v/>
      </c>
      <c r="T2593" s="26">
        <f>IF($D2593="","",IF($K2593&lt;&gt;"对外销售","",ROUND($Q2593-$S2593,0)))</f>
        <v/>
      </c>
      <c r="U2593" s="17" t="n"/>
      <c r="V2593" s="17" t="n"/>
      <c r="W2593" s="24">
        <f>IF($D2593="","",IF($E2593="※编码不在物料档案里","※物料编码不在档案里",IF(N($J2593)&lt;=0,"※出库数量要大于 0",IF($K2593="","※没填去向类型",IF($L2593="","※没填去向矿区",IF(AND($C2593&lt;&gt;"",$C2593&lt;=结账锁),"※日期早于已结账截止日，不能再录",IF(AND($K2593="自用消耗",COUNTIF({"一矿区";"二矿区"},$L2593)=0),"※自用消耗的去向只能是一矿区或二矿区",IF(AND($K2593="对外销售",COUNTIF({"三矿区";"六矿区"},$L2593)=0),"※对外销售的去向只能是三矿区或六矿区",IF(AND($K2593="对外销售",ROUND($Q2593,0)=0),"※外销却没有售价，请填实际售价",IF(AND($K2593="对外销售",$T2593&lt;&gt;"",$T2593&lt;0),"※这一笔外销是亏的，请核对售价",IF(IFERROR(VLOOKUP($D2593,库存台账!$A$5:$Y$1204,24,0),0)&lt;-0.001,"※这个物料账面已经变成负数了，查一下是不是漏记入库","")))))))))))</f>
        <v/>
      </c>
    </row>
    <row r="2594">
      <c r="A2594" s="24">
        <f>IF($D2594="","",COUNTA($D$4:$D2594))</f>
        <v/>
      </c>
      <c r="B2594" s="17" t="n"/>
      <c r="C2594" s="30" t="n"/>
      <c r="D2594" s="17" t="n"/>
      <c r="E2594" s="24">
        <f>IF($D2594="","",IFERROR(VLOOKUP($D2594,物料档案!$A$4:$P$1203,3,0),"※编码不在物料档案里"))</f>
        <v/>
      </c>
      <c r="F2594" s="24">
        <f>IF($D2594="","",IFERROR(VLOOKUP($D2594,物料档案!$A$4:$P$1203,4,0),"※编码不在物料档案里"))</f>
        <v/>
      </c>
      <c r="G2594" s="24">
        <f>IF($D2594="","",IFERROR(VLOOKUP($D2594,物料档案!$A$4:$P$1203,5,0),"※编码不在物料档案里"))</f>
        <v/>
      </c>
      <c r="H2594" s="24">
        <f>IF($D2594="","",IFERROR(VLOOKUP($D2594,物料档案!$A$4:$P$1203,2,0),"※编码不在物料档案里"))</f>
        <v/>
      </c>
      <c r="I2594" s="24">
        <f>IF($D2594="","",IFERROR(VLOOKUP($D2594,物料档案!$A$4:$P$1203,6,0),"※编码不在物料档案里"))</f>
        <v/>
      </c>
      <c r="J2594" s="23" t="n"/>
      <c r="K2594" s="17" t="n"/>
      <c r="L2594" s="17" t="n"/>
      <c r="M2594" s="17" t="n"/>
      <c r="N2594" s="17" t="n"/>
      <c r="O2594" s="26">
        <f>IF($D2594="","",IFERROR(VLOOKUP($D2594,物料档案!$A$4:$P$1203,10,0),0))</f>
        <v/>
      </c>
      <c r="P2594" s="32" t="n"/>
      <c r="Q2594" s="26">
        <f>IF($D2594="","",IF($K2594&lt;&gt;"对外销售",0,ROUND(N($J2594)*IF($P2594="",N($O2594),N($P2594)),0)))</f>
        <v/>
      </c>
      <c r="R2594" s="26">
        <f>IF($D2594="","",IFERROR(VLOOKUP($D2594,库存台账!$A$5:$Y$1204,11,0),0))</f>
        <v/>
      </c>
      <c r="S2594" s="26">
        <f>IF($D2594="","",ROUND(N($J2594)*N($R2594),0))</f>
        <v/>
      </c>
      <c r="T2594" s="26">
        <f>IF($D2594="","",IF($K2594&lt;&gt;"对外销售","",ROUND($Q2594-$S2594,0)))</f>
        <v/>
      </c>
      <c r="U2594" s="17" t="n"/>
      <c r="V2594" s="17" t="n"/>
      <c r="W2594" s="24">
        <f>IF($D2594="","",IF($E2594="※编码不在物料档案里","※物料编码不在档案里",IF(N($J2594)&lt;=0,"※出库数量要大于 0",IF($K2594="","※没填去向类型",IF($L2594="","※没填去向矿区",IF(AND($C2594&lt;&gt;"",$C2594&lt;=结账锁),"※日期早于已结账截止日，不能再录",IF(AND($K2594="自用消耗",COUNTIF({"一矿区";"二矿区"},$L2594)=0),"※自用消耗的去向只能是一矿区或二矿区",IF(AND($K2594="对外销售",COUNTIF({"三矿区";"六矿区"},$L2594)=0),"※对外销售的去向只能是三矿区或六矿区",IF(AND($K2594="对外销售",ROUND($Q2594,0)=0),"※外销却没有售价，请填实际售价",IF(AND($K2594="对外销售",$T2594&lt;&gt;"",$T2594&lt;0),"※这一笔外销是亏的，请核对售价",IF(IFERROR(VLOOKUP($D2594,库存台账!$A$5:$Y$1204,24,0),0)&lt;-0.001,"※这个物料账面已经变成负数了，查一下是不是漏记入库","")))))))))))</f>
        <v/>
      </c>
    </row>
    <row r="2595">
      <c r="A2595" s="24">
        <f>IF($D2595="","",COUNTA($D$4:$D2595))</f>
        <v/>
      </c>
      <c r="B2595" s="17" t="n"/>
      <c r="C2595" s="30" t="n"/>
      <c r="D2595" s="17" t="n"/>
      <c r="E2595" s="24">
        <f>IF($D2595="","",IFERROR(VLOOKUP($D2595,物料档案!$A$4:$P$1203,3,0),"※编码不在物料档案里"))</f>
        <v/>
      </c>
      <c r="F2595" s="24">
        <f>IF($D2595="","",IFERROR(VLOOKUP($D2595,物料档案!$A$4:$P$1203,4,0),"※编码不在物料档案里"))</f>
        <v/>
      </c>
      <c r="G2595" s="24">
        <f>IF($D2595="","",IFERROR(VLOOKUP($D2595,物料档案!$A$4:$P$1203,5,0),"※编码不在物料档案里"))</f>
        <v/>
      </c>
      <c r="H2595" s="24">
        <f>IF($D2595="","",IFERROR(VLOOKUP($D2595,物料档案!$A$4:$P$1203,2,0),"※编码不在物料档案里"))</f>
        <v/>
      </c>
      <c r="I2595" s="24">
        <f>IF($D2595="","",IFERROR(VLOOKUP($D2595,物料档案!$A$4:$P$1203,6,0),"※编码不在物料档案里"))</f>
        <v/>
      </c>
      <c r="J2595" s="23" t="n"/>
      <c r="K2595" s="17" t="n"/>
      <c r="L2595" s="17" t="n"/>
      <c r="M2595" s="17" t="n"/>
      <c r="N2595" s="17" t="n"/>
      <c r="O2595" s="26">
        <f>IF($D2595="","",IFERROR(VLOOKUP($D2595,物料档案!$A$4:$P$1203,10,0),0))</f>
        <v/>
      </c>
      <c r="P2595" s="32" t="n"/>
      <c r="Q2595" s="26">
        <f>IF($D2595="","",IF($K2595&lt;&gt;"对外销售",0,ROUND(N($J2595)*IF($P2595="",N($O2595),N($P2595)),0)))</f>
        <v/>
      </c>
      <c r="R2595" s="26">
        <f>IF($D2595="","",IFERROR(VLOOKUP($D2595,库存台账!$A$5:$Y$1204,11,0),0))</f>
        <v/>
      </c>
      <c r="S2595" s="26">
        <f>IF($D2595="","",ROUND(N($J2595)*N($R2595),0))</f>
        <v/>
      </c>
      <c r="T2595" s="26">
        <f>IF($D2595="","",IF($K2595&lt;&gt;"对外销售","",ROUND($Q2595-$S2595,0)))</f>
        <v/>
      </c>
      <c r="U2595" s="17" t="n"/>
      <c r="V2595" s="17" t="n"/>
      <c r="W2595" s="24">
        <f>IF($D2595="","",IF($E2595="※编码不在物料档案里","※物料编码不在档案里",IF(N($J2595)&lt;=0,"※出库数量要大于 0",IF($K2595="","※没填去向类型",IF($L2595="","※没填去向矿区",IF(AND($C2595&lt;&gt;"",$C2595&lt;=结账锁),"※日期早于已结账截止日，不能再录",IF(AND($K2595="自用消耗",COUNTIF({"一矿区";"二矿区"},$L2595)=0),"※自用消耗的去向只能是一矿区或二矿区",IF(AND($K2595="对外销售",COUNTIF({"三矿区";"六矿区"},$L2595)=0),"※对外销售的去向只能是三矿区或六矿区",IF(AND($K2595="对外销售",ROUND($Q2595,0)=0),"※外销却没有售价，请填实际售价",IF(AND($K2595="对外销售",$T2595&lt;&gt;"",$T2595&lt;0),"※这一笔外销是亏的，请核对售价",IF(IFERROR(VLOOKUP($D2595,库存台账!$A$5:$Y$1204,24,0),0)&lt;-0.001,"※这个物料账面已经变成负数了，查一下是不是漏记入库","")))))))))))</f>
        <v/>
      </c>
    </row>
    <row r="2596">
      <c r="A2596" s="24">
        <f>IF($D2596="","",COUNTA($D$4:$D2596))</f>
        <v/>
      </c>
      <c r="B2596" s="17" t="n"/>
      <c r="C2596" s="30" t="n"/>
      <c r="D2596" s="17" t="n"/>
      <c r="E2596" s="24">
        <f>IF($D2596="","",IFERROR(VLOOKUP($D2596,物料档案!$A$4:$P$1203,3,0),"※编码不在物料档案里"))</f>
        <v/>
      </c>
      <c r="F2596" s="24">
        <f>IF($D2596="","",IFERROR(VLOOKUP($D2596,物料档案!$A$4:$P$1203,4,0),"※编码不在物料档案里"))</f>
        <v/>
      </c>
      <c r="G2596" s="24">
        <f>IF($D2596="","",IFERROR(VLOOKUP($D2596,物料档案!$A$4:$P$1203,5,0),"※编码不在物料档案里"))</f>
        <v/>
      </c>
      <c r="H2596" s="24">
        <f>IF($D2596="","",IFERROR(VLOOKUP($D2596,物料档案!$A$4:$P$1203,2,0),"※编码不在物料档案里"))</f>
        <v/>
      </c>
      <c r="I2596" s="24">
        <f>IF($D2596="","",IFERROR(VLOOKUP($D2596,物料档案!$A$4:$P$1203,6,0),"※编码不在物料档案里"))</f>
        <v/>
      </c>
      <c r="J2596" s="23" t="n"/>
      <c r="K2596" s="17" t="n"/>
      <c r="L2596" s="17" t="n"/>
      <c r="M2596" s="17" t="n"/>
      <c r="N2596" s="17" t="n"/>
      <c r="O2596" s="26">
        <f>IF($D2596="","",IFERROR(VLOOKUP($D2596,物料档案!$A$4:$P$1203,10,0),0))</f>
        <v/>
      </c>
      <c r="P2596" s="32" t="n"/>
      <c r="Q2596" s="26">
        <f>IF($D2596="","",IF($K2596&lt;&gt;"对外销售",0,ROUND(N($J2596)*IF($P2596="",N($O2596),N($P2596)),0)))</f>
        <v/>
      </c>
      <c r="R2596" s="26">
        <f>IF($D2596="","",IFERROR(VLOOKUP($D2596,库存台账!$A$5:$Y$1204,11,0),0))</f>
        <v/>
      </c>
      <c r="S2596" s="26">
        <f>IF($D2596="","",ROUND(N($J2596)*N($R2596),0))</f>
        <v/>
      </c>
      <c r="T2596" s="26">
        <f>IF($D2596="","",IF($K2596&lt;&gt;"对外销售","",ROUND($Q2596-$S2596,0)))</f>
        <v/>
      </c>
      <c r="U2596" s="17" t="n"/>
      <c r="V2596" s="17" t="n"/>
      <c r="W2596" s="24">
        <f>IF($D2596="","",IF($E2596="※编码不在物料档案里","※物料编码不在档案里",IF(N($J2596)&lt;=0,"※出库数量要大于 0",IF($K2596="","※没填去向类型",IF($L2596="","※没填去向矿区",IF(AND($C2596&lt;&gt;"",$C2596&lt;=结账锁),"※日期早于已结账截止日，不能再录",IF(AND($K2596="自用消耗",COUNTIF({"一矿区";"二矿区"},$L2596)=0),"※自用消耗的去向只能是一矿区或二矿区",IF(AND($K2596="对外销售",COUNTIF({"三矿区";"六矿区"},$L2596)=0),"※对外销售的去向只能是三矿区或六矿区",IF(AND($K2596="对外销售",ROUND($Q2596,0)=0),"※外销却没有售价，请填实际售价",IF(AND($K2596="对外销售",$T2596&lt;&gt;"",$T2596&lt;0),"※这一笔外销是亏的，请核对售价",IF(IFERROR(VLOOKUP($D2596,库存台账!$A$5:$Y$1204,24,0),0)&lt;-0.001,"※这个物料账面已经变成负数了，查一下是不是漏记入库","")))))))))))</f>
        <v/>
      </c>
    </row>
    <row r="2597">
      <c r="A2597" s="24">
        <f>IF($D2597="","",COUNTA($D$4:$D2597))</f>
        <v/>
      </c>
      <c r="B2597" s="17" t="n"/>
      <c r="C2597" s="30" t="n"/>
      <c r="D2597" s="17" t="n"/>
      <c r="E2597" s="24">
        <f>IF($D2597="","",IFERROR(VLOOKUP($D2597,物料档案!$A$4:$P$1203,3,0),"※编码不在物料档案里"))</f>
        <v/>
      </c>
      <c r="F2597" s="24">
        <f>IF($D2597="","",IFERROR(VLOOKUP($D2597,物料档案!$A$4:$P$1203,4,0),"※编码不在物料档案里"))</f>
        <v/>
      </c>
      <c r="G2597" s="24">
        <f>IF($D2597="","",IFERROR(VLOOKUP($D2597,物料档案!$A$4:$P$1203,5,0),"※编码不在物料档案里"))</f>
        <v/>
      </c>
      <c r="H2597" s="24">
        <f>IF($D2597="","",IFERROR(VLOOKUP($D2597,物料档案!$A$4:$P$1203,2,0),"※编码不在物料档案里"))</f>
        <v/>
      </c>
      <c r="I2597" s="24">
        <f>IF($D2597="","",IFERROR(VLOOKUP($D2597,物料档案!$A$4:$P$1203,6,0),"※编码不在物料档案里"))</f>
        <v/>
      </c>
      <c r="J2597" s="23" t="n"/>
      <c r="K2597" s="17" t="n"/>
      <c r="L2597" s="17" t="n"/>
      <c r="M2597" s="17" t="n"/>
      <c r="N2597" s="17" t="n"/>
      <c r="O2597" s="26">
        <f>IF($D2597="","",IFERROR(VLOOKUP($D2597,物料档案!$A$4:$P$1203,10,0),0))</f>
        <v/>
      </c>
      <c r="P2597" s="32" t="n"/>
      <c r="Q2597" s="26">
        <f>IF($D2597="","",IF($K2597&lt;&gt;"对外销售",0,ROUND(N($J2597)*IF($P2597="",N($O2597),N($P2597)),0)))</f>
        <v/>
      </c>
      <c r="R2597" s="26">
        <f>IF($D2597="","",IFERROR(VLOOKUP($D2597,库存台账!$A$5:$Y$1204,11,0),0))</f>
        <v/>
      </c>
      <c r="S2597" s="26">
        <f>IF($D2597="","",ROUND(N($J2597)*N($R2597),0))</f>
        <v/>
      </c>
      <c r="T2597" s="26">
        <f>IF($D2597="","",IF($K2597&lt;&gt;"对外销售","",ROUND($Q2597-$S2597,0)))</f>
        <v/>
      </c>
      <c r="U2597" s="17" t="n"/>
      <c r="V2597" s="17" t="n"/>
      <c r="W2597" s="24">
        <f>IF($D2597="","",IF($E2597="※编码不在物料档案里","※物料编码不在档案里",IF(N($J2597)&lt;=0,"※出库数量要大于 0",IF($K2597="","※没填去向类型",IF($L2597="","※没填去向矿区",IF(AND($C2597&lt;&gt;"",$C2597&lt;=结账锁),"※日期早于已结账截止日，不能再录",IF(AND($K2597="自用消耗",COUNTIF({"一矿区";"二矿区"},$L2597)=0),"※自用消耗的去向只能是一矿区或二矿区",IF(AND($K2597="对外销售",COUNTIF({"三矿区";"六矿区"},$L2597)=0),"※对外销售的去向只能是三矿区或六矿区",IF(AND($K2597="对外销售",ROUND($Q2597,0)=0),"※外销却没有售价，请填实际售价",IF(AND($K2597="对外销售",$T2597&lt;&gt;"",$T2597&lt;0),"※这一笔外销是亏的，请核对售价",IF(IFERROR(VLOOKUP($D2597,库存台账!$A$5:$Y$1204,24,0),0)&lt;-0.001,"※这个物料账面已经变成负数了，查一下是不是漏记入库","")))))))))))</f>
        <v/>
      </c>
    </row>
    <row r="2598">
      <c r="A2598" s="24">
        <f>IF($D2598="","",COUNTA($D$4:$D2598))</f>
        <v/>
      </c>
      <c r="B2598" s="17" t="n"/>
      <c r="C2598" s="30" t="n"/>
      <c r="D2598" s="17" t="n"/>
      <c r="E2598" s="24">
        <f>IF($D2598="","",IFERROR(VLOOKUP($D2598,物料档案!$A$4:$P$1203,3,0),"※编码不在物料档案里"))</f>
        <v/>
      </c>
      <c r="F2598" s="24">
        <f>IF($D2598="","",IFERROR(VLOOKUP($D2598,物料档案!$A$4:$P$1203,4,0),"※编码不在物料档案里"))</f>
        <v/>
      </c>
      <c r="G2598" s="24">
        <f>IF($D2598="","",IFERROR(VLOOKUP($D2598,物料档案!$A$4:$P$1203,5,0),"※编码不在物料档案里"))</f>
        <v/>
      </c>
      <c r="H2598" s="24">
        <f>IF($D2598="","",IFERROR(VLOOKUP($D2598,物料档案!$A$4:$P$1203,2,0),"※编码不在物料档案里"))</f>
        <v/>
      </c>
      <c r="I2598" s="24">
        <f>IF($D2598="","",IFERROR(VLOOKUP($D2598,物料档案!$A$4:$P$1203,6,0),"※编码不在物料档案里"))</f>
        <v/>
      </c>
      <c r="J2598" s="23" t="n"/>
      <c r="K2598" s="17" t="n"/>
      <c r="L2598" s="17" t="n"/>
      <c r="M2598" s="17" t="n"/>
      <c r="N2598" s="17" t="n"/>
      <c r="O2598" s="26">
        <f>IF($D2598="","",IFERROR(VLOOKUP($D2598,物料档案!$A$4:$P$1203,10,0),0))</f>
        <v/>
      </c>
      <c r="P2598" s="32" t="n"/>
      <c r="Q2598" s="26">
        <f>IF($D2598="","",IF($K2598&lt;&gt;"对外销售",0,ROUND(N($J2598)*IF($P2598="",N($O2598),N($P2598)),0)))</f>
        <v/>
      </c>
      <c r="R2598" s="26">
        <f>IF($D2598="","",IFERROR(VLOOKUP($D2598,库存台账!$A$5:$Y$1204,11,0),0))</f>
        <v/>
      </c>
      <c r="S2598" s="26">
        <f>IF($D2598="","",ROUND(N($J2598)*N($R2598),0))</f>
        <v/>
      </c>
      <c r="T2598" s="26">
        <f>IF($D2598="","",IF($K2598&lt;&gt;"对外销售","",ROUND($Q2598-$S2598,0)))</f>
        <v/>
      </c>
      <c r="U2598" s="17" t="n"/>
      <c r="V2598" s="17" t="n"/>
      <c r="W2598" s="24">
        <f>IF($D2598="","",IF($E2598="※编码不在物料档案里","※物料编码不在档案里",IF(N($J2598)&lt;=0,"※出库数量要大于 0",IF($K2598="","※没填去向类型",IF($L2598="","※没填去向矿区",IF(AND($C2598&lt;&gt;"",$C2598&lt;=结账锁),"※日期早于已结账截止日，不能再录",IF(AND($K2598="自用消耗",COUNTIF({"一矿区";"二矿区"},$L2598)=0),"※自用消耗的去向只能是一矿区或二矿区",IF(AND($K2598="对外销售",COUNTIF({"三矿区";"六矿区"},$L2598)=0),"※对外销售的去向只能是三矿区或六矿区",IF(AND($K2598="对外销售",ROUND($Q2598,0)=0),"※外销却没有售价，请填实际售价",IF(AND($K2598="对外销售",$T2598&lt;&gt;"",$T2598&lt;0),"※这一笔外销是亏的，请核对售价",IF(IFERROR(VLOOKUP($D2598,库存台账!$A$5:$Y$1204,24,0),0)&lt;-0.001,"※这个物料账面已经变成负数了，查一下是不是漏记入库","")))))))))))</f>
        <v/>
      </c>
    </row>
    <row r="2599">
      <c r="A2599" s="24">
        <f>IF($D2599="","",COUNTA($D$4:$D2599))</f>
        <v/>
      </c>
      <c r="B2599" s="17" t="n"/>
      <c r="C2599" s="30" t="n"/>
      <c r="D2599" s="17" t="n"/>
      <c r="E2599" s="24">
        <f>IF($D2599="","",IFERROR(VLOOKUP($D2599,物料档案!$A$4:$P$1203,3,0),"※编码不在物料档案里"))</f>
        <v/>
      </c>
      <c r="F2599" s="24">
        <f>IF($D2599="","",IFERROR(VLOOKUP($D2599,物料档案!$A$4:$P$1203,4,0),"※编码不在物料档案里"))</f>
        <v/>
      </c>
      <c r="G2599" s="24">
        <f>IF($D2599="","",IFERROR(VLOOKUP($D2599,物料档案!$A$4:$P$1203,5,0),"※编码不在物料档案里"))</f>
        <v/>
      </c>
      <c r="H2599" s="24">
        <f>IF($D2599="","",IFERROR(VLOOKUP($D2599,物料档案!$A$4:$P$1203,2,0),"※编码不在物料档案里"))</f>
        <v/>
      </c>
      <c r="I2599" s="24">
        <f>IF($D2599="","",IFERROR(VLOOKUP($D2599,物料档案!$A$4:$P$1203,6,0),"※编码不在物料档案里"))</f>
        <v/>
      </c>
      <c r="J2599" s="23" t="n"/>
      <c r="K2599" s="17" t="n"/>
      <c r="L2599" s="17" t="n"/>
      <c r="M2599" s="17" t="n"/>
      <c r="N2599" s="17" t="n"/>
      <c r="O2599" s="26">
        <f>IF($D2599="","",IFERROR(VLOOKUP($D2599,物料档案!$A$4:$P$1203,10,0),0))</f>
        <v/>
      </c>
      <c r="P2599" s="32" t="n"/>
      <c r="Q2599" s="26">
        <f>IF($D2599="","",IF($K2599&lt;&gt;"对外销售",0,ROUND(N($J2599)*IF($P2599="",N($O2599),N($P2599)),0)))</f>
        <v/>
      </c>
      <c r="R2599" s="26">
        <f>IF($D2599="","",IFERROR(VLOOKUP($D2599,库存台账!$A$5:$Y$1204,11,0),0))</f>
        <v/>
      </c>
      <c r="S2599" s="26">
        <f>IF($D2599="","",ROUND(N($J2599)*N($R2599),0))</f>
        <v/>
      </c>
      <c r="T2599" s="26">
        <f>IF($D2599="","",IF($K2599&lt;&gt;"对外销售","",ROUND($Q2599-$S2599,0)))</f>
        <v/>
      </c>
      <c r="U2599" s="17" t="n"/>
      <c r="V2599" s="17" t="n"/>
      <c r="W2599" s="24">
        <f>IF($D2599="","",IF($E2599="※编码不在物料档案里","※物料编码不在档案里",IF(N($J2599)&lt;=0,"※出库数量要大于 0",IF($K2599="","※没填去向类型",IF($L2599="","※没填去向矿区",IF(AND($C2599&lt;&gt;"",$C2599&lt;=结账锁),"※日期早于已结账截止日，不能再录",IF(AND($K2599="自用消耗",COUNTIF({"一矿区";"二矿区"},$L2599)=0),"※自用消耗的去向只能是一矿区或二矿区",IF(AND($K2599="对外销售",COUNTIF({"三矿区";"六矿区"},$L2599)=0),"※对外销售的去向只能是三矿区或六矿区",IF(AND($K2599="对外销售",ROUND($Q2599,0)=0),"※外销却没有售价，请填实际售价",IF(AND($K2599="对外销售",$T2599&lt;&gt;"",$T2599&lt;0),"※这一笔外销是亏的，请核对售价",IF(IFERROR(VLOOKUP($D2599,库存台账!$A$5:$Y$1204,24,0),0)&lt;-0.001,"※这个物料账面已经变成负数了，查一下是不是漏记入库","")))))))))))</f>
        <v/>
      </c>
    </row>
    <row r="2600">
      <c r="A2600" s="24">
        <f>IF($D2600="","",COUNTA($D$4:$D2600))</f>
        <v/>
      </c>
      <c r="B2600" s="17" t="n"/>
      <c r="C2600" s="30" t="n"/>
      <c r="D2600" s="17" t="n"/>
      <c r="E2600" s="24">
        <f>IF($D2600="","",IFERROR(VLOOKUP($D2600,物料档案!$A$4:$P$1203,3,0),"※编码不在物料档案里"))</f>
        <v/>
      </c>
      <c r="F2600" s="24">
        <f>IF($D2600="","",IFERROR(VLOOKUP($D2600,物料档案!$A$4:$P$1203,4,0),"※编码不在物料档案里"))</f>
        <v/>
      </c>
      <c r="G2600" s="24">
        <f>IF($D2600="","",IFERROR(VLOOKUP($D2600,物料档案!$A$4:$P$1203,5,0),"※编码不在物料档案里"))</f>
        <v/>
      </c>
      <c r="H2600" s="24">
        <f>IF($D2600="","",IFERROR(VLOOKUP($D2600,物料档案!$A$4:$P$1203,2,0),"※编码不在物料档案里"))</f>
        <v/>
      </c>
      <c r="I2600" s="24">
        <f>IF($D2600="","",IFERROR(VLOOKUP($D2600,物料档案!$A$4:$P$1203,6,0),"※编码不在物料档案里"))</f>
        <v/>
      </c>
      <c r="J2600" s="23" t="n"/>
      <c r="K2600" s="17" t="n"/>
      <c r="L2600" s="17" t="n"/>
      <c r="M2600" s="17" t="n"/>
      <c r="N2600" s="17" t="n"/>
      <c r="O2600" s="26">
        <f>IF($D2600="","",IFERROR(VLOOKUP($D2600,物料档案!$A$4:$P$1203,10,0),0))</f>
        <v/>
      </c>
      <c r="P2600" s="32" t="n"/>
      <c r="Q2600" s="26">
        <f>IF($D2600="","",IF($K2600&lt;&gt;"对外销售",0,ROUND(N($J2600)*IF($P2600="",N($O2600),N($P2600)),0)))</f>
        <v/>
      </c>
      <c r="R2600" s="26">
        <f>IF($D2600="","",IFERROR(VLOOKUP($D2600,库存台账!$A$5:$Y$1204,11,0),0))</f>
        <v/>
      </c>
      <c r="S2600" s="26">
        <f>IF($D2600="","",ROUND(N($J2600)*N($R2600),0))</f>
        <v/>
      </c>
      <c r="T2600" s="26">
        <f>IF($D2600="","",IF($K2600&lt;&gt;"对外销售","",ROUND($Q2600-$S2600,0)))</f>
        <v/>
      </c>
      <c r="U2600" s="17" t="n"/>
      <c r="V2600" s="17" t="n"/>
      <c r="W2600" s="24">
        <f>IF($D2600="","",IF($E2600="※编码不在物料档案里","※物料编码不在档案里",IF(N($J2600)&lt;=0,"※出库数量要大于 0",IF($K2600="","※没填去向类型",IF($L2600="","※没填去向矿区",IF(AND($C2600&lt;&gt;"",$C2600&lt;=结账锁),"※日期早于已结账截止日，不能再录",IF(AND($K2600="自用消耗",COUNTIF({"一矿区";"二矿区"},$L2600)=0),"※自用消耗的去向只能是一矿区或二矿区",IF(AND($K2600="对外销售",COUNTIF({"三矿区";"六矿区"},$L2600)=0),"※对外销售的去向只能是三矿区或六矿区",IF(AND($K2600="对外销售",ROUND($Q2600,0)=0),"※外销却没有售价，请填实际售价",IF(AND($K2600="对外销售",$T2600&lt;&gt;"",$T2600&lt;0),"※这一笔外销是亏的，请核对售价",IF(IFERROR(VLOOKUP($D2600,库存台账!$A$5:$Y$1204,24,0),0)&lt;-0.001,"※这个物料账面已经变成负数了，查一下是不是漏记入库","")))))))))))</f>
        <v/>
      </c>
    </row>
    <row r="2601">
      <c r="A2601" s="24">
        <f>IF($D2601="","",COUNTA($D$4:$D2601))</f>
        <v/>
      </c>
      <c r="B2601" s="17" t="n"/>
      <c r="C2601" s="30" t="n"/>
      <c r="D2601" s="17" t="n"/>
      <c r="E2601" s="24">
        <f>IF($D2601="","",IFERROR(VLOOKUP($D2601,物料档案!$A$4:$P$1203,3,0),"※编码不在物料档案里"))</f>
        <v/>
      </c>
      <c r="F2601" s="24">
        <f>IF($D2601="","",IFERROR(VLOOKUP($D2601,物料档案!$A$4:$P$1203,4,0),"※编码不在物料档案里"))</f>
        <v/>
      </c>
      <c r="G2601" s="24">
        <f>IF($D2601="","",IFERROR(VLOOKUP($D2601,物料档案!$A$4:$P$1203,5,0),"※编码不在物料档案里"))</f>
        <v/>
      </c>
      <c r="H2601" s="24">
        <f>IF($D2601="","",IFERROR(VLOOKUP($D2601,物料档案!$A$4:$P$1203,2,0),"※编码不在物料档案里"))</f>
        <v/>
      </c>
      <c r="I2601" s="24">
        <f>IF($D2601="","",IFERROR(VLOOKUP($D2601,物料档案!$A$4:$P$1203,6,0),"※编码不在物料档案里"))</f>
        <v/>
      </c>
      <c r="J2601" s="23" t="n"/>
      <c r="K2601" s="17" t="n"/>
      <c r="L2601" s="17" t="n"/>
      <c r="M2601" s="17" t="n"/>
      <c r="N2601" s="17" t="n"/>
      <c r="O2601" s="26">
        <f>IF($D2601="","",IFERROR(VLOOKUP($D2601,物料档案!$A$4:$P$1203,10,0),0))</f>
        <v/>
      </c>
      <c r="P2601" s="32" t="n"/>
      <c r="Q2601" s="26">
        <f>IF($D2601="","",IF($K2601&lt;&gt;"对外销售",0,ROUND(N($J2601)*IF($P2601="",N($O2601),N($P2601)),0)))</f>
        <v/>
      </c>
      <c r="R2601" s="26">
        <f>IF($D2601="","",IFERROR(VLOOKUP($D2601,库存台账!$A$5:$Y$1204,11,0),0))</f>
        <v/>
      </c>
      <c r="S2601" s="26">
        <f>IF($D2601="","",ROUND(N($J2601)*N($R2601),0))</f>
        <v/>
      </c>
      <c r="T2601" s="26">
        <f>IF($D2601="","",IF($K2601&lt;&gt;"对外销售","",ROUND($Q2601-$S2601,0)))</f>
        <v/>
      </c>
      <c r="U2601" s="17" t="n"/>
      <c r="V2601" s="17" t="n"/>
      <c r="W2601" s="24">
        <f>IF($D2601="","",IF($E2601="※编码不在物料档案里","※物料编码不在档案里",IF(N($J2601)&lt;=0,"※出库数量要大于 0",IF($K2601="","※没填去向类型",IF($L2601="","※没填去向矿区",IF(AND($C2601&lt;&gt;"",$C2601&lt;=结账锁),"※日期早于已结账截止日，不能再录",IF(AND($K2601="自用消耗",COUNTIF({"一矿区";"二矿区"},$L2601)=0),"※自用消耗的去向只能是一矿区或二矿区",IF(AND($K2601="对外销售",COUNTIF({"三矿区";"六矿区"},$L2601)=0),"※对外销售的去向只能是三矿区或六矿区",IF(AND($K2601="对外销售",ROUND($Q2601,0)=0),"※外销却没有售价，请填实际售价",IF(AND($K2601="对外销售",$T2601&lt;&gt;"",$T2601&lt;0),"※这一笔外销是亏的，请核对售价",IF(IFERROR(VLOOKUP($D2601,库存台账!$A$5:$Y$1204,24,0),0)&lt;-0.001,"※这个物料账面已经变成负数了，查一下是不是漏记入库","")))))))))))</f>
        <v/>
      </c>
    </row>
    <row r="2602">
      <c r="A2602" s="24">
        <f>IF($D2602="","",COUNTA($D$4:$D2602))</f>
        <v/>
      </c>
      <c r="B2602" s="17" t="n"/>
      <c r="C2602" s="30" t="n"/>
      <c r="D2602" s="17" t="n"/>
      <c r="E2602" s="24">
        <f>IF($D2602="","",IFERROR(VLOOKUP($D2602,物料档案!$A$4:$P$1203,3,0),"※编码不在物料档案里"))</f>
        <v/>
      </c>
      <c r="F2602" s="24">
        <f>IF($D2602="","",IFERROR(VLOOKUP($D2602,物料档案!$A$4:$P$1203,4,0),"※编码不在物料档案里"))</f>
        <v/>
      </c>
      <c r="G2602" s="24">
        <f>IF($D2602="","",IFERROR(VLOOKUP($D2602,物料档案!$A$4:$P$1203,5,0),"※编码不在物料档案里"))</f>
        <v/>
      </c>
      <c r="H2602" s="24">
        <f>IF($D2602="","",IFERROR(VLOOKUP($D2602,物料档案!$A$4:$P$1203,2,0),"※编码不在物料档案里"))</f>
        <v/>
      </c>
      <c r="I2602" s="24">
        <f>IF($D2602="","",IFERROR(VLOOKUP($D2602,物料档案!$A$4:$P$1203,6,0),"※编码不在物料档案里"))</f>
        <v/>
      </c>
      <c r="J2602" s="23" t="n"/>
      <c r="K2602" s="17" t="n"/>
      <c r="L2602" s="17" t="n"/>
      <c r="M2602" s="17" t="n"/>
      <c r="N2602" s="17" t="n"/>
      <c r="O2602" s="26">
        <f>IF($D2602="","",IFERROR(VLOOKUP($D2602,物料档案!$A$4:$P$1203,10,0),0))</f>
        <v/>
      </c>
      <c r="P2602" s="32" t="n"/>
      <c r="Q2602" s="26">
        <f>IF($D2602="","",IF($K2602&lt;&gt;"对外销售",0,ROUND(N($J2602)*IF($P2602="",N($O2602),N($P2602)),0)))</f>
        <v/>
      </c>
      <c r="R2602" s="26">
        <f>IF($D2602="","",IFERROR(VLOOKUP($D2602,库存台账!$A$5:$Y$1204,11,0),0))</f>
        <v/>
      </c>
      <c r="S2602" s="26">
        <f>IF($D2602="","",ROUND(N($J2602)*N($R2602),0))</f>
        <v/>
      </c>
      <c r="T2602" s="26">
        <f>IF($D2602="","",IF($K2602&lt;&gt;"对外销售","",ROUND($Q2602-$S2602,0)))</f>
        <v/>
      </c>
      <c r="U2602" s="17" t="n"/>
      <c r="V2602" s="17" t="n"/>
      <c r="W2602" s="24">
        <f>IF($D2602="","",IF($E2602="※编码不在物料档案里","※物料编码不在档案里",IF(N($J2602)&lt;=0,"※出库数量要大于 0",IF($K2602="","※没填去向类型",IF($L2602="","※没填去向矿区",IF(AND($C2602&lt;&gt;"",$C2602&lt;=结账锁),"※日期早于已结账截止日，不能再录",IF(AND($K2602="自用消耗",COUNTIF({"一矿区";"二矿区"},$L2602)=0),"※自用消耗的去向只能是一矿区或二矿区",IF(AND($K2602="对外销售",COUNTIF({"三矿区";"六矿区"},$L2602)=0),"※对外销售的去向只能是三矿区或六矿区",IF(AND($K2602="对外销售",ROUND($Q2602,0)=0),"※外销却没有售价，请填实际售价",IF(AND($K2602="对外销售",$T2602&lt;&gt;"",$T2602&lt;0),"※这一笔外销是亏的，请核对售价",IF(IFERROR(VLOOKUP($D2602,库存台账!$A$5:$Y$1204,24,0),0)&lt;-0.001,"※这个物料账面已经变成负数了，查一下是不是漏记入库","")))))))))))</f>
        <v/>
      </c>
    </row>
    <row r="2603">
      <c r="A2603" s="24">
        <f>IF($D2603="","",COUNTA($D$4:$D2603))</f>
        <v/>
      </c>
      <c r="B2603" s="17" t="n"/>
      <c r="C2603" s="30" t="n"/>
      <c r="D2603" s="17" t="n"/>
      <c r="E2603" s="24">
        <f>IF($D2603="","",IFERROR(VLOOKUP($D2603,物料档案!$A$4:$P$1203,3,0),"※编码不在物料档案里"))</f>
        <v/>
      </c>
      <c r="F2603" s="24">
        <f>IF($D2603="","",IFERROR(VLOOKUP($D2603,物料档案!$A$4:$P$1203,4,0),"※编码不在物料档案里"))</f>
        <v/>
      </c>
      <c r="G2603" s="24">
        <f>IF($D2603="","",IFERROR(VLOOKUP($D2603,物料档案!$A$4:$P$1203,5,0),"※编码不在物料档案里"))</f>
        <v/>
      </c>
      <c r="H2603" s="24">
        <f>IF($D2603="","",IFERROR(VLOOKUP($D2603,物料档案!$A$4:$P$1203,2,0),"※编码不在物料档案里"))</f>
        <v/>
      </c>
      <c r="I2603" s="24">
        <f>IF($D2603="","",IFERROR(VLOOKUP($D2603,物料档案!$A$4:$P$1203,6,0),"※编码不在物料档案里"))</f>
        <v/>
      </c>
      <c r="J2603" s="23" t="n"/>
      <c r="K2603" s="17" t="n"/>
      <c r="L2603" s="17" t="n"/>
      <c r="M2603" s="17" t="n"/>
      <c r="N2603" s="17" t="n"/>
      <c r="O2603" s="26">
        <f>IF($D2603="","",IFERROR(VLOOKUP($D2603,物料档案!$A$4:$P$1203,10,0),0))</f>
        <v/>
      </c>
      <c r="P2603" s="32" t="n"/>
      <c r="Q2603" s="26">
        <f>IF($D2603="","",IF($K2603&lt;&gt;"对外销售",0,ROUND(N($J2603)*IF($P2603="",N($O2603),N($P2603)),0)))</f>
        <v/>
      </c>
      <c r="R2603" s="26">
        <f>IF($D2603="","",IFERROR(VLOOKUP($D2603,库存台账!$A$5:$Y$1204,11,0),0))</f>
        <v/>
      </c>
      <c r="S2603" s="26">
        <f>IF($D2603="","",ROUND(N($J2603)*N($R2603),0))</f>
        <v/>
      </c>
      <c r="T2603" s="26">
        <f>IF($D2603="","",IF($K2603&lt;&gt;"对外销售","",ROUND($Q2603-$S2603,0)))</f>
        <v/>
      </c>
      <c r="U2603" s="17" t="n"/>
      <c r="V2603" s="17" t="n"/>
      <c r="W2603" s="24">
        <f>IF($D2603="","",IF($E2603="※编码不在物料档案里","※物料编码不在档案里",IF(N($J2603)&lt;=0,"※出库数量要大于 0",IF($K2603="","※没填去向类型",IF($L2603="","※没填去向矿区",IF(AND($C2603&lt;&gt;"",$C2603&lt;=结账锁),"※日期早于已结账截止日，不能再录",IF(AND($K2603="自用消耗",COUNTIF({"一矿区";"二矿区"},$L2603)=0),"※自用消耗的去向只能是一矿区或二矿区",IF(AND($K2603="对外销售",COUNTIF({"三矿区";"六矿区"},$L2603)=0),"※对外销售的去向只能是三矿区或六矿区",IF(AND($K2603="对外销售",ROUND($Q2603,0)=0),"※外销却没有售价，请填实际售价",IF(AND($K2603="对外销售",$T2603&lt;&gt;"",$T2603&lt;0),"※这一笔外销是亏的，请核对售价",IF(IFERROR(VLOOKUP($D2603,库存台账!$A$5:$Y$1204,24,0),0)&lt;-0.001,"※这个物料账面已经变成负数了，查一下是不是漏记入库","")))))))))))</f>
        <v/>
      </c>
    </row>
    <row r="2604">
      <c r="A2604" s="24">
        <f>IF($D2604="","",COUNTA($D$4:$D2604))</f>
        <v/>
      </c>
      <c r="B2604" s="17" t="n"/>
      <c r="C2604" s="30" t="n"/>
      <c r="D2604" s="17" t="n"/>
      <c r="E2604" s="24">
        <f>IF($D2604="","",IFERROR(VLOOKUP($D2604,物料档案!$A$4:$P$1203,3,0),"※编码不在物料档案里"))</f>
        <v/>
      </c>
      <c r="F2604" s="24">
        <f>IF($D2604="","",IFERROR(VLOOKUP($D2604,物料档案!$A$4:$P$1203,4,0),"※编码不在物料档案里"))</f>
        <v/>
      </c>
      <c r="G2604" s="24">
        <f>IF($D2604="","",IFERROR(VLOOKUP($D2604,物料档案!$A$4:$P$1203,5,0),"※编码不在物料档案里"))</f>
        <v/>
      </c>
      <c r="H2604" s="24">
        <f>IF($D2604="","",IFERROR(VLOOKUP($D2604,物料档案!$A$4:$P$1203,2,0),"※编码不在物料档案里"))</f>
        <v/>
      </c>
      <c r="I2604" s="24">
        <f>IF($D2604="","",IFERROR(VLOOKUP($D2604,物料档案!$A$4:$P$1203,6,0),"※编码不在物料档案里"))</f>
        <v/>
      </c>
      <c r="J2604" s="23" t="n"/>
      <c r="K2604" s="17" t="n"/>
      <c r="L2604" s="17" t="n"/>
      <c r="M2604" s="17" t="n"/>
      <c r="N2604" s="17" t="n"/>
      <c r="O2604" s="26">
        <f>IF($D2604="","",IFERROR(VLOOKUP($D2604,物料档案!$A$4:$P$1203,10,0),0))</f>
        <v/>
      </c>
      <c r="P2604" s="32" t="n"/>
      <c r="Q2604" s="26">
        <f>IF($D2604="","",IF($K2604&lt;&gt;"对外销售",0,ROUND(N($J2604)*IF($P2604="",N($O2604),N($P2604)),0)))</f>
        <v/>
      </c>
      <c r="R2604" s="26">
        <f>IF($D2604="","",IFERROR(VLOOKUP($D2604,库存台账!$A$5:$Y$1204,11,0),0))</f>
        <v/>
      </c>
      <c r="S2604" s="26">
        <f>IF($D2604="","",ROUND(N($J2604)*N($R2604),0))</f>
        <v/>
      </c>
      <c r="T2604" s="26">
        <f>IF($D2604="","",IF($K2604&lt;&gt;"对外销售","",ROUND($Q2604-$S2604,0)))</f>
        <v/>
      </c>
      <c r="U2604" s="17" t="n"/>
      <c r="V2604" s="17" t="n"/>
      <c r="W2604" s="24">
        <f>IF($D2604="","",IF($E2604="※编码不在物料档案里","※物料编码不在档案里",IF(N($J2604)&lt;=0,"※出库数量要大于 0",IF($K2604="","※没填去向类型",IF($L2604="","※没填去向矿区",IF(AND($C2604&lt;&gt;"",$C2604&lt;=结账锁),"※日期早于已结账截止日，不能再录",IF(AND($K2604="自用消耗",COUNTIF({"一矿区";"二矿区"},$L2604)=0),"※自用消耗的去向只能是一矿区或二矿区",IF(AND($K2604="对外销售",COUNTIF({"三矿区";"六矿区"},$L2604)=0),"※对外销售的去向只能是三矿区或六矿区",IF(AND($K2604="对外销售",ROUND($Q2604,0)=0),"※外销却没有售价，请填实际售价",IF(AND($K2604="对外销售",$T2604&lt;&gt;"",$T2604&lt;0),"※这一笔外销是亏的，请核对售价",IF(IFERROR(VLOOKUP($D2604,库存台账!$A$5:$Y$1204,24,0),0)&lt;-0.001,"※这个物料账面已经变成负数了，查一下是不是漏记入库","")))))))))))</f>
        <v/>
      </c>
    </row>
    <row r="2605">
      <c r="A2605" s="24">
        <f>IF($D2605="","",COUNTA($D$4:$D2605))</f>
        <v/>
      </c>
      <c r="B2605" s="17" t="n"/>
      <c r="C2605" s="30" t="n"/>
      <c r="D2605" s="17" t="n"/>
      <c r="E2605" s="24">
        <f>IF($D2605="","",IFERROR(VLOOKUP($D2605,物料档案!$A$4:$P$1203,3,0),"※编码不在物料档案里"))</f>
        <v/>
      </c>
      <c r="F2605" s="24">
        <f>IF($D2605="","",IFERROR(VLOOKUP($D2605,物料档案!$A$4:$P$1203,4,0),"※编码不在物料档案里"))</f>
        <v/>
      </c>
      <c r="G2605" s="24">
        <f>IF($D2605="","",IFERROR(VLOOKUP($D2605,物料档案!$A$4:$P$1203,5,0),"※编码不在物料档案里"))</f>
        <v/>
      </c>
      <c r="H2605" s="24">
        <f>IF($D2605="","",IFERROR(VLOOKUP($D2605,物料档案!$A$4:$P$1203,2,0),"※编码不在物料档案里"))</f>
        <v/>
      </c>
      <c r="I2605" s="24">
        <f>IF($D2605="","",IFERROR(VLOOKUP($D2605,物料档案!$A$4:$P$1203,6,0),"※编码不在物料档案里"))</f>
        <v/>
      </c>
      <c r="J2605" s="23" t="n"/>
      <c r="K2605" s="17" t="n"/>
      <c r="L2605" s="17" t="n"/>
      <c r="M2605" s="17" t="n"/>
      <c r="N2605" s="17" t="n"/>
      <c r="O2605" s="26">
        <f>IF($D2605="","",IFERROR(VLOOKUP($D2605,物料档案!$A$4:$P$1203,10,0),0))</f>
        <v/>
      </c>
      <c r="P2605" s="32" t="n"/>
      <c r="Q2605" s="26">
        <f>IF($D2605="","",IF($K2605&lt;&gt;"对外销售",0,ROUND(N($J2605)*IF($P2605="",N($O2605),N($P2605)),0)))</f>
        <v/>
      </c>
      <c r="R2605" s="26">
        <f>IF($D2605="","",IFERROR(VLOOKUP($D2605,库存台账!$A$5:$Y$1204,11,0),0))</f>
        <v/>
      </c>
      <c r="S2605" s="26">
        <f>IF($D2605="","",ROUND(N($J2605)*N($R2605),0))</f>
        <v/>
      </c>
      <c r="T2605" s="26">
        <f>IF($D2605="","",IF($K2605&lt;&gt;"对外销售","",ROUND($Q2605-$S2605,0)))</f>
        <v/>
      </c>
      <c r="U2605" s="17" t="n"/>
      <c r="V2605" s="17" t="n"/>
      <c r="W2605" s="24">
        <f>IF($D2605="","",IF($E2605="※编码不在物料档案里","※物料编码不在档案里",IF(N($J2605)&lt;=0,"※出库数量要大于 0",IF($K2605="","※没填去向类型",IF($L2605="","※没填去向矿区",IF(AND($C2605&lt;&gt;"",$C2605&lt;=结账锁),"※日期早于已结账截止日，不能再录",IF(AND($K2605="自用消耗",COUNTIF({"一矿区";"二矿区"},$L2605)=0),"※自用消耗的去向只能是一矿区或二矿区",IF(AND($K2605="对外销售",COUNTIF({"三矿区";"六矿区"},$L2605)=0),"※对外销售的去向只能是三矿区或六矿区",IF(AND($K2605="对外销售",ROUND($Q2605,0)=0),"※外销却没有售价，请填实际售价",IF(AND($K2605="对外销售",$T2605&lt;&gt;"",$T2605&lt;0),"※这一笔外销是亏的，请核对售价",IF(IFERROR(VLOOKUP($D2605,库存台账!$A$5:$Y$1204,24,0),0)&lt;-0.001,"※这个物料账面已经变成负数了，查一下是不是漏记入库","")))))))))))</f>
        <v/>
      </c>
    </row>
    <row r="2606">
      <c r="A2606" s="24">
        <f>IF($D2606="","",COUNTA($D$4:$D2606))</f>
        <v/>
      </c>
      <c r="B2606" s="17" t="n"/>
      <c r="C2606" s="30" t="n"/>
      <c r="D2606" s="17" t="n"/>
      <c r="E2606" s="24">
        <f>IF($D2606="","",IFERROR(VLOOKUP($D2606,物料档案!$A$4:$P$1203,3,0),"※编码不在物料档案里"))</f>
        <v/>
      </c>
      <c r="F2606" s="24">
        <f>IF($D2606="","",IFERROR(VLOOKUP($D2606,物料档案!$A$4:$P$1203,4,0),"※编码不在物料档案里"))</f>
        <v/>
      </c>
      <c r="G2606" s="24">
        <f>IF($D2606="","",IFERROR(VLOOKUP($D2606,物料档案!$A$4:$P$1203,5,0),"※编码不在物料档案里"))</f>
        <v/>
      </c>
      <c r="H2606" s="24">
        <f>IF($D2606="","",IFERROR(VLOOKUP($D2606,物料档案!$A$4:$P$1203,2,0),"※编码不在物料档案里"))</f>
        <v/>
      </c>
      <c r="I2606" s="24">
        <f>IF($D2606="","",IFERROR(VLOOKUP($D2606,物料档案!$A$4:$P$1203,6,0),"※编码不在物料档案里"))</f>
        <v/>
      </c>
      <c r="J2606" s="23" t="n"/>
      <c r="K2606" s="17" t="n"/>
      <c r="L2606" s="17" t="n"/>
      <c r="M2606" s="17" t="n"/>
      <c r="N2606" s="17" t="n"/>
      <c r="O2606" s="26">
        <f>IF($D2606="","",IFERROR(VLOOKUP($D2606,物料档案!$A$4:$P$1203,10,0),0))</f>
        <v/>
      </c>
      <c r="P2606" s="32" t="n"/>
      <c r="Q2606" s="26">
        <f>IF($D2606="","",IF($K2606&lt;&gt;"对外销售",0,ROUND(N($J2606)*IF($P2606="",N($O2606),N($P2606)),0)))</f>
        <v/>
      </c>
      <c r="R2606" s="26">
        <f>IF($D2606="","",IFERROR(VLOOKUP($D2606,库存台账!$A$5:$Y$1204,11,0),0))</f>
        <v/>
      </c>
      <c r="S2606" s="26">
        <f>IF($D2606="","",ROUND(N($J2606)*N($R2606),0))</f>
        <v/>
      </c>
      <c r="T2606" s="26">
        <f>IF($D2606="","",IF($K2606&lt;&gt;"对外销售","",ROUND($Q2606-$S2606,0)))</f>
        <v/>
      </c>
      <c r="U2606" s="17" t="n"/>
      <c r="V2606" s="17" t="n"/>
      <c r="W2606" s="24">
        <f>IF($D2606="","",IF($E2606="※编码不在物料档案里","※物料编码不在档案里",IF(N($J2606)&lt;=0,"※出库数量要大于 0",IF($K2606="","※没填去向类型",IF($L2606="","※没填去向矿区",IF(AND($C2606&lt;&gt;"",$C2606&lt;=结账锁),"※日期早于已结账截止日，不能再录",IF(AND($K2606="自用消耗",COUNTIF({"一矿区";"二矿区"},$L2606)=0),"※自用消耗的去向只能是一矿区或二矿区",IF(AND($K2606="对外销售",COUNTIF({"三矿区";"六矿区"},$L2606)=0),"※对外销售的去向只能是三矿区或六矿区",IF(AND($K2606="对外销售",ROUND($Q2606,0)=0),"※外销却没有售价，请填实际售价",IF(AND($K2606="对外销售",$T2606&lt;&gt;"",$T2606&lt;0),"※这一笔外销是亏的，请核对售价",IF(IFERROR(VLOOKUP($D2606,库存台账!$A$5:$Y$1204,24,0),0)&lt;-0.001,"※这个物料账面已经变成负数了，查一下是不是漏记入库","")))))))))))</f>
        <v/>
      </c>
    </row>
    <row r="2607">
      <c r="A2607" s="24">
        <f>IF($D2607="","",COUNTA($D$4:$D2607))</f>
        <v/>
      </c>
      <c r="B2607" s="17" t="n"/>
      <c r="C2607" s="30" t="n"/>
      <c r="D2607" s="17" t="n"/>
      <c r="E2607" s="24">
        <f>IF($D2607="","",IFERROR(VLOOKUP($D2607,物料档案!$A$4:$P$1203,3,0),"※编码不在物料档案里"))</f>
        <v/>
      </c>
      <c r="F2607" s="24">
        <f>IF($D2607="","",IFERROR(VLOOKUP($D2607,物料档案!$A$4:$P$1203,4,0),"※编码不在物料档案里"))</f>
        <v/>
      </c>
      <c r="G2607" s="24">
        <f>IF($D2607="","",IFERROR(VLOOKUP($D2607,物料档案!$A$4:$P$1203,5,0),"※编码不在物料档案里"))</f>
        <v/>
      </c>
      <c r="H2607" s="24">
        <f>IF($D2607="","",IFERROR(VLOOKUP($D2607,物料档案!$A$4:$P$1203,2,0),"※编码不在物料档案里"))</f>
        <v/>
      </c>
      <c r="I2607" s="24">
        <f>IF($D2607="","",IFERROR(VLOOKUP($D2607,物料档案!$A$4:$P$1203,6,0),"※编码不在物料档案里"))</f>
        <v/>
      </c>
      <c r="J2607" s="23" t="n"/>
      <c r="K2607" s="17" t="n"/>
      <c r="L2607" s="17" t="n"/>
      <c r="M2607" s="17" t="n"/>
      <c r="N2607" s="17" t="n"/>
      <c r="O2607" s="26">
        <f>IF($D2607="","",IFERROR(VLOOKUP($D2607,物料档案!$A$4:$P$1203,10,0),0))</f>
        <v/>
      </c>
      <c r="P2607" s="32" t="n"/>
      <c r="Q2607" s="26">
        <f>IF($D2607="","",IF($K2607&lt;&gt;"对外销售",0,ROUND(N($J2607)*IF($P2607="",N($O2607),N($P2607)),0)))</f>
        <v/>
      </c>
      <c r="R2607" s="26">
        <f>IF($D2607="","",IFERROR(VLOOKUP($D2607,库存台账!$A$5:$Y$1204,11,0),0))</f>
        <v/>
      </c>
      <c r="S2607" s="26">
        <f>IF($D2607="","",ROUND(N($J2607)*N($R2607),0))</f>
        <v/>
      </c>
      <c r="T2607" s="26">
        <f>IF($D2607="","",IF($K2607&lt;&gt;"对外销售","",ROUND($Q2607-$S2607,0)))</f>
        <v/>
      </c>
      <c r="U2607" s="17" t="n"/>
      <c r="V2607" s="17" t="n"/>
      <c r="W2607" s="24">
        <f>IF($D2607="","",IF($E2607="※编码不在物料档案里","※物料编码不在档案里",IF(N($J2607)&lt;=0,"※出库数量要大于 0",IF($K2607="","※没填去向类型",IF($L2607="","※没填去向矿区",IF(AND($C2607&lt;&gt;"",$C2607&lt;=结账锁),"※日期早于已结账截止日，不能再录",IF(AND($K2607="自用消耗",COUNTIF({"一矿区";"二矿区"},$L2607)=0),"※自用消耗的去向只能是一矿区或二矿区",IF(AND($K2607="对外销售",COUNTIF({"三矿区";"六矿区"},$L2607)=0),"※对外销售的去向只能是三矿区或六矿区",IF(AND($K2607="对外销售",ROUND($Q2607,0)=0),"※外销却没有售价，请填实际售价",IF(AND($K2607="对外销售",$T2607&lt;&gt;"",$T2607&lt;0),"※这一笔外销是亏的，请核对售价",IF(IFERROR(VLOOKUP($D2607,库存台账!$A$5:$Y$1204,24,0),0)&lt;-0.001,"※这个物料账面已经变成负数了，查一下是不是漏记入库","")))))))))))</f>
        <v/>
      </c>
    </row>
    <row r="2608">
      <c r="A2608" s="24">
        <f>IF($D2608="","",COUNTA($D$4:$D2608))</f>
        <v/>
      </c>
      <c r="B2608" s="17" t="n"/>
      <c r="C2608" s="30" t="n"/>
      <c r="D2608" s="17" t="n"/>
      <c r="E2608" s="24">
        <f>IF($D2608="","",IFERROR(VLOOKUP($D2608,物料档案!$A$4:$P$1203,3,0),"※编码不在物料档案里"))</f>
        <v/>
      </c>
      <c r="F2608" s="24">
        <f>IF($D2608="","",IFERROR(VLOOKUP($D2608,物料档案!$A$4:$P$1203,4,0),"※编码不在物料档案里"))</f>
        <v/>
      </c>
      <c r="G2608" s="24">
        <f>IF($D2608="","",IFERROR(VLOOKUP($D2608,物料档案!$A$4:$P$1203,5,0),"※编码不在物料档案里"))</f>
        <v/>
      </c>
      <c r="H2608" s="24">
        <f>IF($D2608="","",IFERROR(VLOOKUP($D2608,物料档案!$A$4:$P$1203,2,0),"※编码不在物料档案里"))</f>
        <v/>
      </c>
      <c r="I2608" s="24">
        <f>IF($D2608="","",IFERROR(VLOOKUP($D2608,物料档案!$A$4:$P$1203,6,0),"※编码不在物料档案里"))</f>
        <v/>
      </c>
      <c r="J2608" s="23" t="n"/>
      <c r="K2608" s="17" t="n"/>
      <c r="L2608" s="17" t="n"/>
      <c r="M2608" s="17" t="n"/>
      <c r="N2608" s="17" t="n"/>
      <c r="O2608" s="26">
        <f>IF($D2608="","",IFERROR(VLOOKUP($D2608,物料档案!$A$4:$P$1203,10,0),0))</f>
        <v/>
      </c>
      <c r="P2608" s="32" t="n"/>
      <c r="Q2608" s="26">
        <f>IF($D2608="","",IF($K2608&lt;&gt;"对外销售",0,ROUND(N($J2608)*IF($P2608="",N($O2608),N($P2608)),0)))</f>
        <v/>
      </c>
      <c r="R2608" s="26">
        <f>IF($D2608="","",IFERROR(VLOOKUP($D2608,库存台账!$A$5:$Y$1204,11,0),0))</f>
        <v/>
      </c>
      <c r="S2608" s="26">
        <f>IF($D2608="","",ROUND(N($J2608)*N($R2608),0))</f>
        <v/>
      </c>
      <c r="T2608" s="26">
        <f>IF($D2608="","",IF($K2608&lt;&gt;"对外销售","",ROUND($Q2608-$S2608,0)))</f>
        <v/>
      </c>
      <c r="U2608" s="17" t="n"/>
      <c r="V2608" s="17" t="n"/>
      <c r="W2608" s="24">
        <f>IF($D2608="","",IF($E2608="※编码不在物料档案里","※物料编码不在档案里",IF(N($J2608)&lt;=0,"※出库数量要大于 0",IF($K2608="","※没填去向类型",IF($L2608="","※没填去向矿区",IF(AND($C2608&lt;&gt;"",$C2608&lt;=结账锁),"※日期早于已结账截止日，不能再录",IF(AND($K2608="自用消耗",COUNTIF({"一矿区";"二矿区"},$L2608)=0),"※自用消耗的去向只能是一矿区或二矿区",IF(AND($K2608="对外销售",COUNTIF({"三矿区";"六矿区"},$L2608)=0),"※对外销售的去向只能是三矿区或六矿区",IF(AND($K2608="对外销售",ROUND($Q2608,0)=0),"※外销却没有售价，请填实际售价",IF(AND($K2608="对外销售",$T2608&lt;&gt;"",$T2608&lt;0),"※这一笔外销是亏的，请核对售价",IF(IFERROR(VLOOKUP($D2608,库存台账!$A$5:$Y$1204,24,0),0)&lt;-0.001,"※这个物料账面已经变成负数了，查一下是不是漏记入库","")))))))))))</f>
        <v/>
      </c>
    </row>
    <row r="2609">
      <c r="A2609" s="24">
        <f>IF($D2609="","",COUNTA($D$4:$D2609))</f>
        <v/>
      </c>
      <c r="B2609" s="17" t="n"/>
      <c r="C2609" s="30" t="n"/>
      <c r="D2609" s="17" t="n"/>
      <c r="E2609" s="24">
        <f>IF($D2609="","",IFERROR(VLOOKUP($D2609,物料档案!$A$4:$P$1203,3,0),"※编码不在物料档案里"))</f>
        <v/>
      </c>
      <c r="F2609" s="24">
        <f>IF($D2609="","",IFERROR(VLOOKUP($D2609,物料档案!$A$4:$P$1203,4,0),"※编码不在物料档案里"))</f>
        <v/>
      </c>
      <c r="G2609" s="24">
        <f>IF($D2609="","",IFERROR(VLOOKUP($D2609,物料档案!$A$4:$P$1203,5,0),"※编码不在物料档案里"))</f>
        <v/>
      </c>
      <c r="H2609" s="24">
        <f>IF($D2609="","",IFERROR(VLOOKUP($D2609,物料档案!$A$4:$P$1203,2,0),"※编码不在物料档案里"))</f>
        <v/>
      </c>
      <c r="I2609" s="24">
        <f>IF($D2609="","",IFERROR(VLOOKUP($D2609,物料档案!$A$4:$P$1203,6,0),"※编码不在物料档案里"))</f>
        <v/>
      </c>
      <c r="J2609" s="23" t="n"/>
      <c r="K2609" s="17" t="n"/>
      <c r="L2609" s="17" t="n"/>
      <c r="M2609" s="17" t="n"/>
      <c r="N2609" s="17" t="n"/>
      <c r="O2609" s="26">
        <f>IF($D2609="","",IFERROR(VLOOKUP($D2609,物料档案!$A$4:$P$1203,10,0),0))</f>
        <v/>
      </c>
      <c r="P2609" s="32" t="n"/>
      <c r="Q2609" s="26">
        <f>IF($D2609="","",IF($K2609&lt;&gt;"对外销售",0,ROUND(N($J2609)*IF($P2609="",N($O2609),N($P2609)),0)))</f>
        <v/>
      </c>
      <c r="R2609" s="26">
        <f>IF($D2609="","",IFERROR(VLOOKUP($D2609,库存台账!$A$5:$Y$1204,11,0),0))</f>
        <v/>
      </c>
      <c r="S2609" s="26">
        <f>IF($D2609="","",ROUND(N($J2609)*N($R2609),0))</f>
        <v/>
      </c>
      <c r="T2609" s="26">
        <f>IF($D2609="","",IF($K2609&lt;&gt;"对外销售","",ROUND($Q2609-$S2609,0)))</f>
        <v/>
      </c>
      <c r="U2609" s="17" t="n"/>
      <c r="V2609" s="17" t="n"/>
      <c r="W2609" s="24">
        <f>IF($D2609="","",IF($E2609="※编码不在物料档案里","※物料编码不在档案里",IF(N($J2609)&lt;=0,"※出库数量要大于 0",IF($K2609="","※没填去向类型",IF($L2609="","※没填去向矿区",IF(AND($C2609&lt;&gt;"",$C2609&lt;=结账锁),"※日期早于已结账截止日，不能再录",IF(AND($K2609="自用消耗",COUNTIF({"一矿区";"二矿区"},$L2609)=0),"※自用消耗的去向只能是一矿区或二矿区",IF(AND($K2609="对外销售",COUNTIF({"三矿区";"六矿区"},$L2609)=0),"※对外销售的去向只能是三矿区或六矿区",IF(AND($K2609="对外销售",ROUND($Q2609,0)=0),"※外销却没有售价，请填实际售价",IF(AND($K2609="对外销售",$T2609&lt;&gt;"",$T2609&lt;0),"※这一笔外销是亏的，请核对售价",IF(IFERROR(VLOOKUP($D2609,库存台账!$A$5:$Y$1204,24,0),0)&lt;-0.001,"※这个物料账面已经变成负数了，查一下是不是漏记入库","")))))))))))</f>
        <v/>
      </c>
    </row>
    <row r="2610">
      <c r="A2610" s="24">
        <f>IF($D2610="","",COUNTA($D$4:$D2610))</f>
        <v/>
      </c>
      <c r="B2610" s="17" t="n"/>
      <c r="C2610" s="30" t="n"/>
      <c r="D2610" s="17" t="n"/>
      <c r="E2610" s="24">
        <f>IF($D2610="","",IFERROR(VLOOKUP($D2610,物料档案!$A$4:$P$1203,3,0),"※编码不在物料档案里"))</f>
        <v/>
      </c>
      <c r="F2610" s="24">
        <f>IF($D2610="","",IFERROR(VLOOKUP($D2610,物料档案!$A$4:$P$1203,4,0),"※编码不在物料档案里"))</f>
        <v/>
      </c>
      <c r="G2610" s="24">
        <f>IF($D2610="","",IFERROR(VLOOKUP($D2610,物料档案!$A$4:$P$1203,5,0),"※编码不在物料档案里"))</f>
        <v/>
      </c>
      <c r="H2610" s="24">
        <f>IF($D2610="","",IFERROR(VLOOKUP($D2610,物料档案!$A$4:$P$1203,2,0),"※编码不在物料档案里"))</f>
        <v/>
      </c>
      <c r="I2610" s="24">
        <f>IF($D2610="","",IFERROR(VLOOKUP($D2610,物料档案!$A$4:$P$1203,6,0),"※编码不在物料档案里"))</f>
        <v/>
      </c>
      <c r="J2610" s="23" t="n"/>
      <c r="K2610" s="17" t="n"/>
      <c r="L2610" s="17" t="n"/>
      <c r="M2610" s="17" t="n"/>
      <c r="N2610" s="17" t="n"/>
      <c r="O2610" s="26">
        <f>IF($D2610="","",IFERROR(VLOOKUP($D2610,物料档案!$A$4:$P$1203,10,0),0))</f>
        <v/>
      </c>
      <c r="P2610" s="32" t="n"/>
      <c r="Q2610" s="26">
        <f>IF($D2610="","",IF($K2610&lt;&gt;"对外销售",0,ROUND(N($J2610)*IF($P2610="",N($O2610),N($P2610)),0)))</f>
        <v/>
      </c>
      <c r="R2610" s="26">
        <f>IF($D2610="","",IFERROR(VLOOKUP($D2610,库存台账!$A$5:$Y$1204,11,0),0))</f>
        <v/>
      </c>
      <c r="S2610" s="26">
        <f>IF($D2610="","",ROUND(N($J2610)*N($R2610),0))</f>
        <v/>
      </c>
      <c r="T2610" s="26">
        <f>IF($D2610="","",IF($K2610&lt;&gt;"对外销售","",ROUND($Q2610-$S2610,0)))</f>
        <v/>
      </c>
      <c r="U2610" s="17" t="n"/>
      <c r="V2610" s="17" t="n"/>
      <c r="W2610" s="24">
        <f>IF($D2610="","",IF($E2610="※编码不在物料档案里","※物料编码不在档案里",IF(N($J2610)&lt;=0,"※出库数量要大于 0",IF($K2610="","※没填去向类型",IF($L2610="","※没填去向矿区",IF(AND($C2610&lt;&gt;"",$C2610&lt;=结账锁),"※日期早于已结账截止日，不能再录",IF(AND($K2610="自用消耗",COUNTIF({"一矿区";"二矿区"},$L2610)=0),"※自用消耗的去向只能是一矿区或二矿区",IF(AND($K2610="对外销售",COUNTIF({"三矿区";"六矿区"},$L2610)=0),"※对外销售的去向只能是三矿区或六矿区",IF(AND($K2610="对外销售",ROUND($Q2610,0)=0),"※外销却没有售价，请填实际售价",IF(AND($K2610="对外销售",$T2610&lt;&gt;"",$T2610&lt;0),"※这一笔外销是亏的，请核对售价",IF(IFERROR(VLOOKUP($D2610,库存台账!$A$5:$Y$1204,24,0),0)&lt;-0.001,"※这个物料账面已经变成负数了，查一下是不是漏记入库","")))))))))))</f>
        <v/>
      </c>
    </row>
    <row r="2611">
      <c r="A2611" s="24">
        <f>IF($D2611="","",COUNTA($D$4:$D2611))</f>
        <v/>
      </c>
      <c r="B2611" s="17" t="n"/>
      <c r="C2611" s="30" t="n"/>
      <c r="D2611" s="17" t="n"/>
      <c r="E2611" s="24">
        <f>IF($D2611="","",IFERROR(VLOOKUP($D2611,物料档案!$A$4:$P$1203,3,0),"※编码不在物料档案里"))</f>
        <v/>
      </c>
      <c r="F2611" s="24">
        <f>IF($D2611="","",IFERROR(VLOOKUP($D2611,物料档案!$A$4:$P$1203,4,0),"※编码不在物料档案里"))</f>
        <v/>
      </c>
      <c r="G2611" s="24">
        <f>IF($D2611="","",IFERROR(VLOOKUP($D2611,物料档案!$A$4:$P$1203,5,0),"※编码不在物料档案里"))</f>
        <v/>
      </c>
      <c r="H2611" s="24">
        <f>IF($D2611="","",IFERROR(VLOOKUP($D2611,物料档案!$A$4:$P$1203,2,0),"※编码不在物料档案里"))</f>
        <v/>
      </c>
      <c r="I2611" s="24">
        <f>IF($D2611="","",IFERROR(VLOOKUP($D2611,物料档案!$A$4:$P$1203,6,0),"※编码不在物料档案里"))</f>
        <v/>
      </c>
      <c r="J2611" s="23" t="n"/>
      <c r="K2611" s="17" t="n"/>
      <c r="L2611" s="17" t="n"/>
      <c r="M2611" s="17" t="n"/>
      <c r="N2611" s="17" t="n"/>
      <c r="O2611" s="26">
        <f>IF($D2611="","",IFERROR(VLOOKUP($D2611,物料档案!$A$4:$P$1203,10,0),0))</f>
        <v/>
      </c>
      <c r="P2611" s="32" t="n"/>
      <c r="Q2611" s="26">
        <f>IF($D2611="","",IF($K2611&lt;&gt;"对外销售",0,ROUND(N($J2611)*IF($P2611="",N($O2611),N($P2611)),0)))</f>
        <v/>
      </c>
      <c r="R2611" s="26">
        <f>IF($D2611="","",IFERROR(VLOOKUP($D2611,库存台账!$A$5:$Y$1204,11,0),0))</f>
        <v/>
      </c>
      <c r="S2611" s="26">
        <f>IF($D2611="","",ROUND(N($J2611)*N($R2611),0))</f>
        <v/>
      </c>
      <c r="T2611" s="26">
        <f>IF($D2611="","",IF($K2611&lt;&gt;"对外销售","",ROUND($Q2611-$S2611,0)))</f>
        <v/>
      </c>
      <c r="U2611" s="17" t="n"/>
      <c r="V2611" s="17" t="n"/>
      <c r="W2611" s="24">
        <f>IF($D2611="","",IF($E2611="※编码不在物料档案里","※物料编码不在档案里",IF(N($J2611)&lt;=0,"※出库数量要大于 0",IF($K2611="","※没填去向类型",IF($L2611="","※没填去向矿区",IF(AND($C2611&lt;&gt;"",$C2611&lt;=结账锁),"※日期早于已结账截止日，不能再录",IF(AND($K2611="自用消耗",COUNTIF({"一矿区";"二矿区"},$L2611)=0),"※自用消耗的去向只能是一矿区或二矿区",IF(AND($K2611="对外销售",COUNTIF({"三矿区";"六矿区"},$L2611)=0),"※对外销售的去向只能是三矿区或六矿区",IF(AND($K2611="对外销售",ROUND($Q2611,0)=0),"※外销却没有售价，请填实际售价",IF(AND($K2611="对外销售",$T2611&lt;&gt;"",$T2611&lt;0),"※这一笔外销是亏的，请核对售价",IF(IFERROR(VLOOKUP($D2611,库存台账!$A$5:$Y$1204,24,0),0)&lt;-0.001,"※这个物料账面已经变成负数了，查一下是不是漏记入库","")))))))))))</f>
        <v/>
      </c>
    </row>
    <row r="2612">
      <c r="A2612" s="24">
        <f>IF($D2612="","",COUNTA($D$4:$D2612))</f>
        <v/>
      </c>
      <c r="B2612" s="17" t="n"/>
      <c r="C2612" s="30" t="n"/>
      <c r="D2612" s="17" t="n"/>
      <c r="E2612" s="24">
        <f>IF($D2612="","",IFERROR(VLOOKUP($D2612,物料档案!$A$4:$P$1203,3,0),"※编码不在物料档案里"))</f>
        <v/>
      </c>
      <c r="F2612" s="24">
        <f>IF($D2612="","",IFERROR(VLOOKUP($D2612,物料档案!$A$4:$P$1203,4,0),"※编码不在物料档案里"))</f>
        <v/>
      </c>
      <c r="G2612" s="24">
        <f>IF($D2612="","",IFERROR(VLOOKUP($D2612,物料档案!$A$4:$P$1203,5,0),"※编码不在物料档案里"))</f>
        <v/>
      </c>
      <c r="H2612" s="24">
        <f>IF($D2612="","",IFERROR(VLOOKUP($D2612,物料档案!$A$4:$P$1203,2,0),"※编码不在物料档案里"))</f>
        <v/>
      </c>
      <c r="I2612" s="24">
        <f>IF($D2612="","",IFERROR(VLOOKUP($D2612,物料档案!$A$4:$P$1203,6,0),"※编码不在物料档案里"))</f>
        <v/>
      </c>
      <c r="J2612" s="23" t="n"/>
      <c r="K2612" s="17" t="n"/>
      <c r="L2612" s="17" t="n"/>
      <c r="M2612" s="17" t="n"/>
      <c r="N2612" s="17" t="n"/>
      <c r="O2612" s="26">
        <f>IF($D2612="","",IFERROR(VLOOKUP($D2612,物料档案!$A$4:$P$1203,10,0),0))</f>
        <v/>
      </c>
      <c r="P2612" s="32" t="n"/>
      <c r="Q2612" s="26">
        <f>IF($D2612="","",IF($K2612&lt;&gt;"对外销售",0,ROUND(N($J2612)*IF($P2612="",N($O2612),N($P2612)),0)))</f>
        <v/>
      </c>
      <c r="R2612" s="26">
        <f>IF($D2612="","",IFERROR(VLOOKUP($D2612,库存台账!$A$5:$Y$1204,11,0),0))</f>
        <v/>
      </c>
      <c r="S2612" s="26">
        <f>IF($D2612="","",ROUND(N($J2612)*N($R2612),0))</f>
        <v/>
      </c>
      <c r="T2612" s="26">
        <f>IF($D2612="","",IF($K2612&lt;&gt;"对外销售","",ROUND($Q2612-$S2612,0)))</f>
        <v/>
      </c>
      <c r="U2612" s="17" t="n"/>
      <c r="V2612" s="17" t="n"/>
      <c r="W2612" s="24">
        <f>IF($D2612="","",IF($E2612="※编码不在物料档案里","※物料编码不在档案里",IF(N($J2612)&lt;=0,"※出库数量要大于 0",IF($K2612="","※没填去向类型",IF($L2612="","※没填去向矿区",IF(AND($C2612&lt;&gt;"",$C2612&lt;=结账锁),"※日期早于已结账截止日，不能再录",IF(AND($K2612="自用消耗",COUNTIF({"一矿区";"二矿区"},$L2612)=0),"※自用消耗的去向只能是一矿区或二矿区",IF(AND($K2612="对外销售",COUNTIF({"三矿区";"六矿区"},$L2612)=0),"※对外销售的去向只能是三矿区或六矿区",IF(AND($K2612="对外销售",ROUND($Q2612,0)=0),"※外销却没有售价，请填实际售价",IF(AND($K2612="对外销售",$T2612&lt;&gt;"",$T2612&lt;0),"※这一笔外销是亏的，请核对售价",IF(IFERROR(VLOOKUP($D2612,库存台账!$A$5:$Y$1204,24,0),0)&lt;-0.001,"※这个物料账面已经变成负数了，查一下是不是漏记入库","")))))))))))</f>
        <v/>
      </c>
    </row>
    <row r="2613">
      <c r="A2613" s="24">
        <f>IF($D2613="","",COUNTA($D$4:$D2613))</f>
        <v/>
      </c>
      <c r="B2613" s="17" t="n"/>
      <c r="C2613" s="30" t="n"/>
      <c r="D2613" s="17" t="n"/>
      <c r="E2613" s="24">
        <f>IF($D2613="","",IFERROR(VLOOKUP($D2613,物料档案!$A$4:$P$1203,3,0),"※编码不在物料档案里"))</f>
        <v/>
      </c>
      <c r="F2613" s="24">
        <f>IF($D2613="","",IFERROR(VLOOKUP($D2613,物料档案!$A$4:$P$1203,4,0),"※编码不在物料档案里"))</f>
        <v/>
      </c>
      <c r="G2613" s="24">
        <f>IF($D2613="","",IFERROR(VLOOKUP($D2613,物料档案!$A$4:$P$1203,5,0),"※编码不在物料档案里"))</f>
        <v/>
      </c>
      <c r="H2613" s="24">
        <f>IF($D2613="","",IFERROR(VLOOKUP($D2613,物料档案!$A$4:$P$1203,2,0),"※编码不在物料档案里"))</f>
        <v/>
      </c>
      <c r="I2613" s="24">
        <f>IF($D2613="","",IFERROR(VLOOKUP($D2613,物料档案!$A$4:$P$1203,6,0),"※编码不在物料档案里"))</f>
        <v/>
      </c>
      <c r="J2613" s="23" t="n"/>
      <c r="K2613" s="17" t="n"/>
      <c r="L2613" s="17" t="n"/>
      <c r="M2613" s="17" t="n"/>
      <c r="N2613" s="17" t="n"/>
      <c r="O2613" s="26">
        <f>IF($D2613="","",IFERROR(VLOOKUP($D2613,物料档案!$A$4:$P$1203,10,0),0))</f>
        <v/>
      </c>
      <c r="P2613" s="32" t="n"/>
      <c r="Q2613" s="26">
        <f>IF($D2613="","",IF($K2613&lt;&gt;"对外销售",0,ROUND(N($J2613)*IF($P2613="",N($O2613),N($P2613)),0)))</f>
        <v/>
      </c>
      <c r="R2613" s="26">
        <f>IF($D2613="","",IFERROR(VLOOKUP($D2613,库存台账!$A$5:$Y$1204,11,0),0))</f>
        <v/>
      </c>
      <c r="S2613" s="26">
        <f>IF($D2613="","",ROUND(N($J2613)*N($R2613),0))</f>
        <v/>
      </c>
      <c r="T2613" s="26">
        <f>IF($D2613="","",IF($K2613&lt;&gt;"对外销售","",ROUND($Q2613-$S2613,0)))</f>
        <v/>
      </c>
      <c r="U2613" s="17" t="n"/>
      <c r="V2613" s="17" t="n"/>
      <c r="W2613" s="24">
        <f>IF($D2613="","",IF($E2613="※编码不在物料档案里","※物料编码不在档案里",IF(N($J2613)&lt;=0,"※出库数量要大于 0",IF($K2613="","※没填去向类型",IF($L2613="","※没填去向矿区",IF(AND($C2613&lt;&gt;"",$C2613&lt;=结账锁),"※日期早于已结账截止日，不能再录",IF(AND($K2613="自用消耗",COUNTIF({"一矿区";"二矿区"},$L2613)=0),"※自用消耗的去向只能是一矿区或二矿区",IF(AND($K2613="对外销售",COUNTIF({"三矿区";"六矿区"},$L2613)=0),"※对外销售的去向只能是三矿区或六矿区",IF(AND($K2613="对外销售",ROUND($Q2613,0)=0),"※外销却没有售价，请填实际售价",IF(AND($K2613="对外销售",$T2613&lt;&gt;"",$T2613&lt;0),"※这一笔外销是亏的，请核对售价",IF(IFERROR(VLOOKUP($D2613,库存台账!$A$5:$Y$1204,24,0),0)&lt;-0.001,"※这个物料账面已经变成负数了，查一下是不是漏记入库","")))))))))))</f>
        <v/>
      </c>
    </row>
    <row r="2614">
      <c r="A2614" s="24">
        <f>IF($D2614="","",COUNTA($D$4:$D2614))</f>
        <v/>
      </c>
      <c r="B2614" s="17" t="n"/>
      <c r="C2614" s="30" t="n"/>
      <c r="D2614" s="17" t="n"/>
      <c r="E2614" s="24">
        <f>IF($D2614="","",IFERROR(VLOOKUP($D2614,物料档案!$A$4:$P$1203,3,0),"※编码不在物料档案里"))</f>
        <v/>
      </c>
      <c r="F2614" s="24">
        <f>IF($D2614="","",IFERROR(VLOOKUP($D2614,物料档案!$A$4:$P$1203,4,0),"※编码不在物料档案里"))</f>
        <v/>
      </c>
      <c r="G2614" s="24">
        <f>IF($D2614="","",IFERROR(VLOOKUP($D2614,物料档案!$A$4:$P$1203,5,0),"※编码不在物料档案里"))</f>
        <v/>
      </c>
      <c r="H2614" s="24">
        <f>IF($D2614="","",IFERROR(VLOOKUP($D2614,物料档案!$A$4:$P$1203,2,0),"※编码不在物料档案里"))</f>
        <v/>
      </c>
      <c r="I2614" s="24">
        <f>IF($D2614="","",IFERROR(VLOOKUP($D2614,物料档案!$A$4:$P$1203,6,0),"※编码不在物料档案里"))</f>
        <v/>
      </c>
      <c r="J2614" s="23" t="n"/>
      <c r="K2614" s="17" t="n"/>
      <c r="L2614" s="17" t="n"/>
      <c r="M2614" s="17" t="n"/>
      <c r="N2614" s="17" t="n"/>
      <c r="O2614" s="26">
        <f>IF($D2614="","",IFERROR(VLOOKUP($D2614,物料档案!$A$4:$P$1203,10,0),0))</f>
        <v/>
      </c>
      <c r="P2614" s="32" t="n"/>
      <c r="Q2614" s="26">
        <f>IF($D2614="","",IF($K2614&lt;&gt;"对外销售",0,ROUND(N($J2614)*IF($P2614="",N($O2614),N($P2614)),0)))</f>
        <v/>
      </c>
      <c r="R2614" s="26">
        <f>IF($D2614="","",IFERROR(VLOOKUP($D2614,库存台账!$A$5:$Y$1204,11,0),0))</f>
        <v/>
      </c>
      <c r="S2614" s="26">
        <f>IF($D2614="","",ROUND(N($J2614)*N($R2614),0))</f>
        <v/>
      </c>
      <c r="T2614" s="26">
        <f>IF($D2614="","",IF($K2614&lt;&gt;"对外销售","",ROUND($Q2614-$S2614,0)))</f>
        <v/>
      </c>
      <c r="U2614" s="17" t="n"/>
      <c r="V2614" s="17" t="n"/>
      <c r="W2614" s="24">
        <f>IF($D2614="","",IF($E2614="※编码不在物料档案里","※物料编码不在档案里",IF(N($J2614)&lt;=0,"※出库数量要大于 0",IF($K2614="","※没填去向类型",IF($L2614="","※没填去向矿区",IF(AND($C2614&lt;&gt;"",$C2614&lt;=结账锁),"※日期早于已结账截止日，不能再录",IF(AND($K2614="自用消耗",COUNTIF({"一矿区";"二矿区"},$L2614)=0),"※自用消耗的去向只能是一矿区或二矿区",IF(AND($K2614="对外销售",COUNTIF({"三矿区";"六矿区"},$L2614)=0),"※对外销售的去向只能是三矿区或六矿区",IF(AND($K2614="对外销售",ROUND($Q2614,0)=0),"※外销却没有售价，请填实际售价",IF(AND($K2614="对外销售",$T2614&lt;&gt;"",$T2614&lt;0),"※这一笔外销是亏的，请核对售价",IF(IFERROR(VLOOKUP($D2614,库存台账!$A$5:$Y$1204,24,0),0)&lt;-0.001,"※这个物料账面已经变成负数了，查一下是不是漏记入库","")))))))))))</f>
        <v/>
      </c>
    </row>
    <row r="2615">
      <c r="A2615" s="24">
        <f>IF($D2615="","",COUNTA($D$4:$D2615))</f>
        <v/>
      </c>
      <c r="B2615" s="17" t="n"/>
      <c r="C2615" s="30" t="n"/>
      <c r="D2615" s="17" t="n"/>
      <c r="E2615" s="24">
        <f>IF($D2615="","",IFERROR(VLOOKUP($D2615,物料档案!$A$4:$P$1203,3,0),"※编码不在物料档案里"))</f>
        <v/>
      </c>
      <c r="F2615" s="24">
        <f>IF($D2615="","",IFERROR(VLOOKUP($D2615,物料档案!$A$4:$P$1203,4,0),"※编码不在物料档案里"))</f>
        <v/>
      </c>
      <c r="G2615" s="24">
        <f>IF($D2615="","",IFERROR(VLOOKUP($D2615,物料档案!$A$4:$P$1203,5,0),"※编码不在物料档案里"))</f>
        <v/>
      </c>
      <c r="H2615" s="24">
        <f>IF($D2615="","",IFERROR(VLOOKUP($D2615,物料档案!$A$4:$P$1203,2,0),"※编码不在物料档案里"))</f>
        <v/>
      </c>
      <c r="I2615" s="24">
        <f>IF($D2615="","",IFERROR(VLOOKUP($D2615,物料档案!$A$4:$P$1203,6,0),"※编码不在物料档案里"))</f>
        <v/>
      </c>
      <c r="J2615" s="23" t="n"/>
      <c r="K2615" s="17" t="n"/>
      <c r="L2615" s="17" t="n"/>
      <c r="M2615" s="17" t="n"/>
      <c r="N2615" s="17" t="n"/>
      <c r="O2615" s="26">
        <f>IF($D2615="","",IFERROR(VLOOKUP($D2615,物料档案!$A$4:$P$1203,10,0),0))</f>
        <v/>
      </c>
      <c r="P2615" s="32" t="n"/>
      <c r="Q2615" s="26">
        <f>IF($D2615="","",IF($K2615&lt;&gt;"对外销售",0,ROUND(N($J2615)*IF($P2615="",N($O2615),N($P2615)),0)))</f>
        <v/>
      </c>
      <c r="R2615" s="26">
        <f>IF($D2615="","",IFERROR(VLOOKUP($D2615,库存台账!$A$5:$Y$1204,11,0),0))</f>
        <v/>
      </c>
      <c r="S2615" s="26">
        <f>IF($D2615="","",ROUND(N($J2615)*N($R2615),0))</f>
        <v/>
      </c>
      <c r="T2615" s="26">
        <f>IF($D2615="","",IF($K2615&lt;&gt;"对外销售","",ROUND($Q2615-$S2615,0)))</f>
        <v/>
      </c>
      <c r="U2615" s="17" t="n"/>
      <c r="V2615" s="17" t="n"/>
      <c r="W2615" s="24">
        <f>IF($D2615="","",IF($E2615="※编码不在物料档案里","※物料编码不在档案里",IF(N($J2615)&lt;=0,"※出库数量要大于 0",IF($K2615="","※没填去向类型",IF($L2615="","※没填去向矿区",IF(AND($C2615&lt;&gt;"",$C2615&lt;=结账锁),"※日期早于已结账截止日，不能再录",IF(AND($K2615="自用消耗",COUNTIF({"一矿区";"二矿区"},$L2615)=0),"※自用消耗的去向只能是一矿区或二矿区",IF(AND($K2615="对外销售",COUNTIF({"三矿区";"六矿区"},$L2615)=0),"※对外销售的去向只能是三矿区或六矿区",IF(AND($K2615="对外销售",ROUND($Q2615,0)=0),"※外销却没有售价，请填实际售价",IF(AND($K2615="对外销售",$T2615&lt;&gt;"",$T2615&lt;0),"※这一笔外销是亏的，请核对售价",IF(IFERROR(VLOOKUP($D2615,库存台账!$A$5:$Y$1204,24,0),0)&lt;-0.001,"※这个物料账面已经变成负数了，查一下是不是漏记入库","")))))))))))</f>
        <v/>
      </c>
    </row>
    <row r="2616">
      <c r="A2616" s="24">
        <f>IF($D2616="","",COUNTA($D$4:$D2616))</f>
        <v/>
      </c>
      <c r="B2616" s="17" t="n"/>
      <c r="C2616" s="30" t="n"/>
      <c r="D2616" s="17" t="n"/>
      <c r="E2616" s="24">
        <f>IF($D2616="","",IFERROR(VLOOKUP($D2616,物料档案!$A$4:$P$1203,3,0),"※编码不在物料档案里"))</f>
        <v/>
      </c>
      <c r="F2616" s="24">
        <f>IF($D2616="","",IFERROR(VLOOKUP($D2616,物料档案!$A$4:$P$1203,4,0),"※编码不在物料档案里"))</f>
        <v/>
      </c>
      <c r="G2616" s="24">
        <f>IF($D2616="","",IFERROR(VLOOKUP($D2616,物料档案!$A$4:$P$1203,5,0),"※编码不在物料档案里"))</f>
        <v/>
      </c>
      <c r="H2616" s="24">
        <f>IF($D2616="","",IFERROR(VLOOKUP($D2616,物料档案!$A$4:$P$1203,2,0),"※编码不在物料档案里"))</f>
        <v/>
      </c>
      <c r="I2616" s="24">
        <f>IF($D2616="","",IFERROR(VLOOKUP($D2616,物料档案!$A$4:$P$1203,6,0),"※编码不在物料档案里"))</f>
        <v/>
      </c>
      <c r="J2616" s="23" t="n"/>
      <c r="K2616" s="17" t="n"/>
      <c r="L2616" s="17" t="n"/>
      <c r="M2616" s="17" t="n"/>
      <c r="N2616" s="17" t="n"/>
      <c r="O2616" s="26">
        <f>IF($D2616="","",IFERROR(VLOOKUP($D2616,物料档案!$A$4:$P$1203,10,0),0))</f>
        <v/>
      </c>
      <c r="P2616" s="32" t="n"/>
      <c r="Q2616" s="26">
        <f>IF($D2616="","",IF($K2616&lt;&gt;"对外销售",0,ROUND(N($J2616)*IF($P2616="",N($O2616),N($P2616)),0)))</f>
        <v/>
      </c>
      <c r="R2616" s="26">
        <f>IF($D2616="","",IFERROR(VLOOKUP($D2616,库存台账!$A$5:$Y$1204,11,0),0))</f>
        <v/>
      </c>
      <c r="S2616" s="26">
        <f>IF($D2616="","",ROUND(N($J2616)*N($R2616),0))</f>
        <v/>
      </c>
      <c r="T2616" s="26">
        <f>IF($D2616="","",IF($K2616&lt;&gt;"对外销售","",ROUND($Q2616-$S2616,0)))</f>
        <v/>
      </c>
      <c r="U2616" s="17" t="n"/>
      <c r="V2616" s="17" t="n"/>
      <c r="W2616" s="24">
        <f>IF($D2616="","",IF($E2616="※编码不在物料档案里","※物料编码不在档案里",IF(N($J2616)&lt;=0,"※出库数量要大于 0",IF($K2616="","※没填去向类型",IF($L2616="","※没填去向矿区",IF(AND($C2616&lt;&gt;"",$C2616&lt;=结账锁),"※日期早于已结账截止日，不能再录",IF(AND($K2616="自用消耗",COUNTIF({"一矿区";"二矿区"},$L2616)=0),"※自用消耗的去向只能是一矿区或二矿区",IF(AND($K2616="对外销售",COUNTIF({"三矿区";"六矿区"},$L2616)=0),"※对外销售的去向只能是三矿区或六矿区",IF(AND($K2616="对外销售",ROUND($Q2616,0)=0),"※外销却没有售价，请填实际售价",IF(AND($K2616="对外销售",$T2616&lt;&gt;"",$T2616&lt;0),"※这一笔外销是亏的，请核对售价",IF(IFERROR(VLOOKUP($D2616,库存台账!$A$5:$Y$1204,24,0),0)&lt;-0.001,"※这个物料账面已经变成负数了，查一下是不是漏记入库","")))))))))))</f>
        <v/>
      </c>
    </row>
    <row r="2617">
      <c r="A2617" s="24">
        <f>IF($D2617="","",COUNTA($D$4:$D2617))</f>
        <v/>
      </c>
      <c r="B2617" s="17" t="n"/>
      <c r="C2617" s="30" t="n"/>
      <c r="D2617" s="17" t="n"/>
      <c r="E2617" s="24">
        <f>IF($D2617="","",IFERROR(VLOOKUP($D2617,物料档案!$A$4:$P$1203,3,0),"※编码不在物料档案里"))</f>
        <v/>
      </c>
      <c r="F2617" s="24">
        <f>IF($D2617="","",IFERROR(VLOOKUP($D2617,物料档案!$A$4:$P$1203,4,0),"※编码不在物料档案里"))</f>
        <v/>
      </c>
      <c r="G2617" s="24">
        <f>IF($D2617="","",IFERROR(VLOOKUP($D2617,物料档案!$A$4:$P$1203,5,0),"※编码不在物料档案里"))</f>
        <v/>
      </c>
      <c r="H2617" s="24">
        <f>IF($D2617="","",IFERROR(VLOOKUP($D2617,物料档案!$A$4:$P$1203,2,0),"※编码不在物料档案里"))</f>
        <v/>
      </c>
      <c r="I2617" s="24">
        <f>IF($D2617="","",IFERROR(VLOOKUP($D2617,物料档案!$A$4:$P$1203,6,0),"※编码不在物料档案里"))</f>
        <v/>
      </c>
      <c r="J2617" s="23" t="n"/>
      <c r="K2617" s="17" t="n"/>
      <c r="L2617" s="17" t="n"/>
      <c r="M2617" s="17" t="n"/>
      <c r="N2617" s="17" t="n"/>
      <c r="O2617" s="26">
        <f>IF($D2617="","",IFERROR(VLOOKUP($D2617,物料档案!$A$4:$P$1203,10,0),0))</f>
        <v/>
      </c>
      <c r="P2617" s="32" t="n"/>
      <c r="Q2617" s="26">
        <f>IF($D2617="","",IF($K2617&lt;&gt;"对外销售",0,ROUND(N($J2617)*IF($P2617="",N($O2617),N($P2617)),0)))</f>
        <v/>
      </c>
      <c r="R2617" s="26">
        <f>IF($D2617="","",IFERROR(VLOOKUP($D2617,库存台账!$A$5:$Y$1204,11,0),0))</f>
        <v/>
      </c>
      <c r="S2617" s="26">
        <f>IF($D2617="","",ROUND(N($J2617)*N($R2617),0))</f>
        <v/>
      </c>
      <c r="T2617" s="26">
        <f>IF($D2617="","",IF($K2617&lt;&gt;"对外销售","",ROUND($Q2617-$S2617,0)))</f>
        <v/>
      </c>
      <c r="U2617" s="17" t="n"/>
      <c r="V2617" s="17" t="n"/>
      <c r="W2617" s="24">
        <f>IF($D2617="","",IF($E2617="※编码不在物料档案里","※物料编码不在档案里",IF(N($J2617)&lt;=0,"※出库数量要大于 0",IF($K2617="","※没填去向类型",IF($L2617="","※没填去向矿区",IF(AND($C2617&lt;&gt;"",$C2617&lt;=结账锁),"※日期早于已结账截止日，不能再录",IF(AND($K2617="自用消耗",COUNTIF({"一矿区";"二矿区"},$L2617)=0),"※自用消耗的去向只能是一矿区或二矿区",IF(AND($K2617="对外销售",COUNTIF({"三矿区";"六矿区"},$L2617)=0),"※对外销售的去向只能是三矿区或六矿区",IF(AND($K2617="对外销售",ROUND($Q2617,0)=0),"※外销却没有售价，请填实际售价",IF(AND($K2617="对外销售",$T2617&lt;&gt;"",$T2617&lt;0),"※这一笔外销是亏的，请核对售价",IF(IFERROR(VLOOKUP($D2617,库存台账!$A$5:$Y$1204,24,0),0)&lt;-0.001,"※这个物料账面已经变成负数了，查一下是不是漏记入库","")))))))))))</f>
        <v/>
      </c>
    </row>
    <row r="2618">
      <c r="A2618" s="24">
        <f>IF($D2618="","",COUNTA($D$4:$D2618))</f>
        <v/>
      </c>
      <c r="B2618" s="17" t="n"/>
      <c r="C2618" s="30" t="n"/>
      <c r="D2618" s="17" t="n"/>
      <c r="E2618" s="24">
        <f>IF($D2618="","",IFERROR(VLOOKUP($D2618,物料档案!$A$4:$P$1203,3,0),"※编码不在物料档案里"))</f>
        <v/>
      </c>
      <c r="F2618" s="24">
        <f>IF($D2618="","",IFERROR(VLOOKUP($D2618,物料档案!$A$4:$P$1203,4,0),"※编码不在物料档案里"))</f>
        <v/>
      </c>
      <c r="G2618" s="24">
        <f>IF($D2618="","",IFERROR(VLOOKUP($D2618,物料档案!$A$4:$P$1203,5,0),"※编码不在物料档案里"))</f>
        <v/>
      </c>
      <c r="H2618" s="24">
        <f>IF($D2618="","",IFERROR(VLOOKUP($D2618,物料档案!$A$4:$P$1203,2,0),"※编码不在物料档案里"))</f>
        <v/>
      </c>
      <c r="I2618" s="24">
        <f>IF($D2618="","",IFERROR(VLOOKUP($D2618,物料档案!$A$4:$P$1203,6,0),"※编码不在物料档案里"))</f>
        <v/>
      </c>
      <c r="J2618" s="23" t="n"/>
      <c r="K2618" s="17" t="n"/>
      <c r="L2618" s="17" t="n"/>
      <c r="M2618" s="17" t="n"/>
      <c r="N2618" s="17" t="n"/>
      <c r="O2618" s="26">
        <f>IF($D2618="","",IFERROR(VLOOKUP($D2618,物料档案!$A$4:$P$1203,10,0),0))</f>
        <v/>
      </c>
      <c r="P2618" s="32" t="n"/>
      <c r="Q2618" s="26">
        <f>IF($D2618="","",IF($K2618&lt;&gt;"对外销售",0,ROUND(N($J2618)*IF($P2618="",N($O2618),N($P2618)),0)))</f>
        <v/>
      </c>
      <c r="R2618" s="26">
        <f>IF($D2618="","",IFERROR(VLOOKUP($D2618,库存台账!$A$5:$Y$1204,11,0),0))</f>
        <v/>
      </c>
      <c r="S2618" s="26">
        <f>IF($D2618="","",ROUND(N($J2618)*N($R2618),0))</f>
        <v/>
      </c>
      <c r="T2618" s="26">
        <f>IF($D2618="","",IF($K2618&lt;&gt;"对外销售","",ROUND($Q2618-$S2618,0)))</f>
        <v/>
      </c>
      <c r="U2618" s="17" t="n"/>
      <c r="V2618" s="17" t="n"/>
      <c r="W2618" s="24">
        <f>IF($D2618="","",IF($E2618="※编码不在物料档案里","※物料编码不在档案里",IF(N($J2618)&lt;=0,"※出库数量要大于 0",IF($K2618="","※没填去向类型",IF($L2618="","※没填去向矿区",IF(AND($C2618&lt;&gt;"",$C2618&lt;=结账锁),"※日期早于已结账截止日，不能再录",IF(AND($K2618="自用消耗",COUNTIF({"一矿区";"二矿区"},$L2618)=0),"※自用消耗的去向只能是一矿区或二矿区",IF(AND($K2618="对外销售",COUNTIF({"三矿区";"六矿区"},$L2618)=0),"※对外销售的去向只能是三矿区或六矿区",IF(AND($K2618="对外销售",ROUND($Q2618,0)=0),"※外销却没有售价，请填实际售价",IF(AND($K2618="对外销售",$T2618&lt;&gt;"",$T2618&lt;0),"※这一笔外销是亏的，请核对售价",IF(IFERROR(VLOOKUP($D2618,库存台账!$A$5:$Y$1204,24,0),0)&lt;-0.001,"※这个物料账面已经变成负数了，查一下是不是漏记入库","")))))))))))</f>
        <v/>
      </c>
    </row>
    <row r="2619">
      <c r="A2619" s="24">
        <f>IF($D2619="","",COUNTA($D$4:$D2619))</f>
        <v/>
      </c>
      <c r="B2619" s="17" t="n"/>
      <c r="C2619" s="30" t="n"/>
      <c r="D2619" s="17" t="n"/>
      <c r="E2619" s="24">
        <f>IF($D2619="","",IFERROR(VLOOKUP($D2619,物料档案!$A$4:$P$1203,3,0),"※编码不在物料档案里"))</f>
        <v/>
      </c>
      <c r="F2619" s="24">
        <f>IF($D2619="","",IFERROR(VLOOKUP($D2619,物料档案!$A$4:$P$1203,4,0),"※编码不在物料档案里"))</f>
        <v/>
      </c>
      <c r="G2619" s="24">
        <f>IF($D2619="","",IFERROR(VLOOKUP($D2619,物料档案!$A$4:$P$1203,5,0),"※编码不在物料档案里"))</f>
        <v/>
      </c>
      <c r="H2619" s="24">
        <f>IF($D2619="","",IFERROR(VLOOKUP($D2619,物料档案!$A$4:$P$1203,2,0),"※编码不在物料档案里"))</f>
        <v/>
      </c>
      <c r="I2619" s="24">
        <f>IF($D2619="","",IFERROR(VLOOKUP($D2619,物料档案!$A$4:$P$1203,6,0),"※编码不在物料档案里"))</f>
        <v/>
      </c>
      <c r="J2619" s="23" t="n"/>
      <c r="K2619" s="17" t="n"/>
      <c r="L2619" s="17" t="n"/>
      <c r="M2619" s="17" t="n"/>
      <c r="N2619" s="17" t="n"/>
      <c r="O2619" s="26">
        <f>IF($D2619="","",IFERROR(VLOOKUP($D2619,物料档案!$A$4:$P$1203,10,0),0))</f>
        <v/>
      </c>
      <c r="P2619" s="32" t="n"/>
      <c r="Q2619" s="26">
        <f>IF($D2619="","",IF($K2619&lt;&gt;"对外销售",0,ROUND(N($J2619)*IF($P2619="",N($O2619),N($P2619)),0)))</f>
        <v/>
      </c>
      <c r="R2619" s="26">
        <f>IF($D2619="","",IFERROR(VLOOKUP($D2619,库存台账!$A$5:$Y$1204,11,0),0))</f>
        <v/>
      </c>
      <c r="S2619" s="26">
        <f>IF($D2619="","",ROUND(N($J2619)*N($R2619),0))</f>
        <v/>
      </c>
      <c r="T2619" s="26">
        <f>IF($D2619="","",IF($K2619&lt;&gt;"对外销售","",ROUND($Q2619-$S2619,0)))</f>
        <v/>
      </c>
      <c r="U2619" s="17" t="n"/>
      <c r="V2619" s="17" t="n"/>
      <c r="W2619" s="24">
        <f>IF($D2619="","",IF($E2619="※编码不在物料档案里","※物料编码不在档案里",IF(N($J2619)&lt;=0,"※出库数量要大于 0",IF($K2619="","※没填去向类型",IF($L2619="","※没填去向矿区",IF(AND($C2619&lt;&gt;"",$C2619&lt;=结账锁),"※日期早于已结账截止日，不能再录",IF(AND($K2619="自用消耗",COUNTIF({"一矿区";"二矿区"},$L2619)=0),"※自用消耗的去向只能是一矿区或二矿区",IF(AND($K2619="对外销售",COUNTIF({"三矿区";"六矿区"},$L2619)=0),"※对外销售的去向只能是三矿区或六矿区",IF(AND($K2619="对外销售",ROUND($Q2619,0)=0),"※外销却没有售价，请填实际售价",IF(AND($K2619="对外销售",$T2619&lt;&gt;"",$T2619&lt;0),"※这一笔外销是亏的，请核对售价",IF(IFERROR(VLOOKUP($D2619,库存台账!$A$5:$Y$1204,24,0),0)&lt;-0.001,"※这个物料账面已经变成负数了，查一下是不是漏记入库","")))))))))))</f>
        <v/>
      </c>
    </row>
    <row r="2620">
      <c r="A2620" s="24">
        <f>IF($D2620="","",COUNTA($D$4:$D2620))</f>
        <v/>
      </c>
      <c r="B2620" s="17" t="n"/>
      <c r="C2620" s="30" t="n"/>
      <c r="D2620" s="17" t="n"/>
      <c r="E2620" s="24">
        <f>IF($D2620="","",IFERROR(VLOOKUP($D2620,物料档案!$A$4:$P$1203,3,0),"※编码不在物料档案里"))</f>
        <v/>
      </c>
      <c r="F2620" s="24">
        <f>IF($D2620="","",IFERROR(VLOOKUP($D2620,物料档案!$A$4:$P$1203,4,0),"※编码不在物料档案里"))</f>
        <v/>
      </c>
      <c r="G2620" s="24">
        <f>IF($D2620="","",IFERROR(VLOOKUP($D2620,物料档案!$A$4:$P$1203,5,0),"※编码不在物料档案里"))</f>
        <v/>
      </c>
      <c r="H2620" s="24">
        <f>IF($D2620="","",IFERROR(VLOOKUP($D2620,物料档案!$A$4:$P$1203,2,0),"※编码不在物料档案里"))</f>
        <v/>
      </c>
      <c r="I2620" s="24">
        <f>IF($D2620="","",IFERROR(VLOOKUP($D2620,物料档案!$A$4:$P$1203,6,0),"※编码不在物料档案里"))</f>
        <v/>
      </c>
      <c r="J2620" s="23" t="n"/>
      <c r="K2620" s="17" t="n"/>
      <c r="L2620" s="17" t="n"/>
      <c r="M2620" s="17" t="n"/>
      <c r="N2620" s="17" t="n"/>
      <c r="O2620" s="26">
        <f>IF($D2620="","",IFERROR(VLOOKUP($D2620,物料档案!$A$4:$P$1203,10,0),0))</f>
        <v/>
      </c>
      <c r="P2620" s="32" t="n"/>
      <c r="Q2620" s="26">
        <f>IF($D2620="","",IF($K2620&lt;&gt;"对外销售",0,ROUND(N($J2620)*IF($P2620="",N($O2620),N($P2620)),0)))</f>
        <v/>
      </c>
      <c r="R2620" s="26">
        <f>IF($D2620="","",IFERROR(VLOOKUP($D2620,库存台账!$A$5:$Y$1204,11,0),0))</f>
        <v/>
      </c>
      <c r="S2620" s="26">
        <f>IF($D2620="","",ROUND(N($J2620)*N($R2620),0))</f>
        <v/>
      </c>
      <c r="T2620" s="26">
        <f>IF($D2620="","",IF($K2620&lt;&gt;"对外销售","",ROUND($Q2620-$S2620,0)))</f>
        <v/>
      </c>
      <c r="U2620" s="17" t="n"/>
      <c r="V2620" s="17" t="n"/>
      <c r="W2620" s="24">
        <f>IF($D2620="","",IF($E2620="※编码不在物料档案里","※物料编码不在档案里",IF(N($J2620)&lt;=0,"※出库数量要大于 0",IF($K2620="","※没填去向类型",IF($L2620="","※没填去向矿区",IF(AND($C2620&lt;&gt;"",$C2620&lt;=结账锁),"※日期早于已结账截止日，不能再录",IF(AND($K2620="自用消耗",COUNTIF({"一矿区";"二矿区"},$L2620)=0),"※自用消耗的去向只能是一矿区或二矿区",IF(AND($K2620="对外销售",COUNTIF({"三矿区";"六矿区"},$L2620)=0),"※对外销售的去向只能是三矿区或六矿区",IF(AND($K2620="对外销售",ROUND($Q2620,0)=0),"※外销却没有售价，请填实际售价",IF(AND($K2620="对外销售",$T2620&lt;&gt;"",$T2620&lt;0),"※这一笔外销是亏的，请核对售价",IF(IFERROR(VLOOKUP($D2620,库存台账!$A$5:$Y$1204,24,0),0)&lt;-0.001,"※这个物料账面已经变成负数了，查一下是不是漏记入库","")))))))))))</f>
        <v/>
      </c>
    </row>
    <row r="2621">
      <c r="A2621" s="24">
        <f>IF($D2621="","",COUNTA($D$4:$D2621))</f>
        <v/>
      </c>
      <c r="B2621" s="17" t="n"/>
      <c r="C2621" s="30" t="n"/>
      <c r="D2621" s="17" t="n"/>
      <c r="E2621" s="24">
        <f>IF($D2621="","",IFERROR(VLOOKUP($D2621,物料档案!$A$4:$P$1203,3,0),"※编码不在物料档案里"))</f>
        <v/>
      </c>
      <c r="F2621" s="24">
        <f>IF($D2621="","",IFERROR(VLOOKUP($D2621,物料档案!$A$4:$P$1203,4,0),"※编码不在物料档案里"))</f>
        <v/>
      </c>
      <c r="G2621" s="24">
        <f>IF($D2621="","",IFERROR(VLOOKUP($D2621,物料档案!$A$4:$P$1203,5,0),"※编码不在物料档案里"))</f>
        <v/>
      </c>
      <c r="H2621" s="24">
        <f>IF($D2621="","",IFERROR(VLOOKUP($D2621,物料档案!$A$4:$P$1203,2,0),"※编码不在物料档案里"))</f>
        <v/>
      </c>
      <c r="I2621" s="24">
        <f>IF($D2621="","",IFERROR(VLOOKUP($D2621,物料档案!$A$4:$P$1203,6,0),"※编码不在物料档案里"))</f>
        <v/>
      </c>
      <c r="J2621" s="23" t="n"/>
      <c r="K2621" s="17" t="n"/>
      <c r="L2621" s="17" t="n"/>
      <c r="M2621" s="17" t="n"/>
      <c r="N2621" s="17" t="n"/>
      <c r="O2621" s="26">
        <f>IF($D2621="","",IFERROR(VLOOKUP($D2621,物料档案!$A$4:$P$1203,10,0),0))</f>
        <v/>
      </c>
      <c r="P2621" s="32" t="n"/>
      <c r="Q2621" s="26">
        <f>IF($D2621="","",IF($K2621&lt;&gt;"对外销售",0,ROUND(N($J2621)*IF($P2621="",N($O2621),N($P2621)),0)))</f>
        <v/>
      </c>
      <c r="R2621" s="26">
        <f>IF($D2621="","",IFERROR(VLOOKUP($D2621,库存台账!$A$5:$Y$1204,11,0),0))</f>
        <v/>
      </c>
      <c r="S2621" s="26">
        <f>IF($D2621="","",ROUND(N($J2621)*N($R2621),0))</f>
        <v/>
      </c>
      <c r="T2621" s="26">
        <f>IF($D2621="","",IF($K2621&lt;&gt;"对外销售","",ROUND($Q2621-$S2621,0)))</f>
        <v/>
      </c>
      <c r="U2621" s="17" t="n"/>
      <c r="V2621" s="17" t="n"/>
      <c r="W2621" s="24">
        <f>IF($D2621="","",IF($E2621="※编码不在物料档案里","※物料编码不在档案里",IF(N($J2621)&lt;=0,"※出库数量要大于 0",IF($K2621="","※没填去向类型",IF($L2621="","※没填去向矿区",IF(AND($C2621&lt;&gt;"",$C2621&lt;=结账锁),"※日期早于已结账截止日，不能再录",IF(AND($K2621="自用消耗",COUNTIF({"一矿区";"二矿区"},$L2621)=0),"※自用消耗的去向只能是一矿区或二矿区",IF(AND($K2621="对外销售",COUNTIF({"三矿区";"六矿区"},$L2621)=0),"※对外销售的去向只能是三矿区或六矿区",IF(AND($K2621="对外销售",ROUND($Q2621,0)=0),"※外销却没有售价，请填实际售价",IF(AND($K2621="对外销售",$T2621&lt;&gt;"",$T2621&lt;0),"※这一笔外销是亏的，请核对售价",IF(IFERROR(VLOOKUP($D2621,库存台账!$A$5:$Y$1204,24,0),0)&lt;-0.001,"※这个物料账面已经变成负数了，查一下是不是漏记入库","")))))))))))</f>
        <v/>
      </c>
    </row>
    <row r="2622">
      <c r="A2622" s="24">
        <f>IF($D2622="","",COUNTA($D$4:$D2622))</f>
        <v/>
      </c>
      <c r="B2622" s="17" t="n"/>
      <c r="C2622" s="30" t="n"/>
      <c r="D2622" s="17" t="n"/>
      <c r="E2622" s="24">
        <f>IF($D2622="","",IFERROR(VLOOKUP($D2622,物料档案!$A$4:$P$1203,3,0),"※编码不在物料档案里"))</f>
        <v/>
      </c>
      <c r="F2622" s="24">
        <f>IF($D2622="","",IFERROR(VLOOKUP($D2622,物料档案!$A$4:$P$1203,4,0),"※编码不在物料档案里"))</f>
        <v/>
      </c>
      <c r="G2622" s="24">
        <f>IF($D2622="","",IFERROR(VLOOKUP($D2622,物料档案!$A$4:$P$1203,5,0),"※编码不在物料档案里"))</f>
        <v/>
      </c>
      <c r="H2622" s="24">
        <f>IF($D2622="","",IFERROR(VLOOKUP($D2622,物料档案!$A$4:$P$1203,2,0),"※编码不在物料档案里"))</f>
        <v/>
      </c>
      <c r="I2622" s="24">
        <f>IF($D2622="","",IFERROR(VLOOKUP($D2622,物料档案!$A$4:$P$1203,6,0),"※编码不在物料档案里"))</f>
        <v/>
      </c>
      <c r="J2622" s="23" t="n"/>
      <c r="K2622" s="17" t="n"/>
      <c r="L2622" s="17" t="n"/>
      <c r="M2622" s="17" t="n"/>
      <c r="N2622" s="17" t="n"/>
      <c r="O2622" s="26">
        <f>IF($D2622="","",IFERROR(VLOOKUP($D2622,物料档案!$A$4:$P$1203,10,0),0))</f>
        <v/>
      </c>
      <c r="P2622" s="32" t="n"/>
      <c r="Q2622" s="26">
        <f>IF($D2622="","",IF($K2622&lt;&gt;"对外销售",0,ROUND(N($J2622)*IF($P2622="",N($O2622),N($P2622)),0)))</f>
        <v/>
      </c>
      <c r="R2622" s="26">
        <f>IF($D2622="","",IFERROR(VLOOKUP($D2622,库存台账!$A$5:$Y$1204,11,0),0))</f>
        <v/>
      </c>
      <c r="S2622" s="26">
        <f>IF($D2622="","",ROUND(N($J2622)*N($R2622),0))</f>
        <v/>
      </c>
      <c r="T2622" s="26">
        <f>IF($D2622="","",IF($K2622&lt;&gt;"对外销售","",ROUND($Q2622-$S2622,0)))</f>
        <v/>
      </c>
      <c r="U2622" s="17" t="n"/>
      <c r="V2622" s="17" t="n"/>
      <c r="W2622" s="24">
        <f>IF($D2622="","",IF($E2622="※编码不在物料档案里","※物料编码不在档案里",IF(N($J2622)&lt;=0,"※出库数量要大于 0",IF($K2622="","※没填去向类型",IF($L2622="","※没填去向矿区",IF(AND($C2622&lt;&gt;"",$C2622&lt;=结账锁),"※日期早于已结账截止日，不能再录",IF(AND($K2622="自用消耗",COUNTIF({"一矿区";"二矿区"},$L2622)=0),"※自用消耗的去向只能是一矿区或二矿区",IF(AND($K2622="对外销售",COUNTIF({"三矿区";"六矿区"},$L2622)=0),"※对外销售的去向只能是三矿区或六矿区",IF(AND($K2622="对外销售",ROUND($Q2622,0)=0),"※外销却没有售价，请填实际售价",IF(AND($K2622="对外销售",$T2622&lt;&gt;"",$T2622&lt;0),"※这一笔外销是亏的，请核对售价",IF(IFERROR(VLOOKUP($D2622,库存台账!$A$5:$Y$1204,24,0),0)&lt;-0.001,"※这个物料账面已经变成负数了，查一下是不是漏记入库","")))))))))))</f>
        <v/>
      </c>
    </row>
    <row r="2623">
      <c r="A2623" s="24">
        <f>IF($D2623="","",COUNTA($D$4:$D2623))</f>
        <v/>
      </c>
      <c r="B2623" s="17" t="n"/>
      <c r="C2623" s="30" t="n"/>
      <c r="D2623" s="17" t="n"/>
      <c r="E2623" s="24">
        <f>IF($D2623="","",IFERROR(VLOOKUP($D2623,物料档案!$A$4:$P$1203,3,0),"※编码不在物料档案里"))</f>
        <v/>
      </c>
      <c r="F2623" s="24">
        <f>IF($D2623="","",IFERROR(VLOOKUP($D2623,物料档案!$A$4:$P$1203,4,0),"※编码不在物料档案里"))</f>
        <v/>
      </c>
      <c r="G2623" s="24">
        <f>IF($D2623="","",IFERROR(VLOOKUP($D2623,物料档案!$A$4:$P$1203,5,0),"※编码不在物料档案里"))</f>
        <v/>
      </c>
      <c r="H2623" s="24">
        <f>IF($D2623="","",IFERROR(VLOOKUP($D2623,物料档案!$A$4:$P$1203,2,0),"※编码不在物料档案里"))</f>
        <v/>
      </c>
      <c r="I2623" s="24">
        <f>IF($D2623="","",IFERROR(VLOOKUP($D2623,物料档案!$A$4:$P$1203,6,0),"※编码不在物料档案里"))</f>
        <v/>
      </c>
      <c r="J2623" s="23" t="n"/>
      <c r="K2623" s="17" t="n"/>
      <c r="L2623" s="17" t="n"/>
      <c r="M2623" s="17" t="n"/>
      <c r="N2623" s="17" t="n"/>
      <c r="O2623" s="26">
        <f>IF($D2623="","",IFERROR(VLOOKUP($D2623,物料档案!$A$4:$P$1203,10,0),0))</f>
        <v/>
      </c>
      <c r="P2623" s="32" t="n"/>
      <c r="Q2623" s="26">
        <f>IF($D2623="","",IF($K2623&lt;&gt;"对外销售",0,ROUND(N($J2623)*IF($P2623="",N($O2623),N($P2623)),0)))</f>
        <v/>
      </c>
      <c r="R2623" s="26">
        <f>IF($D2623="","",IFERROR(VLOOKUP($D2623,库存台账!$A$5:$Y$1204,11,0),0))</f>
        <v/>
      </c>
      <c r="S2623" s="26">
        <f>IF($D2623="","",ROUND(N($J2623)*N($R2623),0))</f>
        <v/>
      </c>
      <c r="T2623" s="26">
        <f>IF($D2623="","",IF($K2623&lt;&gt;"对外销售","",ROUND($Q2623-$S2623,0)))</f>
        <v/>
      </c>
      <c r="U2623" s="17" t="n"/>
      <c r="V2623" s="17" t="n"/>
      <c r="W2623" s="24">
        <f>IF($D2623="","",IF($E2623="※编码不在物料档案里","※物料编码不在档案里",IF(N($J2623)&lt;=0,"※出库数量要大于 0",IF($K2623="","※没填去向类型",IF($L2623="","※没填去向矿区",IF(AND($C2623&lt;&gt;"",$C2623&lt;=结账锁),"※日期早于已结账截止日，不能再录",IF(AND($K2623="自用消耗",COUNTIF({"一矿区";"二矿区"},$L2623)=0),"※自用消耗的去向只能是一矿区或二矿区",IF(AND($K2623="对外销售",COUNTIF({"三矿区";"六矿区"},$L2623)=0),"※对外销售的去向只能是三矿区或六矿区",IF(AND($K2623="对外销售",ROUND($Q2623,0)=0),"※外销却没有售价，请填实际售价",IF(AND($K2623="对外销售",$T2623&lt;&gt;"",$T2623&lt;0),"※这一笔外销是亏的，请核对售价",IF(IFERROR(VLOOKUP($D2623,库存台账!$A$5:$Y$1204,24,0),0)&lt;-0.001,"※这个物料账面已经变成负数了，查一下是不是漏记入库","")))))))))))</f>
        <v/>
      </c>
    </row>
    <row r="2624">
      <c r="A2624" s="24">
        <f>IF($D2624="","",COUNTA($D$4:$D2624))</f>
        <v/>
      </c>
      <c r="B2624" s="17" t="n"/>
      <c r="C2624" s="30" t="n"/>
      <c r="D2624" s="17" t="n"/>
      <c r="E2624" s="24">
        <f>IF($D2624="","",IFERROR(VLOOKUP($D2624,物料档案!$A$4:$P$1203,3,0),"※编码不在物料档案里"))</f>
        <v/>
      </c>
      <c r="F2624" s="24">
        <f>IF($D2624="","",IFERROR(VLOOKUP($D2624,物料档案!$A$4:$P$1203,4,0),"※编码不在物料档案里"))</f>
        <v/>
      </c>
      <c r="G2624" s="24">
        <f>IF($D2624="","",IFERROR(VLOOKUP($D2624,物料档案!$A$4:$P$1203,5,0),"※编码不在物料档案里"))</f>
        <v/>
      </c>
      <c r="H2624" s="24">
        <f>IF($D2624="","",IFERROR(VLOOKUP($D2624,物料档案!$A$4:$P$1203,2,0),"※编码不在物料档案里"))</f>
        <v/>
      </c>
      <c r="I2624" s="24">
        <f>IF($D2624="","",IFERROR(VLOOKUP($D2624,物料档案!$A$4:$P$1203,6,0),"※编码不在物料档案里"))</f>
        <v/>
      </c>
      <c r="J2624" s="23" t="n"/>
      <c r="K2624" s="17" t="n"/>
      <c r="L2624" s="17" t="n"/>
      <c r="M2624" s="17" t="n"/>
      <c r="N2624" s="17" t="n"/>
      <c r="O2624" s="26">
        <f>IF($D2624="","",IFERROR(VLOOKUP($D2624,物料档案!$A$4:$P$1203,10,0),0))</f>
        <v/>
      </c>
      <c r="P2624" s="32" t="n"/>
      <c r="Q2624" s="26">
        <f>IF($D2624="","",IF($K2624&lt;&gt;"对外销售",0,ROUND(N($J2624)*IF($P2624="",N($O2624),N($P2624)),0)))</f>
        <v/>
      </c>
      <c r="R2624" s="26">
        <f>IF($D2624="","",IFERROR(VLOOKUP($D2624,库存台账!$A$5:$Y$1204,11,0),0))</f>
        <v/>
      </c>
      <c r="S2624" s="26">
        <f>IF($D2624="","",ROUND(N($J2624)*N($R2624),0))</f>
        <v/>
      </c>
      <c r="T2624" s="26">
        <f>IF($D2624="","",IF($K2624&lt;&gt;"对外销售","",ROUND($Q2624-$S2624,0)))</f>
        <v/>
      </c>
      <c r="U2624" s="17" t="n"/>
      <c r="V2624" s="17" t="n"/>
      <c r="W2624" s="24">
        <f>IF($D2624="","",IF($E2624="※编码不在物料档案里","※物料编码不在档案里",IF(N($J2624)&lt;=0,"※出库数量要大于 0",IF($K2624="","※没填去向类型",IF($L2624="","※没填去向矿区",IF(AND($C2624&lt;&gt;"",$C2624&lt;=结账锁),"※日期早于已结账截止日，不能再录",IF(AND($K2624="自用消耗",COUNTIF({"一矿区";"二矿区"},$L2624)=0),"※自用消耗的去向只能是一矿区或二矿区",IF(AND($K2624="对外销售",COUNTIF({"三矿区";"六矿区"},$L2624)=0),"※对外销售的去向只能是三矿区或六矿区",IF(AND($K2624="对外销售",ROUND($Q2624,0)=0),"※外销却没有售价，请填实际售价",IF(AND($K2624="对外销售",$T2624&lt;&gt;"",$T2624&lt;0),"※这一笔外销是亏的，请核对售价",IF(IFERROR(VLOOKUP($D2624,库存台账!$A$5:$Y$1204,24,0),0)&lt;-0.001,"※这个物料账面已经变成负数了，查一下是不是漏记入库","")))))))))))</f>
        <v/>
      </c>
    </row>
    <row r="2625">
      <c r="A2625" s="24">
        <f>IF($D2625="","",COUNTA($D$4:$D2625))</f>
        <v/>
      </c>
      <c r="B2625" s="17" t="n"/>
      <c r="C2625" s="30" t="n"/>
      <c r="D2625" s="17" t="n"/>
      <c r="E2625" s="24">
        <f>IF($D2625="","",IFERROR(VLOOKUP($D2625,物料档案!$A$4:$P$1203,3,0),"※编码不在物料档案里"))</f>
        <v/>
      </c>
      <c r="F2625" s="24">
        <f>IF($D2625="","",IFERROR(VLOOKUP($D2625,物料档案!$A$4:$P$1203,4,0),"※编码不在物料档案里"))</f>
        <v/>
      </c>
      <c r="G2625" s="24">
        <f>IF($D2625="","",IFERROR(VLOOKUP($D2625,物料档案!$A$4:$P$1203,5,0),"※编码不在物料档案里"))</f>
        <v/>
      </c>
      <c r="H2625" s="24">
        <f>IF($D2625="","",IFERROR(VLOOKUP($D2625,物料档案!$A$4:$P$1203,2,0),"※编码不在物料档案里"))</f>
        <v/>
      </c>
      <c r="I2625" s="24">
        <f>IF($D2625="","",IFERROR(VLOOKUP($D2625,物料档案!$A$4:$P$1203,6,0),"※编码不在物料档案里"))</f>
        <v/>
      </c>
      <c r="J2625" s="23" t="n"/>
      <c r="K2625" s="17" t="n"/>
      <c r="L2625" s="17" t="n"/>
      <c r="M2625" s="17" t="n"/>
      <c r="N2625" s="17" t="n"/>
      <c r="O2625" s="26">
        <f>IF($D2625="","",IFERROR(VLOOKUP($D2625,物料档案!$A$4:$P$1203,10,0),0))</f>
        <v/>
      </c>
      <c r="P2625" s="32" t="n"/>
      <c r="Q2625" s="26">
        <f>IF($D2625="","",IF($K2625&lt;&gt;"对外销售",0,ROUND(N($J2625)*IF($P2625="",N($O2625),N($P2625)),0)))</f>
        <v/>
      </c>
      <c r="R2625" s="26">
        <f>IF($D2625="","",IFERROR(VLOOKUP($D2625,库存台账!$A$5:$Y$1204,11,0),0))</f>
        <v/>
      </c>
      <c r="S2625" s="26">
        <f>IF($D2625="","",ROUND(N($J2625)*N($R2625),0))</f>
        <v/>
      </c>
      <c r="T2625" s="26">
        <f>IF($D2625="","",IF($K2625&lt;&gt;"对外销售","",ROUND($Q2625-$S2625,0)))</f>
        <v/>
      </c>
      <c r="U2625" s="17" t="n"/>
      <c r="V2625" s="17" t="n"/>
      <c r="W2625" s="24">
        <f>IF($D2625="","",IF($E2625="※编码不在物料档案里","※物料编码不在档案里",IF(N($J2625)&lt;=0,"※出库数量要大于 0",IF($K2625="","※没填去向类型",IF($L2625="","※没填去向矿区",IF(AND($C2625&lt;&gt;"",$C2625&lt;=结账锁),"※日期早于已结账截止日，不能再录",IF(AND($K2625="自用消耗",COUNTIF({"一矿区";"二矿区"},$L2625)=0),"※自用消耗的去向只能是一矿区或二矿区",IF(AND($K2625="对外销售",COUNTIF({"三矿区";"六矿区"},$L2625)=0),"※对外销售的去向只能是三矿区或六矿区",IF(AND($K2625="对外销售",ROUND($Q2625,0)=0),"※外销却没有售价，请填实际售价",IF(AND($K2625="对外销售",$T2625&lt;&gt;"",$T2625&lt;0),"※这一笔外销是亏的，请核对售价",IF(IFERROR(VLOOKUP($D2625,库存台账!$A$5:$Y$1204,24,0),0)&lt;-0.001,"※这个物料账面已经变成负数了，查一下是不是漏记入库","")))))))))))</f>
        <v/>
      </c>
    </row>
    <row r="2626">
      <c r="A2626" s="24">
        <f>IF($D2626="","",COUNTA($D$4:$D2626))</f>
        <v/>
      </c>
      <c r="B2626" s="17" t="n"/>
      <c r="C2626" s="30" t="n"/>
      <c r="D2626" s="17" t="n"/>
      <c r="E2626" s="24">
        <f>IF($D2626="","",IFERROR(VLOOKUP($D2626,物料档案!$A$4:$P$1203,3,0),"※编码不在物料档案里"))</f>
        <v/>
      </c>
      <c r="F2626" s="24">
        <f>IF($D2626="","",IFERROR(VLOOKUP($D2626,物料档案!$A$4:$P$1203,4,0),"※编码不在物料档案里"))</f>
        <v/>
      </c>
      <c r="G2626" s="24">
        <f>IF($D2626="","",IFERROR(VLOOKUP($D2626,物料档案!$A$4:$P$1203,5,0),"※编码不在物料档案里"))</f>
        <v/>
      </c>
      <c r="H2626" s="24">
        <f>IF($D2626="","",IFERROR(VLOOKUP($D2626,物料档案!$A$4:$P$1203,2,0),"※编码不在物料档案里"))</f>
        <v/>
      </c>
      <c r="I2626" s="24">
        <f>IF($D2626="","",IFERROR(VLOOKUP($D2626,物料档案!$A$4:$P$1203,6,0),"※编码不在物料档案里"))</f>
        <v/>
      </c>
      <c r="J2626" s="23" t="n"/>
      <c r="K2626" s="17" t="n"/>
      <c r="L2626" s="17" t="n"/>
      <c r="M2626" s="17" t="n"/>
      <c r="N2626" s="17" t="n"/>
      <c r="O2626" s="26">
        <f>IF($D2626="","",IFERROR(VLOOKUP($D2626,物料档案!$A$4:$P$1203,10,0),0))</f>
        <v/>
      </c>
      <c r="P2626" s="32" t="n"/>
      <c r="Q2626" s="26">
        <f>IF($D2626="","",IF($K2626&lt;&gt;"对外销售",0,ROUND(N($J2626)*IF($P2626="",N($O2626),N($P2626)),0)))</f>
        <v/>
      </c>
      <c r="R2626" s="26">
        <f>IF($D2626="","",IFERROR(VLOOKUP($D2626,库存台账!$A$5:$Y$1204,11,0),0))</f>
        <v/>
      </c>
      <c r="S2626" s="26">
        <f>IF($D2626="","",ROUND(N($J2626)*N($R2626),0))</f>
        <v/>
      </c>
      <c r="T2626" s="26">
        <f>IF($D2626="","",IF($K2626&lt;&gt;"对外销售","",ROUND($Q2626-$S2626,0)))</f>
        <v/>
      </c>
      <c r="U2626" s="17" t="n"/>
      <c r="V2626" s="17" t="n"/>
      <c r="W2626" s="24">
        <f>IF($D2626="","",IF($E2626="※编码不在物料档案里","※物料编码不在档案里",IF(N($J2626)&lt;=0,"※出库数量要大于 0",IF($K2626="","※没填去向类型",IF($L2626="","※没填去向矿区",IF(AND($C2626&lt;&gt;"",$C2626&lt;=结账锁),"※日期早于已结账截止日，不能再录",IF(AND($K2626="自用消耗",COUNTIF({"一矿区";"二矿区"},$L2626)=0),"※自用消耗的去向只能是一矿区或二矿区",IF(AND($K2626="对外销售",COUNTIF({"三矿区";"六矿区"},$L2626)=0),"※对外销售的去向只能是三矿区或六矿区",IF(AND($K2626="对外销售",ROUND($Q2626,0)=0),"※外销却没有售价，请填实际售价",IF(AND($K2626="对外销售",$T2626&lt;&gt;"",$T2626&lt;0),"※这一笔外销是亏的，请核对售价",IF(IFERROR(VLOOKUP($D2626,库存台账!$A$5:$Y$1204,24,0),0)&lt;-0.001,"※这个物料账面已经变成负数了，查一下是不是漏记入库","")))))))))))</f>
        <v/>
      </c>
    </row>
    <row r="2627">
      <c r="A2627" s="24">
        <f>IF($D2627="","",COUNTA($D$4:$D2627))</f>
        <v/>
      </c>
      <c r="B2627" s="17" t="n"/>
      <c r="C2627" s="30" t="n"/>
      <c r="D2627" s="17" t="n"/>
      <c r="E2627" s="24">
        <f>IF($D2627="","",IFERROR(VLOOKUP($D2627,物料档案!$A$4:$P$1203,3,0),"※编码不在物料档案里"))</f>
        <v/>
      </c>
      <c r="F2627" s="24">
        <f>IF($D2627="","",IFERROR(VLOOKUP($D2627,物料档案!$A$4:$P$1203,4,0),"※编码不在物料档案里"))</f>
        <v/>
      </c>
      <c r="G2627" s="24">
        <f>IF($D2627="","",IFERROR(VLOOKUP($D2627,物料档案!$A$4:$P$1203,5,0),"※编码不在物料档案里"))</f>
        <v/>
      </c>
      <c r="H2627" s="24">
        <f>IF($D2627="","",IFERROR(VLOOKUP($D2627,物料档案!$A$4:$P$1203,2,0),"※编码不在物料档案里"))</f>
        <v/>
      </c>
      <c r="I2627" s="24">
        <f>IF($D2627="","",IFERROR(VLOOKUP($D2627,物料档案!$A$4:$P$1203,6,0),"※编码不在物料档案里"))</f>
        <v/>
      </c>
      <c r="J2627" s="23" t="n"/>
      <c r="K2627" s="17" t="n"/>
      <c r="L2627" s="17" t="n"/>
      <c r="M2627" s="17" t="n"/>
      <c r="N2627" s="17" t="n"/>
      <c r="O2627" s="26">
        <f>IF($D2627="","",IFERROR(VLOOKUP($D2627,物料档案!$A$4:$P$1203,10,0),0))</f>
        <v/>
      </c>
      <c r="P2627" s="32" t="n"/>
      <c r="Q2627" s="26">
        <f>IF($D2627="","",IF($K2627&lt;&gt;"对外销售",0,ROUND(N($J2627)*IF($P2627="",N($O2627),N($P2627)),0)))</f>
        <v/>
      </c>
      <c r="R2627" s="26">
        <f>IF($D2627="","",IFERROR(VLOOKUP($D2627,库存台账!$A$5:$Y$1204,11,0),0))</f>
        <v/>
      </c>
      <c r="S2627" s="26">
        <f>IF($D2627="","",ROUND(N($J2627)*N($R2627),0))</f>
        <v/>
      </c>
      <c r="T2627" s="26">
        <f>IF($D2627="","",IF($K2627&lt;&gt;"对外销售","",ROUND($Q2627-$S2627,0)))</f>
        <v/>
      </c>
      <c r="U2627" s="17" t="n"/>
      <c r="V2627" s="17" t="n"/>
      <c r="W2627" s="24">
        <f>IF($D2627="","",IF($E2627="※编码不在物料档案里","※物料编码不在档案里",IF(N($J2627)&lt;=0,"※出库数量要大于 0",IF($K2627="","※没填去向类型",IF($L2627="","※没填去向矿区",IF(AND($C2627&lt;&gt;"",$C2627&lt;=结账锁),"※日期早于已结账截止日，不能再录",IF(AND($K2627="自用消耗",COUNTIF({"一矿区";"二矿区"},$L2627)=0),"※自用消耗的去向只能是一矿区或二矿区",IF(AND($K2627="对外销售",COUNTIF({"三矿区";"六矿区"},$L2627)=0),"※对外销售的去向只能是三矿区或六矿区",IF(AND($K2627="对外销售",ROUND($Q2627,0)=0),"※外销却没有售价，请填实际售价",IF(AND($K2627="对外销售",$T2627&lt;&gt;"",$T2627&lt;0),"※这一笔外销是亏的，请核对售价",IF(IFERROR(VLOOKUP($D2627,库存台账!$A$5:$Y$1204,24,0),0)&lt;-0.001,"※这个物料账面已经变成负数了，查一下是不是漏记入库","")))))))))))</f>
        <v/>
      </c>
    </row>
    <row r="2628">
      <c r="A2628" s="24">
        <f>IF($D2628="","",COUNTA($D$4:$D2628))</f>
        <v/>
      </c>
      <c r="B2628" s="17" t="n"/>
      <c r="C2628" s="30" t="n"/>
      <c r="D2628" s="17" t="n"/>
      <c r="E2628" s="24">
        <f>IF($D2628="","",IFERROR(VLOOKUP($D2628,物料档案!$A$4:$P$1203,3,0),"※编码不在物料档案里"))</f>
        <v/>
      </c>
      <c r="F2628" s="24">
        <f>IF($D2628="","",IFERROR(VLOOKUP($D2628,物料档案!$A$4:$P$1203,4,0),"※编码不在物料档案里"))</f>
        <v/>
      </c>
      <c r="G2628" s="24">
        <f>IF($D2628="","",IFERROR(VLOOKUP($D2628,物料档案!$A$4:$P$1203,5,0),"※编码不在物料档案里"))</f>
        <v/>
      </c>
      <c r="H2628" s="24">
        <f>IF($D2628="","",IFERROR(VLOOKUP($D2628,物料档案!$A$4:$P$1203,2,0),"※编码不在物料档案里"))</f>
        <v/>
      </c>
      <c r="I2628" s="24">
        <f>IF($D2628="","",IFERROR(VLOOKUP($D2628,物料档案!$A$4:$P$1203,6,0),"※编码不在物料档案里"))</f>
        <v/>
      </c>
      <c r="J2628" s="23" t="n"/>
      <c r="K2628" s="17" t="n"/>
      <c r="L2628" s="17" t="n"/>
      <c r="M2628" s="17" t="n"/>
      <c r="N2628" s="17" t="n"/>
      <c r="O2628" s="26">
        <f>IF($D2628="","",IFERROR(VLOOKUP($D2628,物料档案!$A$4:$P$1203,10,0),0))</f>
        <v/>
      </c>
      <c r="P2628" s="32" t="n"/>
      <c r="Q2628" s="26">
        <f>IF($D2628="","",IF($K2628&lt;&gt;"对外销售",0,ROUND(N($J2628)*IF($P2628="",N($O2628),N($P2628)),0)))</f>
        <v/>
      </c>
      <c r="R2628" s="26">
        <f>IF($D2628="","",IFERROR(VLOOKUP($D2628,库存台账!$A$5:$Y$1204,11,0),0))</f>
        <v/>
      </c>
      <c r="S2628" s="26">
        <f>IF($D2628="","",ROUND(N($J2628)*N($R2628),0))</f>
        <v/>
      </c>
      <c r="T2628" s="26">
        <f>IF($D2628="","",IF($K2628&lt;&gt;"对外销售","",ROUND($Q2628-$S2628,0)))</f>
        <v/>
      </c>
      <c r="U2628" s="17" t="n"/>
      <c r="V2628" s="17" t="n"/>
      <c r="W2628" s="24">
        <f>IF($D2628="","",IF($E2628="※编码不在物料档案里","※物料编码不在档案里",IF(N($J2628)&lt;=0,"※出库数量要大于 0",IF($K2628="","※没填去向类型",IF($L2628="","※没填去向矿区",IF(AND($C2628&lt;&gt;"",$C2628&lt;=结账锁),"※日期早于已结账截止日，不能再录",IF(AND($K2628="自用消耗",COUNTIF({"一矿区";"二矿区"},$L2628)=0),"※自用消耗的去向只能是一矿区或二矿区",IF(AND($K2628="对外销售",COUNTIF({"三矿区";"六矿区"},$L2628)=0),"※对外销售的去向只能是三矿区或六矿区",IF(AND($K2628="对外销售",ROUND($Q2628,0)=0),"※外销却没有售价，请填实际售价",IF(AND($K2628="对外销售",$T2628&lt;&gt;"",$T2628&lt;0),"※这一笔外销是亏的，请核对售价",IF(IFERROR(VLOOKUP($D2628,库存台账!$A$5:$Y$1204,24,0),0)&lt;-0.001,"※这个物料账面已经变成负数了，查一下是不是漏记入库","")))))))))))</f>
        <v/>
      </c>
    </row>
    <row r="2629">
      <c r="A2629" s="24">
        <f>IF($D2629="","",COUNTA($D$4:$D2629))</f>
        <v/>
      </c>
      <c r="B2629" s="17" t="n"/>
      <c r="C2629" s="30" t="n"/>
      <c r="D2629" s="17" t="n"/>
      <c r="E2629" s="24">
        <f>IF($D2629="","",IFERROR(VLOOKUP($D2629,物料档案!$A$4:$P$1203,3,0),"※编码不在物料档案里"))</f>
        <v/>
      </c>
      <c r="F2629" s="24">
        <f>IF($D2629="","",IFERROR(VLOOKUP($D2629,物料档案!$A$4:$P$1203,4,0),"※编码不在物料档案里"))</f>
        <v/>
      </c>
      <c r="G2629" s="24">
        <f>IF($D2629="","",IFERROR(VLOOKUP($D2629,物料档案!$A$4:$P$1203,5,0),"※编码不在物料档案里"))</f>
        <v/>
      </c>
      <c r="H2629" s="24">
        <f>IF($D2629="","",IFERROR(VLOOKUP($D2629,物料档案!$A$4:$P$1203,2,0),"※编码不在物料档案里"))</f>
        <v/>
      </c>
      <c r="I2629" s="24">
        <f>IF($D2629="","",IFERROR(VLOOKUP($D2629,物料档案!$A$4:$P$1203,6,0),"※编码不在物料档案里"))</f>
        <v/>
      </c>
      <c r="J2629" s="23" t="n"/>
      <c r="K2629" s="17" t="n"/>
      <c r="L2629" s="17" t="n"/>
      <c r="M2629" s="17" t="n"/>
      <c r="N2629" s="17" t="n"/>
      <c r="O2629" s="26">
        <f>IF($D2629="","",IFERROR(VLOOKUP($D2629,物料档案!$A$4:$P$1203,10,0),0))</f>
        <v/>
      </c>
      <c r="P2629" s="32" t="n"/>
      <c r="Q2629" s="26">
        <f>IF($D2629="","",IF($K2629&lt;&gt;"对外销售",0,ROUND(N($J2629)*IF($P2629="",N($O2629),N($P2629)),0)))</f>
        <v/>
      </c>
      <c r="R2629" s="26">
        <f>IF($D2629="","",IFERROR(VLOOKUP($D2629,库存台账!$A$5:$Y$1204,11,0),0))</f>
        <v/>
      </c>
      <c r="S2629" s="26">
        <f>IF($D2629="","",ROUND(N($J2629)*N($R2629),0))</f>
        <v/>
      </c>
      <c r="T2629" s="26">
        <f>IF($D2629="","",IF($K2629&lt;&gt;"对外销售","",ROUND($Q2629-$S2629,0)))</f>
        <v/>
      </c>
      <c r="U2629" s="17" t="n"/>
      <c r="V2629" s="17" t="n"/>
      <c r="W2629" s="24">
        <f>IF($D2629="","",IF($E2629="※编码不在物料档案里","※物料编码不在档案里",IF(N($J2629)&lt;=0,"※出库数量要大于 0",IF($K2629="","※没填去向类型",IF($L2629="","※没填去向矿区",IF(AND($C2629&lt;&gt;"",$C2629&lt;=结账锁),"※日期早于已结账截止日，不能再录",IF(AND($K2629="自用消耗",COUNTIF({"一矿区";"二矿区"},$L2629)=0),"※自用消耗的去向只能是一矿区或二矿区",IF(AND($K2629="对外销售",COUNTIF({"三矿区";"六矿区"},$L2629)=0),"※对外销售的去向只能是三矿区或六矿区",IF(AND($K2629="对外销售",ROUND($Q2629,0)=0),"※外销却没有售价，请填实际售价",IF(AND($K2629="对外销售",$T2629&lt;&gt;"",$T2629&lt;0),"※这一笔外销是亏的，请核对售价",IF(IFERROR(VLOOKUP($D2629,库存台账!$A$5:$Y$1204,24,0),0)&lt;-0.001,"※这个物料账面已经变成负数了，查一下是不是漏记入库","")))))))))))</f>
        <v/>
      </c>
    </row>
    <row r="2630">
      <c r="A2630" s="24">
        <f>IF($D2630="","",COUNTA($D$4:$D2630))</f>
        <v/>
      </c>
      <c r="B2630" s="17" t="n"/>
      <c r="C2630" s="30" t="n"/>
      <c r="D2630" s="17" t="n"/>
      <c r="E2630" s="24">
        <f>IF($D2630="","",IFERROR(VLOOKUP($D2630,物料档案!$A$4:$P$1203,3,0),"※编码不在物料档案里"))</f>
        <v/>
      </c>
      <c r="F2630" s="24">
        <f>IF($D2630="","",IFERROR(VLOOKUP($D2630,物料档案!$A$4:$P$1203,4,0),"※编码不在物料档案里"))</f>
        <v/>
      </c>
      <c r="G2630" s="24">
        <f>IF($D2630="","",IFERROR(VLOOKUP($D2630,物料档案!$A$4:$P$1203,5,0),"※编码不在物料档案里"))</f>
        <v/>
      </c>
      <c r="H2630" s="24">
        <f>IF($D2630="","",IFERROR(VLOOKUP($D2630,物料档案!$A$4:$P$1203,2,0),"※编码不在物料档案里"))</f>
        <v/>
      </c>
      <c r="I2630" s="24">
        <f>IF($D2630="","",IFERROR(VLOOKUP($D2630,物料档案!$A$4:$P$1203,6,0),"※编码不在物料档案里"))</f>
        <v/>
      </c>
      <c r="J2630" s="23" t="n"/>
      <c r="K2630" s="17" t="n"/>
      <c r="L2630" s="17" t="n"/>
      <c r="M2630" s="17" t="n"/>
      <c r="N2630" s="17" t="n"/>
      <c r="O2630" s="26">
        <f>IF($D2630="","",IFERROR(VLOOKUP($D2630,物料档案!$A$4:$P$1203,10,0),0))</f>
        <v/>
      </c>
      <c r="P2630" s="32" t="n"/>
      <c r="Q2630" s="26">
        <f>IF($D2630="","",IF($K2630&lt;&gt;"对外销售",0,ROUND(N($J2630)*IF($P2630="",N($O2630),N($P2630)),0)))</f>
        <v/>
      </c>
      <c r="R2630" s="26">
        <f>IF($D2630="","",IFERROR(VLOOKUP($D2630,库存台账!$A$5:$Y$1204,11,0),0))</f>
        <v/>
      </c>
      <c r="S2630" s="26">
        <f>IF($D2630="","",ROUND(N($J2630)*N($R2630),0))</f>
        <v/>
      </c>
      <c r="T2630" s="26">
        <f>IF($D2630="","",IF($K2630&lt;&gt;"对外销售","",ROUND($Q2630-$S2630,0)))</f>
        <v/>
      </c>
      <c r="U2630" s="17" t="n"/>
      <c r="V2630" s="17" t="n"/>
      <c r="W2630" s="24">
        <f>IF($D2630="","",IF($E2630="※编码不在物料档案里","※物料编码不在档案里",IF(N($J2630)&lt;=0,"※出库数量要大于 0",IF($K2630="","※没填去向类型",IF($L2630="","※没填去向矿区",IF(AND($C2630&lt;&gt;"",$C2630&lt;=结账锁),"※日期早于已结账截止日，不能再录",IF(AND($K2630="自用消耗",COUNTIF({"一矿区";"二矿区"},$L2630)=0),"※自用消耗的去向只能是一矿区或二矿区",IF(AND($K2630="对外销售",COUNTIF({"三矿区";"六矿区"},$L2630)=0),"※对外销售的去向只能是三矿区或六矿区",IF(AND($K2630="对外销售",ROUND($Q2630,0)=0),"※外销却没有售价，请填实际售价",IF(AND($K2630="对外销售",$T2630&lt;&gt;"",$T2630&lt;0),"※这一笔外销是亏的，请核对售价",IF(IFERROR(VLOOKUP($D2630,库存台账!$A$5:$Y$1204,24,0),0)&lt;-0.001,"※这个物料账面已经变成负数了，查一下是不是漏记入库","")))))))))))</f>
        <v/>
      </c>
    </row>
    <row r="2631">
      <c r="A2631" s="24">
        <f>IF($D2631="","",COUNTA($D$4:$D2631))</f>
        <v/>
      </c>
      <c r="B2631" s="17" t="n"/>
      <c r="C2631" s="30" t="n"/>
      <c r="D2631" s="17" t="n"/>
      <c r="E2631" s="24">
        <f>IF($D2631="","",IFERROR(VLOOKUP($D2631,物料档案!$A$4:$P$1203,3,0),"※编码不在物料档案里"))</f>
        <v/>
      </c>
      <c r="F2631" s="24">
        <f>IF($D2631="","",IFERROR(VLOOKUP($D2631,物料档案!$A$4:$P$1203,4,0),"※编码不在物料档案里"))</f>
        <v/>
      </c>
      <c r="G2631" s="24">
        <f>IF($D2631="","",IFERROR(VLOOKUP($D2631,物料档案!$A$4:$P$1203,5,0),"※编码不在物料档案里"))</f>
        <v/>
      </c>
      <c r="H2631" s="24">
        <f>IF($D2631="","",IFERROR(VLOOKUP($D2631,物料档案!$A$4:$P$1203,2,0),"※编码不在物料档案里"))</f>
        <v/>
      </c>
      <c r="I2631" s="24">
        <f>IF($D2631="","",IFERROR(VLOOKUP($D2631,物料档案!$A$4:$P$1203,6,0),"※编码不在物料档案里"))</f>
        <v/>
      </c>
      <c r="J2631" s="23" t="n"/>
      <c r="K2631" s="17" t="n"/>
      <c r="L2631" s="17" t="n"/>
      <c r="M2631" s="17" t="n"/>
      <c r="N2631" s="17" t="n"/>
      <c r="O2631" s="26">
        <f>IF($D2631="","",IFERROR(VLOOKUP($D2631,物料档案!$A$4:$P$1203,10,0),0))</f>
        <v/>
      </c>
      <c r="P2631" s="32" t="n"/>
      <c r="Q2631" s="26">
        <f>IF($D2631="","",IF($K2631&lt;&gt;"对外销售",0,ROUND(N($J2631)*IF($P2631="",N($O2631),N($P2631)),0)))</f>
        <v/>
      </c>
      <c r="R2631" s="26">
        <f>IF($D2631="","",IFERROR(VLOOKUP($D2631,库存台账!$A$5:$Y$1204,11,0),0))</f>
        <v/>
      </c>
      <c r="S2631" s="26">
        <f>IF($D2631="","",ROUND(N($J2631)*N($R2631),0))</f>
        <v/>
      </c>
      <c r="T2631" s="26">
        <f>IF($D2631="","",IF($K2631&lt;&gt;"对外销售","",ROUND($Q2631-$S2631,0)))</f>
        <v/>
      </c>
      <c r="U2631" s="17" t="n"/>
      <c r="V2631" s="17" t="n"/>
      <c r="W2631" s="24">
        <f>IF($D2631="","",IF($E2631="※编码不在物料档案里","※物料编码不在档案里",IF(N($J2631)&lt;=0,"※出库数量要大于 0",IF($K2631="","※没填去向类型",IF($L2631="","※没填去向矿区",IF(AND($C2631&lt;&gt;"",$C2631&lt;=结账锁),"※日期早于已结账截止日，不能再录",IF(AND($K2631="自用消耗",COUNTIF({"一矿区";"二矿区"},$L2631)=0),"※自用消耗的去向只能是一矿区或二矿区",IF(AND($K2631="对外销售",COUNTIF({"三矿区";"六矿区"},$L2631)=0),"※对外销售的去向只能是三矿区或六矿区",IF(AND($K2631="对外销售",ROUND($Q2631,0)=0),"※外销却没有售价，请填实际售价",IF(AND($K2631="对外销售",$T2631&lt;&gt;"",$T2631&lt;0),"※这一笔外销是亏的，请核对售价",IF(IFERROR(VLOOKUP($D2631,库存台账!$A$5:$Y$1204,24,0),0)&lt;-0.001,"※这个物料账面已经变成负数了，查一下是不是漏记入库","")))))))))))</f>
        <v/>
      </c>
    </row>
    <row r="2632">
      <c r="A2632" s="24">
        <f>IF($D2632="","",COUNTA($D$4:$D2632))</f>
        <v/>
      </c>
      <c r="B2632" s="17" t="n"/>
      <c r="C2632" s="30" t="n"/>
      <c r="D2632" s="17" t="n"/>
      <c r="E2632" s="24">
        <f>IF($D2632="","",IFERROR(VLOOKUP($D2632,物料档案!$A$4:$P$1203,3,0),"※编码不在物料档案里"))</f>
        <v/>
      </c>
      <c r="F2632" s="24">
        <f>IF($D2632="","",IFERROR(VLOOKUP($D2632,物料档案!$A$4:$P$1203,4,0),"※编码不在物料档案里"))</f>
        <v/>
      </c>
      <c r="G2632" s="24">
        <f>IF($D2632="","",IFERROR(VLOOKUP($D2632,物料档案!$A$4:$P$1203,5,0),"※编码不在物料档案里"))</f>
        <v/>
      </c>
      <c r="H2632" s="24">
        <f>IF($D2632="","",IFERROR(VLOOKUP($D2632,物料档案!$A$4:$P$1203,2,0),"※编码不在物料档案里"))</f>
        <v/>
      </c>
      <c r="I2632" s="24">
        <f>IF($D2632="","",IFERROR(VLOOKUP($D2632,物料档案!$A$4:$P$1203,6,0),"※编码不在物料档案里"))</f>
        <v/>
      </c>
      <c r="J2632" s="23" t="n"/>
      <c r="K2632" s="17" t="n"/>
      <c r="L2632" s="17" t="n"/>
      <c r="M2632" s="17" t="n"/>
      <c r="N2632" s="17" t="n"/>
      <c r="O2632" s="26">
        <f>IF($D2632="","",IFERROR(VLOOKUP($D2632,物料档案!$A$4:$P$1203,10,0),0))</f>
        <v/>
      </c>
      <c r="P2632" s="32" t="n"/>
      <c r="Q2632" s="26">
        <f>IF($D2632="","",IF($K2632&lt;&gt;"对外销售",0,ROUND(N($J2632)*IF($P2632="",N($O2632),N($P2632)),0)))</f>
        <v/>
      </c>
      <c r="R2632" s="26">
        <f>IF($D2632="","",IFERROR(VLOOKUP($D2632,库存台账!$A$5:$Y$1204,11,0),0))</f>
        <v/>
      </c>
      <c r="S2632" s="26">
        <f>IF($D2632="","",ROUND(N($J2632)*N($R2632),0))</f>
        <v/>
      </c>
      <c r="T2632" s="26">
        <f>IF($D2632="","",IF($K2632&lt;&gt;"对外销售","",ROUND($Q2632-$S2632,0)))</f>
        <v/>
      </c>
      <c r="U2632" s="17" t="n"/>
      <c r="V2632" s="17" t="n"/>
      <c r="W2632" s="24">
        <f>IF($D2632="","",IF($E2632="※编码不在物料档案里","※物料编码不在档案里",IF(N($J2632)&lt;=0,"※出库数量要大于 0",IF($K2632="","※没填去向类型",IF($L2632="","※没填去向矿区",IF(AND($C2632&lt;&gt;"",$C2632&lt;=结账锁),"※日期早于已结账截止日，不能再录",IF(AND($K2632="自用消耗",COUNTIF({"一矿区";"二矿区"},$L2632)=0),"※自用消耗的去向只能是一矿区或二矿区",IF(AND($K2632="对外销售",COUNTIF({"三矿区";"六矿区"},$L2632)=0),"※对外销售的去向只能是三矿区或六矿区",IF(AND($K2632="对外销售",ROUND($Q2632,0)=0),"※外销却没有售价，请填实际售价",IF(AND($K2632="对外销售",$T2632&lt;&gt;"",$T2632&lt;0),"※这一笔外销是亏的，请核对售价",IF(IFERROR(VLOOKUP($D2632,库存台账!$A$5:$Y$1204,24,0),0)&lt;-0.001,"※这个物料账面已经变成负数了，查一下是不是漏记入库","")))))))))))</f>
        <v/>
      </c>
    </row>
    <row r="2633">
      <c r="A2633" s="24">
        <f>IF($D2633="","",COUNTA($D$4:$D2633))</f>
        <v/>
      </c>
      <c r="B2633" s="17" t="n"/>
      <c r="C2633" s="30" t="n"/>
      <c r="D2633" s="17" t="n"/>
      <c r="E2633" s="24">
        <f>IF($D2633="","",IFERROR(VLOOKUP($D2633,物料档案!$A$4:$P$1203,3,0),"※编码不在物料档案里"))</f>
        <v/>
      </c>
      <c r="F2633" s="24">
        <f>IF($D2633="","",IFERROR(VLOOKUP($D2633,物料档案!$A$4:$P$1203,4,0),"※编码不在物料档案里"))</f>
        <v/>
      </c>
      <c r="G2633" s="24">
        <f>IF($D2633="","",IFERROR(VLOOKUP($D2633,物料档案!$A$4:$P$1203,5,0),"※编码不在物料档案里"))</f>
        <v/>
      </c>
      <c r="H2633" s="24">
        <f>IF($D2633="","",IFERROR(VLOOKUP($D2633,物料档案!$A$4:$P$1203,2,0),"※编码不在物料档案里"))</f>
        <v/>
      </c>
      <c r="I2633" s="24">
        <f>IF($D2633="","",IFERROR(VLOOKUP($D2633,物料档案!$A$4:$P$1203,6,0),"※编码不在物料档案里"))</f>
        <v/>
      </c>
      <c r="J2633" s="23" t="n"/>
      <c r="K2633" s="17" t="n"/>
      <c r="L2633" s="17" t="n"/>
      <c r="M2633" s="17" t="n"/>
      <c r="N2633" s="17" t="n"/>
      <c r="O2633" s="26">
        <f>IF($D2633="","",IFERROR(VLOOKUP($D2633,物料档案!$A$4:$P$1203,10,0),0))</f>
        <v/>
      </c>
      <c r="P2633" s="32" t="n"/>
      <c r="Q2633" s="26">
        <f>IF($D2633="","",IF($K2633&lt;&gt;"对外销售",0,ROUND(N($J2633)*IF($P2633="",N($O2633),N($P2633)),0)))</f>
        <v/>
      </c>
      <c r="R2633" s="26">
        <f>IF($D2633="","",IFERROR(VLOOKUP($D2633,库存台账!$A$5:$Y$1204,11,0),0))</f>
        <v/>
      </c>
      <c r="S2633" s="26">
        <f>IF($D2633="","",ROUND(N($J2633)*N($R2633),0))</f>
        <v/>
      </c>
      <c r="T2633" s="26">
        <f>IF($D2633="","",IF($K2633&lt;&gt;"对外销售","",ROUND($Q2633-$S2633,0)))</f>
        <v/>
      </c>
      <c r="U2633" s="17" t="n"/>
      <c r="V2633" s="17" t="n"/>
      <c r="W2633" s="24">
        <f>IF($D2633="","",IF($E2633="※编码不在物料档案里","※物料编码不在档案里",IF(N($J2633)&lt;=0,"※出库数量要大于 0",IF($K2633="","※没填去向类型",IF($L2633="","※没填去向矿区",IF(AND($C2633&lt;&gt;"",$C2633&lt;=结账锁),"※日期早于已结账截止日，不能再录",IF(AND($K2633="自用消耗",COUNTIF({"一矿区";"二矿区"},$L2633)=0),"※自用消耗的去向只能是一矿区或二矿区",IF(AND($K2633="对外销售",COUNTIF({"三矿区";"六矿区"},$L2633)=0),"※对外销售的去向只能是三矿区或六矿区",IF(AND($K2633="对外销售",ROUND($Q2633,0)=0),"※外销却没有售价，请填实际售价",IF(AND($K2633="对外销售",$T2633&lt;&gt;"",$T2633&lt;0),"※这一笔外销是亏的，请核对售价",IF(IFERROR(VLOOKUP($D2633,库存台账!$A$5:$Y$1204,24,0),0)&lt;-0.001,"※这个物料账面已经变成负数了，查一下是不是漏记入库","")))))))))))</f>
        <v/>
      </c>
    </row>
    <row r="2634">
      <c r="A2634" s="24">
        <f>IF($D2634="","",COUNTA($D$4:$D2634))</f>
        <v/>
      </c>
      <c r="B2634" s="17" t="n"/>
      <c r="C2634" s="30" t="n"/>
      <c r="D2634" s="17" t="n"/>
      <c r="E2634" s="24">
        <f>IF($D2634="","",IFERROR(VLOOKUP($D2634,物料档案!$A$4:$P$1203,3,0),"※编码不在物料档案里"))</f>
        <v/>
      </c>
      <c r="F2634" s="24">
        <f>IF($D2634="","",IFERROR(VLOOKUP($D2634,物料档案!$A$4:$P$1203,4,0),"※编码不在物料档案里"))</f>
        <v/>
      </c>
      <c r="G2634" s="24">
        <f>IF($D2634="","",IFERROR(VLOOKUP($D2634,物料档案!$A$4:$P$1203,5,0),"※编码不在物料档案里"))</f>
        <v/>
      </c>
      <c r="H2634" s="24">
        <f>IF($D2634="","",IFERROR(VLOOKUP($D2634,物料档案!$A$4:$P$1203,2,0),"※编码不在物料档案里"))</f>
        <v/>
      </c>
      <c r="I2634" s="24">
        <f>IF($D2634="","",IFERROR(VLOOKUP($D2634,物料档案!$A$4:$P$1203,6,0),"※编码不在物料档案里"))</f>
        <v/>
      </c>
      <c r="J2634" s="23" t="n"/>
      <c r="K2634" s="17" t="n"/>
      <c r="L2634" s="17" t="n"/>
      <c r="M2634" s="17" t="n"/>
      <c r="N2634" s="17" t="n"/>
      <c r="O2634" s="26">
        <f>IF($D2634="","",IFERROR(VLOOKUP($D2634,物料档案!$A$4:$P$1203,10,0),0))</f>
        <v/>
      </c>
      <c r="P2634" s="32" t="n"/>
      <c r="Q2634" s="26">
        <f>IF($D2634="","",IF($K2634&lt;&gt;"对外销售",0,ROUND(N($J2634)*IF($P2634="",N($O2634),N($P2634)),0)))</f>
        <v/>
      </c>
      <c r="R2634" s="26">
        <f>IF($D2634="","",IFERROR(VLOOKUP($D2634,库存台账!$A$5:$Y$1204,11,0),0))</f>
        <v/>
      </c>
      <c r="S2634" s="26">
        <f>IF($D2634="","",ROUND(N($J2634)*N($R2634),0))</f>
        <v/>
      </c>
      <c r="T2634" s="26">
        <f>IF($D2634="","",IF($K2634&lt;&gt;"对外销售","",ROUND($Q2634-$S2634,0)))</f>
        <v/>
      </c>
      <c r="U2634" s="17" t="n"/>
      <c r="V2634" s="17" t="n"/>
      <c r="W2634" s="24">
        <f>IF($D2634="","",IF($E2634="※编码不在物料档案里","※物料编码不在档案里",IF(N($J2634)&lt;=0,"※出库数量要大于 0",IF($K2634="","※没填去向类型",IF($L2634="","※没填去向矿区",IF(AND($C2634&lt;&gt;"",$C2634&lt;=结账锁),"※日期早于已结账截止日，不能再录",IF(AND($K2634="自用消耗",COUNTIF({"一矿区";"二矿区"},$L2634)=0),"※自用消耗的去向只能是一矿区或二矿区",IF(AND($K2634="对外销售",COUNTIF({"三矿区";"六矿区"},$L2634)=0),"※对外销售的去向只能是三矿区或六矿区",IF(AND($K2634="对外销售",ROUND($Q2634,0)=0),"※外销却没有售价，请填实际售价",IF(AND($K2634="对外销售",$T2634&lt;&gt;"",$T2634&lt;0),"※这一笔外销是亏的，请核对售价",IF(IFERROR(VLOOKUP($D2634,库存台账!$A$5:$Y$1204,24,0),0)&lt;-0.001,"※这个物料账面已经变成负数了，查一下是不是漏记入库","")))))))))))</f>
        <v/>
      </c>
    </row>
    <row r="2635">
      <c r="A2635" s="24">
        <f>IF($D2635="","",COUNTA($D$4:$D2635))</f>
        <v/>
      </c>
      <c r="B2635" s="17" t="n"/>
      <c r="C2635" s="30" t="n"/>
      <c r="D2635" s="17" t="n"/>
      <c r="E2635" s="24">
        <f>IF($D2635="","",IFERROR(VLOOKUP($D2635,物料档案!$A$4:$P$1203,3,0),"※编码不在物料档案里"))</f>
        <v/>
      </c>
      <c r="F2635" s="24">
        <f>IF($D2635="","",IFERROR(VLOOKUP($D2635,物料档案!$A$4:$P$1203,4,0),"※编码不在物料档案里"))</f>
        <v/>
      </c>
      <c r="G2635" s="24">
        <f>IF($D2635="","",IFERROR(VLOOKUP($D2635,物料档案!$A$4:$P$1203,5,0),"※编码不在物料档案里"))</f>
        <v/>
      </c>
      <c r="H2635" s="24">
        <f>IF($D2635="","",IFERROR(VLOOKUP($D2635,物料档案!$A$4:$P$1203,2,0),"※编码不在物料档案里"))</f>
        <v/>
      </c>
      <c r="I2635" s="24">
        <f>IF($D2635="","",IFERROR(VLOOKUP($D2635,物料档案!$A$4:$P$1203,6,0),"※编码不在物料档案里"))</f>
        <v/>
      </c>
      <c r="J2635" s="23" t="n"/>
      <c r="K2635" s="17" t="n"/>
      <c r="L2635" s="17" t="n"/>
      <c r="M2635" s="17" t="n"/>
      <c r="N2635" s="17" t="n"/>
      <c r="O2635" s="26">
        <f>IF($D2635="","",IFERROR(VLOOKUP($D2635,物料档案!$A$4:$P$1203,10,0),0))</f>
        <v/>
      </c>
      <c r="P2635" s="32" t="n"/>
      <c r="Q2635" s="26">
        <f>IF($D2635="","",IF($K2635&lt;&gt;"对外销售",0,ROUND(N($J2635)*IF($P2635="",N($O2635),N($P2635)),0)))</f>
        <v/>
      </c>
      <c r="R2635" s="26">
        <f>IF($D2635="","",IFERROR(VLOOKUP($D2635,库存台账!$A$5:$Y$1204,11,0),0))</f>
        <v/>
      </c>
      <c r="S2635" s="26">
        <f>IF($D2635="","",ROUND(N($J2635)*N($R2635),0))</f>
        <v/>
      </c>
      <c r="T2635" s="26">
        <f>IF($D2635="","",IF($K2635&lt;&gt;"对外销售","",ROUND($Q2635-$S2635,0)))</f>
        <v/>
      </c>
      <c r="U2635" s="17" t="n"/>
      <c r="V2635" s="17" t="n"/>
      <c r="W2635" s="24">
        <f>IF($D2635="","",IF($E2635="※编码不在物料档案里","※物料编码不在档案里",IF(N($J2635)&lt;=0,"※出库数量要大于 0",IF($K2635="","※没填去向类型",IF($L2635="","※没填去向矿区",IF(AND($C2635&lt;&gt;"",$C2635&lt;=结账锁),"※日期早于已结账截止日，不能再录",IF(AND($K2635="自用消耗",COUNTIF({"一矿区";"二矿区"},$L2635)=0),"※自用消耗的去向只能是一矿区或二矿区",IF(AND($K2635="对外销售",COUNTIF({"三矿区";"六矿区"},$L2635)=0),"※对外销售的去向只能是三矿区或六矿区",IF(AND($K2635="对外销售",ROUND($Q2635,0)=0),"※外销却没有售价，请填实际售价",IF(AND($K2635="对外销售",$T2635&lt;&gt;"",$T2635&lt;0),"※这一笔外销是亏的，请核对售价",IF(IFERROR(VLOOKUP($D2635,库存台账!$A$5:$Y$1204,24,0),0)&lt;-0.001,"※这个物料账面已经变成负数了，查一下是不是漏记入库","")))))))))))</f>
        <v/>
      </c>
    </row>
    <row r="2636">
      <c r="A2636" s="24">
        <f>IF($D2636="","",COUNTA($D$4:$D2636))</f>
        <v/>
      </c>
      <c r="B2636" s="17" t="n"/>
      <c r="C2636" s="30" t="n"/>
      <c r="D2636" s="17" t="n"/>
      <c r="E2636" s="24">
        <f>IF($D2636="","",IFERROR(VLOOKUP($D2636,物料档案!$A$4:$P$1203,3,0),"※编码不在物料档案里"))</f>
        <v/>
      </c>
      <c r="F2636" s="24">
        <f>IF($D2636="","",IFERROR(VLOOKUP($D2636,物料档案!$A$4:$P$1203,4,0),"※编码不在物料档案里"))</f>
        <v/>
      </c>
      <c r="G2636" s="24">
        <f>IF($D2636="","",IFERROR(VLOOKUP($D2636,物料档案!$A$4:$P$1203,5,0),"※编码不在物料档案里"))</f>
        <v/>
      </c>
      <c r="H2636" s="24">
        <f>IF($D2636="","",IFERROR(VLOOKUP($D2636,物料档案!$A$4:$P$1203,2,0),"※编码不在物料档案里"))</f>
        <v/>
      </c>
      <c r="I2636" s="24">
        <f>IF($D2636="","",IFERROR(VLOOKUP($D2636,物料档案!$A$4:$P$1203,6,0),"※编码不在物料档案里"))</f>
        <v/>
      </c>
      <c r="J2636" s="23" t="n"/>
      <c r="K2636" s="17" t="n"/>
      <c r="L2636" s="17" t="n"/>
      <c r="M2636" s="17" t="n"/>
      <c r="N2636" s="17" t="n"/>
      <c r="O2636" s="26">
        <f>IF($D2636="","",IFERROR(VLOOKUP($D2636,物料档案!$A$4:$P$1203,10,0),0))</f>
        <v/>
      </c>
      <c r="P2636" s="32" t="n"/>
      <c r="Q2636" s="26">
        <f>IF($D2636="","",IF($K2636&lt;&gt;"对外销售",0,ROUND(N($J2636)*IF($P2636="",N($O2636),N($P2636)),0)))</f>
        <v/>
      </c>
      <c r="R2636" s="26">
        <f>IF($D2636="","",IFERROR(VLOOKUP($D2636,库存台账!$A$5:$Y$1204,11,0),0))</f>
        <v/>
      </c>
      <c r="S2636" s="26">
        <f>IF($D2636="","",ROUND(N($J2636)*N($R2636),0))</f>
        <v/>
      </c>
      <c r="T2636" s="26">
        <f>IF($D2636="","",IF($K2636&lt;&gt;"对外销售","",ROUND($Q2636-$S2636,0)))</f>
        <v/>
      </c>
      <c r="U2636" s="17" t="n"/>
      <c r="V2636" s="17" t="n"/>
      <c r="W2636" s="24">
        <f>IF($D2636="","",IF($E2636="※编码不在物料档案里","※物料编码不在档案里",IF(N($J2636)&lt;=0,"※出库数量要大于 0",IF($K2636="","※没填去向类型",IF($L2636="","※没填去向矿区",IF(AND($C2636&lt;&gt;"",$C2636&lt;=结账锁),"※日期早于已结账截止日，不能再录",IF(AND($K2636="自用消耗",COUNTIF({"一矿区";"二矿区"},$L2636)=0),"※自用消耗的去向只能是一矿区或二矿区",IF(AND($K2636="对外销售",COUNTIF({"三矿区";"六矿区"},$L2636)=0),"※对外销售的去向只能是三矿区或六矿区",IF(AND($K2636="对外销售",ROUND($Q2636,0)=0),"※外销却没有售价，请填实际售价",IF(AND($K2636="对外销售",$T2636&lt;&gt;"",$T2636&lt;0),"※这一笔外销是亏的，请核对售价",IF(IFERROR(VLOOKUP($D2636,库存台账!$A$5:$Y$1204,24,0),0)&lt;-0.001,"※这个物料账面已经变成负数了，查一下是不是漏记入库","")))))))))))</f>
        <v/>
      </c>
    </row>
    <row r="2637">
      <c r="A2637" s="24">
        <f>IF($D2637="","",COUNTA($D$4:$D2637))</f>
        <v/>
      </c>
      <c r="B2637" s="17" t="n"/>
      <c r="C2637" s="30" t="n"/>
      <c r="D2637" s="17" t="n"/>
      <c r="E2637" s="24">
        <f>IF($D2637="","",IFERROR(VLOOKUP($D2637,物料档案!$A$4:$P$1203,3,0),"※编码不在物料档案里"))</f>
        <v/>
      </c>
      <c r="F2637" s="24">
        <f>IF($D2637="","",IFERROR(VLOOKUP($D2637,物料档案!$A$4:$P$1203,4,0),"※编码不在物料档案里"))</f>
        <v/>
      </c>
      <c r="G2637" s="24">
        <f>IF($D2637="","",IFERROR(VLOOKUP($D2637,物料档案!$A$4:$P$1203,5,0),"※编码不在物料档案里"))</f>
        <v/>
      </c>
      <c r="H2637" s="24">
        <f>IF($D2637="","",IFERROR(VLOOKUP($D2637,物料档案!$A$4:$P$1203,2,0),"※编码不在物料档案里"))</f>
        <v/>
      </c>
      <c r="I2637" s="24">
        <f>IF($D2637="","",IFERROR(VLOOKUP($D2637,物料档案!$A$4:$P$1203,6,0),"※编码不在物料档案里"))</f>
        <v/>
      </c>
      <c r="J2637" s="23" t="n"/>
      <c r="K2637" s="17" t="n"/>
      <c r="L2637" s="17" t="n"/>
      <c r="M2637" s="17" t="n"/>
      <c r="N2637" s="17" t="n"/>
      <c r="O2637" s="26">
        <f>IF($D2637="","",IFERROR(VLOOKUP($D2637,物料档案!$A$4:$P$1203,10,0),0))</f>
        <v/>
      </c>
      <c r="P2637" s="32" t="n"/>
      <c r="Q2637" s="26">
        <f>IF($D2637="","",IF($K2637&lt;&gt;"对外销售",0,ROUND(N($J2637)*IF($P2637="",N($O2637),N($P2637)),0)))</f>
        <v/>
      </c>
      <c r="R2637" s="26">
        <f>IF($D2637="","",IFERROR(VLOOKUP($D2637,库存台账!$A$5:$Y$1204,11,0),0))</f>
        <v/>
      </c>
      <c r="S2637" s="26">
        <f>IF($D2637="","",ROUND(N($J2637)*N($R2637),0))</f>
        <v/>
      </c>
      <c r="T2637" s="26">
        <f>IF($D2637="","",IF($K2637&lt;&gt;"对外销售","",ROUND($Q2637-$S2637,0)))</f>
        <v/>
      </c>
      <c r="U2637" s="17" t="n"/>
      <c r="V2637" s="17" t="n"/>
      <c r="W2637" s="24">
        <f>IF($D2637="","",IF($E2637="※编码不在物料档案里","※物料编码不在档案里",IF(N($J2637)&lt;=0,"※出库数量要大于 0",IF($K2637="","※没填去向类型",IF($L2637="","※没填去向矿区",IF(AND($C2637&lt;&gt;"",$C2637&lt;=结账锁),"※日期早于已结账截止日，不能再录",IF(AND($K2637="自用消耗",COUNTIF({"一矿区";"二矿区"},$L2637)=0),"※自用消耗的去向只能是一矿区或二矿区",IF(AND($K2637="对外销售",COUNTIF({"三矿区";"六矿区"},$L2637)=0),"※对外销售的去向只能是三矿区或六矿区",IF(AND($K2637="对外销售",ROUND($Q2637,0)=0),"※外销却没有售价，请填实际售价",IF(AND($K2637="对外销售",$T2637&lt;&gt;"",$T2637&lt;0),"※这一笔外销是亏的，请核对售价",IF(IFERROR(VLOOKUP($D2637,库存台账!$A$5:$Y$1204,24,0),0)&lt;-0.001,"※这个物料账面已经变成负数了，查一下是不是漏记入库","")))))))))))</f>
        <v/>
      </c>
    </row>
    <row r="2638">
      <c r="A2638" s="24">
        <f>IF($D2638="","",COUNTA($D$4:$D2638))</f>
        <v/>
      </c>
      <c r="B2638" s="17" t="n"/>
      <c r="C2638" s="30" t="n"/>
      <c r="D2638" s="17" t="n"/>
      <c r="E2638" s="24">
        <f>IF($D2638="","",IFERROR(VLOOKUP($D2638,物料档案!$A$4:$P$1203,3,0),"※编码不在物料档案里"))</f>
        <v/>
      </c>
      <c r="F2638" s="24">
        <f>IF($D2638="","",IFERROR(VLOOKUP($D2638,物料档案!$A$4:$P$1203,4,0),"※编码不在物料档案里"))</f>
        <v/>
      </c>
      <c r="G2638" s="24">
        <f>IF($D2638="","",IFERROR(VLOOKUP($D2638,物料档案!$A$4:$P$1203,5,0),"※编码不在物料档案里"))</f>
        <v/>
      </c>
      <c r="H2638" s="24">
        <f>IF($D2638="","",IFERROR(VLOOKUP($D2638,物料档案!$A$4:$P$1203,2,0),"※编码不在物料档案里"))</f>
        <v/>
      </c>
      <c r="I2638" s="24">
        <f>IF($D2638="","",IFERROR(VLOOKUP($D2638,物料档案!$A$4:$P$1203,6,0),"※编码不在物料档案里"))</f>
        <v/>
      </c>
      <c r="J2638" s="23" t="n"/>
      <c r="K2638" s="17" t="n"/>
      <c r="L2638" s="17" t="n"/>
      <c r="M2638" s="17" t="n"/>
      <c r="N2638" s="17" t="n"/>
      <c r="O2638" s="26">
        <f>IF($D2638="","",IFERROR(VLOOKUP($D2638,物料档案!$A$4:$P$1203,10,0),0))</f>
        <v/>
      </c>
      <c r="P2638" s="32" t="n"/>
      <c r="Q2638" s="26">
        <f>IF($D2638="","",IF($K2638&lt;&gt;"对外销售",0,ROUND(N($J2638)*IF($P2638="",N($O2638),N($P2638)),0)))</f>
        <v/>
      </c>
      <c r="R2638" s="26">
        <f>IF($D2638="","",IFERROR(VLOOKUP($D2638,库存台账!$A$5:$Y$1204,11,0),0))</f>
        <v/>
      </c>
      <c r="S2638" s="26">
        <f>IF($D2638="","",ROUND(N($J2638)*N($R2638),0))</f>
        <v/>
      </c>
      <c r="T2638" s="26">
        <f>IF($D2638="","",IF($K2638&lt;&gt;"对外销售","",ROUND($Q2638-$S2638,0)))</f>
        <v/>
      </c>
      <c r="U2638" s="17" t="n"/>
      <c r="V2638" s="17" t="n"/>
      <c r="W2638" s="24">
        <f>IF($D2638="","",IF($E2638="※编码不在物料档案里","※物料编码不在档案里",IF(N($J2638)&lt;=0,"※出库数量要大于 0",IF($K2638="","※没填去向类型",IF($L2638="","※没填去向矿区",IF(AND($C2638&lt;&gt;"",$C2638&lt;=结账锁),"※日期早于已结账截止日，不能再录",IF(AND($K2638="自用消耗",COUNTIF({"一矿区";"二矿区"},$L2638)=0),"※自用消耗的去向只能是一矿区或二矿区",IF(AND($K2638="对外销售",COUNTIF({"三矿区";"六矿区"},$L2638)=0),"※对外销售的去向只能是三矿区或六矿区",IF(AND($K2638="对外销售",ROUND($Q2638,0)=0),"※外销却没有售价，请填实际售价",IF(AND($K2638="对外销售",$T2638&lt;&gt;"",$T2638&lt;0),"※这一笔外销是亏的，请核对售价",IF(IFERROR(VLOOKUP($D2638,库存台账!$A$5:$Y$1204,24,0),0)&lt;-0.001,"※这个物料账面已经变成负数了，查一下是不是漏记入库","")))))))))))</f>
        <v/>
      </c>
    </row>
    <row r="2639">
      <c r="A2639" s="24">
        <f>IF($D2639="","",COUNTA($D$4:$D2639))</f>
        <v/>
      </c>
      <c r="B2639" s="17" t="n"/>
      <c r="C2639" s="30" t="n"/>
      <c r="D2639" s="17" t="n"/>
      <c r="E2639" s="24">
        <f>IF($D2639="","",IFERROR(VLOOKUP($D2639,物料档案!$A$4:$P$1203,3,0),"※编码不在物料档案里"))</f>
        <v/>
      </c>
      <c r="F2639" s="24">
        <f>IF($D2639="","",IFERROR(VLOOKUP($D2639,物料档案!$A$4:$P$1203,4,0),"※编码不在物料档案里"))</f>
        <v/>
      </c>
      <c r="G2639" s="24">
        <f>IF($D2639="","",IFERROR(VLOOKUP($D2639,物料档案!$A$4:$P$1203,5,0),"※编码不在物料档案里"))</f>
        <v/>
      </c>
      <c r="H2639" s="24">
        <f>IF($D2639="","",IFERROR(VLOOKUP($D2639,物料档案!$A$4:$P$1203,2,0),"※编码不在物料档案里"))</f>
        <v/>
      </c>
      <c r="I2639" s="24">
        <f>IF($D2639="","",IFERROR(VLOOKUP($D2639,物料档案!$A$4:$P$1203,6,0),"※编码不在物料档案里"))</f>
        <v/>
      </c>
      <c r="J2639" s="23" t="n"/>
      <c r="K2639" s="17" t="n"/>
      <c r="L2639" s="17" t="n"/>
      <c r="M2639" s="17" t="n"/>
      <c r="N2639" s="17" t="n"/>
      <c r="O2639" s="26">
        <f>IF($D2639="","",IFERROR(VLOOKUP($D2639,物料档案!$A$4:$P$1203,10,0),0))</f>
        <v/>
      </c>
      <c r="P2639" s="32" t="n"/>
      <c r="Q2639" s="26">
        <f>IF($D2639="","",IF($K2639&lt;&gt;"对外销售",0,ROUND(N($J2639)*IF($P2639="",N($O2639),N($P2639)),0)))</f>
        <v/>
      </c>
      <c r="R2639" s="26">
        <f>IF($D2639="","",IFERROR(VLOOKUP($D2639,库存台账!$A$5:$Y$1204,11,0),0))</f>
        <v/>
      </c>
      <c r="S2639" s="26">
        <f>IF($D2639="","",ROUND(N($J2639)*N($R2639),0))</f>
        <v/>
      </c>
      <c r="T2639" s="26">
        <f>IF($D2639="","",IF($K2639&lt;&gt;"对外销售","",ROUND($Q2639-$S2639,0)))</f>
        <v/>
      </c>
      <c r="U2639" s="17" t="n"/>
      <c r="V2639" s="17" t="n"/>
      <c r="W2639" s="24">
        <f>IF($D2639="","",IF($E2639="※编码不在物料档案里","※物料编码不在档案里",IF(N($J2639)&lt;=0,"※出库数量要大于 0",IF($K2639="","※没填去向类型",IF($L2639="","※没填去向矿区",IF(AND($C2639&lt;&gt;"",$C2639&lt;=结账锁),"※日期早于已结账截止日，不能再录",IF(AND($K2639="自用消耗",COUNTIF({"一矿区";"二矿区"},$L2639)=0),"※自用消耗的去向只能是一矿区或二矿区",IF(AND($K2639="对外销售",COUNTIF({"三矿区";"六矿区"},$L2639)=0),"※对外销售的去向只能是三矿区或六矿区",IF(AND($K2639="对外销售",ROUND($Q2639,0)=0),"※外销却没有售价，请填实际售价",IF(AND($K2639="对外销售",$T2639&lt;&gt;"",$T2639&lt;0),"※这一笔外销是亏的，请核对售价",IF(IFERROR(VLOOKUP($D2639,库存台账!$A$5:$Y$1204,24,0),0)&lt;-0.001,"※这个物料账面已经变成负数了，查一下是不是漏记入库","")))))))))))</f>
        <v/>
      </c>
    </row>
    <row r="2640">
      <c r="A2640" s="24">
        <f>IF($D2640="","",COUNTA($D$4:$D2640))</f>
        <v/>
      </c>
      <c r="B2640" s="17" t="n"/>
      <c r="C2640" s="30" t="n"/>
      <c r="D2640" s="17" t="n"/>
      <c r="E2640" s="24">
        <f>IF($D2640="","",IFERROR(VLOOKUP($D2640,物料档案!$A$4:$P$1203,3,0),"※编码不在物料档案里"))</f>
        <v/>
      </c>
      <c r="F2640" s="24">
        <f>IF($D2640="","",IFERROR(VLOOKUP($D2640,物料档案!$A$4:$P$1203,4,0),"※编码不在物料档案里"))</f>
        <v/>
      </c>
      <c r="G2640" s="24">
        <f>IF($D2640="","",IFERROR(VLOOKUP($D2640,物料档案!$A$4:$P$1203,5,0),"※编码不在物料档案里"))</f>
        <v/>
      </c>
      <c r="H2640" s="24">
        <f>IF($D2640="","",IFERROR(VLOOKUP($D2640,物料档案!$A$4:$P$1203,2,0),"※编码不在物料档案里"))</f>
        <v/>
      </c>
      <c r="I2640" s="24">
        <f>IF($D2640="","",IFERROR(VLOOKUP($D2640,物料档案!$A$4:$P$1203,6,0),"※编码不在物料档案里"))</f>
        <v/>
      </c>
      <c r="J2640" s="23" t="n"/>
      <c r="K2640" s="17" t="n"/>
      <c r="L2640" s="17" t="n"/>
      <c r="M2640" s="17" t="n"/>
      <c r="N2640" s="17" t="n"/>
      <c r="O2640" s="26">
        <f>IF($D2640="","",IFERROR(VLOOKUP($D2640,物料档案!$A$4:$P$1203,10,0),0))</f>
        <v/>
      </c>
      <c r="P2640" s="32" t="n"/>
      <c r="Q2640" s="26">
        <f>IF($D2640="","",IF($K2640&lt;&gt;"对外销售",0,ROUND(N($J2640)*IF($P2640="",N($O2640),N($P2640)),0)))</f>
        <v/>
      </c>
      <c r="R2640" s="26">
        <f>IF($D2640="","",IFERROR(VLOOKUP($D2640,库存台账!$A$5:$Y$1204,11,0),0))</f>
        <v/>
      </c>
      <c r="S2640" s="26">
        <f>IF($D2640="","",ROUND(N($J2640)*N($R2640),0))</f>
        <v/>
      </c>
      <c r="T2640" s="26">
        <f>IF($D2640="","",IF($K2640&lt;&gt;"对外销售","",ROUND($Q2640-$S2640,0)))</f>
        <v/>
      </c>
      <c r="U2640" s="17" t="n"/>
      <c r="V2640" s="17" t="n"/>
      <c r="W2640" s="24">
        <f>IF($D2640="","",IF($E2640="※编码不在物料档案里","※物料编码不在档案里",IF(N($J2640)&lt;=0,"※出库数量要大于 0",IF($K2640="","※没填去向类型",IF($L2640="","※没填去向矿区",IF(AND($C2640&lt;&gt;"",$C2640&lt;=结账锁),"※日期早于已结账截止日，不能再录",IF(AND($K2640="自用消耗",COUNTIF({"一矿区";"二矿区"},$L2640)=0),"※自用消耗的去向只能是一矿区或二矿区",IF(AND($K2640="对外销售",COUNTIF({"三矿区";"六矿区"},$L2640)=0),"※对外销售的去向只能是三矿区或六矿区",IF(AND($K2640="对外销售",ROUND($Q2640,0)=0),"※外销却没有售价，请填实际售价",IF(AND($K2640="对外销售",$T2640&lt;&gt;"",$T2640&lt;0),"※这一笔外销是亏的，请核对售价",IF(IFERROR(VLOOKUP($D2640,库存台账!$A$5:$Y$1204,24,0),0)&lt;-0.001,"※这个物料账面已经变成负数了，查一下是不是漏记入库","")))))))))))</f>
        <v/>
      </c>
    </row>
    <row r="2641">
      <c r="A2641" s="24">
        <f>IF($D2641="","",COUNTA($D$4:$D2641))</f>
        <v/>
      </c>
      <c r="B2641" s="17" t="n"/>
      <c r="C2641" s="30" t="n"/>
      <c r="D2641" s="17" t="n"/>
      <c r="E2641" s="24">
        <f>IF($D2641="","",IFERROR(VLOOKUP($D2641,物料档案!$A$4:$P$1203,3,0),"※编码不在物料档案里"))</f>
        <v/>
      </c>
      <c r="F2641" s="24">
        <f>IF($D2641="","",IFERROR(VLOOKUP($D2641,物料档案!$A$4:$P$1203,4,0),"※编码不在物料档案里"))</f>
        <v/>
      </c>
      <c r="G2641" s="24">
        <f>IF($D2641="","",IFERROR(VLOOKUP($D2641,物料档案!$A$4:$P$1203,5,0),"※编码不在物料档案里"))</f>
        <v/>
      </c>
      <c r="H2641" s="24">
        <f>IF($D2641="","",IFERROR(VLOOKUP($D2641,物料档案!$A$4:$P$1203,2,0),"※编码不在物料档案里"))</f>
        <v/>
      </c>
      <c r="I2641" s="24">
        <f>IF($D2641="","",IFERROR(VLOOKUP($D2641,物料档案!$A$4:$P$1203,6,0),"※编码不在物料档案里"))</f>
        <v/>
      </c>
      <c r="J2641" s="23" t="n"/>
      <c r="K2641" s="17" t="n"/>
      <c r="L2641" s="17" t="n"/>
      <c r="M2641" s="17" t="n"/>
      <c r="N2641" s="17" t="n"/>
      <c r="O2641" s="26">
        <f>IF($D2641="","",IFERROR(VLOOKUP($D2641,物料档案!$A$4:$P$1203,10,0),0))</f>
        <v/>
      </c>
      <c r="P2641" s="32" t="n"/>
      <c r="Q2641" s="26">
        <f>IF($D2641="","",IF($K2641&lt;&gt;"对外销售",0,ROUND(N($J2641)*IF($P2641="",N($O2641),N($P2641)),0)))</f>
        <v/>
      </c>
      <c r="R2641" s="26">
        <f>IF($D2641="","",IFERROR(VLOOKUP($D2641,库存台账!$A$5:$Y$1204,11,0),0))</f>
        <v/>
      </c>
      <c r="S2641" s="26">
        <f>IF($D2641="","",ROUND(N($J2641)*N($R2641),0))</f>
        <v/>
      </c>
      <c r="T2641" s="26">
        <f>IF($D2641="","",IF($K2641&lt;&gt;"对外销售","",ROUND($Q2641-$S2641,0)))</f>
        <v/>
      </c>
      <c r="U2641" s="17" t="n"/>
      <c r="V2641" s="17" t="n"/>
      <c r="W2641" s="24">
        <f>IF($D2641="","",IF($E2641="※编码不在物料档案里","※物料编码不在档案里",IF(N($J2641)&lt;=0,"※出库数量要大于 0",IF($K2641="","※没填去向类型",IF($L2641="","※没填去向矿区",IF(AND($C2641&lt;&gt;"",$C2641&lt;=结账锁),"※日期早于已结账截止日，不能再录",IF(AND($K2641="自用消耗",COUNTIF({"一矿区";"二矿区"},$L2641)=0),"※自用消耗的去向只能是一矿区或二矿区",IF(AND($K2641="对外销售",COUNTIF({"三矿区";"六矿区"},$L2641)=0),"※对外销售的去向只能是三矿区或六矿区",IF(AND($K2641="对外销售",ROUND($Q2641,0)=0),"※外销却没有售价，请填实际售价",IF(AND($K2641="对外销售",$T2641&lt;&gt;"",$T2641&lt;0),"※这一笔外销是亏的，请核对售价",IF(IFERROR(VLOOKUP($D2641,库存台账!$A$5:$Y$1204,24,0),0)&lt;-0.001,"※这个物料账面已经变成负数了，查一下是不是漏记入库","")))))))))))</f>
        <v/>
      </c>
    </row>
    <row r="2642">
      <c r="A2642" s="24">
        <f>IF($D2642="","",COUNTA($D$4:$D2642))</f>
        <v/>
      </c>
      <c r="B2642" s="17" t="n"/>
      <c r="C2642" s="30" t="n"/>
      <c r="D2642" s="17" t="n"/>
      <c r="E2642" s="24">
        <f>IF($D2642="","",IFERROR(VLOOKUP($D2642,物料档案!$A$4:$P$1203,3,0),"※编码不在物料档案里"))</f>
        <v/>
      </c>
      <c r="F2642" s="24">
        <f>IF($D2642="","",IFERROR(VLOOKUP($D2642,物料档案!$A$4:$P$1203,4,0),"※编码不在物料档案里"))</f>
        <v/>
      </c>
      <c r="G2642" s="24">
        <f>IF($D2642="","",IFERROR(VLOOKUP($D2642,物料档案!$A$4:$P$1203,5,0),"※编码不在物料档案里"))</f>
        <v/>
      </c>
      <c r="H2642" s="24">
        <f>IF($D2642="","",IFERROR(VLOOKUP($D2642,物料档案!$A$4:$P$1203,2,0),"※编码不在物料档案里"))</f>
        <v/>
      </c>
      <c r="I2642" s="24">
        <f>IF($D2642="","",IFERROR(VLOOKUP($D2642,物料档案!$A$4:$P$1203,6,0),"※编码不在物料档案里"))</f>
        <v/>
      </c>
      <c r="J2642" s="23" t="n"/>
      <c r="K2642" s="17" t="n"/>
      <c r="L2642" s="17" t="n"/>
      <c r="M2642" s="17" t="n"/>
      <c r="N2642" s="17" t="n"/>
      <c r="O2642" s="26">
        <f>IF($D2642="","",IFERROR(VLOOKUP($D2642,物料档案!$A$4:$P$1203,10,0),0))</f>
        <v/>
      </c>
      <c r="P2642" s="32" t="n"/>
      <c r="Q2642" s="26">
        <f>IF($D2642="","",IF($K2642&lt;&gt;"对外销售",0,ROUND(N($J2642)*IF($P2642="",N($O2642),N($P2642)),0)))</f>
        <v/>
      </c>
      <c r="R2642" s="26">
        <f>IF($D2642="","",IFERROR(VLOOKUP($D2642,库存台账!$A$5:$Y$1204,11,0),0))</f>
        <v/>
      </c>
      <c r="S2642" s="26">
        <f>IF($D2642="","",ROUND(N($J2642)*N($R2642),0))</f>
        <v/>
      </c>
      <c r="T2642" s="26">
        <f>IF($D2642="","",IF($K2642&lt;&gt;"对外销售","",ROUND($Q2642-$S2642,0)))</f>
        <v/>
      </c>
      <c r="U2642" s="17" t="n"/>
      <c r="V2642" s="17" t="n"/>
      <c r="W2642" s="24">
        <f>IF($D2642="","",IF($E2642="※编码不在物料档案里","※物料编码不在档案里",IF(N($J2642)&lt;=0,"※出库数量要大于 0",IF($K2642="","※没填去向类型",IF($L2642="","※没填去向矿区",IF(AND($C2642&lt;&gt;"",$C2642&lt;=结账锁),"※日期早于已结账截止日，不能再录",IF(AND($K2642="自用消耗",COUNTIF({"一矿区";"二矿区"},$L2642)=0),"※自用消耗的去向只能是一矿区或二矿区",IF(AND($K2642="对外销售",COUNTIF({"三矿区";"六矿区"},$L2642)=0),"※对外销售的去向只能是三矿区或六矿区",IF(AND($K2642="对外销售",ROUND($Q2642,0)=0),"※外销却没有售价，请填实际售价",IF(AND($K2642="对外销售",$T2642&lt;&gt;"",$T2642&lt;0),"※这一笔外销是亏的，请核对售价",IF(IFERROR(VLOOKUP($D2642,库存台账!$A$5:$Y$1204,24,0),0)&lt;-0.001,"※这个物料账面已经变成负数了，查一下是不是漏记入库","")))))))))))</f>
        <v/>
      </c>
    </row>
    <row r="2643">
      <c r="A2643" s="24">
        <f>IF($D2643="","",COUNTA($D$4:$D2643))</f>
        <v/>
      </c>
      <c r="B2643" s="17" t="n"/>
      <c r="C2643" s="30" t="n"/>
      <c r="D2643" s="17" t="n"/>
      <c r="E2643" s="24">
        <f>IF($D2643="","",IFERROR(VLOOKUP($D2643,物料档案!$A$4:$P$1203,3,0),"※编码不在物料档案里"))</f>
        <v/>
      </c>
      <c r="F2643" s="24">
        <f>IF($D2643="","",IFERROR(VLOOKUP($D2643,物料档案!$A$4:$P$1203,4,0),"※编码不在物料档案里"))</f>
        <v/>
      </c>
      <c r="G2643" s="24">
        <f>IF($D2643="","",IFERROR(VLOOKUP($D2643,物料档案!$A$4:$P$1203,5,0),"※编码不在物料档案里"))</f>
        <v/>
      </c>
      <c r="H2643" s="24">
        <f>IF($D2643="","",IFERROR(VLOOKUP($D2643,物料档案!$A$4:$P$1203,2,0),"※编码不在物料档案里"))</f>
        <v/>
      </c>
      <c r="I2643" s="24">
        <f>IF($D2643="","",IFERROR(VLOOKUP($D2643,物料档案!$A$4:$P$1203,6,0),"※编码不在物料档案里"))</f>
        <v/>
      </c>
      <c r="J2643" s="23" t="n"/>
      <c r="K2643" s="17" t="n"/>
      <c r="L2643" s="17" t="n"/>
      <c r="M2643" s="17" t="n"/>
      <c r="N2643" s="17" t="n"/>
      <c r="O2643" s="26">
        <f>IF($D2643="","",IFERROR(VLOOKUP($D2643,物料档案!$A$4:$P$1203,10,0),0))</f>
        <v/>
      </c>
      <c r="P2643" s="32" t="n"/>
      <c r="Q2643" s="26">
        <f>IF($D2643="","",IF($K2643&lt;&gt;"对外销售",0,ROUND(N($J2643)*IF($P2643="",N($O2643),N($P2643)),0)))</f>
        <v/>
      </c>
      <c r="R2643" s="26">
        <f>IF($D2643="","",IFERROR(VLOOKUP($D2643,库存台账!$A$5:$Y$1204,11,0),0))</f>
        <v/>
      </c>
      <c r="S2643" s="26">
        <f>IF($D2643="","",ROUND(N($J2643)*N($R2643),0))</f>
        <v/>
      </c>
      <c r="T2643" s="26">
        <f>IF($D2643="","",IF($K2643&lt;&gt;"对外销售","",ROUND($Q2643-$S2643,0)))</f>
        <v/>
      </c>
      <c r="U2643" s="17" t="n"/>
      <c r="V2643" s="17" t="n"/>
      <c r="W2643" s="24">
        <f>IF($D2643="","",IF($E2643="※编码不在物料档案里","※物料编码不在档案里",IF(N($J2643)&lt;=0,"※出库数量要大于 0",IF($K2643="","※没填去向类型",IF($L2643="","※没填去向矿区",IF(AND($C2643&lt;&gt;"",$C2643&lt;=结账锁),"※日期早于已结账截止日，不能再录",IF(AND($K2643="自用消耗",COUNTIF({"一矿区";"二矿区"},$L2643)=0),"※自用消耗的去向只能是一矿区或二矿区",IF(AND($K2643="对外销售",COUNTIF({"三矿区";"六矿区"},$L2643)=0),"※对外销售的去向只能是三矿区或六矿区",IF(AND($K2643="对外销售",ROUND($Q2643,0)=0),"※外销却没有售价，请填实际售价",IF(AND($K2643="对外销售",$T2643&lt;&gt;"",$T2643&lt;0),"※这一笔外销是亏的，请核对售价",IF(IFERROR(VLOOKUP($D2643,库存台账!$A$5:$Y$1204,24,0),0)&lt;-0.001,"※这个物料账面已经变成负数了，查一下是不是漏记入库","")))))))))))</f>
        <v/>
      </c>
    </row>
    <row r="2644">
      <c r="A2644" s="24">
        <f>IF($D2644="","",COUNTA($D$4:$D2644))</f>
        <v/>
      </c>
      <c r="B2644" s="17" t="n"/>
      <c r="C2644" s="30" t="n"/>
      <c r="D2644" s="17" t="n"/>
      <c r="E2644" s="24">
        <f>IF($D2644="","",IFERROR(VLOOKUP($D2644,物料档案!$A$4:$P$1203,3,0),"※编码不在物料档案里"))</f>
        <v/>
      </c>
      <c r="F2644" s="24">
        <f>IF($D2644="","",IFERROR(VLOOKUP($D2644,物料档案!$A$4:$P$1203,4,0),"※编码不在物料档案里"))</f>
        <v/>
      </c>
      <c r="G2644" s="24">
        <f>IF($D2644="","",IFERROR(VLOOKUP($D2644,物料档案!$A$4:$P$1203,5,0),"※编码不在物料档案里"))</f>
        <v/>
      </c>
      <c r="H2644" s="24">
        <f>IF($D2644="","",IFERROR(VLOOKUP($D2644,物料档案!$A$4:$P$1203,2,0),"※编码不在物料档案里"))</f>
        <v/>
      </c>
      <c r="I2644" s="24">
        <f>IF($D2644="","",IFERROR(VLOOKUP($D2644,物料档案!$A$4:$P$1203,6,0),"※编码不在物料档案里"))</f>
        <v/>
      </c>
      <c r="J2644" s="23" t="n"/>
      <c r="K2644" s="17" t="n"/>
      <c r="L2644" s="17" t="n"/>
      <c r="M2644" s="17" t="n"/>
      <c r="N2644" s="17" t="n"/>
      <c r="O2644" s="26">
        <f>IF($D2644="","",IFERROR(VLOOKUP($D2644,物料档案!$A$4:$P$1203,10,0),0))</f>
        <v/>
      </c>
      <c r="P2644" s="32" t="n"/>
      <c r="Q2644" s="26">
        <f>IF($D2644="","",IF($K2644&lt;&gt;"对外销售",0,ROUND(N($J2644)*IF($P2644="",N($O2644),N($P2644)),0)))</f>
        <v/>
      </c>
      <c r="R2644" s="26">
        <f>IF($D2644="","",IFERROR(VLOOKUP($D2644,库存台账!$A$5:$Y$1204,11,0),0))</f>
        <v/>
      </c>
      <c r="S2644" s="26">
        <f>IF($D2644="","",ROUND(N($J2644)*N($R2644),0))</f>
        <v/>
      </c>
      <c r="T2644" s="26">
        <f>IF($D2644="","",IF($K2644&lt;&gt;"对外销售","",ROUND($Q2644-$S2644,0)))</f>
        <v/>
      </c>
      <c r="U2644" s="17" t="n"/>
      <c r="V2644" s="17" t="n"/>
      <c r="W2644" s="24">
        <f>IF($D2644="","",IF($E2644="※编码不在物料档案里","※物料编码不在档案里",IF(N($J2644)&lt;=0,"※出库数量要大于 0",IF($K2644="","※没填去向类型",IF($L2644="","※没填去向矿区",IF(AND($C2644&lt;&gt;"",$C2644&lt;=结账锁),"※日期早于已结账截止日，不能再录",IF(AND($K2644="自用消耗",COUNTIF({"一矿区";"二矿区"},$L2644)=0),"※自用消耗的去向只能是一矿区或二矿区",IF(AND($K2644="对外销售",COUNTIF({"三矿区";"六矿区"},$L2644)=0),"※对外销售的去向只能是三矿区或六矿区",IF(AND($K2644="对外销售",ROUND($Q2644,0)=0),"※外销却没有售价，请填实际售价",IF(AND($K2644="对外销售",$T2644&lt;&gt;"",$T2644&lt;0),"※这一笔外销是亏的，请核对售价",IF(IFERROR(VLOOKUP($D2644,库存台账!$A$5:$Y$1204,24,0),0)&lt;-0.001,"※这个物料账面已经变成负数了，查一下是不是漏记入库","")))))))))))</f>
        <v/>
      </c>
    </row>
    <row r="2645">
      <c r="A2645" s="24">
        <f>IF($D2645="","",COUNTA($D$4:$D2645))</f>
        <v/>
      </c>
      <c r="B2645" s="17" t="n"/>
      <c r="C2645" s="30" t="n"/>
      <c r="D2645" s="17" t="n"/>
      <c r="E2645" s="24">
        <f>IF($D2645="","",IFERROR(VLOOKUP($D2645,物料档案!$A$4:$P$1203,3,0),"※编码不在物料档案里"))</f>
        <v/>
      </c>
      <c r="F2645" s="24">
        <f>IF($D2645="","",IFERROR(VLOOKUP($D2645,物料档案!$A$4:$P$1203,4,0),"※编码不在物料档案里"))</f>
        <v/>
      </c>
      <c r="G2645" s="24">
        <f>IF($D2645="","",IFERROR(VLOOKUP($D2645,物料档案!$A$4:$P$1203,5,0),"※编码不在物料档案里"))</f>
        <v/>
      </c>
      <c r="H2645" s="24">
        <f>IF($D2645="","",IFERROR(VLOOKUP($D2645,物料档案!$A$4:$P$1203,2,0),"※编码不在物料档案里"))</f>
        <v/>
      </c>
      <c r="I2645" s="24">
        <f>IF($D2645="","",IFERROR(VLOOKUP($D2645,物料档案!$A$4:$P$1203,6,0),"※编码不在物料档案里"))</f>
        <v/>
      </c>
      <c r="J2645" s="23" t="n"/>
      <c r="K2645" s="17" t="n"/>
      <c r="L2645" s="17" t="n"/>
      <c r="M2645" s="17" t="n"/>
      <c r="N2645" s="17" t="n"/>
      <c r="O2645" s="26">
        <f>IF($D2645="","",IFERROR(VLOOKUP($D2645,物料档案!$A$4:$P$1203,10,0),0))</f>
        <v/>
      </c>
      <c r="P2645" s="32" t="n"/>
      <c r="Q2645" s="26">
        <f>IF($D2645="","",IF($K2645&lt;&gt;"对外销售",0,ROUND(N($J2645)*IF($P2645="",N($O2645),N($P2645)),0)))</f>
        <v/>
      </c>
      <c r="R2645" s="26">
        <f>IF($D2645="","",IFERROR(VLOOKUP($D2645,库存台账!$A$5:$Y$1204,11,0),0))</f>
        <v/>
      </c>
      <c r="S2645" s="26">
        <f>IF($D2645="","",ROUND(N($J2645)*N($R2645),0))</f>
        <v/>
      </c>
      <c r="T2645" s="26">
        <f>IF($D2645="","",IF($K2645&lt;&gt;"对外销售","",ROUND($Q2645-$S2645,0)))</f>
        <v/>
      </c>
      <c r="U2645" s="17" t="n"/>
      <c r="V2645" s="17" t="n"/>
      <c r="W2645" s="24">
        <f>IF($D2645="","",IF($E2645="※编码不在物料档案里","※物料编码不在档案里",IF(N($J2645)&lt;=0,"※出库数量要大于 0",IF($K2645="","※没填去向类型",IF($L2645="","※没填去向矿区",IF(AND($C2645&lt;&gt;"",$C2645&lt;=结账锁),"※日期早于已结账截止日，不能再录",IF(AND($K2645="自用消耗",COUNTIF({"一矿区";"二矿区"},$L2645)=0),"※自用消耗的去向只能是一矿区或二矿区",IF(AND($K2645="对外销售",COUNTIF({"三矿区";"六矿区"},$L2645)=0),"※对外销售的去向只能是三矿区或六矿区",IF(AND($K2645="对外销售",ROUND($Q2645,0)=0),"※外销却没有售价，请填实际售价",IF(AND($K2645="对外销售",$T2645&lt;&gt;"",$T2645&lt;0),"※这一笔外销是亏的，请核对售价",IF(IFERROR(VLOOKUP($D2645,库存台账!$A$5:$Y$1204,24,0),0)&lt;-0.001,"※这个物料账面已经变成负数了，查一下是不是漏记入库","")))))))))))</f>
        <v/>
      </c>
    </row>
    <row r="2646">
      <c r="A2646" s="24">
        <f>IF($D2646="","",COUNTA($D$4:$D2646))</f>
        <v/>
      </c>
      <c r="B2646" s="17" t="n"/>
      <c r="C2646" s="30" t="n"/>
      <c r="D2646" s="17" t="n"/>
      <c r="E2646" s="24">
        <f>IF($D2646="","",IFERROR(VLOOKUP($D2646,物料档案!$A$4:$P$1203,3,0),"※编码不在物料档案里"))</f>
        <v/>
      </c>
      <c r="F2646" s="24">
        <f>IF($D2646="","",IFERROR(VLOOKUP($D2646,物料档案!$A$4:$P$1203,4,0),"※编码不在物料档案里"))</f>
        <v/>
      </c>
      <c r="G2646" s="24">
        <f>IF($D2646="","",IFERROR(VLOOKUP($D2646,物料档案!$A$4:$P$1203,5,0),"※编码不在物料档案里"))</f>
        <v/>
      </c>
      <c r="H2646" s="24">
        <f>IF($D2646="","",IFERROR(VLOOKUP($D2646,物料档案!$A$4:$P$1203,2,0),"※编码不在物料档案里"))</f>
        <v/>
      </c>
      <c r="I2646" s="24">
        <f>IF($D2646="","",IFERROR(VLOOKUP($D2646,物料档案!$A$4:$P$1203,6,0),"※编码不在物料档案里"))</f>
        <v/>
      </c>
      <c r="J2646" s="23" t="n"/>
      <c r="K2646" s="17" t="n"/>
      <c r="L2646" s="17" t="n"/>
      <c r="M2646" s="17" t="n"/>
      <c r="N2646" s="17" t="n"/>
      <c r="O2646" s="26">
        <f>IF($D2646="","",IFERROR(VLOOKUP($D2646,物料档案!$A$4:$P$1203,10,0),0))</f>
        <v/>
      </c>
      <c r="P2646" s="32" t="n"/>
      <c r="Q2646" s="26">
        <f>IF($D2646="","",IF($K2646&lt;&gt;"对外销售",0,ROUND(N($J2646)*IF($P2646="",N($O2646),N($P2646)),0)))</f>
        <v/>
      </c>
      <c r="R2646" s="26">
        <f>IF($D2646="","",IFERROR(VLOOKUP($D2646,库存台账!$A$5:$Y$1204,11,0),0))</f>
        <v/>
      </c>
      <c r="S2646" s="26">
        <f>IF($D2646="","",ROUND(N($J2646)*N($R2646),0))</f>
        <v/>
      </c>
      <c r="T2646" s="26">
        <f>IF($D2646="","",IF($K2646&lt;&gt;"对外销售","",ROUND($Q2646-$S2646,0)))</f>
        <v/>
      </c>
      <c r="U2646" s="17" t="n"/>
      <c r="V2646" s="17" t="n"/>
      <c r="W2646" s="24">
        <f>IF($D2646="","",IF($E2646="※编码不在物料档案里","※物料编码不在档案里",IF(N($J2646)&lt;=0,"※出库数量要大于 0",IF($K2646="","※没填去向类型",IF($L2646="","※没填去向矿区",IF(AND($C2646&lt;&gt;"",$C2646&lt;=结账锁),"※日期早于已结账截止日，不能再录",IF(AND($K2646="自用消耗",COUNTIF({"一矿区";"二矿区"},$L2646)=0),"※自用消耗的去向只能是一矿区或二矿区",IF(AND($K2646="对外销售",COUNTIF({"三矿区";"六矿区"},$L2646)=0),"※对外销售的去向只能是三矿区或六矿区",IF(AND($K2646="对外销售",ROUND($Q2646,0)=0),"※外销却没有售价，请填实际售价",IF(AND($K2646="对外销售",$T2646&lt;&gt;"",$T2646&lt;0),"※这一笔外销是亏的，请核对售价",IF(IFERROR(VLOOKUP($D2646,库存台账!$A$5:$Y$1204,24,0),0)&lt;-0.001,"※这个物料账面已经变成负数了，查一下是不是漏记入库","")))))))))))</f>
        <v/>
      </c>
    </row>
    <row r="2647">
      <c r="A2647" s="24">
        <f>IF($D2647="","",COUNTA($D$4:$D2647))</f>
        <v/>
      </c>
      <c r="B2647" s="17" t="n"/>
      <c r="C2647" s="30" t="n"/>
      <c r="D2647" s="17" t="n"/>
      <c r="E2647" s="24">
        <f>IF($D2647="","",IFERROR(VLOOKUP($D2647,物料档案!$A$4:$P$1203,3,0),"※编码不在物料档案里"))</f>
        <v/>
      </c>
      <c r="F2647" s="24">
        <f>IF($D2647="","",IFERROR(VLOOKUP($D2647,物料档案!$A$4:$P$1203,4,0),"※编码不在物料档案里"))</f>
        <v/>
      </c>
      <c r="G2647" s="24">
        <f>IF($D2647="","",IFERROR(VLOOKUP($D2647,物料档案!$A$4:$P$1203,5,0),"※编码不在物料档案里"))</f>
        <v/>
      </c>
      <c r="H2647" s="24">
        <f>IF($D2647="","",IFERROR(VLOOKUP($D2647,物料档案!$A$4:$P$1203,2,0),"※编码不在物料档案里"))</f>
        <v/>
      </c>
      <c r="I2647" s="24">
        <f>IF($D2647="","",IFERROR(VLOOKUP($D2647,物料档案!$A$4:$P$1203,6,0),"※编码不在物料档案里"))</f>
        <v/>
      </c>
      <c r="J2647" s="23" t="n"/>
      <c r="K2647" s="17" t="n"/>
      <c r="L2647" s="17" t="n"/>
      <c r="M2647" s="17" t="n"/>
      <c r="N2647" s="17" t="n"/>
      <c r="O2647" s="26">
        <f>IF($D2647="","",IFERROR(VLOOKUP($D2647,物料档案!$A$4:$P$1203,10,0),0))</f>
        <v/>
      </c>
      <c r="P2647" s="32" t="n"/>
      <c r="Q2647" s="26">
        <f>IF($D2647="","",IF($K2647&lt;&gt;"对外销售",0,ROUND(N($J2647)*IF($P2647="",N($O2647),N($P2647)),0)))</f>
        <v/>
      </c>
      <c r="R2647" s="26">
        <f>IF($D2647="","",IFERROR(VLOOKUP($D2647,库存台账!$A$5:$Y$1204,11,0),0))</f>
        <v/>
      </c>
      <c r="S2647" s="26">
        <f>IF($D2647="","",ROUND(N($J2647)*N($R2647),0))</f>
        <v/>
      </c>
      <c r="T2647" s="26">
        <f>IF($D2647="","",IF($K2647&lt;&gt;"对外销售","",ROUND($Q2647-$S2647,0)))</f>
        <v/>
      </c>
      <c r="U2647" s="17" t="n"/>
      <c r="V2647" s="17" t="n"/>
      <c r="W2647" s="24">
        <f>IF($D2647="","",IF($E2647="※编码不在物料档案里","※物料编码不在档案里",IF(N($J2647)&lt;=0,"※出库数量要大于 0",IF($K2647="","※没填去向类型",IF($L2647="","※没填去向矿区",IF(AND($C2647&lt;&gt;"",$C2647&lt;=结账锁),"※日期早于已结账截止日，不能再录",IF(AND($K2647="自用消耗",COUNTIF({"一矿区";"二矿区"},$L2647)=0),"※自用消耗的去向只能是一矿区或二矿区",IF(AND($K2647="对外销售",COUNTIF({"三矿区";"六矿区"},$L2647)=0),"※对外销售的去向只能是三矿区或六矿区",IF(AND($K2647="对外销售",ROUND($Q2647,0)=0),"※外销却没有售价，请填实际售价",IF(AND($K2647="对外销售",$T2647&lt;&gt;"",$T2647&lt;0),"※这一笔外销是亏的，请核对售价",IF(IFERROR(VLOOKUP($D2647,库存台账!$A$5:$Y$1204,24,0),0)&lt;-0.001,"※这个物料账面已经变成负数了，查一下是不是漏记入库","")))))))))))</f>
        <v/>
      </c>
    </row>
    <row r="2648">
      <c r="A2648" s="24">
        <f>IF($D2648="","",COUNTA($D$4:$D2648))</f>
        <v/>
      </c>
      <c r="B2648" s="17" t="n"/>
      <c r="C2648" s="30" t="n"/>
      <c r="D2648" s="17" t="n"/>
      <c r="E2648" s="24">
        <f>IF($D2648="","",IFERROR(VLOOKUP($D2648,物料档案!$A$4:$P$1203,3,0),"※编码不在物料档案里"))</f>
        <v/>
      </c>
      <c r="F2648" s="24">
        <f>IF($D2648="","",IFERROR(VLOOKUP($D2648,物料档案!$A$4:$P$1203,4,0),"※编码不在物料档案里"))</f>
        <v/>
      </c>
      <c r="G2648" s="24">
        <f>IF($D2648="","",IFERROR(VLOOKUP($D2648,物料档案!$A$4:$P$1203,5,0),"※编码不在物料档案里"))</f>
        <v/>
      </c>
      <c r="H2648" s="24">
        <f>IF($D2648="","",IFERROR(VLOOKUP($D2648,物料档案!$A$4:$P$1203,2,0),"※编码不在物料档案里"))</f>
        <v/>
      </c>
      <c r="I2648" s="24">
        <f>IF($D2648="","",IFERROR(VLOOKUP($D2648,物料档案!$A$4:$P$1203,6,0),"※编码不在物料档案里"))</f>
        <v/>
      </c>
      <c r="J2648" s="23" t="n"/>
      <c r="K2648" s="17" t="n"/>
      <c r="L2648" s="17" t="n"/>
      <c r="M2648" s="17" t="n"/>
      <c r="N2648" s="17" t="n"/>
      <c r="O2648" s="26">
        <f>IF($D2648="","",IFERROR(VLOOKUP($D2648,物料档案!$A$4:$P$1203,10,0),0))</f>
        <v/>
      </c>
      <c r="P2648" s="32" t="n"/>
      <c r="Q2648" s="26">
        <f>IF($D2648="","",IF($K2648&lt;&gt;"对外销售",0,ROUND(N($J2648)*IF($P2648="",N($O2648),N($P2648)),0)))</f>
        <v/>
      </c>
      <c r="R2648" s="26">
        <f>IF($D2648="","",IFERROR(VLOOKUP($D2648,库存台账!$A$5:$Y$1204,11,0),0))</f>
        <v/>
      </c>
      <c r="S2648" s="26">
        <f>IF($D2648="","",ROUND(N($J2648)*N($R2648),0))</f>
        <v/>
      </c>
      <c r="T2648" s="26">
        <f>IF($D2648="","",IF($K2648&lt;&gt;"对外销售","",ROUND($Q2648-$S2648,0)))</f>
        <v/>
      </c>
      <c r="U2648" s="17" t="n"/>
      <c r="V2648" s="17" t="n"/>
      <c r="W2648" s="24">
        <f>IF($D2648="","",IF($E2648="※编码不在物料档案里","※物料编码不在档案里",IF(N($J2648)&lt;=0,"※出库数量要大于 0",IF($K2648="","※没填去向类型",IF($L2648="","※没填去向矿区",IF(AND($C2648&lt;&gt;"",$C2648&lt;=结账锁),"※日期早于已结账截止日，不能再录",IF(AND($K2648="自用消耗",COUNTIF({"一矿区";"二矿区"},$L2648)=0),"※自用消耗的去向只能是一矿区或二矿区",IF(AND($K2648="对外销售",COUNTIF({"三矿区";"六矿区"},$L2648)=0),"※对外销售的去向只能是三矿区或六矿区",IF(AND($K2648="对外销售",ROUND($Q2648,0)=0),"※外销却没有售价，请填实际售价",IF(AND($K2648="对外销售",$T2648&lt;&gt;"",$T2648&lt;0),"※这一笔外销是亏的，请核对售价",IF(IFERROR(VLOOKUP($D2648,库存台账!$A$5:$Y$1204,24,0),0)&lt;-0.001,"※这个物料账面已经变成负数了，查一下是不是漏记入库","")))))))))))</f>
        <v/>
      </c>
    </row>
    <row r="2649">
      <c r="A2649" s="24">
        <f>IF($D2649="","",COUNTA($D$4:$D2649))</f>
        <v/>
      </c>
      <c r="B2649" s="17" t="n"/>
      <c r="C2649" s="30" t="n"/>
      <c r="D2649" s="17" t="n"/>
      <c r="E2649" s="24">
        <f>IF($D2649="","",IFERROR(VLOOKUP($D2649,物料档案!$A$4:$P$1203,3,0),"※编码不在物料档案里"))</f>
        <v/>
      </c>
      <c r="F2649" s="24">
        <f>IF($D2649="","",IFERROR(VLOOKUP($D2649,物料档案!$A$4:$P$1203,4,0),"※编码不在物料档案里"))</f>
        <v/>
      </c>
      <c r="G2649" s="24">
        <f>IF($D2649="","",IFERROR(VLOOKUP($D2649,物料档案!$A$4:$P$1203,5,0),"※编码不在物料档案里"))</f>
        <v/>
      </c>
      <c r="H2649" s="24">
        <f>IF($D2649="","",IFERROR(VLOOKUP($D2649,物料档案!$A$4:$P$1203,2,0),"※编码不在物料档案里"))</f>
        <v/>
      </c>
      <c r="I2649" s="24">
        <f>IF($D2649="","",IFERROR(VLOOKUP($D2649,物料档案!$A$4:$P$1203,6,0),"※编码不在物料档案里"))</f>
        <v/>
      </c>
      <c r="J2649" s="23" t="n"/>
      <c r="K2649" s="17" t="n"/>
      <c r="L2649" s="17" t="n"/>
      <c r="M2649" s="17" t="n"/>
      <c r="N2649" s="17" t="n"/>
      <c r="O2649" s="26">
        <f>IF($D2649="","",IFERROR(VLOOKUP($D2649,物料档案!$A$4:$P$1203,10,0),0))</f>
        <v/>
      </c>
      <c r="P2649" s="32" t="n"/>
      <c r="Q2649" s="26">
        <f>IF($D2649="","",IF($K2649&lt;&gt;"对外销售",0,ROUND(N($J2649)*IF($P2649="",N($O2649),N($P2649)),0)))</f>
        <v/>
      </c>
      <c r="R2649" s="26">
        <f>IF($D2649="","",IFERROR(VLOOKUP($D2649,库存台账!$A$5:$Y$1204,11,0),0))</f>
        <v/>
      </c>
      <c r="S2649" s="26">
        <f>IF($D2649="","",ROUND(N($J2649)*N($R2649),0))</f>
        <v/>
      </c>
      <c r="T2649" s="26">
        <f>IF($D2649="","",IF($K2649&lt;&gt;"对外销售","",ROUND($Q2649-$S2649,0)))</f>
        <v/>
      </c>
      <c r="U2649" s="17" t="n"/>
      <c r="V2649" s="17" t="n"/>
      <c r="W2649" s="24">
        <f>IF($D2649="","",IF($E2649="※编码不在物料档案里","※物料编码不在档案里",IF(N($J2649)&lt;=0,"※出库数量要大于 0",IF($K2649="","※没填去向类型",IF($L2649="","※没填去向矿区",IF(AND($C2649&lt;&gt;"",$C2649&lt;=结账锁),"※日期早于已结账截止日，不能再录",IF(AND($K2649="自用消耗",COUNTIF({"一矿区";"二矿区"},$L2649)=0),"※自用消耗的去向只能是一矿区或二矿区",IF(AND($K2649="对外销售",COUNTIF({"三矿区";"六矿区"},$L2649)=0),"※对外销售的去向只能是三矿区或六矿区",IF(AND($K2649="对外销售",ROUND($Q2649,0)=0),"※外销却没有售价，请填实际售价",IF(AND($K2649="对外销售",$T2649&lt;&gt;"",$T2649&lt;0),"※这一笔外销是亏的，请核对售价",IF(IFERROR(VLOOKUP($D2649,库存台账!$A$5:$Y$1204,24,0),0)&lt;-0.001,"※这个物料账面已经变成负数了，查一下是不是漏记入库","")))))))))))</f>
        <v/>
      </c>
    </row>
    <row r="2650">
      <c r="A2650" s="24">
        <f>IF($D2650="","",COUNTA($D$4:$D2650))</f>
        <v/>
      </c>
      <c r="B2650" s="17" t="n"/>
      <c r="C2650" s="30" t="n"/>
      <c r="D2650" s="17" t="n"/>
      <c r="E2650" s="24">
        <f>IF($D2650="","",IFERROR(VLOOKUP($D2650,物料档案!$A$4:$P$1203,3,0),"※编码不在物料档案里"))</f>
        <v/>
      </c>
      <c r="F2650" s="24">
        <f>IF($D2650="","",IFERROR(VLOOKUP($D2650,物料档案!$A$4:$P$1203,4,0),"※编码不在物料档案里"))</f>
        <v/>
      </c>
      <c r="G2650" s="24">
        <f>IF($D2650="","",IFERROR(VLOOKUP($D2650,物料档案!$A$4:$P$1203,5,0),"※编码不在物料档案里"))</f>
        <v/>
      </c>
      <c r="H2650" s="24">
        <f>IF($D2650="","",IFERROR(VLOOKUP($D2650,物料档案!$A$4:$P$1203,2,0),"※编码不在物料档案里"))</f>
        <v/>
      </c>
      <c r="I2650" s="24">
        <f>IF($D2650="","",IFERROR(VLOOKUP($D2650,物料档案!$A$4:$P$1203,6,0),"※编码不在物料档案里"))</f>
        <v/>
      </c>
      <c r="J2650" s="23" t="n"/>
      <c r="K2650" s="17" t="n"/>
      <c r="L2650" s="17" t="n"/>
      <c r="M2650" s="17" t="n"/>
      <c r="N2650" s="17" t="n"/>
      <c r="O2650" s="26">
        <f>IF($D2650="","",IFERROR(VLOOKUP($D2650,物料档案!$A$4:$P$1203,10,0),0))</f>
        <v/>
      </c>
      <c r="P2650" s="32" t="n"/>
      <c r="Q2650" s="26">
        <f>IF($D2650="","",IF($K2650&lt;&gt;"对外销售",0,ROUND(N($J2650)*IF($P2650="",N($O2650),N($P2650)),0)))</f>
        <v/>
      </c>
      <c r="R2650" s="26">
        <f>IF($D2650="","",IFERROR(VLOOKUP($D2650,库存台账!$A$5:$Y$1204,11,0),0))</f>
        <v/>
      </c>
      <c r="S2650" s="26">
        <f>IF($D2650="","",ROUND(N($J2650)*N($R2650),0))</f>
        <v/>
      </c>
      <c r="T2650" s="26">
        <f>IF($D2650="","",IF($K2650&lt;&gt;"对外销售","",ROUND($Q2650-$S2650,0)))</f>
        <v/>
      </c>
      <c r="U2650" s="17" t="n"/>
      <c r="V2650" s="17" t="n"/>
      <c r="W2650" s="24">
        <f>IF($D2650="","",IF($E2650="※编码不在物料档案里","※物料编码不在档案里",IF(N($J2650)&lt;=0,"※出库数量要大于 0",IF($K2650="","※没填去向类型",IF($L2650="","※没填去向矿区",IF(AND($C2650&lt;&gt;"",$C2650&lt;=结账锁),"※日期早于已结账截止日，不能再录",IF(AND($K2650="自用消耗",COUNTIF({"一矿区";"二矿区"},$L2650)=0),"※自用消耗的去向只能是一矿区或二矿区",IF(AND($K2650="对外销售",COUNTIF({"三矿区";"六矿区"},$L2650)=0),"※对外销售的去向只能是三矿区或六矿区",IF(AND($K2650="对外销售",ROUND($Q2650,0)=0),"※外销却没有售价，请填实际售价",IF(AND($K2650="对外销售",$T2650&lt;&gt;"",$T2650&lt;0),"※这一笔外销是亏的，请核对售价",IF(IFERROR(VLOOKUP($D2650,库存台账!$A$5:$Y$1204,24,0),0)&lt;-0.001,"※这个物料账面已经变成负数了，查一下是不是漏记入库","")))))))))))</f>
        <v/>
      </c>
    </row>
    <row r="2651">
      <c r="A2651" s="24">
        <f>IF($D2651="","",COUNTA($D$4:$D2651))</f>
        <v/>
      </c>
      <c r="B2651" s="17" t="n"/>
      <c r="C2651" s="30" t="n"/>
      <c r="D2651" s="17" t="n"/>
      <c r="E2651" s="24">
        <f>IF($D2651="","",IFERROR(VLOOKUP($D2651,物料档案!$A$4:$P$1203,3,0),"※编码不在物料档案里"))</f>
        <v/>
      </c>
      <c r="F2651" s="24">
        <f>IF($D2651="","",IFERROR(VLOOKUP($D2651,物料档案!$A$4:$P$1203,4,0),"※编码不在物料档案里"))</f>
        <v/>
      </c>
      <c r="G2651" s="24">
        <f>IF($D2651="","",IFERROR(VLOOKUP($D2651,物料档案!$A$4:$P$1203,5,0),"※编码不在物料档案里"))</f>
        <v/>
      </c>
      <c r="H2651" s="24">
        <f>IF($D2651="","",IFERROR(VLOOKUP($D2651,物料档案!$A$4:$P$1203,2,0),"※编码不在物料档案里"))</f>
        <v/>
      </c>
      <c r="I2651" s="24">
        <f>IF($D2651="","",IFERROR(VLOOKUP($D2651,物料档案!$A$4:$P$1203,6,0),"※编码不在物料档案里"))</f>
        <v/>
      </c>
      <c r="J2651" s="23" t="n"/>
      <c r="K2651" s="17" t="n"/>
      <c r="L2651" s="17" t="n"/>
      <c r="M2651" s="17" t="n"/>
      <c r="N2651" s="17" t="n"/>
      <c r="O2651" s="26">
        <f>IF($D2651="","",IFERROR(VLOOKUP($D2651,物料档案!$A$4:$P$1203,10,0),0))</f>
        <v/>
      </c>
      <c r="P2651" s="32" t="n"/>
      <c r="Q2651" s="26">
        <f>IF($D2651="","",IF($K2651&lt;&gt;"对外销售",0,ROUND(N($J2651)*IF($P2651="",N($O2651),N($P2651)),0)))</f>
        <v/>
      </c>
      <c r="R2651" s="26">
        <f>IF($D2651="","",IFERROR(VLOOKUP($D2651,库存台账!$A$5:$Y$1204,11,0),0))</f>
        <v/>
      </c>
      <c r="S2651" s="26">
        <f>IF($D2651="","",ROUND(N($J2651)*N($R2651),0))</f>
        <v/>
      </c>
      <c r="T2651" s="26">
        <f>IF($D2651="","",IF($K2651&lt;&gt;"对外销售","",ROUND($Q2651-$S2651,0)))</f>
        <v/>
      </c>
      <c r="U2651" s="17" t="n"/>
      <c r="V2651" s="17" t="n"/>
      <c r="W2651" s="24">
        <f>IF($D2651="","",IF($E2651="※编码不在物料档案里","※物料编码不在档案里",IF(N($J2651)&lt;=0,"※出库数量要大于 0",IF($K2651="","※没填去向类型",IF($L2651="","※没填去向矿区",IF(AND($C2651&lt;&gt;"",$C2651&lt;=结账锁),"※日期早于已结账截止日，不能再录",IF(AND($K2651="自用消耗",COUNTIF({"一矿区";"二矿区"},$L2651)=0),"※自用消耗的去向只能是一矿区或二矿区",IF(AND($K2651="对外销售",COUNTIF({"三矿区";"六矿区"},$L2651)=0),"※对外销售的去向只能是三矿区或六矿区",IF(AND($K2651="对外销售",ROUND($Q2651,0)=0),"※外销却没有售价，请填实际售价",IF(AND($K2651="对外销售",$T2651&lt;&gt;"",$T2651&lt;0),"※这一笔外销是亏的，请核对售价",IF(IFERROR(VLOOKUP($D2651,库存台账!$A$5:$Y$1204,24,0),0)&lt;-0.001,"※这个物料账面已经变成负数了，查一下是不是漏记入库","")))))))))))</f>
        <v/>
      </c>
    </row>
    <row r="2652">
      <c r="A2652" s="24">
        <f>IF($D2652="","",COUNTA($D$4:$D2652))</f>
        <v/>
      </c>
      <c r="B2652" s="17" t="n"/>
      <c r="C2652" s="30" t="n"/>
      <c r="D2652" s="17" t="n"/>
      <c r="E2652" s="24">
        <f>IF($D2652="","",IFERROR(VLOOKUP($D2652,物料档案!$A$4:$P$1203,3,0),"※编码不在物料档案里"))</f>
        <v/>
      </c>
      <c r="F2652" s="24">
        <f>IF($D2652="","",IFERROR(VLOOKUP($D2652,物料档案!$A$4:$P$1203,4,0),"※编码不在物料档案里"))</f>
        <v/>
      </c>
      <c r="G2652" s="24">
        <f>IF($D2652="","",IFERROR(VLOOKUP($D2652,物料档案!$A$4:$P$1203,5,0),"※编码不在物料档案里"))</f>
        <v/>
      </c>
      <c r="H2652" s="24">
        <f>IF($D2652="","",IFERROR(VLOOKUP($D2652,物料档案!$A$4:$P$1203,2,0),"※编码不在物料档案里"))</f>
        <v/>
      </c>
      <c r="I2652" s="24">
        <f>IF($D2652="","",IFERROR(VLOOKUP($D2652,物料档案!$A$4:$P$1203,6,0),"※编码不在物料档案里"))</f>
        <v/>
      </c>
      <c r="J2652" s="23" t="n"/>
      <c r="K2652" s="17" t="n"/>
      <c r="L2652" s="17" t="n"/>
      <c r="M2652" s="17" t="n"/>
      <c r="N2652" s="17" t="n"/>
      <c r="O2652" s="26">
        <f>IF($D2652="","",IFERROR(VLOOKUP($D2652,物料档案!$A$4:$P$1203,10,0),0))</f>
        <v/>
      </c>
      <c r="P2652" s="32" t="n"/>
      <c r="Q2652" s="26">
        <f>IF($D2652="","",IF($K2652&lt;&gt;"对外销售",0,ROUND(N($J2652)*IF($P2652="",N($O2652),N($P2652)),0)))</f>
        <v/>
      </c>
      <c r="R2652" s="26">
        <f>IF($D2652="","",IFERROR(VLOOKUP($D2652,库存台账!$A$5:$Y$1204,11,0),0))</f>
        <v/>
      </c>
      <c r="S2652" s="26">
        <f>IF($D2652="","",ROUND(N($J2652)*N($R2652),0))</f>
        <v/>
      </c>
      <c r="T2652" s="26">
        <f>IF($D2652="","",IF($K2652&lt;&gt;"对外销售","",ROUND($Q2652-$S2652,0)))</f>
        <v/>
      </c>
      <c r="U2652" s="17" t="n"/>
      <c r="V2652" s="17" t="n"/>
      <c r="W2652" s="24">
        <f>IF($D2652="","",IF($E2652="※编码不在物料档案里","※物料编码不在档案里",IF(N($J2652)&lt;=0,"※出库数量要大于 0",IF($K2652="","※没填去向类型",IF($L2652="","※没填去向矿区",IF(AND($C2652&lt;&gt;"",$C2652&lt;=结账锁),"※日期早于已结账截止日，不能再录",IF(AND($K2652="自用消耗",COUNTIF({"一矿区";"二矿区"},$L2652)=0),"※自用消耗的去向只能是一矿区或二矿区",IF(AND($K2652="对外销售",COUNTIF({"三矿区";"六矿区"},$L2652)=0),"※对外销售的去向只能是三矿区或六矿区",IF(AND($K2652="对外销售",ROUND($Q2652,0)=0),"※外销却没有售价，请填实际售价",IF(AND($K2652="对外销售",$T2652&lt;&gt;"",$T2652&lt;0),"※这一笔外销是亏的，请核对售价",IF(IFERROR(VLOOKUP($D2652,库存台账!$A$5:$Y$1204,24,0),0)&lt;-0.001,"※这个物料账面已经变成负数了，查一下是不是漏记入库","")))))))))))</f>
        <v/>
      </c>
    </row>
    <row r="2653">
      <c r="A2653" s="24">
        <f>IF($D2653="","",COUNTA($D$4:$D2653))</f>
        <v/>
      </c>
      <c r="B2653" s="17" t="n"/>
      <c r="C2653" s="30" t="n"/>
      <c r="D2653" s="17" t="n"/>
      <c r="E2653" s="24">
        <f>IF($D2653="","",IFERROR(VLOOKUP($D2653,物料档案!$A$4:$P$1203,3,0),"※编码不在物料档案里"))</f>
        <v/>
      </c>
      <c r="F2653" s="24">
        <f>IF($D2653="","",IFERROR(VLOOKUP($D2653,物料档案!$A$4:$P$1203,4,0),"※编码不在物料档案里"))</f>
        <v/>
      </c>
      <c r="G2653" s="24">
        <f>IF($D2653="","",IFERROR(VLOOKUP($D2653,物料档案!$A$4:$P$1203,5,0),"※编码不在物料档案里"))</f>
        <v/>
      </c>
      <c r="H2653" s="24">
        <f>IF($D2653="","",IFERROR(VLOOKUP($D2653,物料档案!$A$4:$P$1203,2,0),"※编码不在物料档案里"))</f>
        <v/>
      </c>
      <c r="I2653" s="24">
        <f>IF($D2653="","",IFERROR(VLOOKUP($D2653,物料档案!$A$4:$P$1203,6,0),"※编码不在物料档案里"))</f>
        <v/>
      </c>
      <c r="J2653" s="23" t="n"/>
      <c r="K2653" s="17" t="n"/>
      <c r="L2653" s="17" t="n"/>
      <c r="M2653" s="17" t="n"/>
      <c r="N2653" s="17" t="n"/>
      <c r="O2653" s="26">
        <f>IF($D2653="","",IFERROR(VLOOKUP($D2653,物料档案!$A$4:$P$1203,10,0),0))</f>
        <v/>
      </c>
      <c r="P2653" s="32" t="n"/>
      <c r="Q2653" s="26">
        <f>IF($D2653="","",IF($K2653&lt;&gt;"对外销售",0,ROUND(N($J2653)*IF($P2653="",N($O2653),N($P2653)),0)))</f>
        <v/>
      </c>
      <c r="R2653" s="26">
        <f>IF($D2653="","",IFERROR(VLOOKUP($D2653,库存台账!$A$5:$Y$1204,11,0),0))</f>
        <v/>
      </c>
      <c r="S2653" s="26">
        <f>IF($D2653="","",ROUND(N($J2653)*N($R2653),0))</f>
        <v/>
      </c>
      <c r="T2653" s="26">
        <f>IF($D2653="","",IF($K2653&lt;&gt;"对外销售","",ROUND($Q2653-$S2653,0)))</f>
        <v/>
      </c>
      <c r="U2653" s="17" t="n"/>
      <c r="V2653" s="17" t="n"/>
      <c r="W2653" s="24">
        <f>IF($D2653="","",IF($E2653="※编码不在物料档案里","※物料编码不在档案里",IF(N($J2653)&lt;=0,"※出库数量要大于 0",IF($K2653="","※没填去向类型",IF($L2653="","※没填去向矿区",IF(AND($C2653&lt;&gt;"",$C2653&lt;=结账锁),"※日期早于已结账截止日，不能再录",IF(AND($K2653="自用消耗",COUNTIF({"一矿区";"二矿区"},$L2653)=0),"※自用消耗的去向只能是一矿区或二矿区",IF(AND($K2653="对外销售",COUNTIF({"三矿区";"六矿区"},$L2653)=0),"※对外销售的去向只能是三矿区或六矿区",IF(AND($K2653="对外销售",ROUND($Q2653,0)=0),"※外销却没有售价，请填实际售价",IF(AND($K2653="对外销售",$T2653&lt;&gt;"",$T2653&lt;0),"※这一笔外销是亏的，请核对售价",IF(IFERROR(VLOOKUP($D2653,库存台账!$A$5:$Y$1204,24,0),0)&lt;-0.001,"※这个物料账面已经变成负数了，查一下是不是漏记入库","")))))))))))</f>
        <v/>
      </c>
    </row>
    <row r="2654">
      <c r="A2654" s="24">
        <f>IF($D2654="","",COUNTA($D$4:$D2654))</f>
        <v/>
      </c>
      <c r="B2654" s="17" t="n"/>
      <c r="C2654" s="30" t="n"/>
      <c r="D2654" s="17" t="n"/>
      <c r="E2654" s="24">
        <f>IF($D2654="","",IFERROR(VLOOKUP($D2654,物料档案!$A$4:$P$1203,3,0),"※编码不在物料档案里"))</f>
        <v/>
      </c>
      <c r="F2654" s="24">
        <f>IF($D2654="","",IFERROR(VLOOKUP($D2654,物料档案!$A$4:$P$1203,4,0),"※编码不在物料档案里"))</f>
        <v/>
      </c>
      <c r="G2654" s="24">
        <f>IF($D2654="","",IFERROR(VLOOKUP($D2654,物料档案!$A$4:$P$1203,5,0),"※编码不在物料档案里"))</f>
        <v/>
      </c>
      <c r="H2654" s="24">
        <f>IF($D2654="","",IFERROR(VLOOKUP($D2654,物料档案!$A$4:$P$1203,2,0),"※编码不在物料档案里"))</f>
        <v/>
      </c>
      <c r="I2654" s="24">
        <f>IF($D2654="","",IFERROR(VLOOKUP($D2654,物料档案!$A$4:$P$1203,6,0),"※编码不在物料档案里"))</f>
        <v/>
      </c>
      <c r="J2654" s="23" t="n"/>
      <c r="K2654" s="17" t="n"/>
      <c r="L2654" s="17" t="n"/>
      <c r="M2654" s="17" t="n"/>
      <c r="N2654" s="17" t="n"/>
      <c r="O2654" s="26">
        <f>IF($D2654="","",IFERROR(VLOOKUP($D2654,物料档案!$A$4:$P$1203,10,0),0))</f>
        <v/>
      </c>
      <c r="P2654" s="32" t="n"/>
      <c r="Q2654" s="26">
        <f>IF($D2654="","",IF($K2654&lt;&gt;"对外销售",0,ROUND(N($J2654)*IF($P2654="",N($O2654),N($P2654)),0)))</f>
        <v/>
      </c>
      <c r="R2654" s="26">
        <f>IF($D2654="","",IFERROR(VLOOKUP($D2654,库存台账!$A$5:$Y$1204,11,0),0))</f>
        <v/>
      </c>
      <c r="S2654" s="26">
        <f>IF($D2654="","",ROUND(N($J2654)*N($R2654),0))</f>
        <v/>
      </c>
      <c r="T2654" s="26">
        <f>IF($D2654="","",IF($K2654&lt;&gt;"对外销售","",ROUND($Q2654-$S2654,0)))</f>
        <v/>
      </c>
      <c r="U2654" s="17" t="n"/>
      <c r="V2654" s="17" t="n"/>
      <c r="W2654" s="24">
        <f>IF($D2654="","",IF($E2654="※编码不在物料档案里","※物料编码不在档案里",IF(N($J2654)&lt;=0,"※出库数量要大于 0",IF($K2654="","※没填去向类型",IF($L2654="","※没填去向矿区",IF(AND($C2654&lt;&gt;"",$C2654&lt;=结账锁),"※日期早于已结账截止日，不能再录",IF(AND($K2654="自用消耗",COUNTIF({"一矿区";"二矿区"},$L2654)=0),"※自用消耗的去向只能是一矿区或二矿区",IF(AND($K2654="对外销售",COUNTIF({"三矿区";"六矿区"},$L2654)=0),"※对外销售的去向只能是三矿区或六矿区",IF(AND($K2654="对外销售",ROUND($Q2654,0)=0),"※外销却没有售价，请填实际售价",IF(AND($K2654="对外销售",$T2654&lt;&gt;"",$T2654&lt;0),"※这一笔外销是亏的，请核对售价",IF(IFERROR(VLOOKUP($D2654,库存台账!$A$5:$Y$1204,24,0),0)&lt;-0.001,"※这个物料账面已经变成负数了，查一下是不是漏记入库","")))))))))))</f>
        <v/>
      </c>
    </row>
    <row r="2655">
      <c r="A2655" s="24">
        <f>IF($D2655="","",COUNTA($D$4:$D2655))</f>
        <v/>
      </c>
      <c r="B2655" s="17" t="n"/>
      <c r="C2655" s="30" t="n"/>
      <c r="D2655" s="17" t="n"/>
      <c r="E2655" s="24">
        <f>IF($D2655="","",IFERROR(VLOOKUP($D2655,物料档案!$A$4:$P$1203,3,0),"※编码不在物料档案里"))</f>
        <v/>
      </c>
      <c r="F2655" s="24">
        <f>IF($D2655="","",IFERROR(VLOOKUP($D2655,物料档案!$A$4:$P$1203,4,0),"※编码不在物料档案里"))</f>
        <v/>
      </c>
      <c r="G2655" s="24">
        <f>IF($D2655="","",IFERROR(VLOOKUP($D2655,物料档案!$A$4:$P$1203,5,0),"※编码不在物料档案里"))</f>
        <v/>
      </c>
      <c r="H2655" s="24">
        <f>IF($D2655="","",IFERROR(VLOOKUP($D2655,物料档案!$A$4:$P$1203,2,0),"※编码不在物料档案里"))</f>
        <v/>
      </c>
      <c r="I2655" s="24">
        <f>IF($D2655="","",IFERROR(VLOOKUP($D2655,物料档案!$A$4:$P$1203,6,0),"※编码不在物料档案里"))</f>
        <v/>
      </c>
      <c r="J2655" s="23" t="n"/>
      <c r="K2655" s="17" t="n"/>
      <c r="L2655" s="17" t="n"/>
      <c r="M2655" s="17" t="n"/>
      <c r="N2655" s="17" t="n"/>
      <c r="O2655" s="26">
        <f>IF($D2655="","",IFERROR(VLOOKUP($D2655,物料档案!$A$4:$P$1203,10,0),0))</f>
        <v/>
      </c>
      <c r="P2655" s="32" t="n"/>
      <c r="Q2655" s="26">
        <f>IF($D2655="","",IF($K2655&lt;&gt;"对外销售",0,ROUND(N($J2655)*IF($P2655="",N($O2655),N($P2655)),0)))</f>
        <v/>
      </c>
      <c r="R2655" s="26">
        <f>IF($D2655="","",IFERROR(VLOOKUP($D2655,库存台账!$A$5:$Y$1204,11,0),0))</f>
        <v/>
      </c>
      <c r="S2655" s="26">
        <f>IF($D2655="","",ROUND(N($J2655)*N($R2655),0))</f>
        <v/>
      </c>
      <c r="T2655" s="26">
        <f>IF($D2655="","",IF($K2655&lt;&gt;"对外销售","",ROUND($Q2655-$S2655,0)))</f>
        <v/>
      </c>
      <c r="U2655" s="17" t="n"/>
      <c r="V2655" s="17" t="n"/>
      <c r="W2655" s="24">
        <f>IF($D2655="","",IF($E2655="※编码不在物料档案里","※物料编码不在档案里",IF(N($J2655)&lt;=0,"※出库数量要大于 0",IF($K2655="","※没填去向类型",IF($L2655="","※没填去向矿区",IF(AND($C2655&lt;&gt;"",$C2655&lt;=结账锁),"※日期早于已结账截止日，不能再录",IF(AND($K2655="自用消耗",COUNTIF({"一矿区";"二矿区"},$L2655)=0),"※自用消耗的去向只能是一矿区或二矿区",IF(AND($K2655="对外销售",COUNTIF({"三矿区";"六矿区"},$L2655)=0),"※对外销售的去向只能是三矿区或六矿区",IF(AND($K2655="对外销售",ROUND($Q2655,0)=0),"※外销却没有售价，请填实际售价",IF(AND($K2655="对外销售",$T2655&lt;&gt;"",$T2655&lt;0),"※这一笔外销是亏的，请核对售价",IF(IFERROR(VLOOKUP($D2655,库存台账!$A$5:$Y$1204,24,0),0)&lt;-0.001,"※这个物料账面已经变成负数了，查一下是不是漏记入库","")))))))))))</f>
        <v/>
      </c>
    </row>
    <row r="2656">
      <c r="A2656" s="24">
        <f>IF($D2656="","",COUNTA($D$4:$D2656))</f>
        <v/>
      </c>
      <c r="B2656" s="17" t="n"/>
      <c r="C2656" s="30" t="n"/>
      <c r="D2656" s="17" t="n"/>
      <c r="E2656" s="24">
        <f>IF($D2656="","",IFERROR(VLOOKUP($D2656,物料档案!$A$4:$P$1203,3,0),"※编码不在物料档案里"))</f>
        <v/>
      </c>
      <c r="F2656" s="24">
        <f>IF($D2656="","",IFERROR(VLOOKUP($D2656,物料档案!$A$4:$P$1203,4,0),"※编码不在物料档案里"))</f>
        <v/>
      </c>
      <c r="G2656" s="24">
        <f>IF($D2656="","",IFERROR(VLOOKUP($D2656,物料档案!$A$4:$P$1203,5,0),"※编码不在物料档案里"))</f>
        <v/>
      </c>
      <c r="H2656" s="24">
        <f>IF($D2656="","",IFERROR(VLOOKUP($D2656,物料档案!$A$4:$P$1203,2,0),"※编码不在物料档案里"))</f>
        <v/>
      </c>
      <c r="I2656" s="24">
        <f>IF($D2656="","",IFERROR(VLOOKUP($D2656,物料档案!$A$4:$P$1203,6,0),"※编码不在物料档案里"))</f>
        <v/>
      </c>
      <c r="J2656" s="23" t="n"/>
      <c r="K2656" s="17" t="n"/>
      <c r="L2656" s="17" t="n"/>
      <c r="M2656" s="17" t="n"/>
      <c r="N2656" s="17" t="n"/>
      <c r="O2656" s="26">
        <f>IF($D2656="","",IFERROR(VLOOKUP($D2656,物料档案!$A$4:$P$1203,10,0),0))</f>
        <v/>
      </c>
      <c r="P2656" s="32" t="n"/>
      <c r="Q2656" s="26">
        <f>IF($D2656="","",IF($K2656&lt;&gt;"对外销售",0,ROUND(N($J2656)*IF($P2656="",N($O2656),N($P2656)),0)))</f>
        <v/>
      </c>
      <c r="R2656" s="26">
        <f>IF($D2656="","",IFERROR(VLOOKUP($D2656,库存台账!$A$5:$Y$1204,11,0),0))</f>
        <v/>
      </c>
      <c r="S2656" s="26">
        <f>IF($D2656="","",ROUND(N($J2656)*N($R2656),0))</f>
        <v/>
      </c>
      <c r="T2656" s="26">
        <f>IF($D2656="","",IF($K2656&lt;&gt;"对外销售","",ROUND($Q2656-$S2656,0)))</f>
        <v/>
      </c>
      <c r="U2656" s="17" t="n"/>
      <c r="V2656" s="17" t="n"/>
      <c r="W2656" s="24">
        <f>IF($D2656="","",IF($E2656="※编码不在物料档案里","※物料编码不在档案里",IF(N($J2656)&lt;=0,"※出库数量要大于 0",IF($K2656="","※没填去向类型",IF($L2656="","※没填去向矿区",IF(AND($C2656&lt;&gt;"",$C2656&lt;=结账锁),"※日期早于已结账截止日，不能再录",IF(AND($K2656="自用消耗",COUNTIF({"一矿区";"二矿区"},$L2656)=0),"※自用消耗的去向只能是一矿区或二矿区",IF(AND($K2656="对外销售",COUNTIF({"三矿区";"六矿区"},$L2656)=0),"※对外销售的去向只能是三矿区或六矿区",IF(AND($K2656="对外销售",ROUND($Q2656,0)=0),"※外销却没有售价，请填实际售价",IF(AND($K2656="对外销售",$T2656&lt;&gt;"",$T2656&lt;0),"※这一笔外销是亏的，请核对售价",IF(IFERROR(VLOOKUP($D2656,库存台账!$A$5:$Y$1204,24,0),0)&lt;-0.001,"※这个物料账面已经变成负数了，查一下是不是漏记入库","")))))))))))</f>
        <v/>
      </c>
    </row>
    <row r="2657">
      <c r="A2657" s="24">
        <f>IF($D2657="","",COUNTA($D$4:$D2657))</f>
        <v/>
      </c>
      <c r="B2657" s="17" t="n"/>
      <c r="C2657" s="30" t="n"/>
      <c r="D2657" s="17" t="n"/>
      <c r="E2657" s="24">
        <f>IF($D2657="","",IFERROR(VLOOKUP($D2657,物料档案!$A$4:$P$1203,3,0),"※编码不在物料档案里"))</f>
        <v/>
      </c>
      <c r="F2657" s="24">
        <f>IF($D2657="","",IFERROR(VLOOKUP($D2657,物料档案!$A$4:$P$1203,4,0),"※编码不在物料档案里"))</f>
        <v/>
      </c>
      <c r="G2657" s="24">
        <f>IF($D2657="","",IFERROR(VLOOKUP($D2657,物料档案!$A$4:$P$1203,5,0),"※编码不在物料档案里"))</f>
        <v/>
      </c>
      <c r="H2657" s="24">
        <f>IF($D2657="","",IFERROR(VLOOKUP($D2657,物料档案!$A$4:$P$1203,2,0),"※编码不在物料档案里"))</f>
        <v/>
      </c>
      <c r="I2657" s="24">
        <f>IF($D2657="","",IFERROR(VLOOKUP($D2657,物料档案!$A$4:$P$1203,6,0),"※编码不在物料档案里"))</f>
        <v/>
      </c>
      <c r="J2657" s="23" t="n"/>
      <c r="K2657" s="17" t="n"/>
      <c r="L2657" s="17" t="n"/>
      <c r="M2657" s="17" t="n"/>
      <c r="N2657" s="17" t="n"/>
      <c r="O2657" s="26">
        <f>IF($D2657="","",IFERROR(VLOOKUP($D2657,物料档案!$A$4:$P$1203,10,0),0))</f>
        <v/>
      </c>
      <c r="P2657" s="32" t="n"/>
      <c r="Q2657" s="26">
        <f>IF($D2657="","",IF($K2657&lt;&gt;"对外销售",0,ROUND(N($J2657)*IF($P2657="",N($O2657),N($P2657)),0)))</f>
        <v/>
      </c>
      <c r="R2657" s="26">
        <f>IF($D2657="","",IFERROR(VLOOKUP($D2657,库存台账!$A$5:$Y$1204,11,0),0))</f>
        <v/>
      </c>
      <c r="S2657" s="26">
        <f>IF($D2657="","",ROUND(N($J2657)*N($R2657),0))</f>
        <v/>
      </c>
      <c r="T2657" s="26">
        <f>IF($D2657="","",IF($K2657&lt;&gt;"对外销售","",ROUND($Q2657-$S2657,0)))</f>
        <v/>
      </c>
      <c r="U2657" s="17" t="n"/>
      <c r="V2657" s="17" t="n"/>
      <c r="W2657" s="24">
        <f>IF($D2657="","",IF($E2657="※编码不在物料档案里","※物料编码不在档案里",IF(N($J2657)&lt;=0,"※出库数量要大于 0",IF($K2657="","※没填去向类型",IF($L2657="","※没填去向矿区",IF(AND($C2657&lt;&gt;"",$C2657&lt;=结账锁),"※日期早于已结账截止日，不能再录",IF(AND($K2657="自用消耗",COUNTIF({"一矿区";"二矿区"},$L2657)=0),"※自用消耗的去向只能是一矿区或二矿区",IF(AND($K2657="对外销售",COUNTIF({"三矿区";"六矿区"},$L2657)=0),"※对外销售的去向只能是三矿区或六矿区",IF(AND($K2657="对外销售",ROUND($Q2657,0)=0),"※外销却没有售价，请填实际售价",IF(AND($K2657="对外销售",$T2657&lt;&gt;"",$T2657&lt;0),"※这一笔外销是亏的，请核对售价",IF(IFERROR(VLOOKUP($D2657,库存台账!$A$5:$Y$1204,24,0),0)&lt;-0.001,"※这个物料账面已经变成负数了，查一下是不是漏记入库","")))))))))))</f>
        <v/>
      </c>
    </row>
    <row r="2658">
      <c r="A2658" s="24">
        <f>IF($D2658="","",COUNTA($D$4:$D2658))</f>
        <v/>
      </c>
      <c r="B2658" s="17" t="n"/>
      <c r="C2658" s="30" t="n"/>
      <c r="D2658" s="17" t="n"/>
      <c r="E2658" s="24">
        <f>IF($D2658="","",IFERROR(VLOOKUP($D2658,物料档案!$A$4:$P$1203,3,0),"※编码不在物料档案里"))</f>
        <v/>
      </c>
      <c r="F2658" s="24">
        <f>IF($D2658="","",IFERROR(VLOOKUP($D2658,物料档案!$A$4:$P$1203,4,0),"※编码不在物料档案里"))</f>
        <v/>
      </c>
      <c r="G2658" s="24">
        <f>IF($D2658="","",IFERROR(VLOOKUP($D2658,物料档案!$A$4:$P$1203,5,0),"※编码不在物料档案里"))</f>
        <v/>
      </c>
      <c r="H2658" s="24">
        <f>IF($D2658="","",IFERROR(VLOOKUP($D2658,物料档案!$A$4:$P$1203,2,0),"※编码不在物料档案里"))</f>
        <v/>
      </c>
      <c r="I2658" s="24">
        <f>IF($D2658="","",IFERROR(VLOOKUP($D2658,物料档案!$A$4:$P$1203,6,0),"※编码不在物料档案里"))</f>
        <v/>
      </c>
      <c r="J2658" s="23" t="n"/>
      <c r="K2658" s="17" t="n"/>
      <c r="L2658" s="17" t="n"/>
      <c r="M2658" s="17" t="n"/>
      <c r="N2658" s="17" t="n"/>
      <c r="O2658" s="26">
        <f>IF($D2658="","",IFERROR(VLOOKUP($D2658,物料档案!$A$4:$P$1203,10,0),0))</f>
        <v/>
      </c>
      <c r="P2658" s="32" t="n"/>
      <c r="Q2658" s="26">
        <f>IF($D2658="","",IF($K2658&lt;&gt;"对外销售",0,ROUND(N($J2658)*IF($P2658="",N($O2658),N($P2658)),0)))</f>
        <v/>
      </c>
      <c r="R2658" s="26">
        <f>IF($D2658="","",IFERROR(VLOOKUP($D2658,库存台账!$A$5:$Y$1204,11,0),0))</f>
        <v/>
      </c>
      <c r="S2658" s="26">
        <f>IF($D2658="","",ROUND(N($J2658)*N($R2658),0))</f>
        <v/>
      </c>
      <c r="T2658" s="26">
        <f>IF($D2658="","",IF($K2658&lt;&gt;"对外销售","",ROUND($Q2658-$S2658,0)))</f>
        <v/>
      </c>
      <c r="U2658" s="17" t="n"/>
      <c r="V2658" s="17" t="n"/>
      <c r="W2658" s="24">
        <f>IF($D2658="","",IF($E2658="※编码不在物料档案里","※物料编码不在档案里",IF(N($J2658)&lt;=0,"※出库数量要大于 0",IF($K2658="","※没填去向类型",IF($L2658="","※没填去向矿区",IF(AND($C2658&lt;&gt;"",$C2658&lt;=结账锁),"※日期早于已结账截止日，不能再录",IF(AND($K2658="自用消耗",COUNTIF({"一矿区";"二矿区"},$L2658)=0),"※自用消耗的去向只能是一矿区或二矿区",IF(AND($K2658="对外销售",COUNTIF({"三矿区";"六矿区"},$L2658)=0),"※对外销售的去向只能是三矿区或六矿区",IF(AND($K2658="对外销售",ROUND($Q2658,0)=0),"※外销却没有售价，请填实际售价",IF(AND($K2658="对外销售",$T2658&lt;&gt;"",$T2658&lt;0),"※这一笔外销是亏的，请核对售价",IF(IFERROR(VLOOKUP($D2658,库存台账!$A$5:$Y$1204,24,0),0)&lt;-0.001,"※这个物料账面已经变成负数了，查一下是不是漏记入库","")))))))))))</f>
        <v/>
      </c>
    </row>
    <row r="2659">
      <c r="A2659" s="24">
        <f>IF($D2659="","",COUNTA($D$4:$D2659))</f>
        <v/>
      </c>
      <c r="B2659" s="17" t="n"/>
      <c r="C2659" s="30" t="n"/>
      <c r="D2659" s="17" t="n"/>
      <c r="E2659" s="24">
        <f>IF($D2659="","",IFERROR(VLOOKUP($D2659,物料档案!$A$4:$P$1203,3,0),"※编码不在物料档案里"))</f>
        <v/>
      </c>
      <c r="F2659" s="24">
        <f>IF($D2659="","",IFERROR(VLOOKUP($D2659,物料档案!$A$4:$P$1203,4,0),"※编码不在物料档案里"))</f>
        <v/>
      </c>
      <c r="G2659" s="24">
        <f>IF($D2659="","",IFERROR(VLOOKUP($D2659,物料档案!$A$4:$P$1203,5,0),"※编码不在物料档案里"))</f>
        <v/>
      </c>
      <c r="H2659" s="24">
        <f>IF($D2659="","",IFERROR(VLOOKUP($D2659,物料档案!$A$4:$P$1203,2,0),"※编码不在物料档案里"))</f>
        <v/>
      </c>
      <c r="I2659" s="24">
        <f>IF($D2659="","",IFERROR(VLOOKUP($D2659,物料档案!$A$4:$P$1203,6,0),"※编码不在物料档案里"))</f>
        <v/>
      </c>
      <c r="J2659" s="23" t="n"/>
      <c r="K2659" s="17" t="n"/>
      <c r="L2659" s="17" t="n"/>
      <c r="M2659" s="17" t="n"/>
      <c r="N2659" s="17" t="n"/>
      <c r="O2659" s="26">
        <f>IF($D2659="","",IFERROR(VLOOKUP($D2659,物料档案!$A$4:$P$1203,10,0),0))</f>
        <v/>
      </c>
      <c r="P2659" s="32" t="n"/>
      <c r="Q2659" s="26">
        <f>IF($D2659="","",IF($K2659&lt;&gt;"对外销售",0,ROUND(N($J2659)*IF($P2659="",N($O2659),N($P2659)),0)))</f>
        <v/>
      </c>
      <c r="R2659" s="26">
        <f>IF($D2659="","",IFERROR(VLOOKUP($D2659,库存台账!$A$5:$Y$1204,11,0),0))</f>
        <v/>
      </c>
      <c r="S2659" s="26">
        <f>IF($D2659="","",ROUND(N($J2659)*N($R2659),0))</f>
        <v/>
      </c>
      <c r="T2659" s="26">
        <f>IF($D2659="","",IF($K2659&lt;&gt;"对外销售","",ROUND($Q2659-$S2659,0)))</f>
        <v/>
      </c>
      <c r="U2659" s="17" t="n"/>
      <c r="V2659" s="17" t="n"/>
      <c r="W2659" s="24">
        <f>IF($D2659="","",IF($E2659="※编码不在物料档案里","※物料编码不在档案里",IF(N($J2659)&lt;=0,"※出库数量要大于 0",IF($K2659="","※没填去向类型",IF($L2659="","※没填去向矿区",IF(AND($C2659&lt;&gt;"",$C2659&lt;=结账锁),"※日期早于已结账截止日，不能再录",IF(AND($K2659="自用消耗",COUNTIF({"一矿区";"二矿区"},$L2659)=0),"※自用消耗的去向只能是一矿区或二矿区",IF(AND($K2659="对外销售",COUNTIF({"三矿区";"六矿区"},$L2659)=0),"※对外销售的去向只能是三矿区或六矿区",IF(AND($K2659="对外销售",ROUND($Q2659,0)=0),"※外销却没有售价，请填实际售价",IF(AND($K2659="对外销售",$T2659&lt;&gt;"",$T2659&lt;0),"※这一笔外销是亏的，请核对售价",IF(IFERROR(VLOOKUP($D2659,库存台账!$A$5:$Y$1204,24,0),0)&lt;-0.001,"※这个物料账面已经变成负数了，查一下是不是漏记入库","")))))))))))</f>
        <v/>
      </c>
    </row>
    <row r="2660">
      <c r="A2660" s="24">
        <f>IF($D2660="","",COUNTA($D$4:$D2660))</f>
        <v/>
      </c>
      <c r="B2660" s="17" t="n"/>
      <c r="C2660" s="30" t="n"/>
      <c r="D2660" s="17" t="n"/>
      <c r="E2660" s="24">
        <f>IF($D2660="","",IFERROR(VLOOKUP($D2660,物料档案!$A$4:$P$1203,3,0),"※编码不在物料档案里"))</f>
        <v/>
      </c>
      <c r="F2660" s="24">
        <f>IF($D2660="","",IFERROR(VLOOKUP($D2660,物料档案!$A$4:$P$1203,4,0),"※编码不在物料档案里"))</f>
        <v/>
      </c>
      <c r="G2660" s="24">
        <f>IF($D2660="","",IFERROR(VLOOKUP($D2660,物料档案!$A$4:$P$1203,5,0),"※编码不在物料档案里"))</f>
        <v/>
      </c>
      <c r="H2660" s="24">
        <f>IF($D2660="","",IFERROR(VLOOKUP($D2660,物料档案!$A$4:$P$1203,2,0),"※编码不在物料档案里"))</f>
        <v/>
      </c>
      <c r="I2660" s="24">
        <f>IF($D2660="","",IFERROR(VLOOKUP($D2660,物料档案!$A$4:$P$1203,6,0),"※编码不在物料档案里"))</f>
        <v/>
      </c>
      <c r="J2660" s="23" t="n"/>
      <c r="K2660" s="17" t="n"/>
      <c r="L2660" s="17" t="n"/>
      <c r="M2660" s="17" t="n"/>
      <c r="N2660" s="17" t="n"/>
      <c r="O2660" s="26">
        <f>IF($D2660="","",IFERROR(VLOOKUP($D2660,物料档案!$A$4:$P$1203,10,0),0))</f>
        <v/>
      </c>
      <c r="P2660" s="32" t="n"/>
      <c r="Q2660" s="26">
        <f>IF($D2660="","",IF($K2660&lt;&gt;"对外销售",0,ROUND(N($J2660)*IF($P2660="",N($O2660),N($P2660)),0)))</f>
        <v/>
      </c>
      <c r="R2660" s="26">
        <f>IF($D2660="","",IFERROR(VLOOKUP($D2660,库存台账!$A$5:$Y$1204,11,0),0))</f>
        <v/>
      </c>
      <c r="S2660" s="26">
        <f>IF($D2660="","",ROUND(N($J2660)*N($R2660),0))</f>
        <v/>
      </c>
      <c r="T2660" s="26">
        <f>IF($D2660="","",IF($K2660&lt;&gt;"对外销售","",ROUND($Q2660-$S2660,0)))</f>
        <v/>
      </c>
      <c r="U2660" s="17" t="n"/>
      <c r="V2660" s="17" t="n"/>
      <c r="W2660" s="24">
        <f>IF($D2660="","",IF($E2660="※编码不在物料档案里","※物料编码不在档案里",IF(N($J2660)&lt;=0,"※出库数量要大于 0",IF($K2660="","※没填去向类型",IF($L2660="","※没填去向矿区",IF(AND($C2660&lt;&gt;"",$C2660&lt;=结账锁),"※日期早于已结账截止日，不能再录",IF(AND($K2660="自用消耗",COUNTIF({"一矿区";"二矿区"},$L2660)=0),"※自用消耗的去向只能是一矿区或二矿区",IF(AND($K2660="对外销售",COUNTIF({"三矿区";"六矿区"},$L2660)=0),"※对外销售的去向只能是三矿区或六矿区",IF(AND($K2660="对外销售",ROUND($Q2660,0)=0),"※外销却没有售价，请填实际售价",IF(AND($K2660="对外销售",$T2660&lt;&gt;"",$T2660&lt;0),"※这一笔外销是亏的，请核对售价",IF(IFERROR(VLOOKUP($D2660,库存台账!$A$5:$Y$1204,24,0),0)&lt;-0.001,"※这个物料账面已经变成负数了，查一下是不是漏记入库","")))))))))))</f>
        <v/>
      </c>
    </row>
    <row r="2661">
      <c r="A2661" s="24">
        <f>IF($D2661="","",COUNTA($D$4:$D2661))</f>
        <v/>
      </c>
      <c r="B2661" s="17" t="n"/>
      <c r="C2661" s="30" t="n"/>
      <c r="D2661" s="17" t="n"/>
      <c r="E2661" s="24">
        <f>IF($D2661="","",IFERROR(VLOOKUP($D2661,物料档案!$A$4:$P$1203,3,0),"※编码不在物料档案里"))</f>
        <v/>
      </c>
      <c r="F2661" s="24">
        <f>IF($D2661="","",IFERROR(VLOOKUP($D2661,物料档案!$A$4:$P$1203,4,0),"※编码不在物料档案里"))</f>
        <v/>
      </c>
      <c r="G2661" s="24">
        <f>IF($D2661="","",IFERROR(VLOOKUP($D2661,物料档案!$A$4:$P$1203,5,0),"※编码不在物料档案里"))</f>
        <v/>
      </c>
      <c r="H2661" s="24">
        <f>IF($D2661="","",IFERROR(VLOOKUP($D2661,物料档案!$A$4:$P$1203,2,0),"※编码不在物料档案里"))</f>
        <v/>
      </c>
      <c r="I2661" s="24">
        <f>IF($D2661="","",IFERROR(VLOOKUP($D2661,物料档案!$A$4:$P$1203,6,0),"※编码不在物料档案里"))</f>
        <v/>
      </c>
      <c r="J2661" s="23" t="n"/>
      <c r="K2661" s="17" t="n"/>
      <c r="L2661" s="17" t="n"/>
      <c r="M2661" s="17" t="n"/>
      <c r="N2661" s="17" t="n"/>
      <c r="O2661" s="26">
        <f>IF($D2661="","",IFERROR(VLOOKUP($D2661,物料档案!$A$4:$P$1203,10,0),0))</f>
        <v/>
      </c>
      <c r="P2661" s="32" t="n"/>
      <c r="Q2661" s="26">
        <f>IF($D2661="","",IF($K2661&lt;&gt;"对外销售",0,ROUND(N($J2661)*IF($P2661="",N($O2661),N($P2661)),0)))</f>
        <v/>
      </c>
      <c r="R2661" s="26">
        <f>IF($D2661="","",IFERROR(VLOOKUP($D2661,库存台账!$A$5:$Y$1204,11,0),0))</f>
        <v/>
      </c>
      <c r="S2661" s="26">
        <f>IF($D2661="","",ROUND(N($J2661)*N($R2661),0))</f>
        <v/>
      </c>
      <c r="T2661" s="26">
        <f>IF($D2661="","",IF($K2661&lt;&gt;"对外销售","",ROUND($Q2661-$S2661,0)))</f>
        <v/>
      </c>
      <c r="U2661" s="17" t="n"/>
      <c r="V2661" s="17" t="n"/>
      <c r="W2661" s="24">
        <f>IF($D2661="","",IF($E2661="※编码不在物料档案里","※物料编码不在档案里",IF(N($J2661)&lt;=0,"※出库数量要大于 0",IF($K2661="","※没填去向类型",IF($L2661="","※没填去向矿区",IF(AND($C2661&lt;&gt;"",$C2661&lt;=结账锁),"※日期早于已结账截止日，不能再录",IF(AND($K2661="自用消耗",COUNTIF({"一矿区";"二矿区"},$L2661)=0),"※自用消耗的去向只能是一矿区或二矿区",IF(AND($K2661="对外销售",COUNTIF({"三矿区";"六矿区"},$L2661)=0),"※对外销售的去向只能是三矿区或六矿区",IF(AND($K2661="对外销售",ROUND($Q2661,0)=0),"※外销却没有售价，请填实际售价",IF(AND($K2661="对外销售",$T2661&lt;&gt;"",$T2661&lt;0),"※这一笔外销是亏的，请核对售价",IF(IFERROR(VLOOKUP($D2661,库存台账!$A$5:$Y$1204,24,0),0)&lt;-0.001,"※这个物料账面已经变成负数了，查一下是不是漏记入库","")))))))))))</f>
        <v/>
      </c>
    </row>
    <row r="2662">
      <c r="A2662" s="24">
        <f>IF($D2662="","",COUNTA($D$4:$D2662))</f>
        <v/>
      </c>
      <c r="B2662" s="17" t="n"/>
      <c r="C2662" s="30" t="n"/>
      <c r="D2662" s="17" t="n"/>
      <c r="E2662" s="24">
        <f>IF($D2662="","",IFERROR(VLOOKUP($D2662,物料档案!$A$4:$P$1203,3,0),"※编码不在物料档案里"))</f>
        <v/>
      </c>
      <c r="F2662" s="24">
        <f>IF($D2662="","",IFERROR(VLOOKUP($D2662,物料档案!$A$4:$P$1203,4,0),"※编码不在物料档案里"))</f>
        <v/>
      </c>
      <c r="G2662" s="24">
        <f>IF($D2662="","",IFERROR(VLOOKUP($D2662,物料档案!$A$4:$P$1203,5,0),"※编码不在物料档案里"))</f>
        <v/>
      </c>
      <c r="H2662" s="24">
        <f>IF($D2662="","",IFERROR(VLOOKUP($D2662,物料档案!$A$4:$P$1203,2,0),"※编码不在物料档案里"))</f>
        <v/>
      </c>
      <c r="I2662" s="24">
        <f>IF($D2662="","",IFERROR(VLOOKUP($D2662,物料档案!$A$4:$P$1203,6,0),"※编码不在物料档案里"))</f>
        <v/>
      </c>
      <c r="J2662" s="23" t="n"/>
      <c r="K2662" s="17" t="n"/>
      <c r="L2662" s="17" t="n"/>
      <c r="M2662" s="17" t="n"/>
      <c r="N2662" s="17" t="n"/>
      <c r="O2662" s="26">
        <f>IF($D2662="","",IFERROR(VLOOKUP($D2662,物料档案!$A$4:$P$1203,10,0),0))</f>
        <v/>
      </c>
      <c r="P2662" s="32" t="n"/>
      <c r="Q2662" s="26">
        <f>IF($D2662="","",IF($K2662&lt;&gt;"对外销售",0,ROUND(N($J2662)*IF($P2662="",N($O2662),N($P2662)),0)))</f>
        <v/>
      </c>
      <c r="R2662" s="26">
        <f>IF($D2662="","",IFERROR(VLOOKUP($D2662,库存台账!$A$5:$Y$1204,11,0),0))</f>
        <v/>
      </c>
      <c r="S2662" s="26">
        <f>IF($D2662="","",ROUND(N($J2662)*N($R2662),0))</f>
        <v/>
      </c>
      <c r="T2662" s="26">
        <f>IF($D2662="","",IF($K2662&lt;&gt;"对外销售","",ROUND($Q2662-$S2662,0)))</f>
        <v/>
      </c>
      <c r="U2662" s="17" t="n"/>
      <c r="V2662" s="17" t="n"/>
      <c r="W2662" s="24">
        <f>IF($D2662="","",IF($E2662="※编码不在物料档案里","※物料编码不在档案里",IF(N($J2662)&lt;=0,"※出库数量要大于 0",IF($K2662="","※没填去向类型",IF($L2662="","※没填去向矿区",IF(AND($C2662&lt;&gt;"",$C2662&lt;=结账锁),"※日期早于已结账截止日，不能再录",IF(AND($K2662="自用消耗",COUNTIF({"一矿区";"二矿区"},$L2662)=0),"※自用消耗的去向只能是一矿区或二矿区",IF(AND($K2662="对外销售",COUNTIF({"三矿区";"六矿区"},$L2662)=0),"※对外销售的去向只能是三矿区或六矿区",IF(AND($K2662="对外销售",ROUND($Q2662,0)=0),"※外销却没有售价，请填实际售价",IF(AND($K2662="对外销售",$T2662&lt;&gt;"",$T2662&lt;0),"※这一笔外销是亏的，请核对售价",IF(IFERROR(VLOOKUP($D2662,库存台账!$A$5:$Y$1204,24,0),0)&lt;-0.001,"※这个物料账面已经变成负数了，查一下是不是漏记入库","")))))))))))</f>
        <v/>
      </c>
    </row>
    <row r="2663">
      <c r="A2663" s="24">
        <f>IF($D2663="","",COUNTA($D$4:$D2663))</f>
        <v/>
      </c>
      <c r="B2663" s="17" t="n"/>
      <c r="C2663" s="30" t="n"/>
      <c r="D2663" s="17" t="n"/>
      <c r="E2663" s="24">
        <f>IF($D2663="","",IFERROR(VLOOKUP($D2663,物料档案!$A$4:$P$1203,3,0),"※编码不在物料档案里"))</f>
        <v/>
      </c>
      <c r="F2663" s="24">
        <f>IF($D2663="","",IFERROR(VLOOKUP($D2663,物料档案!$A$4:$P$1203,4,0),"※编码不在物料档案里"))</f>
        <v/>
      </c>
      <c r="G2663" s="24">
        <f>IF($D2663="","",IFERROR(VLOOKUP($D2663,物料档案!$A$4:$P$1203,5,0),"※编码不在物料档案里"))</f>
        <v/>
      </c>
      <c r="H2663" s="24">
        <f>IF($D2663="","",IFERROR(VLOOKUP($D2663,物料档案!$A$4:$P$1203,2,0),"※编码不在物料档案里"))</f>
        <v/>
      </c>
      <c r="I2663" s="24">
        <f>IF($D2663="","",IFERROR(VLOOKUP($D2663,物料档案!$A$4:$P$1203,6,0),"※编码不在物料档案里"))</f>
        <v/>
      </c>
      <c r="J2663" s="23" t="n"/>
      <c r="K2663" s="17" t="n"/>
      <c r="L2663" s="17" t="n"/>
      <c r="M2663" s="17" t="n"/>
      <c r="N2663" s="17" t="n"/>
      <c r="O2663" s="26">
        <f>IF($D2663="","",IFERROR(VLOOKUP($D2663,物料档案!$A$4:$P$1203,10,0),0))</f>
        <v/>
      </c>
      <c r="P2663" s="32" t="n"/>
      <c r="Q2663" s="26">
        <f>IF($D2663="","",IF($K2663&lt;&gt;"对外销售",0,ROUND(N($J2663)*IF($P2663="",N($O2663),N($P2663)),0)))</f>
        <v/>
      </c>
      <c r="R2663" s="26">
        <f>IF($D2663="","",IFERROR(VLOOKUP($D2663,库存台账!$A$5:$Y$1204,11,0),0))</f>
        <v/>
      </c>
      <c r="S2663" s="26">
        <f>IF($D2663="","",ROUND(N($J2663)*N($R2663),0))</f>
        <v/>
      </c>
      <c r="T2663" s="26">
        <f>IF($D2663="","",IF($K2663&lt;&gt;"对外销售","",ROUND($Q2663-$S2663,0)))</f>
        <v/>
      </c>
      <c r="U2663" s="17" t="n"/>
      <c r="V2663" s="17" t="n"/>
      <c r="W2663" s="24">
        <f>IF($D2663="","",IF($E2663="※编码不在物料档案里","※物料编码不在档案里",IF(N($J2663)&lt;=0,"※出库数量要大于 0",IF($K2663="","※没填去向类型",IF($L2663="","※没填去向矿区",IF(AND($C2663&lt;&gt;"",$C2663&lt;=结账锁),"※日期早于已结账截止日，不能再录",IF(AND($K2663="自用消耗",COUNTIF({"一矿区";"二矿区"},$L2663)=0),"※自用消耗的去向只能是一矿区或二矿区",IF(AND($K2663="对外销售",COUNTIF({"三矿区";"六矿区"},$L2663)=0),"※对外销售的去向只能是三矿区或六矿区",IF(AND($K2663="对外销售",ROUND($Q2663,0)=0),"※外销却没有售价，请填实际售价",IF(AND($K2663="对外销售",$T2663&lt;&gt;"",$T2663&lt;0),"※这一笔外销是亏的，请核对售价",IF(IFERROR(VLOOKUP($D2663,库存台账!$A$5:$Y$1204,24,0),0)&lt;-0.001,"※这个物料账面已经变成负数了，查一下是不是漏记入库","")))))))))))</f>
        <v/>
      </c>
    </row>
    <row r="2664">
      <c r="A2664" s="24">
        <f>IF($D2664="","",COUNTA($D$4:$D2664))</f>
        <v/>
      </c>
      <c r="B2664" s="17" t="n"/>
      <c r="C2664" s="30" t="n"/>
      <c r="D2664" s="17" t="n"/>
      <c r="E2664" s="24">
        <f>IF($D2664="","",IFERROR(VLOOKUP($D2664,物料档案!$A$4:$P$1203,3,0),"※编码不在物料档案里"))</f>
        <v/>
      </c>
      <c r="F2664" s="24">
        <f>IF($D2664="","",IFERROR(VLOOKUP($D2664,物料档案!$A$4:$P$1203,4,0),"※编码不在物料档案里"))</f>
        <v/>
      </c>
      <c r="G2664" s="24">
        <f>IF($D2664="","",IFERROR(VLOOKUP($D2664,物料档案!$A$4:$P$1203,5,0),"※编码不在物料档案里"))</f>
        <v/>
      </c>
      <c r="H2664" s="24">
        <f>IF($D2664="","",IFERROR(VLOOKUP($D2664,物料档案!$A$4:$P$1203,2,0),"※编码不在物料档案里"))</f>
        <v/>
      </c>
      <c r="I2664" s="24">
        <f>IF($D2664="","",IFERROR(VLOOKUP($D2664,物料档案!$A$4:$P$1203,6,0),"※编码不在物料档案里"))</f>
        <v/>
      </c>
      <c r="J2664" s="23" t="n"/>
      <c r="K2664" s="17" t="n"/>
      <c r="L2664" s="17" t="n"/>
      <c r="M2664" s="17" t="n"/>
      <c r="N2664" s="17" t="n"/>
      <c r="O2664" s="26">
        <f>IF($D2664="","",IFERROR(VLOOKUP($D2664,物料档案!$A$4:$P$1203,10,0),0))</f>
        <v/>
      </c>
      <c r="P2664" s="32" t="n"/>
      <c r="Q2664" s="26">
        <f>IF($D2664="","",IF($K2664&lt;&gt;"对外销售",0,ROUND(N($J2664)*IF($P2664="",N($O2664),N($P2664)),0)))</f>
        <v/>
      </c>
      <c r="R2664" s="26">
        <f>IF($D2664="","",IFERROR(VLOOKUP($D2664,库存台账!$A$5:$Y$1204,11,0),0))</f>
        <v/>
      </c>
      <c r="S2664" s="26">
        <f>IF($D2664="","",ROUND(N($J2664)*N($R2664),0))</f>
        <v/>
      </c>
      <c r="T2664" s="26">
        <f>IF($D2664="","",IF($K2664&lt;&gt;"对外销售","",ROUND($Q2664-$S2664,0)))</f>
        <v/>
      </c>
      <c r="U2664" s="17" t="n"/>
      <c r="V2664" s="17" t="n"/>
      <c r="W2664" s="24">
        <f>IF($D2664="","",IF($E2664="※编码不在物料档案里","※物料编码不在档案里",IF(N($J2664)&lt;=0,"※出库数量要大于 0",IF($K2664="","※没填去向类型",IF($L2664="","※没填去向矿区",IF(AND($C2664&lt;&gt;"",$C2664&lt;=结账锁),"※日期早于已结账截止日，不能再录",IF(AND($K2664="自用消耗",COUNTIF({"一矿区";"二矿区"},$L2664)=0),"※自用消耗的去向只能是一矿区或二矿区",IF(AND($K2664="对外销售",COUNTIF({"三矿区";"六矿区"},$L2664)=0),"※对外销售的去向只能是三矿区或六矿区",IF(AND($K2664="对外销售",ROUND($Q2664,0)=0),"※外销却没有售价，请填实际售价",IF(AND($K2664="对外销售",$T2664&lt;&gt;"",$T2664&lt;0),"※这一笔外销是亏的，请核对售价",IF(IFERROR(VLOOKUP($D2664,库存台账!$A$5:$Y$1204,24,0),0)&lt;-0.001,"※这个物料账面已经变成负数了，查一下是不是漏记入库","")))))))))))</f>
        <v/>
      </c>
    </row>
    <row r="2665">
      <c r="A2665" s="24">
        <f>IF($D2665="","",COUNTA($D$4:$D2665))</f>
        <v/>
      </c>
      <c r="B2665" s="17" t="n"/>
      <c r="C2665" s="30" t="n"/>
      <c r="D2665" s="17" t="n"/>
      <c r="E2665" s="24">
        <f>IF($D2665="","",IFERROR(VLOOKUP($D2665,物料档案!$A$4:$P$1203,3,0),"※编码不在物料档案里"))</f>
        <v/>
      </c>
      <c r="F2665" s="24">
        <f>IF($D2665="","",IFERROR(VLOOKUP($D2665,物料档案!$A$4:$P$1203,4,0),"※编码不在物料档案里"))</f>
        <v/>
      </c>
      <c r="G2665" s="24">
        <f>IF($D2665="","",IFERROR(VLOOKUP($D2665,物料档案!$A$4:$P$1203,5,0),"※编码不在物料档案里"))</f>
        <v/>
      </c>
      <c r="H2665" s="24">
        <f>IF($D2665="","",IFERROR(VLOOKUP($D2665,物料档案!$A$4:$P$1203,2,0),"※编码不在物料档案里"))</f>
        <v/>
      </c>
      <c r="I2665" s="24">
        <f>IF($D2665="","",IFERROR(VLOOKUP($D2665,物料档案!$A$4:$P$1203,6,0),"※编码不在物料档案里"))</f>
        <v/>
      </c>
      <c r="J2665" s="23" t="n"/>
      <c r="K2665" s="17" t="n"/>
      <c r="L2665" s="17" t="n"/>
      <c r="M2665" s="17" t="n"/>
      <c r="N2665" s="17" t="n"/>
      <c r="O2665" s="26">
        <f>IF($D2665="","",IFERROR(VLOOKUP($D2665,物料档案!$A$4:$P$1203,10,0),0))</f>
        <v/>
      </c>
      <c r="P2665" s="32" t="n"/>
      <c r="Q2665" s="26">
        <f>IF($D2665="","",IF($K2665&lt;&gt;"对外销售",0,ROUND(N($J2665)*IF($P2665="",N($O2665),N($P2665)),0)))</f>
        <v/>
      </c>
      <c r="R2665" s="26">
        <f>IF($D2665="","",IFERROR(VLOOKUP($D2665,库存台账!$A$5:$Y$1204,11,0),0))</f>
        <v/>
      </c>
      <c r="S2665" s="26">
        <f>IF($D2665="","",ROUND(N($J2665)*N($R2665),0))</f>
        <v/>
      </c>
      <c r="T2665" s="26">
        <f>IF($D2665="","",IF($K2665&lt;&gt;"对外销售","",ROUND($Q2665-$S2665,0)))</f>
        <v/>
      </c>
      <c r="U2665" s="17" t="n"/>
      <c r="V2665" s="17" t="n"/>
      <c r="W2665" s="24">
        <f>IF($D2665="","",IF($E2665="※编码不在物料档案里","※物料编码不在档案里",IF(N($J2665)&lt;=0,"※出库数量要大于 0",IF($K2665="","※没填去向类型",IF($L2665="","※没填去向矿区",IF(AND($C2665&lt;&gt;"",$C2665&lt;=结账锁),"※日期早于已结账截止日，不能再录",IF(AND($K2665="自用消耗",COUNTIF({"一矿区";"二矿区"},$L2665)=0),"※自用消耗的去向只能是一矿区或二矿区",IF(AND($K2665="对外销售",COUNTIF({"三矿区";"六矿区"},$L2665)=0),"※对外销售的去向只能是三矿区或六矿区",IF(AND($K2665="对外销售",ROUND($Q2665,0)=0),"※外销却没有售价，请填实际售价",IF(AND($K2665="对外销售",$T2665&lt;&gt;"",$T2665&lt;0),"※这一笔外销是亏的，请核对售价",IF(IFERROR(VLOOKUP($D2665,库存台账!$A$5:$Y$1204,24,0),0)&lt;-0.001,"※这个物料账面已经变成负数了，查一下是不是漏记入库","")))))))))))</f>
        <v/>
      </c>
    </row>
    <row r="2666">
      <c r="A2666" s="24">
        <f>IF($D2666="","",COUNTA($D$4:$D2666))</f>
        <v/>
      </c>
      <c r="B2666" s="17" t="n"/>
      <c r="C2666" s="30" t="n"/>
      <c r="D2666" s="17" t="n"/>
      <c r="E2666" s="24">
        <f>IF($D2666="","",IFERROR(VLOOKUP($D2666,物料档案!$A$4:$P$1203,3,0),"※编码不在物料档案里"))</f>
        <v/>
      </c>
      <c r="F2666" s="24">
        <f>IF($D2666="","",IFERROR(VLOOKUP($D2666,物料档案!$A$4:$P$1203,4,0),"※编码不在物料档案里"))</f>
        <v/>
      </c>
      <c r="G2666" s="24">
        <f>IF($D2666="","",IFERROR(VLOOKUP($D2666,物料档案!$A$4:$P$1203,5,0),"※编码不在物料档案里"))</f>
        <v/>
      </c>
      <c r="H2666" s="24">
        <f>IF($D2666="","",IFERROR(VLOOKUP($D2666,物料档案!$A$4:$P$1203,2,0),"※编码不在物料档案里"))</f>
        <v/>
      </c>
      <c r="I2666" s="24">
        <f>IF($D2666="","",IFERROR(VLOOKUP($D2666,物料档案!$A$4:$P$1203,6,0),"※编码不在物料档案里"))</f>
        <v/>
      </c>
      <c r="J2666" s="23" t="n"/>
      <c r="K2666" s="17" t="n"/>
      <c r="L2666" s="17" t="n"/>
      <c r="M2666" s="17" t="n"/>
      <c r="N2666" s="17" t="n"/>
      <c r="O2666" s="26">
        <f>IF($D2666="","",IFERROR(VLOOKUP($D2666,物料档案!$A$4:$P$1203,10,0),0))</f>
        <v/>
      </c>
      <c r="P2666" s="32" t="n"/>
      <c r="Q2666" s="26">
        <f>IF($D2666="","",IF($K2666&lt;&gt;"对外销售",0,ROUND(N($J2666)*IF($P2666="",N($O2666),N($P2666)),0)))</f>
        <v/>
      </c>
      <c r="R2666" s="26">
        <f>IF($D2666="","",IFERROR(VLOOKUP($D2666,库存台账!$A$5:$Y$1204,11,0),0))</f>
        <v/>
      </c>
      <c r="S2666" s="26">
        <f>IF($D2666="","",ROUND(N($J2666)*N($R2666),0))</f>
        <v/>
      </c>
      <c r="T2666" s="26">
        <f>IF($D2666="","",IF($K2666&lt;&gt;"对外销售","",ROUND($Q2666-$S2666,0)))</f>
        <v/>
      </c>
      <c r="U2666" s="17" t="n"/>
      <c r="V2666" s="17" t="n"/>
      <c r="W2666" s="24">
        <f>IF($D2666="","",IF($E2666="※编码不在物料档案里","※物料编码不在档案里",IF(N($J2666)&lt;=0,"※出库数量要大于 0",IF($K2666="","※没填去向类型",IF($L2666="","※没填去向矿区",IF(AND($C2666&lt;&gt;"",$C2666&lt;=结账锁),"※日期早于已结账截止日，不能再录",IF(AND($K2666="自用消耗",COUNTIF({"一矿区";"二矿区"},$L2666)=0),"※自用消耗的去向只能是一矿区或二矿区",IF(AND($K2666="对外销售",COUNTIF({"三矿区";"六矿区"},$L2666)=0),"※对外销售的去向只能是三矿区或六矿区",IF(AND($K2666="对外销售",ROUND($Q2666,0)=0),"※外销却没有售价，请填实际售价",IF(AND($K2666="对外销售",$T2666&lt;&gt;"",$T2666&lt;0),"※这一笔外销是亏的，请核对售价",IF(IFERROR(VLOOKUP($D2666,库存台账!$A$5:$Y$1204,24,0),0)&lt;-0.001,"※这个物料账面已经变成负数了，查一下是不是漏记入库","")))))))))))</f>
        <v/>
      </c>
    </row>
    <row r="2667">
      <c r="A2667" s="24">
        <f>IF($D2667="","",COUNTA($D$4:$D2667))</f>
        <v/>
      </c>
      <c r="B2667" s="17" t="n"/>
      <c r="C2667" s="30" t="n"/>
      <c r="D2667" s="17" t="n"/>
      <c r="E2667" s="24">
        <f>IF($D2667="","",IFERROR(VLOOKUP($D2667,物料档案!$A$4:$P$1203,3,0),"※编码不在物料档案里"))</f>
        <v/>
      </c>
      <c r="F2667" s="24">
        <f>IF($D2667="","",IFERROR(VLOOKUP($D2667,物料档案!$A$4:$P$1203,4,0),"※编码不在物料档案里"))</f>
        <v/>
      </c>
      <c r="G2667" s="24">
        <f>IF($D2667="","",IFERROR(VLOOKUP($D2667,物料档案!$A$4:$P$1203,5,0),"※编码不在物料档案里"))</f>
        <v/>
      </c>
      <c r="H2667" s="24">
        <f>IF($D2667="","",IFERROR(VLOOKUP($D2667,物料档案!$A$4:$P$1203,2,0),"※编码不在物料档案里"))</f>
        <v/>
      </c>
      <c r="I2667" s="24">
        <f>IF($D2667="","",IFERROR(VLOOKUP($D2667,物料档案!$A$4:$P$1203,6,0),"※编码不在物料档案里"))</f>
        <v/>
      </c>
      <c r="J2667" s="23" t="n"/>
      <c r="K2667" s="17" t="n"/>
      <c r="L2667" s="17" t="n"/>
      <c r="M2667" s="17" t="n"/>
      <c r="N2667" s="17" t="n"/>
      <c r="O2667" s="26">
        <f>IF($D2667="","",IFERROR(VLOOKUP($D2667,物料档案!$A$4:$P$1203,10,0),0))</f>
        <v/>
      </c>
      <c r="P2667" s="32" t="n"/>
      <c r="Q2667" s="26">
        <f>IF($D2667="","",IF($K2667&lt;&gt;"对外销售",0,ROUND(N($J2667)*IF($P2667="",N($O2667),N($P2667)),0)))</f>
        <v/>
      </c>
      <c r="R2667" s="26">
        <f>IF($D2667="","",IFERROR(VLOOKUP($D2667,库存台账!$A$5:$Y$1204,11,0),0))</f>
        <v/>
      </c>
      <c r="S2667" s="26">
        <f>IF($D2667="","",ROUND(N($J2667)*N($R2667),0))</f>
        <v/>
      </c>
      <c r="T2667" s="26">
        <f>IF($D2667="","",IF($K2667&lt;&gt;"对外销售","",ROUND($Q2667-$S2667,0)))</f>
        <v/>
      </c>
      <c r="U2667" s="17" t="n"/>
      <c r="V2667" s="17" t="n"/>
      <c r="W2667" s="24">
        <f>IF($D2667="","",IF($E2667="※编码不在物料档案里","※物料编码不在档案里",IF(N($J2667)&lt;=0,"※出库数量要大于 0",IF($K2667="","※没填去向类型",IF($L2667="","※没填去向矿区",IF(AND($C2667&lt;&gt;"",$C2667&lt;=结账锁),"※日期早于已结账截止日，不能再录",IF(AND($K2667="自用消耗",COUNTIF({"一矿区";"二矿区"},$L2667)=0),"※自用消耗的去向只能是一矿区或二矿区",IF(AND($K2667="对外销售",COUNTIF({"三矿区";"六矿区"},$L2667)=0),"※对外销售的去向只能是三矿区或六矿区",IF(AND($K2667="对外销售",ROUND($Q2667,0)=0),"※外销却没有售价，请填实际售价",IF(AND($K2667="对外销售",$T2667&lt;&gt;"",$T2667&lt;0),"※这一笔外销是亏的，请核对售价",IF(IFERROR(VLOOKUP($D2667,库存台账!$A$5:$Y$1204,24,0),0)&lt;-0.001,"※这个物料账面已经变成负数了，查一下是不是漏记入库","")))))))))))</f>
        <v/>
      </c>
    </row>
    <row r="2668">
      <c r="A2668" s="24">
        <f>IF($D2668="","",COUNTA($D$4:$D2668))</f>
        <v/>
      </c>
      <c r="B2668" s="17" t="n"/>
      <c r="C2668" s="30" t="n"/>
      <c r="D2668" s="17" t="n"/>
      <c r="E2668" s="24">
        <f>IF($D2668="","",IFERROR(VLOOKUP($D2668,物料档案!$A$4:$P$1203,3,0),"※编码不在物料档案里"))</f>
        <v/>
      </c>
      <c r="F2668" s="24">
        <f>IF($D2668="","",IFERROR(VLOOKUP($D2668,物料档案!$A$4:$P$1203,4,0),"※编码不在物料档案里"))</f>
        <v/>
      </c>
      <c r="G2668" s="24">
        <f>IF($D2668="","",IFERROR(VLOOKUP($D2668,物料档案!$A$4:$P$1203,5,0),"※编码不在物料档案里"))</f>
        <v/>
      </c>
      <c r="H2668" s="24">
        <f>IF($D2668="","",IFERROR(VLOOKUP($D2668,物料档案!$A$4:$P$1203,2,0),"※编码不在物料档案里"))</f>
        <v/>
      </c>
      <c r="I2668" s="24">
        <f>IF($D2668="","",IFERROR(VLOOKUP($D2668,物料档案!$A$4:$P$1203,6,0),"※编码不在物料档案里"))</f>
        <v/>
      </c>
      <c r="J2668" s="23" t="n"/>
      <c r="K2668" s="17" t="n"/>
      <c r="L2668" s="17" t="n"/>
      <c r="M2668" s="17" t="n"/>
      <c r="N2668" s="17" t="n"/>
      <c r="O2668" s="26">
        <f>IF($D2668="","",IFERROR(VLOOKUP($D2668,物料档案!$A$4:$P$1203,10,0),0))</f>
        <v/>
      </c>
      <c r="P2668" s="32" t="n"/>
      <c r="Q2668" s="26">
        <f>IF($D2668="","",IF($K2668&lt;&gt;"对外销售",0,ROUND(N($J2668)*IF($P2668="",N($O2668),N($P2668)),0)))</f>
        <v/>
      </c>
      <c r="R2668" s="26">
        <f>IF($D2668="","",IFERROR(VLOOKUP($D2668,库存台账!$A$5:$Y$1204,11,0),0))</f>
        <v/>
      </c>
      <c r="S2668" s="26">
        <f>IF($D2668="","",ROUND(N($J2668)*N($R2668),0))</f>
        <v/>
      </c>
      <c r="T2668" s="26">
        <f>IF($D2668="","",IF($K2668&lt;&gt;"对外销售","",ROUND($Q2668-$S2668,0)))</f>
        <v/>
      </c>
      <c r="U2668" s="17" t="n"/>
      <c r="V2668" s="17" t="n"/>
      <c r="W2668" s="24">
        <f>IF($D2668="","",IF($E2668="※编码不在物料档案里","※物料编码不在档案里",IF(N($J2668)&lt;=0,"※出库数量要大于 0",IF($K2668="","※没填去向类型",IF($L2668="","※没填去向矿区",IF(AND($C2668&lt;&gt;"",$C2668&lt;=结账锁),"※日期早于已结账截止日，不能再录",IF(AND($K2668="自用消耗",COUNTIF({"一矿区";"二矿区"},$L2668)=0),"※自用消耗的去向只能是一矿区或二矿区",IF(AND($K2668="对外销售",COUNTIF({"三矿区";"六矿区"},$L2668)=0),"※对外销售的去向只能是三矿区或六矿区",IF(AND($K2668="对外销售",ROUND($Q2668,0)=0),"※外销却没有售价，请填实际售价",IF(AND($K2668="对外销售",$T2668&lt;&gt;"",$T2668&lt;0),"※这一笔外销是亏的，请核对售价",IF(IFERROR(VLOOKUP($D2668,库存台账!$A$5:$Y$1204,24,0),0)&lt;-0.001,"※这个物料账面已经变成负数了，查一下是不是漏记入库","")))))))))))</f>
        <v/>
      </c>
    </row>
    <row r="2669">
      <c r="A2669" s="24">
        <f>IF($D2669="","",COUNTA($D$4:$D2669))</f>
        <v/>
      </c>
      <c r="B2669" s="17" t="n"/>
      <c r="C2669" s="30" t="n"/>
      <c r="D2669" s="17" t="n"/>
      <c r="E2669" s="24">
        <f>IF($D2669="","",IFERROR(VLOOKUP($D2669,物料档案!$A$4:$P$1203,3,0),"※编码不在物料档案里"))</f>
        <v/>
      </c>
      <c r="F2669" s="24">
        <f>IF($D2669="","",IFERROR(VLOOKUP($D2669,物料档案!$A$4:$P$1203,4,0),"※编码不在物料档案里"))</f>
        <v/>
      </c>
      <c r="G2669" s="24">
        <f>IF($D2669="","",IFERROR(VLOOKUP($D2669,物料档案!$A$4:$P$1203,5,0),"※编码不在物料档案里"))</f>
        <v/>
      </c>
      <c r="H2669" s="24">
        <f>IF($D2669="","",IFERROR(VLOOKUP($D2669,物料档案!$A$4:$P$1203,2,0),"※编码不在物料档案里"))</f>
        <v/>
      </c>
      <c r="I2669" s="24">
        <f>IF($D2669="","",IFERROR(VLOOKUP($D2669,物料档案!$A$4:$P$1203,6,0),"※编码不在物料档案里"))</f>
        <v/>
      </c>
      <c r="J2669" s="23" t="n"/>
      <c r="K2669" s="17" t="n"/>
      <c r="L2669" s="17" t="n"/>
      <c r="M2669" s="17" t="n"/>
      <c r="N2669" s="17" t="n"/>
      <c r="O2669" s="26">
        <f>IF($D2669="","",IFERROR(VLOOKUP($D2669,物料档案!$A$4:$P$1203,10,0),0))</f>
        <v/>
      </c>
      <c r="P2669" s="32" t="n"/>
      <c r="Q2669" s="26">
        <f>IF($D2669="","",IF($K2669&lt;&gt;"对外销售",0,ROUND(N($J2669)*IF($P2669="",N($O2669),N($P2669)),0)))</f>
        <v/>
      </c>
      <c r="R2669" s="26">
        <f>IF($D2669="","",IFERROR(VLOOKUP($D2669,库存台账!$A$5:$Y$1204,11,0),0))</f>
        <v/>
      </c>
      <c r="S2669" s="26">
        <f>IF($D2669="","",ROUND(N($J2669)*N($R2669),0))</f>
        <v/>
      </c>
      <c r="T2669" s="26">
        <f>IF($D2669="","",IF($K2669&lt;&gt;"对外销售","",ROUND($Q2669-$S2669,0)))</f>
        <v/>
      </c>
      <c r="U2669" s="17" t="n"/>
      <c r="V2669" s="17" t="n"/>
      <c r="W2669" s="24">
        <f>IF($D2669="","",IF($E2669="※编码不在物料档案里","※物料编码不在档案里",IF(N($J2669)&lt;=0,"※出库数量要大于 0",IF($K2669="","※没填去向类型",IF($L2669="","※没填去向矿区",IF(AND($C2669&lt;&gt;"",$C2669&lt;=结账锁),"※日期早于已结账截止日，不能再录",IF(AND($K2669="自用消耗",COUNTIF({"一矿区";"二矿区"},$L2669)=0),"※自用消耗的去向只能是一矿区或二矿区",IF(AND($K2669="对外销售",COUNTIF({"三矿区";"六矿区"},$L2669)=0),"※对外销售的去向只能是三矿区或六矿区",IF(AND($K2669="对外销售",ROUND($Q2669,0)=0),"※外销却没有售价，请填实际售价",IF(AND($K2669="对外销售",$T2669&lt;&gt;"",$T2669&lt;0),"※这一笔外销是亏的，请核对售价",IF(IFERROR(VLOOKUP($D2669,库存台账!$A$5:$Y$1204,24,0),0)&lt;-0.001,"※这个物料账面已经变成负数了，查一下是不是漏记入库","")))))))))))</f>
        <v/>
      </c>
    </row>
    <row r="2670">
      <c r="A2670" s="24">
        <f>IF($D2670="","",COUNTA($D$4:$D2670))</f>
        <v/>
      </c>
      <c r="B2670" s="17" t="n"/>
      <c r="C2670" s="30" t="n"/>
      <c r="D2670" s="17" t="n"/>
      <c r="E2670" s="24">
        <f>IF($D2670="","",IFERROR(VLOOKUP($D2670,物料档案!$A$4:$P$1203,3,0),"※编码不在物料档案里"))</f>
        <v/>
      </c>
      <c r="F2670" s="24">
        <f>IF($D2670="","",IFERROR(VLOOKUP($D2670,物料档案!$A$4:$P$1203,4,0),"※编码不在物料档案里"))</f>
        <v/>
      </c>
      <c r="G2670" s="24">
        <f>IF($D2670="","",IFERROR(VLOOKUP($D2670,物料档案!$A$4:$P$1203,5,0),"※编码不在物料档案里"))</f>
        <v/>
      </c>
      <c r="H2670" s="24">
        <f>IF($D2670="","",IFERROR(VLOOKUP($D2670,物料档案!$A$4:$P$1203,2,0),"※编码不在物料档案里"))</f>
        <v/>
      </c>
      <c r="I2670" s="24">
        <f>IF($D2670="","",IFERROR(VLOOKUP($D2670,物料档案!$A$4:$P$1203,6,0),"※编码不在物料档案里"))</f>
        <v/>
      </c>
      <c r="J2670" s="23" t="n"/>
      <c r="K2670" s="17" t="n"/>
      <c r="L2670" s="17" t="n"/>
      <c r="M2670" s="17" t="n"/>
      <c r="N2670" s="17" t="n"/>
      <c r="O2670" s="26">
        <f>IF($D2670="","",IFERROR(VLOOKUP($D2670,物料档案!$A$4:$P$1203,10,0),0))</f>
        <v/>
      </c>
      <c r="P2670" s="32" t="n"/>
      <c r="Q2670" s="26">
        <f>IF($D2670="","",IF($K2670&lt;&gt;"对外销售",0,ROUND(N($J2670)*IF($P2670="",N($O2670),N($P2670)),0)))</f>
        <v/>
      </c>
      <c r="R2670" s="26">
        <f>IF($D2670="","",IFERROR(VLOOKUP($D2670,库存台账!$A$5:$Y$1204,11,0),0))</f>
        <v/>
      </c>
      <c r="S2670" s="26">
        <f>IF($D2670="","",ROUND(N($J2670)*N($R2670),0))</f>
        <v/>
      </c>
      <c r="T2670" s="26">
        <f>IF($D2670="","",IF($K2670&lt;&gt;"对外销售","",ROUND($Q2670-$S2670,0)))</f>
        <v/>
      </c>
      <c r="U2670" s="17" t="n"/>
      <c r="V2670" s="17" t="n"/>
      <c r="W2670" s="24">
        <f>IF($D2670="","",IF($E2670="※编码不在物料档案里","※物料编码不在档案里",IF(N($J2670)&lt;=0,"※出库数量要大于 0",IF($K2670="","※没填去向类型",IF($L2670="","※没填去向矿区",IF(AND($C2670&lt;&gt;"",$C2670&lt;=结账锁),"※日期早于已结账截止日，不能再录",IF(AND($K2670="自用消耗",COUNTIF({"一矿区";"二矿区"},$L2670)=0),"※自用消耗的去向只能是一矿区或二矿区",IF(AND($K2670="对外销售",COUNTIF({"三矿区";"六矿区"},$L2670)=0),"※对外销售的去向只能是三矿区或六矿区",IF(AND($K2670="对外销售",ROUND($Q2670,0)=0),"※外销却没有售价，请填实际售价",IF(AND($K2670="对外销售",$T2670&lt;&gt;"",$T2670&lt;0),"※这一笔外销是亏的，请核对售价",IF(IFERROR(VLOOKUP($D2670,库存台账!$A$5:$Y$1204,24,0),0)&lt;-0.001,"※这个物料账面已经变成负数了，查一下是不是漏记入库","")))))))))))</f>
        <v/>
      </c>
    </row>
    <row r="2671">
      <c r="A2671" s="24">
        <f>IF($D2671="","",COUNTA($D$4:$D2671))</f>
        <v/>
      </c>
      <c r="B2671" s="17" t="n"/>
      <c r="C2671" s="30" t="n"/>
      <c r="D2671" s="17" t="n"/>
      <c r="E2671" s="24">
        <f>IF($D2671="","",IFERROR(VLOOKUP($D2671,物料档案!$A$4:$P$1203,3,0),"※编码不在物料档案里"))</f>
        <v/>
      </c>
      <c r="F2671" s="24">
        <f>IF($D2671="","",IFERROR(VLOOKUP($D2671,物料档案!$A$4:$P$1203,4,0),"※编码不在物料档案里"))</f>
        <v/>
      </c>
      <c r="G2671" s="24">
        <f>IF($D2671="","",IFERROR(VLOOKUP($D2671,物料档案!$A$4:$P$1203,5,0),"※编码不在物料档案里"))</f>
        <v/>
      </c>
      <c r="H2671" s="24">
        <f>IF($D2671="","",IFERROR(VLOOKUP($D2671,物料档案!$A$4:$P$1203,2,0),"※编码不在物料档案里"))</f>
        <v/>
      </c>
      <c r="I2671" s="24">
        <f>IF($D2671="","",IFERROR(VLOOKUP($D2671,物料档案!$A$4:$P$1203,6,0),"※编码不在物料档案里"))</f>
        <v/>
      </c>
      <c r="J2671" s="23" t="n"/>
      <c r="K2671" s="17" t="n"/>
      <c r="L2671" s="17" t="n"/>
      <c r="M2671" s="17" t="n"/>
      <c r="N2671" s="17" t="n"/>
      <c r="O2671" s="26">
        <f>IF($D2671="","",IFERROR(VLOOKUP($D2671,物料档案!$A$4:$P$1203,10,0),0))</f>
        <v/>
      </c>
      <c r="P2671" s="32" t="n"/>
      <c r="Q2671" s="26">
        <f>IF($D2671="","",IF($K2671&lt;&gt;"对外销售",0,ROUND(N($J2671)*IF($P2671="",N($O2671),N($P2671)),0)))</f>
        <v/>
      </c>
      <c r="R2671" s="26">
        <f>IF($D2671="","",IFERROR(VLOOKUP($D2671,库存台账!$A$5:$Y$1204,11,0),0))</f>
        <v/>
      </c>
      <c r="S2671" s="26">
        <f>IF($D2671="","",ROUND(N($J2671)*N($R2671),0))</f>
        <v/>
      </c>
      <c r="T2671" s="26">
        <f>IF($D2671="","",IF($K2671&lt;&gt;"对外销售","",ROUND($Q2671-$S2671,0)))</f>
        <v/>
      </c>
      <c r="U2671" s="17" t="n"/>
      <c r="V2671" s="17" t="n"/>
      <c r="W2671" s="24">
        <f>IF($D2671="","",IF($E2671="※编码不在物料档案里","※物料编码不在档案里",IF(N($J2671)&lt;=0,"※出库数量要大于 0",IF($K2671="","※没填去向类型",IF($L2671="","※没填去向矿区",IF(AND($C2671&lt;&gt;"",$C2671&lt;=结账锁),"※日期早于已结账截止日，不能再录",IF(AND($K2671="自用消耗",COUNTIF({"一矿区";"二矿区"},$L2671)=0),"※自用消耗的去向只能是一矿区或二矿区",IF(AND($K2671="对外销售",COUNTIF({"三矿区";"六矿区"},$L2671)=0),"※对外销售的去向只能是三矿区或六矿区",IF(AND($K2671="对外销售",ROUND($Q2671,0)=0),"※外销却没有售价，请填实际售价",IF(AND($K2671="对外销售",$T2671&lt;&gt;"",$T2671&lt;0),"※这一笔外销是亏的，请核对售价",IF(IFERROR(VLOOKUP($D2671,库存台账!$A$5:$Y$1204,24,0),0)&lt;-0.001,"※这个物料账面已经变成负数了，查一下是不是漏记入库","")))))))))))</f>
        <v/>
      </c>
    </row>
    <row r="2672">
      <c r="A2672" s="24">
        <f>IF($D2672="","",COUNTA($D$4:$D2672))</f>
        <v/>
      </c>
      <c r="B2672" s="17" t="n"/>
      <c r="C2672" s="30" t="n"/>
      <c r="D2672" s="17" t="n"/>
      <c r="E2672" s="24">
        <f>IF($D2672="","",IFERROR(VLOOKUP($D2672,物料档案!$A$4:$P$1203,3,0),"※编码不在物料档案里"))</f>
        <v/>
      </c>
      <c r="F2672" s="24">
        <f>IF($D2672="","",IFERROR(VLOOKUP($D2672,物料档案!$A$4:$P$1203,4,0),"※编码不在物料档案里"))</f>
        <v/>
      </c>
      <c r="G2672" s="24">
        <f>IF($D2672="","",IFERROR(VLOOKUP($D2672,物料档案!$A$4:$P$1203,5,0),"※编码不在物料档案里"))</f>
        <v/>
      </c>
      <c r="H2672" s="24">
        <f>IF($D2672="","",IFERROR(VLOOKUP($D2672,物料档案!$A$4:$P$1203,2,0),"※编码不在物料档案里"))</f>
        <v/>
      </c>
      <c r="I2672" s="24">
        <f>IF($D2672="","",IFERROR(VLOOKUP($D2672,物料档案!$A$4:$P$1203,6,0),"※编码不在物料档案里"))</f>
        <v/>
      </c>
      <c r="J2672" s="23" t="n"/>
      <c r="K2672" s="17" t="n"/>
      <c r="L2672" s="17" t="n"/>
      <c r="M2672" s="17" t="n"/>
      <c r="N2672" s="17" t="n"/>
      <c r="O2672" s="26">
        <f>IF($D2672="","",IFERROR(VLOOKUP($D2672,物料档案!$A$4:$P$1203,10,0),0))</f>
        <v/>
      </c>
      <c r="P2672" s="32" t="n"/>
      <c r="Q2672" s="26">
        <f>IF($D2672="","",IF($K2672&lt;&gt;"对外销售",0,ROUND(N($J2672)*IF($P2672="",N($O2672),N($P2672)),0)))</f>
        <v/>
      </c>
      <c r="R2672" s="26">
        <f>IF($D2672="","",IFERROR(VLOOKUP($D2672,库存台账!$A$5:$Y$1204,11,0),0))</f>
        <v/>
      </c>
      <c r="S2672" s="26">
        <f>IF($D2672="","",ROUND(N($J2672)*N($R2672),0))</f>
        <v/>
      </c>
      <c r="T2672" s="26">
        <f>IF($D2672="","",IF($K2672&lt;&gt;"对外销售","",ROUND($Q2672-$S2672,0)))</f>
        <v/>
      </c>
      <c r="U2672" s="17" t="n"/>
      <c r="V2672" s="17" t="n"/>
      <c r="W2672" s="24">
        <f>IF($D2672="","",IF($E2672="※编码不在物料档案里","※物料编码不在档案里",IF(N($J2672)&lt;=0,"※出库数量要大于 0",IF($K2672="","※没填去向类型",IF($L2672="","※没填去向矿区",IF(AND($C2672&lt;&gt;"",$C2672&lt;=结账锁),"※日期早于已结账截止日，不能再录",IF(AND($K2672="自用消耗",COUNTIF({"一矿区";"二矿区"},$L2672)=0),"※自用消耗的去向只能是一矿区或二矿区",IF(AND($K2672="对外销售",COUNTIF({"三矿区";"六矿区"},$L2672)=0),"※对外销售的去向只能是三矿区或六矿区",IF(AND($K2672="对外销售",ROUND($Q2672,0)=0),"※外销却没有售价，请填实际售价",IF(AND($K2672="对外销售",$T2672&lt;&gt;"",$T2672&lt;0),"※这一笔外销是亏的，请核对售价",IF(IFERROR(VLOOKUP($D2672,库存台账!$A$5:$Y$1204,24,0),0)&lt;-0.001,"※这个物料账面已经变成负数了，查一下是不是漏记入库","")))))))))))</f>
        <v/>
      </c>
    </row>
    <row r="2673">
      <c r="A2673" s="24">
        <f>IF($D2673="","",COUNTA($D$4:$D2673))</f>
        <v/>
      </c>
      <c r="B2673" s="17" t="n"/>
      <c r="C2673" s="30" t="n"/>
      <c r="D2673" s="17" t="n"/>
      <c r="E2673" s="24">
        <f>IF($D2673="","",IFERROR(VLOOKUP($D2673,物料档案!$A$4:$P$1203,3,0),"※编码不在物料档案里"))</f>
        <v/>
      </c>
      <c r="F2673" s="24">
        <f>IF($D2673="","",IFERROR(VLOOKUP($D2673,物料档案!$A$4:$P$1203,4,0),"※编码不在物料档案里"))</f>
        <v/>
      </c>
      <c r="G2673" s="24">
        <f>IF($D2673="","",IFERROR(VLOOKUP($D2673,物料档案!$A$4:$P$1203,5,0),"※编码不在物料档案里"))</f>
        <v/>
      </c>
      <c r="H2673" s="24">
        <f>IF($D2673="","",IFERROR(VLOOKUP($D2673,物料档案!$A$4:$P$1203,2,0),"※编码不在物料档案里"))</f>
        <v/>
      </c>
      <c r="I2673" s="24">
        <f>IF($D2673="","",IFERROR(VLOOKUP($D2673,物料档案!$A$4:$P$1203,6,0),"※编码不在物料档案里"))</f>
        <v/>
      </c>
      <c r="J2673" s="23" t="n"/>
      <c r="K2673" s="17" t="n"/>
      <c r="L2673" s="17" t="n"/>
      <c r="M2673" s="17" t="n"/>
      <c r="N2673" s="17" t="n"/>
      <c r="O2673" s="26">
        <f>IF($D2673="","",IFERROR(VLOOKUP($D2673,物料档案!$A$4:$P$1203,10,0),0))</f>
        <v/>
      </c>
      <c r="P2673" s="32" t="n"/>
      <c r="Q2673" s="26">
        <f>IF($D2673="","",IF($K2673&lt;&gt;"对外销售",0,ROUND(N($J2673)*IF($P2673="",N($O2673),N($P2673)),0)))</f>
        <v/>
      </c>
      <c r="R2673" s="26">
        <f>IF($D2673="","",IFERROR(VLOOKUP($D2673,库存台账!$A$5:$Y$1204,11,0),0))</f>
        <v/>
      </c>
      <c r="S2673" s="26">
        <f>IF($D2673="","",ROUND(N($J2673)*N($R2673),0))</f>
        <v/>
      </c>
      <c r="T2673" s="26">
        <f>IF($D2673="","",IF($K2673&lt;&gt;"对外销售","",ROUND($Q2673-$S2673,0)))</f>
        <v/>
      </c>
      <c r="U2673" s="17" t="n"/>
      <c r="V2673" s="17" t="n"/>
      <c r="W2673" s="24">
        <f>IF($D2673="","",IF($E2673="※编码不在物料档案里","※物料编码不在档案里",IF(N($J2673)&lt;=0,"※出库数量要大于 0",IF($K2673="","※没填去向类型",IF($L2673="","※没填去向矿区",IF(AND($C2673&lt;&gt;"",$C2673&lt;=结账锁),"※日期早于已结账截止日，不能再录",IF(AND($K2673="自用消耗",COUNTIF({"一矿区";"二矿区"},$L2673)=0),"※自用消耗的去向只能是一矿区或二矿区",IF(AND($K2673="对外销售",COUNTIF({"三矿区";"六矿区"},$L2673)=0),"※对外销售的去向只能是三矿区或六矿区",IF(AND($K2673="对外销售",ROUND($Q2673,0)=0),"※外销却没有售价，请填实际售价",IF(AND($K2673="对外销售",$T2673&lt;&gt;"",$T2673&lt;0),"※这一笔外销是亏的，请核对售价",IF(IFERROR(VLOOKUP($D2673,库存台账!$A$5:$Y$1204,24,0),0)&lt;-0.001,"※这个物料账面已经变成负数了，查一下是不是漏记入库","")))))))))))</f>
        <v/>
      </c>
    </row>
    <row r="2674">
      <c r="A2674" s="24">
        <f>IF($D2674="","",COUNTA($D$4:$D2674))</f>
        <v/>
      </c>
      <c r="B2674" s="17" t="n"/>
      <c r="C2674" s="30" t="n"/>
      <c r="D2674" s="17" t="n"/>
      <c r="E2674" s="24">
        <f>IF($D2674="","",IFERROR(VLOOKUP($D2674,物料档案!$A$4:$P$1203,3,0),"※编码不在物料档案里"))</f>
        <v/>
      </c>
      <c r="F2674" s="24">
        <f>IF($D2674="","",IFERROR(VLOOKUP($D2674,物料档案!$A$4:$P$1203,4,0),"※编码不在物料档案里"))</f>
        <v/>
      </c>
      <c r="G2674" s="24">
        <f>IF($D2674="","",IFERROR(VLOOKUP($D2674,物料档案!$A$4:$P$1203,5,0),"※编码不在物料档案里"))</f>
        <v/>
      </c>
      <c r="H2674" s="24">
        <f>IF($D2674="","",IFERROR(VLOOKUP($D2674,物料档案!$A$4:$P$1203,2,0),"※编码不在物料档案里"))</f>
        <v/>
      </c>
      <c r="I2674" s="24">
        <f>IF($D2674="","",IFERROR(VLOOKUP($D2674,物料档案!$A$4:$P$1203,6,0),"※编码不在物料档案里"))</f>
        <v/>
      </c>
      <c r="J2674" s="23" t="n"/>
      <c r="K2674" s="17" t="n"/>
      <c r="L2674" s="17" t="n"/>
      <c r="M2674" s="17" t="n"/>
      <c r="N2674" s="17" t="n"/>
      <c r="O2674" s="26">
        <f>IF($D2674="","",IFERROR(VLOOKUP($D2674,物料档案!$A$4:$P$1203,10,0),0))</f>
        <v/>
      </c>
      <c r="P2674" s="32" t="n"/>
      <c r="Q2674" s="26">
        <f>IF($D2674="","",IF($K2674&lt;&gt;"对外销售",0,ROUND(N($J2674)*IF($P2674="",N($O2674),N($P2674)),0)))</f>
        <v/>
      </c>
      <c r="R2674" s="26">
        <f>IF($D2674="","",IFERROR(VLOOKUP($D2674,库存台账!$A$5:$Y$1204,11,0),0))</f>
        <v/>
      </c>
      <c r="S2674" s="26">
        <f>IF($D2674="","",ROUND(N($J2674)*N($R2674),0))</f>
        <v/>
      </c>
      <c r="T2674" s="26">
        <f>IF($D2674="","",IF($K2674&lt;&gt;"对外销售","",ROUND($Q2674-$S2674,0)))</f>
        <v/>
      </c>
      <c r="U2674" s="17" t="n"/>
      <c r="V2674" s="17" t="n"/>
      <c r="W2674" s="24">
        <f>IF($D2674="","",IF($E2674="※编码不在物料档案里","※物料编码不在档案里",IF(N($J2674)&lt;=0,"※出库数量要大于 0",IF($K2674="","※没填去向类型",IF($L2674="","※没填去向矿区",IF(AND($C2674&lt;&gt;"",$C2674&lt;=结账锁),"※日期早于已结账截止日，不能再录",IF(AND($K2674="自用消耗",COUNTIF({"一矿区";"二矿区"},$L2674)=0),"※自用消耗的去向只能是一矿区或二矿区",IF(AND($K2674="对外销售",COUNTIF({"三矿区";"六矿区"},$L2674)=0),"※对外销售的去向只能是三矿区或六矿区",IF(AND($K2674="对外销售",ROUND($Q2674,0)=0),"※外销却没有售价，请填实际售价",IF(AND($K2674="对外销售",$T2674&lt;&gt;"",$T2674&lt;0),"※这一笔外销是亏的，请核对售价",IF(IFERROR(VLOOKUP($D2674,库存台账!$A$5:$Y$1204,24,0),0)&lt;-0.001,"※这个物料账面已经变成负数了，查一下是不是漏记入库","")))))))))))</f>
        <v/>
      </c>
    </row>
    <row r="2675">
      <c r="A2675" s="24">
        <f>IF($D2675="","",COUNTA($D$4:$D2675))</f>
        <v/>
      </c>
      <c r="B2675" s="17" t="n"/>
      <c r="C2675" s="30" t="n"/>
      <c r="D2675" s="17" t="n"/>
      <c r="E2675" s="24">
        <f>IF($D2675="","",IFERROR(VLOOKUP($D2675,物料档案!$A$4:$P$1203,3,0),"※编码不在物料档案里"))</f>
        <v/>
      </c>
      <c r="F2675" s="24">
        <f>IF($D2675="","",IFERROR(VLOOKUP($D2675,物料档案!$A$4:$P$1203,4,0),"※编码不在物料档案里"))</f>
        <v/>
      </c>
      <c r="G2675" s="24">
        <f>IF($D2675="","",IFERROR(VLOOKUP($D2675,物料档案!$A$4:$P$1203,5,0),"※编码不在物料档案里"))</f>
        <v/>
      </c>
      <c r="H2675" s="24">
        <f>IF($D2675="","",IFERROR(VLOOKUP($D2675,物料档案!$A$4:$P$1203,2,0),"※编码不在物料档案里"))</f>
        <v/>
      </c>
      <c r="I2675" s="24">
        <f>IF($D2675="","",IFERROR(VLOOKUP($D2675,物料档案!$A$4:$P$1203,6,0),"※编码不在物料档案里"))</f>
        <v/>
      </c>
      <c r="J2675" s="23" t="n"/>
      <c r="K2675" s="17" t="n"/>
      <c r="L2675" s="17" t="n"/>
      <c r="M2675" s="17" t="n"/>
      <c r="N2675" s="17" t="n"/>
      <c r="O2675" s="26">
        <f>IF($D2675="","",IFERROR(VLOOKUP($D2675,物料档案!$A$4:$P$1203,10,0),0))</f>
        <v/>
      </c>
      <c r="P2675" s="32" t="n"/>
      <c r="Q2675" s="26">
        <f>IF($D2675="","",IF($K2675&lt;&gt;"对外销售",0,ROUND(N($J2675)*IF($P2675="",N($O2675),N($P2675)),0)))</f>
        <v/>
      </c>
      <c r="R2675" s="26">
        <f>IF($D2675="","",IFERROR(VLOOKUP($D2675,库存台账!$A$5:$Y$1204,11,0),0))</f>
        <v/>
      </c>
      <c r="S2675" s="26">
        <f>IF($D2675="","",ROUND(N($J2675)*N($R2675),0))</f>
        <v/>
      </c>
      <c r="T2675" s="26">
        <f>IF($D2675="","",IF($K2675&lt;&gt;"对外销售","",ROUND($Q2675-$S2675,0)))</f>
        <v/>
      </c>
      <c r="U2675" s="17" t="n"/>
      <c r="V2675" s="17" t="n"/>
      <c r="W2675" s="24">
        <f>IF($D2675="","",IF($E2675="※编码不在物料档案里","※物料编码不在档案里",IF(N($J2675)&lt;=0,"※出库数量要大于 0",IF($K2675="","※没填去向类型",IF($L2675="","※没填去向矿区",IF(AND($C2675&lt;&gt;"",$C2675&lt;=结账锁),"※日期早于已结账截止日，不能再录",IF(AND($K2675="自用消耗",COUNTIF({"一矿区";"二矿区"},$L2675)=0),"※自用消耗的去向只能是一矿区或二矿区",IF(AND($K2675="对外销售",COUNTIF({"三矿区";"六矿区"},$L2675)=0),"※对外销售的去向只能是三矿区或六矿区",IF(AND($K2675="对外销售",ROUND($Q2675,0)=0),"※外销却没有售价，请填实际售价",IF(AND($K2675="对外销售",$T2675&lt;&gt;"",$T2675&lt;0),"※这一笔外销是亏的，请核对售价",IF(IFERROR(VLOOKUP($D2675,库存台账!$A$5:$Y$1204,24,0),0)&lt;-0.001,"※这个物料账面已经变成负数了，查一下是不是漏记入库","")))))))))))</f>
        <v/>
      </c>
    </row>
    <row r="2676">
      <c r="A2676" s="24">
        <f>IF($D2676="","",COUNTA($D$4:$D2676))</f>
        <v/>
      </c>
      <c r="B2676" s="17" t="n"/>
      <c r="C2676" s="30" t="n"/>
      <c r="D2676" s="17" t="n"/>
      <c r="E2676" s="24">
        <f>IF($D2676="","",IFERROR(VLOOKUP($D2676,物料档案!$A$4:$P$1203,3,0),"※编码不在物料档案里"))</f>
        <v/>
      </c>
      <c r="F2676" s="24">
        <f>IF($D2676="","",IFERROR(VLOOKUP($D2676,物料档案!$A$4:$P$1203,4,0),"※编码不在物料档案里"))</f>
        <v/>
      </c>
      <c r="G2676" s="24">
        <f>IF($D2676="","",IFERROR(VLOOKUP($D2676,物料档案!$A$4:$P$1203,5,0),"※编码不在物料档案里"))</f>
        <v/>
      </c>
      <c r="H2676" s="24">
        <f>IF($D2676="","",IFERROR(VLOOKUP($D2676,物料档案!$A$4:$P$1203,2,0),"※编码不在物料档案里"))</f>
        <v/>
      </c>
      <c r="I2676" s="24">
        <f>IF($D2676="","",IFERROR(VLOOKUP($D2676,物料档案!$A$4:$P$1203,6,0),"※编码不在物料档案里"))</f>
        <v/>
      </c>
      <c r="J2676" s="23" t="n"/>
      <c r="K2676" s="17" t="n"/>
      <c r="L2676" s="17" t="n"/>
      <c r="M2676" s="17" t="n"/>
      <c r="N2676" s="17" t="n"/>
      <c r="O2676" s="26">
        <f>IF($D2676="","",IFERROR(VLOOKUP($D2676,物料档案!$A$4:$P$1203,10,0),0))</f>
        <v/>
      </c>
      <c r="P2676" s="32" t="n"/>
      <c r="Q2676" s="26">
        <f>IF($D2676="","",IF($K2676&lt;&gt;"对外销售",0,ROUND(N($J2676)*IF($P2676="",N($O2676),N($P2676)),0)))</f>
        <v/>
      </c>
      <c r="R2676" s="26">
        <f>IF($D2676="","",IFERROR(VLOOKUP($D2676,库存台账!$A$5:$Y$1204,11,0),0))</f>
        <v/>
      </c>
      <c r="S2676" s="26">
        <f>IF($D2676="","",ROUND(N($J2676)*N($R2676),0))</f>
        <v/>
      </c>
      <c r="T2676" s="26">
        <f>IF($D2676="","",IF($K2676&lt;&gt;"对外销售","",ROUND($Q2676-$S2676,0)))</f>
        <v/>
      </c>
      <c r="U2676" s="17" t="n"/>
      <c r="V2676" s="17" t="n"/>
      <c r="W2676" s="24">
        <f>IF($D2676="","",IF($E2676="※编码不在物料档案里","※物料编码不在档案里",IF(N($J2676)&lt;=0,"※出库数量要大于 0",IF($K2676="","※没填去向类型",IF($L2676="","※没填去向矿区",IF(AND($C2676&lt;&gt;"",$C2676&lt;=结账锁),"※日期早于已结账截止日，不能再录",IF(AND($K2676="自用消耗",COUNTIF({"一矿区";"二矿区"},$L2676)=0),"※自用消耗的去向只能是一矿区或二矿区",IF(AND($K2676="对外销售",COUNTIF({"三矿区";"六矿区"},$L2676)=0),"※对外销售的去向只能是三矿区或六矿区",IF(AND($K2676="对外销售",ROUND($Q2676,0)=0),"※外销却没有售价，请填实际售价",IF(AND($K2676="对外销售",$T2676&lt;&gt;"",$T2676&lt;0),"※这一笔外销是亏的，请核对售价",IF(IFERROR(VLOOKUP($D2676,库存台账!$A$5:$Y$1204,24,0),0)&lt;-0.001,"※这个物料账面已经变成负数了，查一下是不是漏记入库","")))))))))))</f>
        <v/>
      </c>
    </row>
    <row r="2677">
      <c r="A2677" s="24">
        <f>IF($D2677="","",COUNTA($D$4:$D2677))</f>
        <v/>
      </c>
      <c r="B2677" s="17" t="n"/>
      <c r="C2677" s="30" t="n"/>
      <c r="D2677" s="17" t="n"/>
      <c r="E2677" s="24">
        <f>IF($D2677="","",IFERROR(VLOOKUP($D2677,物料档案!$A$4:$P$1203,3,0),"※编码不在物料档案里"))</f>
        <v/>
      </c>
      <c r="F2677" s="24">
        <f>IF($D2677="","",IFERROR(VLOOKUP($D2677,物料档案!$A$4:$P$1203,4,0),"※编码不在物料档案里"))</f>
        <v/>
      </c>
      <c r="G2677" s="24">
        <f>IF($D2677="","",IFERROR(VLOOKUP($D2677,物料档案!$A$4:$P$1203,5,0),"※编码不在物料档案里"))</f>
        <v/>
      </c>
      <c r="H2677" s="24">
        <f>IF($D2677="","",IFERROR(VLOOKUP($D2677,物料档案!$A$4:$P$1203,2,0),"※编码不在物料档案里"))</f>
        <v/>
      </c>
      <c r="I2677" s="24">
        <f>IF($D2677="","",IFERROR(VLOOKUP($D2677,物料档案!$A$4:$P$1203,6,0),"※编码不在物料档案里"))</f>
        <v/>
      </c>
      <c r="J2677" s="23" t="n"/>
      <c r="K2677" s="17" t="n"/>
      <c r="L2677" s="17" t="n"/>
      <c r="M2677" s="17" t="n"/>
      <c r="N2677" s="17" t="n"/>
      <c r="O2677" s="26">
        <f>IF($D2677="","",IFERROR(VLOOKUP($D2677,物料档案!$A$4:$P$1203,10,0),0))</f>
        <v/>
      </c>
      <c r="P2677" s="32" t="n"/>
      <c r="Q2677" s="26">
        <f>IF($D2677="","",IF($K2677&lt;&gt;"对外销售",0,ROUND(N($J2677)*IF($P2677="",N($O2677),N($P2677)),0)))</f>
        <v/>
      </c>
      <c r="R2677" s="26">
        <f>IF($D2677="","",IFERROR(VLOOKUP($D2677,库存台账!$A$5:$Y$1204,11,0),0))</f>
        <v/>
      </c>
      <c r="S2677" s="26">
        <f>IF($D2677="","",ROUND(N($J2677)*N($R2677),0))</f>
        <v/>
      </c>
      <c r="T2677" s="26">
        <f>IF($D2677="","",IF($K2677&lt;&gt;"对外销售","",ROUND($Q2677-$S2677,0)))</f>
        <v/>
      </c>
      <c r="U2677" s="17" t="n"/>
      <c r="V2677" s="17" t="n"/>
      <c r="W2677" s="24">
        <f>IF($D2677="","",IF($E2677="※编码不在物料档案里","※物料编码不在档案里",IF(N($J2677)&lt;=0,"※出库数量要大于 0",IF($K2677="","※没填去向类型",IF($L2677="","※没填去向矿区",IF(AND($C2677&lt;&gt;"",$C2677&lt;=结账锁),"※日期早于已结账截止日，不能再录",IF(AND($K2677="自用消耗",COUNTIF({"一矿区";"二矿区"},$L2677)=0),"※自用消耗的去向只能是一矿区或二矿区",IF(AND($K2677="对外销售",COUNTIF({"三矿区";"六矿区"},$L2677)=0),"※对外销售的去向只能是三矿区或六矿区",IF(AND($K2677="对外销售",ROUND($Q2677,0)=0),"※外销却没有售价，请填实际售价",IF(AND($K2677="对外销售",$T2677&lt;&gt;"",$T2677&lt;0),"※这一笔外销是亏的，请核对售价",IF(IFERROR(VLOOKUP($D2677,库存台账!$A$5:$Y$1204,24,0),0)&lt;-0.001,"※这个物料账面已经变成负数了，查一下是不是漏记入库","")))))))))))</f>
        <v/>
      </c>
    </row>
    <row r="2678">
      <c r="A2678" s="24">
        <f>IF($D2678="","",COUNTA($D$4:$D2678))</f>
        <v/>
      </c>
      <c r="B2678" s="17" t="n"/>
      <c r="C2678" s="30" t="n"/>
      <c r="D2678" s="17" t="n"/>
      <c r="E2678" s="24">
        <f>IF($D2678="","",IFERROR(VLOOKUP($D2678,物料档案!$A$4:$P$1203,3,0),"※编码不在物料档案里"))</f>
        <v/>
      </c>
      <c r="F2678" s="24">
        <f>IF($D2678="","",IFERROR(VLOOKUP($D2678,物料档案!$A$4:$P$1203,4,0),"※编码不在物料档案里"))</f>
        <v/>
      </c>
      <c r="G2678" s="24">
        <f>IF($D2678="","",IFERROR(VLOOKUP($D2678,物料档案!$A$4:$P$1203,5,0),"※编码不在物料档案里"))</f>
        <v/>
      </c>
      <c r="H2678" s="24">
        <f>IF($D2678="","",IFERROR(VLOOKUP($D2678,物料档案!$A$4:$P$1203,2,0),"※编码不在物料档案里"))</f>
        <v/>
      </c>
      <c r="I2678" s="24">
        <f>IF($D2678="","",IFERROR(VLOOKUP($D2678,物料档案!$A$4:$P$1203,6,0),"※编码不在物料档案里"))</f>
        <v/>
      </c>
      <c r="J2678" s="23" t="n"/>
      <c r="K2678" s="17" t="n"/>
      <c r="L2678" s="17" t="n"/>
      <c r="M2678" s="17" t="n"/>
      <c r="N2678" s="17" t="n"/>
      <c r="O2678" s="26">
        <f>IF($D2678="","",IFERROR(VLOOKUP($D2678,物料档案!$A$4:$P$1203,10,0),0))</f>
        <v/>
      </c>
      <c r="P2678" s="32" t="n"/>
      <c r="Q2678" s="26">
        <f>IF($D2678="","",IF($K2678&lt;&gt;"对外销售",0,ROUND(N($J2678)*IF($P2678="",N($O2678),N($P2678)),0)))</f>
        <v/>
      </c>
      <c r="R2678" s="26">
        <f>IF($D2678="","",IFERROR(VLOOKUP($D2678,库存台账!$A$5:$Y$1204,11,0),0))</f>
        <v/>
      </c>
      <c r="S2678" s="26">
        <f>IF($D2678="","",ROUND(N($J2678)*N($R2678),0))</f>
        <v/>
      </c>
      <c r="T2678" s="26">
        <f>IF($D2678="","",IF($K2678&lt;&gt;"对外销售","",ROUND($Q2678-$S2678,0)))</f>
        <v/>
      </c>
      <c r="U2678" s="17" t="n"/>
      <c r="V2678" s="17" t="n"/>
      <c r="W2678" s="24">
        <f>IF($D2678="","",IF($E2678="※编码不在物料档案里","※物料编码不在档案里",IF(N($J2678)&lt;=0,"※出库数量要大于 0",IF($K2678="","※没填去向类型",IF($L2678="","※没填去向矿区",IF(AND($C2678&lt;&gt;"",$C2678&lt;=结账锁),"※日期早于已结账截止日，不能再录",IF(AND($K2678="自用消耗",COUNTIF({"一矿区";"二矿区"},$L2678)=0),"※自用消耗的去向只能是一矿区或二矿区",IF(AND($K2678="对外销售",COUNTIF({"三矿区";"六矿区"},$L2678)=0),"※对外销售的去向只能是三矿区或六矿区",IF(AND($K2678="对外销售",ROUND($Q2678,0)=0),"※外销却没有售价，请填实际售价",IF(AND($K2678="对外销售",$T2678&lt;&gt;"",$T2678&lt;0),"※这一笔外销是亏的，请核对售价",IF(IFERROR(VLOOKUP($D2678,库存台账!$A$5:$Y$1204,24,0),0)&lt;-0.001,"※这个物料账面已经变成负数了，查一下是不是漏记入库","")))))))))))</f>
        <v/>
      </c>
    </row>
    <row r="2679">
      <c r="A2679" s="24">
        <f>IF($D2679="","",COUNTA($D$4:$D2679))</f>
        <v/>
      </c>
      <c r="B2679" s="17" t="n"/>
      <c r="C2679" s="30" t="n"/>
      <c r="D2679" s="17" t="n"/>
      <c r="E2679" s="24">
        <f>IF($D2679="","",IFERROR(VLOOKUP($D2679,物料档案!$A$4:$P$1203,3,0),"※编码不在物料档案里"))</f>
        <v/>
      </c>
      <c r="F2679" s="24">
        <f>IF($D2679="","",IFERROR(VLOOKUP($D2679,物料档案!$A$4:$P$1203,4,0),"※编码不在物料档案里"))</f>
        <v/>
      </c>
      <c r="G2679" s="24">
        <f>IF($D2679="","",IFERROR(VLOOKUP($D2679,物料档案!$A$4:$P$1203,5,0),"※编码不在物料档案里"))</f>
        <v/>
      </c>
      <c r="H2679" s="24">
        <f>IF($D2679="","",IFERROR(VLOOKUP($D2679,物料档案!$A$4:$P$1203,2,0),"※编码不在物料档案里"))</f>
        <v/>
      </c>
      <c r="I2679" s="24">
        <f>IF($D2679="","",IFERROR(VLOOKUP($D2679,物料档案!$A$4:$P$1203,6,0),"※编码不在物料档案里"))</f>
        <v/>
      </c>
      <c r="J2679" s="23" t="n"/>
      <c r="K2679" s="17" t="n"/>
      <c r="L2679" s="17" t="n"/>
      <c r="M2679" s="17" t="n"/>
      <c r="N2679" s="17" t="n"/>
      <c r="O2679" s="26">
        <f>IF($D2679="","",IFERROR(VLOOKUP($D2679,物料档案!$A$4:$P$1203,10,0),0))</f>
        <v/>
      </c>
      <c r="P2679" s="32" t="n"/>
      <c r="Q2679" s="26">
        <f>IF($D2679="","",IF($K2679&lt;&gt;"对外销售",0,ROUND(N($J2679)*IF($P2679="",N($O2679),N($P2679)),0)))</f>
        <v/>
      </c>
      <c r="R2679" s="26">
        <f>IF($D2679="","",IFERROR(VLOOKUP($D2679,库存台账!$A$5:$Y$1204,11,0),0))</f>
        <v/>
      </c>
      <c r="S2679" s="26">
        <f>IF($D2679="","",ROUND(N($J2679)*N($R2679),0))</f>
        <v/>
      </c>
      <c r="T2679" s="26">
        <f>IF($D2679="","",IF($K2679&lt;&gt;"对外销售","",ROUND($Q2679-$S2679,0)))</f>
        <v/>
      </c>
      <c r="U2679" s="17" t="n"/>
      <c r="V2679" s="17" t="n"/>
      <c r="W2679" s="24">
        <f>IF($D2679="","",IF($E2679="※编码不在物料档案里","※物料编码不在档案里",IF(N($J2679)&lt;=0,"※出库数量要大于 0",IF($K2679="","※没填去向类型",IF($L2679="","※没填去向矿区",IF(AND($C2679&lt;&gt;"",$C2679&lt;=结账锁),"※日期早于已结账截止日，不能再录",IF(AND($K2679="自用消耗",COUNTIF({"一矿区";"二矿区"},$L2679)=0),"※自用消耗的去向只能是一矿区或二矿区",IF(AND($K2679="对外销售",COUNTIF({"三矿区";"六矿区"},$L2679)=0),"※对外销售的去向只能是三矿区或六矿区",IF(AND($K2679="对外销售",ROUND($Q2679,0)=0),"※外销却没有售价，请填实际售价",IF(AND($K2679="对外销售",$T2679&lt;&gt;"",$T2679&lt;0),"※这一笔外销是亏的，请核对售价",IF(IFERROR(VLOOKUP($D2679,库存台账!$A$5:$Y$1204,24,0),0)&lt;-0.001,"※这个物料账面已经变成负数了，查一下是不是漏记入库","")))))))))))</f>
        <v/>
      </c>
    </row>
    <row r="2680">
      <c r="A2680" s="24">
        <f>IF($D2680="","",COUNTA($D$4:$D2680))</f>
        <v/>
      </c>
      <c r="B2680" s="17" t="n"/>
      <c r="C2680" s="30" t="n"/>
      <c r="D2680" s="17" t="n"/>
      <c r="E2680" s="24">
        <f>IF($D2680="","",IFERROR(VLOOKUP($D2680,物料档案!$A$4:$P$1203,3,0),"※编码不在物料档案里"))</f>
        <v/>
      </c>
      <c r="F2680" s="24">
        <f>IF($D2680="","",IFERROR(VLOOKUP($D2680,物料档案!$A$4:$P$1203,4,0),"※编码不在物料档案里"))</f>
        <v/>
      </c>
      <c r="G2680" s="24">
        <f>IF($D2680="","",IFERROR(VLOOKUP($D2680,物料档案!$A$4:$P$1203,5,0),"※编码不在物料档案里"))</f>
        <v/>
      </c>
      <c r="H2680" s="24">
        <f>IF($D2680="","",IFERROR(VLOOKUP($D2680,物料档案!$A$4:$P$1203,2,0),"※编码不在物料档案里"))</f>
        <v/>
      </c>
      <c r="I2680" s="24">
        <f>IF($D2680="","",IFERROR(VLOOKUP($D2680,物料档案!$A$4:$P$1203,6,0),"※编码不在物料档案里"))</f>
        <v/>
      </c>
      <c r="J2680" s="23" t="n"/>
      <c r="K2680" s="17" t="n"/>
      <c r="L2680" s="17" t="n"/>
      <c r="M2680" s="17" t="n"/>
      <c r="N2680" s="17" t="n"/>
      <c r="O2680" s="26">
        <f>IF($D2680="","",IFERROR(VLOOKUP($D2680,物料档案!$A$4:$P$1203,10,0),0))</f>
        <v/>
      </c>
      <c r="P2680" s="32" t="n"/>
      <c r="Q2680" s="26">
        <f>IF($D2680="","",IF($K2680&lt;&gt;"对外销售",0,ROUND(N($J2680)*IF($P2680="",N($O2680),N($P2680)),0)))</f>
        <v/>
      </c>
      <c r="R2680" s="26">
        <f>IF($D2680="","",IFERROR(VLOOKUP($D2680,库存台账!$A$5:$Y$1204,11,0),0))</f>
        <v/>
      </c>
      <c r="S2680" s="26">
        <f>IF($D2680="","",ROUND(N($J2680)*N($R2680),0))</f>
        <v/>
      </c>
      <c r="T2680" s="26">
        <f>IF($D2680="","",IF($K2680&lt;&gt;"对外销售","",ROUND($Q2680-$S2680,0)))</f>
        <v/>
      </c>
      <c r="U2680" s="17" t="n"/>
      <c r="V2680" s="17" t="n"/>
      <c r="W2680" s="24">
        <f>IF($D2680="","",IF($E2680="※编码不在物料档案里","※物料编码不在档案里",IF(N($J2680)&lt;=0,"※出库数量要大于 0",IF($K2680="","※没填去向类型",IF($L2680="","※没填去向矿区",IF(AND($C2680&lt;&gt;"",$C2680&lt;=结账锁),"※日期早于已结账截止日，不能再录",IF(AND($K2680="自用消耗",COUNTIF({"一矿区";"二矿区"},$L2680)=0),"※自用消耗的去向只能是一矿区或二矿区",IF(AND($K2680="对外销售",COUNTIF({"三矿区";"六矿区"},$L2680)=0),"※对外销售的去向只能是三矿区或六矿区",IF(AND($K2680="对外销售",ROUND($Q2680,0)=0),"※外销却没有售价，请填实际售价",IF(AND($K2680="对外销售",$T2680&lt;&gt;"",$T2680&lt;0),"※这一笔外销是亏的，请核对售价",IF(IFERROR(VLOOKUP($D2680,库存台账!$A$5:$Y$1204,24,0),0)&lt;-0.001,"※这个物料账面已经变成负数了，查一下是不是漏记入库","")))))))))))</f>
        <v/>
      </c>
    </row>
    <row r="2681">
      <c r="A2681" s="24">
        <f>IF($D2681="","",COUNTA($D$4:$D2681))</f>
        <v/>
      </c>
      <c r="B2681" s="17" t="n"/>
      <c r="C2681" s="30" t="n"/>
      <c r="D2681" s="17" t="n"/>
      <c r="E2681" s="24">
        <f>IF($D2681="","",IFERROR(VLOOKUP($D2681,物料档案!$A$4:$P$1203,3,0),"※编码不在物料档案里"))</f>
        <v/>
      </c>
      <c r="F2681" s="24">
        <f>IF($D2681="","",IFERROR(VLOOKUP($D2681,物料档案!$A$4:$P$1203,4,0),"※编码不在物料档案里"))</f>
        <v/>
      </c>
      <c r="G2681" s="24">
        <f>IF($D2681="","",IFERROR(VLOOKUP($D2681,物料档案!$A$4:$P$1203,5,0),"※编码不在物料档案里"))</f>
        <v/>
      </c>
      <c r="H2681" s="24">
        <f>IF($D2681="","",IFERROR(VLOOKUP($D2681,物料档案!$A$4:$P$1203,2,0),"※编码不在物料档案里"))</f>
        <v/>
      </c>
      <c r="I2681" s="24">
        <f>IF($D2681="","",IFERROR(VLOOKUP($D2681,物料档案!$A$4:$P$1203,6,0),"※编码不在物料档案里"))</f>
        <v/>
      </c>
      <c r="J2681" s="23" t="n"/>
      <c r="K2681" s="17" t="n"/>
      <c r="L2681" s="17" t="n"/>
      <c r="M2681" s="17" t="n"/>
      <c r="N2681" s="17" t="n"/>
      <c r="O2681" s="26">
        <f>IF($D2681="","",IFERROR(VLOOKUP($D2681,物料档案!$A$4:$P$1203,10,0),0))</f>
        <v/>
      </c>
      <c r="P2681" s="32" t="n"/>
      <c r="Q2681" s="26">
        <f>IF($D2681="","",IF($K2681&lt;&gt;"对外销售",0,ROUND(N($J2681)*IF($P2681="",N($O2681),N($P2681)),0)))</f>
        <v/>
      </c>
      <c r="R2681" s="26">
        <f>IF($D2681="","",IFERROR(VLOOKUP($D2681,库存台账!$A$5:$Y$1204,11,0),0))</f>
        <v/>
      </c>
      <c r="S2681" s="26">
        <f>IF($D2681="","",ROUND(N($J2681)*N($R2681),0))</f>
        <v/>
      </c>
      <c r="T2681" s="26">
        <f>IF($D2681="","",IF($K2681&lt;&gt;"对外销售","",ROUND($Q2681-$S2681,0)))</f>
        <v/>
      </c>
      <c r="U2681" s="17" t="n"/>
      <c r="V2681" s="17" t="n"/>
      <c r="W2681" s="24">
        <f>IF($D2681="","",IF($E2681="※编码不在物料档案里","※物料编码不在档案里",IF(N($J2681)&lt;=0,"※出库数量要大于 0",IF($K2681="","※没填去向类型",IF($L2681="","※没填去向矿区",IF(AND($C2681&lt;&gt;"",$C2681&lt;=结账锁),"※日期早于已结账截止日，不能再录",IF(AND($K2681="自用消耗",COUNTIF({"一矿区";"二矿区"},$L2681)=0),"※自用消耗的去向只能是一矿区或二矿区",IF(AND($K2681="对外销售",COUNTIF({"三矿区";"六矿区"},$L2681)=0),"※对外销售的去向只能是三矿区或六矿区",IF(AND($K2681="对外销售",ROUND($Q2681,0)=0),"※外销却没有售价，请填实际售价",IF(AND($K2681="对外销售",$T2681&lt;&gt;"",$T2681&lt;0),"※这一笔外销是亏的，请核对售价",IF(IFERROR(VLOOKUP($D2681,库存台账!$A$5:$Y$1204,24,0),0)&lt;-0.001,"※这个物料账面已经变成负数了，查一下是不是漏记入库","")))))))))))</f>
        <v/>
      </c>
    </row>
    <row r="2682">
      <c r="A2682" s="24">
        <f>IF($D2682="","",COUNTA($D$4:$D2682))</f>
        <v/>
      </c>
      <c r="B2682" s="17" t="n"/>
      <c r="C2682" s="30" t="n"/>
      <c r="D2682" s="17" t="n"/>
      <c r="E2682" s="24">
        <f>IF($D2682="","",IFERROR(VLOOKUP($D2682,物料档案!$A$4:$P$1203,3,0),"※编码不在物料档案里"))</f>
        <v/>
      </c>
      <c r="F2682" s="24">
        <f>IF($D2682="","",IFERROR(VLOOKUP($D2682,物料档案!$A$4:$P$1203,4,0),"※编码不在物料档案里"))</f>
        <v/>
      </c>
      <c r="G2682" s="24">
        <f>IF($D2682="","",IFERROR(VLOOKUP($D2682,物料档案!$A$4:$P$1203,5,0),"※编码不在物料档案里"))</f>
        <v/>
      </c>
      <c r="H2682" s="24">
        <f>IF($D2682="","",IFERROR(VLOOKUP($D2682,物料档案!$A$4:$P$1203,2,0),"※编码不在物料档案里"))</f>
        <v/>
      </c>
      <c r="I2682" s="24">
        <f>IF($D2682="","",IFERROR(VLOOKUP($D2682,物料档案!$A$4:$P$1203,6,0),"※编码不在物料档案里"))</f>
        <v/>
      </c>
      <c r="J2682" s="23" t="n"/>
      <c r="K2682" s="17" t="n"/>
      <c r="L2682" s="17" t="n"/>
      <c r="M2682" s="17" t="n"/>
      <c r="N2682" s="17" t="n"/>
      <c r="O2682" s="26">
        <f>IF($D2682="","",IFERROR(VLOOKUP($D2682,物料档案!$A$4:$P$1203,10,0),0))</f>
        <v/>
      </c>
      <c r="P2682" s="32" t="n"/>
      <c r="Q2682" s="26">
        <f>IF($D2682="","",IF($K2682&lt;&gt;"对外销售",0,ROUND(N($J2682)*IF($P2682="",N($O2682),N($P2682)),0)))</f>
        <v/>
      </c>
      <c r="R2682" s="26">
        <f>IF($D2682="","",IFERROR(VLOOKUP($D2682,库存台账!$A$5:$Y$1204,11,0),0))</f>
        <v/>
      </c>
      <c r="S2682" s="26">
        <f>IF($D2682="","",ROUND(N($J2682)*N($R2682),0))</f>
        <v/>
      </c>
      <c r="T2682" s="26">
        <f>IF($D2682="","",IF($K2682&lt;&gt;"对外销售","",ROUND($Q2682-$S2682,0)))</f>
        <v/>
      </c>
      <c r="U2682" s="17" t="n"/>
      <c r="V2682" s="17" t="n"/>
      <c r="W2682" s="24">
        <f>IF($D2682="","",IF($E2682="※编码不在物料档案里","※物料编码不在档案里",IF(N($J2682)&lt;=0,"※出库数量要大于 0",IF($K2682="","※没填去向类型",IF($L2682="","※没填去向矿区",IF(AND($C2682&lt;&gt;"",$C2682&lt;=结账锁),"※日期早于已结账截止日，不能再录",IF(AND($K2682="自用消耗",COUNTIF({"一矿区";"二矿区"},$L2682)=0),"※自用消耗的去向只能是一矿区或二矿区",IF(AND($K2682="对外销售",COUNTIF({"三矿区";"六矿区"},$L2682)=0),"※对外销售的去向只能是三矿区或六矿区",IF(AND($K2682="对外销售",ROUND($Q2682,0)=0),"※外销却没有售价，请填实际售价",IF(AND($K2682="对外销售",$T2682&lt;&gt;"",$T2682&lt;0),"※这一笔外销是亏的，请核对售价",IF(IFERROR(VLOOKUP($D2682,库存台账!$A$5:$Y$1204,24,0),0)&lt;-0.001,"※这个物料账面已经变成负数了，查一下是不是漏记入库","")))))))))))</f>
        <v/>
      </c>
    </row>
    <row r="2683">
      <c r="A2683" s="24">
        <f>IF($D2683="","",COUNTA($D$4:$D2683))</f>
        <v/>
      </c>
      <c r="B2683" s="17" t="n"/>
      <c r="C2683" s="30" t="n"/>
      <c r="D2683" s="17" t="n"/>
      <c r="E2683" s="24">
        <f>IF($D2683="","",IFERROR(VLOOKUP($D2683,物料档案!$A$4:$P$1203,3,0),"※编码不在物料档案里"))</f>
        <v/>
      </c>
      <c r="F2683" s="24">
        <f>IF($D2683="","",IFERROR(VLOOKUP($D2683,物料档案!$A$4:$P$1203,4,0),"※编码不在物料档案里"))</f>
        <v/>
      </c>
      <c r="G2683" s="24">
        <f>IF($D2683="","",IFERROR(VLOOKUP($D2683,物料档案!$A$4:$P$1203,5,0),"※编码不在物料档案里"))</f>
        <v/>
      </c>
      <c r="H2683" s="24">
        <f>IF($D2683="","",IFERROR(VLOOKUP($D2683,物料档案!$A$4:$P$1203,2,0),"※编码不在物料档案里"))</f>
        <v/>
      </c>
      <c r="I2683" s="24">
        <f>IF($D2683="","",IFERROR(VLOOKUP($D2683,物料档案!$A$4:$P$1203,6,0),"※编码不在物料档案里"))</f>
        <v/>
      </c>
      <c r="J2683" s="23" t="n"/>
      <c r="K2683" s="17" t="n"/>
      <c r="L2683" s="17" t="n"/>
      <c r="M2683" s="17" t="n"/>
      <c r="N2683" s="17" t="n"/>
      <c r="O2683" s="26">
        <f>IF($D2683="","",IFERROR(VLOOKUP($D2683,物料档案!$A$4:$P$1203,10,0),0))</f>
        <v/>
      </c>
      <c r="P2683" s="32" t="n"/>
      <c r="Q2683" s="26">
        <f>IF($D2683="","",IF($K2683&lt;&gt;"对外销售",0,ROUND(N($J2683)*IF($P2683="",N($O2683),N($P2683)),0)))</f>
        <v/>
      </c>
      <c r="R2683" s="26">
        <f>IF($D2683="","",IFERROR(VLOOKUP($D2683,库存台账!$A$5:$Y$1204,11,0),0))</f>
        <v/>
      </c>
      <c r="S2683" s="26">
        <f>IF($D2683="","",ROUND(N($J2683)*N($R2683),0))</f>
        <v/>
      </c>
      <c r="T2683" s="26">
        <f>IF($D2683="","",IF($K2683&lt;&gt;"对外销售","",ROUND($Q2683-$S2683,0)))</f>
        <v/>
      </c>
      <c r="U2683" s="17" t="n"/>
      <c r="V2683" s="17" t="n"/>
      <c r="W2683" s="24">
        <f>IF($D2683="","",IF($E2683="※编码不在物料档案里","※物料编码不在档案里",IF(N($J2683)&lt;=0,"※出库数量要大于 0",IF($K2683="","※没填去向类型",IF($L2683="","※没填去向矿区",IF(AND($C2683&lt;&gt;"",$C2683&lt;=结账锁),"※日期早于已结账截止日，不能再录",IF(AND($K2683="自用消耗",COUNTIF({"一矿区";"二矿区"},$L2683)=0),"※自用消耗的去向只能是一矿区或二矿区",IF(AND($K2683="对外销售",COUNTIF({"三矿区";"六矿区"},$L2683)=0),"※对外销售的去向只能是三矿区或六矿区",IF(AND($K2683="对外销售",ROUND($Q2683,0)=0),"※外销却没有售价，请填实际售价",IF(AND($K2683="对外销售",$T2683&lt;&gt;"",$T2683&lt;0),"※这一笔外销是亏的，请核对售价",IF(IFERROR(VLOOKUP($D2683,库存台账!$A$5:$Y$1204,24,0),0)&lt;-0.001,"※这个物料账面已经变成负数了，查一下是不是漏记入库","")))))))))))</f>
        <v/>
      </c>
    </row>
    <row r="2684">
      <c r="A2684" s="24">
        <f>IF($D2684="","",COUNTA($D$4:$D2684))</f>
        <v/>
      </c>
      <c r="B2684" s="17" t="n"/>
      <c r="C2684" s="30" t="n"/>
      <c r="D2684" s="17" t="n"/>
      <c r="E2684" s="24">
        <f>IF($D2684="","",IFERROR(VLOOKUP($D2684,物料档案!$A$4:$P$1203,3,0),"※编码不在物料档案里"))</f>
        <v/>
      </c>
      <c r="F2684" s="24">
        <f>IF($D2684="","",IFERROR(VLOOKUP($D2684,物料档案!$A$4:$P$1203,4,0),"※编码不在物料档案里"))</f>
        <v/>
      </c>
      <c r="G2684" s="24">
        <f>IF($D2684="","",IFERROR(VLOOKUP($D2684,物料档案!$A$4:$P$1203,5,0),"※编码不在物料档案里"))</f>
        <v/>
      </c>
      <c r="H2684" s="24">
        <f>IF($D2684="","",IFERROR(VLOOKUP($D2684,物料档案!$A$4:$P$1203,2,0),"※编码不在物料档案里"))</f>
        <v/>
      </c>
      <c r="I2684" s="24">
        <f>IF($D2684="","",IFERROR(VLOOKUP($D2684,物料档案!$A$4:$P$1203,6,0),"※编码不在物料档案里"))</f>
        <v/>
      </c>
      <c r="J2684" s="23" t="n"/>
      <c r="K2684" s="17" t="n"/>
      <c r="L2684" s="17" t="n"/>
      <c r="M2684" s="17" t="n"/>
      <c r="N2684" s="17" t="n"/>
      <c r="O2684" s="26">
        <f>IF($D2684="","",IFERROR(VLOOKUP($D2684,物料档案!$A$4:$P$1203,10,0),0))</f>
        <v/>
      </c>
      <c r="P2684" s="32" t="n"/>
      <c r="Q2684" s="26">
        <f>IF($D2684="","",IF($K2684&lt;&gt;"对外销售",0,ROUND(N($J2684)*IF($P2684="",N($O2684),N($P2684)),0)))</f>
        <v/>
      </c>
      <c r="R2684" s="26">
        <f>IF($D2684="","",IFERROR(VLOOKUP($D2684,库存台账!$A$5:$Y$1204,11,0),0))</f>
        <v/>
      </c>
      <c r="S2684" s="26">
        <f>IF($D2684="","",ROUND(N($J2684)*N($R2684),0))</f>
        <v/>
      </c>
      <c r="T2684" s="26">
        <f>IF($D2684="","",IF($K2684&lt;&gt;"对外销售","",ROUND($Q2684-$S2684,0)))</f>
        <v/>
      </c>
      <c r="U2684" s="17" t="n"/>
      <c r="V2684" s="17" t="n"/>
      <c r="W2684" s="24">
        <f>IF($D2684="","",IF($E2684="※编码不在物料档案里","※物料编码不在档案里",IF(N($J2684)&lt;=0,"※出库数量要大于 0",IF($K2684="","※没填去向类型",IF($L2684="","※没填去向矿区",IF(AND($C2684&lt;&gt;"",$C2684&lt;=结账锁),"※日期早于已结账截止日，不能再录",IF(AND($K2684="自用消耗",COUNTIF({"一矿区";"二矿区"},$L2684)=0),"※自用消耗的去向只能是一矿区或二矿区",IF(AND($K2684="对外销售",COUNTIF({"三矿区";"六矿区"},$L2684)=0),"※对外销售的去向只能是三矿区或六矿区",IF(AND($K2684="对外销售",ROUND($Q2684,0)=0),"※外销却没有售价，请填实际售价",IF(AND($K2684="对外销售",$T2684&lt;&gt;"",$T2684&lt;0),"※这一笔外销是亏的，请核对售价",IF(IFERROR(VLOOKUP($D2684,库存台账!$A$5:$Y$1204,24,0),0)&lt;-0.001,"※这个物料账面已经变成负数了，查一下是不是漏记入库","")))))))))))</f>
        <v/>
      </c>
    </row>
    <row r="2685">
      <c r="A2685" s="24">
        <f>IF($D2685="","",COUNTA($D$4:$D2685))</f>
        <v/>
      </c>
      <c r="B2685" s="17" t="n"/>
      <c r="C2685" s="30" t="n"/>
      <c r="D2685" s="17" t="n"/>
      <c r="E2685" s="24">
        <f>IF($D2685="","",IFERROR(VLOOKUP($D2685,物料档案!$A$4:$P$1203,3,0),"※编码不在物料档案里"))</f>
        <v/>
      </c>
      <c r="F2685" s="24">
        <f>IF($D2685="","",IFERROR(VLOOKUP($D2685,物料档案!$A$4:$P$1203,4,0),"※编码不在物料档案里"))</f>
        <v/>
      </c>
      <c r="G2685" s="24">
        <f>IF($D2685="","",IFERROR(VLOOKUP($D2685,物料档案!$A$4:$P$1203,5,0),"※编码不在物料档案里"))</f>
        <v/>
      </c>
      <c r="H2685" s="24">
        <f>IF($D2685="","",IFERROR(VLOOKUP($D2685,物料档案!$A$4:$P$1203,2,0),"※编码不在物料档案里"))</f>
        <v/>
      </c>
      <c r="I2685" s="24">
        <f>IF($D2685="","",IFERROR(VLOOKUP($D2685,物料档案!$A$4:$P$1203,6,0),"※编码不在物料档案里"))</f>
        <v/>
      </c>
      <c r="J2685" s="23" t="n"/>
      <c r="K2685" s="17" t="n"/>
      <c r="L2685" s="17" t="n"/>
      <c r="M2685" s="17" t="n"/>
      <c r="N2685" s="17" t="n"/>
      <c r="O2685" s="26">
        <f>IF($D2685="","",IFERROR(VLOOKUP($D2685,物料档案!$A$4:$P$1203,10,0),0))</f>
        <v/>
      </c>
      <c r="P2685" s="32" t="n"/>
      <c r="Q2685" s="26">
        <f>IF($D2685="","",IF($K2685&lt;&gt;"对外销售",0,ROUND(N($J2685)*IF($P2685="",N($O2685),N($P2685)),0)))</f>
        <v/>
      </c>
      <c r="R2685" s="26">
        <f>IF($D2685="","",IFERROR(VLOOKUP($D2685,库存台账!$A$5:$Y$1204,11,0),0))</f>
        <v/>
      </c>
      <c r="S2685" s="26">
        <f>IF($D2685="","",ROUND(N($J2685)*N($R2685),0))</f>
        <v/>
      </c>
      <c r="T2685" s="26">
        <f>IF($D2685="","",IF($K2685&lt;&gt;"对外销售","",ROUND($Q2685-$S2685,0)))</f>
        <v/>
      </c>
      <c r="U2685" s="17" t="n"/>
      <c r="V2685" s="17" t="n"/>
      <c r="W2685" s="24">
        <f>IF($D2685="","",IF($E2685="※编码不在物料档案里","※物料编码不在档案里",IF(N($J2685)&lt;=0,"※出库数量要大于 0",IF($K2685="","※没填去向类型",IF($L2685="","※没填去向矿区",IF(AND($C2685&lt;&gt;"",$C2685&lt;=结账锁),"※日期早于已结账截止日，不能再录",IF(AND($K2685="自用消耗",COUNTIF({"一矿区";"二矿区"},$L2685)=0),"※自用消耗的去向只能是一矿区或二矿区",IF(AND($K2685="对外销售",COUNTIF({"三矿区";"六矿区"},$L2685)=0),"※对外销售的去向只能是三矿区或六矿区",IF(AND($K2685="对外销售",ROUND($Q2685,0)=0),"※外销却没有售价，请填实际售价",IF(AND($K2685="对外销售",$T2685&lt;&gt;"",$T2685&lt;0),"※这一笔外销是亏的，请核对售价",IF(IFERROR(VLOOKUP($D2685,库存台账!$A$5:$Y$1204,24,0),0)&lt;-0.001,"※这个物料账面已经变成负数了，查一下是不是漏记入库","")))))))))))</f>
        <v/>
      </c>
    </row>
    <row r="2686">
      <c r="A2686" s="24">
        <f>IF($D2686="","",COUNTA($D$4:$D2686))</f>
        <v/>
      </c>
      <c r="B2686" s="17" t="n"/>
      <c r="C2686" s="30" t="n"/>
      <c r="D2686" s="17" t="n"/>
      <c r="E2686" s="24">
        <f>IF($D2686="","",IFERROR(VLOOKUP($D2686,物料档案!$A$4:$P$1203,3,0),"※编码不在物料档案里"))</f>
        <v/>
      </c>
      <c r="F2686" s="24">
        <f>IF($D2686="","",IFERROR(VLOOKUP($D2686,物料档案!$A$4:$P$1203,4,0),"※编码不在物料档案里"))</f>
        <v/>
      </c>
      <c r="G2686" s="24">
        <f>IF($D2686="","",IFERROR(VLOOKUP($D2686,物料档案!$A$4:$P$1203,5,0),"※编码不在物料档案里"))</f>
        <v/>
      </c>
      <c r="H2686" s="24">
        <f>IF($D2686="","",IFERROR(VLOOKUP($D2686,物料档案!$A$4:$P$1203,2,0),"※编码不在物料档案里"))</f>
        <v/>
      </c>
      <c r="I2686" s="24">
        <f>IF($D2686="","",IFERROR(VLOOKUP($D2686,物料档案!$A$4:$P$1203,6,0),"※编码不在物料档案里"))</f>
        <v/>
      </c>
      <c r="J2686" s="23" t="n"/>
      <c r="K2686" s="17" t="n"/>
      <c r="L2686" s="17" t="n"/>
      <c r="M2686" s="17" t="n"/>
      <c r="N2686" s="17" t="n"/>
      <c r="O2686" s="26">
        <f>IF($D2686="","",IFERROR(VLOOKUP($D2686,物料档案!$A$4:$P$1203,10,0),0))</f>
        <v/>
      </c>
      <c r="P2686" s="32" t="n"/>
      <c r="Q2686" s="26">
        <f>IF($D2686="","",IF($K2686&lt;&gt;"对外销售",0,ROUND(N($J2686)*IF($P2686="",N($O2686),N($P2686)),0)))</f>
        <v/>
      </c>
      <c r="R2686" s="26">
        <f>IF($D2686="","",IFERROR(VLOOKUP($D2686,库存台账!$A$5:$Y$1204,11,0),0))</f>
        <v/>
      </c>
      <c r="S2686" s="26">
        <f>IF($D2686="","",ROUND(N($J2686)*N($R2686),0))</f>
        <v/>
      </c>
      <c r="T2686" s="26">
        <f>IF($D2686="","",IF($K2686&lt;&gt;"对外销售","",ROUND($Q2686-$S2686,0)))</f>
        <v/>
      </c>
      <c r="U2686" s="17" t="n"/>
      <c r="V2686" s="17" t="n"/>
      <c r="W2686" s="24">
        <f>IF($D2686="","",IF($E2686="※编码不在物料档案里","※物料编码不在档案里",IF(N($J2686)&lt;=0,"※出库数量要大于 0",IF($K2686="","※没填去向类型",IF($L2686="","※没填去向矿区",IF(AND($C2686&lt;&gt;"",$C2686&lt;=结账锁),"※日期早于已结账截止日，不能再录",IF(AND($K2686="自用消耗",COUNTIF({"一矿区";"二矿区"},$L2686)=0),"※自用消耗的去向只能是一矿区或二矿区",IF(AND($K2686="对外销售",COUNTIF({"三矿区";"六矿区"},$L2686)=0),"※对外销售的去向只能是三矿区或六矿区",IF(AND($K2686="对外销售",ROUND($Q2686,0)=0),"※外销却没有售价，请填实际售价",IF(AND($K2686="对外销售",$T2686&lt;&gt;"",$T2686&lt;0),"※这一笔外销是亏的，请核对售价",IF(IFERROR(VLOOKUP($D2686,库存台账!$A$5:$Y$1204,24,0),0)&lt;-0.001,"※这个物料账面已经变成负数了，查一下是不是漏记入库","")))))))))))</f>
        <v/>
      </c>
    </row>
    <row r="2687">
      <c r="A2687" s="24">
        <f>IF($D2687="","",COUNTA($D$4:$D2687))</f>
        <v/>
      </c>
      <c r="B2687" s="17" t="n"/>
      <c r="C2687" s="30" t="n"/>
      <c r="D2687" s="17" t="n"/>
      <c r="E2687" s="24">
        <f>IF($D2687="","",IFERROR(VLOOKUP($D2687,物料档案!$A$4:$P$1203,3,0),"※编码不在物料档案里"))</f>
        <v/>
      </c>
      <c r="F2687" s="24">
        <f>IF($D2687="","",IFERROR(VLOOKUP($D2687,物料档案!$A$4:$P$1203,4,0),"※编码不在物料档案里"))</f>
        <v/>
      </c>
      <c r="G2687" s="24">
        <f>IF($D2687="","",IFERROR(VLOOKUP($D2687,物料档案!$A$4:$P$1203,5,0),"※编码不在物料档案里"))</f>
        <v/>
      </c>
      <c r="H2687" s="24">
        <f>IF($D2687="","",IFERROR(VLOOKUP($D2687,物料档案!$A$4:$P$1203,2,0),"※编码不在物料档案里"))</f>
        <v/>
      </c>
      <c r="I2687" s="24">
        <f>IF($D2687="","",IFERROR(VLOOKUP($D2687,物料档案!$A$4:$P$1203,6,0),"※编码不在物料档案里"))</f>
        <v/>
      </c>
      <c r="J2687" s="23" t="n"/>
      <c r="K2687" s="17" t="n"/>
      <c r="L2687" s="17" t="n"/>
      <c r="M2687" s="17" t="n"/>
      <c r="N2687" s="17" t="n"/>
      <c r="O2687" s="26">
        <f>IF($D2687="","",IFERROR(VLOOKUP($D2687,物料档案!$A$4:$P$1203,10,0),0))</f>
        <v/>
      </c>
      <c r="P2687" s="32" t="n"/>
      <c r="Q2687" s="26">
        <f>IF($D2687="","",IF($K2687&lt;&gt;"对外销售",0,ROUND(N($J2687)*IF($P2687="",N($O2687),N($P2687)),0)))</f>
        <v/>
      </c>
      <c r="R2687" s="26">
        <f>IF($D2687="","",IFERROR(VLOOKUP($D2687,库存台账!$A$5:$Y$1204,11,0),0))</f>
        <v/>
      </c>
      <c r="S2687" s="26">
        <f>IF($D2687="","",ROUND(N($J2687)*N($R2687),0))</f>
        <v/>
      </c>
      <c r="T2687" s="26">
        <f>IF($D2687="","",IF($K2687&lt;&gt;"对外销售","",ROUND($Q2687-$S2687,0)))</f>
        <v/>
      </c>
      <c r="U2687" s="17" t="n"/>
      <c r="V2687" s="17" t="n"/>
      <c r="W2687" s="24">
        <f>IF($D2687="","",IF($E2687="※编码不在物料档案里","※物料编码不在档案里",IF(N($J2687)&lt;=0,"※出库数量要大于 0",IF($K2687="","※没填去向类型",IF($L2687="","※没填去向矿区",IF(AND($C2687&lt;&gt;"",$C2687&lt;=结账锁),"※日期早于已结账截止日，不能再录",IF(AND($K2687="自用消耗",COUNTIF({"一矿区";"二矿区"},$L2687)=0),"※自用消耗的去向只能是一矿区或二矿区",IF(AND($K2687="对外销售",COUNTIF({"三矿区";"六矿区"},$L2687)=0),"※对外销售的去向只能是三矿区或六矿区",IF(AND($K2687="对外销售",ROUND($Q2687,0)=0),"※外销却没有售价，请填实际售价",IF(AND($K2687="对外销售",$T2687&lt;&gt;"",$T2687&lt;0),"※这一笔外销是亏的，请核对售价",IF(IFERROR(VLOOKUP($D2687,库存台账!$A$5:$Y$1204,24,0),0)&lt;-0.001,"※这个物料账面已经变成负数了，查一下是不是漏记入库","")))))))))))</f>
        <v/>
      </c>
    </row>
    <row r="2688">
      <c r="A2688" s="24">
        <f>IF($D2688="","",COUNTA($D$4:$D2688))</f>
        <v/>
      </c>
      <c r="B2688" s="17" t="n"/>
      <c r="C2688" s="30" t="n"/>
      <c r="D2688" s="17" t="n"/>
      <c r="E2688" s="24">
        <f>IF($D2688="","",IFERROR(VLOOKUP($D2688,物料档案!$A$4:$P$1203,3,0),"※编码不在物料档案里"))</f>
        <v/>
      </c>
      <c r="F2688" s="24">
        <f>IF($D2688="","",IFERROR(VLOOKUP($D2688,物料档案!$A$4:$P$1203,4,0),"※编码不在物料档案里"))</f>
        <v/>
      </c>
      <c r="G2688" s="24">
        <f>IF($D2688="","",IFERROR(VLOOKUP($D2688,物料档案!$A$4:$P$1203,5,0),"※编码不在物料档案里"))</f>
        <v/>
      </c>
      <c r="H2688" s="24">
        <f>IF($D2688="","",IFERROR(VLOOKUP($D2688,物料档案!$A$4:$P$1203,2,0),"※编码不在物料档案里"))</f>
        <v/>
      </c>
      <c r="I2688" s="24">
        <f>IF($D2688="","",IFERROR(VLOOKUP($D2688,物料档案!$A$4:$P$1203,6,0),"※编码不在物料档案里"))</f>
        <v/>
      </c>
      <c r="J2688" s="23" t="n"/>
      <c r="K2688" s="17" t="n"/>
      <c r="L2688" s="17" t="n"/>
      <c r="M2688" s="17" t="n"/>
      <c r="N2688" s="17" t="n"/>
      <c r="O2688" s="26">
        <f>IF($D2688="","",IFERROR(VLOOKUP($D2688,物料档案!$A$4:$P$1203,10,0),0))</f>
        <v/>
      </c>
      <c r="P2688" s="32" t="n"/>
      <c r="Q2688" s="26">
        <f>IF($D2688="","",IF($K2688&lt;&gt;"对外销售",0,ROUND(N($J2688)*IF($P2688="",N($O2688),N($P2688)),0)))</f>
        <v/>
      </c>
      <c r="R2688" s="26">
        <f>IF($D2688="","",IFERROR(VLOOKUP($D2688,库存台账!$A$5:$Y$1204,11,0),0))</f>
        <v/>
      </c>
      <c r="S2688" s="26">
        <f>IF($D2688="","",ROUND(N($J2688)*N($R2688),0))</f>
        <v/>
      </c>
      <c r="T2688" s="26">
        <f>IF($D2688="","",IF($K2688&lt;&gt;"对外销售","",ROUND($Q2688-$S2688,0)))</f>
        <v/>
      </c>
      <c r="U2688" s="17" t="n"/>
      <c r="V2688" s="17" t="n"/>
      <c r="W2688" s="24">
        <f>IF($D2688="","",IF($E2688="※编码不在物料档案里","※物料编码不在档案里",IF(N($J2688)&lt;=0,"※出库数量要大于 0",IF($K2688="","※没填去向类型",IF($L2688="","※没填去向矿区",IF(AND($C2688&lt;&gt;"",$C2688&lt;=结账锁),"※日期早于已结账截止日，不能再录",IF(AND($K2688="自用消耗",COUNTIF({"一矿区";"二矿区"},$L2688)=0),"※自用消耗的去向只能是一矿区或二矿区",IF(AND($K2688="对外销售",COUNTIF({"三矿区";"六矿区"},$L2688)=0),"※对外销售的去向只能是三矿区或六矿区",IF(AND($K2688="对外销售",ROUND($Q2688,0)=0),"※外销却没有售价，请填实际售价",IF(AND($K2688="对外销售",$T2688&lt;&gt;"",$T2688&lt;0),"※这一笔外销是亏的，请核对售价",IF(IFERROR(VLOOKUP($D2688,库存台账!$A$5:$Y$1204,24,0),0)&lt;-0.001,"※这个物料账面已经变成负数了，查一下是不是漏记入库","")))))))))))</f>
        <v/>
      </c>
    </row>
    <row r="2689">
      <c r="A2689" s="24">
        <f>IF($D2689="","",COUNTA($D$4:$D2689))</f>
        <v/>
      </c>
      <c r="B2689" s="17" t="n"/>
      <c r="C2689" s="30" t="n"/>
      <c r="D2689" s="17" t="n"/>
      <c r="E2689" s="24">
        <f>IF($D2689="","",IFERROR(VLOOKUP($D2689,物料档案!$A$4:$P$1203,3,0),"※编码不在物料档案里"))</f>
        <v/>
      </c>
      <c r="F2689" s="24">
        <f>IF($D2689="","",IFERROR(VLOOKUP($D2689,物料档案!$A$4:$P$1203,4,0),"※编码不在物料档案里"))</f>
        <v/>
      </c>
      <c r="G2689" s="24">
        <f>IF($D2689="","",IFERROR(VLOOKUP($D2689,物料档案!$A$4:$P$1203,5,0),"※编码不在物料档案里"))</f>
        <v/>
      </c>
      <c r="H2689" s="24">
        <f>IF($D2689="","",IFERROR(VLOOKUP($D2689,物料档案!$A$4:$P$1203,2,0),"※编码不在物料档案里"))</f>
        <v/>
      </c>
      <c r="I2689" s="24">
        <f>IF($D2689="","",IFERROR(VLOOKUP($D2689,物料档案!$A$4:$P$1203,6,0),"※编码不在物料档案里"))</f>
        <v/>
      </c>
      <c r="J2689" s="23" t="n"/>
      <c r="K2689" s="17" t="n"/>
      <c r="L2689" s="17" t="n"/>
      <c r="M2689" s="17" t="n"/>
      <c r="N2689" s="17" t="n"/>
      <c r="O2689" s="26">
        <f>IF($D2689="","",IFERROR(VLOOKUP($D2689,物料档案!$A$4:$P$1203,10,0),0))</f>
        <v/>
      </c>
      <c r="P2689" s="32" t="n"/>
      <c r="Q2689" s="26">
        <f>IF($D2689="","",IF($K2689&lt;&gt;"对外销售",0,ROUND(N($J2689)*IF($P2689="",N($O2689),N($P2689)),0)))</f>
        <v/>
      </c>
      <c r="R2689" s="26">
        <f>IF($D2689="","",IFERROR(VLOOKUP($D2689,库存台账!$A$5:$Y$1204,11,0),0))</f>
        <v/>
      </c>
      <c r="S2689" s="26">
        <f>IF($D2689="","",ROUND(N($J2689)*N($R2689),0))</f>
        <v/>
      </c>
      <c r="T2689" s="26">
        <f>IF($D2689="","",IF($K2689&lt;&gt;"对外销售","",ROUND($Q2689-$S2689,0)))</f>
        <v/>
      </c>
      <c r="U2689" s="17" t="n"/>
      <c r="V2689" s="17" t="n"/>
      <c r="W2689" s="24">
        <f>IF($D2689="","",IF($E2689="※编码不在物料档案里","※物料编码不在档案里",IF(N($J2689)&lt;=0,"※出库数量要大于 0",IF($K2689="","※没填去向类型",IF($L2689="","※没填去向矿区",IF(AND($C2689&lt;&gt;"",$C2689&lt;=结账锁),"※日期早于已结账截止日，不能再录",IF(AND($K2689="自用消耗",COUNTIF({"一矿区";"二矿区"},$L2689)=0),"※自用消耗的去向只能是一矿区或二矿区",IF(AND($K2689="对外销售",COUNTIF({"三矿区";"六矿区"},$L2689)=0),"※对外销售的去向只能是三矿区或六矿区",IF(AND($K2689="对外销售",ROUND($Q2689,0)=0),"※外销却没有售价，请填实际售价",IF(AND($K2689="对外销售",$T2689&lt;&gt;"",$T2689&lt;0),"※这一笔外销是亏的，请核对售价",IF(IFERROR(VLOOKUP($D2689,库存台账!$A$5:$Y$1204,24,0),0)&lt;-0.001,"※这个物料账面已经变成负数了，查一下是不是漏记入库","")))))))))))</f>
        <v/>
      </c>
    </row>
    <row r="2690">
      <c r="A2690" s="24">
        <f>IF($D2690="","",COUNTA($D$4:$D2690))</f>
        <v/>
      </c>
      <c r="B2690" s="17" t="n"/>
      <c r="C2690" s="30" t="n"/>
      <c r="D2690" s="17" t="n"/>
      <c r="E2690" s="24">
        <f>IF($D2690="","",IFERROR(VLOOKUP($D2690,物料档案!$A$4:$P$1203,3,0),"※编码不在物料档案里"))</f>
        <v/>
      </c>
      <c r="F2690" s="24">
        <f>IF($D2690="","",IFERROR(VLOOKUP($D2690,物料档案!$A$4:$P$1203,4,0),"※编码不在物料档案里"))</f>
        <v/>
      </c>
      <c r="G2690" s="24">
        <f>IF($D2690="","",IFERROR(VLOOKUP($D2690,物料档案!$A$4:$P$1203,5,0),"※编码不在物料档案里"))</f>
        <v/>
      </c>
      <c r="H2690" s="24">
        <f>IF($D2690="","",IFERROR(VLOOKUP($D2690,物料档案!$A$4:$P$1203,2,0),"※编码不在物料档案里"))</f>
        <v/>
      </c>
      <c r="I2690" s="24">
        <f>IF($D2690="","",IFERROR(VLOOKUP($D2690,物料档案!$A$4:$P$1203,6,0),"※编码不在物料档案里"))</f>
        <v/>
      </c>
      <c r="J2690" s="23" t="n"/>
      <c r="K2690" s="17" t="n"/>
      <c r="L2690" s="17" t="n"/>
      <c r="M2690" s="17" t="n"/>
      <c r="N2690" s="17" t="n"/>
      <c r="O2690" s="26">
        <f>IF($D2690="","",IFERROR(VLOOKUP($D2690,物料档案!$A$4:$P$1203,10,0),0))</f>
        <v/>
      </c>
      <c r="P2690" s="32" t="n"/>
      <c r="Q2690" s="26">
        <f>IF($D2690="","",IF($K2690&lt;&gt;"对外销售",0,ROUND(N($J2690)*IF($P2690="",N($O2690),N($P2690)),0)))</f>
        <v/>
      </c>
      <c r="R2690" s="26">
        <f>IF($D2690="","",IFERROR(VLOOKUP($D2690,库存台账!$A$5:$Y$1204,11,0),0))</f>
        <v/>
      </c>
      <c r="S2690" s="26">
        <f>IF($D2690="","",ROUND(N($J2690)*N($R2690),0))</f>
        <v/>
      </c>
      <c r="T2690" s="26">
        <f>IF($D2690="","",IF($K2690&lt;&gt;"对外销售","",ROUND($Q2690-$S2690,0)))</f>
        <v/>
      </c>
      <c r="U2690" s="17" t="n"/>
      <c r="V2690" s="17" t="n"/>
      <c r="W2690" s="24">
        <f>IF($D2690="","",IF($E2690="※编码不在物料档案里","※物料编码不在档案里",IF(N($J2690)&lt;=0,"※出库数量要大于 0",IF($K2690="","※没填去向类型",IF($L2690="","※没填去向矿区",IF(AND($C2690&lt;&gt;"",$C2690&lt;=结账锁),"※日期早于已结账截止日，不能再录",IF(AND($K2690="自用消耗",COUNTIF({"一矿区";"二矿区"},$L2690)=0),"※自用消耗的去向只能是一矿区或二矿区",IF(AND($K2690="对外销售",COUNTIF({"三矿区";"六矿区"},$L2690)=0),"※对外销售的去向只能是三矿区或六矿区",IF(AND($K2690="对外销售",ROUND($Q2690,0)=0),"※外销却没有售价，请填实际售价",IF(AND($K2690="对外销售",$T2690&lt;&gt;"",$T2690&lt;0),"※这一笔外销是亏的，请核对售价",IF(IFERROR(VLOOKUP($D2690,库存台账!$A$5:$Y$1204,24,0),0)&lt;-0.001,"※这个物料账面已经变成负数了，查一下是不是漏记入库","")))))))))))</f>
        <v/>
      </c>
    </row>
    <row r="2691">
      <c r="A2691" s="24">
        <f>IF($D2691="","",COUNTA($D$4:$D2691))</f>
        <v/>
      </c>
      <c r="B2691" s="17" t="n"/>
      <c r="C2691" s="30" t="n"/>
      <c r="D2691" s="17" t="n"/>
      <c r="E2691" s="24">
        <f>IF($D2691="","",IFERROR(VLOOKUP($D2691,物料档案!$A$4:$P$1203,3,0),"※编码不在物料档案里"))</f>
        <v/>
      </c>
      <c r="F2691" s="24">
        <f>IF($D2691="","",IFERROR(VLOOKUP($D2691,物料档案!$A$4:$P$1203,4,0),"※编码不在物料档案里"))</f>
        <v/>
      </c>
      <c r="G2691" s="24">
        <f>IF($D2691="","",IFERROR(VLOOKUP($D2691,物料档案!$A$4:$P$1203,5,0),"※编码不在物料档案里"))</f>
        <v/>
      </c>
      <c r="H2691" s="24">
        <f>IF($D2691="","",IFERROR(VLOOKUP($D2691,物料档案!$A$4:$P$1203,2,0),"※编码不在物料档案里"))</f>
        <v/>
      </c>
      <c r="I2691" s="24">
        <f>IF($D2691="","",IFERROR(VLOOKUP($D2691,物料档案!$A$4:$P$1203,6,0),"※编码不在物料档案里"))</f>
        <v/>
      </c>
      <c r="J2691" s="23" t="n"/>
      <c r="K2691" s="17" t="n"/>
      <c r="L2691" s="17" t="n"/>
      <c r="M2691" s="17" t="n"/>
      <c r="N2691" s="17" t="n"/>
      <c r="O2691" s="26">
        <f>IF($D2691="","",IFERROR(VLOOKUP($D2691,物料档案!$A$4:$P$1203,10,0),0))</f>
        <v/>
      </c>
      <c r="P2691" s="32" t="n"/>
      <c r="Q2691" s="26">
        <f>IF($D2691="","",IF($K2691&lt;&gt;"对外销售",0,ROUND(N($J2691)*IF($P2691="",N($O2691),N($P2691)),0)))</f>
        <v/>
      </c>
      <c r="R2691" s="26">
        <f>IF($D2691="","",IFERROR(VLOOKUP($D2691,库存台账!$A$5:$Y$1204,11,0),0))</f>
        <v/>
      </c>
      <c r="S2691" s="26">
        <f>IF($D2691="","",ROUND(N($J2691)*N($R2691),0))</f>
        <v/>
      </c>
      <c r="T2691" s="26">
        <f>IF($D2691="","",IF($K2691&lt;&gt;"对外销售","",ROUND($Q2691-$S2691,0)))</f>
        <v/>
      </c>
      <c r="U2691" s="17" t="n"/>
      <c r="V2691" s="17" t="n"/>
      <c r="W2691" s="24">
        <f>IF($D2691="","",IF($E2691="※编码不在物料档案里","※物料编码不在档案里",IF(N($J2691)&lt;=0,"※出库数量要大于 0",IF($K2691="","※没填去向类型",IF($L2691="","※没填去向矿区",IF(AND($C2691&lt;&gt;"",$C2691&lt;=结账锁),"※日期早于已结账截止日，不能再录",IF(AND($K2691="自用消耗",COUNTIF({"一矿区";"二矿区"},$L2691)=0),"※自用消耗的去向只能是一矿区或二矿区",IF(AND($K2691="对外销售",COUNTIF({"三矿区";"六矿区"},$L2691)=0),"※对外销售的去向只能是三矿区或六矿区",IF(AND($K2691="对外销售",ROUND($Q2691,0)=0),"※外销却没有售价，请填实际售价",IF(AND($K2691="对外销售",$T2691&lt;&gt;"",$T2691&lt;0),"※这一笔外销是亏的，请核对售价",IF(IFERROR(VLOOKUP($D2691,库存台账!$A$5:$Y$1204,24,0),0)&lt;-0.001,"※这个物料账面已经变成负数了，查一下是不是漏记入库","")))))))))))</f>
        <v/>
      </c>
    </row>
    <row r="2692">
      <c r="A2692" s="24">
        <f>IF($D2692="","",COUNTA($D$4:$D2692))</f>
        <v/>
      </c>
      <c r="B2692" s="17" t="n"/>
      <c r="C2692" s="30" t="n"/>
      <c r="D2692" s="17" t="n"/>
      <c r="E2692" s="24">
        <f>IF($D2692="","",IFERROR(VLOOKUP($D2692,物料档案!$A$4:$P$1203,3,0),"※编码不在物料档案里"))</f>
        <v/>
      </c>
      <c r="F2692" s="24">
        <f>IF($D2692="","",IFERROR(VLOOKUP($D2692,物料档案!$A$4:$P$1203,4,0),"※编码不在物料档案里"))</f>
        <v/>
      </c>
      <c r="G2692" s="24">
        <f>IF($D2692="","",IFERROR(VLOOKUP($D2692,物料档案!$A$4:$P$1203,5,0),"※编码不在物料档案里"))</f>
        <v/>
      </c>
      <c r="H2692" s="24">
        <f>IF($D2692="","",IFERROR(VLOOKUP($D2692,物料档案!$A$4:$P$1203,2,0),"※编码不在物料档案里"))</f>
        <v/>
      </c>
      <c r="I2692" s="24">
        <f>IF($D2692="","",IFERROR(VLOOKUP($D2692,物料档案!$A$4:$P$1203,6,0),"※编码不在物料档案里"))</f>
        <v/>
      </c>
      <c r="J2692" s="23" t="n"/>
      <c r="K2692" s="17" t="n"/>
      <c r="L2692" s="17" t="n"/>
      <c r="M2692" s="17" t="n"/>
      <c r="N2692" s="17" t="n"/>
      <c r="O2692" s="26">
        <f>IF($D2692="","",IFERROR(VLOOKUP($D2692,物料档案!$A$4:$P$1203,10,0),0))</f>
        <v/>
      </c>
      <c r="P2692" s="32" t="n"/>
      <c r="Q2692" s="26">
        <f>IF($D2692="","",IF($K2692&lt;&gt;"对外销售",0,ROUND(N($J2692)*IF($P2692="",N($O2692),N($P2692)),0)))</f>
        <v/>
      </c>
      <c r="R2692" s="26">
        <f>IF($D2692="","",IFERROR(VLOOKUP($D2692,库存台账!$A$5:$Y$1204,11,0),0))</f>
        <v/>
      </c>
      <c r="S2692" s="26">
        <f>IF($D2692="","",ROUND(N($J2692)*N($R2692),0))</f>
        <v/>
      </c>
      <c r="T2692" s="26">
        <f>IF($D2692="","",IF($K2692&lt;&gt;"对外销售","",ROUND($Q2692-$S2692,0)))</f>
        <v/>
      </c>
      <c r="U2692" s="17" t="n"/>
      <c r="V2692" s="17" t="n"/>
      <c r="W2692" s="24">
        <f>IF($D2692="","",IF($E2692="※编码不在物料档案里","※物料编码不在档案里",IF(N($J2692)&lt;=0,"※出库数量要大于 0",IF($K2692="","※没填去向类型",IF($L2692="","※没填去向矿区",IF(AND($C2692&lt;&gt;"",$C2692&lt;=结账锁),"※日期早于已结账截止日，不能再录",IF(AND($K2692="自用消耗",COUNTIF({"一矿区";"二矿区"},$L2692)=0),"※自用消耗的去向只能是一矿区或二矿区",IF(AND($K2692="对外销售",COUNTIF({"三矿区";"六矿区"},$L2692)=0),"※对外销售的去向只能是三矿区或六矿区",IF(AND($K2692="对外销售",ROUND($Q2692,0)=0),"※外销却没有售价，请填实际售价",IF(AND($K2692="对外销售",$T2692&lt;&gt;"",$T2692&lt;0),"※这一笔外销是亏的，请核对售价",IF(IFERROR(VLOOKUP($D2692,库存台账!$A$5:$Y$1204,24,0),0)&lt;-0.001,"※这个物料账面已经变成负数了，查一下是不是漏记入库","")))))))))))</f>
        <v/>
      </c>
    </row>
    <row r="2693">
      <c r="A2693" s="24">
        <f>IF($D2693="","",COUNTA($D$4:$D2693))</f>
        <v/>
      </c>
      <c r="B2693" s="17" t="n"/>
      <c r="C2693" s="30" t="n"/>
      <c r="D2693" s="17" t="n"/>
      <c r="E2693" s="24">
        <f>IF($D2693="","",IFERROR(VLOOKUP($D2693,物料档案!$A$4:$P$1203,3,0),"※编码不在物料档案里"))</f>
        <v/>
      </c>
      <c r="F2693" s="24">
        <f>IF($D2693="","",IFERROR(VLOOKUP($D2693,物料档案!$A$4:$P$1203,4,0),"※编码不在物料档案里"))</f>
        <v/>
      </c>
      <c r="G2693" s="24">
        <f>IF($D2693="","",IFERROR(VLOOKUP($D2693,物料档案!$A$4:$P$1203,5,0),"※编码不在物料档案里"))</f>
        <v/>
      </c>
      <c r="H2693" s="24">
        <f>IF($D2693="","",IFERROR(VLOOKUP($D2693,物料档案!$A$4:$P$1203,2,0),"※编码不在物料档案里"))</f>
        <v/>
      </c>
      <c r="I2693" s="24">
        <f>IF($D2693="","",IFERROR(VLOOKUP($D2693,物料档案!$A$4:$P$1203,6,0),"※编码不在物料档案里"))</f>
        <v/>
      </c>
      <c r="J2693" s="23" t="n"/>
      <c r="K2693" s="17" t="n"/>
      <c r="L2693" s="17" t="n"/>
      <c r="M2693" s="17" t="n"/>
      <c r="N2693" s="17" t="n"/>
      <c r="O2693" s="26">
        <f>IF($D2693="","",IFERROR(VLOOKUP($D2693,物料档案!$A$4:$P$1203,10,0),0))</f>
        <v/>
      </c>
      <c r="P2693" s="32" t="n"/>
      <c r="Q2693" s="26">
        <f>IF($D2693="","",IF($K2693&lt;&gt;"对外销售",0,ROUND(N($J2693)*IF($P2693="",N($O2693),N($P2693)),0)))</f>
        <v/>
      </c>
      <c r="R2693" s="26">
        <f>IF($D2693="","",IFERROR(VLOOKUP($D2693,库存台账!$A$5:$Y$1204,11,0),0))</f>
        <v/>
      </c>
      <c r="S2693" s="26">
        <f>IF($D2693="","",ROUND(N($J2693)*N($R2693),0))</f>
        <v/>
      </c>
      <c r="T2693" s="26">
        <f>IF($D2693="","",IF($K2693&lt;&gt;"对外销售","",ROUND($Q2693-$S2693,0)))</f>
        <v/>
      </c>
      <c r="U2693" s="17" t="n"/>
      <c r="V2693" s="17" t="n"/>
      <c r="W2693" s="24">
        <f>IF($D2693="","",IF($E2693="※编码不在物料档案里","※物料编码不在档案里",IF(N($J2693)&lt;=0,"※出库数量要大于 0",IF($K2693="","※没填去向类型",IF($L2693="","※没填去向矿区",IF(AND($C2693&lt;&gt;"",$C2693&lt;=结账锁),"※日期早于已结账截止日，不能再录",IF(AND($K2693="自用消耗",COUNTIF({"一矿区";"二矿区"},$L2693)=0),"※自用消耗的去向只能是一矿区或二矿区",IF(AND($K2693="对外销售",COUNTIF({"三矿区";"六矿区"},$L2693)=0),"※对外销售的去向只能是三矿区或六矿区",IF(AND($K2693="对外销售",ROUND($Q2693,0)=0),"※外销却没有售价，请填实际售价",IF(AND($K2693="对外销售",$T2693&lt;&gt;"",$T2693&lt;0),"※这一笔外销是亏的，请核对售价",IF(IFERROR(VLOOKUP($D2693,库存台账!$A$5:$Y$1204,24,0),0)&lt;-0.001,"※这个物料账面已经变成负数了，查一下是不是漏记入库","")))))))))))</f>
        <v/>
      </c>
    </row>
    <row r="2694">
      <c r="A2694" s="24">
        <f>IF($D2694="","",COUNTA($D$4:$D2694))</f>
        <v/>
      </c>
      <c r="B2694" s="17" t="n"/>
      <c r="C2694" s="30" t="n"/>
      <c r="D2694" s="17" t="n"/>
      <c r="E2694" s="24">
        <f>IF($D2694="","",IFERROR(VLOOKUP($D2694,物料档案!$A$4:$P$1203,3,0),"※编码不在物料档案里"))</f>
        <v/>
      </c>
      <c r="F2694" s="24">
        <f>IF($D2694="","",IFERROR(VLOOKUP($D2694,物料档案!$A$4:$P$1203,4,0),"※编码不在物料档案里"))</f>
        <v/>
      </c>
      <c r="G2694" s="24">
        <f>IF($D2694="","",IFERROR(VLOOKUP($D2694,物料档案!$A$4:$P$1203,5,0),"※编码不在物料档案里"))</f>
        <v/>
      </c>
      <c r="H2694" s="24">
        <f>IF($D2694="","",IFERROR(VLOOKUP($D2694,物料档案!$A$4:$P$1203,2,0),"※编码不在物料档案里"))</f>
        <v/>
      </c>
      <c r="I2694" s="24">
        <f>IF($D2694="","",IFERROR(VLOOKUP($D2694,物料档案!$A$4:$P$1203,6,0),"※编码不在物料档案里"))</f>
        <v/>
      </c>
      <c r="J2694" s="23" t="n"/>
      <c r="K2694" s="17" t="n"/>
      <c r="L2694" s="17" t="n"/>
      <c r="M2694" s="17" t="n"/>
      <c r="N2694" s="17" t="n"/>
      <c r="O2694" s="26">
        <f>IF($D2694="","",IFERROR(VLOOKUP($D2694,物料档案!$A$4:$P$1203,10,0),0))</f>
        <v/>
      </c>
      <c r="P2694" s="32" t="n"/>
      <c r="Q2694" s="26">
        <f>IF($D2694="","",IF($K2694&lt;&gt;"对外销售",0,ROUND(N($J2694)*IF($P2694="",N($O2694),N($P2694)),0)))</f>
        <v/>
      </c>
      <c r="R2694" s="26">
        <f>IF($D2694="","",IFERROR(VLOOKUP($D2694,库存台账!$A$5:$Y$1204,11,0),0))</f>
        <v/>
      </c>
      <c r="S2694" s="26">
        <f>IF($D2694="","",ROUND(N($J2694)*N($R2694),0))</f>
        <v/>
      </c>
      <c r="T2694" s="26">
        <f>IF($D2694="","",IF($K2694&lt;&gt;"对外销售","",ROUND($Q2694-$S2694,0)))</f>
        <v/>
      </c>
      <c r="U2694" s="17" t="n"/>
      <c r="V2694" s="17" t="n"/>
      <c r="W2694" s="24">
        <f>IF($D2694="","",IF($E2694="※编码不在物料档案里","※物料编码不在档案里",IF(N($J2694)&lt;=0,"※出库数量要大于 0",IF($K2694="","※没填去向类型",IF($L2694="","※没填去向矿区",IF(AND($C2694&lt;&gt;"",$C2694&lt;=结账锁),"※日期早于已结账截止日，不能再录",IF(AND($K2694="自用消耗",COUNTIF({"一矿区";"二矿区"},$L2694)=0),"※自用消耗的去向只能是一矿区或二矿区",IF(AND($K2694="对外销售",COUNTIF({"三矿区";"六矿区"},$L2694)=0),"※对外销售的去向只能是三矿区或六矿区",IF(AND($K2694="对外销售",ROUND($Q2694,0)=0),"※外销却没有售价，请填实际售价",IF(AND($K2694="对外销售",$T2694&lt;&gt;"",$T2694&lt;0),"※这一笔外销是亏的，请核对售价",IF(IFERROR(VLOOKUP($D2694,库存台账!$A$5:$Y$1204,24,0),0)&lt;-0.001,"※这个物料账面已经变成负数了，查一下是不是漏记入库","")))))))))))</f>
        <v/>
      </c>
    </row>
    <row r="2695">
      <c r="A2695" s="24">
        <f>IF($D2695="","",COUNTA($D$4:$D2695))</f>
        <v/>
      </c>
      <c r="B2695" s="17" t="n"/>
      <c r="C2695" s="30" t="n"/>
      <c r="D2695" s="17" t="n"/>
      <c r="E2695" s="24">
        <f>IF($D2695="","",IFERROR(VLOOKUP($D2695,物料档案!$A$4:$P$1203,3,0),"※编码不在物料档案里"))</f>
        <v/>
      </c>
      <c r="F2695" s="24">
        <f>IF($D2695="","",IFERROR(VLOOKUP($D2695,物料档案!$A$4:$P$1203,4,0),"※编码不在物料档案里"))</f>
        <v/>
      </c>
      <c r="G2695" s="24">
        <f>IF($D2695="","",IFERROR(VLOOKUP($D2695,物料档案!$A$4:$P$1203,5,0),"※编码不在物料档案里"))</f>
        <v/>
      </c>
      <c r="H2695" s="24">
        <f>IF($D2695="","",IFERROR(VLOOKUP($D2695,物料档案!$A$4:$P$1203,2,0),"※编码不在物料档案里"))</f>
        <v/>
      </c>
      <c r="I2695" s="24">
        <f>IF($D2695="","",IFERROR(VLOOKUP($D2695,物料档案!$A$4:$P$1203,6,0),"※编码不在物料档案里"))</f>
        <v/>
      </c>
      <c r="J2695" s="23" t="n"/>
      <c r="K2695" s="17" t="n"/>
      <c r="L2695" s="17" t="n"/>
      <c r="M2695" s="17" t="n"/>
      <c r="N2695" s="17" t="n"/>
      <c r="O2695" s="26">
        <f>IF($D2695="","",IFERROR(VLOOKUP($D2695,物料档案!$A$4:$P$1203,10,0),0))</f>
        <v/>
      </c>
      <c r="P2695" s="32" t="n"/>
      <c r="Q2695" s="26">
        <f>IF($D2695="","",IF($K2695&lt;&gt;"对外销售",0,ROUND(N($J2695)*IF($P2695="",N($O2695),N($P2695)),0)))</f>
        <v/>
      </c>
      <c r="R2695" s="26">
        <f>IF($D2695="","",IFERROR(VLOOKUP($D2695,库存台账!$A$5:$Y$1204,11,0),0))</f>
        <v/>
      </c>
      <c r="S2695" s="26">
        <f>IF($D2695="","",ROUND(N($J2695)*N($R2695),0))</f>
        <v/>
      </c>
      <c r="T2695" s="26">
        <f>IF($D2695="","",IF($K2695&lt;&gt;"对外销售","",ROUND($Q2695-$S2695,0)))</f>
        <v/>
      </c>
      <c r="U2695" s="17" t="n"/>
      <c r="V2695" s="17" t="n"/>
      <c r="W2695" s="24">
        <f>IF($D2695="","",IF($E2695="※编码不在物料档案里","※物料编码不在档案里",IF(N($J2695)&lt;=0,"※出库数量要大于 0",IF($K2695="","※没填去向类型",IF($L2695="","※没填去向矿区",IF(AND($C2695&lt;&gt;"",$C2695&lt;=结账锁),"※日期早于已结账截止日，不能再录",IF(AND($K2695="自用消耗",COUNTIF({"一矿区";"二矿区"},$L2695)=0),"※自用消耗的去向只能是一矿区或二矿区",IF(AND($K2695="对外销售",COUNTIF({"三矿区";"六矿区"},$L2695)=0),"※对外销售的去向只能是三矿区或六矿区",IF(AND($K2695="对外销售",ROUND($Q2695,0)=0),"※外销却没有售价，请填实际售价",IF(AND($K2695="对外销售",$T2695&lt;&gt;"",$T2695&lt;0),"※这一笔外销是亏的，请核对售价",IF(IFERROR(VLOOKUP($D2695,库存台账!$A$5:$Y$1204,24,0),0)&lt;-0.001,"※这个物料账面已经变成负数了，查一下是不是漏记入库","")))))))))))</f>
        <v/>
      </c>
    </row>
    <row r="2696">
      <c r="A2696" s="24">
        <f>IF($D2696="","",COUNTA($D$4:$D2696))</f>
        <v/>
      </c>
      <c r="B2696" s="17" t="n"/>
      <c r="C2696" s="30" t="n"/>
      <c r="D2696" s="17" t="n"/>
      <c r="E2696" s="24">
        <f>IF($D2696="","",IFERROR(VLOOKUP($D2696,物料档案!$A$4:$P$1203,3,0),"※编码不在物料档案里"))</f>
        <v/>
      </c>
      <c r="F2696" s="24">
        <f>IF($D2696="","",IFERROR(VLOOKUP($D2696,物料档案!$A$4:$P$1203,4,0),"※编码不在物料档案里"))</f>
        <v/>
      </c>
      <c r="G2696" s="24">
        <f>IF($D2696="","",IFERROR(VLOOKUP($D2696,物料档案!$A$4:$P$1203,5,0),"※编码不在物料档案里"))</f>
        <v/>
      </c>
      <c r="H2696" s="24">
        <f>IF($D2696="","",IFERROR(VLOOKUP($D2696,物料档案!$A$4:$P$1203,2,0),"※编码不在物料档案里"))</f>
        <v/>
      </c>
      <c r="I2696" s="24">
        <f>IF($D2696="","",IFERROR(VLOOKUP($D2696,物料档案!$A$4:$P$1203,6,0),"※编码不在物料档案里"))</f>
        <v/>
      </c>
      <c r="J2696" s="23" t="n"/>
      <c r="K2696" s="17" t="n"/>
      <c r="L2696" s="17" t="n"/>
      <c r="M2696" s="17" t="n"/>
      <c r="N2696" s="17" t="n"/>
      <c r="O2696" s="26">
        <f>IF($D2696="","",IFERROR(VLOOKUP($D2696,物料档案!$A$4:$P$1203,10,0),0))</f>
        <v/>
      </c>
      <c r="P2696" s="32" t="n"/>
      <c r="Q2696" s="26">
        <f>IF($D2696="","",IF($K2696&lt;&gt;"对外销售",0,ROUND(N($J2696)*IF($P2696="",N($O2696),N($P2696)),0)))</f>
        <v/>
      </c>
      <c r="R2696" s="26">
        <f>IF($D2696="","",IFERROR(VLOOKUP($D2696,库存台账!$A$5:$Y$1204,11,0),0))</f>
        <v/>
      </c>
      <c r="S2696" s="26">
        <f>IF($D2696="","",ROUND(N($J2696)*N($R2696),0))</f>
        <v/>
      </c>
      <c r="T2696" s="26">
        <f>IF($D2696="","",IF($K2696&lt;&gt;"对外销售","",ROUND($Q2696-$S2696,0)))</f>
        <v/>
      </c>
      <c r="U2696" s="17" t="n"/>
      <c r="V2696" s="17" t="n"/>
      <c r="W2696" s="24">
        <f>IF($D2696="","",IF($E2696="※编码不在物料档案里","※物料编码不在档案里",IF(N($J2696)&lt;=0,"※出库数量要大于 0",IF($K2696="","※没填去向类型",IF($L2696="","※没填去向矿区",IF(AND($C2696&lt;&gt;"",$C2696&lt;=结账锁),"※日期早于已结账截止日，不能再录",IF(AND($K2696="自用消耗",COUNTIF({"一矿区";"二矿区"},$L2696)=0),"※自用消耗的去向只能是一矿区或二矿区",IF(AND($K2696="对外销售",COUNTIF({"三矿区";"六矿区"},$L2696)=0),"※对外销售的去向只能是三矿区或六矿区",IF(AND($K2696="对外销售",ROUND($Q2696,0)=0),"※外销却没有售价，请填实际售价",IF(AND($K2696="对外销售",$T2696&lt;&gt;"",$T2696&lt;0),"※这一笔外销是亏的，请核对售价",IF(IFERROR(VLOOKUP($D2696,库存台账!$A$5:$Y$1204,24,0),0)&lt;-0.001,"※这个物料账面已经变成负数了，查一下是不是漏记入库","")))))))))))</f>
        <v/>
      </c>
    </row>
    <row r="2697">
      <c r="A2697" s="24">
        <f>IF($D2697="","",COUNTA($D$4:$D2697))</f>
        <v/>
      </c>
      <c r="B2697" s="17" t="n"/>
      <c r="C2697" s="30" t="n"/>
      <c r="D2697" s="17" t="n"/>
      <c r="E2697" s="24">
        <f>IF($D2697="","",IFERROR(VLOOKUP($D2697,物料档案!$A$4:$P$1203,3,0),"※编码不在物料档案里"))</f>
        <v/>
      </c>
      <c r="F2697" s="24">
        <f>IF($D2697="","",IFERROR(VLOOKUP($D2697,物料档案!$A$4:$P$1203,4,0),"※编码不在物料档案里"))</f>
        <v/>
      </c>
      <c r="G2697" s="24">
        <f>IF($D2697="","",IFERROR(VLOOKUP($D2697,物料档案!$A$4:$P$1203,5,0),"※编码不在物料档案里"))</f>
        <v/>
      </c>
      <c r="H2697" s="24">
        <f>IF($D2697="","",IFERROR(VLOOKUP($D2697,物料档案!$A$4:$P$1203,2,0),"※编码不在物料档案里"))</f>
        <v/>
      </c>
      <c r="I2697" s="24">
        <f>IF($D2697="","",IFERROR(VLOOKUP($D2697,物料档案!$A$4:$P$1203,6,0),"※编码不在物料档案里"))</f>
        <v/>
      </c>
      <c r="J2697" s="23" t="n"/>
      <c r="K2697" s="17" t="n"/>
      <c r="L2697" s="17" t="n"/>
      <c r="M2697" s="17" t="n"/>
      <c r="N2697" s="17" t="n"/>
      <c r="O2697" s="26">
        <f>IF($D2697="","",IFERROR(VLOOKUP($D2697,物料档案!$A$4:$P$1203,10,0),0))</f>
        <v/>
      </c>
      <c r="P2697" s="32" t="n"/>
      <c r="Q2697" s="26">
        <f>IF($D2697="","",IF($K2697&lt;&gt;"对外销售",0,ROUND(N($J2697)*IF($P2697="",N($O2697),N($P2697)),0)))</f>
        <v/>
      </c>
      <c r="R2697" s="26">
        <f>IF($D2697="","",IFERROR(VLOOKUP($D2697,库存台账!$A$5:$Y$1204,11,0),0))</f>
        <v/>
      </c>
      <c r="S2697" s="26">
        <f>IF($D2697="","",ROUND(N($J2697)*N($R2697),0))</f>
        <v/>
      </c>
      <c r="T2697" s="26">
        <f>IF($D2697="","",IF($K2697&lt;&gt;"对外销售","",ROUND($Q2697-$S2697,0)))</f>
        <v/>
      </c>
      <c r="U2697" s="17" t="n"/>
      <c r="V2697" s="17" t="n"/>
      <c r="W2697" s="24">
        <f>IF($D2697="","",IF($E2697="※编码不在物料档案里","※物料编码不在档案里",IF(N($J2697)&lt;=0,"※出库数量要大于 0",IF($K2697="","※没填去向类型",IF($L2697="","※没填去向矿区",IF(AND($C2697&lt;&gt;"",$C2697&lt;=结账锁),"※日期早于已结账截止日，不能再录",IF(AND($K2697="自用消耗",COUNTIF({"一矿区";"二矿区"},$L2697)=0),"※自用消耗的去向只能是一矿区或二矿区",IF(AND($K2697="对外销售",COUNTIF({"三矿区";"六矿区"},$L2697)=0),"※对外销售的去向只能是三矿区或六矿区",IF(AND($K2697="对外销售",ROUND($Q2697,0)=0),"※外销却没有售价，请填实际售价",IF(AND($K2697="对外销售",$T2697&lt;&gt;"",$T2697&lt;0),"※这一笔外销是亏的，请核对售价",IF(IFERROR(VLOOKUP($D2697,库存台账!$A$5:$Y$1204,24,0),0)&lt;-0.001,"※这个物料账面已经变成负数了，查一下是不是漏记入库","")))))))))))</f>
        <v/>
      </c>
    </row>
    <row r="2698">
      <c r="A2698" s="24">
        <f>IF($D2698="","",COUNTA($D$4:$D2698))</f>
        <v/>
      </c>
      <c r="B2698" s="17" t="n"/>
      <c r="C2698" s="30" t="n"/>
      <c r="D2698" s="17" t="n"/>
      <c r="E2698" s="24">
        <f>IF($D2698="","",IFERROR(VLOOKUP($D2698,物料档案!$A$4:$P$1203,3,0),"※编码不在物料档案里"))</f>
        <v/>
      </c>
      <c r="F2698" s="24">
        <f>IF($D2698="","",IFERROR(VLOOKUP($D2698,物料档案!$A$4:$P$1203,4,0),"※编码不在物料档案里"))</f>
        <v/>
      </c>
      <c r="G2698" s="24">
        <f>IF($D2698="","",IFERROR(VLOOKUP($D2698,物料档案!$A$4:$P$1203,5,0),"※编码不在物料档案里"))</f>
        <v/>
      </c>
      <c r="H2698" s="24">
        <f>IF($D2698="","",IFERROR(VLOOKUP($D2698,物料档案!$A$4:$P$1203,2,0),"※编码不在物料档案里"))</f>
        <v/>
      </c>
      <c r="I2698" s="24">
        <f>IF($D2698="","",IFERROR(VLOOKUP($D2698,物料档案!$A$4:$P$1203,6,0),"※编码不在物料档案里"))</f>
        <v/>
      </c>
      <c r="J2698" s="23" t="n"/>
      <c r="K2698" s="17" t="n"/>
      <c r="L2698" s="17" t="n"/>
      <c r="M2698" s="17" t="n"/>
      <c r="N2698" s="17" t="n"/>
      <c r="O2698" s="26">
        <f>IF($D2698="","",IFERROR(VLOOKUP($D2698,物料档案!$A$4:$P$1203,10,0),0))</f>
        <v/>
      </c>
      <c r="P2698" s="32" t="n"/>
      <c r="Q2698" s="26">
        <f>IF($D2698="","",IF($K2698&lt;&gt;"对外销售",0,ROUND(N($J2698)*IF($P2698="",N($O2698),N($P2698)),0)))</f>
        <v/>
      </c>
      <c r="R2698" s="26">
        <f>IF($D2698="","",IFERROR(VLOOKUP($D2698,库存台账!$A$5:$Y$1204,11,0),0))</f>
        <v/>
      </c>
      <c r="S2698" s="26">
        <f>IF($D2698="","",ROUND(N($J2698)*N($R2698),0))</f>
        <v/>
      </c>
      <c r="T2698" s="26">
        <f>IF($D2698="","",IF($K2698&lt;&gt;"对外销售","",ROUND($Q2698-$S2698,0)))</f>
        <v/>
      </c>
      <c r="U2698" s="17" t="n"/>
      <c r="V2698" s="17" t="n"/>
      <c r="W2698" s="24">
        <f>IF($D2698="","",IF($E2698="※编码不在物料档案里","※物料编码不在档案里",IF(N($J2698)&lt;=0,"※出库数量要大于 0",IF($K2698="","※没填去向类型",IF($L2698="","※没填去向矿区",IF(AND($C2698&lt;&gt;"",$C2698&lt;=结账锁),"※日期早于已结账截止日，不能再录",IF(AND($K2698="自用消耗",COUNTIF({"一矿区";"二矿区"},$L2698)=0),"※自用消耗的去向只能是一矿区或二矿区",IF(AND($K2698="对外销售",COUNTIF({"三矿区";"六矿区"},$L2698)=0),"※对外销售的去向只能是三矿区或六矿区",IF(AND($K2698="对外销售",ROUND($Q2698,0)=0),"※外销却没有售价，请填实际售价",IF(AND($K2698="对外销售",$T2698&lt;&gt;"",$T2698&lt;0),"※这一笔外销是亏的，请核对售价",IF(IFERROR(VLOOKUP($D2698,库存台账!$A$5:$Y$1204,24,0),0)&lt;-0.001,"※这个物料账面已经变成负数了，查一下是不是漏记入库","")))))))))))</f>
        <v/>
      </c>
    </row>
    <row r="2699">
      <c r="A2699" s="24">
        <f>IF($D2699="","",COUNTA($D$4:$D2699))</f>
        <v/>
      </c>
      <c r="B2699" s="17" t="n"/>
      <c r="C2699" s="30" t="n"/>
      <c r="D2699" s="17" t="n"/>
      <c r="E2699" s="24">
        <f>IF($D2699="","",IFERROR(VLOOKUP($D2699,物料档案!$A$4:$P$1203,3,0),"※编码不在物料档案里"))</f>
        <v/>
      </c>
      <c r="F2699" s="24">
        <f>IF($D2699="","",IFERROR(VLOOKUP($D2699,物料档案!$A$4:$P$1203,4,0),"※编码不在物料档案里"))</f>
        <v/>
      </c>
      <c r="G2699" s="24">
        <f>IF($D2699="","",IFERROR(VLOOKUP($D2699,物料档案!$A$4:$P$1203,5,0),"※编码不在物料档案里"))</f>
        <v/>
      </c>
      <c r="H2699" s="24">
        <f>IF($D2699="","",IFERROR(VLOOKUP($D2699,物料档案!$A$4:$P$1203,2,0),"※编码不在物料档案里"))</f>
        <v/>
      </c>
      <c r="I2699" s="24">
        <f>IF($D2699="","",IFERROR(VLOOKUP($D2699,物料档案!$A$4:$P$1203,6,0),"※编码不在物料档案里"))</f>
        <v/>
      </c>
      <c r="J2699" s="23" t="n"/>
      <c r="K2699" s="17" t="n"/>
      <c r="L2699" s="17" t="n"/>
      <c r="M2699" s="17" t="n"/>
      <c r="N2699" s="17" t="n"/>
      <c r="O2699" s="26">
        <f>IF($D2699="","",IFERROR(VLOOKUP($D2699,物料档案!$A$4:$P$1203,10,0),0))</f>
        <v/>
      </c>
      <c r="P2699" s="32" t="n"/>
      <c r="Q2699" s="26">
        <f>IF($D2699="","",IF($K2699&lt;&gt;"对外销售",0,ROUND(N($J2699)*IF($P2699="",N($O2699),N($P2699)),0)))</f>
        <v/>
      </c>
      <c r="R2699" s="26">
        <f>IF($D2699="","",IFERROR(VLOOKUP($D2699,库存台账!$A$5:$Y$1204,11,0),0))</f>
        <v/>
      </c>
      <c r="S2699" s="26">
        <f>IF($D2699="","",ROUND(N($J2699)*N($R2699),0))</f>
        <v/>
      </c>
      <c r="T2699" s="26">
        <f>IF($D2699="","",IF($K2699&lt;&gt;"对外销售","",ROUND($Q2699-$S2699,0)))</f>
        <v/>
      </c>
      <c r="U2699" s="17" t="n"/>
      <c r="V2699" s="17" t="n"/>
      <c r="W2699" s="24">
        <f>IF($D2699="","",IF($E2699="※编码不在物料档案里","※物料编码不在档案里",IF(N($J2699)&lt;=0,"※出库数量要大于 0",IF($K2699="","※没填去向类型",IF($L2699="","※没填去向矿区",IF(AND($C2699&lt;&gt;"",$C2699&lt;=结账锁),"※日期早于已结账截止日，不能再录",IF(AND($K2699="自用消耗",COUNTIF({"一矿区";"二矿区"},$L2699)=0),"※自用消耗的去向只能是一矿区或二矿区",IF(AND($K2699="对外销售",COUNTIF({"三矿区";"六矿区"},$L2699)=0),"※对外销售的去向只能是三矿区或六矿区",IF(AND($K2699="对外销售",ROUND($Q2699,0)=0),"※外销却没有售价，请填实际售价",IF(AND($K2699="对外销售",$T2699&lt;&gt;"",$T2699&lt;0),"※这一笔外销是亏的，请核对售价",IF(IFERROR(VLOOKUP($D2699,库存台账!$A$5:$Y$1204,24,0),0)&lt;-0.001,"※这个物料账面已经变成负数了，查一下是不是漏记入库","")))))))))))</f>
        <v/>
      </c>
    </row>
    <row r="2700">
      <c r="A2700" s="24">
        <f>IF($D2700="","",COUNTA($D$4:$D2700))</f>
        <v/>
      </c>
      <c r="B2700" s="17" t="n"/>
      <c r="C2700" s="30" t="n"/>
      <c r="D2700" s="17" t="n"/>
      <c r="E2700" s="24">
        <f>IF($D2700="","",IFERROR(VLOOKUP($D2700,物料档案!$A$4:$P$1203,3,0),"※编码不在物料档案里"))</f>
        <v/>
      </c>
      <c r="F2700" s="24">
        <f>IF($D2700="","",IFERROR(VLOOKUP($D2700,物料档案!$A$4:$P$1203,4,0),"※编码不在物料档案里"))</f>
        <v/>
      </c>
      <c r="G2700" s="24">
        <f>IF($D2700="","",IFERROR(VLOOKUP($D2700,物料档案!$A$4:$P$1203,5,0),"※编码不在物料档案里"))</f>
        <v/>
      </c>
      <c r="H2700" s="24">
        <f>IF($D2700="","",IFERROR(VLOOKUP($D2700,物料档案!$A$4:$P$1203,2,0),"※编码不在物料档案里"))</f>
        <v/>
      </c>
      <c r="I2700" s="24">
        <f>IF($D2700="","",IFERROR(VLOOKUP($D2700,物料档案!$A$4:$P$1203,6,0),"※编码不在物料档案里"))</f>
        <v/>
      </c>
      <c r="J2700" s="23" t="n"/>
      <c r="K2700" s="17" t="n"/>
      <c r="L2700" s="17" t="n"/>
      <c r="M2700" s="17" t="n"/>
      <c r="N2700" s="17" t="n"/>
      <c r="O2700" s="26">
        <f>IF($D2700="","",IFERROR(VLOOKUP($D2700,物料档案!$A$4:$P$1203,10,0),0))</f>
        <v/>
      </c>
      <c r="P2700" s="32" t="n"/>
      <c r="Q2700" s="26">
        <f>IF($D2700="","",IF($K2700&lt;&gt;"对外销售",0,ROUND(N($J2700)*IF($P2700="",N($O2700),N($P2700)),0)))</f>
        <v/>
      </c>
      <c r="R2700" s="26">
        <f>IF($D2700="","",IFERROR(VLOOKUP($D2700,库存台账!$A$5:$Y$1204,11,0),0))</f>
        <v/>
      </c>
      <c r="S2700" s="26">
        <f>IF($D2700="","",ROUND(N($J2700)*N($R2700),0))</f>
        <v/>
      </c>
      <c r="T2700" s="26">
        <f>IF($D2700="","",IF($K2700&lt;&gt;"对外销售","",ROUND($Q2700-$S2700,0)))</f>
        <v/>
      </c>
      <c r="U2700" s="17" t="n"/>
      <c r="V2700" s="17" t="n"/>
      <c r="W2700" s="24">
        <f>IF($D2700="","",IF($E2700="※编码不在物料档案里","※物料编码不在档案里",IF(N($J2700)&lt;=0,"※出库数量要大于 0",IF($K2700="","※没填去向类型",IF($L2700="","※没填去向矿区",IF(AND($C2700&lt;&gt;"",$C2700&lt;=结账锁),"※日期早于已结账截止日，不能再录",IF(AND($K2700="自用消耗",COUNTIF({"一矿区";"二矿区"},$L2700)=0),"※自用消耗的去向只能是一矿区或二矿区",IF(AND($K2700="对外销售",COUNTIF({"三矿区";"六矿区"},$L2700)=0),"※对外销售的去向只能是三矿区或六矿区",IF(AND($K2700="对外销售",ROUND($Q2700,0)=0),"※外销却没有售价，请填实际售价",IF(AND($K2700="对外销售",$T2700&lt;&gt;"",$T2700&lt;0),"※这一笔外销是亏的，请核对售价",IF(IFERROR(VLOOKUP($D2700,库存台账!$A$5:$Y$1204,24,0),0)&lt;-0.001,"※这个物料账面已经变成负数了，查一下是不是漏记入库","")))))))))))</f>
        <v/>
      </c>
    </row>
    <row r="2701">
      <c r="A2701" s="24">
        <f>IF($D2701="","",COUNTA($D$4:$D2701))</f>
        <v/>
      </c>
      <c r="B2701" s="17" t="n"/>
      <c r="C2701" s="30" t="n"/>
      <c r="D2701" s="17" t="n"/>
      <c r="E2701" s="24">
        <f>IF($D2701="","",IFERROR(VLOOKUP($D2701,物料档案!$A$4:$P$1203,3,0),"※编码不在物料档案里"))</f>
        <v/>
      </c>
      <c r="F2701" s="24">
        <f>IF($D2701="","",IFERROR(VLOOKUP($D2701,物料档案!$A$4:$P$1203,4,0),"※编码不在物料档案里"))</f>
        <v/>
      </c>
      <c r="G2701" s="24">
        <f>IF($D2701="","",IFERROR(VLOOKUP($D2701,物料档案!$A$4:$P$1203,5,0),"※编码不在物料档案里"))</f>
        <v/>
      </c>
      <c r="H2701" s="24">
        <f>IF($D2701="","",IFERROR(VLOOKUP($D2701,物料档案!$A$4:$P$1203,2,0),"※编码不在物料档案里"))</f>
        <v/>
      </c>
      <c r="I2701" s="24">
        <f>IF($D2701="","",IFERROR(VLOOKUP($D2701,物料档案!$A$4:$P$1203,6,0),"※编码不在物料档案里"))</f>
        <v/>
      </c>
      <c r="J2701" s="23" t="n"/>
      <c r="K2701" s="17" t="n"/>
      <c r="L2701" s="17" t="n"/>
      <c r="M2701" s="17" t="n"/>
      <c r="N2701" s="17" t="n"/>
      <c r="O2701" s="26">
        <f>IF($D2701="","",IFERROR(VLOOKUP($D2701,物料档案!$A$4:$P$1203,10,0),0))</f>
        <v/>
      </c>
      <c r="P2701" s="32" t="n"/>
      <c r="Q2701" s="26">
        <f>IF($D2701="","",IF($K2701&lt;&gt;"对外销售",0,ROUND(N($J2701)*IF($P2701="",N($O2701),N($P2701)),0)))</f>
        <v/>
      </c>
      <c r="R2701" s="26">
        <f>IF($D2701="","",IFERROR(VLOOKUP($D2701,库存台账!$A$5:$Y$1204,11,0),0))</f>
        <v/>
      </c>
      <c r="S2701" s="26">
        <f>IF($D2701="","",ROUND(N($J2701)*N($R2701),0))</f>
        <v/>
      </c>
      <c r="T2701" s="26">
        <f>IF($D2701="","",IF($K2701&lt;&gt;"对外销售","",ROUND($Q2701-$S2701,0)))</f>
        <v/>
      </c>
      <c r="U2701" s="17" t="n"/>
      <c r="V2701" s="17" t="n"/>
      <c r="W2701" s="24">
        <f>IF($D2701="","",IF($E2701="※编码不在物料档案里","※物料编码不在档案里",IF(N($J2701)&lt;=0,"※出库数量要大于 0",IF($K2701="","※没填去向类型",IF($L2701="","※没填去向矿区",IF(AND($C2701&lt;&gt;"",$C2701&lt;=结账锁),"※日期早于已结账截止日，不能再录",IF(AND($K2701="自用消耗",COUNTIF({"一矿区";"二矿区"},$L2701)=0),"※自用消耗的去向只能是一矿区或二矿区",IF(AND($K2701="对外销售",COUNTIF({"三矿区";"六矿区"},$L2701)=0),"※对外销售的去向只能是三矿区或六矿区",IF(AND($K2701="对外销售",ROUND($Q2701,0)=0),"※外销却没有售价，请填实际售价",IF(AND($K2701="对外销售",$T2701&lt;&gt;"",$T2701&lt;0),"※这一笔外销是亏的，请核对售价",IF(IFERROR(VLOOKUP($D2701,库存台账!$A$5:$Y$1204,24,0),0)&lt;-0.001,"※这个物料账面已经变成负数了，查一下是不是漏记入库","")))))))))))</f>
        <v/>
      </c>
    </row>
    <row r="2702">
      <c r="A2702" s="24">
        <f>IF($D2702="","",COUNTA($D$4:$D2702))</f>
        <v/>
      </c>
      <c r="B2702" s="17" t="n"/>
      <c r="C2702" s="30" t="n"/>
      <c r="D2702" s="17" t="n"/>
      <c r="E2702" s="24">
        <f>IF($D2702="","",IFERROR(VLOOKUP($D2702,物料档案!$A$4:$P$1203,3,0),"※编码不在物料档案里"))</f>
        <v/>
      </c>
      <c r="F2702" s="24">
        <f>IF($D2702="","",IFERROR(VLOOKUP($D2702,物料档案!$A$4:$P$1203,4,0),"※编码不在物料档案里"))</f>
        <v/>
      </c>
      <c r="G2702" s="24">
        <f>IF($D2702="","",IFERROR(VLOOKUP($D2702,物料档案!$A$4:$P$1203,5,0),"※编码不在物料档案里"))</f>
        <v/>
      </c>
      <c r="H2702" s="24">
        <f>IF($D2702="","",IFERROR(VLOOKUP($D2702,物料档案!$A$4:$P$1203,2,0),"※编码不在物料档案里"))</f>
        <v/>
      </c>
      <c r="I2702" s="24">
        <f>IF($D2702="","",IFERROR(VLOOKUP($D2702,物料档案!$A$4:$P$1203,6,0),"※编码不在物料档案里"))</f>
        <v/>
      </c>
      <c r="J2702" s="23" t="n"/>
      <c r="K2702" s="17" t="n"/>
      <c r="L2702" s="17" t="n"/>
      <c r="M2702" s="17" t="n"/>
      <c r="N2702" s="17" t="n"/>
      <c r="O2702" s="26">
        <f>IF($D2702="","",IFERROR(VLOOKUP($D2702,物料档案!$A$4:$P$1203,10,0),0))</f>
        <v/>
      </c>
      <c r="P2702" s="32" t="n"/>
      <c r="Q2702" s="26">
        <f>IF($D2702="","",IF($K2702&lt;&gt;"对外销售",0,ROUND(N($J2702)*IF($P2702="",N($O2702),N($P2702)),0)))</f>
        <v/>
      </c>
      <c r="R2702" s="26">
        <f>IF($D2702="","",IFERROR(VLOOKUP($D2702,库存台账!$A$5:$Y$1204,11,0),0))</f>
        <v/>
      </c>
      <c r="S2702" s="26">
        <f>IF($D2702="","",ROUND(N($J2702)*N($R2702),0))</f>
        <v/>
      </c>
      <c r="T2702" s="26">
        <f>IF($D2702="","",IF($K2702&lt;&gt;"对外销售","",ROUND($Q2702-$S2702,0)))</f>
        <v/>
      </c>
      <c r="U2702" s="17" t="n"/>
      <c r="V2702" s="17" t="n"/>
      <c r="W2702" s="24">
        <f>IF($D2702="","",IF($E2702="※编码不在物料档案里","※物料编码不在档案里",IF(N($J2702)&lt;=0,"※出库数量要大于 0",IF($K2702="","※没填去向类型",IF($L2702="","※没填去向矿区",IF(AND($C2702&lt;&gt;"",$C2702&lt;=结账锁),"※日期早于已结账截止日，不能再录",IF(AND($K2702="自用消耗",COUNTIF({"一矿区";"二矿区"},$L2702)=0),"※自用消耗的去向只能是一矿区或二矿区",IF(AND($K2702="对外销售",COUNTIF({"三矿区";"六矿区"},$L2702)=0),"※对外销售的去向只能是三矿区或六矿区",IF(AND($K2702="对外销售",ROUND($Q2702,0)=0),"※外销却没有售价，请填实际售价",IF(AND($K2702="对外销售",$T2702&lt;&gt;"",$T2702&lt;0),"※这一笔外销是亏的，请核对售价",IF(IFERROR(VLOOKUP($D2702,库存台账!$A$5:$Y$1204,24,0),0)&lt;-0.001,"※这个物料账面已经变成负数了，查一下是不是漏记入库","")))))))))))</f>
        <v/>
      </c>
    </row>
    <row r="2703">
      <c r="A2703" s="24">
        <f>IF($D2703="","",COUNTA($D$4:$D2703))</f>
        <v/>
      </c>
      <c r="B2703" s="17" t="n"/>
      <c r="C2703" s="30" t="n"/>
      <c r="D2703" s="17" t="n"/>
      <c r="E2703" s="24">
        <f>IF($D2703="","",IFERROR(VLOOKUP($D2703,物料档案!$A$4:$P$1203,3,0),"※编码不在物料档案里"))</f>
        <v/>
      </c>
      <c r="F2703" s="24">
        <f>IF($D2703="","",IFERROR(VLOOKUP($D2703,物料档案!$A$4:$P$1203,4,0),"※编码不在物料档案里"))</f>
        <v/>
      </c>
      <c r="G2703" s="24">
        <f>IF($D2703="","",IFERROR(VLOOKUP($D2703,物料档案!$A$4:$P$1203,5,0),"※编码不在物料档案里"))</f>
        <v/>
      </c>
      <c r="H2703" s="24">
        <f>IF($D2703="","",IFERROR(VLOOKUP($D2703,物料档案!$A$4:$P$1203,2,0),"※编码不在物料档案里"))</f>
        <v/>
      </c>
      <c r="I2703" s="24">
        <f>IF($D2703="","",IFERROR(VLOOKUP($D2703,物料档案!$A$4:$P$1203,6,0),"※编码不在物料档案里"))</f>
        <v/>
      </c>
      <c r="J2703" s="23" t="n"/>
      <c r="K2703" s="17" t="n"/>
      <c r="L2703" s="17" t="n"/>
      <c r="M2703" s="17" t="n"/>
      <c r="N2703" s="17" t="n"/>
      <c r="O2703" s="26">
        <f>IF($D2703="","",IFERROR(VLOOKUP($D2703,物料档案!$A$4:$P$1203,10,0),0))</f>
        <v/>
      </c>
      <c r="P2703" s="32" t="n"/>
      <c r="Q2703" s="26">
        <f>IF($D2703="","",IF($K2703&lt;&gt;"对外销售",0,ROUND(N($J2703)*IF($P2703="",N($O2703),N($P2703)),0)))</f>
        <v/>
      </c>
      <c r="R2703" s="26">
        <f>IF($D2703="","",IFERROR(VLOOKUP($D2703,库存台账!$A$5:$Y$1204,11,0),0))</f>
        <v/>
      </c>
      <c r="S2703" s="26">
        <f>IF($D2703="","",ROUND(N($J2703)*N($R2703),0))</f>
        <v/>
      </c>
      <c r="T2703" s="26">
        <f>IF($D2703="","",IF($K2703&lt;&gt;"对外销售","",ROUND($Q2703-$S2703,0)))</f>
        <v/>
      </c>
      <c r="U2703" s="17" t="n"/>
      <c r="V2703" s="17" t="n"/>
      <c r="W2703" s="24">
        <f>IF($D2703="","",IF($E2703="※编码不在物料档案里","※物料编码不在档案里",IF(N($J2703)&lt;=0,"※出库数量要大于 0",IF($K2703="","※没填去向类型",IF($L2703="","※没填去向矿区",IF(AND($C2703&lt;&gt;"",$C2703&lt;=结账锁),"※日期早于已结账截止日，不能再录",IF(AND($K2703="自用消耗",COUNTIF({"一矿区";"二矿区"},$L2703)=0),"※自用消耗的去向只能是一矿区或二矿区",IF(AND($K2703="对外销售",COUNTIF({"三矿区";"六矿区"},$L2703)=0),"※对外销售的去向只能是三矿区或六矿区",IF(AND($K2703="对外销售",ROUND($Q2703,0)=0),"※外销却没有售价，请填实际售价",IF(AND($K2703="对外销售",$T2703&lt;&gt;"",$T2703&lt;0),"※这一笔外销是亏的，请核对售价",IF(IFERROR(VLOOKUP($D2703,库存台账!$A$5:$Y$1204,24,0),0)&lt;-0.001,"※这个物料账面已经变成负数了，查一下是不是漏记入库","")))))))))))</f>
        <v/>
      </c>
    </row>
    <row r="2704">
      <c r="A2704" s="24">
        <f>IF($D2704="","",COUNTA($D$4:$D2704))</f>
        <v/>
      </c>
      <c r="B2704" s="17" t="n"/>
      <c r="C2704" s="30" t="n"/>
      <c r="D2704" s="17" t="n"/>
      <c r="E2704" s="24">
        <f>IF($D2704="","",IFERROR(VLOOKUP($D2704,物料档案!$A$4:$P$1203,3,0),"※编码不在物料档案里"))</f>
        <v/>
      </c>
      <c r="F2704" s="24">
        <f>IF($D2704="","",IFERROR(VLOOKUP($D2704,物料档案!$A$4:$P$1203,4,0),"※编码不在物料档案里"))</f>
        <v/>
      </c>
      <c r="G2704" s="24">
        <f>IF($D2704="","",IFERROR(VLOOKUP($D2704,物料档案!$A$4:$P$1203,5,0),"※编码不在物料档案里"))</f>
        <v/>
      </c>
      <c r="H2704" s="24">
        <f>IF($D2704="","",IFERROR(VLOOKUP($D2704,物料档案!$A$4:$P$1203,2,0),"※编码不在物料档案里"))</f>
        <v/>
      </c>
      <c r="I2704" s="24">
        <f>IF($D2704="","",IFERROR(VLOOKUP($D2704,物料档案!$A$4:$P$1203,6,0),"※编码不在物料档案里"))</f>
        <v/>
      </c>
      <c r="J2704" s="23" t="n"/>
      <c r="K2704" s="17" t="n"/>
      <c r="L2704" s="17" t="n"/>
      <c r="M2704" s="17" t="n"/>
      <c r="N2704" s="17" t="n"/>
      <c r="O2704" s="26">
        <f>IF($D2704="","",IFERROR(VLOOKUP($D2704,物料档案!$A$4:$P$1203,10,0),0))</f>
        <v/>
      </c>
      <c r="P2704" s="32" t="n"/>
      <c r="Q2704" s="26">
        <f>IF($D2704="","",IF($K2704&lt;&gt;"对外销售",0,ROUND(N($J2704)*IF($P2704="",N($O2704),N($P2704)),0)))</f>
        <v/>
      </c>
      <c r="R2704" s="26">
        <f>IF($D2704="","",IFERROR(VLOOKUP($D2704,库存台账!$A$5:$Y$1204,11,0),0))</f>
        <v/>
      </c>
      <c r="S2704" s="26">
        <f>IF($D2704="","",ROUND(N($J2704)*N($R2704),0))</f>
        <v/>
      </c>
      <c r="T2704" s="26">
        <f>IF($D2704="","",IF($K2704&lt;&gt;"对外销售","",ROUND($Q2704-$S2704,0)))</f>
        <v/>
      </c>
      <c r="U2704" s="17" t="n"/>
      <c r="V2704" s="17" t="n"/>
      <c r="W2704" s="24">
        <f>IF($D2704="","",IF($E2704="※编码不在物料档案里","※物料编码不在档案里",IF(N($J2704)&lt;=0,"※出库数量要大于 0",IF($K2704="","※没填去向类型",IF($L2704="","※没填去向矿区",IF(AND($C2704&lt;&gt;"",$C2704&lt;=结账锁),"※日期早于已结账截止日，不能再录",IF(AND($K2704="自用消耗",COUNTIF({"一矿区";"二矿区"},$L2704)=0),"※自用消耗的去向只能是一矿区或二矿区",IF(AND($K2704="对外销售",COUNTIF({"三矿区";"六矿区"},$L2704)=0),"※对外销售的去向只能是三矿区或六矿区",IF(AND($K2704="对外销售",ROUND($Q2704,0)=0),"※外销却没有售价，请填实际售价",IF(AND($K2704="对外销售",$T2704&lt;&gt;"",$T2704&lt;0),"※这一笔外销是亏的，请核对售价",IF(IFERROR(VLOOKUP($D2704,库存台账!$A$5:$Y$1204,24,0),0)&lt;-0.001,"※这个物料账面已经变成负数了，查一下是不是漏记入库","")))))))))))</f>
        <v/>
      </c>
    </row>
    <row r="2705">
      <c r="A2705" s="24">
        <f>IF($D2705="","",COUNTA($D$4:$D2705))</f>
        <v/>
      </c>
      <c r="B2705" s="17" t="n"/>
      <c r="C2705" s="30" t="n"/>
      <c r="D2705" s="17" t="n"/>
      <c r="E2705" s="24">
        <f>IF($D2705="","",IFERROR(VLOOKUP($D2705,物料档案!$A$4:$P$1203,3,0),"※编码不在物料档案里"))</f>
        <v/>
      </c>
      <c r="F2705" s="24">
        <f>IF($D2705="","",IFERROR(VLOOKUP($D2705,物料档案!$A$4:$P$1203,4,0),"※编码不在物料档案里"))</f>
        <v/>
      </c>
      <c r="G2705" s="24">
        <f>IF($D2705="","",IFERROR(VLOOKUP($D2705,物料档案!$A$4:$P$1203,5,0),"※编码不在物料档案里"))</f>
        <v/>
      </c>
      <c r="H2705" s="24">
        <f>IF($D2705="","",IFERROR(VLOOKUP($D2705,物料档案!$A$4:$P$1203,2,0),"※编码不在物料档案里"))</f>
        <v/>
      </c>
      <c r="I2705" s="24">
        <f>IF($D2705="","",IFERROR(VLOOKUP($D2705,物料档案!$A$4:$P$1203,6,0),"※编码不在物料档案里"))</f>
        <v/>
      </c>
      <c r="J2705" s="23" t="n"/>
      <c r="K2705" s="17" t="n"/>
      <c r="L2705" s="17" t="n"/>
      <c r="M2705" s="17" t="n"/>
      <c r="N2705" s="17" t="n"/>
      <c r="O2705" s="26">
        <f>IF($D2705="","",IFERROR(VLOOKUP($D2705,物料档案!$A$4:$P$1203,10,0),0))</f>
        <v/>
      </c>
      <c r="P2705" s="32" t="n"/>
      <c r="Q2705" s="26">
        <f>IF($D2705="","",IF($K2705&lt;&gt;"对外销售",0,ROUND(N($J2705)*IF($P2705="",N($O2705),N($P2705)),0)))</f>
        <v/>
      </c>
      <c r="R2705" s="26">
        <f>IF($D2705="","",IFERROR(VLOOKUP($D2705,库存台账!$A$5:$Y$1204,11,0),0))</f>
        <v/>
      </c>
      <c r="S2705" s="26">
        <f>IF($D2705="","",ROUND(N($J2705)*N($R2705),0))</f>
        <v/>
      </c>
      <c r="T2705" s="26">
        <f>IF($D2705="","",IF($K2705&lt;&gt;"对外销售","",ROUND($Q2705-$S2705,0)))</f>
        <v/>
      </c>
      <c r="U2705" s="17" t="n"/>
      <c r="V2705" s="17" t="n"/>
      <c r="W2705" s="24">
        <f>IF($D2705="","",IF($E2705="※编码不在物料档案里","※物料编码不在档案里",IF(N($J2705)&lt;=0,"※出库数量要大于 0",IF($K2705="","※没填去向类型",IF($L2705="","※没填去向矿区",IF(AND($C2705&lt;&gt;"",$C2705&lt;=结账锁),"※日期早于已结账截止日，不能再录",IF(AND($K2705="自用消耗",COUNTIF({"一矿区";"二矿区"},$L2705)=0),"※自用消耗的去向只能是一矿区或二矿区",IF(AND($K2705="对外销售",COUNTIF({"三矿区";"六矿区"},$L2705)=0),"※对外销售的去向只能是三矿区或六矿区",IF(AND($K2705="对外销售",ROUND($Q2705,0)=0),"※外销却没有售价，请填实际售价",IF(AND($K2705="对外销售",$T2705&lt;&gt;"",$T2705&lt;0),"※这一笔外销是亏的，请核对售价",IF(IFERROR(VLOOKUP($D2705,库存台账!$A$5:$Y$1204,24,0),0)&lt;-0.001,"※这个物料账面已经变成负数了，查一下是不是漏记入库","")))))))))))</f>
        <v/>
      </c>
    </row>
    <row r="2706">
      <c r="A2706" s="24">
        <f>IF($D2706="","",COUNTA($D$4:$D2706))</f>
        <v/>
      </c>
      <c r="B2706" s="17" t="n"/>
      <c r="C2706" s="30" t="n"/>
      <c r="D2706" s="17" t="n"/>
      <c r="E2706" s="24">
        <f>IF($D2706="","",IFERROR(VLOOKUP($D2706,物料档案!$A$4:$P$1203,3,0),"※编码不在物料档案里"))</f>
        <v/>
      </c>
      <c r="F2706" s="24">
        <f>IF($D2706="","",IFERROR(VLOOKUP($D2706,物料档案!$A$4:$P$1203,4,0),"※编码不在物料档案里"))</f>
        <v/>
      </c>
      <c r="G2706" s="24">
        <f>IF($D2706="","",IFERROR(VLOOKUP($D2706,物料档案!$A$4:$P$1203,5,0),"※编码不在物料档案里"))</f>
        <v/>
      </c>
      <c r="H2706" s="24">
        <f>IF($D2706="","",IFERROR(VLOOKUP($D2706,物料档案!$A$4:$P$1203,2,0),"※编码不在物料档案里"))</f>
        <v/>
      </c>
      <c r="I2706" s="24">
        <f>IF($D2706="","",IFERROR(VLOOKUP($D2706,物料档案!$A$4:$P$1203,6,0),"※编码不在物料档案里"))</f>
        <v/>
      </c>
      <c r="J2706" s="23" t="n"/>
      <c r="K2706" s="17" t="n"/>
      <c r="L2706" s="17" t="n"/>
      <c r="M2706" s="17" t="n"/>
      <c r="N2706" s="17" t="n"/>
      <c r="O2706" s="26">
        <f>IF($D2706="","",IFERROR(VLOOKUP($D2706,物料档案!$A$4:$P$1203,10,0),0))</f>
        <v/>
      </c>
      <c r="P2706" s="32" t="n"/>
      <c r="Q2706" s="26">
        <f>IF($D2706="","",IF($K2706&lt;&gt;"对外销售",0,ROUND(N($J2706)*IF($P2706="",N($O2706),N($P2706)),0)))</f>
        <v/>
      </c>
      <c r="R2706" s="26">
        <f>IF($D2706="","",IFERROR(VLOOKUP($D2706,库存台账!$A$5:$Y$1204,11,0),0))</f>
        <v/>
      </c>
      <c r="S2706" s="26">
        <f>IF($D2706="","",ROUND(N($J2706)*N($R2706),0))</f>
        <v/>
      </c>
      <c r="T2706" s="26">
        <f>IF($D2706="","",IF($K2706&lt;&gt;"对外销售","",ROUND($Q2706-$S2706,0)))</f>
        <v/>
      </c>
      <c r="U2706" s="17" t="n"/>
      <c r="V2706" s="17" t="n"/>
      <c r="W2706" s="24">
        <f>IF($D2706="","",IF($E2706="※编码不在物料档案里","※物料编码不在档案里",IF(N($J2706)&lt;=0,"※出库数量要大于 0",IF($K2706="","※没填去向类型",IF($L2706="","※没填去向矿区",IF(AND($C2706&lt;&gt;"",$C2706&lt;=结账锁),"※日期早于已结账截止日，不能再录",IF(AND($K2706="自用消耗",COUNTIF({"一矿区";"二矿区"},$L2706)=0),"※自用消耗的去向只能是一矿区或二矿区",IF(AND($K2706="对外销售",COUNTIF({"三矿区";"六矿区"},$L2706)=0),"※对外销售的去向只能是三矿区或六矿区",IF(AND($K2706="对外销售",ROUND($Q2706,0)=0),"※外销却没有售价，请填实际售价",IF(AND($K2706="对外销售",$T2706&lt;&gt;"",$T2706&lt;0),"※这一笔外销是亏的，请核对售价",IF(IFERROR(VLOOKUP($D2706,库存台账!$A$5:$Y$1204,24,0),0)&lt;-0.001,"※这个物料账面已经变成负数了，查一下是不是漏记入库","")))))))))))</f>
        <v/>
      </c>
    </row>
    <row r="2707">
      <c r="A2707" s="24">
        <f>IF($D2707="","",COUNTA($D$4:$D2707))</f>
        <v/>
      </c>
      <c r="B2707" s="17" t="n"/>
      <c r="C2707" s="30" t="n"/>
      <c r="D2707" s="17" t="n"/>
      <c r="E2707" s="24">
        <f>IF($D2707="","",IFERROR(VLOOKUP($D2707,物料档案!$A$4:$P$1203,3,0),"※编码不在物料档案里"))</f>
        <v/>
      </c>
      <c r="F2707" s="24">
        <f>IF($D2707="","",IFERROR(VLOOKUP($D2707,物料档案!$A$4:$P$1203,4,0),"※编码不在物料档案里"))</f>
        <v/>
      </c>
      <c r="G2707" s="24">
        <f>IF($D2707="","",IFERROR(VLOOKUP($D2707,物料档案!$A$4:$P$1203,5,0),"※编码不在物料档案里"))</f>
        <v/>
      </c>
      <c r="H2707" s="24">
        <f>IF($D2707="","",IFERROR(VLOOKUP($D2707,物料档案!$A$4:$P$1203,2,0),"※编码不在物料档案里"))</f>
        <v/>
      </c>
      <c r="I2707" s="24">
        <f>IF($D2707="","",IFERROR(VLOOKUP($D2707,物料档案!$A$4:$P$1203,6,0),"※编码不在物料档案里"))</f>
        <v/>
      </c>
      <c r="J2707" s="23" t="n"/>
      <c r="K2707" s="17" t="n"/>
      <c r="L2707" s="17" t="n"/>
      <c r="M2707" s="17" t="n"/>
      <c r="N2707" s="17" t="n"/>
      <c r="O2707" s="26">
        <f>IF($D2707="","",IFERROR(VLOOKUP($D2707,物料档案!$A$4:$P$1203,10,0),0))</f>
        <v/>
      </c>
      <c r="P2707" s="32" t="n"/>
      <c r="Q2707" s="26">
        <f>IF($D2707="","",IF($K2707&lt;&gt;"对外销售",0,ROUND(N($J2707)*IF($P2707="",N($O2707),N($P2707)),0)))</f>
        <v/>
      </c>
      <c r="R2707" s="26">
        <f>IF($D2707="","",IFERROR(VLOOKUP($D2707,库存台账!$A$5:$Y$1204,11,0),0))</f>
        <v/>
      </c>
      <c r="S2707" s="26">
        <f>IF($D2707="","",ROUND(N($J2707)*N($R2707),0))</f>
        <v/>
      </c>
      <c r="T2707" s="26">
        <f>IF($D2707="","",IF($K2707&lt;&gt;"对外销售","",ROUND($Q2707-$S2707,0)))</f>
        <v/>
      </c>
      <c r="U2707" s="17" t="n"/>
      <c r="V2707" s="17" t="n"/>
      <c r="W2707" s="24">
        <f>IF($D2707="","",IF($E2707="※编码不在物料档案里","※物料编码不在档案里",IF(N($J2707)&lt;=0,"※出库数量要大于 0",IF($K2707="","※没填去向类型",IF($L2707="","※没填去向矿区",IF(AND($C2707&lt;&gt;"",$C2707&lt;=结账锁),"※日期早于已结账截止日，不能再录",IF(AND($K2707="自用消耗",COUNTIF({"一矿区";"二矿区"},$L2707)=0),"※自用消耗的去向只能是一矿区或二矿区",IF(AND($K2707="对外销售",COUNTIF({"三矿区";"六矿区"},$L2707)=0),"※对外销售的去向只能是三矿区或六矿区",IF(AND($K2707="对外销售",ROUND($Q2707,0)=0),"※外销却没有售价，请填实际售价",IF(AND($K2707="对外销售",$T2707&lt;&gt;"",$T2707&lt;0),"※这一笔外销是亏的，请核对售价",IF(IFERROR(VLOOKUP($D2707,库存台账!$A$5:$Y$1204,24,0),0)&lt;-0.001,"※这个物料账面已经变成负数了，查一下是不是漏记入库","")))))))))))</f>
        <v/>
      </c>
    </row>
    <row r="2708">
      <c r="A2708" s="24">
        <f>IF($D2708="","",COUNTA($D$4:$D2708))</f>
        <v/>
      </c>
      <c r="B2708" s="17" t="n"/>
      <c r="C2708" s="30" t="n"/>
      <c r="D2708" s="17" t="n"/>
      <c r="E2708" s="24">
        <f>IF($D2708="","",IFERROR(VLOOKUP($D2708,物料档案!$A$4:$P$1203,3,0),"※编码不在物料档案里"))</f>
        <v/>
      </c>
      <c r="F2708" s="24">
        <f>IF($D2708="","",IFERROR(VLOOKUP($D2708,物料档案!$A$4:$P$1203,4,0),"※编码不在物料档案里"))</f>
        <v/>
      </c>
      <c r="G2708" s="24">
        <f>IF($D2708="","",IFERROR(VLOOKUP($D2708,物料档案!$A$4:$P$1203,5,0),"※编码不在物料档案里"))</f>
        <v/>
      </c>
      <c r="H2708" s="24">
        <f>IF($D2708="","",IFERROR(VLOOKUP($D2708,物料档案!$A$4:$P$1203,2,0),"※编码不在物料档案里"))</f>
        <v/>
      </c>
      <c r="I2708" s="24">
        <f>IF($D2708="","",IFERROR(VLOOKUP($D2708,物料档案!$A$4:$P$1203,6,0),"※编码不在物料档案里"))</f>
        <v/>
      </c>
      <c r="J2708" s="23" t="n"/>
      <c r="K2708" s="17" t="n"/>
      <c r="L2708" s="17" t="n"/>
      <c r="M2708" s="17" t="n"/>
      <c r="N2708" s="17" t="n"/>
      <c r="O2708" s="26">
        <f>IF($D2708="","",IFERROR(VLOOKUP($D2708,物料档案!$A$4:$P$1203,10,0),0))</f>
        <v/>
      </c>
      <c r="P2708" s="32" t="n"/>
      <c r="Q2708" s="26">
        <f>IF($D2708="","",IF($K2708&lt;&gt;"对外销售",0,ROUND(N($J2708)*IF($P2708="",N($O2708),N($P2708)),0)))</f>
        <v/>
      </c>
      <c r="R2708" s="26">
        <f>IF($D2708="","",IFERROR(VLOOKUP($D2708,库存台账!$A$5:$Y$1204,11,0),0))</f>
        <v/>
      </c>
      <c r="S2708" s="26">
        <f>IF($D2708="","",ROUND(N($J2708)*N($R2708),0))</f>
        <v/>
      </c>
      <c r="T2708" s="26">
        <f>IF($D2708="","",IF($K2708&lt;&gt;"对外销售","",ROUND($Q2708-$S2708,0)))</f>
        <v/>
      </c>
      <c r="U2708" s="17" t="n"/>
      <c r="V2708" s="17" t="n"/>
      <c r="W2708" s="24">
        <f>IF($D2708="","",IF($E2708="※编码不在物料档案里","※物料编码不在档案里",IF(N($J2708)&lt;=0,"※出库数量要大于 0",IF($K2708="","※没填去向类型",IF($L2708="","※没填去向矿区",IF(AND($C2708&lt;&gt;"",$C2708&lt;=结账锁),"※日期早于已结账截止日，不能再录",IF(AND($K2708="自用消耗",COUNTIF({"一矿区";"二矿区"},$L2708)=0),"※自用消耗的去向只能是一矿区或二矿区",IF(AND($K2708="对外销售",COUNTIF({"三矿区";"六矿区"},$L2708)=0),"※对外销售的去向只能是三矿区或六矿区",IF(AND($K2708="对外销售",ROUND($Q2708,0)=0),"※外销却没有售价，请填实际售价",IF(AND($K2708="对外销售",$T2708&lt;&gt;"",$T2708&lt;0),"※这一笔外销是亏的，请核对售价",IF(IFERROR(VLOOKUP($D2708,库存台账!$A$5:$Y$1204,24,0),0)&lt;-0.001,"※这个物料账面已经变成负数了，查一下是不是漏记入库","")))))))))))</f>
        <v/>
      </c>
    </row>
    <row r="2709">
      <c r="A2709" s="24">
        <f>IF($D2709="","",COUNTA($D$4:$D2709))</f>
        <v/>
      </c>
      <c r="B2709" s="17" t="n"/>
      <c r="C2709" s="30" t="n"/>
      <c r="D2709" s="17" t="n"/>
      <c r="E2709" s="24">
        <f>IF($D2709="","",IFERROR(VLOOKUP($D2709,物料档案!$A$4:$P$1203,3,0),"※编码不在物料档案里"))</f>
        <v/>
      </c>
      <c r="F2709" s="24">
        <f>IF($D2709="","",IFERROR(VLOOKUP($D2709,物料档案!$A$4:$P$1203,4,0),"※编码不在物料档案里"))</f>
        <v/>
      </c>
      <c r="G2709" s="24">
        <f>IF($D2709="","",IFERROR(VLOOKUP($D2709,物料档案!$A$4:$P$1203,5,0),"※编码不在物料档案里"))</f>
        <v/>
      </c>
      <c r="H2709" s="24">
        <f>IF($D2709="","",IFERROR(VLOOKUP($D2709,物料档案!$A$4:$P$1203,2,0),"※编码不在物料档案里"))</f>
        <v/>
      </c>
      <c r="I2709" s="24">
        <f>IF($D2709="","",IFERROR(VLOOKUP($D2709,物料档案!$A$4:$P$1203,6,0),"※编码不在物料档案里"))</f>
        <v/>
      </c>
      <c r="J2709" s="23" t="n"/>
      <c r="K2709" s="17" t="n"/>
      <c r="L2709" s="17" t="n"/>
      <c r="M2709" s="17" t="n"/>
      <c r="N2709" s="17" t="n"/>
      <c r="O2709" s="26">
        <f>IF($D2709="","",IFERROR(VLOOKUP($D2709,物料档案!$A$4:$P$1203,10,0),0))</f>
        <v/>
      </c>
      <c r="P2709" s="32" t="n"/>
      <c r="Q2709" s="26">
        <f>IF($D2709="","",IF($K2709&lt;&gt;"对外销售",0,ROUND(N($J2709)*IF($P2709="",N($O2709),N($P2709)),0)))</f>
        <v/>
      </c>
      <c r="R2709" s="26">
        <f>IF($D2709="","",IFERROR(VLOOKUP($D2709,库存台账!$A$5:$Y$1204,11,0),0))</f>
        <v/>
      </c>
      <c r="S2709" s="26">
        <f>IF($D2709="","",ROUND(N($J2709)*N($R2709),0))</f>
        <v/>
      </c>
      <c r="T2709" s="26">
        <f>IF($D2709="","",IF($K2709&lt;&gt;"对外销售","",ROUND($Q2709-$S2709,0)))</f>
        <v/>
      </c>
      <c r="U2709" s="17" t="n"/>
      <c r="V2709" s="17" t="n"/>
      <c r="W2709" s="24">
        <f>IF($D2709="","",IF($E2709="※编码不在物料档案里","※物料编码不在档案里",IF(N($J2709)&lt;=0,"※出库数量要大于 0",IF($K2709="","※没填去向类型",IF($L2709="","※没填去向矿区",IF(AND($C2709&lt;&gt;"",$C2709&lt;=结账锁),"※日期早于已结账截止日，不能再录",IF(AND($K2709="自用消耗",COUNTIF({"一矿区";"二矿区"},$L2709)=0),"※自用消耗的去向只能是一矿区或二矿区",IF(AND($K2709="对外销售",COUNTIF({"三矿区";"六矿区"},$L2709)=0),"※对外销售的去向只能是三矿区或六矿区",IF(AND($K2709="对外销售",ROUND($Q2709,0)=0),"※外销却没有售价，请填实际售价",IF(AND($K2709="对外销售",$T2709&lt;&gt;"",$T2709&lt;0),"※这一笔外销是亏的，请核对售价",IF(IFERROR(VLOOKUP($D2709,库存台账!$A$5:$Y$1204,24,0),0)&lt;-0.001,"※这个物料账面已经变成负数了，查一下是不是漏记入库","")))))))))))</f>
        <v/>
      </c>
    </row>
    <row r="2710">
      <c r="A2710" s="24">
        <f>IF($D2710="","",COUNTA($D$4:$D2710))</f>
        <v/>
      </c>
      <c r="B2710" s="17" t="n"/>
      <c r="C2710" s="30" t="n"/>
      <c r="D2710" s="17" t="n"/>
      <c r="E2710" s="24">
        <f>IF($D2710="","",IFERROR(VLOOKUP($D2710,物料档案!$A$4:$P$1203,3,0),"※编码不在物料档案里"))</f>
        <v/>
      </c>
      <c r="F2710" s="24">
        <f>IF($D2710="","",IFERROR(VLOOKUP($D2710,物料档案!$A$4:$P$1203,4,0),"※编码不在物料档案里"))</f>
        <v/>
      </c>
      <c r="G2710" s="24">
        <f>IF($D2710="","",IFERROR(VLOOKUP($D2710,物料档案!$A$4:$P$1203,5,0),"※编码不在物料档案里"))</f>
        <v/>
      </c>
      <c r="H2710" s="24">
        <f>IF($D2710="","",IFERROR(VLOOKUP($D2710,物料档案!$A$4:$P$1203,2,0),"※编码不在物料档案里"))</f>
        <v/>
      </c>
      <c r="I2710" s="24">
        <f>IF($D2710="","",IFERROR(VLOOKUP($D2710,物料档案!$A$4:$P$1203,6,0),"※编码不在物料档案里"))</f>
        <v/>
      </c>
      <c r="J2710" s="23" t="n"/>
      <c r="K2710" s="17" t="n"/>
      <c r="L2710" s="17" t="n"/>
      <c r="M2710" s="17" t="n"/>
      <c r="N2710" s="17" t="n"/>
      <c r="O2710" s="26">
        <f>IF($D2710="","",IFERROR(VLOOKUP($D2710,物料档案!$A$4:$P$1203,10,0),0))</f>
        <v/>
      </c>
      <c r="P2710" s="32" t="n"/>
      <c r="Q2710" s="26">
        <f>IF($D2710="","",IF($K2710&lt;&gt;"对外销售",0,ROUND(N($J2710)*IF($P2710="",N($O2710),N($P2710)),0)))</f>
        <v/>
      </c>
      <c r="R2710" s="26">
        <f>IF($D2710="","",IFERROR(VLOOKUP($D2710,库存台账!$A$5:$Y$1204,11,0),0))</f>
        <v/>
      </c>
      <c r="S2710" s="26">
        <f>IF($D2710="","",ROUND(N($J2710)*N($R2710),0))</f>
        <v/>
      </c>
      <c r="T2710" s="26">
        <f>IF($D2710="","",IF($K2710&lt;&gt;"对外销售","",ROUND($Q2710-$S2710,0)))</f>
        <v/>
      </c>
      <c r="U2710" s="17" t="n"/>
      <c r="V2710" s="17" t="n"/>
      <c r="W2710" s="24">
        <f>IF($D2710="","",IF($E2710="※编码不在物料档案里","※物料编码不在档案里",IF(N($J2710)&lt;=0,"※出库数量要大于 0",IF($K2710="","※没填去向类型",IF($L2710="","※没填去向矿区",IF(AND($C2710&lt;&gt;"",$C2710&lt;=结账锁),"※日期早于已结账截止日，不能再录",IF(AND($K2710="自用消耗",COUNTIF({"一矿区";"二矿区"},$L2710)=0),"※自用消耗的去向只能是一矿区或二矿区",IF(AND($K2710="对外销售",COUNTIF({"三矿区";"六矿区"},$L2710)=0),"※对外销售的去向只能是三矿区或六矿区",IF(AND($K2710="对外销售",ROUND($Q2710,0)=0),"※外销却没有售价，请填实际售价",IF(AND($K2710="对外销售",$T2710&lt;&gt;"",$T2710&lt;0),"※这一笔外销是亏的，请核对售价",IF(IFERROR(VLOOKUP($D2710,库存台账!$A$5:$Y$1204,24,0),0)&lt;-0.001,"※这个物料账面已经变成负数了，查一下是不是漏记入库","")))))))))))</f>
        <v/>
      </c>
    </row>
    <row r="2711">
      <c r="A2711" s="24">
        <f>IF($D2711="","",COUNTA($D$4:$D2711))</f>
        <v/>
      </c>
      <c r="B2711" s="17" t="n"/>
      <c r="C2711" s="30" t="n"/>
      <c r="D2711" s="17" t="n"/>
      <c r="E2711" s="24">
        <f>IF($D2711="","",IFERROR(VLOOKUP($D2711,物料档案!$A$4:$P$1203,3,0),"※编码不在物料档案里"))</f>
        <v/>
      </c>
      <c r="F2711" s="24">
        <f>IF($D2711="","",IFERROR(VLOOKUP($D2711,物料档案!$A$4:$P$1203,4,0),"※编码不在物料档案里"))</f>
        <v/>
      </c>
      <c r="G2711" s="24">
        <f>IF($D2711="","",IFERROR(VLOOKUP($D2711,物料档案!$A$4:$P$1203,5,0),"※编码不在物料档案里"))</f>
        <v/>
      </c>
      <c r="H2711" s="24">
        <f>IF($D2711="","",IFERROR(VLOOKUP($D2711,物料档案!$A$4:$P$1203,2,0),"※编码不在物料档案里"))</f>
        <v/>
      </c>
      <c r="I2711" s="24">
        <f>IF($D2711="","",IFERROR(VLOOKUP($D2711,物料档案!$A$4:$P$1203,6,0),"※编码不在物料档案里"))</f>
        <v/>
      </c>
      <c r="J2711" s="23" t="n"/>
      <c r="K2711" s="17" t="n"/>
      <c r="L2711" s="17" t="n"/>
      <c r="M2711" s="17" t="n"/>
      <c r="N2711" s="17" t="n"/>
      <c r="O2711" s="26">
        <f>IF($D2711="","",IFERROR(VLOOKUP($D2711,物料档案!$A$4:$P$1203,10,0),0))</f>
        <v/>
      </c>
      <c r="P2711" s="32" t="n"/>
      <c r="Q2711" s="26">
        <f>IF($D2711="","",IF($K2711&lt;&gt;"对外销售",0,ROUND(N($J2711)*IF($P2711="",N($O2711),N($P2711)),0)))</f>
        <v/>
      </c>
      <c r="R2711" s="26">
        <f>IF($D2711="","",IFERROR(VLOOKUP($D2711,库存台账!$A$5:$Y$1204,11,0),0))</f>
        <v/>
      </c>
      <c r="S2711" s="26">
        <f>IF($D2711="","",ROUND(N($J2711)*N($R2711),0))</f>
        <v/>
      </c>
      <c r="T2711" s="26">
        <f>IF($D2711="","",IF($K2711&lt;&gt;"对外销售","",ROUND($Q2711-$S2711,0)))</f>
        <v/>
      </c>
      <c r="U2711" s="17" t="n"/>
      <c r="V2711" s="17" t="n"/>
      <c r="W2711" s="24">
        <f>IF($D2711="","",IF($E2711="※编码不在物料档案里","※物料编码不在档案里",IF(N($J2711)&lt;=0,"※出库数量要大于 0",IF($K2711="","※没填去向类型",IF($L2711="","※没填去向矿区",IF(AND($C2711&lt;&gt;"",$C2711&lt;=结账锁),"※日期早于已结账截止日，不能再录",IF(AND($K2711="自用消耗",COUNTIF({"一矿区";"二矿区"},$L2711)=0),"※自用消耗的去向只能是一矿区或二矿区",IF(AND($K2711="对外销售",COUNTIF({"三矿区";"六矿区"},$L2711)=0),"※对外销售的去向只能是三矿区或六矿区",IF(AND($K2711="对外销售",ROUND($Q2711,0)=0),"※外销却没有售价，请填实际售价",IF(AND($K2711="对外销售",$T2711&lt;&gt;"",$T2711&lt;0),"※这一笔外销是亏的，请核对售价",IF(IFERROR(VLOOKUP($D2711,库存台账!$A$5:$Y$1204,24,0),0)&lt;-0.001,"※这个物料账面已经变成负数了，查一下是不是漏记入库","")))))))))))</f>
        <v/>
      </c>
    </row>
    <row r="2712">
      <c r="A2712" s="24">
        <f>IF($D2712="","",COUNTA($D$4:$D2712))</f>
        <v/>
      </c>
      <c r="B2712" s="17" t="n"/>
      <c r="C2712" s="30" t="n"/>
      <c r="D2712" s="17" t="n"/>
      <c r="E2712" s="24">
        <f>IF($D2712="","",IFERROR(VLOOKUP($D2712,物料档案!$A$4:$P$1203,3,0),"※编码不在物料档案里"))</f>
        <v/>
      </c>
      <c r="F2712" s="24">
        <f>IF($D2712="","",IFERROR(VLOOKUP($D2712,物料档案!$A$4:$P$1203,4,0),"※编码不在物料档案里"))</f>
        <v/>
      </c>
      <c r="G2712" s="24">
        <f>IF($D2712="","",IFERROR(VLOOKUP($D2712,物料档案!$A$4:$P$1203,5,0),"※编码不在物料档案里"))</f>
        <v/>
      </c>
      <c r="H2712" s="24">
        <f>IF($D2712="","",IFERROR(VLOOKUP($D2712,物料档案!$A$4:$P$1203,2,0),"※编码不在物料档案里"))</f>
        <v/>
      </c>
      <c r="I2712" s="24">
        <f>IF($D2712="","",IFERROR(VLOOKUP($D2712,物料档案!$A$4:$P$1203,6,0),"※编码不在物料档案里"))</f>
        <v/>
      </c>
      <c r="J2712" s="23" t="n"/>
      <c r="K2712" s="17" t="n"/>
      <c r="L2712" s="17" t="n"/>
      <c r="M2712" s="17" t="n"/>
      <c r="N2712" s="17" t="n"/>
      <c r="O2712" s="26">
        <f>IF($D2712="","",IFERROR(VLOOKUP($D2712,物料档案!$A$4:$P$1203,10,0),0))</f>
        <v/>
      </c>
      <c r="P2712" s="32" t="n"/>
      <c r="Q2712" s="26">
        <f>IF($D2712="","",IF($K2712&lt;&gt;"对外销售",0,ROUND(N($J2712)*IF($P2712="",N($O2712),N($P2712)),0)))</f>
        <v/>
      </c>
      <c r="R2712" s="26">
        <f>IF($D2712="","",IFERROR(VLOOKUP($D2712,库存台账!$A$5:$Y$1204,11,0),0))</f>
        <v/>
      </c>
      <c r="S2712" s="26">
        <f>IF($D2712="","",ROUND(N($J2712)*N($R2712),0))</f>
        <v/>
      </c>
      <c r="T2712" s="26">
        <f>IF($D2712="","",IF($K2712&lt;&gt;"对外销售","",ROUND($Q2712-$S2712,0)))</f>
        <v/>
      </c>
      <c r="U2712" s="17" t="n"/>
      <c r="V2712" s="17" t="n"/>
      <c r="W2712" s="24">
        <f>IF($D2712="","",IF($E2712="※编码不在物料档案里","※物料编码不在档案里",IF(N($J2712)&lt;=0,"※出库数量要大于 0",IF($K2712="","※没填去向类型",IF($L2712="","※没填去向矿区",IF(AND($C2712&lt;&gt;"",$C2712&lt;=结账锁),"※日期早于已结账截止日，不能再录",IF(AND($K2712="自用消耗",COUNTIF({"一矿区";"二矿区"},$L2712)=0),"※自用消耗的去向只能是一矿区或二矿区",IF(AND($K2712="对外销售",COUNTIF({"三矿区";"六矿区"},$L2712)=0),"※对外销售的去向只能是三矿区或六矿区",IF(AND($K2712="对外销售",ROUND($Q2712,0)=0),"※外销却没有售价，请填实际售价",IF(AND($K2712="对外销售",$T2712&lt;&gt;"",$T2712&lt;0),"※这一笔外销是亏的，请核对售价",IF(IFERROR(VLOOKUP($D2712,库存台账!$A$5:$Y$1204,24,0),0)&lt;-0.001,"※这个物料账面已经变成负数了，查一下是不是漏记入库","")))))))))))</f>
        <v/>
      </c>
    </row>
    <row r="2713">
      <c r="A2713" s="24">
        <f>IF($D2713="","",COUNTA($D$4:$D2713))</f>
        <v/>
      </c>
      <c r="B2713" s="17" t="n"/>
      <c r="C2713" s="30" t="n"/>
      <c r="D2713" s="17" t="n"/>
      <c r="E2713" s="24">
        <f>IF($D2713="","",IFERROR(VLOOKUP($D2713,物料档案!$A$4:$P$1203,3,0),"※编码不在物料档案里"))</f>
        <v/>
      </c>
      <c r="F2713" s="24">
        <f>IF($D2713="","",IFERROR(VLOOKUP($D2713,物料档案!$A$4:$P$1203,4,0),"※编码不在物料档案里"))</f>
        <v/>
      </c>
      <c r="G2713" s="24">
        <f>IF($D2713="","",IFERROR(VLOOKUP($D2713,物料档案!$A$4:$P$1203,5,0),"※编码不在物料档案里"))</f>
        <v/>
      </c>
      <c r="H2713" s="24">
        <f>IF($D2713="","",IFERROR(VLOOKUP($D2713,物料档案!$A$4:$P$1203,2,0),"※编码不在物料档案里"))</f>
        <v/>
      </c>
      <c r="I2713" s="24">
        <f>IF($D2713="","",IFERROR(VLOOKUP($D2713,物料档案!$A$4:$P$1203,6,0),"※编码不在物料档案里"))</f>
        <v/>
      </c>
      <c r="J2713" s="23" t="n"/>
      <c r="K2713" s="17" t="n"/>
      <c r="L2713" s="17" t="n"/>
      <c r="M2713" s="17" t="n"/>
      <c r="N2713" s="17" t="n"/>
      <c r="O2713" s="26">
        <f>IF($D2713="","",IFERROR(VLOOKUP($D2713,物料档案!$A$4:$P$1203,10,0),0))</f>
        <v/>
      </c>
      <c r="P2713" s="32" t="n"/>
      <c r="Q2713" s="26">
        <f>IF($D2713="","",IF($K2713&lt;&gt;"对外销售",0,ROUND(N($J2713)*IF($P2713="",N($O2713),N($P2713)),0)))</f>
        <v/>
      </c>
      <c r="R2713" s="26">
        <f>IF($D2713="","",IFERROR(VLOOKUP($D2713,库存台账!$A$5:$Y$1204,11,0),0))</f>
        <v/>
      </c>
      <c r="S2713" s="26">
        <f>IF($D2713="","",ROUND(N($J2713)*N($R2713),0))</f>
        <v/>
      </c>
      <c r="T2713" s="26">
        <f>IF($D2713="","",IF($K2713&lt;&gt;"对外销售","",ROUND($Q2713-$S2713,0)))</f>
        <v/>
      </c>
      <c r="U2713" s="17" t="n"/>
      <c r="V2713" s="17" t="n"/>
      <c r="W2713" s="24">
        <f>IF($D2713="","",IF($E2713="※编码不在物料档案里","※物料编码不在档案里",IF(N($J2713)&lt;=0,"※出库数量要大于 0",IF($K2713="","※没填去向类型",IF($L2713="","※没填去向矿区",IF(AND($C2713&lt;&gt;"",$C2713&lt;=结账锁),"※日期早于已结账截止日，不能再录",IF(AND($K2713="自用消耗",COUNTIF({"一矿区";"二矿区"},$L2713)=0),"※自用消耗的去向只能是一矿区或二矿区",IF(AND($K2713="对外销售",COUNTIF({"三矿区";"六矿区"},$L2713)=0),"※对外销售的去向只能是三矿区或六矿区",IF(AND($K2713="对外销售",ROUND($Q2713,0)=0),"※外销却没有售价，请填实际售价",IF(AND($K2713="对外销售",$T2713&lt;&gt;"",$T2713&lt;0),"※这一笔外销是亏的，请核对售价",IF(IFERROR(VLOOKUP($D2713,库存台账!$A$5:$Y$1204,24,0),0)&lt;-0.001,"※这个物料账面已经变成负数了，查一下是不是漏记入库","")))))))))))</f>
        <v/>
      </c>
    </row>
    <row r="2714">
      <c r="A2714" s="24">
        <f>IF($D2714="","",COUNTA($D$4:$D2714))</f>
        <v/>
      </c>
      <c r="B2714" s="17" t="n"/>
      <c r="C2714" s="30" t="n"/>
      <c r="D2714" s="17" t="n"/>
      <c r="E2714" s="24">
        <f>IF($D2714="","",IFERROR(VLOOKUP($D2714,物料档案!$A$4:$P$1203,3,0),"※编码不在物料档案里"))</f>
        <v/>
      </c>
      <c r="F2714" s="24">
        <f>IF($D2714="","",IFERROR(VLOOKUP($D2714,物料档案!$A$4:$P$1203,4,0),"※编码不在物料档案里"))</f>
        <v/>
      </c>
      <c r="G2714" s="24">
        <f>IF($D2714="","",IFERROR(VLOOKUP($D2714,物料档案!$A$4:$P$1203,5,0),"※编码不在物料档案里"))</f>
        <v/>
      </c>
      <c r="H2714" s="24">
        <f>IF($D2714="","",IFERROR(VLOOKUP($D2714,物料档案!$A$4:$P$1203,2,0),"※编码不在物料档案里"))</f>
        <v/>
      </c>
      <c r="I2714" s="24">
        <f>IF($D2714="","",IFERROR(VLOOKUP($D2714,物料档案!$A$4:$P$1203,6,0),"※编码不在物料档案里"))</f>
        <v/>
      </c>
      <c r="J2714" s="23" t="n"/>
      <c r="K2714" s="17" t="n"/>
      <c r="L2714" s="17" t="n"/>
      <c r="M2714" s="17" t="n"/>
      <c r="N2714" s="17" t="n"/>
      <c r="O2714" s="26">
        <f>IF($D2714="","",IFERROR(VLOOKUP($D2714,物料档案!$A$4:$P$1203,10,0),0))</f>
        <v/>
      </c>
      <c r="P2714" s="32" t="n"/>
      <c r="Q2714" s="26">
        <f>IF($D2714="","",IF($K2714&lt;&gt;"对外销售",0,ROUND(N($J2714)*IF($P2714="",N($O2714),N($P2714)),0)))</f>
        <v/>
      </c>
      <c r="R2714" s="26">
        <f>IF($D2714="","",IFERROR(VLOOKUP($D2714,库存台账!$A$5:$Y$1204,11,0),0))</f>
        <v/>
      </c>
      <c r="S2714" s="26">
        <f>IF($D2714="","",ROUND(N($J2714)*N($R2714),0))</f>
        <v/>
      </c>
      <c r="T2714" s="26">
        <f>IF($D2714="","",IF($K2714&lt;&gt;"对外销售","",ROUND($Q2714-$S2714,0)))</f>
        <v/>
      </c>
      <c r="U2714" s="17" t="n"/>
      <c r="V2714" s="17" t="n"/>
      <c r="W2714" s="24">
        <f>IF($D2714="","",IF($E2714="※编码不在物料档案里","※物料编码不在档案里",IF(N($J2714)&lt;=0,"※出库数量要大于 0",IF($K2714="","※没填去向类型",IF($L2714="","※没填去向矿区",IF(AND($C2714&lt;&gt;"",$C2714&lt;=结账锁),"※日期早于已结账截止日，不能再录",IF(AND($K2714="自用消耗",COUNTIF({"一矿区";"二矿区"},$L2714)=0),"※自用消耗的去向只能是一矿区或二矿区",IF(AND($K2714="对外销售",COUNTIF({"三矿区";"六矿区"},$L2714)=0),"※对外销售的去向只能是三矿区或六矿区",IF(AND($K2714="对外销售",ROUND($Q2714,0)=0),"※外销却没有售价，请填实际售价",IF(AND($K2714="对外销售",$T2714&lt;&gt;"",$T2714&lt;0),"※这一笔外销是亏的，请核对售价",IF(IFERROR(VLOOKUP($D2714,库存台账!$A$5:$Y$1204,24,0),0)&lt;-0.001,"※这个物料账面已经变成负数了，查一下是不是漏记入库","")))))))))))</f>
        <v/>
      </c>
    </row>
    <row r="2715">
      <c r="A2715" s="24">
        <f>IF($D2715="","",COUNTA($D$4:$D2715))</f>
        <v/>
      </c>
      <c r="B2715" s="17" t="n"/>
      <c r="C2715" s="30" t="n"/>
      <c r="D2715" s="17" t="n"/>
      <c r="E2715" s="24">
        <f>IF($D2715="","",IFERROR(VLOOKUP($D2715,物料档案!$A$4:$P$1203,3,0),"※编码不在物料档案里"))</f>
        <v/>
      </c>
      <c r="F2715" s="24">
        <f>IF($D2715="","",IFERROR(VLOOKUP($D2715,物料档案!$A$4:$P$1203,4,0),"※编码不在物料档案里"))</f>
        <v/>
      </c>
      <c r="G2715" s="24">
        <f>IF($D2715="","",IFERROR(VLOOKUP($D2715,物料档案!$A$4:$P$1203,5,0),"※编码不在物料档案里"))</f>
        <v/>
      </c>
      <c r="H2715" s="24">
        <f>IF($D2715="","",IFERROR(VLOOKUP($D2715,物料档案!$A$4:$P$1203,2,0),"※编码不在物料档案里"))</f>
        <v/>
      </c>
      <c r="I2715" s="24">
        <f>IF($D2715="","",IFERROR(VLOOKUP($D2715,物料档案!$A$4:$P$1203,6,0),"※编码不在物料档案里"))</f>
        <v/>
      </c>
      <c r="J2715" s="23" t="n"/>
      <c r="K2715" s="17" t="n"/>
      <c r="L2715" s="17" t="n"/>
      <c r="M2715" s="17" t="n"/>
      <c r="N2715" s="17" t="n"/>
      <c r="O2715" s="26">
        <f>IF($D2715="","",IFERROR(VLOOKUP($D2715,物料档案!$A$4:$P$1203,10,0),0))</f>
        <v/>
      </c>
      <c r="P2715" s="32" t="n"/>
      <c r="Q2715" s="26">
        <f>IF($D2715="","",IF($K2715&lt;&gt;"对外销售",0,ROUND(N($J2715)*IF($P2715="",N($O2715),N($P2715)),0)))</f>
        <v/>
      </c>
      <c r="R2715" s="26">
        <f>IF($D2715="","",IFERROR(VLOOKUP($D2715,库存台账!$A$5:$Y$1204,11,0),0))</f>
        <v/>
      </c>
      <c r="S2715" s="26">
        <f>IF($D2715="","",ROUND(N($J2715)*N($R2715),0))</f>
        <v/>
      </c>
      <c r="T2715" s="26">
        <f>IF($D2715="","",IF($K2715&lt;&gt;"对外销售","",ROUND($Q2715-$S2715,0)))</f>
        <v/>
      </c>
      <c r="U2715" s="17" t="n"/>
      <c r="V2715" s="17" t="n"/>
      <c r="W2715" s="24">
        <f>IF($D2715="","",IF($E2715="※编码不在物料档案里","※物料编码不在档案里",IF(N($J2715)&lt;=0,"※出库数量要大于 0",IF($K2715="","※没填去向类型",IF($L2715="","※没填去向矿区",IF(AND($C2715&lt;&gt;"",$C2715&lt;=结账锁),"※日期早于已结账截止日，不能再录",IF(AND($K2715="自用消耗",COUNTIF({"一矿区";"二矿区"},$L2715)=0),"※自用消耗的去向只能是一矿区或二矿区",IF(AND($K2715="对外销售",COUNTIF({"三矿区";"六矿区"},$L2715)=0),"※对外销售的去向只能是三矿区或六矿区",IF(AND($K2715="对外销售",ROUND($Q2715,0)=0),"※外销却没有售价，请填实际售价",IF(AND($K2715="对外销售",$T2715&lt;&gt;"",$T2715&lt;0),"※这一笔外销是亏的，请核对售价",IF(IFERROR(VLOOKUP($D2715,库存台账!$A$5:$Y$1204,24,0),0)&lt;-0.001,"※这个物料账面已经变成负数了，查一下是不是漏记入库","")))))))))))</f>
        <v/>
      </c>
    </row>
    <row r="2716">
      <c r="A2716" s="24">
        <f>IF($D2716="","",COUNTA($D$4:$D2716))</f>
        <v/>
      </c>
      <c r="B2716" s="17" t="n"/>
      <c r="C2716" s="30" t="n"/>
      <c r="D2716" s="17" t="n"/>
      <c r="E2716" s="24">
        <f>IF($D2716="","",IFERROR(VLOOKUP($D2716,物料档案!$A$4:$P$1203,3,0),"※编码不在物料档案里"))</f>
        <v/>
      </c>
      <c r="F2716" s="24">
        <f>IF($D2716="","",IFERROR(VLOOKUP($D2716,物料档案!$A$4:$P$1203,4,0),"※编码不在物料档案里"))</f>
        <v/>
      </c>
      <c r="G2716" s="24">
        <f>IF($D2716="","",IFERROR(VLOOKUP($D2716,物料档案!$A$4:$P$1203,5,0),"※编码不在物料档案里"))</f>
        <v/>
      </c>
      <c r="H2716" s="24">
        <f>IF($D2716="","",IFERROR(VLOOKUP($D2716,物料档案!$A$4:$P$1203,2,0),"※编码不在物料档案里"))</f>
        <v/>
      </c>
      <c r="I2716" s="24">
        <f>IF($D2716="","",IFERROR(VLOOKUP($D2716,物料档案!$A$4:$P$1203,6,0),"※编码不在物料档案里"))</f>
        <v/>
      </c>
      <c r="J2716" s="23" t="n"/>
      <c r="K2716" s="17" t="n"/>
      <c r="L2716" s="17" t="n"/>
      <c r="M2716" s="17" t="n"/>
      <c r="N2716" s="17" t="n"/>
      <c r="O2716" s="26">
        <f>IF($D2716="","",IFERROR(VLOOKUP($D2716,物料档案!$A$4:$P$1203,10,0),0))</f>
        <v/>
      </c>
      <c r="P2716" s="32" t="n"/>
      <c r="Q2716" s="26">
        <f>IF($D2716="","",IF($K2716&lt;&gt;"对外销售",0,ROUND(N($J2716)*IF($P2716="",N($O2716),N($P2716)),0)))</f>
        <v/>
      </c>
      <c r="R2716" s="26">
        <f>IF($D2716="","",IFERROR(VLOOKUP($D2716,库存台账!$A$5:$Y$1204,11,0),0))</f>
        <v/>
      </c>
      <c r="S2716" s="26">
        <f>IF($D2716="","",ROUND(N($J2716)*N($R2716),0))</f>
        <v/>
      </c>
      <c r="T2716" s="26">
        <f>IF($D2716="","",IF($K2716&lt;&gt;"对外销售","",ROUND($Q2716-$S2716,0)))</f>
        <v/>
      </c>
      <c r="U2716" s="17" t="n"/>
      <c r="V2716" s="17" t="n"/>
      <c r="W2716" s="24">
        <f>IF($D2716="","",IF($E2716="※编码不在物料档案里","※物料编码不在档案里",IF(N($J2716)&lt;=0,"※出库数量要大于 0",IF($K2716="","※没填去向类型",IF($L2716="","※没填去向矿区",IF(AND($C2716&lt;&gt;"",$C2716&lt;=结账锁),"※日期早于已结账截止日，不能再录",IF(AND($K2716="自用消耗",COUNTIF({"一矿区";"二矿区"},$L2716)=0),"※自用消耗的去向只能是一矿区或二矿区",IF(AND($K2716="对外销售",COUNTIF({"三矿区";"六矿区"},$L2716)=0),"※对外销售的去向只能是三矿区或六矿区",IF(AND($K2716="对外销售",ROUND($Q2716,0)=0),"※外销却没有售价，请填实际售价",IF(AND($K2716="对外销售",$T2716&lt;&gt;"",$T2716&lt;0),"※这一笔外销是亏的，请核对售价",IF(IFERROR(VLOOKUP($D2716,库存台账!$A$5:$Y$1204,24,0),0)&lt;-0.001,"※这个物料账面已经变成负数了，查一下是不是漏记入库","")))))))))))</f>
        <v/>
      </c>
    </row>
    <row r="2717">
      <c r="A2717" s="24">
        <f>IF($D2717="","",COUNTA($D$4:$D2717))</f>
        <v/>
      </c>
      <c r="B2717" s="17" t="n"/>
      <c r="C2717" s="30" t="n"/>
      <c r="D2717" s="17" t="n"/>
      <c r="E2717" s="24">
        <f>IF($D2717="","",IFERROR(VLOOKUP($D2717,物料档案!$A$4:$P$1203,3,0),"※编码不在物料档案里"))</f>
        <v/>
      </c>
      <c r="F2717" s="24">
        <f>IF($D2717="","",IFERROR(VLOOKUP($D2717,物料档案!$A$4:$P$1203,4,0),"※编码不在物料档案里"))</f>
        <v/>
      </c>
      <c r="G2717" s="24">
        <f>IF($D2717="","",IFERROR(VLOOKUP($D2717,物料档案!$A$4:$P$1203,5,0),"※编码不在物料档案里"))</f>
        <v/>
      </c>
      <c r="H2717" s="24">
        <f>IF($D2717="","",IFERROR(VLOOKUP($D2717,物料档案!$A$4:$P$1203,2,0),"※编码不在物料档案里"))</f>
        <v/>
      </c>
      <c r="I2717" s="24">
        <f>IF($D2717="","",IFERROR(VLOOKUP($D2717,物料档案!$A$4:$P$1203,6,0),"※编码不在物料档案里"))</f>
        <v/>
      </c>
      <c r="J2717" s="23" t="n"/>
      <c r="K2717" s="17" t="n"/>
      <c r="L2717" s="17" t="n"/>
      <c r="M2717" s="17" t="n"/>
      <c r="N2717" s="17" t="n"/>
      <c r="O2717" s="26">
        <f>IF($D2717="","",IFERROR(VLOOKUP($D2717,物料档案!$A$4:$P$1203,10,0),0))</f>
        <v/>
      </c>
      <c r="P2717" s="32" t="n"/>
      <c r="Q2717" s="26">
        <f>IF($D2717="","",IF($K2717&lt;&gt;"对外销售",0,ROUND(N($J2717)*IF($P2717="",N($O2717),N($P2717)),0)))</f>
        <v/>
      </c>
      <c r="R2717" s="26">
        <f>IF($D2717="","",IFERROR(VLOOKUP($D2717,库存台账!$A$5:$Y$1204,11,0),0))</f>
        <v/>
      </c>
      <c r="S2717" s="26">
        <f>IF($D2717="","",ROUND(N($J2717)*N($R2717),0))</f>
        <v/>
      </c>
      <c r="T2717" s="26">
        <f>IF($D2717="","",IF($K2717&lt;&gt;"对外销售","",ROUND($Q2717-$S2717,0)))</f>
        <v/>
      </c>
      <c r="U2717" s="17" t="n"/>
      <c r="V2717" s="17" t="n"/>
      <c r="W2717" s="24">
        <f>IF($D2717="","",IF($E2717="※编码不在物料档案里","※物料编码不在档案里",IF(N($J2717)&lt;=0,"※出库数量要大于 0",IF($K2717="","※没填去向类型",IF($L2717="","※没填去向矿区",IF(AND($C2717&lt;&gt;"",$C2717&lt;=结账锁),"※日期早于已结账截止日，不能再录",IF(AND($K2717="自用消耗",COUNTIF({"一矿区";"二矿区"},$L2717)=0),"※自用消耗的去向只能是一矿区或二矿区",IF(AND($K2717="对外销售",COUNTIF({"三矿区";"六矿区"},$L2717)=0),"※对外销售的去向只能是三矿区或六矿区",IF(AND($K2717="对外销售",ROUND($Q2717,0)=0),"※外销却没有售价，请填实际售价",IF(AND($K2717="对外销售",$T2717&lt;&gt;"",$T2717&lt;0),"※这一笔外销是亏的，请核对售价",IF(IFERROR(VLOOKUP($D2717,库存台账!$A$5:$Y$1204,24,0),0)&lt;-0.001,"※这个物料账面已经变成负数了，查一下是不是漏记入库","")))))))))))</f>
        <v/>
      </c>
    </row>
    <row r="2718">
      <c r="A2718" s="24">
        <f>IF($D2718="","",COUNTA($D$4:$D2718))</f>
        <v/>
      </c>
      <c r="B2718" s="17" t="n"/>
      <c r="C2718" s="30" t="n"/>
      <c r="D2718" s="17" t="n"/>
      <c r="E2718" s="24">
        <f>IF($D2718="","",IFERROR(VLOOKUP($D2718,物料档案!$A$4:$P$1203,3,0),"※编码不在物料档案里"))</f>
        <v/>
      </c>
      <c r="F2718" s="24">
        <f>IF($D2718="","",IFERROR(VLOOKUP($D2718,物料档案!$A$4:$P$1203,4,0),"※编码不在物料档案里"))</f>
        <v/>
      </c>
      <c r="G2718" s="24">
        <f>IF($D2718="","",IFERROR(VLOOKUP($D2718,物料档案!$A$4:$P$1203,5,0),"※编码不在物料档案里"))</f>
        <v/>
      </c>
      <c r="H2718" s="24">
        <f>IF($D2718="","",IFERROR(VLOOKUP($D2718,物料档案!$A$4:$P$1203,2,0),"※编码不在物料档案里"))</f>
        <v/>
      </c>
      <c r="I2718" s="24">
        <f>IF($D2718="","",IFERROR(VLOOKUP($D2718,物料档案!$A$4:$P$1203,6,0),"※编码不在物料档案里"))</f>
        <v/>
      </c>
      <c r="J2718" s="23" t="n"/>
      <c r="K2718" s="17" t="n"/>
      <c r="L2718" s="17" t="n"/>
      <c r="M2718" s="17" t="n"/>
      <c r="N2718" s="17" t="n"/>
      <c r="O2718" s="26">
        <f>IF($D2718="","",IFERROR(VLOOKUP($D2718,物料档案!$A$4:$P$1203,10,0),0))</f>
        <v/>
      </c>
      <c r="P2718" s="32" t="n"/>
      <c r="Q2718" s="26">
        <f>IF($D2718="","",IF($K2718&lt;&gt;"对外销售",0,ROUND(N($J2718)*IF($P2718="",N($O2718),N($P2718)),0)))</f>
        <v/>
      </c>
      <c r="R2718" s="26">
        <f>IF($D2718="","",IFERROR(VLOOKUP($D2718,库存台账!$A$5:$Y$1204,11,0),0))</f>
        <v/>
      </c>
      <c r="S2718" s="26">
        <f>IF($D2718="","",ROUND(N($J2718)*N($R2718),0))</f>
        <v/>
      </c>
      <c r="T2718" s="26">
        <f>IF($D2718="","",IF($K2718&lt;&gt;"对外销售","",ROUND($Q2718-$S2718,0)))</f>
        <v/>
      </c>
      <c r="U2718" s="17" t="n"/>
      <c r="V2718" s="17" t="n"/>
      <c r="W2718" s="24">
        <f>IF($D2718="","",IF($E2718="※编码不在物料档案里","※物料编码不在档案里",IF(N($J2718)&lt;=0,"※出库数量要大于 0",IF($K2718="","※没填去向类型",IF($L2718="","※没填去向矿区",IF(AND($C2718&lt;&gt;"",$C2718&lt;=结账锁),"※日期早于已结账截止日，不能再录",IF(AND($K2718="自用消耗",COUNTIF({"一矿区";"二矿区"},$L2718)=0),"※自用消耗的去向只能是一矿区或二矿区",IF(AND($K2718="对外销售",COUNTIF({"三矿区";"六矿区"},$L2718)=0),"※对外销售的去向只能是三矿区或六矿区",IF(AND($K2718="对外销售",ROUND($Q2718,0)=0),"※外销却没有售价，请填实际售价",IF(AND($K2718="对外销售",$T2718&lt;&gt;"",$T2718&lt;0),"※这一笔外销是亏的，请核对售价",IF(IFERROR(VLOOKUP($D2718,库存台账!$A$5:$Y$1204,24,0),0)&lt;-0.001,"※这个物料账面已经变成负数了，查一下是不是漏记入库","")))))))))))</f>
        <v/>
      </c>
    </row>
    <row r="2719">
      <c r="A2719" s="24">
        <f>IF($D2719="","",COUNTA($D$4:$D2719))</f>
        <v/>
      </c>
      <c r="B2719" s="17" t="n"/>
      <c r="C2719" s="30" t="n"/>
      <c r="D2719" s="17" t="n"/>
      <c r="E2719" s="24">
        <f>IF($D2719="","",IFERROR(VLOOKUP($D2719,物料档案!$A$4:$P$1203,3,0),"※编码不在物料档案里"))</f>
        <v/>
      </c>
      <c r="F2719" s="24">
        <f>IF($D2719="","",IFERROR(VLOOKUP($D2719,物料档案!$A$4:$P$1203,4,0),"※编码不在物料档案里"))</f>
        <v/>
      </c>
      <c r="G2719" s="24">
        <f>IF($D2719="","",IFERROR(VLOOKUP($D2719,物料档案!$A$4:$P$1203,5,0),"※编码不在物料档案里"))</f>
        <v/>
      </c>
      <c r="H2719" s="24">
        <f>IF($D2719="","",IFERROR(VLOOKUP($D2719,物料档案!$A$4:$P$1203,2,0),"※编码不在物料档案里"))</f>
        <v/>
      </c>
      <c r="I2719" s="24">
        <f>IF($D2719="","",IFERROR(VLOOKUP($D2719,物料档案!$A$4:$P$1203,6,0),"※编码不在物料档案里"))</f>
        <v/>
      </c>
      <c r="J2719" s="23" t="n"/>
      <c r="K2719" s="17" t="n"/>
      <c r="L2719" s="17" t="n"/>
      <c r="M2719" s="17" t="n"/>
      <c r="N2719" s="17" t="n"/>
      <c r="O2719" s="26">
        <f>IF($D2719="","",IFERROR(VLOOKUP($D2719,物料档案!$A$4:$P$1203,10,0),0))</f>
        <v/>
      </c>
      <c r="P2719" s="32" t="n"/>
      <c r="Q2719" s="26">
        <f>IF($D2719="","",IF($K2719&lt;&gt;"对外销售",0,ROUND(N($J2719)*IF($P2719="",N($O2719),N($P2719)),0)))</f>
        <v/>
      </c>
      <c r="R2719" s="26">
        <f>IF($D2719="","",IFERROR(VLOOKUP($D2719,库存台账!$A$5:$Y$1204,11,0),0))</f>
        <v/>
      </c>
      <c r="S2719" s="26">
        <f>IF($D2719="","",ROUND(N($J2719)*N($R2719),0))</f>
        <v/>
      </c>
      <c r="T2719" s="26">
        <f>IF($D2719="","",IF($K2719&lt;&gt;"对外销售","",ROUND($Q2719-$S2719,0)))</f>
        <v/>
      </c>
      <c r="U2719" s="17" t="n"/>
      <c r="V2719" s="17" t="n"/>
      <c r="W2719" s="24">
        <f>IF($D2719="","",IF($E2719="※编码不在物料档案里","※物料编码不在档案里",IF(N($J2719)&lt;=0,"※出库数量要大于 0",IF($K2719="","※没填去向类型",IF($L2719="","※没填去向矿区",IF(AND($C2719&lt;&gt;"",$C2719&lt;=结账锁),"※日期早于已结账截止日，不能再录",IF(AND($K2719="自用消耗",COUNTIF({"一矿区";"二矿区"},$L2719)=0),"※自用消耗的去向只能是一矿区或二矿区",IF(AND($K2719="对外销售",COUNTIF({"三矿区";"六矿区"},$L2719)=0),"※对外销售的去向只能是三矿区或六矿区",IF(AND($K2719="对外销售",ROUND($Q2719,0)=0),"※外销却没有售价，请填实际售价",IF(AND($K2719="对外销售",$T2719&lt;&gt;"",$T2719&lt;0),"※这一笔外销是亏的，请核对售价",IF(IFERROR(VLOOKUP($D2719,库存台账!$A$5:$Y$1204,24,0),0)&lt;-0.001,"※这个物料账面已经变成负数了，查一下是不是漏记入库","")))))))))))</f>
        <v/>
      </c>
    </row>
    <row r="2720">
      <c r="A2720" s="24">
        <f>IF($D2720="","",COUNTA($D$4:$D2720))</f>
        <v/>
      </c>
      <c r="B2720" s="17" t="n"/>
      <c r="C2720" s="30" t="n"/>
      <c r="D2720" s="17" t="n"/>
      <c r="E2720" s="24">
        <f>IF($D2720="","",IFERROR(VLOOKUP($D2720,物料档案!$A$4:$P$1203,3,0),"※编码不在物料档案里"))</f>
        <v/>
      </c>
      <c r="F2720" s="24">
        <f>IF($D2720="","",IFERROR(VLOOKUP($D2720,物料档案!$A$4:$P$1203,4,0),"※编码不在物料档案里"))</f>
        <v/>
      </c>
      <c r="G2720" s="24">
        <f>IF($D2720="","",IFERROR(VLOOKUP($D2720,物料档案!$A$4:$P$1203,5,0),"※编码不在物料档案里"))</f>
        <v/>
      </c>
      <c r="H2720" s="24">
        <f>IF($D2720="","",IFERROR(VLOOKUP($D2720,物料档案!$A$4:$P$1203,2,0),"※编码不在物料档案里"))</f>
        <v/>
      </c>
      <c r="I2720" s="24">
        <f>IF($D2720="","",IFERROR(VLOOKUP($D2720,物料档案!$A$4:$P$1203,6,0),"※编码不在物料档案里"))</f>
        <v/>
      </c>
      <c r="J2720" s="23" t="n"/>
      <c r="K2720" s="17" t="n"/>
      <c r="L2720" s="17" t="n"/>
      <c r="M2720" s="17" t="n"/>
      <c r="N2720" s="17" t="n"/>
      <c r="O2720" s="26">
        <f>IF($D2720="","",IFERROR(VLOOKUP($D2720,物料档案!$A$4:$P$1203,10,0),0))</f>
        <v/>
      </c>
      <c r="P2720" s="32" t="n"/>
      <c r="Q2720" s="26">
        <f>IF($D2720="","",IF($K2720&lt;&gt;"对外销售",0,ROUND(N($J2720)*IF($P2720="",N($O2720),N($P2720)),0)))</f>
        <v/>
      </c>
      <c r="R2720" s="26">
        <f>IF($D2720="","",IFERROR(VLOOKUP($D2720,库存台账!$A$5:$Y$1204,11,0),0))</f>
        <v/>
      </c>
      <c r="S2720" s="26">
        <f>IF($D2720="","",ROUND(N($J2720)*N($R2720),0))</f>
        <v/>
      </c>
      <c r="T2720" s="26">
        <f>IF($D2720="","",IF($K2720&lt;&gt;"对外销售","",ROUND($Q2720-$S2720,0)))</f>
        <v/>
      </c>
      <c r="U2720" s="17" t="n"/>
      <c r="V2720" s="17" t="n"/>
      <c r="W2720" s="24">
        <f>IF($D2720="","",IF($E2720="※编码不在物料档案里","※物料编码不在档案里",IF(N($J2720)&lt;=0,"※出库数量要大于 0",IF($K2720="","※没填去向类型",IF($L2720="","※没填去向矿区",IF(AND($C2720&lt;&gt;"",$C2720&lt;=结账锁),"※日期早于已结账截止日，不能再录",IF(AND($K2720="自用消耗",COUNTIF({"一矿区";"二矿区"},$L2720)=0),"※自用消耗的去向只能是一矿区或二矿区",IF(AND($K2720="对外销售",COUNTIF({"三矿区";"六矿区"},$L2720)=0),"※对外销售的去向只能是三矿区或六矿区",IF(AND($K2720="对外销售",ROUND($Q2720,0)=0),"※外销却没有售价，请填实际售价",IF(AND($K2720="对外销售",$T2720&lt;&gt;"",$T2720&lt;0),"※这一笔外销是亏的，请核对售价",IF(IFERROR(VLOOKUP($D2720,库存台账!$A$5:$Y$1204,24,0),0)&lt;-0.001,"※这个物料账面已经变成负数了，查一下是不是漏记入库","")))))))))))</f>
        <v/>
      </c>
    </row>
    <row r="2721">
      <c r="A2721" s="24">
        <f>IF($D2721="","",COUNTA($D$4:$D2721))</f>
        <v/>
      </c>
      <c r="B2721" s="17" t="n"/>
      <c r="C2721" s="30" t="n"/>
      <c r="D2721" s="17" t="n"/>
      <c r="E2721" s="24">
        <f>IF($D2721="","",IFERROR(VLOOKUP($D2721,物料档案!$A$4:$P$1203,3,0),"※编码不在物料档案里"))</f>
        <v/>
      </c>
      <c r="F2721" s="24">
        <f>IF($D2721="","",IFERROR(VLOOKUP($D2721,物料档案!$A$4:$P$1203,4,0),"※编码不在物料档案里"))</f>
        <v/>
      </c>
      <c r="G2721" s="24">
        <f>IF($D2721="","",IFERROR(VLOOKUP($D2721,物料档案!$A$4:$P$1203,5,0),"※编码不在物料档案里"))</f>
        <v/>
      </c>
      <c r="H2721" s="24">
        <f>IF($D2721="","",IFERROR(VLOOKUP($D2721,物料档案!$A$4:$P$1203,2,0),"※编码不在物料档案里"))</f>
        <v/>
      </c>
      <c r="I2721" s="24">
        <f>IF($D2721="","",IFERROR(VLOOKUP($D2721,物料档案!$A$4:$P$1203,6,0),"※编码不在物料档案里"))</f>
        <v/>
      </c>
      <c r="J2721" s="23" t="n"/>
      <c r="K2721" s="17" t="n"/>
      <c r="L2721" s="17" t="n"/>
      <c r="M2721" s="17" t="n"/>
      <c r="N2721" s="17" t="n"/>
      <c r="O2721" s="26">
        <f>IF($D2721="","",IFERROR(VLOOKUP($D2721,物料档案!$A$4:$P$1203,10,0),0))</f>
        <v/>
      </c>
      <c r="P2721" s="32" t="n"/>
      <c r="Q2721" s="26">
        <f>IF($D2721="","",IF($K2721&lt;&gt;"对外销售",0,ROUND(N($J2721)*IF($P2721="",N($O2721),N($P2721)),0)))</f>
        <v/>
      </c>
      <c r="R2721" s="26">
        <f>IF($D2721="","",IFERROR(VLOOKUP($D2721,库存台账!$A$5:$Y$1204,11,0),0))</f>
        <v/>
      </c>
      <c r="S2721" s="26">
        <f>IF($D2721="","",ROUND(N($J2721)*N($R2721),0))</f>
        <v/>
      </c>
      <c r="T2721" s="26">
        <f>IF($D2721="","",IF($K2721&lt;&gt;"对外销售","",ROUND($Q2721-$S2721,0)))</f>
        <v/>
      </c>
      <c r="U2721" s="17" t="n"/>
      <c r="V2721" s="17" t="n"/>
      <c r="W2721" s="24">
        <f>IF($D2721="","",IF($E2721="※编码不在物料档案里","※物料编码不在档案里",IF(N($J2721)&lt;=0,"※出库数量要大于 0",IF($K2721="","※没填去向类型",IF($L2721="","※没填去向矿区",IF(AND($C2721&lt;&gt;"",$C2721&lt;=结账锁),"※日期早于已结账截止日，不能再录",IF(AND($K2721="自用消耗",COUNTIF({"一矿区";"二矿区"},$L2721)=0),"※自用消耗的去向只能是一矿区或二矿区",IF(AND($K2721="对外销售",COUNTIF({"三矿区";"六矿区"},$L2721)=0),"※对外销售的去向只能是三矿区或六矿区",IF(AND($K2721="对外销售",ROUND($Q2721,0)=0),"※外销却没有售价，请填实际售价",IF(AND($K2721="对外销售",$T2721&lt;&gt;"",$T2721&lt;0),"※这一笔外销是亏的，请核对售价",IF(IFERROR(VLOOKUP($D2721,库存台账!$A$5:$Y$1204,24,0),0)&lt;-0.001,"※这个物料账面已经变成负数了，查一下是不是漏记入库","")))))))))))</f>
        <v/>
      </c>
    </row>
    <row r="2722">
      <c r="A2722" s="24">
        <f>IF($D2722="","",COUNTA($D$4:$D2722))</f>
        <v/>
      </c>
      <c r="B2722" s="17" t="n"/>
      <c r="C2722" s="30" t="n"/>
      <c r="D2722" s="17" t="n"/>
      <c r="E2722" s="24">
        <f>IF($D2722="","",IFERROR(VLOOKUP($D2722,物料档案!$A$4:$P$1203,3,0),"※编码不在物料档案里"))</f>
        <v/>
      </c>
      <c r="F2722" s="24">
        <f>IF($D2722="","",IFERROR(VLOOKUP($D2722,物料档案!$A$4:$P$1203,4,0),"※编码不在物料档案里"))</f>
        <v/>
      </c>
      <c r="G2722" s="24">
        <f>IF($D2722="","",IFERROR(VLOOKUP($D2722,物料档案!$A$4:$P$1203,5,0),"※编码不在物料档案里"))</f>
        <v/>
      </c>
      <c r="H2722" s="24">
        <f>IF($D2722="","",IFERROR(VLOOKUP($D2722,物料档案!$A$4:$P$1203,2,0),"※编码不在物料档案里"))</f>
        <v/>
      </c>
      <c r="I2722" s="24">
        <f>IF($D2722="","",IFERROR(VLOOKUP($D2722,物料档案!$A$4:$P$1203,6,0),"※编码不在物料档案里"))</f>
        <v/>
      </c>
      <c r="J2722" s="23" t="n"/>
      <c r="K2722" s="17" t="n"/>
      <c r="L2722" s="17" t="n"/>
      <c r="M2722" s="17" t="n"/>
      <c r="N2722" s="17" t="n"/>
      <c r="O2722" s="26">
        <f>IF($D2722="","",IFERROR(VLOOKUP($D2722,物料档案!$A$4:$P$1203,10,0),0))</f>
        <v/>
      </c>
      <c r="P2722" s="32" t="n"/>
      <c r="Q2722" s="26">
        <f>IF($D2722="","",IF($K2722&lt;&gt;"对外销售",0,ROUND(N($J2722)*IF($P2722="",N($O2722),N($P2722)),0)))</f>
        <v/>
      </c>
      <c r="R2722" s="26">
        <f>IF($D2722="","",IFERROR(VLOOKUP($D2722,库存台账!$A$5:$Y$1204,11,0),0))</f>
        <v/>
      </c>
      <c r="S2722" s="26">
        <f>IF($D2722="","",ROUND(N($J2722)*N($R2722),0))</f>
        <v/>
      </c>
      <c r="T2722" s="26">
        <f>IF($D2722="","",IF($K2722&lt;&gt;"对外销售","",ROUND($Q2722-$S2722,0)))</f>
        <v/>
      </c>
      <c r="U2722" s="17" t="n"/>
      <c r="V2722" s="17" t="n"/>
      <c r="W2722" s="24">
        <f>IF($D2722="","",IF($E2722="※编码不在物料档案里","※物料编码不在档案里",IF(N($J2722)&lt;=0,"※出库数量要大于 0",IF($K2722="","※没填去向类型",IF($L2722="","※没填去向矿区",IF(AND($C2722&lt;&gt;"",$C2722&lt;=结账锁),"※日期早于已结账截止日，不能再录",IF(AND($K2722="自用消耗",COUNTIF({"一矿区";"二矿区"},$L2722)=0),"※自用消耗的去向只能是一矿区或二矿区",IF(AND($K2722="对外销售",COUNTIF({"三矿区";"六矿区"},$L2722)=0),"※对外销售的去向只能是三矿区或六矿区",IF(AND($K2722="对外销售",ROUND($Q2722,0)=0),"※外销却没有售价，请填实际售价",IF(AND($K2722="对外销售",$T2722&lt;&gt;"",$T2722&lt;0),"※这一笔外销是亏的，请核对售价",IF(IFERROR(VLOOKUP($D2722,库存台账!$A$5:$Y$1204,24,0),0)&lt;-0.001,"※这个物料账面已经变成负数了，查一下是不是漏记入库","")))))))))))</f>
        <v/>
      </c>
    </row>
    <row r="2723">
      <c r="A2723" s="24">
        <f>IF($D2723="","",COUNTA($D$4:$D2723))</f>
        <v/>
      </c>
      <c r="B2723" s="17" t="n"/>
      <c r="C2723" s="30" t="n"/>
      <c r="D2723" s="17" t="n"/>
      <c r="E2723" s="24">
        <f>IF($D2723="","",IFERROR(VLOOKUP($D2723,物料档案!$A$4:$P$1203,3,0),"※编码不在物料档案里"))</f>
        <v/>
      </c>
      <c r="F2723" s="24">
        <f>IF($D2723="","",IFERROR(VLOOKUP($D2723,物料档案!$A$4:$P$1203,4,0),"※编码不在物料档案里"))</f>
        <v/>
      </c>
      <c r="G2723" s="24">
        <f>IF($D2723="","",IFERROR(VLOOKUP($D2723,物料档案!$A$4:$P$1203,5,0),"※编码不在物料档案里"))</f>
        <v/>
      </c>
      <c r="H2723" s="24">
        <f>IF($D2723="","",IFERROR(VLOOKUP($D2723,物料档案!$A$4:$P$1203,2,0),"※编码不在物料档案里"))</f>
        <v/>
      </c>
      <c r="I2723" s="24">
        <f>IF($D2723="","",IFERROR(VLOOKUP($D2723,物料档案!$A$4:$P$1203,6,0),"※编码不在物料档案里"))</f>
        <v/>
      </c>
      <c r="J2723" s="23" t="n"/>
      <c r="K2723" s="17" t="n"/>
      <c r="L2723" s="17" t="n"/>
      <c r="M2723" s="17" t="n"/>
      <c r="N2723" s="17" t="n"/>
      <c r="O2723" s="26">
        <f>IF($D2723="","",IFERROR(VLOOKUP($D2723,物料档案!$A$4:$P$1203,10,0),0))</f>
        <v/>
      </c>
      <c r="P2723" s="32" t="n"/>
      <c r="Q2723" s="26">
        <f>IF($D2723="","",IF($K2723&lt;&gt;"对外销售",0,ROUND(N($J2723)*IF($P2723="",N($O2723),N($P2723)),0)))</f>
        <v/>
      </c>
      <c r="R2723" s="26">
        <f>IF($D2723="","",IFERROR(VLOOKUP($D2723,库存台账!$A$5:$Y$1204,11,0),0))</f>
        <v/>
      </c>
      <c r="S2723" s="26">
        <f>IF($D2723="","",ROUND(N($J2723)*N($R2723),0))</f>
        <v/>
      </c>
      <c r="T2723" s="26">
        <f>IF($D2723="","",IF($K2723&lt;&gt;"对外销售","",ROUND($Q2723-$S2723,0)))</f>
        <v/>
      </c>
      <c r="U2723" s="17" t="n"/>
      <c r="V2723" s="17" t="n"/>
      <c r="W2723" s="24">
        <f>IF($D2723="","",IF($E2723="※编码不在物料档案里","※物料编码不在档案里",IF(N($J2723)&lt;=0,"※出库数量要大于 0",IF($K2723="","※没填去向类型",IF($L2723="","※没填去向矿区",IF(AND($C2723&lt;&gt;"",$C2723&lt;=结账锁),"※日期早于已结账截止日，不能再录",IF(AND($K2723="自用消耗",COUNTIF({"一矿区";"二矿区"},$L2723)=0),"※自用消耗的去向只能是一矿区或二矿区",IF(AND($K2723="对外销售",COUNTIF({"三矿区";"六矿区"},$L2723)=0),"※对外销售的去向只能是三矿区或六矿区",IF(AND($K2723="对外销售",ROUND($Q2723,0)=0),"※外销却没有售价，请填实际售价",IF(AND($K2723="对外销售",$T2723&lt;&gt;"",$T2723&lt;0),"※这一笔外销是亏的，请核对售价",IF(IFERROR(VLOOKUP($D2723,库存台账!$A$5:$Y$1204,24,0),0)&lt;-0.001,"※这个物料账面已经变成负数了，查一下是不是漏记入库","")))))))))))</f>
        <v/>
      </c>
    </row>
    <row r="2724">
      <c r="A2724" s="24">
        <f>IF($D2724="","",COUNTA($D$4:$D2724))</f>
        <v/>
      </c>
      <c r="B2724" s="17" t="n"/>
      <c r="C2724" s="30" t="n"/>
      <c r="D2724" s="17" t="n"/>
      <c r="E2724" s="24">
        <f>IF($D2724="","",IFERROR(VLOOKUP($D2724,物料档案!$A$4:$P$1203,3,0),"※编码不在物料档案里"))</f>
        <v/>
      </c>
      <c r="F2724" s="24">
        <f>IF($D2724="","",IFERROR(VLOOKUP($D2724,物料档案!$A$4:$P$1203,4,0),"※编码不在物料档案里"))</f>
        <v/>
      </c>
      <c r="G2724" s="24">
        <f>IF($D2724="","",IFERROR(VLOOKUP($D2724,物料档案!$A$4:$P$1203,5,0),"※编码不在物料档案里"))</f>
        <v/>
      </c>
      <c r="H2724" s="24">
        <f>IF($D2724="","",IFERROR(VLOOKUP($D2724,物料档案!$A$4:$P$1203,2,0),"※编码不在物料档案里"))</f>
        <v/>
      </c>
      <c r="I2724" s="24">
        <f>IF($D2724="","",IFERROR(VLOOKUP($D2724,物料档案!$A$4:$P$1203,6,0),"※编码不在物料档案里"))</f>
        <v/>
      </c>
      <c r="J2724" s="23" t="n"/>
      <c r="K2724" s="17" t="n"/>
      <c r="L2724" s="17" t="n"/>
      <c r="M2724" s="17" t="n"/>
      <c r="N2724" s="17" t="n"/>
      <c r="O2724" s="26">
        <f>IF($D2724="","",IFERROR(VLOOKUP($D2724,物料档案!$A$4:$P$1203,10,0),0))</f>
        <v/>
      </c>
      <c r="P2724" s="32" t="n"/>
      <c r="Q2724" s="26">
        <f>IF($D2724="","",IF($K2724&lt;&gt;"对外销售",0,ROUND(N($J2724)*IF($P2724="",N($O2724),N($P2724)),0)))</f>
        <v/>
      </c>
      <c r="R2724" s="26">
        <f>IF($D2724="","",IFERROR(VLOOKUP($D2724,库存台账!$A$5:$Y$1204,11,0),0))</f>
        <v/>
      </c>
      <c r="S2724" s="26">
        <f>IF($D2724="","",ROUND(N($J2724)*N($R2724),0))</f>
        <v/>
      </c>
      <c r="T2724" s="26">
        <f>IF($D2724="","",IF($K2724&lt;&gt;"对外销售","",ROUND($Q2724-$S2724,0)))</f>
        <v/>
      </c>
      <c r="U2724" s="17" t="n"/>
      <c r="V2724" s="17" t="n"/>
      <c r="W2724" s="24">
        <f>IF($D2724="","",IF($E2724="※编码不在物料档案里","※物料编码不在档案里",IF(N($J2724)&lt;=0,"※出库数量要大于 0",IF($K2724="","※没填去向类型",IF($L2724="","※没填去向矿区",IF(AND($C2724&lt;&gt;"",$C2724&lt;=结账锁),"※日期早于已结账截止日，不能再录",IF(AND($K2724="自用消耗",COUNTIF({"一矿区";"二矿区"},$L2724)=0),"※自用消耗的去向只能是一矿区或二矿区",IF(AND($K2724="对外销售",COUNTIF({"三矿区";"六矿区"},$L2724)=0),"※对外销售的去向只能是三矿区或六矿区",IF(AND($K2724="对外销售",ROUND($Q2724,0)=0),"※外销却没有售价，请填实际售价",IF(AND($K2724="对外销售",$T2724&lt;&gt;"",$T2724&lt;0),"※这一笔外销是亏的，请核对售价",IF(IFERROR(VLOOKUP($D2724,库存台账!$A$5:$Y$1204,24,0),0)&lt;-0.001,"※这个物料账面已经变成负数了，查一下是不是漏记入库","")))))))))))</f>
        <v/>
      </c>
    </row>
    <row r="2725">
      <c r="A2725" s="24">
        <f>IF($D2725="","",COUNTA($D$4:$D2725))</f>
        <v/>
      </c>
      <c r="B2725" s="17" t="n"/>
      <c r="C2725" s="30" t="n"/>
      <c r="D2725" s="17" t="n"/>
      <c r="E2725" s="24">
        <f>IF($D2725="","",IFERROR(VLOOKUP($D2725,物料档案!$A$4:$P$1203,3,0),"※编码不在物料档案里"))</f>
        <v/>
      </c>
      <c r="F2725" s="24">
        <f>IF($D2725="","",IFERROR(VLOOKUP($D2725,物料档案!$A$4:$P$1203,4,0),"※编码不在物料档案里"))</f>
        <v/>
      </c>
      <c r="G2725" s="24">
        <f>IF($D2725="","",IFERROR(VLOOKUP($D2725,物料档案!$A$4:$P$1203,5,0),"※编码不在物料档案里"))</f>
        <v/>
      </c>
      <c r="H2725" s="24">
        <f>IF($D2725="","",IFERROR(VLOOKUP($D2725,物料档案!$A$4:$P$1203,2,0),"※编码不在物料档案里"))</f>
        <v/>
      </c>
      <c r="I2725" s="24">
        <f>IF($D2725="","",IFERROR(VLOOKUP($D2725,物料档案!$A$4:$P$1203,6,0),"※编码不在物料档案里"))</f>
        <v/>
      </c>
      <c r="J2725" s="23" t="n"/>
      <c r="K2725" s="17" t="n"/>
      <c r="L2725" s="17" t="n"/>
      <c r="M2725" s="17" t="n"/>
      <c r="N2725" s="17" t="n"/>
      <c r="O2725" s="26">
        <f>IF($D2725="","",IFERROR(VLOOKUP($D2725,物料档案!$A$4:$P$1203,10,0),0))</f>
        <v/>
      </c>
      <c r="P2725" s="32" t="n"/>
      <c r="Q2725" s="26">
        <f>IF($D2725="","",IF($K2725&lt;&gt;"对外销售",0,ROUND(N($J2725)*IF($P2725="",N($O2725),N($P2725)),0)))</f>
        <v/>
      </c>
      <c r="R2725" s="26">
        <f>IF($D2725="","",IFERROR(VLOOKUP($D2725,库存台账!$A$5:$Y$1204,11,0),0))</f>
        <v/>
      </c>
      <c r="S2725" s="26">
        <f>IF($D2725="","",ROUND(N($J2725)*N($R2725),0))</f>
        <v/>
      </c>
      <c r="T2725" s="26">
        <f>IF($D2725="","",IF($K2725&lt;&gt;"对外销售","",ROUND($Q2725-$S2725,0)))</f>
        <v/>
      </c>
      <c r="U2725" s="17" t="n"/>
      <c r="V2725" s="17" t="n"/>
      <c r="W2725" s="24">
        <f>IF($D2725="","",IF($E2725="※编码不在物料档案里","※物料编码不在档案里",IF(N($J2725)&lt;=0,"※出库数量要大于 0",IF($K2725="","※没填去向类型",IF($L2725="","※没填去向矿区",IF(AND($C2725&lt;&gt;"",$C2725&lt;=结账锁),"※日期早于已结账截止日，不能再录",IF(AND($K2725="自用消耗",COUNTIF({"一矿区";"二矿区"},$L2725)=0),"※自用消耗的去向只能是一矿区或二矿区",IF(AND($K2725="对外销售",COUNTIF({"三矿区";"六矿区"},$L2725)=0),"※对外销售的去向只能是三矿区或六矿区",IF(AND($K2725="对外销售",ROUND($Q2725,0)=0),"※外销却没有售价，请填实际售价",IF(AND($K2725="对外销售",$T2725&lt;&gt;"",$T2725&lt;0),"※这一笔外销是亏的，请核对售价",IF(IFERROR(VLOOKUP($D2725,库存台账!$A$5:$Y$1204,24,0),0)&lt;-0.001,"※这个物料账面已经变成负数了，查一下是不是漏记入库","")))))))))))</f>
        <v/>
      </c>
    </row>
    <row r="2726">
      <c r="A2726" s="24">
        <f>IF($D2726="","",COUNTA($D$4:$D2726))</f>
        <v/>
      </c>
      <c r="B2726" s="17" t="n"/>
      <c r="C2726" s="30" t="n"/>
      <c r="D2726" s="17" t="n"/>
      <c r="E2726" s="24">
        <f>IF($D2726="","",IFERROR(VLOOKUP($D2726,物料档案!$A$4:$P$1203,3,0),"※编码不在物料档案里"))</f>
        <v/>
      </c>
      <c r="F2726" s="24">
        <f>IF($D2726="","",IFERROR(VLOOKUP($D2726,物料档案!$A$4:$P$1203,4,0),"※编码不在物料档案里"))</f>
        <v/>
      </c>
      <c r="G2726" s="24">
        <f>IF($D2726="","",IFERROR(VLOOKUP($D2726,物料档案!$A$4:$P$1203,5,0),"※编码不在物料档案里"))</f>
        <v/>
      </c>
      <c r="H2726" s="24">
        <f>IF($D2726="","",IFERROR(VLOOKUP($D2726,物料档案!$A$4:$P$1203,2,0),"※编码不在物料档案里"))</f>
        <v/>
      </c>
      <c r="I2726" s="24">
        <f>IF($D2726="","",IFERROR(VLOOKUP($D2726,物料档案!$A$4:$P$1203,6,0),"※编码不在物料档案里"))</f>
        <v/>
      </c>
      <c r="J2726" s="23" t="n"/>
      <c r="K2726" s="17" t="n"/>
      <c r="L2726" s="17" t="n"/>
      <c r="M2726" s="17" t="n"/>
      <c r="N2726" s="17" t="n"/>
      <c r="O2726" s="26">
        <f>IF($D2726="","",IFERROR(VLOOKUP($D2726,物料档案!$A$4:$P$1203,10,0),0))</f>
        <v/>
      </c>
      <c r="P2726" s="32" t="n"/>
      <c r="Q2726" s="26">
        <f>IF($D2726="","",IF($K2726&lt;&gt;"对外销售",0,ROUND(N($J2726)*IF($P2726="",N($O2726),N($P2726)),0)))</f>
        <v/>
      </c>
      <c r="R2726" s="26">
        <f>IF($D2726="","",IFERROR(VLOOKUP($D2726,库存台账!$A$5:$Y$1204,11,0),0))</f>
        <v/>
      </c>
      <c r="S2726" s="26">
        <f>IF($D2726="","",ROUND(N($J2726)*N($R2726),0))</f>
        <v/>
      </c>
      <c r="T2726" s="26">
        <f>IF($D2726="","",IF($K2726&lt;&gt;"对外销售","",ROUND($Q2726-$S2726,0)))</f>
        <v/>
      </c>
      <c r="U2726" s="17" t="n"/>
      <c r="V2726" s="17" t="n"/>
      <c r="W2726" s="24">
        <f>IF($D2726="","",IF($E2726="※编码不在物料档案里","※物料编码不在档案里",IF(N($J2726)&lt;=0,"※出库数量要大于 0",IF($K2726="","※没填去向类型",IF($L2726="","※没填去向矿区",IF(AND($C2726&lt;&gt;"",$C2726&lt;=结账锁),"※日期早于已结账截止日，不能再录",IF(AND($K2726="自用消耗",COUNTIF({"一矿区";"二矿区"},$L2726)=0),"※自用消耗的去向只能是一矿区或二矿区",IF(AND($K2726="对外销售",COUNTIF({"三矿区";"六矿区"},$L2726)=0),"※对外销售的去向只能是三矿区或六矿区",IF(AND($K2726="对外销售",ROUND($Q2726,0)=0),"※外销却没有售价，请填实际售价",IF(AND($K2726="对外销售",$T2726&lt;&gt;"",$T2726&lt;0),"※这一笔外销是亏的，请核对售价",IF(IFERROR(VLOOKUP($D2726,库存台账!$A$5:$Y$1204,24,0),0)&lt;-0.001,"※这个物料账面已经变成负数了，查一下是不是漏记入库","")))))))))))</f>
        <v/>
      </c>
    </row>
    <row r="2727">
      <c r="A2727" s="24">
        <f>IF($D2727="","",COUNTA($D$4:$D2727))</f>
        <v/>
      </c>
      <c r="B2727" s="17" t="n"/>
      <c r="C2727" s="30" t="n"/>
      <c r="D2727" s="17" t="n"/>
      <c r="E2727" s="24">
        <f>IF($D2727="","",IFERROR(VLOOKUP($D2727,物料档案!$A$4:$P$1203,3,0),"※编码不在物料档案里"))</f>
        <v/>
      </c>
      <c r="F2727" s="24">
        <f>IF($D2727="","",IFERROR(VLOOKUP($D2727,物料档案!$A$4:$P$1203,4,0),"※编码不在物料档案里"))</f>
        <v/>
      </c>
      <c r="G2727" s="24">
        <f>IF($D2727="","",IFERROR(VLOOKUP($D2727,物料档案!$A$4:$P$1203,5,0),"※编码不在物料档案里"))</f>
        <v/>
      </c>
      <c r="H2727" s="24">
        <f>IF($D2727="","",IFERROR(VLOOKUP($D2727,物料档案!$A$4:$P$1203,2,0),"※编码不在物料档案里"))</f>
        <v/>
      </c>
      <c r="I2727" s="24">
        <f>IF($D2727="","",IFERROR(VLOOKUP($D2727,物料档案!$A$4:$P$1203,6,0),"※编码不在物料档案里"))</f>
        <v/>
      </c>
      <c r="J2727" s="23" t="n"/>
      <c r="K2727" s="17" t="n"/>
      <c r="L2727" s="17" t="n"/>
      <c r="M2727" s="17" t="n"/>
      <c r="N2727" s="17" t="n"/>
      <c r="O2727" s="26">
        <f>IF($D2727="","",IFERROR(VLOOKUP($D2727,物料档案!$A$4:$P$1203,10,0),0))</f>
        <v/>
      </c>
      <c r="P2727" s="32" t="n"/>
      <c r="Q2727" s="26">
        <f>IF($D2727="","",IF($K2727&lt;&gt;"对外销售",0,ROUND(N($J2727)*IF($P2727="",N($O2727),N($P2727)),0)))</f>
        <v/>
      </c>
      <c r="R2727" s="26">
        <f>IF($D2727="","",IFERROR(VLOOKUP($D2727,库存台账!$A$5:$Y$1204,11,0),0))</f>
        <v/>
      </c>
      <c r="S2727" s="26">
        <f>IF($D2727="","",ROUND(N($J2727)*N($R2727),0))</f>
        <v/>
      </c>
      <c r="T2727" s="26">
        <f>IF($D2727="","",IF($K2727&lt;&gt;"对外销售","",ROUND($Q2727-$S2727,0)))</f>
        <v/>
      </c>
      <c r="U2727" s="17" t="n"/>
      <c r="V2727" s="17" t="n"/>
      <c r="W2727" s="24">
        <f>IF($D2727="","",IF($E2727="※编码不在物料档案里","※物料编码不在档案里",IF(N($J2727)&lt;=0,"※出库数量要大于 0",IF($K2727="","※没填去向类型",IF($L2727="","※没填去向矿区",IF(AND($C2727&lt;&gt;"",$C2727&lt;=结账锁),"※日期早于已结账截止日，不能再录",IF(AND($K2727="自用消耗",COUNTIF({"一矿区";"二矿区"},$L2727)=0),"※自用消耗的去向只能是一矿区或二矿区",IF(AND($K2727="对外销售",COUNTIF({"三矿区";"六矿区"},$L2727)=0),"※对外销售的去向只能是三矿区或六矿区",IF(AND($K2727="对外销售",ROUND($Q2727,0)=0),"※外销却没有售价，请填实际售价",IF(AND($K2727="对外销售",$T2727&lt;&gt;"",$T2727&lt;0),"※这一笔外销是亏的，请核对售价",IF(IFERROR(VLOOKUP($D2727,库存台账!$A$5:$Y$1204,24,0),0)&lt;-0.001,"※这个物料账面已经变成负数了，查一下是不是漏记入库","")))))))))))</f>
        <v/>
      </c>
    </row>
    <row r="2728">
      <c r="A2728" s="24">
        <f>IF($D2728="","",COUNTA($D$4:$D2728))</f>
        <v/>
      </c>
      <c r="B2728" s="17" t="n"/>
      <c r="C2728" s="30" t="n"/>
      <c r="D2728" s="17" t="n"/>
      <c r="E2728" s="24">
        <f>IF($D2728="","",IFERROR(VLOOKUP($D2728,物料档案!$A$4:$P$1203,3,0),"※编码不在物料档案里"))</f>
        <v/>
      </c>
      <c r="F2728" s="24">
        <f>IF($D2728="","",IFERROR(VLOOKUP($D2728,物料档案!$A$4:$P$1203,4,0),"※编码不在物料档案里"))</f>
        <v/>
      </c>
      <c r="G2728" s="24">
        <f>IF($D2728="","",IFERROR(VLOOKUP($D2728,物料档案!$A$4:$P$1203,5,0),"※编码不在物料档案里"))</f>
        <v/>
      </c>
      <c r="H2728" s="24">
        <f>IF($D2728="","",IFERROR(VLOOKUP($D2728,物料档案!$A$4:$P$1203,2,0),"※编码不在物料档案里"))</f>
        <v/>
      </c>
      <c r="I2728" s="24">
        <f>IF($D2728="","",IFERROR(VLOOKUP($D2728,物料档案!$A$4:$P$1203,6,0),"※编码不在物料档案里"))</f>
        <v/>
      </c>
      <c r="J2728" s="23" t="n"/>
      <c r="K2728" s="17" t="n"/>
      <c r="L2728" s="17" t="n"/>
      <c r="M2728" s="17" t="n"/>
      <c r="N2728" s="17" t="n"/>
      <c r="O2728" s="26">
        <f>IF($D2728="","",IFERROR(VLOOKUP($D2728,物料档案!$A$4:$P$1203,10,0),0))</f>
        <v/>
      </c>
      <c r="P2728" s="32" t="n"/>
      <c r="Q2728" s="26">
        <f>IF($D2728="","",IF($K2728&lt;&gt;"对外销售",0,ROUND(N($J2728)*IF($P2728="",N($O2728),N($P2728)),0)))</f>
        <v/>
      </c>
      <c r="R2728" s="26">
        <f>IF($D2728="","",IFERROR(VLOOKUP($D2728,库存台账!$A$5:$Y$1204,11,0),0))</f>
        <v/>
      </c>
      <c r="S2728" s="26">
        <f>IF($D2728="","",ROUND(N($J2728)*N($R2728),0))</f>
        <v/>
      </c>
      <c r="T2728" s="26">
        <f>IF($D2728="","",IF($K2728&lt;&gt;"对外销售","",ROUND($Q2728-$S2728,0)))</f>
        <v/>
      </c>
      <c r="U2728" s="17" t="n"/>
      <c r="V2728" s="17" t="n"/>
      <c r="W2728" s="24">
        <f>IF($D2728="","",IF($E2728="※编码不在物料档案里","※物料编码不在档案里",IF(N($J2728)&lt;=0,"※出库数量要大于 0",IF($K2728="","※没填去向类型",IF($L2728="","※没填去向矿区",IF(AND($C2728&lt;&gt;"",$C2728&lt;=结账锁),"※日期早于已结账截止日，不能再录",IF(AND($K2728="自用消耗",COUNTIF({"一矿区";"二矿区"},$L2728)=0),"※自用消耗的去向只能是一矿区或二矿区",IF(AND($K2728="对外销售",COUNTIF({"三矿区";"六矿区"},$L2728)=0),"※对外销售的去向只能是三矿区或六矿区",IF(AND($K2728="对外销售",ROUND($Q2728,0)=0),"※外销却没有售价，请填实际售价",IF(AND($K2728="对外销售",$T2728&lt;&gt;"",$T2728&lt;0),"※这一笔外销是亏的，请核对售价",IF(IFERROR(VLOOKUP($D2728,库存台账!$A$5:$Y$1204,24,0),0)&lt;-0.001,"※这个物料账面已经变成负数了，查一下是不是漏记入库","")))))))))))</f>
        <v/>
      </c>
    </row>
    <row r="2729">
      <c r="A2729" s="24">
        <f>IF($D2729="","",COUNTA($D$4:$D2729))</f>
        <v/>
      </c>
      <c r="B2729" s="17" t="n"/>
      <c r="C2729" s="30" t="n"/>
      <c r="D2729" s="17" t="n"/>
      <c r="E2729" s="24">
        <f>IF($D2729="","",IFERROR(VLOOKUP($D2729,物料档案!$A$4:$P$1203,3,0),"※编码不在物料档案里"))</f>
        <v/>
      </c>
      <c r="F2729" s="24">
        <f>IF($D2729="","",IFERROR(VLOOKUP($D2729,物料档案!$A$4:$P$1203,4,0),"※编码不在物料档案里"))</f>
        <v/>
      </c>
      <c r="G2729" s="24">
        <f>IF($D2729="","",IFERROR(VLOOKUP($D2729,物料档案!$A$4:$P$1203,5,0),"※编码不在物料档案里"))</f>
        <v/>
      </c>
      <c r="H2729" s="24">
        <f>IF($D2729="","",IFERROR(VLOOKUP($D2729,物料档案!$A$4:$P$1203,2,0),"※编码不在物料档案里"))</f>
        <v/>
      </c>
      <c r="I2729" s="24">
        <f>IF($D2729="","",IFERROR(VLOOKUP($D2729,物料档案!$A$4:$P$1203,6,0),"※编码不在物料档案里"))</f>
        <v/>
      </c>
      <c r="J2729" s="23" t="n"/>
      <c r="K2729" s="17" t="n"/>
      <c r="L2729" s="17" t="n"/>
      <c r="M2729" s="17" t="n"/>
      <c r="N2729" s="17" t="n"/>
      <c r="O2729" s="26">
        <f>IF($D2729="","",IFERROR(VLOOKUP($D2729,物料档案!$A$4:$P$1203,10,0),0))</f>
        <v/>
      </c>
      <c r="P2729" s="32" t="n"/>
      <c r="Q2729" s="26">
        <f>IF($D2729="","",IF($K2729&lt;&gt;"对外销售",0,ROUND(N($J2729)*IF($P2729="",N($O2729),N($P2729)),0)))</f>
        <v/>
      </c>
      <c r="R2729" s="26">
        <f>IF($D2729="","",IFERROR(VLOOKUP($D2729,库存台账!$A$5:$Y$1204,11,0),0))</f>
        <v/>
      </c>
      <c r="S2729" s="26">
        <f>IF($D2729="","",ROUND(N($J2729)*N($R2729),0))</f>
        <v/>
      </c>
      <c r="T2729" s="26">
        <f>IF($D2729="","",IF($K2729&lt;&gt;"对外销售","",ROUND($Q2729-$S2729,0)))</f>
        <v/>
      </c>
      <c r="U2729" s="17" t="n"/>
      <c r="V2729" s="17" t="n"/>
      <c r="W2729" s="24">
        <f>IF($D2729="","",IF($E2729="※编码不在物料档案里","※物料编码不在档案里",IF(N($J2729)&lt;=0,"※出库数量要大于 0",IF($K2729="","※没填去向类型",IF($L2729="","※没填去向矿区",IF(AND($C2729&lt;&gt;"",$C2729&lt;=结账锁),"※日期早于已结账截止日，不能再录",IF(AND($K2729="自用消耗",COUNTIF({"一矿区";"二矿区"},$L2729)=0),"※自用消耗的去向只能是一矿区或二矿区",IF(AND($K2729="对外销售",COUNTIF({"三矿区";"六矿区"},$L2729)=0),"※对外销售的去向只能是三矿区或六矿区",IF(AND($K2729="对外销售",ROUND($Q2729,0)=0),"※外销却没有售价，请填实际售价",IF(AND($K2729="对外销售",$T2729&lt;&gt;"",$T2729&lt;0),"※这一笔外销是亏的，请核对售价",IF(IFERROR(VLOOKUP($D2729,库存台账!$A$5:$Y$1204,24,0),0)&lt;-0.001,"※这个物料账面已经变成负数了，查一下是不是漏记入库","")))))))))))</f>
        <v/>
      </c>
    </row>
    <row r="2730">
      <c r="A2730" s="24">
        <f>IF($D2730="","",COUNTA($D$4:$D2730))</f>
        <v/>
      </c>
      <c r="B2730" s="17" t="n"/>
      <c r="C2730" s="30" t="n"/>
      <c r="D2730" s="17" t="n"/>
      <c r="E2730" s="24">
        <f>IF($D2730="","",IFERROR(VLOOKUP($D2730,物料档案!$A$4:$P$1203,3,0),"※编码不在物料档案里"))</f>
        <v/>
      </c>
      <c r="F2730" s="24">
        <f>IF($D2730="","",IFERROR(VLOOKUP($D2730,物料档案!$A$4:$P$1203,4,0),"※编码不在物料档案里"))</f>
        <v/>
      </c>
      <c r="G2730" s="24">
        <f>IF($D2730="","",IFERROR(VLOOKUP($D2730,物料档案!$A$4:$P$1203,5,0),"※编码不在物料档案里"))</f>
        <v/>
      </c>
      <c r="H2730" s="24">
        <f>IF($D2730="","",IFERROR(VLOOKUP($D2730,物料档案!$A$4:$P$1203,2,0),"※编码不在物料档案里"))</f>
        <v/>
      </c>
      <c r="I2730" s="24">
        <f>IF($D2730="","",IFERROR(VLOOKUP($D2730,物料档案!$A$4:$P$1203,6,0),"※编码不在物料档案里"))</f>
        <v/>
      </c>
      <c r="J2730" s="23" t="n"/>
      <c r="K2730" s="17" t="n"/>
      <c r="L2730" s="17" t="n"/>
      <c r="M2730" s="17" t="n"/>
      <c r="N2730" s="17" t="n"/>
      <c r="O2730" s="26">
        <f>IF($D2730="","",IFERROR(VLOOKUP($D2730,物料档案!$A$4:$P$1203,10,0),0))</f>
        <v/>
      </c>
      <c r="P2730" s="32" t="n"/>
      <c r="Q2730" s="26">
        <f>IF($D2730="","",IF($K2730&lt;&gt;"对外销售",0,ROUND(N($J2730)*IF($P2730="",N($O2730),N($P2730)),0)))</f>
        <v/>
      </c>
      <c r="R2730" s="26">
        <f>IF($D2730="","",IFERROR(VLOOKUP($D2730,库存台账!$A$5:$Y$1204,11,0),0))</f>
        <v/>
      </c>
      <c r="S2730" s="26">
        <f>IF($D2730="","",ROUND(N($J2730)*N($R2730),0))</f>
        <v/>
      </c>
      <c r="T2730" s="26">
        <f>IF($D2730="","",IF($K2730&lt;&gt;"对外销售","",ROUND($Q2730-$S2730,0)))</f>
        <v/>
      </c>
      <c r="U2730" s="17" t="n"/>
      <c r="V2730" s="17" t="n"/>
      <c r="W2730" s="24">
        <f>IF($D2730="","",IF($E2730="※编码不在物料档案里","※物料编码不在档案里",IF(N($J2730)&lt;=0,"※出库数量要大于 0",IF($K2730="","※没填去向类型",IF($L2730="","※没填去向矿区",IF(AND($C2730&lt;&gt;"",$C2730&lt;=结账锁),"※日期早于已结账截止日，不能再录",IF(AND($K2730="自用消耗",COUNTIF({"一矿区";"二矿区"},$L2730)=0),"※自用消耗的去向只能是一矿区或二矿区",IF(AND($K2730="对外销售",COUNTIF({"三矿区";"六矿区"},$L2730)=0),"※对外销售的去向只能是三矿区或六矿区",IF(AND($K2730="对外销售",ROUND($Q2730,0)=0),"※外销却没有售价，请填实际售价",IF(AND($K2730="对外销售",$T2730&lt;&gt;"",$T2730&lt;0),"※这一笔外销是亏的，请核对售价",IF(IFERROR(VLOOKUP($D2730,库存台账!$A$5:$Y$1204,24,0),0)&lt;-0.001,"※这个物料账面已经变成负数了，查一下是不是漏记入库","")))))))))))</f>
        <v/>
      </c>
    </row>
    <row r="2731">
      <c r="A2731" s="24">
        <f>IF($D2731="","",COUNTA($D$4:$D2731))</f>
        <v/>
      </c>
      <c r="B2731" s="17" t="n"/>
      <c r="C2731" s="30" t="n"/>
      <c r="D2731" s="17" t="n"/>
      <c r="E2731" s="24">
        <f>IF($D2731="","",IFERROR(VLOOKUP($D2731,物料档案!$A$4:$P$1203,3,0),"※编码不在物料档案里"))</f>
        <v/>
      </c>
      <c r="F2731" s="24">
        <f>IF($D2731="","",IFERROR(VLOOKUP($D2731,物料档案!$A$4:$P$1203,4,0),"※编码不在物料档案里"))</f>
        <v/>
      </c>
      <c r="G2731" s="24">
        <f>IF($D2731="","",IFERROR(VLOOKUP($D2731,物料档案!$A$4:$P$1203,5,0),"※编码不在物料档案里"))</f>
        <v/>
      </c>
      <c r="H2731" s="24">
        <f>IF($D2731="","",IFERROR(VLOOKUP($D2731,物料档案!$A$4:$P$1203,2,0),"※编码不在物料档案里"))</f>
        <v/>
      </c>
      <c r="I2731" s="24">
        <f>IF($D2731="","",IFERROR(VLOOKUP($D2731,物料档案!$A$4:$P$1203,6,0),"※编码不在物料档案里"))</f>
        <v/>
      </c>
      <c r="J2731" s="23" t="n"/>
      <c r="K2731" s="17" t="n"/>
      <c r="L2731" s="17" t="n"/>
      <c r="M2731" s="17" t="n"/>
      <c r="N2731" s="17" t="n"/>
      <c r="O2731" s="26">
        <f>IF($D2731="","",IFERROR(VLOOKUP($D2731,物料档案!$A$4:$P$1203,10,0),0))</f>
        <v/>
      </c>
      <c r="P2731" s="32" t="n"/>
      <c r="Q2731" s="26">
        <f>IF($D2731="","",IF($K2731&lt;&gt;"对外销售",0,ROUND(N($J2731)*IF($P2731="",N($O2731),N($P2731)),0)))</f>
        <v/>
      </c>
      <c r="R2731" s="26">
        <f>IF($D2731="","",IFERROR(VLOOKUP($D2731,库存台账!$A$5:$Y$1204,11,0),0))</f>
        <v/>
      </c>
      <c r="S2731" s="26">
        <f>IF($D2731="","",ROUND(N($J2731)*N($R2731),0))</f>
        <v/>
      </c>
      <c r="T2731" s="26">
        <f>IF($D2731="","",IF($K2731&lt;&gt;"对外销售","",ROUND($Q2731-$S2731,0)))</f>
        <v/>
      </c>
      <c r="U2731" s="17" t="n"/>
      <c r="V2731" s="17" t="n"/>
      <c r="W2731" s="24">
        <f>IF($D2731="","",IF($E2731="※编码不在物料档案里","※物料编码不在档案里",IF(N($J2731)&lt;=0,"※出库数量要大于 0",IF($K2731="","※没填去向类型",IF($L2731="","※没填去向矿区",IF(AND($C2731&lt;&gt;"",$C2731&lt;=结账锁),"※日期早于已结账截止日，不能再录",IF(AND($K2731="自用消耗",COUNTIF({"一矿区";"二矿区"},$L2731)=0),"※自用消耗的去向只能是一矿区或二矿区",IF(AND($K2731="对外销售",COUNTIF({"三矿区";"六矿区"},$L2731)=0),"※对外销售的去向只能是三矿区或六矿区",IF(AND($K2731="对外销售",ROUND($Q2731,0)=0),"※外销却没有售价，请填实际售价",IF(AND($K2731="对外销售",$T2731&lt;&gt;"",$T2731&lt;0),"※这一笔外销是亏的，请核对售价",IF(IFERROR(VLOOKUP($D2731,库存台账!$A$5:$Y$1204,24,0),0)&lt;-0.001,"※这个物料账面已经变成负数了，查一下是不是漏记入库","")))))))))))</f>
        <v/>
      </c>
    </row>
    <row r="2732">
      <c r="A2732" s="24">
        <f>IF($D2732="","",COUNTA($D$4:$D2732))</f>
        <v/>
      </c>
      <c r="B2732" s="17" t="n"/>
      <c r="C2732" s="30" t="n"/>
      <c r="D2732" s="17" t="n"/>
      <c r="E2732" s="24">
        <f>IF($D2732="","",IFERROR(VLOOKUP($D2732,物料档案!$A$4:$P$1203,3,0),"※编码不在物料档案里"))</f>
        <v/>
      </c>
      <c r="F2732" s="24">
        <f>IF($D2732="","",IFERROR(VLOOKUP($D2732,物料档案!$A$4:$P$1203,4,0),"※编码不在物料档案里"))</f>
        <v/>
      </c>
      <c r="G2732" s="24">
        <f>IF($D2732="","",IFERROR(VLOOKUP($D2732,物料档案!$A$4:$P$1203,5,0),"※编码不在物料档案里"))</f>
        <v/>
      </c>
      <c r="H2732" s="24">
        <f>IF($D2732="","",IFERROR(VLOOKUP($D2732,物料档案!$A$4:$P$1203,2,0),"※编码不在物料档案里"))</f>
        <v/>
      </c>
      <c r="I2732" s="24">
        <f>IF($D2732="","",IFERROR(VLOOKUP($D2732,物料档案!$A$4:$P$1203,6,0),"※编码不在物料档案里"))</f>
        <v/>
      </c>
      <c r="J2732" s="23" t="n"/>
      <c r="K2732" s="17" t="n"/>
      <c r="L2732" s="17" t="n"/>
      <c r="M2732" s="17" t="n"/>
      <c r="N2732" s="17" t="n"/>
      <c r="O2732" s="26">
        <f>IF($D2732="","",IFERROR(VLOOKUP($D2732,物料档案!$A$4:$P$1203,10,0),0))</f>
        <v/>
      </c>
      <c r="P2732" s="32" t="n"/>
      <c r="Q2732" s="26">
        <f>IF($D2732="","",IF($K2732&lt;&gt;"对外销售",0,ROUND(N($J2732)*IF($P2732="",N($O2732),N($P2732)),0)))</f>
        <v/>
      </c>
      <c r="R2732" s="26">
        <f>IF($D2732="","",IFERROR(VLOOKUP($D2732,库存台账!$A$5:$Y$1204,11,0),0))</f>
        <v/>
      </c>
      <c r="S2732" s="26">
        <f>IF($D2732="","",ROUND(N($J2732)*N($R2732),0))</f>
        <v/>
      </c>
      <c r="T2732" s="26">
        <f>IF($D2732="","",IF($K2732&lt;&gt;"对外销售","",ROUND($Q2732-$S2732,0)))</f>
        <v/>
      </c>
      <c r="U2732" s="17" t="n"/>
      <c r="V2732" s="17" t="n"/>
      <c r="W2732" s="24">
        <f>IF($D2732="","",IF($E2732="※编码不在物料档案里","※物料编码不在档案里",IF(N($J2732)&lt;=0,"※出库数量要大于 0",IF($K2732="","※没填去向类型",IF($L2732="","※没填去向矿区",IF(AND($C2732&lt;&gt;"",$C2732&lt;=结账锁),"※日期早于已结账截止日，不能再录",IF(AND($K2732="自用消耗",COUNTIF({"一矿区";"二矿区"},$L2732)=0),"※自用消耗的去向只能是一矿区或二矿区",IF(AND($K2732="对外销售",COUNTIF({"三矿区";"六矿区"},$L2732)=0),"※对外销售的去向只能是三矿区或六矿区",IF(AND($K2732="对外销售",ROUND($Q2732,0)=0),"※外销却没有售价，请填实际售价",IF(AND($K2732="对外销售",$T2732&lt;&gt;"",$T2732&lt;0),"※这一笔外销是亏的，请核对售价",IF(IFERROR(VLOOKUP($D2732,库存台账!$A$5:$Y$1204,24,0),0)&lt;-0.001,"※这个物料账面已经变成负数了，查一下是不是漏记入库","")))))))))))</f>
        <v/>
      </c>
    </row>
    <row r="2733">
      <c r="A2733" s="24">
        <f>IF($D2733="","",COUNTA($D$4:$D2733))</f>
        <v/>
      </c>
      <c r="B2733" s="17" t="n"/>
      <c r="C2733" s="30" t="n"/>
      <c r="D2733" s="17" t="n"/>
      <c r="E2733" s="24">
        <f>IF($D2733="","",IFERROR(VLOOKUP($D2733,物料档案!$A$4:$P$1203,3,0),"※编码不在物料档案里"))</f>
        <v/>
      </c>
      <c r="F2733" s="24">
        <f>IF($D2733="","",IFERROR(VLOOKUP($D2733,物料档案!$A$4:$P$1203,4,0),"※编码不在物料档案里"))</f>
        <v/>
      </c>
      <c r="G2733" s="24">
        <f>IF($D2733="","",IFERROR(VLOOKUP($D2733,物料档案!$A$4:$P$1203,5,0),"※编码不在物料档案里"))</f>
        <v/>
      </c>
      <c r="H2733" s="24">
        <f>IF($D2733="","",IFERROR(VLOOKUP($D2733,物料档案!$A$4:$P$1203,2,0),"※编码不在物料档案里"))</f>
        <v/>
      </c>
      <c r="I2733" s="24">
        <f>IF($D2733="","",IFERROR(VLOOKUP($D2733,物料档案!$A$4:$P$1203,6,0),"※编码不在物料档案里"))</f>
        <v/>
      </c>
      <c r="J2733" s="23" t="n"/>
      <c r="K2733" s="17" t="n"/>
      <c r="L2733" s="17" t="n"/>
      <c r="M2733" s="17" t="n"/>
      <c r="N2733" s="17" t="n"/>
      <c r="O2733" s="26">
        <f>IF($D2733="","",IFERROR(VLOOKUP($D2733,物料档案!$A$4:$P$1203,10,0),0))</f>
        <v/>
      </c>
      <c r="P2733" s="32" t="n"/>
      <c r="Q2733" s="26">
        <f>IF($D2733="","",IF($K2733&lt;&gt;"对外销售",0,ROUND(N($J2733)*IF($P2733="",N($O2733),N($P2733)),0)))</f>
        <v/>
      </c>
      <c r="R2733" s="26">
        <f>IF($D2733="","",IFERROR(VLOOKUP($D2733,库存台账!$A$5:$Y$1204,11,0),0))</f>
        <v/>
      </c>
      <c r="S2733" s="26">
        <f>IF($D2733="","",ROUND(N($J2733)*N($R2733),0))</f>
        <v/>
      </c>
      <c r="T2733" s="26">
        <f>IF($D2733="","",IF($K2733&lt;&gt;"对外销售","",ROUND($Q2733-$S2733,0)))</f>
        <v/>
      </c>
      <c r="U2733" s="17" t="n"/>
      <c r="V2733" s="17" t="n"/>
      <c r="W2733" s="24">
        <f>IF($D2733="","",IF($E2733="※编码不在物料档案里","※物料编码不在档案里",IF(N($J2733)&lt;=0,"※出库数量要大于 0",IF($K2733="","※没填去向类型",IF($L2733="","※没填去向矿区",IF(AND($C2733&lt;&gt;"",$C2733&lt;=结账锁),"※日期早于已结账截止日，不能再录",IF(AND($K2733="自用消耗",COUNTIF({"一矿区";"二矿区"},$L2733)=0),"※自用消耗的去向只能是一矿区或二矿区",IF(AND($K2733="对外销售",COUNTIF({"三矿区";"六矿区"},$L2733)=0),"※对外销售的去向只能是三矿区或六矿区",IF(AND($K2733="对外销售",ROUND($Q2733,0)=0),"※外销却没有售价，请填实际售价",IF(AND($K2733="对外销售",$T2733&lt;&gt;"",$T2733&lt;0),"※这一笔外销是亏的，请核对售价",IF(IFERROR(VLOOKUP($D2733,库存台账!$A$5:$Y$1204,24,0),0)&lt;-0.001,"※这个物料账面已经变成负数了，查一下是不是漏记入库","")))))))))))</f>
        <v/>
      </c>
    </row>
    <row r="2734">
      <c r="A2734" s="24">
        <f>IF($D2734="","",COUNTA($D$4:$D2734))</f>
        <v/>
      </c>
      <c r="B2734" s="17" t="n"/>
      <c r="C2734" s="30" t="n"/>
      <c r="D2734" s="17" t="n"/>
      <c r="E2734" s="24">
        <f>IF($D2734="","",IFERROR(VLOOKUP($D2734,物料档案!$A$4:$P$1203,3,0),"※编码不在物料档案里"))</f>
        <v/>
      </c>
      <c r="F2734" s="24">
        <f>IF($D2734="","",IFERROR(VLOOKUP($D2734,物料档案!$A$4:$P$1203,4,0),"※编码不在物料档案里"))</f>
        <v/>
      </c>
      <c r="G2734" s="24">
        <f>IF($D2734="","",IFERROR(VLOOKUP($D2734,物料档案!$A$4:$P$1203,5,0),"※编码不在物料档案里"))</f>
        <v/>
      </c>
      <c r="H2734" s="24">
        <f>IF($D2734="","",IFERROR(VLOOKUP($D2734,物料档案!$A$4:$P$1203,2,0),"※编码不在物料档案里"))</f>
        <v/>
      </c>
      <c r="I2734" s="24">
        <f>IF($D2734="","",IFERROR(VLOOKUP($D2734,物料档案!$A$4:$P$1203,6,0),"※编码不在物料档案里"))</f>
        <v/>
      </c>
      <c r="J2734" s="23" t="n"/>
      <c r="K2734" s="17" t="n"/>
      <c r="L2734" s="17" t="n"/>
      <c r="M2734" s="17" t="n"/>
      <c r="N2734" s="17" t="n"/>
      <c r="O2734" s="26">
        <f>IF($D2734="","",IFERROR(VLOOKUP($D2734,物料档案!$A$4:$P$1203,10,0),0))</f>
        <v/>
      </c>
      <c r="P2734" s="32" t="n"/>
      <c r="Q2734" s="26">
        <f>IF($D2734="","",IF($K2734&lt;&gt;"对外销售",0,ROUND(N($J2734)*IF($P2734="",N($O2734),N($P2734)),0)))</f>
        <v/>
      </c>
      <c r="R2734" s="26">
        <f>IF($D2734="","",IFERROR(VLOOKUP($D2734,库存台账!$A$5:$Y$1204,11,0),0))</f>
        <v/>
      </c>
      <c r="S2734" s="26">
        <f>IF($D2734="","",ROUND(N($J2734)*N($R2734),0))</f>
        <v/>
      </c>
      <c r="T2734" s="26">
        <f>IF($D2734="","",IF($K2734&lt;&gt;"对外销售","",ROUND($Q2734-$S2734,0)))</f>
        <v/>
      </c>
      <c r="U2734" s="17" t="n"/>
      <c r="V2734" s="17" t="n"/>
      <c r="W2734" s="24">
        <f>IF($D2734="","",IF($E2734="※编码不在物料档案里","※物料编码不在档案里",IF(N($J2734)&lt;=0,"※出库数量要大于 0",IF($K2734="","※没填去向类型",IF($L2734="","※没填去向矿区",IF(AND($C2734&lt;&gt;"",$C2734&lt;=结账锁),"※日期早于已结账截止日，不能再录",IF(AND($K2734="自用消耗",COUNTIF({"一矿区";"二矿区"},$L2734)=0),"※自用消耗的去向只能是一矿区或二矿区",IF(AND($K2734="对外销售",COUNTIF({"三矿区";"六矿区"},$L2734)=0),"※对外销售的去向只能是三矿区或六矿区",IF(AND($K2734="对外销售",ROUND($Q2734,0)=0),"※外销却没有售价，请填实际售价",IF(AND($K2734="对外销售",$T2734&lt;&gt;"",$T2734&lt;0),"※这一笔外销是亏的，请核对售价",IF(IFERROR(VLOOKUP($D2734,库存台账!$A$5:$Y$1204,24,0),0)&lt;-0.001,"※这个物料账面已经变成负数了，查一下是不是漏记入库","")))))))))))</f>
        <v/>
      </c>
    </row>
    <row r="2735">
      <c r="A2735" s="24">
        <f>IF($D2735="","",COUNTA($D$4:$D2735))</f>
        <v/>
      </c>
      <c r="B2735" s="17" t="n"/>
      <c r="C2735" s="30" t="n"/>
      <c r="D2735" s="17" t="n"/>
      <c r="E2735" s="24">
        <f>IF($D2735="","",IFERROR(VLOOKUP($D2735,物料档案!$A$4:$P$1203,3,0),"※编码不在物料档案里"))</f>
        <v/>
      </c>
      <c r="F2735" s="24">
        <f>IF($D2735="","",IFERROR(VLOOKUP($D2735,物料档案!$A$4:$P$1203,4,0),"※编码不在物料档案里"))</f>
        <v/>
      </c>
      <c r="G2735" s="24">
        <f>IF($D2735="","",IFERROR(VLOOKUP($D2735,物料档案!$A$4:$P$1203,5,0),"※编码不在物料档案里"))</f>
        <v/>
      </c>
      <c r="H2735" s="24">
        <f>IF($D2735="","",IFERROR(VLOOKUP($D2735,物料档案!$A$4:$P$1203,2,0),"※编码不在物料档案里"))</f>
        <v/>
      </c>
      <c r="I2735" s="24">
        <f>IF($D2735="","",IFERROR(VLOOKUP($D2735,物料档案!$A$4:$P$1203,6,0),"※编码不在物料档案里"))</f>
        <v/>
      </c>
      <c r="J2735" s="23" t="n"/>
      <c r="K2735" s="17" t="n"/>
      <c r="L2735" s="17" t="n"/>
      <c r="M2735" s="17" t="n"/>
      <c r="N2735" s="17" t="n"/>
      <c r="O2735" s="26">
        <f>IF($D2735="","",IFERROR(VLOOKUP($D2735,物料档案!$A$4:$P$1203,10,0),0))</f>
        <v/>
      </c>
      <c r="P2735" s="32" t="n"/>
      <c r="Q2735" s="26">
        <f>IF($D2735="","",IF($K2735&lt;&gt;"对外销售",0,ROUND(N($J2735)*IF($P2735="",N($O2735),N($P2735)),0)))</f>
        <v/>
      </c>
      <c r="R2735" s="26">
        <f>IF($D2735="","",IFERROR(VLOOKUP($D2735,库存台账!$A$5:$Y$1204,11,0),0))</f>
        <v/>
      </c>
      <c r="S2735" s="26">
        <f>IF($D2735="","",ROUND(N($J2735)*N($R2735),0))</f>
        <v/>
      </c>
      <c r="T2735" s="26">
        <f>IF($D2735="","",IF($K2735&lt;&gt;"对外销售","",ROUND($Q2735-$S2735,0)))</f>
        <v/>
      </c>
      <c r="U2735" s="17" t="n"/>
      <c r="V2735" s="17" t="n"/>
      <c r="W2735" s="24">
        <f>IF($D2735="","",IF($E2735="※编码不在物料档案里","※物料编码不在档案里",IF(N($J2735)&lt;=0,"※出库数量要大于 0",IF($K2735="","※没填去向类型",IF($L2735="","※没填去向矿区",IF(AND($C2735&lt;&gt;"",$C2735&lt;=结账锁),"※日期早于已结账截止日，不能再录",IF(AND($K2735="自用消耗",COUNTIF({"一矿区";"二矿区"},$L2735)=0),"※自用消耗的去向只能是一矿区或二矿区",IF(AND($K2735="对外销售",COUNTIF({"三矿区";"六矿区"},$L2735)=0),"※对外销售的去向只能是三矿区或六矿区",IF(AND($K2735="对外销售",ROUND($Q2735,0)=0),"※外销却没有售价，请填实际售价",IF(AND($K2735="对外销售",$T2735&lt;&gt;"",$T2735&lt;0),"※这一笔外销是亏的，请核对售价",IF(IFERROR(VLOOKUP($D2735,库存台账!$A$5:$Y$1204,24,0),0)&lt;-0.001,"※这个物料账面已经变成负数了，查一下是不是漏记入库","")))))))))))</f>
        <v/>
      </c>
    </row>
    <row r="2736">
      <c r="A2736" s="24">
        <f>IF($D2736="","",COUNTA($D$4:$D2736))</f>
        <v/>
      </c>
      <c r="B2736" s="17" t="n"/>
      <c r="C2736" s="30" t="n"/>
      <c r="D2736" s="17" t="n"/>
      <c r="E2736" s="24">
        <f>IF($D2736="","",IFERROR(VLOOKUP($D2736,物料档案!$A$4:$P$1203,3,0),"※编码不在物料档案里"))</f>
        <v/>
      </c>
      <c r="F2736" s="24">
        <f>IF($D2736="","",IFERROR(VLOOKUP($D2736,物料档案!$A$4:$P$1203,4,0),"※编码不在物料档案里"))</f>
        <v/>
      </c>
      <c r="G2736" s="24">
        <f>IF($D2736="","",IFERROR(VLOOKUP($D2736,物料档案!$A$4:$P$1203,5,0),"※编码不在物料档案里"))</f>
        <v/>
      </c>
      <c r="H2736" s="24">
        <f>IF($D2736="","",IFERROR(VLOOKUP($D2736,物料档案!$A$4:$P$1203,2,0),"※编码不在物料档案里"))</f>
        <v/>
      </c>
      <c r="I2736" s="24">
        <f>IF($D2736="","",IFERROR(VLOOKUP($D2736,物料档案!$A$4:$P$1203,6,0),"※编码不在物料档案里"))</f>
        <v/>
      </c>
      <c r="J2736" s="23" t="n"/>
      <c r="K2736" s="17" t="n"/>
      <c r="L2736" s="17" t="n"/>
      <c r="M2736" s="17" t="n"/>
      <c r="N2736" s="17" t="n"/>
      <c r="O2736" s="26">
        <f>IF($D2736="","",IFERROR(VLOOKUP($D2736,物料档案!$A$4:$P$1203,10,0),0))</f>
        <v/>
      </c>
      <c r="P2736" s="32" t="n"/>
      <c r="Q2736" s="26">
        <f>IF($D2736="","",IF($K2736&lt;&gt;"对外销售",0,ROUND(N($J2736)*IF($P2736="",N($O2736),N($P2736)),0)))</f>
        <v/>
      </c>
      <c r="R2736" s="26">
        <f>IF($D2736="","",IFERROR(VLOOKUP($D2736,库存台账!$A$5:$Y$1204,11,0),0))</f>
        <v/>
      </c>
      <c r="S2736" s="26">
        <f>IF($D2736="","",ROUND(N($J2736)*N($R2736),0))</f>
        <v/>
      </c>
      <c r="T2736" s="26">
        <f>IF($D2736="","",IF($K2736&lt;&gt;"对外销售","",ROUND($Q2736-$S2736,0)))</f>
        <v/>
      </c>
      <c r="U2736" s="17" t="n"/>
      <c r="V2736" s="17" t="n"/>
      <c r="W2736" s="24">
        <f>IF($D2736="","",IF($E2736="※编码不在物料档案里","※物料编码不在档案里",IF(N($J2736)&lt;=0,"※出库数量要大于 0",IF($K2736="","※没填去向类型",IF($L2736="","※没填去向矿区",IF(AND($C2736&lt;&gt;"",$C2736&lt;=结账锁),"※日期早于已结账截止日，不能再录",IF(AND($K2736="自用消耗",COUNTIF({"一矿区";"二矿区"},$L2736)=0),"※自用消耗的去向只能是一矿区或二矿区",IF(AND($K2736="对外销售",COUNTIF({"三矿区";"六矿区"},$L2736)=0),"※对外销售的去向只能是三矿区或六矿区",IF(AND($K2736="对外销售",ROUND($Q2736,0)=0),"※外销却没有售价，请填实际售价",IF(AND($K2736="对外销售",$T2736&lt;&gt;"",$T2736&lt;0),"※这一笔外销是亏的，请核对售价",IF(IFERROR(VLOOKUP($D2736,库存台账!$A$5:$Y$1204,24,0),0)&lt;-0.001,"※这个物料账面已经变成负数了，查一下是不是漏记入库","")))))))))))</f>
        <v/>
      </c>
    </row>
    <row r="2737">
      <c r="A2737" s="24">
        <f>IF($D2737="","",COUNTA($D$4:$D2737))</f>
        <v/>
      </c>
      <c r="B2737" s="17" t="n"/>
      <c r="C2737" s="30" t="n"/>
      <c r="D2737" s="17" t="n"/>
      <c r="E2737" s="24">
        <f>IF($D2737="","",IFERROR(VLOOKUP($D2737,物料档案!$A$4:$P$1203,3,0),"※编码不在物料档案里"))</f>
        <v/>
      </c>
      <c r="F2737" s="24">
        <f>IF($D2737="","",IFERROR(VLOOKUP($D2737,物料档案!$A$4:$P$1203,4,0),"※编码不在物料档案里"))</f>
        <v/>
      </c>
      <c r="G2737" s="24">
        <f>IF($D2737="","",IFERROR(VLOOKUP($D2737,物料档案!$A$4:$P$1203,5,0),"※编码不在物料档案里"))</f>
        <v/>
      </c>
      <c r="H2737" s="24">
        <f>IF($D2737="","",IFERROR(VLOOKUP($D2737,物料档案!$A$4:$P$1203,2,0),"※编码不在物料档案里"))</f>
        <v/>
      </c>
      <c r="I2737" s="24">
        <f>IF($D2737="","",IFERROR(VLOOKUP($D2737,物料档案!$A$4:$P$1203,6,0),"※编码不在物料档案里"))</f>
        <v/>
      </c>
      <c r="J2737" s="23" t="n"/>
      <c r="K2737" s="17" t="n"/>
      <c r="L2737" s="17" t="n"/>
      <c r="M2737" s="17" t="n"/>
      <c r="N2737" s="17" t="n"/>
      <c r="O2737" s="26">
        <f>IF($D2737="","",IFERROR(VLOOKUP($D2737,物料档案!$A$4:$P$1203,10,0),0))</f>
        <v/>
      </c>
      <c r="P2737" s="32" t="n"/>
      <c r="Q2737" s="26">
        <f>IF($D2737="","",IF($K2737&lt;&gt;"对外销售",0,ROUND(N($J2737)*IF($P2737="",N($O2737),N($P2737)),0)))</f>
        <v/>
      </c>
      <c r="R2737" s="26">
        <f>IF($D2737="","",IFERROR(VLOOKUP($D2737,库存台账!$A$5:$Y$1204,11,0),0))</f>
        <v/>
      </c>
      <c r="S2737" s="26">
        <f>IF($D2737="","",ROUND(N($J2737)*N($R2737),0))</f>
        <v/>
      </c>
      <c r="T2737" s="26">
        <f>IF($D2737="","",IF($K2737&lt;&gt;"对外销售","",ROUND($Q2737-$S2737,0)))</f>
        <v/>
      </c>
      <c r="U2737" s="17" t="n"/>
      <c r="V2737" s="17" t="n"/>
      <c r="W2737" s="24">
        <f>IF($D2737="","",IF($E2737="※编码不在物料档案里","※物料编码不在档案里",IF(N($J2737)&lt;=0,"※出库数量要大于 0",IF($K2737="","※没填去向类型",IF($L2737="","※没填去向矿区",IF(AND($C2737&lt;&gt;"",$C2737&lt;=结账锁),"※日期早于已结账截止日，不能再录",IF(AND($K2737="自用消耗",COUNTIF({"一矿区";"二矿区"},$L2737)=0),"※自用消耗的去向只能是一矿区或二矿区",IF(AND($K2737="对外销售",COUNTIF({"三矿区";"六矿区"},$L2737)=0),"※对外销售的去向只能是三矿区或六矿区",IF(AND($K2737="对外销售",ROUND($Q2737,0)=0),"※外销却没有售价，请填实际售价",IF(AND($K2737="对外销售",$T2737&lt;&gt;"",$T2737&lt;0),"※这一笔外销是亏的，请核对售价",IF(IFERROR(VLOOKUP($D2737,库存台账!$A$5:$Y$1204,24,0),0)&lt;-0.001,"※这个物料账面已经变成负数了，查一下是不是漏记入库","")))))))))))</f>
        <v/>
      </c>
    </row>
    <row r="2738">
      <c r="A2738" s="24">
        <f>IF($D2738="","",COUNTA($D$4:$D2738))</f>
        <v/>
      </c>
      <c r="B2738" s="17" t="n"/>
      <c r="C2738" s="30" t="n"/>
      <c r="D2738" s="17" t="n"/>
      <c r="E2738" s="24">
        <f>IF($D2738="","",IFERROR(VLOOKUP($D2738,物料档案!$A$4:$P$1203,3,0),"※编码不在物料档案里"))</f>
        <v/>
      </c>
      <c r="F2738" s="24">
        <f>IF($D2738="","",IFERROR(VLOOKUP($D2738,物料档案!$A$4:$P$1203,4,0),"※编码不在物料档案里"))</f>
        <v/>
      </c>
      <c r="G2738" s="24">
        <f>IF($D2738="","",IFERROR(VLOOKUP($D2738,物料档案!$A$4:$P$1203,5,0),"※编码不在物料档案里"))</f>
        <v/>
      </c>
      <c r="H2738" s="24">
        <f>IF($D2738="","",IFERROR(VLOOKUP($D2738,物料档案!$A$4:$P$1203,2,0),"※编码不在物料档案里"))</f>
        <v/>
      </c>
      <c r="I2738" s="24">
        <f>IF($D2738="","",IFERROR(VLOOKUP($D2738,物料档案!$A$4:$P$1203,6,0),"※编码不在物料档案里"))</f>
        <v/>
      </c>
      <c r="J2738" s="23" t="n"/>
      <c r="K2738" s="17" t="n"/>
      <c r="L2738" s="17" t="n"/>
      <c r="M2738" s="17" t="n"/>
      <c r="N2738" s="17" t="n"/>
      <c r="O2738" s="26">
        <f>IF($D2738="","",IFERROR(VLOOKUP($D2738,物料档案!$A$4:$P$1203,10,0),0))</f>
        <v/>
      </c>
      <c r="P2738" s="32" t="n"/>
      <c r="Q2738" s="26">
        <f>IF($D2738="","",IF($K2738&lt;&gt;"对外销售",0,ROUND(N($J2738)*IF($P2738="",N($O2738),N($P2738)),0)))</f>
        <v/>
      </c>
      <c r="R2738" s="26">
        <f>IF($D2738="","",IFERROR(VLOOKUP($D2738,库存台账!$A$5:$Y$1204,11,0),0))</f>
        <v/>
      </c>
      <c r="S2738" s="26">
        <f>IF($D2738="","",ROUND(N($J2738)*N($R2738),0))</f>
        <v/>
      </c>
      <c r="T2738" s="26">
        <f>IF($D2738="","",IF($K2738&lt;&gt;"对外销售","",ROUND($Q2738-$S2738,0)))</f>
        <v/>
      </c>
      <c r="U2738" s="17" t="n"/>
      <c r="V2738" s="17" t="n"/>
      <c r="W2738" s="24">
        <f>IF($D2738="","",IF($E2738="※编码不在物料档案里","※物料编码不在档案里",IF(N($J2738)&lt;=0,"※出库数量要大于 0",IF($K2738="","※没填去向类型",IF($L2738="","※没填去向矿区",IF(AND($C2738&lt;&gt;"",$C2738&lt;=结账锁),"※日期早于已结账截止日，不能再录",IF(AND($K2738="自用消耗",COUNTIF({"一矿区";"二矿区"},$L2738)=0),"※自用消耗的去向只能是一矿区或二矿区",IF(AND($K2738="对外销售",COUNTIF({"三矿区";"六矿区"},$L2738)=0),"※对外销售的去向只能是三矿区或六矿区",IF(AND($K2738="对外销售",ROUND($Q2738,0)=0),"※外销却没有售价，请填实际售价",IF(AND($K2738="对外销售",$T2738&lt;&gt;"",$T2738&lt;0),"※这一笔外销是亏的，请核对售价",IF(IFERROR(VLOOKUP($D2738,库存台账!$A$5:$Y$1204,24,0),0)&lt;-0.001,"※这个物料账面已经变成负数了，查一下是不是漏记入库","")))))))))))</f>
        <v/>
      </c>
    </row>
    <row r="2739">
      <c r="A2739" s="24">
        <f>IF($D2739="","",COUNTA($D$4:$D2739))</f>
        <v/>
      </c>
      <c r="B2739" s="17" t="n"/>
      <c r="C2739" s="30" t="n"/>
      <c r="D2739" s="17" t="n"/>
      <c r="E2739" s="24">
        <f>IF($D2739="","",IFERROR(VLOOKUP($D2739,物料档案!$A$4:$P$1203,3,0),"※编码不在物料档案里"))</f>
        <v/>
      </c>
      <c r="F2739" s="24">
        <f>IF($D2739="","",IFERROR(VLOOKUP($D2739,物料档案!$A$4:$P$1203,4,0),"※编码不在物料档案里"))</f>
        <v/>
      </c>
      <c r="G2739" s="24">
        <f>IF($D2739="","",IFERROR(VLOOKUP($D2739,物料档案!$A$4:$P$1203,5,0),"※编码不在物料档案里"))</f>
        <v/>
      </c>
      <c r="H2739" s="24">
        <f>IF($D2739="","",IFERROR(VLOOKUP($D2739,物料档案!$A$4:$P$1203,2,0),"※编码不在物料档案里"))</f>
        <v/>
      </c>
      <c r="I2739" s="24">
        <f>IF($D2739="","",IFERROR(VLOOKUP($D2739,物料档案!$A$4:$P$1203,6,0),"※编码不在物料档案里"))</f>
        <v/>
      </c>
      <c r="J2739" s="23" t="n"/>
      <c r="K2739" s="17" t="n"/>
      <c r="L2739" s="17" t="n"/>
      <c r="M2739" s="17" t="n"/>
      <c r="N2739" s="17" t="n"/>
      <c r="O2739" s="26">
        <f>IF($D2739="","",IFERROR(VLOOKUP($D2739,物料档案!$A$4:$P$1203,10,0),0))</f>
        <v/>
      </c>
      <c r="P2739" s="32" t="n"/>
      <c r="Q2739" s="26">
        <f>IF($D2739="","",IF($K2739&lt;&gt;"对外销售",0,ROUND(N($J2739)*IF($P2739="",N($O2739),N($P2739)),0)))</f>
        <v/>
      </c>
      <c r="R2739" s="26">
        <f>IF($D2739="","",IFERROR(VLOOKUP($D2739,库存台账!$A$5:$Y$1204,11,0),0))</f>
        <v/>
      </c>
      <c r="S2739" s="26">
        <f>IF($D2739="","",ROUND(N($J2739)*N($R2739),0))</f>
        <v/>
      </c>
      <c r="T2739" s="26">
        <f>IF($D2739="","",IF($K2739&lt;&gt;"对外销售","",ROUND($Q2739-$S2739,0)))</f>
        <v/>
      </c>
      <c r="U2739" s="17" t="n"/>
      <c r="V2739" s="17" t="n"/>
      <c r="W2739" s="24">
        <f>IF($D2739="","",IF($E2739="※编码不在物料档案里","※物料编码不在档案里",IF(N($J2739)&lt;=0,"※出库数量要大于 0",IF($K2739="","※没填去向类型",IF($L2739="","※没填去向矿区",IF(AND($C2739&lt;&gt;"",$C2739&lt;=结账锁),"※日期早于已结账截止日，不能再录",IF(AND($K2739="自用消耗",COUNTIF({"一矿区";"二矿区"},$L2739)=0),"※自用消耗的去向只能是一矿区或二矿区",IF(AND($K2739="对外销售",COUNTIF({"三矿区";"六矿区"},$L2739)=0),"※对外销售的去向只能是三矿区或六矿区",IF(AND($K2739="对外销售",ROUND($Q2739,0)=0),"※外销却没有售价，请填实际售价",IF(AND($K2739="对外销售",$T2739&lt;&gt;"",$T2739&lt;0),"※这一笔外销是亏的，请核对售价",IF(IFERROR(VLOOKUP($D2739,库存台账!$A$5:$Y$1204,24,0),0)&lt;-0.001,"※这个物料账面已经变成负数了，查一下是不是漏记入库","")))))))))))</f>
        <v/>
      </c>
    </row>
    <row r="2740">
      <c r="A2740" s="24">
        <f>IF($D2740="","",COUNTA($D$4:$D2740))</f>
        <v/>
      </c>
      <c r="B2740" s="17" t="n"/>
      <c r="C2740" s="30" t="n"/>
      <c r="D2740" s="17" t="n"/>
      <c r="E2740" s="24">
        <f>IF($D2740="","",IFERROR(VLOOKUP($D2740,物料档案!$A$4:$P$1203,3,0),"※编码不在物料档案里"))</f>
        <v/>
      </c>
      <c r="F2740" s="24">
        <f>IF($D2740="","",IFERROR(VLOOKUP($D2740,物料档案!$A$4:$P$1203,4,0),"※编码不在物料档案里"))</f>
        <v/>
      </c>
      <c r="G2740" s="24">
        <f>IF($D2740="","",IFERROR(VLOOKUP($D2740,物料档案!$A$4:$P$1203,5,0),"※编码不在物料档案里"))</f>
        <v/>
      </c>
      <c r="H2740" s="24">
        <f>IF($D2740="","",IFERROR(VLOOKUP($D2740,物料档案!$A$4:$P$1203,2,0),"※编码不在物料档案里"))</f>
        <v/>
      </c>
      <c r="I2740" s="24">
        <f>IF($D2740="","",IFERROR(VLOOKUP($D2740,物料档案!$A$4:$P$1203,6,0),"※编码不在物料档案里"))</f>
        <v/>
      </c>
      <c r="J2740" s="23" t="n"/>
      <c r="K2740" s="17" t="n"/>
      <c r="L2740" s="17" t="n"/>
      <c r="M2740" s="17" t="n"/>
      <c r="N2740" s="17" t="n"/>
      <c r="O2740" s="26">
        <f>IF($D2740="","",IFERROR(VLOOKUP($D2740,物料档案!$A$4:$P$1203,10,0),0))</f>
        <v/>
      </c>
      <c r="P2740" s="32" t="n"/>
      <c r="Q2740" s="26">
        <f>IF($D2740="","",IF($K2740&lt;&gt;"对外销售",0,ROUND(N($J2740)*IF($P2740="",N($O2740),N($P2740)),0)))</f>
        <v/>
      </c>
      <c r="R2740" s="26">
        <f>IF($D2740="","",IFERROR(VLOOKUP($D2740,库存台账!$A$5:$Y$1204,11,0),0))</f>
        <v/>
      </c>
      <c r="S2740" s="26">
        <f>IF($D2740="","",ROUND(N($J2740)*N($R2740),0))</f>
        <v/>
      </c>
      <c r="T2740" s="26">
        <f>IF($D2740="","",IF($K2740&lt;&gt;"对外销售","",ROUND($Q2740-$S2740,0)))</f>
        <v/>
      </c>
      <c r="U2740" s="17" t="n"/>
      <c r="V2740" s="17" t="n"/>
      <c r="W2740" s="24">
        <f>IF($D2740="","",IF($E2740="※编码不在物料档案里","※物料编码不在档案里",IF(N($J2740)&lt;=0,"※出库数量要大于 0",IF($K2740="","※没填去向类型",IF($L2740="","※没填去向矿区",IF(AND($C2740&lt;&gt;"",$C2740&lt;=结账锁),"※日期早于已结账截止日，不能再录",IF(AND($K2740="自用消耗",COUNTIF({"一矿区";"二矿区"},$L2740)=0),"※自用消耗的去向只能是一矿区或二矿区",IF(AND($K2740="对外销售",COUNTIF({"三矿区";"六矿区"},$L2740)=0),"※对外销售的去向只能是三矿区或六矿区",IF(AND($K2740="对外销售",ROUND($Q2740,0)=0),"※外销却没有售价，请填实际售价",IF(AND($K2740="对外销售",$T2740&lt;&gt;"",$T2740&lt;0),"※这一笔外销是亏的，请核对售价",IF(IFERROR(VLOOKUP($D2740,库存台账!$A$5:$Y$1204,24,0),0)&lt;-0.001,"※这个物料账面已经变成负数了，查一下是不是漏记入库","")))))))))))</f>
        <v/>
      </c>
    </row>
    <row r="2741">
      <c r="A2741" s="24">
        <f>IF($D2741="","",COUNTA($D$4:$D2741))</f>
        <v/>
      </c>
      <c r="B2741" s="17" t="n"/>
      <c r="C2741" s="30" t="n"/>
      <c r="D2741" s="17" t="n"/>
      <c r="E2741" s="24">
        <f>IF($D2741="","",IFERROR(VLOOKUP($D2741,物料档案!$A$4:$P$1203,3,0),"※编码不在物料档案里"))</f>
        <v/>
      </c>
      <c r="F2741" s="24">
        <f>IF($D2741="","",IFERROR(VLOOKUP($D2741,物料档案!$A$4:$P$1203,4,0),"※编码不在物料档案里"))</f>
        <v/>
      </c>
      <c r="G2741" s="24">
        <f>IF($D2741="","",IFERROR(VLOOKUP($D2741,物料档案!$A$4:$P$1203,5,0),"※编码不在物料档案里"))</f>
        <v/>
      </c>
      <c r="H2741" s="24">
        <f>IF($D2741="","",IFERROR(VLOOKUP($D2741,物料档案!$A$4:$P$1203,2,0),"※编码不在物料档案里"))</f>
        <v/>
      </c>
      <c r="I2741" s="24">
        <f>IF($D2741="","",IFERROR(VLOOKUP($D2741,物料档案!$A$4:$P$1203,6,0),"※编码不在物料档案里"))</f>
        <v/>
      </c>
      <c r="J2741" s="23" t="n"/>
      <c r="K2741" s="17" t="n"/>
      <c r="L2741" s="17" t="n"/>
      <c r="M2741" s="17" t="n"/>
      <c r="N2741" s="17" t="n"/>
      <c r="O2741" s="26">
        <f>IF($D2741="","",IFERROR(VLOOKUP($D2741,物料档案!$A$4:$P$1203,10,0),0))</f>
        <v/>
      </c>
      <c r="P2741" s="32" t="n"/>
      <c r="Q2741" s="26">
        <f>IF($D2741="","",IF($K2741&lt;&gt;"对外销售",0,ROUND(N($J2741)*IF($P2741="",N($O2741),N($P2741)),0)))</f>
        <v/>
      </c>
      <c r="R2741" s="26">
        <f>IF($D2741="","",IFERROR(VLOOKUP($D2741,库存台账!$A$5:$Y$1204,11,0),0))</f>
        <v/>
      </c>
      <c r="S2741" s="26">
        <f>IF($D2741="","",ROUND(N($J2741)*N($R2741),0))</f>
        <v/>
      </c>
      <c r="T2741" s="26">
        <f>IF($D2741="","",IF($K2741&lt;&gt;"对外销售","",ROUND($Q2741-$S2741,0)))</f>
        <v/>
      </c>
      <c r="U2741" s="17" t="n"/>
      <c r="V2741" s="17" t="n"/>
      <c r="W2741" s="24">
        <f>IF($D2741="","",IF($E2741="※编码不在物料档案里","※物料编码不在档案里",IF(N($J2741)&lt;=0,"※出库数量要大于 0",IF($K2741="","※没填去向类型",IF($L2741="","※没填去向矿区",IF(AND($C2741&lt;&gt;"",$C2741&lt;=结账锁),"※日期早于已结账截止日，不能再录",IF(AND($K2741="自用消耗",COUNTIF({"一矿区";"二矿区"},$L2741)=0),"※自用消耗的去向只能是一矿区或二矿区",IF(AND($K2741="对外销售",COUNTIF({"三矿区";"六矿区"},$L2741)=0),"※对外销售的去向只能是三矿区或六矿区",IF(AND($K2741="对外销售",ROUND($Q2741,0)=0),"※外销却没有售价，请填实际售价",IF(AND($K2741="对外销售",$T2741&lt;&gt;"",$T2741&lt;0),"※这一笔外销是亏的，请核对售价",IF(IFERROR(VLOOKUP($D2741,库存台账!$A$5:$Y$1204,24,0),0)&lt;-0.001,"※这个物料账面已经变成负数了，查一下是不是漏记入库","")))))))))))</f>
        <v/>
      </c>
    </row>
    <row r="2742">
      <c r="A2742" s="24">
        <f>IF($D2742="","",COUNTA($D$4:$D2742))</f>
        <v/>
      </c>
      <c r="B2742" s="17" t="n"/>
      <c r="C2742" s="30" t="n"/>
      <c r="D2742" s="17" t="n"/>
      <c r="E2742" s="24">
        <f>IF($D2742="","",IFERROR(VLOOKUP($D2742,物料档案!$A$4:$P$1203,3,0),"※编码不在物料档案里"))</f>
        <v/>
      </c>
      <c r="F2742" s="24">
        <f>IF($D2742="","",IFERROR(VLOOKUP($D2742,物料档案!$A$4:$P$1203,4,0),"※编码不在物料档案里"))</f>
        <v/>
      </c>
      <c r="G2742" s="24">
        <f>IF($D2742="","",IFERROR(VLOOKUP($D2742,物料档案!$A$4:$P$1203,5,0),"※编码不在物料档案里"))</f>
        <v/>
      </c>
      <c r="H2742" s="24">
        <f>IF($D2742="","",IFERROR(VLOOKUP($D2742,物料档案!$A$4:$P$1203,2,0),"※编码不在物料档案里"))</f>
        <v/>
      </c>
      <c r="I2742" s="24">
        <f>IF($D2742="","",IFERROR(VLOOKUP($D2742,物料档案!$A$4:$P$1203,6,0),"※编码不在物料档案里"))</f>
        <v/>
      </c>
      <c r="J2742" s="23" t="n"/>
      <c r="K2742" s="17" t="n"/>
      <c r="L2742" s="17" t="n"/>
      <c r="M2742" s="17" t="n"/>
      <c r="N2742" s="17" t="n"/>
      <c r="O2742" s="26">
        <f>IF($D2742="","",IFERROR(VLOOKUP($D2742,物料档案!$A$4:$P$1203,10,0),0))</f>
        <v/>
      </c>
      <c r="P2742" s="32" t="n"/>
      <c r="Q2742" s="26">
        <f>IF($D2742="","",IF($K2742&lt;&gt;"对外销售",0,ROUND(N($J2742)*IF($P2742="",N($O2742),N($P2742)),0)))</f>
        <v/>
      </c>
      <c r="R2742" s="26">
        <f>IF($D2742="","",IFERROR(VLOOKUP($D2742,库存台账!$A$5:$Y$1204,11,0),0))</f>
        <v/>
      </c>
      <c r="S2742" s="26">
        <f>IF($D2742="","",ROUND(N($J2742)*N($R2742),0))</f>
        <v/>
      </c>
      <c r="T2742" s="26">
        <f>IF($D2742="","",IF($K2742&lt;&gt;"对外销售","",ROUND($Q2742-$S2742,0)))</f>
        <v/>
      </c>
      <c r="U2742" s="17" t="n"/>
      <c r="V2742" s="17" t="n"/>
      <c r="W2742" s="24">
        <f>IF($D2742="","",IF($E2742="※编码不在物料档案里","※物料编码不在档案里",IF(N($J2742)&lt;=0,"※出库数量要大于 0",IF($K2742="","※没填去向类型",IF($L2742="","※没填去向矿区",IF(AND($C2742&lt;&gt;"",$C2742&lt;=结账锁),"※日期早于已结账截止日，不能再录",IF(AND($K2742="自用消耗",COUNTIF({"一矿区";"二矿区"},$L2742)=0),"※自用消耗的去向只能是一矿区或二矿区",IF(AND($K2742="对外销售",COUNTIF({"三矿区";"六矿区"},$L2742)=0),"※对外销售的去向只能是三矿区或六矿区",IF(AND($K2742="对外销售",ROUND($Q2742,0)=0),"※外销却没有售价，请填实际售价",IF(AND($K2742="对外销售",$T2742&lt;&gt;"",$T2742&lt;0),"※这一笔外销是亏的，请核对售价",IF(IFERROR(VLOOKUP($D2742,库存台账!$A$5:$Y$1204,24,0),0)&lt;-0.001,"※这个物料账面已经变成负数了，查一下是不是漏记入库","")))))))))))</f>
        <v/>
      </c>
    </row>
    <row r="2743">
      <c r="A2743" s="24">
        <f>IF($D2743="","",COUNTA($D$4:$D2743))</f>
        <v/>
      </c>
      <c r="B2743" s="17" t="n"/>
      <c r="C2743" s="30" t="n"/>
      <c r="D2743" s="17" t="n"/>
      <c r="E2743" s="24">
        <f>IF($D2743="","",IFERROR(VLOOKUP($D2743,物料档案!$A$4:$P$1203,3,0),"※编码不在物料档案里"))</f>
        <v/>
      </c>
      <c r="F2743" s="24">
        <f>IF($D2743="","",IFERROR(VLOOKUP($D2743,物料档案!$A$4:$P$1203,4,0),"※编码不在物料档案里"))</f>
        <v/>
      </c>
      <c r="G2743" s="24">
        <f>IF($D2743="","",IFERROR(VLOOKUP($D2743,物料档案!$A$4:$P$1203,5,0),"※编码不在物料档案里"))</f>
        <v/>
      </c>
      <c r="H2743" s="24">
        <f>IF($D2743="","",IFERROR(VLOOKUP($D2743,物料档案!$A$4:$P$1203,2,0),"※编码不在物料档案里"))</f>
        <v/>
      </c>
      <c r="I2743" s="24">
        <f>IF($D2743="","",IFERROR(VLOOKUP($D2743,物料档案!$A$4:$P$1203,6,0),"※编码不在物料档案里"))</f>
        <v/>
      </c>
      <c r="J2743" s="23" t="n"/>
      <c r="K2743" s="17" t="n"/>
      <c r="L2743" s="17" t="n"/>
      <c r="M2743" s="17" t="n"/>
      <c r="N2743" s="17" t="n"/>
      <c r="O2743" s="26">
        <f>IF($D2743="","",IFERROR(VLOOKUP($D2743,物料档案!$A$4:$P$1203,10,0),0))</f>
        <v/>
      </c>
      <c r="P2743" s="32" t="n"/>
      <c r="Q2743" s="26">
        <f>IF($D2743="","",IF($K2743&lt;&gt;"对外销售",0,ROUND(N($J2743)*IF($P2743="",N($O2743),N($P2743)),0)))</f>
        <v/>
      </c>
      <c r="R2743" s="26">
        <f>IF($D2743="","",IFERROR(VLOOKUP($D2743,库存台账!$A$5:$Y$1204,11,0),0))</f>
        <v/>
      </c>
      <c r="S2743" s="26">
        <f>IF($D2743="","",ROUND(N($J2743)*N($R2743),0))</f>
        <v/>
      </c>
      <c r="T2743" s="26">
        <f>IF($D2743="","",IF($K2743&lt;&gt;"对外销售","",ROUND($Q2743-$S2743,0)))</f>
        <v/>
      </c>
      <c r="U2743" s="17" t="n"/>
      <c r="V2743" s="17" t="n"/>
      <c r="W2743" s="24">
        <f>IF($D2743="","",IF($E2743="※编码不在物料档案里","※物料编码不在档案里",IF(N($J2743)&lt;=0,"※出库数量要大于 0",IF($K2743="","※没填去向类型",IF($L2743="","※没填去向矿区",IF(AND($C2743&lt;&gt;"",$C2743&lt;=结账锁),"※日期早于已结账截止日，不能再录",IF(AND($K2743="自用消耗",COUNTIF({"一矿区";"二矿区"},$L2743)=0),"※自用消耗的去向只能是一矿区或二矿区",IF(AND($K2743="对外销售",COUNTIF({"三矿区";"六矿区"},$L2743)=0),"※对外销售的去向只能是三矿区或六矿区",IF(AND($K2743="对外销售",ROUND($Q2743,0)=0),"※外销却没有售价，请填实际售价",IF(AND($K2743="对外销售",$T2743&lt;&gt;"",$T2743&lt;0),"※这一笔外销是亏的，请核对售价",IF(IFERROR(VLOOKUP($D2743,库存台账!$A$5:$Y$1204,24,0),0)&lt;-0.001,"※这个物料账面已经变成负数了，查一下是不是漏记入库","")))))))))))</f>
        <v/>
      </c>
    </row>
    <row r="2744">
      <c r="A2744" s="24">
        <f>IF($D2744="","",COUNTA($D$4:$D2744))</f>
        <v/>
      </c>
      <c r="B2744" s="17" t="n"/>
      <c r="C2744" s="30" t="n"/>
      <c r="D2744" s="17" t="n"/>
      <c r="E2744" s="24">
        <f>IF($D2744="","",IFERROR(VLOOKUP($D2744,物料档案!$A$4:$P$1203,3,0),"※编码不在物料档案里"))</f>
        <v/>
      </c>
      <c r="F2744" s="24">
        <f>IF($D2744="","",IFERROR(VLOOKUP($D2744,物料档案!$A$4:$P$1203,4,0),"※编码不在物料档案里"))</f>
        <v/>
      </c>
      <c r="G2744" s="24">
        <f>IF($D2744="","",IFERROR(VLOOKUP($D2744,物料档案!$A$4:$P$1203,5,0),"※编码不在物料档案里"))</f>
        <v/>
      </c>
      <c r="H2744" s="24">
        <f>IF($D2744="","",IFERROR(VLOOKUP($D2744,物料档案!$A$4:$P$1203,2,0),"※编码不在物料档案里"))</f>
        <v/>
      </c>
      <c r="I2744" s="24">
        <f>IF($D2744="","",IFERROR(VLOOKUP($D2744,物料档案!$A$4:$P$1203,6,0),"※编码不在物料档案里"))</f>
        <v/>
      </c>
      <c r="J2744" s="23" t="n"/>
      <c r="K2744" s="17" t="n"/>
      <c r="L2744" s="17" t="n"/>
      <c r="M2744" s="17" t="n"/>
      <c r="N2744" s="17" t="n"/>
      <c r="O2744" s="26">
        <f>IF($D2744="","",IFERROR(VLOOKUP($D2744,物料档案!$A$4:$P$1203,10,0),0))</f>
        <v/>
      </c>
      <c r="P2744" s="32" t="n"/>
      <c r="Q2744" s="26">
        <f>IF($D2744="","",IF($K2744&lt;&gt;"对外销售",0,ROUND(N($J2744)*IF($P2744="",N($O2744),N($P2744)),0)))</f>
        <v/>
      </c>
      <c r="R2744" s="26">
        <f>IF($D2744="","",IFERROR(VLOOKUP($D2744,库存台账!$A$5:$Y$1204,11,0),0))</f>
        <v/>
      </c>
      <c r="S2744" s="26">
        <f>IF($D2744="","",ROUND(N($J2744)*N($R2744),0))</f>
        <v/>
      </c>
      <c r="T2744" s="26">
        <f>IF($D2744="","",IF($K2744&lt;&gt;"对外销售","",ROUND($Q2744-$S2744,0)))</f>
        <v/>
      </c>
      <c r="U2744" s="17" t="n"/>
      <c r="V2744" s="17" t="n"/>
      <c r="W2744" s="24">
        <f>IF($D2744="","",IF($E2744="※编码不在物料档案里","※物料编码不在档案里",IF(N($J2744)&lt;=0,"※出库数量要大于 0",IF($K2744="","※没填去向类型",IF($L2744="","※没填去向矿区",IF(AND($C2744&lt;&gt;"",$C2744&lt;=结账锁),"※日期早于已结账截止日，不能再录",IF(AND($K2744="自用消耗",COUNTIF({"一矿区";"二矿区"},$L2744)=0),"※自用消耗的去向只能是一矿区或二矿区",IF(AND($K2744="对外销售",COUNTIF({"三矿区";"六矿区"},$L2744)=0),"※对外销售的去向只能是三矿区或六矿区",IF(AND($K2744="对外销售",ROUND($Q2744,0)=0),"※外销却没有售价，请填实际售价",IF(AND($K2744="对外销售",$T2744&lt;&gt;"",$T2744&lt;0),"※这一笔外销是亏的，请核对售价",IF(IFERROR(VLOOKUP($D2744,库存台账!$A$5:$Y$1204,24,0),0)&lt;-0.001,"※这个物料账面已经变成负数了，查一下是不是漏记入库","")))))))))))</f>
        <v/>
      </c>
    </row>
    <row r="2745">
      <c r="A2745" s="24">
        <f>IF($D2745="","",COUNTA($D$4:$D2745))</f>
        <v/>
      </c>
      <c r="B2745" s="17" t="n"/>
      <c r="C2745" s="30" t="n"/>
      <c r="D2745" s="17" t="n"/>
      <c r="E2745" s="24">
        <f>IF($D2745="","",IFERROR(VLOOKUP($D2745,物料档案!$A$4:$P$1203,3,0),"※编码不在物料档案里"))</f>
        <v/>
      </c>
      <c r="F2745" s="24">
        <f>IF($D2745="","",IFERROR(VLOOKUP($D2745,物料档案!$A$4:$P$1203,4,0),"※编码不在物料档案里"))</f>
        <v/>
      </c>
      <c r="G2745" s="24">
        <f>IF($D2745="","",IFERROR(VLOOKUP($D2745,物料档案!$A$4:$P$1203,5,0),"※编码不在物料档案里"))</f>
        <v/>
      </c>
      <c r="H2745" s="24">
        <f>IF($D2745="","",IFERROR(VLOOKUP($D2745,物料档案!$A$4:$P$1203,2,0),"※编码不在物料档案里"))</f>
        <v/>
      </c>
      <c r="I2745" s="24">
        <f>IF($D2745="","",IFERROR(VLOOKUP($D2745,物料档案!$A$4:$P$1203,6,0),"※编码不在物料档案里"))</f>
        <v/>
      </c>
      <c r="J2745" s="23" t="n"/>
      <c r="K2745" s="17" t="n"/>
      <c r="L2745" s="17" t="n"/>
      <c r="M2745" s="17" t="n"/>
      <c r="N2745" s="17" t="n"/>
      <c r="O2745" s="26">
        <f>IF($D2745="","",IFERROR(VLOOKUP($D2745,物料档案!$A$4:$P$1203,10,0),0))</f>
        <v/>
      </c>
      <c r="P2745" s="32" t="n"/>
      <c r="Q2745" s="26">
        <f>IF($D2745="","",IF($K2745&lt;&gt;"对外销售",0,ROUND(N($J2745)*IF($P2745="",N($O2745),N($P2745)),0)))</f>
        <v/>
      </c>
      <c r="R2745" s="26">
        <f>IF($D2745="","",IFERROR(VLOOKUP($D2745,库存台账!$A$5:$Y$1204,11,0),0))</f>
        <v/>
      </c>
      <c r="S2745" s="26">
        <f>IF($D2745="","",ROUND(N($J2745)*N($R2745),0))</f>
        <v/>
      </c>
      <c r="T2745" s="26">
        <f>IF($D2745="","",IF($K2745&lt;&gt;"对外销售","",ROUND($Q2745-$S2745,0)))</f>
        <v/>
      </c>
      <c r="U2745" s="17" t="n"/>
      <c r="V2745" s="17" t="n"/>
      <c r="W2745" s="24">
        <f>IF($D2745="","",IF($E2745="※编码不在物料档案里","※物料编码不在档案里",IF(N($J2745)&lt;=0,"※出库数量要大于 0",IF($K2745="","※没填去向类型",IF($L2745="","※没填去向矿区",IF(AND($C2745&lt;&gt;"",$C2745&lt;=结账锁),"※日期早于已结账截止日，不能再录",IF(AND($K2745="自用消耗",COUNTIF({"一矿区";"二矿区"},$L2745)=0),"※自用消耗的去向只能是一矿区或二矿区",IF(AND($K2745="对外销售",COUNTIF({"三矿区";"六矿区"},$L2745)=0),"※对外销售的去向只能是三矿区或六矿区",IF(AND($K2745="对外销售",ROUND($Q2745,0)=0),"※外销却没有售价，请填实际售价",IF(AND($K2745="对外销售",$T2745&lt;&gt;"",$T2745&lt;0),"※这一笔外销是亏的，请核对售价",IF(IFERROR(VLOOKUP($D2745,库存台账!$A$5:$Y$1204,24,0),0)&lt;-0.001,"※这个物料账面已经变成负数了，查一下是不是漏记入库","")))))))))))</f>
        <v/>
      </c>
    </row>
    <row r="2746">
      <c r="A2746" s="24">
        <f>IF($D2746="","",COUNTA($D$4:$D2746))</f>
        <v/>
      </c>
      <c r="B2746" s="17" t="n"/>
      <c r="C2746" s="30" t="n"/>
      <c r="D2746" s="17" t="n"/>
      <c r="E2746" s="24">
        <f>IF($D2746="","",IFERROR(VLOOKUP($D2746,物料档案!$A$4:$P$1203,3,0),"※编码不在物料档案里"))</f>
        <v/>
      </c>
      <c r="F2746" s="24">
        <f>IF($D2746="","",IFERROR(VLOOKUP($D2746,物料档案!$A$4:$P$1203,4,0),"※编码不在物料档案里"))</f>
        <v/>
      </c>
      <c r="G2746" s="24">
        <f>IF($D2746="","",IFERROR(VLOOKUP($D2746,物料档案!$A$4:$P$1203,5,0),"※编码不在物料档案里"))</f>
        <v/>
      </c>
      <c r="H2746" s="24">
        <f>IF($D2746="","",IFERROR(VLOOKUP($D2746,物料档案!$A$4:$P$1203,2,0),"※编码不在物料档案里"))</f>
        <v/>
      </c>
      <c r="I2746" s="24">
        <f>IF($D2746="","",IFERROR(VLOOKUP($D2746,物料档案!$A$4:$P$1203,6,0),"※编码不在物料档案里"))</f>
        <v/>
      </c>
      <c r="J2746" s="23" t="n"/>
      <c r="K2746" s="17" t="n"/>
      <c r="L2746" s="17" t="n"/>
      <c r="M2746" s="17" t="n"/>
      <c r="N2746" s="17" t="n"/>
      <c r="O2746" s="26">
        <f>IF($D2746="","",IFERROR(VLOOKUP($D2746,物料档案!$A$4:$P$1203,10,0),0))</f>
        <v/>
      </c>
      <c r="P2746" s="32" t="n"/>
      <c r="Q2746" s="26">
        <f>IF($D2746="","",IF($K2746&lt;&gt;"对外销售",0,ROUND(N($J2746)*IF($P2746="",N($O2746),N($P2746)),0)))</f>
        <v/>
      </c>
      <c r="R2746" s="26">
        <f>IF($D2746="","",IFERROR(VLOOKUP($D2746,库存台账!$A$5:$Y$1204,11,0),0))</f>
        <v/>
      </c>
      <c r="S2746" s="26">
        <f>IF($D2746="","",ROUND(N($J2746)*N($R2746),0))</f>
        <v/>
      </c>
      <c r="T2746" s="26">
        <f>IF($D2746="","",IF($K2746&lt;&gt;"对外销售","",ROUND($Q2746-$S2746,0)))</f>
        <v/>
      </c>
      <c r="U2746" s="17" t="n"/>
      <c r="V2746" s="17" t="n"/>
      <c r="W2746" s="24">
        <f>IF($D2746="","",IF($E2746="※编码不在物料档案里","※物料编码不在档案里",IF(N($J2746)&lt;=0,"※出库数量要大于 0",IF($K2746="","※没填去向类型",IF($L2746="","※没填去向矿区",IF(AND($C2746&lt;&gt;"",$C2746&lt;=结账锁),"※日期早于已结账截止日，不能再录",IF(AND($K2746="自用消耗",COUNTIF({"一矿区";"二矿区"},$L2746)=0),"※自用消耗的去向只能是一矿区或二矿区",IF(AND($K2746="对外销售",COUNTIF({"三矿区";"六矿区"},$L2746)=0),"※对外销售的去向只能是三矿区或六矿区",IF(AND($K2746="对外销售",ROUND($Q2746,0)=0),"※外销却没有售价，请填实际售价",IF(AND($K2746="对外销售",$T2746&lt;&gt;"",$T2746&lt;0),"※这一笔外销是亏的，请核对售价",IF(IFERROR(VLOOKUP($D2746,库存台账!$A$5:$Y$1204,24,0),0)&lt;-0.001,"※这个物料账面已经变成负数了，查一下是不是漏记入库","")))))))))))</f>
        <v/>
      </c>
    </row>
    <row r="2747">
      <c r="A2747" s="24">
        <f>IF($D2747="","",COUNTA($D$4:$D2747))</f>
        <v/>
      </c>
      <c r="B2747" s="17" t="n"/>
      <c r="C2747" s="30" t="n"/>
      <c r="D2747" s="17" t="n"/>
      <c r="E2747" s="24">
        <f>IF($D2747="","",IFERROR(VLOOKUP($D2747,物料档案!$A$4:$P$1203,3,0),"※编码不在物料档案里"))</f>
        <v/>
      </c>
      <c r="F2747" s="24">
        <f>IF($D2747="","",IFERROR(VLOOKUP($D2747,物料档案!$A$4:$P$1203,4,0),"※编码不在物料档案里"))</f>
        <v/>
      </c>
      <c r="G2747" s="24">
        <f>IF($D2747="","",IFERROR(VLOOKUP($D2747,物料档案!$A$4:$P$1203,5,0),"※编码不在物料档案里"))</f>
        <v/>
      </c>
      <c r="H2747" s="24">
        <f>IF($D2747="","",IFERROR(VLOOKUP($D2747,物料档案!$A$4:$P$1203,2,0),"※编码不在物料档案里"))</f>
        <v/>
      </c>
      <c r="I2747" s="24">
        <f>IF($D2747="","",IFERROR(VLOOKUP($D2747,物料档案!$A$4:$P$1203,6,0),"※编码不在物料档案里"))</f>
        <v/>
      </c>
      <c r="J2747" s="23" t="n"/>
      <c r="K2747" s="17" t="n"/>
      <c r="L2747" s="17" t="n"/>
      <c r="M2747" s="17" t="n"/>
      <c r="N2747" s="17" t="n"/>
      <c r="O2747" s="26">
        <f>IF($D2747="","",IFERROR(VLOOKUP($D2747,物料档案!$A$4:$P$1203,10,0),0))</f>
        <v/>
      </c>
      <c r="P2747" s="32" t="n"/>
      <c r="Q2747" s="26">
        <f>IF($D2747="","",IF($K2747&lt;&gt;"对外销售",0,ROUND(N($J2747)*IF($P2747="",N($O2747),N($P2747)),0)))</f>
        <v/>
      </c>
      <c r="R2747" s="26">
        <f>IF($D2747="","",IFERROR(VLOOKUP($D2747,库存台账!$A$5:$Y$1204,11,0),0))</f>
        <v/>
      </c>
      <c r="S2747" s="26">
        <f>IF($D2747="","",ROUND(N($J2747)*N($R2747),0))</f>
        <v/>
      </c>
      <c r="T2747" s="26">
        <f>IF($D2747="","",IF($K2747&lt;&gt;"对外销售","",ROUND($Q2747-$S2747,0)))</f>
        <v/>
      </c>
      <c r="U2747" s="17" t="n"/>
      <c r="V2747" s="17" t="n"/>
      <c r="W2747" s="24">
        <f>IF($D2747="","",IF($E2747="※编码不在物料档案里","※物料编码不在档案里",IF(N($J2747)&lt;=0,"※出库数量要大于 0",IF($K2747="","※没填去向类型",IF($L2747="","※没填去向矿区",IF(AND($C2747&lt;&gt;"",$C2747&lt;=结账锁),"※日期早于已结账截止日，不能再录",IF(AND($K2747="自用消耗",COUNTIF({"一矿区";"二矿区"},$L2747)=0),"※自用消耗的去向只能是一矿区或二矿区",IF(AND($K2747="对外销售",COUNTIF({"三矿区";"六矿区"},$L2747)=0),"※对外销售的去向只能是三矿区或六矿区",IF(AND($K2747="对外销售",ROUND($Q2747,0)=0),"※外销却没有售价，请填实际售价",IF(AND($K2747="对外销售",$T2747&lt;&gt;"",$T2747&lt;0),"※这一笔外销是亏的，请核对售价",IF(IFERROR(VLOOKUP($D2747,库存台账!$A$5:$Y$1204,24,0),0)&lt;-0.001,"※这个物料账面已经变成负数了，查一下是不是漏记入库","")))))))))))</f>
        <v/>
      </c>
    </row>
    <row r="2748">
      <c r="A2748" s="24">
        <f>IF($D2748="","",COUNTA($D$4:$D2748))</f>
        <v/>
      </c>
      <c r="B2748" s="17" t="n"/>
      <c r="C2748" s="30" t="n"/>
      <c r="D2748" s="17" t="n"/>
      <c r="E2748" s="24">
        <f>IF($D2748="","",IFERROR(VLOOKUP($D2748,物料档案!$A$4:$P$1203,3,0),"※编码不在物料档案里"))</f>
        <v/>
      </c>
      <c r="F2748" s="24">
        <f>IF($D2748="","",IFERROR(VLOOKUP($D2748,物料档案!$A$4:$P$1203,4,0),"※编码不在物料档案里"))</f>
        <v/>
      </c>
      <c r="G2748" s="24">
        <f>IF($D2748="","",IFERROR(VLOOKUP($D2748,物料档案!$A$4:$P$1203,5,0),"※编码不在物料档案里"))</f>
        <v/>
      </c>
      <c r="H2748" s="24">
        <f>IF($D2748="","",IFERROR(VLOOKUP($D2748,物料档案!$A$4:$P$1203,2,0),"※编码不在物料档案里"))</f>
        <v/>
      </c>
      <c r="I2748" s="24">
        <f>IF($D2748="","",IFERROR(VLOOKUP($D2748,物料档案!$A$4:$P$1203,6,0),"※编码不在物料档案里"))</f>
        <v/>
      </c>
      <c r="J2748" s="23" t="n"/>
      <c r="K2748" s="17" t="n"/>
      <c r="L2748" s="17" t="n"/>
      <c r="M2748" s="17" t="n"/>
      <c r="N2748" s="17" t="n"/>
      <c r="O2748" s="26">
        <f>IF($D2748="","",IFERROR(VLOOKUP($D2748,物料档案!$A$4:$P$1203,10,0),0))</f>
        <v/>
      </c>
      <c r="P2748" s="32" t="n"/>
      <c r="Q2748" s="26">
        <f>IF($D2748="","",IF($K2748&lt;&gt;"对外销售",0,ROUND(N($J2748)*IF($P2748="",N($O2748),N($P2748)),0)))</f>
        <v/>
      </c>
      <c r="R2748" s="26">
        <f>IF($D2748="","",IFERROR(VLOOKUP($D2748,库存台账!$A$5:$Y$1204,11,0),0))</f>
        <v/>
      </c>
      <c r="S2748" s="26">
        <f>IF($D2748="","",ROUND(N($J2748)*N($R2748),0))</f>
        <v/>
      </c>
      <c r="T2748" s="26">
        <f>IF($D2748="","",IF($K2748&lt;&gt;"对外销售","",ROUND($Q2748-$S2748,0)))</f>
        <v/>
      </c>
      <c r="U2748" s="17" t="n"/>
      <c r="V2748" s="17" t="n"/>
      <c r="W2748" s="24">
        <f>IF($D2748="","",IF($E2748="※编码不在物料档案里","※物料编码不在档案里",IF(N($J2748)&lt;=0,"※出库数量要大于 0",IF($K2748="","※没填去向类型",IF($L2748="","※没填去向矿区",IF(AND($C2748&lt;&gt;"",$C2748&lt;=结账锁),"※日期早于已结账截止日，不能再录",IF(AND($K2748="自用消耗",COUNTIF({"一矿区";"二矿区"},$L2748)=0),"※自用消耗的去向只能是一矿区或二矿区",IF(AND($K2748="对外销售",COUNTIF({"三矿区";"六矿区"},$L2748)=0),"※对外销售的去向只能是三矿区或六矿区",IF(AND($K2748="对外销售",ROUND($Q2748,0)=0),"※外销却没有售价，请填实际售价",IF(AND($K2748="对外销售",$T2748&lt;&gt;"",$T2748&lt;0),"※这一笔外销是亏的，请核对售价",IF(IFERROR(VLOOKUP($D2748,库存台账!$A$5:$Y$1204,24,0),0)&lt;-0.001,"※这个物料账面已经变成负数了，查一下是不是漏记入库","")))))))))))</f>
        <v/>
      </c>
    </row>
    <row r="2749">
      <c r="A2749" s="24">
        <f>IF($D2749="","",COUNTA($D$4:$D2749))</f>
        <v/>
      </c>
      <c r="B2749" s="17" t="n"/>
      <c r="C2749" s="30" t="n"/>
      <c r="D2749" s="17" t="n"/>
      <c r="E2749" s="24">
        <f>IF($D2749="","",IFERROR(VLOOKUP($D2749,物料档案!$A$4:$P$1203,3,0),"※编码不在物料档案里"))</f>
        <v/>
      </c>
      <c r="F2749" s="24">
        <f>IF($D2749="","",IFERROR(VLOOKUP($D2749,物料档案!$A$4:$P$1203,4,0),"※编码不在物料档案里"))</f>
        <v/>
      </c>
      <c r="G2749" s="24">
        <f>IF($D2749="","",IFERROR(VLOOKUP($D2749,物料档案!$A$4:$P$1203,5,0),"※编码不在物料档案里"))</f>
        <v/>
      </c>
      <c r="H2749" s="24">
        <f>IF($D2749="","",IFERROR(VLOOKUP($D2749,物料档案!$A$4:$P$1203,2,0),"※编码不在物料档案里"))</f>
        <v/>
      </c>
      <c r="I2749" s="24">
        <f>IF($D2749="","",IFERROR(VLOOKUP($D2749,物料档案!$A$4:$P$1203,6,0),"※编码不在物料档案里"))</f>
        <v/>
      </c>
      <c r="J2749" s="23" t="n"/>
      <c r="K2749" s="17" t="n"/>
      <c r="L2749" s="17" t="n"/>
      <c r="M2749" s="17" t="n"/>
      <c r="N2749" s="17" t="n"/>
      <c r="O2749" s="26">
        <f>IF($D2749="","",IFERROR(VLOOKUP($D2749,物料档案!$A$4:$P$1203,10,0),0))</f>
        <v/>
      </c>
      <c r="P2749" s="32" t="n"/>
      <c r="Q2749" s="26">
        <f>IF($D2749="","",IF($K2749&lt;&gt;"对外销售",0,ROUND(N($J2749)*IF($P2749="",N($O2749),N($P2749)),0)))</f>
        <v/>
      </c>
      <c r="R2749" s="26">
        <f>IF($D2749="","",IFERROR(VLOOKUP($D2749,库存台账!$A$5:$Y$1204,11,0),0))</f>
        <v/>
      </c>
      <c r="S2749" s="26">
        <f>IF($D2749="","",ROUND(N($J2749)*N($R2749),0))</f>
        <v/>
      </c>
      <c r="T2749" s="26">
        <f>IF($D2749="","",IF($K2749&lt;&gt;"对外销售","",ROUND($Q2749-$S2749,0)))</f>
        <v/>
      </c>
      <c r="U2749" s="17" t="n"/>
      <c r="V2749" s="17" t="n"/>
      <c r="W2749" s="24">
        <f>IF($D2749="","",IF($E2749="※编码不在物料档案里","※物料编码不在档案里",IF(N($J2749)&lt;=0,"※出库数量要大于 0",IF($K2749="","※没填去向类型",IF($L2749="","※没填去向矿区",IF(AND($C2749&lt;&gt;"",$C2749&lt;=结账锁),"※日期早于已结账截止日，不能再录",IF(AND($K2749="自用消耗",COUNTIF({"一矿区";"二矿区"},$L2749)=0),"※自用消耗的去向只能是一矿区或二矿区",IF(AND($K2749="对外销售",COUNTIF({"三矿区";"六矿区"},$L2749)=0),"※对外销售的去向只能是三矿区或六矿区",IF(AND($K2749="对外销售",ROUND($Q2749,0)=0),"※外销却没有售价，请填实际售价",IF(AND($K2749="对外销售",$T2749&lt;&gt;"",$T2749&lt;0),"※这一笔外销是亏的，请核对售价",IF(IFERROR(VLOOKUP($D2749,库存台账!$A$5:$Y$1204,24,0),0)&lt;-0.001,"※这个物料账面已经变成负数了，查一下是不是漏记入库","")))))))))))</f>
        <v/>
      </c>
    </row>
    <row r="2750">
      <c r="A2750" s="24">
        <f>IF($D2750="","",COUNTA($D$4:$D2750))</f>
        <v/>
      </c>
      <c r="B2750" s="17" t="n"/>
      <c r="C2750" s="30" t="n"/>
      <c r="D2750" s="17" t="n"/>
      <c r="E2750" s="24">
        <f>IF($D2750="","",IFERROR(VLOOKUP($D2750,物料档案!$A$4:$P$1203,3,0),"※编码不在物料档案里"))</f>
        <v/>
      </c>
      <c r="F2750" s="24">
        <f>IF($D2750="","",IFERROR(VLOOKUP($D2750,物料档案!$A$4:$P$1203,4,0),"※编码不在物料档案里"))</f>
        <v/>
      </c>
      <c r="G2750" s="24">
        <f>IF($D2750="","",IFERROR(VLOOKUP($D2750,物料档案!$A$4:$P$1203,5,0),"※编码不在物料档案里"))</f>
        <v/>
      </c>
      <c r="H2750" s="24">
        <f>IF($D2750="","",IFERROR(VLOOKUP($D2750,物料档案!$A$4:$P$1203,2,0),"※编码不在物料档案里"))</f>
        <v/>
      </c>
      <c r="I2750" s="24">
        <f>IF($D2750="","",IFERROR(VLOOKUP($D2750,物料档案!$A$4:$P$1203,6,0),"※编码不在物料档案里"))</f>
        <v/>
      </c>
      <c r="J2750" s="23" t="n"/>
      <c r="K2750" s="17" t="n"/>
      <c r="L2750" s="17" t="n"/>
      <c r="M2750" s="17" t="n"/>
      <c r="N2750" s="17" t="n"/>
      <c r="O2750" s="26">
        <f>IF($D2750="","",IFERROR(VLOOKUP($D2750,物料档案!$A$4:$P$1203,10,0),0))</f>
        <v/>
      </c>
      <c r="P2750" s="32" t="n"/>
      <c r="Q2750" s="26">
        <f>IF($D2750="","",IF($K2750&lt;&gt;"对外销售",0,ROUND(N($J2750)*IF($P2750="",N($O2750),N($P2750)),0)))</f>
        <v/>
      </c>
      <c r="R2750" s="26">
        <f>IF($D2750="","",IFERROR(VLOOKUP($D2750,库存台账!$A$5:$Y$1204,11,0),0))</f>
        <v/>
      </c>
      <c r="S2750" s="26">
        <f>IF($D2750="","",ROUND(N($J2750)*N($R2750),0))</f>
        <v/>
      </c>
      <c r="T2750" s="26">
        <f>IF($D2750="","",IF($K2750&lt;&gt;"对外销售","",ROUND($Q2750-$S2750,0)))</f>
        <v/>
      </c>
      <c r="U2750" s="17" t="n"/>
      <c r="V2750" s="17" t="n"/>
      <c r="W2750" s="24">
        <f>IF($D2750="","",IF($E2750="※编码不在物料档案里","※物料编码不在档案里",IF(N($J2750)&lt;=0,"※出库数量要大于 0",IF($K2750="","※没填去向类型",IF($L2750="","※没填去向矿区",IF(AND($C2750&lt;&gt;"",$C2750&lt;=结账锁),"※日期早于已结账截止日，不能再录",IF(AND($K2750="自用消耗",COUNTIF({"一矿区";"二矿区"},$L2750)=0),"※自用消耗的去向只能是一矿区或二矿区",IF(AND($K2750="对外销售",COUNTIF({"三矿区";"六矿区"},$L2750)=0),"※对外销售的去向只能是三矿区或六矿区",IF(AND($K2750="对外销售",ROUND($Q2750,0)=0),"※外销却没有售价，请填实际售价",IF(AND($K2750="对外销售",$T2750&lt;&gt;"",$T2750&lt;0),"※这一笔外销是亏的，请核对售价",IF(IFERROR(VLOOKUP($D2750,库存台账!$A$5:$Y$1204,24,0),0)&lt;-0.001,"※这个物料账面已经变成负数了，查一下是不是漏记入库","")))))))))))</f>
        <v/>
      </c>
    </row>
    <row r="2751">
      <c r="A2751" s="24">
        <f>IF($D2751="","",COUNTA($D$4:$D2751))</f>
        <v/>
      </c>
      <c r="B2751" s="17" t="n"/>
      <c r="C2751" s="30" t="n"/>
      <c r="D2751" s="17" t="n"/>
      <c r="E2751" s="24">
        <f>IF($D2751="","",IFERROR(VLOOKUP($D2751,物料档案!$A$4:$P$1203,3,0),"※编码不在物料档案里"))</f>
        <v/>
      </c>
      <c r="F2751" s="24">
        <f>IF($D2751="","",IFERROR(VLOOKUP($D2751,物料档案!$A$4:$P$1203,4,0),"※编码不在物料档案里"))</f>
        <v/>
      </c>
      <c r="G2751" s="24">
        <f>IF($D2751="","",IFERROR(VLOOKUP($D2751,物料档案!$A$4:$P$1203,5,0),"※编码不在物料档案里"))</f>
        <v/>
      </c>
      <c r="H2751" s="24">
        <f>IF($D2751="","",IFERROR(VLOOKUP($D2751,物料档案!$A$4:$P$1203,2,0),"※编码不在物料档案里"))</f>
        <v/>
      </c>
      <c r="I2751" s="24">
        <f>IF($D2751="","",IFERROR(VLOOKUP($D2751,物料档案!$A$4:$P$1203,6,0),"※编码不在物料档案里"))</f>
        <v/>
      </c>
      <c r="J2751" s="23" t="n"/>
      <c r="K2751" s="17" t="n"/>
      <c r="L2751" s="17" t="n"/>
      <c r="M2751" s="17" t="n"/>
      <c r="N2751" s="17" t="n"/>
      <c r="O2751" s="26">
        <f>IF($D2751="","",IFERROR(VLOOKUP($D2751,物料档案!$A$4:$P$1203,10,0),0))</f>
        <v/>
      </c>
      <c r="P2751" s="32" t="n"/>
      <c r="Q2751" s="26">
        <f>IF($D2751="","",IF($K2751&lt;&gt;"对外销售",0,ROUND(N($J2751)*IF($P2751="",N($O2751),N($P2751)),0)))</f>
        <v/>
      </c>
      <c r="R2751" s="26">
        <f>IF($D2751="","",IFERROR(VLOOKUP($D2751,库存台账!$A$5:$Y$1204,11,0),0))</f>
        <v/>
      </c>
      <c r="S2751" s="26">
        <f>IF($D2751="","",ROUND(N($J2751)*N($R2751),0))</f>
        <v/>
      </c>
      <c r="T2751" s="26">
        <f>IF($D2751="","",IF($K2751&lt;&gt;"对外销售","",ROUND($Q2751-$S2751,0)))</f>
        <v/>
      </c>
      <c r="U2751" s="17" t="n"/>
      <c r="V2751" s="17" t="n"/>
      <c r="W2751" s="24">
        <f>IF($D2751="","",IF($E2751="※编码不在物料档案里","※物料编码不在档案里",IF(N($J2751)&lt;=0,"※出库数量要大于 0",IF($K2751="","※没填去向类型",IF($L2751="","※没填去向矿区",IF(AND($C2751&lt;&gt;"",$C2751&lt;=结账锁),"※日期早于已结账截止日，不能再录",IF(AND($K2751="自用消耗",COUNTIF({"一矿区";"二矿区"},$L2751)=0),"※自用消耗的去向只能是一矿区或二矿区",IF(AND($K2751="对外销售",COUNTIF({"三矿区";"六矿区"},$L2751)=0),"※对外销售的去向只能是三矿区或六矿区",IF(AND($K2751="对外销售",ROUND($Q2751,0)=0),"※外销却没有售价，请填实际售价",IF(AND($K2751="对外销售",$T2751&lt;&gt;"",$T2751&lt;0),"※这一笔外销是亏的，请核对售价",IF(IFERROR(VLOOKUP($D2751,库存台账!$A$5:$Y$1204,24,0),0)&lt;-0.001,"※这个物料账面已经变成负数了，查一下是不是漏记入库","")))))))))))</f>
        <v/>
      </c>
    </row>
    <row r="2752">
      <c r="A2752" s="24">
        <f>IF($D2752="","",COUNTA($D$4:$D2752))</f>
        <v/>
      </c>
      <c r="B2752" s="17" t="n"/>
      <c r="C2752" s="30" t="n"/>
      <c r="D2752" s="17" t="n"/>
      <c r="E2752" s="24">
        <f>IF($D2752="","",IFERROR(VLOOKUP($D2752,物料档案!$A$4:$P$1203,3,0),"※编码不在物料档案里"))</f>
        <v/>
      </c>
      <c r="F2752" s="24">
        <f>IF($D2752="","",IFERROR(VLOOKUP($D2752,物料档案!$A$4:$P$1203,4,0),"※编码不在物料档案里"))</f>
        <v/>
      </c>
      <c r="G2752" s="24">
        <f>IF($D2752="","",IFERROR(VLOOKUP($D2752,物料档案!$A$4:$P$1203,5,0),"※编码不在物料档案里"))</f>
        <v/>
      </c>
      <c r="H2752" s="24">
        <f>IF($D2752="","",IFERROR(VLOOKUP($D2752,物料档案!$A$4:$P$1203,2,0),"※编码不在物料档案里"))</f>
        <v/>
      </c>
      <c r="I2752" s="24">
        <f>IF($D2752="","",IFERROR(VLOOKUP($D2752,物料档案!$A$4:$P$1203,6,0),"※编码不在物料档案里"))</f>
        <v/>
      </c>
      <c r="J2752" s="23" t="n"/>
      <c r="K2752" s="17" t="n"/>
      <c r="L2752" s="17" t="n"/>
      <c r="M2752" s="17" t="n"/>
      <c r="N2752" s="17" t="n"/>
      <c r="O2752" s="26">
        <f>IF($D2752="","",IFERROR(VLOOKUP($D2752,物料档案!$A$4:$P$1203,10,0),0))</f>
        <v/>
      </c>
      <c r="P2752" s="32" t="n"/>
      <c r="Q2752" s="26">
        <f>IF($D2752="","",IF($K2752&lt;&gt;"对外销售",0,ROUND(N($J2752)*IF($P2752="",N($O2752),N($P2752)),0)))</f>
        <v/>
      </c>
      <c r="R2752" s="26">
        <f>IF($D2752="","",IFERROR(VLOOKUP($D2752,库存台账!$A$5:$Y$1204,11,0),0))</f>
        <v/>
      </c>
      <c r="S2752" s="26">
        <f>IF($D2752="","",ROUND(N($J2752)*N($R2752),0))</f>
        <v/>
      </c>
      <c r="T2752" s="26">
        <f>IF($D2752="","",IF($K2752&lt;&gt;"对外销售","",ROUND($Q2752-$S2752,0)))</f>
        <v/>
      </c>
      <c r="U2752" s="17" t="n"/>
      <c r="V2752" s="17" t="n"/>
      <c r="W2752" s="24">
        <f>IF($D2752="","",IF($E2752="※编码不在物料档案里","※物料编码不在档案里",IF(N($J2752)&lt;=0,"※出库数量要大于 0",IF($K2752="","※没填去向类型",IF($L2752="","※没填去向矿区",IF(AND($C2752&lt;&gt;"",$C2752&lt;=结账锁),"※日期早于已结账截止日，不能再录",IF(AND($K2752="自用消耗",COUNTIF({"一矿区";"二矿区"},$L2752)=0),"※自用消耗的去向只能是一矿区或二矿区",IF(AND($K2752="对外销售",COUNTIF({"三矿区";"六矿区"},$L2752)=0),"※对外销售的去向只能是三矿区或六矿区",IF(AND($K2752="对外销售",ROUND($Q2752,0)=0),"※外销却没有售价，请填实际售价",IF(AND($K2752="对外销售",$T2752&lt;&gt;"",$T2752&lt;0),"※这一笔外销是亏的，请核对售价",IF(IFERROR(VLOOKUP($D2752,库存台账!$A$5:$Y$1204,24,0),0)&lt;-0.001,"※这个物料账面已经变成负数了，查一下是不是漏记入库","")))))))))))</f>
        <v/>
      </c>
    </row>
    <row r="2753">
      <c r="A2753" s="24">
        <f>IF($D2753="","",COUNTA($D$4:$D2753))</f>
        <v/>
      </c>
      <c r="B2753" s="17" t="n"/>
      <c r="C2753" s="30" t="n"/>
      <c r="D2753" s="17" t="n"/>
      <c r="E2753" s="24">
        <f>IF($D2753="","",IFERROR(VLOOKUP($D2753,物料档案!$A$4:$P$1203,3,0),"※编码不在物料档案里"))</f>
        <v/>
      </c>
      <c r="F2753" s="24">
        <f>IF($D2753="","",IFERROR(VLOOKUP($D2753,物料档案!$A$4:$P$1203,4,0),"※编码不在物料档案里"))</f>
        <v/>
      </c>
      <c r="G2753" s="24">
        <f>IF($D2753="","",IFERROR(VLOOKUP($D2753,物料档案!$A$4:$P$1203,5,0),"※编码不在物料档案里"))</f>
        <v/>
      </c>
      <c r="H2753" s="24">
        <f>IF($D2753="","",IFERROR(VLOOKUP($D2753,物料档案!$A$4:$P$1203,2,0),"※编码不在物料档案里"))</f>
        <v/>
      </c>
      <c r="I2753" s="24">
        <f>IF($D2753="","",IFERROR(VLOOKUP($D2753,物料档案!$A$4:$P$1203,6,0),"※编码不在物料档案里"))</f>
        <v/>
      </c>
      <c r="J2753" s="23" t="n"/>
      <c r="K2753" s="17" t="n"/>
      <c r="L2753" s="17" t="n"/>
      <c r="M2753" s="17" t="n"/>
      <c r="N2753" s="17" t="n"/>
      <c r="O2753" s="26">
        <f>IF($D2753="","",IFERROR(VLOOKUP($D2753,物料档案!$A$4:$P$1203,10,0),0))</f>
        <v/>
      </c>
      <c r="P2753" s="32" t="n"/>
      <c r="Q2753" s="26">
        <f>IF($D2753="","",IF($K2753&lt;&gt;"对外销售",0,ROUND(N($J2753)*IF($P2753="",N($O2753),N($P2753)),0)))</f>
        <v/>
      </c>
      <c r="R2753" s="26">
        <f>IF($D2753="","",IFERROR(VLOOKUP($D2753,库存台账!$A$5:$Y$1204,11,0),0))</f>
        <v/>
      </c>
      <c r="S2753" s="26">
        <f>IF($D2753="","",ROUND(N($J2753)*N($R2753),0))</f>
        <v/>
      </c>
      <c r="T2753" s="26">
        <f>IF($D2753="","",IF($K2753&lt;&gt;"对外销售","",ROUND($Q2753-$S2753,0)))</f>
        <v/>
      </c>
      <c r="U2753" s="17" t="n"/>
      <c r="V2753" s="17" t="n"/>
      <c r="W2753" s="24">
        <f>IF($D2753="","",IF($E2753="※编码不在物料档案里","※物料编码不在档案里",IF(N($J2753)&lt;=0,"※出库数量要大于 0",IF($K2753="","※没填去向类型",IF($L2753="","※没填去向矿区",IF(AND($C2753&lt;&gt;"",$C2753&lt;=结账锁),"※日期早于已结账截止日，不能再录",IF(AND($K2753="自用消耗",COUNTIF({"一矿区";"二矿区"},$L2753)=0),"※自用消耗的去向只能是一矿区或二矿区",IF(AND($K2753="对外销售",COUNTIF({"三矿区";"六矿区"},$L2753)=0),"※对外销售的去向只能是三矿区或六矿区",IF(AND($K2753="对外销售",ROUND($Q2753,0)=0),"※外销却没有售价，请填实际售价",IF(AND($K2753="对外销售",$T2753&lt;&gt;"",$T2753&lt;0),"※这一笔外销是亏的，请核对售价",IF(IFERROR(VLOOKUP($D2753,库存台账!$A$5:$Y$1204,24,0),0)&lt;-0.001,"※这个物料账面已经变成负数了，查一下是不是漏记入库","")))))))))))</f>
        <v/>
      </c>
    </row>
    <row r="2754">
      <c r="A2754" s="24">
        <f>IF($D2754="","",COUNTA($D$4:$D2754))</f>
        <v/>
      </c>
      <c r="B2754" s="17" t="n"/>
      <c r="C2754" s="30" t="n"/>
      <c r="D2754" s="17" t="n"/>
      <c r="E2754" s="24">
        <f>IF($D2754="","",IFERROR(VLOOKUP($D2754,物料档案!$A$4:$P$1203,3,0),"※编码不在物料档案里"))</f>
        <v/>
      </c>
      <c r="F2754" s="24">
        <f>IF($D2754="","",IFERROR(VLOOKUP($D2754,物料档案!$A$4:$P$1203,4,0),"※编码不在物料档案里"))</f>
        <v/>
      </c>
      <c r="G2754" s="24">
        <f>IF($D2754="","",IFERROR(VLOOKUP($D2754,物料档案!$A$4:$P$1203,5,0),"※编码不在物料档案里"))</f>
        <v/>
      </c>
      <c r="H2754" s="24">
        <f>IF($D2754="","",IFERROR(VLOOKUP($D2754,物料档案!$A$4:$P$1203,2,0),"※编码不在物料档案里"))</f>
        <v/>
      </c>
      <c r="I2754" s="24">
        <f>IF($D2754="","",IFERROR(VLOOKUP($D2754,物料档案!$A$4:$P$1203,6,0),"※编码不在物料档案里"))</f>
        <v/>
      </c>
      <c r="J2754" s="23" t="n"/>
      <c r="K2754" s="17" t="n"/>
      <c r="L2754" s="17" t="n"/>
      <c r="M2754" s="17" t="n"/>
      <c r="N2754" s="17" t="n"/>
      <c r="O2754" s="26">
        <f>IF($D2754="","",IFERROR(VLOOKUP($D2754,物料档案!$A$4:$P$1203,10,0),0))</f>
        <v/>
      </c>
      <c r="P2754" s="32" t="n"/>
      <c r="Q2754" s="26">
        <f>IF($D2754="","",IF($K2754&lt;&gt;"对外销售",0,ROUND(N($J2754)*IF($P2754="",N($O2754),N($P2754)),0)))</f>
        <v/>
      </c>
      <c r="R2754" s="26">
        <f>IF($D2754="","",IFERROR(VLOOKUP($D2754,库存台账!$A$5:$Y$1204,11,0),0))</f>
        <v/>
      </c>
      <c r="S2754" s="26">
        <f>IF($D2754="","",ROUND(N($J2754)*N($R2754),0))</f>
        <v/>
      </c>
      <c r="T2754" s="26">
        <f>IF($D2754="","",IF($K2754&lt;&gt;"对外销售","",ROUND($Q2754-$S2754,0)))</f>
        <v/>
      </c>
      <c r="U2754" s="17" t="n"/>
      <c r="V2754" s="17" t="n"/>
      <c r="W2754" s="24">
        <f>IF($D2754="","",IF($E2754="※编码不在物料档案里","※物料编码不在档案里",IF(N($J2754)&lt;=0,"※出库数量要大于 0",IF($K2754="","※没填去向类型",IF($L2754="","※没填去向矿区",IF(AND($C2754&lt;&gt;"",$C2754&lt;=结账锁),"※日期早于已结账截止日，不能再录",IF(AND($K2754="自用消耗",COUNTIF({"一矿区";"二矿区"},$L2754)=0),"※自用消耗的去向只能是一矿区或二矿区",IF(AND($K2754="对外销售",COUNTIF({"三矿区";"六矿区"},$L2754)=0),"※对外销售的去向只能是三矿区或六矿区",IF(AND($K2754="对外销售",ROUND($Q2754,0)=0),"※外销却没有售价，请填实际售价",IF(AND($K2754="对外销售",$T2754&lt;&gt;"",$T2754&lt;0),"※这一笔外销是亏的，请核对售价",IF(IFERROR(VLOOKUP($D2754,库存台账!$A$5:$Y$1204,24,0),0)&lt;-0.001,"※这个物料账面已经变成负数了，查一下是不是漏记入库","")))))))))))</f>
        <v/>
      </c>
    </row>
    <row r="2755">
      <c r="A2755" s="24">
        <f>IF($D2755="","",COUNTA($D$4:$D2755))</f>
        <v/>
      </c>
      <c r="B2755" s="17" t="n"/>
      <c r="C2755" s="30" t="n"/>
      <c r="D2755" s="17" t="n"/>
      <c r="E2755" s="24">
        <f>IF($D2755="","",IFERROR(VLOOKUP($D2755,物料档案!$A$4:$P$1203,3,0),"※编码不在物料档案里"))</f>
        <v/>
      </c>
      <c r="F2755" s="24">
        <f>IF($D2755="","",IFERROR(VLOOKUP($D2755,物料档案!$A$4:$P$1203,4,0),"※编码不在物料档案里"))</f>
        <v/>
      </c>
      <c r="G2755" s="24">
        <f>IF($D2755="","",IFERROR(VLOOKUP($D2755,物料档案!$A$4:$P$1203,5,0),"※编码不在物料档案里"))</f>
        <v/>
      </c>
      <c r="H2755" s="24">
        <f>IF($D2755="","",IFERROR(VLOOKUP($D2755,物料档案!$A$4:$P$1203,2,0),"※编码不在物料档案里"))</f>
        <v/>
      </c>
      <c r="I2755" s="24">
        <f>IF($D2755="","",IFERROR(VLOOKUP($D2755,物料档案!$A$4:$P$1203,6,0),"※编码不在物料档案里"))</f>
        <v/>
      </c>
      <c r="J2755" s="23" t="n"/>
      <c r="K2755" s="17" t="n"/>
      <c r="L2755" s="17" t="n"/>
      <c r="M2755" s="17" t="n"/>
      <c r="N2755" s="17" t="n"/>
      <c r="O2755" s="26">
        <f>IF($D2755="","",IFERROR(VLOOKUP($D2755,物料档案!$A$4:$P$1203,10,0),0))</f>
        <v/>
      </c>
      <c r="P2755" s="32" t="n"/>
      <c r="Q2755" s="26">
        <f>IF($D2755="","",IF($K2755&lt;&gt;"对外销售",0,ROUND(N($J2755)*IF($P2755="",N($O2755),N($P2755)),0)))</f>
        <v/>
      </c>
      <c r="R2755" s="26">
        <f>IF($D2755="","",IFERROR(VLOOKUP($D2755,库存台账!$A$5:$Y$1204,11,0),0))</f>
        <v/>
      </c>
      <c r="S2755" s="26">
        <f>IF($D2755="","",ROUND(N($J2755)*N($R2755),0))</f>
        <v/>
      </c>
      <c r="T2755" s="26">
        <f>IF($D2755="","",IF($K2755&lt;&gt;"对外销售","",ROUND($Q2755-$S2755,0)))</f>
        <v/>
      </c>
      <c r="U2755" s="17" t="n"/>
      <c r="V2755" s="17" t="n"/>
      <c r="W2755" s="24">
        <f>IF($D2755="","",IF($E2755="※编码不在物料档案里","※物料编码不在档案里",IF(N($J2755)&lt;=0,"※出库数量要大于 0",IF($K2755="","※没填去向类型",IF($L2755="","※没填去向矿区",IF(AND($C2755&lt;&gt;"",$C2755&lt;=结账锁),"※日期早于已结账截止日，不能再录",IF(AND($K2755="自用消耗",COUNTIF({"一矿区";"二矿区"},$L2755)=0),"※自用消耗的去向只能是一矿区或二矿区",IF(AND($K2755="对外销售",COUNTIF({"三矿区";"六矿区"},$L2755)=0),"※对外销售的去向只能是三矿区或六矿区",IF(AND($K2755="对外销售",ROUND($Q2755,0)=0),"※外销却没有售价，请填实际售价",IF(AND($K2755="对外销售",$T2755&lt;&gt;"",$T2755&lt;0),"※这一笔外销是亏的，请核对售价",IF(IFERROR(VLOOKUP($D2755,库存台账!$A$5:$Y$1204,24,0),0)&lt;-0.001,"※这个物料账面已经变成负数了，查一下是不是漏记入库","")))))))))))</f>
        <v/>
      </c>
    </row>
    <row r="2756">
      <c r="A2756" s="24">
        <f>IF($D2756="","",COUNTA($D$4:$D2756))</f>
        <v/>
      </c>
      <c r="B2756" s="17" t="n"/>
      <c r="C2756" s="30" t="n"/>
      <c r="D2756" s="17" t="n"/>
      <c r="E2756" s="24">
        <f>IF($D2756="","",IFERROR(VLOOKUP($D2756,物料档案!$A$4:$P$1203,3,0),"※编码不在物料档案里"))</f>
        <v/>
      </c>
      <c r="F2756" s="24">
        <f>IF($D2756="","",IFERROR(VLOOKUP($D2756,物料档案!$A$4:$P$1203,4,0),"※编码不在物料档案里"))</f>
        <v/>
      </c>
      <c r="G2756" s="24">
        <f>IF($D2756="","",IFERROR(VLOOKUP($D2756,物料档案!$A$4:$P$1203,5,0),"※编码不在物料档案里"))</f>
        <v/>
      </c>
      <c r="H2756" s="24">
        <f>IF($D2756="","",IFERROR(VLOOKUP($D2756,物料档案!$A$4:$P$1203,2,0),"※编码不在物料档案里"))</f>
        <v/>
      </c>
      <c r="I2756" s="24">
        <f>IF($D2756="","",IFERROR(VLOOKUP($D2756,物料档案!$A$4:$P$1203,6,0),"※编码不在物料档案里"))</f>
        <v/>
      </c>
      <c r="J2756" s="23" t="n"/>
      <c r="K2756" s="17" t="n"/>
      <c r="L2756" s="17" t="n"/>
      <c r="M2756" s="17" t="n"/>
      <c r="N2756" s="17" t="n"/>
      <c r="O2756" s="26">
        <f>IF($D2756="","",IFERROR(VLOOKUP($D2756,物料档案!$A$4:$P$1203,10,0),0))</f>
        <v/>
      </c>
      <c r="P2756" s="32" t="n"/>
      <c r="Q2756" s="26">
        <f>IF($D2756="","",IF($K2756&lt;&gt;"对外销售",0,ROUND(N($J2756)*IF($P2756="",N($O2756),N($P2756)),0)))</f>
        <v/>
      </c>
      <c r="R2756" s="26">
        <f>IF($D2756="","",IFERROR(VLOOKUP($D2756,库存台账!$A$5:$Y$1204,11,0),0))</f>
        <v/>
      </c>
      <c r="S2756" s="26">
        <f>IF($D2756="","",ROUND(N($J2756)*N($R2756),0))</f>
        <v/>
      </c>
      <c r="T2756" s="26">
        <f>IF($D2756="","",IF($K2756&lt;&gt;"对外销售","",ROUND($Q2756-$S2756,0)))</f>
        <v/>
      </c>
      <c r="U2756" s="17" t="n"/>
      <c r="V2756" s="17" t="n"/>
      <c r="W2756" s="24">
        <f>IF($D2756="","",IF($E2756="※编码不在物料档案里","※物料编码不在档案里",IF(N($J2756)&lt;=0,"※出库数量要大于 0",IF($K2756="","※没填去向类型",IF($L2756="","※没填去向矿区",IF(AND($C2756&lt;&gt;"",$C2756&lt;=结账锁),"※日期早于已结账截止日，不能再录",IF(AND($K2756="自用消耗",COUNTIF({"一矿区";"二矿区"},$L2756)=0),"※自用消耗的去向只能是一矿区或二矿区",IF(AND($K2756="对外销售",COUNTIF({"三矿区";"六矿区"},$L2756)=0),"※对外销售的去向只能是三矿区或六矿区",IF(AND($K2756="对外销售",ROUND($Q2756,0)=0),"※外销却没有售价，请填实际售价",IF(AND($K2756="对外销售",$T2756&lt;&gt;"",$T2756&lt;0),"※这一笔外销是亏的，请核对售价",IF(IFERROR(VLOOKUP($D2756,库存台账!$A$5:$Y$1204,24,0),0)&lt;-0.001,"※这个物料账面已经变成负数了，查一下是不是漏记入库","")))))))))))</f>
        <v/>
      </c>
    </row>
    <row r="2757">
      <c r="A2757" s="24">
        <f>IF($D2757="","",COUNTA($D$4:$D2757))</f>
        <v/>
      </c>
      <c r="B2757" s="17" t="n"/>
      <c r="C2757" s="30" t="n"/>
      <c r="D2757" s="17" t="n"/>
      <c r="E2757" s="24">
        <f>IF($D2757="","",IFERROR(VLOOKUP($D2757,物料档案!$A$4:$P$1203,3,0),"※编码不在物料档案里"))</f>
        <v/>
      </c>
      <c r="F2757" s="24">
        <f>IF($D2757="","",IFERROR(VLOOKUP($D2757,物料档案!$A$4:$P$1203,4,0),"※编码不在物料档案里"))</f>
        <v/>
      </c>
      <c r="G2757" s="24">
        <f>IF($D2757="","",IFERROR(VLOOKUP($D2757,物料档案!$A$4:$P$1203,5,0),"※编码不在物料档案里"))</f>
        <v/>
      </c>
      <c r="H2757" s="24">
        <f>IF($D2757="","",IFERROR(VLOOKUP($D2757,物料档案!$A$4:$P$1203,2,0),"※编码不在物料档案里"))</f>
        <v/>
      </c>
      <c r="I2757" s="24">
        <f>IF($D2757="","",IFERROR(VLOOKUP($D2757,物料档案!$A$4:$P$1203,6,0),"※编码不在物料档案里"))</f>
        <v/>
      </c>
      <c r="J2757" s="23" t="n"/>
      <c r="K2757" s="17" t="n"/>
      <c r="L2757" s="17" t="n"/>
      <c r="M2757" s="17" t="n"/>
      <c r="N2757" s="17" t="n"/>
      <c r="O2757" s="26">
        <f>IF($D2757="","",IFERROR(VLOOKUP($D2757,物料档案!$A$4:$P$1203,10,0),0))</f>
        <v/>
      </c>
      <c r="P2757" s="32" t="n"/>
      <c r="Q2757" s="26">
        <f>IF($D2757="","",IF($K2757&lt;&gt;"对外销售",0,ROUND(N($J2757)*IF($P2757="",N($O2757),N($P2757)),0)))</f>
        <v/>
      </c>
      <c r="R2757" s="26">
        <f>IF($D2757="","",IFERROR(VLOOKUP($D2757,库存台账!$A$5:$Y$1204,11,0),0))</f>
        <v/>
      </c>
      <c r="S2757" s="26">
        <f>IF($D2757="","",ROUND(N($J2757)*N($R2757),0))</f>
        <v/>
      </c>
      <c r="T2757" s="26">
        <f>IF($D2757="","",IF($K2757&lt;&gt;"对外销售","",ROUND($Q2757-$S2757,0)))</f>
        <v/>
      </c>
      <c r="U2757" s="17" t="n"/>
      <c r="V2757" s="17" t="n"/>
      <c r="W2757" s="24">
        <f>IF($D2757="","",IF($E2757="※编码不在物料档案里","※物料编码不在档案里",IF(N($J2757)&lt;=0,"※出库数量要大于 0",IF($K2757="","※没填去向类型",IF($L2757="","※没填去向矿区",IF(AND($C2757&lt;&gt;"",$C2757&lt;=结账锁),"※日期早于已结账截止日，不能再录",IF(AND($K2757="自用消耗",COUNTIF({"一矿区";"二矿区"},$L2757)=0),"※自用消耗的去向只能是一矿区或二矿区",IF(AND($K2757="对外销售",COUNTIF({"三矿区";"六矿区"},$L2757)=0),"※对外销售的去向只能是三矿区或六矿区",IF(AND($K2757="对外销售",ROUND($Q2757,0)=0),"※外销却没有售价，请填实际售价",IF(AND($K2757="对外销售",$T2757&lt;&gt;"",$T2757&lt;0),"※这一笔外销是亏的，请核对售价",IF(IFERROR(VLOOKUP($D2757,库存台账!$A$5:$Y$1204,24,0),0)&lt;-0.001,"※这个物料账面已经变成负数了，查一下是不是漏记入库","")))))))))))</f>
        <v/>
      </c>
    </row>
    <row r="2758">
      <c r="A2758" s="24">
        <f>IF($D2758="","",COUNTA($D$4:$D2758))</f>
        <v/>
      </c>
      <c r="B2758" s="17" t="n"/>
      <c r="C2758" s="30" t="n"/>
      <c r="D2758" s="17" t="n"/>
      <c r="E2758" s="24">
        <f>IF($D2758="","",IFERROR(VLOOKUP($D2758,物料档案!$A$4:$P$1203,3,0),"※编码不在物料档案里"))</f>
        <v/>
      </c>
      <c r="F2758" s="24">
        <f>IF($D2758="","",IFERROR(VLOOKUP($D2758,物料档案!$A$4:$P$1203,4,0),"※编码不在物料档案里"))</f>
        <v/>
      </c>
      <c r="G2758" s="24">
        <f>IF($D2758="","",IFERROR(VLOOKUP($D2758,物料档案!$A$4:$P$1203,5,0),"※编码不在物料档案里"))</f>
        <v/>
      </c>
      <c r="H2758" s="24">
        <f>IF($D2758="","",IFERROR(VLOOKUP($D2758,物料档案!$A$4:$P$1203,2,0),"※编码不在物料档案里"))</f>
        <v/>
      </c>
      <c r="I2758" s="24">
        <f>IF($D2758="","",IFERROR(VLOOKUP($D2758,物料档案!$A$4:$P$1203,6,0),"※编码不在物料档案里"))</f>
        <v/>
      </c>
      <c r="J2758" s="23" t="n"/>
      <c r="K2758" s="17" t="n"/>
      <c r="L2758" s="17" t="n"/>
      <c r="M2758" s="17" t="n"/>
      <c r="N2758" s="17" t="n"/>
      <c r="O2758" s="26">
        <f>IF($D2758="","",IFERROR(VLOOKUP($D2758,物料档案!$A$4:$P$1203,10,0),0))</f>
        <v/>
      </c>
      <c r="P2758" s="32" t="n"/>
      <c r="Q2758" s="26">
        <f>IF($D2758="","",IF($K2758&lt;&gt;"对外销售",0,ROUND(N($J2758)*IF($P2758="",N($O2758),N($P2758)),0)))</f>
        <v/>
      </c>
      <c r="R2758" s="26">
        <f>IF($D2758="","",IFERROR(VLOOKUP($D2758,库存台账!$A$5:$Y$1204,11,0),0))</f>
        <v/>
      </c>
      <c r="S2758" s="26">
        <f>IF($D2758="","",ROUND(N($J2758)*N($R2758),0))</f>
        <v/>
      </c>
      <c r="T2758" s="26">
        <f>IF($D2758="","",IF($K2758&lt;&gt;"对外销售","",ROUND($Q2758-$S2758,0)))</f>
        <v/>
      </c>
      <c r="U2758" s="17" t="n"/>
      <c r="V2758" s="17" t="n"/>
      <c r="W2758" s="24">
        <f>IF($D2758="","",IF($E2758="※编码不在物料档案里","※物料编码不在档案里",IF(N($J2758)&lt;=0,"※出库数量要大于 0",IF($K2758="","※没填去向类型",IF($L2758="","※没填去向矿区",IF(AND($C2758&lt;&gt;"",$C2758&lt;=结账锁),"※日期早于已结账截止日，不能再录",IF(AND($K2758="自用消耗",COUNTIF({"一矿区";"二矿区"},$L2758)=0),"※自用消耗的去向只能是一矿区或二矿区",IF(AND($K2758="对外销售",COUNTIF({"三矿区";"六矿区"},$L2758)=0),"※对外销售的去向只能是三矿区或六矿区",IF(AND($K2758="对外销售",ROUND($Q2758,0)=0),"※外销却没有售价，请填实际售价",IF(AND($K2758="对外销售",$T2758&lt;&gt;"",$T2758&lt;0),"※这一笔外销是亏的，请核对售价",IF(IFERROR(VLOOKUP($D2758,库存台账!$A$5:$Y$1204,24,0),0)&lt;-0.001,"※这个物料账面已经变成负数了，查一下是不是漏记入库","")))))))))))</f>
        <v/>
      </c>
    </row>
    <row r="2759">
      <c r="A2759" s="24">
        <f>IF($D2759="","",COUNTA($D$4:$D2759))</f>
        <v/>
      </c>
      <c r="B2759" s="17" t="n"/>
      <c r="C2759" s="30" t="n"/>
      <c r="D2759" s="17" t="n"/>
      <c r="E2759" s="24">
        <f>IF($D2759="","",IFERROR(VLOOKUP($D2759,物料档案!$A$4:$P$1203,3,0),"※编码不在物料档案里"))</f>
        <v/>
      </c>
      <c r="F2759" s="24">
        <f>IF($D2759="","",IFERROR(VLOOKUP($D2759,物料档案!$A$4:$P$1203,4,0),"※编码不在物料档案里"))</f>
        <v/>
      </c>
      <c r="G2759" s="24">
        <f>IF($D2759="","",IFERROR(VLOOKUP($D2759,物料档案!$A$4:$P$1203,5,0),"※编码不在物料档案里"))</f>
        <v/>
      </c>
      <c r="H2759" s="24">
        <f>IF($D2759="","",IFERROR(VLOOKUP($D2759,物料档案!$A$4:$P$1203,2,0),"※编码不在物料档案里"))</f>
        <v/>
      </c>
      <c r="I2759" s="24">
        <f>IF($D2759="","",IFERROR(VLOOKUP($D2759,物料档案!$A$4:$P$1203,6,0),"※编码不在物料档案里"))</f>
        <v/>
      </c>
      <c r="J2759" s="23" t="n"/>
      <c r="K2759" s="17" t="n"/>
      <c r="L2759" s="17" t="n"/>
      <c r="M2759" s="17" t="n"/>
      <c r="N2759" s="17" t="n"/>
      <c r="O2759" s="26">
        <f>IF($D2759="","",IFERROR(VLOOKUP($D2759,物料档案!$A$4:$P$1203,10,0),0))</f>
        <v/>
      </c>
      <c r="P2759" s="32" t="n"/>
      <c r="Q2759" s="26">
        <f>IF($D2759="","",IF($K2759&lt;&gt;"对外销售",0,ROUND(N($J2759)*IF($P2759="",N($O2759),N($P2759)),0)))</f>
        <v/>
      </c>
      <c r="R2759" s="26">
        <f>IF($D2759="","",IFERROR(VLOOKUP($D2759,库存台账!$A$5:$Y$1204,11,0),0))</f>
        <v/>
      </c>
      <c r="S2759" s="26">
        <f>IF($D2759="","",ROUND(N($J2759)*N($R2759),0))</f>
        <v/>
      </c>
      <c r="T2759" s="26">
        <f>IF($D2759="","",IF($K2759&lt;&gt;"对外销售","",ROUND($Q2759-$S2759,0)))</f>
        <v/>
      </c>
      <c r="U2759" s="17" t="n"/>
      <c r="V2759" s="17" t="n"/>
      <c r="W2759" s="24">
        <f>IF($D2759="","",IF($E2759="※编码不在物料档案里","※物料编码不在档案里",IF(N($J2759)&lt;=0,"※出库数量要大于 0",IF($K2759="","※没填去向类型",IF($L2759="","※没填去向矿区",IF(AND($C2759&lt;&gt;"",$C2759&lt;=结账锁),"※日期早于已结账截止日，不能再录",IF(AND($K2759="自用消耗",COUNTIF({"一矿区";"二矿区"},$L2759)=0),"※自用消耗的去向只能是一矿区或二矿区",IF(AND($K2759="对外销售",COUNTIF({"三矿区";"六矿区"},$L2759)=0),"※对外销售的去向只能是三矿区或六矿区",IF(AND($K2759="对外销售",ROUND($Q2759,0)=0),"※外销却没有售价，请填实际售价",IF(AND($K2759="对外销售",$T2759&lt;&gt;"",$T2759&lt;0),"※这一笔外销是亏的，请核对售价",IF(IFERROR(VLOOKUP($D2759,库存台账!$A$5:$Y$1204,24,0),0)&lt;-0.001,"※这个物料账面已经变成负数了，查一下是不是漏记入库","")))))))))))</f>
        <v/>
      </c>
    </row>
    <row r="2760">
      <c r="A2760" s="24">
        <f>IF($D2760="","",COUNTA($D$4:$D2760))</f>
        <v/>
      </c>
      <c r="B2760" s="17" t="n"/>
      <c r="C2760" s="30" t="n"/>
      <c r="D2760" s="17" t="n"/>
      <c r="E2760" s="24">
        <f>IF($D2760="","",IFERROR(VLOOKUP($D2760,物料档案!$A$4:$P$1203,3,0),"※编码不在物料档案里"))</f>
        <v/>
      </c>
      <c r="F2760" s="24">
        <f>IF($D2760="","",IFERROR(VLOOKUP($D2760,物料档案!$A$4:$P$1203,4,0),"※编码不在物料档案里"))</f>
        <v/>
      </c>
      <c r="G2760" s="24">
        <f>IF($D2760="","",IFERROR(VLOOKUP($D2760,物料档案!$A$4:$P$1203,5,0),"※编码不在物料档案里"))</f>
        <v/>
      </c>
      <c r="H2760" s="24">
        <f>IF($D2760="","",IFERROR(VLOOKUP($D2760,物料档案!$A$4:$P$1203,2,0),"※编码不在物料档案里"))</f>
        <v/>
      </c>
      <c r="I2760" s="24">
        <f>IF($D2760="","",IFERROR(VLOOKUP($D2760,物料档案!$A$4:$P$1203,6,0),"※编码不在物料档案里"))</f>
        <v/>
      </c>
      <c r="J2760" s="23" t="n"/>
      <c r="K2760" s="17" t="n"/>
      <c r="L2760" s="17" t="n"/>
      <c r="M2760" s="17" t="n"/>
      <c r="N2760" s="17" t="n"/>
      <c r="O2760" s="26">
        <f>IF($D2760="","",IFERROR(VLOOKUP($D2760,物料档案!$A$4:$P$1203,10,0),0))</f>
        <v/>
      </c>
      <c r="P2760" s="32" t="n"/>
      <c r="Q2760" s="26">
        <f>IF($D2760="","",IF($K2760&lt;&gt;"对外销售",0,ROUND(N($J2760)*IF($P2760="",N($O2760),N($P2760)),0)))</f>
        <v/>
      </c>
      <c r="R2760" s="26">
        <f>IF($D2760="","",IFERROR(VLOOKUP($D2760,库存台账!$A$5:$Y$1204,11,0),0))</f>
        <v/>
      </c>
      <c r="S2760" s="26">
        <f>IF($D2760="","",ROUND(N($J2760)*N($R2760),0))</f>
        <v/>
      </c>
      <c r="T2760" s="26">
        <f>IF($D2760="","",IF($K2760&lt;&gt;"对外销售","",ROUND($Q2760-$S2760,0)))</f>
        <v/>
      </c>
      <c r="U2760" s="17" t="n"/>
      <c r="V2760" s="17" t="n"/>
      <c r="W2760" s="24">
        <f>IF($D2760="","",IF($E2760="※编码不在物料档案里","※物料编码不在档案里",IF(N($J2760)&lt;=0,"※出库数量要大于 0",IF($K2760="","※没填去向类型",IF($L2760="","※没填去向矿区",IF(AND($C2760&lt;&gt;"",$C2760&lt;=结账锁),"※日期早于已结账截止日，不能再录",IF(AND($K2760="自用消耗",COUNTIF({"一矿区";"二矿区"},$L2760)=0),"※自用消耗的去向只能是一矿区或二矿区",IF(AND($K2760="对外销售",COUNTIF({"三矿区";"六矿区"},$L2760)=0),"※对外销售的去向只能是三矿区或六矿区",IF(AND($K2760="对外销售",ROUND($Q2760,0)=0),"※外销却没有售价，请填实际售价",IF(AND($K2760="对外销售",$T2760&lt;&gt;"",$T2760&lt;0),"※这一笔外销是亏的，请核对售价",IF(IFERROR(VLOOKUP($D2760,库存台账!$A$5:$Y$1204,24,0),0)&lt;-0.001,"※这个物料账面已经变成负数了，查一下是不是漏记入库","")))))))))))</f>
        <v/>
      </c>
    </row>
    <row r="2761">
      <c r="A2761" s="24">
        <f>IF($D2761="","",COUNTA($D$4:$D2761))</f>
        <v/>
      </c>
      <c r="B2761" s="17" t="n"/>
      <c r="C2761" s="30" t="n"/>
      <c r="D2761" s="17" t="n"/>
      <c r="E2761" s="24">
        <f>IF($D2761="","",IFERROR(VLOOKUP($D2761,物料档案!$A$4:$P$1203,3,0),"※编码不在物料档案里"))</f>
        <v/>
      </c>
      <c r="F2761" s="24">
        <f>IF($D2761="","",IFERROR(VLOOKUP($D2761,物料档案!$A$4:$P$1203,4,0),"※编码不在物料档案里"))</f>
        <v/>
      </c>
      <c r="G2761" s="24">
        <f>IF($D2761="","",IFERROR(VLOOKUP($D2761,物料档案!$A$4:$P$1203,5,0),"※编码不在物料档案里"))</f>
        <v/>
      </c>
      <c r="H2761" s="24">
        <f>IF($D2761="","",IFERROR(VLOOKUP($D2761,物料档案!$A$4:$P$1203,2,0),"※编码不在物料档案里"))</f>
        <v/>
      </c>
      <c r="I2761" s="24">
        <f>IF($D2761="","",IFERROR(VLOOKUP($D2761,物料档案!$A$4:$P$1203,6,0),"※编码不在物料档案里"))</f>
        <v/>
      </c>
      <c r="J2761" s="23" t="n"/>
      <c r="K2761" s="17" t="n"/>
      <c r="L2761" s="17" t="n"/>
      <c r="M2761" s="17" t="n"/>
      <c r="N2761" s="17" t="n"/>
      <c r="O2761" s="26">
        <f>IF($D2761="","",IFERROR(VLOOKUP($D2761,物料档案!$A$4:$P$1203,10,0),0))</f>
        <v/>
      </c>
      <c r="P2761" s="32" t="n"/>
      <c r="Q2761" s="26">
        <f>IF($D2761="","",IF($K2761&lt;&gt;"对外销售",0,ROUND(N($J2761)*IF($P2761="",N($O2761),N($P2761)),0)))</f>
        <v/>
      </c>
      <c r="R2761" s="26">
        <f>IF($D2761="","",IFERROR(VLOOKUP($D2761,库存台账!$A$5:$Y$1204,11,0),0))</f>
        <v/>
      </c>
      <c r="S2761" s="26">
        <f>IF($D2761="","",ROUND(N($J2761)*N($R2761),0))</f>
        <v/>
      </c>
      <c r="T2761" s="26">
        <f>IF($D2761="","",IF($K2761&lt;&gt;"对外销售","",ROUND($Q2761-$S2761,0)))</f>
        <v/>
      </c>
      <c r="U2761" s="17" t="n"/>
      <c r="V2761" s="17" t="n"/>
      <c r="W2761" s="24">
        <f>IF($D2761="","",IF($E2761="※编码不在物料档案里","※物料编码不在档案里",IF(N($J2761)&lt;=0,"※出库数量要大于 0",IF($K2761="","※没填去向类型",IF($L2761="","※没填去向矿区",IF(AND($C2761&lt;&gt;"",$C2761&lt;=结账锁),"※日期早于已结账截止日，不能再录",IF(AND($K2761="自用消耗",COUNTIF({"一矿区";"二矿区"},$L2761)=0),"※自用消耗的去向只能是一矿区或二矿区",IF(AND($K2761="对外销售",COUNTIF({"三矿区";"六矿区"},$L2761)=0),"※对外销售的去向只能是三矿区或六矿区",IF(AND($K2761="对外销售",ROUND($Q2761,0)=0),"※外销却没有售价，请填实际售价",IF(AND($K2761="对外销售",$T2761&lt;&gt;"",$T2761&lt;0),"※这一笔外销是亏的，请核对售价",IF(IFERROR(VLOOKUP($D2761,库存台账!$A$5:$Y$1204,24,0),0)&lt;-0.001,"※这个物料账面已经变成负数了，查一下是不是漏记入库","")))))))))))</f>
        <v/>
      </c>
    </row>
    <row r="2762">
      <c r="A2762" s="24">
        <f>IF($D2762="","",COUNTA($D$4:$D2762))</f>
        <v/>
      </c>
      <c r="B2762" s="17" t="n"/>
      <c r="C2762" s="30" t="n"/>
      <c r="D2762" s="17" t="n"/>
      <c r="E2762" s="24">
        <f>IF($D2762="","",IFERROR(VLOOKUP($D2762,物料档案!$A$4:$P$1203,3,0),"※编码不在物料档案里"))</f>
        <v/>
      </c>
      <c r="F2762" s="24">
        <f>IF($D2762="","",IFERROR(VLOOKUP($D2762,物料档案!$A$4:$P$1203,4,0),"※编码不在物料档案里"))</f>
        <v/>
      </c>
      <c r="G2762" s="24">
        <f>IF($D2762="","",IFERROR(VLOOKUP($D2762,物料档案!$A$4:$P$1203,5,0),"※编码不在物料档案里"))</f>
        <v/>
      </c>
      <c r="H2762" s="24">
        <f>IF($D2762="","",IFERROR(VLOOKUP($D2762,物料档案!$A$4:$P$1203,2,0),"※编码不在物料档案里"))</f>
        <v/>
      </c>
      <c r="I2762" s="24">
        <f>IF($D2762="","",IFERROR(VLOOKUP($D2762,物料档案!$A$4:$P$1203,6,0),"※编码不在物料档案里"))</f>
        <v/>
      </c>
      <c r="J2762" s="23" t="n"/>
      <c r="K2762" s="17" t="n"/>
      <c r="L2762" s="17" t="n"/>
      <c r="M2762" s="17" t="n"/>
      <c r="N2762" s="17" t="n"/>
      <c r="O2762" s="26">
        <f>IF($D2762="","",IFERROR(VLOOKUP($D2762,物料档案!$A$4:$P$1203,10,0),0))</f>
        <v/>
      </c>
      <c r="P2762" s="32" t="n"/>
      <c r="Q2762" s="26">
        <f>IF($D2762="","",IF($K2762&lt;&gt;"对外销售",0,ROUND(N($J2762)*IF($P2762="",N($O2762),N($P2762)),0)))</f>
        <v/>
      </c>
      <c r="R2762" s="26">
        <f>IF($D2762="","",IFERROR(VLOOKUP($D2762,库存台账!$A$5:$Y$1204,11,0),0))</f>
        <v/>
      </c>
      <c r="S2762" s="26">
        <f>IF($D2762="","",ROUND(N($J2762)*N($R2762),0))</f>
        <v/>
      </c>
      <c r="T2762" s="26">
        <f>IF($D2762="","",IF($K2762&lt;&gt;"对外销售","",ROUND($Q2762-$S2762,0)))</f>
        <v/>
      </c>
      <c r="U2762" s="17" t="n"/>
      <c r="V2762" s="17" t="n"/>
      <c r="W2762" s="24">
        <f>IF($D2762="","",IF($E2762="※编码不在物料档案里","※物料编码不在档案里",IF(N($J2762)&lt;=0,"※出库数量要大于 0",IF($K2762="","※没填去向类型",IF($L2762="","※没填去向矿区",IF(AND($C2762&lt;&gt;"",$C2762&lt;=结账锁),"※日期早于已结账截止日，不能再录",IF(AND($K2762="自用消耗",COUNTIF({"一矿区";"二矿区"},$L2762)=0),"※自用消耗的去向只能是一矿区或二矿区",IF(AND($K2762="对外销售",COUNTIF({"三矿区";"六矿区"},$L2762)=0),"※对外销售的去向只能是三矿区或六矿区",IF(AND($K2762="对外销售",ROUND($Q2762,0)=0),"※外销却没有售价，请填实际售价",IF(AND($K2762="对外销售",$T2762&lt;&gt;"",$T2762&lt;0),"※这一笔外销是亏的，请核对售价",IF(IFERROR(VLOOKUP($D2762,库存台账!$A$5:$Y$1204,24,0),0)&lt;-0.001,"※这个物料账面已经变成负数了，查一下是不是漏记入库","")))))))))))</f>
        <v/>
      </c>
    </row>
    <row r="2763">
      <c r="A2763" s="24">
        <f>IF($D2763="","",COUNTA($D$4:$D2763))</f>
        <v/>
      </c>
      <c r="B2763" s="17" t="n"/>
      <c r="C2763" s="30" t="n"/>
      <c r="D2763" s="17" t="n"/>
      <c r="E2763" s="24">
        <f>IF($D2763="","",IFERROR(VLOOKUP($D2763,物料档案!$A$4:$P$1203,3,0),"※编码不在物料档案里"))</f>
        <v/>
      </c>
      <c r="F2763" s="24">
        <f>IF($D2763="","",IFERROR(VLOOKUP($D2763,物料档案!$A$4:$P$1203,4,0),"※编码不在物料档案里"))</f>
        <v/>
      </c>
      <c r="G2763" s="24">
        <f>IF($D2763="","",IFERROR(VLOOKUP($D2763,物料档案!$A$4:$P$1203,5,0),"※编码不在物料档案里"))</f>
        <v/>
      </c>
      <c r="H2763" s="24">
        <f>IF($D2763="","",IFERROR(VLOOKUP($D2763,物料档案!$A$4:$P$1203,2,0),"※编码不在物料档案里"))</f>
        <v/>
      </c>
      <c r="I2763" s="24">
        <f>IF($D2763="","",IFERROR(VLOOKUP($D2763,物料档案!$A$4:$P$1203,6,0),"※编码不在物料档案里"))</f>
        <v/>
      </c>
      <c r="J2763" s="23" t="n"/>
      <c r="K2763" s="17" t="n"/>
      <c r="L2763" s="17" t="n"/>
      <c r="M2763" s="17" t="n"/>
      <c r="N2763" s="17" t="n"/>
      <c r="O2763" s="26">
        <f>IF($D2763="","",IFERROR(VLOOKUP($D2763,物料档案!$A$4:$P$1203,10,0),0))</f>
        <v/>
      </c>
      <c r="P2763" s="32" t="n"/>
      <c r="Q2763" s="26">
        <f>IF($D2763="","",IF($K2763&lt;&gt;"对外销售",0,ROUND(N($J2763)*IF($P2763="",N($O2763),N($P2763)),0)))</f>
        <v/>
      </c>
      <c r="R2763" s="26">
        <f>IF($D2763="","",IFERROR(VLOOKUP($D2763,库存台账!$A$5:$Y$1204,11,0),0))</f>
        <v/>
      </c>
      <c r="S2763" s="26">
        <f>IF($D2763="","",ROUND(N($J2763)*N($R2763),0))</f>
        <v/>
      </c>
      <c r="T2763" s="26">
        <f>IF($D2763="","",IF($K2763&lt;&gt;"对外销售","",ROUND($Q2763-$S2763,0)))</f>
        <v/>
      </c>
      <c r="U2763" s="17" t="n"/>
      <c r="V2763" s="17" t="n"/>
      <c r="W2763" s="24">
        <f>IF($D2763="","",IF($E2763="※编码不在物料档案里","※物料编码不在档案里",IF(N($J2763)&lt;=0,"※出库数量要大于 0",IF($K2763="","※没填去向类型",IF($L2763="","※没填去向矿区",IF(AND($C2763&lt;&gt;"",$C2763&lt;=结账锁),"※日期早于已结账截止日，不能再录",IF(AND($K2763="自用消耗",COUNTIF({"一矿区";"二矿区"},$L2763)=0),"※自用消耗的去向只能是一矿区或二矿区",IF(AND($K2763="对外销售",COUNTIF({"三矿区";"六矿区"},$L2763)=0),"※对外销售的去向只能是三矿区或六矿区",IF(AND($K2763="对外销售",ROUND($Q2763,0)=0),"※外销却没有售价，请填实际售价",IF(AND($K2763="对外销售",$T2763&lt;&gt;"",$T2763&lt;0),"※这一笔外销是亏的，请核对售价",IF(IFERROR(VLOOKUP($D2763,库存台账!$A$5:$Y$1204,24,0),0)&lt;-0.001,"※这个物料账面已经变成负数了，查一下是不是漏记入库","")))))))))))</f>
        <v/>
      </c>
    </row>
    <row r="2764">
      <c r="A2764" s="24">
        <f>IF($D2764="","",COUNTA($D$4:$D2764))</f>
        <v/>
      </c>
      <c r="B2764" s="17" t="n"/>
      <c r="C2764" s="30" t="n"/>
      <c r="D2764" s="17" t="n"/>
      <c r="E2764" s="24">
        <f>IF($D2764="","",IFERROR(VLOOKUP($D2764,物料档案!$A$4:$P$1203,3,0),"※编码不在物料档案里"))</f>
        <v/>
      </c>
      <c r="F2764" s="24">
        <f>IF($D2764="","",IFERROR(VLOOKUP($D2764,物料档案!$A$4:$P$1203,4,0),"※编码不在物料档案里"))</f>
        <v/>
      </c>
      <c r="G2764" s="24">
        <f>IF($D2764="","",IFERROR(VLOOKUP($D2764,物料档案!$A$4:$P$1203,5,0),"※编码不在物料档案里"))</f>
        <v/>
      </c>
      <c r="H2764" s="24">
        <f>IF($D2764="","",IFERROR(VLOOKUP($D2764,物料档案!$A$4:$P$1203,2,0),"※编码不在物料档案里"))</f>
        <v/>
      </c>
      <c r="I2764" s="24">
        <f>IF($D2764="","",IFERROR(VLOOKUP($D2764,物料档案!$A$4:$P$1203,6,0),"※编码不在物料档案里"))</f>
        <v/>
      </c>
      <c r="J2764" s="23" t="n"/>
      <c r="K2764" s="17" t="n"/>
      <c r="L2764" s="17" t="n"/>
      <c r="M2764" s="17" t="n"/>
      <c r="N2764" s="17" t="n"/>
      <c r="O2764" s="26">
        <f>IF($D2764="","",IFERROR(VLOOKUP($D2764,物料档案!$A$4:$P$1203,10,0),0))</f>
        <v/>
      </c>
      <c r="P2764" s="32" t="n"/>
      <c r="Q2764" s="26">
        <f>IF($D2764="","",IF($K2764&lt;&gt;"对外销售",0,ROUND(N($J2764)*IF($P2764="",N($O2764),N($P2764)),0)))</f>
        <v/>
      </c>
      <c r="R2764" s="26">
        <f>IF($D2764="","",IFERROR(VLOOKUP($D2764,库存台账!$A$5:$Y$1204,11,0),0))</f>
        <v/>
      </c>
      <c r="S2764" s="26">
        <f>IF($D2764="","",ROUND(N($J2764)*N($R2764),0))</f>
        <v/>
      </c>
      <c r="T2764" s="26">
        <f>IF($D2764="","",IF($K2764&lt;&gt;"对外销售","",ROUND($Q2764-$S2764,0)))</f>
        <v/>
      </c>
      <c r="U2764" s="17" t="n"/>
      <c r="V2764" s="17" t="n"/>
      <c r="W2764" s="24">
        <f>IF($D2764="","",IF($E2764="※编码不在物料档案里","※物料编码不在档案里",IF(N($J2764)&lt;=0,"※出库数量要大于 0",IF($K2764="","※没填去向类型",IF($L2764="","※没填去向矿区",IF(AND($C2764&lt;&gt;"",$C2764&lt;=结账锁),"※日期早于已结账截止日，不能再录",IF(AND($K2764="自用消耗",COUNTIF({"一矿区";"二矿区"},$L2764)=0),"※自用消耗的去向只能是一矿区或二矿区",IF(AND($K2764="对外销售",COUNTIF({"三矿区";"六矿区"},$L2764)=0),"※对外销售的去向只能是三矿区或六矿区",IF(AND($K2764="对外销售",ROUND($Q2764,0)=0),"※外销却没有售价，请填实际售价",IF(AND($K2764="对外销售",$T2764&lt;&gt;"",$T2764&lt;0),"※这一笔外销是亏的，请核对售价",IF(IFERROR(VLOOKUP($D2764,库存台账!$A$5:$Y$1204,24,0),0)&lt;-0.001,"※这个物料账面已经变成负数了，查一下是不是漏记入库","")))))))))))</f>
        <v/>
      </c>
    </row>
    <row r="2765">
      <c r="A2765" s="24">
        <f>IF($D2765="","",COUNTA($D$4:$D2765))</f>
        <v/>
      </c>
      <c r="B2765" s="17" t="n"/>
      <c r="C2765" s="30" t="n"/>
      <c r="D2765" s="17" t="n"/>
      <c r="E2765" s="24">
        <f>IF($D2765="","",IFERROR(VLOOKUP($D2765,物料档案!$A$4:$P$1203,3,0),"※编码不在物料档案里"))</f>
        <v/>
      </c>
      <c r="F2765" s="24">
        <f>IF($D2765="","",IFERROR(VLOOKUP($D2765,物料档案!$A$4:$P$1203,4,0),"※编码不在物料档案里"))</f>
        <v/>
      </c>
      <c r="G2765" s="24">
        <f>IF($D2765="","",IFERROR(VLOOKUP($D2765,物料档案!$A$4:$P$1203,5,0),"※编码不在物料档案里"))</f>
        <v/>
      </c>
      <c r="H2765" s="24">
        <f>IF($D2765="","",IFERROR(VLOOKUP($D2765,物料档案!$A$4:$P$1203,2,0),"※编码不在物料档案里"))</f>
        <v/>
      </c>
      <c r="I2765" s="24">
        <f>IF($D2765="","",IFERROR(VLOOKUP($D2765,物料档案!$A$4:$P$1203,6,0),"※编码不在物料档案里"))</f>
        <v/>
      </c>
      <c r="J2765" s="23" t="n"/>
      <c r="K2765" s="17" t="n"/>
      <c r="L2765" s="17" t="n"/>
      <c r="M2765" s="17" t="n"/>
      <c r="N2765" s="17" t="n"/>
      <c r="O2765" s="26">
        <f>IF($D2765="","",IFERROR(VLOOKUP($D2765,物料档案!$A$4:$P$1203,10,0),0))</f>
        <v/>
      </c>
      <c r="P2765" s="32" t="n"/>
      <c r="Q2765" s="26">
        <f>IF($D2765="","",IF($K2765&lt;&gt;"对外销售",0,ROUND(N($J2765)*IF($P2765="",N($O2765),N($P2765)),0)))</f>
        <v/>
      </c>
      <c r="R2765" s="26">
        <f>IF($D2765="","",IFERROR(VLOOKUP($D2765,库存台账!$A$5:$Y$1204,11,0),0))</f>
        <v/>
      </c>
      <c r="S2765" s="26">
        <f>IF($D2765="","",ROUND(N($J2765)*N($R2765),0))</f>
        <v/>
      </c>
      <c r="T2765" s="26">
        <f>IF($D2765="","",IF($K2765&lt;&gt;"对外销售","",ROUND($Q2765-$S2765,0)))</f>
        <v/>
      </c>
      <c r="U2765" s="17" t="n"/>
      <c r="V2765" s="17" t="n"/>
      <c r="W2765" s="24">
        <f>IF($D2765="","",IF($E2765="※编码不在物料档案里","※物料编码不在档案里",IF(N($J2765)&lt;=0,"※出库数量要大于 0",IF($K2765="","※没填去向类型",IF($L2765="","※没填去向矿区",IF(AND($C2765&lt;&gt;"",$C2765&lt;=结账锁),"※日期早于已结账截止日，不能再录",IF(AND($K2765="自用消耗",COUNTIF({"一矿区";"二矿区"},$L2765)=0),"※自用消耗的去向只能是一矿区或二矿区",IF(AND($K2765="对外销售",COUNTIF({"三矿区";"六矿区"},$L2765)=0),"※对外销售的去向只能是三矿区或六矿区",IF(AND($K2765="对外销售",ROUND($Q2765,0)=0),"※外销却没有售价，请填实际售价",IF(AND($K2765="对外销售",$T2765&lt;&gt;"",$T2765&lt;0),"※这一笔外销是亏的，请核对售价",IF(IFERROR(VLOOKUP($D2765,库存台账!$A$5:$Y$1204,24,0),0)&lt;-0.001,"※这个物料账面已经变成负数了，查一下是不是漏记入库","")))))))))))</f>
        <v/>
      </c>
    </row>
    <row r="2766">
      <c r="A2766" s="24">
        <f>IF($D2766="","",COUNTA($D$4:$D2766))</f>
        <v/>
      </c>
      <c r="B2766" s="17" t="n"/>
      <c r="C2766" s="30" t="n"/>
      <c r="D2766" s="17" t="n"/>
      <c r="E2766" s="24">
        <f>IF($D2766="","",IFERROR(VLOOKUP($D2766,物料档案!$A$4:$P$1203,3,0),"※编码不在物料档案里"))</f>
        <v/>
      </c>
      <c r="F2766" s="24">
        <f>IF($D2766="","",IFERROR(VLOOKUP($D2766,物料档案!$A$4:$P$1203,4,0),"※编码不在物料档案里"))</f>
        <v/>
      </c>
      <c r="G2766" s="24">
        <f>IF($D2766="","",IFERROR(VLOOKUP($D2766,物料档案!$A$4:$P$1203,5,0),"※编码不在物料档案里"))</f>
        <v/>
      </c>
      <c r="H2766" s="24">
        <f>IF($D2766="","",IFERROR(VLOOKUP($D2766,物料档案!$A$4:$P$1203,2,0),"※编码不在物料档案里"))</f>
        <v/>
      </c>
      <c r="I2766" s="24">
        <f>IF($D2766="","",IFERROR(VLOOKUP($D2766,物料档案!$A$4:$P$1203,6,0),"※编码不在物料档案里"))</f>
        <v/>
      </c>
      <c r="J2766" s="23" t="n"/>
      <c r="K2766" s="17" t="n"/>
      <c r="L2766" s="17" t="n"/>
      <c r="M2766" s="17" t="n"/>
      <c r="N2766" s="17" t="n"/>
      <c r="O2766" s="26">
        <f>IF($D2766="","",IFERROR(VLOOKUP($D2766,物料档案!$A$4:$P$1203,10,0),0))</f>
        <v/>
      </c>
      <c r="P2766" s="32" t="n"/>
      <c r="Q2766" s="26">
        <f>IF($D2766="","",IF($K2766&lt;&gt;"对外销售",0,ROUND(N($J2766)*IF($P2766="",N($O2766),N($P2766)),0)))</f>
        <v/>
      </c>
      <c r="R2766" s="26">
        <f>IF($D2766="","",IFERROR(VLOOKUP($D2766,库存台账!$A$5:$Y$1204,11,0),0))</f>
        <v/>
      </c>
      <c r="S2766" s="26">
        <f>IF($D2766="","",ROUND(N($J2766)*N($R2766),0))</f>
        <v/>
      </c>
      <c r="T2766" s="26">
        <f>IF($D2766="","",IF($K2766&lt;&gt;"对外销售","",ROUND($Q2766-$S2766,0)))</f>
        <v/>
      </c>
      <c r="U2766" s="17" t="n"/>
      <c r="V2766" s="17" t="n"/>
      <c r="W2766" s="24">
        <f>IF($D2766="","",IF($E2766="※编码不在物料档案里","※物料编码不在档案里",IF(N($J2766)&lt;=0,"※出库数量要大于 0",IF($K2766="","※没填去向类型",IF($L2766="","※没填去向矿区",IF(AND($C2766&lt;&gt;"",$C2766&lt;=结账锁),"※日期早于已结账截止日，不能再录",IF(AND($K2766="自用消耗",COUNTIF({"一矿区";"二矿区"},$L2766)=0),"※自用消耗的去向只能是一矿区或二矿区",IF(AND($K2766="对外销售",COUNTIF({"三矿区";"六矿区"},$L2766)=0),"※对外销售的去向只能是三矿区或六矿区",IF(AND($K2766="对外销售",ROUND($Q2766,0)=0),"※外销却没有售价，请填实际售价",IF(AND($K2766="对外销售",$T2766&lt;&gt;"",$T2766&lt;0),"※这一笔外销是亏的，请核对售价",IF(IFERROR(VLOOKUP($D2766,库存台账!$A$5:$Y$1204,24,0),0)&lt;-0.001,"※这个物料账面已经变成负数了，查一下是不是漏记入库","")))))))))))</f>
        <v/>
      </c>
    </row>
    <row r="2767">
      <c r="A2767" s="24">
        <f>IF($D2767="","",COUNTA($D$4:$D2767))</f>
        <v/>
      </c>
      <c r="B2767" s="17" t="n"/>
      <c r="C2767" s="30" t="n"/>
      <c r="D2767" s="17" t="n"/>
      <c r="E2767" s="24">
        <f>IF($D2767="","",IFERROR(VLOOKUP($D2767,物料档案!$A$4:$P$1203,3,0),"※编码不在物料档案里"))</f>
        <v/>
      </c>
      <c r="F2767" s="24">
        <f>IF($D2767="","",IFERROR(VLOOKUP($D2767,物料档案!$A$4:$P$1203,4,0),"※编码不在物料档案里"))</f>
        <v/>
      </c>
      <c r="G2767" s="24">
        <f>IF($D2767="","",IFERROR(VLOOKUP($D2767,物料档案!$A$4:$P$1203,5,0),"※编码不在物料档案里"))</f>
        <v/>
      </c>
      <c r="H2767" s="24">
        <f>IF($D2767="","",IFERROR(VLOOKUP($D2767,物料档案!$A$4:$P$1203,2,0),"※编码不在物料档案里"))</f>
        <v/>
      </c>
      <c r="I2767" s="24">
        <f>IF($D2767="","",IFERROR(VLOOKUP($D2767,物料档案!$A$4:$P$1203,6,0),"※编码不在物料档案里"))</f>
        <v/>
      </c>
      <c r="J2767" s="23" t="n"/>
      <c r="K2767" s="17" t="n"/>
      <c r="L2767" s="17" t="n"/>
      <c r="M2767" s="17" t="n"/>
      <c r="N2767" s="17" t="n"/>
      <c r="O2767" s="26">
        <f>IF($D2767="","",IFERROR(VLOOKUP($D2767,物料档案!$A$4:$P$1203,10,0),0))</f>
        <v/>
      </c>
      <c r="P2767" s="32" t="n"/>
      <c r="Q2767" s="26">
        <f>IF($D2767="","",IF($K2767&lt;&gt;"对外销售",0,ROUND(N($J2767)*IF($P2767="",N($O2767),N($P2767)),0)))</f>
        <v/>
      </c>
      <c r="R2767" s="26">
        <f>IF($D2767="","",IFERROR(VLOOKUP($D2767,库存台账!$A$5:$Y$1204,11,0),0))</f>
        <v/>
      </c>
      <c r="S2767" s="26">
        <f>IF($D2767="","",ROUND(N($J2767)*N($R2767),0))</f>
        <v/>
      </c>
      <c r="T2767" s="26">
        <f>IF($D2767="","",IF($K2767&lt;&gt;"对外销售","",ROUND($Q2767-$S2767,0)))</f>
        <v/>
      </c>
      <c r="U2767" s="17" t="n"/>
      <c r="V2767" s="17" t="n"/>
      <c r="W2767" s="24">
        <f>IF($D2767="","",IF($E2767="※编码不在物料档案里","※物料编码不在档案里",IF(N($J2767)&lt;=0,"※出库数量要大于 0",IF($K2767="","※没填去向类型",IF($L2767="","※没填去向矿区",IF(AND($C2767&lt;&gt;"",$C2767&lt;=结账锁),"※日期早于已结账截止日，不能再录",IF(AND($K2767="自用消耗",COUNTIF({"一矿区";"二矿区"},$L2767)=0),"※自用消耗的去向只能是一矿区或二矿区",IF(AND($K2767="对外销售",COUNTIF({"三矿区";"六矿区"},$L2767)=0),"※对外销售的去向只能是三矿区或六矿区",IF(AND($K2767="对外销售",ROUND($Q2767,0)=0),"※外销却没有售价，请填实际售价",IF(AND($K2767="对外销售",$T2767&lt;&gt;"",$T2767&lt;0),"※这一笔外销是亏的，请核对售价",IF(IFERROR(VLOOKUP($D2767,库存台账!$A$5:$Y$1204,24,0),0)&lt;-0.001,"※这个物料账面已经变成负数了，查一下是不是漏记入库","")))))))))))</f>
        <v/>
      </c>
    </row>
    <row r="2768">
      <c r="A2768" s="24">
        <f>IF($D2768="","",COUNTA($D$4:$D2768))</f>
        <v/>
      </c>
      <c r="B2768" s="17" t="n"/>
      <c r="C2768" s="30" t="n"/>
      <c r="D2768" s="17" t="n"/>
      <c r="E2768" s="24">
        <f>IF($D2768="","",IFERROR(VLOOKUP($D2768,物料档案!$A$4:$P$1203,3,0),"※编码不在物料档案里"))</f>
        <v/>
      </c>
      <c r="F2768" s="24">
        <f>IF($D2768="","",IFERROR(VLOOKUP($D2768,物料档案!$A$4:$P$1203,4,0),"※编码不在物料档案里"))</f>
        <v/>
      </c>
      <c r="G2768" s="24">
        <f>IF($D2768="","",IFERROR(VLOOKUP($D2768,物料档案!$A$4:$P$1203,5,0),"※编码不在物料档案里"))</f>
        <v/>
      </c>
      <c r="H2768" s="24">
        <f>IF($D2768="","",IFERROR(VLOOKUP($D2768,物料档案!$A$4:$P$1203,2,0),"※编码不在物料档案里"))</f>
        <v/>
      </c>
      <c r="I2768" s="24">
        <f>IF($D2768="","",IFERROR(VLOOKUP($D2768,物料档案!$A$4:$P$1203,6,0),"※编码不在物料档案里"))</f>
        <v/>
      </c>
      <c r="J2768" s="23" t="n"/>
      <c r="K2768" s="17" t="n"/>
      <c r="L2768" s="17" t="n"/>
      <c r="M2768" s="17" t="n"/>
      <c r="N2768" s="17" t="n"/>
      <c r="O2768" s="26">
        <f>IF($D2768="","",IFERROR(VLOOKUP($D2768,物料档案!$A$4:$P$1203,10,0),0))</f>
        <v/>
      </c>
      <c r="P2768" s="32" t="n"/>
      <c r="Q2768" s="26">
        <f>IF($D2768="","",IF($K2768&lt;&gt;"对外销售",0,ROUND(N($J2768)*IF($P2768="",N($O2768),N($P2768)),0)))</f>
        <v/>
      </c>
      <c r="R2768" s="26">
        <f>IF($D2768="","",IFERROR(VLOOKUP($D2768,库存台账!$A$5:$Y$1204,11,0),0))</f>
        <v/>
      </c>
      <c r="S2768" s="26">
        <f>IF($D2768="","",ROUND(N($J2768)*N($R2768),0))</f>
        <v/>
      </c>
      <c r="T2768" s="26">
        <f>IF($D2768="","",IF($K2768&lt;&gt;"对外销售","",ROUND($Q2768-$S2768,0)))</f>
        <v/>
      </c>
      <c r="U2768" s="17" t="n"/>
      <c r="V2768" s="17" t="n"/>
      <c r="W2768" s="24">
        <f>IF($D2768="","",IF($E2768="※编码不在物料档案里","※物料编码不在档案里",IF(N($J2768)&lt;=0,"※出库数量要大于 0",IF($K2768="","※没填去向类型",IF($L2768="","※没填去向矿区",IF(AND($C2768&lt;&gt;"",$C2768&lt;=结账锁),"※日期早于已结账截止日，不能再录",IF(AND($K2768="自用消耗",COUNTIF({"一矿区";"二矿区"},$L2768)=0),"※自用消耗的去向只能是一矿区或二矿区",IF(AND($K2768="对外销售",COUNTIF({"三矿区";"六矿区"},$L2768)=0),"※对外销售的去向只能是三矿区或六矿区",IF(AND($K2768="对外销售",ROUND($Q2768,0)=0),"※外销却没有售价，请填实际售价",IF(AND($K2768="对外销售",$T2768&lt;&gt;"",$T2768&lt;0),"※这一笔外销是亏的，请核对售价",IF(IFERROR(VLOOKUP($D2768,库存台账!$A$5:$Y$1204,24,0),0)&lt;-0.001,"※这个物料账面已经变成负数了，查一下是不是漏记入库","")))))))))))</f>
        <v/>
      </c>
    </row>
    <row r="2769">
      <c r="A2769" s="24">
        <f>IF($D2769="","",COUNTA($D$4:$D2769))</f>
        <v/>
      </c>
      <c r="B2769" s="17" t="n"/>
      <c r="C2769" s="30" t="n"/>
      <c r="D2769" s="17" t="n"/>
      <c r="E2769" s="24">
        <f>IF($D2769="","",IFERROR(VLOOKUP($D2769,物料档案!$A$4:$P$1203,3,0),"※编码不在物料档案里"))</f>
        <v/>
      </c>
      <c r="F2769" s="24">
        <f>IF($D2769="","",IFERROR(VLOOKUP($D2769,物料档案!$A$4:$P$1203,4,0),"※编码不在物料档案里"))</f>
        <v/>
      </c>
      <c r="G2769" s="24">
        <f>IF($D2769="","",IFERROR(VLOOKUP($D2769,物料档案!$A$4:$P$1203,5,0),"※编码不在物料档案里"))</f>
        <v/>
      </c>
      <c r="H2769" s="24">
        <f>IF($D2769="","",IFERROR(VLOOKUP($D2769,物料档案!$A$4:$P$1203,2,0),"※编码不在物料档案里"))</f>
        <v/>
      </c>
      <c r="I2769" s="24">
        <f>IF($D2769="","",IFERROR(VLOOKUP($D2769,物料档案!$A$4:$P$1203,6,0),"※编码不在物料档案里"))</f>
        <v/>
      </c>
      <c r="J2769" s="23" t="n"/>
      <c r="K2769" s="17" t="n"/>
      <c r="L2769" s="17" t="n"/>
      <c r="M2769" s="17" t="n"/>
      <c r="N2769" s="17" t="n"/>
      <c r="O2769" s="26">
        <f>IF($D2769="","",IFERROR(VLOOKUP($D2769,物料档案!$A$4:$P$1203,10,0),0))</f>
        <v/>
      </c>
      <c r="P2769" s="32" t="n"/>
      <c r="Q2769" s="26">
        <f>IF($D2769="","",IF($K2769&lt;&gt;"对外销售",0,ROUND(N($J2769)*IF($P2769="",N($O2769),N($P2769)),0)))</f>
        <v/>
      </c>
      <c r="R2769" s="26">
        <f>IF($D2769="","",IFERROR(VLOOKUP($D2769,库存台账!$A$5:$Y$1204,11,0),0))</f>
        <v/>
      </c>
      <c r="S2769" s="26">
        <f>IF($D2769="","",ROUND(N($J2769)*N($R2769),0))</f>
        <v/>
      </c>
      <c r="T2769" s="26">
        <f>IF($D2769="","",IF($K2769&lt;&gt;"对外销售","",ROUND($Q2769-$S2769,0)))</f>
        <v/>
      </c>
      <c r="U2769" s="17" t="n"/>
      <c r="V2769" s="17" t="n"/>
      <c r="W2769" s="24">
        <f>IF($D2769="","",IF($E2769="※编码不在物料档案里","※物料编码不在档案里",IF(N($J2769)&lt;=0,"※出库数量要大于 0",IF($K2769="","※没填去向类型",IF($L2769="","※没填去向矿区",IF(AND($C2769&lt;&gt;"",$C2769&lt;=结账锁),"※日期早于已结账截止日，不能再录",IF(AND($K2769="自用消耗",COUNTIF({"一矿区";"二矿区"},$L2769)=0),"※自用消耗的去向只能是一矿区或二矿区",IF(AND($K2769="对外销售",COUNTIF({"三矿区";"六矿区"},$L2769)=0),"※对外销售的去向只能是三矿区或六矿区",IF(AND($K2769="对外销售",ROUND($Q2769,0)=0),"※外销却没有售价，请填实际售价",IF(AND($K2769="对外销售",$T2769&lt;&gt;"",$T2769&lt;0),"※这一笔外销是亏的，请核对售价",IF(IFERROR(VLOOKUP($D2769,库存台账!$A$5:$Y$1204,24,0),0)&lt;-0.001,"※这个物料账面已经变成负数了，查一下是不是漏记入库","")))))))))))</f>
        <v/>
      </c>
    </row>
    <row r="2770">
      <c r="A2770" s="24">
        <f>IF($D2770="","",COUNTA($D$4:$D2770))</f>
        <v/>
      </c>
      <c r="B2770" s="17" t="n"/>
      <c r="C2770" s="30" t="n"/>
      <c r="D2770" s="17" t="n"/>
      <c r="E2770" s="24">
        <f>IF($D2770="","",IFERROR(VLOOKUP($D2770,物料档案!$A$4:$P$1203,3,0),"※编码不在物料档案里"))</f>
        <v/>
      </c>
      <c r="F2770" s="24">
        <f>IF($D2770="","",IFERROR(VLOOKUP($D2770,物料档案!$A$4:$P$1203,4,0),"※编码不在物料档案里"))</f>
        <v/>
      </c>
      <c r="G2770" s="24">
        <f>IF($D2770="","",IFERROR(VLOOKUP($D2770,物料档案!$A$4:$P$1203,5,0),"※编码不在物料档案里"))</f>
        <v/>
      </c>
      <c r="H2770" s="24">
        <f>IF($D2770="","",IFERROR(VLOOKUP($D2770,物料档案!$A$4:$P$1203,2,0),"※编码不在物料档案里"))</f>
        <v/>
      </c>
      <c r="I2770" s="24">
        <f>IF($D2770="","",IFERROR(VLOOKUP($D2770,物料档案!$A$4:$P$1203,6,0),"※编码不在物料档案里"))</f>
        <v/>
      </c>
      <c r="J2770" s="23" t="n"/>
      <c r="K2770" s="17" t="n"/>
      <c r="L2770" s="17" t="n"/>
      <c r="M2770" s="17" t="n"/>
      <c r="N2770" s="17" t="n"/>
      <c r="O2770" s="26">
        <f>IF($D2770="","",IFERROR(VLOOKUP($D2770,物料档案!$A$4:$P$1203,10,0),0))</f>
        <v/>
      </c>
      <c r="P2770" s="32" t="n"/>
      <c r="Q2770" s="26">
        <f>IF($D2770="","",IF($K2770&lt;&gt;"对外销售",0,ROUND(N($J2770)*IF($P2770="",N($O2770),N($P2770)),0)))</f>
        <v/>
      </c>
      <c r="R2770" s="26">
        <f>IF($D2770="","",IFERROR(VLOOKUP($D2770,库存台账!$A$5:$Y$1204,11,0),0))</f>
        <v/>
      </c>
      <c r="S2770" s="26">
        <f>IF($D2770="","",ROUND(N($J2770)*N($R2770),0))</f>
        <v/>
      </c>
      <c r="T2770" s="26">
        <f>IF($D2770="","",IF($K2770&lt;&gt;"对外销售","",ROUND($Q2770-$S2770,0)))</f>
        <v/>
      </c>
      <c r="U2770" s="17" t="n"/>
      <c r="V2770" s="17" t="n"/>
      <c r="W2770" s="24">
        <f>IF($D2770="","",IF($E2770="※编码不在物料档案里","※物料编码不在档案里",IF(N($J2770)&lt;=0,"※出库数量要大于 0",IF($K2770="","※没填去向类型",IF($L2770="","※没填去向矿区",IF(AND($C2770&lt;&gt;"",$C2770&lt;=结账锁),"※日期早于已结账截止日，不能再录",IF(AND($K2770="自用消耗",COUNTIF({"一矿区";"二矿区"},$L2770)=0),"※自用消耗的去向只能是一矿区或二矿区",IF(AND($K2770="对外销售",COUNTIF({"三矿区";"六矿区"},$L2770)=0),"※对外销售的去向只能是三矿区或六矿区",IF(AND($K2770="对外销售",ROUND($Q2770,0)=0),"※外销却没有售价，请填实际售价",IF(AND($K2770="对外销售",$T2770&lt;&gt;"",$T2770&lt;0),"※这一笔外销是亏的，请核对售价",IF(IFERROR(VLOOKUP($D2770,库存台账!$A$5:$Y$1204,24,0),0)&lt;-0.001,"※这个物料账面已经变成负数了，查一下是不是漏记入库","")))))))))))</f>
        <v/>
      </c>
    </row>
    <row r="2771">
      <c r="A2771" s="24">
        <f>IF($D2771="","",COUNTA($D$4:$D2771))</f>
        <v/>
      </c>
      <c r="B2771" s="17" t="n"/>
      <c r="C2771" s="30" t="n"/>
      <c r="D2771" s="17" t="n"/>
      <c r="E2771" s="24">
        <f>IF($D2771="","",IFERROR(VLOOKUP($D2771,物料档案!$A$4:$P$1203,3,0),"※编码不在物料档案里"))</f>
        <v/>
      </c>
      <c r="F2771" s="24">
        <f>IF($D2771="","",IFERROR(VLOOKUP($D2771,物料档案!$A$4:$P$1203,4,0),"※编码不在物料档案里"))</f>
        <v/>
      </c>
      <c r="G2771" s="24">
        <f>IF($D2771="","",IFERROR(VLOOKUP($D2771,物料档案!$A$4:$P$1203,5,0),"※编码不在物料档案里"))</f>
        <v/>
      </c>
      <c r="H2771" s="24">
        <f>IF($D2771="","",IFERROR(VLOOKUP($D2771,物料档案!$A$4:$P$1203,2,0),"※编码不在物料档案里"))</f>
        <v/>
      </c>
      <c r="I2771" s="24">
        <f>IF($D2771="","",IFERROR(VLOOKUP($D2771,物料档案!$A$4:$P$1203,6,0),"※编码不在物料档案里"))</f>
        <v/>
      </c>
      <c r="J2771" s="23" t="n"/>
      <c r="K2771" s="17" t="n"/>
      <c r="L2771" s="17" t="n"/>
      <c r="M2771" s="17" t="n"/>
      <c r="N2771" s="17" t="n"/>
      <c r="O2771" s="26">
        <f>IF($D2771="","",IFERROR(VLOOKUP($D2771,物料档案!$A$4:$P$1203,10,0),0))</f>
        <v/>
      </c>
      <c r="P2771" s="32" t="n"/>
      <c r="Q2771" s="26">
        <f>IF($D2771="","",IF($K2771&lt;&gt;"对外销售",0,ROUND(N($J2771)*IF($P2771="",N($O2771),N($P2771)),0)))</f>
        <v/>
      </c>
      <c r="R2771" s="26">
        <f>IF($D2771="","",IFERROR(VLOOKUP($D2771,库存台账!$A$5:$Y$1204,11,0),0))</f>
        <v/>
      </c>
      <c r="S2771" s="26">
        <f>IF($D2771="","",ROUND(N($J2771)*N($R2771),0))</f>
        <v/>
      </c>
      <c r="T2771" s="26">
        <f>IF($D2771="","",IF($K2771&lt;&gt;"对外销售","",ROUND($Q2771-$S2771,0)))</f>
        <v/>
      </c>
      <c r="U2771" s="17" t="n"/>
      <c r="V2771" s="17" t="n"/>
      <c r="W2771" s="24">
        <f>IF($D2771="","",IF($E2771="※编码不在物料档案里","※物料编码不在档案里",IF(N($J2771)&lt;=0,"※出库数量要大于 0",IF($K2771="","※没填去向类型",IF($L2771="","※没填去向矿区",IF(AND($C2771&lt;&gt;"",$C2771&lt;=结账锁),"※日期早于已结账截止日，不能再录",IF(AND($K2771="自用消耗",COUNTIF({"一矿区";"二矿区"},$L2771)=0),"※自用消耗的去向只能是一矿区或二矿区",IF(AND($K2771="对外销售",COUNTIF({"三矿区";"六矿区"},$L2771)=0),"※对外销售的去向只能是三矿区或六矿区",IF(AND($K2771="对外销售",ROUND($Q2771,0)=0),"※外销却没有售价，请填实际售价",IF(AND($K2771="对外销售",$T2771&lt;&gt;"",$T2771&lt;0),"※这一笔外销是亏的，请核对售价",IF(IFERROR(VLOOKUP($D2771,库存台账!$A$5:$Y$1204,24,0),0)&lt;-0.001,"※这个物料账面已经变成负数了，查一下是不是漏记入库","")))))))))))</f>
        <v/>
      </c>
    </row>
    <row r="2772">
      <c r="A2772" s="24">
        <f>IF($D2772="","",COUNTA($D$4:$D2772))</f>
        <v/>
      </c>
      <c r="B2772" s="17" t="n"/>
      <c r="C2772" s="30" t="n"/>
      <c r="D2772" s="17" t="n"/>
      <c r="E2772" s="24">
        <f>IF($D2772="","",IFERROR(VLOOKUP($D2772,物料档案!$A$4:$P$1203,3,0),"※编码不在物料档案里"))</f>
        <v/>
      </c>
      <c r="F2772" s="24">
        <f>IF($D2772="","",IFERROR(VLOOKUP($D2772,物料档案!$A$4:$P$1203,4,0),"※编码不在物料档案里"))</f>
        <v/>
      </c>
      <c r="G2772" s="24">
        <f>IF($D2772="","",IFERROR(VLOOKUP($D2772,物料档案!$A$4:$P$1203,5,0),"※编码不在物料档案里"))</f>
        <v/>
      </c>
      <c r="H2772" s="24">
        <f>IF($D2772="","",IFERROR(VLOOKUP($D2772,物料档案!$A$4:$P$1203,2,0),"※编码不在物料档案里"))</f>
        <v/>
      </c>
      <c r="I2772" s="24">
        <f>IF($D2772="","",IFERROR(VLOOKUP($D2772,物料档案!$A$4:$P$1203,6,0),"※编码不在物料档案里"))</f>
        <v/>
      </c>
      <c r="J2772" s="23" t="n"/>
      <c r="K2772" s="17" t="n"/>
      <c r="L2772" s="17" t="n"/>
      <c r="M2772" s="17" t="n"/>
      <c r="N2772" s="17" t="n"/>
      <c r="O2772" s="26">
        <f>IF($D2772="","",IFERROR(VLOOKUP($D2772,物料档案!$A$4:$P$1203,10,0),0))</f>
        <v/>
      </c>
      <c r="P2772" s="32" t="n"/>
      <c r="Q2772" s="26">
        <f>IF($D2772="","",IF($K2772&lt;&gt;"对外销售",0,ROUND(N($J2772)*IF($P2772="",N($O2772),N($P2772)),0)))</f>
        <v/>
      </c>
      <c r="R2772" s="26">
        <f>IF($D2772="","",IFERROR(VLOOKUP($D2772,库存台账!$A$5:$Y$1204,11,0),0))</f>
        <v/>
      </c>
      <c r="S2772" s="26">
        <f>IF($D2772="","",ROUND(N($J2772)*N($R2772),0))</f>
        <v/>
      </c>
      <c r="T2772" s="26">
        <f>IF($D2772="","",IF($K2772&lt;&gt;"对外销售","",ROUND($Q2772-$S2772,0)))</f>
        <v/>
      </c>
      <c r="U2772" s="17" t="n"/>
      <c r="V2772" s="17" t="n"/>
      <c r="W2772" s="24">
        <f>IF($D2772="","",IF($E2772="※编码不在物料档案里","※物料编码不在档案里",IF(N($J2772)&lt;=0,"※出库数量要大于 0",IF($K2772="","※没填去向类型",IF($L2772="","※没填去向矿区",IF(AND($C2772&lt;&gt;"",$C2772&lt;=结账锁),"※日期早于已结账截止日，不能再录",IF(AND($K2772="自用消耗",COUNTIF({"一矿区";"二矿区"},$L2772)=0),"※自用消耗的去向只能是一矿区或二矿区",IF(AND($K2772="对外销售",COUNTIF({"三矿区";"六矿区"},$L2772)=0),"※对外销售的去向只能是三矿区或六矿区",IF(AND($K2772="对外销售",ROUND($Q2772,0)=0),"※外销却没有售价，请填实际售价",IF(AND($K2772="对外销售",$T2772&lt;&gt;"",$T2772&lt;0),"※这一笔外销是亏的，请核对售价",IF(IFERROR(VLOOKUP($D2772,库存台账!$A$5:$Y$1204,24,0),0)&lt;-0.001,"※这个物料账面已经变成负数了，查一下是不是漏记入库","")))))))))))</f>
        <v/>
      </c>
    </row>
    <row r="2773">
      <c r="A2773" s="24">
        <f>IF($D2773="","",COUNTA($D$4:$D2773))</f>
        <v/>
      </c>
      <c r="B2773" s="17" t="n"/>
      <c r="C2773" s="30" t="n"/>
      <c r="D2773" s="17" t="n"/>
      <c r="E2773" s="24">
        <f>IF($D2773="","",IFERROR(VLOOKUP($D2773,物料档案!$A$4:$P$1203,3,0),"※编码不在物料档案里"))</f>
        <v/>
      </c>
      <c r="F2773" s="24">
        <f>IF($D2773="","",IFERROR(VLOOKUP($D2773,物料档案!$A$4:$P$1203,4,0),"※编码不在物料档案里"))</f>
        <v/>
      </c>
      <c r="G2773" s="24">
        <f>IF($D2773="","",IFERROR(VLOOKUP($D2773,物料档案!$A$4:$P$1203,5,0),"※编码不在物料档案里"))</f>
        <v/>
      </c>
      <c r="H2773" s="24">
        <f>IF($D2773="","",IFERROR(VLOOKUP($D2773,物料档案!$A$4:$P$1203,2,0),"※编码不在物料档案里"))</f>
        <v/>
      </c>
      <c r="I2773" s="24">
        <f>IF($D2773="","",IFERROR(VLOOKUP($D2773,物料档案!$A$4:$P$1203,6,0),"※编码不在物料档案里"))</f>
        <v/>
      </c>
      <c r="J2773" s="23" t="n"/>
      <c r="K2773" s="17" t="n"/>
      <c r="L2773" s="17" t="n"/>
      <c r="M2773" s="17" t="n"/>
      <c r="N2773" s="17" t="n"/>
      <c r="O2773" s="26">
        <f>IF($D2773="","",IFERROR(VLOOKUP($D2773,物料档案!$A$4:$P$1203,10,0),0))</f>
        <v/>
      </c>
      <c r="P2773" s="32" t="n"/>
      <c r="Q2773" s="26">
        <f>IF($D2773="","",IF($K2773&lt;&gt;"对外销售",0,ROUND(N($J2773)*IF($P2773="",N($O2773),N($P2773)),0)))</f>
        <v/>
      </c>
      <c r="R2773" s="26">
        <f>IF($D2773="","",IFERROR(VLOOKUP($D2773,库存台账!$A$5:$Y$1204,11,0),0))</f>
        <v/>
      </c>
      <c r="S2773" s="26">
        <f>IF($D2773="","",ROUND(N($J2773)*N($R2773),0))</f>
        <v/>
      </c>
      <c r="T2773" s="26">
        <f>IF($D2773="","",IF($K2773&lt;&gt;"对外销售","",ROUND($Q2773-$S2773,0)))</f>
        <v/>
      </c>
      <c r="U2773" s="17" t="n"/>
      <c r="V2773" s="17" t="n"/>
      <c r="W2773" s="24">
        <f>IF($D2773="","",IF($E2773="※编码不在物料档案里","※物料编码不在档案里",IF(N($J2773)&lt;=0,"※出库数量要大于 0",IF($K2773="","※没填去向类型",IF($L2773="","※没填去向矿区",IF(AND($C2773&lt;&gt;"",$C2773&lt;=结账锁),"※日期早于已结账截止日，不能再录",IF(AND($K2773="自用消耗",COUNTIF({"一矿区";"二矿区"},$L2773)=0),"※自用消耗的去向只能是一矿区或二矿区",IF(AND($K2773="对外销售",COUNTIF({"三矿区";"六矿区"},$L2773)=0),"※对外销售的去向只能是三矿区或六矿区",IF(AND($K2773="对外销售",ROUND($Q2773,0)=0),"※外销却没有售价，请填实际售价",IF(AND($K2773="对外销售",$T2773&lt;&gt;"",$T2773&lt;0),"※这一笔外销是亏的，请核对售价",IF(IFERROR(VLOOKUP($D2773,库存台账!$A$5:$Y$1204,24,0),0)&lt;-0.001,"※这个物料账面已经变成负数了，查一下是不是漏记入库","")))))))))))</f>
        <v/>
      </c>
    </row>
    <row r="2774">
      <c r="A2774" s="24">
        <f>IF($D2774="","",COUNTA($D$4:$D2774))</f>
        <v/>
      </c>
      <c r="B2774" s="17" t="n"/>
      <c r="C2774" s="30" t="n"/>
      <c r="D2774" s="17" t="n"/>
      <c r="E2774" s="24">
        <f>IF($D2774="","",IFERROR(VLOOKUP($D2774,物料档案!$A$4:$P$1203,3,0),"※编码不在物料档案里"))</f>
        <v/>
      </c>
      <c r="F2774" s="24">
        <f>IF($D2774="","",IFERROR(VLOOKUP($D2774,物料档案!$A$4:$P$1203,4,0),"※编码不在物料档案里"))</f>
        <v/>
      </c>
      <c r="G2774" s="24">
        <f>IF($D2774="","",IFERROR(VLOOKUP($D2774,物料档案!$A$4:$P$1203,5,0),"※编码不在物料档案里"))</f>
        <v/>
      </c>
      <c r="H2774" s="24">
        <f>IF($D2774="","",IFERROR(VLOOKUP($D2774,物料档案!$A$4:$P$1203,2,0),"※编码不在物料档案里"))</f>
        <v/>
      </c>
      <c r="I2774" s="24">
        <f>IF($D2774="","",IFERROR(VLOOKUP($D2774,物料档案!$A$4:$P$1203,6,0),"※编码不在物料档案里"))</f>
        <v/>
      </c>
      <c r="J2774" s="23" t="n"/>
      <c r="K2774" s="17" t="n"/>
      <c r="L2774" s="17" t="n"/>
      <c r="M2774" s="17" t="n"/>
      <c r="N2774" s="17" t="n"/>
      <c r="O2774" s="26">
        <f>IF($D2774="","",IFERROR(VLOOKUP($D2774,物料档案!$A$4:$P$1203,10,0),0))</f>
        <v/>
      </c>
      <c r="P2774" s="32" t="n"/>
      <c r="Q2774" s="26">
        <f>IF($D2774="","",IF($K2774&lt;&gt;"对外销售",0,ROUND(N($J2774)*IF($P2774="",N($O2774),N($P2774)),0)))</f>
        <v/>
      </c>
      <c r="R2774" s="26">
        <f>IF($D2774="","",IFERROR(VLOOKUP($D2774,库存台账!$A$5:$Y$1204,11,0),0))</f>
        <v/>
      </c>
      <c r="S2774" s="26">
        <f>IF($D2774="","",ROUND(N($J2774)*N($R2774),0))</f>
        <v/>
      </c>
      <c r="T2774" s="26">
        <f>IF($D2774="","",IF($K2774&lt;&gt;"对外销售","",ROUND($Q2774-$S2774,0)))</f>
        <v/>
      </c>
      <c r="U2774" s="17" t="n"/>
      <c r="V2774" s="17" t="n"/>
      <c r="W2774" s="24">
        <f>IF($D2774="","",IF($E2774="※编码不在物料档案里","※物料编码不在档案里",IF(N($J2774)&lt;=0,"※出库数量要大于 0",IF($K2774="","※没填去向类型",IF($L2774="","※没填去向矿区",IF(AND($C2774&lt;&gt;"",$C2774&lt;=结账锁),"※日期早于已结账截止日，不能再录",IF(AND($K2774="自用消耗",COUNTIF({"一矿区";"二矿区"},$L2774)=0),"※自用消耗的去向只能是一矿区或二矿区",IF(AND($K2774="对外销售",COUNTIF({"三矿区";"六矿区"},$L2774)=0),"※对外销售的去向只能是三矿区或六矿区",IF(AND($K2774="对外销售",ROUND($Q2774,0)=0),"※外销却没有售价，请填实际售价",IF(AND($K2774="对外销售",$T2774&lt;&gt;"",$T2774&lt;0),"※这一笔外销是亏的，请核对售价",IF(IFERROR(VLOOKUP($D2774,库存台账!$A$5:$Y$1204,24,0),0)&lt;-0.001,"※这个物料账面已经变成负数了，查一下是不是漏记入库","")))))))))))</f>
        <v/>
      </c>
    </row>
    <row r="2775">
      <c r="A2775" s="24">
        <f>IF($D2775="","",COUNTA($D$4:$D2775))</f>
        <v/>
      </c>
      <c r="B2775" s="17" t="n"/>
      <c r="C2775" s="30" t="n"/>
      <c r="D2775" s="17" t="n"/>
      <c r="E2775" s="24">
        <f>IF($D2775="","",IFERROR(VLOOKUP($D2775,物料档案!$A$4:$P$1203,3,0),"※编码不在物料档案里"))</f>
        <v/>
      </c>
      <c r="F2775" s="24">
        <f>IF($D2775="","",IFERROR(VLOOKUP($D2775,物料档案!$A$4:$P$1203,4,0),"※编码不在物料档案里"))</f>
        <v/>
      </c>
      <c r="G2775" s="24">
        <f>IF($D2775="","",IFERROR(VLOOKUP($D2775,物料档案!$A$4:$P$1203,5,0),"※编码不在物料档案里"))</f>
        <v/>
      </c>
      <c r="H2775" s="24">
        <f>IF($D2775="","",IFERROR(VLOOKUP($D2775,物料档案!$A$4:$P$1203,2,0),"※编码不在物料档案里"))</f>
        <v/>
      </c>
      <c r="I2775" s="24">
        <f>IF($D2775="","",IFERROR(VLOOKUP($D2775,物料档案!$A$4:$P$1203,6,0),"※编码不在物料档案里"))</f>
        <v/>
      </c>
      <c r="J2775" s="23" t="n"/>
      <c r="K2775" s="17" t="n"/>
      <c r="L2775" s="17" t="n"/>
      <c r="M2775" s="17" t="n"/>
      <c r="N2775" s="17" t="n"/>
      <c r="O2775" s="26">
        <f>IF($D2775="","",IFERROR(VLOOKUP($D2775,物料档案!$A$4:$P$1203,10,0),0))</f>
        <v/>
      </c>
      <c r="P2775" s="32" t="n"/>
      <c r="Q2775" s="26">
        <f>IF($D2775="","",IF($K2775&lt;&gt;"对外销售",0,ROUND(N($J2775)*IF($P2775="",N($O2775),N($P2775)),0)))</f>
        <v/>
      </c>
      <c r="R2775" s="26">
        <f>IF($D2775="","",IFERROR(VLOOKUP($D2775,库存台账!$A$5:$Y$1204,11,0),0))</f>
        <v/>
      </c>
      <c r="S2775" s="26">
        <f>IF($D2775="","",ROUND(N($J2775)*N($R2775),0))</f>
        <v/>
      </c>
      <c r="T2775" s="26">
        <f>IF($D2775="","",IF($K2775&lt;&gt;"对外销售","",ROUND($Q2775-$S2775,0)))</f>
        <v/>
      </c>
      <c r="U2775" s="17" t="n"/>
      <c r="V2775" s="17" t="n"/>
      <c r="W2775" s="24">
        <f>IF($D2775="","",IF($E2775="※编码不在物料档案里","※物料编码不在档案里",IF(N($J2775)&lt;=0,"※出库数量要大于 0",IF($K2775="","※没填去向类型",IF($L2775="","※没填去向矿区",IF(AND($C2775&lt;&gt;"",$C2775&lt;=结账锁),"※日期早于已结账截止日，不能再录",IF(AND($K2775="自用消耗",COUNTIF({"一矿区";"二矿区"},$L2775)=0),"※自用消耗的去向只能是一矿区或二矿区",IF(AND($K2775="对外销售",COUNTIF({"三矿区";"六矿区"},$L2775)=0),"※对外销售的去向只能是三矿区或六矿区",IF(AND($K2775="对外销售",ROUND($Q2775,0)=0),"※外销却没有售价，请填实际售价",IF(AND($K2775="对外销售",$T2775&lt;&gt;"",$T2775&lt;0),"※这一笔外销是亏的，请核对售价",IF(IFERROR(VLOOKUP($D2775,库存台账!$A$5:$Y$1204,24,0),0)&lt;-0.001,"※这个物料账面已经变成负数了，查一下是不是漏记入库","")))))))))))</f>
        <v/>
      </c>
    </row>
    <row r="2776">
      <c r="A2776" s="24">
        <f>IF($D2776="","",COUNTA($D$4:$D2776))</f>
        <v/>
      </c>
      <c r="B2776" s="17" t="n"/>
      <c r="C2776" s="30" t="n"/>
      <c r="D2776" s="17" t="n"/>
      <c r="E2776" s="24">
        <f>IF($D2776="","",IFERROR(VLOOKUP($D2776,物料档案!$A$4:$P$1203,3,0),"※编码不在物料档案里"))</f>
        <v/>
      </c>
      <c r="F2776" s="24">
        <f>IF($D2776="","",IFERROR(VLOOKUP($D2776,物料档案!$A$4:$P$1203,4,0),"※编码不在物料档案里"))</f>
        <v/>
      </c>
      <c r="G2776" s="24">
        <f>IF($D2776="","",IFERROR(VLOOKUP($D2776,物料档案!$A$4:$P$1203,5,0),"※编码不在物料档案里"))</f>
        <v/>
      </c>
      <c r="H2776" s="24">
        <f>IF($D2776="","",IFERROR(VLOOKUP($D2776,物料档案!$A$4:$P$1203,2,0),"※编码不在物料档案里"))</f>
        <v/>
      </c>
      <c r="I2776" s="24">
        <f>IF($D2776="","",IFERROR(VLOOKUP($D2776,物料档案!$A$4:$P$1203,6,0),"※编码不在物料档案里"))</f>
        <v/>
      </c>
      <c r="J2776" s="23" t="n"/>
      <c r="K2776" s="17" t="n"/>
      <c r="L2776" s="17" t="n"/>
      <c r="M2776" s="17" t="n"/>
      <c r="N2776" s="17" t="n"/>
      <c r="O2776" s="26">
        <f>IF($D2776="","",IFERROR(VLOOKUP($D2776,物料档案!$A$4:$P$1203,10,0),0))</f>
        <v/>
      </c>
      <c r="P2776" s="32" t="n"/>
      <c r="Q2776" s="26">
        <f>IF($D2776="","",IF($K2776&lt;&gt;"对外销售",0,ROUND(N($J2776)*IF($P2776="",N($O2776),N($P2776)),0)))</f>
        <v/>
      </c>
      <c r="R2776" s="26">
        <f>IF($D2776="","",IFERROR(VLOOKUP($D2776,库存台账!$A$5:$Y$1204,11,0),0))</f>
        <v/>
      </c>
      <c r="S2776" s="26">
        <f>IF($D2776="","",ROUND(N($J2776)*N($R2776),0))</f>
        <v/>
      </c>
      <c r="T2776" s="26">
        <f>IF($D2776="","",IF($K2776&lt;&gt;"对外销售","",ROUND($Q2776-$S2776,0)))</f>
        <v/>
      </c>
      <c r="U2776" s="17" t="n"/>
      <c r="V2776" s="17" t="n"/>
      <c r="W2776" s="24">
        <f>IF($D2776="","",IF($E2776="※编码不在物料档案里","※物料编码不在档案里",IF(N($J2776)&lt;=0,"※出库数量要大于 0",IF($K2776="","※没填去向类型",IF($L2776="","※没填去向矿区",IF(AND($C2776&lt;&gt;"",$C2776&lt;=结账锁),"※日期早于已结账截止日，不能再录",IF(AND($K2776="自用消耗",COUNTIF({"一矿区";"二矿区"},$L2776)=0),"※自用消耗的去向只能是一矿区或二矿区",IF(AND($K2776="对外销售",COUNTIF({"三矿区";"六矿区"},$L2776)=0),"※对外销售的去向只能是三矿区或六矿区",IF(AND($K2776="对外销售",ROUND($Q2776,0)=0),"※外销却没有售价，请填实际售价",IF(AND($K2776="对外销售",$T2776&lt;&gt;"",$T2776&lt;0),"※这一笔外销是亏的，请核对售价",IF(IFERROR(VLOOKUP($D2776,库存台账!$A$5:$Y$1204,24,0),0)&lt;-0.001,"※这个物料账面已经变成负数了，查一下是不是漏记入库","")))))))))))</f>
        <v/>
      </c>
    </row>
    <row r="2777">
      <c r="A2777" s="24">
        <f>IF($D2777="","",COUNTA($D$4:$D2777))</f>
        <v/>
      </c>
      <c r="B2777" s="17" t="n"/>
      <c r="C2777" s="30" t="n"/>
      <c r="D2777" s="17" t="n"/>
      <c r="E2777" s="24">
        <f>IF($D2777="","",IFERROR(VLOOKUP($D2777,物料档案!$A$4:$P$1203,3,0),"※编码不在物料档案里"))</f>
        <v/>
      </c>
      <c r="F2777" s="24">
        <f>IF($D2777="","",IFERROR(VLOOKUP($D2777,物料档案!$A$4:$P$1203,4,0),"※编码不在物料档案里"))</f>
        <v/>
      </c>
      <c r="G2777" s="24">
        <f>IF($D2777="","",IFERROR(VLOOKUP($D2777,物料档案!$A$4:$P$1203,5,0),"※编码不在物料档案里"))</f>
        <v/>
      </c>
      <c r="H2777" s="24">
        <f>IF($D2777="","",IFERROR(VLOOKUP($D2777,物料档案!$A$4:$P$1203,2,0),"※编码不在物料档案里"))</f>
        <v/>
      </c>
      <c r="I2777" s="24">
        <f>IF($D2777="","",IFERROR(VLOOKUP($D2777,物料档案!$A$4:$P$1203,6,0),"※编码不在物料档案里"))</f>
        <v/>
      </c>
      <c r="J2777" s="23" t="n"/>
      <c r="K2777" s="17" t="n"/>
      <c r="L2777" s="17" t="n"/>
      <c r="M2777" s="17" t="n"/>
      <c r="N2777" s="17" t="n"/>
      <c r="O2777" s="26">
        <f>IF($D2777="","",IFERROR(VLOOKUP($D2777,物料档案!$A$4:$P$1203,10,0),0))</f>
        <v/>
      </c>
      <c r="P2777" s="32" t="n"/>
      <c r="Q2777" s="26">
        <f>IF($D2777="","",IF($K2777&lt;&gt;"对外销售",0,ROUND(N($J2777)*IF($P2777="",N($O2777),N($P2777)),0)))</f>
        <v/>
      </c>
      <c r="R2777" s="26">
        <f>IF($D2777="","",IFERROR(VLOOKUP($D2777,库存台账!$A$5:$Y$1204,11,0),0))</f>
        <v/>
      </c>
      <c r="S2777" s="26">
        <f>IF($D2777="","",ROUND(N($J2777)*N($R2777),0))</f>
        <v/>
      </c>
      <c r="T2777" s="26">
        <f>IF($D2777="","",IF($K2777&lt;&gt;"对外销售","",ROUND($Q2777-$S2777,0)))</f>
        <v/>
      </c>
      <c r="U2777" s="17" t="n"/>
      <c r="V2777" s="17" t="n"/>
      <c r="W2777" s="24">
        <f>IF($D2777="","",IF($E2777="※编码不在物料档案里","※物料编码不在档案里",IF(N($J2777)&lt;=0,"※出库数量要大于 0",IF($K2777="","※没填去向类型",IF($L2777="","※没填去向矿区",IF(AND($C2777&lt;&gt;"",$C2777&lt;=结账锁),"※日期早于已结账截止日，不能再录",IF(AND($K2777="自用消耗",COUNTIF({"一矿区";"二矿区"},$L2777)=0),"※自用消耗的去向只能是一矿区或二矿区",IF(AND($K2777="对外销售",COUNTIF({"三矿区";"六矿区"},$L2777)=0),"※对外销售的去向只能是三矿区或六矿区",IF(AND($K2777="对外销售",ROUND($Q2777,0)=0),"※外销却没有售价，请填实际售价",IF(AND($K2777="对外销售",$T2777&lt;&gt;"",$T2777&lt;0),"※这一笔外销是亏的，请核对售价",IF(IFERROR(VLOOKUP($D2777,库存台账!$A$5:$Y$1204,24,0),0)&lt;-0.001,"※这个物料账面已经变成负数了，查一下是不是漏记入库","")))))))))))</f>
        <v/>
      </c>
    </row>
    <row r="2778">
      <c r="A2778" s="24">
        <f>IF($D2778="","",COUNTA($D$4:$D2778))</f>
        <v/>
      </c>
      <c r="B2778" s="17" t="n"/>
      <c r="C2778" s="30" t="n"/>
      <c r="D2778" s="17" t="n"/>
      <c r="E2778" s="24">
        <f>IF($D2778="","",IFERROR(VLOOKUP($D2778,物料档案!$A$4:$P$1203,3,0),"※编码不在物料档案里"))</f>
        <v/>
      </c>
      <c r="F2778" s="24">
        <f>IF($D2778="","",IFERROR(VLOOKUP($D2778,物料档案!$A$4:$P$1203,4,0),"※编码不在物料档案里"))</f>
        <v/>
      </c>
      <c r="G2778" s="24">
        <f>IF($D2778="","",IFERROR(VLOOKUP($D2778,物料档案!$A$4:$P$1203,5,0),"※编码不在物料档案里"))</f>
        <v/>
      </c>
      <c r="H2778" s="24">
        <f>IF($D2778="","",IFERROR(VLOOKUP($D2778,物料档案!$A$4:$P$1203,2,0),"※编码不在物料档案里"))</f>
        <v/>
      </c>
      <c r="I2778" s="24">
        <f>IF($D2778="","",IFERROR(VLOOKUP($D2778,物料档案!$A$4:$P$1203,6,0),"※编码不在物料档案里"))</f>
        <v/>
      </c>
      <c r="J2778" s="23" t="n"/>
      <c r="K2778" s="17" t="n"/>
      <c r="L2778" s="17" t="n"/>
      <c r="M2778" s="17" t="n"/>
      <c r="N2778" s="17" t="n"/>
      <c r="O2778" s="26">
        <f>IF($D2778="","",IFERROR(VLOOKUP($D2778,物料档案!$A$4:$P$1203,10,0),0))</f>
        <v/>
      </c>
      <c r="P2778" s="32" t="n"/>
      <c r="Q2778" s="26">
        <f>IF($D2778="","",IF($K2778&lt;&gt;"对外销售",0,ROUND(N($J2778)*IF($P2778="",N($O2778),N($P2778)),0)))</f>
        <v/>
      </c>
      <c r="R2778" s="26">
        <f>IF($D2778="","",IFERROR(VLOOKUP($D2778,库存台账!$A$5:$Y$1204,11,0),0))</f>
        <v/>
      </c>
      <c r="S2778" s="26">
        <f>IF($D2778="","",ROUND(N($J2778)*N($R2778),0))</f>
        <v/>
      </c>
      <c r="T2778" s="26">
        <f>IF($D2778="","",IF($K2778&lt;&gt;"对外销售","",ROUND($Q2778-$S2778,0)))</f>
        <v/>
      </c>
      <c r="U2778" s="17" t="n"/>
      <c r="V2778" s="17" t="n"/>
      <c r="W2778" s="24">
        <f>IF($D2778="","",IF($E2778="※编码不在物料档案里","※物料编码不在档案里",IF(N($J2778)&lt;=0,"※出库数量要大于 0",IF($K2778="","※没填去向类型",IF($L2778="","※没填去向矿区",IF(AND($C2778&lt;&gt;"",$C2778&lt;=结账锁),"※日期早于已结账截止日，不能再录",IF(AND($K2778="自用消耗",COUNTIF({"一矿区";"二矿区"},$L2778)=0),"※自用消耗的去向只能是一矿区或二矿区",IF(AND($K2778="对外销售",COUNTIF({"三矿区";"六矿区"},$L2778)=0),"※对外销售的去向只能是三矿区或六矿区",IF(AND($K2778="对外销售",ROUND($Q2778,0)=0),"※外销却没有售价，请填实际售价",IF(AND($K2778="对外销售",$T2778&lt;&gt;"",$T2778&lt;0),"※这一笔外销是亏的，请核对售价",IF(IFERROR(VLOOKUP($D2778,库存台账!$A$5:$Y$1204,24,0),0)&lt;-0.001,"※这个物料账面已经变成负数了，查一下是不是漏记入库","")))))))))))</f>
        <v/>
      </c>
    </row>
    <row r="2779">
      <c r="A2779" s="24">
        <f>IF($D2779="","",COUNTA($D$4:$D2779))</f>
        <v/>
      </c>
      <c r="B2779" s="17" t="n"/>
      <c r="C2779" s="30" t="n"/>
      <c r="D2779" s="17" t="n"/>
      <c r="E2779" s="24">
        <f>IF($D2779="","",IFERROR(VLOOKUP($D2779,物料档案!$A$4:$P$1203,3,0),"※编码不在物料档案里"))</f>
        <v/>
      </c>
      <c r="F2779" s="24">
        <f>IF($D2779="","",IFERROR(VLOOKUP($D2779,物料档案!$A$4:$P$1203,4,0),"※编码不在物料档案里"))</f>
        <v/>
      </c>
      <c r="G2779" s="24">
        <f>IF($D2779="","",IFERROR(VLOOKUP($D2779,物料档案!$A$4:$P$1203,5,0),"※编码不在物料档案里"))</f>
        <v/>
      </c>
      <c r="H2779" s="24">
        <f>IF($D2779="","",IFERROR(VLOOKUP($D2779,物料档案!$A$4:$P$1203,2,0),"※编码不在物料档案里"))</f>
        <v/>
      </c>
      <c r="I2779" s="24">
        <f>IF($D2779="","",IFERROR(VLOOKUP($D2779,物料档案!$A$4:$P$1203,6,0),"※编码不在物料档案里"))</f>
        <v/>
      </c>
      <c r="J2779" s="23" t="n"/>
      <c r="K2779" s="17" t="n"/>
      <c r="L2779" s="17" t="n"/>
      <c r="M2779" s="17" t="n"/>
      <c r="N2779" s="17" t="n"/>
      <c r="O2779" s="26">
        <f>IF($D2779="","",IFERROR(VLOOKUP($D2779,物料档案!$A$4:$P$1203,10,0),0))</f>
        <v/>
      </c>
      <c r="P2779" s="32" t="n"/>
      <c r="Q2779" s="26">
        <f>IF($D2779="","",IF($K2779&lt;&gt;"对外销售",0,ROUND(N($J2779)*IF($P2779="",N($O2779),N($P2779)),0)))</f>
        <v/>
      </c>
      <c r="R2779" s="26">
        <f>IF($D2779="","",IFERROR(VLOOKUP($D2779,库存台账!$A$5:$Y$1204,11,0),0))</f>
        <v/>
      </c>
      <c r="S2779" s="26">
        <f>IF($D2779="","",ROUND(N($J2779)*N($R2779),0))</f>
        <v/>
      </c>
      <c r="T2779" s="26">
        <f>IF($D2779="","",IF($K2779&lt;&gt;"对外销售","",ROUND($Q2779-$S2779,0)))</f>
        <v/>
      </c>
      <c r="U2779" s="17" t="n"/>
      <c r="V2779" s="17" t="n"/>
      <c r="W2779" s="24">
        <f>IF($D2779="","",IF($E2779="※编码不在物料档案里","※物料编码不在档案里",IF(N($J2779)&lt;=0,"※出库数量要大于 0",IF($K2779="","※没填去向类型",IF($L2779="","※没填去向矿区",IF(AND($C2779&lt;&gt;"",$C2779&lt;=结账锁),"※日期早于已结账截止日，不能再录",IF(AND($K2779="自用消耗",COUNTIF({"一矿区";"二矿区"},$L2779)=0),"※自用消耗的去向只能是一矿区或二矿区",IF(AND($K2779="对外销售",COUNTIF({"三矿区";"六矿区"},$L2779)=0),"※对外销售的去向只能是三矿区或六矿区",IF(AND($K2779="对外销售",ROUND($Q2779,0)=0),"※外销却没有售价，请填实际售价",IF(AND($K2779="对外销售",$T2779&lt;&gt;"",$T2779&lt;0),"※这一笔外销是亏的，请核对售价",IF(IFERROR(VLOOKUP($D2779,库存台账!$A$5:$Y$1204,24,0),0)&lt;-0.001,"※这个物料账面已经变成负数了，查一下是不是漏记入库","")))))))))))</f>
        <v/>
      </c>
    </row>
    <row r="2780">
      <c r="A2780" s="24">
        <f>IF($D2780="","",COUNTA($D$4:$D2780))</f>
        <v/>
      </c>
      <c r="B2780" s="17" t="n"/>
      <c r="C2780" s="30" t="n"/>
      <c r="D2780" s="17" t="n"/>
      <c r="E2780" s="24">
        <f>IF($D2780="","",IFERROR(VLOOKUP($D2780,物料档案!$A$4:$P$1203,3,0),"※编码不在物料档案里"))</f>
        <v/>
      </c>
      <c r="F2780" s="24">
        <f>IF($D2780="","",IFERROR(VLOOKUP($D2780,物料档案!$A$4:$P$1203,4,0),"※编码不在物料档案里"))</f>
        <v/>
      </c>
      <c r="G2780" s="24">
        <f>IF($D2780="","",IFERROR(VLOOKUP($D2780,物料档案!$A$4:$P$1203,5,0),"※编码不在物料档案里"))</f>
        <v/>
      </c>
      <c r="H2780" s="24">
        <f>IF($D2780="","",IFERROR(VLOOKUP($D2780,物料档案!$A$4:$P$1203,2,0),"※编码不在物料档案里"))</f>
        <v/>
      </c>
      <c r="I2780" s="24">
        <f>IF($D2780="","",IFERROR(VLOOKUP($D2780,物料档案!$A$4:$P$1203,6,0),"※编码不在物料档案里"))</f>
        <v/>
      </c>
      <c r="J2780" s="23" t="n"/>
      <c r="K2780" s="17" t="n"/>
      <c r="L2780" s="17" t="n"/>
      <c r="M2780" s="17" t="n"/>
      <c r="N2780" s="17" t="n"/>
      <c r="O2780" s="26">
        <f>IF($D2780="","",IFERROR(VLOOKUP($D2780,物料档案!$A$4:$P$1203,10,0),0))</f>
        <v/>
      </c>
      <c r="P2780" s="32" t="n"/>
      <c r="Q2780" s="26">
        <f>IF($D2780="","",IF($K2780&lt;&gt;"对外销售",0,ROUND(N($J2780)*IF($P2780="",N($O2780),N($P2780)),0)))</f>
        <v/>
      </c>
      <c r="R2780" s="26">
        <f>IF($D2780="","",IFERROR(VLOOKUP($D2780,库存台账!$A$5:$Y$1204,11,0),0))</f>
        <v/>
      </c>
      <c r="S2780" s="26">
        <f>IF($D2780="","",ROUND(N($J2780)*N($R2780),0))</f>
        <v/>
      </c>
      <c r="T2780" s="26">
        <f>IF($D2780="","",IF($K2780&lt;&gt;"对外销售","",ROUND($Q2780-$S2780,0)))</f>
        <v/>
      </c>
      <c r="U2780" s="17" t="n"/>
      <c r="V2780" s="17" t="n"/>
      <c r="W2780" s="24">
        <f>IF($D2780="","",IF($E2780="※编码不在物料档案里","※物料编码不在档案里",IF(N($J2780)&lt;=0,"※出库数量要大于 0",IF($K2780="","※没填去向类型",IF($L2780="","※没填去向矿区",IF(AND($C2780&lt;&gt;"",$C2780&lt;=结账锁),"※日期早于已结账截止日，不能再录",IF(AND($K2780="自用消耗",COUNTIF({"一矿区";"二矿区"},$L2780)=0),"※自用消耗的去向只能是一矿区或二矿区",IF(AND($K2780="对外销售",COUNTIF({"三矿区";"六矿区"},$L2780)=0),"※对外销售的去向只能是三矿区或六矿区",IF(AND($K2780="对外销售",ROUND($Q2780,0)=0),"※外销却没有售价，请填实际售价",IF(AND($K2780="对外销售",$T2780&lt;&gt;"",$T2780&lt;0),"※这一笔外销是亏的，请核对售价",IF(IFERROR(VLOOKUP($D2780,库存台账!$A$5:$Y$1204,24,0),0)&lt;-0.001,"※这个物料账面已经变成负数了，查一下是不是漏记入库","")))))))))))</f>
        <v/>
      </c>
    </row>
    <row r="2781">
      <c r="A2781" s="24">
        <f>IF($D2781="","",COUNTA($D$4:$D2781))</f>
        <v/>
      </c>
      <c r="B2781" s="17" t="n"/>
      <c r="C2781" s="30" t="n"/>
      <c r="D2781" s="17" t="n"/>
      <c r="E2781" s="24">
        <f>IF($D2781="","",IFERROR(VLOOKUP($D2781,物料档案!$A$4:$P$1203,3,0),"※编码不在物料档案里"))</f>
        <v/>
      </c>
      <c r="F2781" s="24">
        <f>IF($D2781="","",IFERROR(VLOOKUP($D2781,物料档案!$A$4:$P$1203,4,0),"※编码不在物料档案里"))</f>
        <v/>
      </c>
      <c r="G2781" s="24">
        <f>IF($D2781="","",IFERROR(VLOOKUP($D2781,物料档案!$A$4:$P$1203,5,0),"※编码不在物料档案里"))</f>
        <v/>
      </c>
      <c r="H2781" s="24">
        <f>IF($D2781="","",IFERROR(VLOOKUP($D2781,物料档案!$A$4:$P$1203,2,0),"※编码不在物料档案里"))</f>
        <v/>
      </c>
      <c r="I2781" s="24">
        <f>IF($D2781="","",IFERROR(VLOOKUP($D2781,物料档案!$A$4:$P$1203,6,0),"※编码不在物料档案里"))</f>
        <v/>
      </c>
      <c r="J2781" s="23" t="n"/>
      <c r="K2781" s="17" t="n"/>
      <c r="L2781" s="17" t="n"/>
      <c r="M2781" s="17" t="n"/>
      <c r="N2781" s="17" t="n"/>
      <c r="O2781" s="26">
        <f>IF($D2781="","",IFERROR(VLOOKUP($D2781,物料档案!$A$4:$P$1203,10,0),0))</f>
        <v/>
      </c>
      <c r="P2781" s="32" t="n"/>
      <c r="Q2781" s="26">
        <f>IF($D2781="","",IF($K2781&lt;&gt;"对外销售",0,ROUND(N($J2781)*IF($P2781="",N($O2781),N($P2781)),0)))</f>
        <v/>
      </c>
      <c r="R2781" s="26">
        <f>IF($D2781="","",IFERROR(VLOOKUP($D2781,库存台账!$A$5:$Y$1204,11,0),0))</f>
        <v/>
      </c>
      <c r="S2781" s="26">
        <f>IF($D2781="","",ROUND(N($J2781)*N($R2781),0))</f>
        <v/>
      </c>
      <c r="T2781" s="26">
        <f>IF($D2781="","",IF($K2781&lt;&gt;"对外销售","",ROUND($Q2781-$S2781,0)))</f>
        <v/>
      </c>
      <c r="U2781" s="17" t="n"/>
      <c r="V2781" s="17" t="n"/>
      <c r="W2781" s="24">
        <f>IF($D2781="","",IF($E2781="※编码不在物料档案里","※物料编码不在档案里",IF(N($J2781)&lt;=0,"※出库数量要大于 0",IF($K2781="","※没填去向类型",IF($L2781="","※没填去向矿区",IF(AND($C2781&lt;&gt;"",$C2781&lt;=结账锁),"※日期早于已结账截止日，不能再录",IF(AND($K2781="自用消耗",COUNTIF({"一矿区";"二矿区"},$L2781)=0),"※自用消耗的去向只能是一矿区或二矿区",IF(AND($K2781="对外销售",COUNTIF({"三矿区";"六矿区"},$L2781)=0),"※对外销售的去向只能是三矿区或六矿区",IF(AND($K2781="对外销售",ROUND($Q2781,0)=0),"※外销却没有售价，请填实际售价",IF(AND($K2781="对外销售",$T2781&lt;&gt;"",$T2781&lt;0),"※这一笔外销是亏的，请核对售价",IF(IFERROR(VLOOKUP($D2781,库存台账!$A$5:$Y$1204,24,0),0)&lt;-0.001,"※这个物料账面已经变成负数了，查一下是不是漏记入库","")))))))))))</f>
        <v/>
      </c>
    </row>
    <row r="2782">
      <c r="A2782" s="24">
        <f>IF($D2782="","",COUNTA($D$4:$D2782))</f>
        <v/>
      </c>
      <c r="B2782" s="17" t="n"/>
      <c r="C2782" s="30" t="n"/>
      <c r="D2782" s="17" t="n"/>
      <c r="E2782" s="24">
        <f>IF($D2782="","",IFERROR(VLOOKUP($D2782,物料档案!$A$4:$P$1203,3,0),"※编码不在物料档案里"))</f>
        <v/>
      </c>
      <c r="F2782" s="24">
        <f>IF($D2782="","",IFERROR(VLOOKUP($D2782,物料档案!$A$4:$P$1203,4,0),"※编码不在物料档案里"))</f>
        <v/>
      </c>
      <c r="G2782" s="24">
        <f>IF($D2782="","",IFERROR(VLOOKUP($D2782,物料档案!$A$4:$P$1203,5,0),"※编码不在物料档案里"))</f>
        <v/>
      </c>
      <c r="H2782" s="24">
        <f>IF($D2782="","",IFERROR(VLOOKUP($D2782,物料档案!$A$4:$P$1203,2,0),"※编码不在物料档案里"))</f>
        <v/>
      </c>
      <c r="I2782" s="24">
        <f>IF($D2782="","",IFERROR(VLOOKUP($D2782,物料档案!$A$4:$P$1203,6,0),"※编码不在物料档案里"))</f>
        <v/>
      </c>
      <c r="J2782" s="23" t="n"/>
      <c r="K2782" s="17" t="n"/>
      <c r="L2782" s="17" t="n"/>
      <c r="M2782" s="17" t="n"/>
      <c r="N2782" s="17" t="n"/>
      <c r="O2782" s="26">
        <f>IF($D2782="","",IFERROR(VLOOKUP($D2782,物料档案!$A$4:$P$1203,10,0),0))</f>
        <v/>
      </c>
      <c r="P2782" s="32" t="n"/>
      <c r="Q2782" s="26">
        <f>IF($D2782="","",IF($K2782&lt;&gt;"对外销售",0,ROUND(N($J2782)*IF($P2782="",N($O2782),N($P2782)),0)))</f>
        <v/>
      </c>
      <c r="R2782" s="26">
        <f>IF($D2782="","",IFERROR(VLOOKUP($D2782,库存台账!$A$5:$Y$1204,11,0),0))</f>
        <v/>
      </c>
      <c r="S2782" s="26">
        <f>IF($D2782="","",ROUND(N($J2782)*N($R2782),0))</f>
        <v/>
      </c>
      <c r="T2782" s="26">
        <f>IF($D2782="","",IF($K2782&lt;&gt;"对外销售","",ROUND($Q2782-$S2782,0)))</f>
        <v/>
      </c>
      <c r="U2782" s="17" t="n"/>
      <c r="V2782" s="17" t="n"/>
      <c r="W2782" s="24">
        <f>IF($D2782="","",IF($E2782="※编码不在物料档案里","※物料编码不在档案里",IF(N($J2782)&lt;=0,"※出库数量要大于 0",IF($K2782="","※没填去向类型",IF($L2782="","※没填去向矿区",IF(AND($C2782&lt;&gt;"",$C2782&lt;=结账锁),"※日期早于已结账截止日，不能再录",IF(AND($K2782="自用消耗",COUNTIF({"一矿区";"二矿区"},$L2782)=0),"※自用消耗的去向只能是一矿区或二矿区",IF(AND($K2782="对外销售",COUNTIF({"三矿区";"六矿区"},$L2782)=0),"※对外销售的去向只能是三矿区或六矿区",IF(AND($K2782="对外销售",ROUND($Q2782,0)=0),"※外销却没有售价，请填实际售价",IF(AND($K2782="对外销售",$T2782&lt;&gt;"",$T2782&lt;0),"※这一笔外销是亏的，请核对售价",IF(IFERROR(VLOOKUP($D2782,库存台账!$A$5:$Y$1204,24,0),0)&lt;-0.001,"※这个物料账面已经变成负数了，查一下是不是漏记入库","")))))))))))</f>
        <v/>
      </c>
    </row>
    <row r="2783">
      <c r="A2783" s="24">
        <f>IF($D2783="","",COUNTA($D$4:$D2783))</f>
        <v/>
      </c>
      <c r="B2783" s="17" t="n"/>
      <c r="C2783" s="30" t="n"/>
      <c r="D2783" s="17" t="n"/>
      <c r="E2783" s="24">
        <f>IF($D2783="","",IFERROR(VLOOKUP($D2783,物料档案!$A$4:$P$1203,3,0),"※编码不在物料档案里"))</f>
        <v/>
      </c>
      <c r="F2783" s="24">
        <f>IF($D2783="","",IFERROR(VLOOKUP($D2783,物料档案!$A$4:$P$1203,4,0),"※编码不在物料档案里"))</f>
        <v/>
      </c>
      <c r="G2783" s="24">
        <f>IF($D2783="","",IFERROR(VLOOKUP($D2783,物料档案!$A$4:$P$1203,5,0),"※编码不在物料档案里"))</f>
        <v/>
      </c>
      <c r="H2783" s="24">
        <f>IF($D2783="","",IFERROR(VLOOKUP($D2783,物料档案!$A$4:$P$1203,2,0),"※编码不在物料档案里"))</f>
        <v/>
      </c>
      <c r="I2783" s="24">
        <f>IF($D2783="","",IFERROR(VLOOKUP($D2783,物料档案!$A$4:$P$1203,6,0),"※编码不在物料档案里"))</f>
        <v/>
      </c>
      <c r="J2783" s="23" t="n"/>
      <c r="K2783" s="17" t="n"/>
      <c r="L2783" s="17" t="n"/>
      <c r="M2783" s="17" t="n"/>
      <c r="N2783" s="17" t="n"/>
      <c r="O2783" s="26">
        <f>IF($D2783="","",IFERROR(VLOOKUP($D2783,物料档案!$A$4:$P$1203,10,0),0))</f>
        <v/>
      </c>
      <c r="P2783" s="32" t="n"/>
      <c r="Q2783" s="26">
        <f>IF($D2783="","",IF($K2783&lt;&gt;"对外销售",0,ROUND(N($J2783)*IF($P2783="",N($O2783),N($P2783)),0)))</f>
        <v/>
      </c>
      <c r="R2783" s="26">
        <f>IF($D2783="","",IFERROR(VLOOKUP($D2783,库存台账!$A$5:$Y$1204,11,0),0))</f>
        <v/>
      </c>
      <c r="S2783" s="26">
        <f>IF($D2783="","",ROUND(N($J2783)*N($R2783),0))</f>
        <v/>
      </c>
      <c r="T2783" s="26">
        <f>IF($D2783="","",IF($K2783&lt;&gt;"对外销售","",ROUND($Q2783-$S2783,0)))</f>
        <v/>
      </c>
      <c r="U2783" s="17" t="n"/>
      <c r="V2783" s="17" t="n"/>
      <c r="W2783" s="24">
        <f>IF($D2783="","",IF($E2783="※编码不在物料档案里","※物料编码不在档案里",IF(N($J2783)&lt;=0,"※出库数量要大于 0",IF($K2783="","※没填去向类型",IF($L2783="","※没填去向矿区",IF(AND($C2783&lt;&gt;"",$C2783&lt;=结账锁),"※日期早于已结账截止日，不能再录",IF(AND($K2783="自用消耗",COUNTIF({"一矿区";"二矿区"},$L2783)=0),"※自用消耗的去向只能是一矿区或二矿区",IF(AND($K2783="对外销售",COUNTIF({"三矿区";"六矿区"},$L2783)=0),"※对外销售的去向只能是三矿区或六矿区",IF(AND($K2783="对外销售",ROUND($Q2783,0)=0),"※外销却没有售价，请填实际售价",IF(AND($K2783="对外销售",$T2783&lt;&gt;"",$T2783&lt;0),"※这一笔外销是亏的，请核对售价",IF(IFERROR(VLOOKUP($D2783,库存台账!$A$5:$Y$1204,24,0),0)&lt;-0.001,"※这个物料账面已经变成负数了，查一下是不是漏记入库","")))))))))))</f>
        <v/>
      </c>
    </row>
    <row r="2784">
      <c r="A2784" s="24">
        <f>IF($D2784="","",COUNTA($D$4:$D2784))</f>
        <v/>
      </c>
      <c r="B2784" s="17" t="n"/>
      <c r="C2784" s="30" t="n"/>
      <c r="D2784" s="17" t="n"/>
      <c r="E2784" s="24">
        <f>IF($D2784="","",IFERROR(VLOOKUP($D2784,物料档案!$A$4:$P$1203,3,0),"※编码不在物料档案里"))</f>
        <v/>
      </c>
      <c r="F2784" s="24">
        <f>IF($D2784="","",IFERROR(VLOOKUP($D2784,物料档案!$A$4:$P$1203,4,0),"※编码不在物料档案里"))</f>
        <v/>
      </c>
      <c r="G2784" s="24">
        <f>IF($D2784="","",IFERROR(VLOOKUP($D2784,物料档案!$A$4:$P$1203,5,0),"※编码不在物料档案里"))</f>
        <v/>
      </c>
      <c r="H2784" s="24">
        <f>IF($D2784="","",IFERROR(VLOOKUP($D2784,物料档案!$A$4:$P$1203,2,0),"※编码不在物料档案里"))</f>
        <v/>
      </c>
      <c r="I2784" s="24">
        <f>IF($D2784="","",IFERROR(VLOOKUP($D2784,物料档案!$A$4:$P$1203,6,0),"※编码不在物料档案里"))</f>
        <v/>
      </c>
      <c r="J2784" s="23" t="n"/>
      <c r="K2784" s="17" t="n"/>
      <c r="L2784" s="17" t="n"/>
      <c r="M2784" s="17" t="n"/>
      <c r="N2784" s="17" t="n"/>
      <c r="O2784" s="26">
        <f>IF($D2784="","",IFERROR(VLOOKUP($D2784,物料档案!$A$4:$P$1203,10,0),0))</f>
        <v/>
      </c>
      <c r="P2784" s="32" t="n"/>
      <c r="Q2784" s="26">
        <f>IF($D2784="","",IF($K2784&lt;&gt;"对外销售",0,ROUND(N($J2784)*IF($P2784="",N($O2784),N($P2784)),0)))</f>
        <v/>
      </c>
      <c r="R2784" s="26">
        <f>IF($D2784="","",IFERROR(VLOOKUP($D2784,库存台账!$A$5:$Y$1204,11,0),0))</f>
        <v/>
      </c>
      <c r="S2784" s="26">
        <f>IF($D2784="","",ROUND(N($J2784)*N($R2784),0))</f>
        <v/>
      </c>
      <c r="T2784" s="26">
        <f>IF($D2784="","",IF($K2784&lt;&gt;"对外销售","",ROUND($Q2784-$S2784,0)))</f>
        <v/>
      </c>
      <c r="U2784" s="17" t="n"/>
      <c r="V2784" s="17" t="n"/>
      <c r="W2784" s="24">
        <f>IF($D2784="","",IF($E2784="※编码不在物料档案里","※物料编码不在档案里",IF(N($J2784)&lt;=0,"※出库数量要大于 0",IF($K2784="","※没填去向类型",IF($L2784="","※没填去向矿区",IF(AND($C2784&lt;&gt;"",$C2784&lt;=结账锁),"※日期早于已结账截止日，不能再录",IF(AND($K2784="自用消耗",COUNTIF({"一矿区";"二矿区"},$L2784)=0),"※自用消耗的去向只能是一矿区或二矿区",IF(AND($K2784="对外销售",COUNTIF({"三矿区";"六矿区"},$L2784)=0),"※对外销售的去向只能是三矿区或六矿区",IF(AND($K2784="对外销售",ROUND($Q2784,0)=0),"※外销却没有售价，请填实际售价",IF(AND($K2784="对外销售",$T2784&lt;&gt;"",$T2784&lt;0),"※这一笔外销是亏的，请核对售价",IF(IFERROR(VLOOKUP($D2784,库存台账!$A$5:$Y$1204,24,0),0)&lt;-0.001,"※这个物料账面已经变成负数了，查一下是不是漏记入库","")))))))))))</f>
        <v/>
      </c>
    </row>
    <row r="2785">
      <c r="A2785" s="24">
        <f>IF($D2785="","",COUNTA($D$4:$D2785))</f>
        <v/>
      </c>
      <c r="B2785" s="17" t="n"/>
      <c r="C2785" s="30" t="n"/>
      <c r="D2785" s="17" t="n"/>
      <c r="E2785" s="24">
        <f>IF($D2785="","",IFERROR(VLOOKUP($D2785,物料档案!$A$4:$P$1203,3,0),"※编码不在物料档案里"))</f>
        <v/>
      </c>
      <c r="F2785" s="24">
        <f>IF($D2785="","",IFERROR(VLOOKUP($D2785,物料档案!$A$4:$P$1203,4,0),"※编码不在物料档案里"))</f>
        <v/>
      </c>
      <c r="G2785" s="24">
        <f>IF($D2785="","",IFERROR(VLOOKUP($D2785,物料档案!$A$4:$P$1203,5,0),"※编码不在物料档案里"))</f>
        <v/>
      </c>
      <c r="H2785" s="24">
        <f>IF($D2785="","",IFERROR(VLOOKUP($D2785,物料档案!$A$4:$P$1203,2,0),"※编码不在物料档案里"))</f>
        <v/>
      </c>
      <c r="I2785" s="24">
        <f>IF($D2785="","",IFERROR(VLOOKUP($D2785,物料档案!$A$4:$P$1203,6,0),"※编码不在物料档案里"))</f>
        <v/>
      </c>
      <c r="J2785" s="23" t="n"/>
      <c r="K2785" s="17" t="n"/>
      <c r="L2785" s="17" t="n"/>
      <c r="M2785" s="17" t="n"/>
      <c r="N2785" s="17" t="n"/>
      <c r="O2785" s="26">
        <f>IF($D2785="","",IFERROR(VLOOKUP($D2785,物料档案!$A$4:$P$1203,10,0),0))</f>
        <v/>
      </c>
      <c r="P2785" s="32" t="n"/>
      <c r="Q2785" s="26">
        <f>IF($D2785="","",IF($K2785&lt;&gt;"对外销售",0,ROUND(N($J2785)*IF($P2785="",N($O2785),N($P2785)),0)))</f>
        <v/>
      </c>
      <c r="R2785" s="26">
        <f>IF($D2785="","",IFERROR(VLOOKUP($D2785,库存台账!$A$5:$Y$1204,11,0),0))</f>
        <v/>
      </c>
      <c r="S2785" s="26">
        <f>IF($D2785="","",ROUND(N($J2785)*N($R2785),0))</f>
        <v/>
      </c>
      <c r="T2785" s="26">
        <f>IF($D2785="","",IF($K2785&lt;&gt;"对外销售","",ROUND($Q2785-$S2785,0)))</f>
        <v/>
      </c>
      <c r="U2785" s="17" t="n"/>
      <c r="V2785" s="17" t="n"/>
      <c r="W2785" s="24">
        <f>IF($D2785="","",IF($E2785="※编码不在物料档案里","※物料编码不在档案里",IF(N($J2785)&lt;=0,"※出库数量要大于 0",IF($K2785="","※没填去向类型",IF($L2785="","※没填去向矿区",IF(AND($C2785&lt;&gt;"",$C2785&lt;=结账锁),"※日期早于已结账截止日，不能再录",IF(AND($K2785="自用消耗",COUNTIF({"一矿区";"二矿区"},$L2785)=0),"※自用消耗的去向只能是一矿区或二矿区",IF(AND($K2785="对外销售",COUNTIF({"三矿区";"六矿区"},$L2785)=0),"※对外销售的去向只能是三矿区或六矿区",IF(AND($K2785="对外销售",ROUND($Q2785,0)=0),"※外销却没有售价，请填实际售价",IF(AND($K2785="对外销售",$T2785&lt;&gt;"",$T2785&lt;0),"※这一笔外销是亏的，请核对售价",IF(IFERROR(VLOOKUP($D2785,库存台账!$A$5:$Y$1204,24,0),0)&lt;-0.001,"※这个物料账面已经变成负数了，查一下是不是漏记入库","")))))))))))</f>
        <v/>
      </c>
    </row>
    <row r="2786">
      <c r="A2786" s="24">
        <f>IF($D2786="","",COUNTA($D$4:$D2786))</f>
        <v/>
      </c>
      <c r="B2786" s="17" t="n"/>
      <c r="C2786" s="30" t="n"/>
      <c r="D2786" s="17" t="n"/>
      <c r="E2786" s="24">
        <f>IF($D2786="","",IFERROR(VLOOKUP($D2786,物料档案!$A$4:$P$1203,3,0),"※编码不在物料档案里"))</f>
        <v/>
      </c>
      <c r="F2786" s="24">
        <f>IF($D2786="","",IFERROR(VLOOKUP($D2786,物料档案!$A$4:$P$1203,4,0),"※编码不在物料档案里"))</f>
        <v/>
      </c>
      <c r="G2786" s="24">
        <f>IF($D2786="","",IFERROR(VLOOKUP($D2786,物料档案!$A$4:$P$1203,5,0),"※编码不在物料档案里"))</f>
        <v/>
      </c>
      <c r="H2786" s="24">
        <f>IF($D2786="","",IFERROR(VLOOKUP($D2786,物料档案!$A$4:$P$1203,2,0),"※编码不在物料档案里"))</f>
        <v/>
      </c>
      <c r="I2786" s="24">
        <f>IF($D2786="","",IFERROR(VLOOKUP($D2786,物料档案!$A$4:$P$1203,6,0),"※编码不在物料档案里"))</f>
        <v/>
      </c>
      <c r="J2786" s="23" t="n"/>
      <c r="K2786" s="17" t="n"/>
      <c r="L2786" s="17" t="n"/>
      <c r="M2786" s="17" t="n"/>
      <c r="N2786" s="17" t="n"/>
      <c r="O2786" s="26">
        <f>IF($D2786="","",IFERROR(VLOOKUP($D2786,物料档案!$A$4:$P$1203,10,0),0))</f>
        <v/>
      </c>
      <c r="P2786" s="32" t="n"/>
      <c r="Q2786" s="26">
        <f>IF($D2786="","",IF($K2786&lt;&gt;"对外销售",0,ROUND(N($J2786)*IF($P2786="",N($O2786),N($P2786)),0)))</f>
        <v/>
      </c>
      <c r="R2786" s="26">
        <f>IF($D2786="","",IFERROR(VLOOKUP($D2786,库存台账!$A$5:$Y$1204,11,0),0))</f>
        <v/>
      </c>
      <c r="S2786" s="26">
        <f>IF($D2786="","",ROUND(N($J2786)*N($R2786),0))</f>
        <v/>
      </c>
      <c r="T2786" s="26">
        <f>IF($D2786="","",IF($K2786&lt;&gt;"对外销售","",ROUND($Q2786-$S2786,0)))</f>
        <v/>
      </c>
      <c r="U2786" s="17" t="n"/>
      <c r="V2786" s="17" t="n"/>
      <c r="W2786" s="24">
        <f>IF($D2786="","",IF($E2786="※编码不在物料档案里","※物料编码不在档案里",IF(N($J2786)&lt;=0,"※出库数量要大于 0",IF($K2786="","※没填去向类型",IF($L2786="","※没填去向矿区",IF(AND($C2786&lt;&gt;"",$C2786&lt;=结账锁),"※日期早于已结账截止日，不能再录",IF(AND($K2786="自用消耗",COUNTIF({"一矿区";"二矿区"},$L2786)=0),"※自用消耗的去向只能是一矿区或二矿区",IF(AND($K2786="对外销售",COUNTIF({"三矿区";"六矿区"},$L2786)=0),"※对外销售的去向只能是三矿区或六矿区",IF(AND($K2786="对外销售",ROUND($Q2786,0)=0),"※外销却没有售价，请填实际售价",IF(AND($K2786="对外销售",$T2786&lt;&gt;"",$T2786&lt;0),"※这一笔外销是亏的，请核对售价",IF(IFERROR(VLOOKUP($D2786,库存台账!$A$5:$Y$1204,24,0),0)&lt;-0.001,"※这个物料账面已经变成负数了，查一下是不是漏记入库","")))))))))))</f>
        <v/>
      </c>
    </row>
    <row r="2787">
      <c r="A2787" s="24">
        <f>IF($D2787="","",COUNTA($D$4:$D2787))</f>
        <v/>
      </c>
      <c r="B2787" s="17" t="n"/>
      <c r="C2787" s="30" t="n"/>
      <c r="D2787" s="17" t="n"/>
      <c r="E2787" s="24">
        <f>IF($D2787="","",IFERROR(VLOOKUP($D2787,物料档案!$A$4:$P$1203,3,0),"※编码不在物料档案里"))</f>
        <v/>
      </c>
      <c r="F2787" s="24">
        <f>IF($D2787="","",IFERROR(VLOOKUP($D2787,物料档案!$A$4:$P$1203,4,0),"※编码不在物料档案里"))</f>
        <v/>
      </c>
      <c r="G2787" s="24">
        <f>IF($D2787="","",IFERROR(VLOOKUP($D2787,物料档案!$A$4:$P$1203,5,0),"※编码不在物料档案里"))</f>
        <v/>
      </c>
      <c r="H2787" s="24">
        <f>IF($D2787="","",IFERROR(VLOOKUP($D2787,物料档案!$A$4:$P$1203,2,0),"※编码不在物料档案里"))</f>
        <v/>
      </c>
      <c r="I2787" s="24">
        <f>IF($D2787="","",IFERROR(VLOOKUP($D2787,物料档案!$A$4:$P$1203,6,0),"※编码不在物料档案里"))</f>
        <v/>
      </c>
      <c r="J2787" s="23" t="n"/>
      <c r="K2787" s="17" t="n"/>
      <c r="L2787" s="17" t="n"/>
      <c r="M2787" s="17" t="n"/>
      <c r="N2787" s="17" t="n"/>
      <c r="O2787" s="26">
        <f>IF($D2787="","",IFERROR(VLOOKUP($D2787,物料档案!$A$4:$P$1203,10,0),0))</f>
        <v/>
      </c>
      <c r="P2787" s="32" t="n"/>
      <c r="Q2787" s="26">
        <f>IF($D2787="","",IF($K2787&lt;&gt;"对外销售",0,ROUND(N($J2787)*IF($P2787="",N($O2787),N($P2787)),0)))</f>
        <v/>
      </c>
      <c r="R2787" s="26">
        <f>IF($D2787="","",IFERROR(VLOOKUP($D2787,库存台账!$A$5:$Y$1204,11,0),0))</f>
        <v/>
      </c>
      <c r="S2787" s="26">
        <f>IF($D2787="","",ROUND(N($J2787)*N($R2787),0))</f>
        <v/>
      </c>
      <c r="T2787" s="26">
        <f>IF($D2787="","",IF($K2787&lt;&gt;"对外销售","",ROUND($Q2787-$S2787,0)))</f>
        <v/>
      </c>
      <c r="U2787" s="17" t="n"/>
      <c r="V2787" s="17" t="n"/>
      <c r="W2787" s="24">
        <f>IF($D2787="","",IF($E2787="※编码不在物料档案里","※物料编码不在档案里",IF(N($J2787)&lt;=0,"※出库数量要大于 0",IF($K2787="","※没填去向类型",IF($L2787="","※没填去向矿区",IF(AND($C2787&lt;&gt;"",$C2787&lt;=结账锁),"※日期早于已结账截止日，不能再录",IF(AND($K2787="自用消耗",COUNTIF({"一矿区";"二矿区"},$L2787)=0),"※自用消耗的去向只能是一矿区或二矿区",IF(AND($K2787="对外销售",COUNTIF({"三矿区";"六矿区"},$L2787)=0),"※对外销售的去向只能是三矿区或六矿区",IF(AND($K2787="对外销售",ROUND($Q2787,0)=0),"※外销却没有售价，请填实际售价",IF(AND($K2787="对外销售",$T2787&lt;&gt;"",$T2787&lt;0),"※这一笔外销是亏的，请核对售价",IF(IFERROR(VLOOKUP($D2787,库存台账!$A$5:$Y$1204,24,0),0)&lt;-0.001,"※这个物料账面已经变成负数了，查一下是不是漏记入库","")))))))))))</f>
        <v/>
      </c>
    </row>
    <row r="2788">
      <c r="A2788" s="24">
        <f>IF($D2788="","",COUNTA($D$4:$D2788))</f>
        <v/>
      </c>
      <c r="B2788" s="17" t="n"/>
      <c r="C2788" s="30" t="n"/>
      <c r="D2788" s="17" t="n"/>
      <c r="E2788" s="24">
        <f>IF($D2788="","",IFERROR(VLOOKUP($D2788,物料档案!$A$4:$P$1203,3,0),"※编码不在物料档案里"))</f>
        <v/>
      </c>
      <c r="F2788" s="24">
        <f>IF($D2788="","",IFERROR(VLOOKUP($D2788,物料档案!$A$4:$P$1203,4,0),"※编码不在物料档案里"))</f>
        <v/>
      </c>
      <c r="G2788" s="24">
        <f>IF($D2788="","",IFERROR(VLOOKUP($D2788,物料档案!$A$4:$P$1203,5,0),"※编码不在物料档案里"))</f>
        <v/>
      </c>
      <c r="H2788" s="24">
        <f>IF($D2788="","",IFERROR(VLOOKUP($D2788,物料档案!$A$4:$P$1203,2,0),"※编码不在物料档案里"))</f>
        <v/>
      </c>
      <c r="I2788" s="24">
        <f>IF($D2788="","",IFERROR(VLOOKUP($D2788,物料档案!$A$4:$P$1203,6,0),"※编码不在物料档案里"))</f>
        <v/>
      </c>
      <c r="J2788" s="23" t="n"/>
      <c r="K2788" s="17" t="n"/>
      <c r="L2788" s="17" t="n"/>
      <c r="M2788" s="17" t="n"/>
      <c r="N2788" s="17" t="n"/>
      <c r="O2788" s="26">
        <f>IF($D2788="","",IFERROR(VLOOKUP($D2788,物料档案!$A$4:$P$1203,10,0),0))</f>
        <v/>
      </c>
      <c r="P2788" s="32" t="n"/>
      <c r="Q2788" s="26">
        <f>IF($D2788="","",IF($K2788&lt;&gt;"对外销售",0,ROUND(N($J2788)*IF($P2788="",N($O2788),N($P2788)),0)))</f>
        <v/>
      </c>
      <c r="R2788" s="26">
        <f>IF($D2788="","",IFERROR(VLOOKUP($D2788,库存台账!$A$5:$Y$1204,11,0),0))</f>
        <v/>
      </c>
      <c r="S2788" s="26">
        <f>IF($D2788="","",ROUND(N($J2788)*N($R2788),0))</f>
        <v/>
      </c>
      <c r="T2788" s="26">
        <f>IF($D2788="","",IF($K2788&lt;&gt;"对外销售","",ROUND($Q2788-$S2788,0)))</f>
        <v/>
      </c>
      <c r="U2788" s="17" t="n"/>
      <c r="V2788" s="17" t="n"/>
      <c r="W2788" s="24">
        <f>IF($D2788="","",IF($E2788="※编码不在物料档案里","※物料编码不在档案里",IF(N($J2788)&lt;=0,"※出库数量要大于 0",IF($K2788="","※没填去向类型",IF($L2788="","※没填去向矿区",IF(AND($C2788&lt;&gt;"",$C2788&lt;=结账锁),"※日期早于已结账截止日，不能再录",IF(AND($K2788="自用消耗",COUNTIF({"一矿区";"二矿区"},$L2788)=0),"※自用消耗的去向只能是一矿区或二矿区",IF(AND($K2788="对外销售",COUNTIF({"三矿区";"六矿区"},$L2788)=0),"※对外销售的去向只能是三矿区或六矿区",IF(AND($K2788="对外销售",ROUND($Q2788,0)=0),"※外销却没有售价，请填实际售价",IF(AND($K2788="对外销售",$T2788&lt;&gt;"",$T2788&lt;0),"※这一笔外销是亏的，请核对售价",IF(IFERROR(VLOOKUP($D2788,库存台账!$A$5:$Y$1204,24,0),0)&lt;-0.001,"※这个物料账面已经变成负数了，查一下是不是漏记入库","")))))))))))</f>
        <v/>
      </c>
    </row>
    <row r="2789">
      <c r="A2789" s="24">
        <f>IF($D2789="","",COUNTA($D$4:$D2789))</f>
        <v/>
      </c>
      <c r="B2789" s="17" t="n"/>
      <c r="C2789" s="30" t="n"/>
      <c r="D2789" s="17" t="n"/>
      <c r="E2789" s="24">
        <f>IF($D2789="","",IFERROR(VLOOKUP($D2789,物料档案!$A$4:$P$1203,3,0),"※编码不在物料档案里"))</f>
        <v/>
      </c>
      <c r="F2789" s="24">
        <f>IF($D2789="","",IFERROR(VLOOKUP($D2789,物料档案!$A$4:$P$1203,4,0),"※编码不在物料档案里"))</f>
        <v/>
      </c>
      <c r="G2789" s="24">
        <f>IF($D2789="","",IFERROR(VLOOKUP($D2789,物料档案!$A$4:$P$1203,5,0),"※编码不在物料档案里"))</f>
        <v/>
      </c>
      <c r="H2789" s="24">
        <f>IF($D2789="","",IFERROR(VLOOKUP($D2789,物料档案!$A$4:$P$1203,2,0),"※编码不在物料档案里"))</f>
        <v/>
      </c>
      <c r="I2789" s="24">
        <f>IF($D2789="","",IFERROR(VLOOKUP($D2789,物料档案!$A$4:$P$1203,6,0),"※编码不在物料档案里"))</f>
        <v/>
      </c>
      <c r="J2789" s="23" t="n"/>
      <c r="K2789" s="17" t="n"/>
      <c r="L2789" s="17" t="n"/>
      <c r="M2789" s="17" t="n"/>
      <c r="N2789" s="17" t="n"/>
      <c r="O2789" s="26">
        <f>IF($D2789="","",IFERROR(VLOOKUP($D2789,物料档案!$A$4:$P$1203,10,0),0))</f>
        <v/>
      </c>
      <c r="P2789" s="32" t="n"/>
      <c r="Q2789" s="26">
        <f>IF($D2789="","",IF($K2789&lt;&gt;"对外销售",0,ROUND(N($J2789)*IF($P2789="",N($O2789),N($P2789)),0)))</f>
        <v/>
      </c>
      <c r="R2789" s="26">
        <f>IF($D2789="","",IFERROR(VLOOKUP($D2789,库存台账!$A$5:$Y$1204,11,0),0))</f>
        <v/>
      </c>
      <c r="S2789" s="26">
        <f>IF($D2789="","",ROUND(N($J2789)*N($R2789),0))</f>
        <v/>
      </c>
      <c r="T2789" s="26">
        <f>IF($D2789="","",IF($K2789&lt;&gt;"对外销售","",ROUND($Q2789-$S2789,0)))</f>
        <v/>
      </c>
      <c r="U2789" s="17" t="n"/>
      <c r="V2789" s="17" t="n"/>
      <c r="W2789" s="24">
        <f>IF($D2789="","",IF($E2789="※编码不在物料档案里","※物料编码不在档案里",IF(N($J2789)&lt;=0,"※出库数量要大于 0",IF($K2789="","※没填去向类型",IF($L2789="","※没填去向矿区",IF(AND($C2789&lt;&gt;"",$C2789&lt;=结账锁),"※日期早于已结账截止日，不能再录",IF(AND($K2789="自用消耗",COUNTIF({"一矿区";"二矿区"},$L2789)=0),"※自用消耗的去向只能是一矿区或二矿区",IF(AND($K2789="对外销售",COUNTIF({"三矿区";"六矿区"},$L2789)=0),"※对外销售的去向只能是三矿区或六矿区",IF(AND($K2789="对外销售",ROUND($Q2789,0)=0),"※外销却没有售价，请填实际售价",IF(AND($K2789="对外销售",$T2789&lt;&gt;"",$T2789&lt;0),"※这一笔外销是亏的，请核对售价",IF(IFERROR(VLOOKUP($D2789,库存台账!$A$5:$Y$1204,24,0),0)&lt;-0.001,"※这个物料账面已经变成负数了，查一下是不是漏记入库","")))))))))))</f>
        <v/>
      </c>
    </row>
    <row r="2790">
      <c r="A2790" s="24">
        <f>IF($D2790="","",COUNTA($D$4:$D2790))</f>
        <v/>
      </c>
      <c r="B2790" s="17" t="n"/>
      <c r="C2790" s="30" t="n"/>
      <c r="D2790" s="17" t="n"/>
      <c r="E2790" s="24">
        <f>IF($D2790="","",IFERROR(VLOOKUP($D2790,物料档案!$A$4:$P$1203,3,0),"※编码不在物料档案里"))</f>
        <v/>
      </c>
      <c r="F2790" s="24">
        <f>IF($D2790="","",IFERROR(VLOOKUP($D2790,物料档案!$A$4:$P$1203,4,0),"※编码不在物料档案里"))</f>
        <v/>
      </c>
      <c r="G2790" s="24">
        <f>IF($D2790="","",IFERROR(VLOOKUP($D2790,物料档案!$A$4:$P$1203,5,0),"※编码不在物料档案里"))</f>
        <v/>
      </c>
      <c r="H2790" s="24">
        <f>IF($D2790="","",IFERROR(VLOOKUP($D2790,物料档案!$A$4:$P$1203,2,0),"※编码不在物料档案里"))</f>
        <v/>
      </c>
      <c r="I2790" s="24">
        <f>IF($D2790="","",IFERROR(VLOOKUP($D2790,物料档案!$A$4:$P$1203,6,0),"※编码不在物料档案里"))</f>
        <v/>
      </c>
      <c r="J2790" s="23" t="n"/>
      <c r="K2790" s="17" t="n"/>
      <c r="L2790" s="17" t="n"/>
      <c r="M2790" s="17" t="n"/>
      <c r="N2790" s="17" t="n"/>
      <c r="O2790" s="26">
        <f>IF($D2790="","",IFERROR(VLOOKUP($D2790,物料档案!$A$4:$P$1203,10,0),0))</f>
        <v/>
      </c>
      <c r="P2790" s="32" t="n"/>
      <c r="Q2790" s="26">
        <f>IF($D2790="","",IF($K2790&lt;&gt;"对外销售",0,ROUND(N($J2790)*IF($P2790="",N($O2790),N($P2790)),0)))</f>
        <v/>
      </c>
      <c r="R2790" s="26">
        <f>IF($D2790="","",IFERROR(VLOOKUP($D2790,库存台账!$A$5:$Y$1204,11,0),0))</f>
        <v/>
      </c>
      <c r="S2790" s="26">
        <f>IF($D2790="","",ROUND(N($J2790)*N($R2790),0))</f>
        <v/>
      </c>
      <c r="T2790" s="26">
        <f>IF($D2790="","",IF($K2790&lt;&gt;"对外销售","",ROUND($Q2790-$S2790,0)))</f>
        <v/>
      </c>
      <c r="U2790" s="17" t="n"/>
      <c r="V2790" s="17" t="n"/>
      <c r="W2790" s="24">
        <f>IF($D2790="","",IF($E2790="※编码不在物料档案里","※物料编码不在档案里",IF(N($J2790)&lt;=0,"※出库数量要大于 0",IF($K2790="","※没填去向类型",IF($L2790="","※没填去向矿区",IF(AND($C2790&lt;&gt;"",$C2790&lt;=结账锁),"※日期早于已结账截止日，不能再录",IF(AND($K2790="自用消耗",COUNTIF({"一矿区";"二矿区"},$L2790)=0),"※自用消耗的去向只能是一矿区或二矿区",IF(AND($K2790="对外销售",COUNTIF({"三矿区";"六矿区"},$L2790)=0),"※对外销售的去向只能是三矿区或六矿区",IF(AND($K2790="对外销售",ROUND($Q2790,0)=0),"※外销却没有售价，请填实际售价",IF(AND($K2790="对外销售",$T2790&lt;&gt;"",$T2790&lt;0),"※这一笔外销是亏的，请核对售价",IF(IFERROR(VLOOKUP($D2790,库存台账!$A$5:$Y$1204,24,0),0)&lt;-0.001,"※这个物料账面已经变成负数了，查一下是不是漏记入库","")))))))))))</f>
        <v/>
      </c>
    </row>
    <row r="2791">
      <c r="A2791" s="24">
        <f>IF($D2791="","",COUNTA($D$4:$D2791))</f>
        <v/>
      </c>
      <c r="B2791" s="17" t="n"/>
      <c r="C2791" s="30" t="n"/>
      <c r="D2791" s="17" t="n"/>
      <c r="E2791" s="24">
        <f>IF($D2791="","",IFERROR(VLOOKUP($D2791,物料档案!$A$4:$P$1203,3,0),"※编码不在物料档案里"))</f>
        <v/>
      </c>
      <c r="F2791" s="24">
        <f>IF($D2791="","",IFERROR(VLOOKUP($D2791,物料档案!$A$4:$P$1203,4,0),"※编码不在物料档案里"))</f>
        <v/>
      </c>
      <c r="G2791" s="24">
        <f>IF($D2791="","",IFERROR(VLOOKUP($D2791,物料档案!$A$4:$P$1203,5,0),"※编码不在物料档案里"))</f>
        <v/>
      </c>
      <c r="H2791" s="24">
        <f>IF($D2791="","",IFERROR(VLOOKUP($D2791,物料档案!$A$4:$P$1203,2,0),"※编码不在物料档案里"))</f>
        <v/>
      </c>
      <c r="I2791" s="24">
        <f>IF($D2791="","",IFERROR(VLOOKUP($D2791,物料档案!$A$4:$P$1203,6,0),"※编码不在物料档案里"))</f>
        <v/>
      </c>
      <c r="J2791" s="23" t="n"/>
      <c r="K2791" s="17" t="n"/>
      <c r="L2791" s="17" t="n"/>
      <c r="M2791" s="17" t="n"/>
      <c r="N2791" s="17" t="n"/>
      <c r="O2791" s="26">
        <f>IF($D2791="","",IFERROR(VLOOKUP($D2791,物料档案!$A$4:$P$1203,10,0),0))</f>
        <v/>
      </c>
      <c r="P2791" s="32" t="n"/>
      <c r="Q2791" s="26">
        <f>IF($D2791="","",IF($K2791&lt;&gt;"对外销售",0,ROUND(N($J2791)*IF($P2791="",N($O2791),N($P2791)),0)))</f>
        <v/>
      </c>
      <c r="R2791" s="26">
        <f>IF($D2791="","",IFERROR(VLOOKUP($D2791,库存台账!$A$5:$Y$1204,11,0),0))</f>
        <v/>
      </c>
      <c r="S2791" s="26">
        <f>IF($D2791="","",ROUND(N($J2791)*N($R2791),0))</f>
        <v/>
      </c>
      <c r="T2791" s="26">
        <f>IF($D2791="","",IF($K2791&lt;&gt;"对外销售","",ROUND($Q2791-$S2791,0)))</f>
        <v/>
      </c>
      <c r="U2791" s="17" t="n"/>
      <c r="V2791" s="17" t="n"/>
      <c r="W2791" s="24">
        <f>IF($D2791="","",IF($E2791="※编码不在物料档案里","※物料编码不在档案里",IF(N($J2791)&lt;=0,"※出库数量要大于 0",IF($K2791="","※没填去向类型",IF($L2791="","※没填去向矿区",IF(AND($C2791&lt;&gt;"",$C2791&lt;=结账锁),"※日期早于已结账截止日，不能再录",IF(AND($K2791="自用消耗",COUNTIF({"一矿区";"二矿区"},$L2791)=0),"※自用消耗的去向只能是一矿区或二矿区",IF(AND($K2791="对外销售",COUNTIF({"三矿区";"六矿区"},$L2791)=0),"※对外销售的去向只能是三矿区或六矿区",IF(AND($K2791="对外销售",ROUND($Q2791,0)=0),"※外销却没有售价，请填实际售价",IF(AND($K2791="对外销售",$T2791&lt;&gt;"",$T2791&lt;0),"※这一笔外销是亏的，请核对售价",IF(IFERROR(VLOOKUP($D2791,库存台账!$A$5:$Y$1204,24,0),0)&lt;-0.001,"※这个物料账面已经变成负数了，查一下是不是漏记入库","")))))))))))</f>
        <v/>
      </c>
    </row>
    <row r="2792">
      <c r="A2792" s="24">
        <f>IF($D2792="","",COUNTA($D$4:$D2792))</f>
        <v/>
      </c>
      <c r="B2792" s="17" t="n"/>
      <c r="C2792" s="30" t="n"/>
      <c r="D2792" s="17" t="n"/>
      <c r="E2792" s="24">
        <f>IF($D2792="","",IFERROR(VLOOKUP($D2792,物料档案!$A$4:$P$1203,3,0),"※编码不在物料档案里"))</f>
        <v/>
      </c>
      <c r="F2792" s="24">
        <f>IF($D2792="","",IFERROR(VLOOKUP($D2792,物料档案!$A$4:$P$1203,4,0),"※编码不在物料档案里"))</f>
        <v/>
      </c>
      <c r="G2792" s="24">
        <f>IF($D2792="","",IFERROR(VLOOKUP($D2792,物料档案!$A$4:$P$1203,5,0),"※编码不在物料档案里"))</f>
        <v/>
      </c>
      <c r="H2792" s="24">
        <f>IF($D2792="","",IFERROR(VLOOKUP($D2792,物料档案!$A$4:$P$1203,2,0),"※编码不在物料档案里"))</f>
        <v/>
      </c>
      <c r="I2792" s="24">
        <f>IF($D2792="","",IFERROR(VLOOKUP($D2792,物料档案!$A$4:$P$1203,6,0),"※编码不在物料档案里"))</f>
        <v/>
      </c>
      <c r="J2792" s="23" t="n"/>
      <c r="K2792" s="17" t="n"/>
      <c r="L2792" s="17" t="n"/>
      <c r="M2792" s="17" t="n"/>
      <c r="N2792" s="17" t="n"/>
      <c r="O2792" s="26">
        <f>IF($D2792="","",IFERROR(VLOOKUP($D2792,物料档案!$A$4:$P$1203,10,0),0))</f>
        <v/>
      </c>
      <c r="P2792" s="32" t="n"/>
      <c r="Q2792" s="26">
        <f>IF($D2792="","",IF($K2792&lt;&gt;"对外销售",0,ROUND(N($J2792)*IF($P2792="",N($O2792),N($P2792)),0)))</f>
        <v/>
      </c>
      <c r="R2792" s="26">
        <f>IF($D2792="","",IFERROR(VLOOKUP($D2792,库存台账!$A$5:$Y$1204,11,0),0))</f>
        <v/>
      </c>
      <c r="S2792" s="26">
        <f>IF($D2792="","",ROUND(N($J2792)*N($R2792),0))</f>
        <v/>
      </c>
      <c r="T2792" s="26">
        <f>IF($D2792="","",IF($K2792&lt;&gt;"对外销售","",ROUND($Q2792-$S2792,0)))</f>
        <v/>
      </c>
      <c r="U2792" s="17" t="n"/>
      <c r="V2792" s="17" t="n"/>
      <c r="W2792" s="24">
        <f>IF($D2792="","",IF($E2792="※编码不在物料档案里","※物料编码不在档案里",IF(N($J2792)&lt;=0,"※出库数量要大于 0",IF($K2792="","※没填去向类型",IF($L2792="","※没填去向矿区",IF(AND($C2792&lt;&gt;"",$C2792&lt;=结账锁),"※日期早于已结账截止日，不能再录",IF(AND($K2792="自用消耗",COUNTIF({"一矿区";"二矿区"},$L2792)=0),"※自用消耗的去向只能是一矿区或二矿区",IF(AND($K2792="对外销售",COUNTIF({"三矿区";"六矿区"},$L2792)=0),"※对外销售的去向只能是三矿区或六矿区",IF(AND($K2792="对外销售",ROUND($Q2792,0)=0),"※外销却没有售价，请填实际售价",IF(AND($K2792="对外销售",$T2792&lt;&gt;"",$T2792&lt;0),"※这一笔外销是亏的，请核对售价",IF(IFERROR(VLOOKUP($D2792,库存台账!$A$5:$Y$1204,24,0),0)&lt;-0.001,"※这个物料账面已经变成负数了，查一下是不是漏记入库","")))))))))))</f>
        <v/>
      </c>
    </row>
    <row r="2793">
      <c r="A2793" s="24">
        <f>IF($D2793="","",COUNTA($D$4:$D2793))</f>
        <v/>
      </c>
      <c r="B2793" s="17" t="n"/>
      <c r="C2793" s="30" t="n"/>
      <c r="D2793" s="17" t="n"/>
      <c r="E2793" s="24">
        <f>IF($D2793="","",IFERROR(VLOOKUP($D2793,物料档案!$A$4:$P$1203,3,0),"※编码不在物料档案里"))</f>
        <v/>
      </c>
      <c r="F2793" s="24">
        <f>IF($D2793="","",IFERROR(VLOOKUP($D2793,物料档案!$A$4:$P$1203,4,0),"※编码不在物料档案里"))</f>
        <v/>
      </c>
      <c r="G2793" s="24">
        <f>IF($D2793="","",IFERROR(VLOOKUP($D2793,物料档案!$A$4:$P$1203,5,0),"※编码不在物料档案里"))</f>
        <v/>
      </c>
      <c r="H2793" s="24">
        <f>IF($D2793="","",IFERROR(VLOOKUP($D2793,物料档案!$A$4:$P$1203,2,0),"※编码不在物料档案里"))</f>
        <v/>
      </c>
      <c r="I2793" s="24">
        <f>IF($D2793="","",IFERROR(VLOOKUP($D2793,物料档案!$A$4:$P$1203,6,0),"※编码不在物料档案里"))</f>
        <v/>
      </c>
      <c r="J2793" s="23" t="n"/>
      <c r="K2793" s="17" t="n"/>
      <c r="L2793" s="17" t="n"/>
      <c r="M2793" s="17" t="n"/>
      <c r="N2793" s="17" t="n"/>
      <c r="O2793" s="26">
        <f>IF($D2793="","",IFERROR(VLOOKUP($D2793,物料档案!$A$4:$P$1203,10,0),0))</f>
        <v/>
      </c>
      <c r="P2793" s="32" t="n"/>
      <c r="Q2793" s="26">
        <f>IF($D2793="","",IF($K2793&lt;&gt;"对外销售",0,ROUND(N($J2793)*IF($P2793="",N($O2793),N($P2793)),0)))</f>
        <v/>
      </c>
      <c r="R2793" s="26">
        <f>IF($D2793="","",IFERROR(VLOOKUP($D2793,库存台账!$A$5:$Y$1204,11,0),0))</f>
        <v/>
      </c>
      <c r="S2793" s="26">
        <f>IF($D2793="","",ROUND(N($J2793)*N($R2793),0))</f>
        <v/>
      </c>
      <c r="T2793" s="26">
        <f>IF($D2793="","",IF($K2793&lt;&gt;"对外销售","",ROUND($Q2793-$S2793,0)))</f>
        <v/>
      </c>
      <c r="U2793" s="17" t="n"/>
      <c r="V2793" s="17" t="n"/>
      <c r="W2793" s="24">
        <f>IF($D2793="","",IF($E2793="※编码不在物料档案里","※物料编码不在档案里",IF(N($J2793)&lt;=0,"※出库数量要大于 0",IF($K2793="","※没填去向类型",IF($L2793="","※没填去向矿区",IF(AND($C2793&lt;&gt;"",$C2793&lt;=结账锁),"※日期早于已结账截止日，不能再录",IF(AND($K2793="自用消耗",COUNTIF({"一矿区";"二矿区"},$L2793)=0),"※自用消耗的去向只能是一矿区或二矿区",IF(AND($K2793="对外销售",COUNTIF({"三矿区";"六矿区"},$L2793)=0),"※对外销售的去向只能是三矿区或六矿区",IF(AND($K2793="对外销售",ROUND($Q2793,0)=0),"※外销却没有售价，请填实际售价",IF(AND($K2793="对外销售",$T2793&lt;&gt;"",$T2793&lt;0),"※这一笔外销是亏的，请核对售价",IF(IFERROR(VLOOKUP($D2793,库存台账!$A$5:$Y$1204,24,0),0)&lt;-0.001,"※这个物料账面已经变成负数了，查一下是不是漏记入库","")))))))))))</f>
        <v/>
      </c>
    </row>
    <row r="2794">
      <c r="A2794" s="24">
        <f>IF($D2794="","",COUNTA($D$4:$D2794))</f>
        <v/>
      </c>
      <c r="B2794" s="17" t="n"/>
      <c r="C2794" s="30" t="n"/>
      <c r="D2794" s="17" t="n"/>
      <c r="E2794" s="24">
        <f>IF($D2794="","",IFERROR(VLOOKUP($D2794,物料档案!$A$4:$P$1203,3,0),"※编码不在物料档案里"))</f>
        <v/>
      </c>
      <c r="F2794" s="24">
        <f>IF($D2794="","",IFERROR(VLOOKUP($D2794,物料档案!$A$4:$P$1203,4,0),"※编码不在物料档案里"))</f>
        <v/>
      </c>
      <c r="G2794" s="24">
        <f>IF($D2794="","",IFERROR(VLOOKUP($D2794,物料档案!$A$4:$P$1203,5,0),"※编码不在物料档案里"))</f>
        <v/>
      </c>
      <c r="H2794" s="24">
        <f>IF($D2794="","",IFERROR(VLOOKUP($D2794,物料档案!$A$4:$P$1203,2,0),"※编码不在物料档案里"))</f>
        <v/>
      </c>
      <c r="I2794" s="24">
        <f>IF($D2794="","",IFERROR(VLOOKUP($D2794,物料档案!$A$4:$P$1203,6,0),"※编码不在物料档案里"))</f>
        <v/>
      </c>
      <c r="J2794" s="23" t="n"/>
      <c r="K2794" s="17" t="n"/>
      <c r="L2794" s="17" t="n"/>
      <c r="M2794" s="17" t="n"/>
      <c r="N2794" s="17" t="n"/>
      <c r="O2794" s="26">
        <f>IF($D2794="","",IFERROR(VLOOKUP($D2794,物料档案!$A$4:$P$1203,10,0),0))</f>
        <v/>
      </c>
      <c r="P2794" s="32" t="n"/>
      <c r="Q2794" s="26">
        <f>IF($D2794="","",IF($K2794&lt;&gt;"对外销售",0,ROUND(N($J2794)*IF($P2794="",N($O2794),N($P2794)),0)))</f>
        <v/>
      </c>
      <c r="R2794" s="26">
        <f>IF($D2794="","",IFERROR(VLOOKUP($D2794,库存台账!$A$5:$Y$1204,11,0),0))</f>
        <v/>
      </c>
      <c r="S2794" s="26">
        <f>IF($D2794="","",ROUND(N($J2794)*N($R2794),0))</f>
        <v/>
      </c>
      <c r="T2794" s="26">
        <f>IF($D2794="","",IF($K2794&lt;&gt;"对外销售","",ROUND($Q2794-$S2794,0)))</f>
        <v/>
      </c>
      <c r="U2794" s="17" t="n"/>
      <c r="V2794" s="17" t="n"/>
      <c r="W2794" s="24">
        <f>IF($D2794="","",IF($E2794="※编码不在物料档案里","※物料编码不在档案里",IF(N($J2794)&lt;=0,"※出库数量要大于 0",IF($K2794="","※没填去向类型",IF($L2794="","※没填去向矿区",IF(AND($C2794&lt;&gt;"",$C2794&lt;=结账锁),"※日期早于已结账截止日，不能再录",IF(AND($K2794="自用消耗",COUNTIF({"一矿区";"二矿区"},$L2794)=0),"※自用消耗的去向只能是一矿区或二矿区",IF(AND($K2794="对外销售",COUNTIF({"三矿区";"六矿区"},$L2794)=0),"※对外销售的去向只能是三矿区或六矿区",IF(AND($K2794="对外销售",ROUND($Q2794,0)=0),"※外销却没有售价，请填实际售价",IF(AND($K2794="对外销售",$T2794&lt;&gt;"",$T2794&lt;0),"※这一笔外销是亏的，请核对售价",IF(IFERROR(VLOOKUP($D2794,库存台账!$A$5:$Y$1204,24,0),0)&lt;-0.001,"※这个物料账面已经变成负数了，查一下是不是漏记入库","")))))))))))</f>
        <v/>
      </c>
    </row>
    <row r="2795">
      <c r="A2795" s="24">
        <f>IF($D2795="","",COUNTA($D$4:$D2795))</f>
        <v/>
      </c>
      <c r="B2795" s="17" t="n"/>
      <c r="C2795" s="30" t="n"/>
      <c r="D2795" s="17" t="n"/>
      <c r="E2795" s="24">
        <f>IF($D2795="","",IFERROR(VLOOKUP($D2795,物料档案!$A$4:$P$1203,3,0),"※编码不在物料档案里"))</f>
        <v/>
      </c>
      <c r="F2795" s="24">
        <f>IF($D2795="","",IFERROR(VLOOKUP($D2795,物料档案!$A$4:$P$1203,4,0),"※编码不在物料档案里"))</f>
        <v/>
      </c>
      <c r="G2795" s="24">
        <f>IF($D2795="","",IFERROR(VLOOKUP($D2795,物料档案!$A$4:$P$1203,5,0),"※编码不在物料档案里"))</f>
        <v/>
      </c>
      <c r="H2795" s="24">
        <f>IF($D2795="","",IFERROR(VLOOKUP($D2795,物料档案!$A$4:$P$1203,2,0),"※编码不在物料档案里"))</f>
        <v/>
      </c>
      <c r="I2795" s="24">
        <f>IF($D2795="","",IFERROR(VLOOKUP($D2795,物料档案!$A$4:$P$1203,6,0),"※编码不在物料档案里"))</f>
        <v/>
      </c>
      <c r="J2795" s="23" t="n"/>
      <c r="K2795" s="17" t="n"/>
      <c r="L2795" s="17" t="n"/>
      <c r="M2795" s="17" t="n"/>
      <c r="N2795" s="17" t="n"/>
      <c r="O2795" s="26">
        <f>IF($D2795="","",IFERROR(VLOOKUP($D2795,物料档案!$A$4:$P$1203,10,0),0))</f>
        <v/>
      </c>
      <c r="P2795" s="32" t="n"/>
      <c r="Q2795" s="26">
        <f>IF($D2795="","",IF($K2795&lt;&gt;"对外销售",0,ROUND(N($J2795)*IF($P2795="",N($O2795),N($P2795)),0)))</f>
        <v/>
      </c>
      <c r="R2795" s="26">
        <f>IF($D2795="","",IFERROR(VLOOKUP($D2795,库存台账!$A$5:$Y$1204,11,0),0))</f>
        <v/>
      </c>
      <c r="S2795" s="26">
        <f>IF($D2795="","",ROUND(N($J2795)*N($R2795),0))</f>
        <v/>
      </c>
      <c r="T2795" s="26">
        <f>IF($D2795="","",IF($K2795&lt;&gt;"对外销售","",ROUND($Q2795-$S2795,0)))</f>
        <v/>
      </c>
      <c r="U2795" s="17" t="n"/>
      <c r="V2795" s="17" t="n"/>
      <c r="W2795" s="24">
        <f>IF($D2795="","",IF($E2795="※编码不在物料档案里","※物料编码不在档案里",IF(N($J2795)&lt;=0,"※出库数量要大于 0",IF($K2795="","※没填去向类型",IF($L2795="","※没填去向矿区",IF(AND($C2795&lt;&gt;"",$C2795&lt;=结账锁),"※日期早于已结账截止日，不能再录",IF(AND($K2795="自用消耗",COUNTIF({"一矿区";"二矿区"},$L2795)=0),"※自用消耗的去向只能是一矿区或二矿区",IF(AND($K2795="对外销售",COUNTIF({"三矿区";"六矿区"},$L2795)=0),"※对外销售的去向只能是三矿区或六矿区",IF(AND($K2795="对外销售",ROUND($Q2795,0)=0),"※外销却没有售价，请填实际售价",IF(AND($K2795="对外销售",$T2795&lt;&gt;"",$T2795&lt;0),"※这一笔外销是亏的，请核对售价",IF(IFERROR(VLOOKUP($D2795,库存台账!$A$5:$Y$1204,24,0),0)&lt;-0.001,"※这个物料账面已经变成负数了，查一下是不是漏记入库","")))))))))))</f>
        <v/>
      </c>
    </row>
    <row r="2796">
      <c r="A2796" s="24">
        <f>IF($D2796="","",COUNTA($D$4:$D2796))</f>
        <v/>
      </c>
      <c r="B2796" s="17" t="n"/>
      <c r="C2796" s="30" t="n"/>
      <c r="D2796" s="17" t="n"/>
      <c r="E2796" s="24">
        <f>IF($D2796="","",IFERROR(VLOOKUP($D2796,物料档案!$A$4:$P$1203,3,0),"※编码不在物料档案里"))</f>
        <v/>
      </c>
      <c r="F2796" s="24">
        <f>IF($D2796="","",IFERROR(VLOOKUP($D2796,物料档案!$A$4:$P$1203,4,0),"※编码不在物料档案里"))</f>
        <v/>
      </c>
      <c r="G2796" s="24">
        <f>IF($D2796="","",IFERROR(VLOOKUP($D2796,物料档案!$A$4:$P$1203,5,0),"※编码不在物料档案里"))</f>
        <v/>
      </c>
      <c r="H2796" s="24">
        <f>IF($D2796="","",IFERROR(VLOOKUP($D2796,物料档案!$A$4:$P$1203,2,0),"※编码不在物料档案里"))</f>
        <v/>
      </c>
      <c r="I2796" s="24">
        <f>IF($D2796="","",IFERROR(VLOOKUP($D2796,物料档案!$A$4:$P$1203,6,0),"※编码不在物料档案里"))</f>
        <v/>
      </c>
      <c r="J2796" s="23" t="n"/>
      <c r="K2796" s="17" t="n"/>
      <c r="L2796" s="17" t="n"/>
      <c r="M2796" s="17" t="n"/>
      <c r="N2796" s="17" t="n"/>
      <c r="O2796" s="26">
        <f>IF($D2796="","",IFERROR(VLOOKUP($D2796,物料档案!$A$4:$P$1203,10,0),0))</f>
        <v/>
      </c>
      <c r="P2796" s="32" t="n"/>
      <c r="Q2796" s="26">
        <f>IF($D2796="","",IF($K2796&lt;&gt;"对外销售",0,ROUND(N($J2796)*IF($P2796="",N($O2796),N($P2796)),0)))</f>
        <v/>
      </c>
      <c r="R2796" s="26">
        <f>IF($D2796="","",IFERROR(VLOOKUP($D2796,库存台账!$A$5:$Y$1204,11,0),0))</f>
        <v/>
      </c>
      <c r="S2796" s="26">
        <f>IF($D2796="","",ROUND(N($J2796)*N($R2796),0))</f>
        <v/>
      </c>
      <c r="T2796" s="26">
        <f>IF($D2796="","",IF($K2796&lt;&gt;"对外销售","",ROUND($Q2796-$S2796,0)))</f>
        <v/>
      </c>
      <c r="U2796" s="17" t="n"/>
      <c r="V2796" s="17" t="n"/>
      <c r="W2796" s="24">
        <f>IF($D2796="","",IF($E2796="※编码不在物料档案里","※物料编码不在档案里",IF(N($J2796)&lt;=0,"※出库数量要大于 0",IF($K2796="","※没填去向类型",IF($L2796="","※没填去向矿区",IF(AND($C2796&lt;&gt;"",$C2796&lt;=结账锁),"※日期早于已结账截止日，不能再录",IF(AND($K2796="自用消耗",COUNTIF({"一矿区";"二矿区"},$L2796)=0),"※自用消耗的去向只能是一矿区或二矿区",IF(AND($K2796="对外销售",COUNTIF({"三矿区";"六矿区"},$L2796)=0),"※对外销售的去向只能是三矿区或六矿区",IF(AND($K2796="对外销售",ROUND($Q2796,0)=0),"※外销却没有售价，请填实际售价",IF(AND($K2796="对外销售",$T2796&lt;&gt;"",$T2796&lt;0),"※这一笔外销是亏的，请核对售价",IF(IFERROR(VLOOKUP($D2796,库存台账!$A$5:$Y$1204,24,0),0)&lt;-0.001,"※这个物料账面已经变成负数了，查一下是不是漏记入库","")))))))))))</f>
        <v/>
      </c>
    </row>
    <row r="2797">
      <c r="A2797" s="24">
        <f>IF($D2797="","",COUNTA($D$4:$D2797))</f>
        <v/>
      </c>
      <c r="B2797" s="17" t="n"/>
      <c r="C2797" s="30" t="n"/>
      <c r="D2797" s="17" t="n"/>
      <c r="E2797" s="24">
        <f>IF($D2797="","",IFERROR(VLOOKUP($D2797,物料档案!$A$4:$P$1203,3,0),"※编码不在物料档案里"))</f>
        <v/>
      </c>
      <c r="F2797" s="24">
        <f>IF($D2797="","",IFERROR(VLOOKUP($D2797,物料档案!$A$4:$P$1203,4,0),"※编码不在物料档案里"))</f>
        <v/>
      </c>
      <c r="G2797" s="24">
        <f>IF($D2797="","",IFERROR(VLOOKUP($D2797,物料档案!$A$4:$P$1203,5,0),"※编码不在物料档案里"))</f>
        <v/>
      </c>
      <c r="H2797" s="24">
        <f>IF($D2797="","",IFERROR(VLOOKUP($D2797,物料档案!$A$4:$P$1203,2,0),"※编码不在物料档案里"))</f>
        <v/>
      </c>
      <c r="I2797" s="24">
        <f>IF($D2797="","",IFERROR(VLOOKUP($D2797,物料档案!$A$4:$P$1203,6,0),"※编码不在物料档案里"))</f>
        <v/>
      </c>
      <c r="J2797" s="23" t="n"/>
      <c r="K2797" s="17" t="n"/>
      <c r="L2797" s="17" t="n"/>
      <c r="M2797" s="17" t="n"/>
      <c r="N2797" s="17" t="n"/>
      <c r="O2797" s="26">
        <f>IF($D2797="","",IFERROR(VLOOKUP($D2797,物料档案!$A$4:$P$1203,10,0),0))</f>
        <v/>
      </c>
      <c r="P2797" s="32" t="n"/>
      <c r="Q2797" s="26">
        <f>IF($D2797="","",IF($K2797&lt;&gt;"对外销售",0,ROUND(N($J2797)*IF($P2797="",N($O2797),N($P2797)),0)))</f>
        <v/>
      </c>
      <c r="R2797" s="26">
        <f>IF($D2797="","",IFERROR(VLOOKUP($D2797,库存台账!$A$5:$Y$1204,11,0),0))</f>
        <v/>
      </c>
      <c r="S2797" s="26">
        <f>IF($D2797="","",ROUND(N($J2797)*N($R2797),0))</f>
        <v/>
      </c>
      <c r="T2797" s="26">
        <f>IF($D2797="","",IF($K2797&lt;&gt;"对外销售","",ROUND($Q2797-$S2797,0)))</f>
        <v/>
      </c>
      <c r="U2797" s="17" t="n"/>
      <c r="V2797" s="17" t="n"/>
      <c r="W2797" s="24">
        <f>IF($D2797="","",IF($E2797="※编码不在物料档案里","※物料编码不在档案里",IF(N($J2797)&lt;=0,"※出库数量要大于 0",IF($K2797="","※没填去向类型",IF($L2797="","※没填去向矿区",IF(AND($C2797&lt;&gt;"",$C2797&lt;=结账锁),"※日期早于已结账截止日，不能再录",IF(AND($K2797="自用消耗",COUNTIF({"一矿区";"二矿区"},$L2797)=0),"※自用消耗的去向只能是一矿区或二矿区",IF(AND($K2797="对外销售",COUNTIF({"三矿区";"六矿区"},$L2797)=0),"※对外销售的去向只能是三矿区或六矿区",IF(AND($K2797="对外销售",ROUND($Q2797,0)=0),"※外销却没有售价，请填实际售价",IF(AND($K2797="对外销售",$T2797&lt;&gt;"",$T2797&lt;0),"※这一笔外销是亏的，请核对售价",IF(IFERROR(VLOOKUP($D2797,库存台账!$A$5:$Y$1204,24,0),0)&lt;-0.001,"※这个物料账面已经变成负数了，查一下是不是漏记入库","")))))))))))</f>
        <v/>
      </c>
    </row>
    <row r="2798">
      <c r="A2798" s="24">
        <f>IF($D2798="","",COUNTA($D$4:$D2798))</f>
        <v/>
      </c>
      <c r="B2798" s="17" t="n"/>
      <c r="C2798" s="30" t="n"/>
      <c r="D2798" s="17" t="n"/>
      <c r="E2798" s="24">
        <f>IF($D2798="","",IFERROR(VLOOKUP($D2798,物料档案!$A$4:$P$1203,3,0),"※编码不在物料档案里"))</f>
        <v/>
      </c>
      <c r="F2798" s="24">
        <f>IF($D2798="","",IFERROR(VLOOKUP($D2798,物料档案!$A$4:$P$1203,4,0),"※编码不在物料档案里"))</f>
        <v/>
      </c>
      <c r="G2798" s="24">
        <f>IF($D2798="","",IFERROR(VLOOKUP($D2798,物料档案!$A$4:$P$1203,5,0),"※编码不在物料档案里"))</f>
        <v/>
      </c>
      <c r="H2798" s="24">
        <f>IF($D2798="","",IFERROR(VLOOKUP($D2798,物料档案!$A$4:$P$1203,2,0),"※编码不在物料档案里"))</f>
        <v/>
      </c>
      <c r="I2798" s="24">
        <f>IF($D2798="","",IFERROR(VLOOKUP($D2798,物料档案!$A$4:$P$1203,6,0),"※编码不在物料档案里"))</f>
        <v/>
      </c>
      <c r="J2798" s="23" t="n"/>
      <c r="K2798" s="17" t="n"/>
      <c r="L2798" s="17" t="n"/>
      <c r="M2798" s="17" t="n"/>
      <c r="N2798" s="17" t="n"/>
      <c r="O2798" s="26">
        <f>IF($D2798="","",IFERROR(VLOOKUP($D2798,物料档案!$A$4:$P$1203,10,0),0))</f>
        <v/>
      </c>
      <c r="P2798" s="32" t="n"/>
      <c r="Q2798" s="26">
        <f>IF($D2798="","",IF($K2798&lt;&gt;"对外销售",0,ROUND(N($J2798)*IF($P2798="",N($O2798),N($P2798)),0)))</f>
        <v/>
      </c>
      <c r="R2798" s="26">
        <f>IF($D2798="","",IFERROR(VLOOKUP($D2798,库存台账!$A$5:$Y$1204,11,0),0))</f>
        <v/>
      </c>
      <c r="S2798" s="26">
        <f>IF($D2798="","",ROUND(N($J2798)*N($R2798),0))</f>
        <v/>
      </c>
      <c r="T2798" s="26">
        <f>IF($D2798="","",IF($K2798&lt;&gt;"对外销售","",ROUND($Q2798-$S2798,0)))</f>
        <v/>
      </c>
      <c r="U2798" s="17" t="n"/>
      <c r="V2798" s="17" t="n"/>
      <c r="W2798" s="24">
        <f>IF($D2798="","",IF($E2798="※编码不在物料档案里","※物料编码不在档案里",IF(N($J2798)&lt;=0,"※出库数量要大于 0",IF($K2798="","※没填去向类型",IF($L2798="","※没填去向矿区",IF(AND($C2798&lt;&gt;"",$C2798&lt;=结账锁),"※日期早于已结账截止日，不能再录",IF(AND($K2798="自用消耗",COUNTIF({"一矿区";"二矿区"},$L2798)=0),"※自用消耗的去向只能是一矿区或二矿区",IF(AND($K2798="对外销售",COUNTIF({"三矿区";"六矿区"},$L2798)=0),"※对外销售的去向只能是三矿区或六矿区",IF(AND($K2798="对外销售",ROUND($Q2798,0)=0),"※外销却没有售价，请填实际售价",IF(AND($K2798="对外销售",$T2798&lt;&gt;"",$T2798&lt;0),"※这一笔外销是亏的，请核对售价",IF(IFERROR(VLOOKUP($D2798,库存台账!$A$5:$Y$1204,24,0),0)&lt;-0.001,"※这个物料账面已经变成负数了，查一下是不是漏记入库","")))))))))))</f>
        <v/>
      </c>
    </row>
    <row r="2799">
      <c r="A2799" s="24">
        <f>IF($D2799="","",COUNTA($D$4:$D2799))</f>
        <v/>
      </c>
      <c r="B2799" s="17" t="n"/>
      <c r="C2799" s="30" t="n"/>
      <c r="D2799" s="17" t="n"/>
      <c r="E2799" s="24">
        <f>IF($D2799="","",IFERROR(VLOOKUP($D2799,物料档案!$A$4:$P$1203,3,0),"※编码不在物料档案里"))</f>
        <v/>
      </c>
      <c r="F2799" s="24">
        <f>IF($D2799="","",IFERROR(VLOOKUP($D2799,物料档案!$A$4:$P$1203,4,0),"※编码不在物料档案里"))</f>
        <v/>
      </c>
      <c r="G2799" s="24">
        <f>IF($D2799="","",IFERROR(VLOOKUP($D2799,物料档案!$A$4:$P$1203,5,0),"※编码不在物料档案里"))</f>
        <v/>
      </c>
      <c r="H2799" s="24">
        <f>IF($D2799="","",IFERROR(VLOOKUP($D2799,物料档案!$A$4:$P$1203,2,0),"※编码不在物料档案里"))</f>
        <v/>
      </c>
      <c r="I2799" s="24">
        <f>IF($D2799="","",IFERROR(VLOOKUP($D2799,物料档案!$A$4:$P$1203,6,0),"※编码不在物料档案里"))</f>
        <v/>
      </c>
      <c r="J2799" s="23" t="n"/>
      <c r="K2799" s="17" t="n"/>
      <c r="L2799" s="17" t="n"/>
      <c r="M2799" s="17" t="n"/>
      <c r="N2799" s="17" t="n"/>
      <c r="O2799" s="26">
        <f>IF($D2799="","",IFERROR(VLOOKUP($D2799,物料档案!$A$4:$P$1203,10,0),0))</f>
        <v/>
      </c>
      <c r="P2799" s="32" t="n"/>
      <c r="Q2799" s="26">
        <f>IF($D2799="","",IF($K2799&lt;&gt;"对外销售",0,ROUND(N($J2799)*IF($P2799="",N($O2799),N($P2799)),0)))</f>
        <v/>
      </c>
      <c r="R2799" s="26">
        <f>IF($D2799="","",IFERROR(VLOOKUP($D2799,库存台账!$A$5:$Y$1204,11,0),0))</f>
        <v/>
      </c>
      <c r="S2799" s="26">
        <f>IF($D2799="","",ROUND(N($J2799)*N($R2799),0))</f>
        <v/>
      </c>
      <c r="T2799" s="26">
        <f>IF($D2799="","",IF($K2799&lt;&gt;"对外销售","",ROUND($Q2799-$S2799,0)))</f>
        <v/>
      </c>
      <c r="U2799" s="17" t="n"/>
      <c r="V2799" s="17" t="n"/>
      <c r="W2799" s="24">
        <f>IF($D2799="","",IF($E2799="※编码不在物料档案里","※物料编码不在档案里",IF(N($J2799)&lt;=0,"※出库数量要大于 0",IF($K2799="","※没填去向类型",IF($L2799="","※没填去向矿区",IF(AND($C2799&lt;&gt;"",$C2799&lt;=结账锁),"※日期早于已结账截止日，不能再录",IF(AND($K2799="自用消耗",COUNTIF({"一矿区";"二矿区"},$L2799)=0),"※自用消耗的去向只能是一矿区或二矿区",IF(AND($K2799="对外销售",COUNTIF({"三矿区";"六矿区"},$L2799)=0),"※对外销售的去向只能是三矿区或六矿区",IF(AND($K2799="对外销售",ROUND($Q2799,0)=0),"※外销却没有售价，请填实际售价",IF(AND($K2799="对外销售",$T2799&lt;&gt;"",$T2799&lt;0),"※这一笔外销是亏的，请核对售价",IF(IFERROR(VLOOKUP($D2799,库存台账!$A$5:$Y$1204,24,0),0)&lt;-0.001,"※这个物料账面已经变成负数了，查一下是不是漏记入库","")))))))))))</f>
        <v/>
      </c>
    </row>
    <row r="2800">
      <c r="A2800" s="24">
        <f>IF($D2800="","",COUNTA($D$4:$D2800))</f>
        <v/>
      </c>
      <c r="B2800" s="17" t="n"/>
      <c r="C2800" s="30" t="n"/>
      <c r="D2800" s="17" t="n"/>
      <c r="E2800" s="24">
        <f>IF($D2800="","",IFERROR(VLOOKUP($D2800,物料档案!$A$4:$P$1203,3,0),"※编码不在物料档案里"))</f>
        <v/>
      </c>
      <c r="F2800" s="24">
        <f>IF($D2800="","",IFERROR(VLOOKUP($D2800,物料档案!$A$4:$P$1203,4,0),"※编码不在物料档案里"))</f>
        <v/>
      </c>
      <c r="G2800" s="24">
        <f>IF($D2800="","",IFERROR(VLOOKUP($D2800,物料档案!$A$4:$P$1203,5,0),"※编码不在物料档案里"))</f>
        <v/>
      </c>
      <c r="H2800" s="24">
        <f>IF($D2800="","",IFERROR(VLOOKUP($D2800,物料档案!$A$4:$P$1203,2,0),"※编码不在物料档案里"))</f>
        <v/>
      </c>
      <c r="I2800" s="24">
        <f>IF($D2800="","",IFERROR(VLOOKUP($D2800,物料档案!$A$4:$P$1203,6,0),"※编码不在物料档案里"))</f>
        <v/>
      </c>
      <c r="J2800" s="23" t="n"/>
      <c r="K2800" s="17" t="n"/>
      <c r="L2800" s="17" t="n"/>
      <c r="M2800" s="17" t="n"/>
      <c r="N2800" s="17" t="n"/>
      <c r="O2800" s="26">
        <f>IF($D2800="","",IFERROR(VLOOKUP($D2800,物料档案!$A$4:$P$1203,10,0),0))</f>
        <v/>
      </c>
      <c r="P2800" s="32" t="n"/>
      <c r="Q2800" s="26">
        <f>IF($D2800="","",IF($K2800&lt;&gt;"对外销售",0,ROUND(N($J2800)*IF($P2800="",N($O2800),N($P2800)),0)))</f>
        <v/>
      </c>
      <c r="R2800" s="26">
        <f>IF($D2800="","",IFERROR(VLOOKUP($D2800,库存台账!$A$5:$Y$1204,11,0),0))</f>
        <v/>
      </c>
      <c r="S2800" s="26">
        <f>IF($D2800="","",ROUND(N($J2800)*N($R2800),0))</f>
        <v/>
      </c>
      <c r="T2800" s="26">
        <f>IF($D2800="","",IF($K2800&lt;&gt;"对外销售","",ROUND($Q2800-$S2800,0)))</f>
        <v/>
      </c>
      <c r="U2800" s="17" t="n"/>
      <c r="V2800" s="17" t="n"/>
      <c r="W2800" s="24">
        <f>IF($D2800="","",IF($E2800="※编码不在物料档案里","※物料编码不在档案里",IF(N($J2800)&lt;=0,"※出库数量要大于 0",IF($K2800="","※没填去向类型",IF($L2800="","※没填去向矿区",IF(AND($C2800&lt;&gt;"",$C2800&lt;=结账锁),"※日期早于已结账截止日，不能再录",IF(AND($K2800="自用消耗",COUNTIF({"一矿区";"二矿区"},$L2800)=0),"※自用消耗的去向只能是一矿区或二矿区",IF(AND($K2800="对外销售",COUNTIF({"三矿区";"六矿区"},$L2800)=0),"※对外销售的去向只能是三矿区或六矿区",IF(AND($K2800="对外销售",ROUND($Q2800,0)=0),"※外销却没有售价，请填实际售价",IF(AND($K2800="对外销售",$T2800&lt;&gt;"",$T2800&lt;0),"※这一笔外销是亏的，请核对售价",IF(IFERROR(VLOOKUP($D2800,库存台账!$A$5:$Y$1204,24,0),0)&lt;-0.001,"※这个物料账面已经变成负数了，查一下是不是漏记入库","")))))))))))</f>
        <v/>
      </c>
    </row>
    <row r="2801">
      <c r="A2801" s="24">
        <f>IF($D2801="","",COUNTA($D$4:$D2801))</f>
        <v/>
      </c>
      <c r="B2801" s="17" t="n"/>
      <c r="C2801" s="30" t="n"/>
      <c r="D2801" s="17" t="n"/>
      <c r="E2801" s="24">
        <f>IF($D2801="","",IFERROR(VLOOKUP($D2801,物料档案!$A$4:$P$1203,3,0),"※编码不在物料档案里"))</f>
        <v/>
      </c>
      <c r="F2801" s="24">
        <f>IF($D2801="","",IFERROR(VLOOKUP($D2801,物料档案!$A$4:$P$1203,4,0),"※编码不在物料档案里"))</f>
        <v/>
      </c>
      <c r="G2801" s="24">
        <f>IF($D2801="","",IFERROR(VLOOKUP($D2801,物料档案!$A$4:$P$1203,5,0),"※编码不在物料档案里"))</f>
        <v/>
      </c>
      <c r="H2801" s="24">
        <f>IF($D2801="","",IFERROR(VLOOKUP($D2801,物料档案!$A$4:$P$1203,2,0),"※编码不在物料档案里"))</f>
        <v/>
      </c>
      <c r="I2801" s="24">
        <f>IF($D2801="","",IFERROR(VLOOKUP($D2801,物料档案!$A$4:$P$1203,6,0),"※编码不在物料档案里"))</f>
        <v/>
      </c>
      <c r="J2801" s="23" t="n"/>
      <c r="K2801" s="17" t="n"/>
      <c r="L2801" s="17" t="n"/>
      <c r="M2801" s="17" t="n"/>
      <c r="N2801" s="17" t="n"/>
      <c r="O2801" s="26">
        <f>IF($D2801="","",IFERROR(VLOOKUP($D2801,物料档案!$A$4:$P$1203,10,0),0))</f>
        <v/>
      </c>
      <c r="P2801" s="32" t="n"/>
      <c r="Q2801" s="26">
        <f>IF($D2801="","",IF($K2801&lt;&gt;"对外销售",0,ROUND(N($J2801)*IF($P2801="",N($O2801),N($P2801)),0)))</f>
        <v/>
      </c>
      <c r="R2801" s="26">
        <f>IF($D2801="","",IFERROR(VLOOKUP($D2801,库存台账!$A$5:$Y$1204,11,0),0))</f>
        <v/>
      </c>
      <c r="S2801" s="26">
        <f>IF($D2801="","",ROUND(N($J2801)*N($R2801),0))</f>
        <v/>
      </c>
      <c r="T2801" s="26">
        <f>IF($D2801="","",IF($K2801&lt;&gt;"对外销售","",ROUND($Q2801-$S2801,0)))</f>
        <v/>
      </c>
      <c r="U2801" s="17" t="n"/>
      <c r="V2801" s="17" t="n"/>
      <c r="W2801" s="24">
        <f>IF($D2801="","",IF($E2801="※编码不在物料档案里","※物料编码不在档案里",IF(N($J2801)&lt;=0,"※出库数量要大于 0",IF($K2801="","※没填去向类型",IF($L2801="","※没填去向矿区",IF(AND($C2801&lt;&gt;"",$C2801&lt;=结账锁),"※日期早于已结账截止日，不能再录",IF(AND($K2801="自用消耗",COUNTIF({"一矿区";"二矿区"},$L2801)=0),"※自用消耗的去向只能是一矿区或二矿区",IF(AND($K2801="对外销售",COUNTIF({"三矿区";"六矿区"},$L2801)=0),"※对外销售的去向只能是三矿区或六矿区",IF(AND($K2801="对外销售",ROUND($Q2801,0)=0),"※外销却没有售价，请填实际售价",IF(AND($K2801="对外销售",$T2801&lt;&gt;"",$T2801&lt;0),"※这一笔外销是亏的，请核对售价",IF(IFERROR(VLOOKUP($D2801,库存台账!$A$5:$Y$1204,24,0),0)&lt;-0.001,"※这个物料账面已经变成负数了，查一下是不是漏记入库","")))))))))))</f>
        <v/>
      </c>
    </row>
    <row r="2802">
      <c r="A2802" s="24">
        <f>IF($D2802="","",COUNTA($D$4:$D2802))</f>
        <v/>
      </c>
      <c r="B2802" s="17" t="n"/>
      <c r="C2802" s="30" t="n"/>
      <c r="D2802" s="17" t="n"/>
      <c r="E2802" s="24">
        <f>IF($D2802="","",IFERROR(VLOOKUP($D2802,物料档案!$A$4:$P$1203,3,0),"※编码不在物料档案里"))</f>
        <v/>
      </c>
      <c r="F2802" s="24">
        <f>IF($D2802="","",IFERROR(VLOOKUP($D2802,物料档案!$A$4:$P$1203,4,0),"※编码不在物料档案里"))</f>
        <v/>
      </c>
      <c r="G2802" s="24">
        <f>IF($D2802="","",IFERROR(VLOOKUP($D2802,物料档案!$A$4:$P$1203,5,0),"※编码不在物料档案里"))</f>
        <v/>
      </c>
      <c r="H2802" s="24">
        <f>IF($D2802="","",IFERROR(VLOOKUP($D2802,物料档案!$A$4:$P$1203,2,0),"※编码不在物料档案里"))</f>
        <v/>
      </c>
      <c r="I2802" s="24">
        <f>IF($D2802="","",IFERROR(VLOOKUP($D2802,物料档案!$A$4:$P$1203,6,0),"※编码不在物料档案里"))</f>
        <v/>
      </c>
      <c r="J2802" s="23" t="n"/>
      <c r="K2802" s="17" t="n"/>
      <c r="L2802" s="17" t="n"/>
      <c r="M2802" s="17" t="n"/>
      <c r="N2802" s="17" t="n"/>
      <c r="O2802" s="26">
        <f>IF($D2802="","",IFERROR(VLOOKUP($D2802,物料档案!$A$4:$P$1203,10,0),0))</f>
        <v/>
      </c>
      <c r="P2802" s="32" t="n"/>
      <c r="Q2802" s="26">
        <f>IF($D2802="","",IF($K2802&lt;&gt;"对外销售",0,ROUND(N($J2802)*IF($P2802="",N($O2802),N($P2802)),0)))</f>
        <v/>
      </c>
      <c r="R2802" s="26">
        <f>IF($D2802="","",IFERROR(VLOOKUP($D2802,库存台账!$A$5:$Y$1204,11,0),0))</f>
        <v/>
      </c>
      <c r="S2802" s="26">
        <f>IF($D2802="","",ROUND(N($J2802)*N($R2802),0))</f>
        <v/>
      </c>
      <c r="T2802" s="26">
        <f>IF($D2802="","",IF($K2802&lt;&gt;"对外销售","",ROUND($Q2802-$S2802,0)))</f>
        <v/>
      </c>
      <c r="U2802" s="17" t="n"/>
      <c r="V2802" s="17" t="n"/>
      <c r="W2802" s="24">
        <f>IF($D2802="","",IF($E2802="※编码不在物料档案里","※物料编码不在档案里",IF(N($J2802)&lt;=0,"※出库数量要大于 0",IF($K2802="","※没填去向类型",IF($L2802="","※没填去向矿区",IF(AND($C2802&lt;&gt;"",$C2802&lt;=结账锁),"※日期早于已结账截止日，不能再录",IF(AND($K2802="自用消耗",COUNTIF({"一矿区";"二矿区"},$L2802)=0),"※自用消耗的去向只能是一矿区或二矿区",IF(AND($K2802="对外销售",COUNTIF({"三矿区";"六矿区"},$L2802)=0),"※对外销售的去向只能是三矿区或六矿区",IF(AND($K2802="对外销售",ROUND($Q2802,0)=0),"※外销却没有售价，请填实际售价",IF(AND($K2802="对外销售",$T2802&lt;&gt;"",$T2802&lt;0),"※这一笔外销是亏的，请核对售价",IF(IFERROR(VLOOKUP($D2802,库存台账!$A$5:$Y$1204,24,0),0)&lt;-0.001,"※这个物料账面已经变成负数了，查一下是不是漏记入库","")))))))))))</f>
        <v/>
      </c>
    </row>
    <row r="2803">
      <c r="A2803" s="24">
        <f>IF($D2803="","",COUNTA($D$4:$D2803))</f>
        <v/>
      </c>
      <c r="B2803" s="17" t="n"/>
      <c r="C2803" s="30" t="n"/>
      <c r="D2803" s="17" t="n"/>
      <c r="E2803" s="24">
        <f>IF($D2803="","",IFERROR(VLOOKUP($D2803,物料档案!$A$4:$P$1203,3,0),"※编码不在物料档案里"))</f>
        <v/>
      </c>
      <c r="F2803" s="24">
        <f>IF($D2803="","",IFERROR(VLOOKUP($D2803,物料档案!$A$4:$P$1203,4,0),"※编码不在物料档案里"))</f>
        <v/>
      </c>
      <c r="G2803" s="24">
        <f>IF($D2803="","",IFERROR(VLOOKUP($D2803,物料档案!$A$4:$P$1203,5,0),"※编码不在物料档案里"))</f>
        <v/>
      </c>
      <c r="H2803" s="24">
        <f>IF($D2803="","",IFERROR(VLOOKUP($D2803,物料档案!$A$4:$P$1203,2,0),"※编码不在物料档案里"))</f>
        <v/>
      </c>
      <c r="I2803" s="24">
        <f>IF($D2803="","",IFERROR(VLOOKUP($D2803,物料档案!$A$4:$P$1203,6,0),"※编码不在物料档案里"))</f>
        <v/>
      </c>
      <c r="J2803" s="23" t="n"/>
      <c r="K2803" s="17" t="n"/>
      <c r="L2803" s="17" t="n"/>
      <c r="M2803" s="17" t="n"/>
      <c r="N2803" s="17" t="n"/>
      <c r="O2803" s="26">
        <f>IF($D2803="","",IFERROR(VLOOKUP($D2803,物料档案!$A$4:$P$1203,10,0),0))</f>
        <v/>
      </c>
      <c r="P2803" s="32" t="n"/>
      <c r="Q2803" s="26">
        <f>IF($D2803="","",IF($K2803&lt;&gt;"对外销售",0,ROUND(N($J2803)*IF($P2803="",N($O2803),N($P2803)),0)))</f>
        <v/>
      </c>
      <c r="R2803" s="26">
        <f>IF($D2803="","",IFERROR(VLOOKUP($D2803,库存台账!$A$5:$Y$1204,11,0),0))</f>
        <v/>
      </c>
      <c r="S2803" s="26">
        <f>IF($D2803="","",ROUND(N($J2803)*N($R2803),0))</f>
        <v/>
      </c>
      <c r="T2803" s="26">
        <f>IF($D2803="","",IF($K2803&lt;&gt;"对外销售","",ROUND($Q2803-$S2803,0)))</f>
        <v/>
      </c>
      <c r="U2803" s="17" t="n"/>
      <c r="V2803" s="17" t="n"/>
      <c r="W2803" s="24">
        <f>IF($D2803="","",IF($E2803="※编码不在物料档案里","※物料编码不在档案里",IF(N($J2803)&lt;=0,"※出库数量要大于 0",IF($K2803="","※没填去向类型",IF($L2803="","※没填去向矿区",IF(AND($C2803&lt;&gt;"",$C2803&lt;=结账锁),"※日期早于已结账截止日，不能再录",IF(AND($K2803="自用消耗",COUNTIF({"一矿区";"二矿区"},$L2803)=0),"※自用消耗的去向只能是一矿区或二矿区",IF(AND($K2803="对外销售",COUNTIF({"三矿区";"六矿区"},$L2803)=0),"※对外销售的去向只能是三矿区或六矿区",IF(AND($K2803="对外销售",ROUND($Q2803,0)=0),"※外销却没有售价，请填实际售价",IF(AND($K2803="对外销售",$T2803&lt;&gt;"",$T2803&lt;0),"※这一笔外销是亏的，请核对售价",IF(IFERROR(VLOOKUP($D2803,库存台账!$A$5:$Y$1204,24,0),0)&lt;-0.001,"※这个物料账面已经变成负数了，查一下是不是漏记入库","")))))))))))</f>
        <v/>
      </c>
    </row>
    <row r="2804">
      <c r="A2804" s="24">
        <f>IF($D2804="","",COUNTA($D$4:$D2804))</f>
        <v/>
      </c>
      <c r="B2804" s="17" t="n"/>
      <c r="C2804" s="30" t="n"/>
      <c r="D2804" s="17" t="n"/>
      <c r="E2804" s="24">
        <f>IF($D2804="","",IFERROR(VLOOKUP($D2804,物料档案!$A$4:$P$1203,3,0),"※编码不在物料档案里"))</f>
        <v/>
      </c>
      <c r="F2804" s="24">
        <f>IF($D2804="","",IFERROR(VLOOKUP($D2804,物料档案!$A$4:$P$1203,4,0),"※编码不在物料档案里"))</f>
        <v/>
      </c>
      <c r="G2804" s="24">
        <f>IF($D2804="","",IFERROR(VLOOKUP($D2804,物料档案!$A$4:$P$1203,5,0),"※编码不在物料档案里"))</f>
        <v/>
      </c>
      <c r="H2804" s="24">
        <f>IF($D2804="","",IFERROR(VLOOKUP($D2804,物料档案!$A$4:$P$1203,2,0),"※编码不在物料档案里"))</f>
        <v/>
      </c>
      <c r="I2804" s="24">
        <f>IF($D2804="","",IFERROR(VLOOKUP($D2804,物料档案!$A$4:$P$1203,6,0),"※编码不在物料档案里"))</f>
        <v/>
      </c>
      <c r="J2804" s="23" t="n"/>
      <c r="K2804" s="17" t="n"/>
      <c r="L2804" s="17" t="n"/>
      <c r="M2804" s="17" t="n"/>
      <c r="N2804" s="17" t="n"/>
      <c r="O2804" s="26">
        <f>IF($D2804="","",IFERROR(VLOOKUP($D2804,物料档案!$A$4:$P$1203,10,0),0))</f>
        <v/>
      </c>
      <c r="P2804" s="32" t="n"/>
      <c r="Q2804" s="26">
        <f>IF($D2804="","",IF($K2804&lt;&gt;"对外销售",0,ROUND(N($J2804)*IF($P2804="",N($O2804),N($P2804)),0)))</f>
        <v/>
      </c>
      <c r="R2804" s="26">
        <f>IF($D2804="","",IFERROR(VLOOKUP($D2804,库存台账!$A$5:$Y$1204,11,0),0))</f>
        <v/>
      </c>
      <c r="S2804" s="26">
        <f>IF($D2804="","",ROUND(N($J2804)*N($R2804),0))</f>
        <v/>
      </c>
      <c r="T2804" s="26">
        <f>IF($D2804="","",IF($K2804&lt;&gt;"对外销售","",ROUND($Q2804-$S2804,0)))</f>
        <v/>
      </c>
      <c r="U2804" s="17" t="n"/>
      <c r="V2804" s="17" t="n"/>
      <c r="W2804" s="24">
        <f>IF($D2804="","",IF($E2804="※编码不在物料档案里","※物料编码不在档案里",IF(N($J2804)&lt;=0,"※出库数量要大于 0",IF($K2804="","※没填去向类型",IF($L2804="","※没填去向矿区",IF(AND($C2804&lt;&gt;"",$C2804&lt;=结账锁),"※日期早于已结账截止日，不能再录",IF(AND($K2804="自用消耗",COUNTIF({"一矿区";"二矿区"},$L2804)=0),"※自用消耗的去向只能是一矿区或二矿区",IF(AND($K2804="对外销售",COUNTIF({"三矿区";"六矿区"},$L2804)=0),"※对外销售的去向只能是三矿区或六矿区",IF(AND($K2804="对外销售",ROUND($Q2804,0)=0),"※外销却没有售价，请填实际售价",IF(AND($K2804="对外销售",$T2804&lt;&gt;"",$T2804&lt;0),"※这一笔外销是亏的，请核对售价",IF(IFERROR(VLOOKUP($D2804,库存台账!$A$5:$Y$1204,24,0),0)&lt;-0.001,"※这个物料账面已经变成负数了，查一下是不是漏记入库","")))))))))))</f>
        <v/>
      </c>
    </row>
    <row r="2805">
      <c r="A2805" s="24">
        <f>IF($D2805="","",COUNTA($D$4:$D2805))</f>
        <v/>
      </c>
      <c r="B2805" s="17" t="n"/>
      <c r="C2805" s="30" t="n"/>
      <c r="D2805" s="17" t="n"/>
      <c r="E2805" s="24">
        <f>IF($D2805="","",IFERROR(VLOOKUP($D2805,物料档案!$A$4:$P$1203,3,0),"※编码不在物料档案里"))</f>
        <v/>
      </c>
      <c r="F2805" s="24">
        <f>IF($D2805="","",IFERROR(VLOOKUP($D2805,物料档案!$A$4:$P$1203,4,0),"※编码不在物料档案里"))</f>
        <v/>
      </c>
      <c r="G2805" s="24">
        <f>IF($D2805="","",IFERROR(VLOOKUP($D2805,物料档案!$A$4:$P$1203,5,0),"※编码不在物料档案里"))</f>
        <v/>
      </c>
      <c r="H2805" s="24">
        <f>IF($D2805="","",IFERROR(VLOOKUP($D2805,物料档案!$A$4:$P$1203,2,0),"※编码不在物料档案里"))</f>
        <v/>
      </c>
      <c r="I2805" s="24">
        <f>IF($D2805="","",IFERROR(VLOOKUP($D2805,物料档案!$A$4:$P$1203,6,0),"※编码不在物料档案里"))</f>
        <v/>
      </c>
      <c r="J2805" s="23" t="n"/>
      <c r="K2805" s="17" t="n"/>
      <c r="L2805" s="17" t="n"/>
      <c r="M2805" s="17" t="n"/>
      <c r="N2805" s="17" t="n"/>
      <c r="O2805" s="26">
        <f>IF($D2805="","",IFERROR(VLOOKUP($D2805,物料档案!$A$4:$P$1203,10,0),0))</f>
        <v/>
      </c>
      <c r="P2805" s="32" t="n"/>
      <c r="Q2805" s="26">
        <f>IF($D2805="","",IF($K2805&lt;&gt;"对外销售",0,ROUND(N($J2805)*IF($P2805="",N($O2805),N($P2805)),0)))</f>
        <v/>
      </c>
      <c r="R2805" s="26">
        <f>IF($D2805="","",IFERROR(VLOOKUP($D2805,库存台账!$A$5:$Y$1204,11,0),0))</f>
        <v/>
      </c>
      <c r="S2805" s="26">
        <f>IF($D2805="","",ROUND(N($J2805)*N($R2805),0))</f>
        <v/>
      </c>
      <c r="T2805" s="26">
        <f>IF($D2805="","",IF($K2805&lt;&gt;"对外销售","",ROUND($Q2805-$S2805,0)))</f>
        <v/>
      </c>
      <c r="U2805" s="17" t="n"/>
      <c r="V2805" s="17" t="n"/>
      <c r="W2805" s="24">
        <f>IF($D2805="","",IF($E2805="※编码不在物料档案里","※物料编码不在档案里",IF(N($J2805)&lt;=0,"※出库数量要大于 0",IF($K2805="","※没填去向类型",IF($L2805="","※没填去向矿区",IF(AND($C2805&lt;&gt;"",$C2805&lt;=结账锁),"※日期早于已结账截止日，不能再录",IF(AND($K2805="自用消耗",COUNTIF({"一矿区";"二矿区"},$L2805)=0),"※自用消耗的去向只能是一矿区或二矿区",IF(AND($K2805="对外销售",COUNTIF({"三矿区";"六矿区"},$L2805)=0),"※对外销售的去向只能是三矿区或六矿区",IF(AND($K2805="对外销售",ROUND($Q2805,0)=0),"※外销却没有售价，请填实际售价",IF(AND($K2805="对外销售",$T2805&lt;&gt;"",$T2805&lt;0),"※这一笔外销是亏的，请核对售价",IF(IFERROR(VLOOKUP($D2805,库存台账!$A$5:$Y$1204,24,0),0)&lt;-0.001,"※这个物料账面已经变成负数了，查一下是不是漏记入库","")))))))))))</f>
        <v/>
      </c>
    </row>
    <row r="2806">
      <c r="A2806" s="24">
        <f>IF($D2806="","",COUNTA($D$4:$D2806))</f>
        <v/>
      </c>
      <c r="B2806" s="17" t="n"/>
      <c r="C2806" s="30" t="n"/>
      <c r="D2806" s="17" t="n"/>
      <c r="E2806" s="24">
        <f>IF($D2806="","",IFERROR(VLOOKUP($D2806,物料档案!$A$4:$P$1203,3,0),"※编码不在物料档案里"))</f>
        <v/>
      </c>
      <c r="F2806" s="24">
        <f>IF($D2806="","",IFERROR(VLOOKUP($D2806,物料档案!$A$4:$P$1203,4,0),"※编码不在物料档案里"))</f>
        <v/>
      </c>
      <c r="G2806" s="24">
        <f>IF($D2806="","",IFERROR(VLOOKUP($D2806,物料档案!$A$4:$P$1203,5,0),"※编码不在物料档案里"))</f>
        <v/>
      </c>
      <c r="H2806" s="24">
        <f>IF($D2806="","",IFERROR(VLOOKUP($D2806,物料档案!$A$4:$P$1203,2,0),"※编码不在物料档案里"))</f>
        <v/>
      </c>
      <c r="I2806" s="24">
        <f>IF($D2806="","",IFERROR(VLOOKUP($D2806,物料档案!$A$4:$P$1203,6,0),"※编码不在物料档案里"))</f>
        <v/>
      </c>
      <c r="J2806" s="23" t="n"/>
      <c r="K2806" s="17" t="n"/>
      <c r="L2806" s="17" t="n"/>
      <c r="M2806" s="17" t="n"/>
      <c r="N2806" s="17" t="n"/>
      <c r="O2806" s="26">
        <f>IF($D2806="","",IFERROR(VLOOKUP($D2806,物料档案!$A$4:$P$1203,10,0),0))</f>
        <v/>
      </c>
      <c r="P2806" s="32" t="n"/>
      <c r="Q2806" s="26">
        <f>IF($D2806="","",IF($K2806&lt;&gt;"对外销售",0,ROUND(N($J2806)*IF($P2806="",N($O2806),N($P2806)),0)))</f>
        <v/>
      </c>
      <c r="R2806" s="26">
        <f>IF($D2806="","",IFERROR(VLOOKUP($D2806,库存台账!$A$5:$Y$1204,11,0),0))</f>
        <v/>
      </c>
      <c r="S2806" s="26">
        <f>IF($D2806="","",ROUND(N($J2806)*N($R2806),0))</f>
        <v/>
      </c>
      <c r="T2806" s="26">
        <f>IF($D2806="","",IF($K2806&lt;&gt;"对外销售","",ROUND($Q2806-$S2806,0)))</f>
        <v/>
      </c>
      <c r="U2806" s="17" t="n"/>
      <c r="V2806" s="17" t="n"/>
      <c r="W2806" s="24">
        <f>IF($D2806="","",IF($E2806="※编码不在物料档案里","※物料编码不在档案里",IF(N($J2806)&lt;=0,"※出库数量要大于 0",IF($K2806="","※没填去向类型",IF($L2806="","※没填去向矿区",IF(AND($C2806&lt;&gt;"",$C2806&lt;=结账锁),"※日期早于已结账截止日，不能再录",IF(AND($K2806="自用消耗",COUNTIF({"一矿区";"二矿区"},$L2806)=0),"※自用消耗的去向只能是一矿区或二矿区",IF(AND($K2806="对外销售",COUNTIF({"三矿区";"六矿区"},$L2806)=0),"※对外销售的去向只能是三矿区或六矿区",IF(AND($K2806="对外销售",ROUND($Q2806,0)=0),"※外销却没有售价，请填实际售价",IF(AND($K2806="对外销售",$T2806&lt;&gt;"",$T2806&lt;0),"※这一笔外销是亏的，请核对售价",IF(IFERROR(VLOOKUP($D2806,库存台账!$A$5:$Y$1204,24,0),0)&lt;-0.001,"※这个物料账面已经变成负数了，查一下是不是漏记入库","")))))))))))</f>
        <v/>
      </c>
    </row>
    <row r="2807">
      <c r="A2807" s="24">
        <f>IF($D2807="","",COUNTA($D$4:$D2807))</f>
        <v/>
      </c>
      <c r="B2807" s="17" t="n"/>
      <c r="C2807" s="30" t="n"/>
      <c r="D2807" s="17" t="n"/>
      <c r="E2807" s="24">
        <f>IF($D2807="","",IFERROR(VLOOKUP($D2807,物料档案!$A$4:$P$1203,3,0),"※编码不在物料档案里"))</f>
        <v/>
      </c>
      <c r="F2807" s="24">
        <f>IF($D2807="","",IFERROR(VLOOKUP($D2807,物料档案!$A$4:$P$1203,4,0),"※编码不在物料档案里"))</f>
        <v/>
      </c>
      <c r="G2807" s="24">
        <f>IF($D2807="","",IFERROR(VLOOKUP($D2807,物料档案!$A$4:$P$1203,5,0),"※编码不在物料档案里"))</f>
        <v/>
      </c>
      <c r="H2807" s="24">
        <f>IF($D2807="","",IFERROR(VLOOKUP($D2807,物料档案!$A$4:$P$1203,2,0),"※编码不在物料档案里"))</f>
        <v/>
      </c>
      <c r="I2807" s="24">
        <f>IF($D2807="","",IFERROR(VLOOKUP($D2807,物料档案!$A$4:$P$1203,6,0),"※编码不在物料档案里"))</f>
        <v/>
      </c>
      <c r="J2807" s="23" t="n"/>
      <c r="K2807" s="17" t="n"/>
      <c r="L2807" s="17" t="n"/>
      <c r="M2807" s="17" t="n"/>
      <c r="N2807" s="17" t="n"/>
      <c r="O2807" s="26">
        <f>IF($D2807="","",IFERROR(VLOOKUP($D2807,物料档案!$A$4:$P$1203,10,0),0))</f>
        <v/>
      </c>
      <c r="P2807" s="32" t="n"/>
      <c r="Q2807" s="26">
        <f>IF($D2807="","",IF($K2807&lt;&gt;"对外销售",0,ROUND(N($J2807)*IF($P2807="",N($O2807),N($P2807)),0)))</f>
        <v/>
      </c>
      <c r="R2807" s="26">
        <f>IF($D2807="","",IFERROR(VLOOKUP($D2807,库存台账!$A$5:$Y$1204,11,0),0))</f>
        <v/>
      </c>
      <c r="S2807" s="26">
        <f>IF($D2807="","",ROUND(N($J2807)*N($R2807),0))</f>
        <v/>
      </c>
      <c r="T2807" s="26">
        <f>IF($D2807="","",IF($K2807&lt;&gt;"对外销售","",ROUND($Q2807-$S2807,0)))</f>
        <v/>
      </c>
      <c r="U2807" s="17" t="n"/>
      <c r="V2807" s="17" t="n"/>
      <c r="W2807" s="24">
        <f>IF($D2807="","",IF($E2807="※编码不在物料档案里","※物料编码不在档案里",IF(N($J2807)&lt;=0,"※出库数量要大于 0",IF($K2807="","※没填去向类型",IF($L2807="","※没填去向矿区",IF(AND($C2807&lt;&gt;"",$C2807&lt;=结账锁),"※日期早于已结账截止日，不能再录",IF(AND($K2807="自用消耗",COUNTIF({"一矿区";"二矿区"},$L2807)=0),"※自用消耗的去向只能是一矿区或二矿区",IF(AND($K2807="对外销售",COUNTIF({"三矿区";"六矿区"},$L2807)=0),"※对外销售的去向只能是三矿区或六矿区",IF(AND($K2807="对外销售",ROUND($Q2807,0)=0),"※外销却没有售价，请填实际售价",IF(AND($K2807="对外销售",$T2807&lt;&gt;"",$T2807&lt;0),"※这一笔外销是亏的，请核对售价",IF(IFERROR(VLOOKUP($D2807,库存台账!$A$5:$Y$1204,24,0),0)&lt;-0.001,"※这个物料账面已经变成负数了，查一下是不是漏记入库","")))))))))))</f>
        <v/>
      </c>
    </row>
    <row r="2808">
      <c r="A2808" s="24">
        <f>IF($D2808="","",COUNTA($D$4:$D2808))</f>
        <v/>
      </c>
      <c r="B2808" s="17" t="n"/>
      <c r="C2808" s="30" t="n"/>
      <c r="D2808" s="17" t="n"/>
      <c r="E2808" s="24">
        <f>IF($D2808="","",IFERROR(VLOOKUP($D2808,物料档案!$A$4:$P$1203,3,0),"※编码不在物料档案里"))</f>
        <v/>
      </c>
      <c r="F2808" s="24">
        <f>IF($D2808="","",IFERROR(VLOOKUP($D2808,物料档案!$A$4:$P$1203,4,0),"※编码不在物料档案里"))</f>
        <v/>
      </c>
      <c r="G2808" s="24">
        <f>IF($D2808="","",IFERROR(VLOOKUP($D2808,物料档案!$A$4:$P$1203,5,0),"※编码不在物料档案里"))</f>
        <v/>
      </c>
      <c r="H2808" s="24">
        <f>IF($D2808="","",IFERROR(VLOOKUP($D2808,物料档案!$A$4:$P$1203,2,0),"※编码不在物料档案里"))</f>
        <v/>
      </c>
      <c r="I2808" s="24">
        <f>IF($D2808="","",IFERROR(VLOOKUP($D2808,物料档案!$A$4:$P$1203,6,0),"※编码不在物料档案里"))</f>
        <v/>
      </c>
      <c r="J2808" s="23" t="n"/>
      <c r="K2808" s="17" t="n"/>
      <c r="L2808" s="17" t="n"/>
      <c r="M2808" s="17" t="n"/>
      <c r="N2808" s="17" t="n"/>
      <c r="O2808" s="26">
        <f>IF($D2808="","",IFERROR(VLOOKUP($D2808,物料档案!$A$4:$P$1203,10,0),0))</f>
        <v/>
      </c>
      <c r="P2808" s="32" t="n"/>
      <c r="Q2808" s="26">
        <f>IF($D2808="","",IF($K2808&lt;&gt;"对外销售",0,ROUND(N($J2808)*IF($P2808="",N($O2808),N($P2808)),0)))</f>
        <v/>
      </c>
      <c r="R2808" s="26">
        <f>IF($D2808="","",IFERROR(VLOOKUP($D2808,库存台账!$A$5:$Y$1204,11,0),0))</f>
        <v/>
      </c>
      <c r="S2808" s="26">
        <f>IF($D2808="","",ROUND(N($J2808)*N($R2808),0))</f>
        <v/>
      </c>
      <c r="T2808" s="26">
        <f>IF($D2808="","",IF($K2808&lt;&gt;"对外销售","",ROUND($Q2808-$S2808,0)))</f>
        <v/>
      </c>
      <c r="U2808" s="17" t="n"/>
      <c r="V2808" s="17" t="n"/>
      <c r="W2808" s="24">
        <f>IF($D2808="","",IF($E2808="※编码不在物料档案里","※物料编码不在档案里",IF(N($J2808)&lt;=0,"※出库数量要大于 0",IF($K2808="","※没填去向类型",IF($L2808="","※没填去向矿区",IF(AND($C2808&lt;&gt;"",$C2808&lt;=结账锁),"※日期早于已结账截止日，不能再录",IF(AND($K2808="自用消耗",COUNTIF({"一矿区";"二矿区"},$L2808)=0),"※自用消耗的去向只能是一矿区或二矿区",IF(AND($K2808="对外销售",COUNTIF({"三矿区";"六矿区"},$L2808)=0),"※对外销售的去向只能是三矿区或六矿区",IF(AND($K2808="对外销售",ROUND($Q2808,0)=0),"※外销却没有售价，请填实际售价",IF(AND($K2808="对外销售",$T2808&lt;&gt;"",$T2808&lt;0),"※这一笔外销是亏的，请核对售价",IF(IFERROR(VLOOKUP($D2808,库存台账!$A$5:$Y$1204,24,0),0)&lt;-0.001,"※这个物料账面已经变成负数了，查一下是不是漏记入库","")))))))))))</f>
        <v/>
      </c>
    </row>
    <row r="2809">
      <c r="A2809" s="24">
        <f>IF($D2809="","",COUNTA($D$4:$D2809))</f>
        <v/>
      </c>
      <c r="B2809" s="17" t="n"/>
      <c r="C2809" s="30" t="n"/>
      <c r="D2809" s="17" t="n"/>
      <c r="E2809" s="24">
        <f>IF($D2809="","",IFERROR(VLOOKUP($D2809,物料档案!$A$4:$P$1203,3,0),"※编码不在物料档案里"))</f>
        <v/>
      </c>
      <c r="F2809" s="24">
        <f>IF($D2809="","",IFERROR(VLOOKUP($D2809,物料档案!$A$4:$P$1203,4,0),"※编码不在物料档案里"))</f>
        <v/>
      </c>
      <c r="G2809" s="24">
        <f>IF($D2809="","",IFERROR(VLOOKUP($D2809,物料档案!$A$4:$P$1203,5,0),"※编码不在物料档案里"))</f>
        <v/>
      </c>
      <c r="H2809" s="24">
        <f>IF($D2809="","",IFERROR(VLOOKUP($D2809,物料档案!$A$4:$P$1203,2,0),"※编码不在物料档案里"))</f>
        <v/>
      </c>
      <c r="I2809" s="24">
        <f>IF($D2809="","",IFERROR(VLOOKUP($D2809,物料档案!$A$4:$P$1203,6,0),"※编码不在物料档案里"))</f>
        <v/>
      </c>
      <c r="J2809" s="23" t="n"/>
      <c r="K2809" s="17" t="n"/>
      <c r="L2809" s="17" t="n"/>
      <c r="M2809" s="17" t="n"/>
      <c r="N2809" s="17" t="n"/>
      <c r="O2809" s="26">
        <f>IF($D2809="","",IFERROR(VLOOKUP($D2809,物料档案!$A$4:$P$1203,10,0),0))</f>
        <v/>
      </c>
      <c r="P2809" s="32" t="n"/>
      <c r="Q2809" s="26">
        <f>IF($D2809="","",IF($K2809&lt;&gt;"对外销售",0,ROUND(N($J2809)*IF($P2809="",N($O2809),N($P2809)),0)))</f>
        <v/>
      </c>
      <c r="R2809" s="26">
        <f>IF($D2809="","",IFERROR(VLOOKUP($D2809,库存台账!$A$5:$Y$1204,11,0),0))</f>
        <v/>
      </c>
      <c r="S2809" s="26">
        <f>IF($D2809="","",ROUND(N($J2809)*N($R2809),0))</f>
        <v/>
      </c>
      <c r="T2809" s="26">
        <f>IF($D2809="","",IF($K2809&lt;&gt;"对外销售","",ROUND($Q2809-$S2809,0)))</f>
        <v/>
      </c>
      <c r="U2809" s="17" t="n"/>
      <c r="V2809" s="17" t="n"/>
      <c r="W2809" s="24">
        <f>IF($D2809="","",IF($E2809="※编码不在物料档案里","※物料编码不在档案里",IF(N($J2809)&lt;=0,"※出库数量要大于 0",IF($K2809="","※没填去向类型",IF($L2809="","※没填去向矿区",IF(AND($C2809&lt;&gt;"",$C2809&lt;=结账锁),"※日期早于已结账截止日，不能再录",IF(AND($K2809="自用消耗",COUNTIF({"一矿区";"二矿区"},$L2809)=0),"※自用消耗的去向只能是一矿区或二矿区",IF(AND($K2809="对外销售",COUNTIF({"三矿区";"六矿区"},$L2809)=0),"※对外销售的去向只能是三矿区或六矿区",IF(AND($K2809="对外销售",ROUND($Q2809,0)=0),"※外销却没有售价，请填实际售价",IF(AND($K2809="对外销售",$T2809&lt;&gt;"",$T2809&lt;0),"※这一笔外销是亏的，请核对售价",IF(IFERROR(VLOOKUP($D2809,库存台账!$A$5:$Y$1204,24,0),0)&lt;-0.001,"※这个物料账面已经变成负数了，查一下是不是漏记入库","")))))))))))</f>
        <v/>
      </c>
    </row>
    <row r="2810">
      <c r="A2810" s="24">
        <f>IF($D2810="","",COUNTA($D$4:$D2810))</f>
        <v/>
      </c>
      <c r="B2810" s="17" t="n"/>
      <c r="C2810" s="30" t="n"/>
      <c r="D2810" s="17" t="n"/>
      <c r="E2810" s="24">
        <f>IF($D2810="","",IFERROR(VLOOKUP($D2810,物料档案!$A$4:$P$1203,3,0),"※编码不在物料档案里"))</f>
        <v/>
      </c>
      <c r="F2810" s="24">
        <f>IF($D2810="","",IFERROR(VLOOKUP($D2810,物料档案!$A$4:$P$1203,4,0),"※编码不在物料档案里"))</f>
        <v/>
      </c>
      <c r="G2810" s="24">
        <f>IF($D2810="","",IFERROR(VLOOKUP($D2810,物料档案!$A$4:$P$1203,5,0),"※编码不在物料档案里"))</f>
        <v/>
      </c>
      <c r="H2810" s="24">
        <f>IF($D2810="","",IFERROR(VLOOKUP($D2810,物料档案!$A$4:$P$1203,2,0),"※编码不在物料档案里"))</f>
        <v/>
      </c>
      <c r="I2810" s="24">
        <f>IF($D2810="","",IFERROR(VLOOKUP($D2810,物料档案!$A$4:$P$1203,6,0),"※编码不在物料档案里"))</f>
        <v/>
      </c>
      <c r="J2810" s="23" t="n"/>
      <c r="K2810" s="17" t="n"/>
      <c r="L2810" s="17" t="n"/>
      <c r="M2810" s="17" t="n"/>
      <c r="N2810" s="17" t="n"/>
      <c r="O2810" s="26">
        <f>IF($D2810="","",IFERROR(VLOOKUP($D2810,物料档案!$A$4:$P$1203,10,0),0))</f>
        <v/>
      </c>
      <c r="P2810" s="32" t="n"/>
      <c r="Q2810" s="26">
        <f>IF($D2810="","",IF($K2810&lt;&gt;"对外销售",0,ROUND(N($J2810)*IF($P2810="",N($O2810),N($P2810)),0)))</f>
        <v/>
      </c>
      <c r="R2810" s="26">
        <f>IF($D2810="","",IFERROR(VLOOKUP($D2810,库存台账!$A$5:$Y$1204,11,0),0))</f>
        <v/>
      </c>
      <c r="S2810" s="26">
        <f>IF($D2810="","",ROUND(N($J2810)*N($R2810),0))</f>
        <v/>
      </c>
      <c r="T2810" s="26">
        <f>IF($D2810="","",IF($K2810&lt;&gt;"对外销售","",ROUND($Q2810-$S2810,0)))</f>
        <v/>
      </c>
      <c r="U2810" s="17" t="n"/>
      <c r="V2810" s="17" t="n"/>
      <c r="W2810" s="24">
        <f>IF($D2810="","",IF($E2810="※编码不在物料档案里","※物料编码不在档案里",IF(N($J2810)&lt;=0,"※出库数量要大于 0",IF($K2810="","※没填去向类型",IF($L2810="","※没填去向矿区",IF(AND($C2810&lt;&gt;"",$C2810&lt;=结账锁),"※日期早于已结账截止日，不能再录",IF(AND($K2810="自用消耗",COUNTIF({"一矿区";"二矿区"},$L2810)=0),"※自用消耗的去向只能是一矿区或二矿区",IF(AND($K2810="对外销售",COUNTIF({"三矿区";"六矿区"},$L2810)=0),"※对外销售的去向只能是三矿区或六矿区",IF(AND($K2810="对外销售",ROUND($Q2810,0)=0),"※外销却没有售价，请填实际售价",IF(AND($K2810="对外销售",$T2810&lt;&gt;"",$T2810&lt;0),"※这一笔外销是亏的，请核对售价",IF(IFERROR(VLOOKUP($D2810,库存台账!$A$5:$Y$1204,24,0),0)&lt;-0.001,"※这个物料账面已经变成负数了，查一下是不是漏记入库","")))))))))))</f>
        <v/>
      </c>
    </row>
    <row r="2811">
      <c r="A2811" s="24">
        <f>IF($D2811="","",COUNTA($D$4:$D2811))</f>
        <v/>
      </c>
      <c r="B2811" s="17" t="n"/>
      <c r="C2811" s="30" t="n"/>
      <c r="D2811" s="17" t="n"/>
      <c r="E2811" s="24">
        <f>IF($D2811="","",IFERROR(VLOOKUP($D2811,物料档案!$A$4:$P$1203,3,0),"※编码不在物料档案里"))</f>
        <v/>
      </c>
      <c r="F2811" s="24">
        <f>IF($D2811="","",IFERROR(VLOOKUP($D2811,物料档案!$A$4:$P$1203,4,0),"※编码不在物料档案里"))</f>
        <v/>
      </c>
      <c r="G2811" s="24">
        <f>IF($D2811="","",IFERROR(VLOOKUP($D2811,物料档案!$A$4:$P$1203,5,0),"※编码不在物料档案里"))</f>
        <v/>
      </c>
      <c r="H2811" s="24">
        <f>IF($D2811="","",IFERROR(VLOOKUP($D2811,物料档案!$A$4:$P$1203,2,0),"※编码不在物料档案里"))</f>
        <v/>
      </c>
      <c r="I2811" s="24">
        <f>IF($D2811="","",IFERROR(VLOOKUP($D2811,物料档案!$A$4:$P$1203,6,0),"※编码不在物料档案里"))</f>
        <v/>
      </c>
      <c r="J2811" s="23" t="n"/>
      <c r="K2811" s="17" t="n"/>
      <c r="L2811" s="17" t="n"/>
      <c r="M2811" s="17" t="n"/>
      <c r="N2811" s="17" t="n"/>
      <c r="O2811" s="26">
        <f>IF($D2811="","",IFERROR(VLOOKUP($D2811,物料档案!$A$4:$P$1203,10,0),0))</f>
        <v/>
      </c>
      <c r="P2811" s="32" t="n"/>
      <c r="Q2811" s="26">
        <f>IF($D2811="","",IF($K2811&lt;&gt;"对外销售",0,ROUND(N($J2811)*IF($P2811="",N($O2811),N($P2811)),0)))</f>
        <v/>
      </c>
      <c r="R2811" s="26">
        <f>IF($D2811="","",IFERROR(VLOOKUP($D2811,库存台账!$A$5:$Y$1204,11,0),0))</f>
        <v/>
      </c>
      <c r="S2811" s="26">
        <f>IF($D2811="","",ROUND(N($J2811)*N($R2811),0))</f>
        <v/>
      </c>
      <c r="T2811" s="26">
        <f>IF($D2811="","",IF($K2811&lt;&gt;"对外销售","",ROUND($Q2811-$S2811,0)))</f>
        <v/>
      </c>
      <c r="U2811" s="17" t="n"/>
      <c r="V2811" s="17" t="n"/>
      <c r="W2811" s="24">
        <f>IF($D2811="","",IF($E2811="※编码不在物料档案里","※物料编码不在档案里",IF(N($J2811)&lt;=0,"※出库数量要大于 0",IF($K2811="","※没填去向类型",IF($L2811="","※没填去向矿区",IF(AND($C2811&lt;&gt;"",$C2811&lt;=结账锁),"※日期早于已结账截止日，不能再录",IF(AND($K2811="自用消耗",COUNTIF({"一矿区";"二矿区"},$L2811)=0),"※自用消耗的去向只能是一矿区或二矿区",IF(AND($K2811="对外销售",COUNTIF({"三矿区";"六矿区"},$L2811)=0),"※对外销售的去向只能是三矿区或六矿区",IF(AND($K2811="对外销售",ROUND($Q2811,0)=0),"※外销却没有售价，请填实际售价",IF(AND($K2811="对外销售",$T2811&lt;&gt;"",$T2811&lt;0),"※这一笔外销是亏的，请核对售价",IF(IFERROR(VLOOKUP($D2811,库存台账!$A$5:$Y$1204,24,0),0)&lt;-0.001,"※这个物料账面已经变成负数了，查一下是不是漏记入库","")))))))))))</f>
        <v/>
      </c>
    </row>
    <row r="2812">
      <c r="A2812" s="24">
        <f>IF($D2812="","",COUNTA($D$4:$D2812))</f>
        <v/>
      </c>
      <c r="B2812" s="17" t="n"/>
      <c r="C2812" s="30" t="n"/>
      <c r="D2812" s="17" t="n"/>
      <c r="E2812" s="24">
        <f>IF($D2812="","",IFERROR(VLOOKUP($D2812,物料档案!$A$4:$P$1203,3,0),"※编码不在物料档案里"))</f>
        <v/>
      </c>
      <c r="F2812" s="24">
        <f>IF($D2812="","",IFERROR(VLOOKUP($D2812,物料档案!$A$4:$P$1203,4,0),"※编码不在物料档案里"))</f>
        <v/>
      </c>
      <c r="G2812" s="24">
        <f>IF($D2812="","",IFERROR(VLOOKUP($D2812,物料档案!$A$4:$P$1203,5,0),"※编码不在物料档案里"))</f>
        <v/>
      </c>
      <c r="H2812" s="24">
        <f>IF($D2812="","",IFERROR(VLOOKUP($D2812,物料档案!$A$4:$P$1203,2,0),"※编码不在物料档案里"))</f>
        <v/>
      </c>
      <c r="I2812" s="24">
        <f>IF($D2812="","",IFERROR(VLOOKUP($D2812,物料档案!$A$4:$P$1203,6,0),"※编码不在物料档案里"))</f>
        <v/>
      </c>
      <c r="J2812" s="23" t="n"/>
      <c r="K2812" s="17" t="n"/>
      <c r="L2812" s="17" t="n"/>
      <c r="M2812" s="17" t="n"/>
      <c r="N2812" s="17" t="n"/>
      <c r="O2812" s="26">
        <f>IF($D2812="","",IFERROR(VLOOKUP($D2812,物料档案!$A$4:$P$1203,10,0),0))</f>
        <v/>
      </c>
      <c r="P2812" s="32" t="n"/>
      <c r="Q2812" s="26">
        <f>IF($D2812="","",IF($K2812&lt;&gt;"对外销售",0,ROUND(N($J2812)*IF($P2812="",N($O2812),N($P2812)),0)))</f>
        <v/>
      </c>
      <c r="R2812" s="26">
        <f>IF($D2812="","",IFERROR(VLOOKUP($D2812,库存台账!$A$5:$Y$1204,11,0),0))</f>
        <v/>
      </c>
      <c r="S2812" s="26">
        <f>IF($D2812="","",ROUND(N($J2812)*N($R2812),0))</f>
        <v/>
      </c>
      <c r="T2812" s="26">
        <f>IF($D2812="","",IF($K2812&lt;&gt;"对外销售","",ROUND($Q2812-$S2812,0)))</f>
        <v/>
      </c>
      <c r="U2812" s="17" t="n"/>
      <c r="V2812" s="17" t="n"/>
      <c r="W2812" s="24">
        <f>IF($D2812="","",IF($E2812="※编码不在物料档案里","※物料编码不在档案里",IF(N($J2812)&lt;=0,"※出库数量要大于 0",IF($K2812="","※没填去向类型",IF($L2812="","※没填去向矿区",IF(AND($C2812&lt;&gt;"",$C2812&lt;=结账锁),"※日期早于已结账截止日，不能再录",IF(AND($K2812="自用消耗",COUNTIF({"一矿区";"二矿区"},$L2812)=0),"※自用消耗的去向只能是一矿区或二矿区",IF(AND($K2812="对外销售",COUNTIF({"三矿区";"六矿区"},$L2812)=0),"※对外销售的去向只能是三矿区或六矿区",IF(AND($K2812="对外销售",ROUND($Q2812,0)=0),"※外销却没有售价，请填实际售价",IF(AND($K2812="对外销售",$T2812&lt;&gt;"",$T2812&lt;0),"※这一笔外销是亏的，请核对售价",IF(IFERROR(VLOOKUP($D2812,库存台账!$A$5:$Y$1204,24,0),0)&lt;-0.001,"※这个物料账面已经变成负数了，查一下是不是漏记入库","")))))))))))</f>
        <v/>
      </c>
    </row>
    <row r="2813">
      <c r="A2813" s="24">
        <f>IF($D2813="","",COUNTA($D$4:$D2813))</f>
        <v/>
      </c>
      <c r="B2813" s="17" t="n"/>
      <c r="C2813" s="30" t="n"/>
      <c r="D2813" s="17" t="n"/>
      <c r="E2813" s="24">
        <f>IF($D2813="","",IFERROR(VLOOKUP($D2813,物料档案!$A$4:$P$1203,3,0),"※编码不在物料档案里"))</f>
        <v/>
      </c>
      <c r="F2813" s="24">
        <f>IF($D2813="","",IFERROR(VLOOKUP($D2813,物料档案!$A$4:$P$1203,4,0),"※编码不在物料档案里"))</f>
        <v/>
      </c>
      <c r="G2813" s="24">
        <f>IF($D2813="","",IFERROR(VLOOKUP($D2813,物料档案!$A$4:$P$1203,5,0),"※编码不在物料档案里"))</f>
        <v/>
      </c>
      <c r="H2813" s="24">
        <f>IF($D2813="","",IFERROR(VLOOKUP($D2813,物料档案!$A$4:$P$1203,2,0),"※编码不在物料档案里"))</f>
        <v/>
      </c>
      <c r="I2813" s="24">
        <f>IF($D2813="","",IFERROR(VLOOKUP($D2813,物料档案!$A$4:$P$1203,6,0),"※编码不在物料档案里"))</f>
        <v/>
      </c>
      <c r="J2813" s="23" t="n"/>
      <c r="K2813" s="17" t="n"/>
      <c r="L2813" s="17" t="n"/>
      <c r="M2813" s="17" t="n"/>
      <c r="N2813" s="17" t="n"/>
      <c r="O2813" s="26">
        <f>IF($D2813="","",IFERROR(VLOOKUP($D2813,物料档案!$A$4:$P$1203,10,0),0))</f>
        <v/>
      </c>
      <c r="P2813" s="32" t="n"/>
      <c r="Q2813" s="26">
        <f>IF($D2813="","",IF($K2813&lt;&gt;"对外销售",0,ROUND(N($J2813)*IF($P2813="",N($O2813),N($P2813)),0)))</f>
        <v/>
      </c>
      <c r="R2813" s="26">
        <f>IF($D2813="","",IFERROR(VLOOKUP($D2813,库存台账!$A$5:$Y$1204,11,0),0))</f>
        <v/>
      </c>
      <c r="S2813" s="26">
        <f>IF($D2813="","",ROUND(N($J2813)*N($R2813),0))</f>
        <v/>
      </c>
      <c r="T2813" s="26">
        <f>IF($D2813="","",IF($K2813&lt;&gt;"对外销售","",ROUND($Q2813-$S2813,0)))</f>
        <v/>
      </c>
      <c r="U2813" s="17" t="n"/>
      <c r="V2813" s="17" t="n"/>
      <c r="W2813" s="24">
        <f>IF($D2813="","",IF($E2813="※编码不在物料档案里","※物料编码不在档案里",IF(N($J2813)&lt;=0,"※出库数量要大于 0",IF($K2813="","※没填去向类型",IF($L2813="","※没填去向矿区",IF(AND($C2813&lt;&gt;"",$C2813&lt;=结账锁),"※日期早于已结账截止日，不能再录",IF(AND($K2813="自用消耗",COUNTIF({"一矿区";"二矿区"},$L2813)=0),"※自用消耗的去向只能是一矿区或二矿区",IF(AND($K2813="对外销售",COUNTIF({"三矿区";"六矿区"},$L2813)=0),"※对外销售的去向只能是三矿区或六矿区",IF(AND($K2813="对外销售",ROUND($Q2813,0)=0),"※外销却没有售价，请填实际售价",IF(AND($K2813="对外销售",$T2813&lt;&gt;"",$T2813&lt;0),"※这一笔外销是亏的，请核对售价",IF(IFERROR(VLOOKUP($D2813,库存台账!$A$5:$Y$1204,24,0),0)&lt;-0.001,"※这个物料账面已经变成负数了，查一下是不是漏记入库","")))))))))))</f>
        <v/>
      </c>
    </row>
    <row r="2814">
      <c r="A2814" s="24">
        <f>IF($D2814="","",COUNTA($D$4:$D2814))</f>
        <v/>
      </c>
      <c r="B2814" s="17" t="n"/>
      <c r="C2814" s="30" t="n"/>
      <c r="D2814" s="17" t="n"/>
      <c r="E2814" s="24">
        <f>IF($D2814="","",IFERROR(VLOOKUP($D2814,物料档案!$A$4:$P$1203,3,0),"※编码不在物料档案里"))</f>
        <v/>
      </c>
      <c r="F2814" s="24">
        <f>IF($D2814="","",IFERROR(VLOOKUP($D2814,物料档案!$A$4:$P$1203,4,0),"※编码不在物料档案里"))</f>
        <v/>
      </c>
      <c r="G2814" s="24">
        <f>IF($D2814="","",IFERROR(VLOOKUP($D2814,物料档案!$A$4:$P$1203,5,0),"※编码不在物料档案里"))</f>
        <v/>
      </c>
      <c r="H2814" s="24">
        <f>IF($D2814="","",IFERROR(VLOOKUP($D2814,物料档案!$A$4:$P$1203,2,0),"※编码不在物料档案里"))</f>
        <v/>
      </c>
      <c r="I2814" s="24">
        <f>IF($D2814="","",IFERROR(VLOOKUP($D2814,物料档案!$A$4:$P$1203,6,0),"※编码不在物料档案里"))</f>
        <v/>
      </c>
      <c r="J2814" s="23" t="n"/>
      <c r="K2814" s="17" t="n"/>
      <c r="L2814" s="17" t="n"/>
      <c r="M2814" s="17" t="n"/>
      <c r="N2814" s="17" t="n"/>
      <c r="O2814" s="26">
        <f>IF($D2814="","",IFERROR(VLOOKUP($D2814,物料档案!$A$4:$P$1203,10,0),0))</f>
        <v/>
      </c>
      <c r="P2814" s="32" t="n"/>
      <c r="Q2814" s="26">
        <f>IF($D2814="","",IF($K2814&lt;&gt;"对外销售",0,ROUND(N($J2814)*IF($P2814="",N($O2814),N($P2814)),0)))</f>
        <v/>
      </c>
      <c r="R2814" s="26">
        <f>IF($D2814="","",IFERROR(VLOOKUP($D2814,库存台账!$A$5:$Y$1204,11,0),0))</f>
        <v/>
      </c>
      <c r="S2814" s="26">
        <f>IF($D2814="","",ROUND(N($J2814)*N($R2814),0))</f>
        <v/>
      </c>
      <c r="T2814" s="26">
        <f>IF($D2814="","",IF($K2814&lt;&gt;"对外销售","",ROUND($Q2814-$S2814,0)))</f>
        <v/>
      </c>
      <c r="U2814" s="17" t="n"/>
      <c r="V2814" s="17" t="n"/>
      <c r="W2814" s="24">
        <f>IF($D2814="","",IF($E2814="※编码不在物料档案里","※物料编码不在档案里",IF(N($J2814)&lt;=0,"※出库数量要大于 0",IF($K2814="","※没填去向类型",IF($L2814="","※没填去向矿区",IF(AND($C2814&lt;&gt;"",$C2814&lt;=结账锁),"※日期早于已结账截止日，不能再录",IF(AND($K2814="自用消耗",COUNTIF({"一矿区";"二矿区"},$L2814)=0),"※自用消耗的去向只能是一矿区或二矿区",IF(AND($K2814="对外销售",COUNTIF({"三矿区";"六矿区"},$L2814)=0),"※对外销售的去向只能是三矿区或六矿区",IF(AND($K2814="对外销售",ROUND($Q2814,0)=0),"※外销却没有售价，请填实际售价",IF(AND($K2814="对外销售",$T2814&lt;&gt;"",$T2814&lt;0),"※这一笔外销是亏的，请核对售价",IF(IFERROR(VLOOKUP($D2814,库存台账!$A$5:$Y$1204,24,0),0)&lt;-0.001,"※这个物料账面已经变成负数了，查一下是不是漏记入库","")))))))))))</f>
        <v/>
      </c>
    </row>
    <row r="2815">
      <c r="A2815" s="24">
        <f>IF($D2815="","",COUNTA($D$4:$D2815))</f>
        <v/>
      </c>
      <c r="B2815" s="17" t="n"/>
      <c r="C2815" s="30" t="n"/>
      <c r="D2815" s="17" t="n"/>
      <c r="E2815" s="24">
        <f>IF($D2815="","",IFERROR(VLOOKUP($D2815,物料档案!$A$4:$P$1203,3,0),"※编码不在物料档案里"))</f>
        <v/>
      </c>
      <c r="F2815" s="24">
        <f>IF($D2815="","",IFERROR(VLOOKUP($D2815,物料档案!$A$4:$P$1203,4,0),"※编码不在物料档案里"))</f>
        <v/>
      </c>
      <c r="G2815" s="24">
        <f>IF($D2815="","",IFERROR(VLOOKUP($D2815,物料档案!$A$4:$P$1203,5,0),"※编码不在物料档案里"))</f>
        <v/>
      </c>
      <c r="H2815" s="24">
        <f>IF($D2815="","",IFERROR(VLOOKUP($D2815,物料档案!$A$4:$P$1203,2,0),"※编码不在物料档案里"))</f>
        <v/>
      </c>
      <c r="I2815" s="24">
        <f>IF($D2815="","",IFERROR(VLOOKUP($D2815,物料档案!$A$4:$P$1203,6,0),"※编码不在物料档案里"))</f>
        <v/>
      </c>
      <c r="J2815" s="23" t="n"/>
      <c r="K2815" s="17" t="n"/>
      <c r="L2815" s="17" t="n"/>
      <c r="M2815" s="17" t="n"/>
      <c r="N2815" s="17" t="n"/>
      <c r="O2815" s="26">
        <f>IF($D2815="","",IFERROR(VLOOKUP($D2815,物料档案!$A$4:$P$1203,10,0),0))</f>
        <v/>
      </c>
      <c r="P2815" s="32" t="n"/>
      <c r="Q2815" s="26">
        <f>IF($D2815="","",IF($K2815&lt;&gt;"对外销售",0,ROUND(N($J2815)*IF($P2815="",N($O2815),N($P2815)),0)))</f>
        <v/>
      </c>
      <c r="R2815" s="26">
        <f>IF($D2815="","",IFERROR(VLOOKUP($D2815,库存台账!$A$5:$Y$1204,11,0),0))</f>
        <v/>
      </c>
      <c r="S2815" s="26">
        <f>IF($D2815="","",ROUND(N($J2815)*N($R2815),0))</f>
        <v/>
      </c>
      <c r="T2815" s="26">
        <f>IF($D2815="","",IF($K2815&lt;&gt;"对外销售","",ROUND($Q2815-$S2815,0)))</f>
        <v/>
      </c>
      <c r="U2815" s="17" t="n"/>
      <c r="V2815" s="17" t="n"/>
      <c r="W2815" s="24">
        <f>IF($D2815="","",IF($E2815="※编码不在物料档案里","※物料编码不在档案里",IF(N($J2815)&lt;=0,"※出库数量要大于 0",IF($K2815="","※没填去向类型",IF($L2815="","※没填去向矿区",IF(AND($C2815&lt;&gt;"",$C2815&lt;=结账锁),"※日期早于已结账截止日，不能再录",IF(AND($K2815="自用消耗",COUNTIF({"一矿区";"二矿区"},$L2815)=0),"※自用消耗的去向只能是一矿区或二矿区",IF(AND($K2815="对外销售",COUNTIF({"三矿区";"六矿区"},$L2815)=0),"※对外销售的去向只能是三矿区或六矿区",IF(AND($K2815="对外销售",ROUND($Q2815,0)=0),"※外销却没有售价，请填实际售价",IF(AND($K2815="对外销售",$T2815&lt;&gt;"",$T2815&lt;0),"※这一笔外销是亏的，请核对售价",IF(IFERROR(VLOOKUP($D2815,库存台账!$A$5:$Y$1204,24,0),0)&lt;-0.001,"※这个物料账面已经变成负数了，查一下是不是漏记入库","")))))))))))</f>
        <v/>
      </c>
    </row>
    <row r="2816">
      <c r="A2816" s="24">
        <f>IF($D2816="","",COUNTA($D$4:$D2816))</f>
        <v/>
      </c>
      <c r="B2816" s="17" t="n"/>
      <c r="C2816" s="30" t="n"/>
      <c r="D2816" s="17" t="n"/>
      <c r="E2816" s="24">
        <f>IF($D2816="","",IFERROR(VLOOKUP($D2816,物料档案!$A$4:$P$1203,3,0),"※编码不在物料档案里"))</f>
        <v/>
      </c>
      <c r="F2816" s="24">
        <f>IF($D2816="","",IFERROR(VLOOKUP($D2816,物料档案!$A$4:$P$1203,4,0),"※编码不在物料档案里"))</f>
        <v/>
      </c>
      <c r="G2816" s="24">
        <f>IF($D2816="","",IFERROR(VLOOKUP($D2816,物料档案!$A$4:$P$1203,5,0),"※编码不在物料档案里"))</f>
        <v/>
      </c>
      <c r="H2816" s="24">
        <f>IF($D2816="","",IFERROR(VLOOKUP($D2816,物料档案!$A$4:$P$1203,2,0),"※编码不在物料档案里"))</f>
        <v/>
      </c>
      <c r="I2816" s="24">
        <f>IF($D2816="","",IFERROR(VLOOKUP($D2816,物料档案!$A$4:$P$1203,6,0),"※编码不在物料档案里"))</f>
        <v/>
      </c>
      <c r="J2816" s="23" t="n"/>
      <c r="K2816" s="17" t="n"/>
      <c r="L2816" s="17" t="n"/>
      <c r="M2816" s="17" t="n"/>
      <c r="N2816" s="17" t="n"/>
      <c r="O2816" s="26">
        <f>IF($D2816="","",IFERROR(VLOOKUP($D2816,物料档案!$A$4:$P$1203,10,0),0))</f>
        <v/>
      </c>
      <c r="P2816" s="32" t="n"/>
      <c r="Q2816" s="26">
        <f>IF($D2816="","",IF($K2816&lt;&gt;"对外销售",0,ROUND(N($J2816)*IF($P2816="",N($O2816),N($P2816)),0)))</f>
        <v/>
      </c>
      <c r="R2816" s="26">
        <f>IF($D2816="","",IFERROR(VLOOKUP($D2816,库存台账!$A$5:$Y$1204,11,0),0))</f>
        <v/>
      </c>
      <c r="S2816" s="26">
        <f>IF($D2816="","",ROUND(N($J2816)*N($R2816),0))</f>
        <v/>
      </c>
      <c r="T2816" s="26">
        <f>IF($D2816="","",IF($K2816&lt;&gt;"对外销售","",ROUND($Q2816-$S2816,0)))</f>
        <v/>
      </c>
      <c r="U2816" s="17" t="n"/>
      <c r="V2816" s="17" t="n"/>
      <c r="W2816" s="24">
        <f>IF($D2816="","",IF($E2816="※编码不在物料档案里","※物料编码不在档案里",IF(N($J2816)&lt;=0,"※出库数量要大于 0",IF($K2816="","※没填去向类型",IF($L2816="","※没填去向矿区",IF(AND($C2816&lt;&gt;"",$C2816&lt;=结账锁),"※日期早于已结账截止日，不能再录",IF(AND($K2816="自用消耗",COUNTIF({"一矿区";"二矿区"},$L2816)=0),"※自用消耗的去向只能是一矿区或二矿区",IF(AND($K2816="对外销售",COUNTIF({"三矿区";"六矿区"},$L2816)=0),"※对外销售的去向只能是三矿区或六矿区",IF(AND($K2816="对外销售",ROUND($Q2816,0)=0),"※外销却没有售价，请填实际售价",IF(AND($K2816="对外销售",$T2816&lt;&gt;"",$T2816&lt;0),"※这一笔外销是亏的，请核对售价",IF(IFERROR(VLOOKUP($D2816,库存台账!$A$5:$Y$1204,24,0),0)&lt;-0.001,"※这个物料账面已经变成负数了，查一下是不是漏记入库","")))))))))))</f>
        <v/>
      </c>
    </row>
    <row r="2817">
      <c r="A2817" s="24">
        <f>IF($D2817="","",COUNTA($D$4:$D2817))</f>
        <v/>
      </c>
      <c r="B2817" s="17" t="n"/>
      <c r="C2817" s="30" t="n"/>
      <c r="D2817" s="17" t="n"/>
      <c r="E2817" s="24">
        <f>IF($D2817="","",IFERROR(VLOOKUP($D2817,物料档案!$A$4:$P$1203,3,0),"※编码不在物料档案里"))</f>
        <v/>
      </c>
      <c r="F2817" s="24">
        <f>IF($D2817="","",IFERROR(VLOOKUP($D2817,物料档案!$A$4:$P$1203,4,0),"※编码不在物料档案里"))</f>
        <v/>
      </c>
      <c r="G2817" s="24">
        <f>IF($D2817="","",IFERROR(VLOOKUP($D2817,物料档案!$A$4:$P$1203,5,0),"※编码不在物料档案里"))</f>
        <v/>
      </c>
      <c r="H2817" s="24">
        <f>IF($D2817="","",IFERROR(VLOOKUP($D2817,物料档案!$A$4:$P$1203,2,0),"※编码不在物料档案里"))</f>
        <v/>
      </c>
      <c r="I2817" s="24">
        <f>IF($D2817="","",IFERROR(VLOOKUP($D2817,物料档案!$A$4:$P$1203,6,0),"※编码不在物料档案里"))</f>
        <v/>
      </c>
      <c r="J2817" s="23" t="n"/>
      <c r="K2817" s="17" t="n"/>
      <c r="L2817" s="17" t="n"/>
      <c r="M2817" s="17" t="n"/>
      <c r="N2817" s="17" t="n"/>
      <c r="O2817" s="26">
        <f>IF($D2817="","",IFERROR(VLOOKUP($D2817,物料档案!$A$4:$P$1203,10,0),0))</f>
        <v/>
      </c>
      <c r="P2817" s="32" t="n"/>
      <c r="Q2817" s="26">
        <f>IF($D2817="","",IF($K2817&lt;&gt;"对外销售",0,ROUND(N($J2817)*IF($P2817="",N($O2817),N($P2817)),0)))</f>
        <v/>
      </c>
      <c r="R2817" s="26">
        <f>IF($D2817="","",IFERROR(VLOOKUP($D2817,库存台账!$A$5:$Y$1204,11,0),0))</f>
        <v/>
      </c>
      <c r="S2817" s="26">
        <f>IF($D2817="","",ROUND(N($J2817)*N($R2817),0))</f>
        <v/>
      </c>
      <c r="T2817" s="26">
        <f>IF($D2817="","",IF($K2817&lt;&gt;"对外销售","",ROUND($Q2817-$S2817,0)))</f>
        <v/>
      </c>
      <c r="U2817" s="17" t="n"/>
      <c r="V2817" s="17" t="n"/>
      <c r="W2817" s="24">
        <f>IF($D2817="","",IF($E2817="※编码不在物料档案里","※物料编码不在档案里",IF(N($J2817)&lt;=0,"※出库数量要大于 0",IF($K2817="","※没填去向类型",IF($L2817="","※没填去向矿区",IF(AND($C2817&lt;&gt;"",$C2817&lt;=结账锁),"※日期早于已结账截止日，不能再录",IF(AND($K2817="自用消耗",COUNTIF({"一矿区";"二矿区"},$L2817)=0),"※自用消耗的去向只能是一矿区或二矿区",IF(AND($K2817="对外销售",COUNTIF({"三矿区";"六矿区"},$L2817)=0),"※对外销售的去向只能是三矿区或六矿区",IF(AND($K2817="对外销售",ROUND($Q2817,0)=0),"※外销却没有售价，请填实际售价",IF(AND($K2817="对外销售",$T2817&lt;&gt;"",$T2817&lt;0),"※这一笔外销是亏的，请核对售价",IF(IFERROR(VLOOKUP($D2817,库存台账!$A$5:$Y$1204,24,0),0)&lt;-0.001,"※这个物料账面已经变成负数了，查一下是不是漏记入库","")))))))))))</f>
        <v/>
      </c>
    </row>
    <row r="2818">
      <c r="A2818" s="24">
        <f>IF($D2818="","",COUNTA($D$4:$D2818))</f>
        <v/>
      </c>
      <c r="B2818" s="17" t="n"/>
      <c r="C2818" s="30" t="n"/>
      <c r="D2818" s="17" t="n"/>
      <c r="E2818" s="24">
        <f>IF($D2818="","",IFERROR(VLOOKUP($D2818,物料档案!$A$4:$P$1203,3,0),"※编码不在物料档案里"))</f>
        <v/>
      </c>
      <c r="F2818" s="24">
        <f>IF($D2818="","",IFERROR(VLOOKUP($D2818,物料档案!$A$4:$P$1203,4,0),"※编码不在物料档案里"))</f>
        <v/>
      </c>
      <c r="G2818" s="24">
        <f>IF($D2818="","",IFERROR(VLOOKUP($D2818,物料档案!$A$4:$P$1203,5,0),"※编码不在物料档案里"))</f>
        <v/>
      </c>
      <c r="H2818" s="24">
        <f>IF($D2818="","",IFERROR(VLOOKUP($D2818,物料档案!$A$4:$P$1203,2,0),"※编码不在物料档案里"))</f>
        <v/>
      </c>
      <c r="I2818" s="24">
        <f>IF($D2818="","",IFERROR(VLOOKUP($D2818,物料档案!$A$4:$P$1203,6,0),"※编码不在物料档案里"))</f>
        <v/>
      </c>
      <c r="J2818" s="23" t="n"/>
      <c r="K2818" s="17" t="n"/>
      <c r="L2818" s="17" t="n"/>
      <c r="M2818" s="17" t="n"/>
      <c r="N2818" s="17" t="n"/>
      <c r="O2818" s="26">
        <f>IF($D2818="","",IFERROR(VLOOKUP($D2818,物料档案!$A$4:$P$1203,10,0),0))</f>
        <v/>
      </c>
      <c r="P2818" s="32" t="n"/>
      <c r="Q2818" s="26">
        <f>IF($D2818="","",IF($K2818&lt;&gt;"对外销售",0,ROUND(N($J2818)*IF($P2818="",N($O2818),N($P2818)),0)))</f>
        <v/>
      </c>
      <c r="R2818" s="26">
        <f>IF($D2818="","",IFERROR(VLOOKUP($D2818,库存台账!$A$5:$Y$1204,11,0),0))</f>
        <v/>
      </c>
      <c r="S2818" s="26">
        <f>IF($D2818="","",ROUND(N($J2818)*N($R2818),0))</f>
        <v/>
      </c>
      <c r="T2818" s="26">
        <f>IF($D2818="","",IF($K2818&lt;&gt;"对外销售","",ROUND($Q2818-$S2818,0)))</f>
        <v/>
      </c>
      <c r="U2818" s="17" t="n"/>
      <c r="V2818" s="17" t="n"/>
      <c r="W2818" s="24">
        <f>IF($D2818="","",IF($E2818="※编码不在物料档案里","※物料编码不在档案里",IF(N($J2818)&lt;=0,"※出库数量要大于 0",IF($K2818="","※没填去向类型",IF($L2818="","※没填去向矿区",IF(AND($C2818&lt;&gt;"",$C2818&lt;=结账锁),"※日期早于已结账截止日，不能再录",IF(AND($K2818="自用消耗",COUNTIF({"一矿区";"二矿区"},$L2818)=0),"※自用消耗的去向只能是一矿区或二矿区",IF(AND($K2818="对外销售",COUNTIF({"三矿区";"六矿区"},$L2818)=0),"※对外销售的去向只能是三矿区或六矿区",IF(AND($K2818="对外销售",ROUND($Q2818,0)=0),"※外销却没有售价，请填实际售价",IF(AND($K2818="对外销售",$T2818&lt;&gt;"",$T2818&lt;0),"※这一笔外销是亏的，请核对售价",IF(IFERROR(VLOOKUP($D2818,库存台账!$A$5:$Y$1204,24,0),0)&lt;-0.001,"※这个物料账面已经变成负数了，查一下是不是漏记入库","")))))))))))</f>
        <v/>
      </c>
    </row>
    <row r="2819">
      <c r="A2819" s="24">
        <f>IF($D2819="","",COUNTA($D$4:$D2819))</f>
        <v/>
      </c>
      <c r="B2819" s="17" t="n"/>
      <c r="C2819" s="30" t="n"/>
      <c r="D2819" s="17" t="n"/>
      <c r="E2819" s="24">
        <f>IF($D2819="","",IFERROR(VLOOKUP($D2819,物料档案!$A$4:$P$1203,3,0),"※编码不在物料档案里"))</f>
        <v/>
      </c>
      <c r="F2819" s="24">
        <f>IF($D2819="","",IFERROR(VLOOKUP($D2819,物料档案!$A$4:$P$1203,4,0),"※编码不在物料档案里"))</f>
        <v/>
      </c>
      <c r="G2819" s="24">
        <f>IF($D2819="","",IFERROR(VLOOKUP($D2819,物料档案!$A$4:$P$1203,5,0),"※编码不在物料档案里"))</f>
        <v/>
      </c>
      <c r="H2819" s="24">
        <f>IF($D2819="","",IFERROR(VLOOKUP($D2819,物料档案!$A$4:$P$1203,2,0),"※编码不在物料档案里"))</f>
        <v/>
      </c>
      <c r="I2819" s="24">
        <f>IF($D2819="","",IFERROR(VLOOKUP($D2819,物料档案!$A$4:$P$1203,6,0),"※编码不在物料档案里"))</f>
        <v/>
      </c>
      <c r="J2819" s="23" t="n"/>
      <c r="K2819" s="17" t="n"/>
      <c r="L2819" s="17" t="n"/>
      <c r="M2819" s="17" t="n"/>
      <c r="N2819" s="17" t="n"/>
      <c r="O2819" s="26">
        <f>IF($D2819="","",IFERROR(VLOOKUP($D2819,物料档案!$A$4:$P$1203,10,0),0))</f>
        <v/>
      </c>
      <c r="P2819" s="32" t="n"/>
      <c r="Q2819" s="26">
        <f>IF($D2819="","",IF($K2819&lt;&gt;"对外销售",0,ROUND(N($J2819)*IF($P2819="",N($O2819),N($P2819)),0)))</f>
        <v/>
      </c>
      <c r="R2819" s="26">
        <f>IF($D2819="","",IFERROR(VLOOKUP($D2819,库存台账!$A$5:$Y$1204,11,0),0))</f>
        <v/>
      </c>
      <c r="S2819" s="26">
        <f>IF($D2819="","",ROUND(N($J2819)*N($R2819),0))</f>
        <v/>
      </c>
      <c r="T2819" s="26">
        <f>IF($D2819="","",IF($K2819&lt;&gt;"对外销售","",ROUND($Q2819-$S2819,0)))</f>
        <v/>
      </c>
      <c r="U2819" s="17" t="n"/>
      <c r="V2819" s="17" t="n"/>
      <c r="W2819" s="24">
        <f>IF($D2819="","",IF($E2819="※编码不在物料档案里","※物料编码不在档案里",IF(N($J2819)&lt;=0,"※出库数量要大于 0",IF($K2819="","※没填去向类型",IF($L2819="","※没填去向矿区",IF(AND($C2819&lt;&gt;"",$C2819&lt;=结账锁),"※日期早于已结账截止日，不能再录",IF(AND($K2819="自用消耗",COUNTIF({"一矿区";"二矿区"},$L2819)=0),"※自用消耗的去向只能是一矿区或二矿区",IF(AND($K2819="对外销售",COUNTIF({"三矿区";"六矿区"},$L2819)=0),"※对外销售的去向只能是三矿区或六矿区",IF(AND($K2819="对外销售",ROUND($Q2819,0)=0),"※外销却没有售价，请填实际售价",IF(AND($K2819="对外销售",$T2819&lt;&gt;"",$T2819&lt;0),"※这一笔外销是亏的，请核对售价",IF(IFERROR(VLOOKUP($D2819,库存台账!$A$5:$Y$1204,24,0),0)&lt;-0.001,"※这个物料账面已经变成负数了，查一下是不是漏记入库","")))))))))))</f>
        <v/>
      </c>
    </row>
    <row r="2820">
      <c r="A2820" s="24">
        <f>IF($D2820="","",COUNTA($D$4:$D2820))</f>
        <v/>
      </c>
      <c r="B2820" s="17" t="n"/>
      <c r="C2820" s="30" t="n"/>
      <c r="D2820" s="17" t="n"/>
      <c r="E2820" s="24">
        <f>IF($D2820="","",IFERROR(VLOOKUP($D2820,物料档案!$A$4:$P$1203,3,0),"※编码不在物料档案里"))</f>
        <v/>
      </c>
      <c r="F2820" s="24">
        <f>IF($D2820="","",IFERROR(VLOOKUP($D2820,物料档案!$A$4:$P$1203,4,0),"※编码不在物料档案里"))</f>
        <v/>
      </c>
      <c r="G2820" s="24">
        <f>IF($D2820="","",IFERROR(VLOOKUP($D2820,物料档案!$A$4:$P$1203,5,0),"※编码不在物料档案里"))</f>
        <v/>
      </c>
      <c r="H2820" s="24">
        <f>IF($D2820="","",IFERROR(VLOOKUP($D2820,物料档案!$A$4:$P$1203,2,0),"※编码不在物料档案里"))</f>
        <v/>
      </c>
      <c r="I2820" s="24">
        <f>IF($D2820="","",IFERROR(VLOOKUP($D2820,物料档案!$A$4:$P$1203,6,0),"※编码不在物料档案里"))</f>
        <v/>
      </c>
      <c r="J2820" s="23" t="n"/>
      <c r="K2820" s="17" t="n"/>
      <c r="L2820" s="17" t="n"/>
      <c r="M2820" s="17" t="n"/>
      <c r="N2820" s="17" t="n"/>
      <c r="O2820" s="26">
        <f>IF($D2820="","",IFERROR(VLOOKUP($D2820,物料档案!$A$4:$P$1203,10,0),0))</f>
        <v/>
      </c>
      <c r="P2820" s="32" t="n"/>
      <c r="Q2820" s="26">
        <f>IF($D2820="","",IF($K2820&lt;&gt;"对外销售",0,ROUND(N($J2820)*IF($P2820="",N($O2820),N($P2820)),0)))</f>
        <v/>
      </c>
      <c r="R2820" s="26">
        <f>IF($D2820="","",IFERROR(VLOOKUP($D2820,库存台账!$A$5:$Y$1204,11,0),0))</f>
        <v/>
      </c>
      <c r="S2820" s="26">
        <f>IF($D2820="","",ROUND(N($J2820)*N($R2820),0))</f>
        <v/>
      </c>
      <c r="T2820" s="26">
        <f>IF($D2820="","",IF($K2820&lt;&gt;"对外销售","",ROUND($Q2820-$S2820,0)))</f>
        <v/>
      </c>
      <c r="U2820" s="17" t="n"/>
      <c r="V2820" s="17" t="n"/>
      <c r="W2820" s="24">
        <f>IF($D2820="","",IF($E2820="※编码不在物料档案里","※物料编码不在档案里",IF(N($J2820)&lt;=0,"※出库数量要大于 0",IF($K2820="","※没填去向类型",IF($L2820="","※没填去向矿区",IF(AND($C2820&lt;&gt;"",$C2820&lt;=结账锁),"※日期早于已结账截止日，不能再录",IF(AND($K2820="自用消耗",COUNTIF({"一矿区";"二矿区"},$L2820)=0),"※自用消耗的去向只能是一矿区或二矿区",IF(AND($K2820="对外销售",COUNTIF({"三矿区";"六矿区"},$L2820)=0),"※对外销售的去向只能是三矿区或六矿区",IF(AND($K2820="对外销售",ROUND($Q2820,0)=0),"※外销却没有售价，请填实际售价",IF(AND($K2820="对外销售",$T2820&lt;&gt;"",$T2820&lt;0),"※这一笔外销是亏的，请核对售价",IF(IFERROR(VLOOKUP($D2820,库存台账!$A$5:$Y$1204,24,0),0)&lt;-0.001,"※这个物料账面已经变成负数了，查一下是不是漏记入库","")))))))))))</f>
        <v/>
      </c>
    </row>
    <row r="2821">
      <c r="A2821" s="24">
        <f>IF($D2821="","",COUNTA($D$4:$D2821))</f>
        <v/>
      </c>
      <c r="B2821" s="17" t="n"/>
      <c r="C2821" s="30" t="n"/>
      <c r="D2821" s="17" t="n"/>
      <c r="E2821" s="24">
        <f>IF($D2821="","",IFERROR(VLOOKUP($D2821,物料档案!$A$4:$P$1203,3,0),"※编码不在物料档案里"))</f>
        <v/>
      </c>
      <c r="F2821" s="24">
        <f>IF($D2821="","",IFERROR(VLOOKUP($D2821,物料档案!$A$4:$P$1203,4,0),"※编码不在物料档案里"))</f>
        <v/>
      </c>
      <c r="G2821" s="24">
        <f>IF($D2821="","",IFERROR(VLOOKUP($D2821,物料档案!$A$4:$P$1203,5,0),"※编码不在物料档案里"))</f>
        <v/>
      </c>
      <c r="H2821" s="24">
        <f>IF($D2821="","",IFERROR(VLOOKUP($D2821,物料档案!$A$4:$P$1203,2,0),"※编码不在物料档案里"))</f>
        <v/>
      </c>
      <c r="I2821" s="24">
        <f>IF($D2821="","",IFERROR(VLOOKUP($D2821,物料档案!$A$4:$P$1203,6,0),"※编码不在物料档案里"))</f>
        <v/>
      </c>
      <c r="J2821" s="23" t="n"/>
      <c r="K2821" s="17" t="n"/>
      <c r="L2821" s="17" t="n"/>
      <c r="M2821" s="17" t="n"/>
      <c r="N2821" s="17" t="n"/>
      <c r="O2821" s="26">
        <f>IF($D2821="","",IFERROR(VLOOKUP($D2821,物料档案!$A$4:$P$1203,10,0),0))</f>
        <v/>
      </c>
      <c r="P2821" s="32" t="n"/>
      <c r="Q2821" s="26">
        <f>IF($D2821="","",IF($K2821&lt;&gt;"对外销售",0,ROUND(N($J2821)*IF($P2821="",N($O2821),N($P2821)),0)))</f>
        <v/>
      </c>
      <c r="R2821" s="26">
        <f>IF($D2821="","",IFERROR(VLOOKUP($D2821,库存台账!$A$5:$Y$1204,11,0),0))</f>
        <v/>
      </c>
      <c r="S2821" s="26">
        <f>IF($D2821="","",ROUND(N($J2821)*N($R2821),0))</f>
        <v/>
      </c>
      <c r="T2821" s="26">
        <f>IF($D2821="","",IF($K2821&lt;&gt;"对外销售","",ROUND($Q2821-$S2821,0)))</f>
        <v/>
      </c>
      <c r="U2821" s="17" t="n"/>
      <c r="V2821" s="17" t="n"/>
      <c r="W2821" s="24">
        <f>IF($D2821="","",IF($E2821="※编码不在物料档案里","※物料编码不在档案里",IF(N($J2821)&lt;=0,"※出库数量要大于 0",IF($K2821="","※没填去向类型",IF($L2821="","※没填去向矿区",IF(AND($C2821&lt;&gt;"",$C2821&lt;=结账锁),"※日期早于已结账截止日，不能再录",IF(AND($K2821="自用消耗",COUNTIF({"一矿区";"二矿区"},$L2821)=0),"※自用消耗的去向只能是一矿区或二矿区",IF(AND($K2821="对外销售",COUNTIF({"三矿区";"六矿区"},$L2821)=0),"※对外销售的去向只能是三矿区或六矿区",IF(AND($K2821="对外销售",ROUND($Q2821,0)=0),"※外销却没有售价，请填实际售价",IF(AND($K2821="对外销售",$T2821&lt;&gt;"",$T2821&lt;0),"※这一笔外销是亏的，请核对售价",IF(IFERROR(VLOOKUP($D2821,库存台账!$A$5:$Y$1204,24,0),0)&lt;-0.001,"※这个物料账面已经变成负数了，查一下是不是漏记入库","")))))))))))</f>
        <v/>
      </c>
    </row>
    <row r="2822">
      <c r="A2822" s="24">
        <f>IF($D2822="","",COUNTA($D$4:$D2822))</f>
        <v/>
      </c>
      <c r="B2822" s="17" t="n"/>
      <c r="C2822" s="30" t="n"/>
      <c r="D2822" s="17" t="n"/>
      <c r="E2822" s="24">
        <f>IF($D2822="","",IFERROR(VLOOKUP($D2822,物料档案!$A$4:$P$1203,3,0),"※编码不在物料档案里"))</f>
        <v/>
      </c>
      <c r="F2822" s="24">
        <f>IF($D2822="","",IFERROR(VLOOKUP($D2822,物料档案!$A$4:$P$1203,4,0),"※编码不在物料档案里"))</f>
        <v/>
      </c>
      <c r="G2822" s="24">
        <f>IF($D2822="","",IFERROR(VLOOKUP($D2822,物料档案!$A$4:$P$1203,5,0),"※编码不在物料档案里"))</f>
        <v/>
      </c>
      <c r="H2822" s="24">
        <f>IF($D2822="","",IFERROR(VLOOKUP($D2822,物料档案!$A$4:$P$1203,2,0),"※编码不在物料档案里"))</f>
        <v/>
      </c>
      <c r="I2822" s="24">
        <f>IF($D2822="","",IFERROR(VLOOKUP($D2822,物料档案!$A$4:$P$1203,6,0),"※编码不在物料档案里"))</f>
        <v/>
      </c>
      <c r="J2822" s="23" t="n"/>
      <c r="K2822" s="17" t="n"/>
      <c r="L2822" s="17" t="n"/>
      <c r="M2822" s="17" t="n"/>
      <c r="N2822" s="17" t="n"/>
      <c r="O2822" s="26">
        <f>IF($D2822="","",IFERROR(VLOOKUP($D2822,物料档案!$A$4:$P$1203,10,0),0))</f>
        <v/>
      </c>
      <c r="P2822" s="32" t="n"/>
      <c r="Q2822" s="26">
        <f>IF($D2822="","",IF($K2822&lt;&gt;"对外销售",0,ROUND(N($J2822)*IF($P2822="",N($O2822),N($P2822)),0)))</f>
        <v/>
      </c>
      <c r="R2822" s="26">
        <f>IF($D2822="","",IFERROR(VLOOKUP($D2822,库存台账!$A$5:$Y$1204,11,0),0))</f>
        <v/>
      </c>
      <c r="S2822" s="26">
        <f>IF($D2822="","",ROUND(N($J2822)*N($R2822),0))</f>
        <v/>
      </c>
      <c r="T2822" s="26">
        <f>IF($D2822="","",IF($K2822&lt;&gt;"对外销售","",ROUND($Q2822-$S2822,0)))</f>
        <v/>
      </c>
      <c r="U2822" s="17" t="n"/>
      <c r="V2822" s="17" t="n"/>
      <c r="W2822" s="24">
        <f>IF($D2822="","",IF($E2822="※编码不在物料档案里","※物料编码不在档案里",IF(N($J2822)&lt;=0,"※出库数量要大于 0",IF($K2822="","※没填去向类型",IF($L2822="","※没填去向矿区",IF(AND($C2822&lt;&gt;"",$C2822&lt;=结账锁),"※日期早于已结账截止日，不能再录",IF(AND($K2822="自用消耗",COUNTIF({"一矿区";"二矿区"},$L2822)=0),"※自用消耗的去向只能是一矿区或二矿区",IF(AND($K2822="对外销售",COUNTIF({"三矿区";"六矿区"},$L2822)=0),"※对外销售的去向只能是三矿区或六矿区",IF(AND($K2822="对外销售",ROUND($Q2822,0)=0),"※外销却没有售价，请填实际售价",IF(AND($K2822="对外销售",$T2822&lt;&gt;"",$T2822&lt;0),"※这一笔外销是亏的，请核对售价",IF(IFERROR(VLOOKUP($D2822,库存台账!$A$5:$Y$1204,24,0),0)&lt;-0.001,"※这个物料账面已经变成负数了，查一下是不是漏记入库","")))))))))))</f>
        <v/>
      </c>
    </row>
    <row r="2823">
      <c r="A2823" s="24">
        <f>IF($D2823="","",COUNTA($D$4:$D2823))</f>
        <v/>
      </c>
      <c r="B2823" s="17" t="n"/>
      <c r="C2823" s="30" t="n"/>
      <c r="D2823" s="17" t="n"/>
      <c r="E2823" s="24">
        <f>IF($D2823="","",IFERROR(VLOOKUP($D2823,物料档案!$A$4:$P$1203,3,0),"※编码不在物料档案里"))</f>
        <v/>
      </c>
      <c r="F2823" s="24">
        <f>IF($D2823="","",IFERROR(VLOOKUP($D2823,物料档案!$A$4:$P$1203,4,0),"※编码不在物料档案里"))</f>
        <v/>
      </c>
      <c r="G2823" s="24">
        <f>IF($D2823="","",IFERROR(VLOOKUP($D2823,物料档案!$A$4:$P$1203,5,0),"※编码不在物料档案里"))</f>
        <v/>
      </c>
      <c r="H2823" s="24">
        <f>IF($D2823="","",IFERROR(VLOOKUP($D2823,物料档案!$A$4:$P$1203,2,0),"※编码不在物料档案里"))</f>
        <v/>
      </c>
      <c r="I2823" s="24">
        <f>IF($D2823="","",IFERROR(VLOOKUP($D2823,物料档案!$A$4:$P$1203,6,0),"※编码不在物料档案里"))</f>
        <v/>
      </c>
      <c r="J2823" s="23" t="n"/>
      <c r="K2823" s="17" t="n"/>
      <c r="L2823" s="17" t="n"/>
      <c r="M2823" s="17" t="n"/>
      <c r="N2823" s="17" t="n"/>
      <c r="O2823" s="26">
        <f>IF($D2823="","",IFERROR(VLOOKUP($D2823,物料档案!$A$4:$P$1203,10,0),0))</f>
        <v/>
      </c>
      <c r="P2823" s="32" t="n"/>
      <c r="Q2823" s="26">
        <f>IF($D2823="","",IF($K2823&lt;&gt;"对外销售",0,ROUND(N($J2823)*IF($P2823="",N($O2823),N($P2823)),0)))</f>
        <v/>
      </c>
      <c r="R2823" s="26">
        <f>IF($D2823="","",IFERROR(VLOOKUP($D2823,库存台账!$A$5:$Y$1204,11,0),0))</f>
        <v/>
      </c>
      <c r="S2823" s="26">
        <f>IF($D2823="","",ROUND(N($J2823)*N($R2823),0))</f>
        <v/>
      </c>
      <c r="T2823" s="26">
        <f>IF($D2823="","",IF($K2823&lt;&gt;"对外销售","",ROUND($Q2823-$S2823,0)))</f>
        <v/>
      </c>
      <c r="U2823" s="17" t="n"/>
      <c r="V2823" s="17" t="n"/>
      <c r="W2823" s="24">
        <f>IF($D2823="","",IF($E2823="※编码不在物料档案里","※物料编码不在档案里",IF(N($J2823)&lt;=0,"※出库数量要大于 0",IF($K2823="","※没填去向类型",IF($L2823="","※没填去向矿区",IF(AND($C2823&lt;&gt;"",$C2823&lt;=结账锁),"※日期早于已结账截止日，不能再录",IF(AND($K2823="自用消耗",COUNTIF({"一矿区";"二矿区"},$L2823)=0),"※自用消耗的去向只能是一矿区或二矿区",IF(AND($K2823="对外销售",COUNTIF({"三矿区";"六矿区"},$L2823)=0),"※对外销售的去向只能是三矿区或六矿区",IF(AND($K2823="对外销售",ROUND($Q2823,0)=0),"※外销却没有售价，请填实际售价",IF(AND($K2823="对外销售",$T2823&lt;&gt;"",$T2823&lt;0),"※这一笔外销是亏的，请核对售价",IF(IFERROR(VLOOKUP($D2823,库存台账!$A$5:$Y$1204,24,0),0)&lt;-0.001,"※这个物料账面已经变成负数了，查一下是不是漏记入库","")))))))))))</f>
        <v/>
      </c>
    </row>
    <row r="2824">
      <c r="A2824" s="24">
        <f>IF($D2824="","",COUNTA($D$4:$D2824))</f>
        <v/>
      </c>
      <c r="B2824" s="17" t="n"/>
      <c r="C2824" s="30" t="n"/>
      <c r="D2824" s="17" t="n"/>
      <c r="E2824" s="24">
        <f>IF($D2824="","",IFERROR(VLOOKUP($D2824,物料档案!$A$4:$P$1203,3,0),"※编码不在物料档案里"))</f>
        <v/>
      </c>
      <c r="F2824" s="24">
        <f>IF($D2824="","",IFERROR(VLOOKUP($D2824,物料档案!$A$4:$P$1203,4,0),"※编码不在物料档案里"))</f>
        <v/>
      </c>
      <c r="G2824" s="24">
        <f>IF($D2824="","",IFERROR(VLOOKUP($D2824,物料档案!$A$4:$P$1203,5,0),"※编码不在物料档案里"))</f>
        <v/>
      </c>
      <c r="H2824" s="24">
        <f>IF($D2824="","",IFERROR(VLOOKUP($D2824,物料档案!$A$4:$P$1203,2,0),"※编码不在物料档案里"))</f>
        <v/>
      </c>
      <c r="I2824" s="24">
        <f>IF($D2824="","",IFERROR(VLOOKUP($D2824,物料档案!$A$4:$P$1203,6,0),"※编码不在物料档案里"))</f>
        <v/>
      </c>
      <c r="J2824" s="23" t="n"/>
      <c r="K2824" s="17" t="n"/>
      <c r="L2824" s="17" t="n"/>
      <c r="M2824" s="17" t="n"/>
      <c r="N2824" s="17" t="n"/>
      <c r="O2824" s="26">
        <f>IF($D2824="","",IFERROR(VLOOKUP($D2824,物料档案!$A$4:$P$1203,10,0),0))</f>
        <v/>
      </c>
      <c r="P2824" s="32" t="n"/>
      <c r="Q2824" s="26">
        <f>IF($D2824="","",IF($K2824&lt;&gt;"对外销售",0,ROUND(N($J2824)*IF($P2824="",N($O2824),N($P2824)),0)))</f>
        <v/>
      </c>
      <c r="R2824" s="26">
        <f>IF($D2824="","",IFERROR(VLOOKUP($D2824,库存台账!$A$5:$Y$1204,11,0),0))</f>
        <v/>
      </c>
      <c r="S2824" s="26">
        <f>IF($D2824="","",ROUND(N($J2824)*N($R2824),0))</f>
        <v/>
      </c>
      <c r="T2824" s="26">
        <f>IF($D2824="","",IF($K2824&lt;&gt;"对外销售","",ROUND($Q2824-$S2824,0)))</f>
        <v/>
      </c>
      <c r="U2824" s="17" t="n"/>
      <c r="V2824" s="17" t="n"/>
      <c r="W2824" s="24">
        <f>IF($D2824="","",IF($E2824="※编码不在物料档案里","※物料编码不在档案里",IF(N($J2824)&lt;=0,"※出库数量要大于 0",IF($K2824="","※没填去向类型",IF($L2824="","※没填去向矿区",IF(AND($C2824&lt;&gt;"",$C2824&lt;=结账锁),"※日期早于已结账截止日，不能再录",IF(AND($K2824="自用消耗",COUNTIF({"一矿区";"二矿区"},$L2824)=0),"※自用消耗的去向只能是一矿区或二矿区",IF(AND($K2824="对外销售",COUNTIF({"三矿区";"六矿区"},$L2824)=0),"※对外销售的去向只能是三矿区或六矿区",IF(AND($K2824="对外销售",ROUND($Q2824,0)=0),"※外销却没有售价，请填实际售价",IF(AND($K2824="对外销售",$T2824&lt;&gt;"",$T2824&lt;0),"※这一笔外销是亏的，请核对售价",IF(IFERROR(VLOOKUP($D2824,库存台账!$A$5:$Y$1204,24,0),0)&lt;-0.001,"※这个物料账面已经变成负数了，查一下是不是漏记入库","")))))))))))</f>
        <v/>
      </c>
    </row>
    <row r="2825">
      <c r="A2825" s="24">
        <f>IF($D2825="","",COUNTA($D$4:$D2825))</f>
        <v/>
      </c>
      <c r="B2825" s="17" t="n"/>
      <c r="C2825" s="30" t="n"/>
      <c r="D2825" s="17" t="n"/>
      <c r="E2825" s="24">
        <f>IF($D2825="","",IFERROR(VLOOKUP($D2825,物料档案!$A$4:$P$1203,3,0),"※编码不在物料档案里"))</f>
        <v/>
      </c>
      <c r="F2825" s="24">
        <f>IF($D2825="","",IFERROR(VLOOKUP($D2825,物料档案!$A$4:$P$1203,4,0),"※编码不在物料档案里"))</f>
        <v/>
      </c>
      <c r="G2825" s="24">
        <f>IF($D2825="","",IFERROR(VLOOKUP($D2825,物料档案!$A$4:$P$1203,5,0),"※编码不在物料档案里"))</f>
        <v/>
      </c>
      <c r="H2825" s="24">
        <f>IF($D2825="","",IFERROR(VLOOKUP($D2825,物料档案!$A$4:$P$1203,2,0),"※编码不在物料档案里"))</f>
        <v/>
      </c>
      <c r="I2825" s="24">
        <f>IF($D2825="","",IFERROR(VLOOKUP($D2825,物料档案!$A$4:$P$1203,6,0),"※编码不在物料档案里"))</f>
        <v/>
      </c>
      <c r="J2825" s="23" t="n"/>
      <c r="K2825" s="17" t="n"/>
      <c r="L2825" s="17" t="n"/>
      <c r="M2825" s="17" t="n"/>
      <c r="N2825" s="17" t="n"/>
      <c r="O2825" s="26">
        <f>IF($D2825="","",IFERROR(VLOOKUP($D2825,物料档案!$A$4:$P$1203,10,0),0))</f>
        <v/>
      </c>
      <c r="P2825" s="32" t="n"/>
      <c r="Q2825" s="26">
        <f>IF($D2825="","",IF($K2825&lt;&gt;"对外销售",0,ROUND(N($J2825)*IF($P2825="",N($O2825),N($P2825)),0)))</f>
        <v/>
      </c>
      <c r="R2825" s="26">
        <f>IF($D2825="","",IFERROR(VLOOKUP($D2825,库存台账!$A$5:$Y$1204,11,0),0))</f>
        <v/>
      </c>
      <c r="S2825" s="26">
        <f>IF($D2825="","",ROUND(N($J2825)*N($R2825),0))</f>
        <v/>
      </c>
      <c r="T2825" s="26">
        <f>IF($D2825="","",IF($K2825&lt;&gt;"对外销售","",ROUND($Q2825-$S2825,0)))</f>
        <v/>
      </c>
      <c r="U2825" s="17" t="n"/>
      <c r="V2825" s="17" t="n"/>
      <c r="W2825" s="24">
        <f>IF($D2825="","",IF($E2825="※编码不在物料档案里","※物料编码不在档案里",IF(N($J2825)&lt;=0,"※出库数量要大于 0",IF($K2825="","※没填去向类型",IF($L2825="","※没填去向矿区",IF(AND($C2825&lt;&gt;"",$C2825&lt;=结账锁),"※日期早于已结账截止日，不能再录",IF(AND($K2825="自用消耗",COUNTIF({"一矿区";"二矿区"},$L2825)=0),"※自用消耗的去向只能是一矿区或二矿区",IF(AND($K2825="对外销售",COUNTIF({"三矿区";"六矿区"},$L2825)=0),"※对外销售的去向只能是三矿区或六矿区",IF(AND($K2825="对外销售",ROUND($Q2825,0)=0),"※外销却没有售价，请填实际售价",IF(AND($K2825="对外销售",$T2825&lt;&gt;"",$T2825&lt;0),"※这一笔外销是亏的，请核对售价",IF(IFERROR(VLOOKUP($D2825,库存台账!$A$5:$Y$1204,24,0),0)&lt;-0.001,"※这个物料账面已经变成负数了，查一下是不是漏记入库","")))))))))))</f>
        <v/>
      </c>
    </row>
    <row r="2826">
      <c r="A2826" s="24">
        <f>IF($D2826="","",COUNTA($D$4:$D2826))</f>
        <v/>
      </c>
      <c r="B2826" s="17" t="n"/>
      <c r="C2826" s="30" t="n"/>
      <c r="D2826" s="17" t="n"/>
      <c r="E2826" s="24">
        <f>IF($D2826="","",IFERROR(VLOOKUP($D2826,物料档案!$A$4:$P$1203,3,0),"※编码不在物料档案里"))</f>
        <v/>
      </c>
      <c r="F2826" s="24">
        <f>IF($D2826="","",IFERROR(VLOOKUP($D2826,物料档案!$A$4:$P$1203,4,0),"※编码不在物料档案里"))</f>
        <v/>
      </c>
      <c r="G2826" s="24">
        <f>IF($D2826="","",IFERROR(VLOOKUP($D2826,物料档案!$A$4:$P$1203,5,0),"※编码不在物料档案里"))</f>
        <v/>
      </c>
      <c r="H2826" s="24">
        <f>IF($D2826="","",IFERROR(VLOOKUP($D2826,物料档案!$A$4:$P$1203,2,0),"※编码不在物料档案里"))</f>
        <v/>
      </c>
      <c r="I2826" s="24">
        <f>IF($D2826="","",IFERROR(VLOOKUP($D2826,物料档案!$A$4:$P$1203,6,0),"※编码不在物料档案里"))</f>
        <v/>
      </c>
      <c r="J2826" s="23" t="n"/>
      <c r="K2826" s="17" t="n"/>
      <c r="L2826" s="17" t="n"/>
      <c r="M2826" s="17" t="n"/>
      <c r="N2826" s="17" t="n"/>
      <c r="O2826" s="26">
        <f>IF($D2826="","",IFERROR(VLOOKUP($D2826,物料档案!$A$4:$P$1203,10,0),0))</f>
        <v/>
      </c>
      <c r="P2826" s="32" t="n"/>
      <c r="Q2826" s="26">
        <f>IF($D2826="","",IF($K2826&lt;&gt;"对外销售",0,ROUND(N($J2826)*IF($P2826="",N($O2826),N($P2826)),0)))</f>
        <v/>
      </c>
      <c r="R2826" s="26">
        <f>IF($D2826="","",IFERROR(VLOOKUP($D2826,库存台账!$A$5:$Y$1204,11,0),0))</f>
        <v/>
      </c>
      <c r="S2826" s="26">
        <f>IF($D2826="","",ROUND(N($J2826)*N($R2826),0))</f>
        <v/>
      </c>
      <c r="T2826" s="26">
        <f>IF($D2826="","",IF($K2826&lt;&gt;"对外销售","",ROUND($Q2826-$S2826,0)))</f>
        <v/>
      </c>
      <c r="U2826" s="17" t="n"/>
      <c r="V2826" s="17" t="n"/>
      <c r="W2826" s="24">
        <f>IF($D2826="","",IF($E2826="※编码不在物料档案里","※物料编码不在档案里",IF(N($J2826)&lt;=0,"※出库数量要大于 0",IF($K2826="","※没填去向类型",IF($L2826="","※没填去向矿区",IF(AND($C2826&lt;&gt;"",$C2826&lt;=结账锁),"※日期早于已结账截止日，不能再录",IF(AND($K2826="自用消耗",COUNTIF({"一矿区";"二矿区"},$L2826)=0),"※自用消耗的去向只能是一矿区或二矿区",IF(AND($K2826="对外销售",COUNTIF({"三矿区";"六矿区"},$L2826)=0),"※对外销售的去向只能是三矿区或六矿区",IF(AND($K2826="对外销售",ROUND($Q2826,0)=0),"※外销却没有售价，请填实际售价",IF(AND($K2826="对外销售",$T2826&lt;&gt;"",$T2826&lt;0),"※这一笔外销是亏的，请核对售价",IF(IFERROR(VLOOKUP($D2826,库存台账!$A$5:$Y$1204,24,0),0)&lt;-0.001,"※这个物料账面已经变成负数了，查一下是不是漏记入库","")))))))))))</f>
        <v/>
      </c>
    </row>
    <row r="2827">
      <c r="A2827" s="24">
        <f>IF($D2827="","",COUNTA($D$4:$D2827))</f>
        <v/>
      </c>
      <c r="B2827" s="17" t="n"/>
      <c r="C2827" s="30" t="n"/>
      <c r="D2827" s="17" t="n"/>
      <c r="E2827" s="24">
        <f>IF($D2827="","",IFERROR(VLOOKUP($D2827,物料档案!$A$4:$P$1203,3,0),"※编码不在物料档案里"))</f>
        <v/>
      </c>
      <c r="F2827" s="24">
        <f>IF($D2827="","",IFERROR(VLOOKUP($D2827,物料档案!$A$4:$P$1203,4,0),"※编码不在物料档案里"))</f>
        <v/>
      </c>
      <c r="G2827" s="24">
        <f>IF($D2827="","",IFERROR(VLOOKUP($D2827,物料档案!$A$4:$P$1203,5,0),"※编码不在物料档案里"))</f>
        <v/>
      </c>
      <c r="H2827" s="24">
        <f>IF($D2827="","",IFERROR(VLOOKUP($D2827,物料档案!$A$4:$P$1203,2,0),"※编码不在物料档案里"))</f>
        <v/>
      </c>
      <c r="I2827" s="24">
        <f>IF($D2827="","",IFERROR(VLOOKUP($D2827,物料档案!$A$4:$P$1203,6,0),"※编码不在物料档案里"))</f>
        <v/>
      </c>
      <c r="J2827" s="23" t="n"/>
      <c r="K2827" s="17" t="n"/>
      <c r="L2827" s="17" t="n"/>
      <c r="M2827" s="17" t="n"/>
      <c r="N2827" s="17" t="n"/>
      <c r="O2827" s="26">
        <f>IF($D2827="","",IFERROR(VLOOKUP($D2827,物料档案!$A$4:$P$1203,10,0),0))</f>
        <v/>
      </c>
      <c r="P2827" s="32" t="n"/>
      <c r="Q2827" s="26">
        <f>IF($D2827="","",IF($K2827&lt;&gt;"对外销售",0,ROUND(N($J2827)*IF($P2827="",N($O2827),N($P2827)),0)))</f>
        <v/>
      </c>
      <c r="R2827" s="26">
        <f>IF($D2827="","",IFERROR(VLOOKUP($D2827,库存台账!$A$5:$Y$1204,11,0),0))</f>
        <v/>
      </c>
      <c r="S2827" s="26">
        <f>IF($D2827="","",ROUND(N($J2827)*N($R2827),0))</f>
        <v/>
      </c>
      <c r="T2827" s="26">
        <f>IF($D2827="","",IF($K2827&lt;&gt;"对外销售","",ROUND($Q2827-$S2827,0)))</f>
        <v/>
      </c>
      <c r="U2827" s="17" t="n"/>
      <c r="V2827" s="17" t="n"/>
      <c r="W2827" s="24">
        <f>IF($D2827="","",IF($E2827="※编码不在物料档案里","※物料编码不在档案里",IF(N($J2827)&lt;=0,"※出库数量要大于 0",IF($K2827="","※没填去向类型",IF($L2827="","※没填去向矿区",IF(AND($C2827&lt;&gt;"",$C2827&lt;=结账锁),"※日期早于已结账截止日，不能再录",IF(AND($K2827="自用消耗",COUNTIF({"一矿区";"二矿区"},$L2827)=0),"※自用消耗的去向只能是一矿区或二矿区",IF(AND($K2827="对外销售",COUNTIF({"三矿区";"六矿区"},$L2827)=0),"※对外销售的去向只能是三矿区或六矿区",IF(AND($K2827="对外销售",ROUND($Q2827,0)=0),"※外销却没有售价，请填实际售价",IF(AND($K2827="对外销售",$T2827&lt;&gt;"",$T2827&lt;0),"※这一笔外销是亏的，请核对售价",IF(IFERROR(VLOOKUP($D2827,库存台账!$A$5:$Y$1204,24,0),0)&lt;-0.001,"※这个物料账面已经变成负数了，查一下是不是漏记入库","")))))))))))</f>
        <v/>
      </c>
    </row>
    <row r="2828">
      <c r="A2828" s="24">
        <f>IF($D2828="","",COUNTA($D$4:$D2828))</f>
        <v/>
      </c>
      <c r="B2828" s="17" t="n"/>
      <c r="C2828" s="30" t="n"/>
      <c r="D2828" s="17" t="n"/>
      <c r="E2828" s="24">
        <f>IF($D2828="","",IFERROR(VLOOKUP($D2828,物料档案!$A$4:$P$1203,3,0),"※编码不在物料档案里"))</f>
        <v/>
      </c>
      <c r="F2828" s="24">
        <f>IF($D2828="","",IFERROR(VLOOKUP($D2828,物料档案!$A$4:$P$1203,4,0),"※编码不在物料档案里"))</f>
        <v/>
      </c>
      <c r="G2828" s="24">
        <f>IF($D2828="","",IFERROR(VLOOKUP($D2828,物料档案!$A$4:$P$1203,5,0),"※编码不在物料档案里"))</f>
        <v/>
      </c>
      <c r="H2828" s="24">
        <f>IF($D2828="","",IFERROR(VLOOKUP($D2828,物料档案!$A$4:$P$1203,2,0),"※编码不在物料档案里"))</f>
        <v/>
      </c>
      <c r="I2828" s="24">
        <f>IF($D2828="","",IFERROR(VLOOKUP($D2828,物料档案!$A$4:$P$1203,6,0),"※编码不在物料档案里"))</f>
        <v/>
      </c>
      <c r="J2828" s="23" t="n"/>
      <c r="K2828" s="17" t="n"/>
      <c r="L2828" s="17" t="n"/>
      <c r="M2828" s="17" t="n"/>
      <c r="N2828" s="17" t="n"/>
      <c r="O2828" s="26">
        <f>IF($D2828="","",IFERROR(VLOOKUP($D2828,物料档案!$A$4:$P$1203,10,0),0))</f>
        <v/>
      </c>
      <c r="P2828" s="32" t="n"/>
      <c r="Q2828" s="26">
        <f>IF($D2828="","",IF($K2828&lt;&gt;"对外销售",0,ROUND(N($J2828)*IF($P2828="",N($O2828),N($P2828)),0)))</f>
        <v/>
      </c>
      <c r="R2828" s="26">
        <f>IF($D2828="","",IFERROR(VLOOKUP($D2828,库存台账!$A$5:$Y$1204,11,0),0))</f>
        <v/>
      </c>
      <c r="S2828" s="26">
        <f>IF($D2828="","",ROUND(N($J2828)*N($R2828),0))</f>
        <v/>
      </c>
      <c r="T2828" s="26">
        <f>IF($D2828="","",IF($K2828&lt;&gt;"对外销售","",ROUND($Q2828-$S2828,0)))</f>
        <v/>
      </c>
      <c r="U2828" s="17" t="n"/>
      <c r="V2828" s="17" t="n"/>
      <c r="W2828" s="24">
        <f>IF($D2828="","",IF($E2828="※编码不在物料档案里","※物料编码不在档案里",IF(N($J2828)&lt;=0,"※出库数量要大于 0",IF($K2828="","※没填去向类型",IF($L2828="","※没填去向矿区",IF(AND($C2828&lt;&gt;"",$C2828&lt;=结账锁),"※日期早于已结账截止日，不能再录",IF(AND($K2828="自用消耗",COUNTIF({"一矿区";"二矿区"},$L2828)=0),"※自用消耗的去向只能是一矿区或二矿区",IF(AND($K2828="对外销售",COUNTIF({"三矿区";"六矿区"},$L2828)=0),"※对外销售的去向只能是三矿区或六矿区",IF(AND($K2828="对外销售",ROUND($Q2828,0)=0),"※外销却没有售价，请填实际售价",IF(AND($K2828="对外销售",$T2828&lt;&gt;"",$T2828&lt;0),"※这一笔外销是亏的，请核对售价",IF(IFERROR(VLOOKUP($D2828,库存台账!$A$5:$Y$1204,24,0),0)&lt;-0.001,"※这个物料账面已经变成负数了，查一下是不是漏记入库","")))))))))))</f>
        <v/>
      </c>
    </row>
    <row r="2829">
      <c r="A2829" s="24">
        <f>IF($D2829="","",COUNTA($D$4:$D2829))</f>
        <v/>
      </c>
      <c r="B2829" s="17" t="n"/>
      <c r="C2829" s="30" t="n"/>
      <c r="D2829" s="17" t="n"/>
      <c r="E2829" s="24">
        <f>IF($D2829="","",IFERROR(VLOOKUP($D2829,物料档案!$A$4:$P$1203,3,0),"※编码不在物料档案里"))</f>
        <v/>
      </c>
      <c r="F2829" s="24">
        <f>IF($D2829="","",IFERROR(VLOOKUP($D2829,物料档案!$A$4:$P$1203,4,0),"※编码不在物料档案里"))</f>
        <v/>
      </c>
      <c r="G2829" s="24">
        <f>IF($D2829="","",IFERROR(VLOOKUP($D2829,物料档案!$A$4:$P$1203,5,0),"※编码不在物料档案里"))</f>
        <v/>
      </c>
      <c r="H2829" s="24">
        <f>IF($D2829="","",IFERROR(VLOOKUP($D2829,物料档案!$A$4:$P$1203,2,0),"※编码不在物料档案里"))</f>
        <v/>
      </c>
      <c r="I2829" s="24">
        <f>IF($D2829="","",IFERROR(VLOOKUP($D2829,物料档案!$A$4:$P$1203,6,0),"※编码不在物料档案里"))</f>
        <v/>
      </c>
      <c r="J2829" s="23" t="n"/>
      <c r="K2829" s="17" t="n"/>
      <c r="L2829" s="17" t="n"/>
      <c r="M2829" s="17" t="n"/>
      <c r="N2829" s="17" t="n"/>
      <c r="O2829" s="26">
        <f>IF($D2829="","",IFERROR(VLOOKUP($D2829,物料档案!$A$4:$P$1203,10,0),0))</f>
        <v/>
      </c>
      <c r="P2829" s="32" t="n"/>
      <c r="Q2829" s="26">
        <f>IF($D2829="","",IF($K2829&lt;&gt;"对外销售",0,ROUND(N($J2829)*IF($P2829="",N($O2829),N($P2829)),0)))</f>
        <v/>
      </c>
      <c r="R2829" s="26">
        <f>IF($D2829="","",IFERROR(VLOOKUP($D2829,库存台账!$A$5:$Y$1204,11,0),0))</f>
        <v/>
      </c>
      <c r="S2829" s="26">
        <f>IF($D2829="","",ROUND(N($J2829)*N($R2829),0))</f>
        <v/>
      </c>
      <c r="T2829" s="26">
        <f>IF($D2829="","",IF($K2829&lt;&gt;"对外销售","",ROUND($Q2829-$S2829,0)))</f>
        <v/>
      </c>
      <c r="U2829" s="17" t="n"/>
      <c r="V2829" s="17" t="n"/>
      <c r="W2829" s="24">
        <f>IF($D2829="","",IF($E2829="※编码不在物料档案里","※物料编码不在档案里",IF(N($J2829)&lt;=0,"※出库数量要大于 0",IF($K2829="","※没填去向类型",IF($L2829="","※没填去向矿区",IF(AND($C2829&lt;&gt;"",$C2829&lt;=结账锁),"※日期早于已结账截止日，不能再录",IF(AND($K2829="自用消耗",COUNTIF({"一矿区";"二矿区"},$L2829)=0),"※自用消耗的去向只能是一矿区或二矿区",IF(AND($K2829="对外销售",COUNTIF({"三矿区";"六矿区"},$L2829)=0),"※对外销售的去向只能是三矿区或六矿区",IF(AND($K2829="对外销售",ROUND($Q2829,0)=0),"※外销却没有售价，请填实际售价",IF(AND($K2829="对外销售",$T2829&lt;&gt;"",$T2829&lt;0),"※这一笔外销是亏的，请核对售价",IF(IFERROR(VLOOKUP($D2829,库存台账!$A$5:$Y$1204,24,0),0)&lt;-0.001,"※这个物料账面已经变成负数了，查一下是不是漏记入库","")))))))))))</f>
        <v/>
      </c>
    </row>
    <row r="2830">
      <c r="A2830" s="24">
        <f>IF($D2830="","",COUNTA($D$4:$D2830))</f>
        <v/>
      </c>
      <c r="B2830" s="17" t="n"/>
      <c r="C2830" s="30" t="n"/>
      <c r="D2830" s="17" t="n"/>
      <c r="E2830" s="24">
        <f>IF($D2830="","",IFERROR(VLOOKUP($D2830,物料档案!$A$4:$P$1203,3,0),"※编码不在物料档案里"))</f>
        <v/>
      </c>
      <c r="F2830" s="24">
        <f>IF($D2830="","",IFERROR(VLOOKUP($D2830,物料档案!$A$4:$P$1203,4,0),"※编码不在物料档案里"))</f>
        <v/>
      </c>
      <c r="G2830" s="24">
        <f>IF($D2830="","",IFERROR(VLOOKUP($D2830,物料档案!$A$4:$P$1203,5,0),"※编码不在物料档案里"))</f>
        <v/>
      </c>
      <c r="H2830" s="24">
        <f>IF($D2830="","",IFERROR(VLOOKUP($D2830,物料档案!$A$4:$P$1203,2,0),"※编码不在物料档案里"))</f>
        <v/>
      </c>
      <c r="I2830" s="24">
        <f>IF($D2830="","",IFERROR(VLOOKUP($D2830,物料档案!$A$4:$P$1203,6,0),"※编码不在物料档案里"))</f>
        <v/>
      </c>
      <c r="J2830" s="23" t="n"/>
      <c r="K2830" s="17" t="n"/>
      <c r="L2830" s="17" t="n"/>
      <c r="M2830" s="17" t="n"/>
      <c r="N2830" s="17" t="n"/>
      <c r="O2830" s="26">
        <f>IF($D2830="","",IFERROR(VLOOKUP($D2830,物料档案!$A$4:$P$1203,10,0),0))</f>
        <v/>
      </c>
      <c r="P2830" s="32" t="n"/>
      <c r="Q2830" s="26">
        <f>IF($D2830="","",IF($K2830&lt;&gt;"对外销售",0,ROUND(N($J2830)*IF($P2830="",N($O2830),N($P2830)),0)))</f>
        <v/>
      </c>
      <c r="R2830" s="26">
        <f>IF($D2830="","",IFERROR(VLOOKUP($D2830,库存台账!$A$5:$Y$1204,11,0),0))</f>
        <v/>
      </c>
      <c r="S2830" s="26">
        <f>IF($D2830="","",ROUND(N($J2830)*N($R2830),0))</f>
        <v/>
      </c>
      <c r="T2830" s="26">
        <f>IF($D2830="","",IF($K2830&lt;&gt;"对外销售","",ROUND($Q2830-$S2830,0)))</f>
        <v/>
      </c>
      <c r="U2830" s="17" t="n"/>
      <c r="V2830" s="17" t="n"/>
      <c r="W2830" s="24">
        <f>IF($D2830="","",IF($E2830="※编码不在物料档案里","※物料编码不在档案里",IF(N($J2830)&lt;=0,"※出库数量要大于 0",IF($K2830="","※没填去向类型",IF($L2830="","※没填去向矿区",IF(AND($C2830&lt;&gt;"",$C2830&lt;=结账锁),"※日期早于已结账截止日，不能再录",IF(AND($K2830="自用消耗",COUNTIF({"一矿区";"二矿区"},$L2830)=0),"※自用消耗的去向只能是一矿区或二矿区",IF(AND($K2830="对外销售",COUNTIF({"三矿区";"六矿区"},$L2830)=0),"※对外销售的去向只能是三矿区或六矿区",IF(AND($K2830="对外销售",ROUND($Q2830,0)=0),"※外销却没有售价，请填实际售价",IF(AND($K2830="对外销售",$T2830&lt;&gt;"",$T2830&lt;0),"※这一笔外销是亏的，请核对售价",IF(IFERROR(VLOOKUP($D2830,库存台账!$A$5:$Y$1204,24,0),0)&lt;-0.001,"※这个物料账面已经变成负数了，查一下是不是漏记入库","")))))))))))</f>
        <v/>
      </c>
    </row>
    <row r="2831">
      <c r="A2831" s="24">
        <f>IF($D2831="","",COUNTA($D$4:$D2831))</f>
        <v/>
      </c>
      <c r="B2831" s="17" t="n"/>
      <c r="C2831" s="30" t="n"/>
      <c r="D2831" s="17" t="n"/>
      <c r="E2831" s="24">
        <f>IF($D2831="","",IFERROR(VLOOKUP($D2831,物料档案!$A$4:$P$1203,3,0),"※编码不在物料档案里"))</f>
        <v/>
      </c>
      <c r="F2831" s="24">
        <f>IF($D2831="","",IFERROR(VLOOKUP($D2831,物料档案!$A$4:$P$1203,4,0),"※编码不在物料档案里"))</f>
        <v/>
      </c>
      <c r="G2831" s="24">
        <f>IF($D2831="","",IFERROR(VLOOKUP($D2831,物料档案!$A$4:$P$1203,5,0),"※编码不在物料档案里"))</f>
        <v/>
      </c>
      <c r="H2831" s="24">
        <f>IF($D2831="","",IFERROR(VLOOKUP($D2831,物料档案!$A$4:$P$1203,2,0),"※编码不在物料档案里"))</f>
        <v/>
      </c>
      <c r="I2831" s="24">
        <f>IF($D2831="","",IFERROR(VLOOKUP($D2831,物料档案!$A$4:$P$1203,6,0),"※编码不在物料档案里"))</f>
        <v/>
      </c>
      <c r="J2831" s="23" t="n"/>
      <c r="K2831" s="17" t="n"/>
      <c r="L2831" s="17" t="n"/>
      <c r="M2831" s="17" t="n"/>
      <c r="N2831" s="17" t="n"/>
      <c r="O2831" s="26">
        <f>IF($D2831="","",IFERROR(VLOOKUP($D2831,物料档案!$A$4:$P$1203,10,0),0))</f>
        <v/>
      </c>
      <c r="P2831" s="32" t="n"/>
      <c r="Q2831" s="26">
        <f>IF($D2831="","",IF($K2831&lt;&gt;"对外销售",0,ROUND(N($J2831)*IF($P2831="",N($O2831),N($P2831)),0)))</f>
        <v/>
      </c>
      <c r="R2831" s="26">
        <f>IF($D2831="","",IFERROR(VLOOKUP($D2831,库存台账!$A$5:$Y$1204,11,0),0))</f>
        <v/>
      </c>
      <c r="S2831" s="26">
        <f>IF($D2831="","",ROUND(N($J2831)*N($R2831),0))</f>
        <v/>
      </c>
      <c r="T2831" s="26">
        <f>IF($D2831="","",IF($K2831&lt;&gt;"对外销售","",ROUND($Q2831-$S2831,0)))</f>
        <v/>
      </c>
      <c r="U2831" s="17" t="n"/>
      <c r="V2831" s="17" t="n"/>
      <c r="W2831" s="24">
        <f>IF($D2831="","",IF($E2831="※编码不在物料档案里","※物料编码不在档案里",IF(N($J2831)&lt;=0,"※出库数量要大于 0",IF($K2831="","※没填去向类型",IF($L2831="","※没填去向矿区",IF(AND($C2831&lt;&gt;"",$C2831&lt;=结账锁),"※日期早于已结账截止日，不能再录",IF(AND($K2831="自用消耗",COUNTIF({"一矿区";"二矿区"},$L2831)=0),"※自用消耗的去向只能是一矿区或二矿区",IF(AND($K2831="对外销售",COUNTIF({"三矿区";"六矿区"},$L2831)=0),"※对外销售的去向只能是三矿区或六矿区",IF(AND($K2831="对外销售",ROUND($Q2831,0)=0),"※外销却没有售价，请填实际售价",IF(AND($K2831="对外销售",$T2831&lt;&gt;"",$T2831&lt;0),"※这一笔外销是亏的，请核对售价",IF(IFERROR(VLOOKUP($D2831,库存台账!$A$5:$Y$1204,24,0),0)&lt;-0.001,"※这个物料账面已经变成负数了，查一下是不是漏记入库","")))))))))))</f>
        <v/>
      </c>
    </row>
    <row r="2832">
      <c r="A2832" s="24">
        <f>IF($D2832="","",COUNTA($D$4:$D2832))</f>
        <v/>
      </c>
      <c r="B2832" s="17" t="n"/>
      <c r="C2832" s="30" t="n"/>
      <c r="D2832" s="17" t="n"/>
      <c r="E2832" s="24">
        <f>IF($D2832="","",IFERROR(VLOOKUP($D2832,物料档案!$A$4:$P$1203,3,0),"※编码不在物料档案里"))</f>
        <v/>
      </c>
      <c r="F2832" s="24">
        <f>IF($D2832="","",IFERROR(VLOOKUP($D2832,物料档案!$A$4:$P$1203,4,0),"※编码不在物料档案里"))</f>
        <v/>
      </c>
      <c r="G2832" s="24">
        <f>IF($D2832="","",IFERROR(VLOOKUP($D2832,物料档案!$A$4:$P$1203,5,0),"※编码不在物料档案里"))</f>
        <v/>
      </c>
      <c r="H2832" s="24">
        <f>IF($D2832="","",IFERROR(VLOOKUP($D2832,物料档案!$A$4:$P$1203,2,0),"※编码不在物料档案里"))</f>
        <v/>
      </c>
      <c r="I2832" s="24">
        <f>IF($D2832="","",IFERROR(VLOOKUP($D2832,物料档案!$A$4:$P$1203,6,0),"※编码不在物料档案里"))</f>
        <v/>
      </c>
      <c r="J2832" s="23" t="n"/>
      <c r="K2832" s="17" t="n"/>
      <c r="L2832" s="17" t="n"/>
      <c r="M2832" s="17" t="n"/>
      <c r="N2832" s="17" t="n"/>
      <c r="O2832" s="26">
        <f>IF($D2832="","",IFERROR(VLOOKUP($D2832,物料档案!$A$4:$P$1203,10,0),0))</f>
        <v/>
      </c>
      <c r="P2832" s="32" t="n"/>
      <c r="Q2832" s="26">
        <f>IF($D2832="","",IF($K2832&lt;&gt;"对外销售",0,ROUND(N($J2832)*IF($P2832="",N($O2832),N($P2832)),0)))</f>
        <v/>
      </c>
      <c r="R2832" s="26">
        <f>IF($D2832="","",IFERROR(VLOOKUP($D2832,库存台账!$A$5:$Y$1204,11,0),0))</f>
        <v/>
      </c>
      <c r="S2832" s="26">
        <f>IF($D2832="","",ROUND(N($J2832)*N($R2832),0))</f>
        <v/>
      </c>
      <c r="T2832" s="26">
        <f>IF($D2832="","",IF($K2832&lt;&gt;"对外销售","",ROUND($Q2832-$S2832,0)))</f>
        <v/>
      </c>
      <c r="U2832" s="17" t="n"/>
      <c r="V2832" s="17" t="n"/>
      <c r="W2832" s="24">
        <f>IF($D2832="","",IF($E2832="※编码不在物料档案里","※物料编码不在档案里",IF(N($J2832)&lt;=0,"※出库数量要大于 0",IF($K2832="","※没填去向类型",IF($L2832="","※没填去向矿区",IF(AND($C2832&lt;&gt;"",$C2832&lt;=结账锁),"※日期早于已结账截止日，不能再录",IF(AND($K2832="自用消耗",COUNTIF({"一矿区";"二矿区"},$L2832)=0),"※自用消耗的去向只能是一矿区或二矿区",IF(AND($K2832="对外销售",COUNTIF({"三矿区";"六矿区"},$L2832)=0),"※对外销售的去向只能是三矿区或六矿区",IF(AND($K2832="对外销售",ROUND($Q2832,0)=0),"※外销却没有售价，请填实际售价",IF(AND($K2832="对外销售",$T2832&lt;&gt;"",$T2832&lt;0),"※这一笔外销是亏的，请核对售价",IF(IFERROR(VLOOKUP($D2832,库存台账!$A$5:$Y$1204,24,0),0)&lt;-0.001,"※这个物料账面已经变成负数了，查一下是不是漏记入库","")))))))))))</f>
        <v/>
      </c>
    </row>
    <row r="2833">
      <c r="A2833" s="24">
        <f>IF($D2833="","",COUNTA($D$4:$D2833))</f>
        <v/>
      </c>
      <c r="B2833" s="17" t="n"/>
      <c r="C2833" s="30" t="n"/>
      <c r="D2833" s="17" t="n"/>
      <c r="E2833" s="24">
        <f>IF($D2833="","",IFERROR(VLOOKUP($D2833,物料档案!$A$4:$P$1203,3,0),"※编码不在物料档案里"))</f>
        <v/>
      </c>
      <c r="F2833" s="24">
        <f>IF($D2833="","",IFERROR(VLOOKUP($D2833,物料档案!$A$4:$P$1203,4,0),"※编码不在物料档案里"))</f>
        <v/>
      </c>
      <c r="G2833" s="24">
        <f>IF($D2833="","",IFERROR(VLOOKUP($D2833,物料档案!$A$4:$P$1203,5,0),"※编码不在物料档案里"))</f>
        <v/>
      </c>
      <c r="H2833" s="24">
        <f>IF($D2833="","",IFERROR(VLOOKUP($D2833,物料档案!$A$4:$P$1203,2,0),"※编码不在物料档案里"))</f>
        <v/>
      </c>
      <c r="I2833" s="24">
        <f>IF($D2833="","",IFERROR(VLOOKUP($D2833,物料档案!$A$4:$P$1203,6,0),"※编码不在物料档案里"))</f>
        <v/>
      </c>
      <c r="J2833" s="23" t="n"/>
      <c r="K2833" s="17" t="n"/>
      <c r="L2833" s="17" t="n"/>
      <c r="M2833" s="17" t="n"/>
      <c r="N2833" s="17" t="n"/>
      <c r="O2833" s="26">
        <f>IF($D2833="","",IFERROR(VLOOKUP($D2833,物料档案!$A$4:$P$1203,10,0),0))</f>
        <v/>
      </c>
      <c r="P2833" s="32" t="n"/>
      <c r="Q2833" s="26">
        <f>IF($D2833="","",IF($K2833&lt;&gt;"对外销售",0,ROUND(N($J2833)*IF($P2833="",N($O2833),N($P2833)),0)))</f>
        <v/>
      </c>
      <c r="R2833" s="26">
        <f>IF($D2833="","",IFERROR(VLOOKUP($D2833,库存台账!$A$5:$Y$1204,11,0),0))</f>
        <v/>
      </c>
      <c r="S2833" s="26">
        <f>IF($D2833="","",ROUND(N($J2833)*N($R2833),0))</f>
        <v/>
      </c>
      <c r="T2833" s="26">
        <f>IF($D2833="","",IF($K2833&lt;&gt;"对外销售","",ROUND($Q2833-$S2833,0)))</f>
        <v/>
      </c>
      <c r="U2833" s="17" t="n"/>
      <c r="V2833" s="17" t="n"/>
      <c r="W2833" s="24">
        <f>IF($D2833="","",IF($E2833="※编码不在物料档案里","※物料编码不在档案里",IF(N($J2833)&lt;=0,"※出库数量要大于 0",IF($K2833="","※没填去向类型",IF($L2833="","※没填去向矿区",IF(AND($C2833&lt;&gt;"",$C2833&lt;=结账锁),"※日期早于已结账截止日，不能再录",IF(AND($K2833="自用消耗",COUNTIF({"一矿区";"二矿区"},$L2833)=0),"※自用消耗的去向只能是一矿区或二矿区",IF(AND($K2833="对外销售",COUNTIF({"三矿区";"六矿区"},$L2833)=0),"※对外销售的去向只能是三矿区或六矿区",IF(AND($K2833="对外销售",ROUND($Q2833,0)=0),"※外销却没有售价，请填实际售价",IF(AND($K2833="对外销售",$T2833&lt;&gt;"",$T2833&lt;0),"※这一笔外销是亏的，请核对售价",IF(IFERROR(VLOOKUP($D2833,库存台账!$A$5:$Y$1204,24,0),0)&lt;-0.001,"※这个物料账面已经变成负数了，查一下是不是漏记入库","")))))))))))</f>
        <v/>
      </c>
    </row>
    <row r="2834">
      <c r="A2834" s="24">
        <f>IF($D2834="","",COUNTA($D$4:$D2834))</f>
        <v/>
      </c>
      <c r="B2834" s="17" t="n"/>
      <c r="C2834" s="30" t="n"/>
      <c r="D2834" s="17" t="n"/>
      <c r="E2834" s="24">
        <f>IF($D2834="","",IFERROR(VLOOKUP($D2834,物料档案!$A$4:$P$1203,3,0),"※编码不在物料档案里"))</f>
        <v/>
      </c>
      <c r="F2834" s="24">
        <f>IF($D2834="","",IFERROR(VLOOKUP($D2834,物料档案!$A$4:$P$1203,4,0),"※编码不在物料档案里"))</f>
        <v/>
      </c>
      <c r="G2834" s="24">
        <f>IF($D2834="","",IFERROR(VLOOKUP($D2834,物料档案!$A$4:$P$1203,5,0),"※编码不在物料档案里"))</f>
        <v/>
      </c>
      <c r="H2834" s="24">
        <f>IF($D2834="","",IFERROR(VLOOKUP($D2834,物料档案!$A$4:$P$1203,2,0),"※编码不在物料档案里"))</f>
        <v/>
      </c>
      <c r="I2834" s="24">
        <f>IF($D2834="","",IFERROR(VLOOKUP($D2834,物料档案!$A$4:$P$1203,6,0),"※编码不在物料档案里"))</f>
        <v/>
      </c>
      <c r="J2834" s="23" t="n"/>
      <c r="K2834" s="17" t="n"/>
      <c r="L2834" s="17" t="n"/>
      <c r="M2834" s="17" t="n"/>
      <c r="N2834" s="17" t="n"/>
      <c r="O2834" s="26">
        <f>IF($D2834="","",IFERROR(VLOOKUP($D2834,物料档案!$A$4:$P$1203,10,0),0))</f>
        <v/>
      </c>
      <c r="P2834" s="32" t="n"/>
      <c r="Q2834" s="26">
        <f>IF($D2834="","",IF($K2834&lt;&gt;"对外销售",0,ROUND(N($J2834)*IF($P2834="",N($O2834),N($P2834)),0)))</f>
        <v/>
      </c>
      <c r="R2834" s="26">
        <f>IF($D2834="","",IFERROR(VLOOKUP($D2834,库存台账!$A$5:$Y$1204,11,0),0))</f>
        <v/>
      </c>
      <c r="S2834" s="26">
        <f>IF($D2834="","",ROUND(N($J2834)*N($R2834),0))</f>
        <v/>
      </c>
      <c r="T2834" s="26">
        <f>IF($D2834="","",IF($K2834&lt;&gt;"对外销售","",ROUND($Q2834-$S2834,0)))</f>
        <v/>
      </c>
      <c r="U2834" s="17" t="n"/>
      <c r="V2834" s="17" t="n"/>
      <c r="W2834" s="24">
        <f>IF($D2834="","",IF($E2834="※编码不在物料档案里","※物料编码不在档案里",IF(N($J2834)&lt;=0,"※出库数量要大于 0",IF($K2834="","※没填去向类型",IF($L2834="","※没填去向矿区",IF(AND($C2834&lt;&gt;"",$C2834&lt;=结账锁),"※日期早于已结账截止日，不能再录",IF(AND($K2834="自用消耗",COUNTIF({"一矿区";"二矿区"},$L2834)=0),"※自用消耗的去向只能是一矿区或二矿区",IF(AND($K2834="对外销售",COUNTIF({"三矿区";"六矿区"},$L2834)=0),"※对外销售的去向只能是三矿区或六矿区",IF(AND($K2834="对外销售",ROUND($Q2834,0)=0),"※外销却没有售价，请填实际售价",IF(AND($K2834="对外销售",$T2834&lt;&gt;"",$T2834&lt;0),"※这一笔外销是亏的，请核对售价",IF(IFERROR(VLOOKUP($D2834,库存台账!$A$5:$Y$1204,24,0),0)&lt;-0.001,"※这个物料账面已经变成负数了，查一下是不是漏记入库","")))))))))))</f>
        <v/>
      </c>
    </row>
    <row r="2835">
      <c r="A2835" s="24">
        <f>IF($D2835="","",COUNTA($D$4:$D2835))</f>
        <v/>
      </c>
      <c r="B2835" s="17" t="n"/>
      <c r="C2835" s="30" t="n"/>
      <c r="D2835" s="17" t="n"/>
      <c r="E2835" s="24">
        <f>IF($D2835="","",IFERROR(VLOOKUP($D2835,物料档案!$A$4:$P$1203,3,0),"※编码不在物料档案里"))</f>
        <v/>
      </c>
      <c r="F2835" s="24">
        <f>IF($D2835="","",IFERROR(VLOOKUP($D2835,物料档案!$A$4:$P$1203,4,0),"※编码不在物料档案里"))</f>
        <v/>
      </c>
      <c r="G2835" s="24">
        <f>IF($D2835="","",IFERROR(VLOOKUP($D2835,物料档案!$A$4:$P$1203,5,0),"※编码不在物料档案里"))</f>
        <v/>
      </c>
      <c r="H2835" s="24">
        <f>IF($D2835="","",IFERROR(VLOOKUP($D2835,物料档案!$A$4:$P$1203,2,0),"※编码不在物料档案里"))</f>
        <v/>
      </c>
      <c r="I2835" s="24">
        <f>IF($D2835="","",IFERROR(VLOOKUP($D2835,物料档案!$A$4:$P$1203,6,0),"※编码不在物料档案里"))</f>
        <v/>
      </c>
      <c r="J2835" s="23" t="n"/>
      <c r="K2835" s="17" t="n"/>
      <c r="L2835" s="17" t="n"/>
      <c r="M2835" s="17" t="n"/>
      <c r="N2835" s="17" t="n"/>
      <c r="O2835" s="26">
        <f>IF($D2835="","",IFERROR(VLOOKUP($D2835,物料档案!$A$4:$P$1203,10,0),0))</f>
        <v/>
      </c>
      <c r="P2835" s="32" t="n"/>
      <c r="Q2835" s="26">
        <f>IF($D2835="","",IF($K2835&lt;&gt;"对外销售",0,ROUND(N($J2835)*IF($P2835="",N($O2835),N($P2835)),0)))</f>
        <v/>
      </c>
      <c r="R2835" s="26">
        <f>IF($D2835="","",IFERROR(VLOOKUP($D2835,库存台账!$A$5:$Y$1204,11,0),0))</f>
        <v/>
      </c>
      <c r="S2835" s="26">
        <f>IF($D2835="","",ROUND(N($J2835)*N($R2835),0))</f>
        <v/>
      </c>
      <c r="T2835" s="26">
        <f>IF($D2835="","",IF($K2835&lt;&gt;"对外销售","",ROUND($Q2835-$S2835,0)))</f>
        <v/>
      </c>
      <c r="U2835" s="17" t="n"/>
      <c r="V2835" s="17" t="n"/>
      <c r="W2835" s="24">
        <f>IF($D2835="","",IF($E2835="※编码不在物料档案里","※物料编码不在档案里",IF(N($J2835)&lt;=0,"※出库数量要大于 0",IF($K2835="","※没填去向类型",IF($L2835="","※没填去向矿区",IF(AND($C2835&lt;&gt;"",$C2835&lt;=结账锁),"※日期早于已结账截止日，不能再录",IF(AND($K2835="自用消耗",COUNTIF({"一矿区";"二矿区"},$L2835)=0),"※自用消耗的去向只能是一矿区或二矿区",IF(AND($K2835="对外销售",COUNTIF({"三矿区";"六矿区"},$L2835)=0),"※对外销售的去向只能是三矿区或六矿区",IF(AND($K2835="对外销售",ROUND($Q2835,0)=0),"※外销却没有售价，请填实际售价",IF(AND($K2835="对外销售",$T2835&lt;&gt;"",$T2835&lt;0),"※这一笔外销是亏的，请核对售价",IF(IFERROR(VLOOKUP($D2835,库存台账!$A$5:$Y$1204,24,0),0)&lt;-0.001,"※这个物料账面已经变成负数了，查一下是不是漏记入库","")))))))))))</f>
        <v/>
      </c>
    </row>
    <row r="2836">
      <c r="A2836" s="24">
        <f>IF($D2836="","",COUNTA($D$4:$D2836))</f>
        <v/>
      </c>
      <c r="B2836" s="17" t="n"/>
      <c r="C2836" s="30" t="n"/>
      <c r="D2836" s="17" t="n"/>
      <c r="E2836" s="24">
        <f>IF($D2836="","",IFERROR(VLOOKUP($D2836,物料档案!$A$4:$P$1203,3,0),"※编码不在物料档案里"))</f>
        <v/>
      </c>
      <c r="F2836" s="24">
        <f>IF($D2836="","",IFERROR(VLOOKUP($D2836,物料档案!$A$4:$P$1203,4,0),"※编码不在物料档案里"))</f>
        <v/>
      </c>
      <c r="G2836" s="24">
        <f>IF($D2836="","",IFERROR(VLOOKUP($D2836,物料档案!$A$4:$P$1203,5,0),"※编码不在物料档案里"))</f>
        <v/>
      </c>
      <c r="H2836" s="24">
        <f>IF($D2836="","",IFERROR(VLOOKUP($D2836,物料档案!$A$4:$P$1203,2,0),"※编码不在物料档案里"))</f>
        <v/>
      </c>
      <c r="I2836" s="24">
        <f>IF($D2836="","",IFERROR(VLOOKUP($D2836,物料档案!$A$4:$P$1203,6,0),"※编码不在物料档案里"))</f>
        <v/>
      </c>
      <c r="J2836" s="23" t="n"/>
      <c r="K2836" s="17" t="n"/>
      <c r="L2836" s="17" t="n"/>
      <c r="M2836" s="17" t="n"/>
      <c r="N2836" s="17" t="n"/>
      <c r="O2836" s="26">
        <f>IF($D2836="","",IFERROR(VLOOKUP($D2836,物料档案!$A$4:$P$1203,10,0),0))</f>
        <v/>
      </c>
      <c r="P2836" s="32" t="n"/>
      <c r="Q2836" s="26">
        <f>IF($D2836="","",IF($K2836&lt;&gt;"对外销售",0,ROUND(N($J2836)*IF($P2836="",N($O2836),N($P2836)),0)))</f>
        <v/>
      </c>
      <c r="R2836" s="26">
        <f>IF($D2836="","",IFERROR(VLOOKUP($D2836,库存台账!$A$5:$Y$1204,11,0),0))</f>
        <v/>
      </c>
      <c r="S2836" s="26">
        <f>IF($D2836="","",ROUND(N($J2836)*N($R2836),0))</f>
        <v/>
      </c>
      <c r="T2836" s="26">
        <f>IF($D2836="","",IF($K2836&lt;&gt;"对外销售","",ROUND($Q2836-$S2836,0)))</f>
        <v/>
      </c>
      <c r="U2836" s="17" t="n"/>
      <c r="V2836" s="17" t="n"/>
      <c r="W2836" s="24">
        <f>IF($D2836="","",IF($E2836="※编码不在物料档案里","※物料编码不在档案里",IF(N($J2836)&lt;=0,"※出库数量要大于 0",IF($K2836="","※没填去向类型",IF($L2836="","※没填去向矿区",IF(AND($C2836&lt;&gt;"",$C2836&lt;=结账锁),"※日期早于已结账截止日，不能再录",IF(AND($K2836="自用消耗",COUNTIF({"一矿区";"二矿区"},$L2836)=0),"※自用消耗的去向只能是一矿区或二矿区",IF(AND($K2836="对外销售",COUNTIF({"三矿区";"六矿区"},$L2836)=0),"※对外销售的去向只能是三矿区或六矿区",IF(AND($K2836="对外销售",ROUND($Q2836,0)=0),"※外销却没有售价，请填实际售价",IF(AND($K2836="对外销售",$T2836&lt;&gt;"",$T2836&lt;0),"※这一笔外销是亏的，请核对售价",IF(IFERROR(VLOOKUP($D2836,库存台账!$A$5:$Y$1204,24,0),0)&lt;-0.001,"※这个物料账面已经变成负数了，查一下是不是漏记入库","")))))))))))</f>
        <v/>
      </c>
    </row>
    <row r="2837">
      <c r="A2837" s="24">
        <f>IF($D2837="","",COUNTA($D$4:$D2837))</f>
        <v/>
      </c>
      <c r="B2837" s="17" t="n"/>
      <c r="C2837" s="30" t="n"/>
      <c r="D2837" s="17" t="n"/>
      <c r="E2837" s="24">
        <f>IF($D2837="","",IFERROR(VLOOKUP($D2837,物料档案!$A$4:$P$1203,3,0),"※编码不在物料档案里"))</f>
        <v/>
      </c>
      <c r="F2837" s="24">
        <f>IF($D2837="","",IFERROR(VLOOKUP($D2837,物料档案!$A$4:$P$1203,4,0),"※编码不在物料档案里"))</f>
        <v/>
      </c>
      <c r="G2837" s="24">
        <f>IF($D2837="","",IFERROR(VLOOKUP($D2837,物料档案!$A$4:$P$1203,5,0),"※编码不在物料档案里"))</f>
        <v/>
      </c>
      <c r="H2837" s="24">
        <f>IF($D2837="","",IFERROR(VLOOKUP($D2837,物料档案!$A$4:$P$1203,2,0),"※编码不在物料档案里"))</f>
        <v/>
      </c>
      <c r="I2837" s="24">
        <f>IF($D2837="","",IFERROR(VLOOKUP($D2837,物料档案!$A$4:$P$1203,6,0),"※编码不在物料档案里"))</f>
        <v/>
      </c>
      <c r="J2837" s="23" t="n"/>
      <c r="K2837" s="17" t="n"/>
      <c r="L2837" s="17" t="n"/>
      <c r="M2837" s="17" t="n"/>
      <c r="N2837" s="17" t="n"/>
      <c r="O2837" s="26">
        <f>IF($D2837="","",IFERROR(VLOOKUP($D2837,物料档案!$A$4:$P$1203,10,0),0))</f>
        <v/>
      </c>
      <c r="P2837" s="32" t="n"/>
      <c r="Q2837" s="26">
        <f>IF($D2837="","",IF($K2837&lt;&gt;"对外销售",0,ROUND(N($J2837)*IF($P2837="",N($O2837),N($P2837)),0)))</f>
        <v/>
      </c>
      <c r="R2837" s="26">
        <f>IF($D2837="","",IFERROR(VLOOKUP($D2837,库存台账!$A$5:$Y$1204,11,0),0))</f>
        <v/>
      </c>
      <c r="S2837" s="26">
        <f>IF($D2837="","",ROUND(N($J2837)*N($R2837),0))</f>
        <v/>
      </c>
      <c r="T2837" s="26">
        <f>IF($D2837="","",IF($K2837&lt;&gt;"对外销售","",ROUND($Q2837-$S2837,0)))</f>
        <v/>
      </c>
      <c r="U2837" s="17" t="n"/>
      <c r="V2837" s="17" t="n"/>
      <c r="W2837" s="24">
        <f>IF($D2837="","",IF($E2837="※编码不在物料档案里","※物料编码不在档案里",IF(N($J2837)&lt;=0,"※出库数量要大于 0",IF($K2837="","※没填去向类型",IF($L2837="","※没填去向矿区",IF(AND($C2837&lt;&gt;"",$C2837&lt;=结账锁),"※日期早于已结账截止日，不能再录",IF(AND($K2837="自用消耗",COUNTIF({"一矿区";"二矿区"},$L2837)=0),"※自用消耗的去向只能是一矿区或二矿区",IF(AND($K2837="对外销售",COUNTIF({"三矿区";"六矿区"},$L2837)=0),"※对外销售的去向只能是三矿区或六矿区",IF(AND($K2837="对外销售",ROUND($Q2837,0)=0),"※外销却没有售价，请填实际售价",IF(AND($K2837="对外销售",$T2837&lt;&gt;"",$T2837&lt;0),"※这一笔外销是亏的，请核对售价",IF(IFERROR(VLOOKUP($D2837,库存台账!$A$5:$Y$1204,24,0),0)&lt;-0.001,"※这个物料账面已经变成负数了，查一下是不是漏记入库","")))))))))))</f>
        <v/>
      </c>
    </row>
    <row r="2838">
      <c r="A2838" s="24">
        <f>IF($D2838="","",COUNTA($D$4:$D2838))</f>
        <v/>
      </c>
      <c r="B2838" s="17" t="n"/>
      <c r="C2838" s="30" t="n"/>
      <c r="D2838" s="17" t="n"/>
      <c r="E2838" s="24">
        <f>IF($D2838="","",IFERROR(VLOOKUP($D2838,物料档案!$A$4:$P$1203,3,0),"※编码不在物料档案里"))</f>
        <v/>
      </c>
      <c r="F2838" s="24">
        <f>IF($D2838="","",IFERROR(VLOOKUP($D2838,物料档案!$A$4:$P$1203,4,0),"※编码不在物料档案里"))</f>
        <v/>
      </c>
      <c r="G2838" s="24">
        <f>IF($D2838="","",IFERROR(VLOOKUP($D2838,物料档案!$A$4:$P$1203,5,0),"※编码不在物料档案里"))</f>
        <v/>
      </c>
      <c r="H2838" s="24">
        <f>IF($D2838="","",IFERROR(VLOOKUP($D2838,物料档案!$A$4:$P$1203,2,0),"※编码不在物料档案里"))</f>
        <v/>
      </c>
      <c r="I2838" s="24">
        <f>IF($D2838="","",IFERROR(VLOOKUP($D2838,物料档案!$A$4:$P$1203,6,0),"※编码不在物料档案里"))</f>
        <v/>
      </c>
      <c r="J2838" s="23" t="n"/>
      <c r="K2838" s="17" t="n"/>
      <c r="L2838" s="17" t="n"/>
      <c r="M2838" s="17" t="n"/>
      <c r="N2838" s="17" t="n"/>
      <c r="O2838" s="26">
        <f>IF($D2838="","",IFERROR(VLOOKUP($D2838,物料档案!$A$4:$P$1203,10,0),0))</f>
        <v/>
      </c>
      <c r="P2838" s="32" t="n"/>
      <c r="Q2838" s="26">
        <f>IF($D2838="","",IF($K2838&lt;&gt;"对外销售",0,ROUND(N($J2838)*IF($P2838="",N($O2838),N($P2838)),0)))</f>
        <v/>
      </c>
      <c r="R2838" s="26">
        <f>IF($D2838="","",IFERROR(VLOOKUP($D2838,库存台账!$A$5:$Y$1204,11,0),0))</f>
        <v/>
      </c>
      <c r="S2838" s="26">
        <f>IF($D2838="","",ROUND(N($J2838)*N($R2838),0))</f>
        <v/>
      </c>
      <c r="T2838" s="26">
        <f>IF($D2838="","",IF($K2838&lt;&gt;"对外销售","",ROUND($Q2838-$S2838,0)))</f>
        <v/>
      </c>
      <c r="U2838" s="17" t="n"/>
      <c r="V2838" s="17" t="n"/>
      <c r="W2838" s="24">
        <f>IF($D2838="","",IF($E2838="※编码不在物料档案里","※物料编码不在档案里",IF(N($J2838)&lt;=0,"※出库数量要大于 0",IF($K2838="","※没填去向类型",IF($L2838="","※没填去向矿区",IF(AND($C2838&lt;&gt;"",$C2838&lt;=结账锁),"※日期早于已结账截止日，不能再录",IF(AND($K2838="自用消耗",COUNTIF({"一矿区";"二矿区"},$L2838)=0),"※自用消耗的去向只能是一矿区或二矿区",IF(AND($K2838="对外销售",COUNTIF({"三矿区";"六矿区"},$L2838)=0),"※对外销售的去向只能是三矿区或六矿区",IF(AND($K2838="对外销售",ROUND($Q2838,0)=0),"※外销却没有售价，请填实际售价",IF(AND($K2838="对外销售",$T2838&lt;&gt;"",$T2838&lt;0),"※这一笔外销是亏的，请核对售价",IF(IFERROR(VLOOKUP($D2838,库存台账!$A$5:$Y$1204,24,0),0)&lt;-0.001,"※这个物料账面已经变成负数了，查一下是不是漏记入库","")))))))))))</f>
        <v/>
      </c>
    </row>
    <row r="2839">
      <c r="A2839" s="24">
        <f>IF($D2839="","",COUNTA($D$4:$D2839))</f>
        <v/>
      </c>
      <c r="B2839" s="17" t="n"/>
      <c r="C2839" s="30" t="n"/>
      <c r="D2839" s="17" t="n"/>
      <c r="E2839" s="24">
        <f>IF($D2839="","",IFERROR(VLOOKUP($D2839,物料档案!$A$4:$P$1203,3,0),"※编码不在物料档案里"))</f>
        <v/>
      </c>
      <c r="F2839" s="24">
        <f>IF($D2839="","",IFERROR(VLOOKUP($D2839,物料档案!$A$4:$P$1203,4,0),"※编码不在物料档案里"))</f>
        <v/>
      </c>
      <c r="G2839" s="24">
        <f>IF($D2839="","",IFERROR(VLOOKUP($D2839,物料档案!$A$4:$P$1203,5,0),"※编码不在物料档案里"))</f>
        <v/>
      </c>
      <c r="H2839" s="24">
        <f>IF($D2839="","",IFERROR(VLOOKUP($D2839,物料档案!$A$4:$P$1203,2,0),"※编码不在物料档案里"))</f>
        <v/>
      </c>
      <c r="I2839" s="24">
        <f>IF($D2839="","",IFERROR(VLOOKUP($D2839,物料档案!$A$4:$P$1203,6,0),"※编码不在物料档案里"))</f>
        <v/>
      </c>
      <c r="J2839" s="23" t="n"/>
      <c r="K2839" s="17" t="n"/>
      <c r="L2839" s="17" t="n"/>
      <c r="M2839" s="17" t="n"/>
      <c r="N2839" s="17" t="n"/>
      <c r="O2839" s="26">
        <f>IF($D2839="","",IFERROR(VLOOKUP($D2839,物料档案!$A$4:$P$1203,10,0),0))</f>
        <v/>
      </c>
      <c r="P2839" s="32" t="n"/>
      <c r="Q2839" s="26">
        <f>IF($D2839="","",IF($K2839&lt;&gt;"对外销售",0,ROUND(N($J2839)*IF($P2839="",N($O2839),N($P2839)),0)))</f>
        <v/>
      </c>
      <c r="R2839" s="26">
        <f>IF($D2839="","",IFERROR(VLOOKUP($D2839,库存台账!$A$5:$Y$1204,11,0),0))</f>
        <v/>
      </c>
      <c r="S2839" s="26">
        <f>IF($D2839="","",ROUND(N($J2839)*N($R2839),0))</f>
        <v/>
      </c>
      <c r="T2839" s="26">
        <f>IF($D2839="","",IF($K2839&lt;&gt;"对外销售","",ROUND($Q2839-$S2839,0)))</f>
        <v/>
      </c>
      <c r="U2839" s="17" t="n"/>
      <c r="V2839" s="17" t="n"/>
      <c r="W2839" s="24">
        <f>IF($D2839="","",IF($E2839="※编码不在物料档案里","※物料编码不在档案里",IF(N($J2839)&lt;=0,"※出库数量要大于 0",IF($K2839="","※没填去向类型",IF($L2839="","※没填去向矿区",IF(AND($C2839&lt;&gt;"",$C2839&lt;=结账锁),"※日期早于已结账截止日，不能再录",IF(AND($K2839="自用消耗",COUNTIF({"一矿区";"二矿区"},$L2839)=0),"※自用消耗的去向只能是一矿区或二矿区",IF(AND($K2839="对外销售",COUNTIF({"三矿区";"六矿区"},$L2839)=0),"※对外销售的去向只能是三矿区或六矿区",IF(AND($K2839="对外销售",ROUND($Q2839,0)=0),"※外销却没有售价，请填实际售价",IF(AND($K2839="对外销售",$T2839&lt;&gt;"",$T2839&lt;0),"※这一笔外销是亏的，请核对售价",IF(IFERROR(VLOOKUP($D2839,库存台账!$A$5:$Y$1204,24,0),0)&lt;-0.001,"※这个物料账面已经变成负数了，查一下是不是漏记入库","")))))))))))</f>
        <v/>
      </c>
    </row>
    <row r="2840">
      <c r="A2840" s="24">
        <f>IF($D2840="","",COUNTA($D$4:$D2840))</f>
        <v/>
      </c>
      <c r="B2840" s="17" t="n"/>
      <c r="C2840" s="30" t="n"/>
      <c r="D2840" s="17" t="n"/>
      <c r="E2840" s="24">
        <f>IF($D2840="","",IFERROR(VLOOKUP($D2840,物料档案!$A$4:$P$1203,3,0),"※编码不在物料档案里"))</f>
        <v/>
      </c>
      <c r="F2840" s="24">
        <f>IF($D2840="","",IFERROR(VLOOKUP($D2840,物料档案!$A$4:$P$1203,4,0),"※编码不在物料档案里"))</f>
        <v/>
      </c>
      <c r="G2840" s="24">
        <f>IF($D2840="","",IFERROR(VLOOKUP($D2840,物料档案!$A$4:$P$1203,5,0),"※编码不在物料档案里"))</f>
        <v/>
      </c>
      <c r="H2840" s="24">
        <f>IF($D2840="","",IFERROR(VLOOKUP($D2840,物料档案!$A$4:$P$1203,2,0),"※编码不在物料档案里"))</f>
        <v/>
      </c>
      <c r="I2840" s="24">
        <f>IF($D2840="","",IFERROR(VLOOKUP($D2840,物料档案!$A$4:$P$1203,6,0),"※编码不在物料档案里"))</f>
        <v/>
      </c>
      <c r="J2840" s="23" t="n"/>
      <c r="K2840" s="17" t="n"/>
      <c r="L2840" s="17" t="n"/>
      <c r="M2840" s="17" t="n"/>
      <c r="N2840" s="17" t="n"/>
      <c r="O2840" s="26">
        <f>IF($D2840="","",IFERROR(VLOOKUP($D2840,物料档案!$A$4:$P$1203,10,0),0))</f>
        <v/>
      </c>
      <c r="P2840" s="32" t="n"/>
      <c r="Q2840" s="26">
        <f>IF($D2840="","",IF($K2840&lt;&gt;"对外销售",0,ROUND(N($J2840)*IF($P2840="",N($O2840),N($P2840)),0)))</f>
        <v/>
      </c>
      <c r="R2840" s="26">
        <f>IF($D2840="","",IFERROR(VLOOKUP($D2840,库存台账!$A$5:$Y$1204,11,0),0))</f>
        <v/>
      </c>
      <c r="S2840" s="26">
        <f>IF($D2840="","",ROUND(N($J2840)*N($R2840),0))</f>
        <v/>
      </c>
      <c r="T2840" s="26">
        <f>IF($D2840="","",IF($K2840&lt;&gt;"对外销售","",ROUND($Q2840-$S2840,0)))</f>
        <v/>
      </c>
      <c r="U2840" s="17" t="n"/>
      <c r="V2840" s="17" t="n"/>
      <c r="W2840" s="24">
        <f>IF($D2840="","",IF($E2840="※编码不在物料档案里","※物料编码不在档案里",IF(N($J2840)&lt;=0,"※出库数量要大于 0",IF($K2840="","※没填去向类型",IF($L2840="","※没填去向矿区",IF(AND($C2840&lt;&gt;"",$C2840&lt;=结账锁),"※日期早于已结账截止日，不能再录",IF(AND($K2840="自用消耗",COUNTIF({"一矿区";"二矿区"},$L2840)=0),"※自用消耗的去向只能是一矿区或二矿区",IF(AND($K2840="对外销售",COUNTIF({"三矿区";"六矿区"},$L2840)=0),"※对外销售的去向只能是三矿区或六矿区",IF(AND($K2840="对外销售",ROUND($Q2840,0)=0),"※外销却没有售价，请填实际售价",IF(AND($K2840="对外销售",$T2840&lt;&gt;"",$T2840&lt;0),"※这一笔外销是亏的，请核对售价",IF(IFERROR(VLOOKUP($D2840,库存台账!$A$5:$Y$1204,24,0),0)&lt;-0.001,"※这个物料账面已经变成负数了，查一下是不是漏记入库","")))))))))))</f>
        <v/>
      </c>
    </row>
    <row r="2841">
      <c r="A2841" s="24">
        <f>IF($D2841="","",COUNTA($D$4:$D2841))</f>
        <v/>
      </c>
      <c r="B2841" s="17" t="n"/>
      <c r="C2841" s="30" t="n"/>
      <c r="D2841" s="17" t="n"/>
      <c r="E2841" s="24">
        <f>IF($D2841="","",IFERROR(VLOOKUP($D2841,物料档案!$A$4:$P$1203,3,0),"※编码不在物料档案里"))</f>
        <v/>
      </c>
      <c r="F2841" s="24">
        <f>IF($D2841="","",IFERROR(VLOOKUP($D2841,物料档案!$A$4:$P$1203,4,0),"※编码不在物料档案里"))</f>
        <v/>
      </c>
      <c r="G2841" s="24">
        <f>IF($D2841="","",IFERROR(VLOOKUP($D2841,物料档案!$A$4:$P$1203,5,0),"※编码不在物料档案里"))</f>
        <v/>
      </c>
      <c r="H2841" s="24">
        <f>IF($D2841="","",IFERROR(VLOOKUP($D2841,物料档案!$A$4:$P$1203,2,0),"※编码不在物料档案里"))</f>
        <v/>
      </c>
      <c r="I2841" s="24">
        <f>IF($D2841="","",IFERROR(VLOOKUP($D2841,物料档案!$A$4:$P$1203,6,0),"※编码不在物料档案里"))</f>
        <v/>
      </c>
      <c r="J2841" s="23" t="n"/>
      <c r="K2841" s="17" t="n"/>
      <c r="L2841" s="17" t="n"/>
      <c r="M2841" s="17" t="n"/>
      <c r="N2841" s="17" t="n"/>
      <c r="O2841" s="26">
        <f>IF($D2841="","",IFERROR(VLOOKUP($D2841,物料档案!$A$4:$P$1203,10,0),0))</f>
        <v/>
      </c>
      <c r="P2841" s="32" t="n"/>
      <c r="Q2841" s="26">
        <f>IF($D2841="","",IF($K2841&lt;&gt;"对外销售",0,ROUND(N($J2841)*IF($P2841="",N($O2841),N($P2841)),0)))</f>
        <v/>
      </c>
      <c r="R2841" s="26">
        <f>IF($D2841="","",IFERROR(VLOOKUP($D2841,库存台账!$A$5:$Y$1204,11,0),0))</f>
        <v/>
      </c>
      <c r="S2841" s="26">
        <f>IF($D2841="","",ROUND(N($J2841)*N($R2841),0))</f>
        <v/>
      </c>
      <c r="T2841" s="26">
        <f>IF($D2841="","",IF($K2841&lt;&gt;"对外销售","",ROUND($Q2841-$S2841,0)))</f>
        <v/>
      </c>
      <c r="U2841" s="17" t="n"/>
      <c r="V2841" s="17" t="n"/>
      <c r="W2841" s="24">
        <f>IF($D2841="","",IF($E2841="※编码不在物料档案里","※物料编码不在档案里",IF(N($J2841)&lt;=0,"※出库数量要大于 0",IF($K2841="","※没填去向类型",IF($L2841="","※没填去向矿区",IF(AND($C2841&lt;&gt;"",$C2841&lt;=结账锁),"※日期早于已结账截止日，不能再录",IF(AND($K2841="自用消耗",COUNTIF({"一矿区";"二矿区"},$L2841)=0),"※自用消耗的去向只能是一矿区或二矿区",IF(AND($K2841="对外销售",COUNTIF({"三矿区";"六矿区"},$L2841)=0),"※对外销售的去向只能是三矿区或六矿区",IF(AND($K2841="对外销售",ROUND($Q2841,0)=0),"※外销却没有售价，请填实际售价",IF(AND($K2841="对外销售",$T2841&lt;&gt;"",$T2841&lt;0),"※这一笔外销是亏的，请核对售价",IF(IFERROR(VLOOKUP($D2841,库存台账!$A$5:$Y$1204,24,0),0)&lt;-0.001,"※这个物料账面已经变成负数了，查一下是不是漏记入库","")))))))))))</f>
        <v/>
      </c>
    </row>
    <row r="2842">
      <c r="A2842" s="24">
        <f>IF($D2842="","",COUNTA($D$4:$D2842))</f>
        <v/>
      </c>
      <c r="B2842" s="17" t="n"/>
      <c r="C2842" s="30" t="n"/>
      <c r="D2842" s="17" t="n"/>
      <c r="E2842" s="24">
        <f>IF($D2842="","",IFERROR(VLOOKUP($D2842,物料档案!$A$4:$P$1203,3,0),"※编码不在物料档案里"))</f>
        <v/>
      </c>
      <c r="F2842" s="24">
        <f>IF($D2842="","",IFERROR(VLOOKUP($D2842,物料档案!$A$4:$P$1203,4,0),"※编码不在物料档案里"))</f>
        <v/>
      </c>
      <c r="G2842" s="24">
        <f>IF($D2842="","",IFERROR(VLOOKUP($D2842,物料档案!$A$4:$P$1203,5,0),"※编码不在物料档案里"))</f>
        <v/>
      </c>
      <c r="H2842" s="24">
        <f>IF($D2842="","",IFERROR(VLOOKUP($D2842,物料档案!$A$4:$P$1203,2,0),"※编码不在物料档案里"))</f>
        <v/>
      </c>
      <c r="I2842" s="24">
        <f>IF($D2842="","",IFERROR(VLOOKUP($D2842,物料档案!$A$4:$P$1203,6,0),"※编码不在物料档案里"))</f>
        <v/>
      </c>
      <c r="J2842" s="23" t="n"/>
      <c r="K2842" s="17" t="n"/>
      <c r="L2842" s="17" t="n"/>
      <c r="M2842" s="17" t="n"/>
      <c r="N2842" s="17" t="n"/>
      <c r="O2842" s="26">
        <f>IF($D2842="","",IFERROR(VLOOKUP($D2842,物料档案!$A$4:$P$1203,10,0),0))</f>
        <v/>
      </c>
      <c r="P2842" s="32" t="n"/>
      <c r="Q2842" s="26">
        <f>IF($D2842="","",IF($K2842&lt;&gt;"对外销售",0,ROUND(N($J2842)*IF($P2842="",N($O2842),N($P2842)),0)))</f>
        <v/>
      </c>
      <c r="R2842" s="26">
        <f>IF($D2842="","",IFERROR(VLOOKUP($D2842,库存台账!$A$5:$Y$1204,11,0),0))</f>
        <v/>
      </c>
      <c r="S2842" s="26">
        <f>IF($D2842="","",ROUND(N($J2842)*N($R2842),0))</f>
        <v/>
      </c>
      <c r="T2842" s="26">
        <f>IF($D2842="","",IF($K2842&lt;&gt;"对外销售","",ROUND($Q2842-$S2842,0)))</f>
        <v/>
      </c>
      <c r="U2842" s="17" t="n"/>
      <c r="V2842" s="17" t="n"/>
      <c r="W2842" s="24">
        <f>IF($D2842="","",IF($E2842="※编码不在物料档案里","※物料编码不在档案里",IF(N($J2842)&lt;=0,"※出库数量要大于 0",IF($K2842="","※没填去向类型",IF($L2842="","※没填去向矿区",IF(AND($C2842&lt;&gt;"",$C2842&lt;=结账锁),"※日期早于已结账截止日，不能再录",IF(AND($K2842="自用消耗",COUNTIF({"一矿区";"二矿区"},$L2842)=0),"※自用消耗的去向只能是一矿区或二矿区",IF(AND($K2842="对外销售",COUNTIF({"三矿区";"六矿区"},$L2842)=0),"※对外销售的去向只能是三矿区或六矿区",IF(AND($K2842="对外销售",ROUND($Q2842,0)=0),"※外销却没有售价，请填实际售价",IF(AND($K2842="对外销售",$T2842&lt;&gt;"",$T2842&lt;0),"※这一笔外销是亏的，请核对售价",IF(IFERROR(VLOOKUP($D2842,库存台账!$A$5:$Y$1204,24,0),0)&lt;-0.001,"※这个物料账面已经变成负数了，查一下是不是漏记入库","")))))))))))</f>
        <v/>
      </c>
    </row>
    <row r="2843">
      <c r="A2843" s="24">
        <f>IF($D2843="","",COUNTA($D$4:$D2843))</f>
        <v/>
      </c>
      <c r="B2843" s="17" t="n"/>
      <c r="C2843" s="30" t="n"/>
      <c r="D2843" s="17" t="n"/>
      <c r="E2843" s="24">
        <f>IF($D2843="","",IFERROR(VLOOKUP($D2843,物料档案!$A$4:$P$1203,3,0),"※编码不在物料档案里"))</f>
        <v/>
      </c>
      <c r="F2843" s="24">
        <f>IF($D2843="","",IFERROR(VLOOKUP($D2843,物料档案!$A$4:$P$1203,4,0),"※编码不在物料档案里"))</f>
        <v/>
      </c>
      <c r="G2843" s="24">
        <f>IF($D2843="","",IFERROR(VLOOKUP($D2843,物料档案!$A$4:$P$1203,5,0),"※编码不在物料档案里"))</f>
        <v/>
      </c>
      <c r="H2843" s="24">
        <f>IF($D2843="","",IFERROR(VLOOKUP($D2843,物料档案!$A$4:$P$1203,2,0),"※编码不在物料档案里"))</f>
        <v/>
      </c>
      <c r="I2843" s="24">
        <f>IF($D2843="","",IFERROR(VLOOKUP($D2843,物料档案!$A$4:$P$1203,6,0),"※编码不在物料档案里"))</f>
        <v/>
      </c>
      <c r="J2843" s="23" t="n"/>
      <c r="K2843" s="17" t="n"/>
      <c r="L2843" s="17" t="n"/>
      <c r="M2843" s="17" t="n"/>
      <c r="N2843" s="17" t="n"/>
      <c r="O2843" s="26">
        <f>IF($D2843="","",IFERROR(VLOOKUP($D2843,物料档案!$A$4:$P$1203,10,0),0))</f>
        <v/>
      </c>
      <c r="P2843" s="32" t="n"/>
      <c r="Q2843" s="26">
        <f>IF($D2843="","",IF($K2843&lt;&gt;"对外销售",0,ROUND(N($J2843)*IF($P2843="",N($O2843),N($P2843)),0)))</f>
        <v/>
      </c>
      <c r="R2843" s="26">
        <f>IF($D2843="","",IFERROR(VLOOKUP($D2843,库存台账!$A$5:$Y$1204,11,0),0))</f>
        <v/>
      </c>
      <c r="S2843" s="26">
        <f>IF($D2843="","",ROUND(N($J2843)*N($R2843),0))</f>
        <v/>
      </c>
      <c r="T2843" s="26">
        <f>IF($D2843="","",IF($K2843&lt;&gt;"对外销售","",ROUND($Q2843-$S2843,0)))</f>
        <v/>
      </c>
      <c r="U2843" s="17" t="n"/>
      <c r="V2843" s="17" t="n"/>
      <c r="W2843" s="24">
        <f>IF($D2843="","",IF($E2843="※编码不在物料档案里","※物料编码不在档案里",IF(N($J2843)&lt;=0,"※出库数量要大于 0",IF($K2843="","※没填去向类型",IF($L2843="","※没填去向矿区",IF(AND($C2843&lt;&gt;"",$C2843&lt;=结账锁),"※日期早于已结账截止日，不能再录",IF(AND($K2843="自用消耗",COUNTIF({"一矿区";"二矿区"},$L2843)=0),"※自用消耗的去向只能是一矿区或二矿区",IF(AND($K2843="对外销售",COUNTIF({"三矿区";"六矿区"},$L2843)=0),"※对外销售的去向只能是三矿区或六矿区",IF(AND($K2843="对外销售",ROUND($Q2843,0)=0),"※外销却没有售价，请填实际售价",IF(AND($K2843="对外销售",$T2843&lt;&gt;"",$T2843&lt;0),"※这一笔外销是亏的，请核对售价",IF(IFERROR(VLOOKUP($D2843,库存台账!$A$5:$Y$1204,24,0),0)&lt;-0.001,"※这个物料账面已经变成负数了，查一下是不是漏记入库","")))))))))))</f>
        <v/>
      </c>
    </row>
    <row r="2844">
      <c r="A2844" s="24">
        <f>IF($D2844="","",COUNTA($D$4:$D2844))</f>
        <v/>
      </c>
      <c r="B2844" s="17" t="n"/>
      <c r="C2844" s="30" t="n"/>
      <c r="D2844" s="17" t="n"/>
      <c r="E2844" s="24">
        <f>IF($D2844="","",IFERROR(VLOOKUP($D2844,物料档案!$A$4:$P$1203,3,0),"※编码不在物料档案里"))</f>
        <v/>
      </c>
      <c r="F2844" s="24">
        <f>IF($D2844="","",IFERROR(VLOOKUP($D2844,物料档案!$A$4:$P$1203,4,0),"※编码不在物料档案里"))</f>
        <v/>
      </c>
      <c r="G2844" s="24">
        <f>IF($D2844="","",IFERROR(VLOOKUP($D2844,物料档案!$A$4:$P$1203,5,0),"※编码不在物料档案里"))</f>
        <v/>
      </c>
      <c r="H2844" s="24">
        <f>IF($D2844="","",IFERROR(VLOOKUP($D2844,物料档案!$A$4:$P$1203,2,0),"※编码不在物料档案里"))</f>
        <v/>
      </c>
      <c r="I2844" s="24">
        <f>IF($D2844="","",IFERROR(VLOOKUP($D2844,物料档案!$A$4:$P$1203,6,0),"※编码不在物料档案里"))</f>
        <v/>
      </c>
      <c r="J2844" s="23" t="n"/>
      <c r="K2844" s="17" t="n"/>
      <c r="L2844" s="17" t="n"/>
      <c r="M2844" s="17" t="n"/>
      <c r="N2844" s="17" t="n"/>
      <c r="O2844" s="26">
        <f>IF($D2844="","",IFERROR(VLOOKUP($D2844,物料档案!$A$4:$P$1203,10,0),0))</f>
        <v/>
      </c>
      <c r="P2844" s="32" t="n"/>
      <c r="Q2844" s="26">
        <f>IF($D2844="","",IF($K2844&lt;&gt;"对外销售",0,ROUND(N($J2844)*IF($P2844="",N($O2844),N($P2844)),0)))</f>
        <v/>
      </c>
      <c r="R2844" s="26">
        <f>IF($D2844="","",IFERROR(VLOOKUP($D2844,库存台账!$A$5:$Y$1204,11,0),0))</f>
        <v/>
      </c>
      <c r="S2844" s="26">
        <f>IF($D2844="","",ROUND(N($J2844)*N($R2844),0))</f>
        <v/>
      </c>
      <c r="T2844" s="26">
        <f>IF($D2844="","",IF($K2844&lt;&gt;"对外销售","",ROUND($Q2844-$S2844,0)))</f>
        <v/>
      </c>
      <c r="U2844" s="17" t="n"/>
      <c r="V2844" s="17" t="n"/>
      <c r="W2844" s="24">
        <f>IF($D2844="","",IF($E2844="※编码不在物料档案里","※物料编码不在档案里",IF(N($J2844)&lt;=0,"※出库数量要大于 0",IF($K2844="","※没填去向类型",IF($L2844="","※没填去向矿区",IF(AND($C2844&lt;&gt;"",$C2844&lt;=结账锁),"※日期早于已结账截止日，不能再录",IF(AND($K2844="自用消耗",COUNTIF({"一矿区";"二矿区"},$L2844)=0),"※自用消耗的去向只能是一矿区或二矿区",IF(AND($K2844="对外销售",COUNTIF({"三矿区";"六矿区"},$L2844)=0),"※对外销售的去向只能是三矿区或六矿区",IF(AND($K2844="对外销售",ROUND($Q2844,0)=0),"※外销却没有售价，请填实际售价",IF(AND($K2844="对外销售",$T2844&lt;&gt;"",$T2844&lt;0),"※这一笔外销是亏的，请核对售价",IF(IFERROR(VLOOKUP($D2844,库存台账!$A$5:$Y$1204,24,0),0)&lt;-0.001,"※这个物料账面已经变成负数了，查一下是不是漏记入库","")))))))))))</f>
        <v/>
      </c>
    </row>
    <row r="2845">
      <c r="A2845" s="24">
        <f>IF($D2845="","",COUNTA($D$4:$D2845))</f>
        <v/>
      </c>
      <c r="B2845" s="17" t="n"/>
      <c r="C2845" s="30" t="n"/>
      <c r="D2845" s="17" t="n"/>
      <c r="E2845" s="24">
        <f>IF($D2845="","",IFERROR(VLOOKUP($D2845,物料档案!$A$4:$P$1203,3,0),"※编码不在物料档案里"))</f>
        <v/>
      </c>
      <c r="F2845" s="24">
        <f>IF($D2845="","",IFERROR(VLOOKUP($D2845,物料档案!$A$4:$P$1203,4,0),"※编码不在物料档案里"))</f>
        <v/>
      </c>
      <c r="G2845" s="24">
        <f>IF($D2845="","",IFERROR(VLOOKUP($D2845,物料档案!$A$4:$P$1203,5,0),"※编码不在物料档案里"))</f>
        <v/>
      </c>
      <c r="H2845" s="24">
        <f>IF($D2845="","",IFERROR(VLOOKUP($D2845,物料档案!$A$4:$P$1203,2,0),"※编码不在物料档案里"))</f>
        <v/>
      </c>
      <c r="I2845" s="24">
        <f>IF($D2845="","",IFERROR(VLOOKUP($D2845,物料档案!$A$4:$P$1203,6,0),"※编码不在物料档案里"))</f>
        <v/>
      </c>
      <c r="J2845" s="23" t="n"/>
      <c r="K2845" s="17" t="n"/>
      <c r="L2845" s="17" t="n"/>
      <c r="M2845" s="17" t="n"/>
      <c r="N2845" s="17" t="n"/>
      <c r="O2845" s="26">
        <f>IF($D2845="","",IFERROR(VLOOKUP($D2845,物料档案!$A$4:$P$1203,10,0),0))</f>
        <v/>
      </c>
      <c r="P2845" s="32" t="n"/>
      <c r="Q2845" s="26">
        <f>IF($D2845="","",IF($K2845&lt;&gt;"对外销售",0,ROUND(N($J2845)*IF($P2845="",N($O2845),N($P2845)),0)))</f>
        <v/>
      </c>
      <c r="R2845" s="26">
        <f>IF($D2845="","",IFERROR(VLOOKUP($D2845,库存台账!$A$5:$Y$1204,11,0),0))</f>
        <v/>
      </c>
      <c r="S2845" s="26">
        <f>IF($D2845="","",ROUND(N($J2845)*N($R2845),0))</f>
        <v/>
      </c>
      <c r="T2845" s="26">
        <f>IF($D2845="","",IF($K2845&lt;&gt;"对外销售","",ROUND($Q2845-$S2845,0)))</f>
        <v/>
      </c>
      <c r="U2845" s="17" t="n"/>
      <c r="V2845" s="17" t="n"/>
      <c r="W2845" s="24">
        <f>IF($D2845="","",IF($E2845="※编码不在物料档案里","※物料编码不在档案里",IF(N($J2845)&lt;=0,"※出库数量要大于 0",IF($K2845="","※没填去向类型",IF($L2845="","※没填去向矿区",IF(AND($C2845&lt;&gt;"",$C2845&lt;=结账锁),"※日期早于已结账截止日，不能再录",IF(AND($K2845="自用消耗",COUNTIF({"一矿区";"二矿区"},$L2845)=0),"※自用消耗的去向只能是一矿区或二矿区",IF(AND($K2845="对外销售",COUNTIF({"三矿区";"六矿区"},$L2845)=0),"※对外销售的去向只能是三矿区或六矿区",IF(AND($K2845="对外销售",ROUND($Q2845,0)=0),"※外销却没有售价，请填实际售价",IF(AND($K2845="对外销售",$T2845&lt;&gt;"",$T2845&lt;0),"※这一笔外销是亏的，请核对售价",IF(IFERROR(VLOOKUP($D2845,库存台账!$A$5:$Y$1204,24,0),0)&lt;-0.001,"※这个物料账面已经变成负数了，查一下是不是漏记入库","")))))))))))</f>
        <v/>
      </c>
    </row>
    <row r="2846">
      <c r="A2846" s="24">
        <f>IF($D2846="","",COUNTA($D$4:$D2846))</f>
        <v/>
      </c>
      <c r="B2846" s="17" t="n"/>
      <c r="C2846" s="30" t="n"/>
      <c r="D2846" s="17" t="n"/>
      <c r="E2846" s="24">
        <f>IF($D2846="","",IFERROR(VLOOKUP($D2846,物料档案!$A$4:$P$1203,3,0),"※编码不在物料档案里"))</f>
        <v/>
      </c>
      <c r="F2846" s="24">
        <f>IF($D2846="","",IFERROR(VLOOKUP($D2846,物料档案!$A$4:$P$1203,4,0),"※编码不在物料档案里"))</f>
        <v/>
      </c>
      <c r="G2846" s="24">
        <f>IF($D2846="","",IFERROR(VLOOKUP($D2846,物料档案!$A$4:$P$1203,5,0),"※编码不在物料档案里"))</f>
        <v/>
      </c>
      <c r="H2846" s="24">
        <f>IF($D2846="","",IFERROR(VLOOKUP($D2846,物料档案!$A$4:$P$1203,2,0),"※编码不在物料档案里"))</f>
        <v/>
      </c>
      <c r="I2846" s="24">
        <f>IF($D2846="","",IFERROR(VLOOKUP($D2846,物料档案!$A$4:$P$1203,6,0),"※编码不在物料档案里"))</f>
        <v/>
      </c>
      <c r="J2846" s="23" t="n"/>
      <c r="K2846" s="17" t="n"/>
      <c r="L2846" s="17" t="n"/>
      <c r="M2846" s="17" t="n"/>
      <c r="N2846" s="17" t="n"/>
      <c r="O2846" s="26">
        <f>IF($D2846="","",IFERROR(VLOOKUP($D2846,物料档案!$A$4:$P$1203,10,0),0))</f>
        <v/>
      </c>
      <c r="P2846" s="32" t="n"/>
      <c r="Q2846" s="26">
        <f>IF($D2846="","",IF($K2846&lt;&gt;"对外销售",0,ROUND(N($J2846)*IF($P2846="",N($O2846),N($P2846)),0)))</f>
        <v/>
      </c>
      <c r="R2846" s="26">
        <f>IF($D2846="","",IFERROR(VLOOKUP($D2846,库存台账!$A$5:$Y$1204,11,0),0))</f>
        <v/>
      </c>
      <c r="S2846" s="26">
        <f>IF($D2846="","",ROUND(N($J2846)*N($R2846),0))</f>
        <v/>
      </c>
      <c r="T2846" s="26">
        <f>IF($D2846="","",IF($K2846&lt;&gt;"对外销售","",ROUND($Q2846-$S2846,0)))</f>
        <v/>
      </c>
      <c r="U2846" s="17" t="n"/>
      <c r="V2846" s="17" t="n"/>
      <c r="W2846" s="24">
        <f>IF($D2846="","",IF($E2846="※编码不在物料档案里","※物料编码不在档案里",IF(N($J2846)&lt;=0,"※出库数量要大于 0",IF($K2846="","※没填去向类型",IF($L2846="","※没填去向矿区",IF(AND($C2846&lt;&gt;"",$C2846&lt;=结账锁),"※日期早于已结账截止日，不能再录",IF(AND($K2846="自用消耗",COUNTIF({"一矿区";"二矿区"},$L2846)=0),"※自用消耗的去向只能是一矿区或二矿区",IF(AND($K2846="对外销售",COUNTIF({"三矿区";"六矿区"},$L2846)=0),"※对外销售的去向只能是三矿区或六矿区",IF(AND($K2846="对外销售",ROUND($Q2846,0)=0),"※外销却没有售价，请填实际售价",IF(AND($K2846="对外销售",$T2846&lt;&gt;"",$T2846&lt;0),"※这一笔外销是亏的，请核对售价",IF(IFERROR(VLOOKUP($D2846,库存台账!$A$5:$Y$1204,24,0),0)&lt;-0.001,"※这个物料账面已经变成负数了，查一下是不是漏记入库","")))))))))))</f>
        <v/>
      </c>
    </row>
    <row r="2847">
      <c r="A2847" s="24">
        <f>IF($D2847="","",COUNTA($D$4:$D2847))</f>
        <v/>
      </c>
      <c r="B2847" s="17" t="n"/>
      <c r="C2847" s="30" t="n"/>
      <c r="D2847" s="17" t="n"/>
      <c r="E2847" s="24">
        <f>IF($D2847="","",IFERROR(VLOOKUP($D2847,物料档案!$A$4:$P$1203,3,0),"※编码不在物料档案里"))</f>
        <v/>
      </c>
      <c r="F2847" s="24">
        <f>IF($D2847="","",IFERROR(VLOOKUP($D2847,物料档案!$A$4:$P$1203,4,0),"※编码不在物料档案里"))</f>
        <v/>
      </c>
      <c r="G2847" s="24">
        <f>IF($D2847="","",IFERROR(VLOOKUP($D2847,物料档案!$A$4:$P$1203,5,0),"※编码不在物料档案里"))</f>
        <v/>
      </c>
      <c r="H2847" s="24">
        <f>IF($D2847="","",IFERROR(VLOOKUP($D2847,物料档案!$A$4:$P$1203,2,0),"※编码不在物料档案里"))</f>
        <v/>
      </c>
      <c r="I2847" s="24">
        <f>IF($D2847="","",IFERROR(VLOOKUP($D2847,物料档案!$A$4:$P$1203,6,0),"※编码不在物料档案里"))</f>
        <v/>
      </c>
      <c r="J2847" s="23" t="n"/>
      <c r="K2847" s="17" t="n"/>
      <c r="L2847" s="17" t="n"/>
      <c r="M2847" s="17" t="n"/>
      <c r="N2847" s="17" t="n"/>
      <c r="O2847" s="26">
        <f>IF($D2847="","",IFERROR(VLOOKUP($D2847,物料档案!$A$4:$P$1203,10,0),0))</f>
        <v/>
      </c>
      <c r="P2847" s="32" t="n"/>
      <c r="Q2847" s="26">
        <f>IF($D2847="","",IF($K2847&lt;&gt;"对外销售",0,ROUND(N($J2847)*IF($P2847="",N($O2847),N($P2847)),0)))</f>
        <v/>
      </c>
      <c r="R2847" s="26">
        <f>IF($D2847="","",IFERROR(VLOOKUP($D2847,库存台账!$A$5:$Y$1204,11,0),0))</f>
        <v/>
      </c>
      <c r="S2847" s="26">
        <f>IF($D2847="","",ROUND(N($J2847)*N($R2847),0))</f>
        <v/>
      </c>
      <c r="T2847" s="26">
        <f>IF($D2847="","",IF($K2847&lt;&gt;"对外销售","",ROUND($Q2847-$S2847,0)))</f>
        <v/>
      </c>
      <c r="U2847" s="17" t="n"/>
      <c r="V2847" s="17" t="n"/>
      <c r="W2847" s="24">
        <f>IF($D2847="","",IF($E2847="※编码不在物料档案里","※物料编码不在档案里",IF(N($J2847)&lt;=0,"※出库数量要大于 0",IF($K2847="","※没填去向类型",IF($L2847="","※没填去向矿区",IF(AND($C2847&lt;&gt;"",$C2847&lt;=结账锁),"※日期早于已结账截止日，不能再录",IF(AND($K2847="自用消耗",COUNTIF({"一矿区";"二矿区"},$L2847)=0),"※自用消耗的去向只能是一矿区或二矿区",IF(AND($K2847="对外销售",COUNTIF({"三矿区";"六矿区"},$L2847)=0),"※对外销售的去向只能是三矿区或六矿区",IF(AND($K2847="对外销售",ROUND($Q2847,0)=0),"※外销却没有售价，请填实际售价",IF(AND($K2847="对外销售",$T2847&lt;&gt;"",$T2847&lt;0),"※这一笔外销是亏的，请核对售价",IF(IFERROR(VLOOKUP($D2847,库存台账!$A$5:$Y$1204,24,0),0)&lt;-0.001,"※这个物料账面已经变成负数了，查一下是不是漏记入库","")))))))))))</f>
        <v/>
      </c>
    </row>
    <row r="2848">
      <c r="A2848" s="24">
        <f>IF($D2848="","",COUNTA($D$4:$D2848))</f>
        <v/>
      </c>
      <c r="B2848" s="17" t="n"/>
      <c r="C2848" s="30" t="n"/>
      <c r="D2848" s="17" t="n"/>
      <c r="E2848" s="24">
        <f>IF($D2848="","",IFERROR(VLOOKUP($D2848,物料档案!$A$4:$P$1203,3,0),"※编码不在物料档案里"))</f>
        <v/>
      </c>
      <c r="F2848" s="24">
        <f>IF($D2848="","",IFERROR(VLOOKUP($D2848,物料档案!$A$4:$P$1203,4,0),"※编码不在物料档案里"))</f>
        <v/>
      </c>
      <c r="G2848" s="24">
        <f>IF($D2848="","",IFERROR(VLOOKUP($D2848,物料档案!$A$4:$P$1203,5,0),"※编码不在物料档案里"))</f>
        <v/>
      </c>
      <c r="H2848" s="24">
        <f>IF($D2848="","",IFERROR(VLOOKUP($D2848,物料档案!$A$4:$P$1203,2,0),"※编码不在物料档案里"))</f>
        <v/>
      </c>
      <c r="I2848" s="24">
        <f>IF($D2848="","",IFERROR(VLOOKUP($D2848,物料档案!$A$4:$P$1203,6,0),"※编码不在物料档案里"))</f>
        <v/>
      </c>
      <c r="J2848" s="23" t="n"/>
      <c r="K2848" s="17" t="n"/>
      <c r="L2848" s="17" t="n"/>
      <c r="M2848" s="17" t="n"/>
      <c r="N2848" s="17" t="n"/>
      <c r="O2848" s="26">
        <f>IF($D2848="","",IFERROR(VLOOKUP($D2848,物料档案!$A$4:$P$1203,10,0),0))</f>
        <v/>
      </c>
      <c r="P2848" s="32" t="n"/>
      <c r="Q2848" s="26">
        <f>IF($D2848="","",IF($K2848&lt;&gt;"对外销售",0,ROUND(N($J2848)*IF($P2848="",N($O2848),N($P2848)),0)))</f>
        <v/>
      </c>
      <c r="R2848" s="26">
        <f>IF($D2848="","",IFERROR(VLOOKUP($D2848,库存台账!$A$5:$Y$1204,11,0),0))</f>
        <v/>
      </c>
      <c r="S2848" s="26">
        <f>IF($D2848="","",ROUND(N($J2848)*N($R2848),0))</f>
        <v/>
      </c>
      <c r="T2848" s="26">
        <f>IF($D2848="","",IF($K2848&lt;&gt;"对外销售","",ROUND($Q2848-$S2848,0)))</f>
        <v/>
      </c>
      <c r="U2848" s="17" t="n"/>
      <c r="V2848" s="17" t="n"/>
      <c r="W2848" s="24">
        <f>IF($D2848="","",IF($E2848="※编码不在物料档案里","※物料编码不在档案里",IF(N($J2848)&lt;=0,"※出库数量要大于 0",IF($K2848="","※没填去向类型",IF($L2848="","※没填去向矿区",IF(AND($C2848&lt;&gt;"",$C2848&lt;=结账锁),"※日期早于已结账截止日，不能再录",IF(AND($K2848="自用消耗",COUNTIF({"一矿区";"二矿区"},$L2848)=0),"※自用消耗的去向只能是一矿区或二矿区",IF(AND($K2848="对外销售",COUNTIF({"三矿区";"六矿区"},$L2848)=0),"※对外销售的去向只能是三矿区或六矿区",IF(AND($K2848="对外销售",ROUND($Q2848,0)=0),"※外销却没有售价，请填实际售价",IF(AND($K2848="对外销售",$T2848&lt;&gt;"",$T2848&lt;0),"※这一笔外销是亏的，请核对售价",IF(IFERROR(VLOOKUP($D2848,库存台账!$A$5:$Y$1204,24,0),0)&lt;-0.001,"※这个物料账面已经变成负数了，查一下是不是漏记入库","")))))))))))</f>
        <v/>
      </c>
    </row>
    <row r="2849">
      <c r="A2849" s="24">
        <f>IF($D2849="","",COUNTA($D$4:$D2849))</f>
        <v/>
      </c>
      <c r="B2849" s="17" t="n"/>
      <c r="C2849" s="30" t="n"/>
      <c r="D2849" s="17" t="n"/>
      <c r="E2849" s="24">
        <f>IF($D2849="","",IFERROR(VLOOKUP($D2849,物料档案!$A$4:$P$1203,3,0),"※编码不在物料档案里"))</f>
        <v/>
      </c>
      <c r="F2849" s="24">
        <f>IF($D2849="","",IFERROR(VLOOKUP($D2849,物料档案!$A$4:$P$1203,4,0),"※编码不在物料档案里"))</f>
        <v/>
      </c>
      <c r="G2849" s="24">
        <f>IF($D2849="","",IFERROR(VLOOKUP($D2849,物料档案!$A$4:$P$1203,5,0),"※编码不在物料档案里"))</f>
        <v/>
      </c>
      <c r="H2849" s="24">
        <f>IF($D2849="","",IFERROR(VLOOKUP($D2849,物料档案!$A$4:$P$1203,2,0),"※编码不在物料档案里"))</f>
        <v/>
      </c>
      <c r="I2849" s="24">
        <f>IF($D2849="","",IFERROR(VLOOKUP($D2849,物料档案!$A$4:$P$1203,6,0),"※编码不在物料档案里"))</f>
        <v/>
      </c>
      <c r="J2849" s="23" t="n"/>
      <c r="K2849" s="17" t="n"/>
      <c r="L2849" s="17" t="n"/>
      <c r="M2849" s="17" t="n"/>
      <c r="N2849" s="17" t="n"/>
      <c r="O2849" s="26">
        <f>IF($D2849="","",IFERROR(VLOOKUP($D2849,物料档案!$A$4:$P$1203,10,0),0))</f>
        <v/>
      </c>
      <c r="P2849" s="32" t="n"/>
      <c r="Q2849" s="26">
        <f>IF($D2849="","",IF($K2849&lt;&gt;"对外销售",0,ROUND(N($J2849)*IF($P2849="",N($O2849),N($P2849)),0)))</f>
        <v/>
      </c>
      <c r="R2849" s="26">
        <f>IF($D2849="","",IFERROR(VLOOKUP($D2849,库存台账!$A$5:$Y$1204,11,0),0))</f>
        <v/>
      </c>
      <c r="S2849" s="26">
        <f>IF($D2849="","",ROUND(N($J2849)*N($R2849),0))</f>
        <v/>
      </c>
      <c r="T2849" s="26">
        <f>IF($D2849="","",IF($K2849&lt;&gt;"对外销售","",ROUND($Q2849-$S2849,0)))</f>
        <v/>
      </c>
      <c r="U2849" s="17" t="n"/>
      <c r="V2849" s="17" t="n"/>
      <c r="W2849" s="24">
        <f>IF($D2849="","",IF($E2849="※编码不在物料档案里","※物料编码不在档案里",IF(N($J2849)&lt;=0,"※出库数量要大于 0",IF($K2849="","※没填去向类型",IF($L2849="","※没填去向矿区",IF(AND($C2849&lt;&gt;"",$C2849&lt;=结账锁),"※日期早于已结账截止日，不能再录",IF(AND($K2849="自用消耗",COUNTIF({"一矿区";"二矿区"},$L2849)=0),"※自用消耗的去向只能是一矿区或二矿区",IF(AND($K2849="对外销售",COUNTIF({"三矿区";"六矿区"},$L2849)=0),"※对外销售的去向只能是三矿区或六矿区",IF(AND($K2849="对外销售",ROUND($Q2849,0)=0),"※外销却没有售价，请填实际售价",IF(AND($K2849="对外销售",$T2849&lt;&gt;"",$T2849&lt;0),"※这一笔外销是亏的，请核对售价",IF(IFERROR(VLOOKUP($D2849,库存台账!$A$5:$Y$1204,24,0),0)&lt;-0.001,"※这个物料账面已经变成负数了，查一下是不是漏记入库","")))))))))))</f>
        <v/>
      </c>
    </row>
    <row r="2850">
      <c r="A2850" s="24">
        <f>IF($D2850="","",COUNTA($D$4:$D2850))</f>
        <v/>
      </c>
      <c r="B2850" s="17" t="n"/>
      <c r="C2850" s="30" t="n"/>
      <c r="D2850" s="17" t="n"/>
      <c r="E2850" s="24">
        <f>IF($D2850="","",IFERROR(VLOOKUP($D2850,物料档案!$A$4:$P$1203,3,0),"※编码不在物料档案里"))</f>
        <v/>
      </c>
      <c r="F2850" s="24">
        <f>IF($D2850="","",IFERROR(VLOOKUP($D2850,物料档案!$A$4:$P$1203,4,0),"※编码不在物料档案里"))</f>
        <v/>
      </c>
      <c r="G2850" s="24">
        <f>IF($D2850="","",IFERROR(VLOOKUP($D2850,物料档案!$A$4:$P$1203,5,0),"※编码不在物料档案里"))</f>
        <v/>
      </c>
      <c r="H2850" s="24">
        <f>IF($D2850="","",IFERROR(VLOOKUP($D2850,物料档案!$A$4:$P$1203,2,0),"※编码不在物料档案里"))</f>
        <v/>
      </c>
      <c r="I2850" s="24">
        <f>IF($D2850="","",IFERROR(VLOOKUP($D2850,物料档案!$A$4:$P$1203,6,0),"※编码不在物料档案里"))</f>
        <v/>
      </c>
      <c r="J2850" s="23" t="n"/>
      <c r="K2850" s="17" t="n"/>
      <c r="L2850" s="17" t="n"/>
      <c r="M2850" s="17" t="n"/>
      <c r="N2850" s="17" t="n"/>
      <c r="O2850" s="26">
        <f>IF($D2850="","",IFERROR(VLOOKUP($D2850,物料档案!$A$4:$P$1203,10,0),0))</f>
        <v/>
      </c>
      <c r="P2850" s="32" t="n"/>
      <c r="Q2850" s="26">
        <f>IF($D2850="","",IF($K2850&lt;&gt;"对外销售",0,ROUND(N($J2850)*IF($P2850="",N($O2850),N($P2850)),0)))</f>
        <v/>
      </c>
      <c r="R2850" s="26">
        <f>IF($D2850="","",IFERROR(VLOOKUP($D2850,库存台账!$A$5:$Y$1204,11,0),0))</f>
        <v/>
      </c>
      <c r="S2850" s="26">
        <f>IF($D2850="","",ROUND(N($J2850)*N($R2850),0))</f>
        <v/>
      </c>
      <c r="T2850" s="26">
        <f>IF($D2850="","",IF($K2850&lt;&gt;"对外销售","",ROUND($Q2850-$S2850,0)))</f>
        <v/>
      </c>
      <c r="U2850" s="17" t="n"/>
      <c r="V2850" s="17" t="n"/>
      <c r="W2850" s="24">
        <f>IF($D2850="","",IF($E2850="※编码不在物料档案里","※物料编码不在档案里",IF(N($J2850)&lt;=0,"※出库数量要大于 0",IF($K2850="","※没填去向类型",IF($L2850="","※没填去向矿区",IF(AND($C2850&lt;&gt;"",$C2850&lt;=结账锁),"※日期早于已结账截止日，不能再录",IF(AND($K2850="自用消耗",COUNTIF({"一矿区";"二矿区"},$L2850)=0),"※自用消耗的去向只能是一矿区或二矿区",IF(AND($K2850="对外销售",COUNTIF({"三矿区";"六矿区"},$L2850)=0),"※对外销售的去向只能是三矿区或六矿区",IF(AND($K2850="对外销售",ROUND($Q2850,0)=0),"※外销却没有售价，请填实际售价",IF(AND($K2850="对外销售",$T2850&lt;&gt;"",$T2850&lt;0),"※这一笔外销是亏的，请核对售价",IF(IFERROR(VLOOKUP($D2850,库存台账!$A$5:$Y$1204,24,0),0)&lt;-0.001,"※这个物料账面已经变成负数了，查一下是不是漏记入库","")))))))))))</f>
        <v/>
      </c>
    </row>
    <row r="2851">
      <c r="A2851" s="24">
        <f>IF($D2851="","",COUNTA($D$4:$D2851))</f>
        <v/>
      </c>
      <c r="B2851" s="17" t="n"/>
      <c r="C2851" s="30" t="n"/>
      <c r="D2851" s="17" t="n"/>
      <c r="E2851" s="24">
        <f>IF($D2851="","",IFERROR(VLOOKUP($D2851,物料档案!$A$4:$P$1203,3,0),"※编码不在物料档案里"))</f>
        <v/>
      </c>
      <c r="F2851" s="24">
        <f>IF($D2851="","",IFERROR(VLOOKUP($D2851,物料档案!$A$4:$P$1203,4,0),"※编码不在物料档案里"))</f>
        <v/>
      </c>
      <c r="G2851" s="24">
        <f>IF($D2851="","",IFERROR(VLOOKUP($D2851,物料档案!$A$4:$P$1203,5,0),"※编码不在物料档案里"))</f>
        <v/>
      </c>
      <c r="H2851" s="24">
        <f>IF($D2851="","",IFERROR(VLOOKUP($D2851,物料档案!$A$4:$P$1203,2,0),"※编码不在物料档案里"))</f>
        <v/>
      </c>
      <c r="I2851" s="24">
        <f>IF($D2851="","",IFERROR(VLOOKUP($D2851,物料档案!$A$4:$P$1203,6,0),"※编码不在物料档案里"))</f>
        <v/>
      </c>
      <c r="J2851" s="23" t="n"/>
      <c r="K2851" s="17" t="n"/>
      <c r="L2851" s="17" t="n"/>
      <c r="M2851" s="17" t="n"/>
      <c r="N2851" s="17" t="n"/>
      <c r="O2851" s="26">
        <f>IF($D2851="","",IFERROR(VLOOKUP($D2851,物料档案!$A$4:$P$1203,10,0),0))</f>
        <v/>
      </c>
      <c r="P2851" s="32" t="n"/>
      <c r="Q2851" s="26">
        <f>IF($D2851="","",IF($K2851&lt;&gt;"对外销售",0,ROUND(N($J2851)*IF($P2851="",N($O2851),N($P2851)),0)))</f>
        <v/>
      </c>
      <c r="R2851" s="26">
        <f>IF($D2851="","",IFERROR(VLOOKUP($D2851,库存台账!$A$5:$Y$1204,11,0),0))</f>
        <v/>
      </c>
      <c r="S2851" s="26">
        <f>IF($D2851="","",ROUND(N($J2851)*N($R2851),0))</f>
        <v/>
      </c>
      <c r="T2851" s="26">
        <f>IF($D2851="","",IF($K2851&lt;&gt;"对外销售","",ROUND($Q2851-$S2851,0)))</f>
        <v/>
      </c>
      <c r="U2851" s="17" t="n"/>
      <c r="V2851" s="17" t="n"/>
      <c r="W2851" s="24">
        <f>IF($D2851="","",IF($E2851="※编码不在物料档案里","※物料编码不在档案里",IF(N($J2851)&lt;=0,"※出库数量要大于 0",IF($K2851="","※没填去向类型",IF($L2851="","※没填去向矿区",IF(AND($C2851&lt;&gt;"",$C2851&lt;=结账锁),"※日期早于已结账截止日，不能再录",IF(AND($K2851="自用消耗",COUNTIF({"一矿区";"二矿区"},$L2851)=0),"※自用消耗的去向只能是一矿区或二矿区",IF(AND($K2851="对外销售",COUNTIF({"三矿区";"六矿区"},$L2851)=0),"※对外销售的去向只能是三矿区或六矿区",IF(AND($K2851="对外销售",ROUND($Q2851,0)=0),"※外销却没有售价，请填实际售价",IF(AND($K2851="对外销售",$T2851&lt;&gt;"",$T2851&lt;0),"※这一笔外销是亏的，请核对售价",IF(IFERROR(VLOOKUP($D2851,库存台账!$A$5:$Y$1204,24,0),0)&lt;-0.001,"※这个物料账面已经变成负数了，查一下是不是漏记入库","")))))))))))</f>
        <v/>
      </c>
    </row>
    <row r="2852">
      <c r="A2852" s="24">
        <f>IF($D2852="","",COUNTA($D$4:$D2852))</f>
        <v/>
      </c>
      <c r="B2852" s="17" t="n"/>
      <c r="C2852" s="30" t="n"/>
      <c r="D2852" s="17" t="n"/>
      <c r="E2852" s="24">
        <f>IF($D2852="","",IFERROR(VLOOKUP($D2852,物料档案!$A$4:$P$1203,3,0),"※编码不在物料档案里"))</f>
        <v/>
      </c>
      <c r="F2852" s="24">
        <f>IF($D2852="","",IFERROR(VLOOKUP($D2852,物料档案!$A$4:$P$1203,4,0),"※编码不在物料档案里"))</f>
        <v/>
      </c>
      <c r="G2852" s="24">
        <f>IF($D2852="","",IFERROR(VLOOKUP($D2852,物料档案!$A$4:$P$1203,5,0),"※编码不在物料档案里"))</f>
        <v/>
      </c>
      <c r="H2852" s="24">
        <f>IF($D2852="","",IFERROR(VLOOKUP($D2852,物料档案!$A$4:$P$1203,2,0),"※编码不在物料档案里"))</f>
        <v/>
      </c>
      <c r="I2852" s="24">
        <f>IF($D2852="","",IFERROR(VLOOKUP($D2852,物料档案!$A$4:$P$1203,6,0),"※编码不在物料档案里"))</f>
        <v/>
      </c>
      <c r="J2852" s="23" t="n"/>
      <c r="K2852" s="17" t="n"/>
      <c r="L2852" s="17" t="n"/>
      <c r="M2852" s="17" t="n"/>
      <c r="N2852" s="17" t="n"/>
      <c r="O2852" s="26">
        <f>IF($D2852="","",IFERROR(VLOOKUP($D2852,物料档案!$A$4:$P$1203,10,0),0))</f>
        <v/>
      </c>
      <c r="P2852" s="32" t="n"/>
      <c r="Q2852" s="26">
        <f>IF($D2852="","",IF($K2852&lt;&gt;"对外销售",0,ROUND(N($J2852)*IF($P2852="",N($O2852),N($P2852)),0)))</f>
        <v/>
      </c>
      <c r="R2852" s="26">
        <f>IF($D2852="","",IFERROR(VLOOKUP($D2852,库存台账!$A$5:$Y$1204,11,0),0))</f>
        <v/>
      </c>
      <c r="S2852" s="26">
        <f>IF($D2852="","",ROUND(N($J2852)*N($R2852),0))</f>
        <v/>
      </c>
      <c r="T2852" s="26">
        <f>IF($D2852="","",IF($K2852&lt;&gt;"对外销售","",ROUND($Q2852-$S2852,0)))</f>
        <v/>
      </c>
      <c r="U2852" s="17" t="n"/>
      <c r="V2852" s="17" t="n"/>
      <c r="W2852" s="24">
        <f>IF($D2852="","",IF($E2852="※编码不在物料档案里","※物料编码不在档案里",IF(N($J2852)&lt;=0,"※出库数量要大于 0",IF($K2852="","※没填去向类型",IF($L2852="","※没填去向矿区",IF(AND($C2852&lt;&gt;"",$C2852&lt;=结账锁),"※日期早于已结账截止日，不能再录",IF(AND($K2852="自用消耗",COUNTIF({"一矿区";"二矿区"},$L2852)=0),"※自用消耗的去向只能是一矿区或二矿区",IF(AND($K2852="对外销售",COUNTIF({"三矿区";"六矿区"},$L2852)=0),"※对外销售的去向只能是三矿区或六矿区",IF(AND($K2852="对外销售",ROUND($Q2852,0)=0),"※外销却没有售价，请填实际售价",IF(AND($K2852="对外销售",$T2852&lt;&gt;"",$T2852&lt;0),"※这一笔外销是亏的，请核对售价",IF(IFERROR(VLOOKUP($D2852,库存台账!$A$5:$Y$1204,24,0),0)&lt;-0.001,"※这个物料账面已经变成负数了，查一下是不是漏记入库","")))))))))))</f>
        <v/>
      </c>
    </row>
    <row r="2853">
      <c r="A2853" s="24">
        <f>IF($D2853="","",COUNTA($D$4:$D2853))</f>
        <v/>
      </c>
      <c r="B2853" s="17" t="n"/>
      <c r="C2853" s="30" t="n"/>
      <c r="D2853" s="17" t="n"/>
      <c r="E2853" s="24">
        <f>IF($D2853="","",IFERROR(VLOOKUP($D2853,物料档案!$A$4:$P$1203,3,0),"※编码不在物料档案里"))</f>
        <v/>
      </c>
      <c r="F2853" s="24">
        <f>IF($D2853="","",IFERROR(VLOOKUP($D2853,物料档案!$A$4:$P$1203,4,0),"※编码不在物料档案里"))</f>
        <v/>
      </c>
      <c r="G2853" s="24">
        <f>IF($D2853="","",IFERROR(VLOOKUP($D2853,物料档案!$A$4:$P$1203,5,0),"※编码不在物料档案里"))</f>
        <v/>
      </c>
      <c r="H2853" s="24">
        <f>IF($D2853="","",IFERROR(VLOOKUP($D2853,物料档案!$A$4:$P$1203,2,0),"※编码不在物料档案里"))</f>
        <v/>
      </c>
      <c r="I2853" s="24">
        <f>IF($D2853="","",IFERROR(VLOOKUP($D2853,物料档案!$A$4:$P$1203,6,0),"※编码不在物料档案里"))</f>
        <v/>
      </c>
      <c r="J2853" s="23" t="n"/>
      <c r="K2853" s="17" t="n"/>
      <c r="L2853" s="17" t="n"/>
      <c r="M2853" s="17" t="n"/>
      <c r="N2853" s="17" t="n"/>
      <c r="O2853" s="26">
        <f>IF($D2853="","",IFERROR(VLOOKUP($D2853,物料档案!$A$4:$P$1203,10,0),0))</f>
        <v/>
      </c>
      <c r="P2853" s="32" t="n"/>
      <c r="Q2853" s="26">
        <f>IF($D2853="","",IF($K2853&lt;&gt;"对外销售",0,ROUND(N($J2853)*IF($P2853="",N($O2853),N($P2853)),0)))</f>
        <v/>
      </c>
      <c r="R2853" s="26">
        <f>IF($D2853="","",IFERROR(VLOOKUP($D2853,库存台账!$A$5:$Y$1204,11,0),0))</f>
        <v/>
      </c>
      <c r="S2853" s="26">
        <f>IF($D2853="","",ROUND(N($J2853)*N($R2853),0))</f>
        <v/>
      </c>
      <c r="T2853" s="26">
        <f>IF($D2853="","",IF($K2853&lt;&gt;"对外销售","",ROUND($Q2853-$S2853,0)))</f>
        <v/>
      </c>
      <c r="U2853" s="17" t="n"/>
      <c r="V2853" s="17" t="n"/>
      <c r="W2853" s="24">
        <f>IF($D2853="","",IF($E2853="※编码不在物料档案里","※物料编码不在档案里",IF(N($J2853)&lt;=0,"※出库数量要大于 0",IF($K2853="","※没填去向类型",IF($L2853="","※没填去向矿区",IF(AND($C2853&lt;&gt;"",$C2853&lt;=结账锁),"※日期早于已结账截止日，不能再录",IF(AND($K2853="自用消耗",COUNTIF({"一矿区";"二矿区"},$L2853)=0),"※自用消耗的去向只能是一矿区或二矿区",IF(AND($K2853="对外销售",COUNTIF({"三矿区";"六矿区"},$L2853)=0),"※对外销售的去向只能是三矿区或六矿区",IF(AND($K2853="对外销售",ROUND($Q2853,0)=0),"※外销却没有售价，请填实际售价",IF(AND($K2853="对外销售",$T2853&lt;&gt;"",$T2853&lt;0),"※这一笔外销是亏的，请核对售价",IF(IFERROR(VLOOKUP($D2853,库存台账!$A$5:$Y$1204,24,0),0)&lt;-0.001,"※这个物料账面已经变成负数了，查一下是不是漏记入库","")))))))))))</f>
        <v/>
      </c>
    </row>
    <row r="2854">
      <c r="A2854" s="24">
        <f>IF($D2854="","",COUNTA($D$4:$D2854))</f>
        <v/>
      </c>
      <c r="B2854" s="17" t="n"/>
      <c r="C2854" s="30" t="n"/>
      <c r="D2854" s="17" t="n"/>
      <c r="E2854" s="24">
        <f>IF($D2854="","",IFERROR(VLOOKUP($D2854,物料档案!$A$4:$P$1203,3,0),"※编码不在物料档案里"))</f>
        <v/>
      </c>
      <c r="F2854" s="24">
        <f>IF($D2854="","",IFERROR(VLOOKUP($D2854,物料档案!$A$4:$P$1203,4,0),"※编码不在物料档案里"))</f>
        <v/>
      </c>
      <c r="G2854" s="24">
        <f>IF($D2854="","",IFERROR(VLOOKUP($D2854,物料档案!$A$4:$P$1203,5,0),"※编码不在物料档案里"))</f>
        <v/>
      </c>
      <c r="H2854" s="24">
        <f>IF($D2854="","",IFERROR(VLOOKUP($D2854,物料档案!$A$4:$P$1203,2,0),"※编码不在物料档案里"))</f>
        <v/>
      </c>
      <c r="I2854" s="24">
        <f>IF($D2854="","",IFERROR(VLOOKUP($D2854,物料档案!$A$4:$P$1203,6,0),"※编码不在物料档案里"))</f>
        <v/>
      </c>
      <c r="J2854" s="23" t="n"/>
      <c r="K2854" s="17" t="n"/>
      <c r="L2854" s="17" t="n"/>
      <c r="M2854" s="17" t="n"/>
      <c r="N2854" s="17" t="n"/>
      <c r="O2854" s="26">
        <f>IF($D2854="","",IFERROR(VLOOKUP($D2854,物料档案!$A$4:$P$1203,10,0),0))</f>
        <v/>
      </c>
      <c r="P2854" s="32" t="n"/>
      <c r="Q2854" s="26">
        <f>IF($D2854="","",IF($K2854&lt;&gt;"对外销售",0,ROUND(N($J2854)*IF($P2854="",N($O2854),N($P2854)),0)))</f>
        <v/>
      </c>
      <c r="R2854" s="26">
        <f>IF($D2854="","",IFERROR(VLOOKUP($D2854,库存台账!$A$5:$Y$1204,11,0),0))</f>
        <v/>
      </c>
      <c r="S2854" s="26">
        <f>IF($D2854="","",ROUND(N($J2854)*N($R2854),0))</f>
        <v/>
      </c>
      <c r="T2854" s="26">
        <f>IF($D2854="","",IF($K2854&lt;&gt;"对外销售","",ROUND($Q2854-$S2854,0)))</f>
        <v/>
      </c>
      <c r="U2854" s="17" t="n"/>
      <c r="V2854" s="17" t="n"/>
      <c r="W2854" s="24">
        <f>IF($D2854="","",IF($E2854="※编码不在物料档案里","※物料编码不在档案里",IF(N($J2854)&lt;=0,"※出库数量要大于 0",IF($K2854="","※没填去向类型",IF($L2854="","※没填去向矿区",IF(AND($C2854&lt;&gt;"",$C2854&lt;=结账锁),"※日期早于已结账截止日，不能再录",IF(AND($K2854="自用消耗",COUNTIF({"一矿区";"二矿区"},$L2854)=0),"※自用消耗的去向只能是一矿区或二矿区",IF(AND($K2854="对外销售",COUNTIF({"三矿区";"六矿区"},$L2854)=0),"※对外销售的去向只能是三矿区或六矿区",IF(AND($K2854="对外销售",ROUND($Q2854,0)=0),"※外销却没有售价，请填实际售价",IF(AND($K2854="对外销售",$T2854&lt;&gt;"",$T2854&lt;0),"※这一笔外销是亏的，请核对售价",IF(IFERROR(VLOOKUP($D2854,库存台账!$A$5:$Y$1204,24,0),0)&lt;-0.001,"※这个物料账面已经变成负数了，查一下是不是漏记入库","")))))))))))</f>
        <v/>
      </c>
    </row>
    <row r="2855">
      <c r="A2855" s="24">
        <f>IF($D2855="","",COUNTA($D$4:$D2855))</f>
        <v/>
      </c>
      <c r="B2855" s="17" t="n"/>
      <c r="C2855" s="30" t="n"/>
      <c r="D2855" s="17" t="n"/>
      <c r="E2855" s="24">
        <f>IF($D2855="","",IFERROR(VLOOKUP($D2855,物料档案!$A$4:$P$1203,3,0),"※编码不在物料档案里"))</f>
        <v/>
      </c>
      <c r="F2855" s="24">
        <f>IF($D2855="","",IFERROR(VLOOKUP($D2855,物料档案!$A$4:$P$1203,4,0),"※编码不在物料档案里"))</f>
        <v/>
      </c>
      <c r="G2855" s="24">
        <f>IF($D2855="","",IFERROR(VLOOKUP($D2855,物料档案!$A$4:$P$1203,5,0),"※编码不在物料档案里"))</f>
        <v/>
      </c>
      <c r="H2855" s="24">
        <f>IF($D2855="","",IFERROR(VLOOKUP($D2855,物料档案!$A$4:$P$1203,2,0),"※编码不在物料档案里"))</f>
        <v/>
      </c>
      <c r="I2855" s="24">
        <f>IF($D2855="","",IFERROR(VLOOKUP($D2855,物料档案!$A$4:$P$1203,6,0),"※编码不在物料档案里"))</f>
        <v/>
      </c>
      <c r="J2855" s="23" t="n"/>
      <c r="K2855" s="17" t="n"/>
      <c r="L2855" s="17" t="n"/>
      <c r="M2855" s="17" t="n"/>
      <c r="N2855" s="17" t="n"/>
      <c r="O2855" s="26">
        <f>IF($D2855="","",IFERROR(VLOOKUP($D2855,物料档案!$A$4:$P$1203,10,0),0))</f>
        <v/>
      </c>
      <c r="P2855" s="32" t="n"/>
      <c r="Q2855" s="26">
        <f>IF($D2855="","",IF($K2855&lt;&gt;"对外销售",0,ROUND(N($J2855)*IF($P2855="",N($O2855),N($P2855)),0)))</f>
        <v/>
      </c>
      <c r="R2855" s="26">
        <f>IF($D2855="","",IFERROR(VLOOKUP($D2855,库存台账!$A$5:$Y$1204,11,0),0))</f>
        <v/>
      </c>
      <c r="S2855" s="26">
        <f>IF($D2855="","",ROUND(N($J2855)*N($R2855),0))</f>
        <v/>
      </c>
      <c r="T2855" s="26">
        <f>IF($D2855="","",IF($K2855&lt;&gt;"对外销售","",ROUND($Q2855-$S2855,0)))</f>
        <v/>
      </c>
      <c r="U2855" s="17" t="n"/>
      <c r="V2855" s="17" t="n"/>
      <c r="W2855" s="24">
        <f>IF($D2855="","",IF($E2855="※编码不在物料档案里","※物料编码不在档案里",IF(N($J2855)&lt;=0,"※出库数量要大于 0",IF($K2855="","※没填去向类型",IF($L2855="","※没填去向矿区",IF(AND($C2855&lt;&gt;"",$C2855&lt;=结账锁),"※日期早于已结账截止日，不能再录",IF(AND($K2855="自用消耗",COUNTIF({"一矿区";"二矿区"},$L2855)=0),"※自用消耗的去向只能是一矿区或二矿区",IF(AND($K2855="对外销售",COUNTIF({"三矿区";"六矿区"},$L2855)=0),"※对外销售的去向只能是三矿区或六矿区",IF(AND($K2855="对外销售",ROUND($Q2855,0)=0),"※外销却没有售价，请填实际售价",IF(AND($K2855="对外销售",$T2855&lt;&gt;"",$T2855&lt;0),"※这一笔外销是亏的，请核对售价",IF(IFERROR(VLOOKUP($D2855,库存台账!$A$5:$Y$1204,24,0),0)&lt;-0.001,"※这个物料账面已经变成负数了，查一下是不是漏记入库","")))))))))))</f>
        <v/>
      </c>
    </row>
    <row r="2856">
      <c r="A2856" s="24">
        <f>IF($D2856="","",COUNTA($D$4:$D2856))</f>
        <v/>
      </c>
      <c r="B2856" s="17" t="n"/>
      <c r="C2856" s="30" t="n"/>
      <c r="D2856" s="17" t="n"/>
      <c r="E2856" s="24">
        <f>IF($D2856="","",IFERROR(VLOOKUP($D2856,物料档案!$A$4:$P$1203,3,0),"※编码不在物料档案里"))</f>
        <v/>
      </c>
      <c r="F2856" s="24">
        <f>IF($D2856="","",IFERROR(VLOOKUP($D2856,物料档案!$A$4:$P$1203,4,0),"※编码不在物料档案里"))</f>
        <v/>
      </c>
      <c r="G2856" s="24">
        <f>IF($D2856="","",IFERROR(VLOOKUP($D2856,物料档案!$A$4:$P$1203,5,0),"※编码不在物料档案里"))</f>
        <v/>
      </c>
      <c r="H2856" s="24">
        <f>IF($D2856="","",IFERROR(VLOOKUP($D2856,物料档案!$A$4:$P$1203,2,0),"※编码不在物料档案里"))</f>
        <v/>
      </c>
      <c r="I2856" s="24">
        <f>IF($D2856="","",IFERROR(VLOOKUP($D2856,物料档案!$A$4:$P$1203,6,0),"※编码不在物料档案里"))</f>
        <v/>
      </c>
      <c r="J2856" s="23" t="n"/>
      <c r="K2856" s="17" t="n"/>
      <c r="L2856" s="17" t="n"/>
      <c r="M2856" s="17" t="n"/>
      <c r="N2856" s="17" t="n"/>
      <c r="O2856" s="26">
        <f>IF($D2856="","",IFERROR(VLOOKUP($D2856,物料档案!$A$4:$P$1203,10,0),0))</f>
        <v/>
      </c>
      <c r="P2856" s="32" t="n"/>
      <c r="Q2856" s="26">
        <f>IF($D2856="","",IF($K2856&lt;&gt;"对外销售",0,ROUND(N($J2856)*IF($P2856="",N($O2856),N($P2856)),0)))</f>
        <v/>
      </c>
      <c r="R2856" s="26">
        <f>IF($D2856="","",IFERROR(VLOOKUP($D2856,库存台账!$A$5:$Y$1204,11,0),0))</f>
        <v/>
      </c>
      <c r="S2856" s="26">
        <f>IF($D2856="","",ROUND(N($J2856)*N($R2856),0))</f>
        <v/>
      </c>
      <c r="T2856" s="26">
        <f>IF($D2856="","",IF($K2856&lt;&gt;"对外销售","",ROUND($Q2856-$S2856,0)))</f>
        <v/>
      </c>
      <c r="U2856" s="17" t="n"/>
      <c r="V2856" s="17" t="n"/>
      <c r="W2856" s="24">
        <f>IF($D2856="","",IF($E2856="※编码不在物料档案里","※物料编码不在档案里",IF(N($J2856)&lt;=0,"※出库数量要大于 0",IF($K2856="","※没填去向类型",IF($L2856="","※没填去向矿区",IF(AND($C2856&lt;&gt;"",$C2856&lt;=结账锁),"※日期早于已结账截止日，不能再录",IF(AND($K2856="自用消耗",COUNTIF({"一矿区";"二矿区"},$L2856)=0),"※自用消耗的去向只能是一矿区或二矿区",IF(AND($K2856="对外销售",COUNTIF({"三矿区";"六矿区"},$L2856)=0),"※对外销售的去向只能是三矿区或六矿区",IF(AND($K2856="对外销售",ROUND($Q2856,0)=0),"※外销却没有售价，请填实际售价",IF(AND($K2856="对外销售",$T2856&lt;&gt;"",$T2856&lt;0),"※这一笔外销是亏的，请核对售价",IF(IFERROR(VLOOKUP($D2856,库存台账!$A$5:$Y$1204,24,0),0)&lt;-0.001,"※这个物料账面已经变成负数了，查一下是不是漏记入库","")))))))))))</f>
        <v/>
      </c>
    </row>
    <row r="2857">
      <c r="A2857" s="24">
        <f>IF($D2857="","",COUNTA($D$4:$D2857))</f>
        <v/>
      </c>
      <c r="B2857" s="17" t="n"/>
      <c r="C2857" s="30" t="n"/>
      <c r="D2857" s="17" t="n"/>
      <c r="E2857" s="24">
        <f>IF($D2857="","",IFERROR(VLOOKUP($D2857,物料档案!$A$4:$P$1203,3,0),"※编码不在物料档案里"))</f>
        <v/>
      </c>
      <c r="F2857" s="24">
        <f>IF($D2857="","",IFERROR(VLOOKUP($D2857,物料档案!$A$4:$P$1203,4,0),"※编码不在物料档案里"))</f>
        <v/>
      </c>
      <c r="G2857" s="24">
        <f>IF($D2857="","",IFERROR(VLOOKUP($D2857,物料档案!$A$4:$P$1203,5,0),"※编码不在物料档案里"))</f>
        <v/>
      </c>
      <c r="H2857" s="24">
        <f>IF($D2857="","",IFERROR(VLOOKUP($D2857,物料档案!$A$4:$P$1203,2,0),"※编码不在物料档案里"))</f>
        <v/>
      </c>
      <c r="I2857" s="24">
        <f>IF($D2857="","",IFERROR(VLOOKUP($D2857,物料档案!$A$4:$P$1203,6,0),"※编码不在物料档案里"))</f>
        <v/>
      </c>
      <c r="J2857" s="23" t="n"/>
      <c r="K2857" s="17" t="n"/>
      <c r="L2857" s="17" t="n"/>
      <c r="M2857" s="17" t="n"/>
      <c r="N2857" s="17" t="n"/>
      <c r="O2857" s="26">
        <f>IF($D2857="","",IFERROR(VLOOKUP($D2857,物料档案!$A$4:$P$1203,10,0),0))</f>
        <v/>
      </c>
      <c r="P2857" s="32" t="n"/>
      <c r="Q2857" s="26">
        <f>IF($D2857="","",IF($K2857&lt;&gt;"对外销售",0,ROUND(N($J2857)*IF($P2857="",N($O2857),N($P2857)),0)))</f>
        <v/>
      </c>
      <c r="R2857" s="26">
        <f>IF($D2857="","",IFERROR(VLOOKUP($D2857,库存台账!$A$5:$Y$1204,11,0),0))</f>
        <v/>
      </c>
      <c r="S2857" s="26">
        <f>IF($D2857="","",ROUND(N($J2857)*N($R2857),0))</f>
        <v/>
      </c>
      <c r="T2857" s="26">
        <f>IF($D2857="","",IF($K2857&lt;&gt;"对外销售","",ROUND($Q2857-$S2857,0)))</f>
        <v/>
      </c>
      <c r="U2857" s="17" t="n"/>
      <c r="V2857" s="17" t="n"/>
      <c r="W2857" s="24">
        <f>IF($D2857="","",IF($E2857="※编码不在物料档案里","※物料编码不在档案里",IF(N($J2857)&lt;=0,"※出库数量要大于 0",IF($K2857="","※没填去向类型",IF($L2857="","※没填去向矿区",IF(AND($C2857&lt;&gt;"",$C2857&lt;=结账锁),"※日期早于已结账截止日，不能再录",IF(AND($K2857="自用消耗",COUNTIF({"一矿区";"二矿区"},$L2857)=0),"※自用消耗的去向只能是一矿区或二矿区",IF(AND($K2857="对外销售",COUNTIF({"三矿区";"六矿区"},$L2857)=0),"※对外销售的去向只能是三矿区或六矿区",IF(AND($K2857="对外销售",ROUND($Q2857,0)=0),"※外销却没有售价，请填实际售价",IF(AND($K2857="对外销售",$T2857&lt;&gt;"",$T2857&lt;0),"※这一笔外销是亏的，请核对售价",IF(IFERROR(VLOOKUP($D2857,库存台账!$A$5:$Y$1204,24,0),0)&lt;-0.001,"※这个物料账面已经变成负数了，查一下是不是漏记入库","")))))))))))</f>
        <v/>
      </c>
    </row>
    <row r="2858">
      <c r="A2858" s="24">
        <f>IF($D2858="","",COUNTA($D$4:$D2858))</f>
        <v/>
      </c>
      <c r="B2858" s="17" t="n"/>
      <c r="C2858" s="30" t="n"/>
      <c r="D2858" s="17" t="n"/>
      <c r="E2858" s="24">
        <f>IF($D2858="","",IFERROR(VLOOKUP($D2858,物料档案!$A$4:$P$1203,3,0),"※编码不在物料档案里"))</f>
        <v/>
      </c>
      <c r="F2858" s="24">
        <f>IF($D2858="","",IFERROR(VLOOKUP($D2858,物料档案!$A$4:$P$1203,4,0),"※编码不在物料档案里"))</f>
        <v/>
      </c>
      <c r="G2858" s="24">
        <f>IF($D2858="","",IFERROR(VLOOKUP($D2858,物料档案!$A$4:$P$1203,5,0),"※编码不在物料档案里"))</f>
        <v/>
      </c>
      <c r="H2858" s="24">
        <f>IF($D2858="","",IFERROR(VLOOKUP($D2858,物料档案!$A$4:$P$1203,2,0),"※编码不在物料档案里"))</f>
        <v/>
      </c>
      <c r="I2858" s="24">
        <f>IF($D2858="","",IFERROR(VLOOKUP($D2858,物料档案!$A$4:$P$1203,6,0),"※编码不在物料档案里"))</f>
        <v/>
      </c>
      <c r="J2858" s="23" t="n"/>
      <c r="K2858" s="17" t="n"/>
      <c r="L2858" s="17" t="n"/>
      <c r="M2858" s="17" t="n"/>
      <c r="N2858" s="17" t="n"/>
      <c r="O2858" s="26">
        <f>IF($D2858="","",IFERROR(VLOOKUP($D2858,物料档案!$A$4:$P$1203,10,0),0))</f>
        <v/>
      </c>
      <c r="P2858" s="32" t="n"/>
      <c r="Q2858" s="26">
        <f>IF($D2858="","",IF($K2858&lt;&gt;"对外销售",0,ROUND(N($J2858)*IF($P2858="",N($O2858),N($P2858)),0)))</f>
        <v/>
      </c>
      <c r="R2858" s="26">
        <f>IF($D2858="","",IFERROR(VLOOKUP($D2858,库存台账!$A$5:$Y$1204,11,0),0))</f>
        <v/>
      </c>
      <c r="S2858" s="26">
        <f>IF($D2858="","",ROUND(N($J2858)*N($R2858),0))</f>
        <v/>
      </c>
      <c r="T2858" s="26">
        <f>IF($D2858="","",IF($K2858&lt;&gt;"对外销售","",ROUND($Q2858-$S2858,0)))</f>
        <v/>
      </c>
      <c r="U2858" s="17" t="n"/>
      <c r="V2858" s="17" t="n"/>
      <c r="W2858" s="24">
        <f>IF($D2858="","",IF($E2858="※编码不在物料档案里","※物料编码不在档案里",IF(N($J2858)&lt;=0,"※出库数量要大于 0",IF($K2858="","※没填去向类型",IF($L2858="","※没填去向矿区",IF(AND($C2858&lt;&gt;"",$C2858&lt;=结账锁),"※日期早于已结账截止日，不能再录",IF(AND($K2858="自用消耗",COUNTIF({"一矿区";"二矿区"},$L2858)=0),"※自用消耗的去向只能是一矿区或二矿区",IF(AND($K2858="对外销售",COUNTIF({"三矿区";"六矿区"},$L2858)=0),"※对外销售的去向只能是三矿区或六矿区",IF(AND($K2858="对外销售",ROUND($Q2858,0)=0),"※外销却没有售价，请填实际售价",IF(AND($K2858="对外销售",$T2858&lt;&gt;"",$T2858&lt;0),"※这一笔外销是亏的，请核对售价",IF(IFERROR(VLOOKUP($D2858,库存台账!$A$5:$Y$1204,24,0),0)&lt;-0.001,"※这个物料账面已经变成负数了，查一下是不是漏记入库","")))))))))))</f>
        <v/>
      </c>
    </row>
    <row r="2859">
      <c r="A2859" s="24">
        <f>IF($D2859="","",COUNTA($D$4:$D2859))</f>
        <v/>
      </c>
      <c r="B2859" s="17" t="n"/>
      <c r="C2859" s="30" t="n"/>
      <c r="D2859" s="17" t="n"/>
      <c r="E2859" s="24">
        <f>IF($D2859="","",IFERROR(VLOOKUP($D2859,物料档案!$A$4:$P$1203,3,0),"※编码不在物料档案里"))</f>
        <v/>
      </c>
      <c r="F2859" s="24">
        <f>IF($D2859="","",IFERROR(VLOOKUP($D2859,物料档案!$A$4:$P$1203,4,0),"※编码不在物料档案里"))</f>
        <v/>
      </c>
      <c r="G2859" s="24">
        <f>IF($D2859="","",IFERROR(VLOOKUP($D2859,物料档案!$A$4:$P$1203,5,0),"※编码不在物料档案里"))</f>
        <v/>
      </c>
      <c r="H2859" s="24">
        <f>IF($D2859="","",IFERROR(VLOOKUP($D2859,物料档案!$A$4:$P$1203,2,0),"※编码不在物料档案里"))</f>
        <v/>
      </c>
      <c r="I2859" s="24">
        <f>IF($D2859="","",IFERROR(VLOOKUP($D2859,物料档案!$A$4:$P$1203,6,0),"※编码不在物料档案里"))</f>
        <v/>
      </c>
      <c r="J2859" s="23" t="n"/>
      <c r="K2859" s="17" t="n"/>
      <c r="L2859" s="17" t="n"/>
      <c r="M2859" s="17" t="n"/>
      <c r="N2859" s="17" t="n"/>
      <c r="O2859" s="26">
        <f>IF($D2859="","",IFERROR(VLOOKUP($D2859,物料档案!$A$4:$P$1203,10,0),0))</f>
        <v/>
      </c>
      <c r="P2859" s="32" t="n"/>
      <c r="Q2859" s="26">
        <f>IF($D2859="","",IF($K2859&lt;&gt;"对外销售",0,ROUND(N($J2859)*IF($P2859="",N($O2859),N($P2859)),0)))</f>
        <v/>
      </c>
      <c r="R2859" s="26">
        <f>IF($D2859="","",IFERROR(VLOOKUP($D2859,库存台账!$A$5:$Y$1204,11,0),0))</f>
        <v/>
      </c>
      <c r="S2859" s="26">
        <f>IF($D2859="","",ROUND(N($J2859)*N($R2859),0))</f>
        <v/>
      </c>
      <c r="T2859" s="26">
        <f>IF($D2859="","",IF($K2859&lt;&gt;"对外销售","",ROUND($Q2859-$S2859,0)))</f>
        <v/>
      </c>
      <c r="U2859" s="17" t="n"/>
      <c r="V2859" s="17" t="n"/>
      <c r="W2859" s="24">
        <f>IF($D2859="","",IF($E2859="※编码不在物料档案里","※物料编码不在档案里",IF(N($J2859)&lt;=0,"※出库数量要大于 0",IF($K2859="","※没填去向类型",IF($L2859="","※没填去向矿区",IF(AND($C2859&lt;&gt;"",$C2859&lt;=结账锁),"※日期早于已结账截止日，不能再录",IF(AND($K2859="自用消耗",COUNTIF({"一矿区";"二矿区"},$L2859)=0),"※自用消耗的去向只能是一矿区或二矿区",IF(AND($K2859="对外销售",COUNTIF({"三矿区";"六矿区"},$L2859)=0),"※对外销售的去向只能是三矿区或六矿区",IF(AND($K2859="对外销售",ROUND($Q2859,0)=0),"※外销却没有售价，请填实际售价",IF(AND($K2859="对外销售",$T2859&lt;&gt;"",$T2859&lt;0),"※这一笔外销是亏的，请核对售价",IF(IFERROR(VLOOKUP($D2859,库存台账!$A$5:$Y$1204,24,0),0)&lt;-0.001,"※这个物料账面已经变成负数了，查一下是不是漏记入库","")))))))))))</f>
        <v/>
      </c>
    </row>
    <row r="2860">
      <c r="A2860" s="24">
        <f>IF($D2860="","",COUNTA($D$4:$D2860))</f>
        <v/>
      </c>
      <c r="B2860" s="17" t="n"/>
      <c r="C2860" s="30" t="n"/>
      <c r="D2860" s="17" t="n"/>
      <c r="E2860" s="24">
        <f>IF($D2860="","",IFERROR(VLOOKUP($D2860,物料档案!$A$4:$P$1203,3,0),"※编码不在物料档案里"))</f>
        <v/>
      </c>
      <c r="F2860" s="24">
        <f>IF($D2860="","",IFERROR(VLOOKUP($D2860,物料档案!$A$4:$P$1203,4,0),"※编码不在物料档案里"))</f>
        <v/>
      </c>
      <c r="G2860" s="24">
        <f>IF($D2860="","",IFERROR(VLOOKUP($D2860,物料档案!$A$4:$P$1203,5,0),"※编码不在物料档案里"))</f>
        <v/>
      </c>
      <c r="H2860" s="24">
        <f>IF($D2860="","",IFERROR(VLOOKUP($D2860,物料档案!$A$4:$P$1203,2,0),"※编码不在物料档案里"))</f>
        <v/>
      </c>
      <c r="I2860" s="24">
        <f>IF($D2860="","",IFERROR(VLOOKUP($D2860,物料档案!$A$4:$P$1203,6,0),"※编码不在物料档案里"))</f>
        <v/>
      </c>
      <c r="J2860" s="23" t="n"/>
      <c r="K2860" s="17" t="n"/>
      <c r="L2860" s="17" t="n"/>
      <c r="M2860" s="17" t="n"/>
      <c r="N2860" s="17" t="n"/>
      <c r="O2860" s="26">
        <f>IF($D2860="","",IFERROR(VLOOKUP($D2860,物料档案!$A$4:$P$1203,10,0),0))</f>
        <v/>
      </c>
      <c r="P2860" s="32" t="n"/>
      <c r="Q2860" s="26">
        <f>IF($D2860="","",IF($K2860&lt;&gt;"对外销售",0,ROUND(N($J2860)*IF($P2860="",N($O2860),N($P2860)),0)))</f>
        <v/>
      </c>
      <c r="R2860" s="26">
        <f>IF($D2860="","",IFERROR(VLOOKUP($D2860,库存台账!$A$5:$Y$1204,11,0),0))</f>
        <v/>
      </c>
      <c r="S2860" s="26">
        <f>IF($D2860="","",ROUND(N($J2860)*N($R2860),0))</f>
        <v/>
      </c>
      <c r="T2860" s="26">
        <f>IF($D2860="","",IF($K2860&lt;&gt;"对外销售","",ROUND($Q2860-$S2860,0)))</f>
        <v/>
      </c>
      <c r="U2860" s="17" t="n"/>
      <c r="V2860" s="17" t="n"/>
      <c r="W2860" s="24">
        <f>IF($D2860="","",IF($E2860="※编码不在物料档案里","※物料编码不在档案里",IF(N($J2860)&lt;=0,"※出库数量要大于 0",IF($K2860="","※没填去向类型",IF($L2860="","※没填去向矿区",IF(AND($C2860&lt;&gt;"",$C2860&lt;=结账锁),"※日期早于已结账截止日，不能再录",IF(AND($K2860="自用消耗",COUNTIF({"一矿区";"二矿区"},$L2860)=0),"※自用消耗的去向只能是一矿区或二矿区",IF(AND($K2860="对外销售",COUNTIF({"三矿区";"六矿区"},$L2860)=0),"※对外销售的去向只能是三矿区或六矿区",IF(AND($K2860="对外销售",ROUND($Q2860,0)=0),"※外销却没有售价，请填实际售价",IF(AND($K2860="对外销售",$T2860&lt;&gt;"",$T2860&lt;0),"※这一笔外销是亏的，请核对售价",IF(IFERROR(VLOOKUP($D2860,库存台账!$A$5:$Y$1204,24,0),0)&lt;-0.001,"※这个物料账面已经变成负数了，查一下是不是漏记入库","")))))))))))</f>
        <v/>
      </c>
    </row>
    <row r="2861">
      <c r="A2861" s="24">
        <f>IF($D2861="","",COUNTA($D$4:$D2861))</f>
        <v/>
      </c>
      <c r="B2861" s="17" t="n"/>
      <c r="C2861" s="30" t="n"/>
      <c r="D2861" s="17" t="n"/>
      <c r="E2861" s="24">
        <f>IF($D2861="","",IFERROR(VLOOKUP($D2861,物料档案!$A$4:$P$1203,3,0),"※编码不在物料档案里"))</f>
        <v/>
      </c>
      <c r="F2861" s="24">
        <f>IF($D2861="","",IFERROR(VLOOKUP($D2861,物料档案!$A$4:$P$1203,4,0),"※编码不在物料档案里"))</f>
        <v/>
      </c>
      <c r="G2861" s="24">
        <f>IF($D2861="","",IFERROR(VLOOKUP($D2861,物料档案!$A$4:$P$1203,5,0),"※编码不在物料档案里"))</f>
        <v/>
      </c>
      <c r="H2861" s="24">
        <f>IF($D2861="","",IFERROR(VLOOKUP($D2861,物料档案!$A$4:$P$1203,2,0),"※编码不在物料档案里"))</f>
        <v/>
      </c>
      <c r="I2861" s="24">
        <f>IF($D2861="","",IFERROR(VLOOKUP($D2861,物料档案!$A$4:$P$1203,6,0),"※编码不在物料档案里"))</f>
        <v/>
      </c>
      <c r="J2861" s="23" t="n"/>
      <c r="K2861" s="17" t="n"/>
      <c r="L2861" s="17" t="n"/>
      <c r="M2861" s="17" t="n"/>
      <c r="N2861" s="17" t="n"/>
      <c r="O2861" s="26">
        <f>IF($D2861="","",IFERROR(VLOOKUP($D2861,物料档案!$A$4:$P$1203,10,0),0))</f>
        <v/>
      </c>
      <c r="P2861" s="32" t="n"/>
      <c r="Q2861" s="26">
        <f>IF($D2861="","",IF($K2861&lt;&gt;"对外销售",0,ROUND(N($J2861)*IF($P2861="",N($O2861),N($P2861)),0)))</f>
        <v/>
      </c>
      <c r="R2861" s="26">
        <f>IF($D2861="","",IFERROR(VLOOKUP($D2861,库存台账!$A$5:$Y$1204,11,0),0))</f>
        <v/>
      </c>
      <c r="S2861" s="26">
        <f>IF($D2861="","",ROUND(N($J2861)*N($R2861),0))</f>
        <v/>
      </c>
      <c r="T2861" s="26">
        <f>IF($D2861="","",IF($K2861&lt;&gt;"对外销售","",ROUND($Q2861-$S2861,0)))</f>
        <v/>
      </c>
      <c r="U2861" s="17" t="n"/>
      <c r="V2861" s="17" t="n"/>
      <c r="W2861" s="24">
        <f>IF($D2861="","",IF($E2861="※编码不在物料档案里","※物料编码不在档案里",IF(N($J2861)&lt;=0,"※出库数量要大于 0",IF($K2861="","※没填去向类型",IF($L2861="","※没填去向矿区",IF(AND($C2861&lt;&gt;"",$C2861&lt;=结账锁),"※日期早于已结账截止日，不能再录",IF(AND($K2861="自用消耗",COUNTIF({"一矿区";"二矿区"},$L2861)=0),"※自用消耗的去向只能是一矿区或二矿区",IF(AND($K2861="对外销售",COUNTIF({"三矿区";"六矿区"},$L2861)=0),"※对外销售的去向只能是三矿区或六矿区",IF(AND($K2861="对外销售",ROUND($Q2861,0)=0),"※外销却没有售价，请填实际售价",IF(AND($K2861="对外销售",$T2861&lt;&gt;"",$T2861&lt;0),"※这一笔外销是亏的，请核对售价",IF(IFERROR(VLOOKUP($D2861,库存台账!$A$5:$Y$1204,24,0),0)&lt;-0.001,"※这个物料账面已经变成负数了，查一下是不是漏记入库","")))))))))))</f>
        <v/>
      </c>
    </row>
    <row r="2862">
      <c r="A2862" s="24">
        <f>IF($D2862="","",COUNTA($D$4:$D2862))</f>
        <v/>
      </c>
      <c r="B2862" s="17" t="n"/>
      <c r="C2862" s="30" t="n"/>
      <c r="D2862" s="17" t="n"/>
      <c r="E2862" s="24">
        <f>IF($D2862="","",IFERROR(VLOOKUP($D2862,物料档案!$A$4:$P$1203,3,0),"※编码不在物料档案里"))</f>
        <v/>
      </c>
      <c r="F2862" s="24">
        <f>IF($D2862="","",IFERROR(VLOOKUP($D2862,物料档案!$A$4:$P$1203,4,0),"※编码不在物料档案里"))</f>
        <v/>
      </c>
      <c r="G2862" s="24">
        <f>IF($D2862="","",IFERROR(VLOOKUP($D2862,物料档案!$A$4:$P$1203,5,0),"※编码不在物料档案里"))</f>
        <v/>
      </c>
      <c r="H2862" s="24">
        <f>IF($D2862="","",IFERROR(VLOOKUP($D2862,物料档案!$A$4:$P$1203,2,0),"※编码不在物料档案里"))</f>
        <v/>
      </c>
      <c r="I2862" s="24">
        <f>IF($D2862="","",IFERROR(VLOOKUP($D2862,物料档案!$A$4:$P$1203,6,0),"※编码不在物料档案里"))</f>
        <v/>
      </c>
      <c r="J2862" s="23" t="n"/>
      <c r="K2862" s="17" t="n"/>
      <c r="L2862" s="17" t="n"/>
      <c r="M2862" s="17" t="n"/>
      <c r="N2862" s="17" t="n"/>
      <c r="O2862" s="26">
        <f>IF($D2862="","",IFERROR(VLOOKUP($D2862,物料档案!$A$4:$P$1203,10,0),0))</f>
        <v/>
      </c>
      <c r="P2862" s="32" t="n"/>
      <c r="Q2862" s="26">
        <f>IF($D2862="","",IF($K2862&lt;&gt;"对外销售",0,ROUND(N($J2862)*IF($P2862="",N($O2862),N($P2862)),0)))</f>
        <v/>
      </c>
      <c r="R2862" s="26">
        <f>IF($D2862="","",IFERROR(VLOOKUP($D2862,库存台账!$A$5:$Y$1204,11,0),0))</f>
        <v/>
      </c>
      <c r="S2862" s="26">
        <f>IF($D2862="","",ROUND(N($J2862)*N($R2862),0))</f>
        <v/>
      </c>
      <c r="T2862" s="26">
        <f>IF($D2862="","",IF($K2862&lt;&gt;"对外销售","",ROUND($Q2862-$S2862,0)))</f>
        <v/>
      </c>
      <c r="U2862" s="17" t="n"/>
      <c r="V2862" s="17" t="n"/>
      <c r="W2862" s="24">
        <f>IF($D2862="","",IF($E2862="※编码不在物料档案里","※物料编码不在档案里",IF(N($J2862)&lt;=0,"※出库数量要大于 0",IF($K2862="","※没填去向类型",IF($L2862="","※没填去向矿区",IF(AND($C2862&lt;&gt;"",$C2862&lt;=结账锁),"※日期早于已结账截止日，不能再录",IF(AND($K2862="自用消耗",COUNTIF({"一矿区";"二矿区"},$L2862)=0),"※自用消耗的去向只能是一矿区或二矿区",IF(AND($K2862="对外销售",COUNTIF({"三矿区";"六矿区"},$L2862)=0),"※对外销售的去向只能是三矿区或六矿区",IF(AND($K2862="对外销售",ROUND($Q2862,0)=0),"※外销却没有售价，请填实际售价",IF(AND($K2862="对外销售",$T2862&lt;&gt;"",$T2862&lt;0),"※这一笔外销是亏的，请核对售价",IF(IFERROR(VLOOKUP($D2862,库存台账!$A$5:$Y$1204,24,0),0)&lt;-0.001,"※这个物料账面已经变成负数了，查一下是不是漏记入库","")))))))))))</f>
        <v/>
      </c>
    </row>
    <row r="2863">
      <c r="A2863" s="24">
        <f>IF($D2863="","",COUNTA($D$4:$D2863))</f>
        <v/>
      </c>
      <c r="B2863" s="17" t="n"/>
      <c r="C2863" s="30" t="n"/>
      <c r="D2863" s="17" t="n"/>
      <c r="E2863" s="24">
        <f>IF($D2863="","",IFERROR(VLOOKUP($D2863,物料档案!$A$4:$P$1203,3,0),"※编码不在物料档案里"))</f>
        <v/>
      </c>
      <c r="F2863" s="24">
        <f>IF($D2863="","",IFERROR(VLOOKUP($D2863,物料档案!$A$4:$P$1203,4,0),"※编码不在物料档案里"))</f>
        <v/>
      </c>
      <c r="G2863" s="24">
        <f>IF($D2863="","",IFERROR(VLOOKUP($D2863,物料档案!$A$4:$P$1203,5,0),"※编码不在物料档案里"))</f>
        <v/>
      </c>
      <c r="H2863" s="24">
        <f>IF($D2863="","",IFERROR(VLOOKUP($D2863,物料档案!$A$4:$P$1203,2,0),"※编码不在物料档案里"))</f>
        <v/>
      </c>
      <c r="I2863" s="24">
        <f>IF($D2863="","",IFERROR(VLOOKUP($D2863,物料档案!$A$4:$P$1203,6,0),"※编码不在物料档案里"))</f>
        <v/>
      </c>
      <c r="J2863" s="23" t="n"/>
      <c r="K2863" s="17" t="n"/>
      <c r="L2863" s="17" t="n"/>
      <c r="M2863" s="17" t="n"/>
      <c r="N2863" s="17" t="n"/>
      <c r="O2863" s="26">
        <f>IF($D2863="","",IFERROR(VLOOKUP($D2863,物料档案!$A$4:$P$1203,10,0),0))</f>
        <v/>
      </c>
      <c r="P2863" s="32" t="n"/>
      <c r="Q2863" s="26">
        <f>IF($D2863="","",IF($K2863&lt;&gt;"对外销售",0,ROUND(N($J2863)*IF($P2863="",N($O2863),N($P2863)),0)))</f>
        <v/>
      </c>
      <c r="R2863" s="26">
        <f>IF($D2863="","",IFERROR(VLOOKUP($D2863,库存台账!$A$5:$Y$1204,11,0),0))</f>
        <v/>
      </c>
      <c r="S2863" s="26">
        <f>IF($D2863="","",ROUND(N($J2863)*N($R2863),0))</f>
        <v/>
      </c>
      <c r="T2863" s="26">
        <f>IF($D2863="","",IF($K2863&lt;&gt;"对外销售","",ROUND($Q2863-$S2863,0)))</f>
        <v/>
      </c>
      <c r="U2863" s="17" t="n"/>
      <c r="V2863" s="17" t="n"/>
      <c r="W2863" s="24">
        <f>IF($D2863="","",IF($E2863="※编码不在物料档案里","※物料编码不在档案里",IF(N($J2863)&lt;=0,"※出库数量要大于 0",IF($K2863="","※没填去向类型",IF($L2863="","※没填去向矿区",IF(AND($C2863&lt;&gt;"",$C2863&lt;=结账锁),"※日期早于已结账截止日，不能再录",IF(AND($K2863="自用消耗",COUNTIF({"一矿区";"二矿区"},$L2863)=0),"※自用消耗的去向只能是一矿区或二矿区",IF(AND($K2863="对外销售",COUNTIF({"三矿区";"六矿区"},$L2863)=0),"※对外销售的去向只能是三矿区或六矿区",IF(AND($K2863="对外销售",ROUND($Q2863,0)=0),"※外销却没有售价，请填实际售价",IF(AND($K2863="对外销售",$T2863&lt;&gt;"",$T2863&lt;0),"※这一笔外销是亏的，请核对售价",IF(IFERROR(VLOOKUP($D2863,库存台账!$A$5:$Y$1204,24,0),0)&lt;-0.001,"※这个物料账面已经变成负数了，查一下是不是漏记入库","")))))))))))</f>
        <v/>
      </c>
    </row>
    <row r="2864">
      <c r="A2864" s="24">
        <f>IF($D2864="","",COUNTA($D$4:$D2864))</f>
        <v/>
      </c>
      <c r="B2864" s="17" t="n"/>
      <c r="C2864" s="30" t="n"/>
      <c r="D2864" s="17" t="n"/>
      <c r="E2864" s="24">
        <f>IF($D2864="","",IFERROR(VLOOKUP($D2864,物料档案!$A$4:$P$1203,3,0),"※编码不在物料档案里"))</f>
        <v/>
      </c>
      <c r="F2864" s="24">
        <f>IF($D2864="","",IFERROR(VLOOKUP($D2864,物料档案!$A$4:$P$1203,4,0),"※编码不在物料档案里"))</f>
        <v/>
      </c>
      <c r="G2864" s="24">
        <f>IF($D2864="","",IFERROR(VLOOKUP($D2864,物料档案!$A$4:$P$1203,5,0),"※编码不在物料档案里"))</f>
        <v/>
      </c>
      <c r="H2864" s="24">
        <f>IF($D2864="","",IFERROR(VLOOKUP($D2864,物料档案!$A$4:$P$1203,2,0),"※编码不在物料档案里"))</f>
        <v/>
      </c>
      <c r="I2864" s="24">
        <f>IF($D2864="","",IFERROR(VLOOKUP($D2864,物料档案!$A$4:$P$1203,6,0),"※编码不在物料档案里"))</f>
        <v/>
      </c>
      <c r="J2864" s="23" t="n"/>
      <c r="K2864" s="17" t="n"/>
      <c r="L2864" s="17" t="n"/>
      <c r="M2864" s="17" t="n"/>
      <c r="N2864" s="17" t="n"/>
      <c r="O2864" s="26">
        <f>IF($D2864="","",IFERROR(VLOOKUP($D2864,物料档案!$A$4:$P$1203,10,0),0))</f>
        <v/>
      </c>
      <c r="P2864" s="32" t="n"/>
      <c r="Q2864" s="26">
        <f>IF($D2864="","",IF($K2864&lt;&gt;"对外销售",0,ROUND(N($J2864)*IF($P2864="",N($O2864),N($P2864)),0)))</f>
        <v/>
      </c>
      <c r="R2864" s="26">
        <f>IF($D2864="","",IFERROR(VLOOKUP($D2864,库存台账!$A$5:$Y$1204,11,0),0))</f>
        <v/>
      </c>
      <c r="S2864" s="26">
        <f>IF($D2864="","",ROUND(N($J2864)*N($R2864),0))</f>
        <v/>
      </c>
      <c r="T2864" s="26">
        <f>IF($D2864="","",IF($K2864&lt;&gt;"对外销售","",ROUND($Q2864-$S2864,0)))</f>
        <v/>
      </c>
      <c r="U2864" s="17" t="n"/>
      <c r="V2864" s="17" t="n"/>
      <c r="W2864" s="24">
        <f>IF($D2864="","",IF($E2864="※编码不在物料档案里","※物料编码不在档案里",IF(N($J2864)&lt;=0,"※出库数量要大于 0",IF($K2864="","※没填去向类型",IF($L2864="","※没填去向矿区",IF(AND($C2864&lt;&gt;"",$C2864&lt;=结账锁),"※日期早于已结账截止日，不能再录",IF(AND($K2864="自用消耗",COUNTIF({"一矿区";"二矿区"},$L2864)=0),"※自用消耗的去向只能是一矿区或二矿区",IF(AND($K2864="对外销售",COUNTIF({"三矿区";"六矿区"},$L2864)=0),"※对外销售的去向只能是三矿区或六矿区",IF(AND($K2864="对外销售",ROUND($Q2864,0)=0),"※外销却没有售价，请填实际售价",IF(AND($K2864="对外销售",$T2864&lt;&gt;"",$T2864&lt;0),"※这一笔外销是亏的，请核对售价",IF(IFERROR(VLOOKUP($D2864,库存台账!$A$5:$Y$1204,24,0),0)&lt;-0.001,"※这个物料账面已经变成负数了，查一下是不是漏记入库","")))))))))))</f>
        <v/>
      </c>
    </row>
    <row r="2865">
      <c r="A2865" s="24">
        <f>IF($D2865="","",COUNTA($D$4:$D2865))</f>
        <v/>
      </c>
      <c r="B2865" s="17" t="n"/>
      <c r="C2865" s="30" t="n"/>
      <c r="D2865" s="17" t="n"/>
      <c r="E2865" s="24">
        <f>IF($D2865="","",IFERROR(VLOOKUP($D2865,物料档案!$A$4:$P$1203,3,0),"※编码不在物料档案里"))</f>
        <v/>
      </c>
      <c r="F2865" s="24">
        <f>IF($D2865="","",IFERROR(VLOOKUP($D2865,物料档案!$A$4:$P$1203,4,0),"※编码不在物料档案里"))</f>
        <v/>
      </c>
      <c r="G2865" s="24">
        <f>IF($D2865="","",IFERROR(VLOOKUP($D2865,物料档案!$A$4:$P$1203,5,0),"※编码不在物料档案里"))</f>
        <v/>
      </c>
      <c r="H2865" s="24">
        <f>IF($D2865="","",IFERROR(VLOOKUP($D2865,物料档案!$A$4:$P$1203,2,0),"※编码不在物料档案里"))</f>
        <v/>
      </c>
      <c r="I2865" s="24">
        <f>IF($D2865="","",IFERROR(VLOOKUP($D2865,物料档案!$A$4:$P$1203,6,0),"※编码不在物料档案里"))</f>
        <v/>
      </c>
      <c r="J2865" s="23" t="n"/>
      <c r="K2865" s="17" t="n"/>
      <c r="L2865" s="17" t="n"/>
      <c r="M2865" s="17" t="n"/>
      <c r="N2865" s="17" t="n"/>
      <c r="O2865" s="26">
        <f>IF($D2865="","",IFERROR(VLOOKUP($D2865,物料档案!$A$4:$P$1203,10,0),0))</f>
        <v/>
      </c>
      <c r="P2865" s="32" t="n"/>
      <c r="Q2865" s="26">
        <f>IF($D2865="","",IF($K2865&lt;&gt;"对外销售",0,ROUND(N($J2865)*IF($P2865="",N($O2865),N($P2865)),0)))</f>
        <v/>
      </c>
      <c r="R2865" s="26">
        <f>IF($D2865="","",IFERROR(VLOOKUP($D2865,库存台账!$A$5:$Y$1204,11,0),0))</f>
        <v/>
      </c>
      <c r="S2865" s="26">
        <f>IF($D2865="","",ROUND(N($J2865)*N($R2865),0))</f>
        <v/>
      </c>
      <c r="T2865" s="26">
        <f>IF($D2865="","",IF($K2865&lt;&gt;"对外销售","",ROUND($Q2865-$S2865,0)))</f>
        <v/>
      </c>
      <c r="U2865" s="17" t="n"/>
      <c r="V2865" s="17" t="n"/>
      <c r="W2865" s="24">
        <f>IF($D2865="","",IF($E2865="※编码不在物料档案里","※物料编码不在档案里",IF(N($J2865)&lt;=0,"※出库数量要大于 0",IF($K2865="","※没填去向类型",IF($L2865="","※没填去向矿区",IF(AND($C2865&lt;&gt;"",$C2865&lt;=结账锁),"※日期早于已结账截止日，不能再录",IF(AND($K2865="自用消耗",COUNTIF({"一矿区";"二矿区"},$L2865)=0),"※自用消耗的去向只能是一矿区或二矿区",IF(AND($K2865="对外销售",COUNTIF({"三矿区";"六矿区"},$L2865)=0),"※对外销售的去向只能是三矿区或六矿区",IF(AND($K2865="对外销售",ROUND($Q2865,0)=0),"※外销却没有售价，请填实际售价",IF(AND($K2865="对外销售",$T2865&lt;&gt;"",$T2865&lt;0),"※这一笔外销是亏的，请核对售价",IF(IFERROR(VLOOKUP($D2865,库存台账!$A$5:$Y$1204,24,0),0)&lt;-0.001,"※这个物料账面已经变成负数了，查一下是不是漏记入库","")))))))))))</f>
        <v/>
      </c>
    </row>
    <row r="2866">
      <c r="A2866" s="24">
        <f>IF($D2866="","",COUNTA($D$4:$D2866))</f>
        <v/>
      </c>
      <c r="B2866" s="17" t="n"/>
      <c r="C2866" s="30" t="n"/>
      <c r="D2866" s="17" t="n"/>
      <c r="E2866" s="24">
        <f>IF($D2866="","",IFERROR(VLOOKUP($D2866,物料档案!$A$4:$P$1203,3,0),"※编码不在物料档案里"))</f>
        <v/>
      </c>
      <c r="F2866" s="24">
        <f>IF($D2866="","",IFERROR(VLOOKUP($D2866,物料档案!$A$4:$P$1203,4,0),"※编码不在物料档案里"))</f>
        <v/>
      </c>
      <c r="G2866" s="24">
        <f>IF($D2866="","",IFERROR(VLOOKUP($D2866,物料档案!$A$4:$P$1203,5,0),"※编码不在物料档案里"))</f>
        <v/>
      </c>
      <c r="H2866" s="24">
        <f>IF($D2866="","",IFERROR(VLOOKUP($D2866,物料档案!$A$4:$P$1203,2,0),"※编码不在物料档案里"))</f>
        <v/>
      </c>
      <c r="I2866" s="24">
        <f>IF($D2866="","",IFERROR(VLOOKUP($D2866,物料档案!$A$4:$P$1203,6,0),"※编码不在物料档案里"))</f>
        <v/>
      </c>
      <c r="J2866" s="23" t="n"/>
      <c r="K2866" s="17" t="n"/>
      <c r="L2866" s="17" t="n"/>
      <c r="M2866" s="17" t="n"/>
      <c r="N2866" s="17" t="n"/>
      <c r="O2866" s="26">
        <f>IF($D2866="","",IFERROR(VLOOKUP($D2866,物料档案!$A$4:$P$1203,10,0),0))</f>
        <v/>
      </c>
      <c r="P2866" s="32" t="n"/>
      <c r="Q2866" s="26">
        <f>IF($D2866="","",IF($K2866&lt;&gt;"对外销售",0,ROUND(N($J2866)*IF($P2866="",N($O2866),N($P2866)),0)))</f>
        <v/>
      </c>
      <c r="R2866" s="26">
        <f>IF($D2866="","",IFERROR(VLOOKUP($D2866,库存台账!$A$5:$Y$1204,11,0),0))</f>
        <v/>
      </c>
      <c r="S2866" s="26">
        <f>IF($D2866="","",ROUND(N($J2866)*N($R2866),0))</f>
        <v/>
      </c>
      <c r="T2866" s="26">
        <f>IF($D2866="","",IF($K2866&lt;&gt;"对外销售","",ROUND($Q2866-$S2866,0)))</f>
        <v/>
      </c>
      <c r="U2866" s="17" t="n"/>
      <c r="V2866" s="17" t="n"/>
      <c r="W2866" s="24">
        <f>IF($D2866="","",IF($E2866="※编码不在物料档案里","※物料编码不在档案里",IF(N($J2866)&lt;=0,"※出库数量要大于 0",IF($K2866="","※没填去向类型",IF($L2866="","※没填去向矿区",IF(AND($C2866&lt;&gt;"",$C2866&lt;=结账锁),"※日期早于已结账截止日，不能再录",IF(AND($K2866="自用消耗",COUNTIF({"一矿区";"二矿区"},$L2866)=0),"※自用消耗的去向只能是一矿区或二矿区",IF(AND($K2866="对外销售",COUNTIF({"三矿区";"六矿区"},$L2866)=0),"※对外销售的去向只能是三矿区或六矿区",IF(AND($K2866="对外销售",ROUND($Q2866,0)=0),"※外销却没有售价，请填实际售价",IF(AND($K2866="对外销售",$T2866&lt;&gt;"",$T2866&lt;0),"※这一笔外销是亏的，请核对售价",IF(IFERROR(VLOOKUP($D2866,库存台账!$A$5:$Y$1204,24,0),0)&lt;-0.001,"※这个物料账面已经变成负数了，查一下是不是漏记入库","")))))))))))</f>
        <v/>
      </c>
    </row>
    <row r="2867">
      <c r="A2867" s="24">
        <f>IF($D2867="","",COUNTA($D$4:$D2867))</f>
        <v/>
      </c>
      <c r="B2867" s="17" t="n"/>
      <c r="C2867" s="30" t="n"/>
      <c r="D2867" s="17" t="n"/>
      <c r="E2867" s="24">
        <f>IF($D2867="","",IFERROR(VLOOKUP($D2867,物料档案!$A$4:$P$1203,3,0),"※编码不在物料档案里"))</f>
        <v/>
      </c>
      <c r="F2867" s="24">
        <f>IF($D2867="","",IFERROR(VLOOKUP($D2867,物料档案!$A$4:$P$1203,4,0),"※编码不在物料档案里"))</f>
        <v/>
      </c>
      <c r="G2867" s="24">
        <f>IF($D2867="","",IFERROR(VLOOKUP($D2867,物料档案!$A$4:$P$1203,5,0),"※编码不在物料档案里"))</f>
        <v/>
      </c>
      <c r="H2867" s="24">
        <f>IF($D2867="","",IFERROR(VLOOKUP($D2867,物料档案!$A$4:$P$1203,2,0),"※编码不在物料档案里"))</f>
        <v/>
      </c>
      <c r="I2867" s="24">
        <f>IF($D2867="","",IFERROR(VLOOKUP($D2867,物料档案!$A$4:$P$1203,6,0),"※编码不在物料档案里"))</f>
        <v/>
      </c>
      <c r="J2867" s="23" t="n"/>
      <c r="K2867" s="17" t="n"/>
      <c r="L2867" s="17" t="n"/>
      <c r="M2867" s="17" t="n"/>
      <c r="N2867" s="17" t="n"/>
      <c r="O2867" s="26">
        <f>IF($D2867="","",IFERROR(VLOOKUP($D2867,物料档案!$A$4:$P$1203,10,0),0))</f>
        <v/>
      </c>
      <c r="P2867" s="32" t="n"/>
      <c r="Q2867" s="26">
        <f>IF($D2867="","",IF($K2867&lt;&gt;"对外销售",0,ROUND(N($J2867)*IF($P2867="",N($O2867),N($P2867)),0)))</f>
        <v/>
      </c>
      <c r="R2867" s="26">
        <f>IF($D2867="","",IFERROR(VLOOKUP($D2867,库存台账!$A$5:$Y$1204,11,0),0))</f>
        <v/>
      </c>
      <c r="S2867" s="26">
        <f>IF($D2867="","",ROUND(N($J2867)*N($R2867),0))</f>
        <v/>
      </c>
      <c r="T2867" s="26">
        <f>IF($D2867="","",IF($K2867&lt;&gt;"对外销售","",ROUND($Q2867-$S2867,0)))</f>
        <v/>
      </c>
      <c r="U2867" s="17" t="n"/>
      <c r="V2867" s="17" t="n"/>
      <c r="W2867" s="24">
        <f>IF($D2867="","",IF($E2867="※编码不在物料档案里","※物料编码不在档案里",IF(N($J2867)&lt;=0,"※出库数量要大于 0",IF($K2867="","※没填去向类型",IF($L2867="","※没填去向矿区",IF(AND($C2867&lt;&gt;"",$C2867&lt;=结账锁),"※日期早于已结账截止日，不能再录",IF(AND($K2867="自用消耗",COUNTIF({"一矿区";"二矿区"},$L2867)=0),"※自用消耗的去向只能是一矿区或二矿区",IF(AND($K2867="对外销售",COUNTIF({"三矿区";"六矿区"},$L2867)=0),"※对外销售的去向只能是三矿区或六矿区",IF(AND($K2867="对外销售",ROUND($Q2867,0)=0),"※外销却没有售价，请填实际售价",IF(AND($K2867="对外销售",$T2867&lt;&gt;"",$T2867&lt;0),"※这一笔外销是亏的，请核对售价",IF(IFERROR(VLOOKUP($D2867,库存台账!$A$5:$Y$1204,24,0),0)&lt;-0.001,"※这个物料账面已经变成负数了，查一下是不是漏记入库","")))))))))))</f>
        <v/>
      </c>
    </row>
    <row r="2868">
      <c r="A2868" s="24">
        <f>IF($D2868="","",COUNTA($D$4:$D2868))</f>
        <v/>
      </c>
      <c r="B2868" s="17" t="n"/>
      <c r="C2868" s="30" t="n"/>
      <c r="D2868" s="17" t="n"/>
      <c r="E2868" s="24">
        <f>IF($D2868="","",IFERROR(VLOOKUP($D2868,物料档案!$A$4:$P$1203,3,0),"※编码不在物料档案里"))</f>
        <v/>
      </c>
      <c r="F2868" s="24">
        <f>IF($D2868="","",IFERROR(VLOOKUP($D2868,物料档案!$A$4:$P$1203,4,0),"※编码不在物料档案里"))</f>
        <v/>
      </c>
      <c r="G2868" s="24">
        <f>IF($D2868="","",IFERROR(VLOOKUP($D2868,物料档案!$A$4:$P$1203,5,0),"※编码不在物料档案里"))</f>
        <v/>
      </c>
      <c r="H2868" s="24">
        <f>IF($D2868="","",IFERROR(VLOOKUP($D2868,物料档案!$A$4:$P$1203,2,0),"※编码不在物料档案里"))</f>
        <v/>
      </c>
      <c r="I2868" s="24">
        <f>IF($D2868="","",IFERROR(VLOOKUP($D2868,物料档案!$A$4:$P$1203,6,0),"※编码不在物料档案里"))</f>
        <v/>
      </c>
      <c r="J2868" s="23" t="n"/>
      <c r="K2868" s="17" t="n"/>
      <c r="L2868" s="17" t="n"/>
      <c r="M2868" s="17" t="n"/>
      <c r="N2868" s="17" t="n"/>
      <c r="O2868" s="26">
        <f>IF($D2868="","",IFERROR(VLOOKUP($D2868,物料档案!$A$4:$P$1203,10,0),0))</f>
        <v/>
      </c>
      <c r="P2868" s="32" t="n"/>
      <c r="Q2868" s="26">
        <f>IF($D2868="","",IF($K2868&lt;&gt;"对外销售",0,ROUND(N($J2868)*IF($P2868="",N($O2868),N($P2868)),0)))</f>
        <v/>
      </c>
      <c r="R2868" s="26">
        <f>IF($D2868="","",IFERROR(VLOOKUP($D2868,库存台账!$A$5:$Y$1204,11,0),0))</f>
        <v/>
      </c>
      <c r="S2868" s="26">
        <f>IF($D2868="","",ROUND(N($J2868)*N($R2868),0))</f>
        <v/>
      </c>
      <c r="T2868" s="26">
        <f>IF($D2868="","",IF($K2868&lt;&gt;"对外销售","",ROUND($Q2868-$S2868,0)))</f>
        <v/>
      </c>
      <c r="U2868" s="17" t="n"/>
      <c r="V2868" s="17" t="n"/>
      <c r="W2868" s="24">
        <f>IF($D2868="","",IF($E2868="※编码不在物料档案里","※物料编码不在档案里",IF(N($J2868)&lt;=0,"※出库数量要大于 0",IF($K2868="","※没填去向类型",IF($L2868="","※没填去向矿区",IF(AND($C2868&lt;&gt;"",$C2868&lt;=结账锁),"※日期早于已结账截止日，不能再录",IF(AND($K2868="自用消耗",COUNTIF({"一矿区";"二矿区"},$L2868)=0),"※自用消耗的去向只能是一矿区或二矿区",IF(AND($K2868="对外销售",COUNTIF({"三矿区";"六矿区"},$L2868)=0),"※对外销售的去向只能是三矿区或六矿区",IF(AND($K2868="对外销售",ROUND($Q2868,0)=0),"※外销却没有售价，请填实际售价",IF(AND($K2868="对外销售",$T2868&lt;&gt;"",$T2868&lt;0),"※这一笔外销是亏的，请核对售价",IF(IFERROR(VLOOKUP($D2868,库存台账!$A$5:$Y$1204,24,0),0)&lt;-0.001,"※这个物料账面已经变成负数了，查一下是不是漏记入库","")))))))))))</f>
        <v/>
      </c>
    </row>
    <row r="2869">
      <c r="A2869" s="24">
        <f>IF($D2869="","",COUNTA($D$4:$D2869))</f>
        <v/>
      </c>
      <c r="B2869" s="17" t="n"/>
      <c r="C2869" s="30" t="n"/>
      <c r="D2869" s="17" t="n"/>
      <c r="E2869" s="24">
        <f>IF($D2869="","",IFERROR(VLOOKUP($D2869,物料档案!$A$4:$P$1203,3,0),"※编码不在物料档案里"))</f>
        <v/>
      </c>
      <c r="F2869" s="24">
        <f>IF($D2869="","",IFERROR(VLOOKUP($D2869,物料档案!$A$4:$P$1203,4,0),"※编码不在物料档案里"))</f>
        <v/>
      </c>
      <c r="G2869" s="24">
        <f>IF($D2869="","",IFERROR(VLOOKUP($D2869,物料档案!$A$4:$P$1203,5,0),"※编码不在物料档案里"))</f>
        <v/>
      </c>
      <c r="H2869" s="24">
        <f>IF($D2869="","",IFERROR(VLOOKUP($D2869,物料档案!$A$4:$P$1203,2,0),"※编码不在物料档案里"))</f>
        <v/>
      </c>
      <c r="I2869" s="24">
        <f>IF($D2869="","",IFERROR(VLOOKUP($D2869,物料档案!$A$4:$P$1203,6,0),"※编码不在物料档案里"))</f>
        <v/>
      </c>
      <c r="J2869" s="23" t="n"/>
      <c r="K2869" s="17" t="n"/>
      <c r="L2869" s="17" t="n"/>
      <c r="M2869" s="17" t="n"/>
      <c r="N2869" s="17" t="n"/>
      <c r="O2869" s="26">
        <f>IF($D2869="","",IFERROR(VLOOKUP($D2869,物料档案!$A$4:$P$1203,10,0),0))</f>
        <v/>
      </c>
      <c r="P2869" s="32" t="n"/>
      <c r="Q2869" s="26">
        <f>IF($D2869="","",IF($K2869&lt;&gt;"对外销售",0,ROUND(N($J2869)*IF($P2869="",N($O2869),N($P2869)),0)))</f>
        <v/>
      </c>
      <c r="R2869" s="26">
        <f>IF($D2869="","",IFERROR(VLOOKUP($D2869,库存台账!$A$5:$Y$1204,11,0),0))</f>
        <v/>
      </c>
      <c r="S2869" s="26">
        <f>IF($D2869="","",ROUND(N($J2869)*N($R2869),0))</f>
        <v/>
      </c>
      <c r="T2869" s="26">
        <f>IF($D2869="","",IF($K2869&lt;&gt;"对外销售","",ROUND($Q2869-$S2869,0)))</f>
        <v/>
      </c>
      <c r="U2869" s="17" t="n"/>
      <c r="V2869" s="17" t="n"/>
      <c r="W2869" s="24">
        <f>IF($D2869="","",IF($E2869="※编码不在物料档案里","※物料编码不在档案里",IF(N($J2869)&lt;=0,"※出库数量要大于 0",IF($K2869="","※没填去向类型",IF($L2869="","※没填去向矿区",IF(AND($C2869&lt;&gt;"",$C2869&lt;=结账锁),"※日期早于已结账截止日，不能再录",IF(AND($K2869="自用消耗",COUNTIF({"一矿区";"二矿区"},$L2869)=0),"※自用消耗的去向只能是一矿区或二矿区",IF(AND($K2869="对外销售",COUNTIF({"三矿区";"六矿区"},$L2869)=0),"※对外销售的去向只能是三矿区或六矿区",IF(AND($K2869="对外销售",ROUND($Q2869,0)=0),"※外销却没有售价，请填实际售价",IF(AND($K2869="对外销售",$T2869&lt;&gt;"",$T2869&lt;0),"※这一笔外销是亏的，请核对售价",IF(IFERROR(VLOOKUP($D2869,库存台账!$A$5:$Y$1204,24,0),0)&lt;-0.001,"※这个物料账面已经变成负数了，查一下是不是漏记入库","")))))))))))</f>
        <v/>
      </c>
    </row>
    <row r="2870">
      <c r="A2870" s="24">
        <f>IF($D2870="","",COUNTA($D$4:$D2870))</f>
        <v/>
      </c>
      <c r="B2870" s="17" t="n"/>
      <c r="C2870" s="30" t="n"/>
      <c r="D2870" s="17" t="n"/>
      <c r="E2870" s="24">
        <f>IF($D2870="","",IFERROR(VLOOKUP($D2870,物料档案!$A$4:$P$1203,3,0),"※编码不在物料档案里"))</f>
        <v/>
      </c>
      <c r="F2870" s="24">
        <f>IF($D2870="","",IFERROR(VLOOKUP($D2870,物料档案!$A$4:$P$1203,4,0),"※编码不在物料档案里"))</f>
        <v/>
      </c>
      <c r="G2870" s="24">
        <f>IF($D2870="","",IFERROR(VLOOKUP($D2870,物料档案!$A$4:$P$1203,5,0),"※编码不在物料档案里"))</f>
        <v/>
      </c>
      <c r="H2870" s="24">
        <f>IF($D2870="","",IFERROR(VLOOKUP($D2870,物料档案!$A$4:$P$1203,2,0),"※编码不在物料档案里"))</f>
        <v/>
      </c>
      <c r="I2870" s="24">
        <f>IF($D2870="","",IFERROR(VLOOKUP($D2870,物料档案!$A$4:$P$1203,6,0),"※编码不在物料档案里"))</f>
        <v/>
      </c>
      <c r="J2870" s="23" t="n"/>
      <c r="K2870" s="17" t="n"/>
      <c r="L2870" s="17" t="n"/>
      <c r="M2870" s="17" t="n"/>
      <c r="N2870" s="17" t="n"/>
      <c r="O2870" s="26">
        <f>IF($D2870="","",IFERROR(VLOOKUP($D2870,物料档案!$A$4:$P$1203,10,0),0))</f>
        <v/>
      </c>
      <c r="P2870" s="32" t="n"/>
      <c r="Q2870" s="26">
        <f>IF($D2870="","",IF($K2870&lt;&gt;"对外销售",0,ROUND(N($J2870)*IF($P2870="",N($O2870),N($P2870)),0)))</f>
        <v/>
      </c>
      <c r="R2870" s="26">
        <f>IF($D2870="","",IFERROR(VLOOKUP($D2870,库存台账!$A$5:$Y$1204,11,0),0))</f>
        <v/>
      </c>
      <c r="S2870" s="26">
        <f>IF($D2870="","",ROUND(N($J2870)*N($R2870),0))</f>
        <v/>
      </c>
      <c r="T2870" s="26">
        <f>IF($D2870="","",IF($K2870&lt;&gt;"对外销售","",ROUND($Q2870-$S2870,0)))</f>
        <v/>
      </c>
      <c r="U2870" s="17" t="n"/>
      <c r="V2870" s="17" t="n"/>
      <c r="W2870" s="24">
        <f>IF($D2870="","",IF($E2870="※编码不在物料档案里","※物料编码不在档案里",IF(N($J2870)&lt;=0,"※出库数量要大于 0",IF($K2870="","※没填去向类型",IF($L2870="","※没填去向矿区",IF(AND($C2870&lt;&gt;"",$C2870&lt;=结账锁),"※日期早于已结账截止日，不能再录",IF(AND($K2870="自用消耗",COUNTIF({"一矿区";"二矿区"},$L2870)=0),"※自用消耗的去向只能是一矿区或二矿区",IF(AND($K2870="对外销售",COUNTIF({"三矿区";"六矿区"},$L2870)=0),"※对外销售的去向只能是三矿区或六矿区",IF(AND($K2870="对外销售",ROUND($Q2870,0)=0),"※外销却没有售价，请填实际售价",IF(AND($K2870="对外销售",$T2870&lt;&gt;"",$T2870&lt;0),"※这一笔外销是亏的，请核对售价",IF(IFERROR(VLOOKUP($D2870,库存台账!$A$5:$Y$1204,24,0),0)&lt;-0.001,"※这个物料账面已经变成负数了，查一下是不是漏记入库","")))))))))))</f>
        <v/>
      </c>
    </row>
    <row r="2871">
      <c r="A2871" s="24">
        <f>IF($D2871="","",COUNTA($D$4:$D2871))</f>
        <v/>
      </c>
      <c r="B2871" s="17" t="n"/>
      <c r="C2871" s="30" t="n"/>
      <c r="D2871" s="17" t="n"/>
      <c r="E2871" s="24">
        <f>IF($D2871="","",IFERROR(VLOOKUP($D2871,物料档案!$A$4:$P$1203,3,0),"※编码不在物料档案里"))</f>
        <v/>
      </c>
      <c r="F2871" s="24">
        <f>IF($D2871="","",IFERROR(VLOOKUP($D2871,物料档案!$A$4:$P$1203,4,0),"※编码不在物料档案里"))</f>
        <v/>
      </c>
      <c r="G2871" s="24">
        <f>IF($D2871="","",IFERROR(VLOOKUP($D2871,物料档案!$A$4:$P$1203,5,0),"※编码不在物料档案里"))</f>
        <v/>
      </c>
      <c r="H2871" s="24">
        <f>IF($D2871="","",IFERROR(VLOOKUP($D2871,物料档案!$A$4:$P$1203,2,0),"※编码不在物料档案里"))</f>
        <v/>
      </c>
      <c r="I2871" s="24">
        <f>IF($D2871="","",IFERROR(VLOOKUP($D2871,物料档案!$A$4:$P$1203,6,0),"※编码不在物料档案里"))</f>
        <v/>
      </c>
      <c r="J2871" s="23" t="n"/>
      <c r="K2871" s="17" t="n"/>
      <c r="L2871" s="17" t="n"/>
      <c r="M2871" s="17" t="n"/>
      <c r="N2871" s="17" t="n"/>
      <c r="O2871" s="26">
        <f>IF($D2871="","",IFERROR(VLOOKUP($D2871,物料档案!$A$4:$P$1203,10,0),0))</f>
        <v/>
      </c>
      <c r="P2871" s="32" t="n"/>
      <c r="Q2871" s="26">
        <f>IF($D2871="","",IF($K2871&lt;&gt;"对外销售",0,ROUND(N($J2871)*IF($P2871="",N($O2871),N($P2871)),0)))</f>
        <v/>
      </c>
      <c r="R2871" s="26">
        <f>IF($D2871="","",IFERROR(VLOOKUP($D2871,库存台账!$A$5:$Y$1204,11,0),0))</f>
        <v/>
      </c>
      <c r="S2871" s="26">
        <f>IF($D2871="","",ROUND(N($J2871)*N($R2871),0))</f>
        <v/>
      </c>
      <c r="T2871" s="26">
        <f>IF($D2871="","",IF($K2871&lt;&gt;"对外销售","",ROUND($Q2871-$S2871,0)))</f>
        <v/>
      </c>
      <c r="U2871" s="17" t="n"/>
      <c r="V2871" s="17" t="n"/>
      <c r="W2871" s="24">
        <f>IF($D2871="","",IF($E2871="※编码不在物料档案里","※物料编码不在档案里",IF(N($J2871)&lt;=0,"※出库数量要大于 0",IF($K2871="","※没填去向类型",IF($L2871="","※没填去向矿区",IF(AND($C2871&lt;&gt;"",$C2871&lt;=结账锁),"※日期早于已结账截止日，不能再录",IF(AND($K2871="自用消耗",COUNTIF({"一矿区";"二矿区"},$L2871)=0),"※自用消耗的去向只能是一矿区或二矿区",IF(AND($K2871="对外销售",COUNTIF({"三矿区";"六矿区"},$L2871)=0),"※对外销售的去向只能是三矿区或六矿区",IF(AND($K2871="对外销售",ROUND($Q2871,0)=0),"※外销却没有售价，请填实际售价",IF(AND($K2871="对外销售",$T2871&lt;&gt;"",$T2871&lt;0),"※这一笔外销是亏的，请核对售价",IF(IFERROR(VLOOKUP($D2871,库存台账!$A$5:$Y$1204,24,0),0)&lt;-0.001,"※这个物料账面已经变成负数了，查一下是不是漏记入库","")))))))))))</f>
        <v/>
      </c>
    </row>
    <row r="2872">
      <c r="A2872" s="24">
        <f>IF($D2872="","",COUNTA($D$4:$D2872))</f>
        <v/>
      </c>
      <c r="B2872" s="17" t="n"/>
      <c r="C2872" s="30" t="n"/>
      <c r="D2872" s="17" t="n"/>
      <c r="E2872" s="24">
        <f>IF($D2872="","",IFERROR(VLOOKUP($D2872,物料档案!$A$4:$P$1203,3,0),"※编码不在物料档案里"))</f>
        <v/>
      </c>
      <c r="F2872" s="24">
        <f>IF($D2872="","",IFERROR(VLOOKUP($D2872,物料档案!$A$4:$P$1203,4,0),"※编码不在物料档案里"))</f>
        <v/>
      </c>
      <c r="G2872" s="24">
        <f>IF($D2872="","",IFERROR(VLOOKUP($D2872,物料档案!$A$4:$P$1203,5,0),"※编码不在物料档案里"))</f>
        <v/>
      </c>
      <c r="H2872" s="24">
        <f>IF($D2872="","",IFERROR(VLOOKUP($D2872,物料档案!$A$4:$P$1203,2,0),"※编码不在物料档案里"))</f>
        <v/>
      </c>
      <c r="I2872" s="24">
        <f>IF($D2872="","",IFERROR(VLOOKUP($D2872,物料档案!$A$4:$P$1203,6,0),"※编码不在物料档案里"))</f>
        <v/>
      </c>
      <c r="J2872" s="23" t="n"/>
      <c r="K2872" s="17" t="n"/>
      <c r="L2872" s="17" t="n"/>
      <c r="M2872" s="17" t="n"/>
      <c r="N2872" s="17" t="n"/>
      <c r="O2872" s="26">
        <f>IF($D2872="","",IFERROR(VLOOKUP($D2872,物料档案!$A$4:$P$1203,10,0),0))</f>
        <v/>
      </c>
      <c r="P2872" s="32" t="n"/>
      <c r="Q2872" s="26">
        <f>IF($D2872="","",IF($K2872&lt;&gt;"对外销售",0,ROUND(N($J2872)*IF($P2872="",N($O2872),N($P2872)),0)))</f>
        <v/>
      </c>
      <c r="R2872" s="26">
        <f>IF($D2872="","",IFERROR(VLOOKUP($D2872,库存台账!$A$5:$Y$1204,11,0),0))</f>
        <v/>
      </c>
      <c r="S2872" s="26">
        <f>IF($D2872="","",ROUND(N($J2872)*N($R2872),0))</f>
        <v/>
      </c>
      <c r="T2872" s="26">
        <f>IF($D2872="","",IF($K2872&lt;&gt;"对外销售","",ROUND($Q2872-$S2872,0)))</f>
        <v/>
      </c>
      <c r="U2872" s="17" t="n"/>
      <c r="V2872" s="17" t="n"/>
      <c r="W2872" s="24">
        <f>IF($D2872="","",IF($E2872="※编码不在物料档案里","※物料编码不在档案里",IF(N($J2872)&lt;=0,"※出库数量要大于 0",IF($K2872="","※没填去向类型",IF($L2872="","※没填去向矿区",IF(AND($C2872&lt;&gt;"",$C2872&lt;=结账锁),"※日期早于已结账截止日，不能再录",IF(AND($K2872="自用消耗",COUNTIF({"一矿区";"二矿区"},$L2872)=0),"※自用消耗的去向只能是一矿区或二矿区",IF(AND($K2872="对外销售",COUNTIF({"三矿区";"六矿区"},$L2872)=0),"※对外销售的去向只能是三矿区或六矿区",IF(AND($K2872="对外销售",ROUND($Q2872,0)=0),"※外销却没有售价，请填实际售价",IF(AND($K2872="对外销售",$T2872&lt;&gt;"",$T2872&lt;0),"※这一笔外销是亏的，请核对售价",IF(IFERROR(VLOOKUP($D2872,库存台账!$A$5:$Y$1204,24,0),0)&lt;-0.001,"※这个物料账面已经变成负数了，查一下是不是漏记入库","")))))))))))</f>
        <v/>
      </c>
    </row>
    <row r="2873">
      <c r="A2873" s="24">
        <f>IF($D2873="","",COUNTA($D$4:$D2873))</f>
        <v/>
      </c>
      <c r="B2873" s="17" t="n"/>
      <c r="C2873" s="30" t="n"/>
      <c r="D2873" s="17" t="n"/>
      <c r="E2873" s="24">
        <f>IF($D2873="","",IFERROR(VLOOKUP($D2873,物料档案!$A$4:$P$1203,3,0),"※编码不在物料档案里"))</f>
        <v/>
      </c>
      <c r="F2873" s="24">
        <f>IF($D2873="","",IFERROR(VLOOKUP($D2873,物料档案!$A$4:$P$1203,4,0),"※编码不在物料档案里"))</f>
        <v/>
      </c>
      <c r="G2873" s="24">
        <f>IF($D2873="","",IFERROR(VLOOKUP($D2873,物料档案!$A$4:$P$1203,5,0),"※编码不在物料档案里"))</f>
        <v/>
      </c>
      <c r="H2873" s="24">
        <f>IF($D2873="","",IFERROR(VLOOKUP($D2873,物料档案!$A$4:$P$1203,2,0),"※编码不在物料档案里"))</f>
        <v/>
      </c>
      <c r="I2873" s="24">
        <f>IF($D2873="","",IFERROR(VLOOKUP($D2873,物料档案!$A$4:$P$1203,6,0),"※编码不在物料档案里"))</f>
        <v/>
      </c>
      <c r="J2873" s="23" t="n"/>
      <c r="K2873" s="17" t="n"/>
      <c r="L2873" s="17" t="n"/>
      <c r="M2873" s="17" t="n"/>
      <c r="N2873" s="17" t="n"/>
      <c r="O2873" s="26">
        <f>IF($D2873="","",IFERROR(VLOOKUP($D2873,物料档案!$A$4:$P$1203,10,0),0))</f>
        <v/>
      </c>
      <c r="P2873" s="32" t="n"/>
      <c r="Q2873" s="26">
        <f>IF($D2873="","",IF($K2873&lt;&gt;"对外销售",0,ROUND(N($J2873)*IF($P2873="",N($O2873),N($P2873)),0)))</f>
        <v/>
      </c>
      <c r="R2873" s="26">
        <f>IF($D2873="","",IFERROR(VLOOKUP($D2873,库存台账!$A$5:$Y$1204,11,0),0))</f>
        <v/>
      </c>
      <c r="S2873" s="26">
        <f>IF($D2873="","",ROUND(N($J2873)*N($R2873),0))</f>
        <v/>
      </c>
      <c r="T2873" s="26">
        <f>IF($D2873="","",IF($K2873&lt;&gt;"对外销售","",ROUND($Q2873-$S2873,0)))</f>
        <v/>
      </c>
      <c r="U2873" s="17" t="n"/>
      <c r="V2873" s="17" t="n"/>
      <c r="W2873" s="24">
        <f>IF($D2873="","",IF($E2873="※编码不在物料档案里","※物料编码不在档案里",IF(N($J2873)&lt;=0,"※出库数量要大于 0",IF($K2873="","※没填去向类型",IF($L2873="","※没填去向矿区",IF(AND($C2873&lt;&gt;"",$C2873&lt;=结账锁),"※日期早于已结账截止日，不能再录",IF(AND($K2873="自用消耗",COUNTIF({"一矿区";"二矿区"},$L2873)=0),"※自用消耗的去向只能是一矿区或二矿区",IF(AND($K2873="对外销售",COUNTIF({"三矿区";"六矿区"},$L2873)=0),"※对外销售的去向只能是三矿区或六矿区",IF(AND($K2873="对外销售",ROUND($Q2873,0)=0),"※外销却没有售价，请填实际售价",IF(AND($K2873="对外销售",$T2873&lt;&gt;"",$T2873&lt;0),"※这一笔外销是亏的，请核对售价",IF(IFERROR(VLOOKUP($D2873,库存台账!$A$5:$Y$1204,24,0),0)&lt;-0.001,"※这个物料账面已经变成负数了，查一下是不是漏记入库","")))))))))))</f>
        <v/>
      </c>
    </row>
    <row r="2874">
      <c r="A2874" s="24">
        <f>IF($D2874="","",COUNTA($D$4:$D2874))</f>
        <v/>
      </c>
      <c r="B2874" s="17" t="n"/>
      <c r="C2874" s="30" t="n"/>
      <c r="D2874" s="17" t="n"/>
      <c r="E2874" s="24">
        <f>IF($D2874="","",IFERROR(VLOOKUP($D2874,物料档案!$A$4:$P$1203,3,0),"※编码不在物料档案里"))</f>
        <v/>
      </c>
      <c r="F2874" s="24">
        <f>IF($D2874="","",IFERROR(VLOOKUP($D2874,物料档案!$A$4:$P$1203,4,0),"※编码不在物料档案里"))</f>
        <v/>
      </c>
      <c r="G2874" s="24">
        <f>IF($D2874="","",IFERROR(VLOOKUP($D2874,物料档案!$A$4:$P$1203,5,0),"※编码不在物料档案里"))</f>
        <v/>
      </c>
      <c r="H2874" s="24">
        <f>IF($D2874="","",IFERROR(VLOOKUP($D2874,物料档案!$A$4:$P$1203,2,0),"※编码不在物料档案里"))</f>
        <v/>
      </c>
      <c r="I2874" s="24">
        <f>IF($D2874="","",IFERROR(VLOOKUP($D2874,物料档案!$A$4:$P$1203,6,0),"※编码不在物料档案里"))</f>
        <v/>
      </c>
      <c r="J2874" s="23" t="n"/>
      <c r="K2874" s="17" t="n"/>
      <c r="L2874" s="17" t="n"/>
      <c r="M2874" s="17" t="n"/>
      <c r="N2874" s="17" t="n"/>
      <c r="O2874" s="26">
        <f>IF($D2874="","",IFERROR(VLOOKUP($D2874,物料档案!$A$4:$P$1203,10,0),0))</f>
        <v/>
      </c>
      <c r="P2874" s="32" t="n"/>
      <c r="Q2874" s="26">
        <f>IF($D2874="","",IF($K2874&lt;&gt;"对外销售",0,ROUND(N($J2874)*IF($P2874="",N($O2874),N($P2874)),0)))</f>
        <v/>
      </c>
      <c r="R2874" s="26">
        <f>IF($D2874="","",IFERROR(VLOOKUP($D2874,库存台账!$A$5:$Y$1204,11,0),0))</f>
        <v/>
      </c>
      <c r="S2874" s="26">
        <f>IF($D2874="","",ROUND(N($J2874)*N($R2874),0))</f>
        <v/>
      </c>
      <c r="T2874" s="26">
        <f>IF($D2874="","",IF($K2874&lt;&gt;"对外销售","",ROUND($Q2874-$S2874,0)))</f>
        <v/>
      </c>
      <c r="U2874" s="17" t="n"/>
      <c r="V2874" s="17" t="n"/>
      <c r="W2874" s="24">
        <f>IF($D2874="","",IF($E2874="※编码不在物料档案里","※物料编码不在档案里",IF(N($J2874)&lt;=0,"※出库数量要大于 0",IF($K2874="","※没填去向类型",IF($L2874="","※没填去向矿区",IF(AND($C2874&lt;&gt;"",$C2874&lt;=结账锁),"※日期早于已结账截止日，不能再录",IF(AND($K2874="自用消耗",COUNTIF({"一矿区";"二矿区"},$L2874)=0),"※自用消耗的去向只能是一矿区或二矿区",IF(AND($K2874="对外销售",COUNTIF({"三矿区";"六矿区"},$L2874)=0),"※对外销售的去向只能是三矿区或六矿区",IF(AND($K2874="对外销售",ROUND($Q2874,0)=0),"※外销却没有售价，请填实际售价",IF(AND($K2874="对外销售",$T2874&lt;&gt;"",$T2874&lt;0),"※这一笔外销是亏的，请核对售价",IF(IFERROR(VLOOKUP($D2874,库存台账!$A$5:$Y$1204,24,0),0)&lt;-0.001,"※这个物料账面已经变成负数了，查一下是不是漏记入库","")))))))))))</f>
        <v/>
      </c>
    </row>
    <row r="2875">
      <c r="A2875" s="24">
        <f>IF($D2875="","",COUNTA($D$4:$D2875))</f>
        <v/>
      </c>
      <c r="B2875" s="17" t="n"/>
      <c r="C2875" s="30" t="n"/>
      <c r="D2875" s="17" t="n"/>
      <c r="E2875" s="24">
        <f>IF($D2875="","",IFERROR(VLOOKUP($D2875,物料档案!$A$4:$P$1203,3,0),"※编码不在物料档案里"))</f>
        <v/>
      </c>
      <c r="F2875" s="24">
        <f>IF($D2875="","",IFERROR(VLOOKUP($D2875,物料档案!$A$4:$P$1203,4,0),"※编码不在物料档案里"))</f>
        <v/>
      </c>
      <c r="G2875" s="24">
        <f>IF($D2875="","",IFERROR(VLOOKUP($D2875,物料档案!$A$4:$P$1203,5,0),"※编码不在物料档案里"))</f>
        <v/>
      </c>
      <c r="H2875" s="24">
        <f>IF($D2875="","",IFERROR(VLOOKUP($D2875,物料档案!$A$4:$P$1203,2,0),"※编码不在物料档案里"))</f>
        <v/>
      </c>
      <c r="I2875" s="24">
        <f>IF($D2875="","",IFERROR(VLOOKUP($D2875,物料档案!$A$4:$P$1203,6,0),"※编码不在物料档案里"))</f>
        <v/>
      </c>
      <c r="J2875" s="23" t="n"/>
      <c r="K2875" s="17" t="n"/>
      <c r="L2875" s="17" t="n"/>
      <c r="M2875" s="17" t="n"/>
      <c r="N2875" s="17" t="n"/>
      <c r="O2875" s="26">
        <f>IF($D2875="","",IFERROR(VLOOKUP($D2875,物料档案!$A$4:$P$1203,10,0),0))</f>
        <v/>
      </c>
      <c r="P2875" s="32" t="n"/>
      <c r="Q2875" s="26">
        <f>IF($D2875="","",IF($K2875&lt;&gt;"对外销售",0,ROUND(N($J2875)*IF($P2875="",N($O2875),N($P2875)),0)))</f>
        <v/>
      </c>
      <c r="R2875" s="26">
        <f>IF($D2875="","",IFERROR(VLOOKUP($D2875,库存台账!$A$5:$Y$1204,11,0),0))</f>
        <v/>
      </c>
      <c r="S2875" s="26">
        <f>IF($D2875="","",ROUND(N($J2875)*N($R2875),0))</f>
        <v/>
      </c>
      <c r="T2875" s="26">
        <f>IF($D2875="","",IF($K2875&lt;&gt;"对外销售","",ROUND($Q2875-$S2875,0)))</f>
        <v/>
      </c>
      <c r="U2875" s="17" t="n"/>
      <c r="V2875" s="17" t="n"/>
      <c r="W2875" s="24">
        <f>IF($D2875="","",IF($E2875="※编码不在物料档案里","※物料编码不在档案里",IF(N($J2875)&lt;=0,"※出库数量要大于 0",IF($K2875="","※没填去向类型",IF($L2875="","※没填去向矿区",IF(AND($C2875&lt;&gt;"",$C2875&lt;=结账锁),"※日期早于已结账截止日，不能再录",IF(AND($K2875="自用消耗",COUNTIF({"一矿区";"二矿区"},$L2875)=0),"※自用消耗的去向只能是一矿区或二矿区",IF(AND($K2875="对外销售",COUNTIF({"三矿区";"六矿区"},$L2875)=0),"※对外销售的去向只能是三矿区或六矿区",IF(AND($K2875="对外销售",ROUND($Q2875,0)=0),"※外销却没有售价，请填实际售价",IF(AND($K2875="对外销售",$T2875&lt;&gt;"",$T2875&lt;0),"※这一笔外销是亏的，请核对售价",IF(IFERROR(VLOOKUP($D2875,库存台账!$A$5:$Y$1204,24,0),0)&lt;-0.001,"※这个物料账面已经变成负数了，查一下是不是漏记入库","")))))))))))</f>
        <v/>
      </c>
    </row>
    <row r="2876">
      <c r="A2876" s="24">
        <f>IF($D2876="","",COUNTA($D$4:$D2876))</f>
        <v/>
      </c>
      <c r="B2876" s="17" t="n"/>
      <c r="C2876" s="30" t="n"/>
      <c r="D2876" s="17" t="n"/>
      <c r="E2876" s="24">
        <f>IF($D2876="","",IFERROR(VLOOKUP($D2876,物料档案!$A$4:$P$1203,3,0),"※编码不在物料档案里"))</f>
        <v/>
      </c>
      <c r="F2876" s="24">
        <f>IF($D2876="","",IFERROR(VLOOKUP($D2876,物料档案!$A$4:$P$1203,4,0),"※编码不在物料档案里"))</f>
        <v/>
      </c>
      <c r="G2876" s="24">
        <f>IF($D2876="","",IFERROR(VLOOKUP($D2876,物料档案!$A$4:$P$1203,5,0),"※编码不在物料档案里"))</f>
        <v/>
      </c>
      <c r="H2876" s="24">
        <f>IF($D2876="","",IFERROR(VLOOKUP($D2876,物料档案!$A$4:$P$1203,2,0),"※编码不在物料档案里"))</f>
        <v/>
      </c>
      <c r="I2876" s="24">
        <f>IF($D2876="","",IFERROR(VLOOKUP($D2876,物料档案!$A$4:$P$1203,6,0),"※编码不在物料档案里"))</f>
        <v/>
      </c>
      <c r="J2876" s="23" t="n"/>
      <c r="K2876" s="17" t="n"/>
      <c r="L2876" s="17" t="n"/>
      <c r="M2876" s="17" t="n"/>
      <c r="N2876" s="17" t="n"/>
      <c r="O2876" s="26">
        <f>IF($D2876="","",IFERROR(VLOOKUP($D2876,物料档案!$A$4:$P$1203,10,0),0))</f>
        <v/>
      </c>
      <c r="P2876" s="32" t="n"/>
      <c r="Q2876" s="26">
        <f>IF($D2876="","",IF($K2876&lt;&gt;"对外销售",0,ROUND(N($J2876)*IF($P2876="",N($O2876),N($P2876)),0)))</f>
        <v/>
      </c>
      <c r="R2876" s="26">
        <f>IF($D2876="","",IFERROR(VLOOKUP($D2876,库存台账!$A$5:$Y$1204,11,0),0))</f>
        <v/>
      </c>
      <c r="S2876" s="26">
        <f>IF($D2876="","",ROUND(N($J2876)*N($R2876),0))</f>
        <v/>
      </c>
      <c r="T2876" s="26">
        <f>IF($D2876="","",IF($K2876&lt;&gt;"对外销售","",ROUND($Q2876-$S2876,0)))</f>
        <v/>
      </c>
      <c r="U2876" s="17" t="n"/>
      <c r="V2876" s="17" t="n"/>
      <c r="W2876" s="24">
        <f>IF($D2876="","",IF($E2876="※编码不在物料档案里","※物料编码不在档案里",IF(N($J2876)&lt;=0,"※出库数量要大于 0",IF($K2876="","※没填去向类型",IF($L2876="","※没填去向矿区",IF(AND($C2876&lt;&gt;"",$C2876&lt;=结账锁),"※日期早于已结账截止日，不能再录",IF(AND($K2876="自用消耗",COUNTIF({"一矿区";"二矿区"},$L2876)=0),"※自用消耗的去向只能是一矿区或二矿区",IF(AND($K2876="对外销售",COUNTIF({"三矿区";"六矿区"},$L2876)=0),"※对外销售的去向只能是三矿区或六矿区",IF(AND($K2876="对外销售",ROUND($Q2876,0)=0),"※外销却没有售价，请填实际售价",IF(AND($K2876="对外销售",$T2876&lt;&gt;"",$T2876&lt;0),"※这一笔外销是亏的，请核对售价",IF(IFERROR(VLOOKUP($D2876,库存台账!$A$5:$Y$1204,24,0),0)&lt;-0.001,"※这个物料账面已经变成负数了，查一下是不是漏记入库","")))))))))))</f>
        <v/>
      </c>
    </row>
    <row r="2877">
      <c r="A2877" s="24">
        <f>IF($D2877="","",COUNTA($D$4:$D2877))</f>
        <v/>
      </c>
      <c r="B2877" s="17" t="n"/>
      <c r="C2877" s="30" t="n"/>
      <c r="D2877" s="17" t="n"/>
      <c r="E2877" s="24">
        <f>IF($D2877="","",IFERROR(VLOOKUP($D2877,物料档案!$A$4:$P$1203,3,0),"※编码不在物料档案里"))</f>
        <v/>
      </c>
      <c r="F2877" s="24">
        <f>IF($D2877="","",IFERROR(VLOOKUP($D2877,物料档案!$A$4:$P$1203,4,0),"※编码不在物料档案里"))</f>
        <v/>
      </c>
      <c r="G2877" s="24">
        <f>IF($D2877="","",IFERROR(VLOOKUP($D2877,物料档案!$A$4:$P$1203,5,0),"※编码不在物料档案里"))</f>
        <v/>
      </c>
      <c r="H2877" s="24">
        <f>IF($D2877="","",IFERROR(VLOOKUP($D2877,物料档案!$A$4:$P$1203,2,0),"※编码不在物料档案里"))</f>
        <v/>
      </c>
      <c r="I2877" s="24">
        <f>IF($D2877="","",IFERROR(VLOOKUP($D2877,物料档案!$A$4:$P$1203,6,0),"※编码不在物料档案里"))</f>
        <v/>
      </c>
      <c r="J2877" s="23" t="n"/>
      <c r="K2877" s="17" t="n"/>
      <c r="L2877" s="17" t="n"/>
      <c r="M2877" s="17" t="n"/>
      <c r="N2877" s="17" t="n"/>
      <c r="O2877" s="26">
        <f>IF($D2877="","",IFERROR(VLOOKUP($D2877,物料档案!$A$4:$P$1203,10,0),0))</f>
        <v/>
      </c>
      <c r="P2877" s="32" t="n"/>
      <c r="Q2877" s="26">
        <f>IF($D2877="","",IF($K2877&lt;&gt;"对外销售",0,ROUND(N($J2877)*IF($P2877="",N($O2877),N($P2877)),0)))</f>
        <v/>
      </c>
      <c r="R2877" s="26">
        <f>IF($D2877="","",IFERROR(VLOOKUP($D2877,库存台账!$A$5:$Y$1204,11,0),0))</f>
        <v/>
      </c>
      <c r="S2877" s="26">
        <f>IF($D2877="","",ROUND(N($J2877)*N($R2877),0))</f>
        <v/>
      </c>
      <c r="T2877" s="26">
        <f>IF($D2877="","",IF($K2877&lt;&gt;"对外销售","",ROUND($Q2877-$S2877,0)))</f>
        <v/>
      </c>
      <c r="U2877" s="17" t="n"/>
      <c r="V2877" s="17" t="n"/>
      <c r="W2877" s="24">
        <f>IF($D2877="","",IF($E2877="※编码不在物料档案里","※物料编码不在档案里",IF(N($J2877)&lt;=0,"※出库数量要大于 0",IF($K2877="","※没填去向类型",IF($L2877="","※没填去向矿区",IF(AND($C2877&lt;&gt;"",$C2877&lt;=结账锁),"※日期早于已结账截止日，不能再录",IF(AND($K2877="自用消耗",COUNTIF({"一矿区";"二矿区"},$L2877)=0),"※自用消耗的去向只能是一矿区或二矿区",IF(AND($K2877="对外销售",COUNTIF({"三矿区";"六矿区"},$L2877)=0),"※对外销售的去向只能是三矿区或六矿区",IF(AND($K2877="对外销售",ROUND($Q2877,0)=0),"※外销却没有售价，请填实际售价",IF(AND($K2877="对外销售",$T2877&lt;&gt;"",$T2877&lt;0),"※这一笔外销是亏的，请核对售价",IF(IFERROR(VLOOKUP($D2877,库存台账!$A$5:$Y$1204,24,0),0)&lt;-0.001,"※这个物料账面已经变成负数了，查一下是不是漏记入库","")))))))))))</f>
        <v/>
      </c>
    </row>
    <row r="2878">
      <c r="A2878" s="24">
        <f>IF($D2878="","",COUNTA($D$4:$D2878))</f>
        <v/>
      </c>
      <c r="B2878" s="17" t="n"/>
      <c r="C2878" s="30" t="n"/>
      <c r="D2878" s="17" t="n"/>
      <c r="E2878" s="24">
        <f>IF($D2878="","",IFERROR(VLOOKUP($D2878,物料档案!$A$4:$P$1203,3,0),"※编码不在物料档案里"))</f>
        <v/>
      </c>
      <c r="F2878" s="24">
        <f>IF($D2878="","",IFERROR(VLOOKUP($D2878,物料档案!$A$4:$P$1203,4,0),"※编码不在物料档案里"))</f>
        <v/>
      </c>
      <c r="G2878" s="24">
        <f>IF($D2878="","",IFERROR(VLOOKUP($D2878,物料档案!$A$4:$P$1203,5,0),"※编码不在物料档案里"))</f>
        <v/>
      </c>
      <c r="H2878" s="24">
        <f>IF($D2878="","",IFERROR(VLOOKUP($D2878,物料档案!$A$4:$P$1203,2,0),"※编码不在物料档案里"))</f>
        <v/>
      </c>
      <c r="I2878" s="24">
        <f>IF($D2878="","",IFERROR(VLOOKUP($D2878,物料档案!$A$4:$P$1203,6,0),"※编码不在物料档案里"))</f>
        <v/>
      </c>
      <c r="J2878" s="23" t="n"/>
      <c r="K2878" s="17" t="n"/>
      <c r="L2878" s="17" t="n"/>
      <c r="M2878" s="17" t="n"/>
      <c r="N2878" s="17" t="n"/>
      <c r="O2878" s="26">
        <f>IF($D2878="","",IFERROR(VLOOKUP($D2878,物料档案!$A$4:$P$1203,10,0),0))</f>
        <v/>
      </c>
      <c r="P2878" s="32" t="n"/>
      <c r="Q2878" s="26">
        <f>IF($D2878="","",IF($K2878&lt;&gt;"对外销售",0,ROUND(N($J2878)*IF($P2878="",N($O2878),N($P2878)),0)))</f>
        <v/>
      </c>
      <c r="R2878" s="26">
        <f>IF($D2878="","",IFERROR(VLOOKUP($D2878,库存台账!$A$5:$Y$1204,11,0),0))</f>
        <v/>
      </c>
      <c r="S2878" s="26">
        <f>IF($D2878="","",ROUND(N($J2878)*N($R2878),0))</f>
        <v/>
      </c>
      <c r="T2878" s="26">
        <f>IF($D2878="","",IF($K2878&lt;&gt;"对外销售","",ROUND($Q2878-$S2878,0)))</f>
        <v/>
      </c>
      <c r="U2878" s="17" t="n"/>
      <c r="V2878" s="17" t="n"/>
      <c r="W2878" s="24">
        <f>IF($D2878="","",IF($E2878="※编码不在物料档案里","※物料编码不在档案里",IF(N($J2878)&lt;=0,"※出库数量要大于 0",IF($K2878="","※没填去向类型",IF($L2878="","※没填去向矿区",IF(AND($C2878&lt;&gt;"",$C2878&lt;=结账锁),"※日期早于已结账截止日，不能再录",IF(AND($K2878="自用消耗",COUNTIF({"一矿区";"二矿区"},$L2878)=0),"※自用消耗的去向只能是一矿区或二矿区",IF(AND($K2878="对外销售",COUNTIF({"三矿区";"六矿区"},$L2878)=0),"※对外销售的去向只能是三矿区或六矿区",IF(AND($K2878="对外销售",ROUND($Q2878,0)=0),"※外销却没有售价，请填实际售价",IF(AND($K2878="对外销售",$T2878&lt;&gt;"",$T2878&lt;0),"※这一笔外销是亏的，请核对售价",IF(IFERROR(VLOOKUP($D2878,库存台账!$A$5:$Y$1204,24,0),0)&lt;-0.001,"※这个物料账面已经变成负数了，查一下是不是漏记入库","")))))))))))</f>
        <v/>
      </c>
    </row>
    <row r="2879">
      <c r="A2879" s="24">
        <f>IF($D2879="","",COUNTA($D$4:$D2879))</f>
        <v/>
      </c>
      <c r="B2879" s="17" t="n"/>
      <c r="C2879" s="30" t="n"/>
      <c r="D2879" s="17" t="n"/>
      <c r="E2879" s="24">
        <f>IF($D2879="","",IFERROR(VLOOKUP($D2879,物料档案!$A$4:$P$1203,3,0),"※编码不在物料档案里"))</f>
        <v/>
      </c>
      <c r="F2879" s="24">
        <f>IF($D2879="","",IFERROR(VLOOKUP($D2879,物料档案!$A$4:$P$1203,4,0),"※编码不在物料档案里"))</f>
        <v/>
      </c>
      <c r="G2879" s="24">
        <f>IF($D2879="","",IFERROR(VLOOKUP($D2879,物料档案!$A$4:$P$1203,5,0),"※编码不在物料档案里"))</f>
        <v/>
      </c>
      <c r="H2879" s="24">
        <f>IF($D2879="","",IFERROR(VLOOKUP($D2879,物料档案!$A$4:$P$1203,2,0),"※编码不在物料档案里"))</f>
        <v/>
      </c>
      <c r="I2879" s="24">
        <f>IF($D2879="","",IFERROR(VLOOKUP($D2879,物料档案!$A$4:$P$1203,6,0),"※编码不在物料档案里"))</f>
        <v/>
      </c>
      <c r="J2879" s="23" t="n"/>
      <c r="K2879" s="17" t="n"/>
      <c r="L2879" s="17" t="n"/>
      <c r="M2879" s="17" t="n"/>
      <c r="N2879" s="17" t="n"/>
      <c r="O2879" s="26">
        <f>IF($D2879="","",IFERROR(VLOOKUP($D2879,物料档案!$A$4:$P$1203,10,0),0))</f>
        <v/>
      </c>
      <c r="P2879" s="32" t="n"/>
      <c r="Q2879" s="26">
        <f>IF($D2879="","",IF($K2879&lt;&gt;"对外销售",0,ROUND(N($J2879)*IF($P2879="",N($O2879),N($P2879)),0)))</f>
        <v/>
      </c>
      <c r="R2879" s="26">
        <f>IF($D2879="","",IFERROR(VLOOKUP($D2879,库存台账!$A$5:$Y$1204,11,0),0))</f>
        <v/>
      </c>
      <c r="S2879" s="26">
        <f>IF($D2879="","",ROUND(N($J2879)*N($R2879),0))</f>
        <v/>
      </c>
      <c r="T2879" s="26">
        <f>IF($D2879="","",IF($K2879&lt;&gt;"对外销售","",ROUND($Q2879-$S2879,0)))</f>
        <v/>
      </c>
      <c r="U2879" s="17" t="n"/>
      <c r="V2879" s="17" t="n"/>
      <c r="W2879" s="24">
        <f>IF($D2879="","",IF($E2879="※编码不在物料档案里","※物料编码不在档案里",IF(N($J2879)&lt;=0,"※出库数量要大于 0",IF($K2879="","※没填去向类型",IF($L2879="","※没填去向矿区",IF(AND($C2879&lt;&gt;"",$C2879&lt;=结账锁),"※日期早于已结账截止日，不能再录",IF(AND($K2879="自用消耗",COUNTIF({"一矿区";"二矿区"},$L2879)=0),"※自用消耗的去向只能是一矿区或二矿区",IF(AND($K2879="对外销售",COUNTIF({"三矿区";"六矿区"},$L2879)=0),"※对外销售的去向只能是三矿区或六矿区",IF(AND($K2879="对外销售",ROUND($Q2879,0)=0),"※外销却没有售价，请填实际售价",IF(AND($K2879="对外销售",$T2879&lt;&gt;"",$T2879&lt;0),"※这一笔外销是亏的，请核对售价",IF(IFERROR(VLOOKUP($D2879,库存台账!$A$5:$Y$1204,24,0),0)&lt;-0.001,"※这个物料账面已经变成负数了，查一下是不是漏记入库","")))))))))))</f>
        <v/>
      </c>
    </row>
    <row r="2880">
      <c r="A2880" s="24">
        <f>IF($D2880="","",COUNTA($D$4:$D2880))</f>
        <v/>
      </c>
      <c r="B2880" s="17" t="n"/>
      <c r="C2880" s="30" t="n"/>
      <c r="D2880" s="17" t="n"/>
      <c r="E2880" s="24">
        <f>IF($D2880="","",IFERROR(VLOOKUP($D2880,物料档案!$A$4:$P$1203,3,0),"※编码不在物料档案里"))</f>
        <v/>
      </c>
      <c r="F2880" s="24">
        <f>IF($D2880="","",IFERROR(VLOOKUP($D2880,物料档案!$A$4:$P$1203,4,0),"※编码不在物料档案里"))</f>
        <v/>
      </c>
      <c r="G2880" s="24">
        <f>IF($D2880="","",IFERROR(VLOOKUP($D2880,物料档案!$A$4:$P$1203,5,0),"※编码不在物料档案里"))</f>
        <v/>
      </c>
      <c r="H2880" s="24">
        <f>IF($D2880="","",IFERROR(VLOOKUP($D2880,物料档案!$A$4:$P$1203,2,0),"※编码不在物料档案里"))</f>
        <v/>
      </c>
      <c r="I2880" s="24">
        <f>IF($D2880="","",IFERROR(VLOOKUP($D2880,物料档案!$A$4:$P$1203,6,0),"※编码不在物料档案里"))</f>
        <v/>
      </c>
      <c r="J2880" s="23" t="n"/>
      <c r="K2880" s="17" t="n"/>
      <c r="L2880" s="17" t="n"/>
      <c r="M2880" s="17" t="n"/>
      <c r="N2880" s="17" t="n"/>
      <c r="O2880" s="26">
        <f>IF($D2880="","",IFERROR(VLOOKUP($D2880,物料档案!$A$4:$P$1203,10,0),0))</f>
        <v/>
      </c>
      <c r="P2880" s="32" t="n"/>
      <c r="Q2880" s="26">
        <f>IF($D2880="","",IF($K2880&lt;&gt;"对外销售",0,ROUND(N($J2880)*IF($P2880="",N($O2880),N($P2880)),0)))</f>
        <v/>
      </c>
      <c r="R2880" s="26">
        <f>IF($D2880="","",IFERROR(VLOOKUP($D2880,库存台账!$A$5:$Y$1204,11,0),0))</f>
        <v/>
      </c>
      <c r="S2880" s="26">
        <f>IF($D2880="","",ROUND(N($J2880)*N($R2880),0))</f>
        <v/>
      </c>
      <c r="T2880" s="26">
        <f>IF($D2880="","",IF($K2880&lt;&gt;"对外销售","",ROUND($Q2880-$S2880,0)))</f>
        <v/>
      </c>
      <c r="U2880" s="17" t="n"/>
      <c r="V2880" s="17" t="n"/>
      <c r="W2880" s="24">
        <f>IF($D2880="","",IF($E2880="※编码不在物料档案里","※物料编码不在档案里",IF(N($J2880)&lt;=0,"※出库数量要大于 0",IF($K2880="","※没填去向类型",IF($L2880="","※没填去向矿区",IF(AND($C2880&lt;&gt;"",$C2880&lt;=结账锁),"※日期早于已结账截止日，不能再录",IF(AND($K2880="自用消耗",COUNTIF({"一矿区";"二矿区"},$L2880)=0),"※自用消耗的去向只能是一矿区或二矿区",IF(AND($K2880="对外销售",COUNTIF({"三矿区";"六矿区"},$L2880)=0),"※对外销售的去向只能是三矿区或六矿区",IF(AND($K2880="对外销售",ROUND($Q2880,0)=0),"※外销却没有售价，请填实际售价",IF(AND($K2880="对外销售",$T2880&lt;&gt;"",$T2880&lt;0),"※这一笔外销是亏的，请核对售价",IF(IFERROR(VLOOKUP($D2880,库存台账!$A$5:$Y$1204,24,0),0)&lt;-0.001,"※这个物料账面已经变成负数了，查一下是不是漏记入库","")))))))))))</f>
        <v/>
      </c>
    </row>
    <row r="2881">
      <c r="A2881" s="24">
        <f>IF($D2881="","",COUNTA($D$4:$D2881))</f>
        <v/>
      </c>
      <c r="B2881" s="17" t="n"/>
      <c r="C2881" s="30" t="n"/>
      <c r="D2881" s="17" t="n"/>
      <c r="E2881" s="24">
        <f>IF($D2881="","",IFERROR(VLOOKUP($D2881,物料档案!$A$4:$P$1203,3,0),"※编码不在物料档案里"))</f>
        <v/>
      </c>
      <c r="F2881" s="24">
        <f>IF($D2881="","",IFERROR(VLOOKUP($D2881,物料档案!$A$4:$P$1203,4,0),"※编码不在物料档案里"))</f>
        <v/>
      </c>
      <c r="G2881" s="24">
        <f>IF($D2881="","",IFERROR(VLOOKUP($D2881,物料档案!$A$4:$P$1203,5,0),"※编码不在物料档案里"))</f>
        <v/>
      </c>
      <c r="H2881" s="24">
        <f>IF($D2881="","",IFERROR(VLOOKUP($D2881,物料档案!$A$4:$P$1203,2,0),"※编码不在物料档案里"))</f>
        <v/>
      </c>
      <c r="I2881" s="24">
        <f>IF($D2881="","",IFERROR(VLOOKUP($D2881,物料档案!$A$4:$P$1203,6,0),"※编码不在物料档案里"))</f>
        <v/>
      </c>
      <c r="J2881" s="23" t="n"/>
      <c r="K2881" s="17" t="n"/>
      <c r="L2881" s="17" t="n"/>
      <c r="M2881" s="17" t="n"/>
      <c r="N2881" s="17" t="n"/>
      <c r="O2881" s="26">
        <f>IF($D2881="","",IFERROR(VLOOKUP($D2881,物料档案!$A$4:$P$1203,10,0),0))</f>
        <v/>
      </c>
      <c r="P2881" s="32" t="n"/>
      <c r="Q2881" s="26">
        <f>IF($D2881="","",IF($K2881&lt;&gt;"对外销售",0,ROUND(N($J2881)*IF($P2881="",N($O2881),N($P2881)),0)))</f>
        <v/>
      </c>
      <c r="R2881" s="26">
        <f>IF($D2881="","",IFERROR(VLOOKUP($D2881,库存台账!$A$5:$Y$1204,11,0),0))</f>
        <v/>
      </c>
      <c r="S2881" s="26">
        <f>IF($D2881="","",ROUND(N($J2881)*N($R2881),0))</f>
        <v/>
      </c>
      <c r="T2881" s="26">
        <f>IF($D2881="","",IF($K2881&lt;&gt;"对外销售","",ROUND($Q2881-$S2881,0)))</f>
        <v/>
      </c>
      <c r="U2881" s="17" t="n"/>
      <c r="V2881" s="17" t="n"/>
      <c r="W2881" s="24">
        <f>IF($D2881="","",IF($E2881="※编码不在物料档案里","※物料编码不在档案里",IF(N($J2881)&lt;=0,"※出库数量要大于 0",IF($K2881="","※没填去向类型",IF($L2881="","※没填去向矿区",IF(AND($C2881&lt;&gt;"",$C2881&lt;=结账锁),"※日期早于已结账截止日，不能再录",IF(AND($K2881="自用消耗",COUNTIF({"一矿区";"二矿区"},$L2881)=0),"※自用消耗的去向只能是一矿区或二矿区",IF(AND($K2881="对外销售",COUNTIF({"三矿区";"六矿区"},$L2881)=0),"※对外销售的去向只能是三矿区或六矿区",IF(AND($K2881="对外销售",ROUND($Q2881,0)=0),"※外销却没有售价，请填实际售价",IF(AND($K2881="对外销售",$T2881&lt;&gt;"",$T2881&lt;0),"※这一笔外销是亏的，请核对售价",IF(IFERROR(VLOOKUP($D2881,库存台账!$A$5:$Y$1204,24,0),0)&lt;-0.001,"※这个物料账面已经变成负数了，查一下是不是漏记入库","")))))))))))</f>
        <v/>
      </c>
    </row>
    <row r="2882">
      <c r="A2882" s="24">
        <f>IF($D2882="","",COUNTA($D$4:$D2882))</f>
        <v/>
      </c>
      <c r="B2882" s="17" t="n"/>
      <c r="C2882" s="30" t="n"/>
      <c r="D2882" s="17" t="n"/>
      <c r="E2882" s="24">
        <f>IF($D2882="","",IFERROR(VLOOKUP($D2882,物料档案!$A$4:$P$1203,3,0),"※编码不在物料档案里"))</f>
        <v/>
      </c>
      <c r="F2882" s="24">
        <f>IF($D2882="","",IFERROR(VLOOKUP($D2882,物料档案!$A$4:$P$1203,4,0),"※编码不在物料档案里"))</f>
        <v/>
      </c>
      <c r="G2882" s="24">
        <f>IF($D2882="","",IFERROR(VLOOKUP($D2882,物料档案!$A$4:$P$1203,5,0),"※编码不在物料档案里"))</f>
        <v/>
      </c>
      <c r="H2882" s="24">
        <f>IF($D2882="","",IFERROR(VLOOKUP($D2882,物料档案!$A$4:$P$1203,2,0),"※编码不在物料档案里"))</f>
        <v/>
      </c>
      <c r="I2882" s="24">
        <f>IF($D2882="","",IFERROR(VLOOKUP($D2882,物料档案!$A$4:$P$1203,6,0),"※编码不在物料档案里"))</f>
        <v/>
      </c>
      <c r="J2882" s="23" t="n"/>
      <c r="K2882" s="17" t="n"/>
      <c r="L2882" s="17" t="n"/>
      <c r="M2882" s="17" t="n"/>
      <c r="N2882" s="17" t="n"/>
      <c r="O2882" s="26">
        <f>IF($D2882="","",IFERROR(VLOOKUP($D2882,物料档案!$A$4:$P$1203,10,0),0))</f>
        <v/>
      </c>
      <c r="P2882" s="32" t="n"/>
      <c r="Q2882" s="26">
        <f>IF($D2882="","",IF($K2882&lt;&gt;"对外销售",0,ROUND(N($J2882)*IF($P2882="",N($O2882),N($P2882)),0)))</f>
        <v/>
      </c>
      <c r="R2882" s="26">
        <f>IF($D2882="","",IFERROR(VLOOKUP($D2882,库存台账!$A$5:$Y$1204,11,0),0))</f>
        <v/>
      </c>
      <c r="S2882" s="26">
        <f>IF($D2882="","",ROUND(N($J2882)*N($R2882),0))</f>
        <v/>
      </c>
      <c r="T2882" s="26">
        <f>IF($D2882="","",IF($K2882&lt;&gt;"对外销售","",ROUND($Q2882-$S2882,0)))</f>
        <v/>
      </c>
      <c r="U2882" s="17" t="n"/>
      <c r="V2882" s="17" t="n"/>
      <c r="W2882" s="24">
        <f>IF($D2882="","",IF($E2882="※编码不在物料档案里","※物料编码不在档案里",IF(N($J2882)&lt;=0,"※出库数量要大于 0",IF($K2882="","※没填去向类型",IF($L2882="","※没填去向矿区",IF(AND($C2882&lt;&gt;"",$C2882&lt;=结账锁),"※日期早于已结账截止日，不能再录",IF(AND($K2882="自用消耗",COUNTIF({"一矿区";"二矿区"},$L2882)=0),"※自用消耗的去向只能是一矿区或二矿区",IF(AND($K2882="对外销售",COUNTIF({"三矿区";"六矿区"},$L2882)=0),"※对外销售的去向只能是三矿区或六矿区",IF(AND($K2882="对外销售",ROUND($Q2882,0)=0),"※外销却没有售价，请填实际售价",IF(AND($K2882="对外销售",$T2882&lt;&gt;"",$T2882&lt;0),"※这一笔外销是亏的，请核对售价",IF(IFERROR(VLOOKUP($D2882,库存台账!$A$5:$Y$1204,24,0),0)&lt;-0.001,"※这个物料账面已经变成负数了，查一下是不是漏记入库","")))))))))))</f>
        <v/>
      </c>
    </row>
    <row r="2883">
      <c r="A2883" s="24">
        <f>IF($D2883="","",COUNTA($D$4:$D2883))</f>
        <v/>
      </c>
      <c r="B2883" s="17" t="n"/>
      <c r="C2883" s="30" t="n"/>
      <c r="D2883" s="17" t="n"/>
      <c r="E2883" s="24">
        <f>IF($D2883="","",IFERROR(VLOOKUP($D2883,物料档案!$A$4:$P$1203,3,0),"※编码不在物料档案里"))</f>
        <v/>
      </c>
      <c r="F2883" s="24">
        <f>IF($D2883="","",IFERROR(VLOOKUP($D2883,物料档案!$A$4:$P$1203,4,0),"※编码不在物料档案里"))</f>
        <v/>
      </c>
      <c r="G2883" s="24">
        <f>IF($D2883="","",IFERROR(VLOOKUP($D2883,物料档案!$A$4:$P$1203,5,0),"※编码不在物料档案里"))</f>
        <v/>
      </c>
      <c r="H2883" s="24">
        <f>IF($D2883="","",IFERROR(VLOOKUP($D2883,物料档案!$A$4:$P$1203,2,0),"※编码不在物料档案里"))</f>
        <v/>
      </c>
      <c r="I2883" s="24">
        <f>IF($D2883="","",IFERROR(VLOOKUP($D2883,物料档案!$A$4:$P$1203,6,0),"※编码不在物料档案里"))</f>
        <v/>
      </c>
      <c r="J2883" s="23" t="n"/>
      <c r="K2883" s="17" t="n"/>
      <c r="L2883" s="17" t="n"/>
      <c r="M2883" s="17" t="n"/>
      <c r="N2883" s="17" t="n"/>
      <c r="O2883" s="26">
        <f>IF($D2883="","",IFERROR(VLOOKUP($D2883,物料档案!$A$4:$P$1203,10,0),0))</f>
        <v/>
      </c>
      <c r="P2883" s="32" t="n"/>
      <c r="Q2883" s="26">
        <f>IF($D2883="","",IF($K2883&lt;&gt;"对外销售",0,ROUND(N($J2883)*IF($P2883="",N($O2883),N($P2883)),0)))</f>
        <v/>
      </c>
      <c r="R2883" s="26">
        <f>IF($D2883="","",IFERROR(VLOOKUP($D2883,库存台账!$A$5:$Y$1204,11,0),0))</f>
        <v/>
      </c>
      <c r="S2883" s="26">
        <f>IF($D2883="","",ROUND(N($J2883)*N($R2883),0))</f>
        <v/>
      </c>
      <c r="T2883" s="26">
        <f>IF($D2883="","",IF($K2883&lt;&gt;"对外销售","",ROUND($Q2883-$S2883,0)))</f>
        <v/>
      </c>
      <c r="U2883" s="17" t="n"/>
      <c r="V2883" s="17" t="n"/>
      <c r="W2883" s="24">
        <f>IF($D2883="","",IF($E2883="※编码不在物料档案里","※物料编码不在档案里",IF(N($J2883)&lt;=0,"※出库数量要大于 0",IF($K2883="","※没填去向类型",IF($L2883="","※没填去向矿区",IF(AND($C2883&lt;&gt;"",$C2883&lt;=结账锁),"※日期早于已结账截止日，不能再录",IF(AND($K2883="自用消耗",COUNTIF({"一矿区";"二矿区"},$L2883)=0),"※自用消耗的去向只能是一矿区或二矿区",IF(AND($K2883="对外销售",COUNTIF({"三矿区";"六矿区"},$L2883)=0),"※对外销售的去向只能是三矿区或六矿区",IF(AND($K2883="对外销售",ROUND($Q2883,0)=0),"※外销却没有售价，请填实际售价",IF(AND($K2883="对外销售",$T2883&lt;&gt;"",$T2883&lt;0),"※这一笔外销是亏的，请核对售价",IF(IFERROR(VLOOKUP($D2883,库存台账!$A$5:$Y$1204,24,0),0)&lt;-0.001,"※这个物料账面已经变成负数了，查一下是不是漏记入库","")))))))))))</f>
        <v/>
      </c>
    </row>
    <row r="2884">
      <c r="A2884" s="24">
        <f>IF($D2884="","",COUNTA($D$4:$D2884))</f>
        <v/>
      </c>
      <c r="B2884" s="17" t="n"/>
      <c r="C2884" s="30" t="n"/>
      <c r="D2884" s="17" t="n"/>
      <c r="E2884" s="24">
        <f>IF($D2884="","",IFERROR(VLOOKUP($D2884,物料档案!$A$4:$P$1203,3,0),"※编码不在物料档案里"))</f>
        <v/>
      </c>
      <c r="F2884" s="24">
        <f>IF($D2884="","",IFERROR(VLOOKUP($D2884,物料档案!$A$4:$P$1203,4,0),"※编码不在物料档案里"))</f>
        <v/>
      </c>
      <c r="G2884" s="24">
        <f>IF($D2884="","",IFERROR(VLOOKUP($D2884,物料档案!$A$4:$P$1203,5,0),"※编码不在物料档案里"))</f>
        <v/>
      </c>
      <c r="H2884" s="24">
        <f>IF($D2884="","",IFERROR(VLOOKUP($D2884,物料档案!$A$4:$P$1203,2,0),"※编码不在物料档案里"))</f>
        <v/>
      </c>
      <c r="I2884" s="24">
        <f>IF($D2884="","",IFERROR(VLOOKUP($D2884,物料档案!$A$4:$P$1203,6,0),"※编码不在物料档案里"))</f>
        <v/>
      </c>
      <c r="J2884" s="23" t="n"/>
      <c r="K2884" s="17" t="n"/>
      <c r="L2884" s="17" t="n"/>
      <c r="M2884" s="17" t="n"/>
      <c r="N2884" s="17" t="n"/>
      <c r="O2884" s="26">
        <f>IF($D2884="","",IFERROR(VLOOKUP($D2884,物料档案!$A$4:$P$1203,10,0),0))</f>
        <v/>
      </c>
      <c r="P2884" s="32" t="n"/>
      <c r="Q2884" s="26">
        <f>IF($D2884="","",IF($K2884&lt;&gt;"对外销售",0,ROUND(N($J2884)*IF($P2884="",N($O2884),N($P2884)),0)))</f>
        <v/>
      </c>
      <c r="R2884" s="26">
        <f>IF($D2884="","",IFERROR(VLOOKUP($D2884,库存台账!$A$5:$Y$1204,11,0),0))</f>
        <v/>
      </c>
      <c r="S2884" s="26">
        <f>IF($D2884="","",ROUND(N($J2884)*N($R2884),0))</f>
        <v/>
      </c>
      <c r="T2884" s="26">
        <f>IF($D2884="","",IF($K2884&lt;&gt;"对外销售","",ROUND($Q2884-$S2884,0)))</f>
        <v/>
      </c>
      <c r="U2884" s="17" t="n"/>
      <c r="V2884" s="17" t="n"/>
      <c r="W2884" s="24">
        <f>IF($D2884="","",IF($E2884="※编码不在物料档案里","※物料编码不在档案里",IF(N($J2884)&lt;=0,"※出库数量要大于 0",IF($K2884="","※没填去向类型",IF($L2884="","※没填去向矿区",IF(AND($C2884&lt;&gt;"",$C2884&lt;=结账锁),"※日期早于已结账截止日，不能再录",IF(AND($K2884="自用消耗",COUNTIF({"一矿区";"二矿区"},$L2884)=0),"※自用消耗的去向只能是一矿区或二矿区",IF(AND($K2884="对外销售",COUNTIF({"三矿区";"六矿区"},$L2884)=0),"※对外销售的去向只能是三矿区或六矿区",IF(AND($K2884="对外销售",ROUND($Q2884,0)=0),"※外销却没有售价，请填实际售价",IF(AND($K2884="对外销售",$T2884&lt;&gt;"",$T2884&lt;0),"※这一笔外销是亏的，请核对售价",IF(IFERROR(VLOOKUP($D2884,库存台账!$A$5:$Y$1204,24,0),0)&lt;-0.001,"※这个物料账面已经变成负数了，查一下是不是漏记入库","")))))))))))</f>
        <v/>
      </c>
    </row>
    <row r="2885">
      <c r="A2885" s="24">
        <f>IF($D2885="","",COUNTA($D$4:$D2885))</f>
        <v/>
      </c>
      <c r="B2885" s="17" t="n"/>
      <c r="C2885" s="30" t="n"/>
      <c r="D2885" s="17" t="n"/>
      <c r="E2885" s="24">
        <f>IF($D2885="","",IFERROR(VLOOKUP($D2885,物料档案!$A$4:$P$1203,3,0),"※编码不在物料档案里"))</f>
        <v/>
      </c>
      <c r="F2885" s="24">
        <f>IF($D2885="","",IFERROR(VLOOKUP($D2885,物料档案!$A$4:$P$1203,4,0),"※编码不在物料档案里"))</f>
        <v/>
      </c>
      <c r="G2885" s="24">
        <f>IF($D2885="","",IFERROR(VLOOKUP($D2885,物料档案!$A$4:$P$1203,5,0),"※编码不在物料档案里"))</f>
        <v/>
      </c>
      <c r="H2885" s="24">
        <f>IF($D2885="","",IFERROR(VLOOKUP($D2885,物料档案!$A$4:$P$1203,2,0),"※编码不在物料档案里"))</f>
        <v/>
      </c>
      <c r="I2885" s="24">
        <f>IF($D2885="","",IFERROR(VLOOKUP($D2885,物料档案!$A$4:$P$1203,6,0),"※编码不在物料档案里"))</f>
        <v/>
      </c>
      <c r="J2885" s="23" t="n"/>
      <c r="K2885" s="17" t="n"/>
      <c r="L2885" s="17" t="n"/>
      <c r="M2885" s="17" t="n"/>
      <c r="N2885" s="17" t="n"/>
      <c r="O2885" s="26">
        <f>IF($D2885="","",IFERROR(VLOOKUP($D2885,物料档案!$A$4:$P$1203,10,0),0))</f>
        <v/>
      </c>
      <c r="P2885" s="32" t="n"/>
      <c r="Q2885" s="26">
        <f>IF($D2885="","",IF($K2885&lt;&gt;"对外销售",0,ROUND(N($J2885)*IF($P2885="",N($O2885),N($P2885)),0)))</f>
        <v/>
      </c>
      <c r="R2885" s="26">
        <f>IF($D2885="","",IFERROR(VLOOKUP($D2885,库存台账!$A$5:$Y$1204,11,0),0))</f>
        <v/>
      </c>
      <c r="S2885" s="26">
        <f>IF($D2885="","",ROUND(N($J2885)*N($R2885),0))</f>
        <v/>
      </c>
      <c r="T2885" s="26">
        <f>IF($D2885="","",IF($K2885&lt;&gt;"对外销售","",ROUND($Q2885-$S2885,0)))</f>
        <v/>
      </c>
      <c r="U2885" s="17" t="n"/>
      <c r="V2885" s="17" t="n"/>
      <c r="W2885" s="24">
        <f>IF($D2885="","",IF($E2885="※编码不在物料档案里","※物料编码不在档案里",IF(N($J2885)&lt;=0,"※出库数量要大于 0",IF($K2885="","※没填去向类型",IF($L2885="","※没填去向矿区",IF(AND($C2885&lt;&gt;"",$C2885&lt;=结账锁),"※日期早于已结账截止日，不能再录",IF(AND($K2885="自用消耗",COUNTIF({"一矿区";"二矿区"},$L2885)=0),"※自用消耗的去向只能是一矿区或二矿区",IF(AND($K2885="对外销售",COUNTIF({"三矿区";"六矿区"},$L2885)=0),"※对外销售的去向只能是三矿区或六矿区",IF(AND($K2885="对外销售",ROUND($Q2885,0)=0),"※外销却没有售价，请填实际售价",IF(AND($K2885="对外销售",$T2885&lt;&gt;"",$T2885&lt;0),"※这一笔外销是亏的，请核对售价",IF(IFERROR(VLOOKUP($D2885,库存台账!$A$5:$Y$1204,24,0),0)&lt;-0.001,"※这个物料账面已经变成负数了，查一下是不是漏记入库","")))))))))))</f>
        <v/>
      </c>
    </row>
    <row r="2886">
      <c r="A2886" s="24">
        <f>IF($D2886="","",COUNTA($D$4:$D2886))</f>
        <v/>
      </c>
      <c r="B2886" s="17" t="n"/>
      <c r="C2886" s="30" t="n"/>
      <c r="D2886" s="17" t="n"/>
      <c r="E2886" s="24">
        <f>IF($D2886="","",IFERROR(VLOOKUP($D2886,物料档案!$A$4:$P$1203,3,0),"※编码不在物料档案里"))</f>
        <v/>
      </c>
      <c r="F2886" s="24">
        <f>IF($D2886="","",IFERROR(VLOOKUP($D2886,物料档案!$A$4:$P$1203,4,0),"※编码不在物料档案里"))</f>
        <v/>
      </c>
      <c r="G2886" s="24">
        <f>IF($D2886="","",IFERROR(VLOOKUP($D2886,物料档案!$A$4:$P$1203,5,0),"※编码不在物料档案里"))</f>
        <v/>
      </c>
      <c r="H2886" s="24">
        <f>IF($D2886="","",IFERROR(VLOOKUP($D2886,物料档案!$A$4:$P$1203,2,0),"※编码不在物料档案里"))</f>
        <v/>
      </c>
      <c r="I2886" s="24">
        <f>IF($D2886="","",IFERROR(VLOOKUP($D2886,物料档案!$A$4:$P$1203,6,0),"※编码不在物料档案里"))</f>
        <v/>
      </c>
      <c r="J2886" s="23" t="n"/>
      <c r="K2886" s="17" t="n"/>
      <c r="L2886" s="17" t="n"/>
      <c r="M2886" s="17" t="n"/>
      <c r="N2886" s="17" t="n"/>
      <c r="O2886" s="26">
        <f>IF($D2886="","",IFERROR(VLOOKUP($D2886,物料档案!$A$4:$P$1203,10,0),0))</f>
        <v/>
      </c>
      <c r="P2886" s="32" t="n"/>
      <c r="Q2886" s="26">
        <f>IF($D2886="","",IF($K2886&lt;&gt;"对外销售",0,ROUND(N($J2886)*IF($P2886="",N($O2886),N($P2886)),0)))</f>
        <v/>
      </c>
      <c r="R2886" s="26">
        <f>IF($D2886="","",IFERROR(VLOOKUP($D2886,库存台账!$A$5:$Y$1204,11,0),0))</f>
        <v/>
      </c>
      <c r="S2886" s="26">
        <f>IF($D2886="","",ROUND(N($J2886)*N($R2886),0))</f>
        <v/>
      </c>
      <c r="T2886" s="26">
        <f>IF($D2886="","",IF($K2886&lt;&gt;"对外销售","",ROUND($Q2886-$S2886,0)))</f>
        <v/>
      </c>
      <c r="U2886" s="17" t="n"/>
      <c r="V2886" s="17" t="n"/>
      <c r="W2886" s="24">
        <f>IF($D2886="","",IF($E2886="※编码不在物料档案里","※物料编码不在档案里",IF(N($J2886)&lt;=0,"※出库数量要大于 0",IF($K2886="","※没填去向类型",IF($L2886="","※没填去向矿区",IF(AND($C2886&lt;&gt;"",$C2886&lt;=结账锁),"※日期早于已结账截止日，不能再录",IF(AND($K2886="自用消耗",COUNTIF({"一矿区";"二矿区"},$L2886)=0),"※自用消耗的去向只能是一矿区或二矿区",IF(AND($K2886="对外销售",COUNTIF({"三矿区";"六矿区"},$L2886)=0),"※对外销售的去向只能是三矿区或六矿区",IF(AND($K2886="对外销售",ROUND($Q2886,0)=0),"※外销却没有售价，请填实际售价",IF(AND($K2886="对外销售",$T2886&lt;&gt;"",$T2886&lt;0),"※这一笔外销是亏的，请核对售价",IF(IFERROR(VLOOKUP($D2886,库存台账!$A$5:$Y$1204,24,0),0)&lt;-0.001,"※这个物料账面已经变成负数了，查一下是不是漏记入库","")))))))))))</f>
        <v/>
      </c>
    </row>
    <row r="2887">
      <c r="A2887" s="24">
        <f>IF($D2887="","",COUNTA($D$4:$D2887))</f>
        <v/>
      </c>
      <c r="B2887" s="17" t="n"/>
      <c r="C2887" s="30" t="n"/>
      <c r="D2887" s="17" t="n"/>
      <c r="E2887" s="24">
        <f>IF($D2887="","",IFERROR(VLOOKUP($D2887,物料档案!$A$4:$P$1203,3,0),"※编码不在物料档案里"))</f>
        <v/>
      </c>
      <c r="F2887" s="24">
        <f>IF($D2887="","",IFERROR(VLOOKUP($D2887,物料档案!$A$4:$P$1203,4,0),"※编码不在物料档案里"))</f>
        <v/>
      </c>
      <c r="G2887" s="24">
        <f>IF($D2887="","",IFERROR(VLOOKUP($D2887,物料档案!$A$4:$P$1203,5,0),"※编码不在物料档案里"))</f>
        <v/>
      </c>
      <c r="H2887" s="24">
        <f>IF($D2887="","",IFERROR(VLOOKUP($D2887,物料档案!$A$4:$P$1203,2,0),"※编码不在物料档案里"))</f>
        <v/>
      </c>
      <c r="I2887" s="24">
        <f>IF($D2887="","",IFERROR(VLOOKUP($D2887,物料档案!$A$4:$P$1203,6,0),"※编码不在物料档案里"))</f>
        <v/>
      </c>
      <c r="J2887" s="23" t="n"/>
      <c r="K2887" s="17" t="n"/>
      <c r="L2887" s="17" t="n"/>
      <c r="M2887" s="17" t="n"/>
      <c r="N2887" s="17" t="n"/>
      <c r="O2887" s="26">
        <f>IF($D2887="","",IFERROR(VLOOKUP($D2887,物料档案!$A$4:$P$1203,10,0),0))</f>
        <v/>
      </c>
      <c r="P2887" s="32" t="n"/>
      <c r="Q2887" s="26">
        <f>IF($D2887="","",IF($K2887&lt;&gt;"对外销售",0,ROUND(N($J2887)*IF($P2887="",N($O2887),N($P2887)),0)))</f>
        <v/>
      </c>
      <c r="R2887" s="26">
        <f>IF($D2887="","",IFERROR(VLOOKUP($D2887,库存台账!$A$5:$Y$1204,11,0),0))</f>
        <v/>
      </c>
      <c r="S2887" s="26">
        <f>IF($D2887="","",ROUND(N($J2887)*N($R2887),0))</f>
        <v/>
      </c>
      <c r="T2887" s="26">
        <f>IF($D2887="","",IF($K2887&lt;&gt;"对外销售","",ROUND($Q2887-$S2887,0)))</f>
        <v/>
      </c>
      <c r="U2887" s="17" t="n"/>
      <c r="V2887" s="17" t="n"/>
      <c r="W2887" s="24">
        <f>IF($D2887="","",IF($E2887="※编码不在物料档案里","※物料编码不在档案里",IF(N($J2887)&lt;=0,"※出库数量要大于 0",IF($K2887="","※没填去向类型",IF($L2887="","※没填去向矿区",IF(AND($C2887&lt;&gt;"",$C2887&lt;=结账锁),"※日期早于已结账截止日，不能再录",IF(AND($K2887="自用消耗",COUNTIF({"一矿区";"二矿区"},$L2887)=0),"※自用消耗的去向只能是一矿区或二矿区",IF(AND($K2887="对外销售",COUNTIF({"三矿区";"六矿区"},$L2887)=0),"※对外销售的去向只能是三矿区或六矿区",IF(AND($K2887="对外销售",ROUND($Q2887,0)=0),"※外销却没有售价，请填实际售价",IF(AND($K2887="对外销售",$T2887&lt;&gt;"",$T2887&lt;0),"※这一笔外销是亏的，请核对售价",IF(IFERROR(VLOOKUP($D2887,库存台账!$A$5:$Y$1204,24,0),0)&lt;-0.001,"※这个物料账面已经变成负数了，查一下是不是漏记入库","")))))))))))</f>
        <v/>
      </c>
    </row>
    <row r="2888">
      <c r="A2888" s="24">
        <f>IF($D2888="","",COUNTA($D$4:$D2888))</f>
        <v/>
      </c>
      <c r="B2888" s="17" t="n"/>
      <c r="C2888" s="30" t="n"/>
      <c r="D2888" s="17" t="n"/>
      <c r="E2888" s="24">
        <f>IF($D2888="","",IFERROR(VLOOKUP($D2888,物料档案!$A$4:$P$1203,3,0),"※编码不在物料档案里"))</f>
        <v/>
      </c>
      <c r="F2888" s="24">
        <f>IF($D2888="","",IFERROR(VLOOKUP($D2888,物料档案!$A$4:$P$1203,4,0),"※编码不在物料档案里"))</f>
        <v/>
      </c>
      <c r="G2888" s="24">
        <f>IF($D2888="","",IFERROR(VLOOKUP($D2888,物料档案!$A$4:$P$1203,5,0),"※编码不在物料档案里"))</f>
        <v/>
      </c>
      <c r="H2888" s="24">
        <f>IF($D2888="","",IFERROR(VLOOKUP($D2888,物料档案!$A$4:$P$1203,2,0),"※编码不在物料档案里"))</f>
        <v/>
      </c>
      <c r="I2888" s="24">
        <f>IF($D2888="","",IFERROR(VLOOKUP($D2888,物料档案!$A$4:$P$1203,6,0),"※编码不在物料档案里"))</f>
        <v/>
      </c>
      <c r="J2888" s="23" t="n"/>
      <c r="K2888" s="17" t="n"/>
      <c r="L2888" s="17" t="n"/>
      <c r="M2888" s="17" t="n"/>
      <c r="N2888" s="17" t="n"/>
      <c r="O2888" s="26">
        <f>IF($D2888="","",IFERROR(VLOOKUP($D2888,物料档案!$A$4:$P$1203,10,0),0))</f>
        <v/>
      </c>
      <c r="P2888" s="32" t="n"/>
      <c r="Q2888" s="26">
        <f>IF($D2888="","",IF($K2888&lt;&gt;"对外销售",0,ROUND(N($J2888)*IF($P2888="",N($O2888),N($P2888)),0)))</f>
        <v/>
      </c>
      <c r="R2888" s="26">
        <f>IF($D2888="","",IFERROR(VLOOKUP($D2888,库存台账!$A$5:$Y$1204,11,0),0))</f>
        <v/>
      </c>
      <c r="S2888" s="26">
        <f>IF($D2888="","",ROUND(N($J2888)*N($R2888),0))</f>
        <v/>
      </c>
      <c r="T2888" s="26">
        <f>IF($D2888="","",IF($K2888&lt;&gt;"对外销售","",ROUND($Q2888-$S2888,0)))</f>
        <v/>
      </c>
      <c r="U2888" s="17" t="n"/>
      <c r="V2888" s="17" t="n"/>
      <c r="W2888" s="24">
        <f>IF($D2888="","",IF($E2888="※编码不在物料档案里","※物料编码不在档案里",IF(N($J2888)&lt;=0,"※出库数量要大于 0",IF($K2888="","※没填去向类型",IF($L2888="","※没填去向矿区",IF(AND($C2888&lt;&gt;"",$C2888&lt;=结账锁),"※日期早于已结账截止日，不能再录",IF(AND($K2888="自用消耗",COUNTIF({"一矿区";"二矿区"},$L2888)=0),"※自用消耗的去向只能是一矿区或二矿区",IF(AND($K2888="对外销售",COUNTIF({"三矿区";"六矿区"},$L2888)=0),"※对外销售的去向只能是三矿区或六矿区",IF(AND($K2888="对外销售",ROUND($Q2888,0)=0),"※外销却没有售价，请填实际售价",IF(AND($K2888="对外销售",$T2888&lt;&gt;"",$T2888&lt;0),"※这一笔外销是亏的，请核对售价",IF(IFERROR(VLOOKUP($D2888,库存台账!$A$5:$Y$1204,24,0),0)&lt;-0.001,"※这个物料账面已经变成负数了，查一下是不是漏记入库","")))))))))))</f>
        <v/>
      </c>
    </row>
    <row r="2889">
      <c r="A2889" s="24">
        <f>IF($D2889="","",COUNTA($D$4:$D2889))</f>
        <v/>
      </c>
      <c r="B2889" s="17" t="n"/>
      <c r="C2889" s="30" t="n"/>
      <c r="D2889" s="17" t="n"/>
      <c r="E2889" s="24">
        <f>IF($D2889="","",IFERROR(VLOOKUP($D2889,物料档案!$A$4:$P$1203,3,0),"※编码不在物料档案里"))</f>
        <v/>
      </c>
      <c r="F2889" s="24">
        <f>IF($D2889="","",IFERROR(VLOOKUP($D2889,物料档案!$A$4:$P$1203,4,0),"※编码不在物料档案里"))</f>
        <v/>
      </c>
      <c r="G2889" s="24">
        <f>IF($D2889="","",IFERROR(VLOOKUP($D2889,物料档案!$A$4:$P$1203,5,0),"※编码不在物料档案里"))</f>
        <v/>
      </c>
      <c r="H2889" s="24">
        <f>IF($D2889="","",IFERROR(VLOOKUP($D2889,物料档案!$A$4:$P$1203,2,0),"※编码不在物料档案里"))</f>
        <v/>
      </c>
      <c r="I2889" s="24">
        <f>IF($D2889="","",IFERROR(VLOOKUP($D2889,物料档案!$A$4:$P$1203,6,0),"※编码不在物料档案里"))</f>
        <v/>
      </c>
      <c r="J2889" s="23" t="n"/>
      <c r="K2889" s="17" t="n"/>
      <c r="L2889" s="17" t="n"/>
      <c r="M2889" s="17" t="n"/>
      <c r="N2889" s="17" t="n"/>
      <c r="O2889" s="26">
        <f>IF($D2889="","",IFERROR(VLOOKUP($D2889,物料档案!$A$4:$P$1203,10,0),0))</f>
        <v/>
      </c>
      <c r="P2889" s="32" t="n"/>
      <c r="Q2889" s="26">
        <f>IF($D2889="","",IF($K2889&lt;&gt;"对外销售",0,ROUND(N($J2889)*IF($P2889="",N($O2889),N($P2889)),0)))</f>
        <v/>
      </c>
      <c r="R2889" s="26">
        <f>IF($D2889="","",IFERROR(VLOOKUP($D2889,库存台账!$A$5:$Y$1204,11,0),0))</f>
        <v/>
      </c>
      <c r="S2889" s="26">
        <f>IF($D2889="","",ROUND(N($J2889)*N($R2889),0))</f>
        <v/>
      </c>
      <c r="T2889" s="26">
        <f>IF($D2889="","",IF($K2889&lt;&gt;"对外销售","",ROUND($Q2889-$S2889,0)))</f>
        <v/>
      </c>
      <c r="U2889" s="17" t="n"/>
      <c r="V2889" s="17" t="n"/>
      <c r="W2889" s="24">
        <f>IF($D2889="","",IF($E2889="※编码不在物料档案里","※物料编码不在档案里",IF(N($J2889)&lt;=0,"※出库数量要大于 0",IF($K2889="","※没填去向类型",IF($L2889="","※没填去向矿区",IF(AND($C2889&lt;&gt;"",$C2889&lt;=结账锁),"※日期早于已结账截止日，不能再录",IF(AND($K2889="自用消耗",COUNTIF({"一矿区";"二矿区"},$L2889)=0),"※自用消耗的去向只能是一矿区或二矿区",IF(AND($K2889="对外销售",COUNTIF({"三矿区";"六矿区"},$L2889)=0),"※对外销售的去向只能是三矿区或六矿区",IF(AND($K2889="对外销售",ROUND($Q2889,0)=0),"※外销却没有售价，请填实际售价",IF(AND($K2889="对外销售",$T2889&lt;&gt;"",$T2889&lt;0),"※这一笔外销是亏的，请核对售价",IF(IFERROR(VLOOKUP($D2889,库存台账!$A$5:$Y$1204,24,0),0)&lt;-0.001,"※这个物料账面已经变成负数了，查一下是不是漏记入库","")))))))))))</f>
        <v/>
      </c>
    </row>
    <row r="2890">
      <c r="A2890" s="24">
        <f>IF($D2890="","",COUNTA($D$4:$D2890))</f>
        <v/>
      </c>
      <c r="B2890" s="17" t="n"/>
      <c r="C2890" s="30" t="n"/>
      <c r="D2890" s="17" t="n"/>
      <c r="E2890" s="24">
        <f>IF($D2890="","",IFERROR(VLOOKUP($D2890,物料档案!$A$4:$P$1203,3,0),"※编码不在物料档案里"))</f>
        <v/>
      </c>
      <c r="F2890" s="24">
        <f>IF($D2890="","",IFERROR(VLOOKUP($D2890,物料档案!$A$4:$P$1203,4,0),"※编码不在物料档案里"))</f>
        <v/>
      </c>
      <c r="G2890" s="24">
        <f>IF($D2890="","",IFERROR(VLOOKUP($D2890,物料档案!$A$4:$P$1203,5,0),"※编码不在物料档案里"))</f>
        <v/>
      </c>
      <c r="H2890" s="24">
        <f>IF($D2890="","",IFERROR(VLOOKUP($D2890,物料档案!$A$4:$P$1203,2,0),"※编码不在物料档案里"))</f>
        <v/>
      </c>
      <c r="I2890" s="24">
        <f>IF($D2890="","",IFERROR(VLOOKUP($D2890,物料档案!$A$4:$P$1203,6,0),"※编码不在物料档案里"))</f>
        <v/>
      </c>
      <c r="J2890" s="23" t="n"/>
      <c r="K2890" s="17" t="n"/>
      <c r="L2890" s="17" t="n"/>
      <c r="M2890" s="17" t="n"/>
      <c r="N2890" s="17" t="n"/>
      <c r="O2890" s="26">
        <f>IF($D2890="","",IFERROR(VLOOKUP($D2890,物料档案!$A$4:$P$1203,10,0),0))</f>
        <v/>
      </c>
      <c r="P2890" s="32" t="n"/>
      <c r="Q2890" s="26">
        <f>IF($D2890="","",IF($K2890&lt;&gt;"对外销售",0,ROUND(N($J2890)*IF($P2890="",N($O2890),N($P2890)),0)))</f>
        <v/>
      </c>
      <c r="R2890" s="26">
        <f>IF($D2890="","",IFERROR(VLOOKUP($D2890,库存台账!$A$5:$Y$1204,11,0),0))</f>
        <v/>
      </c>
      <c r="S2890" s="26">
        <f>IF($D2890="","",ROUND(N($J2890)*N($R2890),0))</f>
        <v/>
      </c>
      <c r="T2890" s="26">
        <f>IF($D2890="","",IF($K2890&lt;&gt;"对外销售","",ROUND($Q2890-$S2890,0)))</f>
        <v/>
      </c>
      <c r="U2890" s="17" t="n"/>
      <c r="V2890" s="17" t="n"/>
      <c r="W2890" s="24">
        <f>IF($D2890="","",IF($E2890="※编码不在物料档案里","※物料编码不在档案里",IF(N($J2890)&lt;=0,"※出库数量要大于 0",IF($K2890="","※没填去向类型",IF($L2890="","※没填去向矿区",IF(AND($C2890&lt;&gt;"",$C2890&lt;=结账锁),"※日期早于已结账截止日，不能再录",IF(AND($K2890="自用消耗",COUNTIF({"一矿区";"二矿区"},$L2890)=0),"※自用消耗的去向只能是一矿区或二矿区",IF(AND($K2890="对外销售",COUNTIF({"三矿区";"六矿区"},$L2890)=0),"※对外销售的去向只能是三矿区或六矿区",IF(AND($K2890="对外销售",ROUND($Q2890,0)=0),"※外销却没有售价，请填实际售价",IF(AND($K2890="对外销售",$T2890&lt;&gt;"",$T2890&lt;0),"※这一笔外销是亏的，请核对售价",IF(IFERROR(VLOOKUP($D2890,库存台账!$A$5:$Y$1204,24,0),0)&lt;-0.001,"※这个物料账面已经变成负数了，查一下是不是漏记入库","")))))))))))</f>
        <v/>
      </c>
    </row>
    <row r="2891">
      <c r="A2891" s="24">
        <f>IF($D2891="","",COUNTA($D$4:$D2891))</f>
        <v/>
      </c>
      <c r="B2891" s="17" t="n"/>
      <c r="C2891" s="30" t="n"/>
      <c r="D2891" s="17" t="n"/>
      <c r="E2891" s="24">
        <f>IF($D2891="","",IFERROR(VLOOKUP($D2891,物料档案!$A$4:$P$1203,3,0),"※编码不在物料档案里"))</f>
        <v/>
      </c>
      <c r="F2891" s="24">
        <f>IF($D2891="","",IFERROR(VLOOKUP($D2891,物料档案!$A$4:$P$1203,4,0),"※编码不在物料档案里"))</f>
        <v/>
      </c>
      <c r="G2891" s="24">
        <f>IF($D2891="","",IFERROR(VLOOKUP($D2891,物料档案!$A$4:$P$1203,5,0),"※编码不在物料档案里"))</f>
        <v/>
      </c>
      <c r="H2891" s="24">
        <f>IF($D2891="","",IFERROR(VLOOKUP($D2891,物料档案!$A$4:$P$1203,2,0),"※编码不在物料档案里"))</f>
        <v/>
      </c>
      <c r="I2891" s="24">
        <f>IF($D2891="","",IFERROR(VLOOKUP($D2891,物料档案!$A$4:$P$1203,6,0),"※编码不在物料档案里"))</f>
        <v/>
      </c>
      <c r="J2891" s="23" t="n"/>
      <c r="K2891" s="17" t="n"/>
      <c r="L2891" s="17" t="n"/>
      <c r="M2891" s="17" t="n"/>
      <c r="N2891" s="17" t="n"/>
      <c r="O2891" s="26">
        <f>IF($D2891="","",IFERROR(VLOOKUP($D2891,物料档案!$A$4:$P$1203,10,0),0))</f>
        <v/>
      </c>
      <c r="P2891" s="32" t="n"/>
      <c r="Q2891" s="26">
        <f>IF($D2891="","",IF($K2891&lt;&gt;"对外销售",0,ROUND(N($J2891)*IF($P2891="",N($O2891),N($P2891)),0)))</f>
        <v/>
      </c>
      <c r="R2891" s="26">
        <f>IF($D2891="","",IFERROR(VLOOKUP($D2891,库存台账!$A$5:$Y$1204,11,0),0))</f>
        <v/>
      </c>
      <c r="S2891" s="26">
        <f>IF($D2891="","",ROUND(N($J2891)*N($R2891),0))</f>
        <v/>
      </c>
      <c r="T2891" s="26">
        <f>IF($D2891="","",IF($K2891&lt;&gt;"对外销售","",ROUND($Q2891-$S2891,0)))</f>
        <v/>
      </c>
      <c r="U2891" s="17" t="n"/>
      <c r="V2891" s="17" t="n"/>
      <c r="W2891" s="24">
        <f>IF($D2891="","",IF($E2891="※编码不在物料档案里","※物料编码不在档案里",IF(N($J2891)&lt;=0,"※出库数量要大于 0",IF($K2891="","※没填去向类型",IF($L2891="","※没填去向矿区",IF(AND($C2891&lt;&gt;"",$C2891&lt;=结账锁),"※日期早于已结账截止日，不能再录",IF(AND($K2891="自用消耗",COUNTIF({"一矿区";"二矿区"},$L2891)=0),"※自用消耗的去向只能是一矿区或二矿区",IF(AND($K2891="对外销售",COUNTIF({"三矿区";"六矿区"},$L2891)=0),"※对外销售的去向只能是三矿区或六矿区",IF(AND($K2891="对外销售",ROUND($Q2891,0)=0),"※外销却没有售价，请填实际售价",IF(AND($K2891="对外销售",$T2891&lt;&gt;"",$T2891&lt;0),"※这一笔外销是亏的，请核对售价",IF(IFERROR(VLOOKUP($D2891,库存台账!$A$5:$Y$1204,24,0),0)&lt;-0.001,"※这个物料账面已经变成负数了，查一下是不是漏记入库","")))))))))))</f>
        <v/>
      </c>
    </row>
    <row r="2892">
      <c r="A2892" s="24">
        <f>IF($D2892="","",COUNTA($D$4:$D2892))</f>
        <v/>
      </c>
      <c r="B2892" s="17" t="n"/>
      <c r="C2892" s="30" t="n"/>
      <c r="D2892" s="17" t="n"/>
      <c r="E2892" s="24">
        <f>IF($D2892="","",IFERROR(VLOOKUP($D2892,物料档案!$A$4:$P$1203,3,0),"※编码不在物料档案里"))</f>
        <v/>
      </c>
      <c r="F2892" s="24">
        <f>IF($D2892="","",IFERROR(VLOOKUP($D2892,物料档案!$A$4:$P$1203,4,0),"※编码不在物料档案里"))</f>
        <v/>
      </c>
      <c r="G2892" s="24">
        <f>IF($D2892="","",IFERROR(VLOOKUP($D2892,物料档案!$A$4:$P$1203,5,0),"※编码不在物料档案里"))</f>
        <v/>
      </c>
      <c r="H2892" s="24">
        <f>IF($D2892="","",IFERROR(VLOOKUP($D2892,物料档案!$A$4:$P$1203,2,0),"※编码不在物料档案里"))</f>
        <v/>
      </c>
      <c r="I2892" s="24">
        <f>IF($D2892="","",IFERROR(VLOOKUP($D2892,物料档案!$A$4:$P$1203,6,0),"※编码不在物料档案里"))</f>
        <v/>
      </c>
      <c r="J2892" s="23" t="n"/>
      <c r="K2892" s="17" t="n"/>
      <c r="L2892" s="17" t="n"/>
      <c r="M2892" s="17" t="n"/>
      <c r="N2892" s="17" t="n"/>
      <c r="O2892" s="26">
        <f>IF($D2892="","",IFERROR(VLOOKUP($D2892,物料档案!$A$4:$P$1203,10,0),0))</f>
        <v/>
      </c>
      <c r="P2892" s="32" t="n"/>
      <c r="Q2892" s="26">
        <f>IF($D2892="","",IF($K2892&lt;&gt;"对外销售",0,ROUND(N($J2892)*IF($P2892="",N($O2892),N($P2892)),0)))</f>
        <v/>
      </c>
      <c r="R2892" s="26">
        <f>IF($D2892="","",IFERROR(VLOOKUP($D2892,库存台账!$A$5:$Y$1204,11,0),0))</f>
        <v/>
      </c>
      <c r="S2892" s="26">
        <f>IF($D2892="","",ROUND(N($J2892)*N($R2892),0))</f>
        <v/>
      </c>
      <c r="T2892" s="26">
        <f>IF($D2892="","",IF($K2892&lt;&gt;"对外销售","",ROUND($Q2892-$S2892,0)))</f>
        <v/>
      </c>
      <c r="U2892" s="17" t="n"/>
      <c r="V2892" s="17" t="n"/>
      <c r="W2892" s="24">
        <f>IF($D2892="","",IF($E2892="※编码不在物料档案里","※物料编码不在档案里",IF(N($J2892)&lt;=0,"※出库数量要大于 0",IF($K2892="","※没填去向类型",IF($L2892="","※没填去向矿区",IF(AND($C2892&lt;&gt;"",$C2892&lt;=结账锁),"※日期早于已结账截止日，不能再录",IF(AND($K2892="自用消耗",COUNTIF({"一矿区";"二矿区"},$L2892)=0),"※自用消耗的去向只能是一矿区或二矿区",IF(AND($K2892="对外销售",COUNTIF({"三矿区";"六矿区"},$L2892)=0),"※对外销售的去向只能是三矿区或六矿区",IF(AND($K2892="对外销售",ROUND($Q2892,0)=0),"※外销却没有售价，请填实际售价",IF(AND($K2892="对外销售",$T2892&lt;&gt;"",$T2892&lt;0),"※这一笔外销是亏的，请核对售价",IF(IFERROR(VLOOKUP($D2892,库存台账!$A$5:$Y$1204,24,0),0)&lt;-0.001,"※这个物料账面已经变成负数了，查一下是不是漏记入库","")))))))))))</f>
        <v/>
      </c>
    </row>
    <row r="2893">
      <c r="A2893" s="24">
        <f>IF($D2893="","",COUNTA($D$4:$D2893))</f>
        <v/>
      </c>
      <c r="B2893" s="17" t="n"/>
      <c r="C2893" s="30" t="n"/>
      <c r="D2893" s="17" t="n"/>
      <c r="E2893" s="24">
        <f>IF($D2893="","",IFERROR(VLOOKUP($D2893,物料档案!$A$4:$P$1203,3,0),"※编码不在物料档案里"))</f>
        <v/>
      </c>
      <c r="F2893" s="24">
        <f>IF($D2893="","",IFERROR(VLOOKUP($D2893,物料档案!$A$4:$P$1203,4,0),"※编码不在物料档案里"))</f>
        <v/>
      </c>
      <c r="G2893" s="24">
        <f>IF($D2893="","",IFERROR(VLOOKUP($D2893,物料档案!$A$4:$P$1203,5,0),"※编码不在物料档案里"))</f>
        <v/>
      </c>
      <c r="H2893" s="24">
        <f>IF($D2893="","",IFERROR(VLOOKUP($D2893,物料档案!$A$4:$P$1203,2,0),"※编码不在物料档案里"))</f>
        <v/>
      </c>
      <c r="I2893" s="24">
        <f>IF($D2893="","",IFERROR(VLOOKUP($D2893,物料档案!$A$4:$P$1203,6,0),"※编码不在物料档案里"))</f>
        <v/>
      </c>
      <c r="J2893" s="23" t="n"/>
      <c r="K2893" s="17" t="n"/>
      <c r="L2893" s="17" t="n"/>
      <c r="M2893" s="17" t="n"/>
      <c r="N2893" s="17" t="n"/>
      <c r="O2893" s="26">
        <f>IF($D2893="","",IFERROR(VLOOKUP($D2893,物料档案!$A$4:$P$1203,10,0),0))</f>
        <v/>
      </c>
      <c r="P2893" s="32" t="n"/>
      <c r="Q2893" s="26">
        <f>IF($D2893="","",IF($K2893&lt;&gt;"对外销售",0,ROUND(N($J2893)*IF($P2893="",N($O2893),N($P2893)),0)))</f>
        <v/>
      </c>
      <c r="R2893" s="26">
        <f>IF($D2893="","",IFERROR(VLOOKUP($D2893,库存台账!$A$5:$Y$1204,11,0),0))</f>
        <v/>
      </c>
      <c r="S2893" s="26">
        <f>IF($D2893="","",ROUND(N($J2893)*N($R2893),0))</f>
        <v/>
      </c>
      <c r="T2893" s="26">
        <f>IF($D2893="","",IF($K2893&lt;&gt;"对外销售","",ROUND($Q2893-$S2893,0)))</f>
        <v/>
      </c>
      <c r="U2893" s="17" t="n"/>
      <c r="V2893" s="17" t="n"/>
      <c r="W2893" s="24">
        <f>IF($D2893="","",IF($E2893="※编码不在物料档案里","※物料编码不在档案里",IF(N($J2893)&lt;=0,"※出库数量要大于 0",IF($K2893="","※没填去向类型",IF($L2893="","※没填去向矿区",IF(AND($C2893&lt;&gt;"",$C2893&lt;=结账锁),"※日期早于已结账截止日，不能再录",IF(AND($K2893="自用消耗",COUNTIF({"一矿区";"二矿区"},$L2893)=0),"※自用消耗的去向只能是一矿区或二矿区",IF(AND($K2893="对外销售",COUNTIF({"三矿区";"六矿区"},$L2893)=0),"※对外销售的去向只能是三矿区或六矿区",IF(AND($K2893="对外销售",ROUND($Q2893,0)=0),"※外销却没有售价，请填实际售价",IF(AND($K2893="对外销售",$T2893&lt;&gt;"",$T2893&lt;0),"※这一笔外销是亏的，请核对售价",IF(IFERROR(VLOOKUP($D2893,库存台账!$A$5:$Y$1204,24,0),0)&lt;-0.001,"※这个物料账面已经变成负数了，查一下是不是漏记入库","")))))))))))</f>
        <v/>
      </c>
    </row>
    <row r="2894">
      <c r="A2894" s="24">
        <f>IF($D2894="","",COUNTA($D$4:$D2894))</f>
        <v/>
      </c>
      <c r="B2894" s="17" t="n"/>
      <c r="C2894" s="30" t="n"/>
      <c r="D2894" s="17" t="n"/>
      <c r="E2894" s="24">
        <f>IF($D2894="","",IFERROR(VLOOKUP($D2894,物料档案!$A$4:$P$1203,3,0),"※编码不在物料档案里"))</f>
        <v/>
      </c>
      <c r="F2894" s="24">
        <f>IF($D2894="","",IFERROR(VLOOKUP($D2894,物料档案!$A$4:$P$1203,4,0),"※编码不在物料档案里"))</f>
        <v/>
      </c>
      <c r="G2894" s="24">
        <f>IF($D2894="","",IFERROR(VLOOKUP($D2894,物料档案!$A$4:$P$1203,5,0),"※编码不在物料档案里"))</f>
        <v/>
      </c>
      <c r="H2894" s="24">
        <f>IF($D2894="","",IFERROR(VLOOKUP($D2894,物料档案!$A$4:$P$1203,2,0),"※编码不在物料档案里"))</f>
        <v/>
      </c>
      <c r="I2894" s="24">
        <f>IF($D2894="","",IFERROR(VLOOKUP($D2894,物料档案!$A$4:$P$1203,6,0),"※编码不在物料档案里"))</f>
        <v/>
      </c>
      <c r="J2894" s="23" t="n"/>
      <c r="K2894" s="17" t="n"/>
      <c r="L2894" s="17" t="n"/>
      <c r="M2894" s="17" t="n"/>
      <c r="N2894" s="17" t="n"/>
      <c r="O2894" s="26">
        <f>IF($D2894="","",IFERROR(VLOOKUP($D2894,物料档案!$A$4:$P$1203,10,0),0))</f>
        <v/>
      </c>
      <c r="P2894" s="32" t="n"/>
      <c r="Q2894" s="26">
        <f>IF($D2894="","",IF($K2894&lt;&gt;"对外销售",0,ROUND(N($J2894)*IF($P2894="",N($O2894),N($P2894)),0)))</f>
        <v/>
      </c>
      <c r="R2894" s="26">
        <f>IF($D2894="","",IFERROR(VLOOKUP($D2894,库存台账!$A$5:$Y$1204,11,0),0))</f>
        <v/>
      </c>
      <c r="S2894" s="26">
        <f>IF($D2894="","",ROUND(N($J2894)*N($R2894),0))</f>
        <v/>
      </c>
      <c r="T2894" s="26">
        <f>IF($D2894="","",IF($K2894&lt;&gt;"对外销售","",ROUND($Q2894-$S2894,0)))</f>
        <v/>
      </c>
      <c r="U2894" s="17" t="n"/>
      <c r="V2894" s="17" t="n"/>
      <c r="W2894" s="24">
        <f>IF($D2894="","",IF($E2894="※编码不在物料档案里","※物料编码不在档案里",IF(N($J2894)&lt;=0,"※出库数量要大于 0",IF($K2894="","※没填去向类型",IF($L2894="","※没填去向矿区",IF(AND($C2894&lt;&gt;"",$C2894&lt;=结账锁),"※日期早于已结账截止日，不能再录",IF(AND($K2894="自用消耗",COUNTIF({"一矿区";"二矿区"},$L2894)=0),"※自用消耗的去向只能是一矿区或二矿区",IF(AND($K2894="对外销售",COUNTIF({"三矿区";"六矿区"},$L2894)=0),"※对外销售的去向只能是三矿区或六矿区",IF(AND($K2894="对外销售",ROUND($Q2894,0)=0),"※外销却没有售价，请填实际售价",IF(AND($K2894="对外销售",$T2894&lt;&gt;"",$T2894&lt;0),"※这一笔外销是亏的，请核对售价",IF(IFERROR(VLOOKUP($D2894,库存台账!$A$5:$Y$1204,24,0),0)&lt;-0.001,"※这个物料账面已经变成负数了，查一下是不是漏记入库","")))))))))))</f>
        <v/>
      </c>
    </row>
    <row r="2895">
      <c r="A2895" s="24">
        <f>IF($D2895="","",COUNTA($D$4:$D2895))</f>
        <v/>
      </c>
      <c r="B2895" s="17" t="n"/>
      <c r="C2895" s="30" t="n"/>
      <c r="D2895" s="17" t="n"/>
      <c r="E2895" s="24">
        <f>IF($D2895="","",IFERROR(VLOOKUP($D2895,物料档案!$A$4:$P$1203,3,0),"※编码不在物料档案里"))</f>
        <v/>
      </c>
      <c r="F2895" s="24">
        <f>IF($D2895="","",IFERROR(VLOOKUP($D2895,物料档案!$A$4:$P$1203,4,0),"※编码不在物料档案里"))</f>
        <v/>
      </c>
      <c r="G2895" s="24">
        <f>IF($D2895="","",IFERROR(VLOOKUP($D2895,物料档案!$A$4:$P$1203,5,0),"※编码不在物料档案里"))</f>
        <v/>
      </c>
      <c r="H2895" s="24">
        <f>IF($D2895="","",IFERROR(VLOOKUP($D2895,物料档案!$A$4:$P$1203,2,0),"※编码不在物料档案里"))</f>
        <v/>
      </c>
      <c r="I2895" s="24">
        <f>IF($D2895="","",IFERROR(VLOOKUP($D2895,物料档案!$A$4:$P$1203,6,0),"※编码不在物料档案里"))</f>
        <v/>
      </c>
      <c r="J2895" s="23" t="n"/>
      <c r="K2895" s="17" t="n"/>
      <c r="L2895" s="17" t="n"/>
      <c r="M2895" s="17" t="n"/>
      <c r="N2895" s="17" t="n"/>
      <c r="O2895" s="26">
        <f>IF($D2895="","",IFERROR(VLOOKUP($D2895,物料档案!$A$4:$P$1203,10,0),0))</f>
        <v/>
      </c>
      <c r="P2895" s="32" t="n"/>
      <c r="Q2895" s="26">
        <f>IF($D2895="","",IF($K2895&lt;&gt;"对外销售",0,ROUND(N($J2895)*IF($P2895="",N($O2895),N($P2895)),0)))</f>
        <v/>
      </c>
      <c r="R2895" s="26">
        <f>IF($D2895="","",IFERROR(VLOOKUP($D2895,库存台账!$A$5:$Y$1204,11,0),0))</f>
        <v/>
      </c>
      <c r="S2895" s="26">
        <f>IF($D2895="","",ROUND(N($J2895)*N($R2895),0))</f>
        <v/>
      </c>
      <c r="T2895" s="26">
        <f>IF($D2895="","",IF($K2895&lt;&gt;"对外销售","",ROUND($Q2895-$S2895,0)))</f>
        <v/>
      </c>
      <c r="U2895" s="17" t="n"/>
      <c r="V2895" s="17" t="n"/>
      <c r="W2895" s="24">
        <f>IF($D2895="","",IF($E2895="※编码不在物料档案里","※物料编码不在档案里",IF(N($J2895)&lt;=0,"※出库数量要大于 0",IF($K2895="","※没填去向类型",IF($L2895="","※没填去向矿区",IF(AND($C2895&lt;&gt;"",$C2895&lt;=结账锁),"※日期早于已结账截止日，不能再录",IF(AND($K2895="自用消耗",COUNTIF({"一矿区";"二矿区"},$L2895)=0),"※自用消耗的去向只能是一矿区或二矿区",IF(AND($K2895="对外销售",COUNTIF({"三矿区";"六矿区"},$L2895)=0),"※对外销售的去向只能是三矿区或六矿区",IF(AND($K2895="对外销售",ROUND($Q2895,0)=0),"※外销却没有售价，请填实际售价",IF(AND($K2895="对外销售",$T2895&lt;&gt;"",$T2895&lt;0),"※这一笔外销是亏的，请核对售价",IF(IFERROR(VLOOKUP($D2895,库存台账!$A$5:$Y$1204,24,0),0)&lt;-0.001,"※这个物料账面已经变成负数了，查一下是不是漏记入库","")))))))))))</f>
        <v/>
      </c>
    </row>
    <row r="2896">
      <c r="A2896" s="24">
        <f>IF($D2896="","",COUNTA($D$4:$D2896))</f>
        <v/>
      </c>
      <c r="B2896" s="17" t="n"/>
      <c r="C2896" s="30" t="n"/>
      <c r="D2896" s="17" t="n"/>
      <c r="E2896" s="24">
        <f>IF($D2896="","",IFERROR(VLOOKUP($D2896,物料档案!$A$4:$P$1203,3,0),"※编码不在物料档案里"))</f>
        <v/>
      </c>
      <c r="F2896" s="24">
        <f>IF($D2896="","",IFERROR(VLOOKUP($D2896,物料档案!$A$4:$P$1203,4,0),"※编码不在物料档案里"))</f>
        <v/>
      </c>
      <c r="G2896" s="24">
        <f>IF($D2896="","",IFERROR(VLOOKUP($D2896,物料档案!$A$4:$P$1203,5,0),"※编码不在物料档案里"))</f>
        <v/>
      </c>
      <c r="H2896" s="24">
        <f>IF($D2896="","",IFERROR(VLOOKUP($D2896,物料档案!$A$4:$P$1203,2,0),"※编码不在物料档案里"))</f>
        <v/>
      </c>
      <c r="I2896" s="24">
        <f>IF($D2896="","",IFERROR(VLOOKUP($D2896,物料档案!$A$4:$P$1203,6,0),"※编码不在物料档案里"))</f>
        <v/>
      </c>
      <c r="J2896" s="23" t="n"/>
      <c r="K2896" s="17" t="n"/>
      <c r="L2896" s="17" t="n"/>
      <c r="M2896" s="17" t="n"/>
      <c r="N2896" s="17" t="n"/>
      <c r="O2896" s="26">
        <f>IF($D2896="","",IFERROR(VLOOKUP($D2896,物料档案!$A$4:$P$1203,10,0),0))</f>
        <v/>
      </c>
      <c r="P2896" s="32" t="n"/>
      <c r="Q2896" s="26">
        <f>IF($D2896="","",IF($K2896&lt;&gt;"对外销售",0,ROUND(N($J2896)*IF($P2896="",N($O2896),N($P2896)),0)))</f>
        <v/>
      </c>
      <c r="R2896" s="26">
        <f>IF($D2896="","",IFERROR(VLOOKUP($D2896,库存台账!$A$5:$Y$1204,11,0),0))</f>
        <v/>
      </c>
      <c r="S2896" s="26">
        <f>IF($D2896="","",ROUND(N($J2896)*N($R2896),0))</f>
        <v/>
      </c>
      <c r="T2896" s="26">
        <f>IF($D2896="","",IF($K2896&lt;&gt;"对外销售","",ROUND($Q2896-$S2896,0)))</f>
        <v/>
      </c>
      <c r="U2896" s="17" t="n"/>
      <c r="V2896" s="17" t="n"/>
      <c r="W2896" s="24">
        <f>IF($D2896="","",IF($E2896="※编码不在物料档案里","※物料编码不在档案里",IF(N($J2896)&lt;=0,"※出库数量要大于 0",IF($K2896="","※没填去向类型",IF($L2896="","※没填去向矿区",IF(AND($C2896&lt;&gt;"",$C2896&lt;=结账锁),"※日期早于已结账截止日，不能再录",IF(AND($K2896="自用消耗",COUNTIF({"一矿区";"二矿区"},$L2896)=0),"※自用消耗的去向只能是一矿区或二矿区",IF(AND($K2896="对外销售",COUNTIF({"三矿区";"六矿区"},$L2896)=0),"※对外销售的去向只能是三矿区或六矿区",IF(AND($K2896="对外销售",ROUND($Q2896,0)=0),"※外销却没有售价，请填实际售价",IF(AND($K2896="对外销售",$T2896&lt;&gt;"",$T2896&lt;0),"※这一笔外销是亏的，请核对售价",IF(IFERROR(VLOOKUP($D2896,库存台账!$A$5:$Y$1204,24,0),0)&lt;-0.001,"※这个物料账面已经变成负数了，查一下是不是漏记入库","")))))))))))</f>
        <v/>
      </c>
    </row>
    <row r="2897">
      <c r="A2897" s="24">
        <f>IF($D2897="","",COUNTA($D$4:$D2897))</f>
        <v/>
      </c>
      <c r="B2897" s="17" t="n"/>
      <c r="C2897" s="30" t="n"/>
      <c r="D2897" s="17" t="n"/>
      <c r="E2897" s="24">
        <f>IF($D2897="","",IFERROR(VLOOKUP($D2897,物料档案!$A$4:$P$1203,3,0),"※编码不在物料档案里"))</f>
        <v/>
      </c>
      <c r="F2897" s="24">
        <f>IF($D2897="","",IFERROR(VLOOKUP($D2897,物料档案!$A$4:$P$1203,4,0),"※编码不在物料档案里"))</f>
        <v/>
      </c>
      <c r="G2897" s="24">
        <f>IF($D2897="","",IFERROR(VLOOKUP($D2897,物料档案!$A$4:$P$1203,5,0),"※编码不在物料档案里"))</f>
        <v/>
      </c>
      <c r="H2897" s="24">
        <f>IF($D2897="","",IFERROR(VLOOKUP($D2897,物料档案!$A$4:$P$1203,2,0),"※编码不在物料档案里"))</f>
        <v/>
      </c>
      <c r="I2897" s="24">
        <f>IF($D2897="","",IFERROR(VLOOKUP($D2897,物料档案!$A$4:$P$1203,6,0),"※编码不在物料档案里"))</f>
        <v/>
      </c>
      <c r="J2897" s="23" t="n"/>
      <c r="K2897" s="17" t="n"/>
      <c r="L2897" s="17" t="n"/>
      <c r="M2897" s="17" t="n"/>
      <c r="N2897" s="17" t="n"/>
      <c r="O2897" s="26">
        <f>IF($D2897="","",IFERROR(VLOOKUP($D2897,物料档案!$A$4:$P$1203,10,0),0))</f>
        <v/>
      </c>
      <c r="P2897" s="32" t="n"/>
      <c r="Q2897" s="26">
        <f>IF($D2897="","",IF($K2897&lt;&gt;"对外销售",0,ROUND(N($J2897)*IF($P2897="",N($O2897),N($P2897)),0)))</f>
        <v/>
      </c>
      <c r="R2897" s="26">
        <f>IF($D2897="","",IFERROR(VLOOKUP($D2897,库存台账!$A$5:$Y$1204,11,0),0))</f>
        <v/>
      </c>
      <c r="S2897" s="26">
        <f>IF($D2897="","",ROUND(N($J2897)*N($R2897),0))</f>
        <v/>
      </c>
      <c r="T2897" s="26">
        <f>IF($D2897="","",IF($K2897&lt;&gt;"对外销售","",ROUND($Q2897-$S2897,0)))</f>
        <v/>
      </c>
      <c r="U2897" s="17" t="n"/>
      <c r="V2897" s="17" t="n"/>
      <c r="W2897" s="24">
        <f>IF($D2897="","",IF($E2897="※编码不在物料档案里","※物料编码不在档案里",IF(N($J2897)&lt;=0,"※出库数量要大于 0",IF($K2897="","※没填去向类型",IF($L2897="","※没填去向矿区",IF(AND($C2897&lt;&gt;"",$C2897&lt;=结账锁),"※日期早于已结账截止日，不能再录",IF(AND($K2897="自用消耗",COUNTIF({"一矿区";"二矿区"},$L2897)=0),"※自用消耗的去向只能是一矿区或二矿区",IF(AND($K2897="对外销售",COUNTIF({"三矿区";"六矿区"},$L2897)=0),"※对外销售的去向只能是三矿区或六矿区",IF(AND($K2897="对外销售",ROUND($Q2897,0)=0),"※外销却没有售价，请填实际售价",IF(AND($K2897="对外销售",$T2897&lt;&gt;"",$T2897&lt;0),"※这一笔外销是亏的，请核对售价",IF(IFERROR(VLOOKUP($D2897,库存台账!$A$5:$Y$1204,24,0),0)&lt;-0.001,"※这个物料账面已经变成负数了，查一下是不是漏记入库","")))))))))))</f>
        <v/>
      </c>
    </row>
    <row r="2898">
      <c r="A2898" s="24">
        <f>IF($D2898="","",COUNTA($D$4:$D2898))</f>
        <v/>
      </c>
      <c r="B2898" s="17" t="n"/>
      <c r="C2898" s="30" t="n"/>
      <c r="D2898" s="17" t="n"/>
      <c r="E2898" s="24">
        <f>IF($D2898="","",IFERROR(VLOOKUP($D2898,物料档案!$A$4:$P$1203,3,0),"※编码不在物料档案里"))</f>
        <v/>
      </c>
      <c r="F2898" s="24">
        <f>IF($D2898="","",IFERROR(VLOOKUP($D2898,物料档案!$A$4:$P$1203,4,0),"※编码不在物料档案里"))</f>
        <v/>
      </c>
      <c r="G2898" s="24">
        <f>IF($D2898="","",IFERROR(VLOOKUP($D2898,物料档案!$A$4:$P$1203,5,0),"※编码不在物料档案里"))</f>
        <v/>
      </c>
      <c r="H2898" s="24">
        <f>IF($D2898="","",IFERROR(VLOOKUP($D2898,物料档案!$A$4:$P$1203,2,0),"※编码不在物料档案里"))</f>
        <v/>
      </c>
      <c r="I2898" s="24">
        <f>IF($D2898="","",IFERROR(VLOOKUP($D2898,物料档案!$A$4:$P$1203,6,0),"※编码不在物料档案里"))</f>
        <v/>
      </c>
      <c r="J2898" s="23" t="n"/>
      <c r="K2898" s="17" t="n"/>
      <c r="L2898" s="17" t="n"/>
      <c r="M2898" s="17" t="n"/>
      <c r="N2898" s="17" t="n"/>
      <c r="O2898" s="26">
        <f>IF($D2898="","",IFERROR(VLOOKUP($D2898,物料档案!$A$4:$P$1203,10,0),0))</f>
        <v/>
      </c>
      <c r="P2898" s="32" t="n"/>
      <c r="Q2898" s="26">
        <f>IF($D2898="","",IF($K2898&lt;&gt;"对外销售",0,ROUND(N($J2898)*IF($P2898="",N($O2898),N($P2898)),0)))</f>
        <v/>
      </c>
      <c r="R2898" s="26">
        <f>IF($D2898="","",IFERROR(VLOOKUP($D2898,库存台账!$A$5:$Y$1204,11,0),0))</f>
        <v/>
      </c>
      <c r="S2898" s="26">
        <f>IF($D2898="","",ROUND(N($J2898)*N($R2898),0))</f>
        <v/>
      </c>
      <c r="T2898" s="26">
        <f>IF($D2898="","",IF($K2898&lt;&gt;"对外销售","",ROUND($Q2898-$S2898,0)))</f>
        <v/>
      </c>
      <c r="U2898" s="17" t="n"/>
      <c r="V2898" s="17" t="n"/>
      <c r="W2898" s="24">
        <f>IF($D2898="","",IF($E2898="※编码不在物料档案里","※物料编码不在档案里",IF(N($J2898)&lt;=0,"※出库数量要大于 0",IF($K2898="","※没填去向类型",IF($L2898="","※没填去向矿区",IF(AND($C2898&lt;&gt;"",$C2898&lt;=结账锁),"※日期早于已结账截止日，不能再录",IF(AND($K2898="自用消耗",COUNTIF({"一矿区";"二矿区"},$L2898)=0),"※自用消耗的去向只能是一矿区或二矿区",IF(AND($K2898="对外销售",COUNTIF({"三矿区";"六矿区"},$L2898)=0),"※对外销售的去向只能是三矿区或六矿区",IF(AND($K2898="对外销售",ROUND($Q2898,0)=0),"※外销却没有售价，请填实际售价",IF(AND($K2898="对外销售",$T2898&lt;&gt;"",$T2898&lt;0),"※这一笔外销是亏的，请核对售价",IF(IFERROR(VLOOKUP($D2898,库存台账!$A$5:$Y$1204,24,0),0)&lt;-0.001,"※这个物料账面已经变成负数了，查一下是不是漏记入库","")))))))))))</f>
        <v/>
      </c>
    </row>
    <row r="2899">
      <c r="A2899" s="24">
        <f>IF($D2899="","",COUNTA($D$4:$D2899))</f>
        <v/>
      </c>
      <c r="B2899" s="17" t="n"/>
      <c r="C2899" s="30" t="n"/>
      <c r="D2899" s="17" t="n"/>
      <c r="E2899" s="24">
        <f>IF($D2899="","",IFERROR(VLOOKUP($D2899,物料档案!$A$4:$P$1203,3,0),"※编码不在物料档案里"))</f>
        <v/>
      </c>
      <c r="F2899" s="24">
        <f>IF($D2899="","",IFERROR(VLOOKUP($D2899,物料档案!$A$4:$P$1203,4,0),"※编码不在物料档案里"))</f>
        <v/>
      </c>
      <c r="G2899" s="24">
        <f>IF($D2899="","",IFERROR(VLOOKUP($D2899,物料档案!$A$4:$P$1203,5,0),"※编码不在物料档案里"))</f>
        <v/>
      </c>
      <c r="H2899" s="24">
        <f>IF($D2899="","",IFERROR(VLOOKUP($D2899,物料档案!$A$4:$P$1203,2,0),"※编码不在物料档案里"))</f>
        <v/>
      </c>
      <c r="I2899" s="24">
        <f>IF($D2899="","",IFERROR(VLOOKUP($D2899,物料档案!$A$4:$P$1203,6,0),"※编码不在物料档案里"))</f>
        <v/>
      </c>
      <c r="J2899" s="23" t="n"/>
      <c r="K2899" s="17" t="n"/>
      <c r="L2899" s="17" t="n"/>
      <c r="M2899" s="17" t="n"/>
      <c r="N2899" s="17" t="n"/>
      <c r="O2899" s="26">
        <f>IF($D2899="","",IFERROR(VLOOKUP($D2899,物料档案!$A$4:$P$1203,10,0),0))</f>
        <v/>
      </c>
      <c r="P2899" s="32" t="n"/>
      <c r="Q2899" s="26">
        <f>IF($D2899="","",IF($K2899&lt;&gt;"对外销售",0,ROUND(N($J2899)*IF($P2899="",N($O2899),N($P2899)),0)))</f>
        <v/>
      </c>
      <c r="R2899" s="26">
        <f>IF($D2899="","",IFERROR(VLOOKUP($D2899,库存台账!$A$5:$Y$1204,11,0),0))</f>
        <v/>
      </c>
      <c r="S2899" s="26">
        <f>IF($D2899="","",ROUND(N($J2899)*N($R2899),0))</f>
        <v/>
      </c>
      <c r="T2899" s="26">
        <f>IF($D2899="","",IF($K2899&lt;&gt;"对外销售","",ROUND($Q2899-$S2899,0)))</f>
        <v/>
      </c>
      <c r="U2899" s="17" t="n"/>
      <c r="V2899" s="17" t="n"/>
      <c r="W2899" s="24">
        <f>IF($D2899="","",IF($E2899="※编码不在物料档案里","※物料编码不在档案里",IF(N($J2899)&lt;=0,"※出库数量要大于 0",IF($K2899="","※没填去向类型",IF($L2899="","※没填去向矿区",IF(AND($C2899&lt;&gt;"",$C2899&lt;=结账锁),"※日期早于已结账截止日，不能再录",IF(AND($K2899="自用消耗",COUNTIF({"一矿区";"二矿区"},$L2899)=0),"※自用消耗的去向只能是一矿区或二矿区",IF(AND($K2899="对外销售",COUNTIF({"三矿区";"六矿区"},$L2899)=0),"※对外销售的去向只能是三矿区或六矿区",IF(AND($K2899="对外销售",ROUND($Q2899,0)=0),"※外销却没有售价，请填实际售价",IF(AND($K2899="对外销售",$T2899&lt;&gt;"",$T2899&lt;0),"※这一笔外销是亏的，请核对售价",IF(IFERROR(VLOOKUP($D2899,库存台账!$A$5:$Y$1204,24,0),0)&lt;-0.001,"※这个物料账面已经变成负数了，查一下是不是漏记入库","")))))))))))</f>
        <v/>
      </c>
    </row>
    <row r="2900">
      <c r="A2900" s="24">
        <f>IF($D2900="","",COUNTA($D$4:$D2900))</f>
        <v/>
      </c>
      <c r="B2900" s="17" t="n"/>
      <c r="C2900" s="30" t="n"/>
      <c r="D2900" s="17" t="n"/>
      <c r="E2900" s="24">
        <f>IF($D2900="","",IFERROR(VLOOKUP($D2900,物料档案!$A$4:$P$1203,3,0),"※编码不在物料档案里"))</f>
        <v/>
      </c>
      <c r="F2900" s="24">
        <f>IF($D2900="","",IFERROR(VLOOKUP($D2900,物料档案!$A$4:$P$1203,4,0),"※编码不在物料档案里"))</f>
        <v/>
      </c>
      <c r="G2900" s="24">
        <f>IF($D2900="","",IFERROR(VLOOKUP($D2900,物料档案!$A$4:$P$1203,5,0),"※编码不在物料档案里"))</f>
        <v/>
      </c>
      <c r="H2900" s="24">
        <f>IF($D2900="","",IFERROR(VLOOKUP($D2900,物料档案!$A$4:$P$1203,2,0),"※编码不在物料档案里"))</f>
        <v/>
      </c>
      <c r="I2900" s="24">
        <f>IF($D2900="","",IFERROR(VLOOKUP($D2900,物料档案!$A$4:$P$1203,6,0),"※编码不在物料档案里"))</f>
        <v/>
      </c>
      <c r="J2900" s="23" t="n"/>
      <c r="K2900" s="17" t="n"/>
      <c r="L2900" s="17" t="n"/>
      <c r="M2900" s="17" t="n"/>
      <c r="N2900" s="17" t="n"/>
      <c r="O2900" s="26">
        <f>IF($D2900="","",IFERROR(VLOOKUP($D2900,物料档案!$A$4:$P$1203,10,0),0))</f>
        <v/>
      </c>
      <c r="P2900" s="32" t="n"/>
      <c r="Q2900" s="26">
        <f>IF($D2900="","",IF($K2900&lt;&gt;"对外销售",0,ROUND(N($J2900)*IF($P2900="",N($O2900),N($P2900)),0)))</f>
        <v/>
      </c>
      <c r="R2900" s="26">
        <f>IF($D2900="","",IFERROR(VLOOKUP($D2900,库存台账!$A$5:$Y$1204,11,0),0))</f>
        <v/>
      </c>
      <c r="S2900" s="26">
        <f>IF($D2900="","",ROUND(N($J2900)*N($R2900),0))</f>
        <v/>
      </c>
      <c r="T2900" s="26">
        <f>IF($D2900="","",IF($K2900&lt;&gt;"对外销售","",ROUND($Q2900-$S2900,0)))</f>
        <v/>
      </c>
      <c r="U2900" s="17" t="n"/>
      <c r="V2900" s="17" t="n"/>
      <c r="W2900" s="24">
        <f>IF($D2900="","",IF($E2900="※编码不在物料档案里","※物料编码不在档案里",IF(N($J2900)&lt;=0,"※出库数量要大于 0",IF($K2900="","※没填去向类型",IF($L2900="","※没填去向矿区",IF(AND($C2900&lt;&gt;"",$C2900&lt;=结账锁),"※日期早于已结账截止日，不能再录",IF(AND($K2900="自用消耗",COUNTIF({"一矿区";"二矿区"},$L2900)=0),"※自用消耗的去向只能是一矿区或二矿区",IF(AND($K2900="对外销售",COUNTIF({"三矿区";"六矿区"},$L2900)=0),"※对外销售的去向只能是三矿区或六矿区",IF(AND($K2900="对外销售",ROUND($Q2900,0)=0),"※外销却没有售价，请填实际售价",IF(AND($K2900="对外销售",$T2900&lt;&gt;"",$T2900&lt;0),"※这一笔外销是亏的，请核对售价",IF(IFERROR(VLOOKUP($D2900,库存台账!$A$5:$Y$1204,24,0),0)&lt;-0.001,"※这个物料账面已经变成负数了，查一下是不是漏记入库","")))))))))))</f>
        <v/>
      </c>
    </row>
    <row r="2901">
      <c r="A2901" s="24">
        <f>IF($D2901="","",COUNTA($D$4:$D2901))</f>
        <v/>
      </c>
      <c r="B2901" s="17" t="n"/>
      <c r="C2901" s="30" t="n"/>
      <c r="D2901" s="17" t="n"/>
      <c r="E2901" s="24">
        <f>IF($D2901="","",IFERROR(VLOOKUP($D2901,物料档案!$A$4:$P$1203,3,0),"※编码不在物料档案里"))</f>
        <v/>
      </c>
      <c r="F2901" s="24">
        <f>IF($D2901="","",IFERROR(VLOOKUP($D2901,物料档案!$A$4:$P$1203,4,0),"※编码不在物料档案里"))</f>
        <v/>
      </c>
      <c r="G2901" s="24">
        <f>IF($D2901="","",IFERROR(VLOOKUP($D2901,物料档案!$A$4:$P$1203,5,0),"※编码不在物料档案里"))</f>
        <v/>
      </c>
      <c r="H2901" s="24">
        <f>IF($D2901="","",IFERROR(VLOOKUP($D2901,物料档案!$A$4:$P$1203,2,0),"※编码不在物料档案里"))</f>
        <v/>
      </c>
      <c r="I2901" s="24">
        <f>IF($D2901="","",IFERROR(VLOOKUP($D2901,物料档案!$A$4:$P$1203,6,0),"※编码不在物料档案里"))</f>
        <v/>
      </c>
      <c r="J2901" s="23" t="n"/>
      <c r="K2901" s="17" t="n"/>
      <c r="L2901" s="17" t="n"/>
      <c r="M2901" s="17" t="n"/>
      <c r="N2901" s="17" t="n"/>
      <c r="O2901" s="26">
        <f>IF($D2901="","",IFERROR(VLOOKUP($D2901,物料档案!$A$4:$P$1203,10,0),0))</f>
        <v/>
      </c>
      <c r="P2901" s="32" t="n"/>
      <c r="Q2901" s="26">
        <f>IF($D2901="","",IF($K2901&lt;&gt;"对外销售",0,ROUND(N($J2901)*IF($P2901="",N($O2901),N($P2901)),0)))</f>
        <v/>
      </c>
      <c r="R2901" s="26">
        <f>IF($D2901="","",IFERROR(VLOOKUP($D2901,库存台账!$A$5:$Y$1204,11,0),0))</f>
        <v/>
      </c>
      <c r="S2901" s="26">
        <f>IF($D2901="","",ROUND(N($J2901)*N($R2901),0))</f>
        <v/>
      </c>
      <c r="T2901" s="26">
        <f>IF($D2901="","",IF($K2901&lt;&gt;"对外销售","",ROUND($Q2901-$S2901,0)))</f>
        <v/>
      </c>
      <c r="U2901" s="17" t="n"/>
      <c r="V2901" s="17" t="n"/>
      <c r="W2901" s="24">
        <f>IF($D2901="","",IF($E2901="※编码不在物料档案里","※物料编码不在档案里",IF(N($J2901)&lt;=0,"※出库数量要大于 0",IF($K2901="","※没填去向类型",IF($L2901="","※没填去向矿区",IF(AND($C2901&lt;&gt;"",$C2901&lt;=结账锁),"※日期早于已结账截止日，不能再录",IF(AND($K2901="自用消耗",COUNTIF({"一矿区";"二矿区"},$L2901)=0),"※自用消耗的去向只能是一矿区或二矿区",IF(AND($K2901="对外销售",COUNTIF({"三矿区";"六矿区"},$L2901)=0),"※对外销售的去向只能是三矿区或六矿区",IF(AND($K2901="对外销售",ROUND($Q2901,0)=0),"※外销却没有售价，请填实际售价",IF(AND($K2901="对外销售",$T2901&lt;&gt;"",$T2901&lt;0),"※这一笔外销是亏的，请核对售价",IF(IFERROR(VLOOKUP($D2901,库存台账!$A$5:$Y$1204,24,0),0)&lt;-0.001,"※这个物料账面已经变成负数了，查一下是不是漏记入库","")))))))))))</f>
        <v/>
      </c>
    </row>
    <row r="2902">
      <c r="A2902" s="24">
        <f>IF($D2902="","",COUNTA($D$4:$D2902))</f>
        <v/>
      </c>
      <c r="B2902" s="17" t="n"/>
      <c r="C2902" s="30" t="n"/>
      <c r="D2902" s="17" t="n"/>
      <c r="E2902" s="24">
        <f>IF($D2902="","",IFERROR(VLOOKUP($D2902,物料档案!$A$4:$P$1203,3,0),"※编码不在物料档案里"))</f>
        <v/>
      </c>
      <c r="F2902" s="24">
        <f>IF($D2902="","",IFERROR(VLOOKUP($D2902,物料档案!$A$4:$P$1203,4,0),"※编码不在物料档案里"))</f>
        <v/>
      </c>
      <c r="G2902" s="24">
        <f>IF($D2902="","",IFERROR(VLOOKUP($D2902,物料档案!$A$4:$P$1203,5,0),"※编码不在物料档案里"))</f>
        <v/>
      </c>
      <c r="H2902" s="24">
        <f>IF($D2902="","",IFERROR(VLOOKUP($D2902,物料档案!$A$4:$P$1203,2,0),"※编码不在物料档案里"))</f>
        <v/>
      </c>
      <c r="I2902" s="24">
        <f>IF($D2902="","",IFERROR(VLOOKUP($D2902,物料档案!$A$4:$P$1203,6,0),"※编码不在物料档案里"))</f>
        <v/>
      </c>
      <c r="J2902" s="23" t="n"/>
      <c r="K2902" s="17" t="n"/>
      <c r="L2902" s="17" t="n"/>
      <c r="M2902" s="17" t="n"/>
      <c r="N2902" s="17" t="n"/>
      <c r="O2902" s="26">
        <f>IF($D2902="","",IFERROR(VLOOKUP($D2902,物料档案!$A$4:$P$1203,10,0),0))</f>
        <v/>
      </c>
      <c r="P2902" s="32" t="n"/>
      <c r="Q2902" s="26">
        <f>IF($D2902="","",IF($K2902&lt;&gt;"对外销售",0,ROUND(N($J2902)*IF($P2902="",N($O2902),N($P2902)),0)))</f>
        <v/>
      </c>
      <c r="R2902" s="26">
        <f>IF($D2902="","",IFERROR(VLOOKUP($D2902,库存台账!$A$5:$Y$1204,11,0),0))</f>
        <v/>
      </c>
      <c r="S2902" s="26">
        <f>IF($D2902="","",ROUND(N($J2902)*N($R2902),0))</f>
        <v/>
      </c>
      <c r="T2902" s="26">
        <f>IF($D2902="","",IF($K2902&lt;&gt;"对外销售","",ROUND($Q2902-$S2902,0)))</f>
        <v/>
      </c>
      <c r="U2902" s="17" t="n"/>
      <c r="V2902" s="17" t="n"/>
      <c r="W2902" s="24">
        <f>IF($D2902="","",IF($E2902="※编码不在物料档案里","※物料编码不在档案里",IF(N($J2902)&lt;=0,"※出库数量要大于 0",IF($K2902="","※没填去向类型",IF($L2902="","※没填去向矿区",IF(AND($C2902&lt;&gt;"",$C2902&lt;=结账锁),"※日期早于已结账截止日，不能再录",IF(AND($K2902="自用消耗",COUNTIF({"一矿区";"二矿区"},$L2902)=0),"※自用消耗的去向只能是一矿区或二矿区",IF(AND($K2902="对外销售",COUNTIF({"三矿区";"六矿区"},$L2902)=0),"※对外销售的去向只能是三矿区或六矿区",IF(AND($K2902="对外销售",ROUND($Q2902,0)=0),"※外销却没有售价，请填实际售价",IF(AND($K2902="对外销售",$T2902&lt;&gt;"",$T2902&lt;0),"※这一笔外销是亏的，请核对售价",IF(IFERROR(VLOOKUP($D2902,库存台账!$A$5:$Y$1204,24,0),0)&lt;-0.001,"※这个物料账面已经变成负数了，查一下是不是漏记入库","")))))))))))</f>
        <v/>
      </c>
    </row>
    <row r="2903">
      <c r="A2903" s="24">
        <f>IF($D2903="","",COUNTA($D$4:$D2903))</f>
        <v/>
      </c>
      <c r="B2903" s="17" t="n"/>
      <c r="C2903" s="30" t="n"/>
      <c r="D2903" s="17" t="n"/>
      <c r="E2903" s="24">
        <f>IF($D2903="","",IFERROR(VLOOKUP($D2903,物料档案!$A$4:$P$1203,3,0),"※编码不在物料档案里"))</f>
        <v/>
      </c>
      <c r="F2903" s="24">
        <f>IF($D2903="","",IFERROR(VLOOKUP($D2903,物料档案!$A$4:$P$1203,4,0),"※编码不在物料档案里"))</f>
        <v/>
      </c>
      <c r="G2903" s="24">
        <f>IF($D2903="","",IFERROR(VLOOKUP($D2903,物料档案!$A$4:$P$1203,5,0),"※编码不在物料档案里"))</f>
        <v/>
      </c>
      <c r="H2903" s="24">
        <f>IF($D2903="","",IFERROR(VLOOKUP($D2903,物料档案!$A$4:$P$1203,2,0),"※编码不在物料档案里"))</f>
        <v/>
      </c>
      <c r="I2903" s="24">
        <f>IF($D2903="","",IFERROR(VLOOKUP($D2903,物料档案!$A$4:$P$1203,6,0),"※编码不在物料档案里"))</f>
        <v/>
      </c>
      <c r="J2903" s="23" t="n"/>
      <c r="K2903" s="17" t="n"/>
      <c r="L2903" s="17" t="n"/>
      <c r="M2903" s="17" t="n"/>
      <c r="N2903" s="17" t="n"/>
      <c r="O2903" s="26">
        <f>IF($D2903="","",IFERROR(VLOOKUP($D2903,物料档案!$A$4:$P$1203,10,0),0))</f>
        <v/>
      </c>
      <c r="P2903" s="32" t="n"/>
      <c r="Q2903" s="26">
        <f>IF($D2903="","",IF($K2903&lt;&gt;"对外销售",0,ROUND(N($J2903)*IF($P2903="",N($O2903),N($P2903)),0)))</f>
        <v/>
      </c>
      <c r="R2903" s="26">
        <f>IF($D2903="","",IFERROR(VLOOKUP($D2903,库存台账!$A$5:$Y$1204,11,0),0))</f>
        <v/>
      </c>
      <c r="S2903" s="26">
        <f>IF($D2903="","",ROUND(N($J2903)*N($R2903),0))</f>
        <v/>
      </c>
      <c r="T2903" s="26">
        <f>IF($D2903="","",IF($K2903&lt;&gt;"对外销售","",ROUND($Q2903-$S2903,0)))</f>
        <v/>
      </c>
      <c r="U2903" s="17" t="n"/>
      <c r="V2903" s="17" t="n"/>
      <c r="W2903" s="24">
        <f>IF($D2903="","",IF($E2903="※编码不在物料档案里","※物料编码不在档案里",IF(N($J2903)&lt;=0,"※出库数量要大于 0",IF($K2903="","※没填去向类型",IF($L2903="","※没填去向矿区",IF(AND($C2903&lt;&gt;"",$C2903&lt;=结账锁),"※日期早于已结账截止日，不能再录",IF(AND($K2903="自用消耗",COUNTIF({"一矿区";"二矿区"},$L2903)=0),"※自用消耗的去向只能是一矿区或二矿区",IF(AND($K2903="对外销售",COUNTIF({"三矿区";"六矿区"},$L2903)=0),"※对外销售的去向只能是三矿区或六矿区",IF(AND($K2903="对外销售",ROUND($Q2903,0)=0),"※外销却没有售价，请填实际售价",IF(AND($K2903="对外销售",$T2903&lt;&gt;"",$T2903&lt;0),"※这一笔外销是亏的，请核对售价",IF(IFERROR(VLOOKUP($D2903,库存台账!$A$5:$Y$1204,24,0),0)&lt;-0.001,"※这个物料账面已经变成负数了，查一下是不是漏记入库","")))))))))))</f>
        <v/>
      </c>
    </row>
    <row r="2904">
      <c r="A2904" s="24">
        <f>IF($D2904="","",COUNTA($D$4:$D2904))</f>
        <v/>
      </c>
      <c r="B2904" s="17" t="n"/>
      <c r="C2904" s="30" t="n"/>
      <c r="D2904" s="17" t="n"/>
      <c r="E2904" s="24">
        <f>IF($D2904="","",IFERROR(VLOOKUP($D2904,物料档案!$A$4:$P$1203,3,0),"※编码不在物料档案里"))</f>
        <v/>
      </c>
      <c r="F2904" s="24">
        <f>IF($D2904="","",IFERROR(VLOOKUP($D2904,物料档案!$A$4:$P$1203,4,0),"※编码不在物料档案里"))</f>
        <v/>
      </c>
      <c r="G2904" s="24">
        <f>IF($D2904="","",IFERROR(VLOOKUP($D2904,物料档案!$A$4:$P$1203,5,0),"※编码不在物料档案里"))</f>
        <v/>
      </c>
      <c r="H2904" s="24">
        <f>IF($D2904="","",IFERROR(VLOOKUP($D2904,物料档案!$A$4:$P$1203,2,0),"※编码不在物料档案里"))</f>
        <v/>
      </c>
      <c r="I2904" s="24">
        <f>IF($D2904="","",IFERROR(VLOOKUP($D2904,物料档案!$A$4:$P$1203,6,0),"※编码不在物料档案里"))</f>
        <v/>
      </c>
      <c r="J2904" s="23" t="n"/>
      <c r="K2904" s="17" t="n"/>
      <c r="L2904" s="17" t="n"/>
      <c r="M2904" s="17" t="n"/>
      <c r="N2904" s="17" t="n"/>
      <c r="O2904" s="26">
        <f>IF($D2904="","",IFERROR(VLOOKUP($D2904,物料档案!$A$4:$P$1203,10,0),0))</f>
        <v/>
      </c>
      <c r="P2904" s="32" t="n"/>
      <c r="Q2904" s="26">
        <f>IF($D2904="","",IF($K2904&lt;&gt;"对外销售",0,ROUND(N($J2904)*IF($P2904="",N($O2904),N($P2904)),0)))</f>
        <v/>
      </c>
      <c r="R2904" s="26">
        <f>IF($D2904="","",IFERROR(VLOOKUP($D2904,库存台账!$A$5:$Y$1204,11,0),0))</f>
        <v/>
      </c>
      <c r="S2904" s="26">
        <f>IF($D2904="","",ROUND(N($J2904)*N($R2904),0))</f>
        <v/>
      </c>
      <c r="T2904" s="26">
        <f>IF($D2904="","",IF($K2904&lt;&gt;"对外销售","",ROUND($Q2904-$S2904,0)))</f>
        <v/>
      </c>
      <c r="U2904" s="17" t="n"/>
      <c r="V2904" s="17" t="n"/>
      <c r="W2904" s="24">
        <f>IF($D2904="","",IF($E2904="※编码不在物料档案里","※物料编码不在档案里",IF(N($J2904)&lt;=0,"※出库数量要大于 0",IF($K2904="","※没填去向类型",IF($L2904="","※没填去向矿区",IF(AND($C2904&lt;&gt;"",$C2904&lt;=结账锁),"※日期早于已结账截止日，不能再录",IF(AND($K2904="自用消耗",COUNTIF({"一矿区";"二矿区"},$L2904)=0),"※自用消耗的去向只能是一矿区或二矿区",IF(AND($K2904="对外销售",COUNTIF({"三矿区";"六矿区"},$L2904)=0),"※对外销售的去向只能是三矿区或六矿区",IF(AND($K2904="对外销售",ROUND($Q2904,0)=0),"※外销却没有售价，请填实际售价",IF(AND($K2904="对外销售",$T2904&lt;&gt;"",$T2904&lt;0),"※这一笔外销是亏的，请核对售价",IF(IFERROR(VLOOKUP($D2904,库存台账!$A$5:$Y$1204,24,0),0)&lt;-0.001,"※这个物料账面已经变成负数了，查一下是不是漏记入库","")))))))))))</f>
        <v/>
      </c>
    </row>
    <row r="2905">
      <c r="A2905" s="24">
        <f>IF($D2905="","",COUNTA($D$4:$D2905))</f>
        <v/>
      </c>
      <c r="B2905" s="17" t="n"/>
      <c r="C2905" s="30" t="n"/>
      <c r="D2905" s="17" t="n"/>
      <c r="E2905" s="24">
        <f>IF($D2905="","",IFERROR(VLOOKUP($D2905,物料档案!$A$4:$P$1203,3,0),"※编码不在物料档案里"))</f>
        <v/>
      </c>
      <c r="F2905" s="24">
        <f>IF($D2905="","",IFERROR(VLOOKUP($D2905,物料档案!$A$4:$P$1203,4,0),"※编码不在物料档案里"))</f>
        <v/>
      </c>
      <c r="G2905" s="24">
        <f>IF($D2905="","",IFERROR(VLOOKUP($D2905,物料档案!$A$4:$P$1203,5,0),"※编码不在物料档案里"))</f>
        <v/>
      </c>
      <c r="H2905" s="24">
        <f>IF($D2905="","",IFERROR(VLOOKUP($D2905,物料档案!$A$4:$P$1203,2,0),"※编码不在物料档案里"))</f>
        <v/>
      </c>
      <c r="I2905" s="24">
        <f>IF($D2905="","",IFERROR(VLOOKUP($D2905,物料档案!$A$4:$P$1203,6,0),"※编码不在物料档案里"))</f>
        <v/>
      </c>
      <c r="J2905" s="23" t="n"/>
      <c r="K2905" s="17" t="n"/>
      <c r="L2905" s="17" t="n"/>
      <c r="M2905" s="17" t="n"/>
      <c r="N2905" s="17" t="n"/>
      <c r="O2905" s="26">
        <f>IF($D2905="","",IFERROR(VLOOKUP($D2905,物料档案!$A$4:$P$1203,10,0),0))</f>
        <v/>
      </c>
      <c r="P2905" s="32" t="n"/>
      <c r="Q2905" s="26">
        <f>IF($D2905="","",IF($K2905&lt;&gt;"对外销售",0,ROUND(N($J2905)*IF($P2905="",N($O2905),N($P2905)),0)))</f>
        <v/>
      </c>
      <c r="R2905" s="26">
        <f>IF($D2905="","",IFERROR(VLOOKUP($D2905,库存台账!$A$5:$Y$1204,11,0),0))</f>
        <v/>
      </c>
      <c r="S2905" s="26">
        <f>IF($D2905="","",ROUND(N($J2905)*N($R2905),0))</f>
        <v/>
      </c>
      <c r="T2905" s="26">
        <f>IF($D2905="","",IF($K2905&lt;&gt;"对外销售","",ROUND($Q2905-$S2905,0)))</f>
        <v/>
      </c>
      <c r="U2905" s="17" t="n"/>
      <c r="V2905" s="17" t="n"/>
      <c r="W2905" s="24">
        <f>IF($D2905="","",IF($E2905="※编码不在物料档案里","※物料编码不在档案里",IF(N($J2905)&lt;=0,"※出库数量要大于 0",IF($K2905="","※没填去向类型",IF($L2905="","※没填去向矿区",IF(AND($C2905&lt;&gt;"",$C2905&lt;=结账锁),"※日期早于已结账截止日，不能再录",IF(AND($K2905="自用消耗",COUNTIF({"一矿区";"二矿区"},$L2905)=0),"※自用消耗的去向只能是一矿区或二矿区",IF(AND($K2905="对外销售",COUNTIF({"三矿区";"六矿区"},$L2905)=0),"※对外销售的去向只能是三矿区或六矿区",IF(AND($K2905="对外销售",ROUND($Q2905,0)=0),"※外销却没有售价，请填实际售价",IF(AND($K2905="对外销售",$T2905&lt;&gt;"",$T2905&lt;0),"※这一笔外销是亏的，请核对售价",IF(IFERROR(VLOOKUP($D2905,库存台账!$A$5:$Y$1204,24,0),0)&lt;-0.001,"※这个物料账面已经变成负数了，查一下是不是漏记入库","")))))))))))</f>
        <v/>
      </c>
    </row>
    <row r="2906">
      <c r="A2906" s="24">
        <f>IF($D2906="","",COUNTA($D$4:$D2906))</f>
        <v/>
      </c>
      <c r="B2906" s="17" t="n"/>
      <c r="C2906" s="30" t="n"/>
      <c r="D2906" s="17" t="n"/>
      <c r="E2906" s="24">
        <f>IF($D2906="","",IFERROR(VLOOKUP($D2906,物料档案!$A$4:$P$1203,3,0),"※编码不在物料档案里"))</f>
        <v/>
      </c>
      <c r="F2906" s="24">
        <f>IF($D2906="","",IFERROR(VLOOKUP($D2906,物料档案!$A$4:$P$1203,4,0),"※编码不在物料档案里"))</f>
        <v/>
      </c>
      <c r="G2906" s="24">
        <f>IF($D2906="","",IFERROR(VLOOKUP($D2906,物料档案!$A$4:$P$1203,5,0),"※编码不在物料档案里"))</f>
        <v/>
      </c>
      <c r="H2906" s="24">
        <f>IF($D2906="","",IFERROR(VLOOKUP($D2906,物料档案!$A$4:$P$1203,2,0),"※编码不在物料档案里"))</f>
        <v/>
      </c>
      <c r="I2906" s="24">
        <f>IF($D2906="","",IFERROR(VLOOKUP($D2906,物料档案!$A$4:$P$1203,6,0),"※编码不在物料档案里"))</f>
        <v/>
      </c>
      <c r="J2906" s="23" t="n"/>
      <c r="K2906" s="17" t="n"/>
      <c r="L2906" s="17" t="n"/>
      <c r="M2906" s="17" t="n"/>
      <c r="N2906" s="17" t="n"/>
      <c r="O2906" s="26">
        <f>IF($D2906="","",IFERROR(VLOOKUP($D2906,物料档案!$A$4:$P$1203,10,0),0))</f>
        <v/>
      </c>
      <c r="P2906" s="32" t="n"/>
      <c r="Q2906" s="26">
        <f>IF($D2906="","",IF($K2906&lt;&gt;"对外销售",0,ROUND(N($J2906)*IF($P2906="",N($O2906),N($P2906)),0)))</f>
        <v/>
      </c>
      <c r="R2906" s="26">
        <f>IF($D2906="","",IFERROR(VLOOKUP($D2906,库存台账!$A$5:$Y$1204,11,0),0))</f>
        <v/>
      </c>
      <c r="S2906" s="26">
        <f>IF($D2906="","",ROUND(N($J2906)*N($R2906),0))</f>
        <v/>
      </c>
      <c r="T2906" s="26">
        <f>IF($D2906="","",IF($K2906&lt;&gt;"对外销售","",ROUND($Q2906-$S2906,0)))</f>
        <v/>
      </c>
      <c r="U2906" s="17" t="n"/>
      <c r="V2906" s="17" t="n"/>
      <c r="W2906" s="24">
        <f>IF($D2906="","",IF($E2906="※编码不在物料档案里","※物料编码不在档案里",IF(N($J2906)&lt;=0,"※出库数量要大于 0",IF($K2906="","※没填去向类型",IF($L2906="","※没填去向矿区",IF(AND($C2906&lt;&gt;"",$C2906&lt;=结账锁),"※日期早于已结账截止日，不能再录",IF(AND($K2906="自用消耗",COUNTIF({"一矿区";"二矿区"},$L2906)=0),"※自用消耗的去向只能是一矿区或二矿区",IF(AND($K2906="对外销售",COUNTIF({"三矿区";"六矿区"},$L2906)=0),"※对外销售的去向只能是三矿区或六矿区",IF(AND($K2906="对外销售",ROUND($Q2906,0)=0),"※外销却没有售价，请填实际售价",IF(AND($K2906="对外销售",$T2906&lt;&gt;"",$T2906&lt;0),"※这一笔外销是亏的，请核对售价",IF(IFERROR(VLOOKUP($D2906,库存台账!$A$5:$Y$1204,24,0),0)&lt;-0.001,"※这个物料账面已经变成负数了，查一下是不是漏记入库","")))))))))))</f>
        <v/>
      </c>
    </row>
    <row r="2907">
      <c r="A2907" s="24">
        <f>IF($D2907="","",COUNTA($D$4:$D2907))</f>
        <v/>
      </c>
      <c r="B2907" s="17" t="n"/>
      <c r="C2907" s="30" t="n"/>
      <c r="D2907" s="17" t="n"/>
      <c r="E2907" s="24">
        <f>IF($D2907="","",IFERROR(VLOOKUP($D2907,物料档案!$A$4:$P$1203,3,0),"※编码不在物料档案里"))</f>
        <v/>
      </c>
      <c r="F2907" s="24">
        <f>IF($D2907="","",IFERROR(VLOOKUP($D2907,物料档案!$A$4:$P$1203,4,0),"※编码不在物料档案里"))</f>
        <v/>
      </c>
      <c r="G2907" s="24">
        <f>IF($D2907="","",IFERROR(VLOOKUP($D2907,物料档案!$A$4:$P$1203,5,0),"※编码不在物料档案里"))</f>
        <v/>
      </c>
      <c r="H2907" s="24">
        <f>IF($D2907="","",IFERROR(VLOOKUP($D2907,物料档案!$A$4:$P$1203,2,0),"※编码不在物料档案里"))</f>
        <v/>
      </c>
      <c r="I2907" s="24">
        <f>IF($D2907="","",IFERROR(VLOOKUP($D2907,物料档案!$A$4:$P$1203,6,0),"※编码不在物料档案里"))</f>
        <v/>
      </c>
      <c r="J2907" s="23" t="n"/>
      <c r="K2907" s="17" t="n"/>
      <c r="L2907" s="17" t="n"/>
      <c r="M2907" s="17" t="n"/>
      <c r="N2907" s="17" t="n"/>
      <c r="O2907" s="26">
        <f>IF($D2907="","",IFERROR(VLOOKUP($D2907,物料档案!$A$4:$P$1203,10,0),0))</f>
        <v/>
      </c>
      <c r="P2907" s="32" t="n"/>
      <c r="Q2907" s="26">
        <f>IF($D2907="","",IF($K2907&lt;&gt;"对外销售",0,ROUND(N($J2907)*IF($P2907="",N($O2907),N($P2907)),0)))</f>
        <v/>
      </c>
      <c r="R2907" s="26">
        <f>IF($D2907="","",IFERROR(VLOOKUP($D2907,库存台账!$A$5:$Y$1204,11,0),0))</f>
        <v/>
      </c>
      <c r="S2907" s="26">
        <f>IF($D2907="","",ROUND(N($J2907)*N($R2907),0))</f>
        <v/>
      </c>
      <c r="T2907" s="26">
        <f>IF($D2907="","",IF($K2907&lt;&gt;"对外销售","",ROUND($Q2907-$S2907,0)))</f>
        <v/>
      </c>
      <c r="U2907" s="17" t="n"/>
      <c r="V2907" s="17" t="n"/>
      <c r="W2907" s="24">
        <f>IF($D2907="","",IF($E2907="※编码不在物料档案里","※物料编码不在档案里",IF(N($J2907)&lt;=0,"※出库数量要大于 0",IF($K2907="","※没填去向类型",IF($L2907="","※没填去向矿区",IF(AND($C2907&lt;&gt;"",$C2907&lt;=结账锁),"※日期早于已结账截止日，不能再录",IF(AND($K2907="自用消耗",COUNTIF({"一矿区";"二矿区"},$L2907)=0),"※自用消耗的去向只能是一矿区或二矿区",IF(AND($K2907="对外销售",COUNTIF({"三矿区";"六矿区"},$L2907)=0),"※对外销售的去向只能是三矿区或六矿区",IF(AND($K2907="对外销售",ROUND($Q2907,0)=0),"※外销却没有售价，请填实际售价",IF(AND($K2907="对外销售",$T2907&lt;&gt;"",$T2907&lt;0),"※这一笔外销是亏的，请核对售价",IF(IFERROR(VLOOKUP($D2907,库存台账!$A$5:$Y$1204,24,0),0)&lt;-0.001,"※这个物料账面已经变成负数了，查一下是不是漏记入库","")))))))))))</f>
        <v/>
      </c>
    </row>
    <row r="2908">
      <c r="A2908" s="24">
        <f>IF($D2908="","",COUNTA($D$4:$D2908))</f>
        <v/>
      </c>
      <c r="B2908" s="17" t="n"/>
      <c r="C2908" s="30" t="n"/>
      <c r="D2908" s="17" t="n"/>
      <c r="E2908" s="24">
        <f>IF($D2908="","",IFERROR(VLOOKUP($D2908,物料档案!$A$4:$P$1203,3,0),"※编码不在物料档案里"))</f>
        <v/>
      </c>
      <c r="F2908" s="24">
        <f>IF($D2908="","",IFERROR(VLOOKUP($D2908,物料档案!$A$4:$P$1203,4,0),"※编码不在物料档案里"))</f>
        <v/>
      </c>
      <c r="G2908" s="24">
        <f>IF($D2908="","",IFERROR(VLOOKUP($D2908,物料档案!$A$4:$P$1203,5,0),"※编码不在物料档案里"))</f>
        <v/>
      </c>
      <c r="H2908" s="24">
        <f>IF($D2908="","",IFERROR(VLOOKUP($D2908,物料档案!$A$4:$P$1203,2,0),"※编码不在物料档案里"))</f>
        <v/>
      </c>
      <c r="I2908" s="24">
        <f>IF($D2908="","",IFERROR(VLOOKUP($D2908,物料档案!$A$4:$P$1203,6,0),"※编码不在物料档案里"))</f>
        <v/>
      </c>
      <c r="J2908" s="23" t="n"/>
      <c r="K2908" s="17" t="n"/>
      <c r="L2908" s="17" t="n"/>
      <c r="M2908" s="17" t="n"/>
      <c r="N2908" s="17" t="n"/>
      <c r="O2908" s="26">
        <f>IF($D2908="","",IFERROR(VLOOKUP($D2908,物料档案!$A$4:$P$1203,10,0),0))</f>
        <v/>
      </c>
      <c r="P2908" s="32" t="n"/>
      <c r="Q2908" s="26">
        <f>IF($D2908="","",IF($K2908&lt;&gt;"对外销售",0,ROUND(N($J2908)*IF($P2908="",N($O2908),N($P2908)),0)))</f>
        <v/>
      </c>
      <c r="R2908" s="26">
        <f>IF($D2908="","",IFERROR(VLOOKUP($D2908,库存台账!$A$5:$Y$1204,11,0),0))</f>
        <v/>
      </c>
      <c r="S2908" s="26">
        <f>IF($D2908="","",ROUND(N($J2908)*N($R2908),0))</f>
        <v/>
      </c>
      <c r="T2908" s="26">
        <f>IF($D2908="","",IF($K2908&lt;&gt;"对外销售","",ROUND($Q2908-$S2908,0)))</f>
        <v/>
      </c>
      <c r="U2908" s="17" t="n"/>
      <c r="V2908" s="17" t="n"/>
      <c r="W2908" s="24">
        <f>IF($D2908="","",IF($E2908="※编码不在物料档案里","※物料编码不在档案里",IF(N($J2908)&lt;=0,"※出库数量要大于 0",IF($K2908="","※没填去向类型",IF($L2908="","※没填去向矿区",IF(AND($C2908&lt;&gt;"",$C2908&lt;=结账锁),"※日期早于已结账截止日，不能再录",IF(AND($K2908="自用消耗",COUNTIF({"一矿区";"二矿区"},$L2908)=0),"※自用消耗的去向只能是一矿区或二矿区",IF(AND($K2908="对外销售",COUNTIF({"三矿区";"六矿区"},$L2908)=0),"※对外销售的去向只能是三矿区或六矿区",IF(AND($K2908="对外销售",ROUND($Q2908,0)=0),"※外销却没有售价，请填实际售价",IF(AND($K2908="对外销售",$T2908&lt;&gt;"",$T2908&lt;0),"※这一笔外销是亏的，请核对售价",IF(IFERROR(VLOOKUP($D2908,库存台账!$A$5:$Y$1204,24,0),0)&lt;-0.001,"※这个物料账面已经变成负数了，查一下是不是漏记入库","")))))))))))</f>
        <v/>
      </c>
    </row>
    <row r="2909">
      <c r="A2909" s="24">
        <f>IF($D2909="","",COUNTA($D$4:$D2909))</f>
        <v/>
      </c>
      <c r="B2909" s="17" t="n"/>
      <c r="C2909" s="30" t="n"/>
      <c r="D2909" s="17" t="n"/>
      <c r="E2909" s="24">
        <f>IF($D2909="","",IFERROR(VLOOKUP($D2909,物料档案!$A$4:$P$1203,3,0),"※编码不在物料档案里"))</f>
        <v/>
      </c>
      <c r="F2909" s="24">
        <f>IF($D2909="","",IFERROR(VLOOKUP($D2909,物料档案!$A$4:$P$1203,4,0),"※编码不在物料档案里"))</f>
        <v/>
      </c>
      <c r="G2909" s="24">
        <f>IF($D2909="","",IFERROR(VLOOKUP($D2909,物料档案!$A$4:$P$1203,5,0),"※编码不在物料档案里"))</f>
        <v/>
      </c>
      <c r="H2909" s="24">
        <f>IF($D2909="","",IFERROR(VLOOKUP($D2909,物料档案!$A$4:$P$1203,2,0),"※编码不在物料档案里"))</f>
        <v/>
      </c>
      <c r="I2909" s="24">
        <f>IF($D2909="","",IFERROR(VLOOKUP($D2909,物料档案!$A$4:$P$1203,6,0),"※编码不在物料档案里"))</f>
        <v/>
      </c>
      <c r="J2909" s="23" t="n"/>
      <c r="K2909" s="17" t="n"/>
      <c r="L2909" s="17" t="n"/>
      <c r="M2909" s="17" t="n"/>
      <c r="N2909" s="17" t="n"/>
      <c r="O2909" s="26">
        <f>IF($D2909="","",IFERROR(VLOOKUP($D2909,物料档案!$A$4:$P$1203,10,0),0))</f>
        <v/>
      </c>
      <c r="P2909" s="32" t="n"/>
      <c r="Q2909" s="26">
        <f>IF($D2909="","",IF($K2909&lt;&gt;"对外销售",0,ROUND(N($J2909)*IF($P2909="",N($O2909),N($P2909)),0)))</f>
        <v/>
      </c>
      <c r="R2909" s="26">
        <f>IF($D2909="","",IFERROR(VLOOKUP($D2909,库存台账!$A$5:$Y$1204,11,0),0))</f>
        <v/>
      </c>
      <c r="S2909" s="26">
        <f>IF($D2909="","",ROUND(N($J2909)*N($R2909),0))</f>
        <v/>
      </c>
      <c r="T2909" s="26">
        <f>IF($D2909="","",IF($K2909&lt;&gt;"对外销售","",ROUND($Q2909-$S2909,0)))</f>
        <v/>
      </c>
      <c r="U2909" s="17" t="n"/>
      <c r="V2909" s="17" t="n"/>
      <c r="W2909" s="24">
        <f>IF($D2909="","",IF($E2909="※编码不在物料档案里","※物料编码不在档案里",IF(N($J2909)&lt;=0,"※出库数量要大于 0",IF($K2909="","※没填去向类型",IF($L2909="","※没填去向矿区",IF(AND($C2909&lt;&gt;"",$C2909&lt;=结账锁),"※日期早于已结账截止日，不能再录",IF(AND($K2909="自用消耗",COUNTIF({"一矿区";"二矿区"},$L2909)=0),"※自用消耗的去向只能是一矿区或二矿区",IF(AND($K2909="对外销售",COUNTIF({"三矿区";"六矿区"},$L2909)=0),"※对外销售的去向只能是三矿区或六矿区",IF(AND($K2909="对外销售",ROUND($Q2909,0)=0),"※外销却没有售价，请填实际售价",IF(AND($K2909="对外销售",$T2909&lt;&gt;"",$T2909&lt;0),"※这一笔外销是亏的，请核对售价",IF(IFERROR(VLOOKUP($D2909,库存台账!$A$5:$Y$1204,24,0),0)&lt;-0.001,"※这个物料账面已经变成负数了，查一下是不是漏记入库","")))))))))))</f>
        <v/>
      </c>
    </row>
    <row r="2910">
      <c r="A2910" s="24">
        <f>IF($D2910="","",COUNTA($D$4:$D2910))</f>
        <v/>
      </c>
      <c r="B2910" s="17" t="n"/>
      <c r="C2910" s="30" t="n"/>
      <c r="D2910" s="17" t="n"/>
      <c r="E2910" s="24">
        <f>IF($D2910="","",IFERROR(VLOOKUP($D2910,物料档案!$A$4:$P$1203,3,0),"※编码不在物料档案里"))</f>
        <v/>
      </c>
      <c r="F2910" s="24">
        <f>IF($D2910="","",IFERROR(VLOOKUP($D2910,物料档案!$A$4:$P$1203,4,0),"※编码不在物料档案里"))</f>
        <v/>
      </c>
      <c r="G2910" s="24">
        <f>IF($D2910="","",IFERROR(VLOOKUP($D2910,物料档案!$A$4:$P$1203,5,0),"※编码不在物料档案里"))</f>
        <v/>
      </c>
      <c r="H2910" s="24">
        <f>IF($D2910="","",IFERROR(VLOOKUP($D2910,物料档案!$A$4:$P$1203,2,0),"※编码不在物料档案里"))</f>
        <v/>
      </c>
      <c r="I2910" s="24">
        <f>IF($D2910="","",IFERROR(VLOOKUP($D2910,物料档案!$A$4:$P$1203,6,0),"※编码不在物料档案里"))</f>
        <v/>
      </c>
      <c r="J2910" s="23" t="n"/>
      <c r="K2910" s="17" t="n"/>
      <c r="L2910" s="17" t="n"/>
      <c r="M2910" s="17" t="n"/>
      <c r="N2910" s="17" t="n"/>
      <c r="O2910" s="26">
        <f>IF($D2910="","",IFERROR(VLOOKUP($D2910,物料档案!$A$4:$P$1203,10,0),0))</f>
        <v/>
      </c>
      <c r="P2910" s="32" t="n"/>
      <c r="Q2910" s="26">
        <f>IF($D2910="","",IF($K2910&lt;&gt;"对外销售",0,ROUND(N($J2910)*IF($P2910="",N($O2910),N($P2910)),0)))</f>
        <v/>
      </c>
      <c r="R2910" s="26">
        <f>IF($D2910="","",IFERROR(VLOOKUP($D2910,库存台账!$A$5:$Y$1204,11,0),0))</f>
        <v/>
      </c>
      <c r="S2910" s="26">
        <f>IF($D2910="","",ROUND(N($J2910)*N($R2910),0))</f>
        <v/>
      </c>
      <c r="T2910" s="26">
        <f>IF($D2910="","",IF($K2910&lt;&gt;"对外销售","",ROUND($Q2910-$S2910,0)))</f>
        <v/>
      </c>
      <c r="U2910" s="17" t="n"/>
      <c r="V2910" s="17" t="n"/>
      <c r="W2910" s="24">
        <f>IF($D2910="","",IF($E2910="※编码不在物料档案里","※物料编码不在档案里",IF(N($J2910)&lt;=0,"※出库数量要大于 0",IF($K2910="","※没填去向类型",IF($L2910="","※没填去向矿区",IF(AND($C2910&lt;&gt;"",$C2910&lt;=结账锁),"※日期早于已结账截止日，不能再录",IF(AND($K2910="自用消耗",COUNTIF({"一矿区";"二矿区"},$L2910)=0),"※自用消耗的去向只能是一矿区或二矿区",IF(AND($K2910="对外销售",COUNTIF({"三矿区";"六矿区"},$L2910)=0),"※对外销售的去向只能是三矿区或六矿区",IF(AND($K2910="对外销售",ROUND($Q2910,0)=0),"※外销却没有售价，请填实际售价",IF(AND($K2910="对外销售",$T2910&lt;&gt;"",$T2910&lt;0),"※这一笔外销是亏的，请核对售价",IF(IFERROR(VLOOKUP($D2910,库存台账!$A$5:$Y$1204,24,0),0)&lt;-0.001,"※这个物料账面已经变成负数了，查一下是不是漏记入库","")))))))))))</f>
        <v/>
      </c>
    </row>
    <row r="2911">
      <c r="A2911" s="24">
        <f>IF($D2911="","",COUNTA($D$4:$D2911))</f>
        <v/>
      </c>
      <c r="B2911" s="17" t="n"/>
      <c r="C2911" s="30" t="n"/>
      <c r="D2911" s="17" t="n"/>
      <c r="E2911" s="24">
        <f>IF($D2911="","",IFERROR(VLOOKUP($D2911,物料档案!$A$4:$P$1203,3,0),"※编码不在物料档案里"))</f>
        <v/>
      </c>
      <c r="F2911" s="24">
        <f>IF($D2911="","",IFERROR(VLOOKUP($D2911,物料档案!$A$4:$P$1203,4,0),"※编码不在物料档案里"))</f>
        <v/>
      </c>
      <c r="G2911" s="24">
        <f>IF($D2911="","",IFERROR(VLOOKUP($D2911,物料档案!$A$4:$P$1203,5,0),"※编码不在物料档案里"))</f>
        <v/>
      </c>
      <c r="H2911" s="24">
        <f>IF($D2911="","",IFERROR(VLOOKUP($D2911,物料档案!$A$4:$P$1203,2,0),"※编码不在物料档案里"))</f>
        <v/>
      </c>
      <c r="I2911" s="24">
        <f>IF($D2911="","",IFERROR(VLOOKUP($D2911,物料档案!$A$4:$P$1203,6,0),"※编码不在物料档案里"))</f>
        <v/>
      </c>
      <c r="J2911" s="23" t="n"/>
      <c r="K2911" s="17" t="n"/>
      <c r="L2911" s="17" t="n"/>
      <c r="M2911" s="17" t="n"/>
      <c r="N2911" s="17" t="n"/>
      <c r="O2911" s="26">
        <f>IF($D2911="","",IFERROR(VLOOKUP($D2911,物料档案!$A$4:$P$1203,10,0),0))</f>
        <v/>
      </c>
      <c r="P2911" s="32" t="n"/>
      <c r="Q2911" s="26">
        <f>IF($D2911="","",IF($K2911&lt;&gt;"对外销售",0,ROUND(N($J2911)*IF($P2911="",N($O2911),N($P2911)),0)))</f>
        <v/>
      </c>
      <c r="R2911" s="26">
        <f>IF($D2911="","",IFERROR(VLOOKUP($D2911,库存台账!$A$5:$Y$1204,11,0),0))</f>
        <v/>
      </c>
      <c r="S2911" s="26">
        <f>IF($D2911="","",ROUND(N($J2911)*N($R2911),0))</f>
        <v/>
      </c>
      <c r="T2911" s="26">
        <f>IF($D2911="","",IF($K2911&lt;&gt;"对外销售","",ROUND($Q2911-$S2911,0)))</f>
        <v/>
      </c>
      <c r="U2911" s="17" t="n"/>
      <c r="V2911" s="17" t="n"/>
      <c r="W2911" s="24">
        <f>IF($D2911="","",IF($E2911="※编码不在物料档案里","※物料编码不在档案里",IF(N($J2911)&lt;=0,"※出库数量要大于 0",IF($K2911="","※没填去向类型",IF($L2911="","※没填去向矿区",IF(AND($C2911&lt;&gt;"",$C2911&lt;=结账锁),"※日期早于已结账截止日，不能再录",IF(AND($K2911="自用消耗",COUNTIF({"一矿区";"二矿区"},$L2911)=0),"※自用消耗的去向只能是一矿区或二矿区",IF(AND($K2911="对外销售",COUNTIF({"三矿区";"六矿区"},$L2911)=0),"※对外销售的去向只能是三矿区或六矿区",IF(AND($K2911="对外销售",ROUND($Q2911,0)=0),"※外销却没有售价，请填实际售价",IF(AND($K2911="对外销售",$T2911&lt;&gt;"",$T2911&lt;0),"※这一笔外销是亏的，请核对售价",IF(IFERROR(VLOOKUP($D2911,库存台账!$A$5:$Y$1204,24,0),0)&lt;-0.001,"※这个物料账面已经变成负数了，查一下是不是漏记入库","")))))))))))</f>
        <v/>
      </c>
    </row>
    <row r="2912">
      <c r="A2912" s="24">
        <f>IF($D2912="","",COUNTA($D$4:$D2912))</f>
        <v/>
      </c>
      <c r="B2912" s="17" t="n"/>
      <c r="C2912" s="30" t="n"/>
      <c r="D2912" s="17" t="n"/>
      <c r="E2912" s="24">
        <f>IF($D2912="","",IFERROR(VLOOKUP($D2912,物料档案!$A$4:$P$1203,3,0),"※编码不在物料档案里"))</f>
        <v/>
      </c>
      <c r="F2912" s="24">
        <f>IF($D2912="","",IFERROR(VLOOKUP($D2912,物料档案!$A$4:$P$1203,4,0),"※编码不在物料档案里"))</f>
        <v/>
      </c>
      <c r="G2912" s="24">
        <f>IF($D2912="","",IFERROR(VLOOKUP($D2912,物料档案!$A$4:$P$1203,5,0),"※编码不在物料档案里"))</f>
        <v/>
      </c>
      <c r="H2912" s="24">
        <f>IF($D2912="","",IFERROR(VLOOKUP($D2912,物料档案!$A$4:$P$1203,2,0),"※编码不在物料档案里"))</f>
        <v/>
      </c>
      <c r="I2912" s="24">
        <f>IF($D2912="","",IFERROR(VLOOKUP($D2912,物料档案!$A$4:$P$1203,6,0),"※编码不在物料档案里"))</f>
        <v/>
      </c>
      <c r="J2912" s="23" t="n"/>
      <c r="K2912" s="17" t="n"/>
      <c r="L2912" s="17" t="n"/>
      <c r="M2912" s="17" t="n"/>
      <c r="N2912" s="17" t="n"/>
      <c r="O2912" s="26">
        <f>IF($D2912="","",IFERROR(VLOOKUP($D2912,物料档案!$A$4:$P$1203,10,0),0))</f>
        <v/>
      </c>
      <c r="P2912" s="32" t="n"/>
      <c r="Q2912" s="26">
        <f>IF($D2912="","",IF($K2912&lt;&gt;"对外销售",0,ROUND(N($J2912)*IF($P2912="",N($O2912),N($P2912)),0)))</f>
        <v/>
      </c>
      <c r="R2912" s="26">
        <f>IF($D2912="","",IFERROR(VLOOKUP($D2912,库存台账!$A$5:$Y$1204,11,0),0))</f>
        <v/>
      </c>
      <c r="S2912" s="26">
        <f>IF($D2912="","",ROUND(N($J2912)*N($R2912),0))</f>
        <v/>
      </c>
      <c r="T2912" s="26">
        <f>IF($D2912="","",IF($K2912&lt;&gt;"对外销售","",ROUND($Q2912-$S2912,0)))</f>
        <v/>
      </c>
      <c r="U2912" s="17" t="n"/>
      <c r="V2912" s="17" t="n"/>
      <c r="W2912" s="24">
        <f>IF($D2912="","",IF($E2912="※编码不在物料档案里","※物料编码不在档案里",IF(N($J2912)&lt;=0,"※出库数量要大于 0",IF($K2912="","※没填去向类型",IF($L2912="","※没填去向矿区",IF(AND($C2912&lt;&gt;"",$C2912&lt;=结账锁),"※日期早于已结账截止日，不能再录",IF(AND($K2912="自用消耗",COUNTIF({"一矿区";"二矿区"},$L2912)=0),"※自用消耗的去向只能是一矿区或二矿区",IF(AND($K2912="对外销售",COUNTIF({"三矿区";"六矿区"},$L2912)=0),"※对外销售的去向只能是三矿区或六矿区",IF(AND($K2912="对外销售",ROUND($Q2912,0)=0),"※外销却没有售价，请填实际售价",IF(AND($K2912="对外销售",$T2912&lt;&gt;"",$T2912&lt;0),"※这一笔外销是亏的，请核对售价",IF(IFERROR(VLOOKUP($D2912,库存台账!$A$5:$Y$1204,24,0),0)&lt;-0.001,"※这个物料账面已经变成负数了，查一下是不是漏记入库","")))))))))))</f>
        <v/>
      </c>
    </row>
    <row r="2913">
      <c r="A2913" s="24">
        <f>IF($D2913="","",COUNTA($D$4:$D2913))</f>
        <v/>
      </c>
      <c r="B2913" s="17" t="n"/>
      <c r="C2913" s="30" t="n"/>
      <c r="D2913" s="17" t="n"/>
      <c r="E2913" s="24">
        <f>IF($D2913="","",IFERROR(VLOOKUP($D2913,物料档案!$A$4:$P$1203,3,0),"※编码不在物料档案里"))</f>
        <v/>
      </c>
      <c r="F2913" s="24">
        <f>IF($D2913="","",IFERROR(VLOOKUP($D2913,物料档案!$A$4:$P$1203,4,0),"※编码不在物料档案里"))</f>
        <v/>
      </c>
      <c r="G2913" s="24">
        <f>IF($D2913="","",IFERROR(VLOOKUP($D2913,物料档案!$A$4:$P$1203,5,0),"※编码不在物料档案里"))</f>
        <v/>
      </c>
      <c r="H2913" s="24">
        <f>IF($D2913="","",IFERROR(VLOOKUP($D2913,物料档案!$A$4:$P$1203,2,0),"※编码不在物料档案里"))</f>
        <v/>
      </c>
      <c r="I2913" s="24">
        <f>IF($D2913="","",IFERROR(VLOOKUP($D2913,物料档案!$A$4:$P$1203,6,0),"※编码不在物料档案里"))</f>
        <v/>
      </c>
      <c r="J2913" s="23" t="n"/>
      <c r="K2913" s="17" t="n"/>
      <c r="L2913" s="17" t="n"/>
      <c r="M2913" s="17" t="n"/>
      <c r="N2913" s="17" t="n"/>
      <c r="O2913" s="26">
        <f>IF($D2913="","",IFERROR(VLOOKUP($D2913,物料档案!$A$4:$P$1203,10,0),0))</f>
        <v/>
      </c>
      <c r="P2913" s="32" t="n"/>
      <c r="Q2913" s="26">
        <f>IF($D2913="","",IF($K2913&lt;&gt;"对外销售",0,ROUND(N($J2913)*IF($P2913="",N($O2913),N($P2913)),0)))</f>
        <v/>
      </c>
      <c r="R2913" s="26">
        <f>IF($D2913="","",IFERROR(VLOOKUP($D2913,库存台账!$A$5:$Y$1204,11,0),0))</f>
        <v/>
      </c>
      <c r="S2913" s="26">
        <f>IF($D2913="","",ROUND(N($J2913)*N($R2913),0))</f>
        <v/>
      </c>
      <c r="T2913" s="26">
        <f>IF($D2913="","",IF($K2913&lt;&gt;"对外销售","",ROUND($Q2913-$S2913,0)))</f>
        <v/>
      </c>
      <c r="U2913" s="17" t="n"/>
      <c r="V2913" s="17" t="n"/>
      <c r="W2913" s="24">
        <f>IF($D2913="","",IF($E2913="※编码不在物料档案里","※物料编码不在档案里",IF(N($J2913)&lt;=0,"※出库数量要大于 0",IF($K2913="","※没填去向类型",IF($L2913="","※没填去向矿区",IF(AND($C2913&lt;&gt;"",$C2913&lt;=结账锁),"※日期早于已结账截止日，不能再录",IF(AND($K2913="自用消耗",COUNTIF({"一矿区";"二矿区"},$L2913)=0),"※自用消耗的去向只能是一矿区或二矿区",IF(AND($K2913="对外销售",COUNTIF({"三矿区";"六矿区"},$L2913)=0),"※对外销售的去向只能是三矿区或六矿区",IF(AND($K2913="对外销售",ROUND($Q2913,0)=0),"※外销却没有售价，请填实际售价",IF(AND($K2913="对外销售",$T2913&lt;&gt;"",$T2913&lt;0),"※这一笔外销是亏的，请核对售价",IF(IFERROR(VLOOKUP($D2913,库存台账!$A$5:$Y$1204,24,0),0)&lt;-0.001,"※这个物料账面已经变成负数了，查一下是不是漏记入库","")))))))))))</f>
        <v/>
      </c>
    </row>
    <row r="2914">
      <c r="A2914" s="24">
        <f>IF($D2914="","",COUNTA($D$4:$D2914))</f>
        <v/>
      </c>
      <c r="B2914" s="17" t="n"/>
      <c r="C2914" s="30" t="n"/>
      <c r="D2914" s="17" t="n"/>
      <c r="E2914" s="24">
        <f>IF($D2914="","",IFERROR(VLOOKUP($D2914,物料档案!$A$4:$P$1203,3,0),"※编码不在物料档案里"))</f>
        <v/>
      </c>
      <c r="F2914" s="24">
        <f>IF($D2914="","",IFERROR(VLOOKUP($D2914,物料档案!$A$4:$P$1203,4,0),"※编码不在物料档案里"))</f>
        <v/>
      </c>
      <c r="G2914" s="24">
        <f>IF($D2914="","",IFERROR(VLOOKUP($D2914,物料档案!$A$4:$P$1203,5,0),"※编码不在物料档案里"))</f>
        <v/>
      </c>
      <c r="H2914" s="24">
        <f>IF($D2914="","",IFERROR(VLOOKUP($D2914,物料档案!$A$4:$P$1203,2,0),"※编码不在物料档案里"))</f>
        <v/>
      </c>
      <c r="I2914" s="24">
        <f>IF($D2914="","",IFERROR(VLOOKUP($D2914,物料档案!$A$4:$P$1203,6,0),"※编码不在物料档案里"))</f>
        <v/>
      </c>
      <c r="J2914" s="23" t="n"/>
      <c r="K2914" s="17" t="n"/>
      <c r="L2914" s="17" t="n"/>
      <c r="M2914" s="17" t="n"/>
      <c r="N2914" s="17" t="n"/>
      <c r="O2914" s="26">
        <f>IF($D2914="","",IFERROR(VLOOKUP($D2914,物料档案!$A$4:$P$1203,10,0),0))</f>
        <v/>
      </c>
      <c r="P2914" s="32" t="n"/>
      <c r="Q2914" s="26">
        <f>IF($D2914="","",IF($K2914&lt;&gt;"对外销售",0,ROUND(N($J2914)*IF($P2914="",N($O2914),N($P2914)),0)))</f>
        <v/>
      </c>
      <c r="R2914" s="26">
        <f>IF($D2914="","",IFERROR(VLOOKUP($D2914,库存台账!$A$5:$Y$1204,11,0),0))</f>
        <v/>
      </c>
      <c r="S2914" s="26">
        <f>IF($D2914="","",ROUND(N($J2914)*N($R2914),0))</f>
        <v/>
      </c>
      <c r="T2914" s="26">
        <f>IF($D2914="","",IF($K2914&lt;&gt;"对外销售","",ROUND($Q2914-$S2914,0)))</f>
        <v/>
      </c>
      <c r="U2914" s="17" t="n"/>
      <c r="V2914" s="17" t="n"/>
      <c r="W2914" s="24">
        <f>IF($D2914="","",IF($E2914="※编码不在物料档案里","※物料编码不在档案里",IF(N($J2914)&lt;=0,"※出库数量要大于 0",IF($K2914="","※没填去向类型",IF($L2914="","※没填去向矿区",IF(AND($C2914&lt;&gt;"",$C2914&lt;=结账锁),"※日期早于已结账截止日，不能再录",IF(AND($K2914="自用消耗",COUNTIF({"一矿区";"二矿区"},$L2914)=0),"※自用消耗的去向只能是一矿区或二矿区",IF(AND($K2914="对外销售",COUNTIF({"三矿区";"六矿区"},$L2914)=0),"※对外销售的去向只能是三矿区或六矿区",IF(AND($K2914="对外销售",ROUND($Q2914,0)=0),"※外销却没有售价，请填实际售价",IF(AND($K2914="对外销售",$T2914&lt;&gt;"",$T2914&lt;0),"※这一笔外销是亏的，请核对售价",IF(IFERROR(VLOOKUP($D2914,库存台账!$A$5:$Y$1204,24,0),0)&lt;-0.001,"※这个物料账面已经变成负数了，查一下是不是漏记入库","")))))))))))</f>
        <v/>
      </c>
    </row>
    <row r="2915">
      <c r="A2915" s="24">
        <f>IF($D2915="","",COUNTA($D$4:$D2915))</f>
        <v/>
      </c>
      <c r="B2915" s="17" t="n"/>
      <c r="C2915" s="30" t="n"/>
      <c r="D2915" s="17" t="n"/>
      <c r="E2915" s="24">
        <f>IF($D2915="","",IFERROR(VLOOKUP($D2915,物料档案!$A$4:$P$1203,3,0),"※编码不在物料档案里"))</f>
        <v/>
      </c>
      <c r="F2915" s="24">
        <f>IF($D2915="","",IFERROR(VLOOKUP($D2915,物料档案!$A$4:$P$1203,4,0),"※编码不在物料档案里"))</f>
        <v/>
      </c>
      <c r="G2915" s="24">
        <f>IF($D2915="","",IFERROR(VLOOKUP($D2915,物料档案!$A$4:$P$1203,5,0),"※编码不在物料档案里"))</f>
        <v/>
      </c>
      <c r="H2915" s="24">
        <f>IF($D2915="","",IFERROR(VLOOKUP($D2915,物料档案!$A$4:$P$1203,2,0),"※编码不在物料档案里"))</f>
        <v/>
      </c>
      <c r="I2915" s="24">
        <f>IF($D2915="","",IFERROR(VLOOKUP($D2915,物料档案!$A$4:$P$1203,6,0),"※编码不在物料档案里"))</f>
        <v/>
      </c>
      <c r="J2915" s="23" t="n"/>
      <c r="K2915" s="17" t="n"/>
      <c r="L2915" s="17" t="n"/>
      <c r="M2915" s="17" t="n"/>
      <c r="N2915" s="17" t="n"/>
      <c r="O2915" s="26">
        <f>IF($D2915="","",IFERROR(VLOOKUP($D2915,物料档案!$A$4:$P$1203,10,0),0))</f>
        <v/>
      </c>
      <c r="P2915" s="32" t="n"/>
      <c r="Q2915" s="26">
        <f>IF($D2915="","",IF($K2915&lt;&gt;"对外销售",0,ROUND(N($J2915)*IF($P2915="",N($O2915),N($P2915)),0)))</f>
        <v/>
      </c>
      <c r="R2915" s="26">
        <f>IF($D2915="","",IFERROR(VLOOKUP($D2915,库存台账!$A$5:$Y$1204,11,0),0))</f>
        <v/>
      </c>
      <c r="S2915" s="26">
        <f>IF($D2915="","",ROUND(N($J2915)*N($R2915),0))</f>
        <v/>
      </c>
      <c r="T2915" s="26">
        <f>IF($D2915="","",IF($K2915&lt;&gt;"对外销售","",ROUND($Q2915-$S2915,0)))</f>
        <v/>
      </c>
      <c r="U2915" s="17" t="n"/>
      <c r="V2915" s="17" t="n"/>
      <c r="W2915" s="24">
        <f>IF($D2915="","",IF($E2915="※编码不在物料档案里","※物料编码不在档案里",IF(N($J2915)&lt;=0,"※出库数量要大于 0",IF($K2915="","※没填去向类型",IF($L2915="","※没填去向矿区",IF(AND($C2915&lt;&gt;"",$C2915&lt;=结账锁),"※日期早于已结账截止日，不能再录",IF(AND($K2915="自用消耗",COUNTIF({"一矿区";"二矿区"},$L2915)=0),"※自用消耗的去向只能是一矿区或二矿区",IF(AND($K2915="对外销售",COUNTIF({"三矿区";"六矿区"},$L2915)=0),"※对外销售的去向只能是三矿区或六矿区",IF(AND($K2915="对外销售",ROUND($Q2915,0)=0),"※外销却没有售价，请填实际售价",IF(AND($K2915="对外销售",$T2915&lt;&gt;"",$T2915&lt;0),"※这一笔外销是亏的，请核对售价",IF(IFERROR(VLOOKUP($D2915,库存台账!$A$5:$Y$1204,24,0),0)&lt;-0.001,"※这个物料账面已经变成负数了，查一下是不是漏记入库","")))))))))))</f>
        <v/>
      </c>
    </row>
    <row r="2916">
      <c r="A2916" s="24">
        <f>IF($D2916="","",COUNTA($D$4:$D2916))</f>
        <v/>
      </c>
      <c r="B2916" s="17" t="n"/>
      <c r="C2916" s="30" t="n"/>
      <c r="D2916" s="17" t="n"/>
      <c r="E2916" s="24">
        <f>IF($D2916="","",IFERROR(VLOOKUP($D2916,物料档案!$A$4:$P$1203,3,0),"※编码不在物料档案里"))</f>
        <v/>
      </c>
      <c r="F2916" s="24">
        <f>IF($D2916="","",IFERROR(VLOOKUP($D2916,物料档案!$A$4:$P$1203,4,0),"※编码不在物料档案里"))</f>
        <v/>
      </c>
      <c r="G2916" s="24">
        <f>IF($D2916="","",IFERROR(VLOOKUP($D2916,物料档案!$A$4:$P$1203,5,0),"※编码不在物料档案里"))</f>
        <v/>
      </c>
      <c r="H2916" s="24">
        <f>IF($D2916="","",IFERROR(VLOOKUP($D2916,物料档案!$A$4:$P$1203,2,0),"※编码不在物料档案里"))</f>
        <v/>
      </c>
      <c r="I2916" s="24">
        <f>IF($D2916="","",IFERROR(VLOOKUP($D2916,物料档案!$A$4:$P$1203,6,0),"※编码不在物料档案里"))</f>
        <v/>
      </c>
      <c r="J2916" s="23" t="n"/>
      <c r="K2916" s="17" t="n"/>
      <c r="L2916" s="17" t="n"/>
      <c r="M2916" s="17" t="n"/>
      <c r="N2916" s="17" t="n"/>
      <c r="O2916" s="26">
        <f>IF($D2916="","",IFERROR(VLOOKUP($D2916,物料档案!$A$4:$P$1203,10,0),0))</f>
        <v/>
      </c>
      <c r="P2916" s="32" t="n"/>
      <c r="Q2916" s="26">
        <f>IF($D2916="","",IF($K2916&lt;&gt;"对外销售",0,ROUND(N($J2916)*IF($P2916="",N($O2916),N($P2916)),0)))</f>
        <v/>
      </c>
      <c r="R2916" s="26">
        <f>IF($D2916="","",IFERROR(VLOOKUP($D2916,库存台账!$A$5:$Y$1204,11,0),0))</f>
        <v/>
      </c>
      <c r="S2916" s="26">
        <f>IF($D2916="","",ROUND(N($J2916)*N($R2916),0))</f>
        <v/>
      </c>
      <c r="T2916" s="26">
        <f>IF($D2916="","",IF($K2916&lt;&gt;"对外销售","",ROUND($Q2916-$S2916,0)))</f>
        <v/>
      </c>
      <c r="U2916" s="17" t="n"/>
      <c r="V2916" s="17" t="n"/>
      <c r="W2916" s="24">
        <f>IF($D2916="","",IF($E2916="※编码不在物料档案里","※物料编码不在档案里",IF(N($J2916)&lt;=0,"※出库数量要大于 0",IF($K2916="","※没填去向类型",IF($L2916="","※没填去向矿区",IF(AND($C2916&lt;&gt;"",$C2916&lt;=结账锁),"※日期早于已结账截止日，不能再录",IF(AND($K2916="自用消耗",COUNTIF({"一矿区";"二矿区"},$L2916)=0),"※自用消耗的去向只能是一矿区或二矿区",IF(AND($K2916="对外销售",COUNTIF({"三矿区";"六矿区"},$L2916)=0),"※对外销售的去向只能是三矿区或六矿区",IF(AND($K2916="对外销售",ROUND($Q2916,0)=0),"※外销却没有售价，请填实际售价",IF(AND($K2916="对外销售",$T2916&lt;&gt;"",$T2916&lt;0),"※这一笔外销是亏的，请核对售价",IF(IFERROR(VLOOKUP($D2916,库存台账!$A$5:$Y$1204,24,0),0)&lt;-0.001,"※这个物料账面已经变成负数了，查一下是不是漏记入库","")))))))))))</f>
        <v/>
      </c>
    </row>
    <row r="2917">
      <c r="A2917" s="24">
        <f>IF($D2917="","",COUNTA($D$4:$D2917))</f>
        <v/>
      </c>
      <c r="B2917" s="17" t="n"/>
      <c r="C2917" s="30" t="n"/>
      <c r="D2917" s="17" t="n"/>
      <c r="E2917" s="24">
        <f>IF($D2917="","",IFERROR(VLOOKUP($D2917,物料档案!$A$4:$P$1203,3,0),"※编码不在物料档案里"))</f>
        <v/>
      </c>
      <c r="F2917" s="24">
        <f>IF($D2917="","",IFERROR(VLOOKUP($D2917,物料档案!$A$4:$P$1203,4,0),"※编码不在物料档案里"))</f>
        <v/>
      </c>
      <c r="G2917" s="24">
        <f>IF($D2917="","",IFERROR(VLOOKUP($D2917,物料档案!$A$4:$P$1203,5,0),"※编码不在物料档案里"))</f>
        <v/>
      </c>
      <c r="H2917" s="24">
        <f>IF($D2917="","",IFERROR(VLOOKUP($D2917,物料档案!$A$4:$P$1203,2,0),"※编码不在物料档案里"))</f>
        <v/>
      </c>
      <c r="I2917" s="24">
        <f>IF($D2917="","",IFERROR(VLOOKUP($D2917,物料档案!$A$4:$P$1203,6,0),"※编码不在物料档案里"))</f>
        <v/>
      </c>
      <c r="J2917" s="23" t="n"/>
      <c r="K2917" s="17" t="n"/>
      <c r="L2917" s="17" t="n"/>
      <c r="M2917" s="17" t="n"/>
      <c r="N2917" s="17" t="n"/>
      <c r="O2917" s="26">
        <f>IF($D2917="","",IFERROR(VLOOKUP($D2917,物料档案!$A$4:$P$1203,10,0),0))</f>
        <v/>
      </c>
      <c r="P2917" s="32" t="n"/>
      <c r="Q2917" s="26">
        <f>IF($D2917="","",IF($K2917&lt;&gt;"对外销售",0,ROUND(N($J2917)*IF($P2917="",N($O2917),N($P2917)),0)))</f>
        <v/>
      </c>
      <c r="R2917" s="26">
        <f>IF($D2917="","",IFERROR(VLOOKUP($D2917,库存台账!$A$5:$Y$1204,11,0),0))</f>
        <v/>
      </c>
      <c r="S2917" s="26">
        <f>IF($D2917="","",ROUND(N($J2917)*N($R2917),0))</f>
        <v/>
      </c>
      <c r="T2917" s="26">
        <f>IF($D2917="","",IF($K2917&lt;&gt;"对外销售","",ROUND($Q2917-$S2917,0)))</f>
        <v/>
      </c>
      <c r="U2917" s="17" t="n"/>
      <c r="V2917" s="17" t="n"/>
      <c r="W2917" s="24">
        <f>IF($D2917="","",IF($E2917="※编码不在物料档案里","※物料编码不在档案里",IF(N($J2917)&lt;=0,"※出库数量要大于 0",IF($K2917="","※没填去向类型",IF($L2917="","※没填去向矿区",IF(AND($C2917&lt;&gt;"",$C2917&lt;=结账锁),"※日期早于已结账截止日，不能再录",IF(AND($K2917="自用消耗",COUNTIF({"一矿区";"二矿区"},$L2917)=0),"※自用消耗的去向只能是一矿区或二矿区",IF(AND($K2917="对外销售",COUNTIF({"三矿区";"六矿区"},$L2917)=0),"※对外销售的去向只能是三矿区或六矿区",IF(AND($K2917="对外销售",ROUND($Q2917,0)=0),"※外销却没有售价，请填实际售价",IF(AND($K2917="对外销售",$T2917&lt;&gt;"",$T2917&lt;0),"※这一笔外销是亏的，请核对售价",IF(IFERROR(VLOOKUP($D2917,库存台账!$A$5:$Y$1204,24,0),0)&lt;-0.001,"※这个物料账面已经变成负数了，查一下是不是漏记入库","")))))))))))</f>
        <v/>
      </c>
    </row>
    <row r="2918">
      <c r="A2918" s="24">
        <f>IF($D2918="","",COUNTA($D$4:$D2918))</f>
        <v/>
      </c>
      <c r="B2918" s="17" t="n"/>
      <c r="C2918" s="30" t="n"/>
      <c r="D2918" s="17" t="n"/>
      <c r="E2918" s="24">
        <f>IF($D2918="","",IFERROR(VLOOKUP($D2918,物料档案!$A$4:$P$1203,3,0),"※编码不在物料档案里"))</f>
        <v/>
      </c>
      <c r="F2918" s="24">
        <f>IF($D2918="","",IFERROR(VLOOKUP($D2918,物料档案!$A$4:$P$1203,4,0),"※编码不在物料档案里"))</f>
        <v/>
      </c>
      <c r="G2918" s="24">
        <f>IF($D2918="","",IFERROR(VLOOKUP($D2918,物料档案!$A$4:$P$1203,5,0),"※编码不在物料档案里"))</f>
        <v/>
      </c>
      <c r="H2918" s="24">
        <f>IF($D2918="","",IFERROR(VLOOKUP($D2918,物料档案!$A$4:$P$1203,2,0),"※编码不在物料档案里"))</f>
        <v/>
      </c>
      <c r="I2918" s="24">
        <f>IF($D2918="","",IFERROR(VLOOKUP($D2918,物料档案!$A$4:$P$1203,6,0),"※编码不在物料档案里"))</f>
        <v/>
      </c>
      <c r="J2918" s="23" t="n"/>
      <c r="K2918" s="17" t="n"/>
      <c r="L2918" s="17" t="n"/>
      <c r="M2918" s="17" t="n"/>
      <c r="N2918" s="17" t="n"/>
      <c r="O2918" s="26">
        <f>IF($D2918="","",IFERROR(VLOOKUP($D2918,物料档案!$A$4:$P$1203,10,0),0))</f>
        <v/>
      </c>
      <c r="P2918" s="32" t="n"/>
      <c r="Q2918" s="26">
        <f>IF($D2918="","",IF($K2918&lt;&gt;"对外销售",0,ROUND(N($J2918)*IF($P2918="",N($O2918),N($P2918)),0)))</f>
        <v/>
      </c>
      <c r="R2918" s="26">
        <f>IF($D2918="","",IFERROR(VLOOKUP($D2918,库存台账!$A$5:$Y$1204,11,0),0))</f>
        <v/>
      </c>
      <c r="S2918" s="26">
        <f>IF($D2918="","",ROUND(N($J2918)*N($R2918),0))</f>
        <v/>
      </c>
      <c r="T2918" s="26">
        <f>IF($D2918="","",IF($K2918&lt;&gt;"对外销售","",ROUND($Q2918-$S2918,0)))</f>
        <v/>
      </c>
      <c r="U2918" s="17" t="n"/>
      <c r="V2918" s="17" t="n"/>
      <c r="W2918" s="24">
        <f>IF($D2918="","",IF($E2918="※编码不在物料档案里","※物料编码不在档案里",IF(N($J2918)&lt;=0,"※出库数量要大于 0",IF($K2918="","※没填去向类型",IF($L2918="","※没填去向矿区",IF(AND($C2918&lt;&gt;"",$C2918&lt;=结账锁),"※日期早于已结账截止日，不能再录",IF(AND($K2918="自用消耗",COUNTIF({"一矿区";"二矿区"},$L2918)=0),"※自用消耗的去向只能是一矿区或二矿区",IF(AND($K2918="对外销售",COUNTIF({"三矿区";"六矿区"},$L2918)=0),"※对外销售的去向只能是三矿区或六矿区",IF(AND($K2918="对外销售",ROUND($Q2918,0)=0),"※外销却没有售价，请填实际售价",IF(AND($K2918="对外销售",$T2918&lt;&gt;"",$T2918&lt;0),"※这一笔外销是亏的，请核对售价",IF(IFERROR(VLOOKUP($D2918,库存台账!$A$5:$Y$1204,24,0),0)&lt;-0.001,"※这个物料账面已经变成负数了，查一下是不是漏记入库","")))))))))))</f>
        <v/>
      </c>
    </row>
    <row r="2919">
      <c r="A2919" s="24">
        <f>IF($D2919="","",COUNTA($D$4:$D2919))</f>
        <v/>
      </c>
      <c r="B2919" s="17" t="n"/>
      <c r="C2919" s="30" t="n"/>
      <c r="D2919" s="17" t="n"/>
      <c r="E2919" s="24">
        <f>IF($D2919="","",IFERROR(VLOOKUP($D2919,物料档案!$A$4:$P$1203,3,0),"※编码不在物料档案里"))</f>
        <v/>
      </c>
      <c r="F2919" s="24">
        <f>IF($D2919="","",IFERROR(VLOOKUP($D2919,物料档案!$A$4:$P$1203,4,0),"※编码不在物料档案里"))</f>
        <v/>
      </c>
      <c r="G2919" s="24">
        <f>IF($D2919="","",IFERROR(VLOOKUP($D2919,物料档案!$A$4:$P$1203,5,0),"※编码不在物料档案里"))</f>
        <v/>
      </c>
      <c r="H2919" s="24">
        <f>IF($D2919="","",IFERROR(VLOOKUP($D2919,物料档案!$A$4:$P$1203,2,0),"※编码不在物料档案里"))</f>
        <v/>
      </c>
      <c r="I2919" s="24">
        <f>IF($D2919="","",IFERROR(VLOOKUP($D2919,物料档案!$A$4:$P$1203,6,0),"※编码不在物料档案里"))</f>
        <v/>
      </c>
      <c r="J2919" s="23" t="n"/>
      <c r="K2919" s="17" t="n"/>
      <c r="L2919" s="17" t="n"/>
      <c r="M2919" s="17" t="n"/>
      <c r="N2919" s="17" t="n"/>
      <c r="O2919" s="26">
        <f>IF($D2919="","",IFERROR(VLOOKUP($D2919,物料档案!$A$4:$P$1203,10,0),0))</f>
        <v/>
      </c>
      <c r="P2919" s="32" t="n"/>
      <c r="Q2919" s="26">
        <f>IF($D2919="","",IF($K2919&lt;&gt;"对外销售",0,ROUND(N($J2919)*IF($P2919="",N($O2919),N($P2919)),0)))</f>
        <v/>
      </c>
      <c r="R2919" s="26">
        <f>IF($D2919="","",IFERROR(VLOOKUP($D2919,库存台账!$A$5:$Y$1204,11,0),0))</f>
        <v/>
      </c>
      <c r="S2919" s="26">
        <f>IF($D2919="","",ROUND(N($J2919)*N($R2919),0))</f>
        <v/>
      </c>
      <c r="T2919" s="26">
        <f>IF($D2919="","",IF($K2919&lt;&gt;"对外销售","",ROUND($Q2919-$S2919,0)))</f>
        <v/>
      </c>
      <c r="U2919" s="17" t="n"/>
      <c r="V2919" s="17" t="n"/>
      <c r="W2919" s="24">
        <f>IF($D2919="","",IF($E2919="※编码不在物料档案里","※物料编码不在档案里",IF(N($J2919)&lt;=0,"※出库数量要大于 0",IF($K2919="","※没填去向类型",IF($L2919="","※没填去向矿区",IF(AND($C2919&lt;&gt;"",$C2919&lt;=结账锁),"※日期早于已结账截止日，不能再录",IF(AND($K2919="自用消耗",COUNTIF({"一矿区";"二矿区"},$L2919)=0),"※自用消耗的去向只能是一矿区或二矿区",IF(AND($K2919="对外销售",COUNTIF({"三矿区";"六矿区"},$L2919)=0),"※对外销售的去向只能是三矿区或六矿区",IF(AND($K2919="对外销售",ROUND($Q2919,0)=0),"※外销却没有售价，请填实际售价",IF(AND($K2919="对外销售",$T2919&lt;&gt;"",$T2919&lt;0),"※这一笔外销是亏的，请核对售价",IF(IFERROR(VLOOKUP($D2919,库存台账!$A$5:$Y$1204,24,0),0)&lt;-0.001,"※这个物料账面已经变成负数了，查一下是不是漏记入库","")))))))))))</f>
        <v/>
      </c>
    </row>
    <row r="2920">
      <c r="A2920" s="24">
        <f>IF($D2920="","",COUNTA($D$4:$D2920))</f>
        <v/>
      </c>
      <c r="B2920" s="17" t="n"/>
      <c r="C2920" s="30" t="n"/>
      <c r="D2920" s="17" t="n"/>
      <c r="E2920" s="24">
        <f>IF($D2920="","",IFERROR(VLOOKUP($D2920,物料档案!$A$4:$P$1203,3,0),"※编码不在物料档案里"))</f>
        <v/>
      </c>
      <c r="F2920" s="24">
        <f>IF($D2920="","",IFERROR(VLOOKUP($D2920,物料档案!$A$4:$P$1203,4,0),"※编码不在物料档案里"))</f>
        <v/>
      </c>
      <c r="G2920" s="24">
        <f>IF($D2920="","",IFERROR(VLOOKUP($D2920,物料档案!$A$4:$P$1203,5,0),"※编码不在物料档案里"))</f>
        <v/>
      </c>
      <c r="H2920" s="24">
        <f>IF($D2920="","",IFERROR(VLOOKUP($D2920,物料档案!$A$4:$P$1203,2,0),"※编码不在物料档案里"))</f>
        <v/>
      </c>
      <c r="I2920" s="24">
        <f>IF($D2920="","",IFERROR(VLOOKUP($D2920,物料档案!$A$4:$P$1203,6,0),"※编码不在物料档案里"))</f>
        <v/>
      </c>
      <c r="J2920" s="23" t="n"/>
      <c r="K2920" s="17" t="n"/>
      <c r="L2920" s="17" t="n"/>
      <c r="M2920" s="17" t="n"/>
      <c r="N2920" s="17" t="n"/>
      <c r="O2920" s="26">
        <f>IF($D2920="","",IFERROR(VLOOKUP($D2920,物料档案!$A$4:$P$1203,10,0),0))</f>
        <v/>
      </c>
      <c r="P2920" s="32" t="n"/>
      <c r="Q2920" s="26">
        <f>IF($D2920="","",IF($K2920&lt;&gt;"对外销售",0,ROUND(N($J2920)*IF($P2920="",N($O2920),N($P2920)),0)))</f>
        <v/>
      </c>
      <c r="R2920" s="26">
        <f>IF($D2920="","",IFERROR(VLOOKUP($D2920,库存台账!$A$5:$Y$1204,11,0),0))</f>
        <v/>
      </c>
      <c r="S2920" s="26">
        <f>IF($D2920="","",ROUND(N($J2920)*N($R2920),0))</f>
        <v/>
      </c>
      <c r="T2920" s="26">
        <f>IF($D2920="","",IF($K2920&lt;&gt;"对外销售","",ROUND($Q2920-$S2920,0)))</f>
        <v/>
      </c>
      <c r="U2920" s="17" t="n"/>
      <c r="V2920" s="17" t="n"/>
      <c r="W2920" s="24">
        <f>IF($D2920="","",IF($E2920="※编码不在物料档案里","※物料编码不在档案里",IF(N($J2920)&lt;=0,"※出库数量要大于 0",IF($K2920="","※没填去向类型",IF($L2920="","※没填去向矿区",IF(AND($C2920&lt;&gt;"",$C2920&lt;=结账锁),"※日期早于已结账截止日，不能再录",IF(AND($K2920="自用消耗",COUNTIF({"一矿区";"二矿区"},$L2920)=0),"※自用消耗的去向只能是一矿区或二矿区",IF(AND($K2920="对外销售",COUNTIF({"三矿区";"六矿区"},$L2920)=0),"※对外销售的去向只能是三矿区或六矿区",IF(AND($K2920="对外销售",ROUND($Q2920,0)=0),"※外销却没有售价，请填实际售价",IF(AND($K2920="对外销售",$T2920&lt;&gt;"",$T2920&lt;0),"※这一笔外销是亏的，请核对售价",IF(IFERROR(VLOOKUP($D2920,库存台账!$A$5:$Y$1204,24,0),0)&lt;-0.001,"※这个物料账面已经变成负数了，查一下是不是漏记入库","")))))))))))</f>
        <v/>
      </c>
    </row>
    <row r="2921">
      <c r="A2921" s="24">
        <f>IF($D2921="","",COUNTA($D$4:$D2921))</f>
        <v/>
      </c>
      <c r="B2921" s="17" t="n"/>
      <c r="C2921" s="30" t="n"/>
      <c r="D2921" s="17" t="n"/>
      <c r="E2921" s="24">
        <f>IF($D2921="","",IFERROR(VLOOKUP($D2921,物料档案!$A$4:$P$1203,3,0),"※编码不在物料档案里"))</f>
        <v/>
      </c>
      <c r="F2921" s="24">
        <f>IF($D2921="","",IFERROR(VLOOKUP($D2921,物料档案!$A$4:$P$1203,4,0),"※编码不在物料档案里"))</f>
        <v/>
      </c>
      <c r="G2921" s="24">
        <f>IF($D2921="","",IFERROR(VLOOKUP($D2921,物料档案!$A$4:$P$1203,5,0),"※编码不在物料档案里"))</f>
        <v/>
      </c>
      <c r="H2921" s="24">
        <f>IF($D2921="","",IFERROR(VLOOKUP($D2921,物料档案!$A$4:$P$1203,2,0),"※编码不在物料档案里"))</f>
        <v/>
      </c>
      <c r="I2921" s="24">
        <f>IF($D2921="","",IFERROR(VLOOKUP($D2921,物料档案!$A$4:$P$1203,6,0),"※编码不在物料档案里"))</f>
        <v/>
      </c>
      <c r="J2921" s="23" t="n"/>
      <c r="K2921" s="17" t="n"/>
      <c r="L2921" s="17" t="n"/>
      <c r="M2921" s="17" t="n"/>
      <c r="N2921" s="17" t="n"/>
      <c r="O2921" s="26">
        <f>IF($D2921="","",IFERROR(VLOOKUP($D2921,物料档案!$A$4:$P$1203,10,0),0))</f>
        <v/>
      </c>
      <c r="P2921" s="32" t="n"/>
      <c r="Q2921" s="26">
        <f>IF($D2921="","",IF($K2921&lt;&gt;"对外销售",0,ROUND(N($J2921)*IF($P2921="",N($O2921),N($P2921)),0)))</f>
        <v/>
      </c>
      <c r="R2921" s="26">
        <f>IF($D2921="","",IFERROR(VLOOKUP($D2921,库存台账!$A$5:$Y$1204,11,0),0))</f>
        <v/>
      </c>
      <c r="S2921" s="26">
        <f>IF($D2921="","",ROUND(N($J2921)*N($R2921),0))</f>
        <v/>
      </c>
      <c r="T2921" s="26">
        <f>IF($D2921="","",IF($K2921&lt;&gt;"对外销售","",ROUND($Q2921-$S2921,0)))</f>
        <v/>
      </c>
      <c r="U2921" s="17" t="n"/>
      <c r="V2921" s="17" t="n"/>
      <c r="W2921" s="24">
        <f>IF($D2921="","",IF($E2921="※编码不在物料档案里","※物料编码不在档案里",IF(N($J2921)&lt;=0,"※出库数量要大于 0",IF($K2921="","※没填去向类型",IF($L2921="","※没填去向矿区",IF(AND($C2921&lt;&gt;"",$C2921&lt;=结账锁),"※日期早于已结账截止日，不能再录",IF(AND($K2921="自用消耗",COUNTIF({"一矿区";"二矿区"},$L2921)=0),"※自用消耗的去向只能是一矿区或二矿区",IF(AND($K2921="对外销售",COUNTIF({"三矿区";"六矿区"},$L2921)=0),"※对外销售的去向只能是三矿区或六矿区",IF(AND($K2921="对外销售",ROUND($Q2921,0)=0),"※外销却没有售价，请填实际售价",IF(AND($K2921="对外销售",$T2921&lt;&gt;"",$T2921&lt;0),"※这一笔外销是亏的，请核对售价",IF(IFERROR(VLOOKUP($D2921,库存台账!$A$5:$Y$1204,24,0),0)&lt;-0.001,"※这个物料账面已经变成负数了，查一下是不是漏记入库","")))))))))))</f>
        <v/>
      </c>
    </row>
    <row r="2922">
      <c r="A2922" s="24">
        <f>IF($D2922="","",COUNTA($D$4:$D2922))</f>
        <v/>
      </c>
      <c r="B2922" s="17" t="n"/>
      <c r="C2922" s="30" t="n"/>
      <c r="D2922" s="17" t="n"/>
      <c r="E2922" s="24">
        <f>IF($D2922="","",IFERROR(VLOOKUP($D2922,物料档案!$A$4:$P$1203,3,0),"※编码不在物料档案里"))</f>
        <v/>
      </c>
      <c r="F2922" s="24">
        <f>IF($D2922="","",IFERROR(VLOOKUP($D2922,物料档案!$A$4:$P$1203,4,0),"※编码不在物料档案里"))</f>
        <v/>
      </c>
      <c r="G2922" s="24">
        <f>IF($D2922="","",IFERROR(VLOOKUP($D2922,物料档案!$A$4:$P$1203,5,0),"※编码不在物料档案里"))</f>
        <v/>
      </c>
      <c r="H2922" s="24">
        <f>IF($D2922="","",IFERROR(VLOOKUP($D2922,物料档案!$A$4:$P$1203,2,0),"※编码不在物料档案里"))</f>
        <v/>
      </c>
      <c r="I2922" s="24">
        <f>IF($D2922="","",IFERROR(VLOOKUP($D2922,物料档案!$A$4:$P$1203,6,0),"※编码不在物料档案里"))</f>
        <v/>
      </c>
      <c r="J2922" s="23" t="n"/>
      <c r="K2922" s="17" t="n"/>
      <c r="L2922" s="17" t="n"/>
      <c r="M2922" s="17" t="n"/>
      <c r="N2922" s="17" t="n"/>
      <c r="O2922" s="26">
        <f>IF($D2922="","",IFERROR(VLOOKUP($D2922,物料档案!$A$4:$P$1203,10,0),0))</f>
        <v/>
      </c>
      <c r="P2922" s="32" t="n"/>
      <c r="Q2922" s="26">
        <f>IF($D2922="","",IF($K2922&lt;&gt;"对外销售",0,ROUND(N($J2922)*IF($P2922="",N($O2922),N($P2922)),0)))</f>
        <v/>
      </c>
      <c r="R2922" s="26">
        <f>IF($D2922="","",IFERROR(VLOOKUP($D2922,库存台账!$A$5:$Y$1204,11,0),0))</f>
        <v/>
      </c>
      <c r="S2922" s="26">
        <f>IF($D2922="","",ROUND(N($J2922)*N($R2922),0))</f>
        <v/>
      </c>
      <c r="T2922" s="26">
        <f>IF($D2922="","",IF($K2922&lt;&gt;"对外销售","",ROUND($Q2922-$S2922,0)))</f>
        <v/>
      </c>
      <c r="U2922" s="17" t="n"/>
      <c r="V2922" s="17" t="n"/>
      <c r="W2922" s="24">
        <f>IF($D2922="","",IF($E2922="※编码不在物料档案里","※物料编码不在档案里",IF(N($J2922)&lt;=0,"※出库数量要大于 0",IF($K2922="","※没填去向类型",IF($L2922="","※没填去向矿区",IF(AND($C2922&lt;&gt;"",$C2922&lt;=结账锁),"※日期早于已结账截止日，不能再录",IF(AND($K2922="自用消耗",COUNTIF({"一矿区";"二矿区"},$L2922)=0),"※自用消耗的去向只能是一矿区或二矿区",IF(AND($K2922="对外销售",COUNTIF({"三矿区";"六矿区"},$L2922)=0),"※对外销售的去向只能是三矿区或六矿区",IF(AND($K2922="对外销售",ROUND($Q2922,0)=0),"※外销却没有售价，请填实际售价",IF(AND($K2922="对外销售",$T2922&lt;&gt;"",$T2922&lt;0),"※这一笔外销是亏的，请核对售价",IF(IFERROR(VLOOKUP($D2922,库存台账!$A$5:$Y$1204,24,0),0)&lt;-0.001,"※这个物料账面已经变成负数了，查一下是不是漏记入库","")))))))))))</f>
        <v/>
      </c>
    </row>
    <row r="2923">
      <c r="A2923" s="24">
        <f>IF($D2923="","",COUNTA($D$4:$D2923))</f>
        <v/>
      </c>
      <c r="B2923" s="17" t="n"/>
      <c r="C2923" s="30" t="n"/>
      <c r="D2923" s="17" t="n"/>
      <c r="E2923" s="24">
        <f>IF($D2923="","",IFERROR(VLOOKUP($D2923,物料档案!$A$4:$P$1203,3,0),"※编码不在物料档案里"))</f>
        <v/>
      </c>
      <c r="F2923" s="24">
        <f>IF($D2923="","",IFERROR(VLOOKUP($D2923,物料档案!$A$4:$P$1203,4,0),"※编码不在物料档案里"))</f>
        <v/>
      </c>
      <c r="G2923" s="24">
        <f>IF($D2923="","",IFERROR(VLOOKUP($D2923,物料档案!$A$4:$P$1203,5,0),"※编码不在物料档案里"))</f>
        <v/>
      </c>
      <c r="H2923" s="24">
        <f>IF($D2923="","",IFERROR(VLOOKUP($D2923,物料档案!$A$4:$P$1203,2,0),"※编码不在物料档案里"))</f>
        <v/>
      </c>
      <c r="I2923" s="24">
        <f>IF($D2923="","",IFERROR(VLOOKUP($D2923,物料档案!$A$4:$P$1203,6,0),"※编码不在物料档案里"))</f>
        <v/>
      </c>
      <c r="J2923" s="23" t="n"/>
      <c r="K2923" s="17" t="n"/>
      <c r="L2923" s="17" t="n"/>
      <c r="M2923" s="17" t="n"/>
      <c r="N2923" s="17" t="n"/>
      <c r="O2923" s="26">
        <f>IF($D2923="","",IFERROR(VLOOKUP($D2923,物料档案!$A$4:$P$1203,10,0),0))</f>
        <v/>
      </c>
      <c r="P2923" s="32" t="n"/>
      <c r="Q2923" s="26">
        <f>IF($D2923="","",IF($K2923&lt;&gt;"对外销售",0,ROUND(N($J2923)*IF($P2923="",N($O2923),N($P2923)),0)))</f>
        <v/>
      </c>
      <c r="R2923" s="26">
        <f>IF($D2923="","",IFERROR(VLOOKUP($D2923,库存台账!$A$5:$Y$1204,11,0),0))</f>
        <v/>
      </c>
      <c r="S2923" s="26">
        <f>IF($D2923="","",ROUND(N($J2923)*N($R2923),0))</f>
        <v/>
      </c>
      <c r="T2923" s="26">
        <f>IF($D2923="","",IF($K2923&lt;&gt;"对外销售","",ROUND($Q2923-$S2923,0)))</f>
        <v/>
      </c>
      <c r="U2923" s="17" t="n"/>
      <c r="V2923" s="17" t="n"/>
      <c r="W2923" s="24">
        <f>IF($D2923="","",IF($E2923="※编码不在物料档案里","※物料编码不在档案里",IF(N($J2923)&lt;=0,"※出库数量要大于 0",IF($K2923="","※没填去向类型",IF($L2923="","※没填去向矿区",IF(AND($C2923&lt;&gt;"",$C2923&lt;=结账锁),"※日期早于已结账截止日，不能再录",IF(AND($K2923="自用消耗",COUNTIF({"一矿区";"二矿区"},$L2923)=0),"※自用消耗的去向只能是一矿区或二矿区",IF(AND($K2923="对外销售",COUNTIF({"三矿区";"六矿区"},$L2923)=0),"※对外销售的去向只能是三矿区或六矿区",IF(AND($K2923="对外销售",ROUND($Q2923,0)=0),"※外销却没有售价，请填实际售价",IF(AND($K2923="对外销售",$T2923&lt;&gt;"",$T2923&lt;0),"※这一笔外销是亏的，请核对售价",IF(IFERROR(VLOOKUP($D2923,库存台账!$A$5:$Y$1204,24,0),0)&lt;-0.001,"※这个物料账面已经变成负数了，查一下是不是漏记入库","")))))))))))</f>
        <v/>
      </c>
    </row>
    <row r="2924">
      <c r="A2924" s="24">
        <f>IF($D2924="","",COUNTA($D$4:$D2924))</f>
        <v/>
      </c>
      <c r="B2924" s="17" t="n"/>
      <c r="C2924" s="30" t="n"/>
      <c r="D2924" s="17" t="n"/>
      <c r="E2924" s="24">
        <f>IF($D2924="","",IFERROR(VLOOKUP($D2924,物料档案!$A$4:$P$1203,3,0),"※编码不在物料档案里"))</f>
        <v/>
      </c>
      <c r="F2924" s="24">
        <f>IF($D2924="","",IFERROR(VLOOKUP($D2924,物料档案!$A$4:$P$1203,4,0),"※编码不在物料档案里"))</f>
        <v/>
      </c>
      <c r="G2924" s="24">
        <f>IF($D2924="","",IFERROR(VLOOKUP($D2924,物料档案!$A$4:$P$1203,5,0),"※编码不在物料档案里"))</f>
        <v/>
      </c>
      <c r="H2924" s="24">
        <f>IF($D2924="","",IFERROR(VLOOKUP($D2924,物料档案!$A$4:$P$1203,2,0),"※编码不在物料档案里"))</f>
        <v/>
      </c>
      <c r="I2924" s="24">
        <f>IF($D2924="","",IFERROR(VLOOKUP($D2924,物料档案!$A$4:$P$1203,6,0),"※编码不在物料档案里"))</f>
        <v/>
      </c>
      <c r="J2924" s="23" t="n"/>
      <c r="K2924" s="17" t="n"/>
      <c r="L2924" s="17" t="n"/>
      <c r="M2924" s="17" t="n"/>
      <c r="N2924" s="17" t="n"/>
      <c r="O2924" s="26">
        <f>IF($D2924="","",IFERROR(VLOOKUP($D2924,物料档案!$A$4:$P$1203,10,0),0))</f>
        <v/>
      </c>
      <c r="P2924" s="32" t="n"/>
      <c r="Q2924" s="26">
        <f>IF($D2924="","",IF($K2924&lt;&gt;"对外销售",0,ROUND(N($J2924)*IF($P2924="",N($O2924),N($P2924)),0)))</f>
        <v/>
      </c>
      <c r="R2924" s="26">
        <f>IF($D2924="","",IFERROR(VLOOKUP($D2924,库存台账!$A$5:$Y$1204,11,0),0))</f>
        <v/>
      </c>
      <c r="S2924" s="26">
        <f>IF($D2924="","",ROUND(N($J2924)*N($R2924),0))</f>
        <v/>
      </c>
      <c r="T2924" s="26">
        <f>IF($D2924="","",IF($K2924&lt;&gt;"对外销售","",ROUND($Q2924-$S2924,0)))</f>
        <v/>
      </c>
      <c r="U2924" s="17" t="n"/>
      <c r="V2924" s="17" t="n"/>
      <c r="W2924" s="24">
        <f>IF($D2924="","",IF($E2924="※编码不在物料档案里","※物料编码不在档案里",IF(N($J2924)&lt;=0,"※出库数量要大于 0",IF($K2924="","※没填去向类型",IF($L2924="","※没填去向矿区",IF(AND($C2924&lt;&gt;"",$C2924&lt;=结账锁),"※日期早于已结账截止日，不能再录",IF(AND($K2924="自用消耗",COUNTIF({"一矿区";"二矿区"},$L2924)=0),"※自用消耗的去向只能是一矿区或二矿区",IF(AND($K2924="对外销售",COUNTIF({"三矿区";"六矿区"},$L2924)=0),"※对外销售的去向只能是三矿区或六矿区",IF(AND($K2924="对外销售",ROUND($Q2924,0)=0),"※外销却没有售价，请填实际售价",IF(AND($K2924="对外销售",$T2924&lt;&gt;"",$T2924&lt;0),"※这一笔外销是亏的，请核对售价",IF(IFERROR(VLOOKUP($D2924,库存台账!$A$5:$Y$1204,24,0),0)&lt;-0.001,"※这个物料账面已经变成负数了，查一下是不是漏记入库","")))))))))))</f>
        <v/>
      </c>
    </row>
    <row r="2925">
      <c r="A2925" s="24">
        <f>IF($D2925="","",COUNTA($D$4:$D2925))</f>
        <v/>
      </c>
      <c r="B2925" s="17" t="n"/>
      <c r="C2925" s="30" t="n"/>
      <c r="D2925" s="17" t="n"/>
      <c r="E2925" s="24">
        <f>IF($D2925="","",IFERROR(VLOOKUP($D2925,物料档案!$A$4:$P$1203,3,0),"※编码不在物料档案里"))</f>
        <v/>
      </c>
      <c r="F2925" s="24">
        <f>IF($D2925="","",IFERROR(VLOOKUP($D2925,物料档案!$A$4:$P$1203,4,0),"※编码不在物料档案里"))</f>
        <v/>
      </c>
      <c r="G2925" s="24">
        <f>IF($D2925="","",IFERROR(VLOOKUP($D2925,物料档案!$A$4:$P$1203,5,0),"※编码不在物料档案里"))</f>
        <v/>
      </c>
      <c r="H2925" s="24">
        <f>IF($D2925="","",IFERROR(VLOOKUP($D2925,物料档案!$A$4:$P$1203,2,0),"※编码不在物料档案里"))</f>
        <v/>
      </c>
      <c r="I2925" s="24">
        <f>IF($D2925="","",IFERROR(VLOOKUP($D2925,物料档案!$A$4:$P$1203,6,0),"※编码不在物料档案里"))</f>
        <v/>
      </c>
      <c r="J2925" s="23" t="n"/>
      <c r="K2925" s="17" t="n"/>
      <c r="L2925" s="17" t="n"/>
      <c r="M2925" s="17" t="n"/>
      <c r="N2925" s="17" t="n"/>
      <c r="O2925" s="26">
        <f>IF($D2925="","",IFERROR(VLOOKUP($D2925,物料档案!$A$4:$P$1203,10,0),0))</f>
        <v/>
      </c>
      <c r="P2925" s="32" t="n"/>
      <c r="Q2925" s="26">
        <f>IF($D2925="","",IF($K2925&lt;&gt;"对外销售",0,ROUND(N($J2925)*IF($P2925="",N($O2925),N($P2925)),0)))</f>
        <v/>
      </c>
      <c r="R2925" s="26">
        <f>IF($D2925="","",IFERROR(VLOOKUP($D2925,库存台账!$A$5:$Y$1204,11,0),0))</f>
        <v/>
      </c>
      <c r="S2925" s="26">
        <f>IF($D2925="","",ROUND(N($J2925)*N($R2925),0))</f>
        <v/>
      </c>
      <c r="T2925" s="26">
        <f>IF($D2925="","",IF($K2925&lt;&gt;"对外销售","",ROUND($Q2925-$S2925,0)))</f>
        <v/>
      </c>
      <c r="U2925" s="17" t="n"/>
      <c r="V2925" s="17" t="n"/>
      <c r="W2925" s="24">
        <f>IF($D2925="","",IF($E2925="※编码不在物料档案里","※物料编码不在档案里",IF(N($J2925)&lt;=0,"※出库数量要大于 0",IF($K2925="","※没填去向类型",IF($L2925="","※没填去向矿区",IF(AND($C2925&lt;&gt;"",$C2925&lt;=结账锁),"※日期早于已结账截止日，不能再录",IF(AND($K2925="自用消耗",COUNTIF({"一矿区";"二矿区"},$L2925)=0),"※自用消耗的去向只能是一矿区或二矿区",IF(AND($K2925="对外销售",COUNTIF({"三矿区";"六矿区"},$L2925)=0),"※对外销售的去向只能是三矿区或六矿区",IF(AND($K2925="对外销售",ROUND($Q2925,0)=0),"※外销却没有售价，请填实际售价",IF(AND($K2925="对外销售",$T2925&lt;&gt;"",$T2925&lt;0),"※这一笔外销是亏的，请核对售价",IF(IFERROR(VLOOKUP($D2925,库存台账!$A$5:$Y$1204,24,0),0)&lt;-0.001,"※这个物料账面已经变成负数了，查一下是不是漏记入库","")))))))))))</f>
        <v/>
      </c>
    </row>
    <row r="2926">
      <c r="A2926" s="24">
        <f>IF($D2926="","",COUNTA($D$4:$D2926))</f>
        <v/>
      </c>
      <c r="B2926" s="17" t="n"/>
      <c r="C2926" s="30" t="n"/>
      <c r="D2926" s="17" t="n"/>
      <c r="E2926" s="24">
        <f>IF($D2926="","",IFERROR(VLOOKUP($D2926,物料档案!$A$4:$P$1203,3,0),"※编码不在物料档案里"))</f>
        <v/>
      </c>
      <c r="F2926" s="24">
        <f>IF($D2926="","",IFERROR(VLOOKUP($D2926,物料档案!$A$4:$P$1203,4,0),"※编码不在物料档案里"))</f>
        <v/>
      </c>
      <c r="G2926" s="24">
        <f>IF($D2926="","",IFERROR(VLOOKUP($D2926,物料档案!$A$4:$P$1203,5,0),"※编码不在物料档案里"))</f>
        <v/>
      </c>
      <c r="H2926" s="24">
        <f>IF($D2926="","",IFERROR(VLOOKUP($D2926,物料档案!$A$4:$P$1203,2,0),"※编码不在物料档案里"))</f>
        <v/>
      </c>
      <c r="I2926" s="24">
        <f>IF($D2926="","",IFERROR(VLOOKUP($D2926,物料档案!$A$4:$P$1203,6,0),"※编码不在物料档案里"))</f>
        <v/>
      </c>
      <c r="J2926" s="23" t="n"/>
      <c r="K2926" s="17" t="n"/>
      <c r="L2926" s="17" t="n"/>
      <c r="M2926" s="17" t="n"/>
      <c r="N2926" s="17" t="n"/>
      <c r="O2926" s="26">
        <f>IF($D2926="","",IFERROR(VLOOKUP($D2926,物料档案!$A$4:$P$1203,10,0),0))</f>
        <v/>
      </c>
      <c r="P2926" s="32" t="n"/>
      <c r="Q2926" s="26">
        <f>IF($D2926="","",IF($K2926&lt;&gt;"对外销售",0,ROUND(N($J2926)*IF($P2926="",N($O2926),N($P2926)),0)))</f>
        <v/>
      </c>
      <c r="R2926" s="26">
        <f>IF($D2926="","",IFERROR(VLOOKUP($D2926,库存台账!$A$5:$Y$1204,11,0),0))</f>
        <v/>
      </c>
      <c r="S2926" s="26">
        <f>IF($D2926="","",ROUND(N($J2926)*N($R2926),0))</f>
        <v/>
      </c>
      <c r="T2926" s="26">
        <f>IF($D2926="","",IF($K2926&lt;&gt;"对外销售","",ROUND($Q2926-$S2926,0)))</f>
        <v/>
      </c>
      <c r="U2926" s="17" t="n"/>
      <c r="V2926" s="17" t="n"/>
      <c r="W2926" s="24">
        <f>IF($D2926="","",IF($E2926="※编码不在物料档案里","※物料编码不在档案里",IF(N($J2926)&lt;=0,"※出库数量要大于 0",IF($K2926="","※没填去向类型",IF($L2926="","※没填去向矿区",IF(AND($C2926&lt;&gt;"",$C2926&lt;=结账锁),"※日期早于已结账截止日，不能再录",IF(AND($K2926="自用消耗",COUNTIF({"一矿区";"二矿区"},$L2926)=0),"※自用消耗的去向只能是一矿区或二矿区",IF(AND($K2926="对外销售",COUNTIF({"三矿区";"六矿区"},$L2926)=0),"※对外销售的去向只能是三矿区或六矿区",IF(AND($K2926="对外销售",ROUND($Q2926,0)=0),"※外销却没有售价，请填实际售价",IF(AND($K2926="对外销售",$T2926&lt;&gt;"",$T2926&lt;0),"※这一笔外销是亏的，请核对售价",IF(IFERROR(VLOOKUP($D2926,库存台账!$A$5:$Y$1204,24,0),0)&lt;-0.001,"※这个物料账面已经变成负数了，查一下是不是漏记入库","")))))))))))</f>
        <v/>
      </c>
    </row>
    <row r="2927">
      <c r="A2927" s="24">
        <f>IF($D2927="","",COUNTA($D$4:$D2927))</f>
        <v/>
      </c>
      <c r="B2927" s="17" t="n"/>
      <c r="C2927" s="30" t="n"/>
      <c r="D2927" s="17" t="n"/>
      <c r="E2927" s="24">
        <f>IF($D2927="","",IFERROR(VLOOKUP($D2927,物料档案!$A$4:$P$1203,3,0),"※编码不在物料档案里"))</f>
        <v/>
      </c>
      <c r="F2927" s="24">
        <f>IF($D2927="","",IFERROR(VLOOKUP($D2927,物料档案!$A$4:$P$1203,4,0),"※编码不在物料档案里"))</f>
        <v/>
      </c>
      <c r="G2927" s="24">
        <f>IF($D2927="","",IFERROR(VLOOKUP($D2927,物料档案!$A$4:$P$1203,5,0),"※编码不在物料档案里"))</f>
        <v/>
      </c>
      <c r="H2927" s="24">
        <f>IF($D2927="","",IFERROR(VLOOKUP($D2927,物料档案!$A$4:$P$1203,2,0),"※编码不在物料档案里"))</f>
        <v/>
      </c>
      <c r="I2927" s="24">
        <f>IF($D2927="","",IFERROR(VLOOKUP($D2927,物料档案!$A$4:$P$1203,6,0),"※编码不在物料档案里"))</f>
        <v/>
      </c>
      <c r="J2927" s="23" t="n"/>
      <c r="K2927" s="17" t="n"/>
      <c r="L2927" s="17" t="n"/>
      <c r="M2927" s="17" t="n"/>
      <c r="N2927" s="17" t="n"/>
      <c r="O2927" s="26">
        <f>IF($D2927="","",IFERROR(VLOOKUP($D2927,物料档案!$A$4:$P$1203,10,0),0))</f>
        <v/>
      </c>
      <c r="P2927" s="32" t="n"/>
      <c r="Q2927" s="26">
        <f>IF($D2927="","",IF($K2927&lt;&gt;"对外销售",0,ROUND(N($J2927)*IF($P2927="",N($O2927),N($P2927)),0)))</f>
        <v/>
      </c>
      <c r="R2927" s="26">
        <f>IF($D2927="","",IFERROR(VLOOKUP($D2927,库存台账!$A$5:$Y$1204,11,0),0))</f>
        <v/>
      </c>
      <c r="S2927" s="26">
        <f>IF($D2927="","",ROUND(N($J2927)*N($R2927),0))</f>
        <v/>
      </c>
      <c r="T2927" s="26">
        <f>IF($D2927="","",IF($K2927&lt;&gt;"对外销售","",ROUND($Q2927-$S2927,0)))</f>
        <v/>
      </c>
      <c r="U2927" s="17" t="n"/>
      <c r="V2927" s="17" t="n"/>
      <c r="W2927" s="24">
        <f>IF($D2927="","",IF($E2927="※编码不在物料档案里","※物料编码不在档案里",IF(N($J2927)&lt;=0,"※出库数量要大于 0",IF($K2927="","※没填去向类型",IF($L2927="","※没填去向矿区",IF(AND($C2927&lt;&gt;"",$C2927&lt;=结账锁),"※日期早于已结账截止日，不能再录",IF(AND($K2927="自用消耗",COUNTIF({"一矿区";"二矿区"},$L2927)=0),"※自用消耗的去向只能是一矿区或二矿区",IF(AND($K2927="对外销售",COUNTIF({"三矿区";"六矿区"},$L2927)=0),"※对外销售的去向只能是三矿区或六矿区",IF(AND($K2927="对外销售",ROUND($Q2927,0)=0),"※外销却没有售价，请填实际售价",IF(AND($K2927="对外销售",$T2927&lt;&gt;"",$T2927&lt;0),"※这一笔外销是亏的，请核对售价",IF(IFERROR(VLOOKUP($D2927,库存台账!$A$5:$Y$1204,24,0),0)&lt;-0.001,"※这个物料账面已经变成负数了，查一下是不是漏记入库","")))))))))))</f>
        <v/>
      </c>
    </row>
    <row r="2928">
      <c r="A2928" s="24">
        <f>IF($D2928="","",COUNTA($D$4:$D2928))</f>
        <v/>
      </c>
      <c r="B2928" s="17" t="n"/>
      <c r="C2928" s="30" t="n"/>
      <c r="D2928" s="17" t="n"/>
      <c r="E2928" s="24">
        <f>IF($D2928="","",IFERROR(VLOOKUP($D2928,物料档案!$A$4:$P$1203,3,0),"※编码不在物料档案里"))</f>
        <v/>
      </c>
      <c r="F2928" s="24">
        <f>IF($D2928="","",IFERROR(VLOOKUP($D2928,物料档案!$A$4:$P$1203,4,0),"※编码不在物料档案里"))</f>
        <v/>
      </c>
      <c r="G2928" s="24">
        <f>IF($D2928="","",IFERROR(VLOOKUP($D2928,物料档案!$A$4:$P$1203,5,0),"※编码不在物料档案里"))</f>
        <v/>
      </c>
      <c r="H2928" s="24">
        <f>IF($D2928="","",IFERROR(VLOOKUP($D2928,物料档案!$A$4:$P$1203,2,0),"※编码不在物料档案里"))</f>
        <v/>
      </c>
      <c r="I2928" s="24">
        <f>IF($D2928="","",IFERROR(VLOOKUP($D2928,物料档案!$A$4:$P$1203,6,0),"※编码不在物料档案里"))</f>
        <v/>
      </c>
      <c r="J2928" s="23" t="n"/>
      <c r="K2928" s="17" t="n"/>
      <c r="L2928" s="17" t="n"/>
      <c r="M2928" s="17" t="n"/>
      <c r="N2928" s="17" t="n"/>
      <c r="O2928" s="26">
        <f>IF($D2928="","",IFERROR(VLOOKUP($D2928,物料档案!$A$4:$P$1203,10,0),0))</f>
        <v/>
      </c>
      <c r="P2928" s="32" t="n"/>
      <c r="Q2928" s="26">
        <f>IF($D2928="","",IF($K2928&lt;&gt;"对外销售",0,ROUND(N($J2928)*IF($P2928="",N($O2928),N($P2928)),0)))</f>
        <v/>
      </c>
      <c r="R2928" s="26">
        <f>IF($D2928="","",IFERROR(VLOOKUP($D2928,库存台账!$A$5:$Y$1204,11,0),0))</f>
        <v/>
      </c>
      <c r="S2928" s="26">
        <f>IF($D2928="","",ROUND(N($J2928)*N($R2928),0))</f>
        <v/>
      </c>
      <c r="T2928" s="26">
        <f>IF($D2928="","",IF($K2928&lt;&gt;"对外销售","",ROUND($Q2928-$S2928,0)))</f>
        <v/>
      </c>
      <c r="U2928" s="17" t="n"/>
      <c r="V2928" s="17" t="n"/>
      <c r="W2928" s="24">
        <f>IF($D2928="","",IF($E2928="※编码不在物料档案里","※物料编码不在档案里",IF(N($J2928)&lt;=0,"※出库数量要大于 0",IF($K2928="","※没填去向类型",IF($L2928="","※没填去向矿区",IF(AND($C2928&lt;&gt;"",$C2928&lt;=结账锁),"※日期早于已结账截止日，不能再录",IF(AND($K2928="自用消耗",COUNTIF({"一矿区";"二矿区"},$L2928)=0),"※自用消耗的去向只能是一矿区或二矿区",IF(AND($K2928="对外销售",COUNTIF({"三矿区";"六矿区"},$L2928)=0),"※对外销售的去向只能是三矿区或六矿区",IF(AND($K2928="对外销售",ROUND($Q2928,0)=0),"※外销却没有售价，请填实际售价",IF(AND($K2928="对外销售",$T2928&lt;&gt;"",$T2928&lt;0),"※这一笔外销是亏的，请核对售价",IF(IFERROR(VLOOKUP($D2928,库存台账!$A$5:$Y$1204,24,0),0)&lt;-0.001,"※这个物料账面已经变成负数了，查一下是不是漏记入库","")))))))))))</f>
        <v/>
      </c>
    </row>
    <row r="2929">
      <c r="A2929" s="24">
        <f>IF($D2929="","",COUNTA($D$4:$D2929))</f>
        <v/>
      </c>
      <c r="B2929" s="17" t="n"/>
      <c r="C2929" s="30" t="n"/>
      <c r="D2929" s="17" t="n"/>
      <c r="E2929" s="24">
        <f>IF($D2929="","",IFERROR(VLOOKUP($D2929,物料档案!$A$4:$P$1203,3,0),"※编码不在物料档案里"))</f>
        <v/>
      </c>
      <c r="F2929" s="24">
        <f>IF($D2929="","",IFERROR(VLOOKUP($D2929,物料档案!$A$4:$P$1203,4,0),"※编码不在物料档案里"))</f>
        <v/>
      </c>
      <c r="G2929" s="24">
        <f>IF($D2929="","",IFERROR(VLOOKUP($D2929,物料档案!$A$4:$P$1203,5,0),"※编码不在物料档案里"))</f>
        <v/>
      </c>
      <c r="H2929" s="24">
        <f>IF($D2929="","",IFERROR(VLOOKUP($D2929,物料档案!$A$4:$P$1203,2,0),"※编码不在物料档案里"))</f>
        <v/>
      </c>
      <c r="I2929" s="24">
        <f>IF($D2929="","",IFERROR(VLOOKUP($D2929,物料档案!$A$4:$P$1203,6,0),"※编码不在物料档案里"))</f>
        <v/>
      </c>
      <c r="J2929" s="23" t="n"/>
      <c r="K2929" s="17" t="n"/>
      <c r="L2929" s="17" t="n"/>
      <c r="M2929" s="17" t="n"/>
      <c r="N2929" s="17" t="n"/>
      <c r="O2929" s="26">
        <f>IF($D2929="","",IFERROR(VLOOKUP($D2929,物料档案!$A$4:$P$1203,10,0),0))</f>
        <v/>
      </c>
      <c r="P2929" s="32" t="n"/>
      <c r="Q2929" s="26">
        <f>IF($D2929="","",IF($K2929&lt;&gt;"对外销售",0,ROUND(N($J2929)*IF($P2929="",N($O2929),N($P2929)),0)))</f>
        <v/>
      </c>
      <c r="R2929" s="26">
        <f>IF($D2929="","",IFERROR(VLOOKUP($D2929,库存台账!$A$5:$Y$1204,11,0),0))</f>
        <v/>
      </c>
      <c r="S2929" s="26">
        <f>IF($D2929="","",ROUND(N($J2929)*N($R2929),0))</f>
        <v/>
      </c>
      <c r="T2929" s="26">
        <f>IF($D2929="","",IF($K2929&lt;&gt;"对外销售","",ROUND($Q2929-$S2929,0)))</f>
        <v/>
      </c>
      <c r="U2929" s="17" t="n"/>
      <c r="V2929" s="17" t="n"/>
      <c r="W2929" s="24">
        <f>IF($D2929="","",IF($E2929="※编码不在物料档案里","※物料编码不在档案里",IF(N($J2929)&lt;=0,"※出库数量要大于 0",IF($K2929="","※没填去向类型",IF($L2929="","※没填去向矿区",IF(AND($C2929&lt;&gt;"",$C2929&lt;=结账锁),"※日期早于已结账截止日，不能再录",IF(AND($K2929="自用消耗",COUNTIF({"一矿区";"二矿区"},$L2929)=0),"※自用消耗的去向只能是一矿区或二矿区",IF(AND($K2929="对外销售",COUNTIF({"三矿区";"六矿区"},$L2929)=0),"※对外销售的去向只能是三矿区或六矿区",IF(AND($K2929="对外销售",ROUND($Q2929,0)=0),"※外销却没有售价，请填实际售价",IF(AND($K2929="对外销售",$T2929&lt;&gt;"",$T2929&lt;0),"※这一笔外销是亏的，请核对售价",IF(IFERROR(VLOOKUP($D2929,库存台账!$A$5:$Y$1204,24,0),0)&lt;-0.001,"※这个物料账面已经变成负数了，查一下是不是漏记入库","")))))))))))</f>
        <v/>
      </c>
    </row>
    <row r="2930">
      <c r="A2930" s="24">
        <f>IF($D2930="","",COUNTA($D$4:$D2930))</f>
        <v/>
      </c>
      <c r="B2930" s="17" t="n"/>
      <c r="C2930" s="30" t="n"/>
      <c r="D2930" s="17" t="n"/>
      <c r="E2930" s="24">
        <f>IF($D2930="","",IFERROR(VLOOKUP($D2930,物料档案!$A$4:$P$1203,3,0),"※编码不在物料档案里"))</f>
        <v/>
      </c>
      <c r="F2930" s="24">
        <f>IF($D2930="","",IFERROR(VLOOKUP($D2930,物料档案!$A$4:$P$1203,4,0),"※编码不在物料档案里"))</f>
        <v/>
      </c>
      <c r="G2930" s="24">
        <f>IF($D2930="","",IFERROR(VLOOKUP($D2930,物料档案!$A$4:$P$1203,5,0),"※编码不在物料档案里"))</f>
        <v/>
      </c>
      <c r="H2930" s="24">
        <f>IF($D2930="","",IFERROR(VLOOKUP($D2930,物料档案!$A$4:$P$1203,2,0),"※编码不在物料档案里"))</f>
        <v/>
      </c>
      <c r="I2930" s="24">
        <f>IF($D2930="","",IFERROR(VLOOKUP($D2930,物料档案!$A$4:$P$1203,6,0),"※编码不在物料档案里"))</f>
        <v/>
      </c>
      <c r="J2930" s="23" t="n"/>
      <c r="K2930" s="17" t="n"/>
      <c r="L2930" s="17" t="n"/>
      <c r="M2930" s="17" t="n"/>
      <c r="N2930" s="17" t="n"/>
      <c r="O2930" s="26">
        <f>IF($D2930="","",IFERROR(VLOOKUP($D2930,物料档案!$A$4:$P$1203,10,0),0))</f>
        <v/>
      </c>
      <c r="P2930" s="32" t="n"/>
      <c r="Q2930" s="26">
        <f>IF($D2930="","",IF($K2930&lt;&gt;"对外销售",0,ROUND(N($J2930)*IF($P2930="",N($O2930),N($P2930)),0)))</f>
        <v/>
      </c>
      <c r="R2930" s="26">
        <f>IF($D2930="","",IFERROR(VLOOKUP($D2930,库存台账!$A$5:$Y$1204,11,0),0))</f>
        <v/>
      </c>
      <c r="S2930" s="26">
        <f>IF($D2930="","",ROUND(N($J2930)*N($R2930),0))</f>
        <v/>
      </c>
      <c r="T2930" s="26">
        <f>IF($D2930="","",IF($K2930&lt;&gt;"对外销售","",ROUND($Q2930-$S2930,0)))</f>
        <v/>
      </c>
      <c r="U2930" s="17" t="n"/>
      <c r="V2930" s="17" t="n"/>
      <c r="W2930" s="24">
        <f>IF($D2930="","",IF($E2930="※编码不在物料档案里","※物料编码不在档案里",IF(N($J2930)&lt;=0,"※出库数量要大于 0",IF($K2930="","※没填去向类型",IF($L2930="","※没填去向矿区",IF(AND($C2930&lt;&gt;"",$C2930&lt;=结账锁),"※日期早于已结账截止日，不能再录",IF(AND($K2930="自用消耗",COUNTIF({"一矿区";"二矿区"},$L2930)=0),"※自用消耗的去向只能是一矿区或二矿区",IF(AND($K2930="对外销售",COUNTIF({"三矿区";"六矿区"},$L2930)=0),"※对外销售的去向只能是三矿区或六矿区",IF(AND($K2930="对外销售",ROUND($Q2930,0)=0),"※外销却没有售价，请填实际售价",IF(AND($K2930="对外销售",$T2930&lt;&gt;"",$T2930&lt;0),"※这一笔外销是亏的，请核对售价",IF(IFERROR(VLOOKUP($D2930,库存台账!$A$5:$Y$1204,24,0),0)&lt;-0.001,"※这个物料账面已经变成负数了，查一下是不是漏记入库","")))))))))))</f>
        <v/>
      </c>
    </row>
    <row r="2931">
      <c r="A2931" s="24">
        <f>IF($D2931="","",COUNTA($D$4:$D2931))</f>
        <v/>
      </c>
      <c r="B2931" s="17" t="n"/>
      <c r="C2931" s="30" t="n"/>
      <c r="D2931" s="17" t="n"/>
      <c r="E2931" s="24">
        <f>IF($D2931="","",IFERROR(VLOOKUP($D2931,物料档案!$A$4:$P$1203,3,0),"※编码不在物料档案里"))</f>
        <v/>
      </c>
      <c r="F2931" s="24">
        <f>IF($D2931="","",IFERROR(VLOOKUP($D2931,物料档案!$A$4:$P$1203,4,0),"※编码不在物料档案里"))</f>
        <v/>
      </c>
      <c r="G2931" s="24">
        <f>IF($D2931="","",IFERROR(VLOOKUP($D2931,物料档案!$A$4:$P$1203,5,0),"※编码不在物料档案里"))</f>
        <v/>
      </c>
      <c r="H2931" s="24">
        <f>IF($D2931="","",IFERROR(VLOOKUP($D2931,物料档案!$A$4:$P$1203,2,0),"※编码不在物料档案里"))</f>
        <v/>
      </c>
      <c r="I2931" s="24">
        <f>IF($D2931="","",IFERROR(VLOOKUP($D2931,物料档案!$A$4:$P$1203,6,0),"※编码不在物料档案里"))</f>
        <v/>
      </c>
      <c r="J2931" s="23" t="n"/>
      <c r="K2931" s="17" t="n"/>
      <c r="L2931" s="17" t="n"/>
      <c r="M2931" s="17" t="n"/>
      <c r="N2931" s="17" t="n"/>
      <c r="O2931" s="26">
        <f>IF($D2931="","",IFERROR(VLOOKUP($D2931,物料档案!$A$4:$P$1203,10,0),0))</f>
        <v/>
      </c>
      <c r="P2931" s="32" t="n"/>
      <c r="Q2931" s="26">
        <f>IF($D2931="","",IF($K2931&lt;&gt;"对外销售",0,ROUND(N($J2931)*IF($P2931="",N($O2931),N($P2931)),0)))</f>
        <v/>
      </c>
      <c r="R2931" s="26">
        <f>IF($D2931="","",IFERROR(VLOOKUP($D2931,库存台账!$A$5:$Y$1204,11,0),0))</f>
        <v/>
      </c>
      <c r="S2931" s="26">
        <f>IF($D2931="","",ROUND(N($J2931)*N($R2931),0))</f>
        <v/>
      </c>
      <c r="T2931" s="26">
        <f>IF($D2931="","",IF($K2931&lt;&gt;"对外销售","",ROUND($Q2931-$S2931,0)))</f>
        <v/>
      </c>
      <c r="U2931" s="17" t="n"/>
      <c r="V2931" s="17" t="n"/>
      <c r="W2931" s="24">
        <f>IF($D2931="","",IF($E2931="※编码不在物料档案里","※物料编码不在档案里",IF(N($J2931)&lt;=0,"※出库数量要大于 0",IF($K2931="","※没填去向类型",IF($L2931="","※没填去向矿区",IF(AND($C2931&lt;&gt;"",$C2931&lt;=结账锁),"※日期早于已结账截止日，不能再录",IF(AND($K2931="自用消耗",COUNTIF({"一矿区";"二矿区"},$L2931)=0),"※自用消耗的去向只能是一矿区或二矿区",IF(AND($K2931="对外销售",COUNTIF({"三矿区";"六矿区"},$L2931)=0),"※对外销售的去向只能是三矿区或六矿区",IF(AND($K2931="对外销售",ROUND($Q2931,0)=0),"※外销却没有售价，请填实际售价",IF(AND($K2931="对外销售",$T2931&lt;&gt;"",$T2931&lt;0),"※这一笔外销是亏的，请核对售价",IF(IFERROR(VLOOKUP($D2931,库存台账!$A$5:$Y$1204,24,0),0)&lt;-0.001,"※这个物料账面已经变成负数了，查一下是不是漏记入库","")))))))))))</f>
        <v/>
      </c>
    </row>
    <row r="2932">
      <c r="A2932" s="24">
        <f>IF($D2932="","",COUNTA($D$4:$D2932))</f>
        <v/>
      </c>
      <c r="B2932" s="17" t="n"/>
      <c r="C2932" s="30" t="n"/>
      <c r="D2932" s="17" t="n"/>
      <c r="E2932" s="24">
        <f>IF($D2932="","",IFERROR(VLOOKUP($D2932,物料档案!$A$4:$P$1203,3,0),"※编码不在物料档案里"))</f>
        <v/>
      </c>
      <c r="F2932" s="24">
        <f>IF($D2932="","",IFERROR(VLOOKUP($D2932,物料档案!$A$4:$P$1203,4,0),"※编码不在物料档案里"))</f>
        <v/>
      </c>
      <c r="G2932" s="24">
        <f>IF($D2932="","",IFERROR(VLOOKUP($D2932,物料档案!$A$4:$P$1203,5,0),"※编码不在物料档案里"))</f>
        <v/>
      </c>
      <c r="H2932" s="24">
        <f>IF($D2932="","",IFERROR(VLOOKUP($D2932,物料档案!$A$4:$P$1203,2,0),"※编码不在物料档案里"))</f>
        <v/>
      </c>
      <c r="I2932" s="24">
        <f>IF($D2932="","",IFERROR(VLOOKUP($D2932,物料档案!$A$4:$P$1203,6,0),"※编码不在物料档案里"))</f>
        <v/>
      </c>
      <c r="J2932" s="23" t="n"/>
      <c r="K2932" s="17" t="n"/>
      <c r="L2932" s="17" t="n"/>
      <c r="M2932" s="17" t="n"/>
      <c r="N2932" s="17" t="n"/>
      <c r="O2932" s="26">
        <f>IF($D2932="","",IFERROR(VLOOKUP($D2932,物料档案!$A$4:$P$1203,10,0),0))</f>
        <v/>
      </c>
      <c r="P2932" s="32" t="n"/>
      <c r="Q2932" s="26">
        <f>IF($D2932="","",IF($K2932&lt;&gt;"对外销售",0,ROUND(N($J2932)*IF($P2932="",N($O2932),N($P2932)),0)))</f>
        <v/>
      </c>
      <c r="R2932" s="26">
        <f>IF($D2932="","",IFERROR(VLOOKUP($D2932,库存台账!$A$5:$Y$1204,11,0),0))</f>
        <v/>
      </c>
      <c r="S2932" s="26">
        <f>IF($D2932="","",ROUND(N($J2932)*N($R2932),0))</f>
        <v/>
      </c>
      <c r="T2932" s="26">
        <f>IF($D2932="","",IF($K2932&lt;&gt;"对外销售","",ROUND($Q2932-$S2932,0)))</f>
        <v/>
      </c>
      <c r="U2932" s="17" t="n"/>
      <c r="V2932" s="17" t="n"/>
      <c r="W2932" s="24">
        <f>IF($D2932="","",IF($E2932="※编码不在物料档案里","※物料编码不在档案里",IF(N($J2932)&lt;=0,"※出库数量要大于 0",IF($K2932="","※没填去向类型",IF($L2932="","※没填去向矿区",IF(AND($C2932&lt;&gt;"",$C2932&lt;=结账锁),"※日期早于已结账截止日，不能再录",IF(AND($K2932="自用消耗",COUNTIF({"一矿区";"二矿区"},$L2932)=0),"※自用消耗的去向只能是一矿区或二矿区",IF(AND($K2932="对外销售",COUNTIF({"三矿区";"六矿区"},$L2932)=0),"※对外销售的去向只能是三矿区或六矿区",IF(AND($K2932="对外销售",ROUND($Q2932,0)=0),"※外销却没有售价，请填实际售价",IF(AND($K2932="对外销售",$T2932&lt;&gt;"",$T2932&lt;0),"※这一笔外销是亏的，请核对售价",IF(IFERROR(VLOOKUP($D2932,库存台账!$A$5:$Y$1204,24,0),0)&lt;-0.001,"※这个物料账面已经变成负数了，查一下是不是漏记入库","")))))))))))</f>
        <v/>
      </c>
    </row>
    <row r="2933">
      <c r="A2933" s="24">
        <f>IF($D2933="","",COUNTA($D$4:$D2933))</f>
        <v/>
      </c>
      <c r="B2933" s="17" t="n"/>
      <c r="C2933" s="30" t="n"/>
      <c r="D2933" s="17" t="n"/>
      <c r="E2933" s="24">
        <f>IF($D2933="","",IFERROR(VLOOKUP($D2933,物料档案!$A$4:$P$1203,3,0),"※编码不在物料档案里"))</f>
        <v/>
      </c>
      <c r="F2933" s="24">
        <f>IF($D2933="","",IFERROR(VLOOKUP($D2933,物料档案!$A$4:$P$1203,4,0),"※编码不在物料档案里"))</f>
        <v/>
      </c>
      <c r="G2933" s="24">
        <f>IF($D2933="","",IFERROR(VLOOKUP($D2933,物料档案!$A$4:$P$1203,5,0),"※编码不在物料档案里"))</f>
        <v/>
      </c>
      <c r="H2933" s="24">
        <f>IF($D2933="","",IFERROR(VLOOKUP($D2933,物料档案!$A$4:$P$1203,2,0),"※编码不在物料档案里"))</f>
        <v/>
      </c>
      <c r="I2933" s="24">
        <f>IF($D2933="","",IFERROR(VLOOKUP($D2933,物料档案!$A$4:$P$1203,6,0),"※编码不在物料档案里"))</f>
        <v/>
      </c>
      <c r="J2933" s="23" t="n"/>
      <c r="K2933" s="17" t="n"/>
      <c r="L2933" s="17" t="n"/>
      <c r="M2933" s="17" t="n"/>
      <c r="N2933" s="17" t="n"/>
      <c r="O2933" s="26">
        <f>IF($D2933="","",IFERROR(VLOOKUP($D2933,物料档案!$A$4:$P$1203,10,0),0))</f>
        <v/>
      </c>
      <c r="P2933" s="32" t="n"/>
      <c r="Q2933" s="26">
        <f>IF($D2933="","",IF($K2933&lt;&gt;"对外销售",0,ROUND(N($J2933)*IF($P2933="",N($O2933),N($P2933)),0)))</f>
        <v/>
      </c>
      <c r="R2933" s="26">
        <f>IF($D2933="","",IFERROR(VLOOKUP($D2933,库存台账!$A$5:$Y$1204,11,0),0))</f>
        <v/>
      </c>
      <c r="S2933" s="26">
        <f>IF($D2933="","",ROUND(N($J2933)*N($R2933),0))</f>
        <v/>
      </c>
      <c r="T2933" s="26">
        <f>IF($D2933="","",IF($K2933&lt;&gt;"对外销售","",ROUND($Q2933-$S2933,0)))</f>
        <v/>
      </c>
      <c r="U2933" s="17" t="n"/>
      <c r="V2933" s="17" t="n"/>
      <c r="W2933" s="24">
        <f>IF($D2933="","",IF($E2933="※编码不在物料档案里","※物料编码不在档案里",IF(N($J2933)&lt;=0,"※出库数量要大于 0",IF($K2933="","※没填去向类型",IF($L2933="","※没填去向矿区",IF(AND($C2933&lt;&gt;"",$C2933&lt;=结账锁),"※日期早于已结账截止日，不能再录",IF(AND($K2933="自用消耗",COUNTIF({"一矿区";"二矿区"},$L2933)=0),"※自用消耗的去向只能是一矿区或二矿区",IF(AND($K2933="对外销售",COUNTIF({"三矿区";"六矿区"},$L2933)=0),"※对外销售的去向只能是三矿区或六矿区",IF(AND($K2933="对外销售",ROUND($Q2933,0)=0),"※外销却没有售价，请填实际售价",IF(AND($K2933="对外销售",$T2933&lt;&gt;"",$T2933&lt;0),"※这一笔外销是亏的，请核对售价",IF(IFERROR(VLOOKUP($D2933,库存台账!$A$5:$Y$1204,24,0),0)&lt;-0.001,"※这个物料账面已经变成负数了，查一下是不是漏记入库","")))))))))))</f>
        <v/>
      </c>
    </row>
    <row r="2934">
      <c r="A2934" s="24">
        <f>IF($D2934="","",COUNTA($D$4:$D2934))</f>
        <v/>
      </c>
      <c r="B2934" s="17" t="n"/>
      <c r="C2934" s="30" t="n"/>
      <c r="D2934" s="17" t="n"/>
      <c r="E2934" s="24">
        <f>IF($D2934="","",IFERROR(VLOOKUP($D2934,物料档案!$A$4:$P$1203,3,0),"※编码不在物料档案里"))</f>
        <v/>
      </c>
      <c r="F2934" s="24">
        <f>IF($D2934="","",IFERROR(VLOOKUP($D2934,物料档案!$A$4:$P$1203,4,0),"※编码不在物料档案里"))</f>
        <v/>
      </c>
      <c r="G2934" s="24">
        <f>IF($D2934="","",IFERROR(VLOOKUP($D2934,物料档案!$A$4:$P$1203,5,0),"※编码不在物料档案里"))</f>
        <v/>
      </c>
      <c r="H2934" s="24">
        <f>IF($D2934="","",IFERROR(VLOOKUP($D2934,物料档案!$A$4:$P$1203,2,0),"※编码不在物料档案里"))</f>
        <v/>
      </c>
      <c r="I2934" s="24">
        <f>IF($D2934="","",IFERROR(VLOOKUP($D2934,物料档案!$A$4:$P$1203,6,0),"※编码不在物料档案里"))</f>
        <v/>
      </c>
      <c r="J2934" s="23" t="n"/>
      <c r="K2934" s="17" t="n"/>
      <c r="L2934" s="17" t="n"/>
      <c r="M2934" s="17" t="n"/>
      <c r="N2934" s="17" t="n"/>
      <c r="O2934" s="26">
        <f>IF($D2934="","",IFERROR(VLOOKUP($D2934,物料档案!$A$4:$P$1203,10,0),0))</f>
        <v/>
      </c>
      <c r="P2934" s="32" t="n"/>
      <c r="Q2934" s="26">
        <f>IF($D2934="","",IF($K2934&lt;&gt;"对外销售",0,ROUND(N($J2934)*IF($P2934="",N($O2934),N($P2934)),0)))</f>
        <v/>
      </c>
      <c r="R2934" s="26">
        <f>IF($D2934="","",IFERROR(VLOOKUP($D2934,库存台账!$A$5:$Y$1204,11,0),0))</f>
        <v/>
      </c>
      <c r="S2934" s="26">
        <f>IF($D2934="","",ROUND(N($J2934)*N($R2934),0))</f>
        <v/>
      </c>
      <c r="T2934" s="26">
        <f>IF($D2934="","",IF($K2934&lt;&gt;"对外销售","",ROUND($Q2934-$S2934,0)))</f>
        <v/>
      </c>
      <c r="U2934" s="17" t="n"/>
      <c r="V2934" s="17" t="n"/>
      <c r="W2934" s="24">
        <f>IF($D2934="","",IF($E2934="※编码不在物料档案里","※物料编码不在档案里",IF(N($J2934)&lt;=0,"※出库数量要大于 0",IF($K2934="","※没填去向类型",IF($L2934="","※没填去向矿区",IF(AND($C2934&lt;&gt;"",$C2934&lt;=结账锁),"※日期早于已结账截止日，不能再录",IF(AND($K2934="自用消耗",COUNTIF({"一矿区";"二矿区"},$L2934)=0),"※自用消耗的去向只能是一矿区或二矿区",IF(AND($K2934="对外销售",COUNTIF({"三矿区";"六矿区"},$L2934)=0),"※对外销售的去向只能是三矿区或六矿区",IF(AND($K2934="对外销售",ROUND($Q2934,0)=0),"※外销却没有售价，请填实际售价",IF(AND($K2934="对外销售",$T2934&lt;&gt;"",$T2934&lt;0),"※这一笔外销是亏的，请核对售价",IF(IFERROR(VLOOKUP($D2934,库存台账!$A$5:$Y$1204,24,0),0)&lt;-0.001,"※这个物料账面已经变成负数了，查一下是不是漏记入库","")))))))))))</f>
        <v/>
      </c>
    </row>
    <row r="2935">
      <c r="A2935" s="24">
        <f>IF($D2935="","",COUNTA($D$4:$D2935))</f>
        <v/>
      </c>
      <c r="B2935" s="17" t="n"/>
      <c r="C2935" s="30" t="n"/>
      <c r="D2935" s="17" t="n"/>
      <c r="E2935" s="24">
        <f>IF($D2935="","",IFERROR(VLOOKUP($D2935,物料档案!$A$4:$P$1203,3,0),"※编码不在物料档案里"))</f>
        <v/>
      </c>
      <c r="F2935" s="24">
        <f>IF($D2935="","",IFERROR(VLOOKUP($D2935,物料档案!$A$4:$P$1203,4,0),"※编码不在物料档案里"))</f>
        <v/>
      </c>
      <c r="G2935" s="24">
        <f>IF($D2935="","",IFERROR(VLOOKUP($D2935,物料档案!$A$4:$P$1203,5,0),"※编码不在物料档案里"))</f>
        <v/>
      </c>
      <c r="H2935" s="24">
        <f>IF($D2935="","",IFERROR(VLOOKUP($D2935,物料档案!$A$4:$P$1203,2,0),"※编码不在物料档案里"))</f>
        <v/>
      </c>
      <c r="I2935" s="24">
        <f>IF($D2935="","",IFERROR(VLOOKUP($D2935,物料档案!$A$4:$P$1203,6,0),"※编码不在物料档案里"))</f>
        <v/>
      </c>
      <c r="J2935" s="23" t="n"/>
      <c r="K2935" s="17" t="n"/>
      <c r="L2935" s="17" t="n"/>
      <c r="M2935" s="17" t="n"/>
      <c r="N2935" s="17" t="n"/>
      <c r="O2935" s="26">
        <f>IF($D2935="","",IFERROR(VLOOKUP($D2935,物料档案!$A$4:$P$1203,10,0),0))</f>
        <v/>
      </c>
      <c r="P2935" s="32" t="n"/>
      <c r="Q2935" s="26">
        <f>IF($D2935="","",IF($K2935&lt;&gt;"对外销售",0,ROUND(N($J2935)*IF($P2935="",N($O2935),N($P2935)),0)))</f>
        <v/>
      </c>
      <c r="R2935" s="26">
        <f>IF($D2935="","",IFERROR(VLOOKUP($D2935,库存台账!$A$5:$Y$1204,11,0),0))</f>
        <v/>
      </c>
      <c r="S2935" s="26">
        <f>IF($D2935="","",ROUND(N($J2935)*N($R2935),0))</f>
        <v/>
      </c>
      <c r="T2935" s="26">
        <f>IF($D2935="","",IF($K2935&lt;&gt;"对外销售","",ROUND($Q2935-$S2935,0)))</f>
        <v/>
      </c>
      <c r="U2935" s="17" t="n"/>
      <c r="V2935" s="17" t="n"/>
      <c r="W2935" s="24">
        <f>IF($D2935="","",IF($E2935="※编码不在物料档案里","※物料编码不在档案里",IF(N($J2935)&lt;=0,"※出库数量要大于 0",IF($K2935="","※没填去向类型",IF($L2935="","※没填去向矿区",IF(AND($C2935&lt;&gt;"",$C2935&lt;=结账锁),"※日期早于已结账截止日，不能再录",IF(AND($K2935="自用消耗",COUNTIF({"一矿区";"二矿区"},$L2935)=0),"※自用消耗的去向只能是一矿区或二矿区",IF(AND($K2935="对外销售",COUNTIF({"三矿区";"六矿区"},$L2935)=0),"※对外销售的去向只能是三矿区或六矿区",IF(AND($K2935="对外销售",ROUND($Q2935,0)=0),"※外销却没有售价，请填实际售价",IF(AND($K2935="对外销售",$T2935&lt;&gt;"",$T2935&lt;0),"※这一笔外销是亏的，请核对售价",IF(IFERROR(VLOOKUP($D2935,库存台账!$A$5:$Y$1204,24,0),0)&lt;-0.001,"※这个物料账面已经变成负数了，查一下是不是漏记入库","")))))))))))</f>
        <v/>
      </c>
    </row>
    <row r="2936">
      <c r="A2936" s="24">
        <f>IF($D2936="","",COUNTA($D$4:$D2936))</f>
        <v/>
      </c>
      <c r="B2936" s="17" t="n"/>
      <c r="C2936" s="30" t="n"/>
      <c r="D2936" s="17" t="n"/>
      <c r="E2936" s="24">
        <f>IF($D2936="","",IFERROR(VLOOKUP($D2936,物料档案!$A$4:$P$1203,3,0),"※编码不在物料档案里"))</f>
        <v/>
      </c>
      <c r="F2936" s="24">
        <f>IF($D2936="","",IFERROR(VLOOKUP($D2936,物料档案!$A$4:$P$1203,4,0),"※编码不在物料档案里"))</f>
        <v/>
      </c>
      <c r="G2936" s="24">
        <f>IF($D2936="","",IFERROR(VLOOKUP($D2936,物料档案!$A$4:$P$1203,5,0),"※编码不在物料档案里"))</f>
        <v/>
      </c>
      <c r="H2936" s="24">
        <f>IF($D2936="","",IFERROR(VLOOKUP($D2936,物料档案!$A$4:$P$1203,2,0),"※编码不在物料档案里"))</f>
        <v/>
      </c>
      <c r="I2936" s="24">
        <f>IF($D2936="","",IFERROR(VLOOKUP($D2936,物料档案!$A$4:$P$1203,6,0),"※编码不在物料档案里"))</f>
        <v/>
      </c>
      <c r="J2936" s="23" t="n"/>
      <c r="K2936" s="17" t="n"/>
      <c r="L2936" s="17" t="n"/>
      <c r="M2936" s="17" t="n"/>
      <c r="N2936" s="17" t="n"/>
      <c r="O2936" s="26">
        <f>IF($D2936="","",IFERROR(VLOOKUP($D2936,物料档案!$A$4:$P$1203,10,0),0))</f>
        <v/>
      </c>
      <c r="P2936" s="32" t="n"/>
      <c r="Q2936" s="26">
        <f>IF($D2936="","",IF($K2936&lt;&gt;"对外销售",0,ROUND(N($J2936)*IF($P2936="",N($O2936),N($P2936)),0)))</f>
        <v/>
      </c>
      <c r="R2936" s="26">
        <f>IF($D2936="","",IFERROR(VLOOKUP($D2936,库存台账!$A$5:$Y$1204,11,0),0))</f>
        <v/>
      </c>
      <c r="S2936" s="26">
        <f>IF($D2936="","",ROUND(N($J2936)*N($R2936),0))</f>
        <v/>
      </c>
      <c r="T2936" s="26">
        <f>IF($D2936="","",IF($K2936&lt;&gt;"对外销售","",ROUND($Q2936-$S2936,0)))</f>
        <v/>
      </c>
      <c r="U2936" s="17" t="n"/>
      <c r="V2936" s="17" t="n"/>
      <c r="W2936" s="24">
        <f>IF($D2936="","",IF($E2936="※编码不在物料档案里","※物料编码不在档案里",IF(N($J2936)&lt;=0,"※出库数量要大于 0",IF($K2936="","※没填去向类型",IF($L2936="","※没填去向矿区",IF(AND($C2936&lt;&gt;"",$C2936&lt;=结账锁),"※日期早于已结账截止日，不能再录",IF(AND($K2936="自用消耗",COUNTIF({"一矿区";"二矿区"},$L2936)=0),"※自用消耗的去向只能是一矿区或二矿区",IF(AND($K2936="对外销售",COUNTIF({"三矿区";"六矿区"},$L2936)=0),"※对外销售的去向只能是三矿区或六矿区",IF(AND($K2936="对外销售",ROUND($Q2936,0)=0),"※外销却没有售价，请填实际售价",IF(AND($K2936="对外销售",$T2936&lt;&gt;"",$T2936&lt;0),"※这一笔外销是亏的，请核对售价",IF(IFERROR(VLOOKUP($D2936,库存台账!$A$5:$Y$1204,24,0),0)&lt;-0.001,"※这个物料账面已经变成负数了，查一下是不是漏记入库","")))))))))))</f>
        <v/>
      </c>
    </row>
    <row r="2937">
      <c r="A2937" s="24">
        <f>IF($D2937="","",COUNTA($D$4:$D2937))</f>
        <v/>
      </c>
      <c r="B2937" s="17" t="n"/>
      <c r="C2937" s="30" t="n"/>
      <c r="D2937" s="17" t="n"/>
      <c r="E2937" s="24">
        <f>IF($D2937="","",IFERROR(VLOOKUP($D2937,物料档案!$A$4:$P$1203,3,0),"※编码不在物料档案里"))</f>
        <v/>
      </c>
      <c r="F2937" s="24">
        <f>IF($D2937="","",IFERROR(VLOOKUP($D2937,物料档案!$A$4:$P$1203,4,0),"※编码不在物料档案里"))</f>
        <v/>
      </c>
      <c r="G2937" s="24">
        <f>IF($D2937="","",IFERROR(VLOOKUP($D2937,物料档案!$A$4:$P$1203,5,0),"※编码不在物料档案里"))</f>
        <v/>
      </c>
      <c r="H2937" s="24">
        <f>IF($D2937="","",IFERROR(VLOOKUP($D2937,物料档案!$A$4:$P$1203,2,0),"※编码不在物料档案里"))</f>
        <v/>
      </c>
      <c r="I2937" s="24">
        <f>IF($D2937="","",IFERROR(VLOOKUP($D2937,物料档案!$A$4:$P$1203,6,0),"※编码不在物料档案里"))</f>
        <v/>
      </c>
      <c r="J2937" s="23" t="n"/>
      <c r="K2937" s="17" t="n"/>
      <c r="L2937" s="17" t="n"/>
      <c r="M2937" s="17" t="n"/>
      <c r="N2937" s="17" t="n"/>
      <c r="O2937" s="26">
        <f>IF($D2937="","",IFERROR(VLOOKUP($D2937,物料档案!$A$4:$P$1203,10,0),0))</f>
        <v/>
      </c>
      <c r="P2937" s="32" t="n"/>
      <c r="Q2937" s="26">
        <f>IF($D2937="","",IF($K2937&lt;&gt;"对外销售",0,ROUND(N($J2937)*IF($P2937="",N($O2937),N($P2937)),0)))</f>
        <v/>
      </c>
      <c r="R2937" s="26">
        <f>IF($D2937="","",IFERROR(VLOOKUP($D2937,库存台账!$A$5:$Y$1204,11,0),0))</f>
        <v/>
      </c>
      <c r="S2937" s="26">
        <f>IF($D2937="","",ROUND(N($J2937)*N($R2937),0))</f>
        <v/>
      </c>
      <c r="T2937" s="26">
        <f>IF($D2937="","",IF($K2937&lt;&gt;"对外销售","",ROUND($Q2937-$S2937,0)))</f>
        <v/>
      </c>
      <c r="U2937" s="17" t="n"/>
      <c r="V2937" s="17" t="n"/>
      <c r="W2937" s="24">
        <f>IF($D2937="","",IF($E2937="※编码不在物料档案里","※物料编码不在档案里",IF(N($J2937)&lt;=0,"※出库数量要大于 0",IF($K2937="","※没填去向类型",IF($L2937="","※没填去向矿区",IF(AND($C2937&lt;&gt;"",$C2937&lt;=结账锁),"※日期早于已结账截止日，不能再录",IF(AND($K2937="自用消耗",COUNTIF({"一矿区";"二矿区"},$L2937)=0),"※自用消耗的去向只能是一矿区或二矿区",IF(AND($K2937="对外销售",COUNTIF({"三矿区";"六矿区"},$L2937)=0),"※对外销售的去向只能是三矿区或六矿区",IF(AND($K2937="对外销售",ROUND($Q2937,0)=0),"※外销却没有售价，请填实际售价",IF(AND($K2937="对外销售",$T2937&lt;&gt;"",$T2937&lt;0),"※这一笔外销是亏的，请核对售价",IF(IFERROR(VLOOKUP($D2937,库存台账!$A$5:$Y$1204,24,0),0)&lt;-0.001,"※这个物料账面已经变成负数了，查一下是不是漏记入库","")))))))))))</f>
        <v/>
      </c>
    </row>
    <row r="2938">
      <c r="A2938" s="24">
        <f>IF($D2938="","",COUNTA($D$4:$D2938))</f>
        <v/>
      </c>
      <c r="B2938" s="17" t="n"/>
      <c r="C2938" s="30" t="n"/>
      <c r="D2938" s="17" t="n"/>
      <c r="E2938" s="24">
        <f>IF($D2938="","",IFERROR(VLOOKUP($D2938,物料档案!$A$4:$P$1203,3,0),"※编码不在物料档案里"))</f>
        <v/>
      </c>
      <c r="F2938" s="24">
        <f>IF($D2938="","",IFERROR(VLOOKUP($D2938,物料档案!$A$4:$P$1203,4,0),"※编码不在物料档案里"))</f>
        <v/>
      </c>
      <c r="G2938" s="24">
        <f>IF($D2938="","",IFERROR(VLOOKUP($D2938,物料档案!$A$4:$P$1203,5,0),"※编码不在物料档案里"))</f>
        <v/>
      </c>
      <c r="H2938" s="24">
        <f>IF($D2938="","",IFERROR(VLOOKUP($D2938,物料档案!$A$4:$P$1203,2,0),"※编码不在物料档案里"))</f>
        <v/>
      </c>
      <c r="I2938" s="24">
        <f>IF($D2938="","",IFERROR(VLOOKUP($D2938,物料档案!$A$4:$P$1203,6,0),"※编码不在物料档案里"))</f>
        <v/>
      </c>
      <c r="J2938" s="23" t="n"/>
      <c r="K2938" s="17" t="n"/>
      <c r="L2938" s="17" t="n"/>
      <c r="M2938" s="17" t="n"/>
      <c r="N2938" s="17" t="n"/>
      <c r="O2938" s="26">
        <f>IF($D2938="","",IFERROR(VLOOKUP($D2938,物料档案!$A$4:$P$1203,10,0),0))</f>
        <v/>
      </c>
      <c r="P2938" s="32" t="n"/>
      <c r="Q2938" s="26">
        <f>IF($D2938="","",IF($K2938&lt;&gt;"对外销售",0,ROUND(N($J2938)*IF($P2938="",N($O2938),N($P2938)),0)))</f>
        <v/>
      </c>
      <c r="R2938" s="26">
        <f>IF($D2938="","",IFERROR(VLOOKUP($D2938,库存台账!$A$5:$Y$1204,11,0),0))</f>
        <v/>
      </c>
      <c r="S2938" s="26">
        <f>IF($D2938="","",ROUND(N($J2938)*N($R2938),0))</f>
        <v/>
      </c>
      <c r="T2938" s="26">
        <f>IF($D2938="","",IF($K2938&lt;&gt;"对外销售","",ROUND($Q2938-$S2938,0)))</f>
        <v/>
      </c>
      <c r="U2938" s="17" t="n"/>
      <c r="V2938" s="17" t="n"/>
      <c r="W2938" s="24">
        <f>IF($D2938="","",IF($E2938="※编码不在物料档案里","※物料编码不在档案里",IF(N($J2938)&lt;=0,"※出库数量要大于 0",IF($K2938="","※没填去向类型",IF($L2938="","※没填去向矿区",IF(AND($C2938&lt;&gt;"",$C2938&lt;=结账锁),"※日期早于已结账截止日，不能再录",IF(AND($K2938="自用消耗",COUNTIF({"一矿区";"二矿区"},$L2938)=0),"※自用消耗的去向只能是一矿区或二矿区",IF(AND($K2938="对外销售",COUNTIF({"三矿区";"六矿区"},$L2938)=0),"※对外销售的去向只能是三矿区或六矿区",IF(AND($K2938="对外销售",ROUND($Q2938,0)=0),"※外销却没有售价，请填实际售价",IF(AND($K2938="对外销售",$T2938&lt;&gt;"",$T2938&lt;0),"※这一笔外销是亏的，请核对售价",IF(IFERROR(VLOOKUP($D2938,库存台账!$A$5:$Y$1204,24,0),0)&lt;-0.001,"※这个物料账面已经变成负数了，查一下是不是漏记入库","")))))))))))</f>
        <v/>
      </c>
    </row>
    <row r="2939">
      <c r="A2939" s="24">
        <f>IF($D2939="","",COUNTA($D$4:$D2939))</f>
        <v/>
      </c>
      <c r="B2939" s="17" t="n"/>
      <c r="C2939" s="30" t="n"/>
      <c r="D2939" s="17" t="n"/>
      <c r="E2939" s="24">
        <f>IF($D2939="","",IFERROR(VLOOKUP($D2939,物料档案!$A$4:$P$1203,3,0),"※编码不在物料档案里"))</f>
        <v/>
      </c>
      <c r="F2939" s="24">
        <f>IF($D2939="","",IFERROR(VLOOKUP($D2939,物料档案!$A$4:$P$1203,4,0),"※编码不在物料档案里"))</f>
        <v/>
      </c>
      <c r="G2939" s="24">
        <f>IF($D2939="","",IFERROR(VLOOKUP($D2939,物料档案!$A$4:$P$1203,5,0),"※编码不在物料档案里"))</f>
        <v/>
      </c>
      <c r="H2939" s="24">
        <f>IF($D2939="","",IFERROR(VLOOKUP($D2939,物料档案!$A$4:$P$1203,2,0),"※编码不在物料档案里"))</f>
        <v/>
      </c>
      <c r="I2939" s="24">
        <f>IF($D2939="","",IFERROR(VLOOKUP($D2939,物料档案!$A$4:$P$1203,6,0),"※编码不在物料档案里"))</f>
        <v/>
      </c>
      <c r="J2939" s="23" t="n"/>
      <c r="K2939" s="17" t="n"/>
      <c r="L2939" s="17" t="n"/>
      <c r="M2939" s="17" t="n"/>
      <c r="N2939" s="17" t="n"/>
      <c r="O2939" s="26">
        <f>IF($D2939="","",IFERROR(VLOOKUP($D2939,物料档案!$A$4:$P$1203,10,0),0))</f>
        <v/>
      </c>
      <c r="P2939" s="32" t="n"/>
      <c r="Q2939" s="26">
        <f>IF($D2939="","",IF($K2939&lt;&gt;"对外销售",0,ROUND(N($J2939)*IF($P2939="",N($O2939),N($P2939)),0)))</f>
        <v/>
      </c>
      <c r="R2939" s="26">
        <f>IF($D2939="","",IFERROR(VLOOKUP($D2939,库存台账!$A$5:$Y$1204,11,0),0))</f>
        <v/>
      </c>
      <c r="S2939" s="26">
        <f>IF($D2939="","",ROUND(N($J2939)*N($R2939),0))</f>
        <v/>
      </c>
      <c r="T2939" s="26">
        <f>IF($D2939="","",IF($K2939&lt;&gt;"对外销售","",ROUND($Q2939-$S2939,0)))</f>
        <v/>
      </c>
      <c r="U2939" s="17" t="n"/>
      <c r="V2939" s="17" t="n"/>
      <c r="W2939" s="24">
        <f>IF($D2939="","",IF($E2939="※编码不在物料档案里","※物料编码不在档案里",IF(N($J2939)&lt;=0,"※出库数量要大于 0",IF($K2939="","※没填去向类型",IF($L2939="","※没填去向矿区",IF(AND($C2939&lt;&gt;"",$C2939&lt;=结账锁),"※日期早于已结账截止日，不能再录",IF(AND($K2939="自用消耗",COUNTIF({"一矿区";"二矿区"},$L2939)=0),"※自用消耗的去向只能是一矿区或二矿区",IF(AND($K2939="对外销售",COUNTIF({"三矿区";"六矿区"},$L2939)=0),"※对外销售的去向只能是三矿区或六矿区",IF(AND($K2939="对外销售",ROUND($Q2939,0)=0),"※外销却没有售价，请填实际售价",IF(AND($K2939="对外销售",$T2939&lt;&gt;"",$T2939&lt;0),"※这一笔外销是亏的，请核对售价",IF(IFERROR(VLOOKUP($D2939,库存台账!$A$5:$Y$1204,24,0),0)&lt;-0.001,"※这个物料账面已经变成负数了，查一下是不是漏记入库","")))))))))))</f>
        <v/>
      </c>
    </row>
    <row r="2940">
      <c r="A2940" s="24">
        <f>IF($D2940="","",COUNTA($D$4:$D2940))</f>
        <v/>
      </c>
      <c r="B2940" s="17" t="n"/>
      <c r="C2940" s="30" t="n"/>
      <c r="D2940" s="17" t="n"/>
      <c r="E2940" s="24">
        <f>IF($D2940="","",IFERROR(VLOOKUP($D2940,物料档案!$A$4:$P$1203,3,0),"※编码不在物料档案里"))</f>
        <v/>
      </c>
      <c r="F2940" s="24">
        <f>IF($D2940="","",IFERROR(VLOOKUP($D2940,物料档案!$A$4:$P$1203,4,0),"※编码不在物料档案里"))</f>
        <v/>
      </c>
      <c r="G2940" s="24">
        <f>IF($D2940="","",IFERROR(VLOOKUP($D2940,物料档案!$A$4:$P$1203,5,0),"※编码不在物料档案里"))</f>
        <v/>
      </c>
      <c r="H2940" s="24">
        <f>IF($D2940="","",IFERROR(VLOOKUP($D2940,物料档案!$A$4:$P$1203,2,0),"※编码不在物料档案里"))</f>
        <v/>
      </c>
      <c r="I2940" s="24">
        <f>IF($D2940="","",IFERROR(VLOOKUP($D2940,物料档案!$A$4:$P$1203,6,0),"※编码不在物料档案里"))</f>
        <v/>
      </c>
      <c r="J2940" s="23" t="n"/>
      <c r="K2940" s="17" t="n"/>
      <c r="L2940" s="17" t="n"/>
      <c r="M2940" s="17" t="n"/>
      <c r="N2940" s="17" t="n"/>
      <c r="O2940" s="26">
        <f>IF($D2940="","",IFERROR(VLOOKUP($D2940,物料档案!$A$4:$P$1203,10,0),0))</f>
        <v/>
      </c>
      <c r="P2940" s="32" t="n"/>
      <c r="Q2940" s="26">
        <f>IF($D2940="","",IF($K2940&lt;&gt;"对外销售",0,ROUND(N($J2940)*IF($P2940="",N($O2940),N($P2940)),0)))</f>
        <v/>
      </c>
      <c r="R2940" s="26">
        <f>IF($D2940="","",IFERROR(VLOOKUP($D2940,库存台账!$A$5:$Y$1204,11,0),0))</f>
        <v/>
      </c>
      <c r="S2940" s="26">
        <f>IF($D2940="","",ROUND(N($J2940)*N($R2940),0))</f>
        <v/>
      </c>
      <c r="T2940" s="26">
        <f>IF($D2940="","",IF($K2940&lt;&gt;"对外销售","",ROUND($Q2940-$S2940,0)))</f>
        <v/>
      </c>
      <c r="U2940" s="17" t="n"/>
      <c r="V2940" s="17" t="n"/>
      <c r="W2940" s="24">
        <f>IF($D2940="","",IF($E2940="※编码不在物料档案里","※物料编码不在档案里",IF(N($J2940)&lt;=0,"※出库数量要大于 0",IF($K2940="","※没填去向类型",IF($L2940="","※没填去向矿区",IF(AND($C2940&lt;&gt;"",$C2940&lt;=结账锁),"※日期早于已结账截止日，不能再录",IF(AND($K2940="自用消耗",COUNTIF({"一矿区";"二矿区"},$L2940)=0),"※自用消耗的去向只能是一矿区或二矿区",IF(AND($K2940="对外销售",COUNTIF({"三矿区";"六矿区"},$L2940)=0),"※对外销售的去向只能是三矿区或六矿区",IF(AND($K2940="对外销售",ROUND($Q2940,0)=0),"※外销却没有售价，请填实际售价",IF(AND($K2940="对外销售",$T2940&lt;&gt;"",$T2940&lt;0),"※这一笔外销是亏的，请核对售价",IF(IFERROR(VLOOKUP($D2940,库存台账!$A$5:$Y$1204,24,0),0)&lt;-0.001,"※这个物料账面已经变成负数了，查一下是不是漏记入库","")))))))))))</f>
        <v/>
      </c>
    </row>
    <row r="2941">
      <c r="A2941" s="24">
        <f>IF($D2941="","",COUNTA($D$4:$D2941))</f>
        <v/>
      </c>
      <c r="B2941" s="17" t="n"/>
      <c r="C2941" s="30" t="n"/>
      <c r="D2941" s="17" t="n"/>
      <c r="E2941" s="24">
        <f>IF($D2941="","",IFERROR(VLOOKUP($D2941,物料档案!$A$4:$P$1203,3,0),"※编码不在物料档案里"))</f>
        <v/>
      </c>
      <c r="F2941" s="24">
        <f>IF($D2941="","",IFERROR(VLOOKUP($D2941,物料档案!$A$4:$P$1203,4,0),"※编码不在物料档案里"))</f>
        <v/>
      </c>
      <c r="G2941" s="24">
        <f>IF($D2941="","",IFERROR(VLOOKUP($D2941,物料档案!$A$4:$P$1203,5,0),"※编码不在物料档案里"))</f>
        <v/>
      </c>
      <c r="H2941" s="24">
        <f>IF($D2941="","",IFERROR(VLOOKUP($D2941,物料档案!$A$4:$P$1203,2,0),"※编码不在物料档案里"))</f>
        <v/>
      </c>
      <c r="I2941" s="24">
        <f>IF($D2941="","",IFERROR(VLOOKUP($D2941,物料档案!$A$4:$P$1203,6,0),"※编码不在物料档案里"))</f>
        <v/>
      </c>
      <c r="J2941" s="23" t="n"/>
      <c r="K2941" s="17" t="n"/>
      <c r="L2941" s="17" t="n"/>
      <c r="M2941" s="17" t="n"/>
      <c r="N2941" s="17" t="n"/>
      <c r="O2941" s="26">
        <f>IF($D2941="","",IFERROR(VLOOKUP($D2941,物料档案!$A$4:$P$1203,10,0),0))</f>
        <v/>
      </c>
      <c r="P2941" s="32" t="n"/>
      <c r="Q2941" s="26">
        <f>IF($D2941="","",IF($K2941&lt;&gt;"对外销售",0,ROUND(N($J2941)*IF($P2941="",N($O2941),N($P2941)),0)))</f>
        <v/>
      </c>
      <c r="R2941" s="26">
        <f>IF($D2941="","",IFERROR(VLOOKUP($D2941,库存台账!$A$5:$Y$1204,11,0),0))</f>
        <v/>
      </c>
      <c r="S2941" s="26">
        <f>IF($D2941="","",ROUND(N($J2941)*N($R2941),0))</f>
        <v/>
      </c>
      <c r="T2941" s="26">
        <f>IF($D2941="","",IF($K2941&lt;&gt;"对外销售","",ROUND($Q2941-$S2941,0)))</f>
        <v/>
      </c>
      <c r="U2941" s="17" t="n"/>
      <c r="V2941" s="17" t="n"/>
      <c r="W2941" s="24">
        <f>IF($D2941="","",IF($E2941="※编码不在物料档案里","※物料编码不在档案里",IF(N($J2941)&lt;=0,"※出库数量要大于 0",IF($K2941="","※没填去向类型",IF($L2941="","※没填去向矿区",IF(AND($C2941&lt;&gt;"",$C2941&lt;=结账锁),"※日期早于已结账截止日，不能再录",IF(AND($K2941="自用消耗",COUNTIF({"一矿区";"二矿区"},$L2941)=0),"※自用消耗的去向只能是一矿区或二矿区",IF(AND($K2941="对外销售",COUNTIF({"三矿区";"六矿区"},$L2941)=0),"※对外销售的去向只能是三矿区或六矿区",IF(AND($K2941="对外销售",ROUND($Q2941,0)=0),"※外销却没有售价，请填实际售价",IF(AND($K2941="对外销售",$T2941&lt;&gt;"",$T2941&lt;0),"※这一笔外销是亏的，请核对售价",IF(IFERROR(VLOOKUP($D2941,库存台账!$A$5:$Y$1204,24,0),0)&lt;-0.001,"※这个物料账面已经变成负数了，查一下是不是漏记入库","")))))))))))</f>
        <v/>
      </c>
    </row>
    <row r="2942">
      <c r="A2942" s="24">
        <f>IF($D2942="","",COUNTA($D$4:$D2942))</f>
        <v/>
      </c>
      <c r="B2942" s="17" t="n"/>
      <c r="C2942" s="30" t="n"/>
      <c r="D2942" s="17" t="n"/>
      <c r="E2942" s="24">
        <f>IF($D2942="","",IFERROR(VLOOKUP($D2942,物料档案!$A$4:$P$1203,3,0),"※编码不在物料档案里"))</f>
        <v/>
      </c>
      <c r="F2942" s="24">
        <f>IF($D2942="","",IFERROR(VLOOKUP($D2942,物料档案!$A$4:$P$1203,4,0),"※编码不在物料档案里"))</f>
        <v/>
      </c>
      <c r="G2942" s="24">
        <f>IF($D2942="","",IFERROR(VLOOKUP($D2942,物料档案!$A$4:$P$1203,5,0),"※编码不在物料档案里"))</f>
        <v/>
      </c>
      <c r="H2942" s="24">
        <f>IF($D2942="","",IFERROR(VLOOKUP($D2942,物料档案!$A$4:$P$1203,2,0),"※编码不在物料档案里"))</f>
        <v/>
      </c>
      <c r="I2942" s="24">
        <f>IF($D2942="","",IFERROR(VLOOKUP($D2942,物料档案!$A$4:$P$1203,6,0),"※编码不在物料档案里"))</f>
        <v/>
      </c>
      <c r="J2942" s="23" t="n"/>
      <c r="K2942" s="17" t="n"/>
      <c r="L2942" s="17" t="n"/>
      <c r="M2942" s="17" t="n"/>
      <c r="N2942" s="17" t="n"/>
      <c r="O2942" s="26">
        <f>IF($D2942="","",IFERROR(VLOOKUP($D2942,物料档案!$A$4:$P$1203,10,0),0))</f>
        <v/>
      </c>
      <c r="P2942" s="32" t="n"/>
      <c r="Q2942" s="26">
        <f>IF($D2942="","",IF($K2942&lt;&gt;"对外销售",0,ROUND(N($J2942)*IF($P2942="",N($O2942),N($P2942)),0)))</f>
        <v/>
      </c>
      <c r="R2942" s="26">
        <f>IF($D2942="","",IFERROR(VLOOKUP($D2942,库存台账!$A$5:$Y$1204,11,0),0))</f>
        <v/>
      </c>
      <c r="S2942" s="26">
        <f>IF($D2942="","",ROUND(N($J2942)*N($R2942),0))</f>
        <v/>
      </c>
      <c r="T2942" s="26">
        <f>IF($D2942="","",IF($K2942&lt;&gt;"对外销售","",ROUND($Q2942-$S2942,0)))</f>
        <v/>
      </c>
      <c r="U2942" s="17" t="n"/>
      <c r="V2942" s="17" t="n"/>
      <c r="W2942" s="24">
        <f>IF($D2942="","",IF($E2942="※编码不在物料档案里","※物料编码不在档案里",IF(N($J2942)&lt;=0,"※出库数量要大于 0",IF($K2942="","※没填去向类型",IF($L2942="","※没填去向矿区",IF(AND($C2942&lt;&gt;"",$C2942&lt;=结账锁),"※日期早于已结账截止日，不能再录",IF(AND($K2942="自用消耗",COUNTIF({"一矿区";"二矿区"},$L2942)=0),"※自用消耗的去向只能是一矿区或二矿区",IF(AND($K2942="对外销售",COUNTIF({"三矿区";"六矿区"},$L2942)=0),"※对外销售的去向只能是三矿区或六矿区",IF(AND($K2942="对外销售",ROUND($Q2942,0)=0),"※外销却没有售价，请填实际售价",IF(AND($K2942="对外销售",$T2942&lt;&gt;"",$T2942&lt;0),"※这一笔外销是亏的，请核对售价",IF(IFERROR(VLOOKUP($D2942,库存台账!$A$5:$Y$1204,24,0),0)&lt;-0.001,"※这个物料账面已经变成负数了，查一下是不是漏记入库","")))))))))))</f>
        <v/>
      </c>
    </row>
    <row r="2943">
      <c r="A2943" s="24">
        <f>IF($D2943="","",COUNTA($D$4:$D2943))</f>
        <v/>
      </c>
      <c r="B2943" s="17" t="n"/>
      <c r="C2943" s="30" t="n"/>
      <c r="D2943" s="17" t="n"/>
      <c r="E2943" s="24">
        <f>IF($D2943="","",IFERROR(VLOOKUP($D2943,物料档案!$A$4:$P$1203,3,0),"※编码不在物料档案里"))</f>
        <v/>
      </c>
      <c r="F2943" s="24">
        <f>IF($D2943="","",IFERROR(VLOOKUP($D2943,物料档案!$A$4:$P$1203,4,0),"※编码不在物料档案里"))</f>
        <v/>
      </c>
      <c r="G2943" s="24">
        <f>IF($D2943="","",IFERROR(VLOOKUP($D2943,物料档案!$A$4:$P$1203,5,0),"※编码不在物料档案里"))</f>
        <v/>
      </c>
      <c r="H2943" s="24">
        <f>IF($D2943="","",IFERROR(VLOOKUP($D2943,物料档案!$A$4:$P$1203,2,0),"※编码不在物料档案里"))</f>
        <v/>
      </c>
      <c r="I2943" s="24">
        <f>IF($D2943="","",IFERROR(VLOOKUP($D2943,物料档案!$A$4:$P$1203,6,0),"※编码不在物料档案里"))</f>
        <v/>
      </c>
      <c r="J2943" s="23" t="n"/>
      <c r="K2943" s="17" t="n"/>
      <c r="L2943" s="17" t="n"/>
      <c r="M2943" s="17" t="n"/>
      <c r="N2943" s="17" t="n"/>
      <c r="O2943" s="26">
        <f>IF($D2943="","",IFERROR(VLOOKUP($D2943,物料档案!$A$4:$P$1203,10,0),0))</f>
        <v/>
      </c>
      <c r="P2943" s="32" t="n"/>
      <c r="Q2943" s="26">
        <f>IF($D2943="","",IF($K2943&lt;&gt;"对外销售",0,ROUND(N($J2943)*IF($P2943="",N($O2943),N($P2943)),0)))</f>
        <v/>
      </c>
      <c r="R2943" s="26">
        <f>IF($D2943="","",IFERROR(VLOOKUP($D2943,库存台账!$A$5:$Y$1204,11,0),0))</f>
        <v/>
      </c>
      <c r="S2943" s="26">
        <f>IF($D2943="","",ROUND(N($J2943)*N($R2943),0))</f>
        <v/>
      </c>
      <c r="T2943" s="26">
        <f>IF($D2943="","",IF($K2943&lt;&gt;"对外销售","",ROUND($Q2943-$S2943,0)))</f>
        <v/>
      </c>
      <c r="U2943" s="17" t="n"/>
      <c r="V2943" s="17" t="n"/>
      <c r="W2943" s="24">
        <f>IF($D2943="","",IF($E2943="※编码不在物料档案里","※物料编码不在档案里",IF(N($J2943)&lt;=0,"※出库数量要大于 0",IF($K2943="","※没填去向类型",IF($L2943="","※没填去向矿区",IF(AND($C2943&lt;&gt;"",$C2943&lt;=结账锁),"※日期早于已结账截止日，不能再录",IF(AND($K2943="自用消耗",COUNTIF({"一矿区";"二矿区"},$L2943)=0),"※自用消耗的去向只能是一矿区或二矿区",IF(AND($K2943="对外销售",COUNTIF({"三矿区";"六矿区"},$L2943)=0),"※对外销售的去向只能是三矿区或六矿区",IF(AND($K2943="对外销售",ROUND($Q2943,0)=0),"※外销却没有售价，请填实际售价",IF(AND($K2943="对外销售",$T2943&lt;&gt;"",$T2943&lt;0),"※这一笔外销是亏的，请核对售价",IF(IFERROR(VLOOKUP($D2943,库存台账!$A$5:$Y$1204,24,0),0)&lt;-0.001,"※这个物料账面已经变成负数了，查一下是不是漏记入库","")))))))))))</f>
        <v/>
      </c>
    </row>
    <row r="2944">
      <c r="A2944" s="24">
        <f>IF($D2944="","",COUNTA($D$4:$D2944))</f>
        <v/>
      </c>
      <c r="B2944" s="17" t="n"/>
      <c r="C2944" s="30" t="n"/>
      <c r="D2944" s="17" t="n"/>
      <c r="E2944" s="24">
        <f>IF($D2944="","",IFERROR(VLOOKUP($D2944,物料档案!$A$4:$P$1203,3,0),"※编码不在物料档案里"))</f>
        <v/>
      </c>
      <c r="F2944" s="24">
        <f>IF($D2944="","",IFERROR(VLOOKUP($D2944,物料档案!$A$4:$P$1203,4,0),"※编码不在物料档案里"))</f>
        <v/>
      </c>
      <c r="G2944" s="24">
        <f>IF($D2944="","",IFERROR(VLOOKUP($D2944,物料档案!$A$4:$P$1203,5,0),"※编码不在物料档案里"))</f>
        <v/>
      </c>
      <c r="H2944" s="24">
        <f>IF($D2944="","",IFERROR(VLOOKUP($D2944,物料档案!$A$4:$P$1203,2,0),"※编码不在物料档案里"))</f>
        <v/>
      </c>
      <c r="I2944" s="24">
        <f>IF($D2944="","",IFERROR(VLOOKUP($D2944,物料档案!$A$4:$P$1203,6,0),"※编码不在物料档案里"))</f>
        <v/>
      </c>
      <c r="J2944" s="23" t="n"/>
      <c r="K2944" s="17" t="n"/>
      <c r="L2944" s="17" t="n"/>
      <c r="M2944" s="17" t="n"/>
      <c r="N2944" s="17" t="n"/>
      <c r="O2944" s="26">
        <f>IF($D2944="","",IFERROR(VLOOKUP($D2944,物料档案!$A$4:$P$1203,10,0),0))</f>
        <v/>
      </c>
      <c r="P2944" s="32" t="n"/>
      <c r="Q2944" s="26">
        <f>IF($D2944="","",IF($K2944&lt;&gt;"对外销售",0,ROUND(N($J2944)*IF($P2944="",N($O2944),N($P2944)),0)))</f>
        <v/>
      </c>
      <c r="R2944" s="26">
        <f>IF($D2944="","",IFERROR(VLOOKUP($D2944,库存台账!$A$5:$Y$1204,11,0),0))</f>
        <v/>
      </c>
      <c r="S2944" s="26">
        <f>IF($D2944="","",ROUND(N($J2944)*N($R2944),0))</f>
        <v/>
      </c>
      <c r="T2944" s="26">
        <f>IF($D2944="","",IF($K2944&lt;&gt;"对外销售","",ROUND($Q2944-$S2944,0)))</f>
        <v/>
      </c>
      <c r="U2944" s="17" t="n"/>
      <c r="V2944" s="17" t="n"/>
      <c r="W2944" s="24">
        <f>IF($D2944="","",IF($E2944="※编码不在物料档案里","※物料编码不在档案里",IF(N($J2944)&lt;=0,"※出库数量要大于 0",IF($K2944="","※没填去向类型",IF($L2944="","※没填去向矿区",IF(AND($C2944&lt;&gt;"",$C2944&lt;=结账锁),"※日期早于已结账截止日，不能再录",IF(AND($K2944="自用消耗",COUNTIF({"一矿区";"二矿区"},$L2944)=0),"※自用消耗的去向只能是一矿区或二矿区",IF(AND($K2944="对外销售",COUNTIF({"三矿区";"六矿区"},$L2944)=0),"※对外销售的去向只能是三矿区或六矿区",IF(AND($K2944="对外销售",ROUND($Q2944,0)=0),"※外销却没有售价，请填实际售价",IF(AND($K2944="对外销售",$T2944&lt;&gt;"",$T2944&lt;0),"※这一笔外销是亏的，请核对售价",IF(IFERROR(VLOOKUP($D2944,库存台账!$A$5:$Y$1204,24,0),0)&lt;-0.001,"※这个物料账面已经变成负数了，查一下是不是漏记入库","")))))))))))</f>
        <v/>
      </c>
    </row>
    <row r="2945">
      <c r="A2945" s="24">
        <f>IF($D2945="","",COUNTA($D$4:$D2945))</f>
        <v/>
      </c>
      <c r="B2945" s="17" t="n"/>
      <c r="C2945" s="30" t="n"/>
      <c r="D2945" s="17" t="n"/>
      <c r="E2945" s="24">
        <f>IF($D2945="","",IFERROR(VLOOKUP($D2945,物料档案!$A$4:$P$1203,3,0),"※编码不在物料档案里"))</f>
        <v/>
      </c>
      <c r="F2945" s="24">
        <f>IF($D2945="","",IFERROR(VLOOKUP($D2945,物料档案!$A$4:$P$1203,4,0),"※编码不在物料档案里"))</f>
        <v/>
      </c>
      <c r="G2945" s="24">
        <f>IF($D2945="","",IFERROR(VLOOKUP($D2945,物料档案!$A$4:$P$1203,5,0),"※编码不在物料档案里"))</f>
        <v/>
      </c>
      <c r="H2945" s="24">
        <f>IF($D2945="","",IFERROR(VLOOKUP($D2945,物料档案!$A$4:$P$1203,2,0),"※编码不在物料档案里"))</f>
        <v/>
      </c>
      <c r="I2945" s="24">
        <f>IF($D2945="","",IFERROR(VLOOKUP($D2945,物料档案!$A$4:$P$1203,6,0),"※编码不在物料档案里"))</f>
        <v/>
      </c>
      <c r="J2945" s="23" t="n"/>
      <c r="K2945" s="17" t="n"/>
      <c r="L2945" s="17" t="n"/>
      <c r="M2945" s="17" t="n"/>
      <c r="N2945" s="17" t="n"/>
      <c r="O2945" s="26">
        <f>IF($D2945="","",IFERROR(VLOOKUP($D2945,物料档案!$A$4:$P$1203,10,0),0))</f>
        <v/>
      </c>
      <c r="P2945" s="32" t="n"/>
      <c r="Q2945" s="26">
        <f>IF($D2945="","",IF($K2945&lt;&gt;"对外销售",0,ROUND(N($J2945)*IF($P2945="",N($O2945),N($P2945)),0)))</f>
        <v/>
      </c>
      <c r="R2945" s="26">
        <f>IF($D2945="","",IFERROR(VLOOKUP($D2945,库存台账!$A$5:$Y$1204,11,0),0))</f>
        <v/>
      </c>
      <c r="S2945" s="26">
        <f>IF($D2945="","",ROUND(N($J2945)*N($R2945),0))</f>
        <v/>
      </c>
      <c r="T2945" s="26">
        <f>IF($D2945="","",IF($K2945&lt;&gt;"对外销售","",ROUND($Q2945-$S2945,0)))</f>
        <v/>
      </c>
      <c r="U2945" s="17" t="n"/>
      <c r="V2945" s="17" t="n"/>
      <c r="W2945" s="24">
        <f>IF($D2945="","",IF($E2945="※编码不在物料档案里","※物料编码不在档案里",IF(N($J2945)&lt;=0,"※出库数量要大于 0",IF($K2945="","※没填去向类型",IF($L2945="","※没填去向矿区",IF(AND($C2945&lt;&gt;"",$C2945&lt;=结账锁),"※日期早于已结账截止日，不能再录",IF(AND($K2945="自用消耗",COUNTIF({"一矿区";"二矿区"},$L2945)=0),"※自用消耗的去向只能是一矿区或二矿区",IF(AND($K2945="对外销售",COUNTIF({"三矿区";"六矿区"},$L2945)=0),"※对外销售的去向只能是三矿区或六矿区",IF(AND($K2945="对外销售",ROUND($Q2945,0)=0),"※外销却没有售价，请填实际售价",IF(AND($K2945="对外销售",$T2945&lt;&gt;"",$T2945&lt;0),"※这一笔外销是亏的，请核对售价",IF(IFERROR(VLOOKUP($D2945,库存台账!$A$5:$Y$1204,24,0),0)&lt;-0.001,"※这个物料账面已经变成负数了，查一下是不是漏记入库","")))))))))))</f>
        <v/>
      </c>
    </row>
    <row r="2946">
      <c r="A2946" s="24">
        <f>IF($D2946="","",COUNTA($D$4:$D2946))</f>
        <v/>
      </c>
      <c r="B2946" s="17" t="n"/>
      <c r="C2946" s="30" t="n"/>
      <c r="D2946" s="17" t="n"/>
      <c r="E2946" s="24">
        <f>IF($D2946="","",IFERROR(VLOOKUP($D2946,物料档案!$A$4:$P$1203,3,0),"※编码不在物料档案里"))</f>
        <v/>
      </c>
      <c r="F2946" s="24">
        <f>IF($D2946="","",IFERROR(VLOOKUP($D2946,物料档案!$A$4:$P$1203,4,0),"※编码不在物料档案里"))</f>
        <v/>
      </c>
      <c r="G2946" s="24">
        <f>IF($D2946="","",IFERROR(VLOOKUP($D2946,物料档案!$A$4:$P$1203,5,0),"※编码不在物料档案里"))</f>
        <v/>
      </c>
      <c r="H2946" s="24">
        <f>IF($D2946="","",IFERROR(VLOOKUP($D2946,物料档案!$A$4:$P$1203,2,0),"※编码不在物料档案里"))</f>
        <v/>
      </c>
      <c r="I2946" s="24">
        <f>IF($D2946="","",IFERROR(VLOOKUP($D2946,物料档案!$A$4:$P$1203,6,0),"※编码不在物料档案里"))</f>
        <v/>
      </c>
      <c r="J2946" s="23" t="n"/>
      <c r="K2946" s="17" t="n"/>
      <c r="L2946" s="17" t="n"/>
      <c r="M2946" s="17" t="n"/>
      <c r="N2946" s="17" t="n"/>
      <c r="O2946" s="26">
        <f>IF($D2946="","",IFERROR(VLOOKUP($D2946,物料档案!$A$4:$P$1203,10,0),0))</f>
        <v/>
      </c>
      <c r="P2946" s="32" t="n"/>
      <c r="Q2946" s="26">
        <f>IF($D2946="","",IF($K2946&lt;&gt;"对外销售",0,ROUND(N($J2946)*IF($P2946="",N($O2946),N($P2946)),0)))</f>
        <v/>
      </c>
      <c r="R2946" s="26">
        <f>IF($D2946="","",IFERROR(VLOOKUP($D2946,库存台账!$A$5:$Y$1204,11,0),0))</f>
        <v/>
      </c>
      <c r="S2946" s="26">
        <f>IF($D2946="","",ROUND(N($J2946)*N($R2946),0))</f>
        <v/>
      </c>
      <c r="T2946" s="26">
        <f>IF($D2946="","",IF($K2946&lt;&gt;"对外销售","",ROUND($Q2946-$S2946,0)))</f>
        <v/>
      </c>
      <c r="U2946" s="17" t="n"/>
      <c r="V2946" s="17" t="n"/>
      <c r="W2946" s="24">
        <f>IF($D2946="","",IF($E2946="※编码不在物料档案里","※物料编码不在档案里",IF(N($J2946)&lt;=0,"※出库数量要大于 0",IF($K2946="","※没填去向类型",IF($L2946="","※没填去向矿区",IF(AND($C2946&lt;&gt;"",$C2946&lt;=结账锁),"※日期早于已结账截止日，不能再录",IF(AND($K2946="自用消耗",COUNTIF({"一矿区";"二矿区"},$L2946)=0),"※自用消耗的去向只能是一矿区或二矿区",IF(AND($K2946="对外销售",COUNTIF({"三矿区";"六矿区"},$L2946)=0),"※对外销售的去向只能是三矿区或六矿区",IF(AND($K2946="对外销售",ROUND($Q2946,0)=0),"※外销却没有售价，请填实际售价",IF(AND($K2946="对外销售",$T2946&lt;&gt;"",$T2946&lt;0),"※这一笔外销是亏的，请核对售价",IF(IFERROR(VLOOKUP($D2946,库存台账!$A$5:$Y$1204,24,0),0)&lt;-0.001,"※这个物料账面已经变成负数了，查一下是不是漏记入库","")))))))))))</f>
        <v/>
      </c>
    </row>
    <row r="2947">
      <c r="A2947" s="24">
        <f>IF($D2947="","",COUNTA($D$4:$D2947))</f>
        <v/>
      </c>
      <c r="B2947" s="17" t="n"/>
      <c r="C2947" s="30" t="n"/>
      <c r="D2947" s="17" t="n"/>
      <c r="E2947" s="24">
        <f>IF($D2947="","",IFERROR(VLOOKUP($D2947,物料档案!$A$4:$P$1203,3,0),"※编码不在物料档案里"))</f>
        <v/>
      </c>
      <c r="F2947" s="24">
        <f>IF($D2947="","",IFERROR(VLOOKUP($D2947,物料档案!$A$4:$P$1203,4,0),"※编码不在物料档案里"))</f>
        <v/>
      </c>
      <c r="G2947" s="24">
        <f>IF($D2947="","",IFERROR(VLOOKUP($D2947,物料档案!$A$4:$P$1203,5,0),"※编码不在物料档案里"))</f>
        <v/>
      </c>
      <c r="H2947" s="24">
        <f>IF($D2947="","",IFERROR(VLOOKUP($D2947,物料档案!$A$4:$P$1203,2,0),"※编码不在物料档案里"))</f>
        <v/>
      </c>
      <c r="I2947" s="24">
        <f>IF($D2947="","",IFERROR(VLOOKUP($D2947,物料档案!$A$4:$P$1203,6,0),"※编码不在物料档案里"))</f>
        <v/>
      </c>
      <c r="J2947" s="23" t="n"/>
      <c r="K2947" s="17" t="n"/>
      <c r="L2947" s="17" t="n"/>
      <c r="M2947" s="17" t="n"/>
      <c r="N2947" s="17" t="n"/>
      <c r="O2947" s="26">
        <f>IF($D2947="","",IFERROR(VLOOKUP($D2947,物料档案!$A$4:$P$1203,10,0),0))</f>
        <v/>
      </c>
      <c r="P2947" s="32" t="n"/>
      <c r="Q2947" s="26">
        <f>IF($D2947="","",IF($K2947&lt;&gt;"对外销售",0,ROUND(N($J2947)*IF($P2947="",N($O2947),N($P2947)),0)))</f>
        <v/>
      </c>
      <c r="R2947" s="26">
        <f>IF($D2947="","",IFERROR(VLOOKUP($D2947,库存台账!$A$5:$Y$1204,11,0),0))</f>
        <v/>
      </c>
      <c r="S2947" s="26">
        <f>IF($D2947="","",ROUND(N($J2947)*N($R2947),0))</f>
        <v/>
      </c>
      <c r="T2947" s="26">
        <f>IF($D2947="","",IF($K2947&lt;&gt;"对外销售","",ROUND($Q2947-$S2947,0)))</f>
        <v/>
      </c>
      <c r="U2947" s="17" t="n"/>
      <c r="V2947" s="17" t="n"/>
      <c r="W2947" s="24">
        <f>IF($D2947="","",IF($E2947="※编码不在物料档案里","※物料编码不在档案里",IF(N($J2947)&lt;=0,"※出库数量要大于 0",IF($K2947="","※没填去向类型",IF($L2947="","※没填去向矿区",IF(AND($C2947&lt;&gt;"",$C2947&lt;=结账锁),"※日期早于已结账截止日，不能再录",IF(AND($K2947="自用消耗",COUNTIF({"一矿区";"二矿区"},$L2947)=0),"※自用消耗的去向只能是一矿区或二矿区",IF(AND($K2947="对外销售",COUNTIF({"三矿区";"六矿区"},$L2947)=0),"※对外销售的去向只能是三矿区或六矿区",IF(AND($K2947="对外销售",ROUND($Q2947,0)=0),"※外销却没有售价，请填实际售价",IF(AND($K2947="对外销售",$T2947&lt;&gt;"",$T2947&lt;0),"※这一笔外销是亏的，请核对售价",IF(IFERROR(VLOOKUP($D2947,库存台账!$A$5:$Y$1204,24,0),0)&lt;-0.001,"※这个物料账面已经变成负数了，查一下是不是漏记入库","")))))))))))</f>
        <v/>
      </c>
    </row>
    <row r="2948">
      <c r="A2948" s="24">
        <f>IF($D2948="","",COUNTA($D$4:$D2948))</f>
        <v/>
      </c>
      <c r="B2948" s="17" t="n"/>
      <c r="C2948" s="30" t="n"/>
      <c r="D2948" s="17" t="n"/>
      <c r="E2948" s="24">
        <f>IF($D2948="","",IFERROR(VLOOKUP($D2948,物料档案!$A$4:$P$1203,3,0),"※编码不在物料档案里"))</f>
        <v/>
      </c>
      <c r="F2948" s="24">
        <f>IF($D2948="","",IFERROR(VLOOKUP($D2948,物料档案!$A$4:$P$1203,4,0),"※编码不在物料档案里"))</f>
        <v/>
      </c>
      <c r="G2948" s="24">
        <f>IF($D2948="","",IFERROR(VLOOKUP($D2948,物料档案!$A$4:$P$1203,5,0),"※编码不在物料档案里"))</f>
        <v/>
      </c>
      <c r="H2948" s="24">
        <f>IF($D2948="","",IFERROR(VLOOKUP($D2948,物料档案!$A$4:$P$1203,2,0),"※编码不在物料档案里"))</f>
        <v/>
      </c>
      <c r="I2948" s="24">
        <f>IF($D2948="","",IFERROR(VLOOKUP($D2948,物料档案!$A$4:$P$1203,6,0),"※编码不在物料档案里"))</f>
        <v/>
      </c>
      <c r="J2948" s="23" t="n"/>
      <c r="K2948" s="17" t="n"/>
      <c r="L2948" s="17" t="n"/>
      <c r="M2948" s="17" t="n"/>
      <c r="N2948" s="17" t="n"/>
      <c r="O2948" s="26">
        <f>IF($D2948="","",IFERROR(VLOOKUP($D2948,物料档案!$A$4:$P$1203,10,0),0))</f>
        <v/>
      </c>
      <c r="P2948" s="32" t="n"/>
      <c r="Q2948" s="26">
        <f>IF($D2948="","",IF($K2948&lt;&gt;"对外销售",0,ROUND(N($J2948)*IF($P2948="",N($O2948),N($P2948)),0)))</f>
        <v/>
      </c>
      <c r="R2948" s="26">
        <f>IF($D2948="","",IFERROR(VLOOKUP($D2948,库存台账!$A$5:$Y$1204,11,0),0))</f>
        <v/>
      </c>
      <c r="S2948" s="26">
        <f>IF($D2948="","",ROUND(N($J2948)*N($R2948),0))</f>
        <v/>
      </c>
      <c r="T2948" s="26">
        <f>IF($D2948="","",IF($K2948&lt;&gt;"对外销售","",ROUND($Q2948-$S2948,0)))</f>
        <v/>
      </c>
      <c r="U2948" s="17" t="n"/>
      <c r="V2948" s="17" t="n"/>
      <c r="W2948" s="24">
        <f>IF($D2948="","",IF($E2948="※编码不在物料档案里","※物料编码不在档案里",IF(N($J2948)&lt;=0,"※出库数量要大于 0",IF($K2948="","※没填去向类型",IF($L2948="","※没填去向矿区",IF(AND($C2948&lt;&gt;"",$C2948&lt;=结账锁),"※日期早于已结账截止日，不能再录",IF(AND($K2948="自用消耗",COUNTIF({"一矿区";"二矿区"},$L2948)=0),"※自用消耗的去向只能是一矿区或二矿区",IF(AND($K2948="对外销售",COUNTIF({"三矿区";"六矿区"},$L2948)=0),"※对外销售的去向只能是三矿区或六矿区",IF(AND($K2948="对外销售",ROUND($Q2948,0)=0),"※外销却没有售价，请填实际售价",IF(AND($K2948="对外销售",$T2948&lt;&gt;"",$T2948&lt;0),"※这一笔外销是亏的，请核对售价",IF(IFERROR(VLOOKUP($D2948,库存台账!$A$5:$Y$1204,24,0),0)&lt;-0.001,"※这个物料账面已经变成负数了，查一下是不是漏记入库","")))))))))))</f>
        <v/>
      </c>
    </row>
    <row r="2949">
      <c r="A2949" s="24">
        <f>IF($D2949="","",COUNTA($D$4:$D2949))</f>
        <v/>
      </c>
      <c r="B2949" s="17" t="n"/>
      <c r="C2949" s="30" t="n"/>
      <c r="D2949" s="17" t="n"/>
      <c r="E2949" s="24">
        <f>IF($D2949="","",IFERROR(VLOOKUP($D2949,物料档案!$A$4:$P$1203,3,0),"※编码不在物料档案里"))</f>
        <v/>
      </c>
      <c r="F2949" s="24">
        <f>IF($D2949="","",IFERROR(VLOOKUP($D2949,物料档案!$A$4:$P$1203,4,0),"※编码不在物料档案里"))</f>
        <v/>
      </c>
      <c r="G2949" s="24">
        <f>IF($D2949="","",IFERROR(VLOOKUP($D2949,物料档案!$A$4:$P$1203,5,0),"※编码不在物料档案里"))</f>
        <v/>
      </c>
      <c r="H2949" s="24">
        <f>IF($D2949="","",IFERROR(VLOOKUP($D2949,物料档案!$A$4:$P$1203,2,0),"※编码不在物料档案里"))</f>
        <v/>
      </c>
      <c r="I2949" s="24">
        <f>IF($D2949="","",IFERROR(VLOOKUP($D2949,物料档案!$A$4:$P$1203,6,0),"※编码不在物料档案里"))</f>
        <v/>
      </c>
      <c r="J2949" s="23" t="n"/>
      <c r="K2949" s="17" t="n"/>
      <c r="L2949" s="17" t="n"/>
      <c r="M2949" s="17" t="n"/>
      <c r="N2949" s="17" t="n"/>
      <c r="O2949" s="26">
        <f>IF($D2949="","",IFERROR(VLOOKUP($D2949,物料档案!$A$4:$P$1203,10,0),0))</f>
        <v/>
      </c>
      <c r="P2949" s="32" t="n"/>
      <c r="Q2949" s="26">
        <f>IF($D2949="","",IF($K2949&lt;&gt;"对外销售",0,ROUND(N($J2949)*IF($P2949="",N($O2949),N($P2949)),0)))</f>
        <v/>
      </c>
      <c r="R2949" s="26">
        <f>IF($D2949="","",IFERROR(VLOOKUP($D2949,库存台账!$A$5:$Y$1204,11,0),0))</f>
        <v/>
      </c>
      <c r="S2949" s="26">
        <f>IF($D2949="","",ROUND(N($J2949)*N($R2949),0))</f>
        <v/>
      </c>
      <c r="T2949" s="26">
        <f>IF($D2949="","",IF($K2949&lt;&gt;"对外销售","",ROUND($Q2949-$S2949,0)))</f>
        <v/>
      </c>
      <c r="U2949" s="17" t="n"/>
      <c r="V2949" s="17" t="n"/>
      <c r="W2949" s="24">
        <f>IF($D2949="","",IF($E2949="※编码不在物料档案里","※物料编码不在档案里",IF(N($J2949)&lt;=0,"※出库数量要大于 0",IF($K2949="","※没填去向类型",IF($L2949="","※没填去向矿区",IF(AND($C2949&lt;&gt;"",$C2949&lt;=结账锁),"※日期早于已结账截止日，不能再录",IF(AND($K2949="自用消耗",COUNTIF({"一矿区";"二矿区"},$L2949)=0),"※自用消耗的去向只能是一矿区或二矿区",IF(AND($K2949="对外销售",COUNTIF({"三矿区";"六矿区"},$L2949)=0),"※对外销售的去向只能是三矿区或六矿区",IF(AND($K2949="对外销售",ROUND($Q2949,0)=0),"※外销却没有售价，请填实际售价",IF(AND($K2949="对外销售",$T2949&lt;&gt;"",$T2949&lt;0),"※这一笔外销是亏的，请核对售价",IF(IFERROR(VLOOKUP($D2949,库存台账!$A$5:$Y$1204,24,0),0)&lt;-0.001,"※这个物料账面已经变成负数了，查一下是不是漏记入库","")))))))))))</f>
        <v/>
      </c>
    </row>
    <row r="2950">
      <c r="A2950" s="24">
        <f>IF($D2950="","",COUNTA($D$4:$D2950))</f>
        <v/>
      </c>
      <c r="B2950" s="17" t="n"/>
      <c r="C2950" s="30" t="n"/>
      <c r="D2950" s="17" t="n"/>
      <c r="E2950" s="24">
        <f>IF($D2950="","",IFERROR(VLOOKUP($D2950,物料档案!$A$4:$P$1203,3,0),"※编码不在物料档案里"))</f>
        <v/>
      </c>
      <c r="F2950" s="24">
        <f>IF($D2950="","",IFERROR(VLOOKUP($D2950,物料档案!$A$4:$P$1203,4,0),"※编码不在物料档案里"))</f>
        <v/>
      </c>
      <c r="G2950" s="24">
        <f>IF($D2950="","",IFERROR(VLOOKUP($D2950,物料档案!$A$4:$P$1203,5,0),"※编码不在物料档案里"))</f>
        <v/>
      </c>
      <c r="H2950" s="24">
        <f>IF($D2950="","",IFERROR(VLOOKUP($D2950,物料档案!$A$4:$P$1203,2,0),"※编码不在物料档案里"))</f>
        <v/>
      </c>
      <c r="I2950" s="24">
        <f>IF($D2950="","",IFERROR(VLOOKUP($D2950,物料档案!$A$4:$P$1203,6,0),"※编码不在物料档案里"))</f>
        <v/>
      </c>
      <c r="J2950" s="23" t="n"/>
      <c r="K2950" s="17" t="n"/>
      <c r="L2950" s="17" t="n"/>
      <c r="M2950" s="17" t="n"/>
      <c r="N2950" s="17" t="n"/>
      <c r="O2950" s="26">
        <f>IF($D2950="","",IFERROR(VLOOKUP($D2950,物料档案!$A$4:$P$1203,10,0),0))</f>
        <v/>
      </c>
      <c r="P2950" s="32" t="n"/>
      <c r="Q2950" s="26">
        <f>IF($D2950="","",IF($K2950&lt;&gt;"对外销售",0,ROUND(N($J2950)*IF($P2950="",N($O2950),N($P2950)),0)))</f>
        <v/>
      </c>
      <c r="R2950" s="26">
        <f>IF($D2950="","",IFERROR(VLOOKUP($D2950,库存台账!$A$5:$Y$1204,11,0),0))</f>
        <v/>
      </c>
      <c r="S2950" s="26">
        <f>IF($D2950="","",ROUND(N($J2950)*N($R2950),0))</f>
        <v/>
      </c>
      <c r="T2950" s="26">
        <f>IF($D2950="","",IF($K2950&lt;&gt;"对外销售","",ROUND($Q2950-$S2950,0)))</f>
        <v/>
      </c>
      <c r="U2950" s="17" t="n"/>
      <c r="V2950" s="17" t="n"/>
      <c r="W2950" s="24">
        <f>IF($D2950="","",IF($E2950="※编码不在物料档案里","※物料编码不在档案里",IF(N($J2950)&lt;=0,"※出库数量要大于 0",IF($K2950="","※没填去向类型",IF($L2950="","※没填去向矿区",IF(AND($C2950&lt;&gt;"",$C2950&lt;=结账锁),"※日期早于已结账截止日，不能再录",IF(AND($K2950="自用消耗",COUNTIF({"一矿区";"二矿区"},$L2950)=0),"※自用消耗的去向只能是一矿区或二矿区",IF(AND($K2950="对外销售",COUNTIF({"三矿区";"六矿区"},$L2950)=0),"※对外销售的去向只能是三矿区或六矿区",IF(AND($K2950="对外销售",ROUND($Q2950,0)=0),"※外销却没有售价，请填实际售价",IF(AND($K2950="对外销售",$T2950&lt;&gt;"",$T2950&lt;0),"※这一笔外销是亏的，请核对售价",IF(IFERROR(VLOOKUP($D2950,库存台账!$A$5:$Y$1204,24,0),0)&lt;-0.001,"※这个物料账面已经变成负数了，查一下是不是漏记入库","")))))))))))</f>
        <v/>
      </c>
    </row>
    <row r="2951">
      <c r="A2951" s="24">
        <f>IF($D2951="","",COUNTA($D$4:$D2951))</f>
        <v/>
      </c>
      <c r="B2951" s="17" t="n"/>
      <c r="C2951" s="30" t="n"/>
      <c r="D2951" s="17" t="n"/>
      <c r="E2951" s="24">
        <f>IF($D2951="","",IFERROR(VLOOKUP($D2951,物料档案!$A$4:$P$1203,3,0),"※编码不在物料档案里"))</f>
        <v/>
      </c>
      <c r="F2951" s="24">
        <f>IF($D2951="","",IFERROR(VLOOKUP($D2951,物料档案!$A$4:$P$1203,4,0),"※编码不在物料档案里"))</f>
        <v/>
      </c>
      <c r="G2951" s="24">
        <f>IF($D2951="","",IFERROR(VLOOKUP($D2951,物料档案!$A$4:$P$1203,5,0),"※编码不在物料档案里"))</f>
        <v/>
      </c>
      <c r="H2951" s="24">
        <f>IF($D2951="","",IFERROR(VLOOKUP($D2951,物料档案!$A$4:$P$1203,2,0),"※编码不在物料档案里"))</f>
        <v/>
      </c>
      <c r="I2951" s="24">
        <f>IF($D2951="","",IFERROR(VLOOKUP($D2951,物料档案!$A$4:$P$1203,6,0),"※编码不在物料档案里"))</f>
        <v/>
      </c>
      <c r="J2951" s="23" t="n"/>
      <c r="K2951" s="17" t="n"/>
      <c r="L2951" s="17" t="n"/>
      <c r="M2951" s="17" t="n"/>
      <c r="N2951" s="17" t="n"/>
      <c r="O2951" s="26">
        <f>IF($D2951="","",IFERROR(VLOOKUP($D2951,物料档案!$A$4:$P$1203,10,0),0))</f>
        <v/>
      </c>
      <c r="P2951" s="32" t="n"/>
      <c r="Q2951" s="26">
        <f>IF($D2951="","",IF($K2951&lt;&gt;"对外销售",0,ROUND(N($J2951)*IF($P2951="",N($O2951),N($P2951)),0)))</f>
        <v/>
      </c>
      <c r="R2951" s="26">
        <f>IF($D2951="","",IFERROR(VLOOKUP($D2951,库存台账!$A$5:$Y$1204,11,0),0))</f>
        <v/>
      </c>
      <c r="S2951" s="26">
        <f>IF($D2951="","",ROUND(N($J2951)*N($R2951),0))</f>
        <v/>
      </c>
      <c r="T2951" s="26">
        <f>IF($D2951="","",IF($K2951&lt;&gt;"对外销售","",ROUND($Q2951-$S2951,0)))</f>
        <v/>
      </c>
      <c r="U2951" s="17" t="n"/>
      <c r="V2951" s="17" t="n"/>
      <c r="W2951" s="24">
        <f>IF($D2951="","",IF($E2951="※编码不在物料档案里","※物料编码不在档案里",IF(N($J2951)&lt;=0,"※出库数量要大于 0",IF($K2951="","※没填去向类型",IF($L2951="","※没填去向矿区",IF(AND($C2951&lt;&gt;"",$C2951&lt;=结账锁),"※日期早于已结账截止日，不能再录",IF(AND($K2951="自用消耗",COUNTIF({"一矿区";"二矿区"},$L2951)=0),"※自用消耗的去向只能是一矿区或二矿区",IF(AND($K2951="对外销售",COUNTIF({"三矿区";"六矿区"},$L2951)=0),"※对外销售的去向只能是三矿区或六矿区",IF(AND($K2951="对外销售",ROUND($Q2951,0)=0),"※外销却没有售价，请填实际售价",IF(AND($K2951="对外销售",$T2951&lt;&gt;"",$T2951&lt;0),"※这一笔外销是亏的，请核对售价",IF(IFERROR(VLOOKUP($D2951,库存台账!$A$5:$Y$1204,24,0),0)&lt;-0.001,"※这个物料账面已经变成负数了，查一下是不是漏记入库","")))))))))))</f>
        <v/>
      </c>
    </row>
    <row r="2952">
      <c r="A2952" s="24">
        <f>IF($D2952="","",COUNTA($D$4:$D2952))</f>
        <v/>
      </c>
      <c r="B2952" s="17" t="n"/>
      <c r="C2952" s="30" t="n"/>
      <c r="D2952" s="17" t="n"/>
      <c r="E2952" s="24">
        <f>IF($D2952="","",IFERROR(VLOOKUP($D2952,物料档案!$A$4:$P$1203,3,0),"※编码不在物料档案里"))</f>
        <v/>
      </c>
      <c r="F2952" s="24">
        <f>IF($D2952="","",IFERROR(VLOOKUP($D2952,物料档案!$A$4:$P$1203,4,0),"※编码不在物料档案里"))</f>
        <v/>
      </c>
      <c r="G2952" s="24">
        <f>IF($D2952="","",IFERROR(VLOOKUP($D2952,物料档案!$A$4:$P$1203,5,0),"※编码不在物料档案里"))</f>
        <v/>
      </c>
      <c r="H2952" s="24">
        <f>IF($D2952="","",IFERROR(VLOOKUP($D2952,物料档案!$A$4:$P$1203,2,0),"※编码不在物料档案里"))</f>
        <v/>
      </c>
      <c r="I2952" s="24">
        <f>IF($D2952="","",IFERROR(VLOOKUP($D2952,物料档案!$A$4:$P$1203,6,0),"※编码不在物料档案里"))</f>
        <v/>
      </c>
      <c r="J2952" s="23" t="n"/>
      <c r="K2952" s="17" t="n"/>
      <c r="L2952" s="17" t="n"/>
      <c r="M2952" s="17" t="n"/>
      <c r="N2952" s="17" t="n"/>
      <c r="O2952" s="26">
        <f>IF($D2952="","",IFERROR(VLOOKUP($D2952,物料档案!$A$4:$P$1203,10,0),0))</f>
        <v/>
      </c>
      <c r="P2952" s="32" t="n"/>
      <c r="Q2952" s="26">
        <f>IF($D2952="","",IF($K2952&lt;&gt;"对外销售",0,ROUND(N($J2952)*IF($P2952="",N($O2952),N($P2952)),0)))</f>
        <v/>
      </c>
      <c r="R2952" s="26">
        <f>IF($D2952="","",IFERROR(VLOOKUP($D2952,库存台账!$A$5:$Y$1204,11,0),0))</f>
        <v/>
      </c>
      <c r="S2952" s="26">
        <f>IF($D2952="","",ROUND(N($J2952)*N($R2952),0))</f>
        <v/>
      </c>
      <c r="T2952" s="26">
        <f>IF($D2952="","",IF($K2952&lt;&gt;"对外销售","",ROUND($Q2952-$S2952,0)))</f>
        <v/>
      </c>
      <c r="U2952" s="17" t="n"/>
      <c r="V2952" s="17" t="n"/>
      <c r="W2952" s="24">
        <f>IF($D2952="","",IF($E2952="※编码不在物料档案里","※物料编码不在档案里",IF(N($J2952)&lt;=0,"※出库数量要大于 0",IF($K2952="","※没填去向类型",IF($L2952="","※没填去向矿区",IF(AND($C2952&lt;&gt;"",$C2952&lt;=结账锁),"※日期早于已结账截止日，不能再录",IF(AND($K2952="自用消耗",COUNTIF({"一矿区";"二矿区"},$L2952)=0),"※自用消耗的去向只能是一矿区或二矿区",IF(AND($K2952="对外销售",COUNTIF({"三矿区";"六矿区"},$L2952)=0),"※对外销售的去向只能是三矿区或六矿区",IF(AND($K2952="对外销售",ROUND($Q2952,0)=0),"※外销却没有售价，请填实际售价",IF(AND($K2952="对外销售",$T2952&lt;&gt;"",$T2952&lt;0),"※这一笔外销是亏的，请核对售价",IF(IFERROR(VLOOKUP($D2952,库存台账!$A$5:$Y$1204,24,0),0)&lt;-0.001,"※这个物料账面已经变成负数了，查一下是不是漏记入库","")))))))))))</f>
        <v/>
      </c>
    </row>
    <row r="2953">
      <c r="A2953" s="24">
        <f>IF($D2953="","",COUNTA($D$4:$D2953))</f>
        <v/>
      </c>
      <c r="B2953" s="17" t="n"/>
      <c r="C2953" s="30" t="n"/>
      <c r="D2953" s="17" t="n"/>
      <c r="E2953" s="24">
        <f>IF($D2953="","",IFERROR(VLOOKUP($D2953,物料档案!$A$4:$P$1203,3,0),"※编码不在物料档案里"))</f>
        <v/>
      </c>
      <c r="F2953" s="24">
        <f>IF($D2953="","",IFERROR(VLOOKUP($D2953,物料档案!$A$4:$P$1203,4,0),"※编码不在物料档案里"))</f>
        <v/>
      </c>
      <c r="G2953" s="24">
        <f>IF($D2953="","",IFERROR(VLOOKUP($D2953,物料档案!$A$4:$P$1203,5,0),"※编码不在物料档案里"))</f>
        <v/>
      </c>
      <c r="H2953" s="24">
        <f>IF($D2953="","",IFERROR(VLOOKUP($D2953,物料档案!$A$4:$P$1203,2,0),"※编码不在物料档案里"))</f>
        <v/>
      </c>
      <c r="I2953" s="24">
        <f>IF($D2953="","",IFERROR(VLOOKUP($D2953,物料档案!$A$4:$P$1203,6,0),"※编码不在物料档案里"))</f>
        <v/>
      </c>
      <c r="J2953" s="23" t="n"/>
      <c r="K2953" s="17" t="n"/>
      <c r="L2953" s="17" t="n"/>
      <c r="M2953" s="17" t="n"/>
      <c r="N2953" s="17" t="n"/>
      <c r="O2953" s="26">
        <f>IF($D2953="","",IFERROR(VLOOKUP($D2953,物料档案!$A$4:$P$1203,10,0),0))</f>
        <v/>
      </c>
      <c r="P2953" s="32" t="n"/>
      <c r="Q2953" s="26">
        <f>IF($D2953="","",IF($K2953&lt;&gt;"对外销售",0,ROUND(N($J2953)*IF($P2953="",N($O2953),N($P2953)),0)))</f>
        <v/>
      </c>
      <c r="R2953" s="26">
        <f>IF($D2953="","",IFERROR(VLOOKUP($D2953,库存台账!$A$5:$Y$1204,11,0),0))</f>
        <v/>
      </c>
      <c r="S2953" s="26">
        <f>IF($D2953="","",ROUND(N($J2953)*N($R2953),0))</f>
        <v/>
      </c>
      <c r="T2953" s="26">
        <f>IF($D2953="","",IF($K2953&lt;&gt;"对外销售","",ROUND($Q2953-$S2953,0)))</f>
        <v/>
      </c>
      <c r="U2953" s="17" t="n"/>
      <c r="V2953" s="17" t="n"/>
      <c r="W2953" s="24">
        <f>IF($D2953="","",IF($E2953="※编码不在物料档案里","※物料编码不在档案里",IF(N($J2953)&lt;=0,"※出库数量要大于 0",IF($K2953="","※没填去向类型",IF($L2953="","※没填去向矿区",IF(AND($C2953&lt;&gt;"",$C2953&lt;=结账锁),"※日期早于已结账截止日，不能再录",IF(AND($K2953="自用消耗",COUNTIF({"一矿区";"二矿区"},$L2953)=0),"※自用消耗的去向只能是一矿区或二矿区",IF(AND($K2953="对外销售",COUNTIF({"三矿区";"六矿区"},$L2953)=0),"※对外销售的去向只能是三矿区或六矿区",IF(AND($K2953="对外销售",ROUND($Q2953,0)=0),"※外销却没有售价，请填实际售价",IF(AND($K2953="对外销售",$T2953&lt;&gt;"",$T2953&lt;0),"※这一笔外销是亏的，请核对售价",IF(IFERROR(VLOOKUP($D2953,库存台账!$A$5:$Y$1204,24,0),0)&lt;-0.001,"※这个物料账面已经变成负数了，查一下是不是漏记入库","")))))))))))</f>
        <v/>
      </c>
    </row>
    <row r="2954">
      <c r="A2954" s="24">
        <f>IF($D2954="","",COUNTA($D$4:$D2954))</f>
        <v/>
      </c>
      <c r="B2954" s="17" t="n"/>
      <c r="C2954" s="30" t="n"/>
      <c r="D2954" s="17" t="n"/>
      <c r="E2954" s="24">
        <f>IF($D2954="","",IFERROR(VLOOKUP($D2954,物料档案!$A$4:$P$1203,3,0),"※编码不在物料档案里"))</f>
        <v/>
      </c>
      <c r="F2954" s="24">
        <f>IF($D2954="","",IFERROR(VLOOKUP($D2954,物料档案!$A$4:$P$1203,4,0),"※编码不在物料档案里"))</f>
        <v/>
      </c>
      <c r="G2954" s="24">
        <f>IF($D2954="","",IFERROR(VLOOKUP($D2954,物料档案!$A$4:$P$1203,5,0),"※编码不在物料档案里"))</f>
        <v/>
      </c>
      <c r="H2954" s="24">
        <f>IF($D2954="","",IFERROR(VLOOKUP($D2954,物料档案!$A$4:$P$1203,2,0),"※编码不在物料档案里"))</f>
        <v/>
      </c>
      <c r="I2954" s="24">
        <f>IF($D2954="","",IFERROR(VLOOKUP($D2954,物料档案!$A$4:$P$1203,6,0),"※编码不在物料档案里"))</f>
        <v/>
      </c>
      <c r="J2954" s="23" t="n"/>
      <c r="K2954" s="17" t="n"/>
      <c r="L2954" s="17" t="n"/>
      <c r="M2954" s="17" t="n"/>
      <c r="N2954" s="17" t="n"/>
      <c r="O2954" s="26">
        <f>IF($D2954="","",IFERROR(VLOOKUP($D2954,物料档案!$A$4:$P$1203,10,0),0))</f>
        <v/>
      </c>
      <c r="P2954" s="32" t="n"/>
      <c r="Q2954" s="26">
        <f>IF($D2954="","",IF($K2954&lt;&gt;"对外销售",0,ROUND(N($J2954)*IF($P2954="",N($O2954),N($P2954)),0)))</f>
        <v/>
      </c>
      <c r="R2954" s="26">
        <f>IF($D2954="","",IFERROR(VLOOKUP($D2954,库存台账!$A$5:$Y$1204,11,0),0))</f>
        <v/>
      </c>
      <c r="S2954" s="26">
        <f>IF($D2954="","",ROUND(N($J2954)*N($R2954),0))</f>
        <v/>
      </c>
      <c r="T2954" s="26">
        <f>IF($D2954="","",IF($K2954&lt;&gt;"对外销售","",ROUND($Q2954-$S2954,0)))</f>
        <v/>
      </c>
      <c r="U2954" s="17" t="n"/>
      <c r="V2954" s="17" t="n"/>
      <c r="W2954" s="24">
        <f>IF($D2954="","",IF($E2954="※编码不在物料档案里","※物料编码不在档案里",IF(N($J2954)&lt;=0,"※出库数量要大于 0",IF($K2954="","※没填去向类型",IF($L2954="","※没填去向矿区",IF(AND($C2954&lt;&gt;"",$C2954&lt;=结账锁),"※日期早于已结账截止日，不能再录",IF(AND($K2954="自用消耗",COUNTIF({"一矿区";"二矿区"},$L2954)=0),"※自用消耗的去向只能是一矿区或二矿区",IF(AND($K2954="对外销售",COUNTIF({"三矿区";"六矿区"},$L2954)=0),"※对外销售的去向只能是三矿区或六矿区",IF(AND($K2954="对外销售",ROUND($Q2954,0)=0),"※外销却没有售价，请填实际售价",IF(AND($K2954="对外销售",$T2954&lt;&gt;"",$T2954&lt;0),"※这一笔外销是亏的，请核对售价",IF(IFERROR(VLOOKUP($D2954,库存台账!$A$5:$Y$1204,24,0),0)&lt;-0.001,"※这个物料账面已经变成负数了，查一下是不是漏记入库","")))))))))))</f>
        <v/>
      </c>
    </row>
    <row r="2955">
      <c r="A2955" s="24">
        <f>IF($D2955="","",COUNTA($D$4:$D2955))</f>
        <v/>
      </c>
      <c r="B2955" s="17" t="n"/>
      <c r="C2955" s="30" t="n"/>
      <c r="D2955" s="17" t="n"/>
      <c r="E2955" s="24">
        <f>IF($D2955="","",IFERROR(VLOOKUP($D2955,物料档案!$A$4:$P$1203,3,0),"※编码不在物料档案里"))</f>
        <v/>
      </c>
      <c r="F2955" s="24">
        <f>IF($D2955="","",IFERROR(VLOOKUP($D2955,物料档案!$A$4:$P$1203,4,0),"※编码不在物料档案里"))</f>
        <v/>
      </c>
      <c r="G2955" s="24">
        <f>IF($D2955="","",IFERROR(VLOOKUP($D2955,物料档案!$A$4:$P$1203,5,0),"※编码不在物料档案里"))</f>
        <v/>
      </c>
      <c r="H2955" s="24">
        <f>IF($D2955="","",IFERROR(VLOOKUP($D2955,物料档案!$A$4:$P$1203,2,0),"※编码不在物料档案里"))</f>
        <v/>
      </c>
      <c r="I2955" s="24">
        <f>IF($D2955="","",IFERROR(VLOOKUP($D2955,物料档案!$A$4:$P$1203,6,0),"※编码不在物料档案里"))</f>
        <v/>
      </c>
      <c r="J2955" s="23" t="n"/>
      <c r="K2955" s="17" t="n"/>
      <c r="L2955" s="17" t="n"/>
      <c r="M2955" s="17" t="n"/>
      <c r="N2955" s="17" t="n"/>
      <c r="O2955" s="26">
        <f>IF($D2955="","",IFERROR(VLOOKUP($D2955,物料档案!$A$4:$P$1203,10,0),0))</f>
        <v/>
      </c>
      <c r="P2955" s="32" t="n"/>
      <c r="Q2955" s="26">
        <f>IF($D2955="","",IF($K2955&lt;&gt;"对外销售",0,ROUND(N($J2955)*IF($P2955="",N($O2955),N($P2955)),0)))</f>
        <v/>
      </c>
      <c r="R2955" s="26">
        <f>IF($D2955="","",IFERROR(VLOOKUP($D2955,库存台账!$A$5:$Y$1204,11,0),0))</f>
        <v/>
      </c>
      <c r="S2955" s="26">
        <f>IF($D2955="","",ROUND(N($J2955)*N($R2955),0))</f>
        <v/>
      </c>
      <c r="T2955" s="26">
        <f>IF($D2955="","",IF($K2955&lt;&gt;"对外销售","",ROUND($Q2955-$S2955,0)))</f>
        <v/>
      </c>
      <c r="U2955" s="17" t="n"/>
      <c r="V2955" s="17" t="n"/>
      <c r="W2955" s="24">
        <f>IF($D2955="","",IF($E2955="※编码不在物料档案里","※物料编码不在档案里",IF(N($J2955)&lt;=0,"※出库数量要大于 0",IF($K2955="","※没填去向类型",IF($L2955="","※没填去向矿区",IF(AND($C2955&lt;&gt;"",$C2955&lt;=结账锁),"※日期早于已结账截止日，不能再录",IF(AND($K2955="自用消耗",COUNTIF({"一矿区";"二矿区"},$L2955)=0),"※自用消耗的去向只能是一矿区或二矿区",IF(AND($K2955="对外销售",COUNTIF({"三矿区";"六矿区"},$L2955)=0),"※对外销售的去向只能是三矿区或六矿区",IF(AND($K2955="对外销售",ROUND($Q2955,0)=0),"※外销却没有售价，请填实际售价",IF(AND($K2955="对外销售",$T2955&lt;&gt;"",$T2955&lt;0),"※这一笔外销是亏的，请核对售价",IF(IFERROR(VLOOKUP($D2955,库存台账!$A$5:$Y$1204,24,0),0)&lt;-0.001,"※这个物料账面已经变成负数了，查一下是不是漏记入库","")))))))))))</f>
        <v/>
      </c>
    </row>
    <row r="2956">
      <c r="A2956" s="24">
        <f>IF($D2956="","",COUNTA($D$4:$D2956))</f>
        <v/>
      </c>
      <c r="B2956" s="17" t="n"/>
      <c r="C2956" s="30" t="n"/>
      <c r="D2956" s="17" t="n"/>
      <c r="E2956" s="24">
        <f>IF($D2956="","",IFERROR(VLOOKUP($D2956,物料档案!$A$4:$P$1203,3,0),"※编码不在物料档案里"))</f>
        <v/>
      </c>
      <c r="F2956" s="24">
        <f>IF($D2956="","",IFERROR(VLOOKUP($D2956,物料档案!$A$4:$P$1203,4,0),"※编码不在物料档案里"))</f>
        <v/>
      </c>
      <c r="G2956" s="24">
        <f>IF($D2956="","",IFERROR(VLOOKUP($D2956,物料档案!$A$4:$P$1203,5,0),"※编码不在物料档案里"))</f>
        <v/>
      </c>
      <c r="H2956" s="24">
        <f>IF($D2956="","",IFERROR(VLOOKUP($D2956,物料档案!$A$4:$P$1203,2,0),"※编码不在物料档案里"))</f>
        <v/>
      </c>
      <c r="I2956" s="24">
        <f>IF($D2956="","",IFERROR(VLOOKUP($D2956,物料档案!$A$4:$P$1203,6,0),"※编码不在物料档案里"))</f>
        <v/>
      </c>
      <c r="J2956" s="23" t="n"/>
      <c r="K2956" s="17" t="n"/>
      <c r="L2956" s="17" t="n"/>
      <c r="M2956" s="17" t="n"/>
      <c r="N2956" s="17" t="n"/>
      <c r="O2956" s="26">
        <f>IF($D2956="","",IFERROR(VLOOKUP($D2956,物料档案!$A$4:$P$1203,10,0),0))</f>
        <v/>
      </c>
      <c r="P2956" s="32" t="n"/>
      <c r="Q2956" s="26">
        <f>IF($D2956="","",IF($K2956&lt;&gt;"对外销售",0,ROUND(N($J2956)*IF($P2956="",N($O2956),N($P2956)),0)))</f>
        <v/>
      </c>
      <c r="R2956" s="26">
        <f>IF($D2956="","",IFERROR(VLOOKUP($D2956,库存台账!$A$5:$Y$1204,11,0),0))</f>
        <v/>
      </c>
      <c r="S2956" s="26">
        <f>IF($D2956="","",ROUND(N($J2956)*N($R2956),0))</f>
        <v/>
      </c>
      <c r="T2956" s="26">
        <f>IF($D2956="","",IF($K2956&lt;&gt;"对外销售","",ROUND($Q2956-$S2956,0)))</f>
        <v/>
      </c>
      <c r="U2956" s="17" t="n"/>
      <c r="V2956" s="17" t="n"/>
      <c r="W2956" s="24">
        <f>IF($D2956="","",IF($E2956="※编码不在物料档案里","※物料编码不在档案里",IF(N($J2956)&lt;=0,"※出库数量要大于 0",IF($K2956="","※没填去向类型",IF($L2956="","※没填去向矿区",IF(AND($C2956&lt;&gt;"",$C2956&lt;=结账锁),"※日期早于已结账截止日，不能再录",IF(AND($K2956="自用消耗",COUNTIF({"一矿区";"二矿区"},$L2956)=0),"※自用消耗的去向只能是一矿区或二矿区",IF(AND($K2956="对外销售",COUNTIF({"三矿区";"六矿区"},$L2956)=0),"※对外销售的去向只能是三矿区或六矿区",IF(AND($K2956="对外销售",ROUND($Q2956,0)=0),"※外销却没有售价，请填实际售价",IF(AND($K2956="对外销售",$T2956&lt;&gt;"",$T2956&lt;0),"※这一笔外销是亏的，请核对售价",IF(IFERROR(VLOOKUP($D2956,库存台账!$A$5:$Y$1204,24,0),0)&lt;-0.001,"※这个物料账面已经变成负数了，查一下是不是漏记入库","")))))))))))</f>
        <v/>
      </c>
    </row>
    <row r="2957">
      <c r="A2957" s="24">
        <f>IF($D2957="","",COUNTA($D$4:$D2957))</f>
        <v/>
      </c>
      <c r="B2957" s="17" t="n"/>
      <c r="C2957" s="30" t="n"/>
      <c r="D2957" s="17" t="n"/>
      <c r="E2957" s="24">
        <f>IF($D2957="","",IFERROR(VLOOKUP($D2957,物料档案!$A$4:$P$1203,3,0),"※编码不在物料档案里"))</f>
        <v/>
      </c>
      <c r="F2957" s="24">
        <f>IF($D2957="","",IFERROR(VLOOKUP($D2957,物料档案!$A$4:$P$1203,4,0),"※编码不在物料档案里"))</f>
        <v/>
      </c>
      <c r="G2957" s="24">
        <f>IF($D2957="","",IFERROR(VLOOKUP($D2957,物料档案!$A$4:$P$1203,5,0),"※编码不在物料档案里"))</f>
        <v/>
      </c>
      <c r="H2957" s="24">
        <f>IF($D2957="","",IFERROR(VLOOKUP($D2957,物料档案!$A$4:$P$1203,2,0),"※编码不在物料档案里"))</f>
        <v/>
      </c>
      <c r="I2957" s="24">
        <f>IF($D2957="","",IFERROR(VLOOKUP($D2957,物料档案!$A$4:$P$1203,6,0),"※编码不在物料档案里"))</f>
        <v/>
      </c>
      <c r="J2957" s="23" t="n"/>
      <c r="K2957" s="17" t="n"/>
      <c r="L2957" s="17" t="n"/>
      <c r="M2957" s="17" t="n"/>
      <c r="N2957" s="17" t="n"/>
      <c r="O2957" s="26">
        <f>IF($D2957="","",IFERROR(VLOOKUP($D2957,物料档案!$A$4:$P$1203,10,0),0))</f>
        <v/>
      </c>
      <c r="P2957" s="32" t="n"/>
      <c r="Q2957" s="26">
        <f>IF($D2957="","",IF($K2957&lt;&gt;"对外销售",0,ROUND(N($J2957)*IF($P2957="",N($O2957),N($P2957)),0)))</f>
        <v/>
      </c>
      <c r="R2957" s="26">
        <f>IF($D2957="","",IFERROR(VLOOKUP($D2957,库存台账!$A$5:$Y$1204,11,0),0))</f>
        <v/>
      </c>
      <c r="S2957" s="26">
        <f>IF($D2957="","",ROUND(N($J2957)*N($R2957),0))</f>
        <v/>
      </c>
      <c r="T2957" s="26">
        <f>IF($D2957="","",IF($K2957&lt;&gt;"对外销售","",ROUND($Q2957-$S2957,0)))</f>
        <v/>
      </c>
      <c r="U2957" s="17" t="n"/>
      <c r="V2957" s="17" t="n"/>
      <c r="W2957" s="24">
        <f>IF($D2957="","",IF($E2957="※编码不在物料档案里","※物料编码不在档案里",IF(N($J2957)&lt;=0,"※出库数量要大于 0",IF($K2957="","※没填去向类型",IF($L2957="","※没填去向矿区",IF(AND($C2957&lt;&gt;"",$C2957&lt;=结账锁),"※日期早于已结账截止日，不能再录",IF(AND($K2957="自用消耗",COUNTIF({"一矿区";"二矿区"},$L2957)=0),"※自用消耗的去向只能是一矿区或二矿区",IF(AND($K2957="对外销售",COUNTIF({"三矿区";"六矿区"},$L2957)=0),"※对外销售的去向只能是三矿区或六矿区",IF(AND($K2957="对外销售",ROUND($Q2957,0)=0),"※外销却没有售价，请填实际售价",IF(AND($K2957="对外销售",$T2957&lt;&gt;"",$T2957&lt;0),"※这一笔外销是亏的，请核对售价",IF(IFERROR(VLOOKUP($D2957,库存台账!$A$5:$Y$1204,24,0),0)&lt;-0.001,"※这个物料账面已经变成负数了，查一下是不是漏记入库","")))))))))))</f>
        <v/>
      </c>
    </row>
    <row r="2958">
      <c r="A2958" s="24">
        <f>IF($D2958="","",COUNTA($D$4:$D2958))</f>
        <v/>
      </c>
      <c r="B2958" s="17" t="n"/>
      <c r="C2958" s="30" t="n"/>
      <c r="D2958" s="17" t="n"/>
      <c r="E2958" s="24">
        <f>IF($D2958="","",IFERROR(VLOOKUP($D2958,物料档案!$A$4:$P$1203,3,0),"※编码不在物料档案里"))</f>
        <v/>
      </c>
      <c r="F2958" s="24">
        <f>IF($D2958="","",IFERROR(VLOOKUP($D2958,物料档案!$A$4:$P$1203,4,0),"※编码不在物料档案里"))</f>
        <v/>
      </c>
      <c r="G2958" s="24">
        <f>IF($D2958="","",IFERROR(VLOOKUP($D2958,物料档案!$A$4:$P$1203,5,0),"※编码不在物料档案里"))</f>
        <v/>
      </c>
      <c r="H2958" s="24">
        <f>IF($D2958="","",IFERROR(VLOOKUP($D2958,物料档案!$A$4:$P$1203,2,0),"※编码不在物料档案里"))</f>
        <v/>
      </c>
      <c r="I2958" s="24">
        <f>IF($D2958="","",IFERROR(VLOOKUP($D2958,物料档案!$A$4:$P$1203,6,0),"※编码不在物料档案里"))</f>
        <v/>
      </c>
      <c r="J2958" s="23" t="n"/>
      <c r="K2958" s="17" t="n"/>
      <c r="L2958" s="17" t="n"/>
      <c r="M2958" s="17" t="n"/>
      <c r="N2958" s="17" t="n"/>
      <c r="O2958" s="26">
        <f>IF($D2958="","",IFERROR(VLOOKUP($D2958,物料档案!$A$4:$P$1203,10,0),0))</f>
        <v/>
      </c>
      <c r="P2958" s="32" t="n"/>
      <c r="Q2958" s="26">
        <f>IF($D2958="","",IF($K2958&lt;&gt;"对外销售",0,ROUND(N($J2958)*IF($P2958="",N($O2958),N($P2958)),0)))</f>
        <v/>
      </c>
      <c r="R2958" s="26">
        <f>IF($D2958="","",IFERROR(VLOOKUP($D2958,库存台账!$A$5:$Y$1204,11,0),0))</f>
        <v/>
      </c>
      <c r="S2958" s="26">
        <f>IF($D2958="","",ROUND(N($J2958)*N($R2958),0))</f>
        <v/>
      </c>
      <c r="T2958" s="26">
        <f>IF($D2958="","",IF($K2958&lt;&gt;"对外销售","",ROUND($Q2958-$S2958,0)))</f>
        <v/>
      </c>
      <c r="U2958" s="17" t="n"/>
      <c r="V2958" s="17" t="n"/>
      <c r="W2958" s="24">
        <f>IF($D2958="","",IF($E2958="※编码不在物料档案里","※物料编码不在档案里",IF(N($J2958)&lt;=0,"※出库数量要大于 0",IF($K2958="","※没填去向类型",IF($L2958="","※没填去向矿区",IF(AND($C2958&lt;&gt;"",$C2958&lt;=结账锁),"※日期早于已结账截止日，不能再录",IF(AND($K2958="自用消耗",COUNTIF({"一矿区";"二矿区"},$L2958)=0),"※自用消耗的去向只能是一矿区或二矿区",IF(AND($K2958="对外销售",COUNTIF({"三矿区";"六矿区"},$L2958)=0),"※对外销售的去向只能是三矿区或六矿区",IF(AND($K2958="对外销售",ROUND($Q2958,0)=0),"※外销却没有售价，请填实际售价",IF(AND($K2958="对外销售",$T2958&lt;&gt;"",$T2958&lt;0),"※这一笔外销是亏的，请核对售价",IF(IFERROR(VLOOKUP($D2958,库存台账!$A$5:$Y$1204,24,0),0)&lt;-0.001,"※这个物料账面已经变成负数了，查一下是不是漏记入库","")))))))))))</f>
        <v/>
      </c>
    </row>
    <row r="2959">
      <c r="A2959" s="24">
        <f>IF($D2959="","",COUNTA($D$4:$D2959))</f>
        <v/>
      </c>
      <c r="B2959" s="17" t="n"/>
      <c r="C2959" s="30" t="n"/>
      <c r="D2959" s="17" t="n"/>
      <c r="E2959" s="24">
        <f>IF($D2959="","",IFERROR(VLOOKUP($D2959,物料档案!$A$4:$P$1203,3,0),"※编码不在物料档案里"))</f>
        <v/>
      </c>
      <c r="F2959" s="24">
        <f>IF($D2959="","",IFERROR(VLOOKUP($D2959,物料档案!$A$4:$P$1203,4,0),"※编码不在物料档案里"))</f>
        <v/>
      </c>
      <c r="G2959" s="24">
        <f>IF($D2959="","",IFERROR(VLOOKUP($D2959,物料档案!$A$4:$P$1203,5,0),"※编码不在物料档案里"))</f>
        <v/>
      </c>
      <c r="H2959" s="24">
        <f>IF($D2959="","",IFERROR(VLOOKUP($D2959,物料档案!$A$4:$P$1203,2,0),"※编码不在物料档案里"))</f>
        <v/>
      </c>
      <c r="I2959" s="24">
        <f>IF($D2959="","",IFERROR(VLOOKUP($D2959,物料档案!$A$4:$P$1203,6,0),"※编码不在物料档案里"))</f>
        <v/>
      </c>
      <c r="J2959" s="23" t="n"/>
      <c r="K2959" s="17" t="n"/>
      <c r="L2959" s="17" t="n"/>
      <c r="M2959" s="17" t="n"/>
      <c r="N2959" s="17" t="n"/>
      <c r="O2959" s="26">
        <f>IF($D2959="","",IFERROR(VLOOKUP($D2959,物料档案!$A$4:$P$1203,10,0),0))</f>
        <v/>
      </c>
      <c r="P2959" s="32" t="n"/>
      <c r="Q2959" s="26">
        <f>IF($D2959="","",IF($K2959&lt;&gt;"对外销售",0,ROUND(N($J2959)*IF($P2959="",N($O2959),N($P2959)),0)))</f>
        <v/>
      </c>
      <c r="R2959" s="26">
        <f>IF($D2959="","",IFERROR(VLOOKUP($D2959,库存台账!$A$5:$Y$1204,11,0),0))</f>
        <v/>
      </c>
      <c r="S2959" s="26">
        <f>IF($D2959="","",ROUND(N($J2959)*N($R2959),0))</f>
        <v/>
      </c>
      <c r="T2959" s="26">
        <f>IF($D2959="","",IF($K2959&lt;&gt;"对外销售","",ROUND($Q2959-$S2959,0)))</f>
        <v/>
      </c>
      <c r="U2959" s="17" t="n"/>
      <c r="V2959" s="17" t="n"/>
      <c r="W2959" s="24">
        <f>IF($D2959="","",IF($E2959="※编码不在物料档案里","※物料编码不在档案里",IF(N($J2959)&lt;=0,"※出库数量要大于 0",IF($K2959="","※没填去向类型",IF($L2959="","※没填去向矿区",IF(AND($C2959&lt;&gt;"",$C2959&lt;=结账锁),"※日期早于已结账截止日，不能再录",IF(AND($K2959="自用消耗",COUNTIF({"一矿区";"二矿区"},$L2959)=0),"※自用消耗的去向只能是一矿区或二矿区",IF(AND($K2959="对外销售",COUNTIF({"三矿区";"六矿区"},$L2959)=0),"※对外销售的去向只能是三矿区或六矿区",IF(AND($K2959="对外销售",ROUND($Q2959,0)=0),"※外销却没有售价，请填实际售价",IF(AND($K2959="对外销售",$T2959&lt;&gt;"",$T2959&lt;0),"※这一笔外销是亏的，请核对售价",IF(IFERROR(VLOOKUP($D2959,库存台账!$A$5:$Y$1204,24,0),0)&lt;-0.001,"※这个物料账面已经变成负数了，查一下是不是漏记入库","")))))))))))</f>
        <v/>
      </c>
    </row>
    <row r="2960">
      <c r="A2960" s="24">
        <f>IF($D2960="","",COUNTA($D$4:$D2960))</f>
        <v/>
      </c>
      <c r="B2960" s="17" t="n"/>
      <c r="C2960" s="30" t="n"/>
      <c r="D2960" s="17" t="n"/>
      <c r="E2960" s="24">
        <f>IF($D2960="","",IFERROR(VLOOKUP($D2960,物料档案!$A$4:$P$1203,3,0),"※编码不在物料档案里"))</f>
        <v/>
      </c>
      <c r="F2960" s="24">
        <f>IF($D2960="","",IFERROR(VLOOKUP($D2960,物料档案!$A$4:$P$1203,4,0),"※编码不在物料档案里"))</f>
        <v/>
      </c>
      <c r="G2960" s="24">
        <f>IF($D2960="","",IFERROR(VLOOKUP($D2960,物料档案!$A$4:$P$1203,5,0),"※编码不在物料档案里"))</f>
        <v/>
      </c>
      <c r="H2960" s="24">
        <f>IF($D2960="","",IFERROR(VLOOKUP($D2960,物料档案!$A$4:$P$1203,2,0),"※编码不在物料档案里"))</f>
        <v/>
      </c>
      <c r="I2960" s="24">
        <f>IF($D2960="","",IFERROR(VLOOKUP($D2960,物料档案!$A$4:$P$1203,6,0),"※编码不在物料档案里"))</f>
        <v/>
      </c>
      <c r="J2960" s="23" t="n"/>
      <c r="K2960" s="17" t="n"/>
      <c r="L2960" s="17" t="n"/>
      <c r="M2960" s="17" t="n"/>
      <c r="N2960" s="17" t="n"/>
      <c r="O2960" s="26">
        <f>IF($D2960="","",IFERROR(VLOOKUP($D2960,物料档案!$A$4:$P$1203,10,0),0))</f>
        <v/>
      </c>
      <c r="P2960" s="32" t="n"/>
      <c r="Q2960" s="26">
        <f>IF($D2960="","",IF($K2960&lt;&gt;"对外销售",0,ROUND(N($J2960)*IF($P2960="",N($O2960),N($P2960)),0)))</f>
        <v/>
      </c>
      <c r="R2960" s="26">
        <f>IF($D2960="","",IFERROR(VLOOKUP($D2960,库存台账!$A$5:$Y$1204,11,0),0))</f>
        <v/>
      </c>
      <c r="S2960" s="26">
        <f>IF($D2960="","",ROUND(N($J2960)*N($R2960),0))</f>
        <v/>
      </c>
      <c r="T2960" s="26">
        <f>IF($D2960="","",IF($K2960&lt;&gt;"对外销售","",ROUND($Q2960-$S2960,0)))</f>
        <v/>
      </c>
      <c r="U2960" s="17" t="n"/>
      <c r="V2960" s="17" t="n"/>
      <c r="W2960" s="24">
        <f>IF($D2960="","",IF($E2960="※编码不在物料档案里","※物料编码不在档案里",IF(N($J2960)&lt;=0,"※出库数量要大于 0",IF($K2960="","※没填去向类型",IF($L2960="","※没填去向矿区",IF(AND($C2960&lt;&gt;"",$C2960&lt;=结账锁),"※日期早于已结账截止日，不能再录",IF(AND($K2960="自用消耗",COUNTIF({"一矿区";"二矿区"},$L2960)=0),"※自用消耗的去向只能是一矿区或二矿区",IF(AND($K2960="对外销售",COUNTIF({"三矿区";"六矿区"},$L2960)=0),"※对外销售的去向只能是三矿区或六矿区",IF(AND($K2960="对外销售",ROUND($Q2960,0)=0),"※外销却没有售价，请填实际售价",IF(AND($K2960="对外销售",$T2960&lt;&gt;"",$T2960&lt;0),"※这一笔外销是亏的，请核对售价",IF(IFERROR(VLOOKUP($D2960,库存台账!$A$5:$Y$1204,24,0),0)&lt;-0.001,"※这个物料账面已经变成负数了，查一下是不是漏记入库","")))))))))))</f>
        <v/>
      </c>
    </row>
    <row r="2961">
      <c r="A2961" s="24">
        <f>IF($D2961="","",COUNTA($D$4:$D2961))</f>
        <v/>
      </c>
      <c r="B2961" s="17" t="n"/>
      <c r="C2961" s="30" t="n"/>
      <c r="D2961" s="17" t="n"/>
      <c r="E2961" s="24">
        <f>IF($D2961="","",IFERROR(VLOOKUP($D2961,物料档案!$A$4:$P$1203,3,0),"※编码不在物料档案里"))</f>
        <v/>
      </c>
      <c r="F2961" s="24">
        <f>IF($D2961="","",IFERROR(VLOOKUP($D2961,物料档案!$A$4:$P$1203,4,0),"※编码不在物料档案里"))</f>
        <v/>
      </c>
      <c r="G2961" s="24">
        <f>IF($D2961="","",IFERROR(VLOOKUP($D2961,物料档案!$A$4:$P$1203,5,0),"※编码不在物料档案里"))</f>
        <v/>
      </c>
      <c r="H2961" s="24">
        <f>IF($D2961="","",IFERROR(VLOOKUP($D2961,物料档案!$A$4:$P$1203,2,0),"※编码不在物料档案里"))</f>
        <v/>
      </c>
      <c r="I2961" s="24">
        <f>IF($D2961="","",IFERROR(VLOOKUP($D2961,物料档案!$A$4:$P$1203,6,0),"※编码不在物料档案里"))</f>
        <v/>
      </c>
      <c r="J2961" s="23" t="n"/>
      <c r="K2961" s="17" t="n"/>
      <c r="L2961" s="17" t="n"/>
      <c r="M2961" s="17" t="n"/>
      <c r="N2961" s="17" t="n"/>
      <c r="O2961" s="26">
        <f>IF($D2961="","",IFERROR(VLOOKUP($D2961,物料档案!$A$4:$P$1203,10,0),0))</f>
        <v/>
      </c>
      <c r="P2961" s="32" t="n"/>
      <c r="Q2961" s="26">
        <f>IF($D2961="","",IF($K2961&lt;&gt;"对外销售",0,ROUND(N($J2961)*IF($P2961="",N($O2961),N($P2961)),0)))</f>
        <v/>
      </c>
      <c r="R2961" s="26">
        <f>IF($D2961="","",IFERROR(VLOOKUP($D2961,库存台账!$A$5:$Y$1204,11,0),0))</f>
        <v/>
      </c>
      <c r="S2961" s="26">
        <f>IF($D2961="","",ROUND(N($J2961)*N($R2961),0))</f>
        <v/>
      </c>
      <c r="T2961" s="26">
        <f>IF($D2961="","",IF($K2961&lt;&gt;"对外销售","",ROUND($Q2961-$S2961,0)))</f>
        <v/>
      </c>
      <c r="U2961" s="17" t="n"/>
      <c r="V2961" s="17" t="n"/>
      <c r="W2961" s="24">
        <f>IF($D2961="","",IF($E2961="※编码不在物料档案里","※物料编码不在档案里",IF(N($J2961)&lt;=0,"※出库数量要大于 0",IF($K2961="","※没填去向类型",IF($L2961="","※没填去向矿区",IF(AND($C2961&lt;&gt;"",$C2961&lt;=结账锁),"※日期早于已结账截止日，不能再录",IF(AND($K2961="自用消耗",COUNTIF({"一矿区";"二矿区"},$L2961)=0),"※自用消耗的去向只能是一矿区或二矿区",IF(AND($K2961="对外销售",COUNTIF({"三矿区";"六矿区"},$L2961)=0),"※对外销售的去向只能是三矿区或六矿区",IF(AND($K2961="对外销售",ROUND($Q2961,0)=0),"※外销却没有售价，请填实际售价",IF(AND($K2961="对外销售",$T2961&lt;&gt;"",$T2961&lt;0),"※这一笔外销是亏的，请核对售价",IF(IFERROR(VLOOKUP($D2961,库存台账!$A$5:$Y$1204,24,0),0)&lt;-0.001,"※这个物料账面已经变成负数了，查一下是不是漏记入库","")))))))))))</f>
        <v/>
      </c>
    </row>
    <row r="2962">
      <c r="A2962" s="24">
        <f>IF($D2962="","",COUNTA($D$4:$D2962))</f>
        <v/>
      </c>
      <c r="B2962" s="17" t="n"/>
      <c r="C2962" s="30" t="n"/>
      <c r="D2962" s="17" t="n"/>
      <c r="E2962" s="24">
        <f>IF($D2962="","",IFERROR(VLOOKUP($D2962,物料档案!$A$4:$P$1203,3,0),"※编码不在物料档案里"))</f>
        <v/>
      </c>
      <c r="F2962" s="24">
        <f>IF($D2962="","",IFERROR(VLOOKUP($D2962,物料档案!$A$4:$P$1203,4,0),"※编码不在物料档案里"))</f>
        <v/>
      </c>
      <c r="G2962" s="24">
        <f>IF($D2962="","",IFERROR(VLOOKUP($D2962,物料档案!$A$4:$P$1203,5,0),"※编码不在物料档案里"))</f>
        <v/>
      </c>
      <c r="H2962" s="24">
        <f>IF($D2962="","",IFERROR(VLOOKUP($D2962,物料档案!$A$4:$P$1203,2,0),"※编码不在物料档案里"))</f>
        <v/>
      </c>
      <c r="I2962" s="24">
        <f>IF($D2962="","",IFERROR(VLOOKUP($D2962,物料档案!$A$4:$P$1203,6,0),"※编码不在物料档案里"))</f>
        <v/>
      </c>
      <c r="J2962" s="23" t="n"/>
      <c r="K2962" s="17" t="n"/>
      <c r="L2962" s="17" t="n"/>
      <c r="M2962" s="17" t="n"/>
      <c r="N2962" s="17" t="n"/>
      <c r="O2962" s="26">
        <f>IF($D2962="","",IFERROR(VLOOKUP($D2962,物料档案!$A$4:$P$1203,10,0),0))</f>
        <v/>
      </c>
      <c r="P2962" s="32" t="n"/>
      <c r="Q2962" s="26">
        <f>IF($D2962="","",IF($K2962&lt;&gt;"对外销售",0,ROUND(N($J2962)*IF($P2962="",N($O2962),N($P2962)),0)))</f>
        <v/>
      </c>
      <c r="R2962" s="26">
        <f>IF($D2962="","",IFERROR(VLOOKUP($D2962,库存台账!$A$5:$Y$1204,11,0),0))</f>
        <v/>
      </c>
      <c r="S2962" s="26">
        <f>IF($D2962="","",ROUND(N($J2962)*N($R2962),0))</f>
        <v/>
      </c>
      <c r="T2962" s="26">
        <f>IF($D2962="","",IF($K2962&lt;&gt;"对外销售","",ROUND($Q2962-$S2962,0)))</f>
        <v/>
      </c>
      <c r="U2962" s="17" t="n"/>
      <c r="V2962" s="17" t="n"/>
      <c r="W2962" s="24">
        <f>IF($D2962="","",IF($E2962="※编码不在物料档案里","※物料编码不在档案里",IF(N($J2962)&lt;=0,"※出库数量要大于 0",IF($K2962="","※没填去向类型",IF($L2962="","※没填去向矿区",IF(AND($C2962&lt;&gt;"",$C2962&lt;=结账锁),"※日期早于已结账截止日，不能再录",IF(AND($K2962="自用消耗",COUNTIF({"一矿区";"二矿区"},$L2962)=0),"※自用消耗的去向只能是一矿区或二矿区",IF(AND($K2962="对外销售",COUNTIF({"三矿区";"六矿区"},$L2962)=0),"※对外销售的去向只能是三矿区或六矿区",IF(AND($K2962="对外销售",ROUND($Q2962,0)=0),"※外销却没有售价，请填实际售价",IF(AND($K2962="对外销售",$T2962&lt;&gt;"",$T2962&lt;0),"※这一笔外销是亏的，请核对售价",IF(IFERROR(VLOOKUP($D2962,库存台账!$A$5:$Y$1204,24,0),0)&lt;-0.001,"※这个物料账面已经变成负数了，查一下是不是漏记入库","")))))))))))</f>
        <v/>
      </c>
    </row>
    <row r="2963">
      <c r="A2963" s="24">
        <f>IF($D2963="","",COUNTA($D$4:$D2963))</f>
        <v/>
      </c>
      <c r="B2963" s="17" t="n"/>
      <c r="C2963" s="30" t="n"/>
      <c r="D2963" s="17" t="n"/>
      <c r="E2963" s="24">
        <f>IF($D2963="","",IFERROR(VLOOKUP($D2963,物料档案!$A$4:$P$1203,3,0),"※编码不在物料档案里"))</f>
        <v/>
      </c>
      <c r="F2963" s="24">
        <f>IF($D2963="","",IFERROR(VLOOKUP($D2963,物料档案!$A$4:$P$1203,4,0),"※编码不在物料档案里"))</f>
        <v/>
      </c>
      <c r="G2963" s="24">
        <f>IF($D2963="","",IFERROR(VLOOKUP($D2963,物料档案!$A$4:$P$1203,5,0),"※编码不在物料档案里"))</f>
        <v/>
      </c>
      <c r="H2963" s="24">
        <f>IF($D2963="","",IFERROR(VLOOKUP($D2963,物料档案!$A$4:$P$1203,2,0),"※编码不在物料档案里"))</f>
        <v/>
      </c>
      <c r="I2963" s="24">
        <f>IF($D2963="","",IFERROR(VLOOKUP($D2963,物料档案!$A$4:$P$1203,6,0),"※编码不在物料档案里"))</f>
        <v/>
      </c>
      <c r="J2963" s="23" t="n"/>
      <c r="K2963" s="17" t="n"/>
      <c r="L2963" s="17" t="n"/>
      <c r="M2963" s="17" t="n"/>
      <c r="N2963" s="17" t="n"/>
      <c r="O2963" s="26">
        <f>IF($D2963="","",IFERROR(VLOOKUP($D2963,物料档案!$A$4:$P$1203,10,0),0))</f>
        <v/>
      </c>
      <c r="P2963" s="32" t="n"/>
      <c r="Q2963" s="26">
        <f>IF($D2963="","",IF($K2963&lt;&gt;"对外销售",0,ROUND(N($J2963)*IF($P2963="",N($O2963),N($P2963)),0)))</f>
        <v/>
      </c>
      <c r="R2963" s="26">
        <f>IF($D2963="","",IFERROR(VLOOKUP($D2963,库存台账!$A$5:$Y$1204,11,0),0))</f>
        <v/>
      </c>
      <c r="S2963" s="26">
        <f>IF($D2963="","",ROUND(N($J2963)*N($R2963),0))</f>
        <v/>
      </c>
      <c r="T2963" s="26">
        <f>IF($D2963="","",IF($K2963&lt;&gt;"对外销售","",ROUND($Q2963-$S2963,0)))</f>
        <v/>
      </c>
      <c r="U2963" s="17" t="n"/>
      <c r="V2963" s="17" t="n"/>
      <c r="W2963" s="24">
        <f>IF($D2963="","",IF($E2963="※编码不在物料档案里","※物料编码不在档案里",IF(N($J2963)&lt;=0,"※出库数量要大于 0",IF($K2963="","※没填去向类型",IF($L2963="","※没填去向矿区",IF(AND($C2963&lt;&gt;"",$C2963&lt;=结账锁),"※日期早于已结账截止日，不能再录",IF(AND($K2963="自用消耗",COUNTIF({"一矿区";"二矿区"},$L2963)=0),"※自用消耗的去向只能是一矿区或二矿区",IF(AND($K2963="对外销售",COUNTIF({"三矿区";"六矿区"},$L2963)=0),"※对外销售的去向只能是三矿区或六矿区",IF(AND($K2963="对外销售",ROUND($Q2963,0)=0),"※外销却没有售价，请填实际售价",IF(AND($K2963="对外销售",$T2963&lt;&gt;"",$T2963&lt;0),"※这一笔外销是亏的，请核对售价",IF(IFERROR(VLOOKUP($D2963,库存台账!$A$5:$Y$1204,24,0),0)&lt;-0.001,"※这个物料账面已经变成负数了，查一下是不是漏记入库","")))))))))))</f>
        <v/>
      </c>
    </row>
    <row r="2964">
      <c r="A2964" s="24">
        <f>IF($D2964="","",COUNTA($D$4:$D2964))</f>
        <v/>
      </c>
      <c r="B2964" s="17" t="n"/>
      <c r="C2964" s="30" t="n"/>
      <c r="D2964" s="17" t="n"/>
      <c r="E2964" s="24">
        <f>IF($D2964="","",IFERROR(VLOOKUP($D2964,物料档案!$A$4:$P$1203,3,0),"※编码不在物料档案里"))</f>
        <v/>
      </c>
      <c r="F2964" s="24">
        <f>IF($D2964="","",IFERROR(VLOOKUP($D2964,物料档案!$A$4:$P$1203,4,0),"※编码不在物料档案里"))</f>
        <v/>
      </c>
      <c r="G2964" s="24">
        <f>IF($D2964="","",IFERROR(VLOOKUP($D2964,物料档案!$A$4:$P$1203,5,0),"※编码不在物料档案里"))</f>
        <v/>
      </c>
      <c r="H2964" s="24">
        <f>IF($D2964="","",IFERROR(VLOOKUP($D2964,物料档案!$A$4:$P$1203,2,0),"※编码不在物料档案里"))</f>
        <v/>
      </c>
      <c r="I2964" s="24">
        <f>IF($D2964="","",IFERROR(VLOOKUP($D2964,物料档案!$A$4:$P$1203,6,0),"※编码不在物料档案里"))</f>
        <v/>
      </c>
      <c r="J2964" s="23" t="n"/>
      <c r="K2964" s="17" t="n"/>
      <c r="L2964" s="17" t="n"/>
      <c r="M2964" s="17" t="n"/>
      <c r="N2964" s="17" t="n"/>
      <c r="O2964" s="26">
        <f>IF($D2964="","",IFERROR(VLOOKUP($D2964,物料档案!$A$4:$P$1203,10,0),0))</f>
        <v/>
      </c>
      <c r="P2964" s="32" t="n"/>
      <c r="Q2964" s="26">
        <f>IF($D2964="","",IF($K2964&lt;&gt;"对外销售",0,ROUND(N($J2964)*IF($P2964="",N($O2964),N($P2964)),0)))</f>
        <v/>
      </c>
      <c r="R2964" s="26">
        <f>IF($D2964="","",IFERROR(VLOOKUP($D2964,库存台账!$A$5:$Y$1204,11,0),0))</f>
        <v/>
      </c>
      <c r="S2964" s="26">
        <f>IF($D2964="","",ROUND(N($J2964)*N($R2964),0))</f>
        <v/>
      </c>
      <c r="T2964" s="26">
        <f>IF($D2964="","",IF($K2964&lt;&gt;"对外销售","",ROUND($Q2964-$S2964,0)))</f>
        <v/>
      </c>
      <c r="U2964" s="17" t="n"/>
      <c r="V2964" s="17" t="n"/>
      <c r="W2964" s="24">
        <f>IF($D2964="","",IF($E2964="※编码不在物料档案里","※物料编码不在档案里",IF(N($J2964)&lt;=0,"※出库数量要大于 0",IF($K2964="","※没填去向类型",IF($L2964="","※没填去向矿区",IF(AND($C2964&lt;&gt;"",$C2964&lt;=结账锁),"※日期早于已结账截止日，不能再录",IF(AND($K2964="自用消耗",COUNTIF({"一矿区";"二矿区"},$L2964)=0),"※自用消耗的去向只能是一矿区或二矿区",IF(AND($K2964="对外销售",COUNTIF({"三矿区";"六矿区"},$L2964)=0),"※对外销售的去向只能是三矿区或六矿区",IF(AND($K2964="对外销售",ROUND($Q2964,0)=0),"※外销却没有售价，请填实际售价",IF(AND($K2964="对外销售",$T2964&lt;&gt;"",$T2964&lt;0),"※这一笔外销是亏的，请核对售价",IF(IFERROR(VLOOKUP($D2964,库存台账!$A$5:$Y$1204,24,0),0)&lt;-0.001,"※这个物料账面已经变成负数了，查一下是不是漏记入库","")))))))))))</f>
        <v/>
      </c>
    </row>
    <row r="2965">
      <c r="A2965" s="24">
        <f>IF($D2965="","",COUNTA($D$4:$D2965))</f>
        <v/>
      </c>
      <c r="B2965" s="17" t="n"/>
      <c r="C2965" s="30" t="n"/>
      <c r="D2965" s="17" t="n"/>
      <c r="E2965" s="24">
        <f>IF($D2965="","",IFERROR(VLOOKUP($D2965,物料档案!$A$4:$P$1203,3,0),"※编码不在物料档案里"))</f>
        <v/>
      </c>
      <c r="F2965" s="24">
        <f>IF($D2965="","",IFERROR(VLOOKUP($D2965,物料档案!$A$4:$P$1203,4,0),"※编码不在物料档案里"))</f>
        <v/>
      </c>
      <c r="G2965" s="24">
        <f>IF($D2965="","",IFERROR(VLOOKUP($D2965,物料档案!$A$4:$P$1203,5,0),"※编码不在物料档案里"))</f>
        <v/>
      </c>
      <c r="H2965" s="24">
        <f>IF($D2965="","",IFERROR(VLOOKUP($D2965,物料档案!$A$4:$P$1203,2,0),"※编码不在物料档案里"))</f>
        <v/>
      </c>
      <c r="I2965" s="24">
        <f>IF($D2965="","",IFERROR(VLOOKUP($D2965,物料档案!$A$4:$P$1203,6,0),"※编码不在物料档案里"))</f>
        <v/>
      </c>
      <c r="J2965" s="23" t="n"/>
      <c r="K2965" s="17" t="n"/>
      <c r="L2965" s="17" t="n"/>
      <c r="M2965" s="17" t="n"/>
      <c r="N2965" s="17" t="n"/>
      <c r="O2965" s="26">
        <f>IF($D2965="","",IFERROR(VLOOKUP($D2965,物料档案!$A$4:$P$1203,10,0),0))</f>
        <v/>
      </c>
      <c r="P2965" s="32" t="n"/>
      <c r="Q2965" s="26">
        <f>IF($D2965="","",IF($K2965&lt;&gt;"对外销售",0,ROUND(N($J2965)*IF($P2965="",N($O2965),N($P2965)),0)))</f>
        <v/>
      </c>
      <c r="R2965" s="26">
        <f>IF($D2965="","",IFERROR(VLOOKUP($D2965,库存台账!$A$5:$Y$1204,11,0),0))</f>
        <v/>
      </c>
      <c r="S2965" s="26">
        <f>IF($D2965="","",ROUND(N($J2965)*N($R2965),0))</f>
        <v/>
      </c>
      <c r="T2965" s="26">
        <f>IF($D2965="","",IF($K2965&lt;&gt;"对外销售","",ROUND($Q2965-$S2965,0)))</f>
        <v/>
      </c>
      <c r="U2965" s="17" t="n"/>
      <c r="V2965" s="17" t="n"/>
      <c r="W2965" s="24">
        <f>IF($D2965="","",IF($E2965="※编码不在物料档案里","※物料编码不在档案里",IF(N($J2965)&lt;=0,"※出库数量要大于 0",IF($K2965="","※没填去向类型",IF($L2965="","※没填去向矿区",IF(AND($C2965&lt;&gt;"",$C2965&lt;=结账锁),"※日期早于已结账截止日，不能再录",IF(AND($K2965="自用消耗",COUNTIF({"一矿区";"二矿区"},$L2965)=0),"※自用消耗的去向只能是一矿区或二矿区",IF(AND($K2965="对外销售",COUNTIF({"三矿区";"六矿区"},$L2965)=0),"※对外销售的去向只能是三矿区或六矿区",IF(AND($K2965="对外销售",ROUND($Q2965,0)=0),"※外销却没有售价，请填实际售价",IF(AND($K2965="对外销售",$T2965&lt;&gt;"",$T2965&lt;0),"※这一笔外销是亏的，请核对售价",IF(IFERROR(VLOOKUP($D2965,库存台账!$A$5:$Y$1204,24,0),0)&lt;-0.001,"※这个物料账面已经变成负数了，查一下是不是漏记入库","")))))))))))</f>
        <v/>
      </c>
    </row>
    <row r="2966">
      <c r="A2966" s="24">
        <f>IF($D2966="","",COUNTA($D$4:$D2966))</f>
        <v/>
      </c>
      <c r="B2966" s="17" t="n"/>
      <c r="C2966" s="30" t="n"/>
      <c r="D2966" s="17" t="n"/>
      <c r="E2966" s="24">
        <f>IF($D2966="","",IFERROR(VLOOKUP($D2966,物料档案!$A$4:$P$1203,3,0),"※编码不在物料档案里"))</f>
        <v/>
      </c>
      <c r="F2966" s="24">
        <f>IF($D2966="","",IFERROR(VLOOKUP($D2966,物料档案!$A$4:$P$1203,4,0),"※编码不在物料档案里"))</f>
        <v/>
      </c>
      <c r="G2966" s="24">
        <f>IF($D2966="","",IFERROR(VLOOKUP($D2966,物料档案!$A$4:$P$1203,5,0),"※编码不在物料档案里"))</f>
        <v/>
      </c>
      <c r="H2966" s="24">
        <f>IF($D2966="","",IFERROR(VLOOKUP($D2966,物料档案!$A$4:$P$1203,2,0),"※编码不在物料档案里"))</f>
        <v/>
      </c>
      <c r="I2966" s="24">
        <f>IF($D2966="","",IFERROR(VLOOKUP($D2966,物料档案!$A$4:$P$1203,6,0),"※编码不在物料档案里"))</f>
        <v/>
      </c>
      <c r="J2966" s="23" t="n"/>
      <c r="K2966" s="17" t="n"/>
      <c r="L2966" s="17" t="n"/>
      <c r="M2966" s="17" t="n"/>
      <c r="N2966" s="17" t="n"/>
      <c r="O2966" s="26">
        <f>IF($D2966="","",IFERROR(VLOOKUP($D2966,物料档案!$A$4:$P$1203,10,0),0))</f>
        <v/>
      </c>
      <c r="P2966" s="32" t="n"/>
      <c r="Q2966" s="26">
        <f>IF($D2966="","",IF($K2966&lt;&gt;"对外销售",0,ROUND(N($J2966)*IF($P2966="",N($O2966),N($P2966)),0)))</f>
        <v/>
      </c>
      <c r="R2966" s="26">
        <f>IF($D2966="","",IFERROR(VLOOKUP($D2966,库存台账!$A$5:$Y$1204,11,0),0))</f>
        <v/>
      </c>
      <c r="S2966" s="26">
        <f>IF($D2966="","",ROUND(N($J2966)*N($R2966),0))</f>
        <v/>
      </c>
      <c r="T2966" s="26">
        <f>IF($D2966="","",IF($K2966&lt;&gt;"对外销售","",ROUND($Q2966-$S2966,0)))</f>
        <v/>
      </c>
      <c r="U2966" s="17" t="n"/>
      <c r="V2966" s="17" t="n"/>
      <c r="W2966" s="24">
        <f>IF($D2966="","",IF($E2966="※编码不在物料档案里","※物料编码不在档案里",IF(N($J2966)&lt;=0,"※出库数量要大于 0",IF($K2966="","※没填去向类型",IF($L2966="","※没填去向矿区",IF(AND($C2966&lt;&gt;"",$C2966&lt;=结账锁),"※日期早于已结账截止日，不能再录",IF(AND($K2966="自用消耗",COUNTIF({"一矿区";"二矿区"},$L2966)=0),"※自用消耗的去向只能是一矿区或二矿区",IF(AND($K2966="对外销售",COUNTIF({"三矿区";"六矿区"},$L2966)=0),"※对外销售的去向只能是三矿区或六矿区",IF(AND($K2966="对外销售",ROUND($Q2966,0)=0),"※外销却没有售价，请填实际售价",IF(AND($K2966="对外销售",$T2966&lt;&gt;"",$T2966&lt;0),"※这一笔外销是亏的，请核对售价",IF(IFERROR(VLOOKUP($D2966,库存台账!$A$5:$Y$1204,24,0),0)&lt;-0.001,"※这个物料账面已经变成负数了，查一下是不是漏记入库","")))))))))))</f>
        <v/>
      </c>
    </row>
    <row r="2967">
      <c r="A2967" s="24">
        <f>IF($D2967="","",COUNTA($D$4:$D2967))</f>
        <v/>
      </c>
      <c r="B2967" s="17" t="n"/>
      <c r="C2967" s="30" t="n"/>
      <c r="D2967" s="17" t="n"/>
      <c r="E2967" s="24">
        <f>IF($D2967="","",IFERROR(VLOOKUP($D2967,物料档案!$A$4:$P$1203,3,0),"※编码不在物料档案里"))</f>
        <v/>
      </c>
      <c r="F2967" s="24">
        <f>IF($D2967="","",IFERROR(VLOOKUP($D2967,物料档案!$A$4:$P$1203,4,0),"※编码不在物料档案里"))</f>
        <v/>
      </c>
      <c r="G2967" s="24">
        <f>IF($D2967="","",IFERROR(VLOOKUP($D2967,物料档案!$A$4:$P$1203,5,0),"※编码不在物料档案里"))</f>
        <v/>
      </c>
      <c r="H2967" s="24">
        <f>IF($D2967="","",IFERROR(VLOOKUP($D2967,物料档案!$A$4:$P$1203,2,0),"※编码不在物料档案里"))</f>
        <v/>
      </c>
      <c r="I2967" s="24">
        <f>IF($D2967="","",IFERROR(VLOOKUP($D2967,物料档案!$A$4:$P$1203,6,0),"※编码不在物料档案里"))</f>
        <v/>
      </c>
      <c r="J2967" s="23" t="n"/>
      <c r="K2967" s="17" t="n"/>
      <c r="L2967" s="17" t="n"/>
      <c r="M2967" s="17" t="n"/>
      <c r="N2967" s="17" t="n"/>
      <c r="O2967" s="26">
        <f>IF($D2967="","",IFERROR(VLOOKUP($D2967,物料档案!$A$4:$P$1203,10,0),0))</f>
        <v/>
      </c>
      <c r="P2967" s="32" t="n"/>
      <c r="Q2967" s="26">
        <f>IF($D2967="","",IF($K2967&lt;&gt;"对外销售",0,ROUND(N($J2967)*IF($P2967="",N($O2967),N($P2967)),0)))</f>
        <v/>
      </c>
      <c r="R2967" s="26">
        <f>IF($D2967="","",IFERROR(VLOOKUP($D2967,库存台账!$A$5:$Y$1204,11,0),0))</f>
        <v/>
      </c>
      <c r="S2967" s="26">
        <f>IF($D2967="","",ROUND(N($J2967)*N($R2967),0))</f>
        <v/>
      </c>
      <c r="T2967" s="26">
        <f>IF($D2967="","",IF($K2967&lt;&gt;"对外销售","",ROUND($Q2967-$S2967,0)))</f>
        <v/>
      </c>
      <c r="U2967" s="17" t="n"/>
      <c r="V2967" s="17" t="n"/>
      <c r="W2967" s="24">
        <f>IF($D2967="","",IF($E2967="※编码不在物料档案里","※物料编码不在档案里",IF(N($J2967)&lt;=0,"※出库数量要大于 0",IF($K2967="","※没填去向类型",IF($L2967="","※没填去向矿区",IF(AND($C2967&lt;&gt;"",$C2967&lt;=结账锁),"※日期早于已结账截止日，不能再录",IF(AND($K2967="自用消耗",COUNTIF({"一矿区";"二矿区"},$L2967)=0),"※自用消耗的去向只能是一矿区或二矿区",IF(AND($K2967="对外销售",COUNTIF({"三矿区";"六矿区"},$L2967)=0),"※对外销售的去向只能是三矿区或六矿区",IF(AND($K2967="对外销售",ROUND($Q2967,0)=0),"※外销却没有售价，请填实际售价",IF(AND($K2967="对外销售",$T2967&lt;&gt;"",$T2967&lt;0),"※这一笔外销是亏的，请核对售价",IF(IFERROR(VLOOKUP($D2967,库存台账!$A$5:$Y$1204,24,0),0)&lt;-0.001,"※这个物料账面已经变成负数了，查一下是不是漏记入库","")))))))))))</f>
        <v/>
      </c>
    </row>
    <row r="2968">
      <c r="A2968" s="24">
        <f>IF($D2968="","",COUNTA($D$4:$D2968))</f>
        <v/>
      </c>
      <c r="B2968" s="17" t="n"/>
      <c r="C2968" s="30" t="n"/>
      <c r="D2968" s="17" t="n"/>
      <c r="E2968" s="24">
        <f>IF($D2968="","",IFERROR(VLOOKUP($D2968,物料档案!$A$4:$P$1203,3,0),"※编码不在物料档案里"))</f>
        <v/>
      </c>
      <c r="F2968" s="24">
        <f>IF($D2968="","",IFERROR(VLOOKUP($D2968,物料档案!$A$4:$P$1203,4,0),"※编码不在物料档案里"))</f>
        <v/>
      </c>
      <c r="G2968" s="24">
        <f>IF($D2968="","",IFERROR(VLOOKUP($D2968,物料档案!$A$4:$P$1203,5,0),"※编码不在物料档案里"))</f>
        <v/>
      </c>
      <c r="H2968" s="24">
        <f>IF($D2968="","",IFERROR(VLOOKUP($D2968,物料档案!$A$4:$P$1203,2,0),"※编码不在物料档案里"))</f>
        <v/>
      </c>
      <c r="I2968" s="24">
        <f>IF($D2968="","",IFERROR(VLOOKUP($D2968,物料档案!$A$4:$P$1203,6,0),"※编码不在物料档案里"))</f>
        <v/>
      </c>
      <c r="J2968" s="23" t="n"/>
      <c r="K2968" s="17" t="n"/>
      <c r="L2968" s="17" t="n"/>
      <c r="M2968" s="17" t="n"/>
      <c r="N2968" s="17" t="n"/>
      <c r="O2968" s="26">
        <f>IF($D2968="","",IFERROR(VLOOKUP($D2968,物料档案!$A$4:$P$1203,10,0),0))</f>
        <v/>
      </c>
      <c r="P2968" s="32" t="n"/>
      <c r="Q2968" s="26">
        <f>IF($D2968="","",IF($K2968&lt;&gt;"对外销售",0,ROUND(N($J2968)*IF($P2968="",N($O2968),N($P2968)),0)))</f>
        <v/>
      </c>
      <c r="R2968" s="26">
        <f>IF($D2968="","",IFERROR(VLOOKUP($D2968,库存台账!$A$5:$Y$1204,11,0),0))</f>
        <v/>
      </c>
      <c r="S2968" s="26">
        <f>IF($D2968="","",ROUND(N($J2968)*N($R2968),0))</f>
        <v/>
      </c>
      <c r="T2968" s="26">
        <f>IF($D2968="","",IF($K2968&lt;&gt;"对外销售","",ROUND($Q2968-$S2968,0)))</f>
        <v/>
      </c>
      <c r="U2968" s="17" t="n"/>
      <c r="V2968" s="17" t="n"/>
      <c r="W2968" s="24">
        <f>IF($D2968="","",IF($E2968="※编码不在物料档案里","※物料编码不在档案里",IF(N($J2968)&lt;=0,"※出库数量要大于 0",IF($K2968="","※没填去向类型",IF($L2968="","※没填去向矿区",IF(AND($C2968&lt;&gt;"",$C2968&lt;=结账锁),"※日期早于已结账截止日，不能再录",IF(AND($K2968="自用消耗",COUNTIF({"一矿区";"二矿区"},$L2968)=0),"※自用消耗的去向只能是一矿区或二矿区",IF(AND($K2968="对外销售",COUNTIF({"三矿区";"六矿区"},$L2968)=0),"※对外销售的去向只能是三矿区或六矿区",IF(AND($K2968="对外销售",ROUND($Q2968,0)=0),"※外销却没有售价，请填实际售价",IF(AND($K2968="对外销售",$T2968&lt;&gt;"",$T2968&lt;0),"※这一笔外销是亏的，请核对售价",IF(IFERROR(VLOOKUP($D2968,库存台账!$A$5:$Y$1204,24,0),0)&lt;-0.001,"※这个物料账面已经变成负数了，查一下是不是漏记入库","")))))))))))</f>
        <v/>
      </c>
    </row>
    <row r="2969">
      <c r="A2969" s="24">
        <f>IF($D2969="","",COUNTA($D$4:$D2969))</f>
        <v/>
      </c>
      <c r="B2969" s="17" t="n"/>
      <c r="C2969" s="30" t="n"/>
      <c r="D2969" s="17" t="n"/>
      <c r="E2969" s="24">
        <f>IF($D2969="","",IFERROR(VLOOKUP($D2969,物料档案!$A$4:$P$1203,3,0),"※编码不在物料档案里"))</f>
        <v/>
      </c>
      <c r="F2969" s="24">
        <f>IF($D2969="","",IFERROR(VLOOKUP($D2969,物料档案!$A$4:$P$1203,4,0),"※编码不在物料档案里"))</f>
        <v/>
      </c>
      <c r="G2969" s="24">
        <f>IF($D2969="","",IFERROR(VLOOKUP($D2969,物料档案!$A$4:$P$1203,5,0),"※编码不在物料档案里"))</f>
        <v/>
      </c>
      <c r="H2969" s="24">
        <f>IF($D2969="","",IFERROR(VLOOKUP($D2969,物料档案!$A$4:$P$1203,2,0),"※编码不在物料档案里"))</f>
        <v/>
      </c>
      <c r="I2969" s="24">
        <f>IF($D2969="","",IFERROR(VLOOKUP($D2969,物料档案!$A$4:$P$1203,6,0),"※编码不在物料档案里"))</f>
        <v/>
      </c>
      <c r="J2969" s="23" t="n"/>
      <c r="K2969" s="17" t="n"/>
      <c r="L2969" s="17" t="n"/>
      <c r="M2969" s="17" t="n"/>
      <c r="N2969" s="17" t="n"/>
      <c r="O2969" s="26">
        <f>IF($D2969="","",IFERROR(VLOOKUP($D2969,物料档案!$A$4:$P$1203,10,0),0))</f>
        <v/>
      </c>
      <c r="P2969" s="32" t="n"/>
      <c r="Q2969" s="26">
        <f>IF($D2969="","",IF($K2969&lt;&gt;"对外销售",0,ROUND(N($J2969)*IF($P2969="",N($O2969),N($P2969)),0)))</f>
        <v/>
      </c>
      <c r="R2969" s="26">
        <f>IF($D2969="","",IFERROR(VLOOKUP($D2969,库存台账!$A$5:$Y$1204,11,0),0))</f>
        <v/>
      </c>
      <c r="S2969" s="26">
        <f>IF($D2969="","",ROUND(N($J2969)*N($R2969),0))</f>
        <v/>
      </c>
      <c r="T2969" s="26">
        <f>IF($D2969="","",IF($K2969&lt;&gt;"对外销售","",ROUND($Q2969-$S2969,0)))</f>
        <v/>
      </c>
      <c r="U2969" s="17" t="n"/>
      <c r="V2969" s="17" t="n"/>
      <c r="W2969" s="24">
        <f>IF($D2969="","",IF($E2969="※编码不在物料档案里","※物料编码不在档案里",IF(N($J2969)&lt;=0,"※出库数量要大于 0",IF($K2969="","※没填去向类型",IF($L2969="","※没填去向矿区",IF(AND($C2969&lt;&gt;"",$C2969&lt;=结账锁),"※日期早于已结账截止日，不能再录",IF(AND($K2969="自用消耗",COUNTIF({"一矿区";"二矿区"},$L2969)=0),"※自用消耗的去向只能是一矿区或二矿区",IF(AND($K2969="对外销售",COUNTIF({"三矿区";"六矿区"},$L2969)=0),"※对外销售的去向只能是三矿区或六矿区",IF(AND($K2969="对外销售",ROUND($Q2969,0)=0),"※外销却没有售价，请填实际售价",IF(AND($K2969="对外销售",$T2969&lt;&gt;"",$T2969&lt;0),"※这一笔外销是亏的，请核对售价",IF(IFERROR(VLOOKUP($D2969,库存台账!$A$5:$Y$1204,24,0),0)&lt;-0.001,"※这个物料账面已经变成负数了，查一下是不是漏记入库","")))))))))))</f>
        <v/>
      </c>
    </row>
    <row r="2970">
      <c r="A2970" s="24">
        <f>IF($D2970="","",COUNTA($D$4:$D2970))</f>
        <v/>
      </c>
      <c r="B2970" s="17" t="n"/>
      <c r="C2970" s="30" t="n"/>
      <c r="D2970" s="17" t="n"/>
      <c r="E2970" s="24">
        <f>IF($D2970="","",IFERROR(VLOOKUP($D2970,物料档案!$A$4:$P$1203,3,0),"※编码不在物料档案里"))</f>
        <v/>
      </c>
      <c r="F2970" s="24">
        <f>IF($D2970="","",IFERROR(VLOOKUP($D2970,物料档案!$A$4:$P$1203,4,0),"※编码不在物料档案里"))</f>
        <v/>
      </c>
      <c r="G2970" s="24">
        <f>IF($D2970="","",IFERROR(VLOOKUP($D2970,物料档案!$A$4:$P$1203,5,0),"※编码不在物料档案里"))</f>
        <v/>
      </c>
      <c r="H2970" s="24">
        <f>IF($D2970="","",IFERROR(VLOOKUP($D2970,物料档案!$A$4:$P$1203,2,0),"※编码不在物料档案里"))</f>
        <v/>
      </c>
      <c r="I2970" s="24">
        <f>IF($D2970="","",IFERROR(VLOOKUP($D2970,物料档案!$A$4:$P$1203,6,0),"※编码不在物料档案里"))</f>
        <v/>
      </c>
      <c r="J2970" s="23" t="n"/>
      <c r="K2970" s="17" t="n"/>
      <c r="L2970" s="17" t="n"/>
      <c r="M2970" s="17" t="n"/>
      <c r="N2970" s="17" t="n"/>
      <c r="O2970" s="26">
        <f>IF($D2970="","",IFERROR(VLOOKUP($D2970,物料档案!$A$4:$P$1203,10,0),0))</f>
        <v/>
      </c>
      <c r="P2970" s="32" t="n"/>
      <c r="Q2970" s="26">
        <f>IF($D2970="","",IF($K2970&lt;&gt;"对外销售",0,ROUND(N($J2970)*IF($P2970="",N($O2970),N($P2970)),0)))</f>
        <v/>
      </c>
      <c r="R2970" s="26">
        <f>IF($D2970="","",IFERROR(VLOOKUP($D2970,库存台账!$A$5:$Y$1204,11,0),0))</f>
        <v/>
      </c>
      <c r="S2970" s="26">
        <f>IF($D2970="","",ROUND(N($J2970)*N($R2970),0))</f>
        <v/>
      </c>
      <c r="T2970" s="26">
        <f>IF($D2970="","",IF($K2970&lt;&gt;"对外销售","",ROUND($Q2970-$S2970,0)))</f>
        <v/>
      </c>
      <c r="U2970" s="17" t="n"/>
      <c r="V2970" s="17" t="n"/>
      <c r="W2970" s="24">
        <f>IF($D2970="","",IF($E2970="※编码不在物料档案里","※物料编码不在档案里",IF(N($J2970)&lt;=0,"※出库数量要大于 0",IF($K2970="","※没填去向类型",IF($L2970="","※没填去向矿区",IF(AND($C2970&lt;&gt;"",$C2970&lt;=结账锁),"※日期早于已结账截止日，不能再录",IF(AND($K2970="自用消耗",COUNTIF({"一矿区";"二矿区"},$L2970)=0),"※自用消耗的去向只能是一矿区或二矿区",IF(AND($K2970="对外销售",COUNTIF({"三矿区";"六矿区"},$L2970)=0),"※对外销售的去向只能是三矿区或六矿区",IF(AND($K2970="对外销售",ROUND($Q2970,0)=0),"※外销却没有售价，请填实际售价",IF(AND($K2970="对外销售",$T2970&lt;&gt;"",$T2970&lt;0),"※这一笔外销是亏的，请核对售价",IF(IFERROR(VLOOKUP($D2970,库存台账!$A$5:$Y$1204,24,0),0)&lt;-0.001,"※这个物料账面已经变成负数了，查一下是不是漏记入库","")))))))))))</f>
        <v/>
      </c>
    </row>
    <row r="2971">
      <c r="A2971" s="24">
        <f>IF($D2971="","",COUNTA($D$4:$D2971))</f>
        <v/>
      </c>
      <c r="B2971" s="17" t="n"/>
      <c r="C2971" s="30" t="n"/>
      <c r="D2971" s="17" t="n"/>
      <c r="E2971" s="24">
        <f>IF($D2971="","",IFERROR(VLOOKUP($D2971,物料档案!$A$4:$P$1203,3,0),"※编码不在物料档案里"))</f>
        <v/>
      </c>
      <c r="F2971" s="24">
        <f>IF($D2971="","",IFERROR(VLOOKUP($D2971,物料档案!$A$4:$P$1203,4,0),"※编码不在物料档案里"))</f>
        <v/>
      </c>
      <c r="G2971" s="24">
        <f>IF($D2971="","",IFERROR(VLOOKUP($D2971,物料档案!$A$4:$P$1203,5,0),"※编码不在物料档案里"))</f>
        <v/>
      </c>
      <c r="H2971" s="24">
        <f>IF($D2971="","",IFERROR(VLOOKUP($D2971,物料档案!$A$4:$P$1203,2,0),"※编码不在物料档案里"))</f>
        <v/>
      </c>
      <c r="I2971" s="24">
        <f>IF($D2971="","",IFERROR(VLOOKUP($D2971,物料档案!$A$4:$P$1203,6,0),"※编码不在物料档案里"))</f>
        <v/>
      </c>
      <c r="J2971" s="23" t="n"/>
      <c r="K2971" s="17" t="n"/>
      <c r="L2971" s="17" t="n"/>
      <c r="M2971" s="17" t="n"/>
      <c r="N2971" s="17" t="n"/>
      <c r="O2971" s="26">
        <f>IF($D2971="","",IFERROR(VLOOKUP($D2971,物料档案!$A$4:$P$1203,10,0),0))</f>
        <v/>
      </c>
      <c r="P2971" s="32" t="n"/>
      <c r="Q2971" s="26">
        <f>IF($D2971="","",IF($K2971&lt;&gt;"对外销售",0,ROUND(N($J2971)*IF($P2971="",N($O2971),N($P2971)),0)))</f>
        <v/>
      </c>
      <c r="R2971" s="26">
        <f>IF($D2971="","",IFERROR(VLOOKUP($D2971,库存台账!$A$5:$Y$1204,11,0),0))</f>
        <v/>
      </c>
      <c r="S2971" s="26">
        <f>IF($D2971="","",ROUND(N($J2971)*N($R2971),0))</f>
        <v/>
      </c>
      <c r="T2971" s="26">
        <f>IF($D2971="","",IF($K2971&lt;&gt;"对外销售","",ROUND($Q2971-$S2971,0)))</f>
        <v/>
      </c>
      <c r="U2971" s="17" t="n"/>
      <c r="V2971" s="17" t="n"/>
      <c r="W2971" s="24">
        <f>IF($D2971="","",IF($E2971="※编码不在物料档案里","※物料编码不在档案里",IF(N($J2971)&lt;=0,"※出库数量要大于 0",IF($K2971="","※没填去向类型",IF($L2971="","※没填去向矿区",IF(AND($C2971&lt;&gt;"",$C2971&lt;=结账锁),"※日期早于已结账截止日，不能再录",IF(AND($K2971="自用消耗",COUNTIF({"一矿区";"二矿区"},$L2971)=0),"※自用消耗的去向只能是一矿区或二矿区",IF(AND($K2971="对外销售",COUNTIF({"三矿区";"六矿区"},$L2971)=0),"※对外销售的去向只能是三矿区或六矿区",IF(AND($K2971="对外销售",ROUND($Q2971,0)=0),"※外销却没有售价，请填实际售价",IF(AND($K2971="对外销售",$T2971&lt;&gt;"",$T2971&lt;0),"※这一笔外销是亏的，请核对售价",IF(IFERROR(VLOOKUP($D2971,库存台账!$A$5:$Y$1204,24,0),0)&lt;-0.001,"※这个物料账面已经变成负数了，查一下是不是漏记入库","")))))))))))</f>
        <v/>
      </c>
    </row>
    <row r="2972">
      <c r="A2972" s="24">
        <f>IF($D2972="","",COUNTA($D$4:$D2972))</f>
        <v/>
      </c>
      <c r="B2972" s="17" t="n"/>
      <c r="C2972" s="30" t="n"/>
      <c r="D2972" s="17" t="n"/>
      <c r="E2972" s="24">
        <f>IF($D2972="","",IFERROR(VLOOKUP($D2972,物料档案!$A$4:$P$1203,3,0),"※编码不在物料档案里"))</f>
        <v/>
      </c>
      <c r="F2972" s="24">
        <f>IF($D2972="","",IFERROR(VLOOKUP($D2972,物料档案!$A$4:$P$1203,4,0),"※编码不在物料档案里"))</f>
        <v/>
      </c>
      <c r="G2972" s="24">
        <f>IF($D2972="","",IFERROR(VLOOKUP($D2972,物料档案!$A$4:$P$1203,5,0),"※编码不在物料档案里"))</f>
        <v/>
      </c>
      <c r="H2972" s="24">
        <f>IF($D2972="","",IFERROR(VLOOKUP($D2972,物料档案!$A$4:$P$1203,2,0),"※编码不在物料档案里"))</f>
        <v/>
      </c>
      <c r="I2972" s="24">
        <f>IF($D2972="","",IFERROR(VLOOKUP($D2972,物料档案!$A$4:$P$1203,6,0),"※编码不在物料档案里"))</f>
        <v/>
      </c>
      <c r="J2972" s="23" t="n"/>
      <c r="K2972" s="17" t="n"/>
      <c r="L2972" s="17" t="n"/>
      <c r="M2972" s="17" t="n"/>
      <c r="N2972" s="17" t="n"/>
      <c r="O2972" s="26">
        <f>IF($D2972="","",IFERROR(VLOOKUP($D2972,物料档案!$A$4:$P$1203,10,0),0))</f>
        <v/>
      </c>
      <c r="P2972" s="32" t="n"/>
      <c r="Q2972" s="26">
        <f>IF($D2972="","",IF($K2972&lt;&gt;"对外销售",0,ROUND(N($J2972)*IF($P2972="",N($O2972),N($P2972)),0)))</f>
        <v/>
      </c>
      <c r="R2972" s="26">
        <f>IF($D2972="","",IFERROR(VLOOKUP($D2972,库存台账!$A$5:$Y$1204,11,0),0))</f>
        <v/>
      </c>
      <c r="S2972" s="26">
        <f>IF($D2972="","",ROUND(N($J2972)*N($R2972),0))</f>
        <v/>
      </c>
      <c r="T2972" s="26">
        <f>IF($D2972="","",IF($K2972&lt;&gt;"对外销售","",ROUND($Q2972-$S2972,0)))</f>
        <v/>
      </c>
      <c r="U2972" s="17" t="n"/>
      <c r="V2972" s="17" t="n"/>
      <c r="W2972" s="24">
        <f>IF($D2972="","",IF($E2972="※编码不在物料档案里","※物料编码不在档案里",IF(N($J2972)&lt;=0,"※出库数量要大于 0",IF($K2972="","※没填去向类型",IF($L2972="","※没填去向矿区",IF(AND($C2972&lt;&gt;"",$C2972&lt;=结账锁),"※日期早于已结账截止日，不能再录",IF(AND($K2972="自用消耗",COUNTIF({"一矿区";"二矿区"},$L2972)=0),"※自用消耗的去向只能是一矿区或二矿区",IF(AND($K2972="对外销售",COUNTIF({"三矿区";"六矿区"},$L2972)=0),"※对外销售的去向只能是三矿区或六矿区",IF(AND($K2972="对外销售",ROUND($Q2972,0)=0),"※外销却没有售价，请填实际售价",IF(AND($K2972="对外销售",$T2972&lt;&gt;"",$T2972&lt;0),"※这一笔外销是亏的，请核对售价",IF(IFERROR(VLOOKUP($D2972,库存台账!$A$5:$Y$1204,24,0),0)&lt;-0.001,"※这个物料账面已经变成负数了，查一下是不是漏记入库","")))))))))))</f>
        <v/>
      </c>
    </row>
    <row r="2973">
      <c r="A2973" s="24">
        <f>IF($D2973="","",COUNTA($D$4:$D2973))</f>
        <v/>
      </c>
      <c r="B2973" s="17" t="n"/>
      <c r="C2973" s="30" t="n"/>
      <c r="D2973" s="17" t="n"/>
      <c r="E2973" s="24">
        <f>IF($D2973="","",IFERROR(VLOOKUP($D2973,物料档案!$A$4:$P$1203,3,0),"※编码不在物料档案里"))</f>
        <v/>
      </c>
      <c r="F2973" s="24">
        <f>IF($D2973="","",IFERROR(VLOOKUP($D2973,物料档案!$A$4:$P$1203,4,0),"※编码不在物料档案里"))</f>
        <v/>
      </c>
      <c r="G2973" s="24">
        <f>IF($D2973="","",IFERROR(VLOOKUP($D2973,物料档案!$A$4:$P$1203,5,0),"※编码不在物料档案里"))</f>
        <v/>
      </c>
      <c r="H2973" s="24">
        <f>IF($D2973="","",IFERROR(VLOOKUP($D2973,物料档案!$A$4:$P$1203,2,0),"※编码不在物料档案里"))</f>
        <v/>
      </c>
      <c r="I2973" s="24">
        <f>IF($D2973="","",IFERROR(VLOOKUP($D2973,物料档案!$A$4:$P$1203,6,0),"※编码不在物料档案里"))</f>
        <v/>
      </c>
      <c r="J2973" s="23" t="n"/>
      <c r="K2973" s="17" t="n"/>
      <c r="L2973" s="17" t="n"/>
      <c r="M2973" s="17" t="n"/>
      <c r="N2973" s="17" t="n"/>
      <c r="O2973" s="26">
        <f>IF($D2973="","",IFERROR(VLOOKUP($D2973,物料档案!$A$4:$P$1203,10,0),0))</f>
        <v/>
      </c>
      <c r="P2973" s="32" t="n"/>
      <c r="Q2973" s="26">
        <f>IF($D2973="","",IF($K2973&lt;&gt;"对外销售",0,ROUND(N($J2973)*IF($P2973="",N($O2973),N($P2973)),0)))</f>
        <v/>
      </c>
      <c r="R2973" s="26">
        <f>IF($D2973="","",IFERROR(VLOOKUP($D2973,库存台账!$A$5:$Y$1204,11,0),0))</f>
        <v/>
      </c>
      <c r="S2973" s="26">
        <f>IF($D2973="","",ROUND(N($J2973)*N($R2973),0))</f>
        <v/>
      </c>
      <c r="T2973" s="26">
        <f>IF($D2973="","",IF($K2973&lt;&gt;"对外销售","",ROUND($Q2973-$S2973,0)))</f>
        <v/>
      </c>
      <c r="U2973" s="17" t="n"/>
      <c r="V2973" s="17" t="n"/>
      <c r="W2973" s="24">
        <f>IF($D2973="","",IF($E2973="※编码不在物料档案里","※物料编码不在档案里",IF(N($J2973)&lt;=0,"※出库数量要大于 0",IF($K2973="","※没填去向类型",IF($L2973="","※没填去向矿区",IF(AND($C2973&lt;&gt;"",$C2973&lt;=结账锁),"※日期早于已结账截止日，不能再录",IF(AND($K2973="自用消耗",COUNTIF({"一矿区";"二矿区"},$L2973)=0),"※自用消耗的去向只能是一矿区或二矿区",IF(AND($K2973="对外销售",COUNTIF({"三矿区";"六矿区"},$L2973)=0),"※对外销售的去向只能是三矿区或六矿区",IF(AND($K2973="对外销售",ROUND($Q2973,0)=0),"※外销却没有售价，请填实际售价",IF(AND($K2973="对外销售",$T2973&lt;&gt;"",$T2973&lt;0),"※这一笔外销是亏的，请核对售价",IF(IFERROR(VLOOKUP($D2973,库存台账!$A$5:$Y$1204,24,0),0)&lt;-0.001,"※这个物料账面已经变成负数了，查一下是不是漏记入库","")))))))))))</f>
        <v/>
      </c>
    </row>
    <row r="2974">
      <c r="A2974" s="24">
        <f>IF($D2974="","",COUNTA($D$4:$D2974))</f>
        <v/>
      </c>
      <c r="B2974" s="17" t="n"/>
      <c r="C2974" s="30" t="n"/>
      <c r="D2974" s="17" t="n"/>
      <c r="E2974" s="24">
        <f>IF($D2974="","",IFERROR(VLOOKUP($D2974,物料档案!$A$4:$P$1203,3,0),"※编码不在物料档案里"))</f>
        <v/>
      </c>
      <c r="F2974" s="24">
        <f>IF($D2974="","",IFERROR(VLOOKUP($D2974,物料档案!$A$4:$P$1203,4,0),"※编码不在物料档案里"))</f>
        <v/>
      </c>
      <c r="G2974" s="24">
        <f>IF($D2974="","",IFERROR(VLOOKUP($D2974,物料档案!$A$4:$P$1203,5,0),"※编码不在物料档案里"))</f>
        <v/>
      </c>
      <c r="H2974" s="24">
        <f>IF($D2974="","",IFERROR(VLOOKUP($D2974,物料档案!$A$4:$P$1203,2,0),"※编码不在物料档案里"))</f>
        <v/>
      </c>
      <c r="I2974" s="24">
        <f>IF($D2974="","",IFERROR(VLOOKUP($D2974,物料档案!$A$4:$P$1203,6,0),"※编码不在物料档案里"))</f>
        <v/>
      </c>
      <c r="J2974" s="23" t="n"/>
      <c r="K2974" s="17" t="n"/>
      <c r="L2974" s="17" t="n"/>
      <c r="M2974" s="17" t="n"/>
      <c r="N2974" s="17" t="n"/>
      <c r="O2974" s="26">
        <f>IF($D2974="","",IFERROR(VLOOKUP($D2974,物料档案!$A$4:$P$1203,10,0),0))</f>
        <v/>
      </c>
      <c r="P2974" s="32" t="n"/>
      <c r="Q2974" s="26">
        <f>IF($D2974="","",IF($K2974&lt;&gt;"对外销售",0,ROUND(N($J2974)*IF($P2974="",N($O2974),N($P2974)),0)))</f>
        <v/>
      </c>
      <c r="R2974" s="26">
        <f>IF($D2974="","",IFERROR(VLOOKUP($D2974,库存台账!$A$5:$Y$1204,11,0),0))</f>
        <v/>
      </c>
      <c r="S2974" s="26">
        <f>IF($D2974="","",ROUND(N($J2974)*N($R2974),0))</f>
        <v/>
      </c>
      <c r="T2974" s="26">
        <f>IF($D2974="","",IF($K2974&lt;&gt;"对外销售","",ROUND($Q2974-$S2974,0)))</f>
        <v/>
      </c>
      <c r="U2974" s="17" t="n"/>
      <c r="V2974" s="17" t="n"/>
      <c r="W2974" s="24">
        <f>IF($D2974="","",IF($E2974="※编码不在物料档案里","※物料编码不在档案里",IF(N($J2974)&lt;=0,"※出库数量要大于 0",IF($K2974="","※没填去向类型",IF($L2974="","※没填去向矿区",IF(AND($C2974&lt;&gt;"",$C2974&lt;=结账锁),"※日期早于已结账截止日，不能再录",IF(AND($K2974="自用消耗",COUNTIF({"一矿区";"二矿区"},$L2974)=0),"※自用消耗的去向只能是一矿区或二矿区",IF(AND($K2974="对外销售",COUNTIF({"三矿区";"六矿区"},$L2974)=0),"※对外销售的去向只能是三矿区或六矿区",IF(AND($K2974="对外销售",ROUND($Q2974,0)=0),"※外销却没有售价，请填实际售价",IF(AND($K2974="对外销售",$T2974&lt;&gt;"",$T2974&lt;0),"※这一笔外销是亏的，请核对售价",IF(IFERROR(VLOOKUP($D2974,库存台账!$A$5:$Y$1204,24,0),0)&lt;-0.001,"※这个物料账面已经变成负数了，查一下是不是漏记入库","")))))))))))</f>
        <v/>
      </c>
    </row>
    <row r="2975">
      <c r="A2975" s="24">
        <f>IF($D2975="","",COUNTA($D$4:$D2975))</f>
        <v/>
      </c>
      <c r="B2975" s="17" t="n"/>
      <c r="C2975" s="30" t="n"/>
      <c r="D2975" s="17" t="n"/>
      <c r="E2975" s="24">
        <f>IF($D2975="","",IFERROR(VLOOKUP($D2975,物料档案!$A$4:$P$1203,3,0),"※编码不在物料档案里"))</f>
        <v/>
      </c>
      <c r="F2975" s="24">
        <f>IF($D2975="","",IFERROR(VLOOKUP($D2975,物料档案!$A$4:$P$1203,4,0),"※编码不在物料档案里"))</f>
        <v/>
      </c>
      <c r="G2975" s="24">
        <f>IF($D2975="","",IFERROR(VLOOKUP($D2975,物料档案!$A$4:$P$1203,5,0),"※编码不在物料档案里"))</f>
        <v/>
      </c>
      <c r="H2975" s="24">
        <f>IF($D2975="","",IFERROR(VLOOKUP($D2975,物料档案!$A$4:$P$1203,2,0),"※编码不在物料档案里"))</f>
        <v/>
      </c>
      <c r="I2975" s="24">
        <f>IF($D2975="","",IFERROR(VLOOKUP($D2975,物料档案!$A$4:$P$1203,6,0),"※编码不在物料档案里"))</f>
        <v/>
      </c>
      <c r="J2975" s="23" t="n"/>
      <c r="K2975" s="17" t="n"/>
      <c r="L2975" s="17" t="n"/>
      <c r="M2975" s="17" t="n"/>
      <c r="N2975" s="17" t="n"/>
      <c r="O2975" s="26">
        <f>IF($D2975="","",IFERROR(VLOOKUP($D2975,物料档案!$A$4:$P$1203,10,0),0))</f>
        <v/>
      </c>
      <c r="P2975" s="32" t="n"/>
      <c r="Q2975" s="26">
        <f>IF($D2975="","",IF($K2975&lt;&gt;"对外销售",0,ROUND(N($J2975)*IF($P2975="",N($O2975),N($P2975)),0)))</f>
        <v/>
      </c>
      <c r="R2975" s="26">
        <f>IF($D2975="","",IFERROR(VLOOKUP($D2975,库存台账!$A$5:$Y$1204,11,0),0))</f>
        <v/>
      </c>
      <c r="S2975" s="26">
        <f>IF($D2975="","",ROUND(N($J2975)*N($R2975),0))</f>
        <v/>
      </c>
      <c r="T2975" s="26">
        <f>IF($D2975="","",IF($K2975&lt;&gt;"对外销售","",ROUND($Q2975-$S2975,0)))</f>
        <v/>
      </c>
      <c r="U2975" s="17" t="n"/>
      <c r="V2975" s="17" t="n"/>
      <c r="W2975" s="24">
        <f>IF($D2975="","",IF($E2975="※编码不在物料档案里","※物料编码不在档案里",IF(N($J2975)&lt;=0,"※出库数量要大于 0",IF($K2975="","※没填去向类型",IF($L2975="","※没填去向矿区",IF(AND($C2975&lt;&gt;"",$C2975&lt;=结账锁),"※日期早于已结账截止日，不能再录",IF(AND($K2975="自用消耗",COUNTIF({"一矿区";"二矿区"},$L2975)=0),"※自用消耗的去向只能是一矿区或二矿区",IF(AND($K2975="对外销售",COUNTIF({"三矿区";"六矿区"},$L2975)=0),"※对外销售的去向只能是三矿区或六矿区",IF(AND($K2975="对外销售",ROUND($Q2975,0)=0),"※外销却没有售价，请填实际售价",IF(AND($K2975="对外销售",$T2975&lt;&gt;"",$T2975&lt;0),"※这一笔外销是亏的，请核对售价",IF(IFERROR(VLOOKUP($D2975,库存台账!$A$5:$Y$1204,24,0),0)&lt;-0.001,"※这个物料账面已经变成负数了，查一下是不是漏记入库","")))))))))))</f>
        <v/>
      </c>
    </row>
    <row r="2976">
      <c r="A2976" s="24">
        <f>IF($D2976="","",COUNTA($D$4:$D2976))</f>
        <v/>
      </c>
      <c r="B2976" s="17" t="n"/>
      <c r="C2976" s="30" t="n"/>
      <c r="D2976" s="17" t="n"/>
      <c r="E2976" s="24">
        <f>IF($D2976="","",IFERROR(VLOOKUP($D2976,物料档案!$A$4:$P$1203,3,0),"※编码不在物料档案里"))</f>
        <v/>
      </c>
      <c r="F2976" s="24">
        <f>IF($D2976="","",IFERROR(VLOOKUP($D2976,物料档案!$A$4:$P$1203,4,0),"※编码不在物料档案里"))</f>
        <v/>
      </c>
      <c r="G2976" s="24">
        <f>IF($D2976="","",IFERROR(VLOOKUP($D2976,物料档案!$A$4:$P$1203,5,0),"※编码不在物料档案里"))</f>
        <v/>
      </c>
      <c r="H2976" s="24">
        <f>IF($D2976="","",IFERROR(VLOOKUP($D2976,物料档案!$A$4:$P$1203,2,0),"※编码不在物料档案里"))</f>
        <v/>
      </c>
      <c r="I2976" s="24">
        <f>IF($D2976="","",IFERROR(VLOOKUP($D2976,物料档案!$A$4:$P$1203,6,0),"※编码不在物料档案里"))</f>
        <v/>
      </c>
      <c r="J2976" s="23" t="n"/>
      <c r="K2976" s="17" t="n"/>
      <c r="L2976" s="17" t="n"/>
      <c r="M2976" s="17" t="n"/>
      <c r="N2976" s="17" t="n"/>
      <c r="O2976" s="26">
        <f>IF($D2976="","",IFERROR(VLOOKUP($D2976,物料档案!$A$4:$P$1203,10,0),0))</f>
        <v/>
      </c>
      <c r="P2976" s="32" t="n"/>
      <c r="Q2976" s="26">
        <f>IF($D2976="","",IF($K2976&lt;&gt;"对外销售",0,ROUND(N($J2976)*IF($P2976="",N($O2976),N($P2976)),0)))</f>
        <v/>
      </c>
      <c r="R2976" s="26">
        <f>IF($D2976="","",IFERROR(VLOOKUP($D2976,库存台账!$A$5:$Y$1204,11,0),0))</f>
        <v/>
      </c>
      <c r="S2976" s="26">
        <f>IF($D2976="","",ROUND(N($J2976)*N($R2976),0))</f>
        <v/>
      </c>
      <c r="T2976" s="26">
        <f>IF($D2976="","",IF($K2976&lt;&gt;"对外销售","",ROUND($Q2976-$S2976,0)))</f>
        <v/>
      </c>
      <c r="U2976" s="17" t="n"/>
      <c r="V2976" s="17" t="n"/>
      <c r="W2976" s="24">
        <f>IF($D2976="","",IF($E2976="※编码不在物料档案里","※物料编码不在档案里",IF(N($J2976)&lt;=0,"※出库数量要大于 0",IF($K2976="","※没填去向类型",IF($L2976="","※没填去向矿区",IF(AND($C2976&lt;&gt;"",$C2976&lt;=结账锁),"※日期早于已结账截止日，不能再录",IF(AND($K2976="自用消耗",COUNTIF({"一矿区";"二矿区"},$L2976)=0),"※自用消耗的去向只能是一矿区或二矿区",IF(AND($K2976="对外销售",COUNTIF({"三矿区";"六矿区"},$L2976)=0),"※对外销售的去向只能是三矿区或六矿区",IF(AND($K2976="对外销售",ROUND($Q2976,0)=0),"※外销却没有售价，请填实际售价",IF(AND($K2976="对外销售",$T2976&lt;&gt;"",$T2976&lt;0),"※这一笔外销是亏的，请核对售价",IF(IFERROR(VLOOKUP($D2976,库存台账!$A$5:$Y$1204,24,0),0)&lt;-0.001,"※这个物料账面已经变成负数了，查一下是不是漏记入库","")))))))))))</f>
        <v/>
      </c>
    </row>
    <row r="2977">
      <c r="A2977" s="24">
        <f>IF($D2977="","",COUNTA($D$4:$D2977))</f>
        <v/>
      </c>
      <c r="B2977" s="17" t="n"/>
      <c r="C2977" s="30" t="n"/>
      <c r="D2977" s="17" t="n"/>
      <c r="E2977" s="24">
        <f>IF($D2977="","",IFERROR(VLOOKUP($D2977,物料档案!$A$4:$P$1203,3,0),"※编码不在物料档案里"))</f>
        <v/>
      </c>
      <c r="F2977" s="24">
        <f>IF($D2977="","",IFERROR(VLOOKUP($D2977,物料档案!$A$4:$P$1203,4,0),"※编码不在物料档案里"))</f>
        <v/>
      </c>
      <c r="G2977" s="24">
        <f>IF($D2977="","",IFERROR(VLOOKUP($D2977,物料档案!$A$4:$P$1203,5,0),"※编码不在物料档案里"))</f>
        <v/>
      </c>
      <c r="H2977" s="24">
        <f>IF($D2977="","",IFERROR(VLOOKUP($D2977,物料档案!$A$4:$P$1203,2,0),"※编码不在物料档案里"))</f>
        <v/>
      </c>
      <c r="I2977" s="24">
        <f>IF($D2977="","",IFERROR(VLOOKUP($D2977,物料档案!$A$4:$P$1203,6,0),"※编码不在物料档案里"))</f>
        <v/>
      </c>
      <c r="J2977" s="23" t="n"/>
      <c r="K2977" s="17" t="n"/>
      <c r="L2977" s="17" t="n"/>
      <c r="M2977" s="17" t="n"/>
      <c r="N2977" s="17" t="n"/>
      <c r="O2977" s="26">
        <f>IF($D2977="","",IFERROR(VLOOKUP($D2977,物料档案!$A$4:$P$1203,10,0),0))</f>
        <v/>
      </c>
      <c r="P2977" s="32" t="n"/>
      <c r="Q2977" s="26">
        <f>IF($D2977="","",IF($K2977&lt;&gt;"对外销售",0,ROUND(N($J2977)*IF($P2977="",N($O2977),N($P2977)),0)))</f>
        <v/>
      </c>
      <c r="R2977" s="26">
        <f>IF($D2977="","",IFERROR(VLOOKUP($D2977,库存台账!$A$5:$Y$1204,11,0),0))</f>
        <v/>
      </c>
      <c r="S2977" s="26">
        <f>IF($D2977="","",ROUND(N($J2977)*N($R2977),0))</f>
        <v/>
      </c>
      <c r="T2977" s="26">
        <f>IF($D2977="","",IF($K2977&lt;&gt;"对外销售","",ROUND($Q2977-$S2977,0)))</f>
        <v/>
      </c>
      <c r="U2977" s="17" t="n"/>
      <c r="V2977" s="17" t="n"/>
      <c r="W2977" s="24">
        <f>IF($D2977="","",IF($E2977="※编码不在物料档案里","※物料编码不在档案里",IF(N($J2977)&lt;=0,"※出库数量要大于 0",IF($K2977="","※没填去向类型",IF($L2977="","※没填去向矿区",IF(AND($C2977&lt;&gt;"",$C2977&lt;=结账锁),"※日期早于已结账截止日，不能再录",IF(AND($K2977="自用消耗",COUNTIF({"一矿区";"二矿区"},$L2977)=0),"※自用消耗的去向只能是一矿区或二矿区",IF(AND($K2977="对外销售",COUNTIF({"三矿区";"六矿区"},$L2977)=0),"※对外销售的去向只能是三矿区或六矿区",IF(AND($K2977="对外销售",ROUND($Q2977,0)=0),"※外销却没有售价，请填实际售价",IF(AND($K2977="对外销售",$T2977&lt;&gt;"",$T2977&lt;0),"※这一笔外销是亏的，请核对售价",IF(IFERROR(VLOOKUP($D2977,库存台账!$A$5:$Y$1204,24,0),0)&lt;-0.001,"※这个物料账面已经变成负数了，查一下是不是漏记入库","")))))))))))</f>
        <v/>
      </c>
    </row>
    <row r="2978">
      <c r="A2978" s="24">
        <f>IF($D2978="","",COUNTA($D$4:$D2978))</f>
        <v/>
      </c>
      <c r="B2978" s="17" t="n"/>
      <c r="C2978" s="30" t="n"/>
      <c r="D2978" s="17" t="n"/>
      <c r="E2978" s="24">
        <f>IF($D2978="","",IFERROR(VLOOKUP($D2978,物料档案!$A$4:$P$1203,3,0),"※编码不在物料档案里"))</f>
        <v/>
      </c>
      <c r="F2978" s="24">
        <f>IF($D2978="","",IFERROR(VLOOKUP($D2978,物料档案!$A$4:$P$1203,4,0),"※编码不在物料档案里"))</f>
        <v/>
      </c>
      <c r="G2978" s="24">
        <f>IF($D2978="","",IFERROR(VLOOKUP($D2978,物料档案!$A$4:$P$1203,5,0),"※编码不在物料档案里"))</f>
        <v/>
      </c>
      <c r="H2978" s="24">
        <f>IF($D2978="","",IFERROR(VLOOKUP($D2978,物料档案!$A$4:$P$1203,2,0),"※编码不在物料档案里"))</f>
        <v/>
      </c>
      <c r="I2978" s="24">
        <f>IF($D2978="","",IFERROR(VLOOKUP($D2978,物料档案!$A$4:$P$1203,6,0),"※编码不在物料档案里"))</f>
        <v/>
      </c>
      <c r="J2978" s="23" t="n"/>
      <c r="K2978" s="17" t="n"/>
      <c r="L2978" s="17" t="n"/>
      <c r="M2978" s="17" t="n"/>
      <c r="N2978" s="17" t="n"/>
      <c r="O2978" s="26">
        <f>IF($D2978="","",IFERROR(VLOOKUP($D2978,物料档案!$A$4:$P$1203,10,0),0))</f>
        <v/>
      </c>
      <c r="P2978" s="32" t="n"/>
      <c r="Q2978" s="26">
        <f>IF($D2978="","",IF($K2978&lt;&gt;"对外销售",0,ROUND(N($J2978)*IF($P2978="",N($O2978),N($P2978)),0)))</f>
        <v/>
      </c>
      <c r="R2978" s="26">
        <f>IF($D2978="","",IFERROR(VLOOKUP($D2978,库存台账!$A$5:$Y$1204,11,0),0))</f>
        <v/>
      </c>
      <c r="S2978" s="26">
        <f>IF($D2978="","",ROUND(N($J2978)*N($R2978),0))</f>
        <v/>
      </c>
      <c r="T2978" s="26">
        <f>IF($D2978="","",IF($K2978&lt;&gt;"对外销售","",ROUND($Q2978-$S2978,0)))</f>
        <v/>
      </c>
      <c r="U2978" s="17" t="n"/>
      <c r="V2978" s="17" t="n"/>
      <c r="W2978" s="24">
        <f>IF($D2978="","",IF($E2978="※编码不在物料档案里","※物料编码不在档案里",IF(N($J2978)&lt;=0,"※出库数量要大于 0",IF($K2978="","※没填去向类型",IF($L2978="","※没填去向矿区",IF(AND($C2978&lt;&gt;"",$C2978&lt;=结账锁),"※日期早于已结账截止日，不能再录",IF(AND($K2978="自用消耗",COUNTIF({"一矿区";"二矿区"},$L2978)=0),"※自用消耗的去向只能是一矿区或二矿区",IF(AND($K2978="对外销售",COUNTIF({"三矿区";"六矿区"},$L2978)=0),"※对外销售的去向只能是三矿区或六矿区",IF(AND($K2978="对外销售",ROUND($Q2978,0)=0),"※外销却没有售价，请填实际售价",IF(AND($K2978="对外销售",$T2978&lt;&gt;"",$T2978&lt;0),"※这一笔外销是亏的，请核对售价",IF(IFERROR(VLOOKUP($D2978,库存台账!$A$5:$Y$1204,24,0),0)&lt;-0.001,"※这个物料账面已经变成负数了，查一下是不是漏记入库","")))))))))))</f>
        <v/>
      </c>
    </row>
    <row r="2979">
      <c r="A2979" s="24">
        <f>IF($D2979="","",COUNTA($D$4:$D2979))</f>
        <v/>
      </c>
      <c r="B2979" s="17" t="n"/>
      <c r="C2979" s="30" t="n"/>
      <c r="D2979" s="17" t="n"/>
      <c r="E2979" s="24">
        <f>IF($D2979="","",IFERROR(VLOOKUP($D2979,物料档案!$A$4:$P$1203,3,0),"※编码不在物料档案里"))</f>
        <v/>
      </c>
      <c r="F2979" s="24">
        <f>IF($D2979="","",IFERROR(VLOOKUP($D2979,物料档案!$A$4:$P$1203,4,0),"※编码不在物料档案里"))</f>
        <v/>
      </c>
      <c r="G2979" s="24">
        <f>IF($D2979="","",IFERROR(VLOOKUP($D2979,物料档案!$A$4:$P$1203,5,0),"※编码不在物料档案里"))</f>
        <v/>
      </c>
      <c r="H2979" s="24">
        <f>IF($D2979="","",IFERROR(VLOOKUP($D2979,物料档案!$A$4:$P$1203,2,0),"※编码不在物料档案里"))</f>
        <v/>
      </c>
      <c r="I2979" s="24">
        <f>IF($D2979="","",IFERROR(VLOOKUP($D2979,物料档案!$A$4:$P$1203,6,0),"※编码不在物料档案里"))</f>
        <v/>
      </c>
      <c r="J2979" s="23" t="n"/>
      <c r="K2979" s="17" t="n"/>
      <c r="L2979" s="17" t="n"/>
      <c r="M2979" s="17" t="n"/>
      <c r="N2979" s="17" t="n"/>
      <c r="O2979" s="26">
        <f>IF($D2979="","",IFERROR(VLOOKUP($D2979,物料档案!$A$4:$P$1203,10,0),0))</f>
        <v/>
      </c>
      <c r="P2979" s="32" t="n"/>
      <c r="Q2979" s="26">
        <f>IF($D2979="","",IF($K2979&lt;&gt;"对外销售",0,ROUND(N($J2979)*IF($P2979="",N($O2979),N($P2979)),0)))</f>
        <v/>
      </c>
      <c r="R2979" s="26">
        <f>IF($D2979="","",IFERROR(VLOOKUP($D2979,库存台账!$A$5:$Y$1204,11,0),0))</f>
        <v/>
      </c>
      <c r="S2979" s="26">
        <f>IF($D2979="","",ROUND(N($J2979)*N($R2979),0))</f>
        <v/>
      </c>
      <c r="T2979" s="26">
        <f>IF($D2979="","",IF($K2979&lt;&gt;"对外销售","",ROUND($Q2979-$S2979,0)))</f>
        <v/>
      </c>
      <c r="U2979" s="17" t="n"/>
      <c r="V2979" s="17" t="n"/>
      <c r="W2979" s="24">
        <f>IF($D2979="","",IF($E2979="※编码不在物料档案里","※物料编码不在档案里",IF(N($J2979)&lt;=0,"※出库数量要大于 0",IF($K2979="","※没填去向类型",IF($L2979="","※没填去向矿区",IF(AND($C2979&lt;&gt;"",$C2979&lt;=结账锁),"※日期早于已结账截止日，不能再录",IF(AND($K2979="自用消耗",COUNTIF({"一矿区";"二矿区"},$L2979)=0),"※自用消耗的去向只能是一矿区或二矿区",IF(AND($K2979="对外销售",COUNTIF({"三矿区";"六矿区"},$L2979)=0),"※对外销售的去向只能是三矿区或六矿区",IF(AND($K2979="对外销售",ROUND($Q2979,0)=0),"※外销却没有售价，请填实际售价",IF(AND($K2979="对外销售",$T2979&lt;&gt;"",$T2979&lt;0),"※这一笔外销是亏的，请核对售价",IF(IFERROR(VLOOKUP($D2979,库存台账!$A$5:$Y$1204,24,0),0)&lt;-0.001,"※这个物料账面已经变成负数了，查一下是不是漏记入库","")))))))))))</f>
        <v/>
      </c>
    </row>
    <row r="2980">
      <c r="A2980" s="24">
        <f>IF($D2980="","",COUNTA($D$4:$D2980))</f>
        <v/>
      </c>
      <c r="B2980" s="17" t="n"/>
      <c r="C2980" s="30" t="n"/>
      <c r="D2980" s="17" t="n"/>
      <c r="E2980" s="24">
        <f>IF($D2980="","",IFERROR(VLOOKUP($D2980,物料档案!$A$4:$P$1203,3,0),"※编码不在物料档案里"))</f>
        <v/>
      </c>
      <c r="F2980" s="24">
        <f>IF($D2980="","",IFERROR(VLOOKUP($D2980,物料档案!$A$4:$P$1203,4,0),"※编码不在物料档案里"))</f>
        <v/>
      </c>
      <c r="G2980" s="24">
        <f>IF($D2980="","",IFERROR(VLOOKUP($D2980,物料档案!$A$4:$P$1203,5,0),"※编码不在物料档案里"))</f>
        <v/>
      </c>
      <c r="H2980" s="24">
        <f>IF($D2980="","",IFERROR(VLOOKUP($D2980,物料档案!$A$4:$P$1203,2,0),"※编码不在物料档案里"))</f>
        <v/>
      </c>
      <c r="I2980" s="24">
        <f>IF($D2980="","",IFERROR(VLOOKUP($D2980,物料档案!$A$4:$P$1203,6,0),"※编码不在物料档案里"))</f>
        <v/>
      </c>
      <c r="J2980" s="23" t="n"/>
      <c r="K2980" s="17" t="n"/>
      <c r="L2980" s="17" t="n"/>
      <c r="M2980" s="17" t="n"/>
      <c r="N2980" s="17" t="n"/>
      <c r="O2980" s="26">
        <f>IF($D2980="","",IFERROR(VLOOKUP($D2980,物料档案!$A$4:$P$1203,10,0),0))</f>
        <v/>
      </c>
      <c r="P2980" s="32" t="n"/>
      <c r="Q2980" s="26">
        <f>IF($D2980="","",IF($K2980&lt;&gt;"对外销售",0,ROUND(N($J2980)*IF($P2980="",N($O2980),N($P2980)),0)))</f>
        <v/>
      </c>
      <c r="R2980" s="26">
        <f>IF($D2980="","",IFERROR(VLOOKUP($D2980,库存台账!$A$5:$Y$1204,11,0),0))</f>
        <v/>
      </c>
      <c r="S2980" s="26">
        <f>IF($D2980="","",ROUND(N($J2980)*N($R2980),0))</f>
        <v/>
      </c>
      <c r="T2980" s="26">
        <f>IF($D2980="","",IF($K2980&lt;&gt;"对外销售","",ROUND($Q2980-$S2980,0)))</f>
        <v/>
      </c>
      <c r="U2980" s="17" t="n"/>
      <c r="V2980" s="17" t="n"/>
      <c r="W2980" s="24">
        <f>IF($D2980="","",IF($E2980="※编码不在物料档案里","※物料编码不在档案里",IF(N($J2980)&lt;=0,"※出库数量要大于 0",IF($K2980="","※没填去向类型",IF($L2980="","※没填去向矿区",IF(AND($C2980&lt;&gt;"",$C2980&lt;=结账锁),"※日期早于已结账截止日，不能再录",IF(AND($K2980="自用消耗",COUNTIF({"一矿区";"二矿区"},$L2980)=0),"※自用消耗的去向只能是一矿区或二矿区",IF(AND($K2980="对外销售",COUNTIF({"三矿区";"六矿区"},$L2980)=0),"※对外销售的去向只能是三矿区或六矿区",IF(AND($K2980="对外销售",ROUND($Q2980,0)=0),"※外销却没有售价，请填实际售价",IF(AND($K2980="对外销售",$T2980&lt;&gt;"",$T2980&lt;0),"※这一笔外销是亏的，请核对售价",IF(IFERROR(VLOOKUP($D2980,库存台账!$A$5:$Y$1204,24,0),0)&lt;-0.001,"※这个物料账面已经变成负数了，查一下是不是漏记入库","")))))))))))</f>
        <v/>
      </c>
    </row>
    <row r="2981">
      <c r="A2981" s="24">
        <f>IF($D2981="","",COUNTA($D$4:$D2981))</f>
        <v/>
      </c>
      <c r="B2981" s="17" t="n"/>
      <c r="C2981" s="30" t="n"/>
      <c r="D2981" s="17" t="n"/>
      <c r="E2981" s="24">
        <f>IF($D2981="","",IFERROR(VLOOKUP($D2981,物料档案!$A$4:$P$1203,3,0),"※编码不在物料档案里"))</f>
        <v/>
      </c>
      <c r="F2981" s="24">
        <f>IF($D2981="","",IFERROR(VLOOKUP($D2981,物料档案!$A$4:$P$1203,4,0),"※编码不在物料档案里"))</f>
        <v/>
      </c>
      <c r="G2981" s="24">
        <f>IF($D2981="","",IFERROR(VLOOKUP($D2981,物料档案!$A$4:$P$1203,5,0),"※编码不在物料档案里"))</f>
        <v/>
      </c>
      <c r="H2981" s="24">
        <f>IF($D2981="","",IFERROR(VLOOKUP($D2981,物料档案!$A$4:$P$1203,2,0),"※编码不在物料档案里"))</f>
        <v/>
      </c>
      <c r="I2981" s="24">
        <f>IF($D2981="","",IFERROR(VLOOKUP($D2981,物料档案!$A$4:$P$1203,6,0),"※编码不在物料档案里"))</f>
        <v/>
      </c>
      <c r="J2981" s="23" t="n"/>
      <c r="K2981" s="17" t="n"/>
      <c r="L2981" s="17" t="n"/>
      <c r="M2981" s="17" t="n"/>
      <c r="N2981" s="17" t="n"/>
      <c r="O2981" s="26">
        <f>IF($D2981="","",IFERROR(VLOOKUP($D2981,物料档案!$A$4:$P$1203,10,0),0))</f>
        <v/>
      </c>
      <c r="P2981" s="32" t="n"/>
      <c r="Q2981" s="26">
        <f>IF($D2981="","",IF($K2981&lt;&gt;"对外销售",0,ROUND(N($J2981)*IF($P2981="",N($O2981),N($P2981)),0)))</f>
        <v/>
      </c>
      <c r="R2981" s="26">
        <f>IF($D2981="","",IFERROR(VLOOKUP($D2981,库存台账!$A$5:$Y$1204,11,0),0))</f>
        <v/>
      </c>
      <c r="S2981" s="26">
        <f>IF($D2981="","",ROUND(N($J2981)*N($R2981),0))</f>
        <v/>
      </c>
      <c r="T2981" s="26">
        <f>IF($D2981="","",IF($K2981&lt;&gt;"对外销售","",ROUND($Q2981-$S2981,0)))</f>
        <v/>
      </c>
      <c r="U2981" s="17" t="n"/>
      <c r="V2981" s="17" t="n"/>
      <c r="W2981" s="24">
        <f>IF($D2981="","",IF($E2981="※编码不在物料档案里","※物料编码不在档案里",IF(N($J2981)&lt;=0,"※出库数量要大于 0",IF($K2981="","※没填去向类型",IF($L2981="","※没填去向矿区",IF(AND($C2981&lt;&gt;"",$C2981&lt;=结账锁),"※日期早于已结账截止日，不能再录",IF(AND($K2981="自用消耗",COUNTIF({"一矿区";"二矿区"},$L2981)=0),"※自用消耗的去向只能是一矿区或二矿区",IF(AND($K2981="对外销售",COUNTIF({"三矿区";"六矿区"},$L2981)=0),"※对外销售的去向只能是三矿区或六矿区",IF(AND($K2981="对外销售",ROUND($Q2981,0)=0),"※外销却没有售价，请填实际售价",IF(AND($K2981="对外销售",$T2981&lt;&gt;"",$T2981&lt;0),"※这一笔外销是亏的，请核对售价",IF(IFERROR(VLOOKUP($D2981,库存台账!$A$5:$Y$1204,24,0),0)&lt;-0.001,"※这个物料账面已经变成负数了，查一下是不是漏记入库","")))))))))))</f>
        <v/>
      </c>
    </row>
    <row r="2982">
      <c r="A2982" s="24">
        <f>IF($D2982="","",COUNTA($D$4:$D2982))</f>
        <v/>
      </c>
      <c r="B2982" s="17" t="n"/>
      <c r="C2982" s="30" t="n"/>
      <c r="D2982" s="17" t="n"/>
      <c r="E2982" s="24">
        <f>IF($D2982="","",IFERROR(VLOOKUP($D2982,物料档案!$A$4:$P$1203,3,0),"※编码不在物料档案里"))</f>
        <v/>
      </c>
      <c r="F2982" s="24">
        <f>IF($D2982="","",IFERROR(VLOOKUP($D2982,物料档案!$A$4:$P$1203,4,0),"※编码不在物料档案里"))</f>
        <v/>
      </c>
      <c r="G2982" s="24">
        <f>IF($D2982="","",IFERROR(VLOOKUP($D2982,物料档案!$A$4:$P$1203,5,0),"※编码不在物料档案里"))</f>
        <v/>
      </c>
      <c r="H2982" s="24">
        <f>IF($D2982="","",IFERROR(VLOOKUP($D2982,物料档案!$A$4:$P$1203,2,0),"※编码不在物料档案里"))</f>
        <v/>
      </c>
      <c r="I2982" s="24">
        <f>IF($D2982="","",IFERROR(VLOOKUP($D2982,物料档案!$A$4:$P$1203,6,0),"※编码不在物料档案里"))</f>
        <v/>
      </c>
      <c r="J2982" s="23" t="n"/>
      <c r="K2982" s="17" t="n"/>
      <c r="L2982" s="17" t="n"/>
      <c r="M2982" s="17" t="n"/>
      <c r="N2982" s="17" t="n"/>
      <c r="O2982" s="26">
        <f>IF($D2982="","",IFERROR(VLOOKUP($D2982,物料档案!$A$4:$P$1203,10,0),0))</f>
        <v/>
      </c>
      <c r="P2982" s="32" t="n"/>
      <c r="Q2982" s="26">
        <f>IF($D2982="","",IF($K2982&lt;&gt;"对外销售",0,ROUND(N($J2982)*IF($P2982="",N($O2982),N($P2982)),0)))</f>
        <v/>
      </c>
      <c r="R2982" s="26">
        <f>IF($D2982="","",IFERROR(VLOOKUP($D2982,库存台账!$A$5:$Y$1204,11,0),0))</f>
        <v/>
      </c>
      <c r="S2982" s="26">
        <f>IF($D2982="","",ROUND(N($J2982)*N($R2982),0))</f>
        <v/>
      </c>
      <c r="T2982" s="26">
        <f>IF($D2982="","",IF($K2982&lt;&gt;"对外销售","",ROUND($Q2982-$S2982,0)))</f>
        <v/>
      </c>
      <c r="U2982" s="17" t="n"/>
      <c r="V2982" s="17" t="n"/>
      <c r="W2982" s="24">
        <f>IF($D2982="","",IF($E2982="※编码不在物料档案里","※物料编码不在档案里",IF(N($J2982)&lt;=0,"※出库数量要大于 0",IF($K2982="","※没填去向类型",IF($L2982="","※没填去向矿区",IF(AND($C2982&lt;&gt;"",$C2982&lt;=结账锁),"※日期早于已结账截止日，不能再录",IF(AND($K2982="自用消耗",COUNTIF({"一矿区";"二矿区"},$L2982)=0),"※自用消耗的去向只能是一矿区或二矿区",IF(AND($K2982="对外销售",COUNTIF({"三矿区";"六矿区"},$L2982)=0),"※对外销售的去向只能是三矿区或六矿区",IF(AND($K2982="对外销售",ROUND($Q2982,0)=0),"※外销却没有售价，请填实际售价",IF(AND($K2982="对外销售",$T2982&lt;&gt;"",$T2982&lt;0),"※这一笔外销是亏的，请核对售价",IF(IFERROR(VLOOKUP($D2982,库存台账!$A$5:$Y$1204,24,0),0)&lt;-0.001,"※这个物料账面已经变成负数了，查一下是不是漏记入库","")))))))))))</f>
        <v/>
      </c>
    </row>
    <row r="2983">
      <c r="A2983" s="24">
        <f>IF($D2983="","",COUNTA($D$4:$D2983))</f>
        <v/>
      </c>
      <c r="B2983" s="17" t="n"/>
      <c r="C2983" s="30" t="n"/>
      <c r="D2983" s="17" t="n"/>
      <c r="E2983" s="24">
        <f>IF($D2983="","",IFERROR(VLOOKUP($D2983,物料档案!$A$4:$P$1203,3,0),"※编码不在物料档案里"))</f>
        <v/>
      </c>
      <c r="F2983" s="24">
        <f>IF($D2983="","",IFERROR(VLOOKUP($D2983,物料档案!$A$4:$P$1203,4,0),"※编码不在物料档案里"))</f>
        <v/>
      </c>
      <c r="G2983" s="24">
        <f>IF($D2983="","",IFERROR(VLOOKUP($D2983,物料档案!$A$4:$P$1203,5,0),"※编码不在物料档案里"))</f>
        <v/>
      </c>
      <c r="H2983" s="24">
        <f>IF($D2983="","",IFERROR(VLOOKUP($D2983,物料档案!$A$4:$P$1203,2,0),"※编码不在物料档案里"))</f>
        <v/>
      </c>
      <c r="I2983" s="24">
        <f>IF($D2983="","",IFERROR(VLOOKUP($D2983,物料档案!$A$4:$P$1203,6,0),"※编码不在物料档案里"))</f>
        <v/>
      </c>
      <c r="J2983" s="23" t="n"/>
      <c r="K2983" s="17" t="n"/>
      <c r="L2983" s="17" t="n"/>
      <c r="M2983" s="17" t="n"/>
      <c r="N2983" s="17" t="n"/>
      <c r="O2983" s="26">
        <f>IF($D2983="","",IFERROR(VLOOKUP($D2983,物料档案!$A$4:$P$1203,10,0),0))</f>
        <v/>
      </c>
      <c r="P2983" s="32" t="n"/>
      <c r="Q2983" s="26">
        <f>IF($D2983="","",IF($K2983&lt;&gt;"对外销售",0,ROUND(N($J2983)*IF($P2983="",N($O2983),N($P2983)),0)))</f>
        <v/>
      </c>
      <c r="R2983" s="26">
        <f>IF($D2983="","",IFERROR(VLOOKUP($D2983,库存台账!$A$5:$Y$1204,11,0),0))</f>
        <v/>
      </c>
      <c r="S2983" s="26">
        <f>IF($D2983="","",ROUND(N($J2983)*N($R2983),0))</f>
        <v/>
      </c>
      <c r="T2983" s="26">
        <f>IF($D2983="","",IF($K2983&lt;&gt;"对外销售","",ROUND($Q2983-$S2983,0)))</f>
        <v/>
      </c>
      <c r="U2983" s="17" t="n"/>
      <c r="V2983" s="17" t="n"/>
      <c r="W2983" s="24">
        <f>IF($D2983="","",IF($E2983="※编码不在物料档案里","※物料编码不在档案里",IF(N($J2983)&lt;=0,"※出库数量要大于 0",IF($K2983="","※没填去向类型",IF($L2983="","※没填去向矿区",IF(AND($C2983&lt;&gt;"",$C2983&lt;=结账锁),"※日期早于已结账截止日，不能再录",IF(AND($K2983="自用消耗",COUNTIF({"一矿区";"二矿区"},$L2983)=0),"※自用消耗的去向只能是一矿区或二矿区",IF(AND($K2983="对外销售",COUNTIF({"三矿区";"六矿区"},$L2983)=0),"※对外销售的去向只能是三矿区或六矿区",IF(AND($K2983="对外销售",ROUND($Q2983,0)=0),"※外销却没有售价，请填实际售价",IF(AND($K2983="对外销售",$T2983&lt;&gt;"",$T2983&lt;0),"※这一笔外销是亏的，请核对售价",IF(IFERROR(VLOOKUP($D2983,库存台账!$A$5:$Y$1204,24,0),0)&lt;-0.001,"※这个物料账面已经变成负数了，查一下是不是漏记入库","")))))))))))</f>
        <v/>
      </c>
    </row>
    <row r="2984">
      <c r="A2984" s="24">
        <f>IF($D2984="","",COUNTA($D$4:$D2984))</f>
        <v/>
      </c>
      <c r="B2984" s="17" t="n"/>
      <c r="C2984" s="30" t="n"/>
      <c r="D2984" s="17" t="n"/>
      <c r="E2984" s="24">
        <f>IF($D2984="","",IFERROR(VLOOKUP($D2984,物料档案!$A$4:$P$1203,3,0),"※编码不在物料档案里"))</f>
        <v/>
      </c>
      <c r="F2984" s="24">
        <f>IF($D2984="","",IFERROR(VLOOKUP($D2984,物料档案!$A$4:$P$1203,4,0),"※编码不在物料档案里"))</f>
        <v/>
      </c>
      <c r="G2984" s="24">
        <f>IF($D2984="","",IFERROR(VLOOKUP($D2984,物料档案!$A$4:$P$1203,5,0),"※编码不在物料档案里"))</f>
        <v/>
      </c>
      <c r="H2984" s="24">
        <f>IF($D2984="","",IFERROR(VLOOKUP($D2984,物料档案!$A$4:$P$1203,2,0),"※编码不在物料档案里"))</f>
        <v/>
      </c>
      <c r="I2984" s="24">
        <f>IF($D2984="","",IFERROR(VLOOKUP($D2984,物料档案!$A$4:$P$1203,6,0),"※编码不在物料档案里"))</f>
        <v/>
      </c>
      <c r="J2984" s="23" t="n"/>
      <c r="K2984" s="17" t="n"/>
      <c r="L2984" s="17" t="n"/>
      <c r="M2984" s="17" t="n"/>
      <c r="N2984" s="17" t="n"/>
      <c r="O2984" s="26">
        <f>IF($D2984="","",IFERROR(VLOOKUP($D2984,物料档案!$A$4:$P$1203,10,0),0))</f>
        <v/>
      </c>
      <c r="P2984" s="32" t="n"/>
      <c r="Q2984" s="26">
        <f>IF($D2984="","",IF($K2984&lt;&gt;"对外销售",0,ROUND(N($J2984)*IF($P2984="",N($O2984),N($P2984)),0)))</f>
        <v/>
      </c>
      <c r="R2984" s="26">
        <f>IF($D2984="","",IFERROR(VLOOKUP($D2984,库存台账!$A$5:$Y$1204,11,0),0))</f>
        <v/>
      </c>
      <c r="S2984" s="26">
        <f>IF($D2984="","",ROUND(N($J2984)*N($R2984),0))</f>
        <v/>
      </c>
      <c r="T2984" s="26">
        <f>IF($D2984="","",IF($K2984&lt;&gt;"对外销售","",ROUND($Q2984-$S2984,0)))</f>
        <v/>
      </c>
      <c r="U2984" s="17" t="n"/>
      <c r="V2984" s="17" t="n"/>
      <c r="W2984" s="24">
        <f>IF($D2984="","",IF($E2984="※编码不在物料档案里","※物料编码不在档案里",IF(N($J2984)&lt;=0,"※出库数量要大于 0",IF($K2984="","※没填去向类型",IF($L2984="","※没填去向矿区",IF(AND($C2984&lt;&gt;"",$C2984&lt;=结账锁),"※日期早于已结账截止日，不能再录",IF(AND($K2984="自用消耗",COUNTIF({"一矿区";"二矿区"},$L2984)=0),"※自用消耗的去向只能是一矿区或二矿区",IF(AND($K2984="对外销售",COUNTIF({"三矿区";"六矿区"},$L2984)=0),"※对外销售的去向只能是三矿区或六矿区",IF(AND($K2984="对外销售",ROUND($Q2984,0)=0),"※外销却没有售价，请填实际售价",IF(AND($K2984="对外销售",$T2984&lt;&gt;"",$T2984&lt;0),"※这一笔外销是亏的，请核对售价",IF(IFERROR(VLOOKUP($D2984,库存台账!$A$5:$Y$1204,24,0),0)&lt;-0.001,"※这个物料账面已经变成负数了，查一下是不是漏记入库","")))))))))))</f>
        <v/>
      </c>
    </row>
    <row r="2985">
      <c r="A2985" s="24">
        <f>IF($D2985="","",COUNTA($D$4:$D2985))</f>
        <v/>
      </c>
      <c r="B2985" s="17" t="n"/>
      <c r="C2985" s="30" t="n"/>
      <c r="D2985" s="17" t="n"/>
      <c r="E2985" s="24">
        <f>IF($D2985="","",IFERROR(VLOOKUP($D2985,物料档案!$A$4:$P$1203,3,0),"※编码不在物料档案里"))</f>
        <v/>
      </c>
      <c r="F2985" s="24">
        <f>IF($D2985="","",IFERROR(VLOOKUP($D2985,物料档案!$A$4:$P$1203,4,0),"※编码不在物料档案里"))</f>
        <v/>
      </c>
      <c r="G2985" s="24">
        <f>IF($D2985="","",IFERROR(VLOOKUP($D2985,物料档案!$A$4:$P$1203,5,0),"※编码不在物料档案里"))</f>
        <v/>
      </c>
      <c r="H2985" s="24">
        <f>IF($D2985="","",IFERROR(VLOOKUP($D2985,物料档案!$A$4:$P$1203,2,0),"※编码不在物料档案里"))</f>
        <v/>
      </c>
      <c r="I2985" s="24">
        <f>IF($D2985="","",IFERROR(VLOOKUP($D2985,物料档案!$A$4:$P$1203,6,0),"※编码不在物料档案里"))</f>
        <v/>
      </c>
      <c r="J2985" s="23" t="n"/>
      <c r="K2985" s="17" t="n"/>
      <c r="L2985" s="17" t="n"/>
      <c r="M2985" s="17" t="n"/>
      <c r="N2985" s="17" t="n"/>
      <c r="O2985" s="26">
        <f>IF($D2985="","",IFERROR(VLOOKUP($D2985,物料档案!$A$4:$P$1203,10,0),0))</f>
        <v/>
      </c>
      <c r="P2985" s="32" t="n"/>
      <c r="Q2985" s="26">
        <f>IF($D2985="","",IF($K2985&lt;&gt;"对外销售",0,ROUND(N($J2985)*IF($P2985="",N($O2985),N($P2985)),0)))</f>
        <v/>
      </c>
      <c r="R2985" s="26">
        <f>IF($D2985="","",IFERROR(VLOOKUP($D2985,库存台账!$A$5:$Y$1204,11,0),0))</f>
        <v/>
      </c>
      <c r="S2985" s="26">
        <f>IF($D2985="","",ROUND(N($J2985)*N($R2985),0))</f>
        <v/>
      </c>
      <c r="T2985" s="26">
        <f>IF($D2985="","",IF($K2985&lt;&gt;"对外销售","",ROUND($Q2985-$S2985,0)))</f>
        <v/>
      </c>
      <c r="U2985" s="17" t="n"/>
      <c r="V2985" s="17" t="n"/>
      <c r="W2985" s="24">
        <f>IF($D2985="","",IF($E2985="※编码不在物料档案里","※物料编码不在档案里",IF(N($J2985)&lt;=0,"※出库数量要大于 0",IF($K2985="","※没填去向类型",IF($L2985="","※没填去向矿区",IF(AND($C2985&lt;&gt;"",$C2985&lt;=结账锁),"※日期早于已结账截止日，不能再录",IF(AND($K2985="自用消耗",COUNTIF({"一矿区";"二矿区"},$L2985)=0),"※自用消耗的去向只能是一矿区或二矿区",IF(AND($K2985="对外销售",COUNTIF({"三矿区";"六矿区"},$L2985)=0),"※对外销售的去向只能是三矿区或六矿区",IF(AND($K2985="对外销售",ROUND($Q2985,0)=0),"※外销却没有售价，请填实际售价",IF(AND($K2985="对外销售",$T2985&lt;&gt;"",$T2985&lt;0),"※这一笔外销是亏的，请核对售价",IF(IFERROR(VLOOKUP($D2985,库存台账!$A$5:$Y$1204,24,0),0)&lt;-0.001,"※这个物料账面已经变成负数了，查一下是不是漏记入库","")))))))))))</f>
        <v/>
      </c>
    </row>
    <row r="2986">
      <c r="A2986" s="24">
        <f>IF($D2986="","",COUNTA($D$4:$D2986))</f>
        <v/>
      </c>
      <c r="B2986" s="17" t="n"/>
      <c r="C2986" s="30" t="n"/>
      <c r="D2986" s="17" t="n"/>
      <c r="E2986" s="24">
        <f>IF($D2986="","",IFERROR(VLOOKUP($D2986,物料档案!$A$4:$P$1203,3,0),"※编码不在物料档案里"))</f>
        <v/>
      </c>
      <c r="F2986" s="24">
        <f>IF($D2986="","",IFERROR(VLOOKUP($D2986,物料档案!$A$4:$P$1203,4,0),"※编码不在物料档案里"))</f>
        <v/>
      </c>
      <c r="G2986" s="24">
        <f>IF($D2986="","",IFERROR(VLOOKUP($D2986,物料档案!$A$4:$P$1203,5,0),"※编码不在物料档案里"))</f>
        <v/>
      </c>
      <c r="H2986" s="24">
        <f>IF($D2986="","",IFERROR(VLOOKUP($D2986,物料档案!$A$4:$P$1203,2,0),"※编码不在物料档案里"))</f>
        <v/>
      </c>
      <c r="I2986" s="24">
        <f>IF($D2986="","",IFERROR(VLOOKUP($D2986,物料档案!$A$4:$P$1203,6,0),"※编码不在物料档案里"))</f>
        <v/>
      </c>
      <c r="J2986" s="23" t="n"/>
      <c r="K2986" s="17" t="n"/>
      <c r="L2986" s="17" t="n"/>
      <c r="M2986" s="17" t="n"/>
      <c r="N2986" s="17" t="n"/>
      <c r="O2986" s="26">
        <f>IF($D2986="","",IFERROR(VLOOKUP($D2986,物料档案!$A$4:$P$1203,10,0),0))</f>
        <v/>
      </c>
      <c r="P2986" s="32" t="n"/>
      <c r="Q2986" s="26">
        <f>IF($D2986="","",IF($K2986&lt;&gt;"对外销售",0,ROUND(N($J2986)*IF($P2986="",N($O2986),N($P2986)),0)))</f>
        <v/>
      </c>
      <c r="R2986" s="26">
        <f>IF($D2986="","",IFERROR(VLOOKUP($D2986,库存台账!$A$5:$Y$1204,11,0),0))</f>
        <v/>
      </c>
      <c r="S2986" s="26">
        <f>IF($D2986="","",ROUND(N($J2986)*N($R2986),0))</f>
        <v/>
      </c>
      <c r="T2986" s="26">
        <f>IF($D2986="","",IF($K2986&lt;&gt;"对外销售","",ROUND($Q2986-$S2986,0)))</f>
        <v/>
      </c>
      <c r="U2986" s="17" t="n"/>
      <c r="V2986" s="17" t="n"/>
      <c r="W2986" s="24">
        <f>IF($D2986="","",IF($E2986="※编码不在物料档案里","※物料编码不在档案里",IF(N($J2986)&lt;=0,"※出库数量要大于 0",IF($K2986="","※没填去向类型",IF($L2986="","※没填去向矿区",IF(AND($C2986&lt;&gt;"",$C2986&lt;=结账锁),"※日期早于已结账截止日，不能再录",IF(AND($K2986="自用消耗",COUNTIF({"一矿区";"二矿区"},$L2986)=0),"※自用消耗的去向只能是一矿区或二矿区",IF(AND($K2986="对外销售",COUNTIF({"三矿区";"六矿区"},$L2986)=0),"※对外销售的去向只能是三矿区或六矿区",IF(AND($K2986="对外销售",ROUND($Q2986,0)=0),"※外销却没有售价，请填实际售价",IF(AND($K2986="对外销售",$T2986&lt;&gt;"",$T2986&lt;0),"※这一笔外销是亏的，请核对售价",IF(IFERROR(VLOOKUP($D2986,库存台账!$A$5:$Y$1204,24,0),0)&lt;-0.001,"※这个物料账面已经变成负数了，查一下是不是漏记入库","")))))))))))</f>
        <v/>
      </c>
    </row>
    <row r="2987">
      <c r="A2987" s="24">
        <f>IF($D2987="","",COUNTA($D$4:$D2987))</f>
        <v/>
      </c>
      <c r="B2987" s="17" t="n"/>
      <c r="C2987" s="30" t="n"/>
      <c r="D2987" s="17" t="n"/>
      <c r="E2987" s="24">
        <f>IF($D2987="","",IFERROR(VLOOKUP($D2987,物料档案!$A$4:$P$1203,3,0),"※编码不在物料档案里"))</f>
        <v/>
      </c>
      <c r="F2987" s="24">
        <f>IF($D2987="","",IFERROR(VLOOKUP($D2987,物料档案!$A$4:$P$1203,4,0),"※编码不在物料档案里"))</f>
        <v/>
      </c>
      <c r="G2987" s="24">
        <f>IF($D2987="","",IFERROR(VLOOKUP($D2987,物料档案!$A$4:$P$1203,5,0),"※编码不在物料档案里"))</f>
        <v/>
      </c>
      <c r="H2987" s="24">
        <f>IF($D2987="","",IFERROR(VLOOKUP($D2987,物料档案!$A$4:$P$1203,2,0),"※编码不在物料档案里"))</f>
        <v/>
      </c>
      <c r="I2987" s="24">
        <f>IF($D2987="","",IFERROR(VLOOKUP($D2987,物料档案!$A$4:$P$1203,6,0),"※编码不在物料档案里"))</f>
        <v/>
      </c>
      <c r="J2987" s="23" t="n"/>
      <c r="K2987" s="17" t="n"/>
      <c r="L2987" s="17" t="n"/>
      <c r="M2987" s="17" t="n"/>
      <c r="N2987" s="17" t="n"/>
      <c r="O2987" s="26">
        <f>IF($D2987="","",IFERROR(VLOOKUP($D2987,物料档案!$A$4:$P$1203,10,0),0))</f>
        <v/>
      </c>
      <c r="P2987" s="32" t="n"/>
      <c r="Q2987" s="26">
        <f>IF($D2987="","",IF($K2987&lt;&gt;"对外销售",0,ROUND(N($J2987)*IF($P2987="",N($O2987),N($P2987)),0)))</f>
        <v/>
      </c>
      <c r="R2987" s="26">
        <f>IF($D2987="","",IFERROR(VLOOKUP($D2987,库存台账!$A$5:$Y$1204,11,0),0))</f>
        <v/>
      </c>
      <c r="S2987" s="26">
        <f>IF($D2987="","",ROUND(N($J2987)*N($R2987),0))</f>
        <v/>
      </c>
      <c r="T2987" s="26">
        <f>IF($D2987="","",IF($K2987&lt;&gt;"对外销售","",ROUND($Q2987-$S2987,0)))</f>
        <v/>
      </c>
      <c r="U2987" s="17" t="n"/>
      <c r="V2987" s="17" t="n"/>
      <c r="W2987" s="24">
        <f>IF($D2987="","",IF($E2987="※编码不在物料档案里","※物料编码不在档案里",IF(N($J2987)&lt;=0,"※出库数量要大于 0",IF($K2987="","※没填去向类型",IF($L2987="","※没填去向矿区",IF(AND($C2987&lt;&gt;"",$C2987&lt;=结账锁),"※日期早于已结账截止日，不能再录",IF(AND($K2987="自用消耗",COUNTIF({"一矿区";"二矿区"},$L2987)=0),"※自用消耗的去向只能是一矿区或二矿区",IF(AND($K2987="对外销售",COUNTIF({"三矿区";"六矿区"},$L2987)=0),"※对外销售的去向只能是三矿区或六矿区",IF(AND($K2987="对外销售",ROUND($Q2987,0)=0),"※外销却没有售价，请填实际售价",IF(AND($K2987="对外销售",$T2987&lt;&gt;"",$T2987&lt;0),"※这一笔外销是亏的，请核对售价",IF(IFERROR(VLOOKUP($D2987,库存台账!$A$5:$Y$1204,24,0),0)&lt;-0.001,"※这个物料账面已经变成负数了，查一下是不是漏记入库","")))))))))))</f>
        <v/>
      </c>
    </row>
    <row r="2988">
      <c r="A2988" s="24">
        <f>IF($D2988="","",COUNTA($D$4:$D2988))</f>
        <v/>
      </c>
      <c r="B2988" s="17" t="n"/>
      <c r="C2988" s="30" t="n"/>
      <c r="D2988" s="17" t="n"/>
      <c r="E2988" s="24">
        <f>IF($D2988="","",IFERROR(VLOOKUP($D2988,物料档案!$A$4:$P$1203,3,0),"※编码不在物料档案里"))</f>
        <v/>
      </c>
      <c r="F2988" s="24">
        <f>IF($D2988="","",IFERROR(VLOOKUP($D2988,物料档案!$A$4:$P$1203,4,0),"※编码不在物料档案里"))</f>
        <v/>
      </c>
      <c r="G2988" s="24">
        <f>IF($D2988="","",IFERROR(VLOOKUP($D2988,物料档案!$A$4:$P$1203,5,0),"※编码不在物料档案里"))</f>
        <v/>
      </c>
      <c r="H2988" s="24">
        <f>IF($D2988="","",IFERROR(VLOOKUP($D2988,物料档案!$A$4:$P$1203,2,0),"※编码不在物料档案里"))</f>
        <v/>
      </c>
      <c r="I2988" s="24">
        <f>IF($D2988="","",IFERROR(VLOOKUP($D2988,物料档案!$A$4:$P$1203,6,0),"※编码不在物料档案里"))</f>
        <v/>
      </c>
      <c r="J2988" s="23" t="n"/>
      <c r="K2988" s="17" t="n"/>
      <c r="L2988" s="17" t="n"/>
      <c r="M2988" s="17" t="n"/>
      <c r="N2988" s="17" t="n"/>
      <c r="O2988" s="26">
        <f>IF($D2988="","",IFERROR(VLOOKUP($D2988,物料档案!$A$4:$P$1203,10,0),0))</f>
        <v/>
      </c>
      <c r="P2988" s="32" t="n"/>
      <c r="Q2988" s="26">
        <f>IF($D2988="","",IF($K2988&lt;&gt;"对外销售",0,ROUND(N($J2988)*IF($P2988="",N($O2988),N($P2988)),0)))</f>
        <v/>
      </c>
      <c r="R2988" s="26">
        <f>IF($D2988="","",IFERROR(VLOOKUP($D2988,库存台账!$A$5:$Y$1204,11,0),0))</f>
        <v/>
      </c>
      <c r="S2988" s="26">
        <f>IF($D2988="","",ROUND(N($J2988)*N($R2988),0))</f>
        <v/>
      </c>
      <c r="T2988" s="26">
        <f>IF($D2988="","",IF($K2988&lt;&gt;"对外销售","",ROUND($Q2988-$S2988,0)))</f>
        <v/>
      </c>
      <c r="U2988" s="17" t="n"/>
      <c r="V2988" s="17" t="n"/>
      <c r="W2988" s="24">
        <f>IF($D2988="","",IF($E2988="※编码不在物料档案里","※物料编码不在档案里",IF(N($J2988)&lt;=0,"※出库数量要大于 0",IF($K2988="","※没填去向类型",IF($L2988="","※没填去向矿区",IF(AND($C2988&lt;&gt;"",$C2988&lt;=结账锁),"※日期早于已结账截止日，不能再录",IF(AND($K2988="自用消耗",COUNTIF({"一矿区";"二矿区"},$L2988)=0),"※自用消耗的去向只能是一矿区或二矿区",IF(AND($K2988="对外销售",COUNTIF({"三矿区";"六矿区"},$L2988)=0),"※对外销售的去向只能是三矿区或六矿区",IF(AND($K2988="对外销售",ROUND($Q2988,0)=0),"※外销却没有售价，请填实际售价",IF(AND($K2988="对外销售",$T2988&lt;&gt;"",$T2988&lt;0),"※这一笔外销是亏的，请核对售价",IF(IFERROR(VLOOKUP($D2988,库存台账!$A$5:$Y$1204,24,0),0)&lt;-0.001,"※这个物料账面已经变成负数了，查一下是不是漏记入库","")))))))))))</f>
        <v/>
      </c>
    </row>
    <row r="2989">
      <c r="A2989" s="24">
        <f>IF($D2989="","",COUNTA($D$4:$D2989))</f>
        <v/>
      </c>
      <c r="B2989" s="17" t="n"/>
      <c r="C2989" s="30" t="n"/>
      <c r="D2989" s="17" t="n"/>
      <c r="E2989" s="24">
        <f>IF($D2989="","",IFERROR(VLOOKUP($D2989,物料档案!$A$4:$P$1203,3,0),"※编码不在物料档案里"))</f>
        <v/>
      </c>
      <c r="F2989" s="24">
        <f>IF($D2989="","",IFERROR(VLOOKUP($D2989,物料档案!$A$4:$P$1203,4,0),"※编码不在物料档案里"))</f>
        <v/>
      </c>
      <c r="G2989" s="24">
        <f>IF($D2989="","",IFERROR(VLOOKUP($D2989,物料档案!$A$4:$P$1203,5,0),"※编码不在物料档案里"))</f>
        <v/>
      </c>
      <c r="H2989" s="24">
        <f>IF($D2989="","",IFERROR(VLOOKUP($D2989,物料档案!$A$4:$P$1203,2,0),"※编码不在物料档案里"))</f>
        <v/>
      </c>
      <c r="I2989" s="24">
        <f>IF($D2989="","",IFERROR(VLOOKUP($D2989,物料档案!$A$4:$P$1203,6,0),"※编码不在物料档案里"))</f>
        <v/>
      </c>
      <c r="J2989" s="23" t="n"/>
      <c r="K2989" s="17" t="n"/>
      <c r="L2989" s="17" t="n"/>
      <c r="M2989" s="17" t="n"/>
      <c r="N2989" s="17" t="n"/>
      <c r="O2989" s="26">
        <f>IF($D2989="","",IFERROR(VLOOKUP($D2989,物料档案!$A$4:$P$1203,10,0),0))</f>
        <v/>
      </c>
      <c r="P2989" s="32" t="n"/>
      <c r="Q2989" s="26">
        <f>IF($D2989="","",IF($K2989&lt;&gt;"对外销售",0,ROUND(N($J2989)*IF($P2989="",N($O2989),N($P2989)),0)))</f>
        <v/>
      </c>
      <c r="R2989" s="26">
        <f>IF($D2989="","",IFERROR(VLOOKUP($D2989,库存台账!$A$5:$Y$1204,11,0),0))</f>
        <v/>
      </c>
      <c r="S2989" s="26">
        <f>IF($D2989="","",ROUND(N($J2989)*N($R2989),0))</f>
        <v/>
      </c>
      <c r="T2989" s="26">
        <f>IF($D2989="","",IF($K2989&lt;&gt;"对外销售","",ROUND($Q2989-$S2989,0)))</f>
        <v/>
      </c>
      <c r="U2989" s="17" t="n"/>
      <c r="V2989" s="17" t="n"/>
      <c r="W2989" s="24">
        <f>IF($D2989="","",IF($E2989="※编码不在物料档案里","※物料编码不在档案里",IF(N($J2989)&lt;=0,"※出库数量要大于 0",IF($K2989="","※没填去向类型",IF($L2989="","※没填去向矿区",IF(AND($C2989&lt;&gt;"",$C2989&lt;=结账锁),"※日期早于已结账截止日，不能再录",IF(AND($K2989="自用消耗",COUNTIF({"一矿区";"二矿区"},$L2989)=0),"※自用消耗的去向只能是一矿区或二矿区",IF(AND($K2989="对外销售",COUNTIF({"三矿区";"六矿区"},$L2989)=0),"※对外销售的去向只能是三矿区或六矿区",IF(AND($K2989="对外销售",ROUND($Q2989,0)=0),"※外销却没有售价，请填实际售价",IF(AND($K2989="对外销售",$T2989&lt;&gt;"",$T2989&lt;0),"※这一笔外销是亏的，请核对售价",IF(IFERROR(VLOOKUP($D2989,库存台账!$A$5:$Y$1204,24,0),0)&lt;-0.001,"※这个物料账面已经变成负数了，查一下是不是漏记入库","")))))))))))</f>
        <v/>
      </c>
    </row>
    <row r="2990">
      <c r="A2990" s="24">
        <f>IF($D2990="","",COUNTA($D$4:$D2990))</f>
        <v/>
      </c>
      <c r="B2990" s="17" t="n"/>
      <c r="C2990" s="30" t="n"/>
      <c r="D2990" s="17" t="n"/>
      <c r="E2990" s="24">
        <f>IF($D2990="","",IFERROR(VLOOKUP($D2990,物料档案!$A$4:$P$1203,3,0),"※编码不在物料档案里"))</f>
        <v/>
      </c>
      <c r="F2990" s="24">
        <f>IF($D2990="","",IFERROR(VLOOKUP($D2990,物料档案!$A$4:$P$1203,4,0),"※编码不在物料档案里"))</f>
        <v/>
      </c>
      <c r="G2990" s="24">
        <f>IF($D2990="","",IFERROR(VLOOKUP($D2990,物料档案!$A$4:$P$1203,5,0),"※编码不在物料档案里"))</f>
        <v/>
      </c>
      <c r="H2990" s="24">
        <f>IF($D2990="","",IFERROR(VLOOKUP($D2990,物料档案!$A$4:$P$1203,2,0),"※编码不在物料档案里"))</f>
        <v/>
      </c>
      <c r="I2990" s="24">
        <f>IF($D2990="","",IFERROR(VLOOKUP($D2990,物料档案!$A$4:$P$1203,6,0),"※编码不在物料档案里"))</f>
        <v/>
      </c>
      <c r="J2990" s="23" t="n"/>
      <c r="K2990" s="17" t="n"/>
      <c r="L2990" s="17" t="n"/>
      <c r="M2990" s="17" t="n"/>
      <c r="N2990" s="17" t="n"/>
      <c r="O2990" s="26">
        <f>IF($D2990="","",IFERROR(VLOOKUP($D2990,物料档案!$A$4:$P$1203,10,0),0))</f>
        <v/>
      </c>
      <c r="P2990" s="32" t="n"/>
      <c r="Q2990" s="26">
        <f>IF($D2990="","",IF($K2990&lt;&gt;"对外销售",0,ROUND(N($J2990)*IF($P2990="",N($O2990),N($P2990)),0)))</f>
        <v/>
      </c>
      <c r="R2990" s="26">
        <f>IF($D2990="","",IFERROR(VLOOKUP($D2990,库存台账!$A$5:$Y$1204,11,0),0))</f>
        <v/>
      </c>
      <c r="S2990" s="26">
        <f>IF($D2990="","",ROUND(N($J2990)*N($R2990),0))</f>
        <v/>
      </c>
      <c r="T2990" s="26">
        <f>IF($D2990="","",IF($K2990&lt;&gt;"对外销售","",ROUND($Q2990-$S2990,0)))</f>
        <v/>
      </c>
      <c r="U2990" s="17" t="n"/>
      <c r="V2990" s="17" t="n"/>
      <c r="W2990" s="24">
        <f>IF($D2990="","",IF($E2990="※编码不在物料档案里","※物料编码不在档案里",IF(N($J2990)&lt;=0,"※出库数量要大于 0",IF($K2990="","※没填去向类型",IF($L2990="","※没填去向矿区",IF(AND($C2990&lt;&gt;"",$C2990&lt;=结账锁),"※日期早于已结账截止日，不能再录",IF(AND($K2990="自用消耗",COUNTIF({"一矿区";"二矿区"},$L2990)=0),"※自用消耗的去向只能是一矿区或二矿区",IF(AND($K2990="对外销售",COUNTIF({"三矿区";"六矿区"},$L2990)=0),"※对外销售的去向只能是三矿区或六矿区",IF(AND($K2990="对外销售",ROUND($Q2990,0)=0),"※外销却没有售价，请填实际售价",IF(AND($K2990="对外销售",$T2990&lt;&gt;"",$T2990&lt;0),"※这一笔外销是亏的，请核对售价",IF(IFERROR(VLOOKUP($D2990,库存台账!$A$5:$Y$1204,24,0),0)&lt;-0.001,"※这个物料账面已经变成负数了，查一下是不是漏记入库","")))))))))))</f>
        <v/>
      </c>
    </row>
    <row r="2991">
      <c r="A2991" s="24">
        <f>IF($D2991="","",COUNTA($D$4:$D2991))</f>
        <v/>
      </c>
      <c r="B2991" s="17" t="n"/>
      <c r="C2991" s="30" t="n"/>
      <c r="D2991" s="17" t="n"/>
      <c r="E2991" s="24">
        <f>IF($D2991="","",IFERROR(VLOOKUP($D2991,物料档案!$A$4:$P$1203,3,0),"※编码不在物料档案里"))</f>
        <v/>
      </c>
      <c r="F2991" s="24">
        <f>IF($D2991="","",IFERROR(VLOOKUP($D2991,物料档案!$A$4:$P$1203,4,0),"※编码不在物料档案里"))</f>
        <v/>
      </c>
      <c r="G2991" s="24">
        <f>IF($D2991="","",IFERROR(VLOOKUP($D2991,物料档案!$A$4:$P$1203,5,0),"※编码不在物料档案里"))</f>
        <v/>
      </c>
      <c r="H2991" s="24">
        <f>IF($D2991="","",IFERROR(VLOOKUP($D2991,物料档案!$A$4:$P$1203,2,0),"※编码不在物料档案里"))</f>
        <v/>
      </c>
      <c r="I2991" s="24">
        <f>IF($D2991="","",IFERROR(VLOOKUP($D2991,物料档案!$A$4:$P$1203,6,0),"※编码不在物料档案里"))</f>
        <v/>
      </c>
      <c r="J2991" s="23" t="n"/>
      <c r="K2991" s="17" t="n"/>
      <c r="L2991" s="17" t="n"/>
      <c r="M2991" s="17" t="n"/>
      <c r="N2991" s="17" t="n"/>
      <c r="O2991" s="26">
        <f>IF($D2991="","",IFERROR(VLOOKUP($D2991,物料档案!$A$4:$P$1203,10,0),0))</f>
        <v/>
      </c>
      <c r="P2991" s="32" t="n"/>
      <c r="Q2991" s="26">
        <f>IF($D2991="","",IF($K2991&lt;&gt;"对外销售",0,ROUND(N($J2991)*IF($P2991="",N($O2991),N($P2991)),0)))</f>
        <v/>
      </c>
      <c r="R2991" s="26">
        <f>IF($D2991="","",IFERROR(VLOOKUP($D2991,库存台账!$A$5:$Y$1204,11,0),0))</f>
        <v/>
      </c>
      <c r="S2991" s="26">
        <f>IF($D2991="","",ROUND(N($J2991)*N($R2991),0))</f>
        <v/>
      </c>
      <c r="T2991" s="26">
        <f>IF($D2991="","",IF($K2991&lt;&gt;"对外销售","",ROUND($Q2991-$S2991,0)))</f>
        <v/>
      </c>
      <c r="U2991" s="17" t="n"/>
      <c r="V2991" s="17" t="n"/>
      <c r="W2991" s="24">
        <f>IF($D2991="","",IF($E2991="※编码不在物料档案里","※物料编码不在档案里",IF(N($J2991)&lt;=0,"※出库数量要大于 0",IF($K2991="","※没填去向类型",IF($L2991="","※没填去向矿区",IF(AND($C2991&lt;&gt;"",$C2991&lt;=结账锁),"※日期早于已结账截止日，不能再录",IF(AND($K2991="自用消耗",COUNTIF({"一矿区";"二矿区"},$L2991)=0),"※自用消耗的去向只能是一矿区或二矿区",IF(AND($K2991="对外销售",COUNTIF({"三矿区";"六矿区"},$L2991)=0),"※对外销售的去向只能是三矿区或六矿区",IF(AND($K2991="对外销售",ROUND($Q2991,0)=0),"※外销却没有售价，请填实际售价",IF(AND($K2991="对外销售",$T2991&lt;&gt;"",$T2991&lt;0),"※这一笔外销是亏的，请核对售价",IF(IFERROR(VLOOKUP($D2991,库存台账!$A$5:$Y$1204,24,0),0)&lt;-0.001,"※这个物料账面已经变成负数了，查一下是不是漏记入库","")))))))))))</f>
        <v/>
      </c>
    </row>
    <row r="2992">
      <c r="A2992" s="24">
        <f>IF($D2992="","",COUNTA($D$4:$D2992))</f>
        <v/>
      </c>
      <c r="B2992" s="17" t="n"/>
      <c r="C2992" s="30" t="n"/>
      <c r="D2992" s="17" t="n"/>
      <c r="E2992" s="24">
        <f>IF($D2992="","",IFERROR(VLOOKUP($D2992,物料档案!$A$4:$P$1203,3,0),"※编码不在物料档案里"))</f>
        <v/>
      </c>
      <c r="F2992" s="24">
        <f>IF($D2992="","",IFERROR(VLOOKUP($D2992,物料档案!$A$4:$P$1203,4,0),"※编码不在物料档案里"))</f>
        <v/>
      </c>
      <c r="G2992" s="24">
        <f>IF($D2992="","",IFERROR(VLOOKUP($D2992,物料档案!$A$4:$P$1203,5,0),"※编码不在物料档案里"))</f>
        <v/>
      </c>
      <c r="H2992" s="24">
        <f>IF($D2992="","",IFERROR(VLOOKUP($D2992,物料档案!$A$4:$P$1203,2,0),"※编码不在物料档案里"))</f>
        <v/>
      </c>
      <c r="I2992" s="24">
        <f>IF($D2992="","",IFERROR(VLOOKUP($D2992,物料档案!$A$4:$P$1203,6,0),"※编码不在物料档案里"))</f>
        <v/>
      </c>
      <c r="J2992" s="23" t="n"/>
      <c r="K2992" s="17" t="n"/>
      <c r="L2992" s="17" t="n"/>
      <c r="M2992" s="17" t="n"/>
      <c r="N2992" s="17" t="n"/>
      <c r="O2992" s="26">
        <f>IF($D2992="","",IFERROR(VLOOKUP($D2992,物料档案!$A$4:$P$1203,10,0),0))</f>
        <v/>
      </c>
      <c r="P2992" s="32" t="n"/>
      <c r="Q2992" s="26">
        <f>IF($D2992="","",IF($K2992&lt;&gt;"对外销售",0,ROUND(N($J2992)*IF($P2992="",N($O2992),N($P2992)),0)))</f>
        <v/>
      </c>
      <c r="R2992" s="26">
        <f>IF($D2992="","",IFERROR(VLOOKUP($D2992,库存台账!$A$5:$Y$1204,11,0),0))</f>
        <v/>
      </c>
      <c r="S2992" s="26">
        <f>IF($D2992="","",ROUND(N($J2992)*N($R2992),0))</f>
        <v/>
      </c>
      <c r="T2992" s="26">
        <f>IF($D2992="","",IF($K2992&lt;&gt;"对外销售","",ROUND($Q2992-$S2992,0)))</f>
        <v/>
      </c>
      <c r="U2992" s="17" t="n"/>
      <c r="V2992" s="17" t="n"/>
      <c r="W2992" s="24">
        <f>IF($D2992="","",IF($E2992="※编码不在物料档案里","※物料编码不在档案里",IF(N($J2992)&lt;=0,"※出库数量要大于 0",IF($K2992="","※没填去向类型",IF($L2992="","※没填去向矿区",IF(AND($C2992&lt;&gt;"",$C2992&lt;=结账锁),"※日期早于已结账截止日，不能再录",IF(AND($K2992="自用消耗",COUNTIF({"一矿区";"二矿区"},$L2992)=0),"※自用消耗的去向只能是一矿区或二矿区",IF(AND($K2992="对外销售",COUNTIF({"三矿区";"六矿区"},$L2992)=0),"※对外销售的去向只能是三矿区或六矿区",IF(AND($K2992="对外销售",ROUND($Q2992,0)=0),"※外销却没有售价，请填实际售价",IF(AND($K2992="对外销售",$T2992&lt;&gt;"",$T2992&lt;0),"※这一笔外销是亏的，请核对售价",IF(IFERROR(VLOOKUP($D2992,库存台账!$A$5:$Y$1204,24,0),0)&lt;-0.001,"※这个物料账面已经变成负数了，查一下是不是漏记入库","")))))))))))</f>
        <v/>
      </c>
    </row>
    <row r="2993">
      <c r="A2993" s="24">
        <f>IF($D2993="","",COUNTA($D$4:$D2993))</f>
        <v/>
      </c>
      <c r="B2993" s="17" t="n"/>
      <c r="C2993" s="30" t="n"/>
      <c r="D2993" s="17" t="n"/>
      <c r="E2993" s="24">
        <f>IF($D2993="","",IFERROR(VLOOKUP($D2993,物料档案!$A$4:$P$1203,3,0),"※编码不在物料档案里"))</f>
        <v/>
      </c>
      <c r="F2993" s="24">
        <f>IF($D2993="","",IFERROR(VLOOKUP($D2993,物料档案!$A$4:$P$1203,4,0),"※编码不在物料档案里"))</f>
        <v/>
      </c>
      <c r="G2993" s="24">
        <f>IF($D2993="","",IFERROR(VLOOKUP($D2993,物料档案!$A$4:$P$1203,5,0),"※编码不在物料档案里"))</f>
        <v/>
      </c>
      <c r="H2993" s="24">
        <f>IF($D2993="","",IFERROR(VLOOKUP($D2993,物料档案!$A$4:$P$1203,2,0),"※编码不在物料档案里"))</f>
        <v/>
      </c>
      <c r="I2993" s="24">
        <f>IF($D2993="","",IFERROR(VLOOKUP($D2993,物料档案!$A$4:$P$1203,6,0),"※编码不在物料档案里"))</f>
        <v/>
      </c>
      <c r="J2993" s="23" t="n"/>
      <c r="K2993" s="17" t="n"/>
      <c r="L2993" s="17" t="n"/>
      <c r="M2993" s="17" t="n"/>
      <c r="N2993" s="17" t="n"/>
      <c r="O2993" s="26">
        <f>IF($D2993="","",IFERROR(VLOOKUP($D2993,物料档案!$A$4:$P$1203,10,0),0))</f>
        <v/>
      </c>
      <c r="P2993" s="32" t="n"/>
      <c r="Q2993" s="26">
        <f>IF($D2993="","",IF($K2993&lt;&gt;"对外销售",0,ROUND(N($J2993)*IF($P2993="",N($O2993),N($P2993)),0)))</f>
        <v/>
      </c>
      <c r="R2993" s="26">
        <f>IF($D2993="","",IFERROR(VLOOKUP($D2993,库存台账!$A$5:$Y$1204,11,0),0))</f>
        <v/>
      </c>
      <c r="S2993" s="26">
        <f>IF($D2993="","",ROUND(N($J2993)*N($R2993),0))</f>
        <v/>
      </c>
      <c r="T2993" s="26">
        <f>IF($D2993="","",IF($K2993&lt;&gt;"对外销售","",ROUND($Q2993-$S2993,0)))</f>
        <v/>
      </c>
      <c r="U2993" s="17" t="n"/>
      <c r="V2993" s="17" t="n"/>
      <c r="W2993" s="24">
        <f>IF($D2993="","",IF($E2993="※编码不在物料档案里","※物料编码不在档案里",IF(N($J2993)&lt;=0,"※出库数量要大于 0",IF($K2993="","※没填去向类型",IF($L2993="","※没填去向矿区",IF(AND($C2993&lt;&gt;"",$C2993&lt;=结账锁),"※日期早于已结账截止日，不能再录",IF(AND($K2993="自用消耗",COUNTIF({"一矿区";"二矿区"},$L2993)=0),"※自用消耗的去向只能是一矿区或二矿区",IF(AND($K2993="对外销售",COUNTIF({"三矿区";"六矿区"},$L2993)=0),"※对外销售的去向只能是三矿区或六矿区",IF(AND($K2993="对外销售",ROUND($Q2993,0)=0),"※外销却没有售价，请填实际售价",IF(AND($K2993="对外销售",$T2993&lt;&gt;"",$T2993&lt;0),"※这一笔外销是亏的，请核对售价",IF(IFERROR(VLOOKUP($D2993,库存台账!$A$5:$Y$1204,24,0),0)&lt;-0.001,"※这个物料账面已经变成负数了，查一下是不是漏记入库","")))))))))))</f>
        <v/>
      </c>
    </row>
    <row r="2994">
      <c r="A2994" s="24">
        <f>IF($D2994="","",COUNTA($D$4:$D2994))</f>
        <v/>
      </c>
      <c r="B2994" s="17" t="n"/>
      <c r="C2994" s="30" t="n"/>
      <c r="D2994" s="17" t="n"/>
      <c r="E2994" s="24">
        <f>IF($D2994="","",IFERROR(VLOOKUP($D2994,物料档案!$A$4:$P$1203,3,0),"※编码不在物料档案里"))</f>
        <v/>
      </c>
      <c r="F2994" s="24">
        <f>IF($D2994="","",IFERROR(VLOOKUP($D2994,物料档案!$A$4:$P$1203,4,0),"※编码不在物料档案里"))</f>
        <v/>
      </c>
      <c r="G2994" s="24">
        <f>IF($D2994="","",IFERROR(VLOOKUP($D2994,物料档案!$A$4:$P$1203,5,0),"※编码不在物料档案里"))</f>
        <v/>
      </c>
      <c r="H2994" s="24">
        <f>IF($D2994="","",IFERROR(VLOOKUP($D2994,物料档案!$A$4:$P$1203,2,0),"※编码不在物料档案里"))</f>
        <v/>
      </c>
      <c r="I2994" s="24">
        <f>IF($D2994="","",IFERROR(VLOOKUP($D2994,物料档案!$A$4:$P$1203,6,0),"※编码不在物料档案里"))</f>
        <v/>
      </c>
      <c r="J2994" s="23" t="n"/>
      <c r="K2994" s="17" t="n"/>
      <c r="L2994" s="17" t="n"/>
      <c r="M2994" s="17" t="n"/>
      <c r="N2994" s="17" t="n"/>
      <c r="O2994" s="26">
        <f>IF($D2994="","",IFERROR(VLOOKUP($D2994,物料档案!$A$4:$P$1203,10,0),0))</f>
        <v/>
      </c>
      <c r="P2994" s="32" t="n"/>
      <c r="Q2994" s="26">
        <f>IF($D2994="","",IF($K2994&lt;&gt;"对外销售",0,ROUND(N($J2994)*IF($P2994="",N($O2994),N($P2994)),0)))</f>
        <v/>
      </c>
      <c r="R2994" s="26">
        <f>IF($D2994="","",IFERROR(VLOOKUP($D2994,库存台账!$A$5:$Y$1204,11,0),0))</f>
        <v/>
      </c>
      <c r="S2994" s="26">
        <f>IF($D2994="","",ROUND(N($J2994)*N($R2994),0))</f>
        <v/>
      </c>
      <c r="T2994" s="26">
        <f>IF($D2994="","",IF($K2994&lt;&gt;"对外销售","",ROUND($Q2994-$S2994,0)))</f>
        <v/>
      </c>
      <c r="U2994" s="17" t="n"/>
      <c r="V2994" s="17" t="n"/>
      <c r="W2994" s="24">
        <f>IF($D2994="","",IF($E2994="※编码不在物料档案里","※物料编码不在档案里",IF(N($J2994)&lt;=0,"※出库数量要大于 0",IF($K2994="","※没填去向类型",IF($L2994="","※没填去向矿区",IF(AND($C2994&lt;&gt;"",$C2994&lt;=结账锁),"※日期早于已结账截止日，不能再录",IF(AND($K2994="自用消耗",COUNTIF({"一矿区";"二矿区"},$L2994)=0),"※自用消耗的去向只能是一矿区或二矿区",IF(AND($K2994="对外销售",COUNTIF({"三矿区";"六矿区"},$L2994)=0),"※对外销售的去向只能是三矿区或六矿区",IF(AND($K2994="对外销售",ROUND($Q2994,0)=0),"※外销却没有售价，请填实际售价",IF(AND($K2994="对外销售",$T2994&lt;&gt;"",$T2994&lt;0),"※这一笔外销是亏的，请核对售价",IF(IFERROR(VLOOKUP($D2994,库存台账!$A$5:$Y$1204,24,0),0)&lt;-0.001,"※这个物料账面已经变成负数了，查一下是不是漏记入库","")))))))))))</f>
        <v/>
      </c>
    </row>
    <row r="2995">
      <c r="A2995" s="24">
        <f>IF($D2995="","",COUNTA($D$4:$D2995))</f>
        <v/>
      </c>
      <c r="B2995" s="17" t="n"/>
      <c r="C2995" s="30" t="n"/>
      <c r="D2995" s="17" t="n"/>
      <c r="E2995" s="24">
        <f>IF($D2995="","",IFERROR(VLOOKUP($D2995,物料档案!$A$4:$P$1203,3,0),"※编码不在物料档案里"))</f>
        <v/>
      </c>
      <c r="F2995" s="24">
        <f>IF($D2995="","",IFERROR(VLOOKUP($D2995,物料档案!$A$4:$P$1203,4,0),"※编码不在物料档案里"))</f>
        <v/>
      </c>
      <c r="G2995" s="24">
        <f>IF($D2995="","",IFERROR(VLOOKUP($D2995,物料档案!$A$4:$P$1203,5,0),"※编码不在物料档案里"))</f>
        <v/>
      </c>
      <c r="H2995" s="24">
        <f>IF($D2995="","",IFERROR(VLOOKUP($D2995,物料档案!$A$4:$P$1203,2,0),"※编码不在物料档案里"))</f>
        <v/>
      </c>
      <c r="I2995" s="24">
        <f>IF($D2995="","",IFERROR(VLOOKUP($D2995,物料档案!$A$4:$P$1203,6,0),"※编码不在物料档案里"))</f>
        <v/>
      </c>
      <c r="J2995" s="23" t="n"/>
      <c r="K2995" s="17" t="n"/>
      <c r="L2995" s="17" t="n"/>
      <c r="M2995" s="17" t="n"/>
      <c r="N2995" s="17" t="n"/>
      <c r="O2995" s="26">
        <f>IF($D2995="","",IFERROR(VLOOKUP($D2995,物料档案!$A$4:$P$1203,10,0),0))</f>
        <v/>
      </c>
      <c r="P2995" s="32" t="n"/>
      <c r="Q2995" s="26">
        <f>IF($D2995="","",IF($K2995&lt;&gt;"对外销售",0,ROUND(N($J2995)*IF($P2995="",N($O2995),N($P2995)),0)))</f>
        <v/>
      </c>
      <c r="R2995" s="26">
        <f>IF($D2995="","",IFERROR(VLOOKUP($D2995,库存台账!$A$5:$Y$1204,11,0),0))</f>
        <v/>
      </c>
      <c r="S2995" s="26">
        <f>IF($D2995="","",ROUND(N($J2995)*N($R2995),0))</f>
        <v/>
      </c>
      <c r="T2995" s="26">
        <f>IF($D2995="","",IF($K2995&lt;&gt;"对外销售","",ROUND($Q2995-$S2995,0)))</f>
        <v/>
      </c>
      <c r="U2995" s="17" t="n"/>
      <c r="V2995" s="17" t="n"/>
      <c r="W2995" s="24">
        <f>IF($D2995="","",IF($E2995="※编码不在物料档案里","※物料编码不在档案里",IF(N($J2995)&lt;=0,"※出库数量要大于 0",IF($K2995="","※没填去向类型",IF($L2995="","※没填去向矿区",IF(AND($C2995&lt;&gt;"",$C2995&lt;=结账锁),"※日期早于已结账截止日，不能再录",IF(AND($K2995="自用消耗",COUNTIF({"一矿区";"二矿区"},$L2995)=0),"※自用消耗的去向只能是一矿区或二矿区",IF(AND($K2995="对外销售",COUNTIF({"三矿区";"六矿区"},$L2995)=0),"※对外销售的去向只能是三矿区或六矿区",IF(AND($K2995="对外销售",ROUND($Q2995,0)=0),"※外销却没有售价，请填实际售价",IF(AND($K2995="对外销售",$T2995&lt;&gt;"",$T2995&lt;0),"※这一笔外销是亏的，请核对售价",IF(IFERROR(VLOOKUP($D2995,库存台账!$A$5:$Y$1204,24,0),0)&lt;-0.001,"※这个物料账面已经变成负数了，查一下是不是漏记入库","")))))))))))</f>
        <v/>
      </c>
    </row>
    <row r="2996">
      <c r="A2996" s="24">
        <f>IF($D2996="","",COUNTA($D$4:$D2996))</f>
        <v/>
      </c>
      <c r="B2996" s="17" t="n"/>
      <c r="C2996" s="30" t="n"/>
      <c r="D2996" s="17" t="n"/>
      <c r="E2996" s="24">
        <f>IF($D2996="","",IFERROR(VLOOKUP($D2996,物料档案!$A$4:$P$1203,3,0),"※编码不在物料档案里"))</f>
        <v/>
      </c>
      <c r="F2996" s="24">
        <f>IF($D2996="","",IFERROR(VLOOKUP($D2996,物料档案!$A$4:$P$1203,4,0),"※编码不在物料档案里"))</f>
        <v/>
      </c>
      <c r="G2996" s="24">
        <f>IF($D2996="","",IFERROR(VLOOKUP($D2996,物料档案!$A$4:$P$1203,5,0),"※编码不在物料档案里"))</f>
        <v/>
      </c>
      <c r="H2996" s="24">
        <f>IF($D2996="","",IFERROR(VLOOKUP($D2996,物料档案!$A$4:$P$1203,2,0),"※编码不在物料档案里"))</f>
        <v/>
      </c>
      <c r="I2996" s="24">
        <f>IF($D2996="","",IFERROR(VLOOKUP($D2996,物料档案!$A$4:$P$1203,6,0),"※编码不在物料档案里"))</f>
        <v/>
      </c>
      <c r="J2996" s="23" t="n"/>
      <c r="K2996" s="17" t="n"/>
      <c r="L2996" s="17" t="n"/>
      <c r="M2996" s="17" t="n"/>
      <c r="N2996" s="17" t="n"/>
      <c r="O2996" s="26">
        <f>IF($D2996="","",IFERROR(VLOOKUP($D2996,物料档案!$A$4:$P$1203,10,0),0))</f>
        <v/>
      </c>
      <c r="P2996" s="32" t="n"/>
      <c r="Q2996" s="26">
        <f>IF($D2996="","",IF($K2996&lt;&gt;"对外销售",0,ROUND(N($J2996)*IF($P2996="",N($O2996),N($P2996)),0)))</f>
        <v/>
      </c>
      <c r="R2996" s="26">
        <f>IF($D2996="","",IFERROR(VLOOKUP($D2996,库存台账!$A$5:$Y$1204,11,0),0))</f>
        <v/>
      </c>
      <c r="S2996" s="26">
        <f>IF($D2996="","",ROUND(N($J2996)*N($R2996),0))</f>
        <v/>
      </c>
      <c r="T2996" s="26">
        <f>IF($D2996="","",IF($K2996&lt;&gt;"对外销售","",ROUND($Q2996-$S2996,0)))</f>
        <v/>
      </c>
      <c r="U2996" s="17" t="n"/>
      <c r="V2996" s="17" t="n"/>
      <c r="W2996" s="24">
        <f>IF($D2996="","",IF($E2996="※编码不在物料档案里","※物料编码不在档案里",IF(N($J2996)&lt;=0,"※出库数量要大于 0",IF($K2996="","※没填去向类型",IF($L2996="","※没填去向矿区",IF(AND($C2996&lt;&gt;"",$C2996&lt;=结账锁),"※日期早于已结账截止日，不能再录",IF(AND($K2996="自用消耗",COUNTIF({"一矿区";"二矿区"},$L2996)=0),"※自用消耗的去向只能是一矿区或二矿区",IF(AND($K2996="对外销售",COUNTIF({"三矿区";"六矿区"},$L2996)=0),"※对外销售的去向只能是三矿区或六矿区",IF(AND($K2996="对外销售",ROUND($Q2996,0)=0),"※外销却没有售价，请填实际售价",IF(AND($K2996="对外销售",$T2996&lt;&gt;"",$T2996&lt;0),"※这一笔外销是亏的，请核对售价",IF(IFERROR(VLOOKUP($D2996,库存台账!$A$5:$Y$1204,24,0),0)&lt;-0.001,"※这个物料账面已经变成负数了，查一下是不是漏记入库","")))))))))))</f>
        <v/>
      </c>
    </row>
    <row r="2997">
      <c r="A2997" s="24">
        <f>IF($D2997="","",COUNTA($D$4:$D2997))</f>
        <v/>
      </c>
      <c r="B2997" s="17" t="n"/>
      <c r="C2997" s="30" t="n"/>
      <c r="D2997" s="17" t="n"/>
      <c r="E2997" s="24">
        <f>IF($D2997="","",IFERROR(VLOOKUP($D2997,物料档案!$A$4:$P$1203,3,0),"※编码不在物料档案里"))</f>
        <v/>
      </c>
      <c r="F2997" s="24">
        <f>IF($D2997="","",IFERROR(VLOOKUP($D2997,物料档案!$A$4:$P$1203,4,0),"※编码不在物料档案里"))</f>
        <v/>
      </c>
      <c r="G2997" s="24">
        <f>IF($D2997="","",IFERROR(VLOOKUP($D2997,物料档案!$A$4:$P$1203,5,0),"※编码不在物料档案里"))</f>
        <v/>
      </c>
      <c r="H2997" s="24">
        <f>IF($D2997="","",IFERROR(VLOOKUP($D2997,物料档案!$A$4:$P$1203,2,0),"※编码不在物料档案里"))</f>
        <v/>
      </c>
      <c r="I2997" s="24">
        <f>IF($D2997="","",IFERROR(VLOOKUP($D2997,物料档案!$A$4:$P$1203,6,0),"※编码不在物料档案里"))</f>
        <v/>
      </c>
      <c r="J2997" s="23" t="n"/>
      <c r="K2997" s="17" t="n"/>
      <c r="L2997" s="17" t="n"/>
      <c r="M2997" s="17" t="n"/>
      <c r="N2997" s="17" t="n"/>
      <c r="O2997" s="26">
        <f>IF($D2997="","",IFERROR(VLOOKUP($D2997,物料档案!$A$4:$P$1203,10,0),0))</f>
        <v/>
      </c>
      <c r="P2997" s="32" t="n"/>
      <c r="Q2997" s="26">
        <f>IF($D2997="","",IF($K2997&lt;&gt;"对外销售",0,ROUND(N($J2997)*IF($P2997="",N($O2997),N($P2997)),0)))</f>
        <v/>
      </c>
      <c r="R2997" s="26">
        <f>IF($D2997="","",IFERROR(VLOOKUP($D2997,库存台账!$A$5:$Y$1204,11,0),0))</f>
        <v/>
      </c>
      <c r="S2997" s="26">
        <f>IF($D2997="","",ROUND(N($J2997)*N($R2997),0))</f>
        <v/>
      </c>
      <c r="T2997" s="26">
        <f>IF($D2997="","",IF($K2997&lt;&gt;"对外销售","",ROUND($Q2997-$S2997,0)))</f>
        <v/>
      </c>
      <c r="U2997" s="17" t="n"/>
      <c r="V2997" s="17" t="n"/>
      <c r="W2997" s="24">
        <f>IF($D2997="","",IF($E2997="※编码不在物料档案里","※物料编码不在档案里",IF(N($J2997)&lt;=0,"※出库数量要大于 0",IF($K2997="","※没填去向类型",IF($L2997="","※没填去向矿区",IF(AND($C2997&lt;&gt;"",$C2997&lt;=结账锁),"※日期早于已结账截止日，不能再录",IF(AND($K2997="自用消耗",COUNTIF({"一矿区";"二矿区"},$L2997)=0),"※自用消耗的去向只能是一矿区或二矿区",IF(AND($K2997="对外销售",COUNTIF({"三矿区";"六矿区"},$L2997)=0),"※对外销售的去向只能是三矿区或六矿区",IF(AND($K2997="对外销售",ROUND($Q2997,0)=0),"※外销却没有售价，请填实际售价",IF(AND($K2997="对外销售",$T2997&lt;&gt;"",$T2997&lt;0),"※这一笔外销是亏的，请核对售价",IF(IFERROR(VLOOKUP($D2997,库存台账!$A$5:$Y$1204,24,0),0)&lt;-0.001,"※这个物料账面已经变成负数了，查一下是不是漏记入库","")))))))))))</f>
        <v/>
      </c>
    </row>
    <row r="2998">
      <c r="A2998" s="24">
        <f>IF($D2998="","",COUNTA($D$4:$D2998))</f>
        <v/>
      </c>
      <c r="B2998" s="17" t="n"/>
      <c r="C2998" s="30" t="n"/>
      <c r="D2998" s="17" t="n"/>
      <c r="E2998" s="24">
        <f>IF($D2998="","",IFERROR(VLOOKUP($D2998,物料档案!$A$4:$P$1203,3,0),"※编码不在物料档案里"))</f>
        <v/>
      </c>
      <c r="F2998" s="24">
        <f>IF($D2998="","",IFERROR(VLOOKUP($D2998,物料档案!$A$4:$P$1203,4,0),"※编码不在物料档案里"))</f>
        <v/>
      </c>
      <c r="G2998" s="24">
        <f>IF($D2998="","",IFERROR(VLOOKUP($D2998,物料档案!$A$4:$P$1203,5,0),"※编码不在物料档案里"))</f>
        <v/>
      </c>
      <c r="H2998" s="24">
        <f>IF($D2998="","",IFERROR(VLOOKUP($D2998,物料档案!$A$4:$P$1203,2,0),"※编码不在物料档案里"))</f>
        <v/>
      </c>
      <c r="I2998" s="24">
        <f>IF($D2998="","",IFERROR(VLOOKUP($D2998,物料档案!$A$4:$P$1203,6,0),"※编码不在物料档案里"))</f>
        <v/>
      </c>
      <c r="J2998" s="23" t="n"/>
      <c r="K2998" s="17" t="n"/>
      <c r="L2998" s="17" t="n"/>
      <c r="M2998" s="17" t="n"/>
      <c r="N2998" s="17" t="n"/>
      <c r="O2998" s="26">
        <f>IF($D2998="","",IFERROR(VLOOKUP($D2998,物料档案!$A$4:$P$1203,10,0),0))</f>
        <v/>
      </c>
      <c r="P2998" s="32" t="n"/>
      <c r="Q2998" s="26">
        <f>IF($D2998="","",IF($K2998&lt;&gt;"对外销售",0,ROUND(N($J2998)*IF($P2998="",N($O2998),N($P2998)),0)))</f>
        <v/>
      </c>
      <c r="R2998" s="26">
        <f>IF($D2998="","",IFERROR(VLOOKUP($D2998,库存台账!$A$5:$Y$1204,11,0),0))</f>
        <v/>
      </c>
      <c r="S2998" s="26">
        <f>IF($D2998="","",ROUND(N($J2998)*N($R2998),0))</f>
        <v/>
      </c>
      <c r="T2998" s="26">
        <f>IF($D2998="","",IF($K2998&lt;&gt;"对外销售","",ROUND($Q2998-$S2998,0)))</f>
        <v/>
      </c>
      <c r="U2998" s="17" t="n"/>
      <c r="V2998" s="17" t="n"/>
      <c r="W2998" s="24">
        <f>IF($D2998="","",IF($E2998="※编码不在物料档案里","※物料编码不在档案里",IF(N($J2998)&lt;=0,"※出库数量要大于 0",IF($K2998="","※没填去向类型",IF($L2998="","※没填去向矿区",IF(AND($C2998&lt;&gt;"",$C2998&lt;=结账锁),"※日期早于已结账截止日，不能再录",IF(AND($K2998="自用消耗",COUNTIF({"一矿区";"二矿区"},$L2998)=0),"※自用消耗的去向只能是一矿区或二矿区",IF(AND($K2998="对外销售",COUNTIF({"三矿区";"六矿区"},$L2998)=0),"※对外销售的去向只能是三矿区或六矿区",IF(AND($K2998="对外销售",ROUND($Q2998,0)=0),"※外销却没有售价，请填实际售价",IF(AND($K2998="对外销售",$T2998&lt;&gt;"",$T2998&lt;0),"※这一笔外销是亏的，请核对售价",IF(IFERROR(VLOOKUP($D2998,库存台账!$A$5:$Y$1204,24,0),0)&lt;-0.001,"※这个物料账面已经变成负数了，查一下是不是漏记入库","")))))))))))</f>
        <v/>
      </c>
    </row>
    <row r="2999">
      <c r="A2999" s="24">
        <f>IF($D2999="","",COUNTA($D$4:$D2999))</f>
        <v/>
      </c>
      <c r="B2999" s="17" t="n"/>
      <c r="C2999" s="30" t="n"/>
      <c r="D2999" s="17" t="n"/>
      <c r="E2999" s="24">
        <f>IF($D2999="","",IFERROR(VLOOKUP($D2999,物料档案!$A$4:$P$1203,3,0),"※编码不在物料档案里"))</f>
        <v/>
      </c>
      <c r="F2999" s="24">
        <f>IF($D2999="","",IFERROR(VLOOKUP($D2999,物料档案!$A$4:$P$1203,4,0),"※编码不在物料档案里"))</f>
        <v/>
      </c>
      <c r="G2999" s="24">
        <f>IF($D2999="","",IFERROR(VLOOKUP($D2999,物料档案!$A$4:$P$1203,5,0),"※编码不在物料档案里"))</f>
        <v/>
      </c>
      <c r="H2999" s="24">
        <f>IF($D2999="","",IFERROR(VLOOKUP($D2999,物料档案!$A$4:$P$1203,2,0),"※编码不在物料档案里"))</f>
        <v/>
      </c>
      <c r="I2999" s="24">
        <f>IF($D2999="","",IFERROR(VLOOKUP($D2999,物料档案!$A$4:$P$1203,6,0),"※编码不在物料档案里"))</f>
        <v/>
      </c>
      <c r="J2999" s="23" t="n"/>
      <c r="K2999" s="17" t="n"/>
      <c r="L2999" s="17" t="n"/>
      <c r="M2999" s="17" t="n"/>
      <c r="N2999" s="17" t="n"/>
      <c r="O2999" s="26">
        <f>IF($D2999="","",IFERROR(VLOOKUP($D2999,物料档案!$A$4:$P$1203,10,0),0))</f>
        <v/>
      </c>
      <c r="P2999" s="32" t="n"/>
      <c r="Q2999" s="26">
        <f>IF($D2999="","",IF($K2999&lt;&gt;"对外销售",0,ROUND(N($J2999)*IF($P2999="",N($O2999),N($P2999)),0)))</f>
        <v/>
      </c>
      <c r="R2999" s="26">
        <f>IF($D2999="","",IFERROR(VLOOKUP($D2999,库存台账!$A$5:$Y$1204,11,0),0))</f>
        <v/>
      </c>
      <c r="S2999" s="26">
        <f>IF($D2999="","",ROUND(N($J2999)*N($R2999),0))</f>
        <v/>
      </c>
      <c r="T2999" s="26">
        <f>IF($D2999="","",IF($K2999&lt;&gt;"对外销售","",ROUND($Q2999-$S2999,0)))</f>
        <v/>
      </c>
      <c r="U2999" s="17" t="n"/>
      <c r="V2999" s="17" t="n"/>
      <c r="W2999" s="24">
        <f>IF($D2999="","",IF($E2999="※编码不在物料档案里","※物料编码不在档案里",IF(N($J2999)&lt;=0,"※出库数量要大于 0",IF($K2999="","※没填去向类型",IF($L2999="","※没填去向矿区",IF(AND($C2999&lt;&gt;"",$C2999&lt;=结账锁),"※日期早于已结账截止日，不能再录",IF(AND($K2999="自用消耗",COUNTIF({"一矿区";"二矿区"},$L2999)=0),"※自用消耗的去向只能是一矿区或二矿区",IF(AND($K2999="对外销售",COUNTIF({"三矿区";"六矿区"},$L2999)=0),"※对外销售的去向只能是三矿区或六矿区",IF(AND($K2999="对外销售",ROUND($Q2999,0)=0),"※外销却没有售价，请填实际售价",IF(AND($K2999="对外销售",$T2999&lt;&gt;"",$T2999&lt;0),"※这一笔外销是亏的，请核对售价",IF(IFERROR(VLOOKUP($D2999,库存台账!$A$5:$Y$1204,24,0),0)&lt;-0.001,"※这个物料账面已经变成负数了，查一下是不是漏记入库","")))))))))))</f>
        <v/>
      </c>
    </row>
    <row r="3000">
      <c r="A3000" s="24">
        <f>IF($D3000="","",COUNTA($D$4:$D3000))</f>
        <v/>
      </c>
      <c r="B3000" s="17" t="n"/>
      <c r="C3000" s="30" t="n"/>
      <c r="D3000" s="17" t="n"/>
      <c r="E3000" s="24">
        <f>IF($D3000="","",IFERROR(VLOOKUP($D3000,物料档案!$A$4:$P$1203,3,0),"※编码不在物料档案里"))</f>
        <v/>
      </c>
      <c r="F3000" s="24">
        <f>IF($D3000="","",IFERROR(VLOOKUP($D3000,物料档案!$A$4:$P$1203,4,0),"※编码不在物料档案里"))</f>
        <v/>
      </c>
      <c r="G3000" s="24">
        <f>IF($D3000="","",IFERROR(VLOOKUP($D3000,物料档案!$A$4:$P$1203,5,0),"※编码不在物料档案里"))</f>
        <v/>
      </c>
      <c r="H3000" s="24">
        <f>IF($D3000="","",IFERROR(VLOOKUP($D3000,物料档案!$A$4:$P$1203,2,0),"※编码不在物料档案里"))</f>
        <v/>
      </c>
      <c r="I3000" s="24">
        <f>IF($D3000="","",IFERROR(VLOOKUP($D3000,物料档案!$A$4:$P$1203,6,0),"※编码不在物料档案里"))</f>
        <v/>
      </c>
      <c r="J3000" s="23" t="n"/>
      <c r="K3000" s="17" t="n"/>
      <c r="L3000" s="17" t="n"/>
      <c r="M3000" s="17" t="n"/>
      <c r="N3000" s="17" t="n"/>
      <c r="O3000" s="26">
        <f>IF($D3000="","",IFERROR(VLOOKUP($D3000,物料档案!$A$4:$P$1203,10,0),0))</f>
        <v/>
      </c>
      <c r="P3000" s="32" t="n"/>
      <c r="Q3000" s="26">
        <f>IF($D3000="","",IF($K3000&lt;&gt;"对外销售",0,ROUND(N($J3000)*IF($P3000="",N($O3000),N($P3000)),0)))</f>
        <v/>
      </c>
      <c r="R3000" s="26">
        <f>IF($D3000="","",IFERROR(VLOOKUP($D3000,库存台账!$A$5:$Y$1204,11,0),0))</f>
        <v/>
      </c>
      <c r="S3000" s="26">
        <f>IF($D3000="","",ROUND(N($J3000)*N($R3000),0))</f>
        <v/>
      </c>
      <c r="T3000" s="26">
        <f>IF($D3000="","",IF($K3000&lt;&gt;"对外销售","",ROUND($Q3000-$S3000,0)))</f>
        <v/>
      </c>
      <c r="U3000" s="17" t="n"/>
      <c r="V3000" s="17" t="n"/>
      <c r="W3000" s="24">
        <f>IF($D3000="","",IF($E3000="※编码不在物料档案里","※物料编码不在档案里",IF(N($J3000)&lt;=0,"※出库数量要大于 0",IF($K3000="","※没填去向类型",IF($L3000="","※没填去向矿区",IF(AND($C3000&lt;&gt;"",$C3000&lt;=结账锁),"※日期早于已结账截止日，不能再录",IF(AND($K3000="自用消耗",COUNTIF({"一矿区";"二矿区"},$L3000)=0),"※自用消耗的去向只能是一矿区或二矿区",IF(AND($K3000="对外销售",COUNTIF({"三矿区";"六矿区"},$L3000)=0),"※对外销售的去向只能是三矿区或六矿区",IF(AND($K3000="对外销售",ROUND($Q3000,0)=0),"※外销却没有售价，请填实际售价",IF(AND($K3000="对外销售",$T3000&lt;&gt;"",$T3000&lt;0),"※这一笔外销是亏的，请核对售价",IF(IFERROR(VLOOKUP($D3000,库存台账!$A$5:$Y$1204,24,0),0)&lt;-0.001,"※这个物料账面已经变成负数了，查一下是不是漏记入库","")))))))))))</f>
        <v/>
      </c>
    </row>
    <row r="3001">
      <c r="A3001" s="24">
        <f>IF($D3001="","",COUNTA($D$4:$D3001))</f>
        <v/>
      </c>
      <c r="B3001" s="17" t="n"/>
      <c r="C3001" s="30" t="n"/>
      <c r="D3001" s="17" t="n"/>
      <c r="E3001" s="24">
        <f>IF($D3001="","",IFERROR(VLOOKUP($D3001,物料档案!$A$4:$P$1203,3,0),"※编码不在物料档案里"))</f>
        <v/>
      </c>
      <c r="F3001" s="24">
        <f>IF($D3001="","",IFERROR(VLOOKUP($D3001,物料档案!$A$4:$P$1203,4,0),"※编码不在物料档案里"))</f>
        <v/>
      </c>
      <c r="G3001" s="24">
        <f>IF($D3001="","",IFERROR(VLOOKUP($D3001,物料档案!$A$4:$P$1203,5,0),"※编码不在物料档案里"))</f>
        <v/>
      </c>
      <c r="H3001" s="24">
        <f>IF($D3001="","",IFERROR(VLOOKUP($D3001,物料档案!$A$4:$P$1203,2,0),"※编码不在物料档案里"))</f>
        <v/>
      </c>
      <c r="I3001" s="24">
        <f>IF($D3001="","",IFERROR(VLOOKUP($D3001,物料档案!$A$4:$P$1203,6,0),"※编码不在物料档案里"))</f>
        <v/>
      </c>
      <c r="J3001" s="23" t="n"/>
      <c r="K3001" s="17" t="n"/>
      <c r="L3001" s="17" t="n"/>
      <c r="M3001" s="17" t="n"/>
      <c r="N3001" s="17" t="n"/>
      <c r="O3001" s="26">
        <f>IF($D3001="","",IFERROR(VLOOKUP($D3001,物料档案!$A$4:$P$1203,10,0),0))</f>
        <v/>
      </c>
      <c r="P3001" s="32" t="n"/>
      <c r="Q3001" s="26">
        <f>IF($D3001="","",IF($K3001&lt;&gt;"对外销售",0,ROUND(N($J3001)*IF($P3001="",N($O3001),N($P3001)),0)))</f>
        <v/>
      </c>
      <c r="R3001" s="26">
        <f>IF($D3001="","",IFERROR(VLOOKUP($D3001,库存台账!$A$5:$Y$1204,11,0),0))</f>
        <v/>
      </c>
      <c r="S3001" s="26">
        <f>IF($D3001="","",ROUND(N($J3001)*N($R3001),0))</f>
        <v/>
      </c>
      <c r="T3001" s="26">
        <f>IF($D3001="","",IF($K3001&lt;&gt;"对外销售","",ROUND($Q3001-$S3001,0)))</f>
        <v/>
      </c>
      <c r="U3001" s="17" t="n"/>
      <c r="V3001" s="17" t="n"/>
      <c r="W3001" s="24">
        <f>IF($D3001="","",IF($E3001="※编码不在物料档案里","※物料编码不在档案里",IF(N($J3001)&lt;=0,"※出库数量要大于 0",IF($K3001="","※没填去向类型",IF($L3001="","※没填去向矿区",IF(AND($C3001&lt;&gt;"",$C3001&lt;=结账锁),"※日期早于已结账截止日，不能再录",IF(AND($K3001="自用消耗",COUNTIF({"一矿区";"二矿区"},$L3001)=0),"※自用消耗的去向只能是一矿区或二矿区",IF(AND($K3001="对外销售",COUNTIF({"三矿区";"六矿区"},$L3001)=0),"※对外销售的去向只能是三矿区或六矿区",IF(AND($K3001="对外销售",ROUND($Q3001,0)=0),"※外销却没有售价，请填实际售价",IF(AND($K3001="对外销售",$T3001&lt;&gt;"",$T3001&lt;0),"※这一笔外销是亏的，请核对售价",IF(IFERROR(VLOOKUP($D3001,库存台账!$A$5:$Y$1204,24,0),0)&lt;-0.001,"※这个物料账面已经变成负数了，查一下是不是漏记入库","")))))))))))</f>
        <v/>
      </c>
    </row>
    <row r="3002">
      <c r="A3002" s="24">
        <f>IF($D3002="","",COUNTA($D$4:$D3002))</f>
        <v/>
      </c>
      <c r="B3002" s="17" t="n"/>
      <c r="C3002" s="30" t="n"/>
      <c r="D3002" s="17" t="n"/>
      <c r="E3002" s="24">
        <f>IF($D3002="","",IFERROR(VLOOKUP($D3002,物料档案!$A$4:$P$1203,3,0),"※编码不在物料档案里"))</f>
        <v/>
      </c>
      <c r="F3002" s="24">
        <f>IF($D3002="","",IFERROR(VLOOKUP($D3002,物料档案!$A$4:$P$1203,4,0),"※编码不在物料档案里"))</f>
        <v/>
      </c>
      <c r="G3002" s="24">
        <f>IF($D3002="","",IFERROR(VLOOKUP($D3002,物料档案!$A$4:$P$1203,5,0),"※编码不在物料档案里"))</f>
        <v/>
      </c>
      <c r="H3002" s="24">
        <f>IF($D3002="","",IFERROR(VLOOKUP($D3002,物料档案!$A$4:$P$1203,2,0),"※编码不在物料档案里"))</f>
        <v/>
      </c>
      <c r="I3002" s="24">
        <f>IF($D3002="","",IFERROR(VLOOKUP($D3002,物料档案!$A$4:$P$1203,6,0),"※编码不在物料档案里"))</f>
        <v/>
      </c>
      <c r="J3002" s="23" t="n"/>
      <c r="K3002" s="17" t="n"/>
      <c r="L3002" s="17" t="n"/>
      <c r="M3002" s="17" t="n"/>
      <c r="N3002" s="17" t="n"/>
      <c r="O3002" s="26">
        <f>IF($D3002="","",IFERROR(VLOOKUP($D3002,物料档案!$A$4:$P$1203,10,0),0))</f>
        <v/>
      </c>
      <c r="P3002" s="32" t="n"/>
      <c r="Q3002" s="26">
        <f>IF($D3002="","",IF($K3002&lt;&gt;"对外销售",0,ROUND(N($J3002)*IF($P3002="",N($O3002),N($P3002)),0)))</f>
        <v/>
      </c>
      <c r="R3002" s="26">
        <f>IF($D3002="","",IFERROR(VLOOKUP($D3002,库存台账!$A$5:$Y$1204,11,0),0))</f>
        <v/>
      </c>
      <c r="S3002" s="26">
        <f>IF($D3002="","",ROUND(N($J3002)*N($R3002),0))</f>
        <v/>
      </c>
      <c r="T3002" s="26">
        <f>IF($D3002="","",IF($K3002&lt;&gt;"对外销售","",ROUND($Q3002-$S3002,0)))</f>
        <v/>
      </c>
      <c r="U3002" s="17" t="n"/>
      <c r="V3002" s="17" t="n"/>
      <c r="W3002" s="24">
        <f>IF($D3002="","",IF($E3002="※编码不在物料档案里","※物料编码不在档案里",IF(N($J3002)&lt;=0,"※出库数量要大于 0",IF($K3002="","※没填去向类型",IF($L3002="","※没填去向矿区",IF(AND($C3002&lt;&gt;"",$C3002&lt;=结账锁),"※日期早于已结账截止日，不能再录",IF(AND($K3002="自用消耗",COUNTIF({"一矿区";"二矿区"},$L3002)=0),"※自用消耗的去向只能是一矿区或二矿区",IF(AND($K3002="对外销售",COUNTIF({"三矿区";"六矿区"},$L3002)=0),"※对外销售的去向只能是三矿区或六矿区",IF(AND($K3002="对外销售",ROUND($Q3002,0)=0),"※外销却没有售价，请填实际售价",IF(AND($K3002="对外销售",$T3002&lt;&gt;"",$T3002&lt;0),"※这一笔外销是亏的，请核对售价",IF(IFERROR(VLOOKUP($D3002,库存台账!$A$5:$Y$1204,24,0),0)&lt;-0.001,"※这个物料账面已经变成负数了，查一下是不是漏记入库","")))))))))))</f>
        <v/>
      </c>
    </row>
    <row r="3003">
      <c r="A3003" s="24">
        <f>IF($D3003="","",COUNTA($D$4:$D3003))</f>
        <v/>
      </c>
      <c r="B3003" s="17" t="n"/>
      <c r="C3003" s="30" t="n"/>
      <c r="D3003" s="17" t="n"/>
      <c r="E3003" s="24">
        <f>IF($D3003="","",IFERROR(VLOOKUP($D3003,物料档案!$A$4:$P$1203,3,0),"※编码不在物料档案里"))</f>
        <v/>
      </c>
      <c r="F3003" s="24">
        <f>IF($D3003="","",IFERROR(VLOOKUP($D3003,物料档案!$A$4:$P$1203,4,0),"※编码不在物料档案里"))</f>
        <v/>
      </c>
      <c r="G3003" s="24">
        <f>IF($D3003="","",IFERROR(VLOOKUP($D3003,物料档案!$A$4:$P$1203,5,0),"※编码不在物料档案里"))</f>
        <v/>
      </c>
      <c r="H3003" s="24">
        <f>IF($D3003="","",IFERROR(VLOOKUP($D3003,物料档案!$A$4:$P$1203,2,0),"※编码不在物料档案里"))</f>
        <v/>
      </c>
      <c r="I3003" s="24">
        <f>IF($D3003="","",IFERROR(VLOOKUP($D3003,物料档案!$A$4:$P$1203,6,0),"※编码不在物料档案里"))</f>
        <v/>
      </c>
      <c r="J3003" s="23" t="n"/>
      <c r="K3003" s="17" t="n"/>
      <c r="L3003" s="17" t="n"/>
      <c r="M3003" s="17" t="n"/>
      <c r="N3003" s="17" t="n"/>
      <c r="O3003" s="26">
        <f>IF($D3003="","",IFERROR(VLOOKUP($D3003,物料档案!$A$4:$P$1203,10,0),0))</f>
        <v/>
      </c>
      <c r="P3003" s="32" t="n"/>
      <c r="Q3003" s="26">
        <f>IF($D3003="","",IF($K3003&lt;&gt;"对外销售",0,ROUND(N($J3003)*IF($P3003="",N($O3003),N($P3003)),0)))</f>
        <v/>
      </c>
      <c r="R3003" s="26">
        <f>IF($D3003="","",IFERROR(VLOOKUP($D3003,库存台账!$A$5:$Y$1204,11,0),0))</f>
        <v/>
      </c>
      <c r="S3003" s="26">
        <f>IF($D3003="","",ROUND(N($J3003)*N($R3003),0))</f>
        <v/>
      </c>
      <c r="T3003" s="26">
        <f>IF($D3003="","",IF($K3003&lt;&gt;"对外销售","",ROUND($Q3003-$S3003,0)))</f>
        <v/>
      </c>
      <c r="U3003" s="17" t="n"/>
      <c r="V3003" s="17" t="n"/>
      <c r="W3003" s="24">
        <f>IF($D3003="","",IF($E3003="※编码不在物料档案里","※物料编码不在档案里",IF(N($J3003)&lt;=0,"※出库数量要大于 0",IF($K3003="","※没填去向类型",IF($L3003="","※没填去向矿区",IF(AND($C3003&lt;&gt;"",$C3003&lt;=结账锁),"※日期早于已结账截止日，不能再录",IF(AND($K3003="自用消耗",COUNTIF({"一矿区";"二矿区"},$L3003)=0),"※自用消耗的去向只能是一矿区或二矿区",IF(AND($K3003="对外销售",COUNTIF({"三矿区";"六矿区"},$L3003)=0),"※对外销售的去向只能是三矿区或六矿区",IF(AND($K3003="对外销售",ROUND($Q3003,0)=0),"※外销却没有售价，请填实际售价",IF(AND($K3003="对外销售",$T3003&lt;&gt;"",$T3003&lt;0),"※这一笔外销是亏的，请核对售价",IF(IFERROR(VLOOKUP($D3003,库存台账!$A$5:$Y$1204,24,0),0)&lt;-0.001,"※这个物料账面已经变成负数了，查一下是不是漏记入库","")))))))))))</f>
        <v/>
      </c>
    </row>
    <row r="3004">
      <c r="A3004" s="24">
        <f>IF($D3004="","",COUNTA($D$4:$D3004))</f>
        <v/>
      </c>
      <c r="B3004" s="17" t="n"/>
      <c r="C3004" s="30" t="n"/>
      <c r="D3004" s="17" t="n"/>
      <c r="E3004" s="24">
        <f>IF($D3004="","",IFERROR(VLOOKUP($D3004,物料档案!$A$4:$P$1203,3,0),"※编码不在物料档案里"))</f>
        <v/>
      </c>
      <c r="F3004" s="24">
        <f>IF($D3004="","",IFERROR(VLOOKUP($D3004,物料档案!$A$4:$P$1203,4,0),"※编码不在物料档案里"))</f>
        <v/>
      </c>
      <c r="G3004" s="24">
        <f>IF($D3004="","",IFERROR(VLOOKUP($D3004,物料档案!$A$4:$P$1203,5,0),"※编码不在物料档案里"))</f>
        <v/>
      </c>
      <c r="H3004" s="24">
        <f>IF($D3004="","",IFERROR(VLOOKUP($D3004,物料档案!$A$4:$P$1203,2,0),"※编码不在物料档案里"))</f>
        <v/>
      </c>
      <c r="I3004" s="24">
        <f>IF($D3004="","",IFERROR(VLOOKUP($D3004,物料档案!$A$4:$P$1203,6,0),"※编码不在物料档案里"))</f>
        <v/>
      </c>
      <c r="J3004" s="23" t="n"/>
      <c r="K3004" s="17" t="n"/>
      <c r="L3004" s="17" t="n"/>
      <c r="M3004" s="17" t="n"/>
      <c r="N3004" s="17" t="n"/>
      <c r="O3004" s="26">
        <f>IF($D3004="","",IFERROR(VLOOKUP($D3004,物料档案!$A$4:$P$1203,10,0),0))</f>
        <v/>
      </c>
      <c r="P3004" s="32" t="n"/>
      <c r="Q3004" s="26">
        <f>IF($D3004="","",IF($K3004&lt;&gt;"对外销售",0,ROUND(N($J3004)*IF($P3004="",N($O3004),N($P3004)),0)))</f>
        <v/>
      </c>
      <c r="R3004" s="26">
        <f>IF($D3004="","",IFERROR(VLOOKUP($D3004,库存台账!$A$5:$Y$1204,11,0),0))</f>
        <v/>
      </c>
      <c r="S3004" s="26">
        <f>IF($D3004="","",ROUND(N($J3004)*N($R3004),0))</f>
        <v/>
      </c>
      <c r="T3004" s="26">
        <f>IF($D3004="","",IF($K3004&lt;&gt;"对外销售","",ROUND($Q3004-$S3004,0)))</f>
        <v/>
      </c>
      <c r="U3004" s="17" t="n"/>
      <c r="V3004" s="17" t="n"/>
      <c r="W3004" s="24">
        <f>IF($D3004="","",IF($E3004="※编码不在物料档案里","※物料编码不在档案里",IF(N($J3004)&lt;=0,"※出库数量要大于 0",IF($K3004="","※没填去向类型",IF($L3004="","※没填去向矿区",IF(AND($C3004&lt;&gt;"",$C3004&lt;=结账锁),"※日期早于已结账截止日，不能再录",IF(AND($K3004="自用消耗",COUNTIF({"一矿区";"二矿区"},$L3004)=0),"※自用消耗的去向只能是一矿区或二矿区",IF(AND($K3004="对外销售",COUNTIF({"三矿区";"六矿区"},$L3004)=0),"※对外销售的去向只能是三矿区或六矿区",IF(AND($K3004="对外销售",ROUND($Q3004,0)=0),"※外销却没有售价，请填实际售价",IF(AND($K3004="对外销售",$T3004&lt;&gt;"",$T3004&lt;0),"※这一笔外销是亏的，请核对售价",IF(IFERROR(VLOOKUP($D3004,库存台账!$A$5:$Y$1204,24,0),0)&lt;-0.001,"※这个物料账面已经变成负数了，查一下是不是漏记入库","")))))))))))</f>
        <v/>
      </c>
    </row>
    <row r="3005">
      <c r="A3005" s="24">
        <f>IF($D3005="","",COUNTA($D$4:$D3005))</f>
        <v/>
      </c>
      <c r="B3005" s="17" t="n"/>
      <c r="C3005" s="30" t="n"/>
      <c r="D3005" s="17" t="n"/>
      <c r="E3005" s="24">
        <f>IF($D3005="","",IFERROR(VLOOKUP($D3005,物料档案!$A$4:$P$1203,3,0),"※编码不在物料档案里"))</f>
        <v/>
      </c>
      <c r="F3005" s="24">
        <f>IF($D3005="","",IFERROR(VLOOKUP($D3005,物料档案!$A$4:$P$1203,4,0),"※编码不在物料档案里"))</f>
        <v/>
      </c>
      <c r="G3005" s="24">
        <f>IF($D3005="","",IFERROR(VLOOKUP($D3005,物料档案!$A$4:$P$1203,5,0),"※编码不在物料档案里"))</f>
        <v/>
      </c>
      <c r="H3005" s="24">
        <f>IF($D3005="","",IFERROR(VLOOKUP($D3005,物料档案!$A$4:$P$1203,2,0),"※编码不在物料档案里"))</f>
        <v/>
      </c>
      <c r="I3005" s="24">
        <f>IF($D3005="","",IFERROR(VLOOKUP($D3005,物料档案!$A$4:$P$1203,6,0),"※编码不在物料档案里"))</f>
        <v/>
      </c>
      <c r="J3005" s="23" t="n"/>
      <c r="K3005" s="17" t="n"/>
      <c r="L3005" s="17" t="n"/>
      <c r="M3005" s="17" t="n"/>
      <c r="N3005" s="17" t="n"/>
      <c r="O3005" s="26">
        <f>IF($D3005="","",IFERROR(VLOOKUP($D3005,物料档案!$A$4:$P$1203,10,0),0))</f>
        <v/>
      </c>
      <c r="P3005" s="32" t="n"/>
      <c r="Q3005" s="26">
        <f>IF($D3005="","",IF($K3005&lt;&gt;"对外销售",0,ROUND(N($J3005)*IF($P3005="",N($O3005),N($P3005)),0)))</f>
        <v/>
      </c>
      <c r="R3005" s="26">
        <f>IF($D3005="","",IFERROR(VLOOKUP($D3005,库存台账!$A$5:$Y$1204,11,0),0))</f>
        <v/>
      </c>
      <c r="S3005" s="26">
        <f>IF($D3005="","",ROUND(N($J3005)*N($R3005),0))</f>
        <v/>
      </c>
      <c r="T3005" s="26">
        <f>IF($D3005="","",IF($K3005&lt;&gt;"对外销售","",ROUND($Q3005-$S3005,0)))</f>
        <v/>
      </c>
      <c r="U3005" s="17" t="n"/>
      <c r="V3005" s="17" t="n"/>
      <c r="W3005" s="24">
        <f>IF($D3005="","",IF($E3005="※编码不在物料档案里","※物料编码不在档案里",IF(N($J3005)&lt;=0,"※出库数量要大于 0",IF($K3005="","※没填去向类型",IF($L3005="","※没填去向矿区",IF(AND($C3005&lt;&gt;"",$C3005&lt;=结账锁),"※日期早于已结账截止日，不能再录",IF(AND($K3005="自用消耗",COUNTIF({"一矿区";"二矿区"},$L3005)=0),"※自用消耗的去向只能是一矿区或二矿区",IF(AND($K3005="对外销售",COUNTIF({"三矿区";"六矿区"},$L3005)=0),"※对外销售的去向只能是三矿区或六矿区",IF(AND($K3005="对外销售",ROUND($Q3005,0)=0),"※外销却没有售价，请填实际售价",IF(AND($K3005="对外销售",$T3005&lt;&gt;"",$T3005&lt;0),"※这一笔外销是亏的，请核对售价",IF(IFERROR(VLOOKUP($D3005,库存台账!$A$5:$Y$1204,24,0),0)&lt;-0.001,"※这个物料账面已经变成负数了，查一下是不是漏记入库","")))))))))))</f>
        <v/>
      </c>
    </row>
    <row r="3006">
      <c r="A3006" s="24">
        <f>IF($D3006="","",COUNTA($D$4:$D3006))</f>
        <v/>
      </c>
      <c r="B3006" s="17" t="n"/>
      <c r="C3006" s="30" t="n"/>
      <c r="D3006" s="17" t="n"/>
      <c r="E3006" s="24">
        <f>IF($D3006="","",IFERROR(VLOOKUP($D3006,物料档案!$A$4:$P$1203,3,0),"※编码不在物料档案里"))</f>
        <v/>
      </c>
      <c r="F3006" s="24">
        <f>IF($D3006="","",IFERROR(VLOOKUP($D3006,物料档案!$A$4:$P$1203,4,0),"※编码不在物料档案里"))</f>
        <v/>
      </c>
      <c r="G3006" s="24">
        <f>IF($D3006="","",IFERROR(VLOOKUP($D3006,物料档案!$A$4:$P$1203,5,0),"※编码不在物料档案里"))</f>
        <v/>
      </c>
      <c r="H3006" s="24">
        <f>IF($D3006="","",IFERROR(VLOOKUP($D3006,物料档案!$A$4:$P$1203,2,0),"※编码不在物料档案里"))</f>
        <v/>
      </c>
      <c r="I3006" s="24">
        <f>IF($D3006="","",IFERROR(VLOOKUP($D3006,物料档案!$A$4:$P$1203,6,0),"※编码不在物料档案里"))</f>
        <v/>
      </c>
      <c r="J3006" s="23" t="n"/>
      <c r="K3006" s="17" t="n"/>
      <c r="L3006" s="17" t="n"/>
      <c r="M3006" s="17" t="n"/>
      <c r="N3006" s="17" t="n"/>
      <c r="O3006" s="26">
        <f>IF($D3006="","",IFERROR(VLOOKUP($D3006,物料档案!$A$4:$P$1203,10,0),0))</f>
        <v/>
      </c>
      <c r="P3006" s="32" t="n"/>
      <c r="Q3006" s="26">
        <f>IF($D3006="","",IF($K3006&lt;&gt;"对外销售",0,ROUND(N($J3006)*IF($P3006="",N($O3006),N($P3006)),0)))</f>
        <v/>
      </c>
      <c r="R3006" s="26">
        <f>IF($D3006="","",IFERROR(VLOOKUP($D3006,库存台账!$A$5:$Y$1204,11,0),0))</f>
        <v/>
      </c>
      <c r="S3006" s="26">
        <f>IF($D3006="","",ROUND(N($J3006)*N($R3006),0))</f>
        <v/>
      </c>
      <c r="T3006" s="26">
        <f>IF($D3006="","",IF($K3006&lt;&gt;"对外销售","",ROUND($Q3006-$S3006,0)))</f>
        <v/>
      </c>
      <c r="U3006" s="17" t="n"/>
      <c r="V3006" s="17" t="n"/>
      <c r="W3006" s="24">
        <f>IF($D3006="","",IF($E3006="※编码不在物料档案里","※物料编码不在档案里",IF(N($J3006)&lt;=0,"※出库数量要大于 0",IF($K3006="","※没填去向类型",IF($L3006="","※没填去向矿区",IF(AND($C3006&lt;&gt;"",$C3006&lt;=结账锁),"※日期早于已结账截止日，不能再录",IF(AND($K3006="自用消耗",COUNTIF({"一矿区";"二矿区"},$L3006)=0),"※自用消耗的去向只能是一矿区或二矿区",IF(AND($K3006="对外销售",COUNTIF({"三矿区";"六矿区"},$L3006)=0),"※对外销售的去向只能是三矿区或六矿区",IF(AND($K3006="对外销售",ROUND($Q3006,0)=0),"※外销却没有售价，请填实际售价",IF(AND($K3006="对外销售",$T3006&lt;&gt;"",$T3006&lt;0),"※这一笔外销是亏的，请核对售价",IF(IFERROR(VLOOKUP($D3006,库存台账!$A$5:$Y$1204,24,0),0)&lt;-0.001,"※这个物料账面已经变成负数了，查一下是不是漏记入库","")))))))))))</f>
        <v/>
      </c>
    </row>
    <row r="3007">
      <c r="A3007" s="24">
        <f>IF($D3007="","",COUNTA($D$4:$D3007))</f>
        <v/>
      </c>
      <c r="B3007" s="17" t="n"/>
      <c r="C3007" s="30" t="n"/>
      <c r="D3007" s="17" t="n"/>
      <c r="E3007" s="24">
        <f>IF($D3007="","",IFERROR(VLOOKUP($D3007,物料档案!$A$4:$P$1203,3,0),"※编码不在物料档案里"))</f>
        <v/>
      </c>
      <c r="F3007" s="24">
        <f>IF($D3007="","",IFERROR(VLOOKUP($D3007,物料档案!$A$4:$P$1203,4,0),"※编码不在物料档案里"))</f>
        <v/>
      </c>
      <c r="G3007" s="24">
        <f>IF($D3007="","",IFERROR(VLOOKUP($D3007,物料档案!$A$4:$P$1203,5,0),"※编码不在物料档案里"))</f>
        <v/>
      </c>
      <c r="H3007" s="24">
        <f>IF($D3007="","",IFERROR(VLOOKUP($D3007,物料档案!$A$4:$P$1203,2,0),"※编码不在物料档案里"))</f>
        <v/>
      </c>
      <c r="I3007" s="24">
        <f>IF($D3007="","",IFERROR(VLOOKUP($D3007,物料档案!$A$4:$P$1203,6,0),"※编码不在物料档案里"))</f>
        <v/>
      </c>
      <c r="J3007" s="23" t="n"/>
      <c r="K3007" s="17" t="n"/>
      <c r="L3007" s="17" t="n"/>
      <c r="M3007" s="17" t="n"/>
      <c r="N3007" s="17" t="n"/>
      <c r="O3007" s="26">
        <f>IF($D3007="","",IFERROR(VLOOKUP($D3007,物料档案!$A$4:$P$1203,10,0),0))</f>
        <v/>
      </c>
      <c r="P3007" s="32" t="n"/>
      <c r="Q3007" s="26">
        <f>IF($D3007="","",IF($K3007&lt;&gt;"对外销售",0,ROUND(N($J3007)*IF($P3007="",N($O3007),N($P3007)),0)))</f>
        <v/>
      </c>
      <c r="R3007" s="26">
        <f>IF($D3007="","",IFERROR(VLOOKUP($D3007,库存台账!$A$5:$Y$1204,11,0),0))</f>
        <v/>
      </c>
      <c r="S3007" s="26">
        <f>IF($D3007="","",ROUND(N($J3007)*N($R3007),0))</f>
        <v/>
      </c>
      <c r="T3007" s="26">
        <f>IF($D3007="","",IF($K3007&lt;&gt;"对外销售","",ROUND($Q3007-$S3007,0)))</f>
        <v/>
      </c>
      <c r="U3007" s="17" t="n"/>
      <c r="V3007" s="17" t="n"/>
      <c r="W3007" s="24">
        <f>IF($D3007="","",IF($E3007="※编码不在物料档案里","※物料编码不在档案里",IF(N($J3007)&lt;=0,"※出库数量要大于 0",IF($K3007="","※没填去向类型",IF($L3007="","※没填去向矿区",IF(AND($C3007&lt;&gt;"",$C3007&lt;=结账锁),"※日期早于已结账截止日，不能再录",IF(AND($K3007="自用消耗",COUNTIF({"一矿区";"二矿区"},$L3007)=0),"※自用消耗的去向只能是一矿区或二矿区",IF(AND($K3007="对外销售",COUNTIF({"三矿区";"六矿区"},$L3007)=0),"※对外销售的去向只能是三矿区或六矿区",IF(AND($K3007="对外销售",ROUND($Q3007,0)=0),"※外销却没有售价，请填实际售价",IF(AND($K3007="对外销售",$T3007&lt;&gt;"",$T3007&lt;0),"※这一笔外销是亏的，请核对售价",IF(IFERROR(VLOOKUP($D3007,库存台账!$A$5:$Y$1204,24,0),0)&lt;-0.001,"※这个物料账面已经变成负数了，查一下是不是漏记入库","")))))))))))</f>
        <v/>
      </c>
    </row>
    <row r="3008">
      <c r="A3008" s="24">
        <f>IF($D3008="","",COUNTA($D$4:$D3008))</f>
        <v/>
      </c>
      <c r="B3008" s="17" t="n"/>
      <c r="C3008" s="30" t="n"/>
      <c r="D3008" s="17" t="n"/>
      <c r="E3008" s="24">
        <f>IF($D3008="","",IFERROR(VLOOKUP($D3008,物料档案!$A$4:$P$1203,3,0),"※编码不在物料档案里"))</f>
        <v/>
      </c>
      <c r="F3008" s="24">
        <f>IF($D3008="","",IFERROR(VLOOKUP($D3008,物料档案!$A$4:$P$1203,4,0),"※编码不在物料档案里"))</f>
        <v/>
      </c>
      <c r="G3008" s="24">
        <f>IF($D3008="","",IFERROR(VLOOKUP($D3008,物料档案!$A$4:$P$1203,5,0),"※编码不在物料档案里"))</f>
        <v/>
      </c>
      <c r="H3008" s="24">
        <f>IF($D3008="","",IFERROR(VLOOKUP($D3008,物料档案!$A$4:$P$1203,2,0),"※编码不在物料档案里"))</f>
        <v/>
      </c>
      <c r="I3008" s="24">
        <f>IF($D3008="","",IFERROR(VLOOKUP($D3008,物料档案!$A$4:$P$1203,6,0),"※编码不在物料档案里"))</f>
        <v/>
      </c>
      <c r="J3008" s="23" t="n"/>
      <c r="K3008" s="17" t="n"/>
      <c r="L3008" s="17" t="n"/>
      <c r="M3008" s="17" t="n"/>
      <c r="N3008" s="17" t="n"/>
      <c r="O3008" s="26">
        <f>IF($D3008="","",IFERROR(VLOOKUP($D3008,物料档案!$A$4:$P$1203,10,0),0))</f>
        <v/>
      </c>
      <c r="P3008" s="32" t="n"/>
      <c r="Q3008" s="26">
        <f>IF($D3008="","",IF($K3008&lt;&gt;"对外销售",0,ROUND(N($J3008)*IF($P3008="",N($O3008),N($P3008)),0)))</f>
        <v/>
      </c>
      <c r="R3008" s="26">
        <f>IF($D3008="","",IFERROR(VLOOKUP($D3008,库存台账!$A$5:$Y$1204,11,0),0))</f>
        <v/>
      </c>
      <c r="S3008" s="26">
        <f>IF($D3008="","",ROUND(N($J3008)*N($R3008),0))</f>
        <v/>
      </c>
      <c r="T3008" s="26">
        <f>IF($D3008="","",IF($K3008&lt;&gt;"对外销售","",ROUND($Q3008-$S3008,0)))</f>
        <v/>
      </c>
      <c r="U3008" s="17" t="n"/>
      <c r="V3008" s="17" t="n"/>
      <c r="W3008" s="24">
        <f>IF($D3008="","",IF($E3008="※编码不在物料档案里","※物料编码不在档案里",IF(N($J3008)&lt;=0,"※出库数量要大于 0",IF($K3008="","※没填去向类型",IF($L3008="","※没填去向矿区",IF(AND($C3008&lt;&gt;"",$C3008&lt;=结账锁),"※日期早于已结账截止日，不能再录",IF(AND($K3008="自用消耗",COUNTIF({"一矿区";"二矿区"},$L3008)=0),"※自用消耗的去向只能是一矿区或二矿区",IF(AND($K3008="对外销售",COUNTIF({"三矿区";"六矿区"},$L3008)=0),"※对外销售的去向只能是三矿区或六矿区",IF(AND($K3008="对外销售",ROUND($Q3008,0)=0),"※外销却没有售价，请填实际售价",IF(AND($K3008="对外销售",$T3008&lt;&gt;"",$T3008&lt;0),"※这一笔外销是亏的，请核对售价",IF(IFERROR(VLOOKUP($D3008,库存台账!$A$5:$Y$1204,24,0),0)&lt;-0.001,"※这个物料账面已经变成负数了，查一下是不是漏记入库","")))))))))))</f>
        <v/>
      </c>
    </row>
    <row r="3009">
      <c r="A3009" s="24">
        <f>IF($D3009="","",COUNTA($D$4:$D3009))</f>
        <v/>
      </c>
      <c r="B3009" s="17" t="n"/>
      <c r="C3009" s="30" t="n"/>
      <c r="D3009" s="17" t="n"/>
      <c r="E3009" s="24">
        <f>IF($D3009="","",IFERROR(VLOOKUP($D3009,物料档案!$A$4:$P$1203,3,0),"※编码不在物料档案里"))</f>
        <v/>
      </c>
      <c r="F3009" s="24">
        <f>IF($D3009="","",IFERROR(VLOOKUP($D3009,物料档案!$A$4:$P$1203,4,0),"※编码不在物料档案里"))</f>
        <v/>
      </c>
      <c r="G3009" s="24">
        <f>IF($D3009="","",IFERROR(VLOOKUP($D3009,物料档案!$A$4:$P$1203,5,0),"※编码不在物料档案里"))</f>
        <v/>
      </c>
      <c r="H3009" s="24">
        <f>IF($D3009="","",IFERROR(VLOOKUP($D3009,物料档案!$A$4:$P$1203,2,0),"※编码不在物料档案里"))</f>
        <v/>
      </c>
      <c r="I3009" s="24">
        <f>IF($D3009="","",IFERROR(VLOOKUP($D3009,物料档案!$A$4:$P$1203,6,0),"※编码不在物料档案里"))</f>
        <v/>
      </c>
      <c r="J3009" s="23" t="n"/>
      <c r="K3009" s="17" t="n"/>
      <c r="L3009" s="17" t="n"/>
      <c r="M3009" s="17" t="n"/>
      <c r="N3009" s="17" t="n"/>
      <c r="O3009" s="26">
        <f>IF($D3009="","",IFERROR(VLOOKUP($D3009,物料档案!$A$4:$P$1203,10,0),0))</f>
        <v/>
      </c>
      <c r="P3009" s="32" t="n"/>
      <c r="Q3009" s="26">
        <f>IF($D3009="","",IF($K3009&lt;&gt;"对外销售",0,ROUND(N($J3009)*IF($P3009="",N($O3009),N($P3009)),0)))</f>
        <v/>
      </c>
      <c r="R3009" s="26">
        <f>IF($D3009="","",IFERROR(VLOOKUP($D3009,库存台账!$A$5:$Y$1204,11,0),0))</f>
        <v/>
      </c>
      <c r="S3009" s="26">
        <f>IF($D3009="","",ROUND(N($J3009)*N($R3009),0))</f>
        <v/>
      </c>
      <c r="T3009" s="26">
        <f>IF($D3009="","",IF($K3009&lt;&gt;"对外销售","",ROUND($Q3009-$S3009,0)))</f>
        <v/>
      </c>
      <c r="U3009" s="17" t="n"/>
      <c r="V3009" s="17" t="n"/>
      <c r="W3009" s="24">
        <f>IF($D3009="","",IF($E3009="※编码不在物料档案里","※物料编码不在档案里",IF(N($J3009)&lt;=0,"※出库数量要大于 0",IF($K3009="","※没填去向类型",IF($L3009="","※没填去向矿区",IF(AND($C3009&lt;&gt;"",$C3009&lt;=结账锁),"※日期早于已结账截止日，不能再录",IF(AND($K3009="自用消耗",COUNTIF({"一矿区";"二矿区"},$L3009)=0),"※自用消耗的去向只能是一矿区或二矿区",IF(AND($K3009="对外销售",COUNTIF({"三矿区";"六矿区"},$L3009)=0),"※对外销售的去向只能是三矿区或六矿区",IF(AND($K3009="对外销售",ROUND($Q3009,0)=0),"※外销却没有售价，请填实际售价",IF(AND($K3009="对外销售",$T3009&lt;&gt;"",$T3009&lt;0),"※这一笔外销是亏的，请核对售价",IF(IFERROR(VLOOKUP($D3009,库存台账!$A$5:$Y$1204,24,0),0)&lt;-0.001,"※这个物料账面已经变成负数了，查一下是不是漏记入库","")))))))))))</f>
        <v/>
      </c>
    </row>
    <row r="3010">
      <c r="A3010" s="24">
        <f>IF($D3010="","",COUNTA($D$4:$D3010))</f>
        <v/>
      </c>
      <c r="B3010" s="17" t="n"/>
      <c r="C3010" s="30" t="n"/>
      <c r="D3010" s="17" t="n"/>
      <c r="E3010" s="24">
        <f>IF($D3010="","",IFERROR(VLOOKUP($D3010,物料档案!$A$4:$P$1203,3,0),"※编码不在物料档案里"))</f>
        <v/>
      </c>
      <c r="F3010" s="24">
        <f>IF($D3010="","",IFERROR(VLOOKUP($D3010,物料档案!$A$4:$P$1203,4,0),"※编码不在物料档案里"))</f>
        <v/>
      </c>
      <c r="G3010" s="24">
        <f>IF($D3010="","",IFERROR(VLOOKUP($D3010,物料档案!$A$4:$P$1203,5,0),"※编码不在物料档案里"))</f>
        <v/>
      </c>
      <c r="H3010" s="24">
        <f>IF($D3010="","",IFERROR(VLOOKUP($D3010,物料档案!$A$4:$P$1203,2,0),"※编码不在物料档案里"))</f>
        <v/>
      </c>
      <c r="I3010" s="24">
        <f>IF($D3010="","",IFERROR(VLOOKUP($D3010,物料档案!$A$4:$P$1203,6,0),"※编码不在物料档案里"))</f>
        <v/>
      </c>
      <c r="J3010" s="23" t="n"/>
      <c r="K3010" s="17" t="n"/>
      <c r="L3010" s="17" t="n"/>
      <c r="M3010" s="17" t="n"/>
      <c r="N3010" s="17" t="n"/>
      <c r="O3010" s="26">
        <f>IF($D3010="","",IFERROR(VLOOKUP($D3010,物料档案!$A$4:$P$1203,10,0),0))</f>
        <v/>
      </c>
      <c r="P3010" s="32" t="n"/>
      <c r="Q3010" s="26">
        <f>IF($D3010="","",IF($K3010&lt;&gt;"对外销售",0,ROUND(N($J3010)*IF($P3010="",N($O3010),N($P3010)),0)))</f>
        <v/>
      </c>
      <c r="R3010" s="26">
        <f>IF($D3010="","",IFERROR(VLOOKUP($D3010,库存台账!$A$5:$Y$1204,11,0),0))</f>
        <v/>
      </c>
      <c r="S3010" s="26">
        <f>IF($D3010="","",ROUND(N($J3010)*N($R3010),0))</f>
        <v/>
      </c>
      <c r="T3010" s="26">
        <f>IF($D3010="","",IF($K3010&lt;&gt;"对外销售","",ROUND($Q3010-$S3010,0)))</f>
        <v/>
      </c>
      <c r="U3010" s="17" t="n"/>
      <c r="V3010" s="17" t="n"/>
      <c r="W3010" s="24">
        <f>IF($D3010="","",IF($E3010="※编码不在物料档案里","※物料编码不在档案里",IF(N($J3010)&lt;=0,"※出库数量要大于 0",IF($K3010="","※没填去向类型",IF($L3010="","※没填去向矿区",IF(AND($C3010&lt;&gt;"",$C3010&lt;=结账锁),"※日期早于已结账截止日，不能再录",IF(AND($K3010="自用消耗",COUNTIF({"一矿区";"二矿区"},$L3010)=0),"※自用消耗的去向只能是一矿区或二矿区",IF(AND($K3010="对外销售",COUNTIF({"三矿区";"六矿区"},$L3010)=0),"※对外销售的去向只能是三矿区或六矿区",IF(AND($K3010="对外销售",ROUND($Q3010,0)=0),"※外销却没有售价，请填实际售价",IF(AND($K3010="对外销售",$T3010&lt;&gt;"",$T3010&lt;0),"※这一笔外销是亏的，请核对售价",IF(IFERROR(VLOOKUP($D3010,库存台账!$A$5:$Y$1204,24,0),0)&lt;-0.001,"※这个物料账面已经变成负数了，查一下是不是漏记入库","")))))))))))</f>
        <v/>
      </c>
    </row>
    <row r="3011">
      <c r="A3011" s="24">
        <f>IF($D3011="","",COUNTA($D$4:$D3011))</f>
        <v/>
      </c>
      <c r="B3011" s="17" t="n"/>
      <c r="C3011" s="30" t="n"/>
      <c r="D3011" s="17" t="n"/>
      <c r="E3011" s="24">
        <f>IF($D3011="","",IFERROR(VLOOKUP($D3011,物料档案!$A$4:$P$1203,3,0),"※编码不在物料档案里"))</f>
        <v/>
      </c>
      <c r="F3011" s="24">
        <f>IF($D3011="","",IFERROR(VLOOKUP($D3011,物料档案!$A$4:$P$1203,4,0),"※编码不在物料档案里"))</f>
        <v/>
      </c>
      <c r="G3011" s="24">
        <f>IF($D3011="","",IFERROR(VLOOKUP($D3011,物料档案!$A$4:$P$1203,5,0),"※编码不在物料档案里"))</f>
        <v/>
      </c>
      <c r="H3011" s="24">
        <f>IF($D3011="","",IFERROR(VLOOKUP($D3011,物料档案!$A$4:$P$1203,2,0),"※编码不在物料档案里"))</f>
        <v/>
      </c>
      <c r="I3011" s="24">
        <f>IF($D3011="","",IFERROR(VLOOKUP($D3011,物料档案!$A$4:$P$1203,6,0),"※编码不在物料档案里"))</f>
        <v/>
      </c>
      <c r="J3011" s="23" t="n"/>
      <c r="K3011" s="17" t="n"/>
      <c r="L3011" s="17" t="n"/>
      <c r="M3011" s="17" t="n"/>
      <c r="N3011" s="17" t="n"/>
      <c r="O3011" s="26">
        <f>IF($D3011="","",IFERROR(VLOOKUP($D3011,物料档案!$A$4:$P$1203,10,0),0))</f>
        <v/>
      </c>
      <c r="P3011" s="32" t="n"/>
      <c r="Q3011" s="26">
        <f>IF($D3011="","",IF($K3011&lt;&gt;"对外销售",0,ROUND(N($J3011)*IF($P3011="",N($O3011),N($P3011)),0)))</f>
        <v/>
      </c>
      <c r="R3011" s="26">
        <f>IF($D3011="","",IFERROR(VLOOKUP($D3011,库存台账!$A$5:$Y$1204,11,0),0))</f>
        <v/>
      </c>
      <c r="S3011" s="26">
        <f>IF($D3011="","",ROUND(N($J3011)*N($R3011),0))</f>
        <v/>
      </c>
      <c r="T3011" s="26">
        <f>IF($D3011="","",IF($K3011&lt;&gt;"对外销售","",ROUND($Q3011-$S3011,0)))</f>
        <v/>
      </c>
      <c r="U3011" s="17" t="n"/>
      <c r="V3011" s="17" t="n"/>
      <c r="W3011" s="24">
        <f>IF($D3011="","",IF($E3011="※编码不在物料档案里","※物料编码不在档案里",IF(N($J3011)&lt;=0,"※出库数量要大于 0",IF($K3011="","※没填去向类型",IF($L3011="","※没填去向矿区",IF(AND($C3011&lt;&gt;"",$C3011&lt;=结账锁),"※日期早于已结账截止日，不能再录",IF(AND($K3011="自用消耗",COUNTIF({"一矿区";"二矿区"},$L3011)=0),"※自用消耗的去向只能是一矿区或二矿区",IF(AND($K3011="对外销售",COUNTIF({"三矿区";"六矿区"},$L3011)=0),"※对外销售的去向只能是三矿区或六矿区",IF(AND($K3011="对外销售",ROUND($Q3011,0)=0),"※外销却没有售价，请填实际售价",IF(AND($K3011="对外销售",$T3011&lt;&gt;"",$T3011&lt;0),"※这一笔外销是亏的，请核对售价",IF(IFERROR(VLOOKUP($D3011,库存台账!$A$5:$Y$1204,24,0),0)&lt;-0.001,"※这个物料账面已经变成负数了，查一下是不是漏记入库","")))))))))))</f>
        <v/>
      </c>
    </row>
    <row r="3012">
      <c r="A3012" s="24">
        <f>IF($D3012="","",COUNTA($D$4:$D3012))</f>
        <v/>
      </c>
      <c r="B3012" s="17" t="n"/>
      <c r="C3012" s="30" t="n"/>
      <c r="D3012" s="17" t="n"/>
      <c r="E3012" s="24">
        <f>IF($D3012="","",IFERROR(VLOOKUP($D3012,物料档案!$A$4:$P$1203,3,0),"※编码不在物料档案里"))</f>
        <v/>
      </c>
      <c r="F3012" s="24">
        <f>IF($D3012="","",IFERROR(VLOOKUP($D3012,物料档案!$A$4:$P$1203,4,0),"※编码不在物料档案里"))</f>
        <v/>
      </c>
      <c r="G3012" s="24">
        <f>IF($D3012="","",IFERROR(VLOOKUP($D3012,物料档案!$A$4:$P$1203,5,0),"※编码不在物料档案里"))</f>
        <v/>
      </c>
      <c r="H3012" s="24">
        <f>IF($D3012="","",IFERROR(VLOOKUP($D3012,物料档案!$A$4:$P$1203,2,0),"※编码不在物料档案里"))</f>
        <v/>
      </c>
      <c r="I3012" s="24">
        <f>IF($D3012="","",IFERROR(VLOOKUP($D3012,物料档案!$A$4:$P$1203,6,0),"※编码不在物料档案里"))</f>
        <v/>
      </c>
      <c r="J3012" s="23" t="n"/>
      <c r="K3012" s="17" t="n"/>
      <c r="L3012" s="17" t="n"/>
      <c r="M3012" s="17" t="n"/>
      <c r="N3012" s="17" t="n"/>
      <c r="O3012" s="26">
        <f>IF($D3012="","",IFERROR(VLOOKUP($D3012,物料档案!$A$4:$P$1203,10,0),0))</f>
        <v/>
      </c>
      <c r="P3012" s="32" t="n"/>
      <c r="Q3012" s="26">
        <f>IF($D3012="","",IF($K3012&lt;&gt;"对外销售",0,ROUND(N($J3012)*IF($P3012="",N($O3012),N($P3012)),0)))</f>
        <v/>
      </c>
      <c r="R3012" s="26">
        <f>IF($D3012="","",IFERROR(VLOOKUP($D3012,库存台账!$A$5:$Y$1204,11,0),0))</f>
        <v/>
      </c>
      <c r="S3012" s="26">
        <f>IF($D3012="","",ROUND(N($J3012)*N($R3012),0))</f>
        <v/>
      </c>
      <c r="T3012" s="26">
        <f>IF($D3012="","",IF($K3012&lt;&gt;"对外销售","",ROUND($Q3012-$S3012,0)))</f>
        <v/>
      </c>
      <c r="U3012" s="17" t="n"/>
      <c r="V3012" s="17" t="n"/>
      <c r="W3012" s="24">
        <f>IF($D3012="","",IF($E3012="※编码不在物料档案里","※物料编码不在档案里",IF(N($J3012)&lt;=0,"※出库数量要大于 0",IF($K3012="","※没填去向类型",IF($L3012="","※没填去向矿区",IF(AND($C3012&lt;&gt;"",$C3012&lt;=结账锁),"※日期早于已结账截止日，不能再录",IF(AND($K3012="自用消耗",COUNTIF({"一矿区";"二矿区"},$L3012)=0),"※自用消耗的去向只能是一矿区或二矿区",IF(AND($K3012="对外销售",COUNTIF({"三矿区";"六矿区"},$L3012)=0),"※对外销售的去向只能是三矿区或六矿区",IF(AND($K3012="对外销售",ROUND($Q3012,0)=0),"※外销却没有售价，请填实际售价",IF(AND($K3012="对外销售",$T3012&lt;&gt;"",$T3012&lt;0),"※这一笔外销是亏的，请核对售价",IF(IFERROR(VLOOKUP($D3012,库存台账!$A$5:$Y$1204,24,0),0)&lt;-0.001,"※这个物料账面已经变成负数了，查一下是不是漏记入库","")))))))))))</f>
        <v/>
      </c>
    </row>
    <row r="3013">
      <c r="A3013" s="24">
        <f>IF($D3013="","",COUNTA($D$4:$D3013))</f>
        <v/>
      </c>
      <c r="B3013" s="17" t="n"/>
      <c r="C3013" s="30" t="n"/>
      <c r="D3013" s="17" t="n"/>
      <c r="E3013" s="24">
        <f>IF($D3013="","",IFERROR(VLOOKUP($D3013,物料档案!$A$4:$P$1203,3,0),"※编码不在物料档案里"))</f>
        <v/>
      </c>
      <c r="F3013" s="24">
        <f>IF($D3013="","",IFERROR(VLOOKUP($D3013,物料档案!$A$4:$P$1203,4,0),"※编码不在物料档案里"))</f>
        <v/>
      </c>
      <c r="G3013" s="24">
        <f>IF($D3013="","",IFERROR(VLOOKUP($D3013,物料档案!$A$4:$P$1203,5,0),"※编码不在物料档案里"))</f>
        <v/>
      </c>
      <c r="H3013" s="24">
        <f>IF($D3013="","",IFERROR(VLOOKUP($D3013,物料档案!$A$4:$P$1203,2,0),"※编码不在物料档案里"))</f>
        <v/>
      </c>
      <c r="I3013" s="24">
        <f>IF($D3013="","",IFERROR(VLOOKUP($D3013,物料档案!$A$4:$P$1203,6,0),"※编码不在物料档案里"))</f>
        <v/>
      </c>
      <c r="J3013" s="23" t="n"/>
      <c r="K3013" s="17" t="n"/>
      <c r="L3013" s="17" t="n"/>
      <c r="M3013" s="17" t="n"/>
      <c r="N3013" s="17" t="n"/>
      <c r="O3013" s="26">
        <f>IF($D3013="","",IFERROR(VLOOKUP($D3013,物料档案!$A$4:$P$1203,10,0),0))</f>
        <v/>
      </c>
      <c r="P3013" s="32" t="n"/>
      <c r="Q3013" s="26">
        <f>IF($D3013="","",IF($K3013&lt;&gt;"对外销售",0,ROUND(N($J3013)*IF($P3013="",N($O3013),N($P3013)),0)))</f>
        <v/>
      </c>
      <c r="R3013" s="26">
        <f>IF($D3013="","",IFERROR(VLOOKUP($D3013,库存台账!$A$5:$Y$1204,11,0),0))</f>
        <v/>
      </c>
      <c r="S3013" s="26">
        <f>IF($D3013="","",ROUND(N($J3013)*N($R3013),0))</f>
        <v/>
      </c>
      <c r="T3013" s="26">
        <f>IF($D3013="","",IF($K3013&lt;&gt;"对外销售","",ROUND($Q3013-$S3013,0)))</f>
        <v/>
      </c>
      <c r="U3013" s="17" t="n"/>
      <c r="V3013" s="17" t="n"/>
      <c r="W3013" s="24">
        <f>IF($D3013="","",IF($E3013="※编码不在物料档案里","※物料编码不在档案里",IF(N($J3013)&lt;=0,"※出库数量要大于 0",IF($K3013="","※没填去向类型",IF($L3013="","※没填去向矿区",IF(AND($C3013&lt;&gt;"",$C3013&lt;=结账锁),"※日期早于已结账截止日，不能再录",IF(AND($K3013="自用消耗",COUNTIF({"一矿区";"二矿区"},$L3013)=0),"※自用消耗的去向只能是一矿区或二矿区",IF(AND($K3013="对外销售",COUNTIF({"三矿区";"六矿区"},$L3013)=0),"※对外销售的去向只能是三矿区或六矿区",IF(AND($K3013="对外销售",ROUND($Q3013,0)=0),"※外销却没有售价，请填实际售价",IF(AND($K3013="对外销售",$T3013&lt;&gt;"",$T3013&lt;0),"※这一笔外销是亏的，请核对售价",IF(IFERROR(VLOOKUP($D3013,库存台账!$A$5:$Y$1204,24,0),0)&lt;-0.001,"※这个物料账面已经变成负数了，查一下是不是漏记入库","")))))))))))</f>
        <v/>
      </c>
    </row>
    <row r="3014">
      <c r="A3014" s="24">
        <f>IF($D3014="","",COUNTA($D$4:$D3014))</f>
        <v/>
      </c>
      <c r="B3014" s="17" t="n"/>
      <c r="C3014" s="30" t="n"/>
      <c r="D3014" s="17" t="n"/>
      <c r="E3014" s="24">
        <f>IF($D3014="","",IFERROR(VLOOKUP($D3014,物料档案!$A$4:$P$1203,3,0),"※编码不在物料档案里"))</f>
        <v/>
      </c>
      <c r="F3014" s="24">
        <f>IF($D3014="","",IFERROR(VLOOKUP($D3014,物料档案!$A$4:$P$1203,4,0),"※编码不在物料档案里"))</f>
        <v/>
      </c>
      <c r="G3014" s="24">
        <f>IF($D3014="","",IFERROR(VLOOKUP($D3014,物料档案!$A$4:$P$1203,5,0),"※编码不在物料档案里"))</f>
        <v/>
      </c>
      <c r="H3014" s="24">
        <f>IF($D3014="","",IFERROR(VLOOKUP($D3014,物料档案!$A$4:$P$1203,2,0),"※编码不在物料档案里"))</f>
        <v/>
      </c>
      <c r="I3014" s="24">
        <f>IF($D3014="","",IFERROR(VLOOKUP($D3014,物料档案!$A$4:$P$1203,6,0),"※编码不在物料档案里"))</f>
        <v/>
      </c>
      <c r="J3014" s="23" t="n"/>
      <c r="K3014" s="17" t="n"/>
      <c r="L3014" s="17" t="n"/>
      <c r="M3014" s="17" t="n"/>
      <c r="N3014" s="17" t="n"/>
      <c r="O3014" s="26">
        <f>IF($D3014="","",IFERROR(VLOOKUP($D3014,物料档案!$A$4:$P$1203,10,0),0))</f>
        <v/>
      </c>
      <c r="P3014" s="32" t="n"/>
      <c r="Q3014" s="26">
        <f>IF($D3014="","",IF($K3014&lt;&gt;"对外销售",0,ROUND(N($J3014)*IF($P3014="",N($O3014),N($P3014)),0)))</f>
        <v/>
      </c>
      <c r="R3014" s="26">
        <f>IF($D3014="","",IFERROR(VLOOKUP($D3014,库存台账!$A$5:$Y$1204,11,0),0))</f>
        <v/>
      </c>
      <c r="S3014" s="26">
        <f>IF($D3014="","",ROUND(N($J3014)*N($R3014),0))</f>
        <v/>
      </c>
      <c r="T3014" s="26">
        <f>IF($D3014="","",IF($K3014&lt;&gt;"对外销售","",ROUND($Q3014-$S3014,0)))</f>
        <v/>
      </c>
      <c r="U3014" s="17" t="n"/>
      <c r="V3014" s="17" t="n"/>
      <c r="W3014" s="24">
        <f>IF($D3014="","",IF($E3014="※编码不在物料档案里","※物料编码不在档案里",IF(N($J3014)&lt;=0,"※出库数量要大于 0",IF($K3014="","※没填去向类型",IF($L3014="","※没填去向矿区",IF(AND($C3014&lt;&gt;"",$C3014&lt;=结账锁),"※日期早于已结账截止日，不能再录",IF(AND($K3014="自用消耗",COUNTIF({"一矿区";"二矿区"},$L3014)=0),"※自用消耗的去向只能是一矿区或二矿区",IF(AND($K3014="对外销售",COUNTIF({"三矿区";"六矿区"},$L3014)=0),"※对外销售的去向只能是三矿区或六矿区",IF(AND($K3014="对外销售",ROUND($Q3014,0)=0),"※外销却没有售价，请填实际售价",IF(AND($K3014="对外销售",$T3014&lt;&gt;"",$T3014&lt;0),"※这一笔外销是亏的，请核对售价",IF(IFERROR(VLOOKUP($D3014,库存台账!$A$5:$Y$1204,24,0),0)&lt;-0.001,"※这个物料账面已经变成负数了，查一下是不是漏记入库","")))))))))))</f>
        <v/>
      </c>
    </row>
    <row r="3015">
      <c r="A3015" s="24">
        <f>IF($D3015="","",COUNTA($D$4:$D3015))</f>
        <v/>
      </c>
      <c r="B3015" s="17" t="n"/>
      <c r="C3015" s="30" t="n"/>
      <c r="D3015" s="17" t="n"/>
      <c r="E3015" s="24">
        <f>IF($D3015="","",IFERROR(VLOOKUP($D3015,物料档案!$A$4:$P$1203,3,0),"※编码不在物料档案里"))</f>
        <v/>
      </c>
      <c r="F3015" s="24">
        <f>IF($D3015="","",IFERROR(VLOOKUP($D3015,物料档案!$A$4:$P$1203,4,0),"※编码不在物料档案里"))</f>
        <v/>
      </c>
      <c r="G3015" s="24">
        <f>IF($D3015="","",IFERROR(VLOOKUP($D3015,物料档案!$A$4:$P$1203,5,0),"※编码不在物料档案里"))</f>
        <v/>
      </c>
      <c r="H3015" s="24">
        <f>IF($D3015="","",IFERROR(VLOOKUP($D3015,物料档案!$A$4:$P$1203,2,0),"※编码不在物料档案里"))</f>
        <v/>
      </c>
      <c r="I3015" s="24">
        <f>IF($D3015="","",IFERROR(VLOOKUP($D3015,物料档案!$A$4:$P$1203,6,0),"※编码不在物料档案里"))</f>
        <v/>
      </c>
      <c r="J3015" s="23" t="n"/>
      <c r="K3015" s="17" t="n"/>
      <c r="L3015" s="17" t="n"/>
      <c r="M3015" s="17" t="n"/>
      <c r="N3015" s="17" t="n"/>
      <c r="O3015" s="26">
        <f>IF($D3015="","",IFERROR(VLOOKUP($D3015,物料档案!$A$4:$P$1203,10,0),0))</f>
        <v/>
      </c>
      <c r="P3015" s="32" t="n"/>
      <c r="Q3015" s="26">
        <f>IF($D3015="","",IF($K3015&lt;&gt;"对外销售",0,ROUND(N($J3015)*IF($P3015="",N($O3015),N($P3015)),0)))</f>
        <v/>
      </c>
      <c r="R3015" s="26">
        <f>IF($D3015="","",IFERROR(VLOOKUP($D3015,库存台账!$A$5:$Y$1204,11,0),0))</f>
        <v/>
      </c>
      <c r="S3015" s="26">
        <f>IF($D3015="","",ROUND(N($J3015)*N($R3015),0))</f>
        <v/>
      </c>
      <c r="T3015" s="26">
        <f>IF($D3015="","",IF($K3015&lt;&gt;"对外销售","",ROUND($Q3015-$S3015,0)))</f>
        <v/>
      </c>
      <c r="U3015" s="17" t="n"/>
      <c r="V3015" s="17" t="n"/>
      <c r="W3015" s="24">
        <f>IF($D3015="","",IF($E3015="※编码不在物料档案里","※物料编码不在档案里",IF(N($J3015)&lt;=0,"※出库数量要大于 0",IF($K3015="","※没填去向类型",IF($L3015="","※没填去向矿区",IF(AND($C3015&lt;&gt;"",$C3015&lt;=结账锁),"※日期早于已结账截止日，不能再录",IF(AND($K3015="自用消耗",COUNTIF({"一矿区";"二矿区"},$L3015)=0),"※自用消耗的去向只能是一矿区或二矿区",IF(AND($K3015="对外销售",COUNTIF({"三矿区";"六矿区"},$L3015)=0),"※对外销售的去向只能是三矿区或六矿区",IF(AND($K3015="对外销售",ROUND($Q3015,0)=0),"※外销却没有售价，请填实际售价",IF(AND($K3015="对外销售",$T3015&lt;&gt;"",$T3015&lt;0),"※这一笔外销是亏的，请核对售价",IF(IFERROR(VLOOKUP($D3015,库存台账!$A$5:$Y$1204,24,0),0)&lt;-0.001,"※这个物料账面已经变成负数了，查一下是不是漏记入库","")))))))))))</f>
        <v/>
      </c>
    </row>
    <row r="3016">
      <c r="A3016" s="24">
        <f>IF($D3016="","",COUNTA($D$4:$D3016))</f>
        <v/>
      </c>
      <c r="B3016" s="17" t="n"/>
      <c r="C3016" s="30" t="n"/>
      <c r="D3016" s="17" t="n"/>
      <c r="E3016" s="24">
        <f>IF($D3016="","",IFERROR(VLOOKUP($D3016,物料档案!$A$4:$P$1203,3,0),"※编码不在物料档案里"))</f>
        <v/>
      </c>
      <c r="F3016" s="24">
        <f>IF($D3016="","",IFERROR(VLOOKUP($D3016,物料档案!$A$4:$P$1203,4,0),"※编码不在物料档案里"))</f>
        <v/>
      </c>
      <c r="G3016" s="24">
        <f>IF($D3016="","",IFERROR(VLOOKUP($D3016,物料档案!$A$4:$P$1203,5,0),"※编码不在物料档案里"))</f>
        <v/>
      </c>
      <c r="H3016" s="24">
        <f>IF($D3016="","",IFERROR(VLOOKUP($D3016,物料档案!$A$4:$P$1203,2,0),"※编码不在物料档案里"))</f>
        <v/>
      </c>
      <c r="I3016" s="24">
        <f>IF($D3016="","",IFERROR(VLOOKUP($D3016,物料档案!$A$4:$P$1203,6,0),"※编码不在物料档案里"))</f>
        <v/>
      </c>
      <c r="J3016" s="23" t="n"/>
      <c r="K3016" s="17" t="n"/>
      <c r="L3016" s="17" t="n"/>
      <c r="M3016" s="17" t="n"/>
      <c r="N3016" s="17" t="n"/>
      <c r="O3016" s="26">
        <f>IF($D3016="","",IFERROR(VLOOKUP($D3016,物料档案!$A$4:$P$1203,10,0),0))</f>
        <v/>
      </c>
      <c r="P3016" s="32" t="n"/>
      <c r="Q3016" s="26">
        <f>IF($D3016="","",IF($K3016&lt;&gt;"对外销售",0,ROUND(N($J3016)*IF($P3016="",N($O3016),N($P3016)),0)))</f>
        <v/>
      </c>
      <c r="R3016" s="26">
        <f>IF($D3016="","",IFERROR(VLOOKUP($D3016,库存台账!$A$5:$Y$1204,11,0),0))</f>
        <v/>
      </c>
      <c r="S3016" s="26">
        <f>IF($D3016="","",ROUND(N($J3016)*N($R3016),0))</f>
        <v/>
      </c>
      <c r="T3016" s="26">
        <f>IF($D3016="","",IF($K3016&lt;&gt;"对外销售","",ROUND($Q3016-$S3016,0)))</f>
        <v/>
      </c>
      <c r="U3016" s="17" t="n"/>
      <c r="V3016" s="17" t="n"/>
      <c r="W3016" s="24">
        <f>IF($D3016="","",IF($E3016="※编码不在物料档案里","※物料编码不在档案里",IF(N($J3016)&lt;=0,"※出库数量要大于 0",IF($K3016="","※没填去向类型",IF($L3016="","※没填去向矿区",IF(AND($C3016&lt;&gt;"",$C3016&lt;=结账锁),"※日期早于已结账截止日，不能再录",IF(AND($K3016="自用消耗",COUNTIF({"一矿区";"二矿区"},$L3016)=0),"※自用消耗的去向只能是一矿区或二矿区",IF(AND($K3016="对外销售",COUNTIF({"三矿区";"六矿区"},$L3016)=0),"※对外销售的去向只能是三矿区或六矿区",IF(AND($K3016="对外销售",ROUND($Q3016,0)=0),"※外销却没有售价，请填实际售价",IF(AND($K3016="对外销售",$T3016&lt;&gt;"",$T3016&lt;0),"※这一笔外销是亏的，请核对售价",IF(IFERROR(VLOOKUP($D3016,库存台账!$A$5:$Y$1204,24,0),0)&lt;-0.001,"※这个物料账面已经变成负数了，查一下是不是漏记入库","")))))))))))</f>
        <v/>
      </c>
    </row>
    <row r="3017">
      <c r="A3017" s="24">
        <f>IF($D3017="","",COUNTA($D$4:$D3017))</f>
        <v/>
      </c>
      <c r="B3017" s="17" t="n"/>
      <c r="C3017" s="30" t="n"/>
      <c r="D3017" s="17" t="n"/>
      <c r="E3017" s="24">
        <f>IF($D3017="","",IFERROR(VLOOKUP($D3017,物料档案!$A$4:$P$1203,3,0),"※编码不在物料档案里"))</f>
        <v/>
      </c>
      <c r="F3017" s="24">
        <f>IF($D3017="","",IFERROR(VLOOKUP($D3017,物料档案!$A$4:$P$1203,4,0),"※编码不在物料档案里"))</f>
        <v/>
      </c>
      <c r="G3017" s="24">
        <f>IF($D3017="","",IFERROR(VLOOKUP($D3017,物料档案!$A$4:$P$1203,5,0),"※编码不在物料档案里"))</f>
        <v/>
      </c>
      <c r="H3017" s="24">
        <f>IF($D3017="","",IFERROR(VLOOKUP($D3017,物料档案!$A$4:$P$1203,2,0),"※编码不在物料档案里"))</f>
        <v/>
      </c>
      <c r="I3017" s="24">
        <f>IF($D3017="","",IFERROR(VLOOKUP($D3017,物料档案!$A$4:$P$1203,6,0),"※编码不在物料档案里"))</f>
        <v/>
      </c>
      <c r="J3017" s="23" t="n"/>
      <c r="K3017" s="17" t="n"/>
      <c r="L3017" s="17" t="n"/>
      <c r="M3017" s="17" t="n"/>
      <c r="N3017" s="17" t="n"/>
      <c r="O3017" s="26">
        <f>IF($D3017="","",IFERROR(VLOOKUP($D3017,物料档案!$A$4:$P$1203,10,0),0))</f>
        <v/>
      </c>
      <c r="P3017" s="32" t="n"/>
      <c r="Q3017" s="26">
        <f>IF($D3017="","",IF($K3017&lt;&gt;"对外销售",0,ROUND(N($J3017)*IF($P3017="",N($O3017),N($P3017)),0)))</f>
        <v/>
      </c>
      <c r="R3017" s="26">
        <f>IF($D3017="","",IFERROR(VLOOKUP($D3017,库存台账!$A$5:$Y$1204,11,0),0))</f>
        <v/>
      </c>
      <c r="S3017" s="26">
        <f>IF($D3017="","",ROUND(N($J3017)*N($R3017),0))</f>
        <v/>
      </c>
      <c r="T3017" s="26">
        <f>IF($D3017="","",IF($K3017&lt;&gt;"对外销售","",ROUND($Q3017-$S3017,0)))</f>
        <v/>
      </c>
      <c r="U3017" s="17" t="n"/>
      <c r="V3017" s="17" t="n"/>
      <c r="W3017" s="24">
        <f>IF($D3017="","",IF($E3017="※编码不在物料档案里","※物料编码不在档案里",IF(N($J3017)&lt;=0,"※出库数量要大于 0",IF($K3017="","※没填去向类型",IF($L3017="","※没填去向矿区",IF(AND($C3017&lt;&gt;"",$C3017&lt;=结账锁),"※日期早于已结账截止日，不能再录",IF(AND($K3017="自用消耗",COUNTIF({"一矿区";"二矿区"},$L3017)=0),"※自用消耗的去向只能是一矿区或二矿区",IF(AND($K3017="对外销售",COUNTIF({"三矿区";"六矿区"},$L3017)=0),"※对外销售的去向只能是三矿区或六矿区",IF(AND($K3017="对外销售",ROUND($Q3017,0)=0),"※外销却没有售价，请填实际售价",IF(AND($K3017="对外销售",$T3017&lt;&gt;"",$T3017&lt;0),"※这一笔外销是亏的，请核对售价",IF(IFERROR(VLOOKUP($D3017,库存台账!$A$5:$Y$1204,24,0),0)&lt;-0.001,"※这个物料账面已经变成负数了，查一下是不是漏记入库","")))))))))))</f>
        <v/>
      </c>
    </row>
    <row r="3018">
      <c r="A3018" s="24">
        <f>IF($D3018="","",COUNTA($D$4:$D3018))</f>
        <v/>
      </c>
      <c r="B3018" s="17" t="n"/>
      <c r="C3018" s="30" t="n"/>
      <c r="D3018" s="17" t="n"/>
      <c r="E3018" s="24">
        <f>IF($D3018="","",IFERROR(VLOOKUP($D3018,物料档案!$A$4:$P$1203,3,0),"※编码不在物料档案里"))</f>
        <v/>
      </c>
      <c r="F3018" s="24">
        <f>IF($D3018="","",IFERROR(VLOOKUP($D3018,物料档案!$A$4:$P$1203,4,0),"※编码不在物料档案里"))</f>
        <v/>
      </c>
      <c r="G3018" s="24">
        <f>IF($D3018="","",IFERROR(VLOOKUP($D3018,物料档案!$A$4:$P$1203,5,0),"※编码不在物料档案里"))</f>
        <v/>
      </c>
      <c r="H3018" s="24">
        <f>IF($D3018="","",IFERROR(VLOOKUP($D3018,物料档案!$A$4:$P$1203,2,0),"※编码不在物料档案里"))</f>
        <v/>
      </c>
      <c r="I3018" s="24">
        <f>IF($D3018="","",IFERROR(VLOOKUP($D3018,物料档案!$A$4:$P$1203,6,0),"※编码不在物料档案里"))</f>
        <v/>
      </c>
      <c r="J3018" s="23" t="n"/>
      <c r="K3018" s="17" t="n"/>
      <c r="L3018" s="17" t="n"/>
      <c r="M3018" s="17" t="n"/>
      <c r="N3018" s="17" t="n"/>
      <c r="O3018" s="26">
        <f>IF($D3018="","",IFERROR(VLOOKUP($D3018,物料档案!$A$4:$P$1203,10,0),0))</f>
        <v/>
      </c>
      <c r="P3018" s="32" t="n"/>
      <c r="Q3018" s="26">
        <f>IF($D3018="","",IF($K3018&lt;&gt;"对外销售",0,ROUND(N($J3018)*IF($P3018="",N($O3018),N($P3018)),0)))</f>
        <v/>
      </c>
      <c r="R3018" s="26">
        <f>IF($D3018="","",IFERROR(VLOOKUP($D3018,库存台账!$A$5:$Y$1204,11,0),0))</f>
        <v/>
      </c>
      <c r="S3018" s="26">
        <f>IF($D3018="","",ROUND(N($J3018)*N($R3018),0))</f>
        <v/>
      </c>
      <c r="T3018" s="26">
        <f>IF($D3018="","",IF($K3018&lt;&gt;"对外销售","",ROUND($Q3018-$S3018,0)))</f>
        <v/>
      </c>
      <c r="U3018" s="17" t="n"/>
      <c r="V3018" s="17" t="n"/>
      <c r="W3018" s="24">
        <f>IF($D3018="","",IF($E3018="※编码不在物料档案里","※物料编码不在档案里",IF(N($J3018)&lt;=0,"※出库数量要大于 0",IF($K3018="","※没填去向类型",IF($L3018="","※没填去向矿区",IF(AND($C3018&lt;&gt;"",$C3018&lt;=结账锁),"※日期早于已结账截止日，不能再录",IF(AND($K3018="自用消耗",COUNTIF({"一矿区";"二矿区"},$L3018)=0),"※自用消耗的去向只能是一矿区或二矿区",IF(AND($K3018="对外销售",COUNTIF({"三矿区";"六矿区"},$L3018)=0),"※对外销售的去向只能是三矿区或六矿区",IF(AND($K3018="对外销售",ROUND($Q3018,0)=0),"※外销却没有售价，请填实际售价",IF(AND($K3018="对外销售",$T3018&lt;&gt;"",$T3018&lt;0),"※这一笔外销是亏的，请核对售价",IF(IFERROR(VLOOKUP($D3018,库存台账!$A$5:$Y$1204,24,0),0)&lt;-0.001,"※这个物料账面已经变成负数了，查一下是不是漏记入库","")))))))))))</f>
        <v/>
      </c>
    </row>
    <row r="3019">
      <c r="A3019" s="24">
        <f>IF($D3019="","",COUNTA($D$4:$D3019))</f>
        <v/>
      </c>
      <c r="B3019" s="17" t="n"/>
      <c r="C3019" s="30" t="n"/>
      <c r="D3019" s="17" t="n"/>
      <c r="E3019" s="24">
        <f>IF($D3019="","",IFERROR(VLOOKUP($D3019,物料档案!$A$4:$P$1203,3,0),"※编码不在物料档案里"))</f>
        <v/>
      </c>
      <c r="F3019" s="24">
        <f>IF($D3019="","",IFERROR(VLOOKUP($D3019,物料档案!$A$4:$P$1203,4,0),"※编码不在物料档案里"))</f>
        <v/>
      </c>
      <c r="G3019" s="24">
        <f>IF($D3019="","",IFERROR(VLOOKUP($D3019,物料档案!$A$4:$P$1203,5,0),"※编码不在物料档案里"))</f>
        <v/>
      </c>
      <c r="H3019" s="24">
        <f>IF($D3019="","",IFERROR(VLOOKUP($D3019,物料档案!$A$4:$P$1203,2,0),"※编码不在物料档案里"))</f>
        <v/>
      </c>
      <c r="I3019" s="24">
        <f>IF($D3019="","",IFERROR(VLOOKUP($D3019,物料档案!$A$4:$P$1203,6,0),"※编码不在物料档案里"))</f>
        <v/>
      </c>
      <c r="J3019" s="23" t="n"/>
      <c r="K3019" s="17" t="n"/>
      <c r="L3019" s="17" t="n"/>
      <c r="M3019" s="17" t="n"/>
      <c r="N3019" s="17" t="n"/>
      <c r="O3019" s="26">
        <f>IF($D3019="","",IFERROR(VLOOKUP($D3019,物料档案!$A$4:$P$1203,10,0),0))</f>
        <v/>
      </c>
      <c r="P3019" s="32" t="n"/>
      <c r="Q3019" s="26">
        <f>IF($D3019="","",IF($K3019&lt;&gt;"对外销售",0,ROUND(N($J3019)*IF($P3019="",N($O3019),N($P3019)),0)))</f>
        <v/>
      </c>
      <c r="R3019" s="26">
        <f>IF($D3019="","",IFERROR(VLOOKUP($D3019,库存台账!$A$5:$Y$1204,11,0),0))</f>
        <v/>
      </c>
      <c r="S3019" s="26">
        <f>IF($D3019="","",ROUND(N($J3019)*N($R3019),0))</f>
        <v/>
      </c>
      <c r="T3019" s="26">
        <f>IF($D3019="","",IF($K3019&lt;&gt;"对外销售","",ROUND($Q3019-$S3019,0)))</f>
        <v/>
      </c>
      <c r="U3019" s="17" t="n"/>
      <c r="V3019" s="17" t="n"/>
      <c r="W3019" s="24">
        <f>IF($D3019="","",IF($E3019="※编码不在物料档案里","※物料编码不在档案里",IF(N($J3019)&lt;=0,"※出库数量要大于 0",IF($K3019="","※没填去向类型",IF($L3019="","※没填去向矿区",IF(AND($C3019&lt;&gt;"",$C3019&lt;=结账锁),"※日期早于已结账截止日，不能再录",IF(AND($K3019="自用消耗",COUNTIF({"一矿区";"二矿区"},$L3019)=0),"※自用消耗的去向只能是一矿区或二矿区",IF(AND($K3019="对外销售",COUNTIF({"三矿区";"六矿区"},$L3019)=0),"※对外销售的去向只能是三矿区或六矿区",IF(AND($K3019="对外销售",ROUND($Q3019,0)=0),"※外销却没有售价，请填实际售价",IF(AND($K3019="对外销售",$T3019&lt;&gt;"",$T3019&lt;0),"※这一笔外销是亏的，请核对售价",IF(IFERROR(VLOOKUP($D3019,库存台账!$A$5:$Y$1204,24,0),0)&lt;-0.001,"※这个物料账面已经变成负数了，查一下是不是漏记入库","")))))))))))</f>
        <v/>
      </c>
    </row>
    <row r="3020">
      <c r="A3020" s="24">
        <f>IF($D3020="","",COUNTA($D$4:$D3020))</f>
        <v/>
      </c>
      <c r="B3020" s="17" t="n"/>
      <c r="C3020" s="30" t="n"/>
      <c r="D3020" s="17" t="n"/>
      <c r="E3020" s="24">
        <f>IF($D3020="","",IFERROR(VLOOKUP($D3020,物料档案!$A$4:$P$1203,3,0),"※编码不在物料档案里"))</f>
        <v/>
      </c>
      <c r="F3020" s="24">
        <f>IF($D3020="","",IFERROR(VLOOKUP($D3020,物料档案!$A$4:$P$1203,4,0),"※编码不在物料档案里"))</f>
        <v/>
      </c>
      <c r="G3020" s="24">
        <f>IF($D3020="","",IFERROR(VLOOKUP($D3020,物料档案!$A$4:$P$1203,5,0),"※编码不在物料档案里"))</f>
        <v/>
      </c>
      <c r="H3020" s="24">
        <f>IF($D3020="","",IFERROR(VLOOKUP($D3020,物料档案!$A$4:$P$1203,2,0),"※编码不在物料档案里"))</f>
        <v/>
      </c>
      <c r="I3020" s="24">
        <f>IF($D3020="","",IFERROR(VLOOKUP($D3020,物料档案!$A$4:$P$1203,6,0),"※编码不在物料档案里"))</f>
        <v/>
      </c>
      <c r="J3020" s="23" t="n"/>
      <c r="K3020" s="17" t="n"/>
      <c r="L3020" s="17" t="n"/>
      <c r="M3020" s="17" t="n"/>
      <c r="N3020" s="17" t="n"/>
      <c r="O3020" s="26">
        <f>IF($D3020="","",IFERROR(VLOOKUP($D3020,物料档案!$A$4:$P$1203,10,0),0))</f>
        <v/>
      </c>
      <c r="P3020" s="32" t="n"/>
      <c r="Q3020" s="26">
        <f>IF($D3020="","",IF($K3020&lt;&gt;"对外销售",0,ROUND(N($J3020)*IF($P3020="",N($O3020),N($P3020)),0)))</f>
        <v/>
      </c>
      <c r="R3020" s="26">
        <f>IF($D3020="","",IFERROR(VLOOKUP($D3020,库存台账!$A$5:$Y$1204,11,0),0))</f>
        <v/>
      </c>
      <c r="S3020" s="26">
        <f>IF($D3020="","",ROUND(N($J3020)*N($R3020),0))</f>
        <v/>
      </c>
      <c r="T3020" s="26">
        <f>IF($D3020="","",IF($K3020&lt;&gt;"对外销售","",ROUND($Q3020-$S3020,0)))</f>
        <v/>
      </c>
      <c r="U3020" s="17" t="n"/>
      <c r="V3020" s="17" t="n"/>
      <c r="W3020" s="24">
        <f>IF($D3020="","",IF($E3020="※编码不在物料档案里","※物料编码不在档案里",IF(N($J3020)&lt;=0,"※出库数量要大于 0",IF($K3020="","※没填去向类型",IF($L3020="","※没填去向矿区",IF(AND($C3020&lt;&gt;"",$C3020&lt;=结账锁),"※日期早于已结账截止日，不能再录",IF(AND($K3020="自用消耗",COUNTIF({"一矿区";"二矿区"},$L3020)=0),"※自用消耗的去向只能是一矿区或二矿区",IF(AND($K3020="对外销售",COUNTIF({"三矿区";"六矿区"},$L3020)=0),"※对外销售的去向只能是三矿区或六矿区",IF(AND($K3020="对外销售",ROUND($Q3020,0)=0),"※外销却没有售价，请填实际售价",IF(AND($K3020="对外销售",$T3020&lt;&gt;"",$T3020&lt;0),"※这一笔外销是亏的，请核对售价",IF(IFERROR(VLOOKUP($D3020,库存台账!$A$5:$Y$1204,24,0),0)&lt;-0.001,"※这个物料账面已经变成负数了，查一下是不是漏记入库","")))))))))))</f>
        <v/>
      </c>
    </row>
    <row r="3021">
      <c r="A3021" s="24">
        <f>IF($D3021="","",COUNTA($D$4:$D3021))</f>
        <v/>
      </c>
      <c r="B3021" s="17" t="n"/>
      <c r="C3021" s="30" t="n"/>
      <c r="D3021" s="17" t="n"/>
      <c r="E3021" s="24">
        <f>IF($D3021="","",IFERROR(VLOOKUP($D3021,物料档案!$A$4:$P$1203,3,0),"※编码不在物料档案里"))</f>
        <v/>
      </c>
      <c r="F3021" s="24">
        <f>IF($D3021="","",IFERROR(VLOOKUP($D3021,物料档案!$A$4:$P$1203,4,0),"※编码不在物料档案里"))</f>
        <v/>
      </c>
      <c r="G3021" s="24">
        <f>IF($D3021="","",IFERROR(VLOOKUP($D3021,物料档案!$A$4:$P$1203,5,0),"※编码不在物料档案里"))</f>
        <v/>
      </c>
      <c r="H3021" s="24">
        <f>IF($D3021="","",IFERROR(VLOOKUP($D3021,物料档案!$A$4:$P$1203,2,0),"※编码不在物料档案里"))</f>
        <v/>
      </c>
      <c r="I3021" s="24">
        <f>IF($D3021="","",IFERROR(VLOOKUP($D3021,物料档案!$A$4:$P$1203,6,0),"※编码不在物料档案里"))</f>
        <v/>
      </c>
      <c r="J3021" s="23" t="n"/>
      <c r="K3021" s="17" t="n"/>
      <c r="L3021" s="17" t="n"/>
      <c r="M3021" s="17" t="n"/>
      <c r="N3021" s="17" t="n"/>
      <c r="O3021" s="26">
        <f>IF($D3021="","",IFERROR(VLOOKUP($D3021,物料档案!$A$4:$P$1203,10,0),0))</f>
        <v/>
      </c>
      <c r="P3021" s="32" t="n"/>
      <c r="Q3021" s="26">
        <f>IF($D3021="","",IF($K3021&lt;&gt;"对外销售",0,ROUND(N($J3021)*IF($P3021="",N($O3021),N($P3021)),0)))</f>
        <v/>
      </c>
      <c r="R3021" s="26">
        <f>IF($D3021="","",IFERROR(VLOOKUP($D3021,库存台账!$A$5:$Y$1204,11,0),0))</f>
        <v/>
      </c>
      <c r="S3021" s="26">
        <f>IF($D3021="","",ROUND(N($J3021)*N($R3021),0))</f>
        <v/>
      </c>
      <c r="T3021" s="26">
        <f>IF($D3021="","",IF($K3021&lt;&gt;"对外销售","",ROUND($Q3021-$S3021,0)))</f>
        <v/>
      </c>
      <c r="U3021" s="17" t="n"/>
      <c r="V3021" s="17" t="n"/>
      <c r="W3021" s="24">
        <f>IF($D3021="","",IF($E3021="※编码不在物料档案里","※物料编码不在档案里",IF(N($J3021)&lt;=0,"※出库数量要大于 0",IF($K3021="","※没填去向类型",IF($L3021="","※没填去向矿区",IF(AND($C3021&lt;&gt;"",$C3021&lt;=结账锁),"※日期早于已结账截止日，不能再录",IF(AND($K3021="自用消耗",COUNTIF({"一矿区";"二矿区"},$L3021)=0),"※自用消耗的去向只能是一矿区或二矿区",IF(AND($K3021="对外销售",COUNTIF({"三矿区";"六矿区"},$L3021)=0),"※对外销售的去向只能是三矿区或六矿区",IF(AND($K3021="对外销售",ROUND($Q3021,0)=0),"※外销却没有售价，请填实际售价",IF(AND($K3021="对外销售",$T3021&lt;&gt;"",$T3021&lt;0),"※这一笔外销是亏的，请核对售价",IF(IFERROR(VLOOKUP($D3021,库存台账!$A$5:$Y$1204,24,0),0)&lt;-0.001,"※这个物料账面已经变成负数了，查一下是不是漏记入库","")))))))))))</f>
        <v/>
      </c>
    </row>
    <row r="3022">
      <c r="A3022" s="24">
        <f>IF($D3022="","",COUNTA($D$4:$D3022))</f>
        <v/>
      </c>
      <c r="B3022" s="17" t="n"/>
      <c r="C3022" s="30" t="n"/>
      <c r="D3022" s="17" t="n"/>
      <c r="E3022" s="24">
        <f>IF($D3022="","",IFERROR(VLOOKUP($D3022,物料档案!$A$4:$P$1203,3,0),"※编码不在物料档案里"))</f>
        <v/>
      </c>
      <c r="F3022" s="24">
        <f>IF($D3022="","",IFERROR(VLOOKUP($D3022,物料档案!$A$4:$P$1203,4,0),"※编码不在物料档案里"))</f>
        <v/>
      </c>
      <c r="G3022" s="24">
        <f>IF($D3022="","",IFERROR(VLOOKUP($D3022,物料档案!$A$4:$P$1203,5,0),"※编码不在物料档案里"))</f>
        <v/>
      </c>
      <c r="H3022" s="24">
        <f>IF($D3022="","",IFERROR(VLOOKUP($D3022,物料档案!$A$4:$P$1203,2,0),"※编码不在物料档案里"))</f>
        <v/>
      </c>
      <c r="I3022" s="24">
        <f>IF($D3022="","",IFERROR(VLOOKUP($D3022,物料档案!$A$4:$P$1203,6,0),"※编码不在物料档案里"))</f>
        <v/>
      </c>
      <c r="J3022" s="23" t="n"/>
      <c r="K3022" s="17" t="n"/>
      <c r="L3022" s="17" t="n"/>
      <c r="M3022" s="17" t="n"/>
      <c r="N3022" s="17" t="n"/>
      <c r="O3022" s="26">
        <f>IF($D3022="","",IFERROR(VLOOKUP($D3022,物料档案!$A$4:$P$1203,10,0),0))</f>
        <v/>
      </c>
      <c r="P3022" s="32" t="n"/>
      <c r="Q3022" s="26">
        <f>IF($D3022="","",IF($K3022&lt;&gt;"对外销售",0,ROUND(N($J3022)*IF($P3022="",N($O3022),N($P3022)),0)))</f>
        <v/>
      </c>
      <c r="R3022" s="26">
        <f>IF($D3022="","",IFERROR(VLOOKUP($D3022,库存台账!$A$5:$Y$1204,11,0),0))</f>
        <v/>
      </c>
      <c r="S3022" s="26">
        <f>IF($D3022="","",ROUND(N($J3022)*N($R3022),0))</f>
        <v/>
      </c>
      <c r="T3022" s="26">
        <f>IF($D3022="","",IF($K3022&lt;&gt;"对外销售","",ROUND($Q3022-$S3022,0)))</f>
        <v/>
      </c>
      <c r="U3022" s="17" t="n"/>
      <c r="V3022" s="17" t="n"/>
      <c r="W3022" s="24">
        <f>IF($D3022="","",IF($E3022="※编码不在物料档案里","※物料编码不在档案里",IF(N($J3022)&lt;=0,"※出库数量要大于 0",IF($K3022="","※没填去向类型",IF($L3022="","※没填去向矿区",IF(AND($C3022&lt;&gt;"",$C3022&lt;=结账锁),"※日期早于已结账截止日，不能再录",IF(AND($K3022="自用消耗",COUNTIF({"一矿区";"二矿区"},$L3022)=0),"※自用消耗的去向只能是一矿区或二矿区",IF(AND($K3022="对外销售",COUNTIF({"三矿区";"六矿区"},$L3022)=0),"※对外销售的去向只能是三矿区或六矿区",IF(AND($K3022="对外销售",ROUND($Q3022,0)=0),"※外销却没有售价，请填实际售价",IF(AND($K3022="对外销售",$T3022&lt;&gt;"",$T3022&lt;0),"※这一笔外销是亏的，请核对售价",IF(IFERROR(VLOOKUP($D3022,库存台账!$A$5:$Y$1204,24,0),0)&lt;-0.001,"※这个物料账面已经变成负数了，查一下是不是漏记入库","")))))))))))</f>
        <v/>
      </c>
    </row>
    <row r="3023">
      <c r="A3023" s="24">
        <f>IF($D3023="","",COUNTA($D$4:$D3023))</f>
        <v/>
      </c>
      <c r="B3023" s="17" t="n"/>
      <c r="C3023" s="30" t="n"/>
      <c r="D3023" s="17" t="n"/>
      <c r="E3023" s="24">
        <f>IF($D3023="","",IFERROR(VLOOKUP($D3023,物料档案!$A$4:$P$1203,3,0),"※编码不在物料档案里"))</f>
        <v/>
      </c>
      <c r="F3023" s="24">
        <f>IF($D3023="","",IFERROR(VLOOKUP($D3023,物料档案!$A$4:$P$1203,4,0),"※编码不在物料档案里"))</f>
        <v/>
      </c>
      <c r="G3023" s="24">
        <f>IF($D3023="","",IFERROR(VLOOKUP($D3023,物料档案!$A$4:$P$1203,5,0),"※编码不在物料档案里"))</f>
        <v/>
      </c>
      <c r="H3023" s="24">
        <f>IF($D3023="","",IFERROR(VLOOKUP($D3023,物料档案!$A$4:$P$1203,2,0),"※编码不在物料档案里"))</f>
        <v/>
      </c>
      <c r="I3023" s="24">
        <f>IF($D3023="","",IFERROR(VLOOKUP($D3023,物料档案!$A$4:$P$1203,6,0),"※编码不在物料档案里"))</f>
        <v/>
      </c>
      <c r="J3023" s="23" t="n"/>
      <c r="K3023" s="17" t="n"/>
      <c r="L3023" s="17" t="n"/>
      <c r="M3023" s="17" t="n"/>
      <c r="N3023" s="17" t="n"/>
      <c r="O3023" s="26">
        <f>IF($D3023="","",IFERROR(VLOOKUP($D3023,物料档案!$A$4:$P$1203,10,0),0))</f>
        <v/>
      </c>
      <c r="P3023" s="32" t="n"/>
      <c r="Q3023" s="26">
        <f>IF($D3023="","",IF($K3023&lt;&gt;"对外销售",0,ROUND(N($J3023)*IF($P3023="",N($O3023),N($P3023)),0)))</f>
        <v/>
      </c>
      <c r="R3023" s="26">
        <f>IF($D3023="","",IFERROR(VLOOKUP($D3023,库存台账!$A$5:$Y$1204,11,0),0))</f>
        <v/>
      </c>
      <c r="S3023" s="26">
        <f>IF($D3023="","",ROUND(N($J3023)*N($R3023),0))</f>
        <v/>
      </c>
      <c r="T3023" s="26">
        <f>IF($D3023="","",IF($K3023&lt;&gt;"对外销售","",ROUND($Q3023-$S3023,0)))</f>
        <v/>
      </c>
      <c r="U3023" s="17" t="n"/>
      <c r="V3023" s="17" t="n"/>
      <c r="W3023" s="24">
        <f>IF($D3023="","",IF($E3023="※编码不在物料档案里","※物料编码不在档案里",IF(N($J3023)&lt;=0,"※出库数量要大于 0",IF($K3023="","※没填去向类型",IF($L3023="","※没填去向矿区",IF(AND($C3023&lt;&gt;"",$C3023&lt;=结账锁),"※日期早于已结账截止日，不能再录",IF(AND($K3023="自用消耗",COUNTIF({"一矿区";"二矿区"},$L3023)=0),"※自用消耗的去向只能是一矿区或二矿区",IF(AND($K3023="对外销售",COUNTIF({"三矿区";"六矿区"},$L3023)=0),"※对外销售的去向只能是三矿区或六矿区",IF(AND($K3023="对外销售",ROUND($Q3023,0)=0),"※外销却没有售价，请填实际售价",IF(AND($K3023="对外销售",$T3023&lt;&gt;"",$T3023&lt;0),"※这一笔外销是亏的，请核对售价",IF(IFERROR(VLOOKUP($D3023,库存台账!$A$5:$Y$1204,24,0),0)&lt;-0.001,"※这个物料账面已经变成负数了，查一下是不是漏记入库","")))))))))))</f>
        <v/>
      </c>
    </row>
    <row r="3024">
      <c r="A3024" s="24">
        <f>IF($D3024="","",COUNTA($D$4:$D3024))</f>
        <v/>
      </c>
      <c r="B3024" s="17" t="n"/>
      <c r="C3024" s="30" t="n"/>
      <c r="D3024" s="17" t="n"/>
      <c r="E3024" s="24">
        <f>IF($D3024="","",IFERROR(VLOOKUP($D3024,物料档案!$A$4:$P$1203,3,0),"※编码不在物料档案里"))</f>
        <v/>
      </c>
      <c r="F3024" s="24">
        <f>IF($D3024="","",IFERROR(VLOOKUP($D3024,物料档案!$A$4:$P$1203,4,0),"※编码不在物料档案里"))</f>
        <v/>
      </c>
      <c r="G3024" s="24">
        <f>IF($D3024="","",IFERROR(VLOOKUP($D3024,物料档案!$A$4:$P$1203,5,0),"※编码不在物料档案里"))</f>
        <v/>
      </c>
      <c r="H3024" s="24">
        <f>IF($D3024="","",IFERROR(VLOOKUP($D3024,物料档案!$A$4:$P$1203,2,0),"※编码不在物料档案里"))</f>
        <v/>
      </c>
      <c r="I3024" s="24">
        <f>IF($D3024="","",IFERROR(VLOOKUP($D3024,物料档案!$A$4:$P$1203,6,0),"※编码不在物料档案里"))</f>
        <v/>
      </c>
      <c r="J3024" s="23" t="n"/>
      <c r="K3024" s="17" t="n"/>
      <c r="L3024" s="17" t="n"/>
      <c r="M3024" s="17" t="n"/>
      <c r="N3024" s="17" t="n"/>
      <c r="O3024" s="26">
        <f>IF($D3024="","",IFERROR(VLOOKUP($D3024,物料档案!$A$4:$P$1203,10,0),0))</f>
        <v/>
      </c>
      <c r="P3024" s="32" t="n"/>
      <c r="Q3024" s="26">
        <f>IF($D3024="","",IF($K3024&lt;&gt;"对外销售",0,ROUND(N($J3024)*IF($P3024="",N($O3024),N($P3024)),0)))</f>
        <v/>
      </c>
      <c r="R3024" s="26">
        <f>IF($D3024="","",IFERROR(VLOOKUP($D3024,库存台账!$A$5:$Y$1204,11,0),0))</f>
        <v/>
      </c>
      <c r="S3024" s="26">
        <f>IF($D3024="","",ROUND(N($J3024)*N($R3024),0))</f>
        <v/>
      </c>
      <c r="T3024" s="26">
        <f>IF($D3024="","",IF($K3024&lt;&gt;"对外销售","",ROUND($Q3024-$S3024,0)))</f>
        <v/>
      </c>
      <c r="U3024" s="17" t="n"/>
      <c r="V3024" s="17" t="n"/>
      <c r="W3024" s="24">
        <f>IF($D3024="","",IF($E3024="※编码不在物料档案里","※物料编码不在档案里",IF(N($J3024)&lt;=0,"※出库数量要大于 0",IF($K3024="","※没填去向类型",IF($L3024="","※没填去向矿区",IF(AND($C3024&lt;&gt;"",$C3024&lt;=结账锁),"※日期早于已结账截止日，不能再录",IF(AND($K3024="自用消耗",COUNTIF({"一矿区";"二矿区"},$L3024)=0),"※自用消耗的去向只能是一矿区或二矿区",IF(AND($K3024="对外销售",COUNTIF({"三矿区";"六矿区"},$L3024)=0),"※对外销售的去向只能是三矿区或六矿区",IF(AND($K3024="对外销售",ROUND($Q3024,0)=0),"※外销却没有售价，请填实际售价",IF(AND($K3024="对外销售",$T3024&lt;&gt;"",$T3024&lt;0),"※这一笔外销是亏的，请核对售价",IF(IFERROR(VLOOKUP($D3024,库存台账!$A$5:$Y$1204,24,0),0)&lt;-0.001,"※这个物料账面已经变成负数了，查一下是不是漏记入库","")))))))))))</f>
        <v/>
      </c>
    </row>
    <row r="3025">
      <c r="A3025" s="24">
        <f>IF($D3025="","",COUNTA($D$4:$D3025))</f>
        <v/>
      </c>
      <c r="B3025" s="17" t="n"/>
      <c r="C3025" s="30" t="n"/>
      <c r="D3025" s="17" t="n"/>
      <c r="E3025" s="24">
        <f>IF($D3025="","",IFERROR(VLOOKUP($D3025,物料档案!$A$4:$P$1203,3,0),"※编码不在物料档案里"))</f>
        <v/>
      </c>
      <c r="F3025" s="24">
        <f>IF($D3025="","",IFERROR(VLOOKUP($D3025,物料档案!$A$4:$P$1203,4,0),"※编码不在物料档案里"))</f>
        <v/>
      </c>
      <c r="G3025" s="24">
        <f>IF($D3025="","",IFERROR(VLOOKUP($D3025,物料档案!$A$4:$P$1203,5,0),"※编码不在物料档案里"))</f>
        <v/>
      </c>
      <c r="H3025" s="24">
        <f>IF($D3025="","",IFERROR(VLOOKUP($D3025,物料档案!$A$4:$P$1203,2,0),"※编码不在物料档案里"))</f>
        <v/>
      </c>
      <c r="I3025" s="24">
        <f>IF($D3025="","",IFERROR(VLOOKUP($D3025,物料档案!$A$4:$P$1203,6,0),"※编码不在物料档案里"))</f>
        <v/>
      </c>
      <c r="J3025" s="23" t="n"/>
      <c r="K3025" s="17" t="n"/>
      <c r="L3025" s="17" t="n"/>
      <c r="M3025" s="17" t="n"/>
      <c r="N3025" s="17" t="n"/>
      <c r="O3025" s="26">
        <f>IF($D3025="","",IFERROR(VLOOKUP($D3025,物料档案!$A$4:$P$1203,10,0),0))</f>
        <v/>
      </c>
      <c r="P3025" s="32" t="n"/>
      <c r="Q3025" s="26">
        <f>IF($D3025="","",IF($K3025&lt;&gt;"对外销售",0,ROUND(N($J3025)*IF($P3025="",N($O3025),N($P3025)),0)))</f>
        <v/>
      </c>
      <c r="R3025" s="26">
        <f>IF($D3025="","",IFERROR(VLOOKUP($D3025,库存台账!$A$5:$Y$1204,11,0),0))</f>
        <v/>
      </c>
      <c r="S3025" s="26">
        <f>IF($D3025="","",ROUND(N($J3025)*N($R3025),0))</f>
        <v/>
      </c>
      <c r="T3025" s="26">
        <f>IF($D3025="","",IF($K3025&lt;&gt;"对外销售","",ROUND($Q3025-$S3025,0)))</f>
        <v/>
      </c>
      <c r="U3025" s="17" t="n"/>
      <c r="V3025" s="17" t="n"/>
      <c r="W3025" s="24">
        <f>IF($D3025="","",IF($E3025="※编码不在物料档案里","※物料编码不在档案里",IF(N($J3025)&lt;=0,"※出库数量要大于 0",IF($K3025="","※没填去向类型",IF($L3025="","※没填去向矿区",IF(AND($C3025&lt;&gt;"",$C3025&lt;=结账锁),"※日期早于已结账截止日，不能再录",IF(AND($K3025="自用消耗",COUNTIF({"一矿区";"二矿区"},$L3025)=0),"※自用消耗的去向只能是一矿区或二矿区",IF(AND($K3025="对外销售",COUNTIF({"三矿区";"六矿区"},$L3025)=0),"※对外销售的去向只能是三矿区或六矿区",IF(AND($K3025="对外销售",ROUND($Q3025,0)=0),"※外销却没有售价，请填实际售价",IF(AND($K3025="对外销售",$T3025&lt;&gt;"",$T3025&lt;0),"※这一笔外销是亏的，请核对售价",IF(IFERROR(VLOOKUP($D3025,库存台账!$A$5:$Y$1204,24,0),0)&lt;-0.001,"※这个物料账面已经变成负数了，查一下是不是漏记入库","")))))))))))</f>
        <v/>
      </c>
    </row>
    <row r="3026">
      <c r="A3026" s="24">
        <f>IF($D3026="","",COUNTA($D$4:$D3026))</f>
        <v/>
      </c>
      <c r="B3026" s="17" t="n"/>
      <c r="C3026" s="30" t="n"/>
      <c r="D3026" s="17" t="n"/>
      <c r="E3026" s="24">
        <f>IF($D3026="","",IFERROR(VLOOKUP($D3026,物料档案!$A$4:$P$1203,3,0),"※编码不在物料档案里"))</f>
        <v/>
      </c>
      <c r="F3026" s="24">
        <f>IF($D3026="","",IFERROR(VLOOKUP($D3026,物料档案!$A$4:$P$1203,4,0),"※编码不在物料档案里"))</f>
        <v/>
      </c>
      <c r="G3026" s="24">
        <f>IF($D3026="","",IFERROR(VLOOKUP($D3026,物料档案!$A$4:$P$1203,5,0),"※编码不在物料档案里"))</f>
        <v/>
      </c>
      <c r="H3026" s="24">
        <f>IF($D3026="","",IFERROR(VLOOKUP($D3026,物料档案!$A$4:$P$1203,2,0),"※编码不在物料档案里"))</f>
        <v/>
      </c>
      <c r="I3026" s="24">
        <f>IF($D3026="","",IFERROR(VLOOKUP($D3026,物料档案!$A$4:$P$1203,6,0),"※编码不在物料档案里"))</f>
        <v/>
      </c>
      <c r="J3026" s="23" t="n"/>
      <c r="K3026" s="17" t="n"/>
      <c r="L3026" s="17" t="n"/>
      <c r="M3026" s="17" t="n"/>
      <c r="N3026" s="17" t="n"/>
      <c r="O3026" s="26">
        <f>IF($D3026="","",IFERROR(VLOOKUP($D3026,物料档案!$A$4:$P$1203,10,0),0))</f>
        <v/>
      </c>
      <c r="P3026" s="32" t="n"/>
      <c r="Q3026" s="26">
        <f>IF($D3026="","",IF($K3026&lt;&gt;"对外销售",0,ROUND(N($J3026)*IF($P3026="",N($O3026),N($P3026)),0)))</f>
        <v/>
      </c>
      <c r="R3026" s="26">
        <f>IF($D3026="","",IFERROR(VLOOKUP($D3026,库存台账!$A$5:$Y$1204,11,0),0))</f>
        <v/>
      </c>
      <c r="S3026" s="26">
        <f>IF($D3026="","",ROUND(N($J3026)*N($R3026),0))</f>
        <v/>
      </c>
      <c r="T3026" s="26">
        <f>IF($D3026="","",IF($K3026&lt;&gt;"对外销售","",ROUND($Q3026-$S3026,0)))</f>
        <v/>
      </c>
      <c r="U3026" s="17" t="n"/>
      <c r="V3026" s="17" t="n"/>
      <c r="W3026" s="24">
        <f>IF($D3026="","",IF($E3026="※编码不在物料档案里","※物料编码不在档案里",IF(N($J3026)&lt;=0,"※出库数量要大于 0",IF($K3026="","※没填去向类型",IF($L3026="","※没填去向矿区",IF(AND($C3026&lt;&gt;"",$C3026&lt;=结账锁),"※日期早于已结账截止日，不能再录",IF(AND($K3026="自用消耗",COUNTIF({"一矿区";"二矿区"},$L3026)=0),"※自用消耗的去向只能是一矿区或二矿区",IF(AND($K3026="对外销售",COUNTIF({"三矿区";"六矿区"},$L3026)=0),"※对外销售的去向只能是三矿区或六矿区",IF(AND($K3026="对外销售",ROUND($Q3026,0)=0),"※外销却没有售价，请填实际售价",IF(AND($K3026="对外销售",$T3026&lt;&gt;"",$T3026&lt;0),"※这一笔外销是亏的，请核对售价",IF(IFERROR(VLOOKUP($D3026,库存台账!$A$5:$Y$1204,24,0),0)&lt;-0.001,"※这个物料账面已经变成负数了，查一下是不是漏记入库","")))))))))))</f>
        <v/>
      </c>
    </row>
    <row r="3027">
      <c r="A3027" s="24">
        <f>IF($D3027="","",COUNTA($D$4:$D3027))</f>
        <v/>
      </c>
      <c r="B3027" s="17" t="n"/>
      <c r="C3027" s="30" t="n"/>
      <c r="D3027" s="17" t="n"/>
      <c r="E3027" s="24">
        <f>IF($D3027="","",IFERROR(VLOOKUP($D3027,物料档案!$A$4:$P$1203,3,0),"※编码不在物料档案里"))</f>
        <v/>
      </c>
      <c r="F3027" s="24">
        <f>IF($D3027="","",IFERROR(VLOOKUP($D3027,物料档案!$A$4:$P$1203,4,0),"※编码不在物料档案里"))</f>
        <v/>
      </c>
      <c r="G3027" s="24">
        <f>IF($D3027="","",IFERROR(VLOOKUP($D3027,物料档案!$A$4:$P$1203,5,0),"※编码不在物料档案里"))</f>
        <v/>
      </c>
      <c r="H3027" s="24">
        <f>IF($D3027="","",IFERROR(VLOOKUP($D3027,物料档案!$A$4:$P$1203,2,0),"※编码不在物料档案里"))</f>
        <v/>
      </c>
      <c r="I3027" s="24">
        <f>IF($D3027="","",IFERROR(VLOOKUP($D3027,物料档案!$A$4:$P$1203,6,0),"※编码不在物料档案里"))</f>
        <v/>
      </c>
      <c r="J3027" s="23" t="n"/>
      <c r="K3027" s="17" t="n"/>
      <c r="L3027" s="17" t="n"/>
      <c r="M3027" s="17" t="n"/>
      <c r="N3027" s="17" t="n"/>
      <c r="O3027" s="26">
        <f>IF($D3027="","",IFERROR(VLOOKUP($D3027,物料档案!$A$4:$P$1203,10,0),0))</f>
        <v/>
      </c>
      <c r="P3027" s="32" t="n"/>
      <c r="Q3027" s="26">
        <f>IF($D3027="","",IF($K3027&lt;&gt;"对外销售",0,ROUND(N($J3027)*IF($P3027="",N($O3027),N($P3027)),0)))</f>
        <v/>
      </c>
      <c r="R3027" s="26">
        <f>IF($D3027="","",IFERROR(VLOOKUP($D3027,库存台账!$A$5:$Y$1204,11,0),0))</f>
        <v/>
      </c>
      <c r="S3027" s="26">
        <f>IF($D3027="","",ROUND(N($J3027)*N($R3027),0))</f>
        <v/>
      </c>
      <c r="T3027" s="26">
        <f>IF($D3027="","",IF($K3027&lt;&gt;"对外销售","",ROUND($Q3027-$S3027,0)))</f>
        <v/>
      </c>
      <c r="U3027" s="17" t="n"/>
      <c r="V3027" s="17" t="n"/>
      <c r="W3027" s="24">
        <f>IF($D3027="","",IF($E3027="※编码不在物料档案里","※物料编码不在档案里",IF(N($J3027)&lt;=0,"※出库数量要大于 0",IF($K3027="","※没填去向类型",IF($L3027="","※没填去向矿区",IF(AND($C3027&lt;&gt;"",$C3027&lt;=结账锁),"※日期早于已结账截止日，不能再录",IF(AND($K3027="自用消耗",COUNTIF({"一矿区";"二矿区"},$L3027)=0),"※自用消耗的去向只能是一矿区或二矿区",IF(AND($K3027="对外销售",COUNTIF({"三矿区";"六矿区"},$L3027)=0),"※对外销售的去向只能是三矿区或六矿区",IF(AND($K3027="对外销售",ROUND($Q3027,0)=0),"※外销却没有售价，请填实际售价",IF(AND($K3027="对外销售",$T3027&lt;&gt;"",$T3027&lt;0),"※这一笔外销是亏的，请核对售价",IF(IFERROR(VLOOKUP($D3027,库存台账!$A$5:$Y$1204,24,0),0)&lt;-0.001,"※这个物料账面已经变成负数了，查一下是不是漏记入库","")))))))))))</f>
        <v/>
      </c>
    </row>
    <row r="3028">
      <c r="A3028" s="24">
        <f>IF($D3028="","",COUNTA($D$4:$D3028))</f>
        <v/>
      </c>
      <c r="B3028" s="17" t="n"/>
      <c r="C3028" s="30" t="n"/>
      <c r="D3028" s="17" t="n"/>
      <c r="E3028" s="24">
        <f>IF($D3028="","",IFERROR(VLOOKUP($D3028,物料档案!$A$4:$P$1203,3,0),"※编码不在物料档案里"))</f>
        <v/>
      </c>
      <c r="F3028" s="24">
        <f>IF($D3028="","",IFERROR(VLOOKUP($D3028,物料档案!$A$4:$P$1203,4,0),"※编码不在物料档案里"))</f>
        <v/>
      </c>
      <c r="G3028" s="24">
        <f>IF($D3028="","",IFERROR(VLOOKUP($D3028,物料档案!$A$4:$P$1203,5,0),"※编码不在物料档案里"))</f>
        <v/>
      </c>
      <c r="H3028" s="24">
        <f>IF($D3028="","",IFERROR(VLOOKUP($D3028,物料档案!$A$4:$P$1203,2,0),"※编码不在物料档案里"))</f>
        <v/>
      </c>
      <c r="I3028" s="24">
        <f>IF($D3028="","",IFERROR(VLOOKUP($D3028,物料档案!$A$4:$P$1203,6,0),"※编码不在物料档案里"))</f>
        <v/>
      </c>
      <c r="J3028" s="23" t="n"/>
      <c r="K3028" s="17" t="n"/>
      <c r="L3028" s="17" t="n"/>
      <c r="M3028" s="17" t="n"/>
      <c r="N3028" s="17" t="n"/>
      <c r="O3028" s="26">
        <f>IF($D3028="","",IFERROR(VLOOKUP($D3028,物料档案!$A$4:$P$1203,10,0),0))</f>
        <v/>
      </c>
      <c r="P3028" s="32" t="n"/>
      <c r="Q3028" s="26">
        <f>IF($D3028="","",IF($K3028&lt;&gt;"对外销售",0,ROUND(N($J3028)*IF($P3028="",N($O3028),N($P3028)),0)))</f>
        <v/>
      </c>
      <c r="R3028" s="26">
        <f>IF($D3028="","",IFERROR(VLOOKUP($D3028,库存台账!$A$5:$Y$1204,11,0),0))</f>
        <v/>
      </c>
      <c r="S3028" s="26">
        <f>IF($D3028="","",ROUND(N($J3028)*N($R3028),0))</f>
        <v/>
      </c>
      <c r="T3028" s="26">
        <f>IF($D3028="","",IF($K3028&lt;&gt;"对外销售","",ROUND($Q3028-$S3028,0)))</f>
        <v/>
      </c>
      <c r="U3028" s="17" t="n"/>
      <c r="V3028" s="17" t="n"/>
      <c r="W3028" s="24">
        <f>IF($D3028="","",IF($E3028="※编码不在物料档案里","※物料编码不在档案里",IF(N($J3028)&lt;=0,"※出库数量要大于 0",IF($K3028="","※没填去向类型",IF($L3028="","※没填去向矿区",IF(AND($C3028&lt;&gt;"",$C3028&lt;=结账锁),"※日期早于已结账截止日，不能再录",IF(AND($K3028="自用消耗",COUNTIF({"一矿区";"二矿区"},$L3028)=0),"※自用消耗的去向只能是一矿区或二矿区",IF(AND($K3028="对外销售",COUNTIF({"三矿区";"六矿区"},$L3028)=0),"※对外销售的去向只能是三矿区或六矿区",IF(AND($K3028="对外销售",ROUND($Q3028,0)=0),"※外销却没有售价，请填实际售价",IF(AND($K3028="对外销售",$T3028&lt;&gt;"",$T3028&lt;0),"※这一笔外销是亏的，请核对售价",IF(IFERROR(VLOOKUP($D3028,库存台账!$A$5:$Y$1204,24,0),0)&lt;-0.001,"※这个物料账面已经变成负数了，查一下是不是漏记入库","")))))))))))</f>
        <v/>
      </c>
    </row>
    <row r="3029">
      <c r="A3029" s="24">
        <f>IF($D3029="","",COUNTA($D$4:$D3029))</f>
        <v/>
      </c>
      <c r="B3029" s="17" t="n"/>
      <c r="C3029" s="30" t="n"/>
      <c r="D3029" s="17" t="n"/>
      <c r="E3029" s="24">
        <f>IF($D3029="","",IFERROR(VLOOKUP($D3029,物料档案!$A$4:$P$1203,3,0),"※编码不在物料档案里"))</f>
        <v/>
      </c>
      <c r="F3029" s="24">
        <f>IF($D3029="","",IFERROR(VLOOKUP($D3029,物料档案!$A$4:$P$1203,4,0),"※编码不在物料档案里"))</f>
        <v/>
      </c>
      <c r="G3029" s="24">
        <f>IF($D3029="","",IFERROR(VLOOKUP($D3029,物料档案!$A$4:$P$1203,5,0),"※编码不在物料档案里"))</f>
        <v/>
      </c>
      <c r="H3029" s="24">
        <f>IF($D3029="","",IFERROR(VLOOKUP($D3029,物料档案!$A$4:$P$1203,2,0),"※编码不在物料档案里"))</f>
        <v/>
      </c>
      <c r="I3029" s="24">
        <f>IF($D3029="","",IFERROR(VLOOKUP($D3029,物料档案!$A$4:$P$1203,6,0),"※编码不在物料档案里"))</f>
        <v/>
      </c>
      <c r="J3029" s="23" t="n"/>
      <c r="K3029" s="17" t="n"/>
      <c r="L3029" s="17" t="n"/>
      <c r="M3029" s="17" t="n"/>
      <c r="N3029" s="17" t="n"/>
      <c r="O3029" s="26">
        <f>IF($D3029="","",IFERROR(VLOOKUP($D3029,物料档案!$A$4:$P$1203,10,0),0))</f>
        <v/>
      </c>
      <c r="P3029" s="32" t="n"/>
      <c r="Q3029" s="26">
        <f>IF($D3029="","",IF($K3029&lt;&gt;"对外销售",0,ROUND(N($J3029)*IF($P3029="",N($O3029),N($P3029)),0)))</f>
        <v/>
      </c>
      <c r="R3029" s="26">
        <f>IF($D3029="","",IFERROR(VLOOKUP($D3029,库存台账!$A$5:$Y$1204,11,0),0))</f>
        <v/>
      </c>
      <c r="S3029" s="26">
        <f>IF($D3029="","",ROUND(N($J3029)*N($R3029),0))</f>
        <v/>
      </c>
      <c r="T3029" s="26">
        <f>IF($D3029="","",IF($K3029&lt;&gt;"对外销售","",ROUND($Q3029-$S3029,0)))</f>
        <v/>
      </c>
      <c r="U3029" s="17" t="n"/>
      <c r="V3029" s="17" t="n"/>
      <c r="W3029" s="24">
        <f>IF($D3029="","",IF($E3029="※编码不在物料档案里","※物料编码不在档案里",IF(N($J3029)&lt;=0,"※出库数量要大于 0",IF($K3029="","※没填去向类型",IF($L3029="","※没填去向矿区",IF(AND($C3029&lt;&gt;"",$C3029&lt;=结账锁),"※日期早于已结账截止日，不能再录",IF(AND($K3029="自用消耗",COUNTIF({"一矿区";"二矿区"},$L3029)=0),"※自用消耗的去向只能是一矿区或二矿区",IF(AND($K3029="对外销售",COUNTIF({"三矿区";"六矿区"},$L3029)=0),"※对外销售的去向只能是三矿区或六矿区",IF(AND($K3029="对外销售",ROUND($Q3029,0)=0),"※外销却没有售价，请填实际售价",IF(AND($K3029="对外销售",$T3029&lt;&gt;"",$T3029&lt;0),"※这一笔外销是亏的，请核对售价",IF(IFERROR(VLOOKUP($D3029,库存台账!$A$5:$Y$1204,24,0),0)&lt;-0.001,"※这个物料账面已经变成负数了，查一下是不是漏记入库","")))))))))))</f>
        <v/>
      </c>
    </row>
    <row r="3030">
      <c r="A3030" s="24">
        <f>IF($D3030="","",COUNTA($D$4:$D3030))</f>
        <v/>
      </c>
      <c r="B3030" s="17" t="n"/>
      <c r="C3030" s="30" t="n"/>
      <c r="D3030" s="17" t="n"/>
      <c r="E3030" s="24">
        <f>IF($D3030="","",IFERROR(VLOOKUP($D3030,物料档案!$A$4:$P$1203,3,0),"※编码不在物料档案里"))</f>
        <v/>
      </c>
      <c r="F3030" s="24">
        <f>IF($D3030="","",IFERROR(VLOOKUP($D3030,物料档案!$A$4:$P$1203,4,0),"※编码不在物料档案里"))</f>
        <v/>
      </c>
      <c r="G3030" s="24">
        <f>IF($D3030="","",IFERROR(VLOOKUP($D3030,物料档案!$A$4:$P$1203,5,0),"※编码不在物料档案里"))</f>
        <v/>
      </c>
      <c r="H3030" s="24">
        <f>IF($D3030="","",IFERROR(VLOOKUP($D3030,物料档案!$A$4:$P$1203,2,0),"※编码不在物料档案里"))</f>
        <v/>
      </c>
      <c r="I3030" s="24">
        <f>IF($D3030="","",IFERROR(VLOOKUP($D3030,物料档案!$A$4:$P$1203,6,0),"※编码不在物料档案里"))</f>
        <v/>
      </c>
      <c r="J3030" s="23" t="n"/>
      <c r="K3030" s="17" t="n"/>
      <c r="L3030" s="17" t="n"/>
      <c r="M3030" s="17" t="n"/>
      <c r="N3030" s="17" t="n"/>
      <c r="O3030" s="26">
        <f>IF($D3030="","",IFERROR(VLOOKUP($D3030,物料档案!$A$4:$P$1203,10,0),0))</f>
        <v/>
      </c>
      <c r="P3030" s="32" t="n"/>
      <c r="Q3030" s="26">
        <f>IF($D3030="","",IF($K3030&lt;&gt;"对外销售",0,ROUND(N($J3030)*IF($P3030="",N($O3030),N($P3030)),0)))</f>
        <v/>
      </c>
      <c r="R3030" s="26">
        <f>IF($D3030="","",IFERROR(VLOOKUP($D3030,库存台账!$A$5:$Y$1204,11,0),0))</f>
        <v/>
      </c>
      <c r="S3030" s="26">
        <f>IF($D3030="","",ROUND(N($J3030)*N($R3030),0))</f>
        <v/>
      </c>
      <c r="T3030" s="26">
        <f>IF($D3030="","",IF($K3030&lt;&gt;"对外销售","",ROUND($Q3030-$S3030,0)))</f>
        <v/>
      </c>
      <c r="U3030" s="17" t="n"/>
      <c r="V3030" s="17" t="n"/>
      <c r="W3030" s="24">
        <f>IF($D3030="","",IF($E3030="※编码不在物料档案里","※物料编码不在档案里",IF(N($J3030)&lt;=0,"※出库数量要大于 0",IF($K3030="","※没填去向类型",IF($L3030="","※没填去向矿区",IF(AND($C3030&lt;&gt;"",$C3030&lt;=结账锁),"※日期早于已结账截止日，不能再录",IF(AND($K3030="自用消耗",COUNTIF({"一矿区";"二矿区"},$L3030)=0),"※自用消耗的去向只能是一矿区或二矿区",IF(AND($K3030="对外销售",COUNTIF({"三矿区";"六矿区"},$L3030)=0),"※对外销售的去向只能是三矿区或六矿区",IF(AND($K3030="对外销售",ROUND($Q3030,0)=0),"※外销却没有售价，请填实际售价",IF(AND($K3030="对外销售",$T3030&lt;&gt;"",$T3030&lt;0),"※这一笔外销是亏的，请核对售价",IF(IFERROR(VLOOKUP($D3030,库存台账!$A$5:$Y$1204,24,0),0)&lt;-0.001,"※这个物料账面已经变成负数了，查一下是不是漏记入库","")))))))))))</f>
        <v/>
      </c>
    </row>
    <row r="3031">
      <c r="A3031" s="24">
        <f>IF($D3031="","",COUNTA($D$4:$D3031))</f>
        <v/>
      </c>
      <c r="B3031" s="17" t="n"/>
      <c r="C3031" s="30" t="n"/>
      <c r="D3031" s="17" t="n"/>
      <c r="E3031" s="24">
        <f>IF($D3031="","",IFERROR(VLOOKUP($D3031,物料档案!$A$4:$P$1203,3,0),"※编码不在物料档案里"))</f>
        <v/>
      </c>
      <c r="F3031" s="24">
        <f>IF($D3031="","",IFERROR(VLOOKUP($D3031,物料档案!$A$4:$P$1203,4,0),"※编码不在物料档案里"))</f>
        <v/>
      </c>
      <c r="G3031" s="24">
        <f>IF($D3031="","",IFERROR(VLOOKUP($D3031,物料档案!$A$4:$P$1203,5,0),"※编码不在物料档案里"))</f>
        <v/>
      </c>
      <c r="H3031" s="24">
        <f>IF($D3031="","",IFERROR(VLOOKUP($D3031,物料档案!$A$4:$P$1203,2,0),"※编码不在物料档案里"))</f>
        <v/>
      </c>
      <c r="I3031" s="24">
        <f>IF($D3031="","",IFERROR(VLOOKUP($D3031,物料档案!$A$4:$P$1203,6,0),"※编码不在物料档案里"))</f>
        <v/>
      </c>
      <c r="J3031" s="23" t="n"/>
      <c r="K3031" s="17" t="n"/>
      <c r="L3031" s="17" t="n"/>
      <c r="M3031" s="17" t="n"/>
      <c r="N3031" s="17" t="n"/>
      <c r="O3031" s="26">
        <f>IF($D3031="","",IFERROR(VLOOKUP($D3031,物料档案!$A$4:$P$1203,10,0),0))</f>
        <v/>
      </c>
      <c r="P3031" s="32" t="n"/>
      <c r="Q3031" s="26">
        <f>IF($D3031="","",IF($K3031&lt;&gt;"对外销售",0,ROUND(N($J3031)*IF($P3031="",N($O3031),N($P3031)),0)))</f>
        <v/>
      </c>
      <c r="R3031" s="26">
        <f>IF($D3031="","",IFERROR(VLOOKUP($D3031,库存台账!$A$5:$Y$1204,11,0),0))</f>
        <v/>
      </c>
      <c r="S3031" s="26">
        <f>IF($D3031="","",ROUND(N($J3031)*N($R3031),0))</f>
        <v/>
      </c>
      <c r="T3031" s="26">
        <f>IF($D3031="","",IF($K3031&lt;&gt;"对外销售","",ROUND($Q3031-$S3031,0)))</f>
        <v/>
      </c>
      <c r="U3031" s="17" t="n"/>
      <c r="V3031" s="17" t="n"/>
      <c r="W3031" s="24">
        <f>IF($D3031="","",IF($E3031="※编码不在物料档案里","※物料编码不在档案里",IF(N($J3031)&lt;=0,"※出库数量要大于 0",IF($K3031="","※没填去向类型",IF($L3031="","※没填去向矿区",IF(AND($C3031&lt;&gt;"",$C3031&lt;=结账锁),"※日期早于已结账截止日，不能再录",IF(AND($K3031="自用消耗",COUNTIF({"一矿区";"二矿区"},$L3031)=0),"※自用消耗的去向只能是一矿区或二矿区",IF(AND($K3031="对外销售",COUNTIF({"三矿区";"六矿区"},$L3031)=0),"※对外销售的去向只能是三矿区或六矿区",IF(AND($K3031="对外销售",ROUND($Q3031,0)=0),"※外销却没有售价，请填实际售价",IF(AND($K3031="对外销售",$T3031&lt;&gt;"",$T3031&lt;0),"※这一笔外销是亏的，请核对售价",IF(IFERROR(VLOOKUP($D3031,库存台账!$A$5:$Y$1204,24,0),0)&lt;-0.001,"※这个物料账面已经变成负数了，查一下是不是漏记入库","")))))))))))</f>
        <v/>
      </c>
    </row>
    <row r="3032">
      <c r="A3032" s="24">
        <f>IF($D3032="","",COUNTA($D$4:$D3032))</f>
        <v/>
      </c>
      <c r="B3032" s="17" t="n"/>
      <c r="C3032" s="30" t="n"/>
      <c r="D3032" s="17" t="n"/>
      <c r="E3032" s="24">
        <f>IF($D3032="","",IFERROR(VLOOKUP($D3032,物料档案!$A$4:$P$1203,3,0),"※编码不在物料档案里"))</f>
        <v/>
      </c>
      <c r="F3032" s="24">
        <f>IF($D3032="","",IFERROR(VLOOKUP($D3032,物料档案!$A$4:$P$1203,4,0),"※编码不在物料档案里"))</f>
        <v/>
      </c>
      <c r="G3032" s="24">
        <f>IF($D3032="","",IFERROR(VLOOKUP($D3032,物料档案!$A$4:$P$1203,5,0),"※编码不在物料档案里"))</f>
        <v/>
      </c>
      <c r="H3032" s="24">
        <f>IF($D3032="","",IFERROR(VLOOKUP($D3032,物料档案!$A$4:$P$1203,2,0),"※编码不在物料档案里"))</f>
        <v/>
      </c>
      <c r="I3032" s="24">
        <f>IF($D3032="","",IFERROR(VLOOKUP($D3032,物料档案!$A$4:$P$1203,6,0),"※编码不在物料档案里"))</f>
        <v/>
      </c>
      <c r="J3032" s="23" t="n"/>
      <c r="K3032" s="17" t="n"/>
      <c r="L3032" s="17" t="n"/>
      <c r="M3032" s="17" t="n"/>
      <c r="N3032" s="17" t="n"/>
      <c r="O3032" s="26">
        <f>IF($D3032="","",IFERROR(VLOOKUP($D3032,物料档案!$A$4:$P$1203,10,0),0))</f>
        <v/>
      </c>
      <c r="P3032" s="32" t="n"/>
      <c r="Q3032" s="26">
        <f>IF($D3032="","",IF($K3032&lt;&gt;"对外销售",0,ROUND(N($J3032)*IF($P3032="",N($O3032),N($P3032)),0)))</f>
        <v/>
      </c>
      <c r="R3032" s="26">
        <f>IF($D3032="","",IFERROR(VLOOKUP($D3032,库存台账!$A$5:$Y$1204,11,0),0))</f>
        <v/>
      </c>
      <c r="S3032" s="26">
        <f>IF($D3032="","",ROUND(N($J3032)*N($R3032),0))</f>
        <v/>
      </c>
      <c r="T3032" s="26">
        <f>IF($D3032="","",IF($K3032&lt;&gt;"对外销售","",ROUND($Q3032-$S3032,0)))</f>
        <v/>
      </c>
      <c r="U3032" s="17" t="n"/>
      <c r="V3032" s="17" t="n"/>
      <c r="W3032" s="24">
        <f>IF($D3032="","",IF($E3032="※编码不在物料档案里","※物料编码不在档案里",IF(N($J3032)&lt;=0,"※出库数量要大于 0",IF($K3032="","※没填去向类型",IF($L3032="","※没填去向矿区",IF(AND($C3032&lt;&gt;"",$C3032&lt;=结账锁),"※日期早于已结账截止日，不能再录",IF(AND($K3032="自用消耗",COUNTIF({"一矿区";"二矿区"},$L3032)=0),"※自用消耗的去向只能是一矿区或二矿区",IF(AND($K3032="对外销售",COUNTIF({"三矿区";"六矿区"},$L3032)=0),"※对外销售的去向只能是三矿区或六矿区",IF(AND($K3032="对外销售",ROUND($Q3032,0)=0),"※外销却没有售价，请填实际售价",IF(AND($K3032="对外销售",$T3032&lt;&gt;"",$T3032&lt;0),"※这一笔外销是亏的，请核对售价",IF(IFERROR(VLOOKUP($D3032,库存台账!$A$5:$Y$1204,24,0),0)&lt;-0.001,"※这个物料账面已经变成负数了，查一下是不是漏记入库","")))))))))))</f>
        <v/>
      </c>
    </row>
    <row r="3033">
      <c r="A3033" s="24">
        <f>IF($D3033="","",COUNTA($D$4:$D3033))</f>
        <v/>
      </c>
      <c r="B3033" s="17" t="n"/>
      <c r="C3033" s="30" t="n"/>
      <c r="D3033" s="17" t="n"/>
      <c r="E3033" s="24">
        <f>IF($D3033="","",IFERROR(VLOOKUP($D3033,物料档案!$A$4:$P$1203,3,0),"※编码不在物料档案里"))</f>
        <v/>
      </c>
      <c r="F3033" s="24">
        <f>IF($D3033="","",IFERROR(VLOOKUP($D3033,物料档案!$A$4:$P$1203,4,0),"※编码不在物料档案里"))</f>
        <v/>
      </c>
      <c r="G3033" s="24">
        <f>IF($D3033="","",IFERROR(VLOOKUP($D3033,物料档案!$A$4:$P$1203,5,0),"※编码不在物料档案里"))</f>
        <v/>
      </c>
      <c r="H3033" s="24">
        <f>IF($D3033="","",IFERROR(VLOOKUP($D3033,物料档案!$A$4:$P$1203,2,0),"※编码不在物料档案里"))</f>
        <v/>
      </c>
      <c r="I3033" s="24">
        <f>IF($D3033="","",IFERROR(VLOOKUP($D3033,物料档案!$A$4:$P$1203,6,0),"※编码不在物料档案里"))</f>
        <v/>
      </c>
      <c r="J3033" s="23" t="n"/>
      <c r="K3033" s="17" t="n"/>
      <c r="L3033" s="17" t="n"/>
      <c r="M3033" s="17" t="n"/>
      <c r="N3033" s="17" t="n"/>
      <c r="O3033" s="26">
        <f>IF($D3033="","",IFERROR(VLOOKUP($D3033,物料档案!$A$4:$P$1203,10,0),0))</f>
        <v/>
      </c>
      <c r="P3033" s="32" t="n"/>
      <c r="Q3033" s="26">
        <f>IF($D3033="","",IF($K3033&lt;&gt;"对外销售",0,ROUND(N($J3033)*IF($P3033="",N($O3033),N($P3033)),0)))</f>
        <v/>
      </c>
      <c r="R3033" s="26">
        <f>IF($D3033="","",IFERROR(VLOOKUP($D3033,库存台账!$A$5:$Y$1204,11,0),0))</f>
        <v/>
      </c>
      <c r="S3033" s="26">
        <f>IF($D3033="","",ROUND(N($J3033)*N($R3033),0))</f>
        <v/>
      </c>
      <c r="T3033" s="26">
        <f>IF($D3033="","",IF($K3033&lt;&gt;"对外销售","",ROUND($Q3033-$S3033,0)))</f>
        <v/>
      </c>
      <c r="U3033" s="17" t="n"/>
      <c r="V3033" s="17" t="n"/>
      <c r="W3033" s="24">
        <f>IF($D3033="","",IF($E3033="※编码不在物料档案里","※物料编码不在档案里",IF(N($J3033)&lt;=0,"※出库数量要大于 0",IF($K3033="","※没填去向类型",IF($L3033="","※没填去向矿区",IF(AND($C3033&lt;&gt;"",$C3033&lt;=结账锁),"※日期早于已结账截止日，不能再录",IF(AND($K3033="自用消耗",COUNTIF({"一矿区";"二矿区"},$L3033)=0),"※自用消耗的去向只能是一矿区或二矿区",IF(AND($K3033="对外销售",COUNTIF({"三矿区";"六矿区"},$L3033)=0),"※对外销售的去向只能是三矿区或六矿区",IF(AND($K3033="对外销售",ROUND($Q3033,0)=0),"※外销却没有售价，请填实际售价",IF(AND($K3033="对外销售",$T3033&lt;&gt;"",$T3033&lt;0),"※这一笔外销是亏的，请核对售价",IF(IFERROR(VLOOKUP($D3033,库存台账!$A$5:$Y$1204,24,0),0)&lt;-0.001,"※这个物料账面已经变成负数了，查一下是不是漏记入库","")))))))))))</f>
        <v/>
      </c>
    </row>
    <row r="3034">
      <c r="A3034" s="24">
        <f>IF($D3034="","",COUNTA($D$4:$D3034))</f>
        <v/>
      </c>
      <c r="B3034" s="17" t="n"/>
      <c r="C3034" s="30" t="n"/>
      <c r="D3034" s="17" t="n"/>
      <c r="E3034" s="24">
        <f>IF($D3034="","",IFERROR(VLOOKUP($D3034,物料档案!$A$4:$P$1203,3,0),"※编码不在物料档案里"))</f>
        <v/>
      </c>
      <c r="F3034" s="24">
        <f>IF($D3034="","",IFERROR(VLOOKUP($D3034,物料档案!$A$4:$P$1203,4,0),"※编码不在物料档案里"))</f>
        <v/>
      </c>
      <c r="G3034" s="24">
        <f>IF($D3034="","",IFERROR(VLOOKUP($D3034,物料档案!$A$4:$P$1203,5,0),"※编码不在物料档案里"))</f>
        <v/>
      </c>
      <c r="H3034" s="24">
        <f>IF($D3034="","",IFERROR(VLOOKUP($D3034,物料档案!$A$4:$P$1203,2,0),"※编码不在物料档案里"))</f>
        <v/>
      </c>
      <c r="I3034" s="24">
        <f>IF($D3034="","",IFERROR(VLOOKUP($D3034,物料档案!$A$4:$P$1203,6,0),"※编码不在物料档案里"))</f>
        <v/>
      </c>
      <c r="J3034" s="23" t="n"/>
      <c r="K3034" s="17" t="n"/>
      <c r="L3034" s="17" t="n"/>
      <c r="M3034" s="17" t="n"/>
      <c r="N3034" s="17" t="n"/>
      <c r="O3034" s="26">
        <f>IF($D3034="","",IFERROR(VLOOKUP($D3034,物料档案!$A$4:$P$1203,10,0),0))</f>
        <v/>
      </c>
      <c r="P3034" s="32" t="n"/>
      <c r="Q3034" s="26">
        <f>IF($D3034="","",IF($K3034&lt;&gt;"对外销售",0,ROUND(N($J3034)*IF($P3034="",N($O3034),N($P3034)),0)))</f>
        <v/>
      </c>
      <c r="R3034" s="26">
        <f>IF($D3034="","",IFERROR(VLOOKUP($D3034,库存台账!$A$5:$Y$1204,11,0),0))</f>
        <v/>
      </c>
      <c r="S3034" s="26">
        <f>IF($D3034="","",ROUND(N($J3034)*N($R3034),0))</f>
        <v/>
      </c>
      <c r="T3034" s="26">
        <f>IF($D3034="","",IF($K3034&lt;&gt;"对外销售","",ROUND($Q3034-$S3034,0)))</f>
        <v/>
      </c>
      <c r="U3034" s="17" t="n"/>
      <c r="V3034" s="17" t="n"/>
      <c r="W3034" s="24">
        <f>IF($D3034="","",IF($E3034="※编码不在物料档案里","※物料编码不在档案里",IF(N($J3034)&lt;=0,"※出库数量要大于 0",IF($K3034="","※没填去向类型",IF($L3034="","※没填去向矿区",IF(AND($C3034&lt;&gt;"",$C3034&lt;=结账锁),"※日期早于已结账截止日，不能再录",IF(AND($K3034="自用消耗",COUNTIF({"一矿区";"二矿区"},$L3034)=0),"※自用消耗的去向只能是一矿区或二矿区",IF(AND($K3034="对外销售",COUNTIF({"三矿区";"六矿区"},$L3034)=0),"※对外销售的去向只能是三矿区或六矿区",IF(AND($K3034="对外销售",ROUND($Q3034,0)=0),"※外销却没有售价，请填实际售价",IF(AND($K3034="对外销售",$T3034&lt;&gt;"",$T3034&lt;0),"※这一笔外销是亏的，请核对售价",IF(IFERROR(VLOOKUP($D3034,库存台账!$A$5:$Y$1204,24,0),0)&lt;-0.001,"※这个物料账面已经变成负数了，查一下是不是漏记入库","")))))))))))</f>
        <v/>
      </c>
    </row>
    <row r="3035">
      <c r="A3035" s="24">
        <f>IF($D3035="","",COUNTA($D$4:$D3035))</f>
        <v/>
      </c>
      <c r="B3035" s="17" t="n"/>
      <c r="C3035" s="30" t="n"/>
      <c r="D3035" s="17" t="n"/>
      <c r="E3035" s="24">
        <f>IF($D3035="","",IFERROR(VLOOKUP($D3035,物料档案!$A$4:$P$1203,3,0),"※编码不在物料档案里"))</f>
        <v/>
      </c>
      <c r="F3035" s="24">
        <f>IF($D3035="","",IFERROR(VLOOKUP($D3035,物料档案!$A$4:$P$1203,4,0),"※编码不在物料档案里"))</f>
        <v/>
      </c>
      <c r="G3035" s="24">
        <f>IF($D3035="","",IFERROR(VLOOKUP($D3035,物料档案!$A$4:$P$1203,5,0),"※编码不在物料档案里"))</f>
        <v/>
      </c>
      <c r="H3035" s="24">
        <f>IF($D3035="","",IFERROR(VLOOKUP($D3035,物料档案!$A$4:$P$1203,2,0),"※编码不在物料档案里"))</f>
        <v/>
      </c>
      <c r="I3035" s="24">
        <f>IF($D3035="","",IFERROR(VLOOKUP($D3035,物料档案!$A$4:$P$1203,6,0),"※编码不在物料档案里"))</f>
        <v/>
      </c>
      <c r="J3035" s="23" t="n"/>
      <c r="K3035" s="17" t="n"/>
      <c r="L3035" s="17" t="n"/>
      <c r="M3035" s="17" t="n"/>
      <c r="N3035" s="17" t="n"/>
      <c r="O3035" s="26">
        <f>IF($D3035="","",IFERROR(VLOOKUP($D3035,物料档案!$A$4:$P$1203,10,0),0))</f>
        <v/>
      </c>
      <c r="P3035" s="32" t="n"/>
      <c r="Q3035" s="26">
        <f>IF($D3035="","",IF($K3035&lt;&gt;"对外销售",0,ROUND(N($J3035)*IF($P3035="",N($O3035),N($P3035)),0)))</f>
        <v/>
      </c>
      <c r="R3035" s="26">
        <f>IF($D3035="","",IFERROR(VLOOKUP($D3035,库存台账!$A$5:$Y$1204,11,0),0))</f>
        <v/>
      </c>
      <c r="S3035" s="26">
        <f>IF($D3035="","",ROUND(N($J3035)*N($R3035),0))</f>
        <v/>
      </c>
      <c r="T3035" s="26">
        <f>IF($D3035="","",IF($K3035&lt;&gt;"对外销售","",ROUND($Q3035-$S3035,0)))</f>
        <v/>
      </c>
      <c r="U3035" s="17" t="n"/>
      <c r="V3035" s="17" t="n"/>
      <c r="W3035" s="24">
        <f>IF($D3035="","",IF($E3035="※编码不在物料档案里","※物料编码不在档案里",IF(N($J3035)&lt;=0,"※出库数量要大于 0",IF($K3035="","※没填去向类型",IF($L3035="","※没填去向矿区",IF(AND($C3035&lt;&gt;"",$C3035&lt;=结账锁),"※日期早于已结账截止日，不能再录",IF(AND($K3035="自用消耗",COUNTIF({"一矿区";"二矿区"},$L3035)=0),"※自用消耗的去向只能是一矿区或二矿区",IF(AND($K3035="对外销售",COUNTIF({"三矿区";"六矿区"},$L3035)=0),"※对外销售的去向只能是三矿区或六矿区",IF(AND($K3035="对外销售",ROUND($Q3035,0)=0),"※外销却没有售价，请填实际售价",IF(AND($K3035="对外销售",$T3035&lt;&gt;"",$T3035&lt;0),"※这一笔外销是亏的，请核对售价",IF(IFERROR(VLOOKUP($D3035,库存台账!$A$5:$Y$1204,24,0),0)&lt;-0.001,"※这个物料账面已经变成负数了，查一下是不是漏记入库","")))))))))))</f>
        <v/>
      </c>
    </row>
    <row r="3036">
      <c r="A3036" s="24">
        <f>IF($D3036="","",COUNTA($D$4:$D3036))</f>
        <v/>
      </c>
      <c r="B3036" s="17" t="n"/>
      <c r="C3036" s="30" t="n"/>
      <c r="D3036" s="17" t="n"/>
      <c r="E3036" s="24">
        <f>IF($D3036="","",IFERROR(VLOOKUP($D3036,物料档案!$A$4:$P$1203,3,0),"※编码不在物料档案里"))</f>
        <v/>
      </c>
      <c r="F3036" s="24">
        <f>IF($D3036="","",IFERROR(VLOOKUP($D3036,物料档案!$A$4:$P$1203,4,0),"※编码不在物料档案里"))</f>
        <v/>
      </c>
      <c r="G3036" s="24">
        <f>IF($D3036="","",IFERROR(VLOOKUP($D3036,物料档案!$A$4:$P$1203,5,0),"※编码不在物料档案里"))</f>
        <v/>
      </c>
      <c r="H3036" s="24">
        <f>IF($D3036="","",IFERROR(VLOOKUP($D3036,物料档案!$A$4:$P$1203,2,0),"※编码不在物料档案里"))</f>
        <v/>
      </c>
      <c r="I3036" s="24">
        <f>IF($D3036="","",IFERROR(VLOOKUP($D3036,物料档案!$A$4:$P$1203,6,0),"※编码不在物料档案里"))</f>
        <v/>
      </c>
      <c r="J3036" s="23" t="n"/>
      <c r="K3036" s="17" t="n"/>
      <c r="L3036" s="17" t="n"/>
      <c r="M3036" s="17" t="n"/>
      <c r="N3036" s="17" t="n"/>
      <c r="O3036" s="26">
        <f>IF($D3036="","",IFERROR(VLOOKUP($D3036,物料档案!$A$4:$P$1203,10,0),0))</f>
        <v/>
      </c>
      <c r="P3036" s="32" t="n"/>
      <c r="Q3036" s="26">
        <f>IF($D3036="","",IF($K3036&lt;&gt;"对外销售",0,ROUND(N($J3036)*IF($P3036="",N($O3036),N($P3036)),0)))</f>
        <v/>
      </c>
      <c r="R3036" s="26">
        <f>IF($D3036="","",IFERROR(VLOOKUP($D3036,库存台账!$A$5:$Y$1204,11,0),0))</f>
        <v/>
      </c>
      <c r="S3036" s="26">
        <f>IF($D3036="","",ROUND(N($J3036)*N($R3036),0))</f>
        <v/>
      </c>
      <c r="T3036" s="26">
        <f>IF($D3036="","",IF($K3036&lt;&gt;"对外销售","",ROUND($Q3036-$S3036,0)))</f>
        <v/>
      </c>
      <c r="U3036" s="17" t="n"/>
      <c r="V3036" s="17" t="n"/>
      <c r="W3036" s="24">
        <f>IF($D3036="","",IF($E3036="※编码不在物料档案里","※物料编码不在档案里",IF(N($J3036)&lt;=0,"※出库数量要大于 0",IF($K3036="","※没填去向类型",IF($L3036="","※没填去向矿区",IF(AND($C3036&lt;&gt;"",$C3036&lt;=结账锁),"※日期早于已结账截止日，不能再录",IF(AND($K3036="自用消耗",COUNTIF({"一矿区";"二矿区"},$L3036)=0),"※自用消耗的去向只能是一矿区或二矿区",IF(AND($K3036="对外销售",COUNTIF({"三矿区";"六矿区"},$L3036)=0),"※对外销售的去向只能是三矿区或六矿区",IF(AND($K3036="对外销售",ROUND($Q3036,0)=0),"※外销却没有售价，请填实际售价",IF(AND($K3036="对外销售",$T3036&lt;&gt;"",$T3036&lt;0),"※这一笔外销是亏的，请核对售价",IF(IFERROR(VLOOKUP($D3036,库存台账!$A$5:$Y$1204,24,0),0)&lt;-0.001,"※这个物料账面已经变成负数了，查一下是不是漏记入库","")))))))))))</f>
        <v/>
      </c>
    </row>
    <row r="3037">
      <c r="A3037" s="24">
        <f>IF($D3037="","",COUNTA($D$4:$D3037))</f>
        <v/>
      </c>
      <c r="B3037" s="17" t="n"/>
      <c r="C3037" s="30" t="n"/>
      <c r="D3037" s="17" t="n"/>
      <c r="E3037" s="24">
        <f>IF($D3037="","",IFERROR(VLOOKUP($D3037,物料档案!$A$4:$P$1203,3,0),"※编码不在物料档案里"))</f>
        <v/>
      </c>
      <c r="F3037" s="24">
        <f>IF($D3037="","",IFERROR(VLOOKUP($D3037,物料档案!$A$4:$P$1203,4,0),"※编码不在物料档案里"))</f>
        <v/>
      </c>
      <c r="G3037" s="24">
        <f>IF($D3037="","",IFERROR(VLOOKUP($D3037,物料档案!$A$4:$P$1203,5,0),"※编码不在物料档案里"))</f>
        <v/>
      </c>
      <c r="H3037" s="24">
        <f>IF($D3037="","",IFERROR(VLOOKUP($D3037,物料档案!$A$4:$P$1203,2,0),"※编码不在物料档案里"))</f>
        <v/>
      </c>
      <c r="I3037" s="24">
        <f>IF($D3037="","",IFERROR(VLOOKUP($D3037,物料档案!$A$4:$P$1203,6,0),"※编码不在物料档案里"))</f>
        <v/>
      </c>
      <c r="J3037" s="23" t="n"/>
      <c r="K3037" s="17" t="n"/>
      <c r="L3037" s="17" t="n"/>
      <c r="M3037" s="17" t="n"/>
      <c r="N3037" s="17" t="n"/>
      <c r="O3037" s="26">
        <f>IF($D3037="","",IFERROR(VLOOKUP($D3037,物料档案!$A$4:$P$1203,10,0),0))</f>
        <v/>
      </c>
      <c r="P3037" s="32" t="n"/>
      <c r="Q3037" s="26">
        <f>IF($D3037="","",IF($K3037&lt;&gt;"对外销售",0,ROUND(N($J3037)*IF($P3037="",N($O3037),N($P3037)),0)))</f>
        <v/>
      </c>
      <c r="R3037" s="26">
        <f>IF($D3037="","",IFERROR(VLOOKUP($D3037,库存台账!$A$5:$Y$1204,11,0),0))</f>
        <v/>
      </c>
      <c r="S3037" s="26">
        <f>IF($D3037="","",ROUND(N($J3037)*N($R3037),0))</f>
        <v/>
      </c>
      <c r="T3037" s="26">
        <f>IF($D3037="","",IF($K3037&lt;&gt;"对外销售","",ROUND($Q3037-$S3037,0)))</f>
        <v/>
      </c>
      <c r="U3037" s="17" t="n"/>
      <c r="V3037" s="17" t="n"/>
      <c r="W3037" s="24">
        <f>IF($D3037="","",IF($E3037="※编码不在物料档案里","※物料编码不在档案里",IF(N($J3037)&lt;=0,"※出库数量要大于 0",IF($K3037="","※没填去向类型",IF($L3037="","※没填去向矿区",IF(AND($C3037&lt;&gt;"",$C3037&lt;=结账锁),"※日期早于已结账截止日，不能再录",IF(AND($K3037="自用消耗",COUNTIF({"一矿区";"二矿区"},$L3037)=0),"※自用消耗的去向只能是一矿区或二矿区",IF(AND($K3037="对外销售",COUNTIF({"三矿区";"六矿区"},$L3037)=0),"※对外销售的去向只能是三矿区或六矿区",IF(AND($K3037="对外销售",ROUND($Q3037,0)=0),"※外销却没有售价，请填实际售价",IF(AND($K3037="对外销售",$T3037&lt;&gt;"",$T3037&lt;0),"※这一笔外销是亏的，请核对售价",IF(IFERROR(VLOOKUP($D3037,库存台账!$A$5:$Y$1204,24,0),0)&lt;-0.001,"※这个物料账面已经变成负数了，查一下是不是漏记入库","")))))))))))</f>
        <v/>
      </c>
    </row>
    <row r="3038">
      <c r="A3038" s="24">
        <f>IF($D3038="","",COUNTA($D$4:$D3038))</f>
        <v/>
      </c>
      <c r="B3038" s="17" t="n"/>
      <c r="C3038" s="30" t="n"/>
      <c r="D3038" s="17" t="n"/>
      <c r="E3038" s="24">
        <f>IF($D3038="","",IFERROR(VLOOKUP($D3038,物料档案!$A$4:$P$1203,3,0),"※编码不在物料档案里"))</f>
        <v/>
      </c>
      <c r="F3038" s="24">
        <f>IF($D3038="","",IFERROR(VLOOKUP($D3038,物料档案!$A$4:$P$1203,4,0),"※编码不在物料档案里"))</f>
        <v/>
      </c>
      <c r="G3038" s="24">
        <f>IF($D3038="","",IFERROR(VLOOKUP($D3038,物料档案!$A$4:$P$1203,5,0),"※编码不在物料档案里"))</f>
        <v/>
      </c>
      <c r="H3038" s="24">
        <f>IF($D3038="","",IFERROR(VLOOKUP($D3038,物料档案!$A$4:$P$1203,2,0),"※编码不在物料档案里"))</f>
        <v/>
      </c>
      <c r="I3038" s="24">
        <f>IF($D3038="","",IFERROR(VLOOKUP($D3038,物料档案!$A$4:$P$1203,6,0),"※编码不在物料档案里"))</f>
        <v/>
      </c>
      <c r="J3038" s="23" t="n"/>
      <c r="K3038" s="17" t="n"/>
      <c r="L3038" s="17" t="n"/>
      <c r="M3038" s="17" t="n"/>
      <c r="N3038" s="17" t="n"/>
      <c r="O3038" s="26">
        <f>IF($D3038="","",IFERROR(VLOOKUP($D3038,物料档案!$A$4:$P$1203,10,0),0))</f>
        <v/>
      </c>
      <c r="P3038" s="32" t="n"/>
      <c r="Q3038" s="26">
        <f>IF($D3038="","",IF($K3038&lt;&gt;"对外销售",0,ROUND(N($J3038)*IF($P3038="",N($O3038),N($P3038)),0)))</f>
        <v/>
      </c>
      <c r="R3038" s="26">
        <f>IF($D3038="","",IFERROR(VLOOKUP($D3038,库存台账!$A$5:$Y$1204,11,0),0))</f>
        <v/>
      </c>
      <c r="S3038" s="26">
        <f>IF($D3038="","",ROUND(N($J3038)*N($R3038),0))</f>
        <v/>
      </c>
      <c r="T3038" s="26">
        <f>IF($D3038="","",IF($K3038&lt;&gt;"对外销售","",ROUND($Q3038-$S3038,0)))</f>
        <v/>
      </c>
      <c r="U3038" s="17" t="n"/>
      <c r="V3038" s="17" t="n"/>
      <c r="W3038" s="24">
        <f>IF($D3038="","",IF($E3038="※编码不在物料档案里","※物料编码不在档案里",IF(N($J3038)&lt;=0,"※出库数量要大于 0",IF($K3038="","※没填去向类型",IF($L3038="","※没填去向矿区",IF(AND($C3038&lt;&gt;"",$C3038&lt;=结账锁),"※日期早于已结账截止日，不能再录",IF(AND($K3038="自用消耗",COUNTIF({"一矿区";"二矿区"},$L3038)=0),"※自用消耗的去向只能是一矿区或二矿区",IF(AND($K3038="对外销售",COUNTIF({"三矿区";"六矿区"},$L3038)=0),"※对外销售的去向只能是三矿区或六矿区",IF(AND($K3038="对外销售",ROUND($Q3038,0)=0),"※外销却没有售价，请填实际售价",IF(AND($K3038="对外销售",$T3038&lt;&gt;"",$T3038&lt;0),"※这一笔外销是亏的，请核对售价",IF(IFERROR(VLOOKUP($D3038,库存台账!$A$5:$Y$1204,24,0),0)&lt;-0.001,"※这个物料账面已经变成负数了，查一下是不是漏记入库","")))))))))))</f>
        <v/>
      </c>
    </row>
    <row r="3039">
      <c r="A3039" s="24">
        <f>IF($D3039="","",COUNTA($D$4:$D3039))</f>
        <v/>
      </c>
      <c r="B3039" s="17" t="n"/>
      <c r="C3039" s="30" t="n"/>
      <c r="D3039" s="17" t="n"/>
      <c r="E3039" s="24">
        <f>IF($D3039="","",IFERROR(VLOOKUP($D3039,物料档案!$A$4:$P$1203,3,0),"※编码不在物料档案里"))</f>
        <v/>
      </c>
      <c r="F3039" s="24">
        <f>IF($D3039="","",IFERROR(VLOOKUP($D3039,物料档案!$A$4:$P$1203,4,0),"※编码不在物料档案里"))</f>
        <v/>
      </c>
      <c r="G3039" s="24">
        <f>IF($D3039="","",IFERROR(VLOOKUP($D3039,物料档案!$A$4:$P$1203,5,0),"※编码不在物料档案里"))</f>
        <v/>
      </c>
      <c r="H3039" s="24">
        <f>IF($D3039="","",IFERROR(VLOOKUP($D3039,物料档案!$A$4:$P$1203,2,0),"※编码不在物料档案里"))</f>
        <v/>
      </c>
      <c r="I3039" s="24">
        <f>IF($D3039="","",IFERROR(VLOOKUP($D3039,物料档案!$A$4:$P$1203,6,0),"※编码不在物料档案里"))</f>
        <v/>
      </c>
      <c r="J3039" s="23" t="n"/>
      <c r="K3039" s="17" t="n"/>
      <c r="L3039" s="17" t="n"/>
      <c r="M3039" s="17" t="n"/>
      <c r="N3039" s="17" t="n"/>
      <c r="O3039" s="26">
        <f>IF($D3039="","",IFERROR(VLOOKUP($D3039,物料档案!$A$4:$P$1203,10,0),0))</f>
        <v/>
      </c>
      <c r="P3039" s="32" t="n"/>
      <c r="Q3039" s="26">
        <f>IF($D3039="","",IF($K3039&lt;&gt;"对外销售",0,ROUND(N($J3039)*IF($P3039="",N($O3039),N($P3039)),0)))</f>
        <v/>
      </c>
      <c r="R3039" s="26">
        <f>IF($D3039="","",IFERROR(VLOOKUP($D3039,库存台账!$A$5:$Y$1204,11,0),0))</f>
        <v/>
      </c>
      <c r="S3039" s="26">
        <f>IF($D3039="","",ROUND(N($J3039)*N($R3039),0))</f>
        <v/>
      </c>
      <c r="T3039" s="26">
        <f>IF($D3039="","",IF($K3039&lt;&gt;"对外销售","",ROUND($Q3039-$S3039,0)))</f>
        <v/>
      </c>
      <c r="U3039" s="17" t="n"/>
      <c r="V3039" s="17" t="n"/>
      <c r="W3039" s="24">
        <f>IF($D3039="","",IF($E3039="※编码不在物料档案里","※物料编码不在档案里",IF(N($J3039)&lt;=0,"※出库数量要大于 0",IF($K3039="","※没填去向类型",IF($L3039="","※没填去向矿区",IF(AND($C3039&lt;&gt;"",$C3039&lt;=结账锁),"※日期早于已结账截止日，不能再录",IF(AND($K3039="自用消耗",COUNTIF({"一矿区";"二矿区"},$L3039)=0),"※自用消耗的去向只能是一矿区或二矿区",IF(AND($K3039="对外销售",COUNTIF({"三矿区";"六矿区"},$L3039)=0),"※对外销售的去向只能是三矿区或六矿区",IF(AND($K3039="对外销售",ROUND($Q3039,0)=0),"※外销却没有售价，请填实际售价",IF(AND($K3039="对外销售",$T3039&lt;&gt;"",$T3039&lt;0),"※这一笔外销是亏的，请核对售价",IF(IFERROR(VLOOKUP($D3039,库存台账!$A$5:$Y$1204,24,0),0)&lt;-0.001,"※这个物料账面已经变成负数了，查一下是不是漏记入库","")))))))))))</f>
        <v/>
      </c>
    </row>
    <row r="3040">
      <c r="A3040" s="24">
        <f>IF($D3040="","",COUNTA($D$4:$D3040))</f>
        <v/>
      </c>
      <c r="B3040" s="17" t="n"/>
      <c r="C3040" s="30" t="n"/>
      <c r="D3040" s="17" t="n"/>
      <c r="E3040" s="24">
        <f>IF($D3040="","",IFERROR(VLOOKUP($D3040,物料档案!$A$4:$P$1203,3,0),"※编码不在物料档案里"))</f>
        <v/>
      </c>
      <c r="F3040" s="24">
        <f>IF($D3040="","",IFERROR(VLOOKUP($D3040,物料档案!$A$4:$P$1203,4,0),"※编码不在物料档案里"))</f>
        <v/>
      </c>
      <c r="G3040" s="24">
        <f>IF($D3040="","",IFERROR(VLOOKUP($D3040,物料档案!$A$4:$P$1203,5,0),"※编码不在物料档案里"))</f>
        <v/>
      </c>
      <c r="H3040" s="24">
        <f>IF($D3040="","",IFERROR(VLOOKUP($D3040,物料档案!$A$4:$P$1203,2,0),"※编码不在物料档案里"))</f>
        <v/>
      </c>
      <c r="I3040" s="24">
        <f>IF($D3040="","",IFERROR(VLOOKUP($D3040,物料档案!$A$4:$P$1203,6,0),"※编码不在物料档案里"))</f>
        <v/>
      </c>
      <c r="J3040" s="23" t="n"/>
      <c r="K3040" s="17" t="n"/>
      <c r="L3040" s="17" t="n"/>
      <c r="M3040" s="17" t="n"/>
      <c r="N3040" s="17" t="n"/>
      <c r="O3040" s="26">
        <f>IF($D3040="","",IFERROR(VLOOKUP($D3040,物料档案!$A$4:$P$1203,10,0),0))</f>
        <v/>
      </c>
      <c r="P3040" s="32" t="n"/>
      <c r="Q3040" s="26">
        <f>IF($D3040="","",IF($K3040&lt;&gt;"对外销售",0,ROUND(N($J3040)*IF($P3040="",N($O3040),N($P3040)),0)))</f>
        <v/>
      </c>
      <c r="R3040" s="26">
        <f>IF($D3040="","",IFERROR(VLOOKUP($D3040,库存台账!$A$5:$Y$1204,11,0),0))</f>
        <v/>
      </c>
      <c r="S3040" s="26">
        <f>IF($D3040="","",ROUND(N($J3040)*N($R3040),0))</f>
        <v/>
      </c>
      <c r="T3040" s="26">
        <f>IF($D3040="","",IF($K3040&lt;&gt;"对外销售","",ROUND($Q3040-$S3040,0)))</f>
        <v/>
      </c>
      <c r="U3040" s="17" t="n"/>
      <c r="V3040" s="17" t="n"/>
      <c r="W3040" s="24">
        <f>IF($D3040="","",IF($E3040="※编码不在物料档案里","※物料编码不在档案里",IF(N($J3040)&lt;=0,"※出库数量要大于 0",IF($K3040="","※没填去向类型",IF($L3040="","※没填去向矿区",IF(AND($C3040&lt;&gt;"",$C3040&lt;=结账锁),"※日期早于已结账截止日，不能再录",IF(AND($K3040="自用消耗",COUNTIF({"一矿区";"二矿区"},$L3040)=0),"※自用消耗的去向只能是一矿区或二矿区",IF(AND($K3040="对外销售",COUNTIF({"三矿区";"六矿区"},$L3040)=0),"※对外销售的去向只能是三矿区或六矿区",IF(AND($K3040="对外销售",ROUND($Q3040,0)=0),"※外销却没有售价，请填实际售价",IF(AND($K3040="对外销售",$T3040&lt;&gt;"",$T3040&lt;0),"※这一笔外销是亏的，请核对售价",IF(IFERROR(VLOOKUP($D3040,库存台账!$A$5:$Y$1204,24,0),0)&lt;-0.001,"※这个物料账面已经变成负数了，查一下是不是漏记入库","")))))))))))</f>
        <v/>
      </c>
    </row>
    <row r="3041">
      <c r="A3041" s="24">
        <f>IF($D3041="","",COUNTA($D$4:$D3041))</f>
        <v/>
      </c>
      <c r="B3041" s="17" t="n"/>
      <c r="C3041" s="30" t="n"/>
      <c r="D3041" s="17" t="n"/>
      <c r="E3041" s="24">
        <f>IF($D3041="","",IFERROR(VLOOKUP($D3041,物料档案!$A$4:$P$1203,3,0),"※编码不在物料档案里"))</f>
        <v/>
      </c>
      <c r="F3041" s="24">
        <f>IF($D3041="","",IFERROR(VLOOKUP($D3041,物料档案!$A$4:$P$1203,4,0),"※编码不在物料档案里"))</f>
        <v/>
      </c>
      <c r="G3041" s="24">
        <f>IF($D3041="","",IFERROR(VLOOKUP($D3041,物料档案!$A$4:$P$1203,5,0),"※编码不在物料档案里"))</f>
        <v/>
      </c>
      <c r="H3041" s="24">
        <f>IF($D3041="","",IFERROR(VLOOKUP($D3041,物料档案!$A$4:$P$1203,2,0),"※编码不在物料档案里"))</f>
        <v/>
      </c>
      <c r="I3041" s="24">
        <f>IF($D3041="","",IFERROR(VLOOKUP($D3041,物料档案!$A$4:$P$1203,6,0),"※编码不在物料档案里"))</f>
        <v/>
      </c>
      <c r="J3041" s="23" t="n"/>
      <c r="K3041" s="17" t="n"/>
      <c r="L3041" s="17" t="n"/>
      <c r="M3041" s="17" t="n"/>
      <c r="N3041" s="17" t="n"/>
      <c r="O3041" s="26">
        <f>IF($D3041="","",IFERROR(VLOOKUP($D3041,物料档案!$A$4:$P$1203,10,0),0))</f>
        <v/>
      </c>
      <c r="P3041" s="32" t="n"/>
      <c r="Q3041" s="26">
        <f>IF($D3041="","",IF($K3041&lt;&gt;"对外销售",0,ROUND(N($J3041)*IF($P3041="",N($O3041),N($P3041)),0)))</f>
        <v/>
      </c>
      <c r="R3041" s="26">
        <f>IF($D3041="","",IFERROR(VLOOKUP($D3041,库存台账!$A$5:$Y$1204,11,0),0))</f>
        <v/>
      </c>
      <c r="S3041" s="26">
        <f>IF($D3041="","",ROUND(N($J3041)*N($R3041),0))</f>
        <v/>
      </c>
      <c r="T3041" s="26">
        <f>IF($D3041="","",IF($K3041&lt;&gt;"对外销售","",ROUND($Q3041-$S3041,0)))</f>
        <v/>
      </c>
      <c r="U3041" s="17" t="n"/>
      <c r="V3041" s="17" t="n"/>
      <c r="W3041" s="24">
        <f>IF($D3041="","",IF($E3041="※编码不在物料档案里","※物料编码不在档案里",IF(N($J3041)&lt;=0,"※出库数量要大于 0",IF($K3041="","※没填去向类型",IF($L3041="","※没填去向矿区",IF(AND($C3041&lt;&gt;"",$C3041&lt;=结账锁),"※日期早于已结账截止日，不能再录",IF(AND($K3041="自用消耗",COUNTIF({"一矿区";"二矿区"},$L3041)=0),"※自用消耗的去向只能是一矿区或二矿区",IF(AND($K3041="对外销售",COUNTIF({"三矿区";"六矿区"},$L3041)=0),"※对外销售的去向只能是三矿区或六矿区",IF(AND($K3041="对外销售",ROUND($Q3041,0)=0),"※外销却没有售价，请填实际售价",IF(AND($K3041="对外销售",$T3041&lt;&gt;"",$T3041&lt;0),"※这一笔外销是亏的，请核对售价",IF(IFERROR(VLOOKUP($D3041,库存台账!$A$5:$Y$1204,24,0),0)&lt;-0.001,"※这个物料账面已经变成负数了，查一下是不是漏记入库","")))))))))))</f>
        <v/>
      </c>
    </row>
    <row r="3042">
      <c r="A3042" s="24">
        <f>IF($D3042="","",COUNTA($D$4:$D3042))</f>
        <v/>
      </c>
      <c r="B3042" s="17" t="n"/>
      <c r="C3042" s="30" t="n"/>
      <c r="D3042" s="17" t="n"/>
      <c r="E3042" s="24">
        <f>IF($D3042="","",IFERROR(VLOOKUP($D3042,物料档案!$A$4:$P$1203,3,0),"※编码不在物料档案里"))</f>
        <v/>
      </c>
      <c r="F3042" s="24">
        <f>IF($D3042="","",IFERROR(VLOOKUP($D3042,物料档案!$A$4:$P$1203,4,0),"※编码不在物料档案里"))</f>
        <v/>
      </c>
      <c r="G3042" s="24">
        <f>IF($D3042="","",IFERROR(VLOOKUP($D3042,物料档案!$A$4:$P$1203,5,0),"※编码不在物料档案里"))</f>
        <v/>
      </c>
      <c r="H3042" s="24">
        <f>IF($D3042="","",IFERROR(VLOOKUP($D3042,物料档案!$A$4:$P$1203,2,0),"※编码不在物料档案里"))</f>
        <v/>
      </c>
      <c r="I3042" s="24">
        <f>IF($D3042="","",IFERROR(VLOOKUP($D3042,物料档案!$A$4:$P$1203,6,0),"※编码不在物料档案里"))</f>
        <v/>
      </c>
      <c r="J3042" s="23" t="n"/>
      <c r="K3042" s="17" t="n"/>
      <c r="L3042" s="17" t="n"/>
      <c r="M3042" s="17" t="n"/>
      <c r="N3042" s="17" t="n"/>
      <c r="O3042" s="26">
        <f>IF($D3042="","",IFERROR(VLOOKUP($D3042,物料档案!$A$4:$P$1203,10,0),0))</f>
        <v/>
      </c>
      <c r="P3042" s="32" t="n"/>
      <c r="Q3042" s="26">
        <f>IF($D3042="","",IF($K3042&lt;&gt;"对外销售",0,ROUND(N($J3042)*IF($P3042="",N($O3042),N($P3042)),0)))</f>
        <v/>
      </c>
      <c r="R3042" s="26">
        <f>IF($D3042="","",IFERROR(VLOOKUP($D3042,库存台账!$A$5:$Y$1204,11,0),0))</f>
        <v/>
      </c>
      <c r="S3042" s="26">
        <f>IF($D3042="","",ROUND(N($J3042)*N($R3042),0))</f>
        <v/>
      </c>
      <c r="T3042" s="26">
        <f>IF($D3042="","",IF($K3042&lt;&gt;"对外销售","",ROUND($Q3042-$S3042,0)))</f>
        <v/>
      </c>
      <c r="U3042" s="17" t="n"/>
      <c r="V3042" s="17" t="n"/>
      <c r="W3042" s="24">
        <f>IF($D3042="","",IF($E3042="※编码不在物料档案里","※物料编码不在档案里",IF(N($J3042)&lt;=0,"※出库数量要大于 0",IF($K3042="","※没填去向类型",IF($L3042="","※没填去向矿区",IF(AND($C3042&lt;&gt;"",$C3042&lt;=结账锁),"※日期早于已结账截止日，不能再录",IF(AND($K3042="自用消耗",COUNTIF({"一矿区";"二矿区"},$L3042)=0),"※自用消耗的去向只能是一矿区或二矿区",IF(AND($K3042="对外销售",COUNTIF({"三矿区";"六矿区"},$L3042)=0),"※对外销售的去向只能是三矿区或六矿区",IF(AND($K3042="对外销售",ROUND($Q3042,0)=0),"※外销却没有售价，请填实际售价",IF(AND($K3042="对外销售",$T3042&lt;&gt;"",$T3042&lt;0),"※这一笔外销是亏的，请核对售价",IF(IFERROR(VLOOKUP($D3042,库存台账!$A$5:$Y$1204,24,0),0)&lt;-0.001,"※这个物料账面已经变成负数了，查一下是不是漏记入库","")))))))))))</f>
        <v/>
      </c>
    </row>
    <row r="3043">
      <c r="A3043" s="24">
        <f>IF($D3043="","",COUNTA($D$4:$D3043))</f>
        <v/>
      </c>
      <c r="B3043" s="17" t="n"/>
      <c r="C3043" s="30" t="n"/>
      <c r="D3043" s="17" t="n"/>
      <c r="E3043" s="24">
        <f>IF($D3043="","",IFERROR(VLOOKUP($D3043,物料档案!$A$4:$P$1203,3,0),"※编码不在物料档案里"))</f>
        <v/>
      </c>
      <c r="F3043" s="24">
        <f>IF($D3043="","",IFERROR(VLOOKUP($D3043,物料档案!$A$4:$P$1203,4,0),"※编码不在物料档案里"))</f>
        <v/>
      </c>
      <c r="G3043" s="24">
        <f>IF($D3043="","",IFERROR(VLOOKUP($D3043,物料档案!$A$4:$P$1203,5,0),"※编码不在物料档案里"))</f>
        <v/>
      </c>
      <c r="H3043" s="24">
        <f>IF($D3043="","",IFERROR(VLOOKUP($D3043,物料档案!$A$4:$P$1203,2,0),"※编码不在物料档案里"))</f>
        <v/>
      </c>
      <c r="I3043" s="24">
        <f>IF($D3043="","",IFERROR(VLOOKUP($D3043,物料档案!$A$4:$P$1203,6,0),"※编码不在物料档案里"))</f>
        <v/>
      </c>
      <c r="J3043" s="23" t="n"/>
      <c r="K3043" s="17" t="n"/>
      <c r="L3043" s="17" t="n"/>
      <c r="M3043" s="17" t="n"/>
      <c r="N3043" s="17" t="n"/>
      <c r="O3043" s="26">
        <f>IF($D3043="","",IFERROR(VLOOKUP($D3043,物料档案!$A$4:$P$1203,10,0),0))</f>
        <v/>
      </c>
      <c r="P3043" s="32" t="n"/>
      <c r="Q3043" s="26">
        <f>IF($D3043="","",IF($K3043&lt;&gt;"对外销售",0,ROUND(N($J3043)*IF($P3043="",N($O3043),N($P3043)),0)))</f>
        <v/>
      </c>
      <c r="R3043" s="26">
        <f>IF($D3043="","",IFERROR(VLOOKUP($D3043,库存台账!$A$5:$Y$1204,11,0),0))</f>
        <v/>
      </c>
      <c r="S3043" s="26">
        <f>IF($D3043="","",ROUND(N($J3043)*N($R3043),0))</f>
        <v/>
      </c>
      <c r="T3043" s="26">
        <f>IF($D3043="","",IF($K3043&lt;&gt;"对外销售","",ROUND($Q3043-$S3043,0)))</f>
        <v/>
      </c>
      <c r="U3043" s="17" t="n"/>
      <c r="V3043" s="17" t="n"/>
      <c r="W3043" s="24">
        <f>IF($D3043="","",IF($E3043="※编码不在物料档案里","※物料编码不在档案里",IF(N($J3043)&lt;=0,"※出库数量要大于 0",IF($K3043="","※没填去向类型",IF($L3043="","※没填去向矿区",IF(AND($C3043&lt;&gt;"",$C3043&lt;=结账锁),"※日期早于已结账截止日，不能再录",IF(AND($K3043="自用消耗",COUNTIF({"一矿区";"二矿区"},$L3043)=0),"※自用消耗的去向只能是一矿区或二矿区",IF(AND($K3043="对外销售",COUNTIF({"三矿区";"六矿区"},$L3043)=0),"※对外销售的去向只能是三矿区或六矿区",IF(AND($K3043="对外销售",ROUND($Q3043,0)=0),"※外销却没有售价，请填实际售价",IF(AND($K3043="对外销售",$T3043&lt;&gt;"",$T3043&lt;0),"※这一笔外销是亏的，请核对售价",IF(IFERROR(VLOOKUP($D3043,库存台账!$A$5:$Y$1204,24,0),0)&lt;-0.001,"※这个物料账面已经变成负数了，查一下是不是漏记入库","")))))))))))</f>
        <v/>
      </c>
    </row>
    <row r="3044">
      <c r="A3044" s="24">
        <f>IF($D3044="","",COUNTA($D$4:$D3044))</f>
        <v/>
      </c>
      <c r="B3044" s="17" t="n"/>
      <c r="C3044" s="30" t="n"/>
      <c r="D3044" s="17" t="n"/>
      <c r="E3044" s="24">
        <f>IF($D3044="","",IFERROR(VLOOKUP($D3044,物料档案!$A$4:$P$1203,3,0),"※编码不在物料档案里"))</f>
        <v/>
      </c>
      <c r="F3044" s="24">
        <f>IF($D3044="","",IFERROR(VLOOKUP($D3044,物料档案!$A$4:$P$1203,4,0),"※编码不在物料档案里"))</f>
        <v/>
      </c>
      <c r="G3044" s="24">
        <f>IF($D3044="","",IFERROR(VLOOKUP($D3044,物料档案!$A$4:$P$1203,5,0),"※编码不在物料档案里"))</f>
        <v/>
      </c>
      <c r="H3044" s="24">
        <f>IF($D3044="","",IFERROR(VLOOKUP($D3044,物料档案!$A$4:$P$1203,2,0),"※编码不在物料档案里"))</f>
        <v/>
      </c>
      <c r="I3044" s="24">
        <f>IF($D3044="","",IFERROR(VLOOKUP($D3044,物料档案!$A$4:$P$1203,6,0),"※编码不在物料档案里"))</f>
        <v/>
      </c>
      <c r="J3044" s="23" t="n"/>
      <c r="K3044" s="17" t="n"/>
      <c r="L3044" s="17" t="n"/>
      <c r="M3044" s="17" t="n"/>
      <c r="N3044" s="17" t="n"/>
      <c r="O3044" s="26">
        <f>IF($D3044="","",IFERROR(VLOOKUP($D3044,物料档案!$A$4:$P$1203,10,0),0))</f>
        <v/>
      </c>
      <c r="P3044" s="32" t="n"/>
      <c r="Q3044" s="26">
        <f>IF($D3044="","",IF($K3044&lt;&gt;"对外销售",0,ROUND(N($J3044)*IF($P3044="",N($O3044),N($P3044)),0)))</f>
        <v/>
      </c>
      <c r="R3044" s="26">
        <f>IF($D3044="","",IFERROR(VLOOKUP($D3044,库存台账!$A$5:$Y$1204,11,0),0))</f>
        <v/>
      </c>
      <c r="S3044" s="26">
        <f>IF($D3044="","",ROUND(N($J3044)*N($R3044),0))</f>
        <v/>
      </c>
      <c r="T3044" s="26">
        <f>IF($D3044="","",IF($K3044&lt;&gt;"对外销售","",ROUND($Q3044-$S3044,0)))</f>
        <v/>
      </c>
      <c r="U3044" s="17" t="n"/>
      <c r="V3044" s="17" t="n"/>
      <c r="W3044" s="24">
        <f>IF($D3044="","",IF($E3044="※编码不在物料档案里","※物料编码不在档案里",IF(N($J3044)&lt;=0,"※出库数量要大于 0",IF($K3044="","※没填去向类型",IF($L3044="","※没填去向矿区",IF(AND($C3044&lt;&gt;"",$C3044&lt;=结账锁),"※日期早于已结账截止日，不能再录",IF(AND($K3044="自用消耗",COUNTIF({"一矿区";"二矿区"},$L3044)=0),"※自用消耗的去向只能是一矿区或二矿区",IF(AND($K3044="对外销售",COUNTIF({"三矿区";"六矿区"},$L3044)=0),"※对外销售的去向只能是三矿区或六矿区",IF(AND($K3044="对外销售",ROUND($Q3044,0)=0),"※外销却没有售价，请填实际售价",IF(AND($K3044="对外销售",$T3044&lt;&gt;"",$T3044&lt;0),"※这一笔外销是亏的，请核对售价",IF(IFERROR(VLOOKUP($D3044,库存台账!$A$5:$Y$1204,24,0),0)&lt;-0.001,"※这个物料账面已经变成负数了，查一下是不是漏记入库","")))))))))))</f>
        <v/>
      </c>
    </row>
    <row r="3045">
      <c r="A3045" s="24">
        <f>IF($D3045="","",COUNTA($D$4:$D3045))</f>
        <v/>
      </c>
      <c r="B3045" s="17" t="n"/>
      <c r="C3045" s="30" t="n"/>
      <c r="D3045" s="17" t="n"/>
      <c r="E3045" s="24">
        <f>IF($D3045="","",IFERROR(VLOOKUP($D3045,物料档案!$A$4:$P$1203,3,0),"※编码不在物料档案里"))</f>
        <v/>
      </c>
      <c r="F3045" s="24">
        <f>IF($D3045="","",IFERROR(VLOOKUP($D3045,物料档案!$A$4:$P$1203,4,0),"※编码不在物料档案里"))</f>
        <v/>
      </c>
      <c r="G3045" s="24">
        <f>IF($D3045="","",IFERROR(VLOOKUP($D3045,物料档案!$A$4:$P$1203,5,0),"※编码不在物料档案里"))</f>
        <v/>
      </c>
      <c r="H3045" s="24">
        <f>IF($D3045="","",IFERROR(VLOOKUP($D3045,物料档案!$A$4:$P$1203,2,0),"※编码不在物料档案里"))</f>
        <v/>
      </c>
      <c r="I3045" s="24">
        <f>IF($D3045="","",IFERROR(VLOOKUP($D3045,物料档案!$A$4:$P$1203,6,0),"※编码不在物料档案里"))</f>
        <v/>
      </c>
      <c r="J3045" s="23" t="n"/>
      <c r="K3045" s="17" t="n"/>
      <c r="L3045" s="17" t="n"/>
      <c r="M3045" s="17" t="n"/>
      <c r="N3045" s="17" t="n"/>
      <c r="O3045" s="26">
        <f>IF($D3045="","",IFERROR(VLOOKUP($D3045,物料档案!$A$4:$P$1203,10,0),0))</f>
        <v/>
      </c>
      <c r="P3045" s="32" t="n"/>
      <c r="Q3045" s="26">
        <f>IF($D3045="","",IF($K3045&lt;&gt;"对外销售",0,ROUND(N($J3045)*IF($P3045="",N($O3045),N($P3045)),0)))</f>
        <v/>
      </c>
      <c r="R3045" s="26">
        <f>IF($D3045="","",IFERROR(VLOOKUP($D3045,库存台账!$A$5:$Y$1204,11,0),0))</f>
        <v/>
      </c>
      <c r="S3045" s="26">
        <f>IF($D3045="","",ROUND(N($J3045)*N($R3045),0))</f>
        <v/>
      </c>
      <c r="T3045" s="26">
        <f>IF($D3045="","",IF($K3045&lt;&gt;"对外销售","",ROUND($Q3045-$S3045,0)))</f>
        <v/>
      </c>
      <c r="U3045" s="17" t="n"/>
      <c r="V3045" s="17" t="n"/>
      <c r="W3045" s="24">
        <f>IF($D3045="","",IF($E3045="※编码不在物料档案里","※物料编码不在档案里",IF(N($J3045)&lt;=0,"※出库数量要大于 0",IF($K3045="","※没填去向类型",IF($L3045="","※没填去向矿区",IF(AND($C3045&lt;&gt;"",$C3045&lt;=结账锁),"※日期早于已结账截止日，不能再录",IF(AND($K3045="自用消耗",COUNTIF({"一矿区";"二矿区"},$L3045)=0),"※自用消耗的去向只能是一矿区或二矿区",IF(AND($K3045="对外销售",COUNTIF({"三矿区";"六矿区"},$L3045)=0),"※对外销售的去向只能是三矿区或六矿区",IF(AND($K3045="对外销售",ROUND($Q3045,0)=0),"※外销却没有售价，请填实际售价",IF(AND($K3045="对外销售",$T3045&lt;&gt;"",$T3045&lt;0),"※这一笔外销是亏的，请核对售价",IF(IFERROR(VLOOKUP($D3045,库存台账!$A$5:$Y$1204,24,0),0)&lt;-0.001,"※这个物料账面已经变成负数了，查一下是不是漏记入库","")))))))))))</f>
        <v/>
      </c>
    </row>
    <row r="3046">
      <c r="A3046" s="24">
        <f>IF($D3046="","",COUNTA($D$4:$D3046))</f>
        <v/>
      </c>
      <c r="B3046" s="17" t="n"/>
      <c r="C3046" s="30" t="n"/>
      <c r="D3046" s="17" t="n"/>
      <c r="E3046" s="24">
        <f>IF($D3046="","",IFERROR(VLOOKUP($D3046,物料档案!$A$4:$P$1203,3,0),"※编码不在物料档案里"))</f>
        <v/>
      </c>
      <c r="F3046" s="24">
        <f>IF($D3046="","",IFERROR(VLOOKUP($D3046,物料档案!$A$4:$P$1203,4,0),"※编码不在物料档案里"))</f>
        <v/>
      </c>
      <c r="G3046" s="24">
        <f>IF($D3046="","",IFERROR(VLOOKUP($D3046,物料档案!$A$4:$P$1203,5,0),"※编码不在物料档案里"))</f>
        <v/>
      </c>
      <c r="H3046" s="24">
        <f>IF($D3046="","",IFERROR(VLOOKUP($D3046,物料档案!$A$4:$P$1203,2,0),"※编码不在物料档案里"))</f>
        <v/>
      </c>
      <c r="I3046" s="24">
        <f>IF($D3046="","",IFERROR(VLOOKUP($D3046,物料档案!$A$4:$P$1203,6,0),"※编码不在物料档案里"))</f>
        <v/>
      </c>
      <c r="J3046" s="23" t="n"/>
      <c r="K3046" s="17" t="n"/>
      <c r="L3046" s="17" t="n"/>
      <c r="M3046" s="17" t="n"/>
      <c r="N3046" s="17" t="n"/>
      <c r="O3046" s="26">
        <f>IF($D3046="","",IFERROR(VLOOKUP($D3046,物料档案!$A$4:$P$1203,10,0),0))</f>
        <v/>
      </c>
      <c r="P3046" s="32" t="n"/>
      <c r="Q3046" s="26">
        <f>IF($D3046="","",IF($K3046&lt;&gt;"对外销售",0,ROUND(N($J3046)*IF($P3046="",N($O3046),N($P3046)),0)))</f>
        <v/>
      </c>
      <c r="R3046" s="26">
        <f>IF($D3046="","",IFERROR(VLOOKUP($D3046,库存台账!$A$5:$Y$1204,11,0),0))</f>
        <v/>
      </c>
      <c r="S3046" s="26">
        <f>IF($D3046="","",ROUND(N($J3046)*N($R3046),0))</f>
        <v/>
      </c>
      <c r="T3046" s="26">
        <f>IF($D3046="","",IF($K3046&lt;&gt;"对外销售","",ROUND($Q3046-$S3046,0)))</f>
        <v/>
      </c>
      <c r="U3046" s="17" t="n"/>
      <c r="V3046" s="17" t="n"/>
      <c r="W3046" s="24">
        <f>IF($D3046="","",IF($E3046="※编码不在物料档案里","※物料编码不在档案里",IF(N($J3046)&lt;=0,"※出库数量要大于 0",IF($K3046="","※没填去向类型",IF($L3046="","※没填去向矿区",IF(AND($C3046&lt;&gt;"",$C3046&lt;=结账锁),"※日期早于已结账截止日，不能再录",IF(AND($K3046="自用消耗",COUNTIF({"一矿区";"二矿区"},$L3046)=0),"※自用消耗的去向只能是一矿区或二矿区",IF(AND($K3046="对外销售",COUNTIF({"三矿区";"六矿区"},$L3046)=0),"※对外销售的去向只能是三矿区或六矿区",IF(AND($K3046="对外销售",ROUND($Q3046,0)=0),"※外销却没有售价，请填实际售价",IF(AND($K3046="对外销售",$T3046&lt;&gt;"",$T3046&lt;0),"※这一笔外销是亏的，请核对售价",IF(IFERROR(VLOOKUP($D3046,库存台账!$A$5:$Y$1204,24,0),0)&lt;-0.001,"※这个物料账面已经变成负数了，查一下是不是漏记入库","")))))))))))</f>
        <v/>
      </c>
    </row>
    <row r="3047">
      <c r="A3047" s="24">
        <f>IF($D3047="","",COUNTA($D$4:$D3047))</f>
        <v/>
      </c>
      <c r="B3047" s="17" t="n"/>
      <c r="C3047" s="30" t="n"/>
      <c r="D3047" s="17" t="n"/>
      <c r="E3047" s="24">
        <f>IF($D3047="","",IFERROR(VLOOKUP($D3047,物料档案!$A$4:$P$1203,3,0),"※编码不在物料档案里"))</f>
        <v/>
      </c>
      <c r="F3047" s="24">
        <f>IF($D3047="","",IFERROR(VLOOKUP($D3047,物料档案!$A$4:$P$1203,4,0),"※编码不在物料档案里"))</f>
        <v/>
      </c>
      <c r="G3047" s="24">
        <f>IF($D3047="","",IFERROR(VLOOKUP($D3047,物料档案!$A$4:$P$1203,5,0),"※编码不在物料档案里"))</f>
        <v/>
      </c>
      <c r="H3047" s="24">
        <f>IF($D3047="","",IFERROR(VLOOKUP($D3047,物料档案!$A$4:$P$1203,2,0),"※编码不在物料档案里"))</f>
        <v/>
      </c>
      <c r="I3047" s="24">
        <f>IF($D3047="","",IFERROR(VLOOKUP($D3047,物料档案!$A$4:$P$1203,6,0),"※编码不在物料档案里"))</f>
        <v/>
      </c>
      <c r="J3047" s="23" t="n"/>
      <c r="K3047" s="17" t="n"/>
      <c r="L3047" s="17" t="n"/>
      <c r="M3047" s="17" t="n"/>
      <c r="N3047" s="17" t="n"/>
      <c r="O3047" s="26">
        <f>IF($D3047="","",IFERROR(VLOOKUP($D3047,物料档案!$A$4:$P$1203,10,0),0))</f>
        <v/>
      </c>
      <c r="P3047" s="32" t="n"/>
      <c r="Q3047" s="26">
        <f>IF($D3047="","",IF($K3047&lt;&gt;"对外销售",0,ROUND(N($J3047)*IF($P3047="",N($O3047),N($P3047)),0)))</f>
        <v/>
      </c>
      <c r="R3047" s="26">
        <f>IF($D3047="","",IFERROR(VLOOKUP($D3047,库存台账!$A$5:$Y$1204,11,0),0))</f>
        <v/>
      </c>
      <c r="S3047" s="26">
        <f>IF($D3047="","",ROUND(N($J3047)*N($R3047),0))</f>
        <v/>
      </c>
      <c r="T3047" s="26">
        <f>IF($D3047="","",IF($K3047&lt;&gt;"对外销售","",ROUND($Q3047-$S3047,0)))</f>
        <v/>
      </c>
      <c r="U3047" s="17" t="n"/>
      <c r="V3047" s="17" t="n"/>
      <c r="W3047" s="24">
        <f>IF($D3047="","",IF($E3047="※编码不在物料档案里","※物料编码不在档案里",IF(N($J3047)&lt;=0,"※出库数量要大于 0",IF($K3047="","※没填去向类型",IF($L3047="","※没填去向矿区",IF(AND($C3047&lt;&gt;"",$C3047&lt;=结账锁),"※日期早于已结账截止日，不能再录",IF(AND($K3047="自用消耗",COUNTIF({"一矿区";"二矿区"},$L3047)=0),"※自用消耗的去向只能是一矿区或二矿区",IF(AND($K3047="对外销售",COUNTIF({"三矿区";"六矿区"},$L3047)=0),"※对外销售的去向只能是三矿区或六矿区",IF(AND($K3047="对外销售",ROUND($Q3047,0)=0),"※外销却没有售价，请填实际售价",IF(AND($K3047="对外销售",$T3047&lt;&gt;"",$T3047&lt;0),"※这一笔外销是亏的，请核对售价",IF(IFERROR(VLOOKUP($D3047,库存台账!$A$5:$Y$1204,24,0),0)&lt;-0.001,"※这个物料账面已经变成负数了，查一下是不是漏记入库","")))))))))))</f>
        <v/>
      </c>
    </row>
    <row r="3048">
      <c r="A3048" s="24">
        <f>IF($D3048="","",COUNTA($D$4:$D3048))</f>
        <v/>
      </c>
      <c r="B3048" s="17" t="n"/>
      <c r="C3048" s="30" t="n"/>
      <c r="D3048" s="17" t="n"/>
      <c r="E3048" s="24">
        <f>IF($D3048="","",IFERROR(VLOOKUP($D3048,物料档案!$A$4:$P$1203,3,0),"※编码不在物料档案里"))</f>
        <v/>
      </c>
      <c r="F3048" s="24">
        <f>IF($D3048="","",IFERROR(VLOOKUP($D3048,物料档案!$A$4:$P$1203,4,0),"※编码不在物料档案里"))</f>
        <v/>
      </c>
      <c r="G3048" s="24">
        <f>IF($D3048="","",IFERROR(VLOOKUP($D3048,物料档案!$A$4:$P$1203,5,0),"※编码不在物料档案里"))</f>
        <v/>
      </c>
      <c r="H3048" s="24">
        <f>IF($D3048="","",IFERROR(VLOOKUP($D3048,物料档案!$A$4:$P$1203,2,0),"※编码不在物料档案里"))</f>
        <v/>
      </c>
      <c r="I3048" s="24">
        <f>IF($D3048="","",IFERROR(VLOOKUP($D3048,物料档案!$A$4:$P$1203,6,0),"※编码不在物料档案里"))</f>
        <v/>
      </c>
      <c r="J3048" s="23" t="n"/>
      <c r="K3048" s="17" t="n"/>
      <c r="L3048" s="17" t="n"/>
      <c r="M3048" s="17" t="n"/>
      <c r="N3048" s="17" t="n"/>
      <c r="O3048" s="26">
        <f>IF($D3048="","",IFERROR(VLOOKUP($D3048,物料档案!$A$4:$P$1203,10,0),0))</f>
        <v/>
      </c>
      <c r="P3048" s="32" t="n"/>
      <c r="Q3048" s="26">
        <f>IF($D3048="","",IF($K3048&lt;&gt;"对外销售",0,ROUND(N($J3048)*IF($P3048="",N($O3048),N($P3048)),0)))</f>
        <v/>
      </c>
      <c r="R3048" s="26">
        <f>IF($D3048="","",IFERROR(VLOOKUP($D3048,库存台账!$A$5:$Y$1204,11,0),0))</f>
        <v/>
      </c>
      <c r="S3048" s="26">
        <f>IF($D3048="","",ROUND(N($J3048)*N($R3048),0))</f>
        <v/>
      </c>
      <c r="T3048" s="26">
        <f>IF($D3048="","",IF($K3048&lt;&gt;"对外销售","",ROUND($Q3048-$S3048,0)))</f>
        <v/>
      </c>
      <c r="U3048" s="17" t="n"/>
      <c r="V3048" s="17" t="n"/>
      <c r="W3048" s="24">
        <f>IF($D3048="","",IF($E3048="※编码不在物料档案里","※物料编码不在档案里",IF(N($J3048)&lt;=0,"※出库数量要大于 0",IF($K3048="","※没填去向类型",IF($L3048="","※没填去向矿区",IF(AND($C3048&lt;&gt;"",$C3048&lt;=结账锁),"※日期早于已结账截止日，不能再录",IF(AND($K3048="自用消耗",COUNTIF({"一矿区";"二矿区"},$L3048)=0),"※自用消耗的去向只能是一矿区或二矿区",IF(AND($K3048="对外销售",COUNTIF({"三矿区";"六矿区"},$L3048)=0),"※对外销售的去向只能是三矿区或六矿区",IF(AND($K3048="对外销售",ROUND($Q3048,0)=0),"※外销却没有售价，请填实际售价",IF(AND($K3048="对外销售",$T3048&lt;&gt;"",$T3048&lt;0),"※这一笔外销是亏的，请核对售价",IF(IFERROR(VLOOKUP($D3048,库存台账!$A$5:$Y$1204,24,0),0)&lt;-0.001,"※这个物料账面已经变成负数了，查一下是不是漏记入库","")))))))))))</f>
        <v/>
      </c>
    </row>
    <row r="3049">
      <c r="A3049" s="24">
        <f>IF($D3049="","",COUNTA($D$4:$D3049))</f>
        <v/>
      </c>
      <c r="B3049" s="17" t="n"/>
      <c r="C3049" s="30" t="n"/>
      <c r="D3049" s="17" t="n"/>
      <c r="E3049" s="24">
        <f>IF($D3049="","",IFERROR(VLOOKUP($D3049,物料档案!$A$4:$P$1203,3,0),"※编码不在物料档案里"))</f>
        <v/>
      </c>
      <c r="F3049" s="24">
        <f>IF($D3049="","",IFERROR(VLOOKUP($D3049,物料档案!$A$4:$P$1203,4,0),"※编码不在物料档案里"))</f>
        <v/>
      </c>
      <c r="G3049" s="24">
        <f>IF($D3049="","",IFERROR(VLOOKUP($D3049,物料档案!$A$4:$P$1203,5,0),"※编码不在物料档案里"))</f>
        <v/>
      </c>
      <c r="H3049" s="24">
        <f>IF($D3049="","",IFERROR(VLOOKUP($D3049,物料档案!$A$4:$P$1203,2,0),"※编码不在物料档案里"))</f>
        <v/>
      </c>
      <c r="I3049" s="24">
        <f>IF($D3049="","",IFERROR(VLOOKUP($D3049,物料档案!$A$4:$P$1203,6,0),"※编码不在物料档案里"))</f>
        <v/>
      </c>
      <c r="J3049" s="23" t="n"/>
      <c r="K3049" s="17" t="n"/>
      <c r="L3049" s="17" t="n"/>
      <c r="M3049" s="17" t="n"/>
      <c r="N3049" s="17" t="n"/>
      <c r="O3049" s="26">
        <f>IF($D3049="","",IFERROR(VLOOKUP($D3049,物料档案!$A$4:$P$1203,10,0),0))</f>
        <v/>
      </c>
      <c r="P3049" s="32" t="n"/>
      <c r="Q3049" s="26">
        <f>IF($D3049="","",IF($K3049&lt;&gt;"对外销售",0,ROUND(N($J3049)*IF($P3049="",N($O3049),N($P3049)),0)))</f>
        <v/>
      </c>
      <c r="R3049" s="26">
        <f>IF($D3049="","",IFERROR(VLOOKUP($D3049,库存台账!$A$5:$Y$1204,11,0),0))</f>
        <v/>
      </c>
      <c r="S3049" s="26">
        <f>IF($D3049="","",ROUND(N($J3049)*N($R3049),0))</f>
        <v/>
      </c>
      <c r="T3049" s="26">
        <f>IF($D3049="","",IF($K3049&lt;&gt;"对外销售","",ROUND($Q3049-$S3049,0)))</f>
        <v/>
      </c>
      <c r="U3049" s="17" t="n"/>
      <c r="V3049" s="17" t="n"/>
      <c r="W3049" s="24">
        <f>IF($D3049="","",IF($E3049="※编码不在物料档案里","※物料编码不在档案里",IF(N($J3049)&lt;=0,"※出库数量要大于 0",IF($K3049="","※没填去向类型",IF($L3049="","※没填去向矿区",IF(AND($C3049&lt;&gt;"",$C3049&lt;=结账锁),"※日期早于已结账截止日，不能再录",IF(AND($K3049="自用消耗",COUNTIF({"一矿区";"二矿区"},$L3049)=0),"※自用消耗的去向只能是一矿区或二矿区",IF(AND($K3049="对外销售",COUNTIF({"三矿区";"六矿区"},$L3049)=0),"※对外销售的去向只能是三矿区或六矿区",IF(AND($K3049="对外销售",ROUND($Q3049,0)=0),"※外销却没有售价，请填实际售价",IF(AND($K3049="对外销售",$T3049&lt;&gt;"",$T3049&lt;0),"※这一笔外销是亏的，请核对售价",IF(IFERROR(VLOOKUP($D3049,库存台账!$A$5:$Y$1204,24,0),0)&lt;-0.001,"※这个物料账面已经变成负数了，查一下是不是漏记入库","")))))))))))</f>
        <v/>
      </c>
    </row>
    <row r="3050">
      <c r="A3050" s="24">
        <f>IF($D3050="","",COUNTA($D$4:$D3050))</f>
        <v/>
      </c>
      <c r="B3050" s="17" t="n"/>
      <c r="C3050" s="30" t="n"/>
      <c r="D3050" s="17" t="n"/>
      <c r="E3050" s="24">
        <f>IF($D3050="","",IFERROR(VLOOKUP($D3050,物料档案!$A$4:$P$1203,3,0),"※编码不在物料档案里"))</f>
        <v/>
      </c>
      <c r="F3050" s="24">
        <f>IF($D3050="","",IFERROR(VLOOKUP($D3050,物料档案!$A$4:$P$1203,4,0),"※编码不在物料档案里"))</f>
        <v/>
      </c>
      <c r="G3050" s="24">
        <f>IF($D3050="","",IFERROR(VLOOKUP($D3050,物料档案!$A$4:$P$1203,5,0),"※编码不在物料档案里"))</f>
        <v/>
      </c>
      <c r="H3050" s="24">
        <f>IF($D3050="","",IFERROR(VLOOKUP($D3050,物料档案!$A$4:$P$1203,2,0),"※编码不在物料档案里"))</f>
        <v/>
      </c>
      <c r="I3050" s="24">
        <f>IF($D3050="","",IFERROR(VLOOKUP($D3050,物料档案!$A$4:$P$1203,6,0),"※编码不在物料档案里"))</f>
        <v/>
      </c>
      <c r="J3050" s="23" t="n"/>
      <c r="K3050" s="17" t="n"/>
      <c r="L3050" s="17" t="n"/>
      <c r="M3050" s="17" t="n"/>
      <c r="N3050" s="17" t="n"/>
      <c r="O3050" s="26">
        <f>IF($D3050="","",IFERROR(VLOOKUP($D3050,物料档案!$A$4:$P$1203,10,0),0))</f>
        <v/>
      </c>
      <c r="P3050" s="32" t="n"/>
      <c r="Q3050" s="26">
        <f>IF($D3050="","",IF($K3050&lt;&gt;"对外销售",0,ROUND(N($J3050)*IF($P3050="",N($O3050),N($P3050)),0)))</f>
        <v/>
      </c>
      <c r="R3050" s="26">
        <f>IF($D3050="","",IFERROR(VLOOKUP($D3050,库存台账!$A$5:$Y$1204,11,0),0))</f>
        <v/>
      </c>
      <c r="S3050" s="26">
        <f>IF($D3050="","",ROUND(N($J3050)*N($R3050),0))</f>
        <v/>
      </c>
      <c r="T3050" s="26">
        <f>IF($D3050="","",IF($K3050&lt;&gt;"对外销售","",ROUND($Q3050-$S3050,0)))</f>
        <v/>
      </c>
      <c r="U3050" s="17" t="n"/>
      <c r="V3050" s="17" t="n"/>
      <c r="W3050" s="24">
        <f>IF($D3050="","",IF($E3050="※编码不在物料档案里","※物料编码不在档案里",IF(N($J3050)&lt;=0,"※出库数量要大于 0",IF($K3050="","※没填去向类型",IF($L3050="","※没填去向矿区",IF(AND($C3050&lt;&gt;"",$C3050&lt;=结账锁),"※日期早于已结账截止日，不能再录",IF(AND($K3050="自用消耗",COUNTIF({"一矿区";"二矿区"},$L3050)=0),"※自用消耗的去向只能是一矿区或二矿区",IF(AND($K3050="对外销售",COUNTIF({"三矿区";"六矿区"},$L3050)=0),"※对外销售的去向只能是三矿区或六矿区",IF(AND($K3050="对外销售",ROUND($Q3050,0)=0),"※外销却没有售价，请填实际售价",IF(AND($K3050="对外销售",$T3050&lt;&gt;"",$T3050&lt;0),"※这一笔外销是亏的，请核对售价",IF(IFERROR(VLOOKUP($D3050,库存台账!$A$5:$Y$1204,24,0),0)&lt;-0.001,"※这个物料账面已经变成负数了，查一下是不是漏记入库","")))))))))))</f>
        <v/>
      </c>
    </row>
    <row r="3051">
      <c r="A3051" s="24">
        <f>IF($D3051="","",COUNTA($D$4:$D3051))</f>
        <v/>
      </c>
      <c r="B3051" s="17" t="n"/>
      <c r="C3051" s="30" t="n"/>
      <c r="D3051" s="17" t="n"/>
      <c r="E3051" s="24">
        <f>IF($D3051="","",IFERROR(VLOOKUP($D3051,物料档案!$A$4:$P$1203,3,0),"※编码不在物料档案里"))</f>
        <v/>
      </c>
      <c r="F3051" s="24">
        <f>IF($D3051="","",IFERROR(VLOOKUP($D3051,物料档案!$A$4:$P$1203,4,0),"※编码不在物料档案里"))</f>
        <v/>
      </c>
      <c r="G3051" s="24">
        <f>IF($D3051="","",IFERROR(VLOOKUP($D3051,物料档案!$A$4:$P$1203,5,0),"※编码不在物料档案里"))</f>
        <v/>
      </c>
      <c r="H3051" s="24">
        <f>IF($D3051="","",IFERROR(VLOOKUP($D3051,物料档案!$A$4:$P$1203,2,0),"※编码不在物料档案里"))</f>
        <v/>
      </c>
      <c r="I3051" s="24">
        <f>IF($D3051="","",IFERROR(VLOOKUP($D3051,物料档案!$A$4:$P$1203,6,0),"※编码不在物料档案里"))</f>
        <v/>
      </c>
      <c r="J3051" s="23" t="n"/>
      <c r="K3051" s="17" t="n"/>
      <c r="L3051" s="17" t="n"/>
      <c r="M3051" s="17" t="n"/>
      <c r="N3051" s="17" t="n"/>
      <c r="O3051" s="26">
        <f>IF($D3051="","",IFERROR(VLOOKUP($D3051,物料档案!$A$4:$P$1203,10,0),0))</f>
        <v/>
      </c>
      <c r="P3051" s="32" t="n"/>
      <c r="Q3051" s="26">
        <f>IF($D3051="","",IF($K3051&lt;&gt;"对外销售",0,ROUND(N($J3051)*IF($P3051="",N($O3051),N($P3051)),0)))</f>
        <v/>
      </c>
      <c r="R3051" s="26">
        <f>IF($D3051="","",IFERROR(VLOOKUP($D3051,库存台账!$A$5:$Y$1204,11,0),0))</f>
        <v/>
      </c>
      <c r="S3051" s="26">
        <f>IF($D3051="","",ROUND(N($J3051)*N($R3051),0))</f>
        <v/>
      </c>
      <c r="T3051" s="26">
        <f>IF($D3051="","",IF($K3051&lt;&gt;"对外销售","",ROUND($Q3051-$S3051,0)))</f>
        <v/>
      </c>
      <c r="U3051" s="17" t="n"/>
      <c r="V3051" s="17" t="n"/>
      <c r="W3051" s="24">
        <f>IF($D3051="","",IF($E3051="※编码不在物料档案里","※物料编码不在档案里",IF(N($J3051)&lt;=0,"※出库数量要大于 0",IF($K3051="","※没填去向类型",IF($L3051="","※没填去向矿区",IF(AND($C3051&lt;&gt;"",$C3051&lt;=结账锁),"※日期早于已结账截止日，不能再录",IF(AND($K3051="自用消耗",COUNTIF({"一矿区";"二矿区"},$L3051)=0),"※自用消耗的去向只能是一矿区或二矿区",IF(AND($K3051="对外销售",COUNTIF({"三矿区";"六矿区"},$L3051)=0),"※对外销售的去向只能是三矿区或六矿区",IF(AND($K3051="对外销售",ROUND($Q3051,0)=0),"※外销却没有售价，请填实际售价",IF(AND($K3051="对外销售",$T3051&lt;&gt;"",$T3051&lt;0),"※这一笔外销是亏的，请核对售价",IF(IFERROR(VLOOKUP($D3051,库存台账!$A$5:$Y$1204,24,0),0)&lt;-0.001,"※这个物料账面已经变成负数了，查一下是不是漏记入库","")))))))))))</f>
        <v/>
      </c>
    </row>
    <row r="3052">
      <c r="A3052" s="24">
        <f>IF($D3052="","",COUNTA($D$4:$D3052))</f>
        <v/>
      </c>
      <c r="B3052" s="17" t="n"/>
      <c r="C3052" s="30" t="n"/>
      <c r="D3052" s="17" t="n"/>
      <c r="E3052" s="24">
        <f>IF($D3052="","",IFERROR(VLOOKUP($D3052,物料档案!$A$4:$P$1203,3,0),"※编码不在物料档案里"))</f>
        <v/>
      </c>
      <c r="F3052" s="24">
        <f>IF($D3052="","",IFERROR(VLOOKUP($D3052,物料档案!$A$4:$P$1203,4,0),"※编码不在物料档案里"))</f>
        <v/>
      </c>
      <c r="G3052" s="24">
        <f>IF($D3052="","",IFERROR(VLOOKUP($D3052,物料档案!$A$4:$P$1203,5,0),"※编码不在物料档案里"))</f>
        <v/>
      </c>
      <c r="H3052" s="24">
        <f>IF($D3052="","",IFERROR(VLOOKUP($D3052,物料档案!$A$4:$P$1203,2,0),"※编码不在物料档案里"))</f>
        <v/>
      </c>
      <c r="I3052" s="24">
        <f>IF($D3052="","",IFERROR(VLOOKUP($D3052,物料档案!$A$4:$P$1203,6,0),"※编码不在物料档案里"))</f>
        <v/>
      </c>
      <c r="J3052" s="23" t="n"/>
      <c r="K3052" s="17" t="n"/>
      <c r="L3052" s="17" t="n"/>
      <c r="M3052" s="17" t="n"/>
      <c r="N3052" s="17" t="n"/>
      <c r="O3052" s="26">
        <f>IF($D3052="","",IFERROR(VLOOKUP($D3052,物料档案!$A$4:$P$1203,10,0),0))</f>
        <v/>
      </c>
      <c r="P3052" s="32" t="n"/>
      <c r="Q3052" s="26">
        <f>IF($D3052="","",IF($K3052&lt;&gt;"对外销售",0,ROUND(N($J3052)*IF($P3052="",N($O3052),N($P3052)),0)))</f>
        <v/>
      </c>
      <c r="R3052" s="26">
        <f>IF($D3052="","",IFERROR(VLOOKUP($D3052,库存台账!$A$5:$Y$1204,11,0),0))</f>
        <v/>
      </c>
      <c r="S3052" s="26">
        <f>IF($D3052="","",ROUND(N($J3052)*N($R3052),0))</f>
        <v/>
      </c>
      <c r="T3052" s="26">
        <f>IF($D3052="","",IF($K3052&lt;&gt;"对外销售","",ROUND($Q3052-$S3052,0)))</f>
        <v/>
      </c>
      <c r="U3052" s="17" t="n"/>
      <c r="V3052" s="17" t="n"/>
      <c r="W3052" s="24">
        <f>IF($D3052="","",IF($E3052="※编码不在物料档案里","※物料编码不在档案里",IF(N($J3052)&lt;=0,"※出库数量要大于 0",IF($K3052="","※没填去向类型",IF($L3052="","※没填去向矿区",IF(AND($C3052&lt;&gt;"",$C3052&lt;=结账锁),"※日期早于已结账截止日，不能再录",IF(AND($K3052="自用消耗",COUNTIF({"一矿区";"二矿区"},$L3052)=0),"※自用消耗的去向只能是一矿区或二矿区",IF(AND($K3052="对外销售",COUNTIF({"三矿区";"六矿区"},$L3052)=0),"※对外销售的去向只能是三矿区或六矿区",IF(AND($K3052="对外销售",ROUND($Q3052,0)=0),"※外销却没有售价，请填实际售价",IF(AND($K3052="对外销售",$T3052&lt;&gt;"",$T3052&lt;0),"※这一笔外销是亏的，请核对售价",IF(IFERROR(VLOOKUP($D3052,库存台账!$A$5:$Y$1204,24,0),0)&lt;-0.001,"※这个物料账面已经变成负数了，查一下是不是漏记入库","")))))))))))</f>
        <v/>
      </c>
    </row>
    <row r="3053">
      <c r="A3053" s="24">
        <f>IF($D3053="","",COUNTA($D$4:$D3053))</f>
        <v/>
      </c>
      <c r="B3053" s="17" t="n"/>
      <c r="C3053" s="30" t="n"/>
      <c r="D3053" s="17" t="n"/>
      <c r="E3053" s="24">
        <f>IF($D3053="","",IFERROR(VLOOKUP($D3053,物料档案!$A$4:$P$1203,3,0),"※编码不在物料档案里"))</f>
        <v/>
      </c>
      <c r="F3053" s="24">
        <f>IF($D3053="","",IFERROR(VLOOKUP($D3053,物料档案!$A$4:$P$1203,4,0),"※编码不在物料档案里"))</f>
        <v/>
      </c>
      <c r="G3053" s="24">
        <f>IF($D3053="","",IFERROR(VLOOKUP($D3053,物料档案!$A$4:$P$1203,5,0),"※编码不在物料档案里"))</f>
        <v/>
      </c>
      <c r="H3053" s="24">
        <f>IF($D3053="","",IFERROR(VLOOKUP($D3053,物料档案!$A$4:$P$1203,2,0),"※编码不在物料档案里"))</f>
        <v/>
      </c>
      <c r="I3053" s="24">
        <f>IF($D3053="","",IFERROR(VLOOKUP($D3053,物料档案!$A$4:$P$1203,6,0),"※编码不在物料档案里"))</f>
        <v/>
      </c>
      <c r="J3053" s="23" t="n"/>
      <c r="K3053" s="17" t="n"/>
      <c r="L3053" s="17" t="n"/>
      <c r="M3053" s="17" t="n"/>
      <c r="N3053" s="17" t="n"/>
      <c r="O3053" s="26">
        <f>IF($D3053="","",IFERROR(VLOOKUP($D3053,物料档案!$A$4:$P$1203,10,0),0))</f>
        <v/>
      </c>
      <c r="P3053" s="32" t="n"/>
      <c r="Q3053" s="26">
        <f>IF($D3053="","",IF($K3053&lt;&gt;"对外销售",0,ROUND(N($J3053)*IF($P3053="",N($O3053),N($P3053)),0)))</f>
        <v/>
      </c>
      <c r="R3053" s="26">
        <f>IF($D3053="","",IFERROR(VLOOKUP($D3053,库存台账!$A$5:$Y$1204,11,0),0))</f>
        <v/>
      </c>
      <c r="S3053" s="26">
        <f>IF($D3053="","",ROUND(N($J3053)*N($R3053),0))</f>
        <v/>
      </c>
      <c r="T3053" s="26">
        <f>IF($D3053="","",IF($K3053&lt;&gt;"对外销售","",ROUND($Q3053-$S3053,0)))</f>
        <v/>
      </c>
      <c r="U3053" s="17" t="n"/>
      <c r="V3053" s="17" t="n"/>
      <c r="W3053" s="24">
        <f>IF($D3053="","",IF($E3053="※编码不在物料档案里","※物料编码不在档案里",IF(N($J3053)&lt;=0,"※出库数量要大于 0",IF($K3053="","※没填去向类型",IF($L3053="","※没填去向矿区",IF(AND($C3053&lt;&gt;"",$C3053&lt;=结账锁),"※日期早于已结账截止日，不能再录",IF(AND($K3053="自用消耗",COUNTIF({"一矿区";"二矿区"},$L3053)=0),"※自用消耗的去向只能是一矿区或二矿区",IF(AND($K3053="对外销售",COUNTIF({"三矿区";"六矿区"},$L3053)=0),"※对外销售的去向只能是三矿区或六矿区",IF(AND($K3053="对外销售",ROUND($Q3053,0)=0),"※外销却没有售价，请填实际售价",IF(AND($K3053="对外销售",$T3053&lt;&gt;"",$T3053&lt;0),"※这一笔外销是亏的，请核对售价",IF(IFERROR(VLOOKUP($D3053,库存台账!$A$5:$Y$1204,24,0),0)&lt;-0.001,"※这个物料账面已经变成负数了，查一下是不是漏记入库","")))))))))))</f>
        <v/>
      </c>
    </row>
    <row r="3054">
      <c r="A3054" s="24">
        <f>IF($D3054="","",COUNTA($D$4:$D3054))</f>
        <v/>
      </c>
      <c r="B3054" s="17" t="n"/>
      <c r="C3054" s="30" t="n"/>
      <c r="D3054" s="17" t="n"/>
      <c r="E3054" s="24">
        <f>IF($D3054="","",IFERROR(VLOOKUP($D3054,物料档案!$A$4:$P$1203,3,0),"※编码不在物料档案里"))</f>
        <v/>
      </c>
      <c r="F3054" s="24">
        <f>IF($D3054="","",IFERROR(VLOOKUP($D3054,物料档案!$A$4:$P$1203,4,0),"※编码不在物料档案里"))</f>
        <v/>
      </c>
      <c r="G3054" s="24">
        <f>IF($D3054="","",IFERROR(VLOOKUP($D3054,物料档案!$A$4:$P$1203,5,0),"※编码不在物料档案里"))</f>
        <v/>
      </c>
      <c r="H3054" s="24">
        <f>IF($D3054="","",IFERROR(VLOOKUP($D3054,物料档案!$A$4:$P$1203,2,0),"※编码不在物料档案里"))</f>
        <v/>
      </c>
      <c r="I3054" s="24">
        <f>IF($D3054="","",IFERROR(VLOOKUP($D3054,物料档案!$A$4:$P$1203,6,0),"※编码不在物料档案里"))</f>
        <v/>
      </c>
      <c r="J3054" s="23" t="n"/>
      <c r="K3054" s="17" t="n"/>
      <c r="L3054" s="17" t="n"/>
      <c r="M3054" s="17" t="n"/>
      <c r="N3054" s="17" t="n"/>
      <c r="O3054" s="26">
        <f>IF($D3054="","",IFERROR(VLOOKUP($D3054,物料档案!$A$4:$P$1203,10,0),0))</f>
        <v/>
      </c>
      <c r="P3054" s="32" t="n"/>
      <c r="Q3054" s="26">
        <f>IF($D3054="","",IF($K3054&lt;&gt;"对外销售",0,ROUND(N($J3054)*IF($P3054="",N($O3054),N($P3054)),0)))</f>
        <v/>
      </c>
      <c r="R3054" s="26">
        <f>IF($D3054="","",IFERROR(VLOOKUP($D3054,库存台账!$A$5:$Y$1204,11,0),0))</f>
        <v/>
      </c>
      <c r="S3054" s="26">
        <f>IF($D3054="","",ROUND(N($J3054)*N($R3054),0))</f>
        <v/>
      </c>
      <c r="T3054" s="26">
        <f>IF($D3054="","",IF($K3054&lt;&gt;"对外销售","",ROUND($Q3054-$S3054,0)))</f>
        <v/>
      </c>
      <c r="U3054" s="17" t="n"/>
      <c r="V3054" s="17" t="n"/>
      <c r="W3054" s="24">
        <f>IF($D3054="","",IF($E3054="※编码不在物料档案里","※物料编码不在档案里",IF(N($J3054)&lt;=0,"※出库数量要大于 0",IF($K3054="","※没填去向类型",IF($L3054="","※没填去向矿区",IF(AND($C3054&lt;&gt;"",$C3054&lt;=结账锁),"※日期早于已结账截止日，不能再录",IF(AND($K3054="自用消耗",COUNTIF({"一矿区";"二矿区"},$L3054)=0),"※自用消耗的去向只能是一矿区或二矿区",IF(AND($K3054="对外销售",COUNTIF({"三矿区";"六矿区"},$L3054)=0),"※对外销售的去向只能是三矿区或六矿区",IF(AND($K3054="对外销售",ROUND($Q3054,0)=0),"※外销却没有售价，请填实际售价",IF(AND($K3054="对外销售",$T3054&lt;&gt;"",$T3054&lt;0),"※这一笔外销是亏的，请核对售价",IF(IFERROR(VLOOKUP($D3054,库存台账!$A$5:$Y$1204,24,0),0)&lt;-0.001,"※这个物料账面已经变成负数了，查一下是不是漏记入库","")))))))))))</f>
        <v/>
      </c>
    </row>
    <row r="3055">
      <c r="A3055" s="24">
        <f>IF($D3055="","",COUNTA($D$4:$D3055))</f>
        <v/>
      </c>
      <c r="B3055" s="17" t="n"/>
      <c r="C3055" s="30" t="n"/>
      <c r="D3055" s="17" t="n"/>
      <c r="E3055" s="24">
        <f>IF($D3055="","",IFERROR(VLOOKUP($D3055,物料档案!$A$4:$P$1203,3,0),"※编码不在物料档案里"))</f>
        <v/>
      </c>
      <c r="F3055" s="24">
        <f>IF($D3055="","",IFERROR(VLOOKUP($D3055,物料档案!$A$4:$P$1203,4,0),"※编码不在物料档案里"))</f>
        <v/>
      </c>
      <c r="G3055" s="24">
        <f>IF($D3055="","",IFERROR(VLOOKUP($D3055,物料档案!$A$4:$P$1203,5,0),"※编码不在物料档案里"))</f>
        <v/>
      </c>
      <c r="H3055" s="24">
        <f>IF($D3055="","",IFERROR(VLOOKUP($D3055,物料档案!$A$4:$P$1203,2,0),"※编码不在物料档案里"))</f>
        <v/>
      </c>
      <c r="I3055" s="24">
        <f>IF($D3055="","",IFERROR(VLOOKUP($D3055,物料档案!$A$4:$P$1203,6,0),"※编码不在物料档案里"))</f>
        <v/>
      </c>
      <c r="J3055" s="23" t="n"/>
      <c r="K3055" s="17" t="n"/>
      <c r="L3055" s="17" t="n"/>
      <c r="M3055" s="17" t="n"/>
      <c r="N3055" s="17" t="n"/>
      <c r="O3055" s="26">
        <f>IF($D3055="","",IFERROR(VLOOKUP($D3055,物料档案!$A$4:$P$1203,10,0),0))</f>
        <v/>
      </c>
      <c r="P3055" s="32" t="n"/>
      <c r="Q3055" s="26">
        <f>IF($D3055="","",IF($K3055&lt;&gt;"对外销售",0,ROUND(N($J3055)*IF($P3055="",N($O3055),N($P3055)),0)))</f>
        <v/>
      </c>
      <c r="R3055" s="26">
        <f>IF($D3055="","",IFERROR(VLOOKUP($D3055,库存台账!$A$5:$Y$1204,11,0),0))</f>
        <v/>
      </c>
      <c r="S3055" s="26">
        <f>IF($D3055="","",ROUND(N($J3055)*N($R3055),0))</f>
        <v/>
      </c>
      <c r="T3055" s="26">
        <f>IF($D3055="","",IF($K3055&lt;&gt;"对外销售","",ROUND($Q3055-$S3055,0)))</f>
        <v/>
      </c>
      <c r="U3055" s="17" t="n"/>
      <c r="V3055" s="17" t="n"/>
      <c r="W3055" s="24">
        <f>IF($D3055="","",IF($E3055="※编码不在物料档案里","※物料编码不在档案里",IF(N($J3055)&lt;=0,"※出库数量要大于 0",IF($K3055="","※没填去向类型",IF($L3055="","※没填去向矿区",IF(AND($C3055&lt;&gt;"",$C3055&lt;=结账锁),"※日期早于已结账截止日，不能再录",IF(AND($K3055="自用消耗",COUNTIF({"一矿区";"二矿区"},$L3055)=0),"※自用消耗的去向只能是一矿区或二矿区",IF(AND($K3055="对外销售",COUNTIF({"三矿区";"六矿区"},$L3055)=0),"※对外销售的去向只能是三矿区或六矿区",IF(AND($K3055="对外销售",ROUND($Q3055,0)=0),"※外销却没有售价，请填实际售价",IF(AND($K3055="对外销售",$T3055&lt;&gt;"",$T3055&lt;0),"※这一笔外销是亏的，请核对售价",IF(IFERROR(VLOOKUP($D3055,库存台账!$A$5:$Y$1204,24,0),0)&lt;-0.001,"※这个物料账面已经变成负数了，查一下是不是漏记入库","")))))))))))</f>
        <v/>
      </c>
    </row>
    <row r="3056">
      <c r="A3056" s="24">
        <f>IF($D3056="","",COUNTA($D$4:$D3056))</f>
        <v/>
      </c>
      <c r="B3056" s="17" t="n"/>
      <c r="C3056" s="30" t="n"/>
      <c r="D3056" s="17" t="n"/>
      <c r="E3056" s="24">
        <f>IF($D3056="","",IFERROR(VLOOKUP($D3056,物料档案!$A$4:$P$1203,3,0),"※编码不在物料档案里"))</f>
        <v/>
      </c>
      <c r="F3056" s="24">
        <f>IF($D3056="","",IFERROR(VLOOKUP($D3056,物料档案!$A$4:$P$1203,4,0),"※编码不在物料档案里"))</f>
        <v/>
      </c>
      <c r="G3056" s="24">
        <f>IF($D3056="","",IFERROR(VLOOKUP($D3056,物料档案!$A$4:$P$1203,5,0),"※编码不在物料档案里"))</f>
        <v/>
      </c>
      <c r="H3056" s="24">
        <f>IF($D3056="","",IFERROR(VLOOKUP($D3056,物料档案!$A$4:$P$1203,2,0),"※编码不在物料档案里"))</f>
        <v/>
      </c>
      <c r="I3056" s="24">
        <f>IF($D3056="","",IFERROR(VLOOKUP($D3056,物料档案!$A$4:$P$1203,6,0),"※编码不在物料档案里"))</f>
        <v/>
      </c>
      <c r="J3056" s="23" t="n"/>
      <c r="K3056" s="17" t="n"/>
      <c r="L3056" s="17" t="n"/>
      <c r="M3056" s="17" t="n"/>
      <c r="N3056" s="17" t="n"/>
      <c r="O3056" s="26">
        <f>IF($D3056="","",IFERROR(VLOOKUP($D3056,物料档案!$A$4:$P$1203,10,0),0))</f>
        <v/>
      </c>
      <c r="P3056" s="32" t="n"/>
      <c r="Q3056" s="26">
        <f>IF($D3056="","",IF($K3056&lt;&gt;"对外销售",0,ROUND(N($J3056)*IF($P3056="",N($O3056),N($P3056)),0)))</f>
        <v/>
      </c>
      <c r="R3056" s="26">
        <f>IF($D3056="","",IFERROR(VLOOKUP($D3056,库存台账!$A$5:$Y$1204,11,0),0))</f>
        <v/>
      </c>
      <c r="S3056" s="26">
        <f>IF($D3056="","",ROUND(N($J3056)*N($R3056),0))</f>
        <v/>
      </c>
      <c r="T3056" s="26">
        <f>IF($D3056="","",IF($K3056&lt;&gt;"对外销售","",ROUND($Q3056-$S3056,0)))</f>
        <v/>
      </c>
      <c r="U3056" s="17" t="n"/>
      <c r="V3056" s="17" t="n"/>
      <c r="W3056" s="24">
        <f>IF($D3056="","",IF($E3056="※编码不在物料档案里","※物料编码不在档案里",IF(N($J3056)&lt;=0,"※出库数量要大于 0",IF($K3056="","※没填去向类型",IF($L3056="","※没填去向矿区",IF(AND($C3056&lt;&gt;"",$C3056&lt;=结账锁),"※日期早于已结账截止日，不能再录",IF(AND($K3056="自用消耗",COUNTIF({"一矿区";"二矿区"},$L3056)=0),"※自用消耗的去向只能是一矿区或二矿区",IF(AND($K3056="对外销售",COUNTIF({"三矿区";"六矿区"},$L3056)=0),"※对外销售的去向只能是三矿区或六矿区",IF(AND($K3056="对外销售",ROUND($Q3056,0)=0),"※外销却没有售价，请填实际售价",IF(AND($K3056="对外销售",$T3056&lt;&gt;"",$T3056&lt;0),"※这一笔外销是亏的，请核对售价",IF(IFERROR(VLOOKUP($D3056,库存台账!$A$5:$Y$1204,24,0),0)&lt;-0.001,"※这个物料账面已经变成负数了，查一下是不是漏记入库","")))))))))))</f>
        <v/>
      </c>
    </row>
    <row r="3057">
      <c r="A3057" s="24">
        <f>IF($D3057="","",COUNTA($D$4:$D3057))</f>
        <v/>
      </c>
      <c r="B3057" s="17" t="n"/>
      <c r="C3057" s="30" t="n"/>
      <c r="D3057" s="17" t="n"/>
      <c r="E3057" s="24">
        <f>IF($D3057="","",IFERROR(VLOOKUP($D3057,物料档案!$A$4:$P$1203,3,0),"※编码不在物料档案里"))</f>
        <v/>
      </c>
      <c r="F3057" s="24">
        <f>IF($D3057="","",IFERROR(VLOOKUP($D3057,物料档案!$A$4:$P$1203,4,0),"※编码不在物料档案里"))</f>
        <v/>
      </c>
      <c r="G3057" s="24">
        <f>IF($D3057="","",IFERROR(VLOOKUP($D3057,物料档案!$A$4:$P$1203,5,0),"※编码不在物料档案里"))</f>
        <v/>
      </c>
      <c r="H3057" s="24">
        <f>IF($D3057="","",IFERROR(VLOOKUP($D3057,物料档案!$A$4:$P$1203,2,0),"※编码不在物料档案里"))</f>
        <v/>
      </c>
      <c r="I3057" s="24">
        <f>IF($D3057="","",IFERROR(VLOOKUP($D3057,物料档案!$A$4:$P$1203,6,0),"※编码不在物料档案里"))</f>
        <v/>
      </c>
      <c r="J3057" s="23" t="n"/>
      <c r="K3057" s="17" t="n"/>
      <c r="L3057" s="17" t="n"/>
      <c r="M3057" s="17" t="n"/>
      <c r="N3057" s="17" t="n"/>
      <c r="O3057" s="26">
        <f>IF($D3057="","",IFERROR(VLOOKUP($D3057,物料档案!$A$4:$P$1203,10,0),0))</f>
        <v/>
      </c>
      <c r="P3057" s="32" t="n"/>
      <c r="Q3057" s="26">
        <f>IF($D3057="","",IF($K3057&lt;&gt;"对外销售",0,ROUND(N($J3057)*IF($P3057="",N($O3057),N($P3057)),0)))</f>
        <v/>
      </c>
      <c r="R3057" s="26">
        <f>IF($D3057="","",IFERROR(VLOOKUP($D3057,库存台账!$A$5:$Y$1204,11,0),0))</f>
        <v/>
      </c>
      <c r="S3057" s="26">
        <f>IF($D3057="","",ROUND(N($J3057)*N($R3057),0))</f>
        <v/>
      </c>
      <c r="T3057" s="26">
        <f>IF($D3057="","",IF($K3057&lt;&gt;"对外销售","",ROUND($Q3057-$S3057,0)))</f>
        <v/>
      </c>
      <c r="U3057" s="17" t="n"/>
      <c r="V3057" s="17" t="n"/>
      <c r="W3057" s="24">
        <f>IF($D3057="","",IF($E3057="※编码不在物料档案里","※物料编码不在档案里",IF(N($J3057)&lt;=0,"※出库数量要大于 0",IF($K3057="","※没填去向类型",IF($L3057="","※没填去向矿区",IF(AND($C3057&lt;&gt;"",$C3057&lt;=结账锁),"※日期早于已结账截止日，不能再录",IF(AND($K3057="自用消耗",COUNTIF({"一矿区";"二矿区"},$L3057)=0),"※自用消耗的去向只能是一矿区或二矿区",IF(AND($K3057="对外销售",COUNTIF({"三矿区";"六矿区"},$L3057)=0),"※对外销售的去向只能是三矿区或六矿区",IF(AND($K3057="对外销售",ROUND($Q3057,0)=0),"※外销却没有售价，请填实际售价",IF(AND($K3057="对外销售",$T3057&lt;&gt;"",$T3057&lt;0),"※这一笔外销是亏的，请核对售价",IF(IFERROR(VLOOKUP($D3057,库存台账!$A$5:$Y$1204,24,0),0)&lt;-0.001,"※这个物料账面已经变成负数了，查一下是不是漏记入库","")))))))))))</f>
        <v/>
      </c>
    </row>
    <row r="3058">
      <c r="A3058" s="24">
        <f>IF($D3058="","",COUNTA($D$4:$D3058))</f>
        <v/>
      </c>
      <c r="B3058" s="17" t="n"/>
      <c r="C3058" s="30" t="n"/>
      <c r="D3058" s="17" t="n"/>
      <c r="E3058" s="24">
        <f>IF($D3058="","",IFERROR(VLOOKUP($D3058,物料档案!$A$4:$P$1203,3,0),"※编码不在物料档案里"))</f>
        <v/>
      </c>
      <c r="F3058" s="24">
        <f>IF($D3058="","",IFERROR(VLOOKUP($D3058,物料档案!$A$4:$P$1203,4,0),"※编码不在物料档案里"))</f>
        <v/>
      </c>
      <c r="G3058" s="24">
        <f>IF($D3058="","",IFERROR(VLOOKUP($D3058,物料档案!$A$4:$P$1203,5,0),"※编码不在物料档案里"))</f>
        <v/>
      </c>
      <c r="H3058" s="24">
        <f>IF($D3058="","",IFERROR(VLOOKUP($D3058,物料档案!$A$4:$P$1203,2,0),"※编码不在物料档案里"))</f>
        <v/>
      </c>
      <c r="I3058" s="24">
        <f>IF($D3058="","",IFERROR(VLOOKUP($D3058,物料档案!$A$4:$P$1203,6,0),"※编码不在物料档案里"))</f>
        <v/>
      </c>
      <c r="J3058" s="23" t="n"/>
      <c r="K3058" s="17" t="n"/>
      <c r="L3058" s="17" t="n"/>
      <c r="M3058" s="17" t="n"/>
      <c r="N3058" s="17" t="n"/>
      <c r="O3058" s="26">
        <f>IF($D3058="","",IFERROR(VLOOKUP($D3058,物料档案!$A$4:$P$1203,10,0),0))</f>
        <v/>
      </c>
      <c r="P3058" s="32" t="n"/>
      <c r="Q3058" s="26">
        <f>IF($D3058="","",IF($K3058&lt;&gt;"对外销售",0,ROUND(N($J3058)*IF($P3058="",N($O3058),N($P3058)),0)))</f>
        <v/>
      </c>
      <c r="R3058" s="26">
        <f>IF($D3058="","",IFERROR(VLOOKUP($D3058,库存台账!$A$5:$Y$1204,11,0),0))</f>
        <v/>
      </c>
      <c r="S3058" s="26">
        <f>IF($D3058="","",ROUND(N($J3058)*N($R3058),0))</f>
        <v/>
      </c>
      <c r="T3058" s="26">
        <f>IF($D3058="","",IF($K3058&lt;&gt;"对外销售","",ROUND($Q3058-$S3058,0)))</f>
        <v/>
      </c>
      <c r="U3058" s="17" t="n"/>
      <c r="V3058" s="17" t="n"/>
      <c r="W3058" s="24">
        <f>IF($D3058="","",IF($E3058="※编码不在物料档案里","※物料编码不在档案里",IF(N($J3058)&lt;=0,"※出库数量要大于 0",IF($K3058="","※没填去向类型",IF($L3058="","※没填去向矿区",IF(AND($C3058&lt;&gt;"",$C3058&lt;=结账锁),"※日期早于已结账截止日，不能再录",IF(AND($K3058="自用消耗",COUNTIF({"一矿区";"二矿区"},$L3058)=0),"※自用消耗的去向只能是一矿区或二矿区",IF(AND($K3058="对外销售",COUNTIF({"三矿区";"六矿区"},$L3058)=0),"※对外销售的去向只能是三矿区或六矿区",IF(AND($K3058="对外销售",ROUND($Q3058,0)=0),"※外销却没有售价，请填实际售价",IF(AND($K3058="对外销售",$T3058&lt;&gt;"",$T3058&lt;0),"※这一笔外销是亏的，请核对售价",IF(IFERROR(VLOOKUP($D3058,库存台账!$A$5:$Y$1204,24,0),0)&lt;-0.001,"※这个物料账面已经变成负数了，查一下是不是漏记入库","")))))))))))</f>
        <v/>
      </c>
    </row>
    <row r="3059">
      <c r="A3059" s="24">
        <f>IF($D3059="","",COUNTA($D$4:$D3059))</f>
        <v/>
      </c>
      <c r="B3059" s="17" t="n"/>
      <c r="C3059" s="30" t="n"/>
      <c r="D3059" s="17" t="n"/>
      <c r="E3059" s="24">
        <f>IF($D3059="","",IFERROR(VLOOKUP($D3059,物料档案!$A$4:$P$1203,3,0),"※编码不在物料档案里"))</f>
        <v/>
      </c>
      <c r="F3059" s="24">
        <f>IF($D3059="","",IFERROR(VLOOKUP($D3059,物料档案!$A$4:$P$1203,4,0),"※编码不在物料档案里"))</f>
        <v/>
      </c>
      <c r="G3059" s="24">
        <f>IF($D3059="","",IFERROR(VLOOKUP($D3059,物料档案!$A$4:$P$1203,5,0),"※编码不在物料档案里"))</f>
        <v/>
      </c>
      <c r="H3059" s="24">
        <f>IF($D3059="","",IFERROR(VLOOKUP($D3059,物料档案!$A$4:$P$1203,2,0),"※编码不在物料档案里"))</f>
        <v/>
      </c>
      <c r="I3059" s="24">
        <f>IF($D3059="","",IFERROR(VLOOKUP($D3059,物料档案!$A$4:$P$1203,6,0),"※编码不在物料档案里"))</f>
        <v/>
      </c>
      <c r="J3059" s="23" t="n"/>
      <c r="K3059" s="17" t="n"/>
      <c r="L3059" s="17" t="n"/>
      <c r="M3059" s="17" t="n"/>
      <c r="N3059" s="17" t="n"/>
      <c r="O3059" s="26">
        <f>IF($D3059="","",IFERROR(VLOOKUP($D3059,物料档案!$A$4:$P$1203,10,0),0))</f>
        <v/>
      </c>
      <c r="P3059" s="32" t="n"/>
      <c r="Q3059" s="26">
        <f>IF($D3059="","",IF($K3059&lt;&gt;"对外销售",0,ROUND(N($J3059)*IF($P3059="",N($O3059),N($P3059)),0)))</f>
        <v/>
      </c>
      <c r="R3059" s="26">
        <f>IF($D3059="","",IFERROR(VLOOKUP($D3059,库存台账!$A$5:$Y$1204,11,0),0))</f>
        <v/>
      </c>
      <c r="S3059" s="26">
        <f>IF($D3059="","",ROUND(N($J3059)*N($R3059),0))</f>
        <v/>
      </c>
      <c r="T3059" s="26">
        <f>IF($D3059="","",IF($K3059&lt;&gt;"对外销售","",ROUND($Q3059-$S3059,0)))</f>
        <v/>
      </c>
      <c r="U3059" s="17" t="n"/>
      <c r="V3059" s="17" t="n"/>
      <c r="W3059" s="24">
        <f>IF($D3059="","",IF($E3059="※编码不在物料档案里","※物料编码不在档案里",IF(N($J3059)&lt;=0,"※出库数量要大于 0",IF($K3059="","※没填去向类型",IF($L3059="","※没填去向矿区",IF(AND($C3059&lt;&gt;"",$C3059&lt;=结账锁),"※日期早于已结账截止日，不能再录",IF(AND($K3059="自用消耗",COUNTIF({"一矿区";"二矿区"},$L3059)=0),"※自用消耗的去向只能是一矿区或二矿区",IF(AND($K3059="对外销售",COUNTIF({"三矿区";"六矿区"},$L3059)=0),"※对外销售的去向只能是三矿区或六矿区",IF(AND($K3059="对外销售",ROUND($Q3059,0)=0),"※外销却没有售价，请填实际售价",IF(AND($K3059="对外销售",$T3059&lt;&gt;"",$T3059&lt;0),"※这一笔外销是亏的，请核对售价",IF(IFERROR(VLOOKUP($D3059,库存台账!$A$5:$Y$1204,24,0),0)&lt;-0.001,"※这个物料账面已经变成负数了，查一下是不是漏记入库","")))))))))))</f>
        <v/>
      </c>
    </row>
    <row r="3060">
      <c r="A3060" s="24">
        <f>IF($D3060="","",COUNTA($D$4:$D3060))</f>
        <v/>
      </c>
      <c r="B3060" s="17" t="n"/>
      <c r="C3060" s="30" t="n"/>
      <c r="D3060" s="17" t="n"/>
      <c r="E3060" s="24">
        <f>IF($D3060="","",IFERROR(VLOOKUP($D3060,物料档案!$A$4:$P$1203,3,0),"※编码不在物料档案里"))</f>
        <v/>
      </c>
      <c r="F3060" s="24">
        <f>IF($D3060="","",IFERROR(VLOOKUP($D3060,物料档案!$A$4:$P$1203,4,0),"※编码不在物料档案里"))</f>
        <v/>
      </c>
      <c r="G3060" s="24">
        <f>IF($D3060="","",IFERROR(VLOOKUP($D3060,物料档案!$A$4:$P$1203,5,0),"※编码不在物料档案里"))</f>
        <v/>
      </c>
      <c r="H3060" s="24">
        <f>IF($D3060="","",IFERROR(VLOOKUP($D3060,物料档案!$A$4:$P$1203,2,0),"※编码不在物料档案里"))</f>
        <v/>
      </c>
      <c r="I3060" s="24">
        <f>IF($D3060="","",IFERROR(VLOOKUP($D3060,物料档案!$A$4:$P$1203,6,0),"※编码不在物料档案里"))</f>
        <v/>
      </c>
      <c r="J3060" s="23" t="n"/>
      <c r="K3060" s="17" t="n"/>
      <c r="L3060" s="17" t="n"/>
      <c r="M3060" s="17" t="n"/>
      <c r="N3060" s="17" t="n"/>
      <c r="O3060" s="26">
        <f>IF($D3060="","",IFERROR(VLOOKUP($D3060,物料档案!$A$4:$P$1203,10,0),0))</f>
        <v/>
      </c>
      <c r="P3060" s="32" t="n"/>
      <c r="Q3060" s="26">
        <f>IF($D3060="","",IF($K3060&lt;&gt;"对外销售",0,ROUND(N($J3060)*IF($P3060="",N($O3060),N($P3060)),0)))</f>
        <v/>
      </c>
      <c r="R3060" s="26">
        <f>IF($D3060="","",IFERROR(VLOOKUP($D3060,库存台账!$A$5:$Y$1204,11,0),0))</f>
        <v/>
      </c>
      <c r="S3060" s="26">
        <f>IF($D3060="","",ROUND(N($J3060)*N($R3060),0))</f>
        <v/>
      </c>
      <c r="T3060" s="26">
        <f>IF($D3060="","",IF($K3060&lt;&gt;"对外销售","",ROUND($Q3060-$S3060,0)))</f>
        <v/>
      </c>
      <c r="U3060" s="17" t="n"/>
      <c r="V3060" s="17" t="n"/>
      <c r="W3060" s="24">
        <f>IF($D3060="","",IF($E3060="※编码不在物料档案里","※物料编码不在档案里",IF(N($J3060)&lt;=0,"※出库数量要大于 0",IF($K3060="","※没填去向类型",IF($L3060="","※没填去向矿区",IF(AND($C3060&lt;&gt;"",$C3060&lt;=结账锁),"※日期早于已结账截止日，不能再录",IF(AND($K3060="自用消耗",COUNTIF({"一矿区";"二矿区"},$L3060)=0),"※自用消耗的去向只能是一矿区或二矿区",IF(AND($K3060="对外销售",COUNTIF({"三矿区";"六矿区"},$L3060)=0),"※对外销售的去向只能是三矿区或六矿区",IF(AND($K3060="对外销售",ROUND($Q3060,0)=0),"※外销却没有售价，请填实际售价",IF(AND($K3060="对外销售",$T3060&lt;&gt;"",$T3060&lt;0),"※这一笔外销是亏的，请核对售价",IF(IFERROR(VLOOKUP($D3060,库存台账!$A$5:$Y$1204,24,0),0)&lt;-0.001,"※这个物料账面已经变成负数了，查一下是不是漏记入库","")))))))))))</f>
        <v/>
      </c>
    </row>
    <row r="3061">
      <c r="A3061" s="24">
        <f>IF($D3061="","",COUNTA($D$4:$D3061))</f>
        <v/>
      </c>
      <c r="B3061" s="17" t="n"/>
      <c r="C3061" s="30" t="n"/>
      <c r="D3061" s="17" t="n"/>
      <c r="E3061" s="24">
        <f>IF($D3061="","",IFERROR(VLOOKUP($D3061,物料档案!$A$4:$P$1203,3,0),"※编码不在物料档案里"))</f>
        <v/>
      </c>
      <c r="F3061" s="24">
        <f>IF($D3061="","",IFERROR(VLOOKUP($D3061,物料档案!$A$4:$P$1203,4,0),"※编码不在物料档案里"))</f>
        <v/>
      </c>
      <c r="G3061" s="24">
        <f>IF($D3061="","",IFERROR(VLOOKUP($D3061,物料档案!$A$4:$P$1203,5,0),"※编码不在物料档案里"))</f>
        <v/>
      </c>
      <c r="H3061" s="24">
        <f>IF($D3061="","",IFERROR(VLOOKUP($D3061,物料档案!$A$4:$P$1203,2,0),"※编码不在物料档案里"))</f>
        <v/>
      </c>
      <c r="I3061" s="24">
        <f>IF($D3061="","",IFERROR(VLOOKUP($D3061,物料档案!$A$4:$P$1203,6,0),"※编码不在物料档案里"))</f>
        <v/>
      </c>
      <c r="J3061" s="23" t="n"/>
      <c r="K3061" s="17" t="n"/>
      <c r="L3061" s="17" t="n"/>
      <c r="M3061" s="17" t="n"/>
      <c r="N3061" s="17" t="n"/>
      <c r="O3061" s="26">
        <f>IF($D3061="","",IFERROR(VLOOKUP($D3061,物料档案!$A$4:$P$1203,10,0),0))</f>
        <v/>
      </c>
      <c r="P3061" s="32" t="n"/>
      <c r="Q3061" s="26">
        <f>IF($D3061="","",IF($K3061&lt;&gt;"对外销售",0,ROUND(N($J3061)*IF($P3061="",N($O3061),N($P3061)),0)))</f>
        <v/>
      </c>
      <c r="R3061" s="26">
        <f>IF($D3061="","",IFERROR(VLOOKUP($D3061,库存台账!$A$5:$Y$1204,11,0),0))</f>
        <v/>
      </c>
      <c r="S3061" s="26">
        <f>IF($D3061="","",ROUND(N($J3061)*N($R3061),0))</f>
        <v/>
      </c>
      <c r="T3061" s="26">
        <f>IF($D3061="","",IF($K3061&lt;&gt;"对外销售","",ROUND($Q3061-$S3061,0)))</f>
        <v/>
      </c>
      <c r="U3061" s="17" t="n"/>
      <c r="V3061" s="17" t="n"/>
      <c r="W3061" s="24">
        <f>IF($D3061="","",IF($E3061="※编码不在物料档案里","※物料编码不在档案里",IF(N($J3061)&lt;=0,"※出库数量要大于 0",IF($K3061="","※没填去向类型",IF($L3061="","※没填去向矿区",IF(AND($C3061&lt;&gt;"",$C3061&lt;=结账锁),"※日期早于已结账截止日，不能再录",IF(AND($K3061="自用消耗",COUNTIF({"一矿区";"二矿区"},$L3061)=0),"※自用消耗的去向只能是一矿区或二矿区",IF(AND($K3061="对外销售",COUNTIF({"三矿区";"六矿区"},$L3061)=0),"※对外销售的去向只能是三矿区或六矿区",IF(AND($K3061="对外销售",ROUND($Q3061,0)=0),"※外销却没有售价，请填实际售价",IF(AND($K3061="对外销售",$T3061&lt;&gt;"",$T3061&lt;0),"※这一笔外销是亏的，请核对售价",IF(IFERROR(VLOOKUP($D3061,库存台账!$A$5:$Y$1204,24,0),0)&lt;-0.001,"※这个物料账面已经变成负数了，查一下是不是漏记入库","")))))))))))</f>
        <v/>
      </c>
    </row>
    <row r="3062">
      <c r="A3062" s="24">
        <f>IF($D3062="","",COUNTA($D$4:$D3062))</f>
        <v/>
      </c>
      <c r="B3062" s="17" t="n"/>
      <c r="C3062" s="30" t="n"/>
      <c r="D3062" s="17" t="n"/>
      <c r="E3062" s="24">
        <f>IF($D3062="","",IFERROR(VLOOKUP($D3062,物料档案!$A$4:$P$1203,3,0),"※编码不在物料档案里"))</f>
        <v/>
      </c>
      <c r="F3062" s="24">
        <f>IF($D3062="","",IFERROR(VLOOKUP($D3062,物料档案!$A$4:$P$1203,4,0),"※编码不在物料档案里"))</f>
        <v/>
      </c>
      <c r="G3062" s="24">
        <f>IF($D3062="","",IFERROR(VLOOKUP($D3062,物料档案!$A$4:$P$1203,5,0),"※编码不在物料档案里"))</f>
        <v/>
      </c>
      <c r="H3062" s="24">
        <f>IF($D3062="","",IFERROR(VLOOKUP($D3062,物料档案!$A$4:$P$1203,2,0),"※编码不在物料档案里"))</f>
        <v/>
      </c>
      <c r="I3062" s="24">
        <f>IF($D3062="","",IFERROR(VLOOKUP($D3062,物料档案!$A$4:$P$1203,6,0),"※编码不在物料档案里"))</f>
        <v/>
      </c>
      <c r="J3062" s="23" t="n"/>
      <c r="K3062" s="17" t="n"/>
      <c r="L3062" s="17" t="n"/>
      <c r="M3062" s="17" t="n"/>
      <c r="N3062" s="17" t="n"/>
      <c r="O3062" s="26">
        <f>IF($D3062="","",IFERROR(VLOOKUP($D3062,物料档案!$A$4:$P$1203,10,0),0))</f>
        <v/>
      </c>
      <c r="P3062" s="32" t="n"/>
      <c r="Q3062" s="26">
        <f>IF($D3062="","",IF($K3062&lt;&gt;"对外销售",0,ROUND(N($J3062)*IF($P3062="",N($O3062),N($P3062)),0)))</f>
        <v/>
      </c>
      <c r="R3062" s="26">
        <f>IF($D3062="","",IFERROR(VLOOKUP($D3062,库存台账!$A$5:$Y$1204,11,0),0))</f>
        <v/>
      </c>
      <c r="S3062" s="26">
        <f>IF($D3062="","",ROUND(N($J3062)*N($R3062),0))</f>
        <v/>
      </c>
      <c r="T3062" s="26">
        <f>IF($D3062="","",IF($K3062&lt;&gt;"对外销售","",ROUND($Q3062-$S3062,0)))</f>
        <v/>
      </c>
      <c r="U3062" s="17" t="n"/>
      <c r="V3062" s="17" t="n"/>
      <c r="W3062" s="24">
        <f>IF($D3062="","",IF($E3062="※编码不在物料档案里","※物料编码不在档案里",IF(N($J3062)&lt;=0,"※出库数量要大于 0",IF($K3062="","※没填去向类型",IF($L3062="","※没填去向矿区",IF(AND($C3062&lt;&gt;"",$C3062&lt;=结账锁),"※日期早于已结账截止日，不能再录",IF(AND($K3062="自用消耗",COUNTIF({"一矿区";"二矿区"},$L3062)=0),"※自用消耗的去向只能是一矿区或二矿区",IF(AND($K3062="对外销售",COUNTIF({"三矿区";"六矿区"},$L3062)=0),"※对外销售的去向只能是三矿区或六矿区",IF(AND($K3062="对外销售",ROUND($Q3062,0)=0),"※外销却没有售价，请填实际售价",IF(AND($K3062="对外销售",$T3062&lt;&gt;"",$T3062&lt;0),"※这一笔外销是亏的，请核对售价",IF(IFERROR(VLOOKUP($D3062,库存台账!$A$5:$Y$1204,24,0),0)&lt;-0.001,"※这个物料账面已经变成负数了，查一下是不是漏记入库","")))))))))))</f>
        <v/>
      </c>
    </row>
    <row r="3063">
      <c r="A3063" s="24">
        <f>IF($D3063="","",COUNTA($D$4:$D3063))</f>
        <v/>
      </c>
      <c r="B3063" s="17" t="n"/>
      <c r="C3063" s="30" t="n"/>
      <c r="D3063" s="17" t="n"/>
      <c r="E3063" s="24">
        <f>IF($D3063="","",IFERROR(VLOOKUP($D3063,物料档案!$A$4:$P$1203,3,0),"※编码不在物料档案里"))</f>
        <v/>
      </c>
      <c r="F3063" s="24">
        <f>IF($D3063="","",IFERROR(VLOOKUP($D3063,物料档案!$A$4:$P$1203,4,0),"※编码不在物料档案里"))</f>
        <v/>
      </c>
      <c r="G3063" s="24">
        <f>IF($D3063="","",IFERROR(VLOOKUP($D3063,物料档案!$A$4:$P$1203,5,0),"※编码不在物料档案里"))</f>
        <v/>
      </c>
      <c r="H3063" s="24">
        <f>IF($D3063="","",IFERROR(VLOOKUP($D3063,物料档案!$A$4:$P$1203,2,0),"※编码不在物料档案里"))</f>
        <v/>
      </c>
      <c r="I3063" s="24">
        <f>IF($D3063="","",IFERROR(VLOOKUP($D3063,物料档案!$A$4:$P$1203,6,0),"※编码不在物料档案里"))</f>
        <v/>
      </c>
      <c r="J3063" s="23" t="n"/>
      <c r="K3063" s="17" t="n"/>
      <c r="L3063" s="17" t="n"/>
      <c r="M3063" s="17" t="n"/>
      <c r="N3063" s="17" t="n"/>
      <c r="O3063" s="26">
        <f>IF($D3063="","",IFERROR(VLOOKUP($D3063,物料档案!$A$4:$P$1203,10,0),0))</f>
        <v/>
      </c>
      <c r="P3063" s="32" t="n"/>
      <c r="Q3063" s="26">
        <f>IF($D3063="","",IF($K3063&lt;&gt;"对外销售",0,ROUND(N($J3063)*IF($P3063="",N($O3063),N($P3063)),0)))</f>
        <v/>
      </c>
      <c r="R3063" s="26">
        <f>IF($D3063="","",IFERROR(VLOOKUP($D3063,库存台账!$A$5:$Y$1204,11,0),0))</f>
        <v/>
      </c>
      <c r="S3063" s="26">
        <f>IF($D3063="","",ROUND(N($J3063)*N($R3063),0))</f>
        <v/>
      </c>
      <c r="T3063" s="26">
        <f>IF($D3063="","",IF($K3063&lt;&gt;"对外销售","",ROUND($Q3063-$S3063,0)))</f>
        <v/>
      </c>
      <c r="U3063" s="17" t="n"/>
      <c r="V3063" s="17" t="n"/>
      <c r="W3063" s="24">
        <f>IF($D3063="","",IF($E3063="※编码不在物料档案里","※物料编码不在档案里",IF(N($J3063)&lt;=0,"※出库数量要大于 0",IF($K3063="","※没填去向类型",IF($L3063="","※没填去向矿区",IF(AND($C3063&lt;&gt;"",$C3063&lt;=结账锁),"※日期早于已结账截止日，不能再录",IF(AND($K3063="自用消耗",COUNTIF({"一矿区";"二矿区"},$L3063)=0),"※自用消耗的去向只能是一矿区或二矿区",IF(AND($K3063="对外销售",COUNTIF({"三矿区";"六矿区"},$L3063)=0),"※对外销售的去向只能是三矿区或六矿区",IF(AND($K3063="对外销售",ROUND($Q3063,0)=0),"※外销却没有售价，请填实际售价",IF(AND($K3063="对外销售",$T3063&lt;&gt;"",$T3063&lt;0),"※这一笔外销是亏的，请核对售价",IF(IFERROR(VLOOKUP($D3063,库存台账!$A$5:$Y$1204,24,0),0)&lt;-0.001,"※这个物料账面已经变成负数了，查一下是不是漏记入库","")))))))))))</f>
        <v/>
      </c>
    </row>
    <row r="3064">
      <c r="A3064" s="24">
        <f>IF($D3064="","",COUNTA($D$4:$D3064))</f>
        <v/>
      </c>
      <c r="B3064" s="17" t="n"/>
      <c r="C3064" s="30" t="n"/>
      <c r="D3064" s="17" t="n"/>
      <c r="E3064" s="24">
        <f>IF($D3064="","",IFERROR(VLOOKUP($D3064,物料档案!$A$4:$P$1203,3,0),"※编码不在物料档案里"))</f>
        <v/>
      </c>
      <c r="F3064" s="24">
        <f>IF($D3064="","",IFERROR(VLOOKUP($D3064,物料档案!$A$4:$P$1203,4,0),"※编码不在物料档案里"))</f>
        <v/>
      </c>
      <c r="G3064" s="24">
        <f>IF($D3064="","",IFERROR(VLOOKUP($D3064,物料档案!$A$4:$P$1203,5,0),"※编码不在物料档案里"))</f>
        <v/>
      </c>
      <c r="H3064" s="24">
        <f>IF($D3064="","",IFERROR(VLOOKUP($D3064,物料档案!$A$4:$P$1203,2,0),"※编码不在物料档案里"))</f>
        <v/>
      </c>
      <c r="I3064" s="24">
        <f>IF($D3064="","",IFERROR(VLOOKUP($D3064,物料档案!$A$4:$P$1203,6,0),"※编码不在物料档案里"))</f>
        <v/>
      </c>
      <c r="J3064" s="23" t="n"/>
      <c r="K3064" s="17" t="n"/>
      <c r="L3064" s="17" t="n"/>
      <c r="M3064" s="17" t="n"/>
      <c r="N3064" s="17" t="n"/>
      <c r="O3064" s="26">
        <f>IF($D3064="","",IFERROR(VLOOKUP($D3064,物料档案!$A$4:$P$1203,10,0),0))</f>
        <v/>
      </c>
      <c r="P3064" s="32" t="n"/>
      <c r="Q3064" s="26">
        <f>IF($D3064="","",IF($K3064&lt;&gt;"对外销售",0,ROUND(N($J3064)*IF($P3064="",N($O3064),N($P3064)),0)))</f>
        <v/>
      </c>
      <c r="R3064" s="26">
        <f>IF($D3064="","",IFERROR(VLOOKUP($D3064,库存台账!$A$5:$Y$1204,11,0),0))</f>
        <v/>
      </c>
      <c r="S3064" s="26">
        <f>IF($D3064="","",ROUND(N($J3064)*N($R3064),0))</f>
        <v/>
      </c>
      <c r="T3064" s="26">
        <f>IF($D3064="","",IF($K3064&lt;&gt;"对外销售","",ROUND($Q3064-$S3064,0)))</f>
        <v/>
      </c>
      <c r="U3064" s="17" t="n"/>
      <c r="V3064" s="17" t="n"/>
      <c r="W3064" s="24">
        <f>IF($D3064="","",IF($E3064="※编码不在物料档案里","※物料编码不在档案里",IF(N($J3064)&lt;=0,"※出库数量要大于 0",IF($K3064="","※没填去向类型",IF($L3064="","※没填去向矿区",IF(AND($C3064&lt;&gt;"",$C3064&lt;=结账锁),"※日期早于已结账截止日，不能再录",IF(AND($K3064="自用消耗",COUNTIF({"一矿区";"二矿区"},$L3064)=0),"※自用消耗的去向只能是一矿区或二矿区",IF(AND($K3064="对外销售",COUNTIF({"三矿区";"六矿区"},$L3064)=0),"※对外销售的去向只能是三矿区或六矿区",IF(AND($K3064="对外销售",ROUND($Q3064,0)=0),"※外销却没有售价，请填实际售价",IF(AND($K3064="对外销售",$T3064&lt;&gt;"",$T3064&lt;0),"※这一笔外销是亏的，请核对售价",IF(IFERROR(VLOOKUP($D3064,库存台账!$A$5:$Y$1204,24,0),0)&lt;-0.001,"※这个物料账面已经变成负数了，查一下是不是漏记入库","")))))))))))</f>
        <v/>
      </c>
    </row>
    <row r="3065">
      <c r="A3065" s="24">
        <f>IF($D3065="","",COUNTA($D$4:$D3065))</f>
        <v/>
      </c>
      <c r="B3065" s="17" t="n"/>
      <c r="C3065" s="30" t="n"/>
      <c r="D3065" s="17" t="n"/>
      <c r="E3065" s="24">
        <f>IF($D3065="","",IFERROR(VLOOKUP($D3065,物料档案!$A$4:$P$1203,3,0),"※编码不在物料档案里"))</f>
        <v/>
      </c>
      <c r="F3065" s="24">
        <f>IF($D3065="","",IFERROR(VLOOKUP($D3065,物料档案!$A$4:$P$1203,4,0),"※编码不在物料档案里"))</f>
        <v/>
      </c>
      <c r="G3065" s="24">
        <f>IF($D3065="","",IFERROR(VLOOKUP($D3065,物料档案!$A$4:$P$1203,5,0),"※编码不在物料档案里"))</f>
        <v/>
      </c>
      <c r="H3065" s="24">
        <f>IF($D3065="","",IFERROR(VLOOKUP($D3065,物料档案!$A$4:$P$1203,2,0),"※编码不在物料档案里"))</f>
        <v/>
      </c>
      <c r="I3065" s="24">
        <f>IF($D3065="","",IFERROR(VLOOKUP($D3065,物料档案!$A$4:$P$1203,6,0),"※编码不在物料档案里"))</f>
        <v/>
      </c>
      <c r="J3065" s="23" t="n"/>
      <c r="K3065" s="17" t="n"/>
      <c r="L3065" s="17" t="n"/>
      <c r="M3065" s="17" t="n"/>
      <c r="N3065" s="17" t="n"/>
      <c r="O3065" s="26">
        <f>IF($D3065="","",IFERROR(VLOOKUP($D3065,物料档案!$A$4:$P$1203,10,0),0))</f>
        <v/>
      </c>
      <c r="P3065" s="32" t="n"/>
      <c r="Q3065" s="26">
        <f>IF($D3065="","",IF($K3065&lt;&gt;"对外销售",0,ROUND(N($J3065)*IF($P3065="",N($O3065),N($P3065)),0)))</f>
        <v/>
      </c>
      <c r="R3065" s="26">
        <f>IF($D3065="","",IFERROR(VLOOKUP($D3065,库存台账!$A$5:$Y$1204,11,0),0))</f>
        <v/>
      </c>
      <c r="S3065" s="26">
        <f>IF($D3065="","",ROUND(N($J3065)*N($R3065),0))</f>
        <v/>
      </c>
      <c r="T3065" s="26">
        <f>IF($D3065="","",IF($K3065&lt;&gt;"对外销售","",ROUND($Q3065-$S3065,0)))</f>
        <v/>
      </c>
      <c r="U3065" s="17" t="n"/>
      <c r="V3065" s="17" t="n"/>
      <c r="W3065" s="24">
        <f>IF($D3065="","",IF($E3065="※编码不在物料档案里","※物料编码不在档案里",IF(N($J3065)&lt;=0,"※出库数量要大于 0",IF($K3065="","※没填去向类型",IF($L3065="","※没填去向矿区",IF(AND($C3065&lt;&gt;"",$C3065&lt;=结账锁),"※日期早于已结账截止日，不能再录",IF(AND($K3065="自用消耗",COUNTIF({"一矿区";"二矿区"},$L3065)=0),"※自用消耗的去向只能是一矿区或二矿区",IF(AND($K3065="对外销售",COUNTIF({"三矿区";"六矿区"},$L3065)=0),"※对外销售的去向只能是三矿区或六矿区",IF(AND($K3065="对外销售",ROUND($Q3065,0)=0),"※外销却没有售价，请填实际售价",IF(AND($K3065="对外销售",$T3065&lt;&gt;"",$T3065&lt;0),"※这一笔外销是亏的，请核对售价",IF(IFERROR(VLOOKUP($D3065,库存台账!$A$5:$Y$1204,24,0),0)&lt;-0.001,"※这个物料账面已经变成负数了，查一下是不是漏记入库","")))))))))))</f>
        <v/>
      </c>
    </row>
    <row r="3066">
      <c r="A3066" s="24">
        <f>IF($D3066="","",COUNTA($D$4:$D3066))</f>
        <v/>
      </c>
      <c r="B3066" s="17" t="n"/>
      <c r="C3066" s="30" t="n"/>
      <c r="D3066" s="17" t="n"/>
      <c r="E3066" s="24">
        <f>IF($D3066="","",IFERROR(VLOOKUP($D3066,物料档案!$A$4:$P$1203,3,0),"※编码不在物料档案里"))</f>
        <v/>
      </c>
      <c r="F3066" s="24">
        <f>IF($D3066="","",IFERROR(VLOOKUP($D3066,物料档案!$A$4:$P$1203,4,0),"※编码不在物料档案里"))</f>
        <v/>
      </c>
      <c r="G3066" s="24">
        <f>IF($D3066="","",IFERROR(VLOOKUP($D3066,物料档案!$A$4:$P$1203,5,0),"※编码不在物料档案里"))</f>
        <v/>
      </c>
      <c r="H3066" s="24">
        <f>IF($D3066="","",IFERROR(VLOOKUP($D3066,物料档案!$A$4:$P$1203,2,0),"※编码不在物料档案里"))</f>
        <v/>
      </c>
      <c r="I3066" s="24">
        <f>IF($D3066="","",IFERROR(VLOOKUP($D3066,物料档案!$A$4:$P$1203,6,0),"※编码不在物料档案里"))</f>
        <v/>
      </c>
      <c r="J3066" s="23" t="n"/>
      <c r="K3066" s="17" t="n"/>
      <c r="L3066" s="17" t="n"/>
      <c r="M3066" s="17" t="n"/>
      <c r="N3066" s="17" t="n"/>
      <c r="O3066" s="26">
        <f>IF($D3066="","",IFERROR(VLOOKUP($D3066,物料档案!$A$4:$P$1203,10,0),0))</f>
        <v/>
      </c>
      <c r="P3066" s="32" t="n"/>
      <c r="Q3066" s="26">
        <f>IF($D3066="","",IF($K3066&lt;&gt;"对外销售",0,ROUND(N($J3066)*IF($P3066="",N($O3066),N($P3066)),0)))</f>
        <v/>
      </c>
      <c r="R3066" s="26">
        <f>IF($D3066="","",IFERROR(VLOOKUP($D3066,库存台账!$A$5:$Y$1204,11,0),0))</f>
        <v/>
      </c>
      <c r="S3066" s="26">
        <f>IF($D3066="","",ROUND(N($J3066)*N($R3066),0))</f>
        <v/>
      </c>
      <c r="T3066" s="26">
        <f>IF($D3066="","",IF($K3066&lt;&gt;"对外销售","",ROUND($Q3066-$S3066,0)))</f>
        <v/>
      </c>
      <c r="U3066" s="17" t="n"/>
      <c r="V3066" s="17" t="n"/>
      <c r="W3066" s="24">
        <f>IF($D3066="","",IF($E3066="※编码不在物料档案里","※物料编码不在档案里",IF(N($J3066)&lt;=0,"※出库数量要大于 0",IF($K3066="","※没填去向类型",IF($L3066="","※没填去向矿区",IF(AND($C3066&lt;&gt;"",$C3066&lt;=结账锁),"※日期早于已结账截止日，不能再录",IF(AND($K3066="自用消耗",COUNTIF({"一矿区";"二矿区"},$L3066)=0),"※自用消耗的去向只能是一矿区或二矿区",IF(AND($K3066="对外销售",COUNTIF({"三矿区";"六矿区"},$L3066)=0),"※对外销售的去向只能是三矿区或六矿区",IF(AND($K3066="对外销售",ROUND($Q3066,0)=0),"※外销却没有售价，请填实际售价",IF(AND($K3066="对外销售",$T3066&lt;&gt;"",$T3066&lt;0),"※这一笔外销是亏的，请核对售价",IF(IFERROR(VLOOKUP($D3066,库存台账!$A$5:$Y$1204,24,0),0)&lt;-0.001,"※这个物料账面已经变成负数了，查一下是不是漏记入库","")))))))))))</f>
        <v/>
      </c>
    </row>
    <row r="3067">
      <c r="A3067" s="24">
        <f>IF($D3067="","",COUNTA($D$4:$D3067))</f>
        <v/>
      </c>
      <c r="B3067" s="17" t="n"/>
      <c r="C3067" s="30" t="n"/>
      <c r="D3067" s="17" t="n"/>
      <c r="E3067" s="24">
        <f>IF($D3067="","",IFERROR(VLOOKUP($D3067,物料档案!$A$4:$P$1203,3,0),"※编码不在物料档案里"))</f>
        <v/>
      </c>
      <c r="F3067" s="24">
        <f>IF($D3067="","",IFERROR(VLOOKUP($D3067,物料档案!$A$4:$P$1203,4,0),"※编码不在物料档案里"))</f>
        <v/>
      </c>
      <c r="G3067" s="24">
        <f>IF($D3067="","",IFERROR(VLOOKUP($D3067,物料档案!$A$4:$P$1203,5,0),"※编码不在物料档案里"))</f>
        <v/>
      </c>
      <c r="H3067" s="24">
        <f>IF($D3067="","",IFERROR(VLOOKUP($D3067,物料档案!$A$4:$P$1203,2,0),"※编码不在物料档案里"))</f>
        <v/>
      </c>
      <c r="I3067" s="24">
        <f>IF($D3067="","",IFERROR(VLOOKUP($D3067,物料档案!$A$4:$P$1203,6,0),"※编码不在物料档案里"))</f>
        <v/>
      </c>
      <c r="J3067" s="23" t="n"/>
      <c r="K3067" s="17" t="n"/>
      <c r="L3067" s="17" t="n"/>
      <c r="M3067" s="17" t="n"/>
      <c r="N3067" s="17" t="n"/>
      <c r="O3067" s="26">
        <f>IF($D3067="","",IFERROR(VLOOKUP($D3067,物料档案!$A$4:$P$1203,10,0),0))</f>
        <v/>
      </c>
      <c r="P3067" s="32" t="n"/>
      <c r="Q3067" s="26">
        <f>IF($D3067="","",IF($K3067&lt;&gt;"对外销售",0,ROUND(N($J3067)*IF($P3067="",N($O3067),N($P3067)),0)))</f>
        <v/>
      </c>
      <c r="R3067" s="26">
        <f>IF($D3067="","",IFERROR(VLOOKUP($D3067,库存台账!$A$5:$Y$1204,11,0),0))</f>
        <v/>
      </c>
      <c r="S3067" s="26">
        <f>IF($D3067="","",ROUND(N($J3067)*N($R3067),0))</f>
        <v/>
      </c>
      <c r="T3067" s="26">
        <f>IF($D3067="","",IF($K3067&lt;&gt;"对外销售","",ROUND($Q3067-$S3067,0)))</f>
        <v/>
      </c>
      <c r="U3067" s="17" t="n"/>
      <c r="V3067" s="17" t="n"/>
      <c r="W3067" s="24">
        <f>IF($D3067="","",IF($E3067="※编码不在物料档案里","※物料编码不在档案里",IF(N($J3067)&lt;=0,"※出库数量要大于 0",IF($K3067="","※没填去向类型",IF($L3067="","※没填去向矿区",IF(AND($C3067&lt;&gt;"",$C3067&lt;=结账锁),"※日期早于已结账截止日，不能再录",IF(AND($K3067="自用消耗",COUNTIF({"一矿区";"二矿区"},$L3067)=0),"※自用消耗的去向只能是一矿区或二矿区",IF(AND($K3067="对外销售",COUNTIF({"三矿区";"六矿区"},$L3067)=0),"※对外销售的去向只能是三矿区或六矿区",IF(AND($K3067="对外销售",ROUND($Q3067,0)=0),"※外销却没有售价，请填实际售价",IF(AND($K3067="对外销售",$T3067&lt;&gt;"",$T3067&lt;0),"※这一笔外销是亏的，请核对售价",IF(IFERROR(VLOOKUP($D3067,库存台账!$A$5:$Y$1204,24,0),0)&lt;-0.001,"※这个物料账面已经变成负数了，查一下是不是漏记入库","")))))))))))</f>
        <v/>
      </c>
    </row>
    <row r="3068">
      <c r="A3068" s="24">
        <f>IF($D3068="","",COUNTA($D$4:$D3068))</f>
        <v/>
      </c>
      <c r="B3068" s="17" t="n"/>
      <c r="C3068" s="30" t="n"/>
      <c r="D3068" s="17" t="n"/>
      <c r="E3068" s="24">
        <f>IF($D3068="","",IFERROR(VLOOKUP($D3068,物料档案!$A$4:$P$1203,3,0),"※编码不在物料档案里"))</f>
        <v/>
      </c>
      <c r="F3068" s="24">
        <f>IF($D3068="","",IFERROR(VLOOKUP($D3068,物料档案!$A$4:$P$1203,4,0),"※编码不在物料档案里"))</f>
        <v/>
      </c>
      <c r="G3068" s="24">
        <f>IF($D3068="","",IFERROR(VLOOKUP($D3068,物料档案!$A$4:$P$1203,5,0),"※编码不在物料档案里"))</f>
        <v/>
      </c>
      <c r="H3068" s="24">
        <f>IF($D3068="","",IFERROR(VLOOKUP($D3068,物料档案!$A$4:$P$1203,2,0),"※编码不在物料档案里"))</f>
        <v/>
      </c>
      <c r="I3068" s="24">
        <f>IF($D3068="","",IFERROR(VLOOKUP($D3068,物料档案!$A$4:$P$1203,6,0),"※编码不在物料档案里"))</f>
        <v/>
      </c>
      <c r="J3068" s="23" t="n"/>
      <c r="K3068" s="17" t="n"/>
      <c r="L3068" s="17" t="n"/>
      <c r="M3068" s="17" t="n"/>
      <c r="N3068" s="17" t="n"/>
      <c r="O3068" s="26">
        <f>IF($D3068="","",IFERROR(VLOOKUP($D3068,物料档案!$A$4:$P$1203,10,0),0))</f>
        <v/>
      </c>
      <c r="P3068" s="32" t="n"/>
      <c r="Q3068" s="26">
        <f>IF($D3068="","",IF($K3068&lt;&gt;"对外销售",0,ROUND(N($J3068)*IF($P3068="",N($O3068),N($P3068)),0)))</f>
        <v/>
      </c>
      <c r="R3068" s="26">
        <f>IF($D3068="","",IFERROR(VLOOKUP($D3068,库存台账!$A$5:$Y$1204,11,0),0))</f>
        <v/>
      </c>
      <c r="S3068" s="26">
        <f>IF($D3068="","",ROUND(N($J3068)*N($R3068),0))</f>
        <v/>
      </c>
      <c r="T3068" s="26">
        <f>IF($D3068="","",IF($K3068&lt;&gt;"对外销售","",ROUND($Q3068-$S3068,0)))</f>
        <v/>
      </c>
      <c r="U3068" s="17" t="n"/>
      <c r="V3068" s="17" t="n"/>
      <c r="W3068" s="24">
        <f>IF($D3068="","",IF($E3068="※编码不在物料档案里","※物料编码不在档案里",IF(N($J3068)&lt;=0,"※出库数量要大于 0",IF($K3068="","※没填去向类型",IF($L3068="","※没填去向矿区",IF(AND($C3068&lt;&gt;"",$C3068&lt;=结账锁),"※日期早于已结账截止日，不能再录",IF(AND($K3068="自用消耗",COUNTIF({"一矿区";"二矿区"},$L3068)=0),"※自用消耗的去向只能是一矿区或二矿区",IF(AND($K3068="对外销售",COUNTIF({"三矿区";"六矿区"},$L3068)=0),"※对外销售的去向只能是三矿区或六矿区",IF(AND($K3068="对外销售",ROUND($Q3068,0)=0),"※外销却没有售价，请填实际售价",IF(AND($K3068="对外销售",$T3068&lt;&gt;"",$T3068&lt;0),"※这一笔外销是亏的，请核对售价",IF(IFERROR(VLOOKUP($D3068,库存台账!$A$5:$Y$1204,24,0),0)&lt;-0.001,"※这个物料账面已经变成负数了，查一下是不是漏记入库","")))))))))))</f>
        <v/>
      </c>
    </row>
    <row r="3069">
      <c r="A3069" s="24">
        <f>IF($D3069="","",COUNTA($D$4:$D3069))</f>
        <v/>
      </c>
      <c r="B3069" s="17" t="n"/>
      <c r="C3069" s="30" t="n"/>
      <c r="D3069" s="17" t="n"/>
      <c r="E3069" s="24">
        <f>IF($D3069="","",IFERROR(VLOOKUP($D3069,物料档案!$A$4:$P$1203,3,0),"※编码不在物料档案里"))</f>
        <v/>
      </c>
      <c r="F3069" s="24">
        <f>IF($D3069="","",IFERROR(VLOOKUP($D3069,物料档案!$A$4:$P$1203,4,0),"※编码不在物料档案里"))</f>
        <v/>
      </c>
      <c r="G3069" s="24">
        <f>IF($D3069="","",IFERROR(VLOOKUP($D3069,物料档案!$A$4:$P$1203,5,0),"※编码不在物料档案里"))</f>
        <v/>
      </c>
      <c r="H3069" s="24">
        <f>IF($D3069="","",IFERROR(VLOOKUP($D3069,物料档案!$A$4:$P$1203,2,0),"※编码不在物料档案里"))</f>
        <v/>
      </c>
      <c r="I3069" s="24">
        <f>IF($D3069="","",IFERROR(VLOOKUP($D3069,物料档案!$A$4:$P$1203,6,0),"※编码不在物料档案里"))</f>
        <v/>
      </c>
      <c r="J3069" s="23" t="n"/>
      <c r="K3069" s="17" t="n"/>
      <c r="L3069" s="17" t="n"/>
      <c r="M3069" s="17" t="n"/>
      <c r="N3069" s="17" t="n"/>
      <c r="O3069" s="26">
        <f>IF($D3069="","",IFERROR(VLOOKUP($D3069,物料档案!$A$4:$P$1203,10,0),0))</f>
        <v/>
      </c>
      <c r="P3069" s="32" t="n"/>
      <c r="Q3069" s="26">
        <f>IF($D3069="","",IF($K3069&lt;&gt;"对外销售",0,ROUND(N($J3069)*IF($P3069="",N($O3069),N($P3069)),0)))</f>
        <v/>
      </c>
      <c r="R3069" s="26">
        <f>IF($D3069="","",IFERROR(VLOOKUP($D3069,库存台账!$A$5:$Y$1204,11,0),0))</f>
        <v/>
      </c>
      <c r="S3069" s="26">
        <f>IF($D3069="","",ROUND(N($J3069)*N($R3069),0))</f>
        <v/>
      </c>
      <c r="T3069" s="26">
        <f>IF($D3069="","",IF($K3069&lt;&gt;"对外销售","",ROUND($Q3069-$S3069,0)))</f>
        <v/>
      </c>
      <c r="U3069" s="17" t="n"/>
      <c r="V3069" s="17" t="n"/>
      <c r="W3069" s="24">
        <f>IF($D3069="","",IF($E3069="※编码不在物料档案里","※物料编码不在档案里",IF(N($J3069)&lt;=0,"※出库数量要大于 0",IF($K3069="","※没填去向类型",IF($L3069="","※没填去向矿区",IF(AND($C3069&lt;&gt;"",$C3069&lt;=结账锁),"※日期早于已结账截止日，不能再录",IF(AND($K3069="自用消耗",COUNTIF({"一矿区";"二矿区"},$L3069)=0),"※自用消耗的去向只能是一矿区或二矿区",IF(AND($K3069="对外销售",COUNTIF({"三矿区";"六矿区"},$L3069)=0),"※对外销售的去向只能是三矿区或六矿区",IF(AND($K3069="对外销售",ROUND($Q3069,0)=0),"※外销却没有售价，请填实际售价",IF(AND($K3069="对外销售",$T3069&lt;&gt;"",$T3069&lt;0),"※这一笔外销是亏的，请核对售价",IF(IFERROR(VLOOKUP($D3069,库存台账!$A$5:$Y$1204,24,0),0)&lt;-0.001,"※这个物料账面已经变成负数了，查一下是不是漏记入库","")))))))))))</f>
        <v/>
      </c>
    </row>
    <row r="3070">
      <c r="A3070" s="24">
        <f>IF($D3070="","",COUNTA($D$4:$D3070))</f>
        <v/>
      </c>
      <c r="B3070" s="17" t="n"/>
      <c r="C3070" s="30" t="n"/>
      <c r="D3070" s="17" t="n"/>
      <c r="E3070" s="24">
        <f>IF($D3070="","",IFERROR(VLOOKUP($D3070,物料档案!$A$4:$P$1203,3,0),"※编码不在物料档案里"))</f>
        <v/>
      </c>
      <c r="F3070" s="24">
        <f>IF($D3070="","",IFERROR(VLOOKUP($D3070,物料档案!$A$4:$P$1203,4,0),"※编码不在物料档案里"))</f>
        <v/>
      </c>
      <c r="G3070" s="24">
        <f>IF($D3070="","",IFERROR(VLOOKUP($D3070,物料档案!$A$4:$P$1203,5,0),"※编码不在物料档案里"))</f>
        <v/>
      </c>
      <c r="H3070" s="24">
        <f>IF($D3070="","",IFERROR(VLOOKUP($D3070,物料档案!$A$4:$P$1203,2,0),"※编码不在物料档案里"))</f>
        <v/>
      </c>
      <c r="I3070" s="24">
        <f>IF($D3070="","",IFERROR(VLOOKUP($D3070,物料档案!$A$4:$P$1203,6,0),"※编码不在物料档案里"))</f>
        <v/>
      </c>
      <c r="J3070" s="23" t="n"/>
      <c r="K3070" s="17" t="n"/>
      <c r="L3070" s="17" t="n"/>
      <c r="M3070" s="17" t="n"/>
      <c r="N3070" s="17" t="n"/>
      <c r="O3070" s="26">
        <f>IF($D3070="","",IFERROR(VLOOKUP($D3070,物料档案!$A$4:$P$1203,10,0),0))</f>
        <v/>
      </c>
      <c r="P3070" s="32" t="n"/>
      <c r="Q3070" s="26">
        <f>IF($D3070="","",IF($K3070&lt;&gt;"对外销售",0,ROUND(N($J3070)*IF($P3070="",N($O3070),N($P3070)),0)))</f>
        <v/>
      </c>
      <c r="R3070" s="26">
        <f>IF($D3070="","",IFERROR(VLOOKUP($D3070,库存台账!$A$5:$Y$1204,11,0),0))</f>
        <v/>
      </c>
      <c r="S3070" s="26">
        <f>IF($D3070="","",ROUND(N($J3070)*N($R3070),0))</f>
        <v/>
      </c>
      <c r="T3070" s="26">
        <f>IF($D3070="","",IF($K3070&lt;&gt;"对外销售","",ROUND($Q3070-$S3070,0)))</f>
        <v/>
      </c>
      <c r="U3070" s="17" t="n"/>
      <c r="V3070" s="17" t="n"/>
      <c r="W3070" s="24">
        <f>IF($D3070="","",IF($E3070="※编码不在物料档案里","※物料编码不在档案里",IF(N($J3070)&lt;=0,"※出库数量要大于 0",IF($K3070="","※没填去向类型",IF($L3070="","※没填去向矿区",IF(AND($C3070&lt;&gt;"",$C3070&lt;=结账锁),"※日期早于已结账截止日，不能再录",IF(AND($K3070="自用消耗",COUNTIF({"一矿区";"二矿区"},$L3070)=0),"※自用消耗的去向只能是一矿区或二矿区",IF(AND($K3070="对外销售",COUNTIF({"三矿区";"六矿区"},$L3070)=0),"※对外销售的去向只能是三矿区或六矿区",IF(AND($K3070="对外销售",ROUND($Q3070,0)=0),"※外销却没有售价，请填实际售价",IF(AND($K3070="对外销售",$T3070&lt;&gt;"",$T3070&lt;0),"※这一笔外销是亏的，请核对售价",IF(IFERROR(VLOOKUP($D3070,库存台账!$A$5:$Y$1204,24,0),0)&lt;-0.001,"※这个物料账面已经变成负数了，查一下是不是漏记入库","")))))))))))</f>
        <v/>
      </c>
    </row>
    <row r="3071">
      <c r="A3071" s="24">
        <f>IF($D3071="","",COUNTA($D$4:$D3071))</f>
        <v/>
      </c>
      <c r="B3071" s="17" t="n"/>
      <c r="C3071" s="30" t="n"/>
      <c r="D3071" s="17" t="n"/>
      <c r="E3071" s="24">
        <f>IF($D3071="","",IFERROR(VLOOKUP($D3071,物料档案!$A$4:$P$1203,3,0),"※编码不在物料档案里"))</f>
        <v/>
      </c>
      <c r="F3071" s="24">
        <f>IF($D3071="","",IFERROR(VLOOKUP($D3071,物料档案!$A$4:$P$1203,4,0),"※编码不在物料档案里"))</f>
        <v/>
      </c>
      <c r="G3071" s="24">
        <f>IF($D3071="","",IFERROR(VLOOKUP($D3071,物料档案!$A$4:$P$1203,5,0),"※编码不在物料档案里"))</f>
        <v/>
      </c>
      <c r="H3071" s="24">
        <f>IF($D3071="","",IFERROR(VLOOKUP($D3071,物料档案!$A$4:$P$1203,2,0),"※编码不在物料档案里"))</f>
        <v/>
      </c>
      <c r="I3071" s="24">
        <f>IF($D3071="","",IFERROR(VLOOKUP($D3071,物料档案!$A$4:$P$1203,6,0),"※编码不在物料档案里"))</f>
        <v/>
      </c>
      <c r="J3071" s="23" t="n"/>
      <c r="K3071" s="17" t="n"/>
      <c r="L3071" s="17" t="n"/>
      <c r="M3071" s="17" t="n"/>
      <c r="N3071" s="17" t="n"/>
      <c r="O3071" s="26">
        <f>IF($D3071="","",IFERROR(VLOOKUP($D3071,物料档案!$A$4:$P$1203,10,0),0))</f>
        <v/>
      </c>
      <c r="P3071" s="32" t="n"/>
      <c r="Q3071" s="26">
        <f>IF($D3071="","",IF($K3071&lt;&gt;"对外销售",0,ROUND(N($J3071)*IF($P3071="",N($O3071),N($P3071)),0)))</f>
        <v/>
      </c>
      <c r="R3071" s="26">
        <f>IF($D3071="","",IFERROR(VLOOKUP($D3071,库存台账!$A$5:$Y$1204,11,0),0))</f>
        <v/>
      </c>
      <c r="S3071" s="26">
        <f>IF($D3071="","",ROUND(N($J3071)*N($R3071),0))</f>
        <v/>
      </c>
      <c r="T3071" s="26">
        <f>IF($D3071="","",IF($K3071&lt;&gt;"对外销售","",ROUND($Q3071-$S3071,0)))</f>
        <v/>
      </c>
      <c r="U3071" s="17" t="n"/>
      <c r="V3071" s="17" t="n"/>
      <c r="W3071" s="24">
        <f>IF($D3071="","",IF($E3071="※编码不在物料档案里","※物料编码不在档案里",IF(N($J3071)&lt;=0,"※出库数量要大于 0",IF($K3071="","※没填去向类型",IF($L3071="","※没填去向矿区",IF(AND($C3071&lt;&gt;"",$C3071&lt;=结账锁),"※日期早于已结账截止日，不能再录",IF(AND($K3071="自用消耗",COUNTIF({"一矿区";"二矿区"},$L3071)=0),"※自用消耗的去向只能是一矿区或二矿区",IF(AND($K3071="对外销售",COUNTIF({"三矿区";"六矿区"},$L3071)=0),"※对外销售的去向只能是三矿区或六矿区",IF(AND($K3071="对外销售",ROUND($Q3071,0)=0),"※外销却没有售价，请填实际售价",IF(AND($K3071="对外销售",$T3071&lt;&gt;"",$T3071&lt;0),"※这一笔外销是亏的，请核对售价",IF(IFERROR(VLOOKUP($D3071,库存台账!$A$5:$Y$1204,24,0),0)&lt;-0.001,"※这个物料账面已经变成负数了，查一下是不是漏记入库","")))))))))))</f>
        <v/>
      </c>
    </row>
    <row r="3072">
      <c r="A3072" s="24">
        <f>IF($D3072="","",COUNTA($D$4:$D3072))</f>
        <v/>
      </c>
      <c r="B3072" s="17" t="n"/>
      <c r="C3072" s="30" t="n"/>
      <c r="D3072" s="17" t="n"/>
      <c r="E3072" s="24">
        <f>IF($D3072="","",IFERROR(VLOOKUP($D3072,物料档案!$A$4:$P$1203,3,0),"※编码不在物料档案里"))</f>
        <v/>
      </c>
      <c r="F3072" s="24">
        <f>IF($D3072="","",IFERROR(VLOOKUP($D3072,物料档案!$A$4:$P$1203,4,0),"※编码不在物料档案里"))</f>
        <v/>
      </c>
      <c r="G3072" s="24">
        <f>IF($D3072="","",IFERROR(VLOOKUP($D3072,物料档案!$A$4:$P$1203,5,0),"※编码不在物料档案里"))</f>
        <v/>
      </c>
      <c r="H3072" s="24">
        <f>IF($D3072="","",IFERROR(VLOOKUP($D3072,物料档案!$A$4:$P$1203,2,0),"※编码不在物料档案里"))</f>
        <v/>
      </c>
      <c r="I3072" s="24">
        <f>IF($D3072="","",IFERROR(VLOOKUP($D3072,物料档案!$A$4:$P$1203,6,0),"※编码不在物料档案里"))</f>
        <v/>
      </c>
      <c r="J3072" s="23" t="n"/>
      <c r="K3072" s="17" t="n"/>
      <c r="L3072" s="17" t="n"/>
      <c r="M3072" s="17" t="n"/>
      <c r="N3072" s="17" t="n"/>
      <c r="O3072" s="26">
        <f>IF($D3072="","",IFERROR(VLOOKUP($D3072,物料档案!$A$4:$P$1203,10,0),0))</f>
        <v/>
      </c>
      <c r="P3072" s="32" t="n"/>
      <c r="Q3072" s="26">
        <f>IF($D3072="","",IF($K3072&lt;&gt;"对外销售",0,ROUND(N($J3072)*IF($P3072="",N($O3072),N($P3072)),0)))</f>
        <v/>
      </c>
      <c r="R3072" s="26">
        <f>IF($D3072="","",IFERROR(VLOOKUP($D3072,库存台账!$A$5:$Y$1204,11,0),0))</f>
        <v/>
      </c>
      <c r="S3072" s="26">
        <f>IF($D3072="","",ROUND(N($J3072)*N($R3072),0))</f>
        <v/>
      </c>
      <c r="T3072" s="26">
        <f>IF($D3072="","",IF($K3072&lt;&gt;"对外销售","",ROUND($Q3072-$S3072,0)))</f>
        <v/>
      </c>
      <c r="U3072" s="17" t="n"/>
      <c r="V3072" s="17" t="n"/>
      <c r="W3072" s="24">
        <f>IF($D3072="","",IF($E3072="※编码不在物料档案里","※物料编码不在档案里",IF(N($J3072)&lt;=0,"※出库数量要大于 0",IF($K3072="","※没填去向类型",IF($L3072="","※没填去向矿区",IF(AND($C3072&lt;&gt;"",$C3072&lt;=结账锁),"※日期早于已结账截止日，不能再录",IF(AND($K3072="自用消耗",COUNTIF({"一矿区";"二矿区"},$L3072)=0),"※自用消耗的去向只能是一矿区或二矿区",IF(AND($K3072="对外销售",COUNTIF({"三矿区";"六矿区"},$L3072)=0),"※对外销售的去向只能是三矿区或六矿区",IF(AND($K3072="对外销售",ROUND($Q3072,0)=0),"※外销却没有售价，请填实际售价",IF(AND($K3072="对外销售",$T3072&lt;&gt;"",$T3072&lt;0),"※这一笔外销是亏的，请核对售价",IF(IFERROR(VLOOKUP($D3072,库存台账!$A$5:$Y$1204,24,0),0)&lt;-0.001,"※这个物料账面已经变成负数了，查一下是不是漏记入库","")))))))))))</f>
        <v/>
      </c>
    </row>
    <row r="3073">
      <c r="A3073" s="24">
        <f>IF($D3073="","",COUNTA($D$4:$D3073))</f>
        <v/>
      </c>
      <c r="B3073" s="17" t="n"/>
      <c r="C3073" s="30" t="n"/>
      <c r="D3073" s="17" t="n"/>
      <c r="E3073" s="24">
        <f>IF($D3073="","",IFERROR(VLOOKUP($D3073,物料档案!$A$4:$P$1203,3,0),"※编码不在物料档案里"))</f>
        <v/>
      </c>
      <c r="F3073" s="24">
        <f>IF($D3073="","",IFERROR(VLOOKUP($D3073,物料档案!$A$4:$P$1203,4,0),"※编码不在物料档案里"))</f>
        <v/>
      </c>
      <c r="G3073" s="24">
        <f>IF($D3073="","",IFERROR(VLOOKUP($D3073,物料档案!$A$4:$P$1203,5,0),"※编码不在物料档案里"))</f>
        <v/>
      </c>
      <c r="H3073" s="24">
        <f>IF($D3073="","",IFERROR(VLOOKUP($D3073,物料档案!$A$4:$P$1203,2,0),"※编码不在物料档案里"))</f>
        <v/>
      </c>
      <c r="I3073" s="24">
        <f>IF($D3073="","",IFERROR(VLOOKUP($D3073,物料档案!$A$4:$P$1203,6,0),"※编码不在物料档案里"))</f>
        <v/>
      </c>
      <c r="J3073" s="23" t="n"/>
      <c r="K3073" s="17" t="n"/>
      <c r="L3073" s="17" t="n"/>
      <c r="M3073" s="17" t="n"/>
      <c r="N3073" s="17" t="n"/>
      <c r="O3073" s="26">
        <f>IF($D3073="","",IFERROR(VLOOKUP($D3073,物料档案!$A$4:$P$1203,10,0),0))</f>
        <v/>
      </c>
      <c r="P3073" s="32" t="n"/>
      <c r="Q3073" s="26">
        <f>IF($D3073="","",IF($K3073&lt;&gt;"对外销售",0,ROUND(N($J3073)*IF($P3073="",N($O3073),N($P3073)),0)))</f>
        <v/>
      </c>
      <c r="R3073" s="26">
        <f>IF($D3073="","",IFERROR(VLOOKUP($D3073,库存台账!$A$5:$Y$1204,11,0),0))</f>
        <v/>
      </c>
      <c r="S3073" s="26">
        <f>IF($D3073="","",ROUND(N($J3073)*N($R3073),0))</f>
        <v/>
      </c>
      <c r="T3073" s="26">
        <f>IF($D3073="","",IF($K3073&lt;&gt;"对外销售","",ROUND($Q3073-$S3073,0)))</f>
        <v/>
      </c>
      <c r="U3073" s="17" t="n"/>
      <c r="V3073" s="17" t="n"/>
      <c r="W3073" s="24">
        <f>IF($D3073="","",IF($E3073="※编码不在物料档案里","※物料编码不在档案里",IF(N($J3073)&lt;=0,"※出库数量要大于 0",IF($K3073="","※没填去向类型",IF($L3073="","※没填去向矿区",IF(AND($C3073&lt;&gt;"",$C3073&lt;=结账锁),"※日期早于已结账截止日，不能再录",IF(AND($K3073="自用消耗",COUNTIF({"一矿区";"二矿区"},$L3073)=0),"※自用消耗的去向只能是一矿区或二矿区",IF(AND($K3073="对外销售",COUNTIF({"三矿区";"六矿区"},$L3073)=0),"※对外销售的去向只能是三矿区或六矿区",IF(AND($K3073="对外销售",ROUND($Q3073,0)=0),"※外销却没有售价，请填实际售价",IF(AND($K3073="对外销售",$T3073&lt;&gt;"",$T3073&lt;0),"※这一笔外销是亏的，请核对售价",IF(IFERROR(VLOOKUP($D3073,库存台账!$A$5:$Y$1204,24,0),0)&lt;-0.001,"※这个物料账面已经变成负数了，查一下是不是漏记入库","")))))))))))</f>
        <v/>
      </c>
    </row>
    <row r="3074">
      <c r="A3074" s="24">
        <f>IF($D3074="","",COUNTA($D$4:$D3074))</f>
        <v/>
      </c>
      <c r="B3074" s="17" t="n"/>
      <c r="C3074" s="30" t="n"/>
      <c r="D3074" s="17" t="n"/>
      <c r="E3074" s="24">
        <f>IF($D3074="","",IFERROR(VLOOKUP($D3074,物料档案!$A$4:$P$1203,3,0),"※编码不在物料档案里"))</f>
        <v/>
      </c>
      <c r="F3074" s="24">
        <f>IF($D3074="","",IFERROR(VLOOKUP($D3074,物料档案!$A$4:$P$1203,4,0),"※编码不在物料档案里"))</f>
        <v/>
      </c>
      <c r="G3074" s="24">
        <f>IF($D3074="","",IFERROR(VLOOKUP($D3074,物料档案!$A$4:$P$1203,5,0),"※编码不在物料档案里"))</f>
        <v/>
      </c>
      <c r="H3074" s="24">
        <f>IF($D3074="","",IFERROR(VLOOKUP($D3074,物料档案!$A$4:$P$1203,2,0),"※编码不在物料档案里"))</f>
        <v/>
      </c>
      <c r="I3074" s="24">
        <f>IF($D3074="","",IFERROR(VLOOKUP($D3074,物料档案!$A$4:$P$1203,6,0),"※编码不在物料档案里"))</f>
        <v/>
      </c>
      <c r="J3074" s="23" t="n"/>
      <c r="K3074" s="17" t="n"/>
      <c r="L3074" s="17" t="n"/>
      <c r="M3074" s="17" t="n"/>
      <c r="N3074" s="17" t="n"/>
      <c r="O3074" s="26">
        <f>IF($D3074="","",IFERROR(VLOOKUP($D3074,物料档案!$A$4:$P$1203,10,0),0))</f>
        <v/>
      </c>
      <c r="P3074" s="32" t="n"/>
      <c r="Q3074" s="26">
        <f>IF($D3074="","",IF($K3074&lt;&gt;"对外销售",0,ROUND(N($J3074)*IF($P3074="",N($O3074),N($P3074)),0)))</f>
        <v/>
      </c>
      <c r="R3074" s="26">
        <f>IF($D3074="","",IFERROR(VLOOKUP($D3074,库存台账!$A$5:$Y$1204,11,0),0))</f>
        <v/>
      </c>
      <c r="S3074" s="26">
        <f>IF($D3074="","",ROUND(N($J3074)*N($R3074),0))</f>
        <v/>
      </c>
      <c r="T3074" s="26">
        <f>IF($D3074="","",IF($K3074&lt;&gt;"对外销售","",ROUND($Q3074-$S3074,0)))</f>
        <v/>
      </c>
      <c r="U3074" s="17" t="n"/>
      <c r="V3074" s="17" t="n"/>
      <c r="W3074" s="24">
        <f>IF($D3074="","",IF($E3074="※编码不在物料档案里","※物料编码不在档案里",IF(N($J3074)&lt;=0,"※出库数量要大于 0",IF($K3074="","※没填去向类型",IF($L3074="","※没填去向矿区",IF(AND($C3074&lt;&gt;"",$C3074&lt;=结账锁),"※日期早于已结账截止日，不能再录",IF(AND($K3074="自用消耗",COUNTIF({"一矿区";"二矿区"},$L3074)=0),"※自用消耗的去向只能是一矿区或二矿区",IF(AND($K3074="对外销售",COUNTIF({"三矿区";"六矿区"},$L3074)=0),"※对外销售的去向只能是三矿区或六矿区",IF(AND($K3074="对外销售",ROUND($Q3074,0)=0),"※外销却没有售价，请填实际售价",IF(AND($K3074="对外销售",$T3074&lt;&gt;"",$T3074&lt;0),"※这一笔外销是亏的，请核对售价",IF(IFERROR(VLOOKUP($D3074,库存台账!$A$5:$Y$1204,24,0),0)&lt;-0.001,"※这个物料账面已经变成负数了，查一下是不是漏记入库","")))))))))))</f>
        <v/>
      </c>
    </row>
    <row r="3075">
      <c r="A3075" s="24">
        <f>IF($D3075="","",COUNTA($D$4:$D3075))</f>
        <v/>
      </c>
      <c r="B3075" s="17" t="n"/>
      <c r="C3075" s="30" t="n"/>
      <c r="D3075" s="17" t="n"/>
      <c r="E3075" s="24">
        <f>IF($D3075="","",IFERROR(VLOOKUP($D3075,物料档案!$A$4:$P$1203,3,0),"※编码不在物料档案里"))</f>
        <v/>
      </c>
      <c r="F3075" s="24">
        <f>IF($D3075="","",IFERROR(VLOOKUP($D3075,物料档案!$A$4:$P$1203,4,0),"※编码不在物料档案里"))</f>
        <v/>
      </c>
      <c r="G3075" s="24">
        <f>IF($D3075="","",IFERROR(VLOOKUP($D3075,物料档案!$A$4:$P$1203,5,0),"※编码不在物料档案里"))</f>
        <v/>
      </c>
      <c r="H3075" s="24">
        <f>IF($D3075="","",IFERROR(VLOOKUP($D3075,物料档案!$A$4:$P$1203,2,0),"※编码不在物料档案里"))</f>
        <v/>
      </c>
      <c r="I3075" s="24">
        <f>IF($D3075="","",IFERROR(VLOOKUP($D3075,物料档案!$A$4:$P$1203,6,0),"※编码不在物料档案里"))</f>
        <v/>
      </c>
      <c r="J3075" s="23" t="n"/>
      <c r="K3075" s="17" t="n"/>
      <c r="L3075" s="17" t="n"/>
      <c r="M3075" s="17" t="n"/>
      <c r="N3075" s="17" t="n"/>
      <c r="O3075" s="26">
        <f>IF($D3075="","",IFERROR(VLOOKUP($D3075,物料档案!$A$4:$P$1203,10,0),0))</f>
        <v/>
      </c>
      <c r="P3075" s="32" t="n"/>
      <c r="Q3075" s="26">
        <f>IF($D3075="","",IF($K3075&lt;&gt;"对外销售",0,ROUND(N($J3075)*IF($P3075="",N($O3075),N($P3075)),0)))</f>
        <v/>
      </c>
      <c r="R3075" s="26">
        <f>IF($D3075="","",IFERROR(VLOOKUP($D3075,库存台账!$A$5:$Y$1204,11,0),0))</f>
        <v/>
      </c>
      <c r="S3075" s="26">
        <f>IF($D3075="","",ROUND(N($J3075)*N($R3075),0))</f>
        <v/>
      </c>
      <c r="T3075" s="26">
        <f>IF($D3075="","",IF($K3075&lt;&gt;"对外销售","",ROUND($Q3075-$S3075,0)))</f>
        <v/>
      </c>
      <c r="U3075" s="17" t="n"/>
      <c r="V3075" s="17" t="n"/>
      <c r="W3075" s="24">
        <f>IF($D3075="","",IF($E3075="※编码不在物料档案里","※物料编码不在档案里",IF(N($J3075)&lt;=0,"※出库数量要大于 0",IF($K3075="","※没填去向类型",IF($L3075="","※没填去向矿区",IF(AND($C3075&lt;&gt;"",$C3075&lt;=结账锁),"※日期早于已结账截止日，不能再录",IF(AND($K3075="自用消耗",COUNTIF({"一矿区";"二矿区"},$L3075)=0),"※自用消耗的去向只能是一矿区或二矿区",IF(AND($K3075="对外销售",COUNTIF({"三矿区";"六矿区"},$L3075)=0),"※对外销售的去向只能是三矿区或六矿区",IF(AND($K3075="对外销售",ROUND($Q3075,0)=0),"※外销却没有售价，请填实际售价",IF(AND($K3075="对外销售",$T3075&lt;&gt;"",$T3075&lt;0),"※这一笔外销是亏的，请核对售价",IF(IFERROR(VLOOKUP($D3075,库存台账!$A$5:$Y$1204,24,0),0)&lt;-0.001,"※这个物料账面已经变成负数了，查一下是不是漏记入库","")))))))))))</f>
        <v/>
      </c>
    </row>
    <row r="3076">
      <c r="A3076" s="24">
        <f>IF($D3076="","",COUNTA($D$4:$D3076))</f>
        <v/>
      </c>
      <c r="B3076" s="17" t="n"/>
      <c r="C3076" s="30" t="n"/>
      <c r="D3076" s="17" t="n"/>
      <c r="E3076" s="24">
        <f>IF($D3076="","",IFERROR(VLOOKUP($D3076,物料档案!$A$4:$P$1203,3,0),"※编码不在物料档案里"))</f>
        <v/>
      </c>
      <c r="F3076" s="24">
        <f>IF($D3076="","",IFERROR(VLOOKUP($D3076,物料档案!$A$4:$P$1203,4,0),"※编码不在物料档案里"))</f>
        <v/>
      </c>
      <c r="G3076" s="24">
        <f>IF($D3076="","",IFERROR(VLOOKUP($D3076,物料档案!$A$4:$P$1203,5,0),"※编码不在物料档案里"))</f>
        <v/>
      </c>
      <c r="H3076" s="24">
        <f>IF($D3076="","",IFERROR(VLOOKUP($D3076,物料档案!$A$4:$P$1203,2,0),"※编码不在物料档案里"))</f>
        <v/>
      </c>
      <c r="I3076" s="24">
        <f>IF($D3076="","",IFERROR(VLOOKUP($D3076,物料档案!$A$4:$P$1203,6,0),"※编码不在物料档案里"))</f>
        <v/>
      </c>
      <c r="J3076" s="23" t="n"/>
      <c r="K3076" s="17" t="n"/>
      <c r="L3076" s="17" t="n"/>
      <c r="M3076" s="17" t="n"/>
      <c r="N3076" s="17" t="n"/>
      <c r="O3076" s="26">
        <f>IF($D3076="","",IFERROR(VLOOKUP($D3076,物料档案!$A$4:$P$1203,10,0),0))</f>
        <v/>
      </c>
      <c r="P3076" s="32" t="n"/>
      <c r="Q3076" s="26">
        <f>IF($D3076="","",IF($K3076&lt;&gt;"对外销售",0,ROUND(N($J3076)*IF($P3076="",N($O3076),N($P3076)),0)))</f>
        <v/>
      </c>
      <c r="R3076" s="26">
        <f>IF($D3076="","",IFERROR(VLOOKUP($D3076,库存台账!$A$5:$Y$1204,11,0),0))</f>
        <v/>
      </c>
      <c r="S3076" s="26">
        <f>IF($D3076="","",ROUND(N($J3076)*N($R3076),0))</f>
        <v/>
      </c>
      <c r="T3076" s="26">
        <f>IF($D3076="","",IF($K3076&lt;&gt;"对外销售","",ROUND($Q3076-$S3076,0)))</f>
        <v/>
      </c>
      <c r="U3076" s="17" t="n"/>
      <c r="V3076" s="17" t="n"/>
      <c r="W3076" s="24">
        <f>IF($D3076="","",IF($E3076="※编码不在物料档案里","※物料编码不在档案里",IF(N($J3076)&lt;=0,"※出库数量要大于 0",IF($K3076="","※没填去向类型",IF($L3076="","※没填去向矿区",IF(AND($C3076&lt;&gt;"",$C3076&lt;=结账锁),"※日期早于已结账截止日，不能再录",IF(AND($K3076="自用消耗",COUNTIF({"一矿区";"二矿区"},$L3076)=0),"※自用消耗的去向只能是一矿区或二矿区",IF(AND($K3076="对外销售",COUNTIF({"三矿区";"六矿区"},$L3076)=0),"※对外销售的去向只能是三矿区或六矿区",IF(AND($K3076="对外销售",ROUND($Q3076,0)=0),"※外销却没有售价，请填实际售价",IF(AND($K3076="对外销售",$T3076&lt;&gt;"",$T3076&lt;0),"※这一笔外销是亏的，请核对售价",IF(IFERROR(VLOOKUP($D3076,库存台账!$A$5:$Y$1204,24,0),0)&lt;-0.001,"※这个物料账面已经变成负数了，查一下是不是漏记入库","")))))))))))</f>
        <v/>
      </c>
    </row>
    <row r="3077">
      <c r="A3077" s="24">
        <f>IF($D3077="","",COUNTA($D$4:$D3077))</f>
        <v/>
      </c>
      <c r="B3077" s="17" t="n"/>
      <c r="C3077" s="30" t="n"/>
      <c r="D3077" s="17" t="n"/>
      <c r="E3077" s="24">
        <f>IF($D3077="","",IFERROR(VLOOKUP($D3077,物料档案!$A$4:$P$1203,3,0),"※编码不在物料档案里"))</f>
        <v/>
      </c>
      <c r="F3077" s="24">
        <f>IF($D3077="","",IFERROR(VLOOKUP($D3077,物料档案!$A$4:$P$1203,4,0),"※编码不在物料档案里"))</f>
        <v/>
      </c>
      <c r="G3077" s="24">
        <f>IF($D3077="","",IFERROR(VLOOKUP($D3077,物料档案!$A$4:$P$1203,5,0),"※编码不在物料档案里"))</f>
        <v/>
      </c>
      <c r="H3077" s="24">
        <f>IF($D3077="","",IFERROR(VLOOKUP($D3077,物料档案!$A$4:$P$1203,2,0),"※编码不在物料档案里"))</f>
        <v/>
      </c>
      <c r="I3077" s="24">
        <f>IF($D3077="","",IFERROR(VLOOKUP($D3077,物料档案!$A$4:$P$1203,6,0),"※编码不在物料档案里"))</f>
        <v/>
      </c>
      <c r="J3077" s="23" t="n"/>
      <c r="K3077" s="17" t="n"/>
      <c r="L3077" s="17" t="n"/>
      <c r="M3077" s="17" t="n"/>
      <c r="N3077" s="17" t="n"/>
      <c r="O3077" s="26">
        <f>IF($D3077="","",IFERROR(VLOOKUP($D3077,物料档案!$A$4:$P$1203,10,0),0))</f>
        <v/>
      </c>
      <c r="P3077" s="32" t="n"/>
      <c r="Q3077" s="26">
        <f>IF($D3077="","",IF($K3077&lt;&gt;"对外销售",0,ROUND(N($J3077)*IF($P3077="",N($O3077),N($P3077)),0)))</f>
        <v/>
      </c>
      <c r="R3077" s="26">
        <f>IF($D3077="","",IFERROR(VLOOKUP($D3077,库存台账!$A$5:$Y$1204,11,0),0))</f>
        <v/>
      </c>
      <c r="S3077" s="26">
        <f>IF($D3077="","",ROUND(N($J3077)*N($R3077),0))</f>
        <v/>
      </c>
      <c r="T3077" s="26">
        <f>IF($D3077="","",IF($K3077&lt;&gt;"对外销售","",ROUND($Q3077-$S3077,0)))</f>
        <v/>
      </c>
      <c r="U3077" s="17" t="n"/>
      <c r="V3077" s="17" t="n"/>
      <c r="W3077" s="24">
        <f>IF($D3077="","",IF($E3077="※编码不在物料档案里","※物料编码不在档案里",IF(N($J3077)&lt;=0,"※出库数量要大于 0",IF($K3077="","※没填去向类型",IF($L3077="","※没填去向矿区",IF(AND($C3077&lt;&gt;"",$C3077&lt;=结账锁),"※日期早于已结账截止日，不能再录",IF(AND($K3077="自用消耗",COUNTIF({"一矿区";"二矿区"},$L3077)=0),"※自用消耗的去向只能是一矿区或二矿区",IF(AND($K3077="对外销售",COUNTIF({"三矿区";"六矿区"},$L3077)=0),"※对外销售的去向只能是三矿区或六矿区",IF(AND($K3077="对外销售",ROUND($Q3077,0)=0),"※外销却没有售价，请填实际售价",IF(AND($K3077="对外销售",$T3077&lt;&gt;"",$T3077&lt;0),"※这一笔外销是亏的，请核对售价",IF(IFERROR(VLOOKUP($D3077,库存台账!$A$5:$Y$1204,24,0),0)&lt;-0.001,"※这个物料账面已经变成负数了，查一下是不是漏记入库","")))))))))))</f>
        <v/>
      </c>
    </row>
    <row r="3078">
      <c r="A3078" s="24">
        <f>IF($D3078="","",COUNTA($D$4:$D3078))</f>
        <v/>
      </c>
      <c r="B3078" s="17" t="n"/>
      <c r="C3078" s="30" t="n"/>
      <c r="D3078" s="17" t="n"/>
      <c r="E3078" s="24">
        <f>IF($D3078="","",IFERROR(VLOOKUP($D3078,物料档案!$A$4:$P$1203,3,0),"※编码不在物料档案里"))</f>
        <v/>
      </c>
      <c r="F3078" s="24">
        <f>IF($D3078="","",IFERROR(VLOOKUP($D3078,物料档案!$A$4:$P$1203,4,0),"※编码不在物料档案里"))</f>
        <v/>
      </c>
      <c r="G3078" s="24">
        <f>IF($D3078="","",IFERROR(VLOOKUP($D3078,物料档案!$A$4:$P$1203,5,0),"※编码不在物料档案里"))</f>
        <v/>
      </c>
      <c r="H3078" s="24">
        <f>IF($D3078="","",IFERROR(VLOOKUP($D3078,物料档案!$A$4:$P$1203,2,0),"※编码不在物料档案里"))</f>
        <v/>
      </c>
      <c r="I3078" s="24">
        <f>IF($D3078="","",IFERROR(VLOOKUP($D3078,物料档案!$A$4:$P$1203,6,0),"※编码不在物料档案里"))</f>
        <v/>
      </c>
      <c r="J3078" s="23" t="n"/>
      <c r="K3078" s="17" t="n"/>
      <c r="L3078" s="17" t="n"/>
      <c r="M3078" s="17" t="n"/>
      <c r="N3078" s="17" t="n"/>
      <c r="O3078" s="26">
        <f>IF($D3078="","",IFERROR(VLOOKUP($D3078,物料档案!$A$4:$P$1203,10,0),0))</f>
        <v/>
      </c>
      <c r="P3078" s="32" t="n"/>
      <c r="Q3078" s="26">
        <f>IF($D3078="","",IF($K3078&lt;&gt;"对外销售",0,ROUND(N($J3078)*IF($P3078="",N($O3078),N($P3078)),0)))</f>
        <v/>
      </c>
      <c r="R3078" s="26">
        <f>IF($D3078="","",IFERROR(VLOOKUP($D3078,库存台账!$A$5:$Y$1204,11,0),0))</f>
        <v/>
      </c>
      <c r="S3078" s="26">
        <f>IF($D3078="","",ROUND(N($J3078)*N($R3078),0))</f>
        <v/>
      </c>
      <c r="T3078" s="26">
        <f>IF($D3078="","",IF($K3078&lt;&gt;"对外销售","",ROUND($Q3078-$S3078,0)))</f>
        <v/>
      </c>
      <c r="U3078" s="17" t="n"/>
      <c r="V3078" s="17" t="n"/>
      <c r="W3078" s="24">
        <f>IF($D3078="","",IF($E3078="※编码不在物料档案里","※物料编码不在档案里",IF(N($J3078)&lt;=0,"※出库数量要大于 0",IF($K3078="","※没填去向类型",IF($L3078="","※没填去向矿区",IF(AND($C3078&lt;&gt;"",$C3078&lt;=结账锁),"※日期早于已结账截止日，不能再录",IF(AND($K3078="自用消耗",COUNTIF({"一矿区";"二矿区"},$L3078)=0),"※自用消耗的去向只能是一矿区或二矿区",IF(AND($K3078="对外销售",COUNTIF({"三矿区";"六矿区"},$L3078)=0),"※对外销售的去向只能是三矿区或六矿区",IF(AND($K3078="对外销售",ROUND($Q3078,0)=0),"※外销却没有售价，请填实际售价",IF(AND($K3078="对外销售",$T3078&lt;&gt;"",$T3078&lt;0),"※这一笔外销是亏的，请核对售价",IF(IFERROR(VLOOKUP($D3078,库存台账!$A$5:$Y$1204,24,0),0)&lt;-0.001,"※这个物料账面已经变成负数了，查一下是不是漏记入库","")))))))))))</f>
        <v/>
      </c>
    </row>
    <row r="3079">
      <c r="A3079" s="24">
        <f>IF($D3079="","",COUNTA($D$4:$D3079))</f>
        <v/>
      </c>
      <c r="B3079" s="17" t="n"/>
      <c r="C3079" s="30" t="n"/>
      <c r="D3079" s="17" t="n"/>
      <c r="E3079" s="24">
        <f>IF($D3079="","",IFERROR(VLOOKUP($D3079,物料档案!$A$4:$P$1203,3,0),"※编码不在物料档案里"))</f>
        <v/>
      </c>
      <c r="F3079" s="24">
        <f>IF($D3079="","",IFERROR(VLOOKUP($D3079,物料档案!$A$4:$P$1203,4,0),"※编码不在物料档案里"))</f>
        <v/>
      </c>
      <c r="G3079" s="24">
        <f>IF($D3079="","",IFERROR(VLOOKUP($D3079,物料档案!$A$4:$P$1203,5,0),"※编码不在物料档案里"))</f>
        <v/>
      </c>
      <c r="H3079" s="24">
        <f>IF($D3079="","",IFERROR(VLOOKUP($D3079,物料档案!$A$4:$P$1203,2,0),"※编码不在物料档案里"))</f>
        <v/>
      </c>
      <c r="I3079" s="24">
        <f>IF($D3079="","",IFERROR(VLOOKUP($D3079,物料档案!$A$4:$P$1203,6,0),"※编码不在物料档案里"))</f>
        <v/>
      </c>
      <c r="J3079" s="23" t="n"/>
      <c r="K3079" s="17" t="n"/>
      <c r="L3079" s="17" t="n"/>
      <c r="M3079" s="17" t="n"/>
      <c r="N3079" s="17" t="n"/>
      <c r="O3079" s="26">
        <f>IF($D3079="","",IFERROR(VLOOKUP($D3079,物料档案!$A$4:$P$1203,10,0),0))</f>
        <v/>
      </c>
      <c r="P3079" s="32" t="n"/>
      <c r="Q3079" s="26">
        <f>IF($D3079="","",IF($K3079&lt;&gt;"对外销售",0,ROUND(N($J3079)*IF($P3079="",N($O3079),N($P3079)),0)))</f>
        <v/>
      </c>
      <c r="R3079" s="26">
        <f>IF($D3079="","",IFERROR(VLOOKUP($D3079,库存台账!$A$5:$Y$1204,11,0),0))</f>
        <v/>
      </c>
      <c r="S3079" s="26">
        <f>IF($D3079="","",ROUND(N($J3079)*N($R3079),0))</f>
        <v/>
      </c>
      <c r="T3079" s="26">
        <f>IF($D3079="","",IF($K3079&lt;&gt;"对外销售","",ROUND($Q3079-$S3079,0)))</f>
        <v/>
      </c>
      <c r="U3079" s="17" t="n"/>
      <c r="V3079" s="17" t="n"/>
      <c r="W3079" s="24">
        <f>IF($D3079="","",IF($E3079="※编码不在物料档案里","※物料编码不在档案里",IF(N($J3079)&lt;=0,"※出库数量要大于 0",IF($K3079="","※没填去向类型",IF($L3079="","※没填去向矿区",IF(AND($C3079&lt;&gt;"",$C3079&lt;=结账锁),"※日期早于已结账截止日，不能再录",IF(AND($K3079="自用消耗",COUNTIF({"一矿区";"二矿区"},$L3079)=0),"※自用消耗的去向只能是一矿区或二矿区",IF(AND($K3079="对外销售",COUNTIF({"三矿区";"六矿区"},$L3079)=0),"※对外销售的去向只能是三矿区或六矿区",IF(AND($K3079="对外销售",ROUND($Q3079,0)=0),"※外销却没有售价，请填实际售价",IF(AND($K3079="对外销售",$T3079&lt;&gt;"",$T3079&lt;0),"※这一笔外销是亏的，请核对售价",IF(IFERROR(VLOOKUP($D3079,库存台账!$A$5:$Y$1204,24,0),0)&lt;-0.001,"※这个物料账面已经变成负数了，查一下是不是漏记入库","")))))))))))</f>
        <v/>
      </c>
    </row>
    <row r="3080">
      <c r="A3080" s="24">
        <f>IF($D3080="","",COUNTA($D$4:$D3080))</f>
        <v/>
      </c>
      <c r="B3080" s="17" t="n"/>
      <c r="C3080" s="30" t="n"/>
      <c r="D3080" s="17" t="n"/>
      <c r="E3080" s="24">
        <f>IF($D3080="","",IFERROR(VLOOKUP($D3080,物料档案!$A$4:$P$1203,3,0),"※编码不在物料档案里"))</f>
        <v/>
      </c>
      <c r="F3080" s="24">
        <f>IF($D3080="","",IFERROR(VLOOKUP($D3080,物料档案!$A$4:$P$1203,4,0),"※编码不在物料档案里"))</f>
        <v/>
      </c>
      <c r="G3080" s="24">
        <f>IF($D3080="","",IFERROR(VLOOKUP($D3080,物料档案!$A$4:$P$1203,5,0),"※编码不在物料档案里"))</f>
        <v/>
      </c>
      <c r="H3080" s="24">
        <f>IF($D3080="","",IFERROR(VLOOKUP($D3080,物料档案!$A$4:$P$1203,2,0),"※编码不在物料档案里"))</f>
        <v/>
      </c>
      <c r="I3080" s="24">
        <f>IF($D3080="","",IFERROR(VLOOKUP($D3080,物料档案!$A$4:$P$1203,6,0),"※编码不在物料档案里"))</f>
        <v/>
      </c>
      <c r="J3080" s="23" t="n"/>
      <c r="K3080" s="17" t="n"/>
      <c r="L3080" s="17" t="n"/>
      <c r="M3080" s="17" t="n"/>
      <c r="N3080" s="17" t="n"/>
      <c r="O3080" s="26">
        <f>IF($D3080="","",IFERROR(VLOOKUP($D3080,物料档案!$A$4:$P$1203,10,0),0))</f>
        <v/>
      </c>
      <c r="P3080" s="32" t="n"/>
      <c r="Q3080" s="26">
        <f>IF($D3080="","",IF($K3080&lt;&gt;"对外销售",0,ROUND(N($J3080)*IF($P3080="",N($O3080),N($P3080)),0)))</f>
        <v/>
      </c>
      <c r="R3080" s="26">
        <f>IF($D3080="","",IFERROR(VLOOKUP($D3080,库存台账!$A$5:$Y$1204,11,0),0))</f>
        <v/>
      </c>
      <c r="S3080" s="26">
        <f>IF($D3080="","",ROUND(N($J3080)*N($R3080),0))</f>
        <v/>
      </c>
      <c r="T3080" s="26">
        <f>IF($D3080="","",IF($K3080&lt;&gt;"对外销售","",ROUND($Q3080-$S3080,0)))</f>
        <v/>
      </c>
      <c r="U3080" s="17" t="n"/>
      <c r="V3080" s="17" t="n"/>
      <c r="W3080" s="24">
        <f>IF($D3080="","",IF($E3080="※编码不在物料档案里","※物料编码不在档案里",IF(N($J3080)&lt;=0,"※出库数量要大于 0",IF($K3080="","※没填去向类型",IF($L3080="","※没填去向矿区",IF(AND($C3080&lt;&gt;"",$C3080&lt;=结账锁),"※日期早于已结账截止日，不能再录",IF(AND($K3080="自用消耗",COUNTIF({"一矿区";"二矿区"},$L3080)=0),"※自用消耗的去向只能是一矿区或二矿区",IF(AND($K3080="对外销售",COUNTIF({"三矿区";"六矿区"},$L3080)=0),"※对外销售的去向只能是三矿区或六矿区",IF(AND($K3080="对外销售",ROUND($Q3080,0)=0),"※外销却没有售价，请填实际售价",IF(AND($K3080="对外销售",$T3080&lt;&gt;"",$T3080&lt;0),"※这一笔外销是亏的，请核对售价",IF(IFERROR(VLOOKUP($D3080,库存台账!$A$5:$Y$1204,24,0),0)&lt;-0.001,"※这个物料账面已经变成负数了，查一下是不是漏记入库","")))))))))))</f>
        <v/>
      </c>
    </row>
    <row r="3081">
      <c r="A3081" s="24">
        <f>IF($D3081="","",COUNTA($D$4:$D3081))</f>
        <v/>
      </c>
      <c r="B3081" s="17" t="n"/>
      <c r="C3081" s="30" t="n"/>
      <c r="D3081" s="17" t="n"/>
      <c r="E3081" s="24">
        <f>IF($D3081="","",IFERROR(VLOOKUP($D3081,物料档案!$A$4:$P$1203,3,0),"※编码不在物料档案里"))</f>
        <v/>
      </c>
      <c r="F3081" s="24">
        <f>IF($D3081="","",IFERROR(VLOOKUP($D3081,物料档案!$A$4:$P$1203,4,0),"※编码不在物料档案里"))</f>
        <v/>
      </c>
      <c r="G3081" s="24">
        <f>IF($D3081="","",IFERROR(VLOOKUP($D3081,物料档案!$A$4:$P$1203,5,0),"※编码不在物料档案里"))</f>
        <v/>
      </c>
      <c r="H3081" s="24">
        <f>IF($D3081="","",IFERROR(VLOOKUP($D3081,物料档案!$A$4:$P$1203,2,0),"※编码不在物料档案里"))</f>
        <v/>
      </c>
      <c r="I3081" s="24">
        <f>IF($D3081="","",IFERROR(VLOOKUP($D3081,物料档案!$A$4:$P$1203,6,0),"※编码不在物料档案里"))</f>
        <v/>
      </c>
      <c r="J3081" s="23" t="n"/>
      <c r="K3081" s="17" t="n"/>
      <c r="L3081" s="17" t="n"/>
      <c r="M3081" s="17" t="n"/>
      <c r="N3081" s="17" t="n"/>
      <c r="O3081" s="26">
        <f>IF($D3081="","",IFERROR(VLOOKUP($D3081,物料档案!$A$4:$P$1203,10,0),0))</f>
        <v/>
      </c>
      <c r="P3081" s="32" t="n"/>
      <c r="Q3081" s="26">
        <f>IF($D3081="","",IF($K3081&lt;&gt;"对外销售",0,ROUND(N($J3081)*IF($P3081="",N($O3081),N($P3081)),0)))</f>
        <v/>
      </c>
      <c r="R3081" s="26">
        <f>IF($D3081="","",IFERROR(VLOOKUP($D3081,库存台账!$A$5:$Y$1204,11,0),0))</f>
        <v/>
      </c>
      <c r="S3081" s="26">
        <f>IF($D3081="","",ROUND(N($J3081)*N($R3081),0))</f>
        <v/>
      </c>
      <c r="T3081" s="26">
        <f>IF($D3081="","",IF($K3081&lt;&gt;"对外销售","",ROUND($Q3081-$S3081,0)))</f>
        <v/>
      </c>
      <c r="U3081" s="17" t="n"/>
      <c r="V3081" s="17" t="n"/>
      <c r="W3081" s="24">
        <f>IF($D3081="","",IF($E3081="※编码不在物料档案里","※物料编码不在档案里",IF(N($J3081)&lt;=0,"※出库数量要大于 0",IF($K3081="","※没填去向类型",IF($L3081="","※没填去向矿区",IF(AND($C3081&lt;&gt;"",$C3081&lt;=结账锁),"※日期早于已结账截止日，不能再录",IF(AND($K3081="自用消耗",COUNTIF({"一矿区";"二矿区"},$L3081)=0),"※自用消耗的去向只能是一矿区或二矿区",IF(AND($K3081="对外销售",COUNTIF({"三矿区";"六矿区"},$L3081)=0),"※对外销售的去向只能是三矿区或六矿区",IF(AND($K3081="对外销售",ROUND($Q3081,0)=0),"※外销却没有售价，请填实际售价",IF(AND($K3081="对外销售",$T3081&lt;&gt;"",$T3081&lt;0),"※这一笔外销是亏的，请核对售价",IF(IFERROR(VLOOKUP($D3081,库存台账!$A$5:$Y$1204,24,0),0)&lt;-0.001,"※这个物料账面已经变成负数了，查一下是不是漏记入库","")))))))))))</f>
        <v/>
      </c>
    </row>
    <row r="3082">
      <c r="A3082" s="24">
        <f>IF($D3082="","",COUNTA($D$4:$D3082))</f>
        <v/>
      </c>
      <c r="B3082" s="17" t="n"/>
      <c r="C3082" s="30" t="n"/>
      <c r="D3082" s="17" t="n"/>
      <c r="E3082" s="24">
        <f>IF($D3082="","",IFERROR(VLOOKUP($D3082,物料档案!$A$4:$P$1203,3,0),"※编码不在物料档案里"))</f>
        <v/>
      </c>
      <c r="F3082" s="24">
        <f>IF($D3082="","",IFERROR(VLOOKUP($D3082,物料档案!$A$4:$P$1203,4,0),"※编码不在物料档案里"))</f>
        <v/>
      </c>
      <c r="G3082" s="24">
        <f>IF($D3082="","",IFERROR(VLOOKUP($D3082,物料档案!$A$4:$P$1203,5,0),"※编码不在物料档案里"))</f>
        <v/>
      </c>
      <c r="H3082" s="24">
        <f>IF($D3082="","",IFERROR(VLOOKUP($D3082,物料档案!$A$4:$P$1203,2,0),"※编码不在物料档案里"))</f>
        <v/>
      </c>
      <c r="I3082" s="24">
        <f>IF($D3082="","",IFERROR(VLOOKUP($D3082,物料档案!$A$4:$P$1203,6,0),"※编码不在物料档案里"))</f>
        <v/>
      </c>
      <c r="J3082" s="23" t="n"/>
      <c r="K3082" s="17" t="n"/>
      <c r="L3082" s="17" t="n"/>
      <c r="M3082" s="17" t="n"/>
      <c r="N3082" s="17" t="n"/>
      <c r="O3082" s="26">
        <f>IF($D3082="","",IFERROR(VLOOKUP($D3082,物料档案!$A$4:$P$1203,10,0),0))</f>
        <v/>
      </c>
      <c r="P3082" s="32" t="n"/>
      <c r="Q3082" s="26">
        <f>IF($D3082="","",IF($K3082&lt;&gt;"对外销售",0,ROUND(N($J3082)*IF($P3082="",N($O3082),N($P3082)),0)))</f>
        <v/>
      </c>
      <c r="R3082" s="26">
        <f>IF($D3082="","",IFERROR(VLOOKUP($D3082,库存台账!$A$5:$Y$1204,11,0),0))</f>
        <v/>
      </c>
      <c r="S3082" s="26">
        <f>IF($D3082="","",ROUND(N($J3082)*N($R3082),0))</f>
        <v/>
      </c>
      <c r="T3082" s="26">
        <f>IF($D3082="","",IF($K3082&lt;&gt;"对外销售","",ROUND($Q3082-$S3082,0)))</f>
        <v/>
      </c>
      <c r="U3082" s="17" t="n"/>
      <c r="V3082" s="17" t="n"/>
      <c r="W3082" s="24">
        <f>IF($D3082="","",IF($E3082="※编码不在物料档案里","※物料编码不在档案里",IF(N($J3082)&lt;=0,"※出库数量要大于 0",IF($K3082="","※没填去向类型",IF($L3082="","※没填去向矿区",IF(AND($C3082&lt;&gt;"",$C3082&lt;=结账锁),"※日期早于已结账截止日，不能再录",IF(AND($K3082="自用消耗",COUNTIF({"一矿区";"二矿区"},$L3082)=0),"※自用消耗的去向只能是一矿区或二矿区",IF(AND($K3082="对外销售",COUNTIF({"三矿区";"六矿区"},$L3082)=0),"※对外销售的去向只能是三矿区或六矿区",IF(AND($K3082="对外销售",ROUND($Q3082,0)=0),"※外销却没有售价，请填实际售价",IF(AND($K3082="对外销售",$T3082&lt;&gt;"",$T3082&lt;0),"※这一笔外销是亏的，请核对售价",IF(IFERROR(VLOOKUP($D3082,库存台账!$A$5:$Y$1204,24,0),0)&lt;-0.001,"※这个物料账面已经变成负数了，查一下是不是漏记入库","")))))))))))</f>
        <v/>
      </c>
    </row>
    <row r="3083">
      <c r="A3083" s="24">
        <f>IF($D3083="","",COUNTA($D$4:$D3083))</f>
        <v/>
      </c>
      <c r="B3083" s="17" t="n"/>
      <c r="C3083" s="30" t="n"/>
      <c r="D3083" s="17" t="n"/>
      <c r="E3083" s="24">
        <f>IF($D3083="","",IFERROR(VLOOKUP($D3083,物料档案!$A$4:$P$1203,3,0),"※编码不在物料档案里"))</f>
        <v/>
      </c>
      <c r="F3083" s="24">
        <f>IF($D3083="","",IFERROR(VLOOKUP($D3083,物料档案!$A$4:$P$1203,4,0),"※编码不在物料档案里"))</f>
        <v/>
      </c>
      <c r="G3083" s="24">
        <f>IF($D3083="","",IFERROR(VLOOKUP($D3083,物料档案!$A$4:$P$1203,5,0),"※编码不在物料档案里"))</f>
        <v/>
      </c>
      <c r="H3083" s="24">
        <f>IF($D3083="","",IFERROR(VLOOKUP($D3083,物料档案!$A$4:$P$1203,2,0),"※编码不在物料档案里"))</f>
        <v/>
      </c>
      <c r="I3083" s="24">
        <f>IF($D3083="","",IFERROR(VLOOKUP($D3083,物料档案!$A$4:$P$1203,6,0),"※编码不在物料档案里"))</f>
        <v/>
      </c>
      <c r="J3083" s="23" t="n"/>
      <c r="K3083" s="17" t="n"/>
      <c r="L3083" s="17" t="n"/>
      <c r="M3083" s="17" t="n"/>
      <c r="N3083" s="17" t="n"/>
      <c r="O3083" s="26">
        <f>IF($D3083="","",IFERROR(VLOOKUP($D3083,物料档案!$A$4:$P$1203,10,0),0))</f>
        <v/>
      </c>
      <c r="P3083" s="32" t="n"/>
      <c r="Q3083" s="26">
        <f>IF($D3083="","",IF($K3083&lt;&gt;"对外销售",0,ROUND(N($J3083)*IF($P3083="",N($O3083),N($P3083)),0)))</f>
        <v/>
      </c>
      <c r="R3083" s="26">
        <f>IF($D3083="","",IFERROR(VLOOKUP($D3083,库存台账!$A$5:$Y$1204,11,0),0))</f>
        <v/>
      </c>
      <c r="S3083" s="26">
        <f>IF($D3083="","",ROUND(N($J3083)*N($R3083),0))</f>
        <v/>
      </c>
      <c r="T3083" s="26">
        <f>IF($D3083="","",IF($K3083&lt;&gt;"对外销售","",ROUND($Q3083-$S3083,0)))</f>
        <v/>
      </c>
      <c r="U3083" s="17" t="n"/>
      <c r="V3083" s="17" t="n"/>
      <c r="W3083" s="24">
        <f>IF($D3083="","",IF($E3083="※编码不在物料档案里","※物料编码不在档案里",IF(N($J3083)&lt;=0,"※出库数量要大于 0",IF($K3083="","※没填去向类型",IF($L3083="","※没填去向矿区",IF(AND($C3083&lt;&gt;"",$C3083&lt;=结账锁),"※日期早于已结账截止日，不能再录",IF(AND($K3083="自用消耗",COUNTIF({"一矿区";"二矿区"},$L3083)=0),"※自用消耗的去向只能是一矿区或二矿区",IF(AND($K3083="对外销售",COUNTIF({"三矿区";"六矿区"},$L3083)=0),"※对外销售的去向只能是三矿区或六矿区",IF(AND($K3083="对外销售",ROUND($Q3083,0)=0),"※外销却没有售价，请填实际售价",IF(AND($K3083="对外销售",$T3083&lt;&gt;"",$T3083&lt;0),"※这一笔外销是亏的，请核对售价",IF(IFERROR(VLOOKUP($D3083,库存台账!$A$5:$Y$1204,24,0),0)&lt;-0.001,"※这个物料账面已经变成负数了，查一下是不是漏记入库","")))))))))))</f>
        <v/>
      </c>
    </row>
    <row r="3084">
      <c r="A3084" s="24">
        <f>IF($D3084="","",COUNTA($D$4:$D3084))</f>
        <v/>
      </c>
      <c r="B3084" s="17" t="n"/>
      <c r="C3084" s="30" t="n"/>
      <c r="D3084" s="17" t="n"/>
      <c r="E3084" s="24">
        <f>IF($D3084="","",IFERROR(VLOOKUP($D3084,物料档案!$A$4:$P$1203,3,0),"※编码不在物料档案里"))</f>
        <v/>
      </c>
      <c r="F3084" s="24">
        <f>IF($D3084="","",IFERROR(VLOOKUP($D3084,物料档案!$A$4:$P$1203,4,0),"※编码不在物料档案里"))</f>
        <v/>
      </c>
      <c r="G3084" s="24">
        <f>IF($D3084="","",IFERROR(VLOOKUP($D3084,物料档案!$A$4:$P$1203,5,0),"※编码不在物料档案里"))</f>
        <v/>
      </c>
      <c r="H3084" s="24">
        <f>IF($D3084="","",IFERROR(VLOOKUP($D3084,物料档案!$A$4:$P$1203,2,0),"※编码不在物料档案里"))</f>
        <v/>
      </c>
      <c r="I3084" s="24">
        <f>IF($D3084="","",IFERROR(VLOOKUP($D3084,物料档案!$A$4:$P$1203,6,0),"※编码不在物料档案里"))</f>
        <v/>
      </c>
      <c r="J3084" s="23" t="n"/>
      <c r="K3084" s="17" t="n"/>
      <c r="L3084" s="17" t="n"/>
      <c r="M3084" s="17" t="n"/>
      <c r="N3084" s="17" t="n"/>
      <c r="O3084" s="26">
        <f>IF($D3084="","",IFERROR(VLOOKUP($D3084,物料档案!$A$4:$P$1203,10,0),0))</f>
        <v/>
      </c>
      <c r="P3084" s="32" t="n"/>
      <c r="Q3084" s="26">
        <f>IF($D3084="","",IF($K3084&lt;&gt;"对外销售",0,ROUND(N($J3084)*IF($P3084="",N($O3084),N($P3084)),0)))</f>
        <v/>
      </c>
      <c r="R3084" s="26">
        <f>IF($D3084="","",IFERROR(VLOOKUP($D3084,库存台账!$A$5:$Y$1204,11,0),0))</f>
        <v/>
      </c>
      <c r="S3084" s="26">
        <f>IF($D3084="","",ROUND(N($J3084)*N($R3084),0))</f>
        <v/>
      </c>
      <c r="T3084" s="26">
        <f>IF($D3084="","",IF($K3084&lt;&gt;"对外销售","",ROUND($Q3084-$S3084,0)))</f>
        <v/>
      </c>
      <c r="U3084" s="17" t="n"/>
      <c r="V3084" s="17" t="n"/>
      <c r="W3084" s="24">
        <f>IF($D3084="","",IF($E3084="※编码不在物料档案里","※物料编码不在档案里",IF(N($J3084)&lt;=0,"※出库数量要大于 0",IF($K3084="","※没填去向类型",IF($L3084="","※没填去向矿区",IF(AND($C3084&lt;&gt;"",$C3084&lt;=结账锁),"※日期早于已结账截止日，不能再录",IF(AND($K3084="自用消耗",COUNTIF({"一矿区";"二矿区"},$L3084)=0),"※自用消耗的去向只能是一矿区或二矿区",IF(AND($K3084="对外销售",COUNTIF({"三矿区";"六矿区"},$L3084)=0),"※对外销售的去向只能是三矿区或六矿区",IF(AND($K3084="对外销售",ROUND($Q3084,0)=0),"※外销却没有售价，请填实际售价",IF(AND($K3084="对外销售",$T3084&lt;&gt;"",$T3084&lt;0),"※这一笔外销是亏的，请核对售价",IF(IFERROR(VLOOKUP($D3084,库存台账!$A$5:$Y$1204,24,0),0)&lt;-0.001,"※这个物料账面已经变成负数了，查一下是不是漏记入库","")))))))))))</f>
        <v/>
      </c>
    </row>
    <row r="3085">
      <c r="A3085" s="24">
        <f>IF($D3085="","",COUNTA($D$4:$D3085))</f>
        <v/>
      </c>
      <c r="B3085" s="17" t="n"/>
      <c r="C3085" s="30" t="n"/>
      <c r="D3085" s="17" t="n"/>
      <c r="E3085" s="24">
        <f>IF($D3085="","",IFERROR(VLOOKUP($D3085,物料档案!$A$4:$P$1203,3,0),"※编码不在物料档案里"))</f>
        <v/>
      </c>
      <c r="F3085" s="24">
        <f>IF($D3085="","",IFERROR(VLOOKUP($D3085,物料档案!$A$4:$P$1203,4,0),"※编码不在物料档案里"))</f>
        <v/>
      </c>
      <c r="G3085" s="24">
        <f>IF($D3085="","",IFERROR(VLOOKUP($D3085,物料档案!$A$4:$P$1203,5,0),"※编码不在物料档案里"))</f>
        <v/>
      </c>
      <c r="H3085" s="24">
        <f>IF($D3085="","",IFERROR(VLOOKUP($D3085,物料档案!$A$4:$P$1203,2,0),"※编码不在物料档案里"))</f>
        <v/>
      </c>
      <c r="I3085" s="24">
        <f>IF($D3085="","",IFERROR(VLOOKUP($D3085,物料档案!$A$4:$P$1203,6,0),"※编码不在物料档案里"))</f>
        <v/>
      </c>
      <c r="J3085" s="23" t="n"/>
      <c r="K3085" s="17" t="n"/>
      <c r="L3085" s="17" t="n"/>
      <c r="M3085" s="17" t="n"/>
      <c r="N3085" s="17" t="n"/>
      <c r="O3085" s="26">
        <f>IF($D3085="","",IFERROR(VLOOKUP($D3085,物料档案!$A$4:$P$1203,10,0),0))</f>
        <v/>
      </c>
      <c r="P3085" s="32" t="n"/>
      <c r="Q3085" s="26">
        <f>IF($D3085="","",IF($K3085&lt;&gt;"对外销售",0,ROUND(N($J3085)*IF($P3085="",N($O3085),N($P3085)),0)))</f>
        <v/>
      </c>
      <c r="R3085" s="26">
        <f>IF($D3085="","",IFERROR(VLOOKUP($D3085,库存台账!$A$5:$Y$1204,11,0),0))</f>
        <v/>
      </c>
      <c r="S3085" s="26">
        <f>IF($D3085="","",ROUND(N($J3085)*N($R3085),0))</f>
        <v/>
      </c>
      <c r="T3085" s="26">
        <f>IF($D3085="","",IF($K3085&lt;&gt;"对外销售","",ROUND($Q3085-$S3085,0)))</f>
        <v/>
      </c>
      <c r="U3085" s="17" t="n"/>
      <c r="V3085" s="17" t="n"/>
      <c r="W3085" s="24">
        <f>IF($D3085="","",IF($E3085="※编码不在物料档案里","※物料编码不在档案里",IF(N($J3085)&lt;=0,"※出库数量要大于 0",IF($K3085="","※没填去向类型",IF($L3085="","※没填去向矿区",IF(AND($C3085&lt;&gt;"",$C3085&lt;=结账锁),"※日期早于已结账截止日，不能再录",IF(AND($K3085="自用消耗",COUNTIF({"一矿区";"二矿区"},$L3085)=0),"※自用消耗的去向只能是一矿区或二矿区",IF(AND($K3085="对外销售",COUNTIF({"三矿区";"六矿区"},$L3085)=0),"※对外销售的去向只能是三矿区或六矿区",IF(AND($K3085="对外销售",ROUND($Q3085,0)=0),"※外销却没有售价，请填实际售价",IF(AND($K3085="对外销售",$T3085&lt;&gt;"",$T3085&lt;0),"※这一笔外销是亏的，请核对售价",IF(IFERROR(VLOOKUP($D3085,库存台账!$A$5:$Y$1204,24,0),0)&lt;-0.001,"※这个物料账面已经变成负数了，查一下是不是漏记入库","")))))))))))</f>
        <v/>
      </c>
    </row>
    <row r="3086">
      <c r="A3086" s="24">
        <f>IF($D3086="","",COUNTA($D$4:$D3086))</f>
        <v/>
      </c>
      <c r="B3086" s="17" t="n"/>
      <c r="C3086" s="30" t="n"/>
      <c r="D3086" s="17" t="n"/>
      <c r="E3086" s="24">
        <f>IF($D3086="","",IFERROR(VLOOKUP($D3086,物料档案!$A$4:$P$1203,3,0),"※编码不在物料档案里"))</f>
        <v/>
      </c>
      <c r="F3086" s="24">
        <f>IF($D3086="","",IFERROR(VLOOKUP($D3086,物料档案!$A$4:$P$1203,4,0),"※编码不在物料档案里"))</f>
        <v/>
      </c>
      <c r="G3086" s="24">
        <f>IF($D3086="","",IFERROR(VLOOKUP($D3086,物料档案!$A$4:$P$1203,5,0),"※编码不在物料档案里"))</f>
        <v/>
      </c>
      <c r="H3086" s="24">
        <f>IF($D3086="","",IFERROR(VLOOKUP($D3086,物料档案!$A$4:$P$1203,2,0),"※编码不在物料档案里"))</f>
        <v/>
      </c>
      <c r="I3086" s="24">
        <f>IF($D3086="","",IFERROR(VLOOKUP($D3086,物料档案!$A$4:$P$1203,6,0),"※编码不在物料档案里"))</f>
        <v/>
      </c>
      <c r="J3086" s="23" t="n"/>
      <c r="K3086" s="17" t="n"/>
      <c r="L3086" s="17" t="n"/>
      <c r="M3086" s="17" t="n"/>
      <c r="N3086" s="17" t="n"/>
      <c r="O3086" s="26">
        <f>IF($D3086="","",IFERROR(VLOOKUP($D3086,物料档案!$A$4:$P$1203,10,0),0))</f>
        <v/>
      </c>
      <c r="P3086" s="32" t="n"/>
      <c r="Q3086" s="26">
        <f>IF($D3086="","",IF($K3086&lt;&gt;"对外销售",0,ROUND(N($J3086)*IF($P3086="",N($O3086),N($P3086)),0)))</f>
        <v/>
      </c>
      <c r="R3086" s="26">
        <f>IF($D3086="","",IFERROR(VLOOKUP($D3086,库存台账!$A$5:$Y$1204,11,0),0))</f>
        <v/>
      </c>
      <c r="S3086" s="26">
        <f>IF($D3086="","",ROUND(N($J3086)*N($R3086),0))</f>
        <v/>
      </c>
      <c r="T3086" s="26">
        <f>IF($D3086="","",IF($K3086&lt;&gt;"对外销售","",ROUND($Q3086-$S3086,0)))</f>
        <v/>
      </c>
      <c r="U3086" s="17" t="n"/>
      <c r="V3086" s="17" t="n"/>
      <c r="W3086" s="24">
        <f>IF($D3086="","",IF($E3086="※编码不在物料档案里","※物料编码不在档案里",IF(N($J3086)&lt;=0,"※出库数量要大于 0",IF($K3086="","※没填去向类型",IF($L3086="","※没填去向矿区",IF(AND($C3086&lt;&gt;"",$C3086&lt;=结账锁),"※日期早于已结账截止日，不能再录",IF(AND($K3086="自用消耗",COUNTIF({"一矿区";"二矿区"},$L3086)=0),"※自用消耗的去向只能是一矿区或二矿区",IF(AND($K3086="对外销售",COUNTIF({"三矿区";"六矿区"},$L3086)=0),"※对外销售的去向只能是三矿区或六矿区",IF(AND($K3086="对外销售",ROUND($Q3086,0)=0),"※外销却没有售价，请填实际售价",IF(AND($K3086="对外销售",$T3086&lt;&gt;"",$T3086&lt;0),"※这一笔外销是亏的，请核对售价",IF(IFERROR(VLOOKUP($D3086,库存台账!$A$5:$Y$1204,24,0),0)&lt;-0.001,"※这个物料账面已经变成负数了，查一下是不是漏记入库","")))))))))))</f>
        <v/>
      </c>
    </row>
    <row r="3087">
      <c r="A3087" s="24">
        <f>IF($D3087="","",COUNTA($D$4:$D3087))</f>
        <v/>
      </c>
      <c r="B3087" s="17" t="n"/>
      <c r="C3087" s="30" t="n"/>
      <c r="D3087" s="17" t="n"/>
      <c r="E3087" s="24">
        <f>IF($D3087="","",IFERROR(VLOOKUP($D3087,物料档案!$A$4:$P$1203,3,0),"※编码不在物料档案里"))</f>
        <v/>
      </c>
      <c r="F3087" s="24">
        <f>IF($D3087="","",IFERROR(VLOOKUP($D3087,物料档案!$A$4:$P$1203,4,0),"※编码不在物料档案里"))</f>
        <v/>
      </c>
      <c r="G3087" s="24">
        <f>IF($D3087="","",IFERROR(VLOOKUP($D3087,物料档案!$A$4:$P$1203,5,0),"※编码不在物料档案里"))</f>
        <v/>
      </c>
      <c r="H3087" s="24">
        <f>IF($D3087="","",IFERROR(VLOOKUP($D3087,物料档案!$A$4:$P$1203,2,0),"※编码不在物料档案里"))</f>
        <v/>
      </c>
      <c r="I3087" s="24">
        <f>IF($D3087="","",IFERROR(VLOOKUP($D3087,物料档案!$A$4:$P$1203,6,0),"※编码不在物料档案里"))</f>
        <v/>
      </c>
      <c r="J3087" s="23" t="n"/>
      <c r="K3087" s="17" t="n"/>
      <c r="L3087" s="17" t="n"/>
      <c r="M3087" s="17" t="n"/>
      <c r="N3087" s="17" t="n"/>
      <c r="O3087" s="26">
        <f>IF($D3087="","",IFERROR(VLOOKUP($D3087,物料档案!$A$4:$P$1203,10,0),0))</f>
        <v/>
      </c>
      <c r="P3087" s="32" t="n"/>
      <c r="Q3087" s="26">
        <f>IF($D3087="","",IF($K3087&lt;&gt;"对外销售",0,ROUND(N($J3087)*IF($P3087="",N($O3087),N($P3087)),0)))</f>
        <v/>
      </c>
      <c r="R3087" s="26">
        <f>IF($D3087="","",IFERROR(VLOOKUP($D3087,库存台账!$A$5:$Y$1204,11,0),0))</f>
        <v/>
      </c>
      <c r="S3087" s="26">
        <f>IF($D3087="","",ROUND(N($J3087)*N($R3087),0))</f>
        <v/>
      </c>
      <c r="T3087" s="26">
        <f>IF($D3087="","",IF($K3087&lt;&gt;"对外销售","",ROUND($Q3087-$S3087,0)))</f>
        <v/>
      </c>
      <c r="U3087" s="17" t="n"/>
      <c r="V3087" s="17" t="n"/>
      <c r="W3087" s="24">
        <f>IF($D3087="","",IF($E3087="※编码不在物料档案里","※物料编码不在档案里",IF(N($J3087)&lt;=0,"※出库数量要大于 0",IF($K3087="","※没填去向类型",IF($L3087="","※没填去向矿区",IF(AND($C3087&lt;&gt;"",$C3087&lt;=结账锁),"※日期早于已结账截止日，不能再录",IF(AND($K3087="自用消耗",COUNTIF({"一矿区";"二矿区"},$L3087)=0),"※自用消耗的去向只能是一矿区或二矿区",IF(AND($K3087="对外销售",COUNTIF({"三矿区";"六矿区"},$L3087)=0),"※对外销售的去向只能是三矿区或六矿区",IF(AND($K3087="对外销售",ROUND($Q3087,0)=0),"※外销却没有售价，请填实际售价",IF(AND($K3087="对外销售",$T3087&lt;&gt;"",$T3087&lt;0),"※这一笔外销是亏的，请核对售价",IF(IFERROR(VLOOKUP($D3087,库存台账!$A$5:$Y$1204,24,0),0)&lt;-0.001,"※这个物料账面已经变成负数了，查一下是不是漏记入库","")))))))))))</f>
        <v/>
      </c>
    </row>
    <row r="3088">
      <c r="A3088" s="24">
        <f>IF($D3088="","",COUNTA($D$4:$D3088))</f>
        <v/>
      </c>
      <c r="B3088" s="17" t="n"/>
      <c r="C3088" s="30" t="n"/>
      <c r="D3088" s="17" t="n"/>
      <c r="E3088" s="24">
        <f>IF($D3088="","",IFERROR(VLOOKUP($D3088,物料档案!$A$4:$P$1203,3,0),"※编码不在物料档案里"))</f>
        <v/>
      </c>
      <c r="F3088" s="24">
        <f>IF($D3088="","",IFERROR(VLOOKUP($D3088,物料档案!$A$4:$P$1203,4,0),"※编码不在物料档案里"))</f>
        <v/>
      </c>
      <c r="G3088" s="24">
        <f>IF($D3088="","",IFERROR(VLOOKUP($D3088,物料档案!$A$4:$P$1203,5,0),"※编码不在物料档案里"))</f>
        <v/>
      </c>
      <c r="H3088" s="24">
        <f>IF($D3088="","",IFERROR(VLOOKUP($D3088,物料档案!$A$4:$P$1203,2,0),"※编码不在物料档案里"))</f>
        <v/>
      </c>
      <c r="I3088" s="24">
        <f>IF($D3088="","",IFERROR(VLOOKUP($D3088,物料档案!$A$4:$P$1203,6,0),"※编码不在物料档案里"))</f>
        <v/>
      </c>
      <c r="J3088" s="23" t="n"/>
      <c r="K3088" s="17" t="n"/>
      <c r="L3088" s="17" t="n"/>
      <c r="M3088" s="17" t="n"/>
      <c r="N3088" s="17" t="n"/>
      <c r="O3088" s="26">
        <f>IF($D3088="","",IFERROR(VLOOKUP($D3088,物料档案!$A$4:$P$1203,10,0),0))</f>
        <v/>
      </c>
      <c r="P3088" s="32" t="n"/>
      <c r="Q3088" s="26">
        <f>IF($D3088="","",IF($K3088&lt;&gt;"对外销售",0,ROUND(N($J3088)*IF($P3088="",N($O3088),N($P3088)),0)))</f>
        <v/>
      </c>
      <c r="R3088" s="26">
        <f>IF($D3088="","",IFERROR(VLOOKUP($D3088,库存台账!$A$5:$Y$1204,11,0),0))</f>
        <v/>
      </c>
      <c r="S3088" s="26">
        <f>IF($D3088="","",ROUND(N($J3088)*N($R3088),0))</f>
        <v/>
      </c>
      <c r="T3088" s="26">
        <f>IF($D3088="","",IF($K3088&lt;&gt;"对外销售","",ROUND($Q3088-$S3088,0)))</f>
        <v/>
      </c>
      <c r="U3088" s="17" t="n"/>
      <c r="V3088" s="17" t="n"/>
      <c r="W3088" s="24">
        <f>IF($D3088="","",IF($E3088="※编码不在物料档案里","※物料编码不在档案里",IF(N($J3088)&lt;=0,"※出库数量要大于 0",IF($K3088="","※没填去向类型",IF($L3088="","※没填去向矿区",IF(AND($C3088&lt;&gt;"",$C3088&lt;=结账锁),"※日期早于已结账截止日，不能再录",IF(AND($K3088="自用消耗",COUNTIF({"一矿区";"二矿区"},$L3088)=0),"※自用消耗的去向只能是一矿区或二矿区",IF(AND($K3088="对外销售",COUNTIF({"三矿区";"六矿区"},$L3088)=0),"※对外销售的去向只能是三矿区或六矿区",IF(AND($K3088="对外销售",ROUND($Q3088,0)=0),"※外销却没有售价，请填实际售价",IF(AND($K3088="对外销售",$T3088&lt;&gt;"",$T3088&lt;0),"※这一笔外销是亏的，请核对售价",IF(IFERROR(VLOOKUP($D3088,库存台账!$A$5:$Y$1204,24,0),0)&lt;-0.001,"※这个物料账面已经变成负数了，查一下是不是漏记入库","")))))))))))</f>
        <v/>
      </c>
    </row>
    <row r="3089">
      <c r="A3089" s="24">
        <f>IF($D3089="","",COUNTA($D$4:$D3089))</f>
        <v/>
      </c>
      <c r="B3089" s="17" t="n"/>
      <c r="C3089" s="30" t="n"/>
      <c r="D3089" s="17" t="n"/>
      <c r="E3089" s="24">
        <f>IF($D3089="","",IFERROR(VLOOKUP($D3089,物料档案!$A$4:$P$1203,3,0),"※编码不在物料档案里"))</f>
        <v/>
      </c>
      <c r="F3089" s="24">
        <f>IF($D3089="","",IFERROR(VLOOKUP($D3089,物料档案!$A$4:$P$1203,4,0),"※编码不在物料档案里"))</f>
        <v/>
      </c>
      <c r="G3089" s="24">
        <f>IF($D3089="","",IFERROR(VLOOKUP($D3089,物料档案!$A$4:$P$1203,5,0),"※编码不在物料档案里"))</f>
        <v/>
      </c>
      <c r="H3089" s="24">
        <f>IF($D3089="","",IFERROR(VLOOKUP($D3089,物料档案!$A$4:$P$1203,2,0),"※编码不在物料档案里"))</f>
        <v/>
      </c>
      <c r="I3089" s="24">
        <f>IF($D3089="","",IFERROR(VLOOKUP($D3089,物料档案!$A$4:$P$1203,6,0),"※编码不在物料档案里"))</f>
        <v/>
      </c>
      <c r="J3089" s="23" t="n"/>
      <c r="K3089" s="17" t="n"/>
      <c r="L3089" s="17" t="n"/>
      <c r="M3089" s="17" t="n"/>
      <c r="N3089" s="17" t="n"/>
      <c r="O3089" s="26">
        <f>IF($D3089="","",IFERROR(VLOOKUP($D3089,物料档案!$A$4:$P$1203,10,0),0))</f>
        <v/>
      </c>
      <c r="P3089" s="32" t="n"/>
      <c r="Q3089" s="26">
        <f>IF($D3089="","",IF($K3089&lt;&gt;"对外销售",0,ROUND(N($J3089)*IF($P3089="",N($O3089),N($P3089)),0)))</f>
        <v/>
      </c>
      <c r="R3089" s="26">
        <f>IF($D3089="","",IFERROR(VLOOKUP($D3089,库存台账!$A$5:$Y$1204,11,0),0))</f>
        <v/>
      </c>
      <c r="S3089" s="26">
        <f>IF($D3089="","",ROUND(N($J3089)*N($R3089),0))</f>
        <v/>
      </c>
      <c r="T3089" s="26">
        <f>IF($D3089="","",IF($K3089&lt;&gt;"对外销售","",ROUND($Q3089-$S3089,0)))</f>
        <v/>
      </c>
      <c r="U3089" s="17" t="n"/>
      <c r="V3089" s="17" t="n"/>
      <c r="W3089" s="24">
        <f>IF($D3089="","",IF($E3089="※编码不在物料档案里","※物料编码不在档案里",IF(N($J3089)&lt;=0,"※出库数量要大于 0",IF($K3089="","※没填去向类型",IF($L3089="","※没填去向矿区",IF(AND($C3089&lt;&gt;"",$C3089&lt;=结账锁),"※日期早于已结账截止日，不能再录",IF(AND($K3089="自用消耗",COUNTIF({"一矿区";"二矿区"},$L3089)=0),"※自用消耗的去向只能是一矿区或二矿区",IF(AND($K3089="对外销售",COUNTIF({"三矿区";"六矿区"},$L3089)=0),"※对外销售的去向只能是三矿区或六矿区",IF(AND($K3089="对外销售",ROUND($Q3089,0)=0),"※外销却没有售价，请填实际售价",IF(AND($K3089="对外销售",$T3089&lt;&gt;"",$T3089&lt;0),"※这一笔外销是亏的，请核对售价",IF(IFERROR(VLOOKUP($D3089,库存台账!$A$5:$Y$1204,24,0),0)&lt;-0.001,"※这个物料账面已经变成负数了，查一下是不是漏记入库","")))))))))))</f>
        <v/>
      </c>
    </row>
    <row r="3090">
      <c r="A3090" s="24">
        <f>IF($D3090="","",COUNTA($D$4:$D3090))</f>
        <v/>
      </c>
      <c r="B3090" s="17" t="n"/>
      <c r="C3090" s="30" t="n"/>
      <c r="D3090" s="17" t="n"/>
      <c r="E3090" s="24">
        <f>IF($D3090="","",IFERROR(VLOOKUP($D3090,物料档案!$A$4:$P$1203,3,0),"※编码不在物料档案里"))</f>
        <v/>
      </c>
      <c r="F3090" s="24">
        <f>IF($D3090="","",IFERROR(VLOOKUP($D3090,物料档案!$A$4:$P$1203,4,0),"※编码不在物料档案里"))</f>
        <v/>
      </c>
      <c r="G3090" s="24">
        <f>IF($D3090="","",IFERROR(VLOOKUP($D3090,物料档案!$A$4:$P$1203,5,0),"※编码不在物料档案里"))</f>
        <v/>
      </c>
      <c r="H3090" s="24">
        <f>IF($D3090="","",IFERROR(VLOOKUP($D3090,物料档案!$A$4:$P$1203,2,0),"※编码不在物料档案里"))</f>
        <v/>
      </c>
      <c r="I3090" s="24">
        <f>IF($D3090="","",IFERROR(VLOOKUP($D3090,物料档案!$A$4:$P$1203,6,0),"※编码不在物料档案里"))</f>
        <v/>
      </c>
      <c r="J3090" s="23" t="n"/>
      <c r="K3090" s="17" t="n"/>
      <c r="L3090" s="17" t="n"/>
      <c r="M3090" s="17" t="n"/>
      <c r="N3090" s="17" t="n"/>
      <c r="O3090" s="26">
        <f>IF($D3090="","",IFERROR(VLOOKUP($D3090,物料档案!$A$4:$P$1203,10,0),0))</f>
        <v/>
      </c>
      <c r="P3090" s="32" t="n"/>
      <c r="Q3090" s="26">
        <f>IF($D3090="","",IF($K3090&lt;&gt;"对外销售",0,ROUND(N($J3090)*IF($P3090="",N($O3090),N($P3090)),0)))</f>
        <v/>
      </c>
      <c r="R3090" s="26">
        <f>IF($D3090="","",IFERROR(VLOOKUP($D3090,库存台账!$A$5:$Y$1204,11,0),0))</f>
        <v/>
      </c>
      <c r="S3090" s="26">
        <f>IF($D3090="","",ROUND(N($J3090)*N($R3090),0))</f>
        <v/>
      </c>
      <c r="T3090" s="26">
        <f>IF($D3090="","",IF($K3090&lt;&gt;"对外销售","",ROUND($Q3090-$S3090,0)))</f>
        <v/>
      </c>
      <c r="U3090" s="17" t="n"/>
      <c r="V3090" s="17" t="n"/>
      <c r="W3090" s="24">
        <f>IF($D3090="","",IF($E3090="※编码不在物料档案里","※物料编码不在档案里",IF(N($J3090)&lt;=0,"※出库数量要大于 0",IF($K3090="","※没填去向类型",IF($L3090="","※没填去向矿区",IF(AND($C3090&lt;&gt;"",$C3090&lt;=结账锁),"※日期早于已结账截止日，不能再录",IF(AND($K3090="自用消耗",COUNTIF({"一矿区";"二矿区"},$L3090)=0),"※自用消耗的去向只能是一矿区或二矿区",IF(AND($K3090="对外销售",COUNTIF({"三矿区";"六矿区"},$L3090)=0),"※对外销售的去向只能是三矿区或六矿区",IF(AND($K3090="对外销售",ROUND($Q3090,0)=0),"※外销却没有售价，请填实际售价",IF(AND($K3090="对外销售",$T3090&lt;&gt;"",$T3090&lt;0),"※这一笔外销是亏的，请核对售价",IF(IFERROR(VLOOKUP($D3090,库存台账!$A$5:$Y$1204,24,0),0)&lt;-0.001,"※这个物料账面已经变成负数了，查一下是不是漏记入库","")))))))))))</f>
        <v/>
      </c>
    </row>
    <row r="3091">
      <c r="A3091" s="24">
        <f>IF($D3091="","",COUNTA($D$4:$D3091))</f>
        <v/>
      </c>
      <c r="B3091" s="17" t="n"/>
      <c r="C3091" s="30" t="n"/>
      <c r="D3091" s="17" t="n"/>
      <c r="E3091" s="24">
        <f>IF($D3091="","",IFERROR(VLOOKUP($D3091,物料档案!$A$4:$P$1203,3,0),"※编码不在物料档案里"))</f>
        <v/>
      </c>
      <c r="F3091" s="24">
        <f>IF($D3091="","",IFERROR(VLOOKUP($D3091,物料档案!$A$4:$P$1203,4,0),"※编码不在物料档案里"))</f>
        <v/>
      </c>
      <c r="G3091" s="24">
        <f>IF($D3091="","",IFERROR(VLOOKUP($D3091,物料档案!$A$4:$P$1203,5,0),"※编码不在物料档案里"))</f>
        <v/>
      </c>
      <c r="H3091" s="24">
        <f>IF($D3091="","",IFERROR(VLOOKUP($D3091,物料档案!$A$4:$P$1203,2,0),"※编码不在物料档案里"))</f>
        <v/>
      </c>
      <c r="I3091" s="24">
        <f>IF($D3091="","",IFERROR(VLOOKUP($D3091,物料档案!$A$4:$P$1203,6,0),"※编码不在物料档案里"))</f>
        <v/>
      </c>
      <c r="J3091" s="23" t="n"/>
      <c r="K3091" s="17" t="n"/>
      <c r="L3091" s="17" t="n"/>
      <c r="M3091" s="17" t="n"/>
      <c r="N3091" s="17" t="n"/>
      <c r="O3091" s="26">
        <f>IF($D3091="","",IFERROR(VLOOKUP($D3091,物料档案!$A$4:$P$1203,10,0),0))</f>
        <v/>
      </c>
      <c r="P3091" s="32" t="n"/>
      <c r="Q3091" s="26">
        <f>IF($D3091="","",IF($K3091&lt;&gt;"对外销售",0,ROUND(N($J3091)*IF($P3091="",N($O3091),N($P3091)),0)))</f>
        <v/>
      </c>
      <c r="R3091" s="26">
        <f>IF($D3091="","",IFERROR(VLOOKUP($D3091,库存台账!$A$5:$Y$1204,11,0),0))</f>
        <v/>
      </c>
      <c r="S3091" s="26">
        <f>IF($D3091="","",ROUND(N($J3091)*N($R3091),0))</f>
        <v/>
      </c>
      <c r="T3091" s="26">
        <f>IF($D3091="","",IF($K3091&lt;&gt;"对外销售","",ROUND($Q3091-$S3091,0)))</f>
        <v/>
      </c>
      <c r="U3091" s="17" t="n"/>
      <c r="V3091" s="17" t="n"/>
      <c r="W3091" s="24">
        <f>IF($D3091="","",IF($E3091="※编码不在物料档案里","※物料编码不在档案里",IF(N($J3091)&lt;=0,"※出库数量要大于 0",IF($K3091="","※没填去向类型",IF($L3091="","※没填去向矿区",IF(AND($C3091&lt;&gt;"",$C3091&lt;=结账锁),"※日期早于已结账截止日，不能再录",IF(AND($K3091="自用消耗",COUNTIF({"一矿区";"二矿区"},$L3091)=0),"※自用消耗的去向只能是一矿区或二矿区",IF(AND($K3091="对外销售",COUNTIF({"三矿区";"六矿区"},$L3091)=0),"※对外销售的去向只能是三矿区或六矿区",IF(AND($K3091="对外销售",ROUND($Q3091,0)=0),"※外销却没有售价，请填实际售价",IF(AND($K3091="对外销售",$T3091&lt;&gt;"",$T3091&lt;0),"※这一笔外销是亏的，请核对售价",IF(IFERROR(VLOOKUP($D3091,库存台账!$A$5:$Y$1204,24,0),0)&lt;-0.001,"※这个物料账面已经变成负数了，查一下是不是漏记入库","")))))))))))</f>
        <v/>
      </c>
    </row>
    <row r="3092">
      <c r="A3092" s="24">
        <f>IF($D3092="","",COUNTA($D$4:$D3092))</f>
        <v/>
      </c>
      <c r="B3092" s="17" t="n"/>
      <c r="C3092" s="30" t="n"/>
      <c r="D3092" s="17" t="n"/>
      <c r="E3092" s="24">
        <f>IF($D3092="","",IFERROR(VLOOKUP($D3092,物料档案!$A$4:$P$1203,3,0),"※编码不在物料档案里"))</f>
        <v/>
      </c>
      <c r="F3092" s="24">
        <f>IF($D3092="","",IFERROR(VLOOKUP($D3092,物料档案!$A$4:$P$1203,4,0),"※编码不在物料档案里"))</f>
        <v/>
      </c>
      <c r="G3092" s="24">
        <f>IF($D3092="","",IFERROR(VLOOKUP($D3092,物料档案!$A$4:$P$1203,5,0),"※编码不在物料档案里"))</f>
        <v/>
      </c>
      <c r="H3092" s="24">
        <f>IF($D3092="","",IFERROR(VLOOKUP($D3092,物料档案!$A$4:$P$1203,2,0),"※编码不在物料档案里"))</f>
        <v/>
      </c>
      <c r="I3092" s="24">
        <f>IF($D3092="","",IFERROR(VLOOKUP($D3092,物料档案!$A$4:$P$1203,6,0),"※编码不在物料档案里"))</f>
        <v/>
      </c>
      <c r="J3092" s="23" t="n"/>
      <c r="K3092" s="17" t="n"/>
      <c r="L3092" s="17" t="n"/>
      <c r="M3092" s="17" t="n"/>
      <c r="N3092" s="17" t="n"/>
      <c r="O3092" s="26">
        <f>IF($D3092="","",IFERROR(VLOOKUP($D3092,物料档案!$A$4:$P$1203,10,0),0))</f>
        <v/>
      </c>
      <c r="P3092" s="32" t="n"/>
      <c r="Q3092" s="26">
        <f>IF($D3092="","",IF($K3092&lt;&gt;"对外销售",0,ROUND(N($J3092)*IF($P3092="",N($O3092),N($P3092)),0)))</f>
        <v/>
      </c>
      <c r="R3092" s="26">
        <f>IF($D3092="","",IFERROR(VLOOKUP($D3092,库存台账!$A$5:$Y$1204,11,0),0))</f>
        <v/>
      </c>
      <c r="S3092" s="26">
        <f>IF($D3092="","",ROUND(N($J3092)*N($R3092),0))</f>
        <v/>
      </c>
      <c r="T3092" s="26">
        <f>IF($D3092="","",IF($K3092&lt;&gt;"对外销售","",ROUND($Q3092-$S3092,0)))</f>
        <v/>
      </c>
      <c r="U3092" s="17" t="n"/>
      <c r="V3092" s="17" t="n"/>
      <c r="W3092" s="24">
        <f>IF($D3092="","",IF($E3092="※编码不在物料档案里","※物料编码不在档案里",IF(N($J3092)&lt;=0,"※出库数量要大于 0",IF($K3092="","※没填去向类型",IF($L3092="","※没填去向矿区",IF(AND($C3092&lt;&gt;"",$C3092&lt;=结账锁),"※日期早于已结账截止日，不能再录",IF(AND($K3092="自用消耗",COUNTIF({"一矿区";"二矿区"},$L3092)=0),"※自用消耗的去向只能是一矿区或二矿区",IF(AND($K3092="对外销售",COUNTIF({"三矿区";"六矿区"},$L3092)=0),"※对外销售的去向只能是三矿区或六矿区",IF(AND($K3092="对外销售",ROUND($Q3092,0)=0),"※外销却没有售价，请填实际售价",IF(AND($K3092="对外销售",$T3092&lt;&gt;"",$T3092&lt;0),"※这一笔外销是亏的，请核对售价",IF(IFERROR(VLOOKUP($D3092,库存台账!$A$5:$Y$1204,24,0),0)&lt;-0.001,"※这个物料账面已经变成负数了，查一下是不是漏记入库","")))))))))))</f>
        <v/>
      </c>
    </row>
    <row r="3093">
      <c r="A3093" s="24">
        <f>IF($D3093="","",COUNTA($D$4:$D3093))</f>
        <v/>
      </c>
      <c r="B3093" s="17" t="n"/>
      <c r="C3093" s="30" t="n"/>
      <c r="D3093" s="17" t="n"/>
      <c r="E3093" s="24">
        <f>IF($D3093="","",IFERROR(VLOOKUP($D3093,物料档案!$A$4:$P$1203,3,0),"※编码不在物料档案里"))</f>
        <v/>
      </c>
      <c r="F3093" s="24">
        <f>IF($D3093="","",IFERROR(VLOOKUP($D3093,物料档案!$A$4:$P$1203,4,0),"※编码不在物料档案里"))</f>
        <v/>
      </c>
      <c r="G3093" s="24">
        <f>IF($D3093="","",IFERROR(VLOOKUP($D3093,物料档案!$A$4:$P$1203,5,0),"※编码不在物料档案里"))</f>
        <v/>
      </c>
      <c r="H3093" s="24">
        <f>IF($D3093="","",IFERROR(VLOOKUP($D3093,物料档案!$A$4:$P$1203,2,0),"※编码不在物料档案里"))</f>
        <v/>
      </c>
      <c r="I3093" s="24">
        <f>IF($D3093="","",IFERROR(VLOOKUP($D3093,物料档案!$A$4:$P$1203,6,0),"※编码不在物料档案里"))</f>
        <v/>
      </c>
      <c r="J3093" s="23" t="n"/>
      <c r="K3093" s="17" t="n"/>
      <c r="L3093" s="17" t="n"/>
      <c r="M3093" s="17" t="n"/>
      <c r="N3093" s="17" t="n"/>
      <c r="O3093" s="26">
        <f>IF($D3093="","",IFERROR(VLOOKUP($D3093,物料档案!$A$4:$P$1203,10,0),0))</f>
        <v/>
      </c>
      <c r="P3093" s="32" t="n"/>
      <c r="Q3093" s="26">
        <f>IF($D3093="","",IF($K3093&lt;&gt;"对外销售",0,ROUND(N($J3093)*IF($P3093="",N($O3093),N($P3093)),0)))</f>
        <v/>
      </c>
      <c r="R3093" s="26">
        <f>IF($D3093="","",IFERROR(VLOOKUP($D3093,库存台账!$A$5:$Y$1204,11,0),0))</f>
        <v/>
      </c>
      <c r="S3093" s="26">
        <f>IF($D3093="","",ROUND(N($J3093)*N($R3093),0))</f>
        <v/>
      </c>
      <c r="T3093" s="26">
        <f>IF($D3093="","",IF($K3093&lt;&gt;"对外销售","",ROUND($Q3093-$S3093,0)))</f>
        <v/>
      </c>
      <c r="U3093" s="17" t="n"/>
      <c r="V3093" s="17" t="n"/>
      <c r="W3093" s="24">
        <f>IF($D3093="","",IF($E3093="※编码不在物料档案里","※物料编码不在档案里",IF(N($J3093)&lt;=0,"※出库数量要大于 0",IF($K3093="","※没填去向类型",IF($L3093="","※没填去向矿区",IF(AND($C3093&lt;&gt;"",$C3093&lt;=结账锁),"※日期早于已结账截止日，不能再录",IF(AND($K3093="自用消耗",COUNTIF({"一矿区";"二矿区"},$L3093)=0),"※自用消耗的去向只能是一矿区或二矿区",IF(AND($K3093="对外销售",COUNTIF({"三矿区";"六矿区"},$L3093)=0),"※对外销售的去向只能是三矿区或六矿区",IF(AND($K3093="对外销售",ROUND($Q3093,0)=0),"※外销却没有售价，请填实际售价",IF(AND($K3093="对外销售",$T3093&lt;&gt;"",$T3093&lt;0),"※这一笔外销是亏的，请核对售价",IF(IFERROR(VLOOKUP($D3093,库存台账!$A$5:$Y$1204,24,0),0)&lt;-0.001,"※这个物料账面已经变成负数了，查一下是不是漏记入库","")))))))))))</f>
        <v/>
      </c>
    </row>
    <row r="3094">
      <c r="A3094" s="24">
        <f>IF($D3094="","",COUNTA($D$4:$D3094))</f>
        <v/>
      </c>
      <c r="B3094" s="17" t="n"/>
      <c r="C3094" s="30" t="n"/>
      <c r="D3094" s="17" t="n"/>
      <c r="E3094" s="24">
        <f>IF($D3094="","",IFERROR(VLOOKUP($D3094,物料档案!$A$4:$P$1203,3,0),"※编码不在物料档案里"))</f>
        <v/>
      </c>
      <c r="F3094" s="24">
        <f>IF($D3094="","",IFERROR(VLOOKUP($D3094,物料档案!$A$4:$P$1203,4,0),"※编码不在物料档案里"))</f>
        <v/>
      </c>
      <c r="G3094" s="24">
        <f>IF($D3094="","",IFERROR(VLOOKUP($D3094,物料档案!$A$4:$P$1203,5,0),"※编码不在物料档案里"))</f>
        <v/>
      </c>
      <c r="H3094" s="24">
        <f>IF($D3094="","",IFERROR(VLOOKUP($D3094,物料档案!$A$4:$P$1203,2,0),"※编码不在物料档案里"))</f>
        <v/>
      </c>
      <c r="I3094" s="24">
        <f>IF($D3094="","",IFERROR(VLOOKUP($D3094,物料档案!$A$4:$P$1203,6,0),"※编码不在物料档案里"))</f>
        <v/>
      </c>
      <c r="J3094" s="23" t="n"/>
      <c r="K3094" s="17" t="n"/>
      <c r="L3094" s="17" t="n"/>
      <c r="M3094" s="17" t="n"/>
      <c r="N3094" s="17" t="n"/>
      <c r="O3094" s="26">
        <f>IF($D3094="","",IFERROR(VLOOKUP($D3094,物料档案!$A$4:$P$1203,10,0),0))</f>
        <v/>
      </c>
      <c r="P3094" s="32" t="n"/>
      <c r="Q3094" s="26">
        <f>IF($D3094="","",IF($K3094&lt;&gt;"对外销售",0,ROUND(N($J3094)*IF($P3094="",N($O3094),N($P3094)),0)))</f>
        <v/>
      </c>
      <c r="R3094" s="26">
        <f>IF($D3094="","",IFERROR(VLOOKUP($D3094,库存台账!$A$5:$Y$1204,11,0),0))</f>
        <v/>
      </c>
      <c r="S3094" s="26">
        <f>IF($D3094="","",ROUND(N($J3094)*N($R3094),0))</f>
        <v/>
      </c>
      <c r="T3094" s="26">
        <f>IF($D3094="","",IF($K3094&lt;&gt;"对外销售","",ROUND($Q3094-$S3094,0)))</f>
        <v/>
      </c>
      <c r="U3094" s="17" t="n"/>
      <c r="V3094" s="17" t="n"/>
      <c r="W3094" s="24">
        <f>IF($D3094="","",IF($E3094="※编码不在物料档案里","※物料编码不在档案里",IF(N($J3094)&lt;=0,"※出库数量要大于 0",IF($K3094="","※没填去向类型",IF($L3094="","※没填去向矿区",IF(AND($C3094&lt;&gt;"",$C3094&lt;=结账锁),"※日期早于已结账截止日，不能再录",IF(AND($K3094="自用消耗",COUNTIF({"一矿区";"二矿区"},$L3094)=0),"※自用消耗的去向只能是一矿区或二矿区",IF(AND($K3094="对外销售",COUNTIF({"三矿区";"六矿区"},$L3094)=0),"※对外销售的去向只能是三矿区或六矿区",IF(AND($K3094="对外销售",ROUND($Q3094,0)=0),"※外销却没有售价，请填实际售价",IF(AND($K3094="对外销售",$T3094&lt;&gt;"",$T3094&lt;0),"※这一笔外销是亏的，请核对售价",IF(IFERROR(VLOOKUP($D3094,库存台账!$A$5:$Y$1204,24,0),0)&lt;-0.001,"※这个物料账面已经变成负数了，查一下是不是漏记入库","")))))))))))</f>
        <v/>
      </c>
    </row>
    <row r="3095">
      <c r="A3095" s="24">
        <f>IF($D3095="","",COUNTA($D$4:$D3095))</f>
        <v/>
      </c>
      <c r="B3095" s="17" t="n"/>
      <c r="C3095" s="30" t="n"/>
      <c r="D3095" s="17" t="n"/>
      <c r="E3095" s="24">
        <f>IF($D3095="","",IFERROR(VLOOKUP($D3095,物料档案!$A$4:$P$1203,3,0),"※编码不在物料档案里"))</f>
        <v/>
      </c>
      <c r="F3095" s="24">
        <f>IF($D3095="","",IFERROR(VLOOKUP($D3095,物料档案!$A$4:$P$1203,4,0),"※编码不在物料档案里"))</f>
        <v/>
      </c>
      <c r="G3095" s="24">
        <f>IF($D3095="","",IFERROR(VLOOKUP($D3095,物料档案!$A$4:$P$1203,5,0),"※编码不在物料档案里"))</f>
        <v/>
      </c>
      <c r="H3095" s="24">
        <f>IF($D3095="","",IFERROR(VLOOKUP($D3095,物料档案!$A$4:$P$1203,2,0),"※编码不在物料档案里"))</f>
        <v/>
      </c>
      <c r="I3095" s="24">
        <f>IF($D3095="","",IFERROR(VLOOKUP($D3095,物料档案!$A$4:$P$1203,6,0),"※编码不在物料档案里"))</f>
        <v/>
      </c>
      <c r="J3095" s="23" t="n"/>
      <c r="K3095" s="17" t="n"/>
      <c r="L3095" s="17" t="n"/>
      <c r="M3095" s="17" t="n"/>
      <c r="N3095" s="17" t="n"/>
      <c r="O3095" s="26">
        <f>IF($D3095="","",IFERROR(VLOOKUP($D3095,物料档案!$A$4:$P$1203,10,0),0))</f>
        <v/>
      </c>
      <c r="P3095" s="32" t="n"/>
      <c r="Q3095" s="26">
        <f>IF($D3095="","",IF($K3095&lt;&gt;"对外销售",0,ROUND(N($J3095)*IF($P3095="",N($O3095),N($P3095)),0)))</f>
        <v/>
      </c>
      <c r="R3095" s="26">
        <f>IF($D3095="","",IFERROR(VLOOKUP($D3095,库存台账!$A$5:$Y$1204,11,0),0))</f>
        <v/>
      </c>
      <c r="S3095" s="26">
        <f>IF($D3095="","",ROUND(N($J3095)*N($R3095),0))</f>
        <v/>
      </c>
      <c r="T3095" s="26">
        <f>IF($D3095="","",IF($K3095&lt;&gt;"对外销售","",ROUND($Q3095-$S3095,0)))</f>
        <v/>
      </c>
      <c r="U3095" s="17" t="n"/>
      <c r="V3095" s="17" t="n"/>
      <c r="W3095" s="24">
        <f>IF($D3095="","",IF($E3095="※编码不在物料档案里","※物料编码不在档案里",IF(N($J3095)&lt;=0,"※出库数量要大于 0",IF($K3095="","※没填去向类型",IF($L3095="","※没填去向矿区",IF(AND($C3095&lt;&gt;"",$C3095&lt;=结账锁),"※日期早于已结账截止日，不能再录",IF(AND($K3095="自用消耗",COUNTIF({"一矿区";"二矿区"},$L3095)=0),"※自用消耗的去向只能是一矿区或二矿区",IF(AND($K3095="对外销售",COUNTIF({"三矿区";"六矿区"},$L3095)=0),"※对外销售的去向只能是三矿区或六矿区",IF(AND($K3095="对外销售",ROUND($Q3095,0)=0),"※外销却没有售价，请填实际售价",IF(AND($K3095="对外销售",$T3095&lt;&gt;"",$T3095&lt;0),"※这一笔外销是亏的，请核对售价",IF(IFERROR(VLOOKUP($D3095,库存台账!$A$5:$Y$1204,24,0),0)&lt;-0.001,"※这个物料账面已经变成负数了，查一下是不是漏记入库","")))))))))))</f>
        <v/>
      </c>
    </row>
    <row r="3096">
      <c r="A3096" s="24">
        <f>IF($D3096="","",COUNTA($D$4:$D3096))</f>
        <v/>
      </c>
      <c r="B3096" s="17" t="n"/>
      <c r="C3096" s="30" t="n"/>
      <c r="D3096" s="17" t="n"/>
      <c r="E3096" s="24">
        <f>IF($D3096="","",IFERROR(VLOOKUP($D3096,物料档案!$A$4:$P$1203,3,0),"※编码不在物料档案里"))</f>
        <v/>
      </c>
      <c r="F3096" s="24">
        <f>IF($D3096="","",IFERROR(VLOOKUP($D3096,物料档案!$A$4:$P$1203,4,0),"※编码不在物料档案里"))</f>
        <v/>
      </c>
      <c r="G3096" s="24">
        <f>IF($D3096="","",IFERROR(VLOOKUP($D3096,物料档案!$A$4:$P$1203,5,0),"※编码不在物料档案里"))</f>
        <v/>
      </c>
      <c r="H3096" s="24">
        <f>IF($D3096="","",IFERROR(VLOOKUP($D3096,物料档案!$A$4:$P$1203,2,0),"※编码不在物料档案里"))</f>
        <v/>
      </c>
      <c r="I3096" s="24">
        <f>IF($D3096="","",IFERROR(VLOOKUP($D3096,物料档案!$A$4:$P$1203,6,0),"※编码不在物料档案里"))</f>
        <v/>
      </c>
      <c r="J3096" s="23" t="n"/>
      <c r="K3096" s="17" t="n"/>
      <c r="L3096" s="17" t="n"/>
      <c r="M3096" s="17" t="n"/>
      <c r="N3096" s="17" t="n"/>
      <c r="O3096" s="26">
        <f>IF($D3096="","",IFERROR(VLOOKUP($D3096,物料档案!$A$4:$P$1203,10,0),0))</f>
        <v/>
      </c>
      <c r="P3096" s="32" t="n"/>
      <c r="Q3096" s="26">
        <f>IF($D3096="","",IF($K3096&lt;&gt;"对外销售",0,ROUND(N($J3096)*IF($P3096="",N($O3096),N($P3096)),0)))</f>
        <v/>
      </c>
      <c r="R3096" s="26">
        <f>IF($D3096="","",IFERROR(VLOOKUP($D3096,库存台账!$A$5:$Y$1204,11,0),0))</f>
        <v/>
      </c>
      <c r="S3096" s="26">
        <f>IF($D3096="","",ROUND(N($J3096)*N($R3096),0))</f>
        <v/>
      </c>
      <c r="T3096" s="26">
        <f>IF($D3096="","",IF($K3096&lt;&gt;"对外销售","",ROUND($Q3096-$S3096,0)))</f>
        <v/>
      </c>
      <c r="U3096" s="17" t="n"/>
      <c r="V3096" s="17" t="n"/>
      <c r="W3096" s="24">
        <f>IF($D3096="","",IF($E3096="※编码不在物料档案里","※物料编码不在档案里",IF(N($J3096)&lt;=0,"※出库数量要大于 0",IF($K3096="","※没填去向类型",IF($L3096="","※没填去向矿区",IF(AND($C3096&lt;&gt;"",$C3096&lt;=结账锁),"※日期早于已结账截止日，不能再录",IF(AND($K3096="自用消耗",COUNTIF({"一矿区";"二矿区"},$L3096)=0),"※自用消耗的去向只能是一矿区或二矿区",IF(AND($K3096="对外销售",COUNTIF({"三矿区";"六矿区"},$L3096)=0),"※对外销售的去向只能是三矿区或六矿区",IF(AND($K3096="对外销售",ROUND($Q3096,0)=0),"※外销却没有售价，请填实际售价",IF(AND($K3096="对外销售",$T3096&lt;&gt;"",$T3096&lt;0),"※这一笔外销是亏的，请核对售价",IF(IFERROR(VLOOKUP($D3096,库存台账!$A$5:$Y$1204,24,0),0)&lt;-0.001,"※这个物料账面已经变成负数了，查一下是不是漏记入库","")))))))))))</f>
        <v/>
      </c>
    </row>
    <row r="3097">
      <c r="A3097" s="24">
        <f>IF($D3097="","",COUNTA($D$4:$D3097))</f>
        <v/>
      </c>
      <c r="B3097" s="17" t="n"/>
      <c r="C3097" s="30" t="n"/>
      <c r="D3097" s="17" t="n"/>
      <c r="E3097" s="24">
        <f>IF($D3097="","",IFERROR(VLOOKUP($D3097,物料档案!$A$4:$P$1203,3,0),"※编码不在物料档案里"))</f>
        <v/>
      </c>
      <c r="F3097" s="24">
        <f>IF($D3097="","",IFERROR(VLOOKUP($D3097,物料档案!$A$4:$P$1203,4,0),"※编码不在物料档案里"))</f>
        <v/>
      </c>
      <c r="G3097" s="24">
        <f>IF($D3097="","",IFERROR(VLOOKUP($D3097,物料档案!$A$4:$P$1203,5,0),"※编码不在物料档案里"))</f>
        <v/>
      </c>
      <c r="H3097" s="24">
        <f>IF($D3097="","",IFERROR(VLOOKUP($D3097,物料档案!$A$4:$P$1203,2,0),"※编码不在物料档案里"))</f>
        <v/>
      </c>
      <c r="I3097" s="24">
        <f>IF($D3097="","",IFERROR(VLOOKUP($D3097,物料档案!$A$4:$P$1203,6,0),"※编码不在物料档案里"))</f>
        <v/>
      </c>
      <c r="J3097" s="23" t="n"/>
      <c r="K3097" s="17" t="n"/>
      <c r="L3097" s="17" t="n"/>
      <c r="M3097" s="17" t="n"/>
      <c r="N3097" s="17" t="n"/>
      <c r="O3097" s="26">
        <f>IF($D3097="","",IFERROR(VLOOKUP($D3097,物料档案!$A$4:$P$1203,10,0),0))</f>
        <v/>
      </c>
      <c r="P3097" s="32" t="n"/>
      <c r="Q3097" s="26">
        <f>IF($D3097="","",IF($K3097&lt;&gt;"对外销售",0,ROUND(N($J3097)*IF($P3097="",N($O3097),N($P3097)),0)))</f>
        <v/>
      </c>
      <c r="R3097" s="26">
        <f>IF($D3097="","",IFERROR(VLOOKUP($D3097,库存台账!$A$5:$Y$1204,11,0),0))</f>
        <v/>
      </c>
      <c r="S3097" s="26">
        <f>IF($D3097="","",ROUND(N($J3097)*N($R3097),0))</f>
        <v/>
      </c>
      <c r="T3097" s="26">
        <f>IF($D3097="","",IF($K3097&lt;&gt;"对外销售","",ROUND($Q3097-$S3097,0)))</f>
        <v/>
      </c>
      <c r="U3097" s="17" t="n"/>
      <c r="V3097" s="17" t="n"/>
      <c r="W3097" s="24">
        <f>IF($D3097="","",IF($E3097="※编码不在物料档案里","※物料编码不在档案里",IF(N($J3097)&lt;=0,"※出库数量要大于 0",IF($K3097="","※没填去向类型",IF($L3097="","※没填去向矿区",IF(AND($C3097&lt;&gt;"",$C3097&lt;=结账锁),"※日期早于已结账截止日，不能再录",IF(AND($K3097="自用消耗",COUNTIF({"一矿区";"二矿区"},$L3097)=0),"※自用消耗的去向只能是一矿区或二矿区",IF(AND($K3097="对外销售",COUNTIF({"三矿区";"六矿区"},$L3097)=0),"※对外销售的去向只能是三矿区或六矿区",IF(AND($K3097="对外销售",ROUND($Q3097,0)=0),"※外销却没有售价，请填实际售价",IF(AND($K3097="对外销售",$T3097&lt;&gt;"",$T3097&lt;0),"※这一笔外销是亏的，请核对售价",IF(IFERROR(VLOOKUP($D3097,库存台账!$A$5:$Y$1204,24,0),0)&lt;-0.001,"※这个物料账面已经变成负数了，查一下是不是漏记入库","")))))))))))</f>
        <v/>
      </c>
    </row>
    <row r="3098">
      <c r="A3098" s="24">
        <f>IF($D3098="","",COUNTA($D$4:$D3098))</f>
        <v/>
      </c>
      <c r="B3098" s="17" t="n"/>
      <c r="C3098" s="30" t="n"/>
      <c r="D3098" s="17" t="n"/>
      <c r="E3098" s="24">
        <f>IF($D3098="","",IFERROR(VLOOKUP($D3098,物料档案!$A$4:$P$1203,3,0),"※编码不在物料档案里"))</f>
        <v/>
      </c>
      <c r="F3098" s="24">
        <f>IF($D3098="","",IFERROR(VLOOKUP($D3098,物料档案!$A$4:$P$1203,4,0),"※编码不在物料档案里"))</f>
        <v/>
      </c>
      <c r="G3098" s="24">
        <f>IF($D3098="","",IFERROR(VLOOKUP($D3098,物料档案!$A$4:$P$1203,5,0),"※编码不在物料档案里"))</f>
        <v/>
      </c>
      <c r="H3098" s="24">
        <f>IF($D3098="","",IFERROR(VLOOKUP($D3098,物料档案!$A$4:$P$1203,2,0),"※编码不在物料档案里"))</f>
        <v/>
      </c>
      <c r="I3098" s="24">
        <f>IF($D3098="","",IFERROR(VLOOKUP($D3098,物料档案!$A$4:$P$1203,6,0),"※编码不在物料档案里"))</f>
        <v/>
      </c>
      <c r="J3098" s="23" t="n"/>
      <c r="K3098" s="17" t="n"/>
      <c r="L3098" s="17" t="n"/>
      <c r="M3098" s="17" t="n"/>
      <c r="N3098" s="17" t="n"/>
      <c r="O3098" s="26">
        <f>IF($D3098="","",IFERROR(VLOOKUP($D3098,物料档案!$A$4:$P$1203,10,0),0))</f>
        <v/>
      </c>
      <c r="P3098" s="32" t="n"/>
      <c r="Q3098" s="26">
        <f>IF($D3098="","",IF($K3098&lt;&gt;"对外销售",0,ROUND(N($J3098)*IF($P3098="",N($O3098),N($P3098)),0)))</f>
        <v/>
      </c>
      <c r="R3098" s="26">
        <f>IF($D3098="","",IFERROR(VLOOKUP($D3098,库存台账!$A$5:$Y$1204,11,0),0))</f>
        <v/>
      </c>
      <c r="S3098" s="26">
        <f>IF($D3098="","",ROUND(N($J3098)*N($R3098),0))</f>
        <v/>
      </c>
      <c r="T3098" s="26">
        <f>IF($D3098="","",IF($K3098&lt;&gt;"对外销售","",ROUND($Q3098-$S3098,0)))</f>
        <v/>
      </c>
      <c r="U3098" s="17" t="n"/>
      <c r="V3098" s="17" t="n"/>
      <c r="W3098" s="24">
        <f>IF($D3098="","",IF($E3098="※编码不在物料档案里","※物料编码不在档案里",IF(N($J3098)&lt;=0,"※出库数量要大于 0",IF($K3098="","※没填去向类型",IF($L3098="","※没填去向矿区",IF(AND($C3098&lt;&gt;"",$C3098&lt;=结账锁),"※日期早于已结账截止日，不能再录",IF(AND($K3098="自用消耗",COUNTIF({"一矿区";"二矿区"},$L3098)=0),"※自用消耗的去向只能是一矿区或二矿区",IF(AND($K3098="对外销售",COUNTIF({"三矿区";"六矿区"},$L3098)=0),"※对外销售的去向只能是三矿区或六矿区",IF(AND($K3098="对外销售",ROUND($Q3098,0)=0),"※外销却没有售价，请填实际售价",IF(AND($K3098="对外销售",$T3098&lt;&gt;"",$T3098&lt;0),"※这一笔外销是亏的，请核对售价",IF(IFERROR(VLOOKUP($D3098,库存台账!$A$5:$Y$1204,24,0),0)&lt;-0.001,"※这个物料账面已经变成负数了，查一下是不是漏记入库","")))))))))))</f>
        <v/>
      </c>
    </row>
    <row r="3099">
      <c r="A3099" s="24">
        <f>IF($D3099="","",COUNTA($D$4:$D3099))</f>
        <v/>
      </c>
      <c r="B3099" s="17" t="n"/>
      <c r="C3099" s="30" t="n"/>
      <c r="D3099" s="17" t="n"/>
      <c r="E3099" s="24">
        <f>IF($D3099="","",IFERROR(VLOOKUP($D3099,物料档案!$A$4:$P$1203,3,0),"※编码不在物料档案里"))</f>
        <v/>
      </c>
      <c r="F3099" s="24">
        <f>IF($D3099="","",IFERROR(VLOOKUP($D3099,物料档案!$A$4:$P$1203,4,0),"※编码不在物料档案里"))</f>
        <v/>
      </c>
      <c r="G3099" s="24">
        <f>IF($D3099="","",IFERROR(VLOOKUP($D3099,物料档案!$A$4:$P$1203,5,0),"※编码不在物料档案里"))</f>
        <v/>
      </c>
      <c r="H3099" s="24">
        <f>IF($D3099="","",IFERROR(VLOOKUP($D3099,物料档案!$A$4:$P$1203,2,0),"※编码不在物料档案里"))</f>
        <v/>
      </c>
      <c r="I3099" s="24">
        <f>IF($D3099="","",IFERROR(VLOOKUP($D3099,物料档案!$A$4:$P$1203,6,0),"※编码不在物料档案里"))</f>
        <v/>
      </c>
      <c r="J3099" s="23" t="n"/>
      <c r="K3099" s="17" t="n"/>
      <c r="L3099" s="17" t="n"/>
      <c r="M3099" s="17" t="n"/>
      <c r="N3099" s="17" t="n"/>
      <c r="O3099" s="26">
        <f>IF($D3099="","",IFERROR(VLOOKUP($D3099,物料档案!$A$4:$P$1203,10,0),0))</f>
        <v/>
      </c>
      <c r="P3099" s="32" t="n"/>
      <c r="Q3099" s="26">
        <f>IF($D3099="","",IF($K3099&lt;&gt;"对外销售",0,ROUND(N($J3099)*IF($P3099="",N($O3099),N($P3099)),0)))</f>
        <v/>
      </c>
      <c r="R3099" s="26">
        <f>IF($D3099="","",IFERROR(VLOOKUP($D3099,库存台账!$A$5:$Y$1204,11,0),0))</f>
        <v/>
      </c>
      <c r="S3099" s="26">
        <f>IF($D3099="","",ROUND(N($J3099)*N($R3099),0))</f>
        <v/>
      </c>
      <c r="T3099" s="26">
        <f>IF($D3099="","",IF($K3099&lt;&gt;"对外销售","",ROUND($Q3099-$S3099,0)))</f>
        <v/>
      </c>
      <c r="U3099" s="17" t="n"/>
      <c r="V3099" s="17" t="n"/>
      <c r="W3099" s="24">
        <f>IF($D3099="","",IF($E3099="※编码不在物料档案里","※物料编码不在档案里",IF(N($J3099)&lt;=0,"※出库数量要大于 0",IF($K3099="","※没填去向类型",IF($L3099="","※没填去向矿区",IF(AND($C3099&lt;&gt;"",$C3099&lt;=结账锁),"※日期早于已结账截止日，不能再录",IF(AND($K3099="自用消耗",COUNTIF({"一矿区";"二矿区"},$L3099)=0),"※自用消耗的去向只能是一矿区或二矿区",IF(AND($K3099="对外销售",COUNTIF({"三矿区";"六矿区"},$L3099)=0),"※对外销售的去向只能是三矿区或六矿区",IF(AND($K3099="对外销售",ROUND($Q3099,0)=0),"※外销却没有售价，请填实际售价",IF(AND($K3099="对外销售",$T3099&lt;&gt;"",$T3099&lt;0),"※这一笔外销是亏的，请核对售价",IF(IFERROR(VLOOKUP($D3099,库存台账!$A$5:$Y$1204,24,0),0)&lt;-0.001,"※这个物料账面已经变成负数了，查一下是不是漏记入库","")))))))))))</f>
        <v/>
      </c>
    </row>
    <row r="3100">
      <c r="A3100" s="24">
        <f>IF($D3100="","",COUNTA($D$4:$D3100))</f>
        <v/>
      </c>
      <c r="B3100" s="17" t="n"/>
      <c r="C3100" s="30" t="n"/>
      <c r="D3100" s="17" t="n"/>
      <c r="E3100" s="24">
        <f>IF($D3100="","",IFERROR(VLOOKUP($D3100,物料档案!$A$4:$P$1203,3,0),"※编码不在物料档案里"))</f>
        <v/>
      </c>
      <c r="F3100" s="24">
        <f>IF($D3100="","",IFERROR(VLOOKUP($D3100,物料档案!$A$4:$P$1203,4,0),"※编码不在物料档案里"))</f>
        <v/>
      </c>
      <c r="G3100" s="24">
        <f>IF($D3100="","",IFERROR(VLOOKUP($D3100,物料档案!$A$4:$P$1203,5,0),"※编码不在物料档案里"))</f>
        <v/>
      </c>
      <c r="H3100" s="24">
        <f>IF($D3100="","",IFERROR(VLOOKUP($D3100,物料档案!$A$4:$P$1203,2,0),"※编码不在物料档案里"))</f>
        <v/>
      </c>
      <c r="I3100" s="24">
        <f>IF($D3100="","",IFERROR(VLOOKUP($D3100,物料档案!$A$4:$P$1203,6,0),"※编码不在物料档案里"))</f>
        <v/>
      </c>
      <c r="J3100" s="23" t="n"/>
      <c r="K3100" s="17" t="n"/>
      <c r="L3100" s="17" t="n"/>
      <c r="M3100" s="17" t="n"/>
      <c r="N3100" s="17" t="n"/>
      <c r="O3100" s="26">
        <f>IF($D3100="","",IFERROR(VLOOKUP($D3100,物料档案!$A$4:$P$1203,10,0),0))</f>
        <v/>
      </c>
      <c r="P3100" s="32" t="n"/>
      <c r="Q3100" s="26">
        <f>IF($D3100="","",IF($K3100&lt;&gt;"对外销售",0,ROUND(N($J3100)*IF($P3100="",N($O3100),N($P3100)),0)))</f>
        <v/>
      </c>
      <c r="R3100" s="26">
        <f>IF($D3100="","",IFERROR(VLOOKUP($D3100,库存台账!$A$5:$Y$1204,11,0),0))</f>
        <v/>
      </c>
      <c r="S3100" s="26">
        <f>IF($D3100="","",ROUND(N($J3100)*N($R3100),0))</f>
        <v/>
      </c>
      <c r="T3100" s="26">
        <f>IF($D3100="","",IF($K3100&lt;&gt;"对外销售","",ROUND($Q3100-$S3100,0)))</f>
        <v/>
      </c>
      <c r="U3100" s="17" t="n"/>
      <c r="V3100" s="17" t="n"/>
      <c r="W3100" s="24">
        <f>IF($D3100="","",IF($E3100="※编码不在物料档案里","※物料编码不在档案里",IF(N($J3100)&lt;=0,"※出库数量要大于 0",IF($K3100="","※没填去向类型",IF($L3100="","※没填去向矿区",IF(AND($C3100&lt;&gt;"",$C3100&lt;=结账锁),"※日期早于已结账截止日，不能再录",IF(AND($K3100="自用消耗",COUNTIF({"一矿区";"二矿区"},$L3100)=0),"※自用消耗的去向只能是一矿区或二矿区",IF(AND($K3100="对外销售",COUNTIF({"三矿区";"六矿区"},$L3100)=0),"※对外销售的去向只能是三矿区或六矿区",IF(AND($K3100="对外销售",ROUND($Q3100,0)=0),"※外销却没有售价，请填实际售价",IF(AND($K3100="对外销售",$T3100&lt;&gt;"",$T3100&lt;0),"※这一笔外销是亏的，请核对售价",IF(IFERROR(VLOOKUP($D3100,库存台账!$A$5:$Y$1204,24,0),0)&lt;-0.001,"※这个物料账面已经变成负数了，查一下是不是漏记入库","")))))))))))</f>
        <v/>
      </c>
    </row>
    <row r="3101">
      <c r="A3101" s="24">
        <f>IF($D3101="","",COUNTA($D$4:$D3101))</f>
        <v/>
      </c>
      <c r="B3101" s="17" t="n"/>
      <c r="C3101" s="30" t="n"/>
      <c r="D3101" s="17" t="n"/>
      <c r="E3101" s="24">
        <f>IF($D3101="","",IFERROR(VLOOKUP($D3101,物料档案!$A$4:$P$1203,3,0),"※编码不在物料档案里"))</f>
        <v/>
      </c>
      <c r="F3101" s="24">
        <f>IF($D3101="","",IFERROR(VLOOKUP($D3101,物料档案!$A$4:$P$1203,4,0),"※编码不在物料档案里"))</f>
        <v/>
      </c>
      <c r="G3101" s="24">
        <f>IF($D3101="","",IFERROR(VLOOKUP($D3101,物料档案!$A$4:$P$1203,5,0),"※编码不在物料档案里"))</f>
        <v/>
      </c>
      <c r="H3101" s="24">
        <f>IF($D3101="","",IFERROR(VLOOKUP($D3101,物料档案!$A$4:$P$1203,2,0),"※编码不在物料档案里"))</f>
        <v/>
      </c>
      <c r="I3101" s="24">
        <f>IF($D3101="","",IFERROR(VLOOKUP($D3101,物料档案!$A$4:$P$1203,6,0),"※编码不在物料档案里"))</f>
        <v/>
      </c>
      <c r="J3101" s="23" t="n"/>
      <c r="K3101" s="17" t="n"/>
      <c r="L3101" s="17" t="n"/>
      <c r="M3101" s="17" t="n"/>
      <c r="N3101" s="17" t="n"/>
      <c r="O3101" s="26">
        <f>IF($D3101="","",IFERROR(VLOOKUP($D3101,物料档案!$A$4:$P$1203,10,0),0))</f>
        <v/>
      </c>
      <c r="P3101" s="32" t="n"/>
      <c r="Q3101" s="26">
        <f>IF($D3101="","",IF($K3101&lt;&gt;"对外销售",0,ROUND(N($J3101)*IF($P3101="",N($O3101),N($P3101)),0)))</f>
        <v/>
      </c>
      <c r="R3101" s="26">
        <f>IF($D3101="","",IFERROR(VLOOKUP($D3101,库存台账!$A$5:$Y$1204,11,0),0))</f>
        <v/>
      </c>
      <c r="S3101" s="26">
        <f>IF($D3101="","",ROUND(N($J3101)*N($R3101),0))</f>
        <v/>
      </c>
      <c r="T3101" s="26">
        <f>IF($D3101="","",IF($K3101&lt;&gt;"对外销售","",ROUND($Q3101-$S3101,0)))</f>
        <v/>
      </c>
      <c r="U3101" s="17" t="n"/>
      <c r="V3101" s="17" t="n"/>
      <c r="W3101" s="24">
        <f>IF($D3101="","",IF($E3101="※编码不在物料档案里","※物料编码不在档案里",IF(N($J3101)&lt;=0,"※出库数量要大于 0",IF($K3101="","※没填去向类型",IF($L3101="","※没填去向矿区",IF(AND($C3101&lt;&gt;"",$C3101&lt;=结账锁),"※日期早于已结账截止日，不能再录",IF(AND($K3101="自用消耗",COUNTIF({"一矿区";"二矿区"},$L3101)=0),"※自用消耗的去向只能是一矿区或二矿区",IF(AND($K3101="对外销售",COUNTIF({"三矿区";"六矿区"},$L3101)=0),"※对外销售的去向只能是三矿区或六矿区",IF(AND($K3101="对外销售",ROUND($Q3101,0)=0),"※外销却没有售价，请填实际售价",IF(AND($K3101="对外销售",$T3101&lt;&gt;"",$T3101&lt;0),"※这一笔外销是亏的，请核对售价",IF(IFERROR(VLOOKUP($D3101,库存台账!$A$5:$Y$1204,24,0),0)&lt;-0.001,"※这个物料账面已经变成负数了，查一下是不是漏记入库","")))))))))))</f>
        <v/>
      </c>
    </row>
    <row r="3102">
      <c r="A3102" s="24">
        <f>IF($D3102="","",COUNTA($D$4:$D3102))</f>
        <v/>
      </c>
      <c r="B3102" s="17" t="n"/>
      <c r="C3102" s="30" t="n"/>
      <c r="D3102" s="17" t="n"/>
      <c r="E3102" s="24">
        <f>IF($D3102="","",IFERROR(VLOOKUP($D3102,物料档案!$A$4:$P$1203,3,0),"※编码不在物料档案里"))</f>
        <v/>
      </c>
      <c r="F3102" s="24">
        <f>IF($D3102="","",IFERROR(VLOOKUP($D3102,物料档案!$A$4:$P$1203,4,0),"※编码不在物料档案里"))</f>
        <v/>
      </c>
      <c r="G3102" s="24">
        <f>IF($D3102="","",IFERROR(VLOOKUP($D3102,物料档案!$A$4:$P$1203,5,0),"※编码不在物料档案里"))</f>
        <v/>
      </c>
      <c r="H3102" s="24">
        <f>IF($D3102="","",IFERROR(VLOOKUP($D3102,物料档案!$A$4:$P$1203,2,0),"※编码不在物料档案里"))</f>
        <v/>
      </c>
      <c r="I3102" s="24">
        <f>IF($D3102="","",IFERROR(VLOOKUP($D3102,物料档案!$A$4:$P$1203,6,0),"※编码不在物料档案里"))</f>
        <v/>
      </c>
      <c r="J3102" s="23" t="n"/>
      <c r="K3102" s="17" t="n"/>
      <c r="L3102" s="17" t="n"/>
      <c r="M3102" s="17" t="n"/>
      <c r="N3102" s="17" t="n"/>
      <c r="O3102" s="26">
        <f>IF($D3102="","",IFERROR(VLOOKUP($D3102,物料档案!$A$4:$P$1203,10,0),0))</f>
        <v/>
      </c>
      <c r="P3102" s="32" t="n"/>
      <c r="Q3102" s="26">
        <f>IF($D3102="","",IF($K3102&lt;&gt;"对外销售",0,ROUND(N($J3102)*IF($P3102="",N($O3102),N($P3102)),0)))</f>
        <v/>
      </c>
      <c r="R3102" s="26">
        <f>IF($D3102="","",IFERROR(VLOOKUP($D3102,库存台账!$A$5:$Y$1204,11,0),0))</f>
        <v/>
      </c>
      <c r="S3102" s="26">
        <f>IF($D3102="","",ROUND(N($J3102)*N($R3102),0))</f>
        <v/>
      </c>
      <c r="T3102" s="26">
        <f>IF($D3102="","",IF($K3102&lt;&gt;"对外销售","",ROUND($Q3102-$S3102,0)))</f>
        <v/>
      </c>
      <c r="U3102" s="17" t="n"/>
      <c r="V3102" s="17" t="n"/>
      <c r="W3102" s="24">
        <f>IF($D3102="","",IF($E3102="※编码不在物料档案里","※物料编码不在档案里",IF(N($J3102)&lt;=0,"※出库数量要大于 0",IF($K3102="","※没填去向类型",IF($L3102="","※没填去向矿区",IF(AND($C3102&lt;&gt;"",$C3102&lt;=结账锁),"※日期早于已结账截止日，不能再录",IF(AND($K3102="自用消耗",COUNTIF({"一矿区";"二矿区"},$L3102)=0),"※自用消耗的去向只能是一矿区或二矿区",IF(AND($K3102="对外销售",COUNTIF({"三矿区";"六矿区"},$L3102)=0),"※对外销售的去向只能是三矿区或六矿区",IF(AND($K3102="对外销售",ROUND($Q3102,0)=0),"※外销却没有售价，请填实际售价",IF(AND($K3102="对外销售",$T3102&lt;&gt;"",$T3102&lt;0),"※这一笔外销是亏的，请核对售价",IF(IFERROR(VLOOKUP($D3102,库存台账!$A$5:$Y$1204,24,0),0)&lt;-0.001,"※这个物料账面已经变成负数了，查一下是不是漏记入库","")))))))))))</f>
        <v/>
      </c>
    </row>
    <row r="3103">
      <c r="A3103" s="24">
        <f>IF($D3103="","",COUNTA($D$4:$D3103))</f>
        <v/>
      </c>
      <c r="B3103" s="17" t="n"/>
      <c r="C3103" s="30" t="n"/>
      <c r="D3103" s="17" t="n"/>
      <c r="E3103" s="24">
        <f>IF($D3103="","",IFERROR(VLOOKUP($D3103,物料档案!$A$4:$P$1203,3,0),"※编码不在物料档案里"))</f>
        <v/>
      </c>
      <c r="F3103" s="24">
        <f>IF($D3103="","",IFERROR(VLOOKUP($D3103,物料档案!$A$4:$P$1203,4,0),"※编码不在物料档案里"))</f>
        <v/>
      </c>
      <c r="G3103" s="24">
        <f>IF($D3103="","",IFERROR(VLOOKUP($D3103,物料档案!$A$4:$P$1203,5,0),"※编码不在物料档案里"))</f>
        <v/>
      </c>
      <c r="H3103" s="24">
        <f>IF($D3103="","",IFERROR(VLOOKUP($D3103,物料档案!$A$4:$P$1203,2,0),"※编码不在物料档案里"))</f>
        <v/>
      </c>
      <c r="I3103" s="24">
        <f>IF($D3103="","",IFERROR(VLOOKUP($D3103,物料档案!$A$4:$P$1203,6,0),"※编码不在物料档案里"))</f>
        <v/>
      </c>
      <c r="J3103" s="23" t="n"/>
      <c r="K3103" s="17" t="n"/>
      <c r="L3103" s="17" t="n"/>
      <c r="M3103" s="17" t="n"/>
      <c r="N3103" s="17" t="n"/>
      <c r="O3103" s="26">
        <f>IF($D3103="","",IFERROR(VLOOKUP($D3103,物料档案!$A$4:$P$1203,10,0),0))</f>
        <v/>
      </c>
      <c r="P3103" s="32" t="n"/>
      <c r="Q3103" s="26">
        <f>IF($D3103="","",IF($K3103&lt;&gt;"对外销售",0,ROUND(N($J3103)*IF($P3103="",N($O3103),N($P3103)),0)))</f>
        <v/>
      </c>
      <c r="R3103" s="26">
        <f>IF($D3103="","",IFERROR(VLOOKUP($D3103,库存台账!$A$5:$Y$1204,11,0),0))</f>
        <v/>
      </c>
      <c r="S3103" s="26">
        <f>IF($D3103="","",ROUND(N($J3103)*N($R3103),0))</f>
        <v/>
      </c>
      <c r="T3103" s="26">
        <f>IF($D3103="","",IF($K3103&lt;&gt;"对外销售","",ROUND($Q3103-$S3103,0)))</f>
        <v/>
      </c>
      <c r="U3103" s="17" t="n"/>
      <c r="V3103" s="17" t="n"/>
      <c r="W3103" s="24">
        <f>IF($D3103="","",IF($E3103="※编码不在物料档案里","※物料编码不在档案里",IF(N($J3103)&lt;=0,"※出库数量要大于 0",IF($K3103="","※没填去向类型",IF($L3103="","※没填去向矿区",IF(AND($C3103&lt;&gt;"",$C3103&lt;=结账锁),"※日期早于已结账截止日，不能再录",IF(AND($K3103="自用消耗",COUNTIF({"一矿区";"二矿区"},$L3103)=0),"※自用消耗的去向只能是一矿区或二矿区",IF(AND($K3103="对外销售",COUNTIF({"三矿区";"六矿区"},$L3103)=0),"※对外销售的去向只能是三矿区或六矿区",IF(AND($K3103="对外销售",ROUND($Q3103,0)=0),"※外销却没有售价，请填实际售价",IF(AND($K3103="对外销售",$T3103&lt;&gt;"",$T3103&lt;0),"※这一笔外销是亏的，请核对售价",IF(IFERROR(VLOOKUP($D3103,库存台账!$A$5:$Y$1204,24,0),0)&lt;-0.001,"※这个物料账面已经变成负数了，查一下是不是漏记入库","")))))))))))</f>
        <v/>
      </c>
    </row>
    <row r="3104">
      <c r="A3104" s="24">
        <f>IF($D3104="","",COUNTA($D$4:$D3104))</f>
        <v/>
      </c>
      <c r="B3104" s="17" t="n"/>
      <c r="C3104" s="30" t="n"/>
      <c r="D3104" s="17" t="n"/>
      <c r="E3104" s="24">
        <f>IF($D3104="","",IFERROR(VLOOKUP($D3104,物料档案!$A$4:$P$1203,3,0),"※编码不在物料档案里"))</f>
        <v/>
      </c>
      <c r="F3104" s="24">
        <f>IF($D3104="","",IFERROR(VLOOKUP($D3104,物料档案!$A$4:$P$1203,4,0),"※编码不在物料档案里"))</f>
        <v/>
      </c>
      <c r="G3104" s="24">
        <f>IF($D3104="","",IFERROR(VLOOKUP($D3104,物料档案!$A$4:$P$1203,5,0),"※编码不在物料档案里"))</f>
        <v/>
      </c>
      <c r="H3104" s="24">
        <f>IF($D3104="","",IFERROR(VLOOKUP($D3104,物料档案!$A$4:$P$1203,2,0),"※编码不在物料档案里"))</f>
        <v/>
      </c>
      <c r="I3104" s="24">
        <f>IF($D3104="","",IFERROR(VLOOKUP($D3104,物料档案!$A$4:$P$1203,6,0),"※编码不在物料档案里"))</f>
        <v/>
      </c>
      <c r="J3104" s="23" t="n"/>
      <c r="K3104" s="17" t="n"/>
      <c r="L3104" s="17" t="n"/>
      <c r="M3104" s="17" t="n"/>
      <c r="N3104" s="17" t="n"/>
      <c r="O3104" s="26">
        <f>IF($D3104="","",IFERROR(VLOOKUP($D3104,物料档案!$A$4:$P$1203,10,0),0))</f>
        <v/>
      </c>
      <c r="P3104" s="32" t="n"/>
      <c r="Q3104" s="26">
        <f>IF($D3104="","",IF($K3104&lt;&gt;"对外销售",0,ROUND(N($J3104)*IF($P3104="",N($O3104),N($P3104)),0)))</f>
        <v/>
      </c>
      <c r="R3104" s="26">
        <f>IF($D3104="","",IFERROR(VLOOKUP($D3104,库存台账!$A$5:$Y$1204,11,0),0))</f>
        <v/>
      </c>
      <c r="S3104" s="26">
        <f>IF($D3104="","",ROUND(N($J3104)*N($R3104),0))</f>
        <v/>
      </c>
      <c r="T3104" s="26">
        <f>IF($D3104="","",IF($K3104&lt;&gt;"对外销售","",ROUND($Q3104-$S3104,0)))</f>
        <v/>
      </c>
      <c r="U3104" s="17" t="n"/>
      <c r="V3104" s="17" t="n"/>
      <c r="W3104" s="24">
        <f>IF($D3104="","",IF($E3104="※编码不在物料档案里","※物料编码不在档案里",IF(N($J3104)&lt;=0,"※出库数量要大于 0",IF($K3104="","※没填去向类型",IF($L3104="","※没填去向矿区",IF(AND($C3104&lt;&gt;"",$C3104&lt;=结账锁),"※日期早于已结账截止日，不能再录",IF(AND($K3104="自用消耗",COUNTIF({"一矿区";"二矿区"},$L3104)=0),"※自用消耗的去向只能是一矿区或二矿区",IF(AND($K3104="对外销售",COUNTIF({"三矿区";"六矿区"},$L3104)=0),"※对外销售的去向只能是三矿区或六矿区",IF(AND($K3104="对外销售",ROUND($Q3104,0)=0),"※外销却没有售价，请填实际售价",IF(AND($K3104="对外销售",$T3104&lt;&gt;"",$T3104&lt;0),"※这一笔外销是亏的，请核对售价",IF(IFERROR(VLOOKUP($D3104,库存台账!$A$5:$Y$1204,24,0),0)&lt;-0.001,"※这个物料账面已经变成负数了，查一下是不是漏记入库","")))))))))))</f>
        <v/>
      </c>
    </row>
    <row r="3105">
      <c r="A3105" s="24">
        <f>IF($D3105="","",COUNTA($D$4:$D3105))</f>
        <v/>
      </c>
      <c r="B3105" s="17" t="n"/>
      <c r="C3105" s="30" t="n"/>
      <c r="D3105" s="17" t="n"/>
      <c r="E3105" s="24">
        <f>IF($D3105="","",IFERROR(VLOOKUP($D3105,物料档案!$A$4:$P$1203,3,0),"※编码不在物料档案里"))</f>
        <v/>
      </c>
      <c r="F3105" s="24">
        <f>IF($D3105="","",IFERROR(VLOOKUP($D3105,物料档案!$A$4:$P$1203,4,0),"※编码不在物料档案里"))</f>
        <v/>
      </c>
      <c r="G3105" s="24">
        <f>IF($D3105="","",IFERROR(VLOOKUP($D3105,物料档案!$A$4:$P$1203,5,0),"※编码不在物料档案里"))</f>
        <v/>
      </c>
      <c r="H3105" s="24">
        <f>IF($D3105="","",IFERROR(VLOOKUP($D3105,物料档案!$A$4:$P$1203,2,0),"※编码不在物料档案里"))</f>
        <v/>
      </c>
      <c r="I3105" s="24">
        <f>IF($D3105="","",IFERROR(VLOOKUP($D3105,物料档案!$A$4:$P$1203,6,0),"※编码不在物料档案里"))</f>
        <v/>
      </c>
      <c r="J3105" s="23" t="n"/>
      <c r="K3105" s="17" t="n"/>
      <c r="L3105" s="17" t="n"/>
      <c r="M3105" s="17" t="n"/>
      <c r="N3105" s="17" t="n"/>
      <c r="O3105" s="26">
        <f>IF($D3105="","",IFERROR(VLOOKUP($D3105,物料档案!$A$4:$P$1203,10,0),0))</f>
        <v/>
      </c>
      <c r="P3105" s="32" t="n"/>
      <c r="Q3105" s="26">
        <f>IF($D3105="","",IF($K3105&lt;&gt;"对外销售",0,ROUND(N($J3105)*IF($P3105="",N($O3105),N($P3105)),0)))</f>
        <v/>
      </c>
      <c r="R3105" s="26">
        <f>IF($D3105="","",IFERROR(VLOOKUP($D3105,库存台账!$A$5:$Y$1204,11,0),0))</f>
        <v/>
      </c>
      <c r="S3105" s="26">
        <f>IF($D3105="","",ROUND(N($J3105)*N($R3105),0))</f>
        <v/>
      </c>
      <c r="T3105" s="26">
        <f>IF($D3105="","",IF($K3105&lt;&gt;"对外销售","",ROUND($Q3105-$S3105,0)))</f>
        <v/>
      </c>
      <c r="U3105" s="17" t="n"/>
      <c r="V3105" s="17" t="n"/>
      <c r="W3105" s="24">
        <f>IF($D3105="","",IF($E3105="※编码不在物料档案里","※物料编码不在档案里",IF(N($J3105)&lt;=0,"※出库数量要大于 0",IF($K3105="","※没填去向类型",IF($L3105="","※没填去向矿区",IF(AND($C3105&lt;&gt;"",$C3105&lt;=结账锁),"※日期早于已结账截止日，不能再录",IF(AND($K3105="自用消耗",COUNTIF({"一矿区";"二矿区"},$L3105)=0),"※自用消耗的去向只能是一矿区或二矿区",IF(AND($K3105="对外销售",COUNTIF({"三矿区";"六矿区"},$L3105)=0),"※对外销售的去向只能是三矿区或六矿区",IF(AND($K3105="对外销售",ROUND($Q3105,0)=0),"※外销却没有售价，请填实际售价",IF(AND($K3105="对外销售",$T3105&lt;&gt;"",$T3105&lt;0),"※这一笔外销是亏的，请核对售价",IF(IFERROR(VLOOKUP($D3105,库存台账!$A$5:$Y$1204,24,0),0)&lt;-0.001,"※这个物料账面已经变成负数了，查一下是不是漏记入库","")))))))))))</f>
        <v/>
      </c>
    </row>
    <row r="3106">
      <c r="A3106" s="24">
        <f>IF($D3106="","",COUNTA($D$4:$D3106))</f>
        <v/>
      </c>
      <c r="B3106" s="17" t="n"/>
      <c r="C3106" s="30" t="n"/>
      <c r="D3106" s="17" t="n"/>
      <c r="E3106" s="24">
        <f>IF($D3106="","",IFERROR(VLOOKUP($D3106,物料档案!$A$4:$P$1203,3,0),"※编码不在物料档案里"))</f>
        <v/>
      </c>
      <c r="F3106" s="24">
        <f>IF($D3106="","",IFERROR(VLOOKUP($D3106,物料档案!$A$4:$P$1203,4,0),"※编码不在物料档案里"))</f>
        <v/>
      </c>
      <c r="G3106" s="24">
        <f>IF($D3106="","",IFERROR(VLOOKUP($D3106,物料档案!$A$4:$P$1203,5,0),"※编码不在物料档案里"))</f>
        <v/>
      </c>
      <c r="H3106" s="24">
        <f>IF($D3106="","",IFERROR(VLOOKUP($D3106,物料档案!$A$4:$P$1203,2,0),"※编码不在物料档案里"))</f>
        <v/>
      </c>
      <c r="I3106" s="24">
        <f>IF($D3106="","",IFERROR(VLOOKUP($D3106,物料档案!$A$4:$P$1203,6,0),"※编码不在物料档案里"))</f>
        <v/>
      </c>
      <c r="J3106" s="23" t="n"/>
      <c r="K3106" s="17" t="n"/>
      <c r="L3106" s="17" t="n"/>
      <c r="M3106" s="17" t="n"/>
      <c r="N3106" s="17" t="n"/>
      <c r="O3106" s="26">
        <f>IF($D3106="","",IFERROR(VLOOKUP($D3106,物料档案!$A$4:$P$1203,10,0),0))</f>
        <v/>
      </c>
      <c r="P3106" s="32" t="n"/>
      <c r="Q3106" s="26">
        <f>IF($D3106="","",IF($K3106&lt;&gt;"对外销售",0,ROUND(N($J3106)*IF($P3106="",N($O3106),N($P3106)),0)))</f>
        <v/>
      </c>
      <c r="R3106" s="26">
        <f>IF($D3106="","",IFERROR(VLOOKUP($D3106,库存台账!$A$5:$Y$1204,11,0),0))</f>
        <v/>
      </c>
      <c r="S3106" s="26">
        <f>IF($D3106="","",ROUND(N($J3106)*N($R3106),0))</f>
        <v/>
      </c>
      <c r="T3106" s="26">
        <f>IF($D3106="","",IF($K3106&lt;&gt;"对外销售","",ROUND($Q3106-$S3106,0)))</f>
        <v/>
      </c>
      <c r="U3106" s="17" t="n"/>
      <c r="V3106" s="17" t="n"/>
      <c r="W3106" s="24">
        <f>IF($D3106="","",IF($E3106="※编码不在物料档案里","※物料编码不在档案里",IF(N($J3106)&lt;=0,"※出库数量要大于 0",IF($K3106="","※没填去向类型",IF($L3106="","※没填去向矿区",IF(AND($C3106&lt;&gt;"",$C3106&lt;=结账锁),"※日期早于已结账截止日，不能再录",IF(AND($K3106="自用消耗",COUNTIF({"一矿区";"二矿区"},$L3106)=0),"※自用消耗的去向只能是一矿区或二矿区",IF(AND($K3106="对外销售",COUNTIF({"三矿区";"六矿区"},$L3106)=0),"※对外销售的去向只能是三矿区或六矿区",IF(AND($K3106="对外销售",ROUND($Q3106,0)=0),"※外销却没有售价，请填实际售价",IF(AND($K3106="对外销售",$T3106&lt;&gt;"",$T3106&lt;0),"※这一笔外销是亏的，请核对售价",IF(IFERROR(VLOOKUP($D3106,库存台账!$A$5:$Y$1204,24,0),0)&lt;-0.001,"※这个物料账面已经变成负数了，查一下是不是漏记入库","")))))))))))</f>
        <v/>
      </c>
    </row>
    <row r="3107">
      <c r="A3107" s="24">
        <f>IF($D3107="","",COUNTA($D$4:$D3107))</f>
        <v/>
      </c>
      <c r="B3107" s="17" t="n"/>
      <c r="C3107" s="30" t="n"/>
      <c r="D3107" s="17" t="n"/>
      <c r="E3107" s="24">
        <f>IF($D3107="","",IFERROR(VLOOKUP($D3107,物料档案!$A$4:$P$1203,3,0),"※编码不在物料档案里"))</f>
        <v/>
      </c>
      <c r="F3107" s="24">
        <f>IF($D3107="","",IFERROR(VLOOKUP($D3107,物料档案!$A$4:$P$1203,4,0),"※编码不在物料档案里"))</f>
        <v/>
      </c>
      <c r="G3107" s="24">
        <f>IF($D3107="","",IFERROR(VLOOKUP($D3107,物料档案!$A$4:$P$1203,5,0),"※编码不在物料档案里"))</f>
        <v/>
      </c>
      <c r="H3107" s="24">
        <f>IF($D3107="","",IFERROR(VLOOKUP($D3107,物料档案!$A$4:$P$1203,2,0),"※编码不在物料档案里"))</f>
        <v/>
      </c>
      <c r="I3107" s="24">
        <f>IF($D3107="","",IFERROR(VLOOKUP($D3107,物料档案!$A$4:$P$1203,6,0),"※编码不在物料档案里"))</f>
        <v/>
      </c>
      <c r="J3107" s="23" t="n"/>
      <c r="K3107" s="17" t="n"/>
      <c r="L3107" s="17" t="n"/>
      <c r="M3107" s="17" t="n"/>
      <c r="N3107" s="17" t="n"/>
      <c r="O3107" s="26">
        <f>IF($D3107="","",IFERROR(VLOOKUP($D3107,物料档案!$A$4:$P$1203,10,0),0))</f>
        <v/>
      </c>
      <c r="P3107" s="32" t="n"/>
      <c r="Q3107" s="26">
        <f>IF($D3107="","",IF($K3107&lt;&gt;"对外销售",0,ROUND(N($J3107)*IF($P3107="",N($O3107),N($P3107)),0)))</f>
        <v/>
      </c>
      <c r="R3107" s="26">
        <f>IF($D3107="","",IFERROR(VLOOKUP($D3107,库存台账!$A$5:$Y$1204,11,0),0))</f>
        <v/>
      </c>
      <c r="S3107" s="26">
        <f>IF($D3107="","",ROUND(N($J3107)*N($R3107),0))</f>
        <v/>
      </c>
      <c r="T3107" s="26">
        <f>IF($D3107="","",IF($K3107&lt;&gt;"对外销售","",ROUND($Q3107-$S3107,0)))</f>
        <v/>
      </c>
      <c r="U3107" s="17" t="n"/>
      <c r="V3107" s="17" t="n"/>
      <c r="W3107" s="24">
        <f>IF($D3107="","",IF($E3107="※编码不在物料档案里","※物料编码不在档案里",IF(N($J3107)&lt;=0,"※出库数量要大于 0",IF($K3107="","※没填去向类型",IF($L3107="","※没填去向矿区",IF(AND($C3107&lt;&gt;"",$C3107&lt;=结账锁),"※日期早于已结账截止日，不能再录",IF(AND($K3107="自用消耗",COUNTIF({"一矿区";"二矿区"},$L3107)=0),"※自用消耗的去向只能是一矿区或二矿区",IF(AND($K3107="对外销售",COUNTIF({"三矿区";"六矿区"},$L3107)=0),"※对外销售的去向只能是三矿区或六矿区",IF(AND($K3107="对外销售",ROUND($Q3107,0)=0),"※外销却没有售价，请填实际售价",IF(AND($K3107="对外销售",$T3107&lt;&gt;"",$T3107&lt;0),"※这一笔外销是亏的，请核对售价",IF(IFERROR(VLOOKUP($D3107,库存台账!$A$5:$Y$1204,24,0),0)&lt;-0.001,"※这个物料账面已经变成负数了，查一下是不是漏记入库","")))))))))))</f>
        <v/>
      </c>
    </row>
    <row r="3108">
      <c r="A3108" s="24">
        <f>IF($D3108="","",COUNTA($D$4:$D3108))</f>
        <v/>
      </c>
      <c r="B3108" s="17" t="n"/>
      <c r="C3108" s="30" t="n"/>
      <c r="D3108" s="17" t="n"/>
      <c r="E3108" s="24">
        <f>IF($D3108="","",IFERROR(VLOOKUP($D3108,物料档案!$A$4:$P$1203,3,0),"※编码不在物料档案里"))</f>
        <v/>
      </c>
      <c r="F3108" s="24">
        <f>IF($D3108="","",IFERROR(VLOOKUP($D3108,物料档案!$A$4:$P$1203,4,0),"※编码不在物料档案里"))</f>
        <v/>
      </c>
      <c r="G3108" s="24">
        <f>IF($D3108="","",IFERROR(VLOOKUP($D3108,物料档案!$A$4:$P$1203,5,0),"※编码不在物料档案里"))</f>
        <v/>
      </c>
      <c r="H3108" s="24">
        <f>IF($D3108="","",IFERROR(VLOOKUP($D3108,物料档案!$A$4:$P$1203,2,0),"※编码不在物料档案里"))</f>
        <v/>
      </c>
      <c r="I3108" s="24">
        <f>IF($D3108="","",IFERROR(VLOOKUP($D3108,物料档案!$A$4:$P$1203,6,0),"※编码不在物料档案里"))</f>
        <v/>
      </c>
      <c r="J3108" s="23" t="n"/>
      <c r="K3108" s="17" t="n"/>
      <c r="L3108" s="17" t="n"/>
      <c r="M3108" s="17" t="n"/>
      <c r="N3108" s="17" t="n"/>
      <c r="O3108" s="26">
        <f>IF($D3108="","",IFERROR(VLOOKUP($D3108,物料档案!$A$4:$P$1203,10,0),0))</f>
        <v/>
      </c>
      <c r="P3108" s="32" t="n"/>
      <c r="Q3108" s="26">
        <f>IF($D3108="","",IF($K3108&lt;&gt;"对外销售",0,ROUND(N($J3108)*IF($P3108="",N($O3108),N($P3108)),0)))</f>
        <v/>
      </c>
      <c r="R3108" s="26">
        <f>IF($D3108="","",IFERROR(VLOOKUP($D3108,库存台账!$A$5:$Y$1204,11,0),0))</f>
        <v/>
      </c>
      <c r="S3108" s="26">
        <f>IF($D3108="","",ROUND(N($J3108)*N($R3108),0))</f>
        <v/>
      </c>
      <c r="T3108" s="26">
        <f>IF($D3108="","",IF($K3108&lt;&gt;"对外销售","",ROUND($Q3108-$S3108,0)))</f>
        <v/>
      </c>
      <c r="U3108" s="17" t="n"/>
      <c r="V3108" s="17" t="n"/>
      <c r="W3108" s="24">
        <f>IF($D3108="","",IF($E3108="※编码不在物料档案里","※物料编码不在档案里",IF(N($J3108)&lt;=0,"※出库数量要大于 0",IF($K3108="","※没填去向类型",IF($L3108="","※没填去向矿区",IF(AND($C3108&lt;&gt;"",$C3108&lt;=结账锁),"※日期早于已结账截止日，不能再录",IF(AND($K3108="自用消耗",COUNTIF({"一矿区";"二矿区"},$L3108)=0),"※自用消耗的去向只能是一矿区或二矿区",IF(AND($K3108="对外销售",COUNTIF({"三矿区";"六矿区"},$L3108)=0),"※对外销售的去向只能是三矿区或六矿区",IF(AND($K3108="对外销售",ROUND($Q3108,0)=0),"※外销却没有售价，请填实际售价",IF(AND($K3108="对外销售",$T3108&lt;&gt;"",$T3108&lt;0),"※这一笔外销是亏的，请核对售价",IF(IFERROR(VLOOKUP($D3108,库存台账!$A$5:$Y$1204,24,0),0)&lt;-0.001,"※这个物料账面已经变成负数了，查一下是不是漏记入库","")))))))))))</f>
        <v/>
      </c>
    </row>
    <row r="3109">
      <c r="A3109" s="24">
        <f>IF($D3109="","",COUNTA($D$4:$D3109))</f>
        <v/>
      </c>
      <c r="B3109" s="17" t="n"/>
      <c r="C3109" s="30" t="n"/>
      <c r="D3109" s="17" t="n"/>
      <c r="E3109" s="24">
        <f>IF($D3109="","",IFERROR(VLOOKUP($D3109,物料档案!$A$4:$P$1203,3,0),"※编码不在物料档案里"))</f>
        <v/>
      </c>
      <c r="F3109" s="24">
        <f>IF($D3109="","",IFERROR(VLOOKUP($D3109,物料档案!$A$4:$P$1203,4,0),"※编码不在物料档案里"))</f>
        <v/>
      </c>
      <c r="G3109" s="24">
        <f>IF($D3109="","",IFERROR(VLOOKUP($D3109,物料档案!$A$4:$P$1203,5,0),"※编码不在物料档案里"))</f>
        <v/>
      </c>
      <c r="H3109" s="24">
        <f>IF($D3109="","",IFERROR(VLOOKUP($D3109,物料档案!$A$4:$P$1203,2,0),"※编码不在物料档案里"))</f>
        <v/>
      </c>
      <c r="I3109" s="24">
        <f>IF($D3109="","",IFERROR(VLOOKUP($D3109,物料档案!$A$4:$P$1203,6,0),"※编码不在物料档案里"))</f>
        <v/>
      </c>
      <c r="J3109" s="23" t="n"/>
      <c r="K3109" s="17" t="n"/>
      <c r="L3109" s="17" t="n"/>
      <c r="M3109" s="17" t="n"/>
      <c r="N3109" s="17" t="n"/>
      <c r="O3109" s="26">
        <f>IF($D3109="","",IFERROR(VLOOKUP($D3109,物料档案!$A$4:$P$1203,10,0),0))</f>
        <v/>
      </c>
      <c r="P3109" s="32" t="n"/>
      <c r="Q3109" s="26">
        <f>IF($D3109="","",IF($K3109&lt;&gt;"对外销售",0,ROUND(N($J3109)*IF($P3109="",N($O3109),N($P3109)),0)))</f>
        <v/>
      </c>
      <c r="R3109" s="26">
        <f>IF($D3109="","",IFERROR(VLOOKUP($D3109,库存台账!$A$5:$Y$1204,11,0),0))</f>
        <v/>
      </c>
      <c r="S3109" s="26">
        <f>IF($D3109="","",ROUND(N($J3109)*N($R3109),0))</f>
        <v/>
      </c>
      <c r="T3109" s="26">
        <f>IF($D3109="","",IF($K3109&lt;&gt;"对外销售","",ROUND($Q3109-$S3109,0)))</f>
        <v/>
      </c>
      <c r="U3109" s="17" t="n"/>
      <c r="V3109" s="17" t="n"/>
      <c r="W3109" s="24">
        <f>IF($D3109="","",IF($E3109="※编码不在物料档案里","※物料编码不在档案里",IF(N($J3109)&lt;=0,"※出库数量要大于 0",IF($K3109="","※没填去向类型",IF($L3109="","※没填去向矿区",IF(AND($C3109&lt;&gt;"",$C3109&lt;=结账锁),"※日期早于已结账截止日，不能再录",IF(AND($K3109="自用消耗",COUNTIF({"一矿区";"二矿区"},$L3109)=0),"※自用消耗的去向只能是一矿区或二矿区",IF(AND($K3109="对外销售",COUNTIF({"三矿区";"六矿区"},$L3109)=0),"※对外销售的去向只能是三矿区或六矿区",IF(AND($K3109="对外销售",ROUND($Q3109,0)=0),"※外销却没有售价，请填实际售价",IF(AND($K3109="对外销售",$T3109&lt;&gt;"",$T3109&lt;0),"※这一笔外销是亏的，请核对售价",IF(IFERROR(VLOOKUP($D3109,库存台账!$A$5:$Y$1204,24,0),0)&lt;-0.001,"※这个物料账面已经变成负数了，查一下是不是漏记入库","")))))))))))</f>
        <v/>
      </c>
    </row>
    <row r="3110">
      <c r="A3110" s="24">
        <f>IF($D3110="","",COUNTA($D$4:$D3110))</f>
        <v/>
      </c>
      <c r="B3110" s="17" t="n"/>
      <c r="C3110" s="30" t="n"/>
      <c r="D3110" s="17" t="n"/>
      <c r="E3110" s="24">
        <f>IF($D3110="","",IFERROR(VLOOKUP($D3110,物料档案!$A$4:$P$1203,3,0),"※编码不在物料档案里"))</f>
        <v/>
      </c>
      <c r="F3110" s="24">
        <f>IF($D3110="","",IFERROR(VLOOKUP($D3110,物料档案!$A$4:$P$1203,4,0),"※编码不在物料档案里"))</f>
        <v/>
      </c>
      <c r="G3110" s="24">
        <f>IF($D3110="","",IFERROR(VLOOKUP($D3110,物料档案!$A$4:$P$1203,5,0),"※编码不在物料档案里"))</f>
        <v/>
      </c>
      <c r="H3110" s="24">
        <f>IF($D3110="","",IFERROR(VLOOKUP($D3110,物料档案!$A$4:$P$1203,2,0),"※编码不在物料档案里"))</f>
        <v/>
      </c>
      <c r="I3110" s="24">
        <f>IF($D3110="","",IFERROR(VLOOKUP($D3110,物料档案!$A$4:$P$1203,6,0),"※编码不在物料档案里"))</f>
        <v/>
      </c>
      <c r="J3110" s="23" t="n"/>
      <c r="K3110" s="17" t="n"/>
      <c r="L3110" s="17" t="n"/>
      <c r="M3110" s="17" t="n"/>
      <c r="N3110" s="17" t="n"/>
      <c r="O3110" s="26">
        <f>IF($D3110="","",IFERROR(VLOOKUP($D3110,物料档案!$A$4:$P$1203,10,0),0))</f>
        <v/>
      </c>
      <c r="P3110" s="32" t="n"/>
      <c r="Q3110" s="26">
        <f>IF($D3110="","",IF($K3110&lt;&gt;"对外销售",0,ROUND(N($J3110)*IF($P3110="",N($O3110),N($P3110)),0)))</f>
        <v/>
      </c>
      <c r="R3110" s="26">
        <f>IF($D3110="","",IFERROR(VLOOKUP($D3110,库存台账!$A$5:$Y$1204,11,0),0))</f>
        <v/>
      </c>
      <c r="S3110" s="26">
        <f>IF($D3110="","",ROUND(N($J3110)*N($R3110),0))</f>
        <v/>
      </c>
      <c r="T3110" s="26">
        <f>IF($D3110="","",IF($K3110&lt;&gt;"对外销售","",ROUND($Q3110-$S3110,0)))</f>
        <v/>
      </c>
      <c r="U3110" s="17" t="n"/>
      <c r="V3110" s="17" t="n"/>
      <c r="W3110" s="24">
        <f>IF($D3110="","",IF($E3110="※编码不在物料档案里","※物料编码不在档案里",IF(N($J3110)&lt;=0,"※出库数量要大于 0",IF($K3110="","※没填去向类型",IF($L3110="","※没填去向矿区",IF(AND($C3110&lt;&gt;"",$C3110&lt;=结账锁),"※日期早于已结账截止日，不能再录",IF(AND($K3110="自用消耗",COUNTIF({"一矿区";"二矿区"},$L3110)=0),"※自用消耗的去向只能是一矿区或二矿区",IF(AND($K3110="对外销售",COUNTIF({"三矿区";"六矿区"},$L3110)=0),"※对外销售的去向只能是三矿区或六矿区",IF(AND($K3110="对外销售",ROUND($Q3110,0)=0),"※外销却没有售价，请填实际售价",IF(AND($K3110="对外销售",$T3110&lt;&gt;"",$T3110&lt;0),"※这一笔外销是亏的，请核对售价",IF(IFERROR(VLOOKUP($D3110,库存台账!$A$5:$Y$1204,24,0),0)&lt;-0.001,"※这个物料账面已经变成负数了，查一下是不是漏记入库","")))))))))))</f>
        <v/>
      </c>
    </row>
    <row r="3111">
      <c r="A3111" s="24">
        <f>IF($D3111="","",COUNTA($D$4:$D3111))</f>
        <v/>
      </c>
      <c r="B3111" s="17" t="n"/>
      <c r="C3111" s="30" t="n"/>
      <c r="D3111" s="17" t="n"/>
      <c r="E3111" s="24">
        <f>IF($D3111="","",IFERROR(VLOOKUP($D3111,物料档案!$A$4:$P$1203,3,0),"※编码不在物料档案里"))</f>
        <v/>
      </c>
      <c r="F3111" s="24">
        <f>IF($D3111="","",IFERROR(VLOOKUP($D3111,物料档案!$A$4:$P$1203,4,0),"※编码不在物料档案里"))</f>
        <v/>
      </c>
      <c r="G3111" s="24">
        <f>IF($D3111="","",IFERROR(VLOOKUP($D3111,物料档案!$A$4:$P$1203,5,0),"※编码不在物料档案里"))</f>
        <v/>
      </c>
      <c r="H3111" s="24">
        <f>IF($D3111="","",IFERROR(VLOOKUP($D3111,物料档案!$A$4:$P$1203,2,0),"※编码不在物料档案里"))</f>
        <v/>
      </c>
      <c r="I3111" s="24">
        <f>IF($D3111="","",IFERROR(VLOOKUP($D3111,物料档案!$A$4:$P$1203,6,0),"※编码不在物料档案里"))</f>
        <v/>
      </c>
      <c r="J3111" s="23" t="n"/>
      <c r="K3111" s="17" t="n"/>
      <c r="L3111" s="17" t="n"/>
      <c r="M3111" s="17" t="n"/>
      <c r="N3111" s="17" t="n"/>
      <c r="O3111" s="26">
        <f>IF($D3111="","",IFERROR(VLOOKUP($D3111,物料档案!$A$4:$P$1203,10,0),0))</f>
        <v/>
      </c>
      <c r="P3111" s="32" t="n"/>
      <c r="Q3111" s="26">
        <f>IF($D3111="","",IF($K3111&lt;&gt;"对外销售",0,ROUND(N($J3111)*IF($P3111="",N($O3111),N($P3111)),0)))</f>
        <v/>
      </c>
      <c r="R3111" s="26">
        <f>IF($D3111="","",IFERROR(VLOOKUP($D3111,库存台账!$A$5:$Y$1204,11,0),0))</f>
        <v/>
      </c>
      <c r="S3111" s="26">
        <f>IF($D3111="","",ROUND(N($J3111)*N($R3111),0))</f>
        <v/>
      </c>
      <c r="T3111" s="26">
        <f>IF($D3111="","",IF($K3111&lt;&gt;"对外销售","",ROUND($Q3111-$S3111,0)))</f>
        <v/>
      </c>
      <c r="U3111" s="17" t="n"/>
      <c r="V3111" s="17" t="n"/>
      <c r="W3111" s="24">
        <f>IF($D3111="","",IF($E3111="※编码不在物料档案里","※物料编码不在档案里",IF(N($J3111)&lt;=0,"※出库数量要大于 0",IF($K3111="","※没填去向类型",IF($L3111="","※没填去向矿区",IF(AND($C3111&lt;&gt;"",$C3111&lt;=结账锁),"※日期早于已结账截止日，不能再录",IF(AND($K3111="自用消耗",COUNTIF({"一矿区";"二矿区"},$L3111)=0),"※自用消耗的去向只能是一矿区或二矿区",IF(AND($K3111="对外销售",COUNTIF({"三矿区";"六矿区"},$L3111)=0),"※对外销售的去向只能是三矿区或六矿区",IF(AND($K3111="对外销售",ROUND($Q3111,0)=0),"※外销却没有售价，请填实际售价",IF(AND($K3111="对外销售",$T3111&lt;&gt;"",$T3111&lt;0),"※这一笔外销是亏的，请核对售价",IF(IFERROR(VLOOKUP($D3111,库存台账!$A$5:$Y$1204,24,0),0)&lt;-0.001,"※这个物料账面已经变成负数了，查一下是不是漏记入库","")))))))))))</f>
        <v/>
      </c>
    </row>
    <row r="3112">
      <c r="A3112" s="24">
        <f>IF($D3112="","",COUNTA($D$4:$D3112))</f>
        <v/>
      </c>
      <c r="B3112" s="17" t="n"/>
      <c r="C3112" s="30" t="n"/>
      <c r="D3112" s="17" t="n"/>
      <c r="E3112" s="24">
        <f>IF($D3112="","",IFERROR(VLOOKUP($D3112,物料档案!$A$4:$P$1203,3,0),"※编码不在物料档案里"))</f>
        <v/>
      </c>
      <c r="F3112" s="24">
        <f>IF($D3112="","",IFERROR(VLOOKUP($D3112,物料档案!$A$4:$P$1203,4,0),"※编码不在物料档案里"))</f>
        <v/>
      </c>
      <c r="G3112" s="24">
        <f>IF($D3112="","",IFERROR(VLOOKUP($D3112,物料档案!$A$4:$P$1203,5,0),"※编码不在物料档案里"))</f>
        <v/>
      </c>
      <c r="H3112" s="24">
        <f>IF($D3112="","",IFERROR(VLOOKUP($D3112,物料档案!$A$4:$P$1203,2,0),"※编码不在物料档案里"))</f>
        <v/>
      </c>
      <c r="I3112" s="24">
        <f>IF($D3112="","",IFERROR(VLOOKUP($D3112,物料档案!$A$4:$P$1203,6,0),"※编码不在物料档案里"))</f>
        <v/>
      </c>
      <c r="J3112" s="23" t="n"/>
      <c r="K3112" s="17" t="n"/>
      <c r="L3112" s="17" t="n"/>
      <c r="M3112" s="17" t="n"/>
      <c r="N3112" s="17" t="n"/>
      <c r="O3112" s="26">
        <f>IF($D3112="","",IFERROR(VLOOKUP($D3112,物料档案!$A$4:$P$1203,10,0),0))</f>
        <v/>
      </c>
      <c r="P3112" s="32" t="n"/>
      <c r="Q3112" s="26">
        <f>IF($D3112="","",IF($K3112&lt;&gt;"对外销售",0,ROUND(N($J3112)*IF($P3112="",N($O3112),N($P3112)),0)))</f>
        <v/>
      </c>
      <c r="R3112" s="26">
        <f>IF($D3112="","",IFERROR(VLOOKUP($D3112,库存台账!$A$5:$Y$1204,11,0),0))</f>
        <v/>
      </c>
      <c r="S3112" s="26">
        <f>IF($D3112="","",ROUND(N($J3112)*N($R3112),0))</f>
        <v/>
      </c>
      <c r="T3112" s="26">
        <f>IF($D3112="","",IF($K3112&lt;&gt;"对外销售","",ROUND($Q3112-$S3112,0)))</f>
        <v/>
      </c>
      <c r="U3112" s="17" t="n"/>
      <c r="V3112" s="17" t="n"/>
      <c r="W3112" s="24">
        <f>IF($D3112="","",IF($E3112="※编码不在物料档案里","※物料编码不在档案里",IF(N($J3112)&lt;=0,"※出库数量要大于 0",IF($K3112="","※没填去向类型",IF($L3112="","※没填去向矿区",IF(AND($C3112&lt;&gt;"",$C3112&lt;=结账锁),"※日期早于已结账截止日，不能再录",IF(AND($K3112="自用消耗",COUNTIF({"一矿区";"二矿区"},$L3112)=0),"※自用消耗的去向只能是一矿区或二矿区",IF(AND($K3112="对外销售",COUNTIF({"三矿区";"六矿区"},$L3112)=0),"※对外销售的去向只能是三矿区或六矿区",IF(AND($K3112="对外销售",ROUND($Q3112,0)=0),"※外销却没有售价，请填实际售价",IF(AND($K3112="对外销售",$T3112&lt;&gt;"",$T3112&lt;0),"※这一笔外销是亏的，请核对售价",IF(IFERROR(VLOOKUP($D3112,库存台账!$A$5:$Y$1204,24,0),0)&lt;-0.001,"※这个物料账面已经变成负数了，查一下是不是漏记入库","")))))))))))</f>
        <v/>
      </c>
    </row>
    <row r="3113">
      <c r="A3113" s="24">
        <f>IF($D3113="","",COUNTA($D$4:$D3113))</f>
        <v/>
      </c>
      <c r="B3113" s="17" t="n"/>
      <c r="C3113" s="30" t="n"/>
      <c r="D3113" s="17" t="n"/>
      <c r="E3113" s="24">
        <f>IF($D3113="","",IFERROR(VLOOKUP($D3113,物料档案!$A$4:$P$1203,3,0),"※编码不在物料档案里"))</f>
        <v/>
      </c>
      <c r="F3113" s="24">
        <f>IF($D3113="","",IFERROR(VLOOKUP($D3113,物料档案!$A$4:$P$1203,4,0),"※编码不在物料档案里"))</f>
        <v/>
      </c>
      <c r="G3113" s="24">
        <f>IF($D3113="","",IFERROR(VLOOKUP($D3113,物料档案!$A$4:$P$1203,5,0),"※编码不在物料档案里"))</f>
        <v/>
      </c>
      <c r="H3113" s="24">
        <f>IF($D3113="","",IFERROR(VLOOKUP($D3113,物料档案!$A$4:$P$1203,2,0),"※编码不在物料档案里"))</f>
        <v/>
      </c>
      <c r="I3113" s="24">
        <f>IF($D3113="","",IFERROR(VLOOKUP($D3113,物料档案!$A$4:$P$1203,6,0),"※编码不在物料档案里"))</f>
        <v/>
      </c>
      <c r="J3113" s="23" t="n"/>
      <c r="K3113" s="17" t="n"/>
      <c r="L3113" s="17" t="n"/>
      <c r="M3113" s="17" t="n"/>
      <c r="N3113" s="17" t="n"/>
      <c r="O3113" s="26">
        <f>IF($D3113="","",IFERROR(VLOOKUP($D3113,物料档案!$A$4:$P$1203,10,0),0))</f>
        <v/>
      </c>
      <c r="P3113" s="32" t="n"/>
      <c r="Q3113" s="26">
        <f>IF($D3113="","",IF($K3113&lt;&gt;"对外销售",0,ROUND(N($J3113)*IF($P3113="",N($O3113),N($P3113)),0)))</f>
        <v/>
      </c>
      <c r="R3113" s="26">
        <f>IF($D3113="","",IFERROR(VLOOKUP($D3113,库存台账!$A$5:$Y$1204,11,0),0))</f>
        <v/>
      </c>
      <c r="S3113" s="26">
        <f>IF($D3113="","",ROUND(N($J3113)*N($R3113),0))</f>
        <v/>
      </c>
      <c r="T3113" s="26">
        <f>IF($D3113="","",IF($K3113&lt;&gt;"对外销售","",ROUND($Q3113-$S3113,0)))</f>
        <v/>
      </c>
      <c r="U3113" s="17" t="n"/>
      <c r="V3113" s="17" t="n"/>
      <c r="W3113" s="24">
        <f>IF($D3113="","",IF($E3113="※编码不在物料档案里","※物料编码不在档案里",IF(N($J3113)&lt;=0,"※出库数量要大于 0",IF($K3113="","※没填去向类型",IF($L3113="","※没填去向矿区",IF(AND($C3113&lt;&gt;"",$C3113&lt;=结账锁),"※日期早于已结账截止日，不能再录",IF(AND($K3113="自用消耗",COUNTIF({"一矿区";"二矿区"},$L3113)=0),"※自用消耗的去向只能是一矿区或二矿区",IF(AND($K3113="对外销售",COUNTIF({"三矿区";"六矿区"},$L3113)=0),"※对外销售的去向只能是三矿区或六矿区",IF(AND($K3113="对外销售",ROUND($Q3113,0)=0),"※外销却没有售价，请填实际售价",IF(AND($K3113="对外销售",$T3113&lt;&gt;"",$T3113&lt;0),"※这一笔外销是亏的，请核对售价",IF(IFERROR(VLOOKUP($D3113,库存台账!$A$5:$Y$1204,24,0),0)&lt;-0.001,"※这个物料账面已经变成负数了，查一下是不是漏记入库","")))))))))))</f>
        <v/>
      </c>
    </row>
    <row r="3114">
      <c r="A3114" s="24">
        <f>IF($D3114="","",COUNTA($D$4:$D3114))</f>
        <v/>
      </c>
      <c r="B3114" s="17" t="n"/>
      <c r="C3114" s="30" t="n"/>
      <c r="D3114" s="17" t="n"/>
      <c r="E3114" s="24">
        <f>IF($D3114="","",IFERROR(VLOOKUP($D3114,物料档案!$A$4:$P$1203,3,0),"※编码不在物料档案里"))</f>
        <v/>
      </c>
      <c r="F3114" s="24">
        <f>IF($D3114="","",IFERROR(VLOOKUP($D3114,物料档案!$A$4:$P$1203,4,0),"※编码不在物料档案里"))</f>
        <v/>
      </c>
      <c r="G3114" s="24">
        <f>IF($D3114="","",IFERROR(VLOOKUP($D3114,物料档案!$A$4:$P$1203,5,0),"※编码不在物料档案里"))</f>
        <v/>
      </c>
      <c r="H3114" s="24">
        <f>IF($D3114="","",IFERROR(VLOOKUP($D3114,物料档案!$A$4:$P$1203,2,0),"※编码不在物料档案里"))</f>
        <v/>
      </c>
      <c r="I3114" s="24">
        <f>IF($D3114="","",IFERROR(VLOOKUP($D3114,物料档案!$A$4:$P$1203,6,0),"※编码不在物料档案里"))</f>
        <v/>
      </c>
      <c r="J3114" s="23" t="n"/>
      <c r="K3114" s="17" t="n"/>
      <c r="L3114" s="17" t="n"/>
      <c r="M3114" s="17" t="n"/>
      <c r="N3114" s="17" t="n"/>
      <c r="O3114" s="26">
        <f>IF($D3114="","",IFERROR(VLOOKUP($D3114,物料档案!$A$4:$P$1203,10,0),0))</f>
        <v/>
      </c>
      <c r="P3114" s="32" t="n"/>
      <c r="Q3114" s="26">
        <f>IF($D3114="","",IF($K3114&lt;&gt;"对外销售",0,ROUND(N($J3114)*IF($P3114="",N($O3114),N($P3114)),0)))</f>
        <v/>
      </c>
      <c r="R3114" s="26">
        <f>IF($D3114="","",IFERROR(VLOOKUP($D3114,库存台账!$A$5:$Y$1204,11,0),0))</f>
        <v/>
      </c>
      <c r="S3114" s="26">
        <f>IF($D3114="","",ROUND(N($J3114)*N($R3114),0))</f>
        <v/>
      </c>
      <c r="T3114" s="26">
        <f>IF($D3114="","",IF($K3114&lt;&gt;"对外销售","",ROUND($Q3114-$S3114,0)))</f>
        <v/>
      </c>
      <c r="U3114" s="17" t="n"/>
      <c r="V3114" s="17" t="n"/>
      <c r="W3114" s="24">
        <f>IF($D3114="","",IF($E3114="※编码不在物料档案里","※物料编码不在档案里",IF(N($J3114)&lt;=0,"※出库数量要大于 0",IF($K3114="","※没填去向类型",IF($L3114="","※没填去向矿区",IF(AND($C3114&lt;&gt;"",$C3114&lt;=结账锁),"※日期早于已结账截止日，不能再录",IF(AND($K3114="自用消耗",COUNTIF({"一矿区";"二矿区"},$L3114)=0),"※自用消耗的去向只能是一矿区或二矿区",IF(AND($K3114="对外销售",COUNTIF({"三矿区";"六矿区"},$L3114)=0),"※对外销售的去向只能是三矿区或六矿区",IF(AND($K3114="对外销售",ROUND($Q3114,0)=0),"※外销却没有售价，请填实际售价",IF(AND($K3114="对外销售",$T3114&lt;&gt;"",$T3114&lt;0),"※这一笔外销是亏的，请核对售价",IF(IFERROR(VLOOKUP($D3114,库存台账!$A$5:$Y$1204,24,0),0)&lt;-0.001,"※这个物料账面已经变成负数了，查一下是不是漏记入库","")))))))))))</f>
        <v/>
      </c>
    </row>
    <row r="3115">
      <c r="A3115" s="24">
        <f>IF($D3115="","",COUNTA($D$4:$D3115))</f>
        <v/>
      </c>
      <c r="B3115" s="17" t="n"/>
      <c r="C3115" s="30" t="n"/>
      <c r="D3115" s="17" t="n"/>
      <c r="E3115" s="24">
        <f>IF($D3115="","",IFERROR(VLOOKUP($D3115,物料档案!$A$4:$P$1203,3,0),"※编码不在物料档案里"))</f>
        <v/>
      </c>
      <c r="F3115" s="24">
        <f>IF($D3115="","",IFERROR(VLOOKUP($D3115,物料档案!$A$4:$P$1203,4,0),"※编码不在物料档案里"))</f>
        <v/>
      </c>
      <c r="G3115" s="24">
        <f>IF($D3115="","",IFERROR(VLOOKUP($D3115,物料档案!$A$4:$P$1203,5,0),"※编码不在物料档案里"))</f>
        <v/>
      </c>
      <c r="H3115" s="24">
        <f>IF($D3115="","",IFERROR(VLOOKUP($D3115,物料档案!$A$4:$P$1203,2,0),"※编码不在物料档案里"))</f>
        <v/>
      </c>
      <c r="I3115" s="24">
        <f>IF($D3115="","",IFERROR(VLOOKUP($D3115,物料档案!$A$4:$P$1203,6,0),"※编码不在物料档案里"))</f>
        <v/>
      </c>
      <c r="J3115" s="23" t="n"/>
      <c r="K3115" s="17" t="n"/>
      <c r="L3115" s="17" t="n"/>
      <c r="M3115" s="17" t="n"/>
      <c r="N3115" s="17" t="n"/>
      <c r="O3115" s="26">
        <f>IF($D3115="","",IFERROR(VLOOKUP($D3115,物料档案!$A$4:$P$1203,10,0),0))</f>
        <v/>
      </c>
      <c r="P3115" s="32" t="n"/>
      <c r="Q3115" s="26">
        <f>IF($D3115="","",IF($K3115&lt;&gt;"对外销售",0,ROUND(N($J3115)*IF($P3115="",N($O3115),N($P3115)),0)))</f>
        <v/>
      </c>
      <c r="R3115" s="26">
        <f>IF($D3115="","",IFERROR(VLOOKUP($D3115,库存台账!$A$5:$Y$1204,11,0),0))</f>
        <v/>
      </c>
      <c r="S3115" s="26">
        <f>IF($D3115="","",ROUND(N($J3115)*N($R3115),0))</f>
        <v/>
      </c>
      <c r="T3115" s="26">
        <f>IF($D3115="","",IF($K3115&lt;&gt;"对外销售","",ROUND($Q3115-$S3115,0)))</f>
        <v/>
      </c>
      <c r="U3115" s="17" t="n"/>
      <c r="V3115" s="17" t="n"/>
      <c r="W3115" s="24">
        <f>IF($D3115="","",IF($E3115="※编码不在物料档案里","※物料编码不在档案里",IF(N($J3115)&lt;=0,"※出库数量要大于 0",IF($K3115="","※没填去向类型",IF($L3115="","※没填去向矿区",IF(AND($C3115&lt;&gt;"",$C3115&lt;=结账锁),"※日期早于已结账截止日，不能再录",IF(AND($K3115="自用消耗",COUNTIF({"一矿区";"二矿区"},$L3115)=0),"※自用消耗的去向只能是一矿区或二矿区",IF(AND($K3115="对外销售",COUNTIF({"三矿区";"六矿区"},$L3115)=0),"※对外销售的去向只能是三矿区或六矿区",IF(AND($K3115="对外销售",ROUND($Q3115,0)=0),"※外销却没有售价，请填实际售价",IF(AND($K3115="对外销售",$T3115&lt;&gt;"",$T3115&lt;0),"※这一笔外销是亏的，请核对售价",IF(IFERROR(VLOOKUP($D3115,库存台账!$A$5:$Y$1204,24,0),0)&lt;-0.001,"※这个物料账面已经变成负数了，查一下是不是漏记入库","")))))))))))</f>
        <v/>
      </c>
    </row>
    <row r="3116">
      <c r="A3116" s="24">
        <f>IF($D3116="","",COUNTA($D$4:$D3116))</f>
        <v/>
      </c>
      <c r="B3116" s="17" t="n"/>
      <c r="C3116" s="30" t="n"/>
      <c r="D3116" s="17" t="n"/>
      <c r="E3116" s="24">
        <f>IF($D3116="","",IFERROR(VLOOKUP($D3116,物料档案!$A$4:$P$1203,3,0),"※编码不在物料档案里"))</f>
        <v/>
      </c>
      <c r="F3116" s="24">
        <f>IF($D3116="","",IFERROR(VLOOKUP($D3116,物料档案!$A$4:$P$1203,4,0),"※编码不在物料档案里"))</f>
        <v/>
      </c>
      <c r="G3116" s="24">
        <f>IF($D3116="","",IFERROR(VLOOKUP($D3116,物料档案!$A$4:$P$1203,5,0),"※编码不在物料档案里"))</f>
        <v/>
      </c>
      <c r="H3116" s="24">
        <f>IF($D3116="","",IFERROR(VLOOKUP($D3116,物料档案!$A$4:$P$1203,2,0),"※编码不在物料档案里"))</f>
        <v/>
      </c>
      <c r="I3116" s="24">
        <f>IF($D3116="","",IFERROR(VLOOKUP($D3116,物料档案!$A$4:$P$1203,6,0),"※编码不在物料档案里"))</f>
        <v/>
      </c>
      <c r="J3116" s="23" t="n"/>
      <c r="K3116" s="17" t="n"/>
      <c r="L3116" s="17" t="n"/>
      <c r="M3116" s="17" t="n"/>
      <c r="N3116" s="17" t="n"/>
      <c r="O3116" s="26">
        <f>IF($D3116="","",IFERROR(VLOOKUP($D3116,物料档案!$A$4:$P$1203,10,0),0))</f>
        <v/>
      </c>
      <c r="P3116" s="32" t="n"/>
      <c r="Q3116" s="26">
        <f>IF($D3116="","",IF($K3116&lt;&gt;"对外销售",0,ROUND(N($J3116)*IF($P3116="",N($O3116),N($P3116)),0)))</f>
        <v/>
      </c>
      <c r="R3116" s="26">
        <f>IF($D3116="","",IFERROR(VLOOKUP($D3116,库存台账!$A$5:$Y$1204,11,0),0))</f>
        <v/>
      </c>
      <c r="S3116" s="26">
        <f>IF($D3116="","",ROUND(N($J3116)*N($R3116),0))</f>
        <v/>
      </c>
      <c r="T3116" s="26">
        <f>IF($D3116="","",IF($K3116&lt;&gt;"对外销售","",ROUND($Q3116-$S3116,0)))</f>
        <v/>
      </c>
      <c r="U3116" s="17" t="n"/>
      <c r="V3116" s="17" t="n"/>
      <c r="W3116" s="24">
        <f>IF($D3116="","",IF($E3116="※编码不在物料档案里","※物料编码不在档案里",IF(N($J3116)&lt;=0,"※出库数量要大于 0",IF($K3116="","※没填去向类型",IF($L3116="","※没填去向矿区",IF(AND($C3116&lt;&gt;"",$C3116&lt;=结账锁),"※日期早于已结账截止日，不能再录",IF(AND($K3116="自用消耗",COUNTIF({"一矿区";"二矿区"},$L3116)=0),"※自用消耗的去向只能是一矿区或二矿区",IF(AND($K3116="对外销售",COUNTIF({"三矿区";"六矿区"},$L3116)=0),"※对外销售的去向只能是三矿区或六矿区",IF(AND($K3116="对外销售",ROUND($Q3116,0)=0),"※外销却没有售价，请填实际售价",IF(AND($K3116="对外销售",$T3116&lt;&gt;"",$T3116&lt;0),"※这一笔外销是亏的，请核对售价",IF(IFERROR(VLOOKUP($D3116,库存台账!$A$5:$Y$1204,24,0),0)&lt;-0.001,"※这个物料账面已经变成负数了，查一下是不是漏记入库","")))))))))))</f>
        <v/>
      </c>
    </row>
    <row r="3117">
      <c r="A3117" s="24">
        <f>IF($D3117="","",COUNTA($D$4:$D3117))</f>
        <v/>
      </c>
      <c r="B3117" s="17" t="n"/>
      <c r="C3117" s="30" t="n"/>
      <c r="D3117" s="17" t="n"/>
      <c r="E3117" s="24">
        <f>IF($D3117="","",IFERROR(VLOOKUP($D3117,物料档案!$A$4:$P$1203,3,0),"※编码不在物料档案里"))</f>
        <v/>
      </c>
      <c r="F3117" s="24">
        <f>IF($D3117="","",IFERROR(VLOOKUP($D3117,物料档案!$A$4:$P$1203,4,0),"※编码不在物料档案里"))</f>
        <v/>
      </c>
      <c r="G3117" s="24">
        <f>IF($D3117="","",IFERROR(VLOOKUP($D3117,物料档案!$A$4:$P$1203,5,0),"※编码不在物料档案里"))</f>
        <v/>
      </c>
      <c r="H3117" s="24">
        <f>IF($D3117="","",IFERROR(VLOOKUP($D3117,物料档案!$A$4:$P$1203,2,0),"※编码不在物料档案里"))</f>
        <v/>
      </c>
      <c r="I3117" s="24">
        <f>IF($D3117="","",IFERROR(VLOOKUP($D3117,物料档案!$A$4:$P$1203,6,0),"※编码不在物料档案里"))</f>
        <v/>
      </c>
      <c r="J3117" s="23" t="n"/>
      <c r="K3117" s="17" t="n"/>
      <c r="L3117" s="17" t="n"/>
      <c r="M3117" s="17" t="n"/>
      <c r="N3117" s="17" t="n"/>
      <c r="O3117" s="26">
        <f>IF($D3117="","",IFERROR(VLOOKUP($D3117,物料档案!$A$4:$P$1203,10,0),0))</f>
        <v/>
      </c>
      <c r="P3117" s="32" t="n"/>
      <c r="Q3117" s="26">
        <f>IF($D3117="","",IF($K3117&lt;&gt;"对外销售",0,ROUND(N($J3117)*IF($P3117="",N($O3117),N($P3117)),0)))</f>
        <v/>
      </c>
      <c r="R3117" s="26">
        <f>IF($D3117="","",IFERROR(VLOOKUP($D3117,库存台账!$A$5:$Y$1204,11,0),0))</f>
        <v/>
      </c>
      <c r="S3117" s="26">
        <f>IF($D3117="","",ROUND(N($J3117)*N($R3117),0))</f>
        <v/>
      </c>
      <c r="T3117" s="26">
        <f>IF($D3117="","",IF($K3117&lt;&gt;"对外销售","",ROUND($Q3117-$S3117,0)))</f>
        <v/>
      </c>
      <c r="U3117" s="17" t="n"/>
      <c r="V3117" s="17" t="n"/>
      <c r="W3117" s="24">
        <f>IF($D3117="","",IF($E3117="※编码不在物料档案里","※物料编码不在档案里",IF(N($J3117)&lt;=0,"※出库数量要大于 0",IF($K3117="","※没填去向类型",IF($L3117="","※没填去向矿区",IF(AND($C3117&lt;&gt;"",$C3117&lt;=结账锁),"※日期早于已结账截止日，不能再录",IF(AND($K3117="自用消耗",COUNTIF({"一矿区";"二矿区"},$L3117)=0),"※自用消耗的去向只能是一矿区或二矿区",IF(AND($K3117="对外销售",COUNTIF({"三矿区";"六矿区"},$L3117)=0),"※对外销售的去向只能是三矿区或六矿区",IF(AND($K3117="对外销售",ROUND($Q3117,0)=0),"※外销却没有售价，请填实际售价",IF(AND($K3117="对外销售",$T3117&lt;&gt;"",$T3117&lt;0),"※这一笔外销是亏的，请核对售价",IF(IFERROR(VLOOKUP($D3117,库存台账!$A$5:$Y$1204,24,0),0)&lt;-0.001,"※这个物料账面已经变成负数了，查一下是不是漏记入库","")))))))))))</f>
        <v/>
      </c>
    </row>
    <row r="3118">
      <c r="A3118" s="24">
        <f>IF($D3118="","",COUNTA($D$4:$D3118))</f>
        <v/>
      </c>
      <c r="B3118" s="17" t="n"/>
      <c r="C3118" s="30" t="n"/>
      <c r="D3118" s="17" t="n"/>
      <c r="E3118" s="24">
        <f>IF($D3118="","",IFERROR(VLOOKUP($D3118,物料档案!$A$4:$P$1203,3,0),"※编码不在物料档案里"))</f>
        <v/>
      </c>
      <c r="F3118" s="24">
        <f>IF($D3118="","",IFERROR(VLOOKUP($D3118,物料档案!$A$4:$P$1203,4,0),"※编码不在物料档案里"))</f>
        <v/>
      </c>
      <c r="G3118" s="24">
        <f>IF($D3118="","",IFERROR(VLOOKUP($D3118,物料档案!$A$4:$P$1203,5,0),"※编码不在物料档案里"))</f>
        <v/>
      </c>
      <c r="H3118" s="24">
        <f>IF($D3118="","",IFERROR(VLOOKUP($D3118,物料档案!$A$4:$P$1203,2,0),"※编码不在物料档案里"))</f>
        <v/>
      </c>
      <c r="I3118" s="24">
        <f>IF($D3118="","",IFERROR(VLOOKUP($D3118,物料档案!$A$4:$P$1203,6,0),"※编码不在物料档案里"))</f>
        <v/>
      </c>
      <c r="J3118" s="23" t="n"/>
      <c r="K3118" s="17" t="n"/>
      <c r="L3118" s="17" t="n"/>
      <c r="M3118" s="17" t="n"/>
      <c r="N3118" s="17" t="n"/>
      <c r="O3118" s="26">
        <f>IF($D3118="","",IFERROR(VLOOKUP($D3118,物料档案!$A$4:$P$1203,10,0),0))</f>
        <v/>
      </c>
      <c r="P3118" s="32" t="n"/>
      <c r="Q3118" s="26">
        <f>IF($D3118="","",IF($K3118&lt;&gt;"对外销售",0,ROUND(N($J3118)*IF($P3118="",N($O3118),N($P3118)),0)))</f>
        <v/>
      </c>
      <c r="R3118" s="26">
        <f>IF($D3118="","",IFERROR(VLOOKUP($D3118,库存台账!$A$5:$Y$1204,11,0),0))</f>
        <v/>
      </c>
      <c r="S3118" s="26">
        <f>IF($D3118="","",ROUND(N($J3118)*N($R3118),0))</f>
        <v/>
      </c>
      <c r="T3118" s="26">
        <f>IF($D3118="","",IF($K3118&lt;&gt;"对外销售","",ROUND($Q3118-$S3118,0)))</f>
        <v/>
      </c>
      <c r="U3118" s="17" t="n"/>
      <c r="V3118" s="17" t="n"/>
      <c r="W3118" s="24">
        <f>IF($D3118="","",IF($E3118="※编码不在物料档案里","※物料编码不在档案里",IF(N($J3118)&lt;=0,"※出库数量要大于 0",IF($K3118="","※没填去向类型",IF($L3118="","※没填去向矿区",IF(AND($C3118&lt;&gt;"",$C3118&lt;=结账锁),"※日期早于已结账截止日，不能再录",IF(AND($K3118="自用消耗",COUNTIF({"一矿区";"二矿区"},$L3118)=0),"※自用消耗的去向只能是一矿区或二矿区",IF(AND($K3118="对外销售",COUNTIF({"三矿区";"六矿区"},$L3118)=0),"※对外销售的去向只能是三矿区或六矿区",IF(AND($K3118="对外销售",ROUND($Q3118,0)=0),"※外销却没有售价，请填实际售价",IF(AND($K3118="对外销售",$T3118&lt;&gt;"",$T3118&lt;0),"※这一笔外销是亏的，请核对售价",IF(IFERROR(VLOOKUP($D3118,库存台账!$A$5:$Y$1204,24,0),0)&lt;-0.001,"※这个物料账面已经变成负数了，查一下是不是漏记入库","")))))))))))</f>
        <v/>
      </c>
    </row>
    <row r="3119">
      <c r="A3119" s="24">
        <f>IF($D3119="","",COUNTA($D$4:$D3119))</f>
        <v/>
      </c>
      <c r="B3119" s="17" t="n"/>
      <c r="C3119" s="30" t="n"/>
      <c r="D3119" s="17" t="n"/>
      <c r="E3119" s="24">
        <f>IF($D3119="","",IFERROR(VLOOKUP($D3119,物料档案!$A$4:$P$1203,3,0),"※编码不在物料档案里"))</f>
        <v/>
      </c>
      <c r="F3119" s="24">
        <f>IF($D3119="","",IFERROR(VLOOKUP($D3119,物料档案!$A$4:$P$1203,4,0),"※编码不在物料档案里"))</f>
        <v/>
      </c>
      <c r="G3119" s="24">
        <f>IF($D3119="","",IFERROR(VLOOKUP($D3119,物料档案!$A$4:$P$1203,5,0),"※编码不在物料档案里"))</f>
        <v/>
      </c>
      <c r="H3119" s="24">
        <f>IF($D3119="","",IFERROR(VLOOKUP($D3119,物料档案!$A$4:$P$1203,2,0),"※编码不在物料档案里"))</f>
        <v/>
      </c>
      <c r="I3119" s="24">
        <f>IF($D3119="","",IFERROR(VLOOKUP($D3119,物料档案!$A$4:$P$1203,6,0),"※编码不在物料档案里"))</f>
        <v/>
      </c>
      <c r="J3119" s="23" t="n"/>
      <c r="K3119" s="17" t="n"/>
      <c r="L3119" s="17" t="n"/>
      <c r="M3119" s="17" t="n"/>
      <c r="N3119" s="17" t="n"/>
      <c r="O3119" s="26">
        <f>IF($D3119="","",IFERROR(VLOOKUP($D3119,物料档案!$A$4:$P$1203,10,0),0))</f>
        <v/>
      </c>
      <c r="P3119" s="32" t="n"/>
      <c r="Q3119" s="26">
        <f>IF($D3119="","",IF($K3119&lt;&gt;"对外销售",0,ROUND(N($J3119)*IF($P3119="",N($O3119),N($P3119)),0)))</f>
        <v/>
      </c>
      <c r="R3119" s="26">
        <f>IF($D3119="","",IFERROR(VLOOKUP($D3119,库存台账!$A$5:$Y$1204,11,0),0))</f>
        <v/>
      </c>
      <c r="S3119" s="26">
        <f>IF($D3119="","",ROUND(N($J3119)*N($R3119),0))</f>
        <v/>
      </c>
      <c r="T3119" s="26">
        <f>IF($D3119="","",IF($K3119&lt;&gt;"对外销售","",ROUND($Q3119-$S3119,0)))</f>
        <v/>
      </c>
      <c r="U3119" s="17" t="n"/>
      <c r="V3119" s="17" t="n"/>
      <c r="W3119" s="24">
        <f>IF($D3119="","",IF($E3119="※编码不在物料档案里","※物料编码不在档案里",IF(N($J3119)&lt;=0,"※出库数量要大于 0",IF($K3119="","※没填去向类型",IF($L3119="","※没填去向矿区",IF(AND($C3119&lt;&gt;"",$C3119&lt;=结账锁),"※日期早于已结账截止日，不能再录",IF(AND($K3119="自用消耗",COUNTIF({"一矿区";"二矿区"},$L3119)=0),"※自用消耗的去向只能是一矿区或二矿区",IF(AND($K3119="对外销售",COUNTIF({"三矿区";"六矿区"},$L3119)=0),"※对外销售的去向只能是三矿区或六矿区",IF(AND($K3119="对外销售",ROUND($Q3119,0)=0),"※外销却没有售价，请填实际售价",IF(AND($K3119="对外销售",$T3119&lt;&gt;"",$T3119&lt;0),"※这一笔外销是亏的，请核对售价",IF(IFERROR(VLOOKUP($D3119,库存台账!$A$5:$Y$1204,24,0),0)&lt;-0.001,"※这个物料账面已经变成负数了，查一下是不是漏记入库","")))))))))))</f>
        <v/>
      </c>
    </row>
    <row r="3120">
      <c r="A3120" s="24">
        <f>IF($D3120="","",COUNTA($D$4:$D3120))</f>
        <v/>
      </c>
      <c r="B3120" s="17" t="n"/>
      <c r="C3120" s="30" t="n"/>
      <c r="D3120" s="17" t="n"/>
      <c r="E3120" s="24">
        <f>IF($D3120="","",IFERROR(VLOOKUP($D3120,物料档案!$A$4:$P$1203,3,0),"※编码不在物料档案里"))</f>
        <v/>
      </c>
      <c r="F3120" s="24">
        <f>IF($D3120="","",IFERROR(VLOOKUP($D3120,物料档案!$A$4:$P$1203,4,0),"※编码不在物料档案里"))</f>
        <v/>
      </c>
      <c r="G3120" s="24">
        <f>IF($D3120="","",IFERROR(VLOOKUP($D3120,物料档案!$A$4:$P$1203,5,0),"※编码不在物料档案里"))</f>
        <v/>
      </c>
      <c r="H3120" s="24">
        <f>IF($D3120="","",IFERROR(VLOOKUP($D3120,物料档案!$A$4:$P$1203,2,0),"※编码不在物料档案里"))</f>
        <v/>
      </c>
      <c r="I3120" s="24">
        <f>IF($D3120="","",IFERROR(VLOOKUP($D3120,物料档案!$A$4:$P$1203,6,0),"※编码不在物料档案里"))</f>
        <v/>
      </c>
      <c r="J3120" s="23" t="n"/>
      <c r="K3120" s="17" t="n"/>
      <c r="L3120" s="17" t="n"/>
      <c r="M3120" s="17" t="n"/>
      <c r="N3120" s="17" t="n"/>
      <c r="O3120" s="26">
        <f>IF($D3120="","",IFERROR(VLOOKUP($D3120,物料档案!$A$4:$P$1203,10,0),0))</f>
        <v/>
      </c>
      <c r="P3120" s="32" t="n"/>
      <c r="Q3120" s="26">
        <f>IF($D3120="","",IF($K3120&lt;&gt;"对外销售",0,ROUND(N($J3120)*IF($P3120="",N($O3120),N($P3120)),0)))</f>
        <v/>
      </c>
      <c r="R3120" s="26">
        <f>IF($D3120="","",IFERROR(VLOOKUP($D3120,库存台账!$A$5:$Y$1204,11,0),0))</f>
        <v/>
      </c>
      <c r="S3120" s="26">
        <f>IF($D3120="","",ROUND(N($J3120)*N($R3120),0))</f>
        <v/>
      </c>
      <c r="T3120" s="26">
        <f>IF($D3120="","",IF($K3120&lt;&gt;"对外销售","",ROUND($Q3120-$S3120,0)))</f>
        <v/>
      </c>
      <c r="U3120" s="17" t="n"/>
      <c r="V3120" s="17" t="n"/>
      <c r="W3120" s="24">
        <f>IF($D3120="","",IF($E3120="※编码不在物料档案里","※物料编码不在档案里",IF(N($J3120)&lt;=0,"※出库数量要大于 0",IF($K3120="","※没填去向类型",IF($L3120="","※没填去向矿区",IF(AND($C3120&lt;&gt;"",$C3120&lt;=结账锁),"※日期早于已结账截止日，不能再录",IF(AND($K3120="自用消耗",COUNTIF({"一矿区";"二矿区"},$L3120)=0),"※自用消耗的去向只能是一矿区或二矿区",IF(AND($K3120="对外销售",COUNTIF({"三矿区";"六矿区"},$L3120)=0),"※对外销售的去向只能是三矿区或六矿区",IF(AND($K3120="对外销售",ROUND($Q3120,0)=0),"※外销却没有售价，请填实际售价",IF(AND($K3120="对外销售",$T3120&lt;&gt;"",$T3120&lt;0),"※这一笔外销是亏的，请核对售价",IF(IFERROR(VLOOKUP($D3120,库存台账!$A$5:$Y$1204,24,0),0)&lt;-0.001,"※这个物料账面已经变成负数了，查一下是不是漏记入库","")))))))))))</f>
        <v/>
      </c>
    </row>
    <row r="3121">
      <c r="A3121" s="24">
        <f>IF($D3121="","",COUNTA($D$4:$D3121))</f>
        <v/>
      </c>
      <c r="B3121" s="17" t="n"/>
      <c r="C3121" s="30" t="n"/>
      <c r="D3121" s="17" t="n"/>
      <c r="E3121" s="24">
        <f>IF($D3121="","",IFERROR(VLOOKUP($D3121,物料档案!$A$4:$P$1203,3,0),"※编码不在物料档案里"))</f>
        <v/>
      </c>
      <c r="F3121" s="24">
        <f>IF($D3121="","",IFERROR(VLOOKUP($D3121,物料档案!$A$4:$P$1203,4,0),"※编码不在物料档案里"))</f>
        <v/>
      </c>
      <c r="G3121" s="24">
        <f>IF($D3121="","",IFERROR(VLOOKUP($D3121,物料档案!$A$4:$P$1203,5,0),"※编码不在物料档案里"))</f>
        <v/>
      </c>
      <c r="H3121" s="24">
        <f>IF($D3121="","",IFERROR(VLOOKUP($D3121,物料档案!$A$4:$P$1203,2,0),"※编码不在物料档案里"))</f>
        <v/>
      </c>
      <c r="I3121" s="24">
        <f>IF($D3121="","",IFERROR(VLOOKUP($D3121,物料档案!$A$4:$P$1203,6,0),"※编码不在物料档案里"))</f>
        <v/>
      </c>
      <c r="J3121" s="23" t="n"/>
      <c r="K3121" s="17" t="n"/>
      <c r="L3121" s="17" t="n"/>
      <c r="M3121" s="17" t="n"/>
      <c r="N3121" s="17" t="n"/>
      <c r="O3121" s="26">
        <f>IF($D3121="","",IFERROR(VLOOKUP($D3121,物料档案!$A$4:$P$1203,10,0),0))</f>
        <v/>
      </c>
      <c r="P3121" s="32" t="n"/>
      <c r="Q3121" s="26">
        <f>IF($D3121="","",IF($K3121&lt;&gt;"对外销售",0,ROUND(N($J3121)*IF($P3121="",N($O3121),N($P3121)),0)))</f>
        <v/>
      </c>
      <c r="R3121" s="26">
        <f>IF($D3121="","",IFERROR(VLOOKUP($D3121,库存台账!$A$5:$Y$1204,11,0),0))</f>
        <v/>
      </c>
      <c r="S3121" s="26">
        <f>IF($D3121="","",ROUND(N($J3121)*N($R3121),0))</f>
        <v/>
      </c>
      <c r="T3121" s="26">
        <f>IF($D3121="","",IF($K3121&lt;&gt;"对外销售","",ROUND($Q3121-$S3121,0)))</f>
        <v/>
      </c>
      <c r="U3121" s="17" t="n"/>
      <c r="V3121" s="17" t="n"/>
      <c r="W3121" s="24">
        <f>IF($D3121="","",IF($E3121="※编码不在物料档案里","※物料编码不在档案里",IF(N($J3121)&lt;=0,"※出库数量要大于 0",IF($K3121="","※没填去向类型",IF($L3121="","※没填去向矿区",IF(AND($C3121&lt;&gt;"",$C3121&lt;=结账锁),"※日期早于已结账截止日，不能再录",IF(AND($K3121="自用消耗",COUNTIF({"一矿区";"二矿区"},$L3121)=0),"※自用消耗的去向只能是一矿区或二矿区",IF(AND($K3121="对外销售",COUNTIF({"三矿区";"六矿区"},$L3121)=0),"※对外销售的去向只能是三矿区或六矿区",IF(AND($K3121="对外销售",ROUND($Q3121,0)=0),"※外销却没有售价，请填实际售价",IF(AND($K3121="对外销售",$T3121&lt;&gt;"",$T3121&lt;0),"※这一笔外销是亏的，请核对售价",IF(IFERROR(VLOOKUP($D3121,库存台账!$A$5:$Y$1204,24,0),0)&lt;-0.001,"※这个物料账面已经变成负数了，查一下是不是漏记入库","")))))))))))</f>
        <v/>
      </c>
    </row>
    <row r="3122">
      <c r="A3122" s="24">
        <f>IF($D3122="","",COUNTA($D$4:$D3122))</f>
        <v/>
      </c>
      <c r="B3122" s="17" t="n"/>
      <c r="C3122" s="30" t="n"/>
      <c r="D3122" s="17" t="n"/>
      <c r="E3122" s="24">
        <f>IF($D3122="","",IFERROR(VLOOKUP($D3122,物料档案!$A$4:$P$1203,3,0),"※编码不在物料档案里"))</f>
        <v/>
      </c>
      <c r="F3122" s="24">
        <f>IF($D3122="","",IFERROR(VLOOKUP($D3122,物料档案!$A$4:$P$1203,4,0),"※编码不在物料档案里"))</f>
        <v/>
      </c>
      <c r="G3122" s="24">
        <f>IF($D3122="","",IFERROR(VLOOKUP($D3122,物料档案!$A$4:$P$1203,5,0),"※编码不在物料档案里"))</f>
        <v/>
      </c>
      <c r="H3122" s="24">
        <f>IF($D3122="","",IFERROR(VLOOKUP($D3122,物料档案!$A$4:$P$1203,2,0),"※编码不在物料档案里"))</f>
        <v/>
      </c>
      <c r="I3122" s="24">
        <f>IF($D3122="","",IFERROR(VLOOKUP($D3122,物料档案!$A$4:$P$1203,6,0),"※编码不在物料档案里"))</f>
        <v/>
      </c>
      <c r="J3122" s="23" t="n"/>
      <c r="K3122" s="17" t="n"/>
      <c r="L3122" s="17" t="n"/>
      <c r="M3122" s="17" t="n"/>
      <c r="N3122" s="17" t="n"/>
      <c r="O3122" s="26">
        <f>IF($D3122="","",IFERROR(VLOOKUP($D3122,物料档案!$A$4:$P$1203,10,0),0))</f>
        <v/>
      </c>
      <c r="P3122" s="32" t="n"/>
      <c r="Q3122" s="26">
        <f>IF($D3122="","",IF($K3122&lt;&gt;"对外销售",0,ROUND(N($J3122)*IF($P3122="",N($O3122),N($P3122)),0)))</f>
        <v/>
      </c>
      <c r="R3122" s="26">
        <f>IF($D3122="","",IFERROR(VLOOKUP($D3122,库存台账!$A$5:$Y$1204,11,0),0))</f>
        <v/>
      </c>
      <c r="S3122" s="26">
        <f>IF($D3122="","",ROUND(N($J3122)*N($R3122),0))</f>
        <v/>
      </c>
      <c r="T3122" s="26">
        <f>IF($D3122="","",IF($K3122&lt;&gt;"对外销售","",ROUND($Q3122-$S3122,0)))</f>
        <v/>
      </c>
      <c r="U3122" s="17" t="n"/>
      <c r="V3122" s="17" t="n"/>
      <c r="W3122" s="24">
        <f>IF($D3122="","",IF($E3122="※编码不在物料档案里","※物料编码不在档案里",IF(N($J3122)&lt;=0,"※出库数量要大于 0",IF($K3122="","※没填去向类型",IF($L3122="","※没填去向矿区",IF(AND($C3122&lt;&gt;"",$C3122&lt;=结账锁),"※日期早于已结账截止日，不能再录",IF(AND($K3122="自用消耗",COUNTIF({"一矿区";"二矿区"},$L3122)=0),"※自用消耗的去向只能是一矿区或二矿区",IF(AND($K3122="对外销售",COUNTIF({"三矿区";"六矿区"},$L3122)=0),"※对外销售的去向只能是三矿区或六矿区",IF(AND($K3122="对外销售",ROUND($Q3122,0)=0),"※外销却没有售价，请填实际售价",IF(AND($K3122="对外销售",$T3122&lt;&gt;"",$T3122&lt;0),"※这一笔外销是亏的，请核对售价",IF(IFERROR(VLOOKUP($D3122,库存台账!$A$5:$Y$1204,24,0),0)&lt;-0.001,"※这个物料账面已经变成负数了，查一下是不是漏记入库","")))))))))))</f>
        <v/>
      </c>
    </row>
    <row r="3123">
      <c r="A3123" s="24">
        <f>IF($D3123="","",COUNTA($D$4:$D3123))</f>
        <v/>
      </c>
      <c r="B3123" s="17" t="n"/>
      <c r="C3123" s="30" t="n"/>
      <c r="D3123" s="17" t="n"/>
      <c r="E3123" s="24">
        <f>IF($D3123="","",IFERROR(VLOOKUP($D3123,物料档案!$A$4:$P$1203,3,0),"※编码不在物料档案里"))</f>
        <v/>
      </c>
      <c r="F3123" s="24">
        <f>IF($D3123="","",IFERROR(VLOOKUP($D3123,物料档案!$A$4:$P$1203,4,0),"※编码不在物料档案里"))</f>
        <v/>
      </c>
      <c r="G3123" s="24">
        <f>IF($D3123="","",IFERROR(VLOOKUP($D3123,物料档案!$A$4:$P$1203,5,0),"※编码不在物料档案里"))</f>
        <v/>
      </c>
      <c r="H3123" s="24">
        <f>IF($D3123="","",IFERROR(VLOOKUP($D3123,物料档案!$A$4:$P$1203,2,0),"※编码不在物料档案里"))</f>
        <v/>
      </c>
      <c r="I3123" s="24">
        <f>IF($D3123="","",IFERROR(VLOOKUP($D3123,物料档案!$A$4:$P$1203,6,0),"※编码不在物料档案里"))</f>
        <v/>
      </c>
      <c r="J3123" s="23" t="n"/>
      <c r="K3123" s="17" t="n"/>
      <c r="L3123" s="17" t="n"/>
      <c r="M3123" s="17" t="n"/>
      <c r="N3123" s="17" t="n"/>
      <c r="O3123" s="26">
        <f>IF($D3123="","",IFERROR(VLOOKUP($D3123,物料档案!$A$4:$P$1203,10,0),0))</f>
        <v/>
      </c>
      <c r="P3123" s="32" t="n"/>
      <c r="Q3123" s="26">
        <f>IF($D3123="","",IF($K3123&lt;&gt;"对外销售",0,ROUND(N($J3123)*IF($P3123="",N($O3123),N($P3123)),0)))</f>
        <v/>
      </c>
      <c r="R3123" s="26">
        <f>IF($D3123="","",IFERROR(VLOOKUP($D3123,库存台账!$A$5:$Y$1204,11,0),0))</f>
        <v/>
      </c>
      <c r="S3123" s="26">
        <f>IF($D3123="","",ROUND(N($J3123)*N($R3123),0))</f>
        <v/>
      </c>
      <c r="T3123" s="26">
        <f>IF($D3123="","",IF($K3123&lt;&gt;"对外销售","",ROUND($Q3123-$S3123,0)))</f>
        <v/>
      </c>
      <c r="U3123" s="17" t="n"/>
      <c r="V3123" s="17" t="n"/>
      <c r="W3123" s="24">
        <f>IF($D3123="","",IF($E3123="※编码不在物料档案里","※物料编码不在档案里",IF(N($J3123)&lt;=0,"※出库数量要大于 0",IF($K3123="","※没填去向类型",IF($L3123="","※没填去向矿区",IF(AND($C3123&lt;&gt;"",$C3123&lt;=结账锁),"※日期早于已结账截止日，不能再录",IF(AND($K3123="自用消耗",COUNTIF({"一矿区";"二矿区"},$L3123)=0),"※自用消耗的去向只能是一矿区或二矿区",IF(AND($K3123="对外销售",COUNTIF({"三矿区";"六矿区"},$L3123)=0),"※对外销售的去向只能是三矿区或六矿区",IF(AND($K3123="对外销售",ROUND($Q3123,0)=0),"※外销却没有售价，请填实际售价",IF(AND($K3123="对外销售",$T3123&lt;&gt;"",$T3123&lt;0),"※这一笔外销是亏的，请核对售价",IF(IFERROR(VLOOKUP($D3123,库存台账!$A$5:$Y$1204,24,0),0)&lt;-0.001,"※这个物料账面已经变成负数了，查一下是不是漏记入库","")))))))))))</f>
        <v/>
      </c>
    </row>
    <row r="3124">
      <c r="A3124" s="24">
        <f>IF($D3124="","",COUNTA($D$4:$D3124))</f>
        <v/>
      </c>
      <c r="B3124" s="17" t="n"/>
      <c r="C3124" s="30" t="n"/>
      <c r="D3124" s="17" t="n"/>
      <c r="E3124" s="24">
        <f>IF($D3124="","",IFERROR(VLOOKUP($D3124,物料档案!$A$4:$P$1203,3,0),"※编码不在物料档案里"))</f>
        <v/>
      </c>
      <c r="F3124" s="24">
        <f>IF($D3124="","",IFERROR(VLOOKUP($D3124,物料档案!$A$4:$P$1203,4,0),"※编码不在物料档案里"))</f>
        <v/>
      </c>
      <c r="G3124" s="24">
        <f>IF($D3124="","",IFERROR(VLOOKUP($D3124,物料档案!$A$4:$P$1203,5,0),"※编码不在物料档案里"))</f>
        <v/>
      </c>
      <c r="H3124" s="24">
        <f>IF($D3124="","",IFERROR(VLOOKUP($D3124,物料档案!$A$4:$P$1203,2,0),"※编码不在物料档案里"))</f>
        <v/>
      </c>
      <c r="I3124" s="24">
        <f>IF($D3124="","",IFERROR(VLOOKUP($D3124,物料档案!$A$4:$P$1203,6,0),"※编码不在物料档案里"))</f>
        <v/>
      </c>
      <c r="J3124" s="23" t="n"/>
      <c r="K3124" s="17" t="n"/>
      <c r="L3124" s="17" t="n"/>
      <c r="M3124" s="17" t="n"/>
      <c r="N3124" s="17" t="n"/>
      <c r="O3124" s="26">
        <f>IF($D3124="","",IFERROR(VLOOKUP($D3124,物料档案!$A$4:$P$1203,10,0),0))</f>
        <v/>
      </c>
      <c r="P3124" s="32" t="n"/>
      <c r="Q3124" s="26">
        <f>IF($D3124="","",IF($K3124&lt;&gt;"对外销售",0,ROUND(N($J3124)*IF($P3124="",N($O3124),N($P3124)),0)))</f>
        <v/>
      </c>
      <c r="R3124" s="26">
        <f>IF($D3124="","",IFERROR(VLOOKUP($D3124,库存台账!$A$5:$Y$1204,11,0),0))</f>
        <v/>
      </c>
      <c r="S3124" s="26">
        <f>IF($D3124="","",ROUND(N($J3124)*N($R3124),0))</f>
        <v/>
      </c>
      <c r="T3124" s="26">
        <f>IF($D3124="","",IF($K3124&lt;&gt;"对外销售","",ROUND($Q3124-$S3124,0)))</f>
        <v/>
      </c>
      <c r="U3124" s="17" t="n"/>
      <c r="V3124" s="17" t="n"/>
      <c r="W3124" s="24">
        <f>IF($D3124="","",IF($E3124="※编码不在物料档案里","※物料编码不在档案里",IF(N($J3124)&lt;=0,"※出库数量要大于 0",IF($K3124="","※没填去向类型",IF($L3124="","※没填去向矿区",IF(AND($C3124&lt;&gt;"",$C3124&lt;=结账锁),"※日期早于已结账截止日，不能再录",IF(AND($K3124="自用消耗",COUNTIF({"一矿区";"二矿区"},$L3124)=0),"※自用消耗的去向只能是一矿区或二矿区",IF(AND($K3124="对外销售",COUNTIF({"三矿区";"六矿区"},$L3124)=0),"※对外销售的去向只能是三矿区或六矿区",IF(AND($K3124="对外销售",ROUND($Q3124,0)=0),"※外销却没有售价，请填实际售价",IF(AND($K3124="对外销售",$T3124&lt;&gt;"",$T3124&lt;0),"※这一笔外销是亏的，请核对售价",IF(IFERROR(VLOOKUP($D3124,库存台账!$A$5:$Y$1204,24,0),0)&lt;-0.001,"※这个物料账面已经变成负数了，查一下是不是漏记入库","")))))))))))</f>
        <v/>
      </c>
    </row>
    <row r="3125">
      <c r="A3125" s="24">
        <f>IF($D3125="","",COUNTA($D$4:$D3125))</f>
        <v/>
      </c>
      <c r="B3125" s="17" t="n"/>
      <c r="C3125" s="30" t="n"/>
      <c r="D3125" s="17" t="n"/>
      <c r="E3125" s="24">
        <f>IF($D3125="","",IFERROR(VLOOKUP($D3125,物料档案!$A$4:$P$1203,3,0),"※编码不在物料档案里"))</f>
        <v/>
      </c>
      <c r="F3125" s="24">
        <f>IF($D3125="","",IFERROR(VLOOKUP($D3125,物料档案!$A$4:$P$1203,4,0),"※编码不在物料档案里"))</f>
        <v/>
      </c>
      <c r="G3125" s="24">
        <f>IF($D3125="","",IFERROR(VLOOKUP($D3125,物料档案!$A$4:$P$1203,5,0),"※编码不在物料档案里"))</f>
        <v/>
      </c>
      <c r="H3125" s="24">
        <f>IF($D3125="","",IFERROR(VLOOKUP($D3125,物料档案!$A$4:$P$1203,2,0),"※编码不在物料档案里"))</f>
        <v/>
      </c>
      <c r="I3125" s="24">
        <f>IF($D3125="","",IFERROR(VLOOKUP($D3125,物料档案!$A$4:$P$1203,6,0),"※编码不在物料档案里"))</f>
        <v/>
      </c>
      <c r="J3125" s="23" t="n"/>
      <c r="K3125" s="17" t="n"/>
      <c r="L3125" s="17" t="n"/>
      <c r="M3125" s="17" t="n"/>
      <c r="N3125" s="17" t="n"/>
      <c r="O3125" s="26">
        <f>IF($D3125="","",IFERROR(VLOOKUP($D3125,物料档案!$A$4:$P$1203,10,0),0))</f>
        <v/>
      </c>
      <c r="P3125" s="32" t="n"/>
      <c r="Q3125" s="26">
        <f>IF($D3125="","",IF($K3125&lt;&gt;"对外销售",0,ROUND(N($J3125)*IF($P3125="",N($O3125),N($P3125)),0)))</f>
        <v/>
      </c>
      <c r="R3125" s="26">
        <f>IF($D3125="","",IFERROR(VLOOKUP($D3125,库存台账!$A$5:$Y$1204,11,0),0))</f>
        <v/>
      </c>
      <c r="S3125" s="26">
        <f>IF($D3125="","",ROUND(N($J3125)*N($R3125),0))</f>
        <v/>
      </c>
      <c r="T3125" s="26">
        <f>IF($D3125="","",IF($K3125&lt;&gt;"对外销售","",ROUND($Q3125-$S3125,0)))</f>
        <v/>
      </c>
      <c r="U3125" s="17" t="n"/>
      <c r="V3125" s="17" t="n"/>
      <c r="W3125" s="24">
        <f>IF($D3125="","",IF($E3125="※编码不在物料档案里","※物料编码不在档案里",IF(N($J3125)&lt;=0,"※出库数量要大于 0",IF($K3125="","※没填去向类型",IF($L3125="","※没填去向矿区",IF(AND($C3125&lt;&gt;"",$C3125&lt;=结账锁),"※日期早于已结账截止日，不能再录",IF(AND($K3125="自用消耗",COUNTIF({"一矿区";"二矿区"},$L3125)=0),"※自用消耗的去向只能是一矿区或二矿区",IF(AND($K3125="对外销售",COUNTIF({"三矿区";"六矿区"},$L3125)=0),"※对外销售的去向只能是三矿区或六矿区",IF(AND($K3125="对外销售",ROUND($Q3125,0)=0),"※外销却没有售价，请填实际售价",IF(AND($K3125="对外销售",$T3125&lt;&gt;"",$T3125&lt;0),"※这一笔外销是亏的，请核对售价",IF(IFERROR(VLOOKUP($D3125,库存台账!$A$5:$Y$1204,24,0),0)&lt;-0.001,"※这个物料账面已经变成负数了，查一下是不是漏记入库","")))))))))))</f>
        <v/>
      </c>
    </row>
    <row r="3126">
      <c r="A3126" s="24">
        <f>IF($D3126="","",COUNTA($D$4:$D3126))</f>
        <v/>
      </c>
      <c r="B3126" s="17" t="n"/>
      <c r="C3126" s="30" t="n"/>
      <c r="D3126" s="17" t="n"/>
      <c r="E3126" s="24">
        <f>IF($D3126="","",IFERROR(VLOOKUP($D3126,物料档案!$A$4:$P$1203,3,0),"※编码不在物料档案里"))</f>
        <v/>
      </c>
      <c r="F3126" s="24">
        <f>IF($D3126="","",IFERROR(VLOOKUP($D3126,物料档案!$A$4:$P$1203,4,0),"※编码不在物料档案里"))</f>
        <v/>
      </c>
      <c r="G3126" s="24">
        <f>IF($D3126="","",IFERROR(VLOOKUP($D3126,物料档案!$A$4:$P$1203,5,0),"※编码不在物料档案里"))</f>
        <v/>
      </c>
      <c r="H3126" s="24">
        <f>IF($D3126="","",IFERROR(VLOOKUP($D3126,物料档案!$A$4:$P$1203,2,0),"※编码不在物料档案里"))</f>
        <v/>
      </c>
      <c r="I3126" s="24">
        <f>IF($D3126="","",IFERROR(VLOOKUP($D3126,物料档案!$A$4:$P$1203,6,0),"※编码不在物料档案里"))</f>
        <v/>
      </c>
      <c r="J3126" s="23" t="n"/>
      <c r="K3126" s="17" t="n"/>
      <c r="L3126" s="17" t="n"/>
      <c r="M3126" s="17" t="n"/>
      <c r="N3126" s="17" t="n"/>
      <c r="O3126" s="26">
        <f>IF($D3126="","",IFERROR(VLOOKUP($D3126,物料档案!$A$4:$P$1203,10,0),0))</f>
        <v/>
      </c>
      <c r="P3126" s="32" t="n"/>
      <c r="Q3126" s="26">
        <f>IF($D3126="","",IF($K3126&lt;&gt;"对外销售",0,ROUND(N($J3126)*IF($P3126="",N($O3126),N($P3126)),0)))</f>
        <v/>
      </c>
      <c r="R3126" s="26">
        <f>IF($D3126="","",IFERROR(VLOOKUP($D3126,库存台账!$A$5:$Y$1204,11,0),0))</f>
        <v/>
      </c>
      <c r="S3126" s="26">
        <f>IF($D3126="","",ROUND(N($J3126)*N($R3126),0))</f>
        <v/>
      </c>
      <c r="T3126" s="26">
        <f>IF($D3126="","",IF($K3126&lt;&gt;"对外销售","",ROUND($Q3126-$S3126,0)))</f>
        <v/>
      </c>
      <c r="U3126" s="17" t="n"/>
      <c r="V3126" s="17" t="n"/>
      <c r="W3126" s="24">
        <f>IF($D3126="","",IF($E3126="※编码不在物料档案里","※物料编码不在档案里",IF(N($J3126)&lt;=0,"※出库数量要大于 0",IF($K3126="","※没填去向类型",IF($L3126="","※没填去向矿区",IF(AND($C3126&lt;&gt;"",$C3126&lt;=结账锁),"※日期早于已结账截止日，不能再录",IF(AND($K3126="自用消耗",COUNTIF({"一矿区";"二矿区"},$L3126)=0),"※自用消耗的去向只能是一矿区或二矿区",IF(AND($K3126="对外销售",COUNTIF({"三矿区";"六矿区"},$L3126)=0),"※对外销售的去向只能是三矿区或六矿区",IF(AND($K3126="对外销售",ROUND($Q3126,0)=0),"※外销却没有售价，请填实际售价",IF(AND($K3126="对外销售",$T3126&lt;&gt;"",$T3126&lt;0),"※这一笔外销是亏的，请核对售价",IF(IFERROR(VLOOKUP($D3126,库存台账!$A$5:$Y$1204,24,0),0)&lt;-0.001,"※这个物料账面已经变成负数了，查一下是不是漏记入库","")))))))))))</f>
        <v/>
      </c>
    </row>
    <row r="3127">
      <c r="A3127" s="24">
        <f>IF($D3127="","",COUNTA($D$4:$D3127))</f>
        <v/>
      </c>
      <c r="B3127" s="17" t="n"/>
      <c r="C3127" s="30" t="n"/>
      <c r="D3127" s="17" t="n"/>
      <c r="E3127" s="24">
        <f>IF($D3127="","",IFERROR(VLOOKUP($D3127,物料档案!$A$4:$P$1203,3,0),"※编码不在物料档案里"))</f>
        <v/>
      </c>
      <c r="F3127" s="24">
        <f>IF($D3127="","",IFERROR(VLOOKUP($D3127,物料档案!$A$4:$P$1203,4,0),"※编码不在物料档案里"))</f>
        <v/>
      </c>
      <c r="G3127" s="24">
        <f>IF($D3127="","",IFERROR(VLOOKUP($D3127,物料档案!$A$4:$P$1203,5,0),"※编码不在物料档案里"))</f>
        <v/>
      </c>
      <c r="H3127" s="24">
        <f>IF($D3127="","",IFERROR(VLOOKUP($D3127,物料档案!$A$4:$P$1203,2,0),"※编码不在物料档案里"))</f>
        <v/>
      </c>
      <c r="I3127" s="24">
        <f>IF($D3127="","",IFERROR(VLOOKUP($D3127,物料档案!$A$4:$P$1203,6,0),"※编码不在物料档案里"))</f>
        <v/>
      </c>
      <c r="J3127" s="23" t="n"/>
      <c r="K3127" s="17" t="n"/>
      <c r="L3127" s="17" t="n"/>
      <c r="M3127" s="17" t="n"/>
      <c r="N3127" s="17" t="n"/>
      <c r="O3127" s="26">
        <f>IF($D3127="","",IFERROR(VLOOKUP($D3127,物料档案!$A$4:$P$1203,10,0),0))</f>
        <v/>
      </c>
      <c r="P3127" s="32" t="n"/>
      <c r="Q3127" s="26">
        <f>IF($D3127="","",IF($K3127&lt;&gt;"对外销售",0,ROUND(N($J3127)*IF($P3127="",N($O3127),N($P3127)),0)))</f>
        <v/>
      </c>
      <c r="R3127" s="26">
        <f>IF($D3127="","",IFERROR(VLOOKUP($D3127,库存台账!$A$5:$Y$1204,11,0),0))</f>
        <v/>
      </c>
      <c r="S3127" s="26">
        <f>IF($D3127="","",ROUND(N($J3127)*N($R3127),0))</f>
        <v/>
      </c>
      <c r="T3127" s="26">
        <f>IF($D3127="","",IF($K3127&lt;&gt;"对外销售","",ROUND($Q3127-$S3127,0)))</f>
        <v/>
      </c>
      <c r="U3127" s="17" t="n"/>
      <c r="V3127" s="17" t="n"/>
      <c r="W3127" s="24">
        <f>IF($D3127="","",IF($E3127="※编码不在物料档案里","※物料编码不在档案里",IF(N($J3127)&lt;=0,"※出库数量要大于 0",IF($K3127="","※没填去向类型",IF($L3127="","※没填去向矿区",IF(AND($C3127&lt;&gt;"",$C3127&lt;=结账锁),"※日期早于已结账截止日，不能再录",IF(AND($K3127="自用消耗",COUNTIF({"一矿区";"二矿区"},$L3127)=0),"※自用消耗的去向只能是一矿区或二矿区",IF(AND($K3127="对外销售",COUNTIF({"三矿区";"六矿区"},$L3127)=0),"※对外销售的去向只能是三矿区或六矿区",IF(AND($K3127="对外销售",ROUND($Q3127,0)=0),"※外销却没有售价，请填实际售价",IF(AND($K3127="对外销售",$T3127&lt;&gt;"",$T3127&lt;0),"※这一笔外销是亏的，请核对售价",IF(IFERROR(VLOOKUP($D3127,库存台账!$A$5:$Y$1204,24,0),0)&lt;-0.001,"※这个物料账面已经变成负数了，查一下是不是漏记入库","")))))))))))</f>
        <v/>
      </c>
    </row>
    <row r="3128">
      <c r="A3128" s="24">
        <f>IF($D3128="","",COUNTA($D$4:$D3128))</f>
        <v/>
      </c>
      <c r="B3128" s="17" t="n"/>
      <c r="C3128" s="30" t="n"/>
      <c r="D3128" s="17" t="n"/>
      <c r="E3128" s="24">
        <f>IF($D3128="","",IFERROR(VLOOKUP($D3128,物料档案!$A$4:$P$1203,3,0),"※编码不在物料档案里"))</f>
        <v/>
      </c>
      <c r="F3128" s="24">
        <f>IF($D3128="","",IFERROR(VLOOKUP($D3128,物料档案!$A$4:$P$1203,4,0),"※编码不在物料档案里"))</f>
        <v/>
      </c>
      <c r="G3128" s="24">
        <f>IF($D3128="","",IFERROR(VLOOKUP($D3128,物料档案!$A$4:$P$1203,5,0),"※编码不在物料档案里"))</f>
        <v/>
      </c>
      <c r="H3128" s="24">
        <f>IF($D3128="","",IFERROR(VLOOKUP($D3128,物料档案!$A$4:$P$1203,2,0),"※编码不在物料档案里"))</f>
        <v/>
      </c>
      <c r="I3128" s="24">
        <f>IF($D3128="","",IFERROR(VLOOKUP($D3128,物料档案!$A$4:$P$1203,6,0),"※编码不在物料档案里"))</f>
        <v/>
      </c>
      <c r="J3128" s="23" t="n"/>
      <c r="K3128" s="17" t="n"/>
      <c r="L3128" s="17" t="n"/>
      <c r="M3128" s="17" t="n"/>
      <c r="N3128" s="17" t="n"/>
      <c r="O3128" s="26">
        <f>IF($D3128="","",IFERROR(VLOOKUP($D3128,物料档案!$A$4:$P$1203,10,0),0))</f>
        <v/>
      </c>
      <c r="P3128" s="32" t="n"/>
      <c r="Q3128" s="26">
        <f>IF($D3128="","",IF($K3128&lt;&gt;"对外销售",0,ROUND(N($J3128)*IF($P3128="",N($O3128),N($P3128)),0)))</f>
        <v/>
      </c>
      <c r="R3128" s="26">
        <f>IF($D3128="","",IFERROR(VLOOKUP($D3128,库存台账!$A$5:$Y$1204,11,0),0))</f>
        <v/>
      </c>
      <c r="S3128" s="26">
        <f>IF($D3128="","",ROUND(N($J3128)*N($R3128),0))</f>
        <v/>
      </c>
      <c r="T3128" s="26">
        <f>IF($D3128="","",IF($K3128&lt;&gt;"对外销售","",ROUND($Q3128-$S3128,0)))</f>
        <v/>
      </c>
      <c r="U3128" s="17" t="n"/>
      <c r="V3128" s="17" t="n"/>
      <c r="W3128" s="24">
        <f>IF($D3128="","",IF($E3128="※编码不在物料档案里","※物料编码不在档案里",IF(N($J3128)&lt;=0,"※出库数量要大于 0",IF($K3128="","※没填去向类型",IF($L3128="","※没填去向矿区",IF(AND($C3128&lt;&gt;"",$C3128&lt;=结账锁),"※日期早于已结账截止日，不能再录",IF(AND($K3128="自用消耗",COUNTIF({"一矿区";"二矿区"},$L3128)=0),"※自用消耗的去向只能是一矿区或二矿区",IF(AND($K3128="对外销售",COUNTIF({"三矿区";"六矿区"},$L3128)=0),"※对外销售的去向只能是三矿区或六矿区",IF(AND($K3128="对外销售",ROUND($Q3128,0)=0),"※外销却没有售价，请填实际售价",IF(AND($K3128="对外销售",$T3128&lt;&gt;"",$T3128&lt;0),"※这一笔外销是亏的，请核对售价",IF(IFERROR(VLOOKUP($D3128,库存台账!$A$5:$Y$1204,24,0),0)&lt;-0.001,"※这个物料账面已经变成负数了，查一下是不是漏记入库","")))))))))))</f>
        <v/>
      </c>
    </row>
    <row r="3129">
      <c r="A3129" s="24">
        <f>IF($D3129="","",COUNTA($D$4:$D3129))</f>
        <v/>
      </c>
      <c r="B3129" s="17" t="n"/>
      <c r="C3129" s="30" t="n"/>
      <c r="D3129" s="17" t="n"/>
      <c r="E3129" s="24">
        <f>IF($D3129="","",IFERROR(VLOOKUP($D3129,物料档案!$A$4:$P$1203,3,0),"※编码不在物料档案里"))</f>
        <v/>
      </c>
      <c r="F3129" s="24">
        <f>IF($D3129="","",IFERROR(VLOOKUP($D3129,物料档案!$A$4:$P$1203,4,0),"※编码不在物料档案里"))</f>
        <v/>
      </c>
      <c r="G3129" s="24">
        <f>IF($D3129="","",IFERROR(VLOOKUP($D3129,物料档案!$A$4:$P$1203,5,0),"※编码不在物料档案里"))</f>
        <v/>
      </c>
      <c r="H3129" s="24">
        <f>IF($D3129="","",IFERROR(VLOOKUP($D3129,物料档案!$A$4:$P$1203,2,0),"※编码不在物料档案里"))</f>
        <v/>
      </c>
      <c r="I3129" s="24">
        <f>IF($D3129="","",IFERROR(VLOOKUP($D3129,物料档案!$A$4:$P$1203,6,0),"※编码不在物料档案里"))</f>
        <v/>
      </c>
      <c r="J3129" s="23" t="n"/>
      <c r="K3129" s="17" t="n"/>
      <c r="L3129" s="17" t="n"/>
      <c r="M3129" s="17" t="n"/>
      <c r="N3129" s="17" t="n"/>
      <c r="O3129" s="26">
        <f>IF($D3129="","",IFERROR(VLOOKUP($D3129,物料档案!$A$4:$P$1203,10,0),0))</f>
        <v/>
      </c>
      <c r="P3129" s="32" t="n"/>
      <c r="Q3129" s="26">
        <f>IF($D3129="","",IF($K3129&lt;&gt;"对外销售",0,ROUND(N($J3129)*IF($P3129="",N($O3129),N($P3129)),0)))</f>
        <v/>
      </c>
      <c r="R3129" s="26">
        <f>IF($D3129="","",IFERROR(VLOOKUP($D3129,库存台账!$A$5:$Y$1204,11,0),0))</f>
        <v/>
      </c>
      <c r="S3129" s="26">
        <f>IF($D3129="","",ROUND(N($J3129)*N($R3129),0))</f>
        <v/>
      </c>
      <c r="T3129" s="26">
        <f>IF($D3129="","",IF($K3129&lt;&gt;"对外销售","",ROUND($Q3129-$S3129,0)))</f>
        <v/>
      </c>
      <c r="U3129" s="17" t="n"/>
      <c r="V3129" s="17" t="n"/>
      <c r="W3129" s="24">
        <f>IF($D3129="","",IF($E3129="※编码不在物料档案里","※物料编码不在档案里",IF(N($J3129)&lt;=0,"※出库数量要大于 0",IF($K3129="","※没填去向类型",IF($L3129="","※没填去向矿区",IF(AND($C3129&lt;&gt;"",$C3129&lt;=结账锁),"※日期早于已结账截止日，不能再录",IF(AND($K3129="自用消耗",COUNTIF({"一矿区";"二矿区"},$L3129)=0),"※自用消耗的去向只能是一矿区或二矿区",IF(AND($K3129="对外销售",COUNTIF({"三矿区";"六矿区"},$L3129)=0),"※对外销售的去向只能是三矿区或六矿区",IF(AND($K3129="对外销售",ROUND($Q3129,0)=0),"※外销却没有售价，请填实际售价",IF(AND($K3129="对外销售",$T3129&lt;&gt;"",$T3129&lt;0),"※这一笔外销是亏的，请核对售价",IF(IFERROR(VLOOKUP($D3129,库存台账!$A$5:$Y$1204,24,0),0)&lt;-0.001,"※这个物料账面已经变成负数了，查一下是不是漏记入库","")))))))))))</f>
        <v/>
      </c>
    </row>
    <row r="3130">
      <c r="A3130" s="24">
        <f>IF($D3130="","",COUNTA($D$4:$D3130))</f>
        <v/>
      </c>
      <c r="B3130" s="17" t="n"/>
      <c r="C3130" s="30" t="n"/>
      <c r="D3130" s="17" t="n"/>
      <c r="E3130" s="24">
        <f>IF($D3130="","",IFERROR(VLOOKUP($D3130,物料档案!$A$4:$P$1203,3,0),"※编码不在物料档案里"))</f>
        <v/>
      </c>
      <c r="F3130" s="24">
        <f>IF($D3130="","",IFERROR(VLOOKUP($D3130,物料档案!$A$4:$P$1203,4,0),"※编码不在物料档案里"))</f>
        <v/>
      </c>
      <c r="G3130" s="24">
        <f>IF($D3130="","",IFERROR(VLOOKUP($D3130,物料档案!$A$4:$P$1203,5,0),"※编码不在物料档案里"))</f>
        <v/>
      </c>
      <c r="H3130" s="24">
        <f>IF($D3130="","",IFERROR(VLOOKUP($D3130,物料档案!$A$4:$P$1203,2,0),"※编码不在物料档案里"))</f>
        <v/>
      </c>
      <c r="I3130" s="24">
        <f>IF($D3130="","",IFERROR(VLOOKUP($D3130,物料档案!$A$4:$P$1203,6,0),"※编码不在物料档案里"))</f>
        <v/>
      </c>
      <c r="J3130" s="23" t="n"/>
      <c r="K3130" s="17" t="n"/>
      <c r="L3130" s="17" t="n"/>
      <c r="M3130" s="17" t="n"/>
      <c r="N3130" s="17" t="n"/>
      <c r="O3130" s="26">
        <f>IF($D3130="","",IFERROR(VLOOKUP($D3130,物料档案!$A$4:$P$1203,10,0),0))</f>
        <v/>
      </c>
      <c r="P3130" s="32" t="n"/>
      <c r="Q3130" s="26">
        <f>IF($D3130="","",IF($K3130&lt;&gt;"对外销售",0,ROUND(N($J3130)*IF($P3130="",N($O3130),N($P3130)),0)))</f>
        <v/>
      </c>
      <c r="R3130" s="26">
        <f>IF($D3130="","",IFERROR(VLOOKUP($D3130,库存台账!$A$5:$Y$1204,11,0),0))</f>
        <v/>
      </c>
      <c r="S3130" s="26">
        <f>IF($D3130="","",ROUND(N($J3130)*N($R3130),0))</f>
        <v/>
      </c>
      <c r="T3130" s="26">
        <f>IF($D3130="","",IF($K3130&lt;&gt;"对外销售","",ROUND($Q3130-$S3130,0)))</f>
        <v/>
      </c>
      <c r="U3130" s="17" t="n"/>
      <c r="V3130" s="17" t="n"/>
      <c r="W3130" s="24">
        <f>IF($D3130="","",IF($E3130="※编码不在物料档案里","※物料编码不在档案里",IF(N($J3130)&lt;=0,"※出库数量要大于 0",IF($K3130="","※没填去向类型",IF($L3130="","※没填去向矿区",IF(AND($C3130&lt;&gt;"",$C3130&lt;=结账锁),"※日期早于已结账截止日，不能再录",IF(AND($K3130="自用消耗",COUNTIF({"一矿区";"二矿区"},$L3130)=0),"※自用消耗的去向只能是一矿区或二矿区",IF(AND($K3130="对外销售",COUNTIF({"三矿区";"六矿区"},$L3130)=0),"※对外销售的去向只能是三矿区或六矿区",IF(AND($K3130="对外销售",ROUND($Q3130,0)=0),"※外销却没有售价，请填实际售价",IF(AND($K3130="对外销售",$T3130&lt;&gt;"",$T3130&lt;0),"※这一笔外销是亏的，请核对售价",IF(IFERROR(VLOOKUP($D3130,库存台账!$A$5:$Y$1204,24,0),0)&lt;-0.001,"※这个物料账面已经变成负数了，查一下是不是漏记入库","")))))))))))</f>
        <v/>
      </c>
    </row>
    <row r="3131">
      <c r="A3131" s="24">
        <f>IF($D3131="","",COUNTA($D$4:$D3131))</f>
        <v/>
      </c>
      <c r="B3131" s="17" t="n"/>
      <c r="C3131" s="30" t="n"/>
      <c r="D3131" s="17" t="n"/>
      <c r="E3131" s="24">
        <f>IF($D3131="","",IFERROR(VLOOKUP($D3131,物料档案!$A$4:$P$1203,3,0),"※编码不在物料档案里"))</f>
        <v/>
      </c>
      <c r="F3131" s="24">
        <f>IF($D3131="","",IFERROR(VLOOKUP($D3131,物料档案!$A$4:$P$1203,4,0),"※编码不在物料档案里"))</f>
        <v/>
      </c>
      <c r="G3131" s="24">
        <f>IF($D3131="","",IFERROR(VLOOKUP($D3131,物料档案!$A$4:$P$1203,5,0),"※编码不在物料档案里"))</f>
        <v/>
      </c>
      <c r="H3131" s="24">
        <f>IF($D3131="","",IFERROR(VLOOKUP($D3131,物料档案!$A$4:$P$1203,2,0),"※编码不在物料档案里"))</f>
        <v/>
      </c>
      <c r="I3131" s="24">
        <f>IF($D3131="","",IFERROR(VLOOKUP($D3131,物料档案!$A$4:$P$1203,6,0),"※编码不在物料档案里"))</f>
        <v/>
      </c>
      <c r="J3131" s="23" t="n"/>
      <c r="K3131" s="17" t="n"/>
      <c r="L3131" s="17" t="n"/>
      <c r="M3131" s="17" t="n"/>
      <c r="N3131" s="17" t="n"/>
      <c r="O3131" s="26">
        <f>IF($D3131="","",IFERROR(VLOOKUP($D3131,物料档案!$A$4:$P$1203,10,0),0))</f>
        <v/>
      </c>
      <c r="P3131" s="32" t="n"/>
      <c r="Q3131" s="26">
        <f>IF($D3131="","",IF($K3131&lt;&gt;"对外销售",0,ROUND(N($J3131)*IF($P3131="",N($O3131),N($P3131)),0)))</f>
        <v/>
      </c>
      <c r="R3131" s="26">
        <f>IF($D3131="","",IFERROR(VLOOKUP($D3131,库存台账!$A$5:$Y$1204,11,0),0))</f>
        <v/>
      </c>
      <c r="S3131" s="26">
        <f>IF($D3131="","",ROUND(N($J3131)*N($R3131),0))</f>
        <v/>
      </c>
      <c r="T3131" s="26">
        <f>IF($D3131="","",IF($K3131&lt;&gt;"对外销售","",ROUND($Q3131-$S3131,0)))</f>
        <v/>
      </c>
      <c r="U3131" s="17" t="n"/>
      <c r="V3131" s="17" t="n"/>
      <c r="W3131" s="24">
        <f>IF($D3131="","",IF($E3131="※编码不在物料档案里","※物料编码不在档案里",IF(N($J3131)&lt;=0,"※出库数量要大于 0",IF($K3131="","※没填去向类型",IF($L3131="","※没填去向矿区",IF(AND($C3131&lt;&gt;"",$C3131&lt;=结账锁),"※日期早于已结账截止日，不能再录",IF(AND($K3131="自用消耗",COUNTIF({"一矿区";"二矿区"},$L3131)=0),"※自用消耗的去向只能是一矿区或二矿区",IF(AND($K3131="对外销售",COUNTIF({"三矿区";"六矿区"},$L3131)=0),"※对外销售的去向只能是三矿区或六矿区",IF(AND($K3131="对外销售",ROUND($Q3131,0)=0),"※外销却没有售价，请填实际售价",IF(AND($K3131="对外销售",$T3131&lt;&gt;"",$T3131&lt;0),"※这一笔外销是亏的，请核对售价",IF(IFERROR(VLOOKUP($D3131,库存台账!$A$5:$Y$1204,24,0),0)&lt;-0.001,"※这个物料账面已经变成负数了，查一下是不是漏记入库","")))))))))))</f>
        <v/>
      </c>
    </row>
    <row r="3132">
      <c r="A3132" s="24">
        <f>IF($D3132="","",COUNTA($D$4:$D3132))</f>
        <v/>
      </c>
      <c r="B3132" s="17" t="n"/>
      <c r="C3132" s="30" t="n"/>
      <c r="D3132" s="17" t="n"/>
      <c r="E3132" s="24">
        <f>IF($D3132="","",IFERROR(VLOOKUP($D3132,物料档案!$A$4:$P$1203,3,0),"※编码不在物料档案里"))</f>
        <v/>
      </c>
      <c r="F3132" s="24">
        <f>IF($D3132="","",IFERROR(VLOOKUP($D3132,物料档案!$A$4:$P$1203,4,0),"※编码不在物料档案里"))</f>
        <v/>
      </c>
      <c r="G3132" s="24">
        <f>IF($D3132="","",IFERROR(VLOOKUP($D3132,物料档案!$A$4:$P$1203,5,0),"※编码不在物料档案里"))</f>
        <v/>
      </c>
      <c r="H3132" s="24">
        <f>IF($D3132="","",IFERROR(VLOOKUP($D3132,物料档案!$A$4:$P$1203,2,0),"※编码不在物料档案里"))</f>
        <v/>
      </c>
      <c r="I3132" s="24">
        <f>IF($D3132="","",IFERROR(VLOOKUP($D3132,物料档案!$A$4:$P$1203,6,0),"※编码不在物料档案里"))</f>
        <v/>
      </c>
      <c r="J3132" s="23" t="n"/>
      <c r="K3132" s="17" t="n"/>
      <c r="L3132" s="17" t="n"/>
      <c r="M3132" s="17" t="n"/>
      <c r="N3132" s="17" t="n"/>
      <c r="O3132" s="26">
        <f>IF($D3132="","",IFERROR(VLOOKUP($D3132,物料档案!$A$4:$P$1203,10,0),0))</f>
        <v/>
      </c>
      <c r="P3132" s="32" t="n"/>
      <c r="Q3132" s="26">
        <f>IF($D3132="","",IF($K3132&lt;&gt;"对外销售",0,ROUND(N($J3132)*IF($P3132="",N($O3132),N($P3132)),0)))</f>
        <v/>
      </c>
      <c r="R3132" s="26">
        <f>IF($D3132="","",IFERROR(VLOOKUP($D3132,库存台账!$A$5:$Y$1204,11,0),0))</f>
        <v/>
      </c>
      <c r="S3132" s="26">
        <f>IF($D3132="","",ROUND(N($J3132)*N($R3132),0))</f>
        <v/>
      </c>
      <c r="T3132" s="26">
        <f>IF($D3132="","",IF($K3132&lt;&gt;"对外销售","",ROUND($Q3132-$S3132,0)))</f>
        <v/>
      </c>
      <c r="U3132" s="17" t="n"/>
      <c r="V3132" s="17" t="n"/>
      <c r="W3132" s="24">
        <f>IF($D3132="","",IF($E3132="※编码不在物料档案里","※物料编码不在档案里",IF(N($J3132)&lt;=0,"※出库数量要大于 0",IF($K3132="","※没填去向类型",IF($L3132="","※没填去向矿区",IF(AND($C3132&lt;&gt;"",$C3132&lt;=结账锁),"※日期早于已结账截止日，不能再录",IF(AND($K3132="自用消耗",COUNTIF({"一矿区";"二矿区"},$L3132)=0),"※自用消耗的去向只能是一矿区或二矿区",IF(AND($K3132="对外销售",COUNTIF({"三矿区";"六矿区"},$L3132)=0),"※对外销售的去向只能是三矿区或六矿区",IF(AND($K3132="对外销售",ROUND($Q3132,0)=0),"※外销却没有售价，请填实际售价",IF(AND($K3132="对外销售",$T3132&lt;&gt;"",$T3132&lt;0),"※这一笔外销是亏的，请核对售价",IF(IFERROR(VLOOKUP($D3132,库存台账!$A$5:$Y$1204,24,0),0)&lt;-0.001,"※这个物料账面已经变成负数了，查一下是不是漏记入库","")))))))))))</f>
        <v/>
      </c>
    </row>
    <row r="3133">
      <c r="A3133" s="24">
        <f>IF($D3133="","",COUNTA($D$4:$D3133))</f>
        <v/>
      </c>
      <c r="B3133" s="17" t="n"/>
      <c r="C3133" s="30" t="n"/>
      <c r="D3133" s="17" t="n"/>
      <c r="E3133" s="24">
        <f>IF($D3133="","",IFERROR(VLOOKUP($D3133,物料档案!$A$4:$P$1203,3,0),"※编码不在物料档案里"))</f>
        <v/>
      </c>
      <c r="F3133" s="24">
        <f>IF($D3133="","",IFERROR(VLOOKUP($D3133,物料档案!$A$4:$P$1203,4,0),"※编码不在物料档案里"))</f>
        <v/>
      </c>
      <c r="G3133" s="24">
        <f>IF($D3133="","",IFERROR(VLOOKUP($D3133,物料档案!$A$4:$P$1203,5,0),"※编码不在物料档案里"))</f>
        <v/>
      </c>
      <c r="H3133" s="24">
        <f>IF($D3133="","",IFERROR(VLOOKUP($D3133,物料档案!$A$4:$P$1203,2,0),"※编码不在物料档案里"))</f>
        <v/>
      </c>
      <c r="I3133" s="24">
        <f>IF($D3133="","",IFERROR(VLOOKUP($D3133,物料档案!$A$4:$P$1203,6,0),"※编码不在物料档案里"))</f>
        <v/>
      </c>
      <c r="J3133" s="23" t="n"/>
      <c r="K3133" s="17" t="n"/>
      <c r="L3133" s="17" t="n"/>
      <c r="M3133" s="17" t="n"/>
      <c r="N3133" s="17" t="n"/>
      <c r="O3133" s="26">
        <f>IF($D3133="","",IFERROR(VLOOKUP($D3133,物料档案!$A$4:$P$1203,10,0),0))</f>
        <v/>
      </c>
      <c r="P3133" s="32" t="n"/>
      <c r="Q3133" s="26">
        <f>IF($D3133="","",IF($K3133&lt;&gt;"对外销售",0,ROUND(N($J3133)*IF($P3133="",N($O3133),N($P3133)),0)))</f>
        <v/>
      </c>
      <c r="R3133" s="26">
        <f>IF($D3133="","",IFERROR(VLOOKUP($D3133,库存台账!$A$5:$Y$1204,11,0),0))</f>
        <v/>
      </c>
      <c r="S3133" s="26">
        <f>IF($D3133="","",ROUND(N($J3133)*N($R3133),0))</f>
        <v/>
      </c>
      <c r="T3133" s="26">
        <f>IF($D3133="","",IF($K3133&lt;&gt;"对外销售","",ROUND($Q3133-$S3133,0)))</f>
        <v/>
      </c>
      <c r="U3133" s="17" t="n"/>
      <c r="V3133" s="17" t="n"/>
      <c r="W3133" s="24">
        <f>IF($D3133="","",IF($E3133="※编码不在物料档案里","※物料编码不在档案里",IF(N($J3133)&lt;=0,"※出库数量要大于 0",IF($K3133="","※没填去向类型",IF($L3133="","※没填去向矿区",IF(AND($C3133&lt;&gt;"",$C3133&lt;=结账锁),"※日期早于已结账截止日，不能再录",IF(AND($K3133="自用消耗",COUNTIF({"一矿区";"二矿区"},$L3133)=0),"※自用消耗的去向只能是一矿区或二矿区",IF(AND($K3133="对外销售",COUNTIF({"三矿区";"六矿区"},$L3133)=0),"※对外销售的去向只能是三矿区或六矿区",IF(AND($K3133="对外销售",ROUND($Q3133,0)=0),"※外销却没有售价，请填实际售价",IF(AND($K3133="对外销售",$T3133&lt;&gt;"",$T3133&lt;0),"※这一笔外销是亏的，请核对售价",IF(IFERROR(VLOOKUP($D3133,库存台账!$A$5:$Y$1204,24,0),0)&lt;-0.001,"※这个物料账面已经变成负数了，查一下是不是漏记入库","")))))))))))</f>
        <v/>
      </c>
    </row>
    <row r="3134">
      <c r="A3134" s="24">
        <f>IF($D3134="","",COUNTA($D$4:$D3134))</f>
        <v/>
      </c>
      <c r="B3134" s="17" t="n"/>
      <c r="C3134" s="30" t="n"/>
      <c r="D3134" s="17" t="n"/>
      <c r="E3134" s="24">
        <f>IF($D3134="","",IFERROR(VLOOKUP($D3134,物料档案!$A$4:$P$1203,3,0),"※编码不在物料档案里"))</f>
        <v/>
      </c>
      <c r="F3134" s="24">
        <f>IF($D3134="","",IFERROR(VLOOKUP($D3134,物料档案!$A$4:$P$1203,4,0),"※编码不在物料档案里"))</f>
        <v/>
      </c>
      <c r="G3134" s="24">
        <f>IF($D3134="","",IFERROR(VLOOKUP($D3134,物料档案!$A$4:$P$1203,5,0),"※编码不在物料档案里"))</f>
        <v/>
      </c>
      <c r="H3134" s="24">
        <f>IF($D3134="","",IFERROR(VLOOKUP($D3134,物料档案!$A$4:$P$1203,2,0),"※编码不在物料档案里"))</f>
        <v/>
      </c>
      <c r="I3134" s="24">
        <f>IF($D3134="","",IFERROR(VLOOKUP($D3134,物料档案!$A$4:$P$1203,6,0),"※编码不在物料档案里"))</f>
        <v/>
      </c>
      <c r="J3134" s="23" t="n"/>
      <c r="K3134" s="17" t="n"/>
      <c r="L3134" s="17" t="n"/>
      <c r="M3134" s="17" t="n"/>
      <c r="N3134" s="17" t="n"/>
      <c r="O3134" s="26">
        <f>IF($D3134="","",IFERROR(VLOOKUP($D3134,物料档案!$A$4:$P$1203,10,0),0))</f>
        <v/>
      </c>
      <c r="P3134" s="32" t="n"/>
      <c r="Q3134" s="26">
        <f>IF($D3134="","",IF($K3134&lt;&gt;"对外销售",0,ROUND(N($J3134)*IF($P3134="",N($O3134),N($P3134)),0)))</f>
        <v/>
      </c>
      <c r="R3134" s="26">
        <f>IF($D3134="","",IFERROR(VLOOKUP($D3134,库存台账!$A$5:$Y$1204,11,0),0))</f>
        <v/>
      </c>
      <c r="S3134" s="26">
        <f>IF($D3134="","",ROUND(N($J3134)*N($R3134),0))</f>
        <v/>
      </c>
      <c r="T3134" s="26">
        <f>IF($D3134="","",IF($K3134&lt;&gt;"对外销售","",ROUND($Q3134-$S3134,0)))</f>
        <v/>
      </c>
      <c r="U3134" s="17" t="n"/>
      <c r="V3134" s="17" t="n"/>
      <c r="W3134" s="24">
        <f>IF($D3134="","",IF($E3134="※编码不在物料档案里","※物料编码不在档案里",IF(N($J3134)&lt;=0,"※出库数量要大于 0",IF($K3134="","※没填去向类型",IF($L3134="","※没填去向矿区",IF(AND($C3134&lt;&gt;"",$C3134&lt;=结账锁),"※日期早于已结账截止日，不能再录",IF(AND($K3134="自用消耗",COUNTIF({"一矿区";"二矿区"},$L3134)=0),"※自用消耗的去向只能是一矿区或二矿区",IF(AND($K3134="对外销售",COUNTIF({"三矿区";"六矿区"},$L3134)=0),"※对外销售的去向只能是三矿区或六矿区",IF(AND($K3134="对外销售",ROUND($Q3134,0)=0),"※外销却没有售价，请填实际售价",IF(AND($K3134="对外销售",$T3134&lt;&gt;"",$T3134&lt;0),"※这一笔外销是亏的，请核对售价",IF(IFERROR(VLOOKUP($D3134,库存台账!$A$5:$Y$1204,24,0),0)&lt;-0.001,"※这个物料账面已经变成负数了，查一下是不是漏记入库","")))))))))))</f>
        <v/>
      </c>
    </row>
    <row r="3135">
      <c r="A3135" s="24">
        <f>IF($D3135="","",COUNTA($D$4:$D3135))</f>
        <v/>
      </c>
      <c r="B3135" s="17" t="n"/>
      <c r="C3135" s="30" t="n"/>
      <c r="D3135" s="17" t="n"/>
      <c r="E3135" s="24">
        <f>IF($D3135="","",IFERROR(VLOOKUP($D3135,物料档案!$A$4:$P$1203,3,0),"※编码不在物料档案里"))</f>
        <v/>
      </c>
      <c r="F3135" s="24">
        <f>IF($D3135="","",IFERROR(VLOOKUP($D3135,物料档案!$A$4:$P$1203,4,0),"※编码不在物料档案里"))</f>
        <v/>
      </c>
      <c r="G3135" s="24">
        <f>IF($D3135="","",IFERROR(VLOOKUP($D3135,物料档案!$A$4:$P$1203,5,0),"※编码不在物料档案里"))</f>
        <v/>
      </c>
      <c r="H3135" s="24">
        <f>IF($D3135="","",IFERROR(VLOOKUP($D3135,物料档案!$A$4:$P$1203,2,0),"※编码不在物料档案里"))</f>
        <v/>
      </c>
      <c r="I3135" s="24">
        <f>IF($D3135="","",IFERROR(VLOOKUP($D3135,物料档案!$A$4:$P$1203,6,0),"※编码不在物料档案里"))</f>
        <v/>
      </c>
      <c r="J3135" s="23" t="n"/>
      <c r="K3135" s="17" t="n"/>
      <c r="L3135" s="17" t="n"/>
      <c r="M3135" s="17" t="n"/>
      <c r="N3135" s="17" t="n"/>
      <c r="O3135" s="26">
        <f>IF($D3135="","",IFERROR(VLOOKUP($D3135,物料档案!$A$4:$P$1203,10,0),0))</f>
        <v/>
      </c>
      <c r="P3135" s="32" t="n"/>
      <c r="Q3135" s="26">
        <f>IF($D3135="","",IF($K3135&lt;&gt;"对外销售",0,ROUND(N($J3135)*IF($P3135="",N($O3135),N($P3135)),0)))</f>
        <v/>
      </c>
      <c r="R3135" s="26">
        <f>IF($D3135="","",IFERROR(VLOOKUP($D3135,库存台账!$A$5:$Y$1204,11,0),0))</f>
        <v/>
      </c>
      <c r="S3135" s="26">
        <f>IF($D3135="","",ROUND(N($J3135)*N($R3135),0))</f>
        <v/>
      </c>
      <c r="T3135" s="26">
        <f>IF($D3135="","",IF($K3135&lt;&gt;"对外销售","",ROUND($Q3135-$S3135,0)))</f>
        <v/>
      </c>
      <c r="U3135" s="17" t="n"/>
      <c r="V3135" s="17" t="n"/>
      <c r="W3135" s="24">
        <f>IF($D3135="","",IF($E3135="※编码不在物料档案里","※物料编码不在档案里",IF(N($J3135)&lt;=0,"※出库数量要大于 0",IF($K3135="","※没填去向类型",IF($L3135="","※没填去向矿区",IF(AND($C3135&lt;&gt;"",$C3135&lt;=结账锁),"※日期早于已结账截止日，不能再录",IF(AND($K3135="自用消耗",COUNTIF({"一矿区";"二矿区"},$L3135)=0),"※自用消耗的去向只能是一矿区或二矿区",IF(AND($K3135="对外销售",COUNTIF({"三矿区";"六矿区"},$L3135)=0),"※对外销售的去向只能是三矿区或六矿区",IF(AND($K3135="对外销售",ROUND($Q3135,0)=0),"※外销却没有售价，请填实际售价",IF(AND($K3135="对外销售",$T3135&lt;&gt;"",$T3135&lt;0),"※这一笔外销是亏的，请核对售价",IF(IFERROR(VLOOKUP($D3135,库存台账!$A$5:$Y$1204,24,0),0)&lt;-0.001,"※这个物料账面已经变成负数了，查一下是不是漏记入库","")))))))))))</f>
        <v/>
      </c>
    </row>
    <row r="3136">
      <c r="A3136" s="24">
        <f>IF($D3136="","",COUNTA($D$4:$D3136))</f>
        <v/>
      </c>
      <c r="B3136" s="17" t="n"/>
      <c r="C3136" s="30" t="n"/>
      <c r="D3136" s="17" t="n"/>
      <c r="E3136" s="24">
        <f>IF($D3136="","",IFERROR(VLOOKUP($D3136,物料档案!$A$4:$P$1203,3,0),"※编码不在物料档案里"))</f>
        <v/>
      </c>
      <c r="F3136" s="24">
        <f>IF($D3136="","",IFERROR(VLOOKUP($D3136,物料档案!$A$4:$P$1203,4,0),"※编码不在物料档案里"))</f>
        <v/>
      </c>
      <c r="G3136" s="24">
        <f>IF($D3136="","",IFERROR(VLOOKUP($D3136,物料档案!$A$4:$P$1203,5,0),"※编码不在物料档案里"))</f>
        <v/>
      </c>
      <c r="H3136" s="24">
        <f>IF($D3136="","",IFERROR(VLOOKUP($D3136,物料档案!$A$4:$P$1203,2,0),"※编码不在物料档案里"))</f>
        <v/>
      </c>
      <c r="I3136" s="24">
        <f>IF($D3136="","",IFERROR(VLOOKUP($D3136,物料档案!$A$4:$P$1203,6,0),"※编码不在物料档案里"))</f>
        <v/>
      </c>
      <c r="J3136" s="23" t="n"/>
      <c r="K3136" s="17" t="n"/>
      <c r="L3136" s="17" t="n"/>
      <c r="M3136" s="17" t="n"/>
      <c r="N3136" s="17" t="n"/>
      <c r="O3136" s="26">
        <f>IF($D3136="","",IFERROR(VLOOKUP($D3136,物料档案!$A$4:$P$1203,10,0),0))</f>
        <v/>
      </c>
      <c r="P3136" s="32" t="n"/>
      <c r="Q3136" s="26">
        <f>IF($D3136="","",IF($K3136&lt;&gt;"对外销售",0,ROUND(N($J3136)*IF($P3136="",N($O3136),N($P3136)),0)))</f>
        <v/>
      </c>
      <c r="R3136" s="26">
        <f>IF($D3136="","",IFERROR(VLOOKUP($D3136,库存台账!$A$5:$Y$1204,11,0),0))</f>
        <v/>
      </c>
      <c r="S3136" s="26">
        <f>IF($D3136="","",ROUND(N($J3136)*N($R3136),0))</f>
        <v/>
      </c>
      <c r="T3136" s="26">
        <f>IF($D3136="","",IF($K3136&lt;&gt;"对外销售","",ROUND($Q3136-$S3136,0)))</f>
        <v/>
      </c>
      <c r="U3136" s="17" t="n"/>
      <c r="V3136" s="17" t="n"/>
      <c r="W3136" s="24">
        <f>IF($D3136="","",IF($E3136="※编码不在物料档案里","※物料编码不在档案里",IF(N($J3136)&lt;=0,"※出库数量要大于 0",IF($K3136="","※没填去向类型",IF($L3136="","※没填去向矿区",IF(AND($C3136&lt;&gt;"",$C3136&lt;=结账锁),"※日期早于已结账截止日，不能再录",IF(AND($K3136="自用消耗",COUNTIF({"一矿区";"二矿区"},$L3136)=0),"※自用消耗的去向只能是一矿区或二矿区",IF(AND($K3136="对外销售",COUNTIF({"三矿区";"六矿区"},$L3136)=0),"※对外销售的去向只能是三矿区或六矿区",IF(AND($K3136="对外销售",ROUND($Q3136,0)=0),"※外销却没有售价，请填实际售价",IF(AND($K3136="对外销售",$T3136&lt;&gt;"",$T3136&lt;0),"※这一笔外销是亏的，请核对售价",IF(IFERROR(VLOOKUP($D3136,库存台账!$A$5:$Y$1204,24,0),0)&lt;-0.001,"※这个物料账面已经变成负数了，查一下是不是漏记入库","")))))))))))</f>
        <v/>
      </c>
    </row>
    <row r="3137">
      <c r="A3137" s="24">
        <f>IF($D3137="","",COUNTA($D$4:$D3137))</f>
        <v/>
      </c>
      <c r="B3137" s="17" t="n"/>
      <c r="C3137" s="30" t="n"/>
      <c r="D3137" s="17" t="n"/>
      <c r="E3137" s="24">
        <f>IF($D3137="","",IFERROR(VLOOKUP($D3137,物料档案!$A$4:$P$1203,3,0),"※编码不在物料档案里"))</f>
        <v/>
      </c>
      <c r="F3137" s="24">
        <f>IF($D3137="","",IFERROR(VLOOKUP($D3137,物料档案!$A$4:$P$1203,4,0),"※编码不在物料档案里"))</f>
        <v/>
      </c>
      <c r="G3137" s="24">
        <f>IF($D3137="","",IFERROR(VLOOKUP($D3137,物料档案!$A$4:$P$1203,5,0),"※编码不在物料档案里"))</f>
        <v/>
      </c>
      <c r="H3137" s="24">
        <f>IF($D3137="","",IFERROR(VLOOKUP($D3137,物料档案!$A$4:$P$1203,2,0),"※编码不在物料档案里"))</f>
        <v/>
      </c>
      <c r="I3137" s="24">
        <f>IF($D3137="","",IFERROR(VLOOKUP($D3137,物料档案!$A$4:$P$1203,6,0),"※编码不在物料档案里"))</f>
        <v/>
      </c>
      <c r="J3137" s="23" t="n"/>
      <c r="K3137" s="17" t="n"/>
      <c r="L3137" s="17" t="n"/>
      <c r="M3137" s="17" t="n"/>
      <c r="N3137" s="17" t="n"/>
      <c r="O3137" s="26">
        <f>IF($D3137="","",IFERROR(VLOOKUP($D3137,物料档案!$A$4:$P$1203,10,0),0))</f>
        <v/>
      </c>
      <c r="P3137" s="32" t="n"/>
      <c r="Q3137" s="26">
        <f>IF($D3137="","",IF($K3137&lt;&gt;"对外销售",0,ROUND(N($J3137)*IF($P3137="",N($O3137),N($P3137)),0)))</f>
        <v/>
      </c>
      <c r="R3137" s="26">
        <f>IF($D3137="","",IFERROR(VLOOKUP($D3137,库存台账!$A$5:$Y$1204,11,0),0))</f>
        <v/>
      </c>
      <c r="S3137" s="26">
        <f>IF($D3137="","",ROUND(N($J3137)*N($R3137),0))</f>
        <v/>
      </c>
      <c r="T3137" s="26">
        <f>IF($D3137="","",IF($K3137&lt;&gt;"对外销售","",ROUND($Q3137-$S3137,0)))</f>
        <v/>
      </c>
      <c r="U3137" s="17" t="n"/>
      <c r="V3137" s="17" t="n"/>
      <c r="W3137" s="24">
        <f>IF($D3137="","",IF($E3137="※编码不在物料档案里","※物料编码不在档案里",IF(N($J3137)&lt;=0,"※出库数量要大于 0",IF($K3137="","※没填去向类型",IF($L3137="","※没填去向矿区",IF(AND($C3137&lt;&gt;"",$C3137&lt;=结账锁),"※日期早于已结账截止日，不能再录",IF(AND($K3137="自用消耗",COUNTIF({"一矿区";"二矿区"},$L3137)=0),"※自用消耗的去向只能是一矿区或二矿区",IF(AND($K3137="对外销售",COUNTIF({"三矿区";"六矿区"},$L3137)=0),"※对外销售的去向只能是三矿区或六矿区",IF(AND($K3137="对外销售",ROUND($Q3137,0)=0),"※外销却没有售价，请填实际售价",IF(AND($K3137="对外销售",$T3137&lt;&gt;"",$T3137&lt;0),"※这一笔外销是亏的，请核对售价",IF(IFERROR(VLOOKUP($D3137,库存台账!$A$5:$Y$1204,24,0),0)&lt;-0.001,"※这个物料账面已经变成负数了，查一下是不是漏记入库","")))))))))))</f>
        <v/>
      </c>
    </row>
    <row r="3138">
      <c r="A3138" s="24">
        <f>IF($D3138="","",COUNTA($D$4:$D3138))</f>
        <v/>
      </c>
      <c r="B3138" s="17" t="n"/>
      <c r="C3138" s="30" t="n"/>
      <c r="D3138" s="17" t="n"/>
      <c r="E3138" s="24">
        <f>IF($D3138="","",IFERROR(VLOOKUP($D3138,物料档案!$A$4:$P$1203,3,0),"※编码不在物料档案里"))</f>
        <v/>
      </c>
      <c r="F3138" s="24">
        <f>IF($D3138="","",IFERROR(VLOOKUP($D3138,物料档案!$A$4:$P$1203,4,0),"※编码不在物料档案里"))</f>
        <v/>
      </c>
      <c r="G3138" s="24">
        <f>IF($D3138="","",IFERROR(VLOOKUP($D3138,物料档案!$A$4:$P$1203,5,0),"※编码不在物料档案里"))</f>
        <v/>
      </c>
      <c r="H3138" s="24">
        <f>IF($D3138="","",IFERROR(VLOOKUP($D3138,物料档案!$A$4:$P$1203,2,0),"※编码不在物料档案里"))</f>
        <v/>
      </c>
      <c r="I3138" s="24">
        <f>IF($D3138="","",IFERROR(VLOOKUP($D3138,物料档案!$A$4:$P$1203,6,0),"※编码不在物料档案里"))</f>
        <v/>
      </c>
      <c r="J3138" s="23" t="n"/>
      <c r="K3138" s="17" t="n"/>
      <c r="L3138" s="17" t="n"/>
      <c r="M3138" s="17" t="n"/>
      <c r="N3138" s="17" t="n"/>
      <c r="O3138" s="26">
        <f>IF($D3138="","",IFERROR(VLOOKUP($D3138,物料档案!$A$4:$P$1203,10,0),0))</f>
        <v/>
      </c>
      <c r="P3138" s="32" t="n"/>
      <c r="Q3138" s="26">
        <f>IF($D3138="","",IF($K3138&lt;&gt;"对外销售",0,ROUND(N($J3138)*IF($P3138="",N($O3138),N($P3138)),0)))</f>
        <v/>
      </c>
      <c r="R3138" s="26">
        <f>IF($D3138="","",IFERROR(VLOOKUP($D3138,库存台账!$A$5:$Y$1204,11,0),0))</f>
        <v/>
      </c>
      <c r="S3138" s="26">
        <f>IF($D3138="","",ROUND(N($J3138)*N($R3138),0))</f>
        <v/>
      </c>
      <c r="T3138" s="26">
        <f>IF($D3138="","",IF($K3138&lt;&gt;"对外销售","",ROUND($Q3138-$S3138,0)))</f>
        <v/>
      </c>
      <c r="U3138" s="17" t="n"/>
      <c r="V3138" s="17" t="n"/>
      <c r="W3138" s="24">
        <f>IF($D3138="","",IF($E3138="※编码不在物料档案里","※物料编码不在档案里",IF(N($J3138)&lt;=0,"※出库数量要大于 0",IF($K3138="","※没填去向类型",IF($L3138="","※没填去向矿区",IF(AND($C3138&lt;&gt;"",$C3138&lt;=结账锁),"※日期早于已结账截止日，不能再录",IF(AND($K3138="自用消耗",COUNTIF({"一矿区";"二矿区"},$L3138)=0),"※自用消耗的去向只能是一矿区或二矿区",IF(AND($K3138="对外销售",COUNTIF({"三矿区";"六矿区"},$L3138)=0),"※对外销售的去向只能是三矿区或六矿区",IF(AND($K3138="对外销售",ROUND($Q3138,0)=0),"※外销却没有售价，请填实际售价",IF(AND($K3138="对外销售",$T3138&lt;&gt;"",$T3138&lt;0),"※这一笔外销是亏的，请核对售价",IF(IFERROR(VLOOKUP($D3138,库存台账!$A$5:$Y$1204,24,0),0)&lt;-0.001,"※这个物料账面已经变成负数了，查一下是不是漏记入库","")))))))))))</f>
        <v/>
      </c>
    </row>
    <row r="3139">
      <c r="A3139" s="24">
        <f>IF($D3139="","",COUNTA($D$4:$D3139))</f>
        <v/>
      </c>
      <c r="B3139" s="17" t="n"/>
      <c r="C3139" s="30" t="n"/>
      <c r="D3139" s="17" t="n"/>
      <c r="E3139" s="24">
        <f>IF($D3139="","",IFERROR(VLOOKUP($D3139,物料档案!$A$4:$P$1203,3,0),"※编码不在物料档案里"))</f>
        <v/>
      </c>
      <c r="F3139" s="24">
        <f>IF($D3139="","",IFERROR(VLOOKUP($D3139,物料档案!$A$4:$P$1203,4,0),"※编码不在物料档案里"))</f>
        <v/>
      </c>
      <c r="G3139" s="24">
        <f>IF($D3139="","",IFERROR(VLOOKUP($D3139,物料档案!$A$4:$P$1203,5,0),"※编码不在物料档案里"))</f>
        <v/>
      </c>
      <c r="H3139" s="24">
        <f>IF($D3139="","",IFERROR(VLOOKUP($D3139,物料档案!$A$4:$P$1203,2,0),"※编码不在物料档案里"))</f>
        <v/>
      </c>
      <c r="I3139" s="24">
        <f>IF($D3139="","",IFERROR(VLOOKUP($D3139,物料档案!$A$4:$P$1203,6,0),"※编码不在物料档案里"))</f>
        <v/>
      </c>
      <c r="J3139" s="23" t="n"/>
      <c r="K3139" s="17" t="n"/>
      <c r="L3139" s="17" t="n"/>
      <c r="M3139" s="17" t="n"/>
      <c r="N3139" s="17" t="n"/>
      <c r="O3139" s="26">
        <f>IF($D3139="","",IFERROR(VLOOKUP($D3139,物料档案!$A$4:$P$1203,10,0),0))</f>
        <v/>
      </c>
      <c r="P3139" s="32" t="n"/>
      <c r="Q3139" s="26">
        <f>IF($D3139="","",IF($K3139&lt;&gt;"对外销售",0,ROUND(N($J3139)*IF($P3139="",N($O3139),N($P3139)),0)))</f>
        <v/>
      </c>
      <c r="R3139" s="26">
        <f>IF($D3139="","",IFERROR(VLOOKUP($D3139,库存台账!$A$5:$Y$1204,11,0),0))</f>
        <v/>
      </c>
      <c r="S3139" s="26">
        <f>IF($D3139="","",ROUND(N($J3139)*N($R3139),0))</f>
        <v/>
      </c>
      <c r="T3139" s="26">
        <f>IF($D3139="","",IF($K3139&lt;&gt;"对外销售","",ROUND($Q3139-$S3139,0)))</f>
        <v/>
      </c>
      <c r="U3139" s="17" t="n"/>
      <c r="V3139" s="17" t="n"/>
      <c r="W3139" s="24">
        <f>IF($D3139="","",IF($E3139="※编码不在物料档案里","※物料编码不在档案里",IF(N($J3139)&lt;=0,"※出库数量要大于 0",IF($K3139="","※没填去向类型",IF($L3139="","※没填去向矿区",IF(AND($C3139&lt;&gt;"",$C3139&lt;=结账锁),"※日期早于已结账截止日，不能再录",IF(AND($K3139="自用消耗",COUNTIF({"一矿区";"二矿区"},$L3139)=0),"※自用消耗的去向只能是一矿区或二矿区",IF(AND($K3139="对外销售",COUNTIF({"三矿区";"六矿区"},$L3139)=0),"※对外销售的去向只能是三矿区或六矿区",IF(AND($K3139="对外销售",ROUND($Q3139,0)=0),"※外销却没有售价，请填实际售价",IF(AND($K3139="对外销售",$T3139&lt;&gt;"",$T3139&lt;0),"※这一笔外销是亏的，请核对售价",IF(IFERROR(VLOOKUP($D3139,库存台账!$A$5:$Y$1204,24,0),0)&lt;-0.001,"※这个物料账面已经变成负数了，查一下是不是漏记入库","")))))))))))</f>
        <v/>
      </c>
    </row>
    <row r="3140">
      <c r="A3140" s="24">
        <f>IF($D3140="","",COUNTA($D$4:$D3140))</f>
        <v/>
      </c>
      <c r="B3140" s="17" t="n"/>
      <c r="C3140" s="30" t="n"/>
      <c r="D3140" s="17" t="n"/>
      <c r="E3140" s="24">
        <f>IF($D3140="","",IFERROR(VLOOKUP($D3140,物料档案!$A$4:$P$1203,3,0),"※编码不在物料档案里"))</f>
        <v/>
      </c>
      <c r="F3140" s="24">
        <f>IF($D3140="","",IFERROR(VLOOKUP($D3140,物料档案!$A$4:$P$1203,4,0),"※编码不在物料档案里"))</f>
        <v/>
      </c>
      <c r="G3140" s="24">
        <f>IF($D3140="","",IFERROR(VLOOKUP($D3140,物料档案!$A$4:$P$1203,5,0),"※编码不在物料档案里"))</f>
        <v/>
      </c>
      <c r="H3140" s="24">
        <f>IF($D3140="","",IFERROR(VLOOKUP($D3140,物料档案!$A$4:$P$1203,2,0),"※编码不在物料档案里"))</f>
        <v/>
      </c>
      <c r="I3140" s="24">
        <f>IF($D3140="","",IFERROR(VLOOKUP($D3140,物料档案!$A$4:$P$1203,6,0),"※编码不在物料档案里"))</f>
        <v/>
      </c>
      <c r="J3140" s="23" t="n"/>
      <c r="K3140" s="17" t="n"/>
      <c r="L3140" s="17" t="n"/>
      <c r="M3140" s="17" t="n"/>
      <c r="N3140" s="17" t="n"/>
      <c r="O3140" s="26">
        <f>IF($D3140="","",IFERROR(VLOOKUP($D3140,物料档案!$A$4:$P$1203,10,0),0))</f>
        <v/>
      </c>
      <c r="P3140" s="32" t="n"/>
      <c r="Q3140" s="26">
        <f>IF($D3140="","",IF($K3140&lt;&gt;"对外销售",0,ROUND(N($J3140)*IF($P3140="",N($O3140),N($P3140)),0)))</f>
        <v/>
      </c>
      <c r="R3140" s="26">
        <f>IF($D3140="","",IFERROR(VLOOKUP($D3140,库存台账!$A$5:$Y$1204,11,0),0))</f>
        <v/>
      </c>
      <c r="S3140" s="26">
        <f>IF($D3140="","",ROUND(N($J3140)*N($R3140),0))</f>
        <v/>
      </c>
      <c r="T3140" s="26">
        <f>IF($D3140="","",IF($K3140&lt;&gt;"对外销售","",ROUND($Q3140-$S3140,0)))</f>
        <v/>
      </c>
      <c r="U3140" s="17" t="n"/>
      <c r="V3140" s="17" t="n"/>
      <c r="W3140" s="24">
        <f>IF($D3140="","",IF($E3140="※编码不在物料档案里","※物料编码不在档案里",IF(N($J3140)&lt;=0,"※出库数量要大于 0",IF($K3140="","※没填去向类型",IF($L3140="","※没填去向矿区",IF(AND($C3140&lt;&gt;"",$C3140&lt;=结账锁),"※日期早于已结账截止日，不能再录",IF(AND($K3140="自用消耗",COUNTIF({"一矿区";"二矿区"},$L3140)=0),"※自用消耗的去向只能是一矿区或二矿区",IF(AND($K3140="对外销售",COUNTIF({"三矿区";"六矿区"},$L3140)=0),"※对外销售的去向只能是三矿区或六矿区",IF(AND($K3140="对外销售",ROUND($Q3140,0)=0),"※外销却没有售价，请填实际售价",IF(AND($K3140="对外销售",$T3140&lt;&gt;"",$T3140&lt;0),"※这一笔外销是亏的，请核对售价",IF(IFERROR(VLOOKUP($D3140,库存台账!$A$5:$Y$1204,24,0),0)&lt;-0.001,"※这个物料账面已经变成负数了，查一下是不是漏记入库","")))))))))))</f>
        <v/>
      </c>
    </row>
    <row r="3141">
      <c r="A3141" s="24">
        <f>IF($D3141="","",COUNTA($D$4:$D3141))</f>
        <v/>
      </c>
      <c r="B3141" s="17" t="n"/>
      <c r="C3141" s="30" t="n"/>
      <c r="D3141" s="17" t="n"/>
      <c r="E3141" s="24">
        <f>IF($D3141="","",IFERROR(VLOOKUP($D3141,物料档案!$A$4:$P$1203,3,0),"※编码不在物料档案里"))</f>
        <v/>
      </c>
      <c r="F3141" s="24">
        <f>IF($D3141="","",IFERROR(VLOOKUP($D3141,物料档案!$A$4:$P$1203,4,0),"※编码不在物料档案里"))</f>
        <v/>
      </c>
      <c r="G3141" s="24">
        <f>IF($D3141="","",IFERROR(VLOOKUP($D3141,物料档案!$A$4:$P$1203,5,0),"※编码不在物料档案里"))</f>
        <v/>
      </c>
      <c r="H3141" s="24">
        <f>IF($D3141="","",IFERROR(VLOOKUP($D3141,物料档案!$A$4:$P$1203,2,0),"※编码不在物料档案里"))</f>
        <v/>
      </c>
      <c r="I3141" s="24">
        <f>IF($D3141="","",IFERROR(VLOOKUP($D3141,物料档案!$A$4:$P$1203,6,0),"※编码不在物料档案里"))</f>
        <v/>
      </c>
      <c r="J3141" s="23" t="n"/>
      <c r="K3141" s="17" t="n"/>
      <c r="L3141" s="17" t="n"/>
      <c r="M3141" s="17" t="n"/>
      <c r="N3141" s="17" t="n"/>
      <c r="O3141" s="26">
        <f>IF($D3141="","",IFERROR(VLOOKUP($D3141,物料档案!$A$4:$P$1203,10,0),0))</f>
        <v/>
      </c>
      <c r="P3141" s="32" t="n"/>
      <c r="Q3141" s="26">
        <f>IF($D3141="","",IF($K3141&lt;&gt;"对外销售",0,ROUND(N($J3141)*IF($P3141="",N($O3141),N($P3141)),0)))</f>
        <v/>
      </c>
      <c r="R3141" s="26">
        <f>IF($D3141="","",IFERROR(VLOOKUP($D3141,库存台账!$A$5:$Y$1204,11,0),0))</f>
        <v/>
      </c>
      <c r="S3141" s="26">
        <f>IF($D3141="","",ROUND(N($J3141)*N($R3141),0))</f>
        <v/>
      </c>
      <c r="T3141" s="26">
        <f>IF($D3141="","",IF($K3141&lt;&gt;"对外销售","",ROUND($Q3141-$S3141,0)))</f>
        <v/>
      </c>
      <c r="U3141" s="17" t="n"/>
      <c r="V3141" s="17" t="n"/>
      <c r="W3141" s="24">
        <f>IF($D3141="","",IF($E3141="※编码不在物料档案里","※物料编码不在档案里",IF(N($J3141)&lt;=0,"※出库数量要大于 0",IF($K3141="","※没填去向类型",IF($L3141="","※没填去向矿区",IF(AND($C3141&lt;&gt;"",$C3141&lt;=结账锁),"※日期早于已结账截止日，不能再录",IF(AND($K3141="自用消耗",COUNTIF({"一矿区";"二矿区"},$L3141)=0),"※自用消耗的去向只能是一矿区或二矿区",IF(AND($K3141="对外销售",COUNTIF({"三矿区";"六矿区"},$L3141)=0),"※对外销售的去向只能是三矿区或六矿区",IF(AND($K3141="对外销售",ROUND($Q3141,0)=0),"※外销却没有售价，请填实际售价",IF(AND($K3141="对外销售",$T3141&lt;&gt;"",$T3141&lt;0),"※这一笔外销是亏的，请核对售价",IF(IFERROR(VLOOKUP($D3141,库存台账!$A$5:$Y$1204,24,0),0)&lt;-0.001,"※这个物料账面已经变成负数了，查一下是不是漏记入库","")))))))))))</f>
        <v/>
      </c>
    </row>
    <row r="3142">
      <c r="A3142" s="24">
        <f>IF($D3142="","",COUNTA($D$4:$D3142))</f>
        <v/>
      </c>
      <c r="B3142" s="17" t="n"/>
      <c r="C3142" s="30" t="n"/>
      <c r="D3142" s="17" t="n"/>
      <c r="E3142" s="24">
        <f>IF($D3142="","",IFERROR(VLOOKUP($D3142,物料档案!$A$4:$P$1203,3,0),"※编码不在物料档案里"))</f>
        <v/>
      </c>
      <c r="F3142" s="24">
        <f>IF($D3142="","",IFERROR(VLOOKUP($D3142,物料档案!$A$4:$P$1203,4,0),"※编码不在物料档案里"))</f>
        <v/>
      </c>
      <c r="G3142" s="24">
        <f>IF($D3142="","",IFERROR(VLOOKUP($D3142,物料档案!$A$4:$P$1203,5,0),"※编码不在物料档案里"))</f>
        <v/>
      </c>
      <c r="H3142" s="24">
        <f>IF($D3142="","",IFERROR(VLOOKUP($D3142,物料档案!$A$4:$P$1203,2,0),"※编码不在物料档案里"))</f>
        <v/>
      </c>
      <c r="I3142" s="24">
        <f>IF($D3142="","",IFERROR(VLOOKUP($D3142,物料档案!$A$4:$P$1203,6,0),"※编码不在物料档案里"))</f>
        <v/>
      </c>
      <c r="J3142" s="23" t="n"/>
      <c r="K3142" s="17" t="n"/>
      <c r="L3142" s="17" t="n"/>
      <c r="M3142" s="17" t="n"/>
      <c r="N3142" s="17" t="n"/>
      <c r="O3142" s="26">
        <f>IF($D3142="","",IFERROR(VLOOKUP($D3142,物料档案!$A$4:$P$1203,10,0),0))</f>
        <v/>
      </c>
      <c r="P3142" s="32" t="n"/>
      <c r="Q3142" s="26">
        <f>IF($D3142="","",IF($K3142&lt;&gt;"对外销售",0,ROUND(N($J3142)*IF($P3142="",N($O3142),N($P3142)),0)))</f>
        <v/>
      </c>
      <c r="R3142" s="26">
        <f>IF($D3142="","",IFERROR(VLOOKUP($D3142,库存台账!$A$5:$Y$1204,11,0),0))</f>
        <v/>
      </c>
      <c r="S3142" s="26">
        <f>IF($D3142="","",ROUND(N($J3142)*N($R3142),0))</f>
        <v/>
      </c>
      <c r="T3142" s="26">
        <f>IF($D3142="","",IF($K3142&lt;&gt;"对外销售","",ROUND($Q3142-$S3142,0)))</f>
        <v/>
      </c>
      <c r="U3142" s="17" t="n"/>
      <c r="V3142" s="17" t="n"/>
      <c r="W3142" s="24">
        <f>IF($D3142="","",IF($E3142="※编码不在物料档案里","※物料编码不在档案里",IF(N($J3142)&lt;=0,"※出库数量要大于 0",IF($K3142="","※没填去向类型",IF($L3142="","※没填去向矿区",IF(AND($C3142&lt;&gt;"",$C3142&lt;=结账锁),"※日期早于已结账截止日，不能再录",IF(AND($K3142="自用消耗",COUNTIF({"一矿区";"二矿区"},$L3142)=0),"※自用消耗的去向只能是一矿区或二矿区",IF(AND($K3142="对外销售",COUNTIF({"三矿区";"六矿区"},$L3142)=0),"※对外销售的去向只能是三矿区或六矿区",IF(AND($K3142="对外销售",ROUND($Q3142,0)=0),"※外销却没有售价，请填实际售价",IF(AND($K3142="对外销售",$T3142&lt;&gt;"",$T3142&lt;0),"※这一笔外销是亏的，请核对售价",IF(IFERROR(VLOOKUP($D3142,库存台账!$A$5:$Y$1204,24,0),0)&lt;-0.001,"※这个物料账面已经变成负数了，查一下是不是漏记入库","")))))))))))</f>
        <v/>
      </c>
    </row>
    <row r="3143">
      <c r="A3143" s="24">
        <f>IF($D3143="","",COUNTA($D$4:$D3143))</f>
        <v/>
      </c>
      <c r="B3143" s="17" t="n"/>
      <c r="C3143" s="30" t="n"/>
      <c r="D3143" s="17" t="n"/>
      <c r="E3143" s="24">
        <f>IF($D3143="","",IFERROR(VLOOKUP($D3143,物料档案!$A$4:$P$1203,3,0),"※编码不在物料档案里"))</f>
        <v/>
      </c>
      <c r="F3143" s="24">
        <f>IF($D3143="","",IFERROR(VLOOKUP($D3143,物料档案!$A$4:$P$1203,4,0),"※编码不在物料档案里"))</f>
        <v/>
      </c>
      <c r="G3143" s="24">
        <f>IF($D3143="","",IFERROR(VLOOKUP($D3143,物料档案!$A$4:$P$1203,5,0),"※编码不在物料档案里"))</f>
        <v/>
      </c>
      <c r="H3143" s="24">
        <f>IF($D3143="","",IFERROR(VLOOKUP($D3143,物料档案!$A$4:$P$1203,2,0),"※编码不在物料档案里"))</f>
        <v/>
      </c>
      <c r="I3143" s="24">
        <f>IF($D3143="","",IFERROR(VLOOKUP($D3143,物料档案!$A$4:$P$1203,6,0),"※编码不在物料档案里"))</f>
        <v/>
      </c>
      <c r="J3143" s="23" t="n"/>
      <c r="K3143" s="17" t="n"/>
      <c r="L3143" s="17" t="n"/>
      <c r="M3143" s="17" t="n"/>
      <c r="N3143" s="17" t="n"/>
      <c r="O3143" s="26">
        <f>IF($D3143="","",IFERROR(VLOOKUP($D3143,物料档案!$A$4:$P$1203,10,0),0))</f>
        <v/>
      </c>
      <c r="P3143" s="32" t="n"/>
      <c r="Q3143" s="26">
        <f>IF($D3143="","",IF($K3143&lt;&gt;"对外销售",0,ROUND(N($J3143)*IF($P3143="",N($O3143),N($P3143)),0)))</f>
        <v/>
      </c>
      <c r="R3143" s="26">
        <f>IF($D3143="","",IFERROR(VLOOKUP($D3143,库存台账!$A$5:$Y$1204,11,0),0))</f>
        <v/>
      </c>
      <c r="S3143" s="26">
        <f>IF($D3143="","",ROUND(N($J3143)*N($R3143),0))</f>
        <v/>
      </c>
      <c r="T3143" s="26">
        <f>IF($D3143="","",IF($K3143&lt;&gt;"对外销售","",ROUND($Q3143-$S3143,0)))</f>
        <v/>
      </c>
      <c r="U3143" s="17" t="n"/>
      <c r="V3143" s="17" t="n"/>
      <c r="W3143" s="24">
        <f>IF($D3143="","",IF($E3143="※编码不在物料档案里","※物料编码不在档案里",IF(N($J3143)&lt;=0,"※出库数量要大于 0",IF($K3143="","※没填去向类型",IF($L3143="","※没填去向矿区",IF(AND($C3143&lt;&gt;"",$C3143&lt;=结账锁),"※日期早于已结账截止日，不能再录",IF(AND($K3143="自用消耗",COUNTIF({"一矿区";"二矿区"},$L3143)=0),"※自用消耗的去向只能是一矿区或二矿区",IF(AND($K3143="对外销售",COUNTIF({"三矿区";"六矿区"},$L3143)=0),"※对外销售的去向只能是三矿区或六矿区",IF(AND($K3143="对外销售",ROUND($Q3143,0)=0),"※外销却没有售价，请填实际售价",IF(AND($K3143="对外销售",$T3143&lt;&gt;"",$T3143&lt;0),"※这一笔外销是亏的，请核对售价",IF(IFERROR(VLOOKUP($D3143,库存台账!$A$5:$Y$1204,24,0),0)&lt;-0.001,"※这个物料账面已经变成负数了，查一下是不是漏记入库","")))))))))))</f>
        <v/>
      </c>
    </row>
    <row r="3144">
      <c r="A3144" s="24">
        <f>IF($D3144="","",COUNTA($D$4:$D3144))</f>
        <v/>
      </c>
      <c r="B3144" s="17" t="n"/>
      <c r="C3144" s="30" t="n"/>
      <c r="D3144" s="17" t="n"/>
      <c r="E3144" s="24">
        <f>IF($D3144="","",IFERROR(VLOOKUP($D3144,物料档案!$A$4:$P$1203,3,0),"※编码不在物料档案里"))</f>
        <v/>
      </c>
      <c r="F3144" s="24">
        <f>IF($D3144="","",IFERROR(VLOOKUP($D3144,物料档案!$A$4:$P$1203,4,0),"※编码不在物料档案里"))</f>
        <v/>
      </c>
      <c r="G3144" s="24">
        <f>IF($D3144="","",IFERROR(VLOOKUP($D3144,物料档案!$A$4:$P$1203,5,0),"※编码不在物料档案里"))</f>
        <v/>
      </c>
      <c r="H3144" s="24">
        <f>IF($D3144="","",IFERROR(VLOOKUP($D3144,物料档案!$A$4:$P$1203,2,0),"※编码不在物料档案里"))</f>
        <v/>
      </c>
      <c r="I3144" s="24">
        <f>IF($D3144="","",IFERROR(VLOOKUP($D3144,物料档案!$A$4:$P$1203,6,0),"※编码不在物料档案里"))</f>
        <v/>
      </c>
      <c r="J3144" s="23" t="n"/>
      <c r="K3144" s="17" t="n"/>
      <c r="L3144" s="17" t="n"/>
      <c r="M3144" s="17" t="n"/>
      <c r="N3144" s="17" t="n"/>
      <c r="O3144" s="26">
        <f>IF($D3144="","",IFERROR(VLOOKUP($D3144,物料档案!$A$4:$P$1203,10,0),0))</f>
        <v/>
      </c>
      <c r="P3144" s="32" t="n"/>
      <c r="Q3144" s="26">
        <f>IF($D3144="","",IF($K3144&lt;&gt;"对外销售",0,ROUND(N($J3144)*IF($P3144="",N($O3144),N($P3144)),0)))</f>
        <v/>
      </c>
      <c r="R3144" s="26">
        <f>IF($D3144="","",IFERROR(VLOOKUP($D3144,库存台账!$A$5:$Y$1204,11,0),0))</f>
        <v/>
      </c>
      <c r="S3144" s="26">
        <f>IF($D3144="","",ROUND(N($J3144)*N($R3144),0))</f>
        <v/>
      </c>
      <c r="T3144" s="26">
        <f>IF($D3144="","",IF($K3144&lt;&gt;"对外销售","",ROUND($Q3144-$S3144,0)))</f>
        <v/>
      </c>
      <c r="U3144" s="17" t="n"/>
      <c r="V3144" s="17" t="n"/>
      <c r="W3144" s="24">
        <f>IF($D3144="","",IF($E3144="※编码不在物料档案里","※物料编码不在档案里",IF(N($J3144)&lt;=0,"※出库数量要大于 0",IF($K3144="","※没填去向类型",IF($L3144="","※没填去向矿区",IF(AND($C3144&lt;&gt;"",$C3144&lt;=结账锁),"※日期早于已结账截止日，不能再录",IF(AND($K3144="自用消耗",COUNTIF({"一矿区";"二矿区"},$L3144)=0),"※自用消耗的去向只能是一矿区或二矿区",IF(AND($K3144="对外销售",COUNTIF({"三矿区";"六矿区"},$L3144)=0),"※对外销售的去向只能是三矿区或六矿区",IF(AND($K3144="对外销售",ROUND($Q3144,0)=0),"※外销却没有售价，请填实际售价",IF(AND($K3144="对外销售",$T3144&lt;&gt;"",$T3144&lt;0),"※这一笔外销是亏的，请核对售价",IF(IFERROR(VLOOKUP($D3144,库存台账!$A$5:$Y$1204,24,0),0)&lt;-0.001,"※这个物料账面已经变成负数了，查一下是不是漏记入库","")))))))))))</f>
        <v/>
      </c>
    </row>
    <row r="3145">
      <c r="A3145" s="24">
        <f>IF($D3145="","",COUNTA($D$4:$D3145))</f>
        <v/>
      </c>
      <c r="B3145" s="17" t="n"/>
      <c r="C3145" s="30" t="n"/>
      <c r="D3145" s="17" t="n"/>
      <c r="E3145" s="24">
        <f>IF($D3145="","",IFERROR(VLOOKUP($D3145,物料档案!$A$4:$P$1203,3,0),"※编码不在物料档案里"))</f>
        <v/>
      </c>
      <c r="F3145" s="24">
        <f>IF($D3145="","",IFERROR(VLOOKUP($D3145,物料档案!$A$4:$P$1203,4,0),"※编码不在物料档案里"))</f>
        <v/>
      </c>
      <c r="G3145" s="24">
        <f>IF($D3145="","",IFERROR(VLOOKUP($D3145,物料档案!$A$4:$P$1203,5,0),"※编码不在物料档案里"))</f>
        <v/>
      </c>
      <c r="H3145" s="24">
        <f>IF($D3145="","",IFERROR(VLOOKUP($D3145,物料档案!$A$4:$P$1203,2,0),"※编码不在物料档案里"))</f>
        <v/>
      </c>
      <c r="I3145" s="24">
        <f>IF($D3145="","",IFERROR(VLOOKUP($D3145,物料档案!$A$4:$P$1203,6,0),"※编码不在物料档案里"))</f>
        <v/>
      </c>
      <c r="J3145" s="23" t="n"/>
      <c r="K3145" s="17" t="n"/>
      <c r="L3145" s="17" t="n"/>
      <c r="M3145" s="17" t="n"/>
      <c r="N3145" s="17" t="n"/>
      <c r="O3145" s="26">
        <f>IF($D3145="","",IFERROR(VLOOKUP($D3145,物料档案!$A$4:$P$1203,10,0),0))</f>
        <v/>
      </c>
      <c r="P3145" s="32" t="n"/>
      <c r="Q3145" s="26">
        <f>IF($D3145="","",IF($K3145&lt;&gt;"对外销售",0,ROUND(N($J3145)*IF($P3145="",N($O3145),N($P3145)),0)))</f>
        <v/>
      </c>
      <c r="R3145" s="26">
        <f>IF($D3145="","",IFERROR(VLOOKUP($D3145,库存台账!$A$5:$Y$1204,11,0),0))</f>
        <v/>
      </c>
      <c r="S3145" s="26">
        <f>IF($D3145="","",ROUND(N($J3145)*N($R3145),0))</f>
        <v/>
      </c>
      <c r="T3145" s="26">
        <f>IF($D3145="","",IF($K3145&lt;&gt;"对外销售","",ROUND($Q3145-$S3145,0)))</f>
        <v/>
      </c>
      <c r="U3145" s="17" t="n"/>
      <c r="V3145" s="17" t="n"/>
      <c r="W3145" s="24">
        <f>IF($D3145="","",IF($E3145="※编码不在物料档案里","※物料编码不在档案里",IF(N($J3145)&lt;=0,"※出库数量要大于 0",IF($K3145="","※没填去向类型",IF($L3145="","※没填去向矿区",IF(AND($C3145&lt;&gt;"",$C3145&lt;=结账锁),"※日期早于已结账截止日，不能再录",IF(AND($K3145="自用消耗",COUNTIF({"一矿区";"二矿区"},$L3145)=0),"※自用消耗的去向只能是一矿区或二矿区",IF(AND($K3145="对外销售",COUNTIF({"三矿区";"六矿区"},$L3145)=0),"※对外销售的去向只能是三矿区或六矿区",IF(AND($K3145="对外销售",ROUND($Q3145,0)=0),"※外销却没有售价，请填实际售价",IF(AND($K3145="对外销售",$T3145&lt;&gt;"",$T3145&lt;0),"※这一笔外销是亏的，请核对售价",IF(IFERROR(VLOOKUP($D3145,库存台账!$A$5:$Y$1204,24,0),0)&lt;-0.001,"※这个物料账面已经变成负数了，查一下是不是漏记入库","")))))))))))</f>
        <v/>
      </c>
    </row>
    <row r="3146">
      <c r="A3146" s="24">
        <f>IF($D3146="","",COUNTA($D$4:$D3146))</f>
        <v/>
      </c>
      <c r="B3146" s="17" t="n"/>
      <c r="C3146" s="30" t="n"/>
      <c r="D3146" s="17" t="n"/>
      <c r="E3146" s="24">
        <f>IF($D3146="","",IFERROR(VLOOKUP($D3146,物料档案!$A$4:$P$1203,3,0),"※编码不在物料档案里"))</f>
        <v/>
      </c>
      <c r="F3146" s="24">
        <f>IF($D3146="","",IFERROR(VLOOKUP($D3146,物料档案!$A$4:$P$1203,4,0),"※编码不在物料档案里"))</f>
        <v/>
      </c>
      <c r="G3146" s="24">
        <f>IF($D3146="","",IFERROR(VLOOKUP($D3146,物料档案!$A$4:$P$1203,5,0),"※编码不在物料档案里"))</f>
        <v/>
      </c>
      <c r="H3146" s="24">
        <f>IF($D3146="","",IFERROR(VLOOKUP($D3146,物料档案!$A$4:$P$1203,2,0),"※编码不在物料档案里"))</f>
        <v/>
      </c>
      <c r="I3146" s="24">
        <f>IF($D3146="","",IFERROR(VLOOKUP($D3146,物料档案!$A$4:$P$1203,6,0),"※编码不在物料档案里"))</f>
        <v/>
      </c>
      <c r="J3146" s="23" t="n"/>
      <c r="K3146" s="17" t="n"/>
      <c r="L3146" s="17" t="n"/>
      <c r="M3146" s="17" t="n"/>
      <c r="N3146" s="17" t="n"/>
      <c r="O3146" s="26">
        <f>IF($D3146="","",IFERROR(VLOOKUP($D3146,物料档案!$A$4:$P$1203,10,0),0))</f>
        <v/>
      </c>
      <c r="P3146" s="32" t="n"/>
      <c r="Q3146" s="26">
        <f>IF($D3146="","",IF($K3146&lt;&gt;"对外销售",0,ROUND(N($J3146)*IF($P3146="",N($O3146),N($P3146)),0)))</f>
        <v/>
      </c>
      <c r="R3146" s="26">
        <f>IF($D3146="","",IFERROR(VLOOKUP($D3146,库存台账!$A$5:$Y$1204,11,0),0))</f>
        <v/>
      </c>
      <c r="S3146" s="26">
        <f>IF($D3146="","",ROUND(N($J3146)*N($R3146),0))</f>
        <v/>
      </c>
      <c r="T3146" s="26">
        <f>IF($D3146="","",IF($K3146&lt;&gt;"对外销售","",ROUND($Q3146-$S3146,0)))</f>
        <v/>
      </c>
      <c r="U3146" s="17" t="n"/>
      <c r="V3146" s="17" t="n"/>
      <c r="W3146" s="24">
        <f>IF($D3146="","",IF($E3146="※编码不在物料档案里","※物料编码不在档案里",IF(N($J3146)&lt;=0,"※出库数量要大于 0",IF($K3146="","※没填去向类型",IF($L3146="","※没填去向矿区",IF(AND($C3146&lt;&gt;"",$C3146&lt;=结账锁),"※日期早于已结账截止日，不能再录",IF(AND($K3146="自用消耗",COUNTIF({"一矿区";"二矿区"},$L3146)=0),"※自用消耗的去向只能是一矿区或二矿区",IF(AND($K3146="对外销售",COUNTIF({"三矿区";"六矿区"},$L3146)=0),"※对外销售的去向只能是三矿区或六矿区",IF(AND($K3146="对外销售",ROUND($Q3146,0)=0),"※外销却没有售价，请填实际售价",IF(AND($K3146="对外销售",$T3146&lt;&gt;"",$T3146&lt;0),"※这一笔外销是亏的，请核对售价",IF(IFERROR(VLOOKUP($D3146,库存台账!$A$5:$Y$1204,24,0),0)&lt;-0.001,"※这个物料账面已经变成负数了，查一下是不是漏记入库","")))))))))))</f>
        <v/>
      </c>
    </row>
    <row r="3147">
      <c r="A3147" s="24">
        <f>IF($D3147="","",COUNTA($D$4:$D3147))</f>
        <v/>
      </c>
      <c r="B3147" s="17" t="n"/>
      <c r="C3147" s="30" t="n"/>
      <c r="D3147" s="17" t="n"/>
      <c r="E3147" s="24">
        <f>IF($D3147="","",IFERROR(VLOOKUP($D3147,物料档案!$A$4:$P$1203,3,0),"※编码不在物料档案里"))</f>
        <v/>
      </c>
      <c r="F3147" s="24">
        <f>IF($D3147="","",IFERROR(VLOOKUP($D3147,物料档案!$A$4:$P$1203,4,0),"※编码不在物料档案里"))</f>
        <v/>
      </c>
      <c r="G3147" s="24">
        <f>IF($D3147="","",IFERROR(VLOOKUP($D3147,物料档案!$A$4:$P$1203,5,0),"※编码不在物料档案里"))</f>
        <v/>
      </c>
      <c r="H3147" s="24">
        <f>IF($D3147="","",IFERROR(VLOOKUP($D3147,物料档案!$A$4:$P$1203,2,0),"※编码不在物料档案里"))</f>
        <v/>
      </c>
      <c r="I3147" s="24">
        <f>IF($D3147="","",IFERROR(VLOOKUP($D3147,物料档案!$A$4:$P$1203,6,0),"※编码不在物料档案里"))</f>
        <v/>
      </c>
      <c r="J3147" s="23" t="n"/>
      <c r="K3147" s="17" t="n"/>
      <c r="L3147" s="17" t="n"/>
      <c r="M3147" s="17" t="n"/>
      <c r="N3147" s="17" t="n"/>
      <c r="O3147" s="26">
        <f>IF($D3147="","",IFERROR(VLOOKUP($D3147,物料档案!$A$4:$P$1203,10,0),0))</f>
        <v/>
      </c>
      <c r="P3147" s="32" t="n"/>
      <c r="Q3147" s="26">
        <f>IF($D3147="","",IF($K3147&lt;&gt;"对外销售",0,ROUND(N($J3147)*IF($P3147="",N($O3147),N($P3147)),0)))</f>
        <v/>
      </c>
      <c r="R3147" s="26">
        <f>IF($D3147="","",IFERROR(VLOOKUP($D3147,库存台账!$A$5:$Y$1204,11,0),0))</f>
        <v/>
      </c>
      <c r="S3147" s="26">
        <f>IF($D3147="","",ROUND(N($J3147)*N($R3147),0))</f>
        <v/>
      </c>
      <c r="T3147" s="26">
        <f>IF($D3147="","",IF($K3147&lt;&gt;"对外销售","",ROUND($Q3147-$S3147,0)))</f>
        <v/>
      </c>
      <c r="U3147" s="17" t="n"/>
      <c r="V3147" s="17" t="n"/>
      <c r="W3147" s="24">
        <f>IF($D3147="","",IF($E3147="※编码不在物料档案里","※物料编码不在档案里",IF(N($J3147)&lt;=0,"※出库数量要大于 0",IF($K3147="","※没填去向类型",IF($L3147="","※没填去向矿区",IF(AND($C3147&lt;&gt;"",$C3147&lt;=结账锁),"※日期早于已结账截止日，不能再录",IF(AND($K3147="自用消耗",COUNTIF({"一矿区";"二矿区"},$L3147)=0),"※自用消耗的去向只能是一矿区或二矿区",IF(AND($K3147="对外销售",COUNTIF({"三矿区";"六矿区"},$L3147)=0),"※对外销售的去向只能是三矿区或六矿区",IF(AND($K3147="对外销售",ROUND($Q3147,0)=0),"※外销却没有售价，请填实际售价",IF(AND($K3147="对外销售",$T3147&lt;&gt;"",$T3147&lt;0),"※这一笔外销是亏的，请核对售价",IF(IFERROR(VLOOKUP($D3147,库存台账!$A$5:$Y$1204,24,0),0)&lt;-0.001,"※这个物料账面已经变成负数了，查一下是不是漏记入库","")))))))))))</f>
        <v/>
      </c>
    </row>
    <row r="3148">
      <c r="A3148" s="24">
        <f>IF($D3148="","",COUNTA($D$4:$D3148))</f>
        <v/>
      </c>
      <c r="B3148" s="17" t="n"/>
      <c r="C3148" s="30" t="n"/>
      <c r="D3148" s="17" t="n"/>
      <c r="E3148" s="24">
        <f>IF($D3148="","",IFERROR(VLOOKUP($D3148,物料档案!$A$4:$P$1203,3,0),"※编码不在物料档案里"))</f>
        <v/>
      </c>
      <c r="F3148" s="24">
        <f>IF($D3148="","",IFERROR(VLOOKUP($D3148,物料档案!$A$4:$P$1203,4,0),"※编码不在物料档案里"))</f>
        <v/>
      </c>
      <c r="G3148" s="24">
        <f>IF($D3148="","",IFERROR(VLOOKUP($D3148,物料档案!$A$4:$P$1203,5,0),"※编码不在物料档案里"))</f>
        <v/>
      </c>
      <c r="H3148" s="24">
        <f>IF($D3148="","",IFERROR(VLOOKUP($D3148,物料档案!$A$4:$P$1203,2,0),"※编码不在物料档案里"))</f>
        <v/>
      </c>
      <c r="I3148" s="24">
        <f>IF($D3148="","",IFERROR(VLOOKUP($D3148,物料档案!$A$4:$P$1203,6,0),"※编码不在物料档案里"))</f>
        <v/>
      </c>
      <c r="J3148" s="23" t="n"/>
      <c r="K3148" s="17" t="n"/>
      <c r="L3148" s="17" t="n"/>
      <c r="M3148" s="17" t="n"/>
      <c r="N3148" s="17" t="n"/>
      <c r="O3148" s="26">
        <f>IF($D3148="","",IFERROR(VLOOKUP($D3148,物料档案!$A$4:$P$1203,10,0),0))</f>
        <v/>
      </c>
      <c r="P3148" s="32" t="n"/>
      <c r="Q3148" s="26">
        <f>IF($D3148="","",IF($K3148&lt;&gt;"对外销售",0,ROUND(N($J3148)*IF($P3148="",N($O3148),N($P3148)),0)))</f>
        <v/>
      </c>
      <c r="R3148" s="26">
        <f>IF($D3148="","",IFERROR(VLOOKUP($D3148,库存台账!$A$5:$Y$1204,11,0),0))</f>
        <v/>
      </c>
      <c r="S3148" s="26">
        <f>IF($D3148="","",ROUND(N($J3148)*N($R3148),0))</f>
        <v/>
      </c>
      <c r="T3148" s="26">
        <f>IF($D3148="","",IF($K3148&lt;&gt;"对外销售","",ROUND($Q3148-$S3148,0)))</f>
        <v/>
      </c>
      <c r="U3148" s="17" t="n"/>
      <c r="V3148" s="17" t="n"/>
      <c r="W3148" s="24">
        <f>IF($D3148="","",IF($E3148="※编码不在物料档案里","※物料编码不在档案里",IF(N($J3148)&lt;=0,"※出库数量要大于 0",IF($K3148="","※没填去向类型",IF($L3148="","※没填去向矿区",IF(AND($C3148&lt;&gt;"",$C3148&lt;=结账锁),"※日期早于已结账截止日，不能再录",IF(AND($K3148="自用消耗",COUNTIF({"一矿区";"二矿区"},$L3148)=0),"※自用消耗的去向只能是一矿区或二矿区",IF(AND($K3148="对外销售",COUNTIF({"三矿区";"六矿区"},$L3148)=0),"※对外销售的去向只能是三矿区或六矿区",IF(AND($K3148="对外销售",ROUND($Q3148,0)=0),"※外销却没有售价，请填实际售价",IF(AND($K3148="对外销售",$T3148&lt;&gt;"",$T3148&lt;0),"※这一笔外销是亏的，请核对售价",IF(IFERROR(VLOOKUP($D3148,库存台账!$A$5:$Y$1204,24,0),0)&lt;-0.001,"※这个物料账面已经变成负数了，查一下是不是漏记入库","")))))))))))</f>
        <v/>
      </c>
    </row>
    <row r="3149">
      <c r="A3149" s="24">
        <f>IF($D3149="","",COUNTA($D$4:$D3149))</f>
        <v/>
      </c>
      <c r="B3149" s="17" t="n"/>
      <c r="C3149" s="30" t="n"/>
      <c r="D3149" s="17" t="n"/>
      <c r="E3149" s="24">
        <f>IF($D3149="","",IFERROR(VLOOKUP($D3149,物料档案!$A$4:$P$1203,3,0),"※编码不在物料档案里"))</f>
        <v/>
      </c>
      <c r="F3149" s="24">
        <f>IF($D3149="","",IFERROR(VLOOKUP($D3149,物料档案!$A$4:$P$1203,4,0),"※编码不在物料档案里"))</f>
        <v/>
      </c>
      <c r="G3149" s="24">
        <f>IF($D3149="","",IFERROR(VLOOKUP($D3149,物料档案!$A$4:$P$1203,5,0),"※编码不在物料档案里"))</f>
        <v/>
      </c>
      <c r="H3149" s="24">
        <f>IF($D3149="","",IFERROR(VLOOKUP($D3149,物料档案!$A$4:$P$1203,2,0),"※编码不在物料档案里"))</f>
        <v/>
      </c>
      <c r="I3149" s="24">
        <f>IF($D3149="","",IFERROR(VLOOKUP($D3149,物料档案!$A$4:$P$1203,6,0),"※编码不在物料档案里"))</f>
        <v/>
      </c>
      <c r="J3149" s="23" t="n"/>
      <c r="K3149" s="17" t="n"/>
      <c r="L3149" s="17" t="n"/>
      <c r="M3149" s="17" t="n"/>
      <c r="N3149" s="17" t="n"/>
      <c r="O3149" s="26">
        <f>IF($D3149="","",IFERROR(VLOOKUP($D3149,物料档案!$A$4:$P$1203,10,0),0))</f>
        <v/>
      </c>
      <c r="P3149" s="32" t="n"/>
      <c r="Q3149" s="26">
        <f>IF($D3149="","",IF($K3149&lt;&gt;"对外销售",0,ROUND(N($J3149)*IF($P3149="",N($O3149),N($P3149)),0)))</f>
        <v/>
      </c>
      <c r="R3149" s="26">
        <f>IF($D3149="","",IFERROR(VLOOKUP($D3149,库存台账!$A$5:$Y$1204,11,0),0))</f>
        <v/>
      </c>
      <c r="S3149" s="26">
        <f>IF($D3149="","",ROUND(N($J3149)*N($R3149),0))</f>
        <v/>
      </c>
      <c r="T3149" s="26">
        <f>IF($D3149="","",IF($K3149&lt;&gt;"对外销售","",ROUND($Q3149-$S3149,0)))</f>
        <v/>
      </c>
      <c r="U3149" s="17" t="n"/>
      <c r="V3149" s="17" t="n"/>
      <c r="W3149" s="24">
        <f>IF($D3149="","",IF($E3149="※编码不在物料档案里","※物料编码不在档案里",IF(N($J3149)&lt;=0,"※出库数量要大于 0",IF($K3149="","※没填去向类型",IF($L3149="","※没填去向矿区",IF(AND($C3149&lt;&gt;"",$C3149&lt;=结账锁),"※日期早于已结账截止日，不能再录",IF(AND($K3149="自用消耗",COUNTIF({"一矿区";"二矿区"},$L3149)=0),"※自用消耗的去向只能是一矿区或二矿区",IF(AND($K3149="对外销售",COUNTIF({"三矿区";"六矿区"},$L3149)=0),"※对外销售的去向只能是三矿区或六矿区",IF(AND($K3149="对外销售",ROUND($Q3149,0)=0),"※外销却没有售价，请填实际售价",IF(AND($K3149="对外销售",$T3149&lt;&gt;"",$T3149&lt;0),"※这一笔外销是亏的，请核对售价",IF(IFERROR(VLOOKUP($D3149,库存台账!$A$5:$Y$1204,24,0),0)&lt;-0.001,"※这个物料账面已经变成负数了，查一下是不是漏记入库","")))))))))))</f>
        <v/>
      </c>
    </row>
    <row r="3150">
      <c r="A3150" s="24">
        <f>IF($D3150="","",COUNTA($D$4:$D3150))</f>
        <v/>
      </c>
      <c r="B3150" s="17" t="n"/>
      <c r="C3150" s="30" t="n"/>
      <c r="D3150" s="17" t="n"/>
      <c r="E3150" s="24">
        <f>IF($D3150="","",IFERROR(VLOOKUP($D3150,物料档案!$A$4:$P$1203,3,0),"※编码不在物料档案里"))</f>
        <v/>
      </c>
      <c r="F3150" s="24">
        <f>IF($D3150="","",IFERROR(VLOOKUP($D3150,物料档案!$A$4:$P$1203,4,0),"※编码不在物料档案里"))</f>
        <v/>
      </c>
      <c r="G3150" s="24">
        <f>IF($D3150="","",IFERROR(VLOOKUP($D3150,物料档案!$A$4:$P$1203,5,0),"※编码不在物料档案里"))</f>
        <v/>
      </c>
      <c r="H3150" s="24">
        <f>IF($D3150="","",IFERROR(VLOOKUP($D3150,物料档案!$A$4:$P$1203,2,0),"※编码不在物料档案里"))</f>
        <v/>
      </c>
      <c r="I3150" s="24">
        <f>IF($D3150="","",IFERROR(VLOOKUP($D3150,物料档案!$A$4:$P$1203,6,0),"※编码不在物料档案里"))</f>
        <v/>
      </c>
      <c r="J3150" s="23" t="n"/>
      <c r="K3150" s="17" t="n"/>
      <c r="L3150" s="17" t="n"/>
      <c r="M3150" s="17" t="n"/>
      <c r="N3150" s="17" t="n"/>
      <c r="O3150" s="26">
        <f>IF($D3150="","",IFERROR(VLOOKUP($D3150,物料档案!$A$4:$P$1203,10,0),0))</f>
        <v/>
      </c>
      <c r="P3150" s="32" t="n"/>
      <c r="Q3150" s="26">
        <f>IF($D3150="","",IF($K3150&lt;&gt;"对外销售",0,ROUND(N($J3150)*IF($P3150="",N($O3150),N($P3150)),0)))</f>
        <v/>
      </c>
      <c r="R3150" s="26">
        <f>IF($D3150="","",IFERROR(VLOOKUP($D3150,库存台账!$A$5:$Y$1204,11,0),0))</f>
        <v/>
      </c>
      <c r="S3150" s="26">
        <f>IF($D3150="","",ROUND(N($J3150)*N($R3150),0))</f>
        <v/>
      </c>
      <c r="T3150" s="26">
        <f>IF($D3150="","",IF($K3150&lt;&gt;"对外销售","",ROUND($Q3150-$S3150,0)))</f>
        <v/>
      </c>
      <c r="U3150" s="17" t="n"/>
      <c r="V3150" s="17" t="n"/>
      <c r="W3150" s="24">
        <f>IF($D3150="","",IF($E3150="※编码不在物料档案里","※物料编码不在档案里",IF(N($J3150)&lt;=0,"※出库数量要大于 0",IF($K3150="","※没填去向类型",IF($L3150="","※没填去向矿区",IF(AND($C3150&lt;&gt;"",$C3150&lt;=结账锁),"※日期早于已结账截止日，不能再录",IF(AND($K3150="自用消耗",COUNTIF({"一矿区";"二矿区"},$L3150)=0),"※自用消耗的去向只能是一矿区或二矿区",IF(AND($K3150="对外销售",COUNTIF({"三矿区";"六矿区"},$L3150)=0),"※对外销售的去向只能是三矿区或六矿区",IF(AND($K3150="对外销售",ROUND($Q3150,0)=0),"※外销却没有售价，请填实际售价",IF(AND($K3150="对外销售",$T3150&lt;&gt;"",$T3150&lt;0),"※这一笔外销是亏的，请核对售价",IF(IFERROR(VLOOKUP($D3150,库存台账!$A$5:$Y$1204,24,0),0)&lt;-0.001,"※这个物料账面已经变成负数了，查一下是不是漏记入库","")))))))))))</f>
        <v/>
      </c>
    </row>
    <row r="3151">
      <c r="A3151" s="24">
        <f>IF($D3151="","",COUNTA($D$4:$D3151))</f>
        <v/>
      </c>
      <c r="B3151" s="17" t="n"/>
      <c r="C3151" s="30" t="n"/>
      <c r="D3151" s="17" t="n"/>
      <c r="E3151" s="24">
        <f>IF($D3151="","",IFERROR(VLOOKUP($D3151,物料档案!$A$4:$P$1203,3,0),"※编码不在物料档案里"))</f>
        <v/>
      </c>
      <c r="F3151" s="24">
        <f>IF($D3151="","",IFERROR(VLOOKUP($D3151,物料档案!$A$4:$P$1203,4,0),"※编码不在物料档案里"))</f>
        <v/>
      </c>
      <c r="G3151" s="24">
        <f>IF($D3151="","",IFERROR(VLOOKUP($D3151,物料档案!$A$4:$P$1203,5,0),"※编码不在物料档案里"))</f>
        <v/>
      </c>
      <c r="H3151" s="24">
        <f>IF($D3151="","",IFERROR(VLOOKUP($D3151,物料档案!$A$4:$P$1203,2,0),"※编码不在物料档案里"))</f>
        <v/>
      </c>
      <c r="I3151" s="24">
        <f>IF($D3151="","",IFERROR(VLOOKUP($D3151,物料档案!$A$4:$P$1203,6,0),"※编码不在物料档案里"))</f>
        <v/>
      </c>
      <c r="J3151" s="23" t="n"/>
      <c r="K3151" s="17" t="n"/>
      <c r="L3151" s="17" t="n"/>
      <c r="M3151" s="17" t="n"/>
      <c r="N3151" s="17" t="n"/>
      <c r="O3151" s="26">
        <f>IF($D3151="","",IFERROR(VLOOKUP($D3151,物料档案!$A$4:$P$1203,10,0),0))</f>
        <v/>
      </c>
      <c r="P3151" s="32" t="n"/>
      <c r="Q3151" s="26">
        <f>IF($D3151="","",IF($K3151&lt;&gt;"对外销售",0,ROUND(N($J3151)*IF($P3151="",N($O3151),N($P3151)),0)))</f>
        <v/>
      </c>
      <c r="R3151" s="26">
        <f>IF($D3151="","",IFERROR(VLOOKUP($D3151,库存台账!$A$5:$Y$1204,11,0),0))</f>
        <v/>
      </c>
      <c r="S3151" s="26">
        <f>IF($D3151="","",ROUND(N($J3151)*N($R3151),0))</f>
        <v/>
      </c>
      <c r="T3151" s="26">
        <f>IF($D3151="","",IF($K3151&lt;&gt;"对外销售","",ROUND($Q3151-$S3151,0)))</f>
        <v/>
      </c>
      <c r="U3151" s="17" t="n"/>
      <c r="V3151" s="17" t="n"/>
      <c r="W3151" s="24">
        <f>IF($D3151="","",IF($E3151="※编码不在物料档案里","※物料编码不在档案里",IF(N($J3151)&lt;=0,"※出库数量要大于 0",IF($K3151="","※没填去向类型",IF($L3151="","※没填去向矿区",IF(AND($C3151&lt;&gt;"",$C3151&lt;=结账锁),"※日期早于已结账截止日，不能再录",IF(AND($K3151="自用消耗",COUNTIF({"一矿区";"二矿区"},$L3151)=0),"※自用消耗的去向只能是一矿区或二矿区",IF(AND($K3151="对外销售",COUNTIF({"三矿区";"六矿区"},$L3151)=0),"※对外销售的去向只能是三矿区或六矿区",IF(AND($K3151="对外销售",ROUND($Q3151,0)=0),"※外销却没有售价，请填实际售价",IF(AND($K3151="对外销售",$T3151&lt;&gt;"",$T3151&lt;0),"※这一笔外销是亏的，请核对售价",IF(IFERROR(VLOOKUP($D3151,库存台账!$A$5:$Y$1204,24,0),0)&lt;-0.001,"※这个物料账面已经变成负数了，查一下是不是漏记入库","")))))))))))</f>
        <v/>
      </c>
    </row>
    <row r="3152">
      <c r="A3152" s="24">
        <f>IF($D3152="","",COUNTA($D$4:$D3152))</f>
        <v/>
      </c>
      <c r="B3152" s="17" t="n"/>
      <c r="C3152" s="30" t="n"/>
      <c r="D3152" s="17" t="n"/>
      <c r="E3152" s="24">
        <f>IF($D3152="","",IFERROR(VLOOKUP($D3152,物料档案!$A$4:$P$1203,3,0),"※编码不在物料档案里"))</f>
        <v/>
      </c>
      <c r="F3152" s="24">
        <f>IF($D3152="","",IFERROR(VLOOKUP($D3152,物料档案!$A$4:$P$1203,4,0),"※编码不在物料档案里"))</f>
        <v/>
      </c>
      <c r="G3152" s="24">
        <f>IF($D3152="","",IFERROR(VLOOKUP($D3152,物料档案!$A$4:$P$1203,5,0),"※编码不在物料档案里"))</f>
        <v/>
      </c>
      <c r="H3152" s="24">
        <f>IF($D3152="","",IFERROR(VLOOKUP($D3152,物料档案!$A$4:$P$1203,2,0),"※编码不在物料档案里"))</f>
        <v/>
      </c>
      <c r="I3152" s="24">
        <f>IF($D3152="","",IFERROR(VLOOKUP($D3152,物料档案!$A$4:$P$1203,6,0),"※编码不在物料档案里"))</f>
        <v/>
      </c>
      <c r="J3152" s="23" t="n"/>
      <c r="K3152" s="17" t="n"/>
      <c r="L3152" s="17" t="n"/>
      <c r="M3152" s="17" t="n"/>
      <c r="N3152" s="17" t="n"/>
      <c r="O3152" s="26">
        <f>IF($D3152="","",IFERROR(VLOOKUP($D3152,物料档案!$A$4:$P$1203,10,0),0))</f>
        <v/>
      </c>
      <c r="P3152" s="32" t="n"/>
      <c r="Q3152" s="26">
        <f>IF($D3152="","",IF($K3152&lt;&gt;"对外销售",0,ROUND(N($J3152)*IF($P3152="",N($O3152),N($P3152)),0)))</f>
        <v/>
      </c>
      <c r="R3152" s="26">
        <f>IF($D3152="","",IFERROR(VLOOKUP($D3152,库存台账!$A$5:$Y$1204,11,0),0))</f>
        <v/>
      </c>
      <c r="S3152" s="26">
        <f>IF($D3152="","",ROUND(N($J3152)*N($R3152),0))</f>
        <v/>
      </c>
      <c r="T3152" s="26">
        <f>IF($D3152="","",IF($K3152&lt;&gt;"对外销售","",ROUND($Q3152-$S3152,0)))</f>
        <v/>
      </c>
      <c r="U3152" s="17" t="n"/>
      <c r="V3152" s="17" t="n"/>
      <c r="W3152" s="24">
        <f>IF($D3152="","",IF($E3152="※编码不在物料档案里","※物料编码不在档案里",IF(N($J3152)&lt;=0,"※出库数量要大于 0",IF($K3152="","※没填去向类型",IF($L3152="","※没填去向矿区",IF(AND($C3152&lt;&gt;"",$C3152&lt;=结账锁),"※日期早于已结账截止日，不能再录",IF(AND($K3152="自用消耗",COUNTIF({"一矿区";"二矿区"},$L3152)=0),"※自用消耗的去向只能是一矿区或二矿区",IF(AND($K3152="对外销售",COUNTIF({"三矿区";"六矿区"},$L3152)=0),"※对外销售的去向只能是三矿区或六矿区",IF(AND($K3152="对外销售",ROUND($Q3152,0)=0),"※外销却没有售价，请填实际售价",IF(AND($K3152="对外销售",$T3152&lt;&gt;"",$T3152&lt;0),"※这一笔外销是亏的，请核对售价",IF(IFERROR(VLOOKUP($D3152,库存台账!$A$5:$Y$1204,24,0),0)&lt;-0.001,"※这个物料账面已经变成负数了，查一下是不是漏记入库","")))))))))))</f>
        <v/>
      </c>
    </row>
    <row r="3153">
      <c r="A3153" s="24">
        <f>IF($D3153="","",COUNTA($D$4:$D3153))</f>
        <v/>
      </c>
      <c r="B3153" s="17" t="n"/>
      <c r="C3153" s="30" t="n"/>
      <c r="D3153" s="17" t="n"/>
      <c r="E3153" s="24">
        <f>IF($D3153="","",IFERROR(VLOOKUP($D3153,物料档案!$A$4:$P$1203,3,0),"※编码不在物料档案里"))</f>
        <v/>
      </c>
      <c r="F3153" s="24">
        <f>IF($D3153="","",IFERROR(VLOOKUP($D3153,物料档案!$A$4:$P$1203,4,0),"※编码不在物料档案里"))</f>
        <v/>
      </c>
      <c r="G3153" s="24">
        <f>IF($D3153="","",IFERROR(VLOOKUP($D3153,物料档案!$A$4:$P$1203,5,0),"※编码不在物料档案里"))</f>
        <v/>
      </c>
      <c r="H3153" s="24">
        <f>IF($D3153="","",IFERROR(VLOOKUP($D3153,物料档案!$A$4:$P$1203,2,0),"※编码不在物料档案里"))</f>
        <v/>
      </c>
      <c r="I3153" s="24">
        <f>IF($D3153="","",IFERROR(VLOOKUP($D3153,物料档案!$A$4:$P$1203,6,0),"※编码不在物料档案里"))</f>
        <v/>
      </c>
      <c r="J3153" s="23" t="n"/>
      <c r="K3153" s="17" t="n"/>
      <c r="L3153" s="17" t="n"/>
      <c r="M3153" s="17" t="n"/>
      <c r="N3153" s="17" t="n"/>
      <c r="O3153" s="26">
        <f>IF($D3153="","",IFERROR(VLOOKUP($D3153,物料档案!$A$4:$P$1203,10,0),0))</f>
        <v/>
      </c>
      <c r="P3153" s="32" t="n"/>
      <c r="Q3153" s="26">
        <f>IF($D3153="","",IF($K3153&lt;&gt;"对外销售",0,ROUND(N($J3153)*IF($P3153="",N($O3153),N($P3153)),0)))</f>
        <v/>
      </c>
      <c r="R3153" s="26">
        <f>IF($D3153="","",IFERROR(VLOOKUP($D3153,库存台账!$A$5:$Y$1204,11,0),0))</f>
        <v/>
      </c>
      <c r="S3153" s="26">
        <f>IF($D3153="","",ROUND(N($J3153)*N($R3153),0))</f>
        <v/>
      </c>
      <c r="T3153" s="26">
        <f>IF($D3153="","",IF($K3153&lt;&gt;"对外销售","",ROUND($Q3153-$S3153,0)))</f>
        <v/>
      </c>
      <c r="U3153" s="17" t="n"/>
      <c r="V3153" s="17" t="n"/>
      <c r="W3153" s="24">
        <f>IF($D3153="","",IF($E3153="※编码不在物料档案里","※物料编码不在档案里",IF(N($J3153)&lt;=0,"※出库数量要大于 0",IF($K3153="","※没填去向类型",IF($L3153="","※没填去向矿区",IF(AND($C3153&lt;&gt;"",$C3153&lt;=结账锁),"※日期早于已结账截止日，不能再录",IF(AND($K3153="自用消耗",COUNTIF({"一矿区";"二矿区"},$L3153)=0),"※自用消耗的去向只能是一矿区或二矿区",IF(AND($K3153="对外销售",COUNTIF({"三矿区";"六矿区"},$L3153)=0),"※对外销售的去向只能是三矿区或六矿区",IF(AND($K3153="对外销售",ROUND($Q3153,0)=0),"※外销却没有售价，请填实际售价",IF(AND($K3153="对外销售",$T3153&lt;&gt;"",$T3153&lt;0),"※这一笔外销是亏的，请核对售价",IF(IFERROR(VLOOKUP($D3153,库存台账!$A$5:$Y$1204,24,0),0)&lt;-0.001,"※这个物料账面已经变成负数了，查一下是不是漏记入库","")))))))))))</f>
        <v/>
      </c>
    </row>
    <row r="3154">
      <c r="A3154" s="24">
        <f>IF($D3154="","",COUNTA($D$4:$D3154))</f>
        <v/>
      </c>
      <c r="B3154" s="17" t="n"/>
      <c r="C3154" s="30" t="n"/>
      <c r="D3154" s="17" t="n"/>
      <c r="E3154" s="24">
        <f>IF($D3154="","",IFERROR(VLOOKUP($D3154,物料档案!$A$4:$P$1203,3,0),"※编码不在物料档案里"))</f>
        <v/>
      </c>
      <c r="F3154" s="24">
        <f>IF($D3154="","",IFERROR(VLOOKUP($D3154,物料档案!$A$4:$P$1203,4,0),"※编码不在物料档案里"))</f>
        <v/>
      </c>
      <c r="G3154" s="24">
        <f>IF($D3154="","",IFERROR(VLOOKUP($D3154,物料档案!$A$4:$P$1203,5,0),"※编码不在物料档案里"))</f>
        <v/>
      </c>
      <c r="H3154" s="24">
        <f>IF($D3154="","",IFERROR(VLOOKUP($D3154,物料档案!$A$4:$P$1203,2,0),"※编码不在物料档案里"))</f>
        <v/>
      </c>
      <c r="I3154" s="24">
        <f>IF($D3154="","",IFERROR(VLOOKUP($D3154,物料档案!$A$4:$P$1203,6,0),"※编码不在物料档案里"))</f>
        <v/>
      </c>
      <c r="J3154" s="23" t="n"/>
      <c r="K3154" s="17" t="n"/>
      <c r="L3154" s="17" t="n"/>
      <c r="M3154" s="17" t="n"/>
      <c r="N3154" s="17" t="n"/>
      <c r="O3154" s="26">
        <f>IF($D3154="","",IFERROR(VLOOKUP($D3154,物料档案!$A$4:$P$1203,10,0),0))</f>
        <v/>
      </c>
      <c r="P3154" s="32" t="n"/>
      <c r="Q3154" s="26">
        <f>IF($D3154="","",IF($K3154&lt;&gt;"对外销售",0,ROUND(N($J3154)*IF($P3154="",N($O3154),N($P3154)),0)))</f>
        <v/>
      </c>
      <c r="R3154" s="26">
        <f>IF($D3154="","",IFERROR(VLOOKUP($D3154,库存台账!$A$5:$Y$1204,11,0),0))</f>
        <v/>
      </c>
      <c r="S3154" s="26">
        <f>IF($D3154="","",ROUND(N($J3154)*N($R3154),0))</f>
        <v/>
      </c>
      <c r="T3154" s="26">
        <f>IF($D3154="","",IF($K3154&lt;&gt;"对外销售","",ROUND($Q3154-$S3154,0)))</f>
        <v/>
      </c>
      <c r="U3154" s="17" t="n"/>
      <c r="V3154" s="17" t="n"/>
      <c r="W3154" s="24">
        <f>IF($D3154="","",IF($E3154="※编码不在物料档案里","※物料编码不在档案里",IF(N($J3154)&lt;=0,"※出库数量要大于 0",IF($K3154="","※没填去向类型",IF($L3154="","※没填去向矿区",IF(AND($C3154&lt;&gt;"",$C3154&lt;=结账锁),"※日期早于已结账截止日，不能再录",IF(AND($K3154="自用消耗",COUNTIF({"一矿区";"二矿区"},$L3154)=0),"※自用消耗的去向只能是一矿区或二矿区",IF(AND($K3154="对外销售",COUNTIF({"三矿区";"六矿区"},$L3154)=0),"※对外销售的去向只能是三矿区或六矿区",IF(AND($K3154="对外销售",ROUND($Q3154,0)=0),"※外销却没有售价，请填实际售价",IF(AND($K3154="对外销售",$T3154&lt;&gt;"",$T3154&lt;0),"※这一笔外销是亏的，请核对售价",IF(IFERROR(VLOOKUP($D3154,库存台账!$A$5:$Y$1204,24,0),0)&lt;-0.001,"※这个物料账面已经变成负数了，查一下是不是漏记入库","")))))))))))</f>
        <v/>
      </c>
    </row>
    <row r="3155">
      <c r="A3155" s="24">
        <f>IF($D3155="","",COUNTA($D$4:$D3155))</f>
        <v/>
      </c>
      <c r="B3155" s="17" t="n"/>
      <c r="C3155" s="30" t="n"/>
      <c r="D3155" s="17" t="n"/>
      <c r="E3155" s="24">
        <f>IF($D3155="","",IFERROR(VLOOKUP($D3155,物料档案!$A$4:$P$1203,3,0),"※编码不在物料档案里"))</f>
        <v/>
      </c>
      <c r="F3155" s="24">
        <f>IF($D3155="","",IFERROR(VLOOKUP($D3155,物料档案!$A$4:$P$1203,4,0),"※编码不在物料档案里"))</f>
        <v/>
      </c>
      <c r="G3155" s="24">
        <f>IF($D3155="","",IFERROR(VLOOKUP($D3155,物料档案!$A$4:$P$1203,5,0),"※编码不在物料档案里"))</f>
        <v/>
      </c>
      <c r="H3155" s="24">
        <f>IF($D3155="","",IFERROR(VLOOKUP($D3155,物料档案!$A$4:$P$1203,2,0),"※编码不在物料档案里"))</f>
        <v/>
      </c>
      <c r="I3155" s="24">
        <f>IF($D3155="","",IFERROR(VLOOKUP($D3155,物料档案!$A$4:$P$1203,6,0),"※编码不在物料档案里"))</f>
        <v/>
      </c>
      <c r="J3155" s="23" t="n"/>
      <c r="K3155" s="17" t="n"/>
      <c r="L3155" s="17" t="n"/>
      <c r="M3155" s="17" t="n"/>
      <c r="N3155" s="17" t="n"/>
      <c r="O3155" s="26">
        <f>IF($D3155="","",IFERROR(VLOOKUP($D3155,物料档案!$A$4:$P$1203,10,0),0))</f>
        <v/>
      </c>
      <c r="P3155" s="32" t="n"/>
      <c r="Q3155" s="26">
        <f>IF($D3155="","",IF($K3155&lt;&gt;"对外销售",0,ROUND(N($J3155)*IF($P3155="",N($O3155),N($P3155)),0)))</f>
        <v/>
      </c>
      <c r="R3155" s="26">
        <f>IF($D3155="","",IFERROR(VLOOKUP($D3155,库存台账!$A$5:$Y$1204,11,0),0))</f>
        <v/>
      </c>
      <c r="S3155" s="26">
        <f>IF($D3155="","",ROUND(N($J3155)*N($R3155),0))</f>
        <v/>
      </c>
      <c r="T3155" s="26">
        <f>IF($D3155="","",IF($K3155&lt;&gt;"对外销售","",ROUND($Q3155-$S3155,0)))</f>
        <v/>
      </c>
      <c r="U3155" s="17" t="n"/>
      <c r="V3155" s="17" t="n"/>
      <c r="W3155" s="24">
        <f>IF($D3155="","",IF($E3155="※编码不在物料档案里","※物料编码不在档案里",IF(N($J3155)&lt;=0,"※出库数量要大于 0",IF($K3155="","※没填去向类型",IF($L3155="","※没填去向矿区",IF(AND($C3155&lt;&gt;"",$C3155&lt;=结账锁),"※日期早于已结账截止日，不能再录",IF(AND($K3155="自用消耗",COUNTIF({"一矿区";"二矿区"},$L3155)=0),"※自用消耗的去向只能是一矿区或二矿区",IF(AND($K3155="对外销售",COUNTIF({"三矿区";"六矿区"},$L3155)=0),"※对外销售的去向只能是三矿区或六矿区",IF(AND($K3155="对外销售",ROUND($Q3155,0)=0),"※外销却没有售价，请填实际售价",IF(AND($K3155="对外销售",$T3155&lt;&gt;"",$T3155&lt;0),"※这一笔外销是亏的，请核对售价",IF(IFERROR(VLOOKUP($D3155,库存台账!$A$5:$Y$1204,24,0),0)&lt;-0.001,"※这个物料账面已经变成负数了，查一下是不是漏记入库","")))))))))))</f>
        <v/>
      </c>
    </row>
    <row r="3156">
      <c r="A3156" s="24">
        <f>IF($D3156="","",COUNTA($D$4:$D3156))</f>
        <v/>
      </c>
      <c r="B3156" s="17" t="n"/>
      <c r="C3156" s="30" t="n"/>
      <c r="D3156" s="17" t="n"/>
      <c r="E3156" s="24">
        <f>IF($D3156="","",IFERROR(VLOOKUP($D3156,物料档案!$A$4:$P$1203,3,0),"※编码不在物料档案里"))</f>
        <v/>
      </c>
      <c r="F3156" s="24">
        <f>IF($D3156="","",IFERROR(VLOOKUP($D3156,物料档案!$A$4:$P$1203,4,0),"※编码不在物料档案里"))</f>
        <v/>
      </c>
      <c r="G3156" s="24">
        <f>IF($D3156="","",IFERROR(VLOOKUP($D3156,物料档案!$A$4:$P$1203,5,0),"※编码不在物料档案里"))</f>
        <v/>
      </c>
      <c r="H3156" s="24">
        <f>IF($D3156="","",IFERROR(VLOOKUP($D3156,物料档案!$A$4:$P$1203,2,0),"※编码不在物料档案里"))</f>
        <v/>
      </c>
      <c r="I3156" s="24">
        <f>IF($D3156="","",IFERROR(VLOOKUP($D3156,物料档案!$A$4:$P$1203,6,0),"※编码不在物料档案里"))</f>
        <v/>
      </c>
      <c r="J3156" s="23" t="n"/>
      <c r="K3156" s="17" t="n"/>
      <c r="L3156" s="17" t="n"/>
      <c r="M3156" s="17" t="n"/>
      <c r="N3156" s="17" t="n"/>
      <c r="O3156" s="26">
        <f>IF($D3156="","",IFERROR(VLOOKUP($D3156,物料档案!$A$4:$P$1203,10,0),0))</f>
        <v/>
      </c>
      <c r="P3156" s="32" t="n"/>
      <c r="Q3156" s="26">
        <f>IF($D3156="","",IF($K3156&lt;&gt;"对外销售",0,ROUND(N($J3156)*IF($P3156="",N($O3156),N($P3156)),0)))</f>
        <v/>
      </c>
      <c r="R3156" s="26">
        <f>IF($D3156="","",IFERROR(VLOOKUP($D3156,库存台账!$A$5:$Y$1204,11,0),0))</f>
        <v/>
      </c>
      <c r="S3156" s="26">
        <f>IF($D3156="","",ROUND(N($J3156)*N($R3156),0))</f>
        <v/>
      </c>
      <c r="T3156" s="26">
        <f>IF($D3156="","",IF($K3156&lt;&gt;"对外销售","",ROUND($Q3156-$S3156,0)))</f>
        <v/>
      </c>
      <c r="U3156" s="17" t="n"/>
      <c r="V3156" s="17" t="n"/>
      <c r="W3156" s="24">
        <f>IF($D3156="","",IF($E3156="※编码不在物料档案里","※物料编码不在档案里",IF(N($J3156)&lt;=0,"※出库数量要大于 0",IF($K3156="","※没填去向类型",IF($L3156="","※没填去向矿区",IF(AND($C3156&lt;&gt;"",$C3156&lt;=结账锁),"※日期早于已结账截止日，不能再录",IF(AND($K3156="自用消耗",COUNTIF({"一矿区";"二矿区"},$L3156)=0),"※自用消耗的去向只能是一矿区或二矿区",IF(AND($K3156="对外销售",COUNTIF({"三矿区";"六矿区"},$L3156)=0),"※对外销售的去向只能是三矿区或六矿区",IF(AND($K3156="对外销售",ROUND($Q3156,0)=0),"※外销却没有售价，请填实际售价",IF(AND($K3156="对外销售",$T3156&lt;&gt;"",$T3156&lt;0),"※这一笔外销是亏的，请核对售价",IF(IFERROR(VLOOKUP($D3156,库存台账!$A$5:$Y$1204,24,0),0)&lt;-0.001,"※这个物料账面已经变成负数了，查一下是不是漏记入库","")))))))))))</f>
        <v/>
      </c>
    </row>
    <row r="3157">
      <c r="A3157" s="24">
        <f>IF($D3157="","",COUNTA($D$4:$D3157))</f>
        <v/>
      </c>
      <c r="B3157" s="17" t="n"/>
      <c r="C3157" s="30" t="n"/>
      <c r="D3157" s="17" t="n"/>
      <c r="E3157" s="24">
        <f>IF($D3157="","",IFERROR(VLOOKUP($D3157,物料档案!$A$4:$P$1203,3,0),"※编码不在物料档案里"))</f>
        <v/>
      </c>
      <c r="F3157" s="24">
        <f>IF($D3157="","",IFERROR(VLOOKUP($D3157,物料档案!$A$4:$P$1203,4,0),"※编码不在物料档案里"))</f>
        <v/>
      </c>
      <c r="G3157" s="24">
        <f>IF($D3157="","",IFERROR(VLOOKUP($D3157,物料档案!$A$4:$P$1203,5,0),"※编码不在物料档案里"))</f>
        <v/>
      </c>
      <c r="H3157" s="24">
        <f>IF($D3157="","",IFERROR(VLOOKUP($D3157,物料档案!$A$4:$P$1203,2,0),"※编码不在物料档案里"))</f>
        <v/>
      </c>
      <c r="I3157" s="24">
        <f>IF($D3157="","",IFERROR(VLOOKUP($D3157,物料档案!$A$4:$P$1203,6,0),"※编码不在物料档案里"))</f>
        <v/>
      </c>
      <c r="J3157" s="23" t="n"/>
      <c r="K3157" s="17" t="n"/>
      <c r="L3157" s="17" t="n"/>
      <c r="M3157" s="17" t="n"/>
      <c r="N3157" s="17" t="n"/>
      <c r="O3157" s="26">
        <f>IF($D3157="","",IFERROR(VLOOKUP($D3157,物料档案!$A$4:$P$1203,10,0),0))</f>
        <v/>
      </c>
      <c r="P3157" s="32" t="n"/>
      <c r="Q3157" s="26">
        <f>IF($D3157="","",IF($K3157&lt;&gt;"对外销售",0,ROUND(N($J3157)*IF($P3157="",N($O3157),N($P3157)),0)))</f>
        <v/>
      </c>
      <c r="R3157" s="26">
        <f>IF($D3157="","",IFERROR(VLOOKUP($D3157,库存台账!$A$5:$Y$1204,11,0),0))</f>
        <v/>
      </c>
      <c r="S3157" s="26">
        <f>IF($D3157="","",ROUND(N($J3157)*N($R3157),0))</f>
        <v/>
      </c>
      <c r="T3157" s="26">
        <f>IF($D3157="","",IF($K3157&lt;&gt;"对外销售","",ROUND($Q3157-$S3157,0)))</f>
        <v/>
      </c>
      <c r="U3157" s="17" t="n"/>
      <c r="V3157" s="17" t="n"/>
      <c r="W3157" s="24">
        <f>IF($D3157="","",IF($E3157="※编码不在物料档案里","※物料编码不在档案里",IF(N($J3157)&lt;=0,"※出库数量要大于 0",IF($K3157="","※没填去向类型",IF($L3157="","※没填去向矿区",IF(AND($C3157&lt;&gt;"",$C3157&lt;=结账锁),"※日期早于已结账截止日，不能再录",IF(AND($K3157="自用消耗",COUNTIF({"一矿区";"二矿区"},$L3157)=0),"※自用消耗的去向只能是一矿区或二矿区",IF(AND($K3157="对外销售",COUNTIF({"三矿区";"六矿区"},$L3157)=0),"※对外销售的去向只能是三矿区或六矿区",IF(AND($K3157="对外销售",ROUND($Q3157,0)=0),"※外销却没有售价，请填实际售价",IF(AND($K3157="对外销售",$T3157&lt;&gt;"",$T3157&lt;0),"※这一笔外销是亏的，请核对售价",IF(IFERROR(VLOOKUP($D3157,库存台账!$A$5:$Y$1204,24,0),0)&lt;-0.001,"※这个物料账面已经变成负数了，查一下是不是漏记入库","")))))))))))</f>
        <v/>
      </c>
    </row>
    <row r="3158">
      <c r="A3158" s="24">
        <f>IF($D3158="","",COUNTA($D$4:$D3158))</f>
        <v/>
      </c>
      <c r="B3158" s="17" t="n"/>
      <c r="C3158" s="30" t="n"/>
      <c r="D3158" s="17" t="n"/>
      <c r="E3158" s="24">
        <f>IF($D3158="","",IFERROR(VLOOKUP($D3158,物料档案!$A$4:$P$1203,3,0),"※编码不在物料档案里"))</f>
        <v/>
      </c>
      <c r="F3158" s="24">
        <f>IF($D3158="","",IFERROR(VLOOKUP($D3158,物料档案!$A$4:$P$1203,4,0),"※编码不在物料档案里"))</f>
        <v/>
      </c>
      <c r="G3158" s="24">
        <f>IF($D3158="","",IFERROR(VLOOKUP($D3158,物料档案!$A$4:$P$1203,5,0),"※编码不在物料档案里"))</f>
        <v/>
      </c>
      <c r="H3158" s="24">
        <f>IF($D3158="","",IFERROR(VLOOKUP($D3158,物料档案!$A$4:$P$1203,2,0),"※编码不在物料档案里"))</f>
        <v/>
      </c>
      <c r="I3158" s="24">
        <f>IF($D3158="","",IFERROR(VLOOKUP($D3158,物料档案!$A$4:$P$1203,6,0),"※编码不在物料档案里"))</f>
        <v/>
      </c>
      <c r="J3158" s="23" t="n"/>
      <c r="K3158" s="17" t="n"/>
      <c r="L3158" s="17" t="n"/>
      <c r="M3158" s="17" t="n"/>
      <c r="N3158" s="17" t="n"/>
      <c r="O3158" s="26">
        <f>IF($D3158="","",IFERROR(VLOOKUP($D3158,物料档案!$A$4:$P$1203,10,0),0))</f>
        <v/>
      </c>
      <c r="P3158" s="32" t="n"/>
      <c r="Q3158" s="26">
        <f>IF($D3158="","",IF($K3158&lt;&gt;"对外销售",0,ROUND(N($J3158)*IF($P3158="",N($O3158),N($P3158)),0)))</f>
        <v/>
      </c>
      <c r="R3158" s="26">
        <f>IF($D3158="","",IFERROR(VLOOKUP($D3158,库存台账!$A$5:$Y$1204,11,0),0))</f>
        <v/>
      </c>
      <c r="S3158" s="26">
        <f>IF($D3158="","",ROUND(N($J3158)*N($R3158),0))</f>
        <v/>
      </c>
      <c r="T3158" s="26">
        <f>IF($D3158="","",IF($K3158&lt;&gt;"对外销售","",ROUND($Q3158-$S3158,0)))</f>
        <v/>
      </c>
      <c r="U3158" s="17" t="n"/>
      <c r="V3158" s="17" t="n"/>
      <c r="W3158" s="24">
        <f>IF($D3158="","",IF($E3158="※编码不在物料档案里","※物料编码不在档案里",IF(N($J3158)&lt;=0,"※出库数量要大于 0",IF($K3158="","※没填去向类型",IF($L3158="","※没填去向矿区",IF(AND($C3158&lt;&gt;"",$C3158&lt;=结账锁),"※日期早于已结账截止日，不能再录",IF(AND($K3158="自用消耗",COUNTIF({"一矿区";"二矿区"},$L3158)=0),"※自用消耗的去向只能是一矿区或二矿区",IF(AND($K3158="对外销售",COUNTIF({"三矿区";"六矿区"},$L3158)=0),"※对外销售的去向只能是三矿区或六矿区",IF(AND($K3158="对外销售",ROUND($Q3158,0)=0),"※外销却没有售价，请填实际售价",IF(AND($K3158="对外销售",$T3158&lt;&gt;"",$T3158&lt;0),"※这一笔外销是亏的，请核对售价",IF(IFERROR(VLOOKUP($D3158,库存台账!$A$5:$Y$1204,24,0),0)&lt;-0.001,"※这个物料账面已经变成负数了，查一下是不是漏记入库","")))))))))))</f>
        <v/>
      </c>
    </row>
    <row r="3159">
      <c r="A3159" s="24">
        <f>IF($D3159="","",COUNTA($D$4:$D3159))</f>
        <v/>
      </c>
      <c r="B3159" s="17" t="n"/>
      <c r="C3159" s="30" t="n"/>
      <c r="D3159" s="17" t="n"/>
      <c r="E3159" s="24">
        <f>IF($D3159="","",IFERROR(VLOOKUP($D3159,物料档案!$A$4:$P$1203,3,0),"※编码不在物料档案里"))</f>
        <v/>
      </c>
      <c r="F3159" s="24">
        <f>IF($D3159="","",IFERROR(VLOOKUP($D3159,物料档案!$A$4:$P$1203,4,0),"※编码不在物料档案里"))</f>
        <v/>
      </c>
      <c r="G3159" s="24">
        <f>IF($D3159="","",IFERROR(VLOOKUP($D3159,物料档案!$A$4:$P$1203,5,0),"※编码不在物料档案里"))</f>
        <v/>
      </c>
      <c r="H3159" s="24">
        <f>IF($D3159="","",IFERROR(VLOOKUP($D3159,物料档案!$A$4:$P$1203,2,0),"※编码不在物料档案里"))</f>
        <v/>
      </c>
      <c r="I3159" s="24">
        <f>IF($D3159="","",IFERROR(VLOOKUP($D3159,物料档案!$A$4:$P$1203,6,0),"※编码不在物料档案里"))</f>
        <v/>
      </c>
      <c r="J3159" s="23" t="n"/>
      <c r="K3159" s="17" t="n"/>
      <c r="L3159" s="17" t="n"/>
      <c r="M3159" s="17" t="n"/>
      <c r="N3159" s="17" t="n"/>
      <c r="O3159" s="26">
        <f>IF($D3159="","",IFERROR(VLOOKUP($D3159,物料档案!$A$4:$P$1203,10,0),0))</f>
        <v/>
      </c>
      <c r="P3159" s="32" t="n"/>
      <c r="Q3159" s="26">
        <f>IF($D3159="","",IF($K3159&lt;&gt;"对外销售",0,ROUND(N($J3159)*IF($P3159="",N($O3159),N($P3159)),0)))</f>
        <v/>
      </c>
      <c r="R3159" s="26">
        <f>IF($D3159="","",IFERROR(VLOOKUP($D3159,库存台账!$A$5:$Y$1204,11,0),0))</f>
        <v/>
      </c>
      <c r="S3159" s="26">
        <f>IF($D3159="","",ROUND(N($J3159)*N($R3159),0))</f>
        <v/>
      </c>
      <c r="T3159" s="26">
        <f>IF($D3159="","",IF($K3159&lt;&gt;"对外销售","",ROUND($Q3159-$S3159,0)))</f>
        <v/>
      </c>
      <c r="U3159" s="17" t="n"/>
      <c r="V3159" s="17" t="n"/>
      <c r="W3159" s="24">
        <f>IF($D3159="","",IF($E3159="※编码不在物料档案里","※物料编码不在档案里",IF(N($J3159)&lt;=0,"※出库数量要大于 0",IF($K3159="","※没填去向类型",IF($L3159="","※没填去向矿区",IF(AND($C3159&lt;&gt;"",$C3159&lt;=结账锁),"※日期早于已结账截止日，不能再录",IF(AND($K3159="自用消耗",COUNTIF({"一矿区";"二矿区"},$L3159)=0),"※自用消耗的去向只能是一矿区或二矿区",IF(AND($K3159="对外销售",COUNTIF({"三矿区";"六矿区"},$L3159)=0),"※对外销售的去向只能是三矿区或六矿区",IF(AND($K3159="对外销售",ROUND($Q3159,0)=0),"※外销却没有售价，请填实际售价",IF(AND($K3159="对外销售",$T3159&lt;&gt;"",$T3159&lt;0),"※这一笔外销是亏的，请核对售价",IF(IFERROR(VLOOKUP($D3159,库存台账!$A$5:$Y$1204,24,0),0)&lt;-0.001,"※这个物料账面已经变成负数了，查一下是不是漏记入库","")))))))))))</f>
        <v/>
      </c>
    </row>
    <row r="3160">
      <c r="A3160" s="24">
        <f>IF($D3160="","",COUNTA($D$4:$D3160))</f>
        <v/>
      </c>
      <c r="B3160" s="17" t="n"/>
      <c r="C3160" s="30" t="n"/>
      <c r="D3160" s="17" t="n"/>
      <c r="E3160" s="24">
        <f>IF($D3160="","",IFERROR(VLOOKUP($D3160,物料档案!$A$4:$P$1203,3,0),"※编码不在物料档案里"))</f>
        <v/>
      </c>
      <c r="F3160" s="24">
        <f>IF($D3160="","",IFERROR(VLOOKUP($D3160,物料档案!$A$4:$P$1203,4,0),"※编码不在物料档案里"))</f>
        <v/>
      </c>
      <c r="G3160" s="24">
        <f>IF($D3160="","",IFERROR(VLOOKUP($D3160,物料档案!$A$4:$P$1203,5,0),"※编码不在物料档案里"))</f>
        <v/>
      </c>
      <c r="H3160" s="24">
        <f>IF($D3160="","",IFERROR(VLOOKUP($D3160,物料档案!$A$4:$P$1203,2,0),"※编码不在物料档案里"))</f>
        <v/>
      </c>
      <c r="I3160" s="24">
        <f>IF($D3160="","",IFERROR(VLOOKUP($D3160,物料档案!$A$4:$P$1203,6,0),"※编码不在物料档案里"))</f>
        <v/>
      </c>
      <c r="J3160" s="23" t="n"/>
      <c r="K3160" s="17" t="n"/>
      <c r="L3160" s="17" t="n"/>
      <c r="M3160" s="17" t="n"/>
      <c r="N3160" s="17" t="n"/>
      <c r="O3160" s="26">
        <f>IF($D3160="","",IFERROR(VLOOKUP($D3160,物料档案!$A$4:$P$1203,10,0),0))</f>
        <v/>
      </c>
      <c r="P3160" s="32" t="n"/>
      <c r="Q3160" s="26">
        <f>IF($D3160="","",IF($K3160&lt;&gt;"对外销售",0,ROUND(N($J3160)*IF($P3160="",N($O3160),N($P3160)),0)))</f>
        <v/>
      </c>
      <c r="R3160" s="26">
        <f>IF($D3160="","",IFERROR(VLOOKUP($D3160,库存台账!$A$5:$Y$1204,11,0),0))</f>
        <v/>
      </c>
      <c r="S3160" s="26">
        <f>IF($D3160="","",ROUND(N($J3160)*N($R3160),0))</f>
        <v/>
      </c>
      <c r="T3160" s="26">
        <f>IF($D3160="","",IF($K3160&lt;&gt;"对外销售","",ROUND($Q3160-$S3160,0)))</f>
        <v/>
      </c>
      <c r="U3160" s="17" t="n"/>
      <c r="V3160" s="17" t="n"/>
      <c r="W3160" s="24">
        <f>IF($D3160="","",IF($E3160="※编码不在物料档案里","※物料编码不在档案里",IF(N($J3160)&lt;=0,"※出库数量要大于 0",IF($K3160="","※没填去向类型",IF($L3160="","※没填去向矿区",IF(AND($C3160&lt;&gt;"",$C3160&lt;=结账锁),"※日期早于已结账截止日，不能再录",IF(AND($K3160="自用消耗",COUNTIF({"一矿区";"二矿区"},$L3160)=0),"※自用消耗的去向只能是一矿区或二矿区",IF(AND($K3160="对外销售",COUNTIF({"三矿区";"六矿区"},$L3160)=0),"※对外销售的去向只能是三矿区或六矿区",IF(AND($K3160="对外销售",ROUND($Q3160,0)=0),"※外销却没有售价，请填实际售价",IF(AND($K3160="对外销售",$T3160&lt;&gt;"",$T3160&lt;0),"※这一笔外销是亏的，请核对售价",IF(IFERROR(VLOOKUP($D3160,库存台账!$A$5:$Y$1204,24,0),0)&lt;-0.001,"※这个物料账面已经变成负数了，查一下是不是漏记入库","")))))))))))</f>
        <v/>
      </c>
    </row>
    <row r="3161">
      <c r="A3161" s="24">
        <f>IF($D3161="","",COUNTA($D$4:$D3161))</f>
        <v/>
      </c>
      <c r="B3161" s="17" t="n"/>
      <c r="C3161" s="30" t="n"/>
      <c r="D3161" s="17" t="n"/>
      <c r="E3161" s="24">
        <f>IF($D3161="","",IFERROR(VLOOKUP($D3161,物料档案!$A$4:$P$1203,3,0),"※编码不在物料档案里"))</f>
        <v/>
      </c>
      <c r="F3161" s="24">
        <f>IF($D3161="","",IFERROR(VLOOKUP($D3161,物料档案!$A$4:$P$1203,4,0),"※编码不在物料档案里"))</f>
        <v/>
      </c>
      <c r="G3161" s="24">
        <f>IF($D3161="","",IFERROR(VLOOKUP($D3161,物料档案!$A$4:$P$1203,5,0),"※编码不在物料档案里"))</f>
        <v/>
      </c>
      <c r="H3161" s="24">
        <f>IF($D3161="","",IFERROR(VLOOKUP($D3161,物料档案!$A$4:$P$1203,2,0),"※编码不在物料档案里"))</f>
        <v/>
      </c>
      <c r="I3161" s="24">
        <f>IF($D3161="","",IFERROR(VLOOKUP($D3161,物料档案!$A$4:$P$1203,6,0),"※编码不在物料档案里"))</f>
        <v/>
      </c>
      <c r="J3161" s="23" t="n"/>
      <c r="K3161" s="17" t="n"/>
      <c r="L3161" s="17" t="n"/>
      <c r="M3161" s="17" t="n"/>
      <c r="N3161" s="17" t="n"/>
      <c r="O3161" s="26">
        <f>IF($D3161="","",IFERROR(VLOOKUP($D3161,物料档案!$A$4:$P$1203,10,0),0))</f>
        <v/>
      </c>
      <c r="P3161" s="32" t="n"/>
      <c r="Q3161" s="26">
        <f>IF($D3161="","",IF($K3161&lt;&gt;"对外销售",0,ROUND(N($J3161)*IF($P3161="",N($O3161),N($P3161)),0)))</f>
        <v/>
      </c>
      <c r="R3161" s="26">
        <f>IF($D3161="","",IFERROR(VLOOKUP($D3161,库存台账!$A$5:$Y$1204,11,0),0))</f>
        <v/>
      </c>
      <c r="S3161" s="26">
        <f>IF($D3161="","",ROUND(N($J3161)*N($R3161),0))</f>
        <v/>
      </c>
      <c r="T3161" s="26">
        <f>IF($D3161="","",IF($K3161&lt;&gt;"对外销售","",ROUND($Q3161-$S3161,0)))</f>
        <v/>
      </c>
      <c r="U3161" s="17" t="n"/>
      <c r="V3161" s="17" t="n"/>
      <c r="W3161" s="24">
        <f>IF($D3161="","",IF($E3161="※编码不在物料档案里","※物料编码不在档案里",IF(N($J3161)&lt;=0,"※出库数量要大于 0",IF($K3161="","※没填去向类型",IF($L3161="","※没填去向矿区",IF(AND($C3161&lt;&gt;"",$C3161&lt;=结账锁),"※日期早于已结账截止日，不能再录",IF(AND($K3161="自用消耗",COUNTIF({"一矿区";"二矿区"},$L3161)=0),"※自用消耗的去向只能是一矿区或二矿区",IF(AND($K3161="对外销售",COUNTIF({"三矿区";"六矿区"},$L3161)=0),"※对外销售的去向只能是三矿区或六矿区",IF(AND($K3161="对外销售",ROUND($Q3161,0)=0),"※外销却没有售价，请填实际售价",IF(AND($K3161="对外销售",$T3161&lt;&gt;"",$T3161&lt;0),"※这一笔外销是亏的，请核对售价",IF(IFERROR(VLOOKUP($D3161,库存台账!$A$5:$Y$1204,24,0),0)&lt;-0.001,"※这个物料账面已经变成负数了，查一下是不是漏记入库","")))))))))))</f>
        <v/>
      </c>
    </row>
    <row r="3162">
      <c r="A3162" s="24">
        <f>IF($D3162="","",COUNTA($D$4:$D3162))</f>
        <v/>
      </c>
      <c r="B3162" s="17" t="n"/>
      <c r="C3162" s="30" t="n"/>
      <c r="D3162" s="17" t="n"/>
      <c r="E3162" s="24">
        <f>IF($D3162="","",IFERROR(VLOOKUP($D3162,物料档案!$A$4:$P$1203,3,0),"※编码不在物料档案里"))</f>
        <v/>
      </c>
      <c r="F3162" s="24">
        <f>IF($D3162="","",IFERROR(VLOOKUP($D3162,物料档案!$A$4:$P$1203,4,0),"※编码不在物料档案里"))</f>
        <v/>
      </c>
      <c r="G3162" s="24">
        <f>IF($D3162="","",IFERROR(VLOOKUP($D3162,物料档案!$A$4:$P$1203,5,0),"※编码不在物料档案里"))</f>
        <v/>
      </c>
      <c r="H3162" s="24">
        <f>IF($D3162="","",IFERROR(VLOOKUP($D3162,物料档案!$A$4:$P$1203,2,0),"※编码不在物料档案里"))</f>
        <v/>
      </c>
      <c r="I3162" s="24">
        <f>IF($D3162="","",IFERROR(VLOOKUP($D3162,物料档案!$A$4:$P$1203,6,0),"※编码不在物料档案里"))</f>
        <v/>
      </c>
      <c r="J3162" s="23" t="n"/>
      <c r="K3162" s="17" t="n"/>
      <c r="L3162" s="17" t="n"/>
      <c r="M3162" s="17" t="n"/>
      <c r="N3162" s="17" t="n"/>
      <c r="O3162" s="26">
        <f>IF($D3162="","",IFERROR(VLOOKUP($D3162,物料档案!$A$4:$P$1203,10,0),0))</f>
        <v/>
      </c>
      <c r="P3162" s="32" t="n"/>
      <c r="Q3162" s="26">
        <f>IF($D3162="","",IF($K3162&lt;&gt;"对外销售",0,ROUND(N($J3162)*IF($P3162="",N($O3162),N($P3162)),0)))</f>
        <v/>
      </c>
      <c r="R3162" s="26">
        <f>IF($D3162="","",IFERROR(VLOOKUP($D3162,库存台账!$A$5:$Y$1204,11,0),0))</f>
        <v/>
      </c>
      <c r="S3162" s="26">
        <f>IF($D3162="","",ROUND(N($J3162)*N($R3162),0))</f>
        <v/>
      </c>
      <c r="T3162" s="26">
        <f>IF($D3162="","",IF($K3162&lt;&gt;"对外销售","",ROUND($Q3162-$S3162,0)))</f>
        <v/>
      </c>
      <c r="U3162" s="17" t="n"/>
      <c r="V3162" s="17" t="n"/>
      <c r="W3162" s="24">
        <f>IF($D3162="","",IF($E3162="※编码不在物料档案里","※物料编码不在档案里",IF(N($J3162)&lt;=0,"※出库数量要大于 0",IF($K3162="","※没填去向类型",IF($L3162="","※没填去向矿区",IF(AND($C3162&lt;&gt;"",$C3162&lt;=结账锁),"※日期早于已结账截止日，不能再录",IF(AND($K3162="自用消耗",COUNTIF({"一矿区";"二矿区"},$L3162)=0),"※自用消耗的去向只能是一矿区或二矿区",IF(AND($K3162="对外销售",COUNTIF({"三矿区";"六矿区"},$L3162)=0),"※对外销售的去向只能是三矿区或六矿区",IF(AND($K3162="对外销售",ROUND($Q3162,0)=0),"※外销却没有售价，请填实际售价",IF(AND($K3162="对外销售",$T3162&lt;&gt;"",$T3162&lt;0),"※这一笔外销是亏的，请核对售价",IF(IFERROR(VLOOKUP($D3162,库存台账!$A$5:$Y$1204,24,0),0)&lt;-0.001,"※这个物料账面已经变成负数了，查一下是不是漏记入库","")))))))))))</f>
        <v/>
      </c>
    </row>
    <row r="3163">
      <c r="A3163" s="24">
        <f>IF($D3163="","",COUNTA($D$4:$D3163))</f>
        <v/>
      </c>
      <c r="B3163" s="17" t="n"/>
      <c r="C3163" s="30" t="n"/>
      <c r="D3163" s="17" t="n"/>
      <c r="E3163" s="24">
        <f>IF($D3163="","",IFERROR(VLOOKUP($D3163,物料档案!$A$4:$P$1203,3,0),"※编码不在物料档案里"))</f>
        <v/>
      </c>
      <c r="F3163" s="24">
        <f>IF($D3163="","",IFERROR(VLOOKUP($D3163,物料档案!$A$4:$P$1203,4,0),"※编码不在物料档案里"))</f>
        <v/>
      </c>
      <c r="G3163" s="24">
        <f>IF($D3163="","",IFERROR(VLOOKUP($D3163,物料档案!$A$4:$P$1203,5,0),"※编码不在物料档案里"))</f>
        <v/>
      </c>
      <c r="H3163" s="24">
        <f>IF($D3163="","",IFERROR(VLOOKUP($D3163,物料档案!$A$4:$P$1203,2,0),"※编码不在物料档案里"))</f>
        <v/>
      </c>
      <c r="I3163" s="24">
        <f>IF($D3163="","",IFERROR(VLOOKUP($D3163,物料档案!$A$4:$P$1203,6,0),"※编码不在物料档案里"))</f>
        <v/>
      </c>
      <c r="J3163" s="23" t="n"/>
      <c r="K3163" s="17" t="n"/>
      <c r="L3163" s="17" t="n"/>
      <c r="M3163" s="17" t="n"/>
      <c r="N3163" s="17" t="n"/>
      <c r="O3163" s="26">
        <f>IF($D3163="","",IFERROR(VLOOKUP($D3163,物料档案!$A$4:$P$1203,10,0),0))</f>
        <v/>
      </c>
      <c r="P3163" s="32" t="n"/>
      <c r="Q3163" s="26">
        <f>IF($D3163="","",IF($K3163&lt;&gt;"对外销售",0,ROUND(N($J3163)*IF($P3163="",N($O3163),N($P3163)),0)))</f>
        <v/>
      </c>
      <c r="R3163" s="26">
        <f>IF($D3163="","",IFERROR(VLOOKUP($D3163,库存台账!$A$5:$Y$1204,11,0),0))</f>
        <v/>
      </c>
      <c r="S3163" s="26">
        <f>IF($D3163="","",ROUND(N($J3163)*N($R3163),0))</f>
        <v/>
      </c>
      <c r="T3163" s="26">
        <f>IF($D3163="","",IF($K3163&lt;&gt;"对外销售","",ROUND($Q3163-$S3163,0)))</f>
        <v/>
      </c>
      <c r="U3163" s="17" t="n"/>
      <c r="V3163" s="17" t="n"/>
      <c r="W3163" s="24">
        <f>IF($D3163="","",IF($E3163="※编码不在物料档案里","※物料编码不在档案里",IF(N($J3163)&lt;=0,"※出库数量要大于 0",IF($K3163="","※没填去向类型",IF($L3163="","※没填去向矿区",IF(AND($C3163&lt;&gt;"",$C3163&lt;=结账锁),"※日期早于已结账截止日，不能再录",IF(AND($K3163="自用消耗",COUNTIF({"一矿区";"二矿区"},$L3163)=0),"※自用消耗的去向只能是一矿区或二矿区",IF(AND($K3163="对外销售",COUNTIF({"三矿区";"六矿区"},$L3163)=0),"※对外销售的去向只能是三矿区或六矿区",IF(AND($K3163="对外销售",ROUND($Q3163,0)=0),"※外销却没有售价，请填实际售价",IF(AND($K3163="对外销售",$T3163&lt;&gt;"",$T3163&lt;0),"※这一笔外销是亏的，请核对售价",IF(IFERROR(VLOOKUP($D3163,库存台账!$A$5:$Y$1204,24,0),0)&lt;-0.001,"※这个物料账面已经变成负数了，查一下是不是漏记入库","")))))))))))</f>
        <v/>
      </c>
    </row>
    <row r="3164">
      <c r="A3164" s="24">
        <f>IF($D3164="","",COUNTA($D$4:$D3164))</f>
        <v/>
      </c>
      <c r="B3164" s="17" t="n"/>
      <c r="C3164" s="30" t="n"/>
      <c r="D3164" s="17" t="n"/>
      <c r="E3164" s="24">
        <f>IF($D3164="","",IFERROR(VLOOKUP($D3164,物料档案!$A$4:$P$1203,3,0),"※编码不在物料档案里"))</f>
        <v/>
      </c>
      <c r="F3164" s="24">
        <f>IF($D3164="","",IFERROR(VLOOKUP($D3164,物料档案!$A$4:$P$1203,4,0),"※编码不在物料档案里"))</f>
        <v/>
      </c>
      <c r="G3164" s="24">
        <f>IF($D3164="","",IFERROR(VLOOKUP($D3164,物料档案!$A$4:$P$1203,5,0),"※编码不在物料档案里"))</f>
        <v/>
      </c>
      <c r="H3164" s="24">
        <f>IF($D3164="","",IFERROR(VLOOKUP($D3164,物料档案!$A$4:$P$1203,2,0),"※编码不在物料档案里"))</f>
        <v/>
      </c>
      <c r="I3164" s="24">
        <f>IF($D3164="","",IFERROR(VLOOKUP($D3164,物料档案!$A$4:$P$1203,6,0),"※编码不在物料档案里"))</f>
        <v/>
      </c>
      <c r="J3164" s="23" t="n"/>
      <c r="K3164" s="17" t="n"/>
      <c r="L3164" s="17" t="n"/>
      <c r="M3164" s="17" t="n"/>
      <c r="N3164" s="17" t="n"/>
      <c r="O3164" s="26">
        <f>IF($D3164="","",IFERROR(VLOOKUP($D3164,物料档案!$A$4:$P$1203,10,0),0))</f>
        <v/>
      </c>
      <c r="P3164" s="32" t="n"/>
      <c r="Q3164" s="26">
        <f>IF($D3164="","",IF($K3164&lt;&gt;"对外销售",0,ROUND(N($J3164)*IF($P3164="",N($O3164),N($P3164)),0)))</f>
        <v/>
      </c>
      <c r="R3164" s="26">
        <f>IF($D3164="","",IFERROR(VLOOKUP($D3164,库存台账!$A$5:$Y$1204,11,0),0))</f>
        <v/>
      </c>
      <c r="S3164" s="26">
        <f>IF($D3164="","",ROUND(N($J3164)*N($R3164),0))</f>
        <v/>
      </c>
      <c r="T3164" s="26">
        <f>IF($D3164="","",IF($K3164&lt;&gt;"对外销售","",ROUND($Q3164-$S3164,0)))</f>
        <v/>
      </c>
      <c r="U3164" s="17" t="n"/>
      <c r="V3164" s="17" t="n"/>
      <c r="W3164" s="24">
        <f>IF($D3164="","",IF($E3164="※编码不在物料档案里","※物料编码不在档案里",IF(N($J3164)&lt;=0,"※出库数量要大于 0",IF($K3164="","※没填去向类型",IF($L3164="","※没填去向矿区",IF(AND($C3164&lt;&gt;"",$C3164&lt;=结账锁),"※日期早于已结账截止日，不能再录",IF(AND($K3164="自用消耗",COUNTIF({"一矿区";"二矿区"},$L3164)=0),"※自用消耗的去向只能是一矿区或二矿区",IF(AND($K3164="对外销售",COUNTIF({"三矿区";"六矿区"},$L3164)=0),"※对外销售的去向只能是三矿区或六矿区",IF(AND($K3164="对外销售",ROUND($Q3164,0)=0),"※外销却没有售价，请填实际售价",IF(AND($K3164="对外销售",$T3164&lt;&gt;"",$T3164&lt;0),"※这一笔外销是亏的，请核对售价",IF(IFERROR(VLOOKUP($D3164,库存台账!$A$5:$Y$1204,24,0),0)&lt;-0.001,"※这个物料账面已经变成负数了，查一下是不是漏记入库","")))))))))))</f>
        <v/>
      </c>
    </row>
    <row r="3165">
      <c r="A3165" s="24">
        <f>IF($D3165="","",COUNTA($D$4:$D3165))</f>
        <v/>
      </c>
      <c r="B3165" s="17" t="n"/>
      <c r="C3165" s="30" t="n"/>
      <c r="D3165" s="17" t="n"/>
      <c r="E3165" s="24">
        <f>IF($D3165="","",IFERROR(VLOOKUP($D3165,物料档案!$A$4:$P$1203,3,0),"※编码不在物料档案里"))</f>
        <v/>
      </c>
      <c r="F3165" s="24">
        <f>IF($D3165="","",IFERROR(VLOOKUP($D3165,物料档案!$A$4:$P$1203,4,0),"※编码不在物料档案里"))</f>
        <v/>
      </c>
      <c r="G3165" s="24">
        <f>IF($D3165="","",IFERROR(VLOOKUP($D3165,物料档案!$A$4:$P$1203,5,0),"※编码不在物料档案里"))</f>
        <v/>
      </c>
      <c r="H3165" s="24">
        <f>IF($D3165="","",IFERROR(VLOOKUP($D3165,物料档案!$A$4:$P$1203,2,0),"※编码不在物料档案里"))</f>
        <v/>
      </c>
      <c r="I3165" s="24">
        <f>IF($D3165="","",IFERROR(VLOOKUP($D3165,物料档案!$A$4:$P$1203,6,0),"※编码不在物料档案里"))</f>
        <v/>
      </c>
      <c r="J3165" s="23" t="n"/>
      <c r="K3165" s="17" t="n"/>
      <c r="L3165" s="17" t="n"/>
      <c r="M3165" s="17" t="n"/>
      <c r="N3165" s="17" t="n"/>
      <c r="O3165" s="26">
        <f>IF($D3165="","",IFERROR(VLOOKUP($D3165,物料档案!$A$4:$P$1203,10,0),0))</f>
        <v/>
      </c>
      <c r="P3165" s="32" t="n"/>
      <c r="Q3165" s="26">
        <f>IF($D3165="","",IF($K3165&lt;&gt;"对外销售",0,ROUND(N($J3165)*IF($P3165="",N($O3165),N($P3165)),0)))</f>
        <v/>
      </c>
      <c r="R3165" s="26">
        <f>IF($D3165="","",IFERROR(VLOOKUP($D3165,库存台账!$A$5:$Y$1204,11,0),0))</f>
        <v/>
      </c>
      <c r="S3165" s="26">
        <f>IF($D3165="","",ROUND(N($J3165)*N($R3165),0))</f>
        <v/>
      </c>
      <c r="T3165" s="26">
        <f>IF($D3165="","",IF($K3165&lt;&gt;"对外销售","",ROUND($Q3165-$S3165,0)))</f>
        <v/>
      </c>
      <c r="U3165" s="17" t="n"/>
      <c r="V3165" s="17" t="n"/>
      <c r="W3165" s="24">
        <f>IF($D3165="","",IF($E3165="※编码不在物料档案里","※物料编码不在档案里",IF(N($J3165)&lt;=0,"※出库数量要大于 0",IF($K3165="","※没填去向类型",IF($L3165="","※没填去向矿区",IF(AND($C3165&lt;&gt;"",$C3165&lt;=结账锁),"※日期早于已结账截止日，不能再录",IF(AND($K3165="自用消耗",COUNTIF({"一矿区";"二矿区"},$L3165)=0),"※自用消耗的去向只能是一矿区或二矿区",IF(AND($K3165="对外销售",COUNTIF({"三矿区";"六矿区"},$L3165)=0),"※对外销售的去向只能是三矿区或六矿区",IF(AND($K3165="对外销售",ROUND($Q3165,0)=0),"※外销却没有售价，请填实际售价",IF(AND($K3165="对外销售",$T3165&lt;&gt;"",$T3165&lt;0),"※这一笔外销是亏的，请核对售价",IF(IFERROR(VLOOKUP($D3165,库存台账!$A$5:$Y$1204,24,0),0)&lt;-0.001,"※这个物料账面已经变成负数了，查一下是不是漏记入库","")))))))))))</f>
        <v/>
      </c>
    </row>
    <row r="3166">
      <c r="A3166" s="24">
        <f>IF($D3166="","",COUNTA($D$4:$D3166))</f>
        <v/>
      </c>
      <c r="B3166" s="17" t="n"/>
      <c r="C3166" s="30" t="n"/>
      <c r="D3166" s="17" t="n"/>
      <c r="E3166" s="24">
        <f>IF($D3166="","",IFERROR(VLOOKUP($D3166,物料档案!$A$4:$P$1203,3,0),"※编码不在物料档案里"))</f>
        <v/>
      </c>
      <c r="F3166" s="24">
        <f>IF($D3166="","",IFERROR(VLOOKUP($D3166,物料档案!$A$4:$P$1203,4,0),"※编码不在物料档案里"))</f>
        <v/>
      </c>
      <c r="G3166" s="24">
        <f>IF($D3166="","",IFERROR(VLOOKUP($D3166,物料档案!$A$4:$P$1203,5,0),"※编码不在物料档案里"))</f>
        <v/>
      </c>
      <c r="H3166" s="24">
        <f>IF($D3166="","",IFERROR(VLOOKUP($D3166,物料档案!$A$4:$P$1203,2,0),"※编码不在物料档案里"))</f>
        <v/>
      </c>
      <c r="I3166" s="24">
        <f>IF($D3166="","",IFERROR(VLOOKUP($D3166,物料档案!$A$4:$P$1203,6,0),"※编码不在物料档案里"))</f>
        <v/>
      </c>
      <c r="J3166" s="23" t="n"/>
      <c r="K3166" s="17" t="n"/>
      <c r="L3166" s="17" t="n"/>
      <c r="M3166" s="17" t="n"/>
      <c r="N3166" s="17" t="n"/>
      <c r="O3166" s="26">
        <f>IF($D3166="","",IFERROR(VLOOKUP($D3166,物料档案!$A$4:$P$1203,10,0),0))</f>
        <v/>
      </c>
      <c r="P3166" s="32" t="n"/>
      <c r="Q3166" s="26">
        <f>IF($D3166="","",IF($K3166&lt;&gt;"对外销售",0,ROUND(N($J3166)*IF($P3166="",N($O3166),N($P3166)),0)))</f>
        <v/>
      </c>
      <c r="R3166" s="26">
        <f>IF($D3166="","",IFERROR(VLOOKUP($D3166,库存台账!$A$5:$Y$1204,11,0),0))</f>
        <v/>
      </c>
      <c r="S3166" s="26">
        <f>IF($D3166="","",ROUND(N($J3166)*N($R3166),0))</f>
        <v/>
      </c>
      <c r="T3166" s="26">
        <f>IF($D3166="","",IF($K3166&lt;&gt;"对外销售","",ROUND($Q3166-$S3166,0)))</f>
        <v/>
      </c>
      <c r="U3166" s="17" t="n"/>
      <c r="V3166" s="17" t="n"/>
      <c r="W3166" s="24">
        <f>IF($D3166="","",IF($E3166="※编码不在物料档案里","※物料编码不在档案里",IF(N($J3166)&lt;=0,"※出库数量要大于 0",IF($K3166="","※没填去向类型",IF($L3166="","※没填去向矿区",IF(AND($C3166&lt;&gt;"",$C3166&lt;=结账锁),"※日期早于已结账截止日，不能再录",IF(AND($K3166="自用消耗",COUNTIF({"一矿区";"二矿区"},$L3166)=0),"※自用消耗的去向只能是一矿区或二矿区",IF(AND($K3166="对外销售",COUNTIF({"三矿区";"六矿区"},$L3166)=0),"※对外销售的去向只能是三矿区或六矿区",IF(AND($K3166="对外销售",ROUND($Q3166,0)=0),"※外销却没有售价，请填实际售价",IF(AND($K3166="对外销售",$T3166&lt;&gt;"",$T3166&lt;0),"※这一笔外销是亏的，请核对售价",IF(IFERROR(VLOOKUP($D3166,库存台账!$A$5:$Y$1204,24,0),0)&lt;-0.001,"※这个物料账面已经变成负数了，查一下是不是漏记入库","")))))))))))</f>
        <v/>
      </c>
    </row>
    <row r="3167">
      <c r="A3167" s="24">
        <f>IF($D3167="","",COUNTA($D$4:$D3167))</f>
        <v/>
      </c>
      <c r="B3167" s="17" t="n"/>
      <c r="C3167" s="30" t="n"/>
      <c r="D3167" s="17" t="n"/>
      <c r="E3167" s="24">
        <f>IF($D3167="","",IFERROR(VLOOKUP($D3167,物料档案!$A$4:$P$1203,3,0),"※编码不在物料档案里"))</f>
        <v/>
      </c>
      <c r="F3167" s="24">
        <f>IF($D3167="","",IFERROR(VLOOKUP($D3167,物料档案!$A$4:$P$1203,4,0),"※编码不在物料档案里"))</f>
        <v/>
      </c>
      <c r="G3167" s="24">
        <f>IF($D3167="","",IFERROR(VLOOKUP($D3167,物料档案!$A$4:$P$1203,5,0),"※编码不在物料档案里"))</f>
        <v/>
      </c>
      <c r="H3167" s="24">
        <f>IF($D3167="","",IFERROR(VLOOKUP($D3167,物料档案!$A$4:$P$1203,2,0),"※编码不在物料档案里"))</f>
        <v/>
      </c>
      <c r="I3167" s="24">
        <f>IF($D3167="","",IFERROR(VLOOKUP($D3167,物料档案!$A$4:$P$1203,6,0),"※编码不在物料档案里"))</f>
        <v/>
      </c>
      <c r="J3167" s="23" t="n"/>
      <c r="K3167" s="17" t="n"/>
      <c r="L3167" s="17" t="n"/>
      <c r="M3167" s="17" t="n"/>
      <c r="N3167" s="17" t="n"/>
      <c r="O3167" s="26">
        <f>IF($D3167="","",IFERROR(VLOOKUP($D3167,物料档案!$A$4:$P$1203,10,0),0))</f>
        <v/>
      </c>
      <c r="P3167" s="32" t="n"/>
      <c r="Q3167" s="26">
        <f>IF($D3167="","",IF($K3167&lt;&gt;"对外销售",0,ROUND(N($J3167)*IF($P3167="",N($O3167),N($P3167)),0)))</f>
        <v/>
      </c>
      <c r="R3167" s="26">
        <f>IF($D3167="","",IFERROR(VLOOKUP($D3167,库存台账!$A$5:$Y$1204,11,0),0))</f>
        <v/>
      </c>
      <c r="S3167" s="26">
        <f>IF($D3167="","",ROUND(N($J3167)*N($R3167),0))</f>
        <v/>
      </c>
      <c r="T3167" s="26">
        <f>IF($D3167="","",IF($K3167&lt;&gt;"对外销售","",ROUND($Q3167-$S3167,0)))</f>
        <v/>
      </c>
      <c r="U3167" s="17" t="n"/>
      <c r="V3167" s="17" t="n"/>
      <c r="W3167" s="24">
        <f>IF($D3167="","",IF($E3167="※编码不在物料档案里","※物料编码不在档案里",IF(N($J3167)&lt;=0,"※出库数量要大于 0",IF($K3167="","※没填去向类型",IF($L3167="","※没填去向矿区",IF(AND($C3167&lt;&gt;"",$C3167&lt;=结账锁),"※日期早于已结账截止日，不能再录",IF(AND($K3167="自用消耗",COUNTIF({"一矿区";"二矿区"},$L3167)=0),"※自用消耗的去向只能是一矿区或二矿区",IF(AND($K3167="对外销售",COUNTIF({"三矿区";"六矿区"},$L3167)=0),"※对外销售的去向只能是三矿区或六矿区",IF(AND($K3167="对外销售",ROUND($Q3167,0)=0),"※外销却没有售价，请填实际售价",IF(AND($K3167="对外销售",$T3167&lt;&gt;"",$T3167&lt;0),"※这一笔外销是亏的，请核对售价",IF(IFERROR(VLOOKUP($D3167,库存台账!$A$5:$Y$1204,24,0),0)&lt;-0.001,"※这个物料账面已经变成负数了，查一下是不是漏记入库","")))))))))))</f>
        <v/>
      </c>
    </row>
    <row r="3168">
      <c r="A3168" s="24">
        <f>IF($D3168="","",COUNTA($D$4:$D3168))</f>
        <v/>
      </c>
      <c r="B3168" s="17" t="n"/>
      <c r="C3168" s="30" t="n"/>
      <c r="D3168" s="17" t="n"/>
      <c r="E3168" s="24">
        <f>IF($D3168="","",IFERROR(VLOOKUP($D3168,物料档案!$A$4:$P$1203,3,0),"※编码不在物料档案里"))</f>
        <v/>
      </c>
      <c r="F3168" s="24">
        <f>IF($D3168="","",IFERROR(VLOOKUP($D3168,物料档案!$A$4:$P$1203,4,0),"※编码不在物料档案里"))</f>
        <v/>
      </c>
      <c r="G3168" s="24">
        <f>IF($D3168="","",IFERROR(VLOOKUP($D3168,物料档案!$A$4:$P$1203,5,0),"※编码不在物料档案里"))</f>
        <v/>
      </c>
      <c r="H3168" s="24">
        <f>IF($D3168="","",IFERROR(VLOOKUP($D3168,物料档案!$A$4:$P$1203,2,0),"※编码不在物料档案里"))</f>
        <v/>
      </c>
      <c r="I3168" s="24">
        <f>IF($D3168="","",IFERROR(VLOOKUP($D3168,物料档案!$A$4:$P$1203,6,0),"※编码不在物料档案里"))</f>
        <v/>
      </c>
      <c r="J3168" s="23" t="n"/>
      <c r="K3168" s="17" t="n"/>
      <c r="L3168" s="17" t="n"/>
      <c r="M3168" s="17" t="n"/>
      <c r="N3168" s="17" t="n"/>
      <c r="O3168" s="26">
        <f>IF($D3168="","",IFERROR(VLOOKUP($D3168,物料档案!$A$4:$P$1203,10,0),0))</f>
        <v/>
      </c>
      <c r="P3168" s="32" t="n"/>
      <c r="Q3168" s="26">
        <f>IF($D3168="","",IF($K3168&lt;&gt;"对外销售",0,ROUND(N($J3168)*IF($P3168="",N($O3168),N($P3168)),0)))</f>
        <v/>
      </c>
      <c r="R3168" s="26">
        <f>IF($D3168="","",IFERROR(VLOOKUP($D3168,库存台账!$A$5:$Y$1204,11,0),0))</f>
        <v/>
      </c>
      <c r="S3168" s="26">
        <f>IF($D3168="","",ROUND(N($J3168)*N($R3168),0))</f>
        <v/>
      </c>
      <c r="T3168" s="26">
        <f>IF($D3168="","",IF($K3168&lt;&gt;"对外销售","",ROUND($Q3168-$S3168,0)))</f>
        <v/>
      </c>
      <c r="U3168" s="17" t="n"/>
      <c r="V3168" s="17" t="n"/>
      <c r="W3168" s="24">
        <f>IF($D3168="","",IF($E3168="※编码不在物料档案里","※物料编码不在档案里",IF(N($J3168)&lt;=0,"※出库数量要大于 0",IF($K3168="","※没填去向类型",IF($L3168="","※没填去向矿区",IF(AND($C3168&lt;&gt;"",$C3168&lt;=结账锁),"※日期早于已结账截止日，不能再录",IF(AND($K3168="自用消耗",COUNTIF({"一矿区";"二矿区"},$L3168)=0),"※自用消耗的去向只能是一矿区或二矿区",IF(AND($K3168="对外销售",COUNTIF({"三矿区";"六矿区"},$L3168)=0),"※对外销售的去向只能是三矿区或六矿区",IF(AND($K3168="对外销售",ROUND($Q3168,0)=0),"※外销却没有售价，请填实际售价",IF(AND($K3168="对外销售",$T3168&lt;&gt;"",$T3168&lt;0),"※这一笔外销是亏的，请核对售价",IF(IFERROR(VLOOKUP($D3168,库存台账!$A$5:$Y$1204,24,0),0)&lt;-0.001,"※这个物料账面已经变成负数了，查一下是不是漏记入库","")))))))))))</f>
        <v/>
      </c>
    </row>
    <row r="3169">
      <c r="A3169" s="24">
        <f>IF($D3169="","",COUNTA($D$4:$D3169))</f>
        <v/>
      </c>
      <c r="B3169" s="17" t="n"/>
      <c r="C3169" s="30" t="n"/>
      <c r="D3169" s="17" t="n"/>
      <c r="E3169" s="24">
        <f>IF($D3169="","",IFERROR(VLOOKUP($D3169,物料档案!$A$4:$P$1203,3,0),"※编码不在物料档案里"))</f>
        <v/>
      </c>
      <c r="F3169" s="24">
        <f>IF($D3169="","",IFERROR(VLOOKUP($D3169,物料档案!$A$4:$P$1203,4,0),"※编码不在物料档案里"))</f>
        <v/>
      </c>
      <c r="G3169" s="24">
        <f>IF($D3169="","",IFERROR(VLOOKUP($D3169,物料档案!$A$4:$P$1203,5,0),"※编码不在物料档案里"))</f>
        <v/>
      </c>
      <c r="H3169" s="24">
        <f>IF($D3169="","",IFERROR(VLOOKUP($D3169,物料档案!$A$4:$P$1203,2,0),"※编码不在物料档案里"))</f>
        <v/>
      </c>
      <c r="I3169" s="24">
        <f>IF($D3169="","",IFERROR(VLOOKUP($D3169,物料档案!$A$4:$P$1203,6,0),"※编码不在物料档案里"))</f>
        <v/>
      </c>
      <c r="J3169" s="23" t="n"/>
      <c r="K3169" s="17" t="n"/>
      <c r="L3169" s="17" t="n"/>
      <c r="M3169" s="17" t="n"/>
      <c r="N3169" s="17" t="n"/>
      <c r="O3169" s="26">
        <f>IF($D3169="","",IFERROR(VLOOKUP($D3169,物料档案!$A$4:$P$1203,10,0),0))</f>
        <v/>
      </c>
      <c r="P3169" s="32" t="n"/>
      <c r="Q3169" s="26">
        <f>IF($D3169="","",IF($K3169&lt;&gt;"对外销售",0,ROUND(N($J3169)*IF($P3169="",N($O3169),N($P3169)),0)))</f>
        <v/>
      </c>
      <c r="R3169" s="26">
        <f>IF($D3169="","",IFERROR(VLOOKUP($D3169,库存台账!$A$5:$Y$1204,11,0),0))</f>
        <v/>
      </c>
      <c r="S3169" s="26">
        <f>IF($D3169="","",ROUND(N($J3169)*N($R3169),0))</f>
        <v/>
      </c>
      <c r="T3169" s="26">
        <f>IF($D3169="","",IF($K3169&lt;&gt;"对外销售","",ROUND($Q3169-$S3169,0)))</f>
        <v/>
      </c>
      <c r="U3169" s="17" t="n"/>
      <c r="V3169" s="17" t="n"/>
      <c r="W3169" s="24">
        <f>IF($D3169="","",IF($E3169="※编码不在物料档案里","※物料编码不在档案里",IF(N($J3169)&lt;=0,"※出库数量要大于 0",IF($K3169="","※没填去向类型",IF($L3169="","※没填去向矿区",IF(AND($C3169&lt;&gt;"",$C3169&lt;=结账锁),"※日期早于已结账截止日，不能再录",IF(AND($K3169="自用消耗",COUNTIF({"一矿区";"二矿区"},$L3169)=0),"※自用消耗的去向只能是一矿区或二矿区",IF(AND($K3169="对外销售",COUNTIF({"三矿区";"六矿区"},$L3169)=0),"※对外销售的去向只能是三矿区或六矿区",IF(AND($K3169="对外销售",ROUND($Q3169,0)=0),"※外销却没有售价，请填实际售价",IF(AND($K3169="对外销售",$T3169&lt;&gt;"",$T3169&lt;0),"※这一笔外销是亏的，请核对售价",IF(IFERROR(VLOOKUP($D3169,库存台账!$A$5:$Y$1204,24,0),0)&lt;-0.001,"※这个物料账面已经变成负数了，查一下是不是漏记入库","")))))))))))</f>
        <v/>
      </c>
    </row>
    <row r="3170">
      <c r="A3170" s="24">
        <f>IF($D3170="","",COUNTA($D$4:$D3170))</f>
        <v/>
      </c>
      <c r="B3170" s="17" t="n"/>
      <c r="C3170" s="30" t="n"/>
      <c r="D3170" s="17" t="n"/>
      <c r="E3170" s="24">
        <f>IF($D3170="","",IFERROR(VLOOKUP($D3170,物料档案!$A$4:$P$1203,3,0),"※编码不在物料档案里"))</f>
        <v/>
      </c>
      <c r="F3170" s="24">
        <f>IF($D3170="","",IFERROR(VLOOKUP($D3170,物料档案!$A$4:$P$1203,4,0),"※编码不在物料档案里"))</f>
        <v/>
      </c>
      <c r="G3170" s="24">
        <f>IF($D3170="","",IFERROR(VLOOKUP($D3170,物料档案!$A$4:$P$1203,5,0),"※编码不在物料档案里"))</f>
        <v/>
      </c>
      <c r="H3170" s="24">
        <f>IF($D3170="","",IFERROR(VLOOKUP($D3170,物料档案!$A$4:$P$1203,2,0),"※编码不在物料档案里"))</f>
        <v/>
      </c>
      <c r="I3170" s="24">
        <f>IF($D3170="","",IFERROR(VLOOKUP($D3170,物料档案!$A$4:$P$1203,6,0),"※编码不在物料档案里"))</f>
        <v/>
      </c>
      <c r="J3170" s="23" t="n"/>
      <c r="K3170" s="17" t="n"/>
      <c r="L3170" s="17" t="n"/>
      <c r="M3170" s="17" t="n"/>
      <c r="N3170" s="17" t="n"/>
      <c r="O3170" s="26">
        <f>IF($D3170="","",IFERROR(VLOOKUP($D3170,物料档案!$A$4:$P$1203,10,0),0))</f>
        <v/>
      </c>
      <c r="P3170" s="32" t="n"/>
      <c r="Q3170" s="26">
        <f>IF($D3170="","",IF($K3170&lt;&gt;"对外销售",0,ROUND(N($J3170)*IF($P3170="",N($O3170),N($P3170)),0)))</f>
        <v/>
      </c>
      <c r="R3170" s="26">
        <f>IF($D3170="","",IFERROR(VLOOKUP($D3170,库存台账!$A$5:$Y$1204,11,0),0))</f>
        <v/>
      </c>
      <c r="S3170" s="26">
        <f>IF($D3170="","",ROUND(N($J3170)*N($R3170),0))</f>
        <v/>
      </c>
      <c r="T3170" s="26">
        <f>IF($D3170="","",IF($K3170&lt;&gt;"对外销售","",ROUND($Q3170-$S3170,0)))</f>
        <v/>
      </c>
      <c r="U3170" s="17" t="n"/>
      <c r="V3170" s="17" t="n"/>
      <c r="W3170" s="24">
        <f>IF($D3170="","",IF($E3170="※编码不在物料档案里","※物料编码不在档案里",IF(N($J3170)&lt;=0,"※出库数量要大于 0",IF($K3170="","※没填去向类型",IF($L3170="","※没填去向矿区",IF(AND($C3170&lt;&gt;"",$C3170&lt;=结账锁),"※日期早于已结账截止日，不能再录",IF(AND($K3170="自用消耗",COUNTIF({"一矿区";"二矿区"},$L3170)=0),"※自用消耗的去向只能是一矿区或二矿区",IF(AND($K3170="对外销售",COUNTIF({"三矿区";"六矿区"},$L3170)=0),"※对外销售的去向只能是三矿区或六矿区",IF(AND($K3170="对外销售",ROUND($Q3170,0)=0),"※外销却没有售价，请填实际售价",IF(AND($K3170="对外销售",$T3170&lt;&gt;"",$T3170&lt;0),"※这一笔外销是亏的，请核对售价",IF(IFERROR(VLOOKUP($D3170,库存台账!$A$5:$Y$1204,24,0),0)&lt;-0.001,"※这个物料账面已经变成负数了，查一下是不是漏记入库","")))))))))))</f>
        <v/>
      </c>
    </row>
    <row r="3171">
      <c r="A3171" s="24">
        <f>IF($D3171="","",COUNTA($D$4:$D3171))</f>
        <v/>
      </c>
      <c r="B3171" s="17" t="n"/>
      <c r="C3171" s="30" t="n"/>
      <c r="D3171" s="17" t="n"/>
      <c r="E3171" s="24">
        <f>IF($D3171="","",IFERROR(VLOOKUP($D3171,物料档案!$A$4:$P$1203,3,0),"※编码不在物料档案里"))</f>
        <v/>
      </c>
      <c r="F3171" s="24">
        <f>IF($D3171="","",IFERROR(VLOOKUP($D3171,物料档案!$A$4:$P$1203,4,0),"※编码不在物料档案里"))</f>
        <v/>
      </c>
      <c r="G3171" s="24">
        <f>IF($D3171="","",IFERROR(VLOOKUP($D3171,物料档案!$A$4:$P$1203,5,0),"※编码不在物料档案里"))</f>
        <v/>
      </c>
      <c r="H3171" s="24">
        <f>IF($D3171="","",IFERROR(VLOOKUP($D3171,物料档案!$A$4:$P$1203,2,0),"※编码不在物料档案里"))</f>
        <v/>
      </c>
      <c r="I3171" s="24">
        <f>IF($D3171="","",IFERROR(VLOOKUP($D3171,物料档案!$A$4:$P$1203,6,0),"※编码不在物料档案里"))</f>
        <v/>
      </c>
      <c r="J3171" s="23" t="n"/>
      <c r="K3171" s="17" t="n"/>
      <c r="L3171" s="17" t="n"/>
      <c r="M3171" s="17" t="n"/>
      <c r="N3171" s="17" t="n"/>
      <c r="O3171" s="26">
        <f>IF($D3171="","",IFERROR(VLOOKUP($D3171,物料档案!$A$4:$P$1203,10,0),0))</f>
        <v/>
      </c>
      <c r="P3171" s="32" t="n"/>
      <c r="Q3171" s="26">
        <f>IF($D3171="","",IF($K3171&lt;&gt;"对外销售",0,ROUND(N($J3171)*IF($P3171="",N($O3171),N($P3171)),0)))</f>
        <v/>
      </c>
      <c r="R3171" s="26">
        <f>IF($D3171="","",IFERROR(VLOOKUP($D3171,库存台账!$A$5:$Y$1204,11,0),0))</f>
        <v/>
      </c>
      <c r="S3171" s="26">
        <f>IF($D3171="","",ROUND(N($J3171)*N($R3171),0))</f>
        <v/>
      </c>
      <c r="T3171" s="26">
        <f>IF($D3171="","",IF($K3171&lt;&gt;"对外销售","",ROUND($Q3171-$S3171,0)))</f>
        <v/>
      </c>
      <c r="U3171" s="17" t="n"/>
      <c r="V3171" s="17" t="n"/>
      <c r="W3171" s="24">
        <f>IF($D3171="","",IF($E3171="※编码不在物料档案里","※物料编码不在档案里",IF(N($J3171)&lt;=0,"※出库数量要大于 0",IF($K3171="","※没填去向类型",IF($L3171="","※没填去向矿区",IF(AND($C3171&lt;&gt;"",$C3171&lt;=结账锁),"※日期早于已结账截止日，不能再录",IF(AND($K3171="自用消耗",COUNTIF({"一矿区";"二矿区"},$L3171)=0),"※自用消耗的去向只能是一矿区或二矿区",IF(AND($K3171="对外销售",COUNTIF({"三矿区";"六矿区"},$L3171)=0),"※对外销售的去向只能是三矿区或六矿区",IF(AND($K3171="对外销售",ROUND($Q3171,0)=0),"※外销却没有售价，请填实际售价",IF(AND($K3171="对外销售",$T3171&lt;&gt;"",$T3171&lt;0),"※这一笔外销是亏的，请核对售价",IF(IFERROR(VLOOKUP($D3171,库存台账!$A$5:$Y$1204,24,0),0)&lt;-0.001,"※这个物料账面已经变成负数了，查一下是不是漏记入库","")))))))))))</f>
        <v/>
      </c>
    </row>
    <row r="3172">
      <c r="A3172" s="24">
        <f>IF($D3172="","",COUNTA($D$4:$D3172))</f>
        <v/>
      </c>
      <c r="B3172" s="17" t="n"/>
      <c r="C3172" s="30" t="n"/>
      <c r="D3172" s="17" t="n"/>
      <c r="E3172" s="24">
        <f>IF($D3172="","",IFERROR(VLOOKUP($D3172,物料档案!$A$4:$P$1203,3,0),"※编码不在物料档案里"))</f>
        <v/>
      </c>
      <c r="F3172" s="24">
        <f>IF($D3172="","",IFERROR(VLOOKUP($D3172,物料档案!$A$4:$P$1203,4,0),"※编码不在物料档案里"))</f>
        <v/>
      </c>
      <c r="G3172" s="24">
        <f>IF($D3172="","",IFERROR(VLOOKUP($D3172,物料档案!$A$4:$P$1203,5,0),"※编码不在物料档案里"))</f>
        <v/>
      </c>
      <c r="H3172" s="24">
        <f>IF($D3172="","",IFERROR(VLOOKUP($D3172,物料档案!$A$4:$P$1203,2,0),"※编码不在物料档案里"))</f>
        <v/>
      </c>
      <c r="I3172" s="24">
        <f>IF($D3172="","",IFERROR(VLOOKUP($D3172,物料档案!$A$4:$P$1203,6,0),"※编码不在物料档案里"))</f>
        <v/>
      </c>
      <c r="J3172" s="23" t="n"/>
      <c r="K3172" s="17" t="n"/>
      <c r="L3172" s="17" t="n"/>
      <c r="M3172" s="17" t="n"/>
      <c r="N3172" s="17" t="n"/>
      <c r="O3172" s="26">
        <f>IF($D3172="","",IFERROR(VLOOKUP($D3172,物料档案!$A$4:$P$1203,10,0),0))</f>
        <v/>
      </c>
      <c r="P3172" s="32" t="n"/>
      <c r="Q3172" s="26">
        <f>IF($D3172="","",IF($K3172&lt;&gt;"对外销售",0,ROUND(N($J3172)*IF($P3172="",N($O3172),N($P3172)),0)))</f>
        <v/>
      </c>
      <c r="R3172" s="26">
        <f>IF($D3172="","",IFERROR(VLOOKUP($D3172,库存台账!$A$5:$Y$1204,11,0),0))</f>
        <v/>
      </c>
      <c r="S3172" s="26">
        <f>IF($D3172="","",ROUND(N($J3172)*N($R3172),0))</f>
        <v/>
      </c>
      <c r="T3172" s="26">
        <f>IF($D3172="","",IF($K3172&lt;&gt;"对外销售","",ROUND($Q3172-$S3172,0)))</f>
        <v/>
      </c>
      <c r="U3172" s="17" t="n"/>
      <c r="V3172" s="17" t="n"/>
      <c r="W3172" s="24">
        <f>IF($D3172="","",IF($E3172="※编码不在物料档案里","※物料编码不在档案里",IF(N($J3172)&lt;=0,"※出库数量要大于 0",IF($K3172="","※没填去向类型",IF($L3172="","※没填去向矿区",IF(AND($C3172&lt;&gt;"",$C3172&lt;=结账锁),"※日期早于已结账截止日，不能再录",IF(AND($K3172="自用消耗",COUNTIF({"一矿区";"二矿区"},$L3172)=0),"※自用消耗的去向只能是一矿区或二矿区",IF(AND($K3172="对外销售",COUNTIF({"三矿区";"六矿区"},$L3172)=0),"※对外销售的去向只能是三矿区或六矿区",IF(AND($K3172="对外销售",ROUND($Q3172,0)=0),"※外销却没有售价，请填实际售价",IF(AND($K3172="对外销售",$T3172&lt;&gt;"",$T3172&lt;0),"※这一笔外销是亏的，请核对售价",IF(IFERROR(VLOOKUP($D3172,库存台账!$A$5:$Y$1204,24,0),0)&lt;-0.001,"※这个物料账面已经变成负数了，查一下是不是漏记入库","")))))))))))</f>
        <v/>
      </c>
    </row>
    <row r="3173">
      <c r="A3173" s="24">
        <f>IF($D3173="","",COUNTA($D$4:$D3173))</f>
        <v/>
      </c>
      <c r="B3173" s="17" t="n"/>
      <c r="C3173" s="30" t="n"/>
      <c r="D3173" s="17" t="n"/>
      <c r="E3173" s="24">
        <f>IF($D3173="","",IFERROR(VLOOKUP($D3173,物料档案!$A$4:$P$1203,3,0),"※编码不在物料档案里"))</f>
        <v/>
      </c>
      <c r="F3173" s="24">
        <f>IF($D3173="","",IFERROR(VLOOKUP($D3173,物料档案!$A$4:$P$1203,4,0),"※编码不在物料档案里"))</f>
        <v/>
      </c>
      <c r="G3173" s="24">
        <f>IF($D3173="","",IFERROR(VLOOKUP($D3173,物料档案!$A$4:$P$1203,5,0),"※编码不在物料档案里"))</f>
        <v/>
      </c>
      <c r="H3173" s="24">
        <f>IF($D3173="","",IFERROR(VLOOKUP($D3173,物料档案!$A$4:$P$1203,2,0),"※编码不在物料档案里"))</f>
        <v/>
      </c>
      <c r="I3173" s="24">
        <f>IF($D3173="","",IFERROR(VLOOKUP($D3173,物料档案!$A$4:$P$1203,6,0),"※编码不在物料档案里"))</f>
        <v/>
      </c>
      <c r="J3173" s="23" t="n"/>
      <c r="K3173" s="17" t="n"/>
      <c r="L3173" s="17" t="n"/>
      <c r="M3173" s="17" t="n"/>
      <c r="N3173" s="17" t="n"/>
      <c r="O3173" s="26">
        <f>IF($D3173="","",IFERROR(VLOOKUP($D3173,物料档案!$A$4:$P$1203,10,0),0))</f>
        <v/>
      </c>
      <c r="P3173" s="32" t="n"/>
      <c r="Q3173" s="26">
        <f>IF($D3173="","",IF($K3173&lt;&gt;"对外销售",0,ROUND(N($J3173)*IF($P3173="",N($O3173),N($P3173)),0)))</f>
        <v/>
      </c>
      <c r="R3173" s="26">
        <f>IF($D3173="","",IFERROR(VLOOKUP($D3173,库存台账!$A$5:$Y$1204,11,0),0))</f>
        <v/>
      </c>
      <c r="S3173" s="26">
        <f>IF($D3173="","",ROUND(N($J3173)*N($R3173),0))</f>
        <v/>
      </c>
      <c r="T3173" s="26">
        <f>IF($D3173="","",IF($K3173&lt;&gt;"对外销售","",ROUND($Q3173-$S3173,0)))</f>
        <v/>
      </c>
      <c r="U3173" s="17" t="n"/>
      <c r="V3173" s="17" t="n"/>
      <c r="W3173" s="24">
        <f>IF($D3173="","",IF($E3173="※编码不在物料档案里","※物料编码不在档案里",IF(N($J3173)&lt;=0,"※出库数量要大于 0",IF($K3173="","※没填去向类型",IF($L3173="","※没填去向矿区",IF(AND($C3173&lt;&gt;"",$C3173&lt;=结账锁),"※日期早于已结账截止日，不能再录",IF(AND($K3173="自用消耗",COUNTIF({"一矿区";"二矿区"},$L3173)=0),"※自用消耗的去向只能是一矿区或二矿区",IF(AND($K3173="对外销售",COUNTIF({"三矿区";"六矿区"},$L3173)=0),"※对外销售的去向只能是三矿区或六矿区",IF(AND($K3173="对外销售",ROUND($Q3173,0)=0),"※外销却没有售价，请填实际售价",IF(AND($K3173="对外销售",$T3173&lt;&gt;"",$T3173&lt;0),"※这一笔外销是亏的，请核对售价",IF(IFERROR(VLOOKUP($D3173,库存台账!$A$5:$Y$1204,24,0),0)&lt;-0.001,"※这个物料账面已经变成负数了，查一下是不是漏记入库","")))))))))))</f>
        <v/>
      </c>
    </row>
    <row r="3174">
      <c r="A3174" s="24">
        <f>IF($D3174="","",COUNTA($D$4:$D3174))</f>
        <v/>
      </c>
      <c r="B3174" s="17" t="n"/>
      <c r="C3174" s="30" t="n"/>
      <c r="D3174" s="17" t="n"/>
      <c r="E3174" s="24">
        <f>IF($D3174="","",IFERROR(VLOOKUP($D3174,物料档案!$A$4:$P$1203,3,0),"※编码不在物料档案里"))</f>
        <v/>
      </c>
      <c r="F3174" s="24">
        <f>IF($D3174="","",IFERROR(VLOOKUP($D3174,物料档案!$A$4:$P$1203,4,0),"※编码不在物料档案里"))</f>
        <v/>
      </c>
      <c r="G3174" s="24">
        <f>IF($D3174="","",IFERROR(VLOOKUP($D3174,物料档案!$A$4:$P$1203,5,0),"※编码不在物料档案里"))</f>
        <v/>
      </c>
      <c r="H3174" s="24">
        <f>IF($D3174="","",IFERROR(VLOOKUP($D3174,物料档案!$A$4:$P$1203,2,0),"※编码不在物料档案里"))</f>
        <v/>
      </c>
      <c r="I3174" s="24">
        <f>IF($D3174="","",IFERROR(VLOOKUP($D3174,物料档案!$A$4:$P$1203,6,0),"※编码不在物料档案里"))</f>
        <v/>
      </c>
      <c r="J3174" s="23" t="n"/>
      <c r="K3174" s="17" t="n"/>
      <c r="L3174" s="17" t="n"/>
      <c r="M3174" s="17" t="n"/>
      <c r="N3174" s="17" t="n"/>
      <c r="O3174" s="26">
        <f>IF($D3174="","",IFERROR(VLOOKUP($D3174,物料档案!$A$4:$P$1203,10,0),0))</f>
        <v/>
      </c>
      <c r="P3174" s="32" t="n"/>
      <c r="Q3174" s="26">
        <f>IF($D3174="","",IF($K3174&lt;&gt;"对外销售",0,ROUND(N($J3174)*IF($P3174="",N($O3174),N($P3174)),0)))</f>
        <v/>
      </c>
      <c r="R3174" s="26">
        <f>IF($D3174="","",IFERROR(VLOOKUP($D3174,库存台账!$A$5:$Y$1204,11,0),0))</f>
        <v/>
      </c>
      <c r="S3174" s="26">
        <f>IF($D3174="","",ROUND(N($J3174)*N($R3174),0))</f>
        <v/>
      </c>
      <c r="T3174" s="26">
        <f>IF($D3174="","",IF($K3174&lt;&gt;"对外销售","",ROUND($Q3174-$S3174,0)))</f>
        <v/>
      </c>
      <c r="U3174" s="17" t="n"/>
      <c r="V3174" s="17" t="n"/>
      <c r="W3174" s="24">
        <f>IF($D3174="","",IF($E3174="※编码不在物料档案里","※物料编码不在档案里",IF(N($J3174)&lt;=0,"※出库数量要大于 0",IF($K3174="","※没填去向类型",IF($L3174="","※没填去向矿区",IF(AND($C3174&lt;&gt;"",$C3174&lt;=结账锁),"※日期早于已结账截止日，不能再录",IF(AND($K3174="自用消耗",COUNTIF({"一矿区";"二矿区"},$L3174)=0),"※自用消耗的去向只能是一矿区或二矿区",IF(AND($K3174="对外销售",COUNTIF({"三矿区";"六矿区"},$L3174)=0),"※对外销售的去向只能是三矿区或六矿区",IF(AND($K3174="对外销售",ROUND($Q3174,0)=0),"※外销却没有售价，请填实际售价",IF(AND($K3174="对外销售",$T3174&lt;&gt;"",$T3174&lt;0),"※这一笔外销是亏的，请核对售价",IF(IFERROR(VLOOKUP($D3174,库存台账!$A$5:$Y$1204,24,0),0)&lt;-0.001,"※这个物料账面已经变成负数了，查一下是不是漏记入库","")))))))))))</f>
        <v/>
      </c>
    </row>
    <row r="3175">
      <c r="A3175" s="24">
        <f>IF($D3175="","",COUNTA($D$4:$D3175))</f>
        <v/>
      </c>
      <c r="B3175" s="17" t="n"/>
      <c r="C3175" s="30" t="n"/>
      <c r="D3175" s="17" t="n"/>
      <c r="E3175" s="24">
        <f>IF($D3175="","",IFERROR(VLOOKUP($D3175,物料档案!$A$4:$P$1203,3,0),"※编码不在物料档案里"))</f>
        <v/>
      </c>
      <c r="F3175" s="24">
        <f>IF($D3175="","",IFERROR(VLOOKUP($D3175,物料档案!$A$4:$P$1203,4,0),"※编码不在物料档案里"))</f>
        <v/>
      </c>
      <c r="G3175" s="24">
        <f>IF($D3175="","",IFERROR(VLOOKUP($D3175,物料档案!$A$4:$P$1203,5,0),"※编码不在物料档案里"))</f>
        <v/>
      </c>
      <c r="H3175" s="24">
        <f>IF($D3175="","",IFERROR(VLOOKUP($D3175,物料档案!$A$4:$P$1203,2,0),"※编码不在物料档案里"))</f>
        <v/>
      </c>
      <c r="I3175" s="24">
        <f>IF($D3175="","",IFERROR(VLOOKUP($D3175,物料档案!$A$4:$P$1203,6,0),"※编码不在物料档案里"))</f>
        <v/>
      </c>
      <c r="J3175" s="23" t="n"/>
      <c r="K3175" s="17" t="n"/>
      <c r="L3175" s="17" t="n"/>
      <c r="M3175" s="17" t="n"/>
      <c r="N3175" s="17" t="n"/>
      <c r="O3175" s="26">
        <f>IF($D3175="","",IFERROR(VLOOKUP($D3175,物料档案!$A$4:$P$1203,10,0),0))</f>
        <v/>
      </c>
      <c r="P3175" s="32" t="n"/>
      <c r="Q3175" s="26">
        <f>IF($D3175="","",IF($K3175&lt;&gt;"对外销售",0,ROUND(N($J3175)*IF($P3175="",N($O3175),N($P3175)),0)))</f>
        <v/>
      </c>
      <c r="R3175" s="26">
        <f>IF($D3175="","",IFERROR(VLOOKUP($D3175,库存台账!$A$5:$Y$1204,11,0),0))</f>
        <v/>
      </c>
      <c r="S3175" s="26">
        <f>IF($D3175="","",ROUND(N($J3175)*N($R3175),0))</f>
        <v/>
      </c>
      <c r="T3175" s="26">
        <f>IF($D3175="","",IF($K3175&lt;&gt;"对外销售","",ROUND($Q3175-$S3175,0)))</f>
        <v/>
      </c>
      <c r="U3175" s="17" t="n"/>
      <c r="V3175" s="17" t="n"/>
      <c r="W3175" s="24">
        <f>IF($D3175="","",IF($E3175="※编码不在物料档案里","※物料编码不在档案里",IF(N($J3175)&lt;=0,"※出库数量要大于 0",IF($K3175="","※没填去向类型",IF($L3175="","※没填去向矿区",IF(AND($C3175&lt;&gt;"",$C3175&lt;=结账锁),"※日期早于已结账截止日，不能再录",IF(AND($K3175="自用消耗",COUNTIF({"一矿区";"二矿区"},$L3175)=0),"※自用消耗的去向只能是一矿区或二矿区",IF(AND($K3175="对外销售",COUNTIF({"三矿区";"六矿区"},$L3175)=0),"※对外销售的去向只能是三矿区或六矿区",IF(AND($K3175="对外销售",ROUND($Q3175,0)=0),"※外销却没有售价，请填实际售价",IF(AND($K3175="对外销售",$T3175&lt;&gt;"",$T3175&lt;0),"※这一笔外销是亏的，请核对售价",IF(IFERROR(VLOOKUP($D3175,库存台账!$A$5:$Y$1204,24,0),0)&lt;-0.001,"※这个物料账面已经变成负数了，查一下是不是漏记入库","")))))))))))</f>
        <v/>
      </c>
    </row>
    <row r="3176">
      <c r="A3176" s="24">
        <f>IF($D3176="","",COUNTA($D$4:$D3176))</f>
        <v/>
      </c>
      <c r="B3176" s="17" t="n"/>
      <c r="C3176" s="30" t="n"/>
      <c r="D3176" s="17" t="n"/>
      <c r="E3176" s="24">
        <f>IF($D3176="","",IFERROR(VLOOKUP($D3176,物料档案!$A$4:$P$1203,3,0),"※编码不在物料档案里"))</f>
        <v/>
      </c>
      <c r="F3176" s="24">
        <f>IF($D3176="","",IFERROR(VLOOKUP($D3176,物料档案!$A$4:$P$1203,4,0),"※编码不在物料档案里"))</f>
        <v/>
      </c>
      <c r="G3176" s="24">
        <f>IF($D3176="","",IFERROR(VLOOKUP($D3176,物料档案!$A$4:$P$1203,5,0),"※编码不在物料档案里"))</f>
        <v/>
      </c>
      <c r="H3176" s="24">
        <f>IF($D3176="","",IFERROR(VLOOKUP($D3176,物料档案!$A$4:$P$1203,2,0),"※编码不在物料档案里"))</f>
        <v/>
      </c>
      <c r="I3176" s="24">
        <f>IF($D3176="","",IFERROR(VLOOKUP($D3176,物料档案!$A$4:$P$1203,6,0),"※编码不在物料档案里"))</f>
        <v/>
      </c>
      <c r="J3176" s="23" t="n"/>
      <c r="K3176" s="17" t="n"/>
      <c r="L3176" s="17" t="n"/>
      <c r="M3176" s="17" t="n"/>
      <c r="N3176" s="17" t="n"/>
      <c r="O3176" s="26">
        <f>IF($D3176="","",IFERROR(VLOOKUP($D3176,物料档案!$A$4:$P$1203,10,0),0))</f>
        <v/>
      </c>
      <c r="P3176" s="32" t="n"/>
      <c r="Q3176" s="26">
        <f>IF($D3176="","",IF($K3176&lt;&gt;"对外销售",0,ROUND(N($J3176)*IF($P3176="",N($O3176),N($P3176)),0)))</f>
        <v/>
      </c>
      <c r="R3176" s="26">
        <f>IF($D3176="","",IFERROR(VLOOKUP($D3176,库存台账!$A$5:$Y$1204,11,0),0))</f>
        <v/>
      </c>
      <c r="S3176" s="26">
        <f>IF($D3176="","",ROUND(N($J3176)*N($R3176),0))</f>
        <v/>
      </c>
      <c r="T3176" s="26">
        <f>IF($D3176="","",IF($K3176&lt;&gt;"对外销售","",ROUND($Q3176-$S3176,0)))</f>
        <v/>
      </c>
      <c r="U3176" s="17" t="n"/>
      <c r="V3176" s="17" t="n"/>
      <c r="W3176" s="24">
        <f>IF($D3176="","",IF($E3176="※编码不在物料档案里","※物料编码不在档案里",IF(N($J3176)&lt;=0,"※出库数量要大于 0",IF($K3176="","※没填去向类型",IF($L3176="","※没填去向矿区",IF(AND($C3176&lt;&gt;"",$C3176&lt;=结账锁),"※日期早于已结账截止日，不能再录",IF(AND($K3176="自用消耗",COUNTIF({"一矿区";"二矿区"},$L3176)=0),"※自用消耗的去向只能是一矿区或二矿区",IF(AND($K3176="对外销售",COUNTIF({"三矿区";"六矿区"},$L3176)=0),"※对外销售的去向只能是三矿区或六矿区",IF(AND($K3176="对外销售",ROUND($Q3176,0)=0),"※外销却没有售价，请填实际售价",IF(AND($K3176="对外销售",$T3176&lt;&gt;"",$T3176&lt;0),"※这一笔外销是亏的，请核对售价",IF(IFERROR(VLOOKUP($D3176,库存台账!$A$5:$Y$1204,24,0),0)&lt;-0.001,"※这个物料账面已经变成负数了，查一下是不是漏记入库","")))))))))))</f>
        <v/>
      </c>
    </row>
    <row r="3177">
      <c r="A3177" s="24">
        <f>IF($D3177="","",COUNTA($D$4:$D3177))</f>
        <v/>
      </c>
      <c r="B3177" s="17" t="n"/>
      <c r="C3177" s="30" t="n"/>
      <c r="D3177" s="17" t="n"/>
      <c r="E3177" s="24">
        <f>IF($D3177="","",IFERROR(VLOOKUP($D3177,物料档案!$A$4:$P$1203,3,0),"※编码不在物料档案里"))</f>
        <v/>
      </c>
      <c r="F3177" s="24">
        <f>IF($D3177="","",IFERROR(VLOOKUP($D3177,物料档案!$A$4:$P$1203,4,0),"※编码不在物料档案里"))</f>
        <v/>
      </c>
      <c r="G3177" s="24">
        <f>IF($D3177="","",IFERROR(VLOOKUP($D3177,物料档案!$A$4:$P$1203,5,0),"※编码不在物料档案里"))</f>
        <v/>
      </c>
      <c r="H3177" s="24">
        <f>IF($D3177="","",IFERROR(VLOOKUP($D3177,物料档案!$A$4:$P$1203,2,0),"※编码不在物料档案里"))</f>
        <v/>
      </c>
      <c r="I3177" s="24">
        <f>IF($D3177="","",IFERROR(VLOOKUP($D3177,物料档案!$A$4:$P$1203,6,0),"※编码不在物料档案里"))</f>
        <v/>
      </c>
      <c r="J3177" s="23" t="n"/>
      <c r="K3177" s="17" t="n"/>
      <c r="L3177" s="17" t="n"/>
      <c r="M3177" s="17" t="n"/>
      <c r="N3177" s="17" t="n"/>
      <c r="O3177" s="26">
        <f>IF($D3177="","",IFERROR(VLOOKUP($D3177,物料档案!$A$4:$P$1203,10,0),0))</f>
        <v/>
      </c>
      <c r="P3177" s="32" t="n"/>
      <c r="Q3177" s="26">
        <f>IF($D3177="","",IF($K3177&lt;&gt;"对外销售",0,ROUND(N($J3177)*IF($P3177="",N($O3177),N($P3177)),0)))</f>
        <v/>
      </c>
      <c r="R3177" s="26">
        <f>IF($D3177="","",IFERROR(VLOOKUP($D3177,库存台账!$A$5:$Y$1204,11,0),0))</f>
        <v/>
      </c>
      <c r="S3177" s="26">
        <f>IF($D3177="","",ROUND(N($J3177)*N($R3177),0))</f>
        <v/>
      </c>
      <c r="T3177" s="26">
        <f>IF($D3177="","",IF($K3177&lt;&gt;"对外销售","",ROUND($Q3177-$S3177,0)))</f>
        <v/>
      </c>
      <c r="U3177" s="17" t="n"/>
      <c r="V3177" s="17" t="n"/>
      <c r="W3177" s="24">
        <f>IF($D3177="","",IF($E3177="※编码不在物料档案里","※物料编码不在档案里",IF(N($J3177)&lt;=0,"※出库数量要大于 0",IF($K3177="","※没填去向类型",IF($L3177="","※没填去向矿区",IF(AND($C3177&lt;&gt;"",$C3177&lt;=结账锁),"※日期早于已结账截止日，不能再录",IF(AND($K3177="自用消耗",COUNTIF({"一矿区";"二矿区"},$L3177)=0),"※自用消耗的去向只能是一矿区或二矿区",IF(AND($K3177="对外销售",COUNTIF({"三矿区";"六矿区"},$L3177)=0),"※对外销售的去向只能是三矿区或六矿区",IF(AND($K3177="对外销售",ROUND($Q3177,0)=0),"※外销却没有售价，请填实际售价",IF(AND($K3177="对外销售",$T3177&lt;&gt;"",$T3177&lt;0),"※这一笔外销是亏的，请核对售价",IF(IFERROR(VLOOKUP($D3177,库存台账!$A$5:$Y$1204,24,0),0)&lt;-0.001,"※这个物料账面已经变成负数了，查一下是不是漏记入库","")))))))))))</f>
        <v/>
      </c>
    </row>
    <row r="3178">
      <c r="A3178" s="24">
        <f>IF($D3178="","",COUNTA($D$4:$D3178))</f>
        <v/>
      </c>
      <c r="B3178" s="17" t="n"/>
      <c r="C3178" s="30" t="n"/>
      <c r="D3178" s="17" t="n"/>
      <c r="E3178" s="24">
        <f>IF($D3178="","",IFERROR(VLOOKUP($D3178,物料档案!$A$4:$P$1203,3,0),"※编码不在物料档案里"))</f>
        <v/>
      </c>
      <c r="F3178" s="24">
        <f>IF($D3178="","",IFERROR(VLOOKUP($D3178,物料档案!$A$4:$P$1203,4,0),"※编码不在物料档案里"))</f>
        <v/>
      </c>
      <c r="G3178" s="24">
        <f>IF($D3178="","",IFERROR(VLOOKUP($D3178,物料档案!$A$4:$P$1203,5,0),"※编码不在物料档案里"))</f>
        <v/>
      </c>
      <c r="H3178" s="24">
        <f>IF($D3178="","",IFERROR(VLOOKUP($D3178,物料档案!$A$4:$P$1203,2,0),"※编码不在物料档案里"))</f>
        <v/>
      </c>
      <c r="I3178" s="24">
        <f>IF($D3178="","",IFERROR(VLOOKUP($D3178,物料档案!$A$4:$P$1203,6,0),"※编码不在物料档案里"))</f>
        <v/>
      </c>
      <c r="J3178" s="23" t="n"/>
      <c r="K3178" s="17" t="n"/>
      <c r="L3178" s="17" t="n"/>
      <c r="M3178" s="17" t="n"/>
      <c r="N3178" s="17" t="n"/>
      <c r="O3178" s="26">
        <f>IF($D3178="","",IFERROR(VLOOKUP($D3178,物料档案!$A$4:$P$1203,10,0),0))</f>
        <v/>
      </c>
      <c r="P3178" s="32" t="n"/>
      <c r="Q3178" s="26">
        <f>IF($D3178="","",IF($K3178&lt;&gt;"对外销售",0,ROUND(N($J3178)*IF($P3178="",N($O3178),N($P3178)),0)))</f>
        <v/>
      </c>
      <c r="R3178" s="26">
        <f>IF($D3178="","",IFERROR(VLOOKUP($D3178,库存台账!$A$5:$Y$1204,11,0),0))</f>
        <v/>
      </c>
      <c r="S3178" s="26">
        <f>IF($D3178="","",ROUND(N($J3178)*N($R3178),0))</f>
        <v/>
      </c>
      <c r="T3178" s="26">
        <f>IF($D3178="","",IF($K3178&lt;&gt;"对外销售","",ROUND($Q3178-$S3178,0)))</f>
        <v/>
      </c>
      <c r="U3178" s="17" t="n"/>
      <c r="V3178" s="17" t="n"/>
      <c r="W3178" s="24">
        <f>IF($D3178="","",IF($E3178="※编码不在物料档案里","※物料编码不在档案里",IF(N($J3178)&lt;=0,"※出库数量要大于 0",IF($K3178="","※没填去向类型",IF($L3178="","※没填去向矿区",IF(AND($C3178&lt;&gt;"",$C3178&lt;=结账锁),"※日期早于已结账截止日，不能再录",IF(AND($K3178="自用消耗",COUNTIF({"一矿区";"二矿区"},$L3178)=0),"※自用消耗的去向只能是一矿区或二矿区",IF(AND($K3178="对外销售",COUNTIF({"三矿区";"六矿区"},$L3178)=0),"※对外销售的去向只能是三矿区或六矿区",IF(AND($K3178="对外销售",ROUND($Q3178,0)=0),"※外销却没有售价，请填实际售价",IF(AND($K3178="对外销售",$T3178&lt;&gt;"",$T3178&lt;0),"※这一笔外销是亏的，请核对售价",IF(IFERROR(VLOOKUP($D3178,库存台账!$A$5:$Y$1204,24,0),0)&lt;-0.001,"※这个物料账面已经变成负数了，查一下是不是漏记入库","")))))))))))</f>
        <v/>
      </c>
    </row>
    <row r="3179">
      <c r="A3179" s="24">
        <f>IF($D3179="","",COUNTA($D$4:$D3179))</f>
        <v/>
      </c>
      <c r="B3179" s="17" t="n"/>
      <c r="C3179" s="30" t="n"/>
      <c r="D3179" s="17" t="n"/>
      <c r="E3179" s="24">
        <f>IF($D3179="","",IFERROR(VLOOKUP($D3179,物料档案!$A$4:$P$1203,3,0),"※编码不在物料档案里"))</f>
        <v/>
      </c>
      <c r="F3179" s="24">
        <f>IF($D3179="","",IFERROR(VLOOKUP($D3179,物料档案!$A$4:$P$1203,4,0),"※编码不在物料档案里"))</f>
        <v/>
      </c>
      <c r="G3179" s="24">
        <f>IF($D3179="","",IFERROR(VLOOKUP($D3179,物料档案!$A$4:$P$1203,5,0),"※编码不在物料档案里"))</f>
        <v/>
      </c>
      <c r="H3179" s="24">
        <f>IF($D3179="","",IFERROR(VLOOKUP($D3179,物料档案!$A$4:$P$1203,2,0),"※编码不在物料档案里"))</f>
        <v/>
      </c>
      <c r="I3179" s="24">
        <f>IF($D3179="","",IFERROR(VLOOKUP($D3179,物料档案!$A$4:$P$1203,6,0),"※编码不在物料档案里"))</f>
        <v/>
      </c>
      <c r="J3179" s="23" t="n"/>
      <c r="K3179" s="17" t="n"/>
      <c r="L3179" s="17" t="n"/>
      <c r="M3179" s="17" t="n"/>
      <c r="N3179" s="17" t="n"/>
      <c r="O3179" s="26">
        <f>IF($D3179="","",IFERROR(VLOOKUP($D3179,物料档案!$A$4:$P$1203,10,0),0))</f>
        <v/>
      </c>
      <c r="P3179" s="32" t="n"/>
      <c r="Q3179" s="26">
        <f>IF($D3179="","",IF($K3179&lt;&gt;"对外销售",0,ROUND(N($J3179)*IF($P3179="",N($O3179),N($P3179)),0)))</f>
        <v/>
      </c>
      <c r="R3179" s="26">
        <f>IF($D3179="","",IFERROR(VLOOKUP($D3179,库存台账!$A$5:$Y$1204,11,0),0))</f>
        <v/>
      </c>
      <c r="S3179" s="26">
        <f>IF($D3179="","",ROUND(N($J3179)*N($R3179),0))</f>
        <v/>
      </c>
      <c r="T3179" s="26">
        <f>IF($D3179="","",IF($K3179&lt;&gt;"对外销售","",ROUND($Q3179-$S3179,0)))</f>
        <v/>
      </c>
      <c r="U3179" s="17" t="n"/>
      <c r="V3179" s="17" t="n"/>
      <c r="W3179" s="24">
        <f>IF($D3179="","",IF($E3179="※编码不在物料档案里","※物料编码不在档案里",IF(N($J3179)&lt;=0,"※出库数量要大于 0",IF($K3179="","※没填去向类型",IF($L3179="","※没填去向矿区",IF(AND($C3179&lt;&gt;"",$C3179&lt;=结账锁),"※日期早于已结账截止日，不能再录",IF(AND($K3179="自用消耗",COUNTIF({"一矿区";"二矿区"},$L3179)=0),"※自用消耗的去向只能是一矿区或二矿区",IF(AND($K3179="对外销售",COUNTIF({"三矿区";"六矿区"},$L3179)=0),"※对外销售的去向只能是三矿区或六矿区",IF(AND($K3179="对外销售",ROUND($Q3179,0)=0),"※外销却没有售价，请填实际售价",IF(AND($K3179="对外销售",$T3179&lt;&gt;"",$T3179&lt;0),"※这一笔外销是亏的，请核对售价",IF(IFERROR(VLOOKUP($D3179,库存台账!$A$5:$Y$1204,24,0),0)&lt;-0.001,"※这个物料账面已经变成负数了，查一下是不是漏记入库","")))))))))))</f>
        <v/>
      </c>
    </row>
    <row r="3180">
      <c r="A3180" s="24">
        <f>IF($D3180="","",COUNTA($D$4:$D3180))</f>
        <v/>
      </c>
      <c r="B3180" s="17" t="n"/>
      <c r="C3180" s="30" t="n"/>
      <c r="D3180" s="17" t="n"/>
      <c r="E3180" s="24">
        <f>IF($D3180="","",IFERROR(VLOOKUP($D3180,物料档案!$A$4:$P$1203,3,0),"※编码不在物料档案里"))</f>
        <v/>
      </c>
      <c r="F3180" s="24">
        <f>IF($D3180="","",IFERROR(VLOOKUP($D3180,物料档案!$A$4:$P$1203,4,0),"※编码不在物料档案里"))</f>
        <v/>
      </c>
      <c r="G3180" s="24">
        <f>IF($D3180="","",IFERROR(VLOOKUP($D3180,物料档案!$A$4:$P$1203,5,0),"※编码不在物料档案里"))</f>
        <v/>
      </c>
      <c r="H3180" s="24">
        <f>IF($D3180="","",IFERROR(VLOOKUP($D3180,物料档案!$A$4:$P$1203,2,0),"※编码不在物料档案里"))</f>
        <v/>
      </c>
      <c r="I3180" s="24">
        <f>IF($D3180="","",IFERROR(VLOOKUP($D3180,物料档案!$A$4:$P$1203,6,0),"※编码不在物料档案里"))</f>
        <v/>
      </c>
      <c r="J3180" s="23" t="n"/>
      <c r="K3180" s="17" t="n"/>
      <c r="L3180" s="17" t="n"/>
      <c r="M3180" s="17" t="n"/>
      <c r="N3180" s="17" t="n"/>
      <c r="O3180" s="26">
        <f>IF($D3180="","",IFERROR(VLOOKUP($D3180,物料档案!$A$4:$P$1203,10,0),0))</f>
        <v/>
      </c>
      <c r="P3180" s="32" t="n"/>
      <c r="Q3180" s="26">
        <f>IF($D3180="","",IF($K3180&lt;&gt;"对外销售",0,ROUND(N($J3180)*IF($P3180="",N($O3180),N($P3180)),0)))</f>
        <v/>
      </c>
      <c r="R3180" s="26">
        <f>IF($D3180="","",IFERROR(VLOOKUP($D3180,库存台账!$A$5:$Y$1204,11,0),0))</f>
        <v/>
      </c>
      <c r="S3180" s="26">
        <f>IF($D3180="","",ROUND(N($J3180)*N($R3180),0))</f>
        <v/>
      </c>
      <c r="T3180" s="26">
        <f>IF($D3180="","",IF($K3180&lt;&gt;"对外销售","",ROUND($Q3180-$S3180,0)))</f>
        <v/>
      </c>
      <c r="U3180" s="17" t="n"/>
      <c r="V3180" s="17" t="n"/>
      <c r="W3180" s="24">
        <f>IF($D3180="","",IF($E3180="※编码不在物料档案里","※物料编码不在档案里",IF(N($J3180)&lt;=0,"※出库数量要大于 0",IF($K3180="","※没填去向类型",IF($L3180="","※没填去向矿区",IF(AND($C3180&lt;&gt;"",$C3180&lt;=结账锁),"※日期早于已结账截止日，不能再录",IF(AND($K3180="自用消耗",COUNTIF({"一矿区";"二矿区"},$L3180)=0),"※自用消耗的去向只能是一矿区或二矿区",IF(AND($K3180="对外销售",COUNTIF({"三矿区";"六矿区"},$L3180)=0),"※对外销售的去向只能是三矿区或六矿区",IF(AND($K3180="对外销售",ROUND($Q3180,0)=0),"※外销却没有售价，请填实际售价",IF(AND($K3180="对外销售",$T3180&lt;&gt;"",$T3180&lt;0),"※这一笔外销是亏的，请核对售价",IF(IFERROR(VLOOKUP($D3180,库存台账!$A$5:$Y$1204,24,0),0)&lt;-0.001,"※这个物料账面已经变成负数了，查一下是不是漏记入库","")))))))))))</f>
        <v/>
      </c>
    </row>
    <row r="3181">
      <c r="A3181" s="24">
        <f>IF($D3181="","",COUNTA($D$4:$D3181))</f>
        <v/>
      </c>
      <c r="B3181" s="17" t="n"/>
      <c r="C3181" s="30" t="n"/>
      <c r="D3181" s="17" t="n"/>
      <c r="E3181" s="24">
        <f>IF($D3181="","",IFERROR(VLOOKUP($D3181,物料档案!$A$4:$P$1203,3,0),"※编码不在物料档案里"))</f>
        <v/>
      </c>
      <c r="F3181" s="24">
        <f>IF($D3181="","",IFERROR(VLOOKUP($D3181,物料档案!$A$4:$P$1203,4,0),"※编码不在物料档案里"))</f>
        <v/>
      </c>
      <c r="G3181" s="24">
        <f>IF($D3181="","",IFERROR(VLOOKUP($D3181,物料档案!$A$4:$P$1203,5,0),"※编码不在物料档案里"))</f>
        <v/>
      </c>
      <c r="H3181" s="24">
        <f>IF($D3181="","",IFERROR(VLOOKUP($D3181,物料档案!$A$4:$P$1203,2,0),"※编码不在物料档案里"))</f>
        <v/>
      </c>
      <c r="I3181" s="24">
        <f>IF($D3181="","",IFERROR(VLOOKUP($D3181,物料档案!$A$4:$P$1203,6,0),"※编码不在物料档案里"))</f>
        <v/>
      </c>
      <c r="J3181" s="23" t="n"/>
      <c r="K3181" s="17" t="n"/>
      <c r="L3181" s="17" t="n"/>
      <c r="M3181" s="17" t="n"/>
      <c r="N3181" s="17" t="n"/>
      <c r="O3181" s="26">
        <f>IF($D3181="","",IFERROR(VLOOKUP($D3181,物料档案!$A$4:$P$1203,10,0),0))</f>
        <v/>
      </c>
      <c r="P3181" s="32" t="n"/>
      <c r="Q3181" s="26">
        <f>IF($D3181="","",IF($K3181&lt;&gt;"对外销售",0,ROUND(N($J3181)*IF($P3181="",N($O3181),N($P3181)),0)))</f>
        <v/>
      </c>
      <c r="R3181" s="26">
        <f>IF($D3181="","",IFERROR(VLOOKUP($D3181,库存台账!$A$5:$Y$1204,11,0),0))</f>
        <v/>
      </c>
      <c r="S3181" s="26">
        <f>IF($D3181="","",ROUND(N($J3181)*N($R3181),0))</f>
        <v/>
      </c>
      <c r="T3181" s="26">
        <f>IF($D3181="","",IF($K3181&lt;&gt;"对外销售","",ROUND($Q3181-$S3181,0)))</f>
        <v/>
      </c>
      <c r="U3181" s="17" t="n"/>
      <c r="V3181" s="17" t="n"/>
      <c r="W3181" s="24">
        <f>IF($D3181="","",IF($E3181="※编码不在物料档案里","※物料编码不在档案里",IF(N($J3181)&lt;=0,"※出库数量要大于 0",IF($K3181="","※没填去向类型",IF($L3181="","※没填去向矿区",IF(AND($C3181&lt;&gt;"",$C3181&lt;=结账锁),"※日期早于已结账截止日，不能再录",IF(AND($K3181="自用消耗",COUNTIF({"一矿区";"二矿区"},$L3181)=0),"※自用消耗的去向只能是一矿区或二矿区",IF(AND($K3181="对外销售",COUNTIF({"三矿区";"六矿区"},$L3181)=0),"※对外销售的去向只能是三矿区或六矿区",IF(AND($K3181="对外销售",ROUND($Q3181,0)=0),"※外销却没有售价，请填实际售价",IF(AND($K3181="对外销售",$T3181&lt;&gt;"",$T3181&lt;0),"※这一笔外销是亏的，请核对售价",IF(IFERROR(VLOOKUP($D3181,库存台账!$A$5:$Y$1204,24,0),0)&lt;-0.001,"※这个物料账面已经变成负数了，查一下是不是漏记入库","")))))))))))</f>
        <v/>
      </c>
    </row>
    <row r="3182">
      <c r="A3182" s="24">
        <f>IF($D3182="","",COUNTA($D$4:$D3182))</f>
        <v/>
      </c>
      <c r="B3182" s="17" t="n"/>
      <c r="C3182" s="30" t="n"/>
      <c r="D3182" s="17" t="n"/>
      <c r="E3182" s="24">
        <f>IF($D3182="","",IFERROR(VLOOKUP($D3182,物料档案!$A$4:$P$1203,3,0),"※编码不在物料档案里"))</f>
        <v/>
      </c>
      <c r="F3182" s="24">
        <f>IF($D3182="","",IFERROR(VLOOKUP($D3182,物料档案!$A$4:$P$1203,4,0),"※编码不在物料档案里"))</f>
        <v/>
      </c>
      <c r="G3182" s="24">
        <f>IF($D3182="","",IFERROR(VLOOKUP($D3182,物料档案!$A$4:$P$1203,5,0),"※编码不在物料档案里"))</f>
        <v/>
      </c>
      <c r="H3182" s="24">
        <f>IF($D3182="","",IFERROR(VLOOKUP($D3182,物料档案!$A$4:$P$1203,2,0),"※编码不在物料档案里"))</f>
        <v/>
      </c>
      <c r="I3182" s="24">
        <f>IF($D3182="","",IFERROR(VLOOKUP($D3182,物料档案!$A$4:$P$1203,6,0),"※编码不在物料档案里"))</f>
        <v/>
      </c>
      <c r="J3182" s="23" t="n"/>
      <c r="K3182" s="17" t="n"/>
      <c r="L3182" s="17" t="n"/>
      <c r="M3182" s="17" t="n"/>
      <c r="N3182" s="17" t="n"/>
      <c r="O3182" s="26">
        <f>IF($D3182="","",IFERROR(VLOOKUP($D3182,物料档案!$A$4:$P$1203,10,0),0))</f>
        <v/>
      </c>
      <c r="P3182" s="32" t="n"/>
      <c r="Q3182" s="26">
        <f>IF($D3182="","",IF($K3182&lt;&gt;"对外销售",0,ROUND(N($J3182)*IF($P3182="",N($O3182),N($P3182)),0)))</f>
        <v/>
      </c>
      <c r="R3182" s="26">
        <f>IF($D3182="","",IFERROR(VLOOKUP($D3182,库存台账!$A$5:$Y$1204,11,0),0))</f>
        <v/>
      </c>
      <c r="S3182" s="26">
        <f>IF($D3182="","",ROUND(N($J3182)*N($R3182),0))</f>
        <v/>
      </c>
      <c r="T3182" s="26">
        <f>IF($D3182="","",IF($K3182&lt;&gt;"对外销售","",ROUND($Q3182-$S3182,0)))</f>
        <v/>
      </c>
      <c r="U3182" s="17" t="n"/>
      <c r="V3182" s="17" t="n"/>
      <c r="W3182" s="24">
        <f>IF($D3182="","",IF($E3182="※编码不在物料档案里","※物料编码不在档案里",IF(N($J3182)&lt;=0,"※出库数量要大于 0",IF($K3182="","※没填去向类型",IF($L3182="","※没填去向矿区",IF(AND($C3182&lt;&gt;"",$C3182&lt;=结账锁),"※日期早于已结账截止日，不能再录",IF(AND($K3182="自用消耗",COUNTIF({"一矿区";"二矿区"},$L3182)=0),"※自用消耗的去向只能是一矿区或二矿区",IF(AND($K3182="对外销售",COUNTIF({"三矿区";"六矿区"},$L3182)=0),"※对外销售的去向只能是三矿区或六矿区",IF(AND($K3182="对外销售",ROUND($Q3182,0)=0),"※外销却没有售价，请填实际售价",IF(AND($K3182="对外销售",$T3182&lt;&gt;"",$T3182&lt;0),"※这一笔外销是亏的，请核对售价",IF(IFERROR(VLOOKUP($D3182,库存台账!$A$5:$Y$1204,24,0),0)&lt;-0.001,"※这个物料账面已经变成负数了，查一下是不是漏记入库","")))))))))))</f>
        <v/>
      </c>
    </row>
    <row r="3183">
      <c r="A3183" s="24">
        <f>IF($D3183="","",COUNTA($D$4:$D3183))</f>
        <v/>
      </c>
      <c r="B3183" s="17" t="n"/>
      <c r="C3183" s="30" t="n"/>
      <c r="D3183" s="17" t="n"/>
      <c r="E3183" s="24">
        <f>IF($D3183="","",IFERROR(VLOOKUP($D3183,物料档案!$A$4:$P$1203,3,0),"※编码不在物料档案里"))</f>
        <v/>
      </c>
      <c r="F3183" s="24">
        <f>IF($D3183="","",IFERROR(VLOOKUP($D3183,物料档案!$A$4:$P$1203,4,0),"※编码不在物料档案里"))</f>
        <v/>
      </c>
      <c r="G3183" s="24">
        <f>IF($D3183="","",IFERROR(VLOOKUP($D3183,物料档案!$A$4:$P$1203,5,0),"※编码不在物料档案里"))</f>
        <v/>
      </c>
      <c r="H3183" s="24">
        <f>IF($D3183="","",IFERROR(VLOOKUP($D3183,物料档案!$A$4:$P$1203,2,0),"※编码不在物料档案里"))</f>
        <v/>
      </c>
      <c r="I3183" s="24">
        <f>IF($D3183="","",IFERROR(VLOOKUP($D3183,物料档案!$A$4:$P$1203,6,0),"※编码不在物料档案里"))</f>
        <v/>
      </c>
      <c r="J3183" s="23" t="n"/>
      <c r="K3183" s="17" t="n"/>
      <c r="L3183" s="17" t="n"/>
      <c r="M3183" s="17" t="n"/>
      <c r="N3183" s="17" t="n"/>
      <c r="O3183" s="26">
        <f>IF($D3183="","",IFERROR(VLOOKUP($D3183,物料档案!$A$4:$P$1203,10,0),0))</f>
        <v/>
      </c>
      <c r="P3183" s="32" t="n"/>
      <c r="Q3183" s="26">
        <f>IF($D3183="","",IF($K3183&lt;&gt;"对外销售",0,ROUND(N($J3183)*IF($P3183="",N($O3183),N($P3183)),0)))</f>
        <v/>
      </c>
      <c r="R3183" s="26">
        <f>IF($D3183="","",IFERROR(VLOOKUP($D3183,库存台账!$A$5:$Y$1204,11,0),0))</f>
        <v/>
      </c>
      <c r="S3183" s="26">
        <f>IF($D3183="","",ROUND(N($J3183)*N($R3183),0))</f>
        <v/>
      </c>
      <c r="T3183" s="26">
        <f>IF($D3183="","",IF($K3183&lt;&gt;"对外销售","",ROUND($Q3183-$S3183,0)))</f>
        <v/>
      </c>
      <c r="U3183" s="17" t="n"/>
      <c r="V3183" s="17" t="n"/>
      <c r="W3183" s="24">
        <f>IF($D3183="","",IF($E3183="※编码不在物料档案里","※物料编码不在档案里",IF(N($J3183)&lt;=0,"※出库数量要大于 0",IF($K3183="","※没填去向类型",IF($L3183="","※没填去向矿区",IF(AND($C3183&lt;&gt;"",$C3183&lt;=结账锁),"※日期早于已结账截止日，不能再录",IF(AND($K3183="自用消耗",COUNTIF({"一矿区";"二矿区"},$L3183)=0),"※自用消耗的去向只能是一矿区或二矿区",IF(AND($K3183="对外销售",COUNTIF({"三矿区";"六矿区"},$L3183)=0),"※对外销售的去向只能是三矿区或六矿区",IF(AND($K3183="对外销售",ROUND($Q3183,0)=0),"※外销却没有售价，请填实际售价",IF(AND($K3183="对外销售",$T3183&lt;&gt;"",$T3183&lt;0),"※这一笔外销是亏的，请核对售价",IF(IFERROR(VLOOKUP($D3183,库存台账!$A$5:$Y$1204,24,0),0)&lt;-0.001,"※这个物料账面已经变成负数了，查一下是不是漏记入库","")))))))))))</f>
        <v/>
      </c>
    </row>
    <row r="3184">
      <c r="A3184" s="24">
        <f>IF($D3184="","",COUNTA($D$4:$D3184))</f>
        <v/>
      </c>
      <c r="B3184" s="17" t="n"/>
      <c r="C3184" s="30" t="n"/>
      <c r="D3184" s="17" t="n"/>
      <c r="E3184" s="24">
        <f>IF($D3184="","",IFERROR(VLOOKUP($D3184,物料档案!$A$4:$P$1203,3,0),"※编码不在物料档案里"))</f>
        <v/>
      </c>
      <c r="F3184" s="24">
        <f>IF($D3184="","",IFERROR(VLOOKUP($D3184,物料档案!$A$4:$P$1203,4,0),"※编码不在物料档案里"))</f>
        <v/>
      </c>
      <c r="G3184" s="24">
        <f>IF($D3184="","",IFERROR(VLOOKUP($D3184,物料档案!$A$4:$P$1203,5,0),"※编码不在物料档案里"))</f>
        <v/>
      </c>
      <c r="H3184" s="24">
        <f>IF($D3184="","",IFERROR(VLOOKUP($D3184,物料档案!$A$4:$P$1203,2,0),"※编码不在物料档案里"))</f>
        <v/>
      </c>
      <c r="I3184" s="24">
        <f>IF($D3184="","",IFERROR(VLOOKUP($D3184,物料档案!$A$4:$P$1203,6,0),"※编码不在物料档案里"))</f>
        <v/>
      </c>
      <c r="J3184" s="23" t="n"/>
      <c r="K3184" s="17" t="n"/>
      <c r="L3184" s="17" t="n"/>
      <c r="M3184" s="17" t="n"/>
      <c r="N3184" s="17" t="n"/>
      <c r="O3184" s="26">
        <f>IF($D3184="","",IFERROR(VLOOKUP($D3184,物料档案!$A$4:$P$1203,10,0),0))</f>
        <v/>
      </c>
      <c r="P3184" s="32" t="n"/>
      <c r="Q3184" s="26">
        <f>IF($D3184="","",IF($K3184&lt;&gt;"对外销售",0,ROUND(N($J3184)*IF($P3184="",N($O3184),N($P3184)),0)))</f>
        <v/>
      </c>
      <c r="R3184" s="26">
        <f>IF($D3184="","",IFERROR(VLOOKUP($D3184,库存台账!$A$5:$Y$1204,11,0),0))</f>
        <v/>
      </c>
      <c r="S3184" s="26">
        <f>IF($D3184="","",ROUND(N($J3184)*N($R3184),0))</f>
        <v/>
      </c>
      <c r="T3184" s="26">
        <f>IF($D3184="","",IF($K3184&lt;&gt;"对外销售","",ROUND($Q3184-$S3184,0)))</f>
        <v/>
      </c>
      <c r="U3184" s="17" t="n"/>
      <c r="V3184" s="17" t="n"/>
      <c r="W3184" s="24">
        <f>IF($D3184="","",IF($E3184="※编码不在物料档案里","※物料编码不在档案里",IF(N($J3184)&lt;=0,"※出库数量要大于 0",IF($K3184="","※没填去向类型",IF($L3184="","※没填去向矿区",IF(AND($C3184&lt;&gt;"",$C3184&lt;=结账锁),"※日期早于已结账截止日，不能再录",IF(AND($K3184="自用消耗",COUNTIF({"一矿区";"二矿区"},$L3184)=0),"※自用消耗的去向只能是一矿区或二矿区",IF(AND($K3184="对外销售",COUNTIF({"三矿区";"六矿区"},$L3184)=0),"※对外销售的去向只能是三矿区或六矿区",IF(AND($K3184="对外销售",ROUND($Q3184,0)=0),"※外销却没有售价，请填实际售价",IF(AND($K3184="对外销售",$T3184&lt;&gt;"",$T3184&lt;0),"※这一笔外销是亏的，请核对售价",IF(IFERROR(VLOOKUP($D3184,库存台账!$A$5:$Y$1204,24,0),0)&lt;-0.001,"※这个物料账面已经变成负数了，查一下是不是漏记入库","")))))))))))</f>
        <v/>
      </c>
    </row>
    <row r="3185">
      <c r="A3185" s="24">
        <f>IF($D3185="","",COUNTA($D$4:$D3185))</f>
        <v/>
      </c>
      <c r="B3185" s="17" t="n"/>
      <c r="C3185" s="30" t="n"/>
      <c r="D3185" s="17" t="n"/>
      <c r="E3185" s="24">
        <f>IF($D3185="","",IFERROR(VLOOKUP($D3185,物料档案!$A$4:$P$1203,3,0),"※编码不在物料档案里"))</f>
        <v/>
      </c>
      <c r="F3185" s="24">
        <f>IF($D3185="","",IFERROR(VLOOKUP($D3185,物料档案!$A$4:$P$1203,4,0),"※编码不在物料档案里"))</f>
        <v/>
      </c>
      <c r="G3185" s="24">
        <f>IF($D3185="","",IFERROR(VLOOKUP($D3185,物料档案!$A$4:$P$1203,5,0),"※编码不在物料档案里"))</f>
        <v/>
      </c>
      <c r="H3185" s="24">
        <f>IF($D3185="","",IFERROR(VLOOKUP($D3185,物料档案!$A$4:$P$1203,2,0),"※编码不在物料档案里"))</f>
        <v/>
      </c>
      <c r="I3185" s="24">
        <f>IF($D3185="","",IFERROR(VLOOKUP($D3185,物料档案!$A$4:$P$1203,6,0),"※编码不在物料档案里"))</f>
        <v/>
      </c>
      <c r="J3185" s="23" t="n"/>
      <c r="K3185" s="17" t="n"/>
      <c r="L3185" s="17" t="n"/>
      <c r="M3185" s="17" t="n"/>
      <c r="N3185" s="17" t="n"/>
      <c r="O3185" s="26">
        <f>IF($D3185="","",IFERROR(VLOOKUP($D3185,物料档案!$A$4:$P$1203,10,0),0))</f>
        <v/>
      </c>
      <c r="P3185" s="32" t="n"/>
      <c r="Q3185" s="26">
        <f>IF($D3185="","",IF($K3185&lt;&gt;"对外销售",0,ROUND(N($J3185)*IF($P3185="",N($O3185),N($P3185)),0)))</f>
        <v/>
      </c>
      <c r="R3185" s="26">
        <f>IF($D3185="","",IFERROR(VLOOKUP($D3185,库存台账!$A$5:$Y$1204,11,0),0))</f>
        <v/>
      </c>
      <c r="S3185" s="26">
        <f>IF($D3185="","",ROUND(N($J3185)*N($R3185),0))</f>
        <v/>
      </c>
      <c r="T3185" s="26">
        <f>IF($D3185="","",IF($K3185&lt;&gt;"对外销售","",ROUND($Q3185-$S3185,0)))</f>
        <v/>
      </c>
      <c r="U3185" s="17" t="n"/>
      <c r="V3185" s="17" t="n"/>
      <c r="W3185" s="24">
        <f>IF($D3185="","",IF($E3185="※编码不在物料档案里","※物料编码不在档案里",IF(N($J3185)&lt;=0,"※出库数量要大于 0",IF($K3185="","※没填去向类型",IF($L3185="","※没填去向矿区",IF(AND($C3185&lt;&gt;"",$C3185&lt;=结账锁),"※日期早于已结账截止日，不能再录",IF(AND($K3185="自用消耗",COUNTIF({"一矿区";"二矿区"},$L3185)=0),"※自用消耗的去向只能是一矿区或二矿区",IF(AND($K3185="对外销售",COUNTIF({"三矿区";"六矿区"},$L3185)=0),"※对外销售的去向只能是三矿区或六矿区",IF(AND($K3185="对外销售",ROUND($Q3185,0)=0),"※外销却没有售价，请填实际售价",IF(AND($K3185="对外销售",$T3185&lt;&gt;"",$T3185&lt;0),"※这一笔外销是亏的，请核对售价",IF(IFERROR(VLOOKUP($D3185,库存台账!$A$5:$Y$1204,24,0),0)&lt;-0.001,"※这个物料账面已经变成负数了，查一下是不是漏记入库","")))))))))))</f>
        <v/>
      </c>
    </row>
    <row r="3186">
      <c r="A3186" s="24">
        <f>IF($D3186="","",COUNTA($D$4:$D3186))</f>
        <v/>
      </c>
      <c r="B3186" s="17" t="n"/>
      <c r="C3186" s="30" t="n"/>
      <c r="D3186" s="17" t="n"/>
      <c r="E3186" s="24">
        <f>IF($D3186="","",IFERROR(VLOOKUP($D3186,物料档案!$A$4:$P$1203,3,0),"※编码不在物料档案里"))</f>
        <v/>
      </c>
      <c r="F3186" s="24">
        <f>IF($D3186="","",IFERROR(VLOOKUP($D3186,物料档案!$A$4:$P$1203,4,0),"※编码不在物料档案里"))</f>
        <v/>
      </c>
      <c r="G3186" s="24">
        <f>IF($D3186="","",IFERROR(VLOOKUP($D3186,物料档案!$A$4:$P$1203,5,0),"※编码不在物料档案里"))</f>
        <v/>
      </c>
      <c r="H3186" s="24">
        <f>IF($D3186="","",IFERROR(VLOOKUP($D3186,物料档案!$A$4:$P$1203,2,0),"※编码不在物料档案里"))</f>
        <v/>
      </c>
      <c r="I3186" s="24">
        <f>IF($D3186="","",IFERROR(VLOOKUP($D3186,物料档案!$A$4:$P$1203,6,0),"※编码不在物料档案里"))</f>
        <v/>
      </c>
      <c r="J3186" s="23" t="n"/>
      <c r="K3186" s="17" t="n"/>
      <c r="L3186" s="17" t="n"/>
      <c r="M3186" s="17" t="n"/>
      <c r="N3186" s="17" t="n"/>
      <c r="O3186" s="26">
        <f>IF($D3186="","",IFERROR(VLOOKUP($D3186,物料档案!$A$4:$P$1203,10,0),0))</f>
        <v/>
      </c>
      <c r="P3186" s="32" t="n"/>
      <c r="Q3186" s="26">
        <f>IF($D3186="","",IF($K3186&lt;&gt;"对外销售",0,ROUND(N($J3186)*IF($P3186="",N($O3186),N($P3186)),0)))</f>
        <v/>
      </c>
      <c r="R3186" s="26">
        <f>IF($D3186="","",IFERROR(VLOOKUP($D3186,库存台账!$A$5:$Y$1204,11,0),0))</f>
        <v/>
      </c>
      <c r="S3186" s="26">
        <f>IF($D3186="","",ROUND(N($J3186)*N($R3186),0))</f>
        <v/>
      </c>
      <c r="T3186" s="26">
        <f>IF($D3186="","",IF($K3186&lt;&gt;"对外销售","",ROUND($Q3186-$S3186,0)))</f>
        <v/>
      </c>
      <c r="U3186" s="17" t="n"/>
      <c r="V3186" s="17" t="n"/>
      <c r="W3186" s="24">
        <f>IF($D3186="","",IF($E3186="※编码不在物料档案里","※物料编码不在档案里",IF(N($J3186)&lt;=0,"※出库数量要大于 0",IF($K3186="","※没填去向类型",IF($L3186="","※没填去向矿区",IF(AND($C3186&lt;&gt;"",$C3186&lt;=结账锁),"※日期早于已结账截止日，不能再录",IF(AND($K3186="自用消耗",COUNTIF({"一矿区";"二矿区"},$L3186)=0),"※自用消耗的去向只能是一矿区或二矿区",IF(AND($K3186="对外销售",COUNTIF({"三矿区";"六矿区"},$L3186)=0),"※对外销售的去向只能是三矿区或六矿区",IF(AND($K3186="对外销售",ROUND($Q3186,0)=0),"※外销却没有售价，请填实际售价",IF(AND($K3186="对外销售",$T3186&lt;&gt;"",$T3186&lt;0),"※这一笔外销是亏的，请核对售价",IF(IFERROR(VLOOKUP($D3186,库存台账!$A$5:$Y$1204,24,0),0)&lt;-0.001,"※这个物料账面已经变成负数了，查一下是不是漏记入库","")))))))))))</f>
        <v/>
      </c>
    </row>
    <row r="3187">
      <c r="A3187" s="24">
        <f>IF($D3187="","",COUNTA($D$4:$D3187))</f>
        <v/>
      </c>
      <c r="B3187" s="17" t="n"/>
      <c r="C3187" s="30" t="n"/>
      <c r="D3187" s="17" t="n"/>
      <c r="E3187" s="24">
        <f>IF($D3187="","",IFERROR(VLOOKUP($D3187,物料档案!$A$4:$P$1203,3,0),"※编码不在物料档案里"))</f>
        <v/>
      </c>
      <c r="F3187" s="24">
        <f>IF($D3187="","",IFERROR(VLOOKUP($D3187,物料档案!$A$4:$P$1203,4,0),"※编码不在物料档案里"))</f>
        <v/>
      </c>
      <c r="G3187" s="24">
        <f>IF($D3187="","",IFERROR(VLOOKUP($D3187,物料档案!$A$4:$P$1203,5,0),"※编码不在物料档案里"))</f>
        <v/>
      </c>
      <c r="H3187" s="24">
        <f>IF($D3187="","",IFERROR(VLOOKUP($D3187,物料档案!$A$4:$P$1203,2,0),"※编码不在物料档案里"))</f>
        <v/>
      </c>
      <c r="I3187" s="24">
        <f>IF($D3187="","",IFERROR(VLOOKUP($D3187,物料档案!$A$4:$P$1203,6,0),"※编码不在物料档案里"))</f>
        <v/>
      </c>
      <c r="J3187" s="23" t="n"/>
      <c r="K3187" s="17" t="n"/>
      <c r="L3187" s="17" t="n"/>
      <c r="M3187" s="17" t="n"/>
      <c r="N3187" s="17" t="n"/>
      <c r="O3187" s="26">
        <f>IF($D3187="","",IFERROR(VLOOKUP($D3187,物料档案!$A$4:$P$1203,10,0),0))</f>
        <v/>
      </c>
      <c r="P3187" s="32" t="n"/>
      <c r="Q3187" s="26">
        <f>IF($D3187="","",IF($K3187&lt;&gt;"对外销售",0,ROUND(N($J3187)*IF($P3187="",N($O3187),N($P3187)),0)))</f>
        <v/>
      </c>
      <c r="R3187" s="26">
        <f>IF($D3187="","",IFERROR(VLOOKUP($D3187,库存台账!$A$5:$Y$1204,11,0),0))</f>
        <v/>
      </c>
      <c r="S3187" s="26">
        <f>IF($D3187="","",ROUND(N($J3187)*N($R3187),0))</f>
        <v/>
      </c>
      <c r="T3187" s="26">
        <f>IF($D3187="","",IF($K3187&lt;&gt;"对外销售","",ROUND($Q3187-$S3187,0)))</f>
        <v/>
      </c>
      <c r="U3187" s="17" t="n"/>
      <c r="V3187" s="17" t="n"/>
      <c r="W3187" s="24">
        <f>IF($D3187="","",IF($E3187="※编码不在物料档案里","※物料编码不在档案里",IF(N($J3187)&lt;=0,"※出库数量要大于 0",IF($K3187="","※没填去向类型",IF($L3187="","※没填去向矿区",IF(AND($C3187&lt;&gt;"",$C3187&lt;=结账锁),"※日期早于已结账截止日，不能再录",IF(AND($K3187="自用消耗",COUNTIF({"一矿区";"二矿区"},$L3187)=0),"※自用消耗的去向只能是一矿区或二矿区",IF(AND($K3187="对外销售",COUNTIF({"三矿区";"六矿区"},$L3187)=0),"※对外销售的去向只能是三矿区或六矿区",IF(AND($K3187="对外销售",ROUND($Q3187,0)=0),"※外销却没有售价，请填实际售价",IF(AND($K3187="对外销售",$T3187&lt;&gt;"",$T3187&lt;0),"※这一笔外销是亏的，请核对售价",IF(IFERROR(VLOOKUP($D3187,库存台账!$A$5:$Y$1204,24,0),0)&lt;-0.001,"※这个物料账面已经变成负数了，查一下是不是漏记入库","")))))))))))</f>
        <v/>
      </c>
    </row>
    <row r="3188">
      <c r="A3188" s="24">
        <f>IF($D3188="","",COUNTA($D$4:$D3188))</f>
        <v/>
      </c>
      <c r="B3188" s="17" t="n"/>
      <c r="C3188" s="30" t="n"/>
      <c r="D3188" s="17" t="n"/>
      <c r="E3188" s="24">
        <f>IF($D3188="","",IFERROR(VLOOKUP($D3188,物料档案!$A$4:$P$1203,3,0),"※编码不在物料档案里"))</f>
        <v/>
      </c>
      <c r="F3188" s="24">
        <f>IF($D3188="","",IFERROR(VLOOKUP($D3188,物料档案!$A$4:$P$1203,4,0),"※编码不在物料档案里"))</f>
        <v/>
      </c>
      <c r="G3188" s="24">
        <f>IF($D3188="","",IFERROR(VLOOKUP($D3188,物料档案!$A$4:$P$1203,5,0),"※编码不在物料档案里"))</f>
        <v/>
      </c>
      <c r="H3188" s="24">
        <f>IF($D3188="","",IFERROR(VLOOKUP($D3188,物料档案!$A$4:$P$1203,2,0),"※编码不在物料档案里"))</f>
        <v/>
      </c>
      <c r="I3188" s="24">
        <f>IF($D3188="","",IFERROR(VLOOKUP($D3188,物料档案!$A$4:$P$1203,6,0),"※编码不在物料档案里"))</f>
        <v/>
      </c>
      <c r="J3188" s="23" t="n"/>
      <c r="K3188" s="17" t="n"/>
      <c r="L3188" s="17" t="n"/>
      <c r="M3188" s="17" t="n"/>
      <c r="N3188" s="17" t="n"/>
      <c r="O3188" s="26">
        <f>IF($D3188="","",IFERROR(VLOOKUP($D3188,物料档案!$A$4:$P$1203,10,0),0))</f>
        <v/>
      </c>
      <c r="P3188" s="32" t="n"/>
      <c r="Q3188" s="26">
        <f>IF($D3188="","",IF($K3188&lt;&gt;"对外销售",0,ROUND(N($J3188)*IF($P3188="",N($O3188),N($P3188)),0)))</f>
        <v/>
      </c>
      <c r="R3188" s="26">
        <f>IF($D3188="","",IFERROR(VLOOKUP($D3188,库存台账!$A$5:$Y$1204,11,0),0))</f>
        <v/>
      </c>
      <c r="S3188" s="26">
        <f>IF($D3188="","",ROUND(N($J3188)*N($R3188),0))</f>
        <v/>
      </c>
      <c r="T3188" s="26">
        <f>IF($D3188="","",IF($K3188&lt;&gt;"对外销售","",ROUND($Q3188-$S3188,0)))</f>
        <v/>
      </c>
      <c r="U3188" s="17" t="n"/>
      <c r="V3188" s="17" t="n"/>
      <c r="W3188" s="24">
        <f>IF($D3188="","",IF($E3188="※编码不在物料档案里","※物料编码不在档案里",IF(N($J3188)&lt;=0,"※出库数量要大于 0",IF($K3188="","※没填去向类型",IF($L3188="","※没填去向矿区",IF(AND($C3188&lt;&gt;"",$C3188&lt;=结账锁),"※日期早于已结账截止日，不能再录",IF(AND($K3188="自用消耗",COUNTIF({"一矿区";"二矿区"},$L3188)=0),"※自用消耗的去向只能是一矿区或二矿区",IF(AND($K3188="对外销售",COUNTIF({"三矿区";"六矿区"},$L3188)=0),"※对外销售的去向只能是三矿区或六矿区",IF(AND($K3188="对外销售",ROUND($Q3188,0)=0),"※外销却没有售价，请填实际售价",IF(AND($K3188="对外销售",$T3188&lt;&gt;"",$T3188&lt;0),"※这一笔外销是亏的，请核对售价",IF(IFERROR(VLOOKUP($D3188,库存台账!$A$5:$Y$1204,24,0),0)&lt;-0.001,"※这个物料账面已经变成负数了，查一下是不是漏记入库","")))))))))))</f>
        <v/>
      </c>
    </row>
    <row r="3189">
      <c r="A3189" s="24">
        <f>IF($D3189="","",COUNTA($D$4:$D3189))</f>
        <v/>
      </c>
      <c r="B3189" s="17" t="n"/>
      <c r="C3189" s="30" t="n"/>
      <c r="D3189" s="17" t="n"/>
      <c r="E3189" s="24">
        <f>IF($D3189="","",IFERROR(VLOOKUP($D3189,物料档案!$A$4:$P$1203,3,0),"※编码不在物料档案里"))</f>
        <v/>
      </c>
      <c r="F3189" s="24">
        <f>IF($D3189="","",IFERROR(VLOOKUP($D3189,物料档案!$A$4:$P$1203,4,0),"※编码不在物料档案里"))</f>
        <v/>
      </c>
      <c r="G3189" s="24">
        <f>IF($D3189="","",IFERROR(VLOOKUP($D3189,物料档案!$A$4:$P$1203,5,0),"※编码不在物料档案里"))</f>
        <v/>
      </c>
      <c r="H3189" s="24">
        <f>IF($D3189="","",IFERROR(VLOOKUP($D3189,物料档案!$A$4:$P$1203,2,0),"※编码不在物料档案里"))</f>
        <v/>
      </c>
      <c r="I3189" s="24">
        <f>IF($D3189="","",IFERROR(VLOOKUP($D3189,物料档案!$A$4:$P$1203,6,0),"※编码不在物料档案里"))</f>
        <v/>
      </c>
      <c r="J3189" s="23" t="n"/>
      <c r="K3189" s="17" t="n"/>
      <c r="L3189" s="17" t="n"/>
      <c r="M3189" s="17" t="n"/>
      <c r="N3189" s="17" t="n"/>
      <c r="O3189" s="26">
        <f>IF($D3189="","",IFERROR(VLOOKUP($D3189,物料档案!$A$4:$P$1203,10,0),0))</f>
        <v/>
      </c>
      <c r="P3189" s="32" t="n"/>
      <c r="Q3189" s="26">
        <f>IF($D3189="","",IF($K3189&lt;&gt;"对外销售",0,ROUND(N($J3189)*IF($P3189="",N($O3189),N($P3189)),0)))</f>
        <v/>
      </c>
      <c r="R3189" s="26">
        <f>IF($D3189="","",IFERROR(VLOOKUP($D3189,库存台账!$A$5:$Y$1204,11,0),0))</f>
        <v/>
      </c>
      <c r="S3189" s="26">
        <f>IF($D3189="","",ROUND(N($J3189)*N($R3189),0))</f>
        <v/>
      </c>
      <c r="T3189" s="26">
        <f>IF($D3189="","",IF($K3189&lt;&gt;"对外销售","",ROUND($Q3189-$S3189,0)))</f>
        <v/>
      </c>
      <c r="U3189" s="17" t="n"/>
      <c r="V3189" s="17" t="n"/>
      <c r="W3189" s="24">
        <f>IF($D3189="","",IF($E3189="※编码不在物料档案里","※物料编码不在档案里",IF(N($J3189)&lt;=0,"※出库数量要大于 0",IF($K3189="","※没填去向类型",IF($L3189="","※没填去向矿区",IF(AND($C3189&lt;&gt;"",$C3189&lt;=结账锁),"※日期早于已结账截止日，不能再录",IF(AND($K3189="自用消耗",COUNTIF({"一矿区";"二矿区"},$L3189)=0),"※自用消耗的去向只能是一矿区或二矿区",IF(AND($K3189="对外销售",COUNTIF({"三矿区";"六矿区"},$L3189)=0),"※对外销售的去向只能是三矿区或六矿区",IF(AND($K3189="对外销售",ROUND($Q3189,0)=0),"※外销却没有售价，请填实际售价",IF(AND($K3189="对外销售",$T3189&lt;&gt;"",$T3189&lt;0),"※这一笔外销是亏的，请核对售价",IF(IFERROR(VLOOKUP($D3189,库存台账!$A$5:$Y$1204,24,0),0)&lt;-0.001,"※这个物料账面已经变成负数了，查一下是不是漏记入库","")))))))))))</f>
        <v/>
      </c>
    </row>
    <row r="3190">
      <c r="A3190" s="24">
        <f>IF($D3190="","",COUNTA($D$4:$D3190))</f>
        <v/>
      </c>
      <c r="B3190" s="17" t="n"/>
      <c r="C3190" s="30" t="n"/>
      <c r="D3190" s="17" t="n"/>
      <c r="E3190" s="24">
        <f>IF($D3190="","",IFERROR(VLOOKUP($D3190,物料档案!$A$4:$P$1203,3,0),"※编码不在物料档案里"))</f>
        <v/>
      </c>
      <c r="F3190" s="24">
        <f>IF($D3190="","",IFERROR(VLOOKUP($D3190,物料档案!$A$4:$P$1203,4,0),"※编码不在物料档案里"))</f>
        <v/>
      </c>
      <c r="G3190" s="24">
        <f>IF($D3190="","",IFERROR(VLOOKUP($D3190,物料档案!$A$4:$P$1203,5,0),"※编码不在物料档案里"))</f>
        <v/>
      </c>
      <c r="H3190" s="24">
        <f>IF($D3190="","",IFERROR(VLOOKUP($D3190,物料档案!$A$4:$P$1203,2,0),"※编码不在物料档案里"))</f>
        <v/>
      </c>
      <c r="I3190" s="24">
        <f>IF($D3190="","",IFERROR(VLOOKUP($D3190,物料档案!$A$4:$P$1203,6,0),"※编码不在物料档案里"))</f>
        <v/>
      </c>
      <c r="J3190" s="23" t="n"/>
      <c r="K3190" s="17" t="n"/>
      <c r="L3190" s="17" t="n"/>
      <c r="M3190" s="17" t="n"/>
      <c r="N3190" s="17" t="n"/>
      <c r="O3190" s="26">
        <f>IF($D3190="","",IFERROR(VLOOKUP($D3190,物料档案!$A$4:$P$1203,10,0),0))</f>
        <v/>
      </c>
      <c r="P3190" s="32" t="n"/>
      <c r="Q3190" s="26">
        <f>IF($D3190="","",IF($K3190&lt;&gt;"对外销售",0,ROUND(N($J3190)*IF($P3190="",N($O3190),N($P3190)),0)))</f>
        <v/>
      </c>
      <c r="R3190" s="26">
        <f>IF($D3190="","",IFERROR(VLOOKUP($D3190,库存台账!$A$5:$Y$1204,11,0),0))</f>
        <v/>
      </c>
      <c r="S3190" s="26">
        <f>IF($D3190="","",ROUND(N($J3190)*N($R3190),0))</f>
        <v/>
      </c>
      <c r="T3190" s="26">
        <f>IF($D3190="","",IF($K3190&lt;&gt;"对外销售","",ROUND($Q3190-$S3190,0)))</f>
        <v/>
      </c>
      <c r="U3190" s="17" t="n"/>
      <c r="V3190" s="17" t="n"/>
      <c r="W3190" s="24">
        <f>IF($D3190="","",IF($E3190="※编码不在物料档案里","※物料编码不在档案里",IF(N($J3190)&lt;=0,"※出库数量要大于 0",IF($K3190="","※没填去向类型",IF($L3190="","※没填去向矿区",IF(AND($C3190&lt;&gt;"",$C3190&lt;=结账锁),"※日期早于已结账截止日，不能再录",IF(AND($K3190="自用消耗",COUNTIF({"一矿区";"二矿区"},$L3190)=0),"※自用消耗的去向只能是一矿区或二矿区",IF(AND($K3190="对外销售",COUNTIF({"三矿区";"六矿区"},$L3190)=0),"※对外销售的去向只能是三矿区或六矿区",IF(AND($K3190="对外销售",ROUND($Q3190,0)=0),"※外销却没有售价，请填实际售价",IF(AND($K3190="对外销售",$T3190&lt;&gt;"",$T3190&lt;0),"※这一笔外销是亏的，请核对售价",IF(IFERROR(VLOOKUP($D3190,库存台账!$A$5:$Y$1204,24,0),0)&lt;-0.001,"※这个物料账面已经变成负数了，查一下是不是漏记入库","")))))))))))</f>
        <v/>
      </c>
    </row>
    <row r="3191">
      <c r="A3191" s="24">
        <f>IF($D3191="","",COUNTA($D$4:$D3191))</f>
        <v/>
      </c>
      <c r="B3191" s="17" t="n"/>
      <c r="C3191" s="30" t="n"/>
      <c r="D3191" s="17" t="n"/>
      <c r="E3191" s="24">
        <f>IF($D3191="","",IFERROR(VLOOKUP($D3191,物料档案!$A$4:$P$1203,3,0),"※编码不在物料档案里"))</f>
        <v/>
      </c>
      <c r="F3191" s="24">
        <f>IF($D3191="","",IFERROR(VLOOKUP($D3191,物料档案!$A$4:$P$1203,4,0),"※编码不在物料档案里"))</f>
        <v/>
      </c>
      <c r="G3191" s="24">
        <f>IF($D3191="","",IFERROR(VLOOKUP($D3191,物料档案!$A$4:$P$1203,5,0),"※编码不在物料档案里"))</f>
        <v/>
      </c>
      <c r="H3191" s="24">
        <f>IF($D3191="","",IFERROR(VLOOKUP($D3191,物料档案!$A$4:$P$1203,2,0),"※编码不在物料档案里"))</f>
        <v/>
      </c>
      <c r="I3191" s="24">
        <f>IF($D3191="","",IFERROR(VLOOKUP($D3191,物料档案!$A$4:$P$1203,6,0),"※编码不在物料档案里"))</f>
        <v/>
      </c>
      <c r="J3191" s="23" t="n"/>
      <c r="K3191" s="17" t="n"/>
      <c r="L3191" s="17" t="n"/>
      <c r="M3191" s="17" t="n"/>
      <c r="N3191" s="17" t="n"/>
      <c r="O3191" s="26">
        <f>IF($D3191="","",IFERROR(VLOOKUP($D3191,物料档案!$A$4:$P$1203,10,0),0))</f>
        <v/>
      </c>
      <c r="P3191" s="32" t="n"/>
      <c r="Q3191" s="26">
        <f>IF($D3191="","",IF($K3191&lt;&gt;"对外销售",0,ROUND(N($J3191)*IF($P3191="",N($O3191),N($P3191)),0)))</f>
        <v/>
      </c>
      <c r="R3191" s="26">
        <f>IF($D3191="","",IFERROR(VLOOKUP($D3191,库存台账!$A$5:$Y$1204,11,0),0))</f>
        <v/>
      </c>
      <c r="S3191" s="26">
        <f>IF($D3191="","",ROUND(N($J3191)*N($R3191),0))</f>
        <v/>
      </c>
      <c r="T3191" s="26">
        <f>IF($D3191="","",IF($K3191&lt;&gt;"对外销售","",ROUND($Q3191-$S3191,0)))</f>
        <v/>
      </c>
      <c r="U3191" s="17" t="n"/>
      <c r="V3191" s="17" t="n"/>
      <c r="W3191" s="24">
        <f>IF($D3191="","",IF($E3191="※编码不在物料档案里","※物料编码不在档案里",IF(N($J3191)&lt;=0,"※出库数量要大于 0",IF($K3191="","※没填去向类型",IF($L3191="","※没填去向矿区",IF(AND($C3191&lt;&gt;"",$C3191&lt;=结账锁),"※日期早于已结账截止日，不能再录",IF(AND($K3191="自用消耗",COUNTIF({"一矿区";"二矿区"},$L3191)=0),"※自用消耗的去向只能是一矿区或二矿区",IF(AND($K3191="对外销售",COUNTIF({"三矿区";"六矿区"},$L3191)=0),"※对外销售的去向只能是三矿区或六矿区",IF(AND($K3191="对外销售",ROUND($Q3191,0)=0),"※外销却没有售价，请填实际售价",IF(AND($K3191="对外销售",$T3191&lt;&gt;"",$T3191&lt;0),"※这一笔外销是亏的，请核对售价",IF(IFERROR(VLOOKUP($D3191,库存台账!$A$5:$Y$1204,24,0),0)&lt;-0.001,"※这个物料账面已经变成负数了，查一下是不是漏记入库","")))))))))))</f>
        <v/>
      </c>
    </row>
    <row r="3192">
      <c r="A3192" s="24">
        <f>IF($D3192="","",COUNTA($D$4:$D3192))</f>
        <v/>
      </c>
      <c r="B3192" s="17" t="n"/>
      <c r="C3192" s="30" t="n"/>
      <c r="D3192" s="17" t="n"/>
      <c r="E3192" s="24">
        <f>IF($D3192="","",IFERROR(VLOOKUP($D3192,物料档案!$A$4:$P$1203,3,0),"※编码不在物料档案里"))</f>
        <v/>
      </c>
      <c r="F3192" s="24">
        <f>IF($D3192="","",IFERROR(VLOOKUP($D3192,物料档案!$A$4:$P$1203,4,0),"※编码不在物料档案里"))</f>
        <v/>
      </c>
      <c r="G3192" s="24">
        <f>IF($D3192="","",IFERROR(VLOOKUP($D3192,物料档案!$A$4:$P$1203,5,0),"※编码不在物料档案里"))</f>
        <v/>
      </c>
      <c r="H3192" s="24">
        <f>IF($D3192="","",IFERROR(VLOOKUP($D3192,物料档案!$A$4:$P$1203,2,0),"※编码不在物料档案里"))</f>
        <v/>
      </c>
      <c r="I3192" s="24">
        <f>IF($D3192="","",IFERROR(VLOOKUP($D3192,物料档案!$A$4:$P$1203,6,0),"※编码不在物料档案里"))</f>
        <v/>
      </c>
      <c r="J3192" s="23" t="n"/>
      <c r="K3192" s="17" t="n"/>
      <c r="L3192" s="17" t="n"/>
      <c r="M3192" s="17" t="n"/>
      <c r="N3192" s="17" t="n"/>
      <c r="O3192" s="26">
        <f>IF($D3192="","",IFERROR(VLOOKUP($D3192,物料档案!$A$4:$P$1203,10,0),0))</f>
        <v/>
      </c>
      <c r="P3192" s="32" t="n"/>
      <c r="Q3192" s="26">
        <f>IF($D3192="","",IF($K3192&lt;&gt;"对外销售",0,ROUND(N($J3192)*IF($P3192="",N($O3192),N($P3192)),0)))</f>
        <v/>
      </c>
      <c r="R3192" s="26">
        <f>IF($D3192="","",IFERROR(VLOOKUP($D3192,库存台账!$A$5:$Y$1204,11,0),0))</f>
        <v/>
      </c>
      <c r="S3192" s="26">
        <f>IF($D3192="","",ROUND(N($J3192)*N($R3192),0))</f>
        <v/>
      </c>
      <c r="T3192" s="26">
        <f>IF($D3192="","",IF($K3192&lt;&gt;"对外销售","",ROUND($Q3192-$S3192,0)))</f>
        <v/>
      </c>
      <c r="U3192" s="17" t="n"/>
      <c r="V3192" s="17" t="n"/>
      <c r="W3192" s="24">
        <f>IF($D3192="","",IF($E3192="※编码不在物料档案里","※物料编码不在档案里",IF(N($J3192)&lt;=0,"※出库数量要大于 0",IF($K3192="","※没填去向类型",IF($L3192="","※没填去向矿区",IF(AND($C3192&lt;&gt;"",$C3192&lt;=结账锁),"※日期早于已结账截止日，不能再录",IF(AND($K3192="自用消耗",COUNTIF({"一矿区";"二矿区"},$L3192)=0),"※自用消耗的去向只能是一矿区或二矿区",IF(AND($K3192="对外销售",COUNTIF({"三矿区";"六矿区"},$L3192)=0),"※对外销售的去向只能是三矿区或六矿区",IF(AND($K3192="对外销售",ROUND($Q3192,0)=0),"※外销却没有售价，请填实际售价",IF(AND($K3192="对外销售",$T3192&lt;&gt;"",$T3192&lt;0),"※这一笔外销是亏的，请核对售价",IF(IFERROR(VLOOKUP($D3192,库存台账!$A$5:$Y$1204,24,0),0)&lt;-0.001,"※这个物料账面已经变成负数了，查一下是不是漏记入库","")))))))))))</f>
        <v/>
      </c>
    </row>
    <row r="3193">
      <c r="A3193" s="24">
        <f>IF($D3193="","",COUNTA($D$4:$D3193))</f>
        <v/>
      </c>
      <c r="B3193" s="17" t="n"/>
      <c r="C3193" s="30" t="n"/>
      <c r="D3193" s="17" t="n"/>
      <c r="E3193" s="24">
        <f>IF($D3193="","",IFERROR(VLOOKUP($D3193,物料档案!$A$4:$P$1203,3,0),"※编码不在物料档案里"))</f>
        <v/>
      </c>
      <c r="F3193" s="24">
        <f>IF($D3193="","",IFERROR(VLOOKUP($D3193,物料档案!$A$4:$P$1203,4,0),"※编码不在物料档案里"))</f>
        <v/>
      </c>
      <c r="G3193" s="24">
        <f>IF($D3193="","",IFERROR(VLOOKUP($D3193,物料档案!$A$4:$P$1203,5,0),"※编码不在物料档案里"))</f>
        <v/>
      </c>
      <c r="H3193" s="24">
        <f>IF($D3193="","",IFERROR(VLOOKUP($D3193,物料档案!$A$4:$P$1203,2,0),"※编码不在物料档案里"))</f>
        <v/>
      </c>
      <c r="I3193" s="24">
        <f>IF($D3193="","",IFERROR(VLOOKUP($D3193,物料档案!$A$4:$P$1203,6,0),"※编码不在物料档案里"))</f>
        <v/>
      </c>
      <c r="J3193" s="23" t="n"/>
      <c r="K3193" s="17" t="n"/>
      <c r="L3193" s="17" t="n"/>
      <c r="M3193" s="17" t="n"/>
      <c r="N3193" s="17" t="n"/>
      <c r="O3193" s="26">
        <f>IF($D3193="","",IFERROR(VLOOKUP($D3193,物料档案!$A$4:$P$1203,10,0),0))</f>
        <v/>
      </c>
      <c r="P3193" s="32" t="n"/>
      <c r="Q3193" s="26">
        <f>IF($D3193="","",IF($K3193&lt;&gt;"对外销售",0,ROUND(N($J3193)*IF($P3193="",N($O3193),N($P3193)),0)))</f>
        <v/>
      </c>
      <c r="R3193" s="26">
        <f>IF($D3193="","",IFERROR(VLOOKUP($D3193,库存台账!$A$5:$Y$1204,11,0),0))</f>
        <v/>
      </c>
      <c r="S3193" s="26">
        <f>IF($D3193="","",ROUND(N($J3193)*N($R3193),0))</f>
        <v/>
      </c>
      <c r="T3193" s="26">
        <f>IF($D3193="","",IF($K3193&lt;&gt;"对外销售","",ROUND($Q3193-$S3193,0)))</f>
        <v/>
      </c>
      <c r="U3193" s="17" t="n"/>
      <c r="V3193" s="17" t="n"/>
      <c r="W3193" s="24">
        <f>IF($D3193="","",IF($E3193="※编码不在物料档案里","※物料编码不在档案里",IF(N($J3193)&lt;=0,"※出库数量要大于 0",IF($K3193="","※没填去向类型",IF($L3193="","※没填去向矿区",IF(AND($C3193&lt;&gt;"",$C3193&lt;=结账锁),"※日期早于已结账截止日，不能再录",IF(AND($K3193="自用消耗",COUNTIF({"一矿区";"二矿区"},$L3193)=0),"※自用消耗的去向只能是一矿区或二矿区",IF(AND($K3193="对外销售",COUNTIF({"三矿区";"六矿区"},$L3193)=0),"※对外销售的去向只能是三矿区或六矿区",IF(AND($K3193="对外销售",ROUND($Q3193,0)=0),"※外销却没有售价，请填实际售价",IF(AND($K3193="对外销售",$T3193&lt;&gt;"",$T3193&lt;0),"※这一笔外销是亏的，请核对售价",IF(IFERROR(VLOOKUP($D3193,库存台账!$A$5:$Y$1204,24,0),0)&lt;-0.001,"※这个物料账面已经变成负数了，查一下是不是漏记入库","")))))))))))</f>
        <v/>
      </c>
    </row>
    <row r="3194">
      <c r="A3194" s="24">
        <f>IF($D3194="","",COUNTA($D$4:$D3194))</f>
        <v/>
      </c>
      <c r="B3194" s="17" t="n"/>
      <c r="C3194" s="30" t="n"/>
      <c r="D3194" s="17" t="n"/>
      <c r="E3194" s="24">
        <f>IF($D3194="","",IFERROR(VLOOKUP($D3194,物料档案!$A$4:$P$1203,3,0),"※编码不在物料档案里"))</f>
        <v/>
      </c>
      <c r="F3194" s="24">
        <f>IF($D3194="","",IFERROR(VLOOKUP($D3194,物料档案!$A$4:$P$1203,4,0),"※编码不在物料档案里"))</f>
        <v/>
      </c>
      <c r="G3194" s="24">
        <f>IF($D3194="","",IFERROR(VLOOKUP($D3194,物料档案!$A$4:$P$1203,5,0),"※编码不在物料档案里"))</f>
        <v/>
      </c>
      <c r="H3194" s="24">
        <f>IF($D3194="","",IFERROR(VLOOKUP($D3194,物料档案!$A$4:$P$1203,2,0),"※编码不在物料档案里"))</f>
        <v/>
      </c>
      <c r="I3194" s="24">
        <f>IF($D3194="","",IFERROR(VLOOKUP($D3194,物料档案!$A$4:$P$1203,6,0),"※编码不在物料档案里"))</f>
        <v/>
      </c>
      <c r="J3194" s="23" t="n"/>
      <c r="K3194" s="17" t="n"/>
      <c r="L3194" s="17" t="n"/>
      <c r="M3194" s="17" t="n"/>
      <c r="N3194" s="17" t="n"/>
      <c r="O3194" s="26">
        <f>IF($D3194="","",IFERROR(VLOOKUP($D3194,物料档案!$A$4:$P$1203,10,0),0))</f>
        <v/>
      </c>
      <c r="P3194" s="32" t="n"/>
      <c r="Q3194" s="26">
        <f>IF($D3194="","",IF($K3194&lt;&gt;"对外销售",0,ROUND(N($J3194)*IF($P3194="",N($O3194),N($P3194)),0)))</f>
        <v/>
      </c>
      <c r="R3194" s="26">
        <f>IF($D3194="","",IFERROR(VLOOKUP($D3194,库存台账!$A$5:$Y$1204,11,0),0))</f>
        <v/>
      </c>
      <c r="S3194" s="26">
        <f>IF($D3194="","",ROUND(N($J3194)*N($R3194),0))</f>
        <v/>
      </c>
      <c r="T3194" s="26">
        <f>IF($D3194="","",IF($K3194&lt;&gt;"对外销售","",ROUND($Q3194-$S3194,0)))</f>
        <v/>
      </c>
      <c r="U3194" s="17" t="n"/>
      <c r="V3194" s="17" t="n"/>
      <c r="W3194" s="24">
        <f>IF($D3194="","",IF($E3194="※编码不在物料档案里","※物料编码不在档案里",IF(N($J3194)&lt;=0,"※出库数量要大于 0",IF($K3194="","※没填去向类型",IF($L3194="","※没填去向矿区",IF(AND($C3194&lt;&gt;"",$C3194&lt;=结账锁),"※日期早于已结账截止日，不能再录",IF(AND($K3194="自用消耗",COUNTIF({"一矿区";"二矿区"},$L3194)=0),"※自用消耗的去向只能是一矿区或二矿区",IF(AND($K3194="对外销售",COUNTIF({"三矿区";"六矿区"},$L3194)=0),"※对外销售的去向只能是三矿区或六矿区",IF(AND($K3194="对外销售",ROUND($Q3194,0)=0),"※外销却没有售价，请填实际售价",IF(AND($K3194="对外销售",$T3194&lt;&gt;"",$T3194&lt;0),"※这一笔外销是亏的，请核对售价",IF(IFERROR(VLOOKUP($D3194,库存台账!$A$5:$Y$1204,24,0),0)&lt;-0.001,"※这个物料账面已经变成负数了，查一下是不是漏记入库","")))))))))))</f>
        <v/>
      </c>
    </row>
    <row r="3195">
      <c r="A3195" s="24">
        <f>IF($D3195="","",COUNTA($D$4:$D3195))</f>
        <v/>
      </c>
      <c r="B3195" s="17" t="n"/>
      <c r="C3195" s="30" t="n"/>
      <c r="D3195" s="17" t="n"/>
      <c r="E3195" s="24">
        <f>IF($D3195="","",IFERROR(VLOOKUP($D3195,物料档案!$A$4:$P$1203,3,0),"※编码不在物料档案里"))</f>
        <v/>
      </c>
      <c r="F3195" s="24">
        <f>IF($D3195="","",IFERROR(VLOOKUP($D3195,物料档案!$A$4:$P$1203,4,0),"※编码不在物料档案里"))</f>
        <v/>
      </c>
      <c r="G3195" s="24">
        <f>IF($D3195="","",IFERROR(VLOOKUP($D3195,物料档案!$A$4:$P$1203,5,0),"※编码不在物料档案里"))</f>
        <v/>
      </c>
      <c r="H3195" s="24">
        <f>IF($D3195="","",IFERROR(VLOOKUP($D3195,物料档案!$A$4:$P$1203,2,0),"※编码不在物料档案里"))</f>
        <v/>
      </c>
      <c r="I3195" s="24">
        <f>IF($D3195="","",IFERROR(VLOOKUP($D3195,物料档案!$A$4:$P$1203,6,0),"※编码不在物料档案里"))</f>
        <v/>
      </c>
      <c r="J3195" s="23" t="n"/>
      <c r="K3195" s="17" t="n"/>
      <c r="L3195" s="17" t="n"/>
      <c r="M3195" s="17" t="n"/>
      <c r="N3195" s="17" t="n"/>
      <c r="O3195" s="26">
        <f>IF($D3195="","",IFERROR(VLOOKUP($D3195,物料档案!$A$4:$P$1203,10,0),0))</f>
        <v/>
      </c>
      <c r="P3195" s="32" t="n"/>
      <c r="Q3195" s="26">
        <f>IF($D3195="","",IF($K3195&lt;&gt;"对外销售",0,ROUND(N($J3195)*IF($P3195="",N($O3195),N($P3195)),0)))</f>
        <v/>
      </c>
      <c r="R3195" s="26">
        <f>IF($D3195="","",IFERROR(VLOOKUP($D3195,库存台账!$A$5:$Y$1204,11,0),0))</f>
        <v/>
      </c>
      <c r="S3195" s="26">
        <f>IF($D3195="","",ROUND(N($J3195)*N($R3195),0))</f>
        <v/>
      </c>
      <c r="T3195" s="26">
        <f>IF($D3195="","",IF($K3195&lt;&gt;"对外销售","",ROUND($Q3195-$S3195,0)))</f>
        <v/>
      </c>
      <c r="U3195" s="17" t="n"/>
      <c r="V3195" s="17" t="n"/>
      <c r="W3195" s="24">
        <f>IF($D3195="","",IF($E3195="※编码不在物料档案里","※物料编码不在档案里",IF(N($J3195)&lt;=0,"※出库数量要大于 0",IF($K3195="","※没填去向类型",IF($L3195="","※没填去向矿区",IF(AND($C3195&lt;&gt;"",$C3195&lt;=结账锁),"※日期早于已结账截止日，不能再录",IF(AND($K3195="自用消耗",COUNTIF({"一矿区";"二矿区"},$L3195)=0),"※自用消耗的去向只能是一矿区或二矿区",IF(AND($K3195="对外销售",COUNTIF({"三矿区";"六矿区"},$L3195)=0),"※对外销售的去向只能是三矿区或六矿区",IF(AND($K3195="对外销售",ROUND($Q3195,0)=0),"※外销却没有售价，请填实际售价",IF(AND($K3195="对外销售",$T3195&lt;&gt;"",$T3195&lt;0),"※这一笔外销是亏的，请核对售价",IF(IFERROR(VLOOKUP($D3195,库存台账!$A$5:$Y$1204,24,0),0)&lt;-0.001,"※这个物料账面已经变成负数了，查一下是不是漏记入库","")))))))))))</f>
        <v/>
      </c>
    </row>
    <row r="3196">
      <c r="A3196" s="24">
        <f>IF($D3196="","",COUNTA($D$4:$D3196))</f>
        <v/>
      </c>
      <c r="B3196" s="17" t="n"/>
      <c r="C3196" s="30" t="n"/>
      <c r="D3196" s="17" t="n"/>
      <c r="E3196" s="24">
        <f>IF($D3196="","",IFERROR(VLOOKUP($D3196,物料档案!$A$4:$P$1203,3,0),"※编码不在物料档案里"))</f>
        <v/>
      </c>
      <c r="F3196" s="24">
        <f>IF($D3196="","",IFERROR(VLOOKUP($D3196,物料档案!$A$4:$P$1203,4,0),"※编码不在物料档案里"))</f>
        <v/>
      </c>
      <c r="G3196" s="24">
        <f>IF($D3196="","",IFERROR(VLOOKUP($D3196,物料档案!$A$4:$P$1203,5,0),"※编码不在物料档案里"))</f>
        <v/>
      </c>
      <c r="H3196" s="24">
        <f>IF($D3196="","",IFERROR(VLOOKUP($D3196,物料档案!$A$4:$P$1203,2,0),"※编码不在物料档案里"))</f>
        <v/>
      </c>
      <c r="I3196" s="24">
        <f>IF($D3196="","",IFERROR(VLOOKUP($D3196,物料档案!$A$4:$P$1203,6,0),"※编码不在物料档案里"))</f>
        <v/>
      </c>
      <c r="J3196" s="23" t="n"/>
      <c r="K3196" s="17" t="n"/>
      <c r="L3196" s="17" t="n"/>
      <c r="M3196" s="17" t="n"/>
      <c r="N3196" s="17" t="n"/>
      <c r="O3196" s="26">
        <f>IF($D3196="","",IFERROR(VLOOKUP($D3196,物料档案!$A$4:$P$1203,10,0),0))</f>
        <v/>
      </c>
      <c r="P3196" s="32" t="n"/>
      <c r="Q3196" s="26">
        <f>IF($D3196="","",IF($K3196&lt;&gt;"对外销售",0,ROUND(N($J3196)*IF($P3196="",N($O3196),N($P3196)),0)))</f>
        <v/>
      </c>
      <c r="R3196" s="26">
        <f>IF($D3196="","",IFERROR(VLOOKUP($D3196,库存台账!$A$5:$Y$1204,11,0),0))</f>
        <v/>
      </c>
      <c r="S3196" s="26">
        <f>IF($D3196="","",ROUND(N($J3196)*N($R3196),0))</f>
        <v/>
      </c>
      <c r="T3196" s="26">
        <f>IF($D3196="","",IF($K3196&lt;&gt;"对外销售","",ROUND($Q3196-$S3196,0)))</f>
        <v/>
      </c>
      <c r="U3196" s="17" t="n"/>
      <c r="V3196" s="17" t="n"/>
      <c r="W3196" s="24">
        <f>IF($D3196="","",IF($E3196="※编码不在物料档案里","※物料编码不在档案里",IF(N($J3196)&lt;=0,"※出库数量要大于 0",IF($K3196="","※没填去向类型",IF($L3196="","※没填去向矿区",IF(AND($C3196&lt;&gt;"",$C3196&lt;=结账锁),"※日期早于已结账截止日，不能再录",IF(AND($K3196="自用消耗",COUNTIF({"一矿区";"二矿区"},$L3196)=0),"※自用消耗的去向只能是一矿区或二矿区",IF(AND($K3196="对外销售",COUNTIF({"三矿区";"六矿区"},$L3196)=0),"※对外销售的去向只能是三矿区或六矿区",IF(AND($K3196="对外销售",ROUND($Q3196,0)=0),"※外销却没有售价，请填实际售价",IF(AND($K3196="对外销售",$T3196&lt;&gt;"",$T3196&lt;0),"※这一笔外销是亏的，请核对售价",IF(IFERROR(VLOOKUP($D3196,库存台账!$A$5:$Y$1204,24,0),0)&lt;-0.001,"※这个物料账面已经变成负数了，查一下是不是漏记入库","")))))))))))</f>
        <v/>
      </c>
    </row>
    <row r="3197">
      <c r="A3197" s="24">
        <f>IF($D3197="","",COUNTA($D$4:$D3197))</f>
        <v/>
      </c>
      <c r="B3197" s="17" t="n"/>
      <c r="C3197" s="30" t="n"/>
      <c r="D3197" s="17" t="n"/>
      <c r="E3197" s="24">
        <f>IF($D3197="","",IFERROR(VLOOKUP($D3197,物料档案!$A$4:$P$1203,3,0),"※编码不在物料档案里"))</f>
        <v/>
      </c>
      <c r="F3197" s="24">
        <f>IF($D3197="","",IFERROR(VLOOKUP($D3197,物料档案!$A$4:$P$1203,4,0),"※编码不在物料档案里"))</f>
        <v/>
      </c>
      <c r="G3197" s="24">
        <f>IF($D3197="","",IFERROR(VLOOKUP($D3197,物料档案!$A$4:$P$1203,5,0),"※编码不在物料档案里"))</f>
        <v/>
      </c>
      <c r="H3197" s="24">
        <f>IF($D3197="","",IFERROR(VLOOKUP($D3197,物料档案!$A$4:$P$1203,2,0),"※编码不在物料档案里"))</f>
        <v/>
      </c>
      <c r="I3197" s="24">
        <f>IF($D3197="","",IFERROR(VLOOKUP($D3197,物料档案!$A$4:$P$1203,6,0),"※编码不在物料档案里"))</f>
        <v/>
      </c>
      <c r="J3197" s="23" t="n"/>
      <c r="K3197" s="17" t="n"/>
      <c r="L3197" s="17" t="n"/>
      <c r="M3197" s="17" t="n"/>
      <c r="N3197" s="17" t="n"/>
      <c r="O3197" s="26">
        <f>IF($D3197="","",IFERROR(VLOOKUP($D3197,物料档案!$A$4:$P$1203,10,0),0))</f>
        <v/>
      </c>
      <c r="P3197" s="32" t="n"/>
      <c r="Q3197" s="26">
        <f>IF($D3197="","",IF($K3197&lt;&gt;"对外销售",0,ROUND(N($J3197)*IF($P3197="",N($O3197),N($P3197)),0)))</f>
        <v/>
      </c>
      <c r="R3197" s="26">
        <f>IF($D3197="","",IFERROR(VLOOKUP($D3197,库存台账!$A$5:$Y$1204,11,0),0))</f>
        <v/>
      </c>
      <c r="S3197" s="26">
        <f>IF($D3197="","",ROUND(N($J3197)*N($R3197),0))</f>
        <v/>
      </c>
      <c r="T3197" s="26">
        <f>IF($D3197="","",IF($K3197&lt;&gt;"对外销售","",ROUND($Q3197-$S3197,0)))</f>
        <v/>
      </c>
      <c r="U3197" s="17" t="n"/>
      <c r="V3197" s="17" t="n"/>
      <c r="W3197" s="24">
        <f>IF($D3197="","",IF($E3197="※编码不在物料档案里","※物料编码不在档案里",IF(N($J3197)&lt;=0,"※出库数量要大于 0",IF($K3197="","※没填去向类型",IF($L3197="","※没填去向矿区",IF(AND($C3197&lt;&gt;"",$C3197&lt;=结账锁),"※日期早于已结账截止日，不能再录",IF(AND($K3197="自用消耗",COUNTIF({"一矿区";"二矿区"},$L3197)=0),"※自用消耗的去向只能是一矿区或二矿区",IF(AND($K3197="对外销售",COUNTIF({"三矿区";"六矿区"},$L3197)=0),"※对外销售的去向只能是三矿区或六矿区",IF(AND($K3197="对外销售",ROUND($Q3197,0)=0),"※外销却没有售价，请填实际售价",IF(AND($K3197="对外销售",$T3197&lt;&gt;"",$T3197&lt;0),"※这一笔外销是亏的，请核对售价",IF(IFERROR(VLOOKUP($D3197,库存台账!$A$5:$Y$1204,24,0),0)&lt;-0.001,"※这个物料账面已经变成负数了，查一下是不是漏记入库","")))))))))))</f>
        <v/>
      </c>
    </row>
    <row r="3198">
      <c r="A3198" s="24">
        <f>IF($D3198="","",COUNTA($D$4:$D3198))</f>
        <v/>
      </c>
      <c r="B3198" s="17" t="n"/>
      <c r="C3198" s="30" t="n"/>
      <c r="D3198" s="17" t="n"/>
      <c r="E3198" s="24">
        <f>IF($D3198="","",IFERROR(VLOOKUP($D3198,物料档案!$A$4:$P$1203,3,0),"※编码不在物料档案里"))</f>
        <v/>
      </c>
      <c r="F3198" s="24">
        <f>IF($D3198="","",IFERROR(VLOOKUP($D3198,物料档案!$A$4:$P$1203,4,0),"※编码不在物料档案里"))</f>
        <v/>
      </c>
      <c r="G3198" s="24">
        <f>IF($D3198="","",IFERROR(VLOOKUP($D3198,物料档案!$A$4:$P$1203,5,0),"※编码不在物料档案里"))</f>
        <v/>
      </c>
      <c r="H3198" s="24">
        <f>IF($D3198="","",IFERROR(VLOOKUP($D3198,物料档案!$A$4:$P$1203,2,0),"※编码不在物料档案里"))</f>
        <v/>
      </c>
      <c r="I3198" s="24">
        <f>IF($D3198="","",IFERROR(VLOOKUP($D3198,物料档案!$A$4:$P$1203,6,0),"※编码不在物料档案里"))</f>
        <v/>
      </c>
      <c r="J3198" s="23" t="n"/>
      <c r="K3198" s="17" t="n"/>
      <c r="L3198" s="17" t="n"/>
      <c r="M3198" s="17" t="n"/>
      <c r="N3198" s="17" t="n"/>
      <c r="O3198" s="26">
        <f>IF($D3198="","",IFERROR(VLOOKUP($D3198,物料档案!$A$4:$P$1203,10,0),0))</f>
        <v/>
      </c>
      <c r="P3198" s="32" t="n"/>
      <c r="Q3198" s="26">
        <f>IF($D3198="","",IF($K3198&lt;&gt;"对外销售",0,ROUND(N($J3198)*IF($P3198="",N($O3198),N($P3198)),0)))</f>
        <v/>
      </c>
      <c r="R3198" s="26">
        <f>IF($D3198="","",IFERROR(VLOOKUP($D3198,库存台账!$A$5:$Y$1204,11,0),0))</f>
        <v/>
      </c>
      <c r="S3198" s="26">
        <f>IF($D3198="","",ROUND(N($J3198)*N($R3198),0))</f>
        <v/>
      </c>
      <c r="T3198" s="26">
        <f>IF($D3198="","",IF($K3198&lt;&gt;"对外销售","",ROUND($Q3198-$S3198,0)))</f>
        <v/>
      </c>
      <c r="U3198" s="17" t="n"/>
      <c r="V3198" s="17" t="n"/>
      <c r="W3198" s="24">
        <f>IF($D3198="","",IF($E3198="※编码不在物料档案里","※物料编码不在档案里",IF(N($J3198)&lt;=0,"※出库数量要大于 0",IF($K3198="","※没填去向类型",IF($L3198="","※没填去向矿区",IF(AND($C3198&lt;&gt;"",$C3198&lt;=结账锁),"※日期早于已结账截止日，不能再录",IF(AND($K3198="自用消耗",COUNTIF({"一矿区";"二矿区"},$L3198)=0),"※自用消耗的去向只能是一矿区或二矿区",IF(AND($K3198="对外销售",COUNTIF({"三矿区";"六矿区"},$L3198)=0),"※对外销售的去向只能是三矿区或六矿区",IF(AND($K3198="对外销售",ROUND($Q3198,0)=0),"※外销却没有售价，请填实际售价",IF(AND($K3198="对外销售",$T3198&lt;&gt;"",$T3198&lt;0),"※这一笔外销是亏的，请核对售价",IF(IFERROR(VLOOKUP($D3198,库存台账!$A$5:$Y$1204,24,0),0)&lt;-0.001,"※这个物料账面已经变成负数了，查一下是不是漏记入库","")))))))))))</f>
        <v/>
      </c>
    </row>
    <row r="3199">
      <c r="A3199" s="24">
        <f>IF($D3199="","",COUNTA($D$4:$D3199))</f>
        <v/>
      </c>
      <c r="B3199" s="17" t="n"/>
      <c r="C3199" s="30" t="n"/>
      <c r="D3199" s="17" t="n"/>
      <c r="E3199" s="24">
        <f>IF($D3199="","",IFERROR(VLOOKUP($D3199,物料档案!$A$4:$P$1203,3,0),"※编码不在物料档案里"))</f>
        <v/>
      </c>
      <c r="F3199" s="24">
        <f>IF($D3199="","",IFERROR(VLOOKUP($D3199,物料档案!$A$4:$P$1203,4,0),"※编码不在物料档案里"))</f>
        <v/>
      </c>
      <c r="G3199" s="24">
        <f>IF($D3199="","",IFERROR(VLOOKUP($D3199,物料档案!$A$4:$P$1203,5,0),"※编码不在物料档案里"))</f>
        <v/>
      </c>
      <c r="H3199" s="24">
        <f>IF($D3199="","",IFERROR(VLOOKUP($D3199,物料档案!$A$4:$P$1203,2,0),"※编码不在物料档案里"))</f>
        <v/>
      </c>
      <c r="I3199" s="24">
        <f>IF($D3199="","",IFERROR(VLOOKUP($D3199,物料档案!$A$4:$P$1203,6,0),"※编码不在物料档案里"))</f>
        <v/>
      </c>
      <c r="J3199" s="23" t="n"/>
      <c r="K3199" s="17" t="n"/>
      <c r="L3199" s="17" t="n"/>
      <c r="M3199" s="17" t="n"/>
      <c r="N3199" s="17" t="n"/>
      <c r="O3199" s="26">
        <f>IF($D3199="","",IFERROR(VLOOKUP($D3199,物料档案!$A$4:$P$1203,10,0),0))</f>
        <v/>
      </c>
      <c r="P3199" s="32" t="n"/>
      <c r="Q3199" s="26">
        <f>IF($D3199="","",IF($K3199&lt;&gt;"对外销售",0,ROUND(N($J3199)*IF($P3199="",N($O3199),N($P3199)),0)))</f>
        <v/>
      </c>
      <c r="R3199" s="26">
        <f>IF($D3199="","",IFERROR(VLOOKUP($D3199,库存台账!$A$5:$Y$1204,11,0),0))</f>
        <v/>
      </c>
      <c r="S3199" s="26">
        <f>IF($D3199="","",ROUND(N($J3199)*N($R3199),0))</f>
        <v/>
      </c>
      <c r="T3199" s="26">
        <f>IF($D3199="","",IF($K3199&lt;&gt;"对外销售","",ROUND($Q3199-$S3199,0)))</f>
        <v/>
      </c>
      <c r="U3199" s="17" t="n"/>
      <c r="V3199" s="17" t="n"/>
      <c r="W3199" s="24">
        <f>IF($D3199="","",IF($E3199="※编码不在物料档案里","※物料编码不在档案里",IF(N($J3199)&lt;=0,"※出库数量要大于 0",IF($K3199="","※没填去向类型",IF($L3199="","※没填去向矿区",IF(AND($C3199&lt;&gt;"",$C3199&lt;=结账锁),"※日期早于已结账截止日，不能再录",IF(AND($K3199="自用消耗",COUNTIF({"一矿区";"二矿区"},$L3199)=0),"※自用消耗的去向只能是一矿区或二矿区",IF(AND($K3199="对外销售",COUNTIF({"三矿区";"六矿区"},$L3199)=0),"※对外销售的去向只能是三矿区或六矿区",IF(AND($K3199="对外销售",ROUND($Q3199,0)=0),"※外销却没有售价，请填实际售价",IF(AND($K3199="对外销售",$T3199&lt;&gt;"",$T3199&lt;0),"※这一笔外销是亏的，请核对售价",IF(IFERROR(VLOOKUP($D3199,库存台账!$A$5:$Y$1204,24,0),0)&lt;-0.001,"※这个物料账面已经变成负数了，查一下是不是漏记入库","")))))))))))</f>
        <v/>
      </c>
    </row>
    <row r="3200">
      <c r="A3200" s="24">
        <f>IF($D3200="","",COUNTA($D$4:$D3200))</f>
        <v/>
      </c>
      <c r="B3200" s="17" t="n"/>
      <c r="C3200" s="30" t="n"/>
      <c r="D3200" s="17" t="n"/>
      <c r="E3200" s="24">
        <f>IF($D3200="","",IFERROR(VLOOKUP($D3200,物料档案!$A$4:$P$1203,3,0),"※编码不在物料档案里"))</f>
        <v/>
      </c>
      <c r="F3200" s="24">
        <f>IF($D3200="","",IFERROR(VLOOKUP($D3200,物料档案!$A$4:$P$1203,4,0),"※编码不在物料档案里"))</f>
        <v/>
      </c>
      <c r="G3200" s="24">
        <f>IF($D3200="","",IFERROR(VLOOKUP($D3200,物料档案!$A$4:$P$1203,5,0),"※编码不在物料档案里"))</f>
        <v/>
      </c>
      <c r="H3200" s="24">
        <f>IF($D3200="","",IFERROR(VLOOKUP($D3200,物料档案!$A$4:$P$1203,2,0),"※编码不在物料档案里"))</f>
        <v/>
      </c>
      <c r="I3200" s="24">
        <f>IF($D3200="","",IFERROR(VLOOKUP($D3200,物料档案!$A$4:$P$1203,6,0),"※编码不在物料档案里"))</f>
        <v/>
      </c>
      <c r="J3200" s="23" t="n"/>
      <c r="K3200" s="17" t="n"/>
      <c r="L3200" s="17" t="n"/>
      <c r="M3200" s="17" t="n"/>
      <c r="N3200" s="17" t="n"/>
      <c r="O3200" s="26">
        <f>IF($D3200="","",IFERROR(VLOOKUP($D3200,物料档案!$A$4:$P$1203,10,0),0))</f>
        <v/>
      </c>
      <c r="P3200" s="32" t="n"/>
      <c r="Q3200" s="26">
        <f>IF($D3200="","",IF($K3200&lt;&gt;"对外销售",0,ROUND(N($J3200)*IF($P3200="",N($O3200),N($P3200)),0)))</f>
        <v/>
      </c>
      <c r="R3200" s="26">
        <f>IF($D3200="","",IFERROR(VLOOKUP($D3200,库存台账!$A$5:$Y$1204,11,0),0))</f>
        <v/>
      </c>
      <c r="S3200" s="26">
        <f>IF($D3200="","",ROUND(N($J3200)*N($R3200),0))</f>
        <v/>
      </c>
      <c r="T3200" s="26">
        <f>IF($D3200="","",IF($K3200&lt;&gt;"对外销售","",ROUND($Q3200-$S3200,0)))</f>
        <v/>
      </c>
      <c r="U3200" s="17" t="n"/>
      <c r="V3200" s="17" t="n"/>
      <c r="W3200" s="24">
        <f>IF($D3200="","",IF($E3200="※编码不在物料档案里","※物料编码不在档案里",IF(N($J3200)&lt;=0,"※出库数量要大于 0",IF($K3200="","※没填去向类型",IF($L3200="","※没填去向矿区",IF(AND($C3200&lt;&gt;"",$C3200&lt;=结账锁),"※日期早于已结账截止日，不能再录",IF(AND($K3200="自用消耗",COUNTIF({"一矿区";"二矿区"},$L3200)=0),"※自用消耗的去向只能是一矿区或二矿区",IF(AND($K3200="对外销售",COUNTIF({"三矿区";"六矿区"},$L3200)=0),"※对外销售的去向只能是三矿区或六矿区",IF(AND($K3200="对外销售",ROUND($Q3200,0)=0),"※外销却没有售价，请填实际售价",IF(AND($K3200="对外销售",$T3200&lt;&gt;"",$T3200&lt;0),"※这一笔外销是亏的，请核对售价",IF(IFERROR(VLOOKUP($D3200,库存台账!$A$5:$Y$1204,24,0),0)&lt;-0.001,"※这个物料账面已经变成负数了，查一下是不是漏记入库","")))))))))))</f>
        <v/>
      </c>
    </row>
    <row r="3201">
      <c r="A3201" s="24">
        <f>IF($D3201="","",COUNTA($D$4:$D3201))</f>
        <v/>
      </c>
      <c r="B3201" s="17" t="n"/>
      <c r="C3201" s="30" t="n"/>
      <c r="D3201" s="17" t="n"/>
      <c r="E3201" s="24">
        <f>IF($D3201="","",IFERROR(VLOOKUP($D3201,物料档案!$A$4:$P$1203,3,0),"※编码不在物料档案里"))</f>
        <v/>
      </c>
      <c r="F3201" s="24">
        <f>IF($D3201="","",IFERROR(VLOOKUP($D3201,物料档案!$A$4:$P$1203,4,0),"※编码不在物料档案里"))</f>
        <v/>
      </c>
      <c r="G3201" s="24">
        <f>IF($D3201="","",IFERROR(VLOOKUP($D3201,物料档案!$A$4:$P$1203,5,0),"※编码不在物料档案里"))</f>
        <v/>
      </c>
      <c r="H3201" s="24">
        <f>IF($D3201="","",IFERROR(VLOOKUP($D3201,物料档案!$A$4:$P$1203,2,0),"※编码不在物料档案里"))</f>
        <v/>
      </c>
      <c r="I3201" s="24">
        <f>IF($D3201="","",IFERROR(VLOOKUP($D3201,物料档案!$A$4:$P$1203,6,0),"※编码不在物料档案里"))</f>
        <v/>
      </c>
      <c r="J3201" s="23" t="n"/>
      <c r="K3201" s="17" t="n"/>
      <c r="L3201" s="17" t="n"/>
      <c r="M3201" s="17" t="n"/>
      <c r="N3201" s="17" t="n"/>
      <c r="O3201" s="26">
        <f>IF($D3201="","",IFERROR(VLOOKUP($D3201,物料档案!$A$4:$P$1203,10,0),0))</f>
        <v/>
      </c>
      <c r="P3201" s="32" t="n"/>
      <c r="Q3201" s="26">
        <f>IF($D3201="","",IF($K3201&lt;&gt;"对外销售",0,ROUND(N($J3201)*IF($P3201="",N($O3201),N($P3201)),0)))</f>
        <v/>
      </c>
      <c r="R3201" s="26">
        <f>IF($D3201="","",IFERROR(VLOOKUP($D3201,库存台账!$A$5:$Y$1204,11,0),0))</f>
        <v/>
      </c>
      <c r="S3201" s="26">
        <f>IF($D3201="","",ROUND(N($J3201)*N($R3201),0))</f>
        <v/>
      </c>
      <c r="T3201" s="26">
        <f>IF($D3201="","",IF($K3201&lt;&gt;"对外销售","",ROUND($Q3201-$S3201,0)))</f>
        <v/>
      </c>
      <c r="U3201" s="17" t="n"/>
      <c r="V3201" s="17" t="n"/>
      <c r="W3201" s="24">
        <f>IF($D3201="","",IF($E3201="※编码不在物料档案里","※物料编码不在档案里",IF(N($J3201)&lt;=0,"※出库数量要大于 0",IF($K3201="","※没填去向类型",IF($L3201="","※没填去向矿区",IF(AND($C3201&lt;&gt;"",$C3201&lt;=结账锁),"※日期早于已结账截止日，不能再录",IF(AND($K3201="自用消耗",COUNTIF({"一矿区";"二矿区"},$L3201)=0),"※自用消耗的去向只能是一矿区或二矿区",IF(AND($K3201="对外销售",COUNTIF({"三矿区";"六矿区"},$L3201)=0),"※对外销售的去向只能是三矿区或六矿区",IF(AND($K3201="对外销售",ROUND($Q3201,0)=0),"※外销却没有售价，请填实际售价",IF(AND($K3201="对外销售",$T3201&lt;&gt;"",$T3201&lt;0),"※这一笔外销是亏的，请核对售价",IF(IFERROR(VLOOKUP($D3201,库存台账!$A$5:$Y$1204,24,0),0)&lt;-0.001,"※这个物料账面已经变成负数了，查一下是不是漏记入库","")))))))))))</f>
        <v/>
      </c>
    </row>
    <row r="3202">
      <c r="A3202" s="24">
        <f>IF($D3202="","",COUNTA($D$4:$D3202))</f>
        <v/>
      </c>
      <c r="B3202" s="17" t="n"/>
      <c r="C3202" s="30" t="n"/>
      <c r="D3202" s="17" t="n"/>
      <c r="E3202" s="24">
        <f>IF($D3202="","",IFERROR(VLOOKUP($D3202,物料档案!$A$4:$P$1203,3,0),"※编码不在物料档案里"))</f>
        <v/>
      </c>
      <c r="F3202" s="24">
        <f>IF($D3202="","",IFERROR(VLOOKUP($D3202,物料档案!$A$4:$P$1203,4,0),"※编码不在物料档案里"))</f>
        <v/>
      </c>
      <c r="G3202" s="24">
        <f>IF($D3202="","",IFERROR(VLOOKUP($D3202,物料档案!$A$4:$P$1203,5,0),"※编码不在物料档案里"))</f>
        <v/>
      </c>
      <c r="H3202" s="24">
        <f>IF($D3202="","",IFERROR(VLOOKUP($D3202,物料档案!$A$4:$P$1203,2,0),"※编码不在物料档案里"))</f>
        <v/>
      </c>
      <c r="I3202" s="24">
        <f>IF($D3202="","",IFERROR(VLOOKUP($D3202,物料档案!$A$4:$P$1203,6,0),"※编码不在物料档案里"))</f>
        <v/>
      </c>
      <c r="J3202" s="23" t="n"/>
      <c r="K3202" s="17" t="n"/>
      <c r="L3202" s="17" t="n"/>
      <c r="M3202" s="17" t="n"/>
      <c r="N3202" s="17" t="n"/>
      <c r="O3202" s="26">
        <f>IF($D3202="","",IFERROR(VLOOKUP($D3202,物料档案!$A$4:$P$1203,10,0),0))</f>
        <v/>
      </c>
      <c r="P3202" s="32" t="n"/>
      <c r="Q3202" s="26">
        <f>IF($D3202="","",IF($K3202&lt;&gt;"对外销售",0,ROUND(N($J3202)*IF($P3202="",N($O3202),N($P3202)),0)))</f>
        <v/>
      </c>
      <c r="R3202" s="26">
        <f>IF($D3202="","",IFERROR(VLOOKUP($D3202,库存台账!$A$5:$Y$1204,11,0),0))</f>
        <v/>
      </c>
      <c r="S3202" s="26">
        <f>IF($D3202="","",ROUND(N($J3202)*N($R3202),0))</f>
        <v/>
      </c>
      <c r="T3202" s="26">
        <f>IF($D3202="","",IF($K3202&lt;&gt;"对外销售","",ROUND($Q3202-$S3202,0)))</f>
        <v/>
      </c>
      <c r="U3202" s="17" t="n"/>
      <c r="V3202" s="17" t="n"/>
      <c r="W3202" s="24">
        <f>IF($D3202="","",IF($E3202="※编码不在物料档案里","※物料编码不在档案里",IF(N($J3202)&lt;=0,"※出库数量要大于 0",IF($K3202="","※没填去向类型",IF($L3202="","※没填去向矿区",IF(AND($C3202&lt;&gt;"",$C3202&lt;=结账锁),"※日期早于已结账截止日，不能再录",IF(AND($K3202="自用消耗",COUNTIF({"一矿区";"二矿区"},$L3202)=0),"※自用消耗的去向只能是一矿区或二矿区",IF(AND($K3202="对外销售",COUNTIF({"三矿区";"六矿区"},$L3202)=0),"※对外销售的去向只能是三矿区或六矿区",IF(AND($K3202="对外销售",ROUND($Q3202,0)=0),"※外销却没有售价，请填实际售价",IF(AND($K3202="对外销售",$T3202&lt;&gt;"",$T3202&lt;0),"※这一笔外销是亏的，请核对售价",IF(IFERROR(VLOOKUP($D3202,库存台账!$A$5:$Y$1204,24,0),0)&lt;-0.001,"※这个物料账面已经变成负数了，查一下是不是漏记入库","")))))))))))</f>
        <v/>
      </c>
    </row>
    <row r="3203">
      <c r="A3203" s="24">
        <f>IF($D3203="","",COUNTA($D$4:$D3203))</f>
        <v/>
      </c>
      <c r="B3203" s="17" t="n"/>
      <c r="C3203" s="30" t="n"/>
      <c r="D3203" s="17" t="n"/>
      <c r="E3203" s="24">
        <f>IF($D3203="","",IFERROR(VLOOKUP($D3203,物料档案!$A$4:$P$1203,3,0),"※编码不在物料档案里"))</f>
        <v/>
      </c>
      <c r="F3203" s="24">
        <f>IF($D3203="","",IFERROR(VLOOKUP($D3203,物料档案!$A$4:$P$1203,4,0),"※编码不在物料档案里"))</f>
        <v/>
      </c>
      <c r="G3203" s="24">
        <f>IF($D3203="","",IFERROR(VLOOKUP($D3203,物料档案!$A$4:$P$1203,5,0),"※编码不在物料档案里"))</f>
        <v/>
      </c>
      <c r="H3203" s="24">
        <f>IF($D3203="","",IFERROR(VLOOKUP($D3203,物料档案!$A$4:$P$1203,2,0),"※编码不在物料档案里"))</f>
        <v/>
      </c>
      <c r="I3203" s="24">
        <f>IF($D3203="","",IFERROR(VLOOKUP($D3203,物料档案!$A$4:$P$1203,6,0),"※编码不在物料档案里"))</f>
        <v/>
      </c>
      <c r="J3203" s="23" t="n"/>
      <c r="K3203" s="17" t="n"/>
      <c r="L3203" s="17" t="n"/>
      <c r="M3203" s="17" t="n"/>
      <c r="N3203" s="17" t="n"/>
      <c r="O3203" s="26">
        <f>IF($D3203="","",IFERROR(VLOOKUP($D3203,物料档案!$A$4:$P$1203,10,0),0))</f>
        <v/>
      </c>
      <c r="P3203" s="32" t="n"/>
      <c r="Q3203" s="26">
        <f>IF($D3203="","",IF($K3203&lt;&gt;"对外销售",0,ROUND(N($J3203)*IF($P3203="",N($O3203),N($P3203)),0)))</f>
        <v/>
      </c>
      <c r="R3203" s="26">
        <f>IF($D3203="","",IFERROR(VLOOKUP($D3203,库存台账!$A$5:$Y$1204,11,0),0))</f>
        <v/>
      </c>
      <c r="S3203" s="26">
        <f>IF($D3203="","",ROUND(N($J3203)*N($R3203),0))</f>
        <v/>
      </c>
      <c r="T3203" s="26">
        <f>IF($D3203="","",IF($K3203&lt;&gt;"对外销售","",ROUND($Q3203-$S3203,0)))</f>
        <v/>
      </c>
      <c r="U3203" s="17" t="n"/>
      <c r="V3203" s="17" t="n"/>
      <c r="W3203" s="24">
        <f>IF($D3203="","",IF($E3203="※编码不在物料档案里","※物料编码不在档案里",IF(N($J3203)&lt;=0,"※出库数量要大于 0",IF($K3203="","※没填去向类型",IF($L3203="","※没填去向矿区",IF(AND($C3203&lt;&gt;"",$C3203&lt;=结账锁),"※日期早于已结账截止日，不能再录",IF(AND($K3203="自用消耗",COUNTIF({"一矿区";"二矿区"},$L3203)=0),"※自用消耗的去向只能是一矿区或二矿区",IF(AND($K3203="对外销售",COUNTIF({"三矿区";"六矿区"},$L3203)=0),"※对外销售的去向只能是三矿区或六矿区",IF(AND($K3203="对外销售",ROUND($Q3203,0)=0),"※外销却没有售价，请填实际售价",IF(AND($K3203="对外销售",$T3203&lt;&gt;"",$T3203&lt;0),"※这一笔外销是亏的，请核对售价",IF(IFERROR(VLOOKUP($D3203,库存台账!$A$5:$Y$1204,24,0),0)&lt;-0.001,"※这个物料账面已经变成负数了，查一下是不是漏记入库","")))))))))))</f>
        <v/>
      </c>
    </row>
    <row r="3204">
      <c r="A3204" s="24">
        <f>IF($D3204="","",COUNTA($D$4:$D3204))</f>
        <v/>
      </c>
      <c r="B3204" s="17" t="n"/>
      <c r="C3204" s="30" t="n"/>
      <c r="D3204" s="17" t="n"/>
      <c r="E3204" s="24">
        <f>IF($D3204="","",IFERROR(VLOOKUP($D3204,物料档案!$A$4:$P$1203,3,0),"※编码不在物料档案里"))</f>
        <v/>
      </c>
      <c r="F3204" s="24">
        <f>IF($D3204="","",IFERROR(VLOOKUP($D3204,物料档案!$A$4:$P$1203,4,0),"※编码不在物料档案里"))</f>
        <v/>
      </c>
      <c r="G3204" s="24">
        <f>IF($D3204="","",IFERROR(VLOOKUP($D3204,物料档案!$A$4:$P$1203,5,0),"※编码不在物料档案里"))</f>
        <v/>
      </c>
      <c r="H3204" s="24">
        <f>IF($D3204="","",IFERROR(VLOOKUP($D3204,物料档案!$A$4:$P$1203,2,0),"※编码不在物料档案里"))</f>
        <v/>
      </c>
      <c r="I3204" s="24">
        <f>IF($D3204="","",IFERROR(VLOOKUP($D3204,物料档案!$A$4:$P$1203,6,0),"※编码不在物料档案里"))</f>
        <v/>
      </c>
      <c r="J3204" s="23" t="n"/>
      <c r="K3204" s="17" t="n"/>
      <c r="L3204" s="17" t="n"/>
      <c r="M3204" s="17" t="n"/>
      <c r="N3204" s="17" t="n"/>
      <c r="O3204" s="26">
        <f>IF($D3204="","",IFERROR(VLOOKUP($D3204,物料档案!$A$4:$P$1203,10,0),0))</f>
        <v/>
      </c>
      <c r="P3204" s="32" t="n"/>
      <c r="Q3204" s="26">
        <f>IF($D3204="","",IF($K3204&lt;&gt;"对外销售",0,ROUND(N($J3204)*IF($P3204="",N($O3204),N($P3204)),0)))</f>
        <v/>
      </c>
      <c r="R3204" s="26">
        <f>IF($D3204="","",IFERROR(VLOOKUP($D3204,库存台账!$A$5:$Y$1204,11,0),0))</f>
        <v/>
      </c>
      <c r="S3204" s="26">
        <f>IF($D3204="","",ROUND(N($J3204)*N($R3204),0))</f>
        <v/>
      </c>
      <c r="T3204" s="26">
        <f>IF($D3204="","",IF($K3204&lt;&gt;"对外销售","",ROUND($Q3204-$S3204,0)))</f>
        <v/>
      </c>
      <c r="U3204" s="17" t="n"/>
      <c r="V3204" s="17" t="n"/>
      <c r="W3204" s="24">
        <f>IF($D3204="","",IF($E3204="※编码不在物料档案里","※物料编码不在档案里",IF(N($J3204)&lt;=0,"※出库数量要大于 0",IF($K3204="","※没填去向类型",IF($L3204="","※没填去向矿区",IF(AND($C3204&lt;&gt;"",$C3204&lt;=结账锁),"※日期早于已结账截止日，不能再录",IF(AND($K3204="自用消耗",COUNTIF({"一矿区";"二矿区"},$L3204)=0),"※自用消耗的去向只能是一矿区或二矿区",IF(AND($K3204="对外销售",COUNTIF({"三矿区";"六矿区"},$L3204)=0),"※对外销售的去向只能是三矿区或六矿区",IF(AND($K3204="对外销售",ROUND($Q3204,0)=0),"※外销却没有售价，请填实际售价",IF(AND($K3204="对外销售",$T3204&lt;&gt;"",$T3204&lt;0),"※这一笔外销是亏的，请核对售价",IF(IFERROR(VLOOKUP($D3204,库存台账!$A$5:$Y$1204,24,0),0)&lt;-0.001,"※这个物料账面已经变成负数了，查一下是不是漏记入库","")))))))))))</f>
        <v/>
      </c>
    </row>
    <row r="3205">
      <c r="A3205" s="24">
        <f>IF($D3205="","",COUNTA($D$4:$D3205))</f>
        <v/>
      </c>
      <c r="B3205" s="17" t="n"/>
      <c r="C3205" s="30" t="n"/>
      <c r="D3205" s="17" t="n"/>
      <c r="E3205" s="24">
        <f>IF($D3205="","",IFERROR(VLOOKUP($D3205,物料档案!$A$4:$P$1203,3,0),"※编码不在物料档案里"))</f>
        <v/>
      </c>
      <c r="F3205" s="24">
        <f>IF($D3205="","",IFERROR(VLOOKUP($D3205,物料档案!$A$4:$P$1203,4,0),"※编码不在物料档案里"))</f>
        <v/>
      </c>
      <c r="G3205" s="24">
        <f>IF($D3205="","",IFERROR(VLOOKUP($D3205,物料档案!$A$4:$P$1203,5,0),"※编码不在物料档案里"))</f>
        <v/>
      </c>
      <c r="H3205" s="24">
        <f>IF($D3205="","",IFERROR(VLOOKUP($D3205,物料档案!$A$4:$P$1203,2,0),"※编码不在物料档案里"))</f>
        <v/>
      </c>
      <c r="I3205" s="24">
        <f>IF($D3205="","",IFERROR(VLOOKUP($D3205,物料档案!$A$4:$P$1203,6,0),"※编码不在物料档案里"))</f>
        <v/>
      </c>
      <c r="J3205" s="23" t="n"/>
      <c r="K3205" s="17" t="n"/>
      <c r="L3205" s="17" t="n"/>
      <c r="M3205" s="17" t="n"/>
      <c r="N3205" s="17" t="n"/>
      <c r="O3205" s="26">
        <f>IF($D3205="","",IFERROR(VLOOKUP($D3205,物料档案!$A$4:$P$1203,10,0),0))</f>
        <v/>
      </c>
      <c r="P3205" s="32" t="n"/>
      <c r="Q3205" s="26">
        <f>IF($D3205="","",IF($K3205&lt;&gt;"对外销售",0,ROUND(N($J3205)*IF($P3205="",N($O3205),N($P3205)),0)))</f>
        <v/>
      </c>
      <c r="R3205" s="26">
        <f>IF($D3205="","",IFERROR(VLOOKUP($D3205,库存台账!$A$5:$Y$1204,11,0),0))</f>
        <v/>
      </c>
      <c r="S3205" s="26">
        <f>IF($D3205="","",ROUND(N($J3205)*N($R3205),0))</f>
        <v/>
      </c>
      <c r="T3205" s="26">
        <f>IF($D3205="","",IF($K3205&lt;&gt;"对外销售","",ROUND($Q3205-$S3205,0)))</f>
        <v/>
      </c>
      <c r="U3205" s="17" t="n"/>
      <c r="V3205" s="17" t="n"/>
      <c r="W3205" s="24">
        <f>IF($D3205="","",IF($E3205="※编码不在物料档案里","※物料编码不在档案里",IF(N($J3205)&lt;=0,"※出库数量要大于 0",IF($K3205="","※没填去向类型",IF($L3205="","※没填去向矿区",IF(AND($C3205&lt;&gt;"",$C3205&lt;=结账锁),"※日期早于已结账截止日，不能再录",IF(AND($K3205="自用消耗",COUNTIF({"一矿区";"二矿区"},$L3205)=0),"※自用消耗的去向只能是一矿区或二矿区",IF(AND($K3205="对外销售",COUNTIF({"三矿区";"六矿区"},$L3205)=0),"※对外销售的去向只能是三矿区或六矿区",IF(AND($K3205="对外销售",ROUND($Q3205,0)=0),"※外销却没有售价，请填实际售价",IF(AND($K3205="对外销售",$T3205&lt;&gt;"",$T3205&lt;0),"※这一笔外销是亏的，请核对售价",IF(IFERROR(VLOOKUP($D3205,库存台账!$A$5:$Y$1204,24,0),0)&lt;-0.001,"※这个物料账面已经变成负数了，查一下是不是漏记入库","")))))))))))</f>
        <v/>
      </c>
    </row>
    <row r="3206">
      <c r="A3206" s="24">
        <f>IF($D3206="","",COUNTA($D$4:$D3206))</f>
        <v/>
      </c>
      <c r="B3206" s="17" t="n"/>
      <c r="C3206" s="30" t="n"/>
      <c r="D3206" s="17" t="n"/>
      <c r="E3206" s="24">
        <f>IF($D3206="","",IFERROR(VLOOKUP($D3206,物料档案!$A$4:$P$1203,3,0),"※编码不在物料档案里"))</f>
        <v/>
      </c>
      <c r="F3206" s="24">
        <f>IF($D3206="","",IFERROR(VLOOKUP($D3206,物料档案!$A$4:$P$1203,4,0),"※编码不在物料档案里"))</f>
        <v/>
      </c>
      <c r="G3206" s="24">
        <f>IF($D3206="","",IFERROR(VLOOKUP($D3206,物料档案!$A$4:$P$1203,5,0),"※编码不在物料档案里"))</f>
        <v/>
      </c>
      <c r="H3206" s="24">
        <f>IF($D3206="","",IFERROR(VLOOKUP($D3206,物料档案!$A$4:$P$1203,2,0),"※编码不在物料档案里"))</f>
        <v/>
      </c>
      <c r="I3206" s="24">
        <f>IF($D3206="","",IFERROR(VLOOKUP($D3206,物料档案!$A$4:$P$1203,6,0),"※编码不在物料档案里"))</f>
        <v/>
      </c>
      <c r="J3206" s="23" t="n"/>
      <c r="K3206" s="17" t="n"/>
      <c r="L3206" s="17" t="n"/>
      <c r="M3206" s="17" t="n"/>
      <c r="N3206" s="17" t="n"/>
      <c r="O3206" s="26">
        <f>IF($D3206="","",IFERROR(VLOOKUP($D3206,物料档案!$A$4:$P$1203,10,0),0))</f>
        <v/>
      </c>
      <c r="P3206" s="32" t="n"/>
      <c r="Q3206" s="26">
        <f>IF($D3206="","",IF($K3206&lt;&gt;"对外销售",0,ROUND(N($J3206)*IF($P3206="",N($O3206),N($P3206)),0)))</f>
        <v/>
      </c>
      <c r="R3206" s="26">
        <f>IF($D3206="","",IFERROR(VLOOKUP($D3206,库存台账!$A$5:$Y$1204,11,0),0))</f>
        <v/>
      </c>
      <c r="S3206" s="26">
        <f>IF($D3206="","",ROUND(N($J3206)*N($R3206),0))</f>
        <v/>
      </c>
      <c r="T3206" s="26">
        <f>IF($D3206="","",IF($K3206&lt;&gt;"对外销售","",ROUND($Q3206-$S3206,0)))</f>
        <v/>
      </c>
      <c r="U3206" s="17" t="n"/>
      <c r="V3206" s="17" t="n"/>
      <c r="W3206" s="24">
        <f>IF($D3206="","",IF($E3206="※编码不在物料档案里","※物料编码不在档案里",IF(N($J3206)&lt;=0,"※出库数量要大于 0",IF($K3206="","※没填去向类型",IF($L3206="","※没填去向矿区",IF(AND($C3206&lt;&gt;"",$C3206&lt;=结账锁),"※日期早于已结账截止日，不能再录",IF(AND($K3206="自用消耗",COUNTIF({"一矿区";"二矿区"},$L3206)=0),"※自用消耗的去向只能是一矿区或二矿区",IF(AND($K3206="对外销售",COUNTIF({"三矿区";"六矿区"},$L3206)=0),"※对外销售的去向只能是三矿区或六矿区",IF(AND($K3206="对外销售",ROUND($Q3206,0)=0),"※外销却没有售价，请填实际售价",IF(AND($K3206="对外销售",$T3206&lt;&gt;"",$T3206&lt;0),"※这一笔外销是亏的，请核对售价",IF(IFERROR(VLOOKUP($D3206,库存台账!$A$5:$Y$1204,24,0),0)&lt;-0.001,"※这个物料账面已经变成负数了，查一下是不是漏记入库","")))))))))))</f>
        <v/>
      </c>
    </row>
    <row r="3207">
      <c r="A3207" s="24">
        <f>IF($D3207="","",COUNTA($D$4:$D3207))</f>
        <v/>
      </c>
      <c r="B3207" s="17" t="n"/>
      <c r="C3207" s="30" t="n"/>
      <c r="D3207" s="17" t="n"/>
      <c r="E3207" s="24">
        <f>IF($D3207="","",IFERROR(VLOOKUP($D3207,物料档案!$A$4:$P$1203,3,0),"※编码不在物料档案里"))</f>
        <v/>
      </c>
      <c r="F3207" s="24">
        <f>IF($D3207="","",IFERROR(VLOOKUP($D3207,物料档案!$A$4:$P$1203,4,0),"※编码不在物料档案里"))</f>
        <v/>
      </c>
      <c r="G3207" s="24">
        <f>IF($D3207="","",IFERROR(VLOOKUP($D3207,物料档案!$A$4:$P$1203,5,0),"※编码不在物料档案里"))</f>
        <v/>
      </c>
      <c r="H3207" s="24">
        <f>IF($D3207="","",IFERROR(VLOOKUP($D3207,物料档案!$A$4:$P$1203,2,0),"※编码不在物料档案里"))</f>
        <v/>
      </c>
      <c r="I3207" s="24">
        <f>IF($D3207="","",IFERROR(VLOOKUP($D3207,物料档案!$A$4:$P$1203,6,0),"※编码不在物料档案里"))</f>
        <v/>
      </c>
      <c r="J3207" s="23" t="n"/>
      <c r="K3207" s="17" t="n"/>
      <c r="L3207" s="17" t="n"/>
      <c r="M3207" s="17" t="n"/>
      <c r="N3207" s="17" t="n"/>
      <c r="O3207" s="26">
        <f>IF($D3207="","",IFERROR(VLOOKUP($D3207,物料档案!$A$4:$P$1203,10,0),0))</f>
        <v/>
      </c>
      <c r="P3207" s="32" t="n"/>
      <c r="Q3207" s="26">
        <f>IF($D3207="","",IF($K3207&lt;&gt;"对外销售",0,ROUND(N($J3207)*IF($P3207="",N($O3207),N($P3207)),0)))</f>
        <v/>
      </c>
      <c r="R3207" s="26">
        <f>IF($D3207="","",IFERROR(VLOOKUP($D3207,库存台账!$A$5:$Y$1204,11,0),0))</f>
        <v/>
      </c>
      <c r="S3207" s="26">
        <f>IF($D3207="","",ROUND(N($J3207)*N($R3207),0))</f>
        <v/>
      </c>
      <c r="T3207" s="26">
        <f>IF($D3207="","",IF($K3207&lt;&gt;"对外销售","",ROUND($Q3207-$S3207,0)))</f>
        <v/>
      </c>
      <c r="U3207" s="17" t="n"/>
      <c r="V3207" s="17" t="n"/>
      <c r="W3207" s="24">
        <f>IF($D3207="","",IF($E3207="※编码不在物料档案里","※物料编码不在档案里",IF(N($J3207)&lt;=0,"※出库数量要大于 0",IF($K3207="","※没填去向类型",IF($L3207="","※没填去向矿区",IF(AND($C3207&lt;&gt;"",$C3207&lt;=结账锁),"※日期早于已结账截止日，不能再录",IF(AND($K3207="自用消耗",COUNTIF({"一矿区";"二矿区"},$L3207)=0),"※自用消耗的去向只能是一矿区或二矿区",IF(AND($K3207="对外销售",COUNTIF({"三矿区";"六矿区"},$L3207)=0),"※对外销售的去向只能是三矿区或六矿区",IF(AND($K3207="对外销售",ROUND($Q3207,0)=0),"※外销却没有售价，请填实际售价",IF(AND($K3207="对外销售",$T3207&lt;&gt;"",$T3207&lt;0),"※这一笔外销是亏的，请核对售价",IF(IFERROR(VLOOKUP($D3207,库存台账!$A$5:$Y$1204,24,0),0)&lt;-0.001,"※这个物料账面已经变成负数了，查一下是不是漏记入库","")))))))))))</f>
        <v/>
      </c>
    </row>
    <row r="3208">
      <c r="A3208" s="24">
        <f>IF($D3208="","",COUNTA($D$4:$D3208))</f>
        <v/>
      </c>
      <c r="B3208" s="17" t="n"/>
      <c r="C3208" s="30" t="n"/>
      <c r="D3208" s="17" t="n"/>
      <c r="E3208" s="24">
        <f>IF($D3208="","",IFERROR(VLOOKUP($D3208,物料档案!$A$4:$P$1203,3,0),"※编码不在物料档案里"))</f>
        <v/>
      </c>
      <c r="F3208" s="24">
        <f>IF($D3208="","",IFERROR(VLOOKUP($D3208,物料档案!$A$4:$P$1203,4,0),"※编码不在物料档案里"))</f>
        <v/>
      </c>
      <c r="G3208" s="24">
        <f>IF($D3208="","",IFERROR(VLOOKUP($D3208,物料档案!$A$4:$P$1203,5,0),"※编码不在物料档案里"))</f>
        <v/>
      </c>
      <c r="H3208" s="24">
        <f>IF($D3208="","",IFERROR(VLOOKUP($D3208,物料档案!$A$4:$P$1203,2,0),"※编码不在物料档案里"))</f>
        <v/>
      </c>
      <c r="I3208" s="24">
        <f>IF($D3208="","",IFERROR(VLOOKUP($D3208,物料档案!$A$4:$P$1203,6,0),"※编码不在物料档案里"))</f>
        <v/>
      </c>
      <c r="J3208" s="23" t="n"/>
      <c r="K3208" s="17" t="n"/>
      <c r="L3208" s="17" t="n"/>
      <c r="M3208" s="17" t="n"/>
      <c r="N3208" s="17" t="n"/>
      <c r="O3208" s="26">
        <f>IF($D3208="","",IFERROR(VLOOKUP($D3208,物料档案!$A$4:$P$1203,10,0),0))</f>
        <v/>
      </c>
      <c r="P3208" s="32" t="n"/>
      <c r="Q3208" s="26">
        <f>IF($D3208="","",IF($K3208&lt;&gt;"对外销售",0,ROUND(N($J3208)*IF($P3208="",N($O3208),N($P3208)),0)))</f>
        <v/>
      </c>
      <c r="R3208" s="26">
        <f>IF($D3208="","",IFERROR(VLOOKUP($D3208,库存台账!$A$5:$Y$1204,11,0),0))</f>
        <v/>
      </c>
      <c r="S3208" s="26">
        <f>IF($D3208="","",ROUND(N($J3208)*N($R3208),0))</f>
        <v/>
      </c>
      <c r="T3208" s="26">
        <f>IF($D3208="","",IF($K3208&lt;&gt;"对外销售","",ROUND($Q3208-$S3208,0)))</f>
        <v/>
      </c>
      <c r="U3208" s="17" t="n"/>
      <c r="V3208" s="17" t="n"/>
      <c r="W3208" s="24">
        <f>IF($D3208="","",IF($E3208="※编码不在物料档案里","※物料编码不在档案里",IF(N($J3208)&lt;=0,"※出库数量要大于 0",IF($K3208="","※没填去向类型",IF($L3208="","※没填去向矿区",IF(AND($C3208&lt;&gt;"",$C3208&lt;=结账锁),"※日期早于已结账截止日，不能再录",IF(AND($K3208="自用消耗",COUNTIF({"一矿区";"二矿区"},$L3208)=0),"※自用消耗的去向只能是一矿区或二矿区",IF(AND($K3208="对外销售",COUNTIF({"三矿区";"六矿区"},$L3208)=0),"※对外销售的去向只能是三矿区或六矿区",IF(AND($K3208="对外销售",ROUND($Q3208,0)=0),"※外销却没有售价，请填实际售价",IF(AND($K3208="对外销售",$T3208&lt;&gt;"",$T3208&lt;0),"※这一笔外销是亏的，请核对售价",IF(IFERROR(VLOOKUP($D3208,库存台账!$A$5:$Y$1204,24,0),0)&lt;-0.001,"※这个物料账面已经变成负数了，查一下是不是漏记入库","")))))))))))</f>
        <v/>
      </c>
    </row>
    <row r="3209">
      <c r="A3209" s="24">
        <f>IF($D3209="","",COUNTA($D$4:$D3209))</f>
        <v/>
      </c>
      <c r="B3209" s="17" t="n"/>
      <c r="C3209" s="30" t="n"/>
      <c r="D3209" s="17" t="n"/>
      <c r="E3209" s="24">
        <f>IF($D3209="","",IFERROR(VLOOKUP($D3209,物料档案!$A$4:$P$1203,3,0),"※编码不在物料档案里"))</f>
        <v/>
      </c>
      <c r="F3209" s="24">
        <f>IF($D3209="","",IFERROR(VLOOKUP($D3209,物料档案!$A$4:$P$1203,4,0),"※编码不在物料档案里"))</f>
        <v/>
      </c>
      <c r="G3209" s="24">
        <f>IF($D3209="","",IFERROR(VLOOKUP($D3209,物料档案!$A$4:$P$1203,5,0),"※编码不在物料档案里"))</f>
        <v/>
      </c>
      <c r="H3209" s="24">
        <f>IF($D3209="","",IFERROR(VLOOKUP($D3209,物料档案!$A$4:$P$1203,2,0),"※编码不在物料档案里"))</f>
        <v/>
      </c>
      <c r="I3209" s="24">
        <f>IF($D3209="","",IFERROR(VLOOKUP($D3209,物料档案!$A$4:$P$1203,6,0),"※编码不在物料档案里"))</f>
        <v/>
      </c>
      <c r="J3209" s="23" t="n"/>
      <c r="K3209" s="17" t="n"/>
      <c r="L3209" s="17" t="n"/>
      <c r="M3209" s="17" t="n"/>
      <c r="N3209" s="17" t="n"/>
      <c r="O3209" s="26">
        <f>IF($D3209="","",IFERROR(VLOOKUP($D3209,物料档案!$A$4:$P$1203,10,0),0))</f>
        <v/>
      </c>
      <c r="P3209" s="32" t="n"/>
      <c r="Q3209" s="26">
        <f>IF($D3209="","",IF($K3209&lt;&gt;"对外销售",0,ROUND(N($J3209)*IF($P3209="",N($O3209),N($P3209)),0)))</f>
        <v/>
      </c>
      <c r="R3209" s="26">
        <f>IF($D3209="","",IFERROR(VLOOKUP($D3209,库存台账!$A$5:$Y$1204,11,0),0))</f>
        <v/>
      </c>
      <c r="S3209" s="26">
        <f>IF($D3209="","",ROUND(N($J3209)*N($R3209),0))</f>
        <v/>
      </c>
      <c r="T3209" s="26">
        <f>IF($D3209="","",IF($K3209&lt;&gt;"对外销售","",ROUND($Q3209-$S3209,0)))</f>
        <v/>
      </c>
      <c r="U3209" s="17" t="n"/>
      <c r="V3209" s="17" t="n"/>
      <c r="W3209" s="24">
        <f>IF($D3209="","",IF($E3209="※编码不在物料档案里","※物料编码不在档案里",IF(N($J3209)&lt;=0,"※出库数量要大于 0",IF($K3209="","※没填去向类型",IF($L3209="","※没填去向矿区",IF(AND($C3209&lt;&gt;"",$C3209&lt;=结账锁),"※日期早于已结账截止日，不能再录",IF(AND($K3209="自用消耗",COUNTIF({"一矿区";"二矿区"},$L3209)=0),"※自用消耗的去向只能是一矿区或二矿区",IF(AND($K3209="对外销售",COUNTIF({"三矿区";"六矿区"},$L3209)=0),"※对外销售的去向只能是三矿区或六矿区",IF(AND($K3209="对外销售",ROUND($Q3209,0)=0),"※外销却没有售价，请填实际售价",IF(AND($K3209="对外销售",$T3209&lt;&gt;"",$T3209&lt;0),"※这一笔外销是亏的，请核对售价",IF(IFERROR(VLOOKUP($D3209,库存台账!$A$5:$Y$1204,24,0),0)&lt;-0.001,"※这个物料账面已经变成负数了，查一下是不是漏记入库","")))))))))))</f>
        <v/>
      </c>
    </row>
    <row r="3210">
      <c r="A3210" s="24">
        <f>IF($D3210="","",COUNTA($D$4:$D3210))</f>
        <v/>
      </c>
      <c r="B3210" s="17" t="n"/>
      <c r="C3210" s="30" t="n"/>
      <c r="D3210" s="17" t="n"/>
      <c r="E3210" s="24">
        <f>IF($D3210="","",IFERROR(VLOOKUP($D3210,物料档案!$A$4:$P$1203,3,0),"※编码不在物料档案里"))</f>
        <v/>
      </c>
      <c r="F3210" s="24">
        <f>IF($D3210="","",IFERROR(VLOOKUP($D3210,物料档案!$A$4:$P$1203,4,0),"※编码不在物料档案里"))</f>
        <v/>
      </c>
      <c r="G3210" s="24">
        <f>IF($D3210="","",IFERROR(VLOOKUP($D3210,物料档案!$A$4:$P$1203,5,0),"※编码不在物料档案里"))</f>
        <v/>
      </c>
      <c r="H3210" s="24">
        <f>IF($D3210="","",IFERROR(VLOOKUP($D3210,物料档案!$A$4:$P$1203,2,0),"※编码不在物料档案里"))</f>
        <v/>
      </c>
      <c r="I3210" s="24">
        <f>IF($D3210="","",IFERROR(VLOOKUP($D3210,物料档案!$A$4:$P$1203,6,0),"※编码不在物料档案里"))</f>
        <v/>
      </c>
      <c r="J3210" s="23" t="n"/>
      <c r="K3210" s="17" t="n"/>
      <c r="L3210" s="17" t="n"/>
      <c r="M3210" s="17" t="n"/>
      <c r="N3210" s="17" t="n"/>
      <c r="O3210" s="26">
        <f>IF($D3210="","",IFERROR(VLOOKUP($D3210,物料档案!$A$4:$P$1203,10,0),0))</f>
        <v/>
      </c>
      <c r="P3210" s="32" t="n"/>
      <c r="Q3210" s="26">
        <f>IF($D3210="","",IF($K3210&lt;&gt;"对外销售",0,ROUND(N($J3210)*IF($P3210="",N($O3210),N($P3210)),0)))</f>
        <v/>
      </c>
      <c r="R3210" s="26">
        <f>IF($D3210="","",IFERROR(VLOOKUP($D3210,库存台账!$A$5:$Y$1204,11,0),0))</f>
        <v/>
      </c>
      <c r="S3210" s="26">
        <f>IF($D3210="","",ROUND(N($J3210)*N($R3210),0))</f>
        <v/>
      </c>
      <c r="T3210" s="26">
        <f>IF($D3210="","",IF($K3210&lt;&gt;"对外销售","",ROUND($Q3210-$S3210,0)))</f>
        <v/>
      </c>
      <c r="U3210" s="17" t="n"/>
      <c r="V3210" s="17" t="n"/>
      <c r="W3210" s="24">
        <f>IF($D3210="","",IF($E3210="※编码不在物料档案里","※物料编码不在档案里",IF(N($J3210)&lt;=0,"※出库数量要大于 0",IF($K3210="","※没填去向类型",IF($L3210="","※没填去向矿区",IF(AND($C3210&lt;&gt;"",$C3210&lt;=结账锁),"※日期早于已结账截止日，不能再录",IF(AND($K3210="自用消耗",COUNTIF({"一矿区";"二矿区"},$L3210)=0),"※自用消耗的去向只能是一矿区或二矿区",IF(AND($K3210="对外销售",COUNTIF({"三矿区";"六矿区"},$L3210)=0),"※对外销售的去向只能是三矿区或六矿区",IF(AND($K3210="对外销售",ROUND($Q3210,0)=0),"※外销却没有售价，请填实际售价",IF(AND($K3210="对外销售",$T3210&lt;&gt;"",$T3210&lt;0),"※这一笔外销是亏的，请核对售价",IF(IFERROR(VLOOKUP($D3210,库存台账!$A$5:$Y$1204,24,0),0)&lt;-0.001,"※这个物料账面已经变成负数了，查一下是不是漏记入库","")))))))))))</f>
        <v/>
      </c>
    </row>
    <row r="3211">
      <c r="A3211" s="24">
        <f>IF($D3211="","",COUNTA($D$4:$D3211))</f>
        <v/>
      </c>
      <c r="B3211" s="17" t="n"/>
      <c r="C3211" s="30" t="n"/>
      <c r="D3211" s="17" t="n"/>
      <c r="E3211" s="24">
        <f>IF($D3211="","",IFERROR(VLOOKUP($D3211,物料档案!$A$4:$P$1203,3,0),"※编码不在物料档案里"))</f>
        <v/>
      </c>
      <c r="F3211" s="24">
        <f>IF($D3211="","",IFERROR(VLOOKUP($D3211,物料档案!$A$4:$P$1203,4,0),"※编码不在物料档案里"))</f>
        <v/>
      </c>
      <c r="G3211" s="24">
        <f>IF($D3211="","",IFERROR(VLOOKUP($D3211,物料档案!$A$4:$P$1203,5,0),"※编码不在物料档案里"))</f>
        <v/>
      </c>
      <c r="H3211" s="24">
        <f>IF($D3211="","",IFERROR(VLOOKUP($D3211,物料档案!$A$4:$P$1203,2,0),"※编码不在物料档案里"))</f>
        <v/>
      </c>
      <c r="I3211" s="24">
        <f>IF($D3211="","",IFERROR(VLOOKUP($D3211,物料档案!$A$4:$P$1203,6,0),"※编码不在物料档案里"))</f>
        <v/>
      </c>
      <c r="J3211" s="23" t="n"/>
      <c r="K3211" s="17" t="n"/>
      <c r="L3211" s="17" t="n"/>
      <c r="M3211" s="17" t="n"/>
      <c r="N3211" s="17" t="n"/>
      <c r="O3211" s="26">
        <f>IF($D3211="","",IFERROR(VLOOKUP($D3211,物料档案!$A$4:$P$1203,10,0),0))</f>
        <v/>
      </c>
      <c r="P3211" s="32" t="n"/>
      <c r="Q3211" s="26">
        <f>IF($D3211="","",IF($K3211&lt;&gt;"对外销售",0,ROUND(N($J3211)*IF($P3211="",N($O3211),N($P3211)),0)))</f>
        <v/>
      </c>
      <c r="R3211" s="26">
        <f>IF($D3211="","",IFERROR(VLOOKUP($D3211,库存台账!$A$5:$Y$1204,11,0),0))</f>
        <v/>
      </c>
      <c r="S3211" s="26">
        <f>IF($D3211="","",ROUND(N($J3211)*N($R3211),0))</f>
        <v/>
      </c>
      <c r="T3211" s="26">
        <f>IF($D3211="","",IF($K3211&lt;&gt;"对外销售","",ROUND($Q3211-$S3211,0)))</f>
        <v/>
      </c>
      <c r="U3211" s="17" t="n"/>
      <c r="V3211" s="17" t="n"/>
      <c r="W3211" s="24">
        <f>IF($D3211="","",IF($E3211="※编码不在物料档案里","※物料编码不在档案里",IF(N($J3211)&lt;=0,"※出库数量要大于 0",IF($K3211="","※没填去向类型",IF($L3211="","※没填去向矿区",IF(AND($C3211&lt;&gt;"",$C3211&lt;=结账锁),"※日期早于已结账截止日，不能再录",IF(AND($K3211="自用消耗",COUNTIF({"一矿区";"二矿区"},$L3211)=0),"※自用消耗的去向只能是一矿区或二矿区",IF(AND($K3211="对外销售",COUNTIF({"三矿区";"六矿区"},$L3211)=0),"※对外销售的去向只能是三矿区或六矿区",IF(AND($K3211="对外销售",ROUND($Q3211,0)=0),"※外销却没有售价，请填实际售价",IF(AND($K3211="对外销售",$T3211&lt;&gt;"",$T3211&lt;0),"※这一笔外销是亏的，请核对售价",IF(IFERROR(VLOOKUP($D3211,库存台账!$A$5:$Y$1204,24,0),0)&lt;-0.001,"※这个物料账面已经变成负数了，查一下是不是漏记入库","")))))))))))</f>
        <v/>
      </c>
    </row>
    <row r="3212">
      <c r="A3212" s="24">
        <f>IF($D3212="","",COUNTA($D$4:$D3212))</f>
        <v/>
      </c>
      <c r="B3212" s="17" t="n"/>
      <c r="C3212" s="30" t="n"/>
      <c r="D3212" s="17" t="n"/>
      <c r="E3212" s="24">
        <f>IF($D3212="","",IFERROR(VLOOKUP($D3212,物料档案!$A$4:$P$1203,3,0),"※编码不在物料档案里"))</f>
        <v/>
      </c>
      <c r="F3212" s="24">
        <f>IF($D3212="","",IFERROR(VLOOKUP($D3212,物料档案!$A$4:$P$1203,4,0),"※编码不在物料档案里"))</f>
        <v/>
      </c>
      <c r="G3212" s="24">
        <f>IF($D3212="","",IFERROR(VLOOKUP($D3212,物料档案!$A$4:$P$1203,5,0),"※编码不在物料档案里"))</f>
        <v/>
      </c>
      <c r="H3212" s="24">
        <f>IF($D3212="","",IFERROR(VLOOKUP($D3212,物料档案!$A$4:$P$1203,2,0),"※编码不在物料档案里"))</f>
        <v/>
      </c>
      <c r="I3212" s="24">
        <f>IF($D3212="","",IFERROR(VLOOKUP($D3212,物料档案!$A$4:$P$1203,6,0),"※编码不在物料档案里"))</f>
        <v/>
      </c>
      <c r="J3212" s="23" t="n"/>
      <c r="K3212" s="17" t="n"/>
      <c r="L3212" s="17" t="n"/>
      <c r="M3212" s="17" t="n"/>
      <c r="N3212" s="17" t="n"/>
      <c r="O3212" s="26">
        <f>IF($D3212="","",IFERROR(VLOOKUP($D3212,物料档案!$A$4:$P$1203,10,0),0))</f>
        <v/>
      </c>
      <c r="P3212" s="32" t="n"/>
      <c r="Q3212" s="26">
        <f>IF($D3212="","",IF($K3212&lt;&gt;"对外销售",0,ROUND(N($J3212)*IF($P3212="",N($O3212),N($P3212)),0)))</f>
        <v/>
      </c>
      <c r="R3212" s="26">
        <f>IF($D3212="","",IFERROR(VLOOKUP($D3212,库存台账!$A$5:$Y$1204,11,0),0))</f>
        <v/>
      </c>
      <c r="S3212" s="26">
        <f>IF($D3212="","",ROUND(N($J3212)*N($R3212),0))</f>
        <v/>
      </c>
      <c r="T3212" s="26">
        <f>IF($D3212="","",IF($K3212&lt;&gt;"对外销售","",ROUND($Q3212-$S3212,0)))</f>
        <v/>
      </c>
      <c r="U3212" s="17" t="n"/>
      <c r="V3212" s="17" t="n"/>
      <c r="W3212" s="24">
        <f>IF($D3212="","",IF($E3212="※编码不在物料档案里","※物料编码不在档案里",IF(N($J3212)&lt;=0,"※出库数量要大于 0",IF($K3212="","※没填去向类型",IF($L3212="","※没填去向矿区",IF(AND($C3212&lt;&gt;"",$C3212&lt;=结账锁),"※日期早于已结账截止日，不能再录",IF(AND($K3212="自用消耗",COUNTIF({"一矿区";"二矿区"},$L3212)=0),"※自用消耗的去向只能是一矿区或二矿区",IF(AND($K3212="对外销售",COUNTIF({"三矿区";"六矿区"},$L3212)=0),"※对外销售的去向只能是三矿区或六矿区",IF(AND($K3212="对外销售",ROUND($Q3212,0)=0),"※外销却没有售价，请填实际售价",IF(AND($K3212="对外销售",$T3212&lt;&gt;"",$T3212&lt;0),"※这一笔外销是亏的，请核对售价",IF(IFERROR(VLOOKUP($D3212,库存台账!$A$5:$Y$1204,24,0),0)&lt;-0.001,"※这个物料账面已经变成负数了，查一下是不是漏记入库","")))))))))))</f>
        <v/>
      </c>
    </row>
    <row r="3213">
      <c r="A3213" s="24">
        <f>IF($D3213="","",COUNTA($D$4:$D3213))</f>
        <v/>
      </c>
      <c r="B3213" s="17" t="n"/>
      <c r="C3213" s="30" t="n"/>
      <c r="D3213" s="17" t="n"/>
      <c r="E3213" s="24">
        <f>IF($D3213="","",IFERROR(VLOOKUP($D3213,物料档案!$A$4:$P$1203,3,0),"※编码不在物料档案里"))</f>
        <v/>
      </c>
      <c r="F3213" s="24">
        <f>IF($D3213="","",IFERROR(VLOOKUP($D3213,物料档案!$A$4:$P$1203,4,0),"※编码不在物料档案里"))</f>
        <v/>
      </c>
      <c r="G3213" s="24">
        <f>IF($D3213="","",IFERROR(VLOOKUP($D3213,物料档案!$A$4:$P$1203,5,0),"※编码不在物料档案里"))</f>
        <v/>
      </c>
      <c r="H3213" s="24">
        <f>IF($D3213="","",IFERROR(VLOOKUP($D3213,物料档案!$A$4:$P$1203,2,0),"※编码不在物料档案里"))</f>
        <v/>
      </c>
      <c r="I3213" s="24">
        <f>IF($D3213="","",IFERROR(VLOOKUP($D3213,物料档案!$A$4:$P$1203,6,0),"※编码不在物料档案里"))</f>
        <v/>
      </c>
      <c r="J3213" s="23" t="n"/>
      <c r="K3213" s="17" t="n"/>
      <c r="L3213" s="17" t="n"/>
      <c r="M3213" s="17" t="n"/>
      <c r="N3213" s="17" t="n"/>
      <c r="O3213" s="26">
        <f>IF($D3213="","",IFERROR(VLOOKUP($D3213,物料档案!$A$4:$P$1203,10,0),0))</f>
        <v/>
      </c>
      <c r="P3213" s="32" t="n"/>
      <c r="Q3213" s="26">
        <f>IF($D3213="","",IF($K3213&lt;&gt;"对外销售",0,ROUND(N($J3213)*IF($P3213="",N($O3213),N($P3213)),0)))</f>
        <v/>
      </c>
      <c r="R3213" s="26">
        <f>IF($D3213="","",IFERROR(VLOOKUP($D3213,库存台账!$A$5:$Y$1204,11,0),0))</f>
        <v/>
      </c>
      <c r="S3213" s="26">
        <f>IF($D3213="","",ROUND(N($J3213)*N($R3213),0))</f>
        <v/>
      </c>
      <c r="T3213" s="26">
        <f>IF($D3213="","",IF($K3213&lt;&gt;"对外销售","",ROUND($Q3213-$S3213,0)))</f>
        <v/>
      </c>
      <c r="U3213" s="17" t="n"/>
      <c r="V3213" s="17" t="n"/>
      <c r="W3213" s="24">
        <f>IF($D3213="","",IF($E3213="※编码不在物料档案里","※物料编码不在档案里",IF(N($J3213)&lt;=0,"※出库数量要大于 0",IF($K3213="","※没填去向类型",IF($L3213="","※没填去向矿区",IF(AND($C3213&lt;&gt;"",$C3213&lt;=结账锁),"※日期早于已结账截止日，不能再录",IF(AND($K3213="自用消耗",COUNTIF({"一矿区";"二矿区"},$L3213)=0),"※自用消耗的去向只能是一矿区或二矿区",IF(AND($K3213="对外销售",COUNTIF({"三矿区";"六矿区"},$L3213)=0),"※对外销售的去向只能是三矿区或六矿区",IF(AND($K3213="对外销售",ROUND($Q3213,0)=0),"※外销却没有售价，请填实际售价",IF(AND($K3213="对外销售",$T3213&lt;&gt;"",$T3213&lt;0),"※这一笔外销是亏的，请核对售价",IF(IFERROR(VLOOKUP($D3213,库存台账!$A$5:$Y$1204,24,0),0)&lt;-0.001,"※这个物料账面已经变成负数了，查一下是不是漏记入库","")))))))))))</f>
        <v/>
      </c>
    </row>
    <row r="3214">
      <c r="A3214" s="24">
        <f>IF($D3214="","",COUNTA($D$4:$D3214))</f>
        <v/>
      </c>
      <c r="B3214" s="17" t="n"/>
      <c r="C3214" s="30" t="n"/>
      <c r="D3214" s="17" t="n"/>
      <c r="E3214" s="24">
        <f>IF($D3214="","",IFERROR(VLOOKUP($D3214,物料档案!$A$4:$P$1203,3,0),"※编码不在物料档案里"))</f>
        <v/>
      </c>
      <c r="F3214" s="24">
        <f>IF($D3214="","",IFERROR(VLOOKUP($D3214,物料档案!$A$4:$P$1203,4,0),"※编码不在物料档案里"))</f>
        <v/>
      </c>
      <c r="G3214" s="24">
        <f>IF($D3214="","",IFERROR(VLOOKUP($D3214,物料档案!$A$4:$P$1203,5,0),"※编码不在物料档案里"))</f>
        <v/>
      </c>
      <c r="H3214" s="24">
        <f>IF($D3214="","",IFERROR(VLOOKUP($D3214,物料档案!$A$4:$P$1203,2,0),"※编码不在物料档案里"))</f>
        <v/>
      </c>
      <c r="I3214" s="24">
        <f>IF($D3214="","",IFERROR(VLOOKUP($D3214,物料档案!$A$4:$P$1203,6,0),"※编码不在物料档案里"))</f>
        <v/>
      </c>
      <c r="J3214" s="23" t="n"/>
      <c r="K3214" s="17" t="n"/>
      <c r="L3214" s="17" t="n"/>
      <c r="M3214" s="17" t="n"/>
      <c r="N3214" s="17" t="n"/>
      <c r="O3214" s="26">
        <f>IF($D3214="","",IFERROR(VLOOKUP($D3214,物料档案!$A$4:$P$1203,10,0),0))</f>
        <v/>
      </c>
      <c r="P3214" s="32" t="n"/>
      <c r="Q3214" s="26">
        <f>IF($D3214="","",IF($K3214&lt;&gt;"对外销售",0,ROUND(N($J3214)*IF($P3214="",N($O3214),N($P3214)),0)))</f>
        <v/>
      </c>
      <c r="R3214" s="26">
        <f>IF($D3214="","",IFERROR(VLOOKUP($D3214,库存台账!$A$5:$Y$1204,11,0),0))</f>
        <v/>
      </c>
      <c r="S3214" s="26">
        <f>IF($D3214="","",ROUND(N($J3214)*N($R3214),0))</f>
        <v/>
      </c>
      <c r="T3214" s="26">
        <f>IF($D3214="","",IF($K3214&lt;&gt;"对外销售","",ROUND($Q3214-$S3214,0)))</f>
        <v/>
      </c>
      <c r="U3214" s="17" t="n"/>
      <c r="V3214" s="17" t="n"/>
      <c r="W3214" s="24">
        <f>IF($D3214="","",IF($E3214="※编码不在物料档案里","※物料编码不在档案里",IF(N($J3214)&lt;=0,"※出库数量要大于 0",IF($K3214="","※没填去向类型",IF($L3214="","※没填去向矿区",IF(AND($C3214&lt;&gt;"",$C3214&lt;=结账锁),"※日期早于已结账截止日，不能再录",IF(AND($K3214="自用消耗",COUNTIF({"一矿区";"二矿区"},$L3214)=0),"※自用消耗的去向只能是一矿区或二矿区",IF(AND($K3214="对外销售",COUNTIF({"三矿区";"六矿区"},$L3214)=0),"※对外销售的去向只能是三矿区或六矿区",IF(AND($K3214="对外销售",ROUND($Q3214,0)=0),"※外销却没有售价，请填实际售价",IF(AND($K3214="对外销售",$T3214&lt;&gt;"",$T3214&lt;0),"※这一笔外销是亏的，请核对售价",IF(IFERROR(VLOOKUP($D3214,库存台账!$A$5:$Y$1204,24,0),0)&lt;-0.001,"※这个物料账面已经变成负数了，查一下是不是漏记入库","")))))))))))</f>
        <v/>
      </c>
    </row>
    <row r="3215">
      <c r="A3215" s="24">
        <f>IF($D3215="","",COUNTA($D$4:$D3215))</f>
        <v/>
      </c>
      <c r="B3215" s="17" t="n"/>
      <c r="C3215" s="30" t="n"/>
      <c r="D3215" s="17" t="n"/>
      <c r="E3215" s="24">
        <f>IF($D3215="","",IFERROR(VLOOKUP($D3215,物料档案!$A$4:$P$1203,3,0),"※编码不在物料档案里"))</f>
        <v/>
      </c>
      <c r="F3215" s="24">
        <f>IF($D3215="","",IFERROR(VLOOKUP($D3215,物料档案!$A$4:$P$1203,4,0),"※编码不在物料档案里"))</f>
        <v/>
      </c>
      <c r="G3215" s="24">
        <f>IF($D3215="","",IFERROR(VLOOKUP($D3215,物料档案!$A$4:$P$1203,5,0),"※编码不在物料档案里"))</f>
        <v/>
      </c>
      <c r="H3215" s="24">
        <f>IF($D3215="","",IFERROR(VLOOKUP($D3215,物料档案!$A$4:$P$1203,2,0),"※编码不在物料档案里"))</f>
        <v/>
      </c>
      <c r="I3215" s="24">
        <f>IF($D3215="","",IFERROR(VLOOKUP($D3215,物料档案!$A$4:$P$1203,6,0),"※编码不在物料档案里"))</f>
        <v/>
      </c>
      <c r="J3215" s="23" t="n"/>
      <c r="K3215" s="17" t="n"/>
      <c r="L3215" s="17" t="n"/>
      <c r="M3215" s="17" t="n"/>
      <c r="N3215" s="17" t="n"/>
      <c r="O3215" s="26">
        <f>IF($D3215="","",IFERROR(VLOOKUP($D3215,物料档案!$A$4:$P$1203,10,0),0))</f>
        <v/>
      </c>
      <c r="P3215" s="32" t="n"/>
      <c r="Q3215" s="26">
        <f>IF($D3215="","",IF($K3215&lt;&gt;"对外销售",0,ROUND(N($J3215)*IF($P3215="",N($O3215),N($P3215)),0)))</f>
        <v/>
      </c>
      <c r="R3215" s="26">
        <f>IF($D3215="","",IFERROR(VLOOKUP($D3215,库存台账!$A$5:$Y$1204,11,0),0))</f>
        <v/>
      </c>
      <c r="S3215" s="26">
        <f>IF($D3215="","",ROUND(N($J3215)*N($R3215),0))</f>
        <v/>
      </c>
      <c r="T3215" s="26">
        <f>IF($D3215="","",IF($K3215&lt;&gt;"对外销售","",ROUND($Q3215-$S3215,0)))</f>
        <v/>
      </c>
      <c r="U3215" s="17" t="n"/>
      <c r="V3215" s="17" t="n"/>
      <c r="W3215" s="24">
        <f>IF($D3215="","",IF($E3215="※编码不在物料档案里","※物料编码不在档案里",IF(N($J3215)&lt;=0,"※出库数量要大于 0",IF($K3215="","※没填去向类型",IF($L3215="","※没填去向矿区",IF(AND($C3215&lt;&gt;"",$C3215&lt;=结账锁),"※日期早于已结账截止日，不能再录",IF(AND($K3215="自用消耗",COUNTIF({"一矿区";"二矿区"},$L3215)=0),"※自用消耗的去向只能是一矿区或二矿区",IF(AND($K3215="对外销售",COUNTIF({"三矿区";"六矿区"},$L3215)=0),"※对外销售的去向只能是三矿区或六矿区",IF(AND($K3215="对外销售",ROUND($Q3215,0)=0),"※外销却没有售价，请填实际售价",IF(AND($K3215="对外销售",$T3215&lt;&gt;"",$T3215&lt;0),"※这一笔外销是亏的，请核对售价",IF(IFERROR(VLOOKUP($D3215,库存台账!$A$5:$Y$1204,24,0),0)&lt;-0.001,"※这个物料账面已经变成负数了，查一下是不是漏记入库","")))))))))))</f>
        <v/>
      </c>
    </row>
    <row r="3216">
      <c r="A3216" s="24">
        <f>IF($D3216="","",COUNTA($D$4:$D3216))</f>
        <v/>
      </c>
      <c r="B3216" s="17" t="n"/>
      <c r="C3216" s="30" t="n"/>
      <c r="D3216" s="17" t="n"/>
      <c r="E3216" s="24">
        <f>IF($D3216="","",IFERROR(VLOOKUP($D3216,物料档案!$A$4:$P$1203,3,0),"※编码不在物料档案里"))</f>
        <v/>
      </c>
      <c r="F3216" s="24">
        <f>IF($D3216="","",IFERROR(VLOOKUP($D3216,物料档案!$A$4:$P$1203,4,0),"※编码不在物料档案里"))</f>
        <v/>
      </c>
      <c r="G3216" s="24">
        <f>IF($D3216="","",IFERROR(VLOOKUP($D3216,物料档案!$A$4:$P$1203,5,0),"※编码不在物料档案里"))</f>
        <v/>
      </c>
      <c r="H3216" s="24">
        <f>IF($D3216="","",IFERROR(VLOOKUP($D3216,物料档案!$A$4:$P$1203,2,0),"※编码不在物料档案里"))</f>
        <v/>
      </c>
      <c r="I3216" s="24">
        <f>IF($D3216="","",IFERROR(VLOOKUP($D3216,物料档案!$A$4:$P$1203,6,0),"※编码不在物料档案里"))</f>
        <v/>
      </c>
      <c r="J3216" s="23" t="n"/>
      <c r="K3216" s="17" t="n"/>
      <c r="L3216" s="17" t="n"/>
      <c r="M3216" s="17" t="n"/>
      <c r="N3216" s="17" t="n"/>
      <c r="O3216" s="26">
        <f>IF($D3216="","",IFERROR(VLOOKUP($D3216,物料档案!$A$4:$P$1203,10,0),0))</f>
        <v/>
      </c>
      <c r="P3216" s="32" t="n"/>
      <c r="Q3216" s="26">
        <f>IF($D3216="","",IF($K3216&lt;&gt;"对外销售",0,ROUND(N($J3216)*IF($P3216="",N($O3216),N($P3216)),0)))</f>
        <v/>
      </c>
      <c r="R3216" s="26">
        <f>IF($D3216="","",IFERROR(VLOOKUP($D3216,库存台账!$A$5:$Y$1204,11,0),0))</f>
        <v/>
      </c>
      <c r="S3216" s="26">
        <f>IF($D3216="","",ROUND(N($J3216)*N($R3216),0))</f>
        <v/>
      </c>
      <c r="T3216" s="26">
        <f>IF($D3216="","",IF($K3216&lt;&gt;"对外销售","",ROUND($Q3216-$S3216,0)))</f>
        <v/>
      </c>
      <c r="U3216" s="17" t="n"/>
      <c r="V3216" s="17" t="n"/>
      <c r="W3216" s="24">
        <f>IF($D3216="","",IF($E3216="※编码不在物料档案里","※物料编码不在档案里",IF(N($J3216)&lt;=0,"※出库数量要大于 0",IF($K3216="","※没填去向类型",IF($L3216="","※没填去向矿区",IF(AND($C3216&lt;&gt;"",$C3216&lt;=结账锁),"※日期早于已结账截止日，不能再录",IF(AND($K3216="自用消耗",COUNTIF({"一矿区";"二矿区"},$L3216)=0),"※自用消耗的去向只能是一矿区或二矿区",IF(AND($K3216="对外销售",COUNTIF({"三矿区";"六矿区"},$L3216)=0),"※对外销售的去向只能是三矿区或六矿区",IF(AND($K3216="对外销售",ROUND($Q3216,0)=0),"※外销却没有售价，请填实际售价",IF(AND($K3216="对外销售",$T3216&lt;&gt;"",$T3216&lt;0),"※这一笔外销是亏的，请核对售价",IF(IFERROR(VLOOKUP($D3216,库存台账!$A$5:$Y$1204,24,0),0)&lt;-0.001,"※这个物料账面已经变成负数了，查一下是不是漏记入库","")))))))))))</f>
        <v/>
      </c>
    </row>
    <row r="3217">
      <c r="A3217" s="24">
        <f>IF($D3217="","",COUNTA($D$4:$D3217))</f>
        <v/>
      </c>
      <c r="B3217" s="17" t="n"/>
      <c r="C3217" s="30" t="n"/>
      <c r="D3217" s="17" t="n"/>
      <c r="E3217" s="24">
        <f>IF($D3217="","",IFERROR(VLOOKUP($D3217,物料档案!$A$4:$P$1203,3,0),"※编码不在物料档案里"))</f>
        <v/>
      </c>
      <c r="F3217" s="24">
        <f>IF($D3217="","",IFERROR(VLOOKUP($D3217,物料档案!$A$4:$P$1203,4,0),"※编码不在物料档案里"))</f>
        <v/>
      </c>
      <c r="G3217" s="24">
        <f>IF($D3217="","",IFERROR(VLOOKUP($D3217,物料档案!$A$4:$P$1203,5,0),"※编码不在物料档案里"))</f>
        <v/>
      </c>
      <c r="H3217" s="24">
        <f>IF($D3217="","",IFERROR(VLOOKUP($D3217,物料档案!$A$4:$P$1203,2,0),"※编码不在物料档案里"))</f>
        <v/>
      </c>
      <c r="I3217" s="24">
        <f>IF($D3217="","",IFERROR(VLOOKUP($D3217,物料档案!$A$4:$P$1203,6,0),"※编码不在物料档案里"))</f>
        <v/>
      </c>
      <c r="J3217" s="23" t="n"/>
      <c r="K3217" s="17" t="n"/>
      <c r="L3217" s="17" t="n"/>
      <c r="M3217" s="17" t="n"/>
      <c r="N3217" s="17" t="n"/>
      <c r="O3217" s="26">
        <f>IF($D3217="","",IFERROR(VLOOKUP($D3217,物料档案!$A$4:$P$1203,10,0),0))</f>
        <v/>
      </c>
      <c r="P3217" s="32" t="n"/>
      <c r="Q3217" s="26">
        <f>IF($D3217="","",IF($K3217&lt;&gt;"对外销售",0,ROUND(N($J3217)*IF($P3217="",N($O3217),N($P3217)),0)))</f>
        <v/>
      </c>
      <c r="R3217" s="26">
        <f>IF($D3217="","",IFERROR(VLOOKUP($D3217,库存台账!$A$5:$Y$1204,11,0),0))</f>
        <v/>
      </c>
      <c r="S3217" s="26">
        <f>IF($D3217="","",ROUND(N($J3217)*N($R3217),0))</f>
        <v/>
      </c>
      <c r="T3217" s="26">
        <f>IF($D3217="","",IF($K3217&lt;&gt;"对外销售","",ROUND($Q3217-$S3217,0)))</f>
        <v/>
      </c>
      <c r="U3217" s="17" t="n"/>
      <c r="V3217" s="17" t="n"/>
      <c r="W3217" s="24">
        <f>IF($D3217="","",IF($E3217="※编码不在物料档案里","※物料编码不在档案里",IF(N($J3217)&lt;=0,"※出库数量要大于 0",IF($K3217="","※没填去向类型",IF($L3217="","※没填去向矿区",IF(AND($C3217&lt;&gt;"",$C3217&lt;=结账锁),"※日期早于已结账截止日，不能再录",IF(AND($K3217="自用消耗",COUNTIF({"一矿区";"二矿区"},$L3217)=0),"※自用消耗的去向只能是一矿区或二矿区",IF(AND($K3217="对外销售",COUNTIF({"三矿区";"六矿区"},$L3217)=0),"※对外销售的去向只能是三矿区或六矿区",IF(AND($K3217="对外销售",ROUND($Q3217,0)=0),"※外销却没有售价，请填实际售价",IF(AND($K3217="对外销售",$T3217&lt;&gt;"",$T3217&lt;0),"※这一笔外销是亏的，请核对售价",IF(IFERROR(VLOOKUP($D3217,库存台账!$A$5:$Y$1204,24,0),0)&lt;-0.001,"※这个物料账面已经变成负数了，查一下是不是漏记入库","")))))))))))</f>
        <v/>
      </c>
    </row>
    <row r="3218">
      <c r="A3218" s="24">
        <f>IF($D3218="","",COUNTA($D$4:$D3218))</f>
        <v/>
      </c>
      <c r="B3218" s="17" t="n"/>
      <c r="C3218" s="30" t="n"/>
      <c r="D3218" s="17" t="n"/>
      <c r="E3218" s="24">
        <f>IF($D3218="","",IFERROR(VLOOKUP($D3218,物料档案!$A$4:$P$1203,3,0),"※编码不在物料档案里"))</f>
        <v/>
      </c>
      <c r="F3218" s="24">
        <f>IF($D3218="","",IFERROR(VLOOKUP($D3218,物料档案!$A$4:$P$1203,4,0),"※编码不在物料档案里"))</f>
        <v/>
      </c>
      <c r="G3218" s="24">
        <f>IF($D3218="","",IFERROR(VLOOKUP($D3218,物料档案!$A$4:$P$1203,5,0),"※编码不在物料档案里"))</f>
        <v/>
      </c>
      <c r="H3218" s="24">
        <f>IF($D3218="","",IFERROR(VLOOKUP($D3218,物料档案!$A$4:$P$1203,2,0),"※编码不在物料档案里"))</f>
        <v/>
      </c>
      <c r="I3218" s="24">
        <f>IF($D3218="","",IFERROR(VLOOKUP($D3218,物料档案!$A$4:$P$1203,6,0),"※编码不在物料档案里"))</f>
        <v/>
      </c>
      <c r="J3218" s="23" t="n"/>
      <c r="K3218" s="17" t="n"/>
      <c r="L3218" s="17" t="n"/>
      <c r="M3218" s="17" t="n"/>
      <c r="N3218" s="17" t="n"/>
      <c r="O3218" s="26">
        <f>IF($D3218="","",IFERROR(VLOOKUP($D3218,物料档案!$A$4:$P$1203,10,0),0))</f>
        <v/>
      </c>
      <c r="P3218" s="32" t="n"/>
      <c r="Q3218" s="26">
        <f>IF($D3218="","",IF($K3218&lt;&gt;"对外销售",0,ROUND(N($J3218)*IF($P3218="",N($O3218),N($P3218)),0)))</f>
        <v/>
      </c>
      <c r="R3218" s="26">
        <f>IF($D3218="","",IFERROR(VLOOKUP($D3218,库存台账!$A$5:$Y$1204,11,0),0))</f>
        <v/>
      </c>
      <c r="S3218" s="26">
        <f>IF($D3218="","",ROUND(N($J3218)*N($R3218),0))</f>
        <v/>
      </c>
      <c r="T3218" s="26">
        <f>IF($D3218="","",IF($K3218&lt;&gt;"对外销售","",ROUND($Q3218-$S3218,0)))</f>
        <v/>
      </c>
      <c r="U3218" s="17" t="n"/>
      <c r="V3218" s="17" t="n"/>
      <c r="W3218" s="24">
        <f>IF($D3218="","",IF($E3218="※编码不在物料档案里","※物料编码不在档案里",IF(N($J3218)&lt;=0,"※出库数量要大于 0",IF($K3218="","※没填去向类型",IF($L3218="","※没填去向矿区",IF(AND($C3218&lt;&gt;"",$C3218&lt;=结账锁),"※日期早于已结账截止日，不能再录",IF(AND($K3218="自用消耗",COUNTIF({"一矿区";"二矿区"},$L3218)=0),"※自用消耗的去向只能是一矿区或二矿区",IF(AND($K3218="对外销售",COUNTIF({"三矿区";"六矿区"},$L3218)=0),"※对外销售的去向只能是三矿区或六矿区",IF(AND($K3218="对外销售",ROUND($Q3218,0)=0),"※外销却没有售价，请填实际售价",IF(AND($K3218="对外销售",$T3218&lt;&gt;"",$T3218&lt;0),"※这一笔外销是亏的，请核对售价",IF(IFERROR(VLOOKUP($D3218,库存台账!$A$5:$Y$1204,24,0),0)&lt;-0.001,"※这个物料账面已经变成负数了，查一下是不是漏记入库","")))))))))))</f>
        <v/>
      </c>
    </row>
    <row r="3219">
      <c r="A3219" s="24">
        <f>IF($D3219="","",COUNTA($D$4:$D3219))</f>
        <v/>
      </c>
      <c r="B3219" s="17" t="n"/>
      <c r="C3219" s="30" t="n"/>
      <c r="D3219" s="17" t="n"/>
      <c r="E3219" s="24">
        <f>IF($D3219="","",IFERROR(VLOOKUP($D3219,物料档案!$A$4:$P$1203,3,0),"※编码不在物料档案里"))</f>
        <v/>
      </c>
      <c r="F3219" s="24">
        <f>IF($D3219="","",IFERROR(VLOOKUP($D3219,物料档案!$A$4:$P$1203,4,0),"※编码不在物料档案里"))</f>
        <v/>
      </c>
      <c r="G3219" s="24">
        <f>IF($D3219="","",IFERROR(VLOOKUP($D3219,物料档案!$A$4:$P$1203,5,0),"※编码不在物料档案里"))</f>
        <v/>
      </c>
      <c r="H3219" s="24">
        <f>IF($D3219="","",IFERROR(VLOOKUP($D3219,物料档案!$A$4:$P$1203,2,0),"※编码不在物料档案里"))</f>
        <v/>
      </c>
      <c r="I3219" s="24">
        <f>IF($D3219="","",IFERROR(VLOOKUP($D3219,物料档案!$A$4:$P$1203,6,0),"※编码不在物料档案里"))</f>
        <v/>
      </c>
      <c r="J3219" s="23" t="n"/>
      <c r="K3219" s="17" t="n"/>
      <c r="L3219" s="17" t="n"/>
      <c r="M3219" s="17" t="n"/>
      <c r="N3219" s="17" t="n"/>
      <c r="O3219" s="26">
        <f>IF($D3219="","",IFERROR(VLOOKUP($D3219,物料档案!$A$4:$P$1203,10,0),0))</f>
        <v/>
      </c>
      <c r="P3219" s="32" t="n"/>
      <c r="Q3219" s="26">
        <f>IF($D3219="","",IF($K3219&lt;&gt;"对外销售",0,ROUND(N($J3219)*IF($P3219="",N($O3219),N($P3219)),0)))</f>
        <v/>
      </c>
      <c r="R3219" s="26">
        <f>IF($D3219="","",IFERROR(VLOOKUP($D3219,库存台账!$A$5:$Y$1204,11,0),0))</f>
        <v/>
      </c>
      <c r="S3219" s="26">
        <f>IF($D3219="","",ROUND(N($J3219)*N($R3219),0))</f>
        <v/>
      </c>
      <c r="T3219" s="26">
        <f>IF($D3219="","",IF($K3219&lt;&gt;"对外销售","",ROUND($Q3219-$S3219,0)))</f>
        <v/>
      </c>
      <c r="U3219" s="17" t="n"/>
      <c r="V3219" s="17" t="n"/>
      <c r="W3219" s="24">
        <f>IF($D3219="","",IF($E3219="※编码不在物料档案里","※物料编码不在档案里",IF(N($J3219)&lt;=0,"※出库数量要大于 0",IF($K3219="","※没填去向类型",IF($L3219="","※没填去向矿区",IF(AND($C3219&lt;&gt;"",$C3219&lt;=结账锁),"※日期早于已结账截止日，不能再录",IF(AND($K3219="自用消耗",COUNTIF({"一矿区";"二矿区"},$L3219)=0),"※自用消耗的去向只能是一矿区或二矿区",IF(AND($K3219="对外销售",COUNTIF({"三矿区";"六矿区"},$L3219)=0),"※对外销售的去向只能是三矿区或六矿区",IF(AND($K3219="对外销售",ROUND($Q3219,0)=0),"※外销却没有售价，请填实际售价",IF(AND($K3219="对外销售",$T3219&lt;&gt;"",$T3219&lt;0),"※这一笔外销是亏的，请核对售价",IF(IFERROR(VLOOKUP($D3219,库存台账!$A$5:$Y$1204,24,0),0)&lt;-0.001,"※这个物料账面已经变成负数了，查一下是不是漏记入库","")))))))))))</f>
        <v/>
      </c>
    </row>
    <row r="3220">
      <c r="A3220" s="24">
        <f>IF($D3220="","",COUNTA($D$4:$D3220))</f>
        <v/>
      </c>
      <c r="B3220" s="17" t="n"/>
      <c r="C3220" s="30" t="n"/>
      <c r="D3220" s="17" t="n"/>
      <c r="E3220" s="24">
        <f>IF($D3220="","",IFERROR(VLOOKUP($D3220,物料档案!$A$4:$P$1203,3,0),"※编码不在物料档案里"))</f>
        <v/>
      </c>
      <c r="F3220" s="24">
        <f>IF($D3220="","",IFERROR(VLOOKUP($D3220,物料档案!$A$4:$P$1203,4,0),"※编码不在物料档案里"))</f>
        <v/>
      </c>
      <c r="G3220" s="24">
        <f>IF($D3220="","",IFERROR(VLOOKUP($D3220,物料档案!$A$4:$P$1203,5,0),"※编码不在物料档案里"))</f>
        <v/>
      </c>
      <c r="H3220" s="24">
        <f>IF($D3220="","",IFERROR(VLOOKUP($D3220,物料档案!$A$4:$P$1203,2,0),"※编码不在物料档案里"))</f>
        <v/>
      </c>
      <c r="I3220" s="24">
        <f>IF($D3220="","",IFERROR(VLOOKUP($D3220,物料档案!$A$4:$P$1203,6,0),"※编码不在物料档案里"))</f>
        <v/>
      </c>
      <c r="J3220" s="23" t="n"/>
      <c r="K3220" s="17" t="n"/>
      <c r="L3220" s="17" t="n"/>
      <c r="M3220" s="17" t="n"/>
      <c r="N3220" s="17" t="n"/>
      <c r="O3220" s="26">
        <f>IF($D3220="","",IFERROR(VLOOKUP($D3220,物料档案!$A$4:$P$1203,10,0),0))</f>
        <v/>
      </c>
      <c r="P3220" s="32" t="n"/>
      <c r="Q3220" s="26">
        <f>IF($D3220="","",IF($K3220&lt;&gt;"对外销售",0,ROUND(N($J3220)*IF($P3220="",N($O3220),N($P3220)),0)))</f>
        <v/>
      </c>
      <c r="R3220" s="26">
        <f>IF($D3220="","",IFERROR(VLOOKUP($D3220,库存台账!$A$5:$Y$1204,11,0),0))</f>
        <v/>
      </c>
      <c r="S3220" s="26">
        <f>IF($D3220="","",ROUND(N($J3220)*N($R3220),0))</f>
        <v/>
      </c>
      <c r="T3220" s="26">
        <f>IF($D3220="","",IF($K3220&lt;&gt;"对外销售","",ROUND($Q3220-$S3220,0)))</f>
        <v/>
      </c>
      <c r="U3220" s="17" t="n"/>
      <c r="V3220" s="17" t="n"/>
      <c r="W3220" s="24">
        <f>IF($D3220="","",IF($E3220="※编码不在物料档案里","※物料编码不在档案里",IF(N($J3220)&lt;=0,"※出库数量要大于 0",IF($K3220="","※没填去向类型",IF($L3220="","※没填去向矿区",IF(AND($C3220&lt;&gt;"",$C3220&lt;=结账锁),"※日期早于已结账截止日，不能再录",IF(AND($K3220="自用消耗",COUNTIF({"一矿区";"二矿区"},$L3220)=0),"※自用消耗的去向只能是一矿区或二矿区",IF(AND($K3220="对外销售",COUNTIF({"三矿区";"六矿区"},$L3220)=0),"※对外销售的去向只能是三矿区或六矿区",IF(AND($K3220="对外销售",ROUND($Q3220,0)=0),"※外销却没有售价，请填实际售价",IF(AND($K3220="对外销售",$T3220&lt;&gt;"",$T3220&lt;0),"※这一笔外销是亏的，请核对售价",IF(IFERROR(VLOOKUP($D3220,库存台账!$A$5:$Y$1204,24,0),0)&lt;-0.001,"※这个物料账面已经变成负数了，查一下是不是漏记入库","")))))))))))</f>
        <v/>
      </c>
    </row>
    <row r="3221">
      <c r="A3221" s="24">
        <f>IF($D3221="","",COUNTA($D$4:$D3221))</f>
        <v/>
      </c>
      <c r="B3221" s="17" t="n"/>
      <c r="C3221" s="30" t="n"/>
      <c r="D3221" s="17" t="n"/>
      <c r="E3221" s="24">
        <f>IF($D3221="","",IFERROR(VLOOKUP($D3221,物料档案!$A$4:$P$1203,3,0),"※编码不在物料档案里"))</f>
        <v/>
      </c>
      <c r="F3221" s="24">
        <f>IF($D3221="","",IFERROR(VLOOKUP($D3221,物料档案!$A$4:$P$1203,4,0),"※编码不在物料档案里"))</f>
        <v/>
      </c>
      <c r="G3221" s="24">
        <f>IF($D3221="","",IFERROR(VLOOKUP($D3221,物料档案!$A$4:$P$1203,5,0),"※编码不在物料档案里"))</f>
        <v/>
      </c>
      <c r="H3221" s="24">
        <f>IF($D3221="","",IFERROR(VLOOKUP($D3221,物料档案!$A$4:$P$1203,2,0),"※编码不在物料档案里"))</f>
        <v/>
      </c>
      <c r="I3221" s="24">
        <f>IF($D3221="","",IFERROR(VLOOKUP($D3221,物料档案!$A$4:$P$1203,6,0),"※编码不在物料档案里"))</f>
        <v/>
      </c>
      <c r="J3221" s="23" t="n"/>
      <c r="K3221" s="17" t="n"/>
      <c r="L3221" s="17" t="n"/>
      <c r="M3221" s="17" t="n"/>
      <c r="N3221" s="17" t="n"/>
      <c r="O3221" s="26">
        <f>IF($D3221="","",IFERROR(VLOOKUP($D3221,物料档案!$A$4:$P$1203,10,0),0))</f>
        <v/>
      </c>
      <c r="P3221" s="32" t="n"/>
      <c r="Q3221" s="26">
        <f>IF($D3221="","",IF($K3221&lt;&gt;"对外销售",0,ROUND(N($J3221)*IF($P3221="",N($O3221),N($P3221)),0)))</f>
        <v/>
      </c>
      <c r="R3221" s="26">
        <f>IF($D3221="","",IFERROR(VLOOKUP($D3221,库存台账!$A$5:$Y$1204,11,0),0))</f>
        <v/>
      </c>
      <c r="S3221" s="26">
        <f>IF($D3221="","",ROUND(N($J3221)*N($R3221),0))</f>
        <v/>
      </c>
      <c r="T3221" s="26">
        <f>IF($D3221="","",IF($K3221&lt;&gt;"对外销售","",ROUND($Q3221-$S3221,0)))</f>
        <v/>
      </c>
      <c r="U3221" s="17" t="n"/>
      <c r="V3221" s="17" t="n"/>
      <c r="W3221" s="24">
        <f>IF($D3221="","",IF($E3221="※编码不在物料档案里","※物料编码不在档案里",IF(N($J3221)&lt;=0,"※出库数量要大于 0",IF($K3221="","※没填去向类型",IF($L3221="","※没填去向矿区",IF(AND($C3221&lt;&gt;"",$C3221&lt;=结账锁),"※日期早于已结账截止日，不能再录",IF(AND($K3221="自用消耗",COUNTIF({"一矿区";"二矿区"},$L3221)=0),"※自用消耗的去向只能是一矿区或二矿区",IF(AND($K3221="对外销售",COUNTIF({"三矿区";"六矿区"},$L3221)=0),"※对外销售的去向只能是三矿区或六矿区",IF(AND($K3221="对外销售",ROUND($Q3221,0)=0),"※外销却没有售价，请填实际售价",IF(AND($K3221="对外销售",$T3221&lt;&gt;"",$T3221&lt;0),"※这一笔外销是亏的，请核对售价",IF(IFERROR(VLOOKUP($D3221,库存台账!$A$5:$Y$1204,24,0),0)&lt;-0.001,"※这个物料账面已经变成负数了，查一下是不是漏记入库","")))))))))))</f>
        <v/>
      </c>
    </row>
    <row r="3222">
      <c r="A3222" s="24">
        <f>IF($D3222="","",COUNTA($D$4:$D3222))</f>
        <v/>
      </c>
      <c r="B3222" s="17" t="n"/>
      <c r="C3222" s="30" t="n"/>
      <c r="D3222" s="17" t="n"/>
      <c r="E3222" s="24">
        <f>IF($D3222="","",IFERROR(VLOOKUP($D3222,物料档案!$A$4:$P$1203,3,0),"※编码不在物料档案里"))</f>
        <v/>
      </c>
      <c r="F3222" s="24">
        <f>IF($D3222="","",IFERROR(VLOOKUP($D3222,物料档案!$A$4:$P$1203,4,0),"※编码不在物料档案里"))</f>
        <v/>
      </c>
      <c r="G3222" s="24">
        <f>IF($D3222="","",IFERROR(VLOOKUP($D3222,物料档案!$A$4:$P$1203,5,0),"※编码不在物料档案里"))</f>
        <v/>
      </c>
      <c r="H3222" s="24">
        <f>IF($D3222="","",IFERROR(VLOOKUP($D3222,物料档案!$A$4:$P$1203,2,0),"※编码不在物料档案里"))</f>
        <v/>
      </c>
      <c r="I3222" s="24">
        <f>IF($D3222="","",IFERROR(VLOOKUP($D3222,物料档案!$A$4:$P$1203,6,0),"※编码不在物料档案里"))</f>
        <v/>
      </c>
      <c r="J3222" s="23" t="n"/>
      <c r="K3222" s="17" t="n"/>
      <c r="L3222" s="17" t="n"/>
      <c r="M3222" s="17" t="n"/>
      <c r="N3222" s="17" t="n"/>
      <c r="O3222" s="26">
        <f>IF($D3222="","",IFERROR(VLOOKUP($D3222,物料档案!$A$4:$P$1203,10,0),0))</f>
        <v/>
      </c>
      <c r="P3222" s="32" t="n"/>
      <c r="Q3222" s="26">
        <f>IF($D3222="","",IF($K3222&lt;&gt;"对外销售",0,ROUND(N($J3222)*IF($P3222="",N($O3222),N($P3222)),0)))</f>
        <v/>
      </c>
      <c r="R3222" s="26">
        <f>IF($D3222="","",IFERROR(VLOOKUP($D3222,库存台账!$A$5:$Y$1204,11,0),0))</f>
        <v/>
      </c>
      <c r="S3222" s="26">
        <f>IF($D3222="","",ROUND(N($J3222)*N($R3222),0))</f>
        <v/>
      </c>
      <c r="T3222" s="26">
        <f>IF($D3222="","",IF($K3222&lt;&gt;"对外销售","",ROUND($Q3222-$S3222,0)))</f>
        <v/>
      </c>
      <c r="U3222" s="17" t="n"/>
      <c r="V3222" s="17" t="n"/>
      <c r="W3222" s="24">
        <f>IF($D3222="","",IF($E3222="※编码不在物料档案里","※物料编码不在档案里",IF(N($J3222)&lt;=0,"※出库数量要大于 0",IF($K3222="","※没填去向类型",IF($L3222="","※没填去向矿区",IF(AND($C3222&lt;&gt;"",$C3222&lt;=结账锁),"※日期早于已结账截止日，不能再录",IF(AND($K3222="自用消耗",COUNTIF({"一矿区";"二矿区"},$L3222)=0),"※自用消耗的去向只能是一矿区或二矿区",IF(AND($K3222="对外销售",COUNTIF({"三矿区";"六矿区"},$L3222)=0),"※对外销售的去向只能是三矿区或六矿区",IF(AND($K3222="对外销售",ROUND($Q3222,0)=0),"※外销却没有售价，请填实际售价",IF(AND($K3222="对外销售",$T3222&lt;&gt;"",$T3222&lt;0),"※这一笔外销是亏的，请核对售价",IF(IFERROR(VLOOKUP($D3222,库存台账!$A$5:$Y$1204,24,0),0)&lt;-0.001,"※这个物料账面已经变成负数了，查一下是不是漏记入库","")))))))))))</f>
        <v/>
      </c>
    </row>
    <row r="3223">
      <c r="A3223" s="24">
        <f>IF($D3223="","",COUNTA($D$4:$D3223))</f>
        <v/>
      </c>
      <c r="B3223" s="17" t="n"/>
      <c r="C3223" s="30" t="n"/>
      <c r="D3223" s="17" t="n"/>
      <c r="E3223" s="24">
        <f>IF($D3223="","",IFERROR(VLOOKUP($D3223,物料档案!$A$4:$P$1203,3,0),"※编码不在物料档案里"))</f>
        <v/>
      </c>
      <c r="F3223" s="24">
        <f>IF($D3223="","",IFERROR(VLOOKUP($D3223,物料档案!$A$4:$P$1203,4,0),"※编码不在物料档案里"))</f>
        <v/>
      </c>
      <c r="G3223" s="24">
        <f>IF($D3223="","",IFERROR(VLOOKUP($D3223,物料档案!$A$4:$P$1203,5,0),"※编码不在物料档案里"))</f>
        <v/>
      </c>
      <c r="H3223" s="24">
        <f>IF($D3223="","",IFERROR(VLOOKUP($D3223,物料档案!$A$4:$P$1203,2,0),"※编码不在物料档案里"))</f>
        <v/>
      </c>
      <c r="I3223" s="24">
        <f>IF($D3223="","",IFERROR(VLOOKUP($D3223,物料档案!$A$4:$P$1203,6,0),"※编码不在物料档案里"))</f>
        <v/>
      </c>
      <c r="J3223" s="23" t="n"/>
      <c r="K3223" s="17" t="n"/>
      <c r="L3223" s="17" t="n"/>
      <c r="M3223" s="17" t="n"/>
      <c r="N3223" s="17" t="n"/>
      <c r="O3223" s="26">
        <f>IF($D3223="","",IFERROR(VLOOKUP($D3223,物料档案!$A$4:$P$1203,10,0),0))</f>
        <v/>
      </c>
      <c r="P3223" s="32" t="n"/>
      <c r="Q3223" s="26">
        <f>IF($D3223="","",IF($K3223&lt;&gt;"对外销售",0,ROUND(N($J3223)*IF($P3223="",N($O3223),N($P3223)),0)))</f>
        <v/>
      </c>
      <c r="R3223" s="26">
        <f>IF($D3223="","",IFERROR(VLOOKUP($D3223,库存台账!$A$5:$Y$1204,11,0),0))</f>
        <v/>
      </c>
      <c r="S3223" s="26">
        <f>IF($D3223="","",ROUND(N($J3223)*N($R3223),0))</f>
        <v/>
      </c>
      <c r="T3223" s="26">
        <f>IF($D3223="","",IF($K3223&lt;&gt;"对外销售","",ROUND($Q3223-$S3223,0)))</f>
        <v/>
      </c>
      <c r="U3223" s="17" t="n"/>
      <c r="V3223" s="17" t="n"/>
      <c r="W3223" s="24">
        <f>IF($D3223="","",IF($E3223="※编码不在物料档案里","※物料编码不在档案里",IF(N($J3223)&lt;=0,"※出库数量要大于 0",IF($K3223="","※没填去向类型",IF($L3223="","※没填去向矿区",IF(AND($C3223&lt;&gt;"",$C3223&lt;=结账锁),"※日期早于已结账截止日，不能再录",IF(AND($K3223="自用消耗",COUNTIF({"一矿区";"二矿区"},$L3223)=0),"※自用消耗的去向只能是一矿区或二矿区",IF(AND($K3223="对外销售",COUNTIF({"三矿区";"六矿区"},$L3223)=0),"※对外销售的去向只能是三矿区或六矿区",IF(AND($K3223="对外销售",ROUND($Q3223,0)=0),"※外销却没有售价，请填实际售价",IF(AND($K3223="对外销售",$T3223&lt;&gt;"",$T3223&lt;0),"※这一笔外销是亏的，请核对售价",IF(IFERROR(VLOOKUP($D3223,库存台账!$A$5:$Y$1204,24,0),0)&lt;-0.001,"※这个物料账面已经变成负数了，查一下是不是漏记入库","")))))))))))</f>
        <v/>
      </c>
    </row>
    <row r="3224">
      <c r="A3224" s="24">
        <f>IF($D3224="","",COUNTA($D$4:$D3224))</f>
        <v/>
      </c>
      <c r="B3224" s="17" t="n"/>
      <c r="C3224" s="30" t="n"/>
      <c r="D3224" s="17" t="n"/>
      <c r="E3224" s="24">
        <f>IF($D3224="","",IFERROR(VLOOKUP($D3224,物料档案!$A$4:$P$1203,3,0),"※编码不在物料档案里"))</f>
        <v/>
      </c>
      <c r="F3224" s="24">
        <f>IF($D3224="","",IFERROR(VLOOKUP($D3224,物料档案!$A$4:$P$1203,4,0),"※编码不在物料档案里"))</f>
        <v/>
      </c>
      <c r="G3224" s="24">
        <f>IF($D3224="","",IFERROR(VLOOKUP($D3224,物料档案!$A$4:$P$1203,5,0),"※编码不在物料档案里"))</f>
        <v/>
      </c>
      <c r="H3224" s="24">
        <f>IF($D3224="","",IFERROR(VLOOKUP($D3224,物料档案!$A$4:$P$1203,2,0),"※编码不在物料档案里"))</f>
        <v/>
      </c>
      <c r="I3224" s="24">
        <f>IF($D3224="","",IFERROR(VLOOKUP($D3224,物料档案!$A$4:$P$1203,6,0),"※编码不在物料档案里"))</f>
        <v/>
      </c>
      <c r="J3224" s="23" t="n"/>
      <c r="K3224" s="17" t="n"/>
      <c r="L3224" s="17" t="n"/>
      <c r="M3224" s="17" t="n"/>
      <c r="N3224" s="17" t="n"/>
      <c r="O3224" s="26">
        <f>IF($D3224="","",IFERROR(VLOOKUP($D3224,物料档案!$A$4:$P$1203,10,0),0))</f>
        <v/>
      </c>
      <c r="P3224" s="32" t="n"/>
      <c r="Q3224" s="26">
        <f>IF($D3224="","",IF($K3224&lt;&gt;"对外销售",0,ROUND(N($J3224)*IF($P3224="",N($O3224),N($P3224)),0)))</f>
        <v/>
      </c>
      <c r="R3224" s="26">
        <f>IF($D3224="","",IFERROR(VLOOKUP($D3224,库存台账!$A$5:$Y$1204,11,0),0))</f>
        <v/>
      </c>
      <c r="S3224" s="26">
        <f>IF($D3224="","",ROUND(N($J3224)*N($R3224),0))</f>
        <v/>
      </c>
      <c r="T3224" s="26">
        <f>IF($D3224="","",IF($K3224&lt;&gt;"对外销售","",ROUND($Q3224-$S3224,0)))</f>
        <v/>
      </c>
      <c r="U3224" s="17" t="n"/>
      <c r="V3224" s="17" t="n"/>
      <c r="W3224" s="24">
        <f>IF($D3224="","",IF($E3224="※编码不在物料档案里","※物料编码不在档案里",IF(N($J3224)&lt;=0,"※出库数量要大于 0",IF($K3224="","※没填去向类型",IF($L3224="","※没填去向矿区",IF(AND($C3224&lt;&gt;"",$C3224&lt;=结账锁),"※日期早于已结账截止日，不能再录",IF(AND($K3224="自用消耗",COUNTIF({"一矿区";"二矿区"},$L3224)=0),"※自用消耗的去向只能是一矿区或二矿区",IF(AND($K3224="对外销售",COUNTIF({"三矿区";"六矿区"},$L3224)=0),"※对外销售的去向只能是三矿区或六矿区",IF(AND($K3224="对外销售",ROUND($Q3224,0)=0),"※外销却没有售价，请填实际售价",IF(AND($K3224="对外销售",$T3224&lt;&gt;"",$T3224&lt;0),"※这一笔外销是亏的，请核对售价",IF(IFERROR(VLOOKUP($D3224,库存台账!$A$5:$Y$1204,24,0),0)&lt;-0.001,"※这个物料账面已经变成负数了，查一下是不是漏记入库","")))))))))))</f>
        <v/>
      </c>
    </row>
    <row r="3225">
      <c r="A3225" s="24">
        <f>IF($D3225="","",COUNTA($D$4:$D3225))</f>
        <v/>
      </c>
      <c r="B3225" s="17" t="n"/>
      <c r="C3225" s="30" t="n"/>
      <c r="D3225" s="17" t="n"/>
      <c r="E3225" s="24">
        <f>IF($D3225="","",IFERROR(VLOOKUP($D3225,物料档案!$A$4:$P$1203,3,0),"※编码不在物料档案里"))</f>
        <v/>
      </c>
      <c r="F3225" s="24">
        <f>IF($D3225="","",IFERROR(VLOOKUP($D3225,物料档案!$A$4:$P$1203,4,0),"※编码不在物料档案里"))</f>
        <v/>
      </c>
      <c r="G3225" s="24">
        <f>IF($D3225="","",IFERROR(VLOOKUP($D3225,物料档案!$A$4:$P$1203,5,0),"※编码不在物料档案里"))</f>
        <v/>
      </c>
      <c r="H3225" s="24">
        <f>IF($D3225="","",IFERROR(VLOOKUP($D3225,物料档案!$A$4:$P$1203,2,0),"※编码不在物料档案里"))</f>
        <v/>
      </c>
      <c r="I3225" s="24">
        <f>IF($D3225="","",IFERROR(VLOOKUP($D3225,物料档案!$A$4:$P$1203,6,0),"※编码不在物料档案里"))</f>
        <v/>
      </c>
      <c r="J3225" s="23" t="n"/>
      <c r="K3225" s="17" t="n"/>
      <c r="L3225" s="17" t="n"/>
      <c r="M3225" s="17" t="n"/>
      <c r="N3225" s="17" t="n"/>
      <c r="O3225" s="26">
        <f>IF($D3225="","",IFERROR(VLOOKUP($D3225,物料档案!$A$4:$P$1203,10,0),0))</f>
        <v/>
      </c>
      <c r="P3225" s="32" t="n"/>
      <c r="Q3225" s="26">
        <f>IF($D3225="","",IF($K3225&lt;&gt;"对外销售",0,ROUND(N($J3225)*IF($P3225="",N($O3225),N($P3225)),0)))</f>
        <v/>
      </c>
      <c r="R3225" s="26">
        <f>IF($D3225="","",IFERROR(VLOOKUP($D3225,库存台账!$A$5:$Y$1204,11,0),0))</f>
        <v/>
      </c>
      <c r="S3225" s="26">
        <f>IF($D3225="","",ROUND(N($J3225)*N($R3225),0))</f>
        <v/>
      </c>
      <c r="T3225" s="26">
        <f>IF($D3225="","",IF($K3225&lt;&gt;"对外销售","",ROUND($Q3225-$S3225,0)))</f>
        <v/>
      </c>
      <c r="U3225" s="17" t="n"/>
      <c r="V3225" s="17" t="n"/>
      <c r="W3225" s="24">
        <f>IF($D3225="","",IF($E3225="※编码不在物料档案里","※物料编码不在档案里",IF(N($J3225)&lt;=0,"※出库数量要大于 0",IF($K3225="","※没填去向类型",IF($L3225="","※没填去向矿区",IF(AND($C3225&lt;&gt;"",$C3225&lt;=结账锁),"※日期早于已结账截止日，不能再录",IF(AND($K3225="自用消耗",COUNTIF({"一矿区";"二矿区"},$L3225)=0),"※自用消耗的去向只能是一矿区或二矿区",IF(AND($K3225="对外销售",COUNTIF({"三矿区";"六矿区"},$L3225)=0),"※对外销售的去向只能是三矿区或六矿区",IF(AND($K3225="对外销售",ROUND($Q3225,0)=0),"※外销却没有售价，请填实际售价",IF(AND($K3225="对外销售",$T3225&lt;&gt;"",$T3225&lt;0),"※这一笔外销是亏的，请核对售价",IF(IFERROR(VLOOKUP($D3225,库存台账!$A$5:$Y$1204,24,0),0)&lt;-0.001,"※这个物料账面已经变成负数了，查一下是不是漏记入库","")))))))))))</f>
        <v/>
      </c>
    </row>
    <row r="3226">
      <c r="A3226" s="24">
        <f>IF($D3226="","",COUNTA($D$4:$D3226))</f>
        <v/>
      </c>
      <c r="B3226" s="17" t="n"/>
      <c r="C3226" s="30" t="n"/>
      <c r="D3226" s="17" t="n"/>
      <c r="E3226" s="24">
        <f>IF($D3226="","",IFERROR(VLOOKUP($D3226,物料档案!$A$4:$P$1203,3,0),"※编码不在物料档案里"))</f>
        <v/>
      </c>
      <c r="F3226" s="24">
        <f>IF($D3226="","",IFERROR(VLOOKUP($D3226,物料档案!$A$4:$P$1203,4,0),"※编码不在物料档案里"))</f>
        <v/>
      </c>
      <c r="G3226" s="24">
        <f>IF($D3226="","",IFERROR(VLOOKUP($D3226,物料档案!$A$4:$P$1203,5,0),"※编码不在物料档案里"))</f>
        <v/>
      </c>
      <c r="H3226" s="24">
        <f>IF($D3226="","",IFERROR(VLOOKUP($D3226,物料档案!$A$4:$P$1203,2,0),"※编码不在物料档案里"))</f>
        <v/>
      </c>
      <c r="I3226" s="24">
        <f>IF($D3226="","",IFERROR(VLOOKUP($D3226,物料档案!$A$4:$P$1203,6,0),"※编码不在物料档案里"))</f>
        <v/>
      </c>
      <c r="J3226" s="23" t="n"/>
      <c r="K3226" s="17" t="n"/>
      <c r="L3226" s="17" t="n"/>
      <c r="M3226" s="17" t="n"/>
      <c r="N3226" s="17" t="n"/>
      <c r="O3226" s="26">
        <f>IF($D3226="","",IFERROR(VLOOKUP($D3226,物料档案!$A$4:$P$1203,10,0),0))</f>
        <v/>
      </c>
      <c r="P3226" s="32" t="n"/>
      <c r="Q3226" s="26">
        <f>IF($D3226="","",IF($K3226&lt;&gt;"对外销售",0,ROUND(N($J3226)*IF($P3226="",N($O3226),N($P3226)),0)))</f>
        <v/>
      </c>
      <c r="R3226" s="26">
        <f>IF($D3226="","",IFERROR(VLOOKUP($D3226,库存台账!$A$5:$Y$1204,11,0),0))</f>
        <v/>
      </c>
      <c r="S3226" s="26">
        <f>IF($D3226="","",ROUND(N($J3226)*N($R3226),0))</f>
        <v/>
      </c>
      <c r="T3226" s="26">
        <f>IF($D3226="","",IF($K3226&lt;&gt;"对外销售","",ROUND($Q3226-$S3226,0)))</f>
        <v/>
      </c>
      <c r="U3226" s="17" t="n"/>
      <c r="V3226" s="17" t="n"/>
      <c r="W3226" s="24">
        <f>IF($D3226="","",IF($E3226="※编码不在物料档案里","※物料编码不在档案里",IF(N($J3226)&lt;=0,"※出库数量要大于 0",IF($K3226="","※没填去向类型",IF($L3226="","※没填去向矿区",IF(AND($C3226&lt;&gt;"",$C3226&lt;=结账锁),"※日期早于已结账截止日，不能再录",IF(AND($K3226="自用消耗",COUNTIF({"一矿区";"二矿区"},$L3226)=0),"※自用消耗的去向只能是一矿区或二矿区",IF(AND($K3226="对外销售",COUNTIF({"三矿区";"六矿区"},$L3226)=0),"※对外销售的去向只能是三矿区或六矿区",IF(AND($K3226="对外销售",ROUND($Q3226,0)=0),"※外销却没有售价，请填实际售价",IF(AND($K3226="对外销售",$T3226&lt;&gt;"",$T3226&lt;0),"※这一笔外销是亏的，请核对售价",IF(IFERROR(VLOOKUP($D3226,库存台账!$A$5:$Y$1204,24,0),0)&lt;-0.001,"※这个物料账面已经变成负数了，查一下是不是漏记入库","")))))))))))</f>
        <v/>
      </c>
    </row>
    <row r="3227">
      <c r="A3227" s="24">
        <f>IF($D3227="","",COUNTA($D$4:$D3227))</f>
        <v/>
      </c>
      <c r="B3227" s="17" t="n"/>
      <c r="C3227" s="30" t="n"/>
      <c r="D3227" s="17" t="n"/>
      <c r="E3227" s="24">
        <f>IF($D3227="","",IFERROR(VLOOKUP($D3227,物料档案!$A$4:$P$1203,3,0),"※编码不在物料档案里"))</f>
        <v/>
      </c>
      <c r="F3227" s="24">
        <f>IF($D3227="","",IFERROR(VLOOKUP($D3227,物料档案!$A$4:$P$1203,4,0),"※编码不在物料档案里"))</f>
        <v/>
      </c>
      <c r="G3227" s="24">
        <f>IF($D3227="","",IFERROR(VLOOKUP($D3227,物料档案!$A$4:$P$1203,5,0),"※编码不在物料档案里"))</f>
        <v/>
      </c>
      <c r="H3227" s="24">
        <f>IF($D3227="","",IFERROR(VLOOKUP($D3227,物料档案!$A$4:$P$1203,2,0),"※编码不在物料档案里"))</f>
        <v/>
      </c>
      <c r="I3227" s="24">
        <f>IF($D3227="","",IFERROR(VLOOKUP($D3227,物料档案!$A$4:$P$1203,6,0),"※编码不在物料档案里"))</f>
        <v/>
      </c>
      <c r="J3227" s="23" t="n"/>
      <c r="K3227" s="17" t="n"/>
      <c r="L3227" s="17" t="n"/>
      <c r="M3227" s="17" t="n"/>
      <c r="N3227" s="17" t="n"/>
      <c r="O3227" s="26">
        <f>IF($D3227="","",IFERROR(VLOOKUP($D3227,物料档案!$A$4:$P$1203,10,0),0))</f>
        <v/>
      </c>
      <c r="P3227" s="32" t="n"/>
      <c r="Q3227" s="26">
        <f>IF($D3227="","",IF($K3227&lt;&gt;"对外销售",0,ROUND(N($J3227)*IF($P3227="",N($O3227),N($P3227)),0)))</f>
        <v/>
      </c>
      <c r="R3227" s="26">
        <f>IF($D3227="","",IFERROR(VLOOKUP($D3227,库存台账!$A$5:$Y$1204,11,0),0))</f>
        <v/>
      </c>
      <c r="S3227" s="26">
        <f>IF($D3227="","",ROUND(N($J3227)*N($R3227),0))</f>
        <v/>
      </c>
      <c r="T3227" s="26">
        <f>IF($D3227="","",IF($K3227&lt;&gt;"对外销售","",ROUND($Q3227-$S3227,0)))</f>
        <v/>
      </c>
      <c r="U3227" s="17" t="n"/>
      <c r="V3227" s="17" t="n"/>
      <c r="W3227" s="24">
        <f>IF($D3227="","",IF($E3227="※编码不在物料档案里","※物料编码不在档案里",IF(N($J3227)&lt;=0,"※出库数量要大于 0",IF($K3227="","※没填去向类型",IF($L3227="","※没填去向矿区",IF(AND($C3227&lt;&gt;"",$C3227&lt;=结账锁),"※日期早于已结账截止日，不能再录",IF(AND($K3227="自用消耗",COUNTIF({"一矿区";"二矿区"},$L3227)=0),"※自用消耗的去向只能是一矿区或二矿区",IF(AND($K3227="对外销售",COUNTIF({"三矿区";"六矿区"},$L3227)=0),"※对外销售的去向只能是三矿区或六矿区",IF(AND($K3227="对外销售",ROUND($Q3227,0)=0),"※外销却没有售价，请填实际售价",IF(AND($K3227="对外销售",$T3227&lt;&gt;"",$T3227&lt;0),"※这一笔外销是亏的，请核对售价",IF(IFERROR(VLOOKUP($D3227,库存台账!$A$5:$Y$1204,24,0),0)&lt;-0.001,"※这个物料账面已经变成负数了，查一下是不是漏记入库","")))))))))))</f>
        <v/>
      </c>
    </row>
    <row r="3228">
      <c r="A3228" s="24">
        <f>IF($D3228="","",COUNTA($D$4:$D3228))</f>
        <v/>
      </c>
      <c r="B3228" s="17" t="n"/>
      <c r="C3228" s="30" t="n"/>
      <c r="D3228" s="17" t="n"/>
      <c r="E3228" s="24">
        <f>IF($D3228="","",IFERROR(VLOOKUP($D3228,物料档案!$A$4:$P$1203,3,0),"※编码不在物料档案里"))</f>
        <v/>
      </c>
      <c r="F3228" s="24">
        <f>IF($D3228="","",IFERROR(VLOOKUP($D3228,物料档案!$A$4:$P$1203,4,0),"※编码不在物料档案里"))</f>
        <v/>
      </c>
      <c r="G3228" s="24">
        <f>IF($D3228="","",IFERROR(VLOOKUP($D3228,物料档案!$A$4:$P$1203,5,0),"※编码不在物料档案里"))</f>
        <v/>
      </c>
      <c r="H3228" s="24">
        <f>IF($D3228="","",IFERROR(VLOOKUP($D3228,物料档案!$A$4:$P$1203,2,0),"※编码不在物料档案里"))</f>
        <v/>
      </c>
      <c r="I3228" s="24">
        <f>IF($D3228="","",IFERROR(VLOOKUP($D3228,物料档案!$A$4:$P$1203,6,0),"※编码不在物料档案里"))</f>
        <v/>
      </c>
      <c r="J3228" s="23" t="n"/>
      <c r="K3228" s="17" t="n"/>
      <c r="L3228" s="17" t="n"/>
      <c r="M3228" s="17" t="n"/>
      <c r="N3228" s="17" t="n"/>
      <c r="O3228" s="26">
        <f>IF($D3228="","",IFERROR(VLOOKUP($D3228,物料档案!$A$4:$P$1203,10,0),0))</f>
        <v/>
      </c>
      <c r="P3228" s="32" t="n"/>
      <c r="Q3228" s="26">
        <f>IF($D3228="","",IF($K3228&lt;&gt;"对外销售",0,ROUND(N($J3228)*IF($P3228="",N($O3228),N($P3228)),0)))</f>
        <v/>
      </c>
      <c r="R3228" s="26">
        <f>IF($D3228="","",IFERROR(VLOOKUP($D3228,库存台账!$A$5:$Y$1204,11,0),0))</f>
        <v/>
      </c>
      <c r="S3228" s="26">
        <f>IF($D3228="","",ROUND(N($J3228)*N($R3228),0))</f>
        <v/>
      </c>
      <c r="T3228" s="26">
        <f>IF($D3228="","",IF($K3228&lt;&gt;"对外销售","",ROUND($Q3228-$S3228,0)))</f>
        <v/>
      </c>
      <c r="U3228" s="17" t="n"/>
      <c r="V3228" s="17" t="n"/>
      <c r="W3228" s="24">
        <f>IF($D3228="","",IF($E3228="※编码不在物料档案里","※物料编码不在档案里",IF(N($J3228)&lt;=0,"※出库数量要大于 0",IF($K3228="","※没填去向类型",IF($L3228="","※没填去向矿区",IF(AND($C3228&lt;&gt;"",$C3228&lt;=结账锁),"※日期早于已结账截止日，不能再录",IF(AND($K3228="自用消耗",COUNTIF({"一矿区";"二矿区"},$L3228)=0),"※自用消耗的去向只能是一矿区或二矿区",IF(AND($K3228="对外销售",COUNTIF({"三矿区";"六矿区"},$L3228)=0),"※对外销售的去向只能是三矿区或六矿区",IF(AND($K3228="对外销售",ROUND($Q3228,0)=0),"※外销却没有售价，请填实际售价",IF(AND($K3228="对外销售",$T3228&lt;&gt;"",$T3228&lt;0),"※这一笔外销是亏的，请核对售价",IF(IFERROR(VLOOKUP($D3228,库存台账!$A$5:$Y$1204,24,0),0)&lt;-0.001,"※这个物料账面已经变成负数了，查一下是不是漏记入库","")))))))))))</f>
        <v/>
      </c>
    </row>
    <row r="3229">
      <c r="A3229" s="24">
        <f>IF($D3229="","",COUNTA($D$4:$D3229))</f>
        <v/>
      </c>
      <c r="B3229" s="17" t="n"/>
      <c r="C3229" s="30" t="n"/>
      <c r="D3229" s="17" t="n"/>
      <c r="E3229" s="24">
        <f>IF($D3229="","",IFERROR(VLOOKUP($D3229,物料档案!$A$4:$P$1203,3,0),"※编码不在物料档案里"))</f>
        <v/>
      </c>
      <c r="F3229" s="24">
        <f>IF($D3229="","",IFERROR(VLOOKUP($D3229,物料档案!$A$4:$P$1203,4,0),"※编码不在物料档案里"))</f>
        <v/>
      </c>
      <c r="G3229" s="24">
        <f>IF($D3229="","",IFERROR(VLOOKUP($D3229,物料档案!$A$4:$P$1203,5,0),"※编码不在物料档案里"))</f>
        <v/>
      </c>
      <c r="H3229" s="24">
        <f>IF($D3229="","",IFERROR(VLOOKUP($D3229,物料档案!$A$4:$P$1203,2,0),"※编码不在物料档案里"))</f>
        <v/>
      </c>
      <c r="I3229" s="24">
        <f>IF($D3229="","",IFERROR(VLOOKUP($D3229,物料档案!$A$4:$P$1203,6,0),"※编码不在物料档案里"))</f>
        <v/>
      </c>
      <c r="J3229" s="23" t="n"/>
      <c r="K3229" s="17" t="n"/>
      <c r="L3229" s="17" t="n"/>
      <c r="M3229" s="17" t="n"/>
      <c r="N3229" s="17" t="n"/>
      <c r="O3229" s="26">
        <f>IF($D3229="","",IFERROR(VLOOKUP($D3229,物料档案!$A$4:$P$1203,10,0),0))</f>
        <v/>
      </c>
      <c r="P3229" s="32" t="n"/>
      <c r="Q3229" s="26">
        <f>IF($D3229="","",IF($K3229&lt;&gt;"对外销售",0,ROUND(N($J3229)*IF($P3229="",N($O3229),N($P3229)),0)))</f>
        <v/>
      </c>
      <c r="R3229" s="26">
        <f>IF($D3229="","",IFERROR(VLOOKUP($D3229,库存台账!$A$5:$Y$1204,11,0),0))</f>
        <v/>
      </c>
      <c r="S3229" s="26">
        <f>IF($D3229="","",ROUND(N($J3229)*N($R3229),0))</f>
        <v/>
      </c>
      <c r="T3229" s="26">
        <f>IF($D3229="","",IF($K3229&lt;&gt;"对外销售","",ROUND($Q3229-$S3229,0)))</f>
        <v/>
      </c>
      <c r="U3229" s="17" t="n"/>
      <c r="V3229" s="17" t="n"/>
      <c r="W3229" s="24">
        <f>IF($D3229="","",IF($E3229="※编码不在物料档案里","※物料编码不在档案里",IF(N($J3229)&lt;=0,"※出库数量要大于 0",IF($K3229="","※没填去向类型",IF($L3229="","※没填去向矿区",IF(AND($C3229&lt;&gt;"",$C3229&lt;=结账锁),"※日期早于已结账截止日，不能再录",IF(AND($K3229="自用消耗",COUNTIF({"一矿区";"二矿区"},$L3229)=0),"※自用消耗的去向只能是一矿区或二矿区",IF(AND($K3229="对外销售",COUNTIF({"三矿区";"六矿区"},$L3229)=0),"※对外销售的去向只能是三矿区或六矿区",IF(AND($K3229="对外销售",ROUND($Q3229,0)=0),"※外销却没有售价，请填实际售价",IF(AND($K3229="对外销售",$T3229&lt;&gt;"",$T3229&lt;0),"※这一笔外销是亏的，请核对售价",IF(IFERROR(VLOOKUP($D3229,库存台账!$A$5:$Y$1204,24,0),0)&lt;-0.001,"※这个物料账面已经变成负数了，查一下是不是漏记入库","")))))))))))</f>
        <v/>
      </c>
    </row>
    <row r="3230">
      <c r="A3230" s="24">
        <f>IF($D3230="","",COUNTA($D$4:$D3230))</f>
        <v/>
      </c>
      <c r="B3230" s="17" t="n"/>
      <c r="C3230" s="30" t="n"/>
      <c r="D3230" s="17" t="n"/>
      <c r="E3230" s="24">
        <f>IF($D3230="","",IFERROR(VLOOKUP($D3230,物料档案!$A$4:$P$1203,3,0),"※编码不在物料档案里"))</f>
        <v/>
      </c>
      <c r="F3230" s="24">
        <f>IF($D3230="","",IFERROR(VLOOKUP($D3230,物料档案!$A$4:$P$1203,4,0),"※编码不在物料档案里"))</f>
        <v/>
      </c>
      <c r="G3230" s="24">
        <f>IF($D3230="","",IFERROR(VLOOKUP($D3230,物料档案!$A$4:$P$1203,5,0),"※编码不在物料档案里"))</f>
        <v/>
      </c>
      <c r="H3230" s="24">
        <f>IF($D3230="","",IFERROR(VLOOKUP($D3230,物料档案!$A$4:$P$1203,2,0),"※编码不在物料档案里"))</f>
        <v/>
      </c>
      <c r="I3230" s="24">
        <f>IF($D3230="","",IFERROR(VLOOKUP($D3230,物料档案!$A$4:$P$1203,6,0),"※编码不在物料档案里"))</f>
        <v/>
      </c>
      <c r="J3230" s="23" t="n"/>
      <c r="K3230" s="17" t="n"/>
      <c r="L3230" s="17" t="n"/>
      <c r="M3230" s="17" t="n"/>
      <c r="N3230" s="17" t="n"/>
      <c r="O3230" s="26">
        <f>IF($D3230="","",IFERROR(VLOOKUP($D3230,物料档案!$A$4:$P$1203,10,0),0))</f>
        <v/>
      </c>
      <c r="P3230" s="32" t="n"/>
      <c r="Q3230" s="26">
        <f>IF($D3230="","",IF($K3230&lt;&gt;"对外销售",0,ROUND(N($J3230)*IF($P3230="",N($O3230),N($P3230)),0)))</f>
        <v/>
      </c>
      <c r="R3230" s="26">
        <f>IF($D3230="","",IFERROR(VLOOKUP($D3230,库存台账!$A$5:$Y$1204,11,0),0))</f>
        <v/>
      </c>
      <c r="S3230" s="26">
        <f>IF($D3230="","",ROUND(N($J3230)*N($R3230),0))</f>
        <v/>
      </c>
      <c r="T3230" s="26">
        <f>IF($D3230="","",IF($K3230&lt;&gt;"对外销售","",ROUND($Q3230-$S3230,0)))</f>
        <v/>
      </c>
      <c r="U3230" s="17" t="n"/>
      <c r="V3230" s="17" t="n"/>
      <c r="W3230" s="24">
        <f>IF($D3230="","",IF($E3230="※编码不在物料档案里","※物料编码不在档案里",IF(N($J3230)&lt;=0,"※出库数量要大于 0",IF($K3230="","※没填去向类型",IF($L3230="","※没填去向矿区",IF(AND($C3230&lt;&gt;"",$C3230&lt;=结账锁),"※日期早于已结账截止日，不能再录",IF(AND($K3230="自用消耗",COUNTIF({"一矿区";"二矿区"},$L3230)=0),"※自用消耗的去向只能是一矿区或二矿区",IF(AND($K3230="对外销售",COUNTIF({"三矿区";"六矿区"},$L3230)=0),"※对外销售的去向只能是三矿区或六矿区",IF(AND($K3230="对外销售",ROUND($Q3230,0)=0),"※外销却没有售价，请填实际售价",IF(AND($K3230="对外销售",$T3230&lt;&gt;"",$T3230&lt;0),"※这一笔外销是亏的，请核对售价",IF(IFERROR(VLOOKUP($D3230,库存台账!$A$5:$Y$1204,24,0),0)&lt;-0.001,"※这个物料账面已经变成负数了，查一下是不是漏记入库","")))))))))))</f>
        <v/>
      </c>
    </row>
    <row r="3231">
      <c r="A3231" s="24">
        <f>IF($D3231="","",COUNTA($D$4:$D3231))</f>
        <v/>
      </c>
      <c r="B3231" s="17" t="n"/>
      <c r="C3231" s="30" t="n"/>
      <c r="D3231" s="17" t="n"/>
      <c r="E3231" s="24">
        <f>IF($D3231="","",IFERROR(VLOOKUP($D3231,物料档案!$A$4:$P$1203,3,0),"※编码不在物料档案里"))</f>
        <v/>
      </c>
      <c r="F3231" s="24">
        <f>IF($D3231="","",IFERROR(VLOOKUP($D3231,物料档案!$A$4:$P$1203,4,0),"※编码不在物料档案里"))</f>
        <v/>
      </c>
      <c r="G3231" s="24">
        <f>IF($D3231="","",IFERROR(VLOOKUP($D3231,物料档案!$A$4:$P$1203,5,0),"※编码不在物料档案里"))</f>
        <v/>
      </c>
      <c r="H3231" s="24">
        <f>IF($D3231="","",IFERROR(VLOOKUP($D3231,物料档案!$A$4:$P$1203,2,0),"※编码不在物料档案里"))</f>
        <v/>
      </c>
      <c r="I3231" s="24">
        <f>IF($D3231="","",IFERROR(VLOOKUP($D3231,物料档案!$A$4:$P$1203,6,0),"※编码不在物料档案里"))</f>
        <v/>
      </c>
      <c r="J3231" s="23" t="n"/>
      <c r="K3231" s="17" t="n"/>
      <c r="L3231" s="17" t="n"/>
      <c r="M3231" s="17" t="n"/>
      <c r="N3231" s="17" t="n"/>
      <c r="O3231" s="26">
        <f>IF($D3231="","",IFERROR(VLOOKUP($D3231,物料档案!$A$4:$P$1203,10,0),0))</f>
        <v/>
      </c>
      <c r="P3231" s="32" t="n"/>
      <c r="Q3231" s="26">
        <f>IF($D3231="","",IF($K3231&lt;&gt;"对外销售",0,ROUND(N($J3231)*IF($P3231="",N($O3231),N($P3231)),0)))</f>
        <v/>
      </c>
      <c r="R3231" s="26">
        <f>IF($D3231="","",IFERROR(VLOOKUP($D3231,库存台账!$A$5:$Y$1204,11,0),0))</f>
        <v/>
      </c>
      <c r="S3231" s="26">
        <f>IF($D3231="","",ROUND(N($J3231)*N($R3231),0))</f>
        <v/>
      </c>
      <c r="T3231" s="26">
        <f>IF($D3231="","",IF($K3231&lt;&gt;"对外销售","",ROUND($Q3231-$S3231,0)))</f>
        <v/>
      </c>
      <c r="U3231" s="17" t="n"/>
      <c r="V3231" s="17" t="n"/>
      <c r="W3231" s="24">
        <f>IF($D3231="","",IF($E3231="※编码不在物料档案里","※物料编码不在档案里",IF(N($J3231)&lt;=0,"※出库数量要大于 0",IF($K3231="","※没填去向类型",IF($L3231="","※没填去向矿区",IF(AND($C3231&lt;&gt;"",$C3231&lt;=结账锁),"※日期早于已结账截止日，不能再录",IF(AND($K3231="自用消耗",COUNTIF({"一矿区";"二矿区"},$L3231)=0),"※自用消耗的去向只能是一矿区或二矿区",IF(AND($K3231="对外销售",COUNTIF({"三矿区";"六矿区"},$L3231)=0),"※对外销售的去向只能是三矿区或六矿区",IF(AND($K3231="对外销售",ROUND($Q3231,0)=0),"※外销却没有售价，请填实际售价",IF(AND($K3231="对外销售",$T3231&lt;&gt;"",$T3231&lt;0),"※这一笔外销是亏的，请核对售价",IF(IFERROR(VLOOKUP($D3231,库存台账!$A$5:$Y$1204,24,0),0)&lt;-0.001,"※这个物料账面已经变成负数了，查一下是不是漏记入库","")))))))))))</f>
        <v/>
      </c>
    </row>
    <row r="3232">
      <c r="A3232" s="24">
        <f>IF($D3232="","",COUNTA($D$4:$D3232))</f>
        <v/>
      </c>
      <c r="B3232" s="17" t="n"/>
      <c r="C3232" s="30" t="n"/>
      <c r="D3232" s="17" t="n"/>
      <c r="E3232" s="24">
        <f>IF($D3232="","",IFERROR(VLOOKUP($D3232,物料档案!$A$4:$P$1203,3,0),"※编码不在物料档案里"))</f>
        <v/>
      </c>
      <c r="F3232" s="24">
        <f>IF($D3232="","",IFERROR(VLOOKUP($D3232,物料档案!$A$4:$P$1203,4,0),"※编码不在物料档案里"))</f>
        <v/>
      </c>
      <c r="G3232" s="24">
        <f>IF($D3232="","",IFERROR(VLOOKUP($D3232,物料档案!$A$4:$P$1203,5,0),"※编码不在物料档案里"))</f>
        <v/>
      </c>
      <c r="H3232" s="24">
        <f>IF($D3232="","",IFERROR(VLOOKUP($D3232,物料档案!$A$4:$P$1203,2,0),"※编码不在物料档案里"))</f>
        <v/>
      </c>
      <c r="I3232" s="24">
        <f>IF($D3232="","",IFERROR(VLOOKUP($D3232,物料档案!$A$4:$P$1203,6,0),"※编码不在物料档案里"))</f>
        <v/>
      </c>
      <c r="J3232" s="23" t="n"/>
      <c r="K3232" s="17" t="n"/>
      <c r="L3232" s="17" t="n"/>
      <c r="M3232" s="17" t="n"/>
      <c r="N3232" s="17" t="n"/>
      <c r="O3232" s="26">
        <f>IF($D3232="","",IFERROR(VLOOKUP($D3232,物料档案!$A$4:$P$1203,10,0),0))</f>
        <v/>
      </c>
      <c r="P3232" s="32" t="n"/>
      <c r="Q3232" s="26">
        <f>IF($D3232="","",IF($K3232&lt;&gt;"对外销售",0,ROUND(N($J3232)*IF($P3232="",N($O3232),N($P3232)),0)))</f>
        <v/>
      </c>
      <c r="R3232" s="26">
        <f>IF($D3232="","",IFERROR(VLOOKUP($D3232,库存台账!$A$5:$Y$1204,11,0),0))</f>
        <v/>
      </c>
      <c r="S3232" s="26">
        <f>IF($D3232="","",ROUND(N($J3232)*N($R3232),0))</f>
        <v/>
      </c>
      <c r="T3232" s="26">
        <f>IF($D3232="","",IF($K3232&lt;&gt;"对外销售","",ROUND($Q3232-$S3232,0)))</f>
        <v/>
      </c>
      <c r="U3232" s="17" t="n"/>
      <c r="V3232" s="17" t="n"/>
      <c r="W3232" s="24">
        <f>IF($D3232="","",IF($E3232="※编码不在物料档案里","※物料编码不在档案里",IF(N($J3232)&lt;=0,"※出库数量要大于 0",IF($K3232="","※没填去向类型",IF($L3232="","※没填去向矿区",IF(AND($C3232&lt;&gt;"",$C3232&lt;=结账锁),"※日期早于已结账截止日，不能再录",IF(AND($K3232="自用消耗",COUNTIF({"一矿区";"二矿区"},$L3232)=0),"※自用消耗的去向只能是一矿区或二矿区",IF(AND($K3232="对外销售",COUNTIF({"三矿区";"六矿区"},$L3232)=0),"※对外销售的去向只能是三矿区或六矿区",IF(AND($K3232="对外销售",ROUND($Q3232,0)=0),"※外销却没有售价，请填实际售价",IF(AND($K3232="对外销售",$T3232&lt;&gt;"",$T3232&lt;0),"※这一笔外销是亏的，请核对售价",IF(IFERROR(VLOOKUP($D3232,库存台账!$A$5:$Y$1204,24,0),0)&lt;-0.001,"※这个物料账面已经变成负数了，查一下是不是漏记入库","")))))))))))</f>
        <v/>
      </c>
    </row>
    <row r="3233">
      <c r="A3233" s="24">
        <f>IF($D3233="","",COUNTA($D$4:$D3233))</f>
        <v/>
      </c>
      <c r="B3233" s="17" t="n"/>
      <c r="C3233" s="30" t="n"/>
      <c r="D3233" s="17" t="n"/>
      <c r="E3233" s="24">
        <f>IF($D3233="","",IFERROR(VLOOKUP($D3233,物料档案!$A$4:$P$1203,3,0),"※编码不在物料档案里"))</f>
        <v/>
      </c>
      <c r="F3233" s="24">
        <f>IF($D3233="","",IFERROR(VLOOKUP($D3233,物料档案!$A$4:$P$1203,4,0),"※编码不在物料档案里"))</f>
        <v/>
      </c>
      <c r="G3233" s="24">
        <f>IF($D3233="","",IFERROR(VLOOKUP($D3233,物料档案!$A$4:$P$1203,5,0),"※编码不在物料档案里"))</f>
        <v/>
      </c>
      <c r="H3233" s="24">
        <f>IF($D3233="","",IFERROR(VLOOKUP($D3233,物料档案!$A$4:$P$1203,2,0),"※编码不在物料档案里"))</f>
        <v/>
      </c>
      <c r="I3233" s="24">
        <f>IF($D3233="","",IFERROR(VLOOKUP($D3233,物料档案!$A$4:$P$1203,6,0),"※编码不在物料档案里"))</f>
        <v/>
      </c>
      <c r="J3233" s="23" t="n"/>
      <c r="K3233" s="17" t="n"/>
      <c r="L3233" s="17" t="n"/>
      <c r="M3233" s="17" t="n"/>
      <c r="N3233" s="17" t="n"/>
      <c r="O3233" s="26">
        <f>IF($D3233="","",IFERROR(VLOOKUP($D3233,物料档案!$A$4:$P$1203,10,0),0))</f>
        <v/>
      </c>
      <c r="P3233" s="32" t="n"/>
      <c r="Q3233" s="26">
        <f>IF($D3233="","",IF($K3233&lt;&gt;"对外销售",0,ROUND(N($J3233)*IF($P3233="",N($O3233),N($P3233)),0)))</f>
        <v/>
      </c>
      <c r="R3233" s="26">
        <f>IF($D3233="","",IFERROR(VLOOKUP($D3233,库存台账!$A$5:$Y$1204,11,0),0))</f>
        <v/>
      </c>
      <c r="S3233" s="26">
        <f>IF($D3233="","",ROUND(N($J3233)*N($R3233),0))</f>
        <v/>
      </c>
      <c r="T3233" s="26">
        <f>IF($D3233="","",IF($K3233&lt;&gt;"对外销售","",ROUND($Q3233-$S3233,0)))</f>
        <v/>
      </c>
      <c r="U3233" s="17" t="n"/>
      <c r="V3233" s="17" t="n"/>
      <c r="W3233" s="24">
        <f>IF($D3233="","",IF($E3233="※编码不在物料档案里","※物料编码不在档案里",IF(N($J3233)&lt;=0,"※出库数量要大于 0",IF($K3233="","※没填去向类型",IF($L3233="","※没填去向矿区",IF(AND($C3233&lt;&gt;"",$C3233&lt;=结账锁),"※日期早于已结账截止日，不能再录",IF(AND($K3233="自用消耗",COUNTIF({"一矿区";"二矿区"},$L3233)=0),"※自用消耗的去向只能是一矿区或二矿区",IF(AND($K3233="对外销售",COUNTIF({"三矿区";"六矿区"},$L3233)=0),"※对外销售的去向只能是三矿区或六矿区",IF(AND($K3233="对外销售",ROUND($Q3233,0)=0),"※外销却没有售价，请填实际售价",IF(AND($K3233="对外销售",$T3233&lt;&gt;"",$T3233&lt;0),"※这一笔外销是亏的，请核对售价",IF(IFERROR(VLOOKUP($D3233,库存台账!$A$5:$Y$1204,24,0),0)&lt;-0.001,"※这个物料账面已经变成负数了，查一下是不是漏记入库","")))))))))))</f>
        <v/>
      </c>
    </row>
    <row r="3234">
      <c r="A3234" s="24">
        <f>IF($D3234="","",COUNTA($D$4:$D3234))</f>
        <v/>
      </c>
      <c r="B3234" s="17" t="n"/>
      <c r="C3234" s="30" t="n"/>
      <c r="D3234" s="17" t="n"/>
      <c r="E3234" s="24">
        <f>IF($D3234="","",IFERROR(VLOOKUP($D3234,物料档案!$A$4:$P$1203,3,0),"※编码不在物料档案里"))</f>
        <v/>
      </c>
      <c r="F3234" s="24">
        <f>IF($D3234="","",IFERROR(VLOOKUP($D3234,物料档案!$A$4:$P$1203,4,0),"※编码不在物料档案里"))</f>
        <v/>
      </c>
      <c r="G3234" s="24">
        <f>IF($D3234="","",IFERROR(VLOOKUP($D3234,物料档案!$A$4:$P$1203,5,0),"※编码不在物料档案里"))</f>
        <v/>
      </c>
      <c r="H3234" s="24">
        <f>IF($D3234="","",IFERROR(VLOOKUP($D3234,物料档案!$A$4:$P$1203,2,0),"※编码不在物料档案里"))</f>
        <v/>
      </c>
      <c r="I3234" s="24">
        <f>IF($D3234="","",IFERROR(VLOOKUP($D3234,物料档案!$A$4:$P$1203,6,0),"※编码不在物料档案里"))</f>
        <v/>
      </c>
      <c r="J3234" s="23" t="n"/>
      <c r="K3234" s="17" t="n"/>
      <c r="L3234" s="17" t="n"/>
      <c r="M3234" s="17" t="n"/>
      <c r="N3234" s="17" t="n"/>
      <c r="O3234" s="26">
        <f>IF($D3234="","",IFERROR(VLOOKUP($D3234,物料档案!$A$4:$P$1203,10,0),0))</f>
        <v/>
      </c>
      <c r="P3234" s="32" t="n"/>
      <c r="Q3234" s="26">
        <f>IF($D3234="","",IF($K3234&lt;&gt;"对外销售",0,ROUND(N($J3234)*IF($P3234="",N($O3234),N($P3234)),0)))</f>
        <v/>
      </c>
      <c r="R3234" s="26">
        <f>IF($D3234="","",IFERROR(VLOOKUP($D3234,库存台账!$A$5:$Y$1204,11,0),0))</f>
        <v/>
      </c>
      <c r="S3234" s="26">
        <f>IF($D3234="","",ROUND(N($J3234)*N($R3234),0))</f>
        <v/>
      </c>
      <c r="T3234" s="26">
        <f>IF($D3234="","",IF($K3234&lt;&gt;"对外销售","",ROUND($Q3234-$S3234,0)))</f>
        <v/>
      </c>
      <c r="U3234" s="17" t="n"/>
      <c r="V3234" s="17" t="n"/>
      <c r="W3234" s="24">
        <f>IF($D3234="","",IF($E3234="※编码不在物料档案里","※物料编码不在档案里",IF(N($J3234)&lt;=0,"※出库数量要大于 0",IF($K3234="","※没填去向类型",IF($L3234="","※没填去向矿区",IF(AND($C3234&lt;&gt;"",$C3234&lt;=结账锁),"※日期早于已结账截止日，不能再录",IF(AND($K3234="自用消耗",COUNTIF({"一矿区";"二矿区"},$L3234)=0),"※自用消耗的去向只能是一矿区或二矿区",IF(AND($K3234="对外销售",COUNTIF({"三矿区";"六矿区"},$L3234)=0),"※对外销售的去向只能是三矿区或六矿区",IF(AND($K3234="对外销售",ROUND($Q3234,0)=0),"※外销却没有售价，请填实际售价",IF(AND($K3234="对外销售",$T3234&lt;&gt;"",$T3234&lt;0),"※这一笔外销是亏的，请核对售价",IF(IFERROR(VLOOKUP($D3234,库存台账!$A$5:$Y$1204,24,0),0)&lt;-0.001,"※这个物料账面已经变成负数了，查一下是不是漏记入库","")))))))))))</f>
        <v/>
      </c>
    </row>
    <row r="3235">
      <c r="A3235" s="24">
        <f>IF($D3235="","",COUNTA($D$4:$D3235))</f>
        <v/>
      </c>
      <c r="B3235" s="17" t="n"/>
      <c r="C3235" s="30" t="n"/>
      <c r="D3235" s="17" t="n"/>
      <c r="E3235" s="24">
        <f>IF($D3235="","",IFERROR(VLOOKUP($D3235,物料档案!$A$4:$P$1203,3,0),"※编码不在物料档案里"))</f>
        <v/>
      </c>
      <c r="F3235" s="24">
        <f>IF($D3235="","",IFERROR(VLOOKUP($D3235,物料档案!$A$4:$P$1203,4,0),"※编码不在物料档案里"))</f>
        <v/>
      </c>
      <c r="G3235" s="24">
        <f>IF($D3235="","",IFERROR(VLOOKUP($D3235,物料档案!$A$4:$P$1203,5,0),"※编码不在物料档案里"))</f>
        <v/>
      </c>
      <c r="H3235" s="24">
        <f>IF($D3235="","",IFERROR(VLOOKUP($D3235,物料档案!$A$4:$P$1203,2,0),"※编码不在物料档案里"))</f>
        <v/>
      </c>
      <c r="I3235" s="24">
        <f>IF($D3235="","",IFERROR(VLOOKUP($D3235,物料档案!$A$4:$P$1203,6,0),"※编码不在物料档案里"))</f>
        <v/>
      </c>
      <c r="J3235" s="23" t="n"/>
      <c r="K3235" s="17" t="n"/>
      <c r="L3235" s="17" t="n"/>
      <c r="M3235" s="17" t="n"/>
      <c r="N3235" s="17" t="n"/>
      <c r="O3235" s="26">
        <f>IF($D3235="","",IFERROR(VLOOKUP($D3235,物料档案!$A$4:$P$1203,10,0),0))</f>
        <v/>
      </c>
      <c r="P3235" s="32" t="n"/>
      <c r="Q3235" s="26">
        <f>IF($D3235="","",IF($K3235&lt;&gt;"对外销售",0,ROUND(N($J3235)*IF($P3235="",N($O3235),N($P3235)),0)))</f>
        <v/>
      </c>
      <c r="R3235" s="26">
        <f>IF($D3235="","",IFERROR(VLOOKUP($D3235,库存台账!$A$5:$Y$1204,11,0),0))</f>
        <v/>
      </c>
      <c r="S3235" s="26">
        <f>IF($D3235="","",ROUND(N($J3235)*N($R3235),0))</f>
        <v/>
      </c>
      <c r="T3235" s="26">
        <f>IF($D3235="","",IF($K3235&lt;&gt;"对外销售","",ROUND($Q3235-$S3235,0)))</f>
        <v/>
      </c>
      <c r="U3235" s="17" t="n"/>
      <c r="V3235" s="17" t="n"/>
      <c r="W3235" s="24">
        <f>IF($D3235="","",IF($E3235="※编码不在物料档案里","※物料编码不在档案里",IF(N($J3235)&lt;=0,"※出库数量要大于 0",IF($K3235="","※没填去向类型",IF($L3235="","※没填去向矿区",IF(AND($C3235&lt;&gt;"",$C3235&lt;=结账锁),"※日期早于已结账截止日，不能再录",IF(AND($K3235="自用消耗",COUNTIF({"一矿区";"二矿区"},$L3235)=0),"※自用消耗的去向只能是一矿区或二矿区",IF(AND($K3235="对外销售",COUNTIF({"三矿区";"六矿区"},$L3235)=0),"※对外销售的去向只能是三矿区或六矿区",IF(AND($K3235="对外销售",ROUND($Q3235,0)=0),"※外销却没有售价，请填实际售价",IF(AND($K3235="对外销售",$T3235&lt;&gt;"",$T3235&lt;0),"※这一笔外销是亏的，请核对售价",IF(IFERROR(VLOOKUP($D3235,库存台账!$A$5:$Y$1204,24,0),0)&lt;-0.001,"※这个物料账面已经变成负数了，查一下是不是漏记入库","")))))))))))</f>
        <v/>
      </c>
    </row>
    <row r="3236">
      <c r="A3236" s="24">
        <f>IF($D3236="","",COUNTA($D$4:$D3236))</f>
        <v/>
      </c>
      <c r="B3236" s="17" t="n"/>
      <c r="C3236" s="30" t="n"/>
      <c r="D3236" s="17" t="n"/>
      <c r="E3236" s="24">
        <f>IF($D3236="","",IFERROR(VLOOKUP($D3236,物料档案!$A$4:$P$1203,3,0),"※编码不在物料档案里"))</f>
        <v/>
      </c>
      <c r="F3236" s="24">
        <f>IF($D3236="","",IFERROR(VLOOKUP($D3236,物料档案!$A$4:$P$1203,4,0),"※编码不在物料档案里"))</f>
        <v/>
      </c>
      <c r="G3236" s="24">
        <f>IF($D3236="","",IFERROR(VLOOKUP($D3236,物料档案!$A$4:$P$1203,5,0),"※编码不在物料档案里"))</f>
        <v/>
      </c>
      <c r="H3236" s="24">
        <f>IF($D3236="","",IFERROR(VLOOKUP($D3236,物料档案!$A$4:$P$1203,2,0),"※编码不在物料档案里"))</f>
        <v/>
      </c>
      <c r="I3236" s="24">
        <f>IF($D3236="","",IFERROR(VLOOKUP($D3236,物料档案!$A$4:$P$1203,6,0),"※编码不在物料档案里"))</f>
        <v/>
      </c>
      <c r="J3236" s="23" t="n"/>
      <c r="K3236" s="17" t="n"/>
      <c r="L3236" s="17" t="n"/>
      <c r="M3236" s="17" t="n"/>
      <c r="N3236" s="17" t="n"/>
      <c r="O3236" s="26">
        <f>IF($D3236="","",IFERROR(VLOOKUP($D3236,物料档案!$A$4:$P$1203,10,0),0))</f>
        <v/>
      </c>
      <c r="P3236" s="32" t="n"/>
      <c r="Q3236" s="26">
        <f>IF($D3236="","",IF($K3236&lt;&gt;"对外销售",0,ROUND(N($J3236)*IF($P3236="",N($O3236),N($P3236)),0)))</f>
        <v/>
      </c>
      <c r="R3236" s="26">
        <f>IF($D3236="","",IFERROR(VLOOKUP($D3236,库存台账!$A$5:$Y$1204,11,0),0))</f>
        <v/>
      </c>
      <c r="S3236" s="26">
        <f>IF($D3236="","",ROUND(N($J3236)*N($R3236),0))</f>
        <v/>
      </c>
      <c r="T3236" s="26">
        <f>IF($D3236="","",IF($K3236&lt;&gt;"对外销售","",ROUND($Q3236-$S3236,0)))</f>
        <v/>
      </c>
      <c r="U3236" s="17" t="n"/>
      <c r="V3236" s="17" t="n"/>
      <c r="W3236" s="24">
        <f>IF($D3236="","",IF($E3236="※编码不在物料档案里","※物料编码不在档案里",IF(N($J3236)&lt;=0,"※出库数量要大于 0",IF($K3236="","※没填去向类型",IF($L3236="","※没填去向矿区",IF(AND($C3236&lt;&gt;"",$C3236&lt;=结账锁),"※日期早于已结账截止日，不能再录",IF(AND($K3236="自用消耗",COUNTIF({"一矿区";"二矿区"},$L3236)=0),"※自用消耗的去向只能是一矿区或二矿区",IF(AND($K3236="对外销售",COUNTIF({"三矿区";"六矿区"},$L3236)=0),"※对外销售的去向只能是三矿区或六矿区",IF(AND($K3236="对外销售",ROUND($Q3236,0)=0),"※外销却没有售价，请填实际售价",IF(AND($K3236="对外销售",$T3236&lt;&gt;"",$T3236&lt;0),"※这一笔外销是亏的，请核对售价",IF(IFERROR(VLOOKUP($D3236,库存台账!$A$5:$Y$1204,24,0),0)&lt;-0.001,"※这个物料账面已经变成负数了，查一下是不是漏记入库","")))))))))))</f>
        <v/>
      </c>
    </row>
    <row r="3237">
      <c r="A3237" s="24">
        <f>IF($D3237="","",COUNTA($D$4:$D3237))</f>
        <v/>
      </c>
      <c r="B3237" s="17" t="n"/>
      <c r="C3237" s="30" t="n"/>
      <c r="D3237" s="17" t="n"/>
      <c r="E3237" s="24">
        <f>IF($D3237="","",IFERROR(VLOOKUP($D3237,物料档案!$A$4:$P$1203,3,0),"※编码不在物料档案里"))</f>
        <v/>
      </c>
      <c r="F3237" s="24">
        <f>IF($D3237="","",IFERROR(VLOOKUP($D3237,物料档案!$A$4:$P$1203,4,0),"※编码不在物料档案里"))</f>
        <v/>
      </c>
      <c r="G3237" s="24">
        <f>IF($D3237="","",IFERROR(VLOOKUP($D3237,物料档案!$A$4:$P$1203,5,0),"※编码不在物料档案里"))</f>
        <v/>
      </c>
      <c r="H3237" s="24">
        <f>IF($D3237="","",IFERROR(VLOOKUP($D3237,物料档案!$A$4:$P$1203,2,0),"※编码不在物料档案里"))</f>
        <v/>
      </c>
      <c r="I3237" s="24">
        <f>IF($D3237="","",IFERROR(VLOOKUP($D3237,物料档案!$A$4:$P$1203,6,0),"※编码不在物料档案里"))</f>
        <v/>
      </c>
      <c r="J3237" s="23" t="n"/>
      <c r="K3237" s="17" t="n"/>
      <c r="L3237" s="17" t="n"/>
      <c r="M3237" s="17" t="n"/>
      <c r="N3237" s="17" t="n"/>
      <c r="O3237" s="26">
        <f>IF($D3237="","",IFERROR(VLOOKUP($D3237,物料档案!$A$4:$P$1203,10,0),0))</f>
        <v/>
      </c>
      <c r="P3237" s="32" t="n"/>
      <c r="Q3237" s="26">
        <f>IF($D3237="","",IF($K3237&lt;&gt;"对外销售",0,ROUND(N($J3237)*IF($P3237="",N($O3237),N($P3237)),0)))</f>
        <v/>
      </c>
      <c r="R3237" s="26">
        <f>IF($D3237="","",IFERROR(VLOOKUP($D3237,库存台账!$A$5:$Y$1204,11,0),0))</f>
        <v/>
      </c>
      <c r="S3237" s="26">
        <f>IF($D3237="","",ROUND(N($J3237)*N($R3237),0))</f>
        <v/>
      </c>
      <c r="T3237" s="26">
        <f>IF($D3237="","",IF($K3237&lt;&gt;"对外销售","",ROUND($Q3237-$S3237,0)))</f>
        <v/>
      </c>
      <c r="U3237" s="17" t="n"/>
      <c r="V3237" s="17" t="n"/>
      <c r="W3237" s="24">
        <f>IF($D3237="","",IF($E3237="※编码不在物料档案里","※物料编码不在档案里",IF(N($J3237)&lt;=0,"※出库数量要大于 0",IF($K3237="","※没填去向类型",IF($L3237="","※没填去向矿区",IF(AND($C3237&lt;&gt;"",$C3237&lt;=结账锁),"※日期早于已结账截止日，不能再录",IF(AND($K3237="自用消耗",COUNTIF({"一矿区";"二矿区"},$L3237)=0),"※自用消耗的去向只能是一矿区或二矿区",IF(AND($K3237="对外销售",COUNTIF({"三矿区";"六矿区"},$L3237)=0),"※对外销售的去向只能是三矿区或六矿区",IF(AND($K3237="对外销售",ROUND($Q3237,0)=0),"※外销却没有售价，请填实际售价",IF(AND($K3237="对外销售",$T3237&lt;&gt;"",$T3237&lt;0),"※这一笔外销是亏的，请核对售价",IF(IFERROR(VLOOKUP($D3237,库存台账!$A$5:$Y$1204,24,0),0)&lt;-0.001,"※这个物料账面已经变成负数了，查一下是不是漏记入库","")))))))))))</f>
        <v/>
      </c>
    </row>
    <row r="3238">
      <c r="A3238" s="24">
        <f>IF($D3238="","",COUNTA($D$4:$D3238))</f>
        <v/>
      </c>
      <c r="B3238" s="17" t="n"/>
      <c r="C3238" s="30" t="n"/>
      <c r="D3238" s="17" t="n"/>
      <c r="E3238" s="24">
        <f>IF($D3238="","",IFERROR(VLOOKUP($D3238,物料档案!$A$4:$P$1203,3,0),"※编码不在物料档案里"))</f>
        <v/>
      </c>
      <c r="F3238" s="24">
        <f>IF($D3238="","",IFERROR(VLOOKUP($D3238,物料档案!$A$4:$P$1203,4,0),"※编码不在物料档案里"))</f>
        <v/>
      </c>
      <c r="G3238" s="24">
        <f>IF($D3238="","",IFERROR(VLOOKUP($D3238,物料档案!$A$4:$P$1203,5,0),"※编码不在物料档案里"))</f>
        <v/>
      </c>
      <c r="H3238" s="24">
        <f>IF($D3238="","",IFERROR(VLOOKUP($D3238,物料档案!$A$4:$P$1203,2,0),"※编码不在物料档案里"))</f>
        <v/>
      </c>
      <c r="I3238" s="24">
        <f>IF($D3238="","",IFERROR(VLOOKUP($D3238,物料档案!$A$4:$P$1203,6,0),"※编码不在物料档案里"))</f>
        <v/>
      </c>
      <c r="J3238" s="23" t="n"/>
      <c r="K3238" s="17" t="n"/>
      <c r="L3238" s="17" t="n"/>
      <c r="M3238" s="17" t="n"/>
      <c r="N3238" s="17" t="n"/>
      <c r="O3238" s="26">
        <f>IF($D3238="","",IFERROR(VLOOKUP($D3238,物料档案!$A$4:$P$1203,10,0),0))</f>
        <v/>
      </c>
      <c r="P3238" s="32" t="n"/>
      <c r="Q3238" s="26">
        <f>IF($D3238="","",IF($K3238&lt;&gt;"对外销售",0,ROUND(N($J3238)*IF($P3238="",N($O3238),N($P3238)),0)))</f>
        <v/>
      </c>
      <c r="R3238" s="26">
        <f>IF($D3238="","",IFERROR(VLOOKUP($D3238,库存台账!$A$5:$Y$1204,11,0),0))</f>
        <v/>
      </c>
      <c r="S3238" s="26">
        <f>IF($D3238="","",ROUND(N($J3238)*N($R3238),0))</f>
        <v/>
      </c>
      <c r="T3238" s="26">
        <f>IF($D3238="","",IF($K3238&lt;&gt;"对外销售","",ROUND($Q3238-$S3238,0)))</f>
        <v/>
      </c>
      <c r="U3238" s="17" t="n"/>
      <c r="V3238" s="17" t="n"/>
      <c r="W3238" s="24">
        <f>IF($D3238="","",IF($E3238="※编码不在物料档案里","※物料编码不在档案里",IF(N($J3238)&lt;=0,"※出库数量要大于 0",IF($K3238="","※没填去向类型",IF($L3238="","※没填去向矿区",IF(AND($C3238&lt;&gt;"",$C3238&lt;=结账锁),"※日期早于已结账截止日，不能再录",IF(AND($K3238="自用消耗",COUNTIF({"一矿区";"二矿区"},$L3238)=0),"※自用消耗的去向只能是一矿区或二矿区",IF(AND($K3238="对外销售",COUNTIF({"三矿区";"六矿区"},$L3238)=0),"※对外销售的去向只能是三矿区或六矿区",IF(AND($K3238="对外销售",ROUND($Q3238,0)=0),"※外销却没有售价，请填实际售价",IF(AND($K3238="对外销售",$T3238&lt;&gt;"",$T3238&lt;0),"※这一笔外销是亏的，请核对售价",IF(IFERROR(VLOOKUP($D3238,库存台账!$A$5:$Y$1204,24,0),0)&lt;-0.001,"※这个物料账面已经变成负数了，查一下是不是漏记入库","")))))))))))</f>
        <v/>
      </c>
    </row>
    <row r="3239">
      <c r="A3239" s="24">
        <f>IF($D3239="","",COUNTA($D$4:$D3239))</f>
        <v/>
      </c>
      <c r="B3239" s="17" t="n"/>
      <c r="C3239" s="30" t="n"/>
      <c r="D3239" s="17" t="n"/>
      <c r="E3239" s="24">
        <f>IF($D3239="","",IFERROR(VLOOKUP($D3239,物料档案!$A$4:$P$1203,3,0),"※编码不在物料档案里"))</f>
        <v/>
      </c>
      <c r="F3239" s="24">
        <f>IF($D3239="","",IFERROR(VLOOKUP($D3239,物料档案!$A$4:$P$1203,4,0),"※编码不在物料档案里"))</f>
        <v/>
      </c>
      <c r="G3239" s="24">
        <f>IF($D3239="","",IFERROR(VLOOKUP($D3239,物料档案!$A$4:$P$1203,5,0),"※编码不在物料档案里"))</f>
        <v/>
      </c>
      <c r="H3239" s="24">
        <f>IF($D3239="","",IFERROR(VLOOKUP($D3239,物料档案!$A$4:$P$1203,2,0),"※编码不在物料档案里"))</f>
        <v/>
      </c>
      <c r="I3239" s="24">
        <f>IF($D3239="","",IFERROR(VLOOKUP($D3239,物料档案!$A$4:$P$1203,6,0),"※编码不在物料档案里"))</f>
        <v/>
      </c>
      <c r="J3239" s="23" t="n"/>
      <c r="K3239" s="17" t="n"/>
      <c r="L3239" s="17" t="n"/>
      <c r="M3239" s="17" t="n"/>
      <c r="N3239" s="17" t="n"/>
      <c r="O3239" s="26">
        <f>IF($D3239="","",IFERROR(VLOOKUP($D3239,物料档案!$A$4:$P$1203,10,0),0))</f>
        <v/>
      </c>
      <c r="P3239" s="32" t="n"/>
      <c r="Q3239" s="26">
        <f>IF($D3239="","",IF($K3239&lt;&gt;"对外销售",0,ROUND(N($J3239)*IF($P3239="",N($O3239),N($P3239)),0)))</f>
        <v/>
      </c>
      <c r="R3239" s="26">
        <f>IF($D3239="","",IFERROR(VLOOKUP($D3239,库存台账!$A$5:$Y$1204,11,0),0))</f>
        <v/>
      </c>
      <c r="S3239" s="26">
        <f>IF($D3239="","",ROUND(N($J3239)*N($R3239),0))</f>
        <v/>
      </c>
      <c r="T3239" s="26">
        <f>IF($D3239="","",IF($K3239&lt;&gt;"对外销售","",ROUND($Q3239-$S3239,0)))</f>
        <v/>
      </c>
      <c r="U3239" s="17" t="n"/>
      <c r="V3239" s="17" t="n"/>
      <c r="W3239" s="24">
        <f>IF($D3239="","",IF($E3239="※编码不在物料档案里","※物料编码不在档案里",IF(N($J3239)&lt;=0,"※出库数量要大于 0",IF($K3239="","※没填去向类型",IF($L3239="","※没填去向矿区",IF(AND($C3239&lt;&gt;"",$C3239&lt;=结账锁),"※日期早于已结账截止日，不能再录",IF(AND($K3239="自用消耗",COUNTIF({"一矿区";"二矿区"},$L3239)=0),"※自用消耗的去向只能是一矿区或二矿区",IF(AND($K3239="对外销售",COUNTIF({"三矿区";"六矿区"},$L3239)=0),"※对外销售的去向只能是三矿区或六矿区",IF(AND($K3239="对外销售",ROUND($Q3239,0)=0),"※外销却没有售价，请填实际售价",IF(AND($K3239="对外销售",$T3239&lt;&gt;"",$T3239&lt;0),"※这一笔外销是亏的，请核对售价",IF(IFERROR(VLOOKUP($D3239,库存台账!$A$5:$Y$1204,24,0),0)&lt;-0.001,"※这个物料账面已经变成负数了，查一下是不是漏记入库","")))))))))))</f>
        <v/>
      </c>
    </row>
    <row r="3240">
      <c r="A3240" s="24">
        <f>IF($D3240="","",COUNTA($D$4:$D3240))</f>
        <v/>
      </c>
      <c r="B3240" s="17" t="n"/>
      <c r="C3240" s="30" t="n"/>
      <c r="D3240" s="17" t="n"/>
      <c r="E3240" s="24">
        <f>IF($D3240="","",IFERROR(VLOOKUP($D3240,物料档案!$A$4:$P$1203,3,0),"※编码不在物料档案里"))</f>
        <v/>
      </c>
      <c r="F3240" s="24">
        <f>IF($D3240="","",IFERROR(VLOOKUP($D3240,物料档案!$A$4:$P$1203,4,0),"※编码不在物料档案里"))</f>
        <v/>
      </c>
      <c r="G3240" s="24">
        <f>IF($D3240="","",IFERROR(VLOOKUP($D3240,物料档案!$A$4:$P$1203,5,0),"※编码不在物料档案里"))</f>
        <v/>
      </c>
      <c r="H3240" s="24">
        <f>IF($D3240="","",IFERROR(VLOOKUP($D3240,物料档案!$A$4:$P$1203,2,0),"※编码不在物料档案里"))</f>
        <v/>
      </c>
      <c r="I3240" s="24">
        <f>IF($D3240="","",IFERROR(VLOOKUP($D3240,物料档案!$A$4:$P$1203,6,0),"※编码不在物料档案里"))</f>
        <v/>
      </c>
      <c r="J3240" s="23" t="n"/>
      <c r="K3240" s="17" t="n"/>
      <c r="L3240" s="17" t="n"/>
      <c r="M3240" s="17" t="n"/>
      <c r="N3240" s="17" t="n"/>
      <c r="O3240" s="26">
        <f>IF($D3240="","",IFERROR(VLOOKUP($D3240,物料档案!$A$4:$P$1203,10,0),0))</f>
        <v/>
      </c>
      <c r="P3240" s="32" t="n"/>
      <c r="Q3240" s="26">
        <f>IF($D3240="","",IF($K3240&lt;&gt;"对外销售",0,ROUND(N($J3240)*IF($P3240="",N($O3240),N($P3240)),0)))</f>
        <v/>
      </c>
      <c r="R3240" s="26">
        <f>IF($D3240="","",IFERROR(VLOOKUP($D3240,库存台账!$A$5:$Y$1204,11,0),0))</f>
        <v/>
      </c>
      <c r="S3240" s="26">
        <f>IF($D3240="","",ROUND(N($J3240)*N($R3240),0))</f>
        <v/>
      </c>
      <c r="T3240" s="26">
        <f>IF($D3240="","",IF($K3240&lt;&gt;"对外销售","",ROUND($Q3240-$S3240,0)))</f>
        <v/>
      </c>
      <c r="U3240" s="17" t="n"/>
      <c r="V3240" s="17" t="n"/>
      <c r="W3240" s="24">
        <f>IF($D3240="","",IF($E3240="※编码不在物料档案里","※物料编码不在档案里",IF(N($J3240)&lt;=0,"※出库数量要大于 0",IF($K3240="","※没填去向类型",IF($L3240="","※没填去向矿区",IF(AND($C3240&lt;&gt;"",$C3240&lt;=结账锁),"※日期早于已结账截止日，不能再录",IF(AND($K3240="自用消耗",COUNTIF({"一矿区";"二矿区"},$L3240)=0),"※自用消耗的去向只能是一矿区或二矿区",IF(AND($K3240="对外销售",COUNTIF({"三矿区";"六矿区"},$L3240)=0),"※对外销售的去向只能是三矿区或六矿区",IF(AND($K3240="对外销售",ROUND($Q3240,0)=0),"※外销却没有售价，请填实际售价",IF(AND($K3240="对外销售",$T3240&lt;&gt;"",$T3240&lt;0),"※这一笔外销是亏的，请核对售价",IF(IFERROR(VLOOKUP($D3240,库存台账!$A$5:$Y$1204,24,0),0)&lt;-0.001,"※这个物料账面已经变成负数了，查一下是不是漏记入库","")))))))))))</f>
        <v/>
      </c>
    </row>
    <row r="3241">
      <c r="A3241" s="24">
        <f>IF($D3241="","",COUNTA($D$4:$D3241))</f>
        <v/>
      </c>
      <c r="B3241" s="17" t="n"/>
      <c r="C3241" s="30" t="n"/>
      <c r="D3241" s="17" t="n"/>
      <c r="E3241" s="24">
        <f>IF($D3241="","",IFERROR(VLOOKUP($D3241,物料档案!$A$4:$P$1203,3,0),"※编码不在物料档案里"))</f>
        <v/>
      </c>
      <c r="F3241" s="24">
        <f>IF($D3241="","",IFERROR(VLOOKUP($D3241,物料档案!$A$4:$P$1203,4,0),"※编码不在物料档案里"))</f>
        <v/>
      </c>
      <c r="G3241" s="24">
        <f>IF($D3241="","",IFERROR(VLOOKUP($D3241,物料档案!$A$4:$P$1203,5,0),"※编码不在物料档案里"))</f>
        <v/>
      </c>
      <c r="H3241" s="24">
        <f>IF($D3241="","",IFERROR(VLOOKUP($D3241,物料档案!$A$4:$P$1203,2,0),"※编码不在物料档案里"))</f>
        <v/>
      </c>
      <c r="I3241" s="24">
        <f>IF($D3241="","",IFERROR(VLOOKUP($D3241,物料档案!$A$4:$P$1203,6,0),"※编码不在物料档案里"))</f>
        <v/>
      </c>
      <c r="J3241" s="23" t="n"/>
      <c r="K3241" s="17" t="n"/>
      <c r="L3241" s="17" t="n"/>
      <c r="M3241" s="17" t="n"/>
      <c r="N3241" s="17" t="n"/>
      <c r="O3241" s="26">
        <f>IF($D3241="","",IFERROR(VLOOKUP($D3241,物料档案!$A$4:$P$1203,10,0),0))</f>
        <v/>
      </c>
      <c r="P3241" s="32" t="n"/>
      <c r="Q3241" s="26">
        <f>IF($D3241="","",IF($K3241&lt;&gt;"对外销售",0,ROUND(N($J3241)*IF($P3241="",N($O3241),N($P3241)),0)))</f>
        <v/>
      </c>
      <c r="R3241" s="26">
        <f>IF($D3241="","",IFERROR(VLOOKUP($D3241,库存台账!$A$5:$Y$1204,11,0),0))</f>
        <v/>
      </c>
      <c r="S3241" s="26">
        <f>IF($D3241="","",ROUND(N($J3241)*N($R3241),0))</f>
        <v/>
      </c>
      <c r="T3241" s="26">
        <f>IF($D3241="","",IF($K3241&lt;&gt;"对外销售","",ROUND($Q3241-$S3241,0)))</f>
        <v/>
      </c>
      <c r="U3241" s="17" t="n"/>
      <c r="V3241" s="17" t="n"/>
      <c r="W3241" s="24">
        <f>IF($D3241="","",IF($E3241="※编码不在物料档案里","※物料编码不在档案里",IF(N($J3241)&lt;=0,"※出库数量要大于 0",IF($K3241="","※没填去向类型",IF($L3241="","※没填去向矿区",IF(AND($C3241&lt;&gt;"",$C3241&lt;=结账锁),"※日期早于已结账截止日，不能再录",IF(AND($K3241="自用消耗",COUNTIF({"一矿区";"二矿区"},$L3241)=0),"※自用消耗的去向只能是一矿区或二矿区",IF(AND($K3241="对外销售",COUNTIF({"三矿区";"六矿区"},$L3241)=0),"※对外销售的去向只能是三矿区或六矿区",IF(AND($K3241="对外销售",ROUND($Q3241,0)=0),"※外销却没有售价，请填实际售价",IF(AND($K3241="对外销售",$T3241&lt;&gt;"",$T3241&lt;0),"※这一笔外销是亏的，请核对售价",IF(IFERROR(VLOOKUP($D3241,库存台账!$A$5:$Y$1204,24,0),0)&lt;-0.001,"※这个物料账面已经变成负数了，查一下是不是漏记入库","")))))))))))</f>
        <v/>
      </c>
    </row>
    <row r="3242">
      <c r="A3242" s="24">
        <f>IF($D3242="","",COUNTA($D$4:$D3242))</f>
        <v/>
      </c>
      <c r="B3242" s="17" t="n"/>
      <c r="C3242" s="30" t="n"/>
      <c r="D3242" s="17" t="n"/>
      <c r="E3242" s="24">
        <f>IF($D3242="","",IFERROR(VLOOKUP($D3242,物料档案!$A$4:$P$1203,3,0),"※编码不在物料档案里"))</f>
        <v/>
      </c>
      <c r="F3242" s="24">
        <f>IF($D3242="","",IFERROR(VLOOKUP($D3242,物料档案!$A$4:$P$1203,4,0),"※编码不在物料档案里"))</f>
        <v/>
      </c>
      <c r="G3242" s="24">
        <f>IF($D3242="","",IFERROR(VLOOKUP($D3242,物料档案!$A$4:$P$1203,5,0),"※编码不在物料档案里"))</f>
        <v/>
      </c>
      <c r="H3242" s="24">
        <f>IF($D3242="","",IFERROR(VLOOKUP($D3242,物料档案!$A$4:$P$1203,2,0),"※编码不在物料档案里"))</f>
        <v/>
      </c>
      <c r="I3242" s="24">
        <f>IF($D3242="","",IFERROR(VLOOKUP($D3242,物料档案!$A$4:$P$1203,6,0),"※编码不在物料档案里"))</f>
        <v/>
      </c>
      <c r="J3242" s="23" t="n"/>
      <c r="K3242" s="17" t="n"/>
      <c r="L3242" s="17" t="n"/>
      <c r="M3242" s="17" t="n"/>
      <c r="N3242" s="17" t="n"/>
      <c r="O3242" s="26">
        <f>IF($D3242="","",IFERROR(VLOOKUP($D3242,物料档案!$A$4:$P$1203,10,0),0))</f>
        <v/>
      </c>
      <c r="P3242" s="32" t="n"/>
      <c r="Q3242" s="26">
        <f>IF($D3242="","",IF($K3242&lt;&gt;"对外销售",0,ROUND(N($J3242)*IF($P3242="",N($O3242),N($P3242)),0)))</f>
        <v/>
      </c>
      <c r="R3242" s="26">
        <f>IF($D3242="","",IFERROR(VLOOKUP($D3242,库存台账!$A$5:$Y$1204,11,0),0))</f>
        <v/>
      </c>
      <c r="S3242" s="26">
        <f>IF($D3242="","",ROUND(N($J3242)*N($R3242),0))</f>
        <v/>
      </c>
      <c r="T3242" s="26">
        <f>IF($D3242="","",IF($K3242&lt;&gt;"对外销售","",ROUND($Q3242-$S3242,0)))</f>
        <v/>
      </c>
      <c r="U3242" s="17" t="n"/>
      <c r="V3242" s="17" t="n"/>
      <c r="W3242" s="24">
        <f>IF($D3242="","",IF($E3242="※编码不在物料档案里","※物料编码不在档案里",IF(N($J3242)&lt;=0,"※出库数量要大于 0",IF($K3242="","※没填去向类型",IF($L3242="","※没填去向矿区",IF(AND($C3242&lt;&gt;"",$C3242&lt;=结账锁),"※日期早于已结账截止日，不能再录",IF(AND($K3242="自用消耗",COUNTIF({"一矿区";"二矿区"},$L3242)=0),"※自用消耗的去向只能是一矿区或二矿区",IF(AND($K3242="对外销售",COUNTIF({"三矿区";"六矿区"},$L3242)=0),"※对外销售的去向只能是三矿区或六矿区",IF(AND($K3242="对外销售",ROUND($Q3242,0)=0),"※外销却没有售价，请填实际售价",IF(AND($K3242="对外销售",$T3242&lt;&gt;"",$T3242&lt;0),"※这一笔外销是亏的，请核对售价",IF(IFERROR(VLOOKUP($D3242,库存台账!$A$5:$Y$1204,24,0),0)&lt;-0.001,"※这个物料账面已经变成负数了，查一下是不是漏记入库","")))))))))))</f>
        <v/>
      </c>
    </row>
    <row r="3243">
      <c r="A3243" s="24">
        <f>IF($D3243="","",COUNTA($D$4:$D3243))</f>
        <v/>
      </c>
      <c r="B3243" s="17" t="n"/>
      <c r="C3243" s="30" t="n"/>
      <c r="D3243" s="17" t="n"/>
      <c r="E3243" s="24">
        <f>IF($D3243="","",IFERROR(VLOOKUP($D3243,物料档案!$A$4:$P$1203,3,0),"※编码不在物料档案里"))</f>
        <v/>
      </c>
      <c r="F3243" s="24">
        <f>IF($D3243="","",IFERROR(VLOOKUP($D3243,物料档案!$A$4:$P$1203,4,0),"※编码不在物料档案里"))</f>
        <v/>
      </c>
      <c r="G3243" s="24">
        <f>IF($D3243="","",IFERROR(VLOOKUP($D3243,物料档案!$A$4:$P$1203,5,0),"※编码不在物料档案里"))</f>
        <v/>
      </c>
      <c r="H3243" s="24">
        <f>IF($D3243="","",IFERROR(VLOOKUP($D3243,物料档案!$A$4:$P$1203,2,0),"※编码不在物料档案里"))</f>
        <v/>
      </c>
      <c r="I3243" s="24">
        <f>IF($D3243="","",IFERROR(VLOOKUP($D3243,物料档案!$A$4:$P$1203,6,0),"※编码不在物料档案里"))</f>
        <v/>
      </c>
      <c r="J3243" s="23" t="n"/>
      <c r="K3243" s="17" t="n"/>
      <c r="L3243" s="17" t="n"/>
      <c r="M3243" s="17" t="n"/>
      <c r="N3243" s="17" t="n"/>
      <c r="O3243" s="26">
        <f>IF($D3243="","",IFERROR(VLOOKUP($D3243,物料档案!$A$4:$P$1203,10,0),0))</f>
        <v/>
      </c>
      <c r="P3243" s="32" t="n"/>
      <c r="Q3243" s="26">
        <f>IF($D3243="","",IF($K3243&lt;&gt;"对外销售",0,ROUND(N($J3243)*IF($P3243="",N($O3243),N($P3243)),0)))</f>
        <v/>
      </c>
      <c r="R3243" s="26">
        <f>IF($D3243="","",IFERROR(VLOOKUP($D3243,库存台账!$A$5:$Y$1204,11,0),0))</f>
        <v/>
      </c>
      <c r="S3243" s="26">
        <f>IF($D3243="","",ROUND(N($J3243)*N($R3243),0))</f>
        <v/>
      </c>
      <c r="T3243" s="26">
        <f>IF($D3243="","",IF($K3243&lt;&gt;"对外销售","",ROUND($Q3243-$S3243,0)))</f>
        <v/>
      </c>
      <c r="U3243" s="17" t="n"/>
      <c r="V3243" s="17" t="n"/>
      <c r="W3243" s="24">
        <f>IF($D3243="","",IF($E3243="※编码不在物料档案里","※物料编码不在档案里",IF(N($J3243)&lt;=0,"※出库数量要大于 0",IF($K3243="","※没填去向类型",IF($L3243="","※没填去向矿区",IF(AND($C3243&lt;&gt;"",$C3243&lt;=结账锁),"※日期早于已结账截止日，不能再录",IF(AND($K3243="自用消耗",COUNTIF({"一矿区";"二矿区"},$L3243)=0),"※自用消耗的去向只能是一矿区或二矿区",IF(AND($K3243="对外销售",COUNTIF({"三矿区";"六矿区"},$L3243)=0),"※对外销售的去向只能是三矿区或六矿区",IF(AND($K3243="对外销售",ROUND($Q3243,0)=0),"※外销却没有售价，请填实际售价",IF(AND($K3243="对外销售",$T3243&lt;&gt;"",$T3243&lt;0),"※这一笔外销是亏的，请核对售价",IF(IFERROR(VLOOKUP($D3243,库存台账!$A$5:$Y$1204,24,0),0)&lt;-0.001,"※这个物料账面已经变成负数了，查一下是不是漏记入库","")))))))))))</f>
        <v/>
      </c>
    </row>
    <row r="3244">
      <c r="A3244" s="24">
        <f>IF($D3244="","",COUNTA($D$4:$D3244))</f>
        <v/>
      </c>
      <c r="B3244" s="17" t="n"/>
      <c r="C3244" s="30" t="n"/>
      <c r="D3244" s="17" t="n"/>
      <c r="E3244" s="24">
        <f>IF($D3244="","",IFERROR(VLOOKUP($D3244,物料档案!$A$4:$P$1203,3,0),"※编码不在物料档案里"))</f>
        <v/>
      </c>
      <c r="F3244" s="24">
        <f>IF($D3244="","",IFERROR(VLOOKUP($D3244,物料档案!$A$4:$P$1203,4,0),"※编码不在物料档案里"))</f>
        <v/>
      </c>
      <c r="G3244" s="24">
        <f>IF($D3244="","",IFERROR(VLOOKUP($D3244,物料档案!$A$4:$P$1203,5,0),"※编码不在物料档案里"))</f>
        <v/>
      </c>
      <c r="H3244" s="24">
        <f>IF($D3244="","",IFERROR(VLOOKUP($D3244,物料档案!$A$4:$P$1203,2,0),"※编码不在物料档案里"))</f>
        <v/>
      </c>
      <c r="I3244" s="24">
        <f>IF($D3244="","",IFERROR(VLOOKUP($D3244,物料档案!$A$4:$P$1203,6,0),"※编码不在物料档案里"))</f>
        <v/>
      </c>
      <c r="J3244" s="23" t="n"/>
      <c r="K3244" s="17" t="n"/>
      <c r="L3244" s="17" t="n"/>
      <c r="M3244" s="17" t="n"/>
      <c r="N3244" s="17" t="n"/>
      <c r="O3244" s="26">
        <f>IF($D3244="","",IFERROR(VLOOKUP($D3244,物料档案!$A$4:$P$1203,10,0),0))</f>
        <v/>
      </c>
      <c r="P3244" s="32" t="n"/>
      <c r="Q3244" s="26">
        <f>IF($D3244="","",IF($K3244&lt;&gt;"对外销售",0,ROUND(N($J3244)*IF($P3244="",N($O3244),N($P3244)),0)))</f>
        <v/>
      </c>
      <c r="R3244" s="26">
        <f>IF($D3244="","",IFERROR(VLOOKUP($D3244,库存台账!$A$5:$Y$1204,11,0),0))</f>
        <v/>
      </c>
      <c r="S3244" s="26">
        <f>IF($D3244="","",ROUND(N($J3244)*N($R3244),0))</f>
        <v/>
      </c>
      <c r="T3244" s="26">
        <f>IF($D3244="","",IF($K3244&lt;&gt;"对外销售","",ROUND($Q3244-$S3244,0)))</f>
        <v/>
      </c>
      <c r="U3244" s="17" t="n"/>
      <c r="V3244" s="17" t="n"/>
      <c r="W3244" s="24">
        <f>IF($D3244="","",IF($E3244="※编码不在物料档案里","※物料编码不在档案里",IF(N($J3244)&lt;=0,"※出库数量要大于 0",IF($K3244="","※没填去向类型",IF($L3244="","※没填去向矿区",IF(AND($C3244&lt;&gt;"",$C3244&lt;=结账锁),"※日期早于已结账截止日，不能再录",IF(AND($K3244="自用消耗",COUNTIF({"一矿区";"二矿区"},$L3244)=0),"※自用消耗的去向只能是一矿区或二矿区",IF(AND($K3244="对外销售",COUNTIF({"三矿区";"六矿区"},$L3244)=0),"※对外销售的去向只能是三矿区或六矿区",IF(AND($K3244="对外销售",ROUND($Q3244,0)=0),"※外销却没有售价，请填实际售价",IF(AND($K3244="对外销售",$T3244&lt;&gt;"",$T3244&lt;0),"※这一笔外销是亏的，请核对售价",IF(IFERROR(VLOOKUP($D3244,库存台账!$A$5:$Y$1204,24,0),0)&lt;-0.001,"※这个物料账面已经变成负数了，查一下是不是漏记入库","")))))))))))</f>
        <v/>
      </c>
    </row>
    <row r="3245">
      <c r="A3245" s="24">
        <f>IF($D3245="","",COUNTA($D$4:$D3245))</f>
        <v/>
      </c>
      <c r="B3245" s="17" t="n"/>
      <c r="C3245" s="30" t="n"/>
      <c r="D3245" s="17" t="n"/>
      <c r="E3245" s="24">
        <f>IF($D3245="","",IFERROR(VLOOKUP($D3245,物料档案!$A$4:$P$1203,3,0),"※编码不在物料档案里"))</f>
        <v/>
      </c>
      <c r="F3245" s="24">
        <f>IF($D3245="","",IFERROR(VLOOKUP($D3245,物料档案!$A$4:$P$1203,4,0),"※编码不在物料档案里"))</f>
        <v/>
      </c>
      <c r="G3245" s="24">
        <f>IF($D3245="","",IFERROR(VLOOKUP($D3245,物料档案!$A$4:$P$1203,5,0),"※编码不在物料档案里"))</f>
        <v/>
      </c>
      <c r="H3245" s="24">
        <f>IF($D3245="","",IFERROR(VLOOKUP($D3245,物料档案!$A$4:$P$1203,2,0),"※编码不在物料档案里"))</f>
        <v/>
      </c>
      <c r="I3245" s="24">
        <f>IF($D3245="","",IFERROR(VLOOKUP($D3245,物料档案!$A$4:$P$1203,6,0),"※编码不在物料档案里"))</f>
        <v/>
      </c>
      <c r="J3245" s="23" t="n"/>
      <c r="K3245" s="17" t="n"/>
      <c r="L3245" s="17" t="n"/>
      <c r="M3245" s="17" t="n"/>
      <c r="N3245" s="17" t="n"/>
      <c r="O3245" s="26">
        <f>IF($D3245="","",IFERROR(VLOOKUP($D3245,物料档案!$A$4:$P$1203,10,0),0))</f>
        <v/>
      </c>
      <c r="P3245" s="32" t="n"/>
      <c r="Q3245" s="26">
        <f>IF($D3245="","",IF($K3245&lt;&gt;"对外销售",0,ROUND(N($J3245)*IF($P3245="",N($O3245),N($P3245)),0)))</f>
        <v/>
      </c>
      <c r="R3245" s="26">
        <f>IF($D3245="","",IFERROR(VLOOKUP($D3245,库存台账!$A$5:$Y$1204,11,0),0))</f>
        <v/>
      </c>
      <c r="S3245" s="26">
        <f>IF($D3245="","",ROUND(N($J3245)*N($R3245),0))</f>
        <v/>
      </c>
      <c r="T3245" s="26">
        <f>IF($D3245="","",IF($K3245&lt;&gt;"对外销售","",ROUND($Q3245-$S3245,0)))</f>
        <v/>
      </c>
      <c r="U3245" s="17" t="n"/>
      <c r="V3245" s="17" t="n"/>
      <c r="W3245" s="24">
        <f>IF($D3245="","",IF($E3245="※编码不在物料档案里","※物料编码不在档案里",IF(N($J3245)&lt;=0,"※出库数量要大于 0",IF($K3245="","※没填去向类型",IF($L3245="","※没填去向矿区",IF(AND($C3245&lt;&gt;"",$C3245&lt;=结账锁),"※日期早于已结账截止日，不能再录",IF(AND($K3245="自用消耗",COUNTIF({"一矿区";"二矿区"},$L3245)=0),"※自用消耗的去向只能是一矿区或二矿区",IF(AND($K3245="对外销售",COUNTIF({"三矿区";"六矿区"},$L3245)=0),"※对外销售的去向只能是三矿区或六矿区",IF(AND($K3245="对外销售",ROUND($Q3245,0)=0),"※外销却没有售价，请填实际售价",IF(AND($K3245="对外销售",$T3245&lt;&gt;"",$T3245&lt;0),"※这一笔外销是亏的，请核对售价",IF(IFERROR(VLOOKUP($D3245,库存台账!$A$5:$Y$1204,24,0),0)&lt;-0.001,"※这个物料账面已经变成负数了，查一下是不是漏记入库","")))))))))))</f>
        <v/>
      </c>
    </row>
    <row r="3246">
      <c r="A3246" s="24">
        <f>IF($D3246="","",COUNTA($D$4:$D3246))</f>
        <v/>
      </c>
      <c r="B3246" s="17" t="n"/>
      <c r="C3246" s="30" t="n"/>
      <c r="D3246" s="17" t="n"/>
      <c r="E3246" s="24">
        <f>IF($D3246="","",IFERROR(VLOOKUP($D3246,物料档案!$A$4:$P$1203,3,0),"※编码不在物料档案里"))</f>
        <v/>
      </c>
      <c r="F3246" s="24">
        <f>IF($D3246="","",IFERROR(VLOOKUP($D3246,物料档案!$A$4:$P$1203,4,0),"※编码不在物料档案里"))</f>
        <v/>
      </c>
      <c r="G3246" s="24">
        <f>IF($D3246="","",IFERROR(VLOOKUP($D3246,物料档案!$A$4:$P$1203,5,0),"※编码不在物料档案里"))</f>
        <v/>
      </c>
      <c r="H3246" s="24">
        <f>IF($D3246="","",IFERROR(VLOOKUP($D3246,物料档案!$A$4:$P$1203,2,0),"※编码不在物料档案里"))</f>
        <v/>
      </c>
      <c r="I3246" s="24">
        <f>IF($D3246="","",IFERROR(VLOOKUP($D3246,物料档案!$A$4:$P$1203,6,0),"※编码不在物料档案里"))</f>
        <v/>
      </c>
      <c r="J3246" s="23" t="n"/>
      <c r="K3246" s="17" t="n"/>
      <c r="L3246" s="17" t="n"/>
      <c r="M3246" s="17" t="n"/>
      <c r="N3246" s="17" t="n"/>
      <c r="O3246" s="26">
        <f>IF($D3246="","",IFERROR(VLOOKUP($D3246,物料档案!$A$4:$P$1203,10,0),0))</f>
        <v/>
      </c>
      <c r="P3246" s="32" t="n"/>
      <c r="Q3246" s="26">
        <f>IF($D3246="","",IF($K3246&lt;&gt;"对外销售",0,ROUND(N($J3246)*IF($P3246="",N($O3246),N($P3246)),0)))</f>
        <v/>
      </c>
      <c r="R3246" s="26">
        <f>IF($D3246="","",IFERROR(VLOOKUP($D3246,库存台账!$A$5:$Y$1204,11,0),0))</f>
        <v/>
      </c>
      <c r="S3246" s="26">
        <f>IF($D3246="","",ROUND(N($J3246)*N($R3246),0))</f>
        <v/>
      </c>
      <c r="T3246" s="26">
        <f>IF($D3246="","",IF($K3246&lt;&gt;"对外销售","",ROUND($Q3246-$S3246,0)))</f>
        <v/>
      </c>
      <c r="U3246" s="17" t="n"/>
      <c r="V3246" s="17" t="n"/>
      <c r="W3246" s="24">
        <f>IF($D3246="","",IF($E3246="※编码不在物料档案里","※物料编码不在档案里",IF(N($J3246)&lt;=0,"※出库数量要大于 0",IF($K3246="","※没填去向类型",IF($L3246="","※没填去向矿区",IF(AND($C3246&lt;&gt;"",$C3246&lt;=结账锁),"※日期早于已结账截止日，不能再录",IF(AND($K3246="自用消耗",COUNTIF({"一矿区";"二矿区"},$L3246)=0),"※自用消耗的去向只能是一矿区或二矿区",IF(AND($K3246="对外销售",COUNTIF({"三矿区";"六矿区"},$L3246)=0),"※对外销售的去向只能是三矿区或六矿区",IF(AND($K3246="对外销售",ROUND($Q3246,0)=0),"※外销却没有售价，请填实际售价",IF(AND($K3246="对外销售",$T3246&lt;&gt;"",$T3246&lt;0),"※这一笔外销是亏的，请核对售价",IF(IFERROR(VLOOKUP($D3246,库存台账!$A$5:$Y$1204,24,0),0)&lt;-0.001,"※这个物料账面已经变成负数了，查一下是不是漏记入库","")))))))))))</f>
        <v/>
      </c>
    </row>
    <row r="3247">
      <c r="A3247" s="24">
        <f>IF($D3247="","",COUNTA($D$4:$D3247))</f>
        <v/>
      </c>
      <c r="B3247" s="17" t="n"/>
      <c r="C3247" s="30" t="n"/>
      <c r="D3247" s="17" t="n"/>
      <c r="E3247" s="24">
        <f>IF($D3247="","",IFERROR(VLOOKUP($D3247,物料档案!$A$4:$P$1203,3,0),"※编码不在物料档案里"))</f>
        <v/>
      </c>
      <c r="F3247" s="24">
        <f>IF($D3247="","",IFERROR(VLOOKUP($D3247,物料档案!$A$4:$P$1203,4,0),"※编码不在物料档案里"))</f>
        <v/>
      </c>
      <c r="G3247" s="24">
        <f>IF($D3247="","",IFERROR(VLOOKUP($D3247,物料档案!$A$4:$P$1203,5,0),"※编码不在物料档案里"))</f>
        <v/>
      </c>
      <c r="H3247" s="24">
        <f>IF($D3247="","",IFERROR(VLOOKUP($D3247,物料档案!$A$4:$P$1203,2,0),"※编码不在物料档案里"))</f>
        <v/>
      </c>
      <c r="I3247" s="24">
        <f>IF($D3247="","",IFERROR(VLOOKUP($D3247,物料档案!$A$4:$P$1203,6,0),"※编码不在物料档案里"))</f>
        <v/>
      </c>
      <c r="J3247" s="23" t="n"/>
      <c r="K3247" s="17" t="n"/>
      <c r="L3247" s="17" t="n"/>
      <c r="M3247" s="17" t="n"/>
      <c r="N3247" s="17" t="n"/>
      <c r="O3247" s="26">
        <f>IF($D3247="","",IFERROR(VLOOKUP($D3247,物料档案!$A$4:$P$1203,10,0),0))</f>
        <v/>
      </c>
      <c r="P3247" s="32" t="n"/>
      <c r="Q3247" s="26">
        <f>IF($D3247="","",IF($K3247&lt;&gt;"对外销售",0,ROUND(N($J3247)*IF($P3247="",N($O3247),N($P3247)),0)))</f>
        <v/>
      </c>
      <c r="R3247" s="26">
        <f>IF($D3247="","",IFERROR(VLOOKUP($D3247,库存台账!$A$5:$Y$1204,11,0),0))</f>
        <v/>
      </c>
      <c r="S3247" s="26">
        <f>IF($D3247="","",ROUND(N($J3247)*N($R3247),0))</f>
        <v/>
      </c>
      <c r="T3247" s="26">
        <f>IF($D3247="","",IF($K3247&lt;&gt;"对外销售","",ROUND($Q3247-$S3247,0)))</f>
        <v/>
      </c>
      <c r="U3247" s="17" t="n"/>
      <c r="V3247" s="17" t="n"/>
      <c r="W3247" s="24">
        <f>IF($D3247="","",IF($E3247="※编码不在物料档案里","※物料编码不在档案里",IF(N($J3247)&lt;=0,"※出库数量要大于 0",IF($K3247="","※没填去向类型",IF($L3247="","※没填去向矿区",IF(AND($C3247&lt;&gt;"",$C3247&lt;=结账锁),"※日期早于已结账截止日，不能再录",IF(AND($K3247="自用消耗",COUNTIF({"一矿区";"二矿区"},$L3247)=0),"※自用消耗的去向只能是一矿区或二矿区",IF(AND($K3247="对外销售",COUNTIF({"三矿区";"六矿区"},$L3247)=0),"※对外销售的去向只能是三矿区或六矿区",IF(AND($K3247="对外销售",ROUND($Q3247,0)=0),"※外销却没有售价，请填实际售价",IF(AND($K3247="对外销售",$T3247&lt;&gt;"",$T3247&lt;0),"※这一笔外销是亏的，请核对售价",IF(IFERROR(VLOOKUP($D3247,库存台账!$A$5:$Y$1204,24,0),0)&lt;-0.001,"※这个物料账面已经变成负数了，查一下是不是漏记入库","")))))))))))</f>
        <v/>
      </c>
    </row>
    <row r="3248">
      <c r="A3248" s="24">
        <f>IF($D3248="","",COUNTA($D$4:$D3248))</f>
        <v/>
      </c>
      <c r="B3248" s="17" t="n"/>
      <c r="C3248" s="30" t="n"/>
      <c r="D3248" s="17" t="n"/>
      <c r="E3248" s="24">
        <f>IF($D3248="","",IFERROR(VLOOKUP($D3248,物料档案!$A$4:$P$1203,3,0),"※编码不在物料档案里"))</f>
        <v/>
      </c>
      <c r="F3248" s="24">
        <f>IF($D3248="","",IFERROR(VLOOKUP($D3248,物料档案!$A$4:$P$1203,4,0),"※编码不在物料档案里"))</f>
        <v/>
      </c>
      <c r="G3248" s="24">
        <f>IF($D3248="","",IFERROR(VLOOKUP($D3248,物料档案!$A$4:$P$1203,5,0),"※编码不在物料档案里"))</f>
        <v/>
      </c>
      <c r="H3248" s="24">
        <f>IF($D3248="","",IFERROR(VLOOKUP($D3248,物料档案!$A$4:$P$1203,2,0),"※编码不在物料档案里"))</f>
        <v/>
      </c>
      <c r="I3248" s="24">
        <f>IF($D3248="","",IFERROR(VLOOKUP($D3248,物料档案!$A$4:$P$1203,6,0),"※编码不在物料档案里"))</f>
        <v/>
      </c>
      <c r="J3248" s="23" t="n"/>
      <c r="K3248" s="17" t="n"/>
      <c r="L3248" s="17" t="n"/>
      <c r="M3248" s="17" t="n"/>
      <c r="N3248" s="17" t="n"/>
      <c r="O3248" s="26">
        <f>IF($D3248="","",IFERROR(VLOOKUP($D3248,物料档案!$A$4:$P$1203,10,0),0))</f>
        <v/>
      </c>
      <c r="P3248" s="32" t="n"/>
      <c r="Q3248" s="26">
        <f>IF($D3248="","",IF($K3248&lt;&gt;"对外销售",0,ROUND(N($J3248)*IF($P3248="",N($O3248),N($P3248)),0)))</f>
        <v/>
      </c>
      <c r="R3248" s="26">
        <f>IF($D3248="","",IFERROR(VLOOKUP($D3248,库存台账!$A$5:$Y$1204,11,0),0))</f>
        <v/>
      </c>
      <c r="S3248" s="26">
        <f>IF($D3248="","",ROUND(N($J3248)*N($R3248),0))</f>
        <v/>
      </c>
      <c r="T3248" s="26">
        <f>IF($D3248="","",IF($K3248&lt;&gt;"对外销售","",ROUND($Q3248-$S3248,0)))</f>
        <v/>
      </c>
      <c r="U3248" s="17" t="n"/>
      <c r="V3248" s="17" t="n"/>
      <c r="W3248" s="24">
        <f>IF($D3248="","",IF($E3248="※编码不在物料档案里","※物料编码不在档案里",IF(N($J3248)&lt;=0,"※出库数量要大于 0",IF($K3248="","※没填去向类型",IF($L3248="","※没填去向矿区",IF(AND($C3248&lt;&gt;"",$C3248&lt;=结账锁),"※日期早于已结账截止日，不能再录",IF(AND($K3248="自用消耗",COUNTIF({"一矿区";"二矿区"},$L3248)=0),"※自用消耗的去向只能是一矿区或二矿区",IF(AND($K3248="对外销售",COUNTIF({"三矿区";"六矿区"},$L3248)=0),"※对外销售的去向只能是三矿区或六矿区",IF(AND($K3248="对外销售",ROUND($Q3248,0)=0),"※外销却没有售价，请填实际售价",IF(AND($K3248="对外销售",$T3248&lt;&gt;"",$T3248&lt;0),"※这一笔外销是亏的，请核对售价",IF(IFERROR(VLOOKUP($D3248,库存台账!$A$5:$Y$1204,24,0),0)&lt;-0.001,"※这个物料账面已经变成负数了，查一下是不是漏记入库","")))))))))))</f>
        <v/>
      </c>
    </row>
    <row r="3249">
      <c r="A3249" s="24">
        <f>IF($D3249="","",COUNTA($D$4:$D3249))</f>
        <v/>
      </c>
      <c r="B3249" s="17" t="n"/>
      <c r="C3249" s="30" t="n"/>
      <c r="D3249" s="17" t="n"/>
      <c r="E3249" s="24">
        <f>IF($D3249="","",IFERROR(VLOOKUP($D3249,物料档案!$A$4:$P$1203,3,0),"※编码不在物料档案里"))</f>
        <v/>
      </c>
      <c r="F3249" s="24">
        <f>IF($D3249="","",IFERROR(VLOOKUP($D3249,物料档案!$A$4:$P$1203,4,0),"※编码不在物料档案里"))</f>
        <v/>
      </c>
      <c r="G3249" s="24">
        <f>IF($D3249="","",IFERROR(VLOOKUP($D3249,物料档案!$A$4:$P$1203,5,0),"※编码不在物料档案里"))</f>
        <v/>
      </c>
      <c r="H3249" s="24">
        <f>IF($D3249="","",IFERROR(VLOOKUP($D3249,物料档案!$A$4:$P$1203,2,0),"※编码不在物料档案里"))</f>
        <v/>
      </c>
      <c r="I3249" s="24">
        <f>IF($D3249="","",IFERROR(VLOOKUP($D3249,物料档案!$A$4:$P$1203,6,0),"※编码不在物料档案里"))</f>
        <v/>
      </c>
      <c r="J3249" s="23" t="n"/>
      <c r="K3249" s="17" t="n"/>
      <c r="L3249" s="17" t="n"/>
      <c r="M3249" s="17" t="n"/>
      <c r="N3249" s="17" t="n"/>
      <c r="O3249" s="26">
        <f>IF($D3249="","",IFERROR(VLOOKUP($D3249,物料档案!$A$4:$P$1203,10,0),0))</f>
        <v/>
      </c>
      <c r="P3249" s="32" t="n"/>
      <c r="Q3249" s="26">
        <f>IF($D3249="","",IF($K3249&lt;&gt;"对外销售",0,ROUND(N($J3249)*IF($P3249="",N($O3249),N($P3249)),0)))</f>
        <v/>
      </c>
      <c r="R3249" s="26">
        <f>IF($D3249="","",IFERROR(VLOOKUP($D3249,库存台账!$A$5:$Y$1204,11,0),0))</f>
        <v/>
      </c>
      <c r="S3249" s="26">
        <f>IF($D3249="","",ROUND(N($J3249)*N($R3249),0))</f>
        <v/>
      </c>
      <c r="T3249" s="26">
        <f>IF($D3249="","",IF($K3249&lt;&gt;"对外销售","",ROUND($Q3249-$S3249,0)))</f>
        <v/>
      </c>
      <c r="U3249" s="17" t="n"/>
      <c r="V3249" s="17" t="n"/>
      <c r="W3249" s="24">
        <f>IF($D3249="","",IF($E3249="※编码不在物料档案里","※物料编码不在档案里",IF(N($J3249)&lt;=0,"※出库数量要大于 0",IF($K3249="","※没填去向类型",IF($L3249="","※没填去向矿区",IF(AND($C3249&lt;&gt;"",$C3249&lt;=结账锁),"※日期早于已结账截止日，不能再录",IF(AND($K3249="自用消耗",COUNTIF({"一矿区";"二矿区"},$L3249)=0),"※自用消耗的去向只能是一矿区或二矿区",IF(AND($K3249="对外销售",COUNTIF({"三矿区";"六矿区"},$L3249)=0),"※对外销售的去向只能是三矿区或六矿区",IF(AND($K3249="对外销售",ROUND($Q3249,0)=0),"※外销却没有售价，请填实际售价",IF(AND($K3249="对外销售",$T3249&lt;&gt;"",$T3249&lt;0),"※这一笔外销是亏的，请核对售价",IF(IFERROR(VLOOKUP($D3249,库存台账!$A$5:$Y$1204,24,0),0)&lt;-0.001,"※这个物料账面已经变成负数了，查一下是不是漏记入库","")))))))))))</f>
        <v/>
      </c>
    </row>
    <row r="3250">
      <c r="A3250" s="24">
        <f>IF($D3250="","",COUNTA($D$4:$D3250))</f>
        <v/>
      </c>
      <c r="B3250" s="17" t="n"/>
      <c r="C3250" s="30" t="n"/>
      <c r="D3250" s="17" t="n"/>
      <c r="E3250" s="24">
        <f>IF($D3250="","",IFERROR(VLOOKUP($D3250,物料档案!$A$4:$P$1203,3,0),"※编码不在物料档案里"))</f>
        <v/>
      </c>
      <c r="F3250" s="24">
        <f>IF($D3250="","",IFERROR(VLOOKUP($D3250,物料档案!$A$4:$P$1203,4,0),"※编码不在物料档案里"))</f>
        <v/>
      </c>
      <c r="G3250" s="24">
        <f>IF($D3250="","",IFERROR(VLOOKUP($D3250,物料档案!$A$4:$P$1203,5,0),"※编码不在物料档案里"))</f>
        <v/>
      </c>
      <c r="H3250" s="24">
        <f>IF($D3250="","",IFERROR(VLOOKUP($D3250,物料档案!$A$4:$P$1203,2,0),"※编码不在物料档案里"))</f>
        <v/>
      </c>
      <c r="I3250" s="24">
        <f>IF($D3250="","",IFERROR(VLOOKUP($D3250,物料档案!$A$4:$P$1203,6,0),"※编码不在物料档案里"))</f>
        <v/>
      </c>
      <c r="J3250" s="23" t="n"/>
      <c r="K3250" s="17" t="n"/>
      <c r="L3250" s="17" t="n"/>
      <c r="M3250" s="17" t="n"/>
      <c r="N3250" s="17" t="n"/>
      <c r="O3250" s="26">
        <f>IF($D3250="","",IFERROR(VLOOKUP($D3250,物料档案!$A$4:$P$1203,10,0),0))</f>
        <v/>
      </c>
      <c r="P3250" s="32" t="n"/>
      <c r="Q3250" s="26">
        <f>IF($D3250="","",IF($K3250&lt;&gt;"对外销售",0,ROUND(N($J3250)*IF($P3250="",N($O3250),N($P3250)),0)))</f>
        <v/>
      </c>
      <c r="R3250" s="26">
        <f>IF($D3250="","",IFERROR(VLOOKUP($D3250,库存台账!$A$5:$Y$1204,11,0),0))</f>
        <v/>
      </c>
      <c r="S3250" s="26">
        <f>IF($D3250="","",ROUND(N($J3250)*N($R3250),0))</f>
        <v/>
      </c>
      <c r="T3250" s="26">
        <f>IF($D3250="","",IF($K3250&lt;&gt;"对外销售","",ROUND($Q3250-$S3250,0)))</f>
        <v/>
      </c>
      <c r="U3250" s="17" t="n"/>
      <c r="V3250" s="17" t="n"/>
      <c r="W3250" s="24">
        <f>IF($D3250="","",IF($E3250="※编码不在物料档案里","※物料编码不在档案里",IF(N($J3250)&lt;=0,"※出库数量要大于 0",IF($K3250="","※没填去向类型",IF($L3250="","※没填去向矿区",IF(AND($C3250&lt;&gt;"",$C3250&lt;=结账锁),"※日期早于已结账截止日，不能再录",IF(AND($K3250="自用消耗",COUNTIF({"一矿区";"二矿区"},$L3250)=0),"※自用消耗的去向只能是一矿区或二矿区",IF(AND($K3250="对外销售",COUNTIF({"三矿区";"六矿区"},$L3250)=0),"※对外销售的去向只能是三矿区或六矿区",IF(AND($K3250="对外销售",ROUND($Q3250,0)=0),"※外销却没有售价，请填实际售价",IF(AND($K3250="对外销售",$T3250&lt;&gt;"",$T3250&lt;0),"※这一笔外销是亏的，请核对售价",IF(IFERROR(VLOOKUP($D3250,库存台账!$A$5:$Y$1204,24,0),0)&lt;-0.001,"※这个物料账面已经变成负数了，查一下是不是漏记入库","")))))))))))</f>
        <v/>
      </c>
    </row>
    <row r="3251">
      <c r="A3251" s="24">
        <f>IF($D3251="","",COUNTA($D$4:$D3251))</f>
        <v/>
      </c>
      <c r="B3251" s="17" t="n"/>
      <c r="C3251" s="30" t="n"/>
      <c r="D3251" s="17" t="n"/>
      <c r="E3251" s="24">
        <f>IF($D3251="","",IFERROR(VLOOKUP($D3251,物料档案!$A$4:$P$1203,3,0),"※编码不在物料档案里"))</f>
        <v/>
      </c>
      <c r="F3251" s="24">
        <f>IF($D3251="","",IFERROR(VLOOKUP($D3251,物料档案!$A$4:$P$1203,4,0),"※编码不在物料档案里"))</f>
        <v/>
      </c>
      <c r="G3251" s="24">
        <f>IF($D3251="","",IFERROR(VLOOKUP($D3251,物料档案!$A$4:$P$1203,5,0),"※编码不在物料档案里"))</f>
        <v/>
      </c>
      <c r="H3251" s="24">
        <f>IF($D3251="","",IFERROR(VLOOKUP($D3251,物料档案!$A$4:$P$1203,2,0),"※编码不在物料档案里"))</f>
        <v/>
      </c>
      <c r="I3251" s="24">
        <f>IF($D3251="","",IFERROR(VLOOKUP($D3251,物料档案!$A$4:$P$1203,6,0),"※编码不在物料档案里"))</f>
        <v/>
      </c>
      <c r="J3251" s="23" t="n"/>
      <c r="K3251" s="17" t="n"/>
      <c r="L3251" s="17" t="n"/>
      <c r="M3251" s="17" t="n"/>
      <c r="N3251" s="17" t="n"/>
      <c r="O3251" s="26">
        <f>IF($D3251="","",IFERROR(VLOOKUP($D3251,物料档案!$A$4:$P$1203,10,0),0))</f>
        <v/>
      </c>
      <c r="P3251" s="32" t="n"/>
      <c r="Q3251" s="26">
        <f>IF($D3251="","",IF($K3251&lt;&gt;"对外销售",0,ROUND(N($J3251)*IF($P3251="",N($O3251),N($P3251)),0)))</f>
        <v/>
      </c>
      <c r="R3251" s="26">
        <f>IF($D3251="","",IFERROR(VLOOKUP($D3251,库存台账!$A$5:$Y$1204,11,0),0))</f>
        <v/>
      </c>
      <c r="S3251" s="26">
        <f>IF($D3251="","",ROUND(N($J3251)*N($R3251),0))</f>
        <v/>
      </c>
      <c r="T3251" s="26">
        <f>IF($D3251="","",IF($K3251&lt;&gt;"对外销售","",ROUND($Q3251-$S3251,0)))</f>
        <v/>
      </c>
      <c r="U3251" s="17" t="n"/>
      <c r="V3251" s="17" t="n"/>
      <c r="W3251" s="24">
        <f>IF($D3251="","",IF($E3251="※编码不在物料档案里","※物料编码不在档案里",IF(N($J3251)&lt;=0,"※出库数量要大于 0",IF($K3251="","※没填去向类型",IF($L3251="","※没填去向矿区",IF(AND($C3251&lt;&gt;"",$C3251&lt;=结账锁),"※日期早于已结账截止日，不能再录",IF(AND($K3251="自用消耗",COUNTIF({"一矿区";"二矿区"},$L3251)=0),"※自用消耗的去向只能是一矿区或二矿区",IF(AND($K3251="对外销售",COUNTIF({"三矿区";"六矿区"},$L3251)=0),"※对外销售的去向只能是三矿区或六矿区",IF(AND($K3251="对外销售",ROUND($Q3251,0)=0),"※外销却没有售价，请填实际售价",IF(AND($K3251="对外销售",$T3251&lt;&gt;"",$T3251&lt;0),"※这一笔外销是亏的，请核对售价",IF(IFERROR(VLOOKUP($D3251,库存台账!$A$5:$Y$1204,24,0),0)&lt;-0.001,"※这个物料账面已经变成负数了，查一下是不是漏记入库","")))))))))))</f>
        <v/>
      </c>
    </row>
    <row r="3252">
      <c r="A3252" s="24">
        <f>IF($D3252="","",COUNTA($D$4:$D3252))</f>
        <v/>
      </c>
      <c r="B3252" s="17" t="n"/>
      <c r="C3252" s="30" t="n"/>
      <c r="D3252" s="17" t="n"/>
      <c r="E3252" s="24">
        <f>IF($D3252="","",IFERROR(VLOOKUP($D3252,物料档案!$A$4:$P$1203,3,0),"※编码不在物料档案里"))</f>
        <v/>
      </c>
      <c r="F3252" s="24">
        <f>IF($D3252="","",IFERROR(VLOOKUP($D3252,物料档案!$A$4:$P$1203,4,0),"※编码不在物料档案里"))</f>
        <v/>
      </c>
      <c r="G3252" s="24">
        <f>IF($D3252="","",IFERROR(VLOOKUP($D3252,物料档案!$A$4:$P$1203,5,0),"※编码不在物料档案里"))</f>
        <v/>
      </c>
      <c r="H3252" s="24">
        <f>IF($D3252="","",IFERROR(VLOOKUP($D3252,物料档案!$A$4:$P$1203,2,0),"※编码不在物料档案里"))</f>
        <v/>
      </c>
      <c r="I3252" s="24">
        <f>IF($D3252="","",IFERROR(VLOOKUP($D3252,物料档案!$A$4:$P$1203,6,0),"※编码不在物料档案里"))</f>
        <v/>
      </c>
      <c r="J3252" s="23" t="n"/>
      <c r="K3252" s="17" t="n"/>
      <c r="L3252" s="17" t="n"/>
      <c r="M3252" s="17" t="n"/>
      <c r="N3252" s="17" t="n"/>
      <c r="O3252" s="26">
        <f>IF($D3252="","",IFERROR(VLOOKUP($D3252,物料档案!$A$4:$P$1203,10,0),0))</f>
        <v/>
      </c>
      <c r="P3252" s="32" t="n"/>
      <c r="Q3252" s="26">
        <f>IF($D3252="","",IF($K3252&lt;&gt;"对外销售",0,ROUND(N($J3252)*IF($P3252="",N($O3252),N($P3252)),0)))</f>
        <v/>
      </c>
      <c r="R3252" s="26">
        <f>IF($D3252="","",IFERROR(VLOOKUP($D3252,库存台账!$A$5:$Y$1204,11,0),0))</f>
        <v/>
      </c>
      <c r="S3252" s="26">
        <f>IF($D3252="","",ROUND(N($J3252)*N($R3252),0))</f>
        <v/>
      </c>
      <c r="T3252" s="26">
        <f>IF($D3252="","",IF($K3252&lt;&gt;"对外销售","",ROUND($Q3252-$S3252,0)))</f>
        <v/>
      </c>
      <c r="U3252" s="17" t="n"/>
      <c r="V3252" s="17" t="n"/>
      <c r="W3252" s="24">
        <f>IF($D3252="","",IF($E3252="※编码不在物料档案里","※物料编码不在档案里",IF(N($J3252)&lt;=0,"※出库数量要大于 0",IF($K3252="","※没填去向类型",IF($L3252="","※没填去向矿区",IF(AND($C3252&lt;&gt;"",$C3252&lt;=结账锁),"※日期早于已结账截止日，不能再录",IF(AND($K3252="自用消耗",COUNTIF({"一矿区";"二矿区"},$L3252)=0),"※自用消耗的去向只能是一矿区或二矿区",IF(AND($K3252="对外销售",COUNTIF({"三矿区";"六矿区"},$L3252)=0),"※对外销售的去向只能是三矿区或六矿区",IF(AND($K3252="对外销售",ROUND($Q3252,0)=0),"※外销却没有售价，请填实际售价",IF(AND($K3252="对外销售",$T3252&lt;&gt;"",$T3252&lt;0),"※这一笔外销是亏的，请核对售价",IF(IFERROR(VLOOKUP($D3252,库存台账!$A$5:$Y$1204,24,0),0)&lt;-0.001,"※这个物料账面已经变成负数了，查一下是不是漏记入库","")))))))))))</f>
        <v/>
      </c>
    </row>
    <row r="3253">
      <c r="A3253" s="24">
        <f>IF($D3253="","",COUNTA($D$4:$D3253))</f>
        <v/>
      </c>
      <c r="B3253" s="17" t="n"/>
      <c r="C3253" s="30" t="n"/>
      <c r="D3253" s="17" t="n"/>
      <c r="E3253" s="24">
        <f>IF($D3253="","",IFERROR(VLOOKUP($D3253,物料档案!$A$4:$P$1203,3,0),"※编码不在物料档案里"))</f>
        <v/>
      </c>
      <c r="F3253" s="24">
        <f>IF($D3253="","",IFERROR(VLOOKUP($D3253,物料档案!$A$4:$P$1203,4,0),"※编码不在物料档案里"))</f>
        <v/>
      </c>
      <c r="G3253" s="24">
        <f>IF($D3253="","",IFERROR(VLOOKUP($D3253,物料档案!$A$4:$P$1203,5,0),"※编码不在物料档案里"))</f>
        <v/>
      </c>
      <c r="H3253" s="24">
        <f>IF($D3253="","",IFERROR(VLOOKUP($D3253,物料档案!$A$4:$P$1203,2,0),"※编码不在物料档案里"))</f>
        <v/>
      </c>
      <c r="I3253" s="24">
        <f>IF($D3253="","",IFERROR(VLOOKUP($D3253,物料档案!$A$4:$P$1203,6,0),"※编码不在物料档案里"))</f>
        <v/>
      </c>
      <c r="J3253" s="23" t="n"/>
      <c r="K3253" s="17" t="n"/>
      <c r="L3253" s="17" t="n"/>
      <c r="M3253" s="17" t="n"/>
      <c r="N3253" s="17" t="n"/>
      <c r="O3253" s="26">
        <f>IF($D3253="","",IFERROR(VLOOKUP($D3253,物料档案!$A$4:$P$1203,10,0),0))</f>
        <v/>
      </c>
      <c r="P3253" s="32" t="n"/>
      <c r="Q3253" s="26">
        <f>IF($D3253="","",IF($K3253&lt;&gt;"对外销售",0,ROUND(N($J3253)*IF($P3253="",N($O3253),N($P3253)),0)))</f>
        <v/>
      </c>
      <c r="R3253" s="26">
        <f>IF($D3253="","",IFERROR(VLOOKUP($D3253,库存台账!$A$5:$Y$1204,11,0),0))</f>
        <v/>
      </c>
      <c r="S3253" s="26">
        <f>IF($D3253="","",ROUND(N($J3253)*N($R3253),0))</f>
        <v/>
      </c>
      <c r="T3253" s="26">
        <f>IF($D3253="","",IF($K3253&lt;&gt;"对外销售","",ROUND($Q3253-$S3253,0)))</f>
        <v/>
      </c>
      <c r="U3253" s="17" t="n"/>
      <c r="V3253" s="17" t="n"/>
      <c r="W3253" s="24">
        <f>IF($D3253="","",IF($E3253="※编码不在物料档案里","※物料编码不在档案里",IF(N($J3253)&lt;=0,"※出库数量要大于 0",IF($K3253="","※没填去向类型",IF($L3253="","※没填去向矿区",IF(AND($C3253&lt;&gt;"",$C3253&lt;=结账锁),"※日期早于已结账截止日，不能再录",IF(AND($K3253="自用消耗",COUNTIF({"一矿区";"二矿区"},$L3253)=0),"※自用消耗的去向只能是一矿区或二矿区",IF(AND($K3253="对外销售",COUNTIF({"三矿区";"六矿区"},$L3253)=0),"※对外销售的去向只能是三矿区或六矿区",IF(AND($K3253="对外销售",ROUND($Q3253,0)=0),"※外销却没有售价，请填实际售价",IF(AND($K3253="对外销售",$T3253&lt;&gt;"",$T3253&lt;0),"※这一笔外销是亏的，请核对售价",IF(IFERROR(VLOOKUP($D3253,库存台账!$A$5:$Y$1204,24,0),0)&lt;-0.001,"※这个物料账面已经变成负数了，查一下是不是漏记入库","")))))))))))</f>
        <v/>
      </c>
    </row>
    <row r="3254">
      <c r="A3254" s="24">
        <f>IF($D3254="","",COUNTA($D$4:$D3254))</f>
        <v/>
      </c>
      <c r="B3254" s="17" t="n"/>
      <c r="C3254" s="30" t="n"/>
      <c r="D3254" s="17" t="n"/>
      <c r="E3254" s="24">
        <f>IF($D3254="","",IFERROR(VLOOKUP($D3254,物料档案!$A$4:$P$1203,3,0),"※编码不在物料档案里"))</f>
        <v/>
      </c>
      <c r="F3254" s="24">
        <f>IF($D3254="","",IFERROR(VLOOKUP($D3254,物料档案!$A$4:$P$1203,4,0),"※编码不在物料档案里"))</f>
        <v/>
      </c>
      <c r="G3254" s="24">
        <f>IF($D3254="","",IFERROR(VLOOKUP($D3254,物料档案!$A$4:$P$1203,5,0),"※编码不在物料档案里"))</f>
        <v/>
      </c>
      <c r="H3254" s="24">
        <f>IF($D3254="","",IFERROR(VLOOKUP($D3254,物料档案!$A$4:$P$1203,2,0),"※编码不在物料档案里"))</f>
        <v/>
      </c>
      <c r="I3254" s="24">
        <f>IF($D3254="","",IFERROR(VLOOKUP($D3254,物料档案!$A$4:$P$1203,6,0),"※编码不在物料档案里"))</f>
        <v/>
      </c>
      <c r="J3254" s="23" t="n"/>
      <c r="K3254" s="17" t="n"/>
      <c r="L3254" s="17" t="n"/>
      <c r="M3254" s="17" t="n"/>
      <c r="N3254" s="17" t="n"/>
      <c r="O3254" s="26">
        <f>IF($D3254="","",IFERROR(VLOOKUP($D3254,物料档案!$A$4:$P$1203,10,0),0))</f>
        <v/>
      </c>
      <c r="P3254" s="32" t="n"/>
      <c r="Q3254" s="26">
        <f>IF($D3254="","",IF($K3254&lt;&gt;"对外销售",0,ROUND(N($J3254)*IF($P3254="",N($O3254),N($P3254)),0)))</f>
        <v/>
      </c>
      <c r="R3254" s="26">
        <f>IF($D3254="","",IFERROR(VLOOKUP($D3254,库存台账!$A$5:$Y$1204,11,0),0))</f>
        <v/>
      </c>
      <c r="S3254" s="26">
        <f>IF($D3254="","",ROUND(N($J3254)*N($R3254),0))</f>
        <v/>
      </c>
      <c r="T3254" s="26">
        <f>IF($D3254="","",IF($K3254&lt;&gt;"对外销售","",ROUND($Q3254-$S3254,0)))</f>
        <v/>
      </c>
      <c r="U3254" s="17" t="n"/>
      <c r="V3254" s="17" t="n"/>
      <c r="W3254" s="24">
        <f>IF($D3254="","",IF($E3254="※编码不在物料档案里","※物料编码不在档案里",IF(N($J3254)&lt;=0,"※出库数量要大于 0",IF($K3254="","※没填去向类型",IF($L3254="","※没填去向矿区",IF(AND($C3254&lt;&gt;"",$C3254&lt;=结账锁),"※日期早于已结账截止日，不能再录",IF(AND($K3254="自用消耗",COUNTIF({"一矿区";"二矿区"},$L3254)=0),"※自用消耗的去向只能是一矿区或二矿区",IF(AND($K3254="对外销售",COUNTIF({"三矿区";"六矿区"},$L3254)=0),"※对外销售的去向只能是三矿区或六矿区",IF(AND($K3254="对外销售",ROUND($Q3254,0)=0),"※外销却没有售价，请填实际售价",IF(AND($K3254="对外销售",$T3254&lt;&gt;"",$T3254&lt;0),"※这一笔外销是亏的，请核对售价",IF(IFERROR(VLOOKUP($D3254,库存台账!$A$5:$Y$1204,24,0),0)&lt;-0.001,"※这个物料账面已经变成负数了，查一下是不是漏记入库","")))))))))))</f>
        <v/>
      </c>
    </row>
    <row r="3255">
      <c r="A3255" s="24">
        <f>IF($D3255="","",COUNTA($D$4:$D3255))</f>
        <v/>
      </c>
      <c r="B3255" s="17" t="n"/>
      <c r="C3255" s="30" t="n"/>
      <c r="D3255" s="17" t="n"/>
      <c r="E3255" s="24">
        <f>IF($D3255="","",IFERROR(VLOOKUP($D3255,物料档案!$A$4:$P$1203,3,0),"※编码不在物料档案里"))</f>
        <v/>
      </c>
      <c r="F3255" s="24">
        <f>IF($D3255="","",IFERROR(VLOOKUP($D3255,物料档案!$A$4:$P$1203,4,0),"※编码不在物料档案里"))</f>
        <v/>
      </c>
      <c r="G3255" s="24">
        <f>IF($D3255="","",IFERROR(VLOOKUP($D3255,物料档案!$A$4:$P$1203,5,0),"※编码不在物料档案里"))</f>
        <v/>
      </c>
      <c r="H3255" s="24">
        <f>IF($D3255="","",IFERROR(VLOOKUP($D3255,物料档案!$A$4:$P$1203,2,0),"※编码不在物料档案里"))</f>
        <v/>
      </c>
      <c r="I3255" s="24">
        <f>IF($D3255="","",IFERROR(VLOOKUP($D3255,物料档案!$A$4:$P$1203,6,0),"※编码不在物料档案里"))</f>
        <v/>
      </c>
      <c r="J3255" s="23" t="n"/>
      <c r="K3255" s="17" t="n"/>
      <c r="L3255" s="17" t="n"/>
      <c r="M3255" s="17" t="n"/>
      <c r="N3255" s="17" t="n"/>
      <c r="O3255" s="26">
        <f>IF($D3255="","",IFERROR(VLOOKUP($D3255,物料档案!$A$4:$P$1203,10,0),0))</f>
        <v/>
      </c>
      <c r="P3255" s="32" t="n"/>
      <c r="Q3255" s="26">
        <f>IF($D3255="","",IF($K3255&lt;&gt;"对外销售",0,ROUND(N($J3255)*IF($P3255="",N($O3255),N($P3255)),0)))</f>
        <v/>
      </c>
      <c r="R3255" s="26">
        <f>IF($D3255="","",IFERROR(VLOOKUP($D3255,库存台账!$A$5:$Y$1204,11,0),0))</f>
        <v/>
      </c>
      <c r="S3255" s="26">
        <f>IF($D3255="","",ROUND(N($J3255)*N($R3255),0))</f>
        <v/>
      </c>
      <c r="T3255" s="26">
        <f>IF($D3255="","",IF($K3255&lt;&gt;"对外销售","",ROUND($Q3255-$S3255,0)))</f>
        <v/>
      </c>
      <c r="U3255" s="17" t="n"/>
      <c r="V3255" s="17" t="n"/>
      <c r="W3255" s="24">
        <f>IF($D3255="","",IF($E3255="※编码不在物料档案里","※物料编码不在档案里",IF(N($J3255)&lt;=0,"※出库数量要大于 0",IF($K3255="","※没填去向类型",IF($L3255="","※没填去向矿区",IF(AND($C3255&lt;&gt;"",$C3255&lt;=结账锁),"※日期早于已结账截止日，不能再录",IF(AND($K3255="自用消耗",COUNTIF({"一矿区";"二矿区"},$L3255)=0),"※自用消耗的去向只能是一矿区或二矿区",IF(AND($K3255="对外销售",COUNTIF({"三矿区";"六矿区"},$L3255)=0),"※对外销售的去向只能是三矿区或六矿区",IF(AND($K3255="对外销售",ROUND($Q3255,0)=0),"※外销却没有售价，请填实际售价",IF(AND($K3255="对外销售",$T3255&lt;&gt;"",$T3255&lt;0),"※这一笔外销是亏的，请核对售价",IF(IFERROR(VLOOKUP($D3255,库存台账!$A$5:$Y$1204,24,0),0)&lt;-0.001,"※这个物料账面已经变成负数了，查一下是不是漏记入库","")))))))))))</f>
        <v/>
      </c>
    </row>
    <row r="3256">
      <c r="A3256" s="24">
        <f>IF($D3256="","",COUNTA($D$4:$D3256))</f>
        <v/>
      </c>
      <c r="B3256" s="17" t="n"/>
      <c r="C3256" s="30" t="n"/>
      <c r="D3256" s="17" t="n"/>
      <c r="E3256" s="24">
        <f>IF($D3256="","",IFERROR(VLOOKUP($D3256,物料档案!$A$4:$P$1203,3,0),"※编码不在物料档案里"))</f>
        <v/>
      </c>
      <c r="F3256" s="24">
        <f>IF($D3256="","",IFERROR(VLOOKUP($D3256,物料档案!$A$4:$P$1203,4,0),"※编码不在物料档案里"))</f>
        <v/>
      </c>
      <c r="G3256" s="24">
        <f>IF($D3256="","",IFERROR(VLOOKUP($D3256,物料档案!$A$4:$P$1203,5,0),"※编码不在物料档案里"))</f>
        <v/>
      </c>
      <c r="H3256" s="24">
        <f>IF($D3256="","",IFERROR(VLOOKUP($D3256,物料档案!$A$4:$P$1203,2,0),"※编码不在物料档案里"))</f>
        <v/>
      </c>
      <c r="I3256" s="24">
        <f>IF($D3256="","",IFERROR(VLOOKUP($D3256,物料档案!$A$4:$P$1203,6,0),"※编码不在物料档案里"))</f>
        <v/>
      </c>
      <c r="J3256" s="23" t="n"/>
      <c r="K3256" s="17" t="n"/>
      <c r="L3256" s="17" t="n"/>
      <c r="M3256" s="17" t="n"/>
      <c r="N3256" s="17" t="n"/>
      <c r="O3256" s="26">
        <f>IF($D3256="","",IFERROR(VLOOKUP($D3256,物料档案!$A$4:$P$1203,10,0),0))</f>
        <v/>
      </c>
      <c r="P3256" s="32" t="n"/>
      <c r="Q3256" s="26">
        <f>IF($D3256="","",IF($K3256&lt;&gt;"对外销售",0,ROUND(N($J3256)*IF($P3256="",N($O3256),N($P3256)),0)))</f>
        <v/>
      </c>
      <c r="R3256" s="26">
        <f>IF($D3256="","",IFERROR(VLOOKUP($D3256,库存台账!$A$5:$Y$1204,11,0),0))</f>
        <v/>
      </c>
      <c r="S3256" s="26">
        <f>IF($D3256="","",ROUND(N($J3256)*N($R3256),0))</f>
        <v/>
      </c>
      <c r="T3256" s="26">
        <f>IF($D3256="","",IF($K3256&lt;&gt;"对外销售","",ROUND($Q3256-$S3256,0)))</f>
        <v/>
      </c>
      <c r="U3256" s="17" t="n"/>
      <c r="V3256" s="17" t="n"/>
      <c r="W3256" s="24">
        <f>IF($D3256="","",IF($E3256="※编码不在物料档案里","※物料编码不在档案里",IF(N($J3256)&lt;=0,"※出库数量要大于 0",IF($K3256="","※没填去向类型",IF($L3256="","※没填去向矿区",IF(AND($C3256&lt;&gt;"",$C3256&lt;=结账锁),"※日期早于已结账截止日，不能再录",IF(AND($K3256="自用消耗",COUNTIF({"一矿区";"二矿区"},$L3256)=0),"※自用消耗的去向只能是一矿区或二矿区",IF(AND($K3256="对外销售",COUNTIF({"三矿区";"六矿区"},$L3256)=0),"※对外销售的去向只能是三矿区或六矿区",IF(AND($K3256="对外销售",ROUND($Q3256,0)=0),"※外销却没有售价，请填实际售价",IF(AND($K3256="对外销售",$T3256&lt;&gt;"",$T3256&lt;0),"※这一笔外销是亏的，请核对售价",IF(IFERROR(VLOOKUP($D3256,库存台账!$A$5:$Y$1204,24,0),0)&lt;-0.001,"※这个物料账面已经变成负数了，查一下是不是漏记入库","")))))))))))</f>
        <v/>
      </c>
    </row>
    <row r="3257">
      <c r="A3257" s="24">
        <f>IF($D3257="","",COUNTA($D$4:$D3257))</f>
        <v/>
      </c>
      <c r="B3257" s="17" t="n"/>
      <c r="C3257" s="30" t="n"/>
      <c r="D3257" s="17" t="n"/>
      <c r="E3257" s="24">
        <f>IF($D3257="","",IFERROR(VLOOKUP($D3257,物料档案!$A$4:$P$1203,3,0),"※编码不在物料档案里"))</f>
        <v/>
      </c>
      <c r="F3257" s="24">
        <f>IF($D3257="","",IFERROR(VLOOKUP($D3257,物料档案!$A$4:$P$1203,4,0),"※编码不在物料档案里"))</f>
        <v/>
      </c>
      <c r="G3257" s="24">
        <f>IF($D3257="","",IFERROR(VLOOKUP($D3257,物料档案!$A$4:$P$1203,5,0),"※编码不在物料档案里"))</f>
        <v/>
      </c>
      <c r="H3257" s="24">
        <f>IF($D3257="","",IFERROR(VLOOKUP($D3257,物料档案!$A$4:$P$1203,2,0),"※编码不在物料档案里"))</f>
        <v/>
      </c>
      <c r="I3257" s="24">
        <f>IF($D3257="","",IFERROR(VLOOKUP($D3257,物料档案!$A$4:$P$1203,6,0),"※编码不在物料档案里"))</f>
        <v/>
      </c>
      <c r="J3257" s="23" t="n"/>
      <c r="K3257" s="17" t="n"/>
      <c r="L3257" s="17" t="n"/>
      <c r="M3257" s="17" t="n"/>
      <c r="N3257" s="17" t="n"/>
      <c r="O3257" s="26">
        <f>IF($D3257="","",IFERROR(VLOOKUP($D3257,物料档案!$A$4:$P$1203,10,0),0))</f>
        <v/>
      </c>
      <c r="P3257" s="32" t="n"/>
      <c r="Q3257" s="26">
        <f>IF($D3257="","",IF($K3257&lt;&gt;"对外销售",0,ROUND(N($J3257)*IF($P3257="",N($O3257),N($P3257)),0)))</f>
        <v/>
      </c>
      <c r="R3257" s="26">
        <f>IF($D3257="","",IFERROR(VLOOKUP($D3257,库存台账!$A$5:$Y$1204,11,0),0))</f>
        <v/>
      </c>
      <c r="S3257" s="26">
        <f>IF($D3257="","",ROUND(N($J3257)*N($R3257),0))</f>
        <v/>
      </c>
      <c r="T3257" s="26">
        <f>IF($D3257="","",IF($K3257&lt;&gt;"对外销售","",ROUND($Q3257-$S3257,0)))</f>
        <v/>
      </c>
      <c r="U3257" s="17" t="n"/>
      <c r="V3257" s="17" t="n"/>
      <c r="W3257" s="24">
        <f>IF($D3257="","",IF($E3257="※编码不在物料档案里","※物料编码不在档案里",IF(N($J3257)&lt;=0,"※出库数量要大于 0",IF($K3257="","※没填去向类型",IF($L3257="","※没填去向矿区",IF(AND($C3257&lt;&gt;"",$C3257&lt;=结账锁),"※日期早于已结账截止日，不能再录",IF(AND($K3257="自用消耗",COUNTIF({"一矿区";"二矿区"},$L3257)=0),"※自用消耗的去向只能是一矿区或二矿区",IF(AND($K3257="对外销售",COUNTIF({"三矿区";"六矿区"},$L3257)=0),"※对外销售的去向只能是三矿区或六矿区",IF(AND($K3257="对外销售",ROUND($Q3257,0)=0),"※外销却没有售价，请填实际售价",IF(AND($K3257="对外销售",$T3257&lt;&gt;"",$T3257&lt;0),"※这一笔外销是亏的，请核对售价",IF(IFERROR(VLOOKUP($D3257,库存台账!$A$5:$Y$1204,24,0),0)&lt;-0.001,"※这个物料账面已经变成负数了，查一下是不是漏记入库","")))))))))))</f>
        <v/>
      </c>
    </row>
    <row r="3258">
      <c r="A3258" s="24">
        <f>IF($D3258="","",COUNTA($D$4:$D3258))</f>
        <v/>
      </c>
      <c r="B3258" s="17" t="n"/>
      <c r="C3258" s="30" t="n"/>
      <c r="D3258" s="17" t="n"/>
      <c r="E3258" s="24">
        <f>IF($D3258="","",IFERROR(VLOOKUP($D3258,物料档案!$A$4:$P$1203,3,0),"※编码不在物料档案里"))</f>
        <v/>
      </c>
      <c r="F3258" s="24">
        <f>IF($D3258="","",IFERROR(VLOOKUP($D3258,物料档案!$A$4:$P$1203,4,0),"※编码不在物料档案里"))</f>
        <v/>
      </c>
      <c r="G3258" s="24">
        <f>IF($D3258="","",IFERROR(VLOOKUP($D3258,物料档案!$A$4:$P$1203,5,0),"※编码不在物料档案里"))</f>
        <v/>
      </c>
      <c r="H3258" s="24">
        <f>IF($D3258="","",IFERROR(VLOOKUP($D3258,物料档案!$A$4:$P$1203,2,0),"※编码不在物料档案里"))</f>
        <v/>
      </c>
      <c r="I3258" s="24">
        <f>IF($D3258="","",IFERROR(VLOOKUP($D3258,物料档案!$A$4:$P$1203,6,0),"※编码不在物料档案里"))</f>
        <v/>
      </c>
      <c r="J3258" s="23" t="n"/>
      <c r="K3258" s="17" t="n"/>
      <c r="L3258" s="17" t="n"/>
      <c r="M3258" s="17" t="n"/>
      <c r="N3258" s="17" t="n"/>
      <c r="O3258" s="26">
        <f>IF($D3258="","",IFERROR(VLOOKUP($D3258,物料档案!$A$4:$P$1203,10,0),0))</f>
        <v/>
      </c>
      <c r="P3258" s="32" t="n"/>
      <c r="Q3258" s="26">
        <f>IF($D3258="","",IF($K3258&lt;&gt;"对外销售",0,ROUND(N($J3258)*IF($P3258="",N($O3258),N($P3258)),0)))</f>
        <v/>
      </c>
      <c r="R3258" s="26">
        <f>IF($D3258="","",IFERROR(VLOOKUP($D3258,库存台账!$A$5:$Y$1204,11,0),0))</f>
        <v/>
      </c>
      <c r="S3258" s="26">
        <f>IF($D3258="","",ROUND(N($J3258)*N($R3258),0))</f>
        <v/>
      </c>
      <c r="T3258" s="26">
        <f>IF($D3258="","",IF($K3258&lt;&gt;"对外销售","",ROUND($Q3258-$S3258,0)))</f>
        <v/>
      </c>
      <c r="U3258" s="17" t="n"/>
      <c r="V3258" s="17" t="n"/>
      <c r="W3258" s="24">
        <f>IF($D3258="","",IF($E3258="※编码不在物料档案里","※物料编码不在档案里",IF(N($J3258)&lt;=0,"※出库数量要大于 0",IF($K3258="","※没填去向类型",IF($L3258="","※没填去向矿区",IF(AND($C3258&lt;&gt;"",$C3258&lt;=结账锁),"※日期早于已结账截止日，不能再录",IF(AND($K3258="自用消耗",COUNTIF({"一矿区";"二矿区"},$L3258)=0),"※自用消耗的去向只能是一矿区或二矿区",IF(AND($K3258="对外销售",COUNTIF({"三矿区";"六矿区"},$L3258)=0),"※对外销售的去向只能是三矿区或六矿区",IF(AND($K3258="对外销售",ROUND($Q3258,0)=0),"※外销却没有售价，请填实际售价",IF(AND($K3258="对外销售",$T3258&lt;&gt;"",$T3258&lt;0),"※这一笔外销是亏的，请核对售价",IF(IFERROR(VLOOKUP($D3258,库存台账!$A$5:$Y$1204,24,0),0)&lt;-0.001,"※这个物料账面已经变成负数了，查一下是不是漏记入库","")))))))))))</f>
        <v/>
      </c>
    </row>
    <row r="3259">
      <c r="A3259" s="24">
        <f>IF($D3259="","",COUNTA($D$4:$D3259))</f>
        <v/>
      </c>
      <c r="B3259" s="17" t="n"/>
      <c r="C3259" s="30" t="n"/>
      <c r="D3259" s="17" t="n"/>
      <c r="E3259" s="24">
        <f>IF($D3259="","",IFERROR(VLOOKUP($D3259,物料档案!$A$4:$P$1203,3,0),"※编码不在物料档案里"))</f>
        <v/>
      </c>
      <c r="F3259" s="24">
        <f>IF($D3259="","",IFERROR(VLOOKUP($D3259,物料档案!$A$4:$P$1203,4,0),"※编码不在物料档案里"))</f>
        <v/>
      </c>
      <c r="G3259" s="24">
        <f>IF($D3259="","",IFERROR(VLOOKUP($D3259,物料档案!$A$4:$P$1203,5,0),"※编码不在物料档案里"))</f>
        <v/>
      </c>
      <c r="H3259" s="24">
        <f>IF($D3259="","",IFERROR(VLOOKUP($D3259,物料档案!$A$4:$P$1203,2,0),"※编码不在物料档案里"))</f>
        <v/>
      </c>
      <c r="I3259" s="24">
        <f>IF($D3259="","",IFERROR(VLOOKUP($D3259,物料档案!$A$4:$P$1203,6,0),"※编码不在物料档案里"))</f>
        <v/>
      </c>
      <c r="J3259" s="23" t="n"/>
      <c r="K3259" s="17" t="n"/>
      <c r="L3259" s="17" t="n"/>
      <c r="M3259" s="17" t="n"/>
      <c r="N3259" s="17" t="n"/>
      <c r="O3259" s="26">
        <f>IF($D3259="","",IFERROR(VLOOKUP($D3259,物料档案!$A$4:$P$1203,10,0),0))</f>
        <v/>
      </c>
      <c r="P3259" s="32" t="n"/>
      <c r="Q3259" s="26">
        <f>IF($D3259="","",IF($K3259&lt;&gt;"对外销售",0,ROUND(N($J3259)*IF($P3259="",N($O3259),N($P3259)),0)))</f>
        <v/>
      </c>
      <c r="R3259" s="26">
        <f>IF($D3259="","",IFERROR(VLOOKUP($D3259,库存台账!$A$5:$Y$1204,11,0),0))</f>
        <v/>
      </c>
      <c r="S3259" s="26">
        <f>IF($D3259="","",ROUND(N($J3259)*N($R3259),0))</f>
        <v/>
      </c>
      <c r="T3259" s="26">
        <f>IF($D3259="","",IF($K3259&lt;&gt;"对外销售","",ROUND($Q3259-$S3259,0)))</f>
        <v/>
      </c>
      <c r="U3259" s="17" t="n"/>
      <c r="V3259" s="17" t="n"/>
      <c r="W3259" s="24">
        <f>IF($D3259="","",IF($E3259="※编码不在物料档案里","※物料编码不在档案里",IF(N($J3259)&lt;=0,"※出库数量要大于 0",IF($K3259="","※没填去向类型",IF($L3259="","※没填去向矿区",IF(AND($C3259&lt;&gt;"",$C3259&lt;=结账锁),"※日期早于已结账截止日，不能再录",IF(AND($K3259="自用消耗",COUNTIF({"一矿区";"二矿区"},$L3259)=0),"※自用消耗的去向只能是一矿区或二矿区",IF(AND($K3259="对外销售",COUNTIF({"三矿区";"六矿区"},$L3259)=0),"※对外销售的去向只能是三矿区或六矿区",IF(AND($K3259="对外销售",ROUND($Q3259,0)=0),"※外销却没有售价，请填实际售价",IF(AND($K3259="对外销售",$T3259&lt;&gt;"",$T3259&lt;0),"※这一笔外销是亏的，请核对售价",IF(IFERROR(VLOOKUP($D3259,库存台账!$A$5:$Y$1204,24,0),0)&lt;-0.001,"※这个物料账面已经变成负数了，查一下是不是漏记入库","")))))))))))</f>
        <v/>
      </c>
    </row>
    <row r="3260">
      <c r="A3260" s="24">
        <f>IF($D3260="","",COUNTA($D$4:$D3260))</f>
        <v/>
      </c>
      <c r="B3260" s="17" t="n"/>
      <c r="C3260" s="30" t="n"/>
      <c r="D3260" s="17" t="n"/>
      <c r="E3260" s="24">
        <f>IF($D3260="","",IFERROR(VLOOKUP($D3260,物料档案!$A$4:$P$1203,3,0),"※编码不在物料档案里"))</f>
        <v/>
      </c>
      <c r="F3260" s="24">
        <f>IF($D3260="","",IFERROR(VLOOKUP($D3260,物料档案!$A$4:$P$1203,4,0),"※编码不在物料档案里"))</f>
        <v/>
      </c>
      <c r="G3260" s="24">
        <f>IF($D3260="","",IFERROR(VLOOKUP($D3260,物料档案!$A$4:$P$1203,5,0),"※编码不在物料档案里"))</f>
        <v/>
      </c>
      <c r="H3260" s="24">
        <f>IF($D3260="","",IFERROR(VLOOKUP($D3260,物料档案!$A$4:$P$1203,2,0),"※编码不在物料档案里"))</f>
        <v/>
      </c>
      <c r="I3260" s="24">
        <f>IF($D3260="","",IFERROR(VLOOKUP($D3260,物料档案!$A$4:$P$1203,6,0),"※编码不在物料档案里"))</f>
        <v/>
      </c>
      <c r="J3260" s="23" t="n"/>
      <c r="K3260" s="17" t="n"/>
      <c r="L3260" s="17" t="n"/>
      <c r="M3260" s="17" t="n"/>
      <c r="N3260" s="17" t="n"/>
      <c r="O3260" s="26">
        <f>IF($D3260="","",IFERROR(VLOOKUP($D3260,物料档案!$A$4:$P$1203,10,0),0))</f>
        <v/>
      </c>
      <c r="P3260" s="32" t="n"/>
      <c r="Q3260" s="26">
        <f>IF($D3260="","",IF($K3260&lt;&gt;"对外销售",0,ROUND(N($J3260)*IF($P3260="",N($O3260),N($P3260)),0)))</f>
        <v/>
      </c>
      <c r="R3260" s="26">
        <f>IF($D3260="","",IFERROR(VLOOKUP($D3260,库存台账!$A$5:$Y$1204,11,0),0))</f>
        <v/>
      </c>
      <c r="S3260" s="26">
        <f>IF($D3260="","",ROUND(N($J3260)*N($R3260),0))</f>
        <v/>
      </c>
      <c r="T3260" s="26">
        <f>IF($D3260="","",IF($K3260&lt;&gt;"对外销售","",ROUND($Q3260-$S3260,0)))</f>
        <v/>
      </c>
      <c r="U3260" s="17" t="n"/>
      <c r="V3260" s="17" t="n"/>
      <c r="W3260" s="24">
        <f>IF($D3260="","",IF($E3260="※编码不在物料档案里","※物料编码不在档案里",IF(N($J3260)&lt;=0,"※出库数量要大于 0",IF($K3260="","※没填去向类型",IF($L3260="","※没填去向矿区",IF(AND($C3260&lt;&gt;"",$C3260&lt;=结账锁),"※日期早于已结账截止日，不能再录",IF(AND($K3260="自用消耗",COUNTIF({"一矿区";"二矿区"},$L3260)=0),"※自用消耗的去向只能是一矿区或二矿区",IF(AND($K3260="对外销售",COUNTIF({"三矿区";"六矿区"},$L3260)=0),"※对外销售的去向只能是三矿区或六矿区",IF(AND($K3260="对外销售",ROUND($Q3260,0)=0),"※外销却没有售价，请填实际售价",IF(AND($K3260="对外销售",$T3260&lt;&gt;"",$T3260&lt;0),"※这一笔外销是亏的，请核对售价",IF(IFERROR(VLOOKUP($D3260,库存台账!$A$5:$Y$1204,24,0),0)&lt;-0.001,"※这个物料账面已经变成负数了，查一下是不是漏记入库","")))))))))))</f>
        <v/>
      </c>
    </row>
    <row r="3261">
      <c r="A3261" s="24">
        <f>IF($D3261="","",COUNTA($D$4:$D3261))</f>
        <v/>
      </c>
      <c r="B3261" s="17" t="n"/>
      <c r="C3261" s="30" t="n"/>
      <c r="D3261" s="17" t="n"/>
      <c r="E3261" s="24">
        <f>IF($D3261="","",IFERROR(VLOOKUP($D3261,物料档案!$A$4:$P$1203,3,0),"※编码不在物料档案里"))</f>
        <v/>
      </c>
      <c r="F3261" s="24">
        <f>IF($D3261="","",IFERROR(VLOOKUP($D3261,物料档案!$A$4:$P$1203,4,0),"※编码不在物料档案里"))</f>
        <v/>
      </c>
      <c r="G3261" s="24">
        <f>IF($D3261="","",IFERROR(VLOOKUP($D3261,物料档案!$A$4:$P$1203,5,0),"※编码不在物料档案里"))</f>
        <v/>
      </c>
      <c r="H3261" s="24">
        <f>IF($D3261="","",IFERROR(VLOOKUP($D3261,物料档案!$A$4:$P$1203,2,0),"※编码不在物料档案里"))</f>
        <v/>
      </c>
      <c r="I3261" s="24">
        <f>IF($D3261="","",IFERROR(VLOOKUP($D3261,物料档案!$A$4:$P$1203,6,0),"※编码不在物料档案里"))</f>
        <v/>
      </c>
      <c r="J3261" s="23" t="n"/>
      <c r="K3261" s="17" t="n"/>
      <c r="L3261" s="17" t="n"/>
      <c r="M3261" s="17" t="n"/>
      <c r="N3261" s="17" t="n"/>
      <c r="O3261" s="26">
        <f>IF($D3261="","",IFERROR(VLOOKUP($D3261,物料档案!$A$4:$P$1203,10,0),0))</f>
        <v/>
      </c>
      <c r="P3261" s="32" t="n"/>
      <c r="Q3261" s="26">
        <f>IF($D3261="","",IF($K3261&lt;&gt;"对外销售",0,ROUND(N($J3261)*IF($P3261="",N($O3261),N($P3261)),0)))</f>
        <v/>
      </c>
      <c r="R3261" s="26">
        <f>IF($D3261="","",IFERROR(VLOOKUP($D3261,库存台账!$A$5:$Y$1204,11,0),0))</f>
        <v/>
      </c>
      <c r="S3261" s="26">
        <f>IF($D3261="","",ROUND(N($J3261)*N($R3261),0))</f>
        <v/>
      </c>
      <c r="T3261" s="26">
        <f>IF($D3261="","",IF($K3261&lt;&gt;"对外销售","",ROUND($Q3261-$S3261,0)))</f>
        <v/>
      </c>
      <c r="U3261" s="17" t="n"/>
      <c r="V3261" s="17" t="n"/>
      <c r="W3261" s="24">
        <f>IF($D3261="","",IF($E3261="※编码不在物料档案里","※物料编码不在档案里",IF(N($J3261)&lt;=0,"※出库数量要大于 0",IF($K3261="","※没填去向类型",IF($L3261="","※没填去向矿区",IF(AND($C3261&lt;&gt;"",$C3261&lt;=结账锁),"※日期早于已结账截止日，不能再录",IF(AND($K3261="自用消耗",COUNTIF({"一矿区";"二矿区"},$L3261)=0),"※自用消耗的去向只能是一矿区或二矿区",IF(AND($K3261="对外销售",COUNTIF({"三矿区";"六矿区"},$L3261)=0),"※对外销售的去向只能是三矿区或六矿区",IF(AND($K3261="对外销售",ROUND($Q3261,0)=0),"※外销却没有售价，请填实际售价",IF(AND($K3261="对外销售",$T3261&lt;&gt;"",$T3261&lt;0),"※这一笔外销是亏的，请核对售价",IF(IFERROR(VLOOKUP($D3261,库存台账!$A$5:$Y$1204,24,0),0)&lt;-0.001,"※这个物料账面已经变成负数了，查一下是不是漏记入库","")))))))))))</f>
        <v/>
      </c>
    </row>
    <row r="3262">
      <c r="A3262" s="24">
        <f>IF($D3262="","",COUNTA($D$4:$D3262))</f>
        <v/>
      </c>
      <c r="B3262" s="17" t="n"/>
      <c r="C3262" s="30" t="n"/>
      <c r="D3262" s="17" t="n"/>
      <c r="E3262" s="24">
        <f>IF($D3262="","",IFERROR(VLOOKUP($D3262,物料档案!$A$4:$P$1203,3,0),"※编码不在物料档案里"))</f>
        <v/>
      </c>
      <c r="F3262" s="24">
        <f>IF($D3262="","",IFERROR(VLOOKUP($D3262,物料档案!$A$4:$P$1203,4,0),"※编码不在物料档案里"))</f>
        <v/>
      </c>
      <c r="G3262" s="24">
        <f>IF($D3262="","",IFERROR(VLOOKUP($D3262,物料档案!$A$4:$P$1203,5,0),"※编码不在物料档案里"))</f>
        <v/>
      </c>
      <c r="H3262" s="24">
        <f>IF($D3262="","",IFERROR(VLOOKUP($D3262,物料档案!$A$4:$P$1203,2,0),"※编码不在物料档案里"))</f>
        <v/>
      </c>
      <c r="I3262" s="24">
        <f>IF($D3262="","",IFERROR(VLOOKUP($D3262,物料档案!$A$4:$P$1203,6,0),"※编码不在物料档案里"))</f>
        <v/>
      </c>
      <c r="J3262" s="23" t="n"/>
      <c r="K3262" s="17" t="n"/>
      <c r="L3262" s="17" t="n"/>
      <c r="M3262" s="17" t="n"/>
      <c r="N3262" s="17" t="n"/>
      <c r="O3262" s="26">
        <f>IF($D3262="","",IFERROR(VLOOKUP($D3262,物料档案!$A$4:$P$1203,10,0),0))</f>
        <v/>
      </c>
      <c r="P3262" s="32" t="n"/>
      <c r="Q3262" s="26">
        <f>IF($D3262="","",IF($K3262&lt;&gt;"对外销售",0,ROUND(N($J3262)*IF($P3262="",N($O3262),N($P3262)),0)))</f>
        <v/>
      </c>
      <c r="R3262" s="26">
        <f>IF($D3262="","",IFERROR(VLOOKUP($D3262,库存台账!$A$5:$Y$1204,11,0),0))</f>
        <v/>
      </c>
      <c r="S3262" s="26">
        <f>IF($D3262="","",ROUND(N($J3262)*N($R3262),0))</f>
        <v/>
      </c>
      <c r="T3262" s="26">
        <f>IF($D3262="","",IF($K3262&lt;&gt;"对外销售","",ROUND($Q3262-$S3262,0)))</f>
        <v/>
      </c>
      <c r="U3262" s="17" t="n"/>
      <c r="V3262" s="17" t="n"/>
      <c r="W3262" s="24">
        <f>IF($D3262="","",IF($E3262="※编码不在物料档案里","※物料编码不在档案里",IF(N($J3262)&lt;=0,"※出库数量要大于 0",IF($K3262="","※没填去向类型",IF($L3262="","※没填去向矿区",IF(AND($C3262&lt;&gt;"",$C3262&lt;=结账锁),"※日期早于已结账截止日，不能再录",IF(AND($K3262="自用消耗",COUNTIF({"一矿区";"二矿区"},$L3262)=0),"※自用消耗的去向只能是一矿区或二矿区",IF(AND($K3262="对外销售",COUNTIF({"三矿区";"六矿区"},$L3262)=0),"※对外销售的去向只能是三矿区或六矿区",IF(AND($K3262="对外销售",ROUND($Q3262,0)=0),"※外销却没有售价，请填实际售价",IF(AND($K3262="对外销售",$T3262&lt;&gt;"",$T3262&lt;0),"※这一笔外销是亏的，请核对售价",IF(IFERROR(VLOOKUP($D3262,库存台账!$A$5:$Y$1204,24,0),0)&lt;-0.001,"※这个物料账面已经变成负数了，查一下是不是漏记入库","")))))))))))</f>
        <v/>
      </c>
    </row>
    <row r="3263">
      <c r="A3263" s="24">
        <f>IF($D3263="","",COUNTA($D$4:$D3263))</f>
        <v/>
      </c>
      <c r="B3263" s="17" t="n"/>
      <c r="C3263" s="30" t="n"/>
      <c r="D3263" s="17" t="n"/>
      <c r="E3263" s="24">
        <f>IF($D3263="","",IFERROR(VLOOKUP($D3263,物料档案!$A$4:$P$1203,3,0),"※编码不在物料档案里"))</f>
        <v/>
      </c>
      <c r="F3263" s="24">
        <f>IF($D3263="","",IFERROR(VLOOKUP($D3263,物料档案!$A$4:$P$1203,4,0),"※编码不在物料档案里"))</f>
        <v/>
      </c>
      <c r="G3263" s="24">
        <f>IF($D3263="","",IFERROR(VLOOKUP($D3263,物料档案!$A$4:$P$1203,5,0),"※编码不在物料档案里"))</f>
        <v/>
      </c>
      <c r="H3263" s="24">
        <f>IF($D3263="","",IFERROR(VLOOKUP($D3263,物料档案!$A$4:$P$1203,2,0),"※编码不在物料档案里"))</f>
        <v/>
      </c>
      <c r="I3263" s="24">
        <f>IF($D3263="","",IFERROR(VLOOKUP($D3263,物料档案!$A$4:$P$1203,6,0),"※编码不在物料档案里"))</f>
        <v/>
      </c>
      <c r="J3263" s="23" t="n"/>
      <c r="K3263" s="17" t="n"/>
      <c r="L3263" s="17" t="n"/>
      <c r="M3263" s="17" t="n"/>
      <c r="N3263" s="17" t="n"/>
      <c r="O3263" s="26">
        <f>IF($D3263="","",IFERROR(VLOOKUP($D3263,物料档案!$A$4:$P$1203,10,0),0))</f>
        <v/>
      </c>
      <c r="P3263" s="32" t="n"/>
      <c r="Q3263" s="26">
        <f>IF($D3263="","",IF($K3263&lt;&gt;"对外销售",0,ROUND(N($J3263)*IF($P3263="",N($O3263),N($P3263)),0)))</f>
        <v/>
      </c>
      <c r="R3263" s="26">
        <f>IF($D3263="","",IFERROR(VLOOKUP($D3263,库存台账!$A$5:$Y$1204,11,0),0))</f>
        <v/>
      </c>
      <c r="S3263" s="26">
        <f>IF($D3263="","",ROUND(N($J3263)*N($R3263),0))</f>
        <v/>
      </c>
      <c r="T3263" s="26">
        <f>IF($D3263="","",IF($K3263&lt;&gt;"对外销售","",ROUND($Q3263-$S3263,0)))</f>
        <v/>
      </c>
      <c r="U3263" s="17" t="n"/>
      <c r="V3263" s="17" t="n"/>
      <c r="W3263" s="24">
        <f>IF($D3263="","",IF($E3263="※编码不在物料档案里","※物料编码不在档案里",IF(N($J3263)&lt;=0,"※出库数量要大于 0",IF($K3263="","※没填去向类型",IF($L3263="","※没填去向矿区",IF(AND($C3263&lt;&gt;"",$C3263&lt;=结账锁),"※日期早于已结账截止日，不能再录",IF(AND($K3263="自用消耗",COUNTIF({"一矿区";"二矿区"},$L3263)=0),"※自用消耗的去向只能是一矿区或二矿区",IF(AND($K3263="对外销售",COUNTIF({"三矿区";"六矿区"},$L3263)=0),"※对外销售的去向只能是三矿区或六矿区",IF(AND($K3263="对外销售",ROUND($Q3263,0)=0),"※外销却没有售价，请填实际售价",IF(AND($K3263="对外销售",$T3263&lt;&gt;"",$T3263&lt;0),"※这一笔外销是亏的，请核对售价",IF(IFERROR(VLOOKUP($D3263,库存台账!$A$5:$Y$1204,24,0),0)&lt;-0.001,"※这个物料账面已经变成负数了，查一下是不是漏记入库","")))))))))))</f>
        <v/>
      </c>
    </row>
    <row r="3264">
      <c r="A3264" s="24">
        <f>IF($D3264="","",COUNTA($D$4:$D3264))</f>
        <v/>
      </c>
      <c r="B3264" s="17" t="n"/>
      <c r="C3264" s="30" t="n"/>
      <c r="D3264" s="17" t="n"/>
      <c r="E3264" s="24">
        <f>IF($D3264="","",IFERROR(VLOOKUP($D3264,物料档案!$A$4:$P$1203,3,0),"※编码不在物料档案里"))</f>
        <v/>
      </c>
      <c r="F3264" s="24">
        <f>IF($D3264="","",IFERROR(VLOOKUP($D3264,物料档案!$A$4:$P$1203,4,0),"※编码不在物料档案里"))</f>
        <v/>
      </c>
      <c r="G3264" s="24">
        <f>IF($D3264="","",IFERROR(VLOOKUP($D3264,物料档案!$A$4:$P$1203,5,0),"※编码不在物料档案里"))</f>
        <v/>
      </c>
      <c r="H3264" s="24">
        <f>IF($D3264="","",IFERROR(VLOOKUP($D3264,物料档案!$A$4:$P$1203,2,0),"※编码不在物料档案里"))</f>
        <v/>
      </c>
      <c r="I3264" s="24">
        <f>IF($D3264="","",IFERROR(VLOOKUP($D3264,物料档案!$A$4:$P$1203,6,0),"※编码不在物料档案里"))</f>
        <v/>
      </c>
      <c r="J3264" s="23" t="n"/>
      <c r="K3264" s="17" t="n"/>
      <c r="L3264" s="17" t="n"/>
      <c r="M3264" s="17" t="n"/>
      <c r="N3264" s="17" t="n"/>
      <c r="O3264" s="26">
        <f>IF($D3264="","",IFERROR(VLOOKUP($D3264,物料档案!$A$4:$P$1203,10,0),0))</f>
        <v/>
      </c>
      <c r="P3264" s="32" t="n"/>
      <c r="Q3264" s="26">
        <f>IF($D3264="","",IF($K3264&lt;&gt;"对外销售",0,ROUND(N($J3264)*IF($P3264="",N($O3264),N($P3264)),0)))</f>
        <v/>
      </c>
      <c r="R3264" s="26">
        <f>IF($D3264="","",IFERROR(VLOOKUP($D3264,库存台账!$A$5:$Y$1204,11,0),0))</f>
        <v/>
      </c>
      <c r="S3264" s="26">
        <f>IF($D3264="","",ROUND(N($J3264)*N($R3264),0))</f>
        <v/>
      </c>
      <c r="T3264" s="26">
        <f>IF($D3264="","",IF($K3264&lt;&gt;"对外销售","",ROUND($Q3264-$S3264,0)))</f>
        <v/>
      </c>
      <c r="U3264" s="17" t="n"/>
      <c r="V3264" s="17" t="n"/>
      <c r="W3264" s="24">
        <f>IF($D3264="","",IF($E3264="※编码不在物料档案里","※物料编码不在档案里",IF(N($J3264)&lt;=0,"※出库数量要大于 0",IF($K3264="","※没填去向类型",IF($L3264="","※没填去向矿区",IF(AND($C3264&lt;&gt;"",$C3264&lt;=结账锁),"※日期早于已结账截止日，不能再录",IF(AND($K3264="自用消耗",COUNTIF({"一矿区";"二矿区"},$L3264)=0),"※自用消耗的去向只能是一矿区或二矿区",IF(AND($K3264="对外销售",COUNTIF({"三矿区";"六矿区"},$L3264)=0),"※对外销售的去向只能是三矿区或六矿区",IF(AND($K3264="对外销售",ROUND($Q3264,0)=0),"※外销却没有售价，请填实际售价",IF(AND($K3264="对外销售",$T3264&lt;&gt;"",$T3264&lt;0),"※这一笔外销是亏的，请核对售价",IF(IFERROR(VLOOKUP($D3264,库存台账!$A$5:$Y$1204,24,0),0)&lt;-0.001,"※这个物料账面已经变成负数了，查一下是不是漏记入库","")))))))))))</f>
        <v/>
      </c>
    </row>
    <row r="3265">
      <c r="A3265" s="24">
        <f>IF($D3265="","",COUNTA($D$4:$D3265))</f>
        <v/>
      </c>
      <c r="B3265" s="17" t="n"/>
      <c r="C3265" s="30" t="n"/>
      <c r="D3265" s="17" t="n"/>
      <c r="E3265" s="24">
        <f>IF($D3265="","",IFERROR(VLOOKUP($D3265,物料档案!$A$4:$P$1203,3,0),"※编码不在物料档案里"))</f>
        <v/>
      </c>
      <c r="F3265" s="24">
        <f>IF($D3265="","",IFERROR(VLOOKUP($D3265,物料档案!$A$4:$P$1203,4,0),"※编码不在物料档案里"))</f>
        <v/>
      </c>
      <c r="G3265" s="24">
        <f>IF($D3265="","",IFERROR(VLOOKUP($D3265,物料档案!$A$4:$P$1203,5,0),"※编码不在物料档案里"))</f>
        <v/>
      </c>
      <c r="H3265" s="24">
        <f>IF($D3265="","",IFERROR(VLOOKUP($D3265,物料档案!$A$4:$P$1203,2,0),"※编码不在物料档案里"))</f>
        <v/>
      </c>
      <c r="I3265" s="24">
        <f>IF($D3265="","",IFERROR(VLOOKUP($D3265,物料档案!$A$4:$P$1203,6,0),"※编码不在物料档案里"))</f>
        <v/>
      </c>
      <c r="J3265" s="23" t="n"/>
      <c r="K3265" s="17" t="n"/>
      <c r="L3265" s="17" t="n"/>
      <c r="M3265" s="17" t="n"/>
      <c r="N3265" s="17" t="n"/>
      <c r="O3265" s="26">
        <f>IF($D3265="","",IFERROR(VLOOKUP($D3265,物料档案!$A$4:$P$1203,10,0),0))</f>
        <v/>
      </c>
      <c r="P3265" s="32" t="n"/>
      <c r="Q3265" s="26">
        <f>IF($D3265="","",IF($K3265&lt;&gt;"对外销售",0,ROUND(N($J3265)*IF($P3265="",N($O3265),N($P3265)),0)))</f>
        <v/>
      </c>
      <c r="R3265" s="26">
        <f>IF($D3265="","",IFERROR(VLOOKUP($D3265,库存台账!$A$5:$Y$1204,11,0),0))</f>
        <v/>
      </c>
      <c r="S3265" s="26">
        <f>IF($D3265="","",ROUND(N($J3265)*N($R3265),0))</f>
        <v/>
      </c>
      <c r="T3265" s="26">
        <f>IF($D3265="","",IF($K3265&lt;&gt;"对外销售","",ROUND($Q3265-$S3265,0)))</f>
        <v/>
      </c>
      <c r="U3265" s="17" t="n"/>
      <c r="V3265" s="17" t="n"/>
      <c r="W3265" s="24">
        <f>IF($D3265="","",IF($E3265="※编码不在物料档案里","※物料编码不在档案里",IF(N($J3265)&lt;=0,"※出库数量要大于 0",IF($K3265="","※没填去向类型",IF($L3265="","※没填去向矿区",IF(AND($C3265&lt;&gt;"",$C3265&lt;=结账锁),"※日期早于已结账截止日，不能再录",IF(AND($K3265="自用消耗",COUNTIF({"一矿区";"二矿区"},$L3265)=0),"※自用消耗的去向只能是一矿区或二矿区",IF(AND($K3265="对外销售",COUNTIF({"三矿区";"六矿区"},$L3265)=0),"※对外销售的去向只能是三矿区或六矿区",IF(AND($K3265="对外销售",ROUND($Q3265,0)=0),"※外销却没有售价，请填实际售价",IF(AND($K3265="对外销售",$T3265&lt;&gt;"",$T3265&lt;0),"※这一笔外销是亏的，请核对售价",IF(IFERROR(VLOOKUP($D3265,库存台账!$A$5:$Y$1204,24,0),0)&lt;-0.001,"※这个物料账面已经变成负数了，查一下是不是漏记入库","")))))))))))</f>
        <v/>
      </c>
    </row>
    <row r="3266">
      <c r="A3266" s="24">
        <f>IF($D3266="","",COUNTA($D$4:$D3266))</f>
        <v/>
      </c>
      <c r="B3266" s="17" t="n"/>
      <c r="C3266" s="30" t="n"/>
      <c r="D3266" s="17" t="n"/>
      <c r="E3266" s="24">
        <f>IF($D3266="","",IFERROR(VLOOKUP($D3266,物料档案!$A$4:$P$1203,3,0),"※编码不在物料档案里"))</f>
        <v/>
      </c>
      <c r="F3266" s="24">
        <f>IF($D3266="","",IFERROR(VLOOKUP($D3266,物料档案!$A$4:$P$1203,4,0),"※编码不在物料档案里"))</f>
        <v/>
      </c>
      <c r="G3266" s="24">
        <f>IF($D3266="","",IFERROR(VLOOKUP($D3266,物料档案!$A$4:$P$1203,5,0),"※编码不在物料档案里"))</f>
        <v/>
      </c>
      <c r="H3266" s="24">
        <f>IF($D3266="","",IFERROR(VLOOKUP($D3266,物料档案!$A$4:$P$1203,2,0),"※编码不在物料档案里"))</f>
        <v/>
      </c>
      <c r="I3266" s="24">
        <f>IF($D3266="","",IFERROR(VLOOKUP($D3266,物料档案!$A$4:$P$1203,6,0),"※编码不在物料档案里"))</f>
        <v/>
      </c>
      <c r="J3266" s="23" t="n"/>
      <c r="K3266" s="17" t="n"/>
      <c r="L3266" s="17" t="n"/>
      <c r="M3266" s="17" t="n"/>
      <c r="N3266" s="17" t="n"/>
      <c r="O3266" s="26">
        <f>IF($D3266="","",IFERROR(VLOOKUP($D3266,物料档案!$A$4:$P$1203,10,0),0))</f>
        <v/>
      </c>
      <c r="P3266" s="32" t="n"/>
      <c r="Q3266" s="26">
        <f>IF($D3266="","",IF($K3266&lt;&gt;"对外销售",0,ROUND(N($J3266)*IF($P3266="",N($O3266),N($P3266)),0)))</f>
        <v/>
      </c>
      <c r="R3266" s="26">
        <f>IF($D3266="","",IFERROR(VLOOKUP($D3266,库存台账!$A$5:$Y$1204,11,0),0))</f>
        <v/>
      </c>
      <c r="S3266" s="26">
        <f>IF($D3266="","",ROUND(N($J3266)*N($R3266),0))</f>
        <v/>
      </c>
      <c r="T3266" s="26">
        <f>IF($D3266="","",IF($K3266&lt;&gt;"对外销售","",ROUND($Q3266-$S3266,0)))</f>
        <v/>
      </c>
      <c r="U3266" s="17" t="n"/>
      <c r="V3266" s="17" t="n"/>
      <c r="W3266" s="24">
        <f>IF($D3266="","",IF($E3266="※编码不在物料档案里","※物料编码不在档案里",IF(N($J3266)&lt;=0,"※出库数量要大于 0",IF($K3266="","※没填去向类型",IF($L3266="","※没填去向矿区",IF(AND($C3266&lt;&gt;"",$C3266&lt;=结账锁),"※日期早于已结账截止日，不能再录",IF(AND($K3266="自用消耗",COUNTIF({"一矿区";"二矿区"},$L3266)=0),"※自用消耗的去向只能是一矿区或二矿区",IF(AND($K3266="对外销售",COUNTIF({"三矿区";"六矿区"},$L3266)=0),"※对外销售的去向只能是三矿区或六矿区",IF(AND($K3266="对外销售",ROUND($Q3266,0)=0),"※外销却没有售价，请填实际售价",IF(AND($K3266="对外销售",$T3266&lt;&gt;"",$T3266&lt;0),"※这一笔外销是亏的，请核对售价",IF(IFERROR(VLOOKUP($D3266,库存台账!$A$5:$Y$1204,24,0),0)&lt;-0.001,"※这个物料账面已经变成负数了，查一下是不是漏记入库","")))))))))))</f>
        <v/>
      </c>
    </row>
    <row r="3267">
      <c r="A3267" s="24">
        <f>IF($D3267="","",COUNTA($D$4:$D3267))</f>
        <v/>
      </c>
      <c r="B3267" s="17" t="n"/>
      <c r="C3267" s="30" t="n"/>
      <c r="D3267" s="17" t="n"/>
      <c r="E3267" s="24">
        <f>IF($D3267="","",IFERROR(VLOOKUP($D3267,物料档案!$A$4:$P$1203,3,0),"※编码不在物料档案里"))</f>
        <v/>
      </c>
      <c r="F3267" s="24">
        <f>IF($D3267="","",IFERROR(VLOOKUP($D3267,物料档案!$A$4:$P$1203,4,0),"※编码不在物料档案里"))</f>
        <v/>
      </c>
      <c r="G3267" s="24">
        <f>IF($D3267="","",IFERROR(VLOOKUP($D3267,物料档案!$A$4:$P$1203,5,0),"※编码不在物料档案里"))</f>
        <v/>
      </c>
      <c r="H3267" s="24">
        <f>IF($D3267="","",IFERROR(VLOOKUP($D3267,物料档案!$A$4:$P$1203,2,0),"※编码不在物料档案里"))</f>
        <v/>
      </c>
      <c r="I3267" s="24">
        <f>IF($D3267="","",IFERROR(VLOOKUP($D3267,物料档案!$A$4:$P$1203,6,0),"※编码不在物料档案里"))</f>
        <v/>
      </c>
      <c r="J3267" s="23" t="n"/>
      <c r="K3267" s="17" t="n"/>
      <c r="L3267" s="17" t="n"/>
      <c r="M3267" s="17" t="n"/>
      <c r="N3267" s="17" t="n"/>
      <c r="O3267" s="26">
        <f>IF($D3267="","",IFERROR(VLOOKUP($D3267,物料档案!$A$4:$P$1203,10,0),0))</f>
        <v/>
      </c>
      <c r="P3267" s="32" t="n"/>
      <c r="Q3267" s="26">
        <f>IF($D3267="","",IF($K3267&lt;&gt;"对外销售",0,ROUND(N($J3267)*IF($P3267="",N($O3267),N($P3267)),0)))</f>
        <v/>
      </c>
      <c r="R3267" s="26">
        <f>IF($D3267="","",IFERROR(VLOOKUP($D3267,库存台账!$A$5:$Y$1204,11,0),0))</f>
        <v/>
      </c>
      <c r="S3267" s="26">
        <f>IF($D3267="","",ROUND(N($J3267)*N($R3267),0))</f>
        <v/>
      </c>
      <c r="T3267" s="26">
        <f>IF($D3267="","",IF($K3267&lt;&gt;"对外销售","",ROUND($Q3267-$S3267,0)))</f>
        <v/>
      </c>
      <c r="U3267" s="17" t="n"/>
      <c r="V3267" s="17" t="n"/>
      <c r="W3267" s="24">
        <f>IF($D3267="","",IF($E3267="※编码不在物料档案里","※物料编码不在档案里",IF(N($J3267)&lt;=0,"※出库数量要大于 0",IF($K3267="","※没填去向类型",IF($L3267="","※没填去向矿区",IF(AND($C3267&lt;&gt;"",$C3267&lt;=结账锁),"※日期早于已结账截止日，不能再录",IF(AND($K3267="自用消耗",COUNTIF({"一矿区";"二矿区"},$L3267)=0),"※自用消耗的去向只能是一矿区或二矿区",IF(AND($K3267="对外销售",COUNTIF({"三矿区";"六矿区"},$L3267)=0),"※对外销售的去向只能是三矿区或六矿区",IF(AND($K3267="对外销售",ROUND($Q3267,0)=0),"※外销却没有售价，请填实际售价",IF(AND($K3267="对外销售",$T3267&lt;&gt;"",$T3267&lt;0),"※这一笔外销是亏的，请核对售价",IF(IFERROR(VLOOKUP($D3267,库存台账!$A$5:$Y$1204,24,0),0)&lt;-0.001,"※这个物料账面已经变成负数了，查一下是不是漏记入库","")))))))))))</f>
        <v/>
      </c>
    </row>
    <row r="3268">
      <c r="A3268" s="24">
        <f>IF($D3268="","",COUNTA($D$4:$D3268))</f>
        <v/>
      </c>
      <c r="B3268" s="17" t="n"/>
      <c r="C3268" s="30" t="n"/>
      <c r="D3268" s="17" t="n"/>
      <c r="E3268" s="24">
        <f>IF($D3268="","",IFERROR(VLOOKUP($D3268,物料档案!$A$4:$P$1203,3,0),"※编码不在物料档案里"))</f>
        <v/>
      </c>
      <c r="F3268" s="24">
        <f>IF($D3268="","",IFERROR(VLOOKUP($D3268,物料档案!$A$4:$P$1203,4,0),"※编码不在物料档案里"))</f>
        <v/>
      </c>
      <c r="G3268" s="24">
        <f>IF($D3268="","",IFERROR(VLOOKUP($D3268,物料档案!$A$4:$P$1203,5,0),"※编码不在物料档案里"))</f>
        <v/>
      </c>
      <c r="H3268" s="24">
        <f>IF($D3268="","",IFERROR(VLOOKUP($D3268,物料档案!$A$4:$P$1203,2,0),"※编码不在物料档案里"))</f>
        <v/>
      </c>
      <c r="I3268" s="24">
        <f>IF($D3268="","",IFERROR(VLOOKUP($D3268,物料档案!$A$4:$P$1203,6,0),"※编码不在物料档案里"))</f>
        <v/>
      </c>
      <c r="J3268" s="23" t="n"/>
      <c r="K3268" s="17" t="n"/>
      <c r="L3268" s="17" t="n"/>
      <c r="M3268" s="17" t="n"/>
      <c r="N3268" s="17" t="n"/>
      <c r="O3268" s="26">
        <f>IF($D3268="","",IFERROR(VLOOKUP($D3268,物料档案!$A$4:$P$1203,10,0),0))</f>
        <v/>
      </c>
      <c r="P3268" s="32" t="n"/>
      <c r="Q3268" s="26">
        <f>IF($D3268="","",IF($K3268&lt;&gt;"对外销售",0,ROUND(N($J3268)*IF($P3268="",N($O3268),N($P3268)),0)))</f>
        <v/>
      </c>
      <c r="R3268" s="26">
        <f>IF($D3268="","",IFERROR(VLOOKUP($D3268,库存台账!$A$5:$Y$1204,11,0),0))</f>
        <v/>
      </c>
      <c r="S3268" s="26">
        <f>IF($D3268="","",ROUND(N($J3268)*N($R3268),0))</f>
        <v/>
      </c>
      <c r="T3268" s="26">
        <f>IF($D3268="","",IF($K3268&lt;&gt;"对外销售","",ROUND($Q3268-$S3268,0)))</f>
        <v/>
      </c>
      <c r="U3268" s="17" t="n"/>
      <c r="V3268" s="17" t="n"/>
      <c r="W3268" s="24">
        <f>IF($D3268="","",IF($E3268="※编码不在物料档案里","※物料编码不在档案里",IF(N($J3268)&lt;=0,"※出库数量要大于 0",IF($K3268="","※没填去向类型",IF($L3268="","※没填去向矿区",IF(AND($C3268&lt;&gt;"",$C3268&lt;=结账锁),"※日期早于已结账截止日，不能再录",IF(AND($K3268="自用消耗",COUNTIF({"一矿区";"二矿区"},$L3268)=0),"※自用消耗的去向只能是一矿区或二矿区",IF(AND($K3268="对外销售",COUNTIF({"三矿区";"六矿区"},$L3268)=0),"※对外销售的去向只能是三矿区或六矿区",IF(AND($K3268="对外销售",ROUND($Q3268,0)=0),"※外销却没有售价，请填实际售价",IF(AND($K3268="对外销售",$T3268&lt;&gt;"",$T3268&lt;0),"※这一笔外销是亏的，请核对售价",IF(IFERROR(VLOOKUP($D3268,库存台账!$A$5:$Y$1204,24,0),0)&lt;-0.001,"※这个物料账面已经变成负数了，查一下是不是漏记入库","")))))))))))</f>
        <v/>
      </c>
    </row>
    <row r="3269">
      <c r="A3269" s="24">
        <f>IF($D3269="","",COUNTA($D$4:$D3269))</f>
        <v/>
      </c>
      <c r="B3269" s="17" t="n"/>
      <c r="C3269" s="30" t="n"/>
      <c r="D3269" s="17" t="n"/>
      <c r="E3269" s="24">
        <f>IF($D3269="","",IFERROR(VLOOKUP($D3269,物料档案!$A$4:$P$1203,3,0),"※编码不在物料档案里"))</f>
        <v/>
      </c>
      <c r="F3269" s="24">
        <f>IF($D3269="","",IFERROR(VLOOKUP($D3269,物料档案!$A$4:$P$1203,4,0),"※编码不在物料档案里"))</f>
        <v/>
      </c>
      <c r="G3269" s="24">
        <f>IF($D3269="","",IFERROR(VLOOKUP($D3269,物料档案!$A$4:$P$1203,5,0),"※编码不在物料档案里"))</f>
        <v/>
      </c>
      <c r="H3269" s="24">
        <f>IF($D3269="","",IFERROR(VLOOKUP($D3269,物料档案!$A$4:$P$1203,2,0),"※编码不在物料档案里"))</f>
        <v/>
      </c>
      <c r="I3269" s="24">
        <f>IF($D3269="","",IFERROR(VLOOKUP($D3269,物料档案!$A$4:$P$1203,6,0),"※编码不在物料档案里"))</f>
        <v/>
      </c>
      <c r="J3269" s="23" t="n"/>
      <c r="K3269" s="17" t="n"/>
      <c r="L3269" s="17" t="n"/>
      <c r="M3269" s="17" t="n"/>
      <c r="N3269" s="17" t="n"/>
      <c r="O3269" s="26">
        <f>IF($D3269="","",IFERROR(VLOOKUP($D3269,物料档案!$A$4:$P$1203,10,0),0))</f>
        <v/>
      </c>
      <c r="P3269" s="32" t="n"/>
      <c r="Q3269" s="26">
        <f>IF($D3269="","",IF($K3269&lt;&gt;"对外销售",0,ROUND(N($J3269)*IF($P3269="",N($O3269),N($P3269)),0)))</f>
        <v/>
      </c>
      <c r="R3269" s="26">
        <f>IF($D3269="","",IFERROR(VLOOKUP($D3269,库存台账!$A$5:$Y$1204,11,0),0))</f>
        <v/>
      </c>
      <c r="S3269" s="26">
        <f>IF($D3269="","",ROUND(N($J3269)*N($R3269),0))</f>
        <v/>
      </c>
      <c r="T3269" s="26">
        <f>IF($D3269="","",IF($K3269&lt;&gt;"对外销售","",ROUND($Q3269-$S3269,0)))</f>
        <v/>
      </c>
      <c r="U3269" s="17" t="n"/>
      <c r="V3269" s="17" t="n"/>
      <c r="W3269" s="24">
        <f>IF($D3269="","",IF($E3269="※编码不在物料档案里","※物料编码不在档案里",IF(N($J3269)&lt;=0,"※出库数量要大于 0",IF($K3269="","※没填去向类型",IF($L3269="","※没填去向矿区",IF(AND($C3269&lt;&gt;"",$C3269&lt;=结账锁),"※日期早于已结账截止日，不能再录",IF(AND($K3269="自用消耗",COUNTIF({"一矿区";"二矿区"},$L3269)=0),"※自用消耗的去向只能是一矿区或二矿区",IF(AND($K3269="对外销售",COUNTIF({"三矿区";"六矿区"},$L3269)=0),"※对外销售的去向只能是三矿区或六矿区",IF(AND($K3269="对外销售",ROUND($Q3269,0)=0),"※外销却没有售价，请填实际售价",IF(AND($K3269="对外销售",$T3269&lt;&gt;"",$T3269&lt;0),"※这一笔外销是亏的，请核对售价",IF(IFERROR(VLOOKUP($D3269,库存台账!$A$5:$Y$1204,24,0),0)&lt;-0.001,"※这个物料账面已经变成负数了，查一下是不是漏记入库","")))))))))))</f>
        <v/>
      </c>
    </row>
    <row r="3270">
      <c r="A3270" s="24">
        <f>IF($D3270="","",COUNTA($D$4:$D3270))</f>
        <v/>
      </c>
      <c r="B3270" s="17" t="n"/>
      <c r="C3270" s="30" t="n"/>
      <c r="D3270" s="17" t="n"/>
      <c r="E3270" s="24">
        <f>IF($D3270="","",IFERROR(VLOOKUP($D3270,物料档案!$A$4:$P$1203,3,0),"※编码不在物料档案里"))</f>
        <v/>
      </c>
      <c r="F3270" s="24">
        <f>IF($D3270="","",IFERROR(VLOOKUP($D3270,物料档案!$A$4:$P$1203,4,0),"※编码不在物料档案里"))</f>
        <v/>
      </c>
      <c r="G3270" s="24">
        <f>IF($D3270="","",IFERROR(VLOOKUP($D3270,物料档案!$A$4:$P$1203,5,0),"※编码不在物料档案里"))</f>
        <v/>
      </c>
      <c r="H3270" s="24">
        <f>IF($D3270="","",IFERROR(VLOOKUP($D3270,物料档案!$A$4:$P$1203,2,0),"※编码不在物料档案里"))</f>
        <v/>
      </c>
      <c r="I3270" s="24">
        <f>IF($D3270="","",IFERROR(VLOOKUP($D3270,物料档案!$A$4:$P$1203,6,0),"※编码不在物料档案里"))</f>
        <v/>
      </c>
      <c r="J3270" s="23" t="n"/>
      <c r="K3270" s="17" t="n"/>
      <c r="L3270" s="17" t="n"/>
      <c r="M3270" s="17" t="n"/>
      <c r="N3270" s="17" t="n"/>
      <c r="O3270" s="26">
        <f>IF($D3270="","",IFERROR(VLOOKUP($D3270,物料档案!$A$4:$P$1203,10,0),0))</f>
        <v/>
      </c>
      <c r="P3270" s="32" t="n"/>
      <c r="Q3270" s="26">
        <f>IF($D3270="","",IF($K3270&lt;&gt;"对外销售",0,ROUND(N($J3270)*IF($P3270="",N($O3270),N($P3270)),0)))</f>
        <v/>
      </c>
      <c r="R3270" s="26">
        <f>IF($D3270="","",IFERROR(VLOOKUP($D3270,库存台账!$A$5:$Y$1204,11,0),0))</f>
        <v/>
      </c>
      <c r="S3270" s="26">
        <f>IF($D3270="","",ROUND(N($J3270)*N($R3270),0))</f>
        <v/>
      </c>
      <c r="T3270" s="26">
        <f>IF($D3270="","",IF($K3270&lt;&gt;"对外销售","",ROUND($Q3270-$S3270,0)))</f>
        <v/>
      </c>
      <c r="U3270" s="17" t="n"/>
      <c r="V3270" s="17" t="n"/>
      <c r="W3270" s="24">
        <f>IF($D3270="","",IF($E3270="※编码不在物料档案里","※物料编码不在档案里",IF(N($J3270)&lt;=0,"※出库数量要大于 0",IF($K3270="","※没填去向类型",IF($L3270="","※没填去向矿区",IF(AND($C3270&lt;&gt;"",$C3270&lt;=结账锁),"※日期早于已结账截止日，不能再录",IF(AND($K3270="自用消耗",COUNTIF({"一矿区";"二矿区"},$L3270)=0),"※自用消耗的去向只能是一矿区或二矿区",IF(AND($K3270="对外销售",COUNTIF({"三矿区";"六矿区"},$L3270)=0),"※对外销售的去向只能是三矿区或六矿区",IF(AND($K3270="对外销售",ROUND($Q3270,0)=0),"※外销却没有售价，请填实际售价",IF(AND($K3270="对外销售",$T3270&lt;&gt;"",$T3270&lt;0),"※这一笔外销是亏的，请核对售价",IF(IFERROR(VLOOKUP($D3270,库存台账!$A$5:$Y$1204,24,0),0)&lt;-0.001,"※这个物料账面已经变成负数了，查一下是不是漏记入库","")))))))))))</f>
        <v/>
      </c>
    </row>
    <row r="3271">
      <c r="A3271" s="24">
        <f>IF($D3271="","",COUNTA($D$4:$D3271))</f>
        <v/>
      </c>
      <c r="B3271" s="17" t="n"/>
      <c r="C3271" s="30" t="n"/>
      <c r="D3271" s="17" t="n"/>
      <c r="E3271" s="24">
        <f>IF($D3271="","",IFERROR(VLOOKUP($D3271,物料档案!$A$4:$P$1203,3,0),"※编码不在物料档案里"))</f>
        <v/>
      </c>
      <c r="F3271" s="24">
        <f>IF($D3271="","",IFERROR(VLOOKUP($D3271,物料档案!$A$4:$P$1203,4,0),"※编码不在物料档案里"))</f>
        <v/>
      </c>
      <c r="G3271" s="24">
        <f>IF($D3271="","",IFERROR(VLOOKUP($D3271,物料档案!$A$4:$P$1203,5,0),"※编码不在物料档案里"))</f>
        <v/>
      </c>
      <c r="H3271" s="24">
        <f>IF($D3271="","",IFERROR(VLOOKUP($D3271,物料档案!$A$4:$P$1203,2,0),"※编码不在物料档案里"))</f>
        <v/>
      </c>
      <c r="I3271" s="24">
        <f>IF($D3271="","",IFERROR(VLOOKUP($D3271,物料档案!$A$4:$P$1203,6,0),"※编码不在物料档案里"))</f>
        <v/>
      </c>
      <c r="J3271" s="23" t="n"/>
      <c r="K3271" s="17" t="n"/>
      <c r="L3271" s="17" t="n"/>
      <c r="M3271" s="17" t="n"/>
      <c r="N3271" s="17" t="n"/>
      <c r="O3271" s="26">
        <f>IF($D3271="","",IFERROR(VLOOKUP($D3271,物料档案!$A$4:$P$1203,10,0),0))</f>
        <v/>
      </c>
      <c r="P3271" s="32" t="n"/>
      <c r="Q3271" s="26">
        <f>IF($D3271="","",IF($K3271&lt;&gt;"对外销售",0,ROUND(N($J3271)*IF($P3271="",N($O3271),N($P3271)),0)))</f>
        <v/>
      </c>
      <c r="R3271" s="26">
        <f>IF($D3271="","",IFERROR(VLOOKUP($D3271,库存台账!$A$5:$Y$1204,11,0),0))</f>
        <v/>
      </c>
      <c r="S3271" s="26">
        <f>IF($D3271="","",ROUND(N($J3271)*N($R3271),0))</f>
        <v/>
      </c>
      <c r="T3271" s="26">
        <f>IF($D3271="","",IF($K3271&lt;&gt;"对外销售","",ROUND($Q3271-$S3271,0)))</f>
        <v/>
      </c>
      <c r="U3271" s="17" t="n"/>
      <c r="V3271" s="17" t="n"/>
      <c r="W3271" s="24">
        <f>IF($D3271="","",IF($E3271="※编码不在物料档案里","※物料编码不在档案里",IF(N($J3271)&lt;=0,"※出库数量要大于 0",IF($K3271="","※没填去向类型",IF($L3271="","※没填去向矿区",IF(AND($C3271&lt;&gt;"",$C3271&lt;=结账锁),"※日期早于已结账截止日，不能再录",IF(AND($K3271="自用消耗",COUNTIF({"一矿区";"二矿区"},$L3271)=0),"※自用消耗的去向只能是一矿区或二矿区",IF(AND($K3271="对外销售",COUNTIF({"三矿区";"六矿区"},$L3271)=0),"※对外销售的去向只能是三矿区或六矿区",IF(AND($K3271="对外销售",ROUND($Q3271,0)=0),"※外销却没有售价，请填实际售价",IF(AND($K3271="对外销售",$T3271&lt;&gt;"",$T3271&lt;0),"※这一笔外销是亏的，请核对售价",IF(IFERROR(VLOOKUP($D3271,库存台账!$A$5:$Y$1204,24,0),0)&lt;-0.001,"※这个物料账面已经变成负数了，查一下是不是漏记入库","")))))))))))</f>
        <v/>
      </c>
    </row>
    <row r="3272">
      <c r="A3272" s="24">
        <f>IF($D3272="","",COUNTA($D$4:$D3272))</f>
        <v/>
      </c>
      <c r="B3272" s="17" t="n"/>
      <c r="C3272" s="30" t="n"/>
      <c r="D3272" s="17" t="n"/>
      <c r="E3272" s="24">
        <f>IF($D3272="","",IFERROR(VLOOKUP($D3272,物料档案!$A$4:$P$1203,3,0),"※编码不在物料档案里"))</f>
        <v/>
      </c>
      <c r="F3272" s="24">
        <f>IF($D3272="","",IFERROR(VLOOKUP($D3272,物料档案!$A$4:$P$1203,4,0),"※编码不在物料档案里"))</f>
        <v/>
      </c>
      <c r="G3272" s="24">
        <f>IF($D3272="","",IFERROR(VLOOKUP($D3272,物料档案!$A$4:$P$1203,5,0),"※编码不在物料档案里"))</f>
        <v/>
      </c>
      <c r="H3272" s="24">
        <f>IF($D3272="","",IFERROR(VLOOKUP($D3272,物料档案!$A$4:$P$1203,2,0),"※编码不在物料档案里"))</f>
        <v/>
      </c>
      <c r="I3272" s="24">
        <f>IF($D3272="","",IFERROR(VLOOKUP($D3272,物料档案!$A$4:$P$1203,6,0),"※编码不在物料档案里"))</f>
        <v/>
      </c>
      <c r="J3272" s="23" t="n"/>
      <c r="K3272" s="17" t="n"/>
      <c r="L3272" s="17" t="n"/>
      <c r="M3272" s="17" t="n"/>
      <c r="N3272" s="17" t="n"/>
      <c r="O3272" s="26">
        <f>IF($D3272="","",IFERROR(VLOOKUP($D3272,物料档案!$A$4:$P$1203,10,0),0))</f>
        <v/>
      </c>
      <c r="P3272" s="32" t="n"/>
      <c r="Q3272" s="26">
        <f>IF($D3272="","",IF($K3272&lt;&gt;"对外销售",0,ROUND(N($J3272)*IF($P3272="",N($O3272),N($P3272)),0)))</f>
        <v/>
      </c>
      <c r="R3272" s="26">
        <f>IF($D3272="","",IFERROR(VLOOKUP($D3272,库存台账!$A$5:$Y$1204,11,0),0))</f>
        <v/>
      </c>
      <c r="S3272" s="26">
        <f>IF($D3272="","",ROUND(N($J3272)*N($R3272),0))</f>
        <v/>
      </c>
      <c r="T3272" s="26">
        <f>IF($D3272="","",IF($K3272&lt;&gt;"对外销售","",ROUND($Q3272-$S3272,0)))</f>
        <v/>
      </c>
      <c r="U3272" s="17" t="n"/>
      <c r="V3272" s="17" t="n"/>
      <c r="W3272" s="24">
        <f>IF($D3272="","",IF($E3272="※编码不在物料档案里","※物料编码不在档案里",IF(N($J3272)&lt;=0,"※出库数量要大于 0",IF($K3272="","※没填去向类型",IF($L3272="","※没填去向矿区",IF(AND($C3272&lt;&gt;"",$C3272&lt;=结账锁),"※日期早于已结账截止日，不能再录",IF(AND($K3272="自用消耗",COUNTIF({"一矿区";"二矿区"},$L3272)=0),"※自用消耗的去向只能是一矿区或二矿区",IF(AND($K3272="对外销售",COUNTIF({"三矿区";"六矿区"},$L3272)=0),"※对外销售的去向只能是三矿区或六矿区",IF(AND($K3272="对外销售",ROUND($Q3272,0)=0),"※外销却没有售价，请填实际售价",IF(AND($K3272="对外销售",$T3272&lt;&gt;"",$T3272&lt;0),"※这一笔外销是亏的，请核对售价",IF(IFERROR(VLOOKUP($D3272,库存台账!$A$5:$Y$1204,24,0),0)&lt;-0.001,"※这个物料账面已经变成负数了，查一下是不是漏记入库","")))))))))))</f>
        <v/>
      </c>
    </row>
    <row r="3273">
      <c r="A3273" s="24">
        <f>IF($D3273="","",COUNTA($D$4:$D3273))</f>
        <v/>
      </c>
      <c r="B3273" s="17" t="n"/>
      <c r="C3273" s="30" t="n"/>
      <c r="D3273" s="17" t="n"/>
      <c r="E3273" s="24">
        <f>IF($D3273="","",IFERROR(VLOOKUP($D3273,物料档案!$A$4:$P$1203,3,0),"※编码不在物料档案里"))</f>
        <v/>
      </c>
      <c r="F3273" s="24">
        <f>IF($D3273="","",IFERROR(VLOOKUP($D3273,物料档案!$A$4:$P$1203,4,0),"※编码不在物料档案里"))</f>
        <v/>
      </c>
      <c r="G3273" s="24">
        <f>IF($D3273="","",IFERROR(VLOOKUP($D3273,物料档案!$A$4:$P$1203,5,0),"※编码不在物料档案里"))</f>
        <v/>
      </c>
      <c r="H3273" s="24">
        <f>IF($D3273="","",IFERROR(VLOOKUP($D3273,物料档案!$A$4:$P$1203,2,0),"※编码不在物料档案里"))</f>
        <v/>
      </c>
      <c r="I3273" s="24">
        <f>IF($D3273="","",IFERROR(VLOOKUP($D3273,物料档案!$A$4:$P$1203,6,0),"※编码不在物料档案里"))</f>
        <v/>
      </c>
      <c r="J3273" s="23" t="n"/>
      <c r="K3273" s="17" t="n"/>
      <c r="L3273" s="17" t="n"/>
      <c r="M3273" s="17" t="n"/>
      <c r="N3273" s="17" t="n"/>
      <c r="O3273" s="26">
        <f>IF($D3273="","",IFERROR(VLOOKUP($D3273,物料档案!$A$4:$P$1203,10,0),0))</f>
        <v/>
      </c>
      <c r="P3273" s="32" t="n"/>
      <c r="Q3273" s="26">
        <f>IF($D3273="","",IF($K3273&lt;&gt;"对外销售",0,ROUND(N($J3273)*IF($P3273="",N($O3273),N($P3273)),0)))</f>
        <v/>
      </c>
      <c r="R3273" s="26">
        <f>IF($D3273="","",IFERROR(VLOOKUP($D3273,库存台账!$A$5:$Y$1204,11,0),0))</f>
        <v/>
      </c>
      <c r="S3273" s="26">
        <f>IF($D3273="","",ROUND(N($J3273)*N($R3273),0))</f>
        <v/>
      </c>
      <c r="T3273" s="26">
        <f>IF($D3273="","",IF($K3273&lt;&gt;"对外销售","",ROUND($Q3273-$S3273,0)))</f>
        <v/>
      </c>
      <c r="U3273" s="17" t="n"/>
      <c r="V3273" s="17" t="n"/>
      <c r="W3273" s="24">
        <f>IF($D3273="","",IF($E3273="※编码不在物料档案里","※物料编码不在档案里",IF(N($J3273)&lt;=0,"※出库数量要大于 0",IF($K3273="","※没填去向类型",IF($L3273="","※没填去向矿区",IF(AND($C3273&lt;&gt;"",$C3273&lt;=结账锁),"※日期早于已结账截止日，不能再录",IF(AND($K3273="自用消耗",COUNTIF({"一矿区";"二矿区"},$L3273)=0),"※自用消耗的去向只能是一矿区或二矿区",IF(AND($K3273="对外销售",COUNTIF({"三矿区";"六矿区"},$L3273)=0),"※对外销售的去向只能是三矿区或六矿区",IF(AND($K3273="对外销售",ROUND($Q3273,0)=0),"※外销却没有售价，请填实际售价",IF(AND($K3273="对外销售",$T3273&lt;&gt;"",$T3273&lt;0),"※这一笔外销是亏的，请核对售价",IF(IFERROR(VLOOKUP($D3273,库存台账!$A$5:$Y$1204,24,0),0)&lt;-0.001,"※这个物料账面已经变成负数了，查一下是不是漏记入库","")))))))))))</f>
        <v/>
      </c>
    </row>
    <row r="3274">
      <c r="A3274" s="24">
        <f>IF($D3274="","",COUNTA($D$4:$D3274))</f>
        <v/>
      </c>
      <c r="B3274" s="17" t="n"/>
      <c r="C3274" s="30" t="n"/>
      <c r="D3274" s="17" t="n"/>
      <c r="E3274" s="24">
        <f>IF($D3274="","",IFERROR(VLOOKUP($D3274,物料档案!$A$4:$P$1203,3,0),"※编码不在物料档案里"))</f>
        <v/>
      </c>
      <c r="F3274" s="24">
        <f>IF($D3274="","",IFERROR(VLOOKUP($D3274,物料档案!$A$4:$P$1203,4,0),"※编码不在物料档案里"))</f>
        <v/>
      </c>
      <c r="G3274" s="24">
        <f>IF($D3274="","",IFERROR(VLOOKUP($D3274,物料档案!$A$4:$P$1203,5,0),"※编码不在物料档案里"))</f>
        <v/>
      </c>
      <c r="H3274" s="24">
        <f>IF($D3274="","",IFERROR(VLOOKUP($D3274,物料档案!$A$4:$P$1203,2,0),"※编码不在物料档案里"))</f>
        <v/>
      </c>
      <c r="I3274" s="24">
        <f>IF($D3274="","",IFERROR(VLOOKUP($D3274,物料档案!$A$4:$P$1203,6,0),"※编码不在物料档案里"))</f>
        <v/>
      </c>
      <c r="J3274" s="23" t="n"/>
      <c r="K3274" s="17" t="n"/>
      <c r="L3274" s="17" t="n"/>
      <c r="M3274" s="17" t="n"/>
      <c r="N3274" s="17" t="n"/>
      <c r="O3274" s="26">
        <f>IF($D3274="","",IFERROR(VLOOKUP($D3274,物料档案!$A$4:$P$1203,10,0),0))</f>
        <v/>
      </c>
      <c r="P3274" s="32" t="n"/>
      <c r="Q3274" s="26">
        <f>IF($D3274="","",IF($K3274&lt;&gt;"对外销售",0,ROUND(N($J3274)*IF($P3274="",N($O3274),N($P3274)),0)))</f>
        <v/>
      </c>
      <c r="R3274" s="26">
        <f>IF($D3274="","",IFERROR(VLOOKUP($D3274,库存台账!$A$5:$Y$1204,11,0),0))</f>
        <v/>
      </c>
      <c r="S3274" s="26">
        <f>IF($D3274="","",ROUND(N($J3274)*N($R3274),0))</f>
        <v/>
      </c>
      <c r="T3274" s="26">
        <f>IF($D3274="","",IF($K3274&lt;&gt;"对外销售","",ROUND($Q3274-$S3274,0)))</f>
        <v/>
      </c>
      <c r="U3274" s="17" t="n"/>
      <c r="V3274" s="17" t="n"/>
      <c r="W3274" s="24">
        <f>IF($D3274="","",IF($E3274="※编码不在物料档案里","※物料编码不在档案里",IF(N($J3274)&lt;=0,"※出库数量要大于 0",IF($K3274="","※没填去向类型",IF($L3274="","※没填去向矿区",IF(AND($C3274&lt;&gt;"",$C3274&lt;=结账锁),"※日期早于已结账截止日，不能再录",IF(AND($K3274="自用消耗",COUNTIF({"一矿区";"二矿区"},$L3274)=0),"※自用消耗的去向只能是一矿区或二矿区",IF(AND($K3274="对外销售",COUNTIF({"三矿区";"六矿区"},$L3274)=0),"※对外销售的去向只能是三矿区或六矿区",IF(AND($K3274="对外销售",ROUND($Q3274,0)=0),"※外销却没有售价，请填实际售价",IF(AND($K3274="对外销售",$T3274&lt;&gt;"",$T3274&lt;0),"※这一笔外销是亏的，请核对售价",IF(IFERROR(VLOOKUP($D3274,库存台账!$A$5:$Y$1204,24,0),0)&lt;-0.001,"※这个物料账面已经变成负数了，查一下是不是漏记入库","")))))))))))</f>
        <v/>
      </c>
    </row>
    <row r="3275">
      <c r="A3275" s="24">
        <f>IF($D3275="","",COUNTA($D$4:$D3275))</f>
        <v/>
      </c>
      <c r="B3275" s="17" t="n"/>
      <c r="C3275" s="30" t="n"/>
      <c r="D3275" s="17" t="n"/>
      <c r="E3275" s="24">
        <f>IF($D3275="","",IFERROR(VLOOKUP($D3275,物料档案!$A$4:$P$1203,3,0),"※编码不在物料档案里"))</f>
        <v/>
      </c>
      <c r="F3275" s="24">
        <f>IF($D3275="","",IFERROR(VLOOKUP($D3275,物料档案!$A$4:$P$1203,4,0),"※编码不在物料档案里"))</f>
        <v/>
      </c>
      <c r="G3275" s="24">
        <f>IF($D3275="","",IFERROR(VLOOKUP($D3275,物料档案!$A$4:$P$1203,5,0),"※编码不在物料档案里"))</f>
        <v/>
      </c>
      <c r="H3275" s="24">
        <f>IF($D3275="","",IFERROR(VLOOKUP($D3275,物料档案!$A$4:$P$1203,2,0),"※编码不在物料档案里"))</f>
        <v/>
      </c>
      <c r="I3275" s="24">
        <f>IF($D3275="","",IFERROR(VLOOKUP($D3275,物料档案!$A$4:$P$1203,6,0),"※编码不在物料档案里"))</f>
        <v/>
      </c>
      <c r="J3275" s="23" t="n"/>
      <c r="K3275" s="17" t="n"/>
      <c r="L3275" s="17" t="n"/>
      <c r="M3275" s="17" t="n"/>
      <c r="N3275" s="17" t="n"/>
      <c r="O3275" s="26">
        <f>IF($D3275="","",IFERROR(VLOOKUP($D3275,物料档案!$A$4:$P$1203,10,0),0))</f>
        <v/>
      </c>
      <c r="P3275" s="32" t="n"/>
      <c r="Q3275" s="26">
        <f>IF($D3275="","",IF($K3275&lt;&gt;"对外销售",0,ROUND(N($J3275)*IF($P3275="",N($O3275),N($P3275)),0)))</f>
        <v/>
      </c>
      <c r="R3275" s="26">
        <f>IF($D3275="","",IFERROR(VLOOKUP($D3275,库存台账!$A$5:$Y$1204,11,0),0))</f>
        <v/>
      </c>
      <c r="S3275" s="26">
        <f>IF($D3275="","",ROUND(N($J3275)*N($R3275),0))</f>
        <v/>
      </c>
      <c r="T3275" s="26">
        <f>IF($D3275="","",IF($K3275&lt;&gt;"对外销售","",ROUND($Q3275-$S3275,0)))</f>
        <v/>
      </c>
      <c r="U3275" s="17" t="n"/>
      <c r="V3275" s="17" t="n"/>
      <c r="W3275" s="24">
        <f>IF($D3275="","",IF($E3275="※编码不在物料档案里","※物料编码不在档案里",IF(N($J3275)&lt;=0,"※出库数量要大于 0",IF($K3275="","※没填去向类型",IF($L3275="","※没填去向矿区",IF(AND($C3275&lt;&gt;"",$C3275&lt;=结账锁),"※日期早于已结账截止日，不能再录",IF(AND($K3275="自用消耗",COUNTIF({"一矿区";"二矿区"},$L3275)=0),"※自用消耗的去向只能是一矿区或二矿区",IF(AND($K3275="对外销售",COUNTIF({"三矿区";"六矿区"},$L3275)=0),"※对外销售的去向只能是三矿区或六矿区",IF(AND($K3275="对外销售",ROUND($Q3275,0)=0),"※外销却没有售价，请填实际售价",IF(AND($K3275="对外销售",$T3275&lt;&gt;"",$T3275&lt;0),"※这一笔外销是亏的，请核对售价",IF(IFERROR(VLOOKUP($D3275,库存台账!$A$5:$Y$1204,24,0),0)&lt;-0.001,"※这个物料账面已经变成负数了，查一下是不是漏记入库","")))))))))))</f>
        <v/>
      </c>
    </row>
    <row r="3276">
      <c r="A3276" s="24">
        <f>IF($D3276="","",COUNTA($D$4:$D3276))</f>
        <v/>
      </c>
      <c r="B3276" s="17" t="n"/>
      <c r="C3276" s="30" t="n"/>
      <c r="D3276" s="17" t="n"/>
      <c r="E3276" s="24">
        <f>IF($D3276="","",IFERROR(VLOOKUP($D3276,物料档案!$A$4:$P$1203,3,0),"※编码不在物料档案里"))</f>
        <v/>
      </c>
      <c r="F3276" s="24">
        <f>IF($D3276="","",IFERROR(VLOOKUP($D3276,物料档案!$A$4:$P$1203,4,0),"※编码不在物料档案里"))</f>
        <v/>
      </c>
      <c r="G3276" s="24">
        <f>IF($D3276="","",IFERROR(VLOOKUP($D3276,物料档案!$A$4:$P$1203,5,0),"※编码不在物料档案里"))</f>
        <v/>
      </c>
      <c r="H3276" s="24">
        <f>IF($D3276="","",IFERROR(VLOOKUP($D3276,物料档案!$A$4:$P$1203,2,0),"※编码不在物料档案里"))</f>
        <v/>
      </c>
      <c r="I3276" s="24">
        <f>IF($D3276="","",IFERROR(VLOOKUP($D3276,物料档案!$A$4:$P$1203,6,0),"※编码不在物料档案里"))</f>
        <v/>
      </c>
      <c r="J3276" s="23" t="n"/>
      <c r="K3276" s="17" t="n"/>
      <c r="L3276" s="17" t="n"/>
      <c r="M3276" s="17" t="n"/>
      <c r="N3276" s="17" t="n"/>
      <c r="O3276" s="26">
        <f>IF($D3276="","",IFERROR(VLOOKUP($D3276,物料档案!$A$4:$P$1203,10,0),0))</f>
        <v/>
      </c>
      <c r="P3276" s="32" t="n"/>
      <c r="Q3276" s="26">
        <f>IF($D3276="","",IF($K3276&lt;&gt;"对外销售",0,ROUND(N($J3276)*IF($P3276="",N($O3276),N($P3276)),0)))</f>
        <v/>
      </c>
      <c r="R3276" s="26">
        <f>IF($D3276="","",IFERROR(VLOOKUP($D3276,库存台账!$A$5:$Y$1204,11,0),0))</f>
        <v/>
      </c>
      <c r="S3276" s="26">
        <f>IF($D3276="","",ROUND(N($J3276)*N($R3276),0))</f>
        <v/>
      </c>
      <c r="T3276" s="26">
        <f>IF($D3276="","",IF($K3276&lt;&gt;"对外销售","",ROUND($Q3276-$S3276,0)))</f>
        <v/>
      </c>
      <c r="U3276" s="17" t="n"/>
      <c r="V3276" s="17" t="n"/>
      <c r="W3276" s="24">
        <f>IF($D3276="","",IF($E3276="※编码不在物料档案里","※物料编码不在档案里",IF(N($J3276)&lt;=0,"※出库数量要大于 0",IF($K3276="","※没填去向类型",IF($L3276="","※没填去向矿区",IF(AND($C3276&lt;&gt;"",$C3276&lt;=结账锁),"※日期早于已结账截止日，不能再录",IF(AND($K3276="自用消耗",COUNTIF({"一矿区";"二矿区"},$L3276)=0),"※自用消耗的去向只能是一矿区或二矿区",IF(AND($K3276="对外销售",COUNTIF({"三矿区";"六矿区"},$L3276)=0),"※对外销售的去向只能是三矿区或六矿区",IF(AND($K3276="对外销售",ROUND($Q3276,0)=0),"※外销却没有售价，请填实际售价",IF(AND($K3276="对外销售",$T3276&lt;&gt;"",$T3276&lt;0),"※这一笔外销是亏的，请核对售价",IF(IFERROR(VLOOKUP($D3276,库存台账!$A$5:$Y$1204,24,0),0)&lt;-0.001,"※这个物料账面已经变成负数了，查一下是不是漏记入库","")))))))))))</f>
        <v/>
      </c>
    </row>
    <row r="3277">
      <c r="A3277" s="24">
        <f>IF($D3277="","",COUNTA($D$4:$D3277))</f>
        <v/>
      </c>
      <c r="B3277" s="17" t="n"/>
      <c r="C3277" s="30" t="n"/>
      <c r="D3277" s="17" t="n"/>
      <c r="E3277" s="24">
        <f>IF($D3277="","",IFERROR(VLOOKUP($D3277,物料档案!$A$4:$P$1203,3,0),"※编码不在物料档案里"))</f>
        <v/>
      </c>
      <c r="F3277" s="24">
        <f>IF($D3277="","",IFERROR(VLOOKUP($D3277,物料档案!$A$4:$P$1203,4,0),"※编码不在物料档案里"))</f>
        <v/>
      </c>
      <c r="G3277" s="24">
        <f>IF($D3277="","",IFERROR(VLOOKUP($D3277,物料档案!$A$4:$P$1203,5,0),"※编码不在物料档案里"))</f>
        <v/>
      </c>
      <c r="H3277" s="24">
        <f>IF($D3277="","",IFERROR(VLOOKUP($D3277,物料档案!$A$4:$P$1203,2,0),"※编码不在物料档案里"))</f>
        <v/>
      </c>
      <c r="I3277" s="24">
        <f>IF($D3277="","",IFERROR(VLOOKUP($D3277,物料档案!$A$4:$P$1203,6,0),"※编码不在物料档案里"))</f>
        <v/>
      </c>
      <c r="J3277" s="23" t="n"/>
      <c r="K3277" s="17" t="n"/>
      <c r="L3277" s="17" t="n"/>
      <c r="M3277" s="17" t="n"/>
      <c r="N3277" s="17" t="n"/>
      <c r="O3277" s="26">
        <f>IF($D3277="","",IFERROR(VLOOKUP($D3277,物料档案!$A$4:$P$1203,10,0),0))</f>
        <v/>
      </c>
      <c r="P3277" s="32" t="n"/>
      <c r="Q3277" s="26">
        <f>IF($D3277="","",IF($K3277&lt;&gt;"对外销售",0,ROUND(N($J3277)*IF($P3277="",N($O3277),N($P3277)),0)))</f>
        <v/>
      </c>
      <c r="R3277" s="26">
        <f>IF($D3277="","",IFERROR(VLOOKUP($D3277,库存台账!$A$5:$Y$1204,11,0),0))</f>
        <v/>
      </c>
      <c r="S3277" s="26">
        <f>IF($D3277="","",ROUND(N($J3277)*N($R3277),0))</f>
        <v/>
      </c>
      <c r="T3277" s="26">
        <f>IF($D3277="","",IF($K3277&lt;&gt;"对外销售","",ROUND($Q3277-$S3277,0)))</f>
        <v/>
      </c>
      <c r="U3277" s="17" t="n"/>
      <c r="V3277" s="17" t="n"/>
      <c r="W3277" s="24">
        <f>IF($D3277="","",IF($E3277="※编码不在物料档案里","※物料编码不在档案里",IF(N($J3277)&lt;=0,"※出库数量要大于 0",IF($K3277="","※没填去向类型",IF($L3277="","※没填去向矿区",IF(AND($C3277&lt;&gt;"",$C3277&lt;=结账锁),"※日期早于已结账截止日，不能再录",IF(AND($K3277="自用消耗",COUNTIF({"一矿区";"二矿区"},$L3277)=0),"※自用消耗的去向只能是一矿区或二矿区",IF(AND($K3277="对外销售",COUNTIF({"三矿区";"六矿区"},$L3277)=0),"※对外销售的去向只能是三矿区或六矿区",IF(AND($K3277="对外销售",ROUND($Q3277,0)=0),"※外销却没有售价，请填实际售价",IF(AND($K3277="对外销售",$T3277&lt;&gt;"",$T3277&lt;0),"※这一笔外销是亏的，请核对售价",IF(IFERROR(VLOOKUP($D3277,库存台账!$A$5:$Y$1204,24,0),0)&lt;-0.001,"※这个物料账面已经变成负数了，查一下是不是漏记入库","")))))))))))</f>
        <v/>
      </c>
    </row>
    <row r="3278">
      <c r="A3278" s="24">
        <f>IF($D3278="","",COUNTA($D$4:$D3278))</f>
        <v/>
      </c>
      <c r="B3278" s="17" t="n"/>
      <c r="C3278" s="30" t="n"/>
      <c r="D3278" s="17" t="n"/>
      <c r="E3278" s="24">
        <f>IF($D3278="","",IFERROR(VLOOKUP($D3278,物料档案!$A$4:$P$1203,3,0),"※编码不在物料档案里"))</f>
        <v/>
      </c>
      <c r="F3278" s="24">
        <f>IF($D3278="","",IFERROR(VLOOKUP($D3278,物料档案!$A$4:$P$1203,4,0),"※编码不在物料档案里"))</f>
        <v/>
      </c>
      <c r="G3278" s="24">
        <f>IF($D3278="","",IFERROR(VLOOKUP($D3278,物料档案!$A$4:$P$1203,5,0),"※编码不在物料档案里"))</f>
        <v/>
      </c>
      <c r="H3278" s="24">
        <f>IF($D3278="","",IFERROR(VLOOKUP($D3278,物料档案!$A$4:$P$1203,2,0),"※编码不在物料档案里"))</f>
        <v/>
      </c>
      <c r="I3278" s="24">
        <f>IF($D3278="","",IFERROR(VLOOKUP($D3278,物料档案!$A$4:$P$1203,6,0),"※编码不在物料档案里"))</f>
        <v/>
      </c>
      <c r="J3278" s="23" t="n"/>
      <c r="K3278" s="17" t="n"/>
      <c r="L3278" s="17" t="n"/>
      <c r="M3278" s="17" t="n"/>
      <c r="N3278" s="17" t="n"/>
      <c r="O3278" s="26">
        <f>IF($D3278="","",IFERROR(VLOOKUP($D3278,物料档案!$A$4:$P$1203,10,0),0))</f>
        <v/>
      </c>
      <c r="P3278" s="32" t="n"/>
      <c r="Q3278" s="26">
        <f>IF($D3278="","",IF($K3278&lt;&gt;"对外销售",0,ROUND(N($J3278)*IF($P3278="",N($O3278),N($P3278)),0)))</f>
        <v/>
      </c>
      <c r="R3278" s="26">
        <f>IF($D3278="","",IFERROR(VLOOKUP($D3278,库存台账!$A$5:$Y$1204,11,0),0))</f>
        <v/>
      </c>
      <c r="S3278" s="26">
        <f>IF($D3278="","",ROUND(N($J3278)*N($R3278),0))</f>
        <v/>
      </c>
      <c r="T3278" s="26">
        <f>IF($D3278="","",IF($K3278&lt;&gt;"对外销售","",ROUND($Q3278-$S3278,0)))</f>
        <v/>
      </c>
      <c r="U3278" s="17" t="n"/>
      <c r="V3278" s="17" t="n"/>
      <c r="W3278" s="24">
        <f>IF($D3278="","",IF($E3278="※编码不在物料档案里","※物料编码不在档案里",IF(N($J3278)&lt;=0,"※出库数量要大于 0",IF($K3278="","※没填去向类型",IF($L3278="","※没填去向矿区",IF(AND($C3278&lt;&gt;"",$C3278&lt;=结账锁),"※日期早于已结账截止日，不能再录",IF(AND($K3278="自用消耗",COUNTIF({"一矿区";"二矿区"},$L3278)=0),"※自用消耗的去向只能是一矿区或二矿区",IF(AND($K3278="对外销售",COUNTIF({"三矿区";"六矿区"},$L3278)=0),"※对外销售的去向只能是三矿区或六矿区",IF(AND($K3278="对外销售",ROUND($Q3278,0)=0),"※外销却没有售价，请填实际售价",IF(AND($K3278="对外销售",$T3278&lt;&gt;"",$T3278&lt;0),"※这一笔外销是亏的，请核对售价",IF(IFERROR(VLOOKUP($D3278,库存台账!$A$5:$Y$1204,24,0),0)&lt;-0.001,"※这个物料账面已经变成负数了，查一下是不是漏记入库","")))))))))))</f>
        <v/>
      </c>
    </row>
    <row r="3279">
      <c r="A3279" s="24">
        <f>IF($D3279="","",COUNTA($D$4:$D3279))</f>
        <v/>
      </c>
      <c r="B3279" s="17" t="n"/>
      <c r="C3279" s="30" t="n"/>
      <c r="D3279" s="17" t="n"/>
      <c r="E3279" s="24">
        <f>IF($D3279="","",IFERROR(VLOOKUP($D3279,物料档案!$A$4:$P$1203,3,0),"※编码不在物料档案里"))</f>
        <v/>
      </c>
      <c r="F3279" s="24">
        <f>IF($D3279="","",IFERROR(VLOOKUP($D3279,物料档案!$A$4:$P$1203,4,0),"※编码不在物料档案里"))</f>
        <v/>
      </c>
      <c r="G3279" s="24">
        <f>IF($D3279="","",IFERROR(VLOOKUP($D3279,物料档案!$A$4:$P$1203,5,0),"※编码不在物料档案里"))</f>
        <v/>
      </c>
      <c r="H3279" s="24">
        <f>IF($D3279="","",IFERROR(VLOOKUP($D3279,物料档案!$A$4:$P$1203,2,0),"※编码不在物料档案里"))</f>
        <v/>
      </c>
      <c r="I3279" s="24">
        <f>IF($D3279="","",IFERROR(VLOOKUP($D3279,物料档案!$A$4:$P$1203,6,0),"※编码不在物料档案里"))</f>
        <v/>
      </c>
      <c r="J3279" s="23" t="n"/>
      <c r="K3279" s="17" t="n"/>
      <c r="L3279" s="17" t="n"/>
      <c r="M3279" s="17" t="n"/>
      <c r="N3279" s="17" t="n"/>
      <c r="O3279" s="26">
        <f>IF($D3279="","",IFERROR(VLOOKUP($D3279,物料档案!$A$4:$P$1203,10,0),0))</f>
        <v/>
      </c>
      <c r="P3279" s="32" t="n"/>
      <c r="Q3279" s="26">
        <f>IF($D3279="","",IF($K3279&lt;&gt;"对外销售",0,ROUND(N($J3279)*IF($P3279="",N($O3279),N($P3279)),0)))</f>
        <v/>
      </c>
      <c r="R3279" s="26">
        <f>IF($D3279="","",IFERROR(VLOOKUP($D3279,库存台账!$A$5:$Y$1204,11,0),0))</f>
        <v/>
      </c>
      <c r="S3279" s="26">
        <f>IF($D3279="","",ROUND(N($J3279)*N($R3279),0))</f>
        <v/>
      </c>
      <c r="T3279" s="26">
        <f>IF($D3279="","",IF($K3279&lt;&gt;"对外销售","",ROUND($Q3279-$S3279,0)))</f>
        <v/>
      </c>
      <c r="U3279" s="17" t="n"/>
      <c r="V3279" s="17" t="n"/>
      <c r="W3279" s="24">
        <f>IF($D3279="","",IF($E3279="※编码不在物料档案里","※物料编码不在档案里",IF(N($J3279)&lt;=0,"※出库数量要大于 0",IF($K3279="","※没填去向类型",IF($L3279="","※没填去向矿区",IF(AND($C3279&lt;&gt;"",$C3279&lt;=结账锁),"※日期早于已结账截止日，不能再录",IF(AND($K3279="自用消耗",COUNTIF({"一矿区";"二矿区"},$L3279)=0),"※自用消耗的去向只能是一矿区或二矿区",IF(AND($K3279="对外销售",COUNTIF({"三矿区";"六矿区"},$L3279)=0),"※对外销售的去向只能是三矿区或六矿区",IF(AND($K3279="对外销售",ROUND($Q3279,0)=0),"※外销却没有售价，请填实际售价",IF(AND($K3279="对外销售",$T3279&lt;&gt;"",$T3279&lt;0),"※这一笔外销是亏的，请核对售价",IF(IFERROR(VLOOKUP($D3279,库存台账!$A$5:$Y$1204,24,0),0)&lt;-0.001,"※这个物料账面已经变成负数了，查一下是不是漏记入库","")))))))))))</f>
        <v/>
      </c>
    </row>
    <row r="3280">
      <c r="A3280" s="24">
        <f>IF($D3280="","",COUNTA($D$4:$D3280))</f>
        <v/>
      </c>
      <c r="B3280" s="17" t="n"/>
      <c r="C3280" s="30" t="n"/>
      <c r="D3280" s="17" t="n"/>
      <c r="E3280" s="24">
        <f>IF($D3280="","",IFERROR(VLOOKUP($D3280,物料档案!$A$4:$P$1203,3,0),"※编码不在物料档案里"))</f>
        <v/>
      </c>
      <c r="F3280" s="24">
        <f>IF($D3280="","",IFERROR(VLOOKUP($D3280,物料档案!$A$4:$P$1203,4,0),"※编码不在物料档案里"))</f>
        <v/>
      </c>
      <c r="G3280" s="24">
        <f>IF($D3280="","",IFERROR(VLOOKUP($D3280,物料档案!$A$4:$P$1203,5,0),"※编码不在物料档案里"))</f>
        <v/>
      </c>
      <c r="H3280" s="24">
        <f>IF($D3280="","",IFERROR(VLOOKUP($D3280,物料档案!$A$4:$P$1203,2,0),"※编码不在物料档案里"))</f>
        <v/>
      </c>
      <c r="I3280" s="24">
        <f>IF($D3280="","",IFERROR(VLOOKUP($D3280,物料档案!$A$4:$P$1203,6,0),"※编码不在物料档案里"))</f>
        <v/>
      </c>
      <c r="J3280" s="23" t="n"/>
      <c r="K3280" s="17" t="n"/>
      <c r="L3280" s="17" t="n"/>
      <c r="M3280" s="17" t="n"/>
      <c r="N3280" s="17" t="n"/>
      <c r="O3280" s="26">
        <f>IF($D3280="","",IFERROR(VLOOKUP($D3280,物料档案!$A$4:$P$1203,10,0),0))</f>
        <v/>
      </c>
      <c r="P3280" s="32" t="n"/>
      <c r="Q3280" s="26">
        <f>IF($D3280="","",IF($K3280&lt;&gt;"对外销售",0,ROUND(N($J3280)*IF($P3280="",N($O3280),N($P3280)),0)))</f>
        <v/>
      </c>
      <c r="R3280" s="26">
        <f>IF($D3280="","",IFERROR(VLOOKUP($D3280,库存台账!$A$5:$Y$1204,11,0),0))</f>
        <v/>
      </c>
      <c r="S3280" s="26">
        <f>IF($D3280="","",ROUND(N($J3280)*N($R3280),0))</f>
        <v/>
      </c>
      <c r="T3280" s="26">
        <f>IF($D3280="","",IF($K3280&lt;&gt;"对外销售","",ROUND($Q3280-$S3280,0)))</f>
        <v/>
      </c>
      <c r="U3280" s="17" t="n"/>
      <c r="V3280" s="17" t="n"/>
      <c r="W3280" s="24">
        <f>IF($D3280="","",IF($E3280="※编码不在物料档案里","※物料编码不在档案里",IF(N($J3280)&lt;=0,"※出库数量要大于 0",IF($K3280="","※没填去向类型",IF($L3280="","※没填去向矿区",IF(AND($C3280&lt;&gt;"",$C3280&lt;=结账锁),"※日期早于已结账截止日，不能再录",IF(AND($K3280="自用消耗",COUNTIF({"一矿区";"二矿区"},$L3280)=0),"※自用消耗的去向只能是一矿区或二矿区",IF(AND($K3280="对外销售",COUNTIF({"三矿区";"六矿区"},$L3280)=0),"※对外销售的去向只能是三矿区或六矿区",IF(AND($K3280="对外销售",ROUND($Q3280,0)=0),"※外销却没有售价，请填实际售价",IF(AND($K3280="对外销售",$T3280&lt;&gt;"",$T3280&lt;0),"※这一笔外销是亏的，请核对售价",IF(IFERROR(VLOOKUP($D3280,库存台账!$A$5:$Y$1204,24,0),0)&lt;-0.001,"※这个物料账面已经变成负数了，查一下是不是漏记入库","")))))))))))</f>
        <v/>
      </c>
    </row>
    <row r="3281">
      <c r="A3281" s="24">
        <f>IF($D3281="","",COUNTA($D$4:$D3281))</f>
        <v/>
      </c>
      <c r="B3281" s="17" t="n"/>
      <c r="C3281" s="30" t="n"/>
      <c r="D3281" s="17" t="n"/>
      <c r="E3281" s="24">
        <f>IF($D3281="","",IFERROR(VLOOKUP($D3281,物料档案!$A$4:$P$1203,3,0),"※编码不在物料档案里"))</f>
        <v/>
      </c>
      <c r="F3281" s="24">
        <f>IF($D3281="","",IFERROR(VLOOKUP($D3281,物料档案!$A$4:$P$1203,4,0),"※编码不在物料档案里"))</f>
        <v/>
      </c>
      <c r="G3281" s="24">
        <f>IF($D3281="","",IFERROR(VLOOKUP($D3281,物料档案!$A$4:$P$1203,5,0),"※编码不在物料档案里"))</f>
        <v/>
      </c>
      <c r="H3281" s="24">
        <f>IF($D3281="","",IFERROR(VLOOKUP($D3281,物料档案!$A$4:$P$1203,2,0),"※编码不在物料档案里"))</f>
        <v/>
      </c>
      <c r="I3281" s="24">
        <f>IF($D3281="","",IFERROR(VLOOKUP($D3281,物料档案!$A$4:$P$1203,6,0),"※编码不在物料档案里"))</f>
        <v/>
      </c>
      <c r="J3281" s="23" t="n"/>
      <c r="K3281" s="17" t="n"/>
      <c r="L3281" s="17" t="n"/>
      <c r="M3281" s="17" t="n"/>
      <c r="N3281" s="17" t="n"/>
      <c r="O3281" s="26">
        <f>IF($D3281="","",IFERROR(VLOOKUP($D3281,物料档案!$A$4:$P$1203,10,0),0))</f>
        <v/>
      </c>
      <c r="P3281" s="32" t="n"/>
      <c r="Q3281" s="26">
        <f>IF($D3281="","",IF($K3281&lt;&gt;"对外销售",0,ROUND(N($J3281)*IF($P3281="",N($O3281),N($P3281)),0)))</f>
        <v/>
      </c>
      <c r="R3281" s="26">
        <f>IF($D3281="","",IFERROR(VLOOKUP($D3281,库存台账!$A$5:$Y$1204,11,0),0))</f>
        <v/>
      </c>
      <c r="S3281" s="26">
        <f>IF($D3281="","",ROUND(N($J3281)*N($R3281),0))</f>
        <v/>
      </c>
      <c r="T3281" s="26">
        <f>IF($D3281="","",IF($K3281&lt;&gt;"对外销售","",ROUND($Q3281-$S3281,0)))</f>
        <v/>
      </c>
      <c r="U3281" s="17" t="n"/>
      <c r="V3281" s="17" t="n"/>
      <c r="W3281" s="24">
        <f>IF($D3281="","",IF($E3281="※编码不在物料档案里","※物料编码不在档案里",IF(N($J3281)&lt;=0,"※出库数量要大于 0",IF($K3281="","※没填去向类型",IF($L3281="","※没填去向矿区",IF(AND($C3281&lt;&gt;"",$C3281&lt;=结账锁),"※日期早于已结账截止日，不能再录",IF(AND($K3281="自用消耗",COUNTIF({"一矿区";"二矿区"},$L3281)=0),"※自用消耗的去向只能是一矿区或二矿区",IF(AND($K3281="对外销售",COUNTIF({"三矿区";"六矿区"},$L3281)=0),"※对外销售的去向只能是三矿区或六矿区",IF(AND($K3281="对外销售",ROUND($Q3281,0)=0),"※外销却没有售价，请填实际售价",IF(AND($K3281="对外销售",$T3281&lt;&gt;"",$T3281&lt;0),"※这一笔外销是亏的，请核对售价",IF(IFERROR(VLOOKUP($D3281,库存台账!$A$5:$Y$1204,24,0),0)&lt;-0.001,"※这个物料账面已经变成负数了，查一下是不是漏记入库","")))))))))))</f>
        <v/>
      </c>
    </row>
    <row r="3282">
      <c r="A3282" s="24">
        <f>IF($D3282="","",COUNTA($D$4:$D3282))</f>
        <v/>
      </c>
      <c r="B3282" s="17" t="n"/>
      <c r="C3282" s="30" t="n"/>
      <c r="D3282" s="17" t="n"/>
      <c r="E3282" s="24">
        <f>IF($D3282="","",IFERROR(VLOOKUP($D3282,物料档案!$A$4:$P$1203,3,0),"※编码不在物料档案里"))</f>
        <v/>
      </c>
      <c r="F3282" s="24">
        <f>IF($D3282="","",IFERROR(VLOOKUP($D3282,物料档案!$A$4:$P$1203,4,0),"※编码不在物料档案里"))</f>
        <v/>
      </c>
      <c r="G3282" s="24">
        <f>IF($D3282="","",IFERROR(VLOOKUP($D3282,物料档案!$A$4:$P$1203,5,0),"※编码不在物料档案里"))</f>
        <v/>
      </c>
      <c r="H3282" s="24">
        <f>IF($D3282="","",IFERROR(VLOOKUP($D3282,物料档案!$A$4:$P$1203,2,0),"※编码不在物料档案里"))</f>
        <v/>
      </c>
      <c r="I3282" s="24">
        <f>IF($D3282="","",IFERROR(VLOOKUP($D3282,物料档案!$A$4:$P$1203,6,0),"※编码不在物料档案里"))</f>
        <v/>
      </c>
      <c r="J3282" s="23" t="n"/>
      <c r="K3282" s="17" t="n"/>
      <c r="L3282" s="17" t="n"/>
      <c r="M3282" s="17" t="n"/>
      <c r="N3282" s="17" t="n"/>
      <c r="O3282" s="26">
        <f>IF($D3282="","",IFERROR(VLOOKUP($D3282,物料档案!$A$4:$P$1203,10,0),0))</f>
        <v/>
      </c>
      <c r="P3282" s="32" t="n"/>
      <c r="Q3282" s="26">
        <f>IF($D3282="","",IF($K3282&lt;&gt;"对外销售",0,ROUND(N($J3282)*IF($P3282="",N($O3282),N($P3282)),0)))</f>
        <v/>
      </c>
      <c r="R3282" s="26">
        <f>IF($D3282="","",IFERROR(VLOOKUP($D3282,库存台账!$A$5:$Y$1204,11,0),0))</f>
        <v/>
      </c>
      <c r="S3282" s="26">
        <f>IF($D3282="","",ROUND(N($J3282)*N($R3282),0))</f>
        <v/>
      </c>
      <c r="T3282" s="26">
        <f>IF($D3282="","",IF($K3282&lt;&gt;"对外销售","",ROUND($Q3282-$S3282,0)))</f>
        <v/>
      </c>
      <c r="U3282" s="17" t="n"/>
      <c r="V3282" s="17" t="n"/>
      <c r="W3282" s="24">
        <f>IF($D3282="","",IF($E3282="※编码不在物料档案里","※物料编码不在档案里",IF(N($J3282)&lt;=0,"※出库数量要大于 0",IF($K3282="","※没填去向类型",IF($L3282="","※没填去向矿区",IF(AND($C3282&lt;&gt;"",$C3282&lt;=结账锁),"※日期早于已结账截止日，不能再录",IF(AND($K3282="自用消耗",COUNTIF({"一矿区";"二矿区"},$L3282)=0),"※自用消耗的去向只能是一矿区或二矿区",IF(AND($K3282="对外销售",COUNTIF({"三矿区";"六矿区"},$L3282)=0),"※对外销售的去向只能是三矿区或六矿区",IF(AND($K3282="对外销售",ROUND($Q3282,0)=0),"※外销却没有售价，请填实际售价",IF(AND($K3282="对外销售",$T3282&lt;&gt;"",$T3282&lt;0),"※这一笔外销是亏的，请核对售价",IF(IFERROR(VLOOKUP($D3282,库存台账!$A$5:$Y$1204,24,0),0)&lt;-0.001,"※这个物料账面已经变成负数了，查一下是不是漏记入库","")))))))))))</f>
        <v/>
      </c>
    </row>
    <row r="3283">
      <c r="A3283" s="24">
        <f>IF($D3283="","",COUNTA($D$4:$D3283))</f>
        <v/>
      </c>
      <c r="B3283" s="17" t="n"/>
      <c r="C3283" s="30" t="n"/>
      <c r="D3283" s="17" t="n"/>
      <c r="E3283" s="24">
        <f>IF($D3283="","",IFERROR(VLOOKUP($D3283,物料档案!$A$4:$P$1203,3,0),"※编码不在物料档案里"))</f>
        <v/>
      </c>
      <c r="F3283" s="24">
        <f>IF($D3283="","",IFERROR(VLOOKUP($D3283,物料档案!$A$4:$P$1203,4,0),"※编码不在物料档案里"))</f>
        <v/>
      </c>
      <c r="G3283" s="24">
        <f>IF($D3283="","",IFERROR(VLOOKUP($D3283,物料档案!$A$4:$P$1203,5,0),"※编码不在物料档案里"))</f>
        <v/>
      </c>
      <c r="H3283" s="24">
        <f>IF($D3283="","",IFERROR(VLOOKUP($D3283,物料档案!$A$4:$P$1203,2,0),"※编码不在物料档案里"))</f>
        <v/>
      </c>
      <c r="I3283" s="24">
        <f>IF($D3283="","",IFERROR(VLOOKUP($D3283,物料档案!$A$4:$P$1203,6,0),"※编码不在物料档案里"))</f>
        <v/>
      </c>
      <c r="J3283" s="23" t="n"/>
      <c r="K3283" s="17" t="n"/>
      <c r="L3283" s="17" t="n"/>
      <c r="M3283" s="17" t="n"/>
      <c r="N3283" s="17" t="n"/>
      <c r="O3283" s="26">
        <f>IF($D3283="","",IFERROR(VLOOKUP($D3283,物料档案!$A$4:$P$1203,10,0),0))</f>
        <v/>
      </c>
      <c r="P3283" s="32" t="n"/>
      <c r="Q3283" s="26">
        <f>IF($D3283="","",IF($K3283&lt;&gt;"对外销售",0,ROUND(N($J3283)*IF($P3283="",N($O3283),N($P3283)),0)))</f>
        <v/>
      </c>
      <c r="R3283" s="26">
        <f>IF($D3283="","",IFERROR(VLOOKUP($D3283,库存台账!$A$5:$Y$1204,11,0),0))</f>
        <v/>
      </c>
      <c r="S3283" s="26">
        <f>IF($D3283="","",ROUND(N($J3283)*N($R3283),0))</f>
        <v/>
      </c>
      <c r="T3283" s="26">
        <f>IF($D3283="","",IF($K3283&lt;&gt;"对外销售","",ROUND($Q3283-$S3283,0)))</f>
        <v/>
      </c>
      <c r="U3283" s="17" t="n"/>
      <c r="V3283" s="17" t="n"/>
      <c r="W3283" s="24">
        <f>IF($D3283="","",IF($E3283="※编码不在物料档案里","※物料编码不在档案里",IF(N($J3283)&lt;=0,"※出库数量要大于 0",IF($K3283="","※没填去向类型",IF($L3283="","※没填去向矿区",IF(AND($C3283&lt;&gt;"",$C3283&lt;=结账锁),"※日期早于已结账截止日，不能再录",IF(AND($K3283="自用消耗",COUNTIF({"一矿区";"二矿区"},$L3283)=0),"※自用消耗的去向只能是一矿区或二矿区",IF(AND($K3283="对外销售",COUNTIF({"三矿区";"六矿区"},$L3283)=0),"※对外销售的去向只能是三矿区或六矿区",IF(AND($K3283="对外销售",ROUND($Q3283,0)=0),"※外销却没有售价，请填实际售价",IF(AND($K3283="对外销售",$T3283&lt;&gt;"",$T3283&lt;0),"※这一笔外销是亏的，请核对售价",IF(IFERROR(VLOOKUP($D3283,库存台账!$A$5:$Y$1204,24,0),0)&lt;-0.001,"※这个物料账面已经变成负数了，查一下是不是漏记入库","")))))))))))</f>
        <v/>
      </c>
    </row>
    <row r="3284">
      <c r="A3284" s="24">
        <f>IF($D3284="","",COUNTA($D$4:$D3284))</f>
        <v/>
      </c>
      <c r="B3284" s="17" t="n"/>
      <c r="C3284" s="30" t="n"/>
      <c r="D3284" s="17" t="n"/>
      <c r="E3284" s="24">
        <f>IF($D3284="","",IFERROR(VLOOKUP($D3284,物料档案!$A$4:$P$1203,3,0),"※编码不在物料档案里"))</f>
        <v/>
      </c>
      <c r="F3284" s="24">
        <f>IF($D3284="","",IFERROR(VLOOKUP($D3284,物料档案!$A$4:$P$1203,4,0),"※编码不在物料档案里"))</f>
        <v/>
      </c>
      <c r="G3284" s="24">
        <f>IF($D3284="","",IFERROR(VLOOKUP($D3284,物料档案!$A$4:$P$1203,5,0),"※编码不在物料档案里"))</f>
        <v/>
      </c>
      <c r="H3284" s="24">
        <f>IF($D3284="","",IFERROR(VLOOKUP($D3284,物料档案!$A$4:$P$1203,2,0),"※编码不在物料档案里"))</f>
        <v/>
      </c>
      <c r="I3284" s="24">
        <f>IF($D3284="","",IFERROR(VLOOKUP($D3284,物料档案!$A$4:$P$1203,6,0),"※编码不在物料档案里"))</f>
        <v/>
      </c>
      <c r="J3284" s="23" t="n"/>
      <c r="K3284" s="17" t="n"/>
      <c r="L3284" s="17" t="n"/>
      <c r="M3284" s="17" t="n"/>
      <c r="N3284" s="17" t="n"/>
      <c r="O3284" s="26">
        <f>IF($D3284="","",IFERROR(VLOOKUP($D3284,物料档案!$A$4:$P$1203,10,0),0))</f>
        <v/>
      </c>
      <c r="P3284" s="32" t="n"/>
      <c r="Q3284" s="26">
        <f>IF($D3284="","",IF($K3284&lt;&gt;"对外销售",0,ROUND(N($J3284)*IF($P3284="",N($O3284),N($P3284)),0)))</f>
        <v/>
      </c>
      <c r="R3284" s="26">
        <f>IF($D3284="","",IFERROR(VLOOKUP($D3284,库存台账!$A$5:$Y$1204,11,0),0))</f>
        <v/>
      </c>
      <c r="S3284" s="26">
        <f>IF($D3284="","",ROUND(N($J3284)*N($R3284),0))</f>
        <v/>
      </c>
      <c r="T3284" s="26">
        <f>IF($D3284="","",IF($K3284&lt;&gt;"对外销售","",ROUND($Q3284-$S3284,0)))</f>
        <v/>
      </c>
      <c r="U3284" s="17" t="n"/>
      <c r="V3284" s="17" t="n"/>
      <c r="W3284" s="24">
        <f>IF($D3284="","",IF($E3284="※编码不在物料档案里","※物料编码不在档案里",IF(N($J3284)&lt;=0,"※出库数量要大于 0",IF($K3284="","※没填去向类型",IF($L3284="","※没填去向矿区",IF(AND($C3284&lt;&gt;"",$C3284&lt;=结账锁),"※日期早于已结账截止日，不能再录",IF(AND($K3284="自用消耗",COUNTIF({"一矿区";"二矿区"},$L3284)=0),"※自用消耗的去向只能是一矿区或二矿区",IF(AND($K3284="对外销售",COUNTIF({"三矿区";"六矿区"},$L3284)=0),"※对外销售的去向只能是三矿区或六矿区",IF(AND($K3284="对外销售",ROUND($Q3284,0)=0),"※外销却没有售价，请填实际售价",IF(AND($K3284="对外销售",$T3284&lt;&gt;"",$T3284&lt;0),"※这一笔外销是亏的，请核对售价",IF(IFERROR(VLOOKUP($D3284,库存台账!$A$5:$Y$1204,24,0),0)&lt;-0.001,"※这个物料账面已经变成负数了，查一下是不是漏记入库","")))))))))))</f>
        <v/>
      </c>
    </row>
    <row r="3285">
      <c r="A3285" s="24">
        <f>IF($D3285="","",COUNTA($D$4:$D3285))</f>
        <v/>
      </c>
      <c r="B3285" s="17" t="n"/>
      <c r="C3285" s="30" t="n"/>
      <c r="D3285" s="17" t="n"/>
      <c r="E3285" s="24">
        <f>IF($D3285="","",IFERROR(VLOOKUP($D3285,物料档案!$A$4:$P$1203,3,0),"※编码不在物料档案里"))</f>
        <v/>
      </c>
      <c r="F3285" s="24">
        <f>IF($D3285="","",IFERROR(VLOOKUP($D3285,物料档案!$A$4:$P$1203,4,0),"※编码不在物料档案里"))</f>
        <v/>
      </c>
      <c r="G3285" s="24">
        <f>IF($D3285="","",IFERROR(VLOOKUP($D3285,物料档案!$A$4:$P$1203,5,0),"※编码不在物料档案里"))</f>
        <v/>
      </c>
      <c r="H3285" s="24">
        <f>IF($D3285="","",IFERROR(VLOOKUP($D3285,物料档案!$A$4:$P$1203,2,0),"※编码不在物料档案里"))</f>
        <v/>
      </c>
      <c r="I3285" s="24">
        <f>IF($D3285="","",IFERROR(VLOOKUP($D3285,物料档案!$A$4:$P$1203,6,0),"※编码不在物料档案里"))</f>
        <v/>
      </c>
      <c r="J3285" s="23" t="n"/>
      <c r="K3285" s="17" t="n"/>
      <c r="L3285" s="17" t="n"/>
      <c r="M3285" s="17" t="n"/>
      <c r="N3285" s="17" t="n"/>
      <c r="O3285" s="26">
        <f>IF($D3285="","",IFERROR(VLOOKUP($D3285,物料档案!$A$4:$P$1203,10,0),0))</f>
        <v/>
      </c>
      <c r="P3285" s="32" t="n"/>
      <c r="Q3285" s="26">
        <f>IF($D3285="","",IF($K3285&lt;&gt;"对外销售",0,ROUND(N($J3285)*IF($P3285="",N($O3285),N($P3285)),0)))</f>
        <v/>
      </c>
      <c r="R3285" s="26">
        <f>IF($D3285="","",IFERROR(VLOOKUP($D3285,库存台账!$A$5:$Y$1204,11,0),0))</f>
        <v/>
      </c>
      <c r="S3285" s="26">
        <f>IF($D3285="","",ROUND(N($J3285)*N($R3285),0))</f>
        <v/>
      </c>
      <c r="T3285" s="26">
        <f>IF($D3285="","",IF($K3285&lt;&gt;"对外销售","",ROUND($Q3285-$S3285,0)))</f>
        <v/>
      </c>
      <c r="U3285" s="17" t="n"/>
      <c r="V3285" s="17" t="n"/>
      <c r="W3285" s="24">
        <f>IF($D3285="","",IF($E3285="※编码不在物料档案里","※物料编码不在档案里",IF(N($J3285)&lt;=0,"※出库数量要大于 0",IF($K3285="","※没填去向类型",IF($L3285="","※没填去向矿区",IF(AND($C3285&lt;&gt;"",$C3285&lt;=结账锁),"※日期早于已结账截止日，不能再录",IF(AND($K3285="自用消耗",COUNTIF({"一矿区";"二矿区"},$L3285)=0),"※自用消耗的去向只能是一矿区或二矿区",IF(AND($K3285="对外销售",COUNTIF({"三矿区";"六矿区"},$L3285)=0),"※对外销售的去向只能是三矿区或六矿区",IF(AND($K3285="对外销售",ROUND($Q3285,0)=0),"※外销却没有售价，请填实际售价",IF(AND($K3285="对外销售",$T3285&lt;&gt;"",$T3285&lt;0),"※这一笔外销是亏的，请核对售价",IF(IFERROR(VLOOKUP($D3285,库存台账!$A$5:$Y$1204,24,0),0)&lt;-0.001,"※这个物料账面已经变成负数了，查一下是不是漏记入库","")))))))))))</f>
        <v/>
      </c>
    </row>
    <row r="3286">
      <c r="A3286" s="24">
        <f>IF($D3286="","",COUNTA($D$4:$D3286))</f>
        <v/>
      </c>
      <c r="B3286" s="17" t="n"/>
      <c r="C3286" s="30" t="n"/>
      <c r="D3286" s="17" t="n"/>
      <c r="E3286" s="24">
        <f>IF($D3286="","",IFERROR(VLOOKUP($D3286,物料档案!$A$4:$P$1203,3,0),"※编码不在物料档案里"))</f>
        <v/>
      </c>
      <c r="F3286" s="24">
        <f>IF($D3286="","",IFERROR(VLOOKUP($D3286,物料档案!$A$4:$P$1203,4,0),"※编码不在物料档案里"))</f>
        <v/>
      </c>
      <c r="G3286" s="24">
        <f>IF($D3286="","",IFERROR(VLOOKUP($D3286,物料档案!$A$4:$P$1203,5,0),"※编码不在物料档案里"))</f>
        <v/>
      </c>
      <c r="H3286" s="24">
        <f>IF($D3286="","",IFERROR(VLOOKUP($D3286,物料档案!$A$4:$P$1203,2,0),"※编码不在物料档案里"))</f>
        <v/>
      </c>
      <c r="I3286" s="24">
        <f>IF($D3286="","",IFERROR(VLOOKUP($D3286,物料档案!$A$4:$P$1203,6,0),"※编码不在物料档案里"))</f>
        <v/>
      </c>
      <c r="J3286" s="23" t="n"/>
      <c r="K3286" s="17" t="n"/>
      <c r="L3286" s="17" t="n"/>
      <c r="M3286" s="17" t="n"/>
      <c r="N3286" s="17" t="n"/>
      <c r="O3286" s="26">
        <f>IF($D3286="","",IFERROR(VLOOKUP($D3286,物料档案!$A$4:$P$1203,10,0),0))</f>
        <v/>
      </c>
      <c r="P3286" s="32" t="n"/>
      <c r="Q3286" s="26">
        <f>IF($D3286="","",IF($K3286&lt;&gt;"对外销售",0,ROUND(N($J3286)*IF($P3286="",N($O3286),N($P3286)),0)))</f>
        <v/>
      </c>
      <c r="R3286" s="26">
        <f>IF($D3286="","",IFERROR(VLOOKUP($D3286,库存台账!$A$5:$Y$1204,11,0),0))</f>
        <v/>
      </c>
      <c r="S3286" s="26">
        <f>IF($D3286="","",ROUND(N($J3286)*N($R3286),0))</f>
        <v/>
      </c>
      <c r="T3286" s="26">
        <f>IF($D3286="","",IF($K3286&lt;&gt;"对外销售","",ROUND($Q3286-$S3286,0)))</f>
        <v/>
      </c>
      <c r="U3286" s="17" t="n"/>
      <c r="V3286" s="17" t="n"/>
      <c r="W3286" s="24">
        <f>IF($D3286="","",IF($E3286="※编码不在物料档案里","※物料编码不在档案里",IF(N($J3286)&lt;=0,"※出库数量要大于 0",IF($K3286="","※没填去向类型",IF($L3286="","※没填去向矿区",IF(AND($C3286&lt;&gt;"",$C3286&lt;=结账锁),"※日期早于已结账截止日，不能再录",IF(AND($K3286="自用消耗",COUNTIF({"一矿区";"二矿区"},$L3286)=0),"※自用消耗的去向只能是一矿区或二矿区",IF(AND($K3286="对外销售",COUNTIF({"三矿区";"六矿区"},$L3286)=0),"※对外销售的去向只能是三矿区或六矿区",IF(AND($K3286="对外销售",ROUND($Q3286,0)=0),"※外销却没有售价，请填实际售价",IF(AND($K3286="对外销售",$T3286&lt;&gt;"",$T3286&lt;0),"※这一笔外销是亏的，请核对售价",IF(IFERROR(VLOOKUP($D3286,库存台账!$A$5:$Y$1204,24,0),0)&lt;-0.001,"※这个物料账面已经变成负数了，查一下是不是漏记入库","")))))))))))</f>
        <v/>
      </c>
    </row>
    <row r="3287">
      <c r="A3287" s="24">
        <f>IF($D3287="","",COUNTA($D$4:$D3287))</f>
        <v/>
      </c>
      <c r="B3287" s="17" t="n"/>
      <c r="C3287" s="30" t="n"/>
      <c r="D3287" s="17" t="n"/>
      <c r="E3287" s="24">
        <f>IF($D3287="","",IFERROR(VLOOKUP($D3287,物料档案!$A$4:$P$1203,3,0),"※编码不在物料档案里"))</f>
        <v/>
      </c>
      <c r="F3287" s="24">
        <f>IF($D3287="","",IFERROR(VLOOKUP($D3287,物料档案!$A$4:$P$1203,4,0),"※编码不在物料档案里"))</f>
        <v/>
      </c>
      <c r="G3287" s="24">
        <f>IF($D3287="","",IFERROR(VLOOKUP($D3287,物料档案!$A$4:$P$1203,5,0),"※编码不在物料档案里"))</f>
        <v/>
      </c>
      <c r="H3287" s="24">
        <f>IF($D3287="","",IFERROR(VLOOKUP($D3287,物料档案!$A$4:$P$1203,2,0),"※编码不在物料档案里"))</f>
        <v/>
      </c>
      <c r="I3287" s="24">
        <f>IF($D3287="","",IFERROR(VLOOKUP($D3287,物料档案!$A$4:$P$1203,6,0),"※编码不在物料档案里"))</f>
        <v/>
      </c>
      <c r="J3287" s="23" t="n"/>
      <c r="K3287" s="17" t="n"/>
      <c r="L3287" s="17" t="n"/>
      <c r="M3287" s="17" t="n"/>
      <c r="N3287" s="17" t="n"/>
      <c r="O3287" s="26">
        <f>IF($D3287="","",IFERROR(VLOOKUP($D3287,物料档案!$A$4:$P$1203,10,0),0))</f>
        <v/>
      </c>
      <c r="P3287" s="32" t="n"/>
      <c r="Q3287" s="26">
        <f>IF($D3287="","",IF($K3287&lt;&gt;"对外销售",0,ROUND(N($J3287)*IF($P3287="",N($O3287),N($P3287)),0)))</f>
        <v/>
      </c>
      <c r="R3287" s="26">
        <f>IF($D3287="","",IFERROR(VLOOKUP($D3287,库存台账!$A$5:$Y$1204,11,0),0))</f>
        <v/>
      </c>
      <c r="S3287" s="26">
        <f>IF($D3287="","",ROUND(N($J3287)*N($R3287),0))</f>
        <v/>
      </c>
      <c r="T3287" s="26">
        <f>IF($D3287="","",IF($K3287&lt;&gt;"对外销售","",ROUND($Q3287-$S3287,0)))</f>
        <v/>
      </c>
      <c r="U3287" s="17" t="n"/>
      <c r="V3287" s="17" t="n"/>
      <c r="W3287" s="24">
        <f>IF($D3287="","",IF($E3287="※编码不在物料档案里","※物料编码不在档案里",IF(N($J3287)&lt;=0,"※出库数量要大于 0",IF($K3287="","※没填去向类型",IF($L3287="","※没填去向矿区",IF(AND($C3287&lt;&gt;"",$C3287&lt;=结账锁),"※日期早于已结账截止日，不能再录",IF(AND($K3287="自用消耗",COUNTIF({"一矿区";"二矿区"},$L3287)=0),"※自用消耗的去向只能是一矿区或二矿区",IF(AND($K3287="对外销售",COUNTIF({"三矿区";"六矿区"},$L3287)=0),"※对外销售的去向只能是三矿区或六矿区",IF(AND($K3287="对外销售",ROUND($Q3287,0)=0),"※外销却没有售价，请填实际售价",IF(AND($K3287="对外销售",$T3287&lt;&gt;"",$T3287&lt;0),"※这一笔外销是亏的，请核对售价",IF(IFERROR(VLOOKUP($D3287,库存台账!$A$5:$Y$1204,24,0),0)&lt;-0.001,"※这个物料账面已经变成负数了，查一下是不是漏记入库","")))))))))))</f>
        <v/>
      </c>
    </row>
    <row r="3288">
      <c r="A3288" s="24">
        <f>IF($D3288="","",COUNTA($D$4:$D3288))</f>
        <v/>
      </c>
      <c r="B3288" s="17" t="n"/>
      <c r="C3288" s="30" t="n"/>
      <c r="D3288" s="17" t="n"/>
      <c r="E3288" s="24">
        <f>IF($D3288="","",IFERROR(VLOOKUP($D3288,物料档案!$A$4:$P$1203,3,0),"※编码不在物料档案里"))</f>
        <v/>
      </c>
      <c r="F3288" s="24">
        <f>IF($D3288="","",IFERROR(VLOOKUP($D3288,物料档案!$A$4:$P$1203,4,0),"※编码不在物料档案里"))</f>
        <v/>
      </c>
      <c r="G3288" s="24">
        <f>IF($D3288="","",IFERROR(VLOOKUP($D3288,物料档案!$A$4:$P$1203,5,0),"※编码不在物料档案里"))</f>
        <v/>
      </c>
      <c r="H3288" s="24">
        <f>IF($D3288="","",IFERROR(VLOOKUP($D3288,物料档案!$A$4:$P$1203,2,0),"※编码不在物料档案里"))</f>
        <v/>
      </c>
      <c r="I3288" s="24">
        <f>IF($D3288="","",IFERROR(VLOOKUP($D3288,物料档案!$A$4:$P$1203,6,0),"※编码不在物料档案里"))</f>
        <v/>
      </c>
      <c r="J3288" s="23" t="n"/>
      <c r="K3288" s="17" t="n"/>
      <c r="L3288" s="17" t="n"/>
      <c r="M3288" s="17" t="n"/>
      <c r="N3288" s="17" t="n"/>
      <c r="O3288" s="26">
        <f>IF($D3288="","",IFERROR(VLOOKUP($D3288,物料档案!$A$4:$P$1203,10,0),0))</f>
        <v/>
      </c>
      <c r="P3288" s="32" t="n"/>
      <c r="Q3288" s="26">
        <f>IF($D3288="","",IF($K3288&lt;&gt;"对外销售",0,ROUND(N($J3288)*IF($P3288="",N($O3288),N($P3288)),0)))</f>
        <v/>
      </c>
      <c r="R3288" s="26">
        <f>IF($D3288="","",IFERROR(VLOOKUP($D3288,库存台账!$A$5:$Y$1204,11,0),0))</f>
        <v/>
      </c>
      <c r="S3288" s="26">
        <f>IF($D3288="","",ROUND(N($J3288)*N($R3288),0))</f>
        <v/>
      </c>
      <c r="T3288" s="26">
        <f>IF($D3288="","",IF($K3288&lt;&gt;"对外销售","",ROUND($Q3288-$S3288,0)))</f>
        <v/>
      </c>
      <c r="U3288" s="17" t="n"/>
      <c r="V3288" s="17" t="n"/>
      <c r="W3288" s="24">
        <f>IF($D3288="","",IF($E3288="※编码不在物料档案里","※物料编码不在档案里",IF(N($J3288)&lt;=0,"※出库数量要大于 0",IF($K3288="","※没填去向类型",IF($L3288="","※没填去向矿区",IF(AND($C3288&lt;&gt;"",$C3288&lt;=结账锁),"※日期早于已结账截止日，不能再录",IF(AND($K3288="自用消耗",COUNTIF({"一矿区";"二矿区"},$L3288)=0),"※自用消耗的去向只能是一矿区或二矿区",IF(AND($K3288="对外销售",COUNTIF({"三矿区";"六矿区"},$L3288)=0),"※对外销售的去向只能是三矿区或六矿区",IF(AND($K3288="对外销售",ROUND($Q3288,0)=0),"※外销却没有售价，请填实际售价",IF(AND($K3288="对外销售",$T3288&lt;&gt;"",$T3288&lt;0),"※这一笔外销是亏的，请核对售价",IF(IFERROR(VLOOKUP($D3288,库存台账!$A$5:$Y$1204,24,0),0)&lt;-0.001,"※这个物料账面已经变成负数了，查一下是不是漏记入库","")))))))))))</f>
        <v/>
      </c>
    </row>
    <row r="3289">
      <c r="A3289" s="24">
        <f>IF($D3289="","",COUNTA($D$4:$D3289))</f>
        <v/>
      </c>
      <c r="B3289" s="17" t="n"/>
      <c r="C3289" s="30" t="n"/>
      <c r="D3289" s="17" t="n"/>
      <c r="E3289" s="24">
        <f>IF($D3289="","",IFERROR(VLOOKUP($D3289,物料档案!$A$4:$P$1203,3,0),"※编码不在物料档案里"))</f>
        <v/>
      </c>
      <c r="F3289" s="24">
        <f>IF($D3289="","",IFERROR(VLOOKUP($D3289,物料档案!$A$4:$P$1203,4,0),"※编码不在物料档案里"))</f>
        <v/>
      </c>
      <c r="G3289" s="24">
        <f>IF($D3289="","",IFERROR(VLOOKUP($D3289,物料档案!$A$4:$P$1203,5,0),"※编码不在物料档案里"))</f>
        <v/>
      </c>
      <c r="H3289" s="24">
        <f>IF($D3289="","",IFERROR(VLOOKUP($D3289,物料档案!$A$4:$P$1203,2,0),"※编码不在物料档案里"))</f>
        <v/>
      </c>
      <c r="I3289" s="24">
        <f>IF($D3289="","",IFERROR(VLOOKUP($D3289,物料档案!$A$4:$P$1203,6,0),"※编码不在物料档案里"))</f>
        <v/>
      </c>
      <c r="J3289" s="23" t="n"/>
      <c r="K3289" s="17" t="n"/>
      <c r="L3289" s="17" t="n"/>
      <c r="M3289" s="17" t="n"/>
      <c r="N3289" s="17" t="n"/>
      <c r="O3289" s="26">
        <f>IF($D3289="","",IFERROR(VLOOKUP($D3289,物料档案!$A$4:$P$1203,10,0),0))</f>
        <v/>
      </c>
      <c r="P3289" s="32" t="n"/>
      <c r="Q3289" s="26">
        <f>IF($D3289="","",IF($K3289&lt;&gt;"对外销售",0,ROUND(N($J3289)*IF($P3289="",N($O3289),N($P3289)),0)))</f>
        <v/>
      </c>
      <c r="R3289" s="26">
        <f>IF($D3289="","",IFERROR(VLOOKUP($D3289,库存台账!$A$5:$Y$1204,11,0),0))</f>
        <v/>
      </c>
      <c r="S3289" s="26">
        <f>IF($D3289="","",ROUND(N($J3289)*N($R3289),0))</f>
        <v/>
      </c>
      <c r="T3289" s="26">
        <f>IF($D3289="","",IF($K3289&lt;&gt;"对外销售","",ROUND($Q3289-$S3289,0)))</f>
        <v/>
      </c>
      <c r="U3289" s="17" t="n"/>
      <c r="V3289" s="17" t="n"/>
      <c r="W3289" s="24">
        <f>IF($D3289="","",IF($E3289="※编码不在物料档案里","※物料编码不在档案里",IF(N($J3289)&lt;=0,"※出库数量要大于 0",IF($K3289="","※没填去向类型",IF($L3289="","※没填去向矿区",IF(AND($C3289&lt;&gt;"",$C3289&lt;=结账锁),"※日期早于已结账截止日，不能再录",IF(AND($K3289="自用消耗",COUNTIF({"一矿区";"二矿区"},$L3289)=0),"※自用消耗的去向只能是一矿区或二矿区",IF(AND($K3289="对外销售",COUNTIF({"三矿区";"六矿区"},$L3289)=0),"※对外销售的去向只能是三矿区或六矿区",IF(AND($K3289="对外销售",ROUND($Q3289,0)=0),"※外销却没有售价，请填实际售价",IF(AND($K3289="对外销售",$T3289&lt;&gt;"",$T3289&lt;0),"※这一笔外销是亏的，请核对售价",IF(IFERROR(VLOOKUP($D3289,库存台账!$A$5:$Y$1204,24,0),0)&lt;-0.001,"※这个物料账面已经变成负数了，查一下是不是漏记入库","")))))))))))</f>
        <v/>
      </c>
    </row>
    <row r="3290">
      <c r="A3290" s="24">
        <f>IF($D3290="","",COUNTA($D$4:$D3290))</f>
        <v/>
      </c>
      <c r="B3290" s="17" t="n"/>
      <c r="C3290" s="30" t="n"/>
      <c r="D3290" s="17" t="n"/>
      <c r="E3290" s="24">
        <f>IF($D3290="","",IFERROR(VLOOKUP($D3290,物料档案!$A$4:$P$1203,3,0),"※编码不在物料档案里"))</f>
        <v/>
      </c>
      <c r="F3290" s="24">
        <f>IF($D3290="","",IFERROR(VLOOKUP($D3290,物料档案!$A$4:$P$1203,4,0),"※编码不在物料档案里"))</f>
        <v/>
      </c>
      <c r="G3290" s="24">
        <f>IF($D3290="","",IFERROR(VLOOKUP($D3290,物料档案!$A$4:$P$1203,5,0),"※编码不在物料档案里"))</f>
        <v/>
      </c>
      <c r="H3290" s="24">
        <f>IF($D3290="","",IFERROR(VLOOKUP($D3290,物料档案!$A$4:$P$1203,2,0),"※编码不在物料档案里"))</f>
        <v/>
      </c>
      <c r="I3290" s="24">
        <f>IF($D3290="","",IFERROR(VLOOKUP($D3290,物料档案!$A$4:$P$1203,6,0),"※编码不在物料档案里"))</f>
        <v/>
      </c>
      <c r="J3290" s="23" t="n"/>
      <c r="K3290" s="17" t="n"/>
      <c r="L3290" s="17" t="n"/>
      <c r="M3290" s="17" t="n"/>
      <c r="N3290" s="17" t="n"/>
      <c r="O3290" s="26">
        <f>IF($D3290="","",IFERROR(VLOOKUP($D3290,物料档案!$A$4:$P$1203,10,0),0))</f>
        <v/>
      </c>
      <c r="P3290" s="32" t="n"/>
      <c r="Q3290" s="26">
        <f>IF($D3290="","",IF($K3290&lt;&gt;"对外销售",0,ROUND(N($J3290)*IF($P3290="",N($O3290),N($P3290)),0)))</f>
        <v/>
      </c>
      <c r="R3290" s="26">
        <f>IF($D3290="","",IFERROR(VLOOKUP($D3290,库存台账!$A$5:$Y$1204,11,0),0))</f>
        <v/>
      </c>
      <c r="S3290" s="26">
        <f>IF($D3290="","",ROUND(N($J3290)*N($R3290),0))</f>
        <v/>
      </c>
      <c r="T3290" s="26">
        <f>IF($D3290="","",IF($K3290&lt;&gt;"对外销售","",ROUND($Q3290-$S3290,0)))</f>
        <v/>
      </c>
      <c r="U3290" s="17" t="n"/>
      <c r="V3290" s="17" t="n"/>
      <c r="W3290" s="24">
        <f>IF($D3290="","",IF($E3290="※编码不在物料档案里","※物料编码不在档案里",IF(N($J3290)&lt;=0,"※出库数量要大于 0",IF($K3290="","※没填去向类型",IF($L3290="","※没填去向矿区",IF(AND($C3290&lt;&gt;"",$C3290&lt;=结账锁),"※日期早于已结账截止日，不能再录",IF(AND($K3290="自用消耗",COUNTIF({"一矿区";"二矿区"},$L3290)=0),"※自用消耗的去向只能是一矿区或二矿区",IF(AND($K3290="对外销售",COUNTIF({"三矿区";"六矿区"},$L3290)=0),"※对外销售的去向只能是三矿区或六矿区",IF(AND($K3290="对外销售",ROUND($Q3290,0)=0),"※外销却没有售价，请填实际售价",IF(AND($K3290="对外销售",$T3290&lt;&gt;"",$T3290&lt;0),"※这一笔外销是亏的，请核对售价",IF(IFERROR(VLOOKUP($D3290,库存台账!$A$5:$Y$1204,24,0),0)&lt;-0.001,"※这个物料账面已经变成负数了，查一下是不是漏记入库","")))))))))))</f>
        <v/>
      </c>
    </row>
    <row r="3291">
      <c r="A3291" s="24">
        <f>IF($D3291="","",COUNTA($D$4:$D3291))</f>
        <v/>
      </c>
      <c r="B3291" s="17" t="n"/>
      <c r="C3291" s="30" t="n"/>
      <c r="D3291" s="17" t="n"/>
      <c r="E3291" s="24">
        <f>IF($D3291="","",IFERROR(VLOOKUP($D3291,物料档案!$A$4:$P$1203,3,0),"※编码不在物料档案里"))</f>
        <v/>
      </c>
      <c r="F3291" s="24">
        <f>IF($D3291="","",IFERROR(VLOOKUP($D3291,物料档案!$A$4:$P$1203,4,0),"※编码不在物料档案里"))</f>
        <v/>
      </c>
      <c r="G3291" s="24">
        <f>IF($D3291="","",IFERROR(VLOOKUP($D3291,物料档案!$A$4:$P$1203,5,0),"※编码不在物料档案里"))</f>
        <v/>
      </c>
      <c r="H3291" s="24">
        <f>IF($D3291="","",IFERROR(VLOOKUP($D3291,物料档案!$A$4:$P$1203,2,0),"※编码不在物料档案里"))</f>
        <v/>
      </c>
      <c r="I3291" s="24">
        <f>IF($D3291="","",IFERROR(VLOOKUP($D3291,物料档案!$A$4:$P$1203,6,0),"※编码不在物料档案里"))</f>
        <v/>
      </c>
      <c r="J3291" s="23" t="n"/>
      <c r="K3291" s="17" t="n"/>
      <c r="L3291" s="17" t="n"/>
      <c r="M3291" s="17" t="n"/>
      <c r="N3291" s="17" t="n"/>
      <c r="O3291" s="26">
        <f>IF($D3291="","",IFERROR(VLOOKUP($D3291,物料档案!$A$4:$P$1203,10,0),0))</f>
        <v/>
      </c>
      <c r="P3291" s="32" t="n"/>
      <c r="Q3291" s="26">
        <f>IF($D3291="","",IF($K3291&lt;&gt;"对外销售",0,ROUND(N($J3291)*IF($P3291="",N($O3291),N($P3291)),0)))</f>
        <v/>
      </c>
      <c r="R3291" s="26">
        <f>IF($D3291="","",IFERROR(VLOOKUP($D3291,库存台账!$A$5:$Y$1204,11,0),0))</f>
        <v/>
      </c>
      <c r="S3291" s="26">
        <f>IF($D3291="","",ROUND(N($J3291)*N($R3291),0))</f>
        <v/>
      </c>
      <c r="T3291" s="26">
        <f>IF($D3291="","",IF($K3291&lt;&gt;"对外销售","",ROUND($Q3291-$S3291,0)))</f>
        <v/>
      </c>
      <c r="U3291" s="17" t="n"/>
      <c r="V3291" s="17" t="n"/>
      <c r="W3291" s="24">
        <f>IF($D3291="","",IF($E3291="※编码不在物料档案里","※物料编码不在档案里",IF(N($J3291)&lt;=0,"※出库数量要大于 0",IF($K3291="","※没填去向类型",IF($L3291="","※没填去向矿区",IF(AND($C3291&lt;&gt;"",$C3291&lt;=结账锁),"※日期早于已结账截止日，不能再录",IF(AND($K3291="自用消耗",COUNTIF({"一矿区";"二矿区"},$L3291)=0),"※自用消耗的去向只能是一矿区或二矿区",IF(AND($K3291="对外销售",COUNTIF({"三矿区";"六矿区"},$L3291)=0),"※对外销售的去向只能是三矿区或六矿区",IF(AND($K3291="对外销售",ROUND($Q3291,0)=0),"※外销却没有售价，请填实际售价",IF(AND($K3291="对外销售",$T3291&lt;&gt;"",$T3291&lt;0),"※这一笔外销是亏的，请核对售价",IF(IFERROR(VLOOKUP($D3291,库存台账!$A$5:$Y$1204,24,0),0)&lt;-0.001,"※这个物料账面已经变成负数了，查一下是不是漏记入库","")))))))))))</f>
        <v/>
      </c>
    </row>
    <row r="3292">
      <c r="A3292" s="24">
        <f>IF($D3292="","",COUNTA($D$4:$D3292))</f>
        <v/>
      </c>
      <c r="B3292" s="17" t="n"/>
      <c r="C3292" s="30" t="n"/>
      <c r="D3292" s="17" t="n"/>
      <c r="E3292" s="24">
        <f>IF($D3292="","",IFERROR(VLOOKUP($D3292,物料档案!$A$4:$P$1203,3,0),"※编码不在物料档案里"))</f>
        <v/>
      </c>
      <c r="F3292" s="24">
        <f>IF($D3292="","",IFERROR(VLOOKUP($D3292,物料档案!$A$4:$P$1203,4,0),"※编码不在物料档案里"))</f>
        <v/>
      </c>
      <c r="G3292" s="24">
        <f>IF($D3292="","",IFERROR(VLOOKUP($D3292,物料档案!$A$4:$P$1203,5,0),"※编码不在物料档案里"))</f>
        <v/>
      </c>
      <c r="H3292" s="24">
        <f>IF($D3292="","",IFERROR(VLOOKUP($D3292,物料档案!$A$4:$P$1203,2,0),"※编码不在物料档案里"))</f>
        <v/>
      </c>
      <c r="I3292" s="24">
        <f>IF($D3292="","",IFERROR(VLOOKUP($D3292,物料档案!$A$4:$P$1203,6,0),"※编码不在物料档案里"))</f>
        <v/>
      </c>
      <c r="J3292" s="23" t="n"/>
      <c r="K3292" s="17" t="n"/>
      <c r="L3292" s="17" t="n"/>
      <c r="M3292" s="17" t="n"/>
      <c r="N3292" s="17" t="n"/>
      <c r="O3292" s="26">
        <f>IF($D3292="","",IFERROR(VLOOKUP($D3292,物料档案!$A$4:$P$1203,10,0),0))</f>
        <v/>
      </c>
      <c r="P3292" s="32" t="n"/>
      <c r="Q3292" s="26">
        <f>IF($D3292="","",IF($K3292&lt;&gt;"对外销售",0,ROUND(N($J3292)*IF($P3292="",N($O3292),N($P3292)),0)))</f>
        <v/>
      </c>
      <c r="R3292" s="26">
        <f>IF($D3292="","",IFERROR(VLOOKUP($D3292,库存台账!$A$5:$Y$1204,11,0),0))</f>
        <v/>
      </c>
      <c r="S3292" s="26">
        <f>IF($D3292="","",ROUND(N($J3292)*N($R3292),0))</f>
        <v/>
      </c>
      <c r="T3292" s="26">
        <f>IF($D3292="","",IF($K3292&lt;&gt;"对外销售","",ROUND($Q3292-$S3292,0)))</f>
        <v/>
      </c>
      <c r="U3292" s="17" t="n"/>
      <c r="V3292" s="17" t="n"/>
      <c r="W3292" s="24">
        <f>IF($D3292="","",IF($E3292="※编码不在物料档案里","※物料编码不在档案里",IF(N($J3292)&lt;=0,"※出库数量要大于 0",IF($K3292="","※没填去向类型",IF($L3292="","※没填去向矿区",IF(AND($C3292&lt;&gt;"",$C3292&lt;=结账锁),"※日期早于已结账截止日，不能再录",IF(AND($K3292="自用消耗",COUNTIF({"一矿区";"二矿区"},$L3292)=0),"※自用消耗的去向只能是一矿区或二矿区",IF(AND($K3292="对外销售",COUNTIF({"三矿区";"六矿区"},$L3292)=0),"※对外销售的去向只能是三矿区或六矿区",IF(AND($K3292="对外销售",ROUND($Q3292,0)=0),"※外销却没有售价，请填实际售价",IF(AND($K3292="对外销售",$T3292&lt;&gt;"",$T3292&lt;0),"※这一笔外销是亏的，请核对售价",IF(IFERROR(VLOOKUP($D3292,库存台账!$A$5:$Y$1204,24,0),0)&lt;-0.001,"※这个物料账面已经变成负数了，查一下是不是漏记入库","")))))))))))</f>
        <v/>
      </c>
    </row>
    <row r="3293">
      <c r="A3293" s="24">
        <f>IF($D3293="","",COUNTA($D$4:$D3293))</f>
        <v/>
      </c>
      <c r="B3293" s="17" t="n"/>
      <c r="C3293" s="30" t="n"/>
      <c r="D3293" s="17" t="n"/>
      <c r="E3293" s="24">
        <f>IF($D3293="","",IFERROR(VLOOKUP($D3293,物料档案!$A$4:$P$1203,3,0),"※编码不在物料档案里"))</f>
        <v/>
      </c>
      <c r="F3293" s="24">
        <f>IF($D3293="","",IFERROR(VLOOKUP($D3293,物料档案!$A$4:$P$1203,4,0),"※编码不在物料档案里"))</f>
        <v/>
      </c>
      <c r="G3293" s="24">
        <f>IF($D3293="","",IFERROR(VLOOKUP($D3293,物料档案!$A$4:$P$1203,5,0),"※编码不在物料档案里"))</f>
        <v/>
      </c>
      <c r="H3293" s="24">
        <f>IF($D3293="","",IFERROR(VLOOKUP($D3293,物料档案!$A$4:$P$1203,2,0),"※编码不在物料档案里"))</f>
        <v/>
      </c>
      <c r="I3293" s="24">
        <f>IF($D3293="","",IFERROR(VLOOKUP($D3293,物料档案!$A$4:$P$1203,6,0),"※编码不在物料档案里"))</f>
        <v/>
      </c>
      <c r="J3293" s="23" t="n"/>
      <c r="K3293" s="17" t="n"/>
      <c r="L3293" s="17" t="n"/>
      <c r="M3293" s="17" t="n"/>
      <c r="N3293" s="17" t="n"/>
      <c r="O3293" s="26">
        <f>IF($D3293="","",IFERROR(VLOOKUP($D3293,物料档案!$A$4:$P$1203,10,0),0))</f>
        <v/>
      </c>
      <c r="P3293" s="32" t="n"/>
      <c r="Q3293" s="26">
        <f>IF($D3293="","",IF($K3293&lt;&gt;"对外销售",0,ROUND(N($J3293)*IF($P3293="",N($O3293),N($P3293)),0)))</f>
        <v/>
      </c>
      <c r="R3293" s="26">
        <f>IF($D3293="","",IFERROR(VLOOKUP($D3293,库存台账!$A$5:$Y$1204,11,0),0))</f>
        <v/>
      </c>
      <c r="S3293" s="26">
        <f>IF($D3293="","",ROUND(N($J3293)*N($R3293),0))</f>
        <v/>
      </c>
      <c r="T3293" s="26">
        <f>IF($D3293="","",IF($K3293&lt;&gt;"对外销售","",ROUND($Q3293-$S3293,0)))</f>
        <v/>
      </c>
      <c r="U3293" s="17" t="n"/>
      <c r="V3293" s="17" t="n"/>
      <c r="W3293" s="24">
        <f>IF($D3293="","",IF($E3293="※编码不在物料档案里","※物料编码不在档案里",IF(N($J3293)&lt;=0,"※出库数量要大于 0",IF($K3293="","※没填去向类型",IF($L3293="","※没填去向矿区",IF(AND($C3293&lt;&gt;"",$C3293&lt;=结账锁),"※日期早于已结账截止日，不能再录",IF(AND($K3293="自用消耗",COUNTIF({"一矿区";"二矿区"},$L3293)=0),"※自用消耗的去向只能是一矿区或二矿区",IF(AND($K3293="对外销售",COUNTIF({"三矿区";"六矿区"},$L3293)=0),"※对外销售的去向只能是三矿区或六矿区",IF(AND($K3293="对外销售",ROUND($Q3293,0)=0),"※外销却没有售价，请填实际售价",IF(AND($K3293="对外销售",$T3293&lt;&gt;"",$T3293&lt;0),"※这一笔外销是亏的，请核对售价",IF(IFERROR(VLOOKUP($D3293,库存台账!$A$5:$Y$1204,24,0),0)&lt;-0.001,"※这个物料账面已经变成负数了，查一下是不是漏记入库","")))))))))))</f>
        <v/>
      </c>
    </row>
    <row r="3294">
      <c r="A3294" s="24">
        <f>IF($D3294="","",COUNTA($D$4:$D3294))</f>
        <v/>
      </c>
      <c r="B3294" s="17" t="n"/>
      <c r="C3294" s="30" t="n"/>
      <c r="D3294" s="17" t="n"/>
      <c r="E3294" s="24">
        <f>IF($D3294="","",IFERROR(VLOOKUP($D3294,物料档案!$A$4:$P$1203,3,0),"※编码不在物料档案里"))</f>
        <v/>
      </c>
      <c r="F3294" s="24">
        <f>IF($D3294="","",IFERROR(VLOOKUP($D3294,物料档案!$A$4:$P$1203,4,0),"※编码不在物料档案里"))</f>
        <v/>
      </c>
      <c r="G3294" s="24">
        <f>IF($D3294="","",IFERROR(VLOOKUP($D3294,物料档案!$A$4:$P$1203,5,0),"※编码不在物料档案里"))</f>
        <v/>
      </c>
      <c r="H3294" s="24">
        <f>IF($D3294="","",IFERROR(VLOOKUP($D3294,物料档案!$A$4:$P$1203,2,0),"※编码不在物料档案里"))</f>
        <v/>
      </c>
      <c r="I3294" s="24">
        <f>IF($D3294="","",IFERROR(VLOOKUP($D3294,物料档案!$A$4:$P$1203,6,0),"※编码不在物料档案里"))</f>
        <v/>
      </c>
      <c r="J3294" s="23" t="n"/>
      <c r="K3294" s="17" t="n"/>
      <c r="L3294" s="17" t="n"/>
      <c r="M3294" s="17" t="n"/>
      <c r="N3294" s="17" t="n"/>
      <c r="O3294" s="26">
        <f>IF($D3294="","",IFERROR(VLOOKUP($D3294,物料档案!$A$4:$P$1203,10,0),0))</f>
        <v/>
      </c>
      <c r="P3294" s="32" t="n"/>
      <c r="Q3294" s="26">
        <f>IF($D3294="","",IF($K3294&lt;&gt;"对外销售",0,ROUND(N($J3294)*IF($P3294="",N($O3294),N($P3294)),0)))</f>
        <v/>
      </c>
      <c r="R3294" s="26">
        <f>IF($D3294="","",IFERROR(VLOOKUP($D3294,库存台账!$A$5:$Y$1204,11,0),0))</f>
        <v/>
      </c>
      <c r="S3294" s="26">
        <f>IF($D3294="","",ROUND(N($J3294)*N($R3294),0))</f>
        <v/>
      </c>
      <c r="T3294" s="26">
        <f>IF($D3294="","",IF($K3294&lt;&gt;"对外销售","",ROUND($Q3294-$S3294,0)))</f>
        <v/>
      </c>
      <c r="U3294" s="17" t="n"/>
      <c r="V3294" s="17" t="n"/>
      <c r="W3294" s="24">
        <f>IF($D3294="","",IF($E3294="※编码不在物料档案里","※物料编码不在档案里",IF(N($J3294)&lt;=0,"※出库数量要大于 0",IF($K3294="","※没填去向类型",IF($L3294="","※没填去向矿区",IF(AND($C3294&lt;&gt;"",$C3294&lt;=结账锁),"※日期早于已结账截止日，不能再录",IF(AND($K3294="自用消耗",COUNTIF({"一矿区";"二矿区"},$L3294)=0),"※自用消耗的去向只能是一矿区或二矿区",IF(AND($K3294="对外销售",COUNTIF({"三矿区";"六矿区"},$L3294)=0),"※对外销售的去向只能是三矿区或六矿区",IF(AND($K3294="对外销售",ROUND($Q3294,0)=0),"※外销却没有售价，请填实际售价",IF(AND($K3294="对外销售",$T3294&lt;&gt;"",$T3294&lt;0),"※这一笔外销是亏的，请核对售价",IF(IFERROR(VLOOKUP($D3294,库存台账!$A$5:$Y$1204,24,0),0)&lt;-0.001,"※这个物料账面已经变成负数了，查一下是不是漏记入库","")))))))))))</f>
        <v/>
      </c>
    </row>
    <row r="3295">
      <c r="A3295" s="24">
        <f>IF($D3295="","",COUNTA($D$4:$D3295))</f>
        <v/>
      </c>
      <c r="B3295" s="17" t="n"/>
      <c r="C3295" s="30" t="n"/>
      <c r="D3295" s="17" t="n"/>
      <c r="E3295" s="24">
        <f>IF($D3295="","",IFERROR(VLOOKUP($D3295,物料档案!$A$4:$P$1203,3,0),"※编码不在物料档案里"))</f>
        <v/>
      </c>
      <c r="F3295" s="24">
        <f>IF($D3295="","",IFERROR(VLOOKUP($D3295,物料档案!$A$4:$P$1203,4,0),"※编码不在物料档案里"))</f>
        <v/>
      </c>
      <c r="G3295" s="24">
        <f>IF($D3295="","",IFERROR(VLOOKUP($D3295,物料档案!$A$4:$P$1203,5,0),"※编码不在物料档案里"))</f>
        <v/>
      </c>
      <c r="H3295" s="24">
        <f>IF($D3295="","",IFERROR(VLOOKUP($D3295,物料档案!$A$4:$P$1203,2,0),"※编码不在物料档案里"))</f>
        <v/>
      </c>
      <c r="I3295" s="24">
        <f>IF($D3295="","",IFERROR(VLOOKUP($D3295,物料档案!$A$4:$P$1203,6,0),"※编码不在物料档案里"))</f>
        <v/>
      </c>
      <c r="J3295" s="23" t="n"/>
      <c r="K3295" s="17" t="n"/>
      <c r="L3295" s="17" t="n"/>
      <c r="M3295" s="17" t="n"/>
      <c r="N3295" s="17" t="n"/>
      <c r="O3295" s="26">
        <f>IF($D3295="","",IFERROR(VLOOKUP($D3295,物料档案!$A$4:$P$1203,10,0),0))</f>
        <v/>
      </c>
      <c r="P3295" s="32" t="n"/>
      <c r="Q3295" s="26">
        <f>IF($D3295="","",IF($K3295&lt;&gt;"对外销售",0,ROUND(N($J3295)*IF($P3295="",N($O3295),N($P3295)),0)))</f>
        <v/>
      </c>
      <c r="R3295" s="26">
        <f>IF($D3295="","",IFERROR(VLOOKUP($D3295,库存台账!$A$5:$Y$1204,11,0),0))</f>
        <v/>
      </c>
      <c r="S3295" s="26">
        <f>IF($D3295="","",ROUND(N($J3295)*N($R3295),0))</f>
        <v/>
      </c>
      <c r="T3295" s="26">
        <f>IF($D3295="","",IF($K3295&lt;&gt;"对外销售","",ROUND($Q3295-$S3295,0)))</f>
        <v/>
      </c>
      <c r="U3295" s="17" t="n"/>
      <c r="V3295" s="17" t="n"/>
      <c r="W3295" s="24">
        <f>IF($D3295="","",IF($E3295="※编码不在物料档案里","※物料编码不在档案里",IF(N($J3295)&lt;=0,"※出库数量要大于 0",IF($K3295="","※没填去向类型",IF($L3295="","※没填去向矿区",IF(AND($C3295&lt;&gt;"",$C3295&lt;=结账锁),"※日期早于已结账截止日，不能再录",IF(AND($K3295="自用消耗",COUNTIF({"一矿区";"二矿区"},$L3295)=0),"※自用消耗的去向只能是一矿区或二矿区",IF(AND($K3295="对外销售",COUNTIF({"三矿区";"六矿区"},$L3295)=0),"※对外销售的去向只能是三矿区或六矿区",IF(AND($K3295="对外销售",ROUND($Q3295,0)=0),"※外销却没有售价，请填实际售价",IF(AND($K3295="对外销售",$T3295&lt;&gt;"",$T3295&lt;0),"※这一笔外销是亏的，请核对售价",IF(IFERROR(VLOOKUP($D3295,库存台账!$A$5:$Y$1204,24,0),0)&lt;-0.001,"※这个物料账面已经变成负数了，查一下是不是漏记入库","")))))))))))</f>
        <v/>
      </c>
    </row>
    <row r="3296">
      <c r="A3296" s="24">
        <f>IF($D3296="","",COUNTA($D$4:$D3296))</f>
        <v/>
      </c>
      <c r="B3296" s="17" t="n"/>
      <c r="C3296" s="30" t="n"/>
      <c r="D3296" s="17" t="n"/>
      <c r="E3296" s="24">
        <f>IF($D3296="","",IFERROR(VLOOKUP($D3296,物料档案!$A$4:$P$1203,3,0),"※编码不在物料档案里"))</f>
        <v/>
      </c>
      <c r="F3296" s="24">
        <f>IF($D3296="","",IFERROR(VLOOKUP($D3296,物料档案!$A$4:$P$1203,4,0),"※编码不在物料档案里"))</f>
        <v/>
      </c>
      <c r="G3296" s="24">
        <f>IF($D3296="","",IFERROR(VLOOKUP($D3296,物料档案!$A$4:$P$1203,5,0),"※编码不在物料档案里"))</f>
        <v/>
      </c>
      <c r="H3296" s="24">
        <f>IF($D3296="","",IFERROR(VLOOKUP($D3296,物料档案!$A$4:$P$1203,2,0),"※编码不在物料档案里"))</f>
        <v/>
      </c>
      <c r="I3296" s="24">
        <f>IF($D3296="","",IFERROR(VLOOKUP($D3296,物料档案!$A$4:$P$1203,6,0),"※编码不在物料档案里"))</f>
        <v/>
      </c>
      <c r="J3296" s="23" t="n"/>
      <c r="K3296" s="17" t="n"/>
      <c r="L3296" s="17" t="n"/>
      <c r="M3296" s="17" t="n"/>
      <c r="N3296" s="17" t="n"/>
      <c r="O3296" s="26">
        <f>IF($D3296="","",IFERROR(VLOOKUP($D3296,物料档案!$A$4:$P$1203,10,0),0))</f>
        <v/>
      </c>
      <c r="P3296" s="32" t="n"/>
      <c r="Q3296" s="26">
        <f>IF($D3296="","",IF($K3296&lt;&gt;"对外销售",0,ROUND(N($J3296)*IF($P3296="",N($O3296),N($P3296)),0)))</f>
        <v/>
      </c>
      <c r="R3296" s="26">
        <f>IF($D3296="","",IFERROR(VLOOKUP($D3296,库存台账!$A$5:$Y$1204,11,0),0))</f>
        <v/>
      </c>
      <c r="S3296" s="26">
        <f>IF($D3296="","",ROUND(N($J3296)*N($R3296),0))</f>
        <v/>
      </c>
      <c r="T3296" s="26">
        <f>IF($D3296="","",IF($K3296&lt;&gt;"对外销售","",ROUND($Q3296-$S3296,0)))</f>
        <v/>
      </c>
      <c r="U3296" s="17" t="n"/>
      <c r="V3296" s="17" t="n"/>
      <c r="W3296" s="24">
        <f>IF($D3296="","",IF($E3296="※编码不在物料档案里","※物料编码不在档案里",IF(N($J3296)&lt;=0,"※出库数量要大于 0",IF($K3296="","※没填去向类型",IF($L3296="","※没填去向矿区",IF(AND($C3296&lt;&gt;"",$C3296&lt;=结账锁),"※日期早于已结账截止日，不能再录",IF(AND($K3296="自用消耗",COUNTIF({"一矿区";"二矿区"},$L3296)=0),"※自用消耗的去向只能是一矿区或二矿区",IF(AND($K3296="对外销售",COUNTIF({"三矿区";"六矿区"},$L3296)=0),"※对外销售的去向只能是三矿区或六矿区",IF(AND($K3296="对外销售",ROUND($Q3296,0)=0),"※外销却没有售价，请填实际售价",IF(AND($K3296="对外销售",$T3296&lt;&gt;"",$T3296&lt;0),"※这一笔外销是亏的，请核对售价",IF(IFERROR(VLOOKUP($D3296,库存台账!$A$5:$Y$1204,24,0),0)&lt;-0.001,"※这个物料账面已经变成负数了，查一下是不是漏记入库","")))))))))))</f>
        <v/>
      </c>
    </row>
    <row r="3297">
      <c r="A3297" s="24">
        <f>IF($D3297="","",COUNTA($D$4:$D3297))</f>
        <v/>
      </c>
      <c r="B3297" s="17" t="n"/>
      <c r="C3297" s="30" t="n"/>
      <c r="D3297" s="17" t="n"/>
      <c r="E3297" s="24">
        <f>IF($D3297="","",IFERROR(VLOOKUP($D3297,物料档案!$A$4:$P$1203,3,0),"※编码不在物料档案里"))</f>
        <v/>
      </c>
      <c r="F3297" s="24">
        <f>IF($D3297="","",IFERROR(VLOOKUP($D3297,物料档案!$A$4:$P$1203,4,0),"※编码不在物料档案里"))</f>
        <v/>
      </c>
      <c r="G3297" s="24">
        <f>IF($D3297="","",IFERROR(VLOOKUP($D3297,物料档案!$A$4:$P$1203,5,0),"※编码不在物料档案里"))</f>
        <v/>
      </c>
      <c r="H3297" s="24">
        <f>IF($D3297="","",IFERROR(VLOOKUP($D3297,物料档案!$A$4:$P$1203,2,0),"※编码不在物料档案里"))</f>
        <v/>
      </c>
      <c r="I3297" s="24">
        <f>IF($D3297="","",IFERROR(VLOOKUP($D3297,物料档案!$A$4:$P$1203,6,0),"※编码不在物料档案里"))</f>
        <v/>
      </c>
      <c r="J3297" s="23" t="n"/>
      <c r="K3297" s="17" t="n"/>
      <c r="L3297" s="17" t="n"/>
      <c r="M3297" s="17" t="n"/>
      <c r="N3297" s="17" t="n"/>
      <c r="O3297" s="26">
        <f>IF($D3297="","",IFERROR(VLOOKUP($D3297,物料档案!$A$4:$P$1203,10,0),0))</f>
        <v/>
      </c>
      <c r="P3297" s="32" t="n"/>
      <c r="Q3297" s="26">
        <f>IF($D3297="","",IF($K3297&lt;&gt;"对外销售",0,ROUND(N($J3297)*IF($P3297="",N($O3297),N($P3297)),0)))</f>
        <v/>
      </c>
      <c r="R3297" s="26">
        <f>IF($D3297="","",IFERROR(VLOOKUP($D3297,库存台账!$A$5:$Y$1204,11,0),0))</f>
        <v/>
      </c>
      <c r="S3297" s="26">
        <f>IF($D3297="","",ROUND(N($J3297)*N($R3297),0))</f>
        <v/>
      </c>
      <c r="T3297" s="26">
        <f>IF($D3297="","",IF($K3297&lt;&gt;"对外销售","",ROUND($Q3297-$S3297,0)))</f>
        <v/>
      </c>
      <c r="U3297" s="17" t="n"/>
      <c r="V3297" s="17" t="n"/>
      <c r="W3297" s="24">
        <f>IF($D3297="","",IF($E3297="※编码不在物料档案里","※物料编码不在档案里",IF(N($J3297)&lt;=0,"※出库数量要大于 0",IF($K3297="","※没填去向类型",IF($L3297="","※没填去向矿区",IF(AND($C3297&lt;&gt;"",$C3297&lt;=结账锁),"※日期早于已结账截止日，不能再录",IF(AND($K3297="自用消耗",COUNTIF({"一矿区";"二矿区"},$L3297)=0),"※自用消耗的去向只能是一矿区或二矿区",IF(AND($K3297="对外销售",COUNTIF({"三矿区";"六矿区"},$L3297)=0),"※对外销售的去向只能是三矿区或六矿区",IF(AND($K3297="对外销售",ROUND($Q3297,0)=0),"※外销却没有售价，请填实际售价",IF(AND($K3297="对外销售",$T3297&lt;&gt;"",$T3297&lt;0),"※这一笔外销是亏的，请核对售价",IF(IFERROR(VLOOKUP($D3297,库存台账!$A$5:$Y$1204,24,0),0)&lt;-0.001,"※这个物料账面已经变成负数了，查一下是不是漏记入库","")))))))))))</f>
        <v/>
      </c>
    </row>
    <row r="3298">
      <c r="A3298" s="24">
        <f>IF($D3298="","",COUNTA($D$4:$D3298))</f>
        <v/>
      </c>
      <c r="B3298" s="17" t="n"/>
      <c r="C3298" s="30" t="n"/>
      <c r="D3298" s="17" t="n"/>
      <c r="E3298" s="24">
        <f>IF($D3298="","",IFERROR(VLOOKUP($D3298,物料档案!$A$4:$P$1203,3,0),"※编码不在物料档案里"))</f>
        <v/>
      </c>
      <c r="F3298" s="24">
        <f>IF($D3298="","",IFERROR(VLOOKUP($D3298,物料档案!$A$4:$P$1203,4,0),"※编码不在物料档案里"))</f>
        <v/>
      </c>
      <c r="G3298" s="24">
        <f>IF($D3298="","",IFERROR(VLOOKUP($D3298,物料档案!$A$4:$P$1203,5,0),"※编码不在物料档案里"))</f>
        <v/>
      </c>
      <c r="H3298" s="24">
        <f>IF($D3298="","",IFERROR(VLOOKUP($D3298,物料档案!$A$4:$P$1203,2,0),"※编码不在物料档案里"))</f>
        <v/>
      </c>
      <c r="I3298" s="24">
        <f>IF($D3298="","",IFERROR(VLOOKUP($D3298,物料档案!$A$4:$P$1203,6,0),"※编码不在物料档案里"))</f>
        <v/>
      </c>
      <c r="J3298" s="23" t="n"/>
      <c r="K3298" s="17" t="n"/>
      <c r="L3298" s="17" t="n"/>
      <c r="M3298" s="17" t="n"/>
      <c r="N3298" s="17" t="n"/>
      <c r="O3298" s="26">
        <f>IF($D3298="","",IFERROR(VLOOKUP($D3298,物料档案!$A$4:$P$1203,10,0),0))</f>
        <v/>
      </c>
      <c r="P3298" s="32" t="n"/>
      <c r="Q3298" s="26">
        <f>IF($D3298="","",IF($K3298&lt;&gt;"对外销售",0,ROUND(N($J3298)*IF($P3298="",N($O3298),N($P3298)),0)))</f>
        <v/>
      </c>
      <c r="R3298" s="26">
        <f>IF($D3298="","",IFERROR(VLOOKUP($D3298,库存台账!$A$5:$Y$1204,11,0),0))</f>
        <v/>
      </c>
      <c r="S3298" s="26">
        <f>IF($D3298="","",ROUND(N($J3298)*N($R3298),0))</f>
        <v/>
      </c>
      <c r="T3298" s="26">
        <f>IF($D3298="","",IF($K3298&lt;&gt;"对外销售","",ROUND($Q3298-$S3298,0)))</f>
        <v/>
      </c>
      <c r="U3298" s="17" t="n"/>
      <c r="V3298" s="17" t="n"/>
      <c r="W3298" s="24">
        <f>IF($D3298="","",IF($E3298="※编码不在物料档案里","※物料编码不在档案里",IF(N($J3298)&lt;=0,"※出库数量要大于 0",IF($K3298="","※没填去向类型",IF($L3298="","※没填去向矿区",IF(AND($C3298&lt;&gt;"",$C3298&lt;=结账锁),"※日期早于已结账截止日，不能再录",IF(AND($K3298="自用消耗",COUNTIF({"一矿区";"二矿区"},$L3298)=0),"※自用消耗的去向只能是一矿区或二矿区",IF(AND($K3298="对外销售",COUNTIF({"三矿区";"六矿区"},$L3298)=0),"※对外销售的去向只能是三矿区或六矿区",IF(AND($K3298="对外销售",ROUND($Q3298,0)=0),"※外销却没有售价，请填实际售价",IF(AND($K3298="对外销售",$T3298&lt;&gt;"",$T3298&lt;0),"※这一笔外销是亏的，请核对售价",IF(IFERROR(VLOOKUP($D3298,库存台账!$A$5:$Y$1204,24,0),0)&lt;-0.001,"※这个物料账面已经变成负数了，查一下是不是漏记入库","")))))))))))</f>
        <v/>
      </c>
    </row>
    <row r="3299">
      <c r="A3299" s="24">
        <f>IF($D3299="","",COUNTA($D$4:$D3299))</f>
        <v/>
      </c>
      <c r="B3299" s="17" t="n"/>
      <c r="C3299" s="30" t="n"/>
      <c r="D3299" s="17" t="n"/>
      <c r="E3299" s="24">
        <f>IF($D3299="","",IFERROR(VLOOKUP($D3299,物料档案!$A$4:$P$1203,3,0),"※编码不在物料档案里"))</f>
        <v/>
      </c>
      <c r="F3299" s="24">
        <f>IF($D3299="","",IFERROR(VLOOKUP($D3299,物料档案!$A$4:$P$1203,4,0),"※编码不在物料档案里"))</f>
        <v/>
      </c>
      <c r="G3299" s="24">
        <f>IF($D3299="","",IFERROR(VLOOKUP($D3299,物料档案!$A$4:$P$1203,5,0),"※编码不在物料档案里"))</f>
        <v/>
      </c>
      <c r="H3299" s="24">
        <f>IF($D3299="","",IFERROR(VLOOKUP($D3299,物料档案!$A$4:$P$1203,2,0),"※编码不在物料档案里"))</f>
        <v/>
      </c>
      <c r="I3299" s="24">
        <f>IF($D3299="","",IFERROR(VLOOKUP($D3299,物料档案!$A$4:$P$1203,6,0),"※编码不在物料档案里"))</f>
        <v/>
      </c>
      <c r="J3299" s="23" t="n"/>
      <c r="K3299" s="17" t="n"/>
      <c r="L3299" s="17" t="n"/>
      <c r="M3299" s="17" t="n"/>
      <c r="N3299" s="17" t="n"/>
      <c r="O3299" s="26">
        <f>IF($D3299="","",IFERROR(VLOOKUP($D3299,物料档案!$A$4:$P$1203,10,0),0))</f>
        <v/>
      </c>
      <c r="P3299" s="32" t="n"/>
      <c r="Q3299" s="26">
        <f>IF($D3299="","",IF($K3299&lt;&gt;"对外销售",0,ROUND(N($J3299)*IF($P3299="",N($O3299),N($P3299)),0)))</f>
        <v/>
      </c>
      <c r="R3299" s="26">
        <f>IF($D3299="","",IFERROR(VLOOKUP($D3299,库存台账!$A$5:$Y$1204,11,0),0))</f>
        <v/>
      </c>
      <c r="S3299" s="26">
        <f>IF($D3299="","",ROUND(N($J3299)*N($R3299),0))</f>
        <v/>
      </c>
      <c r="T3299" s="26">
        <f>IF($D3299="","",IF($K3299&lt;&gt;"对外销售","",ROUND($Q3299-$S3299,0)))</f>
        <v/>
      </c>
      <c r="U3299" s="17" t="n"/>
      <c r="V3299" s="17" t="n"/>
      <c r="W3299" s="24">
        <f>IF($D3299="","",IF($E3299="※编码不在物料档案里","※物料编码不在档案里",IF(N($J3299)&lt;=0,"※出库数量要大于 0",IF($K3299="","※没填去向类型",IF($L3299="","※没填去向矿区",IF(AND($C3299&lt;&gt;"",$C3299&lt;=结账锁),"※日期早于已结账截止日，不能再录",IF(AND($K3299="自用消耗",COUNTIF({"一矿区";"二矿区"},$L3299)=0),"※自用消耗的去向只能是一矿区或二矿区",IF(AND($K3299="对外销售",COUNTIF({"三矿区";"六矿区"},$L3299)=0),"※对外销售的去向只能是三矿区或六矿区",IF(AND($K3299="对外销售",ROUND($Q3299,0)=0),"※外销却没有售价，请填实际售价",IF(AND($K3299="对外销售",$T3299&lt;&gt;"",$T3299&lt;0),"※这一笔外销是亏的，请核对售价",IF(IFERROR(VLOOKUP($D3299,库存台账!$A$5:$Y$1204,24,0),0)&lt;-0.001,"※这个物料账面已经变成负数了，查一下是不是漏记入库","")))))))))))</f>
        <v/>
      </c>
    </row>
    <row r="3300">
      <c r="A3300" s="24">
        <f>IF($D3300="","",COUNTA($D$4:$D3300))</f>
        <v/>
      </c>
      <c r="B3300" s="17" t="n"/>
      <c r="C3300" s="30" t="n"/>
      <c r="D3300" s="17" t="n"/>
      <c r="E3300" s="24">
        <f>IF($D3300="","",IFERROR(VLOOKUP($D3300,物料档案!$A$4:$P$1203,3,0),"※编码不在物料档案里"))</f>
        <v/>
      </c>
      <c r="F3300" s="24">
        <f>IF($D3300="","",IFERROR(VLOOKUP($D3300,物料档案!$A$4:$P$1203,4,0),"※编码不在物料档案里"))</f>
        <v/>
      </c>
      <c r="G3300" s="24">
        <f>IF($D3300="","",IFERROR(VLOOKUP($D3300,物料档案!$A$4:$P$1203,5,0),"※编码不在物料档案里"))</f>
        <v/>
      </c>
      <c r="H3300" s="24">
        <f>IF($D3300="","",IFERROR(VLOOKUP($D3300,物料档案!$A$4:$P$1203,2,0),"※编码不在物料档案里"))</f>
        <v/>
      </c>
      <c r="I3300" s="24">
        <f>IF($D3300="","",IFERROR(VLOOKUP($D3300,物料档案!$A$4:$P$1203,6,0),"※编码不在物料档案里"))</f>
        <v/>
      </c>
      <c r="J3300" s="23" t="n"/>
      <c r="K3300" s="17" t="n"/>
      <c r="L3300" s="17" t="n"/>
      <c r="M3300" s="17" t="n"/>
      <c r="N3300" s="17" t="n"/>
      <c r="O3300" s="26">
        <f>IF($D3300="","",IFERROR(VLOOKUP($D3300,物料档案!$A$4:$P$1203,10,0),0))</f>
        <v/>
      </c>
      <c r="P3300" s="32" t="n"/>
      <c r="Q3300" s="26">
        <f>IF($D3300="","",IF($K3300&lt;&gt;"对外销售",0,ROUND(N($J3300)*IF($P3300="",N($O3300),N($P3300)),0)))</f>
        <v/>
      </c>
      <c r="R3300" s="26">
        <f>IF($D3300="","",IFERROR(VLOOKUP($D3300,库存台账!$A$5:$Y$1204,11,0),0))</f>
        <v/>
      </c>
      <c r="S3300" s="26">
        <f>IF($D3300="","",ROUND(N($J3300)*N($R3300),0))</f>
        <v/>
      </c>
      <c r="T3300" s="26">
        <f>IF($D3300="","",IF($K3300&lt;&gt;"对外销售","",ROUND($Q3300-$S3300,0)))</f>
        <v/>
      </c>
      <c r="U3300" s="17" t="n"/>
      <c r="V3300" s="17" t="n"/>
      <c r="W3300" s="24">
        <f>IF($D3300="","",IF($E3300="※编码不在物料档案里","※物料编码不在档案里",IF(N($J3300)&lt;=0,"※出库数量要大于 0",IF($K3300="","※没填去向类型",IF($L3300="","※没填去向矿区",IF(AND($C3300&lt;&gt;"",$C3300&lt;=结账锁),"※日期早于已结账截止日，不能再录",IF(AND($K3300="自用消耗",COUNTIF({"一矿区";"二矿区"},$L3300)=0),"※自用消耗的去向只能是一矿区或二矿区",IF(AND($K3300="对外销售",COUNTIF({"三矿区";"六矿区"},$L3300)=0),"※对外销售的去向只能是三矿区或六矿区",IF(AND($K3300="对外销售",ROUND($Q3300,0)=0),"※外销却没有售价，请填实际售价",IF(AND($K3300="对外销售",$T3300&lt;&gt;"",$T3300&lt;0),"※这一笔外销是亏的，请核对售价",IF(IFERROR(VLOOKUP($D3300,库存台账!$A$5:$Y$1204,24,0),0)&lt;-0.001,"※这个物料账面已经变成负数了，查一下是不是漏记入库","")))))))))))</f>
        <v/>
      </c>
    </row>
    <row r="3301">
      <c r="A3301" s="24">
        <f>IF($D3301="","",COUNTA($D$4:$D3301))</f>
        <v/>
      </c>
      <c r="B3301" s="17" t="n"/>
      <c r="C3301" s="30" t="n"/>
      <c r="D3301" s="17" t="n"/>
      <c r="E3301" s="24">
        <f>IF($D3301="","",IFERROR(VLOOKUP($D3301,物料档案!$A$4:$P$1203,3,0),"※编码不在物料档案里"))</f>
        <v/>
      </c>
      <c r="F3301" s="24">
        <f>IF($D3301="","",IFERROR(VLOOKUP($D3301,物料档案!$A$4:$P$1203,4,0),"※编码不在物料档案里"))</f>
        <v/>
      </c>
      <c r="G3301" s="24">
        <f>IF($D3301="","",IFERROR(VLOOKUP($D3301,物料档案!$A$4:$P$1203,5,0),"※编码不在物料档案里"))</f>
        <v/>
      </c>
      <c r="H3301" s="24">
        <f>IF($D3301="","",IFERROR(VLOOKUP($D3301,物料档案!$A$4:$P$1203,2,0),"※编码不在物料档案里"))</f>
        <v/>
      </c>
      <c r="I3301" s="24">
        <f>IF($D3301="","",IFERROR(VLOOKUP($D3301,物料档案!$A$4:$P$1203,6,0),"※编码不在物料档案里"))</f>
        <v/>
      </c>
      <c r="J3301" s="23" t="n"/>
      <c r="K3301" s="17" t="n"/>
      <c r="L3301" s="17" t="n"/>
      <c r="M3301" s="17" t="n"/>
      <c r="N3301" s="17" t="n"/>
      <c r="O3301" s="26">
        <f>IF($D3301="","",IFERROR(VLOOKUP($D3301,物料档案!$A$4:$P$1203,10,0),0))</f>
        <v/>
      </c>
      <c r="P3301" s="32" t="n"/>
      <c r="Q3301" s="26">
        <f>IF($D3301="","",IF($K3301&lt;&gt;"对外销售",0,ROUND(N($J3301)*IF($P3301="",N($O3301),N($P3301)),0)))</f>
        <v/>
      </c>
      <c r="R3301" s="26">
        <f>IF($D3301="","",IFERROR(VLOOKUP($D3301,库存台账!$A$5:$Y$1204,11,0),0))</f>
        <v/>
      </c>
      <c r="S3301" s="26">
        <f>IF($D3301="","",ROUND(N($J3301)*N($R3301),0))</f>
        <v/>
      </c>
      <c r="T3301" s="26">
        <f>IF($D3301="","",IF($K3301&lt;&gt;"对外销售","",ROUND($Q3301-$S3301,0)))</f>
        <v/>
      </c>
      <c r="U3301" s="17" t="n"/>
      <c r="V3301" s="17" t="n"/>
      <c r="W3301" s="24">
        <f>IF($D3301="","",IF($E3301="※编码不在物料档案里","※物料编码不在档案里",IF(N($J3301)&lt;=0,"※出库数量要大于 0",IF($K3301="","※没填去向类型",IF($L3301="","※没填去向矿区",IF(AND($C3301&lt;&gt;"",$C3301&lt;=结账锁),"※日期早于已结账截止日，不能再录",IF(AND($K3301="自用消耗",COUNTIF({"一矿区";"二矿区"},$L3301)=0),"※自用消耗的去向只能是一矿区或二矿区",IF(AND($K3301="对外销售",COUNTIF({"三矿区";"六矿区"},$L3301)=0),"※对外销售的去向只能是三矿区或六矿区",IF(AND($K3301="对外销售",ROUND($Q3301,0)=0),"※外销却没有售价，请填实际售价",IF(AND($K3301="对外销售",$T3301&lt;&gt;"",$T3301&lt;0),"※这一笔外销是亏的，请核对售价",IF(IFERROR(VLOOKUP($D3301,库存台账!$A$5:$Y$1204,24,0),0)&lt;-0.001,"※这个物料账面已经变成负数了，查一下是不是漏记入库","")))))))))))</f>
        <v/>
      </c>
    </row>
    <row r="3302">
      <c r="A3302" s="24">
        <f>IF($D3302="","",COUNTA($D$4:$D3302))</f>
        <v/>
      </c>
      <c r="B3302" s="17" t="n"/>
      <c r="C3302" s="30" t="n"/>
      <c r="D3302" s="17" t="n"/>
      <c r="E3302" s="24">
        <f>IF($D3302="","",IFERROR(VLOOKUP($D3302,物料档案!$A$4:$P$1203,3,0),"※编码不在物料档案里"))</f>
        <v/>
      </c>
      <c r="F3302" s="24">
        <f>IF($D3302="","",IFERROR(VLOOKUP($D3302,物料档案!$A$4:$P$1203,4,0),"※编码不在物料档案里"))</f>
        <v/>
      </c>
      <c r="G3302" s="24">
        <f>IF($D3302="","",IFERROR(VLOOKUP($D3302,物料档案!$A$4:$P$1203,5,0),"※编码不在物料档案里"))</f>
        <v/>
      </c>
      <c r="H3302" s="24">
        <f>IF($D3302="","",IFERROR(VLOOKUP($D3302,物料档案!$A$4:$P$1203,2,0),"※编码不在物料档案里"))</f>
        <v/>
      </c>
      <c r="I3302" s="24">
        <f>IF($D3302="","",IFERROR(VLOOKUP($D3302,物料档案!$A$4:$P$1203,6,0),"※编码不在物料档案里"))</f>
        <v/>
      </c>
      <c r="J3302" s="23" t="n"/>
      <c r="K3302" s="17" t="n"/>
      <c r="L3302" s="17" t="n"/>
      <c r="M3302" s="17" t="n"/>
      <c r="N3302" s="17" t="n"/>
      <c r="O3302" s="26">
        <f>IF($D3302="","",IFERROR(VLOOKUP($D3302,物料档案!$A$4:$P$1203,10,0),0))</f>
        <v/>
      </c>
      <c r="P3302" s="32" t="n"/>
      <c r="Q3302" s="26">
        <f>IF($D3302="","",IF($K3302&lt;&gt;"对外销售",0,ROUND(N($J3302)*IF($P3302="",N($O3302),N($P3302)),0)))</f>
        <v/>
      </c>
      <c r="R3302" s="26">
        <f>IF($D3302="","",IFERROR(VLOOKUP($D3302,库存台账!$A$5:$Y$1204,11,0),0))</f>
        <v/>
      </c>
      <c r="S3302" s="26">
        <f>IF($D3302="","",ROUND(N($J3302)*N($R3302),0))</f>
        <v/>
      </c>
      <c r="T3302" s="26">
        <f>IF($D3302="","",IF($K3302&lt;&gt;"对外销售","",ROUND($Q3302-$S3302,0)))</f>
        <v/>
      </c>
      <c r="U3302" s="17" t="n"/>
      <c r="V3302" s="17" t="n"/>
      <c r="W3302" s="24">
        <f>IF($D3302="","",IF($E3302="※编码不在物料档案里","※物料编码不在档案里",IF(N($J3302)&lt;=0,"※出库数量要大于 0",IF($K3302="","※没填去向类型",IF($L3302="","※没填去向矿区",IF(AND($C3302&lt;&gt;"",$C3302&lt;=结账锁),"※日期早于已结账截止日，不能再录",IF(AND($K3302="自用消耗",COUNTIF({"一矿区";"二矿区"},$L3302)=0),"※自用消耗的去向只能是一矿区或二矿区",IF(AND($K3302="对外销售",COUNTIF({"三矿区";"六矿区"},$L3302)=0),"※对外销售的去向只能是三矿区或六矿区",IF(AND($K3302="对外销售",ROUND($Q3302,0)=0),"※外销却没有售价，请填实际售价",IF(AND($K3302="对外销售",$T3302&lt;&gt;"",$T3302&lt;0),"※这一笔外销是亏的，请核对售价",IF(IFERROR(VLOOKUP($D3302,库存台账!$A$5:$Y$1204,24,0),0)&lt;-0.001,"※这个物料账面已经变成负数了，查一下是不是漏记入库","")))))))))))</f>
        <v/>
      </c>
    </row>
    <row r="3303">
      <c r="A3303" s="24">
        <f>IF($D3303="","",COUNTA($D$4:$D3303))</f>
        <v/>
      </c>
      <c r="B3303" s="17" t="n"/>
      <c r="C3303" s="30" t="n"/>
      <c r="D3303" s="17" t="n"/>
      <c r="E3303" s="24">
        <f>IF($D3303="","",IFERROR(VLOOKUP($D3303,物料档案!$A$4:$P$1203,3,0),"※编码不在物料档案里"))</f>
        <v/>
      </c>
      <c r="F3303" s="24">
        <f>IF($D3303="","",IFERROR(VLOOKUP($D3303,物料档案!$A$4:$P$1203,4,0),"※编码不在物料档案里"))</f>
        <v/>
      </c>
      <c r="G3303" s="24">
        <f>IF($D3303="","",IFERROR(VLOOKUP($D3303,物料档案!$A$4:$P$1203,5,0),"※编码不在物料档案里"))</f>
        <v/>
      </c>
      <c r="H3303" s="24">
        <f>IF($D3303="","",IFERROR(VLOOKUP($D3303,物料档案!$A$4:$P$1203,2,0),"※编码不在物料档案里"))</f>
        <v/>
      </c>
      <c r="I3303" s="24">
        <f>IF($D3303="","",IFERROR(VLOOKUP($D3303,物料档案!$A$4:$P$1203,6,0),"※编码不在物料档案里"))</f>
        <v/>
      </c>
      <c r="J3303" s="23" t="n"/>
      <c r="K3303" s="17" t="n"/>
      <c r="L3303" s="17" t="n"/>
      <c r="M3303" s="17" t="n"/>
      <c r="N3303" s="17" t="n"/>
      <c r="O3303" s="26">
        <f>IF($D3303="","",IFERROR(VLOOKUP($D3303,物料档案!$A$4:$P$1203,10,0),0))</f>
        <v/>
      </c>
      <c r="P3303" s="32" t="n"/>
      <c r="Q3303" s="26">
        <f>IF($D3303="","",IF($K3303&lt;&gt;"对外销售",0,ROUND(N($J3303)*IF($P3303="",N($O3303),N($P3303)),0)))</f>
        <v/>
      </c>
      <c r="R3303" s="26">
        <f>IF($D3303="","",IFERROR(VLOOKUP($D3303,库存台账!$A$5:$Y$1204,11,0),0))</f>
        <v/>
      </c>
      <c r="S3303" s="26">
        <f>IF($D3303="","",ROUND(N($J3303)*N($R3303),0))</f>
        <v/>
      </c>
      <c r="T3303" s="26">
        <f>IF($D3303="","",IF($K3303&lt;&gt;"对外销售","",ROUND($Q3303-$S3303,0)))</f>
        <v/>
      </c>
      <c r="U3303" s="17" t="n"/>
      <c r="V3303" s="17" t="n"/>
      <c r="W3303" s="24">
        <f>IF($D3303="","",IF($E3303="※编码不在物料档案里","※物料编码不在档案里",IF(N($J3303)&lt;=0,"※出库数量要大于 0",IF($K3303="","※没填去向类型",IF($L3303="","※没填去向矿区",IF(AND($C3303&lt;&gt;"",$C3303&lt;=结账锁),"※日期早于已结账截止日，不能再录",IF(AND($K3303="自用消耗",COUNTIF({"一矿区";"二矿区"},$L3303)=0),"※自用消耗的去向只能是一矿区或二矿区",IF(AND($K3303="对外销售",COUNTIF({"三矿区";"六矿区"},$L3303)=0),"※对外销售的去向只能是三矿区或六矿区",IF(AND($K3303="对外销售",ROUND($Q3303,0)=0),"※外销却没有售价，请填实际售价",IF(AND($K3303="对外销售",$T3303&lt;&gt;"",$T3303&lt;0),"※这一笔外销是亏的，请核对售价",IF(IFERROR(VLOOKUP($D3303,库存台账!$A$5:$Y$1204,24,0),0)&lt;-0.001,"※这个物料账面已经变成负数了，查一下是不是漏记入库","")))))))))))</f>
        <v/>
      </c>
    </row>
    <row r="3304">
      <c r="A3304" s="24">
        <f>IF($D3304="","",COUNTA($D$4:$D3304))</f>
        <v/>
      </c>
      <c r="B3304" s="17" t="n"/>
      <c r="C3304" s="30" t="n"/>
      <c r="D3304" s="17" t="n"/>
      <c r="E3304" s="24">
        <f>IF($D3304="","",IFERROR(VLOOKUP($D3304,物料档案!$A$4:$P$1203,3,0),"※编码不在物料档案里"))</f>
        <v/>
      </c>
      <c r="F3304" s="24">
        <f>IF($D3304="","",IFERROR(VLOOKUP($D3304,物料档案!$A$4:$P$1203,4,0),"※编码不在物料档案里"))</f>
        <v/>
      </c>
      <c r="G3304" s="24">
        <f>IF($D3304="","",IFERROR(VLOOKUP($D3304,物料档案!$A$4:$P$1203,5,0),"※编码不在物料档案里"))</f>
        <v/>
      </c>
      <c r="H3304" s="24">
        <f>IF($D3304="","",IFERROR(VLOOKUP($D3304,物料档案!$A$4:$P$1203,2,0),"※编码不在物料档案里"))</f>
        <v/>
      </c>
      <c r="I3304" s="24">
        <f>IF($D3304="","",IFERROR(VLOOKUP($D3304,物料档案!$A$4:$P$1203,6,0),"※编码不在物料档案里"))</f>
        <v/>
      </c>
      <c r="J3304" s="23" t="n"/>
      <c r="K3304" s="17" t="n"/>
      <c r="L3304" s="17" t="n"/>
      <c r="M3304" s="17" t="n"/>
      <c r="N3304" s="17" t="n"/>
      <c r="O3304" s="26">
        <f>IF($D3304="","",IFERROR(VLOOKUP($D3304,物料档案!$A$4:$P$1203,10,0),0))</f>
        <v/>
      </c>
      <c r="P3304" s="32" t="n"/>
      <c r="Q3304" s="26">
        <f>IF($D3304="","",IF($K3304&lt;&gt;"对外销售",0,ROUND(N($J3304)*IF($P3304="",N($O3304),N($P3304)),0)))</f>
        <v/>
      </c>
      <c r="R3304" s="26">
        <f>IF($D3304="","",IFERROR(VLOOKUP($D3304,库存台账!$A$5:$Y$1204,11,0),0))</f>
        <v/>
      </c>
      <c r="S3304" s="26">
        <f>IF($D3304="","",ROUND(N($J3304)*N($R3304),0))</f>
        <v/>
      </c>
      <c r="T3304" s="26">
        <f>IF($D3304="","",IF($K3304&lt;&gt;"对外销售","",ROUND($Q3304-$S3304,0)))</f>
        <v/>
      </c>
      <c r="U3304" s="17" t="n"/>
      <c r="V3304" s="17" t="n"/>
      <c r="W3304" s="24">
        <f>IF($D3304="","",IF($E3304="※编码不在物料档案里","※物料编码不在档案里",IF(N($J3304)&lt;=0,"※出库数量要大于 0",IF($K3304="","※没填去向类型",IF($L3304="","※没填去向矿区",IF(AND($C3304&lt;&gt;"",$C3304&lt;=结账锁),"※日期早于已结账截止日，不能再录",IF(AND($K3304="自用消耗",COUNTIF({"一矿区";"二矿区"},$L3304)=0),"※自用消耗的去向只能是一矿区或二矿区",IF(AND($K3304="对外销售",COUNTIF({"三矿区";"六矿区"},$L3304)=0),"※对外销售的去向只能是三矿区或六矿区",IF(AND($K3304="对外销售",ROUND($Q3304,0)=0),"※外销却没有售价，请填实际售价",IF(AND($K3304="对外销售",$T3304&lt;&gt;"",$T3304&lt;0),"※这一笔外销是亏的，请核对售价",IF(IFERROR(VLOOKUP($D3304,库存台账!$A$5:$Y$1204,24,0),0)&lt;-0.001,"※这个物料账面已经变成负数了，查一下是不是漏记入库","")))))))))))</f>
        <v/>
      </c>
    </row>
    <row r="3305">
      <c r="A3305" s="24">
        <f>IF($D3305="","",COUNTA($D$4:$D3305))</f>
        <v/>
      </c>
      <c r="B3305" s="17" t="n"/>
      <c r="C3305" s="30" t="n"/>
      <c r="D3305" s="17" t="n"/>
      <c r="E3305" s="24">
        <f>IF($D3305="","",IFERROR(VLOOKUP($D3305,物料档案!$A$4:$P$1203,3,0),"※编码不在物料档案里"))</f>
        <v/>
      </c>
      <c r="F3305" s="24">
        <f>IF($D3305="","",IFERROR(VLOOKUP($D3305,物料档案!$A$4:$P$1203,4,0),"※编码不在物料档案里"))</f>
        <v/>
      </c>
      <c r="G3305" s="24">
        <f>IF($D3305="","",IFERROR(VLOOKUP($D3305,物料档案!$A$4:$P$1203,5,0),"※编码不在物料档案里"))</f>
        <v/>
      </c>
      <c r="H3305" s="24">
        <f>IF($D3305="","",IFERROR(VLOOKUP($D3305,物料档案!$A$4:$P$1203,2,0),"※编码不在物料档案里"))</f>
        <v/>
      </c>
      <c r="I3305" s="24">
        <f>IF($D3305="","",IFERROR(VLOOKUP($D3305,物料档案!$A$4:$P$1203,6,0),"※编码不在物料档案里"))</f>
        <v/>
      </c>
      <c r="J3305" s="23" t="n"/>
      <c r="K3305" s="17" t="n"/>
      <c r="L3305" s="17" t="n"/>
      <c r="M3305" s="17" t="n"/>
      <c r="N3305" s="17" t="n"/>
      <c r="O3305" s="26">
        <f>IF($D3305="","",IFERROR(VLOOKUP($D3305,物料档案!$A$4:$P$1203,10,0),0))</f>
        <v/>
      </c>
      <c r="P3305" s="32" t="n"/>
      <c r="Q3305" s="26">
        <f>IF($D3305="","",IF($K3305&lt;&gt;"对外销售",0,ROUND(N($J3305)*IF($P3305="",N($O3305),N($P3305)),0)))</f>
        <v/>
      </c>
      <c r="R3305" s="26">
        <f>IF($D3305="","",IFERROR(VLOOKUP($D3305,库存台账!$A$5:$Y$1204,11,0),0))</f>
        <v/>
      </c>
      <c r="S3305" s="26">
        <f>IF($D3305="","",ROUND(N($J3305)*N($R3305),0))</f>
        <v/>
      </c>
      <c r="T3305" s="26">
        <f>IF($D3305="","",IF($K3305&lt;&gt;"对外销售","",ROUND($Q3305-$S3305,0)))</f>
        <v/>
      </c>
      <c r="U3305" s="17" t="n"/>
      <c r="V3305" s="17" t="n"/>
      <c r="W3305" s="24">
        <f>IF($D3305="","",IF($E3305="※编码不在物料档案里","※物料编码不在档案里",IF(N($J3305)&lt;=0,"※出库数量要大于 0",IF($K3305="","※没填去向类型",IF($L3305="","※没填去向矿区",IF(AND($C3305&lt;&gt;"",$C3305&lt;=结账锁),"※日期早于已结账截止日，不能再录",IF(AND($K3305="自用消耗",COUNTIF({"一矿区";"二矿区"},$L3305)=0),"※自用消耗的去向只能是一矿区或二矿区",IF(AND($K3305="对外销售",COUNTIF({"三矿区";"六矿区"},$L3305)=0),"※对外销售的去向只能是三矿区或六矿区",IF(AND($K3305="对外销售",ROUND($Q3305,0)=0),"※外销却没有售价，请填实际售价",IF(AND($K3305="对外销售",$T3305&lt;&gt;"",$T3305&lt;0),"※这一笔外销是亏的，请核对售价",IF(IFERROR(VLOOKUP($D3305,库存台账!$A$5:$Y$1204,24,0),0)&lt;-0.001,"※这个物料账面已经变成负数了，查一下是不是漏记入库","")))))))))))</f>
        <v/>
      </c>
    </row>
    <row r="3306">
      <c r="A3306" s="24">
        <f>IF($D3306="","",COUNTA($D$4:$D3306))</f>
        <v/>
      </c>
      <c r="B3306" s="17" t="n"/>
      <c r="C3306" s="30" t="n"/>
      <c r="D3306" s="17" t="n"/>
      <c r="E3306" s="24">
        <f>IF($D3306="","",IFERROR(VLOOKUP($D3306,物料档案!$A$4:$P$1203,3,0),"※编码不在物料档案里"))</f>
        <v/>
      </c>
      <c r="F3306" s="24">
        <f>IF($D3306="","",IFERROR(VLOOKUP($D3306,物料档案!$A$4:$P$1203,4,0),"※编码不在物料档案里"))</f>
        <v/>
      </c>
      <c r="G3306" s="24">
        <f>IF($D3306="","",IFERROR(VLOOKUP($D3306,物料档案!$A$4:$P$1203,5,0),"※编码不在物料档案里"))</f>
        <v/>
      </c>
      <c r="H3306" s="24">
        <f>IF($D3306="","",IFERROR(VLOOKUP($D3306,物料档案!$A$4:$P$1203,2,0),"※编码不在物料档案里"))</f>
        <v/>
      </c>
      <c r="I3306" s="24">
        <f>IF($D3306="","",IFERROR(VLOOKUP($D3306,物料档案!$A$4:$P$1203,6,0),"※编码不在物料档案里"))</f>
        <v/>
      </c>
      <c r="J3306" s="23" t="n"/>
      <c r="K3306" s="17" t="n"/>
      <c r="L3306" s="17" t="n"/>
      <c r="M3306" s="17" t="n"/>
      <c r="N3306" s="17" t="n"/>
      <c r="O3306" s="26">
        <f>IF($D3306="","",IFERROR(VLOOKUP($D3306,物料档案!$A$4:$P$1203,10,0),0))</f>
        <v/>
      </c>
      <c r="P3306" s="32" t="n"/>
      <c r="Q3306" s="26">
        <f>IF($D3306="","",IF($K3306&lt;&gt;"对外销售",0,ROUND(N($J3306)*IF($P3306="",N($O3306),N($P3306)),0)))</f>
        <v/>
      </c>
      <c r="R3306" s="26">
        <f>IF($D3306="","",IFERROR(VLOOKUP($D3306,库存台账!$A$5:$Y$1204,11,0),0))</f>
        <v/>
      </c>
      <c r="S3306" s="26">
        <f>IF($D3306="","",ROUND(N($J3306)*N($R3306),0))</f>
        <v/>
      </c>
      <c r="T3306" s="26">
        <f>IF($D3306="","",IF($K3306&lt;&gt;"对外销售","",ROUND($Q3306-$S3306,0)))</f>
        <v/>
      </c>
      <c r="U3306" s="17" t="n"/>
      <c r="V3306" s="17" t="n"/>
      <c r="W3306" s="24">
        <f>IF($D3306="","",IF($E3306="※编码不在物料档案里","※物料编码不在档案里",IF(N($J3306)&lt;=0,"※出库数量要大于 0",IF($K3306="","※没填去向类型",IF($L3306="","※没填去向矿区",IF(AND($C3306&lt;&gt;"",$C3306&lt;=结账锁),"※日期早于已结账截止日，不能再录",IF(AND($K3306="自用消耗",COUNTIF({"一矿区";"二矿区"},$L3306)=0),"※自用消耗的去向只能是一矿区或二矿区",IF(AND($K3306="对外销售",COUNTIF({"三矿区";"六矿区"},$L3306)=0),"※对外销售的去向只能是三矿区或六矿区",IF(AND($K3306="对外销售",ROUND($Q3306,0)=0),"※外销却没有售价，请填实际售价",IF(AND($K3306="对外销售",$T3306&lt;&gt;"",$T3306&lt;0),"※这一笔外销是亏的，请核对售价",IF(IFERROR(VLOOKUP($D3306,库存台账!$A$5:$Y$1204,24,0),0)&lt;-0.001,"※这个物料账面已经变成负数了，查一下是不是漏记入库","")))))))))))</f>
        <v/>
      </c>
    </row>
    <row r="3307">
      <c r="A3307" s="24">
        <f>IF($D3307="","",COUNTA($D$4:$D3307))</f>
        <v/>
      </c>
      <c r="B3307" s="17" t="n"/>
      <c r="C3307" s="30" t="n"/>
      <c r="D3307" s="17" t="n"/>
      <c r="E3307" s="24">
        <f>IF($D3307="","",IFERROR(VLOOKUP($D3307,物料档案!$A$4:$P$1203,3,0),"※编码不在物料档案里"))</f>
        <v/>
      </c>
      <c r="F3307" s="24">
        <f>IF($D3307="","",IFERROR(VLOOKUP($D3307,物料档案!$A$4:$P$1203,4,0),"※编码不在物料档案里"))</f>
        <v/>
      </c>
      <c r="G3307" s="24">
        <f>IF($D3307="","",IFERROR(VLOOKUP($D3307,物料档案!$A$4:$P$1203,5,0),"※编码不在物料档案里"))</f>
        <v/>
      </c>
      <c r="H3307" s="24">
        <f>IF($D3307="","",IFERROR(VLOOKUP($D3307,物料档案!$A$4:$P$1203,2,0),"※编码不在物料档案里"))</f>
        <v/>
      </c>
      <c r="I3307" s="24">
        <f>IF($D3307="","",IFERROR(VLOOKUP($D3307,物料档案!$A$4:$P$1203,6,0),"※编码不在物料档案里"))</f>
        <v/>
      </c>
      <c r="J3307" s="23" t="n"/>
      <c r="K3307" s="17" t="n"/>
      <c r="L3307" s="17" t="n"/>
      <c r="M3307" s="17" t="n"/>
      <c r="N3307" s="17" t="n"/>
      <c r="O3307" s="26">
        <f>IF($D3307="","",IFERROR(VLOOKUP($D3307,物料档案!$A$4:$P$1203,10,0),0))</f>
        <v/>
      </c>
      <c r="P3307" s="32" t="n"/>
      <c r="Q3307" s="26">
        <f>IF($D3307="","",IF($K3307&lt;&gt;"对外销售",0,ROUND(N($J3307)*IF($P3307="",N($O3307),N($P3307)),0)))</f>
        <v/>
      </c>
      <c r="R3307" s="26">
        <f>IF($D3307="","",IFERROR(VLOOKUP($D3307,库存台账!$A$5:$Y$1204,11,0),0))</f>
        <v/>
      </c>
      <c r="S3307" s="26">
        <f>IF($D3307="","",ROUND(N($J3307)*N($R3307),0))</f>
        <v/>
      </c>
      <c r="T3307" s="26">
        <f>IF($D3307="","",IF($K3307&lt;&gt;"对外销售","",ROUND($Q3307-$S3307,0)))</f>
        <v/>
      </c>
      <c r="U3307" s="17" t="n"/>
      <c r="V3307" s="17" t="n"/>
      <c r="W3307" s="24">
        <f>IF($D3307="","",IF($E3307="※编码不在物料档案里","※物料编码不在档案里",IF(N($J3307)&lt;=0,"※出库数量要大于 0",IF($K3307="","※没填去向类型",IF($L3307="","※没填去向矿区",IF(AND($C3307&lt;&gt;"",$C3307&lt;=结账锁),"※日期早于已结账截止日，不能再录",IF(AND($K3307="自用消耗",COUNTIF({"一矿区";"二矿区"},$L3307)=0),"※自用消耗的去向只能是一矿区或二矿区",IF(AND($K3307="对外销售",COUNTIF({"三矿区";"六矿区"},$L3307)=0),"※对外销售的去向只能是三矿区或六矿区",IF(AND($K3307="对外销售",ROUND($Q3307,0)=0),"※外销却没有售价，请填实际售价",IF(AND($K3307="对外销售",$T3307&lt;&gt;"",$T3307&lt;0),"※这一笔外销是亏的，请核对售价",IF(IFERROR(VLOOKUP($D3307,库存台账!$A$5:$Y$1204,24,0),0)&lt;-0.001,"※这个物料账面已经变成负数了，查一下是不是漏记入库","")))))))))))</f>
        <v/>
      </c>
    </row>
    <row r="3308">
      <c r="A3308" s="24">
        <f>IF($D3308="","",COUNTA($D$4:$D3308))</f>
        <v/>
      </c>
      <c r="B3308" s="17" t="n"/>
      <c r="C3308" s="30" t="n"/>
      <c r="D3308" s="17" t="n"/>
      <c r="E3308" s="24">
        <f>IF($D3308="","",IFERROR(VLOOKUP($D3308,物料档案!$A$4:$P$1203,3,0),"※编码不在物料档案里"))</f>
        <v/>
      </c>
      <c r="F3308" s="24">
        <f>IF($D3308="","",IFERROR(VLOOKUP($D3308,物料档案!$A$4:$P$1203,4,0),"※编码不在物料档案里"))</f>
        <v/>
      </c>
      <c r="G3308" s="24">
        <f>IF($D3308="","",IFERROR(VLOOKUP($D3308,物料档案!$A$4:$P$1203,5,0),"※编码不在物料档案里"))</f>
        <v/>
      </c>
      <c r="H3308" s="24">
        <f>IF($D3308="","",IFERROR(VLOOKUP($D3308,物料档案!$A$4:$P$1203,2,0),"※编码不在物料档案里"))</f>
        <v/>
      </c>
      <c r="I3308" s="24">
        <f>IF($D3308="","",IFERROR(VLOOKUP($D3308,物料档案!$A$4:$P$1203,6,0),"※编码不在物料档案里"))</f>
        <v/>
      </c>
      <c r="J3308" s="23" t="n"/>
      <c r="K3308" s="17" t="n"/>
      <c r="L3308" s="17" t="n"/>
      <c r="M3308" s="17" t="n"/>
      <c r="N3308" s="17" t="n"/>
      <c r="O3308" s="26">
        <f>IF($D3308="","",IFERROR(VLOOKUP($D3308,物料档案!$A$4:$P$1203,10,0),0))</f>
        <v/>
      </c>
      <c r="P3308" s="32" t="n"/>
      <c r="Q3308" s="26">
        <f>IF($D3308="","",IF($K3308&lt;&gt;"对外销售",0,ROUND(N($J3308)*IF($P3308="",N($O3308),N($P3308)),0)))</f>
        <v/>
      </c>
      <c r="R3308" s="26">
        <f>IF($D3308="","",IFERROR(VLOOKUP($D3308,库存台账!$A$5:$Y$1204,11,0),0))</f>
        <v/>
      </c>
      <c r="S3308" s="26">
        <f>IF($D3308="","",ROUND(N($J3308)*N($R3308),0))</f>
        <v/>
      </c>
      <c r="T3308" s="26">
        <f>IF($D3308="","",IF($K3308&lt;&gt;"对外销售","",ROUND($Q3308-$S3308,0)))</f>
        <v/>
      </c>
      <c r="U3308" s="17" t="n"/>
      <c r="V3308" s="17" t="n"/>
      <c r="W3308" s="24">
        <f>IF($D3308="","",IF($E3308="※编码不在物料档案里","※物料编码不在档案里",IF(N($J3308)&lt;=0,"※出库数量要大于 0",IF($K3308="","※没填去向类型",IF($L3308="","※没填去向矿区",IF(AND($C3308&lt;&gt;"",$C3308&lt;=结账锁),"※日期早于已结账截止日，不能再录",IF(AND($K3308="自用消耗",COUNTIF({"一矿区";"二矿区"},$L3308)=0),"※自用消耗的去向只能是一矿区或二矿区",IF(AND($K3308="对外销售",COUNTIF({"三矿区";"六矿区"},$L3308)=0),"※对外销售的去向只能是三矿区或六矿区",IF(AND($K3308="对外销售",ROUND($Q3308,0)=0),"※外销却没有售价，请填实际售价",IF(AND($K3308="对外销售",$T3308&lt;&gt;"",$T3308&lt;0),"※这一笔外销是亏的，请核对售价",IF(IFERROR(VLOOKUP($D3308,库存台账!$A$5:$Y$1204,24,0),0)&lt;-0.001,"※这个物料账面已经变成负数了，查一下是不是漏记入库","")))))))))))</f>
        <v/>
      </c>
    </row>
    <row r="3309">
      <c r="A3309" s="24">
        <f>IF($D3309="","",COUNTA($D$4:$D3309))</f>
        <v/>
      </c>
      <c r="B3309" s="17" t="n"/>
      <c r="C3309" s="30" t="n"/>
      <c r="D3309" s="17" t="n"/>
      <c r="E3309" s="24">
        <f>IF($D3309="","",IFERROR(VLOOKUP($D3309,物料档案!$A$4:$P$1203,3,0),"※编码不在物料档案里"))</f>
        <v/>
      </c>
      <c r="F3309" s="24">
        <f>IF($D3309="","",IFERROR(VLOOKUP($D3309,物料档案!$A$4:$P$1203,4,0),"※编码不在物料档案里"))</f>
        <v/>
      </c>
      <c r="G3309" s="24">
        <f>IF($D3309="","",IFERROR(VLOOKUP($D3309,物料档案!$A$4:$P$1203,5,0),"※编码不在物料档案里"))</f>
        <v/>
      </c>
      <c r="H3309" s="24">
        <f>IF($D3309="","",IFERROR(VLOOKUP($D3309,物料档案!$A$4:$P$1203,2,0),"※编码不在物料档案里"))</f>
        <v/>
      </c>
      <c r="I3309" s="24">
        <f>IF($D3309="","",IFERROR(VLOOKUP($D3309,物料档案!$A$4:$P$1203,6,0),"※编码不在物料档案里"))</f>
        <v/>
      </c>
      <c r="J3309" s="23" t="n"/>
      <c r="K3309" s="17" t="n"/>
      <c r="L3309" s="17" t="n"/>
      <c r="M3309" s="17" t="n"/>
      <c r="N3309" s="17" t="n"/>
      <c r="O3309" s="26">
        <f>IF($D3309="","",IFERROR(VLOOKUP($D3309,物料档案!$A$4:$P$1203,10,0),0))</f>
        <v/>
      </c>
      <c r="P3309" s="32" t="n"/>
      <c r="Q3309" s="26">
        <f>IF($D3309="","",IF($K3309&lt;&gt;"对外销售",0,ROUND(N($J3309)*IF($P3309="",N($O3309),N($P3309)),0)))</f>
        <v/>
      </c>
      <c r="R3309" s="26">
        <f>IF($D3309="","",IFERROR(VLOOKUP($D3309,库存台账!$A$5:$Y$1204,11,0),0))</f>
        <v/>
      </c>
      <c r="S3309" s="26">
        <f>IF($D3309="","",ROUND(N($J3309)*N($R3309),0))</f>
        <v/>
      </c>
      <c r="T3309" s="26">
        <f>IF($D3309="","",IF($K3309&lt;&gt;"对外销售","",ROUND($Q3309-$S3309,0)))</f>
        <v/>
      </c>
      <c r="U3309" s="17" t="n"/>
      <c r="V3309" s="17" t="n"/>
      <c r="W3309" s="24">
        <f>IF($D3309="","",IF($E3309="※编码不在物料档案里","※物料编码不在档案里",IF(N($J3309)&lt;=0,"※出库数量要大于 0",IF($K3309="","※没填去向类型",IF($L3309="","※没填去向矿区",IF(AND($C3309&lt;&gt;"",$C3309&lt;=结账锁),"※日期早于已结账截止日，不能再录",IF(AND($K3309="自用消耗",COUNTIF({"一矿区";"二矿区"},$L3309)=0),"※自用消耗的去向只能是一矿区或二矿区",IF(AND($K3309="对外销售",COUNTIF({"三矿区";"六矿区"},$L3309)=0),"※对外销售的去向只能是三矿区或六矿区",IF(AND($K3309="对外销售",ROUND($Q3309,0)=0),"※外销却没有售价，请填实际售价",IF(AND($K3309="对外销售",$T3309&lt;&gt;"",$T3309&lt;0),"※这一笔外销是亏的，请核对售价",IF(IFERROR(VLOOKUP($D3309,库存台账!$A$5:$Y$1204,24,0),0)&lt;-0.001,"※这个物料账面已经变成负数了，查一下是不是漏记入库","")))))))))))</f>
        <v/>
      </c>
    </row>
    <row r="3310">
      <c r="A3310" s="24">
        <f>IF($D3310="","",COUNTA($D$4:$D3310))</f>
        <v/>
      </c>
      <c r="B3310" s="17" t="n"/>
      <c r="C3310" s="30" t="n"/>
      <c r="D3310" s="17" t="n"/>
      <c r="E3310" s="24">
        <f>IF($D3310="","",IFERROR(VLOOKUP($D3310,物料档案!$A$4:$P$1203,3,0),"※编码不在物料档案里"))</f>
        <v/>
      </c>
      <c r="F3310" s="24">
        <f>IF($D3310="","",IFERROR(VLOOKUP($D3310,物料档案!$A$4:$P$1203,4,0),"※编码不在物料档案里"))</f>
        <v/>
      </c>
      <c r="G3310" s="24">
        <f>IF($D3310="","",IFERROR(VLOOKUP($D3310,物料档案!$A$4:$P$1203,5,0),"※编码不在物料档案里"))</f>
        <v/>
      </c>
      <c r="H3310" s="24">
        <f>IF($D3310="","",IFERROR(VLOOKUP($D3310,物料档案!$A$4:$P$1203,2,0),"※编码不在物料档案里"))</f>
        <v/>
      </c>
      <c r="I3310" s="24">
        <f>IF($D3310="","",IFERROR(VLOOKUP($D3310,物料档案!$A$4:$P$1203,6,0),"※编码不在物料档案里"))</f>
        <v/>
      </c>
      <c r="J3310" s="23" t="n"/>
      <c r="K3310" s="17" t="n"/>
      <c r="L3310" s="17" t="n"/>
      <c r="M3310" s="17" t="n"/>
      <c r="N3310" s="17" t="n"/>
      <c r="O3310" s="26">
        <f>IF($D3310="","",IFERROR(VLOOKUP($D3310,物料档案!$A$4:$P$1203,10,0),0))</f>
        <v/>
      </c>
      <c r="P3310" s="32" t="n"/>
      <c r="Q3310" s="26">
        <f>IF($D3310="","",IF($K3310&lt;&gt;"对外销售",0,ROUND(N($J3310)*IF($P3310="",N($O3310),N($P3310)),0)))</f>
        <v/>
      </c>
      <c r="R3310" s="26">
        <f>IF($D3310="","",IFERROR(VLOOKUP($D3310,库存台账!$A$5:$Y$1204,11,0),0))</f>
        <v/>
      </c>
      <c r="S3310" s="26">
        <f>IF($D3310="","",ROUND(N($J3310)*N($R3310),0))</f>
        <v/>
      </c>
      <c r="T3310" s="26">
        <f>IF($D3310="","",IF($K3310&lt;&gt;"对外销售","",ROUND($Q3310-$S3310,0)))</f>
        <v/>
      </c>
      <c r="U3310" s="17" t="n"/>
      <c r="V3310" s="17" t="n"/>
      <c r="W3310" s="24">
        <f>IF($D3310="","",IF($E3310="※编码不在物料档案里","※物料编码不在档案里",IF(N($J3310)&lt;=0,"※出库数量要大于 0",IF($K3310="","※没填去向类型",IF($L3310="","※没填去向矿区",IF(AND($C3310&lt;&gt;"",$C3310&lt;=结账锁),"※日期早于已结账截止日，不能再录",IF(AND($K3310="自用消耗",COUNTIF({"一矿区";"二矿区"},$L3310)=0),"※自用消耗的去向只能是一矿区或二矿区",IF(AND($K3310="对外销售",COUNTIF({"三矿区";"六矿区"},$L3310)=0),"※对外销售的去向只能是三矿区或六矿区",IF(AND($K3310="对外销售",ROUND($Q3310,0)=0),"※外销却没有售价，请填实际售价",IF(AND($K3310="对外销售",$T3310&lt;&gt;"",$T3310&lt;0),"※这一笔外销是亏的，请核对售价",IF(IFERROR(VLOOKUP($D3310,库存台账!$A$5:$Y$1204,24,0),0)&lt;-0.001,"※这个物料账面已经变成负数了，查一下是不是漏记入库","")))))))))))</f>
        <v/>
      </c>
    </row>
    <row r="3311">
      <c r="A3311" s="24">
        <f>IF($D3311="","",COUNTA($D$4:$D3311))</f>
        <v/>
      </c>
      <c r="B3311" s="17" t="n"/>
      <c r="C3311" s="30" t="n"/>
      <c r="D3311" s="17" t="n"/>
      <c r="E3311" s="24">
        <f>IF($D3311="","",IFERROR(VLOOKUP($D3311,物料档案!$A$4:$P$1203,3,0),"※编码不在物料档案里"))</f>
        <v/>
      </c>
      <c r="F3311" s="24">
        <f>IF($D3311="","",IFERROR(VLOOKUP($D3311,物料档案!$A$4:$P$1203,4,0),"※编码不在物料档案里"))</f>
        <v/>
      </c>
      <c r="G3311" s="24">
        <f>IF($D3311="","",IFERROR(VLOOKUP($D3311,物料档案!$A$4:$P$1203,5,0),"※编码不在物料档案里"))</f>
        <v/>
      </c>
      <c r="H3311" s="24">
        <f>IF($D3311="","",IFERROR(VLOOKUP($D3311,物料档案!$A$4:$P$1203,2,0),"※编码不在物料档案里"))</f>
        <v/>
      </c>
      <c r="I3311" s="24">
        <f>IF($D3311="","",IFERROR(VLOOKUP($D3311,物料档案!$A$4:$P$1203,6,0),"※编码不在物料档案里"))</f>
        <v/>
      </c>
      <c r="J3311" s="23" t="n"/>
      <c r="K3311" s="17" t="n"/>
      <c r="L3311" s="17" t="n"/>
      <c r="M3311" s="17" t="n"/>
      <c r="N3311" s="17" t="n"/>
      <c r="O3311" s="26">
        <f>IF($D3311="","",IFERROR(VLOOKUP($D3311,物料档案!$A$4:$P$1203,10,0),0))</f>
        <v/>
      </c>
      <c r="P3311" s="32" t="n"/>
      <c r="Q3311" s="26">
        <f>IF($D3311="","",IF($K3311&lt;&gt;"对外销售",0,ROUND(N($J3311)*IF($P3311="",N($O3311),N($P3311)),0)))</f>
        <v/>
      </c>
      <c r="R3311" s="26">
        <f>IF($D3311="","",IFERROR(VLOOKUP($D3311,库存台账!$A$5:$Y$1204,11,0),0))</f>
        <v/>
      </c>
      <c r="S3311" s="26">
        <f>IF($D3311="","",ROUND(N($J3311)*N($R3311),0))</f>
        <v/>
      </c>
      <c r="T3311" s="26">
        <f>IF($D3311="","",IF($K3311&lt;&gt;"对外销售","",ROUND($Q3311-$S3311,0)))</f>
        <v/>
      </c>
      <c r="U3311" s="17" t="n"/>
      <c r="V3311" s="17" t="n"/>
      <c r="W3311" s="24">
        <f>IF($D3311="","",IF($E3311="※编码不在物料档案里","※物料编码不在档案里",IF(N($J3311)&lt;=0,"※出库数量要大于 0",IF($K3311="","※没填去向类型",IF($L3311="","※没填去向矿区",IF(AND($C3311&lt;&gt;"",$C3311&lt;=结账锁),"※日期早于已结账截止日，不能再录",IF(AND($K3311="自用消耗",COUNTIF({"一矿区";"二矿区"},$L3311)=0),"※自用消耗的去向只能是一矿区或二矿区",IF(AND($K3311="对外销售",COUNTIF({"三矿区";"六矿区"},$L3311)=0),"※对外销售的去向只能是三矿区或六矿区",IF(AND($K3311="对外销售",ROUND($Q3311,0)=0),"※外销却没有售价，请填实际售价",IF(AND($K3311="对外销售",$T3311&lt;&gt;"",$T3311&lt;0),"※这一笔外销是亏的，请核对售价",IF(IFERROR(VLOOKUP($D3311,库存台账!$A$5:$Y$1204,24,0),0)&lt;-0.001,"※这个物料账面已经变成负数了，查一下是不是漏记入库","")))))))))))</f>
        <v/>
      </c>
    </row>
    <row r="3312">
      <c r="A3312" s="24">
        <f>IF($D3312="","",COUNTA($D$4:$D3312))</f>
        <v/>
      </c>
      <c r="B3312" s="17" t="n"/>
      <c r="C3312" s="30" t="n"/>
      <c r="D3312" s="17" t="n"/>
      <c r="E3312" s="24">
        <f>IF($D3312="","",IFERROR(VLOOKUP($D3312,物料档案!$A$4:$P$1203,3,0),"※编码不在物料档案里"))</f>
        <v/>
      </c>
      <c r="F3312" s="24">
        <f>IF($D3312="","",IFERROR(VLOOKUP($D3312,物料档案!$A$4:$P$1203,4,0),"※编码不在物料档案里"))</f>
        <v/>
      </c>
      <c r="G3312" s="24">
        <f>IF($D3312="","",IFERROR(VLOOKUP($D3312,物料档案!$A$4:$P$1203,5,0),"※编码不在物料档案里"))</f>
        <v/>
      </c>
      <c r="H3312" s="24">
        <f>IF($D3312="","",IFERROR(VLOOKUP($D3312,物料档案!$A$4:$P$1203,2,0),"※编码不在物料档案里"))</f>
        <v/>
      </c>
      <c r="I3312" s="24">
        <f>IF($D3312="","",IFERROR(VLOOKUP($D3312,物料档案!$A$4:$P$1203,6,0),"※编码不在物料档案里"))</f>
        <v/>
      </c>
      <c r="J3312" s="23" t="n"/>
      <c r="K3312" s="17" t="n"/>
      <c r="L3312" s="17" t="n"/>
      <c r="M3312" s="17" t="n"/>
      <c r="N3312" s="17" t="n"/>
      <c r="O3312" s="26">
        <f>IF($D3312="","",IFERROR(VLOOKUP($D3312,物料档案!$A$4:$P$1203,10,0),0))</f>
        <v/>
      </c>
      <c r="P3312" s="32" t="n"/>
      <c r="Q3312" s="26">
        <f>IF($D3312="","",IF($K3312&lt;&gt;"对外销售",0,ROUND(N($J3312)*IF($P3312="",N($O3312),N($P3312)),0)))</f>
        <v/>
      </c>
      <c r="R3312" s="26">
        <f>IF($D3312="","",IFERROR(VLOOKUP($D3312,库存台账!$A$5:$Y$1204,11,0),0))</f>
        <v/>
      </c>
      <c r="S3312" s="26">
        <f>IF($D3312="","",ROUND(N($J3312)*N($R3312),0))</f>
        <v/>
      </c>
      <c r="T3312" s="26">
        <f>IF($D3312="","",IF($K3312&lt;&gt;"对外销售","",ROUND($Q3312-$S3312,0)))</f>
        <v/>
      </c>
      <c r="U3312" s="17" t="n"/>
      <c r="V3312" s="17" t="n"/>
      <c r="W3312" s="24">
        <f>IF($D3312="","",IF($E3312="※编码不在物料档案里","※物料编码不在档案里",IF(N($J3312)&lt;=0,"※出库数量要大于 0",IF($K3312="","※没填去向类型",IF($L3312="","※没填去向矿区",IF(AND($C3312&lt;&gt;"",$C3312&lt;=结账锁),"※日期早于已结账截止日，不能再录",IF(AND($K3312="自用消耗",COUNTIF({"一矿区";"二矿区"},$L3312)=0),"※自用消耗的去向只能是一矿区或二矿区",IF(AND($K3312="对外销售",COUNTIF({"三矿区";"六矿区"},$L3312)=0),"※对外销售的去向只能是三矿区或六矿区",IF(AND($K3312="对外销售",ROUND($Q3312,0)=0),"※外销却没有售价，请填实际售价",IF(AND($K3312="对外销售",$T3312&lt;&gt;"",$T3312&lt;0),"※这一笔外销是亏的，请核对售价",IF(IFERROR(VLOOKUP($D3312,库存台账!$A$5:$Y$1204,24,0),0)&lt;-0.001,"※这个物料账面已经变成负数了，查一下是不是漏记入库","")))))))))))</f>
        <v/>
      </c>
    </row>
    <row r="3313">
      <c r="A3313" s="24">
        <f>IF($D3313="","",COUNTA($D$4:$D3313))</f>
        <v/>
      </c>
      <c r="B3313" s="17" t="n"/>
      <c r="C3313" s="30" t="n"/>
      <c r="D3313" s="17" t="n"/>
      <c r="E3313" s="24">
        <f>IF($D3313="","",IFERROR(VLOOKUP($D3313,物料档案!$A$4:$P$1203,3,0),"※编码不在物料档案里"))</f>
        <v/>
      </c>
      <c r="F3313" s="24">
        <f>IF($D3313="","",IFERROR(VLOOKUP($D3313,物料档案!$A$4:$P$1203,4,0),"※编码不在物料档案里"))</f>
        <v/>
      </c>
      <c r="G3313" s="24">
        <f>IF($D3313="","",IFERROR(VLOOKUP($D3313,物料档案!$A$4:$P$1203,5,0),"※编码不在物料档案里"))</f>
        <v/>
      </c>
      <c r="H3313" s="24">
        <f>IF($D3313="","",IFERROR(VLOOKUP($D3313,物料档案!$A$4:$P$1203,2,0),"※编码不在物料档案里"))</f>
        <v/>
      </c>
      <c r="I3313" s="24">
        <f>IF($D3313="","",IFERROR(VLOOKUP($D3313,物料档案!$A$4:$P$1203,6,0),"※编码不在物料档案里"))</f>
        <v/>
      </c>
      <c r="J3313" s="23" t="n"/>
      <c r="K3313" s="17" t="n"/>
      <c r="L3313" s="17" t="n"/>
      <c r="M3313" s="17" t="n"/>
      <c r="N3313" s="17" t="n"/>
      <c r="O3313" s="26">
        <f>IF($D3313="","",IFERROR(VLOOKUP($D3313,物料档案!$A$4:$P$1203,10,0),0))</f>
        <v/>
      </c>
      <c r="P3313" s="32" t="n"/>
      <c r="Q3313" s="26">
        <f>IF($D3313="","",IF($K3313&lt;&gt;"对外销售",0,ROUND(N($J3313)*IF($P3313="",N($O3313),N($P3313)),0)))</f>
        <v/>
      </c>
      <c r="R3313" s="26">
        <f>IF($D3313="","",IFERROR(VLOOKUP($D3313,库存台账!$A$5:$Y$1204,11,0),0))</f>
        <v/>
      </c>
      <c r="S3313" s="26">
        <f>IF($D3313="","",ROUND(N($J3313)*N($R3313),0))</f>
        <v/>
      </c>
      <c r="T3313" s="26">
        <f>IF($D3313="","",IF($K3313&lt;&gt;"对外销售","",ROUND($Q3313-$S3313,0)))</f>
        <v/>
      </c>
      <c r="U3313" s="17" t="n"/>
      <c r="V3313" s="17" t="n"/>
      <c r="W3313" s="24">
        <f>IF($D3313="","",IF($E3313="※编码不在物料档案里","※物料编码不在档案里",IF(N($J3313)&lt;=0,"※出库数量要大于 0",IF($K3313="","※没填去向类型",IF($L3313="","※没填去向矿区",IF(AND($C3313&lt;&gt;"",$C3313&lt;=结账锁),"※日期早于已结账截止日，不能再录",IF(AND($K3313="自用消耗",COUNTIF({"一矿区";"二矿区"},$L3313)=0),"※自用消耗的去向只能是一矿区或二矿区",IF(AND($K3313="对外销售",COUNTIF({"三矿区";"六矿区"},$L3313)=0),"※对外销售的去向只能是三矿区或六矿区",IF(AND($K3313="对外销售",ROUND($Q3313,0)=0),"※外销却没有售价，请填实际售价",IF(AND($K3313="对外销售",$T3313&lt;&gt;"",$T3313&lt;0),"※这一笔外销是亏的，请核对售价",IF(IFERROR(VLOOKUP($D3313,库存台账!$A$5:$Y$1204,24,0),0)&lt;-0.001,"※这个物料账面已经变成负数了，查一下是不是漏记入库","")))))))))))</f>
        <v/>
      </c>
    </row>
    <row r="3314">
      <c r="A3314" s="24">
        <f>IF($D3314="","",COUNTA($D$4:$D3314))</f>
        <v/>
      </c>
      <c r="B3314" s="17" t="n"/>
      <c r="C3314" s="30" t="n"/>
      <c r="D3314" s="17" t="n"/>
      <c r="E3314" s="24">
        <f>IF($D3314="","",IFERROR(VLOOKUP($D3314,物料档案!$A$4:$P$1203,3,0),"※编码不在物料档案里"))</f>
        <v/>
      </c>
      <c r="F3314" s="24">
        <f>IF($D3314="","",IFERROR(VLOOKUP($D3314,物料档案!$A$4:$P$1203,4,0),"※编码不在物料档案里"))</f>
        <v/>
      </c>
      <c r="G3314" s="24">
        <f>IF($D3314="","",IFERROR(VLOOKUP($D3314,物料档案!$A$4:$P$1203,5,0),"※编码不在物料档案里"))</f>
        <v/>
      </c>
      <c r="H3314" s="24">
        <f>IF($D3314="","",IFERROR(VLOOKUP($D3314,物料档案!$A$4:$P$1203,2,0),"※编码不在物料档案里"))</f>
        <v/>
      </c>
      <c r="I3314" s="24">
        <f>IF($D3314="","",IFERROR(VLOOKUP($D3314,物料档案!$A$4:$P$1203,6,0),"※编码不在物料档案里"))</f>
        <v/>
      </c>
      <c r="J3314" s="23" t="n"/>
      <c r="K3314" s="17" t="n"/>
      <c r="L3314" s="17" t="n"/>
      <c r="M3314" s="17" t="n"/>
      <c r="N3314" s="17" t="n"/>
      <c r="O3314" s="26">
        <f>IF($D3314="","",IFERROR(VLOOKUP($D3314,物料档案!$A$4:$P$1203,10,0),0))</f>
        <v/>
      </c>
      <c r="P3314" s="32" t="n"/>
      <c r="Q3314" s="26">
        <f>IF($D3314="","",IF($K3314&lt;&gt;"对外销售",0,ROUND(N($J3314)*IF($P3314="",N($O3314),N($P3314)),0)))</f>
        <v/>
      </c>
      <c r="R3314" s="26">
        <f>IF($D3314="","",IFERROR(VLOOKUP($D3314,库存台账!$A$5:$Y$1204,11,0),0))</f>
        <v/>
      </c>
      <c r="S3314" s="26">
        <f>IF($D3314="","",ROUND(N($J3314)*N($R3314),0))</f>
        <v/>
      </c>
      <c r="T3314" s="26">
        <f>IF($D3314="","",IF($K3314&lt;&gt;"对外销售","",ROUND($Q3314-$S3314,0)))</f>
        <v/>
      </c>
      <c r="U3314" s="17" t="n"/>
      <c r="V3314" s="17" t="n"/>
      <c r="W3314" s="24">
        <f>IF($D3314="","",IF($E3314="※编码不在物料档案里","※物料编码不在档案里",IF(N($J3314)&lt;=0,"※出库数量要大于 0",IF($K3314="","※没填去向类型",IF($L3314="","※没填去向矿区",IF(AND($C3314&lt;&gt;"",$C3314&lt;=结账锁),"※日期早于已结账截止日，不能再录",IF(AND($K3314="自用消耗",COUNTIF({"一矿区";"二矿区"},$L3314)=0),"※自用消耗的去向只能是一矿区或二矿区",IF(AND($K3314="对外销售",COUNTIF({"三矿区";"六矿区"},$L3314)=0),"※对外销售的去向只能是三矿区或六矿区",IF(AND($K3314="对外销售",ROUND($Q3314,0)=0),"※外销却没有售价，请填实际售价",IF(AND($K3314="对外销售",$T3314&lt;&gt;"",$T3314&lt;0),"※这一笔外销是亏的，请核对售价",IF(IFERROR(VLOOKUP($D3314,库存台账!$A$5:$Y$1204,24,0),0)&lt;-0.001,"※这个物料账面已经变成负数了，查一下是不是漏记入库","")))))))))))</f>
        <v/>
      </c>
    </row>
    <row r="3315">
      <c r="A3315" s="24">
        <f>IF($D3315="","",COUNTA($D$4:$D3315))</f>
        <v/>
      </c>
      <c r="B3315" s="17" t="n"/>
      <c r="C3315" s="30" t="n"/>
      <c r="D3315" s="17" t="n"/>
      <c r="E3315" s="24">
        <f>IF($D3315="","",IFERROR(VLOOKUP($D3315,物料档案!$A$4:$P$1203,3,0),"※编码不在物料档案里"))</f>
        <v/>
      </c>
      <c r="F3315" s="24">
        <f>IF($D3315="","",IFERROR(VLOOKUP($D3315,物料档案!$A$4:$P$1203,4,0),"※编码不在物料档案里"))</f>
        <v/>
      </c>
      <c r="G3315" s="24">
        <f>IF($D3315="","",IFERROR(VLOOKUP($D3315,物料档案!$A$4:$P$1203,5,0),"※编码不在物料档案里"))</f>
        <v/>
      </c>
      <c r="H3315" s="24">
        <f>IF($D3315="","",IFERROR(VLOOKUP($D3315,物料档案!$A$4:$P$1203,2,0),"※编码不在物料档案里"))</f>
        <v/>
      </c>
      <c r="I3315" s="24">
        <f>IF($D3315="","",IFERROR(VLOOKUP($D3315,物料档案!$A$4:$P$1203,6,0),"※编码不在物料档案里"))</f>
        <v/>
      </c>
      <c r="J3315" s="23" t="n"/>
      <c r="K3315" s="17" t="n"/>
      <c r="L3315" s="17" t="n"/>
      <c r="M3315" s="17" t="n"/>
      <c r="N3315" s="17" t="n"/>
      <c r="O3315" s="26">
        <f>IF($D3315="","",IFERROR(VLOOKUP($D3315,物料档案!$A$4:$P$1203,10,0),0))</f>
        <v/>
      </c>
      <c r="P3315" s="32" t="n"/>
      <c r="Q3315" s="26">
        <f>IF($D3315="","",IF($K3315&lt;&gt;"对外销售",0,ROUND(N($J3315)*IF($P3315="",N($O3315),N($P3315)),0)))</f>
        <v/>
      </c>
      <c r="R3315" s="26">
        <f>IF($D3315="","",IFERROR(VLOOKUP($D3315,库存台账!$A$5:$Y$1204,11,0),0))</f>
        <v/>
      </c>
      <c r="S3315" s="26">
        <f>IF($D3315="","",ROUND(N($J3315)*N($R3315),0))</f>
        <v/>
      </c>
      <c r="T3315" s="26">
        <f>IF($D3315="","",IF($K3315&lt;&gt;"对外销售","",ROUND($Q3315-$S3315,0)))</f>
        <v/>
      </c>
      <c r="U3315" s="17" t="n"/>
      <c r="V3315" s="17" t="n"/>
      <c r="W3315" s="24">
        <f>IF($D3315="","",IF($E3315="※编码不在物料档案里","※物料编码不在档案里",IF(N($J3315)&lt;=0,"※出库数量要大于 0",IF($K3315="","※没填去向类型",IF($L3315="","※没填去向矿区",IF(AND($C3315&lt;&gt;"",$C3315&lt;=结账锁),"※日期早于已结账截止日，不能再录",IF(AND($K3315="自用消耗",COUNTIF({"一矿区";"二矿区"},$L3315)=0),"※自用消耗的去向只能是一矿区或二矿区",IF(AND($K3315="对外销售",COUNTIF({"三矿区";"六矿区"},$L3315)=0),"※对外销售的去向只能是三矿区或六矿区",IF(AND($K3315="对外销售",ROUND($Q3315,0)=0),"※外销却没有售价，请填实际售价",IF(AND($K3315="对外销售",$T3315&lt;&gt;"",$T3315&lt;0),"※这一笔外销是亏的，请核对售价",IF(IFERROR(VLOOKUP($D3315,库存台账!$A$5:$Y$1204,24,0),0)&lt;-0.001,"※这个物料账面已经变成负数了，查一下是不是漏记入库","")))))))))))</f>
        <v/>
      </c>
    </row>
    <row r="3316">
      <c r="A3316" s="24">
        <f>IF($D3316="","",COUNTA($D$4:$D3316))</f>
        <v/>
      </c>
      <c r="B3316" s="17" t="n"/>
      <c r="C3316" s="30" t="n"/>
      <c r="D3316" s="17" t="n"/>
      <c r="E3316" s="24">
        <f>IF($D3316="","",IFERROR(VLOOKUP($D3316,物料档案!$A$4:$P$1203,3,0),"※编码不在物料档案里"))</f>
        <v/>
      </c>
      <c r="F3316" s="24">
        <f>IF($D3316="","",IFERROR(VLOOKUP($D3316,物料档案!$A$4:$P$1203,4,0),"※编码不在物料档案里"))</f>
        <v/>
      </c>
      <c r="G3316" s="24">
        <f>IF($D3316="","",IFERROR(VLOOKUP($D3316,物料档案!$A$4:$P$1203,5,0),"※编码不在物料档案里"))</f>
        <v/>
      </c>
      <c r="H3316" s="24">
        <f>IF($D3316="","",IFERROR(VLOOKUP($D3316,物料档案!$A$4:$P$1203,2,0),"※编码不在物料档案里"))</f>
        <v/>
      </c>
      <c r="I3316" s="24">
        <f>IF($D3316="","",IFERROR(VLOOKUP($D3316,物料档案!$A$4:$P$1203,6,0),"※编码不在物料档案里"))</f>
        <v/>
      </c>
      <c r="J3316" s="23" t="n"/>
      <c r="K3316" s="17" t="n"/>
      <c r="L3316" s="17" t="n"/>
      <c r="M3316" s="17" t="n"/>
      <c r="N3316" s="17" t="n"/>
      <c r="O3316" s="26">
        <f>IF($D3316="","",IFERROR(VLOOKUP($D3316,物料档案!$A$4:$P$1203,10,0),0))</f>
        <v/>
      </c>
      <c r="P3316" s="32" t="n"/>
      <c r="Q3316" s="26">
        <f>IF($D3316="","",IF($K3316&lt;&gt;"对外销售",0,ROUND(N($J3316)*IF($P3316="",N($O3316),N($P3316)),0)))</f>
        <v/>
      </c>
      <c r="R3316" s="26">
        <f>IF($D3316="","",IFERROR(VLOOKUP($D3316,库存台账!$A$5:$Y$1204,11,0),0))</f>
        <v/>
      </c>
      <c r="S3316" s="26">
        <f>IF($D3316="","",ROUND(N($J3316)*N($R3316),0))</f>
        <v/>
      </c>
      <c r="T3316" s="26">
        <f>IF($D3316="","",IF($K3316&lt;&gt;"对外销售","",ROUND($Q3316-$S3316,0)))</f>
        <v/>
      </c>
      <c r="U3316" s="17" t="n"/>
      <c r="V3316" s="17" t="n"/>
      <c r="W3316" s="24">
        <f>IF($D3316="","",IF($E3316="※编码不在物料档案里","※物料编码不在档案里",IF(N($J3316)&lt;=0,"※出库数量要大于 0",IF($K3316="","※没填去向类型",IF($L3316="","※没填去向矿区",IF(AND($C3316&lt;&gt;"",$C3316&lt;=结账锁),"※日期早于已结账截止日，不能再录",IF(AND($K3316="自用消耗",COUNTIF({"一矿区";"二矿区"},$L3316)=0),"※自用消耗的去向只能是一矿区或二矿区",IF(AND($K3316="对外销售",COUNTIF({"三矿区";"六矿区"},$L3316)=0),"※对外销售的去向只能是三矿区或六矿区",IF(AND($K3316="对外销售",ROUND($Q3316,0)=0),"※外销却没有售价，请填实际售价",IF(AND($K3316="对外销售",$T3316&lt;&gt;"",$T3316&lt;0),"※这一笔外销是亏的，请核对售价",IF(IFERROR(VLOOKUP($D3316,库存台账!$A$5:$Y$1204,24,0),0)&lt;-0.001,"※这个物料账面已经变成负数了，查一下是不是漏记入库","")))))))))))</f>
        <v/>
      </c>
    </row>
    <row r="3317">
      <c r="A3317" s="24">
        <f>IF($D3317="","",COUNTA($D$4:$D3317))</f>
        <v/>
      </c>
      <c r="B3317" s="17" t="n"/>
      <c r="C3317" s="30" t="n"/>
      <c r="D3317" s="17" t="n"/>
      <c r="E3317" s="24">
        <f>IF($D3317="","",IFERROR(VLOOKUP($D3317,物料档案!$A$4:$P$1203,3,0),"※编码不在物料档案里"))</f>
        <v/>
      </c>
      <c r="F3317" s="24">
        <f>IF($D3317="","",IFERROR(VLOOKUP($D3317,物料档案!$A$4:$P$1203,4,0),"※编码不在物料档案里"))</f>
        <v/>
      </c>
      <c r="G3317" s="24">
        <f>IF($D3317="","",IFERROR(VLOOKUP($D3317,物料档案!$A$4:$P$1203,5,0),"※编码不在物料档案里"))</f>
        <v/>
      </c>
      <c r="H3317" s="24">
        <f>IF($D3317="","",IFERROR(VLOOKUP($D3317,物料档案!$A$4:$P$1203,2,0),"※编码不在物料档案里"))</f>
        <v/>
      </c>
      <c r="I3317" s="24">
        <f>IF($D3317="","",IFERROR(VLOOKUP($D3317,物料档案!$A$4:$P$1203,6,0),"※编码不在物料档案里"))</f>
        <v/>
      </c>
      <c r="J3317" s="23" t="n"/>
      <c r="K3317" s="17" t="n"/>
      <c r="L3317" s="17" t="n"/>
      <c r="M3317" s="17" t="n"/>
      <c r="N3317" s="17" t="n"/>
      <c r="O3317" s="26">
        <f>IF($D3317="","",IFERROR(VLOOKUP($D3317,物料档案!$A$4:$P$1203,10,0),0))</f>
        <v/>
      </c>
      <c r="P3317" s="32" t="n"/>
      <c r="Q3317" s="26">
        <f>IF($D3317="","",IF($K3317&lt;&gt;"对外销售",0,ROUND(N($J3317)*IF($P3317="",N($O3317),N($P3317)),0)))</f>
        <v/>
      </c>
      <c r="R3317" s="26">
        <f>IF($D3317="","",IFERROR(VLOOKUP($D3317,库存台账!$A$5:$Y$1204,11,0),0))</f>
        <v/>
      </c>
      <c r="S3317" s="26">
        <f>IF($D3317="","",ROUND(N($J3317)*N($R3317),0))</f>
        <v/>
      </c>
      <c r="T3317" s="26">
        <f>IF($D3317="","",IF($K3317&lt;&gt;"对外销售","",ROUND($Q3317-$S3317,0)))</f>
        <v/>
      </c>
      <c r="U3317" s="17" t="n"/>
      <c r="V3317" s="17" t="n"/>
      <c r="W3317" s="24">
        <f>IF($D3317="","",IF($E3317="※编码不在物料档案里","※物料编码不在档案里",IF(N($J3317)&lt;=0,"※出库数量要大于 0",IF($K3317="","※没填去向类型",IF($L3317="","※没填去向矿区",IF(AND($C3317&lt;&gt;"",$C3317&lt;=结账锁),"※日期早于已结账截止日，不能再录",IF(AND($K3317="自用消耗",COUNTIF({"一矿区";"二矿区"},$L3317)=0),"※自用消耗的去向只能是一矿区或二矿区",IF(AND($K3317="对外销售",COUNTIF({"三矿区";"六矿区"},$L3317)=0),"※对外销售的去向只能是三矿区或六矿区",IF(AND($K3317="对外销售",ROUND($Q3317,0)=0),"※外销却没有售价，请填实际售价",IF(AND($K3317="对外销售",$T3317&lt;&gt;"",$T3317&lt;0),"※这一笔外销是亏的，请核对售价",IF(IFERROR(VLOOKUP($D3317,库存台账!$A$5:$Y$1204,24,0),0)&lt;-0.001,"※这个物料账面已经变成负数了，查一下是不是漏记入库","")))))))))))</f>
        <v/>
      </c>
    </row>
    <row r="3318">
      <c r="A3318" s="24">
        <f>IF($D3318="","",COUNTA($D$4:$D3318))</f>
        <v/>
      </c>
      <c r="B3318" s="17" t="n"/>
      <c r="C3318" s="30" t="n"/>
      <c r="D3318" s="17" t="n"/>
      <c r="E3318" s="24">
        <f>IF($D3318="","",IFERROR(VLOOKUP($D3318,物料档案!$A$4:$P$1203,3,0),"※编码不在物料档案里"))</f>
        <v/>
      </c>
      <c r="F3318" s="24">
        <f>IF($D3318="","",IFERROR(VLOOKUP($D3318,物料档案!$A$4:$P$1203,4,0),"※编码不在物料档案里"))</f>
        <v/>
      </c>
      <c r="G3318" s="24">
        <f>IF($D3318="","",IFERROR(VLOOKUP($D3318,物料档案!$A$4:$P$1203,5,0),"※编码不在物料档案里"))</f>
        <v/>
      </c>
      <c r="H3318" s="24">
        <f>IF($D3318="","",IFERROR(VLOOKUP($D3318,物料档案!$A$4:$P$1203,2,0),"※编码不在物料档案里"))</f>
        <v/>
      </c>
      <c r="I3318" s="24">
        <f>IF($D3318="","",IFERROR(VLOOKUP($D3318,物料档案!$A$4:$P$1203,6,0),"※编码不在物料档案里"))</f>
        <v/>
      </c>
      <c r="J3318" s="23" t="n"/>
      <c r="K3318" s="17" t="n"/>
      <c r="L3318" s="17" t="n"/>
      <c r="M3318" s="17" t="n"/>
      <c r="N3318" s="17" t="n"/>
      <c r="O3318" s="26">
        <f>IF($D3318="","",IFERROR(VLOOKUP($D3318,物料档案!$A$4:$P$1203,10,0),0))</f>
        <v/>
      </c>
      <c r="P3318" s="32" t="n"/>
      <c r="Q3318" s="26">
        <f>IF($D3318="","",IF($K3318&lt;&gt;"对外销售",0,ROUND(N($J3318)*IF($P3318="",N($O3318),N($P3318)),0)))</f>
        <v/>
      </c>
      <c r="R3318" s="26">
        <f>IF($D3318="","",IFERROR(VLOOKUP($D3318,库存台账!$A$5:$Y$1204,11,0),0))</f>
        <v/>
      </c>
      <c r="S3318" s="26">
        <f>IF($D3318="","",ROUND(N($J3318)*N($R3318),0))</f>
        <v/>
      </c>
      <c r="T3318" s="26">
        <f>IF($D3318="","",IF($K3318&lt;&gt;"对外销售","",ROUND($Q3318-$S3318,0)))</f>
        <v/>
      </c>
      <c r="U3318" s="17" t="n"/>
      <c r="V3318" s="17" t="n"/>
      <c r="W3318" s="24">
        <f>IF($D3318="","",IF($E3318="※编码不在物料档案里","※物料编码不在档案里",IF(N($J3318)&lt;=0,"※出库数量要大于 0",IF($K3318="","※没填去向类型",IF($L3318="","※没填去向矿区",IF(AND($C3318&lt;&gt;"",$C3318&lt;=结账锁),"※日期早于已结账截止日，不能再录",IF(AND($K3318="自用消耗",COUNTIF({"一矿区";"二矿区"},$L3318)=0),"※自用消耗的去向只能是一矿区或二矿区",IF(AND($K3318="对外销售",COUNTIF({"三矿区";"六矿区"},$L3318)=0),"※对外销售的去向只能是三矿区或六矿区",IF(AND($K3318="对外销售",ROUND($Q3318,0)=0),"※外销却没有售价，请填实际售价",IF(AND($K3318="对外销售",$T3318&lt;&gt;"",$T3318&lt;0),"※这一笔外销是亏的，请核对售价",IF(IFERROR(VLOOKUP($D3318,库存台账!$A$5:$Y$1204,24,0),0)&lt;-0.001,"※这个物料账面已经变成负数了，查一下是不是漏记入库","")))))))))))</f>
        <v/>
      </c>
    </row>
    <row r="3319">
      <c r="A3319" s="24">
        <f>IF($D3319="","",COUNTA($D$4:$D3319))</f>
        <v/>
      </c>
      <c r="B3319" s="17" t="n"/>
      <c r="C3319" s="30" t="n"/>
      <c r="D3319" s="17" t="n"/>
      <c r="E3319" s="24">
        <f>IF($D3319="","",IFERROR(VLOOKUP($D3319,物料档案!$A$4:$P$1203,3,0),"※编码不在物料档案里"))</f>
        <v/>
      </c>
      <c r="F3319" s="24">
        <f>IF($D3319="","",IFERROR(VLOOKUP($D3319,物料档案!$A$4:$P$1203,4,0),"※编码不在物料档案里"))</f>
        <v/>
      </c>
      <c r="G3319" s="24">
        <f>IF($D3319="","",IFERROR(VLOOKUP($D3319,物料档案!$A$4:$P$1203,5,0),"※编码不在物料档案里"))</f>
        <v/>
      </c>
      <c r="H3319" s="24">
        <f>IF($D3319="","",IFERROR(VLOOKUP($D3319,物料档案!$A$4:$P$1203,2,0),"※编码不在物料档案里"))</f>
        <v/>
      </c>
      <c r="I3319" s="24">
        <f>IF($D3319="","",IFERROR(VLOOKUP($D3319,物料档案!$A$4:$P$1203,6,0),"※编码不在物料档案里"))</f>
        <v/>
      </c>
      <c r="J3319" s="23" t="n"/>
      <c r="K3319" s="17" t="n"/>
      <c r="L3319" s="17" t="n"/>
      <c r="M3319" s="17" t="n"/>
      <c r="N3319" s="17" t="n"/>
      <c r="O3319" s="26">
        <f>IF($D3319="","",IFERROR(VLOOKUP($D3319,物料档案!$A$4:$P$1203,10,0),0))</f>
        <v/>
      </c>
      <c r="P3319" s="32" t="n"/>
      <c r="Q3319" s="26">
        <f>IF($D3319="","",IF($K3319&lt;&gt;"对外销售",0,ROUND(N($J3319)*IF($P3319="",N($O3319),N($P3319)),0)))</f>
        <v/>
      </c>
      <c r="R3319" s="26">
        <f>IF($D3319="","",IFERROR(VLOOKUP($D3319,库存台账!$A$5:$Y$1204,11,0),0))</f>
        <v/>
      </c>
      <c r="S3319" s="26">
        <f>IF($D3319="","",ROUND(N($J3319)*N($R3319),0))</f>
        <v/>
      </c>
      <c r="T3319" s="26">
        <f>IF($D3319="","",IF($K3319&lt;&gt;"对外销售","",ROUND($Q3319-$S3319,0)))</f>
        <v/>
      </c>
      <c r="U3319" s="17" t="n"/>
      <c r="V3319" s="17" t="n"/>
      <c r="W3319" s="24">
        <f>IF($D3319="","",IF($E3319="※编码不在物料档案里","※物料编码不在档案里",IF(N($J3319)&lt;=0,"※出库数量要大于 0",IF($K3319="","※没填去向类型",IF($L3319="","※没填去向矿区",IF(AND($C3319&lt;&gt;"",$C3319&lt;=结账锁),"※日期早于已结账截止日，不能再录",IF(AND($K3319="自用消耗",COUNTIF({"一矿区";"二矿区"},$L3319)=0),"※自用消耗的去向只能是一矿区或二矿区",IF(AND($K3319="对外销售",COUNTIF({"三矿区";"六矿区"},$L3319)=0),"※对外销售的去向只能是三矿区或六矿区",IF(AND($K3319="对外销售",ROUND($Q3319,0)=0),"※外销却没有售价，请填实际售价",IF(AND($K3319="对外销售",$T3319&lt;&gt;"",$T3319&lt;0),"※这一笔外销是亏的，请核对售价",IF(IFERROR(VLOOKUP($D3319,库存台账!$A$5:$Y$1204,24,0),0)&lt;-0.001,"※这个物料账面已经变成负数了，查一下是不是漏记入库","")))))))))))</f>
        <v/>
      </c>
    </row>
    <row r="3320">
      <c r="A3320" s="24">
        <f>IF($D3320="","",COUNTA($D$4:$D3320))</f>
        <v/>
      </c>
      <c r="B3320" s="17" t="n"/>
      <c r="C3320" s="30" t="n"/>
      <c r="D3320" s="17" t="n"/>
      <c r="E3320" s="24">
        <f>IF($D3320="","",IFERROR(VLOOKUP($D3320,物料档案!$A$4:$P$1203,3,0),"※编码不在物料档案里"))</f>
        <v/>
      </c>
      <c r="F3320" s="24">
        <f>IF($D3320="","",IFERROR(VLOOKUP($D3320,物料档案!$A$4:$P$1203,4,0),"※编码不在物料档案里"))</f>
        <v/>
      </c>
      <c r="G3320" s="24">
        <f>IF($D3320="","",IFERROR(VLOOKUP($D3320,物料档案!$A$4:$P$1203,5,0),"※编码不在物料档案里"))</f>
        <v/>
      </c>
      <c r="H3320" s="24">
        <f>IF($D3320="","",IFERROR(VLOOKUP($D3320,物料档案!$A$4:$P$1203,2,0),"※编码不在物料档案里"))</f>
        <v/>
      </c>
      <c r="I3320" s="24">
        <f>IF($D3320="","",IFERROR(VLOOKUP($D3320,物料档案!$A$4:$P$1203,6,0),"※编码不在物料档案里"))</f>
        <v/>
      </c>
      <c r="J3320" s="23" t="n"/>
      <c r="K3320" s="17" t="n"/>
      <c r="L3320" s="17" t="n"/>
      <c r="M3320" s="17" t="n"/>
      <c r="N3320" s="17" t="n"/>
      <c r="O3320" s="26">
        <f>IF($D3320="","",IFERROR(VLOOKUP($D3320,物料档案!$A$4:$P$1203,10,0),0))</f>
        <v/>
      </c>
      <c r="P3320" s="32" t="n"/>
      <c r="Q3320" s="26">
        <f>IF($D3320="","",IF($K3320&lt;&gt;"对外销售",0,ROUND(N($J3320)*IF($P3320="",N($O3320),N($P3320)),0)))</f>
        <v/>
      </c>
      <c r="R3320" s="26">
        <f>IF($D3320="","",IFERROR(VLOOKUP($D3320,库存台账!$A$5:$Y$1204,11,0),0))</f>
        <v/>
      </c>
      <c r="S3320" s="26">
        <f>IF($D3320="","",ROUND(N($J3320)*N($R3320),0))</f>
        <v/>
      </c>
      <c r="T3320" s="26">
        <f>IF($D3320="","",IF($K3320&lt;&gt;"对外销售","",ROUND($Q3320-$S3320,0)))</f>
        <v/>
      </c>
      <c r="U3320" s="17" t="n"/>
      <c r="V3320" s="17" t="n"/>
      <c r="W3320" s="24">
        <f>IF($D3320="","",IF($E3320="※编码不在物料档案里","※物料编码不在档案里",IF(N($J3320)&lt;=0,"※出库数量要大于 0",IF($K3320="","※没填去向类型",IF($L3320="","※没填去向矿区",IF(AND($C3320&lt;&gt;"",$C3320&lt;=结账锁),"※日期早于已结账截止日，不能再录",IF(AND($K3320="自用消耗",COUNTIF({"一矿区";"二矿区"},$L3320)=0),"※自用消耗的去向只能是一矿区或二矿区",IF(AND($K3320="对外销售",COUNTIF({"三矿区";"六矿区"},$L3320)=0),"※对外销售的去向只能是三矿区或六矿区",IF(AND($K3320="对外销售",ROUND($Q3320,0)=0),"※外销却没有售价，请填实际售价",IF(AND($K3320="对外销售",$T3320&lt;&gt;"",$T3320&lt;0),"※这一笔外销是亏的，请核对售价",IF(IFERROR(VLOOKUP($D3320,库存台账!$A$5:$Y$1204,24,0),0)&lt;-0.001,"※这个物料账面已经变成负数了，查一下是不是漏记入库","")))))))))))</f>
        <v/>
      </c>
    </row>
    <row r="3321">
      <c r="A3321" s="24">
        <f>IF($D3321="","",COUNTA($D$4:$D3321))</f>
        <v/>
      </c>
      <c r="B3321" s="17" t="n"/>
      <c r="C3321" s="30" t="n"/>
      <c r="D3321" s="17" t="n"/>
      <c r="E3321" s="24">
        <f>IF($D3321="","",IFERROR(VLOOKUP($D3321,物料档案!$A$4:$P$1203,3,0),"※编码不在物料档案里"))</f>
        <v/>
      </c>
      <c r="F3321" s="24">
        <f>IF($D3321="","",IFERROR(VLOOKUP($D3321,物料档案!$A$4:$P$1203,4,0),"※编码不在物料档案里"))</f>
        <v/>
      </c>
      <c r="G3321" s="24">
        <f>IF($D3321="","",IFERROR(VLOOKUP($D3321,物料档案!$A$4:$P$1203,5,0),"※编码不在物料档案里"))</f>
        <v/>
      </c>
      <c r="H3321" s="24">
        <f>IF($D3321="","",IFERROR(VLOOKUP($D3321,物料档案!$A$4:$P$1203,2,0),"※编码不在物料档案里"))</f>
        <v/>
      </c>
      <c r="I3321" s="24">
        <f>IF($D3321="","",IFERROR(VLOOKUP($D3321,物料档案!$A$4:$P$1203,6,0),"※编码不在物料档案里"))</f>
        <v/>
      </c>
      <c r="J3321" s="23" t="n"/>
      <c r="K3321" s="17" t="n"/>
      <c r="L3321" s="17" t="n"/>
      <c r="M3321" s="17" t="n"/>
      <c r="N3321" s="17" t="n"/>
      <c r="O3321" s="26">
        <f>IF($D3321="","",IFERROR(VLOOKUP($D3321,物料档案!$A$4:$P$1203,10,0),0))</f>
        <v/>
      </c>
      <c r="P3321" s="32" t="n"/>
      <c r="Q3321" s="26">
        <f>IF($D3321="","",IF($K3321&lt;&gt;"对外销售",0,ROUND(N($J3321)*IF($P3321="",N($O3321),N($P3321)),0)))</f>
        <v/>
      </c>
      <c r="R3321" s="26">
        <f>IF($D3321="","",IFERROR(VLOOKUP($D3321,库存台账!$A$5:$Y$1204,11,0),0))</f>
        <v/>
      </c>
      <c r="S3321" s="26">
        <f>IF($D3321="","",ROUND(N($J3321)*N($R3321),0))</f>
        <v/>
      </c>
      <c r="T3321" s="26">
        <f>IF($D3321="","",IF($K3321&lt;&gt;"对外销售","",ROUND($Q3321-$S3321,0)))</f>
        <v/>
      </c>
      <c r="U3321" s="17" t="n"/>
      <c r="V3321" s="17" t="n"/>
      <c r="W3321" s="24">
        <f>IF($D3321="","",IF($E3321="※编码不在物料档案里","※物料编码不在档案里",IF(N($J3321)&lt;=0,"※出库数量要大于 0",IF($K3321="","※没填去向类型",IF($L3321="","※没填去向矿区",IF(AND($C3321&lt;&gt;"",$C3321&lt;=结账锁),"※日期早于已结账截止日，不能再录",IF(AND($K3321="自用消耗",COUNTIF({"一矿区";"二矿区"},$L3321)=0),"※自用消耗的去向只能是一矿区或二矿区",IF(AND($K3321="对外销售",COUNTIF({"三矿区";"六矿区"},$L3321)=0),"※对外销售的去向只能是三矿区或六矿区",IF(AND($K3321="对外销售",ROUND($Q3321,0)=0),"※外销却没有售价，请填实际售价",IF(AND($K3321="对外销售",$T3321&lt;&gt;"",$T3321&lt;0),"※这一笔外销是亏的，请核对售价",IF(IFERROR(VLOOKUP($D3321,库存台账!$A$5:$Y$1204,24,0),0)&lt;-0.001,"※这个物料账面已经变成负数了，查一下是不是漏记入库","")))))))))))</f>
        <v/>
      </c>
    </row>
    <row r="3322">
      <c r="A3322" s="24">
        <f>IF($D3322="","",COUNTA($D$4:$D3322))</f>
        <v/>
      </c>
      <c r="B3322" s="17" t="n"/>
      <c r="C3322" s="30" t="n"/>
      <c r="D3322" s="17" t="n"/>
      <c r="E3322" s="24">
        <f>IF($D3322="","",IFERROR(VLOOKUP($D3322,物料档案!$A$4:$P$1203,3,0),"※编码不在物料档案里"))</f>
        <v/>
      </c>
      <c r="F3322" s="24">
        <f>IF($D3322="","",IFERROR(VLOOKUP($D3322,物料档案!$A$4:$P$1203,4,0),"※编码不在物料档案里"))</f>
        <v/>
      </c>
      <c r="G3322" s="24">
        <f>IF($D3322="","",IFERROR(VLOOKUP($D3322,物料档案!$A$4:$P$1203,5,0),"※编码不在物料档案里"))</f>
        <v/>
      </c>
      <c r="H3322" s="24">
        <f>IF($D3322="","",IFERROR(VLOOKUP($D3322,物料档案!$A$4:$P$1203,2,0),"※编码不在物料档案里"))</f>
        <v/>
      </c>
      <c r="I3322" s="24">
        <f>IF($D3322="","",IFERROR(VLOOKUP($D3322,物料档案!$A$4:$P$1203,6,0),"※编码不在物料档案里"))</f>
        <v/>
      </c>
      <c r="J3322" s="23" t="n"/>
      <c r="K3322" s="17" t="n"/>
      <c r="L3322" s="17" t="n"/>
      <c r="M3322" s="17" t="n"/>
      <c r="N3322" s="17" t="n"/>
      <c r="O3322" s="26">
        <f>IF($D3322="","",IFERROR(VLOOKUP($D3322,物料档案!$A$4:$P$1203,10,0),0))</f>
        <v/>
      </c>
      <c r="P3322" s="32" t="n"/>
      <c r="Q3322" s="26">
        <f>IF($D3322="","",IF($K3322&lt;&gt;"对外销售",0,ROUND(N($J3322)*IF($P3322="",N($O3322),N($P3322)),0)))</f>
        <v/>
      </c>
      <c r="R3322" s="26">
        <f>IF($D3322="","",IFERROR(VLOOKUP($D3322,库存台账!$A$5:$Y$1204,11,0),0))</f>
        <v/>
      </c>
      <c r="S3322" s="26">
        <f>IF($D3322="","",ROUND(N($J3322)*N($R3322),0))</f>
        <v/>
      </c>
      <c r="T3322" s="26">
        <f>IF($D3322="","",IF($K3322&lt;&gt;"对外销售","",ROUND($Q3322-$S3322,0)))</f>
        <v/>
      </c>
      <c r="U3322" s="17" t="n"/>
      <c r="V3322" s="17" t="n"/>
      <c r="W3322" s="24">
        <f>IF($D3322="","",IF($E3322="※编码不在物料档案里","※物料编码不在档案里",IF(N($J3322)&lt;=0,"※出库数量要大于 0",IF($K3322="","※没填去向类型",IF($L3322="","※没填去向矿区",IF(AND($C3322&lt;&gt;"",$C3322&lt;=结账锁),"※日期早于已结账截止日，不能再录",IF(AND($K3322="自用消耗",COUNTIF({"一矿区";"二矿区"},$L3322)=0),"※自用消耗的去向只能是一矿区或二矿区",IF(AND($K3322="对外销售",COUNTIF({"三矿区";"六矿区"},$L3322)=0),"※对外销售的去向只能是三矿区或六矿区",IF(AND($K3322="对外销售",ROUND($Q3322,0)=0),"※外销却没有售价，请填实际售价",IF(AND($K3322="对外销售",$T3322&lt;&gt;"",$T3322&lt;0),"※这一笔外销是亏的，请核对售价",IF(IFERROR(VLOOKUP($D3322,库存台账!$A$5:$Y$1204,24,0),0)&lt;-0.001,"※这个物料账面已经变成负数了，查一下是不是漏记入库","")))))))))))</f>
        <v/>
      </c>
    </row>
    <row r="3323">
      <c r="A3323" s="24">
        <f>IF($D3323="","",COUNTA($D$4:$D3323))</f>
        <v/>
      </c>
      <c r="B3323" s="17" t="n"/>
      <c r="C3323" s="30" t="n"/>
      <c r="D3323" s="17" t="n"/>
      <c r="E3323" s="24">
        <f>IF($D3323="","",IFERROR(VLOOKUP($D3323,物料档案!$A$4:$P$1203,3,0),"※编码不在物料档案里"))</f>
        <v/>
      </c>
      <c r="F3323" s="24">
        <f>IF($D3323="","",IFERROR(VLOOKUP($D3323,物料档案!$A$4:$P$1203,4,0),"※编码不在物料档案里"))</f>
        <v/>
      </c>
      <c r="G3323" s="24">
        <f>IF($D3323="","",IFERROR(VLOOKUP($D3323,物料档案!$A$4:$P$1203,5,0),"※编码不在物料档案里"))</f>
        <v/>
      </c>
      <c r="H3323" s="24">
        <f>IF($D3323="","",IFERROR(VLOOKUP($D3323,物料档案!$A$4:$P$1203,2,0),"※编码不在物料档案里"))</f>
        <v/>
      </c>
      <c r="I3323" s="24">
        <f>IF($D3323="","",IFERROR(VLOOKUP($D3323,物料档案!$A$4:$P$1203,6,0),"※编码不在物料档案里"))</f>
        <v/>
      </c>
      <c r="J3323" s="23" t="n"/>
      <c r="K3323" s="17" t="n"/>
      <c r="L3323" s="17" t="n"/>
      <c r="M3323" s="17" t="n"/>
      <c r="N3323" s="17" t="n"/>
      <c r="O3323" s="26">
        <f>IF($D3323="","",IFERROR(VLOOKUP($D3323,物料档案!$A$4:$P$1203,10,0),0))</f>
        <v/>
      </c>
      <c r="P3323" s="32" t="n"/>
      <c r="Q3323" s="26">
        <f>IF($D3323="","",IF($K3323&lt;&gt;"对外销售",0,ROUND(N($J3323)*IF($P3323="",N($O3323),N($P3323)),0)))</f>
        <v/>
      </c>
      <c r="R3323" s="26">
        <f>IF($D3323="","",IFERROR(VLOOKUP($D3323,库存台账!$A$5:$Y$1204,11,0),0))</f>
        <v/>
      </c>
      <c r="S3323" s="26">
        <f>IF($D3323="","",ROUND(N($J3323)*N($R3323),0))</f>
        <v/>
      </c>
      <c r="T3323" s="26">
        <f>IF($D3323="","",IF($K3323&lt;&gt;"对外销售","",ROUND($Q3323-$S3323,0)))</f>
        <v/>
      </c>
      <c r="U3323" s="17" t="n"/>
      <c r="V3323" s="17" t="n"/>
      <c r="W3323" s="24">
        <f>IF($D3323="","",IF($E3323="※编码不在物料档案里","※物料编码不在档案里",IF(N($J3323)&lt;=0,"※出库数量要大于 0",IF($K3323="","※没填去向类型",IF($L3323="","※没填去向矿区",IF(AND($C3323&lt;&gt;"",$C3323&lt;=结账锁),"※日期早于已结账截止日，不能再录",IF(AND($K3323="自用消耗",COUNTIF({"一矿区";"二矿区"},$L3323)=0),"※自用消耗的去向只能是一矿区或二矿区",IF(AND($K3323="对外销售",COUNTIF({"三矿区";"六矿区"},$L3323)=0),"※对外销售的去向只能是三矿区或六矿区",IF(AND($K3323="对外销售",ROUND($Q3323,0)=0),"※外销却没有售价，请填实际售价",IF(AND($K3323="对外销售",$T3323&lt;&gt;"",$T3323&lt;0),"※这一笔外销是亏的，请核对售价",IF(IFERROR(VLOOKUP($D3323,库存台账!$A$5:$Y$1204,24,0),0)&lt;-0.001,"※这个物料账面已经变成负数了，查一下是不是漏记入库","")))))))))))</f>
        <v/>
      </c>
    </row>
    <row r="3324">
      <c r="A3324" s="24">
        <f>IF($D3324="","",COUNTA($D$4:$D3324))</f>
        <v/>
      </c>
      <c r="B3324" s="17" t="n"/>
      <c r="C3324" s="30" t="n"/>
      <c r="D3324" s="17" t="n"/>
      <c r="E3324" s="24">
        <f>IF($D3324="","",IFERROR(VLOOKUP($D3324,物料档案!$A$4:$P$1203,3,0),"※编码不在物料档案里"))</f>
        <v/>
      </c>
      <c r="F3324" s="24">
        <f>IF($D3324="","",IFERROR(VLOOKUP($D3324,物料档案!$A$4:$P$1203,4,0),"※编码不在物料档案里"))</f>
        <v/>
      </c>
      <c r="G3324" s="24">
        <f>IF($D3324="","",IFERROR(VLOOKUP($D3324,物料档案!$A$4:$P$1203,5,0),"※编码不在物料档案里"))</f>
        <v/>
      </c>
      <c r="H3324" s="24">
        <f>IF($D3324="","",IFERROR(VLOOKUP($D3324,物料档案!$A$4:$P$1203,2,0),"※编码不在物料档案里"))</f>
        <v/>
      </c>
      <c r="I3324" s="24">
        <f>IF($D3324="","",IFERROR(VLOOKUP($D3324,物料档案!$A$4:$P$1203,6,0),"※编码不在物料档案里"))</f>
        <v/>
      </c>
      <c r="J3324" s="23" t="n"/>
      <c r="K3324" s="17" t="n"/>
      <c r="L3324" s="17" t="n"/>
      <c r="M3324" s="17" t="n"/>
      <c r="N3324" s="17" t="n"/>
      <c r="O3324" s="26">
        <f>IF($D3324="","",IFERROR(VLOOKUP($D3324,物料档案!$A$4:$P$1203,10,0),0))</f>
        <v/>
      </c>
      <c r="P3324" s="32" t="n"/>
      <c r="Q3324" s="26">
        <f>IF($D3324="","",IF($K3324&lt;&gt;"对外销售",0,ROUND(N($J3324)*IF($P3324="",N($O3324),N($P3324)),0)))</f>
        <v/>
      </c>
      <c r="R3324" s="26">
        <f>IF($D3324="","",IFERROR(VLOOKUP($D3324,库存台账!$A$5:$Y$1204,11,0),0))</f>
        <v/>
      </c>
      <c r="S3324" s="26">
        <f>IF($D3324="","",ROUND(N($J3324)*N($R3324),0))</f>
        <v/>
      </c>
      <c r="T3324" s="26">
        <f>IF($D3324="","",IF($K3324&lt;&gt;"对外销售","",ROUND($Q3324-$S3324,0)))</f>
        <v/>
      </c>
      <c r="U3324" s="17" t="n"/>
      <c r="V3324" s="17" t="n"/>
      <c r="W3324" s="24">
        <f>IF($D3324="","",IF($E3324="※编码不在物料档案里","※物料编码不在档案里",IF(N($J3324)&lt;=0,"※出库数量要大于 0",IF($K3324="","※没填去向类型",IF($L3324="","※没填去向矿区",IF(AND($C3324&lt;&gt;"",$C3324&lt;=结账锁),"※日期早于已结账截止日，不能再录",IF(AND($K3324="自用消耗",COUNTIF({"一矿区";"二矿区"},$L3324)=0),"※自用消耗的去向只能是一矿区或二矿区",IF(AND($K3324="对外销售",COUNTIF({"三矿区";"六矿区"},$L3324)=0),"※对外销售的去向只能是三矿区或六矿区",IF(AND($K3324="对外销售",ROUND($Q3324,0)=0),"※外销却没有售价，请填实际售价",IF(AND($K3324="对外销售",$T3324&lt;&gt;"",$T3324&lt;0),"※这一笔外销是亏的，请核对售价",IF(IFERROR(VLOOKUP($D3324,库存台账!$A$5:$Y$1204,24,0),0)&lt;-0.001,"※这个物料账面已经变成负数了，查一下是不是漏记入库","")))))))))))</f>
        <v/>
      </c>
    </row>
    <row r="3325">
      <c r="A3325" s="24">
        <f>IF($D3325="","",COUNTA($D$4:$D3325))</f>
        <v/>
      </c>
      <c r="B3325" s="17" t="n"/>
      <c r="C3325" s="30" t="n"/>
      <c r="D3325" s="17" t="n"/>
      <c r="E3325" s="24">
        <f>IF($D3325="","",IFERROR(VLOOKUP($D3325,物料档案!$A$4:$P$1203,3,0),"※编码不在物料档案里"))</f>
        <v/>
      </c>
      <c r="F3325" s="24">
        <f>IF($D3325="","",IFERROR(VLOOKUP($D3325,物料档案!$A$4:$P$1203,4,0),"※编码不在物料档案里"))</f>
        <v/>
      </c>
      <c r="G3325" s="24">
        <f>IF($D3325="","",IFERROR(VLOOKUP($D3325,物料档案!$A$4:$P$1203,5,0),"※编码不在物料档案里"))</f>
        <v/>
      </c>
      <c r="H3325" s="24">
        <f>IF($D3325="","",IFERROR(VLOOKUP($D3325,物料档案!$A$4:$P$1203,2,0),"※编码不在物料档案里"))</f>
        <v/>
      </c>
      <c r="I3325" s="24">
        <f>IF($D3325="","",IFERROR(VLOOKUP($D3325,物料档案!$A$4:$P$1203,6,0),"※编码不在物料档案里"))</f>
        <v/>
      </c>
      <c r="J3325" s="23" t="n"/>
      <c r="K3325" s="17" t="n"/>
      <c r="L3325" s="17" t="n"/>
      <c r="M3325" s="17" t="n"/>
      <c r="N3325" s="17" t="n"/>
      <c r="O3325" s="26">
        <f>IF($D3325="","",IFERROR(VLOOKUP($D3325,物料档案!$A$4:$P$1203,10,0),0))</f>
        <v/>
      </c>
      <c r="P3325" s="32" t="n"/>
      <c r="Q3325" s="26">
        <f>IF($D3325="","",IF($K3325&lt;&gt;"对外销售",0,ROUND(N($J3325)*IF($P3325="",N($O3325),N($P3325)),0)))</f>
        <v/>
      </c>
      <c r="R3325" s="26">
        <f>IF($D3325="","",IFERROR(VLOOKUP($D3325,库存台账!$A$5:$Y$1204,11,0),0))</f>
        <v/>
      </c>
      <c r="S3325" s="26">
        <f>IF($D3325="","",ROUND(N($J3325)*N($R3325),0))</f>
        <v/>
      </c>
      <c r="T3325" s="26">
        <f>IF($D3325="","",IF($K3325&lt;&gt;"对外销售","",ROUND($Q3325-$S3325,0)))</f>
        <v/>
      </c>
      <c r="U3325" s="17" t="n"/>
      <c r="V3325" s="17" t="n"/>
      <c r="W3325" s="24">
        <f>IF($D3325="","",IF($E3325="※编码不在物料档案里","※物料编码不在档案里",IF(N($J3325)&lt;=0,"※出库数量要大于 0",IF($K3325="","※没填去向类型",IF($L3325="","※没填去向矿区",IF(AND($C3325&lt;&gt;"",$C3325&lt;=结账锁),"※日期早于已结账截止日，不能再录",IF(AND($K3325="自用消耗",COUNTIF({"一矿区";"二矿区"},$L3325)=0),"※自用消耗的去向只能是一矿区或二矿区",IF(AND($K3325="对外销售",COUNTIF({"三矿区";"六矿区"},$L3325)=0),"※对外销售的去向只能是三矿区或六矿区",IF(AND($K3325="对外销售",ROUND($Q3325,0)=0),"※外销却没有售价，请填实际售价",IF(AND($K3325="对外销售",$T3325&lt;&gt;"",$T3325&lt;0),"※这一笔外销是亏的，请核对售价",IF(IFERROR(VLOOKUP($D3325,库存台账!$A$5:$Y$1204,24,0),0)&lt;-0.001,"※这个物料账面已经变成负数了，查一下是不是漏记入库","")))))))))))</f>
        <v/>
      </c>
    </row>
    <row r="3326">
      <c r="A3326" s="24">
        <f>IF($D3326="","",COUNTA($D$4:$D3326))</f>
        <v/>
      </c>
      <c r="B3326" s="17" t="n"/>
      <c r="C3326" s="30" t="n"/>
      <c r="D3326" s="17" t="n"/>
      <c r="E3326" s="24">
        <f>IF($D3326="","",IFERROR(VLOOKUP($D3326,物料档案!$A$4:$P$1203,3,0),"※编码不在物料档案里"))</f>
        <v/>
      </c>
      <c r="F3326" s="24">
        <f>IF($D3326="","",IFERROR(VLOOKUP($D3326,物料档案!$A$4:$P$1203,4,0),"※编码不在物料档案里"))</f>
        <v/>
      </c>
      <c r="G3326" s="24">
        <f>IF($D3326="","",IFERROR(VLOOKUP($D3326,物料档案!$A$4:$P$1203,5,0),"※编码不在物料档案里"))</f>
        <v/>
      </c>
      <c r="H3326" s="24">
        <f>IF($D3326="","",IFERROR(VLOOKUP($D3326,物料档案!$A$4:$P$1203,2,0),"※编码不在物料档案里"))</f>
        <v/>
      </c>
      <c r="I3326" s="24">
        <f>IF($D3326="","",IFERROR(VLOOKUP($D3326,物料档案!$A$4:$P$1203,6,0),"※编码不在物料档案里"))</f>
        <v/>
      </c>
      <c r="J3326" s="23" t="n"/>
      <c r="K3326" s="17" t="n"/>
      <c r="L3326" s="17" t="n"/>
      <c r="M3326" s="17" t="n"/>
      <c r="N3326" s="17" t="n"/>
      <c r="O3326" s="26">
        <f>IF($D3326="","",IFERROR(VLOOKUP($D3326,物料档案!$A$4:$P$1203,10,0),0))</f>
        <v/>
      </c>
      <c r="P3326" s="32" t="n"/>
      <c r="Q3326" s="26">
        <f>IF($D3326="","",IF($K3326&lt;&gt;"对外销售",0,ROUND(N($J3326)*IF($P3326="",N($O3326),N($P3326)),0)))</f>
        <v/>
      </c>
      <c r="R3326" s="26">
        <f>IF($D3326="","",IFERROR(VLOOKUP($D3326,库存台账!$A$5:$Y$1204,11,0),0))</f>
        <v/>
      </c>
      <c r="S3326" s="26">
        <f>IF($D3326="","",ROUND(N($J3326)*N($R3326),0))</f>
        <v/>
      </c>
      <c r="T3326" s="26">
        <f>IF($D3326="","",IF($K3326&lt;&gt;"对外销售","",ROUND($Q3326-$S3326,0)))</f>
        <v/>
      </c>
      <c r="U3326" s="17" t="n"/>
      <c r="V3326" s="17" t="n"/>
      <c r="W3326" s="24">
        <f>IF($D3326="","",IF($E3326="※编码不在物料档案里","※物料编码不在档案里",IF(N($J3326)&lt;=0,"※出库数量要大于 0",IF($K3326="","※没填去向类型",IF($L3326="","※没填去向矿区",IF(AND($C3326&lt;&gt;"",$C3326&lt;=结账锁),"※日期早于已结账截止日，不能再录",IF(AND($K3326="自用消耗",COUNTIF({"一矿区";"二矿区"},$L3326)=0),"※自用消耗的去向只能是一矿区或二矿区",IF(AND($K3326="对外销售",COUNTIF({"三矿区";"六矿区"},$L3326)=0),"※对外销售的去向只能是三矿区或六矿区",IF(AND($K3326="对外销售",ROUND($Q3326,0)=0),"※外销却没有售价，请填实际售价",IF(AND($K3326="对外销售",$T3326&lt;&gt;"",$T3326&lt;0),"※这一笔外销是亏的，请核对售价",IF(IFERROR(VLOOKUP($D3326,库存台账!$A$5:$Y$1204,24,0),0)&lt;-0.001,"※这个物料账面已经变成负数了，查一下是不是漏记入库","")))))))))))</f>
        <v/>
      </c>
    </row>
    <row r="3327">
      <c r="A3327" s="24">
        <f>IF($D3327="","",COUNTA($D$4:$D3327))</f>
        <v/>
      </c>
      <c r="B3327" s="17" t="n"/>
      <c r="C3327" s="30" t="n"/>
      <c r="D3327" s="17" t="n"/>
      <c r="E3327" s="24">
        <f>IF($D3327="","",IFERROR(VLOOKUP($D3327,物料档案!$A$4:$P$1203,3,0),"※编码不在物料档案里"))</f>
        <v/>
      </c>
      <c r="F3327" s="24">
        <f>IF($D3327="","",IFERROR(VLOOKUP($D3327,物料档案!$A$4:$P$1203,4,0),"※编码不在物料档案里"))</f>
        <v/>
      </c>
      <c r="G3327" s="24">
        <f>IF($D3327="","",IFERROR(VLOOKUP($D3327,物料档案!$A$4:$P$1203,5,0),"※编码不在物料档案里"))</f>
        <v/>
      </c>
      <c r="H3327" s="24">
        <f>IF($D3327="","",IFERROR(VLOOKUP($D3327,物料档案!$A$4:$P$1203,2,0),"※编码不在物料档案里"))</f>
        <v/>
      </c>
      <c r="I3327" s="24">
        <f>IF($D3327="","",IFERROR(VLOOKUP($D3327,物料档案!$A$4:$P$1203,6,0),"※编码不在物料档案里"))</f>
        <v/>
      </c>
      <c r="J3327" s="23" t="n"/>
      <c r="K3327" s="17" t="n"/>
      <c r="L3327" s="17" t="n"/>
      <c r="M3327" s="17" t="n"/>
      <c r="N3327" s="17" t="n"/>
      <c r="O3327" s="26">
        <f>IF($D3327="","",IFERROR(VLOOKUP($D3327,物料档案!$A$4:$P$1203,10,0),0))</f>
        <v/>
      </c>
      <c r="P3327" s="32" t="n"/>
      <c r="Q3327" s="26">
        <f>IF($D3327="","",IF($K3327&lt;&gt;"对外销售",0,ROUND(N($J3327)*IF($P3327="",N($O3327),N($P3327)),0)))</f>
        <v/>
      </c>
      <c r="R3327" s="26">
        <f>IF($D3327="","",IFERROR(VLOOKUP($D3327,库存台账!$A$5:$Y$1204,11,0),0))</f>
        <v/>
      </c>
      <c r="S3327" s="26">
        <f>IF($D3327="","",ROUND(N($J3327)*N($R3327),0))</f>
        <v/>
      </c>
      <c r="T3327" s="26">
        <f>IF($D3327="","",IF($K3327&lt;&gt;"对外销售","",ROUND($Q3327-$S3327,0)))</f>
        <v/>
      </c>
      <c r="U3327" s="17" t="n"/>
      <c r="V3327" s="17" t="n"/>
      <c r="W3327" s="24">
        <f>IF($D3327="","",IF($E3327="※编码不在物料档案里","※物料编码不在档案里",IF(N($J3327)&lt;=0,"※出库数量要大于 0",IF($K3327="","※没填去向类型",IF($L3327="","※没填去向矿区",IF(AND($C3327&lt;&gt;"",$C3327&lt;=结账锁),"※日期早于已结账截止日，不能再录",IF(AND($K3327="自用消耗",COUNTIF({"一矿区";"二矿区"},$L3327)=0),"※自用消耗的去向只能是一矿区或二矿区",IF(AND($K3327="对外销售",COUNTIF({"三矿区";"六矿区"},$L3327)=0),"※对外销售的去向只能是三矿区或六矿区",IF(AND($K3327="对外销售",ROUND($Q3327,0)=0),"※外销却没有售价，请填实际售价",IF(AND($K3327="对外销售",$T3327&lt;&gt;"",$T3327&lt;0),"※这一笔外销是亏的，请核对售价",IF(IFERROR(VLOOKUP($D3327,库存台账!$A$5:$Y$1204,24,0),0)&lt;-0.001,"※这个物料账面已经变成负数了，查一下是不是漏记入库","")))))))))))</f>
        <v/>
      </c>
    </row>
    <row r="3328">
      <c r="A3328" s="24">
        <f>IF($D3328="","",COUNTA($D$4:$D3328))</f>
        <v/>
      </c>
      <c r="B3328" s="17" t="n"/>
      <c r="C3328" s="30" t="n"/>
      <c r="D3328" s="17" t="n"/>
      <c r="E3328" s="24">
        <f>IF($D3328="","",IFERROR(VLOOKUP($D3328,物料档案!$A$4:$P$1203,3,0),"※编码不在物料档案里"))</f>
        <v/>
      </c>
      <c r="F3328" s="24">
        <f>IF($D3328="","",IFERROR(VLOOKUP($D3328,物料档案!$A$4:$P$1203,4,0),"※编码不在物料档案里"))</f>
        <v/>
      </c>
      <c r="G3328" s="24">
        <f>IF($D3328="","",IFERROR(VLOOKUP($D3328,物料档案!$A$4:$P$1203,5,0),"※编码不在物料档案里"))</f>
        <v/>
      </c>
      <c r="H3328" s="24">
        <f>IF($D3328="","",IFERROR(VLOOKUP($D3328,物料档案!$A$4:$P$1203,2,0),"※编码不在物料档案里"))</f>
        <v/>
      </c>
      <c r="I3328" s="24">
        <f>IF($D3328="","",IFERROR(VLOOKUP($D3328,物料档案!$A$4:$P$1203,6,0),"※编码不在物料档案里"))</f>
        <v/>
      </c>
      <c r="J3328" s="23" t="n"/>
      <c r="K3328" s="17" t="n"/>
      <c r="L3328" s="17" t="n"/>
      <c r="M3328" s="17" t="n"/>
      <c r="N3328" s="17" t="n"/>
      <c r="O3328" s="26">
        <f>IF($D3328="","",IFERROR(VLOOKUP($D3328,物料档案!$A$4:$P$1203,10,0),0))</f>
        <v/>
      </c>
      <c r="P3328" s="32" t="n"/>
      <c r="Q3328" s="26">
        <f>IF($D3328="","",IF($K3328&lt;&gt;"对外销售",0,ROUND(N($J3328)*IF($P3328="",N($O3328),N($P3328)),0)))</f>
        <v/>
      </c>
      <c r="R3328" s="26">
        <f>IF($D3328="","",IFERROR(VLOOKUP($D3328,库存台账!$A$5:$Y$1204,11,0),0))</f>
        <v/>
      </c>
      <c r="S3328" s="26">
        <f>IF($D3328="","",ROUND(N($J3328)*N($R3328),0))</f>
        <v/>
      </c>
      <c r="T3328" s="26">
        <f>IF($D3328="","",IF($K3328&lt;&gt;"对外销售","",ROUND($Q3328-$S3328,0)))</f>
        <v/>
      </c>
      <c r="U3328" s="17" t="n"/>
      <c r="V3328" s="17" t="n"/>
      <c r="W3328" s="24">
        <f>IF($D3328="","",IF($E3328="※编码不在物料档案里","※物料编码不在档案里",IF(N($J3328)&lt;=0,"※出库数量要大于 0",IF($K3328="","※没填去向类型",IF($L3328="","※没填去向矿区",IF(AND($C3328&lt;&gt;"",$C3328&lt;=结账锁),"※日期早于已结账截止日，不能再录",IF(AND($K3328="自用消耗",COUNTIF({"一矿区";"二矿区"},$L3328)=0),"※自用消耗的去向只能是一矿区或二矿区",IF(AND($K3328="对外销售",COUNTIF({"三矿区";"六矿区"},$L3328)=0),"※对外销售的去向只能是三矿区或六矿区",IF(AND($K3328="对外销售",ROUND($Q3328,0)=0),"※外销却没有售价，请填实际售价",IF(AND($K3328="对外销售",$T3328&lt;&gt;"",$T3328&lt;0),"※这一笔外销是亏的，请核对售价",IF(IFERROR(VLOOKUP($D3328,库存台账!$A$5:$Y$1204,24,0),0)&lt;-0.001,"※这个物料账面已经变成负数了，查一下是不是漏记入库","")))))))))))</f>
        <v/>
      </c>
    </row>
    <row r="3329">
      <c r="A3329" s="24">
        <f>IF($D3329="","",COUNTA($D$4:$D3329))</f>
        <v/>
      </c>
      <c r="B3329" s="17" t="n"/>
      <c r="C3329" s="30" t="n"/>
      <c r="D3329" s="17" t="n"/>
      <c r="E3329" s="24">
        <f>IF($D3329="","",IFERROR(VLOOKUP($D3329,物料档案!$A$4:$P$1203,3,0),"※编码不在物料档案里"))</f>
        <v/>
      </c>
      <c r="F3329" s="24">
        <f>IF($D3329="","",IFERROR(VLOOKUP($D3329,物料档案!$A$4:$P$1203,4,0),"※编码不在物料档案里"))</f>
        <v/>
      </c>
      <c r="G3329" s="24">
        <f>IF($D3329="","",IFERROR(VLOOKUP($D3329,物料档案!$A$4:$P$1203,5,0),"※编码不在物料档案里"))</f>
        <v/>
      </c>
      <c r="H3329" s="24">
        <f>IF($D3329="","",IFERROR(VLOOKUP($D3329,物料档案!$A$4:$P$1203,2,0),"※编码不在物料档案里"))</f>
        <v/>
      </c>
      <c r="I3329" s="24">
        <f>IF($D3329="","",IFERROR(VLOOKUP($D3329,物料档案!$A$4:$P$1203,6,0),"※编码不在物料档案里"))</f>
        <v/>
      </c>
      <c r="J3329" s="23" t="n"/>
      <c r="K3329" s="17" t="n"/>
      <c r="L3329" s="17" t="n"/>
      <c r="M3329" s="17" t="n"/>
      <c r="N3329" s="17" t="n"/>
      <c r="O3329" s="26">
        <f>IF($D3329="","",IFERROR(VLOOKUP($D3329,物料档案!$A$4:$P$1203,10,0),0))</f>
        <v/>
      </c>
      <c r="P3329" s="32" t="n"/>
      <c r="Q3329" s="26">
        <f>IF($D3329="","",IF($K3329&lt;&gt;"对外销售",0,ROUND(N($J3329)*IF($P3329="",N($O3329),N($P3329)),0)))</f>
        <v/>
      </c>
      <c r="R3329" s="26">
        <f>IF($D3329="","",IFERROR(VLOOKUP($D3329,库存台账!$A$5:$Y$1204,11,0),0))</f>
        <v/>
      </c>
      <c r="S3329" s="26">
        <f>IF($D3329="","",ROUND(N($J3329)*N($R3329),0))</f>
        <v/>
      </c>
      <c r="T3329" s="26">
        <f>IF($D3329="","",IF($K3329&lt;&gt;"对外销售","",ROUND($Q3329-$S3329,0)))</f>
        <v/>
      </c>
      <c r="U3329" s="17" t="n"/>
      <c r="V3329" s="17" t="n"/>
      <c r="W3329" s="24">
        <f>IF($D3329="","",IF($E3329="※编码不在物料档案里","※物料编码不在档案里",IF(N($J3329)&lt;=0,"※出库数量要大于 0",IF($K3329="","※没填去向类型",IF($L3329="","※没填去向矿区",IF(AND($C3329&lt;&gt;"",$C3329&lt;=结账锁),"※日期早于已结账截止日，不能再录",IF(AND($K3329="自用消耗",COUNTIF({"一矿区";"二矿区"},$L3329)=0),"※自用消耗的去向只能是一矿区或二矿区",IF(AND($K3329="对外销售",COUNTIF({"三矿区";"六矿区"},$L3329)=0),"※对外销售的去向只能是三矿区或六矿区",IF(AND($K3329="对外销售",ROUND($Q3329,0)=0),"※外销却没有售价，请填实际售价",IF(AND($K3329="对外销售",$T3329&lt;&gt;"",$T3329&lt;0),"※这一笔外销是亏的，请核对售价",IF(IFERROR(VLOOKUP($D3329,库存台账!$A$5:$Y$1204,24,0),0)&lt;-0.001,"※这个物料账面已经变成负数了，查一下是不是漏记入库","")))))))))))</f>
        <v/>
      </c>
    </row>
    <row r="3330">
      <c r="A3330" s="24">
        <f>IF($D3330="","",COUNTA($D$4:$D3330))</f>
        <v/>
      </c>
      <c r="B3330" s="17" t="n"/>
      <c r="C3330" s="30" t="n"/>
      <c r="D3330" s="17" t="n"/>
      <c r="E3330" s="24">
        <f>IF($D3330="","",IFERROR(VLOOKUP($D3330,物料档案!$A$4:$P$1203,3,0),"※编码不在物料档案里"))</f>
        <v/>
      </c>
      <c r="F3330" s="24">
        <f>IF($D3330="","",IFERROR(VLOOKUP($D3330,物料档案!$A$4:$P$1203,4,0),"※编码不在物料档案里"))</f>
        <v/>
      </c>
      <c r="G3330" s="24">
        <f>IF($D3330="","",IFERROR(VLOOKUP($D3330,物料档案!$A$4:$P$1203,5,0),"※编码不在物料档案里"))</f>
        <v/>
      </c>
      <c r="H3330" s="24">
        <f>IF($D3330="","",IFERROR(VLOOKUP($D3330,物料档案!$A$4:$P$1203,2,0),"※编码不在物料档案里"))</f>
        <v/>
      </c>
      <c r="I3330" s="24">
        <f>IF($D3330="","",IFERROR(VLOOKUP($D3330,物料档案!$A$4:$P$1203,6,0),"※编码不在物料档案里"))</f>
        <v/>
      </c>
      <c r="J3330" s="23" t="n"/>
      <c r="K3330" s="17" t="n"/>
      <c r="L3330" s="17" t="n"/>
      <c r="M3330" s="17" t="n"/>
      <c r="N3330" s="17" t="n"/>
      <c r="O3330" s="26">
        <f>IF($D3330="","",IFERROR(VLOOKUP($D3330,物料档案!$A$4:$P$1203,10,0),0))</f>
        <v/>
      </c>
      <c r="P3330" s="32" t="n"/>
      <c r="Q3330" s="26">
        <f>IF($D3330="","",IF($K3330&lt;&gt;"对外销售",0,ROUND(N($J3330)*IF($P3330="",N($O3330),N($P3330)),0)))</f>
        <v/>
      </c>
      <c r="R3330" s="26">
        <f>IF($D3330="","",IFERROR(VLOOKUP($D3330,库存台账!$A$5:$Y$1204,11,0),0))</f>
        <v/>
      </c>
      <c r="S3330" s="26">
        <f>IF($D3330="","",ROUND(N($J3330)*N($R3330),0))</f>
        <v/>
      </c>
      <c r="T3330" s="26">
        <f>IF($D3330="","",IF($K3330&lt;&gt;"对外销售","",ROUND($Q3330-$S3330,0)))</f>
        <v/>
      </c>
      <c r="U3330" s="17" t="n"/>
      <c r="V3330" s="17" t="n"/>
      <c r="W3330" s="24">
        <f>IF($D3330="","",IF($E3330="※编码不在物料档案里","※物料编码不在档案里",IF(N($J3330)&lt;=0,"※出库数量要大于 0",IF($K3330="","※没填去向类型",IF($L3330="","※没填去向矿区",IF(AND($C3330&lt;&gt;"",$C3330&lt;=结账锁),"※日期早于已结账截止日，不能再录",IF(AND($K3330="自用消耗",COUNTIF({"一矿区";"二矿区"},$L3330)=0),"※自用消耗的去向只能是一矿区或二矿区",IF(AND($K3330="对外销售",COUNTIF({"三矿区";"六矿区"},$L3330)=0),"※对外销售的去向只能是三矿区或六矿区",IF(AND($K3330="对外销售",ROUND($Q3330,0)=0),"※外销却没有售价，请填实际售价",IF(AND($K3330="对外销售",$T3330&lt;&gt;"",$T3330&lt;0),"※这一笔外销是亏的，请核对售价",IF(IFERROR(VLOOKUP($D3330,库存台账!$A$5:$Y$1204,24,0),0)&lt;-0.001,"※这个物料账面已经变成负数了，查一下是不是漏记入库","")))))))))))</f>
        <v/>
      </c>
    </row>
    <row r="3331">
      <c r="A3331" s="24">
        <f>IF($D3331="","",COUNTA($D$4:$D3331))</f>
        <v/>
      </c>
      <c r="B3331" s="17" t="n"/>
      <c r="C3331" s="30" t="n"/>
      <c r="D3331" s="17" t="n"/>
      <c r="E3331" s="24">
        <f>IF($D3331="","",IFERROR(VLOOKUP($D3331,物料档案!$A$4:$P$1203,3,0),"※编码不在物料档案里"))</f>
        <v/>
      </c>
      <c r="F3331" s="24">
        <f>IF($D3331="","",IFERROR(VLOOKUP($D3331,物料档案!$A$4:$P$1203,4,0),"※编码不在物料档案里"))</f>
        <v/>
      </c>
      <c r="G3331" s="24">
        <f>IF($D3331="","",IFERROR(VLOOKUP($D3331,物料档案!$A$4:$P$1203,5,0),"※编码不在物料档案里"))</f>
        <v/>
      </c>
      <c r="H3331" s="24">
        <f>IF($D3331="","",IFERROR(VLOOKUP($D3331,物料档案!$A$4:$P$1203,2,0),"※编码不在物料档案里"))</f>
        <v/>
      </c>
      <c r="I3331" s="24">
        <f>IF($D3331="","",IFERROR(VLOOKUP($D3331,物料档案!$A$4:$P$1203,6,0),"※编码不在物料档案里"))</f>
        <v/>
      </c>
      <c r="J3331" s="23" t="n"/>
      <c r="K3331" s="17" t="n"/>
      <c r="L3331" s="17" t="n"/>
      <c r="M3331" s="17" t="n"/>
      <c r="N3331" s="17" t="n"/>
      <c r="O3331" s="26">
        <f>IF($D3331="","",IFERROR(VLOOKUP($D3331,物料档案!$A$4:$P$1203,10,0),0))</f>
        <v/>
      </c>
      <c r="P3331" s="32" t="n"/>
      <c r="Q3331" s="26">
        <f>IF($D3331="","",IF($K3331&lt;&gt;"对外销售",0,ROUND(N($J3331)*IF($P3331="",N($O3331),N($P3331)),0)))</f>
        <v/>
      </c>
      <c r="R3331" s="26">
        <f>IF($D3331="","",IFERROR(VLOOKUP($D3331,库存台账!$A$5:$Y$1204,11,0),0))</f>
        <v/>
      </c>
      <c r="S3331" s="26">
        <f>IF($D3331="","",ROUND(N($J3331)*N($R3331),0))</f>
        <v/>
      </c>
      <c r="T3331" s="26">
        <f>IF($D3331="","",IF($K3331&lt;&gt;"对外销售","",ROUND($Q3331-$S3331,0)))</f>
        <v/>
      </c>
      <c r="U3331" s="17" t="n"/>
      <c r="V3331" s="17" t="n"/>
      <c r="W3331" s="24">
        <f>IF($D3331="","",IF($E3331="※编码不在物料档案里","※物料编码不在档案里",IF(N($J3331)&lt;=0,"※出库数量要大于 0",IF($K3331="","※没填去向类型",IF($L3331="","※没填去向矿区",IF(AND($C3331&lt;&gt;"",$C3331&lt;=结账锁),"※日期早于已结账截止日，不能再录",IF(AND($K3331="自用消耗",COUNTIF({"一矿区";"二矿区"},$L3331)=0),"※自用消耗的去向只能是一矿区或二矿区",IF(AND($K3331="对外销售",COUNTIF({"三矿区";"六矿区"},$L3331)=0),"※对外销售的去向只能是三矿区或六矿区",IF(AND($K3331="对外销售",ROUND($Q3331,0)=0),"※外销却没有售价，请填实际售价",IF(AND($K3331="对外销售",$T3331&lt;&gt;"",$T3331&lt;0),"※这一笔外销是亏的，请核对售价",IF(IFERROR(VLOOKUP($D3331,库存台账!$A$5:$Y$1204,24,0),0)&lt;-0.001,"※这个物料账面已经变成负数了，查一下是不是漏记入库","")))))))))))</f>
        <v/>
      </c>
    </row>
    <row r="3332">
      <c r="A3332" s="24">
        <f>IF($D3332="","",COUNTA($D$4:$D3332))</f>
        <v/>
      </c>
      <c r="B3332" s="17" t="n"/>
      <c r="C3332" s="30" t="n"/>
      <c r="D3332" s="17" t="n"/>
      <c r="E3332" s="24">
        <f>IF($D3332="","",IFERROR(VLOOKUP($D3332,物料档案!$A$4:$P$1203,3,0),"※编码不在物料档案里"))</f>
        <v/>
      </c>
      <c r="F3332" s="24">
        <f>IF($D3332="","",IFERROR(VLOOKUP($D3332,物料档案!$A$4:$P$1203,4,0),"※编码不在物料档案里"))</f>
        <v/>
      </c>
      <c r="G3332" s="24">
        <f>IF($D3332="","",IFERROR(VLOOKUP($D3332,物料档案!$A$4:$P$1203,5,0),"※编码不在物料档案里"))</f>
        <v/>
      </c>
      <c r="H3332" s="24">
        <f>IF($D3332="","",IFERROR(VLOOKUP($D3332,物料档案!$A$4:$P$1203,2,0),"※编码不在物料档案里"))</f>
        <v/>
      </c>
      <c r="I3332" s="24">
        <f>IF($D3332="","",IFERROR(VLOOKUP($D3332,物料档案!$A$4:$P$1203,6,0),"※编码不在物料档案里"))</f>
        <v/>
      </c>
      <c r="J3332" s="23" t="n"/>
      <c r="K3332" s="17" t="n"/>
      <c r="L3332" s="17" t="n"/>
      <c r="M3332" s="17" t="n"/>
      <c r="N3332" s="17" t="n"/>
      <c r="O3332" s="26">
        <f>IF($D3332="","",IFERROR(VLOOKUP($D3332,物料档案!$A$4:$P$1203,10,0),0))</f>
        <v/>
      </c>
      <c r="P3332" s="32" t="n"/>
      <c r="Q3332" s="26">
        <f>IF($D3332="","",IF($K3332&lt;&gt;"对外销售",0,ROUND(N($J3332)*IF($P3332="",N($O3332),N($P3332)),0)))</f>
        <v/>
      </c>
      <c r="R3332" s="26">
        <f>IF($D3332="","",IFERROR(VLOOKUP($D3332,库存台账!$A$5:$Y$1204,11,0),0))</f>
        <v/>
      </c>
      <c r="S3332" s="26">
        <f>IF($D3332="","",ROUND(N($J3332)*N($R3332),0))</f>
        <v/>
      </c>
      <c r="T3332" s="26">
        <f>IF($D3332="","",IF($K3332&lt;&gt;"对外销售","",ROUND($Q3332-$S3332,0)))</f>
        <v/>
      </c>
      <c r="U3332" s="17" t="n"/>
      <c r="V3332" s="17" t="n"/>
      <c r="W3332" s="24">
        <f>IF($D3332="","",IF($E3332="※编码不在物料档案里","※物料编码不在档案里",IF(N($J3332)&lt;=0,"※出库数量要大于 0",IF($K3332="","※没填去向类型",IF($L3332="","※没填去向矿区",IF(AND($C3332&lt;&gt;"",$C3332&lt;=结账锁),"※日期早于已结账截止日，不能再录",IF(AND($K3332="自用消耗",COUNTIF({"一矿区";"二矿区"},$L3332)=0),"※自用消耗的去向只能是一矿区或二矿区",IF(AND($K3332="对外销售",COUNTIF({"三矿区";"六矿区"},$L3332)=0),"※对外销售的去向只能是三矿区或六矿区",IF(AND($K3332="对外销售",ROUND($Q3332,0)=0),"※外销却没有售价，请填实际售价",IF(AND($K3332="对外销售",$T3332&lt;&gt;"",$T3332&lt;0),"※这一笔外销是亏的，请核对售价",IF(IFERROR(VLOOKUP($D3332,库存台账!$A$5:$Y$1204,24,0),0)&lt;-0.001,"※这个物料账面已经变成负数了，查一下是不是漏记入库","")))))))))))</f>
        <v/>
      </c>
    </row>
    <row r="3333">
      <c r="A3333" s="24">
        <f>IF($D3333="","",COUNTA($D$4:$D3333))</f>
        <v/>
      </c>
      <c r="B3333" s="17" t="n"/>
      <c r="C3333" s="30" t="n"/>
      <c r="D3333" s="17" t="n"/>
      <c r="E3333" s="24">
        <f>IF($D3333="","",IFERROR(VLOOKUP($D3333,物料档案!$A$4:$P$1203,3,0),"※编码不在物料档案里"))</f>
        <v/>
      </c>
      <c r="F3333" s="24">
        <f>IF($D3333="","",IFERROR(VLOOKUP($D3333,物料档案!$A$4:$P$1203,4,0),"※编码不在物料档案里"))</f>
        <v/>
      </c>
      <c r="G3333" s="24">
        <f>IF($D3333="","",IFERROR(VLOOKUP($D3333,物料档案!$A$4:$P$1203,5,0),"※编码不在物料档案里"))</f>
        <v/>
      </c>
      <c r="H3333" s="24">
        <f>IF($D3333="","",IFERROR(VLOOKUP($D3333,物料档案!$A$4:$P$1203,2,0),"※编码不在物料档案里"))</f>
        <v/>
      </c>
      <c r="I3333" s="24">
        <f>IF($D3333="","",IFERROR(VLOOKUP($D3333,物料档案!$A$4:$P$1203,6,0),"※编码不在物料档案里"))</f>
        <v/>
      </c>
      <c r="J3333" s="23" t="n"/>
      <c r="K3333" s="17" t="n"/>
      <c r="L3333" s="17" t="n"/>
      <c r="M3333" s="17" t="n"/>
      <c r="N3333" s="17" t="n"/>
      <c r="O3333" s="26">
        <f>IF($D3333="","",IFERROR(VLOOKUP($D3333,物料档案!$A$4:$P$1203,10,0),0))</f>
        <v/>
      </c>
      <c r="P3333" s="32" t="n"/>
      <c r="Q3333" s="26">
        <f>IF($D3333="","",IF($K3333&lt;&gt;"对外销售",0,ROUND(N($J3333)*IF($P3333="",N($O3333),N($P3333)),0)))</f>
        <v/>
      </c>
      <c r="R3333" s="26">
        <f>IF($D3333="","",IFERROR(VLOOKUP($D3333,库存台账!$A$5:$Y$1204,11,0),0))</f>
        <v/>
      </c>
      <c r="S3333" s="26">
        <f>IF($D3333="","",ROUND(N($J3333)*N($R3333),0))</f>
        <v/>
      </c>
      <c r="T3333" s="26">
        <f>IF($D3333="","",IF($K3333&lt;&gt;"对外销售","",ROUND($Q3333-$S3333,0)))</f>
        <v/>
      </c>
      <c r="U3333" s="17" t="n"/>
      <c r="V3333" s="17" t="n"/>
      <c r="W3333" s="24">
        <f>IF($D3333="","",IF($E3333="※编码不在物料档案里","※物料编码不在档案里",IF(N($J3333)&lt;=0,"※出库数量要大于 0",IF($K3333="","※没填去向类型",IF($L3333="","※没填去向矿区",IF(AND($C3333&lt;&gt;"",$C3333&lt;=结账锁),"※日期早于已结账截止日，不能再录",IF(AND($K3333="自用消耗",COUNTIF({"一矿区";"二矿区"},$L3333)=0),"※自用消耗的去向只能是一矿区或二矿区",IF(AND($K3333="对外销售",COUNTIF({"三矿区";"六矿区"},$L3333)=0),"※对外销售的去向只能是三矿区或六矿区",IF(AND($K3333="对外销售",ROUND($Q3333,0)=0),"※外销却没有售价，请填实际售价",IF(AND($K3333="对外销售",$T3333&lt;&gt;"",$T3333&lt;0),"※这一笔外销是亏的，请核对售价",IF(IFERROR(VLOOKUP($D3333,库存台账!$A$5:$Y$1204,24,0),0)&lt;-0.001,"※这个物料账面已经变成负数了，查一下是不是漏记入库","")))))))))))</f>
        <v/>
      </c>
    </row>
    <row r="3334">
      <c r="A3334" s="24">
        <f>IF($D3334="","",COUNTA($D$4:$D3334))</f>
        <v/>
      </c>
      <c r="B3334" s="17" t="n"/>
      <c r="C3334" s="30" t="n"/>
      <c r="D3334" s="17" t="n"/>
      <c r="E3334" s="24">
        <f>IF($D3334="","",IFERROR(VLOOKUP($D3334,物料档案!$A$4:$P$1203,3,0),"※编码不在物料档案里"))</f>
        <v/>
      </c>
      <c r="F3334" s="24">
        <f>IF($D3334="","",IFERROR(VLOOKUP($D3334,物料档案!$A$4:$P$1203,4,0),"※编码不在物料档案里"))</f>
        <v/>
      </c>
      <c r="G3334" s="24">
        <f>IF($D3334="","",IFERROR(VLOOKUP($D3334,物料档案!$A$4:$P$1203,5,0),"※编码不在物料档案里"))</f>
        <v/>
      </c>
      <c r="H3334" s="24">
        <f>IF($D3334="","",IFERROR(VLOOKUP($D3334,物料档案!$A$4:$P$1203,2,0),"※编码不在物料档案里"))</f>
        <v/>
      </c>
      <c r="I3334" s="24">
        <f>IF($D3334="","",IFERROR(VLOOKUP($D3334,物料档案!$A$4:$P$1203,6,0),"※编码不在物料档案里"))</f>
        <v/>
      </c>
      <c r="J3334" s="23" t="n"/>
      <c r="K3334" s="17" t="n"/>
      <c r="L3334" s="17" t="n"/>
      <c r="M3334" s="17" t="n"/>
      <c r="N3334" s="17" t="n"/>
      <c r="O3334" s="26">
        <f>IF($D3334="","",IFERROR(VLOOKUP($D3334,物料档案!$A$4:$P$1203,10,0),0))</f>
        <v/>
      </c>
      <c r="P3334" s="32" t="n"/>
      <c r="Q3334" s="26">
        <f>IF($D3334="","",IF($K3334&lt;&gt;"对外销售",0,ROUND(N($J3334)*IF($P3334="",N($O3334),N($P3334)),0)))</f>
        <v/>
      </c>
      <c r="R3334" s="26">
        <f>IF($D3334="","",IFERROR(VLOOKUP($D3334,库存台账!$A$5:$Y$1204,11,0),0))</f>
        <v/>
      </c>
      <c r="S3334" s="26">
        <f>IF($D3334="","",ROUND(N($J3334)*N($R3334),0))</f>
        <v/>
      </c>
      <c r="T3334" s="26">
        <f>IF($D3334="","",IF($K3334&lt;&gt;"对外销售","",ROUND($Q3334-$S3334,0)))</f>
        <v/>
      </c>
      <c r="U3334" s="17" t="n"/>
      <c r="V3334" s="17" t="n"/>
      <c r="W3334" s="24">
        <f>IF($D3334="","",IF($E3334="※编码不在物料档案里","※物料编码不在档案里",IF(N($J3334)&lt;=0,"※出库数量要大于 0",IF($K3334="","※没填去向类型",IF($L3334="","※没填去向矿区",IF(AND($C3334&lt;&gt;"",$C3334&lt;=结账锁),"※日期早于已结账截止日，不能再录",IF(AND($K3334="自用消耗",COUNTIF({"一矿区";"二矿区"},$L3334)=0),"※自用消耗的去向只能是一矿区或二矿区",IF(AND($K3334="对外销售",COUNTIF({"三矿区";"六矿区"},$L3334)=0),"※对外销售的去向只能是三矿区或六矿区",IF(AND($K3334="对外销售",ROUND($Q3334,0)=0),"※外销却没有售价，请填实际售价",IF(AND($K3334="对外销售",$T3334&lt;&gt;"",$T3334&lt;0),"※这一笔外销是亏的，请核对售价",IF(IFERROR(VLOOKUP($D3334,库存台账!$A$5:$Y$1204,24,0),0)&lt;-0.001,"※这个物料账面已经变成负数了，查一下是不是漏记入库","")))))))))))</f>
        <v/>
      </c>
    </row>
    <row r="3335">
      <c r="A3335" s="24">
        <f>IF($D3335="","",COUNTA($D$4:$D3335))</f>
        <v/>
      </c>
      <c r="B3335" s="17" t="n"/>
      <c r="C3335" s="30" t="n"/>
      <c r="D3335" s="17" t="n"/>
      <c r="E3335" s="24">
        <f>IF($D3335="","",IFERROR(VLOOKUP($D3335,物料档案!$A$4:$P$1203,3,0),"※编码不在物料档案里"))</f>
        <v/>
      </c>
      <c r="F3335" s="24">
        <f>IF($D3335="","",IFERROR(VLOOKUP($D3335,物料档案!$A$4:$P$1203,4,0),"※编码不在物料档案里"))</f>
        <v/>
      </c>
      <c r="G3335" s="24">
        <f>IF($D3335="","",IFERROR(VLOOKUP($D3335,物料档案!$A$4:$P$1203,5,0),"※编码不在物料档案里"))</f>
        <v/>
      </c>
      <c r="H3335" s="24">
        <f>IF($D3335="","",IFERROR(VLOOKUP($D3335,物料档案!$A$4:$P$1203,2,0),"※编码不在物料档案里"))</f>
        <v/>
      </c>
      <c r="I3335" s="24">
        <f>IF($D3335="","",IFERROR(VLOOKUP($D3335,物料档案!$A$4:$P$1203,6,0),"※编码不在物料档案里"))</f>
        <v/>
      </c>
      <c r="J3335" s="23" t="n"/>
      <c r="K3335" s="17" t="n"/>
      <c r="L3335" s="17" t="n"/>
      <c r="M3335" s="17" t="n"/>
      <c r="N3335" s="17" t="n"/>
      <c r="O3335" s="26">
        <f>IF($D3335="","",IFERROR(VLOOKUP($D3335,物料档案!$A$4:$P$1203,10,0),0))</f>
        <v/>
      </c>
      <c r="P3335" s="32" t="n"/>
      <c r="Q3335" s="26">
        <f>IF($D3335="","",IF($K3335&lt;&gt;"对外销售",0,ROUND(N($J3335)*IF($P3335="",N($O3335),N($P3335)),0)))</f>
        <v/>
      </c>
      <c r="R3335" s="26">
        <f>IF($D3335="","",IFERROR(VLOOKUP($D3335,库存台账!$A$5:$Y$1204,11,0),0))</f>
        <v/>
      </c>
      <c r="S3335" s="26">
        <f>IF($D3335="","",ROUND(N($J3335)*N($R3335),0))</f>
        <v/>
      </c>
      <c r="T3335" s="26">
        <f>IF($D3335="","",IF($K3335&lt;&gt;"对外销售","",ROUND($Q3335-$S3335,0)))</f>
        <v/>
      </c>
      <c r="U3335" s="17" t="n"/>
      <c r="V3335" s="17" t="n"/>
      <c r="W3335" s="24">
        <f>IF($D3335="","",IF($E3335="※编码不在物料档案里","※物料编码不在档案里",IF(N($J3335)&lt;=0,"※出库数量要大于 0",IF($K3335="","※没填去向类型",IF($L3335="","※没填去向矿区",IF(AND($C3335&lt;&gt;"",$C3335&lt;=结账锁),"※日期早于已结账截止日，不能再录",IF(AND($K3335="自用消耗",COUNTIF({"一矿区";"二矿区"},$L3335)=0),"※自用消耗的去向只能是一矿区或二矿区",IF(AND($K3335="对外销售",COUNTIF({"三矿区";"六矿区"},$L3335)=0),"※对外销售的去向只能是三矿区或六矿区",IF(AND($K3335="对外销售",ROUND($Q3335,0)=0),"※外销却没有售价，请填实际售价",IF(AND($K3335="对外销售",$T3335&lt;&gt;"",$T3335&lt;0),"※这一笔外销是亏的，请核对售价",IF(IFERROR(VLOOKUP($D3335,库存台账!$A$5:$Y$1204,24,0),0)&lt;-0.001,"※这个物料账面已经变成负数了，查一下是不是漏记入库","")))))))))))</f>
        <v/>
      </c>
    </row>
    <row r="3336">
      <c r="A3336" s="24">
        <f>IF($D3336="","",COUNTA($D$4:$D3336))</f>
        <v/>
      </c>
      <c r="B3336" s="17" t="n"/>
      <c r="C3336" s="30" t="n"/>
      <c r="D3336" s="17" t="n"/>
      <c r="E3336" s="24">
        <f>IF($D3336="","",IFERROR(VLOOKUP($D3336,物料档案!$A$4:$P$1203,3,0),"※编码不在物料档案里"))</f>
        <v/>
      </c>
      <c r="F3336" s="24">
        <f>IF($D3336="","",IFERROR(VLOOKUP($D3336,物料档案!$A$4:$P$1203,4,0),"※编码不在物料档案里"))</f>
        <v/>
      </c>
      <c r="G3336" s="24">
        <f>IF($D3336="","",IFERROR(VLOOKUP($D3336,物料档案!$A$4:$P$1203,5,0),"※编码不在物料档案里"))</f>
        <v/>
      </c>
      <c r="H3336" s="24">
        <f>IF($D3336="","",IFERROR(VLOOKUP($D3336,物料档案!$A$4:$P$1203,2,0),"※编码不在物料档案里"))</f>
        <v/>
      </c>
      <c r="I3336" s="24">
        <f>IF($D3336="","",IFERROR(VLOOKUP($D3336,物料档案!$A$4:$P$1203,6,0),"※编码不在物料档案里"))</f>
        <v/>
      </c>
      <c r="J3336" s="23" t="n"/>
      <c r="K3336" s="17" t="n"/>
      <c r="L3336" s="17" t="n"/>
      <c r="M3336" s="17" t="n"/>
      <c r="N3336" s="17" t="n"/>
      <c r="O3336" s="26">
        <f>IF($D3336="","",IFERROR(VLOOKUP($D3336,物料档案!$A$4:$P$1203,10,0),0))</f>
        <v/>
      </c>
      <c r="P3336" s="32" t="n"/>
      <c r="Q3336" s="26">
        <f>IF($D3336="","",IF($K3336&lt;&gt;"对外销售",0,ROUND(N($J3336)*IF($P3336="",N($O3336),N($P3336)),0)))</f>
        <v/>
      </c>
      <c r="R3336" s="26">
        <f>IF($D3336="","",IFERROR(VLOOKUP($D3336,库存台账!$A$5:$Y$1204,11,0),0))</f>
        <v/>
      </c>
      <c r="S3336" s="26">
        <f>IF($D3336="","",ROUND(N($J3336)*N($R3336),0))</f>
        <v/>
      </c>
      <c r="T3336" s="26">
        <f>IF($D3336="","",IF($K3336&lt;&gt;"对外销售","",ROUND($Q3336-$S3336,0)))</f>
        <v/>
      </c>
      <c r="U3336" s="17" t="n"/>
      <c r="V3336" s="17" t="n"/>
      <c r="W3336" s="24">
        <f>IF($D3336="","",IF($E3336="※编码不在物料档案里","※物料编码不在档案里",IF(N($J3336)&lt;=0,"※出库数量要大于 0",IF($K3336="","※没填去向类型",IF($L3336="","※没填去向矿区",IF(AND($C3336&lt;&gt;"",$C3336&lt;=结账锁),"※日期早于已结账截止日，不能再录",IF(AND($K3336="自用消耗",COUNTIF({"一矿区";"二矿区"},$L3336)=0),"※自用消耗的去向只能是一矿区或二矿区",IF(AND($K3336="对外销售",COUNTIF({"三矿区";"六矿区"},$L3336)=0),"※对外销售的去向只能是三矿区或六矿区",IF(AND($K3336="对外销售",ROUND($Q3336,0)=0),"※外销却没有售价，请填实际售价",IF(AND($K3336="对外销售",$T3336&lt;&gt;"",$T3336&lt;0),"※这一笔外销是亏的，请核对售价",IF(IFERROR(VLOOKUP($D3336,库存台账!$A$5:$Y$1204,24,0),0)&lt;-0.001,"※这个物料账面已经变成负数了，查一下是不是漏记入库","")))))))))))</f>
        <v/>
      </c>
    </row>
    <row r="3337">
      <c r="A3337" s="24">
        <f>IF($D3337="","",COUNTA($D$4:$D3337))</f>
        <v/>
      </c>
      <c r="B3337" s="17" t="n"/>
      <c r="C3337" s="30" t="n"/>
      <c r="D3337" s="17" t="n"/>
      <c r="E3337" s="24">
        <f>IF($D3337="","",IFERROR(VLOOKUP($D3337,物料档案!$A$4:$P$1203,3,0),"※编码不在物料档案里"))</f>
        <v/>
      </c>
      <c r="F3337" s="24">
        <f>IF($D3337="","",IFERROR(VLOOKUP($D3337,物料档案!$A$4:$P$1203,4,0),"※编码不在物料档案里"))</f>
        <v/>
      </c>
      <c r="G3337" s="24">
        <f>IF($D3337="","",IFERROR(VLOOKUP($D3337,物料档案!$A$4:$P$1203,5,0),"※编码不在物料档案里"))</f>
        <v/>
      </c>
      <c r="H3337" s="24">
        <f>IF($D3337="","",IFERROR(VLOOKUP($D3337,物料档案!$A$4:$P$1203,2,0),"※编码不在物料档案里"))</f>
        <v/>
      </c>
      <c r="I3337" s="24">
        <f>IF($D3337="","",IFERROR(VLOOKUP($D3337,物料档案!$A$4:$P$1203,6,0),"※编码不在物料档案里"))</f>
        <v/>
      </c>
      <c r="J3337" s="23" t="n"/>
      <c r="K3337" s="17" t="n"/>
      <c r="L3337" s="17" t="n"/>
      <c r="M3337" s="17" t="n"/>
      <c r="N3337" s="17" t="n"/>
      <c r="O3337" s="26">
        <f>IF($D3337="","",IFERROR(VLOOKUP($D3337,物料档案!$A$4:$P$1203,10,0),0))</f>
        <v/>
      </c>
      <c r="P3337" s="32" t="n"/>
      <c r="Q3337" s="26">
        <f>IF($D3337="","",IF($K3337&lt;&gt;"对外销售",0,ROUND(N($J3337)*IF($P3337="",N($O3337),N($P3337)),0)))</f>
        <v/>
      </c>
      <c r="R3337" s="26">
        <f>IF($D3337="","",IFERROR(VLOOKUP($D3337,库存台账!$A$5:$Y$1204,11,0),0))</f>
        <v/>
      </c>
      <c r="S3337" s="26">
        <f>IF($D3337="","",ROUND(N($J3337)*N($R3337),0))</f>
        <v/>
      </c>
      <c r="T3337" s="26">
        <f>IF($D3337="","",IF($K3337&lt;&gt;"对外销售","",ROUND($Q3337-$S3337,0)))</f>
        <v/>
      </c>
      <c r="U3337" s="17" t="n"/>
      <c r="V3337" s="17" t="n"/>
      <c r="W3337" s="24">
        <f>IF($D3337="","",IF($E3337="※编码不在物料档案里","※物料编码不在档案里",IF(N($J3337)&lt;=0,"※出库数量要大于 0",IF($K3337="","※没填去向类型",IF($L3337="","※没填去向矿区",IF(AND($C3337&lt;&gt;"",$C3337&lt;=结账锁),"※日期早于已结账截止日，不能再录",IF(AND($K3337="自用消耗",COUNTIF({"一矿区";"二矿区"},$L3337)=0),"※自用消耗的去向只能是一矿区或二矿区",IF(AND($K3337="对外销售",COUNTIF({"三矿区";"六矿区"},$L3337)=0),"※对外销售的去向只能是三矿区或六矿区",IF(AND($K3337="对外销售",ROUND($Q3337,0)=0),"※外销却没有售价，请填实际售价",IF(AND($K3337="对外销售",$T3337&lt;&gt;"",$T3337&lt;0),"※这一笔外销是亏的，请核对售价",IF(IFERROR(VLOOKUP($D3337,库存台账!$A$5:$Y$1204,24,0),0)&lt;-0.001,"※这个物料账面已经变成负数了，查一下是不是漏记入库","")))))))))))</f>
        <v/>
      </c>
    </row>
    <row r="3338">
      <c r="A3338" s="24">
        <f>IF($D3338="","",COUNTA($D$4:$D3338))</f>
        <v/>
      </c>
      <c r="B3338" s="17" t="n"/>
      <c r="C3338" s="30" t="n"/>
      <c r="D3338" s="17" t="n"/>
      <c r="E3338" s="24">
        <f>IF($D3338="","",IFERROR(VLOOKUP($D3338,物料档案!$A$4:$P$1203,3,0),"※编码不在物料档案里"))</f>
        <v/>
      </c>
      <c r="F3338" s="24">
        <f>IF($D3338="","",IFERROR(VLOOKUP($D3338,物料档案!$A$4:$P$1203,4,0),"※编码不在物料档案里"))</f>
        <v/>
      </c>
      <c r="G3338" s="24">
        <f>IF($D3338="","",IFERROR(VLOOKUP($D3338,物料档案!$A$4:$P$1203,5,0),"※编码不在物料档案里"))</f>
        <v/>
      </c>
      <c r="H3338" s="24">
        <f>IF($D3338="","",IFERROR(VLOOKUP($D3338,物料档案!$A$4:$P$1203,2,0),"※编码不在物料档案里"))</f>
        <v/>
      </c>
      <c r="I3338" s="24">
        <f>IF($D3338="","",IFERROR(VLOOKUP($D3338,物料档案!$A$4:$P$1203,6,0),"※编码不在物料档案里"))</f>
        <v/>
      </c>
      <c r="J3338" s="23" t="n"/>
      <c r="K3338" s="17" t="n"/>
      <c r="L3338" s="17" t="n"/>
      <c r="M3338" s="17" t="n"/>
      <c r="N3338" s="17" t="n"/>
      <c r="O3338" s="26">
        <f>IF($D3338="","",IFERROR(VLOOKUP($D3338,物料档案!$A$4:$P$1203,10,0),0))</f>
        <v/>
      </c>
      <c r="P3338" s="32" t="n"/>
      <c r="Q3338" s="26">
        <f>IF($D3338="","",IF($K3338&lt;&gt;"对外销售",0,ROUND(N($J3338)*IF($P3338="",N($O3338),N($P3338)),0)))</f>
        <v/>
      </c>
      <c r="R3338" s="26">
        <f>IF($D3338="","",IFERROR(VLOOKUP($D3338,库存台账!$A$5:$Y$1204,11,0),0))</f>
        <v/>
      </c>
      <c r="S3338" s="26">
        <f>IF($D3338="","",ROUND(N($J3338)*N($R3338),0))</f>
        <v/>
      </c>
      <c r="T3338" s="26">
        <f>IF($D3338="","",IF($K3338&lt;&gt;"对外销售","",ROUND($Q3338-$S3338,0)))</f>
        <v/>
      </c>
      <c r="U3338" s="17" t="n"/>
      <c r="V3338" s="17" t="n"/>
      <c r="W3338" s="24">
        <f>IF($D3338="","",IF($E3338="※编码不在物料档案里","※物料编码不在档案里",IF(N($J3338)&lt;=0,"※出库数量要大于 0",IF($K3338="","※没填去向类型",IF($L3338="","※没填去向矿区",IF(AND($C3338&lt;&gt;"",$C3338&lt;=结账锁),"※日期早于已结账截止日，不能再录",IF(AND($K3338="自用消耗",COUNTIF({"一矿区";"二矿区"},$L3338)=0),"※自用消耗的去向只能是一矿区或二矿区",IF(AND($K3338="对外销售",COUNTIF({"三矿区";"六矿区"},$L3338)=0),"※对外销售的去向只能是三矿区或六矿区",IF(AND($K3338="对外销售",ROUND($Q3338,0)=0),"※外销却没有售价，请填实际售价",IF(AND($K3338="对外销售",$T3338&lt;&gt;"",$T3338&lt;0),"※这一笔外销是亏的，请核对售价",IF(IFERROR(VLOOKUP($D3338,库存台账!$A$5:$Y$1204,24,0),0)&lt;-0.001,"※这个物料账面已经变成负数了，查一下是不是漏记入库","")))))))))))</f>
        <v/>
      </c>
    </row>
    <row r="3339">
      <c r="A3339" s="24">
        <f>IF($D3339="","",COUNTA($D$4:$D3339))</f>
        <v/>
      </c>
      <c r="B3339" s="17" t="n"/>
      <c r="C3339" s="30" t="n"/>
      <c r="D3339" s="17" t="n"/>
      <c r="E3339" s="24">
        <f>IF($D3339="","",IFERROR(VLOOKUP($D3339,物料档案!$A$4:$P$1203,3,0),"※编码不在物料档案里"))</f>
        <v/>
      </c>
      <c r="F3339" s="24">
        <f>IF($D3339="","",IFERROR(VLOOKUP($D3339,物料档案!$A$4:$P$1203,4,0),"※编码不在物料档案里"))</f>
        <v/>
      </c>
      <c r="G3339" s="24">
        <f>IF($D3339="","",IFERROR(VLOOKUP($D3339,物料档案!$A$4:$P$1203,5,0),"※编码不在物料档案里"))</f>
        <v/>
      </c>
      <c r="H3339" s="24">
        <f>IF($D3339="","",IFERROR(VLOOKUP($D3339,物料档案!$A$4:$P$1203,2,0),"※编码不在物料档案里"))</f>
        <v/>
      </c>
      <c r="I3339" s="24">
        <f>IF($D3339="","",IFERROR(VLOOKUP($D3339,物料档案!$A$4:$P$1203,6,0),"※编码不在物料档案里"))</f>
        <v/>
      </c>
      <c r="J3339" s="23" t="n"/>
      <c r="K3339" s="17" t="n"/>
      <c r="L3339" s="17" t="n"/>
      <c r="M3339" s="17" t="n"/>
      <c r="N3339" s="17" t="n"/>
      <c r="O3339" s="26">
        <f>IF($D3339="","",IFERROR(VLOOKUP($D3339,物料档案!$A$4:$P$1203,10,0),0))</f>
        <v/>
      </c>
      <c r="P3339" s="32" t="n"/>
      <c r="Q3339" s="26">
        <f>IF($D3339="","",IF($K3339&lt;&gt;"对外销售",0,ROUND(N($J3339)*IF($P3339="",N($O3339),N($P3339)),0)))</f>
        <v/>
      </c>
      <c r="R3339" s="26">
        <f>IF($D3339="","",IFERROR(VLOOKUP($D3339,库存台账!$A$5:$Y$1204,11,0),0))</f>
        <v/>
      </c>
      <c r="S3339" s="26">
        <f>IF($D3339="","",ROUND(N($J3339)*N($R3339),0))</f>
        <v/>
      </c>
      <c r="T3339" s="26">
        <f>IF($D3339="","",IF($K3339&lt;&gt;"对外销售","",ROUND($Q3339-$S3339,0)))</f>
        <v/>
      </c>
      <c r="U3339" s="17" t="n"/>
      <c r="V3339" s="17" t="n"/>
      <c r="W3339" s="24">
        <f>IF($D3339="","",IF($E3339="※编码不在物料档案里","※物料编码不在档案里",IF(N($J3339)&lt;=0,"※出库数量要大于 0",IF($K3339="","※没填去向类型",IF($L3339="","※没填去向矿区",IF(AND($C3339&lt;&gt;"",$C3339&lt;=结账锁),"※日期早于已结账截止日，不能再录",IF(AND($K3339="自用消耗",COUNTIF({"一矿区";"二矿区"},$L3339)=0),"※自用消耗的去向只能是一矿区或二矿区",IF(AND($K3339="对外销售",COUNTIF({"三矿区";"六矿区"},$L3339)=0),"※对外销售的去向只能是三矿区或六矿区",IF(AND($K3339="对外销售",ROUND($Q3339,0)=0),"※外销却没有售价，请填实际售价",IF(AND($K3339="对外销售",$T3339&lt;&gt;"",$T3339&lt;0),"※这一笔外销是亏的，请核对售价",IF(IFERROR(VLOOKUP($D3339,库存台账!$A$5:$Y$1204,24,0),0)&lt;-0.001,"※这个物料账面已经变成负数了，查一下是不是漏记入库","")))))))))))</f>
        <v/>
      </c>
    </row>
    <row r="3340">
      <c r="A3340" s="24">
        <f>IF($D3340="","",COUNTA($D$4:$D3340))</f>
        <v/>
      </c>
      <c r="B3340" s="17" t="n"/>
      <c r="C3340" s="30" t="n"/>
      <c r="D3340" s="17" t="n"/>
      <c r="E3340" s="24">
        <f>IF($D3340="","",IFERROR(VLOOKUP($D3340,物料档案!$A$4:$P$1203,3,0),"※编码不在物料档案里"))</f>
        <v/>
      </c>
      <c r="F3340" s="24">
        <f>IF($D3340="","",IFERROR(VLOOKUP($D3340,物料档案!$A$4:$P$1203,4,0),"※编码不在物料档案里"))</f>
        <v/>
      </c>
      <c r="G3340" s="24">
        <f>IF($D3340="","",IFERROR(VLOOKUP($D3340,物料档案!$A$4:$P$1203,5,0),"※编码不在物料档案里"))</f>
        <v/>
      </c>
      <c r="H3340" s="24">
        <f>IF($D3340="","",IFERROR(VLOOKUP($D3340,物料档案!$A$4:$P$1203,2,0),"※编码不在物料档案里"))</f>
        <v/>
      </c>
      <c r="I3340" s="24">
        <f>IF($D3340="","",IFERROR(VLOOKUP($D3340,物料档案!$A$4:$P$1203,6,0),"※编码不在物料档案里"))</f>
        <v/>
      </c>
      <c r="J3340" s="23" t="n"/>
      <c r="K3340" s="17" t="n"/>
      <c r="L3340" s="17" t="n"/>
      <c r="M3340" s="17" t="n"/>
      <c r="N3340" s="17" t="n"/>
      <c r="O3340" s="26">
        <f>IF($D3340="","",IFERROR(VLOOKUP($D3340,物料档案!$A$4:$P$1203,10,0),0))</f>
        <v/>
      </c>
      <c r="P3340" s="32" t="n"/>
      <c r="Q3340" s="26">
        <f>IF($D3340="","",IF($K3340&lt;&gt;"对外销售",0,ROUND(N($J3340)*IF($P3340="",N($O3340),N($P3340)),0)))</f>
        <v/>
      </c>
      <c r="R3340" s="26">
        <f>IF($D3340="","",IFERROR(VLOOKUP($D3340,库存台账!$A$5:$Y$1204,11,0),0))</f>
        <v/>
      </c>
      <c r="S3340" s="26">
        <f>IF($D3340="","",ROUND(N($J3340)*N($R3340),0))</f>
        <v/>
      </c>
      <c r="T3340" s="26">
        <f>IF($D3340="","",IF($K3340&lt;&gt;"对外销售","",ROUND($Q3340-$S3340,0)))</f>
        <v/>
      </c>
      <c r="U3340" s="17" t="n"/>
      <c r="V3340" s="17" t="n"/>
      <c r="W3340" s="24">
        <f>IF($D3340="","",IF($E3340="※编码不在物料档案里","※物料编码不在档案里",IF(N($J3340)&lt;=0,"※出库数量要大于 0",IF($K3340="","※没填去向类型",IF($L3340="","※没填去向矿区",IF(AND($C3340&lt;&gt;"",$C3340&lt;=结账锁),"※日期早于已结账截止日，不能再录",IF(AND($K3340="自用消耗",COUNTIF({"一矿区";"二矿区"},$L3340)=0),"※自用消耗的去向只能是一矿区或二矿区",IF(AND($K3340="对外销售",COUNTIF({"三矿区";"六矿区"},$L3340)=0),"※对外销售的去向只能是三矿区或六矿区",IF(AND($K3340="对外销售",ROUND($Q3340,0)=0),"※外销却没有售价，请填实际售价",IF(AND($K3340="对外销售",$T3340&lt;&gt;"",$T3340&lt;0),"※这一笔外销是亏的，请核对售价",IF(IFERROR(VLOOKUP($D3340,库存台账!$A$5:$Y$1204,24,0),0)&lt;-0.001,"※这个物料账面已经变成负数了，查一下是不是漏记入库","")))))))))))</f>
        <v/>
      </c>
    </row>
    <row r="3341">
      <c r="A3341" s="24">
        <f>IF($D3341="","",COUNTA($D$4:$D3341))</f>
        <v/>
      </c>
      <c r="B3341" s="17" t="n"/>
      <c r="C3341" s="30" t="n"/>
      <c r="D3341" s="17" t="n"/>
      <c r="E3341" s="24">
        <f>IF($D3341="","",IFERROR(VLOOKUP($D3341,物料档案!$A$4:$P$1203,3,0),"※编码不在物料档案里"))</f>
        <v/>
      </c>
      <c r="F3341" s="24">
        <f>IF($D3341="","",IFERROR(VLOOKUP($D3341,物料档案!$A$4:$P$1203,4,0),"※编码不在物料档案里"))</f>
        <v/>
      </c>
      <c r="G3341" s="24">
        <f>IF($D3341="","",IFERROR(VLOOKUP($D3341,物料档案!$A$4:$P$1203,5,0),"※编码不在物料档案里"))</f>
        <v/>
      </c>
      <c r="H3341" s="24">
        <f>IF($D3341="","",IFERROR(VLOOKUP($D3341,物料档案!$A$4:$P$1203,2,0),"※编码不在物料档案里"))</f>
        <v/>
      </c>
      <c r="I3341" s="24">
        <f>IF($D3341="","",IFERROR(VLOOKUP($D3341,物料档案!$A$4:$P$1203,6,0),"※编码不在物料档案里"))</f>
        <v/>
      </c>
      <c r="J3341" s="23" t="n"/>
      <c r="K3341" s="17" t="n"/>
      <c r="L3341" s="17" t="n"/>
      <c r="M3341" s="17" t="n"/>
      <c r="N3341" s="17" t="n"/>
      <c r="O3341" s="26">
        <f>IF($D3341="","",IFERROR(VLOOKUP($D3341,物料档案!$A$4:$P$1203,10,0),0))</f>
        <v/>
      </c>
      <c r="P3341" s="32" t="n"/>
      <c r="Q3341" s="26">
        <f>IF($D3341="","",IF($K3341&lt;&gt;"对外销售",0,ROUND(N($J3341)*IF($P3341="",N($O3341),N($P3341)),0)))</f>
        <v/>
      </c>
      <c r="R3341" s="26">
        <f>IF($D3341="","",IFERROR(VLOOKUP($D3341,库存台账!$A$5:$Y$1204,11,0),0))</f>
        <v/>
      </c>
      <c r="S3341" s="26">
        <f>IF($D3341="","",ROUND(N($J3341)*N($R3341),0))</f>
        <v/>
      </c>
      <c r="T3341" s="26">
        <f>IF($D3341="","",IF($K3341&lt;&gt;"对外销售","",ROUND($Q3341-$S3341,0)))</f>
        <v/>
      </c>
      <c r="U3341" s="17" t="n"/>
      <c r="V3341" s="17" t="n"/>
      <c r="W3341" s="24">
        <f>IF($D3341="","",IF($E3341="※编码不在物料档案里","※物料编码不在档案里",IF(N($J3341)&lt;=0,"※出库数量要大于 0",IF($K3341="","※没填去向类型",IF($L3341="","※没填去向矿区",IF(AND($C3341&lt;&gt;"",$C3341&lt;=结账锁),"※日期早于已结账截止日，不能再录",IF(AND($K3341="自用消耗",COUNTIF({"一矿区";"二矿区"},$L3341)=0),"※自用消耗的去向只能是一矿区或二矿区",IF(AND($K3341="对外销售",COUNTIF({"三矿区";"六矿区"},$L3341)=0),"※对外销售的去向只能是三矿区或六矿区",IF(AND($K3341="对外销售",ROUND($Q3341,0)=0),"※外销却没有售价，请填实际售价",IF(AND($K3341="对外销售",$T3341&lt;&gt;"",$T3341&lt;0),"※这一笔外销是亏的，请核对售价",IF(IFERROR(VLOOKUP($D3341,库存台账!$A$5:$Y$1204,24,0),0)&lt;-0.001,"※这个物料账面已经变成负数了，查一下是不是漏记入库","")))))))))))</f>
        <v/>
      </c>
    </row>
    <row r="3342">
      <c r="A3342" s="24">
        <f>IF($D3342="","",COUNTA($D$4:$D3342))</f>
        <v/>
      </c>
      <c r="B3342" s="17" t="n"/>
      <c r="C3342" s="30" t="n"/>
      <c r="D3342" s="17" t="n"/>
      <c r="E3342" s="24">
        <f>IF($D3342="","",IFERROR(VLOOKUP($D3342,物料档案!$A$4:$P$1203,3,0),"※编码不在物料档案里"))</f>
        <v/>
      </c>
      <c r="F3342" s="24">
        <f>IF($D3342="","",IFERROR(VLOOKUP($D3342,物料档案!$A$4:$P$1203,4,0),"※编码不在物料档案里"))</f>
        <v/>
      </c>
      <c r="G3342" s="24">
        <f>IF($D3342="","",IFERROR(VLOOKUP($D3342,物料档案!$A$4:$P$1203,5,0),"※编码不在物料档案里"))</f>
        <v/>
      </c>
      <c r="H3342" s="24">
        <f>IF($D3342="","",IFERROR(VLOOKUP($D3342,物料档案!$A$4:$P$1203,2,0),"※编码不在物料档案里"))</f>
        <v/>
      </c>
      <c r="I3342" s="24">
        <f>IF($D3342="","",IFERROR(VLOOKUP($D3342,物料档案!$A$4:$P$1203,6,0),"※编码不在物料档案里"))</f>
        <v/>
      </c>
      <c r="J3342" s="23" t="n"/>
      <c r="K3342" s="17" t="n"/>
      <c r="L3342" s="17" t="n"/>
      <c r="M3342" s="17" t="n"/>
      <c r="N3342" s="17" t="n"/>
      <c r="O3342" s="26">
        <f>IF($D3342="","",IFERROR(VLOOKUP($D3342,物料档案!$A$4:$P$1203,10,0),0))</f>
        <v/>
      </c>
      <c r="P3342" s="32" t="n"/>
      <c r="Q3342" s="26">
        <f>IF($D3342="","",IF($K3342&lt;&gt;"对外销售",0,ROUND(N($J3342)*IF($P3342="",N($O3342),N($P3342)),0)))</f>
        <v/>
      </c>
      <c r="R3342" s="26">
        <f>IF($D3342="","",IFERROR(VLOOKUP($D3342,库存台账!$A$5:$Y$1204,11,0),0))</f>
        <v/>
      </c>
      <c r="S3342" s="26">
        <f>IF($D3342="","",ROUND(N($J3342)*N($R3342),0))</f>
        <v/>
      </c>
      <c r="T3342" s="26">
        <f>IF($D3342="","",IF($K3342&lt;&gt;"对外销售","",ROUND($Q3342-$S3342,0)))</f>
        <v/>
      </c>
      <c r="U3342" s="17" t="n"/>
      <c r="V3342" s="17" t="n"/>
      <c r="W3342" s="24">
        <f>IF($D3342="","",IF($E3342="※编码不在物料档案里","※物料编码不在档案里",IF(N($J3342)&lt;=0,"※出库数量要大于 0",IF($K3342="","※没填去向类型",IF($L3342="","※没填去向矿区",IF(AND($C3342&lt;&gt;"",$C3342&lt;=结账锁),"※日期早于已结账截止日，不能再录",IF(AND($K3342="自用消耗",COUNTIF({"一矿区";"二矿区"},$L3342)=0),"※自用消耗的去向只能是一矿区或二矿区",IF(AND($K3342="对外销售",COUNTIF({"三矿区";"六矿区"},$L3342)=0),"※对外销售的去向只能是三矿区或六矿区",IF(AND($K3342="对外销售",ROUND($Q3342,0)=0),"※外销却没有售价，请填实际售价",IF(AND($K3342="对外销售",$T3342&lt;&gt;"",$T3342&lt;0),"※这一笔外销是亏的，请核对售价",IF(IFERROR(VLOOKUP($D3342,库存台账!$A$5:$Y$1204,24,0),0)&lt;-0.001,"※这个物料账面已经变成负数了，查一下是不是漏记入库","")))))))))))</f>
        <v/>
      </c>
    </row>
    <row r="3343">
      <c r="A3343" s="24">
        <f>IF($D3343="","",COUNTA($D$4:$D3343))</f>
        <v/>
      </c>
      <c r="B3343" s="17" t="n"/>
      <c r="C3343" s="30" t="n"/>
      <c r="D3343" s="17" t="n"/>
      <c r="E3343" s="24">
        <f>IF($D3343="","",IFERROR(VLOOKUP($D3343,物料档案!$A$4:$P$1203,3,0),"※编码不在物料档案里"))</f>
        <v/>
      </c>
      <c r="F3343" s="24">
        <f>IF($D3343="","",IFERROR(VLOOKUP($D3343,物料档案!$A$4:$P$1203,4,0),"※编码不在物料档案里"))</f>
        <v/>
      </c>
      <c r="G3343" s="24">
        <f>IF($D3343="","",IFERROR(VLOOKUP($D3343,物料档案!$A$4:$P$1203,5,0),"※编码不在物料档案里"))</f>
        <v/>
      </c>
      <c r="H3343" s="24">
        <f>IF($D3343="","",IFERROR(VLOOKUP($D3343,物料档案!$A$4:$P$1203,2,0),"※编码不在物料档案里"))</f>
        <v/>
      </c>
      <c r="I3343" s="24">
        <f>IF($D3343="","",IFERROR(VLOOKUP($D3343,物料档案!$A$4:$P$1203,6,0),"※编码不在物料档案里"))</f>
        <v/>
      </c>
      <c r="J3343" s="23" t="n"/>
      <c r="K3343" s="17" t="n"/>
      <c r="L3343" s="17" t="n"/>
      <c r="M3343" s="17" t="n"/>
      <c r="N3343" s="17" t="n"/>
      <c r="O3343" s="26">
        <f>IF($D3343="","",IFERROR(VLOOKUP($D3343,物料档案!$A$4:$P$1203,10,0),0))</f>
        <v/>
      </c>
      <c r="P3343" s="32" t="n"/>
      <c r="Q3343" s="26">
        <f>IF($D3343="","",IF($K3343&lt;&gt;"对外销售",0,ROUND(N($J3343)*IF($P3343="",N($O3343),N($P3343)),0)))</f>
        <v/>
      </c>
      <c r="R3343" s="26">
        <f>IF($D3343="","",IFERROR(VLOOKUP($D3343,库存台账!$A$5:$Y$1204,11,0),0))</f>
        <v/>
      </c>
      <c r="S3343" s="26">
        <f>IF($D3343="","",ROUND(N($J3343)*N($R3343),0))</f>
        <v/>
      </c>
      <c r="T3343" s="26">
        <f>IF($D3343="","",IF($K3343&lt;&gt;"对外销售","",ROUND($Q3343-$S3343,0)))</f>
        <v/>
      </c>
      <c r="U3343" s="17" t="n"/>
      <c r="V3343" s="17" t="n"/>
      <c r="W3343" s="24">
        <f>IF($D3343="","",IF($E3343="※编码不在物料档案里","※物料编码不在档案里",IF(N($J3343)&lt;=0,"※出库数量要大于 0",IF($K3343="","※没填去向类型",IF($L3343="","※没填去向矿区",IF(AND($C3343&lt;&gt;"",$C3343&lt;=结账锁),"※日期早于已结账截止日，不能再录",IF(AND($K3343="自用消耗",COUNTIF({"一矿区";"二矿区"},$L3343)=0),"※自用消耗的去向只能是一矿区或二矿区",IF(AND($K3343="对外销售",COUNTIF({"三矿区";"六矿区"},$L3343)=0),"※对外销售的去向只能是三矿区或六矿区",IF(AND($K3343="对外销售",ROUND($Q3343,0)=0),"※外销却没有售价，请填实际售价",IF(AND($K3343="对外销售",$T3343&lt;&gt;"",$T3343&lt;0),"※这一笔外销是亏的，请核对售价",IF(IFERROR(VLOOKUP($D3343,库存台账!$A$5:$Y$1204,24,0),0)&lt;-0.001,"※这个物料账面已经变成负数了，查一下是不是漏记入库","")))))))))))</f>
        <v/>
      </c>
    </row>
    <row r="3344">
      <c r="A3344" s="24">
        <f>IF($D3344="","",COUNTA($D$4:$D3344))</f>
        <v/>
      </c>
      <c r="B3344" s="17" t="n"/>
      <c r="C3344" s="30" t="n"/>
      <c r="D3344" s="17" t="n"/>
      <c r="E3344" s="24">
        <f>IF($D3344="","",IFERROR(VLOOKUP($D3344,物料档案!$A$4:$P$1203,3,0),"※编码不在物料档案里"))</f>
        <v/>
      </c>
      <c r="F3344" s="24">
        <f>IF($D3344="","",IFERROR(VLOOKUP($D3344,物料档案!$A$4:$P$1203,4,0),"※编码不在物料档案里"))</f>
        <v/>
      </c>
      <c r="G3344" s="24">
        <f>IF($D3344="","",IFERROR(VLOOKUP($D3344,物料档案!$A$4:$P$1203,5,0),"※编码不在物料档案里"))</f>
        <v/>
      </c>
      <c r="H3344" s="24">
        <f>IF($D3344="","",IFERROR(VLOOKUP($D3344,物料档案!$A$4:$P$1203,2,0),"※编码不在物料档案里"))</f>
        <v/>
      </c>
      <c r="I3344" s="24">
        <f>IF($D3344="","",IFERROR(VLOOKUP($D3344,物料档案!$A$4:$P$1203,6,0),"※编码不在物料档案里"))</f>
        <v/>
      </c>
      <c r="J3344" s="23" t="n"/>
      <c r="K3344" s="17" t="n"/>
      <c r="L3344" s="17" t="n"/>
      <c r="M3344" s="17" t="n"/>
      <c r="N3344" s="17" t="n"/>
      <c r="O3344" s="26">
        <f>IF($D3344="","",IFERROR(VLOOKUP($D3344,物料档案!$A$4:$P$1203,10,0),0))</f>
        <v/>
      </c>
      <c r="P3344" s="32" t="n"/>
      <c r="Q3344" s="26">
        <f>IF($D3344="","",IF($K3344&lt;&gt;"对外销售",0,ROUND(N($J3344)*IF($P3344="",N($O3344),N($P3344)),0)))</f>
        <v/>
      </c>
      <c r="R3344" s="26">
        <f>IF($D3344="","",IFERROR(VLOOKUP($D3344,库存台账!$A$5:$Y$1204,11,0),0))</f>
        <v/>
      </c>
      <c r="S3344" s="26">
        <f>IF($D3344="","",ROUND(N($J3344)*N($R3344),0))</f>
        <v/>
      </c>
      <c r="T3344" s="26">
        <f>IF($D3344="","",IF($K3344&lt;&gt;"对外销售","",ROUND($Q3344-$S3344,0)))</f>
        <v/>
      </c>
      <c r="U3344" s="17" t="n"/>
      <c r="V3344" s="17" t="n"/>
      <c r="W3344" s="24">
        <f>IF($D3344="","",IF($E3344="※编码不在物料档案里","※物料编码不在档案里",IF(N($J3344)&lt;=0,"※出库数量要大于 0",IF($K3344="","※没填去向类型",IF($L3344="","※没填去向矿区",IF(AND($C3344&lt;&gt;"",$C3344&lt;=结账锁),"※日期早于已结账截止日，不能再录",IF(AND($K3344="自用消耗",COUNTIF({"一矿区";"二矿区"},$L3344)=0),"※自用消耗的去向只能是一矿区或二矿区",IF(AND($K3344="对外销售",COUNTIF({"三矿区";"六矿区"},$L3344)=0),"※对外销售的去向只能是三矿区或六矿区",IF(AND($K3344="对外销售",ROUND($Q3344,0)=0),"※外销却没有售价，请填实际售价",IF(AND($K3344="对外销售",$T3344&lt;&gt;"",$T3344&lt;0),"※这一笔外销是亏的，请核对售价",IF(IFERROR(VLOOKUP($D3344,库存台账!$A$5:$Y$1204,24,0),0)&lt;-0.001,"※这个物料账面已经变成负数了，查一下是不是漏记入库","")))))))))))</f>
        <v/>
      </c>
    </row>
    <row r="3345">
      <c r="A3345" s="24">
        <f>IF($D3345="","",COUNTA($D$4:$D3345))</f>
        <v/>
      </c>
      <c r="B3345" s="17" t="n"/>
      <c r="C3345" s="30" t="n"/>
      <c r="D3345" s="17" t="n"/>
      <c r="E3345" s="24">
        <f>IF($D3345="","",IFERROR(VLOOKUP($D3345,物料档案!$A$4:$P$1203,3,0),"※编码不在物料档案里"))</f>
        <v/>
      </c>
      <c r="F3345" s="24">
        <f>IF($D3345="","",IFERROR(VLOOKUP($D3345,物料档案!$A$4:$P$1203,4,0),"※编码不在物料档案里"))</f>
        <v/>
      </c>
      <c r="G3345" s="24">
        <f>IF($D3345="","",IFERROR(VLOOKUP($D3345,物料档案!$A$4:$P$1203,5,0),"※编码不在物料档案里"))</f>
        <v/>
      </c>
      <c r="H3345" s="24">
        <f>IF($D3345="","",IFERROR(VLOOKUP($D3345,物料档案!$A$4:$P$1203,2,0),"※编码不在物料档案里"))</f>
        <v/>
      </c>
      <c r="I3345" s="24">
        <f>IF($D3345="","",IFERROR(VLOOKUP($D3345,物料档案!$A$4:$P$1203,6,0),"※编码不在物料档案里"))</f>
        <v/>
      </c>
      <c r="J3345" s="23" t="n"/>
      <c r="K3345" s="17" t="n"/>
      <c r="L3345" s="17" t="n"/>
      <c r="M3345" s="17" t="n"/>
      <c r="N3345" s="17" t="n"/>
      <c r="O3345" s="26">
        <f>IF($D3345="","",IFERROR(VLOOKUP($D3345,物料档案!$A$4:$P$1203,10,0),0))</f>
        <v/>
      </c>
      <c r="P3345" s="32" t="n"/>
      <c r="Q3345" s="26">
        <f>IF($D3345="","",IF($K3345&lt;&gt;"对外销售",0,ROUND(N($J3345)*IF($P3345="",N($O3345),N($P3345)),0)))</f>
        <v/>
      </c>
      <c r="R3345" s="26">
        <f>IF($D3345="","",IFERROR(VLOOKUP($D3345,库存台账!$A$5:$Y$1204,11,0),0))</f>
        <v/>
      </c>
      <c r="S3345" s="26">
        <f>IF($D3345="","",ROUND(N($J3345)*N($R3345),0))</f>
        <v/>
      </c>
      <c r="T3345" s="26">
        <f>IF($D3345="","",IF($K3345&lt;&gt;"对外销售","",ROUND($Q3345-$S3345,0)))</f>
        <v/>
      </c>
      <c r="U3345" s="17" t="n"/>
      <c r="V3345" s="17" t="n"/>
      <c r="W3345" s="24">
        <f>IF($D3345="","",IF($E3345="※编码不在物料档案里","※物料编码不在档案里",IF(N($J3345)&lt;=0,"※出库数量要大于 0",IF($K3345="","※没填去向类型",IF($L3345="","※没填去向矿区",IF(AND($C3345&lt;&gt;"",$C3345&lt;=结账锁),"※日期早于已结账截止日，不能再录",IF(AND($K3345="自用消耗",COUNTIF({"一矿区";"二矿区"},$L3345)=0),"※自用消耗的去向只能是一矿区或二矿区",IF(AND($K3345="对外销售",COUNTIF({"三矿区";"六矿区"},$L3345)=0),"※对外销售的去向只能是三矿区或六矿区",IF(AND($K3345="对外销售",ROUND($Q3345,0)=0),"※外销却没有售价，请填实际售价",IF(AND($K3345="对外销售",$T3345&lt;&gt;"",$T3345&lt;0),"※这一笔外销是亏的，请核对售价",IF(IFERROR(VLOOKUP($D3345,库存台账!$A$5:$Y$1204,24,0),0)&lt;-0.001,"※这个物料账面已经变成负数了，查一下是不是漏记入库","")))))))))))</f>
        <v/>
      </c>
    </row>
    <row r="3346">
      <c r="A3346" s="24">
        <f>IF($D3346="","",COUNTA($D$4:$D3346))</f>
        <v/>
      </c>
      <c r="B3346" s="17" t="n"/>
      <c r="C3346" s="30" t="n"/>
      <c r="D3346" s="17" t="n"/>
      <c r="E3346" s="24">
        <f>IF($D3346="","",IFERROR(VLOOKUP($D3346,物料档案!$A$4:$P$1203,3,0),"※编码不在物料档案里"))</f>
        <v/>
      </c>
      <c r="F3346" s="24">
        <f>IF($D3346="","",IFERROR(VLOOKUP($D3346,物料档案!$A$4:$P$1203,4,0),"※编码不在物料档案里"))</f>
        <v/>
      </c>
      <c r="G3346" s="24">
        <f>IF($D3346="","",IFERROR(VLOOKUP($D3346,物料档案!$A$4:$P$1203,5,0),"※编码不在物料档案里"))</f>
        <v/>
      </c>
      <c r="H3346" s="24">
        <f>IF($D3346="","",IFERROR(VLOOKUP($D3346,物料档案!$A$4:$P$1203,2,0),"※编码不在物料档案里"))</f>
        <v/>
      </c>
      <c r="I3346" s="24">
        <f>IF($D3346="","",IFERROR(VLOOKUP($D3346,物料档案!$A$4:$P$1203,6,0),"※编码不在物料档案里"))</f>
        <v/>
      </c>
      <c r="J3346" s="23" t="n"/>
      <c r="K3346" s="17" t="n"/>
      <c r="L3346" s="17" t="n"/>
      <c r="M3346" s="17" t="n"/>
      <c r="N3346" s="17" t="n"/>
      <c r="O3346" s="26">
        <f>IF($D3346="","",IFERROR(VLOOKUP($D3346,物料档案!$A$4:$P$1203,10,0),0))</f>
        <v/>
      </c>
      <c r="P3346" s="32" t="n"/>
      <c r="Q3346" s="26">
        <f>IF($D3346="","",IF($K3346&lt;&gt;"对外销售",0,ROUND(N($J3346)*IF($P3346="",N($O3346),N($P3346)),0)))</f>
        <v/>
      </c>
      <c r="R3346" s="26">
        <f>IF($D3346="","",IFERROR(VLOOKUP($D3346,库存台账!$A$5:$Y$1204,11,0),0))</f>
        <v/>
      </c>
      <c r="S3346" s="26">
        <f>IF($D3346="","",ROUND(N($J3346)*N($R3346),0))</f>
        <v/>
      </c>
      <c r="T3346" s="26">
        <f>IF($D3346="","",IF($K3346&lt;&gt;"对外销售","",ROUND($Q3346-$S3346,0)))</f>
        <v/>
      </c>
      <c r="U3346" s="17" t="n"/>
      <c r="V3346" s="17" t="n"/>
      <c r="W3346" s="24">
        <f>IF($D3346="","",IF($E3346="※编码不在物料档案里","※物料编码不在档案里",IF(N($J3346)&lt;=0,"※出库数量要大于 0",IF($K3346="","※没填去向类型",IF($L3346="","※没填去向矿区",IF(AND($C3346&lt;&gt;"",$C3346&lt;=结账锁),"※日期早于已结账截止日，不能再录",IF(AND($K3346="自用消耗",COUNTIF({"一矿区";"二矿区"},$L3346)=0),"※自用消耗的去向只能是一矿区或二矿区",IF(AND($K3346="对外销售",COUNTIF({"三矿区";"六矿区"},$L3346)=0),"※对外销售的去向只能是三矿区或六矿区",IF(AND($K3346="对外销售",ROUND($Q3346,0)=0),"※外销却没有售价，请填实际售价",IF(AND($K3346="对外销售",$T3346&lt;&gt;"",$T3346&lt;0),"※这一笔外销是亏的，请核对售价",IF(IFERROR(VLOOKUP($D3346,库存台账!$A$5:$Y$1204,24,0),0)&lt;-0.001,"※这个物料账面已经变成负数了，查一下是不是漏记入库","")))))))))))</f>
        <v/>
      </c>
    </row>
    <row r="3347">
      <c r="A3347" s="24">
        <f>IF($D3347="","",COUNTA($D$4:$D3347))</f>
        <v/>
      </c>
      <c r="B3347" s="17" t="n"/>
      <c r="C3347" s="30" t="n"/>
      <c r="D3347" s="17" t="n"/>
      <c r="E3347" s="24">
        <f>IF($D3347="","",IFERROR(VLOOKUP($D3347,物料档案!$A$4:$P$1203,3,0),"※编码不在物料档案里"))</f>
        <v/>
      </c>
      <c r="F3347" s="24">
        <f>IF($D3347="","",IFERROR(VLOOKUP($D3347,物料档案!$A$4:$P$1203,4,0),"※编码不在物料档案里"))</f>
        <v/>
      </c>
      <c r="G3347" s="24">
        <f>IF($D3347="","",IFERROR(VLOOKUP($D3347,物料档案!$A$4:$P$1203,5,0),"※编码不在物料档案里"))</f>
        <v/>
      </c>
      <c r="H3347" s="24">
        <f>IF($D3347="","",IFERROR(VLOOKUP($D3347,物料档案!$A$4:$P$1203,2,0),"※编码不在物料档案里"))</f>
        <v/>
      </c>
      <c r="I3347" s="24">
        <f>IF($D3347="","",IFERROR(VLOOKUP($D3347,物料档案!$A$4:$P$1203,6,0),"※编码不在物料档案里"))</f>
        <v/>
      </c>
      <c r="J3347" s="23" t="n"/>
      <c r="K3347" s="17" t="n"/>
      <c r="L3347" s="17" t="n"/>
      <c r="M3347" s="17" t="n"/>
      <c r="N3347" s="17" t="n"/>
      <c r="O3347" s="26">
        <f>IF($D3347="","",IFERROR(VLOOKUP($D3347,物料档案!$A$4:$P$1203,10,0),0))</f>
        <v/>
      </c>
      <c r="P3347" s="32" t="n"/>
      <c r="Q3347" s="26">
        <f>IF($D3347="","",IF($K3347&lt;&gt;"对外销售",0,ROUND(N($J3347)*IF($P3347="",N($O3347),N($P3347)),0)))</f>
        <v/>
      </c>
      <c r="R3347" s="26">
        <f>IF($D3347="","",IFERROR(VLOOKUP($D3347,库存台账!$A$5:$Y$1204,11,0),0))</f>
        <v/>
      </c>
      <c r="S3347" s="26">
        <f>IF($D3347="","",ROUND(N($J3347)*N($R3347),0))</f>
        <v/>
      </c>
      <c r="T3347" s="26">
        <f>IF($D3347="","",IF($K3347&lt;&gt;"对外销售","",ROUND($Q3347-$S3347,0)))</f>
        <v/>
      </c>
      <c r="U3347" s="17" t="n"/>
      <c r="V3347" s="17" t="n"/>
      <c r="W3347" s="24">
        <f>IF($D3347="","",IF($E3347="※编码不在物料档案里","※物料编码不在档案里",IF(N($J3347)&lt;=0,"※出库数量要大于 0",IF($K3347="","※没填去向类型",IF($L3347="","※没填去向矿区",IF(AND($C3347&lt;&gt;"",$C3347&lt;=结账锁),"※日期早于已结账截止日，不能再录",IF(AND($K3347="自用消耗",COUNTIF({"一矿区";"二矿区"},$L3347)=0),"※自用消耗的去向只能是一矿区或二矿区",IF(AND($K3347="对外销售",COUNTIF({"三矿区";"六矿区"},$L3347)=0),"※对外销售的去向只能是三矿区或六矿区",IF(AND($K3347="对外销售",ROUND($Q3347,0)=0),"※外销却没有售价，请填实际售价",IF(AND($K3347="对外销售",$T3347&lt;&gt;"",$T3347&lt;0),"※这一笔外销是亏的，请核对售价",IF(IFERROR(VLOOKUP($D3347,库存台账!$A$5:$Y$1204,24,0),0)&lt;-0.001,"※这个物料账面已经变成负数了，查一下是不是漏记入库","")))))))))))</f>
        <v/>
      </c>
    </row>
    <row r="3348">
      <c r="A3348" s="24">
        <f>IF($D3348="","",COUNTA($D$4:$D3348))</f>
        <v/>
      </c>
      <c r="B3348" s="17" t="n"/>
      <c r="C3348" s="30" t="n"/>
      <c r="D3348" s="17" t="n"/>
      <c r="E3348" s="24">
        <f>IF($D3348="","",IFERROR(VLOOKUP($D3348,物料档案!$A$4:$P$1203,3,0),"※编码不在物料档案里"))</f>
        <v/>
      </c>
      <c r="F3348" s="24">
        <f>IF($D3348="","",IFERROR(VLOOKUP($D3348,物料档案!$A$4:$P$1203,4,0),"※编码不在物料档案里"))</f>
        <v/>
      </c>
      <c r="G3348" s="24">
        <f>IF($D3348="","",IFERROR(VLOOKUP($D3348,物料档案!$A$4:$P$1203,5,0),"※编码不在物料档案里"))</f>
        <v/>
      </c>
      <c r="H3348" s="24">
        <f>IF($D3348="","",IFERROR(VLOOKUP($D3348,物料档案!$A$4:$P$1203,2,0),"※编码不在物料档案里"))</f>
        <v/>
      </c>
      <c r="I3348" s="24">
        <f>IF($D3348="","",IFERROR(VLOOKUP($D3348,物料档案!$A$4:$P$1203,6,0),"※编码不在物料档案里"))</f>
        <v/>
      </c>
      <c r="J3348" s="23" t="n"/>
      <c r="K3348" s="17" t="n"/>
      <c r="L3348" s="17" t="n"/>
      <c r="M3348" s="17" t="n"/>
      <c r="N3348" s="17" t="n"/>
      <c r="O3348" s="26">
        <f>IF($D3348="","",IFERROR(VLOOKUP($D3348,物料档案!$A$4:$P$1203,10,0),0))</f>
        <v/>
      </c>
      <c r="P3348" s="32" t="n"/>
      <c r="Q3348" s="26">
        <f>IF($D3348="","",IF($K3348&lt;&gt;"对外销售",0,ROUND(N($J3348)*IF($P3348="",N($O3348),N($P3348)),0)))</f>
        <v/>
      </c>
      <c r="R3348" s="26">
        <f>IF($D3348="","",IFERROR(VLOOKUP($D3348,库存台账!$A$5:$Y$1204,11,0),0))</f>
        <v/>
      </c>
      <c r="S3348" s="26">
        <f>IF($D3348="","",ROUND(N($J3348)*N($R3348),0))</f>
        <v/>
      </c>
      <c r="T3348" s="26">
        <f>IF($D3348="","",IF($K3348&lt;&gt;"对外销售","",ROUND($Q3348-$S3348,0)))</f>
        <v/>
      </c>
      <c r="U3348" s="17" t="n"/>
      <c r="V3348" s="17" t="n"/>
      <c r="W3348" s="24">
        <f>IF($D3348="","",IF($E3348="※编码不在物料档案里","※物料编码不在档案里",IF(N($J3348)&lt;=0,"※出库数量要大于 0",IF($K3348="","※没填去向类型",IF($L3348="","※没填去向矿区",IF(AND($C3348&lt;&gt;"",$C3348&lt;=结账锁),"※日期早于已结账截止日，不能再录",IF(AND($K3348="自用消耗",COUNTIF({"一矿区";"二矿区"},$L3348)=0),"※自用消耗的去向只能是一矿区或二矿区",IF(AND($K3348="对外销售",COUNTIF({"三矿区";"六矿区"},$L3348)=0),"※对外销售的去向只能是三矿区或六矿区",IF(AND($K3348="对外销售",ROUND($Q3348,0)=0),"※外销却没有售价，请填实际售价",IF(AND($K3348="对外销售",$T3348&lt;&gt;"",$T3348&lt;0),"※这一笔外销是亏的，请核对售价",IF(IFERROR(VLOOKUP($D3348,库存台账!$A$5:$Y$1204,24,0),0)&lt;-0.001,"※这个物料账面已经变成负数了，查一下是不是漏记入库","")))))))))))</f>
        <v/>
      </c>
    </row>
    <row r="3349">
      <c r="A3349" s="24">
        <f>IF($D3349="","",COUNTA($D$4:$D3349))</f>
        <v/>
      </c>
      <c r="B3349" s="17" t="n"/>
      <c r="C3349" s="30" t="n"/>
      <c r="D3349" s="17" t="n"/>
      <c r="E3349" s="24">
        <f>IF($D3349="","",IFERROR(VLOOKUP($D3349,物料档案!$A$4:$P$1203,3,0),"※编码不在物料档案里"))</f>
        <v/>
      </c>
      <c r="F3349" s="24">
        <f>IF($D3349="","",IFERROR(VLOOKUP($D3349,物料档案!$A$4:$P$1203,4,0),"※编码不在物料档案里"))</f>
        <v/>
      </c>
      <c r="G3349" s="24">
        <f>IF($D3349="","",IFERROR(VLOOKUP($D3349,物料档案!$A$4:$P$1203,5,0),"※编码不在物料档案里"))</f>
        <v/>
      </c>
      <c r="H3349" s="24">
        <f>IF($D3349="","",IFERROR(VLOOKUP($D3349,物料档案!$A$4:$P$1203,2,0),"※编码不在物料档案里"))</f>
        <v/>
      </c>
      <c r="I3349" s="24">
        <f>IF($D3349="","",IFERROR(VLOOKUP($D3349,物料档案!$A$4:$P$1203,6,0),"※编码不在物料档案里"))</f>
        <v/>
      </c>
      <c r="J3349" s="23" t="n"/>
      <c r="K3349" s="17" t="n"/>
      <c r="L3349" s="17" t="n"/>
      <c r="M3349" s="17" t="n"/>
      <c r="N3349" s="17" t="n"/>
      <c r="O3349" s="26">
        <f>IF($D3349="","",IFERROR(VLOOKUP($D3349,物料档案!$A$4:$P$1203,10,0),0))</f>
        <v/>
      </c>
      <c r="P3349" s="32" t="n"/>
      <c r="Q3349" s="26">
        <f>IF($D3349="","",IF($K3349&lt;&gt;"对外销售",0,ROUND(N($J3349)*IF($P3349="",N($O3349),N($P3349)),0)))</f>
        <v/>
      </c>
      <c r="R3349" s="26">
        <f>IF($D3349="","",IFERROR(VLOOKUP($D3349,库存台账!$A$5:$Y$1204,11,0),0))</f>
        <v/>
      </c>
      <c r="S3349" s="26">
        <f>IF($D3349="","",ROUND(N($J3349)*N($R3349),0))</f>
        <v/>
      </c>
      <c r="T3349" s="26">
        <f>IF($D3349="","",IF($K3349&lt;&gt;"对外销售","",ROUND($Q3349-$S3349,0)))</f>
        <v/>
      </c>
      <c r="U3349" s="17" t="n"/>
      <c r="V3349" s="17" t="n"/>
      <c r="W3349" s="24">
        <f>IF($D3349="","",IF($E3349="※编码不在物料档案里","※物料编码不在档案里",IF(N($J3349)&lt;=0,"※出库数量要大于 0",IF($K3349="","※没填去向类型",IF($L3349="","※没填去向矿区",IF(AND($C3349&lt;&gt;"",$C3349&lt;=结账锁),"※日期早于已结账截止日，不能再录",IF(AND($K3349="自用消耗",COUNTIF({"一矿区";"二矿区"},$L3349)=0),"※自用消耗的去向只能是一矿区或二矿区",IF(AND($K3349="对外销售",COUNTIF({"三矿区";"六矿区"},$L3349)=0),"※对外销售的去向只能是三矿区或六矿区",IF(AND($K3349="对外销售",ROUND($Q3349,0)=0),"※外销却没有售价，请填实际售价",IF(AND($K3349="对外销售",$T3349&lt;&gt;"",$T3349&lt;0),"※这一笔外销是亏的，请核对售价",IF(IFERROR(VLOOKUP($D3349,库存台账!$A$5:$Y$1204,24,0),0)&lt;-0.001,"※这个物料账面已经变成负数了，查一下是不是漏记入库","")))))))))))</f>
        <v/>
      </c>
    </row>
    <row r="3350">
      <c r="A3350" s="24">
        <f>IF($D3350="","",COUNTA($D$4:$D3350))</f>
        <v/>
      </c>
      <c r="B3350" s="17" t="n"/>
      <c r="C3350" s="30" t="n"/>
      <c r="D3350" s="17" t="n"/>
      <c r="E3350" s="24">
        <f>IF($D3350="","",IFERROR(VLOOKUP($D3350,物料档案!$A$4:$P$1203,3,0),"※编码不在物料档案里"))</f>
        <v/>
      </c>
      <c r="F3350" s="24">
        <f>IF($D3350="","",IFERROR(VLOOKUP($D3350,物料档案!$A$4:$P$1203,4,0),"※编码不在物料档案里"))</f>
        <v/>
      </c>
      <c r="G3350" s="24">
        <f>IF($D3350="","",IFERROR(VLOOKUP($D3350,物料档案!$A$4:$P$1203,5,0),"※编码不在物料档案里"))</f>
        <v/>
      </c>
      <c r="H3350" s="24">
        <f>IF($D3350="","",IFERROR(VLOOKUP($D3350,物料档案!$A$4:$P$1203,2,0),"※编码不在物料档案里"))</f>
        <v/>
      </c>
      <c r="I3350" s="24">
        <f>IF($D3350="","",IFERROR(VLOOKUP($D3350,物料档案!$A$4:$P$1203,6,0),"※编码不在物料档案里"))</f>
        <v/>
      </c>
      <c r="J3350" s="23" t="n"/>
      <c r="K3350" s="17" t="n"/>
      <c r="L3350" s="17" t="n"/>
      <c r="M3350" s="17" t="n"/>
      <c r="N3350" s="17" t="n"/>
      <c r="O3350" s="26">
        <f>IF($D3350="","",IFERROR(VLOOKUP($D3350,物料档案!$A$4:$P$1203,10,0),0))</f>
        <v/>
      </c>
      <c r="P3350" s="32" t="n"/>
      <c r="Q3350" s="26">
        <f>IF($D3350="","",IF($K3350&lt;&gt;"对外销售",0,ROUND(N($J3350)*IF($P3350="",N($O3350),N($P3350)),0)))</f>
        <v/>
      </c>
      <c r="R3350" s="26">
        <f>IF($D3350="","",IFERROR(VLOOKUP($D3350,库存台账!$A$5:$Y$1204,11,0),0))</f>
        <v/>
      </c>
      <c r="S3350" s="26">
        <f>IF($D3350="","",ROUND(N($J3350)*N($R3350),0))</f>
        <v/>
      </c>
      <c r="T3350" s="26">
        <f>IF($D3350="","",IF($K3350&lt;&gt;"对外销售","",ROUND($Q3350-$S3350,0)))</f>
        <v/>
      </c>
      <c r="U3350" s="17" t="n"/>
      <c r="V3350" s="17" t="n"/>
      <c r="W3350" s="24">
        <f>IF($D3350="","",IF($E3350="※编码不在物料档案里","※物料编码不在档案里",IF(N($J3350)&lt;=0,"※出库数量要大于 0",IF($K3350="","※没填去向类型",IF($L3350="","※没填去向矿区",IF(AND($C3350&lt;&gt;"",$C3350&lt;=结账锁),"※日期早于已结账截止日，不能再录",IF(AND($K3350="自用消耗",COUNTIF({"一矿区";"二矿区"},$L3350)=0),"※自用消耗的去向只能是一矿区或二矿区",IF(AND($K3350="对外销售",COUNTIF({"三矿区";"六矿区"},$L3350)=0),"※对外销售的去向只能是三矿区或六矿区",IF(AND($K3350="对外销售",ROUND($Q3350,0)=0),"※外销却没有售价，请填实际售价",IF(AND($K3350="对外销售",$T3350&lt;&gt;"",$T3350&lt;0),"※这一笔外销是亏的，请核对售价",IF(IFERROR(VLOOKUP($D3350,库存台账!$A$5:$Y$1204,24,0),0)&lt;-0.001,"※这个物料账面已经变成负数了，查一下是不是漏记入库","")))))))))))</f>
        <v/>
      </c>
    </row>
    <row r="3351">
      <c r="A3351" s="24">
        <f>IF($D3351="","",COUNTA($D$4:$D3351))</f>
        <v/>
      </c>
      <c r="B3351" s="17" t="n"/>
      <c r="C3351" s="30" t="n"/>
      <c r="D3351" s="17" t="n"/>
      <c r="E3351" s="24">
        <f>IF($D3351="","",IFERROR(VLOOKUP($D3351,物料档案!$A$4:$P$1203,3,0),"※编码不在物料档案里"))</f>
        <v/>
      </c>
      <c r="F3351" s="24">
        <f>IF($D3351="","",IFERROR(VLOOKUP($D3351,物料档案!$A$4:$P$1203,4,0),"※编码不在物料档案里"))</f>
        <v/>
      </c>
      <c r="G3351" s="24">
        <f>IF($D3351="","",IFERROR(VLOOKUP($D3351,物料档案!$A$4:$P$1203,5,0),"※编码不在物料档案里"))</f>
        <v/>
      </c>
      <c r="H3351" s="24">
        <f>IF($D3351="","",IFERROR(VLOOKUP($D3351,物料档案!$A$4:$P$1203,2,0),"※编码不在物料档案里"))</f>
        <v/>
      </c>
      <c r="I3351" s="24">
        <f>IF($D3351="","",IFERROR(VLOOKUP($D3351,物料档案!$A$4:$P$1203,6,0),"※编码不在物料档案里"))</f>
        <v/>
      </c>
      <c r="J3351" s="23" t="n"/>
      <c r="K3351" s="17" t="n"/>
      <c r="L3351" s="17" t="n"/>
      <c r="M3351" s="17" t="n"/>
      <c r="N3351" s="17" t="n"/>
      <c r="O3351" s="26">
        <f>IF($D3351="","",IFERROR(VLOOKUP($D3351,物料档案!$A$4:$P$1203,10,0),0))</f>
        <v/>
      </c>
      <c r="P3351" s="32" t="n"/>
      <c r="Q3351" s="26">
        <f>IF($D3351="","",IF($K3351&lt;&gt;"对外销售",0,ROUND(N($J3351)*IF($P3351="",N($O3351),N($P3351)),0)))</f>
        <v/>
      </c>
      <c r="R3351" s="26">
        <f>IF($D3351="","",IFERROR(VLOOKUP($D3351,库存台账!$A$5:$Y$1204,11,0),0))</f>
        <v/>
      </c>
      <c r="S3351" s="26">
        <f>IF($D3351="","",ROUND(N($J3351)*N($R3351),0))</f>
        <v/>
      </c>
      <c r="T3351" s="26">
        <f>IF($D3351="","",IF($K3351&lt;&gt;"对外销售","",ROUND($Q3351-$S3351,0)))</f>
        <v/>
      </c>
      <c r="U3351" s="17" t="n"/>
      <c r="V3351" s="17" t="n"/>
      <c r="W3351" s="24">
        <f>IF($D3351="","",IF($E3351="※编码不在物料档案里","※物料编码不在档案里",IF(N($J3351)&lt;=0,"※出库数量要大于 0",IF($K3351="","※没填去向类型",IF($L3351="","※没填去向矿区",IF(AND($C3351&lt;&gt;"",$C3351&lt;=结账锁),"※日期早于已结账截止日，不能再录",IF(AND($K3351="自用消耗",COUNTIF({"一矿区";"二矿区"},$L3351)=0),"※自用消耗的去向只能是一矿区或二矿区",IF(AND($K3351="对外销售",COUNTIF({"三矿区";"六矿区"},$L3351)=0),"※对外销售的去向只能是三矿区或六矿区",IF(AND($K3351="对外销售",ROUND($Q3351,0)=0),"※外销却没有售价，请填实际售价",IF(AND($K3351="对外销售",$T3351&lt;&gt;"",$T3351&lt;0),"※这一笔外销是亏的，请核对售价",IF(IFERROR(VLOOKUP($D3351,库存台账!$A$5:$Y$1204,24,0),0)&lt;-0.001,"※这个物料账面已经变成负数了，查一下是不是漏记入库","")))))))))))</f>
        <v/>
      </c>
    </row>
    <row r="3352">
      <c r="A3352" s="24">
        <f>IF($D3352="","",COUNTA($D$4:$D3352))</f>
        <v/>
      </c>
      <c r="B3352" s="17" t="n"/>
      <c r="C3352" s="30" t="n"/>
      <c r="D3352" s="17" t="n"/>
      <c r="E3352" s="24">
        <f>IF($D3352="","",IFERROR(VLOOKUP($D3352,物料档案!$A$4:$P$1203,3,0),"※编码不在物料档案里"))</f>
        <v/>
      </c>
      <c r="F3352" s="24">
        <f>IF($D3352="","",IFERROR(VLOOKUP($D3352,物料档案!$A$4:$P$1203,4,0),"※编码不在物料档案里"))</f>
        <v/>
      </c>
      <c r="G3352" s="24">
        <f>IF($D3352="","",IFERROR(VLOOKUP($D3352,物料档案!$A$4:$P$1203,5,0),"※编码不在物料档案里"))</f>
        <v/>
      </c>
      <c r="H3352" s="24">
        <f>IF($D3352="","",IFERROR(VLOOKUP($D3352,物料档案!$A$4:$P$1203,2,0),"※编码不在物料档案里"))</f>
        <v/>
      </c>
      <c r="I3352" s="24">
        <f>IF($D3352="","",IFERROR(VLOOKUP($D3352,物料档案!$A$4:$P$1203,6,0),"※编码不在物料档案里"))</f>
        <v/>
      </c>
      <c r="J3352" s="23" t="n"/>
      <c r="K3352" s="17" t="n"/>
      <c r="L3352" s="17" t="n"/>
      <c r="M3352" s="17" t="n"/>
      <c r="N3352" s="17" t="n"/>
      <c r="O3352" s="26">
        <f>IF($D3352="","",IFERROR(VLOOKUP($D3352,物料档案!$A$4:$P$1203,10,0),0))</f>
        <v/>
      </c>
      <c r="P3352" s="32" t="n"/>
      <c r="Q3352" s="26">
        <f>IF($D3352="","",IF($K3352&lt;&gt;"对外销售",0,ROUND(N($J3352)*IF($P3352="",N($O3352),N($P3352)),0)))</f>
        <v/>
      </c>
      <c r="R3352" s="26">
        <f>IF($D3352="","",IFERROR(VLOOKUP($D3352,库存台账!$A$5:$Y$1204,11,0),0))</f>
        <v/>
      </c>
      <c r="S3352" s="26">
        <f>IF($D3352="","",ROUND(N($J3352)*N($R3352),0))</f>
        <v/>
      </c>
      <c r="T3352" s="26">
        <f>IF($D3352="","",IF($K3352&lt;&gt;"对外销售","",ROUND($Q3352-$S3352,0)))</f>
        <v/>
      </c>
      <c r="U3352" s="17" t="n"/>
      <c r="V3352" s="17" t="n"/>
      <c r="W3352" s="24">
        <f>IF($D3352="","",IF($E3352="※编码不在物料档案里","※物料编码不在档案里",IF(N($J3352)&lt;=0,"※出库数量要大于 0",IF($K3352="","※没填去向类型",IF($L3352="","※没填去向矿区",IF(AND($C3352&lt;&gt;"",$C3352&lt;=结账锁),"※日期早于已结账截止日，不能再录",IF(AND($K3352="自用消耗",COUNTIF({"一矿区";"二矿区"},$L3352)=0),"※自用消耗的去向只能是一矿区或二矿区",IF(AND($K3352="对外销售",COUNTIF({"三矿区";"六矿区"},$L3352)=0),"※对外销售的去向只能是三矿区或六矿区",IF(AND($K3352="对外销售",ROUND($Q3352,0)=0),"※外销却没有售价，请填实际售价",IF(AND($K3352="对外销售",$T3352&lt;&gt;"",$T3352&lt;0),"※这一笔外销是亏的，请核对售价",IF(IFERROR(VLOOKUP($D3352,库存台账!$A$5:$Y$1204,24,0),0)&lt;-0.001,"※这个物料账面已经变成负数了，查一下是不是漏记入库","")))))))))))</f>
        <v/>
      </c>
    </row>
    <row r="3353">
      <c r="A3353" s="24">
        <f>IF($D3353="","",COUNTA($D$4:$D3353))</f>
        <v/>
      </c>
      <c r="B3353" s="17" t="n"/>
      <c r="C3353" s="30" t="n"/>
      <c r="D3353" s="17" t="n"/>
      <c r="E3353" s="24">
        <f>IF($D3353="","",IFERROR(VLOOKUP($D3353,物料档案!$A$4:$P$1203,3,0),"※编码不在物料档案里"))</f>
        <v/>
      </c>
      <c r="F3353" s="24">
        <f>IF($D3353="","",IFERROR(VLOOKUP($D3353,物料档案!$A$4:$P$1203,4,0),"※编码不在物料档案里"))</f>
        <v/>
      </c>
      <c r="G3353" s="24">
        <f>IF($D3353="","",IFERROR(VLOOKUP($D3353,物料档案!$A$4:$P$1203,5,0),"※编码不在物料档案里"))</f>
        <v/>
      </c>
      <c r="H3353" s="24">
        <f>IF($D3353="","",IFERROR(VLOOKUP($D3353,物料档案!$A$4:$P$1203,2,0),"※编码不在物料档案里"))</f>
        <v/>
      </c>
      <c r="I3353" s="24">
        <f>IF($D3353="","",IFERROR(VLOOKUP($D3353,物料档案!$A$4:$P$1203,6,0),"※编码不在物料档案里"))</f>
        <v/>
      </c>
      <c r="J3353" s="23" t="n"/>
      <c r="K3353" s="17" t="n"/>
      <c r="L3353" s="17" t="n"/>
      <c r="M3353" s="17" t="n"/>
      <c r="N3353" s="17" t="n"/>
      <c r="O3353" s="26">
        <f>IF($D3353="","",IFERROR(VLOOKUP($D3353,物料档案!$A$4:$P$1203,10,0),0))</f>
        <v/>
      </c>
      <c r="P3353" s="32" t="n"/>
      <c r="Q3353" s="26">
        <f>IF($D3353="","",IF($K3353&lt;&gt;"对外销售",0,ROUND(N($J3353)*IF($P3353="",N($O3353),N($P3353)),0)))</f>
        <v/>
      </c>
      <c r="R3353" s="26">
        <f>IF($D3353="","",IFERROR(VLOOKUP($D3353,库存台账!$A$5:$Y$1204,11,0),0))</f>
        <v/>
      </c>
      <c r="S3353" s="26">
        <f>IF($D3353="","",ROUND(N($J3353)*N($R3353),0))</f>
        <v/>
      </c>
      <c r="T3353" s="26">
        <f>IF($D3353="","",IF($K3353&lt;&gt;"对外销售","",ROUND($Q3353-$S3353,0)))</f>
        <v/>
      </c>
      <c r="U3353" s="17" t="n"/>
      <c r="V3353" s="17" t="n"/>
      <c r="W3353" s="24">
        <f>IF($D3353="","",IF($E3353="※编码不在物料档案里","※物料编码不在档案里",IF(N($J3353)&lt;=0,"※出库数量要大于 0",IF($K3353="","※没填去向类型",IF($L3353="","※没填去向矿区",IF(AND($C3353&lt;&gt;"",$C3353&lt;=结账锁),"※日期早于已结账截止日，不能再录",IF(AND($K3353="自用消耗",COUNTIF({"一矿区";"二矿区"},$L3353)=0),"※自用消耗的去向只能是一矿区或二矿区",IF(AND($K3353="对外销售",COUNTIF({"三矿区";"六矿区"},$L3353)=0),"※对外销售的去向只能是三矿区或六矿区",IF(AND($K3353="对外销售",ROUND($Q3353,0)=0),"※外销却没有售价，请填实际售价",IF(AND($K3353="对外销售",$T3353&lt;&gt;"",$T3353&lt;0),"※这一笔外销是亏的，请核对售价",IF(IFERROR(VLOOKUP($D3353,库存台账!$A$5:$Y$1204,24,0),0)&lt;-0.001,"※这个物料账面已经变成负数了，查一下是不是漏记入库","")))))))))))</f>
        <v/>
      </c>
    </row>
    <row r="3354">
      <c r="A3354" s="24">
        <f>IF($D3354="","",COUNTA($D$4:$D3354))</f>
        <v/>
      </c>
      <c r="B3354" s="17" t="n"/>
      <c r="C3354" s="30" t="n"/>
      <c r="D3354" s="17" t="n"/>
      <c r="E3354" s="24">
        <f>IF($D3354="","",IFERROR(VLOOKUP($D3354,物料档案!$A$4:$P$1203,3,0),"※编码不在物料档案里"))</f>
        <v/>
      </c>
      <c r="F3354" s="24">
        <f>IF($D3354="","",IFERROR(VLOOKUP($D3354,物料档案!$A$4:$P$1203,4,0),"※编码不在物料档案里"))</f>
        <v/>
      </c>
      <c r="G3354" s="24">
        <f>IF($D3354="","",IFERROR(VLOOKUP($D3354,物料档案!$A$4:$P$1203,5,0),"※编码不在物料档案里"))</f>
        <v/>
      </c>
      <c r="H3354" s="24">
        <f>IF($D3354="","",IFERROR(VLOOKUP($D3354,物料档案!$A$4:$P$1203,2,0),"※编码不在物料档案里"))</f>
        <v/>
      </c>
      <c r="I3354" s="24">
        <f>IF($D3354="","",IFERROR(VLOOKUP($D3354,物料档案!$A$4:$P$1203,6,0),"※编码不在物料档案里"))</f>
        <v/>
      </c>
      <c r="J3354" s="23" t="n"/>
      <c r="K3354" s="17" t="n"/>
      <c r="L3354" s="17" t="n"/>
      <c r="M3354" s="17" t="n"/>
      <c r="N3354" s="17" t="n"/>
      <c r="O3354" s="26">
        <f>IF($D3354="","",IFERROR(VLOOKUP($D3354,物料档案!$A$4:$P$1203,10,0),0))</f>
        <v/>
      </c>
      <c r="P3354" s="32" t="n"/>
      <c r="Q3354" s="26">
        <f>IF($D3354="","",IF($K3354&lt;&gt;"对外销售",0,ROUND(N($J3354)*IF($P3354="",N($O3354),N($P3354)),0)))</f>
        <v/>
      </c>
      <c r="R3354" s="26">
        <f>IF($D3354="","",IFERROR(VLOOKUP($D3354,库存台账!$A$5:$Y$1204,11,0),0))</f>
        <v/>
      </c>
      <c r="S3354" s="26">
        <f>IF($D3354="","",ROUND(N($J3354)*N($R3354),0))</f>
        <v/>
      </c>
      <c r="T3354" s="26">
        <f>IF($D3354="","",IF($K3354&lt;&gt;"对外销售","",ROUND($Q3354-$S3354,0)))</f>
        <v/>
      </c>
      <c r="U3354" s="17" t="n"/>
      <c r="V3354" s="17" t="n"/>
      <c r="W3354" s="24">
        <f>IF($D3354="","",IF($E3354="※编码不在物料档案里","※物料编码不在档案里",IF(N($J3354)&lt;=0,"※出库数量要大于 0",IF($K3354="","※没填去向类型",IF($L3354="","※没填去向矿区",IF(AND($C3354&lt;&gt;"",$C3354&lt;=结账锁),"※日期早于已结账截止日，不能再录",IF(AND($K3354="自用消耗",COUNTIF({"一矿区";"二矿区"},$L3354)=0),"※自用消耗的去向只能是一矿区或二矿区",IF(AND($K3354="对外销售",COUNTIF({"三矿区";"六矿区"},$L3354)=0),"※对外销售的去向只能是三矿区或六矿区",IF(AND($K3354="对外销售",ROUND($Q3354,0)=0),"※外销却没有售价，请填实际售价",IF(AND($K3354="对外销售",$T3354&lt;&gt;"",$T3354&lt;0),"※这一笔外销是亏的，请核对售价",IF(IFERROR(VLOOKUP($D3354,库存台账!$A$5:$Y$1204,24,0),0)&lt;-0.001,"※这个物料账面已经变成负数了，查一下是不是漏记入库","")))))))))))</f>
        <v/>
      </c>
    </row>
    <row r="3355">
      <c r="A3355" s="24">
        <f>IF($D3355="","",COUNTA($D$4:$D3355))</f>
        <v/>
      </c>
      <c r="B3355" s="17" t="n"/>
      <c r="C3355" s="30" t="n"/>
      <c r="D3355" s="17" t="n"/>
      <c r="E3355" s="24">
        <f>IF($D3355="","",IFERROR(VLOOKUP($D3355,物料档案!$A$4:$P$1203,3,0),"※编码不在物料档案里"))</f>
        <v/>
      </c>
      <c r="F3355" s="24">
        <f>IF($D3355="","",IFERROR(VLOOKUP($D3355,物料档案!$A$4:$P$1203,4,0),"※编码不在物料档案里"))</f>
        <v/>
      </c>
      <c r="G3355" s="24">
        <f>IF($D3355="","",IFERROR(VLOOKUP($D3355,物料档案!$A$4:$P$1203,5,0),"※编码不在物料档案里"))</f>
        <v/>
      </c>
      <c r="H3355" s="24">
        <f>IF($D3355="","",IFERROR(VLOOKUP($D3355,物料档案!$A$4:$P$1203,2,0),"※编码不在物料档案里"))</f>
        <v/>
      </c>
      <c r="I3355" s="24">
        <f>IF($D3355="","",IFERROR(VLOOKUP($D3355,物料档案!$A$4:$P$1203,6,0),"※编码不在物料档案里"))</f>
        <v/>
      </c>
      <c r="J3355" s="23" t="n"/>
      <c r="K3355" s="17" t="n"/>
      <c r="L3355" s="17" t="n"/>
      <c r="M3355" s="17" t="n"/>
      <c r="N3355" s="17" t="n"/>
      <c r="O3355" s="26">
        <f>IF($D3355="","",IFERROR(VLOOKUP($D3355,物料档案!$A$4:$P$1203,10,0),0))</f>
        <v/>
      </c>
      <c r="P3355" s="32" t="n"/>
      <c r="Q3355" s="26">
        <f>IF($D3355="","",IF($K3355&lt;&gt;"对外销售",0,ROUND(N($J3355)*IF($P3355="",N($O3355),N($P3355)),0)))</f>
        <v/>
      </c>
      <c r="R3355" s="26">
        <f>IF($D3355="","",IFERROR(VLOOKUP($D3355,库存台账!$A$5:$Y$1204,11,0),0))</f>
        <v/>
      </c>
      <c r="S3355" s="26">
        <f>IF($D3355="","",ROUND(N($J3355)*N($R3355),0))</f>
        <v/>
      </c>
      <c r="T3355" s="26">
        <f>IF($D3355="","",IF($K3355&lt;&gt;"对外销售","",ROUND($Q3355-$S3355,0)))</f>
        <v/>
      </c>
      <c r="U3355" s="17" t="n"/>
      <c r="V3355" s="17" t="n"/>
      <c r="W3355" s="24">
        <f>IF($D3355="","",IF($E3355="※编码不在物料档案里","※物料编码不在档案里",IF(N($J3355)&lt;=0,"※出库数量要大于 0",IF($K3355="","※没填去向类型",IF($L3355="","※没填去向矿区",IF(AND($C3355&lt;&gt;"",$C3355&lt;=结账锁),"※日期早于已结账截止日，不能再录",IF(AND($K3355="自用消耗",COUNTIF({"一矿区";"二矿区"},$L3355)=0),"※自用消耗的去向只能是一矿区或二矿区",IF(AND($K3355="对外销售",COUNTIF({"三矿区";"六矿区"},$L3355)=0),"※对外销售的去向只能是三矿区或六矿区",IF(AND($K3355="对外销售",ROUND($Q3355,0)=0),"※外销却没有售价，请填实际售价",IF(AND($K3355="对外销售",$T3355&lt;&gt;"",$T3355&lt;0),"※这一笔外销是亏的，请核对售价",IF(IFERROR(VLOOKUP($D3355,库存台账!$A$5:$Y$1204,24,0),0)&lt;-0.001,"※这个物料账面已经变成负数了，查一下是不是漏记入库","")))))))))))</f>
        <v/>
      </c>
    </row>
    <row r="3356">
      <c r="A3356" s="24">
        <f>IF($D3356="","",COUNTA($D$4:$D3356))</f>
        <v/>
      </c>
      <c r="B3356" s="17" t="n"/>
      <c r="C3356" s="30" t="n"/>
      <c r="D3356" s="17" t="n"/>
      <c r="E3356" s="24">
        <f>IF($D3356="","",IFERROR(VLOOKUP($D3356,物料档案!$A$4:$P$1203,3,0),"※编码不在物料档案里"))</f>
        <v/>
      </c>
      <c r="F3356" s="24">
        <f>IF($D3356="","",IFERROR(VLOOKUP($D3356,物料档案!$A$4:$P$1203,4,0),"※编码不在物料档案里"))</f>
        <v/>
      </c>
      <c r="G3356" s="24">
        <f>IF($D3356="","",IFERROR(VLOOKUP($D3356,物料档案!$A$4:$P$1203,5,0),"※编码不在物料档案里"))</f>
        <v/>
      </c>
      <c r="H3356" s="24">
        <f>IF($D3356="","",IFERROR(VLOOKUP($D3356,物料档案!$A$4:$P$1203,2,0),"※编码不在物料档案里"))</f>
        <v/>
      </c>
      <c r="I3356" s="24">
        <f>IF($D3356="","",IFERROR(VLOOKUP($D3356,物料档案!$A$4:$P$1203,6,0),"※编码不在物料档案里"))</f>
        <v/>
      </c>
      <c r="J3356" s="23" t="n"/>
      <c r="K3356" s="17" t="n"/>
      <c r="L3356" s="17" t="n"/>
      <c r="M3356" s="17" t="n"/>
      <c r="N3356" s="17" t="n"/>
      <c r="O3356" s="26">
        <f>IF($D3356="","",IFERROR(VLOOKUP($D3356,物料档案!$A$4:$P$1203,10,0),0))</f>
        <v/>
      </c>
      <c r="P3356" s="32" t="n"/>
      <c r="Q3356" s="26">
        <f>IF($D3356="","",IF($K3356&lt;&gt;"对外销售",0,ROUND(N($J3356)*IF($P3356="",N($O3356),N($P3356)),0)))</f>
        <v/>
      </c>
      <c r="R3356" s="26">
        <f>IF($D3356="","",IFERROR(VLOOKUP($D3356,库存台账!$A$5:$Y$1204,11,0),0))</f>
        <v/>
      </c>
      <c r="S3356" s="26">
        <f>IF($D3356="","",ROUND(N($J3356)*N($R3356),0))</f>
        <v/>
      </c>
      <c r="T3356" s="26">
        <f>IF($D3356="","",IF($K3356&lt;&gt;"对外销售","",ROUND($Q3356-$S3356,0)))</f>
        <v/>
      </c>
      <c r="U3356" s="17" t="n"/>
      <c r="V3356" s="17" t="n"/>
      <c r="W3356" s="24">
        <f>IF($D3356="","",IF($E3356="※编码不在物料档案里","※物料编码不在档案里",IF(N($J3356)&lt;=0,"※出库数量要大于 0",IF($K3356="","※没填去向类型",IF($L3356="","※没填去向矿区",IF(AND($C3356&lt;&gt;"",$C3356&lt;=结账锁),"※日期早于已结账截止日，不能再录",IF(AND($K3356="自用消耗",COUNTIF({"一矿区";"二矿区"},$L3356)=0),"※自用消耗的去向只能是一矿区或二矿区",IF(AND($K3356="对外销售",COUNTIF({"三矿区";"六矿区"},$L3356)=0),"※对外销售的去向只能是三矿区或六矿区",IF(AND($K3356="对外销售",ROUND($Q3356,0)=0),"※外销却没有售价，请填实际售价",IF(AND($K3356="对外销售",$T3356&lt;&gt;"",$T3356&lt;0),"※这一笔外销是亏的，请核对售价",IF(IFERROR(VLOOKUP($D3356,库存台账!$A$5:$Y$1204,24,0),0)&lt;-0.001,"※这个物料账面已经变成负数了，查一下是不是漏记入库","")))))))))))</f>
        <v/>
      </c>
    </row>
    <row r="3357">
      <c r="A3357" s="24">
        <f>IF($D3357="","",COUNTA($D$4:$D3357))</f>
        <v/>
      </c>
      <c r="B3357" s="17" t="n"/>
      <c r="C3357" s="30" t="n"/>
      <c r="D3357" s="17" t="n"/>
      <c r="E3357" s="24">
        <f>IF($D3357="","",IFERROR(VLOOKUP($D3357,物料档案!$A$4:$P$1203,3,0),"※编码不在物料档案里"))</f>
        <v/>
      </c>
      <c r="F3357" s="24">
        <f>IF($D3357="","",IFERROR(VLOOKUP($D3357,物料档案!$A$4:$P$1203,4,0),"※编码不在物料档案里"))</f>
        <v/>
      </c>
      <c r="G3357" s="24">
        <f>IF($D3357="","",IFERROR(VLOOKUP($D3357,物料档案!$A$4:$P$1203,5,0),"※编码不在物料档案里"))</f>
        <v/>
      </c>
      <c r="H3357" s="24">
        <f>IF($D3357="","",IFERROR(VLOOKUP($D3357,物料档案!$A$4:$P$1203,2,0),"※编码不在物料档案里"))</f>
        <v/>
      </c>
      <c r="I3357" s="24">
        <f>IF($D3357="","",IFERROR(VLOOKUP($D3357,物料档案!$A$4:$P$1203,6,0),"※编码不在物料档案里"))</f>
        <v/>
      </c>
      <c r="J3357" s="23" t="n"/>
      <c r="K3357" s="17" t="n"/>
      <c r="L3357" s="17" t="n"/>
      <c r="M3357" s="17" t="n"/>
      <c r="N3357" s="17" t="n"/>
      <c r="O3357" s="26">
        <f>IF($D3357="","",IFERROR(VLOOKUP($D3357,物料档案!$A$4:$P$1203,10,0),0))</f>
        <v/>
      </c>
      <c r="P3357" s="32" t="n"/>
      <c r="Q3357" s="26">
        <f>IF($D3357="","",IF($K3357&lt;&gt;"对外销售",0,ROUND(N($J3357)*IF($P3357="",N($O3357),N($P3357)),0)))</f>
        <v/>
      </c>
      <c r="R3357" s="26">
        <f>IF($D3357="","",IFERROR(VLOOKUP($D3357,库存台账!$A$5:$Y$1204,11,0),0))</f>
        <v/>
      </c>
      <c r="S3357" s="26">
        <f>IF($D3357="","",ROUND(N($J3357)*N($R3357),0))</f>
        <v/>
      </c>
      <c r="T3357" s="26">
        <f>IF($D3357="","",IF($K3357&lt;&gt;"对外销售","",ROUND($Q3357-$S3357,0)))</f>
        <v/>
      </c>
      <c r="U3357" s="17" t="n"/>
      <c r="V3357" s="17" t="n"/>
      <c r="W3357" s="24">
        <f>IF($D3357="","",IF($E3357="※编码不在物料档案里","※物料编码不在档案里",IF(N($J3357)&lt;=0,"※出库数量要大于 0",IF($K3357="","※没填去向类型",IF($L3357="","※没填去向矿区",IF(AND($C3357&lt;&gt;"",$C3357&lt;=结账锁),"※日期早于已结账截止日，不能再录",IF(AND($K3357="自用消耗",COUNTIF({"一矿区";"二矿区"},$L3357)=0),"※自用消耗的去向只能是一矿区或二矿区",IF(AND($K3357="对外销售",COUNTIF({"三矿区";"六矿区"},$L3357)=0),"※对外销售的去向只能是三矿区或六矿区",IF(AND($K3357="对外销售",ROUND($Q3357,0)=0),"※外销却没有售价，请填实际售价",IF(AND($K3357="对外销售",$T3357&lt;&gt;"",$T3357&lt;0),"※这一笔外销是亏的，请核对售价",IF(IFERROR(VLOOKUP($D3357,库存台账!$A$5:$Y$1204,24,0),0)&lt;-0.001,"※这个物料账面已经变成负数了，查一下是不是漏记入库","")))))))))))</f>
        <v/>
      </c>
    </row>
    <row r="3358">
      <c r="A3358" s="24">
        <f>IF($D3358="","",COUNTA($D$4:$D3358))</f>
        <v/>
      </c>
      <c r="B3358" s="17" t="n"/>
      <c r="C3358" s="30" t="n"/>
      <c r="D3358" s="17" t="n"/>
      <c r="E3358" s="24">
        <f>IF($D3358="","",IFERROR(VLOOKUP($D3358,物料档案!$A$4:$P$1203,3,0),"※编码不在物料档案里"))</f>
        <v/>
      </c>
      <c r="F3358" s="24">
        <f>IF($D3358="","",IFERROR(VLOOKUP($D3358,物料档案!$A$4:$P$1203,4,0),"※编码不在物料档案里"))</f>
        <v/>
      </c>
      <c r="G3358" s="24">
        <f>IF($D3358="","",IFERROR(VLOOKUP($D3358,物料档案!$A$4:$P$1203,5,0),"※编码不在物料档案里"))</f>
        <v/>
      </c>
      <c r="H3358" s="24">
        <f>IF($D3358="","",IFERROR(VLOOKUP($D3358,物料档案!$A$4:$P$1203,2,0),"※编码不在物料档案里"))</f>
        <v/>
      </c>
      <c r="I3358" s="24">
        <f>IF($D3358="","",IFERROR(VLOOKUP($D3358,物料档案!$A$4:$P$1203,6,0),"※编码不在物料档案里"))</f>
        <v/>
      </c>
      <c r="J3358" s="23" t="n"/>
      <c r="K3358" s="17" t="n"/>
      <c r="L3358" s="17" t="n"/>
      <c r="M3358" s="17" t="n"/>
      <c r="N3358" s="17" t="n"/>
      <c r="O3358" s="26">
        <f>IF($D3358="","",IFERROR(VLOOKUP($D3358,物料档案!$A$4:$P$1203,10,0),0))</f>
        <v/>
      </c>
      <c r="P3358" s="32" t="n"/>
      <c r="Q3358" s="26">
        <f>IF($D3358="","",IF($K3358&lt;&gt;"对外销售",0,ROUND(N($J3358)*IF($P3358="",N($O3358),N($P3358)),0)))</f>
        <v/>
      </c>
      <c r="R3358" s="26">
        <f>IF($D3358="","",IFERROR(VLOOKUP($D3358,库存台账!$A$5:$Y$1204,11,0),0))</f>
        <v/>
      </c>
      <c r="S3358" s="26">
        <f>IF($D3358="","",ROUND(N($J3358)*N($R3358),0))</f>
        <v/>
      </c>
      <c r="T3358" s="26">
        <f>IF($D3358="","",IF($K3358&lt;&gt;"对外销售","",ROUND($Q3358-$S3358,0)))</f>
        <v/>
      </c>
      <c r="U3358" s="17" t="n"/>
      <c r="V3358" s="17" t="n"/>
      <c r="W3358" s="24">
        <f>IF($D3358="","",IF($E3358="※编码不在物料档案里","※物料编码不在档案里",IF(N($J3358)&lt;=0,"※出库数量要大于 0",IF($K3358="","※没填去向类型",IF($L3358="","※没填去向矿区",IF(AND($C3358&lt;&gt;"",$C3358&lt;=结账锁),"※日期早于已结账截止日，不能再录",IF(AND($K3358="自用消耗",COUNTIF({"一矿区";"二矿区"},$L3358)=0),"※自用消耗的去向只能是一矿区或二矿区",IF(AND($K3358="对外销售",COUNTIF({"三矿区";"六矿区"},$L3358)=0),"※对外销售的去向只能是三矿区或六矿区",IF(AND($K3358="对外销售",ROUND($Q3358,0)=0),"※外销却没有售价，请填实际售价",IF(AND($K3358="对外销售",$T3358&lt;&gt;"",$T3358&lt;0),"※这一笔外销是亏的，请核对售价",IF(IFERROR(VLOOKUP($D3358,库存台账!$A$5:$Y$1204,24,0),0)&lt;-0.001,"※这个物料账面已经变成负数了，查一下是不是漏记入库","")))))))))))</f>
        <v/>
      </c>
    </row>
    <row r="3359">
      <c r="A3359" s="24">
        <f>IF($D3359="","",COUNTA($D$4:$D3359))</f>
        <v/>
      </c>
      <c r="B3359" s="17" t="n"/>
      <c r="C3359" s="30" t="n"/>
      <c r="D3359" s="17" t="n"/>
      <c r="E3359" s="24">
        <f>IF($D3359="","",IFERROR(VLOOKUP($D3359,物料档案!$A$4:$P$1203,3,0),"※编码不在物料档案里"))</f>
        <v/>
      </c>
      <c r="F3359" s="24">
        <f>IF($D3359="","",IFERROR(VLOOKUP($D3359,物料档案!$A$4:$P$1203,4,0),"※编码不在物料档案里"))</f>
        <v/>
      </c>
      <c r="G3359" s="24">
        <f>IF($D3359="","",IFERROR(VLOOKUP($D3359,物料档案!$A$4:$P$1203,5,0),"※编码不在物料档案里"))</f>
        <v/>
      </c>
      <c r="H3359" s="24">
        <f>IF($D3359="","",IFERROR(VLOOKUP($D3359,物料档案!$A$4:$P$1203,2,0),"※编码不在物料档案里"))</f>
        <v/>
      </c>
      <c r="I3359" s="24">
        <f>IF($D3359="","",IFERROR(VLOOKUP($D3359,物料档案!$A$4:$P$1203,6,0),"※编码不在物料档案里"))</f>
        <v/>
      </c>
      <c r="J3359" s="23" t="n"/>
      <c r="K3359" s="17" t="n"/>
      <c r="L3359" s="17" t="n"/>
      <c r="M3359" s="17" t="n"/>
      <c r="N3359" s="17" t="n"/>
      <c r="O3359" s="26">
        <f>IF($D3359="","",IFERROR(VLOOKUP($D3359,物料档案!$A$4:$P$1203,10,0),0))</f>
        <v/>
      </c>
      <c r="P3359" s="32" t="n"/>
      <c r="Q3359" s="26">
        <f>IF($D3359="","",IF($K3359&lt;&gt;"对外销售",0,ROUND(N($J3359)*IF($P3359="",N($O3359),N($P3359)),0)))</f>
        <v/>
      </c>
      <c r="R3359" s="26">
        <f>IF($D3359="","",IFERROR(VLOOKUP($D3359,库存台账!$A$5:$Y$1204,11,0),0))</f>
        <v/>
      </c>
      <c r="S3359" s="26">
        <f>IF($D3359="","",ROUND(N($J3359)*N($R3359),0))</f>
        <v/>
      </c>
      <c r="T3359" s="26">
        <f>IF($D3359="","",IF($K3359&lt;&gt;"对外销售","",ROUND($Q3359-$S3359,0)))</f>
        <v/>
      </c>
      <c r="U3359" s="17" t="n"/>
      <c r="V3359" s="17" t="n"/>
      <c r="W3359" s="24">
        <f>IF($D3359="","",IF($E3359="※编码不在物料档案里","※物料编码不在档案里",IF(N($J3359)&lt;=0,"※出库数量要大于 0",IF($K3359="","※没填去向类型",IF($L3359="","※没填去向矿区",IF(AND($C3359&lt;&gt;"",$C3359&lt;=结账锁),"※日期早于已结账截止日，不能再录",IF(AND($K3359="自用消耗",COUNTIF({"一矿区";"二矿区"},$L3359)=0),"※自用消耗的去向只能是一矿区或二矿区",IF(AND($K3359="对外销售",COUNTIF({"三矿区";"六矿区"},$L3359)=0),"※对外销售的去向只能是三矿区或六矿区",IF(AND($K3359="对外销售",ROUND($Q3359,0)=0),"※外销却没有售价，请填实际售价",IF(AND($K3359="对外销售",$T3359&lt;&gt;"",$T3359&lt;0),"※这一笔外销是亏的，请核对售价",IF(IFERROR(VLOOKUP($D3359,库存台账!$A$5:$Y$1204,24,0),0)&lt;-0.001,"※这个物料账面已经变成负数了，查一下是不是漏记入库","")))))))))))</f>
        <v/>
      </c>
    </row>
    <row r="3360">
      <c r="A3360" s="24">
        <f>IF($D3360="","",COUNTA($D$4:$D3360))</f>
        <v/>
      </c>
      <c r="B3360" s="17" t="n"/>
      <c r="C3360" s="30" t="n"/>
      <c r="D3360" s="17" t="n"/>
      <c r="E3360" s="24">
        <f>IF($D3360="","",IFERROR(VLOOKUP($D3360,物料档案!$A$4:$P$1203,3,0),"※编码不在物料档案里"))</f>
        <v/>
      </c>
      <c r="F3360" s="24">
        <f>IF($D3360="","",IFERROR(VLOOKUP($D3360,物料档案!$A$4:$P$1203,4,0),"※编码不在物料档案里"))</f>
        <v/>
      </c>
      <c r="G3360" s="24">
        <f>IF($D3360="","",IFERROR(VLOOKUP($D3360,物料档案!$A$4:$P$1203,5,0),"※编码不在物料档案里"))</f>
        <v/>
      </c>
      <c r="H3360" s="24">
        <f>IF($D3360="","",IFERROR(VLOOKUP($D3360,物料档案!$A$4:$P$1203,2,0),"※编码不在物料档案里"))</f>
        <v/>
      </c>
      <c r="I3360" s="24">
        <f>IF($D3360="","",IFERROR(VLOOKUP($D3360,物料档案!$A$4:$P$1203,6,0),"※编码不在物料档案里"))</f>
        <v/>
      </c>
      <c r="J3360" s="23" t="n"/>
      <c r="K3360" s="17" t="n"/>
      <c r="L3360" s="17" t="n"/>
      <c r="M3360" s="17" t="n"/>
      <c r="N3360" s="17" t="n"/>
      <c r="O3360" s="26">
        <f>IF($D3360="","",IFERROR(VLOOKUP($D3360,物料档案!$A$4:$P$1203,10,0),0))</f>
        <v/>
      </c>
      <c r="P3360" s="32" t="n"/>
      <c r="Q3360" s="26">
        <f>IF($D3360="","",IF($K3360&lt;&gt;"对外销售",0,ROUND(N($J3360)*IF($P3360="",N($O3360),N($P3360)),0)))</f>
        <v/>
      </c>
      <c r="R3360" s="26">
        <f>IF($D3360="","",IFERROR(VLOOKUP($D3360,库存台账!$A$5:$Y$1204,11,0),0))</f>
        <v/>
      </c>
      <c r="S3360" s="26">
        <f>IF($D3360="","",ROUND(N($J3360)*N($R3360),0))</f>
        <v/>
      </c>
      <c r="T3360" s="26">
        <f>IF($D3360="","",IF($K3360&lt;&gt;"对外销售","",ROUND($Q3360-$S3360,0)))</f>
        <v/>
      </c>
      <c r="U3360" s="17" t="n"/>
      <c r="V3360" s="17" t="n"/>
      <c r="W3360" s="24">
        <f>IF($D3360="","",IF($E3360="※编码不在物料档案里","※物料编码不在档案里",IF(N($J3360)&lt;=0,"※出库数量要大于 0",IF($K3360="","※没填去向类型",IF($L3360="","※没填去向矿区",IF(AND($C3360&lt;&gt;"",$C3360&lt;=结账锁),"※日期早于已结账截止日，不能再录",IF(AND($K3360="自用消耗",COUNTIF({"一矿区";"二矿区"},$L3360)=0),"※自用消耗的去向只能是一矿区或二矿区",IF(AND($K3360="对外销售",COUNTIF({"三矿区";"六矿区"},$L3360)=0),"※对外销售的去向只能是三矿区或六矿区",IF(AND($K3360="对外销售",ROUND($Q3360,0)=0),"※外销却没有售价，请填实际售价",IF(AND($K3360="对外销售",$T3360&lt;&gt;"",$T3360&lt;0),"※这一笔外销是亏的，请核对售价",IF(IFERROR(VLOOKUP($D3360,库存台账!$A$5:$Y$1204,24,0),0)&lt;-0.001,"※这个物料账面已经变成负数了，查一下是不是漏记入库","")))))))))))</f>
        <v/>
      </c>
    </row>
    <row r="3361">
      <c r="A3361" s="24">
        <f>IF($D3361="","",COUNTA($D$4:$D3361))</f>
        <v/>
      </c>
      <c r="B3361" s="17" t="n"/>
      <c r="C3361" s="30" t="n"/>
      <c r="D3361" s="17" t="n"/>
      <c r="E3361" s="24">
        <f>IF($D3361="","",IFERROR(VLOOKUP($D3361,物料档案!$A$4:$P$1203,3,0),"※编码不在物料档案里"))</f>
        <v/>
      </c>
      <c r="F3361" s="24">
        <f>IF($D3361="","",IFERROR(VLOOKUP($D3361,物料档案!$A$4:$P$1203,4,0),"※编码不在物料档案里"))</f>
        <v/>
      </c>
      <c r="G3361" s="24">
        <f>IF($D3361="","",IFERROR(VLOOKUP($D3361,物料档案!$A$4:$P$1203,5,0),"※编码不在物料档案里"))</f>
        <v/>
      </c>
      <c r="H3361" s="24">
        <f>IF($D3361="","",IFERROR(VLOOKUP($D3361,物料档案!$A$4:$P$1203,2,0),"※编码不在物料档案里"))</f>
        <v/>
      </c>
      <c r="I3361" s="24">
        <f>IF($D3361="","",IFERROR(VLOOKUP($D3361,物料档案!$A$4:$P$1203,6,0),"※编码不在物料档案里"))</f>
        <v/>
      </c>
      <c r="J3361" s="23" t="n"/>
      <c r="K3361" s="17" t="n"/>
      <c r="L3361" s="17" t="n"/>
      <c r="M3361" s="17" t="n"/>
      <c r="N3361" s="17" t="n"/>
      <c r="O3361" s="26">
        <f>IF($D3361="","",IFERROR(VLOOKUP($D3361,物料档案!$A$4:$P$1203,10,0),0))</f>
        <v/>
      </c>
      <c r="P3361" s="32" t="n"/>
      <c r="Q3361" s="26">
        <f>IF($D3361="","",IF($K3361&lt;&gt;"对外销售",0,ROUND(N($J3361)*IF($P3361="",N($O3361),N($P3361)),0)))</f>
        <v/>
      </c>
      <c r="R3361" s="26">
        <f>IF($D3361="","",IFERROR(VLOOKUP($D3361,库存台账!$A$5:$Y$1204,11,0),0))</f>
        <v/>
      </c>
      <c r="S3361" s="26">
        <f>IF($D3361="","",ROUND(N($J3361)*N($R3361),0))</f>
        <v/>
      </c>
      <c r="T3361" s="26">
        <f>IF($D3361="","",IF($K3361&lt;&gt;"对外销售","",ROUND($Q3361-$S3361,0)))</f>
        <v/>
      </c>
      <c r="U3361" s="17" t="n"/>
      <c r="V3361" s="17" t="n"/>
      <c r="W3361" s="24">
        <f>IF($D3361="","",IF($E3361="※编码不在物料档案里","※物料编码不在档案里",IF(N($J3361)&lt;=0,"※出库数量要大于 0",IF($K3361="","※没填去向类型",IF($L3361="","※没填去向矿区",IF(AND($C3361&lt;&gt;"",$C3361&lt;=结账锁),"※日期早于已结账截止日，不能再录",IF(AND($K3361="自用消耗",COUNTIF({"一矿区";"二矿区"},$L3361)=0),"※自用消耗的去向只能是一矿区或二矿区",IF(AND($K3361="对外销售",COUNTIF({"三矿区";"六矿区"},$L3361)=0),"※对外销售的去向只能是三矿区或六矿区",IF(AND($K3361="对外销售",ROUND($Q3361,0)=0),"※外销却没有售价，请填实际售价",IF(AND($K3361="对外销售",$T3361&lt;&gt;"",$T3361&lt;0),"※这一笔外销是亏的，请核对售价",IF(IFERROR(VLOOKUP($D3361,库存台账!$A$5:$Y$1204,24,0),0)&lt;-0.001,"※这个物料账面已经变成负数了，查一下是不是漏记入库","")))))))))))</f>
        <v/>
      </c>
    </row>
    <row r="3362">
      <c r="A3362" s="24">
        <f>IF($D3362="","",COUNTA($D$4:$D3362))</f>
        <v/>
      </c>
      <c r="B3362" s="17" t="n"/>
      <c r="C3362" s="30" t="n"/>
      <c r="D3362" s="17" t="n"/>
      <c r="E3362" s="24">
        <f>IF($D3362="","",IFERROR(VLOOKUP($D3362,物料档案!$A$4:$P$1203,3,0),"※编码不在物料档案里"))</f>
        <v/>
      </c>
      <c r="F3362" s="24">
        <f>IF($D3362="","",IFERROR(VLOOKUP($D3362,物料档案!$A$4:$P$1203,4,0),"※编码不在物料档案里"))</f>
        <v/>
      </c>
      <c r="G3362" s="24">
        <f>IF($D3362="","",IFERROR(VLOOKUP($D3362,物料档案!$A$4:$P$1203,5,0),"※编码不在物料档案里"))</f>
        <v/>
      </c>
      <c r="H3362" s="24">
        <f>IF($D3362="","",IFERROR(VLOOKUP($D3362,物料档案!$A$4:$P$1203,2,0),"※编码不在物料档案里"))</f>
        <v/>
      </c>
      <c r="I3362" s="24">
        <f>IF($D3362="","",IFERROR(VLOOKUP($D3362,物料档案!$A$4:$P$1203,6,0),"※编码不在物料档案里"))</f>
        <v/>
      </c>
      <c r="J3362" s="23" t="n"/>
      <c r="K3362" s="17" t="n"/>
      <c r="L3362" s="17" t="n"/>
      <c r="M3362" s="17" t="n"/>
      <c r="N3362" s="17" t="n"/>
      <c r="O3362" s="26">
        <f>IF($D3362="","",IFERROR(VLOOKUP($D3362,物料档案!$A$4:$P$1203,10,0),0))</f>
        <v/>
      </c>
      <c r="P3362" s="32" t="n"/>
      <c r="Q3362" s="26">
        <f>IF($D3362="","",IF($K3362&lt;&gt;"对外销售",0,ROUND(N($J3362)*IF($P3362="",N($O3362),N($P3362)),0)))</f>
        <v/>
      </c>
      <c r="R3362" s="26">
        <f>IF($D3362="","",IFERROR(VLOOKUP($D3362,库存台账!$A$5:$Y$1204,11,0),0))</f>
        <v/>
      </c>
      <c r="S3362" s="26">
        <f>IF($D3362="","",ROUND(N($J3362)*N($R3362),0))</f>
        <v/>
      </c>
      <c r="T3362" s="26">
        <f>IF($D3362="","",IF($K3362&lt;&gt;"对外销售","",ROUND($Q3362-$S3362,0)))</f>
        <v/>
      </c>
      <c r="U3362" s="17" t="n"/>
      <c r="V3362" s="17" t="n"/>
      <c r="W3362" s="24">
        <f>IF($D3362="","",IF($E3362="※编码不在物料档案里","※物料编码不在档案里",IF(N($J3362)&lt;=0,"※出库数量要大于 0",IF($K3362="","※没填去向类型",IF($L3362="","※没填去向矿区",IF(AND($C3362&lt;&gt;"",$C3362&lt;=结账锁),"※日期早于已结账截止日，不能再录",IF(AND($K3362="自用消耗",COUNTIF({"一矿区";"二矿区"},$L3362)=0),"※自用消耗的去向只能是一矿区或二矿区",IF(AND($K3362="对外销售",COUNTIF({"三矿区";"六矿区"},$L3362)=0),"※对外销售的去向只能是三矿区或六矿区",IF(AND($K3362="对外销售",ROUND($Q3362,0)=0),"※外销却没有售价，请填实际售价",IF(AND($K3362="对外销售",$T3362&lt;&gt;"",$T3362&lt;0),"※这一笔外销是亏的，请核对售价",IF(IFERROR(VLOOKUP($D3362,库存台账!$A$5:$Y$1204,24,0),0)&lt;-0.001,"※这个物料账面已经变成负数了，查一下是不是漏记入库","")))))))))))</f>
        <v/>
      </c>
    </row>
    <row r="3363">
      <c r="A3363" s="24">
        <f>IF($D3363="","",COUNTA($D$4:$D3363))</f>
        <v/>
      </c>
      <c r="B3363" s="17" t="n"/>
      <c r="C3363" s="30" t="n"/>
      <c r="D3363" s="17" t="n"/>
      <c r="E3363" s="24">
        <f>IF($D3363="","",IFERROR(VLOOKUP($D3363,物料档案!$A$4:$P$1203,3,0),"※编码不在物料档案里"))</f>
        <v/>
      </c>
      <c r="F3363" s="24">
        <f>IF($D3363="","",IFERROR(VLOOKUP($D3363,物料档案!$A$4:$P$1203,4,0),"※编码不在物料档案里"))</f>
        <v/>
      </c>
      <c r="G3363" s="24">
        <f>IF($D3363="","",IFERROR(VLOOKUP($D3363,物料档案!$A$4:$P$1203,5,0),"※编码不在物料档案里"))</f>
        <v/>
      </c>
      <c r="H3363" s="24">
        <f>IF($D3363="","",IFERROR(VLOOKUP($D3363,物料档案!$A$4:$P$1203,2,0),"※编码不在物料档案里"))</f>
        <v/>
      </c>
      <c r="I3363" s="24">
        <f>IF($D3363="","",IFERROR(VLOOKUP($D3363,物料档案!$A$4:$P$1203,6,0),"※编码不在物料档案里"))</f>
        <v/>
      </c>
      <c r="J3363" s="23" t="n"/>
      <c r="K3363" s="17" t="n"/>
      <c r="L3363" s="17" t="n"/>
      <c r="M3363" s="17" t="n"/>
      <c r="N3363" s="17" t="n"/>
      <c r="O3363" s="26">
        <f>IF($D3363="","",IFERROR(VLOOKUP($D3363,物料档案!$A$4:$P$1203,10,0),0))</f>
        <v/>
      </c>
      <c r="P3363" s="32" t="n"/>
      <c r="Q3363" s="26">
        <f>IF($D3363="","",IF($K3363&lt;&gt;"对外销售",0,ROUND(N($J3363)*IF($P3363="",N($O3363),N($P3363)),0)))</f>
        <v/>
      </c>
      <c r="R3363" s="26">
        <f>IF($D3363="","",IFERROR(VLOOKUP($D3363,库存台账!$A$5:$Y$1204,11,0),0))</f>
        <v/>
      </c>
      <c r="S3363" s="26">
        <f>IF($D3363="","",ROUND(N($J3363)*N($R3363),0))</f>
        <v/>
      </c>
      <c r="T3363" s="26">
        <f>IF($D3363="","",IF($K3363&lt;&gt;"对外销售","",ROUND($Q3363-$S3363,0)))</f>
        <v/>
      </c>
      <c r="U3363" s="17" t="n"/>
      <c r="V3363" s="17" t="n"/>
      <c r="W3363" s="24">
        <f>IF($D3363="","",IF($E3363="※编码不在物料档案里","※物料编码不在档案里",IF(N($J3363)&lt;=0,"※出库数量要大于 0",IF($K3363="","※没填去向类型",IF($L3363="","※没填去向矿区",IF(AND($C3363&lt;&gt;"",$C3363&lt;=结账锁),"※日期早于已结账截止日，不能再录",IF(AND($K3363="自用消耗",COUNTIF({"一矿区";"二矿区"},$L3363)=0),"※自用消耗的去向只能是一矿区或二矿区",IF(AND($K3363="对外销售",COUNTIF({"三矿区";"六矿区"},$L3363)=0),"※对外销售的去向只能是三矿区或六矿区",IF(AND($K3363="对外销售",ROUND($Q3363,0)=0),"※外销却没有售价，请填实际售价",IF(AND($K3363="对外销售",$T3363&lt;&gt;"",$T3363&lt;0),"※这一笔外销是亏的，请核对售价",IF(IFERROR(VLOOKUP($D3363,库存台账!$A$5:$Y$1204,24,0),0)&lt;-0.001,"※这个物料账面已经变成负数了，查一下是不是漏记入库","")))))))))))</f>
        <v/>
      </c>
    </row>
    <row r="3364">
      <c r="A3364" s="24">
        <f>IF($D3364="","",COUNTA($D$4:$D3364))</f>
        <v/>
      </c>
      <c r="B3364" s="17" t="n"/>
      <c r="C3364" s="30" t="n"/>
      <c r="D3364" s="17" t="n"/>
      <c r="E3364" s="24">
        <f>IF($D3364="","",IFERROR(VLOOKUP($D3364,物料档案!$A$4:$P$1203,3,0),"※编码不在物料档案里"))</f>
        <v/>
      </c>
      <c r="F3364" s="24">
        <f>IF($D3364="","",IFERROR(VLOOKUP($D3364,物料档案!$A$4:$P$1203,4,0),"※编码不在物料档案里"))</f>
        <v/>
      </c>
      <c r="G3364" s="24">
        <f>IF($D3364="","",IFERROR(VLOOKUP($D3364,物料档案!$A$4:$P$1203,5,0),"※编码不在物料档案里"))</f>
        <v/>
      </c>
      <c r="H3364" s="24">
        <f>IF($D3364="","",IFERROR(VLOOKUP($D3364,物料档案!$A$4:$P$1203,2,0),"※编码不在物料档案里"))</f>
        <v/>
      </c>
      <c r="I3364" s="24">
        <f>IF($D3364="","",IFERROR(VLOOKUP($D3364,物料档案!$A$4:$P$1203,6,0),"※编码不在物料档案里"))</f>
        <v/>
      </c>
      <c r="J3364" s="23" t="n"/>
      <c r="K3364" s="17" t="n"/>
      <c r="L3364" s="17" t="n"/>
      <c r="M3364" s="17" t="n"/>
      <c r="N3364" s="17" t="n"/>
      <c r="O3364" s="26">
        <f>IF($D3364="","",IFERROR(VLOOKUP($D3364,物料档案!$A$4:$P$1203,10,0),0))</f>
        <v/>
      </c>
      <c r="P3364" s="32" t="n"/>
      <c r="Q3364" s="26">
        <f>IF($D3364="","",IF($K3364&lt;&gt;"对外销售",0,ROUND(N($J3364)*IF($P3364="",N($O3364),N($P3364)),0)))</f>
        <v/>
      </c>
      <c r="R3364" s="26">
        <f>IF($D3364="","",IFERROR(VLOOKUP($D3364,库存台账!$A$5:$Y$1204,11,0),0))</f>
        <v/>
      </c>
      <c r="S3364" s="26">
        <f>IF($D3364="","",ROUND(N($J3364)*N($R3364),0))</f>
        <v/>
      </c>
      <c r="T3364" s="26">
        <f>IF($D3364="","",IF($K3364&lt;&gt;"对外销售","",ROUND($Q3364-$S3364,0)))</f>
        <v/>
      </c>
      <c r="U3364" s="17" t="n"/>
      <c r="V3364" s="17" t="n"/>
      <c r="W3364" s="24">
        <f>IF($D3364="","",IF($E3364="※编码不在物料档案里","※物料编码不在档案里",IF(N($J3364)&lt;=0,"※出库数量要大于 0",IF($K3364="","※没填去向类型",IF($L3364="","※没填去向矿区",IF(AND($C3364&lt;&gt;"",$C3364&lt;=结账锁),"※日期早于已结账截止日，不能再录",IF(AND($K3364="自用消耗",COUNTIF({"一矿区";"二矿区"},$L3364)=0),"※自用消耗的去向只能是一矿区或二矿区",IF(AND($K3364="对外销售",COUNTIF({"三矿区";"六矿区"},$L3364)=0),"※对外销售的去向只能是三矿区或六矿区",IF(AND($K3364="对外销售",ROUND($Q3364,0)=0),"※外销却没有售价，请填实际售价",IF(AND($K3364="对外销售",$T3364&lt;&gt;"",$T3364&lt;0),"※这一笔外销是亏的，请核对售价",IF(IFERROR(VLOOKUP($D3364,库存台账!$A$5:$Y$1204,24,0),0)&lt;-0.001,"※这个物料账面已经变成负数了，查一下是不是漏记入库","")))))))))))</f>
        <v/>
      </c>
    </row>
    <row r="3365">
      <c r="A3365" s="24">
        <f>IF($D3365="","",COUNTA($D$4:$D3365))</f>
        <v/>
      </c>
      <c r="B3365" s="17" t="n"/>
      <c r="C3365" s="30" t="n"/>
      <c r="D3365" s="17" t="n"/>
      <c r="E3365" s="24">
        <f>IF($D3365="","",IFERROR(VLOOKUP($D3365,物料档案!$A$4:$P$1203,3,0),"※编码不在物料档案里"))</f>
        <v/>
      </c>
      <c r="F3365" s="24">
        <f>IF($D3365="","",IFERROR(VLOOKUP($D3365,物料档案!$A$4:$P$1203,4,0),"※编码不在物料档案里"))</f>
        <v/>
      </c>
      <c r="G3365" s="24">
        <f>IF($D3365="","",IFERROR(VLOOKUP($D3365,物料档案!$A$4:$P$1203,5,0),"※编码不在物料档案里"))</f>
        <v/>
      </c>
      <c r="H3365" s="24">
        <f>IF($D3365="","",IFERROR(VLOOKUP($D3365,物料档案!$A$4:$P$1203,2,0),"※编码不在物料档案里"))</f>
        <v/>
      </c>
      <c r="I3365" s="24">
        <f>IF($D3365="","",IFERROR(VLOOKUP($D3365,物料档案!$A$4:$P$1203,6,0),"※编码不在物料档案里"))</f>
        <v/>
      </c>
      <c r="J3365" s="23" t="n"/>
      <c r="K3365" s="17" t="n"/>
      <c r="L3365" s="17" t="n"/>
      <c r="M3365" s="17" t="n"/>
      <c r="N3365" s="17" t="n"/>
      <c r="O3365" s="26">
        <f>IF($D3365="","",IFERROR(VLOOKUP($D3365,物料档案!$A$4:$P$1203,10,0),0))</f>
        <v/>
      </c>
      <c r="P3365" s="32" t="n"/>
      <c r="Q3365" s="26">
        <f>IF($D3365="","",IF($K3365&lt;&gt;"对外销售",0,ROUND(N($J3365)*IF($P3365="",N($O3365),N($P3365)),0)))</f>
        <v/>
      </c>
      <c r="R3365" s="26">
        <f>IF($D3365="","",IFERROR(VLOOKUP($D3365,库存台账!$A$5:$Y$1204,11,0),0))</f>
        <v/>
      </c>
      <c r="S3365" s="26">
        <f>IF($D3365="","",ROUND(N($J3365)*N($R3365),0))</f>
        <v/>
      </c>
      <c r="T3365" s="26">
        <f>IF($D3365="","",IF($K3365&lt;&gt;"对外销售","",ROUND($Q3365-$S3365,0)))</f>
        <v/>
      </c>
      <c r="U3365" s="17" t="n"/>
      <c r="V3365" s="17" t="n"/>
      <c r="W3365" s="24">
        <f>IF($D3365="","",IF($E3365="※编码不在物料档案里","※物料编码不在档案里",IF(N($J3365)&lt;=0,"※出库数量要大于 0",IF($K3365="","※没填去向类型",IF($L3365="","※没填去向矿区",IF(AND($C3365&lt;&gt;"",$C3365&lt;=结账锁),"※日期早于已结账截止日，不能再录",IF(AND($K3365="自用消耗",COUNTIF({"一矿区";"二矿区"},$L3365)=0),"※自用消耗的去向只能是一矿区或二矿区",IF(AND($K3365="对外销售",COUNTIF({"三矿区";"六矿区"},$L3365)=0),"※对外销售的去向只能是三矿区或六矿区",IF(AND($K3365="对外销售",ROUND($Q3365,0)=0),"※外销却没有售价，请填实际售价",IF(AND($K3365="对外销售",$T3365&lt;&gt;"",$T3365&lt;0),"※这一笔外销是亏的，请核对售价",IF(IFERROR(VLOOKUP($D3365,库存台账!$A$5:$Y$1204,24,0),0)&lt;-0.001,"※这个物料账面已经变成负数了，查一下是不是漏记入库","")))))))))))</f>
        <v/>
      </c>
    </row>
    <row r="3366">
      <c r="A3366" s="24">
        <f>IF($D3366="","",COUNTA($D$4:$D3366))</f>
        <v/>
      </c>
      <c r="B3366" s="17" t="n"/>
      <c r="C3366" s="30" t="n"/>
      <c r="D3366" s="17" t="n"/>
      <c r="E3366" s="24">
        <f>IF($D3366="","",IFERROR(VLOOKUP($D3366,物料档案!$A$4:$P$1203,3,0),"※编码不在物料档案里"))</f>
        <v/>
      </c>
      <c r="F3366" s="24">
        <f>IF($D3366="","",IFERROR(VLOOKUP($D3366,物料档案!$A$4:$P$1203,4,0),"※编码不在物料档案里"))</f>
        <v/>
      </c>
      <c r="G3366" s="24">
        <f>IF($D3366="","",IFERROR(VLOOKUP($D3366,物料档案!$A$4:$P$1203,5,0),"※编码不在物料档案里"))</f>
        <v/>
      </c>
      <c r="H3366" s="24">
        <f>IF($D3366="","",IFERROR(VLOOKUP($D3366,物料档案!$A$4:$P$1203,2,0),"※编码不在物料档案里"))</f>
        <v/>
      </c>
      <c r="I3366" s="24">
        <f>IF($D3366="","",IFERROR(VLOOKUP($D3366,物料档案!$A$4:$P$1203,6,0),"※编码不在物料档案里"))</f>
        <v/>
      </c>
      <c r="J3366" s="23" t="n"/>
      <c r="K3366" s="17" t="n"/>
      <c r="L3366" s="17" t="n"/>
      <c r="M3366" s="17" t="n"/>
      <c r="N3366" s="17" t="n"/>
      <c r="O3366" s="26">
        <f>IF($D3366="","",IFERROR(VLOOKUP($D3366,物料档案!$A$4:$P$1203,10,0),0))</f>
        <v/>
      </c>
      <c r="P3366" s="32" t="n"/>
      <c r="Q3366" s="26">
        <f>IF($D3366="","",IF($K3366&lt;&gt;"对外销售",0,ROUND(N($J3366)*IF($P3366="",N($O3366),N($P3366)),0)))</f>
        <v/>
      </c>
      <c r="R3366" s="26">
        <f>IF($D3366="","",IFERROR(VLOOKUP($D3366,库存台账!$A$5:$Y$1204,11,0),0))</f>
        <v/>
      </c>
      <c r="S3366" s="26">
        <f>IF($D3366="","",ROUND(N($J3366)*N($R3366),0))</f>
        <v/>
      </c>
      <c r="T3366" s="26">
        <f>IF($D3366="","",IF($K3366&lt;&gt;"对外销售","",ROUND($Q3366-$S3366,0)))</f>
        <v/>
      </c>
      <c r="U3366" s="17" t="n"/>
      <c r="V3366" s="17" t="n"/>
      <c r="W3366" s="24">
        <f>IF($D3366="","",IF($E3366="※编码不在物料档案里","※物料编码不在档案里",IF(N($J3366)&lt;=0,"※出库数量要大于 0",IF($K3366="","※没填去向类型",IF($L3366="","※没填去向矿区",IF(AND($C3366&lt;&gt;"",$C3366&lt;=结账锁),"※日期早于已结账截止日，不能再录",IF(AND($K3366="自用消耗",COUNTIF({"一矿区";"二矿区"},$L3366)=0),"※自用消耗的去向只能是一矿区或二矿区",IF(AND($K3366="对外销售",COUNTIF({"三矿区";"六矿区"},$L3366)=0),"※对外销售的去向只能是三矿区或六矿区",IF(AND($K3366="对外销售",ROUND($Q3366,0)=0),"※外销却没有售价，请填实际售价",IF(AND($K3366="对外销售",$T3366&lt;&gt;"",$T3366&lt;0),"※这一笔外销是亏的，请核对售价",IF(IFERROR(VLOOKUP($D3366,库存台账!$A$5:$Y$1204,24,0),0)&lt;-0.001,"※这个物料账面已经变成负数了，查一下是不是漏记入库","")))))))))))</f>
        <v/>
      </c>
    </row>
    <row r="3367">
      <c r="A3367" s="24">
        <f>IF($D3367="","",COUNTA($D$4:$D3367))</f>
        <v/>
      </c>
      <c r="B3367" s="17" t="n"/>
      <c r="C3367" s="30" t="n"/>
      <c r="D3367" s="17" t="n"/>
      <c r="E3367" s="24">
        <f>IF($D3367="","",IFERROR(VLOOKUP($D3367,物料档案!$A$4:$P$1203,3,0),"※编码不在物料档案里"))</f>
        <v/>
      </c>
      <c r="F3367" s="24">
        <f>IF($D3367="","",IFERROR(VLOOKUP($D3367,物料档案!$A$4:$P$1203,4,0),"※编码不在物料档案里"))</f>
        <v/>
      </c>
      <c r="G3367" s="24">
        <f>IF($D3367="","",IFERROR(VLOOKUP($D3367,物料档案!$A$4:$P$1203,5,0),"※编码不在物料档案里"))</f>
        <v/>
      </c>
      <c r="H3367" s="24">
        <f>IF($D3367="","",IFERROR(VLOOKUP($D3367,物料档案!$A$4:$P$1203,2,0),"※编码不在物料档案里"))</f>
        <v/>
      </c>
      <c r="I3367" s="24">
        <f>IF($D3367="","",IFERROR(VLOOKUP($D3367,物料档案!$A$4:$P$1203,6,0),"※编码不在物料档案里"))</f>
        <v/>
      </c>
      <c r="J3367" s="23" t="n"/>
      <c r="K3367" s="17" t="n"/>
      <c r="L3367" s="17" t="n"/>
      <c r="M3367" s="17" t="n"/>
      <c r="N3367" s="17" t="n"/>
      <c r="O3367" s="26">
        <f>IF($D3367="","",IFERROR(VLOOKUP($D3367,物料档案!$A$4:$P$1203,10,0),0))</f>
        <v/>
      </c>
      <c r="P3367" s="32" t="n"/>
      <c r="Q3367" s="26">
        <f>IF($D3367="","",IF($K3367&lt;&gt;"对外销售",0,ROUND(N($J3367)*IF($P3367="",N($O3367),N($P3367)),0)))</f>
        <v/>
      </c>
      <c r="R3367" s="26">
        <f>IF($D3367="","",IFERROR(VLOOKUP($D3367,库存台账!$A$5:$Y$1204,11,0),0))</f>
        <v/>
      </c>
      <c r="S3367" s="26">
        <f>IF($D3367="","",ROUND(N($J3367)*N($R3367),0))</f>
        <v/>
      </c>
      <c r="T3367" s="26">
        <f>IF($D3367="","",IF($K3367&lt;&gt;"对外销售","",ROUND($Q3367-$S3367,0)))</f>
        <v/>
      </c>
      <c r="U3367" s="17" t="n"/>
      <c r="V3367" s="17" t="n"/>
      <c r="W3367" s="24">
        <f>IF($D3367="","",IF($E3367="※编码不在物料档案里","※物料编码不在档案里",IF(N($J3367)&lt;=0,"※出库数量要大于 0",IF($K3367="","※没填去向类型",IF($L3367="","※没填去向矿区",IF(AND($C3367&lt;&gt;"",$C3367&lt;=结账锁),"※日期早于已结账截止日，不能再录",IF(AND($K3367="自用消耗",COUNTIF({"一矿区";"二矿区"},$L3367)=0),"※自用消耗的去向只能是一矿区或二矿区",IF(AND($K3367="对外销售",COUNTIF({"三矿区";"六矿区"},$L3367)=0),"※对外销售的去向只能是三矿区或六矿区",IF(AND($K3367="对外销售",ROUND($Q3367,0)=0),"※外销却没有售价，请填实际售价",IF(AND($K3367="对外销售",$T3367&lt;&gt;"",$T3367&lt;0),"※这一笔外销是亏的，请核对售价",IF(IFERROR(VLOOKUP($D3367,库存台账!$A$5:$Y$1204,24,0),0)&lt;-0.001,"※这个物料账面已经变成负数了，查一下是不是漏记入库","")))))))))))</f>
        <v/>
      </c>
    </row>
    <row r="3368">
      <c r="A3368" s="24">
        <f>IF($D3368="","",COUNTA($D$4:$D3368))</f>
        <v/>
      </c>
      <c r="B3368" s="17" t="n"/>
      <c r="C3368" s="30" t="n"/>
      <c r="D3368" s="17" t="n"/>
      <c r="E3368" s="24">
        <f>IF($D3368="","",IFERROR(VLOOKUP($D3368,物料档案!$A$4:$P$1203,3,0),"※编码不在物料档案里"))</f>
        <v/>
      </c>
      <c r="F3368" s="24">
        <f>IF($D3368="","",IFERROR(VLOOKUP($D3368,物料档案!$A$4:$P$1203,4,0),"※编码不在物料档案里"))</f>
        <v/>
      </c>
      <c r="G3368" s="24">
        <f>IF($D3368="","",IFERROR(VLOOKUP($D3368,物料档案!$A$4:$P$1203,5,0),"※编码不在物料档案里"))</f>
        <v/>
      </c>
      <c r="H3368" s="24">
        <f>IF($D3368="","",IFERROR(VLOOKUP($D3368,物料档案!$A$4:$P$1203,2,0),"※编码不在物料档案里"))</f>
        <v/>
      </c>
      <c r="I3368" s="24">
        <f>IF($D3368="","",IFERROR(VLOOKUP($D3368,物料档案!$A$4:$P$1203,6,0),"※编码不在物料档案里"))</f>
        <v/>
      </c>
      <c r="J3368" s="23" t="n"/>
      <c r="K3368" s="17" t="n"/>
      <c r="L3368" s="17" t="n"/>
      <c r="M3368" s="17" t="n"/>
      <c r="N3368" s="17" t="n"/>
      <c r="O3368" s="26">
        <f>IF($D3368="","",IFERROR(VLOOKUP($D3368,物料档案!$A$4:$P$1203,10,0),0))</f>
        <v/>
      </c>
      <c r="P3368" s="32" t="n"/>
      <c r="Q3368" s="26">
        <f>IF($D3368="","",IF($K3368&lt;&gt;"对外销售",0,ROUND(N($J3368)*IF($P3368="",N($O3368),N($P3368)),0)))</f>
        <v/>
      </c>
      <c r="R3368" s="26">
        <f>IF($D3368="","",IFERROR(VLOOKUP($D3368,库存台账!$A$5:$Y$1204,11,0),0))</f>
        <v/>
      </c>
      <c r="S3368" s="26">
        <f>IF($D3368="","",ROUND(N($J3368)*N($R3368),0))</f>
        <v/>
      </c>
      <c r="T3368" s="26">
        <f>IF($D3368="","",IF($K3368&lt;&gt;"对外销售","",ROUND($Q3368-$S3368,0)))</f>
        <v/>
      </c>
      <c r="U3368" s="17" t="n"/>
      <c r="V3368" s="17" t="n"/>
      <c r="W3368" s="24">
        <f>IF($D3368="","",IF($E3368="※编码不在物料档案里","※物料编码不在档案里",IF(N($J3368)&lt;=0,"※出库数量要大于 0",IF($K3368="","※没填去向类型",IF($L3368="","※没填去向矿区",IF(AND($C3368&lt;&gt;"",$C3368&lt;=结账锁),"※日期早于已结账截止日，不能再录",IF(AND($K3368="自用消耗",COUNTIF({"一矿区";"二矿区"},$L3368)=0),"※自用消耗的去向只能是一矿区或二矿区",IF(AND($K3368="对外销售",COUNTIF({"三矿区";"六矿区"},$L3368)=0),"※对外销售的去向只能是三矿区或六矿区",IF(AND($K3368="对外销售",ROUND($Q3368,0)=0),"※外销却没有售价，请填实际售价",IF(AND($K3368="对外销售",$T3368&lt;&gt;"",$T3368&lt;0),"※这一笔外销是亏的，请核对售价",IF(IFERROR(VLOOKUP($D3368,库存台账!$A$5:$Y$1204,24,0),0)&lt;-0.001,"※这个物料账面已经变成负数了，查一下是不是漏记入库","")))))))))))</f>
        <v/>
      </c>
    </row>
    <row r="3369">
      <c r="A3369" s="24">
        <f>IF($D3369="","",COUNTA($D$4:$D3369))</f>
        <v/>
      </c>
      <c r="B3369" s="17" t="n"/>
      <c r="C3369" s="30" t="n"/>
      <c r="D3369" s="17" t="n"/>
      <c r="E3369" s="24">
        <f>IF($D3369="","",IFERROR(VLOOKUP($D3369,物料档案!$A$4:$P$1203,3,0),"※编码不在物料档案里"))</f>
        <v/>
      </c>
      <c r="F3369" s="24">
        <f>IF($D3369="","",IFERROR(VLOOKUP($D3369,物料档案!$A$4:$P$1203,4,0),"※编码不在物料档案里"))</f>
        <v/>
      </c>
      <c r="G3369" s="24">
        <f>IF($D3369="","",IFERROR(VLOOKUP($D3369,物料档案!$A$4:$P$1203,5,0),"※编码不在物料档案里"))</f>
        <v/>
      </c>
      <c r="H3369" s="24">
        <f>IF($D3369="","",IFERROR(VLOOKUP($D3369,物料档案!$A$4:$P$1203,2,0),"※编码不在物料档案里"))</f>
        <v/>
      </c>
      <c r="I3369" s="24">
        <f>IF($D3369="","",IFERROR(VLOOKUP($D3369,物料档案!$A$4:$P$1203,6,0),"※编码不在物料档案里"))</f>
        <v/>
      </c>
      <c r="J3369" s="23" t="n"/>
      <c r="K3369" s="17" t="n"/>
      <c r="L3369" s="17" t="n"/>
      <c r="M3369" s="17" t="n"/>
      <c r="N3369" s="17" t="n"/>
      <c r="O3369" s="26">
        <f>IF($D3369="","",IFERROR(VLOOKUP($D3369,物料档案!$A$4:$P$1203,10,0),0))</f>
        <v/>
      </c>
      <c r="P3369" s="32" t="n"/>
      <c r="Q3369" s="26">
        <f>IF($D3369="","",IF($K3369&lt;&gt;"对外销售",0,ROUND(N($J3369)*IF($P3369="",N($O3369),N($P3369)),0)))</f>
        <v/>
      </c>
      <c r="R3369" s="26">
        <f>IF($D3369="","",IFERROR(VLOOKUP($D3369,库存台账!$A$5:$Y$1204,11,0),0))</f>
        <v/>
      </c>
      <c r="S3369" s="26">
        <f>IF($D3369="","",ROUND(N($J3369)*N($R3369),0))</f>
        <v/>
      </c>
      <c r="T3369" s="26">
        <f>IF($D3369="","",IF($K3369&lt;&gt;"对外销售","",ROUND($Q3369-$S3369,0)))</f>
        <v/>
      </c>
      <c r="U3369" s="17" t="n"/>
      <c r="V3369" s="17" t="n"/>
      <c r="W3369" s="24">
        <f>IF($D3369="","",IF($E3369="※编码不在物料档案里","※物料编码不在档案里",IF(N($J3369)&lt;=0,"※出库数量要大于 0",IF($K3369="","※没填去向类型",IF($L3369="","※没填去向矿区",IF(AND($C3369&lt;&gt;"",$C3369&lt;=结账锁),"※日期早于已结账截止日，不能再录",IF(AND($K3369="自用消耗",COUNTIF({"一矿区";"二矿区"},$L3369)=0),"※自用消耗的去向只能是一矿区或二矿区",IF(AND($K3369="对外销售",COUNTIF({"三矿区";"六矿区"},$L3369)=0),"※对外销售的去向只能是三矿区或六矿区",IF(AND($K3369="对外销售",ROUND($Q3369,0)=0),"※外销却没有售价，请填实际售价",IF(AND($K3369="对外销售",$T3369&lt;&gt;"",$T3369&lt;0),"※这一笔外销是亏的，请核对售价",IF(IFERROR(VLOOKUP($D3369,库存台账!$A$5:$Y$1204,24,0),0)&lt;-0.001,"※这个物料账面已经变成负数了，查一下是不是漏记入库","")))))))))))</f>
        <v/>
      </c>
    </row>
    <row r="3370">
      <c r="A3370" s="24">
        <f>IF($D3370="","",COUNTA($D$4:$D3370))</f>
        <v/>
      </c>
      <c r="B3370" s="17" t="n"/>
      <c r="C3370" s="30" t="n"/>
      <c r="D3370" s="17" t="n"/>
      <c r="E3370" s="24">
        <f>IF($D3370="","",IFERROR(VLOOKUP($D3370,物料档案!$A$4:$P$1203,3,0),"※编码不在物料档案里"))</f>
        <v/>
      </c>
      <c r="F3370" s="24">
        <f>IF($D3370="","",IFERROR(VLOOKUP($D3370,物料档案!$A$4:$P$1203,4,0),"※编码不在物料档案里"))</f>
        <v/>
      </c>
      <c r="G3370" s="24">
        <f>IF($D3370="","",IFERROR(VLOOKUP($D3370,物料档案!$A$4:$P$1203,5,0),"※编码不在物料档案里"))</f>
        <v/>
      </c>
      <c r="H3370" s="24">
        <f>IF($D3370="","",IFERROR(VLOOKUP($D3370,物料档案!$A$4:$P$1203,2,0),"※编码不在物料档案里"))</f>
        <v/>
      </c>
      <c r="I3370" s="24">
        <f>IF($D3370="","",IFERROR(VLOOKUP($D3370,物料档案!$A$4:$P$1203,6,0),"※编码不在物料档案里"))</f>
        <v/>
      </c>
      <c r="J3370" s="23" t="n"/>
      <c r="K3370" s="17" t="n"/>
      <c r="L3370" s="17" t="n"/>
      <c r="M3370" s="17" t="n"/>
      <c r="N3370" s="17" t="n"/>
      <c r="O3370" s="26">
        <f>IF($D3370="","",IFERROR(VLOOKUP($D3370,物料档案!$A$4:$P$1203,10,0),0))</f>
        <v/>
      </c>
      <c r="P3370" s="32" t="n"/>
      <c r="Q3370" s="26">
        <f>IF($D3370="","",IF($K3370&lt;&gt;"对外销售",0,ROUND(N($J3370)*IF($P3370="",N($O3370),N($P3370)),0)))</f>
        <v/>
      </c>
      <c r="R3370" s="26">
        <f>IF($D3370="","",IFERROR(VLOOKUP($D3370,库存台账!$A$5:$Y$1204,11,0),0))</f>
        <v/>
      </c>
      <c r="S3370" s="26">
        <f>IF($D3370="","",ROUND(N($J3370)*N($R3370),0))</f>
        <v/>
      </c>
      <c r="T3370" s="26">
        <f>IF($D3370="","",IF($K3370&lt;&gt;"对外销售","",ROUND($Q3370-$S3370,0)))</f>
        <v/>
      </c>
      <c r="U3370" s="17" t="n"/>
      <c r="V3370" s="17" t="n"/>
      <c r="W3370" s="24">
        <f>IF($D3370="","",IF($E3370="※编码不在物料档案里","※物料编码不在档案里",IF(N($J3370)&lt;=0,"※出库数量要大于 0",IF($K3370="","※没填去向类型",IF($L3370="","※没填去向矿区",IF(AND($C3370&lt;&gt;"",$C3370&lt;=结账锁),"※日期早于已结账截止日，不能再录",IF(AND($K3370="自用消耗",COUNTIF({"一矿区";"二矿区"},$L3370)=0),"※自用消耗的去向只能是一矿区或二矿区",IF(AND($K3370="对外销售",COUNTIF({"三矿区";"六矿区"},$L3370)=0),"※对外销售的去向只能是三矿区或六矿区",IF(AND($K3370="对外销售",ROUND($Q3370,0)=0),"※外销却没有售价，请填实际售价",IF(AND($K3370="对外销售",$T3370&lt;&gt;"",$T3370&lt;0),"※这一笔外销是亏的，请核对售价",IF(IFERROR(VLOOKUP($D3370,库存台账!$A$5:$Y$1204,24,0),0)&lt;-0.001,"※这个物料账面已经变成负数了，查一下是不是漏记入库","")))))))))))</f>
        <v/>
      </c>
    </row>
    <row r="3371">
      <c r="A3371" s="24">
        <f>IF($D3371="","",COUNTA($D$4:$D3371))</f>
        <v/>
      </c>
      <c r="B3371" s="17" t="n"/>
      <c r="C3371" s="30" t="n"/>
      <c r="D3371" s="17" t="n"/>
      <c r="E3371" s="24">
        <f>IF($D3371="","",IFERROR(VLOOKUP($D3371,物料档案!$A$4:$P$1203,3,0),"※编码不在物料档案里"))</f>
        <v/>
      </c>
      <c r="F3371" s="24">
        <f>IF($D3371="","",IFERROR(VLOOKUP($D3371,物料档案!$A$4:$P$1203,4,0),"※编码不在物料档案里"))</f>
        <v/>
      </c>
      <c r="G3371" s="24">
        <f>IF($D3371="","",IFERROR(VLOOKUP($D3371,物料档案!$A$4:$P$1203,5,0),"※编码不在物料档案里"))</f>
        <v/>
      </c>
      <c r="H3371" s="24">
        <f>IF($D3371="","",IFERROR(VLOOKUP($D3371,物料档案!$A$4:$P$1203,2,0),"※编码不在物料档案里"))</f>
        <v/>
      </c>
      <c r="I3371" s="24">
        <f>IF($D3371="","",IFERROR(VLOOKUP($D3371,物料档案!$A$4:$P$1203,6,0),"※编码不在物料档案里"))</f>
        <v/>
      </c>
      <c r="J3371" s="23" t="n"/>
      <c r="K3371" s="17" t="n"/>
      <c r="L3371" s="17" t="n"/>
      <c r="M3371" s="17" t="n"/>
      <c r="N3371" s="17" t="n"/>
      <c r="O3371" s="26">
        <f>IF($D3371="","",IFERROR(VLOOKUP($D3371,物料档案!$A$4:$P$1203,10,0),0))</f>
        <v/>
      </c>
      <c r="P3371" s="32" t="n"/>
      <c r="Q3371" s="26">
        <f>IF($D3371="","",IF($K3371&lt;&gt;"对外销售",0,ROUND(N($J3371)*IF($P3371="",N($O3371),N($P3371)),0)))</f>
        <v/>
      </c>
      <c r="R3371" s="26">
        <f>IF($D3371="","",IFERROR(VLOOKUP($D3371,库存台账!$A$5:$Y$1204,11,0),0))</f>
        <v/>
      </c>
      <c r="S3371" s="26">
        <f>IF($D3371="","",ROUND(N($J3371)*N($R3371),0))</f>
        <v/>
      </c>
      <c r="T3371" s="26">
        <f>IF($D3371="","",IF($K3371&lt;&gt;"对外销售","",ROUND($Q3371-$S3371,0)))</f>
        <v/>
      </c>
      <c r="U3371" s="17" t="n"/>
      <c r="V3371" s="17" t="n"/>
      <c r="W3371" s="24">
        <f>IF($D3371="","",IF($E3371="※编码不在物料档案里","※物料编码不在档案里",IF(N($J3371)&lt;=0,"※出库数量要大于 0",IF($K3371="","※没填去向类型",IF($L3371="","※没填去向矿区",IF(AND($C3371&lt;&gt;"",$C3371&lt;=结账锁),"※日期早于已结账截止日，不能再录",IF(AND($K3371="自用消耗",COUNTIF({"一矿区";"二矿区"},$L3371)=0),"※自用消耗的去向只能是一矿区或二矿区",IF(AND($K3371="对外销售",COUNTIF({"三矿区";"六矿区"},$L3371)=0),"※对外销售的去向只能是三矿区或六矿区",IF(AND($K3371="对外销售",ROUND($Q3371,0)=0),"※外销却没有售价，请填实际售价",IF(AND($K3371="对外销售",$T3371&lt;&gt;"",$T3371&lt;0),"※这一笔外销是亏的，请核对售价",IF(IFERROR(VLOOKUP($D3371,库存台账!$A$5:$Y$1204,24,0),0)&lt;-0.001,"※这个物料账面已经变成负数了，查一下是不是漏记入库","")))))))))))</f>
        <v/>
      </c>
    </row>
    <row r="3372">
      <c r="A3372" s="24">
        <f>IF($D3372="","",COUNTA($D$4:$D3372))</f>
        <v/>
      </c>
      <c r="B3372" s="17" t="n"/>
      <c r="C3372" s="30" t="n"/>
      <c r="D3372" s="17" t="n"/>
      <c r="E3372" s="24">
        <f>IF($D3372="","",IFERROR(VLOOKUP($D3372,物料档案!$A$4:$P$1203,3,0),"※编码不在物料档案里"))</f>
        <v/>
      </c>
      <c r="F3372" s="24">
        <f>IF($D3372="","",IFERROR(VLOOKUP($D3372,物料档案!$A$4:$P$1203,4,0),"※编码不在物料档案里"))</f>
        <v/>
      </c>
      <c r="G3372" s="24">
        <f>IF($D3372="","",IFERROR(VLOOKUP($D3372,物料档案!$A$4:$P$1203,5,0),"※编码不在物料档案里"))</f>
        <v/>
      </c>
      <c r="H3372" s="24">
        <f>IF($D3372="","",IFERROR(VLOOKUP($D3372,物料档案!$A$4:$P$1203,2,0),"※编码不在物料档案里"))</f>
        <v/>
      </c>
      <c r="I3372" s="24">
        <f>IF($D3372="","",IFERROR(VLOOKUP($D3372,物料档案!$A$4:$P$1203,6,0),"※编码不在物料档案里"))</f>
        <v/>
      </c>
      <c r="J3372" s="23" t="n"/>
      <c r="K3372" s="17" t="n"/>
      <c r="L3372" s="17" t="n"/>
      <c r="M3372" s="17" t="n"/>
      <c r="N3372" s="17" t="n"/>
      <c r="O3372" s="26">
        <f>IF($D3372="","",IFERROR(VLOOKUP($D3372,物料档案!$A$4:$P$1203,10,0),0))</f>
        <v/>
      </c>
      <c r="P3372" s="32" t="n"/>
      <c r="Q3372" s="26">
        <f>IF($D3372="","",IF($K3372&lt;&gt;"对外销售",0,ROUND(N($J3372)*IF($P3372="",N($O3372),N($P3372)),0)))</f>
        <v/>
      </c>
      <c r="R3372" s="26">
        <f>IF($D3372="","",IFERROR(VLOOKUP($D3372,库存台账!$A$5:$Y$1204,11,0),0))</f>
        <v/>
      </c>
      <c r="S3372" s="26">
        <f>IF($D3372="","",ROUND(N($J3372)*N($R3372),0))</f>
        <v/>
      </c>
      <c r="T3372" s="26">
        <f>IF($D3372="","",IF($K3372&lt;&gt;"对外销售","",ROUND($Q3372-$S3372,0)))</f>
        <v/>
      </c>
      <c r="U3372" s="17" t="n"/>
      <c r="V3372" s="17" t="n"/>
      <c r="W3372" s="24">
        <f>IF($D3372="","",IF($E3372="※编码不在物料档案里","※物料编码不在档案里",IF(N($J3372)&lt;=0,"※出库数量要大于 0",IF($K3372="","※没填去向类型",IF($L3372="","※没填去向矿区",IF(AND($C3372&lt;&gt;"",$C3372&lt;=结账锁),"※日期早于已结账截止日，不能再录",IF(AND($K3372="自用消耗",COUNTIF({"一矿区";"二矿区"},$L3372)=0),"※自用消耗的去向只能是一矿区或二矿区",IF(AND($K3372="对外销售",COUNTIF({"三矿区";"六矿区"},$L3372)=0),"※对外销售的去向只能是三矿区或六矿区",IF(AND($K3372="对外销售",ROUND($Q3372,0)=0),"※外销却没有售价，请填实际售价",IF(AND($K3372="对外销售",$T3372&lt;&gt;"",$T3372&lt;0),"※这一笔外销是亏的，请核对售价",IF(IFERROR(VLOOKUP($D3372,库存台账!$A$5:$Y$1204,24,0),0)&lt;-0.001,"※这个物料账面已经变成负数了，查一下是不是漏记入库","")))))))))))</f>
        <v/>
      </c>
    </row>
    <row r="3373">
      <c r="A3373" s="24">
        <f>IF($D3373="","",COUNTA($D$4:$D3373))</f>
        <v/>
      </c>
      <c r="B3373" s="17" t="n"/>
      <c r="C3373" s="30" t="n"/>
      <c r="D3373" s="17" t="n"/>
      <c r="E3373" s="24">
        <f>IF($D3373="","",IFERROR(VLOOKUP($D3373,物料档案!$A$4:$P$1203,3,0),"※编码不在物料档案里"))</f>
        <v/>
      </c>
      <c r="F3373" s="24">
        <f>IF($D3373="","",IFERROR(VLOOKUP($D3373,物料档案!$A$4:$P$1203,4,0),"※编码不在物料档案里"))</f>
        <v/>
      </c>
      <c r="G3373" s="24">
        <f>IF($D3373="","",IFERROR(VLOOKUP($D3373,物料档案!$A$4:$P$1203,5,0),"※编码不在物料档案里"))</f>
        <v/>
      </c>
      <c r="H3373" s="24">
        <f>IF($D3373="","",IFERROR(VLOOKUP($D3373,物料档案!$A$4:$P$1203,2,0),"※编码不在物料档案里"))</f>
        <v/>
      </c>
      <c r="I3373" s="24">
        <f>IF($D3373="","",IFERROR(VLOOKUP($D3373,物料档案!$A$4:$P$1203,6,0),"※编码不在物料档案里"))</f>
        <v/>
      </c>
      <c r="J3373" s="23" t="n"/>
      <c r="K3373" s="17" t="n"/>
      <c r="L3373" s="17" t="n"/>
      <c r="M3373" s="17" t="n"/>
      <c r="N3373" s="17" t="n"/>
      <c r="O3373" s="26">
        <f>IF($D3373="","",IFERROR(VLOOKUP($D3373,物料档案!$A$4:$P$1203,10,0),0))</f>
        <v/>
      </c>
      <c r="P3373" s="32" t="n"/>
      <c r="Q3373" s="26">
        <f>IF($D3373="","",IF($K3373&lt;&gt;"对外销售",0,ROUND(N($J3373)*IF($P3373="",N($O3373),N($P3373)),0)))</f>
        <v/>
      </c>
      <c r="R3373" s="26">
        <f>IF($D3373="","",IFERROR(VLOOKUP($D3373,库存台账!$A$5:$Y$1204,11,0),0))</f>
        <v/>
      </c>
      <c r="S3373" s="26">
        <f>IF($D3373="","",ROUND(N($J3373)*N($R3373),0))</f>
        <v/>
      </c>
      <c r="T3373" s="26">
        <f>IF($D3373="","",IF($K3373&lt;&gt;"对外销售","",ROUND($Q3373-$S3373,0)))</f>
        <v/>
      </c>
      <c r="U3373" s="17" t="n"/>
      <c r="V3373" s="17" t="n"/>
      <c r="W3373" s="24">
        <f>IF($D3373="","",IF($E3373="※编码不在物料档案里","※物料编码不在档案里",IF(N($J3373)&lt;=0,"※出库数量要大于 0",IF($K3373="","※没填去向类型",IF($L3373="","※没填去向矿区",IF(AND($C3373&lt;&gt;"",$C3373&lt;=结账锁),"※日期早于已结账截止日，不能再录",IF(AND($K3373="自用消耗",COUNTIF({"一矿区";"二矿区"},$L3373)=0),"※自用消耗的去向只能是一矿区或二矿区",IF(AND($K3373="对外销售",COUNTIF({"三矿区";"六矿区"},$L3373)=0),"※对外销售的去向只能是三矿区或六矿区",IF(AND($K3373="对外销售",ROUND($Q3373,0)=0),"※外销却没有售价，请填实际售价",IF(AND($K3373="对外销售",$T3373&lt;&gt;"",$T3373&lt;0),"※这一笔外销是亏的，请核对售价",IF(IFERROR(VLOOKUP($D3373,库存台账!$A$5:$Y$1204,24,0),0)&lt;-0.001,"※这个物料账面已经变成负数了，查一下是不是漏记入库","")))))))))))</f>
        <v/>
      </c>
    </row>
    <row r="3374">
      <c r="A3374" s="24">
        <f>IF($D3374="","",COUNTA($D$4:$D3374))</f>
        <v/>
      </c>
      <c r="B3374" s="17" t="n"/>
      <c r="C3374" s="30" t="n"/>
      <c r="D3374" s="17" t="n"/>
      <c r="E3374" s="24">
        <f>IF($D3374="","",IFERROR(VLOOKUP($D3374,物料档案!$A$4:$P$1203,3,0),"※编码不在物料档案里"))</f>
        <v/>
      </c>
      <c r="F3374" s="24">
        <f>IF($D3374="","",IFERROR(VLOOKUP($D3374,物料档案!$A$4:$P$1203,4,0),"※编码不在物料档案里"))</f>
        <v/>
      </c>
      <c r="G3374" s="24">
        <f>IF($D3374="","",IFERROR(VLOOKUP($D3374,物料档案!$A$4:$P$1203,5,0),"※编码不在物料档案里"))</f>
        <v/>
      </c>
      <c r="H3374" s="24">
        <f>IF($D3374="","",IFERROR(VLOOKUP($D3374,物料档案!$A$4:$P$1203,2,0),"※编码不在物料档案里"))</f>
        <v/>
      </c>
      <c r="I3374" s="24">
        <f>IF($D3374="","",IFERROR(VLOOKUP($D3374,物料档案!$A$4:$P$1203,6,0),"※编码不在物料档案里"))</f>
        <v/>
      </c>
      <c r="J3374" s="23" t="n"/>
      <c r="K3374" s="17" t="n"/>
      <c r="L3374" s="17" t="n"/>
      <c r="M3374" s="17" t="n"/>
      <c r="N3374" s="17" t="n"/>
      <c r="O3374" s="26">
        <f>IF($D3374="","",IFERROR(VLOOKUP($D3374,物料档案!$A$4:$P$1203,10,0),0))</f>
        <v/>
      </c>
      <c r="P3374" s="32" t="n"/>
      <c r="Q3374" s="26">
        <f>IF($D3374="","",IF($K3374&lt;&gt;"对外销售",0,ROUND(N($J3374)*IF($P3374="",N($O3374),N($P3374)),0)))</f>
        <v/>
      </c>
      <c r="R3374" s="26">
        <f>IF($D3374="","",IFERROR(VLOOKUP($D3374,库存台账!$A$5:$Y$1204,11,0),0))</f>
        <v/>
      </c>
      <c r="S3374" s="26">
        <f>IF($D3374="","",ROUND(N($J3374)*N($R3374),0))</f>
        <v/>
      </c>
      <c r="T3374" s="26">
        <f>IF($D3374="","",IF($K3374&lt;&gt;"对外销售","",ROUND($Q3374-$S3374,0)))</f>
        <v/>
      </c>
      <c r="U3374" s="17" t="n"/>
      <c r="V3374" s="17" t="n"/>
      <c r="W3374" s="24">
        <f>IF($D3374="","",IF($E3374="※编码不在物料档案里","※物料编码不在档案里",IF(N($J3374)&lt;=0,"※出库数量要大于 0",IF($K3374="","※没填去向类型",IF($L3374="","※没填去向矿区",IF(AND($C3374&lt;&gt;"",$C3374&lt;=结账锁),"※日期早于已结账截止日，不能再录",IF(AND($K3374="自用消耗",COUNTIF({"一矿区";"二矿区"},$L3374)=0),"※自用消耗的去向只能是一矿区或二矿区",IF(AND($K3374="对外销售",COUNTIF({"三矿区";"六矿区"},$L3374)=0),"※对外销售的去向只能是三矿区或六矿区",IF(AND($K3374="对外销售",ROUND($Q3374,0)=0),"※外销却没有售价，请填实际售价",IF(AND($K3374="对外销售",$T3374&lt;&gt;"",$T3374&lt;0),"※这一笔外销是亏的，请核对售价",IF(IFERROR(VLOOKUP($D3374,库存台账!$A$5:$Y$1204,24,0),0)&lt;-0.001,"※这个物料账面已经变成负数了，查一下是不是漏记入库","")))))))))))</f>
        <v/>
      </c>
    </row>
    <row r="3375">
      <c r="A3375" s="24">
        <f>IF($D3375="","",COUNTA($D$4:$D3375))</f>
        <v/>
      </c>
      <c r="B3375" s="17" t="n"/>
      <c r="C3375" s="30" t="n"/>
      <c r="D3375" s="17" t="n"/>
      <c r="E3375" s="24">
        <f>IF($D3375="","",IFERROR(VLOOKUP($D3375,物料档案!$A$4:$P$1203,3,0),"※编码不在物料档案里"))</f>
        <v/>
      </c>
      <c r="F3375" s="24">
        <f>IF($D3375="","",IFERROR(VLOOKUP($D3375,物料档案!$A$4:$P$1203,4,0),"※编码不在物料档案里"))</f>
        <v/>
      </c>
      <c r="G3375" s="24">
        <f>IF($D3375="","",IFERROR(VLOOKUP($D3375,物料档案!$A$4:$P$1203,5,0),"※编码不在物料档案里"))</f>
        <v/>
      </c>
      <c r="H3375" s="24">
        <f>IF($D3375="","",IFERROR(VLOOKUP($D3375,物料档案!$A$4:$P$1203,2,0),"※编码不在物料档案里"))</f>
        <v/>
      </c>
      <c r="I3375" s="24">
        <f>IF($D3375="","",IFERROR(VLOOKUP($D3375,物料档案!$A$4:$P$1203,6,0),"※编码不在物料档案里"))</f>
        <v/>
      </c>
      <c r="J3375" s="23" t="n"/>
      <c r="K3375" s="17" t="n"/>
      <c r="L3375" s="17" t="n"/>
      <c r="M3375" s="17" t="n"/>
      <c r="N3375" s="17" t="n"/>
      <c r="O3375" s="26">
        <f>IF($D3375="","",IFERROR(VLOOKUP($D3375,物料档案!$A$4:$P$1203,10,0),0))</f>
        <v/>
      </c>
      <c r="P3375" s="32" t="n"/>
      <c r="Q3375" s="26">
        <f>IF($D3375="","",IF($K3375&lt;&gt;"对外销售",0,ROUND(N($J3375)*IF($P3375="",N($O3375),N($P3375)),0)))</f>
        <v/>
      </c>
      <c r="R3375" s="26">
        <f>IF($D3375="","",IFERROR(VLOOKUP($D3375,库存台账!$A$5:$Y$1204,11,0),0))</f>
        <v/>
      </c>
      <c r="S3375" s="26">
        <f>IF($D3375="","",ROUND(N($J3375)*N($R3375),0))</f>
        <v/>
      </c>
      <c r="T3375" s="26">
        <f>IF($D3375="","",IF($K3375&lt;&gt;"对外销售","",ROUND($Q3375-$S3375,0)))</f>
        <v/>
      </c>
      <c r="U3375" s="17" t="n"/>
      <c r="V3375" s="17" t="n"/>
      <c r="W3375" s="24">
        <f>IF($D3375="","",IF($E3375="※编码不在物料档案里","※物料编码不在档案里",IF(N($J3375)&lt;=0,"※出库数量要大于 0",IF($K3375="","※没填去向类型",IF($L3375="","※没填去向矿区",IF(AND($C3375&lt;&gt;"",$C3375&lt;=结账锁),"※日期早于已结账截止日，不能再录",IF(AND($K3375="自用消耗",COUNTIF({"一矿区";"二矿区"},$L3375)=0),"※自用消耗的去向只能是一矿区或二矿区",IF(AND($K3375="对外销售",COUNTIF({"三矿区";"六矿区"},$L3375)=0),"※对外销售的去向只能是三矿区或六矿区",IF(AND($K3375="对外销售",ROUND($Q3375,0)=0),"※外销却没有售价，请填实际售价",IF(AND($K3375="对外销售",$T3375&lt;&gt;"",$T3375&lt;0),"※这一笔外销是亏的，请核对售价",IF(IFERROR(VLOOKUP($D3375,库存台账!$A$5:$Y$1204,24,0),0)&lt;-0.001,"※这个物料账面已经变成负数了，查一下是不是漏记入库","")))))))))))</f>
        <v/>
      </c>
    </row>
    <row r="3376">
      <c r="A3376" s="24">
        <f>IF($D3376="","",COUNTA($D$4:$D3376))</f>
        <v/>
      </c>
      <c r="B3376" s="17" t="n"/>
      <c r="C3376" s="30" t="n"/>
      <c r="D3376" s="17" t="n"/>
      <c r="E3376" s="24">
        <f>IF($D3376="","",IFERROR(VLOOKUP($D3376,物料档案!$A$4:$P$1203,3,0),"※编码不在物料档案里"))</f>
        <v/>
      </c>
      <c r="F3376" s="24">
        <f>IF($D3376="","",IFERROR(VLOOKUP($D3376,物料档案!$A$4:$P$1203,4,0),"※编码不在物料档案里"))</f>
        <v/>
      </c>
      <c r="G3376" s="24">
        <f>IF($D3376="","",IFERROR(VLOOKUP($D3376,物料档案!$A$4:$P$1203,5,0),"※编码不在物料档案里"))</f>
        <v/>
      </c>
      <c r="H3376" s="24">
        <f>IF($D3376="","",IFERROR(VLOOKUP($D3376,物料档案!$A$4:$P$1203,2,0),"※编码不在物料档案里"))</f>
        <v/>
      </c>
      <c r="I3376" s="24">
        <f>IF($D3376="","",IFERROR(VLOOKUP($D3376,物料档案!$A$4:$P$1203,6,0),"※编码不在物料档案里"))</f>
        <v/>
      </c>
      <c r="J3376" s="23" t="n"/>
      <c r="K3376" s="17" t="n"/>
      <c r="L3376" s="17" t="n"/>
      <c r="M3376" s="17" t="n"/>
      <c r="N3376" s="17" t="n"/>
      <c r="O3376" s="26">
        <f>IF($D3376="","",IFERROR(VLOOKUP($D3376,物料档案!$A$4:$P$1203,10,0),0))</f>
        <v/>
      </c>
      <c r="P3376" s="32" t="n"/>
      <c r="Q3376" s="26">
        <f>IF($D3376="","",IF($K3376&lt;&gt;"对外销售",0,ROUND(N($J3376)*IF($P3376="",N($O3376),N($P3376)),0)))</f>
        <v/>
      </c>
      <c r="R3376" s="26">
        <f>IF($D3376="","",IFERROR(VLOOKUP($D3376,库存台账!$A$5:$Y$1204,11,0),0))</f>
        <v/>
      </c>
      <c r="S3376" s="26">
        <f>IF($D3376="","",ROUND(N($J3376)*N($R3376),0))</f>
        <v/>
      </c>
      <c r="T3376" s="26">
        <f>IF($D3376="","",IF($K3376&lt;&gt;"对外销售","",ROUND($Q3376-$S3376,0)))</f>
        <v/>
      </c>
      <c r="U3376" s="17" t="n"/>
      <c r="V3376" s="17" t="n"/>
      <c r="W3376" s="24">
        <f>IF($D3376="","",IF($E3376="※编码不在物料档案里","※物料编码不在档案里",IF(N($J3376)&lt;=0,"※出库数量要大于 0",IF($K3376="","※没填去向类型",IF($L3376="","※没填去向矿区",IF(AND($C3376&lt;&gt;"",$C3376&lt;=结账锁),"※日期早于已结账截止日，不能再录",IF(AND($K3376="自用消耗",COUNTIF({"一矿区";"二矿区"},$L3376)=0),"※自用消耗的去向只能是一矿区或二矿区",IF(AND($K3376="对外销售",COUNTIF({"三矿区";"六矿区"},$L3376)=0),"※对外销售的去向只能是三矿区或六矿区",IF(AND($K3376="对外销售",ROUND($Q3376,0)=0),"※外销却没有售价，请填实际售价",IF(AND($K3376="对外销售",$T3376&lt;&gt;"",$T3376&lt;0),"※这一笔外销是亏的，请核对售价",IF(IFERROR(VLOOKUP($D3376,库存台账!$A$5:$Y$1204,24,0),0)&lt;-0.001,"※这个物料账面已经变成负数了，查一下是不是漏记入库","")))))))))))</f>
        <v/>
      </c>
    </row>
    <row r="3377">
      <c r="A3377" s="24">
        <f>IF($D3377="","",COUNTA($D$4:$D3377))</f>
        <v/>
      </c>
      <c r="B3377" s="17" t="n"/>
      <c r="C3377" s="30" t="n"/>
      <c r="D3377" s="17" t="n"/>
      <c r="E3377" s="24">
        <f>IF($D3377="","",IFERROR(VLOOKUP($D3377,物料档案!$A$4:$P$1203,3,0),"※编码不在物料档案里"))</f>
        <v/>
      </c>
      <c r="F3377" s="24">
        <f>IF($D3377="","",IFERROR(VLOOKUP($D3377,物料档案!$A$4:$P$1203,4,0),"※编码不在物料档案里"))</f>
        <v/>
      </c>
      <c r="G3377" s="24">
        <f>IF($D3377="","",IFERROR(VLOOKUP($D3377,物料档案!$A$4:$P$1203,5,0),"※编码不在物料档案里"))</f>
        <v/>
      </c>
      <c r="H3377" s="24">
        <f>IF($D3377="","",IFERROR(VLOOKUP($D3377,物料档案!$A$4:$P$1203,2,0),"※编码不在物料档案里"))</f>
        <v/>
      </c>
      <c r="I3377" s="24">
        <f>IF($D3377="","",IFERROR(VLOOKUP($D3377,物料档案!$A$4:$P$1203,6,0),"※编码不在物料档案里"))</f>
        <v/>
      </c>
      <c r="J3377" s="23" t="n"/>
      <c r="K3377" s="17" t="n"/>
      <c r="L3377" s="17" t="n"/>
      <c r="M3377" s="17" t="n"/>
      <c r="N3377" s="17" t="n"/>
      <c r="O3377" s="26">
        <f>IF($D3377="","",IFERROR(VLOOKUP($D3377,物料档案!$A$4:$P$1203,10,0),0))</f>
        <v/>
      </c>
      <c r="P3377" s="32" t="n"/>
      <c r="Q3377" s="26">
        <f>IF($D3377="","",IF($K3377&lt;&gt;"对外销售",0,ROUND(N($J3377)*IF($P3377="",N($O3377),N($P3377)),0)))</f>
        <v/>
      </c>
      <c r="R3377" s="26">
        <f>IF($D3377="","",IFERROR(VLOOKUP($D3377,库存台账!$A$5:$Y$1204,11,0),0))</f>
        <v/>
      </c>
      <c r="S3377" s="26">
        <f>IF($D3377="","",ROUND(N($J3377)*N($R3377),0))</f>
        <v/>
      </c>
      <c r="T3377" s="26">
        <f>IF($D3377="","",IF($K3377&lt;&gt;"对外销售","",ROUND($Q3377-$S3377,0)))</f>
        <v/>
      </c>
      <c r="U3377" s="17" t="n"/>
      <c r="V3377" s="17" t="n"/>
      <c r="W3377" s="24">
        <f>IF($D3377="","",IF($E3377="※编码不在物料档案里","※物料编码不在档案里",IF(N($J3377)&lt;=0,"※出库数量要大于 0",IF($K3377="","※没填去向类型",IF($L3377="","※没填去向矿区",IF(AND($C3377&lt;&gt;"",$C3377&lt;=结账锁),"※日期早于已结账截止日，不能再录",IF(AND($K3377="自用消耗",COUNTIF({"一矿区";"二矿区"},$L3377)=0),"※自用消耗的去向只能是一矿区或二矿区",IF(AND($K3377="对外销售",COUNTIF({"三矿区";"六矿区"},$L3377)=0),"※对外销售的去向只能是三矿区或六矿区",IF(AND($K3377="对外销售",ROUND($Q3377,0)=0),"※外销却没有售价，请填实际售价",IF(AND($K3377="对外销售",$T3377&lt;&gt;"",$T3377&lt;0),"※这一笔外销是亏的，请核对售价",IF(IFERROR(VLOOKUP($D3377,库存台账!$A$5:$Y$1204,24,0),0)&lt;-0.001,"※这个物料账面已经变成负数了，查一下是不是漏记入库","")))))))))))</f>
        <v/>
      </c>
    </row>
    <row r="3378">
      <c r="A3378" s="24">
        <f>IF($D3378="","",COUNTA($D$4:$D3378))</f>
        <v/>
      </c>
      <c r="B3378" s="17" t="n"/>
      <c r="C3378" s="30" t="n"/>
      <c r="D3378" s="17" t="n"/>
      <c r="E3378" s="24">
        <f>IF($D3378="","",IFERROR(VLOOKUP($D3378,物料档案!$A$4:$P$1203,3,0),"※编码不在物料档案里"))</f>
        <v/>
      </c>
      <c r="F3378" s="24">
        <f>IF($D3378="","",IFERROR(VLOOKUP($D3378,物料档案!$A$4:$P$1203,4,0),"※编码不在物料档案里"))</f>
        <v/>
      </c>
      <c r="G3378" s="24">
        <f>IF($D3378="","",IFERROR(VLOOKUP($D3378,物料档案!$A$4:$P$1203,5,0),"※编码不在物料档案里"))</f>
        <v/>
      </c>
      <c r="H3378" s="24">
        <f>IF($D3378="","",IFERROR(VLOOKUP($D3378,物料档案!$A$4:$P$1203,2,0),"※编码不在物料档案里"))</f>
        <v/>
      </c>
      <c r="I3378" s="24">
        <f>IF($D3378="","",IFERROR(VLOOKUP($D3378,物料档案!$A$4:$P$1203,6,0),"※编码不在物料档案里"))</f>
        <v/>
      </c>
      <c r="J3378" s="23" t="n"/>
      <c r="K3378" s="17" t="n"/>
      <c r="L3378" s="17" t="n"/>
      <c r="M3378" s="17" t="n"/>
      <c r="N3378" s="17" t="n"/>
      <c r="O3378" s="26">
        <f>IF($D3378="","",IFERROR(VLOOKUP($D3378,物料档案!$A$4:$P$1203,10,0),0))</f>
        <v/>
      </c>
      <c r="P3378" s="32" t="n"/>
      <c r="Q3378" s="26">
        <f>IF($D3378="","",IF($K3378&lt;&gt;"对外销售",0,ROUND(N($J3378)*IF($P3378="",N($O3378),N($P3378)),0)))</f>
        <v/>
      </c>
      <c r="R3378" s="26">
        <f>IF($D3378="","",IFERROR(VLOOKUP($D3378,库存台账!$A$5:$Y$1204,11,0),0))</f>
        <v/>
      </c>
      <c r="S3378" s="26">
        <f>IF($D3378="","",ROUND(N($J3378)*N($R3378),0))</f>
        <v/>
      </c>
      <c r="T3378" s="26">
        <f>IF($D3378="","",IF($K3378&lt;&gt;"对外销售","",ROUND($Q3378-$S3378,0)))</f>
        <v/>
      </c>
      <c r="U3378" s="17" t="n"/>
      <c r="V3378" s="17" t="n"/>
      <c r="W3378" s="24">
        <f>IF($D3378="","",IF($E3378="※编码不在物料档案里","※物料编码不在档案里",IF(N($J3378)&lt;=0,"※出库数量要大于 0",IF($K3378="","※没填去向类型",IF($L3378="","※没填去向矿区",IF(AND($C3378&lt;&gt;"",$C3378&lt;=结账锁),"※日期早于已结账截止日，不能再录",IF(AND($K3378="自用消耗",COUNTIF({"一矿区";"二矿区"},$L3378)=0),"※自用消耗的去向只能是一矿区或二矿区",IF(AND($K3378="对外销售",COUNTIF({"三矿区";"六矿区"},$L3378)=0),"※对外销售的去向只能是三矿区或六矿区",IF(AND($K3378="对外销售",ROUND($Q3378,0)=0),"※外销却没有售价，请填实际售价",IF(AND($K3378="对外销售",$T3378&lt;&gt;"",$T3378&lt;0),"※这一笔外销是亏的，请核对售价",IF(IFERROR(VLOOKUP($D3378,库存台账!$A$5:$Y$1204,24,0),0)&lt;-0.001,"※这个物料账面已经变成负数了，查一下是不是漏记入库","")))))))))))</f>
        <v/>
      </c>
    </row>
    <row r="3379">
      <c r="A3379" s="24">
        <f>IF($D3379="","",COUNTA($D$4:$D3379))</f>
        <v/>
      </c>
      <c r="B3379" s="17" t="n"/>
      <c r="C3379" s="30" t="n"/>
      <c r="D3379" s="17" t="n"/>
      <c r="E3379" s="24">
        <f>IF($D3379="","",IFERROR(VLOOKUP($D3379,物料档案!$A$4:$P$1203,3,0),"※编码不在物料档案里"))</f>
        <v/>
      </c>
      <c r="F3379" s="24">
        <f>IF($D3379="","",IFERROR(VLOOKUP($D3379,物料档案!$A$4:$P$1203,4,0),"※编码不在物料档案里"))</f>
        <v/>
      </c>
      <c r="G3379" s="24">
        <f>IF($D3379="","",IFERROR(VLOOKUP($D3379,物料档案!$A$4:$P$1203,5,0),"※编码不在物料档案里"))</f>
        <v/>
      </c>
      <c r="H3379" s="24">
        <f>IF($D3379="","",IFERROR(VLOOKUP($D3379,物料档案!$A$4:$P$1203,2,0),"※编码不在物料档案里"))</f>
        <v/>
      </c>
      <c r="I3379" s="24">
        <f>IF($D3379="","",IFERROR(VLOOKUP($D3379,物料档案!$A$4:$P$1203,6,0),"※编码不在物料档案里"))</f>
        <v/>
      </c>
      <c r="J3379" s="23" t="n"/>
      <c r="K3379" s="17" t="n"/>
      <c r="L3379" s="17" t="n"/>
      <c r="M3379" s="17" t="n"/>
      <c r="N3379" s="17" t="n"/>
      <c r="O3379" s="26">
        <f>IF($D3379="","",IFERROR(VLOOKUP($D3379,物料档案!$A$4:$P$1203,10,0),0))</f>
        <v/>
      </c>
      <c r="P3379" s="32" t="n"/>
      <c r="Q3379" s="26">
        <f>IF($D3379="","",IF($K3379&lt;&gt;"对外销售",0,ROUND(N($J3379)*IF($P3379="",N($O3379),N($P3379)),0)))</f>
        <v/>
      </c>
      <c r="R3379" s="26">
        <f>IF($D3379="","",IFERROR(VLOOKUP($D3379,库存台账!$A$5:$Y$1204,11,0),0))</f>
        <v/>
      </c>
      <c r="S3379" s="26">
        <f>IF($D3379="","",ROUND(N($J3379)*N($R3379),0))</f>
        <v/>
      </c>
      <c r="T3379" s="26">
        <f>IF($D3379="","",IF($K3379&lt;&gt;"对外销售","",ROUND($Q3379-$S3379,0)))</f>
        <v/>
      </c>
      <c r="U3379" s="17" t="n"/>
      <c r="V3379" s="17" t="n"/>
      <c r="W3379" s="24">
        <f>IF($D3379="","",IF($E3379="※编码不在物料档案里","※物料编码不在档案里",IF(N($J3379)&lt;=0,"※出库数量要大于 0",IF($K3379="","※没填去向类型",IF($L3379="","※没填去向矿区",IF(AND($C3379&lt;&gt;"",$C3379&lt;=结账锁),"※日期早于已结账截止日，不能再录",IF(AND($K3379="自用消耗",COUNTIF({"一矿区";"二矿区"},$L3379)=0),"※自用消耗的去向只能是一矿区或二矿区",IF(AND($K3379="对外销售",COUNTIF({"三矿区";"六矿区"},$L3379)=0),"※对外销售的去向只能是三矿区或六矿区",IF(AND($K3379="对外销售",ROUND($Q3379,0)=0),"※外销却没有售价，请填实际售价",IF(AND($K3379="对外销售",$T3379&lt;&gt;"",$T3379&lt;0),"※这一笔外销是亏的，请核对售价",IF(IFERROR(VLOOKUP($D3379,库存台账!$A$5:$Y$1204,24,0),0)&lt;-0.001,"※这个物料账面已经变成负数了，查一下是不是漏记入库","")))))))))))</f>
        <v/>
      </c>
    </row>
    <row r="3380">
      <c r="A3380" s="24">
        <f>IF($D3380="","",COUNTA($D$4:$D3380))</f>
        <v/>
      </c>
      <c r="B3380" s="17" t="n"/>
      <c r="C3380" s="30" t="n"/>
      <c r="D3380" s="17" t="n"/>
      <c r="E3380" s="24">
        <f>IF($D3380="","",IFERROR(VLOOKUP($D3380,物料档案!$A$4:$P$1203,3,0),"※编码不在物料档案里"))</f>
        <v/>
      </c>
      <c r="F3380" s="24">
        <f>IF($D3380="","",IFERROR(VLOOKUP($D3380,物料档案!$A$4:$P$1203,4,0),"※编码不在物料档案里"))</f>
        <v/>
      </c>
      <c r="G3380" s="24">
        <f>IF($D3380="","",IFERROR(VLOOKUP($D3380,物料档案!$A$4:$P$1203,5,0),"※编码不在物料档案里"))</f>
        <v/>
      </c>
      <c r="H3380" s="24">
        <f>IF($D3380="","",IFERROR(VLOOKUP($D3380,物料档案!$A$4:$P$1203,2,0),"※编码不在物料档案里"))</f>
        <v/>
      </c>
      <c r="I3380" s="24">
        <f>IF($D3380="","",IFERROR(VLOOKUP($D3380,物料档案!$A$4:$P$1203,6,0),"※编码不在物料档案里"))</f>
        <v/>
      </c>
      <c r="J3380" s="23" t="n"/>
      <c r="K3380" s="17" t="n"/>
      <c r="L3380" s="17" t="n"/>
      <c r="M3380" s="17" t="n"/>
      <c r="N3380" s="17" t="n"/>
      <c r="O3380" s="26">
        <f>IF($D3380="","",IFERROR(VLOOKUP($D3380,物料档案!$A$4:$P$1203,10,0),0))</f>
        <v/>
      </c>
      <c r="P3380" s="32" t="n"/>
      <c r="Q3380" s="26">
        <f>IF($D3380="","",IF($K3380&lt;&gt;"对外销售",0,ROUND(N($J3380)*IF($P3380="",N($O3380),N($P3380)),0)))</f>
        <v/>
      </c>
      <c r="R3380" s="26">
        <f>IF($D3380="","",IFERROR(VLOOKUP($D3380,库存台账!$A$5:$Y$1204,11,0),0))</f>
        <v/>
      </c>
      <c r="S3380" s="26">
        <f>IF($D3380="","",ROUND(N($J3380)*N($R3380),0))</f>
        <v/>
      </c>
      <c r="T3380" s="26">
        <f>IF($D3380="","",IF($K3380&lt;&gt;"对外销售","",ROUND($Q3380-$S3380,0)))</f>
        <v/>
      </c>
      <c r="U3380" s="17" t="n"/>
      <c r="V3380" s="17" t="n"/>
      <c r="W3380" s="24">
        <f>IF($D3380="","",IF($E3380="※编码不在物料档案里","※物料编码不在档案里",IF(N($J3380)&lt;=0,"※出库数量要大于 0",IF($K3380="","※没填去向类型",IF($L3380="","※没填去向矿区",IF(AND($C3380&lt;&gt;"",$C3380&lt;=结账锁),"※日期早于已结账截止日，不能再录",IF(AND($K3380="自用消耗",COUNTIF({"一矿区";"二矿区"},$L3380)=0),"※自用消耗的去向只能是一矿区或二矿区",IF(AND($K3380="对外销售",COUNTIF({"三矿区";"六矿区"},$L3380)=0),"※对外销售的去向只能是三矿区或六矿区",IF(AND($K3380="对外销售",ROUND($Q3380,0)=0),"※外销却没有售价，请填实际售价",IF(AND($K3380="对外销售",$T3380&lt;&gt;"",$T3380&lt;0),"※这一笔外销是亏的，请核对售价",IF(IFERROR(VLOOKUP($D3380,库存台账!$A$5:$Y$1204,24,0),0)&lt;-0.001,"※这个物料账面已经变成负数了，查一下是不是漏记入库","")))))))))))</f>
        <v/>
      </c>
    </row>
    <row r="3381">
      <c r="A3381" s="24">
        <f>IF($D3381="","",COUNTA($D$4:$D3381))</f>
        <v/>
      </c>
      <c r="B3381" s="17" t="n"/>
      <c r="C3381" s="30" t="n"/>
      <c r="D3381" s="17" t="n"/>
      <c r="E3381" s="24">
        <f>IF($D3381="","",IFERROR(VLOOKUP($D3381,物料档案!$A$4:$P$1203,3,0),"※编码不在物料档案里"))</f>
        <v/>
      </c>
      <c r="F3381" s="24">
        <f>IF($D3381="","",IFERROR(VLOOKUP($D3381,物料档案!$A$4:$P$1203,4,0),"※编码不在物料档案里"))</f>
        <v/>
      </c>
      <c r="G3381" s="24">
        <f>IF($D3381="","",IFERROR(VLOOKUP($D3381,物料档案!$A$4:$P$1203,5,0),"※编码不在物料档案里"))</f>
        <v/>
      </c>
      <c r="H3381" s="24">
        <f>IF($D3381="","",IFERROR(VLOOKUP($D3381,物料档案!$A$4:$P$1203,2,0),"※编码不在物料档案里"))</f>
        <v/>
      </c>
      <c r="I3381" s="24">
        <f>IF($D3381="","",IFERROR(VLOOKUP($D3381,物料档案!$A$4:$P$1203,6,0),"※编码不在物料档案里"))</f>
        <v/>
      </c>
      <c r="J3381" s="23" t="n"/>
      <c r="K3381" s="17" t="n"/>
      <c r="L3381" s="17" t="n"/>
      <c r="M3381" s="17" t="n"/>
      <c r="N3381" s="17" t="n"/>
      <c r="O3381" s="26">
        <f>IF($D3381="","",IFERROR(VLOOKUP($D3381,物料档案!$A$4:$P$1203,10,0),0))</f>
        <v/>
      </c>
      <c r="P3381" s="32" t="n"/>
      <c r="Q3381" s="26">
        <f>IF($D3381="","",IF($K3381&lt;&gt;"对外销售",0,ROUND(N($J3381)*IF($P3381="",N($O3381),N($P3381)),0)))</f>
        <v/>
      </c>
      <c r="R3381" s="26">
        <f>IF($D3381="","",IFERROR(VLOOKUP($D3381,库存台账!$A$5:$Y$1204,11,0),0))</f>
        <v/>
      </c>
      <c r="S3381" s="26">
        <f>IF($D3381="","",ROUND(N($J3381)*N($R3381),0))</f>
        <v/>
      </c>
      <c r="T3381" s="26">
        <f>IF($D3381="","",IF($K3381&lt;&gt;"对外销售","",ROUND($Q3381-$S3381,0)))</f>
        <v/>
      </c>
      <c r="U3381" s="17" t="n"/>
      <c r="V3381" s="17" t="n"/>
      <c r="W3381" s="24">
        <f>IF($D3381="","",IF($E3381="※编码不在物料档案里","※物料编码不在档案里",IF(N($J3381)&lt;=0,"※出库数量要大于 0",IF($K3381="","※没填去向类型",IF($L3381="","※没填去向矿区",IF(AND($C3381&lt;&gt;"",$C3381&lt;=结账锁),"※日期早于已结账截止日，不能再录",IF(AND($K3381="自用消耗",COUNTIF({"一矿区";"二矿区"},$L3381)=0),"※自用消耗的去向只能是一矿区或二矿区",IF(AND($K3381="对外销售",COUNTIF({"三矿区";"六矿区"},$L3381)=0),"※对外销售的去向只能是三矿区或六矿区",IF(AND($K3381="对外销售",ROUND($Q3381,0)=0),"※外销却没有售价，请填实际售价",IF(AND($K3381="对外销售",$T3381&lt;&gt;"",$T3381&lt;0),"※这一笔外销是亏的，请核对售价",IF(IFERROR(VLOOKUP($D3381,库存台账!$A$5:$Y$1204,24,0),0)&lt;-0.001,"※这个物料账面已经变成负数了，查一下是不是漏记入库","")))))))))))</f>
        <v/>
      </c>
    </row>
    <row r="3382">
      <c r="A3382" s="24">
        <f>IF($D3382="","",COUNTA($D$4:$D3382))</f>
        <v/>
      </c>
      <c r="B3382" s="17" t="n"/>
      <c r="C3382" s="30" t="n"/>
      <c r="D3382" s="17" t="n"/>
      <c r="E3382" s="24">
        <f>IF($D3382="","",IFERROR(VLOOKUP($D3382,物料档案!$A$4:$P$1203,3,0),"※编码不在物料档案里"))</f>
        <v/>
      </c>
      <c r="F3382" s="24">
        <f>IF($D3382="","",IFERROR(VLOOKUP($D3382,物料档案!$A$4:$P$1203,4,0),"※编码不在物料档案里"))</f>
        <v/>
      </c>
      <c r="G3382" s="24">
        <f>IF($D3382="","",IFERROR(VLOOKUP($D3382,物料档案!$A$4:$P$1203,5,0),"※编码不在物料档案里"))</f>
        <v/>
      </c>
      <c r="H3382" s="24">
        <f>IF($D3382="","",IFERROR(VLOOKUP($D3382,物料档案!$A$4:$P$1203,2,0),"※编码不在物料档案里"))</f>
        <v/>
      </c>
      <c r="I3382" s="24">
        <f>IF($D3382="","",IFERROR(VLOOKUP($D3382,物料档案!$A$4:$P$1203,6,0),"※编码不在物料档案里"))</f>
        <v/>
      </c>
      <c r="J3382" s="23" t="n"/>
      <c r="K3382" s="17" t="n"/>
      <c r="L3382" s="17" t="n"/>
      <c r="M3382" s="17" t="n"/>
      <c r="N3382" s="17" t="n"/>
      <c r="O3382" s="26">
        <f>IF($D3382="","",IFERROR(VLOOKUP($D3382,物料档案!$A$4:$P$1203,10,0),0))</f>
        <v/>
      </c>
      <c r="P3382" s="32" t="n"/>
      <c r="Q3382" s="26">
        <f>IF($D3382="","",IF($K3382&lt;&gt;"对外销售",0,ROUND(N($J3382)*IF($P3382="",N($O3382),N($P3382)),0)))</f>
        <v/>
      </c>
      <c r="R3382" s="26">
        <f>IF($D3382="","",IFERROR(VLOOKUP($D3382,库存台账!$A$5:$Y$1204,11,0),0))</f>
        <v/>
      </c>
      <c r="S3382" s="26">
        <f>IF($D3382="","",ROUND(N($J3382)*N($R3382),0))</f>
        <v/>
      </c>
      <c r="T3382" s="26">
        <f>IF($D3382="","",IF($K3382&lt;&gt;"对外销售","",ROUND($Q3382-$S3382,0)))</f>
        <v/>
      </c>
      <c r="U3382" s="17" t="n"/>
      <c r="V3382" s="17" t="n"/>
      <c r="W3382" s="24">
        <f>IF($D3382="","",IF($E3382="※编码不在物料档案里","※物料编码不在档案里",IF(N($J3382)&lt;=0,"※出库数量要大于 0",IF($K3382="","※没填去向类型",IF($L3382="","※没填去向矿区",IF(AND($C3382&lt;&gt;"",$C3382&lt;=结账锁),"※日期早于已结账截止日，不能再录",IF(AND($K3382="自用消耗",COUNTIF({"一矿区";"二矿区"},$L3382)=0),"※自用消耗的去向只能是一矿区或二矿区",IF(AND($K3382="对外销售",COUNTIF({"三矿区";"六矿区"},$L3382)=0),"※对外销售的去向只能是三矿区或六矿区",IF(AND($K3382="对外销售",ROUND($Q3382,0)=0),"※外销却没有售价，请填实际售价",IF(AND($K3382="对外销售",$T3382&lt;&gt;"",$T3382&lt;0),"※这一笔外销是亏的，请核对售价",IF(IFERROR(VLOOKUP($D3382,库存台账!$A$5:$Y$1204,24,0),0)&lt;-0.001,"※这个物料账面已经变成负数了，查一下是不是漏记入库","")))))))))))</f>
        <v/>
      </c>
    </row>
    <row r="3383">
      <c r="A3383" s="24">
        <f>IF($D3383="","",COUNTA($D$4:$D3383))</f>
        <v/>
      </c>
      <c r="B3383" s="17" t="n"/>
      <c r="C3383" s="30" t="n"/>
      <c r="D3383" s="17" t="n"/>
      <c r="E3383" s="24">
        <f>IF($D3383="","",IFERROR(VLOOKUP($D3383,物料档案!$A$4:$P$1203,3,0),"※编码不在物料档案里"))</f>
        <v/>
      </c>
      <c r="F3383" s="24">
        <f>IF($D3383="","",IFERROR(VLOOKUP($D3383,物料档案!$A$4:$P$1203,4,0),"※编码不在物料档案里"))</f>
        <v/>
      </c>
      <c r="G3383" s="24">
        <f>IF($D3383="","",IFERROR(VLOOKUP($D3383,物料档案!$A$4:$P$1203,5,0),"※编码不在物料档案里"))</f>
        <v/>
      </c>
      <c r="H3383" s="24">
        <f>IF($D3383="","",IFERROR(VLOOKUP($D3383,物料档案!$A$4:$P$1203,2,0),"※编码不在物料档案里"))</f>
        <v/>
      </c>
      <c r="I3383" s="24">
        <f>IF($D3383="","",IFERROR(VLOOKUP($D3383,物料档案!$A$4:$P$1203,6,0),"※编码不在物料档案里"))</f>
        <v/>
      </c>
      <c r="J3383" s="23" t="n"/>
      <c r="K3383" s="17" t="n"/>
      <c r="L3383" s="17" t="n"/>
      <c r="M3383" s="17" t="n"/>
      <c r="N3383" s="17" t="n"/>
      <c r="O3383" s="26">
        <f>IF($D3383="","",IFERROR(VLOOKUP($D3383,物料档案!$A$4:$P$1203,10,0),0))</f>
        <v/>
      </c>
      <c r="P3383" s="32" t="n"/>
      <c r="Q3383" s="26">
        <f>IF($D3383="","",IF($K3383&lt;&gt;"对外销售",0,ROUND(N($J3383)*IF($P3383="",N($O3383),N($P3383)),0)))</f>
        <v/>
      </c>
      <c r="R3383" s="26">
        <f>IF($D3383="","",IFERROR(VLOOKUP($D3383,库存台账!$A$5:$Y$1204,11,0),0))</f>
        <v/>
      </c>
      <c r="S3383" s="26">
        <f>IF($D3383="","",ROUND(N($J3383)*N($R3383),0))</f>
        <v/>
      </c>
      <c r="T3383" s="26">
        <f>IF($D3383="","",IF($K3383&lt;&gt;"对外销售","",ROUND($Q3383-$S3383,0)))</f>
        <v/>
      </c>
      <c r="U3383" s="17" t="n"/>
      <c r="V3383" s="17" t="n"/>
      <c r="W3383" s="24">
        <f>IF($D3383="","",IF($E3383="※编码不在物料档案里","※物料编码不在档案里",IF(N($J3383)&lt;=0,"※出库数量要大于 0",IF($K3383="","※没填去向类型",IF($L3383="","※没填去向矿区",IF(AND($C3383&lt;&gt;"",$C3383&lt;=结账锁),"※日期早于已结账截止日，不能再录",IF(AND($K3383="自用消耗",COUNTIF({"一矿区";"二矿区"},$L3383)=0),"※自用消耗的去向只能是一矿区或二矿区",IF(AND($K3383="对外销售",COUNTIF({"三矿区";"六矿区"},$L3383)=0),"※对外销售的去向只能是三矿区或六矿区",IF(AND($K3383="对外销售",ROUND($Q3383,0)=0),"※外销却没有售价，请填实际售价",IF(AND($K3383="对外销售",$T3383&lt;&gt;"",$T3383&lt;0),"※这一笔外销是亏的，请核对售价",IF(IFERROR(VLOOKUP($D3383,库存台账!$A$5:$Y$1204,24,0),0)&lt;-0.001,"※这个物料账面已经变成负数了，查一下是不是漏记入库","")))))))))))</f>
        <v/>
      </c>
    </row>
    <row r="3384">
      <c r="A3384" s="24">
        <f>IF($D3384="","",COUNTA($D$4:$D3384))</f>
        <v/>
      </c>
      <c r="B3384" s="17" t="n"/>
      <c r="C3384" s="30" t="n"/>
      <c r="D3384" s="17" t="n"/>
      <c r="E3384" s="24">
        <f>IF($D3384="","",IFERROR(VLOOKUP($D3384,物料档案!$A$4:$P$1203,3,0),"※编码不在物料档案里"))</f>
        <v/>
      </c>
      <c r="F3384" s="24">
        <f>IF($D3384="","",IFERROR(VLOOKUP($D3384,物料档案!$A$4:$P$1203,4,0),"※编码不在物料档案里"))</f>
        <v/>
      </c>
      <c r="G3384" s="24">
        <f>IF($D3384="","",IFERROR(VLOOKUP($D3384,物料档案!$A$4:$P$1203,5,0),"※编码不在物料档案里"))</f>
        <v/>
      </c>
      <c r="H3384" s="24">
        <f>IF($D3384="","",IFERROR(VLOOKUP($D3384,物料档案!$A$4:$P$1203,2,0),"※编码不在物料档案里"))</f>
        <v/>
      </c>
      <c r="I3384" s="24">
        <f>IF($D3384="","",IFERROR(VLOOKUP($D3384,物料档案!$A$4:$P$1203,6,0),"※编码不在物料档案里"))</f>
        <v/>
      </c>
      <c r="J3384" s="23" t="n"/>
      <c r="K3384" s="17" t="n"/>
      <c r="L3384" s="17" t="n"/>
      <c r="M3384" s="17" t="n"/>
      <c r="N3384" s="17" t="n"/>
      <c r="O3384" s="26">
        <f>IF($D3384="","",IFERROR(VLOOKUP($D3384,物料档案!$A$4:$P$1203,10,0),0))</f>
        <v/>
      </c>
      <c r="P3384" s="32" t="n"/>
      <c r="Q3384" s="26">
        <f>IF($D3384="","",IF($K3384&lt;&gt;"对外销售",0,ROUND(N($J3384)*IF($P3384="",N($O3384),N($P3384)),0)))</f>
        <v/>
      </c>
      <c r="R3384" s="26">
        <f>IF($D3384="","",IFERROR(VLOOKUP($D3384,库存台账!$A$5:$Y$1204,11,0),0))</f>
        <v/>
      </c>
      <c r="S3384" s="26">
        <f>IF($D3384="","",ROUND(N($J3384)*N($R3384),0))</f>
        <v/>
      </c>
      <c r="T3384" s="26">
        <f>IF($D3384="","",IF($K3384&lt;&gt;"对外销售","",ROUND($Q3384-$S3384,0)))</f>
        <v/>
      </c>
      <c r="U3384" s="17" t="n"/>
      <c r="V3384" s="17" t="n"/>
      <c r="W3384" s="24">
        <f>IF($D3384="","",IF($E3384="※编码不在物料档案里","※物料编码不在档案里",IF(N($J3384)&lt;=0,"※出库数量要大于 0",IF($K3384="","※没填去向类型",IF($L3384="","※没填去向矿区",IF(AND($C3384&lt;&gt;"",$C3384&lt;=结账锁),"※日期早于已结账截止日，不能再录",IF(AND($K3384="自用消耗",COUNTIF({"一矿区";"二矿区"},$L3384)=0),"※自用消耗的去向只能是一矿区或二矿区",IF(AND($K3384="对外销售",COUNTIF({"三矿区";"六矿区"},$L3384)=0),"※对外销售的去向只能是三矿区或六矿区",IF(AND($K3384="对外销售",ROUND($Q3384,0)=0),"※外销却没有售价，请填实际售价",IF(AND($K3384="对外销售",$T3384&lt;&gt;"",$T3384&lt;0),"※这一笔外销是亏的，请核对售价",IF(IFERROR(VLOOKUP($D3384,库存台账!$A$5:$Y$1204,24,0),0)&lt;-0.001,"※这个物料账面已经变成负数了，查一下是不是漏记入库","")))))))))))</f>
        <v/>
      </c>
    </row>
    <row r="3385">
      <c r="A3385" s="24">
        <f>IF($D3385="","",COUNTA($D$4:$D3385))</f>
        <v/>
      </c>
      <c r="B3385" s="17" t="n"/>
      <c r="C3385" s="30" t="n"/>
      <c r="D3385" s="17" t="n"/>
      <c r="E3385" s="24">
        <f>IF($D3385="","",IFERROR(VLOOKUP($D3385,物料档案!$A$4:$P$1203,3,0),"※编码不在物料档案里"))</f>
        <v/>
      </c>
      <c r="F3385" s="24">
        <f>IF($D3385="","",IFERROR(VLOOKUP($D3385,物料档案!$A$4:$P$1203,4,0),"※编码不在物料档案里"))</f>
        <v/>
      </c>
      <c r="G3385" s="24">
        <f>IF($D3385="","",IFERROR(VLOOKUP($D3385,物料档案!$A$4:$P$1203,5,0),"※编码不在物料档案里"))</f>
        <v/>
      </c>
      <c r="H3385" s="24">
        <f>IF($D3385="","",IFERROR(VLOOKUP($D3385,物料档案!$A$4:$P$1203,2,0),"※编码不在物料档案里"))</f>
        <v/>
      </c>
      <c r="I3385" s="24">
        <f>IF($D3385="","",IFERROR(VLOOKUP($D3385,物料档案!$A$4:$P$1203,6,0),"※编码不在物料档案里"))</f>
        <v/>
      </c>
      <c r="J3385" s="23" t="n"/>
      <c r="K3385" s="17" t="n"/>
      <c r="L3385" s="17" t="n"/>
      <c r="M3385" s="17" t="n"/>
      <c r="N3385" s="17" t="n"/>
      <c r="O3385" s="26">
        <f>IF($D3385="","",IFERROR(VLOOKUP($D3385,物料档案!$A$4:$P$1203,10,0),0))</f>
        <v/>
      </c>
      <c r="P3385" s="32" t="n"/>
      <c r="Q3385" s="26">
        <f>IF($D3385="","",IF($K3385&lt;&gt;"对外销售",0,ROUND(N($J3385)*IF($P3385="",N($O3385),N($P3385)),0)))</f>
        <v/>
      </c>
      <c r="R3385" s="26">
        <f>IF($D3385="","",IFERROR(VLOOKUP($D3385,库存台账!$A$5:$Y$1204,11,0),0))</f>
        <v/>
      </c>
      <c r="S3385" s="26">
        <f>IF($D3385="","",ROUND(N($J3385)*N($R3385),0))</f>
        <v/>
      </c>
      <c r="T3385" s="26">
        <f>IF($D3385="","",IF($K3385&lt;&gt;"对外销售","",ROUND($Q3385-$S3385,0)))</f>
        <v/>
      </c>
      <c r="U3385" s="17" t="n"/>
      <c r="V3385" s="17" t="n"/>
      <c r="W3385" s="24">
        <f>IF($D3385="","",IF($E3385="※编码不在物料档案里","※物料编码不在档案里",IF(N($J3385)&lt;=0,"※出库数量要大于 0",IF($K3385="","※没填去向类型",IF($L3385="","※没填去向矿区",IF(AND($C3385&lt;&gt;"",$C3385&lt;=结账锁),"※日期早于已结账截止日，不能再录",IF(AND($K3385="自用消耗",COUNTIF({"一矿区";"二矿区"},$L3385)=0),"※自用消耗的去向只能是一矿区或二矿区",IF(AND($K3385="对外销售",COUNTIF({"三矿区";"六矿区"},$L3385)=0),"※对外销售的去向只能是三矿区或六矿区",IF(AND($K3385="对外销售",ROUND($Q3385,0)=0),"※外销却没有售价，请填实际售价",IF(AND($K3385="对外销售",$T3385&lt;&gt;"",$T3385&lt;0),"※这一笔外销是亏的，请核对售价",IF(IFERROR(VLOOKUP($D3385,库存台账!$A$5:$Y$1204,24,0),0)&lt;-0.001,"※这个物料账面已经变成负数了，查一下是不是漏记入库","")))))))))))</f>
        <v/>
      </c>
    </row>
    <row r="3386">
      <c r="A3386" s="24">
        <f>IF($D3386="","",COUNTA($D$4:$D3386))</f>
        <v/>
      </c>
      <c r="B3386" s="17" t="n"/>
      <c r="C3386" s="30" t="n"/>
      <c r="D3386" s="17" t="n"/>
      <c r="E3386" s="24">
        <f>IF($D3386="","",IFERROR(VLOOKUP($D3386,物料档案!$A$4:$P$1203,3,0),"※编码不在物料档案里"))</f>
        <v/>
      </c>
      <c r="F3386" s="24">
        <f>IF($D3386="","",IFERROR(VLOOKUP($D3386,物料档案!$A$4:$P$1203,4,0),"※编码不在物料档案里"))</f>
        <v/>
      </c>
      <c r="G3386" s="24">
        <f>IF($D3386="","",IFERROR(VLOOKUP($D3386,物料档案!$A$4:$P$1203,5,0),"※编码不在物料档案里"))</f>
        <v/>
      </c>
      <c r="H3386" s="24">
        <f>IF($D3386="","",IFERROR(VLOOKUP($D3386,物料档案!$A$4:$P$1203,2,0),"※编码不在物料档案里"))</f>
        <v/>
      </c>
      <c r="I3386" s="24">
        <f>IF($D3386="","",IFERROR(VLOOKUP($D3386,物料档案!$A$4:$P$1203,6,0),"※编码不在物料档案里"))</f>
        <v/>
      </c>
      <c r="J3386" s="23" t="n"/>
      <c r="K3386" s="17" t="n"/>
      <c r="L3386" s="17" t="n"/>
      <c r="M3386" s="17" t="n"/>
      <c r="N3386" s="17" t="n"/>
      <c r="O3386" s="26">
        <f>IF($D3386="","",IFERROR(VLOOKUP($D3386,物料档案!$A$4:$P$1203,10,0),0))</f>
        <v/>
      </c>
      <c r="P3386" s="32" t="n"/>
      <c r="Q3386" s="26">
        <f>IF($D3386="","",IF($K3386&lt;&gt;"对外销售",0,ROUND(N($J3386)*IF($P3386="",N($O3386),N($P3386)),0)))</f>
        <v/>
      </c>
      <c r="R3386" s="26">
        <f>IF($D3386="","",IFERROR(VLOOKUP($D3386,库存台账!$A$5:$Y$1204,11,0),0))</f>
        <v/>
      </c>
      <c r="S3386" s="26">
        <f>IF($D3386="","",ROUND(N($J3386)*N($R3386),0))</f>
        <v/>
      </c>
      <c r="T3386" s="26">
        <f>IF($D3386="","",IF($K3386&lt;&gt;"对外销售","",ROUND($Q3386-$S3386,0)))</f>
        <v/>
      </c>
      <c r="U3386" s="17" t="n"/>
      <c r="V3386" s="17" t="n"/>
      <c r="W3386" s="24">
        <f>IF($D3386="","",IF($E3386="※编码不在物料档案里","※物料编码不在档案里",IF(N($J3386)&lt;=0,"※出库数量要大于 0",IF($K3386="","※没填去向类型",IF($L3386="","※没填去向矿区",IF(AND($C3386&lt;&gt;"",$C3386&lt;=结账锁),"※日期早于已结账截止日，不能再录",IF(AND($K3386="自用消耗",COUNTIF({"一矿区";"二矿区"},$L3386)=0),"※自用消耗的去向只能是一矿区或二矿区",IF(AND($K3386="对外销售",COUNTIF({"三矿区";"六矿区"},$L3386)=0),"※对外销售的去向只能是三矿区或六矿区",IF(AND($K3386="对外销售",ROUND($Q3386,0)=0),"※外销却没有售价，请填实际售价",IF(AND($K3386="对外销售",$T3386&lt;&gt;"",$T3386&lt;0),"※这一笔外销是亏的，请核对售价",IF(IFERROR(VLOOKUP($D3386,库存台账!$A$5:$Y$1204,24,0),0)&lt;-0.001,"※这个物料账面已经变成负数了，查一下是不是漏记入库","")))))))))))</f>
        <v/>
      </c>
    </row>
    <row r="3387">
      <c r="A3387" s="24">
        <f>IF($D3387="","",COUNTA($D$4:$D3387))</f>
        <v/>
      </c>
      <c r="B3387" s="17" t="n"/>
      <c r="C3387" s="30" t="n"/>
      <c r="D3387" s="17" t="n"/>
      <c r="E3387" s="24">
        <f>IF($D3387="","",IFERROR(VLOOKUP($D3387,物料档案!$A$4:$P$1203,3,0),"※编码不在物料档案里"))</f>
        <v/>
      </c>
      <c r="F3387" s="24">
        <f>IF($D3387="","",IFERROR(VLOOKUP($D3387,物料档案!$A$4:$P$1203,4,0),"※编码不在物料档案里"))</f>
        <v/>
      </c>
      <c r="G3387" s="24">
        <f>IF($D3387="","",IFERROR(VLOOKUP($D3387,物料档案!$A$4:$P$1203,5,0),"※编码不在物料档案里"))</f>
        <v/>
      </c>
      <c r="H3387" s="24">
        <f>IF($D3387="","",IFERROR(VLOOKUP($D3387,物料档案!$A$4:$P$1203,2,0),"※编码不在物料档案里"))</f>
        <v/>
      </c>
      <c r="I3387" s="24">
        <f>IF($D3387="","",IFERROR(VLOOKUP($D3387,物料档案!$A$4:$P$1203,6,0),"※编码不在物料档案里"))</f>
        <v/>
      </c>
      <c r="J3387" s="23" t="n"/>
      <c r="K3387" s="17" t="n"/>
      <c r="L3387" s="17" t="n"/>
      <c r="M3387" s="17" t="n"/>
      <c r="N3387" s="17" t="n"/>
      <c r="O3387" s="26">
        <f>IF($D3387="","",IFERROR(VLOOKUP($D3387,物料档案!$A$4:$P$1203,10,0),0))</f>
        <v/>
      </c>
      <c r="P3387" s="32" t="n"/>
      <c r="Q3387" s="26">
        <f>IF($D3387="","",IF($K3387&lt;&gt;"对外销售",0,ROUND(N($J3387)*IF($P3387="",N($O3387),N($P3387)),0)))</f>
        <v/>
      </c>
      <c r="R3387" s="26">
        <f>IF($D3387="","",IFERROR(VLOOKUP($D3387,库存台账!$A$5:$Y$1204,11,0),0))</f>
        <v/>
      </c>
      <c r="S3387" s="26">
        <f>IF($D3387="","",ROUND(N($J3387)*N($R3387),0))</f>
        <v/>
      </c>
      <c r="T3387" s="26">
        <f>IF($D3387="","",IF($K3387&lt;&gt;"对外销售","",ROUND($Q3387-$S3387,0)))</f>
        <v/>
      </c>
      <c r="U3387" s="17" t="n"/>
      <c r="V3387" s="17" t="n"/>
      <c r="W3387" s="24">
        <f>IF($D3387="","",IF($E3387="※编码不在物料档案里","※物料编码不在档案里",IF(N($J3387)&lt;=0,"※出库数量要大于 0",IF($K3387="","※没填去向类型",IF($L3387="","※没填去向矿区",IF(AND($C3387&lt;&gt;"",$C3387&lt;=结账锁),"※日期早于已结账截止日，不能再录",IF(AND($K3387="自用消耗",COUNTIF({"一矿区";"二矿区"},$L3387)=0),"※自用消耗的去向只能是一矿区或二矿区",IF(AND($K3387="对外销售",COUNTIF({"三矿区";"六矿区"},$L3387)=0),"※对外销售的去向只能是三矿区或六矿区",IF(AND($K3387="对外销售",ROUND($Q3387,0)=0),"※外销却没有售价，请填实际售价",IF(AND($K3387="对外销售",$T3387&lt;&gt;"",$T3387&lt;0),"※这一笔外销是亏的，请核对售价",IF(IFERROR(VLOOKUP($D3387,库存台账!$A$5:$Y$1204,24,0),0)&lt;-0.001,"※这个物料账面已经变成负数了，查一下是不是漏记入库","")))))))))))</f>
        <v/>
      </c>
    </row>
    <row r="3388">
      <c r="A3388" s="24">
        <f>IF($D3388="","",COUNTA($D$4:$D3388))</f>
        <v/>
      </c>
      <c r="B3388" s="17" t="n"/>
      <c r="C3388" s="30" t="n"/>
      <c r="D3388" s="17" t="n"/>
      <c r="E3388" s="24">
        <f>IF($D3388="","",IFERROR(VLOOKUP($D3388,物料档案!$A$4:$P$1203,3,0),"※编码不在物料档案里"))</f>
        <v/>
      </c>
      <c r="F3388" s="24">
        <f>IF($D3388="","",IFERROR(VLOOKUP($D3388,物料档案!$A$4:$P$1203,4,0),"※编码不在物料档案里"))</f>
        <v/>
      </c>
      <c r="G3388" s="24">
        <f>IF($D3388="","",IFERROR(VLOOKUP($D3388,物料档案!$A$4:$P$1203,5,0),"※编码不在物料档案里"))</f>
        <v/>
      </c>
      <c r="H3388" s="24">
        <f>IF($D3388="","",IFERROR(VLOOKUP($D3388,物料档案!$A$4:$P$1203,2,0),"※编码不在物料档案里"))</f>
        <v/>
      </c>
      <c r="I3388" s="24">
        <f>IF($D3388="","",IFERROR(VLOOKUP($D3388,物料档案!$A$4:$P$1203,6,0),"※编码不在物料档案里"))</f>
        <v/>
      </c>
      <c r="J3388" s="23" t="n"/>
      <c r="K3388" s="17" t="n"/>
      <c r="L3388" s="17" t="n"/>
      <c r="M3388" s="17" t="n"/>
      <c r="N3388" s="17" t="n"/>
      <c r="O3388" s="26">
        <f>IF($D3388="","",IFERROR(VLOOKUP($D3388,物料档案!$A$4:$P$1203,10,0),0))</f>
        <v/>
      </c>
      <c r="P3388" s="32" t="n"/>
      <c r="Q3388" s="26">
        <f>IF($D3388="","",IF($K3388&lt;&gt;"对外销售",0,ROUND(N($J3388)*IF($P3388="",N($O3388),N($P3388)),0)))</f>
        <v/>
      </c>
      <c r="R3388" s="26">
        <f>IF($D3388="","",IFERROR(VLOOKUP($D3388,库存台账!$A$5:$Y$1204,11,0),0))</f>
        <v/>
      </c>
      <c r="S3388" s="26">
        <f>IF($D3388="","",ROUND(N($J3388)*N($R3388),0))</f>
        <v/>
      </c>
      <c r="T3388" s="26">
        <f>IF($D3388="","",IF($K3388&lt;&gt;"对外销售","",ROUND($Q3388-$S3388,0)))</f>
        <v/>
      </c>
      <c r="U3388" s="17" t="n"/>
      <c r="V3388" s="17" t="n"/>
      <c r="W3388" s="24">
        <f>IF($D3388="","",IF($E3388="※编码不在物料档案里","※物料编码不在档案里",IF(N($J3388)&lt;=0,"※出库数量要大于 0",IF($K3388="","※没填去向类型",IF($L3388="","※没填去向矿区",IF(AND($C3388&lt;&gt;"",$C3388&lt;=结账锁),"※日期早于已结账截止日，不能再录",IF(AND($K3388="自用消耗",COUNTIF({"一矿区";"二矿区"},$L3388)=0),"※自用消耗的去向只能是一矿区或二矿区",IF(AND($K3388="对外销售",COUNTIF({"三矿区";"六矿区"},$L3388)=0),"※对外销售的去向只能是三矿区或六矿区",IF(AND($K3388="对外销售",ROUND($Q3388,0)=0),"※外销却没有售价，请填实际售价",IF(AND($K3388="对外销售",$T3388&lt;&gt;"",$T3388&lt;0),"※这一笔外销是亏的，请核对售价",IF(IFERROR(VLOOKUP($D3388,库存台账!$A$5:$Y$1204,24,0),0)&lt;-0.001,"※这个物料账面已经变成负数了，查一下是不是漏记入库","")))))))))))</f>
        <v/>
      </c>
    </row>
    <row r="3389">
      <c r="A3389" s="24">
        <f>IF($D3389="","",COUNTA($D$4:$D3389))</f>
        <v/>
      </c>
      <c r="B3389" s="17" t="n"/>
      <c r="C3389" s="30" t="n"/>
      <c r="D3389" s="17" t="n"/>
      <c r="E3389" s="24">
        <f>IF($D3389="","",IFERROR(VLOOKUP($D3389,物料档案!$A$4:$P$1203,3,0),"※编码不在物料档案里"))</f>
        <v/>
      </c>
      <c r="F3389" s="24">
        <f>IF($D3389="","",IFERROR(VLOOKUP($D3389,物料档案!$A$4:$P$1203,4,0),"※编码不在物料档案里"))</f>
        <v/>
      </c>
      <c r="G3389" s="24">
        <f>IF($D3389="","",IFERROR(VLOOKUP($D3389,物料档案!$A$4:$P$1203,5,0),"※编码不在物料档案里"))</f>
        <v/>
      </c>
      <c r="H3389" s="24">
        <f>IF($D3389="","",IFERROR(VLOOKUP($D3389,物料档案!$A$4:$P$1203,2,0),"※编码不在物料档案里"))</f>
        <v/>
      </c>
      <c r="I3389" s="24">
        <f>IF($D3389="","",IFERROR(VLOOKUP($D3389,物料档案!$A$4:$P$1203,6,0),"※编码不在物料档案里"))</f>
        <v/>
      </c>
      <c r="J3389" s="23" t="n"/>
      <c r="K3389" s="17" t="n"/>
      <c r="L3389" s="17" t="n"/>
      <c r="M3389" s="17" t="n"/>
      <c r="N3389" s="17" t="n"/>
      <c r="O3389" s="26">
        <f>IF($D3389="","",IFERROR(VLOOKUP($D3389,物料档案!$A$4:$P$1203,10,0),0))</f>
        <v/>
      </c>
      <c r="P3389" s="32" t="n"/>
      <c r="Q3389" s="26">
        <f>IF($D3389="","",IF($K3389&lt;&gt;"对外销售",0,ROUND(N($J3389)*IF($P3389="",N($O3389),N($P3389)),0)))</f>
        <v/>
      </c>
      <c r="R3389" s="26">
        <f>IF($D3389="","",IFERROR(VLOOKUP($D3389,库存台账!$A$5:$Y$1204,11,0),0))</f>
        <v/>
      </c>
      <c r="S3389" s="26">
        <f>IF($D3389="","",ROUND(N($J3389)*N($R3389),0))</f>
        <v/>
      </c>
      <c r="T3389" s="26">
        <f>IF($D3389="","",IF($K3389&lt;&gt;"对外销售","",ROUND($Q3389-$S3389,0)))</f>
        <v/>
      </c>
      <c r="U3389" s="17" t="n"/>
      <c r="V3389" s="17" t="n"/>
      <c r="W3389" s="24">
        <f>IF($D3389="","",IF($E3389="※编码不在物料档案里","※物料编码不在档案里",IF(N($J3389)&lt;=0,"※出库数量要大于 0",IF($K3389="","※没填去向类型",IF($L3389="","※没填去向矿区",IF(AND($C3389&lt;&gt;"",$C3389&lt;=结账锁),"※日期早于已结账截止日，不能再录",IF(AND($K3389="自用消耗",COUNTIF({"一矿区";"二矿区"},$L3389)=0),"※自用消耗的去向只能是一矿区或二矿区",IF(AND($K3389="对外销售",COUNTIF({"三矿区";"六矿区"},$L3389)=0),"※对外销售的去向只能是三矿区或六矿区",IF(AND($K3389="对外销售",ROUND($Q3389,0)=0),"※外销却没有售价，请填实际售价",IF(AND($K3389="对外销售",$T3389&lt;&gt;"",$T3389&lt;0),"※这一笔外销是亏的，请核对售价",IF(IFERROR(VLOOKUP($D3389,库存台账!$A$5:$Y$1204,24,0),0)&lt;-0.001,"※这个物料账面已经变成负数了，查一下是不是漏记入库","")))))))))))</f>
        <v/>
      </c>
    </row>
    <row r="3390">
      <c r="A3390" s="24">
        <f>IF($D3390="","",COUNTA($D$4:$D3390))</f>
        <v/>
      </c>
      <c r="B3390" s="17" t="n"/>
      <c r="C3390" s="30" t="n"/>
      <c r="D3390" s="17" t="n"/>
      <c r="E3390" s="24">
        <f>IF($D3390="","",IFERROR(VLOOKUP($D3390,物料档案!$A$4:$P$1203,3,0),"※编码不在物料档案里"))</f>
        <v/>
      </c>
      <c r="F3390" s="24">
        <f>IF($D3390="","",IFERROR(VLOOKUP($D3390,物料档案!$A$4:$P$1203,4,0),"※编码不在物料档案里"))</f>
        <v/>
      </c>
      <c r="G3390" s="24">
        <f>IF($D3390="","",IFERROR(VLOOKUP($D3390,物料档案!$A$4:$P$1203,5,0),"※编码不在物料档案里"))</f>
        <v/>
      </c>
      <c r="H3390" s="24">
        <f>IF($D3390="","",IFERROR(VLOOKUP($D3390,物料档案!$A$4:$P$1203,2,0),"※编码不在物料档案里"))</f>
        <v/>
      </c>
      <c r="I3390" s="24">
        <f>IF($D3390="","",IFERROR(VLOOKUP($D3390,物料档案!$A$4:$P$1203,6,0),"※编码不在物料档案里"))</f>
        <v/>
      </c>
      <c r="J3390" s="23" t="n"/>
      <c r="K3390" s="17" t="n"/>
      <c r="L3390" s="17" t="n"/>
      <c r="M3390" s="17" t="n"/>
      <c r="N3390" s="17" t="n"/>
      <c r="O3390" s="26">
        <f>IF($D3390="","",IFERROR(VLOOKUP($D3390,物料档案!$A$4:$P$1203,10,0),0))</f>
        <v/>
      </c>
      <c r="P3390" s="32" t="n"/>
      <c r="Q3390" s="26">
        <f>IF($D3390="","",IF($K3390&lt;&gt;"对外销售",0,ROUND(N($J3390)*IF($P3390="",N($O3390),N($P3390)),0)))</f>
        <v/>
      </c>
      <c r="R3390" s="26">
        <f>IF($D3390="","",IFERROR(VLOOKUP($D3390,库存台账!$A$5:$Y$1204,11,0),0))</f>
        <v/>
      </c>
      <c r="S3390" s="26">
        <f>IF($D3390="","",ROUND(N($J3390)*N($R3390),0))</f>
        <v/>
      </c>
      <c r="T3390" s="26">
        <f>IF($D3390="","",IF($K3390&lt;&gt;"对外销售","",ROUND($Q3390-$S3390,0)))</f>
        <v/>
      </c>
      <c r="U3390" s="17" t="n"/>
      <c r="V3390" s="17" t="n"/>
      <c r="W3390" s="24">
        <f>IF($D3390="","",IF($E3390="※编码不在物料档案里","※物料编码不在档案里",IF(N($J3390)&lt;=0,"※出库数量要大于 0",IF($K3390="","※没填去向类型",IF($L3390="","※没填去向矿区",IF(AND($C3390&lt;&gt;"",$C3390&lt;=结账锁),"※日期早于已结账截止日，不能再录",IF(AND($K3390="自用消耗",COUNTIF({"一矿区";"二矿区"},$L3390)=0),"※自用消耗的去向只能是一矿区或二矿区",IF(AND($K3390="对外销售",COUNTIF({"三矿区";"六矿区"},$L3390)=0),"※对外销售的去向只能是三矿区或六矿区",IF(AND($K3390="对外销售",ROUND($Q3390,0)=0),"※外销却没有售价，请填实际售价",IF(AND($K3390="对外销售",$T3390&lt;&gt;"",$T3390&lt;0),"※这一笔外销是亏的，请核对售价",IF(IFERROR(VLOOKUP($D3390,库存台账!$A$5:$Y$1204,24,0),0)&lt;-0.001,"※这个物料账面已经变成负数了，查一下是不是漏记入库","")))))))))))</f>
        <v/>
      </c>
    </row>
    <row r="3391">
      <c r="A3391" s="24">
        <f>IF($D3391="","",COUNTA($D$4:$D3391))</f>
        <v/>
      </c>
      <c r="B3391" s="17" t="n"/>
      <c r="C3391" s="30" t="n"/>
      <c r="D3391" s="17" t="n"/>
      <c r="E3391" s="24">
        <f>IF($D3391="","",IFERROR(VLOOKUP($D3391,物料档案!$A$4:$P$1203,3,0),"※编码不在物料档案里"))</f>
        <v/>
      </c>
      <c r="F3391" s="24">
        <f>IF($D3391="","",IFERROR(VLOOKUP($D3391,物料档案!$A$4:$P$1203,4,0),"※编码不在物料档案里"))</f>
        <v/>
      </c>
      <c r="G3391" s="24">
        <f>IF($D3391="","",IFERROR(VLOOKUP($D3391,物料档案!$A$4:$P$1203,5,0),"※编码不在物料档案里"))</f>
        <v/>
      </c>
      <c r="H3391" s="24">
        <f>IF($D3391="","",IFERROR(VLOOKUP($D3391,物料档案!$A$4:$P$1203,2,0),"※编码不在物料档案里"))</f>
        <v/>
      </c>
      <c r="I3391" s="24">
        <f>IF($D3391="","",IFERROR(VLOOKUP($D3391,物料档案!$A$4:$P$1203,6,0),"※编码不在物料档案里"))</f>
        <v/>
      </c>
      <c r="J3391" s="23" t="n"/>
      <c r="K3391" s="17" t="n"/>
      <c r="L3391" s="17" t="n"/>
      <c r="M3391" s="17" t="n"/>
      <c r="N3391" s="17" t="n"/>
      <c r="O3391" s="26">
        <f>IF($D3391="","",IFERROR(VLOOKUP($D3391,物料档案!$A$4:$P$1203,10,0),0))</f>
        <v/>
      </c>
      <c r="P3391" s="32" t="n"/>
      <c r="Q3391" s="26">
        <f>IF($D3391="","",IF($K3391&lt;&gt;"对外销售",0,ROUND(N($J3391)*IF($P3391="",N($O3391),N($P3391)),0)))</f>
        <v/>
      </c>
      <c r="R3391" s="26">
        <f>IF($D3391="","",IFERROR(VLOOKUP($D3391,库存台账!$A$5:$Y$1204,11,0),0))</f>
        <v/>
      </c>
      <c r="S3391" s="26">
        <f>IF($D3391="","",ROUND(N($J3391)*N($R3391),0))</f>
        <v/>
      </c>
      <c r="T3391" s="26">
        <f>IF($D3391="","",IF($K3391&lt;&gt;"对外销售","",ROUND($Q3391-$S3391,0)))</f>
        <v/>
      </c>
      <c r="U3391" s="17" t="n"/>
      <c r="V3391" s="17" t="n"/>
      <c r="W3391" s="24">
        <f>IF($D3391="","",IF($E3391="※编码不在物料档案里","※物料编码不在档案里",IF(N($J3391)&lt;=0,"※出库数量要大于 0",IF($K3391="","※没填去向类型",IF($L3391="","※没填去向矿区",IF(AND($C3391&lt;&gt;"",$C3391&lt;=结账锁),"※日期早于已结账截止日，不能再录",IF(AND($K3391="自用消耗",COUNTIF({"一矿区";"二矿区"},$L3391)=0),"※自用消耗的去向只能是一矿区或二矿区",IF(AND($K3391="对外销售",COUNTIF({"三矿区";"六矿区"},$L3391)=0),"※对外销售的去向只能是三矿区或六矿区",IF(AND($K3391="对外销售",ROUND($Q3391,0)=0),"※外销却没有售价，请填实际售价",IF(AND($K3391="对外销售",$T3391&lt;&gt;"",$T3391&lt;0),"※这一笔外销是亏的，请核对售价",IF(IFERROR(VLOOKUP($D3391,库存台账!$A$5:$Y$1204,24,0),0)&lt;-0.001,"※这个物料账面已经变成负数了，查一下是不是漏记入库","")))))))))))</f>
        <v/>
      </c>
    </row>
    <row r="3392">
      <c r="A3392" s="24">
        <f>IF($D3392="","",COUNTA($D$4:$D3392))</f>
        <v/>
      </c>
      <c r="B3392" s="17" t="n"/>
      <c r="C3392" s="30" t="n"/>
      <c r="D3392" s="17" t="n"/>
      <c r="E3392" s="24">
        <f>IF($D3392="","",IFERROR(VLOOKUP($D3392,物料档案!$A$4:$P$1203,3,0),"※编码不在物料档案里"))</f>
        <v/>
      </c>
      <c r="F3392" s="24">
        <f>IF($D3392="","",IFERROR(VLOOKUP($D3392,物料档案!$A$4:$P$1203,4,0),"※编码不在物料档案里"))</f>
        <v/>
      </c>
      <c r="G3392" s="24">
        <f>IF($D3392="","",IFERROR(VLOOKUP($D3392,物料档案!$A$4:$P$1203,5,0),"※编码不在物料档案里"))</f>
        <v/>
      </c>
      <c r="H3392" s="24">
        <f>IF($D3392="","",IFERROR(VLOOKUP($D3392,物料档案!$A$4:$P$1203,2,0),"※编码不在物料档案里"))</f>
        <v/>
      </c>
      <c r="I3392" s="24">
        <f>IF($D3392="","",IFERROR(VLOOKUP($D3392,物料档案!$A$4:$P$1203,6,0),"※编码不在物料档案里"))</f>
        <v/>
      </c>
      <c r="J3392" s="23" t="n"/>
      <c r="K3392" s="17" t="n"/>
      <c r="L3392" s="17" t="n"/>
      <c r="M3392" s="17" t="n"/>
      <c r="N3392" s="17" t="n"/>
      <c r="O3392" s="26">
        <f>IF($D3392="","",IFERROR(VLOOKUP($D3392,物料档案!$A$4:$P$1203,10,0),0))</f>
        <v/>
      </c>
      <c r="P3392" s="32" t="n"/>
      <c r="Q3392" s="26">
        <f>IF($D3392="","",IF($K3392&lt;&gt;"对外销售",0,ROUND(N($J3392)*IF($P3392="",N($O3392),N($P3392)),0)))</f>
        <v/>
      </c>
      <c r="R3392" s="26">
        <f>IF($D3392="","",IFERROR(VLOOKUP($D3392,库存台账!$A$5:$Y$1204,11,0),0))</f>
        <v/>
      </c>
      <c r="S3392" s="26">
        <f>IF($D3392="","",ROUND(N($J3392)*N($R3392),0))</f>
        <v/>
      </c>
      <c r="T3392" s="26">
        <f>IF($D3392="","",IF($K3392&lt;&gt;"对外销售","",ROUND($Q3392-$S3392,0)))</f>
        <v/>
      </c>
      <c r="U3392" s="17" t="n"/>
      <c r="V3392" s="17" t="n"/>
      <c r="W3392" s="24">
        <f>IF($D3392="","",IF($E3392="※编码不在物料档案里","※物料编码不在档案里",IF(N($J3392)&lt;=0,"※出库数量要大于 0",IF($K3392="","※没填去向类型",IF($L3392="","※没填去向矿区",IF(AND($C3392&lt;&gt;"",$C3392&lt;=结账锁),"※日期早于已结账截止日，不能再录",IF(AND($K3392="自用消耗",COUNTIF({"一矿区";"二矿区"},$L3392)=0),"※自用消耗的去向只能是一矿区或二矿区",IF(AND($K3392="对外销售",COUNTIF({"三矿区";"六矿区"},$L3392)=0),"※对外销售的去向只能是三矿区或六矿区",IF(AND($K3392="对外销售",ROUND($Q3392,0)=0),"※外销却没有售价，请填实际售价",IF(AND($K3392="对外销售",$T3392&lt;&gt;"",$T3392&lt;0),"※这一笔外销是亏的，请核对售价",IF(IFERROR(VLOOKUP($D3392,库存台账!$A$5:$Y$1204,24,0),0)&lt;-0.001,"※这个物料账面已经变成负数了，查一下是不是漏记入库","")))))))))))</f>
        <v/>
      </c>
    </row>
    <row r="3393">
      <c r="A3393" s="24">
        <f>IF($D3393="","",COUNTA($D$4:$D3393))</f>
        <v/>
      </c>
      <c r="B3393" s="17" t="n"/>
      <c r="C3393" s="30" t="n"/>
      <c r="D3393" s="17" t="n"/>
      <c r="E3393" s="24">
        <f>IF($D3393="","",IFERROR(VLOOKUP($D3393,物料档案!$A$4:$P$1203,3,0),"※编码不在物料档案里"))</f>
        <v/>
      </c>
      <c r="F3393" s="24">
        <f>IF($D3393="","",IFERROR(VLOOKUP($D3393,物料档案!$A$4:$P$1203,4,0),"※编码不在物料档案里"))</f>
        <v/>
      </c>
      <c r="G3393" s="24">
        <f>IF($D3393="","",IFERROR(VLOOKUP($D3393,物料档案!$A$4:$P$1203,5,0),"※编码不在物料档案里"))</f>
        <v/>
      </c>
      <c r="H3393" s="24">
        <f>IF($D3393="","",IFERROR(VLOOKUP($D3393,物料档案!$A$4:$P$1203,2,0),"※编码不在物料档案里"))</f>
        <v/>
      </c>
      <c r="I3393" s="24">
        <f>IF($D3393="","",IFERROR(VLOOKUP($D3393,物料档案!$A$4:$P$1203,6,0),"※编码不在物料档案里"))</f>
        <v/>
      </c>
      <c r="J3393" s="23" t="n"/>
      <c r="K3393" s="17" t="n"/>
      <c r="L3393" s="17" t="n"/>
      <c r="M3393" s="17" t="n"/>
      <c r="N3393" s="17" t="n"/>
      <c r="O3393" s="26">
        <f>IF($D3393="","",IFERROR(VLOOKUP($D3393,物料档案!$A$4:$P$1203,10,0),0))</f>
        <v/>
      </c>
      <c r="P3393" s="32" t="n"/>
      <c r="Q3393" s="26">
        <f>IF($D3393="","",IF($K3393&lt;&gt;"对外销售",0,ROUND(N($J3393)*IF($P3393="",N($O3393),N($P3393)),0)))</f>
        <v/>
      </c>
      <c r="R3393" s="26">
        <f>IF($D3393="","",IFERROR(VLOOKUP($D3393,库存台账!$A$5:$Y$1204,11,0),0))</f>
        <v/>
      </c>
      <c r="S3393" s="26">
        <f>IF($D3393="","",ROUND(N($J3393)*N($R3393),0))</f>
        <v/>
      </c>
      <c r="T3393" s="26">
        <f>IF($D3393="","",IF($K3393&lt;&gt;"对外销售","",ROUND($Q3393-$S3393,0)))</f>
        <v/>
      </c>
      <c r="U3393" s="17" t="n"/>
      <c r="V3393" s="17" t="n"/>
      <c r="W3393" s="24">
        <f>IF($D3393="","",IF($E3393="※编码不在物料档案里","※物料编码不在档案里",IF(N($J3393)&lt;=0,"※出库数量要大于 0",IF($K3393="","※没填去向类型",IF($L3393="","※没填去向矿区",IF(AND($C3393&lt;&gt;"",$C3393&lt;=结账锁),"※日期早于已结账截止日，不能再录",IF(AND($K3393="自用消耗",COUNTIF({"一矿区";"二矿区"},$L3393)=0),"※自用消耗的去向只能是一矿区或二矿区",IF(AND($K3393="对外销售",COUNTIF({"三矿区";"六矿区"},$L3393)=0),"※对外销售的去向只能是三矿区或六矿区",IF(AND($K3393="对外销售",ROUND($Q3393,0)=0),"※外销却没有售价，请填实际售价",IF(AND($K3393="对外销售",$T3393&lt;&gt;"",$T3393&lt;0),"※这一笔外销是亏的，请核对售价",IF(IFERROR(VLOOKUP($D3393,库存台账!$A$5:$Y$1204,24,0),0)&lt;-0.001,"※这个物料账面已经变成负数了，查一下是不是漏记入库","")))))))))))</f>
        <v/>
      </c>
    </row>
    <row r="3394">
      <c r="A3394" s="24">
        <f>IF($D3394="","",COUNTA($D$4:$D3394))</f>
        <v/>
      </c>
      <c r="B3394" s="17" t="n"/>
      <c r="C3394" s="30" t="n"/>
      <c r="D3394" s="17" t="n"/>
      <c r="E3394" s="24">
        <f>IF($D3394="","",IFERROR(VLOOKUP($D3394,物料档案!$A$4:$P$1203,3,0),"※编码不在物料档案里"))</f>
        <v/>
      </c>
      <c r="F3394" s="24">
        <f>IF($D3394="","",IFERROR(VLOOKUP($D3394,物料档案!$A$4:$P$1203,4,0),"※编码不在物料档案里"))</f>
        <v/>
      </c>
      <c r="G3394" s="24">
        <f>IF($D3394="","",IFERROR(VLOOKUP($D3394,物料档案!$A$4:$P$1203,5,0),"※编码不在物料档案里"))</f>
        <v/>
      </c>
      <c r="H3394" s="24">
        <f>IF($D3394="","",IFERROR(VLOOKUP($D3394,物料档案!$A$4:$P$1203,2,0),"※编码不在物料档案里"))</f>
        <v/>
      </c>
      <c r="I3394" s="24">
        <f>IF($D3394="","",IFERROR(VLOOKUP($D3394,物料档案!$A$4:$P$1203,6,0),"※编码不在物料档案里"))</f>
        <v/>
      </c>
      <c r="J3394" s="23" t="n"/>
      <c r="K3394" s="17" t="n"/>
      <c r="L3394" s="17" t="n"/>
      <c r="M3394" s="17" t="n"/>
      <c r="N3394" s="17" t="n"/>
      <c r="O3394" s="26">
        <f>IF($D3394="","",IFERROR(VLOOKUP($D3394,物料档案!$A$4:$P$1203,10,0),0))</f>
        <v/>
      </c>
      <c r="P3394" s="32" t="n"/>
      <c r="Q3394" s="26">
        <f>IF($D3394="","",IF($K3394&lt;&gt;"对外销售",0,ROUND(N($J3394)*IF($P3394="",N($O3394),N($P3394)),0)))</f>
        <v/>
      </c>
      <c r="R3394" s="26">
        <f>IF($D3394="","",IFERROR(VLOOKUP($D3394,库存台账!$A$5:$Y$1204,11,0),0))</f>
        <v/>
      </c>
      <c r="S3394" s="26">
        <f>IF($D3394="","",ROUND(N($J3394)*N($R3394),0))</f>
        <v/>
      </c>
      <c r="T3394" s="26">
        <f>IF($D3394="","",IF($K3394&lt;&gt;"对外销售","",ROUND($Q3394-$S3394,0)))</f>
        <v/>
      </c>
      <c r="U3394" s="17" t="n"/>
      <c r="V3394" s="17" t="n"/>
      <c r="W3394" s="24">
        <f>IF($D3394="","",IF($E3394="※编码不在物料档案里","※物料编码不在档案里",IF(N($J3394)&lt;=0,"※出库数量要大于 0",IF($K3394="","※没填去向类型",IF($L3394="","※没填去向矿区",IF(AND($C3394&lt;&gt;"",$C3394&lt;=结账锁),"※日期早于已结账截止日，不能再录",IF(AND($K3394="自用消耗",COUNTIF({"一矿区";"二矿区"},$L3394)=0),"※自用消耗的去向只能是一矿区或二矿区",IF(AND($K3394="对外销售",COUNTIF({"三矿区";"六矿区"},$L3394)=0),"※对外销售的去向只能是三矿区或六矿区",IF(AND($K3394="对外销售",ROUND($Q3394,0)=0),"※外销却没有售价，请填实际售价",IF(AND($K3394="对外销售",$T3394&lt;&gt;"",$T3394&lt;0),"※这一笔外销是亏的，请核对售价",IF(IFERROR(VLOOKUP($D3394,库存台账!$A$5:$Y$1204,24,0),0)&lt;-0.001,"※这个物料账面已经变成负数了，查一下是不是漏记入库","")))))))))))</f>
        <v/>
      </c>
    </row>
    <row r="3395">
      <c r="A3395" s="24">
        <f>IF($D3395="","",COUNTA($D$4:$D3395))</f>
        <v/>
      </c>
      <c r="B3395" s="17" t="n"/>
      <c r="C3395" s="30" t="n"/>
      <c r="D3395" s="17" t="n"/>
      <c r="E3395" s="24">
        <f>IF($D3395="","",IFERROR(VLOOKUP($D3395,物料档案!$A$4:$P$1203,3,0),"※编码不在物料档案里"))</f>
        <v/>
      </c>
      <c r="F3395" s="24">
        <f>IF($D3395="","",IFERROR(VLOOKUP($D3395,物料档案!$A$4:$P$1203,4,0),"※编码不在物料档案里"))</f>
        <v/>
      </c>
      <c r="G3395" s="24">
        <f>IF($D3395="","",IFERROR(VLOOKUP($D3395,物料档案!$A$4:$P$1203,5,0),"※编码不在物料档案里"))</f>
        <v/>
      </c>
      <c r="H3395" s="24">
        <f>IF($D3395="","",IFERROR(VLOOKUP($D3395,物料档案!$A$4:$P$1203,2,0),"※编码不在物料档案里"))</f>
        <v/>
      </c>
      <c r="I3395" s="24">
        <f>IF($D3395="","",IFERROR(VLOOKUP($D3395,物料档案!$A$4:$P$1203,6,0),"※编码不在物料档案里"))</f>
        <v/>
      </c>
      <c r="J3395" s="23" t="n"/>
      <c r="K3395" s="17" t="n"/>
      <c r="L3395" s="17" t="n"/>
      <c r="M3395" s="17" t="n"/>
      <c r="N3395" s="17" t="n"/>
      <c r="O3395" s="26">
        <f>IF($D3395="","",IFERROR(VLOOKUP($D3395,物料档案!$A$4:$P$1203,10,0),0))</f>
        <v/>
      </c>
      <c r="P3395" s="32" t="n"/>
      <c r="Q3395" s="26">
        <f>IF($D3395="","",IF($K3395&lt;&gt;"对外销售",0,ROUND(N($J3395)*IF($P3395="",N($O3395),N($P3395)),0)))</f>
        <v/>
      </c>
      <c r="R3395" s="26">
        <f>IF($D3395="","",IFERROR(VLOOKUP($D3395,库存台账!$A$5:$Y$1204,11,0),0))</f>
        <v/>
      </c>
      <c r="S3395" s="26">
        <f>IF($D3395="","",ROUND(N($J3395)*N($R3395),0))</f>
        <v/>
      </c>
      <c r="T3395" s="26">
        <f>IF($D3395="","",IF($K3395&lt;&gt;"对外销售","",ROUND($Q3395-$S3395,0)))</f>
        <v/>
      </c>
      <c r="U3395" s="17" t="n"/>
      <c r="V3395" s="17" t="n"/>
      <c r="W3395" s="24">
        <f>IF($D3395="","",IF($E3395="※编码不在物料档案里","※物料编码不在档案里",IF(N($J3395)&lt;=0,"※出库数量要大于 0",IF($K3395="","※没填去向类型",IF($L3395="","※没填去向矿区",IF(AND($C3395&lt;&gt;"",$C3395&lt;=结账锁),"※日期早于已结账截止日，不能再录",IF(AND($K3395="自用消耗",COUNTIF({"一矿区";"二矿区"},$L3395)=0),"※自用消耗的去向只能是一矿区或二矿区",IF(AND($K3395="对外销售",COUNTIF({"三矿区";"六矿区"},$L3395)=0),"※对外销售的去向只能是三矿区或六矿区",IF(AND($K3395="对外销售",ROUND($Q3395,0)=0),"※外销却没有售价，请填实际售价",IF(AND($K3395="对外销售",$T3395&lt;&gt;"",$T3395&lt;0),"※这一笔外销是亏的，请核对售价",IF(IFERROR(VLOOKUP($D3395,库存台账!$A$5:$Y$1204,24,0),0)&lt;-0.001,"※这个物料账面已经变成负数了，查一下是不是漏记入库","")))))))))))</f>
        <v/>
      </c>
    </row>
    <row r="3396">
      <c r="A3396" s="24">
        <f>IF($D3396="","",COUNTA($D$4:$D3396))</f>
        <v/>
      </c>
      <c r="B3396" s="17" t="n"/>
      <c r="C3396" s="30" t="n"/>
      <c r="D3396" s="17" t="n"/>
      <c r="E3396" s="24">
        <f>IF($D3396="","",IFERROR(VLOOKUP($D3396,物料档案!$A$4:$P$1203,3,0),"※编码不在物料档案里"))</f>
        <v/>
      </c>
      <c r="F3396" s="24">
        <f>IF($D3396="","",IFERROR(VLOOKUP($D3396,物料档案!$A$4:$P$1203,4,0),"※编码不在物料档案里"))</f>
        <v/>
      </c>
      <c r="G3396" s="24">
        <f>IF($D3396="","",IFERROR(VLOOKUP($D3396,物料档案!$A$4:$P$1203,5,0),"※编码不在物料档案里"))</f>
        <v/>
      </c>
      <c r="H3396" s="24">
        <f>IF($D3396="","",IFERROR(VLOOKUP($D3396,物料档案!$A$4:$P$1203,2,0),"※编码不在物料档案里"))</f>
        <v/>
      </c>
      <c r="I3396" s="24">
        <f>IF($D3396="","",IFERROR(VLOOKUP($D3396,物料档案!$A$4:$P$1203,6,0),"※编码不在物料档案里"))</f>
        <v/>
      </c>
      <c r="J3396" s="23" t="n"/>
      <c r="K3396" s="17" t="n"/>
      <c r="L3396" s="17" t="n"/>
      <c r="M3396" s="17" t="n"/>
      <c r="N3396" s="17" t="n"/>
      <c r="O3396" s="26">
        <f>IF($D3396="","",IFERROR(VLOOKUP($D3396,物料档案!$A$4:$P$1203,10,0),0))</f>
        <v/>
      </c>
      <c r="P3396" s="32" t="n"/>
      <c r="Q3396" s="26">
        <f>IF($D3396="","",IF($K3396&lt;&gt;"对外销售",0,ROUND(N($J3396)*IF($P3396="",N($O3396),N($P3396)),0)))</f>
        <v/>
      </c>
      <c r="R3396" s="26">
        <f>IF($D3396="","",IFERROR(VLOOKUP($D3396,库存台账!$A$5:$Y$1204,11,0),0))</f>
        <v/>
      </c>
      <c r="S3396" s="26">
        <f>IF($D3396="","",ROUND(N($J3396)*N($R3396),0))</f>
        <v/>
      </c>
      <c r="T3396" s="26">
        <f>IF($D3396="","",IF($K3396&lt;&gt;"对外销售","",ROUND($Q3396-$S3396,0)))</f>
        <v/>
      </c>
      <c r="U3396" s="17" t="n"/>
      <c r="V3396" s="17" t="n"/>
      <c r="W3396" s="24">
        <f>IF($D3396="","",IF($E3396="※编码不在物料档案里","※物料编码不在档案里",IF(N($J3396)&lt;=0,"※出库数量要大于 0",IF($K3396="","※没填去向类型",IF($L3396="","※没填去向矿区",IF(AND($C3396&lt;&gt;"",$C3396&lt;=结账锁),"※日期早于已结账截止日，不能再录",IF(AND($K3396="自用消耗",COUNTIF({"一矿区";"二矿区"},$L3396)=0),"※自用消耗的去向只能是一矿区或二矿区",IF(AND($K3396="对外销售",COUNTIF({"三矿区";"六矿区"},$L3396)=0),"※对外销售的去向只能是三矿区或六矿区",IF(AND($K3396="对外销售",ROUND($Q3396,0)=0),"※外销却没有售价，请填实际售价",IF(AND($K3396="对外销售",$T3396&lt;&gt;"",$T3396&lt;0),"※这一笔外销是亏的，请核对售价",IF(IFERROR(VLOOKUP($D3396,库存台账!$A$5:$Y$1204,24,0),0)&lt;-0.001,"※这个物料账面已经变成负数了，查一下是不是漏记入库","")))))))))))</f>
        <v/>
      </c>
    </row>
    <row r="3397">
      <c r="A3397" s="24">
        <f>IF($D3397="","",COUNTA($D$4:$D3397))</f>
        <v/>
      </c>
      <c r="B3397" s="17" t="n"/>
      <c r="C3397" s="30" t="n"/>
      <c r="D3397" s="17" t="n"/>
      <c r="E3397" s="24">
        <f>IF($D3397="","",IFERROR(VLOOKUP($D3397,物料档案!$A$4:$P$1203,3,0),"※编码不在物料档案里"))</f>
        <v/>
      </c>
      <c r="F3397" s="24">
        <f>IF($D3397="","",IFERROR(VLOOKUP($D3397,物料档案!$A$4:$P$1203,4,0),"※编码不在物料档案里"))</f>
        <v/>
      </c>
      <c r="G3397" s="24">
        <f>IF($D3397="","",IFERROR(VLOOKUP($D3397,物料档案!$A$4:$P$1203,5,0),"※编码不在物料档案里"))</f>
        <v/>
      </c>
      <c r="H3397" s="24">
        <f>IF($D3397="","",IFERROR(VLOOKUP($D3397,物料档案!$A$4:$P$1203,2,0),"※编码不在物料档案里"))</f>
        <v/>
      </c>
      <c r="I3397" s="24">
        <f>IF($D3397="","",IFERROR(VLOOKUP($D3397,物料档案!$A$4:$P$1203,6,0),"※编码不在物料档案里"))</f>
        <v/>
      </c>
      <c r="J3397" s="23" t="n"/>
      <c r="K3397" s="17" t="n"/>
      <c r="L3397" s="17" t="n"/>
      <c r="M3397" s="17" t="n"/>
      <c r="N3397" s="17" t="n"/>
      <c r="O3397" s="26">
        <f>IF($D3397="","",IFERROR(VLOOKUP($D3397,物料档案!$A$4:$P$1203,10,0),0))</f>
        <v/>
      </c>
      <c r="P3397" s="32" t="n"/>
      <c r="Q3397" s="26">
        <f>IF($D3397="","",IF($K3397&lt;&gt;"对外销售",0,ROUND(N($J3397)*IF($P3397="",N($O3397),N($P3397)),0)))</f>
        <v/>
      </c>
      <c r="R3397" s="26">
        <f>IF($D3397="","",IFERROR(VLOOKUP($D3397,库存台账!$A$5:$Y$1204,11,0),0))</f>
        <v/>
      </c>
      <c r="S3397" s="26">
        <f>IF($D3397="","",ROUND(N($J3397)*N($R3397),0))</f>
        <v/>
      </c>
      <c r="T3397" s="26">
        <f>IF($D3397="","",IF($K3397&lt;&gt;"对外销售","",ROUND($Q3397-$S3397,0)))</f>
        <v/>
      </c>
      <c r="U3397" s="17" t="n"/>
      <c r="V3397" s="17" t="n"/>
      <c r="W3397" s="24">
        <f>IF($D3397="","",IF($E3397="※编码不在物料档案里","※物料编码不在档案里",IF(N($J3397)&lt;=0,"※出库数量要大于 0",IF($K3397="","※没填去向类型",IF($L3397="","※没填去向矿区",IF(AND($C3397&lt;&gt;"",$C3397&lt;=结账锁),"※日期早于已结账截止日，不能再录",IF(AND($K3397="自用消耗",COUNTIF({"一矿区";"二矿区"},$L3397)=0),"※自用消耗的去向只能是一矿区或二矿区",IF(AND($K3397="对外销售",COUNTIF({"三矿区";"六矿区"},$L3397)=0),"※对外销售的去向只能是三矿区或六矿区",IF(AND($K3397="对外销售",ROUND($Q3397,0)=0),"※外销却没有售价，请填实际售价",IF(AND($K3397="对外销售",$T3397&lt;&gt;"",$T3397&lt;0),"※这一笔外销是亏的，请核对售价",IF(IFERROR(VLOOKUP($D3397,库存台账!$A$5:$Y$1204,24,0),0)&lt;-0.001,"※这个物料账面已经变成负数了，查一下是不是漏记入库","")))))))))))</f>
        <v/>
      </c>
    </row>
    <row r="3398">
      <c r="A3398" s="24">
        <f>IF($D3398="","",COUNTA($D$4:$D3398))</f>
        <v/>
      </c>
      <c r="B3398" s="17" t="n"/>
      <c r="C3398" s="30" t="n"/>
      <c r="D3398" s="17" t="n"/>
      <c r="E3398" s="24">
        <f>IF($D3398="","",IFERROR(VLOOKUP($D3398,物料档案!$A$4:$P$1203,3,0),"※编码不在物料档案里"))</f>
        <v/>
      </c>
      <c r="F3398" s="24">
        <f>IF($D3398="","",IFERROR(VLOOKUP($D3398,物料档案!$A$4:$P$1203,4,0),"※编码不在物料档案里"))</f>
        <v/>
      </c>
      <c r="G3398" s="24">
        <f>IF($D3398="","",IFERROR(VLOOKUP($D3398,物料档案!$A$4:$P$1203,5,0),"※编码不在物料档案里"))</f>
        <v/>
      </c>
      <c r="H3398" s="24">
        <f>IF($D3398="","",IFERROR(VLOOKUP($D3398,物料档案!$A$4:$P$1203,2,0),"※编码不在物料档案里"))</f>
        <v/>
      </c>
      <c r="I3398" s="24">
        <f>IF($D3398="","",IFERROR(VLOOKUP($D3398,物料档案!$A$4:$P$1203,6,0),"※编码不在物料档案里"))</f>
        <v/>
      </c>
      <c r="J3398" s="23" t="n"/>
      <c r="K3398" s="17" t="n"/>
      <c r="L3398" s="17" t="n"/>
      <c r="M3398" s="17" t="n"/>
      <c r="N3398" s="17" t="n"/>
      <c r="O3398" s="26">
        <f>IF($D3398="","",IFERROR(VLOOKUP($D3398,物料档案!$A$4:$P$1203,10,0),0))</f>
        <v/>
      </c>
      <c r="P3398" s="32" t="n"/>
      <c r="Q3398" s="26">
        <f>IF($D3398="","",IF($K3398&lt;&gt;"对外销售",0,ROUND(N($J3398)*IF($P3398="",N($O3398),N($P3398)),0)))</f>
        <v/>
      </c>
      <c r="R3398" s="26">
        <f>IF($D3398="","",IFERROR(VLOOKUP($D3398,库存台账!$A$5:$Y$1204,11,0),0))</f>
        <v/>
      </c>
      <c r="S3398" s="26">
        <f>IF($D3398="","",ROUND(N($J3398)*N($R3398),0))</f>
        <v/>
      </c>
      <c r="T3398" s="26">
        <f>IF($D3398="","",IF($K3398&lt;&gt;"对外销售","",ROUND($Q3398-$S3398,0)))</f>
        <v/>
      </c>
      <c r="U3398" s="17" t="n"/>
      <c r="V3398" s="17" t="n"/>
      <c r="W3398" s="24">
        <f>IF($D3398="","",IF($E3398="※编码不在物料档案里","※物料编码不在档案里",IF(N($J3398)&lt;=0,"※出库数量要大于 0",IF($K3398="","※没填去向类型",IF($L3398="","※没填去向矿区",IF(AND($C3398&lt;&gt;"",$C3398&lt;=结账锁),"※日期早于已结账截止日，不能再录",IF(AND($K3398="自用消耗",COUNTIF({"一矿区";"二矿区"},$L3398)=0),"※自用消耗的去向只能是一矿区或二矿区",IF(AND($K3398="对外销售",COUNTIF({"三矿区";"六矿区"},$L3398)=0),"※对外销售的去向只能是三矿区或六矿区",IF(AND($K3398="对外销售",ROUND($Q3398,0)=0),"※外销却没有售价，请填实际售价",IF(AND($K3398="对外销售",$T3398&lt;&gt;"",$T3398&lt;0),"※这一笔外销是亏的，请核对售价",IF(IFERROR(VLOOKUP($D3398,库存台账!$A$5:$Y$1204,24,0),0)&lt;-0.001,"※这个物料账面已经变成负数了，查一下是不是漏记入库","")))))))))))</f>
        <v/>
      </c>
    </row>
    <row r="3399">
      <c r="A3399" s="24">
        <f>IF($D3399="","",COUNTA($D$4:$D3399))</f>
        <v/>
      </c>
      <c r="B3399" s="17" t="n"/>
      <c r="C3399" s="30" t="n"/>
      <c r="D3399" s="17" t="n"/>
      <c r="E3399" s="24">
        <f>IF($D3399="","",IFERROR(VLOOKUP($D3399,物料档案!$A$4:$P$1203,3,0),"※编码不在物料档案里"))</f>
        <v/>
      </c>
      <c r="F3399" s="24">
        <f>IF($D3399="","",IFERROR(VLOOKUP($D3399,物料档案!$A$4:$P$1203,4,0),"※编码不在物料档案里"))</f>
        <v/>
      </c>
      <c r="G3399" s="24">
        <f>IF($D3399="","",IFERROR(VLOOKUP($D3399,物料档案!$A$4:$P$1203,5,0),"※编码不在物料档案里"))</f>
        <v/>
      </c>
      <c r="H3399" s="24">
        <f>IF($D3399="","",IFERROR(VLOOKUP($D3399,物料档案!$A$4:$P$1203,2,0),"※编码不在物料档案里"))</f>
        <v/>
      </c>
      <c r="I3399" s="24">
        <f>IF($D3399="","",IFERROR(VLOOKUP($D3399,物料档案!$A$4:$P$1203,6,0),"※编码不在物料档案里"))</f>
        <v/>
      </c>
      <c r="J3399" s="23" t="n"/>
      <c r="K3399" s="17" t="n"/>
      <c r="L3399" s="17" t="n"/>
      <c r="M3399" s="17" t="n"/>
      <c r="N3399" s="17" t="n"/>
      <c r="O3399" s="26">
        <f>IF($D3399="","",IFERROR(VLOOKUP($D3399,物料档案!$A$4:$P$1203,10,0),0))</f>
        <v/>
      </c>
      <c r="P3399" s="32" t="n"/>
      <c r="Q3399" s="26">
        <f>IF($D3399="","",IF($K3399&lt;&gt;"对外销售",0,ROUND(N($J3399)*IF($P3399="",N($O3399),N($P3399)),0)))</f>
        <v/>
      </c>
      <c r="R3399" s="26">
        <f>IF($D3399="","",IFERROR(VLOOKUP($D3399,库存台账!$A$5:$Y$1204,11,0),0))</f>
        <v/>
      </c>
      <c r="S3399" s="26">
        <f>IF($D3399="","",ROUND(N($J3399)*N($R3399),0))</f>
        <v/>
      </c>
      <c r="T3399" s="26">
        <f>IF($D3399="","",IF($K3399&lt;&gt;"对外销售","",ROUND($Q3399-$S3399,0)))</f>
        <v/>
      </c>
      <c r="U3399" s="17" t="n"/>
      <c r="V3399" s="17" t="n"/>
      <c r="W3399" s="24">
        <f>IF($D3399="","",IF($E3399="※编码不在物料档案里","※物料编码不在档案里",IF(N($J3399)&lt;=0,"※出库数量要大于 0",IF($K3399="","※没填去向类型",IF($L3399="","※没填去向矿区",IF(AND($C3399&lt;&gt;"",$C3399&lt;=结账锁),"※日期早于已结账截止日，不能再录",IF(AND($K3399="自用消耗",COUNTIF({"一矿区";"二矿区"},$L3399)=0),"※自用消耗的去向只能是一矿区或二矿区",IF(AND($K3399="对外销售",COUNTIF({"三矿区";"六矿区"},$L3399)=0),"※对外销售的去向只能是三矿区或六矿区",IF(AND($K3399="对外销售",ROUND($Q3399,0)=0),"※外销却没有售价，请填实际售价",IF(AND($K3399="对外销售",$T3399&lt;&gt;"",$T3399&lt;0),"※这一笔外销是亏的，请核对售价",IF(IFERROR(VLOOKUP($D3399,库存台账!$A$5:$Y$1204,24,0),0)&lt;-0.001,"※这个物料账面已经变成负数了，查一下是不是漏记入库","")))))))))))</f>
        <v/>
      </c>
    </row>
    <row r="3400">
      <c r="A3400" s="24">
        <f>IF($D3400="","",COUNTA($D$4:$D3400))</f>
        <v/>
      </c>
      <c r="B3400" s="17" t="n"/>
      <c r="C3400" s="30" t="n"/>
      <c r="D3400" s="17" t="n"/>
      <c r="E3400" s="24">
        <f>IF($D3400="","",IFERROR(VLOOKUP($D3400,物料档案!$A$4:$P$1203,3,0),"※编码不在物料档案里"))</f>
        <v/>
      </c>
      <c r="F3400" s="24">
        <f>IF($D3400="","",IFERROR(VLOOKUP($D3400,物料档案!$A$4:$P$1203,4,0),"※编码不在物料档案里"))</f>
        <v/>
      </c>
      <c r="G3400" s="24">
        <f>IF($D3400="","",IFERROR(VLOOKUP($D3400,物料档案!$A$4:$P$1203,5,0),"※编码不在物料档案里"))</f>
        <v/>
      </c>
      <c r="H3400" s="24">
        <f>IF($D3400="","",IFERROR(VLOOKUP($D3400,物料档案!$A$4:$P$1203,2,0),"※编码不在物料档案里"))</f>
        <v/>
      </c>
      <c r="I3400" s="24">
        <f>IF($D3400="","",IFERROR(VLOOKUP($D3400,物料档案!$A$4:$P$1203,6,0),"※编码不在物料档案里"))</f>
        <v/>
      </c>
      <c r="J3400" s="23" t="n"/>
      <c r="K3400" s="17" t="n"/>
      <c r="L3400" s="17" t="n"/>
      <c r="M3400" s="17" t="n"/>
      <c r="N3400" s="17" t="n"/>
      <c r="O3400" s="26">
        <f>IF($D3400="","",IFERROR(VLOOKUP($D3400,物料档案!$A$4:$P$1203,10,0),0))</f>
        <v/>
      </c>
      <c r="P3400" s="32" t="n"/>
      <c r="Q3400" s="26">
        <f>IF($D3400="","",IF($K3400&lt;&gt;"对外销售",0,ROUND(N($J3400)*IF($P3400="",N($O3400),N($P3400)),0)))</f>
        <v/>
      </c>
      <c r="R3400" s="26">
        <f>IF($D3400="","",IFERROR(VLOOKUP($D3400,库存台账!$A$5:$Y$1204,11,0),0))</f>
        <v/>
      </c>
      <c r="S3400" s="26">
        <f>IF($D3400="","",ROUND(N($J3400)*N($R3400),0))</f>
        <v/>
      </c>
      <c r="T3400" s="26">
        <f>IF($D3400="","",IF($K3400&lt;&gt;"对外销售","",ROUND($Q3400-$S3400,0)))</f>
        <v/>
      </c>
      <c r="U3400" s="17" t="n"/>
      <c r="V3400" s="17" t="n"/>
      <c r="W3400" s="24">
        <f>IF($D3400="","",IF($E3400="※编码不在物料档案里","※物料编码不在档案里",IF(N($J3400)&lt;=0,"※出库数量要大于 0",IF($K3400="","※没填去向类型",IF($L3400="","※没填去向矿区",IF(AND($C3400&lt;&gt;"",$C3400&lt;=结账锁),"※日期早于已结账截止日，不能再录",IF(AND($K3400="自用消耗",COUNTIF({"一矿区";"二矿区"},$L3400)=0),"※自用消耗的去向只能是一矿区或二矿区",IF(AND($K3400="对外销售",COUNTIF({"三矿区";"六矿区"},$L3400)=0),"※对外销售的去向只能是三矿区或六矿区",IF(AND($K3400="对外销售",ROUND($Q3400,0)=0),"※外销却没有售价，请填实际售价",IF(AND($K3400="对外销售",$T3400&lt;&gt;"",$T3400&lt;0),"※这一笔外销是亏的，请核对售价",IF(IFERROR(VLOOKUP($D3400,库存台账!$A$5:$Y$1204,24,0),0)&lt;-0.001,"※这个物料账面已经变成负数了，查一下是不是漏记入库","")))))))))))</f>
        <v/>
      </c>
    </row>
    <row r="3401">
      <c r="A3401" s="24">
        <f>IF($D3401="","",COUNTA($D$4:$D3401))</f>
        <v/>
      </c>
      <c r="B3401" s="17" t="n"/>
      <c r="C3401" s="30" t="n"/>
      <c r="D3401" s="17" t="n"/>
      <c r="E3401" s="24">
        <f>IF($D3401="","",IFERROR(VLOOKUP($D3401,物料档案!$A$4:$P$1203,3,0),"※编码不在物料档案里"))</f>
        <v/>
      </c>
      <c r="F3401" s="24">
        <f>IF($D3401="","",IFERROR(VLOOKUP($D3401,物料档案!$A$4:$P$1203,4,0),"※编码不在物料档案里"))</f>
        <v/>
      </c>
      <c r="G3401" s="24">
        <f>IF($D3401="","",IFERROR(VLOOKUP($D3401,物料档案!$A$4:$P$1203,5,0),"※编码不在物料档案里"))</f>
        <v/>
      </c>
      <c r="H3401" s="24">
        <f>IF($D3401="","",IFERROR(VLOOKUP($D3401,物料档案!$A$4:$P$1203,2,0),"※编码不在物料档案里"))</f>
        <v/>
      </c>
      <c r="I3401" s="24">
        <f>IF($D3401="","",IFERROR(VLOOKUP($D3401,物料档案!$A$4:$P$1203,6,0),"※编码不在物料档案里"))</f>
        <v/>
      </c>
      <c r="J3401" s="23" t="n"/>
      <c r="K3401" s="17" t="n"/>
      <c r="L3401" s="17" t="n"/>
      <c r="M3401" s="17" t="n"/>
      <c r="N3401" s="17" t="n"/>
      <c r="O3401" s="26">
        <f>IF($D3401="","",IFERROR(VLOOKUP($D3401,物料档案!$A$4:$P$1203,10,0),0))</f>
        <v/>
      </c>
      <c r="P3401" s="32" t="n"/>
      <c r="Q3401" s="26">
        <f>IF($D3401="","",IF($K3401&lt;&gt;"对外销售",0,ROUND(N($J3401)*IF($P3401="",N($O3401),N($P3401)),0)))</f>
        <v/>
      </c>
      <c r="R3401" s="26">
        <f>IF($D3401="","",IFERROR(VLOOKUP($D3401,库存台账!$A$5:$Y$1204,11,0),0))</f>
        <v/>
      </c>
      <c r="S3401" s="26">
        <f>IF($D3401="","",ROUND(N($J3401)*N($R3401),0))</f>
        <v/>
      </c>
      <c r="T3401" s="26">
        <f>IF($D3401="","",IF($K3401&lt;&gt;"对外销售","",ROUND($Q3401-$S3401,0)))</f>
        <v/>
      </c>
      <c r="U3401" s="17" t="n"/>
      <c r="V3401" s="17" t="n"/>
      <c r="W3401" s="24">
        <f>IF($D3401="","",IF($E3401="※编码不在物料档案里","※物料编码不在档案里",IF(N($J3401)&lt;=0,"※出库数量要大于 0",IF($K3401="","※没填去向类型",IF($L3401="","※没填去向矿区",IF(AND($C3401&lt;&gt;"",$C3401&lt;=结账锁),"※日期早于已结账截止日，不能再录",IF(AND($K3401="自用消耗",COUNTIF({"一矿区";"二矿区"},$L3401)=0),"※自用消耗的去向只能是一矿区或二矿区",IF(AND($K3401="对外销售",COUNTIF({"三矿区";"六矿区"},$L3401)=0),"※对外销售的去向只能是三矿区或六矿区",IF(AND($K3401="对外销售",ROUND($Q3401,0)=0),"※外销却没有售价，请填实际售价",IF(AND($K3401="对外销售",$T3401&lt;&gt;"",$T3401&lt;0),"※这一笔外销是亏的，请核对售价",IF(IFERROR(VLOOKUP($D3401,库存台账!$A$5:$Y$1204,24,0),0)&lt;-0.001,"※这个物料账面已经变成负数了，查一下是不是漏记入库","")))))))))))</f>
        <v/>
      </c>
    </row>
    <row r="3402">
      <c r="A3402" s="24">
        <f>IF($D3402="","",COUNTA($D$4:$D3402))</f>
        <v/>
      </c>
      <c r="B3402" s="17" t="n"/>
      <c r="C3402" s="30" t="n"/>
      <c r="D3402" s="17" t="n"/>
      <c r="E3402" s="24">
        <f>IF($D3402="","",IFERROR(VLOOKUP($D3402,物料档案!$A$4:$P$1203,3,0),"※编码不在物料档案里"))</f>
        <v/>
      </c>
      <c r="F3402" s="24">
        <f>IF($D3402="","",IFERROR(VLOOKUP($D3402,物料档案!$A$4:$P$1203,4,0),"※编码不在物料档案里"))</f>
        <v/>
      </c>
      <c r="G3402" s="24">
        <f>IF($D3402="","",IFERROR(VLOOKUP($D3402,物料档案!$A$4:$P$1203,5,0),"※编码不在物料档案里"))</f>
        <v/>
      </c>
      <c r="H3402" s="24">
        <f>IF($D3402="","",IFERROR(VLOOKUP($D3402,物料档案!$A$4:$P$1203,2,0),"※编码不在物料档案里"))</f>
        <v/>
      </c>
      <c r="I3402" s="24">
        <f>IF($D3402="","",IFERROR(VLOOKUP($D3402,物料档案!$A$4:$P$1203,6,0),"※编码不在物料档案里"))</f>
        <v/>
      </c>
      <c r="J3402" s="23" t="n"/>
      <c r="K3402" s="17" t="n"/>
      <c r="L3402" s="17" t="n"/>
      <c r="M3402" s="17" t="n"/>
      <c r="N3402" s="17" t="n"/>
      <c r="O3402" s="26">
        <f>IF($D3402="","",IFERROR(VLOOKUP($D3402,物料档案!$A$4:$P$1203,10,0),0))</f>
        <v/>
      </c>
      <c r="P3402" s="32" t="n"/>
      <c r="Q3402" s="26">
        <f>IF($D3402="","",IF($K3402&lt;&gt;"对外销售",0,ROUND(N($J3402)*IF($P3402="",N($O3402),N($P3402)),0)))</f>
        <v/>
      </c>
      <c r="R3402" s="26">
        <f>IF($D3402="","",IFERROR(VLOOKUP($D3402,库存台账!$A$5:$Y$1204,11,0),0))</f>
        <v/>
      </c>
      <c r="S3402" s="26">
        <f>IF($D3402="","",ROUND(N($J3402)*N($R3402),0))</f>
        <v/>
      </c>
      <c r="T3402" s="26">
        <f>IF($D3402="","",IF($K3402&lt;&gt;"对外销售","",ROUND($Q3402-$S3402,0)))</f>
        <v/>
      </c>
      <c r="U3402" s="17" t="n"/>
      <c r="V3402" s="17" t="n"/>
      <c r="W3402" s="24">
        <f>IF($D3402="","",IF($E3402="※编码不在物料档案里","※物料编码不在档案里",IF(N($J3402)&lt;=0,"※出库数量要大于 0",IF($K3402="","※没填去向类型",IF($L3402="","※没填去向矿区",IF(AND($C3402&lt;&gt;"",$C3402&lt;=结账锁),"※日期早于已结账截止日，不能再录",IF(AND($K3402="自用消耗",COUNTIF({"一矿区";"二矿区"},$L3402)=0),"※自用消耗的去向只能是一矿区或二矿区",IF(AND($K3402="对外销售",COUNTIF({"三矿区";"六矿区"},$L3402)=0),"※对外销售的去向只能是三矿区或六矿区",IF(AND($K3402="对外销售",ROUND($Q3402,0)=0),"※外销却没有售价，请填实际售价",IF(AND($K3402="对外销售",$T3402&lt;&gt;"",$T3402&lt;0),"※这一笔外销是亏的，请核对售价",IF(IFERROR(VLOOKUP($D3402,库存台账!$A$5:$Y$1204,24,0),0)&lt;-0.001,"※这个物料账面已经变成负数了，查一下是不是漏记入库","")))))))))))</f>
        <v/>
      </c>
    </row>
    <row r="3403">
      <c r="A3403" s="24">
        <f>IF($D3403="","",COUNTA($D$4:$D3403))</f>
        <v/>
      </c>
      <c r="B3403" s="17" t="n"/>
      <c r="C3403" s="30" t="n"/>
      <c r="D3403" s="17" t="n"/>
      <c r="E3403" s="24">
        <f>IF($D3403="","",IFERROR(VLOOKUP($D3403,物料档案!$A$4:$P$1203,3,0),"※编码不在物料档案里"))</f>
        <v/>
      </c>
      <c r="F3403" s="24">
        <f>IF($D3403="","",IFERROR(VLOOKUP($D3403,物料档案!$A$4:$P$1203,4,0),"※编码不在物料档案里"))</f>
        <v/>
      </c>
      <c r="G3403" s="24">
        <f>IF($D3403="","",IFERROR(VLOOKUP($D3403,物料档案!$A$4:$P$1203,5,0),"※编码不在物料档案里"))</f>
        <v/>
      </c>
      <c r="H3403" s="24">
        <f>IF($D3403="","",IFERROR(VLOOKUP($D3403,物料档案!$A$4:$P$1203,2,0),"※编码不在物料档案里"))</f>
        <v/>
      </c>
      <c r="I3403" s="24">
        <f>IF($D3403="","",IFERROR(VLOOKUP($D3403,物料档案!$A$4:$P$1203,6,0),"※编码不在物料档案里"))</f>
        <v/>
      </c>
      <c r="J3403" s="23" t="n"/>
      <c r="K3403" s="17" t="n"/>
      <c r="L3403" s="17" t="n"/>
      <c r="M3403" s="17" t="n"/>
      <c r="N3403" s="17" t="n"/>
      <c r="O3403" s="26">
        <f>IF($D3403="","",IFERROR(VLOOKUP($D3403,物料档案!$A$4:$P$1203,10,0),0))</f>
        <v/>
      </c>
      <c r="P3403" s="32" t="n"/>
      <c r="Q3403" s="26">
        <f>IF($D3403="","",IF($K3403&lt;&gt;"对外销售",0,ROUND(N($J3403)*IF($P3403="",N($O3403),N($P3403)),0)))</f>
        <v/>
      </c>
      <c r="R3403" s="26">
        <f>IF($D3403="","",IFERROR(VLOOKUP($D3403,库存台账!$A$5:$Y$1204,11,0),0))</f>
        <v/>
      </c>
      <c r="S3403" s="26">
        <f>IF($D3403="","",ROUND(N($J3403)*N($R3403),0))</f>
        <v/>
      </c>
      <c r="T3403" s="26">
        <f>IF($D3403="","",IF($K3403&lt;&gt;"对外销售","",ROUND($Q3403-$S3403,0)))</f>
        <v/>
      </c>
      <c r="U3403" s="17" t="n"/>
      <c r="V3403" s="17" t="n"/>
      <c r="W3403" s="24">
        <f>IF($D3403="","",IF($E3403="※编码不在物料档案里","※物料编码不在档案里",IF(N($J3403)&lt;=0,"※出库数量要大于 0",IF($K3403="","※没填去向类型",IF($L3403="","※没填去向矿区",IF(AND($C3403&lt;&gt;"",$C3403&lt;=结账锁),"※日期早于已结账截止日，不能再录",IF(AND($K3403="自用消耗",COUNTIF({"一矿区";"二矿区"},$L3403)=0),"※自用消耗的去向只能是一矿区或二矿区",IF(AND($K3403="对外销售",COUNTIF({"三矿区";"六矿区"},$L3403)=0),"※对外销售的去向只能是三矿区或六矿区",IF(AND($K3403="对外销售",ROUND($Q3403,0)=0),"※外销却没有售价，请填实际售价",IF(AND($K3403="对外销售",$T3403&lt;&gt;"",$T3403&lt;0),"※这一笔外销是亏的，请核对售价",IF(IFERROR(VLOOKUP($D3403,库存台账!$A$5:$Y$1204,24,0),0)&lt;-0.001,"※这个物料账面已经变成负数了，查一下是不是漏记入库","")))))))))))</f>
        <v/>
      </c>
    </row>
    <row r="3404">
      <c r="A3404" s="24">
        <f>IF($D3404="","",COUNTA($D$4:$D3404))</f>
        <v/>
      </c>
      <c r="B3404" s="17" t="n"/>
      <c r="C3404" s="30" t="n"/>
      <c r="D3404" s="17" t="n"/>
      <c r="E3404" s="24">
        <f>IF($D3404="","",IFERROR(VLOOKUP($D3404,物料档案!$A$4:$P$1203,3,0),"※编码不在物料档案里"))</f>
        <v/>
      </c>
      <c r="F3404" s="24">
        <f>IF($D3404="","",IFERROR(VLOOKUP($D3404,物料档案!$A$4:$P$1203,4,0),"※编码不在物料档案里"))</f>
        <v/>
      </c>
      <c r="G3404" s="24">
        <f>IF($D3404="","",IFERROR(VLOOKUP($D3404,物料档案!$A$4:$P$1203,5,0),"※编码不在物料档案里"))</f>
        <v/>
      </c>
      <c r="H3404" s="24">
        <f>IF($D3404="","",IFERROR(VLOOKUP($D3404,物料档案!$A$4:$P$1203,2,0),"※编码不在物料档案里"))</f>
        <v/>
      </c>
      <c r="I3404" s="24">
        <f>IF($D3404="","",IFERROR(VLOOKUP($D3404,物料档案!$A$4:$P$1203,6,0),"※编码不在物料档案里"))</f>
        <v/>
      </c>
      <c r="J3404" s="23" t="n"/>
      <c r="K3404" s="17" t="n"/>
      <c r="L3404" s="17" t="n"/>
      <c r="M3404" s="17" t="n"/>
      <c r="N3404" s="17" t="n"/>
      <c r="O3404" s="26">
        <f>IF($D3404="","",IFERROR(VLOOKUP($D3404,物料档案!$A$4:$P$1203,10,0),0))</f>
        <v/>
      </c>
      <c r="P3404" s="32" t="n"/>
      <c r="Q3404" s="26">
        <f>IF($D3404="","",IF($K3404&lt;&gt;"对外销售",0,ROUND(N($J3404)*IF($P3404="",N($O3404),N($P3404)),0)))</f>
        <v/>
      </c>
      <c r="R3404" s="26">
        <f>IF($D3404="","",IFERROR(VLOOKUP($D3404,库存台账!$A$5:$Y$1204,11,0),0))</f>
        <v/>
      </c>
      <c r="S3404" s="26">
        <f>IF($D3404="","",ROUND(N($J3404)*N($R3404),0))</f>
        <v/>
      </c>
      <c r="T3404" s="26">
        <f>IF($D3404="","",IF($K3404&lt;&gt;"对外销售","",ROUND($Q3404-$S3404,0)))</f>
        <v/>
      </c>
      <c r="U3404" s="17" t="n"/>
      <c r="V3404" s="17" t="n"/>
      <c r="W3404" s="24">
        <f>IF($D3404="","",IF($E3404="※编码不在物料档案里","※物料编码不在档案里",IF(N($J3404)&lt;=0,"※出库数量要大于 0",IF($K3404="","※没填去向类型",IF($L3404="","※没填去向矿区",IF(AND($C3404&lt;&gt;"",$C3404&lt;=结账锁),"※日期早于已结账截止日，不能再录",IF(AND($K3404="自用消耗",COUNTIF({"一矿区";"二矿区"},$L3404)=0),"※自用消耗的去向只能是一矿区或二矿区",IF(AND($K3404="对外销售",COUNTIF({"三矿区";"六矿区"},$L3404)=0),"※对外销售的去向只能是三矿区或六矿区",IF(AND($K3404="对外销售",ROUND($Q3404,0)=0),"※外销却没有售价，请填实际售价",IF(AND($K3404="对外销售",$T3404&lt;&gt;"",$T3404&lt;0),"※这一笔外销是亏的，请核对售价",IF(IFERROR(VLOOKUP($D3404,库存台账!$A$5:$Y$1204,24,0),0)&lt;-0.001,"※这个物料账面已经变成负数了，查一下是不是漏记入库","")))))))))))</f>
        <v/>
      </c>
    </row>
    <row r="3405">
      <c r="A3405" s="24">
        <f>IF($D3405="","",COUNTA($D$4:$D3405))</f>
        <v/>
      </c>
      <c r="B3405" s="17" t="n"/>
      <c r="C3405" s="30" t="n"/>
      <c r="D3405" s="17" t="n"/>
      <c r="E3405" s="24">
        <f>IF($D3405="","",IFERROR(VLOOKUP($D3405,物料档案!$A$4:$P$1203,3,0),"※编码不在物料档案里"))</f>
        <v/>
      </c>
      <c r="F3405" s="24">
        <f>IF($D3405="","",IFERROR(VLOOKUP($D3405,物料档案!$A$4:$P$1203,4,0),"※编码不在物料档案里"))</f>
        <v/>
      </c>
      <c r="G3405" s="24">
        <f>IF($D3405="","",IFERROR(VLOOKUP($D3405,物料档案!$A$4:$P$1203,5,0),"※编码不在物料档案里"))</f>
        <v/>
      </c>
      <c r="H3405" s="24">
        <f>IF($D3405="","",IFERROR(VLOOKUP($D3405,物料档案!$A$4:$P$1203,2,0),"※编码不在物料档案里"))</f>
        <v/>
      </c>
      <c r="I3405" s="24">
        <f>IF($D3405="","",IFERROR(VLOOKUP($D3405,物料档案!$A$4:$P$1203,6,0),"※编码不在物料档案里"))</f>
        <v/>
      </c>
      <c r="J3405" s="23" t="n"/>
      <c r="K3405" s="17" t="n"/>
      <c r="L3405" s="17" t="n"/>
      <c r="M3405" s="17" t="n"/>
      <c r="N3405" s="17" t="n"/>
      <c r="O3405" s="26">
        <f>IF($D3405="","",IFERROR(VLOOKUP($D3405,物料档案!$A$4:$P$1203,10,0),0))</f>
        <v/>
      </c>
      <c r="P3405" s="32" t="n"/>
      <c r="Q3405" s="26">
        <f>IF($D3405="","",IF($K3405&lt;&gt;"对外销售",0,ROUND(N($J3405)*IF($P3405="",N($O3405),N($P3405)),0)))</f>
        <v/>
      </c>
      <c r="R3405" s="26">
        <f>IF($D3405="","",IFERROR(VLOOKUP($D3405,库存台账!$A$5:$Y$1204,11,0),0))</f>
        <v/>
      </c>
      <c r="S3405" s="26">
        <f>IF($D3405="","",ROUND(N($J3405)*N($R3405),0))</f>
        <v/>
      </c>
      <c r="T3405" s="26">
        <f>IF($D3405="","",IF($K3405&lt;&gt;"对外销售","",ROUND($Q3405-$S3405,0)))</f>
        <v/>
      </c>
      <c r="U3405" s="17" t="n"/>
      <c r="V3405" s="17" t="n"/>
      <c r="W3405" s="24">
        <f>IF($D3405="","",IF($E3405="※编码不在物料档案里","※物料编码不在档案里",IF(N($J3405)&lt;=0,"※出库数量要大于 0",IF($K3405="","※没填去向类型",IF($L3405="","※没填去向矿区",IF(AND($C3405&lt;&gt;"",$C3405&lt;=结账锁),"※日期早于已结账截止日，不能再录",IF(AND($K3405="自用消耗",COUNTIF({"一矿区";"二矿区"},$L3405)=0),"※自用消耗的去向只能是一矿区或二矿区",IF(AND($K3405="对外销售",COUNTIF({"三矿区";"六矿区"},$L3405)=0),"※对外销售的去向只能是三矿区或六矿区",IF(AND($K3405="对外销售",ROUND($Q3405,0)=0),"※外销却没有售价，请填实际售价",IF(AND($K3405="对外销售",$T3405&lt;&gt;"",$T3405&lt;0),"※这一笔外销是亏的，请核对售价",IF(IFERROR(VLOOKUP($D3405,库存台账!$A$5:$Y$1204,24,0),0)&lt;-0.001,"※这个物料账面已经变成负数了，查一下是不是漏记入库","")))))))))))</f>
        <v/>
      </c>
    </row>
    <row r="3406">
      <c r="A3406" s="24">
        <f>IF($D3406="","",COUNTA($D$4:$D3406))</f>
        <v/>
      </c>
      <c r="B3406" s="17" t="n"/>
      <c r="C3406" s="30" t="n"/>
      <c r="D3406" s="17" t="n"/>
      <c r="E3406" s="24">
        <f>IF($D3406="","",IFERROR(VLOOKUP($D3406,物料档案!$A$4:$P$1203,3,0),"※编码不在物料档案里"))</f>
        <v/>
      </c>
      <c r="F3406" s="24">
        <f>IF($D3406="","",IFERROR(VLOOKUP($D3406,物料档案!$A$4:$P$1203,4,0),"※编码不在物料档案里"))</f>
        <v/>
      </c>
      <c r="G3406" s="24">
        <f>IF($D3406="","",IFERROR(VLOOKUP($D3406,物料档案!$A$4:$P$1203,5,0),"※编码不在物料档案里"))</f>
        <v/>
      </c>
      <c r="H3406" s="24">
        <f>IF($D3406="","",IFERROR(VLOOKUP($D3406,物料档案!$A$4:$P$1203,2,0),"※编码不在物料档案里"))</f>
        <v/>
      </c>
      <c r="I3406" s="24">
        <f>IF($D3406="","",IFERROR(VLOOKUP($D3406,物料档案!$A$4:$P$1203,6,0),"※编码不在物料档案里"))</f>
        <v/>
      </c>
      <c r="J3406" s="23" t="n"/>
      <c r="K3406" s="17" t="n"/>
      <c r="L3406" s="17" t="n"/>
      <c r="M3406" s="17" t="n"/>
      <c r="N3406" s="17" t="n"/>
      <c r="O3406" s="26">
        <f>IF($D3406="","",IFERROR(VLOOKUP($D3406,物料档案!$A$4:$P$1203,10,0),0))</f>
        <v/>
      </c>
      <c r="P3406" s="32" t="n"/>
      <c r="Q3406" s="26">
        <f>IF($D3406="","",IF($K3406&lt;&gt;"对外销售",0,ROUND(N($J3406)*IF($P3406="",N($O3406),N($P3406)),0)))</f>
        <v/>
      </c>
      <c r="R3406" s="26">
        <f>IF($D3406="","",IFERROR(VLOOKUP($D3406,库存台账!$A$5:$Y$1204,11,0),0))</f>
        <v/>
      </c>
      <c r="S3406" s="26">
        <f>IF($D3406="","",ROUND(N($J3406)*N($R3406),0))</f>
        <v/>
      </c>
      <c r="T3406" s="26">
        <f>IF($D3406="","",IF($K3406&lt;&gt;"对外销售","",ROUND($Q3406-$S3406,0)))</f>
        <v/>
      </c>
      <c r="U3406" s="17" t="n"/>
      <c r="V3406" s="17" t="n"/>
      <c r="W3406" s="24">
        <f>IF($D3406="","",IF($E3406="※编码不在物料档案里","※物料编码不在档案里",IF(N($J3406)&lt;=0,"※出库数量要大于 0",IF($K3406="","※没填去向类型",IF($L3406="","※没填去向矿区",IF(AND($C3406&lt;&gt;"",$C3406&lt;=结账锁),"※日期早于已结账截止日，不能再录",IF(AND($K3406="自用消耗",COUNTIF({"一矿区";"二矿区"},$L3406)=0),"※自用消耗的去向只能是一矿区或二矿区",IF(AND($K3406="对外销售",COUNTIF({"三矿区";"六矿区"},$L3406)=0),"※对外销售的去向只能是三矿区或六矿区",IF(AND($K3406="对外销售",ROUND($Q3406,0)=0),"※外销却没有售价，请填实际售价",IF(AND($K3406="对外销售",$T3406&lt;&gt;"",$T3406&lt;0),"※这一笔外销是亏的，请核对售价",IF(IFERROR(VLOOKUP($D3406,库存台账!$A$5:$Y$1204,24,0),0)&lt;-0.001,"※这个物料账面已经变成负数了，查一下是不是漏记入库","")))))))))))</f>
        <v/>
      </c>
    </row>
    <row r="3407">
      <c r="A3407" s="24">
        <f>IF($D3407="","",COUNTA($D$4:$D3407))</f>
        <v/>
      </c>
      <c r="B3407" s="17" t="n"/>
      <c r="C3407" s="30" t="n"/>
      <c r="D3407" s="17" t="n"/>
      <c r="E3407" s="24">
        <f>IF($D3407="","",IFERROR(VLOOKUP($D3407,物料档案!$A$4:$P$1203,3,0),"※编码不在物料档案里"))</f>
        <v/>
      </c>
      <c r="F3407" s="24">
        <f>IF($D3407="","",IFERROR(VLOOKUP($D3407,物料档案!$A$4:$P$1203,4,0),"※编码不在物料档案里"))</f>
        <v/>
      </c>
      <c r="G3407" s="24">
        <f>IF($D3407="","",IFERROR(VLOOKUP($D3407,物料档案!$A$4:$P$1203,5,0),"※编码不在物料档案里"))</f>
        <v/>
      </c>
      <c r="H3407" s="24">
        <f>IF($D3407="","",IFERROR(VLOOKUP($D3407,物料档案!$A$4:$P$1203,2,0),"※编码不在物料档案里"))</f>
        <v/>
      </c>
      <c r="I3407" s="24">
        <f>IF($D3407="","",IFERROR(VLOOKUP($D3407,物料档案!$A$4:$P$1203,6,0),"※编码不在物料档案里"))</f>
        <v/>
      </c>
      <c r="J3407" s="23" t="n"/>
      <c r="K3407" s="17" t="n"/>
      <c r="L3407" s="17" t="n"/>
      <c r="M3407" s="17" t="n"/>
      <c r="N3407" s="17" t="n"/>
      <c r="O3407" s="26">
        <f>IF($D3407="","",IFERROR(VLOOKUP($D3407,物料档案!$A$4:$P$1203,10,0),0))</f>
        <v/>
      </c>
      <c r="P3407" s="32" t="n"/>
      <c r="Q3407" s="26">
        <f>IF($D3407="","",IF($K3407&lt;&gt;"对外销售",0,ROUND(N($J3407)*IF($P3407="",N($O3407),N($P3407)),0)))</f>
        <v/>
      </c>
      <c r="R3407" s="26">
        <f>IF($D3407="","",IFERROR(VLOOKUP($D3407,库存台账!$A$5:$Y$1204,11,0),0))</f>
        <v/>
      </c>
      <c r="S3407" s="26">
        <f>IF($D3407="","",ROUND(N($J3407)*N($R3407),0))</f>
        <v/>
      </c>
      <c r="T3407" s="26">
        <f>IF($D3407="","",IF($K3407&lt;&gt;"对外销售","",ROUND($Q3407-$S3407,0)))</f>
        <v/>
      </c>
      <c r="U3407" s="17" t="n"/>
      <c r="V3407" s="17" t="n"/>
      <c r="W3407" s="24">
        <f>IF($D3407="","",IF($E3407="※编码不在物料档案里","※物料编码不在档案里",IF(N($J3407)&lt;=0,"※出库数量要大于 0",IF($K3407="","※没填去向类型",IF($L3407="","※没填去向矿区",IF(AND($C3407&lt;&gt;"",$C3407&lt;=结账锁),"※日期早于已结账截止日，不能再录",IF(AND($K3407="自用消耗",COUNTIF({"一矿区";"二矿区"},$L3407)=0),"※自用消耗的去向只能是一矿区或二矿区",IF(AND($K3407="对外销售",COUNTIF({"三矿区";"六矿区"},$L3407)=0),"※对外销售的去向只能是三矿区或六矿区",IF(AND($K3407="对外销售",ROUND($Q3407,0)=0),"※外销却没有售价，请填实际售价",IF(AND($K3407="对外销售",$T3407&lt;&gt;"",$T3407&lt;0),"※这一笔外销是亏的，请核对售价",IF(IFERROR(VLOOKUP($D3407,库存台账!$A$5:$Y$1204,24,0),0)&lt;-0.001,"※这个物料账面已经变成负数了，查一下是不是漏记入库","")))))))))))</f>
        <v/>
      </c>
    </row>
    <row r="3408">
      <c r="A3408" s="24">
        <f>IF($D3408="","",COUNTA($D$4:$D3408))</f>
        <v/>
      </c>
      <c r="B3408" s="17" t="n"/>
      <c r="C3408" s="30" t="n"/>
      <c r="D3408" s="17" t="n"/>
      <c r="E3408" s="24">
        <f>IF($D3408="","",IFERROR(VLOOKUP($D3408,物料档案!$A$4:$P$1203,3,0),"※编码不在物料档案里"))</f>
        <v/>
      </c>
      <c r="F3408" s="24">
        <f>IF($D3408="","",IFERROR(VLOOKUP($D3408,物料档案!$A$4:$P$1203,4,0),"※编码不在物料档案里"))</f>
        <v/>
      </c>
      <c r="G3408" s="24">
        <f>IF($D3408="","",IFERROR(VLOOKUP($D3408,物料档案!$A$4:$P$1203,5,0),"※编码不在物料档案里"))</f>
        <v/>
      </c>
      <c r="H3408" s="24">
        <f>IF($D3408="","",IFERROR(VLOOKUP($D3408,物料档案!$A$4:$P$1203,2,0),"※编码不在物料档案里"))</f>
        <v/>
      </c>
      <c r="I3408" s="24">
        <f>IF($D3408="","",IFERROR(VLOOKUP($D3408,物料档案!$A$4:$P$1203,6,0),"※编码不在物料档案里"))</f>
        <v/>
      </c>
      <c r="J3408" s="23" t="n"/>
      <c r="K3408" s="17" t="n"/>
      <c r="L3408" s="17" t="n"/>
      <c r="M3408" s="17" t="n"/>
      <c r="N3408" s="17" t="n"/>
      <c r="O3408" s="26">
        <f>IF($D3408="","",IFERROR(VLOOKUP($D3408,物料档案!$A$4:$P$1203,10,0),0))</f>
        <v/>
      </c>
      <c r="P3408" s="32" t="n"/>
      <c r="Q3408" s="26">
        <f>IF($D3408="","",IF($K3408&lt;&gt;"对外销售",0,ROUND(N($J3408)*IF($P3408="",N($O3408),N($P3408)),0)))</f>
        <v/>
      </c>
      <c r="R3408" s="26">
        <f>IF($D3408="","",IFERROR(VLOOKUP($D3408,库存台账!$A$5:$Y$1204,11,0),0))</f>
        <v/>
      </c>
      <c r="S3408" s="26">
        <f>IF($D3408="","",ROUND(N($J3408)*N($R3408),0))</f>
        <v/>
      </c>
      <c r="T3408" s="26">
        <f>IF($D3408="","",IF($K3408&lt;&gt;"对外销售","",ROUND($Q3408-$S3408,0)))</f>
        <v/>
      </c>
      <c r="U3408" s="17" t="n"/>
      <c r="V3408" s="17" t="n"/>
      <c r="W3408" s="24">
        <f>IF($D3408="","",IF($E3408="※编码不在物料档案里","※物料编码不在档案里",IF(N($J3408)&lt;=0,"※出库数量要大于 0",IF($K3408="","※没填去向类型",IF($L3408="","※没填去向矿区",IF(AND($C3408&lt;&gt;"",$C3408&lt;=结账锁),"※日期早于已结账截止日，不能再录",IF(AND($K3408="自用消耗",COUNTIF({"一矿区";"二矿区"},$L3408)=0),"※自用消耗的去向只能是一矿区或二矿区",IF(AND($K3408="对外销售",COUNTIF({"三矿区";"六矿区"},$L3408)=0),"※对外销售的去向只能是三矿区或六矿区",IF(AND($K3408="对外销售",ROUND($Q3408,0)=0),"※外销却没有售价，请填实际售价",IF(AND($K3408="对外销售",$T3408&lt;&gt;"",$T3408&lt;0),"※这一笔外销是亏的，请核对售价",IF(IFERROR(VLOOKUP($D3408,库存台账!$A$5:$Y$1204,24,0),0)&lt;-0.001,"※这个物料账面已经变成负数了，查一下是不是漏记入库","")))))))))))</f>
        <v/>
      </c>
    </row>
    <row r="3409">
      <c r="A3409" s="24">
        <f>IF($D3409="","",COUNTA($D$4:$D3409))</f>
        <v/>
      </c>
      <c r="B3409" s="17" t="n"/>
      <c r="C3409" s="30" t="n"/>
      <c r="D3409" s="17" t="n"/>
      <c r="E3409" s="24">
        <f>IF($D3409="","",IFERROR(VLOOKUP($D3409,物料档案!$A$4:$P$1203,3,0),"※编码不在物料档案里"))</f>
        <v/>
      </c>
      <c r="F3409" s="24">
        <f>IF($D3409="","",IFERROR(VLOOKUP($D3409,物料档案!$A$4:$P$1203,4,0),"※编码不在物料档案里"))</f>
        <v/>
      </c>
      <c r="G3409" s="24">
        <f>IF($D3409="","",IFERROR(VLOOKUP($D3409,物料档案!$A$4:$P$1203,5,0),"※编码不在物料档案里"))</f>
        <v/>
      </c>
      <c r="H3409" s="24">
        <f>IF($D3409="","",IFERROR(VLOOKUP($D3409,物料档案!$A$4:$P$1203,2,0),"※编码不在物料档案里"))</f>
        <v/>
      </c>
      <c r="I3409" s="24">
        <f>IF($D3409="","",IFERROR(VLOOKUP($D3409,物料档案!$A$4:$P$1203,6,0),"※编码不在物料档案里"))</f>
        <v/>
      </c>
      <c r="J3409" s="23" t="n"/>
      <c r="K3409" s="17" t="n"/>
      <c r="L3409" s="17" t="n"/>
      <c r="M3409" s="17" t="n"/>
      <c r="N3409" s="17" t="n"/>
      <c r="O3409" s="26">
        <f>IF($D3409="","",IFERROR(VLOOKUP($D3409,物料档案!$A$4:$P$1203,10,0),0))</f>
        <v/>
      </c>
      <c r="P3409" s="32" t="n"/>
      <c r="Q3409" s="26">
        <f>IF($D3409="","",IF($K3409&lt;&gt;"对外销售",0,ROUND(N($J3409)*IF($P3409="",N($O3409),N($P3409)),0)))</f>
        <v/>
      </c>
      <c r="R3409" s="26">
        <f>IF($D3409="","",IFERROR(VLOOKUP($D3409,库存台账!$A$5:$Y$1204,11,0),0))</f>
        <v/>
      </c>
      <c r="S3409" s="26">
        <f>IF($D3409="","",ROUND(N($J3409)*N($R3409),0))</f>
        <v/>
      </c>
      <c r="T3409" s="26">
        <f>IF($D3409="","",IF($K3409&lt;&gt;"对外销售","",ROUND($Q3409-$S3409,0)))</f>
        <v/>
      </c>
      <c r="U3409" s="17" t="n"/>
      <c r="V3409" s="17" t="n"/>
      <c r="W3409" s="24">
        <f>IF($D3409="","",IF($E3409="※编码不在物料档案里","※物料编码不在档案里",IF(N($J3409)&lt;=0,"※出库数量要大于 0",IF($K3409="","※没填去向类型",IF($L3409="","※没填去向矿区",IF(AND($C3409&lt;&gt;"",$C3409&lt;=结账锁),"※日期早于已结账截止日，不能再录",IF(AND($K3409="自用消耗",COUNTIF({"一矿区";"二矿区"},$L3409)=0),"※自用消耗的去向只能是一矿区或二矿区",IF(AND($K3409="对外销售",COUNTIF({"三矿区";"六矿区"},$L3409)=0),"※对外销售的去向只能是三矿区或六矿区",IF(AND($K3409="对外销售",ROUND($Q3409,0)=0),"※外销却没有售价，请填实际售价",IF(AND($K3409="对外销售",$T3409&lt;&gt;"",$T3409&lt;0),"※这一笔外销是亏的，请核对售价",IF(IFERROR(VLOOKUP($D3409,库存台账!$A$5:$Y$1204,24,0),0)&lt;-0.001,"※这个物料账面已经变成负数了，查一下是不是漏记入库","")))))))))))</f>
        <v/>
      </c>
    </row>
    <row r="3410">
      <c r="A3410" s="24">
        <f>IF($D3410="","",COUNTA($D$4:$D3410))</f>
        <v/>
      </c>
      <c r="B3410" s="17" t="n"/>
      <c r="C3410" s="30" t="n"/>
      <c r="D3410" s="17" t="n"/>
      <c r="E3410" s="24">
        <f>IF($D3410="","",IFERROR(VLOOKUP($D3410,物料档案!$A$4:$P$1203,3,0),"※编码不在物料档案里"))</f>
        <v/>
      </c>
      <c r="F3410" s="24">
        <f>IF($D3410="","",IFERROR(VLOOKUP($D3410,物料档案!$A$4:$P$1203,4,0),"※编码不在物料档案里"))</f>
        <v/>
      </c>
      <c r="G3410" s="24">
        <f>IF($D3410="","",IFERROR(VLOOKUP($D3410,物料档案!$A$4:$P$1203,5,0),"※编码不在物料档案里"))</f>
        <v/>
      </c>
      <c r="H3410" s="24">
        <f>IF($D3410="","",IFERROR(VLOOKUP($D3410,物料档案!$A$4:$P$1203,2,0),"※编码不在物料档案里"))</f>
        <v/>
      </c>
      <c r="I3410" s="24">
        <f>IF($D3410="","",IFERROR(VLOOKUP($D3410,物料档案!$A$4:$P$1203,6,0),"※编码不在物料档案里"))</f>
        <v/>
      </c>
      <c r="J3410" s="23" t="n"/>
      <c r="K3410" s="17" t="n"/>
      <c r="L3410" s="17" t="n"/>
      <c r="M3410" s="17" t="n"/>
      <c r="N3410" s="17" t="n"/>
      <c r="O3410" s="26">
        <f>IF($D3410="","",IFERROR(VLOOKUP($D3410,物料档案!$A$4:$P$1203,10,0),0))</f>
        <v/>
      </c>
      <c r="P3410" s="32" t="n"/>
      <c r="Q3410" s="26">
        <f>IF($D3410="","",IF($K3410&lt;&gt;"对外销售",0,ROUND(N($J3410)*IF($P3410="",N($O3410),N($P3410)),0)))</f>
        <v/>
      </c>
      <c r="R3410" s="26">
        <f>IF($D3410="","",IFERROR(VLOOKUP($D3410,库存台账!$A$5:$Y$1204,11,0),0))</f>
        <v/>
      </c>
      <c r="S3410" s="26">
        <f>IF($D3410="","",ROUND(N($J3410)*N($R3410),0))</f>
        <v/>
      </c>
      <c r="T3410" s="26">
        <f>IF($D3410="","",IF($K3410&lt;&gt;"对外销售","",ROUND($Q3410-$S3410,0)))</f>
        <v/>
      </c>
      <c r="U3410" s="17" t="n"/>
      <c r="V3410" s="17" t="n"/>
      <c r="W3410" s="24">
        <f>IF($D3410="","",IF($E3410="※编码不在物料档案里","※物料编码不在档案里",IF(N($J3410)&lt;=0,"※出库数量要大于 0",IF($K3410="","※没填去向类型",IF($L3410="","※没填去向矿区",IF(AND($C3410&lt;&gt;"",$C3410&lt;=结账锁),"※日期早于已结账截止日，不能再录",IF(AND($K3410="自用消耗",COUNTIF({"一矿区";"二矿区"},$L3410)=0),"※自用消耗的去向只能是一矿区或二矿区",IF(AND($K3410="对外销售",COUNTIF({"三矿区";"六矿区"},$L3410)=0),"※对外销售的去向只能是三矿区或六矿区",IF(AND($K3410="对外销售",ROUND($Q3410,0)=0),"※外销却没有售价，请填实际售价",IF(AND($K3410="对外销售",$T3410&lt;&gt;"",$T3410&lt;0),"※这一笔外销是亏的，请核对售价",IF(IFERROR(VLOOKUP($D3410,库存台账!$A$5:$Y$1204,24,0),0)&lt;-0.001,"※这个物料账面已经变成负数了，查一下是不是漏记入库","")))))))))))</f>
        <v/>
      </c>
    </row>
    <row r="3411">
      <c r="A3411" s="24">
        <f>IF($D3411="","",COUNTA($D$4:$D3411))</f>
        <v/>
      </c>
      <c r="B3411" s="17" t="n"/>
      <c r="C3411" s="30" t="n"/>
      <c r="D3411" s="17" t="n"/>
      <c r="E3411" s="24">
        <f>IF($D3411="","",IFERROR(VLOOKUP($D3411,物料档案!$A$4:$P$1203,3,0),"※编码不在物料档案里"))</f>
        <v/>
      </c>
      <c r="F3411" s="24">
        <f>IF($D3411="","",IFERROR(VLOOKUP($D3411,物料档案!$A$4:$P$1203,4,0),"※编码不在物料档案里"))</f>
        <v/>
      </c>
      <c r="G3411" s="24">
        <f>IF($D3411="","",IFERROR(VLOOKUP($D3411,物料档案!$A$4:$P$1203,5,0),"※编码不在物料档案里"))</f>
        <v/>
      </c>
      <c r="H3411" s="24">
        <f>IF($D3411="","",IFERROR(VLOOKUP($D3411,物料档案!$A$4:$P$1203,2,0),"※编码不在物料档案里"))</f>
        <v/>
      </c>
      <c r="I3411" s="24">
        <f>IF($D3411="","",IFERROR(VLOOKUP($D3411,物料档案!$A$4:$P$1203,6,0),"※编码不在物料档案里"))</f>
        <v/>
      </c>
      <c r="J3411" s="23" t="n"/>
      <c r="K3411" s="17" t="n"/>
      <c r="L3411" s="17" t="n"/>
      <c r="M3411" s="17" t="n"/>
      <c r="N3411" s="17" t="n"/>
      <c r="O3411" s="26">
        <f>IF($D3411="","",IFERROR(VLOOKUP($D3411,物料档案!$A$4:$P$1203,10,0),0))</f>
        <v/>
      </c>
      <c r="P3411" s="32" t="n"/>
      <c r="Q3411" s="26">
        <f>IF($D3411="","",IF($K3411&lt;&gt;"对外销售",0,ROUND(N($J3411)*IF($P3411="",N($O3411),N($P3411)),0)))</f>
        <v/>
      </c>
      <c r="R3411" s="26">
        <f>IF($D3411="","",IFERROR(VLOOKUP($D3411,库存台账!$A$5:$Y$1204,11,0),0))</f>
        <v/>
      </c>
      <c r="S3411" s="26">
        <f>IF($D3411="","",ROUND(N($J3411)*N($R3411),0))</f>
        <v/>
      </c>
      <c r="T3411" s="26">
        <f>IF($D3411="","",IF($K3411&lt;&gt;"对外销售","",ROUND($Q3411-$S3411,0)))</f>
        <v/>
      </c>
      <c r="U3411" s="17" t="n"/>
      <c r="V3411" s="17" t="n"/>
      <c r="W3411" s="24">
        <f>IF($D3411="","",IF($E3411="※编码不在物料档案里","※物料编码不在档案里",IF(N($J3411)&lt;=0,"※出库数量要大于 0",IF($K3411="","※没填去向类型",IF($L3411="","※没填去向矿区",IF(AND($C3411&lt;&gt;"",$C3411&lt;=结账锁),"※日期早于已结账截止日，不能再录",IF(AND($K3411="自用消耗",COUNTIF({"一矿区";"二矿区"},$L3411)=0),"※自用消耗的去向只能是一矿区或二矿区",IF(AND($K3411="对外销售",COUNTIF({"三矿区";"六矿区"},$L3411)=0),"※对外销售的去向只能是三矿区或六矿区",IF(AND($K3411="对外销售",ROUND($Q3411,0)=0),"※外销却没有售价，请填实际售价",IF(AND($K3411="对外销售",$T3411&lt;&gt;"",$T3411&lt;0),"※这一笔外销是亏的，请核对售价",IF(IFERROR(VLOOKUP($D3411,库存台账!$A$5:$Y$1204,24,0),0)&lt;-0.001,"※这个物料账面已经变成负数了，查一下是不是漏记入库","")))))))))))</f>
        <v/>
      </c>
    </row>
    <row r="3412">
      <c r="A3412" s="24">
        <f>IF($D3412="","",COUNTA($D$4:$D3412))</f>
        <v/>
      </c>
      <c r="B3412" s="17" t="n"/>
      <c r="C3412" s="30" t="n"/>
      <c r="D3412" s="17" t="n"/>
      <c r="E3412" s="24">
        <f>IF($D3412="","",IFERROR(VLOOKUP($D3412,物料档案!$A$4:$P$1203,3,0),"※编码不在物料档案里"))</f>
        <v/>
      </c>
      <c r="F3412" s="24">
        <f>IF($D3412="","",IFERROR(VLOOKUP($D3412,物料档案!$A$4:$P$1203,4,0),"※编码不在物料档案里"))</f>
        <v/>
      </c>
      <c r="G3412" s="24">
        <f>IF($D3412="","",IFERROR(VLOOKUP($D3412,物料档案!$A$4:$P$1203,5,0),"※编码不在物料档案里"))</f>
        <v/>
      </c>
      <c r="H3412" s="24">
        <f>IF($D3412="","",IFERROR(VLOOKUP($D3412,物料档案!$A$4:$P$1203,2,0),"※编码不在物料档案里"))</f>
        <v/>
      </c>
      <c r="I3412" s="24">
        <f>IF($D3412="","",IFERROR(VLOOKUP($D3412,物料档案!$A$4:$P$1203,6,0),"※编码不在物料档案里"))</f>
        <v/>
      </c>
      <c r="J3412" s="23" t="n"/>
      <c r="K3412" s="17" t="n"/>
      <c r="L3412" s="17" t="n"/>
      <c r="M3412" s="17" t="n"/>
      <c r="N3412" s="17" t="n"/>
      <c r="O3412" s="26">
        <f>IF($D3412="","",IFERROR(VLOOKUP($D3412,物料档案!$A$4:$P$1203,10,0),0))</f>
        <v/>
      </c>
      <c r="P3412" s="32" t="n"/>
      <c r="Q3412" s="26">
        <f>IF($D3412="","",IF($K3412&lt;&gt;"对外销售",0,ROUND(N($J3412)*IF($P3412="",N($O3412),N($P3412)),0)))</f>
        <v/>
      </c>
      <c r="R3412" s="26">
        <f>IF($D3412="","",IFERROR(VLOOKUP($D3412,库存台账!$A$5:$Y$1204,11,0),0))</f>
        <v/>
      </c>
      <c r="S3412" s="26">
        <f>IF($D3412="","",ROUND(N($J3412)*N($R3412),0))</f>
        <v/>
      </c>
      <c r="T3412" s="26">
        <f>IF($D3412="","",IF($K3412&lt;&gt;"对外销售","",ROUND($Q3412-$S3412,0)))</f>
        <v/>
      </c>
      <c r="U3412" s="17" t="n"/>
      <c r="V3412" s="17" t="n"/>
      <c r="W3412" s="24">
        <f>IF($D3412="","",IF($E3412="※编码不在物料档案里","※物料编码不在档案里",IF(N($J3412)&lt;=0,"※出库数量要大于 0",IF($K3412="","※没填去向类型",IF($L3412="","※没填去向矿区",IF(AND($C3412&lt;&gt;"",$C3412&lt;=结账锁),"※日期早于已结账截止日，不能再录",IF(AND($K3412="自用消耗",COUNTIF({"一矿区";"二矿区"},$L3412)=0),"※自用消耗的去向只能是一矿区或二矿区",IF(AND($K3412="对外销售",COUNTIF({"三矿区";"六矿区"},$L3412)=0),"※对外销售的去向只能是三矿区或六矿区",IF(AND($K3412="对外销售",ROUND($Q3412,0)=0),"※外销却没有售价，请填实际售价",IF(AND($K3412="对外销售",$T3412&lt;&gt;"",$T3412&lt;0),"※这一笔外销是亏的，请核对售价",IF(IFERROR(VLOOKUP($D3412,库存台账!$A$5:$Y$1204,24,0),0)&lt;-0.001,"※这个物料账面已经变成负数了，查一下是不是漏记入库","")))))))))))</f>
        <v/>
      </c>
    </row>
    <row r="3413">
      <c r="A3413" s="24">
        <f>IF($D3413="","",COUNTA($D$4:$D3413))</f>
        <v/>
      </c>
      <c r="B3413" s="17" t="n"/>
      <c r="C3413" s="30" t="n"/>
      <c r="D3413" s="17" t="n"/>
      <c r="E3413" s="24">
        <f>IF($D3413="","",IFERROR(VLOOKUP($D3413,物料档案!$A$4:$P$1203,3,0),"※编码不在物料档案里"))</f>
        <v/>
      </c>
      <c r="F3413" s="24">
        <f>IF($D3413="","",IFERROR(VLOOKUP($D3413,物料档案!$A$4:$P$1203,4,0),"※编码不在物料档案里"))</f>
        <v/>
      </c>
      <c r="G3413" s="24">
        <f>IF($D3413="","",IFERROR(VLOOKUP($D3413,物料档案!$A$4:$P$1203,5,0),"※编码不在物料档案里"))</f>
        <v/>
      </c>
      <c r="H3413" s="24">
        <f>IF($D3413="","",IFERROR(VLOOKUP($D3413,物料档案!$A$4:$P$1203,2,0),"※编码不在物料档案里"))</f>
        <v/>
      </c>
      <c r="I3413" s="24">
        <f>IF($D3413="","",IFERROR(VLOOKUP($D3413,物料档案!$A$4:$P$1203,6,0),"※编码不在物料档案里"))</f>
        <v/>
      </c>
      <c r="J3413" s="23" t="n"/>
      <c r="K3413" s="17" t="n"/>
      <c r="L3413" s="17" t="n"/>
      <c r="M3413" s="17" t="n"/>
      <c r="N3413" s="17" t="n"/>
      <c r="O3413" s="26">
        <f>IF($D3413="","",IFERROR(VLOOKUP($D3413,物料档案!$A$4:$P$1203,10,0),0))</f>
        <v/>
      </c>
      <c r="P3413" s="32" t="n"/>
      <c r="Q3413" s="26">
        <f>IF($D3413="","",IF($K3413&lt;&gt;"对外销售",0,ROUND(N($J3413)*IF($P3413="",N($O3413),N($P3413)),0)))</f>
        <v/>
      </c>
      <c r="R3413" s="26">
        <f>IF($D3413="","",IFERROR(VLOOKUP($D3413,库存台账!$A$5:$Y$1204,11,0),0))</f>
        <v/>
      </c>
      <c r="S3413" s="26">
        <f>IF($D3413="","",ROUND(N($J3413)*N($R3413),0))</f>
        <v/>
      </c>
      <c r="T3413" s="26">
        <f>IF($D3413="","",IF($K3413&lt;&gt;"对外销售","",ROUND($Q3413-$S3413,0)))</f>
        <v/>
      </c>
      <c r="U3413" s="17" t="n"/>
      <c r="V3413" s="17" t="n"/>
      <c r="W3413" s="24">
        <f>IF($D3413="","",IF($E3413="※编码不在物料档案里","※物料编码不在档案里",IF(N($J3413)&lt;=0,"※出库数量要大于 0",IF($K3413="","※没填去向类型",IF($L3413="","※没填去向矿区",IF(AND($C3413&lt;&gt;"",$C3413&lt;=结账锁),"※日期早于已结账截止日，不能再录",IF(AND($K3413="自用消耗",COUNTIF({"一矿区";"二矿区"},$L3413)=0),"※自用消耗的去向只能是一矿区或二矿区",IF(AND($K3413="对外销售",COUNTIF({"三矿区";"六矿区"},$L3413)=0),"※对外销售的去向只能是三矿区或六矿区",IF(AND($K3413="对外销售",ROUND($Q3413,0)=0),"※外销却没有售价，请填实际售价",IF(AND($K3413="对外销售",$T3413&lt;&gt;"",$T3413&lt;0),"※这一笔外销是亏的，请核对售价",IF(IFERROR(VLOOKUP($D3413,库存台账!$A$5:$Y$1204,24,0),0)&lt;-0.001,"※这个物料账面已经变成负数了，查一下是不是漏记入库","")))))))))))</f>
        <v/>
      </c>
    </row>
    <row r="3414">
      <c r="A3414" s="24">
        <f>IF($D3414="","",COUNTA($D$4:$D3414))</f>
        <v/>
      </c>
      <c r="B3414" s="17" t="n"/>
      <c r="C3414" s="30" t="n"/>
      <c r="D3414" s="17" t="n"/>
      <c r="E3414" s="24">
        <f>IF($D3414="","",IFERROR(VLOOKUP($D3414,物料档案!$A$4:$P$1203,3,0),"※编码不在物料档案里"))</f>
        <v/>
      </c>
      <c r="F3414" s="24">
        <f>IF($D3414="","",IFERROR(VLOOKUP($D3414,物料档案!$A$4:$P$1203,4,0),"※编码不在物料档案里"))</f>
        <v/>
      </c>
      <c r="G3414" s="24">
        <f>IF($D3414="","",IFERROR(VLOOKUP($D3414,物料档案!$A$4:$P$1203,5,0),"※编码不在物料档案里"))</f>
        <v/>
      </c>
      <c r="H3414" s="24">
        <f>IF($D3414="","",IFERROR(VLOOKUP($D3414,物料档案!$A$4:$P$1203,2,0),"※编码不在物料档案里"))</f>
        <v/>
      </c>
      <c r="I3414" s="24">
        <f>IF($D3414="","",IFERROR(VLOOKUP($D3414,物料档案!$A$4:$P$1203,6,0),"※编码不在物料档案里"))</f>
        <v/>
      </c>
      <c r="J3414" s="23" t="n"/>
      <c r="K3414" s="17" t="n"/>
      <c r="L3414" s="17" t="n"/>
      <c r="M3414" s="17" t="n"/>
      <c r="N3414" s="17" t="n"/>
      <c r="O3414" s="26">
        <f>IF($D3414="","",IFERROR(VLOOKUP($D3414,物料档案!$A$4:$P$1203,10,0),0))</f>
        <v/>
      </c>
      <c r="P3414" s="32" t="n"/>
      <c r="Q3414" s="26">
        <f>IF($D3414="","",IF($K3414&lt;&gt;"对外销售",0,ROUND(N($J3414)*IF($P3414="",N($O3414),N($P3414)),0)))</f>
        <v/>
      </c>
      <c r="R3414" s="26">
        <f>IF($D3414="","",IFERROR(VLOOKUP($D3414,库存台账!$A$5:$Y$1204,11,0),0))</f>
        <v/>
      </c>
      <c r="S3414" s="26">
        <f>IF($D3414="","",ROUND(N($J3414)*N($R3414),0))</f>
        <v/>
      </c>
      <c r="T3414" s="26">
        <f>IF($D3414="","",IF($K3414&lt;&gt;"对外销售","",ROUND($Q3414-$S3414,0)))</f>
        <v/>
      </c>
      <c r="U3414" s="17" t="n"/>
      <c r="V3414" s="17" t="n"/>
      <c r="W3414" s="24">
        <f>IF($D3414="","",IF($E3414="※编码不在物料档案里","※物料编码不在档案里",IF(N($J3414)&lt;=0,"※出库数量要大于 0",IF($K3414="","※没填去向类型",IF($L3414="","※没填去向矿区",IF(AND($C3414&lt;&gt;"",$C3414&lt;=结账锁),"※日期早于已结账截止日，不能再录",IF(AND($K3414="自用消耗",COUNTIF({"一矿区";"二矿区"},$L3414)=0),"※自用消耗的去向只能是一矿区或二矿区",IF(AND($K3414="对外销售",COUNTIF({"三矿区";"六矿区"},$L3414)=0),"※对外销售的去向只能是三矿区或六矿区",IF(AND($K3414="对外销售",ROUND($Q3414,0)=0),"※外销却没有售价，请填实际售价",IF(AND($K3414="对外销售",$T3414&lt;&gt;"",$T3414&lt;0),"※这一笔外销是亏的，请核对售价",IF(IFERROR(VLOOKUP($D3414,库存台账!$A$5:$Y$1204,24,0),0)&lt;-0.001,"※这个物料账面已经变成负数了，查一下是不是漏记入库","")))))))))))</f>
        <v/>
      </c>
    </row>
    <row r="3415">
      <c r="A3415" s="24">
        <f>IF($D3415="","",COUNTA($D$4:$D3415))</f>
        <v/>
      </c>
      <c r="B3415" s="17" t="n"/>
      <c r="C3415" s="30" t="n"/>
      <c r="D3415" s="17" t="n"/>
      <c r="E3415" s="24">
        <f>IF($D3415="","",IFERROR(VLOOKUP($D3415,物料档案!$A$4:$P$1203,3,0),"※编码不在物料档案里"))</f>
        <v/>
      </c>
      <c r="F3415" s="24">
        <f>IF($D3415="","",IFERROR(VLOOKUP($D3415,物料档案!$A$4:$P$1203,4,0),"※编码不在物料档案里"))</f>
        <v/>
      </c>
      <c r="G3415" s="24">
        <f>IF($D3415="","",IFERROR(VLOOKUP($D3415,物料档案!$A$4:$P$1203,5,0),"※编码不在物料档案里"))</f>
        <v/>
      </c>
      <c r="H3415" s="24">
        <f>IF($D3415="","",IFERROR(VLOOKUP($D3415,物料档案!$A$4:$P$1203,2,0),"※编码不在物料档案里"))</f>
        <v/>
      </c>
      <c r="I3415" s="24">
        <f>IF($D3415="","",IFERROR(VLOOKUP($D3415,物料档案!$A$4:$P$1203,6,0),"※编码不在物料档案里"))</f>
        <v/>
      </c>
      <c r="J3415" s="23" t="n"/>
      <c r="K3415" s="17" t="n"/>
      <c r="L3415" s="17" t="n"/>
      <c r="M3415" s="17" t="n"/>
      <c r="N3415" s="17" t="n"/>
      <c r="O3415" s="26">
        <f>IF($D3415="","",IFERROR(VLOOKUP($D3415,物料档案!$A$4:$P$1203,10,0),0))</f>
        <v/>
      </c>
      <c r="P3415" s="32" t="n"/>
      <c r="Q3415" s="26">
        <f>IF($D3415="","",IF($K3415&lt;&gt;"对外销售",0,ROUND(N($J3415)*IF($P3415="",N($O3415),N($P3415)),0)))</f>
        <v/>
      </c>
      <c r="R3415" s="26">
        <f>IF($D3415="","",IFERROR(VLOOKUP($D3415,库存台账!$A$5:$Y$1204,11,0),0))</f>
        <v/>
      </c>
      <c r="S3415" s="26">
        <f>IF($D3415="","",ROUND(N($J3415)*N($R3415),0))</f>
        <v/>
      </c>
      <c r="T3415" s="26">
        <f>IF($D3415="","",IF($K3415&lt;&gt;"对外销售","",ROUND($Q3415-$S3415,0)))</f>
        <v/>
      </c>
      <c r="U3415" s="17" t="n"/>
      <c r="V3415" s="17" t="n"/>
      <c r="W3415" s="24">
        <f>IF($D3415="","",IF($E3415="※编码不在物料档案里","※物料编码不在档案里",IF(N($J3415)&lt;=0,"※出库数量要大于 0",IF($K3415="","※没填去向类型",IF($L3415="","※没填去向矿区",IF(AND($C3415&lt;&gt;"",$C3415&lt;=结账锁),"※日期早于已结账截止日，不能再录",IF(AND($K3415="自用消耗",COUNTIF({"一矿区";"二矿区"},$L3415)=0),"※自用消耗的去向只能是一矿区或二矿区",IF(AND($K3415="对外销售",COUNTIF({"三矿区";"六矿区"},$L3415)=0),"※对外销售的去向只能是三矿区或六矿区",IF(AND($K3415="对外销售",ROUND($Q3415,0)=0),"※外销却没有售价，请填实际售价",IF(AND($K3415="对外销售",$T3415&lt;&gt;"",$T3415&lt;0),"※这一笔外销是亏的，请核对售价",IF(IFERROR(VLOOKUP($D3415,库存台账!$A$5:$Y$1204,24,0),0)&lt;-0.001,"※这个物料账面已经变成负数了，查一下是不是漏记入库","")))))))))))</f>
        <v/>
      </c>
    </row>
    <row r="3416">
      <c r="A3416" s="24">
        <f>IF($D3416="","",COUNTA($D$4:$D3416))</f>
        <v/>
      </c>
      <c r="B3416" s="17" t="n"/>
      <c r="C3416" s="30" t="n"/>
      <c r="D3416" s="17" t="n"/>
      <c r="E3416" s="24">
        <f>IF($D3416="","",IFERROR(VLOOKUP($D3416,物料档案!$A$4:$P$1203,3,0),"※编码不在物料档案里"))</f>
        <v/>
      </c>
      <c r="F3416" s="24">
        <f>IF($D3416="","",IFERROR(VLOOKUP($D3416,物料档案!$A$4:$P$1203,4,0),"※编码不在物料档案里"))</f>
        <v/>
      </c>
      <c r="G3416" s="24">
        <f>IF($D3416="","",IFERROR(VLOOKUP($D3416,物料档案!$A$4:$P$1203,5,0),"※编码不在物料档案里"))</f>
        <v/>
      </c>
      <c r="H3416" s="24">
        <f>IF($D3416="","",IFERROR(VLOOKUP($D3416,物料档案!$A$4:$P$1203,2,0),"※编码不在物料档案里"))</f>
        <v/>
      </c>
      <c r="I3416" s="24">
        <f>IF($D3416="","",IFERROR(VLOOKUP($D3416,物料档案!$A$4:$P$1203,6,0),"※编码不在物料档案里"))</f>
        <v/>
      </c>
      <c r="J3416" s="23" t="n"/>
      <c r="K3416" s="17" t="n"/>
      <c r="L3416" s="17" t="n"/>
      <c r="M3416" s="17" t="n"/>
      <c r="N3416" s="17" t="n"/>
      <c r="O3416" s="26">
        <f>IF($D3416="","",IFERROR(VLOOKUP($D3416,物料档案!$A$4:$P$1203,10,0),0))</f>
        <v/>
      </c>
      <c r="P3416" s="32" t="n"/>
      <c r="Q3416" s="26">
        <f>IF($D3416="","",IF($K3416&lt;&gt;"对外销售",0,ROUND(N($J3416)*IF($P3416="",N($O3416),N($P3416)),0)))</f>
        <v/>
      </c>
      <c r="R3416" s="26">
        <f>IF($D3416="","",IFERROR(VLOOKUP($D3416,库存台账!$A$5:$Y$1204,11,0),0))</f>
        <v/>
      </c>
      <c r="S3416" s="26">
        <f>IF($D3416="","",ROUND(N($J3416)*N($R3416),0))</f>
        <v/>
      </c>
      <c r="T3416" s="26">
        <f>IF($D3416="","",IF($K3416&lt;&gt;"对外销售","",ROUND($Q3416-$S3416,0)))</f>
        <v/>
      </c>
      <c r="U3416" s="17" t="n"/>
      <c r="V3416" s="17" t="n"/>
      <c r="W3416" s="24">
        <f>IF($D3416="","",IF($E3416="※编码不在物料档案里","※物料编码不在档案里",IF(N($J3416)&lt;=0,"※出库数量要大于 0",IF($K3416="","※没填去向类型",IF($L3416="","※没填去向矿区",IF(AND($C3416&lt;&gt;"",$C3416&lt;=结账锁),"※日期早于已结账截止日，不能再录",IF(AND($K3416="自用消耗",COUNTIF({"一矿区";"二矿区"},$L3416)=0),"※自用消耗的去向只能是一矿区或二矿区",IF(AND($K3416="对外销售",COUNTIF({"三矿区";"六矿区"},$L3416)=0),"※对外销售的去向只能是三矿区或六矿区",IF(AND($K3416="对外销售",ROUND($Q3416,0)=0),"※外销却没有售价，请填实际售价",IF(AND($K3416="对外销售",$T3416&lt;&gt;"",$T3416&lt;0),"※这一笔外销是亏的，请核对售价",IF(IFERROR(VLOOKUP($D3416,库存台账!$A$5:$Y$1204,24,0),0)&lt;-0.001,"※这个物料账面已经变成负数了，查一下是不是漏记入库","")))))))))))</f>
        <v/>
      </c>
    </row>
    <row r="3417">
      <c r="A3417" s="24">
        <f>IF($D3417="","",COUNTA($D$4:$D3417))</f>
        <v/>
      </c>
      <c r="B3417" s="17" t="n"/>
      <c r="C3417" s="30" t="n"/>
      <c r="D3417" s="17" t="n"/>
      <c r="E3417" s="24">
        <f>IF($D3417="","",IFERROR(VLOOKUP($D3417,物料档案!$A$4:$P$1203,3,0),"※编码不在物料档案里"))</f>
        <v/>
      </c>
      <c r="F3417" s="24">
        <f>IF($D3417="","",IFERROR(VLOOKUP($D3417,物料档案!$A$4:$P$1203,4,0),"※编码不在物料档案里"))</f>
        <v/>
      </c>
      <c r="G3417" s="24">
        <f>IF($D3417="","",IFERROR(VLOOKUP($D3417,物料档案!$A$4:$P$1203,5,0),"※编码不在物料档案里"))</f>
        <v/>
      </c>
      <c r="H3417" s="24">
        <f>IF($D3417="","",IFERROR(VLOOKUP($D3417,物料档案!$A$4:$P$1203,2,0),"※编码不在物料档案里"))</f>
        <v/>
      </c>
      <c r="I3417" s="24">
        <f>IF($D3417="","",IFERROR(VLOOKUP($D3417,物料档案!$A$4:$P$1203,6,0),"※编码不在物料档案里"))</f>
        <v/>
      </c>
      <c r="J3417" s="23" t="n"/>
      <c r="K3417" s="17" t="n"/>
      <c r="L3417" s="17" t="n"/>
      <c r="M3417" s="17" t="n"/>
      <c r="N3417" s="17" t="n"/>
      <c r="O3417" s="26">
        <f>IF($D3417="","",IFERROR(VLOOKUP($D3417,物料档案!$A$4:$P$1203,10,0),0))</f>
        <v/>
      </c>
      <c r="P3417" s="32" t="n"/>
      <c r="Q3417" s="26">
        <f>IF($D3417="","",IF($K3417&lt;&gt;"对外销售",0,ROUND(N($J3417)*IF($P3417="",N($O3417),N($P3417)),0)))</f>
        <v/>
      </c>
      <c r="R3417" s="26">
        <f>IF($D3417="","",IFERROR(VLOOKUP($D3417,库存台账!$A$5:$Y$1204,11,0),0))</f>
        <v/>
      </c>
      <c r="S3417" s="26">
        <f>IF($D3417="","",ROUND(N($J3417)*N($R3417),0))</f>
        <v/>
      </c>
      <c r="T3417" s="26">
        <f>IF($D3417="","",IF($K3417&lt;&gt;"对外销售","",ROUND($Q3417-$S3417,0)))</f>
        <v/>
      </c>
      <c r="U3417" s="17" t="n"/>
      <c r="V3417" s="17" t="n"/>
      <c r="W3417" s="24">
        <f>IF($D3417="","",IF($E3417="※编码不在物料档案里","※物料编码不在档案里",IF(N($J3417)&lt;=0,"※出库数量要大于 0",IF($K3417="","※没填去向类型",IF($L3417="","※没填去向矿区",IF(AND($C3417&lt;&gt;"",$C3417&lt;=结账锁),"※日期早于已结账截止日，不能再录",IF(AND($K3417="自用消耗",COUNTIF({"一矿区";"二矿区"},$L3417)=0),"※自用消耗的去向只能是一矿区或二矿区",IF(AND($K3417="对外销售",COUNTIF({"三矿区";"六矿区"},$L3417)=0),"※对外销售的去向只能是三矿区或六矿区",IF(AND($K3417="对外销售",ROUND($Q3417,0)=0),"※外销却没有售价，请填实际售价",IF(AND($K3417="对外销售",$T3417&lt;&gt;"",$T3417&lt;0),"※这一笔外销是亏的，请核对售价",IF(IFERROR(VLOOKUP($D3417,库存台账!$A$5:$Y$1204,24,0),0)&lt;-0.001,"※这个物料账面已经变成负数了，查一下是不是漏记入库","")))))))))))</f>
        <v/>
      </c>
    </row>
    <row r="3418">
      <c r="A3418" s="24">
        <f>IF($D3418="","",COUNTA($D$4:$D3418))</f>
        <v/>
      </c>
      <c r="B3418" s="17" t="n"/>
      <c r="C3418" s="30" t="n"/>
      <c r="D3418" s="17" t="n"/>
      <c r="E3418" s="24">
        <f>IF($D3418="","",IFERROR(VLOOKUP($D3418,物料档案!$A$4:$P$1203,3,0),"※编码不在物料档案里"))</f>
        <v/>
      </c>
      <c r="F3418" s="24">
        <f>IF($D3418="","",IFERROR(VLOOKUP($D3418,物料档案!$A$4:$P$1203,4,0),"※编码不在物料档案里"))</f>
        <v/>
      </c>
      <c r="G3418" s="24">
        <f>IF($D3418="","",IFERROR(VLOOKUP($D3418,物料档案!$A$4:$P$1203,5,0),"※编码不在物料档案里"))</f>
        <v/>
      </c>
      <c r="H3418" s="24">
        <f>IF($D3418="","",IFERROR(VLOOKUP($D3418,物料档案!$A$4:$P$1203,2,0),"※编码不在物料档案里"))</f>
        <v/>
      </c>
      <c r="I3418" s="24">
        <f>IF($D3418="","",IFERROR(VLOOKUP($D3418,物料档案!$A$4:$P$1203,6,0),"※编码不在物料档案里"))</f>
        <v/>
      </c>
      <c r="J3418" s="23" t="n"/>
      <c r="K3418" s="17" t="n"/>
      <c r="L3418" s="17" t="n"/>
      <c r="M3418" s="17" t="n"/>
      <c r="N3418" s="17" t="n"/>
      <c r="O3418" s="26">
        <f>IF($D3418="","",IFERROR(VLOOKUP($D3418,物料档案!$A$4:$P$1203,10,0),0))</f>
        <v/>
      </c>
      <c r="P3418" s="32" t="n"/>
      <c r="Q3418" s="26">
        <f>IF($D3418="","",IF($K3418&lt;&gt;"对外销售",0,ROUND(N($J3418)*IF($P3418="",N($O3418),N($P3418)),0)))</f>
        <v/>
      </c>
      <c r="R3418" s="26">
        <f>IF($D3418="","",IFERROR(VLOOKUP($D3418,库存台账!$A$5:$Y$1204,11,0),0))</f>
        <v/>
      </c>
      <c r="S3418" s="26">
        <f>IF($D3418="","",ROUND(N($J3418)*N($R3418),0))</f>
        <v/>
      </c>
      <c r="T3418" s="26">
        <f>IF($D3418="","",IF($K3418&lt;&gt;"对外销售","",ROUND($Q3418-$S3418,0)))</f>
        <v/>
      </c>
      <c r="U3418" s="17" t="n"/>
      <c r="V3418" s="17" t="n"/>
      <c r="W3418" s="24">
        <f>IF($D3418="","",IF($E3418="※编码不在物料档案里","※物料编码不在档案里",IF(N($J3418)&lt;=0,"※出库数量要大于 0",IF($K3418="","※没填去向类型",IF($L3418="","※没填去向矿区",IF(AND($C3418&lt;&gt;"",$C3418&lt;=结账锁),"※日期早于已结账截止日，不能再录",IF(AND($K3418="自用消耗",COUNTIF({"一矿区";"二矿区"},$L3418)=0),"※自用消耗的去向只能是一矿区或二矿区",IF(AND($K3418="对外销售",COUNTIF({"三矿区";"六矿区"},$L3418)=0),"※对外销售的去向只能是三矿区或六矿区",IF(AND($K3418="对外销售",ROUND($Q3418,0)=0),"※外销却没有售价，请填实际售价",IF(AND($K3418="对外销售",$T3418&lt;&gt;"",$T3418&lt;0),"※这一笔外销是亏的，请核对售价",IF(IFERROR(VLOOKUP($D3418,库存台账!$A$5:$Y$1204,24,0),0)&lt;-0.001,"※这个物料账面已经变成负数了，查一下是不是漏记入库","")))))))))))</f>
        <v/>
      </c>
    </row>
    <row r="3419">
      <c r="A3419" s="24">
        <f>IF($D3419="","",COUNTA($D$4:$D3419))</f>
        <v/>
      </c>
      <c r="B3419" s="17" t="n"/>
      <c r="C3419" s="30" t="n"/>
      <c r="D3419" s="17" t="n"/>
      <c r="E3419" s="24">
        <f>IF($D3419="","",IFERROR(VLOOKUP($D3419,物料档案!$A$4:$P$1203,3,0),"※编码不在物料档案里"))</f>
        <v/>
      </c>
      <c r="F3419" s="24">
        <f>IF($D3419="","",IFERROR(VLOOKUP($D3419,物料档案!$A$4:$P$1203,4,0),"※编码不在物料档案里"))</f>
        <v/>
      </c>
      <c r="G3419" s="24">
        <f>IF($D3419="","",IFERROR(VLOOKUP($D3419,物料档案!$A$4:$P$1203,5,0),"※编码不在物料档案里"))</f>
        <v/>
      </c>
      <c r="H3419" s="24">
        <f>IF($D3419="","",IFERROR(VLOOKUP($D3419,物料档案!$A$4:$P$1203,2,0),"※编码不在物料档案里"))</f>
        <v/>
      </c>
      <c r="I3419" s="24">
        <f>IF($D3419="","",IFERROR(VLOOKUP($D3419,物料档案!$A$4:$P$1203,6,0),"※编码不在物料档案里"))</f>
        <v/>
      </c>
      <c r="J3419" s="23" t="n"/>
      <c r="K3419" s="17" t="n"/>
      <c r="L3419" s="17" t="n"/>
      <c r="M3419" s="17" t="n"/>
      <c r="N3419" s="17" t="n"/>
      <c r="O3419" s="26">
        <f>IF($D3419="","",IFERROR(VLOOKUP($D3419,物料档案!$A$4:$P$1203,10,0),0))</f>
        <v/>
      </c>
      <c r="P3419" s="32" t="n"/>
      <c r="Q3419" s="26">
        <f>IF($D3419="","",IF($K3419&lt;&gt;"对外销售",0,ROUND(N($J3419)*IF($P3419="",N($O3419),N($P3419)),0)))</f>
        <v/>
      </c>
      <c r="R3419" s="26">
        <f>IF($D3419="","",IFERROR(VLOOKUP($D3419,库存台账!$A$5:$Y$1204,11,0),0))</f>
        <v/>
      </c>
      <c r="S3419" s="26">
        <f>IF($D3419="","",ROUND(N($J3419)*N($R3419),0))</f>
        <v/>
      </c>
      <c r="T3419" s="26">
        <f>IF($D3419="","",IF($K3419&lt;&gt;"对外销售","",ROUND($Q3419-$S3419,0)))</f>
        <v/>
      </c>
      <c r="U3419" s="17" t="n"/>
      <c r="V3419" s="17" t="n"/>
      <c r="W3419" s="24">
        <f>IF($D3419="","",IF($E3419="※编码不在物料档案里","※物料编码不在档案里",IF(N($J3419)&lt;=0,"※出库数量要大于 0",IF($K3419="","※没填去向类型",IF($L3419="","※没填去向矿区",IF(AND($C3419&lt;&gt;"",$C3419&lt;=结账锁),"※日期早于已结账截止日，不能再录",IF(AND($K3419="自用消耗",COUNTIF({"一矿区";"二矿区"},$L3419)=0),"※自用消耗的去向只能是一矿区或二矿区",IF(AND($K3419="对外销售",COUNTIF({"三矿区";"六矿区"},$L3419)=0),"※对外销售的去向只能是三矿区或六矿区",IF(AND($K3419="对外销售",ROUND($Q3419,0)=0),"※外销却没有售价，请填实际售价",IF(AND($K3419="对外销售",$T3419&lt;&gt;"",$T3419&lt;0),"※这一笔外销是亏的，请核对售价",IF(IFERROR(VLOOKUP($D3419,库存台账!$A$5:$Y$1204,24,0),0)&lt;-0.001,"※这个物料账面已经变成负数了，查一下是不是漏记入库","")))))))))))</f>
        <v/>
      </c>
    </row>
    <row r="3420">
      <c r="A3420" s="24">
        <f>IF($D3420="","",COUNTA($D$4:$D3420))</f>
        <v/>
      </c>
      <c r="B3420" s="17" t="n"/>
      <c r="C3420" s="30" t="n"/>
      <c r="D3420" s="17" t="n"/>
      <c r="E3420" s="24">
        <f>IF($D3420="","",IFERROR(VLOOKUP($D3420,物料档案!$A$4:$P$1203,3,0),"※编码不在物料档案里"))</f>
        <v/>
      </c>
      <c r="F3420" s="24">
        <f>IF($D3420="","",IFERROR(VLOOKUP($D3420,物料档案!$A$4:$P$1203,4,0),"※编码不在物料档案里"))</f>
        <v/>
      </c>
      <c r="G3420" s="24">
        <f>IF($D3420="","",IFERROR(VLOOKUP($D3420,物料档案!$A$4:$P$1203,5,0),"※编码不在物料档案里"))</f>
        <v/>
      </c>
      <c r="H3420" s="24">
        <f>IF($D3420="","",IFERROR(VLOOKUP($D3420,物料档案!$A$4:$P$1203,2,0),"※编码不在物料档案里"))</f>
        <v/>
      </c>
      <c r="I3420" s="24">
        <f>IF($D3420="","",IFERROR(VLOOKUP($D3420,物料档案!$A$4:$P$1203,6,0),"※编码不在物料档案里"))</f>
        <v/>
      </c>
      <c r="J3420" s="23" t="n"/>
      <c r="K3420" s="17" t="n"/>
      <c r="L3420" s="17" t="n"/>
      <c r="M3420" s="17" t="n"/>
      <c r="N3420" s="17" t="n"/>
      <c r="O3420" s="26">
        <f>IF($D3420="","",IFERROR(VLOOKUP($D3420,物料档案!$A$4:$P$1203,10,0),0))</f>
        <v/>
      </c>
      <c r="P3420" s="32" t="n"/>
      <c r="Q3420" s="26">
        <f>IF($D3420="","",IF($K3420&lt;&gt;"对外销售",0,ROUND(N($J3420)*IF($P3420="",N($O3420),N($P3420)),0)))</f>
        <v/>
      </c>
      <c r="R3420" s="26">
        <f>IF($D3420="","",IFERROR(VLOOKUP($D3420,库存台账!$A$5:$Y$1204,11,0),0))</f>
        <v/>
      </c>
      <c r="S3420" s="26">
        <f>IF($D3420="","",ROUND(N($J3420)*N($R3420),0))</f>
        <v/>
      </c>
      <c r="T3420" s="26">
        <f>IF($D3420="","",IF($K3420&lt;&gt;"对外销售","",ROUND($Q3420-$S3420,0)))</f>
        <v/>
      </c>
      <c r="U3420" s="17" t="n"/>
      <c r="V3420" s="17" t="n"/>
      <c r="W3420" s="24">
        <f>IF($D3420="","",IF($E3420="※编码不在物料档案里","※物料编码不在档案里",IF(N($J3420)&lt;=0,"※出库数量要大于 0",IF($K3420="","※没填去向类型",IF($L3420="","※没填去向矿区",IF(AND($C3420&lt;&gt;"",$C3420&lt;=结账锁),"※日期早于已结账截止日，不能再录",IF(AND($K3420="自用消耗",COUNTIF({"一矿区";"二矿区"},$L3420)=0),"※自用消耗的去向只能是一矿区或二矿区",IF(AND($K3420="对外销售",COUNTIF({"三矿区";"六矿区"},$L3420)=0),"※对外销售的去向只能是三矿区或六矿区",IF(AND($K3420="对外销售",ROUND($Q3420,0)=0),"※外销却没有售价，请填实际售价",IF(AND($K3420="对外销售",$T3420&lt;&gt;"",$T3420&lt;0),"※这一笔外销是亏的，请核对售价",IF(IFERROR(VLOOKUP($D3420,库存台账!$A$5:$Y$1204,24,0),0)&lt;-0.001,"※这个物料账面已经变成负数了，查一下是不是漏记入库","")))))))))))</f>
        <v/>
      </c>
    </row>
    <row r="3421">
      <c r="A3421" s="24">
        <f>IF($D3421="","",COUNTA($D$4:$D3421))</f>
        <v/>
      </c>
      <c r="B3421" s="17" t="n"/>
      <c r="C3421" s="30" t="n"/>
      <c r="D3421" s="17" t="n"/>
      <c r="E3421" s="24">
        <f>IF($D3421="","",IFERROR(VLOOKUP($D3421,物料档案!$A$4:$P$1203,3,0),"※编码不在物料档案里"))</f>
        <v/>
      </c>
      <c r="F3421" s="24">
        <f>IF($D3421="","",IFERROR(VLOOKUP($D3421,物料档案!$A$4:$P$1203,4,0),"※编码不在物料档案里"))</f>
        <v/>
      </c>
      <c r="G3421" s="24">
        <f>IF($D3421="","",IFERROR(VLOOKUP($D3421,物料档案!$A$4:$P$1203,5,0),"※编码不在物料档案里"))</f>
        <v/>
      </c>
      <c r="H3421" s="24">
        <f>IF($D3421="","",IFERROR(VLOOKUP($D3421,物料档案!$A$4:$P$1203,2,0),"※编码不在物料档案里"))</f>
        <v/>
      </c>
      <c r="I3421" s="24">
        <f>IF($D3421="","",IFERROR(VLOOKUP($D3421,物料档案!$A$4:$P$1203,6,0),"※编码不在物料档案里"))</f>
        <v/>
      </c>
      <c r="J3421" s="23" t="n"/>
      <c r="K3421" s="17" t="n"/>
      <c r="L3421" s="17" t="n"/>
      <c r="M3421" s="17" t="n"/>
      <c r="N3421" s="17" t="n"/>
      <c r="O3421" s="26">
        <f>IF($D3421="","",IFERROR(VLOOKUP($D3421,物料档案!$A$4:$P$1203,10,0),0))</f>
        <v/>
      </c>
      <c r="P3421" s="32" t="n"/>
      <c r="Q3421" s="26">
        <f>IF($D3421="","",IF($K3421&lt;&gt;"对外销售",0,ROUND(N($J3421)*IF($P3421="",N($O3421),N($P3421)),0)))</f>
        <v/>
      </c>
      <c r="R3421" s="26">
        <f>IF($D3421="","",IFERROR(VLOOKUP($D3421,库存台账!$A$5:$Y$1204,11,0),0))</f>
        <v/>
      </c>
      <c r="S3421" s="26">
        <f>IF($D3421="","",ROUND(N($J3421)*N($R3421),0))</f>
        <v/>
      </c>
      <c r="T3421" s="26">
        <f>IF($D3421="","",IF($K3421&lt;&gt;"对外销售","",ROUND($Q3421-$S3421,0)))</f>
        <v/>
      </c>
      <c r="U3421" s="17" t="n"/>
      <c r="V3421" s="17" t="n"/>
      <c r="W3421" s="24">
        <f>IF($D3421="","",IF($E3421="※编码不在物料档案里","※物料编码不在档案里",IF(N($J3421)&lt;=0,"※出库数量要大于 0",IF($K3421="","※没填去向类型",IF($L3421="","※没填去向矿区",IF(AND($C3421&lt;&gt;"",$C3421&lt;=结账锁),"※日期早于已结账截止日，不能再录",IF(AND($K3421="自用消耗",COUNTIF({"一矿区";"二矿区"},$L3421)=0),"※自用消耗的去向只能是一矿区或二矿区",IF(AND($K3421="对外销售",COUNTIF({"三矿区";"六矿区"},$L3421)=0),"※对外销售的去向只能是三矿区或六矿区",IF(AND($K3421="对外销售",ROUND($Q3421,0)=0),"※外销却没有售价，请填实际售价",IF(AND($K3421="对外销售",$T3421&lt;&gt;"",$T3421&lt;0),"※这一笔外销是亏的，请核对售价",IF(IFERROR(VLOOKUP($D3421,库存台账!$A$5:$Y$1204,24,0),0)&lt;-0.001,"※这个物料账面已经变成负数了，查一下是不是漏记入库","")))))))))))</f>
        <v/>
      </c>
    </row>
    <row r="3422">
      <c r="A3422" s="24">
        <f>IF($D3422="","",COUNTA($D$4:$D3422))</f>
        <v/>
      </c>
      <c r="B3422" s="17" t="n"/>
      <c r="C3422" s="30" t="n"/>
      <c r="D3422" s="17" t="n"/>
      <c r="E3422" s="24">
        <f>IF($D3422="","",IFERROR(VLOOKUP($D3422,物料档案!$A$4:$P$1203,3,0),"※编码不在物料档案里"))</f>
        <v/>
      </c>
      <c r="F3422" s="24">
        <f>IF($D3422="","",IFERROR(VLOOKUP($D3422,物料档案!$A$4:$P$1203,4,0),"※编码不在物料档案里"))</f>
        <v/>
      </c>
      <c r="G3422" s="24">
        <f>IF($D3422="","",IFERROR(VLOOKUP($D3422,物料档案!$A$4:$P$1203,5,0),"※编码不在物料档案里"))</f>
        <v/>
      </c>
      <c r="H3422" s="24">
        <f>IF($D3422="","",IFERROR(VLOOKUP($D3422,物料档案!$A$4:$P$1203,2,0),"※编码不在物料档案里"))</f>
        <v/>
      </c>
      <c r="I3422" s="24">
        <f>IF($D3422="","",IFERROR(VLOOKUP($D3422,物料档案!$A$4:$P$1203,6,0),"※编码不在物料档案里"))</f>
        <v/>
      </c>
      <c r="J3422" s="23" t="n"/>
      <c r="K3422" s="17" t="n"/>
      <c r="L3422" s="17" t="n"/>
      <c r="M3422" s="17" t="n"/>
      <c r="N3422" s="17" t="n"/>
      <c r="O3422" s="26">
        <f>IF($D3422="","",IFERROR(VLOOKUP($D3422,物料档案!$A$4:$P$1203,10,0),0))</f>
        <v/>
      </c>
      <c r="P3422" s="32" t="n"/>
      <c r="Q3422" s="26">
        <f>IF($D3422="","",IF($K3422&lt;&gt;"对外销售",0,ROUND(N($J3422)*IF($P3422="",N($O3422),N($P3422)),0)))</f>
        <v/>
      </c>
      <c r="R3422" s="26">
        <f>IF($D3422="","",IFERROR(VLOOKUP($D3422,库存台账!$A$5:$Y$1204,11,0),0))</f>
        <v/>
      </c>
      <c r="S3422" s="26">
        <f>IF($D3422="","",ROUND(N($J3422)*N($R3422),0))</f>
        <v/>
      </c>
      <c r="T3422" s="26">
        <f>IF($D3422="","",IF($K3422&lt;&gt;"对外销售","",ROUND($Q3422-$S3422,0)))</f>
        <v/>
      </c>
      <c r="U3422" s="17" t="n"/>
      <c r="V3422" s="17" t="n"/>
      <c r="W3422" s="24">
        <f>IF($D3422="","",IF($E3422="※编码不在物料档案里","※物料编码不在档案里",IF(N($J3422)&lt;=0,"※出库数量要大于 0",IF($K3422="","※没填去向类型",IF($L3422="","※没填去向矿区",IF(AND($C3422&lt;&gt;"",$C3422&lt;=结账锁),"※日期早于已结账截止日，不能再录",IF(AND($K3422="自用消耗",COUNTIF({"一矿区";"二矿区"},$L3422)=0),"※自用消耗的去向只能是一矿区或二矿区",IF(AND($K3422="对外销售",COUNTIF({"三矿区";"六矿区"},$L3422)=0),"※对外销售的去向只能是三矿区或六矿区",IF(AND($K3422="对外销售",ROUND($Q3422,0)=0),"※外销却没有售价，请填实际售价",IF(AND($K3422="对外销售",$T3422&lt;&gt;"",$T3422&lt;0),"※这一笔外销是亏的，请核对售价",IF(IFERROR(VLOOKUP($D3422,库存台账!$A$5:$Y$1204,24,0),0)&lt;-0.001,"※这个物料账面已经变成负数了，查一下是不是漏记入库","")))))))))))</f>
        <v/>
      </c>
    </row>
    <row r="3423">
      <c r="A3423" s="24">
        <f>IF($D3423="","",COUNTA($D$4:$D3423))</f>
        <v/>
      </c>
      <c r="B3423" s="17" t="n"/>
      <c r="C3423" s="30" t="n"/>
      <c r="D3423" s="17" t="n"/>
      <c r="E3423" s="24">
        <f>IF($D3423="","",IFERROR(VLOOKUP($D3423,物料档案!$A$4:$P$1203,3,0),"※编码不在物料档案里"))</f>
        <v/>
      </c>
      <c r="F3423" s="24">
        <f>IF($D3423="","",IFERROR(VLOOKUP($D3423,物料档案!$A$4:$P$1203,4,0),"※编码不在物料档案里"))</f>
        <v/>
      </c>
      <c r="G3423" s="24">
        <f>IF($D3423="","",IFERROR(VLOOKUP($D3423,物料档案!$A$4:$P$1203,5,0),"※编码不在物料档案里"))</f>
        <v/>
      </c>
      <c r="H3423" s="24">
        <f>IF($D3423="","",IFERROR(VLOOKUP($D3423,物料档案!$A$4:$P$1203,2,0),"※编码不在物料档案里"))</f>
        <v/>
      </c>
      <c r="I3423" s="24">
        <f>IF($D3423="","",IFERROR(VLOOKUP($D3423,物料档案!$A$4:$P$1203,6,0),"※编码不在物料档案里"))</f>
        <v/>
      </c>
      <c r="J3423" s="23" t="n"/>
      <c r="K3423" s="17" t="n"/>
      <c r="L3423" s="17" t="n"/>
      <c r="M3423" s="17" t="n"/>
      <c r="N3423" s="17" t="n"/>
      <c r="O3423" s="26">
        <f>IF($D3423="","",IFERROR(VLOOKUP($D3423,物料档案!$A$4:$P$1203,10,0),0))</f>
        <v/>
      </c>
      <c r="P3423" s="32" t="n"/>
      <c r="Q3423" s="26">
        <f>IF($D3423="","",IF($K3423&lt;&gt;"对外销售",0,ROUND(N($J3423)*IF($P3423="",N($O3423),N($P3423)),0)))</f>
        <v/>
      </c>
      <c r="R3423" s="26">
        <f>IF($D3423="","",IFERROR(VLOOKUP($D3423,库存台账!$A$5:$Y$1204,11,0),0))</f>
        <v/>
      </c>
      <c r="S3423" s="26">
        <f>IF($D3423="","",ROUND(N($J3423)*N($R3423),0))</f>
        <v/>
      </c>
      <c r="T3423" s="26">
        <f>IF($D3423="","",IF($K3423&lt;&gt;"对外销售","",ROUND($Q3423-$S3423,0)))</f>
        <v/>
      </c>
      <c r="U3423" s="17" t="n"/>
      <c r="V3423" s="17" t="n"/>
      <c r="W3423" s="24">
        <f>IF($D3423="","",IF($E3423="※编码不在物料档案里","※物料编码不在档案里",IF(N($J3423)&lt;=0,"※出库数量要大于 0",IF($K3423="","※没填去向类型",IF($L3423="","※没填去向矿区",IF(AND($C3423&lt;&gt;"",$C3423&lt;=结账锁),"※日期早于已结账截止日，不能再录",IF(AND($K3423="自用消耗",COUNTIF({"一矿区";"二矿区"},$L3423)=0),"※自用消耗的去向只能是一矿区或二矿区",IF(AND($K3423="对外销售",COUNTIF({"三矿区";"六矿区"},$L3423)=0),"※对外销售的去向只能是三矿区或六矿区",IF(AND($K3423="对外销售",ROUND($Q3423,0)=0),"※外销却没有售价，请填实际售价",IF(AND($K3423="对外销售",$T3423&lt;&gt;"",$T3423&lt;0),"※这一笔外销是亏的，请核对售价",IF(IFERROR(VLOOKUP($D3423,库存台账!$A$5:$Y$1204,24,0),0)&lt;-0.001,"※这个物料账面已经变成负数了，查一下是不是漏记入库","")))))))))))</f>
        <v/>
      </c>
    </row>
    <row r="3424">
      <c r="A3424" s="24">
        <f>IF($D3424="","",COUNTA($D$4:$D3424))</f>
        <v/>
      </c>
      <c r="B3424" s="17" t="n"/>
      <c r="C3424" s="30" t="n"/>
      <c r="D3424" s="17" t="n"/>
      <c r="E3424" s="24">
        <f>IF($D3424="","",IFERROR(VLOOKUP($D3424,物料档案!$A$4:$P$1203,3,0),"※编码不在物料档案里"))</f>
        <v/>
      </c>
      <c r="F3424" s="24">
        <f>IF($D3424="","",IFERROR(VLOOKUP($D3424,物料档案!$A$4:$P$1203,4,0),"※编码不在物料档案里"))</f>
        <v/>
      </c>
      <c r="G3424" s="24">
        <f>IF($D3424="","",IFERROR(VLOOKUP($D3424,物料档案!$A$4:$P$1203,5,0),"※编码不在物料档案里"))</f>
        <v/>
      </c>
      <c r="H3424" s="24">
        <f>IF($D3424="","",IFERROR(VLOOKUP($D3424,物料档案!$A$4:$P$1203,2,0),"※编码不在物料档案里"))</f>
        <v/>
      </c>
      <c r="I3424" s="24">
        <f>IF($D3424="","",IFERROR(VLOOKUP($D3424,物料档案!$A$4:$P$1203,6,0),"※编码不在物料档案里"))</f>
        <v/>
      </c>
      <c r="J3424" s="23" t="n"/>
      <c r="K3424" s="17" t="n"/>
      <c r="L3424" s="17" t="n"/>
      <c r="M3424" s="17" t="n"/>
      <c r="N3424" s="17" t="n"/>
      <c r="O3424" s="26">
        <f>IF($D3424="","",IFERROR(VLOOKUP($D3424,物料档案!$A$4:$P$1203,10,0),0))</f>
        <v/>
      </c>
      <c r="P3424" s="32" t="n"/>
      <c r="Q3424" s="26">
        <f>IF($D3424="","",IF($K3424&lt;&gt;"对外销售",0,ROUND(N($J3424)*IF($P3424="",N($O3424),N($P3424)),0)))</f>
        <v/>
      </c>
      <c r="R3424" s="26">
        <f>IF($D3424="","",IFERROR(VLOOKUP($D3424,库存台账!$A$5:$Y$1204,11,0),0))</f>
        <v/>
      </c>
      <c r="S3424" s="26">
        <f>IF($D3424="","",ROUND(N($J3424)*N($R3424),0))</f>
        <v/>
      </c>
      <c r="T3424" s="26">
        <f>IF($D3424="","",IF($K3424&lt;&gt;"对外销售","",ROUND($Q3424-$S3424,0)))</f>
        <v/>
      </c>
      <c r="U3424" s="17" t="n"/>
      <c r="V3424" s="17" t="n"/>
      <c r="W3424" s="24">
        <f>IF($D3424="","",IF($E3424="※编码不在物料档案里","※物料编码不在档案里",IF(N($J3424)&lt;=0,"※出库数量要大于 0",IF($K3424="","※没填去向类型",IF($L3424="","※没填去向矿区",IF(AND($C3424&lt;&gt;"",$C3424&lt;=结账锁),"※日期早于已结账截止日，不能再录",IF(AND($K3424="自用消耗",COUNTIF({"一矿区";"二矿区"},$L3424)=0),"※自用消耗的去向只能是一矿区或二矿区",IF(AND($K3424="对外销售",COUNTIF({"三矿区";"六矿区"},$L3424)=0),"※对外销售的去向只能是三矿区或六矿区",IF(AND($K3424="对外销售",ROUND($Q3424,0)=0),"※外销却没有售价，请填实际售价",IF(AND($K3424="对外销售",$T3424&lt;&gt;"",$T3424&lt;0),"※这一笔外销是亏的，请核对售价",IF(IFERROR(VLOOKUP($D3424,库存台账!$A$5:$Y$1204,24,0),0)&lt;-0.001,"※这个物料账面已经变成负数了，查一下是不是漏记入库","")))))))))))</f>
        <v/>
      </c>
    </row>
    <row r="3425">
      <c r="A3425" s="24">
        <f>IF($D3425="","",COUNTA($D$4:$D3425))</f>
        <v/>
      </c>
      <c r="B3425" s="17" t="n"/>
      <c r="C3425" s="30" t="n"/>
      <c r="D3425" s="17" t="n"/>
      <c r="E3425" s="24">
        <f>IF($D3425="","",IFERROR(VLOOKUP($D3425,物料档案!$A$4:$P$1203,3,0),"※编码不在物料档案里"))</f>
        <v/>
      </c>
      <c r="F3425" s="24">
        <f>IF($D3425="","",IFERROR(VLOOKUP($D3425,物料档案!$A$4:$P$1203,4,0),"※编码不在物料档案里"))</f>
        <v/>
      </c>
      <c r="G3425" s="24">
        <f>IF($D3425="","",IFERROR(VLOOKUP($D3425,物料档案!$A$4:$P$1203,5,0),"※编码不在物料档案里"))</f>
        <v/>
      </c>
      <c r="H3425" s="24">
        <f>IF($D3425="","",IFERROR(VLOOKUP($D3425,物料档案!$A$4:$P$1203,2,0),"※编码不在物料档案里"))</f>
        <v/>
      </c>
      <c r="I3425" s="24">
        <f>IF($D3425="","",IFERROR(VLOOKUP($D3425,物料档案!$A$4:$P$1203,6,0),"※编码不在物料档案里"))</f>
        <v/>
      </c>
      <c r="J3425" s="23" t="n"/>
      <c r="K3425" s="17" t="n"/>
      <c r="L3425" s="17" t="n"/>
      <c r="M3425" s="17" t="n"/>
      <c r="N3425" s="17" t="n"/>
      <c r="O3425" s="26">
        <f>IF($D3425="","",IFERROR(VLOOKUP($D3425,物料档案!$A$4:$P$1203,10,0),0))</f>
        <v/>
      </c>
      <c r="P3425" s="32" t="n"/>
      <c r="Q3425" s="26">
        <f>IF($D3425="","",IF($K3425&lt;&gt;"对外销售",0,ROUND(N($J3425)*IF($P3425="",N($O3425),N($P3425)),0)))</f>
        <v/>
      </c>
      <c r="R3425" s="26">
        <f>IF($D3425="","",IFERROR(VLOOKUP($D3425,库存台账!$A$5:$Y$1204,11,0),0))</f>
        <v/>
      </c>
      <c r="S3425" s="26">
        <f>IF($D3425="","",ROUND(N($J3425)*N($R3425),0))</f>
        <v/>
      </c>
      <c r="T3425" s="26">
        <f>IF($D3425="","",IF($K3425&lt;&gt;"对外销售","",ROUND($Q3425-$S3425,0)))</f>
        <v/>
      </c>
      <c r="U3425" s="17" t="n"/>
      <c r="V3425" s="17" t="n"/>
      <c r="W3425" s="24">
        <f>IF($D3425="","",IF($E3425="※编码不在物料档案里","※物料编码不在档案里",IF(N($J3425)&lt;=0,"※出库数量要大于 0",IF($K3425="","※没填去向类型",IF($L3425="","※没填去向矿区",IF(AND($C3425&lt;&gt;"",$C3425&lt;=结账锁),"※日期早于已结账截止日，不能再录",IF(AND($K3425="自用消耗",COUNTIF({"一矿区";"二矿区"},$L3425)=0),"※自用消耗的去向只能是一矿区或二矿区",IF(AND($K3425="对外销售",COUNTIF({"三矿区";"六矿区"},$L3425)=0),"※对外销售的去向只能是三矿区或六矿区",IF(AND($K3425="对外销售",ROUND($Q3425,0)=0),"※外销却没有售价，请填实际售价",IF(AND($K3425="对外销售",$T3425&lt;&gt;"",$T3425&lt;0),"※这一笔外销是亏的，请核对售价",IF(IFERROR(VLOOKUP($D3425,库存台账!$A$5:$Y$1204,24,0),0)&lt;-0.001,"※这个物料账面已经变成负数了，查一下是不是漏记入库","")))))))))))</f>
        <v/>
      </c>
    </row>
    <row r="3426">
      <c r="A3426" s="24">
        <f>IF($D3426="","",COUNTA($D$4:$D3426))</f>
        <v/>
      </c>
      <c r="B3426" s="17" t="n"/>
      <c r="C3426" s="30" t="n"/>
      <c r="D3426" s="17" t="n"/>
      <c r="E3426" s="24">
        <f>IF($D3426="","",IFERROR(VLOOKUP($D3426,物料档案!$A$4:$P$1203,3,0),"※编码不在物料档案里"))</f>
        <v/>
      </c>
      <c r="F3426" s="24">
        <f>IF($D3426="","",IFERROR(VLOOKUP($D3426,物料档案!$A$4:$P$1203,4,0),"※编码不在物料档案里"))</f>
        <v/>
      </c>
      <c r="G3426" s="24">
        <f>IF($D3426="","",IFERROR(VLOOKUP($D3426,物料档案!$A$4:$P$1203,5,0),"※编码不在物料档案里"))</f>
        <v/>
      </c>
      <c r="H3426" s="24">
        <f>IF($D3426="","",IFERROR(VLOOKUP($D3426,物料档案!$A$4:$P$1203,2,0),"※编码不在物料档案里"))</f>
        <v/>
      </c>
      <c r="I3426" s="24">
        <f>IF($D3426="","",IFERROR(VLOOKUP($D3426,物料档案!$A$4:$P$1203,6,0),"※编码不在物料档案里"))</f>
        <v/>
      </c>
      <c r="J3426" s="23" t="n"/>
      <c r="K3426" s="17" t="n"/>
      <c r="L3426" s="17" t="n"/>
      <c r="M3426" s="17" t="n"/>
      <c r="N3426" s="17" t="n"/>
      <c r="O3426" s="26">
        <f>IF($D3426="","",IFERROR(VLOOKUP($D3426,物料档案!$A$4:$P$1203,10,0),0))</f>
        <v/>
      </c>
      <c r="P3426" s="32" t="n"/>
      <c r="Q3426" s="26">
        <f>IF($D3426="","",IF($K3426&lt;&gt;"对外销售",0,ROUND(N($J3426)*IF($P3426="",N($O3426),N($P3426)),0)))</f>
        <v/>
      </c>
      <c r="R3426" s="26">
        <f>IF($D3426="","",IFERROR(VLOOKUP($D3426,库存台账!$A$5:$Y$1204,11,0),0))</f>
        <v/>
      </c>
      <c r="S3426" s="26">
        <f>IF($D3426="","",ROUND(N($J3426)*N($R3426),0))</f>
        <v/>
      </c>
      <c r="T3426" s="26">
        <f>IF($D3426="","",IF($K3426&lt;&gt;"对外销售","",ROUND($Q3426-$S3426,0)))</f>
        <v/>
      </c>
      <c r="U3426" s="17" t="n"/>
      <c r="V3426" s="17" t="n"/>
      <c r="W3426" s="24">
        <f>IF($D3426="","",IF($E3426="※编码不在物料档案里","※物料编码不在档案里",IF(N($J3426)&lt;=0,"※出库数量要大于 0",IF($K3426="","※没填去向类型",IF($L3426="","※没填去向矿区",IF(AND($C3426&lt;&gt;"",$C3426&lt;=结账锁),"※日期早于已结账截止日，不能再录",IF(AND($K3426="自用消耗",COUNTIF({"一矿区";"二矿区"},$L3426)=0),"※自用消耗的去向只能是一矿区或二矿区",IF(AND($K3426="对外销售",COUNTIF({"三矿区";"六矿区"},$L3426)=0),"※对外销售的去向只能是三矿区或六矿区",IF(AND($K3426="对外销售",ROUND($Q3426,0)=0),"※外销却没有售价，请填实际售价",IF(AND($K3426="对外销售",$T3426&lt;&gt;"",$T3426&lt;0),"※这一笔外销是亏的，请核对售价",IF(IFERROR(VLOOKUP($D3426,库存台账!$A$5:$Y$1204,24,0),0)&lt;-0.001,"※这个物料账面已经变成负数了，查一下是不是漏记入库","")))))))))))</f>
        <v/>
      </c>
    </row>
    <row r="3427">
      <c r="A3427" s="24">
        <f>IF($D3427="","",COUNTA($D$4:$D3427))</f>
        <v/>
      </c>
      <c r="B3427" s="17" t="n"/>
      <c r="C3427" s="30" t="n"/>
      <c r="D3427" s="17" t="n"/>
      <c r="E3427" s="24">
        <f>IF($D3427="","",IFERROR(VLOOKUP($D3427,物料档案!$A$4:$P$1203,3,0),"※编码不在物料档案里"))</f>
        <v/>
      </c>
      <c r="F3427" s="24">
        <f>IF($D3427="","",IFERROR(VLOOKUP($D3427,物料档案!$A$4:$P$1203,4,0),"※编码不在物料档案里"))</f>
        <v/>
      </c>
      <c r="G3427" s="24">
        <f>IF($D3427="","",IFERROR(VLOOKUP($D3427,物料档案!$A$4:$P$1203,5,0),"※编码不在物料档案里"))</f>
        <v/>
      </c>
      <c r="H3427" s="24">
        <f>IF($D3427="","",IFERROR(VLOOKUP($D3427,物料档案!$A$4:$P$1203,2,0),"※编码不在物料档案里"))</f>
        <v/>
      </c>
      <c r="I3427" s="24">
        <f>IF($D3427="","",IFERROR(VLOOKUP($D3427,物料档案!$A$4:$P$1203,6,0),"※编码不在物料档案里"))</f>
        <v/>
      </c>
      <c r="J3427" s="23" t="n"/>
      <c r="K3427" s="17" t="n"/>
      <c r="L3427" s="17" t="n"/>
      <c r="M3427" s="17" t="n"/>
      <c r="N3427" s="17" t="n"/>
      <c r="O3427" s="26">
        <f>IF($D3427="","",IFERROR(VLOOKUP($D3427,物料档案!$A$4:$P$1203,10,0),0))</f>
        <v/>
      </c>
      <c r="P3427" s="32" t="n"/>
      <c r="Q3427" s="26">
        <f>IF($D3427="","",IF($K3427&lt;&gt;"对外销售",0,ROUND(N($J3427)*IF($P3427="",N($O3427),N($P3427)),0)))</f>
        <v/>
      </c>
      <c r="R3427" s="26">
        <f>IF($D3427="","",IFERROR(VLOOKUP($D3427,库存台账!$A$5:$Y$1204,11,0),0))</f>
        <v/>
      </c>
      <c r="S3427" s="26">
        <f>IF($D3427="","",ROUND(N($J3427)*N($R3427),0))</f>
        <v/>
      </c>
      <c r="T3427" s="26">
        <f>IF($D3427="","",IF($K3427&lt;&gt;"对外销售","",ROUND($Q3427-$S3427,0)))</f>
        <v/>
      </c>
      <c r="U3427" s="17" t="n"/>
      <c r="V3427" s="17" t="n"/>
      <c r="W3427" s="24">
        <f>IF($D3427="","",IF($E3427="※编码不在物料档案里","※物料编码不在档案里",IF(N($J3427)&lt;=0,"※出库数量要大于 0",IF($K3427="","※没填去向类型",IF($L3427="","※没填去向矿区",IF(AND($C3427&lt;&gt;"",$C3427&lt;=结账锁),"※日期早于已结账截止日，不能再录",IF(AND($K3427="自用消耗",COUNTIF({"一矿区";"二矿区"},$L3427)=0),"※自用消耗的去向只能是一矿区或二矿区",IF(AND($K3427="对外销售",COUNTIF({"三矿区";"六矿区"},$L3427)=0),"※对外销售的去向只能是三矿区或六矿区",IF(AND($K3427="对外销售",ROUND($Q3427,0)=0),"※外销却没有售价，请填实际售价",IF(AND($K3427="对外销售",$T3427&lt;&gt;"",$T3427&lt;0),"※这一笔外销是亏的，请核对售价",IF(IFERROR(VLOOKUP($D3427,库存台账!$A$5:$Y$1204,24,0),0)&lt;-0.001,"※这个物料账面已经变成负数了，查一下是不是漏记入库","")))))))))))</f>
        <v/>
      </c>
    </row>
    <row r="3428">
      <c r="A3428" s="24">
        <f>IF($D3428="","",COUNTA($D$4:$D3428))</f>
        <v/>
      </c>
      <c r="B3428" s="17" t="n"/>
      <c r="C3428" s="30" t="n"/>
      <c r="D3428" s="17" t="n"/>
      <c r="E3428" s="24">
        <f>IF($D3428="","",IFERROR(VLOOKUP($D3428,物料档案!$A$4:$P$1203,3,0),"※编码不在物料档案里"))</f>
        <v/>
      </c>
      <c r="F3428" s="24">
        <f>IF($D3428="","",IFERROR(VLOOKUP($D3428,物料档案!$A$4:$P$1203,4,0),"※编码不在物料档案里"))</f>
        <v/>
      </c>
      <c r="G3428" s="24">
        <f>IF($D3428="","",IFERROR(VLOOKUP($D3428,物料档案!$A$4:$P$1203,5,0),"※编码不在物料档案里"))</f>
        <v/>
      </c>
      <c r="H3428" s="24">
        <f>IF($D3428="","",IFERROR(VLOOKUP($D3428,物料档案!$A$4:$P$1203,2,0),"※编码不在物料档案里"))</f>
        <v/>
      </c>
      <c r="I3428" s="24">
        <f>IF($D3428="","",IFERROR(VLOOKUP($D3428,物料档案!$A$4:$P$1203,6,0),"※编码不在物料档案里"))</f>
        <v/>
      </c>
      <c r="J3428" s="23" t="n"/>
      <c r="K3428" s="17" t="n"/>
      <c r="L3428" s="17" t="n"/>
      <c r="M3428" s="17" t="n"/>
      <c r="N3428" s="17" t="n"/>
      <c r="O3428" s="26">
        <f>IF($D3428="","",IFERROR(VLOOKUP($D3428,物料档案!$A$4:$P$1203,10,0),0))</f>
        <v/>
      </c>
      <c r="P3428" s="32" t="n"/>
      <c r="Q3428" s="26">
        <f>IF($D3428="","",IF($K3428&lt;&gt;"对外销售",0,ROUND(N($J3428)*IF($P3428="",N($O3428),N($P3428)),0)))</f>
        <v/>
      </c>
      <c r="R3428" s="26">
        <f>IF($D3428="","",IFERROR(VLOOKUP($D3428,库存台账!$A$5:$Y$1204,11,0),0))</f>
        <v/>
      </c>
      <c r="S3428" s="26">
        <f>IF($D3428="","",ROUND(N($J3428)*N($R3428),0))</f>
        <v/>
      </c>
      <c r="T3428" s="26">
        <f>IF($D3428="","",IF($K3428&lt;&gt;"对外销售","",ROUND($Q3428-$S3428,0)))</f>
        <v/>
      </c>
      <c r="U3428" s="17" t="n"/>
      <c r="V3428" s="17" t="n"/>
      <c r="W3428" s="24">
        <f>IF($D3428="","",IF($E3428="※编码不在物料档案里","※物料编码不在档案里",IF(N($J3428)&lt;=0,"※出库数量要大于 0",IF($K3428="","※没填去向类型",IF($L3428="","※没填去向矿区",IF(AND($C3428&lt;&gt;"",$C3428&lt;=结账锁),"※日期早于已结账截止日，不能再录",IF(AND($K3428="自用消耗",COUNTIF({"一矿区";"二矿区"},$L3428)=0),"※自用消耗的去向只能是一矿区或二矿区",IF(AND($K3428="对外销售",COUNTIF({"三矿区";"六矿区"},$L3428)=0),"※对外销售的去向只能是三矿区或六矿区",IF(AND($K3428="对外销售",ROUND($Q3428,0)=0),"※外销却没有售价，请填实际售价",IF(AND($K3428="对外销售",$T3428&lt;&gt;"",$T3428&lt;0),"※这一笔外销是亏的，请核对售价",IF(IFERROR(VLOOKUP($D3428,库存台账!$A$5:$Y$1204,24,0),0)&lt;-0.001,"※这个物料账面已经变成负数了，查一下是不是漏记入库","")))))))))))</f>
        <v/>
      </c>
    </row>
    <row r="3429">
      <c r="A3429" s="24">
        <f>IF($D3429="","",COUNTA($D$4:$D3429))</f>
        <v/>
      </c>
      <c r="B3429" s="17" t="n"/>
      <c r="C3429" s="30" t="n"/>
      <c r="D3429" s="17" t="n"/>
      <c r="E3429" s="24">
        <f>IF($D3429="","",IFERROR(VLOOKUP($D3429,物料档案!$A$4:$P$1203,3,0),"※编码不在物料档案里"))</f>
        <v/>
      </c>
      <c r="F3429" s="24">
        <f>IF($D3429="","",IFERROR(VLOOKUP($D3429,物料档案!$A$4:$P$1203,4,0),"※编码不在物料档案里"))</f>
        <v/>
      </c>
      <c r="G3429" s="24">
        <f>IF($D3429="","",IFERROR(VLOOKUP($D3429,物料档案!$A$4:$P$1203,5,0),"※编码不在物料档案里"))</f>
        <v/>
      </c>
      <c r="H3429" s="24">
        <f>IF($D3429="","",IFERROR(VLOOKUP($D3429,物料档案!$A$4:$P$1203,2,0),"※编码不在物料档案里"))</f>
        <v/>
      </c>
      <c r="I3429" s="24">
        <f>IF($D3429="","",IFERROR(VLOOKUP($D3429,物料档案!$A$4:$P$1203,6,0),"※编码不在物料档案里"))</f>
        <v/>
      </c>
      <c r="J3429" s="23" t="n"/>
      <c r="K3429" s="17" t="n"/>
      <c r="L3429" s="17" t="n"/>
      <c r="M3429" s="17" t="n"/>
      <c r="N3429" s="17" t="n"/>
      <c r="O3429" s="26">
        <f>IF($D3429="","",IFERROR(VLOOKUP($D3429,物料档案!$A$4:$P$1203,10,0),0))</f>
        <v/>
      </c>
      <c r="P3429" s="32" t="n"/>
      <c r="Q3429" s="26">
        <f>IF($D3429="","",IF($K3429&lt;&gt;"对外销售",0,ROUND(N($J3429)*IF($P3429="",N($O3429),N($P3429)),0)))</f>
        <v/>
      </c>
      <c r="R3429" s="26">
        <f>IF($D3429="","",IFERROR(VLOOKUP($D3429,库存台账!$A$5:$Y$1204,11,0),0))</f>
        <v/>
      </c>
      <c r="S3429" s="26">
        <f>IF($D3429="","",ROUND(N($J3429)*N($R3429),0))</f>
        <v/>
      </c>
      <c r="T3429" s="26">
        <f>IF($D3429="","",IF($K3429&lt;&gt;"对外销售","",ROUND($Q3429-$S3429,0)))</f>
        <v/>
      </c>
      <c r="U3429" s="17" t="n"/>
      <c r="V3429" s="17" t="n"/>
      <c r="W3429" s="24">
        <f>IF($D3429="","",IF($E3429="※编码不在物料档案里","※物料编码不在档案里",IF(N($J3429)&lt;=0,"※出库数量要大于 0",IF($K3429="","※没填去向类型",IF($L3429="","※没填去向矿区",IF(AND($C3429&lt;&gt;"",$C3429&lt;=结账锁),"※日期早于已结账截止日，不能再录",IF(AND($K3429="自用消耗",COUNTIF({"一矿区";"二矿区"},$L3429)=0),"※自用消耗的去向只能是一矿区或二矿区",IF(AND($K3429="对外销售",COUNTIF({"三矿区";"六矿区"},$L3429)=0),"※对外销售的去向只能是三矿区或六矿区",IF(AND($K3429="对外销售",ROUND($Q3429,0)=0),"※外销却没有售价，请填实际售价",IF(AND($K3429="对外销售",$T3429&lt;&gt;"",$T3429&lt;0),"※这一笔外销是亏的，请核对售价",IF(IFERROR(VLOOKUP($D3429,库存台账!$A$5:$Y$1204,24,0),0)&lt;-0.001,"※这个物料账面已经变成负数了，查一下是不是漏记入库","")))))))))))</f>
        <v/>
      </c>
    </row>
    <row r="3430">
      <c r="A3430" s="24">
        <f>IF($D3430="","",COUNTA($D$4:$D3430))</f>
        <v/>
      </c>
      <c r="B3430" s="17" t="n"/>
      <c r="C3430" s="30" t="n"/>
      <c r="D3430" s="17" t="n"/>
      <c r="E3430" s="24">
        <f>IF($D3430="","",IFERROR(VLOOKUP($D3430,物料档案!$A$4:$P$1203,3,0),"※编码不在物料档案里"))</f>
        <v/>
      </c>
      <c r="F3430" s="24">
        <f>IF($D3430="","",IFERROR(VLOOKUP($D3430,物料档案!$A$4:$P$1203,4,0),"※编码不在物料档案里"))</f>
        <v/>
      </c>
      <c r="G3430" s="24">
        <f>IF($D3430="","",IFERROR(VLOOKUP($D3430,物料档案!$A$4:$P$1203,5,0),"※编码不在物料档案里"))</f>
        <v/>
      </c>
      <c r="H3430" s="24">
        <f>IF($D3430="","",IFERROR(VLOOKUP($D3430,物料档案!$A$4:$P$1203,2,0),"※编码不在物料档案里"))</f>
        <v/>
      </c>
      <c r="I3430" s="24">
        <f>IF($D3430="","",IFERROR(VLOOKUP($D3430,物料档案!$A$4:$P$1203,6,0),"※编码不在物料档案里"))</f>
        <v/>
      </c>
      <c r="J3430" s="23" t="n"/>
      <c r="K3430" s="17" t="n"/>
      <c r="L3430" s="17" t="n"/>
      <c r="M3430" s="17" t="n"/>
      <c r="N3430" s="17" t="n"/>
      <c r="O3430" s="26">
        <f>IF($D3430="","",IFERROR(VLOOKUP($D3430,物料档案!$A$4:$P$1203,10,0),0))</f>
        <v/>
      </c>
      <c r="P3430" s="32" t="n"/>
      <c r="Q3430" s="26">
        <f>IF($D3430="","",IF($K3430&lt;&gt;"对外销售",0,ROUND(N($J3430)*IF($P3430="",N($O3430),N($P3430)),0)))</f>
        <v/>
      </c>
      <c r="R3430" s="26">
        <f>IF($D3430="","",IFERROR(VLOOKUP($D3430,库存台账!$A$5:$Y$1204,11,0),0))</f>
        <v/>
      </c>
      <c r="S3430" s="26">
        <f>IF($D3430="","",ROUND(N($J3430)*N($R3430),0))</f>
        <v/>
      </c>
      <c r="T3430" s="26">
        <f>IF($D3430="","",IF($K3430&lt;&gt;"对外销售","",ROUND($Q3430-$S3430,0)))</f>
        <v/>
      </c>
      <c r="U3430" s="17" t="n"/>
      <c r="V3430" s="17" t="n"/>
      <c r="W3430" s="24">
        <f>IF($D3430="","",IF($E3430="※编码不在物料档案里","※物料编码不在档案里",IF(N($J3430)&lt;=0,"※出库数量要大于 0",IF($K3430="","※没填去向类型",IF($L3430="","※没填去向矿区",IF(AND($C3430&lt;&gt;"",$C3430&lt;=结账锁),"※日期早于已结账截止日，不能再录",IF(AND($K3430="自用消耗",COUNTIF({"一矿区";"二矿区"},$L3430)=0),"※自用消耗的去向只能是一矿区或二矿区",IF(AND($K3430="对外销售",COUNTIF({"三矿区";"六矿区"},$L3430)=0),"※对外销售的去向只能是三矿区或六矿区",IF(AND($K3430="对外销售",ROUND($Q3430,0)=0),"※外销却没有售价，请填实际售价",IF(AND($K3430="对外销售",$T3430&lt;&gt;"",$T3430&lt;0),"※这一笔外销是亏的，请核对售价",IF(IFERROR(VLOOKUP($D3430,库存台账!$A$5:$Y$1204,24,0),0)&lt;-0.001,"※这个物料账面已经变成负数了，查一下是不是漏记入库","")))))))))))</f>
        <v/>
      </c>
    </row>
    <row r="3431">
      <c r="A3431" s="24">
        <f>IF($D3431="","",COUNTA($D$4:$D3431))</f>
        <v/>
      </c>
      <c r="B3431" s="17" t="n"/>
      <c r="C3431" s="30" t="n"/>
      <c r="D3431" s="17" t="n"/>
      <c r="E3431" s="24">
        <f>IF($D3431="","",IFERROR(VLOOKUP($D3431,物料档案!$A$4:$P$1203,3,0),"※编码不在物料档案里"))</f>
        <v/>
      </c>
      <c r="F3431" s="24">
        <f>IF($D3431="","",IFERROR(VLOOKUP($D3431,物料档案!$A$4:$P$1203,4,0),"※编码不在物料档案里"))</f>
        <v/>
      </c>
      <c r="G3431" s="24">
        <f>IF($D3431="","",IFERROR(VLOOKUP($D3431,物料档案!$A$4:$P$1203,5,0),"※编码不在物料档案里"))</f>
        <v/>
      </c>
      <c r="H3431" s="24">
        <f>IF($D3431="","",IFERROR(VLOOKUP($D3431,物料档案!$A$4:$P$1203,2,0),"※编码不在物料档案里"))</f>
        <v/>
      </c>
      <c r="I3431" s="24">
        <f>IF($D3431="","",IFERROR(VLOOKUP($D3431,物料档案!$A$4:$P$1203,6,0),"※编码不在物料档案里"))</f>
        <v/>
      </c>
      <c r="J3431" s="23" t="n"/>
      <c r="K3431" s="17" t="n"/>
      <c r="L3431" s="17" t="n"/>
      <c r="M3431" s="17" t="n"/>
      <c r="N3431" s="17" t="n"/>
      <c r="O3431" s="26">
        <f>IF($D3431="","",IFERROR(VLOOKUP($D3431,物料档案!$A$4:$P$1203,10,0),0))</f>
        <v/>
      </c>
      <c r="P3431" s="32" t="n"/>
      <c r="Q3431" s="26">
        <f>IF($D3431="","",IF($K3431&lt;&gt;"对外销售",0,ROUND(N($J3431)*IF($P3431="",N($O3431),N($P3431)),0)))</f>
        <v/>
      </c>
      <c r="R3431" s="26">
        <f>IF($D3431="","",IFERROR(VLOOKUP($D3431,库存台账!$A$5:$Y$1204,11,0),0))</f>
        <v/>
      </c>
      <c r="S3431" s="26">
        <f>IF($D3431="","",ROUND(N($J3431)*N($R3431),0))</f>
        <v/>
      </c>
      <c r="T3431" s="26">
        <f>IF($D3431="","",IF($K3431&lt;&gt;"对外销售","",ROUND($Q3431-$S3431,0)))</f>
        <v/>
      </c>
      <c r="U3431" s="17" t="n"/>
      <c r="V3431" s="17" t="n"/>
      <c r="W3431" s="24">
        <f>IF($D3431="","",IF($E3431="※编码不在物料档案里","※物料编码不在档案里",IF(N($J3431)&lt;=0,"※出库数量要大于 0",IF($K3431="","※没填去向类型",IF($L3431="","※没填去向矿区",IF(AND($C3431&lt;&gt;"",$C3431&lt;=结账锁),"※日期早于已结账截止日，不能再录",IF(AND($K3431="自用消耗",COUNTIF({"一矿区";"二矿区"},$L3431)=0),"※自用消耗的去向只能是一矿区或二矿区",IF(AND($K3431="对外销售",COUNTIF({"三矿区";"六矿区"},$L3431)=0),"※对外销售的去向只能是三矿区或六矿区",IF(AND($K3431="对外销售",ROUND($Q3431,0)=0),"※外销却没有售价，请填实际售价",IF(AND($K3431="对外销售",$T3431&lt;&gt;"",$T3431&lt;0),"※这一笔外销是亏的，请核对售价",IF(IFERROR(VLOOKUP($D3431,库存台账!$A$5:$Y$1204,24,0),0)&lt;-0.001,"※这个物料账面已经变成负数了，查一下是不是漏记入库","")))))))))))</f>
        <v/>
      </c>
    </row>
    <row r="3432">
      <c r="A3432" s="24">
        <f>IF($D3432="","",COUNTA($D$4:$D3432))</f>
        <v/>
      </c>
      <c r="B3432" s="17" t="n"/>
      <c r="C3432" s="30" t="n"/>
      <c r="D3432" s="17" t="n"/>
      <c r="E3432" s="24">
        <f>IF($D3432="","",IFERROR(VLOOKUP($D3432,物料档案!$A$4:$P$1203,3,0),"※编码不在物料档案里"))</f>
        <v/>
      </c>
      <c r="F3432" s="24">
        <f>IF($D3432="","",IFERROR(VLOOKUP($D3432,物料档案!$A$4:$P$1203,4,0),"※编码不在物料档案里"))</f>
        <v/>
      </c>
      <c r="G3432" s="24">
        <f>IF($D3432="","",IFERROR(VLOOKUP($D3432,物料档案!$A$4:$P$1203,5,0),"※编码不在物料档案里"))</f>
        <v/>
      </c>
      <c r="H3432" s="24">
        <f>IF($D3432="","",IFERROR(VLOOKUP($D3432,物料档案!$A$4:$P$1203,2,0),"※编码不在物料档案里"))</f>
        <v/>
      </c>
      <c r="I3432" s="24">
        <f>IF($D3432="","",IFERROR(VLOOKUP($D3432,物料档案!$A$4:$P$1203,6,0),"※编码不在物料档案里"))</f>
        <v/>
      </c>
      <c r="J3432" s="23" t="n"/>
      <c r="K3432" s="17" t="n"/>
      <c r="L3432" s="17" t="n"/>
      <c r="M3432" s="17" t="n"/>
      <c r="N3432" s="17" t="n"/>
      <c r="O3432" s="26">
        <f>IF($D3432="","",IFERROR(VLOOKUP($D3432,物料档案!$A$4:$P$1203,10,0),0))</f>
        <v/>
      </c>
      <c r="P3432" s="32" t="n"/>
      <c r="Q3432" s="26">
        <f>IF($D3432="","",IF($K3432&lt;&gt;"对外销售",0,ROUND(N($J3432)*IF($P3432="",N($O3432),N($P3432)),0)))</f>
        <v/>
      </c>
      <c r="R3432" s="26">
        <f>IF($D3432="","",IFERROR(VLOOKUP($D3432,库存台账!$A$5:$Y$1204,11,0),0))</f>
        <v/>
      </c>
      <c r="S3432" s="26">
        <f>IF($D3432="","",ROUND(N($J3432)*N($R3432),0))</f>
        <v/>
      </c>
      <c r="T3432" s="26">
        <f>IF($D3432="","",IF($K3432&lt;&gt;"对外销售","",ROUND($Q3432-$S3432,0)))</f>
        <v/>
      </c>
      <c r="U3432" s="17" t="n"/>
      <c r="V3432" s="17" t="n"/>
      <c r="W3432" s="24">
        <f>IF($D3432="","",IF($E3432="※编码不在物料档案里","※物料编码不在档案里",IF(N($J3432)&lt;=0,"※出库数量要大于 0",IF($K3432="","※没填去向类型",IF($L3432="","※没填去向矿区",IF(AND($C3432&lt;&gt;"",$C3432&lt;=结账锁),"※日期早于已结账截止日，不能再录",IF(AND($K3432="自用消耗",COUNTIF({"一矿区";"二矿区"},$L3432)=0),"※自用消耗的去向只能是一矿区或二矿区",IF(AND($K3432="对外销售",COUNTIF({"三矿区";"六矿区"},$L3432)=0),"※对外销售的去向只能是三矿区或六矿区",IF(AND($K3432="对外销售",ROUND($Q3432,0)=0),"※外销却没有售价，请填实际售价",IF(AND($K3432="对外销售",$T3432&lt;&gt;"",$T3432&lt;0),"※这一笔外销是亏的，请核对售价",IF(IFERROR(VLOOKUP($D3432,库存台账!$A$5:$Y$1204,24,0),0)&lt;-0.001,"※这个物料账面已经变成负数了，查一下是不是漏记入库","")))))))))))</f>
        <v/>
      </c>
    </row>
    <row r="3433">
      <c r="A3433" s="24">
        <f>IF($D3433="","",COUNTA($D$4:$D3433))</f>
        <v/>
      </c>
      <c r="B3433" s="17" t="n"/>
      <c r="C3433" s="30" t="n"/>
      <c r="D3433" s="17" t="n"/>
      <c r="E3433" s="24">
        <f>IF($D3433="","",IFERROR(VLOOKUP($D3433,物料档案!$A$4:$P$1203,3,0),"※编码不在物料档案里"))</f>
        <v/>
      </c>
      <c r="F3433" s="24">
        <f>IF($D3433="","",IFERROR(VLOOKUP($D3433,物料档案!$A$4:$P$1203,4,0),"※编码不在物料档案里"))</f>
        <v/>
      </c>
      <c r="G3433" s="24">
        <f>IF($D3433="","",IFERROR(VLOOKUP($D3433,物料档案!$A$4:$P$1203,5,0),"※编码不在物料档案里"))</f>
        <v/>
      </c>
      <c r="H3433" s="24">
        <f>IF($D3433="","",IFERROR(VLOOKUP($D3433,物料档案!$A$4:$P$1203,2,0),"※编码不在物料档案里"))</f>
        <v/>
      </c>
      <c r="I3433" s="24">
        <f>IF($D3433="","",IFERROR(VLOOKUP($D3433,物料档案!$A$4:$P$1203,6,0),"※编码不在物料档案里"))</f>
        <v/>
      </c>
      <c r="J3433" s="23" t="n"/>
      <c r="K3433" s="17" t="n"/>
      <c r="L3433" s="17" t="n"/>
      <c r="M3433" s="17" t="n"/>
      <c r="N3433" s="17" t="n"/>
      <c r="O3433" s="26">
        <f>IF($D3433="","",IFERROR(VLOOKUP($D3433,物料档案!$A$4:$P$1203,10,0),0))</f>
        <v/>
      </c>
      <c r="P3433" s="32" t="n"/>
      <c r="Q3433" s="26">
        <f>IF($D3433="","",IF($K3433&lt;&gt;"对外销售",0,ROUND(N($J3433)*IF($P3433="",N($O3433),N($P3433)),0)))</f>
        <v/>
      </c>
      <c r="R3433" s="26">
        <f>IF($D3433="","",IFERROR(VLOOKUP($D3433,库存台账!$A$5:$Y$1204,11,0),0))</f>
        <v/>
      </c>
      <c r="S3433" s="26">
        <f>IF($D3433="","",ROUND(N($J3433)*N($R3433),0))</f>
        <v/>
      </c>
      <c r="T3433" s="26">
        <f>IF($D3433="","",IF($K3433&lt;&gt;"对外销售","",ROUND($Q3433-$S3433,0)))</f>
        <v/>
      </c>
      <c r="U3433" s="17" t="n"/>
      <c r="V3433" s="17" t="n"/>
      <c r="W3433" s="24">
        <f>IF($D3433="","",IF($E3433="※编码不在物料档案里","※物料编码不在档案里",IF(N($J3433)&lt;=0,"※出库数量要大于 0",IF($K3433="","※没填去向类型",IF($L3433="","※没填去向矿区",IF(AND($C3433&lt;&gt;"",$C3433&lt;=结账锁),"※日期早于已结账截止日，不能再录",IF(AND($K3433="自用消耗",COUNTIF({"一矿区";"二矿区"},$L3433)=0),"※自用消耗的去向只能是一矿区或二矿区",IF(AND($K3433="对外销售",COUNTIF({"三矿区";"六矿区"},$L3433)=0),"※对外销售的去向只能是三矿区或六矿区",IF(AND($K3433="对外销售",ROUND($Q3433,0)=0),"※外销却没有售价，请填实际售价",IF(AND($K3433="对外销售",$T3433&lt;&gt;"",$T3433&lt;0),"※这一笔外销是亏的，请核对售价",IF(IFERROR(VLOOKUP($D3433,库存台账!$A$5:$Y$1204,24,0),0)&lt;-0.001,"※这个物料账面已经变成负数了，查一下是不是漏记入库","")))))))))))</f>
        <v/>
      </c>
    </row>
    <row r="3434">
      <c r="A3434" s="24">
        <f>IF($D3434="","",COUNTA($D$4:$D3434))</f>
        <v/>
      </c>
      <c r="B3434" s="17" t="n"/>
      <c r="C3434" s="30" t="n"/>
      <c r="D3434" s="17" t="n"/>
      <c r="E3434" s="24">
        <f>IF($D3434="","",IFERROR(VLOOKUP($D3434,物料档案!$A$4:$P$1203,3,0),"※编码不在物料档案里"))</f>
        <v/>
      </c>
      <c r="F3434" s="24">
        <f>IF($D3434="","",IFERROR(VLOOKUP($D3434,物料档案!$A$4:$P$1203,4,0),"※编码不在物料档案里"))</f>
        <v/>
      </c>
      <c r="G3434" s="24">
        <f>IF($D3434="","",IFERROR(VLOOKUP($D3434,物料档案!$A$4:$P$1203,5,0),"※编码不在物料档案里"))</f>
        <v/>
      </c>
      <c r="H3434" s="24">
        <f>IF($D3434="","",IFERROR(VLOOKUP($D3434,物料档案!$A$4:$P$1203,2,0),"※编码不在物料档案里"))</f>
        <v/>
      </c>
      <c r="I3434" s="24">
        <f>IF($D3434="","",IFERROR(VLOOKUP($D3434,物料档案!$A$4:$P$1203,6,0),"※编码不在物料档案里"))</f>
        <v/>
      </c>
      <c r="J3434" s="23" t="n"/>
      <c r="K3434" s="17" t="n"/>
      <c r="L3434" s="17" t="n"/>
      <c r="M3434" s="17" t="n"/>
      <c r="N3434" s="17" t="n"/>
      <c r="O3434" s="26">
        <f>IF($D3434="","",IFERROR(VLOOKUP($D3434,物料档案!$A$4:$P$1203,10,0),0))</f>
        <v/>
      </c>
      <c r="P3434" s="32" t="n"/>
      <c r="Q3434" s="26">
        <f>IF($D3434="","",IF($K3434&lt;&gt;"对外销售",0,ROUND(N($J3434)*IF($P3434="",N($O3434),N($P3434)),0)))</f>
        <v/>
      </c>
      <c r="R3434" s="26">
        <f>IF($D3434="","",IFERROR(VLOOKUP($D3434,库存台账!$A$5:$Y$1204,11,0),0))</f>
        <v/>
      </c>
      <c r="S3434" s="26">
        <f>IF($D3434="","",ROUND(N($J3434)*N($R3434),0))</f>
        <v/>
      </c>
      <c r="T3434" s="26">
        <f>IF($D3434="","",IF($K3434&lt;&gt;"对外销售","",ROUND($Q3434-$S3434,0)))</f>
        <v/>
      </c>
      <c r="U3434" s="17" t="n"/>
      <c r="V3434" s="17" t="n"/>
      <c r="W3434" s="24">
        <f>IF($D3434="","",IF($E3434="※编码不在物料档案里","※物料编码不在档案里",IF(N($J3434)&lt;=0,"※出库数量要大于 0",IF($K3434="","※没填去向类型",IF($L3434="","※没填去向矿区",IF(AND($C3434&lt;&gt;"",$C3434&lt;=结账锁),"※日期早于已结账截止日，不能再录",IF(AND($K3434="自用消耗",COUNTIF({"一矿区";"二矿区"},$L3434)=0),"※自用消耗的去向只能是一矿区或二矿区",IF(AND($K3434="对外销售",COUNTIF({"三矿区";"六矿区"},$L3434)=0),"※对外销售的去向只能是三矿区或六矿区",IF(AND($K3434="对外销售",ROUND($Q3434,0)=0),"※外销却没有售价，请填实际售价",IF(AND($K3434="对外销售",$T3434&lt;&gt;"",$T3434&lt;0),"※这一笔外销是亏的，请核对售价",IF(IFERROR(VLOOKUP($D3434,库存台账!$A$5:$Y$1204,24,0),0)&lt;-0.001,"※这个物料账面已经变成负数了，查一下是不是漏记入库","")))))))))))</f>
        <v/>
      </c>
    </row>
    <row r="3435">
      <c r="A3435" s="24">
        <f>IF($D3435="","",COUNTA($D$4:$D3435))</f>
        <v/>
      </c>
      <c r="B3435" s="17" t="n"/>
      <c r="C3435" s="30" t="n"/>
      <c r="D3435" s="17" t="n"/>
      <c r="E3435" s="24">
        <f>IF($D3435="","",IFERROR(VLOOKUP($D3435,物料档案!$A$4:$P$1203,3,0),"※编码不在物料档案里"))</f>
        <v/>
      </c>
      <c r="F3435" s="24">
        <f>IF($D3435="","",IFERROR(VLOOKUP($D3435,物料档案!$A$4:$P$1203,4,0),"※编码不在物料档案里"))</f>
        <v/>
      </c>
      <c r="G3435" s="24">
        <f>IF($D3435="","",IFERROR(VLOOKUP($D3435,物料档案!$A$4:$P$1203,5,0),"※编码不在物料档案里"))</f>
        <v/>
      </c>
      <c r="H3435" s="24">
        <f>IF($D3435="","",IFERROR(VLOOKUP($D3435,物料档案!$A$4:$P$1203,2,0),"※编码不在物料档案里"))</f>
        <v/>
      </c>
      <c r="I3435" s="24">
        <f>IF($D3435="","",IFERROR(VLOOKUP($D3435,物料档案!$A$4:$P$1203,6,0),"※编码不在物料档案里"))</f>
        <v/>
      </c>
      <c r="J3435" s="23" t="n"/>
      <c r="K3435" s="17" t="n"/>
      <c r="L3435" s="17" t="n"/>
      <c r="M3435" s="17" t="n"/>
      <c r="N3435" s="17" t="n"/>
      <c r="O3435" s="26">
        <f>IF($D3435="","",IFERROR(VLOOKUP($D3435,物料档案!$A$4:$P$1203,10,0),0))</f>
        <v/>
      </c>
      <c r="P3435" s="32" t="n"/>
      <c r="Q3435" s="26">
        <f>IF($D3435="","",IF($K3435&lt;&gt;"对外销售",0,ROUND(N($J3435)*IF($P3435="",N($O3435),N($P3435)),0)))</f>
        <v/>
      </c>
      <c r="R3435" s="26">
        <f>IF($D3435="","",IFERROR(VLOOKUP($D3435,库存台账!$A$5:$Y$1204,11,0),0))</f>
        <v/>
      </c>
      <c r="S3435" s="26">
        <f>IF($D3435="","",ROUND(N($J3435)*N($R3435),0))</f>
        <v/>
      </c>
      <c r="T3435" s="26">
        <f>IF($D3435="","",IF($K3435&lt;&gt;"对外销售","",ROUND($Q3435-$S3435,0)))</f>
        <v/>
      </c>
      <c r="U3435" s="17" t="n"/>
      <c r="V3435" s="17" t="n"/>
      <c r="W3435" s="24">
        <f>IF($D3435="","",IF($E3435="※编码不在物料档案里","※物料编码不在档案里",IF(N($J3435)&lt;=0,"※出库数量要大于 0",IF($K3435="","※没填去向类型",IF($L3435="","※没填去向矿区",IF(AND($C3435&lt;&gt;"",$C3435&lt;=结账锁),"※日期早于已结账截止日，不能再录",IF(AND($K3435="自用消耗",COUNTIF({"一矿区";"二矿区"},$L3435)=0),"※自用消耗的去向只能是一矿区或二矿区",IF(AND($K3435="对外销售",COUNTIF({"三矿区";"六矿区"},$L3435)=0),"※对外销售的去向只能是三矿区或六矿区",IF(AND($K3435="对外销售",ROUND($Q3435,0)=0),"※外销却没有售价，请填实际售价",IF(AND($K3435="对外销售",$T3435&lt;&gt;"",$T3435&lt;0),"※这一笔外销是亏的，请核对售价",IF(IFERROR(VLOOKUP($D3435,库存台账!$A$5:$Y$1204,24,0),0)&lt;-0.001,"※这个物料账面已经变成负数了，查一下是不是漏记入库","")))))))))))</f>
        <v/>
      </c>
    </row>
    <row r="3436">
      <c r="A3436" s="24">
        <f>IF($D3436="","",COUNTA($D$4:$D3436))</f>
        <v/>
      </c>
      <c r="B3436" s="17" t="n"/>
      <c r="C3436" s="30" t="n"/>
      <c r="D3436" s="17" t="n"/>
      <c r="E3436" s="24">
        <f>IF($D3436="","",IFERROR(VLOOKUP($D3436,物料档案!$A$4:$P$1203,3,0),"※编码不在物料档案里"))</f>
        <v/>
      </c>
      <c r="F3436" s="24">
        <f>IF($D3436="","",IFERROR(VLOOKUP($D3436,物料档案!$A$4:$P$1203,4,0),"※编码不在物料档案里"))</f>
        <v/>
      </c>
      <c r="G3436" s="24">
        <f>IF($D3436="","",IFERROR(VLOOKUP($D3436,物料档案!$A$4:$P$1203,5,0),"※编码不在物料档案里"))</f>
        <v/>
      </c>
      <c r="H3436" s="24">
        <f>IF($D3436="","",IFERROR(VLOOKUP($D3436,物料档案!$A$4:$P$1203,2,0),"※编码不在物料档案里"))</f>
        <v/>
      </c>
      <c r="I3436" s="24">
        <f>IF($D3436="","",IFERROR(VLOOKUP($D3436,物料档案!$A$4:$P$1203,6,0),"※编码不在物料档案里"))</f>
        <v/>
      </c>
      <c r="J3436" s="23" t="n"/>
      <c r="K3436" s="17" t="n"/>
      <c r="L3436" s="17" t="n"/>
      <c r="M3436" s="17" t="n"/>
      <c r="N3436" s="17" t="n"/>
      <c r="O3436" s="26">
        <f>IF($D3436="","",IFERROR(VLOOKUP($D3436,物料档案!$A$4:$P$1203,10,0),0))</f>
        <v/>
      </c>
      <c r="P3436" s="32" t="n"/>
      <c r="Q3436" s="26">
        <f>IF($D3436="","",IF($K3436&lt;&gt;"对外销售",0,ROUND(N($J3436)*IF($P3436="",N($O3436),N($P3436)),0)))</f>
        <v/>
      </c>
      <c r="R3436" s="26">
        <f>IF($D3436="","",IFERROR(VLOOKUP($D3436,库存台账!$A$5:$Y$1204,11,0),0))</f>
        <v/>
      </c>
      <c r="S3436" s="26">
        <f>IF($D3436="","",ROUND(N($J3436)*N($R3436),0))</f>
        <v/>
      </c>
      <c r="T3436" s="26">
        <f>IF($D3436="","",IF($K3436&lt;&gt;"对外销售","",ROUND($Q3436-$S3436,0)))</f>
        <v/>
      </c>
      <c r="U3436" s="17" t="n"/>
      <c r="V3436" s="17" t="n"/>
      <c r="W3436" s="24">
        <f>IF($D3436="","",IF($E3436="※编码不在物料档案里","※物料编码不在档案里",IF(N($J3436)&lt;=0,"※出库数量要大于 0",IF($K3436="","※没填去向类型",IF($L3436="","※没填去向矿区",IF(AND($C3436&lt;&gt;"",$C3436&lt;=结账锁),"※日期早于已结账截止日，不能再录",IF(AND($K3436="自用消耗",COUNTIF({"一矿区";"二矿区"},$L3436)=0),"※自用消耗的去向只能是一矿区或二矿区",IF(AND($K3436="对外销售",COUNTIF({"三矿区";"六矿区"},$L3436)=0),"※对外销售的去向只能是三矿区或六矿区",IF(AND($K3436="对外销售",ROUND($Q3436,0)=0),"※外销却没有售价，请填实际售价",IF(AND($K3436="对外销售",$T3436&lt;&gt;"",$T3436&lt;0),"※这一笔外销是亏的，请核对售价",IF(IFERROR(VLOOKUP($D3436,库存台账!$A$5:$Y$1204,24,0),0)&lt;-0.001,"※这个物料账面已经变成负数了，查一下是不是漏记入库","")))))))))))</f>
        <v/>
      </c>
    </row>
    <row r="3437">
      <c r="A3437" s="24">
        <f>IF($D3437="","",COUNTA($D$4:$D3437))</f>
        <v/>
      </c>
      <c r="B3437" s="17" t="n"/>
      <c r="C3437" s="30" t="n"/>
      <c r="D3437" s="17" t="n"/>
      <c r="E3437" s="24">
        <f>IF($D3437="","",IFERROR(VLOOKUP($D3437,物料档案!$A$4:$P$1203,3,0),"※编码不在物料档案里"))</f>
        <v/>
      </c>
      <c r="F3437" s="24">
        <f>IF($D3437="","",IFERROR(VLOOKUP($D3437,物料档案!$A$4:$P$1203,4,0),"※编码不在物料档案里"))</f>
        <v/>
      </c>
      <c r="G3437" s="24">
        <f>IF($D3437="","",IFERROR(VLOOKUP($D3437,物料档案!$A$4:$P$1203,5,0),"※编码不在物料档案里"))</f>
        <v/>
      </c>
      <c r="H3437" s="24">
        <f>IF($D3437="","",IFERROR(VLOOKUP($D3437,物料档案!$A$4:$P$1203,2,0),"※编码不在物料档案里"))</f>
        <v/>
      </c>
      <c r="I3437" s="24">
        <f>IF($D3437="","",IFERROR(VLOOKUP($D3437,物料档案!$A$4:$P$1203,6,0),"※编码不在物料档案里"))</f>
        <v/>
      </c>
      <c r="J3437" s="23" t="n"/>
      <c r="K3437" s="17" t="n"/>
      <c r="L3437" s="17" t="n"/>
      <c r="M3437" s="17" t="n"/>
      <c r="N3437" s="17" t="n"/>
      <c r="O3437" s="26">
        <f>IF($D3437="","",IFERROR(VLOOKUP($D3437,物料档案!$A$4:$P$1203,10,0),0))</f>
        <v/>
      </c>
      <c r="P3437" s="32" t="n"/>
      <c r="Q3437" s="26">
        <f>IF($D3437="","",IF($K3437&lt;&gt;"对外销售",0,ROUND(N($J3437)*IF($P3437="",N($O3437),N($P3437)),0)))</f>
        <v/>
      </c>
      <c r="R3437" s="26">
        <f>IF($D3437="","",IFERROR(VLOOKUP($D3437,库存台账!$A$5:$Y$1204,11,0),0))</f>
        <v/>
      </c>
      <c r="S3437" s="26">
        <f>IF($D3437="","",ROUND(N($J3437)*N($R3437),0))</f>
        <v/>
      </c>
      <c r="T3437" s="26">
        <f>IF($D3437="","",IF($K3437&lt;&gt;"对外销售","",ROUND($Q3437-$S3437,0)))</f>
        <v/>
      </c>
      <c r="U3437" s="17" t="n"/>
      <c r="V3437" s="17" t="n"/>
      <c r="W3437" s="24">
        <f>IF($D3437="","",IF($E3437="※编码不在物料档案里","※物料编码不在档案里",IF(N($J3437)&lt;=0,"※出库数量要大于 0",IF($K3437="","※没填去向类型",IF($L3437="","※没填去向矿区",IF(AND($C3437&lt;&gt;"",$C3437&lt;=结账锁),"※日期早于已结账截止日，不能再录",IF(AND($K3437="自用消耗",COUNTIF({"一矿区";"二矿区"},$L3437)=0),"※自用消耗的去向只能是一矿区或二矿区",IF(AND($K3437="对外销售",COUNTIF({"三矿区";"六矿区"},$L3437)=0),"※对外销售的去向只能是三矿区或六矿区",IF(AND($K3437="对外销售",ROUND($Q3437,0)=0),"※外销却没有售价，请填实际售价",IF(AND($K3437="对外销售",$T3437&lt;&gt;"",$T3437&lt;0),"※这一笔外销是亏的，请核对售价",IF(IFERROR(VLOOKUP($D3437,库存台账!$A$5:$Y$1204,24,0),0)&lt;-0.001,"※这个物料账面已经变成负数了，查一下是不是漏记入库","")))))))))))</f>
        <v/>
      </c>
    </row>
    <row r="3438">
      <c r="A3438" s="24">
        <f>IF($D3438="","",COUNTA($D$4:$D3438))</f>
        <v/>
      </c>
      <c r="B3438" s="17" t="n"/>
      <c r="C3438" s="30" t="n"/>
      <c r="D3438" s="17" t="n"/>
      <c r="E3438" s="24">
        <f>IF($D3438="","",IFERROR(VLOOKUP($D3438,物料档案!$A$4:$P$1203,3,0),"※编码不在物料档案里"))</f>
        <v/>
      </c>
      <c r="F3438" s="24">
        <f>IF($D3438="","",IFERROR(VLOOKUP($D3438,物料档案!$A$4:$P$1203,4,0),"※编码不在物料档案里"))</f>
        <v/>
      </c>
      <c r="G3438" s="24">
        <f>IF($D3438="","",IFERROR(VLOOKUP($D3438,物料档案!$A$4:$P$1203,5,0),"※编码不在物料档案里"))</f>
        <v/>
      </c>
      <c r="H3438" s="24">
        <f>IF($D3438="","",IFERROR(VLOOKUP($D3438,物料档案!$A$4:$P$1203,2,0),"※编码不在物料档案里"))</f>
        <v/>
      </c>
      <c r="I3438" s="24">
        <f>IF($D3438="","",IFERROR(VLOOKUP($D3438,物料档案!$A$4:$P$1203,6,0),"※编码不在物料档案里"))</f>
        <v/>
      </c>
      <c r="J3438" s="23" t="n"/>
      <c r="K3438" s="17" t="n"/>
      <c r="L3438" s="17" t="n"/>
      <c r="M3438" s="17" t="n"/>
      <c r="N3438" s="17" t="n"/>
      <c r="O3438" s="26">
        <f>IF($D3438="","",IFERROR(VLOOKUP($D3438,物料档案!$A$4:$P$1203,10,0),0))</f>
        <v/>
      </c>
      <c r="P3438" s="32" t="n"/>
      <c r="Q3438" s="26">
        <f>IF($D3438="","",IF($K3438&lt;&gt;"对外销售",0,ROUND(N($J3438)*IF($P3438="",N($O3438),N($P3438)),0)))</f>
        <v/>
      </c>
      <c r="R3438" s="26">
        <f>IF($D3438="","",IFERROR(VLOOKUP($D3438,库存台账!$A$5:$Y$1204,11,0),0))</f>
        <v/>
      </c>
      <c r="S3438" s="26">
        <f>IF($D3438="","",ROUND(N($J3438)*N($R3438),0))</f>
        <v/>
      </c>
      <c r="T3438" s="26">
        <f>IF($D3438="","",IF($K3438&lt;&gt;"对外销售","",ROUND($Q3438-$S3438,0)))</f>
        <v/>
      </c>
      <c r="U3438" s="17" t="n"/>
      <c r="V3438" s="17" t="n"/>
      <c r="W3438" s="24">
        <f>IF($D3438="","",IF($E3438="※编码不在物料档案里","※物料编码不在档案里",IF(N($J3438)&lt;=0,"※出库数量要大于 0",IF($K3438="","※没填去向类型",IF($L3438="","※没填去向矿区",IF(AND($C3438&lt;&gt;"",$C3438&lt;=结账锁),"※日期早于已结账截止日，不能再录",IF(AND($K3438="自用消耗",COUNTIF({"一矿区";"二矿区"},$L3438)=0),"※自用消耗的去向只能是一矿区或二矿区",IF(AND($K3438="对外销售",COUNTIF({"三矿区";"六矿区"},$L3438)=0),"※对外销售的去向只能是三矿区或六矿区",IF(AND($K3438="对外销售",ROUND($Q3438,0)=0),"※外销却没有售价，请填实际售价",IF(AND($K3438="对外销售",$T3438&lt;&gt;"",$T3438&lt;0),"※这一笔外销是亏的，请核对售价",IF(IFERROR(VLOOKUP($D3438,库存台账!$A$5:$Y$1204,24,0),0)&lt;-0.001,"※这个物料账面已经变成负数了，查一下是不是漏记入库","")))))))))))</f>
        <v/>
      </c>
    </row>
    <row r="3439">
      <c r="A3439" s="24">
        <f>IF($D3439="","",COUNTA($D$4:$D3439))</f>
        <v/>
      </c>
      <c r="B3439" s="17" t="n"/>
      <c r="C3439" s="30" t="n"/>
      <c r="D3439" s="17" t="n"/>
      <c r="E3439" s="24">
        <f>IF($D3439="","",IFERROR(VLOOKUP($D3439,物料档案!$A$4:$P$1203,3,0),"※编码不在物料档案里"))</f>
        <v/>
      </c>
      <c r="F3439" s="24">
        <f>IF($D3439="","",IFERROR(VLOOKUP($D3439,物料档案!$A$4:$P$1203,4,0),"※编码不在物料档案里"))</f>
        <v/>
      </c>
      <c r="G3439" s="24">
        <f>IF($D3439="","",IFERROR(VLOOKUP($D3439,物料档案!$A$4:$P$1203,5,0),"※编码不在物料档案里"))</f>
        <v/>
      </c>
      <c r="H3439" s="24">
        <f>IF($D3439="","",IFERROR(VLOOKUP($D3439,物料档案!$A$4:$P$1203,2,0),"※编码不在物料档案里"))</f>
        <v/>
      </c>
      <c r="I3439" s="24">
        <f>IF($D3439="","",IFERROR(VLOOKUP($D3439,物料档案!$A$4:$P$1203,6,0),"※编码不在物料档案里"))</f>
        <v/>
      </c>
      <c r="J3439" s="23" t="n"/>
      <c r="K3439" s="17" t="n"/>
      <c r="L3439" s="17" t="n"/>
      <c r="M3439" s="17" t="n"/>
      <c r="N3439" s="17" t="n"/>
      <c r="O3439" s="26">
        <f>IF($D3439="","",IFERROR(VLOOKUP($D3439,物料档案!$A$4:$P$1203,10,0),0))</f>
        <v/>
      </c>
      <c r="P3439" s="32" t="n"/>
      <c r="Q3439" s="26">
        <f>IF($D3439="","",IF($K3439&lt;&gt;"对外销售",0,ROUND(N($J3439)*IF($P3439="",N($O3439),N($P3439)),0)))</f>
        <v/>
      </c>
      <c r="R3439" s="26">
        <f>IF($D3439="","",IFERROR(VLOOKUP($D3439,库存台账!$A$5:$Y$1204,11,0),0))</f>
        <v/>
      </c>
      <c r="S3439" s="26">
        <f>IF($D3439="","",ROUND(N($J3439)*N($R3439),0))</f>
        <v/>
      </c>
      <c r="T3439" s="26">
        <f>IF($D3439="","",IF($K3439&lt;&gt;"对外销售","",ROUND($Q3439-$S3439,0)))</f>
        <v/>
      </c>
      <c r="U3439" s="17" t="n"/>
      <c r="V3439" s="17" t="n"/>
      <c r="W3439" s="24">
        <f>IF($D3439="","",IF($E3439="※编码不在物料档案里","※物料编码不在档案里",IF(N($J3439)&lt;=0,"※出库数量要大于 0",IF($K3439="","※没填去向类型",IF($L3439="","※没填去向矿区",IF(AND($C3439&lt;&gt;"",$C3439&lt;=结账锁),"※日期早于已结账截止日，不能再录",IF(AND($K3439="自用消耗",COUNTIF({"一矿区";"二矿区"},$L3439)=0),"※自用消耗的去向只能是一矿区或二矿区",IF(AND($K3439="对外销售",COUNTIF({"三矿区";"六矿区"},$L3439)=0),"※对外销售的去向只能是三矿区或六矿区",IF(AND($K3439="对外销售",ROUND($Q3439,0)=0),"※外销却没有售价，请填实际售价",IF(AND($K3439="对外销售",$T3439&lt;&gt;"",$T3439&lt;0),"※这一笔外销是亏的，请核对售价",IF(IFERROR(VLOOKUP($D3439,库存台账!$A$5:$Y$1204,24,0),0)&lt;-0.001,"※这个物料账面已经变成负数了，查一下是不是漏记入库","")))))))))))</f>
        <v/>
      </c>
    </row>
    <row r="3440">
      <c r="A3440" s="24">
        <f>IF($D3440="","",COUNTA($D$4:$D3440))</f>
        <v/>
      </c>
      <c r="B3440" s="17" t="n"/>
      <c r="C3440" s="30" t="n"/>
      <c r="D3440" s="17" t="n"/>
      <c r="E3440" s="24">
        <f>IF($D3440="","",IFERROR(VLOOKUP($D3440,物料档案!$A$4:$P$1203,3,0),"※编码不在物料档案里"))</f>
        <v/>
      </c>
      <c r="F3440" s="24">
        <f>IF($D3440="","",IFERROR(VLOOKUP($D3440,物料档案!$A$4:$P$1203,4,0),"※编码不在物料档案里"))</f>
        <v/>
      </c>
      <c r="G3440" s="24">
        <f>IF($D3440="","",IFERROR(VLOOKUP($D3440,物料档案!$A$4:$P$1203,5,0),"※编码不在物料档案里"))</f>
        <v/>
      </c>
      <c r="H3440" s="24">
        <f>IF($D3440="","",IFERROR(VLOOKUP($D3440,物料档案!$A$4:$P$1203,2,0),"※编码不在物料档案里"))</f>
        <v/>
      </c>
      <c r="I3440" s="24">
        <f>IF($D3440="","",IFERROR(VLOOKUP($D3440,物料档案!$A$4:$P$1203,6,0),"※编码不在物料档案里"))</f>
        <v/>
      </c>
      <c r="J3440" s="23" t="n"/>
      <c r="K3440" s="17" t="n"/>
      <c r="L3440" s="17" t="n"/>
      <c r="M3440" s="17" t="n"/>
      <c r="N3440" s="17" t="n"/>
      <c r="O3440" s="26">
        <f>IF($D3440="","",IFERROR(VLOOKUP($D3440,物料档案!$A$4:$P$1203,10,0),0))</f>
        <v/>
      </c>
      <c r="P3440" s="32" t="n"/>
      <c r="Q3440" s="26">
        <f>IF($D3440="","",IF($K3440&lt;&gt;"对外销售",0,ROUND(N($J3440)*IF($P3440="",N($O3440),N($P3440)),0)))</f>
        <v/>
      </c>
      <c r="R3440" s="26">
        <f>IF($D3440="","",IFERROR(VLOOKUP($D3440,库存台账!$A$5:$Y$1204,11,0),0))</f>
        <v/>
      </c>
      <c r="S3440" s="26">
        <f>IF($D3440="","",ROUND(N($J3440)*N($R3440),0))</f>
        <v/>
      </c>
      <c r="T3440" s="26">
        <f>IF($D3440="","",IF($K3440&lt;&gt;"对外销售","",ROUND($Q3440-$S3440,0)))</f>
        <v/>
      </c>
      <c r="U3440" s="17" t="n"/>
      <c r="V3440" s="17" t="n"/>
      <c r="W3440" s="24">
        <f>IF($D3440="","",IF($E3440="※编码不在物料档案里","※物料编码不在档案里",IF(N($J3440)&lt;=0,"※出库数量要大于 0",IF($K3440="","※没填去向类型",IF($L3440="","※没填去向矿区",IF(AND($C3440&lt;&gt;"",$C3440&lt;=结账锁),"※日期早于已结账截止日，不能再录",IF(AND($K3440="自用消耗",COUNTIF({"一矿区";"二矿区"},$L3440)=0),"※自用消耗的去向只能是一矿区或二矿区",IF(AND($K3440="对外销售",COUNTIF({"三矿区";"六矿区"},$L3440)=0),"※对外销售的去向只能是三矿区或六矿区",IF(AND($K3440="对外销售",ROUND($Q3440,0)=0),"※外销却没有售价，请填实际售价",IF(AND($K3440="对外销售",$T3440&lt;&gt;"",$T3440&lt;0),"※这一笔外销是亏的，请核对售价",IF(IFERROR(VLOOKUP($D3440,库存台账!$A$5:$Y$1204,24,0),0)&lt;-0.001,"※这个物料账面已经变成负数了，查一下是不是漏记入库","")))))))))))</f>
        <v/>
      </c>
    </row>
    <row r="3441">
      <c r="A3441" s="24">
        <f>IF($D3441="","",COUNTA($D$4:$D3441))</f>
        <v/>
      </c>
      <c r="B3441" s="17" t="n"/>
      <c r="C3441" s="30" t="n"/>
      <c r="D3441" s="17" t="n"/>
      <c r="E3441" s="24">
        <f>IF($D3441="","",IFERROR(VLOOKUP($D3441,物料档案!$A$4:$P$1203,3,0),"※编码不在物料档案里"))</f>
        <v/>
      </c>
      <c r="F3441" s="24">
        <f>IF($D3441="","",IFERROR(VLOOKUP($D3441,物料档案!$A$4:$P$1203,4,0),"※编码不在物料档案里"))</f>
        <v/>
      </c>
      <c r="G3441" s="24">
        <f>IF($D3441="","",IFERROR(VLOOKUP($D3441,物料档案!$A$4:$P$1203,5,0),"※编码不在物料档案里"))</f>
        <v/>
      </c>
      <c r="H3441" s="24">
        <f>IF($D3441="","",IFERROR(VLOOKUP($D3441,物料档案!$A$4:$P$1203,2,0),"※编码不在物料档案里"))</f>
        <v/>
      </c>
      <c r="I3441" s="24">
        <f>IF($D3441="","",IFERROR(VLOOKUP($D3441,物料档案!$A$4:$P$1203,6,0),"※编码不在物料档案里"))</f>
        <v/>
      </c>
      <c r="J3441" s="23" t="n"/>
      <c r="K3441" s="17" t="n"/>
      <c r="L3441" s="17" t="n"/>
      <c r="M3441" s="17" t="n"/>
      <c r="N3441" s="17" t="n"/>
      <c r="O3441" s="26">
        <f>IF($D3441="","",IFERROR(VLOOKUP($D3441,物料档案!$A$4:$P$1203,10,0),0))</f>
        <v/>
      </c>
      <c r="P3441" s="32" t="n"/>
      <c r="Q3441" s="26">
        <f>IF($D3441="","",IF($K3441&lt;&gt;"对外销售",0,ROUND(N($J3441)*IF($P3441="",N($O3441),N($P3441)),0)))</f>
        <v/>
      </c>
      <c r="R3441" s="26">
        <f>IF($D3441="","",IFERROR(VLOOKUP($D3441,库存台账!$A$5:$Y$1204,11,0),0))</f>
        <v/>
      </c>
      <c r="S3441" s="26">
        <f>IF($D3441="","",ROUND(N($J3441)*N($R3441),0))</f>
        <v/>
      </c>
      <c r="T3441" s="26">
        <f>IF($D3441="","",IF($K3441&lt;&gt;"对外销售","",ROUND($Q3441-$S3441,0)))</f>
        <v/>
      </c>
      <c r="U3441" s="17" t="n"/>
      <c r="V3441" s="17" t="n"/>
      <c r="W3441" s="24">
        <f>IF($D3441="","",IF($E3441="※编码不在物料档案里","※物料编码不在档案里",IF(N($J3441)&lt;=0,"※出库数量要大于 0",IF($K3441="","※没填去向类型",IF($L3441="","※没填去向矿区",IF(AND($C3441&lt;&gt;"",$C3441&lt;=结账锁),"※日期早于已结账截止日，不能再录",IF(AND($K3441="自用消耗",COUNTIF({"一矿区";"二矿区"},$L3441)=0),"※自用消耗的去向只能是一矿区或二矿区",IF(AND($K3441="对外销售",COUNTIF({"三矿区";"六矿区"},$L3441)=0),"※对外销售的去向只能是三矿区或六矿区",IF(AND($K3441="对外销售",ROUND($Q3441,0)=0),"※外销却没有售价，请填实际售价",IF(AND($K3441="对外销售",$T3441&lt;&gt;"",$T3441&lt;0),"※这一笔外销是亏的，请核对售价",IF(IFERROR(VLOOKUP($D3441,库存台账!$A$5:$Y$1204,24,0),0)&lt;-0.001,"※这个物料账面已经变成负数了，查一下是不是漏记入库","")))))))))))</f>
        <v/>
      </c>
    </row>
    <row r="3442">
      <c r="A3442" s="24">
        <f>IF($D3442="","",COUNTA($D$4:$D3442))</f>
        <v/>
      </c>
      <c r="B3442" s="17" t="n"/>
      <c r="C3442" s="30" t="n"/>
      <c r="D3442" s="17" t="n"/>
      <c r="E3442" s="24">
        <f>IF($D3442="","",IFERROR(VLOOKUP($D3442,物料档案!$A$4:$P$1203,3,0),"※编码不在物料档案里"))</f>
        <v/>
      </c>
      <c r="F3442" s="24">
        <f>IF($D3442="","",IFERROR(VLOOKUP($D3442,物料档案!$A$4:$P$1203,4,0),"※编码不在物料档案里"))</f>
        <v/>
      </c>
      <c r="G3442" s="24">
        <f>IF($D3442="","",IFERROR(VLOOKUP($D3442,物料档案!$A$4:$P$1203,5,0),"※编码不在物料档案里"))</f>
        <v/>
      </c>
      <c r="H3442" s="24">
        <f>IF($D3442="","",IFERROR(VLOOKUP($D3442,物料档案!$A$4:$P$1203,2,0),"※编码不在物料档案里"))</f>
        <v/>
      </c>
      <c r="I3442" s="24">
        <f>IF($D3442="","",IFERROR(VLOOKUP($D3442,物料档案!$A$4:$P$1203,6,0),"※编码不在物料档案里"))</f>
        <v/>
      </c>
      <c r="J3442" s="23" t="n"/>
      <c r="K3442" s="17" t="n"/>
      <c r="L3442" s="17" t="n"/>
      <c r="M3442" s="17" t="n"/>
      <c r="N3442" s="17" t="n"/>
      <c r="O3442" s="26">
        <f>IF($D3442="","",IFERROR(VLOOKUP($D3442,物料档案!$A$4:$P$1203,10,0),0))</f>
        <v/>
      </c>
      <c r="P3442" s="32" t="n"/>
      <c r="Q3442" s="26">
        <f>IF($D3442="","",IF($K3442&lt;&gt;"对外销售",0,ROUND(N($J3442)*IF($P3442="",N($O3442),N($P3442)),0)))</f>
        <v/>
      </c>
      <c r="R3442" s="26">
        <f>IF($D3442="","",IFERROR(VLOOKUP($D3442,库存台账!$A$5:$Y$1204,11,0),0))</f>
        <v/>
      </c>
      <c r="S3442" s="26">
        <f>IF($D3442="","",ROUND(N($J3442)*N($R3442),0))</f>
        <v/>
      </c>
      <c r="T3442" s="26">
        <f>IF($D3442="","",IF($K3442&lt;&gt;"对外销售","",ROUND($Q3442-$S3442,0)))</f>
        <v/>
      </c>
      <c r="U3442" s="17" t="n"/>
      <c r="V3442" s="17" t="n"/>
      <c r="W3442" s="24">
        <f>IF($D3442="","",IF($E3442="※编码不在物料档案里","※物料编码不在档案里",IF(N($J3442)&lt;=0,"※出库数量要大于 0",IF($K3442="","※没填去向类型",IF($L3442="","※没填去向矿区",IF(AND($C3442&lt;&gt;"",$C3442&lt;=结账锁),"※日期早于已结账截止日，不能再录",IF(AND($K3442="自用消耗",COUNTIF({"一矿区";"二矿区"},$L3442)=0),"※自用消耗的去向只能是一矿区或二矿区",IF(AND($K3442="对外销售",COUNTIF({"三矿区";"六矿区"},$L3442)=0),"※对外销售的去向只能是三矿区或六矿区",IF(AND($K3442="对外销售",ROUND($Q3442,0)=0),"※外销却没有售价，请填实际售价",IF(AND($K3442="对外销售",$T3442&lt;&gt;"",$T3442&lt;0),"※这一笔外销是亏的，请核对售价",IF(IFERROR(VLOOKUP($D3442,库存台账!$A$5:$Y$1204,24,0),0)&lt;-0.001,"※这个物料账面已经变成负数了，查一下是不是漏记入库","")))))))))))</f>
        <v/>
      </c>
    </row>
    <row r="3443">
      <c r="A3443" s="24">
        <f>IF($D3443="","",COUNTA($D$4:$D3443))</f>
        <v/>
      </c>
      <c r="B3443" s="17" t="n"/>
      <c r="C3443" s="30" t="n"/>
      <c r="D3443" s="17" t="n"/>
      <c r="E3443" s="24">
        <f>IF($D3443="","",IFERROR(VLOOKUP($D3443,物料档案!$A$4:$P$1203,3,0),"※编码不在物料档案里"))</f>
        <v/>
      </c>
      <c r="F3443" s="24">
        <f>IF($D3443="","",IFERROR(VLOOKUP($D3443,物料档案!$A$4:$P$1203,4,0),"※编码不在物料档案里"))</f>
        <v/>
      </c>
      <c r="G3443" s="24">
        <f>IF($D3443="","",IFERROR(VLOOKUP($D3443,物料档案!$A$4:$P$1203,5,0),"※编码不在物料档案里"))</f>
        <v/>
      </c>
      <c r="H3443" s="24">
        <f>IF($D3443="","",IFERROR(VLOOKUP($D3443,物料档案!$A$4:$P$1203,2,0),"※编码不在物料档案里"))</f>
        <v/>
      </c>
      <c r="I3443" s="24">
        <f>IF($D3443="","",IFERROR(VLOOKUP($D3443,物料档案!$A$4:$P$1203,6,0),"※编码不在物料档案里"))</f>
        <v/>
      </c>
      <c r="J3443" s="23" t="n"/>
      <c r="K3443" s="17" t="n"/>
      <c r="L3443" s="17" t="n"/>
      <c r="M3443" s="17" t="n"/>
      <c r="N3443" s="17" t="n"/>
      <c r="O3443" s="26">
        <f>IF($D3443="","",IFERROR(VLOOKUP($D3443,物料档案!$A$4:$P$1203,10,0),0))</f>
        <v/>
      </c>
      <c r="P3443" s="32" t="n"/>
      <c r="Q3443" s="26">
        <f>IF($D3443="","",IF($K3443&lt;&gt;"对外销售",0,ROUND(N($J3443)*IF($P3443="",N($O3443),N($P3443)),0)))</f>
        <v/>
      </c>
      <c r="R3443" s="26">
        <f>IF($D3443="","",IFERROR(VLOOKUP($D3443,库存台账!$A$5:$Y$1204,11,0),0))</f>
        <v/>
      </c>
      <c r="S3443" s="26">
        <f>IF($D3443="","",ROUND(N($J3443)*N($R3443),0))</f>
        <v/>
      </c>
      <c r="T3443" s="26">
        <f>IF($D3443="","",IF($K3443&lt;&gt;"对外销售","",ROUND($Q3443-$S3443,0)))</f>
        <v/>
      </c>
      <c r="U3443" s="17" t="n"/>
      <c r="V3443" s="17" t="n"/>
      <c r="W3443" s="24">
        <f>IF($D3443="","",IF($E3443="※编码不在物料档案里","※物料编码不在档案里",IF(N($J3443)&lt;=0,"※出库数量要大于 0",IF($K3443="","※没填去向类型",IF($L3443="","※没填去向矿区",IF(AND($C3443&lt;&gt;"",$C3443&lt;=结账锁),"※日期早于已结账截止日，不能再录",IF(AND($K3443="自用消耗",COUNTIF({"一矿区";"二矿区"},$L3443)=0),"※自用消耗的去向只能是一矿区或二矿区",IF(AND($K3443="对外销售",COUNTIF({"三矿区";"六矿区"},$L3443)=0),"※对外销售的去向只能是三矿区或六矿区",IF(AND($K3443="对外销售",ROUND($Q3443,0)=0),"※外销却没有售价，请填实际售价",IF(AND($K3443="对外销售",$T3443&lt;&gt;"",$T3443&lt;0),"※这一笔外销是亏的，请核对售价",IF(IFERROR(VLOOKUP($D3443,库存台账!$A$5:$Y$1204,24,0),0)&lt;-0.001,"※这个物料账面已经变成负数了，查一下是不是漏记入库","")))))))))))</f>
        <v/>
      </c>
    </row>
    <row r="3444">
      <c r="A3444" s="24">
        <f>IF($D3444="","",COUNTA($D$4:$D3444))</f>
        <v/>
      </c>
      <c r="B3444" s="17" t="n"/>
      <c r="C3444" s="30" t="n"/>
      <c r="D3444" s="17" t="n"/>
      <c r="E3444" s="24">
        <f>IF($D3444="","",IFERROR(VLOOKUP($D3444,物料档案!$A$4:$P$1203,3,0),"※编码不在物料档案里"))</f>
        <v/>
      </c>
      <c r="F3444" s="24">
        <f>IF($D3444="","",IFERROR(VLOOKUP($D3444,物料档案!$A$4:$P$1203,4,0),"※编码不在物料档案里"))</f>
        <v/>
      </c>
      <c r="G3444" s="24">
        <f>IF($D3444="","",IFERROR(VLOOKUP($D3444,物料档案!$A$4:$P$1203,5,0),"※编码不在物料档案里"))</f>
        <v/>
      </c>
      <c r="H3444" s="24">
        <f>IF($D3444="","",IFERROR(VLOOKUP($D3444,物料档案!$A$4:$P$1203,2,0),"※编码不在物料档案里"))</f>
        <v/>
      </c>
      <c r="I3444" s="24">
        <f>IF($D3444="","",IFERROR(VLOOKUP($D3444,物料档案!$A$4:$P$1203,6,0),"※编码不在物料档案里"))</f>
        <v/>
      </c>
      <c r="J3444" s="23" t="n"/>
      <c r="K3444" s="17" t="n"/>
      <c r="L3444" s="17" t="n"/>
      <c r="M3444" s="17" t="n"/>
      <c r="N3444" s="17" t="n"/>
      <c r="O3444" s="26">
        <f>IF($D3444="","",IFERROR(VLOOKUP($D3444,物料档案!$A$4:$P$1203,10,0),0))</f>
        <v/>
      </c>
      <c r="P3444" s="32" t="n"/>
      <c r="Q3444" s="26">
        <f>IF($D3444="","",IF($K3444&lt;&gt;"对外销售",0,ROUND(N($J3444)*IF($P3444="",N($O3444),N($P3444)),0)))</f>
        <v/>
      </c>
      <c r="R3444" s="26">
        <f>IF($D3444="","",IFERROR(VLOOKUP($D3444,库存台账!$A$5:$Y$1204,11,0),0))</f>
        <v/>
      </c>
      <c r="S3444" s="26">
        <f>IF($D3444="","",ROUND(N($J3444)*N($R3444),0))</f>
        <v/>
      </c>
      <c r="T3444" s="26">
        <f>IF($D3444="","",IF($K3444&lt;&gt;"对外销售","",ROUND($Q3444-$S3444,0)))</f>
        <v/>
      </c>
      <c r="U3444" s="17" t="n"/>
      <c r="V3444" s="17" t="n"/>
      <c r="W3444" s="24">
        <f>IF($D3444="","",IF($E3444="※编码不在物料档案里","※物料编码不在档案里",IF(N($J3444)&lt;=0,"※出库数量要大于 0",IF($K3444="","※没填去向类型",IF($L3444="","※没填去向矿区",IF(AND($C3444&lt;&gt;"",$C3444&lt;=结账锁),"※日期早于已结账截止日，不能再录",IF(AND($K3444="自用消耗",COUNTIF({"一矿区";"二矿区"},$L3444)=0),"※自用消耗的去向只能是一矿区或二矿区",IF(AND($K3444="对外销售",COUNTIF({"三矿区";"六矿区"},$L3444)=0),"※对外销售的去向只能是三矿区或六矿区",IF(AND($K3444="对外销售",ROUND($Q3444,0)=0),"※外销却没有售价，请填实际售价",IF(AND($K3444="对外销售",$T3444&lt;&gt;"",$T3444&lt;0),"※这一笔外销是亏的，请核对售价",IF(IFERROR(VLOOKUP($D3444,库存台账!$A$5:$Y$1204,24,0),0)&lt;-0.001,"※这个物料账面已经变成负数了，查一下是不是漏记入库","")))))))))))</f>
        <v/>
      </c>
    </row>
    <row r="3445">
      <c r="A3445" s="24">
        <f>IF($D3445="","",COUNTA($D$4:$D3445))</f>
        <v/>
      </c>
      <c r="B3445" s="17" t="n"/>
      <c r="C3445" s="30" t="n"/>
      <c r="D3445" s="17" t="n"/>
      <c r="E3445" s="24">
        <f>IF($D3445="","",IFERROR(VLOOKUP($D3445,物料档案!$A$4:$P$1203,3,0),"※编码不在物料档案里"))</f>
        <v/>
      </c>
      <c r="F3445" s="24">
        <f>IF($D3445="","",IFERROR(VLOOKUP($D3445,物料档案!$A$4:$P$1203,4,0),"※编码不在物料档案里"))</f>
        <v/>
      </c>
      <c r="G3445" s="24">
        <f>IF($D3445="","",IFERROR(VLOOKUP($D3445,物料档案!$A$4:$P$1203,5,0),"※编码不在物料档案里"))</f>
        <v/>
      </c>
      <c r="H3445" s="24">
        <f>IF($D3445="","",IFERROR(VLOOKUP($D3445,物料档案!$A$4:$P$1203,2,0),"※编码不在物料档案里"))</f>
        <v/>
      </c>
      <c r="I3445" s="24">
        <f>IF($D3445="","",IFERROR(VLOOKUP($D3445,物料档案!$A$4:$P$1203,6,0),"※编码不在物料档案里"))</f>
        <v/>
      </c>
      <c r="J3445" s="23" t="n"/>
      <c r="K3445" s="17" t="n"/>
      <c r="L3445" s="17" t="n"/>
      <c r="M3445" s="17" t="n"/>
      <c r="N3445" s="17" t="n"/>
      <c r="O3445" s="26">
        <f>IF($D3445="","",IFERROR(VLOOKUP($D3445,物料档案!$A$4:$P$1203,10,0),0))</f>
        <v/>
      </c>
      <c r="P3445" s="32" t="n"/>
      <c r="Q3445" s="26">
        <f>IF($D3445="","",IF($K3445&lt;&gt;"对外销售",0,ROUND(N($J3445)*IF($P3445="",N($O3445),N($P3445)),0)))</f>
        <v/>
      </c>
      <c r="R3445" s="26">
        <f>IF($D3445="","",IFERROR(VLOOKUP($D3445,库存台账!$A$5:$Y$1204,11,0),0))</f>
        <v/>
      </c>
      <c r="S3445" s="26">
        <f>IF($D3445="","",ROUND(N($J3445)*N($R3445),0))</f>
        <v/>
      </c>
      <c r="T3445" s="26">
        <f>IF($D3445="","",IF($K3445&lt;&gt;"对外销售","",ROUND($Q3445-$S3445,0)))</f>
        <v/>
      </c>
      <c r="U3445" s="17" t="n"/>
      <c r="V3445" s="17" t="n"/>
      <c r="W3445" s="24">
        <f>IF($D3445="","",IF($E3445="※编码不在物料档案里","※物料编码不在档案里",IF(N($J3445)&lt;=0,"※出库数量要大于 0",IF($K3445="","※没填去向类型",IF($L3445="","※没填去向矿区",IF(AND($C3445&lt;&gt;"",$C3445&lt;=结账锁),"※日期早于已结账截止日，不能再录",IF(AND($K3445="自用消耗",COUNTIF({"一矿区";"二矿区"},$L3445)=0),"※自用消耗的去向只能是一矿区或二矿区",IF(AND($K3445="对外销售",COUNTIF({"三矿区";"六矿区"},$L3445)=0),"※对外销售的去向只能是三矿区或六矿区",IF(AND($K3445="对外销售",ROUND($Q3445,0)=0),"※外销却没有售价，请填实际售价",IF(AND($K3445="对外销售",$T3445&lt;&gt;"",$T3445&lt;0),"※这一笔外销是亏的，请核对售价",IF(IFERROR(VLOOKUP($D3445,库存台账!$A$5:$Y$1204,24,0),0)&lt;-0.001,"※这个物料账面已经变成负数了，查一下是不是漏记入库","")))))))))))</f>
        <v/>
      </c>
    </row>
    <row r="3446">
      <c r="A3446" s="24">
        <f>IF($D3446="","",COUNTA($D$4:$D3446))</f>
        <v/>
      </c>
      <c r="B3446" s="17" t="n"/>
      <c r="C3446" s="30" t="n"/>
      <c r="D3446" s="17" t="n"/>
      <c r="E3446" s="24">
        <f>IF($D3446="","",IFERROR(VLOOKUP($D3446,物料档案!$A$4:$P$1203,3,0),"※编码不在物料档案里"))</f>
        <v/>
      </c>
      <c r="F3446" s="24">
        <f>IF($D3446="","",IFERROR(VLOOKUP($D3446,物料档案!$A$4:$P$1203,4,0),"※编码不在物料档案里"))</f>
        <v/>
      </c>
      <c r="G3446" s="24">
        <f>IF($D3446="","",IFERROR(VLOOKUP($D3446,物料档案!$A$4:$P$1203,5,0),"※编码不在物料档案里"))</f>
        <v/>
      </c>
      <c r="H3446" s="24">
        <f>IF($D3446="","",IFERROR(VLOOKUP($D3446,物料档案!$A$4:$P$1203,2,0),"※编码不在物料档案里"))</f>
        <v/>
      </c>
      <c r="I3446" s="24">
        <f>IF($D3446="","",IFERROR(VLOOKUP($D3446,物料档案!$A$4:$P$1203,6,0),"※编码不在物料档案里"))</f>
        <v/>
      </c>
      <c r="J3446" s="23" t="n"/>
      <c r="K3446" s="17" t="n"/>
      <c r="L3446" s="17" t="n"/>
      <c r="M3446" s="17" t="n"/>
      <c r="N3446" s="17" t="n"/>
      <c r="O3446" s="26">
        <f>IF($D3446="","",IFERROR(VLOOKUP($D3446,物料档案!$A$4:$P$1203,10,0),0))</f>
        <v/>
      </c>
      <c r="P3446" s="32" t="n"/>
      <c r="Q3446" s="26">
        <f>IF($D3446="","",IF($K3446&lt;&gt;"对外销售",0,ROUND(N($J3446)*IF($P3446="",N($O3446),N($P3446)),0)))</f>
        <v/>
      </c>
      <c r="R3446" s="26">
        <f>IF($D3446="","",IFERROR(VLOOKUP($D3446,库存台账!$A$5:$Y$1204,11,0),0))</f>
        <v/>
      </c>
      <c r="S3446" s="26">
        <f>IF($D3446="","",ROUND(N($J3446)*N($R3446),0))</f>
        <v/>
      </c>
      <c r="T3446" s="26">
        <f>IF($D3446="","",IF($K3446&lt;&gt;"对外销售","",ROUND($Q3446-$S3446,0)))</f>
        <v/>
      </c>
      <c r="U3446" s="17" t="n"/>
      <c r="V3446" s="17" t="n"/>
      <c r="W3446" s="24">
        <f>IF($D3446="","",IF($E3446="※编码不在物料档案里","※物料编码不在档案里",IF(N($J3446)&lt;=0,"※出库数量要大于 0",IF($K3446="","※没填去向类型",IF($L3446="","※没填去向矿区",IF(AND($C3446&lt;&gt;"",$C3446&lt;=结账锁),"※日期早于已结账截止日，不能再录",IF(AND($K3446="自用消耗",COUNTIF({"一矿区";"二矿区"},$L3446)=0),"※自用消耗的去向只能是一矿区或二矿区",IF(AND($K3446="对外销售",COUNTIF({"三矿区";"六矿区"},$L3446)=0),"※对外销售的去向只能是三矿区或六矿区",IF(AND($K3446="对外销售",ROUND($Q3446,0)=0),"※外销却没有售价，请填实际售价",IF(AND($K3446="对外销售",$T3446&lt;&gt;"",$T3446&lt;0),"※这一笔外销是亏的，请核对售价",IF(IFERROR(VLOOKUP($D3446,库存台账!$A$5:$Y$1204,24,0),0)&lt;-0.001,"※这个物料账面已经变成负数了，查一下是不是漏记入库","")))))))))))</f>
        <v/>
      </c>
    </row>
    <row r="3447">
      <c r="A3447" s="24">
        <f>IF($D3447="","",COUNTA($D$4:$D3447))</f>
        <v/>
      </c>
      <c r="B3447" s="17" t="n"/>
      <c r="C3447" s="30" t="n"/>
      <c r="D3447" s="17" t="n"/>
      <c r="E3447" s="24">
        <f>IF($D3447="","",IFERROR(VLOOKUP($D3447,物料档案!$A$4:$P$1203,3,0),"※编码不在物料档案里"))</f>
        <v/>
      </c>
      <c r="F3447" s="24">
        <f>IF($D3447="","",IFERROR(VLOOKUP($D3447,物料档案!$A$4:$P$1203,4,0),"※编码不在物料档案里"))</f>
        <v/>
      </c>
      <c r="G3447" s="24">
        <f>IF($D3447="","",IFERROR(VLOOKUP($D3447,物料档案!$A$4:$P$1203,5,0),"※编码不在物料档案里"))</f>
        <v/>
      </c>
      <c r="H3447" s="24">
        <f>IF($D3447="","",IFERROR(VLOOKUP($D3447,物料档案!$A$4:$P$1203,2,0),"※编码不在物料档案里"))</f>
        <v/>
      </c>
      <c r="I3447" s="24">
        <f>IF($D3447="","",IFERROR(VLOOKUP($D3447,物料档案!$A$4:$P$1203,6,0),"※编码不在物料档案里"))</f>
        <v/>
      </c>
      <c r="J3447" s="23" t="n"/>
      <c r="K3447" s="17" t="n"/>
      <c r="L3447" s="17" t="n"/>
      <c r="M3447" s="17" t="n"/>
      <c r="N3447" s="17" t="n"/>
      <c r="O3447" s="26">
        <f>IF($D3447="","",IFERROR(VLOOKUP($D3447,物料档案!$A$4:$P$1203,10,0),0))</f>
        <v/>
      </c>
      <c r="P3447" s="32" t="n"/>
      <c r="Q3447" s="26">
        <f>IF($D3447="","",IF($K3447&lt;&gt;"对外销售",0,ROUND(N($J3447)*IF($P3447="",N($O3447),N($P3447)),0)))</f>
        <v/>
      </c>
      <c r="R3447" s="26">
        <f>IF($D3447="","",IFERROR(VLOOKUP($D3447,库存台账!$A$5:$Y$1204,11,0),0))</f>
        <v/>
      </c>
      <c r="S3447" s="26">
        <f>IF($D3447="","",ROUND(N($J3447)*N($R3447),0))</f>
        <v/>
      </c>
      <c r="T3447" s="26">
        <f>IF($D3447="","",IF($K3447&lt;&gt;"对外销售","",ROUND($Q3447-$S3447,0)))</f>
        <v/>
      </c>
      <c r="U3447" s="17" t="n"/>
      <c r="V3447" s="17" t="n"/>
      <c r="W3447" s="24">
        <f>IF($D3447="","",IF($E3447="※编码不在物料档案里","※物料编码不在档案里",IF(N($J3447)&lt;=0,"※出库数量要大于 0",IF($K3447="","※没填去向类型",IF($L3447="","※没填去向矿区",IF(AND($C3447&lt;&gt;"",$C3447&lt;=结账锁),"※日期早于已结账截止日，不能再录",IF(AND($K3447="自用消耗",COUNTIF({"一矿区";"二矿区"},$L3447)=0),"※自用消耗的去向只能是一矿区或二矿区",IF(AND($K3447="对外销售",COUNTIF({"三矿区";"六矿区"},$L3447)=0),"※对外销售的去向只能是三矿区或六矿区",IF(AND($K3447="对外销售",ROUND($Q3447,0)=0),"※外销却没有售价，请填实际售价",IF(AND($K3447="对外销售",$T3447&lt;&gt;"",$T3447&lt;0),"※这一笔外销是亏的，请核对售价",IF(IFERROR(VLOOKUP($D3447,库存台账!$A$5:$Y$1204,24,0),0)&lt;-0.001,"※这个物料账面已经变成负数了，查一下是不是漏记入库","")))))))))))</f>
        <v/>
      </c>
    </row>
    <row r="3448">
      <c r="A3448" s="24">
        <f>IF($D3448="","",COUNTA($D$4:$D3448))</f>
        <v/>
      </c>
      <c r="B3448" s="17" t="n"/>
      <c r="C3448" s="30" t="n"/>
      <c r="D3448" s="17" t="n"/>
      <c r="E3448" s="24">
        <f>IF($D3448="","",IFERROR(VLOOKUP($D3448,物料档案!$A$4:$P$1203,3,0),"※编码不在物料档案里"))</f>
        <v/>
      </c>
      <c r="F3448" s="24">
        <f>IF($D3448="","",IFERROR(VLOOKUP($D3448,物料档案!$A$4:$P$1203,4,0),"※编码不在物料档案里"))</f>
        <v/>
      </c>
      <c r="G3448" s="24">
        <f>IF($D3448="","",IFERROR(VLOOKUP($D3448,物料档案!$A$4:$P$1203,5,0),"※编码不在物料档案里"))</f>
        <v/>
      </c>
      <c r="H3448" s="24">
        <f>IF($D3448="","",IFERROR(VLOOKUP($D3448,物料档案!$A$4:$P$1203,2,0),"※编码不在物料档案里"))</f>
        <v/>
      </c>
      <c r="I3448" s="24">
        <f>IF($D3448="","",IFERROR(VLOOKUP($D3448,物料档案!$A$4:$P$1203,6,0),"※编码不在物料档案里"))</f>
        <v/>
      </c>
      <c r="J3448" s="23" t="n"/>
      <c r="K3448" s="17" t="n"/>
      <c r="L3448" s="17" t="n"/>
      <c r="M3448" s="17" t="n"/>
      <c r="N3448" s="17" t="n"/>
      <c r="O3448" s="26">
        <f>IF($D3448="","",IFERROR(VLOOKUP($D3448,物料档案!$A$4:$P$1203,10,0),0))</f>
        <v/>
      </c>
      <c r="P3448" s="32" t="n"/>
      <c r="Q3448" s="26">
        <f>IF($D3448="","",IF($K3448&lt;&gt;"对外销售",0,ROUND(N($J3448)*IF($P3448="",N($O3448),N($P3448)),0)))</f>
        <v/>
      </c>
      <c r="R3448" s="26">
        <f>IF($D3448="","",IFERROR(VLOOKUP($D3448,库存台账!$A$5:$Y$1204,11,0),0))</f>
        <v/>
      </c>
      <c r="S3448" s="26">
        <f>IF($D3448="","",ROUND(N($J3448)*N($R3448),0))</f>
        <v/>
      </c>
      <c r="T3448" s="26">
        <f>IF($D3448="","",IF($K3448&lt;&gt;"对外销售","",ROUND($Q3448-$S3448,0)))</f>
        <v/>
      </c>
      <c r="U3448" s="17" t="n"/>
      <c r="V3448" s="17" t="n"/>
      <c r="W3448" s="24">
        <f>IF($D3448="","",IF($E3448="※编码不在物料档案里","※物料编码不在档案里",IF(N($J3448)&lt;=0,"※出库数量要大于 0",IF($K3448="","※没填去向类型",IF($L3448="","※没填去向矿区",IF(AND($C3448&lt;&gt;"",$C3448&lt;=结账锁),"※日期早于已结账截止日，不能再录",IF(AND($K3448="自用消耗",COUNTIF({"一矿区";"二矿区"},$L3448)=0),"※自用消耗的去向只能是一矿区或二矿区",IF(AND($K3448="对外销售",COUNTIF({"三矿区";"六矿区"},$L3448)=0),"※对外销售的去向只能是三矿区或六矿区",IF(AND($K3448="对外销售",ROUND($Q3448,0)=0),"※外销却没有售价，请填实际售价",IF(AND($K3448="对外销售",$T3448&lt;&gt;"",$T3448&lt;0),"※这一笔外销是亏的，请核对售价",IF(IFERROR(VLOOKUP($D3448,库存台账!$A$5:$Y$1204,24,0),0)&lt;-0.001,"※这个物料账面已经变成负数了，查一下是不是漏记入库","")))))))))))</f>
        <v/>
      </c>
    </row>
    <row r="3449">
      <c r="A3449" s="24">
        <f>IF($D3449="","",COUNTA($D$4:$D3449))</f>
        <v/>
      </c>
      <c r="B3449" s="17" t="n"/>
      <c r="C3449" s="30" t="n"/>
      <c r="D3449" s="17" t="n"/>
      <c r="E3449" s="24">
        <f>IF($D3449="","",IFERROR(VLOOKUP($D3449,物料档案!$A$4:$P$1203,3,0),"※编码不在物料档案里"))</f>
        <v/>
      </c>
      <c r="F3449" s="24">
        <f>IF($D3449="","",IFERROR(VLOOKUP($D3449,物料档案!$A$4:$P$1203,4,0),"※编码不在物料档案里"))</f>
        <v/>
      </c>
      <c r="G3449" s="24">
        <f>IF($D3449="","",IFERROR(VLOOKUP($D3449,物料档案!$A$4:$P$1203,5,0),"※编码不在物料档案里"))</f>
        <v/>
      </c>
      <c r="H3449" s="24">
        <f>IF($D3449="","",IFERROR(VLOOKUP($D3449,物料档案!$A$4:$P$1203,2,0),"※编码不在物料档案里"))</f>
        <v/>
      </c>
      <c r="I3449" s="24">
        <f>IF($D3449="","",IFERROR(VLOOKUP($D3449,物料档案!$A$4:$P$1203,6,0),"※编码不在物料档案里"))</f>
        <v/>
      </c>
      <c r="J3449" s="23" t="n"/>
      <c r="K3449" s="17" t="n"/>
      <c r="L3449" s="17" t="n"/>
      <c r="M3449" s="17" t="n"/>
      <c r="N3449" s="17" t="n"/>
      <c r="O3449" s="26">
        <f>IF($D3449="","",IFERROR(VLOOKUP($D3449,物料档案!$A$4:$P$1203,10,0),0))</f>
        <v/>
      </c>
      <c r="P3449" s="32" t="n"/>
      <c r="Q3449" s="26">
        <f>IF($D3449="","",IF($K3449&lt;&gt;"对外销售",0,ROUND(N($J3449)*IF($P3449="",N($O3449),N($P3449)),0)))</f>
        <v/>
      </c>
      <c r="R3449" s="26">
        <f>IF($D3449="","",IFERROR(VLOOKUP($D3449,库存台账!$A$5:$Y$1204,11,0),0))</f>
        <v/>
      </c>
      <c r="S3449" s="26">
        <f>IF($D3449="","",ROUND(N($J3449)*N($R3449),0))</f>
        <v/>
      </c>
      <c r="T3449" s="26">
        <f>IF($D3449="","",IF($K3449&lt;&gt;"对外销售","",ROUND($Q3449-$S3449,0)))</f>
        <v/>
      </c>
      <c r="U3449" s="17" t="n"/>
      <c r="V3449" s="17" t="n"/>
      <c r="W3449" s="24">
        <f>IF($D3449="","",IF($E3449="※编码不在物料档案里","※物料编码不在档案里",IF(N($J3449)&lt;=0,"※出库数量要大于 0",IF($K3449="","※没填去向类型",IF($L3449="","※没填去向矿区",IF(AND($C3449&lt;&gt;"",$C3449&lt;=结账锁),"※日期早于已结账截止日，不能再录",IF(AND($K3449="自用消耗",COUNTIF({"一矿区";"二矿区"},$L3449)=0),"※自用消耗的去向只能是一矿区或二矿区",IF(AND($K3449="对外销售",COUNTIF({"三矿区";"六矿区"},$L3449)=0),"※对外销售的去向只能是三矿区或六矿区",IF(AND($K3449="对外销售",ROUND($Q3449,0)=0),"※外销却没有售价，请填实际售价",IF(AND($K3449="对外销售",$T3449&lt;&gt;"",$T3449&lt;0),"※这一笔外销是亏的，请核对售价",IF(IFERROR(VLOOKUP($D3449,库存台账!$A$5:$Y$1204,24,0),0)&lt;-0.001,"※这个物料账面已经变成负数了，查一下是不是漏记入库","")))))))))))</f>
        <v/>
      </c>
    </row>
    <row r="3450">
      <c r="A3450" s="24">
        <f>IF($D3450="","",COUNTA($D$4:$D3450))</f>
        <v/>
      </c>
      <c r="B3450" s="17" t="n"/>
      <c r="C3450" s="30" t="n"/>
      <c r="D3450" s="17" t="n"/>
      <c r="E3450" s="24">
        <f>IF($D3450="","",IFERROR(VLOOKUP($D3450,物料档案!$A$4:$P$1203,3,0),"※编码不在物料档案里"))</f>
        <v/>
      </c>
      <c r="F3450" s="24">
        <f>IF($D3450="","",IFERROR(VLOOKUP($D3450,物料档案!$A$4:$P$1203,4,0),"※编码不在物料档案里"))</f>
        <v/>
      </c>
      <c r="G3450" s="24">
        <f>IF($D3450="","",IFERROR(VLOOKUP($D3450,物料档案!$A$4:$P$1203,5,0),"※编码不在物料档案里"))</f>
        <v/>
      </c>
      <c r="H3450" s="24">
        <f>IF($D3450="","",IFERROR(VLOOKUP($D3450,物料档案!$A$4:$P$1203,2,0),"※编码不在物料档案里"))</f>
        <v/>
      </c>
      <c r="I3450" s="24">
        <f>IF($D3450="","",IFERROR(VLOOKUP($D3450,物料档案!$A$4:$P$1203,6,0),"※编码不在物料档案里"))</f>
        <v/>
      </c>
      <c r="J3450" s="23" t="n"/>
      <c r="K3450" s="17" t="n"/>
      <c r="L3450" s="17" t="n"/>
      <c r="M3450" s="17" t="n"/>
      <c r="N3450" s="17" t="n"/>
      <c r="O3450" s="26">
        <f>IF($D3450="","",IFERROR(VLOOKUP($D3450,物料档案!$A$4:$P$1203,10,0),0))</f>
        <v/>
      </c>
      <c r="P3450" s="32" t="n"/>
      <c r="Q3450" s="26">
        <f>IF($D3450="","",IF($K3450&lt;&gt;"对外销售",0,ROUND(N($J3450)*IF($P3450="",N($O3450),N($P3450)),0)))</f>
        <v/>
      </c>
      <c r="R3450" s="26">
        <f>IF($D3450="","",IFERROR(VLOOKUP($D3450,库存台账!$A$5:$Y$1204,11,0),0))</f>
        <v/>
      </c>
      <c r="S3450" s="26">
        <f>IF($D3450="","",ROUND(N($J3450)*N($R3450),0))</f>
        <v/>
      </c>
      <c r="T3450" s="26">
        <f>IF($D3450="","",IF($K3450&lt;&gt;"对外销售","",ROUND($Q3450-$S3450,0)))</f>
        <v/>
      </c>
      <c r="U3450" s="17" t="n"/>
      <c r="V3450" s="17" t="n"/>
      <c r="W3450" s="24">
        <f>IF($D3450="","",IF($E3450="※编码不在物料档案里","※物料编码不在档案里",IF(N($J3450)&lt;=0,"※出库数量要大于 0",IF($K3450="","※没填去向类型",IF($L3450="","※没填去向矿区",IF(AND($C3450&lt;&gt;"",$C3450&lt;=结账锁),"※日期早于已结账截止日，不能再录",IF(AND($K3450="自用消耗",COUNTIF({"一矿区";"二矿区"},$L3450)=0),"※自用消耗的去向只能是一矿区或二矿区",IF(AND($K3450="对外销售",COUNTIF({"三矿区";"六矿区"},$L3450)=0),"※对外销售的去向只能是三矿区或六矿区",IF(AND($K3450="对外销售",ROUND($Q3450,0)=0),"※外销却没有售价，请填实际售价",IF(AND($K3450="对外销售",$T3450&lt;&gt;"",$T3450&lt;0),"※这一笔外销是亏的，请核对售价",IF(IFERROR(VLOOKUP($D3450,库存台账!$A$5:$Y$1204,24,0),0)&lt;-0.001,"※这个物料账面已经变成负数了，查一下是不是漏记入库","")))))))))))</f>
        <v/>
      </c>
    </row>
    <row r="3451">
      <c r="A3451" s="24">
        <f>IF($D3451="","",COUNTA($D$4:$D3451))</f>
        <v/>
      </c>
      <c r="B3451" s="17" t="n"/>
      <c r="C3451" s="30" t="n"/>
      <c r="D3451" s="17" t="n"/>
      <c r="E3451" s="24">
        <f>IF($D3451="","",IFERROR(VLOOKUP($D3451,物料档案!$A$4:$P$1203,3,0),"※编码不在物料档案里"))</f>
        <v/>
      </c>
      <c r="F3451" s="24">
        <f>IF($D3451="","",IFERROR(VLOOKUP($D3451,物料档案!$A$4:$P$1203,4,0),"※编码不在物料档案里"))</f>
        <v/>
      </c>
      <c r="G3451" s="24">
        <f>IF($D3451="","",IFERROR(VLOOKUP($D3451,物料档案!$A$4:$P$1203,5,0),"※编码不在物料档案里"))</f>
        <v/>
      </c>
      <c r="H3451" s="24">
        <f>IF($D3451="","",IFERROR(VLOOKUP($D3451,物料档案!$A$4:$P$1203,2,0),"※编码不在物料档案里"))</f>
        <v/>
      </c>
      <c r="I3451" s="24">
        <f>IF($D3451="","",IFERROR(VLOOKUP($D3451,物料档案!$A$4:$P$1203,6,0),"※编码不在物料档案里"))</f>
        <v/>
      </c>
      <c r="J3451" s="23" t="n"/>
      <c r="K3451" s="17" t="n"/>
      <c r="L3451" s="17" t="n"/>
      <c r="M3451" s="17" t="n"/>
      <c r="N3451" s="17" t="n"/>
      <c r="O3451" s="26">
        <f>IF($D3451="","",IFERROR(VLOOKUP($D3451,物料档案!$A$4:$P$1203,10,0),0))</f>
        <v/>
      </c>
      <c r="P3451" s="32" t="n"/>
      <c r="Q3451" s="26">
        <f>IF($D3451="","",IF($K3451&lt;&gt;"对外销售",0,ROUND(N($J3451)*IF($P3451="",N($O3451),N($P3451)),0)))</f>
        <v/>
      </c>
      <c r="R3451" s="26">
        <f>IF($D3451="","",IFERROR(VLOOKUP($D3451,库存台账!$A$5:$Y$1204,11,0),0))</f>
        <v/>
      </c>
      <c r="S3451" s="26">
        <f>IF($D3451="","",ROUND(N($J3451)*N($R3451),0))</f>
        <v/>
      </c>
      <c r="T3451" s="26">
        <f>IF($D3451="","",IF($K3451&lt;&gt;"对外销售","",ROUND($Q3451-$S3451,0)))</f>
        <v/>
      </c>
      <c r="U3451" s="17" t="n"/>
      <c r="V3451" s="17" t="n"/>
      <c r="W3451" s="24">
        <f>IF($D3451="","",IF($E3451="※编码不在物料档案里","※物料编码不在档案里",IF(N($J3451)&lt;=0,"※出库数量要大于 0",IF($K3451="","※没填去向类型",IF($L3451="","※没填去向矿区",IF(AND($C3451&lt;&gt;"",$C3451&lt;=结账锁),"※日期早于已结账截止日，不能再录",IF(AND($K3451="自用消耗",COUNTIF({"一矿区";"二矿区"},$L3451)=0),"※自用消耗的去向只能是一矿区或二矿区",IF(AND($K3451="对外销售",COUNTIF({"三矿区";"六矿区"},$L3451)=0),"※对外销售的去向只能是三矿区或六矿区",IF(AND($K3451="对外销售",ROUND($Q3451,0)=0),"※外销却没有售价，请填实际售价",IF(AND($K3451="对外销售",$T3451&lt;&gt;"",$T3451&lt;0),"※这一笔外销是亏的，请核对售价",IF(IFERROR(VLOOKUP($D3451,库存台账!$A$5:$Y$1204,24,0),0)&lt;-0.001,"※这个物料账面已经变成负数了，查一下是不是漏记入库","")))))))))))</f>
        <v/>
      </c>
    </row>
    <row r="3452">
      <c r="A3452" s="24">
        <f>IF($D3452="","",COUNTA($D$4:$D3452))</f>
        <v/>
      </c>
      <c r="B3452" s="17" t="n"/>
      <c r="C3452" s="30" t="n"/>
      <c r="D3452" s="17" t="n"/>
      <c r="E3452" s="24">
        <f>IF($D3452="","",IFERROR(VLOOKUP($D3452,物料档案!$A$4:$P$1203,3,0),"※编码不在物料档案里"))</f>
        <v/>
      </c>
      <c r="F3452" s="24">
        <f>IF($D3452="","",IFERROR(VLOOKUP($D3452,物料档案!$A$4:$P$1203,4,0),"※编码不在物料档案里"))</f>
        <v/>
      </c>
      <c r="G3452" s="24">
        <f>IF($D3452="","",IFERROR(VLOOKUP($D3452,物料档案!$A$4:$P$1203,5,0),"※编码不在物料档案里"))</f>
        <v/>
      </c>
      <c r="H3452" s="24">
        <f>IF($D3452="","",IFERROR(VLOOKUP($D3452,物料档案!$A$4:$P$1203,2,0),"※编码不在物料档案里"))</f>
        <v/>
      </c>
      <c r="I3452" s="24">
        <f>IF($D3452="","",IFERROR(VLOOKUP($D3452,物料档案!$A$4:$P$1203,6,0),"※编码不在物料档案里"))</f>
        <v/>
      </c>
      <c r="J3452" s="23" t="n"/>
      <c r="K3452" s="17" t="n"/>
      <c r="L3452" s="17" t="n"/>
      <c r="M3452" s="17" t="n"/>
      <c r="N3452" s="17" t="n"/>
      <c r="O3452" s="26">
        <f>IF($D3452="","",IFERROR(VLOOKUP($D3452,物料档案!$A$4:$P$1203,10,0),0))</f>
        <v/>
      </c>
      <c r="P3452" s="32" t="n"/>
      <c r="Q3452" s="26">
        <f>IF($D3452="","",IF($K3452&lt;&gt;"对外销售",0,ROUND(N($J3452)*IF($P3452="",N($O3452),N($P3452)),0)))</f>
        <v/>
      </c>
      <c r="R3452" s="26">
        <f>IF($D3452="","",IFERROR(VLOOKUP($D3452,库存台账!$A$5:$Y$1204,11,0),0))</f>
        <v/>
      </c>
      <c r="S3452" s="26">
        <f>IF($D3452="","",ROUND(N($J3452)*N($R3452),0))</f>
        <v/>
      </c>
      <c r="T3452" s="26">
        <f>IF($D3452="","",IF($K3452&lt;&gt;"对外销售","",ROUND($Q3452-$S3452,0)))</f>
        <v/>
      </c>
      <c r="U3452" s="17" t="n"/>
      <c r="V3452" s="17" t="n"/>
      <c r="W3452" s="24">
        <f>IF($D3452="","",IF($E3452="※编码不在物料档案里","※物料编码不在档案里",IF(N($J3452)&lt;=0,"※出库数量要大于 0",IF($K3452="","※没填去向类型",IF($L3452="","※没填去向矿区",IF(AND($C3452&lt;&gt;"",$C3452&lt;=结账锁),"※日期早于已结账截止日，不能再录",IF(AND($K3452="自用消耗",COUNTIF({"一矿区";"二矿区"},$L3452)=0),"※自用消耗的去向只能是一矿区或二矿区",IF(AND($K3452="对外销售",COUNTIF({"三矿区";"六矿区"},$L3452)=0),"※对外销售的去向只能是三矿区或六矿区",IF(AND($K3452="对外销售",ROUND($Q3452,0)=0),"※外销却没有售价，请填实际售价",IF(AND($K3452="对外销售",$T3452&lt;&gt;"",$T3452&lt;0),"※这一笔外销是亏的，请核对售价",IF(IFERROR(VLOOKUP($D3452,库存台账!$A$5:$Y$1204,24,0),0)&lt;-0.001,"※这个物料账面已经变成负数了，查一下是不是漏记入库","")))))))))))</f>
        <v/>
      </c>
    </row>
    <row r="3453">
      <c r="A3453" s="24">
        <f>IF($D3453="","",COUNTA($D$4:$D3453))</f>
        <v/>
      </c>
      <c r="B3453" s="17" t="n"/>
      <c r="C3453" s="30" t="n"/>
      <c r="D3453" s="17" t="n"/>
      <c r="E3453" s="24">
        <f>IF($D3453="","",IFERROR(VLOOKUP($D3453,物料档案!$A$4:$P$1203,3,0),"※编码不在物料档案里"))</f>
        <v/>
      </c>
      <c r="F3453" s="24">
        <f>IF($D3453="","",IFERROR(VLOOKUP($D3453,物料档案!$A$4:$P$1203,4,0),"※编码不在物料档案里"))</f>
        <v/>
      </c>
      <c r="G3453" s="24">
        <f>IF($D3453="","",IFERROR(VLOOKUP($D3453,物料档案!$A$4:$P$1203,5,0),"※编码不在物料档案里"))</f>
        <v/>
      </c>
      <c r="H3453" s="24">
        <f>IF($D3453="","",IFERROR(VLOOKUP($D3453,物料档案!$A$4:$P$1203,2,0),"※编码不在物料档案里"))</f>
        <v/>
      </c>
      <c r="I3453" s="24">
        <f>IF($D3453="","",IFERROR(VLOOKUP($D3453,物料档案!$A$4:$P$1203,6,0),"※编码不在物料档案里"))</f>
        <v/>
      </c>
      <c r="J3453" s="23" t="n"/>
      <c r="K3453" s="17" t="n"/>
      <c r="L3453" s="17" t="n"/>
      <c r="M3453" s="17" t="n"/>
      <c r="N3453" s="17" t="n"/>
      <c r="O3453" s="26">
        <f>IF($D3453="","",IFERROR(VLOOKUP($D3453,物料档案!$A$4:$P$1203,10,0),0))</f>
        <v/>
      </c>
      <c r="P3453" s="32" t="n"/>
      <c r="Q3453" s="26">
        <f>IF($D3453="","",IF($K3453&lt;&gt;"对外销售",0,ROUND(N($J3453)*IF($P3453="",N($O3453),N($P3453)),0)))</f>
        <v/>
      </c>
      <c r="R3453" s="26">
        <f>IF($D3453="","",IFERROR(VLOOKUP($D3453,库存台账!$A$5:$Y$1204,11,0),0))</f>
        <v/>
      </c>
      <c r="S3453" s="26">
        <f>IF($D3453="","",ROUND(N($J3453)*N($R3453),0))</f>
        <v/>
      </c>
      <c r="T3453" s="26">
        <f>IF($D3453="","",IF($K3453&lt;&gt;"对外销售","",ROUND($Q3453-$S3453,0)))</f>
        <v/>
      </c>
      <c r="U3453" s="17" t="n"/>
      <c r="V3453" s="17" t="n"/>
      <c r="W3453" s="24">
        <f>IF($D3453="","",IF($E3453="※编码不在物料档案里","※物料编码不在档案里",IF(N($J3453)&lt;=0,"※出库数量要大于 0",IF($K3453="","※没填去向类型",IF($L3453="","※没填去向矿区",IF(AND($C3453&lt;&gt;"",$C3453&lt;=结账锁),"※日期早于已结账截止日，不能再录",IF(AND($K3453="自用消耗",COUNTIF({"一矿区";"二矿区"},$L3453)=0),"※自用消耗的去向只能是一矿区或二矿区",IF(AND($K3453="对外销售",COUNTIF({"三矿区";"六矿区"},$L3453)=0),"※对外销售的去向只能是三矿区或六矿区",IF(AND($K3453="对外销售",ROUND($Q3453,0)=0),"※外销却没有售价，请填实际售价",IF(AND($K3453="对外销售",$T3453&lt;&gt;"",$T3453&lt;0),"※这一笔外销是亏的，请核对售价",IF(IFERROR(VLOOKUP($D3453,库存台账!$A$5:$Y$1204,24,0),0)&lt;-0.001,"※这个物料账面已经变成负数了，查一下是不是漏记入库","")))))))))))</f>
        <v/>
      </c>
    </row>
    <row r="3454">
      <c r="A3454" s="24">
        <f>IF($D3454="","",COUNTA($D$4:$D3454))</f>
        <v/>
      </c>
      <c r="B3454" s="17" t="n"/>
      <c r="C3454" s="30" t="n"/>
      <c r="D3454" s="17" t="n"/>
      <c r="E3454" s="24">
        <f>IF($D3454="","",IFERROR(VLOOKUP($D3454,物料档案!$A$4:$P$1203,3,0),"※编码不在物料档案里"))</f>
        <v/>
      </c>
      <c r="F3454" s="24">
        <f>IF($D3454="","",IFERROR(VLOOKUP($D3454,物料档案!$A$4:$P$1203,4,0),"※编码不在物料档案里"))</f>
        <v/>
      </c>
      <c r="G3454" s="24">
        <f>IF($D3454="","",IFERROR(VLOOKUP($D3454,物料档案!$A$4:$P$1203,5,0),"※编码不在物料档案里"))</f>
        <v/>
      </c>
      <c r="H3454" s="24">
        <f>IF($D3454="","",IFERROR(VLOOKUP($D3454,物料档案!$A$4:$P$1203,2,0),"※编码不在物料档案里"))</f>
        <v/>
      </c>
      <c r="I3454" s="24">
        <f>IF($D3454="","",IFERROR(VLOOKUP($D3454,物料档案!$A$4:$P$1203,6,0),"※编码不在物料档案里"))</f>
        <v/>
      </c>
      <c r="J3454" s="23" t="n"/>
      <c r="K3454" s="17" t="n"/>
      <c r="L3454" s="17" t="n"/>
      <c r="M3454" s="17" t="n"/>
      <c r="N3454" s="17" t="n"/>
      <c r="O3454" s="26">
        <f>IF($D3454="","",IFERROR(VLOOKUP($D3454,物料档案!$A$4:$P$1203,10,0),0))</f>
        <v/>
      </c>
      <c r="P3454" s="32" t="n"/>
      <c r="Q3454" s="26">
        <f>IF($D3454="","",IF($K3454&lt;&gt;"对外销售",0,ROUND(N($J3454)*IF($P3454="",N($O3454),N($P3454)),0)))</f>
        <v/>
      </c>
      <c r="R3454" s="26">
        <f>IF($D3454="","",IFERROR(VLOOKUP($D3454,库存台账!$A$5:$Y$1204,11,0),0))</f>
        <v/>
      </c>
      <c r="S3454" s="26">
        <f>IF($D3454="","",ROUND(N($J3454)*N($R3454),0))</f>
        <v/>
      </c>
      <c r="T3454" s="26">
        <f>IF($D3454="","",IF($K3454&lt;&gt;"对外销售","",ROUND($Q3454-$S3454,0)))</f>
        <v/>
      </c>
      <c r="U3454" s="17" t="n"/>
      <c r="V3454" s="17" t="n"/>
      <c r="W3454" s="24">
        <f>IF($D3454="","",IF($E3454="※编码不在物料档案里","※物料编码不在档案里",IF(N($J3454)&lt;=0,"※出库数量要大于 0",IF($K3454="","※没填去向类型",IF($L3454="","※没填去向矿区",IF(AND($C3454&lt;&gt;"",$C3454&lt;=结账锁),"※日期早于已结账截止日，不能再录",IF(AND($K3454="自用消耗",COUNTIF({"一矿区";"二矿区"},$L3454)=0),"※自用消耗的去向只能是一矿区或二矿区",IF(AND($K3454="对外销售",COUNTIF({"三矿区";"六矿区"},$L3454)=0),"※对外销售的去向只能是三矿区或六矿区",IF(AND($K3454="对外销售",ROUND($Q3454,0)=0),"※外销却没有售价，请填实际售价",IF(AND($K3454="对外销售",$T3454&lt;&gt;"",$T3454&lt;0),"※这一笔外销是亏的，请核对售价",IF(IFERROR(VLOOKUP($D3454,库存台账!$A$5:$Y$1204,24,0),0)&lt;-0.001,"※这个物料账面已经变成负数了，查一下是不是漏记入库","")))))))))))</f>
        <v/>
      </c>
    </row>
    <row r="3455">
      <c r="A3455" s="24">
        <f>IF($D3455="","",COUNTA($D$4:$D3455))</f>
        <v/>
      </c>
      <c r="B3455" s="17" t="n"/>
      <c r="C3455" s="30" t="n"/>
      <c r="D3455" s="17" t="n"/>
      <c r="E3455" s="24">
        <f>IF($D3455="","",IFERROR(VLOOKUP($D3455,物料档案!$A$4:$P$1203,3,0),"※编码不在物料档案里"))</f>
        <v/>
      </c>
      <c r="F3455" s="24">
        <f>IF($D3455="","",IFERROR(VLOOKUP($D3455,物料档案!$A$4:$P$1203,4,0),"※编码不在物料档案里"))</f>
        <v/>
      </c>
      <c r="G3455" s="24">
        <f>IF($D3455="","",IFERROR(VLOOKUP($D3455,物料档案!$A$4:$P$1203,5,0),"※编码不在物料档案里"))</f>
        <v/>
      </c>
      <c r="H3455" s="24">
        <f>IF($D3455="","",IFERROR(VLOOKUP($D3455,物料档案!$A$4:$P$1203,2,0),"※编码不在物料档案里"))</f>
        <v/>
      </c>
      <c r="I3455" s="24">
        <f>IF($D3455="","",IFERROR(VLOOKUP($D3455,物料档案!$A$4:$P$1203,6,0),"※编码不在物料档案里"))</f>
        <v/>
      </c>
      <c r="J3455" s="23" t="n"/>
      <c r="K3455" s="17" t="n"/>
      <c r="L3455" s="17" t="n"/>
      <c r="M3455" s="17" t="n"/>
      <c r="N3455" s="17" t="n"/>
      <c r="O3455" s="26">
        <f>IF($D3455="","",IFERROR(VLOOKUP($D3455,物料档案!$A$4:$P$1203,10,0),0))</f>
        <v/>
      </c>
      <c r="P3455" s="32" t="n"/>
      <c r="Q3455" s="26">
        <f>IF($D3455="","",IF($K3455&lt;&gt;"对外销售",0,ROUND(N($J3455)*IF($P3455="",N($O3455),N($P3455)),0)))</f>
        <v/>
      </c>
      <c r="R3455" s="26">
        <f>IF($D3455="","",IFERROR(VLOOKUP($D3455,库存台账!$A$5:$Y$1204,11,0),0))</f>
        <v/>
      </c>
      <c r="S3455" s="26">
        <f>IF($D3455="","",ROUND(N($J3455)*N($R3455),0))</f>
        <v/>
      </c>
      <c r="T3455" s="26">
        <f>IF($D3455="","",IF($K3455&lt;&gt;"对外销售","",ROUND($Q3455-$S3455,0)))</f>
        <v/>
      </c>
      <c r="U3455" s="17" t="n"/>
      <c r="V3455" s="17" t="n"/>
      <c r="W3455" s="24">
        <f>IF($D3455="","",IF($E3455="※编码不在物料档案里","※物料编码不在档案里",IF(N($J3455)&lt;=0,"※出库数量要大于 0",IF($K3455="","※没填去向类型",IF($L3455="","※没填去向矿区",IF(AND($C3455&lt;&gt;"",$C3455&lt;=结账锁),"※日期早于已结账截止日，不能再录",IF(AND($K3455="自用消耗",COUNTIF({"一矿区";"二矿区"},$L3455)=0),"※自用消耗的去向只能是一矿区或二矿区",IF(AND($K3455="对外销售",COUNTIF({"三矿区";"六矿区"},$L3455)=0),"※对外销售的去向只能是三矿区或六矿区",IF(AND($K3455="对外销售",ROUND($Q3455,0)=0),"※外销却没有售价，请填实际售价",IF(AND($K3455="对外销售",$T3455&lt;&gt;"",$T3455&lt;0),"※这一笔外销是亏的，请核对售价",IF(IFERROR(VLOOKUP($D3455,库存台账!$A$5:$Y$1204,24,0),0)&lt;-0.001,"※这个物料账面已经变成负数了，查一下是不是漏记入库","")))))))))))</f>
        <v/>
      </c>
    </row>
    <row r="3456">
      <c r="A3456" s="24">
        <f>IF($D3456="","",COUNTA($D$4:$D3456))</f>
        <v/>
      </c>
      <c r="B3456" s="17" t="n"/>
      <c r="C3456" s="30" t="n"/>
      <c r="D3456" s="17" t="n"/>
      <c r="E3456" s="24">
        <f>IF($D3456="","",IFERROR(VLOOKUP($D3456,物料档案!$A$4:$P$1203,3,0),"※编码不在物料档案里"))</f>
        <v/>
      </c>
      <c r="F3456" s="24">
        <f>IF($D3456="","",IFERROR(VLOOKUP($D3456,物料档案!$A$4:$P$1203,4,0),"※编码不在物料档案里"))</f>
        <v/>
      </c>
      <c r="G3456" s="24">
        <f>IF($D3456="","",IFERROR(VLOOKUP($D3456,物料档案!$A$4:$P$1203,5,0),"※编码不在物料档案里"))</f>
        <v/>
      </c>
      <c r="H3456" s="24">
        <f>IF($D3456="","",IFERROR(VLOOKUP($D3456,物料档案!$A$4:$P$1203,2,0),"※编码不在物料档案里"))</f>
        <v/>
      </c>
      <c r="I3456" s="24">
        <f>IF($D3456="","",IFERROR(VLOOKUP($D3456,物料档案!$A$4:$P$1203,6,0),"※编码不在物料档案里"))</f>
        <v/>
      </c>
      <c r="J3456" s="23" t="n"/>
      <c r="K3456" s="17" t="n"/>
      <c r="L3456" s="17" t="n"/>
      <c r="M3456" s="17" t="n"/>
      <c r="N3456" s="17" t="n"/>
      <c r="O3456" s="26">
        <f>IF($D3456="","",IFERROR(VLOOKUP($D3456,物料档案!$A$4:$P$1203,10,0),0))</f>
        <v/>
      </c>
      <c r="P3456" s="32" t="n"/>
      <c r="Q3456" s="26">
        <f>IF($D3456="","",IF($K3456&lt;&gt;"对外销售",0,ROUND(N($J3456)*IF($P3456="",N($O3456),N($P3456)),0)))</f>
        <v/>
      </c>
      <c r="R3456" s="26">
        <f>IF($D3456="","",IFERROR(VLOOKUP($D3456,库存台账!$A$5:$Y$1204,11,0),0))</f>
        <v/>
      </c>
      <c r="S3456" s="26">
        <f>IF($D3456="","",ROUND(N($J3456)*N($R3456),0))</f>
        <v/>
      </c>
      <c r="T3456" s="26">
        <f>IF($D3456="","",IF($K3456&lt;&gt;"对外销售","",ROUND($Q3456-$S3456,0)))</f>
        <v/>
      </c>
      <c r="U3456" s="17" t="n"/>
      <c r="V3456" s="17" t="n"/>
      <c r="W3456" s="24">
        <f>IF($D3456="","",IF($E3456="※编码不在物料档案里","※物料编码不在档案里",IF(N($J3456)&lt;=0,"※出库数量要大于 0",IF($K3456="","※没填去向类型",IF($L3456="","※没填去向矿区",IF(AND($C3456&lt;&gt;"",$C3456&lt;=结账锁),"※日期早于已结账截止日，不能再录",IF(AND($K3456="自用消耗",COUNTIF({"一矿区";"二矿区"},$L3456)=0),"※自用消耗的去向只能是一矿区或二矿区",IF(AND($K3456="对外销售",COUNTIF({"三矿区";"六矿区"},$L3456)=0),"※对外销售的去向只能是三矿区或六矿区",IF(AND($K3456="对外销售",ROUND($Q3456,0)=0),"※外销却没有售价，请填实际售价",IF(AND($K3456="对外销售",$T3456&lt;&gt;"",$T3456&lt;0),"※这一笔外销是亏的，请核对售价",IF(IFERROR(VLOOKUP($D3456,库存台账!$A$5:$Y$1204,24,0),0)&lt;-0.001,"※这个物料账面已经变成负数了，查一下是不是漏记入库","")))))))))))</f>
        <v/>
      </c>
    </row>
    <row r="3457">
      <c r="A3457" s="24">
        <f>IF($D3457="","",COUNTA($D$4:$D3457))</f>
        <v/>
      </c>
      <c r="B3457" s="17" t="n"/>
      <c r="C3457" s="30" t="n"/>
      <c r="D3457" s="17" t="n"/>
      <c r="E3457" s="24">
        <f>IF($D3457="","",IFERROR(VLOOKUP($D3457,物料档案!$A$4:$P$1203,3,0),"※编码不在物料档案里"))</f>
        <v/>
      </c>
      <c r="F3457" s="24">
        <f>IF($D3457="","",IFERROR(VLOOKUP($D3457,物料档案!$A$4:$P$1203,4,0),"※编码不在物料档案里"))</f>
        <v/>
      </c>
      <c r="G3457" s="24">
        <f>IF($D3457="","",IFERROR(VLOOKUP($D3457,物料档案!$A$4:$P$1203,5,0),"※编码不在物料档案里"))</f>
        <v/>
      </c>
      <c r="H3457" s="24">
        <f>IF($D3457="","",IFERROR(VLOOKUP($D3457,物料档案!$A$4:$P$1203,2,0),"※编码不在物料档案里"))</f>
        <v/>
      </c>
      <c r="I3457" s="24">
        <f>IF($D3457="","",IFERROR(VLOOKUP($D3457,物料档案!$A$4:$P$1203,6,0),"※编码不在物料档案里"))</f>
        <v/>
      </c>
      <c r="J3457" s="23" t="n"/>
      <c r="K3457" s="17" t="n"/>
      <c r="L3457" s="17" t="n"/>
      <c r="M3457" s="17" t="n"/>
      <c r="N3457" s="17" t="n"/>
      <c r="O3457" s="26">
        <f>IF($D3457="","",IFERROR(VLOOKUP($D3457,物料档案!$A$4:$P$1203,10,0),0))</f>
        <v/>
      </c>
      <c r="P3457" s="32" t="n"/>
      <c r="Q3457" s="26">
        <f>IF($D3457="","",IF($K3457&lt;&gt;"对外销售",0,ROUND(N($J3457)*IF($P3457="",N($O3457),N($P3457)),0)))</f>
        <v/>
      </c>
      <c r="R3457" s="26">
        <f>IF($D3457="","",IFERROR(VLOOKUP($D3457,库存台账!$A$5:$Y$1204,11,0),0))</f>
        <v/>
      </c>
      <c r="S3457" s="26">
        <f>IF($D3457="","",ROUND(N($J3457)*N($R3457),0))</f>
        <v/>
      </c>
      <c r="T3457" s="26">
        <f>IF($D3457="","",IF($K3457&lt;&gt;"对外销售","",ROUND($Q3457-$S3457,0)))</f>
        <v/>
      </c>
      <c r="U3457" s="17" t="n"/>
      <c r="V3457" s="17" t="n"/>
      <c r="W3457" s="24">
        <f>IF($D3457="","",IF($E3457="※编码不在物料档案里","※物料编码不在档案里",IF(N($J3457)&lt;=0,"※出库数量要大于 0",IF($K3457="","※没填去向类型",IF($L3457="","※没填去向矿区",IF(AND($C3457&lt;&gt;"",$C3457&lt;=结账锁),"※日期早于已结账截止日，不能再录",IF(AND($K3457="自用消耗",COUNTIF({"一矿区";"二矿区"},$L3457)=0),"※自用消耗的去向只能是一矿区或二矿区",IF(AND($K3457="对外销售",COUNTIF({"三矿区";"六矿区"},$L3457)=0),"※对外销售的去向只能是三矿区或六矿区",IF(AND($K3457="对外销售",ROUND($Q3457,0)=0),"※外销却没有售价，请填实际售价",IF(AND($K3457="对外销售",$T3457&lt;&gt;"",$T3457&lt;0),"※这一笔外销是亏的，请核对售价",IF(IFERROR(VLOOKUP($D3457,库存台账!$A$5:$Y$1204,24,0),0)&lt;-0.001,"※这个物料账面已经变成负数了，查一下是不是漏记入库","")))))))))))</f>
        <v/>
      </c>
    </row>
    <row r="3458">
      <c r="A3458" s="24">
        <f>IF($D3458="","",COUNTA($D$4:$D3458))</f>
        <v/>
      </c>
      <c r="B3458" s="17" t="n"/>
      <c r="C3458" s="30" t="n"/>
      <c r="D3458" s="17" t="n"/>
      <c r="E3458" s="24">
        <f>IF($D3458="","",IFERROR(VLOOKUP($D3458,物料档案!$A$4:$P$1203,3,0),"※编码不在物料档案里"))</f>
        <v/>
      </c>
      <c r="F3458" s="24">
        <f>IF($D3458="","",IFERROR(VLOOKUP($D3458,物料档案!$A$4:$P$1203,4,0),"※编码不在物料档案里"))</f>
        <v/>
      </c>
      <c r="G3458" s="24">
        <f>IF($D3458="","",IFERROR(VLOOKUP($D3458,物料档案!$A$4:$P$1203,5,0),"※编码不在物料档案里"))</f>
        <v/>
      </c>
      <c r="H3458" s="24">
        <f>IF($D3458="","",IFERROR(VLOOKUP($D3458,物料档案!$A$4:$P$1203,2,0),"※编码不在物料档案里"))</f>
        <v/>
      </c>
      <c r="I3458" s="24">
        <f>IF($D3458="","",IFERROR(VLOOKUP($D3458,物料档案!$A$4:$P$1203,6,0),"※编码不在物料档案里"))</f>
        <v/>
      </c>
      <c r="J3458" s="23" t="n"/>
      <c r="K3458" s="17" t="n"/>
      <c r="L3458" s="17" t="n"/>
      <c r="M3458" s="17" t="n"/>
      <c r="N3458" s="17" t="n"/>
      <c r="O3458" s="26">
        <f>IF($D3458="","",IFERROR(VLOOKUP($D3458,物料档案!$A$4:$P$1203,10,0),0))</f>
        <v/>
      </c>
      <c r="P3458" s="32" t="n"/>
      <c r="Q3458" s="26">
        <f>IF($D3458="","",IF($K3458&lt;&gt;"对外销售",0,ROUND(N($J3458)*IF($P3458="",N($O3458),N($P3458)),0)))</f>
        <v/>
      </c>
      <c r="R3458" s="26">
        <f>IF($D3458="","",IFERROR(VLOOKUP($D3458,库存台账!$A$5:$Y$1204,11,0),0))</f>
        <v/>
      </c>
      <c r="S3458" s="26">
        <f>IF($D3458="","",ROUND(N($J3458)*N($R3458),0))</f>
        <v/>
      </c>
      <c r="T3458" s="26">
        <f>IF($D3458="","",IF($K3458&lt;&gt;"对外销售","",ROUND($Q3458-$S3458,0)))</f>
        <v/>
      </c>
      <c r="U3458" s="17" t="n"/>
      <c r="V3458" s="17" t="n"/>
      <c r="W3458" s="24">
        <f>IF($D3458="","",IF($E3458="※编码不在物料档案里","※物料编码不在档案里",IF(N($J3458)&lt;=0,"※出库数量要大于 0",IF($K3458="","※没填去向类型",IF($L3458="","※没填去向矿区",IF(AND($C3458&lt;&gt;"",$C3458&lt;=结账锁),"※日期早于已结账截止日，不能再录",IF(AND($K3458="自用消耗",COUNTIF({"一矿区";"二矿区"},$L3458)=0),"※自用消耗的去向只能是一矿区或二矿区",IF(AND($K3458="对外销售",COUNTIF({"三矿区";"六矿区"},$L3458)=0),"※对外销售的去向只能是三矿区或六矿区",IF(AND($K3458="对外销售",ROUND($Q3458,0)=0),"※外销却没有售价，请填实际售价",IF(AND($K3458="对外销售",$T3458&lt;&gt;"",$T3458&lt;0),"※这一笔外销是亏的，请核对售价",IF(IFERROR(VLOOKUP($D3458,库存台账!$A$5:$Y$1204,24,0),0)&lt;-0.001,"※这个物料账面已经变成负数了，查一下是不是漏记入库","")))))))))))</f>
        <v/>
      </c>
    </row>
    <row r="3459">
      <c r="A3459" s="24">
        <f>IF($D3459="","",COUNTA($D$4:$D3459))</f>
        <v/>
      </c>
      <c r="B3459" s="17" t="n"/>
      <c r="C3459" s="30" t="n"/>
      <c r="D3459" s="17" t="n"/>
      <c r="E3459" s="24">
        <f>IF($D3459="","",IFERROR(VLOOKUP($D3459,物料档案!$A$4:$P$1203,3,0),"※编码不在物料档案里"))</f>
        <v/>
      </c>
      <c r="F3459" s="24">
        <f>IF($D3459="","",IFERROR(VLOOKUP($D3459,物料档案!$A$4:$P$1203,4,0),"※编码不在物料档案里"))</f>
        <v/>
      </c>
      <c r="G3459" s="24">
        <f>IF($D3459="","",IFERROR(VLOOKUP($D3459,物料档案!$A$4:$P$1203,5,0),"※编码不在物料档案里"))</f>
        <v/>
      </c>
      <c r="H3459" s="24">
        <f>IF($D3459="","",IFERROR(VLOOKUP($D3459,物料档案!$A$4:$P$1203,2,0),"※编码不在物料档案里"))</f>
        <v/>
      </c>
      <c r="I3459" s="24">
        <f>IF($D3459="","",IFERROR(VLOOKUP($D3459,物料档案!$A$4:$P$1203,6,0),"※编码不在物料档案里"))</f>
        <v/>
      </c>
      <c r="J3459" s="23" t="n"/>
      <c r="K3459" s="17" t="n"/>
      <c r="L3459" s="17" t="n"/>
      <c r="M3459" s="17" t="n"/>
      <c r="N3459" s="17" t="n"/>
      <c r="O3459" s="26">
        <f>IF($D3459="","",IFERROR(VLOOKUP($D3459,物料档案!$A$4:$P$1203,10,0),0))</f>
        <v/>
      </c>
      <c r="P3459" s="32" t="n"/>
      <c r="Q3459" s="26">
        <f>IF($D3459="","",IF($K3459&lt;&gt;"对外销售",0,ROUND(N($J3459)*IF($P3459="",N($O3459),N($P3459)),0)))</f>
        <v/>
      </c>
      <c r="R3459" s="26">
        <f>IF($D3459="","",IFERROR(VLOOKUP($D3459,库存台账!$A$5:$Y$1204,11,0),0))</f>
        <v/>
      </c>
      <c r="S3459" s="26">
        <f>IF($D3459="","",ROUND(N($J3459)*N($R3459),0))</f>
        <v/>
      </c>
      <c r="T3459" s="26">
        <f>IF($D3459="","",IF($K3459&lt;&gt;"对外销售","",ROUND($Q3459-$S3459,0)))</f>
        <v/>
      </c>
      <c r="U3459" s="17" t="n"/>
      <c r="V3459" s="17" t="n"/>
      <c r="W3459" s="24">
        <f>IF($D3459="","",IF($E3459="※编码不在物料档案里","※物料编码不在档案里",IF(N($J3459)&lt;=0,"※出库数量要大于 0",IF($K3459="","※没填去向类型",IF($L3459="","※没填去向矿区",IF(AND($C3459&lt;&gt;"",$C3459&lt;=结账锁),"※日期早于已结账截止日，不能再录",IF(AND($K3459="自用消耗",COUNTIF({"一矿区";"二矿区"},$L3459)=0),"※自用消耗的去向只能是一矿区或二矿区",IF(AND($K3459="对外销售",COUNTIF({"三矿区";"六矿区"},$L3459)=0),"※对外销售的去向只能是三矿区或六矿区",IF(AND($K3459="对外销售",ROUND($Q3459,0)=0),"※外销却没有售价，请填实际售价",IF(AND($K3459="对外销售",$T3459&lt;&gt;"",$T3459&lt;0),"※这一笔外销是亏的，请核对售价",IF(IFERROR(VLOOKUP($D3459,库存台账!$A$5:$Y$1204,24,0),0)&lt;-0.001,"※这个物料账面已经变成负数了，查一下是不是漏记入库","")))))))))))</f>
        <v/>
      </c>
    </row>
    <row r="3460">
      <c r="A3460" s="24">
        <f>IF($D3460="","",COUNTA($D$4:$D3460))</f>
        <v/>
      </c>
      <c r="B3460" s="17" t="n"/>
      <c r="C3460" s="30" t="n"/>
      <c r="D3460" s="17" t="n"/>
      <c r="E3460" s="24">
        <f>IF($D3460="","",IFERROR(VLOOKUP($D3460,物料档案!$A$4:$P$1203,3,0),"※编码不在物料档案里"))</f>
        <v/>
      </c>
      <c r="F3460" s="24">
        <f>IF($D3460="","",IFERROR(VLOOKUP($D3460,物料档案!$A$4:$P$1203,4,0),"※编码不在物料档案里"))</f>
        <v/>
      </c>
      <c r="G3460" s="24">
        <f>IF($D3460="","",IFERROR(VLOOKUP($D3460,物料档案!$A$4:$P$1203,5,0),"※编码不在物料档案里"))</f>
        <v/>
      </c>
      <c r="H3460" s="24">
        <f>IF($D3460="","",IFERROR(VLOOKUP($D3460,物料档案!$A$4:$P$1203,2,0),"※编码不在物料档案里"))</f>
        <v/>
      </c>
      <c r="I3460" s="24">
        <f>IF($D3460="","",IFERROR(VLOOKUP($D3460,物料档案!$A$4:$P$1203,6,0),"※编码不在物料档案里"))</f>
        <v/>
      </c>
      <c r="J3460" s="23" t="n"/>
      <c r="K3460" s="17" t="n"/>
      <c r="L3460" s="17" t="n"/>
      <c r="M3460" s="17" t="n"/>
      <c r="N3460" s="17" t="n"/>
      <c r="O3460" s="26">
        <f>IF($D3460="","",IFERROR(VLOOKUP($D3460,物料档案!$A$4:$P$1203,10,0),0))</f>
        <v/>
      </c>
      <c r="P3460" s="32" t="n"/>
      <c r="Q3460" s="26">
        <f>IF($D3460="","",IF($K3460&lt;&gt;"对外销售",0,ROUND(N($J3460)*IF($P3460="",N($O3460),N($P3460)),0)))</f>
        <v/>
      </c>
      <c r="R3460" s="26">
        <f>IF($D3460="","",IFERROR(VLOOKUP($D3460,库存台账!$A$5:$Y$1204,11,0),0))</f>
        <v/>
      </c>
      <c r="S3460" s="26">
        <f>IF($D3460="","",ROUND(N($J3460)*N($R3460),0))</f>
        <v/>
      </c>
      <c r="T3460" s="26">
        <f>IF($D3460="","",IF($K3460&lt;&gt;"对外销售","",ROUND($Q3460-$S3460,0)))</f>
        <v/>
      </c>
      <c r="U3460" s="17" t="n"/>
      <c r="V3460" s="17" t="n"/>
      <c r="W3460" s="24">
        <f>IF($D3460="","",IF($E3460="※编码不在物料档案里","※物料编码不在档案里",IF(N($J3460)&lt;=0,"※出库数量要大于 0",IF($K3460="","※没填去向类型",IF($L3460="","※没填去向矿区",IF(AND($C3460&lt;&gt;"",$C3460&lt;=结账锁),"※日期早于已结账截止日，不能再录",IF(AND($K3460="自用消耗",COUNTIF({"一矿区";"二矿区"},$L3460)=0),"※自用消耗的去向只能是一矿区或二矿区",IF(AND($K3460="对外销售",COUNTIF({"三矿区";"六矿区"},$L3460)=0),"※对外销售的去向只能是三矿区或六矿区",IF(AND($K3460="对外销售",ROUND($Q3460,0)=0),"※外销却没有售价，请填实际售价",IF(AND($K3460="对外销售",$T3460&lt;&gt;"",$T3460&lt;0),"※这一笔外销是亏的，请核对售价",IF(IFERROR(VLOOKUP($D3460,库存台账!$A$5:$Y$1204,24,0),0)&lt;-0.001,"※这个物料账面已经变成负数了，查一下是不是漏记入库","")))))))))))</f>
        <v/>
      </c>
    </row>
    <row r="3461">
      <c r="A3461" s="24">
        <f>IF($D3461="","",COUNTA($D$4:$D3461))</f>
        <v/>
      </c>
      <c r="B3461" s="17" t="n"/>
      <c r="C3461" s="30" t="n"/>
      <c r="D3461" s="17" t="n"/>
      <c r="E3461" s="24">
        <f>IF($D3461="","",IFERROR(VLOOKUP($D3461,物料档案!$A$4:$P$1203,3,0),"※编码不在物料档案里"))</f>
        <v/>
      </c>
      <c r="F3461" s="24">
        <f>IF($D3461="","",IFERROR(VLOOKUP($D3461,物料档案!$A$4:$P$1203,4,0),"※编码不在物料档案里"))</f>
        <v/>
      </c>
      <c r="G3461" s="24">
        <f>IF($D3461="","",IFERROR(VLOOKUP($D3461,物料档案!$A$4:$P$1203,5,0),"※编码不在物料档案里"))</f>
        <v/>
      </c>
      <c r="H3461" s="24">
        <f>IF($D3461="","",IFERROR(VLOOKUP($D3461,物料档案!$A$4:$P$1203,2,0),"※编码不在物料档案里"))</f>
        <v/>
      </c>
      <c r="I3461" s="24">
        <f>IF($D3461="","",IFERROR(VLOOKUP($D3461,物料档案!$A$4:$P$1203,6,0),"※编码不在物料档案里"))</f>
        <v/>
      </c>
      <c r="J3461" s="23" t="n"/>
      <c r="K3461" s="17" t="n"/>
      <c r="L3461" s="17" t="n"/>
      <c r="M3461" s="17" t="n"/>
      <c r="N3461" s="17" t="n"/>
      <c r="O3461" s="26">
        <f>IF($D3461="","",IFERROR(VLOOKUP($D3461,物料档案!$A$4:$P$1203,10,0),0))</f>
        <v/>
      </c>
      <c r="P3461" s="32" t="n"/>
      <c r="Q3461" s="26">
        <f>IF($D3461="","",IF($K3461&lt;&gt;"对外销售",0,ROUND(N($J3461)*IF($P3461="",N($O3461),N($P3461)),0)))</f>
        <v/>
      </c>
      <c r="R3461" s="26">
        <f>IF($D3461="","",IFERROR(VLOOKUP($D3461,库存台账!$A$5:$Y$1204,11,0),0))</f>
        <v/>
      </c>
      <c r="S3461" s="26">
        <f>IF($D3461="","",ROUND(N($J3461)*N($R3461),0))</f>
        <v/>
      </c>
      <c r="T3461" s="26">
        <f>IF($D3461="","",IF($K3461&lt;&gt;"对外销售","",ROUND($Q3461-$S3461,0)))</f>
        <v/>
      </c>
      <c r="U3461" s="17" t="n"/>
      <c r="V3461" s="17" t="n"/>
      <c r="W3461" s="24">
        <f>IF($D3461="","",IF($E3461="※编码不在物料档案里","※物料编码不在档案里",IF(N($J3461)&lt;=0,"※出库数量要大于 0",IF($K3461="","※没填去向类型",IF($L3461="","※没填去向矿区",IF(AND($C3461&lt;&gt;"",$C3461&lt;=结账锁),"※日期早于已结账截止日，不能再录",IF(AND($K3461="自用消耗",COUNTIF({"一矿区";"二矿区"},$L3461)=0),"※自用消耗的去向只能是一矿区或二矿区",IF(AND($K3461="对外销售",COUNTIF({"三矿区";"六矿区"},$L3461)=0),"※对外销售的去向只能是三矿区或六矿区",IF(AND($K3461="对外销售",ROUND($Q3461,0)=0),"※外销却没有售价，请填实际售价",IF(AND($K3461="对外销售",$T3461&lt;&gt;"",$T3461&lt;0),"※这一笔外销是亏的，请核对售价",IF(IFERROR(VLOOKUP($D3461,库存台账!$A$5:$Y$1204,24,0),0)&lt;-0.001,"※这个物料账面已经变成负数了，查一下是不是漏记入库","")))))))))))</f>
        <v/>
      </c>
    </row>
    <row r="3462">
      <c r="A3462" s="24">
        <f>IF($D3462="","",COUNTA($D$4:$D3462))</f>
        <v/>
      </c>
      <c r="B3462" s="17" t="n"/>
      <c r="C3462" s="30" t="n"/>
      <c r="D3462" s="17" t="n"/>
      <c r="E3462" s="24">
        <f>IF($D3462="","",IFERROR(VLOOKUP($D3462,物料档案!$A$4:$P$1203,3,0),"※编码不在物料档案里"))</f>
        <v/>
      </c>
      <c r="F3462" s="24">
        <f>IF($D3462="","",IFERROR(VLOOKUP($D3462,物料档案!$A$4:$P$1203,4,0),"※编码不在物料档案里"))</f>
        <v/>
      </c>
      <c r="G3462" s="24">
        <f>IF($D3462="","",IFERROR(VLOOKUP($D3462,物料档案!$A$4:$P$1203,5,0),"※编码不在物料档案里"))</f>
        <v/>
      </c>
      <c r="H3462" s="24">
        <f>IF($D3462="","",IFERROR(VLOOKUP($D3462,物料档案!$A$4:$P$1203,2,0),"※编码不在物料档案里"))</f>
        <v/>
      </c>
      <c r="I3462" s="24">
        <f>IF($D3462="","",IFERROR(VLOOKUP($D3462,物料档案!$A$4:$P$1203,6,0),"※编码不在物料档案里"))</f>
        <v/>
      </c>
      <c r="J3462" s="23" t="n"/>
      <c r="K3462" s="17" t="n"/>
      <c r="L3462" s="17" t="n"/>
      <c r="M3462" s="17" t="n"/>
      <c r="N3462" s="17" t="n"/>
      <c r="O3462" s="26">
        <f>IF($D3462="","",IFERROR(VLOOKUP($D3462,物料档案!$A$4:$P$1203,10,0),0))</f>
        <v/>
      </c>
      <c r="P3462" s="32" t="n"/>
      <c r="Q3462" s="26">
        <f>IF($D3462="","",IF($K3462&lt;&gt;"对外销售",0,ROUND(N($J3462)*IF($P3462="",N($O3462),N($P3462)),0)))</f>
        <v/>
      </c>
      <c r="R3462" s="26">
        <f>IF($D3462="","",IFERROR(VLOOKUP($D3462,库存台账!$A$5:$Y$1204,11,0),0))</f>
        <v/>
      </c>
      <c r="S3462" s="26">
        <f>IF($D3462="","",ROUND(N($J3462)*N($R3462),0))</f>
        <v/>
      </c>
      <c r="T3462" s="26">
        <f>IF($D3462="","",IF($K3462&lt;&gt;"对外销售","",ROUND($Q3462-$S3462,0)))</f>
        <v/>
      </c>
      <c r="U3462" s="17" t="n"/>
      <c r="V3462" s="17" t="n"/>
      <c r="W3462" s="24">
        <f>IF($D3462="","",IF($E3462="※编码不在物料档案里","※物料编码不在档案里",IF(N($J3462)&lt;=0,"※出库数量要大于 0",IF($K3462="","※没填去向类型",IF($L3462="","※没填去向矿区",IF(AND($C3462&lt;&gt;"",$C3462&lt;=结账锁),"※日期早于已结账截止日，不能再录",IF(AND($K3462="自用消耗",COUNTIF({"一矿区";"二矿区"},$L3462)=0),"※自用消耗的去向只能是一矿区或二矿区",IF(AND($K3462="对外销售",COUNTIF({"三矿区";"六矿区"},$L3462)=0),"※对外销售的去向只能是三矿区或六矿区",IF(AND($K3462="对外销售",ROUND($Q3462,0)=0),"※外销却没有售价，请填实际售价",IF(AND($K3462="对外销售",$T3462&lt;&gt;"",$T3462&lt;0),"※这一笔外销是亏的，请核对售价",IF(IFERROR(VLOOKUP($D3462,库存台账!$A$5:$Y$1204,24,0),0)&lt;-0.001,"※这个物料账面已经变成负数了，查一下是不是漏记入库","")))))))))))</f>
        <v/>
      </c>
    </row>
    <row r="3463">
      <c r="A3463" s="24">
        <f>IF($D3463="","",COUNTA($D$4:$D3463))</f>
        <v/>
      </c>
      <c r="B3463" s="17" t="n"/>
      <c r="C3463" s="30" t="n"/>
      <c r="D3463" s="17" t="n"/>
      <c r="E3463" s="24">
        <f>IF($D3463="","",IFERROR(VLOOKUP($D3463,物料档案!$A$4:$P$1203,3,0),"※编码不在物料档案里"))</f>
        <v/>
      </c>
      <c r="F3463" s="24">
        <f>IF($D3463="","",IFERROR(VLOOKUP($D3463,物料档案!$A$4:$P$1203,4,0),"※编码不在物料档案里"))</f>
        <v/>
      </c>
      <c r="G3463" s="24">
        <f>IF($D3463="","",IFERROR(VLOOKUP($D3463,物料档案!$A$4:$P$1203,5,0),"※编码不在物料档案里"))</f>
        <v/>
      </c>
      <c r="H3463" s="24">
        <f>IF($D3463="","",IFERROR(VLOOKUP($D3463,物料档案!$A$4:$P$1203,2,0),"※编码不在物料档案里"))</f>
        <v/>
      </c>
      <c r="I3463" s="24">
        <f>IF($D3463="","",IFERROR(VLOOKUP($D3463,物料档案!$A$4:$P$1203,6,0),"※编码不在物料档案里"))</f>
        <v/>
      </c>
      <c r="J3463" s="23" t="n"/>
      <c r="K3463" s="17" t="n"/>
      <c r="L3463" s="17" t="n"/>
      <c r="M3463" s="17" t="n"/>
      <c r="N3463" s="17" t="n"/>
      <c r="O3463" s="26">
        <f>IF($D3463="","",IFERROR(VLOOKUP($D3463,物料档案!$A$4:$P$1203,10,0),0))</f>
        <v/>
      </c>
      <c r="P3463" s="32" t="n"/>
      <c r="Q3463" s="26">
        <f>IF($D3463="","",IF($K3463&lt;&gt;"对外销售",0,ROUND(N($J3463)*IF($P3463="",N($O3463),N($P3463)),0)))</f>
        <v/>
      </c>
      <c r="R3463" s="26">
        <f>IF($D3463="","",IFERROR(VLOOKUP($D3463,库存台账!$A$5:$Y$1204,11,0),0))</f>
        <v/>
      </c>
      <c r="S3463" s="26">
        <f>IF($D3463="","",ROUND(N($J3463)*N($R3463),0))</f>
        <v/>
      </c>
      <c r="T3463" s="26">
        <f>IF($D3463="","",IF($K3463&lt;&gt;"对外销售","",ROUND($Q3463-$S3463,0)))</f>
        <v/>
      </c>
      <c r="U3463" s="17" t="n"/>
      <c r="V3463" s="17" t="n"/>
      <c r="W3463" s="24">
        <f>IF($D3463="","",IF($E3463="※编码不在物料档案里","※物料编码不在档案里",IF(N($J3463)&lt;=0,"※出库数量要大于 0",IF($K3463="","※没填去向类型",IF($L3463="","※没填去向矿区",IF(AND($C3463&lt;&gt;"",$C3463&lt;=结账锁),"※日期早于已结账截止日，不能再录",IF(AND($K3463="自用消耗",COUNTIF({"一矿区";"二矿区"},$L3463)=0),"※自用消耗的去向只能是一矿区或二矿区",IF(AND($K3463="对外销售",COUNTIF({"三矿区";"六矿区"},$L3463)=0),"※对外销售的去向只能是三矿区或六矿区",IF(AND($K3463="对外销售",ROUND($Q3463,0)=0),"※外销却没有售价，请填实际售价",IF(AND($K3463="对外销售",$T3463&lt;&gt;"",$T3463&lt;0),"※这一笔外销是亏的，请核对售价",IF(IFERROR(VLOOKUP($D3463,库存台账!$A$5:$Y$1204,24,0),0)&lt;-0.001,"※这个物料账面已经变成负数了，查一下是不是漏记入库","")))))))))))</f>
        <v/>
      </c>
    </row>
    <row r="3464">
      <c r="A3464" s="24">
        <f>IF($D3464="","",COUNTA($D$4:$D3464))</f>
        <v/>
      </c>
      <c r="B3464" s="17" t="n"/>
      <c r="C3464" s="30" t="n"/>
      <c r="D3464" s="17" t="n"/>
      <c r="E3464" s="24">
        <f>IF($D3464="","",IFERROR(VLOOKUP($D3464,物料档案!$A$4:$P$1203,3,0),"※编码不在物料档案里"))</f>
        <v/>
      </c>
      <c r="F3464" s="24">
        <f>IF($D3464="","",IFERROR(VLOOKUP($D3464,物料档案!$A$4:$P$1203,4,0),"※编码不在物料档案里"))</f>
        <v/>
      </c>
      <c r="G3464" s="24">
        <f>IF($D3464="","",IFERROR(VLOOKUP($D3464,物料档案!$A$4:$P$1203,5,0),"※编码不在物料档案里"))</f>
        <v/>
      </c>
      <c r="H3464" s="24">
        <f>IF($D3464="","",IFERROR(VLOOKUP($D3464,物料档案!$A$4:$P$1203,2,0),"※编码不在物料档案里"))</f>
        <v/>
      </c>
      <c r="I3464" s="24">
        <f>IF($D3464="","",IFERROR(VLOOKUP($D3464,物料档案!$A$4:$P$1203,6,0),"※编码不在物料档案里"))</f>
        <v/>
      </c>
      <c r="J3464" s="23" t="n"/>
      <c r="K3464" s="17" t="n"/>
      <c r="L3464" s="17" t="n"/>
      <c r="M3464" s="17" t="n"/>
      <c r="N3464" s="17" t="n"/>
      <c r="O3464" s="26">
        <f>IF($D3464="","",IFERROR(VLOOKUP($D3464,物料档案!$A$4:$P$1203,10,0),0))</f>
        <v/>
      </c>
      <c r="P3464" s="32" t="n"/>
      <c r="Q3464" s="26">
        <f>IF($D3464="","",IF($K3464&lt;&gt;"对外销售",0,ROUND(N($J3464)*IF($P3464="",N($O3464),N($P3464)),0)))</f>
        <v/>
      </c>
      <c r="R3464" s="26">
        <f>IF($D3464="","",IFERROR(VLOOKUP($D3464,库存台账!$A$5:$Y$1204,11,0),0))</f>
        <v/>
      </c>
      <c r="S3464" s="26">
        <f>IF($D3464="","",ROUND(N($J3464)*N($R3464),0))</f>
        <v/>
      </c>
      <c r="T3464" s="26">
        <f>IF($D3464="","",IF($K3464&lt;&gt;"对外销售","",ROUND($Q3464-$S3464,0)))</f>
        <v/>
      </c>
      <c r="U3464" s="17" t="n"/>
      <c r="V3464" s="17" t="n"/>
      <c r="W3464" s="24">
        <f>IF($D3464="","",IF($E3464="※编码不在物料档案里","※物料编码不在档案里",IF(N($J3464)&lt;=0,"※出库数量要大于 0",IF($K3464="","※没填去向类型",IF($L3464="","※没填去向矿区",IF(AND($C3464&lt;&gt;"",$C3464&lt;=结账锁),"※日期早于已结账截止日，不能再录",IF(AND($K3464="自用消耗",COUNTIF({"一矿区";"二矿区"},$L3464)=0),"※自用消耗的去向只能是一矿区或二矿区",IF(AND($K3464="对外销售",COUNTIF({"三矿区";"六矿区"},$L3464)=0),"※对外销售的去向只能是三矿区或六矿区",IF(AND($K3464="对外销售",ROUND($Q3464,0)=0),"※外销却没有售价，请填实际售价",IF(AND($K3464="对外销售",$T3464&lt;&gt;"",$T3464&lt;0),"※这一笔外销是亏的，请核对售价",IF(IFERROR(VLOOKUP($D3464,库存台账!$A$5:$Y$1204,24,0),0)&lt;-0.001,"※这个物料账面已经变成负数了，查一下是不是漏记入库","")))))))))))</f>
        <v/>
      </c>
    </row>
    <row r="3465">
      <c r="A3465" s="24">
        <f>IF($D3465="","",COUNTA($D$4:$D3465))</f>
        <v/>
      </c>
      <c r="B3465" s="17" t="n"/>
      <c r="C3465" s="30" t="n"/>
      <c r="D3465" s="17" t="n"/>
      <c r="E3465" s="24">
        <f>IF($D3465="","",IFERROR(VLOOKUP($D3465,物料档案!$A$4:$P$1203,3,0),"※编码不在物料档案里"))</f>
        <v/>
      </c>
      <c r="F3465" s="24">
        <f>IF($D3465="","",IFERROR(VLOOKUP($D3465,物料档案!$A$4:$P$1203,4,0),"※编码不在物料档案里"))</f>
        <v/>
      </c>
      <c r="G3465" s="24">
        <f>IF($D3465="","",IFERROR(VLOOKUP($D3465,物料档案!$A$4:$P$1203,5,0),"※编码不在物料档案里"))</f>
        <v/>
      </c>
      <c r="H3465" s="24">
        <f>IF($D3465="","",IFERROR(VLOOKUP($D3465,物料档案!$A$4:$P$1203,2,0),"※编码不在物料档案里"))</f>
        <v/>
      </c>
      <c r="I3465" s="24">
        <f>IF($D3465="","",IFERROR(VLOOKUP($D3465,物料档案!$A$4:$P$1203,6,0),"※编码不在物料档案里"))</f>
        <v/>
      </c>
      <c r="J3465" s="23" t="n"/>
      <c r="K3465" s="17" t="n"/>
      <c r="L3465" s="17" t="n"/>
      <c r="M3465" s="17" t="n"/>
      <c r="N3465" s="17" t="n"/>
      <c r="O3465" s="26">
        <f>IF($D3465="","",IFERROR(VLOOKUP($D3465,物料档案!$A$4:$P$1203,10,0),0))</f>
        <v/>
      </c>
      <c r="P3465" s="32" t="n"/>
      <c r="Q3465" s="26">
        <f>IF($D3465="","",IF($K3465&lt;&gt;"对外销售",0,ROUND(N($J3465)*IF($P3465="",N($O3465),N($P3465)),0)))</f>
        <v/>
      </c>
      <c r="R3465" s="26">
        <f>IF($D3465="","",IFERROR(VLOOKUP($D3465,库存台账!$A$5:$Y$1204,11,0),0))</f>
        <v/>
      </c>
      <c r="S3465" s="26">
        <f>IF($D3465="","",ROUND(N($J3465)*N($R3465),0))</f>
        <v/>
      </c>
      <c r="T3465" s="26">
        <f>IF($D3465="","",IF($K3465&lt;&gt;"对外销售","",ROUND($Q3465-$S3465,0)))</f>
        <v/>
      </c>
      <c r="U3465" s="17" t="n"/>
      <c r="V3465" s="17" t="n"/>
      <c r="W3465" s="24">
        <f>IF($D3465="","",IF($E3465="※编码不在物料档案里","※物料编码不在档案里",IF(N($J3465)&lt;=0,"※出库数量要大于 0",IF($K3465="","※没填去向类型",IF($L3465="","※没填去向矿区",IF(AND($C3465&lt;&gt;"",$C3465&lt;=结账锁),"※日期早于已结账截止日，不能再录",IF(AND($K3465="自用消耗",COUNTIF({"一矿区";"二矿区"},$L3465)=0),"※自用消耗的去向只能是一矿区或二矿区",IF(AND($K3465="对外销售",COUNTIF({"三矿区";"六矿区"},$L3465)=0),"※对外销售的去向只能是三矿区或六矿区",IF(AND($K3465="对外销售",ROUND($Q3465,0)=0),"※外销却没有售价，请填实际售价",IF(AND($K3465="对外销售",$T3465&lt;&gt;"",$T3465&lt;0),"※这一笔外销是亏的，请核对售价",IF(IFERROR(VLOOKUP($D3465,库存台账!$A$5:$Y$1204,24,0),0)&lt;-0.001,"※这个物料账面已经变成负数了，查一下是不是漏记入库","")))))))))))</f>
        <v/>
      </c>
    </row>
    <row r="3466">
      <c r="A3466" s="24">
        <f>IF($D3466="","",COUNTA($D$4:$D3466))</f>
        <v/>
      </c>
      <c r="B3466" s="17" t="n"/>
      <c r="C3466" s="30" t="n"/>
      <c r="D3466" s="17" t="n"/>
      <c r="E3466" s="24">
        <f>IF($D3466="","",IFERROR(VLOOKUP($D3466,物料档案!$A$4:$P$1203,3,0),"※编码不在物料档案里"))</f>
        <v/>
      </c>
      <c r="F3466" s="24">
        <f>IF($D3466="","",IFERROR(VLOOKUP($D3466,物料档案!$A$4:$P$1203,4,0),"※编码不在物料档案里"))</f>
        <v/>
      </c>
      <c r="G3466" s="24">
        <f>IF($D3466="","",IFERROR(VLOOKUP($D3466,物料档案!$A$4:$P$1203,5,0),"※编码不在物料档案里"))</f>
        <v/>
      </c>
      <c r="H3466" s="24">
        <f>IF($D3466="","",IFERROR(VLOOKUP($D3466,物料档案!$A$4:$P$1203,2,0),"※编码不在物料档案里"))</f>
        <v/>
      </c>
      <c r="I3466" s="24">
        <f>IF($D3466="","",IFERROR(VLOOKUP($D3466,物料档案!$A$4:$P$1203,6,0),"※编码不在物料档案里"))</f>
        <v/>
      </c>
      <c r="J3466" s="23" t="n"/>
      <c r="K3466" s="17" t="n"/>
      <c r="L3466" s="17" t="n"/>
      <c r="M3466" s="17" t="n"/>
      <c r="N3466" s="17" t="n"/>
      <c r="O3466" s="26">
        <f>IF($D3466="","",IFERROR(VLOOKUP($D3466,物料档案!$A$4:$P$1203,10,0),0))</f>
        <v/>
      </c>
      <c r="P3466" s="32" t="n"/>
      <c r="Q3466" s="26">
        <f>IF($D3466="","",IF($K3466&lt;&gt;"对外销售",0,ROUND(N($J3466)*IF($P3466="",N($O3466),N($P3466)),0)))</f>
        <v/>
      </c>
      <c r="R3466" s="26">
        <f>IF($D3466="","",IFERROR(VLOOKUP($D3466,库存台账!$A$5:$Y$1204,11,0),0))</f>
        <v/>
      </c>
      <c r="S3466" s="26">
        <f>IF($D3466="","",ROUND(N($J3466)*N($R3466),0))</f>
        <v/>
      </c>
      <c r="T3466" s="26">
        <f>IF($D3466="","",IF($K3466&lt;&gt;"对外销售","",ROUND($Q3466-$S3466,0)))</f>
        <v/>
      </c>
      <c r="U3466" s="17" t="n"/>
      <c r="V3466" s="17" t="n"/>
      <c r="W3466" s="24">
        <f>IF($D3466="","",IF($E3466="※编码不在物料档案里","※物料编码不在档案里",IF(N($J3466)&lt;=0,"※出库数量要大于 0",IF($K3466="","※没填去向类型",IF($L3466="","※没填去向矿区",IF(AND($C3466&lt;&gt;"",$C3466&lt;=结账锁),"※日期早于已结账截止日，不能再录",IF(AND($K3466="自用消耗",COUNTIF({"一矿区";"二矿区"},$L3466)=0),"※自用消耗的去向只能是一矿区或二矿区",IF(AND($K3466="对外销售",COUNTIF({"三矿区";"六矿区"},$L3466)=0),"※对外销售的去向只能是三矿区或六矿区",IF(AND($K3466="对外销售",ROUND($Q3466,0)=0),"※外销却没有售价，请填实际售价",IF(AND($K3466="对外销售",$T3466&lt;&gt;"",$T3466&lt;0),"※这一笔外销是亏的，请核对售价",IF(IFERROR(VLOOKUP($D3466,库存台账!$A$5:$Y$1204,24,0),0)&lt;-0.001,"※这个物料账面已经变成负数了，查一下是不是漏记入库","")))))))))))</f>
        <v/>
      </c>
    </row>
    <row r="3467">
      <c r="A3467" s="24">
        <f>IF($D3467="","",COUNTA($D$4:$D3467))</f>
        <v/>
      </c>
      <c r="B3467" s="17" t="n"/>
      <c r="C3467" s="30" t="n"/>
      <c r="D3467" s="17" t="n"/>
      <c r="E3467" s="24">
        <f>IF($D3467="","",IFERROR(VLOOKUP($D3467,物料档案!$A$4:$P$1203,3,0),"※编码不在物料档案里"))</f>
        <v/>
      </c>
      <c r="F3467" s="24">
        <f>IF($D3467="","",IFERROR(VLOOKUP($D3467,物料档案!$A$4:$P$1203,4,0),"※编码不在物料档案里"))</f>
        <v/>
      </c>
      <c r="G3467" s="24">
        <f>IF($D3467="","",IFERROR(VLOOKUP($D3467,物料档案!$A$4:$P$1203,5,0),"※编码不在物料档案里"))</f>
        <v/>
      </c>
      <c r="H3467" s="24">
        <f>IF($D3467="","",IFERROR(VLOOKUP($D3467,物料档案!$A$4:$P$1203,2,0),"※编码不在物料档案里"))</f>
        <v/>
      </c>
      <c r="I3467" s="24">
        <f>IF($D3467="","",IFERROR(VLOOKUP($D3467,物料档案!$A$4:$P$1203,6,0),"※编码不在物料档案里"))</f>
        <v/>
      </c>
      <c r="J3467" s="23" t="n"/>
      <c r="K3467" s="17" t="n"/>
      <c r="L3467" s="17" t="n"/>
      <c r="M3467" s="17" t="n"/>
      <c r="N3467" s="17" t="n"/>
      <c r="O3467" s="26">
        <f>IF($D3467="","",IFERROR(VLOOKUP($D3467,物料档案!$A$4:$P$1203,10,0),0))</f>
        <v/>
      </c>
      <c r="P3467" s="32" t="n"/>
      <c r="Q3467" s="26">
        <f>IF($D3467="","",IF($K3467&lt;&gt;"对外销售",0,ROUND(N($J3467)*IF($P3467="",N($O3467),N($P3467)),0)))</f>
        <v/>
      </c>
      <c r="R3467" s="26">
        <f>IF($D3467="","",IFERROR(VLOOKUP($D3467,库存台账!$A$5:$Y$1204,11,0),0))</f>
        <v/>
      </c>
      <c r="S3467" s="26">
        <f>IF($D3467="","",ROUND(N($J3467)*N($R3467),0))</f>
        <v/>
      </c>
      <c r="T3467" s="26">
        <f>IF($D3467="","",IF($K3467&lt;&gt;"对外销售","",ROUND($Q3467-$S3467,0)))</f>
        <v/>
      </c>
      <c r="U3467" s="17" t="n"/>
      <c r="V3467" s="17" t="n"/>
      <c r="W3467" s="24">
        <f>IF($D3467="","",IF($E3467="※编码不在物料档案里","※物料编码不在档案里",IF(N($J3467)&lt;=0,"※出库数量要大于 0",IF($K3467="","※没填去向类型",IF($L3467="","※没填去向矿区",IF(AND($C3467&lt;&gt;"",$C3467&lt;=结账锁),"※日期早于已结账截止日，不能再录",IF(AND($K3467="自用消耗",COUNTIF({"一矿区";"二矿区"},$L3467)=0),"※自用消耗的去向只能是一矿区或二矿区",IF(AND($K3467="对外销售",COUNTIF({"三矿区";"六矿区"},$L3467)=0),"※对外销售的去向只能是三矿区或六矿区",IF(AND($K3467="对外销售",ROUND($Q3467,0)=0),"※外销却没有售价，请填实际售价",IF(AND($K3467="对外销售",$T3467&lt;&gt;"",$T3467&lt;0),"※这一笔外销是亏的，请核对售价",IF(IFERROR(VLOOKUP($D3467,库存台账!$A$5:$Y$1204,24,0),0)&lt;-0.001,"※这个物料账面已经变成负数了，查一下是不是漏记入库","")))))))))))</f>
        <v/>
      </c>
    </row>
    <row r="3468">
      <c r="A3468" s="24">
        <f>IF($D3468="","",COUNTA($D$4:$D3468))</f>
        <v/>
      </c>
      <c r="B3468" s="17" t="n"/>
      <c r="C3468" s="30" t="n"/>
      <c r="D3468" s="17" t="n"/>
      <c r="E3468" s="24">
        <f>IF($D3468="","",IFERROR(VLOOKUP($D3468,物料档案!$A$4:$P$1203,3,0),"※编码不在物料档案里"))</f>
        <v/>
      </c>
      <c r="F3468" s="24">
        <f>IF($D3468="","",IFERROR(VLOOKUP($D3468,物料档案!$A$4:$P$1203,4,0),"※编码不在物料档案里"))</f>
        <v/>
      </c>
      <c r="G3468" s="24">
        <f>IF($D3468="","",IFERROR(VLOOKUP($D3468,物料档案!$A$4:$P$1203,5,0),"※编码不在物料档案里"))</f>
        <v/>
      </c>
      <c r="H3468" s="24">
        <f>IF($D3468="","",IFERROR(VLOOKUP($D3468,物料档案!$A$4:$P$1203,2,0),"※编码不在物料档案里"))</f>
        <v/>
      </c>
      <c r="I3468" s="24">
        <f>IF($D3468="","",IFERROR(VLOOKUP($D3468,物料档案!$A$4:$P$1203,6,0),"※编码不在物料档案里"))</f>
        <v/>
      </c>
      <c r="J3468" s="23" t="n"/>
      <c r="K3468" s="17" t="n"/>
      <c r="L3468" s="17" t="n"/>
      <c r="M3468" s="17" t="n"/>
      <c r="N3468" s="17" t="n"/>
      <c r="O3468" s="26">
        <f>IF($D3468="","",IFERROR(VLOOKUP($D3468,物料档案!$A$4:$P$1203,10,0),0))</f>
        <v/>
      </c>
      <c r="P3468" s="32" t="n"/>
      <c r="Q3468" s="26">
        <f>IF($D3468="","",IF($K3468&lt;&gt;"对外销售",0,ROUND(N($J3468)*IF($P3468="",N($O3468),N($P3468)),0)))</f>
        <v/>
      </c>
      <c r="R3468" s="26">
        <f>IF($D3468="","",IFERROR(VLOOKUP($D3468,库存台账!$A$5:$Y$1204,11,0),0))</f>
        <v/>
      </c>
      <c r="S3468" s="26">
        <f>IF($D3468="","",ROUND(N($J3468)*N($R3468),0))</f>
        <v/>
      </c>
      <c r="T3468" s="26">
        <f>IF($D3468="","",IF($K3468&lt;&gt;"对外销售","",ROUND($Q3468-$S3468,0)))</f>
        <v/>
      </c>
      <c r="U3468" s="17" t="n"/>
      <c r="V3468" s="17" t="n"/>
      <c r="W3468" s="24">
        <f>IF($D3468="","",IF($E3468="※编码不在物料档案里","※物料编码不在档案里",IF(N($J3468)&lt;=0,"※出库数量要大于 0",IF($K3468="","※没填去向类型",IF($L3468="","※没填去向矿区",IF(AND($C3468&lt;&gt;"",$C3468&lt;=结账锁),"※日期早于已结账截止日，不能再录",IF(AND($K3468="自用消耗",COUNTIF({"一矿区";"二矿区"},$L3468)=0),"※自用消耗的去向只能是一矿区或二矿区",IF(AND($K3468="对外销售",COUNTIF({"三矿区";"六矿区"},$L3468)=0),"※对外销售的去向只能是三矿区或六矿区",IF(AND($K3468="对外销售",ROUND($Q3468,0)=0),"※外销却没有售价，请填实际售价",IF(AND($K3468="对外销售",$T3468&lt;&gt;"",$T3468&lt;0),"※这一笔外销是亏的，请核对售价",IF(IFERROR(VLOOKUP($D3468,库存台账!$A$5:$Y$1204,24,0),0)&lt;-0.001,"※这个物料账面已经变成负数了，查一下是不是漏记入库","")))))))))))</f>
        <v/>
      </c>
    </row>
    <row r="3469">
      <c r="A3469" s="24">
        <f>IF($D3469="","",COUNTA($D$4:$D3469))</f>
        <v/>
      </c>
      <c r="B3469" s="17" t="n"/>
      <c r="C3469" s="30" t="n"/>
      <c r="D3469" s="17" t="n"/>
      <c r="E3469" s="24">
        <f>IF($D3469="","",IFERROR(VLOOKUP($D3469,物料档案!$A$4:$P$1203,3,0),"※编码不在物料档案里"))</f>
        <v/>
      </c>
      <c r="F3469" s="24">
        <f>IF($D3469="","",IFERROR(VLOOKUP($D3469,物料档案!$A$4:$P$1203,4,0),"※编码不在物料档案里"))</f>
        <v/>
      </c>
      <c r="G3469" s="24">
        <f>IF($D3469="","",IFERROR(VLOOKUP($D3469,物料档案!$A$4:$P$1203,5,0),"※编码不在物料档案里"))</f>
        <v/>
      </c>
      <c r="H3469" s="24">
        <f>IF($D3469="","",IFERROR(VLOOKUP($D3469,物料档案!$A$4:$P$1203,2,0),"※编码不在物料档案里"))</f>
        <v/>
      </c>
      <c r="I3469" s="24">
        <f>IF($D3469="","",IFERROR(VLOOKUP($D3469,物料档案!$A$4:$P$1203,6,0),"※编码不在物料档案里"))</f>
        <v/>
      </c>
      <c r="J3469" s="23" t="n"/>
      <c r="K3469" s="17" t="n"/>
      <c r="L3469" s="17" t="n"/>
      <c r="M3469" s="17" t="n"/>
      <c r="N3469" s="17" t="n"/>
      <c r="O3469" s="26">
        <f>IF($D3469="","",IFERROR(VLOOKUP($D3469,物料档案!$A$4:$P$1203,10,0),0))</f>
        <v/>
      </c>
      <c r="P3469" s="32" t="n"/>
      <c r="Q3469" s="26">
        <f>IF($D3469="","",IF($K3469&lt;&gt;"对外销售",0,ROUND(N($J3469)*IF($P3469="",N($O3469),N($P3469)),0)))</f>
        <v/>
      </c>
      <c r="R3469" s="26">
        <f>IF($D3469="","",IFERROR(VLOOKUP($D3469,库存台账!$A$5:$Y$1204,11,0),0))</f>
        <v/>
      </c>
      <c r="S3469" s="26">
        <f>IF($D3469="","",ROUND(N($J3469)*N($R3469),0))</f>
        <v/>
      </c>
      <c r="T3469" s="26">
        <f>IF($D3469="","",IF($K3469&lt;&gt;"对外销售","",ROUND($Q3469-$S3469,0)))</f>
        <v/>
      </c>
      <c r="U3469" s="17" t="n"/>
      <c r="V3469" s="17" t="n"/>
      <c r="W3469" s="24">
        <f>IF($D3469="","",IF($E3469="※编码不在物料档案里","※物料编码不在档案里",IF(N($J3469)&lt;=0,"※出库数量要大于 0",IF($K3469="","※没填去向类型",IF($L3469="","※没填去向矿区",IF(AND($C3469&lt;&gt;"",$C3469&lt;=结账锁),"※日期早于已结账截止日，不能再录",IF(AND($K3469="自用消耗",COUNTIF({"一矿区";"二矿区"},$L3469)=0),"※自用消耗的去向只能是一矿区或二矿区",IF(AND($K3469="对外销售",COUNTIF({"三矿区";"六矿区"},$L3469)=0),"※对外销售的去向只能是三矿区或六矿区",IF(AND($K3469="对外销售",ROUND($Q3469,0)=0),"※外销却没有售价，请填实际售价",IF(AND($K3469="对外销售",$T3469&lt;&gt;"",$T3469&lt;0),"※这一笔外销是亏的，请核对售价",IF(IFERROR(VLOOKUP($D3469,库存台账!$A$5:$Y$1204,24,0),0)&lt;-0.001,"※这个物料账面已经变成负数了，查一下是不是漏记入库","")))))))))))</f>
        <v/>
      </c>
    </row>
    <row r="3470">
      <c r="A3470" s="24">
        <f>IF($D3470="","",COUNTA($D$4:$D3470))</f>
        <v/>
      </c>
      <c r="B3470" s="17" t="n"/>
      <c r="C3470" s="30" t="n"/>
      <c r="D3470" s="17" t="n"/>
      <c r="E3470" s="24">
        <f>IF($D3470="","",IFERROR(VLOOKUP($D3470,物料档案!$A$4:$P$1203,3,0),"※编码不在物料档案里"))</f>
        <v/>
      </c>
      <c r="F3470" s="24">
        <f>IF($D3470="","",IFERROR(VLOOKUP($D3470,物料档案!$A$4:$P$1203,4,0),"※编码不在物料档案里"))</f>
        <v/>
      </c>
      <c r="G3470" s="24">
        <f>IF($D3470="","",IFERROR(VLOOKUP($D3470,物料档案!$A$4:$P$1203,5,0),"※编码不在物料档案里"))</f>
        <v/>
      </c>
      <c r="H3470" s="24">
        <f>IF($D3470="","",IFERROR(VLOOKUP($D3470,物料档案!$A$4:$P$1203,2,0),"※编码不在物料档案里"))</f>
        <v/>
      </c>
      <c r="I3470" s="24">
        <f>IF($D3470="","",IFERROR(VLOOKUP($D3470,物料档案!$A$4:$P$1203,6,0),"※编码不在物料档案里"))</f>
        <v/>
      </c>
      <c r="J3470" s="23" t="n"/>
      <c r="K3470" s="17" t="n"/>
      <c r="L3470" s="17" t="n"/>
      <c r="M3470" s="17" t="n"/>
      <c r="N3470" s="17" t="n"/>
      <c r="O3470" s="26">
        <f>IF($D3470="","",IFERROR(VLOOKUP($D3470,物料档案!$A$4:$P$1203,10,0),0))</f>
        <v/>
      </c>
      <c r="P3470" s="32" t="n"/>
      <c r="Q3470" s="26">
        <f>IF($D3470="","",IF($K3470&lt;&gt;"对外销售",0,ROUND(N($J3470)*IF($P3470="",N($O3470),N($P3470)),0)))</f>
        <v/>
      </c>
      <c r="R3470" s="26">
        <f>IF($D3470="","",IFERROR(VLOOKUP($D3470,库存台账!$A$5:$Y$1204,11,0),0))</f>
        <v/>
      </c>
      <c r="S3470" s="26">
        <f>IF($D3470="","",ROUND(N($J3470)*N($R3470),0))</f>
        <v/>
      </c>
      <c r="T3470" s="26">
        <f>IF($D3470="","",IF($K3470&lt;&gt;"对外销售","",ROUND($Q3470-$S3470,0)))</f>
        <v/>
      </c>
      <c r="U3470" s="17" t="n"/>
      <c r="V3470" s="17" t="n"/>
      <c r="W3470" s="24">
        <f>IF($D3470="","",IF($E3470="※编码不在物料档案里","※物料编码不在档案里",IF(N($J3470)&lt;=0,"※出库数量要大于 0",IF($K3470="","※没填去向类型",IF($L3470="","※没填去向矿区",IF(AND($C3470&lt;&gt;"",$C3470&lt;=结账锁),"※日期早于已结账截止日，不能再录",IF(AND($K3470="自用消耗",COUNTIF({"一矿区";"二矿区"},$L3470)=0),"※自用消耗的去向只能是一矿区或二矿区",IF(AND($K3470="对外销售",COUNTIF({"三矿区";"六矿区"},$L3470)=0),"※对外销售的去向只能是三矿区或六矿区",IF(AND($K3470="对外销售",ROUND($Q3470,0)=0),"※外销却没有售价，请填实际售价",IF(AND($K3470="对外销售",$T3470&lt;&gt;"",$T3470&lt;0),"※这一笔外销是亏的，请核对售价",IF(IFERROR(VLOOKUP($D3470,库存台账!$A$5:$Y$1204,24,0),0)&lt;-0.001,"※这个物料账面已经变成负数了，查一下是不是漏记入库","")))))))))))</f>
        <v/>
      </c>
    </row>
    <row r="3471">
      <c r="A3471" s="24">
        <f>IF($D3471="","",COUNTA($D$4:$D3471))</f>
        <v/>
      </c>
      <c r="B3471" s="17" t="n"/>
      <c r="C3471" s="30" t="n"/>
      <c r="D3471" s="17" t="n"/>
      <c r="E3471" s="24">
        <f>IF($D3471="","",IFERROR(VLOOKUP($D3471,物料档案!$A$4:$P$1203,3,0),"※编码不在物料档案里"))</f>
        <v/>
      </c>
      <c r="F3471" s="24">
        <f>IF($D3471="","",IFERROR(VLOOKUP($D3471,物料档案!$A$4:$P$1203,4,0),"※编码不在物料档案里"))</f>
        <v/>
      </c>
      <c r="G3471" s="24">
        <f>IF($D3471="","",IFERROR(VLOOKUP($D3471,物料档案!$A$4:$P$1203,5,0),"※编码不在物料档案里"))</f>
        <v/>
      </c>
      <c r="H3471" s="24">
        <f>IF($D3471="","",IFERROR(VLOOKUP($D3471,物料档案!$A$4:$P$1203,2,0),"※编码不在物料档案里"))</f>
        <v/>
      </c>
      <c r="I3471" s="24">
        <f>IF($D3471="","",IFERROR(VLOOKUP($D3471,物料档案!$A$4:$P$1203,6,0),"※编码不在物料档案里"))</f>
        <v/>
      </c>
      <c r="J3471" s="23" t="n"/>
      <c r="K3471" s="17" t="n"/>
      <c r="L3471" s="17" t="n"/>
      <c r="M3471" s="17" t="n"/>
      <c r="N3471" s="17" t="n"/>
      <c r="O3471" s="26">
        <f>IF($D3471="","",IFERROR(VLOOKUP($D3471,物料档案!$A$4:$P$1203,10,0),0))</f>
        <v/>
      </c>
      <c r="P3471" s="32" t="n"/>
      <c r="Q3471" s="26">
        <f>IF($D3471="","",IF($K3471&lt;&gt;"对外销售",0,ROUND(N($J3471)*IF($P3471="",N($O3471),N($P3471)),0)))</f>
        <v/>
      </c>
      <c r="R3471" s="26">
        <f>IF($D3471="","",IFERROR(VLOOKUP($D3471,库存台账!$A$5:$Y$1204,11,0),0))</f>
        <v/>
      </c>
      <c r="S3471" s="26">
        <f>IF($D3471="","",ROUND(N($J3471)*N($R3471),0))</f>
        <v/>
      </c>
      <c r="T3471" s="26">
        <f>IF($D3471="","",IF($K3471&lt;&gt;"对外销售","",ROUND($Q3471-$S3471,0)))</f>
        <v/>
      </c>
      <c r="U3471" s="17" t="n"/>
      <c r="V3471" s="17" t="n"/>
      <c r="W3471" s="24">
        <f>IF($D3471="","",IF($E3471="※编码不在物料档案里","※物料编码不在档案里",IF(N($J3471)&lt;=0,"※出库数量要大于 0",IF($K3471="","※没填去向类型",IF($L3471="","※没填去向矿区",IF(AND($C3471&lt;&gt;"",$C3471&lt;=结账锁),"※日期早于已结账截止日，不能再录",IF(AND($K3471="自用消耗",COUNTIF({"一矿区";"二矿区"},$L3471)=0),"※自用消耗的去向只能是一矿区或二矿区",IF(AND($K3471="对外销售",COUNTIF({"三矿区";"六矿区"},$L3471)=0),"※对外销售的去向只能是三矿区或六矿区",IF(AND($K3471="对外销售",ROUND($Q3471,0)=0),"※外销却没有售价，请填实际售价",IF(AND($K3471="对外销售",$T3471&lt;&gt;"",$T3471&lt;0),"※这一笔外销是亏的，请核对售价",IF(IFERROR(VLOOKUP($D3471,库存台账!$A$5:$Y$1204,24,0),0)&lt;-0.001,"※这个物料账面已经变成负数了，查一下是不是漏记入库","")))))))))))</f>
        <v/>
      </c>
    </row>
    <row r="3472">
      <c r="A3472" s="24">
        <f>IF($D3472="","",COUNTA($D$4:$D3472))</f>
        <v/>
      </c>
      <c r="B3472" s="17" t="n"/>
      <c r="C3472" s="30" t="n"/>
      <c r="D3472" s="17" t="n"/>
      <c r="E3472" s="24">
        <f>IF($D3472="","",IFERROR(VLOOKUP($D3472,物料档案!$A$4:$P$1203,3,0),"※编码不在物料档案里"))</f>
        <v/>
      </c>
      <c r="F3472" s="24">
        <f>IF($D3472="","",IFERROR(VLOOKUP($D3472,物料档案!$A$4:$P$1203,4,0),"※编码不在物料档案里"))</f>
        <v/>
      </c>
      <c r="G3472" s="24">
        <f>IF($D3472="","",IFERROR(VLOOKUP($D3472,物料档案!$A$4:$P$1203,5,0),"※编码不在物料档案里"))</f>
        <v/>
      </c>
      <c r="H3472" s="24">
        <f>IF($D3472="","",IFERROR(VLOOKUP($D3472,物料档案!$A$4:$P$1203,2,0),"※编码不在物料档案里"))</f>
        <v/>
      </c>
      <c r="I3472" s="24">
        <f>IF($D3472="","",IFERROR(VLOOKUP($D3472,物料档案!$A$4:$P$1203,6,0),"※编码不在物料档案里"))</f>
        <v/>
      </c>
      <c r="J3472" s="23" t="n"/>
      <c r="K3472" s="17" t="n"/>
      <c r="L3472" s="17" t="n"/>
      <c r="M3472" s="17" t="n"/>
      <c r="N3472" s="17" t="n"/>
      <c r="O3472" s="26">
        <f>IF($D3472="","",IFERROR(VLOOKUP($D3472,物料档案!$A$4:$P$1203,10,0),0))</f>
        <v/>
      </c>
      <c r="P3472" s="32" t="n"/>
      <c r="Q3472" s="26">
        <f>IF($D3472="","",IF($K3472&lt;&gt;"对外销售",0,ROUND(N($J3472)*IF($P3472="",N($O3472),N($P3472)),0)))</f>
        <v/>
      </c>
      <c r="R3472" s="26">
        <f>IF($D3472="","",IFERROR(VLOOKUP($D3472,库存台账!$A$5:$Y$1204,11,0),0))</f>
        <v/>
      </c>
      <c r="S3472" s="26">
        <f>IF($D3472="","",ROUND(N($J3472)*N($R3472),0))</f>
        <v/>
      </c>
      <c r="T3472" s="26">
        <f>IF($D3472="","",IF($K3472&lt;&gt;"对外销售","",ROUND($Q3472-$S3472,0)))</f>
        <v/>
      </c>
      <c r="U3472" s="17" t="n"/>
      <c r="V3472" s="17" t="n"/>
      <c r="W3472" s="24">
        <f>IF($D3472="","",IF($E3472="※编码不在物料档案里","※物料编码不在档案里",IF(N($J3472)&lt;=0,"※出库数量要大于 0",IF($K3472="","※没填去向类型",IF($L3472="","※没填去向矿区",IF(AND($C3472&lt;&gt;"",$C3472&lt;=结账锁),"※日期早于已结账截止日，不能再录",IF(AND($K3472="自用消耗",COUNTIF({"一矿区";"二矿区"},$L3472)=0),"※自用消耗的去向只能是一矿区或二矿区",IF(AND($K3472="对外销售",COUNTIF({"三矿区";"六矿区"},$L3472)=0),"※对外销售的去向只能是三矿区或六矿区",IF(AND($K3472="对外销售",ROUND($Q3472,0)=0),"※外销却没有售价，请填实际售价",IF(AND($K3472="对外销售",$T3472&lt;&gt;"",$T3472&lt;0),"※这一笔外销是亏的，请核对售价",IF(IFERROR(VLOOKUP($D3472,库存台账!$A$5:$Y$1204,24,0),0)&lt;-0.001,"※这个物料账面已经变成负数了，查一下是不是漏记入库","")))))))))))</f>
        <v/>
      </c>
    </row>
    <row r="3473">
      <c r="A3473" s="24">
        <f>IF($D3473="","",COUNTA($D$4:$D3473))</f>
        <v/>
      </c>
      <c r="B3473" s="17" t="n"/>
      <c r="C3473" s="30" t="n"/>
      <c r="D3473" s="17" t="n"/>
      <c r="E3473" s="24">
        <f>IF($D3473="","",IFERROR(VLOOKUP($D3473,物料档案!$A$4:$P$1203,3,0),"※编码不在物料档案里"))</f>
        <v/>
      </c>
      <c r="F3473" s="24">
        <f>IF($D3473="","",IFERROR(VLOOKUP($D3473,物料档案!$A$4:$P$1203,4,0),"※编码不在物料档案里"))</f>
        <v/>
      </c>
      <c r="G3473" s="24">
        <f>IF($D3473="","",IFERROR(VLOOKUP($D3473,物料档案!$A$4:$P$1203,5,0),"※编码不在物料档案里"))</f>
        <v/>
      </c>
      <c r="H3473" s="24">
        <f>IF($D3473="","",IFERROR(VLOOKUP($D3473,物料档案!$A$4:$P$1203,2,0),"※编码不在物料档案里"))</f>
        <v/>
      </c>
      <c r="I3473" s="24">
        <f>IF($D3473="","",IFERROR(VLOOKUP($D3473,物料档案!$A$4:$P$1203,6,0),"※编码不在物料档案里"))</f>
        <v/>
      </c>
      <c r="J3473" s="23" t="n"/>
      <c r="K3473" s="17" t="n"/>
      <c r="L3473" s="17" t="n"/>
      <c r="M3473" s="17" t="n"/>
      <c r="N3473" s="17" t="n"/>
      <c r="O3473" s="26">
        <f>IF($D3473="","",IFERROR(VLOOKUP($D3473,物料档案!$A$4:$P$1203,10,0),0))</f>
        <v/>
      </c>
      <c r="P3473" s="32" t="n"/>
      <c r="Q3473" s="26">
        <f>IF($D3473="","",IF($K3473&lt;&gt;"对外销售",0,ROUND(N($J3473)*IF($P3473="",N($O3473),N($P3473)),0)))</f>
        <v/>
      </c>
      <c r="R3473" s="26">
        <f>IF($D3473="","",IFERROR(VLOOKUP($D3473,库存台账!$A$5:$Y$1204,11,0),0))</f>
        <v/>
      </c>
      <c r="S3473" s="26">
        <f>IF($D3473="","",ROUND(N($J3473)*N($R3473),0))</f>
        <v/>
      </c>
      <c r="T3473" s="26">
        <f>IF($D3473="","",IF($K3473&lt;&gt;"对外销售","",ROUND($Q3473-$S3473,0)))</f>
        <v/>
      </c>
      <c r="U3473" s="17" t="n"/>
      <c r="V3473" s="17" t="n"/>
      <c r="W3473" s="24">
        <f>IF($D3473="","",IF($E3473="※编码不在物料档案里","※物料编码不在档案里",IF(N($J3473)&lt;=0,"※出库数量要大于 0",IF($K3473="","※没填去向类型",IF($L3473="","※没填去向矿区",IF(AND($C3473&lt;&gt;"",$C3473&lt;=结账锁),"※日期早于已结账截止日，不能再录",IF(AND($K3473="自用消耗",COUNTIF({"一矿区";"二矿区"},$L3473)=0),"※自用消耗的去向只能是一矿区或二矿区",IF(AND($K3473="对外销售",COUNTIF({"三矿区";"六矿区"},$L3473)=0),"※对外销售的去向只能是三矿区或六矿区",IF(AND($K3473="对外销售",ROUND($Q3473,0)=0),"※外销却没有售价，请填实际售价",IF(AND($K3473="对外销售",$T3473&lt;&gt;"",$T3473&lt;0),"※这一笔外销是亏的，请核对售价",IF(IFERROR(VLOOKUP($D3473,库存台账!$A$5:$Y$1204,24,0),0)&lt;-0.001,"※这个物料账面已经变成负数了，查一下是不是漏记入库","")))))))))))</f>
        <v/>
      </c>
    </row>
    <row r="3474">
      <c r="A3474" s="24">
        <f>IF($D3474="","",COUNTA($D$4:$D3474))</f>
        <v/>
      </c>
      <c r="B3474" s="17" t="n"/>
      <c r="C3474" s="30" t="n"/>
      <c r="D3474" s="17" t="n"/>
      <c r="E3474" s="24">
        <f>IF($D3474="","",IFERROR(VLOOKUP($D3474,物料档案!$A$4:$P$1203,3,0),"※编码不在物料档案里"))</f>
        <v/>
      </c>
      <c r="F3474" s="24">
        <f>IF($D3474="","",IFERROR(VLOOKUP($D3474,物料档案!$A$4:$P$1203,4,0),"※编码不在物料档案里"))</f>
        <v/>
      </c>
      <c r="G3474" s="24">
        <f>IF($D3474="","",IFERROR(VLOOKUP($D3474,物料档案!$A$4:$P$1203,5,0),"※编码不在物料档案里"))</f>
        <v/>
      </c>
      <c r="H3474" s="24">
        <f>IF($D3474="","",IFERROR(VLOOKUP($D3474,物料档案!$A$4:$P$1203,2,0),"※编码不在物料档案里"))</f>
        <v/>
      </c>
      <c r="I3474" s="24">
        <f>IF($D3474="","",IFERROR(VLOOKUP($D3474,物料档案!$A$4:$P$1203,6,0),"※编码不在物料档案里"))</f>
        <v/>
      </c>
      <c r="J3474" s="23" t="n"/>
      <c r="K3474" s="17" t="n"/>
      <c r="L3474" s="17" t="n"/>
      <c r="M3474" s="17" t="n"/>
      <c r="N3474" s="17" t="n"/>
      <c r="O3474" s="26">
        <f>IF($D3474="","",IFERROR(VLOOKUP($D3474,物料档案!$A$4:$P$1203,10,0),0))</f>
        <v/>
      </c>
      <c r="P3474" s="32" t="n"/>
      <c r="Q3474" s="26">
        <f>IF($D3474="","",IF($K3474&lt;&gt;"对外销售",0,ROUND(N($J3474)*IF($P3474="",N($O3474),N($P3474)),0)))</f>
        <v/>
      </c>
      <c r="R3474" s="26">
        <f>IF($D3474="","",IFERROR(VLOOKUP($D3474,库存台账!$A$5:$Y$1204,11,0),0))</f>
        <v/>
      </c>
      <c r="S3474" s="26">
        <f>IF($D3474="","",ROUND(N($J3474)*N($R3474),0))</f>
        <v/>
      </c>
      <c r="T3474" s="26">
        <f>IF($D3474="","",IF($K3474&lt;&gt;"对外销售","",ROUND($Q3474-$S3474,0)))</f>
        <v/>
      </c>
      <c r="U3474" s="17" t="n"/>
      <c r="V3474" s="17" t="n"/>
      <c r="W3474" s="24">
        <f>IF($D3474="","",IF($E3474="※编码不在物料档案里","※物料编码不在档案里",IF(N($J3474)&lt;=0,"※出库数量要大于 0",IF($K3474="","※没填去向类型",IF($L3474="","※没填去向矿区",IF(AND($C3474&lt;&gt;"",$C3474&lt;=结账锁),"※日期早于已结账截止日，不能再录",IF(AND($K3474="自用消耗",COUNTIF({"一矿区";"二矿区"},$L3474)=0),"※自用消耗的去向只能是一矿区或二矿区",IF(AND($K3474="对外销售",COUNTIF({"三矿区";"六矿区"},$L3474)=0),"※对外销售的去向只能是三矿区或六矿区",IF(AND($K3474="对外销售",ROUND($Q3474,0)=0),"※外销却没有售价，请填实际售价",IF(AND($K3474="对外销售",$T3474&lt;&gt;"",$T3474&lt;0),"※这一笔外销是亏的，请核对售价",IF(IFERROR(VLOOKUP($D3474,库存台账!$A$5:$Y$1204,24,0),0)&lt;-0.001,"※这个物料账面已经变成负数了，查一下是不是漏记入库","")))))))))))</f>
        <v/>
      </c>
    </row>
    <row r="3475">
      <c r="A3475" s="24">
        <f>IF($D3475="","",COUNTA($D$4:$D3475))</f>
        <v/>
      </c>
      <c r="B3475" s="17" t="n"/>
      <c r="C3475" s="30" t="n"/>
      <c r="D3475" s="17" t="n"/>
      <c r="E3475" s="24">
        <f>IF($D3475="","",IFERROR(VLOOKUP($D3475,物料档案!$A$4:$P$1203,3,0),"※编码不在物料档案里"))</f>
        <v/>
      </c>
      <c r="F3475" s="24">
        <f>IF($D3475="","",IFERROR(VLOOKUP($D3475,物料档案!$A$4:$P$1203,4,0),"※编码不在物料档案里"))</f>
        <v/>
      </c>
      <c r="G3475" s="24">
        <f>IF($D3475="","",IFERROR(VLOOKUP($D3475,物料档案!$A$4:$P$1203,5,0),"※编码不在物料档案里"))</f>
        <v/>
      </c>
      <c r="H3475" s="24">
        <f>IF($D3475="","",IFERROR(VLOOKUP($D3475,物料档案!$A$4:$P$1203,2,0),"※编码不在物料档案里"))</f>
        <v/>
      </c>
      <c r="I3475" s="24">
        <f>IF($D3475="","",IFERROR(VLOOKUP($D3475,物料档案!$A$4:$P$1203,6,0),"※编码不在物料档案里"))</f>
        <v/>
      </c>
      <c r="J3475" s="23" t="n"/>
      <c r="K3475" s="17" t="n"/>
      <c r="L3475" s="17" t="n"/>
      <c r="M3475" s="17" t="n"/>
      <c r="N3475" s="17" t="n"/>
      <c r="O3475" s="26">
        <f>IF($D3475="","",IFERROR(VLOOKUP($D3475,物料档案!$A$4:$P$1203,10,0),0))</f>
        <v/>
      </c>
      <c r="P3475" s="32" t="n"/>
      <c r="Q3475" s="26">
        <f>IF($D3475="","",IF($K3475&lt;&gt;"对外销售",0,ROUND(N($J3475)*IF($P3475="",N($O3475),N($P3475)),0)))</f>
        <v/>
      </c>
      <c r="R3475" s="26">
        <f>IF($D3475="","",IFERROR(VLOOKUP($D3475,库存台账!$A$5:$Y$1204,11,0),0))</f>
        <v/>
      </c>
      <c r="S3475" s="26">
        <f>IF($D3475="","",ROUND(N($J3475)*N($R3475),0))</f>
        <v/>
      </c>
      <c r="T3475" s="26">
        <f>IF($D3475="","",IF($K3475&lt;&gt;"对外销售","",ROUND($Q3475-$S3475,0)))</f>
        <v/>
      </c>
      <c r="U3475" s="17" t="n"/>
      <c r="V3475" s="17" t="n"/>
      <c r="W3475" s="24">
        <f>IF($D3475="","",IF($E3475="※编码不在物料档案里","※物料编码不在档案里",IF(N($J3475)&lt;=0,"※出库数量要大于 0",IF($K3475="","※没填去向类型",IF($L3475="","※没填去向矿区",IF(AND($C3475&lt;&gt;"",$C3475&lt;=结账锁),"※日期早于已结账截止日，不能再录",IF(AND($K3475="自用消耗",COUNTIF({"一矿区";"二矿区"},$L3475)=0),"※自用消耗的去向只能是一矿区或二矿区",IF(AND($K3475="对外销售",COUNTIF({"三矿区";"六矿区"},$L3475)=0),"※对外销售的去向只能是三矿区或六矿区",IF(AND($K3475="对外销售",ROUND($Q3475,0)=0),"※外销却没有售价，请填实际售价",IF(AND($K3475="对外销售",$T3475&lt;&gt;"",$T3475&lt;0),"※这一笔外销是亏的，请核对售价",IF(IFERROR(VLOOKUP($D3475,库存台账!$A$5:$Y$1204,24,0),0)&lt;-0.001,"※这个物料账面已经变成负数了，查一下是不是漏记入库","")))))))))))</f>
        <v/>
      </c>
    </row>
    <row r="3476">
      <c r="A3476" s="24">
        <f>IF($D3476="","",COUNTA($D$4:$D3476))</f>
        <v/>
      </c>
      <c r="B3476" s="17" t="n"/>
      <c r="C3476" s="30" t="n"/>
      <c r="D3476" s="17" t="n"/>
      <c r="E3476" s="24">
        <f>IF($D3476="","",IFERROR(VLOOKUP($D3476,物料档案!$A$4:$P$1203,3,0),"※编码不在物料档案里"))</f>
        <v/>
      </c>
      <c r="F3476" s="24">
        <f>IF($D3476="","",IFERROR(VLOOKUP($D3476,物料档案!$A$4:$P$1203,4,0),"※编码不在物料档案里"))</f>
        <v/>
      </c>
      <c r="G3476" s="24">
        <f>IF($D3476="","",IFERROR(VLOOKUP($D3476,物料档案!$A$4:$P$1203,5,0),"※编码不在物料档案里"))</f>
        <v/>
      </c>
      <c r="H3476" s="24">
        <f>IF($D3476="","",IFERROR(VLOOKUP($D3476,物料档案!$A$4:$P$1203,2,0),"※编码不在物料档案里"))</f>
        <v/>
      </c>
      <c r="I3476" s="24">
        <f>IF($D3476="","",IFERROR(VLOOKUP($D3476,物料档案!$A$4:$P$1203,6,0),"※编码不在物料档案里"))</f>
        <v/>
      </c>
      <c r="J3476" s="23" t="n"/>
      <c r="K3476" s="17" t="n"/>
      <c r="L3476" s="17" t="n"/>
      <c r="M3476" s="17" t="n"/>
      <c r="N3476" s="17" t="n"/>
      <c r="O3476" s="26">
        <f>IF($D3476="","",IFERROR(VLOOKUP($D3476,物料档案!$A$4:$P$1203,10,0),0))</f>
        <v/>
      </c>
      <c r="P3476" s="32" t="n"/>
      <c r="Q3476" s="26">
        <f>IF($D3476="","",IF($K3476&lt;&gt;"对外销售",0,ROUND(N($J3476)*IF($P3476="",N($O3476),N($P3476)),0)))</f>
        <v/>
      </c>
      <c r="R3476" s="26">
        <f>IF($D3476="","",IFERROR(VLOOKUP($D3476,库存台账!$A$5:$Y$1204,11,0),0))</f>
        <v/>
      </c>
      <c r="S3476" s="26">
        <f>IF($D3476="","",ROUND(N($J3476)*N($R3476),0))</f>
        <v/>
      </c>
      <c r="T3476" s="26">
        <f>IF($D3476="","",IF($K3476&lt;&gt;"对外销售","",ROUND($Q3476-$S3476,0)))</f>
        <v/>
      </c>
      <c r="U3476" s="17" t="n"/>
      <c r="V3476" s="17" t="n"/>
      <c r="W3476" s="24">
        <f>IF($D3476="","",IF($E3476="※编码不在物料档案里","※物料编码不在档案里",IF(N($J3476)&lt;=0,"※出库数量要大于 0",IF($K3476="","※没填去向类型",IF($L3476="","※没填去向矿区",IF(AND($C3476&lt;&gt;"",$C3476&lt;=结账锁),"※日期早于已结账截止日，不能再录",IF(AND($K3476="自用消耗",COUNTIF({"一矿区";"二矿区"},$L3476)=0),"※自用消耗的去向只能是一矿区或二矿区",IF(AND($K3476="对外销售",COUNTIF({"三矿区";"六矿区"},$L3476)=0),"※对外销售的去向只能是三矿区或六矿区",IF(AND($K3476="对外销售",ROUND($Q3476,0)=0),"※外销却没有售价，请填实际售价",IF(AND($K3476="对外销售",$T3476&lt;&gt;"",$T3476&lt;0),"※这一笔外销是亏的，请核对售价",IF(IFERROR(VLOOKUP($D3476,库存台账!$A$5:$Y$1204,24,0),0)&lt;-0.001,"※这个物料账面已经变成负数了，查一下是不是漏记入库","")))))))))))</f>
        <v/>
      </c>
    </row>
    <row r="3477">
      <c r="A3477" s="24">
        <f>IF($D3477="","",COUNTA($D$4:$D3477))</f>
        <v/>
      </c>
      <c r="B3477" s="17" t="n"/>
      <c r="C3477" s="30" t="n"/>
      <c r="D3477" s="17" t="n"/>
      <c r="E3477" s="24">
        <f>IF($D3477="","",IFERROR(VLOOKUP($D3477,物料档案!$A$4:$P$1203,3,0),"※编码不在物料档案里"))</f>
        <v/>
      </c>
      <c r="F3477" s="24">
        <f>IF($D3477="","",IFERROR(VLOOKUP($D3477,物料档案!$A$4:$P$1203,4,0),"※编码不在物料档案里"))</f>
        <v/>
      </c>
      <c r="G3477" s="24">
        <f>IF($D3477="","",IFERROR(VLOOKUP($D3477,物料档案!$A$4:$P$1203,5,0),"※编码不在物料档案里"))</f>
        <v/>
      </c>
      <c r="H3477" s="24">
        <f>IF($D3477="","",IFERROR(VLOOKUP($D3477,物料档案!$A$4:$P$1203,2,0),"※编码不在物料档案里"))</f>
        <v/>
      </c>
      <c r="I3477" s="24">
        <f>IF($D3477="","",IFERROR(VLOOKUP($D3477,物料档案!$A$4:$P$1203,6,0),"※编码不在物料档案里"))</f>
        <v/>
      </c>
      <c r="J3477" s="23" t="n"/>
      <c r="K3477" s="17" t="n"/>
      <c r="L3477" s="17" t="n"/>
      <c r="M3477" s="17" t="n"/>
      <c r="N3477" s="17" t="n"/>
      <c r="O3477" s="26">
        <f>IF($D3477="","",IFERROR(VLOOKUP($D3477,物料档案!$A$4:$P$1203,10,0),0))</f>
        <v/>
      </c>
      <c r="P3477" s="32" t="n"/>
      <c r="Q3477" s="26">
        <f>IF($D3477="","",IF($K3477&lt;&gt;"对外销售",0,ROUND(N($J3477)*IF($P3477="",N($O3477),N($P3477)),0)))</f>
        <v/>
      </c>
      <c r="R3477" s="26">
        <f>IF($D3477="","",IFERROR(VLOOKUP($D3477,库存台账!$A$5:$Y$1204,11,0),0))</f>
        <v/>
      </c>
      <c r="S3477" s="26">
        <f>IF($D3477="","",ROUND(N($J3477)*N($R3477),0))</f>
        <v/>
      </c>
      <c r="T3477" s="26">
        <f>IF($D3477="","",IF($K3477&lt;&gt;"对外销售","",ROUND($Q3477-$S3477,0)))</f>
        <v/>
      </c>
      <c r="U3477" s="17" t="n"/>
      <c r="V3477" s="17" t="n"/>
      <c r="W3477" s="24">
        <f>IF($D3477="","",IF($E3477="※编码不在物料档案里","※物料编码不在档案里",IF(N($J3477)&lt;=0,"※出库数量要大于 0",IF($K3477="","※没填去向类型",IF($L3477="","※没填去向矿区",IF(AND($C3477&lt;&gt;"",$C3477&lt;=结账锁),"※日期早于已结账截止日，不能再录",IF(AND($K3477="自用消耗",COUNTIF({"一矿区";"二矿区"},$L3477)=0),"※自用消耗的去向只能是一矿区或二矿区",IF(AND($K3477="对外销售",COUNTIF({"三矿区";"六矿区"},$L3477)=0),"※对外销售的去向只能是三矿区或六矿区",IF(AND($K3477="对外销售",ROUND($Q3477,0)=0),"※外销却没有售价，请填实际售价",IF(AND($K3477="对外销售",$T3477&lt;&gt;"",$T3477&lt;0),"※这一笔外销是亏的，请核对售价",IF(IFERROR(VLOOKUP($D3477,库存台账!$A$5:$Y$1204,24,0),0)&lt;-0.001,"※这个物料账面已经变成负数了，查一下是不是漏记入库","")))))))))))</f>
        <v/>
      </c>
    </row>
    <row r="3478">
      <c r="A3478" s="24">
        <f>IF($D3478="","",COUNTA($D$4:$D3478))</f>
        <v/>
      </c>
      <c r="B3478" s="17" t="n"/>
      <c r="C3478" s="30" t="n"/>
      <c r="D3478" s="17" t="n"/>
      <c r="E3478" s="24">
        <f>IF($D3478="","",IFERROR(VLOOKUP($D3478,物料档案!$A$4:$P$1203,3,0),"※编码不在物料档案里"))</f>
        <v/>
      </c>
      <c r="F3478" s="24">
        <f>IF($D3478="","",IFERROR(VLOOKUP($D3478,物料档案!$A$4:$P$1203,4,0),"※编码不在物料档案里"))</f>
        <v/>
      </c>
      <c r="G3478" s="24">
        <f>IF($D3478="","",IFERROR(VLOOKUP($D3478,物料档案!$A$4:$P$1203,5,0),"※编码不在物料档案里"))</f>
        <v/>
      </c>
      <c r="H3478" s="24">
        <f>IF($D3478="","",IFERROR(VLOOKUP($D3478,物料档案!$A$4:$P$1203,2,0),"※编码不在物料档案里"))</f>
        <v/>
      </c>
      <c r="I3478" s="24">
        <f>IF($D3478="","",IFERROR(VLOOKUP($D3478,物料档案!$A$4:$P$1203,6,0),"※编码不在物料档案里"))</f>
        <v/>
      </c>
      <c r="J3478" s="23" t="n"/>
      <c r="K3478" s="17" t="n"/>
      <c r="L3478" s="17" t="n"/>
      <c r="M3478" s="17" t="n"/>
      <c r="N3478" s="17" t="n"/>
      <c r="O3478" s="26">
        <f>IF($D3478="","",IFERROR(VLOOKUP($D3478,物料档案!$A$4:$P$1203,10,0),0))</f>
        <v/>
      </c>
      <c r="P3478" s="32" t="n"/>
      <c r="Q3478" s="26">
        <f>IF($D3478="","",IF($K3478&lt;&gt;"对外销售",0,ROUND(N($J3478)*IF($P3478="",N($O3478),N($P3478)),0)))</f>
        <v/>
      </c>
      <c r="R3478" s="26">
        <f>IF($D3478="","",IFERROR(VLOOKUP($D3478,库存台账!$A$5:$Y$1204,11,0),0))</f>
        <v/>
      </c>
      <c r="S3478" s="26">
        <f>IF($D3478="","",ROUND(N($J3478)*N($R3478),0))</f>
        <v/>
      </c>
      <c r="T3478" s="26">
        <f>IF($D3478="","",IF($K3478&lt;&gt;"对外销售","",ROUND($Q3478-$S3478,0)))</f>
        <v/>
      </c>
      <c r="U3478" s="17" t="n"/>
      <c r="V3478" s="17" t="n"/>
      <c r="W3478" s="24">
        <f>IF($D3478="","",IF($E3478="※编码不在物料档案里","※物料编码不在档案里",IF(N($J3478)&lt;=0,"※出库数量要大于 0",IF($K3478="","※没填去向类型",IF($L3478="","※没填去向矿区",IF(AND($C3478&lt;&gt;"",$C3478&lt;=结账锁),"※日期早于已结账截止日，不能再录",IF(AND($K3478="自用消耗",COUNTIF({"一矿区";"二矿区"},$L3478)=0),"※自用消耗的去向只能是一矿区或二矿区",IF(AND($K3478="对外销售",COUNTIF({"三矿区";"六矿区"},$L3478)=0),"※对外销售的去向只能是三矿区或六矿区",IF(AND($K3478="对外销售",ROUND($Q3478,0)=0),"※外销却没有售价，请填实际售价",IF(AND($K3478="对外销售",$T3478&lt;&gt;"",$T3478&lt;0),"※这一笔外销是亏的，请核对售价",IF(IFERROR(VLOOKUP($D3478,库存台账!$A$5:$Y$1204,24,0),0)&lt;-0.001,"※这个物料账面已经变成负数了，查一下是不是漏记入库","")))))))))))</f>
        <v/>
      </c>
    </row>
    <row r="3479">
      <c r="A3479" s="24">
        <f>IF($D3479="","",COUNTA($D$4:$D3479))</f>
        <v/>
      </c>
      <c r="B3479" s="17" t="n"/>
      <c r="C3479" s="30" t="n"/>
      <c r="D3479" s="17" t="n"/>
      <c r="E3479" s="24">
        <f>IF($D3479="","",IFERROR(VLOOKUP($D3479,物料档案!$A$4:$P$1203,3,0),"※编码不在物料档案里"))</f>
        <v/>
      </c>
      <c r="F3479" s="24">
        <f>IF($D3479="","",IFERROR(VLOOKUP($D3479,物料档案!$A$4:$P$1203,4,0),"※编码不在物料档案里"))</f>
        <v/>
      </c>
      <c r="G3479" s="24">
        <f>IF($D3479="","",IFERROR(VLOOKUP($D3479,物料档案!$A$4:$P$1203,5,0),"※编码不在物料档案里"))</f>
        <v/>
      </c>
      <c r="H3479" s="24">
        <f>IF($D3479="","",IFERROR(VLOOKUP($D3479,物料档案!$A$4:$P$1203,2,0),"※编码不在物料档案里"))</f>
        <v/>
      </c>
      <c r="I3479" s="24">
        <f>IF($D3479="","",IFERROR(VLOOKUP($D3479,物料档案!$A$4:$P$1203,6,0),"※编码不在物料档案里"))</f>
        <v/>
      </c>
      <c r="J3479" s="23" t="n"/>
      <c r="K3479" s="17" t="n"/>
      <c r="L3479" s="17" t="n"/>
      <c r="M3479" s="17" t="n"/>
      <c r="N3479" s="17" t="n"/>
      <c r="O3479" s="26">
        <f>IF($D3479="","",IFERROR(VLOOKUP($D3479,物料档案!$A$4:$P$1203,10,0),0))</f>
        <v/>
      </c>
      <c r="P3479" s="32" t="n"/>
      <c r="Q3479" s="26">
        <f>IF($D3479="","",IF($K3479&lt;&gt;"对外销售",0,ROUND(N($J3479)*IF($P3479="",N($O3479),N($P3479)),0)))</f>
        <v/>
      </c>
      <c r="R3479" s="26">
        <f>IF($D3479="","",IFERROR(VLOOKUP($D3479,库存台账!$A$5:$Y$1204,11,0),0))</f>
        <v/>
      </c>
      <c r="S3479" s="26">
        <f>IF($D3479="","",ROUND(N($J3479)*N($R3479),0))</f>
        <v/>
      </c>
      <c r="T3479" s="26">
        <f>IF($D3479="","",IF($K3479&lt;&gt;"对外销售","",ROUND($Q3479-$S3479,0)))</f>
        <v/>
      </c>
      <c r="U3479" s="17" t="n"/>
      <c r="V3479" s="17" t="n"/>
      <c r="W3479" s="24">
        <f>IF($D3479="","",IF($E3479="※编码不在物料档案里","※物料编码不在档案里",IF(N($J3479)&lt;=0,"※出库数量要大于 0",IF($K3479="","※没填去向类型",IF($L3479="","※没填去向矿区",IF(AND($C3479&lt;&gt;"",$C3479&lt;=结账锁),"※日期早于已结账截止日，不能再录",IF(AND($K3479="自用消耗",COUNTIF({"一矿区";"二矿区"},$L3479)=0),"※自用消耗的去向只能是一矿区或二矿区",IF(AND($K3479="对外销售",COUNTIF({"三矿区";"六矿区"},$L3479)=0),"※对外销售的去向只能是三矿区或六矿区",IF(AND($K3479="对外销售",ROUND($Q3479,0)=0),"※外销却没有售价，请填实际售价",IF(AND($K3479="对外销售",$T3479&lt;&gt;"",$T3479&lt;0),"※这一笔外销是亏的，请核对售价",IF(IFERROR(VLOOKUP($D3479,库存台账!$A$5:$Y$1204,24,0),0)&lt;-0.001,"※这个物料账面已经变成负数了，查一下是不是漏记入库","")))))))))))</f>
        <v/>
      </c>
    </row>
    <row r="3480">
      <c r="A3480" s="24">
        <f>IF($D3480="","",COUNTA($D$4:$D3480))</f>
        <v/>
      </c>
      <c r="B3480" s="17" t="n"/>
      <c r="C3480" s="30" t="n"/>
      <c r="D3480" s="17" t="n"/>
      <c r="E3480" s="24">
        <f>IF($D3480="","",IFERROR(VLOOKUP($D3480,物料档案!$A$4:$P$1203,3,0),"※编码不在物料档案里"))</f>
        <v/>
      </c>
      <c r="F3480" s="24">
        <f>IF($D3480="","",IFERROR(VLOOKUP($D3480,物料档案!$A$4:$P$1203,4,0),"※编码不在物料档案里"))</f>
        <v/>
      </c>
      <c r="G3480" s="24">
        <f>IF($D3480="","",IFERROR(VLOOKUP($D3480,物料档案!$A$4:$P$1203,5,0),"※编码不在物料档案里"))</f>
        <v/>
      </c>
      <c r="H3480" s="24">
        <f>IF($D3480="","",IFERROR(VLOOKUP($D3480,物料档案!$A$4:$P$1203,2,0),"※编码不在物料档案里"))</f>
        <v/>
      </c>
      <c r="I3480" s="24">
        <f>IF($D3480="","",IFERROR(VLOOKUP($D3480,物料档案!$A$4:$P$1203,6,0),"※编码不在物料档案里"))</f>
        <v/>
      </c>
      <c r="J3480" s="23" t="n"/>
      <c r="K3480" s="17" t="n"/>
      <c r="L3480" s="17" t="n"/>
      <c r="M3480" s="17" t="n"/>
      <c r="N3480" s="17" t="n"/>
      <c r="O3480" s="26">
        <f>IF($D3480="","",IFERROR(VLOOKUP($D3480,物料档案!$A$4:$P$1203,10,0),0))</f>
        <v/>
      </c>
      <c r="P3480" s="32" t="n"/>
      <c r="Q3480" s="26">
        <f>IF($D3480="","",IF($K3480&lt;&gt;"对外销售",0,ROUND(N($J3480)*IF($P3480="",N($O3480),N($P3480)),0)))</f>
        <v/>
      </c>
      <c r="R3480" s="26">
        <f>IF($D3480="","",IFERROR(VLOOKUP($D3480,库存台账!$A$5:$Y$1204,11,0),0))</f>
        <v/>
      </c>
      <c r="S3480" s="26">
        <f>IF($D3480="","",ROUND(N($J3480)*N($R3480),0))</f>
        <v/>
      </c>
      <c r="T3480" s="26">
        <f>IF($D3480="","",IF($K3480&lt;&gt;"对外销售","",ROUND($Q3480-$S3480,0)))</f>
        <v/>
      </c>
      <c r="U3480" s="17" t="n"/>
      <c r="V3480" s="17" t="n"/>
      <c r="W3480" s="24">
        <f>IF($D3480="","",IF($E3480="※编码不在物料档案里","※物料编码不在档案里",IF(N($J3480)&lt;=0,"※出库数量要大于 0",IF($K3480="","※没填去向类型",IF($L3480="","※没填去向矿区",IF(AND($C3480&lt;&gt;"",$C3480&lt;=结账锁),"※日期早于已结账截止日，不能再录",IF(AND($K3480="自用消耗",COUNTIF({"一矿区";"二矿区"},$L3480)=0),"※自用消耗的去向只能是一矿区或二矿区",IF(AND($K3480="对外销售",COUNTIF({"三矿区";"六矿区"},$L3480)=0),"※对外销售的去向只能是三矿区或六矿区",IF(AND($K3480="对外销售",ROUND($Q3480,0)=0),"※外销却没有售价，请填实际售价",IF(AND($K3480="对外销售",$T3480&lt;&gt;"",$T3480&lt;0),"※这一笔外销是亏的，请核对售价",IF(IFERROR(VLOOKUP($D3480,库存台账!$A$5:$Y$1204,24,0),0)&lt;-0.001,"※这个物料账面已经变成负数了，查一下是不是漏记入库","")))))))))))</f>
        <v/>
      </c>
    </row>
    <row r="3481">
      <c r="A3481" s="24">
        <f>IF($D3481="","",COUNTA($D$4:$D3481))</f>
        <v/>
      </c>
      <c r="B3481" s="17" t="n"/>
      <c r="C3481" s="30" t="n"/>
      <c r="D3481" s="17" t="n"/>
      <c r="E3481" s="24">
        <f>IF($D3481="","",IFERROR(VLOOKUP($D3481,物料档案!$A$4:$P$1203,3,0),"※编码不在物料档案里"))</f>
        <v/>
      </c>
      <c r="F3481" s="24">
        <f>IF($D3481="","",IFERROR(VLOOKUP($D3481,物料档案!$A$4:$P$1203,4,0),"※编码不在物料档案里"))</f>
        <v/>
      </c>
      <c r="G3481" s="24">
        <f>IF($D3481="","",IFERROR(VLOOKUP($D3481,物料档案!$A$4:$P$1203,5,0),"※编码不在物料档案里"))</f>
        <v/>
      </c>
      <c r="H3481" s="24">
        <f>IF($D3481="","",IFERROR(VLOOKUP($D3481,物料档案!$A$4:$P$1203,2,0),"※编码不在物料档案里"))</f>
        <v/>
      </c>
      <c r="I3481" s="24">
        <f>IF($D3481="","",IFERROR(VLOOKUP($D3481,物料档案!$A$4:$P$1203,6,0),"※编码不在物料档案里"))</f>
        <v/>
      </c>
      <c r="J3481" s="23" t="n"/>
      <c r="K3481" s="17" t="n"/>
      <c r="L3481" s="17" t="n"/>
      <c r="M3481" s="17" t="n"/>
      <c r="N3481" s="17" t="n"/>
      <c r="O3481" s="26">
        <f>IF($D3481="","",IFERROR(VLOOKUP($D3481,物料档案!$A$4:$P$1203,10,0),0))</f>
        <v/>
      </c>
      <c r="P3481" s="32" t="n"/>
      <c r="Q3481" s="26">
        <f>IF($D3481="","",IF($K3481&lt;&gt;"对外销售",0,ROUND(N($J3481)*IF($P3481="",N($O3481),N($P3481)),0)))</f>
        <v/>
      </c>
      <c r="R3481" s="26">
        <f>IF($D3481="","",IFERROR(VLOOKUP($D3481,库存台账!$A$5:$Y$1204,11,0),0))</f>
        <v/>
      </c>
      <c r="S3481" s="26">
        <f>IF($D3481="","",ROUND(N($J3481)*N($R3481),0))</f>
        <v/>
      </c>
      <c r="T3481" s="26">
        <f>IF($D3481="","",IF($K3481&lt;&gt;"对外销售","",ROUND($Q3481-$S3481,0)))</f>
        <v/>
      </c>
      <c r="U3481" s="17" t="n"/>
      <c r="V3481" s="17" t="n"/>
      <c r="W3481" s="24">
        <f>IF($D3481="","",IF($E3481="※编码不在物料档案里","※物料编码不在档案里",IF(N($J3481)&lt;=0,"※出库数量要大于 0",IF($K3481="","※没填去向类型",IF($L3481="","※没填去向矿区",IF(AND($C3481&lt;&gt;"",$C3481&lt;=结账锁),"※日期早于已结账截止日，不能再录",IF(AND($K3481="自用消耗",COUNTIF({"一矿区";"二矿区"},$L3481)=0),"※自用消耗的去向只能是一矿区或二矿区",IF(AND($K3481="对外销售",COUNTIF({"三矿区";"六矿区"},$L3481)=0),"※对外销售的去向只能是三矿区或六矿区",IF(AND($K3481="对外销售",ROUND($Q3481,0)=0),"※外销却没有售价，请填实际售价",IF(AND($K3481="对外销售",$T3481&lt;&gt;"",$T3481&lt;0),"※这一笔外销是亏的，请核对售价",IF(IFERROR(VLOOKUP($D3481,库存台账!$A$5:$Y$1204,24,0),0)&lt;-0.001,"※这个物料账面已经变成负数了，查一下是不是漏记入库","")))))))))))</f>
        <v/>
      </c>
    </row>
    <row r="3482">
      <c r="A3482" s="24">
        <f>IF($D3482="","",COUNTA($D$4:$D3482))</f>
        <v/>
      </c>
      <c r="B3482" s="17" t="n"/>
      <c r="C3482" s="30" t="n"/>
      <c r="D3482" s="17" t="n"/>
      <c r="E3482" s="24">
        <f>IF($D3482="","",IFERROR(VLOOKUP($D3482,物料档案!$A$4:$P$1203,3,0),"※编码不在物料档案里"))</f>
        <v/>
      </c>
      <c r="F3482" s="24">
        <f>IF($D3482="","",IFERROR(VLOOKUP($D3482,物料档案!$A$4:$P$1203,4,0),"※编码不在物料档案里"))</f>
        <v/>
      </c>
      <c r="G3482" s="24">
        <f>IF($D3482="","",IFERROR(VLOOKUP($D3482,物料档案!$A$4:$P$1203,5,0),"※编码不在物料档案里"))</f>
        <v/>
      </c>
      <c r="H3482" s="24">
        <f>IF($D3482="","",IFERROR(VLOOKUP($D3482,物料档案!$A$4:$P$1203,2,0),"※编码不在物料档案里"))</f>
        <v/>
      </c>
      <c r="I3482" s="24">
        <f>IF($D3482="","",IFERROR(VLOOKUP($D3482,物料档案!$A$4:$P$1203,6,0),"※编码不在物料档案里"))</f>
        <v/>
      </c>
      <c r="J3482" s="23" t="n"/>
      <c r="K3482" s="17" t="n"/>
      <c r="L3482" s="17" t="n"/>
      <c r="M3482" s="17" t="n"/>
      <c r="N3482" s="17" t="n"/>
      <c r="O3482" s="26">
        <f>IF($D3482="","",IFERROR(VLOOKUP($D3482,物料档案!$A$4:$P$1203,10,0),0))</f>
        <v/>
      </c>
      <c r="P3482" s="32" t="n"/>
      <c r="Q3482" s="26">
        <f>IF($D3482="","",IF($K3482&lt;&gt;"对外销售",0,ROUND(N($J3482)*IF($P3482="",N($O3482),N($P3482)),0)))</f>
        <v/>
      </c>
      <c r="R3482" s="26">
        <f>IF($D3482="","",IFERROR(VLOOKUP($D3482,库存台账!$A$5:$Y$1204,11,0),0))</f>
        <v/>
      </c>
      <c r="S3482" s="26">
        <f>IF($D3482="","",ROUND(N($J3482)*N($R3482),0))</f>
        <v/>
      </c>
      <c r="T3482" s="26">
        <f>IF($D3482="","",IF($K3482&lt;&gt;"对外销售","",ROUND($Q3482-$S3482,0)))</f>
        <v/>
      </c>
      <c r="U3482" s="17" t="n"/>
      <c r="V3482" s="17" t="n"/>
      <c r="W3482" s="24">
        <f>IF($D3482="","",IF($E3482="※编码不在物料档案里","※物料编码不在档案里",IF(N($J3482)&lt;=0,"※出库数量要大于 0",IF($K3482="","※没填去向类型",IF($L3482="","※没填去向矿区",IF(AND($C3482&lt;&gt;"",$C3482&lt;=结账锁),"※日期早于已结账截止日，不能再录",IF(AND($K3482="自用消耗",COUNTIF({"一矿区";"二矿区"},$L3482)=0),"※自用消耗的去向只能是一矿区或二矿区",IF(AND($K3482="对外销售",COUNTIF({"三矿区";"六矿区"},$L3482)=0),"※对外销售的去向只能是三矿区或六矿区",IF(AND($K3482="对外销售",ROUND($Q3482,0)=0),"※外销却没有售价，请填实际售价",IF(AND($K3482="对外销售",$T3482&lt;&gt;"",$T3482&lt;0),"※这一笔外销是亏的，请核对售价",IF(IFERROR(VLOOKUP($D3482,库存台账!$A$5:$Y$1204,24,0),0)&lt;-0.001,"※这个物料账面已经变成负数了，查一下是不是漏记入库","")))))))))))</f>
        <v/>
      </c>
    </row>
    <row r="3483">
      <c r="A3483" s="24">
        <f>IF($D3483="","",COUNTA($D$4:$D3483))</f>
        <v/>
      </c>
      <c r="B3483" s="17" t="n"/>
      <c r="C3483" s="30" t="n"/>
      <c r="D3483" s="17" t="n"/>
      <c r="E3483" s="24">
        <f>IF($D3483="","",IFERROR(VLOOKUP($D3483,物料档案!$A$4:$P$1203,3,0),"※编码不在物料档案里"))</f>
        <v/>
      </c>
      <c r="F3483" s="24">
        <f>IF($D3483="","",IFERROR(VLOOKUP($D3483,物料档案!$A$4:$P$1203,4,0),"※编码不在物料档案里"))</f>
        <v/>
      </c>
      <c r="G3483" s="24">
        <f>IF($D3483="","",IFERROR(VLOOKUP($D3483,物料档案!$A$4:$P$1203,5,0),"※编码不在物料档案里"))</f>
        <v/>
      </c>
      <c r="H3483" s="24">
        <f>IF($D3483="","",IFERROR(VLOOKUP($D3483,物料档案!$A$4:$P$1203,2,0),"※编码不在物料档案里"))</f>
        <v/>
      </c>
      <c r="I3483" s="24">
        <f>IF($D3483="","",IFERROR(VLOOKUP($D3483,物料档案!$A$4:$P$1203,6,0),"※编码不在物料档案里"))</f>
        <v/>
      </c>
      <c r="J3483" s="23" t="n"/>
      <c r="K3483" s="17" t="n"/>
      <c r="L3483" s="17" t="n"/>
      <c r="M3483" s="17" t="n"/>
      <c r="N3483" s="17" t="n"/>
      <c r="O3483" s="26">
        <f>IF($D3483="","",IFERROR(VLOOKUP($D3483,物料档案!$A$4:$P$1203,10,0),0))</f>
        <v/>
      </c>
      <c r="P3483" s="32" t="n"/>
      <c r="Q3483" s="26">
        <f>IF($D3483="","",IF($K3483&lt;&gt;"对外销售",0,ROUND(N($J3483)*IF($P3483="",N($O3483),N($P3483)),0)))</f>
        <v/>
      </c>
      <c r="R3483" s="26">
        <f>IF($D3483="","",IFERROR(VLOOKUP($D3483,库存台账!$A$5:$Y$1204,11,0),0))</f>
        <v/>
      </c>
      <c r="S3483" s="26">
        <f>IF($D3483="","",ROUND(N($J3483)*N($R3483),0))</f>
        <v/>
      </c>
      <c r="T3483" s="26">
        <f>IF($D3483="","",IF($K3483&lt;&gt;"对外销售","",ROUND($Q3483-$S3483,0)))</f>
        <v/>
      </c>
      <c r="U3483" s="17" t="n"/>
      <c r="V3483" s="17" t="n"/>
      <c r="W3483" s="24">
        <f>IF($D3483="","",IF($E3483="※编码不在物料档案里","※物料编码不在档案里",IF(N($J3483)&lt;=0,"※出库数量要大于 0",IF($K3483="","※没填去向类型",IF($L3483="","※没填去向矿区",IF(AND($C3483&lt;&gt;"",$C3483&lt;=结账锁),"※日期早于已结账截止日，不能再录",IF(AND($K3483="自用消耗",COUNTIF({"一矿区";"二矿区"},$L3483)=0),"※自用消耗的去向只能是一矿区或二矿区",IF(AND($K3483="对外销售",COUNTIF({"三矿区";"六矿区"},$L3483)=0),"※对外销售的去向只能是三矿区或六矿区",IF(AND($K3483="对外销售",ROUND($Q3483,0)=0),"※外销却没有售价，请填实际售价",IF(AND($K3483="对外销售",$T3483&lt;&gt;"",$T3483&lt;0),"※这一笔外销是亏的，请核对售价",IF(IFERROR(VLOOKUP($D3483,库存台账!$A$5:$Y$1204,24,0),0)&lt;-0.001,"※这个物料账面已经变成负数了，查一下是不是漏记入库","")))))))))))</f>
        <v/>
      </c>
    </row>
    <row r="3484">
      <c r="A3484" s="24">
        <f>IF($D3484="","",COUNTA($D$4:$D3484))</f>
        <v/>
      </c>
      <c r="B3484" s="17" t="n"/>
      <c r="C3484" s="30" t="n"/>
      <c r="D3484" s="17" t="n"/>
      <c r="E3484" s="24">
        <f>IF($D3484="","",IFERROR(VLOOKUP($D3484,物料档案!$A$4:$P$1203,3,0),"※编码不在物料档案里"))</f>
        <v/>
      </c>
      <c r="F3484" s="24">
        <f>IF($D3484="","",IFERROR(VLOOKUP($D3484,物料档案!$A$4:$P$1203,4,0),"※编码不在物料档案里"))</f>
        <v/>
      </c>
      <c r="G3484" s="24">
        <f>IF($D3484="","",IFERROR(VLOOKUP($D3484,物料档案!$A$4:$P$1203,5,0),"※编码不在物料档案里"))</f>
        <v/>
      </c>
      <c r="H3484" s="24">
        <f>IF($D3484="","",IFERROR(VLOOKUP($D3484,物料档案!$A$4:$P$1203,2,0),"※编码不在物料档案里"))</f>
        <v/>
      </c>
      <c r="I3484" s="24">
        <f>IF($D3484="","",IFERROR(VLOOKUP($D3484,物料档案!$A$4:$P$1203,6,0),"※编码不在物料档案里"))</f>
        <v/>
      </c>
      <c r="J3484" s="23" t="n"/>
      <c r="K3484" s="17" t="n"/>
      <c r="L3484" s="17" t="n"/>
      <c r="M3484" s="17" t="n"/>
      <c r="N3484" s="17" t="n"/>
      <c r="O3484" s="26">
        <f>IF($D3484="","",IFERROR(VLOOKUP($D3484,物料档案!$A$4:$P$1203,10,0),0))</f>
        <v/>
      </c>
      <c r="P3484" s="32" t="n"/>
      <c r="Q3484" s="26">
        <f>IF($D3484="","",IF($K3484&lt;&gt;"对外销售",0,ROUND(N($J3484)*IF($P3484="",N($O3484),N($P3484)),0)))</f>
        <v/>
      </c>
      <c r="R3484" s="26">
        <f>IF($D3484="","",IFERROR(VLOOKUP($D3484,库存台账!$A$5:$Y$1204,11,0),0))</f>
        <v/>
      </c>
      <c r="S3484" s="26">
        <f>IF($D3484="","",ROUND(N($J3484)*N($R3484),0))</f>
        <v/>
      </c>
      <c r="T3484" s="26">
        <f>IF($D3484="","",IF($K3484&lt;&gt;"对外销售","",ROUND($Q3484-$S3484,0)))</f>
        <v/>
      </c>
      <c r="U3484" s="17" t="n"/>
      <c r="V3484" s="17" t="n"/>
      <c r="W3484" s="24">
        <f>IF($D3484="","",IF($E3484="※编码不在物料档案里","※物料编码不在档案里",IF(N($J3484)&lt;=0,"※出库数量要大于 0",IF($K3484="","※没填去向类型",IF($L3484="","※没填去向矿区",IF(AND($C3484&lt;&gt;"",$C3484&lt;=结账锁),"※日期早于已结账截止日，不能再录",IF(AND($K3484="自用消耗",COUNTIF({"一矿区";"二矿区"},$L3484)=0),"※自用消耗的去向只能是一矿区或二矿区",IF(AND($K3484="对外销售",COUNTIF({"三矿区";"六矿区"},$L3484)=0),"※对外销售的去向只能是三矿区或六矿区",IF(AND($K3484="对外销售",ROUND($Q3484,0)=0),"※外销却没有售价，请填实际售价",IF(AND($K3484="对外销售",$T3484&lt;&gt;"",$T3484&lt;0),"※这一笔外销是亏的，请核对售价",IF(IFERROR(VLOOKUP($D3484,库存台账!$A$5:$Y$1204,24,0),0)&lt;-0.001,"※这个物料账面已经变成负数了，查一下是不是漏记入库","")))))))))))</f>
        <v/>
      </c>
    </row>
    <row r="3485">
      <c r="A3485" s="24">
        <f>IF($D3485="","",COUNTA($D$4:$D3485))</f>
        <v/>
      </c>
      <c r="B3485" s="17" t="n"/>
      <c r="C3485" s="30" t="n"/>
      <c r="D3485" s="17" t="n"/>
      <c r="E3485" s="24">
        <f>IF($D3485="","",IFERROR(VLOOKUP($D3485,物料档案!$A$4:$P$1203,3,0),"※编码不在物料档案里"))</f>
        <v/>
      </c>
      <c r="F3485" s="24">
        <f>IF($D3485="","",IFERROR(VLOOKUP($D3485,物料档案!$A$4:$P$1203,4,0),"※编码不在物料档案里"))</f>
        <v/>
      </c>
      <c r="G3485" s="24">
        <f>IF($D3485="","",IFERROR(VLOOKUP($D3485,物料档案!$A$4:$P$1203,5,0),"※编码不在物料档案里"))</f>
        <v/>
      </c>
      <c r="H3485" s="24">
        <f>IF($D3485="","",IFERROR(VLOOKUP($D3485,物料档案!$A$4:$P$1203,2,0),"※编码不在物料档案里"))</f>
        <v/>
      </c>
      <c r="I3485" s="24">
        <f>IF($D3485="","",IFERROR(VLOOKUP($D3485,物料档案!$A$4:$P$1203,6,0),"※编码不在物料档案里"))</f>
        <v/>
      </c>
      <c r="J3485" s="23" t="n"/>
      <c r="K3485" s="17" t="n"/>
      <c r="L3485" s="17" t="n"/>
      <c r="M3485" s="17" t="n"/>
      <c r="N3485" s="17" t="n"/>
      <c r="O3485" s="26">
        <f>IF($D3485="","",IFERROR(VLOOKUP($D3485,物料档案!$A$4:$P$1203,10,0),0))</f>
        <v/>
      </c>
      <c r="P3485" s="32" t="n"/>
      <c r="Q3485" s="26">
        <f>IF($D3485="","",IF($K3485&lt;&gt;"对外销售",0,ROUND(N($J3485)*IF($P3485="",N($O3485),N($P3485)),0)))</f>
        <v/>
      </c>
      <c r="R3485" s="26">
        <f>IF($D3485="","",IFERROR(VLOOKUP($D3485,库存台账!$A$5:$Y$1204,11,0),0))</f>
        <v/>
      </c>
      <c r="S3485" s="26">
        <f>IF($D3485="","",ROUND(N($J3485)*N($R3485),0))</f>
        <v/>
      </c>
      <c r="T3485" s="26">
        <f>IF($D3485="","",IF($K3485&lt;&gt;"对外销售","",ROUND($Q3485-$S3485,0)))</f>
        <v/>
      </c>
      <c r="U3485" s="17" t="n"/>
      <c r="V3485" s="17" t="n"/>
      <c r="W3485" s="24">
        <f>IF($D3485="","",IF($E3485="※编码不在物料档案里","※物料编码不在档案里",IF(N($J3485)&lt;=0,"※出库数量要大于 0",IF($K3485="","※没填去向类型",IF($L3485="","※没填去向矿区",IF(AND($C3485&lt;&gt;"",$C3485&lt;=结账锁),"※日期早于已结账截止日，不能再录",IF(AND($K3485="自用消耗",COUNTIF({"一矿区";"二矿区"},$L3485)=0),"※自用消耗的去向只能是一矿区或二矿区",IF(AND($K3485="对外销售",COUNTIF({"三矿区";"六矿区"},$L3485)=0),"※对外销售的去向只能是三矿区或六矿区",IF(AND($K3485="对外销售",ROUND($Q3485,0)=0),"※外销却没有售价，请填实际售价",IF(AND($K3485="对外销售",$T3485&lt;&gt;"",$T3485&lt;0),"※这一笔外销是亏的，请核对售价",IF(IFERROR(VLOOKUP($D3485,库存台账!$A$5:$Y$1204,24,0),0)&lt;-0.001,"※这个物料账面已经变成负数了，查一下是不是漏记入库","")))))))))))</f>
        <v/>
      </c>
    </row>
    <row r="3486">
      <c r="A3486" s="24">
        <f>IF($D3486="","",COUNTA($D$4:$D3486))</f>
        <v/>
      </c>
      <c r="B3486" s="17" t="n"/>
      <c r="C3486" s="30" t="n"/>
      <c r="D3486" s="17" t="n"/>
      <c r="E3486" s="24">
        <f>IF($D3486="","",IFERROR(VLOOKUP($D3486,物料档案!$A$4:$P$1203,3,0),"※编码不在物料档案里"))</f>
        <v/>
      </c>
      <c r="F3486" s="24">
        <f>IF($D3486="","",IFERROR(VLOOKUP($D3486,物料档案!$A$4:$P$1203,4,0),"※编码不在物料档案里"))</f>
        <v/>
      </c>
      <c r="G3486" s="24">
        <f>IF($D3486="","",IFERROR(VLOOKUP($D3486,物料档案!$A$4:$P$1203,5,0),"※编码不在物料档案里"))</f>
        <v/>
      </c>
      <c r="H3486" s="24">
        <f>IF($D3486="","",IFERROR(VLOOKUP($D3486,物料档案!$A$4:$P$1203,2,0),"※编码不在物料档案里"))</f>
        <v/>
      </c>
      <c r="I3486" s="24">
        <f>IF($D3486="","",IFERROR(VLOOKUP($D3486,物料档案!$A$4:$P$1203,6,0),"※编码不在物料档案里"))</f>
        <v/>
      </c>
      <c r="J3486" s="23" t="n"/>
      <c r="K3486" s="17" t="n"/>
      <c r="L3486" s="17" t="n"/>
      <c r="M3486" s="17" t="n"/>
      <c r="N3486" s="17" t="n"/>
      <c r="O3486" s="26">
        <f>IF($D3486="","",IFERROR(VLOOKUP($D3486,物料档案!$A$4:$P$1203,10,0),0))</f>
        <v/>
      </c>
      <c r="P3486" s="32" t="n"/>
      <c r="Q3486" s="26">
        <f>IF($D3486="","",IF($K3486&lt;&gt;"对外销售",0,ROUND(N($J3486)*IF($P3486="",N($O3486),N($P3486)),0)))</f>
        <v/>
      </c>
      <c r="R3486" s="26">
        <f>IF($D3486="","",IFERROR(VLOOKUP($D3486,库存台账!$A$5:$Y$1204,11,0),0))</f>
        <v/>
      </c>
      <c r="S3486" s="26">
        <f>IF($D3486="","",ROUND(N($J3486)*N($R3486),0))</f>
        <v/>
      </c>
      <c r="T3486" s="26">
        <f>IF($D3486="","",IF($K3486&lt;&gt;"对外销售","",ROUND($Q3486-$S3486,0)))</f>
        <v/>
      </c>
      <c r="U3486" s="17" t="n"/>
      <c r="V3486" s="17" t="n"/>
      <c r="W3486" s="24">
        <f>IF($D3486="","",IF($E3486="※编码不在物料档案里","※物料编码不在档案里",IF(N($J3486)&lt;=0,"※出库数量要大于 0",IF($K3486="","※没填去向类型",IF($L3486="","※没填去向矿区",IF(AND($C3486&lt;&gt;"",$C3486&lt;=结账锁),"※日期早于已结账截止日，不能再录",IF(AND($K3486="自用消耗",COUNTIF({"一矿区";"二矿区"},$L3486)=0),"※自用消耗的去向只能是一矿区或二矿区",IF(AND($K3486="对外销售",COUNTIF({"三矿区";"六矿区"},$L3486)=0),"※对外销售的去向只能是三矿区或六矿区",IF(AND($K3486="对外销售",ROUND($Q3486,0)=0),"※外销却没有售价，请填实际售价",IF(AND($K3486="对外销售",$T3486&lt;&gt;"",$T3486&lt;0),"※这一笔外销是亏的，请核对售价",IF(IFERROR(VLOOKUP($D3486,库存台账!$A$5:$Y$1204,24,0),0)&lt;-0.001,"※这个物料账面已经变成负数了，查一下是不是漏记入库","")))))))))))</f>
        <v/>
      </c>
    </row>
    <row r="3487">
      <c r="A3487" s="24">
        <f>IF($D3487="","",COUNTA($D$4:$D3487))</f>
        <v/>
      </c>
      <c r="B3487" s="17" t="n"/>
      <c r="C3487" s="30" t="n"/>
      <c r="D3487" s="17" t="n"/>
      <c r="E3487" s="24">
        <f>IF($D3487="","",IFERROR(VLOOKUP($D3487,物料档案!$A$4:$P$1203,3,0),"※编码不在物料档案里"))</f>
        <v/>
      </c>
      <c r="F3487" s="24">
        <f>IF($D3487="","",IFERROR(VLOOKUP($D3487,物料档案!$A$4:$P$1203,4,0),"※编码不在物料档案里"))</f>
        <v/>
      </c>
      <c r="G3487" s="24">
        <f>IF($D3487="","",IFERROR(VLOOKUP($D3487,物料档案!$A$4:$P$1203,5,0),"※编码不在物料档案里"))</f>
        <v/>
      </c>
      <c r="H3487" s="24">
        <f>IF($D3487="","",IFERROR(VLOOKUP($D3487,物料档案!$A$4:$P$1203,2,0),"※编码不在物料档案里"))</f>
        <v/>
      </c>
      <c r="I3487" s="24">
        <f>IF($D3487="","",IFERROR(VLOOKUP($D3487,物料档案!$A$4:$P$1203,6,0),"※编码不在物料档案里"))</f>
        <v/>
      </c>
      <c r="J3487" s="23" t="n"/>
      <c r="K3487" s="17" t="n"/>
      <c r="L3487" s="17" t="n"/>
      <c r="M3487" s="17" t="n"/>
      <c r="N3487" s="17" t="n"/>
      <c r="O3487" s="26">
        <f>IF($D3487="","",IFERROR(VLOOKUP($D3487,物料档案!$A$4:$P$1203,10,0),0))</f>
        <v/>
      </c>
      <c r="P3487" s="32" t="n"/>
      <c r="Q3487" s="26">
        <f>IF($D3487="","",IF($K3487&lt;&gt;"对外销售",0,ROUND(N($J3487)*IF($P3487="",N($O3487),N($P3487)),0)))</f>
        <v/>
      </c>
      <c r="R3487" s="26">
        <f>IF($D3487="","",IFERROR(VLOOKUP($D3487,库存台账!$A$5:$Y$1204,11,0),0))</f>
        <v/>
      </c>
      <c r="S3487" s="26">
        <f>IF($D3487="","",ROUND(N($J3487)*N($R3487),0))</f>
        <v/>
      </c>
      <c r="T3487" s="26">
        <f>IF($D3487="","",IF($K3487&lt;&gt;"对外销售","",ROUND($Q3487-$S3487,0)))</f>
        <v/>
      </c>
      <c r="U3487" s="17" t="n"/>
      <c r="V3487" s="17" t="n"/>
      <c r="W3487" s="24">
        <f>IF($D3487="","",IF($E3487="※编码不在物料档案里","※物料编码不在档案里",IF(N($J3487)&lt;=0,"※出库数量要大于 0",IF($K3487="","※没填去向类型",IF($L3487="","※没填去向矿区",IF(AND($C3487&lt;&gt;"",$C3487&lt;=结账锁),"※日期早于已结账截止日，不能再录",IF(AND($K3487="自用消耗",COUNTIF({"一矿区";"二矿区"},$L3487)=0),"※自用消耗的去向只能是一矿区或二矿区",IF(AND($K3487="对外销售",COUNTIF({"三矿区";"六矿区"},$L3487)=0),"※对外销售的去向只能是三矿区或六矿区",IF(AND($K3487="对外销售",ROUND($Q3487,0)=0),"※外销却没有售价，请填实际售价",IF(AND($K3487="对外销售",$T3487&lt;&gt;"",$T3487&lt;0),"※这一笔外销是亏的，请核对售价",IF(IFERROR(VLOOKUP($D3487,库存台账!$A$5:$Y$1204,24,0),0)&lt;-0.001,"※这个物料账面已经变成负数了，查一下是不是漏记入库","")))))))))))</f>
        <v/>
      </c>
    </row>
    <row r="3488">
      <c r="A3488" s="24">
        <f>IF($D3488="","",COUNTA($D$4:$D3488))</f>
        <v/>
      </c>
      <c r="B3488" s="17" t="n"/>
      <c r="C3488" s="30" t="n"/>
      <c r="D3488" s="17" t="n"/>
      <c r="E3488" s="24">
        <f>IF($D3488="","",IFERROR(VLOOKUP($D3488,物料档案!$A$4:$P$1203,3,0),"※编码不在物料档案里"))</f>
        <v/>
      </c>
      <c r="F3488" s="24">
        <f>IF($D3488="","",IFERROR(VLOOKUP($D3488,物料档案!$A$4:$P$1203,4,0),"※编码不在物料档案里"))</f>
        <v/>
      </c>
      <c r="G3488" s="24">
        <f>IF($D3488="","",IFERROR(VLOOKUP($D3488,物料档案!$A$4:$P$1203,5,0),"※编码不在物料档案里"))</f>
        <v/>
      </c>
      <c r="H3488" s="24">
        <f>IF($D3488="","",IFERROR(VLOOKUP($D3488,物料档案!$A$4:$P$1203,2,0),"※编码不在物料档案里"))</f>
        <v/>
      </c>
      <c r="I3488" s="24">
        <f>IF($D3488="","",IFERROR(VLOOKUP($D3488,物料档案!$A$4:$P$1203,6,0),"※编码不在物料档案里"))</f>
        <v/>
      </c>
      <c r="J3488" s="23" t="n"/>
      <c r="K3488" s="17" t="n"/>
      <c r="L3488" s="17" t="n"/>
      <c r="M3488" s="17" t="n"/>
      <c r="N3488" s="17" t="n"/>
      <c r="O3488" s="26">
        <f>IF($D3488="","",IFERROR(VLOOKUP($D3488,物料档案!$A$4:$P$1203,10,0),0))</f>
        <v/>
      </c>
      <c r="P3488" s="32" t="n"/>
      <c r="Q3488" s="26">
        <f>IF($D3488="","",IF($K3488&lt;&gt;"对外销售",0,ROUND(N($J3488)*IF($P3488="",N($O3488),N($P3488)),0)))</f>
        <v/>
      </c>
      <c r="R3488" s="26">
        <f>IF($D3488="","",IFERROR(VLOOKUP($D3488,库存台账!$A$5:$Y$1204,11,0),0))</f>
        <v/>
      </c>
      <c r="S3488" s="26">
        <f>IF($D3488="","",ROUND(N($J3488)*N($R3488),0))</f>
        <v/>
      </c>
      <c r="T3488" s="26">
        <f>IF($D3488="","",IF($K3488&lt;&gt;"对外销售","",ROUND($Q3488-$S3488,0)))</f>
        <v/>
      </c>
      <c r="U3488" s="17" t="n"/>
      <c r="V3488" s="17" t="n"/>
      <c r="W3488" s="24">
        <f>IF($D3488="","",IF($E3488="※编码不在物料档案里","※物料编码不在档案里",IF(N($J3488)&lt;=0,"※出库数量要大于 0",IF($K3488="","※没填去向类型",IF($L3488="","※没填去向矿区",IF(AND($C3488&lt;&gt;"",$C3488&lt;=结账锁),"※日期早于已结账截止日，不能再录",IF(AND($K3488="自用消耗",COUNTIF({"一矿区";"二矿区"},$L3488)=0),"※自用消耗的去向只能是一矿区或二矿区",IF(AND($K3488="对外销售",COUNTIF({"三矿区";"六矿区"},$L3488)=0),"※对外销售的去向只能是三矿区或六矿区",IF(AND($K3488="对外销售",ROUND($Q3488,0)=0),"※外销却没有售价，请填实际售价",IF(AND($K3488="对外销售",$T3488&lt;&gt;"",$T3488&lt;0),"※这一笔外销是亏的，请核对售价",IF(IFERROR(VLOOKUP($D3488,库存台账!$A$5:$Y$1204,24,0),0)&lt;-0.001,"※这个物料账面已经变成负数了，查一下是不是漏记入库","")))))))))))</f>
        <v/>
      </c>
    </row>
    <row r="3489">
      <c r="A3489" s="24">
        <f>IF($D3489="","",COUNTA($D$4:$D3489))</f>
        <v/>
      </c>
      <c r="B3489" s="17" t="n"/>
      <c r="C3489" s="30" t="n"/>
      <c r="D3489" s="17" t="n"/>
      <c r="E3489" s="24">
        <f>IF($D3489="","",IFERROR(VLOOKUP($D3489,物料档案!$A$4:$P$1203,3,0),"※编码不在物料档案里"))</f>
        <v/>
      </c>
      <c r="F3489" s="24">
        <f>IF($D3489="","",IFERROR(VLOOKUP($D3489,物料档案!$A$4:$P$1203,4,0),"※编码不在物料档案里"))</f>
        <v/>
      </c>
      <c r="G3489" s="24">
        <f>IF($D3489="","",IFERROR(VLOOKUP($D3489,物料档案!$A$4:$P$1203,5,0),"※编码不在物料档案里"))</f>
        <v/>
      </c>
      <c r="H3489" s="24">
        <f>IF($D3489="","",IFERROR(VLOOKUP($D3489,物料档案!$A$4:$P$1203,2,0),"※编码不在物料档案里"))</f>
        <v/>
      </c>
      <c r="I3489" s="24">
        <f>IF($D3489="","",IFERROR(VLOOKUP($D3489,物料档案!$A$4:$P$1203,6,0),"※编码不在物料档案里"))</f>
        <v/>
      </c>
      <c r="J3489" s="23" t="n"/>
      <c r="K3489" s="17" t="n"/>
      <c r="L3489" s="17" t="n"/>
      <c r="M3489" s="17" t="n"/>
      <c r="N3489" s="17" t="n"/>
      <c r="O3489" s="26">
        <f>IF($D3489="","",IFERROR(VLOOKUP($D3489,物料档案!$A$4:$P$1203,10,0),0))</f>
        <v/>
      </c>
      <c r="P3489" s="32" t="n"/>
      <c r="Q3489" s="26">
        <f>IF($D3489="","",IF($K3489&lt;&gt;"对外销售",0,ROUND(N($J3489)*IF($P3489="",N($O3489),N($P3489)),0)))</f>
        <v/>
      </c>
      <c r="R3489" s="26">
        <f>IF($D3489="","",IFERROR(VLOOKUP($D3489,库存台账!$A$5:$Y$1204,11,0),0))</f>
        <v/>
      </c>
      <c r="S3489" s="26">
        <f>IF($D3489="","",ROUND(N($J3489)*N($R3489),0))</f>
        <v/>
      </c>
      <c r="T3489" s="26">
        <f>IF($D3489="","",IF($K3489&lt;&gt;"对外销售","",ROUND($Q3489-$S3489,0)))</f>
        <v/>
      </c>
      <c r="U3489" s="17" t="n"/>
      <c r="V3489" s="17" t="n"/>
      <c r="W3489" s="24">
        <f>IF($D3489="","",IF($E3489="※编码不在物料档案里","※物料编码不在档案里",IF(N($J3489)&lt;=0,"※出库数量要大于 0",IF($K3489="","※没填去向类型",IF($L3489="","※没填去向矿区",IF(AND($C3489&lt;&gt;"",$C3489&lt;=结账锁),"※日期早于已结账截止日，不能再录",IF(AND($K3489="自用消耗",COUNTIF({"一矿区";"二矿区"},$L3489)=0),"※自用消耗的去向只能是一矿区或二矿区",IF(AND($K3489="对外销售",COUNTIF({"三矿区";"六矿区"},$L3489)=0),"※对外销售的去向只能是三矿区或六矿区",IF(AND($K3489="对外销售",ROUND($Q3489,0)=0),"※外销却没有售价，请填实际售价",IF(AND($K3489="对外销售",$T3489&lt;&gt;"",$T3489&lt;0),"※这一笔外销是亏的，请核对售价",IF(IFERROR(VLOOKUP($D3489,库存台账!$A$5:$Y$1204,24,0),0)&lt;-0.001,"※这个物料账面已经变成负数了，查一下是不是漏记入库","")))))))))))</f>
        <v/>
      </c>
    </row>
    <row r="3490">
      <c r="A3490" s="24">
        <f>IF($D3490="","",COUNTA($D$4:$D3490))</f>
        <v/>
      </c>
      <c r="B3490" s="17" t="n"/>
      <c r="C3490" s="30" t="n"/>
      <c r="D3490" s="17" t="n"/>
      <c r="E3490" s="24">
        <f>IF($D3490="","",IFERROR(VLOOKUP($D3490,物料档案!$A$4:$P$1203,3,0),"※编码不在物料档案里"))</f>
        <v/>
      </c>
      <c r="F3490" s="24">
        <f>IF($D3490="","",IFERROR(VLOOKUP($D3490,物料档案!$A$4:$P$1203,4,0),"※编码不在物料档案里"))</f>
        <v/>
      </c>
      <c r="G3490" s="24">
        <f>IF($D3490="","",IFERROR(VLOOKUP($D3490,物料档案!$A$4:$P$1203,5,0),"※编码不在物料档案里"))</f>
        <v/>
      </c>
      <c r="H3490" s="24">
        <f>IF($D3490="","",IFERROR(VLOOKUP($D3490,物料档案!$A$4:$P$1203,2,0),"※编码不在物料档案里"))</f>
        <v/>
      </c>
      <c r="I3490" s="24">
        <f>IF($D3490="","",IFERROR(VLOOKUP($D3490,物料档案!$A$4:$P$1203,6,0),"※编码不在物料档案里"))</f>
        <v/>
      </c>
      <c r="J3490" s="23" t="n"/>
      <c r="K3490" s="17" t="n"/>
      <c r="L3490" s="17" t="n"/>
      <c r="M3490" s="17" t="n"/>
      <c r="N3490" s="17" t="n"/>
      <c r="O3490" s="26">
        <f>IF($D3490="","",IFERROR(VLOOKUP($D3490,物料档案!$A$4:$P$1203,10,0),0))</f>
        <v/>
      </c>
      <c r="P3490" s="32" t="n"/>
      <c r="Q3490" s="26">
        <f>IF($D3490="","",IF($K3490&lt;&gt;"对外销售",0,ROUND(N($J3490)*IF($P3490="",N($O3490),N($P3490)),0)))</f>
        <v/>
      </c>
      <c r="R3490" s="26">
        <f>IF($D3490="","",IFERROR(VLOOKUP($D3490,库存台账!$A$5:$Y$1204,11,0),0))</f>
        <v/>
      </c>
      <c r="S3490" s="26">
        <f>IF($D3490="","",ROUND(N($J3490)*N($R3490),0))</f>
        <v/>
      </c>
      <c r="T3490" s="26">
        <f>IF($D3490="","",IF($K3490&lt;&gt;"对外销售","",ROUND($Q3490-$S3490,0)))</f>
        <v/>
      </c>
      <c r="U3490" s="17" t="n"/>
      <c r="V3490" s="17" t="n"/>
      <c r="W3490" s="24">
        <f>IF($D3490="","",IF($E3490="※编码不在物料档案里","※物料编码不在档案里",IF(N($J3490)&lt;=0,"※出库数量要大于 0",IF($K3490="","※没填去向类型",IF($L3490="","※没填去向矿区",IF(AND($C3490&lt;&gt;"",$C3490&lt;=结账锁),"※日期早于已结账截止日，不能再录",IF(AND($K3490="自用消耗",COUNTIF({"一矿区";"二矿区"},$L3490)=0),"※自用消耗的去向只能是一矿区或二矿区",IF(AND($K3490="对外销售",COUNTIF({"三矿区";"六矿区"},$L3490)=0),"※对外销售的去向只能是三矿区或六矿区",IF(AND($K3490="对外销售",ROUND($Q3490,0)=0),"※外销却没有售价，请填实际售价",IF(AND($K3490="对外销售",$T3490&lt;&gt;"",$T3490&lt;0),"※这一笔外销是亏的，请核对售价",IF(IFERROR(VLOOKUP($D3490,库存台账!$A$5:$Y$1204,24,0),0)&lt;-0.001,"※这个物料账面已经变成负数了，查一下是不是漏记入库","")))))))))))</f>
        <v/>
      </c>
    </row>
    <row r="3491">
      <c r="A3491" s="24">
        <f>IF($D3491="","",COUNTA($D$4:$D3491))</f>
        <v/>
      </c>
      <c r="B3491" s="17" t="n"/>
      <c r="C3491" s="30" t="n"/>
      <c r="D3491" s="17" t="n"/>
      <c r="E3491" s="24">
        <f>IF($D3491="","",IFERROR(VLOOKUP($D3491,物料档案!$A$4:$P$1203,3,0),"※编码不在物料档案里"))</f>
        <v/>
      </c>
      <c r="F3491" s="24">
        <f>IF($D3491="","",IFERROR(VLOOKUP($D3491,物料档案!$A$4:$P$1203,4,0),"※编码不在物料档案里"))</f>
        <v/>
      </c>
      <c r="G3491" s="24">
        <f>IF($D3491="","",IFERROR(VLOOKUP($D3491,物料档案!$A$4:$P$1203,5,0),"※编码不在物料档案里"))</f>
        <v/>
      </c>
      <c r="H3491" s="24">
        <f>IF($D3491="","",IFERROR(VLOOKUP($D3491,物料档案!$A$4:$P$1203,2,0),"※编码不在物料档案里"))</f>
        <v/>
      </c>
      <c r="I3491" s="24">
        <f>IF($D3491="","",IFERROR(VLOOKUP($D3491,物料档案!$A$4:$P$1203,6,0),"※编码不在物料档案里"))</f>
        <v/>
      </c>
      <c r="J3491" s="23" t="n"/>
      <c r="K3491" s="17" t="n"/>
      <c r="L3491" s="17" t="n"/>
      <c r="M3491" s="17" t="n"/>
      <c r="N3491" s="17" t="n"/>
      <c r="O3491" s="26">
        <f>IF($D3491="","",IFERROR(VLOOKUP($D3491,物料档案!$A$4:$P$1203,10,0),0))</f>
        <v/>
      </c>
      <c r="P3491" s="32" t="n"/>
      <c r="Q3491" s="26">
        <f>IF($D3491="","",IF($K3491&lt;&gt;"对外销售",0,ROUND(N($J3491)*IF($P3491="",N($O3491),N($P3491)),0)))</f>
        <v/>
      </c>
      <c r="R3491" s="26">
        <f>IF($D3491="","",IFERROR(VLOOKUP($D3491,库存台账!$A$5:$Y$1204,11,0),0))</f>
        <v/>
      </c>
      <c r="S3491" s="26">
        <f>IF($D3491="","",ROUND(N($J3491)*N($R3491),0))</f>
        <v/>
      </c>
      <c r="T3491" s="26">
        <f>IF($D3491="","",IF($K3491&lt;&gt;"对外销售","",ROUND($Q3491-$S3491,0)))</f>
        <v/>
      </c>
      <c r="U3491" s="17" t="n"/>
      <c r="V3491" s="17" t="n"/>
      <c r="W3491" s="24">
        <f>IF($D3491="","",IF($E3491="※编码不在物料档案里","※物料编码不在档案里",IF(N($J3491)&lt;=0,"※出库数量要大于 0",IF($K3491="","※没填去向类型",IF($L3491="","※没填去向矿区",IF(AND($C3491&lt;&gt;"",$C3491&lt;=结账锁),"※日期早于已结账截止日，不能再录",IF(AND($K3491="自用消耗",COUNTIF({"一矿区";"二矿区"},$L3491)=0),"※自用消耗的去向只能是一矿区或二矿区",IF(AND($K3491="对外销售",COUNTIF({"三矿区";"六矿区"},$L3491)=0),"※对外销售的去向只能是三矿区或六矿区",IF(AND($K3491="对外销售",ROUND($Q3491,0)=0),"※外销却没有售价，请填实际售价",IF(AND($K3491="对外销售",$T3491&lt;&gt;"",$T3491&lt;0),"※这一笔外销是亏的，请核对售价",IF(IFERROR(VLOOKUP($D3491,库存台账!$A$5:$Y$1204,24,0),0)&lt;-0.001,"※这个物料账面已经变成负数了，查一下是不是漏记入库","")))))))))))</f>
        <v/>
      </c>
    </row>
    <row r="3492">
      <c r="A3492" s="24">
        <f>IF($D3492="","",COUNTA($D$4:$D3492))</f>
        <v/>
      </c>
      <c r="B3492" s="17" t="n"/>
      <c r="C3492" s="30" t="n"/>
      <c r="D3492" s="17" t="n"/>
      <c r="E3492" s="24">
        <f>IF($D3492="","",IFERROR(VLOOKUP($D3492,物料档案!$A$4:$P$1203,3,0),"※编码不在物料档案里"))</f>
        <v/>
      </c>
      <c r="F3492" s="24">
        <f>IF($D3492="","",IFERROR(VLOOKUP($D3492,物料档案!$A$4:$P$1203,4,0),"※编码不在物料档案里"))</f>
        <v/>
      </c>
      <c r="G3492" s="24">
        <f>IF($D3492="","",IFERROR(VLOOKUP($D3492,物料档案!$A$4:$P$1203,5,0),"※编码不在物料档案里"))</f>
        <v/>
      </c>
      <c r="H3492" s="24">
        <f>IF($D3492="","",IFERROR(VLOOKUP($D3492,物料档案!$A$4:$P$1203,2,0),"※编码不在物料档案里"))</f>
        <v/>
      </c>
      <c r="I3492" s="24">
        <f>IF($D3492="","",IFERROR(VLOOKUP($D3492,物料档案!$A$4:$P$1203,6,0),"※编码不在物料档案里"))</f>
        <v/>
      </c>
      <c r="J3492" s="23" t="n"/>
      <c r="K3492" s="17" t="n"/>
      <c r="L3492" s="17" t="n"/>
      <c r="M3492" s="17" t="n"/>
      <c r="N3492" s="17" t="n"/>
      <c r="O3492" s="26">
        <f>IF($D3492="","",IFERROR(VLOOKUP($D3492,物料档案!$A$4:$P$1203,10,0),0))</f>
        <v/>
      </c>
      <c r="P3492" s="32" t="n"/>
      <c r="Q3492" s="26">
        <f>IF($D3492="","",IF($K3492&lt;&gt;"对外销售",0,ROUND(N($J3492)*IF($P3492="",N($O3492),N($P3492)),0)))</f>
        <v/>
      </c>
      <c r="R3492" s="26">
        <f>IF($D3492="","",IFERROR(VLOOKUP($D3492,库存台账!$A$5:$Y$1204,11,0),0))</f>
        <v/>
      </c>
      <c r="S3492" s="26">
        <f>IF($D3492="","",ROUND(N($J3492)*N($R3492),0))</f>
        <v/>
      </c>
      <c r="T3492" s="26">
        <f>IF($D3492="","",IF($K3492&lt;&gt;"对外销售","",ROUND($Q3492-$S3492,0)))</f>
        <v/>
      </c>
      <c r="U3492" s="17" t="n"/>
      <c r="V3492" s="17" t="n"/>
      <c r="W3492" s="24">
        <f>IF($D3492="","",IF($E3492="※编码不在物料档案里","※物料编码不在档案里",IF(N($J3492)&lt;=0,"※出库数量要大于 0",IF($K3492="","※没填去向类型",IF($L3492="","※没填去向矿区",IF(AND($C3492&lt;&gt;"",$C3492&lt;=结账锁),"※日期早于已结账截止日，不能再录",IF(AND($K3492="自用消耗",COUNTIF({"一矿区";"二矿区"},$L3492)=0),"※自用消耗的去向只能是一矿区或二矿区",IF(AND($K3492="对外销售",COUNTIF({"三矿区";"六矿区"},$L3492)=0),"※对外销售的去向只能是三矿区或六矿区",IF(AND($K3492="对外销售",ROUND($Q3492,0)=0),"※外销却没有售价，请填实际售价",IF(AND($K3492="对外销售",$T3492&lt;&gt;"",$T3492&lt;0),"※这一笔外销是亏的，请核对售价",IF(IFERROR(VLOOKUP($D3492,库存台账!$A$5:$Y$1204,24,0),0)&lt;-0.001,"※这个物料账面已经变成负数了，查一下是不是漏记入库","")))))))))))</f>
        <v/>
      </c>
    </row>
    <row r="3493">
      <c r="A3493" s="24">
        <f>IF($D3493="","",COUNTA($D$4:$D3493))</f>
        <v/>
      </c>
      <c r="B3493" s="17" t="n"/>
      <c r="C3493" s="30" t="n"/>
      <c r="D3493" s="17" t="n"/>
      <c r="E3493" s="24">
        <f>IF($D3493="","",IFERROR(VLOOKUP($D3493,物料档案!$A$4:$P$1203,3,0),"※编码不在物料档案里"))</f>
        <v/>
      </c>
      <c r="F3493" s="24">
        <f>IF($D3493="","",IFERROR(VLOOKUP($D3493,物料档案!$A$4:$P$1203,4,0),"※编码不在物料档案里"))</f>
        <v/>
      </c>
      <c r="G3493" s="24">
        <f>IF($D3493="","",IFERROR(VLOOKUP($D3493,物料档案!$A$4:$P$1203,5,0),"※编码不在物料档案里"))</f>
        <v/>
      </c>
      <c r="H3493" s="24">
        <f>IF($D3493="","",IFERROR(VLOOKUP($D3493,物料档案!$A$4:$P$1203,2,0),"※编码不在物料档案里"))</f>
        <v/>
      </c>
      <c r="I3493" s="24">
        <f>IF($D3493="","",IFERROR(VLOOKUP($D3493,物料档案!$A$4:$P$1203,6,0),"※编码不在物料档案里"))</f>
        <v/>
      </c>
      <c r="J3493" s="23" t="n"/>
      <c r="K3493" s="17" t="n"/>
      <c r="L3493" s="17" t="n"/>
      <c r="M3493" s="17" t="n"/>
      <c r="N3493" s="17" t="n"/>
      <c r="O3493" s="26">
        <f>IF($D3493="","",IFERROR(VLOOKUP($D3493,物料档案!$A$4:$P$1203,10,0),0))</f>
        <v/>
      </c>
      <c r="P3493" s="32" t="n"/>
      <c r="Q3493" s="26">
        <f>IF($D3493="","",IF($K3493&lt;&gt;"对外销售",0,ROUND(N($J3493)*IF($P3493="",N($O3493),N($P3493)),0)))</f>
        <v/>
      </c>
      <c r="R3493" s="26">
        <f>IF($D3493="","",IFERROR(VLOOKUP($D3493,库存台账!$A$5:$Y$1204,11,0),0))</f>
        <v/>
      </c>
      <c r="S3493" s="26">
        <f>IF($D3493="","",ROUND(N($J3493)*N($R3493),0))</f>
        <v/>
      </c>
      <c r="T3493" s="26">
        <f>IF($D3493="","",IF($K3493&lt;&gt;"对外销售","",ROUND($Q3493-$S3493,0)))</f>
        <v/>
      </c>
      <c r="U3493" s="17" t="n"/>
      <c r="V3493" s="17" t="n"/>
      <c r="W3493" s="24">
        <f>IF($D3493="","",IF($E3493="※编码不在物料档案里","※物料编码不在档案里",IF(N($J3493)&lt;=0,"※出库数量要大于 0",IF($K3493="","※没填去向类型",IF($L3493="","※没填去向矿区",IF(AND($C3493&lt;&gt;"",$C3493&lt;=结账锁),"※日期早于已结账截止日，不能再录",IF(AND($K3493="自用消耗",COUNTIF({"一矿区";"二矿区"},$L3493)=0),"※自用消耗的去向只能是一矿区或二矿区",IF(AND($K3493="对外销售",COUNTIF({"三矿区";"六矿区"},$L3493)=0),"※对外销售的去向只能是三矿区或六矿区",IF(AND($K3493="对外销售",ROUND($Q3493,0)=0),"※外销却没有售价，请填实际售价",IF(AND($K3493="对外销售",$T3493&lt;&gt;"",$T3493&lt;0),"※这一笔外销是亏的，请核对售价",IF(IFERROR(VLOOKUP($D3493,库存台账!$A$5:$Y$1204,24,0),0)&lt;-0.001,"※这个物料账面已经变成负数了，查一下是不是漏记入库","")))))))))))</f>
        <v/>
      </c>
    </row>
    <row r="3494">
      <c r="A3494" s="24">
        <f>IF($D3494="","",COUNTA($D$4:$D3494))</f>
        <v/>
      </c>
      <c r="B3494" s="17" t="n"/>
      <c r="C3494" s="30" t="n"/>
      <c r="D3494" s="17" t="n"/>
      <c r="E3494" s="24">
        <f>IF($D3494="","",IFERROR(VLOOKUP($D3494,物料档案!$A$4:$P$1203,3,0),"※编码不在物料档案里"))</f>
        <v/>
      </c>
      <c r="F3494" s="24">
        <f>IF($D3494="","",IFERROR(VLOOKUP($D3494,物料档案!$A$4:$P$1203,4,0),"※编码不在物料档案里"))</f>
        <v/>
      </c>
      <c r="G3494" s="24">
        <f>IF($D3494="","",IFERROR(VLOOKUP($D3494,物料档案!$A$4:$P$1203,5,0),"※编码不在物料档案里"))</f>
        <v/>
      </c>
      <c r="H3494" s="24">
        <f>IF($D3494="","",IFERROR(VLOOKUP($D3494,物料档案!$A$4:$P$1203,2,0),"※编码不在物料档案里"))</f>
        <v/>
      </c>
      <c r="I3494" s="24">
        <f>IF($D3494="","",IFERROR(VLOOKUP($D3494,物料档案!$A$4:$P$1203,6,0),"※编码不在物料档案里"))</f>
        <v/>
      </c>
      <c r="J3494" s="23" t="n"/>
      <c r="K3494" s="17" t="n"/>
      <c r="L3494" s="17" t="n"/>
      <c r="M3494" s="17" t="n"/>
      <c r="N3494" s="17" t="n"/>
      <c r="O3494" s="26">
        <f>IF($D3494="","",IFERROR(VLOOKUP($D3494,物料档案!$A$4:$P$1203,10,0),0))</f>
        <v/>
      </c>
      <c r="P3494" s="32" t="n"/>
      <c r="Q3494" s="26">
        <f>IF($D3494="","",IF($K3494&lt;&gt;"对外销售",0,ROUND(N($J3494)*IF($P3494="",N($O3494),N($P3494)),0)))</f>
        <v/>
      </c>
      <c r="R3494" s="26">
        <f>IF($D3494="","",IFERROR(VLOOKUP($D3494,库存台账!$A$5:$Y$1204,11,0),0))</f>
        <v/>
      </c>
      <c r="S3494" s="26">
        <f>IF($D3494="","",ROUND(N($J3494)*N($R3494),0))</f>
        <v/>
      </c>
      <c r="T3494" s="26">
        <f>IF($D3494="","",IF($K3494&lt;&gt;"对外销售","",ROUND($Q3494-$S3494,0)))</f>
        <v/>
      </c>
      <c r="U3494" s="17" t="n"/>
      <c r="V3494" s="17" t="n"/>
      <c r="W3494" s="24">
        <f>IF($D3494="","",IF($E3494="※编码不在物料档案里","※物料编码不在档案里",IF(N($J3494)&lt;=0,"※出库数量要大于 0",IF($K3494="","※没填去向类型",IF($L3494="","※没填去向矿区",IF(AND($C3494&lt;&gt;"",$C3494&lt;=结账锁),"※日期早于已结账截止日，不能再录",IF(AND($K3494="自用消耗",COUNTIF({"一矿区";"二矿区"},$L3494)=0),"※自用消耗的去向只能是一矿区或二矿区",IF(AND($K3494="对外销售",COUNTIF({"三矿区";"六矿区"},$L3494)=0),"※对外销售的去向只能是三矿区或六矿区",IF(AND($K3494="对外销售",ROUND($Q3494,0)=0),"※外销却没有售价，请填实际售价",IF(AND($K3494="对外销售",$T3494&lt;&gt;"",$T3494&lt;0),"※这一笔外销是亏的，请核对售价",IF(IFERROR(VLOOKUP($D3494,库存台账!$A$5:$Y$1204,24,0),0)&lt;-0.001,"※这个物料账面已经变成负数了，查一下是不是漏记入库","")))))))))))</f>
        <v/>
      </c>
    </row>
    <row r="3495">
      <c r="A3495" s="24">
        <f>IF($D3495="","",COUNTA($D$4:$D3495))</f>
        <v/>
      </c>
      <c r="B3495" s="17" t="n"/>
      <c r="C3495" s="30" t="n"/>
      <c r="D3495" s="17" t="n"/>
      <c r="E3495" s="24">
        <f>IF($D3495="","",IFERROR(VLOOKUP($D3495,物料档案!$A$4:$P$1203,3,0),"※编码不在物料档案里"))</f>
        <v/>
      </c>
      <c r="F3495" s="24">
        <f>IF($D3495="","",IFERROR(VLOOKUP($D3495,物料档案!$A$4:$P$1203,4,0),"※编码不在物料档案里"))</f>
        <v/>
      </c>
      <c r="G3495" s="24">
        <f>IF($D3495="","",IFERROR(VLOOKUP($D3495,物料档案!$A$4:$P$1203,5,0),"※编码不在物料档案里"))</f>
        <v/>
      </c>
      <c r="H3495" s="24">
        <f>IF($D3495="","",IFERROR(VLOOKUP($D3495,物料档案!$A$4:$P$1203,2,0),"※编码不在物料档案里"))</f>
        <v/>
      </c>
      <c r="I3495" s="24">
        <f>IF($D3495="","",IFERROR(VLOOKUP($D3495,物料档案!$A$4:$P$1203,6,0),"※编码不在物料档案里"))</f>
        <v/>
      </c>
      <c r="J3495" s="23" t="n"/>
      <c r="K3495" s="17" t="n"/>
      <c r="L3495" s="17" t="n"/>
      <c r="M3495" s="17" t="n"/>
      <c r="N3495" s="17" t="n"/>
      <c r="O3495" s="26">
        <f>IF($D3495="","",IFERROR(VLOOKUP($D3495,物料档案!$A$4:$P$1203,10,0),0))</f>
        <v/>
      </c>
      <c r="P3495" s="32" t="n"/>
      <c r="Q3495" s="26">
        <f>IF($D3495="","",IF($K3495&lt;&gt;"对外销售",0,ROUND(N($J3495)*IF($P3495="",N($O3495),N($P3495)),0)))</f>
        <v/>
      </c>
      <c r="R3495" s="26">
        <f>IF($D3495="","",IFERROR(VLOOKUP($D3495,库存台账!$A$5:$Y$1204,11,0),0))</f>
        <v/>
      </c>
      <c r="S3495" s="26">
        <f>IF($D3495="","",ROUND(N($J3495)*N($R3495),0))</f>
        <v/>
      </c>
      <c r="T3495" s="26">
        <f>IF($D3495="","",IF($K3495&lt;&gt;"对外销售","",ROUND($Q3495-$S3495,0)))</f>
        <v/>
      </c>
      <c r="U3495" s="17" t="n"/>
      <c r="V3495" s="17" t="n"/>
      <c r="W3495" s="24">
        <f>IF($D3495="","",IF($E3495="※编码不在物料档案里","※物料编码不在档案里",IF(N($J3495)&lt;=0,"※出库数量要大于 0",IF($K3495="","※没填去向类型",IF($L3495="","※没填去向矿区",IF(AND($C3495&lt;&gt;"",$C3495&lt;=结账锁),"※日期早于已结账截止日，不能再录",IF(AND($K3495="自用消耗",COUNTIF({"一矿区";"二矿区"},$L3495)=0),"※自用消耗的去向只能是一矿区或二矿区",IF(AND($K3495="对外销售",COUNTIF({"三矿区";"六矿区"},$L3495)=0),"※对外销售的去向只能是三矿区或六矿区",IF(AND($K3495="对外销售",ROUND($Q3495,0)=0),"※外销却没有售价，请填实际售价",IF(AND($K3495="对外销售",$T3495&lt;&gt;"",$T3495&lt;0),"※这一笔外销是亏的，请核对售价",IF(IFERROR(VLOOKUP($D3495,库存台账!$A$5:$Y$1204,24,0),0)&lt;-0.001,"※这个物料账面已经变成负数了，查一下是不是漏记入库","")))))))))))</f>
        <v/>
      </c>
    </row>
    <row r="3496">
      <c r="A3496" s="24">
        <f>IF($D3496="","",COUNTA($D$4:$D3496))</f>
        <v/>
      </c>
      <c r="B3496" s="17" t="n"/>
      <c r="C3496" s="30" t="n"/>
      <c r="D3496" s="17" t="n"/>
      <c r="E3496" s="24">
        <f>IF($D3496="","",IFERROR(VLOOKUP($D3496,物料档案!$A$4:$P$1203,3,0),"※编码不在物料档案里"))</f>
        <v/>
      </c>
      <c r="F3496" s="24">
        <f>IF($D3496="","",IFERROR(VLOOKUP($D3496,物料档案!$A$4:$P$1203,4,0),"※编码不在物料档案里"))</f>
        <v/>
      </c>
      <c r="G3496" s="24">
        <f>IF($D3496="","",IFERROR(VLOOKUP($D3496,物料档案!$A$4:$P$1203,5,0),"※编码不在物料档案里"))</f>
        <v/>
      </c>
      <c r="H3496" s="24">
        <f>IF($D3496="","",IFERROR(VLOOKUP($D3496,物料档案!$A$4:$P$1203,2,0),"※编码不在物料档案里"))</f>
        <v/>
      </c>
      <c r="I3496" s="24">
        <f>IF($D3496="","",IFERROR(VLOOKUP($D3496,物料档案!$A$4:$P$1203,6,0),"※编码不在物料档案里"))</f>
        <v/>
      </c>
      <c r="J3496" s="23" t="n"/>
      <c r="K3496" s="17" t="n"/>
      <c r="L3496" s="17" t="n"/>
      <c r="M3496" s="17" t="n"/>
      <c r="N3496" s="17" t="n"/>
      <c r="O3496" s="26">
        <f>IF($D3496="","",IFERROR(VLOOKUP($D3496,物料档案!$A$4:$P$1203,10,0),0))</f>
        <v/>
      </c>
      <c r="P3496" s="32" t="n"/>
      <c r="Q3496" s="26">
        <f>IF($D3496="","",IF($K3496&lt;&gt;"对外销售",0,ROUND(N($J3496)*IF($P3496="",N($O3496),N($P3496)),0)))</f>
        <v/>
      </c>
      <c r="R3496" s="26">
        <f>IF($D3496="","",IFERROR(VLOOKUP($D3496,库存台账!$A$5:$Y$1204,11,0),0))</f>
        <v/>
      </c>
      <c r="S3496" s="26">
        <f>IF($D3496="","",ROUND(N($J3496)*N($R3496),0))</f>
        <v/>
      </c>
      <c r="T3496" s="26">
        <f>IF($D3496="","",IF($K3496&lt;&gt;"对外销售","",ROUND($Q3496-$S3496,0)))</f>
        <v/>
      </c>
      <c r="U3496" s="17" t="n"/>
      <c r="V3496" s="17" t="n"/>
      <c r="W3496" s="24">
        <f>IF($D3496="","",IF($E3496="※编码不在物料档案里","※物料编码不在档案里",IF(N($J3496)&lt;=0,"※出库数量要大于 0",IF($K3496="","※没填去向类型",IF($L3496="","※没填去向矿区",IF(AND($C3496&lt;&gt;"",$C3496&lt;=结账锁),"※日期早于已结账截止日，不能再录",IF(AND($K3496="自用消耗",COUNTIF({"一矿区";"二矿区"},$L3496)=0),"※自用消耗的去向只能是一矿区或二矿区",IF(AND($K3496="对外销售",COUNTIF({"三矿区";"六矿区"},$L3496)=0),"※对外销售的去向只能是三矿区或六矿区",IF(AND($K3496="对外销售",ROUND($Q3496,0)=0),"※外销却没有售价，请填实际售价",IF(AND($K3496="对外销售",$T3496&lt;&gt;"",$T3496&lt;0),"※这一笔外销是亏的，请核对售价",IF(IFERROR(VLOOKUP($D3496,库存台账!$A$5:$Y$1204,24,0),0)&lt;-0.001,"※这个物料账面已经变成负数了，查一下是不是漏记入库","")))))))))))</f>
        <v/>
      </c>
    </row>
    <row r="3497">
      <c r="A3497" s="24">
        <f>IF($D3497="","",COUNTA($D$4:$D3497))</f>
        <v/>
      </c>
      <c r="B3497" s="17" t="n"/>
      <c r="C3497" s="30" t="n"/>
      <c r="D3497" s="17" t="n"/>
      <c r="E3497" s="24">
        <f>IF($D3497="","",IFERROR(VLOOKUP($D3497,物料档案!$A$4:$P$1203,3,0),"※编码不在物料档案里"))</f>
        <v/>
      </c>
      <c r="F3497" s="24">
        <f>IF($D3497="","",IFERROR(VLOOKUP($D3497,物料档案!$A$4:$P$1203,4,0),"※编码不在物料档案里"))</f>
        <v/>
      </c>
      <c r="G3497" s="24">
        <f>IF($D3497="","",IFERROR(VLOOKUP($D3497,物料档案!$A$4:$P$1203,5,0),"※编码不在物料档案里"))</f>
        <v/>
      </c>
      <c r="H3497" s="24">
        <f>IF($D3497="","",IFERROR(VLOOKUP($D3497,物料档案!$A$4:$P$1203,2,0),"※编码不在物料档案里"))</f>
        <v/>
      </c>
      <c r="I3497" s="24">
        <f>IF($D3497="","",IFERROR(VLOOKUP($D3497,物料档案!$A$4:$P$1203,6,0),"※编码不在物料档案里"))</f>
        <v/>
      </c>
      <c r="J3497" s="23" t="n"/>
      <c r="K3497" s="17" t="n"/>
      <c r="L3497" s="17" t="n"/>
      <c r="M3497" s="17" t="n"/>
      <c r="N3497" s="17" t="n"/>
      <c r="O3497" s="26">
        <f>IF($D3497="","",IFERROR(VLOOKUP($D3497,物料档案!$A$4:$P$1203,10,0),0))</f>
        <v/>
      </c>
      <c r="P3497" s="32" t="n"/>
      <c r="Q3497" s="26">
        <f>IF($D3497="","",IF($K3497&lt;&gt;"对外销售",0,ROUND(N($J3497)*IF($P3497="",N($O3497),N($P3497)),0)))</f>
        <v/>
      </c>
      <c r="R3497" s="26">
        <f>IF($D3497="","",IFERROR(VLOOKUP($D3497,库存台账!$A$5:$Y$1204,11,0),0))</f>
        <v/>
      </c>
      <c r="S3497" s="26">
        <f>IF($D3497="","",ROUND(N($J3497)*N($R3497),0))</f>
        <v/>
      </c>
      <c r="T3497" s="26">
        <f>IF($D3497="","",IF($K3497&lt;&gt;"对外销售","",ROUND($Q3497-$S3497,0)))</f>
        <v/>
      </c>
      <c r="U3497" s="17" t="n"/>
      <c r="V3497" s="17" t="n"/>
      <c r="W3497" s="24">
        <f>IF($D3497="","",IF($E3497="※编码不在物料档案里","※物料编码不在档案里",IF(N($J3497)&lt;=0,"※出库数量要大于 0",IF($K3497="","※没填去向类型",IF($L3497="","※没填去向矿区",IF(AND($C3497&lt;&gt;"",$C3497&lt;=结账锁),"※日期早于已结账截止日，不能再录",IF(AND($K3497="自用消耗",COUNTIF({"一矿区";"二矿区"},$L3497)=0),"※自用消耗的去向只能是一矿区或二矿区",IF(AND($K3497="对外销售",COUNTIF({"三矿区";"六矿区"},$L3497)=0),"※对外销售的去向只能是三矿区或六矿区",IF(AND($K3497="对外销售",ROUND($Q3497,0)=0),"※外销却没有售价，请填实际售价",IF(AND($K3497="对外销售",$T3497&lt;&gt;"",$T3497&lt;0),"※这一笔外销是亏的，请核对售价",IF(IFERROR(VLOOKUP($D3497,库存台账!$A$5:$Y$1204,24,0),0)&lt;-0.001,"※这个物料账面已经变成负数了，查一下是不是漏记入库","")))))))))))</f>
        <v/>
      </c>
    </row>
    <row r="3498">
      <c r="A3498" s="24">
        <f>IF($D3498="","",COUNTA($D$4:$D3498))</f>
        <v/>
      </c>
      <c r="B3498" s="17" t="n"/>
      <c r="C3498" s="30" t="n"/>
      <c r="D3498" s="17" t="n"/>
      <c r="E3498" s="24">
        <f>IF($D3498="","",IFERROR(VLOOKUP($D3498,物料档案!$A$4:$P$1203,3,0),"※编码不在物料档案里"))</f>
        <v/>
      </c>
      <c r="F3498" s="24">
        <f>IF($D3498="","",IFERROR(VLOOKUP($D3498,物料档案!$A$4:$P$1203,4,0),"※编码不在物料档案里"))</f>
        <v/>
      </c>
      <c r="G3498" s="24">
        <f>IF($D3498="","",IFERROR(VLOOKUP($D3498,物料档案!$A$4:$P$1203,5,0),"※编码不在物料档案里"))</f>
        <v/>
      </c>
      <c r="H3498" s="24">
        <f>IF($D3498="","",IFERROR(VLOOKUP($D3498,物料档案!$A$4:$P$1203,2,0),"※编码不在物料档案里"))</f>
        <v/>
      </c>
      <c r="I3498" s="24">
        <f>IF($D3498="","",IFERROR(VLOOKUP($D3498,物料档案!$A$4:$P$1203,6,0),"※编码不在物料档案里"))</f>
        <v/>
      </c>
      <c r="J3498" s="23" t="n"/>
      <c r="K3498" s="17" t="n"/>
      <c r="L3498" s="17" t="n"/>
      <c r="M3498" s="17" t="n"/>
      <c r="N3498" s="17" t="n"/>
      <c r="O3498" s="26">
        <f>IF($D3498="","",IFERROR(VLOOKUP($D3498,物料档案!$A$4:$P$1203,10,0),0))</f>
        <v/>
      </c>
      <c r="P3498" s="32" t="n"/>
      <c r="Q3498" s="26">
        <f>IF($D3498="","",IF($K3498&lt;&gt;"对外销售",0,ROUND(N($J3498)*IF($P3498="",N($O3498),N($P3498)),0)))</f>
        <v/>
      </c>
      <c r="R3498" s="26">
        <f>IF($D3498="","",IFERROR(VLOOKUP($D3498,库存台账!$A$5:$Y$1204,11,0),0))</f>
        <v/>
      </c>
      <c r="S3498" s="26">
        <f>IF($D3498="","",ROUND(N($J3498)*N($R3498),0))</f>
        <v/>
      </c>
      <c r="T3498" s="26">
        <f>IF($D3498="","",IF($K3498&lt;&gt;"对外销售","",ROUND($Q3498-$S3498,0)))</f>
        <v/>
      </c>
      <c r="U3498" s="17" t="n"/>
      <c r="V3498" s="17" t="n"/>
      <c r="W3498" s="24">
        <f>IF($D3498="","",IF($E3498="※编码不在物料档案里","※物料编码不在档案里",IF(N($J3498)&lt;=0,"※出库数量要大于 0",IF($K3498="","※没填去向类型",IF($L3498="","※没填去向矿区",IF(AND($C3498&lt;&gt;"",$C3498&lt;=结账锁),"※日期早于已结账截止日，不能再录",IF(AND($K3498="自用消耗",COUNTIF({"一矿区";"二矿区"},$L3498)=0),"※自用消耗的去向只能是一矿区或二矿区",IF(AND($K3498="对外销售",COUNTIF({"三矿区";"六矿区"},$L3498)=0),"※对外销售的去向只能是三矿区或六矿区",IF(AND($K3498="对外销售",ROUND($Q3498,0)=0),"※外销却没有售价，请填实际售价",IF(AND($K3498="对外销售",$T3498&lt;&gt;"",$T3498&lt;0),"※这一笔外销是亏的，请核对售价",IF(IFERROR(VLOOKUP($D3498,库存台账!$A$5:$Y$1204,24,0),0)&lt;-0.001,"※这个物料账面已经变成负数了，查一下是不是漏记入库","")))))))))))</f>
        <v/>
      </c>
    </row>
    <row r="3499">
      <c r="A3499" s="24">
        <f>IF($D3499="","",COUNTA($D$4:$D3499))</f>
        <v/>
      </c>
      <c r="B3499" s="17" t="n"/>
      <c r="C3499" s="30" t="n"/>
      <c r="D3499" s="17" t="n"/>
      <c r="E3499" s="24">
        <f>IF($D3499="","",IFERROR(VLOOKUP($D3499,物料档案!$A$4:$P$1203,3,0),"※编码不在物料档案里"))</f>
        <v/>
      </c>
      <c r="F3499" s="24">
        <f>IF($D3499="","",IFERROR(VLOOKUP($D3499,物料档案!$A$4:$P$1203,4,0),"※编码不在物料档案里"))</f>
        <v/>
      </c>
      <c r="G3499" s="24">
        <f>IF($D3499="","",IFERROR(VLOOKUP($D3499,物料档案!$A$4:$P$1203,5,0),"※编码不在物料档案里"))</f>
        <v/>
      </c>
      <c r="H3499" s="24">
        <f>IF($D3499="","",IFERROR(VLOOKUP($D3499,物料档案!$A$4:$P$1203,2,0),"※编码不在物料档案里"))</f>
        <v/>
      </c>
      <c r="I3499" s="24">
        <f>IF($D3499="","",IFERROR(VLOOKUP($D3499,物料档案!$A$4:$P$1203,6,0),"※编码不在物料档案里"))</f>
        <v/>
      </c>
      <c r="J3499" s="23" t="n"/>
      <c r="K3499" s="17" t="n"/>
      <c r="L3499" s="17" t="n"/>
      <c r="M3499" s="17" t="n"/>
      <c r="N3499" s="17" t="n"/>
      <c r="O3499" s="26">
        <f>IF($D3499="","",IFERROR(VLOOKUP($D3499,物料档案!$A$4:$P$1203,10,0),0))</f>
        <v/>
      </c>
      <c r="P3499" s="32" t="n"/>
      <c r="Q3499" s="26">
        <f>IF($D3499="","",IF($K3499&lt;&gt;"对外销售",0,ROUND(N($J3499)*IF($P3499="",N($O3499),N($P3499)),0)))</f>
        <v/>
      </c>
      <c r="R3499" s="26">
        <f>IF($D3499="","",IFERROR(VLOOKUP($D3499,库存台账!$A$5:$Y$1204,11,0),0))</f>
        <v/>
      </c>
      <c r="S3499" s="26">
        <f>IF($D3499="","",ROUND(N($J3499)*N($R3499),0))</f>
        <v/>
      </c>
      <c r="T3499" s="26">
        <f>IF($D3499="","",IF($K3499&lt;&gt;"对外销售","",ROUND($Q3499-$S3499,0)))</f>
        <v/>
      </c>
      <c r="U3499" s="17" t="n"/>
      <c r="V3499" s="17" t="n"/>
      <c r="W3499" s="24">
        <f>IF($D3499="","",IF($E3499="※编码不在物料档案里","※物料编码不在档案里",IF(N($J3499)&lt;=0,"※出库数量要大于 0",IF($K3499="","※没填去向类型",IF($L3499="","※没填去向矿区",IF(AND($C3499&lt;&gt;"",$C3499&lt;=结账锁),"※日期早于已结账截止日，不能再录",IF(AND($K3499="自用消耗",COUNTIF({"一矿区";"二矿区"},$L3499)=0),"※自用消耗的去向只能是一矿区或二矿区",IF(AND($K3499="对外销售",COUNTIF({"三矿区";"六矿区"},$L3499)=0),"※对外销售的去向只能是三矿区或六矿区",IF(AND($K3499="对外销售",ROUND($Q3499,0)=0),"※外销却没有售价，请填实际售价",IF(AND($K3499="对外销售",$T3499&lt;&gt;"",$T3499&lt;0),"※这一笔外销是亏的，请核对售价",IF(IFERROR(VLOOKUP($D3499,库存台账!$A$5:$Y$1204,24,0),0)&lt;-0.001,"※这个物料账面已经变成负数了，查一下是不是漏记入库","")))))))))))</f>
        <v/>
      </c>
    </row>
    <row r="3500">
      <c r="A3500" s="24">
        <f>IF($D3500="","",COUNTA($D$4:$D3500))</f>
        <v/>
      </c>
      <c r="B3500" s="17" t="n"/>
      <c r="C3500" s="30" t="n"/>
      <c r="D3500" s="17" t="n"/>
      <c r="E3500" s="24">
        <f>IF($D3500="","",IFERROR(VLOOKUP($D3500,物料档案!$A$4:$P$1203,3,0),"※编码不在物料档案里"))</f>
        <v/>
      </c>
      <c r="F3500" s="24">
        <f>IF($D3500="","",IFERROR(VLOOKUP($D3500,物料档案!$A$4:$P$1203,4,0),"※编码不在物料档案里"))</f>
        <v/>
      </c>
      <c r="G3500" s="24">
        <f>IF($D3500="","",IFERROR(VLOOKUP($D3500,物料档案!$A$4:$P$1203,5,0),"※编码不在物料档案里"))</f>
        <v/>
      </c>
      <c r="H3500" s="24">
        <f>IF($D3500="","",IFERROR(VLOOKUP($D3500,物料档案!$A$4:$P$1203,2,0),"※编码不在物料档案里"))</f>
        <v/>
      </c>
      <c r="I3500" s="24">
        <f>IF($D3500="","",IFERROR(VLOOKUP($D3500,物料档案!$A$4:$P$1203,6,0),"※编码不在物料档案里"))</f>
        <v/>
      </c>
      <c r="J3500" s="23" t="n"/>
      <c r="K3500" s="17" t="n"/>
      <c r="L3500" s="17" t="n"/>
      <c r="M3500" s="17" t="n"/>
      <c r="N3500" s="17" t="n"/>
      <c r="O3500" s="26">
        <f>IF($D3500="","",IFERROR(VLOOKUP($D3500,物料档案!$A$4:$P$1203,10,0),0))</f>
        <v/>
      </c>
      <c r="P3500" s="32" t="n"/>
      <c r="Q3500" s="26">
        <f>IF($D3500="","",IF($K3500&lt;&gt;"对外销售",0,ROUND(N($J3500)*IF($P3500="",N($O3500),N($P3500)),0)))</f>
        <v/>
      </c>
      <c r="R3500" s="26">
        <f>IF($D3500="","",IFERROR(VLOOKUP($D3500,库存台账!$A$5:$Y$1204,11,0),0))</f>
        <v/>
      </c>
      <c r="S3500" s="26">
        <f>IF($D3500="","",ROUND(N($J3500)*N($R3500),0))</f>
        <v/>
      </c>
      <c r="T3500" s="26">
        <f>IF($D3500="","",IF($K3500&lt;&gt;"对外销售","",ROUND($Q3500-$S3500,0)))</f>
        <v/>
      </c>
      <c r="U3500" s="17" t="n"/>
      <c r="V3500" s="17" t="n"/>
      <c r="W3500" s="24">
        <f>IF($D3500="","",IF($E3500="※编码不在物料档案里","※物料编码不在档案里",IF(N($J3500)&lt;=0,"※出库数量要大于 0",IF($K3500="","※没填去向类型",IF($L3500="","※没填去向矿区",IF(AND($C3500&lt;&gt;"",$C3500&lt;=结账锁),"※日期早于已结账截止日，不能再录",IF(AND($K3500="自用消耗",COUNTIF({"一矿区";"二矿区"},$L3500)=0),"※自用消耗的去向只能是一矿区或二矿区",IF(AND($K3500="对外销售",COUNTIF({"三矿区";"六矿区"},$L3500)=0),"※对外销售的去向只能是三矿区或六矿区",IF(AND($K3500="对外销售",ROUND($Q3500,0)=0),"※外销却没有售价，请填实际售价",IF(AND($K3500="对外销售",$T3500&lt;&gt;"",$T3500&lt;0),"※这一笔外销是亏的，请核对售价",IF(IFERROR(VLOOKUP($D3500,库存台账!$A$5:$Y$1204,24,0),0)&lt;-0.001,"※这个物料账面已经变成负数了，查一下是不是漏记入库","")))))))))))</f>
        <v/>
      </c>
    </row>
    <row r="3501">
      <c r="A3501" s="24">
        <f>IF($D3501="","",COUNTA($D$4:$D3501))</f>
        <v/>
      </c>
      <c r="B3501" s="17" t="n"/>
      <c r="C3501" s="30" t="n"/>
      <c r="D3501" s="17" t="n"/>
      <c r="E3501" s="24">
        <f>IF($D3501="","",IFERROR(VLOOKUP($D3501,物料档案!$A$4:$P$1203,3,0),"※编码不在物料档案里"))</f>
        <v/>
      </c>
      <c r="F3501" s="24">
        <f>IF($D3501="","",IFERROR(VLOOKUP($D3501,物料档案!$A$4:$P$1203,4,0),"※编码不在物料档案里"))</f>
        <v/>
      </c>
      <c r="G3501" s="24">
        <f>IF($D3501="","",IFERROR(VLOOKUP($D3501,物料档案!$A$4:$P$1203,5,0),"※编码不在物料档案里"))</f>
        <v/>
      </c>
      <c r="H3501" s="24">
        <f>IF($D3501="","",IFERROR(VLOOKUP($D3501,物料档案!$A$4:$P$1203,2,0),"※编码不在物料档案里"))</f>
        <v/>
      </c>
      <c r="I3501" s="24">
        <f>IF($D3501="","",IFERROR(VLOOKUP($D3501,物料档案!$A$4:$P$1203,6,0),"※编码不在物料档案里"))</f>
        <v/>
      </c>
      <c r="J3501" s="23" t="n"/>
      <c r="K3501" s="17" t="n"/>
      <c r="L3501" s="17" t="n"/>
      <c r="M3501" s="17" t="n"/>
      <c r="N3501" s="17" t="n"/>
      <c r="O3501" s="26">
        <f>IF($D3501="","",IFERROR(VLOOKUP($D3501,物料档案!$A$4:$P$1203,10,0),0))</f>
        <v/>
      </c>
      <c r="P3501" s="32" t="n"/>
      <c r="Q3501" s="26">
        <f>IF($D3501="","",IF($K3501&lt;&gt;"对外销售",0,ROUND(N($J3501)*IF($P3501="",N($O3501),N($P3501)),0)))</f>
        <v/>
      </c>
      <c r="R3501" s="26">
        <f>IF($D3501="","",IFERROR(VLOOKUP($D3501,库存台账!$A$5:$Y$1204,11,0),0))</f>
        <v/>
      </c>
      <c r="S3501" s="26">
        <f>IF($D3501="","",ROUND(N($J3501)*N($R3501),0))</f>
        <v/>
      </c>
      <c r="T3501" s="26">
        <f>IF($D3501="","",IF($K3501&lt;&gt;"对外销售","",ROUND($Q3501-$S3501,0)))</f>
        <v/>
      </c>
      <c r="U3501" s="17" t="n"/>
      <c r="V3501" s="17" t="n"/>
      <c r="W3501" s="24">
        <f>IF($D3501="","",IF($E3501="※编码不在物料档案里","※物料编码不在档案里",IF(N($J3501)&lt;=0,"※出库数量要大于 0",IF($K3501="","※没填去向类型",IF($L3501="","※没填去向矿区",IF(AND($C3501&lt;&gt;"",$C3501&lt;=结账锁),"※日期早于已结账截止日，不能再录",IF(AND($K3501="自用消耗",COUNTIF({"一矿区";"二矿区"},$L3501)=0),"※自用消耗的去向只能是一矿区或二矿区",IF(AND($K3501="对外销售",COUNTIF({"三矿区";"六矿区"},$L3501)=0),"※对外销售的去向只能是三矿区或六矿区",IF(AND($K3501="对外销售",ROUND($Q3501,0)=0),"※外销却没有售价，请填实际售价",IF(AND($K3501="对外销售",$T3501&lt;&gt;"",$T3501&lt;0),"※这一笔外销是亏的，请核对售价",IF(IFERROR(VLOOKUP($D3501,库存台账!$A$5:$Y$1204,24,0),0)&lt;-0.001,"※这个物料账面已经变成负数了，查一下是不是漏记入库","")))))))))))</f>
        <v/>
      </c>
    </row>
    <row r="3502">
      <c r="A3502" s="24">
        <f>IF($D3502="","",COUNTA($D$4:$D3502))</f>
        <v/>
      </c>
      <c r="B3502" s="17" t="n"/>
      <c r="C3502" s="30" t="n"/>
      <c r="D3502" s="17" t="n"/>
      <c r="E3502" s="24">
        <f>IF($D3502="","",IFERROR(VLOOKUP($D3502,物料档案!$A$4:$P$1203,3,0),"※编码不在物料档案里"))</f>
        <v/>
      </c>
      <c r="F3502" s="24">
        <f>IF($D3502="","",IFERROR(VLOOKUP($D3502,物料档案!$A$4:$P$1203,4,0),"※编码不在物料档案里"))</f>
        <v/>
      </c>
      <c r="G3502" s="24">
        <f>IF($D3502="","",IFERROR(VLOOKUP($D3502,物料档案!$A$4:$P$1203,5,0),"※编码不在物料档案里"))</f>
        <v/>
      </c>
      <c r="H3502" s="24">
        <f>IF($D3502="","",IFERROR(VLOOKUP($D3502,物料档案!$A$4:$P$1203,2,0),"※编码不在物料档案里"))</f>
        <v/>
      </c>
      <c r="I3502" s="24">
        <f>IF($D3502="","",IFERROR(VLOOKUP($D3502,物料档案!$A$4:$P$1203,6,0),"※编码不在物料档案里"))</f>
        <v/>
      </c>
      <c r="J3502" s="23" t="n"/>
      <c r="K3502" s="17" t="n"/>
      <c r="L3502" s="17" t="n"/>
      <c r="M3502" s="17" t="n"/>
      <c r="N3502" s="17" t="n"/>
      <c r="O3502" s="26">
        <f>IF($D3502="","",IFERROR(VLOOKUP($D3502,物料档案!$A$4:$P$1203,10,0),0))</f>
        <v/>
      </c>
      <c r="P3502" s="32" t="n"/>
      <c r="Q3502" s="26">
        <f>IF($D3502="","",IF($K3502&lt;&gt;"对外销售",0,ROUND(N($J3502)*IF($P3502="",N($O3502),N($P3502)),0)))</f>
        <v/>
      </c>
      <c r="R3502" s="26">
        <f>IF($D3502="","",IFERROR(VLOOKUP($D3502,库存台账!$A$5:$Y$1204,11,0),0))</f>
        <v/>
      </c>
      <c r="S3502" s="26">
        <f>IF($D3502="","",ROUND(N($J3502)*N($R3502),0))</f>
        <v/>
      </c>
      <c r="T3502" s="26">
        <f>IF($D3502="","",IF($K3502&lt;&gt;"对外销售","",ROUND($Q3502-$S3502,0)))</f>
        <v/>
      </c>
      <c r="U3502" s="17" t="n"/>
      <c r="V3502" s="17" t="n"/>
      <c r="W3502" s="24">
        <f>IF($D3502="","",IF($E3502="※编码不在物料档案里","※物料编码不在档案里",IF(N($J3502)&lt;=0,"※出库数量要大于 0",IF($K3502="","※没填去向类型",IF($L3502="","※没填去向矿区",IF(AND($C3502&lt;&gt;"",$C3502&lt;=结账锁),"※日期早于已结账截止日，不能再录",IF(AND($K3502="自用消耗",COUNTIF({"一矿区";"二矿区"},$L3502)=0),"※自用消耗的去向只能是一矿区或二矿区",IF(AND($K3502="对外销售",COUNTIF({"三矿区";"六矿区"},$L3502)=0),"※对外销售的去向只能是三矿区或六矿区",IF(AND($K3502="对外销售",ROUND($Q3502,0)=0),"※外销却没有售价，请填实际售价",IF(AND($K3502="对外销售",$T3502&lt;&gt;"",$T3502&lt;0),"※这一笔外销是亏的，请核对售价",IF(IFERROR(VLOOKUP($D3502,库存台账!$A$5:$Y$1204,24,0),0)&lt;-0.001,"※这个物料账面已经变成负数了，查一下是不是漏记入库","")))))))))))</f>
        <v/>
      </c>
    </row>
    <row r="3503">
      <c r="A3503" s="24">
        <f>IF($D3503="","",COUNTA($D$4:$D3503))</f>
        <v/>
      </c>
      <c r="B3503" s="17" t="n"/>
      <c r="C3503" s="30" t="n"/>
      <c r="D3503" s="17" t="n"/>
      <c r="E3503" s="24">
        <f>IF($D3503="","",IFERROR(VLOOKUP($D3503,物料档案!$A$4:$P$1203,3,0),"※编码不在物料档案里"))</f>
        <v/>
      </c>
      <c r="F3503" s="24">
        <f>IF($D3503="","",IFERROR(VLOOKUP($D3503,物料档案!$A$4:$P$1203,4,0),"※编码不在物料档案里"))</f>
        <v/>
      </c>
      <c r="G3503" s="24">
        <f>IF($D3503="","",IFERROR(VLOOKUP($D3503,物料档案!$A$4:$P$1203,5,0),"※编码不在物料档案里"))</f>
        <v/>
      </c>
      <c r="H3503" s="24">
        <f>IF($D3503="","",IFERROR(VLOOKUP($D3503,物料档案!$A$4:$P$1203,2,0),"※编码不在物料档案里"))</f>
        <v/>
      </c>
      <c r="I3503" s="24">
        <f>IF($D3503="","",IFERROR(VLOOKUP($D3503,物料档案!$A$4:$P$1203,6,0),"※编码不在物料档案里"))</f>
        <v/>
      </c>
      <c r="J3503" s="23" t="n"/>
      <c r="K3503" s="17" t="n"/>
      <c r="L3503" s="17" t="n"/>
      <c r="M3503" s="17" t="n"/>
      <c r="N3503" s="17" t="n"/>
      <c r="O3503" s="26">
        <f>IF($D3503="","",IFERROR(VLOOKUP($D3503,物料档案!$A$4:$P$1203,10,0),0))</f>
        <v/>
      </c>
      <c r="P3503" s="32" t="n"/>
      <c r="Q3503" s="26">
        <f>IF($D3503="","",IF($K3503&lt;&gt;"对外销售",0,ROUND(N($J3503)*IF($P3503="",N($O3503),N($P3503)),0)))</f>
        <v/>
      </c>
      <c r="R3503" s="26">
        <f>IF($D3503="","",IFERROR(VLOOKUP($D3503,库存台账!$A$5:$Y$1204,11,0),0))</f>
        <v/>
      </c>
      <c r="S3503" s="26">
        <f>IF($D3503="","",ROUND(N($J3503)*N($R3503),0))</f>
        <v/>
      </c>
      <c r="T3503" s="26">
        <f>IF($D3503="","",IF($K3503&lt;&gt;"对外销售","",ROUND($Q3503-$S3503,0)))</f>
        <v/>
      </c>
      <c r="U3503" s="17" t="n"/>
      <c r="V3503" s="17" t="n"/>
      <c r="W3503" s="24">
        <f>IF($D3503="","",IF($E3503="※编码不在物料档案里","※物料编码不在档案里",IF(N($J3503)&lt;=0,"※出库数量要大于 0",IF($K3503="","※没填去向类型",IF($L3503="","※没填去向矿区",IF(AND($C3503&lt;&gt;"",$C3503&lt;=结账锁),"※日期早于已结账截止日，不能再录",IF(AND($K3503="自用消耗",COUNTIF({"一矿区";"二矿区"},$L3503)=0),"※自用消耗的去向只能是一矿区或二矿区",IF(AND($K3503="对外销售",COUNTIF({"三矿区";"六矿区"},$L3503)=0),"※对外销售的去向只能是三矿区或六矿区",IF(AND($K3503="对外销售",ROUND($Q3503,0)=0),"※外销却没有售价，请填实际售价",IF(AND($K3503="对外销售",$T3503&lt;&gt;"",$T3503&lt;0),"※这一笔外销是亏的，请核对售价",IF(IFERROR(VLOOKUP($D3503,库存台账!$A$5:$Y$1204,24,0),0)&lt;-0.001,"※这个物料账面已经变成负数了，查一下是不是漏记入库","")))))))))))</f>
        <v/>
      </c>
    </row>
    <row r="3504">
      <c r="A3504" s="24">
        <f>IF($D3504="","",COUNTA($D$4:$D3504))</f>
        <v/>
      </c>
      <c r="B3504" s="17" t="n"/>
      <c r="C3504" s="30" t="n"/>
      <c r="D3504" s="17" t="n"/>
      <c r="E3504" s="24">
        <f>IF($D3504="","",IFERROR(VLOOKUP($D3504,物料档案!$A$4:$P$1203,3,0),"※编码不在物料档案里"))</f>
        <v/>
      </c>
      <c r="F3504" s="24">
        <f>IF($D3504="","",IFERROR(VLOOKUP($D3504,物料档案!$A$4:$P$1203,4,0),"※编码不在物料档案里"))</f>
        <v/>
      </c>
      <c r="G3504" s="24">
        <f>IF($D3504="","",IFERROR(VLOOKUP($D3504,物料档案!$A$4:$P$1203,5,0),"※编码不在物料档案里"))</f>
        <v/>
      </c>
      <c r="H3504" s="24">
        <f>IF($D3504="","",IFERROR(VLOOKUP($D3504,物料档案!$A$4:$P$1203,2,0),"※编码不在物料档案里"))</f>
        <v/>
      </c>
      <c r="I3504" s="24">
        <f>IF($D3504="","",IFERROR(VLOOKUP($D3504,物料档案!$A$4:$P$1203,6,0),"※编码不在物料档案里"))</f>
        <v/>
      </c>
      <c r="J3504" s="23" t="n"/>
      <c r="K3504" s="17" t="n"/>
      <c r="L3504" s="17" t="n"/>
      <c r="M3504" s="17" t="n"/>
      <c r="N3504" s="17" t="n"/>
      <c r="O3504" s="26">
        <f>IF($D3504="","",IFERROR(VLOOKUP($D3504,物料档案!$A$4:$P$1203,10,0),0))</f>
        <v/>
      </c>
      <c r="P3504" s="32" t="n"/>
      <c r="Q3504" s="26">
        <f>IF($D3504="","",IF($K3504&lt;&gt;"对外销售",0,ROUND(N($J3504)*IF($P3504="",N($O3504),N($P3504)),0)))</f>
        <v/>
      </c>
      <c r="R3504" s="26">
        <f>IF($D3504="","",IFERROR(VLOOKUP($D3504,库存台账!$A$5:$Y$1204,11,0),0))</f>
        <v/>
      </c>
      <c r="S3504" s="26">
        <f>IF($D3504="","",ROUND(N($J3504)*N($R3504),0))</f>
        <v/>
      </c>
      <c r="T3504" s="26">
        <f>IF($D3504="","",IF($K3504&lt;&gt;"对外销售","",ROUND($Q3504-$S3504,0)))</f>
        <v/>
      </c>
      <c r="U3504" s="17" t="n"/>
      <c r="V3504" s="17" t="n"/>
      <c r="W3504" s="24">
        <f>IF($D3504="","",IF($E3504="※编码不在物料档案里","※物料编码不在档案里",IF(N($J3504)&lt;=0,"※出库数量要大于 0",IF($K3504="","※没填去向类型",IF($L3504="","※没填去向矿区",IF(AND($C3504&lt;&gt;"",$C3504&lt;=结账锁),"※日期早于已结账截止日，不能再录",IF(AND($K3504="自用消耗",COUNTIF({"一矿区";"二矿区"},$L3504)=0),"※自用消耗的去向只能是一矿区或二矿区",IF(AND($K3504="对外销售",COUNTIF({"三矿区";"六矿区"},$L3504)=0),"※对外销售的去向只能是三矿区或六矿区",IF(AND($K3504="对外销售",ROUND($Q3504,0)=0),"※外销却没有售价，请填实际售价",IF(AND($K3504="对外销售",$T3504&lt;&gt;"",$T3504&lt;0),"※这一笔外销是亏的，请核对售价",IF(IFERROR(VLOOKUP($D3504,库存台账!$A$5:$Y$1204,24,0),0)&lt;-0.001,"※这个物料账面已经变成负数了，查一下是不是漏记入库","")))))))))))</f>
        <v/>
      </c>
    </row>
    <row r="3505">
      <c r="A3505" s="24">
        <f>IF($D3505="","",COUNTA($D$4:$D3505))</f>
        <v/>
      </c>
      <c r="B3505" s="17" t="n"/>
      <c r="C3505" s="30" t="n"/>
      <c r="D3505" s="17" t="n"/>
      <c r="E3505" s="24">
        <f>IF($D3505="","",IFERROR(VLOOKUP($D3505,物料档案!$A$4:$P$1203,3,0),"※编码不在物料档案里"))</f>
        <v/>
      </c>
      <c r="F3505" s="24">
        <f>IF($D3505="","",IFERROR(VLOOKUP($D3505,物料档案!$A$4:$P$1203,4,0),"※编码不在物料档案里"))</f>
        <v/>
      </c>
      <c r="G3505" s="24">
        <f>IF($D3505="","",IFERROR(VLOOKUP($D3505,物料档案!$A$4:$P$1203,5,0),"※编码不在物料档案里"))</f>
        <v/>
      </c>
      <c r="H3505" s="24">
        <f>IF($D3505="","",IFERROR(VLOOKUP($D3505,物料档案!$A$4:$P$1203,2,0),"※编码不在物料档案里"))</f>
        <v/>
      </c>
      <c r="I3505" s="24">
        <f>IF($D3505="","",IFERROR(VLOOKUP($D3505,物料档案!$A$4:$P$1203,6,0),"※编码不在物料档案里"))</f>
        <v/>
      </c>
      <c r="J3505" s="23" t="n"/>
      <c r="K3505" s="17" t="n"/>
      <c r="L3505" s="17" t="n"/>
      <c r="M3505" s="17" t="n"/>
      <c r="N3505" s="17" t="n"/>
      <c r="O3505" s="26">
        <f>IF($D3505="","",IFERROR(VLOOKUP($D3505,物料档案!$A$4:$P$1203,10,0),0))</f>
        <v/>
      </c>
      <c r="P3505" s="32" t="n"/>
      <c r="Q3505" s="26">
        <f>IF($D3505="","",IF($K3505&lt;&gt;"对外销售",0,ROUND(N($J3505)*IF($P3505="",N($O3505),N($P3505)),0)))</f>
        <v/>
      </c>
      <c r="R3505" s="26">
        <f>IF($D3505="","",IFERROR(VLOOKUP($D3505,库存台账!$A$5:$Y$1204,11,0),0))</f>
        <v/>
      </c>
      <c r="S3505" s="26">
        <f>IF($D3505="","",ROUND(N($J3505)*N($R3505),0))</f>
        <v/>
      </c>
      <c r="T3505" s="26">
        <f>IF($D3505="","",IF($K3505&lt;&gt;"对外销售","",ROUND($Q3505-$S3505,0)))</f>
        <v/>
      </c>
      <c r="U3505" s="17" t="n"/>
      <c r="V3505" s="17" t="n"/>
      <c r="W3505" s="24">
        <f>IF($D3505="","",IF($E3505="※编码不在物料档案里","※物料编码不在档案里",IF(N($J3505)&lt;=0,"※出库数量要大于 0",IF($K3505="","※没填去向类型",IF($L3505="","※没填去向矿区",IF(AND($C3505&lt;&gt;"",$C3505&lt;=结账锁),"※日期早于已结账截止日，不能再录",IF(AND($K3505="自用消耗",COUNTIF({"一矿区";"二矿区"},$L3505)=0),"※自用消耗的去向只能是一矿区或二矿区",IF(AND($K3505="对外销售",COUNTIF({"三矿区";"六矿区"},$L3505)=0),"※对外销售的去向只能是三矿区或六矿区",IF(AND($K3505="对外销售",ROUND($Q3505,0)=0),"※外销却没有售价，请填实际售价",IF(AND($K3505="对外销售",$T3505&lt;&gt;"",$T3505&lt;0),"※这一笔外销是亏的，请核对售价",IF(IFERROR(VLOOKUP($D3505,库存台账!$A$5:$Y$1204,24,0),0)&lt;-0.001,"※这个物料账面已经变成负数了，查一下是不是漏记入库","")))))))))))</f>
        <v/>
      </c>
    </row>
    <row r="3506">
      <c r="A3506" s="24">
        <f>IF($D3506="","",COUNTA($D$4:$D3506))</f>
        <v/>
      </c>
      <c r="B3506" s="17" t="n"/>
      <c r="C3506" s="30" t="n"/>
      <c r="D3506" s="17" t="n"/>
      <c r="E3506" s="24">
        <f>IF($D3506="","",IFERROR(VLOOKUP($D3506,物料档案!$A$4:$P$1203,3,0),"※编码不在物料档案里"))</f>
        <v/>
      </c>
      <c r="F3506" s="24">
        <f>IF($D3506="","",IFERROR(VLOOKUP($D3506,物料档案!$A$4:$P$1203,4,0),"※编码不在物料档案里"))</f>
        <v/>
      </c>
      <c r="G3506" s="24">
        <f>IF($D3506="","",IFERROR(VLOOKUP($D3506,物料档案!$A$4:$P$1203,5,0),"※编码不在物料档案里"))</f>
        <v/>
      </c>
      <c r="H3506" s="24">
        <f>IF($D3506="","",IFERROR(VLOOKUP($D3506,物料档案!$A$4:$P$1203,2,0),"※编码不在物料档案里"))</f>
        <v/>
      </c>
      <c r="I3506" s="24">
        <f>IF($D3506="","",IFERROR(VLOOKUP($D3506,物料档案!$A$4:$P$1203,6,0),"※编码不在物料档案里"))</f>
        <v/>
      </c>
      <c r="J3506" s="23" t="n"/>
      <c r="K3506" s="17" t="n"/>
      <c r="L3506" s="17" t="n"/>
      <c r="M3506" s="17" t="n"/>
      <c r="N3506" s="17" t="n"/>
      <c r="O3506" s="26">
        <f>IF($D3506="","",IFERROR(VLOOKUP($D3506,物料档案!$A$4:$P$1203,10,0),0))</f>
        <v/>
      </c>
      <c r="P3506" s="32" t="n"/>
      <c r="Q3506" s="26">
        <f>IF($D3506="","",IF($K3506&lt;&gt;"对外销售",0,ROUND(N($J3506)*IF($P3506="",N($O3506),N($P3506)),0)))</f>
        <v/>
      </c>
      <c r="R3506" s="26">
        <f>IF($D3506="","",IFERROR(VLOOKUP($D3506,库存台账!$A$5:$Y$1204,11,0),0))</f>
        <v/>
      </c>
      <c r="S3506" s="26">
        <f>IF($D3506="","",ROUND(N($J3506)*N($R3506),0))</f>
        <v/>
      </c>
      <c r="T3506" s="26">
        <f>IF($D3506="","",IF($K3506&lt;&gt;"对外销售","",ROUND($Q3506-$S3506,0)))</f>
        <v/>
      </c>
      <c r="U3506" s="17" t="n"/>
      <c r="V3506" s="17" t="n"/>
      <c r="W3506" s="24">
        <f>IF($D3506="","",IF($E3506="※编码不在物料档案里","※物料编码不在档案里",IF(N($J3506)&lt;=0,"※出库数量要大于 0",IF($K3506="","※没填去向类型",IF($L3506="","※没填去向矿区",IF(AND($C3506&lt;&gt;"",$C3506&lt;=结账锁),"※日期早于已结账截止日，不能再录",IF(AND($K3506="自用消耗",COUNTIF({"一矿区";"二矿区"},$L3506)=0),"※自用消耗的去向只能是一矿区或二矿区",IF(AND($K3506="对外销售",COUNTIF({"三矿区";"六矿区"},$L3506)=0),"※对外销售的去向只能是三矿区或六矿区",IF(AND($K3506="对外销售",ROUND($Q3506,0)=0),"※外销却没有售价，请填实际售价",IF(AND($K3506="对外销售",$T3506&lt;&gt;"",$T3506&lt;0),"※这一笔外销是亏的，请核对售价",IF(IFERROR(VLOOKUP($D3506,库存台账!$A$5:$Y$1204,24,0),0)&lt;-0.001,"※这个物料账面已经变成负数了，查一下是不是漏记入库","")))))))))))</f>
        <v/>
      </c>
    </row>
    <row r="3507">
      <c r="A3507" s="24">
        <f>IF($D3507="","",COUNTA($D$4:$D3507))</f>
        <v/>
      </c>
      <c r="B3507" s="17" t="n"/>
      <c r="C3507" s="30" t="n"/>
      <c r="D3507" s="17" t="n"/>
      <c r="E3507" s="24">
        <f>IF($D3507="","",IFERROR(VLOOKUP($D3507,物料档案!$A$4:$P$1203,3,0),"※编码不在物料档案里"))</f>
        <v/>
      </c>
      <c r="F3507" s="24">
        <f>IF($D3507="","",IFERROR(VLOOKUP($D3507,物料档案!$A$4:$P$1203,4,0),"※编码不在物料档案里"))</f>
        <v/>
      </c>
      <c r="G3507" s="24">
        <f>IF($D3507="","",IFERROR(VLOOKUP($D3507,物料档案!$A$4:$P$1203,5,0),"※编码不在物料档案里"))</f>
        <v/>
      </c>
      <c r="H3507" s="24">
        <f>IF($D3507="","",IFERROR(VLOOKUP($D3507,物料档案!$A$4:$P$1203,2,0),"※编码不在物料档案里"))</f>
        <v/>
      </c>
      <c r="I3507" s="24">
        <f>IF($D3507="","",IFERROR(VLOOKUP($D3507,物料档案!$A$4:$P$1203,6,0),"※编码不在物料档案里"))</f>
        <v/>
      </c>
      <c r="J3507" s="23" t="n"/>
      <c r="K3507" s="17" t="n"/>
      <c r="L3507" s="17" t="n"/>
      <c r="M3507" s="17" t="n"/>
      <c r="N3507" s="17" t="n"/>
      <c r="O3507" s="26">
        <f>IF($D3507="","",IFERROR(VLOOKUP($D3507,物料档案!$A$4:$P$1203,10,0),0))</f>
        <v/>
      </c>
      <c r="P3507" s="32" t="n"/>
      <c r="Q3507" s="26">
        <f>IF($D3507="","",IF($K3507&lt;&gt;"对外销售",0,ROUND(N($J3507)*IF($P3507="",N($O3507),N($P3507)),0)))</f>
        <v/>
      </c>
      <c r="R3507" s="26">
        <f>IF($D3507="","",IFERROR(VLOOKUP($D3507,库存台账!$A$5:$Y$1204,11,0),0))</f>
        <v/>
      </c>
      <c r="S3507" s="26">
        <f>IF($D3507="","",ROUND(N($J3507)*N($R3507),0))</f>
        <v/>
      </c>
      <c r="T3507" s="26">
        <f>IF($D3507="","",IF($K3507&lt;&gt;"对外销售","",ROUND($Q3507-$S3507,0)))</f>
        <v/>
      </c>
      <c r="U3507" s="17" t="n"/>
      <c r="V3507" s="17" t="n"/>
      <c r="W3507" s="24">
        <f>IF($D3507="","",IF($E3507="※编码不在物料档案里","※物料编码不在档案里",IF(N($J3507)&lt;=0,"※出库数量要大于 0",IF($K3507="","※没填去向类型",IF($L3507="","※没填去向矿区",IF(AND($C3507&lt;&gt;"",$C3507&lt;=结账锁),"※日期早于已结账截止日，不能再录",IF(AND($K3507="自用消耗",COUNTIF({"一矿区";"二矿区"},$L3507)=0),"※自用消耗的去向只能是一矿区或二矿区",IF(AND($K3507="对外销售",COUNTIF({"三矿区";"六矿区"},$L3507)=0),"※对外销售的去向只能是三矿区或六矿区",IF(AND($K3507="对外销售",ROUND($Q3507,0)=0),"※外销却没有售价，请填实际售价",IF(AND($K3507="对外销售",$T3507&lt;&gt;"",$T3507&lt;0),"※这一笔外销是亏的，请核对售价",IF(IFERROR(VLOOKUP($D3507,库存台账!$A$5:$Y$1204,24,0),0)&lt;-0.001,"※这个物料账面已经变成负数了，查一下是不是漏记入库","")))))))))))</f>
        <v/>
      </c>
    </row>
    <row r="3508">
      <c r="A3508" s="24">
        <f>IF($D3508="","",COUNTA($D$4:$D3508))</f>
        <v/>
      </c>
      <c r="B3508" s="17" t="n"/>
      <c r="C3508" s="30" t="n"/>
      <c r="D3508" s="17" t="n"/>
      <c r="E3508" s="24">
        <f>IF($D3508="","",IFERROR(VLOOKUP($D3508,物料档案!$A$4:$P$1203,3,0),"※编码不在物料档案里"))</f>
        <v/>
      </c>
      <c r="F3508" s="24">
        <f>IF($D3508="","",IFERROR(VLOOKUP($D3508,物料档案!$A$4:$P$1203,4,0),"※编码不在物料档案里"))</f>
        <v/>
      </c>
      <c r="G3508" s="24">
        <f>IF($D3508="","",IFERROR(VLOOKUP($D3508,物料档案!$A$4:$P$1203,5,0),"※编码不在物料档案里"))</f>
        <v/>
      </c>
      <c r="H3508" s="24">
        <f>IF($D3508="","",IFERROR(VLOOKUP($D3508,物料档案!$A$4:$P$1203,2,0),"※编码不在物料档案里"))</f>
        <v/>
      </c>
      <c r="I3508" s="24">
        <f>IF($D3508="","",IFERROR(VLOOKUP($D3508,物料档案!$A$4:$P$1203,6,0),"※编码不在物料档案里"))</f>
        <v/>
      </c>
      <c r="J3508" s="23" t="n"/>
      <c r="K3508" s="17" t="n"/>
      <c r="L3508" s="17" t="n"/>
      <c r="M3508" s="17" t="n"/>
      <c r="N3508" s="17" t="n"/>
      <c r="O3508" s="26">
        <f>IF($D3508="","",IFERROR(VLOOKUP($D3508,物料档案!$A$4:$P$1203,10,0),0))</f>
        <v/>
      </c>
      <c r="P3508" s="32" t="n"/>
      <c r="Q3508" s="26">
        <f>IF($D3508="","",IF($K3508&lt;&gt;"对外销售",0,ROUND(N($J3508)*IF($P3508="",N($O3508),N($P3508)),0)))</f>
        <v/>
      </c>
      <c r="R3508" s="26">
        <f>IF($D3508="","",IFERROR(VLOOKUP($D3508,库存台账!$A$5:$Y$1204,11,0),0))</f>
        <v/>
      </c>
      <c r="S3508" s="26">
        <f>IF($D3508="","",ROUND(N($J3508)*N($R3508),0))</f>
        <v/>
      </c>
      <c r="T3508" s="26">
        <f>IF($D3508="","",IF($K3508&lt;&gt;"对外销售","",ROUND($Q3508-$S3508,0)))</f>
        <v/>
      </c>
      <c r="U3508" s="17" t="n"/>
      <c r="V3508" s="17" t="n"/>
      <c r="W3508" s="24">
        <f>IF($D3508="","",IF($E3508="※编码不在物料档案里","※物料编码不在档案里",IF(N($J3508)&lt;=0,"※出库数量要大于 0",IF($K3508="","※没填去向类型",IF($L3508="","※没填去向矿区",IF(AND($C3508&lt;&gt;"",$C3508&lt;=结账锁),"※日期早于已结账截止日，不能再录",IF(AND($K3508="自用消耗",COUNTIF({"一矿区";"二矿区"},$L3508)=0),"※自用消耗的去向只能是一矿区或二矿区",IF(AND($K3508="对外销售",COUNTIF({"三矿区";"六矿区"},$L3508)=0),"※对外销售的去向只能是三矿区或六矿区",IF(AND($K3508="对外销售",ROUND($Q3508,0)=0),"※外销却没有售价，请填实际售价",IF(AND($K3508="对外销售",$T3508&lt;&gt;"",$T3508&lt;0),"※这一笔外销是亏的，请核对售价",IF(IFERROR(VLOOKUP($D3508,库存台账!$A$5:$Y$1204,24,0),0)&lt;-0.001,"※这个物料账面已经变成负数了，查一下是不是漏记入库","")))))))))))</f>
        <v/>
      </c>
    </row>
    <row r="3509">
      <c r="A3509" s="24">
        <f>IF($D3509="","",COUNTA($D$4:$D3509))</f>
        <v/>
      </c>
      <c r="B3509" s="17" t="n"/>
      <c r="C3509" s="30" t="n"/>
      <c r="D3509" s="17" t="n"/>
      <c r="E3509" s="24">
        <f>IF($D3509="","",IFERROR(VLOOKUP($D3509,物料档案!$A$4:$P$1203,3,0),"※编码不在物料档案里"))</f>
        <v/>
      </c>
      <c r="F3509" s="24">
        <f>IF($D3509="","",IFERROR(VLOOKUP($D3509,物料档案!$A$4:$P$1203,4,0),"※编码不在物料档案里"))</f>
        <v/>
      </c>
      <c r="G3509" s="24">
        <f>IF($D3509="","",IFERROR(VLOOKUP($D3509,物料档案!$A$4:$P$1203,5,0),"※编码不在物料档案里"))</f>
        <v/>
      </c>
      <c r="H3509" s="24">
        <f>IF($D3509="","",IFERROR(VLOOKUP($D3509,物料档案!$A$4:$P$1203,2,0),"※编码不在物料档案里"))</f>
        <v/>
      </c>
      <c r="I3509" s="24">
        <f>IF($D3509="","",IFERROR(VLOOKUP($D3509,物料档案!$A$4:$P$1203,6,0),"※编码不在物料档案里"))</f>
        <v/>
      </c>
      <c r="J3509" s="23" t="n"/>
      <c r="K3509" s="17" t="n"/>
      <c r="L3509" s="17" t="n"/>
      <c r="M3509" s="17" t="n"/>
      <c r="N3509" s="17" t="n"/>
      <c r="O3509" s="26">
        <f>IF($D3509="","",IFERROR(VLOOKUP($D3509,物料档案!$A$4:$P$1203,10,0),0))</f>
        <v/>
      </c>
      <c r="P3509" s="32" t="n"/>
      <c r="Q3509" s="26">
        <f>IF($D3509="","",IF($K3509&lt;&gt;"对外销售",0,ROUND(N($J3509)*IF($P3509="",N($O3509),N($P3509)),0)))</f>
        <v/>
      </c>
      <c r="R3509" s="26">
        <f>IF($D3509="","",IFERROR(VLOOKUP($D3509,库存台账!$A$5:$Y$1204,11,0),0))</f>
        <v/>
      </c>
      <c r="S3509" s="26">
        <f>IF($D3509="","",ROUND(N($J3509)*N($R3509),0))</f>
        <v/>
      </c>
      <c r="T3509" s="26">
        <f>IF($D3509="","",IF($K3509&lt;&gt;"对外销售","",ROUND($Q3509-$S3509,0)))</f>
        <v/>
      </c>
      <c r="U3509" s="17" t="n"/>
      <c r="V3509" s="17" t="n"/>
      <c r="W3509" s="24">
        <f>IF($D3509="","",IF($E3509="※编码不在物料档案里","※物料编码不在档案里",IF(N($J3509)&lt;=0,"※出库数量要大于 0",IF($K3509="","※没填去向类型",IF($L3509="","※没填去向矿区",IF(AND($C3509&lt;&gt;"",$C3509&lt;=结账锁),"※日期早于已结账截止日，不能再录",IF(AND($K3509="自用消耗",COUNTIF({"一矿区";"二矿区"},$L3509)=0),"※自用消耗的去向只能是一矿区或二矿区",IF(AND($K3509="对外销售",COUNTIF({"三矿区";"六矿区"},$L3509)=0),"※对外销售的去向只能是三矿区或六矿区",IF(AND($K3509="对外销售",ROUND($Q3509,0)=0),"※外销却没有售价，请填实际售价",IF(AND($K3509="对外销售",$T3509&lt;&gt;"",$T3509&lt;0),"※这一笔外销是亏的，请核对售价",IF(IFERROR(VLOOKUP($D3509,库存台账!$A$5:$Y$1204,24,0),0)&lt;-0.001,"※这个物料账面已经变成负数了，查一下是不是漏记入库","")))))))))))</f>
        <v/>
      </c>
    </row>
    <row r="3510">
      <c r="A3510" s="24">
        <f>IF($D3510="","",COUNTA($D$4:$D3510))</f>
        <v/>
      </c>
      <c r="B3510" s="17" t="n"/>
      <c r="C3510" s="30" t="n"/>
      <c r="D3510" s="17" t="n"/>
      <c r="E3510" s="24">
        <f>IF($D3510="","",IFERROR(VLOOKUP($D3510,物料档案!$A$4:$P$1203,3,0),"※编码不在物料档案里"))</f>
        <v/>
      </c>
      <c r="F3510" s="24">
        <f>IF($D3510="","",IFERROR(VLOOKUP($D3510,物料档案!$A$4:$P$1203,4,0),"※编码不在物料档案里"))</f>
        <v/>
      </c>
      <c r="G3510" s="24">
        <f>IF($D3510="","",IFERROR(VLOOKUP($D3510,物料档案!$A$4:$P$1203,5,0),"※编码不在物料档案里"))</f>
        <v/>
      </c>
      <c r="H3510" s="24">
        <f>IF($D3510="","",IFERROR(VLOOKUP($D3510,物料档案!$A$4:$P$1203,2,0),"※编码不在物料档案里"))</f>
        <v/>
      </c>
      <c r="I3510" s="24">
        <f>IF($D3510="","",IFERROR(VLOOKUP($D3510,物料档案!$A$4:$P$1203,6,0),"※编码不在物料档案里"))</f>
        <v/>
      </c>
      <c r="J3510" s="23" t="n"/>
      <c r="K3510" s="17" t="n"/>
      <c r="L3510" s="17" t="n"/>
      <c r="M3510" s="17" t="n"/>
      <c r="N3510" s="17" t="n"/>
      <c r="O3510" s="26">
        <f>IF($D3510="","",IFERROR(VLOOKUP($D3510,物料档案!$A$4:$P$1203,10,0),0))</f>
        <v/>
      </c>
      <c r="P3510" s="32" t="n"/>
      <c r="Q3510" s="26">
        <f>IF($D3510="","",IF($K3510&lt;&gt;"对外销售",0,ROUND(N($J3510)*IF($P3510="",N($O3510),N($P3510)),0)))</f>
        <v/>
      </c>
      <c r="R3510" s="26">
        <f>IF($D3510="","",IFERROR(VLOOKUP($D3510,库存台账!$A$5:$Y$1204,11,0),0))</f>
        <v/>
      </c>
      <c r="S3510" s="26">
        <f>IF($D3510="","",ROUND(N($J3510)*N($R3510),0))</f>
        <v/>
      </c>
      <c r="T3510" s="26">
        <f>IF($D3510="","",IF($K3510&lt;&gt;"对外销售","",ROUND($Q3510-$S3510,0)))</f>
        <v/>
      </c>
      <c r="U3510" s="17" t="n"/>
      <c r="V3510" s="17" t="n"/>
      <c r="W3510" s="24">
        <f>IF($D3510="","",IF($E3510="※编码不在物料档案里","※物料编码不在档案里",IF(N($J3510)&lt;=0,"※出库数量要大于 0",IF($K3510="","※没填去向类型",IF($L3510="","※没填去向矿区",IF(AND($C3510&lt;&gt;"",$C3510&lt;=结账锁),"※日期早于已结账截止日，不能再录",IF(AND($K3510="自用消耗",COUNTIF({"一矿区";"二矿区"},$L3510)=0),"※自用消耗的去向只能是一矿区或二矿区",IF(AND($K3510="对外销售",COUNTIF({"三矿区";"六矿区"},$L3510)=0),"※对外销售的去向只能是三矿区或六矿区",IF(AND($K3510="对外销售",ROUND($Q3510,0)=0),"※外销却没有售价，请填实际售价",IF(AND($K3510="对外销售",$T3510&lt;&gt;"",$T3510&lt;0),"※这一笔外销是亏的，请核对售价",IF(IFERROR(VLOOKUP($D3510,库存台账!$A$5:$Y$1204,24,0),0)&lt;-0.001,"※这个物料账面已经变成负数了，查一下是不是漏记入库","")))))))))))</f>
        <v/>
      </c>
    </row>
    <row r="3511">
      <c r="A3511" s="24">
        <f>IF($D3511="","",COUNTA($D$4:$D3511))</f>
        <v/>
      </c>
      <c r="B3511" s="17" t="n"/>
      <c r="C3511" s="30" t="n"/>
      <c r="D3511" s="17" t="n"/>
      <c r="E3511" s="24">
        <f>IF($D3511="","",IFERROR(VLOOKUP($D3511,物料档案!$A$4:$P$1203,3,0),"※编码不在物料档案里"))</f>
        <v/>
      </c>
      <c r="F3511" s="24">
        <f>IF($D3511="","",IFERROR(VLOOKUP($D3511,物料档案!$A$4:$P$1203,4,0),"※编码不在物料档案里"))</f>
        <v/>
      </c>
      <c r="G3511" s="24">
        <f>IF($D3511="","",IFERROR(VLOOKUP($D3511,物料档案!$A$4:$P$1203,5,0),"※编码不在物料档案里"))</f>
        <v/>
      </c>
      <c r="H3511" s="24">
        <f>IF($D3511="","",IFERROR(VLOOKUP($D3511,物料档案!$A$4:$P$1203,2,0),"※编码不在物料档案里"))</f>
        <v/>
      </c>
      <c r="I3511" s="24">
        <f>IF($D3511="","",IFERROR(VLOOKUP($D3511,物料档案!$A$4:$P$1203,6,0),"※编码不在物料档案里"))</f>
        <v/>
      </c>
      <c r="J3511" s="23" t="n"/>
      <c r="K3511" s="17" t="n"/>
      <c r="L3511" s="17" t="n"/>
      <c r="M3511" s="17" t="n"/>
      <c r="N3511" s="17" t="n"/>
      <c r="O3511" s="26">
        <f>IF($D3511="","",IFERROR(VLOOKUP($D3511,物料档案!$A$4:$P$1203,10,0),0))</f>
        <v/>
      </c>
      <c r="P3511" s="32" t="n"/>
      <c r="Q3511" s="26">
        <f>IF($D3511="","",IF($K3511&lt;&gt;"对外销售",0,ROUND(N($J3511)*IF($P3511="",N($O3511),N($P3511)),0)))</f>
        <v/>
      </c>
      <c r="R3511" s="26">
        <f>IF($D3511="","",IFERROR(VLOOKUP($D3511,库存台账!$A$5:$Y$1204,11,0),0))</f>
        <v/>
      </c>
      <c r="S3511" s="26">
        <f>IF($D3511="","",ROUND(N($J3511)*N($R3511),0))</f>
        <v/>
      </c>
      <c r="T3511" s="26">
        <f>IF($D3511="","",IF($K3511&lt;&gt;"对外销售","",ROUND($Q3511-$S3511,0)))</f>
        <v/>
      </c>
      <c r="U3511" s="17" t="n"/>
      <c r="V3511" s="17" t="n"/>
      <c r="W3511" s="24">
        <f>IF($D3511="","",IF($E3511="※编码不在物料档案里","※物料编码不在档案里",IF(N($J3511)&lt;=0,"※出库数量要大于 0",IF($K3511="","※没填去向类型",IF($L3511="","※没填去向矿区",IF(AND($C3511&lt;&gt;"",$C3511&lt;=结账锁),"※日期早于已结账截止日，不能再录",IF(AND($K3511="自用消耗",COUNTIF({"一矿区";"二矿区"},$L3511)=0),"※自用消耗的去向只能是一矿区或二矿区",IF(AND($K3511="对外销售",COUNTIF({"三矿区";"六矿区"},$L3511)=0),"※对外销售的去向只能是三矿区或六矿区",IF(AND($K3511="对外销售",ROUND($Q3511,0)=0),"※外销却没有售价，请填实际售价",IF(AND($K3511="对外销售",$T3511&lt;&gt;"",$T3511&lt;0),"※这一笔外销是亏的，请核对售价",IF(IFERROR(VLOOKUP($D3511,库存台账!$A$5:$Y$1204,24,0),0)&lt;-0.001,"※这个物料账面已经变成负数了，查一下是不是漏记入库","")))))))))))</f>
        <v/>
      </c>
    </row>
    <row r="3512">
      <c r="A3512" s="24">
        <f>IF($D3512="","",COUNTA($D$4:$D3512))</f>
        <v/>
      </c>
      <c r="B3512" s="17" t="n"/>
      <c r="C3512" s="30" t="n"/>
      <c r="D3512" s="17" t="n"/>
      <c r="E3512" s="24">
        <f>IF($D3512="","",IFERROR(VLOOKUP($D3512,物料档案!$A$4:$P$1203,3,0),"※编码不在物料档案里"))</f>
        <v/>
      </c>
      <c r="F3512" s="24">
        <f>IF($D3512="","",IFERROR(VLOOKUP($D3512,物料档案!$A$4:$P$1203,4,0),"※编码不在物料档案里"))</f>
        <v/>
      </c>
      <c r="G3512" s="24">
        <f>IF($D3512="","",IFERROR(VLOOKUP($D3512,物料档案!$A$4:$P$1203,5,0),"※编码不在物料档案里"))</f>
        <v/>
      </c>
      <c r="H3512" s="24">
        <f>IF($D3512="","",IFERROR(VLOOKUP($D3512,物料档案!$A$4:$P$1203,2,0),"※编码不在物料档案里"))</f>
        <v/>
      </c>
      <c r="I3512" s="24">
        <f>IF($D3512="","",IFERROR(VLOOKUP($D3512,物料档案!$A$4:$P$1203,6,0),"※编码不在物料档案里"))</f>
        <v/>
      </c>
      <c r="J3512" s="23" t="n"/>
      <c r="K3512" s="17" t="n"/>
      <c r="L3512" s="17" t="n"/>
      <c r="M3512" s="17" t="n"/>
      <c r="N3512" s="17" t="n"/>
      <c r="O3512" s="26">
        <f>IF($D3512="","",IFERROR(VLOOKUP($D3512,物料档案!$A$4:$P$1203,10,0),0))</f>
        <v/>
      </c>
      <c r="P3512" s="32" t="n"/>
      <c r="Q3512" s="26">
        <f>IF($D3512="","",IF($K3512&lt;&gt;"对外销售",0,ROUND(N($J3512)*IF($P3512="",N($O3512),N($P3512)),0)))</f>
        <v/>
      </c>
      <c r="R3512" s="26">
        <f>IF($D3512="","",IFERROR(VLOOKUP($D3512,库存台账!$A$5:$Y$1204,11,0),0))</f>
        <v/>
      </c>
      <c r="S3512" s="26">
        <f>IF($D3512="","",ROUND(N($J3512)*N($R3512),0))</f>
        <v/>
      </c>
      <c r="T3512" s="26">
        <f>IF($D3512="","",IF($K3512&lt;&gt;"对外销售","",ROUND($Q3512-$S3512,0)))</f>
        <v/>
      </c>
      <c r="U3512" s="17" t="n"/>
      <c r="V3512" s="17" t="n"/>
      <c r="W3512" s="24">
        <f>IF($D3512="","",IF($E3512="※编码不在物料档案里","※物料编码不在档案里",IF(N($J3512)&lt;=0,"※出库数量要大于 0",IF($K3512="","※没填去向类型",IF($L3512="","※没填去向矿区",IF(AND($C3512&lt;&gt;"",$C3512&lt;=结账锁),"※日期早于已结账截止日，不能再录",IF(AND($K3512="自用消耗",COUNTIF({"一矿区";"二矿区"},$L3512)=0),"※自用消耗的去向只能是一矿区或二矿区",IF(AND($K3512="对外销售",COUNTIF({"三矿区";"六矿区"},$L3512)=0),"※对外销售的去向只能是三矿区或六矿区",IF(AND($K3512="对外销售",ROUND($Q3512,0)=0),"※外销却没有售价，请填实际售价",IF(AND($K3512="对外销售",$T3512&lt;&gt;"",$T3512&lt;0),"※这一笔外销是亏的，请核对售价",IF(IFERROR(VLOOKUP($D3512,库存台账!$A$5:$Y$1204,24,0),0)&lt;-0.001,"※这个物料账面已经变成负数了，查一下是不是漏记入库","")))))))))))</f>
        <v/>
      </c>
    </row>
    <row r="3513">
      <c r="A3513" s="24">
        <f>IF($D3513="","",COUNTA($D$4:$D3513))</f>
        <v/>
      </c>
      <c r="B3513" s="17" t="n"/>
      <c r="C3513" s="30" t="n"/>
      <c r="D3513" s="17" t="n"/>
      <c r="E3513" s="24">
        <f>IF($D3513="","",IFERROR(VLOOKUP($D3513,物料档案!$A$4:$P$1203,3,0),"※编码不在物料档案里"))</f>
        <v/>
      </c>
      <c r="F3513" s="24">
        <f>IF($D3513="","",IFERROR(VLOOKUP($D3513,物料档案!$A$4:$P$1203,4,0),"※编码不在物料档案里"))</f>
        <v/>
      </c>
      <c r="G3513" s="24">
        <f>IF($D3513="","",IFERROR(VLOOKUP($D3513,物料档案!$A$4:$P$1203,5,0),"※编码不在物料档案里"))</f>
        <v/>
      </c>
      <c r="H3513" s="24">
        <f>IF($D3513="","",IFERROR(VLOOKUP($D3513,物料档案!$A$4:$P$1203,2,0),"※编码不在物料档案里"))</f>
        <v/>
      </c>
      <c r="I3513" s="24">
        <f>IF($D3513="","",IFERROR(VLOOKUP($D3513,物料档案!$A$4:$P$1203,6,0),"※编码不在物料档案里"))</f>
        <v/>
      </c>
      <c r="J3513" s="23" t="n"/>
      <c r="K3513" s="17" t="n"/>
      <c r="L3513" s="17" t="n"/>
      <c r="M3513" s="17" t="n"/>
      <c r="N3513" s="17" t="n"/>
      <c r="O3513" s="26">
        <f>IF($D3513="","",IFERROR(VLOOKUP($D3513,物料档案!$A$4:$P$1203,10,0),0))</f>
        <v/>
      </c>
      <c r="P3513" s="32" t="n"/>
      <c r="Q3513" s="26">
        <f>IF($D3513="","",IF($K3513&lt;&gt;"对外销售",0,ROUND(N($J3513)*IF($P3513="",N($O3513),N($P3513)),0)))</f>
        <v/>
      </c>
      <c r="R3513" s="26">
        <f>IF($D3513="","",IFERROR(VLOOKUP($D3513,库存台账!$A$5:$Y$1204,11,0),0))</f>
        <v/>
      </c>
      <c r="S3513" s="26">
        <f>IF($D3513="","",ROUND(N($J3513)*N($R3513),0))</f>
        <v/>
      </c>
      <c r="T3513" s="26">
        <f>IF($D3513="","",IF($K3513&lt;&gt;"对外销售","",ROUND($Q3513-$S3513,0)))</f>
        <v/>
      </c>
      <c r="U3513" s="17" t="n"/>
      <c r="V3513" s="17" t="n"/>
      <c r="W3513" s="24">
        <f>IF($D3513="","",IF($E3513="※编码不在物料档案里","※物料编码不在档案里",IF(N($J3513)&lt;=0,"※出库数量要大于 0",IF($K3513="","※没填去向类型",IF($L3513="","※没填去向矿区",IF(AND($C3513&lt;&gt;"",$C3513&lt;=结账锁),"※日期早于已结账截止日，不能再录",IF(AND($K3513="自用消耗",COUNTIF({"一矿区";"二矿区"},$L3513)=0),"※自用消耗的去向只能是一矿区或二矿区",IF(AND($K3513="对外销售",COUNTIF({"三矿区";"六矿区"},$L3513)=0),"※对外销售的去向只能是三矿区或六矿区",IF(AND($K3513="对外销售",ROUND($Q3513,0)=0),"※外销却没有售价，请填实际售价",IF(AND($K3513="对外销售",$T3513&lt;&gt;"",$T3513&lt;0),"※这一笔外销是亏的，请核对售价",IF(IFERROR(VLOOKUP($D3513,库存台账!$A$5:$Y$1204,24,0),0)&lt;-0.001,"※这个物料账面已经变成负数了，查一下是不是漏记入库","")))))))))))</f>
        <v/>
      </c>
    </row>
    <row r="3514">
      <c r="A3514" s="24">
        <f>IF($D3514="","",COUNTA($D$4:$D3514))</f>
        <v/>
      </c>
      <c r="B3514" s="17" t="n"/>
      <c r="C3514" s="30" t="n"/>
      <c r="D3514" s="17" t="n"/>
      <c r="E3514" s="24">
        <f>IF($D3514="","",IFERROR(VLOOKUP($D3514,物料档案!$A$4:$P$1203,3,0),"※编码不在物料档案里"))</f>
        <v/>
      </c>
      <c r="F3514" s="24">
        <f>IF($D3514="","",IFERROR(VLOOKUP($D3514,物料档案!$A$4:$P$1203,4,0),"※编码不在物料档案里"))</f>
        <v/>
      </c>
      <c r="G3514" s="24">
        <f>IF($D3514="","",IFERROR(VLOOKUP($D3514,物料档案!$A$4:$P$1203,5,0),"※编码不在物料档案里"))</f>
        <v/>
      </c>
      <c r="H3514" s="24">
        <f>IF($D3514="","",IFERROR(VLOOKUP($D3514,物料档案!$A$4:$P$1203,2,0),"※编码不在物料档案里"))</f>
        <v/>
      </c>
      <c r="I3514" s="24">
        <f>IF($D3514="","",IFERROR(VLOOKUP($D3514,物料档案!$A$4:$P$1203,6,0),"※编码不在物料档案里"))</f>
        <v/>
      </c>
      <c r="J3514" s="23" t="n"/>
      <c r="K3514" s="17" t="n"/>
      <c r="L3514" s="17" t="n"/>
      <c r="M3514" s="17" t="n"/>
      <c r="N3514" s="17" t="n"/>
      <c r="O3514" s="26">
        <f>IF($D3514="","",IFERROR(VLOOKUP($D3514,物料档案!$A$4:$P$1203,10,0),0))</f>
        <v/>
      </c>
      <c r="P3514" s="32" t="n"/>
      <c r="Q3514" s="26">
        <f>IF($D3514="","",IF($K3514&lt;&gt;"对外销售",0,ROUND(N($J3514)*IF($P3514="",N($O3514),N($P3514)),0)))</f>
        <v/>
      </c>
      <c r="R3514" s="26">
        <f>IF($D3514="","",IFERROR(VLOOKUP($D3514,库存台账!$A$5:$Y$1204,11,0),0))</f>
        <v/>
      </c>
      <c r="S3514" s="26">
        <f>IF($D3514="","",ROUND(N($J3514)*N($R3514),0))</f>
        <v/>
      </c>
      <c r="T3514" s="26">
        <f>IF($D3514="","",IF($K3514&lt;&gt;"对外销售","",ROUND($Q3514-$S3514,0)))</f>
        <v/>
      </c>
      <c r="U3514" s="17" t="n"/>
      <c r="V3514" s="17" t="n"/>
      <c r="W3514" s="24">
        <f>IF($D3514="","",IF($E3514="※编码不在物料档案里","※物料编码不在档案里",IF(N($J3514)&lt;=0,"※出库数量要大于 0",IF($K3514="","※没填去向类型",IF($L3514="","※没填去向矿区",IF(AND($C3514&lt;&gt;"",$C3514&lt;=结账锁),"※日期早于已结账截止日，不能再录",IF(AND($K3514="自用消耗",COUNTIF({"一矿区";"二矿区"},$L3514)=0),"※自用消耗的去向只能是一矿区或二矿区",IF(AND($K3514="对外销售",COUNTIF({"三矿区";"六矿区"},$L3514)=0),"※对外销售的去向只能是三矿区或六矿区",IF(AND($K3514="对外销售",ROUND($Q3514,0)=0),"※外销却没有售价，请填实际售价",IF(AND($K3514="对外销售",$T3514&lt;&gt;"",$T3514&lt;0),"※这一笔外销是亏的，请核对售价",IF(IFERROR(VLOOKUP($D3514,库存台账!$A$5:$Y$1204,24,0),0)&lt;-0.001,"※这个物料账面已经变成负数了，查一下是不是漏记入库","")))))))))))</f>
        <v/>
      </c>
    </row>
    <row r="3515">
      <c r="A3515" s="24">
        <f>IF($D3515="","",COUNTA($D$4:$D3515))</f>
        <v/>
      </c>
      <c r="B3515" s="17" t="n"/>
      <c r="C3515" s="30" t="n"/>
      <c r="D3515" s="17" t="n"/>
      <c r="E3515" s="24">
        <f>IF($D3515="","",IFERROR(VLOOKUP($D3515,物料档案!$A$4:$P$1203,3,0),"※编码不在物料档案里"))</f>
        <v/>
      </c>
      <c r="F3515" s="24">
        <f>IF($D3515="","",IFERROR(VLOOKUP($D3515,物料档案!$A$4:$P$1203,4,0),"※编码不在物料档案里"))</f>
        <v/>
      </c>
      <c r="G3515" s="24">
        <f>IF($D3515="","",IFERROR(VLOOKUP($D3515,物料档案!$A$4:$P$1203,5,0),"※编码不在物料档案里"))</f>
        <v/>
      </c>
      <c r="H3515" s="24">
        <f>IF($D3515="","",IFERROR(VLOOKUP($D3515,物料档案!$A$4:$P$1203,2,0),"※编码不在物料档案里"))</f>
        <v/>
      </c>
      <c r="I3515" s="24">
        <f>IF($D3515="","",IFERROR(VLOOKUP($D3515,物料档案!$A$4:$P$1203,6,0),"※编码不在物料档案里"))</f>
        <v/>
      </c>
      <c r="J3515" s="23" t="n"/>
      <c r="K3515" s="17" t="n"/>
      <c r="L3515" s="17" t="n"/>
      <c r="M3515" s="17" t="n"/>
      <c r="N3515" s="17" t="n"/>
      <c r="O3515" s="26">
        <f>IF($D3515="","",IFERROR(VLOOKUP($D3515,物料档案!$A$4:$P$1203,10,0),0))</f>
        <v/>
      </c>
      <c r="P3515" s="32" t="n"/>
      <c r="Q3515" s="26">
        <f>IF($D3515="","",IF($K3515&lt;&gt;"对外销售",0,ROUND(N($J3515)*IF($P3515="",N($O3515),N($P3515)),0)))</f>
        <v/>
      </c>
      <c r="R3515" s="26">
        <f>IF($D3515="","",IFERROR(VLOOKUP($D3515,库存台账!$A$5:$Y$1204,11,0),0))</f>
        <v/>
      </c>
      <c r="S3515" s="26">
        <f>IF($D3515="","",ROUND(N($J3515)*N($R3515),0))</f>
        <v/>
      </c>
      <c r="T3515" s="26">
        <f>IF($D3515="","",IF($K3515&lt;&gt;"对外销售","",ROUND($Q3515-$S3515,0)))</f>
        <v/>
      </c>
      <c r="U3515" s="17" t="n"/>
      <c r="V3515" s="17" t="n"/>
      <c r="W3515" s="24">
        <f>IF($D3515="","",IF($E3515="※编码不在物料档案里","※物料编码不在档案里",IF(N($J3515)&lt;=0,"※出库数量要大于 0",IF($K3515="","※没填去向类型",IF($L3515="","※没填去向矿区",IF(AND($C3515&lt;&gt;"",$C3515&lt;=结账锁),"※日期早于已结账截止日，不能再录",IF(AND($K3515="自用消耗",COUNTIF({"一矿区";"二矿区"},$L3515)=0),"※自用消耗的去向只能是一矿区或二矿区",IF(AND($K3515="对外销售",COUNTIF({"三矿区";"六矿区"},$L3515)=0),"※对外销售的去向只能是三矿区或六矿区",IF(AND($K3515="对外销售",ROUND($Q3515,0)=0),"※外销却没有售价，请填实际售价",IF(AND($K3515="对外销售",$T3515&lt;&gt;"",$T3515&lt;0),"※这一笔外销是亏的，请核对售价",IF(IFERROR(VLOOKUP($D3515,库存台账!$A$5:$Y$1204,24,0),0)&lt;-0.001,"※这个物料账面已经变成负数了，查一下是不是漏记入库","")))))))))))</f>
        <v/>
      </c>
    </row>
    <row r="3516">
      <c r="A3516" s="24">
        <f>IF($D3516="","",COUNTA($D$4:$D3516))</f>
        <v/>
      </c>
      <c r="B3516" s="17" t="n"/>
      <c r="C3516" s="30" t="n"/>
      <c r="D3516" s="17" t="n"/>
      <c r="E3516" s="24">
        <f>IF($D3516="","",IFERROR(VLOOKUP($D3516,物料档案!$A$4:$P$1203,3,0),"※编码不在物料档案里"))</f>
        <v/>
      </c>
      <c r="F3516" s="24">
        <f>IF($D3516="","",IFERROR(VLOOKUP($D3516,物料档案!$A$4:$P$1203,4,0),"※编码不在物料档案里"))</f>
        <v/>
      </c>
      <c r="G3516" s="24">
        <f>IF($D3516="","",IFERROR(VLOOKUP($D3516,物料档案!$A$4:$P$1203,5,0),"※编码不在物料档案里"))</f>
        <v/>
      </c>
      <c r="H3516" s="24">
        <f>IF($D3516="","",IFERROR(VLOOKUP($D3516,物料档案!$A$4:$P$1203,2,0),"※编码不在物料档案里"))</f>
        <v/>
      </c>
      <c r="I3516" s="24">
        <f>IF($D3516="","",IFERROR(VLOOKUP($D3516,物料档案!$A$4:$P$1203,6,0),"※编码不在物料档案里"))</f>
        <v/>
      </c>
      <c r="J3516" s="23" t="n"/>
      <c r="K3516" s="17" t="n"/>
      <c r="L3516" s="17" t="n"/>
      <c r="M3516" s="17" t="n"/>
      <c r="N3516" s="17" t="n"/>
      <c r="O3516" s="26">
        <f>IF($D3516="","",IFERROR(VLOOKUP($D3516,物料档案!$A$4:$P$1203,10,0),0))</f>
        <v/>
      </c>
      <c r="P3516" s="32" t="n"/>
      <c r="Q3516" s="26">
        <f>IF($D3516="","",IF($K3516&lt;&gt;"对外销售",0,ROUND(N($J3516)*IF($P3516="",N($O3516),N($P3516)),0)))</f>
        <v/>
      </c>
      <c r="R3516" s="26">
        <f>IF($D3516="","",IFERROR(VLOOKUP($D3516,库存台账!$A$5:$Y$1204,11,0),0))</f>
        <v/>
      </c>
      <c r="S3516" s="26">
        <f>IF($D3516="","",ROUND(N($J3516)*N($R3516),0))</f>
        <v/>
      </c>
      <c r="T3516" s="26">
        <f>IF($D3516="","",IF($K3516&lt;&gt;"对外销售","",ROUND($Q3516-$S3516,0)))</f>
        <v/>
      </c>
      <c r="U3516" s="17" t="n"/>
      <c r="V3516" s="17" t="n"/>
      <c r="W3516" s="24">
        <f>IF($D3516="","",IF($E3516="※编码不在物料档案里","※物料编码不在档案里",IF(N($J3516)&lt;=0,"※出库数量要大于 0",IF($K3516="","※没填去向类型",IF($L3516="","※没填去向矿区",IF(AND($C3516&lt;&gt;"",$C3516&lt;=结账锁),"※日期早于已结账截止日，不能再录",IF(AND($K3516="自用消耗",COUNTIF({"一矿区";"二矿区"},$L3516)=0),"※自用消耗的去向只能是一矿区或二矿区",IF(AND($K3516="对外销售",COUNTIF({"三矿区";"六矿区"},$L3516)=0),"※对外销售的去向只能是三矿区或六矿区",IF(AND($K3516="对外销售",ROUND($Q3516,0)=0),"※外销却没有售价，请填实际售价",IF(AND($K3516="对外销售",$T3516&lt;&gt;"",$T3516&lt;0),"※这一笔外销是亏的，请核对售价",IF(IFERROR(VLOOKUP($D3516,库存台账!$A$5:$Y$1204,24,0),0)&lt;-0.001,"※这个物料账面已经变成负数了，查一下是不是漏记入库","")))))))))))</f>
        <v/>
      </c>
    </row>
    <row r="3517">
      <c r="A3517" s="24">
        <f>IF($D3517="","",COUNTA($D$4:$D3517))</f>
        <v/>
      </c>
      <c r="B3517" s="17" t="n"/>
      <c r="C3517" s="30" t="n"/>
      <c r="D3517" s="17" t="n"/>
      <c r="E3517" s="24">
        <f>IF($D3517="","",IFERROR(VLOOKUP($D3517,物料档案!$A$4:$P$1203,3,0),"※编码不在物料档案里"))</f>
        <v/>
      </c>
      <c r="F3517" s="24">
        <f>IF($D3517="","",IFERROR(VLOOKUP($D3517,物料档案!$A$4:$P$1203,4,0),"※编码不在物料档案里"))</f>
        <v/>
      </c>
      <c r="G3517" s="24">
        <f>IF($D3517="","",IFERROR(VLOOKUP($D3517,物料档案!$A$4:$P$1203,5,0),"※编码不在物料档案里"))</f>
        <v/>
      </c>
      <c r="H3517" s="24">
        <f>IF($D3517="","",IFERROR(VLOOKUP($D3517,物料档案!$A$4:$P$1203,2,0),"※编码不在物料档案里"))</f>
        <v/>
      </c>
      <c r="I3517" s="24">
        <f>IF($D3517="","",IFERROR(VLOOKUP($D3517,物料档案!$A$4:$P$1203,6,0),"※编码不在物料档案里"))</f>
        <v/>
      </c>
      <c r="J3517" s="23" t="n"/>
      <c r="K3517" s="17" t="n"/>
      <c r="L3517" s="17" t="n"/>
      <c r="M3517" s="17" t="n"/>
      <c r="N3517" s="17" t="n"/>
      <c r="O3517" s="26">
        <f>IF($D3517="","",IFERROR(VLOOKUP($D3517,物料档案!$A$4:$P$1203,10,0),0))</f>
        <v/>
      </c>
      <c r="P3517" s="32" t="n"/>
      <c r="Q3517" s="26">
        <f>IF($D3517="","",IF($K3517&lt;&gt;"对外销售",0,ROUND(N($J3517)*IF($P3517="",N($O3517),N($P3517)),0)))</f>
        <v/>
      </c>
      <c r="R3517" s="26">
        <f>IF($D3517="","",IFERROR(VLOOKUP($D3517,库存台账!$A$5:$Y$1204,11,0),0))</f>
        <v/>
      </c>
      <c r="S3517" s="26">
        <f>IF($D3517="","",ROUND(N($J3517)*N($R3517),0))</f>
        <v/>
      </c>
      <c r="T3517" s="26">
        <f>IF($D3517="","",IF($K3517&lt;&gt;"对外销售","",ROUND($Q3517-$S3517,0)))</f>
        <v/>
      </c>
      <c r="U3517" s="17" t="n"/>
      <c r="V3517" s="17" t="n"/>
      <c r="W3517" s="24">
        <f>IF($D3517="","",IF($E3517="※编码不在物料档案里","※物料编码不在档案里",IF(N($J3517)&lt;=0,"※出库数量要大于 0",IF($K3517="","※没填去向类型",IF($L3517="","※没填去向矿区",IF(AND($C3517&lt;&gt;"",$C3517&lt;=结账锁),"※日期早于已结账截止日，不能再录",IF(AND($K3517="自用消耗",COUNTIF({"一矿区";"二矿区"},$L3517)=0),"※自用消耗的去向只能是一矿区或二矿区",IF(AND($K3517="对外销售",COUNTIF({"三矿区";"六矿区"},$L3517)=0),"※对外销售的去向只能是三矿区或六矿区",IF(AND($K3517="对外销售",ROUND($Q3517,0)=0),"※外销却没有售价，请填实际售价",IF(AND($K3517="对外销售",$T3517&lt;&gt;"",$T3517&lt;0),"※这一笔外销是亏的，请核对售价",IF(IFERROR(VLOOKUP($D3517,库存台账!$A$5:$Y$1204,24,0),0)&lt;-0.001,"※这个物料账面已经变成负数了，查一下是不是漏记入库","")))))))))))</f>
        <v/>
      </c>
    </row>
    <row r="3518">
      <c r="A3518" s="24">
        <f>IF($D3518="","",COUNTA($D$4:$D3518))</f>
        <v/>
      </c>
      <c r="B3518" s="17" t="n"/>
      <c r="C3518" s="30" t="n"/>
      <c r="D3518" s="17" t="n"/>
      <c r="E3518" s="24">
        <f>IF($D3518="","",IFERROR(VLOOKUP($D3518,物料档案!$A$4:$P$1203,3,0),"※编码不在物料档案里"))</f>
        <v/>
      </c>
      <c r="F3518" s="24">
        <f>IF($D3518="","",IFERROR(VLOOKUP($D3518,物料档案!$A$4:$P$1203,4,0),"※编码不在物料档案里"))</f>
        <v/>
      </c>
      <c r="G3518" s="24">
        <f>IF($D3518="","",IFERROR(VLOOKUP($D3518,物料档案!$A$4:$P$1203,5,0),"※编码不在物料档案里"))</f>
        <v/>
      </c>
      <c r="H3518" s="24">
        <f>IF($D3518="","",IFERROR(VLOOKUP($D3518,物料档案!$A$4:$P$1203,2,0),"※编码不在物料档案里"))</f>
        <v/>
      </c>
      <c r="I3518" s="24">
        <f>IF($D3518="","",IFERROR(VLOOKUP($D3518,物料档案!$A$4:$P$1203,6,0),"※编码不在物料档案里"))</f>
        <v/>
      </c>
      <c r="J3518" s="23" t="n"/>
      <c r="K3518" s="17" t="n"/>
      <c r="L3518" s="17" t="n"/>
      <c r="M3518" s="17" t="n"/>
      <c r="N3518" s="17" t="n"/>
      <c r="O3518" s="26">
        <f>IF($D3518="","",IFERROR(VLOOKUP($D3518,物料档案!$A$4:$P$1203,10,0),0))</f>
        <v/>
      </c>
      <c r="P3518" s="32" t="n"/>
      <c r="Q3518" s="26">
        <f>IF($D3518="","",IF($K3518&lt;&gt;"对外销售",0,ROUND(N($J3518)*IF($P3518="",N($O3518),N($P3518)),0)))</f>
        <v/>
      </c>
      <c r="R3518" s="26">
        <f>IF($D3518="","",IFERROR(VLOOKUP($D3518,库存台账!$A$5:$Y$1204,11,0),0))</f>
        <v/>
      </c>
      <c r="S3518" s="26">
        <f>IF($D3518="","",ROUND(N($J3518)*N($R3518),0))</f>
        <v/>
      </c>
      <c r="T3518" s="26">
        <f>IF($D3518="","",IF($K3518&lt;&gt;"对外销售","",ROUND($Q3518-$S3518,0)))</f>
        <v/>
      </c>
      <c r="U3518" s="17" t="n"/>
      <c r="V3518" s="17" t="n"/>
      <c r="W3518" s="24">
        <f>IF($D3518="","",IF($E3518="※编码不在物料档案里","※物料编码不在档案里",IF(N($J3518)&lt;=0,"※出库数量要大于 0",IF($K3518="","※没填去向类型",IF($L3518="","※没填去向矿区",IF(AND($C3518&lt;&gt;"",$C3518&lt;=结账锁),"※日期早于已结账截止日，不能再录",IF(AND($K3518="自用消耗",COUNTIF({"一矿区";"二矿区"},$L3518)=0),"※自用消耗的去向只能是一矿区或二矿区",IF(AND($K3518="对外销售",COUNTIF({"三矿区";"六矿区"},$L3518)=0),"※对外销售的去向只能是三矿区或六矿区",IF(AND($K3518="对外销售",ROUND($Q3518,0)=0),"※外销却没有售价，请填实际售价",IF(AND($K3518="对外销售",$T3518&lt;&gt;"",$T3518&lt;0),"※这一笔外销是亏的，请核对售价",IF(IFERROR(VLOOKUP($D3518,库存台账!$A$5:$Y$1204,24,0),0)&lt;-0.001,"※这个物料账面已经变成负数了，查一下是不是漏记入库","")))))))))))</f>
        <v/>
      </c>
    </row>
    <row r="3519">
      <c r="A3519" s="24">
        <f>IF($D3519="","",COUNTA($D$4:$D3519))</f>
        <v/>
      </c>
      <c r="B3519" s="17" t="n"/>
      <c r="C3519" s="30" t="n"/>
      <c r="D3519" s="17" t="n"/>
      <c r="E3519" s="24">
        <f>IF($D3519="","",IFERROR(VLOOKUP($D3519,物料档案!$A$4:$P$1203,3,0),"※编码不在物料档案里"))</f>
        <v/>
      </c>
      <c r="F3519" s="24">
        <f>IF($D3519="","",IFERROR(VLOOKUP($D3519,物料档案!$A$4:$P$1203,4,0),"※编码不在物料档案里"))</f>
        <v/>
      </c>
      <c r="G3519" s="24">
        <f>IF($D3519="","",IFERROR(VLOOKUP($D3519,物料档案!$A$4:$P$1203,5,0),"※编码不在物料档案里"))</f>
        <v/>
      </c>
      <c r="H3519" s="24">
        <f>IF($D3519="","",IFERROR(VLOOKUP($D3519,物料档案!$A$4:$P$1203,2,0),"※编码不在物料档案里"))</f>
        <v/>
      </c>
      <c r="I3519" s="24">
        <f>IF($D3519="","",IFERROR(VLOOKUP($D3519,物料档案!$A$4:$P$1203,6,0),"※编码不在物料档案里"))</f>
        <v/>
      </c>
      <c r="J3519" s="23" t="n"/>
      <c r="K3519" s="17" t="n"/>
      <c r="L3519" s="17" t="n"/>
      <c r="M3519" s="17" t="n"/>
      <c r="N3519" s="17" t="n"/>
      <c r="O3519" s="26">
        <f>IF($D3519="","",IFERROR(VLOOKUP($D3519,物料档案!$A$4:$P$1203,10,0),0))</f>
        <v/>
      </c>
      <c r="P3519" s="32" t="n"/>
      <c r="Q3519" s="26">
        <f>IF($D3519="","",IF($K3519&lt;&gt;"对外销售",0,ROUND(N($J3519)*IF($P3519="",N($O3519),N($P3519)),0)))</f>
        <v/>
      </c>
      <c r="R3519" s="26">
        <f>IF($D3519="","",IFERROR(VLOOKUP($D3519,库存台账!$A$5:$Y$1204,11,0),0))</f>
        <v/>
      </c>
      <c r="S3519" s="26">
        <f>IF($D3519="","",ROUND(N($J3519)*N($R3519),0))</f>
        <v/>
      </c>
      <c r="T3519" s="26">
        <f>IF($D3519="","",IF($K3519&lt;&gt;"对外销售","",ROUND($Q3519-$S3519,0)))</f>
        <v/>
      </c>
      <c r="U3519" s="17" t="n"/>
      <c r="V3519" s="17" t="n"/>
      <c r="W3519" s="24">
        <f>IF($D3519="","",IF($E3519="※编码不在物料档案里","※物料编码不在档案里",IF(N($J3519)&lt;=0,"※出库数量要大于 0",IF($K3519="","※没填去向类型",IF($L3519="","※没填去向矿区",IF(AND($C3519&lt;&gt;"",$C3519&lt;=结账锁),"※日期早于已结账截止日，不能再录",IF(AND($K3519="自用消耗",COUNTIF({"一矿区";"二矿区"},$L3519)=0),"※自用消耗的去向只能是一矿区或二矿区",IF(AND($K3519="对外销售",COUNTIF({"三矿区";"六矿区"},$L3519)=0),"※对外销售的去向只能是三矿区或六矿区",IF(AND($K3519="对外销售",ROUND($Q3519,0)=0),"※外销却没有售价，请填实际售价",IF(AND($K3519="对外销售",$T3519&lt;&gt;"",$T3519&lt;0),"※这一笔外销是亏的，请核对售价",IF(IFERROR(VLOOKUP($D3519,库存台账!$A$5:$Y$1204,24,0),0)&lt;-0.001,"※这个物料账面已经变成负数了，查一下是不是漏记入库","")))))))))))</f>
        <v/>
      </c>
    </row>
    <row r="3520">
      <c r="A3520" s="24">
        <f>IF($D3520="","",COUNTA($D$4:$D3520))</f>
        <v/>
      </c>
      <c r="B3520" s="17" t="n"/>
      <c r="C3520" s="30" t="n"/>
      <c r="D3520" s="17" t="n"/>
      <c r="E3520" s="24">
        <f>IF($D3520="","",IFERROR(VLOOKUP($D3520,物料档案!$A$4:$P$1203,3,0),"※编码不在物料档案里"))</f>
        <v/>
      </c>
      <c r="F3520" s="24">
        <f>IF($D3520="","",IFERROR(VLOOKUP($D3520,物料档案!$A$4:$P$1203,4,0),"※编码不在物料档案里"))</f>
        <v/>
      </c>
      <c r="G3520" s="24">
        <f>IF($D3520="","",IFERROR(VLOOKUP($D3520,物料档案!$A$4:$P$1203,5,0),"※编码不在物料档案里"))</f>
        <v/>
      </c>
      <c r="H3520" s="24">
        <f>IF($D3520="","",IFERROR(VLOOKUP($D3520,物料档案!$A$4:$P$1203,2,0),"※编码不在物料档案里"))</f>
        <v/>
      </c>
      <c r="I3520" s="24">
        <f>IF($D3520="","",IFERROR(VLOOKUP($D3520,物料档案!$A$4:$P$1203,6,0),"※编码不在物料档案里"))</f>
        <v/>
      </c>
      <c r="J3520" s="23" t="n"/>
      <c r="K3520" s="17" t="n"/>
      <c r="L3520" s="17" t="n"/>
      <c r="M3520" s="17" t="n"/>
      <c r="N3520" s="17" t="n"/>
      <c r="O3520" s="26">
        <f>IF($D3520="","",IFERROR(VLOOKUP($D3520,物料档案!$A$4:$P$1203,10,0),0))</f>
        <v/>
      </c>
      <c r="P3520" s="32" t="n"/>
      <c r="Q3520" s="26">
        <f>IF($D3520="","",IF($K3520&lt;&gt;"对外销售",0,ROUND(N($J3520)*IF($P3520="",N($O3520),N($P3520)),0)))</f>
        <v/>
      </c>
      <c r="R3520" s="26">
        <f>IF($D3520="","",IFERROR(VLOOKUP($D3520,库存台账!$A$5:$Y$1204,11,0),0))</f>
        <v/>
      </c>
      <c r="S3520" s="26">
        <f>IF($D3520="","",ROUND(N($J3520)*N($R3520),0))</f>
        <v/>
      </c>
      <c r="T3520" s="26">
        <f>IF($D3520="","",IF($K3520&lt;&gt;"对外销售","",ROUND($Q3520-$S3520,0)))</f>
        <v/>
      </c>
      <c r="U3520" s="17" t="n"/>
      <c r="V3520" s="17" t="n"/>
      <c r="W3520" s="24">
        <f>IF($D3520="","",IF($E3520="※编码不在物料档案里","※物料编码不在档案里",IF(N($J3520)&lt;=0,"※出库数量要大于 0",IF($K3520="","※没填去向类型",IF($L3520="","※没填去向矿区",IF(AND($C3520&lt;&gt;"",$C3520&lt;=结账锁),"※日期早于已结账截止日，不能再录",IF(AND($K3520="自用消耗",COUNTIF({"一矿区";"二矿区"},$L3520)=0),"※自用消耗的去向只能是一矿区或二矿区",IF(AND($K3520="对外销售",COUNTIF({"三矿区";"六矿区"},$L3520)=0),"※对外销售的去向只能是三矿区或六矿区",IF(AND($K3520="对外销售",ROUND($Q3520,0)=0),"※外销却没有售价，请填实际售价",IF(AND($K3520="对外销售",$T3520&lt;&gt;"",$T3520&lt;0),"※这一笔外销是亏的，请核对售价",IF(IFERROR(VLOOKUP($D3520,库存台账!$A$5:$Y$1204,24,0),0)&lt;-0.001,"※这个物料账面已经变成负数了，查一下是不是漏记入库","")))))))))))</f>
        <v/>
      </c>
    </row>
    <row r="3521">
      <c r="A3521" s="24">
        <f>IF($D3521="","",COUNTA($D$4:$D3521))</f>
        <v/>
      </c>
      <c r="B3521" s="17" t="n"/>
      <c r="C3521" s="30" t="n"/>
      <c r="D3521" s="17" t="n"/>
      <c r="E3521" s="24">
        <f>IF($D3521="","",IFERROR(VLOOKUP($D3521,物料档案!$A$4:$P$1203,3,0),"※编码不在物料档案里"))</f>
        <v/>
      </c>
      <c r="F3521" s="24">
        <f>IF($D3521="","",IFERROR(VLOOKUP($D3521,物料档案!$A$4:$P$1203,4,0),"※编码不在物料档案里"))</f>
        <v/>
      </c>
      <c r="G3521" s="24">
        <f>IF($D3521="","",IFERROR(VLOOKUP($D3521,物料档案!$A$4:$P$1203,5,0),"※编码不在物料档案里"))</f>
        <v/>
      </c>
      <c r="H3521" s="24">
        <f>IF($D3521="","",IFERROR(VLOOKUP($D3521,物料档案!$A$4:$P$1203,2,0),"※编码不在物料档案里"))</f>
        <v/>
      </c>
      <c r="I3521" s="24">
        <f>IF($D3521="","",IFERROR(VLOOKUP($D3521,物料档案!$A$4:$P$1203,6,0),"※编码不在物料档案里"))</f>
        <v/>
      </c>
      <c r="J3521" s="23" t="n"/>
      <c r="K3521" s="17" t="n"/>
      <c r="L3521" s="17" t="n"/>
      <c r="M3521" s="17" t="n"/>
      <c r="N3521" s="17" t="n"/>
      <c r="O3521" s="26">
        <f>IF($D3521="","",IFERROR(VLOOKUP($D3521,物料档案!$A$4:$P$1203,10,0),0))</f>
        <v/>
      </c>
      <c r="P3521" s="32" t="n"/>
      <c r="Q3521" s="26">
        <f>IF($D3521="","",IF($K3521&lt;&gt;"对外销售",0,ROUND(N($J3521)*IF($P3521="",N($O3521),N($P3521)),0)))</f>
        <v/>
      </c>
      <c r="R3521" s="26">
        <f>IF($D3521="","",IFERROR(VLOOKUP($D3521,库存台账!$A$5:$Y$1204,11,0),0))</f>
        <v/>
      </c>
      <c r="S3521" s="26">
        <f>IF($D3521="","",ROUND(N($J3521)*N($R3521),0))</f>
        <v/>
      </c>
      <c r="T3521" s="26">
        <f>IF($D3521="","",IF($K3521&lt;&gt;"对外销售","",ROUND($Q3521-$S3521,0)))</f>
        <v/>
      </c>
      <c r="U3521" s="17" t="n"/>
      <c r="V3521" s="17" t="n"/>
      <c r="W3521" s="24">
        <f>IF($D3521="","",IF($E3521="※编码不在物料档案里","※物料编码不在档案里",IF(N($J3521)&lt;=0,"※出库数量要大于 0",IF($K3521="","※没填去向类型",IF($L3521="","※没填去向矿区",IF(AND($C3521&lt;&gt;"",$C3521&lt;=结账锁),"※日期早于已结账截止日，不能再录",IF(AND($K3521="自用消耗",COUNTIF({"一矿区";"二矿区"},$L3521)=0),"※自用消耗的去向只能是一矿区或二矿区",IF(AND($K3521="对外销售",COUNTIF({"三矿区";"六矿区"},$L3521)=0),"※对外销售的去向只能是三矿区或六矿区",IF(AND($K3521="对外销售",ROUND($Q3521,0)=0),"※外销却没有售价，请填实际售价",IF(AND($K3521="对外销售",$T3521&lt;&gt;"",$T3521&lt;0),"※这一笔外销是亏的，请核对售价",IF(IFERROR(VLOOKUP($D3521,库存台账!$A$5:$Y$1204,24,0),0)&lt;-0.001,"※这个物料账面已经变成负数了，查一下是不是漏记入库","")))))))))))</f>
        <v/>
      </c>
    </row>
    <row r="3522">
      <c r="A3522" s="24">
        <f>IF($D3522="","",COUNTA($D$4:$D3522))</f>
        <v/>
      </c>
      <c r="B3522" s="17" t="n"/>
      <c r="C3522" s="30" t="n"/>
      <c r="D3522" s="17" t="n"/>
      <c r="E3522" s="24">
        <f>IF($D3522="","",IFERROR(VLOOKUP($D3522,物料档案!$A$4:$P$1203,3,0),"※编码不在物料档案里"))</f>
        <v/>
      </c>
      <c r="F3522" s="24">
        <f>IF($D3522="","",IFERROR(VLOOKUP($D3522,物料档案!$A$4:$P$1203,4,0),"※编码不在物料档案里"))</f>
        <v/>
      </c>
      <c r="G3522" s="24">
        <f>IF($D3522="","",IFERROR(VLOOKUP($D3522,物料档案!$A$4:$P$1203,5,0),"※编码不在物料档案里"))</f>
        <v/>
      </c>
      <c r="H3522" s="24">
        <f>IF($D3522="","",IFERROR(VLOOKUP($D3522,物料档案!$A$4:$P$1203,2,0),"※编码不在物料档案里"))</f>
        <v/>
      </c>
      <c r="I3522" s="24">
        <f>IF($D3522="","",IFERROR(VLOOKUP($D3522,物料档案!$A$4:$P$1203,6,0),"※编码不在物料档案里"))</f>
        <v/>
      </c>
      <c r="J3522" s="23" t="n"/>
      <c r="K3522" s="17" t="n"/>
      <c r="L3522" s="17" t="n"/>
      <c r="M3522" s="17" t="n"/>
      <c r="N3522" s="17" t="n"/>
      <c r="O3522" s="26">
        <f>IF($D3522="","",IFERROR(VLOOKUP($D3522,物料档案!$A$4:$P$1203,10,0),0))</f>
        <v/>
      </c>
      <c r="P3522" s="32" t="n"/>
      <c r="Q3522" s="26">
        <f>IF($D3522="","",IF($K3522&lt;&gt;"对外销售",0,ROUND(N($J3522)*IF($P3522="",N($O3522),N($P3522)),0)))</f>
        <v/>
      </c>
      <c r="R3522" s="26">
        <f>IF($D3522="","",IFERROR(VLOOKUP($D3522,库存台账!$A$5:$Y$1204,11,0),0))</f>
        <v/>
      </c>
      <c r="S3522" s="26">
        <f>IF($D3522="","",ROUND(N($J3522)*N($R3522),0))</f>
        <v/>
      </c>
      <c r="T3522" s="26">
        <f>IF($D3522="","",IF($K3522&lt;&gt;"对外销售","",ROUND($Q3522-$S3522,0)))</f>
        <v/>
      </c>
      <c r="U3522" s="17" t="n"/>
      <c r="V3522" s="17" t="n"/>
      <c r="W3522" s="24">
        <f>IF($D3522="","",IF($E3522="※编码不在物料档案里","※物料编码不在档案里",IF(N($J3522)&lt;=0,"※出库数量要大于 0",IF($K3522="","※没填去向类型",IF($L3522="","※没填去向矿区",IF(AND($C3522&lt;&gt;"",$C3522&lt;=结账锁),"※日期早于已结账截止日，不能再录",IF(AND($K3522="自用消耗",COUNTIF({"一矿区";"二矿区"},$L3522)=0),"※自用消耗的去向只能是一矿区或二矿区",IF(AND($K3522="对外销售",COUNTIF({"三矿区";"六矿区"},$L3522)=0),"※对外销售的去向只能是三矿区或六矿区",IF(AND($K3522="对外销售",ROUND($Q3522,0)=0),"※外销却没有售价，请填实际售价",IF(AND($K3522="对外销售",$T3522&lt;&gt;"",$T3522&lt;0),"※这一笔外销是亏的，请核对售价",IF(IFERROR(VLOOKUP($D3522,库存台账!$A$5:$Y$1204,24,0),0)&lt;-0.001,"※这个物料账面已经变成负数了，查一下是不是漏记入库","")))))))))))</f>
        <v/>
      </c>
    </row>
    <row r="3523">
      <c r="A3523" s="24">
        <f>IF($D3523="","",COUNTA($D$4:$D3523))</f>
        <v/>
      </c>
      <c r="B3523" s="17" t="n"/>
      <c r="C3523" s="30" t="n"/>
      <c r="D3523" s="17" t="n"/>
      <c r="E3523" s="24">
        <f>IF($D3523="","",IFERROR(VLOOKUP($D3523,物料档案!$A$4:$P$1203,3,0),"※编码不在物料档案里"))</f>
        <v/>
      </c>
      <c r="F3523" s="24">
        <f>IF($D3523="","",IFERROR(VLOOKUP($D3523,物料档案!$A$4:$P$1203,4,0),"※编码不在物料档案里"))</f>
        <v/>
      </c>
      <c r="G3523" s="24">
        <f>IF($D3523="","",IFERROR(VLOOKUP($D3523,物料档案!$A$4:$P$1203,5,0),"※编码不在物料档案里"))</f>
        <v/>
      </c>
      <c r="H3523" s="24">
        <f>IF($D3523="","",IFERROR(VLOOKUP($D3523,物料档案!$A$4:$P$1203,2,0),"※编码不在物料档案里"))</f>
        <v/>
      </c>
      <c r="I3523" s="24">
        <f>IF($D3523="","",IFERROR(VLOOKUP($D3523,物料档案!$A$4:$P$1203,6,0),"※编码不在物料档案里"))</f>
        <v/>
      </c>
      <c r="J3523" s="23" t="n"/>
      <c r="K3523" s="17" t="n"/>
      <c r="L3523" s="17" t="n"/>
      <c r="M3523" s="17" t="n"/>
      <c r="N3523" s="17" t="n"/>
      <c r="O3523" s="26">
        <f>IF($D3523="","",IFERROR(VLOOKUP($D3523,物料档案!$A$4:$P$1203,10,0),0))</f>
        <v/>
      </c>
      <c r="P3523" s="32" t="n"/>
      <c r="Q3523" s="26">
        <f>IF($D3523="","",IF($K3523&lt;&gt;"对外销售",0,ROUND(N($J3523)*IF($P3523="",N($O3523),N($P3523)),0)))</f>
        <v/>
      </c>
      <c r="R3523" s="26">
        <f>IF($D3523="","",IFERROR(VLOOKUP($D3523,库存台账!$A$5:$Y$1204,11,0),0))</f>
        <v/>
      </c>
      <c r="S3523" s="26">
        <f>IF($D3523="","",ROUND(N($J3523)*N($R3523),0))</f>
        <v/>
      </c>
      <c r="T3523" s="26">
        <f>IF($D3523="","",IF($K3523&lt;&gt;"对外销售","",ROUND($Q3523-$S3523,0)))</f>
        <v/>
      </c>
      <c r="U3523" s="17" t="n"/>
      <c r="V3523" s="17" t="n"/>
      <c r="W3523" s="24">
        <f>IF($D3523="","",IF($E3523="※编码不在物料档案里","※物料编码不在档案里",IF(N($J3523)&lt;=0,"※出库数量要大于 0",IF($K3523="","※没填去向类型",IF($L3523="","※没填去向矿区",IF(AND($C3523&lt;&gt;"",$C3523&lt;=结账锁),"※日期早于已结账截止日，不能再录",IF(AND($K3523="自用消耗",COUNTIF({"一矿区";"二矿区"},$L3523)=0),"※自用消耗的去向只能是一矿区或二矿区",IF(AND($K3523="对外销售",COUNTIF({"三矿区";"六矿区"},$L3523)=0),"※对外销售的去向只能是三矿区或六矿区",IF(AND($K3523="对外销售",ROUND($Q3523,0)=0),"※外销却没有售价，请填实际售价",IF(AND($K3523="对外销售",$T3523&lt;&gt;"",$T3523&lt;0),"※这一笔外销是亏的，请核对售价",IF(IFERROR(VLOOKUP($D3523,库存台账!$A$5:$Y$1204,24,0),0)&lt;-0.001,"※这个物料账面已经变成负数了，查一下是不是漏记入库","")))))))))))</f>
        <v/>
      </c>
    </row>
    <row r="3524">
      <c r="A3524" s="24">
        <f>IF($D3524="","",COUNTA($D$4:$D3524))</f>
        <v/>
      </c>
      <c r="B3524" s="17" t="n"/>
      <c r="C3524" s="30" t="n"/>
      <c r="D3524" s="17" t="n"/>
      <c r="E3524" s="24">
        <f>IF($D3524="","",IFERROR(VLOOKUP($D3524,物料档案!$A$4:$P$1203,3,0),"※编码不在物料档案里"))</f>
        <v/>
      </c>
      <c r="F3524" s="24">
        <f>IF($D3524="","",IFERROR(VLOOKUP($D3524,物料档案!$A$4:$P$1203,4,0),"※编码不在物料档案里"))</f>
        <v/>
      </c>
      <c r="G3524" s="24">
        <f>IF($D3524="","",IFERROR(VLOOKUP($D3524,物料档案!$A$4:$P$1203,5,0),"※编码不在物料档案里"))</f>
        <v/>
      </c>
      <c r="H3524" s="24">
        <f>IF($D3524="","",IFERROR(VLOOKUP($D3524,物料档案!$A$4:$P$1203,2,0),"※编码不在物料档案里"))</f>
        <v/>
      </c>
      <c r="I3524" s="24">
        <f>IF($D3524="","",IFERROR(VLOOKUP($D3524,物料档案!$A$4:$P$1203,6,0),"※编码不在物料档案里"))</f>
        <v/>
      </c>
      <c r="J3524" s="23" t="n"/>
      <c r="K3524" s="17" t="n"/>
      <c r="L3524" s="17" t="n"/>
      <c r="M3524" s="17" t="n"/>
      <c r="N3524" s="17" t="n"/>
      <c r="O3524" s="26">
        <f>IF($D3524="","",IFERROR(VLOOKUP($D3524,物料档案!$A$4:$P$1203,10,0),0))</f>
        <v/>
      </c>
      <c r="P3524" s="32" t="n"/>
      <c r="Q3524" s="26">
        <f>IF($D3524="","",IF($K3524&lt;&gt;"对外销售",0,ROUND(N($J3524)*IF($P3524="",N($O3524),N($P3524)),0)))</f>
        <v/>
      </c>
      <c r="R3524" s="26">
        <f>IF($D3524="","",IFERROR(VLOOKUP($D3524,库存台账!$A$5:$Y$1204,11,0),0))</f>
        <v/>
      </c>
      <c r="S3524" s="26">
        <f>IF($D3524="","",ROUND(N($J3524)*N($R3524),0))</f>
        <v/>
      </c>
      <c r="T3524" s="26">
        <f>IF($D3524="","",IF($K3524&lt;&gt;"对外销售","",ROUND($Q3524-$S3524,0)))</f>
        <v/>
      </c>
      <c r="U3524" s="17" t="n"/>
      <c r="V3524" s="17" t="n"/>
      <c r="W3524" s="24">
        <f>IF($D3524="","",IF($E3524="※编码不在物料档案里","※物料编码不在档案里",IF(N($J3524)&lt;=0,"※出库数量要大于 0",IF($K3524="","※没填去向类型",IF($L3524="","※没填去向矿区",IF(AND($C3524&lt;&gt;"",$C3524&lt;=结账锁),"※日期早于已结账截止日，不能再录",IF(AND($K3524="自用消耗",COUNTIF({"一矿区";"二矿区"},$L3524)=0),"※自用消耗的去向只能是一矿区或二矿区",IF(AND($K3524="对外销售",COUNTIF({"三矿区";"六矿区"},$L3524)=0),"※对外销售的去向只能是三矿区或六矿区",IF(AND($K3524="对外销售",ROUND($Q3524,0)=0),"※外销却没有售价，请填实际售价",IF(AND($K3524="对外销售",$T3524&lt;&gt;"",$T3524&lt;0),"※这一笔外销是亏的，请核对售价",IF(IFERROR(VLOOKUP($D3524,库存台账!$A$5:$Y$1204,24,0),0)&lt;-0.001,"※这个物料账面已经变成负数了，查一下是不是漏记入库","")))))))))))</f>
        <v/>
      </c>
    </row>
    <row r="3525">
      <c r="A3525" s="24">
        <f>IF($D3525="","",COUNTA($D$4:$D3525))</f>
        <v/>
      </c>
      <c r="B3525" s="17" t="n"/>
      <c r="C3525" s="30" t="n"/>
      <c r="D3525" s="17" t="n"/>
      <c r="E3525" s="24">
        <f>IF($D3525="","",IFERROR(VLOOKUP($D3525,物料档案!$A$4:$P$1203,3,0),"※编码不在物料档案里"))</f>
        <v/>
      </c>
      <c r="F3525" s="24">
        <f>IF($D3525="","",IFERROR(VLOOKUP($D3525,物料档案!$A$4:$P$1203,4,0),"※编码不在物料档案里"))</f>
        <v/>
      </c>
      <c r="G3525" s="24">
        <f>IF($D3525="","",IFERROR(VLOOKUP($D3525,物料档案!$A$4:$P$1203,5,0),"※编码不在物料档案里"))</f>
        <v/>
      </c>
      <c r="H3525" s="24">
        <f>IF($D3525="","",IFERROR(VLOOKUP($D3525,物料档案!$A$4:$P$1203,2,0),"※编码不在物料档案里"))</f>
        <v/>
      </c>
      <c r="I3525" s="24">
        <f>IF($D3525="","",IFERROR(VLOOKUP($D3525,物料档案!$A$4:$P$1203,6,0),"※编码不在物料档案里"))</f>
        <v/>
      </c>
      <c r="J3525" s="23" t="n"/>
      <c r="K3525" s="17" t="n"/>
      <c r="L3525" s="17" t="n"/>
      <c r="M3525" s="17" t="n"/>
      <c r="N3525" s="17" t="n"/>
      <c r="O3525" s="26">
        <f>IF($D3525="","",IFERROR(VLOOKUP($D3525,物料档案!$A$4:$P$1203,10,0),0))</f>
        <v/>
      </c>
      <c r="P3525" s="32" t="n"/>
      <c r="Q3525" s="26">
        <f>IF($D3525="","",IF($K3525&lt;&gt;"对外销售",0,ROUND(N($J3525)*IF($P3525="",N($O3525),N($P3525)),0)))</f>
        <v/>
      </c>
      <c r="R3525" s="26">
        <f>IF($D3525="","",IFERROR(VLOOKUP($D3525,库存台账!$A$5:$Y$1204,11,0),0))</f>
        <v/>
      </c>
      <c r="S3525" s="26">
        <f>IF($D3525="","",ROUND(N($J3525)*N($R3525),0))</f>
        <v/>
      </c>
      <c r="T3525" s="26">
        <f>IF($D3525="","",IF($K3525&lt;&gt;"对外销售","",ROUND($Q3525-$S3525,0)))</f>
        <v/>
      </c>
      <c r="U3525" s="17" t="n"/>
      <c r="V3525" s="17" t="n"/>
      <c r="W3525" s="24">
        <f>IF($D3525="","",IF($E3525="※编码不在物料档案里","※物料编码不在档案里",IF(N($J3525)&lt;=0,"※出库数量要大于 0",IF($K3525="","※没填去向类型",IF($L3525="","※没填去向矿区",IF(AND($C3525&lt;&gt;"",$C3525&lt;=结账锁),"※日期早于已结账截止日，不能再录",IF(AND($K3525="自用消耗",COUNTIF({"一矿区";"二矿区"},$L3525)=0),"※自用消耗的去向只能是一矿区或二矿区",IF(AND($K3525="对外销售",COUNTIF({"三矿区";"六矿区"},$L3525)=0),"※对外销售的去向只能是三矿区或六矿区",IF(AND($K3525="对外销售",ROUND($Q3525,0)=0),"※外销却没有售价，请填实际售价",IF(AND($K3525="对外销售",$T3525&lt;&gt;"",$T3525&lt;0),"※这一笔外销是亏的，请核对售价",IF(IFERROR(VLOOKUP($D3525,库存台账!$A$5:$Y$1204,24,0),0)&lt;-0.001,"※这个物料账面已经变成负数了，查一下是不是漏记入库","")))))))))))</f>
        <v/>
      </c>
    </row>
    <row r="3526">
      <c r="A3526" s="24">
        <f>IF($D3526="","",COUNTA($D$4:$D3526))</f>
        <v/>
      </c>
      <c r="B3526" s="17" t="n"/>
      <c r="C3526" s="30" t="n"/>
      <c r="D3526" s="17" t="n"/>
      <c r="E3526" s="24">
        <f>IF($D3526="","",IFERROR(VLOOKUP($D3526,物料档案!$A$4:$P$1203,3,0),"※编码不在物料档案里"))</f>
        <v/>
      </c>
      <c r="F3526" s="24">
        <f>IF($D3526="","",IFERROR(VLOOKUP($D3526,物料档案!$A$4:$P$1203,4,0),"※编码不在物料档案里"))</f>
        <v/>
      </c>
      <c r="G3526" s="24">
        <f>IF($D3526="","",IFERROR(VLOOKUP($D3526,物料档案!$A$4:$P$1203,5,0),"※编码不在物料档案里"))</f>
        <v/>
      </c>
      <c r="H3526" s="24">
        <f>IF($D3526="","",IFERROR(VLOOKUP($D3526,物料档案!$A$4:$P$1203,2,0),"※编码不在物料档案里"))</f>
        <v/>
      </c>
      <c r="I3526" s="24">
        <f>IF($D3526="","",IFERROR(VLOOKUP($D3526,物料档案!$A$4:$P$1203,6,0),"※编码不在物料档案里"))</f>
        <v/>
      </c>
      <c r="J3526" s="23" t="n"/>
      <c r="K3526" s="17" t="n"/>
      <c r="L3526" s="17" t="n"/>
      <c r="M3526" s="17" t="n"/>
      <c r="N3526" s="17" t="n"/>
      <c r="O3526" s="26">
        <f>IF($D3526="","",IFERROR(VLOOKUP($D3526,物料档案!$A$4:$P$1203,10,0),0))</f>
        <v/>
      </c>
      <c r="P3526" s="32" t="n"/>
      <c r="Q3526" s="26">
        <f>IF($D3526="","",IF($K3526&lt;&gt;"对外销售",0,ROUND(N($J3526)*IF($P3526="",N($O3526),N($P3526)),0)))</f>
        <v/>
      </c>
      <c r="R3526" s="26">
        <f>IF($D3526="","",IFERROR(VLOOKUP($D3526,库存台账!$A$5:$Y$1204,11,0),0))</f>
        <v/>
      </c>
      <c r="S3526" s="26">
        <f>IF($D3526="","",ROUND(N($J3526)*N($R3526),0))</f>
        <v/>
      </c>
      <c r="T3526" s="26">
        <f>IF($D3526="","",IF($K3526&lt;&gt;"对外销售","",ROUND($Q3526-$S3526,0)))</f>
        <v/>
      </c>
      <c r="U3526" s="17" t="n"/>
      <c r="V3526" s="17" t="n"/>
      <c r="W3526" s="24">
        <f>IF($D3526="","",IF($E3526="※编码不在物料档案里","※物料编码不在档案里",IF(N($J3526)&lt;=0,"※出库数量要大于 0",IF($K3526="","※没填去向类型",IF($L3526="","※没填去向矿区",IF(AND($C3526&lt;&gt;"",$C3526&lt;=结账锁),"※日期早于已结账截止日，不能再录",IF(AND($K3526="自用消耗",COUNTIF({"一矿区";"二矿区"},$L3526)=0),"※自用消耗的去向只能是一矿区或二矿区",IF(AND($K3526="对外销售",COUNTIF({"三矿区";"六矿区"},$L3526)=0),"※对外销售的去向只能是三矿区或六矿区",IF(AND($K3526="对外销售",ROUND($Q3526,0)=0),"※外销却没有售价，请填实际售价",IF(AND($K3526="对外销售",$T3526&lt;&gt;"",$T3526&lt;0),"※这一笔外销是亏的，请核对售价",IF(IFERROR(VLOOKUP($D3526,库存台账!$A$5:$Y$1204,24,0),0)&lt;-0.001,"※这个物料账面已经变成负数了，查一下是不是漏记入库","")))))))))))</f>
        <v/>
      </c>
    </row>
    <row r="3527">
      <c r="A3527" s="24">
        <f>IF($D3527="","",COUNTA($D$4:$D3527))</f>
        <v/>
      </c>
      <c r="B3527" s="17" t="n"/>
      <c r="C3527" s="30" t="n"/>
      <c r="D3527" s="17" t="n"/>
      <c r="E3527" s="24">
        <f>IF($D3527="","",IFERROR(VLOOKUP($D3527,物料档案!$A$4:$P$1203,3,0),"※编码不在物料档案里"))</f>
        <v/>
      </c>
      <c r="F3527" s="24">
        <f>IF($D3527="","",IFERROR(VLOOKUP($D3527,物料档案!$A$4:$P$1203,4,0),"※编码不在物料档案里"))</f>
        <v/>
      </c>
      <c r="G3527" s="24">
        <f>IF($D3527="","",IFERROR(VLOOKUP($D3527,物料档案!$A$4:$P$1203,5,0),"※编码不在物料档案里"))</f>
        <v/>
      </c>
      <c r="H3527" s="24">
        <f>IF($D3527="","",IFERROR(VLOOKUP($D3527,物料档案!$A$4:$P$1203,2,0),"※编码不在物料档案里"))</f>
        <v/>
      </c>
      <c r="I3527" s="24">
        <f>IF($D3527="","",IFERROR(VLOOKUP($D3527,物料档案!$A$4:$P$1203,6,0),"※编码不在物料档案里"))</f>
        <v/>
      </c>
      <c r="J3527" s="23" t="n"/>
      <c r="K3527" s="17" t="n"/>
      <c r="L3527" s="17" t="n"/>
      <c r="M3527" s="17" t="n"/>
      <c r="N3527" s="17" t="n"/>
      <c r="O3527" s="26">
        <f>IF($D3527="","",IFERROR(VLOOKUP($D3527,物料档案!$A$4:$P$1203,10,0),0))</f>
        <v/>
      </c>
      <c r="P3527" s="32" t="n"/>
      <c r="Q3527" s="26">
        <f>IF($D3527="","",IF($K3527&lt;&gt;"对外销售",0,ROUND(N($J3527)*IF($P3527="",N($O3527),N($P3527)),0)))</f>
        <v/>
      </c>
      <c r="R3527" s="26">
        <f>IF($D3527="","",IFERROR(VLOOKUP($D3527,库存台账!$A$5:$Y$1204,11,0),0))</f>
        <v/>
      </c>
      <c r="S3527" s="26">
        <f>IF($D3527="","",ROUND(N($J3527)*N($R3527),0))</f>
        <v/>
      </c>
      <c r="T3527" s="26">
        <f>IF($D3527="","",IF($K3527&lt;&gt;"对外销售","",ROUND($Q3527-$S3527,0)))</f>
        <v/>
      </c>
      <c r="U3527" s="17" t="n"/>
      <c r="V3527" s="17" t="n"/>
      <c r="W3527" s="24">
        <f>IF($D3527="","",IF($E3527="※编码不在物料档案里","※物料编码不在档案里",IF(N($J3527)&lt;=0,"※出库数量要大于 0",IF($K3527="","※没填去向类型",IF($L3527="","※没填去向矿区",IF(AND($C3527&lt;&gt;"",$C3527&lt;=结账锁),"※日期早于已结账截止日，不能再录",IF(AND($K3527="自用消耗",COUNTIF({"一矿区";"二矿区"},$L3527)=0),"※自用消耗的去向只能是一矿区或二矿区",IF(AND($K3527="对外销售",COUNTIF({"三矿区";"六矿区"},$L3527)=0),"※对外销售的去向只能是三矿区或六矿区",IF(AND($K3527="对外销售",ROUND($Q3527,0)=0),"※外销却没有售价，请填实际售价",IF(AND($K3527="对外销售",$T3527&lt;&gt;"",$T3527&lt;0),"※这一笔外销是亏的，请核对售价",IF(IFERROR(VLOOKUP($D3527,库存台账!$A$5:$Y$1204,24,0),0)&lt;-0.001,"※这个物料账面已经变成负数了，查一下是不是漏记入库","")))))))))))</f>
        <v/>
      </c>
    </row>
    <row r="3528">
      <c r="A3528" s="24">
        <f>IF($D3528="","",COUNTA($D$4:$D3528))</f>
        <v/>
      </c>
      <c r="B3528" s="17" t="n"/>
      <c r="C3528" s="30" t="n"/>
      <c r="D3528" s="17" t="n"/>
      <c r="E3528" s="24">
        <f>IF($D3528="","",IFERROR(VLOOKUP($D3528,物料档案!$A$4:$P$1203,3,0),"※编码不在物料档案里"))</f>
        <v/>
      </c>
      <c r="F3528" s="24">
        <f>IF($D3528="","",IFERROR(VLOOKUP($D3528,物料档案!$A$4:$P$1203,4,0),"※编码不在物料档案里"))</f>
        <v/>
      </c>
      <c r="G3528" s="24">
        <f>IF($D3528="","",IFERROR(VLOOKUP($D3528,物料档案!$A$4:$P$1203,5,0),"※编码不在物料档案里"))</f>
        <v/>
      </c>
      <c r="H3528" s="24">
        <f>IF($D3528="","",IFERROR(VLOOKUP($D3528,物料档案!$A$4:$P$1203,2,0),"※编码不在物料档案里"))</f>
        <v/>
      </c>
      <c r="I3528" s="24">
        <f>IF($D3528="","",IFERROR(VLOOKUP($D3528,物料档案!$A$4:$P$1203,6,0),"※编码不在物料档案里"))</f>
        <v/>
      </c>
      <c r="J3528" s="23" t="n"/>
      <c r="K3528" s="17" t="n"/>
      <c r="L3528" s="17" t="n"/>
      <c r="M3528" s="17" t="n"/>
      <c r="N3528" s="17" t="n"/>
      <c r="O3528" s="26">
        <f>IF($D3528="","",IFERROR(VLOOKUP($D3528,物料档案!$A$4:$P$1203,10,0),0))</f>
        <v/>
      </c>
      <c r="P3528" s="32" t="n"/>
      <c r="Q3528" s="26">
        <f>IF($D3528="","",IF($K3528&lt;&gt;"对外销售",0,ROUND(N($J3528)*IF($P3528="",N($O3528),N($P3528)),0)))</f>
        <v/>
      </c>
      <c r="R3528" s="26">
        <f>IF($D3528="","",IFERROR(VLOOKUP($D3528,库存台账!$A$5:$Y$1204,11,0),0))</f>
        <v/>
      </c>
      <c r="S3528" s="26">
        <f>IF($D3528="","",ROUND(N($J3528)*N($R3528),0))</f>
        <v/>
      </c>
      <c r="T3528" s="26">
        <f>IF($D3528="","",IF($K3528&lt;&gt;"对外销售","",ROUND($Q3528-$S3528,0)))</f>
        <v/>
      </c>
      <c r="U3528" s="17" t="n"/>
      <c r="V3528" s="17" t="n"/>
      <c r="W3528" s="24">
        <f>IF($D3528="","",IF($E3528="※编码不在物料档案里","※物料编码不在档案里",IF(N($J3528)&lt;=0,"※出库数量要大于 0",IF($K3528="","※没填去向类型",IF($L3528="","※没填去向矿区",IF(AND($C3528&lt;&gt;"",$C3528&lt;=结账锁),"※日期早于已结账截止日，不能再录",IF(AND($K3528="自用消耗",COUNTIF({"一矿区";"二矿区"},$L3528)=0),"※自用消耗的去向只能是一矿区或二矿区",IF(AND($K3528="对外销售",COUNTIF({"三矿区";"六矿区"},$L3528)=0),"※对外销售的去向只能是三矿区或六矿区",IF(AND($K3528="对外销售",ROUND($Q3528,0)=0),"※外销却没有售价，请填实际售价",IF(AND($K3528="对外销售",$T3528&lt;&gt;"",$T3528&lt;0),"※这一笔外销是亏的，请核对售价",IF(IFERROR(VLOOKUP($D3528,库存台账!$A$5:$Y$1204,24,0),0)&lt;-0.001,"※这个物料账面已经变成负数了，查一下是不是漏记入库","")))))))))))</f>
        <v/>
      </c>
    </row>
    <row r="3529">
      <c r="A3529" s="24">
        <f>IF($D3529="","",COUNTA($D$4:$D3529))</f>
        <v/>
      </c>
      <c r="B3529" s="17" t="n"/>
      <c r="C3529" s="30" t="n"/>
      <c r="D3529" s="17" t="n"/>
      <c r="E3529" s="24">
        <f>IF($D3529="","",IFERROR(VLOOKUP($D3529,物料档案!$A$4:$P$1203,3,0),"※编码不在物料档案里"))</f>
        <v/>
      </c>
      <c r="F3529" s="24">
        <f>IF($D3529="","",IFERROR(VLOOKUP($D3529,物料档案!$A$4:$P$1203,4,0),"※编码不在物料档案里"))</f>
        <v/>
      </c>
      <c r="G3529" s="24">
        <f>IF($D3529="","",IFERROR(VLOOKUP($D3529,物料档案!$A$4:$P$1203,5,0),"※编码不在物料档案里"))</f>
        <v/>
      </c>
      <c r="H3529" s="24">
        <f>IF($D3529="","",IFERROR(VLOOKUP($D3529,物料档案!$A$4:$P$1203,2,0),"※编码不在物料档案里"))</f>
        <v/>
      </c>
      <c r="I3529" s="24">
        <f>IF($D3529="","",IFERROR(VLOOKUP($D3529,物料档案!$A$4:$P$1203,6,0),"※编码不在物料档案里"))</f>
        <v/>
      </c>
      <c r="J3529" s="23" t="n"/>
      <c r="K3529" s="17" t="n"/>
      <c r="L3529" s="17" t="n"/>
      <c r="M3529" s="17" t="n"/>
      <c r="N3529" s="17" t="n"/>
      <c r="O3529" s="26">
        <f>IF($D3529="","",IFERROR(VLOOKUP($D3529,物料档案!$A$4:$P$1203,10,0),0))</f>
        <v/>
      </c>
      <c r="P3529" s="32" t="n"/>
      <c r="Q3529" s="26">
        <f>IF($D3529="","",IF($K3529&lt;&gt;"对外销售",0,ROUND(N($J3529)*IF($P3529="",N($O3529),N($P3529)),0)))</f>
        <v/>
      </c>
      <c r="R3529" s="26">
        <f>IF($D3529="","",IFERROR(VLOOKUP($D3529,库存台账!$A$5:$Y$1204,11,0),0))</f>
        <v/>
      </c>
      <c r="S3529" s="26">
        <f>IF($D3529="","",ROUND(N($J3529)*N($R3529),0))</f>
        <v/>
      </c>
      <c r="T3529" s="26">
        <f>IF($D3529="","",IF($K3529&lt;&gt;"对外销售","",ROUND($Q3529-$S3529,0)))</f>
        <v/>
      </c>
      <c r="U3529" s="17" t="n"/>
      <c r="V3529" s="17" t="n"/>
      <c r="W3529" s="24">
        <f>IF($D3529="","",IF($E3529="※编码不在物料档案里","※物料编码不在档案里",IF(N($J3529)&lt;=0,"※出库数量要大于 0",IF($K3529="","※没填去向类型",IF($L3529="","※没填去向矿区",IF(AND($C3529&lt;&gt;"",$C3529&lt;=结账锁),"※日期早于已结账截止日，不能再录",IF(AND($K3529="自用消耗",COUNTIF({"一矿区";"二矿区"},$L3529)=0),"※自用消耗的去向只能是一矿区或二矿区",IF(AND($K3529="对外销售",COUNTIF({"三矿区";"六矿区"},$L3529)=0),"※对外销售的去向只能是三矿区或六矿区",IF(AND($K3529="对外销售",ROUND($Q3529,0)=0),"※外销却没有售价，请填实际售价",IF(AND($K3529="对外销售",$T3529&lt;&gt;"",$T3529&lt;0),"※这一笔外销是亏的，请核对售价",IF(IFERROR(VLOOKUP($D3529,库存台账!$A$5:$Y$1204,24,0),0)&lt;-0.001,"※这个物料账面已经变成负数了，查一下是不是漏记入库","")))))))))))</f>
        <v/>
      </c>
    </row>
    <row r="3530">
      <c r="A3530" s="24">
        <f>IF($D3530="","",COUNTA($D$4:$D3530))</f>
        <v/>
      </c>
      <c r="B3530" s="17" t="n"/>
      <c r="C3530" s="30" t="n"/>
      <c r="D3530" s="17" t="n"/>
      <c r="E3530" s="24">
        <f>IF($D3530="","",IFERROR(VLOOKUP($D3530,物料档案!$A$4:$P$1203,3,0),"※编码不在物料档案里"))</f>
        <v/>
      </c>
      <c r="F3530" s="24">
        <f>IF($D3530="","",IFERROR(VLOOKUP($D3530,物料档案!$A$4:$P$1203,4,0),"※编码不在物料档案里"))</f>
        <v/>
      </c>
      <c r="G3530" s="24">
        <f>IF($D3530="","",IFERROR(VLOOKUP($D3530,物料档案!$A$4:$P$1203,5,0),"※编码不在物料档案里"))</f>
        <v/>
      </c>
      <c r="H3530" s="24">
        <f>IF($D3530="","",IFERROR(VLOOKUP($D3530,物料档案!$A$4:$P$1203,2,0),"※编码不在物料档案里"))</f>
        <v/>
      </c>
      <c r="I3530" s="24">
        <f>IF($D3530="","",IFERROR(VLOOKUP($D3530,物料档案!$A$4:$P$1203,6,0),"※编码不在物料档案里"))</f>
        <v/>
      </c>
      <c r="J3530" s="23" t="n"/>
      <c r="K3530" s="17" t="n"/>
      <c r="L3530" s="17" t="n"/>
      <c r="M3530" s="17" t="n"/>
      <c r="N3530" s="17" t="n"/>
      <c r="O3530" s="26">
        <f>IF($D3530="","",IFERROR(VLOOKUP($D3530,物料档案!$A$4:$P$1203,10,0),0))</f>
        <v/>
      </c>
      <c r="P3530" s="32" t="n"/>
      <c r="Q3530" s="26">
        <f>IF($D3530="","",IF($K3530&lt;&gt;"对外销售",0,ROUND(N($J3530)*IF($P3530="",N($O3530),N($P3530)),0)))</f>
        <v/>
      </c>
      <c r="R3530" s="26">
        <f>IF($D3530="","",IFERROR(VLOOKUP($D3530,库存台账!$A$5:$Y$1204,11,0),0))</f>
        <v/>
      </c>
      <c r="S3530" s="26">
        <f>IF($D3530="","",ROUND(N($J3530)*N($R3530),0))</f>
        <v/>
      </c>
      <c r="T3530" s="26">
        <f>IF($D3530="","",IF($K3530&lt;&gt;"对外销售","",ROUND($Q3530-$S3530,0)))</f>
        <v/>
      </c>
      <c r="U3530" s="17" t="n"/>
      <c r="V3530" s="17" t="n"/>
      <c r="W3530" s="24">
        <f>IF($D3530="","",IF($E3530="※编码不在物料档案里","※物料编码不在档案里",IF(N($J3530)&lt;=0,"※出库数量要大于 0",IF($K3530="","※没填去向类型",IF($L3530="","※没填去向矿区",IF(AND($C3530&lt;&gt;"",$C3530&lt;=结账锁),"※日期早于已结账截止日，不能再录",IF(AND($K3530="自用消耗",COUNTIF({"一矿区";"二矿区"},$L3530)=0),"※自用消耗的去向只能是一矿区或二矿区",IF(AND($K3530="对外销售",COUNTIF({"三矿区";"六矿区"},$L3530)=0),"※对外销售的去向只能是三矿区或六矿区",IF(AND($K3530="对外销售",ROUND($Q3530,0)=0),"※外销却没有售价，请填实际售价",IF(AND($K3530="对外销售",$T3530&lt;&gt;"",$T3530&lt;0),"※这一笔外销是亏的，请核对售价",IF(IFERROR(VLOOKUP($D3530,库存台账!$A$5:$Y$1204,24,0),0)&lt;-0.001,"※这个物料账面已经变成负数了，查一下是不是漏记入库","")))))))))))</f>
        <v/>
      </c>
    </row>
    <row r="3531">
      <c r="A3531" s="24">
        <f>IF($D3531="","",COUNTA($D$4:$D3531))</f>
        <v/>
      </c>
      <c r="B3531" s="17" t="n"/>
      <c r="C3531" s="30" t="n"/>
      <c r="D3531" s="17" t="n"/>
      <c r="E3531" s="24">
        <f>IF($D3531="","",IFERROR(VLOOKUP($D3531,物料档案!$A$4:$P$1203,3,0),"※编码不在物料档案里"))</f>
        <v/>
      </c>
      <c r="F3531" s="24">
        <f>IF($D3531="","",IFERROR(VLOOKUP($D3531,物料档案!$A$4:$P$1203,4,0),"※编码不在物料档案里"))</f>
        <v/>
      </c>
      <c r="G3531" s="24">
        <f>IF($D3531="","",IFERROR(VLOOKUP($D3531,物料档案!$A$4:$P$1203,5,0),"※编码不在物料档案里"))</f>
        <v/>
      </c>
      <c r="H3531" s="24">
        <f>IF($D3531="","",IFERROR(VLOOKUP($D3531,物料档案!$A$4:$P$1203,2,0),"※编码不在物料档案里"))</f>
        <v/>
      </c>
      <c r="I3531" s="24">
        <f>IF($D3531="","",IFERROR(VLOOKUP($D3531,物料档案!$A$4:$P$1203,6,0),"※编码不在物料档案里"))</f>
        <v/>
      </c>
      <c r="J3531" s="23" t="n"/>
      <c r="K3531" s="17" t="n"/>
      <c r="L3531" s="17" t="n"/>
      <c r="M3531" s="17" t="n"/>
      <c r="N3531" s="17" t="n"/>
      <c r="O3531" s="26">
        <f>IF($D3531="","",IFERROR(VLOOKUP($D3531,物料档案!$A$4:$P$1203,10,0),0))</f>
        <v/>
      </c>
      <c r="P3531" s="32" t="n"/>
      <c r="Q3531" s="26">
        <f>IF($D3531="","",IF($K3531&lt;&gt;"对外销售",0,ROUND(N($J3531)*IF($P3531="",N($O3531),N($P3531)),0)))</f>
        <v/>
      </c>
      <c r="R3531" s="26">
        <f>IF($D3531="","",IFERROR(VLOOKUP($D3531,库存台账!$A$5:$Y$1204,11,0),0))</f>
        <v/>
      </c>
      <c r="S3531" s="26">
        <f>IF($D3531="","",ROUND(N($J3531)*N($R3531),0))</f>
        <v/>
      </c>
      <c r="T3531" s="26">
        <f>IF($D3531="","",IF($K3531&lt;&gt;"对外销售","",ROUND($Q3531-$S3531,0)))</f>
        <v/>
      </c>
      <c r="U3531" s="17" t="n"/>
      <c r="V3531" s="17" t="n"/>
      <c r="W3531" s="24">
        <f>IF($D3531="","",IF($E3531="※编码不在物料档案里","※物料编码不在档案里",IF(N($J3531)&lt;=0,"※出库数量要大于 0",IF($K3531="","※没填去向类型",IF($L3531="","※没填去向矿区",IF(AND($C3531&lt;&gt;"",$C3531&lt;=结账锁),"※日期早于已结账截止日，不能再录",IF(AND($K3531="自用消耗",COUNTIF({"一矿区";"二矿区"},$L3531)=0),"※自用消耗的去向只能是一矿区或二矿区",IF(AND($K3531="对外销售",COUNTIF({"三矿区";"六矿区"},$L3531)=0),"※对外销售的去向只能是三矿区或六矿区",IF(AND($K3531="对外销售",ROUND($Q3531,0)=0),"※外销却没有售价，请填实际售价",IF(AND($K3531="对外销售",$T3531&lt;&gt;"",$T3531&lt;0),"※这一笔外销是亏的，请核对售价",IF(IFERROR(VLOOKUP($D3531,库存台账!$A$5:$Y$1204,24,0),0)&lt;-0.001,"※这个物料账面已经变成负数了，查一下是不是漏记入库","")))))))))))</f>
        <v/>
      </c>
    </row>
    <row r="3532">
      <c r="A3532" s="24">
        <f>IF($D3532="","",COUNTA($D$4:$D3532))</f>
        <v/>
      </c>
      <c r="B3532" s="17" t="n"/>
      <c r="C3532" s="30" t="n"/>
      <c r="D3532" s="17" t="n"/>
      <c r="E3532" s="24">
        <f>IF($D3532="","",IFERROR(VLOOKUP($D3532,物料档案!$A$4:$P$1203,3,0),"※编码不在物料档案里"))</f>
        <v/>
      </c>
      <c r="F3532" s="24">
        <f>IF($D3532="","",IFERROR(VLOOKUP($D3532,物料档案!$A$4:$P$1203,4,0),"※编码不在物料档案里"))</f>
        <v/>
      </c>
      <c r="G3532" s="24">
        <f>IF($D3532="","",IFERROR(VLOOKUP($D3532,物料档案!$A$4:$P$1203,5,0),"※编码不在物料档案里"))</f>
        <v/>
      </c>
      <c r="H3532" s="24">
        <f>IF($D3532="","",IFERROR(VLOOKUP($D3532,物料档案!$A$4:$P$1203,2,0),"※编码不在物料档案里"))</f>
        <v/>
      </c>
      <c r="I3532" s="24">
        <f>IF($D3532="","",IFERROR(VLOOKUP($D3532,物料档案!$A$4:$P$1203,6,0),"※编码不在物料档案里"))</f>
        <v/>
      </c>
      <c r="J3532" s="23" t="n"/>
      <c r="K3532" s="17" t="n"/>
      <c r="L3532" s="17" t="n"/>
      <c r="M3532" s="17" t="n"/>
      <c r="N3532" s="17" t="n"/>
      <c r="O3532" s="26">
        <f>IF($D3532="","",IFERROR(VLOOKUP($D3532,物料档案!$A$4:$P$1203,10,0),0))</f>
        <v/>
      </c>
      <c r="P3532" s="32" t="n"/>
      <c r="Q3532" s="26">
        <f>IF($D3532="","",IF($K3532&lt;&gt;"对外销售",0,ROUND(N($J3532)*IF($P3532="",N($O3532),N($P3532)),0)))</f>
        <v/>
      </c>
      <c r="R3532" s="26">
        <f>IF($D3532="","",IFERROR(VLOOKUP($D3532,库存台账!$A$5:$Y$1204,11,0),0))</f>
        <v/>
      </c>
      <c r="S3532" s="26">
        <f>IF($D3532="","",ROUND(N($J3532)*N($R3532),0))</f>
        <v/>
      </c>
      <c r="T3532" s="26">
        <f>IF($D3532="","",IF($K3532&lt;&gt;"对外销售","",ROUND($Q3532-$S3532,0)))</f>
        <v/>
      </c>
      <c r="U3532" s="17" t="n"/>
      <c r="V3532" s="17" t="n"/>
      <c r="W3532" s="24">
        <f>IF($D3532="","",IF($E3532="※编码不在物料档案里","※物料编码不在档案里",IF(N($J3532)&lt;=0,"※出库数量要大于 0",IF($K3532="","※没填去向类型",IF($L3532="","※没填去向矿区",IF(AND($C3532&lt;&gt;"",$C3532&lt;=结账锁),"※日期早于已结账截止日，不能再录",IF(AND($K3532="自用消耗",COUNTIF({"一矿区";"二矿区"},$L3532)=0),"※自用消耗的去向只能是一矿区或二矿区",IF(AND($K3532="对外销售",COUNTIF({"三矿区";"六矿区"},$L3532)=0),"※对外销售的去向只能是三矿区或六矿区",IF(AND($K3532="对外销售",ROUND($Q3532,0)=0),"※外销却没有售价，请填实际售价",IF(AND($K3532="对外销售",$T3532&lt;&gt;"",$T3532&lt;0),"※这一笔外销是亏的，请核对售价",IF(IFERROR(VLOOKUP($D3532,库存台账!$A$5:$Y$1204,24,0),0)&lt;-0.001,"※这个物料账面已经变成负数了，查一下是不是漏记入库","")))))))))))</f>
        <v/>
      </c>
    </row>
    <row r="3533">
      <c r="A3533" s="24">
        <f>IF($D3533="","",COUNTA($D$4:$D3533))</f>
        <v/>
      </c>
      <c r="B3533" s="17" t="n"/>
      <c r="C3533" s="30" t="n"/>
      <c r="D3533" s="17" t="n"/>
      <c r="E3533" s="24">
        <f>IF($D3533="","",IFERROR(VLOOKUP($D3533,物料档案!$A$4:$P$1203,3,0),"※编码不在物料档案里"))</f>
        <v/>
      </c>
      <c r="F3533" s="24">
        <f>IF($D3533="","",IFERROR(VLOOKUP($D3533,物料档案!$A$4:$P$1203,4,0),"※编码不在物料档案里"))</f>
        <v/>
      </c>
      <c r="G3533" s="24">
        <f>IF($D3533="","",IFERROR(VLOOKUP($D3533,物料档案!$A$4:$P$1203,5,0),"※编码不在物料档案里"))</f>
        <v/>
      </c>
      <c r="H3533" s="24">
        <f>IF($D3533="","",IFERROR(VLOOKUP($D3533,物料档案!$A$4:$P$1203,2,0),"※编码不在物料档案里"))</f>
        <v/>
      </c>
      <c r="I3533" s="24">
        <f>IF($D3533="","",IFERROR(VLOOKUP($D3533,物料档案!$A$4:$P$1203,6,0),"※编码不在物料档案里"))</f>
        <v/>
      </c>
      <c r="J3533" s="23" t="n"/>
      <c r="K3533" s="17" t="n"/>
      <c r="L3533" s="17" t="n"/>
      <c r="M3533" s="17" t="n"/>
      <c r="N3533" s="17" t="n"/>
      <c r="O3533" s="26">
        <f>IF($D3533="","",IFERROR(VLOOKUP($D3533,物料档案!$A$4:$P$1203,10,0),0))</f>
        <v/>
      </c>
      <c r="P3533" s="32" t="n"/>
      <c r="Q3533" s="26">
        <f>IF($D3533="","",IF($K3533&lt;&gt;"对外销售",0,ROUND(N($J3533)*IF($P3533="",N($O3533),N($P3533)),0)))</f>
        <v/>
      </c>
      <c r="R3533" s="26">
        <f>IF($D3533="","",IFERROR(VLOOKUP($D3533,库存台账!$A$5:$Y$1204,11,0),0))</f>
        <v/>
      </c>
      <c r="S3533" s="26">
        <f>IF($D3533="","",ROUND(N($J3533)*N($R3533),0))</f>
        <v/>
      </c>
      <c r="T3533" s="26">
        <f>IF($D3533="","",IF($K3533&lt;&gt;"对外销售","",ROUND($Q3533-$S3533,0)))</f>
        <v/>
      </c>
      <c r="U3533" s="17" t="n"/>
      <c r="V3533" s="17" t="n"/>
      <c r="W3533" s="24">
        <f>IF($D3533="","",IF($E3533="※编码不在物料档案里","※物料编码不在档案里",IF(N($J3533)&lt;=0,"※出库数量要大于 0",IF($K3533="","※没填去向类型",IF($L3533="","※没填去向矿区",IF(AND($C3533&lt;&gt;"",$C3533&lt;=结账锁),"※日期早于已结账截止日，不能再录",IF(AND($K3533="自用消耗",COUNTIF({"一矿区";"二矿区"},$L3533)=0),"※自用消耗的去向只能是一矿区或二矿区",IF(AND($K3533="对外销售",COUNTIF({"三矿区";"六矿区"},$L3533)=0),"※对外销售的去向只能是三矿区或六矿区",IF(AND($K3533="对外销售",ROUND($Q3533,0)=0),"※外销却没有售价，请填实际售价",IF(AND($K3533="对外销售",$T3533&lt;&gt;"",$T3533&lt;0),"※这一笔外销是亏的，请核对售价",IF(IFERROR(VLOOKUP($D3533,库存台账!$A$5:$Y$1204,24,0),0)&lt;-0.001,"※这个物料账面已经变成负数了，查一下是不是漏记入库","")))))))))))</f>
        <v/>
      </c>
    </row>
    <row r="3534">
      <c r="A3534" s="24">
        <f>IF($D3534="","",COUNTA($D$4:$D3534))</f>
        <v/>
      </c>
      <c r="B3534" s="17" t="n"/>
      <c r="C3534" s="30" t="n"/>
      <c r="D3534" s="17" t="n"/>
      <c r="E3534" s="24">
        <f>IF($D3534="","",IFERROR(VLOOKUP($D3534,物料档案!$A$4:$P$1203,3,0),"※编码不在物料档案里"))</f>
        <v/>
      </c>
      <c r="F3534" s="24">
        <f>IF($D3534="","",IFERROR(VLOOKUP($D3534,物料档案!$A$4:$P$1203,4,0),"※编码不在物料档案里"))</f>
        <v/>
      </c>
      <c r="G3534" s="24">
        <f>IF($D3534="","",IFERROR(VLOOKUP($D3534,物料档案!$A$4:$P$1203,5,0),"※编码不在物料档案里"))</f>
        <v/>
      </c>
      <c r="H3534" s="24">
        <f>IF($D3534="","",IFERROR(VLOOKUP($D3534,物料档案!$A$4:$P$1203,2,0),"※编码不在物料档案里"))</f>
        <v/>
      </c>
      <c r="I3534" s="24">
        <f>IF($D3534="","",IFERROR(VLOOKUP($D3534,物料档案!$A$4:$P$1203,6,0),"※编码不在物料档案里"))</f>
        <v/>
      </c>
      <c r="J3534" s="23" t="n"/>
      <c r="K3534" s="17" t="n"/>
      <c r="L3534" s="17" t="n"/>
      <c r="M3534" s="17" t="n"/>
      <c r="N3534" s="17" t="n"/>
      <c r="O3534" s="26">
        <f>IF($D3534="","",IFERROR(VLOOKUP($D3534,物料档案!$A$4:$P$1203,10,0),0))</f>
        <v/>
      </c>
      <c r="P3534" s="32" t="n"/>
      <c r="Q3534" s="26">
        <f>IF($D3534="","",IF($K3534&lt;&gt;"对外销售",0,ROUND(N($J3534)*IF($P3534="",N($O3534),N($P3534)),0)))</f>
        <v/>
      </c>
      <c r="R3534" s="26">
        <f>IF($D3534="","",IFERROR(VLOOKUP($D3534,库存台账!$A$5:$Y$1204,11,0),0))</f>
        <v/>
      </c>
      <c r="S3534" s="26">
        <f>IF($D3534="","",ROUND(N($J3534)*N($R3534),0))</f>
        <v/>
      </c>
      <c r="T3534" s="26">
        <f>IF($D3534="","",IF($K3534&lt;&gt;"对外销售","",ROUND($Q3534-$S3534,0)))</f>
        <v/>
      </c>
      <c r="U3534" s="17" t="n"/>
      <c r="V3534" s="17" t="n"/>
      <c r="W3534" s="24">
        <f>IF($D3534="","",IF($E3534="※编码不在物料档案里","※物料编码不在档案里",IF(N($J3534)&lt;=0,"※出库数量要大于 0",IF($K3534="","※没填去向类型",IF($L3534="","※没填去向矿区",IF(AND($C3534&lt;&gt;"",$C3534&lt;=结账锁),"※日期早于已结账截止日，不能再录",IF(AND($K3534="自用消耗",COUNTIF({"一矿区";"二矿区"},$L3534)=0),"※自用消耗的去向只能是一矿区或二矿区",IF(AND($K3534="对外销售",COUNTIF({"三矿区";"六矿区"},$L3534)=0),"※对外销售的去向只能是三矿区或六矿区",IF(AND($K3534="对外销售",ROUND($Q3534,0)=0),"※外销却没有售价，请填实际售价",IF(AND($K3534="对外销售",$T3534&lt;&gt;"",$T3534&lt;0),"※这一笔外销是亏的，请核对售价",IF(IFERROR(VLOOKUP($D3534,库存台账!$A$5:$Y$1204,24,0),0)&lt;-0.001,"※这个物料账面已经变成负数了，查一下是不是漏记入库","")))))))))))</f>
        <v/>
      </c>
    </row>
    <row r="3535">
      <c r="A3535" s="24">
        <f>IF($D3535="","",COUNTA($D$4:$D3535))</f>
        <v/>
      </c>
      <c r="B3535" s="17" t="n"/>
      <c r="C3535" s="30" t="n"/>
      <c r="D3535" s="17" t="n"/>
      <c r="E3535" s="24">
        <f>IF($D3535="","",IFERROR(VLOOKUP($D3535,物料档案!$A$4:$P$1203,3,0),"※编码不在物料档案里"))</f>
        <v/>
      </c>
      <c r="F3535" s="24">
        <f>IF($D3535="","",IFERROR(VLOOKUP($D3535,物料档案!$A$4:$P$1203,4,0),"※编码不在物料档案里"))</f>
        <v/>
      </c>
      <c r="G3535" s="24">
        <f>IF($D3535="","",IFERROR(VLOOKUP($D3535,物料档案!$A$4:$P$1203,5,0),"※编码不在物料档案里"))</f>
        <v/>
      </c>
      <c r="H3535" s="24">
        <f>IF($D3535="","",IFERROR(VLOOKUP($D3535,物料档案!$A$4:$P$1203,2,0),"※编码不在物料档案里"))</f>
        <v/>
      </c>
      <c r="I3535" s="24">
        <f>IF($D3535="","",IFERROR(VLOOKUP($D3535,物料档案!$A$4:$P$1203,6,0),"※编码不在物料档案里"))</f>
        <v/>
      </c>
      <c r="J3535" s="23" t="n"/>
      <c r="K3535" s="17" t="n"/>
      <c r="L3535" s="17" t="n"/>
      <c r="M3535" s="17" t="n"/>
      <c r="N3535" s="17" t="n"/>
      <c r="O3535" s="26">
        <f>IF($D3535="","",IFERROR(VLOOKUP($D3535,物料档案!$A$4:$P$1203,10,0),0))</f>
        <v/>
      </c>
      <c r="P3535" s="32" t="n"/>
      <c r="Q3535" s="26">
        <f>IF($D3535="","",IF($K3535&lt;&gt;"对外销售",0,ROUND(N($J3535)*IF($P3535="",N($O3535),N($P3535)),0)))</f>
        <v/>
      </c>
      <c r="R3535" s="26">
        <f>IF($D3535="","",IFERROR(VLOOKUP($D3535,库存台账!$A$5:$Y$1204,11,0),0))</f>
        <v/>
      </c>
      <c r="S3535" s="26">
        <f>IF($D3535="","",ROUND(N($J3535)*N($R3535),0))</f>
        <v/>
      </c>
      <c r="T3535" s="26">
        <f>IF($D3535="","",IF($K3535&lt;&gt;"对外销售","",ROUND($Q3535-$S3535,0)))</f>
        <v/>
      </c>
      <c r="U3535" s="17" t="n"/>
      <c r="V3535" s="17" t="n"/>
      <c r="W3535" s="24">
        <f>IF($D3535="","",IF($E3535="※编码不在物料档案里","※物料编码不在档案里",IF(N($J3535)&lt;=0,"※出库数量要大于 0",IF($K3535="","※没填去向类型",IF($L3535="","※没填去向矿区",IF(AND($C3535&lt;&gt;"",$C3535&lt;=结账锁),"※日期早于已结账截止日，不能再录",IF(AND($K3535="自用消耗",COUNTIF({"一矿区";"二矿区"},$L3535)=0),"※自用消耗的去向只能是一矿区或二矿区",IF(AND($K3535="对外销售",COUNTIF({"三矿区";"六矿区"},$L3535)=0),"※对外销售的去向只能是三矿区或六矿区",IF(AND($K3535="对外销售",ROUND($Q3535,0)=0),"※外销却没有售价，请填实际售价",IF(AND($K3535="对外销售",$T3535&lt;&gt;"",$T3535&lt;0),"※这一笔外销是亏的，请核对售价",IF(IFERROR(VLOOKUP($D3535,库存台账!$A$5:$Y$1204,24,0),0)&lt;-0.001,"※这个物料账面已经变成负数了，查一下是不是漏记入库","")))))))))))</f>
        <v/>
      </c>
    </row>
    <row r="3536">
      <c r="A3536" s="24">
        <f>IF($D3536="","",COUNTA($D$4:$D3536))</f>
        <v/>
      </c>
      <c r="B3536" s="17" t="n"/>
      <c r="C3536" s="30" t="n"/>
      <c r="D3536" s="17" t="n"/>
      <c r="E3536" s="24">
        <f>IF($D3536="","",IFERROR(VLOOKUP($D3536,物料档案!$A$4:$P$1203,3,0),"※编码不在物料档案里"))</f>
        <v/>
      </c>
      <c r="F3536" s="24">
        <f>IF($D3536="","",IFERROR(VLOOKUP($D3536,物料档案!$A$4:$P$1203,4,0),"※编码不在物料档案里"))</f>
        <v/>
      </c>
      <c r="G3536" s="24">
        <f>IF($D3536="","",IFERROR(VLOOKUP($D3536,物料档案!$A$4:$P$1203,5,0),"※编码不在物料档案里"))</f>
        <v/>
      </c>
      <c r="H3536" s="24">
        <f>IF($D3536="","",IFERROR(VLOOKUP($D3536,物料档案!$A$4:$P$1203,2,0),"※编码不在物料档案里"))</f>
        <v/>
      </c>
      <c r="I3536" s="24">
        <f>IF($D3536="","",IFERROR(VLOOKUP($D3536,物料档案!$A$4:$P$1203,6,0),"※编码不在物料档案里"))</f>
        <v/>
      </c>
      <c r="J3536" s="23" t="n"/>
      <c r="K3536" s="17" t="n"/>
      <c r="L3536" s="17" t="n"/>
      <c r="M3536" s="17" t="n"/>
      <c r="N3536" s="17" t="n"/>
      <c r="O3536" s="26">
        <f>IF($D3536="","",IFERROR(VLOOKUP($D3536,物料档案!$A$4:$P$1203,10,0),0))</f>
        <v/>
      </c>
      <c r="P3536" s="32" t="n"/>
      <c r="Q3536" s="26">
        <f>IF($D3536="","",IF($K3536&lt;&gt;"对外销售",0,ROUND(N($J3536)*IF($P3536="",N($O3536),N($P3536)),0)))</f>
        <v/>
      </c>
      <c r="R3536" s="26">
        <f>IF($D3536="","",IFERROR(VLOOKUP($D3536,库存台账!$A$5:$Y$1204,11,0),0))</f>
        <v/>
      </c>
      <c r="S3536" s="26">
        <f>IF($D3536="","",ROUND(N($J3536)*N($R3536),0))</f>
        <v/>
      </c>
      <c r="T3536" s="26">
        <f>IF($D3536="","",IF($K3536&lt;&gt;"对外销售","",ROUND($Q3536-$S3536,0)))</f>
        <v/>
      </c>
      <c r="U3536" s="17" t="n"/>
      <c r="V3536" s="17" t="n"/>
      <c r="W3536" s="24">
        <f>IF($D3536="","",IF($E3536="※编码不在物料档案里","※物料编码不在档案里",IF(N($J3536)&lt;=0,"※出库数量要大于 0",IF($K3536="","※没填去向类型",IF($L3536="","※没填去向矿区",IF(AND($C3536&lt;&gt;"",$C3536&lt;=结账锁),"※日期早于已结账截止日，不能再录",IF(AND($K3536="自用消耗",COUNTIF({"一矿区";"二矿区"},$L3536)=0),"※自用消耗的去向只能是一矿区或二矿区",IF(AND($K3536="对外销售",COUNTIF({"三矿区";"六矿区"},$L3536)=0),"※对外销售的去向只能是三矿区或六矿区",IF(AND($K3536="对外销售",ROUND($Q3536,0)=0),"※外销却没有售价，请填实际售价",IF(AND($K3536="对外销售",$T3536&lt;&gt;"",$T3536&lt;0),"※这一笔外销是亏的，请核对售价",IF(IFERROR(VLOOKUP($D3536,库存台账!$A$5:$Y$1204,24,0),0)&lt;-0.001,"※这个物料账面已经变成负数了，查一下是不是漏记入库","")))))))))))</f>
        <v/>
      </c>
    </row>
    <row r="3537">
      <c r="A3537" s="24">
        <f>IF($D3537="","",COUNTA($D$4:$D3537))</f>
        <v/>
      </c>
      <c r="B3537" s="17" t="n"/>
      <c r="C3537" s="30" t="n"/>
      <c r="D3537" s="17" t="n"/>
      <c r="E3537" s="24">
        <f>IF($D3537="","",IFERROR(VLOOKUP($D3537,物料档案!$A$4:$P$1203,3,0),"※编码不在物料档案里"))</f>
        <v/>
      </c>
      <c r="F3537" s="24">
        <f>IF($D3537="","",IFERROR(VLOOKUP($D3537,物料档案!$A$4:$P$1203,4,0),"※编码不在物料档案里"))</f>
        <v/>
      </c>
      <c r="G3537" s="24">
        <f>IF($D3537="","",IFERROR(VLOOKUP($D3537,物料档案!$A$4:$P$1203,5,0),"※编码不在物料档案里"))</f>
        <v/>
      </c>
      <c r="H3537" s="24">
        <f>IF($D3537="","",IFERROR(VLOOKUP($D3537,物料档案!$A$4:$P$1203,2,0),"※编码不在物料档案里"))</f>
        <v/>
      </c>
      <c r="I3537" s="24">
        <f>IF($D3537="","",IFERROR(VLOOKUP($D3537,物料档案!$A$4:$P$1203,6,0),"※编码不在物料档案里"))</f>
        <v/>
      </c>
      <c r="J3537" s="23" t="n"/>
      <c r="K3537" s="17" t="n"/>
      <c r="L3537" s="17" t="n"/>
      <c r="M3537" s="17" t="n"/>
      <c r="N3537" s="17" t="n"/>
      <c r="O3537" s="26">
        <f>IF($D3537="","",IFERROR(VLOOKUP($D3537,物料档案!$A$4:$P$1203,10,0),0))</f>
        <v/>
      </c>
      <c r="P3537" s="32" t="n"/>
      <c r="Q3537" s="26">
        <f>IF($D3537="","",IF($K3537&lt;&gt;"对外销售",0,ROUND(N($J3537)*IF($P3537="",N($O3537),N($P3537)),0)))</f>
        <v/>
      </c>
      <c r="R3537" s="26">
        <f>IF($D3537="","",IFERROR(VLOOKUP($D3537,库存台账!$A$5:$Y$1204,11,0),0))</f>
        <v/>
      </c>
      <c r="S3537" s="26">
        <f>IF($D3537="","",ROUND(N($J3537)*N($R3537),0))</f>
        <v/>
      </c>
      <c r="T3537" s="26">
        <f>IF($D3537="","",IF($K3537&lt;&gt;"对外销售","",ROUND($Q3537-$S3537,0)))</f>
        <v/>
      </c>
      <c r="U3537" s="17" t="n"/>
      <c r="V3537" s="17" t="n"/>
      <c r="W3537" s="24">
        <f>IF($D3537="","",IF($E3537="※编码不在物料档案里","※物料编码不在档案里",IF(N($J3537)&lt;=0,"※出库数量要大于 0",IF($K3537="","※没填去向类型",IF($L3537="","※没填去向矿区",IF(AND($C3537&lt;&gt;"",$C3537&lt;=结账锁),"※日期早于已结账截止日，不能再录",IF(AND($K3537="自用消耗",COUNTIF({"一矿区";"二矿区"},$L3537)=0),"※自用消耗的去向只能是一矿区或二矿区",IF(AND($K3537="对外销售",COUNTIF({"三矿区";"六矿区"},$L3537)=0),"※对外销售的去向只能是三矿区或六矿区",IF(AND($K3537="对外销售",ROUND($Q3537,0)=0),"※外销却没有售价，请填实际售价",IF(AND($K3537="对外销售",$T3537&lt;&gt;"",$T3537&lt;0),"※这一笔外销是亏的，请核对售价",IF(IFERROR(VLOOKUP($D3537,库存台账!$A$5:$Y$1204,24,0),0)&lt;-0.001,"※这个物料账面已经变成负数了，查一下是不是漏记入库","")))))))))))</f>
        <v/>
      </c>
    </row>
    <row r="3538">
      <c r="A3538" s="24">
        <f>IF($D3538="","",COUNTA($D$4:$D3538))</f>
        <v/>
      </c>
      <c r="B3538" s="17" t="n"/>
      <c r="C3538" s="30" t="n"/>
      <c r="D3538" s="17" t="n"/>
      <c r="E3538" s="24">
        <f>IF($D3538="","",IFERROR(VLOOKUP($D3538,物料档案!$A$4:$P$1203,3,0),"※编码不在物料档案里"))</f>
        <v/>
      </c>
      <c r="F3538" s="24">
        <f>IF($D3538="","",IFERROR(VLOOKUP($D3538,物料档案!$A$4:$P$1203,4,0),"※编码不在物料档案里"))</f>
        <v/>
      </c>
      <c r="G3538" s="24">
        <f>IF($D3538="","",IFERROR(VLOOKUP($D3538,物料档案!$A$4:$P$1203,5,0),"※编码不在物料档案里"))</f>
        <v/>
      </c>
      <c r="H3538" s="24">
        <f>IF($D3538="","",IFERROR(VLOOKUP($D3538,物料档案!$A$4:$P$1203,2,0),"※编码不在物料档案里"))</f>
        <v/>
      </c>
      <c r="I3538" s="24">
        <f>IF($D3538="","",IFERROR(VLOOKUP($D3538,物料档案!$A$4:$P$1203,6,0),"※编码不在物料档案里"))</f>
        <v/>
      </c>
      <c r="J3538" s="23" t="n"/>
      <c r="K3538" s="17" t="n"/>
      <c r="L3538" s="17" t="n"/>
      <c r="M3538" s="17" t="n"/>
      <c r="N3538" s="17" t="n"/>
      <c r="O3538" s="26">
        <f>IF($D3538="","",IFERROR(VLOOKUP($D3538,物料档案!$A$4:$P$1203,10,0),0))</f>
        <v/>
      </c>
      <c r="P3538" s="32" t="n"/>
      <c r="Q3538" s="26">
        <f>IF($D3538="","",IF($K3538&lt;&gt;"对外销售",0,ROUND(N($J3538)*IF($P3538="",N($O3538),N($P3538)),0)))</f>
        <v/>
      </c>
      <c r="R3538" s="26">
        <f>IF($D3538="","",IFERROR(VLOOKUP($D3538,库存台账!$A$5:$Y$1204,11,0),0))</f>
        <v/>
      </c>
      <c r="S3538" s="26">
        <f>IF($D3538="","",ROUND(N($J3538)*N($R3538),0))</f>
        <v/>
      </c>
      <c r="T3538" s="26">
        <f>IF($D3538="","",IF($K3538&lt;&gt;"对外销售","",ROUND($Q3538-$S3538,0)))</f>
        <v/>
      </c>
      <c r="U3538" s="17" t="n"/>
      <c r="V3538" s="17" t="n"/>
      <c r="W3538" s="24">
        <f>IF($D3538="","",IF($E3538="※编码不在物料档案里","※物料编码不在档案里",IF(N($J3538)&lt;=0,"※出库数量要大于 0",IF($K3538="","※没填去向类型",IF($L3538="","※没填去向矿区",IF(AND($C3538&lt;&gt;"",$C3538&lt;=结账锁),"※日期早于已结账截止日，不能再录",IF(AND($K3538="自用消耗",COUNTIF({"一矿区";"二矿区"},$L3538)=0),"※自用消耗的去向只能是一矿区或二矿区",IF(AND($K3538="对外销售",COUNTIF({"三矿区";"六矿区"},$L3538)=0),"※对外销售的去向只能是三矿区或六矿区",IF(AND($K3538="对外销售",ROUND($Q3538,0)=0),"※外销却没有售价，请填实际售价",IF(AND($K3538="对外销售",$T3538&lt;&gt;"",$T3538&lt;0),"※这一笔外销是亏的，请核对售价",IF(IFERROR(VLOOKUP($D3538,库存台账!$A$5:$Y$1204,24,0),0)&lt;-0.001,"※这个物料账面已经变成负数了，查一下是不是漏记入库","")))))))))))</f>
        <v/>
      </c>
    </row>
    <row r="3539">
      <c r="A3539" s="24">
        <f>IF($D3539="","",COUNTA($D$4:$D3539))</f>
        <v/>
      </c>
      <c r="B3539" s="17" t="n"/>
      <c r="C3539" s="30" t="n"/>
      <c r="D3539" s="17" t="n"/>
      <c r="E3539" s="24">
        <f>IF($D3539="","",IFERROR(VLOOKUP($D3539,物料档案!$A$4:$P$1203,3,0),"※编码不在物料档案里"))</f>
        <v/>
      </c>
      <c r="F3539" s="24">
        <f>IF($D3539="","",IFERROR(VLOOKUP($D3539,物料档案!$A$4:$P$1203,4,0),"※编码不在物料档案里"))</f>
        <v/>
      </c>
      <c r="G3539" s="24">
        <f>IF($D3539="","",IFERROR(VLOOKUP($D3539,物料档案!$A$4:$P$1203,5,0),"※编码不在物料档案里"))</f>
        <v/>
      </c>
      <c r="H3539" s="24">
        <f>IF($D3539="","",IFERROR(VLOOKUP($D3539,物料档案!$A$4:$P$1203,2,0),"※编码不在物料档案里"))</f>
        <v/>
      </c>
      <c r="I3539" s="24">
        <f>IF($D3539="","",IFERROR(VLOOKUP($D3539,物料档案!$A$4:$P$1203,6,0),"※编码不在物料档案里"))</f>
        <v/>
      </c>
      <c r="J3539" s="23" t="n"/>
      <c r="K3539" s="17" t="n"/>
      <c r="L3539" s="17" t="n"/>
      <c r="M3539" s="17" t="n"/>
      <c r="N3539" s="17" t="n"/>
      <c r="O3539" s="26">
        <f>IF($D3539="","",IFERROR(VLOOKUP($D3539,物料档案!$A$4:$P$1203,10,0),0))</f>
        <v/>
      </c>
      <c r="P3539" s="32" t="n"/>
      <c r="Q3539" s="26">
        <f>IF($D3539="","",IF($K3539&lt;&gt;"对外销售",0,ROUND(N($J3539)*IF($P3539="",N($O3539),N($P3539)),0)))</f>
        <v/>
      </c>
      <c r="R3539" s="26">
        <f>IF($D3539="","",IFERROR(VLOOKUP($D3539,库存台账!$A$5:$Y$1204,11,0),0))</f>
        <v/>
      </c>
      <c r="S3539" s="26">
        <f>IF($D3539="","",ROUND(N($J3539)*N($R3539),0))</f>
        <v/>
      </c>
      <c r="T3539" s="26">
        <f>IF($D3539="","",IF($K3539&lt;&gt;"对外销售","",ROUND($Q3539-$S3539,0)))</f>
        <v/>
      </c>
      <c r="U3539" s="17" t="n"/>
      <c r="V3539" s="17" t="n"/>
      <c r="W3539" s="24">
        <f>IF($D3539="","",IF($E3539="※编码不在物料档案里","※物料编码不在档案里",IF(N($J3539)&lt;=0,"※出库数量要大于 0",IF($K3539="","※没填去向类型",IF($L3539="","※没填去向矿区",IF(AND($C3539&lt;&gt;"",$C3539&lt;=结账锁),"※日期早于已结账截止日，不能再录",IF(AND($K3539="自用消耗",COUNTIF({"一矿区";"二矿区"},$L3539)=0),"※自用消耗的去向只能是一矿区或二矿区",IF(AND($K3539="对外销售",COUNTIF({"三矿区";"六矿区"},$L3539)=0),"※对外销售的去向只能是三矿区或六矿区",IF(AND($K3539="对外销售",ROUND($Q3539,0)=0),"※外销却没有售价，请填实际售价",IF(AND($K3539="对外销售",$T3539&lt;&gt;"",$T3539&lt;0),"※这一笔外销是亏的，请核对售价",IF(IFERROR(VLOOKUP($D3539,库存台账!$A$5:$Y$1204,24,0),0)&lt;-0.001,"※这个物料账面已经变成负数了，查一下是不是漏记入库","")))))))))))</f>
        <v/>
      </c>
    </row>
    <row r="3540">
      <c r="A3540" s="24">
        <f>IF($D3540="","",COUNTA($D$4:$D3540))</f>
        <v/>
      </c>
      <c r="B3540" s="17" t="n"/>
      <c r="C3540" s="30" t="n"/>
      <c r="D3540" s="17" t="n"/>
      <c r="E3540" s="24">
        <f>IF($D3540="","",IFERROR(VLOOKUP($D3540,物料档案!$A$4:$P$1203,3,0),"※编码不在物料档案里"))</f>
        <v/>
      </c>
      <c r="F3540" s="24">
        <f>IF($D3540="","",IFERROR(VLOOKUP($D3540,物料档案!$A$4:$P$1203,4,0),"※编码不在物料档案里"))</f>
        <v/>
      </c>
      <c r="G3540" s="24">
        <f>IF($D3540="","",IFERROR(VLOOKUP($D3540,物料档案!$A$4:$P$1203,5,0),"※编码不在物料档案里"))</f>
        <v/>
      </c>
      <c r="H3540" s="24">
        <f>IF($D3540="","",IFERROR(VLOOKUP($D3540,物料档案!$A$4:$P$1203,2,0),"※编码不在物料档案里"))</f>
        <v/>
      </c>
      <c r="I3540" s="24">
        <f>IF($D3540="","",IFERROR(VLOOKUP($D3540,物料档案!$A$4:$P$1203,6,0),"※编码不在物料档案里"))</f>
        <v/>
      </c>
      <c r="J3540" s="23" t="n"/>
      <c r="K3540" s="17" t="n"/>
      <c r="L3540" s="17" t="n"/>
      <c r="M3540" s="17" t="n"/>
      <c r="N3540" s="17" t="n"/>
      <c r="O3540" s="26">
        <f>IF($D3540="","",IFERROR(VLOOKUP($D3540,物料档案!$A$4:$P$1203,10,0),0))</f>
        <v/>
      </c>
      <c r="P3540" s="32" t="n"/>
      <c r="Q3540" s="26">
        <f>IF($D3540="","",IF($K3540&lt;&gt;"对外销售",0,ROUND(N($J3540)*IF($P3540="",N($O3540),N($P3540)),0)))</f>
        <v/>
      </c>
      <c r="R3540" s="26">
        <f>IF($D3540="","",IFERROR(VLOOKUP($D3540,库存台账!$A$5:$Y$1204,11,0),0))</f>
        <v/>
      </c>
      <c r="S3540" s="26">
        <f>IF($D3540="","",ROUND(N($J3540)*N($R3540),0))</f>
        <v/>
      </c>
      <c r="T3540" s="26">
        <f>IF($D3540="","",IF($K3540&lt;&gt;"对外销售","",ROUND($Q3540-$S3540,0)))</f>
        <v/>
      </c>
      <c r="U3540" s="17" t="n"/>
      <c r="V3540" s="17" t="n"/>
      <c r="W3540" s="24">
        <f>IF($D3540="","",IF($E3540="※编码不在物料档案里","※物料编码不在档案里",IF(N($J3540)&lt;=0,"※出库数量要大于 0",IF($K3540="","※没填去向类型",IF($L3540="","※没填去向矿区",IF(AND($C3540&lt;&gt;"",$C3540&lt;=结账锁),"※日期早于已结账截止日，不能再录",IF(AND($K3540="自用消耗",COUNTIF({"一矿区";"二矿区"},$L3540)=0),"※自用消耗的去向只能是一矿区或二矿区",IF(AND($K3540="对外销售",COUNTIF({"三矿区";"六矿区"},$L3540)=0),"※对外销售的去向只能是三矿区或六矿区",IF(AND($K3540="对外销售",ROUND($Q3540,0)=0),"※外销却没有售价，请填实际售价",IF(AND($K3540="对外销售",$T3540&lt;&gt;"",$T3540&lt;0),"※这一笔外销是亏的，请核对售价",IF(IFERROR(VLOOKUP($D3540,库存台账!$A$5:$Y$1204,24,0),0)&lt;-0.001,"※这个物料账面已经变成负数了，查一下是不是漏记入库","")))))))))))</f>
        <v/>
      </c>
    </row>
    <row r="3541">
      <c r="A3541" s="24">
        <f>IF($D3541="","",COUNTA($D$4:$D3541))</f>
        <v/>
      </c>
      <c r="B3541" s="17" t="n"/>
      <c r="C3541" s="30" t="n"/>
      <c r="D3541" s="17" t="n"/>
      <c r="E3541" s="24">
        <f>IF($D3541="","",IFERROR(VLOOKUP($D3541,物料档案!$A$4:$P$1203,3,0),"※编码不在物料档案里"))</f>
        <v/>
      </c>
      <c r="F3541" s="24">
        <f>IF($D3541="","",IFERROR(VLOOKUP($D3541,物料档案!$A$4:$P$1203,4,0),"※编码不在物料档案里"))</f>
        <v/>
      </c>
      <c r="G3541" s="24">
        <f>IF($D3541="","",IFERROR(VLOOKUP($D3541,物料档案!$A$4:$P$1203,5,0),"※编码不在物料档案里"))</f>
        <v/>
      </c>
      <c r="H3541" s="24">
        <f>IF($D3541="","",IFERROR(VLOOKUP($D3541,物料档案!$A$4:$P$1203,2,0),"※编码不在物料档案里"))</f>
        <v/>
      </c>
      <c r="I3541" s="24">
        <f>IF($D3541="","",IFERROR(VLOOKUP($D3541,物料档案!$A$4:$P$1203,6,0),"※编码不在物料档案里"))</f>
        <v/>
      </c>
      <c r="J3541" s="23" t="n"/>
      <c r="K3541" s="17" t="n"/>
      <c r="L3541" s="17" t="n"/>
      <c r="M3541" s="17" t="n"/>
      <c r="N3541" s="17" t="n"/>
      <c r="O3541" s="26">
        <f>IF($D3541="","",IFERROR(VLOOKUP($D3541,物料档案!$A$4:$P$1203,10,0),0))</f>
        <v/>
      </c>
      <c r="P3541" s="32" t="n"/>
      <c r="Q3541" s="26">
        <f>IF($D3541="","",IF($K3541&lt;&gt;"对外销售",0,ROUND(N($J3541)*IF($P3541="",N($O3541),N($P3541)),0)))</f>
        <v/>
      </c>
      <c r="R3541" s="26">
        <f>IF($D3541="","",IFERROR(VLOOKUP($D3541,库存台账!$A$5:$Y$1204,11,0),0))</f>
        <v/>
      </c>
      <c r="S3541" s="26">
        <f>IF($D3541="","",ROUND(N($J3541)*N($R3541),0))</f>
        <v/>
      </c>
      <c r="T3541" s="26">
        <f>IF($D3541="","",IF($K3541&lt;&gt;"对外销售","",ROUND($Q3541-$S3541,0)))</f>
        <v/>
      </c>
      <c r="U3541" s="17" t="n"/>
      <c r="V3541" s="17" t="n"/>
      <c r="W3541" s="24">
        <f>IF($D3541="","",IF($E3541="※编码不在物料档案里","※物料编码不在档案里",IF(N($J3541)&lt;=0,"※出库数量要大于 0",IF($K3541="","※没填去向类型",IF($L3541="","※没填去向矿区",IF(AND($C3541&lt;&gt;"",$C3541&lt;=结账锁),"※日期早于已结账截止日，不能再录",IF(AND($K3541="自用消耗",COUNTIF({"一矿区";"二矿区"},$L3541)=0),"※自用消耗的去向只能是一矿区或二矿区",IF(AND($K3541="对外销售",COUNTIF({"三矿区";"六矿区"},$L3541)=0),"※对外销售的去向只能是三矿区或六矿区",IF(AND($K3541="对外销售",ROUND($Q3541,0)=0),"※外销却没有售价，请填实际售价",IF(AND($K3541="对外销售",$T3541&lt;&gt;"",$T3541&lt;0),"※这一笔外销是亏的，请核对售价",IF(IFERROR(VLOOKUP($D3541,库存台账!$A$5:$Y$1204,24,0),0)&lt;-0.001,"※这个物料账面已经变成负数了，查一下是不是漏记入库","")))))))))))</f>
        <v/>
      </c>
    </row>
    <row r="3542">
      <c r="A3542" s="24">
        <f>IF($D3542="","",COUNTA($D$4:$D3542))</f>
        <v/>
      </c>
      <c r="B3542" s="17" t="n"/>
      <c r="C3542" s="30" t="n"/>
      <c r="D3542" s="17" t="n"/>
      <c r="E3542" s="24">
        <f>IF($D3542="","",IFERROR(VLOOKUP($D3542,物料档案!$A$4:$P$1203,3,0),"※编码不在物料档案里"))</f>
        <v/>
      </c>
      <c r="F3542" s="24">
        <f>IF($D3542="","",IFERROR(VLOOKUP($D3542,物料档案!$A$4:$P$1203,4,0),"※编码不在物料档案里"))</f>
        <v/>
      </c>
      <c r="G3542" s="24">
        <f>IF($D3542="","",IFERROR(VLOOKUP($D3542,物料档案!$A$4:$P$1203,5,0),"※编码不在物料档案里"))</f>
        <v/>
      </c>
      <c r="H3542" s="24">
        <f>IF($D3542="","",IFERROR(VLOOKUP($D3542,物料档案!$A$4:$P$1203,2,0),"※编码不在物料档案里"))</f>
        <v/>
      </c>
      <c r="I3542" s="24">
        <f>IF($D3542="","",IFERROR(VLOOKUP($D3542,物料档案!$A$4:$P$1203,6,0),"※编码不在物料档案里"))</f>
        <v/>
      </c>
      <c r="J3542" s="23" t="n"/>
      <c r="K3542" s="17" t="n"/>
      <c r="L3542" s="17" t="n"/>
      <c r="M3542" s="17" t="n"/>
      <c r="N3542" s="17" t="n"/>
      <c r="O3542" s="26">
        <f>IF($D3542="","",IFERROR(VLOOKUP($D3542,物料档案!$A$4:$P$1203,10,0),0))</f>
        <v/>
      </c>
      <c r="P3542" s="32" t="n"/>
      <c r="Q3542" s="26">
        <f>IF($D3542="","",IF($K3542&lt;&gt;"对外销售",0,ROUND(N($J3542)*IF($P3542="",N($O3542),N($P3542)),0)))</f>
        <v/>
      </c>
      <c r="R3542" s="26">
        <f>IF($D3542="","",IFERROR(VLOOKUP($D3542,库存台账!$A$5:$Y$1204,11,0),0))</f>
        <v/>
      </c>
      <c r="S3542" s="26">
        <f>IF($D3542="","",ROUND(N($J3542)*N($R3542),0))</f>
        <v/>
      </c>
      <c r="T3542" s="26">
        <f>IF($D3542="","",IF($K3542&lt;&gt;"对外销售","",ROUND($Q3542-$S3542,0)))</f>
        <v/>
      </c>
      <c r="U3542" s="17" t="n"/>
      <c r="V3542" s="17" t="n"/>
      <c r="W3542" s="24">
        <f>IF($D3542="","",IF($E3542="※编码不在物料档案里","※物料编码不在档案里",IF(N($J3542)&lt;=0,"※出库数量要大于 0",IF($K3542="","※没填去向类型",IF($L3542="","※没填去向矿区",IF(AND($C3542&lt;&gt;"",$C3542&lt;=结账锁),"※日期早于已结账截止日，不能再录",IF(AND($K3542="自用消耗",COUNTIF({"一矿区";"二矿区"},$L3542)=0),"※自用消耗的去向只能是一矿区或二矿区",IF(AND($K3542="对外销售",COUNTIF({"三矿区";"六矿区"},$L3542)=0),"※对外销售的去向只能是三矿区或六矿区",IF(AND($K3542="对外销售",ROUND($Q3542,0)=0),"※外销却没有售价，请填实际售价",IF(AND($K3542="对外销售",$T3542&lt;&gt;"",$T3542&lt;0),"※这一笔外销是亏的，请核对售价",IF(IFERROR(VLOOKUP($D3542,库存台账!$A$5:$Y$1204,24,0),0)&lt;-0.001,"※这个物料账面已经变成负数了，查一下是不是漏记入库","")))))))))))</f>
        <v/>
      </c>
    </row>
    <row r="3543">
      <c r="A3543" s="24">
        <f>IF($D3543="","",COUNTA($D$4:$D3543))</f>
        <v/>
      </c>
      <c r="B3543" s="17" t="n"/>
      <c r="C3543" s="30" t="n"/>
      <c r="D3543" s="17" t="n"/>
      <c r="E3543" s="24">
        <f>IF($D3543="","",IFERROR(VLOOKUP($D3543,物料档案!$A$4:$P$1203,3,0),"※编码不在物料档案里"))</f>
        <v/>
      </c>
      <c r="F3543" s="24">
        <f>IF($D3543="","",IFERROR(VLOOKUP($D3543,物料档案!$A$4:$P$1203,4,0),"※编码不在物料档案里"))</f>
        <v/>
      </c>
      <c r="G3543" s="24">
        <f>IF($D3543="","",IFERROR(VLOOKUP($D3543,物料档案!$A$4:$P$1203,5,0),"※编码不在物料档案里"))</f>
        <v/>
      </c>
      <c r="H3543" s="24">
        <f>IF($D3543="","",IFERROR(VLOOKUP($D3543,物料档案!$A$4:$P$1203,2,0),"※编码不在物料档案里"))</f>
        <v/>
      </c>
      <c r="I3543" s="24">
        <f>IF($D3543="","",IFERROR(VLOOKUP($D3543,物料档案!$A$4:$P$1203,6,0),"※编码不在物料档案里"))</f>
        <v/>
      </c>
      <c r="J3543" s="23" t="n"/>
      <c r="K3543" s="17" t="n"/>
      <c r="L3543" s="17" t="n"/>
      <c r="M3543" s="17" t="n"/>
      <c r="N3543" s="17" t="n"/>
      <c r="O3543" s="26">
        <f>IF($D3543="","",IFERROR(VLOOKUP($D3543,物料档案!$A$4:$P$1203,10,0),0))</f>
        <v/>
      </c>
      <c r="P3543" s="32" t="n"/>
      <c r="Q3543" s="26">
        <f>IF($D3543="","",IF($K3543&lt;&gt;"对外销售",0,ROUND(N($J3543)*IF($P3543="",N($O3543),N($P3543)),0)))</f>
        <v/>
      </c>
      <c r="R3543" s="26">
        <f>IF($D3543="","",IFERROR(VLOOKUP($D3543,库存台账!$A$5:$Y$1204,11,0),0))</f>
        <v/>
      </c>
      <c r="S3543" s="26">
        <f>IF($D3543="","",ROUND(N($J3543)*N($R3543),0))</f>
        <v/>
      </c>
      <c r="T3543" s="26">
        <f>IF($D3543="","",IF($K3543&lt;&gt;"对外销售","",ROUND($Q3543-$S3543,0)))</f>
        <v/>
      </c>
      <c r="U3543" s="17" t="n"/>
      <c r="V3543" s="17" t="n"/>
      <c r="W3543" s="24">
        <f>IF($D3543="","",IF($E3543="※编码不在物料档案里","※物料编码不在档案里",IF(N($J3543)&lt;=0,"※出库数量要大于 0",IF($K3543="","※没填去向类型",IF($L3543="","※没填去向矿区",IF(AND($C3543&lt;&gt;"",$C3543&lt;=结账锁),"※日期早于已结账截止日，不能再录",IF(AND($K3543="自用消耗",COUNTIF({"一矿区";"二矿区"},$L3543)=0),"※自用消耗的去向只能是一矿区或二矿区",IF(AND($K3543="对外销售",COUNTIF({"三矿区";"六矿区"},$L3543)=0),"※对外销售的去向只能是三矿区或六矿区",IF(AND($K3543="对外销售",ROUND($Q3543,0)=0),"※外销却没有售价，请填实际售价",IF(AND($K3543="对外销售",$T3543&lt;&gt;"",$T3543&lt;0),"※这一笔外销是亏的，请核对售价",IF(IFERROR(VLOOKUP($D3543,库存台账!$A$5:$Y$1204,24,0),0)&lt;-0.001,"※这个物料账面已经变成负数了，查一下是不是漏记入库","")))))))))))</f>
        <v/>
      </c>
    </row>
    <row r="3544">
      <c r="A3544" s="24">
        <f>IF($D3544="","",COUNTA($D$4:$D3544))</f>
        <v/>
      </c>
      <c r="B3544" s="17" t="n"/>
      <c r="C3544" s="30" t="n"/>
      <c r="D3544" s="17" t="n"/>
      <c r="E3544" s="24">
        <f>IF($D3544="","",IFERROR(VLOOKUP($D3544,物料档案!$A$4:$P$1203,3,0),"※编码不在物料档案里"))</f>
        <v/>
      </c>
      <c r="F3544" s="24">
        <f>IF($D3544="","",IFERROR(VLOOKUP($D3544,物料档案!$A$4:$P$1203,4,0),"※编码不在物料档案里"))</f>
        <v/>
      </c>
      <c r="G3544" s="24">
        <f>IF($D3544="","",IFERROR(VLOOKUP($D3544,物料档案!$A$4:$P$1203,5,0),"※编码不在物料档案里"))</f>
        <v/>
      </c>
      <c r="H3544" s="24">
        <f>IF($D3544="","",IFERROR(VLOOKUP($D3544,物料档案!$A$4:$P$1203,2,0),"※编码不在物料档案里"))</f>
        <v/>
      </c>
      <c r="I3544" s="24">
        <f>IF($D3544="","",IFERROR(VLOOKUP($D3544,物料档案!$A$4:$P$1203,6,0),"※编码不在物料档案里"))</f>
        <v/>
      </c>
      <c r="J3544" s="23" t="n"/>
      <c r="K3544" s="17" t="n"/>
      <c r="L3544" s="17" t="n"/>
      <c r="M3544" s="17" t="n"/>
      <c r="N3544" s="17" t="n"/>
      <c r="O3544" s="26">
        <f>IF($D3544="","",IFERROR(VLOOKUP($D3544,物料档案!$A$4:$P$1203,10,0),0))</f>
        <v/>
      </c>
      <c r="P3544" s="32" t="n"/>
      <c r="Q3544" s="26">
        <f>IF($D3544="","",IF($K3544&lt;&gt;"对外销售",0,ROUND(N($J3544)*IF($P3544="",N($O3544),N($P3544)),0)))</f>
        <v/>
      </c>
      <c r="R3544" s="26">
        <f>IF($D3544="","",IFERROR(VLOOKUP($D3544,库存台账!$A$5:$Y$1204,11,0),0))</f>
        <v/>
      </c>
      <c r="S3544" s="26">
        <f>IF($D3544="","",ROUND(N($J3544)*N($R3544),0))</f>
        <v/>
      </c>
      <c r="T3544" s="26">
        <f>IF($D3544="","",IF($K3544&lt;&gt;"对外销售","",ROUND($Q3544-$S3544,0)))</f>
        <v/>
      </c>
      <c r="U3544" s="17" t="n"/>
      <c r="V3544" s="17" t="n"/>
      <c r="W3544" s="24">
        <f>IF($D3544="","",IF($E3544="※编码不在物料档案里","※物料编码不在档案里",IF(N($J3544)&lt;=0,"※出库数量要大于 0",IF($K3544="","※没填去向类型",IF($L3544="","※没填去向矿区",IF(AND($C3544&lt;&gt;"",$C3544&lt;=结账锁),"※日期早于已结账截止日，不能再录",IF(AND($K3544="自用消耗",COUNTIF({"一矿区";"二矿区"},$L3544)=0),"※自用消耗的去向只能是一矿区或二矿区",IF(AND($K3544="对外销售",COUNTIF({"三矿区";"六矿区"},$L3544)=0),"※对外销售的去向只能是三矿区或六矿区",IF(AND($K3544="对外销售",ROUND($Q3544,0)=0),"※外销却没有售价，请填实际售价",IF(AND($K3544="对外销售",$T3544&lt;&gt;"",$T3544&lt;0),"※这一笔外销是亏的，请核对售价",IF(IFERROR(VLOOKUP($D3544,库存台账!$A$5:$Y$1204,24,0),0)&lt;-0.001,"※这个物料账面已经变成负数了，查一下是不是漏记入库","")))))))))))</f>
        <v/>
      </c>
    </row>
    <row r="3545">
      <c r="A3545" s="24">
        <f>IF($D3545="","",COUNTA($D$4:$D3545))</f>
        <v/>
      </c>
      <c r="B3545" s="17" t="n"/>
      <c r="C3545" s="30" t="n"/>
      <c r="D3545" s="17" t="n"/>
      <c r="E3545" s="24">
        <f>IF($D3545="","",IFERROR(VLOOKUP($D3545,物料档案!$A$4:$P$1203,3,0),"※编码不在物料档案里"))</f>
        <v/>
      </c>
      <c r="F3545" s="24">
        <f>IF($D3545="","",IFERROR(VLOOKUP($D3545,物料档案!$A$4:$P$1203,4,0),"※编码不在物料档案里"))</f>
        <v/>
      </c>
      <c r="G3545" s="24">
        <f>IF($D3545="","",IFERROR(VLOOKUP($D3545,物料档案!$A$4:$P$1203,5,0),"※编码不在物料档案里"))</f>
        <v/>
      </c>
      <c r="H3545" s="24">
        <f>IF($D3545="","",IFERROR(VLOOKUP($D3545,物料档案!$A$4:$P$1203,2,0),"※编码不在物料档案里"))</f>
        <v/>
      </c>
      <c r="I3545" s="24">
        <f>IF($D3545="","",IFERROR(VLOOKUP($D3545,物料档案!$A$4:$P$1203,6,0),"※编码不在物料档案里"))</f>
        <v/>
      </c>
      <c r="J3545" s="23" t="n"/>
      <c r="K3545" s="17" t="n"/>
      <c r="L3545" s="17" t="n"/>
      <c r="M3545" s="17" t="n"/>
      <c r="N3545" s="17" t="n"/>
      <c r="O3545" s="26">
        <f>IF($D3545="","",IFERROR(VLOOKUP($D3545,物料档案!$A$4:$P$1203,10,0),0))</f>
        <v/>
      </c>
      <c r="P3545" s="32" t="n"/>
      <c r="Q3545" s="26">
        <f>IF($D3545="","",IF($K3545&lt;&gt;"对外销售",0,ROUND(N($J3545)*IF($P3545="",N($O3545),N($P3545)),0)))</f>
        <v/>
      </c>
      <c r="R3545" s="26">
        <f>IF($D3545="","",IFERROR(VLOOKUP($D3545,库存台账!$A$5:$Y$1204,11,0),0))</f>
        <v/>
      </c>
      <c r="S3545" s="26">
        <f>IF($D3545="","",ROUND(N($J3545)*N($R3545),0))</f>
        <v/>
      </c>
      <c r="T3545" s="26">
        <f>IF($D3545="","",IF($K3545&lt;&gt;"对外销售","",ROUND($Q3545-$S3545,0)))</f>
        <v/>
      </c>
      <c r="U3545" s="17" t="n"/>
      <c r="V3545" s="17" t="n"/>
      <c r="W3545" s="24">
        <f>IF($D3545="","",IF($E3545="※编码不在物料档案里","※物料编码不在档案里",IF(N($J3545)&lt;=0,"※出库数量要大于 0",IF($K3545="","※没填去向类型",IF($L3545="","※没填去向矿区",IF(AND($C3545&lt;&gt;"",$C3545&lt;=结账锁),"※日期早于已结账截止日，不能再录",IF(AND($K3545="自用消耗",COUNTIF({"一矿区";"二矿区"},$L3545)=0),"※自用消耗的去向只能是一矿区或二矿区",IF(AND($K3545="对外销售",COUNTIF({"三矿区";"六矿区"},$L3545)=0),"※对外销售的去向只能是三矿区或六矿区",IF(AND($K3545="对外销售",ROUND($Q3545,0)=0),"※外销却没有售价，请填实际售价",IF(AND($K3545="对外销售",$T3545&lt;&gt;"",$T3545&lt;0),"※这一笔外销是亏的，请核对售价",IF(IFERROR(VLOOKUP($D3545,库存台账!$A$5:$Y$1204,24,0),0)&lt;-0.001,"※这个物料账面已经变成负数了，查一下是不是漏记入库","")))))))))))</f>
        <v/>
      </c>
    </row>
    <row r="3546">
      <c r="A3546" s="24">
        <f>IF($D3546="","",COUNTA($D$4:$D3546))</f>
        <v/>
      </c>
      <c r="B3546" s="17" t="n"/>
      <c r="C3546" s="30" t="n"/>
      <c r="D3546" s="17" t="n"/>
      <c r="E3546" s="24">
        <f>IF($D3546="","",IFERROR(VLOOKUP($D3546,物料档案!$A$4:$P$1203,3,0),"※编码不在物料档案里"))</f>
        <v/>
      </c>
      <c r="F3546" s="24">
        <f>IF($D3546="","",IFERROR(VLOOKUP($D3546,物料档案!$A$4:$P$1203,4,0),"※编码不在物料档案里"))</f>
        <v/>
      </c>
      <c r="G3546" s="24">
        <f>IF($D3546="","",IFERROR(VLOOKUP($D3546,物料档案!$A$4:$P$1203,5,0),"※编码不在物料档案里"))</f>
        <v/>
      </c>
      <c r="H3546" s="24">
        <f>IF($D3546="","",IFERROR(VLOOKUP($D3546,物料档案!$A$4:$P$1203,2,0),"※编码不在物料档案里"))</f>
        <v/>
      </c>
      <c r="I3546" s="24">
        <f>IF($D3546="","",IFERROR(VLOOKUP($D3546,物料档案!$A$4:$P$1203,6,0),"※编码不在物料档案里"))</f>
        <v/>
      </c>
      <c r="J3546" s="23" t="n"/>
      <c r="K3546" s="17" t="n"/>
      <c r="L3546" s="17" t="n"/>
      <c r="M3546" s="17" t="n"/>
      <c r="N3546" s="17" t="n"/>
      <c r="O3546" s="26">
        <f>IF($D3546="","",IFERROR(VLOOKUP($D3546,物料档案!$A$4:$P$1203,10,0),0))</f>
        <v/>
      </c>
      <c r="P3546" s="32" t="n"/>
      <c r="Q3546" s="26">
        <f>IF($D3546="","",IF($K3546&lt;&gt;"对外销售",0,ROUND(N($J3546)*IF($P3546="",N($O3546),N($P3546)),0)))</f>
        <v/>
      </c>
      <c r="R3546" s="26">
        <f>IF($D3546="","",IFERROR(VLOOKUP($D3546,库存台账!$A$5:$Y$1204,11,0),0))</f>
        <v/>
      </c>
      <c r="S3546" s="26">
        <f>IF($D3546="","",ROUND(N($J3546)*N($R3546),0))</f>
        <v/>
      </c>
      <c r="T3546" s="26">
        <f>IF($D3546="","",IF($K3546&lt;&gt;"对外销售","",ROUND($Q3546-$S3546,0)))</f>
        <v/>
      </c>
      <c r="U3546" s="17" t="n"/>
      <c r="V3546" s="17" t="n"/>
      <c r="W3546" s="24">
        <f>IF($D3546="","",IF($E3546="※编码不在物料档案里","※物料编码不在档案里",IF(N($J3546)&lt;=0,"※出库数量要大于 0",IF($K3546="","※没填去向类型",IF($L3546="","※没填去向矿区",IF(AND($C3546&lt;&gt;"",$C3546&lt;=结账锁),"※日期早于已结账截止日，不能再录",IF(AND($K3546="自用消耗",COUNTIF({"一矿区";"二矿区"},$L3546)=0),"※自用消耗的去向只能是一矿区或二矿区",IF(AND($K3546="对外销售",COUNTIF({"三矿区";"六矿区"},$L3546)=0),"※对外销售的去向只能是三矿区或六矿区",IF(AND($K3546="对外销售",ROUND($Q3546,0)=0),"※外销却没有售价，请填实际售价",IF(AND($K3546="对外销售",$T3546&lt;&gt;"",$T3546&lt;0),"※这一笔外销是亏的，请核对售价",IF(IFERROR(VLOOKUP($D3546,库存台账!$A$5:$Y$1204,24,0),0)&lt;-0.001,"※这个物料账面已经变成负数了，查一下是不是漏记入库","")))))))))))</f>
        <v/>
      </c>
    </row>
    <row r="3547">
      <c r="A3547" s="24">
        <f>IF($D3547="","",COUNTA($D$4:$D3547))</f>
        <v/>
      </c>
      <c r="B3547" s="17" t="n"/>
      <c r="C3547" s="30" t="n"/>
      <c r="D3547" s="17" t="n"/>
      <c r="E3547" s="24">
        <f>IF($D3547="","",IFERROR(VLOOKUP($D3547,物料档案!$A$4:$P$1203,3,0),"※编码不在物料档案里"))</f>
        <v/>
      </c>
      <c r="F3547" s="24">
        <f>IF($D3547="","",IFERROR(VLOOKUP($D3547,物料档案!$A$4:$P$1203,4,0),"※编码不在物料档案里"))</f>
        <v/>
      </c>
      <c r="G3547" s="24">
        <f>IF($D3547="","",IFERROR(VLOOKUP($D3547,物料档案!$A$4:$P$1203,5,0),"※编码不在物料档案里"))</f>
        <v/>
      </c>
      <c r="H3547" s="24">
        <f>IF($D3547="","",IFERROR(VLOOKUP($D3547,物料档案!$A$4:$P$1203,2,0),"※编码不在物料档案里"))</f>
        <v/>
      </c>
      <c r="I3547" s="24">
        <f>IF($D3547="","",IFERROR(VLOOKUP($D3547,物料档案!$A$4:$P$1203,6,0),"※编码不在物料档案里"))</f>
        <v/>
      </c>
      <c r="J3547" s="23" t="n"/>
      <c r="K3547" s="17" t="n"/>
      <c r="L3547" s="17" t="n"/>
      <c r="M3547" s="17" t="n"/>
      <c r="N3547" s="17" t="n"/>
      <c r="O3547" s="26">
        <f>IF($D3547="","",IFERROR(VLOOKUP($D3547,物料档案!$A$4:$P$1203,10,0),0))</f>
        <v/>
      </c>
      <c r="P3547" s="32" t="n"/>
      <c r="Q3547" s="26">
        <f>IF($D3547="","",IF($K3547&lt;&gt;"对外销售",0,ROUND(N($J3547)*IF($P3547="",N($O3547),N($P3547)),0)))</f>
        <v/>
      </c>
      <c r="R3547" s="26">
        <f>IF($D3547="","",IFERROR(VLOOKUP($D3547,库存台账!$A$5:$Y$1204,11,0),0))</f>
        <v/>
      </c>
      <c r="S3547" s="26">
        <f>IF($D3547="","",ROUND(N($J3547)*N($R3547),0))</f>
        <v/>
      </c>
      <c r="T3547" s="26">
        <f>IF($D3547="","",IF($K3547&lt;&gt;"对外销售","",ROUND($Q3547-$S3547,0)))</f>
        <v/>
      </c>
      <c r="U3547" s="17" t="n"/>
      <c r="V3547" s="17" t="n"/>
      <c r="W3547" s="24">
        <f>IF($D3547="","",IF($E3547="※编码不在物料档案里","※物料编码不在档案里",IF(N($J3547)&lt;=0,"※出库数量要大于 0",IF($K3547="","※没填去向类型",IF($L3547="","※没填去向矿区",IF(AND($C3547&lt;&gt;"",$C3547&lt;=结账锁),"※日期早于已结账截止日，不能再录",IF(AND($K3547="自用消耗",COUNTIF({"一矿区";"二矿区"},$L3547)=0),"※自用消耗的去向只能是一矿区或二矿区",IF(AND($K3547="对外销售",COUNTIF({"三矿区";"六矿区"},$L3547)=0),"※对外销售的去向只能是三矿区或六矿区",IF(AND($K3547="对外销售",ROUND($Q3547,0)=0),"※外销却没有售价，请填实际售价",IF(AND($K3547="对外销售",$T3547&lt;&gt;"",$T3547&lt;0),"※这一笔外销是亏的，请核对售价",IF(IFERROR(VLOOKUP($D3547,库存台账!$A$5:$Y$1204,24,0),0)&lt;-0.001,"※这个物料账面已经变成负数了，查一下是不是漏记入库","")))))))))))</f>
        <v/>
      </c>
    </row>
    <row r="3548">
      <c r="A3548" s="24">
        <f>IF($D3548="","",COUNTA($D$4:$D3548))</f>
        <v/>
      </c>
      <c r="B3548" s="17" t="n"/>
      <c r="C3548" s="30" t="n"/>
      <c r="D3548" s="17" t="n"/>
      <c r="E3548" s="24">
        <f>IF($D3548="","",IFERROR(VLOOKUP($D3548,物料档案!$A$4:$P$1203,3,0),"※编码不在物料档案里"))</f>
        <v/>
      </c>
      <c r="F3548" s="24">
        <f>IF($D3548="","",IFERROR(VLOOKUP($D3548,物料档案!$A$4:$P$1203,4,0),"※编码不在物料档案里"))</f>
        <v/>
      </c>
      <c r="G3548" s="24">
        <f>IF($D3548="","",IFERROR(VLOOKUP($D3548,物料档案!$A$4:$P$1203,5,0),"※编码不在物料档案里"))</f>
        <v/>
      </c>
      <c r="H3548" s="24">
        <f>IF($D3548="","",IFERROR(VLOOKUP($D3548,物料档案!$A$4:$P$1203,2,0),"※编码不在物料档案里"))</f>
        <v/>
      </c>
      <c r="I3548" s="24">
        <f>IF($D3548="","",IFERROR(VLOOKUP($D3548,物料档案!$A$4:$P$1203,6,0),"※编码不在物料档案里"))</f>
        <v/>
      </c>
      <c r="J3548" s="23" t="n"/>
      <c r="K3548" s="17" t="n"/>
      <c r="L3548" s="17" t="n"/>
      <c r="M3548" s="17" t="n"/>
      <c r="N3548" s="17" t="n"/>
      <c r="O3548" s="26">
        <f>IF($D3548="","",IFERROR(VLOOKUP($D3548,物料档案!$A$4:$P$1203,10,0),0))</f>
        <v/>
      </c>
      <c r="P3548" s="32" t="n"/>
      <c r="Q3548" s="26">
        <f>IF($D3548="","",IF($K3548&lt;&gt;"对外销售",0,ROUND(N($J3548)*IF($P3548="",N($O3548),N($P3548)),0)))</f>
        <v/>
      </c>
      <c r="R3548" s="26">
        <f>IF($D3548="","",IFERROR(VLOOKUP($D3548,库存台账!$A$5:$Y$1204,11,0),0))</f>
        <v/>
      </c>
      <c r="S3548" s="26">
        <f>IF($D3548="","",ROUND(N($J3548)*N($R3548),0))</f>
        <v/>
      </c>
      <c r="T3548" s="26">
        <f>IF($D3548="","",IF($K3548&lt;&gt;"对外销售","",ROUND($Q3548-$S3548,0)))</f>
        <v/>
      </c>
      <c r="U3548" s="17" t="n"/>
      <c r="V3548" s="17" t="n"/>
      <c r="W3548" s="24">
        <f>IF($D3548="","",IF($E3548="※编码不在物料档案里","※物料编码不在档案里",IF(N($J3548)&lt;=0,"※出库数量要大于 0",IF($K3548="","※没填去向类型",IF($L3548="","※没填去向矿区",IF(AND($C3548&lt;&gt;"",$C3548&lt;=结账锁),"※日期早于已结账截止日，不能再录",IF(AND($K3548="自用消耗",COUNTIF({"一矿区";"二矿区"},$L3548)=0),"※自用消耗的去向只能是一矿区或二矿区",IF(AND($K3548="对外销售",COUNTIF({"三矿区";"六矿区"},$L3548)=0),"※对外销售的去向只能是三矿区或六矿区",IF(AND($K3548="对外销售",ROUND($Q3548,0)=0),"※外销却没有售价，请填实际售价",IF(AND($K3548="对外销售",$T3548&lt;&gt;"",$T3548&lt;0),"※这一笔外销是亏的，请核对售价",IF(IFERROR(VLOOKUP($D3548,库存台账!$A$5:$Y$1204,24,0),0)&lt;-0.001,"※这个物料账面已经变成负数了，查一下是不是漏记入库","")))))))))))</f>
        <v/>
      </c>
    </row>
    <row r="3549">
      <c r="A3549" s="24">
        <f>IF($D3549="","",COUNTA($D$4:$D3549))</f>
        <v/>
      </c>
      <c r="B3549" s="17" t="n"/>
      <c r="C3549" s="30" t="n"/>
      <c r="D3549" s="17" t="n"/>
      <c r="E3549" s="24">
        <f>IF($D3549="","",IFERROR(VLOOKUP($D3549,物料档案!$A$4:$P$1203,3,0),"※编码不在物料档案里"))</f>
        <v/>
      </c>
      <c r="F3549" s="24">
        <f>IF($D3549="","",IFERROR(VLOOKUP($D3549,物料档案!$A$4:$P$1203,4,0),"※编码不在物料档案里"))</f>
        <v/>
      </c>
      <c r="G3549" s="24">
        <f>IF($D3549="","",IFERROR(VLOOKUP($D3549,物料档案!$A$4:$P$1203,5,0),"※编码不在物料档案里"))</f>
        <v/>
      </c>
      <c r="H3549" s="24">
        <f>IF($D3549="","",IFERROR(VLOOKUP($D3549,物料档案!$A$4:$P$1203,2,0),"※编码不在物料档案里"))</f>
        <v/>
      </c>
      <c r="I3549" s="24">
        <f>IF($D3549="","",IFERROR(VLOOKUP($D3549,物料档案!$A$4:$P$1203,6,0),"※编码不在物料档案里"))</f>
        <v/>
      </c>
      <c r="J3549" s="23" t="n"/>
      <c r="K3549" s="17" t="n"/>
      <c r="L3549" s="17" t="n"/>
      <c r="M3549" s="17" t="n"/>
      <c r="N3549" s="17" t="n"/>
      <c r="O3549" s="26">
        <f>IF($D3549="","",IFERROR(VLOOKUP($D3549,物料档案!$A$4:$P$1203,10,0),0))</f>
        <v/>
      </c>
      <c r="P3549" s="32" t="n"/>
      <c r="Q3549" s="26">
        <f>IF($D3549="","",IF($K3549&lt;&gt;"对外销售",0,ROUND(N($J3549)*IF($P3549="",N($O3549),N($P3549)),0)))</f>
        <v/>
      </c>
      <c r="R3549" s="26">
        <f>IF($D3549="","",IFERROR(VLOOKUP($D3549,库存台账!$A$5:$Y$1204,11,0),0))</f>
        <v/>
      </c>
      <c r="S3549" s="26">
        <f>IF($D3549="","",ROUND(N($J3549)*N($R3549),0))</f>
        <v/>
      </c>
      <c r="T3549" s="26">
        <f>IF($D3549="","",IF($K3549&lt;&gt;"对外销售","",ROUND($Q3549-$S3549,0)))</f>
        <v/>
      </c>
      <c r="U3549" s="17" t="n"/>
      <c r="V3549" s="17" t="n"/>
      <c r="W3549" s="24">
        <f>IF($D3549="","",IF($E3549="※编码不在物料档案里","※物料编码不在档案里",IF(N($J3549)&lt;=0,"※出库数量要大于 0",IF($K3549="","※没填去向类型",IF($L3549="","※没填去向矿区",IF(AND($C3549&lt;&gt;"",$C3549&lt;=结账锁),"※日期早于已结账截止日，不能再录",IF(AND($K3549="自用消耗",COUNTIF({"一矿区";"二矿区"},$L3549)=0),"※自用消耗的去向只能是一矿区或二矿区",IF(AND($K3549="对外销售",COUNTIF({"三矿区";"六矿区"},$L3549)=0),"※对外销售的去向只能是三矿区或六矿区",IF(AND($K3549="对外销售",ROUND($Q3549,0)=0),"※外销却没有售价，请填实际售价",IF(AND($K3549="对外销售",$T3549&lt;&gt;"",$T3549&lt;0),"※这一笔外销是亏的，请核对售价",IF(IFERROR(VLOOKUP($D3549,库存台账!$A$5:$Y$1204,24,0),0)&lt;-0.001,"※这个物料账面已经变成负数了，查一下是不是漏记入库","")))))))))))</f>
        <v/>
      </c>
    </row>
    <row r="3550">
      <c r="A3550" s="24">
        <f>IF($D3550="","",COUNTA($D$4:$D3550))</f>
        <v/>
      </c>
      <c r="B3550" s="17" t="n"/>
      <c r="C3550" s="30" t="n"/>
      <c r="D3550" s="17" t="n"/>
      <c r="E3550" s="24">
        <f>IF($D3550="","",IFERROR(VLOOKUP($D3550,物料档案!$A$4:$P$1203,3,0),"※编码不在物料档案里"))</f>
        <v/>
      </c>
      <c r="F3550" s="24">
        <f>IF($D3550="","",IFERROR(VLOOKUP($D3550,物料档案!$A$4:$P$1203,4,0),"※编码不在物料档案里"))</f>
        <v/>
      </c>
      <c r="G3550" s="24">
        <f>IF($D3550="","",IFERROR(VLOOKUP($D3550,物料档案!$A$4:$P$1203,5,0),"※编码不在物料档案里"))</f>
        <v/>
      </c>
      <c r="H3550" s="24">
        <f>IF($D3550="","",IFERROR(VLOOKUP($D3550,物料档案!$A$4:$P$1203,2,0),"※编码不在物料档案里"))</f>
        <v/>
      </c>
      <c r="I3550" s="24">
        <f>IF($D3550="","",IFERROR(VLOOKUP($D3550,物料档案!$A$4:$P$1203,6,0),"※编码不在物料档案里"))</f>
        <v/>
      </c>
      <c r="J3550" s="23" t="n"/>
      <c r="K3550" s="17" t="n"/>
      <c r="L3550" s="17" t="n"/>
      <c r="M3550" s="17" t="n"/>
      <c r="N3550" s="17" t="n"/>
      <c r="O3550" s="26">
        <f>IF($D3550="","",IFERROR(VLOOKUP($D3550,物料档案!$A$4:$P$1203,10,0),0))</f>
        <v/>
      </c>
      <c r="P3550" s="32" t="n"/>
      <c r="Q3550" s="26">
        <f>IF($D3550="","",IF($K3550&lt;&gt;"对外销售",0,ROUND(N($J3550)*IF($P3550="",N($O3550),N($P3550)),0)))</f>
        <v/>
      </c>
      <c r="R3550" s="26">
        <f>IF($D3550="","",IFERROR(VLOOKUP($D3550,库存台账!$A$5:$Y$1204,11,0),0))</f>
        <v/>
      </c>
      <c r="S3550" s="26">
        <f>IF($D3550="","",ROUND(N($J3550)*N($R3550),0))</f>
        <v/>
      </c>
      <c r="T3550" s="26">
        <f>IF($D3550="","",IF($K3550&lt;&gt;"对外销售","",ROUND($Q3550-$S3550,0)))</f>
        <v/>
      </c>
      <c r="U3550" s="17" t="n"/>
      <c r="V3550" s="17" t="n"/>
      <c r="W3550" s="24">
        <f>IF($D3550="","",IF($E3550="※编码不在物料档案里","※物料编码不在档案里",IF(N($J3550)&lt;=0,"※出库数量要大于 0",IF($K3550="","※没填去向类型",IF($L3550="","※没填去向矿区",IF(AND($C3550&lt;&gt;"",$C3550&lt;=结账锁),"※日期早于已结账截止日，不能再录",IF(AND($K3550="自用消耗",COUNTIF({"一矿区";"二矿区"},$L3550)=0),"※自用消耗的去向只能是一矿区或二矿区",IF(AND($K3550="对外销售",COUNTIF({"三矿区";"六矿区"},$L3550)=0),"※对外销售的去向只能是三矿区或六矿区",IF(AND($K3550="对外销售",ROUND($Q3550,0)=0),"※外销却没有售价，请填实际售价",IF(AND($K3550="对外销售",$T3550&lt;&gt;"",$T3550&lt;0),"※这一笔外销是亏的，请核对售价",IF(IFERROR(VLOOKUP($D3550,库存台账!$A$5:$Y$1204,24,0),0)&lt;-0.001,"※这个物料账面已经变成负数了，查一下是不是漏记入库","")))))))))))</f>
        <v/>
      </c>
    </row>
    <row r="3551">
      <c r="A3551" s="24">
        <f>IF($D3551="","",COUNTA($D$4:$D3551))</f>
        <v/>
      </c>
      <c r="B3551" s="17" t="n"/>
      <c r="C3551" s="30" t="n"/>
      <c r="D3551" s="17" t="n"/>
      <c r="E3551" s="24">
        <f>IF($D3551="","",IFERROR(VLOOKUP($D3551,物料档案!$A$4:$P$1203,3,0),"※编码不在物料档案里"))</f>
        <v/>
      </c>
      <c r="F3551" s="24">
        <f>IF($D3551="","",IFERROR(VLOOKUP($D3551,物料档案!$A$4:$P$1203,4,0),"※编码不在物料档案里"))</f>
        <v/>
      </c>
      <c r="G3551" s="24">
        <f>IF($D3551="","",IFERROR(VLOOKUP($D3551,物料档案!$A$4:$P$1203,5,0),"※编码不在物料档案里"))</f>
        <v/>
      </c>
      <c r="H3551" s="24">
        <f>IF($D3551="","",IFERROR(VLOOKUP($D3551,物料档案!$A$4:$P$1203,2,0),"※编码不在物料档案里"))</f>
        <v/>
      </c>
      <c r="I3551" s="24">
        <f>IF($D3551="","",IFERROR(VLOOKUP($D3551,物料档案!$A$4:$P$1203,6,0),"※编码不在物料档案里"))</f>
        <v/>
      </c>
      <c r="J3551" s="23" t="n"/>
      <c r="K3551" s="17" t="n"/>
      <c r="L3551" s="17" t="n"/>
      <c r="M3551" s="17" t="n"/>
      <c r="N3551" s="17" t="n"/>
      <c r="O3551" s="26">
        <f>IF($D3551="","",IFERROR(VLOOKUP($D3551,物料档案!$A$4:$P$1203,10,0),0))</f>
        <v/>
      </c>
      <c r="P3551" s="32" t="n"/>
      <c r="Q3551" s="26">
        <f>IF($D3551="","",IF($K3551&lt;&gt;"对外销售",0,ROUND(N($J3551)*IF($P3551="",N($O3551),N($P3551)),0)))</f>
        <v/>
      </c>
      <c r="R3551" s="26">
        <f>IF($D3551="","",IFERROR(VLOOKUP($D3551,库存台账!$A$5:$Y$1204,11,0),0))</f>
        <v/>
      </c>
      <c r="S3551" s="26">
        <f>IF($D3551="","",ROUND(N($J3551)*N($R3551),0))</f>
        <v/>
      </c>
      <c r="T3551" s="26">
        <f>IF($D3551="","",IF($K3551&lt;&gt;"对外销售","",ROUND($Q3551-$S3551,0)))</f>
        <v/>
      </c>
      <c r="U3551" s="17" t="n"/>
      <c r="V3551" s="17" t="n"/>
      <c r="W3551" s="24">
        <f>IF($D3551="","",IF($E3551="※编码不在物料档案里","※物料编码不在档案里",IF(N($J3551)&lt;=0,"※出库数量要大于 0",IF($K3551="","※没填去向类型",IF($L3551="","※没填去向矿区",IF(AND($C3551&lt;&gt;"",$C3551&lt;=结账锁),"※日期早于已结账截止日，不能再录",IF(AND($K3551="自用消耗",COUNTIF({"一矿区";"二矿区"},$L3551)=0),"※自用消耗的去向只能是一矿区或二矿区",IF(AND($K3551="对外销售",COUNTIF({"三矿区";"六矿区"},$L3551)=0),"※对外销售的去向只能是三矿区或六矿区",IF(AND($K3551="对外销售",ROUND($Q3551,0)=0),"※外销却没有售价，请填实际售价",IF(AND($K3551="对外销售",$T3551&lt;&gt;"",$T3551&lt;0),"※这一笔外销是亏的，请核对售价",IF(IFERROR(VLOOKUP($D3551,库存台账!$A$5:$Y$1204,24,0),0)&lt;-0.001,"※这个物料账面已经变成负数了，查一下是不是漏记入库","")))))))))))</f>
        <v/>
      </c>
    </row>
    <row r="3552">
      <c r="A3552" s="24">
        <f>IF($D3552="","",COUNTA($D$4:$D3552))</f>
        <v/>
      </c>
      <c r="B3552" s="17" t="n"/>
      <c r="C3552" s="30" t="n"/>
      <c r="D3552" s="17" t="n"/>
      <c r="E3552" s="24">
        <f>IF($D3552="","",IFERROR(VLOOKUP($D3552,物料档案!$A$4:$P$1203,3,0),"※编码不在物料档案里"))</f>
        <v/>
      </c>
      <c r="F3552" s="24">
        <f>IF($D3552="","",IFERROR(VLOOKUP($D3552,物料档案!$A$4:$P$1203,4,0),"※编码不在物料档案里"))</f>
        <v/>
      </c>
      <c r="G3552" s="24">
        <f>IF($D3552="","",IFERROR(VLOOKUP($D3552,物料档案!$A$4:$P$1203,5,0),"※编码不在物料档案里"))</f>
        <v/>
      </c>
      <c r="H3552" s="24">
        <f>IF($D3552="","",IFERROR(VLOOKUP($D3552,物料档案!$A$4:$P$1203,2,0),"※编码不在物料档案里"))</f>
        <v/>
      </c>
      <c r="I3552" s="24">
        <f>IF($D3552="","",IFERROR(VLOOKUP($D3552,物料档案!$A$4:$P$1203,6,0),"※编码不在物料档案里"))</f>
        <v/>
      </c>
      <c r="J3552" s="23" t="n"/>
      <c r="K3552" s="17" t="n"/>
      <c r="L3552" s="17" t="n"/>
      <c r="M3552" s="17" t="n"/>
      <c r="N3552" s="17" t="n"/>
      <c r="O3552" s="26">
        <f>IF($D3552="","",IFERROR(VLOOKUP($D3552,物料档案!$A$4:$P$1203,10,0),0))</f>
        <v/>
      </c>
      <c r="P3552" s="32" t="n"/>
      <c r="Q3552" s="26">
        <f>IF($D3552="","",IF($K3552&lt;&gt;"对外销售",0,ROUND(N($J3552)*IF($P3552="",N($O3552),N($P3552)),0)))</f>
        <v/>
      </c>
      <c r="R3552" s="26">
        <f>IF($D3552="","",IFERROR(VLOOKUP($D3552,库存台账!$A$5:$Y$1204,11,0),0))</f>
        <v/>
      </c>
      <c r="S3552" s="26">
        <f>IF($D3552="","",ROUND(N($J3552)*N($R3552),0))</f>
        <v/>
      </c>
      <c r="T3552" s="26">
        <f>IF($D3552="","",IF($K3552&lt;&gt;"对外销售","",ROUND($Q3552-$S3552,0)))</f>
        <v/>
      </c>
      <c r="U3552" s="17" t="n"/>
      <c r="V3552" s="17" t="n"/>
      <c r="W3552" s="24">
        <f>IF($D3552="","",IF($E3552="※编码不在物料档案里","※物料编码不在档案里",IF(N($J3552)&lt;=0,"※出库数量要大于 0",IF($K3552="","※没填去向类型",IF($L3552="","※没填去向矿区",IF(AND($C3552&lt;&gt;"",$C3552&lt;=结账锁),"※日期早于已结账截止日，不能再录",IF(AND($K3552="自用消耗",COUNTIF({"一矿区";"二矿区"},$L3552)=0),"※自用消耗的去向只能是一矿区或二矿区",IF(AND($K3552="对外销售",COUNTIF({"三矿区";"六矿区"},$L3552)=0),"※对外销售的去向只能是三矿区或六矿区",IF(AND($K3552="对外销售",ROUND($Q3552,0)=0),"※外销却没有售价，请填实际售价",IF(AND($K3552="对外销售",$T3552&lt;&gt;"",$T3552&lt;0),"※这一笔外销是亏的，请核对售价",IF(IFERROR(VLOOKUP($D3552,库存台账!$A$5:$Y$1204,24,0),0)&lt;-0.001,"※这个物料账面已经变成负数了，查一下是不是漏记入库","")))))))))))</f>
        <v/>
      </c>
    </row>
    <row r="3553">
      <c r="A3553" s="24">
        <f>IF($D3553="","",COUNTA($D$4:$D3553))</f>
        <v/>
      </c>
      <c r="B3553" s="17" t="n"/>
      <c r="C3553" s="30" t="n"/>
      <c r="D3553" s="17" t="n"/>
      <c r="E3553" s="24">
        <f>IF($D3553="","",IFERROR(VLOOKUP($D3553,物料档案!$A$4:$P$1203,3,0),"※编码不在物料档案里"))</f>
        <v/>
      </c>
      <c r="F3553" s="24">
        <f>IF($D3553="","",IFERROR(VLOOKUP($D3553,物料档案!$A$4:$P$1203,4,0),"※编码不在物料档案里"))</f>
        <v/>
      </c>
      <c r="G3553" s="24">
        <f>IF($D3553="","",IFERROR(VLOOKUP($D3553,物料档案!$A$4:$P$1203,5,0),"※编码不在物料档案里"))</f>
        <v/>
      </c>
      <c r="H3553" s="24">
        <f>IF($D3553="","",IFERROR(VLOOKUP($D3553,物料档案!$A$4:$P$1203,2,0),"※编码不在物料档案里"))</f>
        <v/>
      </c>
      <c r="I3553" s="24">
        <f>IF($D3553="","",IFERROR(VLOOKUP($D3553,物料档案!$A$4:$P$1203,6,0),"※编码不在物料档案里"))</f>
        <v/>
      </c>
      <c r="J3553" s="23" t="n"/>
      <c r="K3553" s="17" t="n"/>
      <c r="L3553" s="17" t="n"/>
      <c r="M3553" s="17" t="n"/>
      <c r="N3553" s="17" t="n"/>
      <c r="O3553" s="26">
        <f>IF($D3553="","",IFERROR(VLOOKUP($D3553,物料档案!$A$4:$P$1203,10,0),0))</f>
        <v/>
      </c>
      <c r="P3553" s="32" t="n"/>
      <c r="Q3553" s="26">
        <f>IF($D3553="","",IF($K3553&lt;&gt;"对外销售",0,ROUND(N($J3553)*IF($P3553="",N($O3553),N($P3553)),0)))</f>
        <v/>
      </c>
      <c r="R3553" s="26">
        <f>IF($D3553="","",IFERROR(VLOOKUP($D3553,库存台账!$A$5:$Y$1204,11,0),0))</f>
        <v/>
      </c>
      <c r="S3553" s="26">
        <f>IF($D3553="","",ROUND(N($J3553)*N($R3553),0))</f>
        <v/>
      </c>
      <c r="T3553" s="26">
        <f>IF($D3553="","",IF($K3553&lt;&gt;"对外销售","",ROUND($Q3553-$S3553,0)))</f>
        <v/>
      </c>
      <c r="U3553" s="17" t="n"/>
      <c r="V3553" s="17" t="n"/>
      <c r="W3553" s="24">
        <f>IF($D3553="","",IF($E3553="※编码不在物料档案里","※物料编码不在档案里",IF(N($J3553)&lt;=0,"※出库数量要大于 0",IF($K3553="","※没填去向类型",IF($L3553="","※没填去向矿区",IF(AND($C3553&lt;&gt;"",$C3553&lt;=结账锁),"※日期早于已结账截止日，不能再录",IF(AND($K3553="自用消耗",COUNTIF({"一矿区";"二矿区"},$L3553)=0),"※自用消耗的去向只能是一矿区或二矿区",IF(AND($K3553="对外销售",COUNTIF({"三矿区";"六矿区"},$L3553)=0),"※对外销售的去向只能是三矿区或六矿区",IF(AND($K3553="对外销售",ROUND($Q3553,0)=0),"※外销却没有售价，请填实际售价",IF(AND($K3553="对外销售",$T3553&lt;&gt;"",$T3553&lt;0),"※这一笔外销是亏的，请核对售价",IF(IFERROR(VLOOKUP($D3553,库存台账!$A$5:$Y$1204,24,0),0)&lt;-0.001,"※这个物料账面已经变成负数了，查一下是不是漏记入库","")))))))))))</f>
        <v/>
      </c>
    </row>
    <row r="3554">
      <c r="A3554" s="24">
        <f>IF($D3554="","",COUNTA($D$4:$D3554))</f>
        <v/>
      </c>
      <c r="B3554" s="17" t="n"/>
      <c r="C3554" s="30" t="n"/>
      <c r="D3554" s="17" t="n"/>
      <c r="E3554" s="24">
        <f>IF($D3554="","",IFERROR(VLOOKUP($D3554,物料档案!$A$4:$P$1203,3,0),"※编码不在物料档案里"))</f>
        <v/>
      </c>
      <c r="F3554" s="24">
        <f>IF($D3554="","",IFERROR(VLOOKUP($D3554,物料档案!$A$4:$P$1203,4,0),"※编码不在物料档案里"))</f>
        <v/>
      </c>
      <c r="G3554" s="24">
        <f>IF($D3554="","",IFERROR(VLOOKUP($D3554,物料档案!$A$4:$P$1203,5,0),"※编码不在物料档案里"))</f>
        <v/>
      </c>
      <c r="H3554" s="24">
        <f>IF($D3554="","",IFERROR(VLOOKUP($D3554,物料档案!$A$4:$P$1203,2,0),"※编码不在物料档案里"))</f>
        <v/>
      </c>
      <c r="I3554" s="24">
        <f>IF($D3554="","",IFERROR(VLOOKUP($D3554,物料档案!$A$4:$P$1203,6,0),"※编码不在物料档案里"))</f>
        <v/>
      </c>
      <c r="J3554" s="23" t="n"/>
      <c r="K3554" s="17" t="n"/>
      <c r="L3554" s="17" t="n"/>
      <c r="M3554" s="17" t="n"/>
      <c r="N3554" s="17" t="n"/>
      <c r="O3554" s="26">
        <f>IF($D3554="","",IFERROR(VLOOKUP($D3554,物料档案!$A$4:$P$1203,10,0),0))</f>
        <v/>
      </c>
      <c r="P3554" s="32" t="n"/>
      <c r="Q3554" s="26">
        <f>IF($D3554="","",IF($K3554&lt;&gt;"对外销售",0,ROUND(N($J3554)*IF($P3554="",N($O3554),N($P3554)),0)))</f>
        <v/>
      </c>
      <c r="R3554" s="26">
        <f>IF($D3554="","",IFERROR(VLOOKUP($D3554,库存台账!$A$5:$Y$1204,11,0),0))</f>
        <v/>
      </c>
      <c r="S3554" s="26">
        <f>IF($D3554="","",ROUND(N($J3554)*N($R3554),0))</f>
        <v/>
      </c>
      <c r="T3554" s="26">
        <f>IF($D3554="","",IF($K3554&lt;&gt;"对外销售","",ROUND($Q3554-$S3554,0)))</f>
        <v/>
      </c>
      <c r="U3554" s="17" t="n"/>
      <c r="V3554" s="17" t="n"/>
      <c r="W3554" s="24">
        <f>IF($D3554="","",IF($E3554="※编码不在物料档案里","※物料编码不在档案里",IF(N($J3554)&lt;=0,"※出库数量要大于 0",IF($K3554="","※没填去向类型",IF($L3554="","※没填去向矿区",IF(AND($C3554&lt;&gt;"",$C3554&lt;=结账锁),"※日期早于已结账截止日，不能再录",IF(AND($K3554="自用消耗",COUNTIF({"一矿区";"二矿区"},$L3554)=0),"※自用消耗的去向只能是一矿区或二矿区",IF(AND($K3554="对外销售",COUNTIF({"三矿区";"六矿区"},$L3554)=0),"※对外销售的去向只能是三矿区或六矿区",IF(AND($K3554="对外销售",ROUND($Q3554,0)=0),"※外销却没有售价，请填实际售价",IF(AND($K3554="对外销售",$T3554&lt;&gt;"",$T3554&lt;0),"※这一笔外销是亏的，请核对售价",IF(IFERROR(VLOOKUP($D3554,库存台账!$A$5:$Y$1204,24,0),0)&lt;-0.001,"※这个物料账面已经变成负数了，查一下是不是漏记入库","")))))))))))</f>
        <v/>
      </c>
    </row>
    <row r="3555">
      <c r="A3555" s="24">
        <f>IF($D3555="","",COUNTA($D$4:$D3555))</f>
        <v/>
      </c>
      <c r="B3555" s="17" t="n"/>
      <c r="C3555" s="30" t="n"/>
      <c r="D3555" s="17" t="n"/>
      <c r="E3555" s="24">
        <f>IF($D3555="","",IFERROR(VLOOKUP($D3555,物料档案!$A$4:$P$1203,3,0),"※编码不在物料档案里"))</f>
        <v/>
      </c>
      <c r="F3555" s="24">
        <f>IF($D3555="","",IFERROR(VLOOKUP($D3555,物料档案!$A$4:$P$1203,4,0),"※编码不在物料档案里"))</f>
        <v/>
      </c>
      <c r="G3555" s="24">
        <f>IF($D3555="","",IFERROR(VLOOKUP($D3555,物料档案!$A$4:$P$1203,5,0),"※编码不在物料档案里"))</f>
        <v/>
      </c>
      <c r="H3555" s="24">
        <f>IF($D3555="","",IFERROR(VLOOKUP($D3555,物料档案!$A$4:$P$1203,2,0),"※编码不在物料档案里"))</f>
        <v/>
      </c>
      <c r="I3555" s="24">
        <f>IF($D3555="","",IFERROR(VLOOKUP($D3555,物料档案!$A$4:$P$1203,6,0),"※编码不在物料档案里"))</f>
        <v/>
      </c>
      <c r="J3555" s="23" t="n"/>
      <c r="K3555" s="17" t="n"/>
      <c r="L3555" s="17" t="n"/>
      <c r="M3555" s="17" t="n"/>
      <c r="N3555" s="17" t="n"/>
      <c r="O3555" s="26">
        <f>IF($D3555="","",IFERROR(VLOOKUP($D3555,物料档案!$A$4:$P$1203,10,0),0))</f>
        <v/>
      </c>
      <c r="P3555" s="32" t="n"/>
      <c r="Q3555" s="26">
        <f>IF($D3555="","",IF($K3555&lt;&gt;"对外销售",0,ROUND(N($J3555)*IF($P3555="",N($O3555),N($P3555)),0)))</f>
        <v/>
      </c>
      <c r="R3555" s="26">
        <f>IF($D3555="","",IFERROR(VLOOKUP($D3555,库存台账!$A$5:$Y$1204,11,0),0))</f>
        <v/>
      </c>
      <c r="S3555" s="26">
        <f>IF($D3555="","",ROUND(N($J3555)*N($R3555),0))</f>
        <v/>
      </c>
      <c r="T3555" s="26">
        <f>IF($D3555="","",IF($K3555&lt;&gt;"对外销售","",ROUND($Q3555-$S3555,0)))</f>
        <v/>
      </c>
      <c r="U3555" s="17" t="n"/>
      <c r="V3555" s="17" t="n"/>
      <c r="W3555" s="24">
        <f>IF($D3555="","",IF($E3555="※编码不在物料档案里","※物料编码不在档案里",IF(N($J3555)&lt;=0,"※出库数量要大于 0",IF($K3555="","※没填去向类型",IF($L3555="","※没填去向矿区",IF(AND($C3555&lt;&gt;"",$C3555&lt;=结账锁),"※日期早于已结账截止日，不能再录",IF(AND($K3555="自用消耗",COUNTIF({"一矿区";"二矿区"},$L3555)=0),"※自用消耗的去向只能是一矿区或二矿区",IF(AND($K3555="对外销售",COUNTIF({"三矿区";"六矿区"},$L3555)=0),"※对外销售的去向只能是三矿区或六矿区",IF(AND($K3555="对外销售",ROUND($Q3555,0)=0),"※外销却没有售价，请填实际售价",IF(AND($K3555="对外销售",$T3555&lt;&gt;"",$T3555&lt;0),"※这一笔外销是亏的，请核对售价",IF(IFERROR(VLOOKUP($D3555,库存台账!$A$5:$Y$1204,24,0),0)&lt;-0.001,"※这个物料账面已经变成负数了，查一下是不是漏记入库","")))))))))))</f>
        <v/>
      </c>
    </row>
    <row r="3556">
      <c r="A3556" s="24">
        <f>IF($D3556="","",COUNTA($D$4:$D3556))</f>
        <v/>
      </c>
      <c r="B3556" s="17" t="n"/>
      <c r="C3556" s="30" t="n"/>
      <c r="D3556" s="17" t="n"/>
      <c r="E3556" s="24">
        <f>IF($D3556="","",IFERROR(VLOOKUP($D3556,物料档案!$A$4:$P$1203,3,0),"※编码不在物料档案里"))</f>
        <v/>
      </c>
      <c r="F3556" s="24">
        <f>IF($D3556="","",IFERROR(VLOOKUP($D3556,物料档案!$A$4:$P$1203,4,0),"※编码不在物料档案里"))</f>
        <v/>
      </c>
      <c r="G3556" s="24">
        <f>IF($D3556="","",IFERROR(VLOOKUP($D3556,物料档案!$A$4:$P$1203,5,0),"※编码不在物料档案里"))</f>
        <v/>
      </c>
      <c r="H3556" s="24">
        <f>IF($D3556="","",IFERROR(VLOOKUP($D3556,物料档案!$A$4:$P$1203,2,0),"※编码不在物料档案里"))</f>
        <v/>
      </c>
      <c r="I3556" s="24">
        <f>IF($D3556="","",IFERROR(VLOOKUP($D3556,物料档案!$A$4:$P$1203,6,0),"※编码不在物料档案里"))</f>
        <v/>
      </c>
      <c r="J3556" s="23" t="n"/>
      <c r="K3556" s="17" t="n"/>
      <c r="L3556" s="17" t="n"/>
      <c r="M3556" s="17" t="n"/>
      <c r="N3556" s="17" t="n"/>
      <c r="O3556" s="26">
        <f>IF($D3556="","",IFERROR(VLOOKUP($D3556,物料档案!$A$4:$P$1203,10,0),0))</f>
        <v/>
      </c>
      <c r="P3556" s="32" t="n"/>
      <c r="Q3556" s="26">
        <f>IF($D3556="","",IF($K3556&lt;&gt;"对外销售",0,ROUND(N($J3556)*IF($P3556="",N($O3556),N($P3556)),0)))</f>
        <v/>
      </c>
      <c r="R3556" s="26">
        <f>IF($D3556="","",IFERROR(VLOOKUP($D3556,库存台账!$A$5:$Y$1204,11,0),0))</f>
        <v/>
      </c>
      <c r="S3556" s="26">
        <f>IF($D3556="","",ROUND(N($J3556)*N($R3556),0))</f>
        <v/>
      </c>
      <c r="T3556" s="26">
        <f>IF($D3556="","",IF($K3556&lt;&gt;"对外销售","",ROUND($Q3556-$S3556,0)))</f>
        <v/>
      </c>
      <c r="U3556" s="17" t="n"/>
      <c r="V3556" s="17" t="n"/>
      <c r="W3556" s="24">
        <f>IF($D3556="","",IF($E3556="※编码不在物料档案里","※物料编码不在档案里",IF(N($J3556)&lt;=0,"※出库数量要大于 0",IF($K3556="","※没填去向类型",IF($L3556="","※没填去向矿区",IF(AND($C3556&lt;&gt;"",$C3556&lt;=结账锁),"※日期早于已结账截止日，不能再录",IF(AND($K3556="自用消耗",COUNTIF({"一矿区";"二矿区"},$L3556)=0),"※自用消耗的去向只能是一矿区或二矿区",IF(AND($K3556="对外销售",COUNTIF({"三矿区";"六矿区"},$L3556)=0),"※对外销售的去向只能是三矿区或六矿区",IF(AND($K3556="对外销售",ROUND($Q3556,0)=0),"※外销却没有售价，请填实际售价",IF(AND($K3556="对外销售",$T3556&lt;&gt;"",$T3556&lt;0),"※这一笔外销是亏的，请核对售价",IF(IFERROR(VLOOKUP($D3556,库存台账!$A$5:$Y$1204,24,0),0)&lt;-0.001,"※这个物料账面已经变成负数了，查一下是不是漏记入库","")))))))))))</f>
        <v/>
      </c>
    </row>
    <row r="3557">
      <c r="A3557" s="24">
        <f>IF($D3557="","",COUNTA($D$4:$D3557))</f>
        <v/>
      </c>
      <c r="B3557" s="17" t="n"/>
      <c r="C3557" s="30" t="n"/>
      <c r="D3557" s="17" t="n"/>
      <c r="E3557" s="24">
        <f>IF($D3557="","",IFERROR(VLOOKUP($D3557,物料档案!$A$4:$P$1203,3,0),"※编码不在物料档案里"))</f>
        <v/>
      </c>
      <c r="F3557" s="24">
        <f>IF($D3557="","",IFERROR(VLOOKUP($D3557,物料档案!$A$4:$P$1203,4,0),"※编码不在物料档案里"))</f>
        <v/>
      </c>
      <c r="G3557" s="24">
        <f>IF($D3557="","",IFERROR(VLOOKUP($D3557,物料档案!$A$4:$P$1203,5,0),"※编码不在物料档案里"))</f>
        <v/>
      </c>
      <c r="H3557" s="24">
        <f>IF($D3557="","",IFERROR(VLOOKUP($D3557,物料档案!$A$4:$P$1203,2,0),"※编码不在物料档案里"))</f>
        <v/>
      </c>
      <c r="I3557" s="24">
        <f>IF($D3557="","",IFERROR(VLOOKUP($D3557,物料档案!$A$4:$P$1203,6,0),"※编码不在物料档案里"))</f>
        <v/>
      </c>
      <c r="J3557" s="23" t="n"/>
      <c r="K3557" s="17" t="n"/>
      <c r="L3557" s="17" t="n"/>
      <c r="M3557" s="17" t="n"/>
      <c r="N3557" s="17" t="n"/>
      <c r="O3557" s="26">
        <f>IF($D3557="","",IFERROR(VLOOKUP($D3557,物料档案!$A$4:$P$1203,10,0),0))</f>
        <v/>
      </c>
      <c r="P3557" s="32" t="n"/>
      <c r="Q3557" s="26">
        <f>IF($D3557="","",IF($K3557&lt;&gt;"对外销售",0,ROUND(N($J3557)*IF($P3557="",N($O3557),N($P3557)),0)))</f>
        <v/>
      </c>
      <c r="R3557" s="26">
        <f>IF($D3557="","",IFERROR(VLOOKUP($D3557,库存台账!$A$5:$Y$1204,11,0),0))</f>
        <v/>
      </c>
      <c r="S3557" s="26">
        <f>IF($D3557="","",ROUND(N($J3557)*N($R3557),0))</f>
        <v/>
      </c>
      <c r="T3557" s="26">
        <f>IF($D3557="","",IF($K3557&lt;&gt;"对外销售","",ROUND($Q3557-$S3557,0)))</f>
        <v/>
      </c>
      <c r="U3557" s="17" t="n"/>
      <c r="V3557" s="17" t="n"/>
      <c r="W3557" s="24">
        <f>IF($D3557="","",IF($E3557="※编码不在物料档案里","※物料编码不在档案里",IF(N($J3557)&lt;=0,"※出库数量要大于 0",IF($K3557="","※没填去向类型",IF($L3557="","※没填去向矿区",IF(AND($C3557&lt;&gt;"",$C3557&lt;=结账锁),"※日期早于已结账截止日，不能再录",IF(AND($K3557="自用消耗",COUNTIF({"一矿区";"二矿区"},$L3557)=0),"※自用消耗的去向只能是一矿区或二矿区",IF(AND($K3557="对外销售",COUNTIF({"三矿区";"六矿区"},$L3557)=0),"※对外销售的去向只能是三矿区或六矿区",IF(AND($K3557="对外销售",ROUND($Q3557,0)=0),"※外销却没有售价，请填实际售价",IF(AND($K3557="对外销售",$T3557&lt;&gt;"",$T3557&lt;0),"※这一笔外销是亏的，请核对售价",IF(IFERROR(VLOOKUP($D3557,库存台账!$A$5:$Y$1204,24,0),0)&lt;-0.001,"※这个物料账面已经变成负数了，查一下是不是漏记入库","")))))))))))</f>
        <v/>
      </c>
    </row>
    <row r="3558">
      <c r="A3558" s="24">
        <f>IF($D3558="","",COUNTA($D$4:$D3558))</f>
        <v/>
      </c>
      <c r="B3558" s="17" t="n"/>
      <c r="C3558" s="30" t="n"/>
      <c r="D3558" s="17" t="n"/>
      <c r="E3558" s="24">
        <f>IF($D3558="","",IFERROR(VLOOKUP($D3558,物料档案!$A$4:$P$1203,3,0),"※编码不在物料档案里"))</f>
        <v/>
      </c>
      <c r="F3558" s="24">
        <f>IF($D3558="","",IFERROR(VLOOKUP($D3558,物料档案!$A$4:$P$1203,4,0),"※编码不在物料档案里"))</f>
        <v/>
      </c>
      <c r="G3558" s="24">
        <f>IF($D3558="","",IFERROR(VLOOKUP($D3558,物料档案!$A$4:$P$1203,5,0),"※编码不在物料档案里"))</f>
        <v/>
      </c>
      <c r="H3558" s="24">
        <f>IF($D3558="","",IFERROR(VLOOKUP($D3558,物料档案!$A$4:$P$1203,2,0),"※编码不在物料档案里"))</f>
        <v/>
      </c>
      <c r="I3558" s="24">
        <f>IF($D3558="","",IFERROR(VLOOKUP($D3558,物料档案!$A$4:$P$1203,6,0),"※编码不在物料档案里"))</f>
        <v/>
      </c>
      <c r="J3558" s="23" t="n"/>
      <c r="K3558" s="17" t="n"/>
      <c r="L3558" s="17" t="n"/>
      <c r="M3558" s="17" t="n"/>
      <c r="N3558" s="17" t="n"/>
      <c r="O3558" s="26">
        <f>IF($D3558="","",IFERROR(VLOOKUP($D3558,物料档案!$A$4:$P$1203,10,0),0))</f>
        <v/>
      </c>
      <c r="P3558" s="32" t="n"/>
      <c r="Q3558" s="26">
        <f>IF($D3558="","",IF($K3558&lt;&gt;"对外销售",0,ROUND(N($J3558)*IF($P3558="",N($O3558),N($P3558)),0)))</f>
        <v/>
      </c>
      <c r="R3558" s="26">
        <f>IF($D3558="","",IFERROR(VLOOKUP($D3558,库存台账!$A$5:$Y$1204,11,0),0))</f>
        <v/>
      </c>
      <c r="S3558" s="26">
        <f>IF($D3558="","",ROUND(N($J3558)*N($R3558),0))</f>
        <v/>
      </c>
      <c r="T3558" s="26">
        <f>IF($D3558="","",IF($K3558&lt;&gt;"对外销售","",ROUND($Q3558-$S3558,0)))</f>
        <v/>
      </c>
      <c r="U3558" s="17" t="n"/>
      <c r="V3558" s="17" t="n"/>
      <c r="W3558" s="24">
        <f>IF($D3558="","",IF($E3558="※编码不在物料档案里","※物料编码不在档案里",IF(N($J3558)&lt;=0,"※出库数量要大于 0",IF($K3558="","※没填去向类型",IF($L3558="","※没填去向矿区",IF(AND($C3558&lt;&gt;"",$C3558&lt;=结账锁),"※日期早于已结账截止日，不能再录",IF(AND($K3558="自用消耗",COUNTIF({"一矿区";"二矿区"},$L3558)=0),"※自用消耗的去向只能是一矿区或二矿区",IF(AND($K3558="对外销售",COUNTIF({"三矿区";"六矿区"},$L3558)=0),"※对外销售的去向只能是三矿区或六矿区",IF(AND($K3558="对外销售",ROUND($Q3558,0)=0),"※外销却没有售价，请填实际售价",IF(AND($K3558="对外销售",$T3558&lt;&gt;"",$T3558&lt;0),"※这一笔外销是亏的，请核对售价",IF(IFERROR(VLOOKUP($D3558,库存台账!$A$5:$Y$1204,24,0),0)&lt;-0.001,"※这个物料账面已经变成负数了，查一下是不是漏记入库","")))))))))))</f>
        <v/>
      </c>
    </row>
    <row r="3559">
      <c r="A3559" s="24">
        <f>IF($D3559="","",COUNTA($D$4:$D3559))</f>
        <v/>
      </c>
      <c r="B3559" s="17" t="n"/>
      <c r="C3559" s="30" t="n"/>
      <c r="D3559" s="17" t="n"/>
      <c r="E3559" s="24">
        <f>IF($D3559="","",IFERROR(VLOOKUP($D3559,物料档案!$A$4:$P$1203,3,0),"※编码不在物料档案里"))</f>
        <v/>
      </c>
      <c r="F3559" s="24">
        <f>IF($D3559="","",IFERROR(VLOOKUP($D3559,物料档案!$A$4:$P$1203,4,0),"※编码不在物料档案里"))</f>
        <v/>
      </c>
      <c r="G3559" s="24">
        <f>IF($D3559="","",IFERROR(VLOOKUP($D3559,物料档案!$A$4:$P$1203,5,0),"※编码不在物料档案里"))</f>
        <v/>
      </c>
      <c r="H3559" s="24">
        <f>IF($D3559="","",IFERROR(VLOOKUP($D3559,物料档案!$A$4:$P$1203,2,0),"※编码不在物料档案里"))</f>
        <v/>
      </c>
      <c r="I3559" s="24">
        <f>IF($D3559="","",IFERROR(VLOOKUP($D3559,物料档案!$A$4:$P$1203,6,0),"※编码不在物料档案里"))</f>
        <v/>
      </c>
      <c r="J3559" s="23" t="n"/>
      <c r="K3559" s="17" t="n"/>
      <c r="L3559" s="17" t="n"/>
      <c r="M3559" s="17" t="n"/>
      <c r="N3559" s="17" t="n"/>
      <c r="O3559" s="26">
        <f>IF($D3559="","",IFERROR(VLOOKUP($D3559,物料档案!$A$4:$P$1203,10,0),0))</f>
        <v/>
      </c>
      <c r="P3559" s="32" t="n"/>
      <c r="Q3559" s="26">
        <f>IF($D3559="","",IF($K3559&lt;&gt;"对外销售",0,ROUND(N($J3559)*IF($P3559="",N($O3559),N($P3559)),0)))</f>
        <v/>
      </c>
      <c r="R3559" s="26">
        <f>IF($D3559="","",IFERROR(VLOOKUP($D3559,库存台账!$A$5:$Y$1204,11,0),0))</f>
        <v/>
      </c>
      <c r="S3559" s="26">
        <f>IF($D3559="","",ROUND(N($J3559)*N($R3559),0))</f>
        <v/>
      </c>
      <c r="T3559" s="26">
        <f>IF($D3559="","",IF($K3559&lt;&gt;"对外销售","",ROUND($Q3559-$S3559,0)))</f>
        <v/>
      </c>
      <c r="U3559" s="17" t="n"/>
      <c r="V3559" s="17" t="n"/>
      <c r="W3559" s="24">
        <f>IF($D3559="","",IF($E3559="※编码不在物料档案里","※物料编码不在档案里",IF(N($J3559)&lt;=0,"※出库数量要大于 0",IF($K3559="","※没填去向类型",IF($L3559="","※没填去向矿区",IF(AND($C3559&lt;&gt;"",$C3559&lt;=结账锁),"※日期早于已结账截止日，不能再录",IF(AND($K3559="自用消耗",COUNTIF({"一矿区";"二矿区"},$L3559)=0),"※自用消耗的去向只能是一矿区或二矿区",IF(AND($K3559="对外销售",COUNTIF({"三矿区";"六矿区"},$L3559)=0),"※对外销售的去向只能是三矿区或六矿区",IF(AND($K3559="对外销售",ROUND($Q3559,0)=0),"※外销却没有售价，请填实际售价",IF(AND($K3559="对外销售",$T3559&lt;&gt;"",$T3559&lt;0),"※这一笔外销是亏的，请核对售价",IF(IFERROR(VLOOKUP($D3559,库存台账!$A$5:$Y$1204,24,0),0)&lt;-0.001,"※这个物料账面已经变成负数了，查一下是不是漏记入库","")))))))))))</f>
        <v/>
      </c>
    </row>
    <row r="3560">
      <c r="A3560" s="24">
        <f>IF($D3560="","",COUNTA($D$4:$D3560))</f>
        <v/>
      </c>
      <c r="B3560" s="17" t="n"/>
      <c r="C3560" s="30" t="n"/>
      <c r="D3560" s="17" t="n"/>
      <c r="E3560" s="24">
        <f>IF($D3560="","",IFERROR(VLOOKUP($D3560,物料档案!$A$4:$P$1203,3,0),"※编码不在物料档案里"))</f>
        <v/>
      </c>
      <c r="F3560" s="24">
        <f>IF($D3560="","",IFERROR(VLOOKUP($D3560,物料档案!$A$4:$P$1203,4,0),"※编码不在物料档案里"))</f>
        <v/>
      </c>
      <c r="G3560" s="24">
        <f>IF($D3560="","",IFERROR(VLOOKUP($D3560,物料档案!$A$4:$P$1203,5,0),"※编码不在物料档案里"))</f>
        <v/>
      </c>
      <c r="H3560" s="24">
        <f>IF($D3560="","",IFERROR(VLOOKUP($D3560,物料档案!$A$4:$P$1203,2,0),"※编码不在物料档案里"))</f>
        <v/>
      </c>
      <c r="I3560" s="24">
        <f>IF($D3560="","",IFERROR(VLOOKUP($D3560,物料档案!$A$4:$P$1203,6,0),"※编码不在物料档案里"))</f>
        <v/>
      </c>
      <c r="J3560" s="23" t="n"/>
      <c r="K3560" s="17" t="n"/>
      <c r="L3560" s="17" t="n"/>
      <c r="M3560" s="17" t="n"/>
      <c r="N3560" s="17" t="n"/>
      <c r="O3560" s="26">
        <f>IF($D3560="","",IFERROR(VLOOKUP($D3560,物料档案!$A$4:$P$1203,10,0),0))</f>
        <v/>
      </c>
      <c r="P3560" s="32" t="n"/>
      <c r="Q3560" s="26">
        <f>IF($D3560="","",IF($K3560&lt;&gt;"对外销售",0,ROUND(N($J3560)*IF($P3560="",N($O3560),N($P3560)),0)))</f>
        <v/>
      </c>
      <c r="R3560" s="26">
        <f>IF($D3560="","",IFERROR(VLOOKUP($D3560,库存台账!$A$5:$Y$1204,11,0),0))</f>
        <v/>
      </c>
      <c r="S3560" s="26">
        <f>IF($D3560="","",ROUND(N($J3560)*N($R3560),0))</f>
        <v/>
      </c>
      <c r="T3560" s="26">
        <f>IF($D3560="","",IF($K3560&lt;&gt;"对外销售","",ROUND($Q3560-$S3560,0)))</f>
        <v/>
      </c>
      <c r="U3560" s="17" t="n"/>
      <c r="V3560" s="17" t="n"/>
      <c r="W3560" s="24">
        <f>IF($D3560="","",IF($E3560="※编码不在物料档案里","※物料编码不在档案里",IF(N($J3560)&lt;=0,"※出库数量要大于 0",IF($K3560="","※没填去向类型",IF($L3560="","※没填去向矿区",IF(AND($C3560&lt;&gt;"",$C3560&lt;=结账锁),"※日期早于已结账截止日，不能再录",IF(AND($K3560="自用消耗",COUNTIF({"一矿区";"二矿区"},$L3560)=0),"※自用消耗的去向只能是一矿区或二矿区",IF(AND($K3560="对外销售",COUNTIF({"三矿区";"六矿区"},$L3560)=0),"※对外销售的去向只能是三矿区或六矿区",IF(AND($K3560="对外销售",ROUND($Q3560,0)=0),"※外销却没有售价，请填实际售价",IF(AND($K3560="对外销售",$T3560&lt;&gt;"",$T3560&lt;0),"※这一笔外销是亏的，请核对售价",IF(IFERROR(VLOOKUP($D3560,库存台账!$A$5:$Y$1204,24,0),0)&lt;-0.001,"※这个物料账面已经变成负数了，查一下是不是漏记入库","")))))))))))</f>
        <v/>
      </c>
    </row>
    <row r="3561">
      <c r="A3561" s="24">
        <f>IF($D3561="","",COUNTA($D$4:$D3561))</f>
        <v/>
      </c>
      <c r="B3561" s="17" t="n"/>
      <c r="C3561" s="30" t="n"/>
      <c r="D3561" s="17" t="n"/>
      <c r="E3561" s="24">
        <f>IF($D3561="","",IFERROR(VLOOKUP($D3561,物料档案!$A$4:$P$1203,3,0),"※编码不在物料档案里"))</f>
        <v/>
      </c>
      <c r="F3561" s="24">
        <f>IF($D3561="","",IFERROR(VLOOKUP($D3561,物料档案!$A$4:$P$1203,4,0),"※编码不在物料档案里"))</f>
        <v/>
      </c>
      <c r="G3561" s="24">
        <f>IF($D3561="","",IFERROR(VLOOKUP($D3561,物料档案!$A$4:$P$1203,5,0),"※编码不在物料档案里"))</f>
        <v/>
      </c>
      <c r="H3561" s="24">
        <f>IF($D3561="","",IFERROR(VLOOKUP($D3561,物料档案!$A$4:$P$1203,2,0),"※编码不在物料档案里"))</f>
        <v/>
      </c>
      <c r="I3561" s="24">
        <f>IF($D3561="","",IFERROR(VLOOKUP($D3561,物料档案!$A$4:$P$1203,6,0),"※编码不在物料档案里"))</f>
        <v/>
      </c>
      <c r="J3561" s="23" t="n"/>
      <c r="K3561" s="17" t="n"/>
      <c r="L3561" s="17" t="n"/>
      <c r="M3561" s="17" t="n"/>
      <c r="N3561" s="17" t="n"/>
      <c r="O3561" s="26">
        <f>IF($D3561="","",IFERROR(VLOOKUP($D3561,物料档案!$A$4:$P$1203,10,0),0))</f>
        <v/>
      </c>
      <c r="P3561" s="32" t="n"/>
      <c r="Q3561" s="26">
        <f>IF($D3561="","",IF($K3561&lt;&gt;"对外销售",0,ROUND(N($J3561)*IF($P3561="",N($O3561),N($P3561)),0)))</f>
        <v/>
      </c>
      <c r="R3561" s="26">
        <f>IF($D3561="","",IFERROR(VLOOKUP($D3561,库存台账!$A$5:$Y$1204,11,0),0))</f>
        <v/>
      </c>
      <c r="S3561" s="26">
        <f>IF($D3561="","",ROUND(N($J3561)*N($R3561),0))</f>
        <v/>
      </c>
      <c r="T3561" s="26">
        <f>IF($D3561="","",IF($K3561&lt;&gt;"对外销售","",ROUND($Q3561-$S3561,0)))</f>
        <v/>
      </c>
      <c r="U3561" s="17" t="n"/>
      <c r="V3561" s="17" t="n"/>
      <c r="W3561" s="24">
        <f>IF($D3561="","",IF($E3561="※编码不在物料档案里","※物料编码不在档案里",IF(N($J3561)&lt;=0,"※出库数量要大于 0",IF($K3561="","※没填去向类型",IF($L3561="","※没填去向矿区",IF(AND($C3561&lt;&gt;"",$C3561&lt;=结账锁),"※日期早于已结账截止日，不能再录",IF(AND($K3561="自用消耗",COUNTIF({"一矿区";"二矿区"},$L3561)=0),"※自用消耗的去向只能是一矿区或二矿区",IF(AND($K3561="对外销售",COUNTIF({"三矿区";"六矿区"},$L3561)=0),"※对外销售的去向只能是三矿区或六矿区",IF(AND($K3561="对外销售",ROUND($Q3561,0)=0),"※外销却没有售价，请填实际售价",IF(AND($K3561="对外销售",$T3561&lt;&gt;"",$T3561&lt;0),"※这一笔外销是亏的，请核对售价",IF(IFERROR(VLOOKUP($D3561,库存台账!$A$5:$Y$1204,24,0),0)&lt;-0.001,"※这个物料账面已经变成负数了，查一下是不是漏记入库","")))))))))))</f>
        <v/>
      </c>
    </row>
    <row r="3562">
      <c r="A3562" s="24">
        <f>IF($D3562="","",COUNTA($D$4:$D3562))</f>
        <v/>
      </c>
      <c r="B3562" s="17" t="n"/>
      <c r="C3562" s="30" t="n"/>
      <c r="D3562" s="17" t="n"/>
      <c r="E3562" s="24">
        <f>IF($D3562="","",IFERROR(VLOOKUP($D3562,物料档案!$A$4:$P$1203,3,0),"※编码不在物料档案里"))</f>
        <v/>
      </c>
      <c r="F3562" s="24">
        <f>IF($D3562="","",IFERROR(VLOOKUP($D3562,物料档案!$A$4:$P$1203,4,0),"※编码不在物料档案里"))</f>
        <v/>
      </c>
      <c r="G3562" s="24">
        <f>IF($D3562="","",IFERROR(VLOOKUP($D3562,物料档案!$A$4:$P$1203,5,0),"※编码不在物料档案里"))</f>
        <v/>
      </c>
      <c r="H3562" s="24">
        <f>IF($D3562="","",IFERROR(VLOOKUP($D3562,物料档案!$A$4:$P$1203,2,0),"※编码不在物料档案里"))</f>
        <v/>
      </c>
      <c r="I3562" s="24">
        <f>IF($D3562="","",IFERROR(VLOOKUP($D3562,物料档案!$A$4:$P$1203,6,0),"※编码不在物料档案里"))</f>
        <v/>
      </c>
      <c r="J3562" s="23" t="n"/>
      <c r="K3562" s="17" t="n"/>
      <c r="L3562" s="17" t="n"/>
      <c r="M3562" s="17" t="n"/>
      <c r="N3562" s="17" t="n"/>
      <c r="O3562" s="26">
        <f>IF($D3562="","",IFERROR(VLOOKUP($D3562,物料档案!$A$4:$P$1203,10,0),0))</f>
        <v/>
      </c>
      <c r="P3562" s="32" t="n"/>
      <c r="Q3562" s="26">
        <f>IF($D3562="","",IF($K3562&lt;&gt;"对外销售",0,ROUND(N($J3562)*IF($P3562="",N($O3562),N($P3562)),0)))</f>
        <v/>
      </c>
      <c r="R3562" s="26">
        <f>IF($D3562="","",IFERROR(VLOOKUP($D3562,库存台账!$A$5:$Y$1204,11,0),0))</f>
        <v/>
      </c>
      <c r="S3562" s="26">
        <f>IF($D3562="","",ROUND(N($J3562)*N($R3562),0))</f>
        <v/>
      </c>
      <c r="T3562" s="26">
        <f>IF($D3562="","",IF($K3562&lt;&gt;"对外销售","",ROUND($Q3562-$S3562,0)))</f>
        <v/>
      </c>
      <c r="U3562" s="17" t="n"/>
      <c r="V3562" s="17" t="n"/>
      <c r="W3562" s="24">
        <f>IF($D3562="","",IF($E3562="※编码不在物料档案里","※物料编码不在档案里",IF(N($J3562)&lt;=0,"※出库数量要大于 0",IF($K3562="","※没填去向类型",IF($L3562="","※没填去向矿区",IF(AND($C3562&lt;&gt;"",$C3562&lt;=结账锁),"※日期早于已结账截止日，不能再录",IF(AND($K3562="自用消耗",COUNTIF({"一矿区";"二矿区"},$L3562)=0),"※自用消耗的去向只能是一矿区或二矿区",IF(AND($K3562="对外销售",COUNTIF({"三矿区";"六矿区"},$L3562)=0),"※对外销售的去向只能是三矿区或六矿区",IF(AND($K3562="对外销售",ROUND($Q3562,0)=0),"※外销却没有售价，请填实际售价",IF(AND($K3562="对外销售",$T3562&lt;&gt;"",$T3562&lt;0),"※这一笔外销是亏的，请核对售价",IF(IFERROR(VLOOKUP($D3562,库存台账!$A$5:$Y$1204,24,0),0)&lt;-0.001,"※这个物料账面已经变成负数了，查一下是不是漏记入库","")))))))))))</f>
        <v/>
      </c>
    </row>
    <row r="3563">
      <c r="A3563" s="24">
        <f>IF($D3563="","",COUNTA($D$4:$D3563))</f>
        <v/>
      </c>
      <c r="B3563" s="17" t="n"/>
      <c r="C3563" s="30" t="n"/>
      <c r="D3563" s="17" t="n"/>
      <c r="E3563" s="24">
        <f>IF($D3563="","",IFERROR(VLOOKUP($D3563,物料档案!$A$4:$P$1203,3,0),"※编码不在物料档案里"))</f>
        <v/>
      </c>
      <c r="F3563" s="24">
        <f>IF($D3563="","",IFERROR(VLOOKUP($D3563,物料档案!$A$4:$P$1203,4,0),"※编码不在物料档案里"))</f>
        <v/>
      </c>
      <c r="G3563" s="24">
        <f>IF($D3563="","",IFERROR(VLOOKUP($D3563,物料档案!$A$4:$P$1203,5,0),"※编码不在物料档案里"))</f>
        <v/>
      </c>
      <c r="H3563" s="24">
        <f>IF($D3563="","",IFERROR(VLOOKUP($D3563,物料档案!$A$4:$P$1203,2,0),"※编码不在物料档案里"))</f>
        <v/>
      </c>
      <c r="I3563" s="24">
        <f>IF($D3563="","",IFERROR(VLOOKUP($D3563,物料档案!$A$4:$P$1203,6,0),"※编码不在物料档案里"))</f>
        <v/>
      </c>
      <c r="J3563" s="23" t="n"/>
      <c r="K3563" s="17" t="n"/>
      <c r="L3563" s="17" t="n"/>
      <c r="M3563" s="17" t="n"/>
      <c r="N3563" s="17" t="n"/>
      <c r="O3563" s="26">
        <f>IF($D3563="","",IFERROR(VLOOKUP($D3563,物料档案!$A$4:$P$1203,10,0),0))</f>
        <v/>
      </c>
      <c r="P3563" s="32" t="n"/>
      <c r="Q3563" s="26">
        <f>IF($D3563="","",IF($K3563&lt;&gt;"对外销售",0,ROUND(N($J3563)*IF($P3563="",N($O3563),N($P3563)),0)))</f>
        <v/>
      </c>
      <c r="R3563" s="26">
        <f>IF($D3563="","",IFERROR(VLOOKUP($D3563,库存台账!$A$5:$Y$1204,11,0),0))</f>
        <v/>
      </c>
      <c r="S3563" s="26">
        <f>IF($D3563="","",ROUND(N($J3563)*N($R3563),0))</f>
        <v/>
      </c>
      <c r="T3563" s="26">
        <f>IF($D3563="","",IF($K3563&lt;&gt;"对外销售","",ROUND($Q3563-$S3563,0)))</f>
        <v/>
      </c>
      <c r="U3563" s="17" t="n"/>
      <c r="V3563" s="17" t="n"/>
      <c r="W3563" s="24">
        <f>IF($D3563="","",IF($E3563="※编码不在物料档案里","※物料编码不在档案里",IF(N($J3563)&lt;=0,"※出库数量要大于 0",IF($K3563="","※没填去向类型",IF($L3563="","※没填去向矿区",IF(AND($C3563&lt;&gt;"",$C3563&lt;=结账锁),"※日期早于已结账截止日，不能再录",IF(AND($K3563="自用消耗",COUNTIF({"一矿区";"二矿区"},$L3563)=0),"※自用消耗的去向只能是一矿区或二矿区",IF(AND($K3563="对外销售",COUNTIF({"三矿区";"六矿区"},$L3563)=0),"※对外销售的去向只能是三矿区或六矿区",IF(AND($K3563="对外销售",ROUND($Q3563,0)=0),"※外销却没有售价，请填实际售价",IF(AND($K3563="对外销售",$T3563&lt;&gt;"",$T3563&lt;0),"※这一笔外销是亏的，请核对售价",IF(IFERROR(VLOOKUP($D3563,库存台账!$A$5:$Y$1204,24,0),0)&lt;-0.001,"※这个物料账面已经变成负数了，查一下是不是漏记入库","")))))))))))</f>
        <v/>
      </c>
    </row>
    <row r="3564">
      <c r="A3564" s="24">
        <f>IF($D3564="","",COUNTA($D$4:$D3564))</f>
        <v/>
      </c>
      <c r="B3564" s="17" t="n"/>
      <c r="C3564" s="30" t="n"/>
      <c r="D3564" s="17" t="n"/>
      <c r="E3564" s="24">
        <f>IF($D3564="","",IFERROR(VLOOKUP($D3564,物料档案!$A$4:$P$1203,3,0),"※编码不在物料档案里"))</f>
        <v/>
      </c>
      <c r="F3564" s="24">
        <f>IF($D3564="","",IFERROR(VLOOKUP($D3564,物料档案!$A$4:$P$1203,4,0),"※编码不在物料档案里"))</f>
        <v/>
      </c>
      <c r="G3564" s="24">
        <f>IF($D3564="","",IFERROR(VLOOKUP($D3564,物料档案!$A$4:$P$1203,5,0),"※编码不在物料档案里"))</f>
        <v/>
      </c>
      <c r="H3564" s="24">
        <f>IF($D3564="","",IFERROR(VLOOKUP($D3564,物料档案!$A$4:$P$1203,2,0),"※编码不在物料档案里"))</f>
        <v/>
      </c>
      <c r="I3564" s="24">
        <f>IF($D3564="","",IFERROR(VLOOKUP($D3564,物料档案!$A$4:$P$1203,6,0),"※编码不在物料档案里"))</f>
        <v/>
      </c>
      <c r="J3564" s="23" t="n"/>
      <c r="K3564" s="17" t="n"/>
      <c r="L3564" s="17" t="n"/>
      <c r="M3564" s="17" t="n"/>
      <c r="N3564" s="17" t="n"/>
      <c r="O3564" s="26">
        <f>IF($D3564="","",IFERROR(VLOOKUP($D3564,物料档案!$A$4:$P$1203,10,0),0))</f>
        <v/>
      </c>
      <c r="P3564" s="32" t="n"/>
      <c r="Q3564" s="26">
        <f>IF($D3564="","",IF($K3564&lt;&gt;"对外销售",0,ROUND(N($J3564)*IF($P3564="",N($O3564),N($P3564)),0)))</f>
        <v/>
      </c>
      <c r="R3564" s="26">
        <f>IF($D3564="","",IFERROR(VLOOKUP($D3564,库存台账!$A$5:$Y$1204,11,0),0))</f>
        <v/>
      </c>
      <c r="S3564" s="26">
        <f>IF($D3564="","",ROUND(N($J3564)*N($R3564),0))</f>
        <v/>
      </c>
      <c r="T3564" s="26">
        <f>IF($D3564="","",IF($K3564&lt;&gt;"对外销售","",ROUND($Q3564-$S3564,0)))</f>
        <v/>
      </c>
      <c r="U3564" s="17" t="n"/>
      <c r="V3564" s="17" t="n"/>
      <c r="W3564" s="24">
        <f>IF($D3564="","",IF($E3564="※编码不在物料档案里","※物料编码不在档案里",IF(N($J3564)&lt;=0,"※出库数量要大于 0",IF($K3564="","※没填去向类型",IF($L3564="","※没填去向矿区",IF(AND($C3564&lt;&gt;"",$C3564&lt;=结账锁),"※日期早于已结账截止日，不能再录",IF(AND($K3564="自用消耗",COUNTIF({"一矿区";"二矿区"},$L3564)=0),"※自用消耗的去向只能是一矿区或二矿区",IF(AND($K3564="对外销售",COUNTIF({"三矿区";"六矿区"},$L3564)=0),"※对外销售的去向只能是三矿区或六矿区",IF(AND($K3564="对外销售",ROUND($Q3564,0)=0),"※外销却没有售价，请填实际售价",IF(AND($K3564="对外销售",$T3564&lt;&gt;"",$T3564&lt;0),"※这一笔外销是亏的，请核对售价",IF(IFERROR(VLOOKUP($D3564,库存台账!$A$5:$Y$1204,24,0),0)&lt;-0.001,"※这个物料账面已经变成负数了，查一下是不是漏记入库","")))))))))))</f>
        <v/>
      </c>
    </row>
    <row r="3565">
      <c r="A3565" s="24">
        <f>IF($D3565="","",COUNTA($D$4:$D3565))</f>
        <v/>
      </c>
      <c r="B3565" s="17" t="n"/>
      <c r="C3565" s="30" t="n"/>
      <c r="D3565" s="17" t="n"/>
      <c r="E3565" s="24">
        <f>IF($D3565="","",IFERROR(VLOOKUP($D3565,物料档案!$A$4:$P$1203,3,0),"※编码不在物料档案里"))</f>
        <v/>
      </c>
      <c r="F3565" s="24">
        <f>IF($D3565="","",IFERROR(VLOOKUP($D3565,物料档案!$A$4:$P$1203,4,0),"※编码不在物料档案里"))</f>
        <v/>
      </c>
      <c r="G3565" s="24">
        <f>IF($D3565="","",IFERROR(VLOOKUP($D3565,物料档案!$A$4:$P$1203,5,0),"※编码不在物料档案里"))</f>
        <v/>
      </c>
      <c r="H3565" s="24">
        <f>IF($D3565="","",IFERROR(VLOOKUP($D3565,物料档案!$A$4:$P$1203,2,0),"※编码不在物料档案里"))</f>
        <v/>
      </c>
      <c r="I3565" s="24">
        <f>IF($D3565="","",IFERROR(VLOOKUP($D3565,物料档案!$A$4:$P$1203,6,0),"※编码不在物料档案里"))</f>
        <v/>
      </c>
      <c r="J3565" s="23" t="n"/>
      <c r="K3565" s="17" t="n"/>
      <c r="L3565" s="17" t="n"/>
      <c r="M3565" s="17" t="n"/>
      <c r="N3565" s="17" t="n"/>
      <c r="O3565" s="26">
        <f>IF($D3565="","",IFERROR(VLOOKUP($D3565,物料档案!$A$4:$P$1203,10,0),0))</f>
        <v/>
      </c>
      <c r="P3565" s="32" t="n"/>
      <c r="Q3565" s="26">
        <f>IF($D3565="","",IF($K3565&lt;&gt;"对外销售",0,ROUND(N($J3565)*IF($P3565="",N($O3565),N($P3565)),0)))</f>
        <v/>
      </c>
      <c r="R3565" s="26">
        <f>IF($D3565="","",IFERROR(VLOOKUP($D3565,库存台账!$A$5:$Y$1204,11,0),0))</f>
        <v/>
      </c>
      <c r="S3565" s="26">
        <f>IF($D3565="","",ROUND(N($J3565)*N($R3565),0))</f>
        <v/>
      </c>
      <c r="T3565" s="26">
        <f>IF($D3565="","",IF($K3565&lt;&gt;"对外销售","",ROUND($Q3565-$S3565,0)))</f>
        <v/>
      </c>
      <c r="U3565" s="17" t="n"/>
      <c r="V3565" s="17" t="n"/>
      <c r="W3565" s="24">
        <f>IF($D3565="","",IF($E3565="※编码不在物料档案里","※物料编码不在档案里",IF(N($J3565)&lt;=0,"※出库数量要大于 0",IF($K3565="","※没填去向类型",IF($L3565="","※没填去向矿区",IF(AND($C3565&lt;&gt;"",$C3565&lt;=结账锁),"※日期早于已结账截止日，不能再录",IF(AND($K3565="自用消耗",COUNTIF({"一矿区";"二矿区"},$L3565)=0),"※自用消耗的去向只能是一矿区或二矿区",IF(AND($K3565="对外销售",COUNTIF({"三矿区";"六矿区"},$L3565)=0),"※对外销售的去向只能是三矿区或六矿区",IF(AND($K3565="对外销售",ROUND($Q3565,0)=0),"※外销却没有售价，请填实际售价",IF(AND($K3565="对外销售",$T3565&lt;&gt;"",$T3565&lt;0),"※这一笔外销是亏的，请核对售价",IF(IFERROR(VLOOKUP($D3565,库存台账!$A$5:$Y$1204,24,0),0)&lt;-0.001,"※这个物料账面已经变成负数了，查一下是不是漏记入库","")))))))))))</f>
        <v/>
      </c>
    </row>
    <row r="3566">
      <c r="A3566" s="24">
        <f>IF($D3566="","",COUNTA($D$4:$D3566))</f>
        <v/>
      </c>
      <c r="B3566" s="17" t="n"/>
      <c r="C3566" s="30" t="n"/>
      <c r="D3566" s="17" t="n"/>
      <c r="E3566" s="24">
        <f>IF($D3566="","",IFERROR(VLOOKUP($D3566,物料档案!$A$4:$P$1203,3,0),"※编码不在物料档案里"))</f>
        <v/>
      </c>
      <c r="F3566" s="24">
        <f>IF($D3566="","",IFERROR(VLOOKUP($D3566,物料档案!$A$4:$P$1203,4,0),"※编码不在物料档案里"))</f>
        <v/>
      </c>
      <c r="G3566" s="24">
        <f>IF($D3566="","",IFERROR(VLOOKUP($D3566,物料档案!$A$4:$P$1203,5,0),"※编码不在物料档案里"))</f>
        <v/>
      </c>
      <c r="H3566" s="24">
        <f>IF($D3566="","",IFERROR(VLOOKUP($D3566,物料档案!$A$4:$P$1203,2,0),"※编码不在物料档案里"))</f>
        <v/>
      </c>
      <c r="I3566" s="24">
        <f>IF($D3566="","",IFERROR(VLOOKUP($D3566,物料档案!$A$4:$P$1203,6,0),"※编码不在物料档案里"))</f>
        <v/>
      </c>
      <c r="J3566" s="23" t="n"/>
      <c r="K3566" s="17" t="n"/>
      <c r="L3566" s="17" t="n"/>
      <c r="M3566" s="17" t="n"/>
      <c r="N3566" s="17" t="n"/>
      <c r="O3566" s="26">
        <f>IF($D3566="","",IFERROR(VLOOKUP($D3566,物料档案!$A$4:$P$1203,10,0),0))</f>
        <v/>
      </c>
      <c r="P3566" s="32" t="n"/>
      <c r="Q3566" s="26">
        <f>IF($D3566="","",IF($K3566&lt;&gt;"对外销售",0,ROUND(N($J3566)*IF($P3566="",N($O3566),N($P3566)),0)))</f>
        <v/>
      </c>
      <c r="R3566" s="26">
        <f>IF($D3566="","",IFERROR(VLOOKUP($D3566,库存台账!$A$5:$Y$1204,11,0),0))</f>
        <v/>
      </c>
      <c r="S3566" s="26">
        <f>IF($D3566="","",ROUND(N($J3566)*N($R3566),0))</f>
        <v/>
      </c>
      <c r="T3566" s="26">
        <f>IF($D3566="","",IF($K3566&lt;&gt;"对外销售","",ROUND($Q3566-$S3566,0)))</f>
        <v/>
      </c>
      <c r="U3566" s="17" t="n"/>
      <c r="V3566" s="17" t="n"/>
      <c r="W3566" s="24">
        <f>IF($D3566="","",IF($E3566="※编码不在物料档案里","※物料编码不在档案里",IF(N($J3566)&lt;=0,"※出库数量要大于 0",IF($K3566="","※没填去向类型",IF($L3566="","※没填去向矿区",IF(AND($C3566&lt;&gt;"",$C3566&lt;=结账锁),"※日期早于已结账截止日，不能再录",IF(AND($K3566="自用消耗",COUNTIF({"一矿区";"二矿区"},$L3566)=0),"※自用消耗的去向只能是一矿区或二矿区",IF(AND($K3566="对外销售",COUNTIF({"三矿区";"六矿区"},$L3566)=0),"※对外销售的去向只能是三矿区或六矿区",IF(AND($K3566="对外销售",ROUND($Q3566,0)=0),"※外销却没有售价，请填实际售价",IF(AND($K3566="对外销售",$T3566&lt;&gt;"",$T3566&lt;0),"※这一笔外销是亏的，请核对售价",IF(IFERROR(VLOOKUP($D3566,库存台账!$A$5:$Y$1204,24,0),0)&lt;-0.001,"※这个物料账面已经变成负数了，查一下是不是漏记入库","")))))))))))</f>
        <v/>
      </c>
    </row>
    <row r="3567">
      <c r="A3567" s="24">
        <f>IF($D3567="","",COUNTA($D$4:$D3567))</f>
        <v/>
      </c>
      <c r="B3567" s="17" t="n"/>
      <c r="C3567" s="30" t="n"/>
      <c r="D3567" s="17" t="n"/>
      <c r="E3567" s="24">
        <f>IF($D3567="","",IFERROR(VLOOKUP($D3567,物料档案!$A$4:$P$1203,3,0),"※编码不在物料档案里"))</f>
        <v/>
      </c>
      <c r="F3567" s="24">
        <f>IF($D3567="","",IFERROR(VLOOKUP($D3567,物料档案!$A$4:$P$1203,4,0),"※编码不在物料档案里"))</f>
        <v/>
      </c>
      <c r="G3567" s="24">
        <f>IF($D3567="","",IFERROR(VLOOKUP($D3567,物料档案!$A$4:$P$1203,5,0),"※编码不在物料档案里"))</f>
        <v/>
      </c>
      <c r="H3567" s="24">
        <f>IF($D3567="","",IFERROR(VLOOKUP($D3567,物料档案!$A$4:$P$1203,2,0),"※编码不在物料档案里"))</f>
        <v/>
      </c>
      <c r="I3567" s="24">
        <f>IF($D3567="","",IFERROR(VLOOKUP($D3567,物料档案!$A$4:$P$1203,6,0),"※编码不在物料档案里"))</f>
        <v/>
      </c>
      <c r="J3567" s="23" t="n"/>
      <c r="K3567" s="17" t="n"/>
      <c r="L3567" s="17" t="n"/>
      <c r="M3567" s="17" t="n"/>
      <c r="N3567" s="17" t="n"/>
      <c r="O3567" s="26">
        <f>IF($D3567="","",IFERROR(VLOOKUP($D3567,物料档案!$A$4:$P$1203,10,0),0))</f>
        <v/>
      </c>
      <c r="P3567" s="32" t="n"/>
      <c r="Q3567" s="26">
        <f>IF($D3567="","",IF($K3567&lt;&gt;"对外销售",0,ROUND(N($J3567)*IF($P3567="",N($O3567),N($P3567)),0)))</f>
        <v/>
      </c>
      <c r="R3567" s="26">
        <f>IF($D3567="","",IFERROR(VLOOKUP($D3567,库存台账!$A$5:$Y$1204,11,0),0))</f>
        <v/>
      </c>
      <c r="S3567" s="26">
        <f>IF($D3567="","",ROUND(N($J3567)*N($R3567),0))</f>
        <v/>
      </c>
      <c r="T3567" s="26">
        <f>IF($D3567="","",IF($K3567&lt;&gt;"对外销售","",ROUND($Q3567-$S3567,0)))</f>
        <v/>
      </c>
      <c r="U3567" s="17" t="n"/>
      <c r="V3567" s="17" t="n"/>
      <c r="W3567" s="24">
        <f>IF($D3567="","",IF($E3567="※编码不在物料档案里","※物料编码不在档案里",IF(N($J3567)&lt;=0,"※出库数量要大于 0",IF($K3567="","※没填去向类型",IF($L3567="","※没填去向矿区",IF(AND($C3567&lt;&gt;"",$C3567&lt;=结账锁),"※日期早于已结账截止日，不能再录",IF(AND($K3567="自用消耗",COUNTIF({"一矿区";"二矿区"},$L3567)=0),"※自用消耗的去向只能是一矿区或二矿区",IF(AND($K3567="对外销售",COUNTIF({"三矿区";"六矿区"},$L3567)=0),"※对外销售的去向只能是三矿区或六矿区",IF(AND($K3567="对外销售",ROUND($Q3567,0)=0),"※外销却没有售价，请填实际售价",IF(AND($K3567="对外销售",$T3567&lt;&gt;"",$T3567&lt;0),"※这一笔外销是亏的，请核对售价",IF(IFERROR(VLOOKUP($D3567,库存台账!$A$5:$Y$1204,24,0),0)&lt;-0.001,"※这个物料账面已经变成负数了，查一下是不是漏记入库","")))))))))))</f>
        <v/>
      </c>
    </row>
    <row r="3568">
      <c r="A3568" s="24">
        <f>IF($D3568="","",COUNTA($D$4:$D3568))</f>
        <v/>
      </c>
      <c r="B3568" s="17" t="n"/>
      <c r="C3568" s="30" t="n"/>
      <c r="D3568" s="17" t="n"/>
      <c r="E3568" s="24">
        <f>IF($D3568="","",IFERROR(VLOOKUP($D3568,物料档案!$A$4:$P$1203,3,0),"※编码不在物料档案里"))</f>
        <v/>
      </c>
      <c r="F3568" s="24">
        <f>IF($D3568="","",IFERROR(VLOOKUP($D3568,物料档案!$A$4:$P$1203,4,0),"※编码不在物料档案里"))</f>
        <v/>
      </c>
      <c r="G3568" s="24">
        <f>IF($D3568="","",IFERROR(VLOOKUP($D3568,物料档案!$A$4:$P$1203,5,0),"※编码不在物料档案里"))</f>
        <v/>
      </c>
      <c r="H3568" s="24">
        <f>IF($D3568="","",IFERROR(VLOOKUP($D3568,物料档案!$A$4:$P$1203,2,0),"※编码不在物料档案里"))</f>
        <v/>
      </c>
      <c r="I3568" s="24">
        <f>IF($D3568="","",IFERROR(VLOOKUP($D3568,物料档案!$A$4:$P$1203,6,0),"※编码不在物料档案里"))</f>
        <v/>
      </c>
      <c r="J3568" s="23" t="n"/>
      <c r="K3568" s="17" t="n"/>
      <c r="L3568" s="17" t="n"/>
      <c r="M3568" s="17" t="n"/>
      <c r="N3568" s="17" t="n"/>
      <c r="O3568" s="26">
        <f>IF($D3568="","",IFERROR(VLOOKUP($D3568,物料档案!$A$4:$P$1203,10,0),0))</f>
        <v/>
      </c>
      <c r="P3568" s="32" t="n"/>
      <c r="Q3568" s="26">
        <f>IF($D3568="","",IF($K3568&lt;&gt;"对外销售",0,ROUND(N($J3568)*IF($P3568="",N($O3568),N($P3568)),0)))</f>
        <v/>
      </c>
      <c r="R3568" s="26">
        <f>IF($D3568="","",IFERROR(VLOOKUP($D3568,库存台账!$A$5:$Y$1204,11,0),0))</f>
        <v/>
      </c>
      <c r="S3568" s="26">
        <f>IF($D3568="","",ROUND(N($J3568)*N($R3568),0))</f>
        <v/>
      </c>
      <c r="T3568" s="26">
        <f>IF($D3568="","",IF($K3568&lt;&gt;"对外销售","",ROUND($Q3568-$S3568,0)))</f>
        <v/>
      </c>
      <c r="U3568" s="17" t="n"/>
      <c r="V3568" s="17" t="n"/>
      <c r="W3568" s="24">
        <f>IF($D3568="","",IF($E3568="※编码不在物料档案里","※物料编码不在档案里",IF(N($J3568)&lt;=0,"※出库数量要大于 0",IF($K3568="","※没填去向类型",IF($L3568="","※没填去向矿区",IF(AND($C3568&lt;&gt;"",$C3568&lt;=结账锁),"※日期早于已结账截止日，不能再录",IF(AND($K3568="自用消耗",COUNTIF({"一矿区";"二矿区"},$L3568)=0),"※自用消耗的去向只能是一矿区或二矿区",IF(AND($K3568="对外销售",COUNTIF({"三矿区";"六矿区"},$L3568)=0),"※对外销售的去向只能是三矿区或六矿区",IF(AND($K3568="对外销售",ROUND($Q3568,0)=0),"※外销却没有售价，请填实际售价",IF(AND($K3568="对外销售",$T3568&lt;&gt;"",$T3568&lt;0),"※这一笔外销是亏的，请核对售价",IF(IFERROR(VLOOKUP($D3568,库存台账!$A$5:$Y$1204,24,0),0)&lt;-0.001,"※这个物料账面已经变成负数了，查一下是不是漏记入库","")))))))))))</f>
        <v/>
      </c>
    </row>
    <row r="3569">
      <c r="A3569" s="24">
        <f>IF($D3569="","",COUNTA($D$4:$D3569))</f>
        <v/>
      </c>
      <c r="B3569" s="17" t="n"/>
      <c r="C3569" s="30" t="n"/>
      <c r="D3569" s="17" t="n"/>
      <c r="E3569" s="24">
        <f>IF($D3569="","",IFERROR(VLOOKUP($D3569,物料档案!$A$4:$P$1203,3,0),"※编码不在物料档案里"))</f>
        <v/>
      </c>
      <c r="F3569" s="24">
        <f>IF($D3569="","",IFERROR(VLOOKUP($D3569,物料档案!$A$4:$P$1203,4,0),"※编码不在物料档案里"))</f>
        <v/>
      </c>
      <c r="G3569" s="24">
        <f>IF($D3569="","",IFERROR(VLOOKUP($D3569,物料档案!$A$4:$P$1203,5,0),"※编码不在物料档案里"))</f>
        <v/>
      </c>
      <c r="H3569" s="24">
        <f>IF($D3569="","",IFERROR(VLOOKUP($D3569,物料档案!$A$4:$P$1203,2,0),"※编码不在物料档案里"))</f>
        <v/>
      </c>
      <c r="I3569" s="24">
        <f>IF($D3569="","",IFERROR(VLOOKUP($D3569,物料档案!$A$4:$P$1203,6,0),"※编码不在物料档案里"))</f>
        <v/>
      </c>
      <c r="J3569" s="23" t="n"/>
      <c r="K3569" s="17" t="n"/>
      <c r="L3569" s="17" t="n"/>
      <c r="M3569" s="17" t="n"/>
      <c r="N3569" s="17" t="n"/>
      <c r="O3569" s="26">
        <f>IF($D3569="","",IFERROR(VLOOKUP($D3569,物料档案!$A$4:$P$1203,10,0),0))</f>
        <v/>
      </c>
      <c r="P3569" s="32" t="n"/>
      <c r="Q3569" s="26">
        <f>IF($D3569="","",IF($K3569&lt;&gt;"对外销售",0,ROUND(N($J3569)*IF($P3569="",N($O3569),N($P3569)),0)))</f>
        <v/>
      </c>
      <c r="R3569" s="26">
        <f>IF($D3569="","",IFERROR(VLOOKUP($D3569,库存台账!$A$5:$Y$1204,11,0),0))</f>
        <v/>
      </c>
      <c r="S3569" s="26">
        <f>IF($D3569="","",ROUND(N($J3569)*N($R3569),0))</f>
        <v/>
      </c>
      <c r="T3569" s="26">
        <f>IF($D3569="","",IF($K3569&lt;&gt;"对外销售","",ROUND($Q3569-$S3569,0)))</f>
        <v/>
      </c>
      <c r="U3569" s="17" t="n"/>
      <c r="V3569" s="17" t="n"/>
      <c r="W3569" s="24">
        <f>IF($D3569="","",IF($E3569="※编码不在物料档案里","※物料编码不在档案里",IF(N($J3569)&lt;=0,"※出库数量要大于 0",IF($K3569="","※没填去向类型",IF($L3569="","※没填去向矿区",IF(AND($C3569&lt;&gt;"",$C3569&lt;=结账锁),"※日期早于已结账截止日，不能再录",IF(AND($K3569="自用消耗",COUNTIF({"一矿区";"二矿区"},$L3569)=0),"※自用消耗的去向只能是一矿区或二矿区",IF(AND($K3569="对外销售",COUNTIF({"三矿区";"六矿区"},$L3569)=0),"※对外销售的去向只能是三矿区或六矿区",IF(AND($K3569="对外销售",ROUND($Q3569,0)=0),"※外销却没有售价，请填实际售价",IF(AND($K3569="对外销售",$T3569&lt;&gt;"",$T3569&lt;0),"※这一笔外销是亏的，请核对售价",IF(IFERROR(VLOOKUP($D3569,库存台账!$A$5:$Y$1204,24,0),0)&lt;-0.001,"※这个物料账面已经变成负数了，查一下是不是漏记入库","")))))))))))</f>
        <v/>
      </c>
    </row>
    <row r="3570">
      <c r="A3570" s="24">
        <f>IF($D3570="","",COUNTA($D$4:$D3570))</f>
        <v/>
      </c>
      <c r="B3570" s="17" t="n"/>
      <c r="C3570" s="30" t="n"/>
      <c r="D3570" s="17" t="n"/>
      <c r="E3570" s="24">
        <f>IF($D3570="","",IFERROR(VLOOKUP($D3570,物料档案!$A$4:$P$1203,3,0),"※编码不在物料档案里"))</f>
        <v/>
      </c>
      <c r="F3570" s="24">
        <f>IF($D3570="","",IFERROR(VLOOKUP($D3570,物料档案!$A$4:$P$1203,4,0),"※编码不在物料档案里"))</f>
        <v/>
      </c>
      <c r="G3570" s="24">
        <f>IF($D3570="","",IFERROR(VLOOKUP($D3570,物料档案!$A$4:$P$1203,5,0),"※编码不在物料档案里"))</f>
        <v/>
      </c>
      <c r="H3570" s="24">
        <f>IF($D3570="","",IFERROR(VLOOKUP($D3570,物料档案!$A$4:$P$1203,2,0),"※编码不在物料档案里"))</f>
        <v/>
      </c>
      <c r="I3570" s="24">
        <f>IF($D3570="","",IFERROR(VLOOKUP($D3570,物料档案!$A$4:$P$1203,6,0),"※编码不在物料档案里"))</f>
        <v/>
      </c>
      <c r="J3570" s="23" t="n"/>
      <c r="K3570" s="17" t="n"/>
      <c r="L3570" s="17" t="n"/>
      <c r="M3570" s="17" t="n"/>
      <c r="N3570" s="17" t="n"/>
      <c r="O3570" s="26">
        <f>IF($D3570="","",IFERROR(VLOOKUP($D3570,物料档案!$A$4:$P$1203,10,0),0))</f>
        <v/>
      </c>
      <c r="P3570" s="32" t="n"/>
      <c r="Q3570" s="26">
        <f>IF($D3570="","",IF($K3570&lt;&gt;"对外销售",0,ROUND(N($J3570)*IF($P3570="",N($O3570),N($P3570)),0)))</f>
        <v/>
      </c>
      <c r="R3570" s="26">
        <f>IF($D3570="","",IFERROR(VLOOKUP($D3570,库存台账!$A$5:$Y$1204,11,0),0))</f>
        <v/>
      </c>
      <c r="S3570" s="26">
        <f>IF($D3570="","",ROUND(N($J3570)*N($R3570),0))</f>
        <v/>
      </c>
      <c r="T3570" s="26">
        <f>IF($D3570="","",IF($K3570&lt;&gt;"对外销售","",ROUND($Q3570-$S3570,0)))</f>
        <v/>
      </c>
      <c r="U3570" s="17" t="n"/>
      <c r="V3570" s="17" t="n"/>
      <c r="W3570" s="24">
        <f>IF($D3570="","",IF($E3570="※编码不在物料档案里","※物料编码不在档案里",IF(N($J3570)&lt;=0,"※出库数量要大于 0",IF($K3570="","※没填去向类型",IF($L3570="","※没填去向矿区",IF(AND($C3570&lt;&gt;"",$C3570&lt;=结账锁),"※日期早于已结账截止日，不能再录",IF(AND($K3570="自用消耗",COUNTIF({"一矿区";"二矿区"},$L3570)=0),"※自用消耗的去向只能是一矿区或二矿区",IF(AND($K3570="对外销售",COUNTIF({"三矿区";"六矿区"},$L3570)=0),"※对外销售的去向只能是三矿区或六矿区",IF(AND($K3570="对外销售",ROUND($Q3570,0)=0),"※外销却没有售价，请填实际售价",IF(AND($K3570="对外销售",$T3570&lt;&gt;"",$T3570&lt;0),"※这一笔外销是亏的，请核对售价",IF(IFERROR(VLOOKUP($D3570,库存台账!$A$5:$Y$1204,24,0),0)&lt;-0.001,"※这个物料账面已经变成负数了，查一下是不是漏记入库","")))))))))))</f>
        <v/>
      </c>
    </row>
    <row r="3571">
      <c r="A3571" s="24">
        <f>IF($D3571="","",COUNTA($D$4:$D3571))</f>
        <v/>
      </c>
      <c r="B3571" s="17" t="n"/>
      <c r="C3571" s="30" t="n"/>
      <c r="D3571" s="17" t="n"/>
      <c r="E3571" s="24">
        <f>IF($D3571="","",IFERROR(VLOOKUP($D3571,物料档案!$A$4:$P$1203,3,0),"※编码不在物料档案里"))</f>
        <v/>
      </c>
      <c r="F3571" s="24">
        <f>IF($D3571="","",IFERROR(VLOOKUP($D3571,物料档案!$A$4:$P$1203,4,0),"※编码不在物料档案里"))</f>
        <v/>
      </c>
      <c r="G3571" s="24">
        <f>IF($D3571="","",IFERROR(VLOOKUP($D3571,物料档案!$A$4:$P$1203,5,0),"※编码不在物料档案里"))</f>
        <v/>
      </c>
      <c r="H3571" s="24">
        <f>IF($D3571="","",IFERROR(VLOOKUP($D3571,物料档案!$A$4:$P$1203,2,0),"※编码不在物料档案里"))</f>
        <v/>
      </c>
      <c r="I3571" s="24">
        <f>IF($D3571="","",IFERROR(VLOOKUP($D3571,物料档案!$A$4:$P$1203,6,0),"※编码不在物料档案里"))</f>
        <v/>
      </c>
      <c r="J3571" s="23" t="n"/>
      <c r="K3571" s="17" t="n"/>
      <c r="L3571" s="17" t="n"/>
      <c r="M3571" s="17" t="n"/>
      <c r="N3571" s="17" t="n"/>
      <c r="O3571" s="26">
        <f>IF($D3571="","",IFERROR(VLOOKUP($D3571,物料档案!$A$4:$P$1203,10,0),0))</f>
        <v/>
      </c>
      <c r="P3571" s="32" t="n"/>
      <c r="Q3571" s="26">
        <f>IF($D3571="","",IF($K3571&lt;&gt;"对外销售",0,ROUND(N($J3571)*IF($P3571="",N($O3571),N($P3571)),0)))</f>
        <v/>
      </c>
      <c r="R3571" s="26">
        <f>IF($D3571="","",IFERROR(VLOOKUP($D3571,库存台账!$A$5:$Y$1204,11,0),0))</f>
        <v/>
      </c>
      <c r="S3571" s="26">
        <f>IF($D3571="","",ROUND(N($J3571)*N($R3571),0))</f>
        <v/>
      </c>
      <c r="T3571" s="26">
        <f>IF($D3571="","",IF($K3571&lt;&gt;"对外销售","",ROUND($Q3571-$S3571,0)))</f>
        <v/>
      </c>
      <c r="U3571" s="17" t="n"/>
      <c r="V3571" s="17" t="n"/>
      <c r="W3571" s="24">
        <f>IF($D3571="","",IF($E3571="※编码不在物料档案里","※物料编码不在档案里",IF(N($J3571)&lt;=0,"※出库数量要大于 0",IF($K3571="","※没填去向类型",IF($L3571="","※没填去向矿区",IF(AND($C3571&lt;&gt;"",$C3571&lt;=结账锁),"※日期早于已结账截止日，不能再录",IF(AND($K3571="自用消耗",COUNTIF({"一矿区";"二矿区"},$L3571)=0),"※自用消耗的去向只能是一矿区或二矿区",IF(AND($K3571="对外销售",COUNTIF({"三矿区";"六矿区"},$L3571)=0),"※对外销售的去向只能是三矿区或六矿区",IF(AND($K3571="对外销售",ROUND($Q3571,0)=0),"※外销却没有售价，请填实际售价",IF(AND($K3571="对外销售",$T3571&lt;&gt;"",$T3571&lt;0),"※这一笔外销是亏的，请核对售价",IF(IFERROR(VLOOKUP($D3571,库存台账!$A$5:$Y$1204,24,0),0)&lt;-0.001,"※这个物料账面已经变成负数了，查一下是不是漏记入库","")))))))))))</f>
        <v/>
      </c>
    </row>
    <row r="3572">
      <c r="A3572" s="24">
        <f>IF($D3572="","",COUNTA($D$4:$D3572))</f>
        <v/>
      </c>
      <c r="B3572" s="17" t="n"/>
      <c r="C3572" s="30" t="n"/>
      <c r="D3572" s="17" t="n"/>
      <c r="E3572" s="24">
        <f>IF($D3572="","",IFERROR(VLOOKUP($D3572,物料档案!$A$4:$P$1203,3,0),"※编码不在物料档案里"))</f>
        <v/>
      </c>
      <c r="F3572" s="24">
        <f>IF($D3572="","",IFERROR(VLOOKUP($D3572,物料档案!$A$4:$P$1203,4,0),"※编码不在物料档案里"))</f>
        <v/>
      </c>
      <c r="G3572" s="24">
        <f>IF($D3572="","",IFERROR(VLOOKUP($D3572,物料档案!$A$4:$P$1203,5,0),"※编码不在物料档案里"))</f>
        <v/>
      </c>
      <c r="H3572" s="24">
        <f>IF($D3572="","",IFERROR(VLOOKUP($D3572,物料档案!$A$4:$P$1203,2,0),"※编码不在物料档案里"))</f>
        <v/>
      </c>
      <c r="I3572" s="24">
        <f>IF($D3572="","",IFERROR(VLOOKUP($D3572,物料档案!$A$4:$P$1203,6,0),"※编码不在物料档案里"))</f>
        <v/>
      </c>
      <c r="J3572" s="23" t="n"/>
      <c r="K3572" s="17" t="n"/>
      <c r="L3572" s="17" t="n"/>
      <c r="M3572" s="17" t="n"/>
      <c r="N3572" s="17" t="n"/>
      <c r="O3572" s="26">
        <f>IF($D3572="","",IFERROR(VLOOKUP($D3572,物料档案!$A$4:$P$1203,10,0),0))</f>
        <v/>
      </c>
      <c r="P3572" s="32" t="n"/>
      <c r="Q3572" s="26">
        <f>IF($D3572="","",IF($K3572&lt;&gt;"对外销售",0,ROUND(N($J3572)*IF($P3572="",N($O3572),N($P3572)),0)))</f>
        <v/>
      </c>
      <c r="R3572" s="26">
        <f>IF($D3572="","",IFERROR(VLOOKUP($D3572,库存台账!$A$5:$Y$1204,11,0),0))</f>
        <v/>
      </c>
      <c r="S3572" s="26">
        <f>IF($D3572="","",ROUND(N($J3572)*N($R3572),0))</f>
        <v/>
      </c>
      <c r="T3572" s="26">
        <f>IF($D3572="","",IF($K3572&lt;&gt;"对外销售","",ROUND($Q3572-$S3572,0)))</f>
        <v/>
      </c>
      <c r="U3572" s="17" t="n"/>
      <c r="V3572" s="17" t="n"/>
      <c r="W3572" s="24">
        <f>IF($D3572="","",IF($E3572="※编码不在物料档案里","※物料编码不在档案里",IF(N($J3572)&lt;=0,"※出库数量要大于 0",IF($K3572="","※没填去向类型",IF($L3572="","※没填去向矿区",IF(AND($C3572&lt;&gt;"",$C3572&lt;=结账锁),"※日期早于已结账截止日，不能再录",IF(AND($K3572="自用消耗",COUNTIF({"一矿区";"二矿区"},$L3572)=0),"※自用消耗的去向只能是一矿区或二矿区",IF(AND($K3572="对外销售",COUNTIF({"三矿区";"六矿区"},$L3572)=0),"※对外销售的去向只能是三矿区或六矿区",IF(AND($K3572="对外销售",ROUND($Q3572,0)=0),"※外销却没有售价，请填实际售价",IF(AND($K3572="对外销售",$T3572&lt;&gt;"",$T3572&lt;0),"※这一笔外销是亏的，请核对售价",IF(IFERROR(VLOOKUP($D3572,库存台账!$A$5:$Y$1204,24,0),0)&lt;-0.001,"※这个物料账面已经变成负数了，查一下是不是漏记入库","")))))))))))</f>
        <v/>
      </c>
    </row>
    <row r="3573">
      <c r="A3573" s="24">
        <f>IF($D3573="","",COUNTA($D$4:$D3573))</f>
        <v/>
      </c>
      <c r="B3573" s="17" t="n"/>
      <c r="C3573" s="30" t="n"/>
      <c r="D3573" s="17" t="n"/>
      <c r="E3573" s="24">
        <f>IF($D3573="","",IFERROR(VLOOKUP($D3573,物料档案!$A$4:$P$1203,3,0),"※编码不在物料档案里"))</f>
        <v/>
      </c>
      <c r="F3573" s="24">
        <f>IF($D3573="","",IFERROR(VLOOKUP($D3573,物料档案!$A$4:$P$1203,4,0),"※编码不在物料档案里"))</f>
        <v/>
      </c>
      <c r="G3573" s="24">
        <f>IF($D3573="","",IFERROR(VLOOKUP($D3573,物料档案!$A$4:$P$1203,5,0),"※编码不在物料档案里"))</f>
        <v/>
      </c>
      <c r="H3573" s="24">
        <f>IF($D3573="","",IFERROR(VLOOKUP($D3573,物料档案!$A$4:$P$1203,2,0),"※编码不在物料档案里"))</f>
        <v/>
      </c>
      <c r="I3573" s="24">
        <f>IF($D3573="","",IFERROR(VLOOKUP($D3573,物料档案!$A$4:$P$1203,6,0),"※编码不在物料档案里"))</f>
        <v/>
      </c>
      <c r="J3573" s="23" t="n"/>
      <c r="K3573" s="17" t="n"/>
      <c r="L3573" s="17" t="n"/>
      <c r="M3573" s="17" t="n"/>
      <c r="N3573" s="17" t="n"/>
      <c r="O3573" s="26">
        <f>IF($D3573="","",IFERROR(VLOOKUP($D3573,物料档案!$A$4:$P$1203,10,0),0))</f>
        <v/>
      </c>
      <c r="P3573" s="32" t="n"/>
      <c r="Q3573" s="26">
        <f>IF($D3573="","",IF($K3573&lt;&gt;"对外销售",0,ROUND(N($J3573)*IF($P3573="",N($O3573),N($P3573)),0)))</f>
        <v/>
      </c>
      <c r="R3573" s="26">
        <f>IF($D3573="","",IFERROR(VLOOKUP($D3573,库存台账!$A$5:$Y$1204,11,0),0))</f>
        <v/>
      </c>
      <c r="S3573" s="26">
        <f>IF($D3573="","",ROUND(N($J3573)*N($R3573),0))</f>
        <v/>
      </c>
      <c r="T3573" s="26">
        <f>IF($D3573="","",IF($K3573&lt;&gt;"对外销售","",ROUND($Q3573-$S3573,0)))</f>
        <v/>
      </c>
      <c r="U3573" s="17" t="n"/>
      <c r="V3573" s="17" t="n"/>
      <c r="W3573" s="24">
        <f>IF($D3573="","",IF($E3573="※编码不在物料档案里","※物料编码不在档案里",IF(N($J3573)&lt;=0,"※出库数量要大于 0",IF($K3573="","※没填去向类型",IF($L3573="","※没填去向矿区",IF(AND($C3573&lt;&gt;"",$C3573&lt;=结账锁),"※日期早于已结账截止日，不能再录",IF(AND($K3573="自用消耗",COUNTIF({"一矿区";"二矿区"},$L3573)=0),"※自用消耗的去向只能是一矿区或二矿区",IF(AND($K3573="对外销售",COUNTIF({"三矿区";"六矿区"},$L3573)=0),"※对外销售的去向只能是三矿区或六矿区",IF(AND($K3573="对外销售",ROUND($Q3573,0)=0),"※外销却没有售价，请填实际售价",IF(AND($K3573="对外销售",$T3573&lt;&gt;"",$T3573&lt;0),"※这一笔外销是亏的，请核对售价",IF(IFERROR(VLOOKUP($D3573,库存台账!$A$5:$Y$1204,24,0),0)&lt;-0.001,"※这个物料账面已经变成负数了，查一下是不是漏记入库","")))))))))))</f>
        <v/>
      </c>
    </row>
    <row r="3574">
      <c r="A3574" s="24">
        <f>IF($D3574="","",COUNTA($D$4:$D3574))</f>
        <v/>
      </c>
      <c r="B3574" s="17" t="n"/>
      <c r="C3574" s="30" t="n"/>
      <c r="D3574" s="17" t="n"/>
      <c r="E3574" s="24">
        <f>IF($D3574="","",IFERROR(VLOOKUP($D3574,物料档案!$A$4:$P$1203,3,0),"※编码不在物料档案里"))</f>
        <v/>
      </c>
      <c r="F3574" s="24">
        <f>IF($D3574="","",IFERROR(VLOOKUP($D3574,物料档案!$A$4:$P$1203,4,0),"※编码不在物料档案里"))</f>
        <v/>
      </c>
      <c r="G3574" s="24">
        <f>IF($D3574="","",IFERROR(VLOOKUP($D3574,物料档案!$A$4:$P$1203,5,0),"※编码不在物料档案里"))</f>
        <v/>
      </c>
      <c r="H3574" s="24">
        <f>IF($D3574="","",IFERROR(VLOOKUP($D3574,物料档案!$A$4:$P$1203,2,0),"※编码不在物料档案里"))</f>
        <v/>
      </c>
      <c r="I3574" s="24">
        <f>IF($D3574="","",IFERROR(VLOOKUP($D3574,物料档案!$A$4:$P$1203,6,0),"※编码不在物料档案里"))</f>
        <v/>
      </c>
      <c r="J3574" s="23" t="n"/>
      <c r="K3574" s="17" t="n"/>
      <c r="L3574" s="17" t="n"/>
      <c r="M3574" s="17" t="n"/>
      <c r="N3574" s="17" t="n"/>
      <c r="O3574" s="26">
        <f>IF($D3574="","",IFERROR(VLOOKUP($D3574,物料档案!$A$4:$P$1203,10,0),0))</f>
        <v/>
      </c>
      <c r="P3574" s="32" t="n"/>
      <c r="Q3574" s="26">
        <f>IF($D3574="","",IF($K3574&lt;&gt;"对外销售",0,ROUND(N($J3574)*IF($P3574="",N($O3574),N($P3574)),0)))</f>
        <v/>
      </c>
      <c r="R3574" s="26">
        <f>IF($D3574="","",IFERROR(VLOOKUP($D3574,库存台账!$A$5:$Y$1204,11,0),0))</f>
        <v/>
      </c>
      <c r="S3574" s="26">
        <f>IF($D3574="","",ROUND(N($J3574)*N($R3574),0))</f>
        <v/>
      </c>
      <c r="T3574" s="26">
        <f>IF($D3574="","",IF($K3574&lt;&gt;"对外销售","",ROUND($Q3574-$S3574,0)))</f>
        <v/>
      </c>
      <c r="U3574" s="17" t="n"/>
      <c r="V3574" s="17" t="n"/>
      <c r="W3574" s="24">
        <f>IF($D3574="","",IF($E3574="※编码不在物料档案里","※物料编码不在档案里",IF(N($J3574)&lt;=0,"※出库数量要大于 0",IF($K3574="","※没填去向类型",IF($L3574="","※没填去向矿区",IF(AND($C3574&lt;&gt;"",$C3574&lt;=结账锁),"※日期早于已结账截止日，不能再录",IF(AND($K3574="自用消耗",COUNTIF({"一矿区";"二矿区"},$L3574)=0),"※自用消耗的去向只能是一矿区或二矿区",IF(AND($K3574="对外销售",COUNTIF({"三矿区";"六矿区"},$L3574)=0),"※对外销售的去向只能是三矿区或六矿区",IF(AND($K3574="对外销售",ROUND($Q3574,0)=0),"※外销却没有售价，请填实际售价",IF(AND($K3574="对外销售",$T3574&lt;&gt;"",$T3574&lt;0),"※这一笔外销是亏的，请核对售价",IF(IFERROR(VLOOKUP($D3574,库存台账!$A$5:$Y$1204,24,0),0)&lt;-0.001,"※这个物料账面已经变成负数了，查一下是不是漏记入库","")))))))))))</f>
        <v/>
      </c>
    </row>
    <row r="3575">
      <c r="A3575" s="24">
        <f>IF($D3575="","",COUNTA($D$4:$D3575))</f>
        <v/>
      </c>
      <c r="B3575" s="17" t="n"/>
      <c r="C3575" s="30" t="n"/>
      <c r="D3575" s="17" t="n"/>
      <c r="E3575" s="24">
        <f>IF($D3575="","",IFERROR(VLOOKUP($D3575,物料档案!$A$4:$P$1203,3,0),"※编码不在物料档案里"))</f>
        <v/>
      </c>
      <c r="F3575" s="24">
        <f>IF($D3575="","",IFERROR(VLOOKUP($D3575,物料档案!$A$4:$P$1203,4,0),"※编码不在物料档案里"))</f>
        <v/>
      </c>
      <c r="G3575" s="24">
        <f>IF($D3575="","",IFERROR(VLOOKUP($D3575,物料档案!$A$4:$P$1203,5,0),"※编码不在物料档案里"))</f>
        <v/>
      </c>
      <c r="H3575" s="24">
        <f>IF($D3575="","",IFERROR(VLOOKUP($D3575,物料档案!$A$4:$P$1203,2,0),"※编码不在物料档案里"))</f>
        <v/>
      </c>
      <c r="I3575" s="24">
        <f>IF($D3575="","",IFERROR(VLOOKUP($D3575,物料档案!$A$4:$P$1203,6,0),"※编码不在物料档案里"))</f>
        <v/>
      </c>
      <c r="J3575" s="23" t="n"/>
      <c r="K3575" s="17" t="n"/>
      <c r="L3575" s="17" t="n"/>
      <c r="M3575" s="17" t="n"/>
      <c r="N3575" s="17" t="n"/>
      <c r="O3575" s="26">
        <f>IF($D3575="","",IFERROR(VLOOKUP($D3575,物料档案!$A$4:$P$1203,10,0),0))</f>
        <v/>
      </c>
      <c r="P3575" s="32" t="n"/>
      <c r="Q3575" s="26">
        <f>IF($D3575="","",IF($K3575&lt;&gt;"对外销售",0,ROUND(N($J3575)*IF($P3575="",N($O3575),N($P3575)),0)))</f>
        <v/>
      </c>
      <c r="R3575" s="26">
        <f>IF($D3575="","",IFERROR(VLOOKUP($D3575,库存台账!$A$5:$Y$1204,11,0),0))</f>
        <v/>
      </c>
      <c r="S3575" s="26">
        <f>IF($D3575="","",ROUND(N($J3575)*N($R3575),0))</f>
        <v/>
      </c>
      <c r="T3575" s="26">
        <f>IF($D3575="","",IF($K3575&lt;&gt;"对外销售","",ROUND($Q3575-$S3575,0)))</f>
        <v/>
      </c>
      <c r="U3575" s="17" t="n"/>
      <c r="V3575" s="17" t="n"/>
      <c r="W3575" s="24">
        <f>IF($D3575="","",IF($E3575="※编码不在物料档案里","※物料编码不在档案里",IF(N($J3575)&lt;=0,"※出库数量要大于 0",IF($K3575="","※没填去向类型",IF($L3575="","※没填去向矿区",IF(AND($C3575&lt;&gt;"",$C3575&lt;=结账锁),"※日期早于已结账截止日，不能再录",IF(AND($K3575="自用消耗",COUNTIF({"一矿区";"二矿区"},$L3575)=0),"※自用消耗的去向只能是一矿区或二矿区",IF(AND($K3575="对外销售",COUNTIF({"三矿区";"六矿区"},$L3575)=0),"※对外销售的去向只能是三矿区或六矿区",IF(AND($K3575="对外销售",ROUND($Q3575,0)=0),"※外销却没有售价，请填实际售价",IF(AND($K3575="对外销售",$T3575&lt;&gt;"",$T3575&lt;0),"※这一笔外销是亏的，请核对售价",IF(IFERROR(VLOOKUP($D3575,库存台账!$A$5:$Y$1204,24,0),0)&lt;-0.001,"※这个物料账面已经变成负数了，查一下是不是漏记入库","")))))))))))</f>
        <v/>
      </c>
    </row>
    <row r="3576">
      <c r="A3576" s="24">
        <f>IF($D3576="","",COUNTA($D$4:$D3576))</f>
        <v/>
      </c>
      <c r="B3576" s="17" t="n"/>
      <c r="C3576" s="30" t="n"/>
      <c r="D3576" s="17" t="n"/>
      <c r="E3576" s="24">
        <f>IF($D3576="","",IFERROR(VLOOKUP($D3576,物料档案!$A$4:$P$1203,3,0),"※编码不在物料档案里"))</f>
        <v/>
      </c>
      <c r="F3576" s="24">
        <f>IF($D3576="","",IFERROR(VLOOKUP($D3576,物料档案!$A$4:$P$1203,4,0),"※编码不在物料档案里"))</f>
        <v/>
      </c>
      <c r="G3576" s="24">
        <f>IF($D3576="","",IFERROR(VLOOKUP($D3576,物料档案!$A$4:$P$1203,5,0),"※编码不在物料档案里"))</f>
        <v/>
      </c>
      <c r="H3576" s="24">
        <f>IF($D3576="","",IFERROR(VLOOKUP($D3576,物料档案!$A$4:$P$1203,2,0),"※编码不在物料档案里"))</f>
        <v/>
      </c>
      <c r="I3576" s="24">
        <f>IF($D3576="","",IFERROR(VLOOKUP($D3576,物料档案!$A$4:$P$1203,6,0),"※编码不在物料档案里"))</f>
        <v/>
      </c>
      <c r="J3576" s="23" t="n"/>
      <c r="K3576" s="17" t="n"/>
      <c r="L3576" s="17" t="n"/>
      <c r="M3576" s="17" t="n"/>
      <c r="N3576" s="17" t="n"/>
      <c r="O3576" s="26">
        <f>IF($D3576="","",IFERROR(VLOOKUP($D3576,物料档案!$A$4:$P$1203,10,0),0))</f>
        <v/>
      </c>
      <c r="P3576" s="32" t="n"/>
      <c r="Q3576" s="26">
        <f>IF($D3576="","",IF($K3576&lt;&gt;"对外销售",0,ROUND(N($J3576)*IF($P3576="",N($O3576),N($P3576)),0)))</f>
        <v/>
      </c>
      <c r="R3576" s="26">
        <f>IF($D3576="","",IFERROR(VLOOKUP($D3576,库存台账!$A$5:$Y$1204,11,0),0))</f>
        <v/>
      </c>
      <c r="S3576" s="26">
        <f>IF($D3576="","",ROUND(N($J3576)*N($R3576),0))</f>
        <v/>
      </c>
      <c r="T3576" s="26">
        <f>IF($D3576="","",IF($K3576&lt;&gt;"对外销售","",ROUND($Q3576-$S3576,0)))</f>
        <v/>
      </c>
      <c r="U3576" s="17" t="n"/>
      <c r="V3576" s="17" t="n"/>
      <c r="W3576" s="24">
        <f>IF($D3576="","",IF($E3576="※编码不在物料档案里","※物料编码不在档案里",IF(N($J3576)&lt;=0,"※出库数量要大于 0",IF($K3576="","※没填去向类型",IF($L3576="","※没填去向矿区",IF(AND($C3576&lt;&gt;"",$C3576&lt;=结账锁),"※日期早于已结账截止日，不能再录",IF(AND($K3576="自用消耗",COUNTIF({"一矿区";"二矿区"},$L3576)=0),"※自用消耗的去向只能是一矿区或二矿区",IF(AND($K3576="对外销售",COUNTIF({"三矿区";"六矿区"},$L3576)=0),"※对外销售的去向只能是三矿区或六矿区",IF(AND($K3576="对外销售",ROUND($Q3576,0)=0),"※外销却没有售价，请填实际售价",IF(AND($K3576="对外销售",$T3576&lt;&gt;"",$T3576&lt;0),"※这一笔外销是亏的，请核对售价",IF(IFERROR(VLOOKUP($D3576,库存台账!$A$5:$Y$1204,24,0),0)&lt;-0.001,"※这个物料账面已经变成负数了，查一下是不是漏记入库","")))))))))))</f>
        <v/>
      </c>
    </row>
    <row r="3577">
      <c r="A3577" s="24">
        <f>IF($D3577="","",COUNTA($D$4:$D3577))</f>
        <v/>
      </c>
      <c r="B3577" s="17" t="n"/>
      <c r="C3577" s="30" t="n"/>
      <c r="D3577" s="17" t="n"/>
      <c r="E3577" s="24">
        <f>IF($D3577="","",IFERROR(VLOOKUP($D3577,物料档案!$A$4:$P$1203,3,0),"※编码不在物料档案里"))</f>
        <v/>
      </c>
      <c r="F3577" s="24">
        <f>IF($D3577="","",IFERROR(VLOOKUP($D3577,物料档案!$A$4:$P$1203,4,0),"※编码不在物料档案里"))</f>
        <v/>
      </c>
      <c r="G3577" s="24">
        <f>IF($D3577="","",IFERROR(VLOOKUP($D3577,物料档案!$A$4:$P$1203,5,0),"※编码不在物料档案里"))</f>
        <v/>
      </c>
      <c r="H3577" s="24">
        <f>IF($D3577="","",IFERROR(VLOOKUP($D3577,物料档案!$A$4:$P$1203,2,0),"※编码不在物料档案里"))</f>
        <v/>
      </c>
      <c r="I3577" s="24">
        <f>IF($D3577="","",IFERROR(VLOOKUP($D3577,物料档案!$A$4:$P$1203,6,0),"※编码不在物料档案里"))</f>
        <v/>
      </c>
      <c r="J3577" s="23" t="n"/>
      <c r="K3577" s="17" t="n"/>
      <c r="L3577" s="17" t="n"/>
      <c r="M3577" s="17" t="n"/>
      <c r="N3577" s="17" t="n"/>
      <c r="O3577" s="26">
        <f>IF($D3577="","",IFERROR(VLOOKUP($D3577,物料档案!$A$4:$P$1203,10,0),0))</f>
        <v/>
      </c>
      <c r="P3577" s="32" t="n"/>
      <c r="Q3577" s="26">
        <f>IF($D3577="","",IF($K3577&lt;&gt;"对外销售",0,ROUND(N($J3577)*IF($P3577="",N($O3577),N($P3577)),0)))</f>
        <v/>
      </c>
      <c r="R3577" s="26">
        <f>IF($D3577="","",IFERROR(VLOOKUP($D3577,库存台账!$A$5:$Y$1204,11,0),0))</f>
        <v/>
      </c>
      <c r="S3577" s="26">
        <f>IF($D3577="","",ROUND(N($J3577)*N($R3577),0))</f>
        <v/>
      </c>
      <c r="T3577" s="26">
        <f>IF($D3577="","",IF($K3577&lt;&gt;"对外销售","",ROUND($Q3577-$S3577,0)))</f>
        <v/>
      </c>
      <c r="U3577" s="17" t="n"/>
      <c r="V3577" s="17" t="n"/>
      <c r="W3577" s="24">
        <f>IF($D3577="","",IF($E3577="※编码不在物料档案里","※物料编码不在档案里",IF(N($J3577)&lt;=0,"※出库数量要大于 0",IF($K3577="","※没填去向类型",IF($L3577="","※没填去向矿区",IF(AND($C3577&lt;&gt;"",$C3577&lt;=结账锁),"※日期早于已结账截止日，不能再录",IF(AND($K3577="自用消耗",COUNTIF({"一矿区";"二矿区"},$L3577)=0),"※自用消耗的去向只能是一矿区或二矿区",IF(AND($K3577="对外销售",COUNTIF({"三矿区";"六矿区"},$L3577)=0),"※对外销售的去向只能是三矿区或六矿区",IF(AND($K3577="对外销售",ROUND($Q3577,0)=0),"※外销却没有售价，请填实际售价",IF(AND($K3577="对外销售",$T3577&lt;&gt;"",$T3577&lt;0),"※这一笔外销是亏的，请核对售价",IF(IFERROR(VLOOKUP($D3577,库存台账!$A$5:$Y$1204,24,0),0)&lt;-0.001,"※这个物料账面已经变成负数了，查一下是不是漏记入库","")))))))))))</f>
        <v/>
      </c>
    </row>
    <row r="3578">
      <c r="A3578" s="24">
        <f>IF($D3578="","",COUNTA($D$4:$D3578))</f>
        <v/>
      </c>
      <c r="B3578" s="17" t="n"/>
      <c r="C3578" s="30" t="n"/>
      <c r="D3578" s="17" t="n"/>
      <c r="E3578" s="24">
        <f>IF($D3578="","",IFERROR(VLOOKUP($D3578,物料档案!$A$4:$P$1203,3,0),"※编码不在物料档案里"))</f>
        <v/>
      </c>
      <c r="F3578" s="24">
        <f>IF($D3578="","",IFERROR(VLOOKUP($D3578,物料档案!$A$4:$P$1203,4,0),"※编码不在物料档案里"))</f>
        <v/>
      </c>
      <c r="G3578" s="24">
        <f>IF($D3578="","",IFERROR(VLOOKUP($D3578,物料档案!$A$4:$P$1203,5,0),"※编码不在物料档案里"))</f>
        <v/>
      </c>
      <c r="H3578" s="24">
        <f>IF($D3578="","",IFERROR(VLOOKUP($D3578,物料档案!$A$4:$P$1203,2,0),"※编码不在物料档案里"))</f>
        <v/>
      </c>
      <c r="I3578" s="24">
        <f>IF($D3578="","",IFERROR(VLOOKUP($D3578,物料档案!$A$4:$P$1203,6,0),"※编码不在物料档案里"))</f>
        <v/>
      </c>
      <c r="J3578" s="23" t="n"/>
      <c r="K3578" s="17" t="n"/>
      <c r="L3578" s="17" t="n"/>
      <c r="M3578" s="17" t="n"/>
      <c r="N3578" s="17" t="n"/>
      <c r="O3578" s="26">
        <f>IF($D3578="","",IFERROR(VLOOKUP($D3578,物料档案!$A$4:$P$1203,10,0),0))</f>
        <v/>
      </c>
      <c r="P3578" s="32" t="n"/>
      <c r="Q3578" s="26">
        <f>IF($D3578="","",IF($K3578&lt;&gt;"对外销售",0,ROUND(N($J3578)*IF($P3578="",N($O3578),N($P3578)),0)))</f>
        <v/>
      </c>
      <c r="R3578" s="26">
        <f>IF($D3578="","",IFERROR(VLOOKUP($D3578,库存台账!$A$5:$Y$1204,11,0),0))</f>
        <v/>
      </c>
      <c r="S3578" s="26">
        <f>IF($D3578="","",ROUND(N($J3578)*N($R3578),0))</f>
        <v/>
      </c>
      <c r="T3578" s="26">
        <f>IF($D3578="","",IF($K3578&lt;&gt;"对外销售","",ROUND($Q3578-$S3578,0)))</f>
        <v/>
      </c>
      <c r="U3578" s="17" t="n"/>
      <c r="V3578" s="17" t="n"/>
      <c r="W3578" s="24">
        <f>IF($D3578="","",IF($E3578="※编码不在物料档案里","※物料编码不在档案里",IF(N($J3578)&lt;=0,"※出库数量要大于 0",IF($K3578="","※没填去向类型",IF($L3578="","※没填去向矿区",IF(AND($C3578&lt;&gt;"",$C3578&lt;=结账锁),"※日期早于已结账截止日，不能再录",IF(AND($K3578="自用消耗",COUNTIF({"一矿区";"二矿区"},$L3578)=0),"※自用消耗的去向只能是一矿区或二矿区",IF(AND($K3578="对外销售",COUNTIF({"三矿区";"六矿区"},$L3578)=0),"※对外销售的去向只能是三矿区或六矿区",IF(AND($K3578="对外销售",ROUND($Q3578,0)=0),"※外销却没有售价，请填实际售价",IF(AND($K3578="对外销售",$T3578&lt;&gt;"",$T3578&lt;0),"※这一笔外销是亏的，请核对售价",IF(IFERROR(VLOOKUP($D3578,库存台账!$A$5:$Y$1204,24,0),0)&lt;-0.001,"※这个物料账面已经变成负数了，查一下是不是漏记入库","")))))))))))</f>
        <v/>
      </c>
    </row>
    <row r="3579">
      <c r="A3579" s="24">
        <f>IF($D3579="","",COUNTA($D$4:$D3579))</f>
        <v/>
      </c>
      <c r="B3579" s="17" t="n"/>
      <c r="C3579" s="30" t="n"/>
      <c r="D3579" s="17" t="n"/>
      <c r="E3579" s="24">
        <f>IF($D3579="","",IFERROR(VLOOKUP($D3579,物料档案!$A$4:$P$1203,3,0),"※编码不在物料档案里"))</f>
        <v/>
      </c>
      <c r="F3579" s="24">
        <f>IF($D3579="","",IFERROR(VLOOKUP($D3579,物料档案!$A$4:$P$1203,4,0),"※编码不在物料档案里"))</f>
        <v/>
      </c>
      <c r="G3579" s="24">
        <f>IF($D3579="","",IFERROR(VLOOKUP($D3579,物料档案!$A$4:$P$1203,5,0),"※编码不在物料档案里"))</f>
        <v/>
      </c>
      <c r="H3579" s="24">
        <f>IF($D3579="","",IFERROR(VLOOKUP($D3579,物料档案!$A$4:$P$1203,2,0),"※编码不在物料档案里"))</f>
        <v/>
      </c>
      <c r="I3579" s="24">
        <f>IF($D3579="","",IFERROR(VLOOKUP($D3579,物料档案!$A$4:$P$1203,6,0),"※编码不在物料档案里"))</f>
        <v/>
      </c>
      <c r="J3579" s="23" t="n"/>
      <c r="K3579" s="17" t="n"/>
      <c r="L3579" s="17" t="n"/>
      <c r="M3579" s="17" t="n"/>
      <c r="N3579" s="17" t="n"/>
      <c r="O3579" s="26">
        <f>IF($D3579="","",IFERROR(VLOOKUP($D3579,物料档案!$A$4:$P$1203,10,0),0))</f>
        <v/>
      </c>
      <c r="P3579" s="32" t="n"/>
      <c r="Q3579" s="26">
        <f>IF($D3579="","",IF($K3579&lt;&gt;"对外销售",0,ROUND(N($J3579)*IF($P3579="",N($O3579),N($P3579)),0)))</f>
        <v/>
      </c>
      <c r="R3579" s="26">
        <f>IF($D3579="","",IFERROR(VLOOKUP($D3579,库存台账!$A$5:$Y$1204,11,0),0))</f>
        <v/>
      </c>
      <c r="S3579" s="26">
        <f>IF($D3579="","",ROUND(N($J3579)*N($R3579),0))</f>
        <v/>
      </c>
      <c r="T3579" s="26">
        <f>IF($D3579="","",IF($K3579&lt;&gt;"对外销售","",ROUND($Q3579-$S3579,0)))</f>
        <v/>
      </c>
      <c r="U3579" s="17" t="n"/>
      <c r="V3579" s="17" t="n"/>
      <c r="W3579" s="24">
        <f>IF($D3579="","",IF($E3579="※编码不在物料档案里","※物料编码不在档案里",IF(N($J3579)&lt;=0,"※出库数量要大于 0",IF($K3579="","※没填去向类型",IF($L3579="","※没填去向矿区",IF(AND($C3579&lt;&gt;"",$C3579&lt;=结账锁),"※日期早于已结账截止日，不能再录",IF(AND($K3579="自用消耗",COUNTIF({"一矿区";"二矿区"},$L3579)=0),"※自用消耗的去向只能是一矿区或二矿区",IF(AND($K3579="对外销售",COUNTIF({"三矿区";"六矿区"},$L3579)=0),"※对外销售的去向只能是三矿区或六矿区",IF(AND($K3579="对外销售",ROUND($Q3579,0)=0),"※外销却没有售价，请填实际售价",IF(AND($K3579="对外销售",$T3579&lt;&gt;"",$T3579&lt;0),"※这一笔外销是亏的，请核对售价",IF(IFERROR(VLOOKUP($D3579,库存台账!$A$5:$Y$1204,24,0),0)&lt;-0.001,"※这个物料账面已经变成负数了，查一下是不是漏记入库","")))))))))))</f>
        <v/>
      </c>
    </row>
    <row r="3580">
      <c r="A3580" s="24">
        <f>IF($D3580="","",COUNTA($D$4:$D3580))</f>
        <v/>
      </c>
      <c r="B3580" s="17" t="n"/>
      <c r="C3580" s="30" t="n"/>
      <c r="D3580" s="17" t="n"/>
      <c r="E3580" s="24">
        <f>IF($D3580="","",IFERROR(VLOOKUP($D3580,物料档案!$A$4:$P$1203,3,0),"※编码不在物料档案里"))</f>
        <v/>
      </c>
      <c r="F3580" s="24">
        <f>IF($D3580="","",IFERROR(VLOOKUP($D3580,物料档案!$A$4:$P$1203,4,0),"※编码不在物料档案里"))</f>
        <v/>
      </c>
      <c r="G3580" s="24">
        <f>IF($D3580="","",IFERROR(VLOOKUP($D3580,物料档案!$A$4:$P$1203,5,0),"※编码不在物料档案里"))</f>
        <v/>
      </c>
      <c r="H3580" s="24">
        <f>IF($D3580="","",IFERROR(VLOOKUP($D3580,物料档案!$A$4:$P$1203,2,0),"※编码不在物料档案里"))</f>
        <v/>
      </c>
      <c r="I3580" s="24">
        <f>IF($D3580="","",IFERROR(VLOOKUP($D3580,物料档案!$A$4:$P$1203,6,0),"※编码不在物料档案里"))</f>
        <v/>
      </c>
      <c r="J3580" s="23" t="n"/>
      <c r="K3580" s="17" t="n"/>
      <c r="L3580" s="17" t="n"/>
      <c r="M3580" s="17" t="n"/>
      <c r="N3580" s="17" t="n"/>
      <c r="O3580" s="26">
        <f>IF($D3580="","",IFERROR(VLOOKUP($D3580,物料档案!$A$4:$P$1203,10,0),0))</f>
        <v/>
      </c>
      <c r="P3580" s="32" t="n"/>
      <c r="Q3580" s="26">
        <f>IF($D3580="","",IF($K3580&lt;&gt;"对外销售",0,ROUND(N($J3580)*IF($P3580="",N($O3580),N($P3580)),0)))</f>
        <v/>
      </c>
      <c r="R3580" s="26">
        <f>IF($D3580="","",IFERROR(VLOOKUP($D3580,库存台账!$A$5:$Y$1204,11,0),0))</f>
        <v/>
      </c>
      <c r="S3580" s="26">
        <f>IF($D3580="","",ROUND(N($J3580)*N($R3580),0))</f>
        <v/>
      </c>
      <c r="T3580" s="26">
        <f>IF($D3580="","",IF($K3580&lt;&gt;"对外销售","",ROUND($Q3580-$S3580,0)))</f>
        <v/>
      </c>
      <c r="U3580" s="17" t="n"/>
      <c r="V3580" s="17" t="n"/>
      <c r="W3580" s="24">
        <f>IF($D3580="","",IF($E3580="※编码不在物料档案里","※物料编码不在档案里",IF(N($J3580)&lt;=0,"※出库数量要大于 0",IF($K3580="","※没填去向类型",IF($L3580="","※没填去向矿区",IF(AND($C3580&lt;&gt;"",$C3580&lt;=结账锁),"※日期早于已结账截止日，不能再录",IF(AND($K3580="自用消耗",COUNTIF({"一矿区";"二矿区"},$L3580)=0),"※自用消耗的去向只能是一矿区或二矿区",IF(AND($K3580="对外销售",COUNTIF({"三矿区";"六矿区"},$L3580)=0),"※对外销售的去向只能是三矿区或六矿区",IF(AND($K3580="对外销售",ROUND($Q3580,0)=0),"※外销却没有售价，请填实际售价",IF(AND($K3580="对外销售",$T3580&lt;&gt;"",$T3580&lt;0),"※这一笔外销是亏的，请核对售价",IF(IFERROR(VLOOKUP($D3580,库存台账!$A$5:$Y$1204,24,0),0)&lt;-0.001,"※这个物料账面已经变成负数了，查一下是不是漏记入库","")))))))))))</f>
        <v/>
      </c>
    </row>
    <row r="3581">
      <c r="A3581" s="24">
        <f>IF($D3581="","",COUNTA($D$4:$D3581))</f>
        <v/>
      </c>
      <c r="B3581" s="17" t="n"/>
      <c r="C3581" s="30" t="n"/>
      <c r="D3581" s="17" t="n"/>
      <c r="E3581" s="24">
        <f>IF($D3581="","",IFERROR(VLOOKUP($D3581,物料档案!$A$4:$P$1203,3,0),"※编码不在物料档案里"))</f>
        <v/>
      </c>
      <c r="F3581" s="24">
        <f>IF($D3581="","",IFERROR(VLOOKUP($D3581,物料档案!$A$4:$P$1203,4,0),"※编码不在物料档案里"))</f>
        <v/>
      </c>
      <c r="G3581" s="24">
        <f>IF($D3581="","",IFERROR(VLOOKUP($D3581,物料档案!$A$4:$P$1203,5,0),"※编码不在物料档案里"))</f>
        <v/>
      </c>
      <c r="H3581" s="24">
        <f>IF($D3581="","",IFERROR(VLOOKUP($D3581,物料档案!$A$4:$P$1203,2,0),"※编码不在物料档案里"))</f>
        <v/>
      </c>
      <c r="I3581" s="24">
        <f>IF($D3581="","",IFERROR(VLOOKUP($D3581,物料档案!$A$4:$P$1203,6,0),"※编码不在物料档案里"))</f>
        <v/>
      </c>
      <c r="J3581" s="23" t="n"/>
      <c r="K3581" s="17" t="n"/>
      <c r="L3581" s="17" t="n"/>
      <c r="M3581" s="17" t="n"/>
      <c r="N3581" s="17" t="n"/>
      <c r="O3581" s="26">
        <f>IF($D3581="","",IFERROR(VLOOKUP($D3581,物料档案!$A$4:$P$1203,10,0),0))</f>
        <v/>
      </c>
      <c r="P3581" s="32" t="n"/>
      <c r="Q3581" s="26">
        <f>IF($D3581="","",IF($K3581&lt;&gt;"对外销售",0,ROUND(N($J3581)*IF($P3581="",N($O3581),N($P3581)),0)))</f>
        <v/>
      </c>
      <c r="R3581" s="26">
        <f>IF($D3581="","",IFERROR(VLOOKUP($D3581,库存台账!$A$5:$Y$1204,11,0),0))</f>
        <v/>
      </c>
      <c r="S3581" s="26">
        <f>IF($D3581="","",ROUND(N($J3581)*N($R3581),0))</f>
        <v/>
      </c>
      <c r="T3581" s="26">
        <f>IF($D3581="","",IF($K3581&lt;&gt;"对外销售","",ROUND($Q3581-$S3581,0)))</f>
        <v/>
      </c>
      <c r="U3581" s="17" t="n"/>
      <c r="V3581" s="17" t="n"/>
      <c r="W3581" s="24">
        <f>IF($D3581="","",IF($E3581="※编码不在物料档案里","※物料编码不在档案里",IF(N($J3581)&lt;=0,"※出库数量要大于 0",IF($K3581="","※没填去向类型",IF($L3581="","※没填去向矿区",IF(AND($C3581&lt;&gt;"",$C3581&lt;=结账锁),"※日期早于已结账截止日，不能再录",IF(AND($K3581="自用消耗",COUNTIF({"一矿区";"二矿区"},$L3581)=0),"※自用消耗的去向只能是一矿区或二矿区",IF(AND($K3581="对外销售",COUNTIF({"三矿区";"六矿区"},$L3581)=0),"※对外销售的去向只能是三矿区或六矿区",IF(AND($K3581="对外销售",ROUND($Q3581,0)=0),"※外销却没有售价，请填实际售价",IF(AND($K3581="对外销售",$T3581&lt;&gt;"",$T3581&lt;0),"※这一笔外销是亏的，请核对售价",IF(IFERROR(VLOOKUP($D3581,库存台账!$A$5:$Y$1204,24,0),0)&lt;-0.001,"※这个物料账面已经变成负数了，查一下是不是漏记入库","")))))))))))</f>
        <v/>
      </c>
    </row>
    <row r="3582">
      <c r="A3582" s="24">
        <f>IF($D3582="","",COUNTA($D$4:$D3582))</f>
        <v/>
      </c>
      <c r="B3582" s="17" t="n"/>
      <c r="C3582" s="30" t="n"/>
      <c r="D3582" s="17" t="n"/>
      <c r="E3582" s="24">
        <f>IF($D3582="","",IFERROR(VLOOKUP($D3582,物料档案!$A$4:$P$1203,3,0),"※编码不在物料档案里"))</f>
        <v/>
      </c>
      <c r="F3582" s="24">
        <f>IF($D3582="","",IFERROR(VLOOKUP($D3582,物料档案!$A$4:$P$1203,4,0),"※编码不在物料档案里"))</f>
        <v/>
      </c>
      <c r="G3582" s="24">
        <f>IF($D3582="","",IFERROR(VLOOKUP($D3582,物料档案!$A$4:$P$1203,5,0),"※编码不在物料档案里"))</f>
        <v/>
      </c>
      <c r="H3582" s="24">
        <f>IF($D3582="","",IFERROR(VLOOKUP($D3582,物料档案!$A$4:$P$1203,2,0),"※编码不在物料档案里"))</f>
        <v/>
      </c>
      <c r="I3582" s="24">
        <f>IF($D3582="","",IFERROR(VLOOKUP($D3582,物料档案!$A$4:$P$1203,6,0),"※编码不在物料档案里"))</f>
        <v/>
      </c>
      <c r="J3582" s="23" t="n"/>
      <c r="K3582" s="17" t="n"/>
      <c r="L3582" s="17" t="n"/>
      <c r="M3582" s="17" t="n"/>
      <c r="N3582" s="17" t="n"/>
      <c r="O3582" s="26">
        <f>IF($D3582="","",IFERROR(VLOOKUP($D3582,物料档案!$A$4:$P$1203,10,0),0))</f>
        <v/>
      </c>
      <c r="P3582" s="32" t="n"/>
      <c r="Q3582" s="26">
        <f>IF($D3582="","",IF($K3582&lt;&gt;"对外销售",0,ROUND(N($J3582)*IF($P3582="",N($O3582),N($P3582)),0)))</f>
        <v/>
      </c>
      <c r="R3582" s="26">
        <f>IF($D3582="","",IFERROR(VLOOKUP($D3582,库存台账!$A$5:$Y$1204,11,0),0))</f>
        <v/>
      </c>
      <c r="S3582" s="26">
        <f>IF($D3582="","",ROUND(N($J3582)*N($R3582),0))</f>
        <v/>
      </c>
      <c r="T3582" s="26">
        <f>IF($D3582="","",IF($K3582&lt;&gt;"对外销售","",ROUND($Q3582-$S3582,0)))</f>
        <v/>
      </c>
      <c r="U3582" s="17" t="n"/>
      <c r="V3582" s="17" t="n"/>
      <c r="W3582" s="24">
        <f>IF($D3582="","",IF($E3582="※编码不在物料档案里","※物料编码不在档案里",IF(N($J3582)&lt;=0,"※出库数量要大于 0",IF($K3582="","※没填去向类型",IF($L3582="","※没填去向矿区",IF(AND($C3582&lt;&gt;"",$C3582&lt;=结账锁),"※日期早于已结账截止日，不能再录",IF(AND($K3582="自用消耗",COUNTIF({"一矿区";"二矿区"},$L3582)=0),"※自用消耗的去向只能是一矿区或二矿区",IF(AND($K3582="对外销售",COUNTIF({"三矿区";"六矿区"},$L3582)=0),"※对外销售的去向只能是三矿区或六矿区",IF(AND($K3582="对外销售",ROUND($Q3582,0)=0),"※外销却没有售价，请填实际售价",IF(AND($K3582="对外销售",$T3582&lt;&gt;"",$T3582&lt;0),"※这一笔外销是亏的，请核对售价",IF(IFERROR(VLOOKUP($D3582,库存台账!$A$5:$Y$1204,24,0),0)&lt;-0.001,"※这个物料账面已经变成负数了，查一下是不是漏记入库","")))))))))))</f>
        <v/>
      </c>
    </row>
    <row r="3583">
      <c r="A3583" s="24">
        <f>IF($D3583="","",COUNTA($D$4:$D3583))</f>
        <v/>
      </c>
      <c r="B3583" s="17" t="n"/>
      <c r="C3583" s="30" t="n"/>
      <c r="D3583" s="17" t="n"/>
      <c r="E3583" s="24">
        <f>IF($D3583="","",IFERROR(VLOOKUP($D3583,物料档案!$A$4:$P$1203,3,0),"※编码不在物料档案里"))</f>
        <v/>
      </c>
      <c r="F3583" s="24">
        <f>IF($D3583="","",IFERROR(VLOOKUP($D3583,物料档案!$A$4:$P$1203,4,0),"※编码不在物料档案里"))</f>
        <v/>
      </c>
      <c r="G3583" s="24">
        <f>IF($D3583="","",IFERROR(VLOOKUP($D3583,物料档案!$A$4:$P$1203,5,0),"※编码不在物料档案里"))</f>
        <v/>
      </c>
      <c r="H3583" s="24">
        <f>IF($D3583="","",IFERROR(VLOOKUP($D3583,物料档案!$A$4:$P$1203,2,0),"※编码不在物料档案里"))</f>
        <v/>
      </c>
      <c r="I3583" s="24">
        <f>IF($D3583="","",IFERROR(VLOOKUP($D3583,物料档案!$A$4:$P$1203,6,0),"※编码不在物料档案里"))</f>
        <v/>
      </c>
      <c r="J3583" s="23" t="n"/>
      <c r="K3583" s="17" t="n"/>
      <c r="L3583" s="17" t="n"/>
      <c r="M3583" s="17" t="n"/>
      <c r="N3583" s="17" t="n"/>
      <c r="O3583" s="26">
        <f>IF($D3583="","",IFERROR(VLOOKUP($D3583,物料档案!$A$4:$P$1203,10,0),0))</f>
        <v/>
      </c>
      <c r="P3583" s="32" t="n"/>
      <c r="Q3583" s="26">
        <f>IF($D3583="","",IF($K3583&lt;&gt;"对外销售",0,ROUND(N($J3583)*IF($P3583="",N($O3583),N($P3583)),0)))</f>
        <v/>
      </c>
      <c r="R3583" s="26">
        <f>IF($D3583="","",IFERROR(VLOOKUP($D3583,库存台账!$A$5:$Y$1204,11,0),0))</f>
        <v/>
      </c>
      <c r="S3583" s="26">
        <f>IF($D3583="","",ROUND(N($J3583)*N($R3583),0))</f>
        <v/>
      </c>
      <c r="T3583" s="26">
        <f>IF($D3583="","",IF($K3583&lt;&gt;"对外销售","",ROUND($Q3583-$S3583,0)))</f>
        <v/>
      </c>
      <c r="U3583" s="17" t="n"/>
      <c r="V3583" s="17" t="n"/>
      <c r="W3583" s="24">
        <f>IF($D3583="","",IF($E3583="※编码不在物料档案里","※物料编码不在档案里",IF(N($J3583)&lt;=0,"※出库数量要大于 0",IF($K3583="","※没填去向类型",IF($L3583="","※没填去向矿区",IF(AND($C3583&lt;&gt;"",$C3583&lt;=结账锁),"※日期早于已结账截止日，不能再录",IF(AND($K3583="自用消耗",COUNTIF({"一矿区";"二矿区"},$L3583)=0),"※自用消耗的去向只能是一矿区或二矿区",IF(AND($K3583="对外销售",COUNTIF({"三矿区";"六矿区"},$L3583)=0),"※对外销售的去向只能是三矿区或六矿区",IF(AND($K3583="对外销售",ROUND($Q3583,0)=0),"※外销却没有售价，请填实际售价",IF(AND($K3583="对外销售",$T3583&lt;&gt;"",$T3583&lt;0),"※这一笔外销是亏的，请核对售价",IF(IFERROR(VLOOKUP($D3583,库存台账!$A$5:$Y$1204,24,0),0)&lt;-0.001,"※这个物料账面已经变成负数了，查一下是不是漏记入库","")))))))))))</f>
        <v/>
      </c>
    </row>
    <row r="3584">
      <c r="A3584" s="24">
        <f>IF($D3584="","",COUNTA($D$4:$D3584))</f>
        <v/>
      </c>
      <c r="B3584" s="17" t="n"/>
      <c r="C3584" s="30" t="n"/>
      <c r="D3584" s="17" t="n"/>
      <c r="E3584" s="24">
        <f>IF($D3584="","",IFERROR(VLOOKUP($D3584,物料档案!$A$4:$P$1203,3,0),"※编码不在物料档案里"))</f>
        <v/>
      </c>
      <c r="F3584" s="24">
        <f>IF($D3584="","",IFERROR(VLOOKUP($D3584,物料档案!$A$4:$P$1203,4,0),"※编码不在物料档案里"))</f>
        <v/>
      </c>
      <c r="G3584" s="24">
        <f>IF($D3584="","",IFERROR(VLOOKUP($D3584,物料档案!$A$4:$P$1203,5,0),"※编码不在物料档案里"))</f>
        <v/>
      </c>
      <c r="H3584" s="24">
        <f>IF($D3584="","",IFERROR(VLOOKUP($D3584,物料档案!$A$4:$P$1203,2,0),"※编码不在物料档案里"))</f>
        <v/>
      </c>
      <c r="I3584" s="24">
        <f>IF($D3584="","",IFERROR(VLOOKUP($D3584,物料档案!$A$4:$P$1203,6,0),"※编码不在物料档案里"))</f>
        <v/>
      </c>
      <c r="J3584" s="23" t="n"/>
      <c r="K3584" s="17" t="n"/>
      <c r="L3584" s="17" t="n"/>
      <c r="M3584" s="17" t="n"/>
      <c r="N3584" s="17" t="n"/>
      <c r="O3584" s="26">
        <f>IF($D3584="","",IFERROR(VLOOKUP($D3584,物料档案!$A$4:$P$1203,10,0),0))</f>
        <v/>
      </c>
      <c r="P3584" s="32" t="n"/>
      <c r="Q3584" s="26">
        <f>IF($D3584="","",IF($K3584&lt;&gt;"对外销售",0,ROUND(N($J3584)*IF($P3584="",N($O3584),N($P3584)),0)))</f>
        <v/>
      </c>
      <c r="R3584" s="26">
        <f>IF($D3584="","",IFERROR(VLOOKUP($D3584,库存台账!$A$5:$Y$1204,11,0),0))</f>
        <v/>
      </c>
      <c r="S3584" s="26">
        <f>IF($D3584="","",ROUND(N($J3584)*N($R3584),0))</f>
        <v/>
      </c>
      <c r="T3584" s="26">
        <f>IF($D3584="","",IF($K3584&lt;&gt;"对外销售","",ROUND($Q3584-$S3584,0)))</f>
        <v/>
      </c>
      <c r="U3584" s="17" t="n"/>
      <c r="V3584" s="17" t="n"/>
      <c r="W3584" s="24">
        <f>IF($D3584="","",IF($E3584="※编码不在物料档案里","※物料编码不在档案里",IF(N($J3584)&lt;=0,"※出库数量要大于 0",IF($K3584="","※没填去向类型",IF($L3584="","※没填去向矿区",IF(AND($C3584&lt;&gt;"",$C3584&lt;=结账锁),"※日期早于已结账截止日，不能再录",IF(AND($K3584="自用消耗",COUNTIF({"一矿区";"二矿区"},$L3584)=0),"※自用消耗的去向只能是一矿区或二矿区",IF(AND($K3584="对外销售",COUNTIF({"三矿区";"六矿区"},$L3584)=0),"※对外销售的去向只能是三矿区或六矿区",IF(AND($K3584="对外销售",ROUND($Q3584,0)=0),"※外销却没有售价，请填实际售价",IF(AND($K3584="对外销售",$T3584&lt;&gt;"",$T3584&lt;0),"※这一笔外销是亏的，请核对售价",IF(IFERROR(VLOOKUP($D3584,库存台账!$A$5:$Y$1204,24,0),0)&lt;-0.001,"※这个物料账面已经变成负数了，查一下是不是漏记入库","")))))))))))</f>
        <v/>
      </c>
    </row>
    <row r="3585">
      <c r="A3585" s="24">
        <f>IF($D3585="","",COUNTA($D$4:$D3585))</f>
        <v/>
      </c>
      <c r="B3585" s="17" t="n"/>
      <c r="C3585" s="30" t="n"/>
      <c r="D3585" s="17" t="n"/>
      <c r="E3585" s="24">
        <f>IF($D3585="","",IFERROR(VLOOKUP($D3585,物料档案!$A$4:$P$1203,3,0),"※编码不在物料档案里"))</f>
        <v/>
      </c>
      <c r="F3585" s="24">
        <f>IF($D3585="","",IFERROR(VLOOKUP($D3585,物料档案!$A$4:$P$1203,4,0),"※编码不在物料档案里"))</f>
        <v/>
      </c>
      <c r="G3585" s="24">
        <f>IF($D3585="","",IFERROR(VLOOKUP($D3585,物料档案!$A$4:$P$1203,5,0),"※编码不在物料档案里"))</f>
        <v/>
      </c>
      <c r="H3585" s="24">
        <f>IF($D3585="","",IFERROR(VLOOKUP($D3585,物料档案!$A$4:$P$1203,2,0),"※编码不在物料档案里"))</f>
        <v/>
      </c>
      <c r="I3585" s="24">
        <f>IF($D3585="","",IFERROR(VLOOKUP($D3585,物料档案!$A$4:$P$1203,6,0),"※编码不在物料档案里"))</f>
        <v/>
      </c>
      <c r="J3585" s="23" t="n"/>
      <c r="K3585" s="17" t="n"/>
      <c r="L3585" s="17" t="n"/>
      <c r="M3585" s="17" t="n"/>
      <c r="N3585" s="17" t="n"/>
      <c r="O3585" s="26">
        <f>IF($D3585="","",IFERROR(VLOOKUP($D3585,物料档案!$A$4:$P$1203,10,0),0))</f>
        <v/>
      </c>
      <c r="P3585" s="32" t="n"/>
      <c r="Q3585" s="26">
        <f>IF($D3585="","",IF($K3585&lt;&gt;"对外销售",0,ROUND(N($J3585)*IF($P3585="",N($O3585),N($P3585)),0)))</f>
        <v/>
      </c>
      <c r="R3585" s="26">
        <f>IF($D3585="","",IFERROR(VLOOKUP($D3585,库存台账!$A$5:$Y$1204,11,0),0))</f>
        <v/>
      </c>
      <c r="S3585" s="26">
        <f>IF($D3585="","",ROUND(N($J3585)*N($R3585),0))</f>
        <v/>
      </c>
      <c r="T3585" s="26">
        <f>IF($D3585="","",IF($K3585&lt;&gt;"对外销售","",ROUND($Q3585-$S3585,0)))</f>
        <v/>
      </c>
      <c r="U3585" s="17" t="n"/>
      <c r="V3585" s="17" t="n"/>
      <c r="W3585" s="24">
        <f>IF($D3585="","",IF($E3585="※编码不在物料档案里","※物料编码不在档案里",IF(N($J3585)&lt;=0,"※出库数量要大于 0",IF($K3585="","※没填去向类型",IF($L3585="","※没填去向矿区",IF(AND($C3585&lt;&gt;"",$C3585&lt;=结账锁),"※日期早于已结账截止日，不能再录",IF(AND($K3585="自用消耗",COUNTIF({"一矿区";"二矿区"},$L3585)=0),"※自用消耗的去向只能是一矿区或二矿区",IF(AND($K3585="对外销售",COUNTIF({"三矿区";"六矿区"},$L3585)=0),"※对外销售的去向只能是三矿区或六矿区",IF(AND($K3585="对外销售",ROUND($Q3585,0)=0),"※外销却没有售价，请填实际售价",IF(AND($K3585="对外销售",$T3585&lt;&gt;"",$T3585&lt;0),"※这一笔外销是亏的，请核对售价",IF(IFERROR(VLOOKUP($D3585,库存台账!$A$5:$Y$1204,24,0),0)&lt;-0.001,"※这个物料账面已经变成负数了，查一下是不是漏记入库","")))))))))))</f>
        <v/>
      </c>
    </row>
    <row r="3586">
      <c r="A3586" s="24">
        <f>IF($D3586="","",COUNTA($D$4:$D3586))</f>
        <v/>
      </c>
      <c r="B3586" s="17" t="n"/>
      <c r="C3586" s="30" t="n"/>
      <c r="D3586" s="17" t="n"/>
      <c r="E3586" s="24">
        <f>IF($D3586="","",IFERROR(VLOOKUP($D3586,物料档案!$A$4:$P$1203,3,0),"※编码不在物料档案里"))</f>
        <v/>
      </c>
      <c r="F3586" s="24">
        <f>IF($D3586="","",IFERROR(VLOOKUP($D3586,物料档案!$A$4:$P$1203,4,0),"※编码不在物料档案里"))</f>
        <v/>
      </c>
      <c r="G3586" s="24">
        <f>IF($D3586="","",IFERROR(VLOOKUP($D3586,物料档案!$A$4:$P$1203,5,0),"※编码不在物料档案里"))</f>
        <v/>
      </c>
      <c r="H3586" s="24">
        <f>IF($D3586="","",IFERROR(VLOOKUP($D3586,物料档案!$A$4:$P$1203,2,0),"※编码不在物料档案里"))</f>
        <v/>
      </c>
      <c r="I3586" s="24">
        <f>IF($D3586="","",IFERROR(VLOOKUP($D3586,物料档案!$A$4:$P$1203,6,0),"※编码不在物料档案里"))</f>
        <v/>
      </c>
      <c r="J3586" s="23" t="n"/>
      <c r="K3586" s="17" t="n"/>
      <c r="L3586" s="17" t="n"/>
      <c r="M3586" s="17" t="n"/>
      <c r="N3586" s="17" t="n"/>
      <c r="O3586" s="26">
        <f>IF($D3586="","",IFERROR(VLOOKUP($D3586,物料档案!$A$4:$P$1203,10,0),0))</f>
        <v/>
      </c>
      <c r="P3586" s="32" t="n"/>
      <c r="Q3586" s="26">
        <f>IF($D3586="","",IF($K3586&lt;&gt;"对外销售",0,ROUND(N($J3586)*IF($P3586="",N($O3586),N($P3586)),0)))</f>
        <v/>
      </c>
      <c r="R3586" s="26">
        <f>IF($D3586="","",IFERROR(VLOOKUP($D3586,库存台账!$A$5:$Y$1204,11,0),0))</f>
        <v/>
      </c>
      <c r="S3586" s="26">
        <f>IF($D3586="","",ROUND(N($J3586)*N($R3586),0))</f>
        <v/>
      </c>
      <c r="T3586" s="26">
        <f>IF($D3586="","",IF($K3586&lt;&gt;"对外销售","",ROUND($Q3586-$S3586,0)))</f>
        <v/>
      </c>
      <c r="U3586" s="17" t="n"/>
      <c r="V3586" s="17" t="n"/>
      <c r="W3586" s="24">
        <f>IF($D3586="","",IF($E3586="※编码不在物料档案里","※物料编码不在档案里",IF(N($J3586)&lt;=0,"※出库数量要大于 0",IF($K3586="","※没填去向类型",IF($L3586="","※没填去向矿区",IF(AND($C3586&lt;&gt;"",$C3586&lt;=结账锁),"※日期早于已结账截止日，不能再录",IF(AND($K3586="自用消耗",COUNTIF({"一矿区";"二矿区"},$L3586)=0),"※自用消耗的去向只能是一矿区或二矿区",IF(AND($K3586="对外销售",COUNTIF({"三矿区";"六矿区"},$L3586)=0),"※对外销售的去向只能是三矿区或六矿区",IF(AND($K3586="对外销售",ROUND($Q3586,0)=0),"※外销却没有售价，请填实际售价",IF(AND($K3586="对外销售",$T3586&lt;&gt;"",$T3586&lt;0),"※这一笔外销是亏的，请核对售价",IF(IFERROR(VLOOKUP($D3586,库存台账!$A$5:$Y$1204,24,0),0)&lt;-0.001,"※这个物料账面已经变成负数了，查一下是不是漏记入库","")))))))))))</f>
        <v/>
      </c>
    </row>
    <row r="3587">
      <c r="A3587" s="24">
        <f>IF($D3587="","",COUNTA($D$4:$D3587))</f>
        <v/>
      </c>
      <c r="B3587" s="17" t="n"/>
      <c r="C3587" s="30" t="n"/>
      <c r="D3587" s="17" t="n"/>
      <c r="E3587" s="24">
        <f>IF($D3587="","",IFERROR(VLOOKUP($D3587,物料档案!$A$4:$P$1203,3,0),"※编码不在物料档案里"))</f>
        <v/>
      </c>
      <c r="F3587" s="24">
        <f>IF($D3587="","",IFERROR(VLOOKUP($D3587,物料档案!$A$4:$P$1203,4,0),"※编码不在物料档案里"))</f>
        <v/>
      </c>
      <c r="G3587" s="24">
        <f>IF($D3587="","",IFERROR(VLOOKUP($D3587,物料档案!$A$4:$P$1203,5,0),"※编码不在物料档案里"))</f>
        <v/>
      </c>
      <c r="H3587" s="24">
        <f>IF($D3587="","",IFERROR(VLOOKUP($D3587,物料档案!$A$4:$P$1203,2,0),"※编码不在物料档案里"))</f>
        <v/>
      </c>
      <c r="I3587" s="24">
        <f>IF($D3587="","",IFERROR(VLOOKUP($D3587,物料档案!$A$4:$P$1203,6,0),"※编码不在物料档案里"))</f>
        <v/>
      </c>
      <c r="J3587" s="23" t="n"/>
      <c r="K3587" s="17" t="n"/>
      <c r="L3587" s="17" t="n"/>
      <c r="M3587" s="17" t="n"/>
      <c r="N3587" s="17" t="n"/>
      <c r="O3587" s="26">
        <f>IF($D3587="","",IFERROR(VLOOKUP($D3587,物料档案!$A$4:$P$1203,10,0),0))</f>
        <v/>
      </c>
      <c r="P3587" s="32" t="n"/>
      <c r="Q3587" s="26">
        <f>IF($D3587="","",IF($K3587&lt;&gt;"对外销售",0,ROUND(N($J3587)*IF($P3587="",N($O3587),N($P3587)),0)))</f>
        <v/>
      </c>
      <c r="R3587" s="26">
        <f>IF($D3587="","",IFERROR(VLOOKUP($D3587,库存台账!$A$5:$Y$1204,11,0),0))</f>
        <v/>
      </c>
      <c r="S3587" s="26">
        <f>IF($D3587="","",ROUND(N($J3587)*N($R3587),0))</f>
        <v/>
      </c>
      <c r="T3587" s="26">
        <f>IF($D3587="","",IF($K3587&lt;&gt;"对外销售","",ROUND($Q3587-$S3587,0)))</f>
        <v/>
      </c>
      <c r="U3587" s="17" t="n"/>
      <c r="V3587" s="17" t="n"/>
      <c r="W3587" s="24">
        <f>IF($D3587="","",IF($E3587="※编码不在物料档案里","※物料编码不在档案里",IF(N($J3587)&lt;=0,"※出库数量要大于 0",IF($K3587="","※没填去向类型",IF($L3587="","※没填去向矿区",IF(AND($C3587&lt;&gt;"",$C3587&lt;=结账锁),"※日期早于已结账截止日，不能再录",IF(AND($K3587="自用消耗",COUNTIF({"一矿区";"二矿区"},$L3587)=0),"※自用消耗的去向只能是一矿区或二矿区",IF(AND($K3587="对外销售",COUNTIF({"三矿区";"六矿区"},$L3587)=0),"※对外销售的去向只能是三矿区或六矿区",IF(AND($K3587="对外销售",ROUND($Q3587,0)=0),"※外销却没有售价，请填实际售价",IF(AND($K3587="对外销售",$T3587&lt;&gt;"",$T3587&lt;0),"※这一笔外销是亏的，请核对售价",IF(IFERROR(VLOOKUP($D3587,库存台账!$A$5:$Y$1204,24,0),0)&lt;-0.001,"※这个物料账面已经变成负数了，查一下是不是漏记入库","")))))))))))</f>
        <v/>
      </c>
    </row>
    <row r="3588">
      <c r="A3588" s="24">
        <f>IF($D3588="","",COUNTA($D$4:$D3588))</f>
        <v/>
      </c>
      <c r="B3588" s="17" t="n"/>
      <c r="C3588" s="30" t="n"/>
      <c r="D3588" s="17" t="n"/>
      <c r="E3588" s="24">
        <f>IF($D3588="","",IFERROR(VLOOKUP($D3588,物料档案!$A$4:$P$1203,3,0),"※编码不在物料档案里"))</f>
        <v/>
      </c>
      <c r="F3588" s="24">
        <f>IF($D3588="","",IFERROR(VLOOKUP($D3588,物料档案!$A$4:$P$1203,4,0),"※编码不在物料档案里"))</f>
        <v/>
      </c>
      <c r="G3588" s="24">
        <f>IF($D3588="","",IFERROR(VLOOKUP($D3588,物料档案!$A$4:$P$1203,5,0),"※编码不在物料档案里"))</f>
        <v/>
      </c>
      <c r="H3588" s="24">
        <f>IF($D3588="","",IFERROR(VLOOKUP($D3588,物料档案!$A$4:$P$1203,2,0),"※编码不在物料档案里"))</f>
        <v/>
      </c>
      <c r="I3588" s="24">
        <f>IF($D3588="","",IFERROR(VLOOKUP($D3588,物料档案!$A$4:$P$1203,6,0),"※编码不在物料档案里"))</f>
        <v/>
      </c>
      <c r="J3588" s="23" t="n"/>
      <c r="K3588" s="17" t="n"/>
      <c r="L3588" s="17" t="n"/>
      <c r="M3588" s="17" t="n"/>
      <c r="N3588" s="17" t="n"/>
      <c r="O3588" s="26">
        <f>IF($D3588="","",IFERROR(VLOOKUP($D3588,物料档案!$A$4:$P$1203,10,0),0))</f>
        <v/>
      </c>
      <c r="P3588" s="32" t="n"/>
      <c r="Q3588" s="26">
        <f>IF($D3588="","",IF($K3588&lt;&gt;"对外销售",0,ROUND(N($J3588)*IF($P3588="",N($O3588),N($P3588)),0)))</f>
        <v/>
      </c>
      <c r="R3588" s="26">
        <f>IF($D3588="","",IFERROR(VLOOKUP($D3588,库存台账!$A$5:$Y$1204,11,0),0))</f>
        <v/>
      </c>
      <c r="S3588" s="26">
        <f>IF($D3588="","",ROUND(N($J3588)*N($R3588),0))</f>
        <v/>
      </c>
      <c r="T3588" s="26">
        <f>IF($D3588="","",IF($K3588&lt;&gt;"对外销售","",ROUND($Q3588-$S3588,0)))</f>
        <v/>
      </c>
      <c r="U3588" s="17" t="n"/>
      <c r="V3588" s="17" t="n"/>
      <c r="W3588" s="24">
        <f>IF($D3588="","",IF($E3588="※编码不在物料档案里","※物料编码不在档案里",IF(N($J3588)&lt;=0,"※出库数量要大于 0",IF($K3588="","※没填去向类型",IF($L3588="","※没填去向矿区",IF(AND($C3588&lt;&gt;"",$C3588&lt;=结账锁),"※日期早于已结账截止日，不能再录",IF(AND($K3588="自用消耗",COUNTIF({"一矿区";"二矿区"},$L3588)=0),"※自用消耗的去向只能是一矿区或二矿区",IF(AND($K3588="对外销售",COUNTIF({"三矿区";"六矿区"},$L3588)=0),"※对外销售的去向只能是三矿区或六矿区",IF(AND($K3588="对外销售",ROUND($Q3588,0)=0),"※外销却没有售价，请填实际售价",IF(AND($K3588="对外销售",$T3588&lt;&gt;"",$T3588&lt;0),"※这一笔外销是亏的，请核对售价",IF(IFERROR(VLOOKUP($D3588,库存台账!$A$5:$Y$1204,24,0),0)&lt;-0.001,"※这个物料账面已经变成负数了，查一下是不是漏记入库","")))))))))))</f>
        <v/>
      </c>
    </row>
    <row r="3589">
      <c r="A3589" s="24">
        <f>IF($D3589="","",COUNTA($D$4:$D3589))</f>
        <v/>
      </c>
      <c r="B3589" s="17" t="n"/>
      <c r="C3589" s="30" t="n"/>
      <c r="D3589" s="17" t="n"/>
      <c r="E3589" s="24">
        <f>IF($D3589="","",IFERROR(VLOOKUP($D3589,物料档案!$A$4:$P$1203,3,0),"※编码不在物料档案里"))</f>
        <v/>
      </c>
      <c r="F3589" s="24">
        <f>IF($D3589="","",IFERROR(VLOOKUP($D3589,物料档案!$A$4:$P$1203,4,0),"※编码不在物料档案里"))</f>
        <v/>
      </c>
      <c r="G3589" s="24">
        <f>IF($D3589="","",IFERROR(VLOOKUP($D3589,物料档案!$A$4:$P$1203,5,0),"※编码不在物料档案里"))</f>
        <v/>
      </c>
      <c r="H3589" s="24">
        <f>IF($D3589="","",IFERROR(VLOOKUP($D3589,物料档案!$A$4:$P$1203,2,0),"※编码不在物料档案里"))</f>
        <v/>
      </c>
      <c r="I3589" s="24">
        <f>IF($D3589="","",IFERROR(VLOOKUP($D3589,物料档案!$A$4:$P$1203,6,0),"※编码不在物料档案里"))</f>
        <v/>
      </c>
      <c r="J3589" s="23" t="n"/>
      <c r="K3589" s="17" t="n"/>
      <c r="L3589" s="17" t="n"/>
      <c r="M3589" s="17" t="n"/>
      <c r="N3589" s="17" t="n"/>
      <c r="O3589" s="26">
        <f>IF($D3589="","",IFERROR(VLOOKUP($D3589,物料档案!$A$4:$P$1203,10,0),0))</f>
        <v/>
      </c>
      <c r="P3589" s="32" t="n"/>
      <c r="Q3589" s="26">
        <f>IF($D3589="","",IF($K3589&lt;&gt;"对外销售",0,ROUND(N($J3589)*IF($P3589="",N($O3589),N($P3589)),0)))</f>
        <v/>
      </c>
      <c r="R3589" s="26">
        <f>IF($D3589="","",IFERROR(VLOOKUP($D3589,库存台账!$A$5:$Y$1204,11,0),0))</f>
        <v/>
      </c>
      <c r="S3589" s="26">
        <f>IF($D3589="","",ROUND(N($J3589)*N($R3589),0))</f>
        <v/>
      </c>
      <c r="T3589" s="26">
        <f>IF($D3589="","",IF($K3589&lt;&gt;"对外销售","",ROUND($Q3589-$S3589,0)))</f>
        <v/>
      </c>
      <c r="U3589" s="17" t="n"/>
      <c r="V3589" s="17" t="n"/>
      <c r="W3589" s="24">
        <f>IF($D3589="","",IF($E3589="※编码不在物料档案里","※物料编码不在档案里",IF(N($J3589)&lt;=0,"※出库数量要大于 0",IF($K3589="","※没填去向类型",IF($L3589="","※没填去向矿区",IF(AND($C3589&lt;&gt;"",$C3589&lt;=结账锁),"※日期早于已结账截止日，不能再录",IF(AND($K3589="自用消耗",COUNTIF({"一矿区";"二矿区"},$L3589)=0),"※自用消耗的去向只能是一矿区或二矿区",IF(AND($K3589="对外销售",COUNTIF({"三矿区";"六矿区"},$L3589)=0),"※对外销售的去向只能是三矿区或六矿区",IF(AND($K3589="对外销售",ROUND($Q3589,0)=0),"※外销却没有售价，请填实际售价",IF(AND($K3589="对外销售",$T3589&lt;&gt;"",$T3589&lt;0),"※这一笔外销是亏的，请核对售价",IF(IFERROR(VLOOKUP($D3589,库存台账!$A$5:$Y$1204,24,0),0)&lt;-0.001,"※这个物料账面已经变成负数了，查一下是不是漏记入库","")))))))))))</f>
        <v/>
      </c>
    </row>
    <row r="3590">
      <c r="A3590" s="24">
        <f>IF($D3590="","",COUNTA($D$4:$D3590))</f>
        <v/>
      </c>
      <c r="B3590" s="17" t="n"/>
      <c r="C3590" s="30" t="n"/>
      <c r="D3590" s="17" t="n"/>
      <c r="E3590" s="24">
        <f>IF($D3590="","",IFERROR(VLOOKUP($D3590,物料档案!$A$4:$P$1203,3,0),"※编码不在物料档案里"))</f>
        <v/>
      </c>
      <c r="F3590" s="24">
        <f>IF($D3590="","",IFERROR(VLOOKUP($D3590,物料档案!$A$4:$P$1203,4,0),"※编码不在物料档案里"))</f>
        <v/>
      </c>
      <c r="G3590" s="24">
        <f>IF($D3590="","",IFERROR(VLOOKUP($D3590,物料档案!$A$4:$P$1203,5,0),"※编码不在物料档案里"))</f>
        <v/>
      </c>
      <c r="H3590" s="24">
        <f>IF($D3590="","",IFERROR(VLOOKUP($D3590,物料档案!$A$4:$P$1203,2,0),"※编码不在物料档案里"))</f>
        <v/>
      </c>
      <c r="I3590" s="24">
        <f>IF($D3590="","",IFERROR(VLOOKUP($D3590,物料档案!$A$4:$P$1203,6,0),"※编码不在物料档案里"))</f>
        <v/>
      </c>
      <c r="J3590" s="23" t="n"/>
      <c r="K3590" s="17" t="n"/>
      <c r="L3590" s="17" t="n"/>
      <c r="M3590" s="17" t="n"/>
      <c r="N3590" s="17" t="n"/>
      <c r="O3590" s="26">
        <f>IF($D3590="","",IFERROR(VLOOKUP($D3590,物料档案!$A$4:$P$1203,10,0),0))</f>
        <v/>
      </c>
      <c r="P3590" s="32" t="n"/>
      <c r="Q3590" s="26">
        <f>IF($D3590="","",IF($K3590&lt;&gt;"对外销售",0,ROUND(N($J3590)*IF($P3590="",N($O3590),N($P3590)),0)))</f>
        <v/>
      </c>
      <c r="R3590" s="26">
        <f>IF($D3590="","",IFERROR(VLOOKUP($D3590,库存台账!$A$5:$Y$1204,11,0),0))</f>
        <v/>
      </c>
      <c r="S3590" s="26">
        <f>IF($D3590="","",ROUND(N($J3590)*N($R3590),0))</f>
        <v/>
      </c>
      <c r="T3590" s="26">
        <f>IF($D3590="","",IF($K3590&lt;&gt;"对外销售","",ROUND($Q3590-$S3590,0)))</f>
        <v/>
      </c>
      <c r="U3590" s="17" t="n"/>
      <c r="V3590" s="17" t="n"/>
      <c r="W3590" s="24">
        <f>IF($D3590="","",IF($E3590="※编码不在物料档案里","※物料编码不在档案里",IF(N($J3590)&lt;=0,"※出库数量要大于 0",IF($K3590="","※没填去向类型",IF($L3590="","※没填去向矿区",IF(AND($C3590&lt;&gt;"",$C3590&lt;=结账锁),"※日期早于已结账截止日，不能再录",IF(AND($K3590="自用消耗",COUNTIF({"一矿区";"二矿区"},$L3590)=0),"※自用消耗的去向只能是一矿区或二矿区",IF(AND($K3590="对外销售",COUNTIF({"三矿区";"六矿区"},$L3590)=0),"※对外销售的去向只能是三矿区或六矿区",IF(AND($K3590="对外销售",ROUND($Q3590,0)=0),"※外销却没有售价，请填实际售价",IF(AND($K3590="对外销售",$T3590&lt;&gt;"",$T3590&lt;0),"※这一笔外销是亏的，请核对售价",IF(IFERROR(VLOOKUP($D3590,库存台账!$A$5:$Y$1204,24,0),0)&lt;-0.001,"※这个物料账面已经变成负数了，查一下是不是漏记入库","")))))))))))</f>
        <v/>
      </c>
    </row>
    <row r="3591">
      <c r="A3591" s="24">
        <f>IF($D3591="","",COUNTA($D$4:$D3591))</f>
        <v/>
      </c>
      <c r="B3591" s="17" t="n"/>
      <c r="C3591" s="30" t="n"/>
      <c r="D3591" s="17" t="n"/>
      <c r="E3591" s="24">
        <f>IF($D3591="","",IFERROR(VLOOKUP($D3591,物料档案!$A$4:$P$1203,3,0),"※编码不在物料档案里"))</f>
        <v/>
      </c>
      <c r="F3591" s="24">
        <f>IF($D3591="","",IFERROR(VLOOKUP($D3591,物料档案!$A$4:$P$1203,4,0),"※编码不在物料档案里"))</f>
        <v/>
      </c>
      <c r="G3591" s="24">
        <f>IF($D3591="","",IFERROR(VLOOKUP($D3591,物料档案!$A$4:$P$1203,5,0),"※编码不在物料档案里"))</f>
        <v/>
      </c>
      <c r="H3591" s="24">
        <f>IF($D3591="","",IFERROR(VLOOKUP($D3591,物料档案!$A$4:$P$1203,2,0),"※编码不在物料档案里"))</f>
        <v/>
      </c>
      <c r="I3591" s="24">
        <f>IF($D3591="","",IFERROR(VLOOKUP($D3591,物料档案!$A$4:$P$1203,6,0),"※编码不在物料档案里"))</f>
        <v/>
      </c>
      <c r="J3591" s="23" t="n"/>
      <c r="K3591" s="17" t="n"/>
      <c r="L3591" s="17" t="n"/>
      <c r="M3591" s="17" t="n"/>
      <c r="N3591" s="17" t="n"/>
      <c r="O3591" s="26">
        <f>IF($D3591="","",IFERROR(VLOOKUP($D3591,物料档案!$A$4:$P$1203,10,0),0))</f>
        <v/>
      </c>
      <c r="P3591" s="32" t="n"/>
      <c r="Q3591" s="26">
        <f>IF($D3591="","",IF($K3591&lt;&gt;"对外销售",0,ROUND(N($J3591)*IF($P3591="",N($O3591),N($P3591)),0)))</f>
        <v/>
      </c>
      <c r="R3591" s="26">
        <f>IF($D3591="","",IFERROR(VLOOKUP($D3591,库存台账!$A$5:$Y$1204,11,0),0))</f>
        <v/>
      </c>
      <c r="S3591" s="26">
        <f>IF($D3591="","",ROUND(N($J3591)*N($R3591),0))</f>
        <v/>
      </c>
      <c r="T3591" s="26">
        <f>IF($D3591="","",IF($K3591&lt;&gt;"对外销售","",ROUND($Q3591-$S3591,0)))</f>
        <v/>
      </c>
      <c r="U3591" s="17" t="n"/>
      <c r="V3591" s="17" t="n"/>
      <c r="W3591" s="24">
        <f>IF($D3591="","",IF($E3591="※编码不在物料档案里","※物料编码不在档案里",IF(N($J3591)&lt;=0,"※出库数量要大于 0",IF($K3591="","※没填去向类型",IF($L3591="","※没填去向矿区",IF(AND($C3591&lt;&gt;"",$C3591&lt;=结账锁),"※日期早于已结账截止日，不能再录",IF(AND($K3591="自用消耗",COUNTIF({"一矿区";"二矿区"},$L3591)=0),"※自用消耗的去向只能是一矿区或二矿区",IF(AND($K3591="对外销售",COUNTIF({"三矿区";"六矿区"},$L3591)=0),"※对外销售的去向只能是三矿区或六矿区",IF(AND($K3591="对外销售",ROUND($Q3591,0)=0),"※外销却没有售价，请填实际售价",IF(AND($K3591="对外销售",$T3591&lt;&gt;"",$T3591&lt;0),"※这一笔外销是亏的，请核对售价",IF(IFERROR(VLOOKUP($D3591,库存台账!$A$5:$Y$1204,24,0),0)&lt;-0.001,"※这个物料账面已经变成负数了，查一下是不是漏记入库","")))))))))))</f>
        <v/>
      </c>
    </row>
    <row r="3592">
      <c r="A3592" s="24">
        <f>IF($D3592="","",COUNTA($D$4:$D3592))</f>
        <v/>
      </c>
      <c r="B3592" s="17" t="n"/>
      <c r="C3592" s="30" t="n"/>
      <c r="D3592" s="17" t="n"/>
      <c r="E3592" s="24">
        <f>IF($D3592="","",IFERROR(VLOOKUP($D3592,物料档案!$A$4:$P$1203,3,0),"※编码不在物料档案里"))</f>
        <v/>
      </c>
      <c r="F3592" s="24">
        <f>IF($D3592="","",IFERROR(VLOOKUP($D3592,物料档案!$A$4:$P$1203,4,0),"※编码不在物料档案里"))</f>
        <v/>
      </c>
      <c r="G3592" s="24">
        <f>IF($D3592="","",IFERROR(VLOOKUP($D3592,物料档案!$A$4:$P$1203,5,0),"※编码不在物料档案里"))</f>
        <v/>
      </c>
      <c r="H3592" s="24">
        <f>IF($D3592="","",IFERROR(VLOOKUP($D3592,物料档案!$A$4:$P$1203,2,0),"※编码不在物料档案里"))</f>
        <v/>
      </c>
      <c r="I3592" s="24">
        <f>IF($D3592="","",IFERROR(VLOOKUP($D3592,物料档案!$A$4:$P$1203,6,0),"※编码不在物料档案里"))</f>
        <v/>
      </c>
      <c r="J3592" s="23" t="n"/>
      <c r="K3592" s="17" t="n"/>
      <c r="L3592" s="17" t="n"/>
      <c r="M3592" s="17" t="n"/>
      <c r="N3592" s="17" t="n"/>
      <c r="O3592" s="26">
        <f>IF($D3592="","",IFERROR(VLOOKUP($D3592,物料档案!$A$4:$P$1203,10,0),0))</f>
        <v/>
      </c>
      <c r="P3592" s="32" t="n"/>
      <c r="Q3592" s="26">
        <f>IF($D3592="","",IF($K3592&lt;&gt;"对外销售",0,ROUND(N($J3592)*IF($P3592="",N($O3592),N($P3592)),0)))</f>
        <v/>
      </c>
      <c r="R3592" s="26">
        <f>IF($D3592="","",IFERROR(VLOOKUP($D3592,库存台账!$A$5:$Y$1204,11,0),0))</f>
        <v/>
      </c>
      <c r="S3592" s="26">
        <f>IF($D3592="","",ROUND(N($J3592)*N($R3592),0))</f>
        <v/>
      </c>
      <c r="T3592" s="26">
        <f>IF($D3592="","",IF($K3592&lt;&gt;"对外销售","",ROUND($Q3592-$S3592,0)))</f>
        <v/>
      </c>
      <c r="U3592" s="17" t="n"/>
      <c r="V3592" s="17" t="n"/>
      <c r="W3592" s="24">
        <f>IF($D3592="","",IF($E3592="※编码不在物料档案里","※物料编码不在档案里",IF(N($J3592)&lt;=0,"※出库数量要大于 0",IF($K3592="","※没填去向类型",IF($L3592="","※没填去向矿区",IF(AND($C3592&lt;&gt;"",$C3592&lt;=结账锁),"※日期早于已结账截止日，不能再录",IF(AND($K3592="自用消耗",COUNTIF({"一矿区";"二矿区"},$L3592)=0),"※自用消耗的去向只能是一矿区或二矿区",IF(AND($K3592="对外销售",COUNTIF({"三矿区";"六矿区"},$L3592)=0),"※对外销售的去向只能是三矿区或六矿区",IF(AND($K3592="对外销售",ROUND($Q3592,0)=0),"※外销却没有售价，请填实际售价",IF(AND($K3592="对外销售",$T3592&lt;&gt;"",$T3592&lt;0),"※这一笔外销是亏的，请核对售价",IF(IFERROR(VLOOKUP($D3592,库存台账!$A$5:$Y$1204,24,0),0)&lt;-0.001,"※这个物料账面已经变成负数了，查一下是不是漏记入库","")))))))))))</f>
        <v/>
      </c>
    </row>
    <row r="3593">
      <c r="A3593" s="24">
        <f>IF($D3593="","",COUNTA($D$4:$D3593))</f>
        <v/>
      </c>
      <c r="B3593" s="17" t="n"/>
      <c r="C3593" s="30" t="n"/>
      <c r="D3593" s="17" t="n"/>
      <c r="E3593" s="24">
        <f>IF($D3593="","",IFERROR(VLOOKUP($D3593,物料档案!$A$4:$P$1203,3,0),"※编码不在物料档案里"))</f>
        <v/>
      </c>
      <c r="F3593" s="24">
        <f>IF($D3593="","",IFERROR(VLOOKUP($D3593,物料档案!$A$4:$P$1203,4,0),"※编码不在物料档案里"))</f>
        <v/>
      </c>
      <c r="G3593" s="24">
        <f>IF($D3593="","",IFERROR(VLOOKUP($D3593,物料档案!$A$4:$P$1203,5,0),"※编码不在物料档案里"))</f>
        <v/>
      </c>
      <c r="H3593" s="24">
        <f>IF($D3593="","",IFERROR(VLOOKUP($D3593,物料档案!$A$4:$P$1203,2,0),"※编码不在物料档案里"))</f>
        <v/>
      </c>
      <c r="I3593" s="24">
        <f>IF($D3593="","",IFERROR(VLOOKUP($D3593,物料档案!$A$4:$P$1203,6,0),"※编码不在物料档案里"))</f>
        <v/>
      </c>
      <c r="J3593" s="23" t="n"/>
      <c r="K3593" s="17" t="n"/>
      <c r="L3593" s="17" t="n"/>
      <c r="M3593" s="17" t="n"/>
      <c r="N3593" s="17" t="n"/>
      <c r="O3593" s="26">
        <f>IF($D3593="","",IFERROR(VLOOKUP($D3593,物料档案!$A$4:$P$1203,10,0),0))</f>
        <v/>
      </c>
      <c r="P3593" s="32" t="n"/>
      <c r="Q3593" s="26">
        <f>IF($D3593="","",IF($K3593&lt;&gt;"对外销售",0,ROUND(N($J3593)*IF($P3593="",N($O3593),N($P3593)),0)))</f>
        <v/>
      </c>
      <c r="R3593" s="26">
        <f>IF($D3593="","",IFERROR(VLOOKUP($D3593,库存台账!$A$5:$Y$1204,11,0),0))</f>
        <v/>
      </c>
      <c r="S3593" s="26">
        <f>IF($D3593="","",ROUND(N($J3593)*N($R3593),0))</f>
        <v/>
      </c>
      <c r="T3593" s="26">
        <f>IF($D3593="","",IF($K3593&lt;&gt;"对外销售","",ROUND($Q3593-$S3593,0)))</f>
        <v/>
      </c>
      <c r="U3593" s="17" t="n"/>
      <c r="V3593" s="17" t="n"/>
      <c r="W3593" s="24">
        <f>IF($D3593="","",IF($E3593="※编码不在物料档案里","※物料编码不在档案里",IF(N($J3593)&lt;=0,"※出库数量要大于 0",IF($K3593="","※没填去向类型",IF($L3593="","※没填去向矿区",IF(AND($C3593&lt;&gt;"",$C3593&lt;=结账锁),"※日期早于已结账截止日，不能再录",IF(AND($K3593="自用消耗",COUNTIF({"一矿区";"二矿区"},$L3593)=0),"※自用消耗的去向只能是一矿区或二矿区",IF(AND($K3593="对外销售",COUNTIF({"三矿区";"六矿区"},$L3593)=0),"※对外销售的去向只能是三矿区或六矿区",IF(AND($K3593="对外销售",ROUND($Q3593,0)=0),"※外销却没有售价，请填实际售价",IF(AND($K3593="对外销售",$T3593&lt;&gt;"",$T3593&lt;0),"※这一笔外销是亏的，请核对售价",IF(IFERROR(VLOOKUP($D3593,库存台账!$A$5:$Y$1204,24,0),0)&lt;-0.001,"※这个物料账面已经变成负数了，查一下是不是漏记入库","")))))))))))</f>
        <v/>
      </c>
    </row>
    <row r="3594">
      <c r="A3594" s="24">
        <f>IF($D3594="","",COUNTA($D$4:$D3594))</f>
        <v/>
      </c>
      <c r="B3594" s="17" t="n"/>
      <c r="C3594" s="30" t="n"/>
      <c r="D3594" s="17" t="n"/>
      <c r="E3594" s="24">
        <f>IF($D3594="","",IFERROR(VLOOKUP($D3594,物料档案!$A$4:$P$1203,3,0),"※编码不在物料档案里"))</f>
        <v/>
      </c>
      <c r="F3594" s="24">
        <f>IF($D3594="","",IFERROR(VLOOKUP($D3594,物料档案!$A$4:$P$1203,4,0),"※编码不在物料档案里"))</f>
        <v/>
      </c>
      <c r="G3594" s="24">
        <f>IF($D3594="","",IFERROR(VLOOKUP($D3594,物料档案!$A$4:$P$1203,5,0),"※编码不在物料档案里"))</f>
        <v/>
      </c>
      <c r="H3594" s="24">
        <f>IF($D3594="","",IFERROR(VLOOKUP($D3594,物料档案!$A$4:$P$1203,2,0),"※编码不在物料档案里"))</f>
        <v/>
      </c>
      <c r="I3594" s="24">
        <f>IF($D3594="","",IFERROR(VLOOKUP($D3594,物料档案!$A$4:$P$1203,6,0),"※编码不在物料档案里"))</f>
        <v/>
      </c>
      <c r="J3594" s="23" t="n"/>
      <c r="K3594" s="17" t="n"/>
      <c r="L3594" s="17" t="n"/>
      <c r="M3594" s="17" t="n"/>
      <c r="N3594" s="17" t="n"/>
      <c r="O3594" s="26">
        <f>IF($D3594="","",IFERROR(VLOOKUP($D3594,物料档案!$A$4:$P$1203,10,0),0))</f>
        <v/>
      </c>
      <c r="P3594" s="32" t="n"/>
      <c r="Q3594" s="26">
        <f>IF($D3594="","",IF($K3594&lt;&gt;"对外销售",0,ROUND(N($J3594)*IF($P3594="",N($O3594),N($P3594)),0)))</f>
        <v/>
      </c>
      <c r="R3594" s="26">
        <f>IF($D3594="","",IFERROR(VLOOKUP($D3594,库存台账!$A$5:$Y$1204,11,0),0))</f>
        <v/>
      </c>
      <c r="S3594" s="26">
        <f>IF($D3594="","",ROUND(N($J3594)*N($R3594),0))</f>
        <v/>
      </c>
      <c r="T3594" s="26">
        <f>IF($D3594="","",IF($K3594&lt;&gt;"对外销售","",ROUND($Q3594-$S3594,0)))</f>
        <v/>
      </c>
      <c r="U3594" s="17" t="n"/>
      <c r="V3594" s="17" t="n"/>
      <c r="W3594" s="24">
        <f>IF($D3594="","",IF($E3594="※编码不在物料档案里","※物料编码不在档案里",IF(N($J3594)&lt;=0,"※出库数量要大于 0",IF($K3594="","※没填去向类型",IF($L3594="","※没填去向矿区",IF(AND($C3594&lt;&gt;"",$C3594&lt;=结账锁),"※日期早于已结账截止日，不能再录",IF(AND($K3594="自用消耗",COUNTIF({"一矿区";"二矿区"},$L3594)=0),"※自用消耗的去向只能是一矿区或二矿区",IF(AND($K3594="对外销售",COUNTIF({"三矿区";"六矿区"},$L3594)=0),"※对外销售的去向只能是三矿区或六矿区",IF(AND($K3594="对外销售",ROUND($Q3594,0)=0),"※外销却没有售价，请填实际售价",IF(AND($K3594="对外销售",$T3594&lt;&gt;"",$T3594&lt;0),"※这一笔外销是亏的，请核对售价",IF(IFERROR(VLOOKUP($D3594,库存台账!$A$5:$Y$1204,24,0),0)&lt;-0.001,"※这个物料账面已经变成负数了，查一下是不是漏记入库","")))))))))))</f>
        <v/>
      </c>
    </row>
    <row r="3595">
      <c r="A3595" s="24">
        <f>IF($D3595="","",COUNTA($D$4:$D3595))</f>
        <v/>
      </c>
      <c r="B3595" s="17" t="n"/>
      <c r="C3595" s="30" t="n"/>
      <c r="D3595" s="17" t="n"/>
      <c r="E3595" s="24">
        <f>IF($D3595="","",IFERROR(VLOOKUP($D3595,物料档案!$A$4:$P$1203,3,0),"※编码不在物料档案里"))</f>
        <v/>
      </c>
      <c r="F3595" s="24">
        <f>IF($D3595="","",IFERROR(VLOOKUP($D3595,物料档案!$A$4:$P$1203,4,0),"※编码不在物料档案里"))</f>
        <v/>
      </c>
      <c r="G3595" s="24">
        <f>IF($D3595="","",IFERROR(VLOOKUP($D3595,物料档案!$A$4:$P$1203,5,0),"※编码不在物料档案里"))</f>
        <v/>
      </c>
      <c r="H3595" s="24">
        <f>IF($D3595="","",IFERROR(VLOOKUP($D3595,物料档案!$A$4:$P$1203,2,0),"※编码不在物料档案里"))</f>
        <v/>
      </c>
      <c r="I3595" s="24">
        <f>IF($D3595="","",IFERROR(VLOOKUP($D3595,物料档案!$A$4:$P$1203,6,0),"※编码不在物料档案里"))</f>
        <v/>
      </c>
      <c r="J3595" s="23" t="n"/>
      <c r="K3595" s="17" t="n"/>
      <c r="L3595" s="17" t="n"/>
      <c r="M3595" s="17" t="n"/>
      <c r="N3595" s="17" t="n"/>
      <c r="O3595" s="26">
        <f>IF($D3595="","",IFERROR(VLOOKUP($D3595,物料档案!$A$4:$P$1203,10,0),0))</f>
        <v/>
      </c>
      <c r="P3595" s="32" t="n"/>
      <c r="Q3595" s="26">
        <f>IF($D3595="","",IF($K3595&lt;&gt;"对外销售",0,ROUND(N($J3595)*IF($P3595="",N($O3595),N($P3595)),0)))</f>
        <v/>
      </c>
      <c r="R3595" s="26">
        <f>IF($D3595="","",IFERROR(VLOOKUP($D3595,库存台账!$A$5:$Y$1204,11,0),0))</f>
        <v/>
      </c>
      <c r="S3595" s="26">
        <f>IF($D3595="","",ROUND(N($J3595)*N($R3595),0))</f>
        <v/>
      </c>
      <c r="T3595" s="26">
        <f>IF($D3595="","",IF($K3595&lt;&gt;"对外销售","",ROUND($Q3595-$S3595,0)))</f>
        <v/>
      </c>
      <c r="U3595" s="17" t="n"/>
      <c r="V3595" s="17" t="n"/>
      <c r="W3595" s="24">
        <f>IF($D3595="","",IF($E3595="※编码不在物料档案里","※物料编码不在档案里",IF(N($J3595)&lt;=0,"※出库数量要大于 0",IF($K3595="","※没填去向类型",IF($L3595="","※没填去向矿区",IF(AND($C3595&lt;&gt;"",$C3595&lt;=结账锁),"※日期早于已结账截止日，不能再录",IF(AND($K3595="自用消耗",COUNTIF({"一矿区";"二矿区"},$L3595)=0),"※自用消耗的去向只能是一矿区或二矿区",IF(AND($K3595="对外销售",COUNTIF({"三矿区";"六矿区"},$L3595)=0),"※对外销售的去向只能是三矿区或六矿区",IF(AND($K3595="对外销售",ROUND($Q3595,0)=0),"※外销却没有售价，请填实际售价",IF(AND($K3595="对外销售",$T3595&lt;&gt;"",$T3595&lt;0),"※这一笔外销是亏的，请核对售价",IF(IFERROR(VLOOKUP($D3595,库存台账!$A$5:$Y$1204,24,0),0)&lt;-0.001,"※这个物料账面已经变成负数了，查一下是不是漏记入库","")))))))))))</f>
        <v/>
      </c>
    </row>
    <row r="3596">
      <c r="A3596" s="24">
        <f>IF($D3596="","",COUNTA($D$4:$D3596))</f>
        <v/>
      </c>
      <c r="B3596" s="17" t="n"/>
      <c r="C3596" s="30" t="n"/>
      <c r="D3596" s="17" t="n"/>
      <c r="E3596" s="24">
        <f>IF($D3596="","",IFERROR(VLOOKUP($D3596,物料档案!$A$4:$P$1203,3,0),"※编码不在物料档案里"))</f>
        <v/>
      </c>
      <c r="F3596" s="24">
        <f>IF($D3596="","",IFERROR(VLOOKUP($D3596,物料档案!$A$4:$P$1203,4,0),"※编码不在物料档案里"))</f>
        <v/>
      </c>
      <c r="G3596" s="24">
        <f>IF($D3596="","",IFERROR(VLOOKUP($D3596,物料档案!$A$4:$P$1203,5,0),"※编码不在物料档案里"))</f>
        <v/>
      </c>
      <c r="H3596" s="24">
        <f>IF($D3596="","",IFERROR(VLOOKUP($D3596,物料档案!$A$4:$P$1203,2,0),"※编码不在物料档案里"))</f>
        <v/>
      </c>
      <c r="I3596" s="24">
        <f>IF($D3596="","",IFERROR(VLOOKUP($D3596,物料档案!$A$4:$P$1203,6,0),"※编码不在物料档案里"))</f>
        <v/>
      </c>
      <c r="J3596" s="23" t="n"/>
      <c r="K3596" s="17" t="n"/>
      <c r="L3596" s="17" t="n"/>
      <c r="M3596" s="17" t="n"/>
      <c r="N3596" s="17" t="n"/>
      <c r="O3596" s="26">
        <f>IF($D3596="","",IFERROR(VLOOKUP($D3596,物料档案!$A$4:$P$1203,10,0),0))</f>
        <v/>
      </c>
      <c r="P3596" s="32" t="n"/>
      <c r="Q3596" s="26">
        <f>IF($D3596="","",IF($K3596&lt;&gt;"对外销售",0,ROUND(N($J3596)*IF($P3596="",N($O3596),N($P3596)),0)))</f>
        <v/>
      </c>
      <c r="R3596" s="26">
        <f>IF($D3596="","",IFERROR(VLOOKUP($D3596,库存台账!$A$5:$Y$1204,11,0),0))</f>
        <v/>
      </c>
      <c r="S3596" s="26">
        <f>IF($D3596="","",ROUND(N($J3596)*N($R3596),0))</f>
        <v/>
      </c>
      <c r="T3596" s="26">
        <f>IF($D3596="","",IF($K3596&lt;&gt;"对外销售","",ROUND($Q3596-$S3596,0)))</f>
        <v/>
      </c>
      <c r="U3596" s="17" t="n"/>
      <c r="V3596" s="17" t="n"/>
      <c r="W3596" s="24">
        <f>IF($D3596="","",IF($E3596="※编码不在物料档案里","※物料编码不在档案里",IF(N($J3596)&lt;=0,"※出库数量要大于 0",IF($K3596="","※没填去向类型",IF($L3596="","※没填去向矿区",IF(AND($C3596&lt;&gt;"",$C3596&lt;=结账锁),"※日期早于已结账截止日，不能再录",IF(AND($K3596="自用消耗",COUNTIF({"一矿区";"二矿区"},$L3596)=0),"※自用消耗的去向只能是一矿区或二矿区",IF(AND($K3596="对外销售",COUNTIF({"三矿区";"六矿区"},$L3596)=0),"※对外销售的去向只能是三矿区或六矿区",IF(AND($K3596="对外销售",ROUND($Q3596,0)=0),"※外销却没有售价，请填实际售价",IF(AND($K3596="对外销售",$T3596&lt;&gt;"",$T3596&lt;0),"※这一笔外销是亏的，请核对售价",IF(IFERROR(VLOOKUP($D3596,库存台账!$A$5:$Y$1204,24,0),0)&lt;-0.001,"※这个物料账面已经变成负数了，查一下是不是漏记入库","")))))))))))</f>
        <v/>
      </c>
    </row>
    <row r="3597">
      <c r="A3597" s="24">
        <f>IF($D3597="","",COUNTA($D$4:$D3597))</f>
        <v/>
      </c>
      <c r="B3597" s="17" t="n"/>
      <c r="C3597" s="30" t="n"/>
      <c r="D3597" s="17" t="n"/>
      <c r="E3597" s="24">
        <f>IF($D3597="","",IFERROR(VLOOKUP($D3597,物料档案!$A$4:$P$1203,3,0),"※编码不在物料档案里"))</f>
        <v/>
      </c>
      <c r="F3597" s="24">
        <f>IF($D3597="","",IFERROR(VLOOKUP($D3597,物料档案!$A$4:$P$1203,4,0),"※编码不在物料档案里"))</f>
        <v/>
      </c>
      <c r="G3597" s="24">
        <f>IF($D3597="","",IFERROR(VLOOKUP($D3597,物料档案!$A$4:$P$1203,5,0),"※编码不在物料档案里"))</f>
        <v/>
      </c>
      <c r="H3597" s="24">
        <f>IF($D3597="","",IFERROR(VLOOKUP($D3597,物料档案!$A$4:$P$1203,2,0),"※编码不在物料档案里"))</f>
        <v/>
      </c>
      <c r="I3597" s="24">
        <f>IF($D3597="","",IFERROR(VLOOKUP($D3597,物料档案!$A$4:$P$1203,6,0),"※编码不在物料档案里"))</f>
        <v/>
      </c>
      <c r="J3597" s="23" t="n"/>
      <c r="K3597" s="17" t="n"/>
      <c r="L3597" s="17" t="n"/>
      <c r="M3597" s="17" t="n"/>
      <c r="N3597" s="17" t="n"/>
      <c r="O3597" s="26">
        <f>IF($D3597="","",IFERROR(VLOOKUP($D3597,物料档案!$A$4:$P$1203,10,0),0))</f>
        <v/>
      </c>
      <c r="P3597" s="32" t="n"/>
      <c r="Q3597" s="26">
        <f>IF($D3597="","",IF($K3597&lt;&gt;"对外销售",0,ROUND(N($J3597)*IF($P3597="",N($O3597),N($P3597)),0)))</f>
        <v/>
      </c>
      <c r="R3597" s="26">
        <f>IF($D3597="","",IFERROR(VLOOKUP($D3597,库存台账!$A$5:$Y$1204,11,0),0))</f>
        <v/>
      </c>
      <c r="S3597" s="26">
        <f>IF($D3597="","",ROUND(N($J3597)*N($R3597),0))</f>
        <v/>
      </c>
      <c r="T3597" s="26">
        <f>IF($D3597="","",IF($K3597&lt;&gt;"对外销售","",ROUND($Q3597-$S3597,0)))</f>
        <v/>
      </c>
      <c r="U3597" s="17" t="n"/>
      <c r="V3597" s="17" t="n"/>
      <c r="W3597" s="24">
        <f>IF($D3597="","",IF($E3597="※编码不在物料档案里","※物料编码不在档案里",IF(N($J3597)&lt;=0,"※出库数量要大于 0",IF($K3597="","※没填去向类型",IF($L3597="","※没填去向矿区",IF(AND($C3597&lt;&gt;"",$C3597&lt;=结账锁),"※日期早于已结账截止日，不能再录",IF(AND($K3597="自用消耗",COUNTIF({"一矿区";"二矿区"},$L3597)=0),"※自用消耗的去向只能是一矿区或二矿区",IF(AND($K3597="对外销售",COUNTIF({"三矿区";"六矿区"},$L3597)=0),"※对外销售的去向只能是三矿区或六矿区",IF(AND($K3597="对外销售",ROUND($Q3597,0)=0),"※外销却没有售价，请填实际售价",IF(AND($K3597="对外销售",$T3597&lt;&gt;"",$T3597&lt;0),"※这一笔外销是亏的，请核对售价",IF(IFERROR(VLOOKUP($D3597,库存台账!$A$5:$Y$1204,24,0),0)&lt;-0.001,"※这个物料账面已经变成负数了，查一下是不是漏记入库","")))))))))))</f>
        <v/>
      </c>
    </row>
    <row r="3598">
      <c r="A3598" s="24">
        <f>IF($D3598="","",COUNTA($D$4:$D3598))</f>
        <v/>
      </c>
      <c r="B3598" s="17" t="n"/>
      <c r="C3598" s="30" t="n"/>
      <c r="D3598" s="17" t="n"/>
      <c r="E3598" s="24">
        <f>IF($D3598="","",IFERROR(VLOOKUP($D3598,物料档案!$A$4:$P$1203,3,0),"※编码不在物料档案里"))</f>
        <v/>
      </c>
      <c r="F3598" s="24">
        <f>IF($D3598="","",IFERROR(VLOOKUP($D3598,物料档案!$A$4:$P$1203,4,0),"※编码不在物料档案里"))</f>
        <v/>
      </c>
      <c r="G3598" s="24">
        <f>IF($D3598="","",IFERROR(VLOOKUP($D3598,物料档案!$A$4:$P$1203,5,0),"※编码不在物料档案里"))</f>
        <v/>
      </c>
      <c r="H3598" s="24">
        <f>IF($D3598="","",IFERROR(VLOOKUP($D3598,物料档案!$A$4:$P$1203,2,0),"※编码不在物料档案里"))</f>
        <v/>
      </c>
      <c r="I3598" s="24">
        <f>IF($D3598="","",IFERROR(VLOOKUP($D3598,物料档案!$A$4:$P$1203,6,0),"※编码不在物料档案里"))</f>
        <v/>
      </c>
      <c r="J3598" s="23" t="n"/>
      <c r="K3598" s="17" t="n"/>
      <c r="L3598" s="17" t="n"/>
      <c r="M3598" s="17" t="n"/>
      <c r="N3598" s="17" t="n"/>
      <c r="O3598" s="26">
        <f>IF($D3598="","",IFERROR(VLOOKUP($D3598,物料档案!$A$4:$P$1203,10,0),0))</f>
        <v/>
      </c>
      <c r="P3598" s="32" t="n"/>
      <c r="Q3598" s="26">
        <f>IF($D3598="","",IF($K3598&lt;&gt;"对外销售",0,ROUND(N($J3598)*IF($P3598="",N($O3598),N($P3598)),0)))</f>
        <v/>
      </c>
      <c r="R3598" s="26">
        <f>IF($D3598="","",IFERROR(VLOOKUP($D3598,库存台账!$A$5:$Y$1204,11,0),0))</f>
        <v/>
      </c>
      <c r="S3598" s="26">
        <f>IF($D3598="","",ROUND(N($J3598)*N($R3598),0))</f>
        <v/>
      </c>
      <c r="T3598" s="26">
        <f>IF($D3598="","",IF($K3598&lt;&gt;"对外销售","",ROUND($Q3598-$S3598,0)))</f>
        <v/>
      </c>
      <c r="U3598" s="17" t="n"/>
      <c r="V3598" s="17" t="n"/>
      <c r="W3598" s="24">
        <f>IF($D3598="","",IF($E3598="※编码不在物料档案里","※物料编码不在档案里",IF(N($J3598)&lt;=0,"※出库数量要大于 0",IF($K3598="","※没填去向类型",IF($L3598="","※没填去向矿区",IF(AND($C3598&lt;&gt;"",$C3598&lt;=结账锁),"※日期早于已结账截止日，不能再录",IF(AND($K3598="自用消耗",COUNTIF({"一矿区";"二矿区"},$L3598)=0),"※自用消耗的去向只能是一矿区或二矿区",IF(AND($K3598="对外销售",COUNTIF({"三矿区";"六矿区"},$L3598)=0),"※对外销售的去向只能是三矿区或六矿区",IF(AND($K3598="对外销售",ROUND($Q3598,0)=0),"※外销却没有售价，请填实际售价",IF(AND($K3598="对外销售",$T3598&lt;&gt;"",$T3598&lt;0),"※这一笔外销是亏的，请核对售价",IF(IFERROR(VLOOKUP($D3598,库存台账!$A$5:$Y$1204,24,0),0)&lt;-0.001,"※这个物料账面已经变成负数了，查一下是不是漏记入库","")))))))))))</f>
        <v/>
      </c>
    </row>
    <row r="3599">
      <c r="A3599" s="24">
        <f>IF($D3599="","",COUNTA($D$4:$D3599))</f>
        <v/>
      </c>
      <c r="B3599" s="17" t="n"/>
      <c r="C3599" s="30" t="n"/>
      <c r="D3599" s="17" t="n"/>
      <c r="E3599" s="24">
        <f>IF($D3599="","",IFERROR(VLOOKUP($D3599,物料档案!$A$4:$P$1203,3,0),"※编码不在物料档案里"))</f>
        <v/>
      </c>
      <c r="F3599" s="24">
        <f>IF($D3599="","",IFERROR(VLOOKUP($D3599,物料档案!$A$4:$P$1203,4,0),"※编码不在物料档案里"))</f>
        <v/>
      </c>
      <c r="G3599" s="24">
        <f>IF($D3599="","",IFERROR(VLOOKUP($D3599,物料档案!$A$4:$P$1203,5,0),"※编码不在物料档案里"))</f>
        <v/>
      </c>
      <c r="H3599" s="24">
        <f>IF($D3599="","",IFERROR(VLOOKUP($D3599,物料档案!$A$4:$P$1203,2,0),"※编码不在物料档案里"))</f>
        <v/>
      </c>
      <c r="I3599" s="24">
        <f>IF($D3599="","",IFERROR(VLOOKUP($D3599,物料档案!$A$4:$P$1203,6,0),"※编码不在物料档案里"))</f>
        <v/>
      </c>
      <c r="J3599" s="23" t="n"/>
      <c r="K3599" s="17" t="n"/>
      <c r="L3599" s="17" t="n"/>
      <c r="M3599" s="17" t="n"/>
      <c r="N3599" s="17" t="n"/>
      <c r="O3599" s="26">
        <f>IF($D3599="","",IFERROR(VLOOKUP($D3599,物料档案!$A$4:$P$1203,10,0),0))</f>
        <v/>
      </c>
      <c r="P3599" s="32" t="n"/>
      <c r="Q3599" s="26">
        <f>IF($D3599="","",IF($K3599&lt;&gt;"对外销售",0,ROUND(N($J3599)*IF($P3599="",N($O3599),N($P3599)),0)))</f>
        <v/>
      </c>
      <c r="R3599" s="26">
        <f>IF($D3599="","",IFERROR(VLOOKUP($D3599,库存台账!$A$5:$Y$1204,11,0),0))</f>
        <v/>
      </c>
      <c r="S3599" s="26">
        <f>IF($D3599="","",ROUND(N($J3599)*N($R3599),0))</f>
        <v/>
      </c>
      <c r="T3599" s="26">
        <f>IF($D3599="","",IF($K3599&lt;&gt;"对外销售","",ROUND($Q3599-$S3599,0)))</f>
        <v/>
      </c>
      <c r="U3599" s="17" t="n"/>
      <c r="V3599" s="17" t="n"/>
      <c r="W3599" s="24">
        <f>IF($D3599="","",IF($E3599="※编码不在物料档案里","※物料编码不在档案里",IF(N($J3599)&lt;=0,"※出库数量要大于 0",IF($K3599="","※没填去向类型",IF($L3599="","※没填去向矿区",IF(AND($C3599&lt;&gt;"",$C3599&lt;=结账锁),"※日期早于已结账截止日，不能再录",IF(AND($K3599="自用消耗",COUNTIF({"一矿区";"二矿区"},$L3599)=0),"※自用消耗的去向只能是一矿区或二矿区",IF(AND($K3599="对外销售",COUNTIF({"三矿区";"六矿区"},$L3599)=0),"※对外销售的去向只能是三矿区或六矿区",IF(AND($K3599="对外销售",ROUND($Q3599,0)=0),"※外销却没有售价，请填实际售价",IF(AND($K3599="对外销售",$T3599&lt;&gt;"",$T3599&lt;0),"※这一笔外销是亏的，请核对售价",IF(IFERROR(VLOOKUP($D3599,库存台账!$A$5:$Y$1204,24,0),0)&lt;-0.001,"※这个物料账面已经变成负数了，查一下是不是漏记入库","")))))))))))</f>
        <v/>
      </c>
    </row>
    <row r="3600">
      <c r="A3600" s="24">
        <f>IF($D3600="","",COUNTA($D$4:$D3600))</f>
        <v/>
      </c>
      <c r="B3600" s="17" t="n"/>
      <c r="C3600" s="30" t="n"/>
      <c r="D3600" s="17" t="n"/>
      <c r="E3600" s="24">
        <f>IF($D3600="","",IFERROR(VLOOKUP($D3600,物料档案!$A$4:$P$1203,3,0),"※编码不在物料档案里"))</f>
        <v/>
      </c>
      <c r="F3600" s="24">
        <f>IF($D3600="","",IFERROR(VLOOKUP($D3600,物料档案!$A$4:$P$1203,4,0),"※编码不在物料档案里"))</f>
        <v/>
      </c>
      <c r="G3600" s="24">
        <f>IF($D3600="","",IFERROR(VLOOKUP($D3600,物料档案!$A$4:$P$1203,5,0),"※编码不在物料档案里"))</f>
        <v/>
      </c>
      <c r="H3600" s="24">
        <f>IF($D3600="","",IFERROR(VLOOKUP($D3600,物料档案!$A$4:$P$1203,2,0),"※编码不在物料档案里"))</f>
        <v/>
      </c>
      <c r="I3600" s="24">
        <f>IF($D3600="","",IFERROR(VLOOKUP($D3600,物料档案!$A$4:$P$1203,6,0),"※编码不在物料档案里"))</f>
        <v/>
      </c>
      <c r="J3600" s="23" t="n"/>
      <c r="K3600" s="17" t="n"/>
      <c r="L3600" s="17" t="n"/>
      <c r="M3600" s="17" t="n"/>
      <c r="N3600" s="17" t="n"/>
      <c r="O3600" s="26">
        <f>IF($D3600="","",IFERROR(VLOOKUP($D3600,物料档案!$A$4:$P$1203,10,0),0))</f>
        <v/>
      </c>
      <c r="P3600" s="32" t="n"/>
      <c r="Q3600" s="26">
        <f>IF($D3600="","",IF($K3600&lt;&gt;"对外销售",0,ROUND(N($J3600)*IF($P3600="",N($O3600),N($P3600)),0)))</f>
        <v/>
      </c>
      <c r="R3600" s="26">
        <f>IF($D3600="","",IFERROR(VLOOKUP($D3600,库存台账!$A$5:$Y$1204,11,0),0))</f>
        <v/>
      </c>
      <c r="S3600" s="26">
        <f>IF($D3600="","",ROUND(N($J3600)*N($R3600),0))</f>
        <v/>
      </c>
      <c r="T3600" s="26">
        <f>IF($D3600="","",IF($K3600&lt;&gt;"对外销售","",ROUND($Q3600-$S3600,0)))</f>
        <v/>
      </c>
      <c r="U3600" s="17" t="n"/>
      <c r="V3600" s="17" t="n"/>
      <c r="W3600" s="24">
        <f>IF($D3600="","",IF($E3600="※编码不在物料档案里","※物料编码不在档案里",IF(N($J3600)&lt;=0,"※出库数量要大于 0",IF($K3600="","※没填去向类型",IF($L3600="","※没填去向矿区",IF(AND($C3600&lt;&gt;"",$C3600&lt;=结账锁),"※日期早于已结账截止日，不能再录",IF(AND($K3600="自用消耗",COUNTIF({"一矿区";"二矿区"},$L3600)=0),"※自用消耗的去向只能是一矿区或二矿区",IF(AND($K3600="对外销售",COUNTIF({"三矿区";"六矿区"},$L3600)=0),"※对外销售的去向只能是三矿区或六矿区",IF(AND($K3600="对外销售",ROUND($Q3600,0)=0),"※外销却没有售价，请填实际售价",IF(AND($K3600="对外销售",$T3600&lt;&gt;"",$T3600&lt;0),"※这一笔外销是亏的，请核对售价",IF(IFERROR(VLOOKUP($D3600,库存台账!$A$5:$Y$1204,24,0),0)&lt;-0.001,"※这个物料账面已经变成负数了，查一下是不是漏记入库","")))))))))))</f>
        <v/>
      </c>
    </row>
    <row r="3601">
      <c r="A3601" s="24">
        <f>IF($D3601="","",COUNTA($D$4:$D3601))</f>
        <v/>
      </c>
      <c r="B3601" s="17" t="n"/>
      <c r="C3601" s="30" t="n"/>
      <c r="D3601" s="17" t="n"/>
      <c r="E3601" s="24">
        <f>IF($D3601="","",IFERROR(VLOOKUP($D3601,物料档案!$A$4:$P$1203,3,0),"※编码不在物料档案里"))</f>
        <v/>
      </c>
      <c r="F3601" s="24">
        <f>IF($D3601="","",IFERROR(VLOOKUP($D3601,物料档案!$A$4:$P$1203,4,0),"※编码不在物料档案里"))</f>
        <v/>
      </c>
      <c r="G3601" s="24">
        <f>IF($D3601="","",IFERROR(VLOOKUP($D3601,物料档案!$A$4:$P$1203,5,0),"※编码不在物料档案里"))</f>
        <v/>
      </c>
      <c r="H3601" s="24">
        <f>IF($D3601="","",IFERROR(VLOOKUP($D3601,物料档案!$A$4:$P$1203,2,0),"※编码不在物料档案里"))</f>
        <v/>
      </c>
      <c r="I3601" s="24">
        <f>IF($D3601="","",IFERROR(VLOOKUP($D3601,物料档案!$A$4:$P$1203,6,0),"※编码不在物料档案里"))</f>
        <v/>
      </c>
      <c r="J3601" s="23" t="n"/>
      <c r="K3601" s="17" t="n"/>
      <c r="L3601" s="17" t="n"/>
      <c r="M3601" s="17" t="n"/>
      <c r="N3601" s="17" t="n"/>
      <c r="O3601" s="26">
        <f>IF($D3601="","",IFERROR(VLOOKUP($D3601,物料档案!$A$4:$P$1203,10,0),0))</f>
        <v/>
      </c>
      <c r="P3601" s="32" t="n"/>
      <c r="Q3601" s="26">
        <f>IF($D3601="","",IF($K3601&lt;&gt;"对外销售",0,ROUND(N($J3601)*IF($P3601="",N($O3601),N($P3601)),0)))</f>
        <v/>
      </c>
      <c r="R3601" s="26">
        <f>IF($D3601="","",IFERROR(VLOOKUP($D3601,库存台账!$A$5:$Y$1204,11,0),0))</f>
        <v/>
      </c>
      <c r="S3601" s="26">
        <f>IF($D3601="","",ROUND(N($J3601)*N($R3601),0))</f>
        <v/>
      </c>
      <c r="T3601" s="26">
        <f>IF($D3601="","",IF($K3601&lt;&gt;"对外销售","",ROUND($Q3601-$S3601,0)))</f>
        <v/>
      </c>
      <c r="U3601" s="17" t="n"/>
      <c r="V3601" s="17" t="n"/>
      <c r="W3601" s="24">
        <f>IF($D3601="","",IF($E3601="※编码不在物料档案里","※物料编码不在档案里",IF(N($J3601)&lt;=0,"※出库数量要大于 0",IF($K3601="","※没填去向类型",IF($L3601="","※没填去向矿区",IF(AND($C3601&lt;&gt;"",$C3601&lt;=结账锁),"※日期早于已结账截止日，不能再录",IF(AND($K3601="自用消耗",COUNTIF({"一矿区";"二矿区"},$L3601)=0),"※自用消耗的去向只能是一矿区或二矿区",IF(AND($K3601="对外销售",COUNTIF({"三矿区";"六矿区"},$L3601)=0),"※对外销售的去向只能是三矿区或六矿区",IF(AND($K3601="对外销售",ROUND($Q3601,0)=0),"※外销却没有售价，请填实际售价",IF(AND($K3601="对外销售",$T3601&lt;&gt;"",$T3601&lt;0),"※这一笔外销是亏的，请核对售价",IF(IFERROR(VLOOKUP($D3601,库存台账!$A$5:$Y$1204,24,0),0)&lt;-0.001,"※这个物料账面已经变成负数了，查一下是不是漏记入库","")))))))))))</f>
        <v/>
      </c>
    </row>
    <row r="3602">
      <c r="A3602" s="24">
        <f>IF($D3602="","",COUNTA($D$4:$D3602))</f>
        <v/>
      </c>
      <c r="B3602" s="17" t="n"/>
      <c r="C3602" s="30" t="n"/>
      <c r="D3602" s="17" t="n"/>
      <c r="E3602" s="24">
        <f>IF($D3602="","",IFERROR(VLOOKUP($D3602,物料档案!$A$4:$P$1203,3,0),"※编码不在物料档案里"))</f>
        <v/>
      </c>
      <c r="F3602" s="24">
        <f>IF($D3602="","",IFERROR(VLOOKUP($D3602,物料档案!$A$4:$P$1203,4,0),"※编码不在物料档案里"))</f>
        <v/>
      </c>
      <c r="G3602" s="24">
        <f>IF($D3602="","",IFERROR(VLOOKUP($D3602,物料档案!$A$4:$P$1203,5,0),"※编码不在物料档案里"))</f>
        <v/>
      </c>
      <c r="H3602" s="24">
        <f>IF($D3602="","",IFERROR(VLOOKUP($D3602,物料档案!$A$4:$P$1203,2,0),"※编码不在物料档案里"))</f>
        <v/>
      </c>
      <c r="I3602" s="24">
        <f>IF($D3602="","",IFERROR(VLOOKUP($D3602,物料档案!$A$4:$P$1203,6,0),"※编码不在物料档案里"))</f>
        <v/>
      </c>
      <c r="J3602" s="23" t="n"/>
      <c r="K3602" s="17" t="n"/>
      <c r="L3602" s="17" t="n"/>
      <c r="M3602" s="17" t="n"/>
      <c r="N3602" s="17" t="n"/>
      <c r="O3602" s="26">
        <f>IF($D3602="","",IFERROR(VLOOKUP($D3602,物料档案!$A$4:$P$1203,10,0),0))</f>
        <v/>
      </c>
      <c r="P3602" s="32" t="n"/>
      <c r="Q3602" s="26">
        <f>IF($D3602="","",IF($K3602&lt;&gt;"对外销售",0,ROUND(N($J3602)*IF($P3602="",N($O3602),N($P3602)),0)))</f>
        <v/>
      </c>
      <c r="R3602" s="26">
        <f>IF($D3602="","",IFERROR(VLOOKUP($D3602,库存台账!$A$5:$Y$1204,11,0),0))</f>
        <v/>
      </c>
      <c r="S3602" s="26">
        <f>IF($D3602="","",ROUND(N($J3602)*N($R3602),0))</f>
        <v/>
      </c>
      <c r="T3602" s="26">
        <f>IF($D3602="","",IF($K3602&lt;&gt;"对外销售","",ROUND($Q3602-$S3602,0)))</f>
        <v/>
      </c>
      <c r="U3602" s="17" t="n"/>
      <c r="V3602" s="17" t="n"/>
      <c r="W3602" s="24">
        <f>IF($D3602="","",IF($E3602="※编码不在物料档案里","※物料编码不在档案里",IF(N($J3602)&lt;=0,"※出库数量要大于 0",IF($K3602="","※没填去向类型",IF($L3602="","※没填去向矿区",IF(AND($C3602&lt;&gt;"",$C3602&lt;=结账锁),"※日期早于已结账截止日，不能再录",IF(AND($K3602="自用消耗",COUNTIF({"一矿区";"二矿区"},$L3602)=0),"※自用消耗的去向只能是一矿区或二矿区",IF(AND($K3602="对外销售",COUNTIF({"三矿区";"六矿区"},$L3602)=0),"※对外销售的去向只能是三矿区或六矿区",IF(AND($K3602="对外销售",ROUND($Q3602,0)=0),"※外销却没有售价，请填实际售价",IF(AND($K3602="对外销售",$T3602&lt;&gt;"",$T3602&lt;0),"※这一笔外销是亏的，请核对售价",IF(IFERROR(VLOOKUP($D3602,库存台账!$A$5:$Y$1204,24,0),0)&lt;-0.001,"※这个物料账面已经变成负数了，查一下是不是漏记入库","")))))))))))</f>
        <v/>
      </c>
    </row>
    <row r="3603">
      <c r="A3603" s="24">
        <f>IF($D3603="","",COUNTA($D$4:$D3603))</f>
        <v/>
      </c>
      <c r="B3603" s="17" t="n"/>
      <c r="C3603" s="30" t="n"/>
      <c r="D3603" s="17" t="n"/>
      <c r="E3603" s="24">
        <f>IF($D3603="","",IFERROR(VLOOKUP($D3603,物料档案!$A$4:$P$1203,3,0),"※编码不在物料档案里"))</f>
        <v/>
      </c>
      <c r="F3603" s="24">
        <f>IF($D3603="","",IFERROR(VLOOKUP($D3603,物料档案!$A$4:$P$1203,4,0),"※编码不在物料档案里"))</f>
        <v/>
      </c>
      <c r="G3603" s="24">
        <f>IF($D3603="","",IFERROR(VLOOKUP($D3603,物料档案!$A$4:$P$1203,5,0),"※编码不在物料档案里"))</f>
        <v/>
      </c>
      <c r="H3603" s="24">
        <f>IF($D3603="","",IFERROR(VLOOKUP($D3603,物料档案!$A$4:$P$1203,2,0),"※编码不在物料档案里"))</f>
        <v/>
      </c>
      <c r="I3603" s="24">
        <f>IF($D3603="","",IFERROR(VLOOKUP($D3603,物料档案!$A$4:$P$1203,6,0),"※编码不在物料档案里"))</f>
        <v/>
      </c>
      <c r="J3603" s="23" t="n"/>
      <c r="K3603" s="17" t="n"/>
      <c r="L3603" s="17" t="n"/>
      <c r="M3603" s="17" t="n"/>
      <c r="N3603" s="17" t="n"/>
      <c r="O3603" s="26">
        <f>IF($D3603="","",IFERROR(VLOOKUP($D3603,物料档案!$A$4:$P$1203,10,0),0))</f>
        <v/>
      </c>
      <c r="P3603" s="32" t="n"/>
      <c r="Q3603" s="26">
        <f>IF($D3603="","",IF($K3603&lt;&gt;"对外销售",0,ROUND(N($J3603)*IF($P3603="",N($O3603),N($P3603)),0)))</f>
        <v/>
      </c>
      <c r="R3603" s="26">
        <f>IF($D3603="","",IFERROR(VLOOKUP($D3603,库存台账!$A$5:$Y$1204,11,0),0))</f>
        <v/>
      </c>
      <c r="S3603" s="26">
        <f>IF($D3603="","",ROUND(N($J3603)*N($R3603),0))</f>
        <v/>
      </c>
      <c r="T3603" s="26">
        <f>IF($D3603="","",IF($K3603&lt;&gt;"对外销售","",ROUND($Q3603-$S3603,0)))</f>
        <v/>
      </c>
      <c r="U3603" s="17" t="n"/>
      <c r="V3603" s="17" t="n"/>
      <c r="W3603" s="24">
        <f>IF($D3603="","",IF($E3603="※编码不在物料档案里","※物料编码不在档案里",IF(N($J3603)&lt;=0,"※出库数量要大于 0",IF($K3603="","※没填去向类型",IF($L3603="","※没填去向矿区",IF(AND($C3603&lt;&gt;"",$C3603&lt;=结账锁),"※日期早于已结账截止日，不能再录",IF(AND($K3603="自用消耗",COUNTIF({"一矿区";"二矿区"},$L3603)=0),"※自用消耗的去向只能是一矿区或二矿区",IF(AND($K3603="对外销售",COUNTIF({"三矿区";"六矿区"},$L3603)=0),"※对外销售的去向只能是三矿区或六矿区",IF(AND($K3603="对外销售",ROUND($Q3603,0)=0),"※外销却没有售价，请填实际售价",IF(AND($K3603="对外销售",$T3603&lt;&gt;"",$T3603&lt;0),"※这一笔外销是亏的，请核对售价",IF(IFERROR(VLOOKUP($D3603,库存台账!$A$5:$Y$1204,24,0),0)&lt;-0.001,"※这个物料账面已经变成负数了，查一下是不是漏记入库","")))))))))))</f>
        <v/>
      </c>
    </row>
    <row r="3604">
      <c r="A3604" s="24">
        <f>IF($D3604="","",COUNTA($D$4:$D3604))</f>
        <v/>
      </c>
      <c r="B3604" s="17" t="n"/>
      <c r="C3604" s="30" t="n"/>
      <c r="D3604" s="17" t="n"/>
      <c r="E3604" s="24">
        <f>IF($D3604="","",IFERROR(VLOOKUP($D3604,物料档案!$A$4:$P$1203,3,0),"※编码不在物料档案里"))</f>
        <v/>
      </c>
      <c r="F3604" s="24">
        <f>IF($D3604="","",IFERROR(VLOOKUP($D3604,物料档案!$A$4:$P$1203,4,0),"※编码不在物料档案里"))</f>
        <v/>
      </c>
      <c r="G3604" s="24">
        <f>IF($D3604="","",IFERROR(VLOOKUP($D3604,物料档案!$A$4:$P$1203,5,0),"※编码不在物料档案里"))</f>
        <v/>
      </c>
      <c r="H3604" s="24">
        <f>IF($D3604="","",IFERROR(VLOOKUP($D3604,物料档案!$A$4:$P$1203,2,0),"※编码不在物料档案里"))</f>
        <v/>
      </c>
      <c r="I3604" s="24">
        <f>IF($D3604="","",IFERROR(VLOOKUP($D3604,物料档案!$A$4:$P$1203,6,0),"※编码不在物料档案里"))</f>
        <v/>
      </c>
      <c r="J3604" s="23" t="n"/>
      <c r="K3604" s="17" t="n"/>
      <c r="L3604" s="17" t="n"/>
      <c r="M3604" s="17" t="n"/>
      <c r="N3604" s="17" t="n"/>
      <c r="O3604" s="26">
        <f>IF($D3604="","",IFERROR(VLOOKUP($D3604,物料档案!$A$4:$P$1203,10,0),0))</f>
        <v/>
      </c>
      <c r="P3604" s="32" t="n"/>
      <c r="Q3604" s="26">
        <f>IF($D3604="","",IF($K3604&lt;&gt;"对外销售",0,ROUND(N($J3604)*IF($P3604="",N($O3604),N($P3604)),0)))</f>
        <v/>
      </c>
      <c r="R3604" s="26">
        <f>IF($D3604="","",IFERROR(VLOOKUP($D3604,库存台账!$A$5:$Y$1204,11,0),0))</f>
        <v/>
      </c>
      <c r="S3604" s="26">
        <f>IF($D3604="","",ROUND(N($J3604)*N($R3604),0))</f>
        <v/>
      </c>
      <c r="T3604" s="26">
        <f>IF($D3604="","",IF($K3604&lt;&gt;"对外销售","",ROUND($Q3604-$S3604,0)))</f>
        <v/>
      </c>
      <c r="U3604" s="17" t="n"/>
      <c r="V3604" s="17" t="n"/>
      <c r="W3604" s="24">
        <f>IF($D3604="","",IF($E3604="※编码不在物料档案里","※物料编码不在档案里",IF(N($J3604)&lt;=0,"※出库数量要大于 0",IF($K3604="","※没填去向类型",IF($L3604="","※没填去向矿区",IF(AND($C3604&lt;&gt;"",$C3604&lt;=结账锁),"※日期早于已结账截止日，不能再录",IF(AND($K3604="自用消耗",COUNTIF({"一矿区";"二矿区"},$L3604)=0),"※自用消耗的去向只能是一矿区或二矿区",IF(AND($K3604="对外销售",COUNTIF({"三矿区";"六矿区"},$L3604)=0),"※对外销售的去向只能是三矿区或六矿区",IF(AND($K3604="对外销售",ROUND($Q3604,0)=0),"※外销却没有售价，请填实际售价",IF(AND($K3604="对外销售",$T3604&lt;&gt;"",$T3604&lt;0),"※这一笔外销是亏的，请核对售价",IF(IFERROR(VLOOKUP($D3604,库存台账!$A$5:$Y$1204,24,0),0)&lt;-0.001,"※这个物料账面已经变成负数了，查一下是不是漏记入库","")))))))))))</f>
        <v/>
      </c>
    </row>
    <row r="3605">
      <c r="A3605" s="24">
        <f>IF($D3605="","",COUNTA($D$4:$D3605))</f>
        <v/>
      </c>
      <c r="B3605" s="17" t="n"/>
      <c r="C3605" s="30" t="n"/>
      <c r="D3605" s="17" t="n"/>
      <c r="E3605" s="24">
        <f>IF($D3605="","",IFERROR(VLOOKUP($D3605,物料档案!$A$4:$P$1203,3,0),"※编码不在物料档案里"))</f>
        <v/>
      </c>
      <c r="F3605" s="24">
        <f>IF($D3605="","",IFERROR(VLOOKUP($D3605,物料档案!$A$4:$P$1203,4,0),"※编码不在物料档案里"))</f>
        <v/>
      </c>
      <c r="G3605" s="24">
        <f>IF($D3605="","",IFERROR(VLOOKUP($D3605,物料档案!$A$4:$P$1203,5,0),"※编码不在物料档案里"))</f>
        <v/>
      </c>
      <c r="H3605" s="24">
        <f>IF($D3605="","",IFERROR(VLOOKUP($D3605,物料档案!$A$4:$P$1203,2,0),"※编码不在物料档案里"))</f>
        <v/>
      </c>
      <c r="I3605" s="24">
        <f>IF($D3605="","",IFERROR(VLOOKUP($D3605,物料档案!$A$4:$P$1203,6,0),"※编码不在物料档案里"))</f>
        <v/>
      </c>
      <c r="J3605" s="23" t="n"/>
      <c r="K3605" s="17" t="n"/>
      <c r="L3605" s="17" t="n"/>
      <c r="M3605" s="17" t="n"/>
      <c r="N3605" s="17" t="n"/>
      <c r="O3605" s="26">
        <f>IF($D3605="","",IFERROR(VLOOKUP($D3605,物料档案!$A$4:$P$1203,10,0),0))</f>
        <v/>
      </c>
      <c r="P3605" s="32" t="n"/>
      <c r="Q3605" s="26">
        <f>IF($D3605="","",IF($K3605&lt;&gt;"对外销售",0,ROUND(N($J3605)*IF($P3605="",N($O3605),N($P3605)),0)))</f>
        <v/>
      </c>
      <c r="R3605" s="26">
        <f>IF($D3605="","",IFERROR(VLOOKUP($D3605,库存台账!$A$5:$Y$1204,11,0),0))</f>
        <v/>
      </c>
      <c r="S3605" s="26">
        <f>IF($D3605="","",ROUND(N($J3605)*N($R3605),0))</f>
        <v/>
      </c>
      <c r="T3605" s="26">
        <f>IF($D3605="","",IF($K3605&lt;&gt;"对外销售","",ROUND($Q3605-$S3605,0)))</f>
        <v/>
      </c>
      <c r="U3605" s="17" t="n"/>
      <c r="V3605" s="17" t="n"/>
      <c r="W3605" s="24">
        <f>IF($D3605="","",IF($E3605="※编码不在物料档案里","※物料编码不在档案里",IF(N($J3605)&lt;=0,"※出库数量要大于 0",IF($K3605="","※没填去向类型",IF($L3605="","※没填去向矿区",IF(AND($C3605&lt;&gt;"",$C3605&lt;=结账锁),"※日期早于已结账截止日，不能再录",IF(AND($K3605="自用消耗",COUNTIF({"一矿区";"二矿区"},$L3605)=0),"※自用消耗的去向只能是一矿区或二矿区",IF(AND($K3605="对外销售",COUNTIF({"三矿区";"六矿区"},$L3605)=0),"※对外销售的去向只能是三矿区或六矿区",IF(AND($K3605="对外销售",ROUND($Q3605,0)=0),"※外销却没有售价，请填实际售价",IF(AND($K3605="对外销售",$T3605&lt;&gt;"",$T3605&lt;0),"※这一笔外销是亏的，请核对售价",IF(IFERROR(VLOOKUP($D3605,库存台账!$A$5:$Y$1204,24,0),0)&lt;-0.001,"※这个物料账面已经变成负数了，查一下是不是漏记入库","")))))))))))</f>
        <v/>
      </c>
    </row>
    <row r="3606">
      <c r="A3606" s="24">
        <f>IF($D3606="","",COUNTA($D$4:$D3606))</f>
        <v/>
      </c>
      <c r="B3606" s="17" t="n"/>
      <c r="C3606" s="30" t="n"/>
      <c r="D3606" s="17" t="n"/>
      <c r="E3606" s="24">
        <f>IF($D3606="","",IFERROR(VLOOKUP($D3606,物料档案!$A$4:$P$1203,3,0),"※编码不在物料档案里"))</f>
        <v/>
      </c>
      <c r="F3606" s="24">
        <f>IF($D3606="","",IFERROR(VLOOKUP($D3606,物料档案!$A$4:$P$1203,4,0),"※编码不在物料档案里"))</f>
        <v/>
      </c>
      <c r="G3606" s="24">
        <f>IF($D3606="","",IFERROR(VLOOKUP($D3606,物料档案!$A$4:$P$1203,5,0),"※编码不在物料档案里"))</f>
        <v/>
      </c>
      <c r="H3606" s="24">
        <f>IF($D3606="","",IFERROR(VLOOKUP($D3606,物料档案!$A$4:$P$1203,2,0),"※编码不在物料档案里"))</f>
        <v/>
      </c>
      <c r="I3606" s="24">
        <f>IF($D3606="","",IFERROR(VLOOKUP($D3606,物料档案!$A$4:$P$1203,6,0),"※编码不在物料档案里"))</f>
        <v/>
      </c>
      <c r="J3606" s="23" t="n"/>
      <c r="K3606" s="17" t="n"/>
      <c r="L3606" s="17" t="n"/>
      <c r="M3606" s="17" t="n"/>
      <c r="N3606" s="17" t="n"/>
      <c r="O3606" s="26">
        <f>IF($D3606="","",IFERROR(VLOOKUP($D3606,物料档案!$A$4:$P$1203,10,0),0))</f>
        <v/>
      </c>
      <c r="P3606" s="32" t="n"/>
      <c r="Q3606" s="26">
        <f>IF($D3606="","",IF($K3606&lt;&gt;"对外销售",0,ROUND(N($J3606)*IF($P3606="",N($O3606),N($P3606)),0)))</f>
        <v/>
      </c>
      <c r="R3606" s="26">
        <f>IF($D3606="","",IFERROR(VLOOKUP($D3606,库存台账!$A$5:$Y$1204,11,0),0))</f>
        <v/>
      </c>
      <c r="S3606" s="26">
        <f>IF($D3606="","",ROUND(N($J3606)*N($R3606),0))</f>
        <v/>
      </c>
      <c r="T3606" s="26">
        <f>IF($D3606="","",IF($K3606&lt;&gt;"对外销售","",ROUND($Q3606-$S3606,0)))</f>
        <v/>
      </c>
      <c r="U3606" s="17" t="n"/>
      <c r="V3606" s="17" t="n"/>
      <c r="W3606" s="24">
        <f>IF($D3606="","",IF($E3606="※编码不在物料档案里","※物料编码不在档案里",IF(N($J3606)&lt;=0,"※出库数量要大于 0",IF($K3606="","※没填去向类型",IF($L3606="","※没填去向矿区",IF(AND($C3606&lt;&gt;"",$C3606&lt;=结账锁),"※日期早于已结账截止日，不能再录",IF(AND($K3606="自用消耗",COUNTIF({"一矿区";"二矿区"},$L3606)=0),"※自用消耗的去向只能是一矿区或二矿区",IF(AND($K3606="对外销售",COUNTIF({"三矿区";"六矿区"},$L3606)=0),"※对外销售的去向只能是三矿区或六矿区",IF(AND($K3606="对外销售",ROUND($Q3606,0)=0),"※外销却没有售价，请填实际售价",IF(AND($K3606="对外销售",$T3606&lt;&gt;"",$T3606&lt;0),"※这一笔外销是亏的，请核对售价",IF(IFERROR(VLOOKUP($D3606,库存台账!$A$5:$Y$1204,24,0),0)&lt;-0.001,"※这个物料账面已经变成负数了，查一下是不是漏记入库","")))))))))))</f>
        <v/>
      </c>
    </row>
    <row r="3607">
      <c r="A3607" s="24">
        <f>IF($D3607="","",COUNTA($D$4:$D3607))</f>
        <v/>
      </c>
      <c r="B3607" s="17" t="n"/>
      <c r="C3607" s="30" t="n"/>
      <c r="D3607" s="17" t="n"/>
      <c r="E3607" s="24">
        <f>IF($D3607="","",IFERROR(VLOOKUP($D3607,物料档案!$A$4:$P$1203,3,0),"※编码不在物料档案里"))</f>
        <v/>
      </c>
      <c r="F3607" s="24">
        <f>IF($D3607="","",IFERROR(VLOOKUP($D3607,物料档案!$A$4:$P$1203,4,0),"※编码不在物料档案里"))</f>
        <v/>
      </c>
      <c r="G3607" s="24">
        <f>IF($D3607="","",IFERROR(VLOOKUP($D3607,物料档案!$A$4:$P$1203,5,0),"※编码不在物料档案里"))</f>
        <v/>
      </c>
      <c r="H3607" s="24">
        <f>IF($D3607="","",IFERROR(VLOOKUP($D3607,物料档案!$A$4:$P$1203,2,0),"※编码不在物料档案里"))</f>
        <v/>
      </c>
      <c r="I3607" s="24">
        <f>IF($D3607="","",IFERROR(VLOOKUP($D3607,物料档案!$A$4:$P$1203,6,0),"※编码不在物料档案里"))</f>
        <v/>
      </c>
      <c r="J3607" s="23" t="n"/>
      <c r="K3607" s="17" t="n"/>
      <c r="L3607" s="17" t="n"/>
      <c r="M3607" s="17" t="n"/>
      <c r="N3607" s="17" t="n"/>
      <c r="O3607" s="26">
        <f>IF($D3607="","",IFERROR(VLOOKUP($D3607,物料档案!$A$4:$P$1203,10,0),0))</f>
        <v/>
      </c>
      <c r="P3607" s="32" t="n"/>
      <c r="Q3607" s="26">
        <f>IF($D3607="","",IF($K3607&lt;&gt;"对外销售",0,ROUND(N($J3607)*IF($P3607="",N($O3607),N($P3607)),0)))</f>
        <v/>
      </c>
      <c r="R3607" s="26">
        <f>IF($D3607="","",IFERROR(VLOOKUP($D3607,库存台账!$A$5:$Y$1204,11,0),0))</f>
        <v/>
      </c>
      <c r="S3607" s="26">
        <f>IF($D3607="","",ROUND(N($J3607)*N($R3607),0))</f>
        <v/>
      </c>
      <c r="T3607" s="26">
        <f>IF($D3607="","",IF($K3607&lt;&gt;"对外销售","",ROUND($Q3607-$S3607,0)))</f>
        <v/>
      </c>
      <c r="U3607" s="17" t="n"/>
      <c r="V3607" s="17" t="n"/>
      <c r="W3607" s="24">
        <f>IF($D3607="","",IF($E3607="※编码不在物料档案里","※物料编码不在档案里",IF(N($J3607)&lt;=0,"※出库数量要大于 0",IF($K3607="","※没填去向类型",IF($L3607="","※没填去向矿区",IF(AND($C3607&lt;&gt;"",$C3607&lt;=结账锁),"※日期早于已结账截止日，不能再录",IF(AND($K3607="自用消耗",COUNTIF({"一矿区";"二矿区"},$L3607)=0),"※自用消耗的去向只能是一矿区或二矿区",IF(AND($K3607="对外销售",COUNTIF({"三矿区";"六矿区"},$L3607)=0),"※对外销售的去向只能是三矿区或六矿区",IF(AND($K3607="对外销售",ROUND($Q3607,0)=0),"※外销却没有售价，请填实际售价",IF(AND($K3607="对外销售",$T3607&lt;&gt;"",$T3607&lt;0),"※这一笔外销是亏的，请核对售价",IF(IFERROR(VLOOKUP($D3607,库存台账!$A$5:$Y$1204,24,0),0)&lt;-0.001,"※这个物料账面已经变成负数了，查一下是不是漏记入库","")))))))))))</f>
        <v/>
      </c>
    </row>
    <row r="3608">
      <c r="A3608" s="24">
        <f>IF($D3608="","",COUNTA($D$4:$D3608))</f>
        <v/>
      </c>
      <c r="B3608" s="17" t="n"/>
      <c r="C3608" s="30" t="n"/>
      <c r="D3608" s="17" t="n"/>
      <c r="E3608" s="24">
        <f>IF($D3608="","",IFERROR(VLOOKUP($D3608,物料档案!$A$4:$P$1203,3,0),"※编码不在物料档案里"))</f>
        <v/>
      </c>
      <c r="F3608" s="24">
        <f>IF($D3608="","",IFERROR(VLOOKUP($D3608,物料档案!$A$4:$P$1203,4,0),"※编码不在物料档案里"))</f>
        <v/>
      </c>
      <c r="G3608" s="24">
        <f>IF($D3608="","",IFERROR(VLOOKUP($D3608,物料档案!$A$4:$P$1203,5,0),"※编码不在物料档案里"))</f>
        <v/>
      </c>
      <c r="H3608" s="24">
        <f>IF($D3608="","",IFERROR(VLOOKUP($D3608,物料档案!$A$4:$P$1203,2,0),"※编码不在物料档案里"))</f>
        <v/>
      </c>
      <c r="I3608" s="24">
        <f>IF($D3608="","",IFERROR(VLOOKUP($D3608,物料档案!$A$4:$P$1203,6,0),"※编码不在物料档案里"))</f>
        <v/>
      </c>
      <c r="J3608" s="23" t="n"/>
      <c r="K3608" s="17" t="n"/>
      <c r="L3608" s="17" t="n"/>
      <c r="M3608" s="17" t="n"/>
      <c r="N3608" s="17" t="n"/>
      <c r="O3608" s="26">
        <f>IF($D3608="","",IFERROR(VLOOKUP($D3608,物料档案!$A$4:$P$1203,10,0),0))</f>
        <v/>
      </c>
      <c r="P3608" s="32" t="n"/>
      <c r="Q3608" s="26">
        <f>IF($D3608="","",IF($K3608&lt;&gt;"对外销售",0,ROUND(N($J3608)*IF($P3608="",N($O3608),N($P3608)),0)))</f>
        <v/>
      </c>
      <c r="R3608" s="26">
        <f>IF($D3608="","",IFERROR(VLOOKUP($D3608,库存台账!$A$5:$Y$1204,11,0),0))</f>
        <v/>
      </c>
      <c r="S3608" s="26">
        <f>IF($D3608="","",ROUND(N($J3608)*N($R3608),0))</f>
        <v/>
      </c>
      <c r="T3608" s="26">
        <f>IF($D3608="","",IF($K3608&lt;&gt;"对外销售","",ROUND($Q3608-$S3608,0)))</f>
        <v/>
      </c>
      <c r="U3608" s="17" t="n"/>
      <c r="V3608" s="17" t="n"/>
      <c r="W3608" s="24">
        <f>IF($D3608="","",IF($E3608="※编码不在物料档案里","※物料编码不在档案里",IF(N($J3608)&lt;=0,"※出库数量要大于 0",IF($K3608="","※没填去向类型",IF($L3608="","※没填去向矿区",IF(AND($C3608&lt;&gt;"",$C3608&lt;=结账锁),"※日期早于已结账截止日，不能再录",IF(AND($K3608="自用消耗",COUNTIF({"一矿区";"二矿区"},$L3608)=0),"※自用消耗的去向只能是一矿区或二矿区",IF(AND($K3608="对外销售",COUNTIF({"三矿区";"六矿区"},$L3608)=0),"※对外销售的去向只能是三矿区或六矿区",IF(AND($K3608="对外销售",ROUND($Q3608,0)=0),"※外销却没有售价，请填实际售价",IF(AND($K3608="对外销售",$T3608&lt;&gt;"",$T3608&lt;0),"※这一笔外销是亏的，请核对售价",IF(IFERROR(VLOOKUP($D3608,库存台账!$A$5:$Y$1204,24,0),0)&lt;-0.001,"※这个物料账面已经变成负数了，查一下是不是漏记入库","")))))))))))</f>
        <v/>
      </c>
    </row>
    <row r="3609">
      <c r="A3609" s="24">
        <f>IF($D3609="","",COUNTA($D$4:$D3609))</f>
        <v/>
      </c>
      <c r="B3609" s="17" t="n"/>
      <c r="C3609" s="30" t="n"/>
      <c r="D3609" s="17" t="n"/>
      <c r="E3609" s="24">
        <f>IF($D3609="","",IFERROR(VLOOKUP($D3609,物料档案!$A$4:$P$1203,3,0),"※编码不在物料档案里"))</f>
        <v/>
      </c>
      <c r="F3609" s="24">
        <f>IF($D3609="","",IFERROR(VLOOKUP($D3609,物料档案!$A$4:$P$1203,4,0),"※编码不在物料档案里"))</f>
        <v/>
      </c>
      <c r="G3609" s="24">
        <f>IF($D3609="","",IFERROR(VLOOKUP($D3609,物料档案!$A$4:$P$1203,5,0),"※编码不在物料档案里"))</f>
        <v/>
      </c>
      <c r="H3609" s="24">
        <f>IF($D3609="","",IFERROR(VLOOKUP($D3609,物料档案!$A$4:$P$1203,2,0),"※编码不在物料档案里"))</f>
        <v/>
      </c>
      <c r="I3609" s="24">
        <f>IF($D3609="","",IFERROR(VLOOKUP($D3609,物料档案!$A$4:$P$1203,6,0),"※编码不在物料档案里"))</f>
        <v/>
      </c>
      <c r="J3609" s="23" t="n"/>
      <c r="K3609" s="17" t="n"/>
      <c r="L3609" s="17" t="n"/>
      <c r="M3609" s="17" t="n"/>
      <c r="N3609" s="17" t="n"/>
      <c r="O3609" s="26">
        <f>IF($D3609="","",IFERROR(VLOOKUP($D3609,物料档案!$A$4:$P$1203,10,0),0))</f>
        <v/>
      </c>
      <c r="P3609" s="32" t="n"/>
      <c r="Q3609" s="26">
        <f>IF($D3609="","",IF($K3609&lt;&gt;"对外销售",0,ROUND(N($J3609)*IF($P3609="",N($O3609),N($P3609)),0)))</f>
        <v/>
      </c>
      <c r="R3609" s="26">
        <f>IF($D3609="","",IFERROR(VLOOKUP($D3609,库存台账!$A$5:$Y$1204,11,0),0))</f>
        <v/>
      </c>
      <c r="S3609" s="26">
        <f>IF($D3609="","",ROUND(N($J3609)*N($R3609),0))</f>
        <v/>
      </c>
      <c r="T3609" s="26">
        <f>IF($D3609="","",IF($K3609&lt;&gt;"对外销售","",ROUND($Q3609-$S3609,0)))</f>
        <v/>
      </c>
      <c r="U3609" s="17" t="n"/>
      <c r="V3609" s="17" t="n"/>
      <c r="W3609" s="24">
        <f>IF($D3609="","",IF($E3609="※编码不在物料档案里","※物料编码不在档案里",IF(N($J3609)&lt;=0,"※出库数量要大于 0",IF($K3609="","※没填去向类型",IF($L3609="","※没填去向矿区",IF(AND($C3609&lt;&gt;"",$C3609&lt;=结账锁),"※日期早于已结账截止日，不能再录",IF(AND($K3609="自用消耗",COUNTIF({"一矿区";"二矿区"},$L3609)=0),"※自用消耗的去向只能是一矿区或二矿区",IF(AND($K3609="对外销售",COUNTIF({"三矿区";"六矿区"},$L3609)=0),"※对外销售的去向只能是三矿区或六矿区",IF(AND($K3609="对外销售",ROUND($Q3609,0)=0),"※外销却没有售价，请填实际售价",IF(AND($K3609="对外销售",$T3609&lt;&gt;"",$T3609&lt;0),"※这一笔外销是亏的，请核对售价",IF(IFERROR(VLOOKUP($D3609,库存台账!$A$5:$Y$1204,24,0),0)&lt;-0.001,"※这个物料账面已经变成负数了，查一下是不是漏记入库","")))))))))))</f>
        <v/>
      </c>
    </row>
    <row r="3610">
      <c r="A3610" s="24">
        <f>IF($D3610="","",COUNTA($D$4:$D3610))</f>
        <v/>
      </c>
      <c r="B3610" s="17" t="n"/>
      <c r="C3610" s="30" t="n"/>
      <c r="D3610" s="17" t="n"/>
      <c r="E3610" s="24">
        <f>IF($D3610="","",IFERROR(VLOOKUP($D3610,物料档案!$A$4:$P$1203,3,0),"※编码不在物料档案里"))</f>
        <v/>
      </c>
      <c r="F3610" s="24">
        <f>IF($D3610="","",IFERROR(VLOOKUP($D3610,物料档案!$A$4:$P$1203,4,0),"※编码不在物料档案里"))</f>
        <v/>
      </c>
      <c r="G3610" s="24">
        <f>IF($D3610="","",IFERROR(VLOOKUP($D3610,物料档案!$A$4:$P$1203,5,0),"※编码不在物料档案里"))</f>
        <v/>
      </c>
      <c r="H3610" s="24">
        <f>IF($D3610="","",IFERROR(VLOOKUP($D3610,物料档案!$A$4:$P$1203,2,0),"※编码不在物料档案里"))</f>
        <v/>
      </c>
      <c r="I3610" s="24">
        <f>IF($D3610="","",IFERROR(VLOOKUP($D3610,物料档案!$A$4:$P$1203,6,0),"※编码不在物料档案里"))</f>
        <v/>
      </c>
      <c r="J3610" s="23" t="n"/>
      <c r="K3610" s="17" t="n"/>
      <c r="L3610" s="17" t="n"/>
      <c r="M3610" s="17" t="n"/>
      <c r="N3610" s="17" t="n"/>
      <c r="O3610" s="26">
        <f>IF($D3610="","",IFERROR(VLOOKUP($D3610,物料档案!$A$4:$P$1203,10,0),0))</f>
        <v/>
      </c>
      <c r="P3610" s="32" t="n"/>
      <c r="Q3610" s="26">
        <f>IF($D3610="","",IF($K3610&lt;&gt;"对外销售",0,ROUND(N($J3610)*IF($P3610="",N($O3610),N($P3610)),0)))</f>
        <v/>
      </c>
      <c r="R3610" s="26">
        <f>IF($D3610="","",IFERROR(VLOOKUP($D3610,库存台账!$A$5:$Y$1204,11,0),0))</f>
        <v/>
      </c>
      <c r="S3610" s="26">
        <f>IF($D3610="","",ROUND(N($J3610)*N($R3610),0))</f>
        <v/>
      </c>
      <c r="T3610" s="26">
        <f>IF($D3610="","",IF($K3610&lt;&gt;"对外销售","",ROUND($Q3610-$S3610,0)))</f>
        <v/>
      </c>
      <c r="U3610" s="17" t="n"/>
      <c r="V3610" s="17" t="n"/>
      <c r="W3610" s="24">
        <f>IF($D3610="","",IF($E3610="※编码不在物料档案里","※物料编码不在档案里",IF(N($J3610)&lt;=0,"※出库数量要大于 0",IF($K3610="","※没填去向类型",IF($L3610="","※没填去向矿区",IF(AND($C3610&lt;&gt;"",$C3610&lt;=结账锁),"※日期早于已结账截止日，不能再录",IF(AND($K3610="自用消耗",COUNTIF({"一矿区";"二矿区"},$L3610)=0),"※自用消耗的去向只能是一矿区或二矿区",IF(AND($K3610="对外销售",COUNTIF({"三矿区";"六矿区"},$L3610)=0),"※对外销售的去向只能是三矿区或六矿区",IF(AND($K3610="对外销售",ROUND($Q3610,0)=0),"※外销却没有售价，请填实际售价",IF(AND($K3610="对外销售",$T3610&lt;&gt;"",$T3610&lt;0),"※这一笔外销是亏的，请核对售价",IF(IFERROR(VLOOKUP($D3610,库存台账!$A$5:$Y$1204,24,0),0)&lt;-0.001,"※这个物料账面已经变成负数了，查一下是不是漏记入库","")))))))))))</f>
        <v/>
      </c>
    </row>
    <row r="3611">
      <c r="A3611" s="24">
        <f>IF($D3611="","",COUNTA($D$4:$D3611))</f>
        <v/>
      </c>
      <c r="B3611" s="17" t="n"/>
      <c r="C3611" s="30" t="n"/>
      <c r="D3611" s="17" t="n"/>
      <c r="E3611" s="24">
        <f>IF($D3611="","",IFERROR(VLOOKUP($D3611,物料档案!$A$4:$P$1203,3,0),"※编码不在物料档案里"))</f>
        <v/>
      </c>
      <c r="F3611" s="24">
        <f>IF($D3611="","",IFERROR(VLOOKUP($D3611,物料档案!$A$4:$P$1203,4,0),"※编码不在物料档案里"))</f>
        <v/>
      </c>
      <c r="G3611" s="24">
        <f>IF($D3611="","",IFERROR(VLOOKUP($D3611,物料档案!$A$4:$P$1203,5,0),"※编码不在物料档案里"))</f>
        <v/>
      </c>
      <c r="H3611" s="24">
        <f>IF($D3611="","",IFERROR(VLOOKUP($D3611,物料档案!$A$4:$P$1203,2,0),"※编码不在物料档案里"))</f>
        <v/>
      </c>
      <c r="I3611" s="24">
        <f>IF($D3611="","",IFERROR(VLOOKUP($D3611,物料档案!$A$4:$P$1203,6,0),"※编码不在物料档案里"))</f>
        <v/>
      </c>
      <c r="J3611" s="23" t="n"/>
      <c r="K3611" s="17" t="n"/>
      <c r="L3611" s="17" t="n"/>
      <c r="M3611" s="17" t="n"/>
      <c r="N3611" s="17" t="n"/>
      <c r="O3611" s="26">
        <f>IF($D3611="","",IFERROR(VLOOKUP($D3611,物料档案!$A$4:$P$1203,10,0),0))</f>
        <v/>
      </c>
      <c r="P3611" s="32" t="n"/>
      <c r="Q3611" s="26">
        <f>IF($D3611="","",IF($K3611&lt;&gt;"对外销售",0,ROUND(N($J3611)*IF($P3611="",N($O3611),N($P3611)),0)))</f>
        <v/>
      </c>
      <c r="R3611" s="26">
        <f>IF($D3611="","",IFERROR(VLOOKUP($D3611,库存台账!$A$5:$Y$1204,11,0),0))</f>
        <v/>
      </c>
      <c r="S3611" s="26">
        <f>IF($D3611="","",ROUND(N($J3611)*N($R3611),0))</f>
        <v/>
      </c>
      <c r="T3611" s="26">
        <f>IF($D3611="","",IF($K3611&lt;&gt;"对外销售","",ROUND($Q3611-$S3611,0)))</f>
        <v/>
      </c>
      <c r="U3611" s="17" t="n"/>
      <c r="V3611" s="17" t="n"/>
      <c r="W3611" s="24">
        <f>IF($D3611="","",IF($E3611="※编码不在物料档案里","※物料编码不在档案里",IF(N($J3611)&lt;=0,"※出库数量要大于 0",IF($K3611="","※没填去向类型",IF($L3611="","※没填去向矿区",IF(AND($C3611&lt;&gt;"",$C3611&lt;=结账锁),"※日期早于已结账截止日，不能再录",IF(AND($K3611="自用消耗",COUNTIF({"一矿区";"二矿区"},$L3611)=0),"※自用消耗的去向只能是一矿区或二矿区",IF(AND($K3611="对外销售",COUNTIF({"三矿区";"六矿区"},$L3611)=0),"※对外销售的去向只能是三矿区或六矿区",IF(AND($K3611="对外销售",ROUND($Q3611,0)=0),"※外销却没有售价，请填实际售价",IF(AND($K3611="对外销售",$T3611&lt;&gt;"",$T3611&lt;0),"※这一笔外销是亏的，请核对售价",IF(IFERROR(VLOOKUP($D3611,库存台账!$A$5:$Y$1204,24,0),0)&lt;-0.001,"※这个物料账面已经变成负数了，查一下是不是漏记入库","")))))))))))</f>
        <v/>
      </c>
    </row>
    <row r="3612">
      <c r="A3612" s="24">
        <f>IF($D3612="","",COUNTA($D$4:$D3612))</f>
        <v/>
      </c>
      <c r="B3612" s="17" t="n"/>
      <c r="C3612" s="30" t="n"/>
      <c r="D3612" s="17" t="n"/>
      <c r="E3612" s="24">
        <f>IF($D3612="","",IFERROR(VLOOKUP($D3612,物料档案!$A$4:$P$1203,3,0),"※编码不在物料档案里"))</f>
        <v/>
      </c>
      <c r="F3612" s="24">
        <f>IF($D3612="","",IFERROR(VLOOKUP($D3612,物料档案!$A$4:$P$1203,4,0),"※编码不在物料档案里"))</f>
        <v/>
      </c>
      <c r="G3612" s="24">
        <f>IF($D3612="","",IFERROR(VLOOKUP($D3612,物料档案!$A$4:$P$1203,5,0),"※编码不在物料档案里"))</f>
        <v/>
      </c>
      <c r="H3612" s="24">
        <f>IF($D3612="","",IFERROR(VLOOKUP($D3612,物料档案!$A$4:$P$1203,2,0),"※编码不在物料档案里"))</f>
        <v/>
      </c>
      <c r="I3612" s="24">
        <f>IF($D3612="","",IFERROR(VLOOKUP($D3612,物料档案!$A$4:$P$1203,6,0),"※编码不在物料档案里"))</f>
        <v/>
      </c>
      <c r="J3612" s="23" t="n"/>
      <c r="K3612" s="17" t="n"/>
      <c r="L3612" s="17" t="n"/>
      <c r="M3612" s="17" t="n"/>
      <c r="N3612" s="17" t="n"/>
      <c r="O3612" s="26">
        <f>IF($D3612="","",IFERROR(VLOOKUP($D3612,物料档案!$A$4:$P$1203,10,0),0))</f>
        <v/>
      </c>
      <c r="P3612" s="32" t="n"/>
      <c r="Q3612" s="26">
        <f>IF($D3612="","",IF($K3612&lt;&gt;"对外销售",0,ROUND(N($J3612)*IF($P3612="",N($O3612),N($P3612)),0)))</f>
        <v/>
      </c>
      <c r="R3612" s="26">
        <f>IF($D3612="","",IFERROR(VLOOKUP($D3612,库存台账!$A$5:$Y$1204,11,0),0))</f>
        <v/>
      </c>
      <c r="S3612" s="26">
        <f>IF($D3612="","",ROUND(N($J3612)*N($R3612),0))</f>
        <v/>
      </c>
      <c r="T3612" s="26">
        <f>IF($D3612="","",IF($K3612&lt;&gt;"对外销售","",ROUND($Q3612-$S3612,0)))</f>
        <v/>
      </c>
      <c r="U3612" s="17" t="n"/>
      <c r="V3612" s="17" t="n"/>
      <c r="W3612" s="24">
        <f>IF($D3612="","",IF($E3612="※编码不在物料档案里","※物料编码不在档案里",IF(N($J3612)&lt;=0,"※出库数量要大于 0",IF($K3612="","※没填去向类型",IF($L3612="","※没填去向矿区",IF(AND($C3612&lt;&gt;"",$C3612&lt;=结账锁),"※日期早于已结账截止日，不能再录",IF(AND($K3612="自用消耗",COUNTIF({"一矿区";"二矿区"},$L3612)=0),"※自用消耗的去向只能是一矿区或二矿区",IF(AND($K3612="对外销售",COUNTIF({"三矿区";"六矿区"},$L3612)=0),"※对外销售的去向只能是三矿区或六矿区",IF(AND($K3612="对外销售",ROUND($Q3612,0)=0),"※外销却没有售价，请填实际售价",IF(AND($K3612="对外销售",$T3612&lt;&gt;"",$T3612&lt;0),"※这一笔外销是亏的，请核对售价",IF(IFERROR(VLOOKUP($D3612,库存台账!$A$5:$Y$1204,24,0),0)&lt;-0.001,"※这个物料账面已经变成负数了，查一下是不是漏记入库","")))))))))))</f>
        <v/>
      </c>
    </row>
    <row r="3613">
      <c r="A3613" s="24">
        <f>IF($D3613="","",COUNTA($D$4:$D3613))</f>
        <v/>
      </c>
      <c r="B3613" s="17" t="n"/>
      <c r="C3613" s="30" t="n"/>
      <c r="D3613" s="17" t="n"/>
      <c r="E3613" s="24">
        <f>IF($D3613="","",IFERROR(VLOOKUP($D3613,物料档案!$A$4:$P$1203,3,0),"※编码不在物料档案里"))</f>
        <v/>
      </c>
      <c r="F3613" s="24">
        <f>IF($D3613="","",IFERROR(VLOOKUP($D3613,物料档案!$A$4:$P$1203,4,0),"※编码不在物料档案里"))</f>
        <v/>
      </c>
      <c r="G3613" s="24">
        <f>IF($D3613="","",IFERROR(VLOOKUP($D3613,物料档案!$A$4:$P$1203,5,0),"※编码不在物料档案里"))</f>
        <v/>
      </c>
      <c r="H3613" s="24">
        <f>IF($D3613="","",IFERROR(VLOOKUP($D3613,物料档案!$A$4:$P$1203,2,0),"※编码不在物料档案里"))</f>
        <v/>
      </c>
      <c r="I3613" s="24">
        <f>IF($D3613="","",IFERROR(VLOOKUP($D3613,物料档案!$A$4:$P$1203,6,0),"※编码不在物料档案里"))</f>
        <v/>
      </c>
      <c r="J3613" s="23" t="n"/>
      <c r="K3613" s="17" t="n"/>
      <c r="L3613" s="17" t="n"/>
      <c r="M3613" s="17" t="n"/>
      <c r="N3613" s="17" t="n"/>
      <c r="O3613" s="26">
        <f>IF($D3613="","",IFERROR(VLOOKUP($D3613,物料档案!$A$4:$P$1203,10,0),0))</f>
        <v/>
      </c>
      <c r="P3613" s="32" t="n"/>
      <c r="Q3613" s="26">
        <f>IF($D3613="","",IF($K3613&lt;&gt;"对外销售",0,ROUND(N($J3613)*IF($P3613="",N($O3613),N($P3613)),0)))</f>
        <v/>
      </c>
      <c r="R3613" s="26">
        <f>IF($D3613="","",IFERROR(VLOOKUP($D3613,库存台账!$A$5:$Y$1204,11,0),0))</f>
        <v/>
      </c>
      <c r="S3613" s="26">
        <f>IF($D3613="","",ROUND(N($J3613)*N($R3613),0))</f>
        <v/>
      </c>
      <c r="T3613" s="26">
        <f>IF($D3613="","",IF($K3613&lt;&gt;"对外销售","",ROUND($Q3613-$S3613,0)))</f>
        <v/>
      </c>
      <c r="U3613" s="17" t="n"/>
      <c r="V3613" s="17" t="n"/>
      <c r="W3613" s="24">
        <f>IF($D3613="","",IF($E3613="※编码不在物料档案里","※物料编码不在档案里",IF(N($J3613)&lt;=0,"※出库数量要大于 0",IF($K3613="","※没填去向类型",IF($L3613="","※没填去向矿区",IF(AND($C3613&lt;&gt;"",$C3613&lt;=结账锁),"※日期早于已结账截止日，不能再录",IF(AND($K3613="自用消耗",COUNTIF({"一矿区";"二矿区"},$L3613)=0),"※自用消耗的去向只能是一矿区或二矿区",IF(AND($K3613="对外销售",COUNTIF({"三矿区";"六矿区"},$L3613)=0),"※对外销售的去向只能是三矿区或六矿区",IF(AND($K3613="对外销售",ROUND($Q3613,0)=0),"※外销却没有售价，请填实际售价",IF(AND($K3613="对外销售",$T3613&lt;&gt;"",$T3613&lt;0),"※这一笔外销是亏的，请核对售价",IF(IFERROR(VLOOKUP($D3613,库存台账!$A$5:$Y$1204,24,0),0)&lt;-0.001,"※这个物料账面已经变成负数了，查一下是不是漏记入库","")))))))))))</f>
        <v/>
      </c>
    </row>
    <row r="3614">
      <c r="A3614" s="24">
        <f>IF($D3614="","",COUNTA($D$4:$D3614))</f>
        <v/>
      </c>
      <c r="B3614" s="17" t="n"/>
      <c r="C3614" s="30" t="n"/>
      <c r="D3614" s="17" t="n"/>
      <c r="E3614" s="24">
        <f>IF($D3614="","",IFERROR(VLOOKUP($D3614,物料档案!$A$4:$P$1203,3,0),"※编码不在物料档案里"))</f>
        <v/>
      </c>
      <c r="F3614" s="24">
        <f>IF($D3614="","",IFERROR(VLOOKUP($D3614,物料档案!$A$4:$P$1203,4,0),"※编码不在物料档案里"))</f>
        <v/>
      </c>
      <c r="G3614" s="24">
        <f>IF($D3614="","",IFERROR(VLOOKUP($D3614,物料档案!$A$4:$P$1203,5,0),"※编码不在物料档案里"))</f>
        <v/>
      </c>
      <c r="H3614" s="24">
        <f>IF($D3614="","",IFERROR(VLOOKUP($D3614,物料档案!$A$4:$P$1203,2,0),"※编码不在物料档案里"))</f>
        <v/>
      </c>
      <c r="I3614" s="24">
        <f>IF($D3614="","",IFERROR(VLOOKUP($D3614,物料档案!$A$4:$P$1203,6,0),"※编码不在物料档案里"))</f>
        <v/>
      </c>
      <c r="J3614" s="23" t="n"/>
      <c r="K3614" s="17" t="n"/>
      <c r="L3614" s="17" t="n"/>
      <c r="M3614" s="17" t="n"/>
      <c r="N3614" s="17" t="n"/>
      <c r="O3614" s="26">
        <f>IF($D3614="","",IFERROR(VLOOKUP($D3614,物料档案!$A$4:$P$1203,10,0),0))</f>
        <v/>
      </c>
      <c r="P3614" s="32" t="n"/>
      <c r="Q3614" s="26">
        <f>IF($D3614="","",IF($K3614&lt;&gt;"对外销售",0,ROUND(N($J3614)*IF($P3614="",N($O3614),N($P3614)),0)))</f>
        <v/>
      </c>
      <c r="R3614" s="26">
        <f>IF($D3614="","",IFERROR(VLOOKUP($D3614,库存台账!$A$5:$Y$1204,11,0),0))</f>
        <v/>
      </c>
      <c r="S3614" s="26">
        <f>IF($D3614="","",ROUND(N($J3614)*N($R3614),0))</f>
        <v/>
      </c>
      <c r="T3614" s="26">
        <f>IF($D3614="","",IF($K3614&lt;&gt;"对外销售","",ROUND($Q3614-$S3614,0)))</f>
        <v/>
      </c>
      <c r="U3614" s="17" t="n"/>
      <c r="V3614" s="17" t="n"/>
      <c r="W3614" s="24">
        <f>IF($D3614="","",IF($E3614="※编码不在物料档案里","※物料编码不在档案里",IF(N($J3614)&lt;=0,"※出库数量要大于 0",IF($K3614="","※没填去向类型",IF($L3614="","※没填去向矿区",IF(AND($C3614&lt;&gt;"",$C3614&lt;=结账锁),"※日期早于已结账截止日，不能再录",IF(AND($K3614="自用消耗",COUNTIF({"一矿区";"二矿区"},$L3614)=0),"※自用消耗的去向只能是一矿区或二矿区",IF(AND($K3614="对外销售",COUNTIF({"三矿区";"六矿区"},$L3614)=0),"※对外销售的去向只能是三矿区或六矿区",IF(AND($K3614="对外销售",ROUND($Q3614,0)=0),"※外销却没有售价，请填实际售价",IF(AND($K3614="对外销售",$T3614&lt;&gt;"",$T3614&lt;0),"※这一笔外销是亏的，请核对售价",IF(IFERROR(VLOOKUP($D3614,库存台账!$A$5:$Y$1204,24,0),0)&lt;-0.001,"※这个物料账面已经变成负数了，查一下是不是漏记入库","")))))))))))</f>
        <v/>
      </c>
    </row>
    <row r="3615">
      <c r="A3615" s="24">
        <f>IF($D3615="","",COUNTA($D$4:$D3615))</f>
        <v/>
      </c>
      <c r="B3615" s="17" t="n"/>
      <c r="C3615" s="30" t="n"/>
      <c r="D3615" s="17" t="n"/>
      <c r="E3615" s="24">
        <f>IF($D3615="","",IFERROR(VLOOKUP($D3615,物料档案!$A$4:$P$1203,3,0),"※编码不在物料档案里"))</f>
        <v/>
      </c>
      <c r="F3615" s="24">
        <f>IF($D3615="","",IFERROR(VLOOKUP($D3615,物料档案!$A$4:$P$1203,4,0),"※编码不在物料档案里"))</f>
        <v/>
      </c>
      <c r="G3615" s="24">
        <f>IF($D3615="","",IFERROR(VLOOKUP($D3615,物料档案!$A$4:$P$1203,5,0),"※编码不在物料档案里"))</f>
        <v/>
      </c>
      <c r="H3615" s="24">
        <f>IF($D3615="","",IFERROR(VLOOKUP($D3615,物料档案!$A$4:$P$1203,2,0),"※编码不在物料档案里"))</f>
        <v/>
      </c>
      <c r="I3615" s="24">
        <f>IF($D3615="","",IFERROR(VLOOKUP($D3615,物料档案!$A$4:$P$1203,6,0),"※编码不在物料档案里"))</f>
        <v/>
      </c>
      <c r="J3615" s="23" t="n"/>
      <c r="K3615" s="17" t="n"/>
      <c r="L3615" s="17" t="n"/>
      <c r="M3615" s="17" t="n"/>
      <c r="N3615" s="17" t="n"/>
      <c r="O3615" s="26">
        <f>IF($D3615="","",IFERROR(VLOOKUP($D3615,物料档案!$A$4:$P$1203,10,0),0))</f>
        <v/>
      </c>
      <c r="P3615" s="32" t="n"/>
      <c r="Q3615" s="26">
        <f>IF($D3615="","",IF($K3615&lt;&gt;"对外销售",0,ROUND(N($J3615)*IF($P3615="",N($O3615),N($P3615)),0)))</f>
        <v/>
      </c>
      <c r="R3615" s="26">
        <f>IF($D3615="","",IFERROR(VLOOKUP($D3615,库存台账!$A$5:$Y$1204,11,0),0))</f>
        <v/>
      </c>
      <c r="S3615" s="26">
        <f>IF($D3615="","",ROUND(N($J3615)*N($R3615),0))</f>
        <v/>
      </c>
      <c r="T3615" s="26">
        <f>IF($D3615="","",IF($K3615&lt;&gt;"对外销售","",ROUND($Q3615-$S3615,0)))</f>
        <v/>
      </c>
      <c r="U3615" s="17" t="n"/>
      <c r="V3615" s="17" t="n"/>
      <c r="W3615" s="24">
        <f>IF($D3615="","",IF($E3615="※编码不在物料档案里","※物料编码不在档案里",IF(N($J3615)&lt;=0,"※出库数量要大于 0",IF($K3615="","※没填去向类型",IF($L3615="","※没填去向矿区",IF(AND($C3615&lt;&gt;"",$C3615&lt;=结账锁),"※日期早于已结账截止日，不能再录",IF(AND($K3615="自用消耗",COUNTIF({"一矿区";"二矿区"},$L3615)=0),"※自用消耗的去向只能是一矿区或二矿区",IF(AND($K3615="对外销售",COUNTIF({"三矿区";"六矿区"},$L3615)=0),"※对外销售的去向只能是三矿区或六矿区",IF(AND($K3615="对外销售",ROUND($Q3615,0)=0),"※外销却没有售价，请填实际售价",IF(AND($K3615="对外销售",$T3615&lt;&gt;"",$T3615&lt;0),"※这一笔外销是亏的，请核对售价",IF(IFERROR(VLOOKUP($D3615,库存台账!$A$5:$Y$1204,24,0),0)&lt;-0.001,"※这个物料账面已经变成负数了，查一下是不是漏记入库","")))))))))))</f>
        <v/>
      </c>
    </row>
    <row r="3616">
      <c r="A3616" s="24">
        <f>IF($D3616="","",COUNTA($D$4:$D3616))</f>
        <v/>
      </c>
      <c r="B3616" s="17" t="n"/>
      <c r="C3616" s="30" t="n"/>
      <c r="D3616" s="17" t="n"/>
      <c r="E3616" s="24">
        <f>IF($D3616="","",IFERROR(VLOOKUP($D3616,物料档案!$A$4:$P$1203,3,0),"※编码不在物料档案里"))</f>
        <v/>
      </c>
      <c r="F3616" s="24">
        <f>IF($D3616="","",IFERROR(VLOOKUP($D3616,物料档案!$A$4:$P$1203,4,0),"※编码不在物料档案里"))</f>
        <v/>
      </c>
      <c r="G3616" s="24">
        <f>IF($D3616="","",IFERROR(VLOOKUP($D3616,物料档案!$A$4:$P$1203,5,0),"※编码不在物料档案里"))</f>
        <v/>
      </c>
      <c r="H3616" s="24">
        <f>IF($D3616="","",IFERROR(VLOOKUP($D3616,物料档案!$A$4:$P$1203,2,0),"※编码不在物料档案里"))</f>
        <v/>
      </c>
      <c r="I3616" s="24">
        <f>IF($D3616="","",IFERROR(VLOOKUP($D3616,物料档案!$A$4:$P$1203,6,0),"※编码不在物料档案里"))</f>
        <v/>
      </c>
      <c r="J3616" s="23" t="n"/>
      <c r="K3616" s="17" t="n"/>
      <c r="L3616" s="17" t="n"/>
      <c r="M3616" s="17" t="n"/>
      <c r="N3616" s="17" t="n"/>
      <c r="O3616" s="26">
        <f>IF($D3616="","",IFERROR(VLOOKUP($D3616,物料档案!$A$4:$P$1203,10,0),0))</f>
        <v/>
      </c>
      <c r="P3616" s="32" t="n"/>
      <c r="Q3616" s="26">
        <f>IF($D3616="","",IF($K3616&lt;&gt;"对外销售",0,ROUND(N($J3616)*IF($P3616="",N($O3616),N($P3616)),0)))</f>
        <v/>
      </c>
      <c r="R3616" s="26">
        <f>IF($D3616="","",IFERROR(VLOOKUP($D3616,库存台账!$A$5:$Y$1204,11,0),0))</f>
        <v/>
      </c>
      <c r="S3616" s="26">
        <f>IF($D3616="","",ROUND(N($J3616)*N($R3616),0))</f>
        <v/>
      </c>
      <c r="T3616" s="26">
        <f>IF($D3616="","",IF($K3616&lt;&gt;"对外销售","",ROUND($Q3616-$S3616,0)))</f>
        <v/>
      </c>
      <c r="U3616" s="17" t="n"/>
      <c r="V3616" s="17" t="n"/>
      <c r="W3616" s="24">
        <f>IF($D3616="","",IF($E3616="※编码不在物料档案里","※物料编码不在档案里",IF(N($J3616)&lt;=0,"※出库数量要大于 0",IF($K3616="","※没填去向类型",IF($L3616="","※没填去向矿区",IF(AND($C3616&lt;&gt;"",$C3616&lt;=结账锁),"※日期早于已结账截止日，不能再录",IF(AND($K3616="自用消耗",COUNTIF({"一矿区";"二矿区"},$L3616)=0),"※自用消耗的去向只能是一矿区或二矿区",IF(AND($K3616="对外销售",COUNTIF({"三矿区";"六矿区"},$L3616)=0),"※对外销售的去向只能是三矿区或六矿区",IF(AND($K3616="对外销售",ROUND($Q3616,0)=0),"※外销却没有售价，请填实际售价",IF(AND($K3616="对外销售",$T3616&lt;&gt;"",$T3616&lt;0),"※这一笔外销是亏的，请核对售价",IF(IFERROR(VLOOKUP($D3616,库存台账!$A$5:$Y$1204,24,0),0)&lt;-0.001,"※这个物料账面已经变成负数了，查一下是不是漏记入库","")))))))))))</f>
        <v/>
      </c>
    </row>
    <row r="3617">
      <c r="A3617" s="24">
        <f>IF($D3617="","",COUNTA($D$4:$D3617))</f>
        <v/>
      </c>
      <c r="B3617" s="17" t="n"/>
      <c r="C3617" s="30" t="n"/>
      <c r="D3617" s="17" t="n"/>
      <c r="E3617" s="24">
        <f>IF($D3617="","",IFERROR(VLOOKUP($D3617,物料档案!$A$4:$P$1203,3,0),"※编码不在物料档案里"))</f>
        <v/>
      </c>
      <c r="F3617" s="24">
        <f>IF($D3617="","",IFERROR(VLOOKUP($D3617,物料档案!$A$4:$P$1203,4,0),"※编码不在物料档案里"))</f>
        <v/>
      </c>
      <c r="G3617" s="24">
        <f>IF($D3617="","",IFERROR(VLOOKUP($D3617,物料档案!$A$4:$P$1203,5,0),"※编码不在物料档案里"))</f>
        <v/>
      </c>
      <c r="H3617" s="24">
        <f>IF($D3617="","",IFERROR(VLOOKUP($D3617,物料档案!$A$4:$P$1203,2,0),"※编码不在物料档案里"))</f>
        <v/>
      </c>
      <c r="I3617" s="24">
        <f>IF($D3617="","",IFERROR(VLOOKUP($D3617,物料档案!$A$4:$P$1203,6,0),"※编码不在物料档案里"))</f>
        <v/>
      </c>
      <c r="J3617" s="23" t="n"/>
      <c r="K3617" s="17" t="n"/>
      <c r="L3617" s="17" t="n"/>
      <c r="M3617" s="17" t="n"/>
      <c r="N3617" s="17" t="n"/>
      <c r="O3617" s="26">
        <f>IF($D3617="","",IFERROR(VLOOKUP($D3617,物料档案!$A$4:$P$1203,10,0),0))</f>
        <v/>
      </c>
      <c r="P3617" s="32" t="n"/>
      <c r="Q3617" s="26">
        <f>IF($D3617="","",IF($K3617&lt;&gt;"对外销售",0,ROUND(N($J3617)*IF($P3617="",N($O3617),N($P3617)),0)))</f>
        <v/>
      </c>
      <c r="R3617" s="26">
        <f>IF($D3617="","",IFERROR(VLOOKUP($D3617,库存台账!$A$5:$Y$1204,11,0),0))</f>
        <v/>
      </c>
      <c r="S3617" s="26">
        <f>IF($D3617="","",ROUND(N($J3617)*N($R3617),0))</f>
        <v/>
      </c>
      <c r="T3617" s="26">
        <f>IF($D3617="","",IF($K3617&lt;&gt;"对外销售","",ROUND($Q3617-$S3617,0)))</f>
        <v/>
      </c>
      <c r="U3617" s="17" t="n"/>
      <c r="V3617" s="17" t="n"/>
      <c r="W3617" s="24">
        <f>IF($D3617="","",IF($E3617="※编码不在物料档案里","※物料编码不在档案里",IF(N($J3617)&lt;=0,"※出库数量要大于 0",IF($K3617="","※没填去向类型",IF($L3617="","※没填去向矿区",IF(AND($C3617&lt;&gt;"",$C3617&lt;=结账锁),"※日期早于已结账截止日，不能再录",IF(AND($K3617="自用消耗",COUNTIF({"一矿区";"二矿区"},$L3617)=0),"※自用消耗的去向只能是一矿区或二矿区",IF(AND($K3617="对外销售",COUNTIF({"三矿区";"六矿区"},$L3617)=0),"※对外销售的去向只能是三矿区或六矿区",IF(AND($K3617="对外销售",ROUND($Q3617,0)=0),"※外销却没有售价，请填实际售价",IF(AND($K3617="对外销售",$T3617&lt;&gt;"",$T3617&lt;0),"※这一笔外销是亏的，请核对售价",IF(IFERROR(VLOOKUP($D3617,库存台账!$A$5:$Y$1204,24,0),0)&lt;-0.001,"※这个物料账面已经变成负数了，查一下是不是漏记入库","")))))))))))</f>
        <v/>
      </c>
    </row>
    <row r="3618">
      <c r="A3618" s="24">
        <f>IF($D3618="","",COUNTA($D$4:$D3618))</f>
        <v/>
      </c>
      <c r="B3618" s="17" t="n"/>
      <c r="C3618" s="30" t="n"/>
      <c r="D3618" s="17" t="n"/>
      <c r="E3618" s="24">
        <f>IF($D3618="","",IFERROR(VLOOKUP($D3618,物料档案!$A$4:$P$1203,3,0),"※编码不在物料档案里"))</f>
        <v/>
      </c>
      <c r="F3618" s="24">
        <f>IF($D3618="","",IFERROR(VLOOKUP($D3618,物料档案!$A$4:$P$1203,4,0),"※编码不在物料档案里"))</f>
        <v/>
      </c>
      <c r="G3618" s="24">
        <f>IF($D3618="","",IFERROR(VLOOKUP($D3618,物料档案!$A$4:$P$1203,5,0),"※编码不在物料档案里"))</f>
        <v/>
      </c>
      <c r="H3618" s="24">
        <f>IF($D3618="","",IFERROR(VLOOKUP($D3618,物料档案!$A$4:$P$1203,2,0),"※编码不在物料档案里"))</f>
        <v/>
      </c>
      <c r="I3618" s="24">
        <f>IF($D3618="","",IFERROR(VLOOKUP($D3618,物料档案!$A$4:$P$1203,6,0),"※编码不在物料档案里"))</f>
        <v/>
      </c>
      <c r="J3618" s="23" t="n"/>
      <c r="K3618" s="17" t="n"/>
      <c r="L3618" s="17" t="n"/>
      <c r="M3618" s="17" t="n"/>
      <c r="N3618" s="17" t="n"/>
      <c r="O3618" s="26">
        <f>IF($D3618="","",IFERROR(VLOOKUP($D3618,物料档案!$A$4:$P$1203,10,0),0))</f>
        <v/>
      </c>
      <c r="P3618" s="32" t="n"/>
      <c r="Q3618" s="26">
        <f>IF($D3618="","",IF($K3618&lt;&gt;"对外销售",0,ROUND(N($J3618)*IF($P3618="",N($O3618),N($P3618)),0)))</f>
        <v/>
      </c>
      <c r="R3618" s="26">
        <f>IF($D3618="","",IFERROR(VLOOKUP($D3618,库存台账!$A$5:$Y$1204,11,0),0))</f>
        <v/>
      </c>
      <c r="S3618" s="26">
        <f>IF($D3618="","",ROUND(N($J3618)*N($R3618),0))</f>
        <v/>
      </c>
      <c r="T3618" s="26">
        <f>IF($D3618="","",IF($K3618&lt;&gt;"对外销售","",ROUND($Q3618-$S3618,0)))</f>
        <v/>
      </c>
      <c r="U3618" s="17" t="n"/>
      <c r="V3618" s="17" t="n"/>
      <c r="W3618" s="24">
        <f>IF($D3618="","",IF($E3618="※编码不在物料档案里","※物料编码不在档案里",IF(N($J3618)&lt;=0,"※出库数量要大于 0",IF($K3618="","※没填去向类型",IF($L3618="","※没填去向矿区",IF(AND($C3618&lt;&gt;"",$C3618&lt;=结账锁),"※日期早于已结账截止日，不能再录",IF(AND($K3618="自用消耗",COUNTIF({"一矿区";"二矿区"},$L3618)=0),"※自用消耗的去向只能是一矿区或二矿区",IF(AND($K3618="对外销售",COUNTIF({"三矿区";"六矿区"},$L3618)=0),"※对外销售的去向只能是三矿区或六矿区",IF(AND($K3618="对外销售",ROUND($Q3618,0)=0),"※外销却没有售价，请填实际售价",IF(AND($K3618="对外销售",$T3618&lt;&gt;"",$T3618&lt;0),"※这一笔外销是亏的，请核对售价",IF(IFERROR(VLOOKUP($D3618,库存台账!$A$5:$Y$1204,24,0),0)&lt;-0.001,"※这个物料账面已经变成负数了，查一下是不是漏记入库","")))))))))))</f>
        <v/>
      </c>
    </row>
    <row r="3619">
      <c r="A3619" s="24">
        <f>IF($D3619="","",COUNTA($D$4:$D3619))</f>
        <v/>
      </c>
      <c r="B3619" s="17" t="n"/>
      <c r="C3619" s="30" t="n"/>
      <c r="D3619" s="17" t="n"/>
      <c r="E3619" s="24">
        <f>IF($D3619="","",IFERROR(VLOOKUP($D3619,物料档案!$A$4:$P$1203,3,0),"※编码不在物料档案里"))</f>
        <v/>
      </c>
      <c r="F3619" s="24">
        <f>IF($D3619="","",IFERROR(VLOOKUP($D3619,物料档案!$A$4:$P$1203,4,0),"※编码不在物料档案里"))</f>
        <v/>
      </c>
      <c r="G3619" s="24">
        <f>IF($D3619="","",IFERROR(VLOOKUP($D3619,物料档案!$A$4:$P$1203,5,0),"※编码不在物料档案里"))</f>
        <v/>
      </c>
      <c r="H3619" s="24">
        <f>IF($D3619="","",IFERROR(VLOOKUP($D3619,物料档案!$A$4:$P$1203,2,0),"※编码不在物料档案里"))</f>
        <v/>
      </c>
      <c r="I3619" s="24">
        <f>IF($D3619="","",IFERROR(VLOOKUP($D3619,物料档案!$A$4:$P$1203,6,0),"※编码不在物料档案里"))</f>
        <v/>
      </c>
      <c r="J3619" s="23" t="n"/>
      <c r="K3619" s="17" t="n"/>
      <c r="L3619" s="17" t="n"/>
      <c r="M3619" s="17" t="n"/>
      <c r="N3619" s="17" t="n"/>
      <c r="O3619" s="26">
        <f>IF($D3619="","",IFERROR(VLOOKUP($D3619,物料档案!$A$4:$P$1203,10,0),0))</f>
        <v/>
      </c>
      <c r="P3619" s="32" t="n"/>
      <c r="Q3619" s="26">
        <f>IF($D3619="","",IF($K3619&lt;&gt;"对外销售",0,ROUND(N($J3619)*IF($P3619="",N($O3619),N($P3619)),0)))</f>
        <v/>
      </c>
      <c r="R3619" s="26">
        <f>IF($D3619="","",IFERROR(VLOOKUP($D3619,库存台账!$A$5:$Y$1204,11,0),0))</f>
        <v/>
      </c>
      <c r="S3619" s="26">
        <f>IF($D3619="","",ROUND(N($J3619)*N($R3619),0))</f>
        <v/>
      </c>
      <c r="T3619" s="26">
        <f>IF($D3619="","",IF($K3619&lt;&gt;"对外销售","",ROUND($Q3619-$S3619,0)))</f>
        <v/>
      </c>
      <c r="U3619" s="17" t="n"/>
      <c r="V3619" s="17" t="n"/>
      <c r="W3619" s="24">
        <f>IF($D3619="","",IF($E3619="※编码不在物料档案里","※物料编码不在档案里",IF(N($J3619)&lt;=0,"※出库数量要大于 0",IF($K3619="","※没填去向类型",IF($L3619="","※没填去向矿区",IF(AND($C3619&lt;&gt;"",$C3619&lt;=结账锁),"※日期早于已结账截止日，不能再录",IF(AND($K3619="自用消耗",COUNTIF({"一矿区";"二矿区"},$L3619)=0),"※自用消耗的去向只能是一矿区或二矿区",IF(AND($K3619="对外销售",COUNTIF({"三矿区";"六矿区"},$L3619)=0),"※对外销售的去向只能是三矿区或六矿区",IF(AND($K3619="对外销售",ROUND($Q3619,0)=0),"※外销却没有售价，请填实际售价",IF(AND($K3619="对外销售",$T3619&lt;&gt;"",$T3619&lt;0),"※这一笔外销是亏的，请核对售价",IF(IFERROR(VLOOKUP($D3619,库存台账!$A$5:$Y$1204,24,0),0)&lt;-0.001,"※这个物料账面已经变成负数了，查一下是不是漏记入库","")))))))))))</f>
        <v/>
      </c>
    </row>
    <row r="3620">
      <c r="A3620" s="24">
        <f>IF($D3620="","",COUNTA($D$4:$D3620))</f>
        <v/>
      </c>
      <c r="B3620" s="17" t="n"/>
      <c r="C3620" s="30" t="n"/>
      <c r="D3620" s="17" t="n"/>
      <c r="E3620" s="24">
        <f>IF($D3620="","",IFERROR(VLOOKUP($D3620,物料档案!$A$4:$P$1203,3,0),"※编码不在物料档案里"))</f>
        <v/>
      </c>
      <c r="F3620" s="24">
        <f>IF($D3620="","",IFERROR(VLOOKUP($D3620,物料档案!$A$4:$P$1203,4,0),"※编码不在物料档案里"))</f>
        <v/>
      </c>
      <c r="G3620" s="24">
        <f>IF($D3620="","",IFERROR(VLOOKUP($D3620,物料档案!$A$4:$P$1203,5,0),"※编码不在物料档案里"))</f>
        <v/>
      </c>
      <c r="H3620" s="24">
        <f>IF($D3620="","",IFERROR(VLOOKUP($D3620,物料档案!$A$4:$P$1203,2,0),"※编码不在物料档案里"))</f>
        <v/>
      </c>
      <c r="I3620" s="24">
        <f>IF($D3620="","",IFERROR(VLOOKUP($D3620,物料档案!$A$4:$P$1203,6,0),"※编码不在物料档案里"))</f>
        <v/>
      </c>
      <c r="J3620" s="23" t="n"/>
      <c r="K3620" s="17" t="n"/>
      <c r="L3620" s="17" t="n"/>
      <c r="M3620" s="17" t="n"/>
      <c r="N3620" s="17" t="n"/>
      <c r="O3620" s="26">
        <f>IF($D3620="","",IFERROR(VLOOKUP($D3620,物料档案!$A$4:$P$1203,10,0),0))</f>
        <v/>
      </c>
      <c r="P3620" s="32" t="n"/>
      <c r="Q3620" s="26">
        <f>IF($D3620="","",IF($K3620&lt;&gt;"对外销售",0,ROUND(N($J3620)*IF($P3620="",N($O3620),N($P3620)),0)))</f>
        <v/>
      </c>
      <c r="R3620" s="26">
        <f>IF($D3620="","",IFERROR(VLOOKUP($D3620,库存台账!$A$5:$Y$1204,11,0),0))</f>
        <v/>
      </c>
      <c r="S3620" s="26">
        <f>IF($D3620="","",ROUND(N($J3620)*N($R3620),0))</f>
        <v/>
      </c>
      <c r="T3620" s="26">
        <f>IF($D3620="","",IF($K3620&lt;&gt;"对外销售","",ROUND($Q3620-$S3620,0)))</f>
        <v/>
      </c>
      <c r="U3620" s="17" t="n"/>
      <c r="V3620" s="17" t="n"/>
      <c r="W3620" s="24">
        <f>IF($D3620="","",IF($E3620="※编码不在物料档案里","※物料编码不在档案里",IF(N($J3620)&lt;=0,"※出库数量要大于 0",IF($K3620="","※没填去向类型",IF($L3620="","※没填去向矿区",IF(AND($C3620&lt;&gt;"",$C3620&lt;=结账锁),"※日期早于已结账截止日，不能再录",IF(AND($K3620="自用消耗",COUNTIF({"一矿区";"二矿区"},$L3620)=0),"※自用消耗的去向只能是一矿区或二矿区",IF(AND($K3620="对外销售",COUNTIF({"三矿区";"六矿区"},$L3620)=0),"※对外销售的去向只能是三矿区或六矿区",IF(AND($K3620="对外销售",ROUND($Q3620,0)=0),"※外销却没有售价，请填实际售价",IF(AND($K3620="对外销售",$T3620&lt;&gt;"",$T3620&lt;0),"※这一笔外销是亏的，请核对售价",IF(IFERROR(VLOOKUP($D3620,库存台账!$A$5:$Y$1204,24,0),0)&lt;-0.001,"※这个物料账面已经变成负数了，查一下是不是漏记入库","")))))))))))</f>
        <v/>
      </c>
    </row>
    <row r="3621">
      <c r="A3621" s="24">
        <f>IF($D3621="","",COUNTA($D$4:$D3621))</f>
        <v/>
      </c>
      <c r="B3621" s="17" t="n"/>
      <c r="C3621" s="30" t="n"/>
      <c r="D3621" s="17" t="n"/>
      <c r="E3621" s="24">
        <f>IF($D3621="","",IFERROR(VLOOKUP($D3621,物料档案!$A$4:$P$1203,3,0),"※编码不在物料档案里"))</f>
        <v/>
      </c>
      <c r="F3621" s="24">
        <f>IF($D3621="","",IFERROR(VLOOKUP($D3621,物料档案!$A$4:$P$1203,4,0),"※编码不在物料档案里"))</f>
        <v/>
      </c>
      <c r="G3621" s="24">
        <f>IF($D3621="","",IFERROR(VLOOKUP($D3621,物料档案!$A$4:$P$1203,5,0),"※编码不在物料档案里"))</f>
        <v/>
      </c>
      <c r="H3621" s="24">
        <f>IF($D3621="","",IFERROR(VLOOKUP($D3621,物料档案!$A$4:$P$1203,2,0),"※编码不在物料档案里"))</f>
        <v/>
      </c>
      <c r="I3621" s="24">
        <f>IF($D3621="","",IFERROR(VLOOKUP($D3621,物料档案!$A$4:$P$1203,6,0),"※编码不在物料档案里"))</f>
        <v/>
      </c>
      <c r="J3621" s="23" t="n"/>
      <c r="K3621" s="17" t="n"/>
      <c r="L3621" s="17" t="n"/>
      <c r="M3621" s="17" t="n"/>
      <c r="N3621" s="17" t="n"/>
      <c r="O3621" s="26">
        <f>IF($D3621="","",IFERROR(VLOOKUP($D3621,物料档案!$A$4:$P$1203,10,0),0))</f>
        <v/>
      </c>
      <c r="P3621" s="32" t="n"/>
      <c r="Q3621" s="26">
        <f>IF($D3621="","",IF($K3621&lt;&gt;"对外销售",0,ROUND(N($J3621)*IF($P3621="",N($O3621),N($P3621)),0)))</f>
        <v/>
      </c>
      <c r="R3621" s="26">
        <f>IF($D3621="","",IFERROR(VLOOKUP($D3621,库存台账!$A$5:$Y$1204,11,0),0))</f>
        <v/>
      </c>
      <c r="S3621" s="26">
        <f>IF($D3621="","",ROUND(N($J3621)*N($R3621),0))</f>
        <v/>
      </c>
      <c r="T3621" s="26">
        <f>IF($D3621="","",IF($K3621&lt;&gt;"对外销售","",ROUND($Q3621-$S3621,0)))</f>
        <v/>
      </c>
      <c r="U3621" s="17" t="n"/>
      <c r="V3621" s="17" t="n"/>
      <c r="W3621" s="24">
        <f>IF($D3621="","",IF($E3621="※编码不在物料档案里","※物料编码不在档案里",IF(N($J3621)&lt;=0,"※出库数量要大于 0",IF($K3621="","※没填去向类型",IF($L3621="","※没填去向矿区",IF(AND($C3621&lt;&gt;"",$C3621&lt;=结账锁),"※日期早于已结账截止日，不能再录",IF(AND($K3621="自用消耗",COUNTIF({"一矿区";"二矿区"},$L3621)=0),"※自用消耗的去向只能是一矿区或二矿区",IF(AND($K3621="对外销售",COUNTIF({"三矿区";"六矿区"},$L3621)=0),"※对外销售的去向只能是三矿区或六矿区",IF(AND($K3621="对外销售",ROUND($Q3621,0)=0),"※外销却没有售价，请填实际售价",IF(AND($K3621="对外销售",$T3621&lt;&gt;"",$T3621&lt;0),"※这一笔外销是亏的，请核对售价",IF(IFERROR(VLOOKUP($D3621,库存台账!$A$5:$Y$1204,24,0),0)&lt;-0.001,"※这个物料账面已经变成负数了，查一下是不是漏记入库","")))))))))))</f>
        <v/>
      </c>
    </row>
    <row r="3622">
      <c r="A3622" s="24">
        <f>IF($D3622="","",COUNTA($D$4:$D3622))</f>
        <v/>
      </c>
      <c r="B3622" s="17" t="n"/>
      <c r="C3622" s="30" t="n"/>
      <c r="D3622" s="17" t="n"/>
      <c r="E3622" s="24">
        <f>IF($D3622="","",IFERROR(VLOOKUP($D3622,物料档案!$A$4:$P$1203,3,0),"※编码不在物料档案里"))</f>
        <v/>
      </c>
      <c r="F3622" s="24">
        <f>IF($D3622="","",IFERROR(VLOOKUP($D3622,物料档案!$A$4:$P$1203,4,0),"※编码不在物料档案里"))</f>
        <v/>
      </c>
      <c r="G3622" s="24">
        <f>IF($D3622="","",IFERROR(VLOOKUP($D3622,物料档案!$A$4:$P$1203,5,0),"※编码不在物料档案里"))</f>
        <v/>
      </c>
      <c r="H3622" s="24">
        <f>IF($D3622="","",IFERROR(VLOOKUP($D3622,物料档案!$A$4:$P$1203,2,0),"※编码不在物料档案里"))</f>
        <v/>
      </c>
      <c r="I3622" s="24">
        <f>IF($D3622="","",IFERROR(VLOOKUP($D3622,物料档案!$A$4:$P$1203,6,0),"※编码不在物料档案里"))</f>
        <v/>
      </c>
      <c r="J3622" s="23" t="n"/>
      <c r="K3622" s="17" t="n"/>
      <c r="L3622" s="17" t="n"/>
      <c r="M3622" s="17" t="n"/>
      <c r="N3622" s="17" t="n"/>
      <c r="O3622" s="26">
        <f>IF($D3622="","",IFERROR(VLOOKUP($D3622,物料档案!$A$4:$P$1203,10,0),0))</f>
        <v/>
      </c>
      <c r="P3622" s="32" t="n"/>
      <c r="Q3622" s="26">
        <f>IF($D3622="","",IF($K3622&lt;&gt;"对外销售",0,ROUND(N($J3622)*IF($P3622="",N($O3622),N($P3622)),0)))</f>
        <v/>
      </c>
      <c r="R3622" s="26">
        <f>IF($D3622="","",IFERROR(VLOOKUP($D3622,库存台账!$A$5:$Y$1204,11,0),0))</f>
        <v/>
      </c>
      <c r="S3622" s="26">
        <f>IF($D3622="","",ROUND(N($J3622)*N($R3622),0))</f>
        <v/>
      </c>
      <c r="T3622" s="26">
        <f>IF($D3622="","",IF($K3622&lt;&gt;"对外销售","",ROUND($Q3622-$S3622,0)))</f>
        <v/>
      </c>
      <c r="U3622" s="17" t="n"/>
      <c r="V3622" s="17" t="n"/>
      <c r="W3622" s="24">
        <f>IF($D3622="","",IF($E3622="※编码不在物料档案里","※物料编码不在档案里",IF(N($J3622)&lt;=0,"※出库数量要大于 0",IF($K3622="","※没填去向类型",IF($L3622="","※没填去向矿区",IF(AND($C3622&lt;&gt;"",$C3622&lt;=结账锁),"※日期早于已结账截止日，不能再录",IF(AND($K3622="自用消耗",COUNTIF({"一矿区";"二矿区"},$L3622)=0),"※自用消耗的去向只能是一矿区或二矿区",IF(AND($K3622="对外销售",COUNTIF({"三矿区";"六矿区"},$L3622)=0),"※对外销售的去向只能是三矿区或六矿区",IF(AND($K3622="对外销售",ROUND($Q3622,0)=0),"※外销却没有售价，请填实际售价",IF(AND($K3622="对外销售",$T3622&lt;&gt;"",$T3622&lt;0),"※这一笔外销是亏的，请核对售价",IF(IFERROR(VLOOKUP($D3622,库存台账!$A$5:$Y$1204,24,0),0)&lt;-0.001,"※这个物料账面已经变成负数了，查一下是不是漏记入库","")))))))))))</f>
        <v/>
      </c>
    </row>
    <row r="3623">
      <c r="A3623" s="24">
        <f>IF($D3623="","",COUNTA($D$4:$D3623))</f>
        <v/>
      </c>
      <c r="B3623" s="17" t="n"/>
      <c r="C3623" s="30" t="n"/>
      <c r="D3623" s="17" t="n"/>
      <c r="E3623" s="24">
        <f>IF($D3623="","",IFERROR(VLOOKUP($D3623,物料档案!$A$4:$P$1203,3,0),"※编码不在物料档案里"))</f>
        <v/>
      </c>
      <c r="F3623" s="24">
        <f>IF($D3623="","",IFERROR(VLOOKUP($D3623,物料档案!$A$4:$P$1203,4,0),"※编码不在物料档案里"))</f>
        <v/>
      </c>
      <c r="G3623" s="24">
        <f>IF($D3623="","",IFERROR(VLOOKUP($D3623,物料档案!$A$4:$P$1203,5,0),"※编码不在物料档案里"))</f>
        <v/>
      </c>
      <c r="H3623" s="24">
        <f>IF($D3623="","",IFERROR(VLOOKUP($D3623,物料档案!$A$4:$P$1203,2,0),"※编码不在物料档案里"))</f>
        <v/>
      </c>
      <c r="I3623" s="24">
        <f>IF($D3623="","",IFERROR(VLOOKUP($D3623,物料档案!$A$4:$P$1203,6,0),"※编码不在物料档案里"))</f>
        <v/>
      </c>
      <c r="J3623" s="23" t="n"/>
      <c r="K3623" s="17" t="n"/>
      <c r="L3623" s="17" t="n"/>
      <c r="M3623" s="17" t="n"/>
      <c r="N3623" s="17" t="n"/>
      <c r="O3623" s="26">
        <f>IF($D3623="","",IFERROR(VLOOKUP($D3623,物料档案!$A$4:$P$1203,10,0),0))</f>
        <v/>
      </c>
      <c r="P3623" s="32" t="n"/>
      <c r="Q3623" s="26">
        <f>IF($D3623="","",IF($K3623&lt;&gt;"对外销售",0,ROUND(N($J3623)*IF($P3623="",N($O3623),N($P3623)),0)))</f>
        <v/>
      </c>
      <c r="R3623" s="26">
        <f>IF($D3623="","",IFERROR(VLOOKUP($D3623,库存台账!$A$5:$Y$1204,11,0),0))</f>
        <v/>
      </c>
      <c r="S3623" s="26">
        <f>IF($D3623="","",ROUND(N($J3623)*N($R3623),0))</f>
        <v/>
      </c>
      <c r="T3623" s="26">
        <f>IF($D3623="","",IF($K3623&lt;&gt;"对外销售","",ROUND($Q3623-$S3623,0)))</f>
        <v/>
      </c>
      <c r="U3623" s="17" t="n"/>
      <c r="V3623" s="17" t="n"/>
      <c r="W3623" s="24">
        <f>IF($D3623="","",IF($E3623="※编码不在物料档案里","※物料编码不在档案里",IF(N($J3623)&lt;=0,"※出库数量要大于 0",IF($K3623="","※没填去向类型",IF($L3623="","※没填去向矿区",IF(AND($C3623&lt;&gt;"",$C3623&lt;=结账锁),"※日期早于已结账截止日，不能再录",IF(AND($K3623="自用消耗",COUNTIF({"一矿区";"二矿区"},$L3623)=0),"※自用消耗的去向只能是一矿区或二矿区",IF(AND($K3623="对外销售",COUNTIF({"三矿区";"六矿区"},$L3623)=0),"※对外销售的去向只能是三矿区或六矿区",IF(AND($K3623="对外销售",ROUND($Q3623,0)=0),"※外销却没有售价，请填实际售价",IF(AND($K3623="对外销售",$T3623&lt;&gt;"",$T3623&lt;0),"※这一笔外销是亏的，请核对售价",IF(IFERROR(VLOOKUP($D3623,库存台账!$A$5:$Y$1204,24,0),0)&lt;-0.001,"※这个物料账面已经变成负数了，查一下是不是漏记入库","")))))))))))</f>
        <v/>
      </c>
    </row>
    <row r="3624">
      <c r="A3624" s="24">
        <f>IF($D3624="","",COUNTA($D$4:$D3624))</f>
        <v/>
      </c>
      <c r="B3624" s="17" t="n"/>
      <c r="C3624" s="30" t="n"/>
      <c r="D3624" s="17" t="n"/>
      <c r="E3624" s="24">
        <f>IF($D3624="","",IFERROR(VLOOKUP($D3624,物料档案!$A$4:$P$1203,3,0),"※编码不在物料档案里"))</f>
        <v/>
      </c>
      <c r="F3624" s="24">
        <f>IF($D3624="","",IFERROR(VLOOKUP($D3624,物料档案!$A$4:$P$1203,4,0),"※编码不在物料档案里"))</f>
        <v/>
      </c>
      <c r="G3624" s="24">
        <f>IF($D3624="","",IFERROR(VLOOKUP($D3624,物料档案!$A$4:$P$1203,5,0),"※编码不在物料档案里"))</f>
        <v/>
      </c>
      <c r="H3624" s="24">
        <f>IF($D3624="","",IFERROR(VLOOKUP($D3624,物料档案!$A$4:$P$1203,2,0),"※编码不在物料档案里"))</f>
        <v/>
      </c>
      <c r="I3624" s="24">
        <f>IF($D3624="","",IFERROR(VLOOKUP($D3624,物料档案!$A$4:$P$1203,6,0),"※编码不在物料档案里"))</f>
        <v/>
      </c>
      <c r="J3624" s="23" t="n"/>
      <c r="K3624" s="17" t="n"/>
      <c r="L3624" s="17" t="n"/>
      <c r="M3624" s="17" t="n"/>
      <c r="N3624" s="17" t="n"/>
      <c r="O3624" s="26">
        <f>IF($D3624="","",IFERROR(VLOOKUP($D3624,物料档案!$A$4:$P$1203,10,0),0))</f>
        <v/>
      </c>
      <c r="P3624" s="32" t="n"/>
      <c r="Q3624" s="26">
        <f>IF($D3624="","",IF($K3624&lt;&gt;"对外销售",0,ROUND(N($J3624)*IF($P3624="",N($O3624),N($P3624)),0)))</f>
        <v/>
      </c>
      <c r="R3624" s="26">
        <f>IF($D3624="","",IFERROR(VLOOKUP($D3624,库存台账!$A$5:$Y$1204,11,0),0))</f>
        <v/>
      </c>
      <c r="S3624" s="26">
        <f>IF($D3624="","",ROUND(N($J3624)*N($R3624),0))</f>
        <v/>
      </c>
      <c r="T3624" s="26">
        <f>IF($D3624="","",IF($K3624&lt;&gt;"对外销售","",ROUND($Q3624-$S3624,0)))</f>
        <v/>
      </c>
      <c r="U3624" s="17" t="n"/>
      <c r="V3624" s="17" t="n"/>
      <c r="W3624" s="24">
        <f>IF($D3624="","",IF($E3624="※编码不在物料档案里","※物料编码不在档案里",IF(N($J3624)&lt;=0,"※出库数量要大于 0",IF($K3624="","※没填去向类型",IF($L3624="","※没填去向矿区",IF(AND($C3624&lt;&gt;"",$C3624&lt;=结账锁),"※日期早于已结账截止日，不能再录",IF(AND($K3624="自用消耗",COUNTIF({"一矿区";"二矿区"},$L3624)=0),"※自用消耗的去向只能是一矿区或二矿区",IF(AND($K3624="对外销售",COUNTIF({"三矿区";"六矿区"},$L3624)=0),"※对外销售的去向只能是三矿区或六矿区",IF(AND($K3624="对外销售",ROUND($Q3624,0)=0),"※外销却没有售价，请填实际售价",IF(AND($K3624="对外销售",$T3624&lt;&gt;"",$T3624&lt;0),"※这一笔外销是亏的，请核对售价",IF(IFERROR(VLOOKUP($D3624,库存台账!$A$5:$Y$1204,24,0),0)&lt;-0.001,"※这个物料账面已经变成负数了，查一下是不是漏记入库","")))))))))))</f>
        <v/>
      </c>
    </row>
    <row r="3625">
      <c r="A3625" s="24">
        <f>IF($D3625="","",COUNTA($D$4:$D3625))</f>
        <v/>
      </c>
      <c r="B3625" s="17" t="n"/>
      <c r="C3625" s="30" t="n"/>
      <c r="D3625" s="17" t="n"/>
      <c r="E3625" s="24">
        <f>IF($D3625="","",IFERROR(VLOOKUP($D3625,物料档案!$A$4:$P$1203,3,0),"※编码不在物料档案里"))</f>
        <v/>
      </c>
      <c r="F3625" s="24">
        <f>IF($D3625="","",IFERROR(VLOOKUP($D3625,物料档案!$A$4:$P$1203,4,0),"※编码不在物料档案里"))</f>
        <v/>
      </c>
      <c r="G3625" s="24">
        <f>IF($D3625="","",IFERROR(VLOOKUP($D3625,物料档案!$A$4:$P$1203,5,0),"※编码不在物料档案里"))</f>
        <v/>
      </c>
      <c r="H3625" s="24">
        <f>IF($D3625="","",IFERROR(VLOOKUP($D3625,物料档案!$A$4:$P$1203,2,0),"※编码不在物料档案里"))</f>
        <v/>
      </c>
      <c r="I3625" s="24">
        <f>IF($D3625="","",IFERROR(VLOOKUP($D3625,物料档案!$A$4:$P$1203,6,0),"※编码不在物料档案里"))</f>
        <v/>
      </c>
      <c r="J3625" s="23" t="n"/>
      <c r="K3625" s="17" t="n"/>
      <c r="L3625" s="17" t="n"/>
      <c r="M3625" s="17" t="n"/>
      <c r="N3625" s="17" t="n"/>
      <c r="O3625" s="26">
        <f>IF($D3625="","",IFERROR(VLOOKUP($D3625,物料档案!$A$4:$P$1203,10,0),0))</f>
        <v/>
      </c>
      <c r="P3625" s="32" t="n"/>
      <c r="Q3625" s="26">
        <f>IF($D3625="","",IF($K3625&lt;&gt;"对外销售",0,ROUND(N($J3625)*IF($P3625="",N($O3625),N($P3625)),0)))</f>
        <v/>
      </c>
      <c r="R3625" s="26">
        <f>IF($D3625="","",IFERROR(VLOOKUP($D3625,库存台账!$A$5:$Y$1204,11,0),0))</f>
        <v/>
      </c>
      <c r="S3625" s="26">
        <f>IF($D3625="","",ROUND(N($J3625)*N($R3625),0))</f>
        <v/>
      </c>
      <c r="T3625" s="26">
        <f>IF($D3625="","",IF($K3625&lt;&gt;"对外销售","",ROUND($Q3625-$S3625,0)))</f>
        <v/>
      </c>
      <c r="U3625" s="17" t="n"/>
      <c r="V3625" s="17" t="n"/>
      <c r="W3625" s="24">
        <f>IF($D3625="","",IF($E3625="※编码不在物料档案里","※物料编码不在档案里",IF(N($J3625)&lt;=0,"※出库数量要大于 0",IF($K3625="","※没填去向类型",IF($L3625="","※没填去向矿区",IF(AND($C3625&lt;&gt;"",$C3625&lt;=结账锁),"※日期早于已结账截止日，不能再录",IF(AND($K3625="自用消耗",COUNTIF({"一矿区";"二矿区"},$L3625)=0),"※自用消耗的去向只能是一矿区或二矿区",IF(AND($K3625="对外销售",COUNTIF({"三矿区";"六矿区"},$L3625)=0),"※对外销售的去向只能是三矿区或六矿区",IF(AND($K3625="对外销售",ROUND($Q3625,0)=0),"※外销却没有售价，请填实际售价",IF(AND($K3625="对外销售",$T3625&lt;&gt;"",$T3625&lt;0),"※这一笔外销是亏的，请核对售价",IF(IFERROR(VLOOKUP($D3625,库存台账!$A$5:$Y$1204,24,0),0)&lt;-0.001,"※这个物料账面已经变成负数了，查一下是不是漏记入库","")))))))))))</f>
        <v/>
      </c>
    </row>
    <row r="3626">
      <c r="A3626" s="24">
        <f>IF($D3626="","",COUNTA($D$4:$D3626))</f>
        <v/>
      </c>
      <c r="B3626" s="17" t="n"/>
      <c r="C3626" s="30" t="n"/>
      <c r="D3626" s="17" t="n"/>
      <c r="E3626" s="24">
        <f>IF($D3626="","",IFERROR(VLOOKUP($D3626,物料档案!$A$4:$P$1203,3,0),"※编码不在物料档案里"))</f>
        <v/>
      </c>
      <c r="F3626" s="24">
        <f>IF($D3626="","",IFERROR(VLOOKUP($D3626,物料档案!$A$4:$P$1203,4,0),"※编码不在物料档案里"))</f>
        <v/>
      </c>
      <c r="G3626" s="24">
        <f>IF($D3626="","",IFERROR(VLOOKUP($D3626,物料档案!$A$4:$P$1203,5,0),"※编码不在物料档案里"))</f>
        <v/>
      </c>
      <c r="H3626" s="24">
        <f>IF($D3626="","",IFERROR(VLOOKUP($D3626,物料档案!$A$4:$P$1203,2,0),"※编码不在物料档案里"))</f>
        <v/>
      </c>
      <c r="I3626" s="24">
        <f>IF($D3626="","",IFERROR(VLOOKUP($D3626,物料档案!$A$4:$P$1203,6,0),"※编码不在物料档案里"))</f>
        <v/>
      </c>
      <c r="J3626" s="23" t="n"/>
      <c r="K3626" s="17" t="n"/>
      <c r="L3626" s="17" t="n"/>
      <c r="M3626" s="17" t="n"/>
      <c r="N3626" s="17" t="n"/>
      <c r="O3626" s="26">
        <f>IF($D3626="","",IFERROR(VLOOKUP($D3626,物料档案!$A$4:$P$1203,10,0),0))</f>
        <v/>
      </c>
      <c r="P3626" s="32" t="n"/>
      <c r="Q3626" s="26">
        <f>IF($D3626="","",IF($K3626&lt;&gt;"对外销售",0,ROUND(N($J3626)*IF($P3626="",N($O3626),N($P3626)),0)))</f>
        <v/>
      </c>
      <c r="R3626" s="26">
        <f>IF($D3626="","",IFERROR(VLOOKUP($D3626,库存台账!$A$5:$Y$1204,11,0),0))</f>
        <v/>
      </c>
      <c r="S3626" s="26">
        <f>IF($D3626="","",ROUND(N($J3626)*N($R3626),0))</f>
        <v/>
      </c>
      <c r="T3626" s="26">
        <f>IF($D3626="","",IF($K3626&lt;&gt;"对外销售","",ROUND($Q3626-$S3626,0)))</f>
        <v/>
      </c>
      <c r="U3626" s="17" t="n"/>
      <c r="V3626" s="17" t="n"/>
      <c r="W3626" s="24">
        <f>IF($D3626="","",IF($E3626="※编码不在物料档案里","※物料编码不在档案里",IF(N($J3626)&lt;=0,"※出库数量要大于 0",IF($K3626="","※没填去向类型",IF($L3626="","※没填去向矿区",IF(AND($C3626&lt;&gt;"",$C3626&lt;=结账锁),"※日期早于已结账截止日，不能再录",IF(AND($K3626="自用消耗",COUNTIF({"一矿区";"二矿区"},$L3626)=0),"※自用消耗的去向只能是一矿区或二矿区",IF(AND($K3626="对外销售",COUNTIF({"三矿区";"六矿区"},$L3626)=0),"※对外销售的去向只能是三矿区或六矿区",IF(AND($K3626="对外销售",ROUND($Q3626,0)=0),"※外销却没有售价，请填实际售价",IF(AND($K3626="对外销售",$T3626&lt;&gt;"",$T3626&lt;0),"※这一笔外销是亏的，请核对售价",IF(IFERROR(VLOOKUP($D3626,库存台账!$A$5:$Y$1204,24,0),0)&lt;-0.001,"※这个物料账面已经变成负数了，查一下是不是漏记入库","")))))))))))</f>
        <v/>
      </c>
    </row>
    <row r="3627">
      <c r="A3627" s="24">
        <f>IF($D3627="","",COUNTA($D$4:$D3627))</f>
        <v/>
      </c>
      <c r="B3627" s="17" t="n"/>
      <c r="C3627" s="30" t="n"/>
      <c r="D3627" s="17" t="n"/>
      <c r="E3627" s="24">
        <f>IF($D3627="","",IFERROR(VLOOKUP($D3627,物料档案!$A$4:$P$1203,3,0),"※编码不在物料档案里"))</f>
        <v/>
      </c>
      <c r="F3627" s="24">
        <f>IF($D3627="","",IFERROR(VLOOKUP($D3627,物料档案!$A$4:$P$1203,4,0),"※编码不在物料档案里"))</f>
        <v/>
      </c>
      <c r="G3627" s="24">
        <f>IF($D3627="","",IFERROR(VLOOKUP($D3627,物料档案!$A$4:$P$1203,5,0),"※编码不在物料档案里"))</f>
        <v/>
      </c>
      <c r="H3627" s="24">
        <f>IF($D3627="","",IFERROR(VLOOKUP($D3627,物料档案!$A$4:$P$1203,2,0),"※编码不在物料档案里"))</f>
        <v/>
      </c>
      <c r="I3627" s="24">
        <f>IF($D3627="","",IFERROR(VLOOKUP($D3627,物料档案!$A$4:$P$1203,6,0),"※编码不在物料档案里"))</f>
        <v/>
      </c>
      <c r="J3627" s="23" t="n"/>
      <c r="K3627" s="17" t="n"/>
      <c r="L3627" s="17" t="n"/>
      <c r="M3627" s="17" t="n"/>
      <c r="N3627" s="17" t="n"/>
      <c r="O3627" s="26">
        <f>IF($D3627="","",IFERROR(VLOOKUP($D3627,物料档案!$A$4:$P$1203,10,0),0))</f>
        <v/>
      </c>
      <c r="P3627" s="32" t="n"/>
      <c r="Q3627" s="26">
        <f>IF($D3627="","",IF($K3627&lt;&gt;"对外销售",0,ROUND(N($J3627)*IF($P3627="",N($O3627),N($P3627)),0)))</f>
        <v/>
      </c>
      <c r="R3627" s="26">
        <f>IF($D3627="","",IFERROR(VLOOKUP($D3627,库存台账!$A$5:$Y$1204,11,0),0))</f>
        <v/>
      </c>
      <c r="S3627" s="26">
        <f>IF($D3627="","",ROUND(N($J3627)*N($R3627),0))</f>
        <v/>
      </c>
      <c r="T3627" s="26">
        <f>IF($D3627="","",IF($K3627&lt;&gt;"对外销售","",ROUND($Q3627-$S3627,0)))</f>
        <v/>
      </c>
      <c r="U3627" s="17" t="n"/>
      <c r="V3627" s="17" t="n"/>
      <c r="W3627" s="24">
        <f>IF($D3627="","",IF($E3627="※编码不在物料档案里","※物料编码不在档案里",IF(N($J3627)&lt;=0,"※出库数量要大于 0",IF($K3627="","※没填去向类型",IF($L3627="","※没填去向矿区",IF(AND($C3627&lt;&gt;"",$C3627&lt;=结账锁),"※日期早于已结账截止日，不能再录",IF(AND($K3627="自用消耗",COUNTIF({"一矿区";"二矿区"},$L3627)=0),"※自用消耗的去向只能是一矿区或二矿区",IF(AND($K3627="对外销售",COUNTIF({"三矿区";"六矿区"},$L3627)=0),"※对外销售的去向只能是三矿区或六矿区",IF(AND($K3627="对外销售",ROUND($Q3627,0)=0),"※外销却没有售价，请填实际售价",IF(AND($K3627="对外销售",$T3627&lt;&gt;"",$T3627&lt;0),"※这一笔外销是亏的，请核对售价",IF(IFERROR(VLOOKUP($D3627,库存台账!$A$5:$Y$1204,24,0),0)&lt;-0.001,"※这个物料账面已经变成负数了，查一下是不是漏记入库","")))))))))))</f>
        <v/>
      </c>
    </row>
    <row r="3628">
      <c r="A3628" s="24">
        <f>IF($D3628="","",COUNTA($D$4:$D3628))</f>
        <v/>
      </c>
      <c r="B3628" s="17" t="n"/>
      <c r="C3628" s="30" t="n"/>
      <c r="D3628" s="17" t="n"/>
      <c r="E3628" s="24">
        <f>IF($D3628="","",IFERROR(VLOOKUP($D3628,物料档案!$A$4:$P$1203,3,0),"※编码不在物料档案里"))</f>
        <v/>
      </c>
      <c r="F3628" s="24">
        <f>IF($D3628="","",IFERROR(VLOOKUP($D3628,物料档案!$A$4:$P$1203,4,0),"※编码不在物料档案里"))</f>
        <v/>
      </c>
      <c r="G3628" s="24">
        <f>IF($D3628="","",IFERROR(VLOOKUP($D3628,物料档案!$A$4:$P$1203,5,0),"※编码不在物料档案里"))</f>
        <v/>
      </c>
      <c r="H3628" s="24">
        <f>IF($D3628="","",IFERROR(VLOOKUP($D3628,物料档案!$A$4:$P$1203,2,0),"※编码不在物料档案里"))</f>
        <v/>
      </c>
      <c r="I3628" s="24">
        <f>IF($D3628="","",IFERROR(VLOOKUP($D3628,物料档案!$A$4:$P$1203,6,0),"※编码不在物料档案里"))</f>
        <v/>
      </c>
      <c r="J3628" s="23" t="n"/>
      <c r="K3628" s="17" t="n"/>
      <c r="L3628" s="17" t="n"/>
      <c r="M3628" s="17" t="n"/>
      <c r="N3628" s="17" t="n"/>
      <c r="O3628" s="26">
        <f>IF($D3628="","",IFERROR(VLOOKUP($D3628,物料档案!$A$4:$P$1203,10,0),0))</f>
        <v/>
      </c>
      <c r="P3628" s="32" t="n"/>
      <c r="Q3628" s="26">
        <f>IF($D3628="","",IF($K3628&lt;&gt;"对外销售",0,ROUND(N($J3628)*IF($P3628="",N($O3628),N($P3628)),0)))</f>
        <v/>
      </c>
      <c r="R3628" s="26">
        <f>IF($D3628="","",IFERROR(VLOOKUP($D3628,库存台账!$A$5:$Y$1204,11,0),0))</f>
        <v/>
      </c>
      <c r="S3628" s="26">
        <f>IF($D3628="","",ROUND(N($J3628)*N($R3628),0))</f>
        <v/>
      </c>
      <c r="T3628" s="26">
        <f>IF($D3628="","",IF($K3628&lt;&gt;"对外销售","",ROUND($Q3628-$S3628,0)))</f>
        <v/>
      </c>
      <c r="U3628" s="17" t="n"/>
      <c r="V3628" s="17" t="n"/>
      <c r="W3628" s="24">
        <f>IF($D3628="","",IF($E3628="※编码不在物料档案里","※物料编码不在档案里",IF(N($J3628)&lt;=0,"※出库数量要大于 0",IF($K3628="","※没填去向类型",IF($L3628="","※没填去向矿区",IF(AND($C3628&lt;&gt;"",$C3628&lt;=结账锁),"※日期早于已结账截止日，不能再录",IF(AND($K3628="自用消耗",COUNTIF({"一矿区";"二矿区"},$L3628)=0),"※自用消耗的去向只能是一矿区或二矿区",IF(AND($K3628="对外销售",COUNTIF({"三矿区";"六矿区"},$L3628)=0),"※对外销售的去向只能是三矿区或六矿区",IF(AND($K3628="对外销售",ROUND($Q3628,0)=0),"※外销却没有售价，请填实际售价",IF(AND($K3628="对外销售",$T3628&lt;&gt;"",$T3628&lt;0),"※这一笔外销是亏的，请核对售价",IF(IFERROR(VLOOKUP($D3628,库存台账!$A$5:$Y$1204,24,0),0)&lt;-0.001,"※这个物料账面已经变成负数了，查一下是不是漏记入库","")))))))))))</f>
        <v/>
      </c>
    </row>
    <row r="3629">
      <c r="A3629" s="24">
        <f>IF($D3629="","",COUNTA($D$4:$D3629))</f>
        <v/>
      </c>
      <c r="B3629" s="17" t="n"/>
      <c r="C3629" s="30" t="n"/>
      <c r="D3629" s="17" t="n"/>
      <c r="E3629" s="24">
        <f>IF($D3629="","",IFERROR(VLOOKUP($D3629,物料档案!$A$4:$P$1203,3,0),"※编码不在物料档案里"))</f>
        <v/>
      </c>
      <c r="F3629" s="24">
        <f>IF($D3629="","",IFERROR(VLOOKUP($D3629,物料档案!$A$4:$P$1203,4,0),"※编码不在物料档案里"))</f>
        <v/>
      </c>
      <c r="G3629" s="24">
        <f>IF($D3629="","",IFERROR(VLOOKUP($D3629,物料档案!$A$4:$P$1203,5,0),"※编码不在物料档案里"))</f>
        <v/>
      </c>
      <c r="H3629" s="24">
        <f>IF($D3629="","",IFERROR(VLOOKUP($D3629,物料档案!$A$4:$P$1203,2,0),"※编码不在物料档案里"))</f>
        <v/>
      </c>
      <c r="I3629" s="24">
        <f>IF($D3629="","",IFERROR(VLOOKUP($D3629,物料档案!$A$4:$P$1203,6,0),"※编码不在物料档案里"))</f>
        <v/>
      </c>
      <c r="J3629" s="23" t="n"/>
      <c r="K3629" s="17" t="n"/>
      <c r="L3629" s="17" t="n"/>
      <c r="M3629" s="17" t="n"/>
      <c r="N3629" s="17" t="n"/>
      <c r="O3629" s="26">
        <f>IF($D3629="","",IFERROR(VLOOKUP($D3629,物料档案!$A$4:$P$1203,10,0),0))</f>
        <v/>
      </c>
      <c r="P3629" s="32" t="n"/>
      <c r="Q3629" s="26">
        <f>IF($D3629="","",IF($K3629&lt;&gt;"对外销售",0,ROUND(N($J3629)*IF($P3629="",N($O3629),N($P3629)),0)))</f>
        <v/>
      </c>
      <c r="R3629" s="26">
        <f>IF($D3629="","",IFERROR(VLOOKUP($D3629,库存台账!$A$5:$Y$1204,11,0),0))</f>
        <v/>
      </c>
      <c r="S3629" s="26">
        <f>IF($D3629="","",ROUND(N($J3629)*N($R3629),0))</f>
        <v/>
      </c>
      <c r="T3629" s="26">
        <f>IF($D3629="","",IF($K3629&lt;&gt;"对外销售","",ROUND($Q3629-$S3629,0)))</f>
        <v/>
      </c>
      <c r="U3629" s="17" t="n"/>
      <c r="V3629" s="17" t="n"/>
      <c r="W3629" s="24">
        <f>IF($D3629="","",IF($E3629="※编码不在物料档案里","※物料编码不在档案里",IF(N($J3629)&lt;=0,"※出库数量要大于 0",IF($K3629="","※没填去向类型",IF($L3629="","※没填去向矿区",IF(AND($C3629&lt;&gt;"",$C3629&lt;=结账锁),"※日期早于已结账截止日，不能再录",IF(AND($K3629="自用消耗",COUNTIF({"一矿区";"二矿区"},$L3629)=0),"※自用消耗的去向只能是一矿区或二矿区",IF(AND($K3629="对外销售",COUNTIF({"三矿区";"六矿区"},$L3629)=0),"※对外销售的去向只能是三矿区或六矿区",IF(AND($K3629="对外销售",ROUND($Q3629,0)=0),"※外销却没有售价，请填实际售价",IF(AND($K3629="对外销售",$T3629&lt;&gt;"",$T3629&lt;0),"※这一笔外销是亏的，请核对售价",IF(IFERROR(VLOOKUP($D3629,库存台账!$A$5:$Y$1204,24,0),0)&lt;-0.001,"※这个物料账面已经变成负数了，查一下是不是漏记入库","")))))))))))</f>
        <v/>
      </c>
    </row>
    <row r="3630">
      <c r="A3630" s="24">
        <f>IF($D3630="","",COUNTA($D$4:$D3630))</f>
        <v/>
      </c>
      <c r="B3630" s="17" t="n"/>
      <c r="C3630" s="30" t="n"/>
      <c r="D3630" s="17" t="n"/>
      <c r="E3630" s="24">
        <f>IF($D3630="","",IFERROR(VLOOKUP($D3630,物料档案!$A$4:$P$1203,3,0),"※编码不在物料档案里"))</f>
        <v/>
      </c>
      <c r="F3630" s="24">
        <f>IF($D3630="","",IFERROR(VLOOKUP($D3630,物料档案!$A$4:$P$1203,4,0),"※编码不在物料档案里"))</f>
        <v/>
      </c>
      <c r="G3630" s="24">
        <f>IF($D3630="","",IFERROR(VLOOKUP($D3630,物料档案!$A$4:$P$1203,5,0),"※编码不在物料档案里"))</f>
        <v/>
      </c>
      <c r="H3630" s="24">
        <f>IF($D3630="","",IFERROR(VLOOKUP($D3630,物料档案!$A$4:$P$1203,2,0),"※编码不在物料档案里"))</f>
        <v/>
      </c>
      <c r="I3630" s="24">
        <f>IF($D3630="","",IFERROR(VLOOKUP($D3630,物料档案!$A$4:$P$1203,6,0),"※编码不在物料档案里"))</f>
        <v/>
      </c>
      <c r="J3630" s="23" t="n"/>
      <c r="K3630" s="17" t="n"/>
      <c r="L3630" s="17" t="n"/>
      <c r="M3630" s="17" t="n"/>
      <c r="N3630" s="17" t="n"/>
      <c r="O3630" s="26">
        <f>IF($D3630="","",IFERROR(VLOOKUP($D3630,物料档案!$A$4:$P$1203,10,0),0))</f>
        <v/>
      </c>
      <c r="P3630" s="32" t="n"/>
      <c r="Q3630" s="26">
        <f>IF($D3630="","",IF($K3630&lt;&gt;"对外销售",0,ROUND(N($J3630)*IF($P3630="",N($O3630),N($P3630)),0)))</f>
        <v/>
      </c>
      <c r="R3630" s="26">
        <f>IF($D3630="","",IFERROR(VLOOKUP($D3630,库存台账!$A$5:$Y$1204,11,0),0))</f>
        <v/>
      </c>
      <c r="S3630" s="26">
        <f>IF($D3630="","",ROUND(N($J3630)*N($R3630),0))</f>
        <v/>
      </c>
      <c r="T3630" s="26">
        <f>IF($D3630="","",IF($K3630&lt;&gt;"对外销售","",ROUND($Q3630-$S3630,0)))</f>
        <v/>
      </c>
      <c r="U3630" s="17" t="n"/>
      <c r="V3630" s="17" t="n"/>
      <c r="W3630" s="24">
        <f>IF($D3630="","",IF($E3630="※编码不在物料档案里","※物料编码不在档案里",IF(N($J3630)&lt;=0,"※出库数量要大于 0",IF($K3630="","※没填去向类型",IF($L3630="","※没填去向矿区",IF(AND($C3630&lt;&gt;"",$C3630&lt;=结账锁),"※日期早于已结账截止日，不能再录",IF(AND($K3630="自用消耗",COUNTIF({"一矿区";"二矿区"},$L3630)=0),"※自用消耗的去向只能是一矿区或二矿区",IF(AND($K3630="对外销售",COUNTIF({"三矿区";"六矿区"},$L3630)=0),"※对外销售的去向只能是三矿区或六矿区",IF(AND($K3630="对外销售",ROUND($Q3630,0)=0),"※外销却没有售价，请填实际售价",IF(AND($K3630="对外销售",$T3630&lt;&gt;"",$T3630&lt;0),"※这一笔外销是亏的，请核对售价",IF(IFERROR(VLOOKUP($D3630,库存台账!$A$5:$Y$1204,24,0),0)&lt;-0.001,"※这个物料账面已经变成负数了，查一下是不是漏记入库","")))))))))))</f>
        <v/>
      </c>
    </row>
    <row r="3631">
      <c r="A3631" s="24">
        <f>IF($D3631="","",COUNTA($D$4:$D3631))</f>
        <v/>
      </c>
      <c r="B3631" s="17" t="n"/>
      <c r="C3631" s="30" t="n"/>
      <c r="D3631" s="17" t="n"/>
      <c r="E3631" s="24">
        <f>IF($D3631="","",IFERROR(VLOOKUP($D3631,物料档案!$A$4:$P$1203,3,0),"※编码不在物料档案里"))</f>
        <v/>
      </c>
      <c r="F3631" s="24">
        <f>IF($D3631="","",IFERROR(VLOOKUP($D3631,物料档案!$A$4:$P$1203,4,0),"※编码不在物料档案里"))</f>
        <v/>
      </c>
      <c r="G3631" s="24">
        <f>IF($D3631="","",IFERROR(VLOOKUP($D3631,物料档案!$A$4:$P$1203,5,0),"※编码不在物料档案里"))</f>
        <v/>
      </c>
      <c r="H3631" s="24">
        <f>IF($D3631="","",IFERROR(VLOOKUP($D3631,物料档案!$A$4:$P$1203,2,0),"※编码不在物料档案里"))</f>
        <v/>
      </c>
      <c r="I3631" s="24">
        <f>IF($D3631="","",IFERROR(VLOOKUP($D3631,物料档案!$A$4:$P$1203,6,0),"※编码不在物料档案里"))</f>
        <v/>
      </c>
      <c r="J3631" s="23" t="n"/>
      <c r="K3631" s="17" t="n"/>
      <c r="L3631" s="17" t="n"/>
      <c r="M3631" s="17" t="n"/>
      <c r="N3631" s="17" t="n"/>
      <c r="O3631" s="26">
        <f>IF($D3631="","",IFERROR(VLOOKUP($D3631,物料档案!$A$4:$P$1203,10,0),0))</f>
        <v/>
      </c>
      <c r="P3631" s="32" t="n"/>
      <c r="Q3631" s="26">
        <f>IF($D3631="","",IF($K3631&lt;&gt;"对外销售",0,ROUND(N($J3631)*IF($P3631="",N($O3631),N($P3631)),0)))</f>
        <v/>
      </c>
      <c r="R3631" s="26">
        <f>IF($D3631="","",IFERROR(VLOOKUP($D3631,库存台账!$A$5:$Y$1204,11,0),0))</f>
        <v/>
      </c>
      <c r="S3631" s="26">
        <f>IF($D3631="","",ROUND(N($J3631)*N($R3631),0))</f>
        <v/>
      </c>
      <c r="T3631" s="26">
        <f>IF($D3631="","",IF($K3631&lt;&gt;"对外销售","",ROUND($Q3631-$S3631,0)))</f>
        <v/>
      </c>
      <c r="U3631" s="17" t="n"/>
      <c r="V3631" s="17" t="n"/>
      <c r="W3631" s="24">
        <f>IF($D3631="","",IF($E3631="※编码不在物料档案里","※物料编码不在档案里",IF(N($J3631)&lt;=0,"※出库数量要大于 0",IF($K3631="","※没填去向类型",IF($L3631="","※没填去向矿区",IF(AND($C3631&lt;&gt;"",$C3631&lt;=结账锁),"※日期早于已结账截止日，不能再录",IF(AND($K3631="自用消耗",COUNTIF({"一矿区";"二矿区"},$L3631)=0),"※自用消耗的去向只能是一矿区或二矿区",IF(AND($K3631="对外销售",COUNTIF({"三矿区";"六矿区"},$L3631)=0),"※对外销售的去向只能是三矿区或六矿区",IF(AND($K3631="对外销售",ROUND($Q3631,0)=0),"※外销却没有售价，请填实际售价",IF(AND($K3631="对外销售",$T3631&lt;&gt;"",$T3631&lt;0),"※这一笔外销是亏的，请核对售价",IF(IFERROR(VLOOKUP($D3631,库存台账!$A$5:$Y$1204,24,0),0)&lt;-0.001,"※这个物料账面已经变成负数了，查一下是不是漏记入库","")))))))))))</f>
        <v/>
      </c>
    </row>
    <row r="3632">
      <c r="A3632" s="24">
        <f>IF($D3632="","",COUNTA($D$4:$D3632))</f>
        <v/>
      </c>
      <c r="B3632" s="17" t="n"/>
      <c r="C3632" s="30" t="n"/>
      <c r="D3632" s="17" t="n"/>
      <c r="E3632" s="24">
        <f>IF($D3632="","",IFERROR(VLOOKUP($D3632,物料档案!$A$4:$P$1203,3,0),"※编码不在物料档案里"))</f>
        <v/>
      </c>
      <c r="F3632" s="24">
        <f>IF($D3632="","",IFERROR(VLOOKUP($D3632,物料档案!$A$4:$P$1203,4,0),"※编码不在物料档案里"))</f>
        <v/>
      </c>
      <c r="G3632" s="24">
        <f>IF($D3632="","",IFERROR(VLOOKUP($D3632,物料档案!$A$4:$P$1203,5,0),"※编码不在物料档案里"))</f>
        <v/>
      </c>
      <c r="H3632" s="24">
        <f>IF($D3632="","",IFERROR(VLOOKUP($D3632,物料档案!$A$4:$P$1203,2,0),"※编码不在物料档案里"))</f>
        <v/>
      </c>
      <c r="I3632" s="24">
        <f>IF($D3632="","",IFERROR(VLOOKUP($D3632,物料档案!$A$4:$P$1203,6,0),"※编码不在物料档案里"))</f>
        <v/>
      </c>
      <c r="J3632" s="23" t="n"/>
      <c r="K3632" s="17" t="n"/>
      <c r="L3632" s="17" t="n"/>
      <c r="M3632" s="17" t="n"/>
      <c r="N3632" s="17" t="n"/>
      <c r="O3632" s="26">
        <f>IF($D3632="","",IFERROR(VLOOKUP($D3632,物料档案!$A$4:$P$1203,10,0),0))</f>
        <v/>
      </c>
      <c r="P3632" s="32" t="n"/>
      <c r="Q3632" s="26">
        <f>IF($D3632="","",IF($K3632&lt;&gt;"对外销售",0,ROUND(N($J3632)*IF($P3632="",N($O3632),N($P3632)),0)))</f>
        <v/>
      </c>
      <c r="R3632" s="26">
        <f>IF($D3632="","",IFERROR(VLOOKUP($D3632,库存台账!$A$5:$Y$1204,11,0),0))</f>
        <v/>
      </c>
      <c r="S3632" s="26">
        <f>IF($D3632="","",ROUND(N($J3632)*N($R3632),0))</f>
        <v/>
      </c>
      <c r="T3632" s="26">
        <f>IF($D3632="","",IF($K3632&lt;&gt;"对外销售","",ROUND($Q3632-$S3632,0)))</f>
        <v/>
      </c>
      <c r="U3632" s="17" t="n"/>
      <c r="V3632" s="17" t="n"/>
      <c r="W3632" s="24">
        <f>IF($D3632="","",IF($E3632="※编码不在物料档案里","※物料编码不在档案里",IF(N($J3632)&lt;=0,"※出库数量要大于 0",IF($K3632="","※没填去向类型",IF($L3632="","※没填去向矿区",IF(AND($C3632&lt;&gt;"",$C3632&lt;=结账锁),"※日期早于已结账截止日，不能再录",IF(AND($K3632="自用消耗",COUNTIF({"一矿区";"二矿区"},$L3632)=0),"※自用消耗的去向只能是一矿区或二矿区",IF(AND($K3632="对外销售",COUNTIF({"三矿区";"六矿区"},$L3632)=0),"※对外销售的去向只能是三矿区或六矿区",IF(AND($K3632="对外销售",ROUND($Q3632,0)=0),"※外销却没有售价，请填实际售价",IF(AND($K3632="对外销售",$T3632&lt;&gt;"",$T3632&lt;0),"※这一笔外销是亏的，请核对售价",IF(IFERROR(VLOOKUP($D3632,库存台账!$A$5:$Y$1204,24,0),0)&lt;-0.001,"※这个物料账面已经变成负数了，查一下是不是漏记入库","")))))))))))</f>
        <v/>
      </c>
    </row>
    <row r="3633">
      <c r="A3633" s="24">
        <f>IF($D3633="","",COUNTA($D$4:$D3633))</f>
        <v/>
      </c>
      <c r="B3633" s="17" t="n"/>
      <c r="C3633" s="30" t="n"/>
      <c r="D3633" s="17" t="n"/>
      <c r="E3633" s="24">
        <f>IF($D3633="","",IFERROR(VLOOKUP($D3633,物料档案!$A$4:$P$1203,3,0),"※编码不在物料档案里"))</f>
        <v/>
      </c>
      <c r="F3633" s="24">
        <f>IF($D3633="","",IFERROR(VLOOKUP($D3633,物料档案!$A$4:$P$1203,4,0),"※编码不在物料档案里"))</f>
        <v/>
      </c>
      <c r="G3633" s="24">
        <f>IF($D3633="","",IFERROR(VLOOKUP($D3633,物料档案!$A$4:$P$1203,5,0),"※编码不在物料档案里"))</f>
        <v/>
      </c>
      <c r="H3633" s="24">
        <f>IF($D3633="","",IFERROR(VLOOKUP($D3633,物料档案!$A$4:$P$1203,2,0),"※编码不在物料档案里"))</f>
        <v/>
      </c>
      <c r="I3633" s="24">
        <f>IF($D3633="","",IFERROR(VLOOKUP($D3633,物料档案!$A$4:$P$1203,6,0),"※编码不在物料档案里"))</f>
        <v/>
      </c>
      <c r="J3633" s="23" t="n"/>
      <c r="K3633" s="17" t="n"/>
      <c r="L3633" s="17" t="n"/>
      <c r="M3633" s="17" t="n"/>
      <c r="N3633" s="17" t="n"/>
      <c r="O3633" s="26">
        <f>IF($D3633="","",IFERROR(VLOOKUP($D3633,物料档案!$A$4:$P$1203,10,0),0))</f>
        <v/>
      </c>
      <c r="P3633" s="32" t="n"/>
      <c r="Q3633" s="26">
        <f>IF($D3633="","",IF($K3633&lt;&gt;"对外销售",0,ROUND(N($J3633)*IF($P3633="",N($O3633),N($P3633)),0)))</f>
        <v/>
      </c>
      <c r="R3633" s="26">
        <f>IF($D3633="","",IFERROR(VLOOKUP($D3633,库存台账!$A$5:$Y$1204,11,0),0))</f>
        <v/>
      </c>
      <c r="S3633" s="26">
        <f>IF($D3633="","",ROUND(N($J3633)*N($R3633),0))</f>
        <v/>
      </c>
      <c r="T3633" s="26">
        <f>IF($D3633="","",IF($K3633&lt;&gt;"对外销售","",ROUND($Q3633-$S3633,0)))</f>
        <v/>
      </c>
      <c r="U3633" s="17" t="n"/>
      <c r="V3633" s="17" t="n"/>
      <c r="W3633" s="24">
        <f>IF($D3633="","",IF($E3633="※编码不在物料档案里","※物料编码不在档案里",IF(N($J3633)&lt;=0,"※出库数量要大于 0",IF($K3633="","※没填去向类型",IF($L3633="","※没填去向矿区",IF(AND($C3633&lt;&gt;"",$C3633&lt;=结账锁),"※日期早于已结账截止日，不能再录",IF(AND($K3633="自用消耗",COUNTIF({"一矿区";"二矿区"},$L3633)=0),"※自用消耗的去向只能是一矿区或二矿区",IF(AND($K3633="对外销售",COUNTIF({"三矿区";"六矿区"},$L3633)=0),"※对外销售的去向只能是三矿区或六矿区",IF(AND($K3633="对外销售",ROUND($Q3633,0)=0),"※外销却没有售价，请填实际售价",IF(AND($K3633="对外销售",$T3633&lt;&gt;"",$T3633&lt;0),"※这一笔外销是亏的，请核对售价",IF(IFERROR(VLOOKUP($D3633,库存台账!$A$5:$Y$1204,24,0),0)&lt;-0.001,"※这个物料账面已经变成负数了，查一下是不是漏记入库","")))))))))))</f>
        <v/>
      </c>
    </row>
    <row r="3634">
      <c r="A3634" s="24">
        <f>IF($D3634="","",COUNTA($D$4:$D3634))</f>
        <v/>
      </c>
      <c r="B3634" s="17" t="n"/>
      <c r="C3634" s="30" t="n"/>
      <c r="D3634" s="17" t="n"/>
      <c r="E3634" s="24">
        <f>IF($D3634="","",IFERROR(VLOOKUP($D3634,物料档案!$A$4:$P$1203,3,0),"※编码不在物料档案里"))</f>
        <v/>
      </c>
      <c r="F3634" s="24">
        <f>IF($D3634="","",IFERROR(VLOOKUP($D3634,物料档案!$A$4:$P$1203,4,0),"※编码不在物料档案里"))</f>
        <v/>
      </c>
      <c r="G3634" s="24">
        <f>IF($D3634="","",IFERROR(VLOOKUP($D3634,物料档案!$A$4:$P$1203,5,0),"※编码不在物料档案里"))</f>
        <v/>
      </c>
      <c r="H3634" s="24">
        <f>IF($D3634="","",IFERROR(VLOOKUP($D3634,物料档案!$A$4:$P$1203,2,0),"※编码不在物料档案里"))</f>
        <v/>
      </c>
      <c r="I3634" s="24">
        <f>IF($D3634="","",IFERROR(VLOOKUP($D3634,物料档案!$A$4:$P$1203,6,0),"※编码不在物料档案里"))</f>
        <v/>
      </c>
      <c r="J3634" s="23" t="n"/>
      <c r="K3634" s="17" t="n"/>
      <c r="L3634" s="17" t="n"/>
      <c r="M3634" s="17" t="n"/>
      <c r="N3634" s="17" t="n"/>
      <c r="O3634" s="26">
        <f>IF($D3634="","",IFERROR(VLOOKUP($D3634,物料档案!$A$4:$P$1203,10,0),0))</f>
        <v/>
      </c>
      <c r="P3634" s="32" t="n"/>
      <c r="Q3634" s="26">
        <f>IF($D3634="","",IF($K3634&lt;&gt;"对外销售",0,ROUND(N($J3634)*IF($P3634="",N($O3634),N($P3634)),0)))</f>
        <v/>
      </c>
      <c r="R3634" s="26">
        <f>IF($D3634="","",IFERROR(VLOOKUP($D3634,库存台账!$A$5:$Y$1204,11,0),0))</f>
        <v/>
      </c>
      <c r="S3634" s="26">
        <f>IF($D3634="","",ROUND(N($J3634)*N($R3634),0))</f>
        <v/>
      </c>
      <c r="T3634" s="26">
        <f>IF($D3634="","",IF($K3634&lt;&gt;"对外销售","",ROUND($Q3634-$S3634,0)))</f>
        <v/>
      </c>
      <c r="U3634" s="17" t="n"/>
      <c r="V3634" s="17" t="n"/>
      <c r="W3634" s="24">
        <f>IF($D3634="","",IF($E3634="※编码不在物料档案里","※物料编码不在档案里",IF(N($J3634)&lt;=0,"※出库数量要大于 0",IF($K3634="","※没填去向类型",IF($L3634="","※没填去向矿区",IF(AND($C3634&lt;&gt;"",$C3634&lt;=结账锁),"※日期早于已结账截止日，不能再录",IF(AND($K3634="自用消耗",COUNTIF({"一矿区";"二矿区"},$L3634)=0),"※自用消耗的去向只能是一矿区或二矿区",IF(AND($K3634="对外销售",COUNTIF({"三矿区";"六矿区"},$L3634)=0),"※对外销售的去向只能是三矿区或六矿区",IF(AND($K3634="对外销售",ROUND($Q3634,0)=0),"※外销却没有售价，请填实际售价",IF(AND($K3634="对外销售",$T3634&lt;&gt;"",$T3634&lt;0),"※这一笔外销是亏的，请核对售价",IF(IFERROR(VLOOKUP($D3634,库存台账!$A$5:$Y$1204,24,0),0)&lt;-0.001,"※这个物料账面已经变成负数了，查一下是不是漏记入库","")))))))))))</f>
        <v/>
      </c>
    </row>
    <row r="3635">
      <c r="A3635" s="24">
        <f>IF($D3635="","",COUNTA($D$4:$D3635))</f>
        <v/>
      </c>
      <c r="B3635" s="17" t="n"/>
      <c r="C3635" s="30" t="n"/>
      <c r="D3635" s="17" t="n"/>
      <c r="E3635" s="24">
        <f>IF($D3635="","",IFERROR(VLOOKUP($D3635,物料档案!$A$4:$P$1203,3,0),"※编码不在物料档案里"))</f>
        <v/>
      </c>
      <c r="F3635" s="24">
        <f>IF($D3635="","",IFERROR(VLOOKUP($D3635,物料档案!$A$4:$P$1203,4,0),"※编码不在物料档案里"))</f>
        <v/>
      </c>
      <c r="G3635" s="24">
        <f>IF($D3635="","",IFERROR(VLOOKUP($D3635,物料档案!$A$4:$P$1203,5,0),"※编码不在物料档案里"))</f>
        <v/>
      </c>
      <c r="H3635" s="24">
        <f>IF($D3635="","",IFERROR(VLOOKUP($D3635,物料档案!$A$4:$P$1203,2,0),"※编码不在物料档案里"))</f>
        <v/>
      </c>
      <c r="I3635" s="24">
        <f>IF($D3635="","",IFERROR(VLOOKUP($D3635,物料档案!$A$4:$P$1203,6,0),"※编码不在物料档案里"))</f>
        <v/>
      </c>
      <c r="J3635" s="23" t="n"/>
      <c r="K3635" s="17" t="n"/>
      <c r="L3635" s="17" t="n"/>
      <c r="M3635" s="17" t="n"/>
      <c r="N3635" s="17" t="n"/>
      <c r="O3635" s="26">
        <f>IF($D3635="","",IFERROR(VLOOKUP($D3635,物料档案!$A$4:$P$1203,10,0),0))</f>
        <v/>
      </c>
      <c r="P3635" s="32" t="n"/>
      <c r="Q3635" s="26">
        <f>IF($D3635="","",IF($K3635&lt;&gt;"对外销售",0,ROUND(N($J3635)*IF($P3635="",N($O3635),N($P3635)),0)))</f>
        <v/>
      </c>
      <c r="R3635" s="26">
        <f>IF($D3635="","",IFERROR(VLOOKUP($D3635,库存台账!$A$5:$Y$1204,11,0),0))</f>
        <v/>
      </c>
      <c r="S3635" s="26">
        <f>IF($D3635="","",ROUND(N($J3635)*N($R3635),0))</f>
        <v/>
      </c>
      <c r="T3635" s="26">
        <f>IF($D3635="","",IF($K3635&lt;&gt;"对外销售","",ROUND($Q3635-$S3635,0)))</f>
        <v/>
      </c>
      <c r="U3635" s="17" t="n"/>
      <c r="V3635" s="17" t="n"/>
      <c r="W3635" s="24">
        <f>IF($D3635="","",IF($E3635="※编码不在物料档案里","※物料编码不在档案里",IF(N($J3635)&lt;=0,"※出库数量要大于 0",IF($K3635="","※没填去向类型",IF($L3635="","※没填去向矿区",IF(AND($C3635&lt;&gt;"",$C3635&lt;=结账锁),"※日期早于已结账截止日，不能再录",IF(AND($K3635="自用消耗",COUNTIF({"一矿区";"二矿区"},$L3635)=0),"※自用消耗的去向只能是一矿区或二矿区",IF(AND($K3635="对外销售",COUNTIF({"三矿区";"六矿区"},$L3635)=0),"※对外销售的去向只能是三矿区或六矿区",IF(AND($K3635="对外销售",ROUND($Q3635,0)=0),"※外销却没有售价，请填实际售价",IF(AND($K3635="对外销售",$T3635&lt;&gt;"",$T3635&lt;0),"※这一笔外销是亏的，请核对售价",IF(IFERROR(VLOOKUP($D3635,库存台账!$A$5:$Y$1204,24,0),0)&lt;-0.001,"※这个物料账面已经变成负数了，查一下是不是漏记入库","")))))))))))</f>
        <v/>
      </c>
    </row>
    <row r="3636">
      <c r="A3636" s="24">
        <f>IF($D3636="","",COUNTA($D$4:$D3636))</f>
        <v/>
      </c>
      <c r="B3636" s="17" t="n"/>
      <c r="C3636" s="30" t="n"/>
      <c r="D3636" s="17" t="n"/>
      <c r="E3636" s="24">
        <f>IF($D3636="","",IFERROR(VLOOKUP($D3636,物料档案!$A$4:$P$1203,3,0),"※编码不在物料档案里"))</f>
        <v/>
      </c>
      <c r="F3636" s="24">
        <f>IF($D3636="","",IFERROR(VLOOKUP($D3636,物料档案!$A$4:$P$1203,4,0),"※编码不在物料档案里"))</f>
        <v/>
      </c>
      <c r="G3636" s="24">
        <f>IF($D3636="","",IFERROR(VLOOKUP($D3636,物料档案!$A$4:$P$1203,5,0),"※编码不在物料档案里"))</f>
        <v/>
      </c>
      <c r="H3636" s="24">
        <f>IF($D3636="","",IFERROR(VLOOKUP($D3636,物料档案!$A$4:$P$1203,2,0),"※编码不在物料档案里"))</f>
        <v/>
      </c>
      <c r="I3636" s="24">
        <f>IF($D3636="","",IFERROR(VLOOKUP($D3636,物料档案!$A$4:$P$1203,6,0),"※编码不在物料档案里"))</f>
        <v/>
      </c>
      <c r="J3636" s="23" t="n"/>
      <c r="K3636" s="17" t="n"/>
      <c r="L3636" s="17" t="n"/>
      <c r="M3636" s="17" t="n"/>
      <c r="N3636" s="17" t="n"/>
      <c r="O3636" s="26">
        <f>IF($D3636="","",IFERROR(VLOOKUP($D3636,物料档案!$A$4:$P$1203,10,0),0))</f>
        <v/>
      </c>
      <c r="P3636" s="32" t="n"/>
      <c r="Q3636" s="26">
        <f>IF($D3636="","",IF($K3636&lt;&gt;"对外销售",0,ROUND(N($J3636)*IF($P3636="",N($O3636),N($P3636)),0)))</f>
        <v/>
      </c>
      <c r="R3636" s="26">
        <f>IF($D3636="","",IFERROR(VLOOKUP($D3636,库存台账!$A$5:$Y$1204,11,0),0))</f>
        <v/>
      </c>
      <c r="S3636" s="26">
        <f>IF($D3636="","",ROUND(N($J3636)*N($R3636),0))</f>
        <v/>
      </c>
      <c r="T3636" s="26">
        <f>IF($D3636="","",IF($K3636&lt;&gt;"对外销售","",ROUND($Q3636-$S3636,0)))</f>
        <v/>
      </c>
      <c r="U3636" s="17" t="n"/>
      <c r="V3636" s="17" t="n"/>
      <c r="W3636" s="24">
        <f>IF($D3636="","",IF($E3636="※编码不在物料档案里","※物料编码不在档案里",IF(N($J3636)&lt;=0,"※出库数量要大于 0",IF($K3636="","※没填去向类型",IF($L3636="","※没填去向矿区",IF(AND($C3636&lt;&gt;"",$C3636&lt;=结账锁),"※日期早于已结账截止日，不能再录",IF(AND($K3636="自用消耗",COUNTIF({"一矿区";"二矿区"},$L3636)=0),"※自用消耗的去向只能是一矿区或二矿区",IF(AND($K3636="对外销售",COUNTIF({"三矿区";"六矿区"},$L3636)=0),"※对外销售的去向只能是三矿区或六矿区",IF(AND($K3636="对外销售",ROUND($Q3636,0)=0),"※外销却没有售价，请填实际售价",IF(AND($K3636="对外销售",$T3636&lt;&gt;"",$T3636&lt;0),"※这一笔外销是亏的，请核对售价",IF(IFERROR(VLOOKUP($D3636,库存台账!$A$5:$Y$1204,24,0),0)&lt;-0.001,"※这个物料账面已经变成负数了，查一下是不是漏记入库","")))))))))))</f>
        <v/>
      </c>
    </row>
    <row r="3637">
      <c r="A3637" s="24">
        <f>IF($D3637="","",COUNTA($D$4:$D3637))</f>
        <v/>
      </c>
      <c r="B3637" s="17" t="n"/>
      <c r="C3637" s="30" t="n"/>
      <c r="D3637" s="17" t="n"/>
      <c r="E3637" s="24">
        <f>IF($D3637="","",IFERROR(VLOOKUP($D3637,物料档案!$A$4:$P$1203,3,0),"※编码不在物料档案里"))</f>
        <v/>
      </c>
      <c r="F3637" s="24">
        <f>IF($D3637="","",IFERROR(VLOOKUP($D3637,物料档案!$A$4:$P$1203,4,0),"※编码不在物料档案里"))</f>
        <v/>
      </c>
      <c r="G3637" s="24">
        <f>IF($D3637="","",IFERROR(VLOOKUP($D3637,物料档案!$A$4:$P$1203,5,0),"※编码不在物料档案里"))</f>
        <v/>
      </c>
      <c r="H3637" s="24">
        <f>IF($D3637="","",IFERROR(VLOOKUP($D3637,物料档案!$A$4:$P$1203,2,0),"※编码不在物料档案里"))</f>
        <v/>
      </c>
      <c r="I3637" s="24">
        <f>IF($D3637="","",IFERROR(VLOOKUP($D3637,物料档案!$A$4:$P$1203,6,0),"※编码不在物料档案里"))</f>
        <v/>
      </c>
      <c r="J3637" s="23" t="n"/>
      <c r="K3637" s="17" t="n"/>
      <c r="L3637" s="17" t="n"/>
      <c r="M3637" s="17" t="n"/>
      <c r="N3637" s="17" t="n"/>
      <c r="O3637" s="26">
        <f>IF($D3637="","",IFERROR(VLOOKUP($D3637,物料档案!$A$4:$P$1203,10,0),0))</f>
        <v/>
      </c>
      <c r="P3637" s="32" t="n"/>
      <c r="Q3637" s="26">
        <f>IF($D3637="","",IF($K3637&lt;&gt;"对外销售",0,ROUND(N($J3637)*IF($P3637="",N($O3637),N($P3637)),0)))</f>
        <v/>
      </c>
      <c r="R3637" s="26">
        <f>IF($D3637="","",IFERROR(VLOOKUP($D3637,库存台账!$A$5:$Y$1204,11,0),0))</f>
        <v/>
      </c>
      <c r="S3637" s="26">
        <f>IF($D3637="","",ROUND(N($J3637)*N($R3637),0))</f>
        <v/>
      </c>
      <c r="T3637" s="26">
        <f>IF($D3637="","",IF($K3637&lt;&gt;"对外销售","",ROUND($Q3637-$S3637,0)))</f>
        <v/>
      </c>
      <c r="U3637" s="17" t="n"/>
      <c r="V3637" s="17" t="n"/>
      <c r="W3637" s="24">
        <f>IF($D3637="","",IF($E3637="※编码不在物料档案里","※物料编码不在档案里",IF(N($J3637)&lt;=0,"※出库数量要大于 0",IF($K3637="","※没填去向类型",IF($L3637="","※没填去向矿区",IF(AND($C3637&lt;&gt;"",$C3637&lt;=结账锁),"※日期早于已结账截止日，不能再录",IF(AND($K3637="自用消耗",COUNTIF({"一矿区";"二矿区"},$L3637)=0),"※自用消耗的去向只能是一矿区或二矿区",IF(AND($K3637="对外销售",COUNTIF({"三矿区";"六矿区"},$L3637)=0),"※对外销售的去向只能是三矿区或六矿区",IF(AND($K3637="对外销售",ROUND($Q3637,0)=0),"※外销却没有售价，请填实际售价",IF(AND($K3637="对外销售",$T3637&lt;&gt;"",$T3637&lt;0),"※这一笔外销是亏的，请核对售价",IF(IFERROR(VLOOKUP($D3637,库存台账!$A$5:$Y$1204,24,0),0)&lt;-0.001,"※这个物料账面已经变成负数了，查一下是不是漏记入库","")))))))))))</f>
        <v/>
      </c>
    </row>
    <row r="3638">
      <c r="A3638" s="24">
        <f>IF($D3638="","",COUNTA($D$4:$D3638))</f>
        <v/>
      </c>
      <c r="B3638" s="17" t="n"/>
      <c r="C3638" s="30" t="n"/>
      <c r="D3638" s="17" t="n"/>
      <c r="E3638" s="24">
        <f>IF($D3638="","",IFERROR(VLOOKUP($D3638,物料档案!$A$4:$P$1203,3,0),"※编码不在物料档案里"))</f>
        <v/>
      </c>
      <c r="F3638" s="24">
        <f>IF($D3638="","",IFERROR(VLOOKUP($D3638,物料档案!$A$4:$P$1203,4,0),"※编码不在物料档案里"))</f>
        <v/>
      </c>
      <c r="G3638" s="24">
        <f>IF($D3638="","",IFERROR(VLOOKUP($D3638,物料档案!$A$4:$P$1203,5,0),"※编码不在物料档案里"))</f>
        <v/>
      </c>
      <c r="H3638" s="24">
        <f>IF($D3638="","",IFERROR(VLOOKUP($D3638,物料档案!$A$4:$P$1203,2,0),"※编码不在物料档案里"))</f>
        <v/>
      </c>
      <c r="I3638" s="24">
        <f>IF($D3638="","",IFERROR(VLOOKUP($D3638,物料档案!$A$4:$P$1203,6,0),"※编码不在物料档案里"))</f>
        <v/>
      </c>
      <c r="J3638" s="23" t="n"/>
      <c r="K3638" s="17" t="n"/>
      <c r="L3638" s="17" t="n"/>
      <c r="M3638" s="17" t="n"/>
      <c r="N3638" s="17" t="n"/>
      <c r="O3638" s="26">
        <f>IF($D3638="","",IFERROR(VLOOKUP($D3638,物料档案!$A$4:$P$1203,10,0),0))</f>
        <v/>
      </c>
      <c r="P3638" s="32" t="n"/>
      <c r="Q3638" s="26">
        <f>IF($D3638="","",IF($K3638&lt;&gt;"对外销售",0,ROUND(N($J3638)*IF($P3638="",N($O3638),N($P3638)),0)))</f>
        <v/>
      </c>
      <c r="R3638" s="26">
        <f>IF($D3638="","",IFERROR(VLOOKUP($D3638,库存台账!$A$5:$Y$1204,11,0),0))</f>
        <v/>
      </c>
      <c r="S3638" s="26">
        <f>IF($D3638="","",ROUND(N($J3638)*N($R3638),0))</f>
        <v/>
      </c>
      <c r="T3638" s="26">
        <f>IF($D3638="","",IF($K3638&lt;&gt;"对外销售","",ROUND($Q3638-$S3638,0)))</f>
        <v/>
      </c>
      <c r="U3638" s="17" t="n"/>
      <c r="V3638" s="17" t="n"/>
      <c r="W3638" s="24">
        <f>IF($D3638="","",IF($E3638="※编码不在物料档案里","※物料编码不在档案里",IF(N($J3638)&lt;=0,"※出库数量要大于 0",IF($K3638="","※没填去向类型",IF($L3638="","※没填去向矿区",IF(AND($C3638&lt;&gt;"",$C3638&lt;=结账锁),"※日期早于已结账截止日，不能再录",IF(AND($K3638="自用消耗",COUNTIF({"一矿区";"二矿区"},$L3638)=0),"※自用消耗的去向只能是一矿区或二矿区",IF(AND($K3638="对外销售",COUNTIF({"三矿区";"六矿区"},$L3638)=0),"※对外销售的去向只能是三矿区或六矿区",IF(AND($K3638="对外销售",ROUND($Q3638,0)=0),"※外销却没有售价，请填实际售价",IF(AND($K3638="对外销售",$T3638&lt;&gt;"",$T3638&lt;0),"※这一笔外销是亏的，请核对售价",IF(IFERROR(VLOOKUP($D3638,库存台账!$A$5:$Y$1204,24,0),0)&lt;-0.001,"※这个物料账面已经变成负数了，查一下是不是漏记入库","")))))))))))</f>
        <v/>
      </c>
    </row>
    <row r="3639">
      <c r="A3639" s="24">
        <f>IF($D3639="","",COUNTA($D$4:$D3639))</f>
        <v/>
      </c>
      <c r="B3639" s="17" t="n"/>
      <c r="C3639" s="30" t="n"/>
      <c r="D3639" s="17" t="n"/>
      <c r="E3639" s="24">
        <f>IF($D3639="","",IFERROR(VLOOKUP($D3639,物料档案!$A$4:$P$1203,3,0),"※编码不在物料档案里"))</f>
        <v/>
      </c>
      <c r="F3639" s="24">
        <f>IF($D3639="","",IFERROR(VLOOKUP($D3639,物料档案!$A$4:$P$1203,4,0),"※编码不在物料档案里"))</f>
        <v/>
      </c>
      <c r="G3639" s="24">
        <f>IF($D3639="","",IFERROR(VLOOKUP($D3639,物料档案!$A$4:$P$1203,5,0),"※编码不在物料档案里"))</f>
        <v/>
      </c>
      <c r="H3639" s="24">
        <f>IF($D3639="","",IFERROR(VLOOKUP($D3639,物料档案!$A$4:$P$1203,2,0),"※编码不在物料档案里"))</f>
        <v/>
      </c>
      <c r="I3639" s="24">
        <f>IF($D3639="","",IFERROR(VLOOKUP($D3639,物料档案!$A$4:$P$1203,6,0),"※编码不在物料档案里"))</f>
        <v/>
      </c>
      <c r="J3639" s="23" t="n"/>
      <c r="K3639" s="17" t="n"/>
      <c r="L3639" s="17" t="n"/>
      <c r="M3639" s="17" t="n"/>
      <c r="N3639" s="17" t="n"/>
      <c r="O3639" s="26">
        <f>IF($D3639="","",IFERROR(VLOOKUP($D3639,物料档案!$A$4:$P$1203,10,0),0))</f>
        <v/>
      </c>
      <c r="P3639" s="32" t="n"/>
      <c r="Q3639" s="26">
        <f>IF($D3639="","",IF($K3639&lt;&gt;"对外销售",0,ROUND(N($J3639)*IF($P3639="",N($O3639),N($P3639)),0)))</f>
        <v/>
      </c>
      <c r="R3639" s="26">
        <f>IF($D3639="","",IFERROR(VLOOKUP($D3639,库存台账!$A$5:$Y$1204,11,0),0))</f>
        <v/>
      </c>
      <c r="S3639" s="26">
        <f>IF($D3639="","",ROUND(N($J3639)*N($R3639),0))</f>
        <v/>
      </c>
      <c r="T3639" s="26">
        <f>IF($D3639="","",IF($K3639&lt;&gt;"对外销售","",ROUND($Q3639-$S3639,0)))</f>
        <v/>
      </c>
      <c r="U3639" s="17" t="n"/>
      <c r="V3639" s="17" t="n"/>
      <c r="W3639" s="24">
        <f>IF($D3639="","",IF($E3639="※编码不在物料档案里","※物料编码不在档案里",IF(N($J3639)&lt;=0,"※出库数量要大于 0",IF($K3639="","※没填去向类型",IF($L3639="","※没填去向矿区",IF(AND($C3639&lt;&gt;"",$C3639&lt;=结账锁),"※日期早于已结账截止日，不能再录",IF(AND($K3639="自用消耗",COUNTIF({"一矿区";"二矿区"},$L3639)=0),"※自用消耗的去向只能是一矿区或二矿区",IF(AND($K3639="对外销售",COUNTIF({"三矿区";"六矿区"},$L3639)=0),"※对外销售的去向只能是三矿区或六矿区",IF(AND($K3639="对外销售",ROUND($Q3639,0)=0),"※外销却没有售价，请填实际售价",IF(AND($K3639="对外销售",$T3639&lt;&gt;"",$T3639&lt;0),"※这一笔外销是亏的，请核对售价",IF(IFERROR(VLOOKUP($D3639,库存台账!$A$5:$Y$1204,24,0),0)&lt;-0.001,"※这个物料账面已经变成负数了，查一下是不是漏记入库","")))))))))))</f>
        <v/>
      </c>
    </row>
    <row r="3640">
      <c r="A3640" s="24">
        <f>IF($D3640="","",COUNTA($D$4:$D3640))</f>
        <v/>
      </c>
      <c r="B3640" s="17" t="n"/>
      <c r="C3640" s="30" t="n"/>
      <c r="D3640" s="17" t="n"/>
      <c r="E3640" s="24">
        <f>IF($D3640="","",IFERROR(VLOOKUP($D3640,物料档案!$A$4:$P$1203,3,0),"※编码不在物料档案里"))</f>
        <v/>
      </c>
      <c r="F3640" s="24">
        <f>IF($D3640="","",IFERROR(VLOOKUP($D3640,物料档案!$A$4:$P$1203,4,0),"※编码不在物料档案里"))</f>
        <v/>
      </c>
      <c r="G3640" s="24">
        <f>IF($D3640="","",IFERROR(VLOOKUP($D3640,物料档案!$A$4:$P$1203,5,0),"※编码不在物料档案里"))</f>
        <v/>
      </c>
      <c r="H3640" s="24">
        <f>IF($D3640="","",IFERROR(VLOOKUP($D3640,物料档案!$A$4:$P$1203,2,0),"※编码不在物料档案里"))</f>
        <v/>
      </c>
      <c r="I3640" s="24">
        <f>IF($D3640="","",IFERROR(VLOOKUP($D3640,物料档案!$A$4:$P$1203,6,0),"※编码不在物料档案里"))</f>
        <v/>
      </c>
      <c r="J3640" s="23" t="n"/>
      <c r="K3640" s="17" t="n"/>
      <c r="L3640" s="17" t="n"/>
      <c r="M3640" s="17" t="n"/>
      <c r="N3640" s="17" t="n"/>
      <c r="O3640" s="26">
        <f>IF($D3640="","",IFERROR(VLOOKUP($D3640,物料档案!$A$4:$P$1203,10,0),0))</f>
        <v/>
      </c>
      <c r="P3640" s="32" t="n"/>
      <c r="Q3640" s="26">
        <f>IF($D3640="","",IF($K3640&lt;&gt;"对外销售",0,ROUND(N($J3640)*IF($P3640="",N($O3640),N($P3640)),0)))</f>
        <v/>
      </c>
      <c r="R3640" s="26">
        <f>IF($D3640="","",IFERROR(VLOOKUP($D3640,库存台账!$A$5:$Y$1204,11,0),0))</f>
        <v/>
      </c>
      <c r="S3640" s="26">
        <f>IF($D3640="","",ROUND(N($J3640)*N($R3640),0))</f>
        <v/>
      </c>
      <c r="T3640" s="26">
        <f>IF($D3640="","",IF($K3640&lt;&gt;"对外销售","",ROUND($Q3640-$S3640,0)))</f>
        <v/>
      </c>
      <c r="U3640" s="17" t="n"/>
      <c r="V3640" s="17" t="n"/>
      <c r="W3640" s="24">
        <f>IF($D3640="","",IF($E3640="※编码不在物料档案里","※物料编码不在档案里",IF(N($J3640)&lt;=0,"※出库数量要大于 0",IF($K3640="","※没填去向类型",IF($L3640="","※没填去向矿区",IF(AND($C3640&lt;&gt;"",$C3640&lt;=结账锁),"※日期早于已结账截止日，不能再录",IF(AND($K3640="自用消耗",COUNTIF({"一矿区";"二矿区"},$L3640)=0),"※自用消耗的去向只能是一矿区或二矿区",IF(AND($K3640="对外销售",COUNTIF({"三矿区";"六矿区"},$L3640)=0),"※对外销售的去向只能是三矿区或六矿区",IF(AND($K3640="对外销售",ROUND($Q3640,0)=0),"※外销却没有售价，请填实际售价",IF(AND($K3640="对外销售",$T3640&lt;&gt;"",$T3640&lt;0),"※这一笔外销是亏的，请核对售价",IF(IFERROR(VLOOKUP($D3640,库存台账!$A$5:$Y$1204,24,0),0)&lt;-0.001,"※这个物料账面已经变成负数了，查一下是不是漏记入库","")))))))))))</f>
        <v/>
      </c>
    </row>
    <row r="3641">
      <c r="A3641" s="24">
        <f>IF($D3641="","",COUNTA($D$4:$D3641))</f>
        <v/>
      </c>
      <c r="B3641" s="17" t="n"/>
      <c r="C3641" s="30" t="n"/>
      <c r="D3641" s="17" t="n"/>
      <c r="E3641" s="24">
        <f>IF($D3641="","",IFERROR(VLOOKUP($D3641,物料档案!$A$4:$P$1203,3,0),"※编码不在物料档案里"))</f>
        <v/>
      </c>
      <c r="F3641" s="24">
        <f>IF($D3641="","",IFERROR(VLOOKUP($D3641,物料档案!$A$4:$P$1203,4,0),"※编码不在物料档案里"))</f>
        <v/>
      </c>
      <c r="G3641" s="24">
        <f>IF($D3641="","",IFERROR(VLOOKUP($D3641,物料档案!$A$4:$P$1203,5,0),"※编码不在物料档案里"))</f>
        <v/>
      </c>
      <c r="H3641" s="24">
        <f>IF($D3641="","",IFERROR(VLOOKUP($D3641,物料档案!$A$4:$P$1203,2,0),"※编码不在物料档案里"))</f>
        <v/>
      </c>
      <c r="I3641" s="24">
        <f>IF($D3641="","",IFERROR(VLOOKUP($D3641,物料档案!$A$4:$P$1203,6,0),"※编码不在物料档案里"))</f>
        <v/>
      </c>
      <c r="J3641" s="23" t="n"/>
      <c r="K3641" s="17" t="n"/>
      <c r="L3641" s="17" t="n"/>
      <c r="M3641" s="17" t="n"/>
      <c r="N3641" s="17" t="n"/>
      <c r="O3641" s="26">
        <f>IF($D3641="","",IFERROR(VLOOKUP($D3641,物料档案!$A$4:$P$1203,10,0),0))</f>
        <v/>
      </c>
      <c r="P3641" s="32" t="n"/>
      <c r="Q3641" s="26">
        <f>IF($D3641="","",IF($K3641&lt;&gt;"对外销售",0,ROUND(N($J3641)*IF($P3641="",N($O3641),N($P3641)),0)))</f>
        <v/>
      </c>
      <c r="R3641" s="26">
        <f>IF($D3641="","",IFERROR(VLOOKUP($D3641,库存台账!$A$5:$Y$1204,11,0),0))</f>
        <v/>
      </c>
      <c r="S3641" s="26">
        <f>IF($D3641="","",ROUND(N($J3641)*N($R3641),0))</f>
        <v/>
      </c>
      <c r="T3641" s="26">
        <f>IF($D3641="","",IF($K3641&lt;&gt;"对外销售","",ROUND($Q3641-$S3641,0)))</f>
        <v/>
      </c>
      <c r="U3641" s="17" t="n"/>
      <c r="V3641" s="17" t="n"/>
      <c r="W3641" s="24">
        <f>IF($D3641="","",IF($E3641="※编码不在物料档案里","※物料编码不在档案里",IF(N($J3641)&lt;=0,"※出库数量要大于 0",IF($K3641="","※没填去向类型",IF($L3641="","※没填去向矿区",IF(AND($C3641&lt;&gt;"",$C3641&lt;=结账锁),"※日期早于已结账截止日，不能再录",IF(AND($K3641="自用消耗",COUNTIF({"一矿区";"二矿区"},$L3641)=0),"※自用消耗的去向只能是一矿区或二矿区",IF(AND($K3641="对外销售",COUNTIF({"三矿区";"六矿区"},$L3641)=0),"※对外销售的去向只能是三矿区或六矿区",IF(AND($K3641="对外销售",ROUND($Q3641,0)=0),"※外销却没有售价，请填实际售价",IF(AND($K3641="对外销售",$T3641&lt;&gt;"",$T3641&lt;0),"※这一笔外销是亏的，请核对售价",IF(IFERROR(VLOOKUP($D3641,库存台账!$A$5:$Y$1204,24,0),0)&lt;-0.001,"※这个物料账面已经变成负数了，查一下是不是漏记入库","")))))))))))</f>
        <v/>
      </c>
    </row>
    <row r="3642">
      <c r="A3642" s="24">
        <f>IF($D3642="","",COUNTA($D$4:$D3642))</f>
        <v/>
      </c>
      <c r="B3642" s="17" t="n"/>
      <c r="C3642" s="30" t="n"/>
      <c r="D3642" s="17" t="n"/>
      <c r="E3642" s="24">
        <f>IF($D3642="","",IFERROR(VLOOKUP($D3642,物料档案!$A$4:$P$1203,3,0),"※编码不在物料档案里"))</f>
        <v/>
      </c>
      <c r="F3642" s="24">
        <f>IF($D3642="","",IFERROR(VLOOKUP($D3642,物料档案!$A$4:$P$1203,4,0),"※编码不在物料档案里"))</f>
        <v/>
      </c>
      <c r="G3642" s="24">
        <f>IF($D3642="","",IFERROR(VLOOKUP($D3642,物料档案!$A$4:$P$1203,5,0),"※编码不在物料档案里"))</f>
        <v/>
      </c>
      <c r="H3642" s="24">
        <f>IF($D3642="","",IFERROR(VLOOKUP($D3642,物料档案!$A$4:$P$1203,2,0),"※编码不在物料档案里"))</f>
        <v/>
      </c>
      <c r="I3642" s="24">
        <f>IF($D3642="","",IFERROR(VLOOKUP($D3642,物料档案!$A$4:$P$1203,6,0),"※编码不在物料档案里"))</f>
        <v/>
      </c>
      <c r="J3642" s="23" t="n"/>
      <c r="K3642" s="17" t="n"/>
      <c r="L3642" s="17" t="n"/>
      <c r="M3642" s="17" t="n"/>
      <c r="N3642" s="17" t="n"/>
      <c r="O3642" s="26">
        <f>IF($D3642="","",IFERROR(VLOOKUP($D3642,物料档案!$A$4:$P$1203,10,0),0))</f>
        <v/>
      </c>
      <c r="P3642" s="32" t="n"/>
      <c r="Q3642" s="26">
        <f>IF($D3642="","",IF($K3642&lt;&gt;"对外销售",0,ROUND(N($J3642)*IF($P3642="",N($O3642),N($P3642)),0)))</f>
        <v/>
      </c>
      <c r="R3642" s="26">
        <f>IF($D3642="","",IFERROR(VLOOKUP($D3642,库存台账!$A$5:$Y$1204,11,0),0))</f>
        <v/>
      </c>
      <c r="S3642" s="26">
        <f>IF($D3642="","",ROUND(N($J3642)*N($R3642),0))</f>
        <v/>
      </c>
      <c r="T3642" s="26">
        <f>IF($D3642="","",IF($K3642&lt;&gt;"对外销售","",ROUND($Q3642-$S3642,0)))</f>
        <v/>
      </c>
      <c r="U3642" s="17" t="n"/>
      <c r="V3642" s="17" t="n"/>
      <c r="W3642" s="24">
        <f>IF($D3642="","",IF($E3642="※编码不在物料档案里","※物料编码不在档案里",IF(N($J3642)&lt;=0,"※出库数量要大于 0",IF($K3642="","※没填去向类型",IF($L3642="","※没填去向矿区",IF(AND($C3642&lt;&gt;"",$C3642&lt;=结账锁),"※日期早于已结账截止日，不能再录",IF(AND($K3642="自用消耗",COUNTIF({"一矿区";"二矿区"},$L3642)=0),"※自用消耗的去向只能是一矿区或二矿区",IF(AND($K3642="对外销售",COUNTIF({"三矿区";"六矿区"},$L3642)=0),"※对外销售的去向只能是三矿区或六矿区",IF(AND($K3642="对外销售",ROUND($Q3642,0)=0),"※外销却没有售价，请填实际售价",IF(AND($K3642="对外销售",$T3642&lt;&gt;"",$T3642&lt;0),"※这一笔外销是亏的，请核对售价",IF(IFERROR(VLOOKUP($D3642,库存台账!$A$5:$Y$1204,24,0),0)&lt;-0.001,"※这个物料账面已经变成负数了，查一下是不是漏记入库","")))))))))))</f>
        <v/>
      </c>
    </row>
    <row r="3643">
      <c r="A3643" s="24">
        <f>IF($D3643="","",COUNTA($D$4:$D3643))</f>
        <v/>
      </c>
      <c r="B3643" s="17" t="n"/>
      <c r="C3643" s="30" t="n"/>
      <c r="D3643" s="17" t="n"/>
      <c r="E3643" s="24">
        <f>IF($D3643="","",IFERROR(VLOOKUP($D3643,物料档案!$A$4:$P$1203,3,0),"※编码不在物料档案里"))</f>
        <v/>
      </c>
      <c r="F3643" s="24">
        <f>IF($D3643="","",IFERROR(VLOOKUP($D3643,物料档案!$A$4:$P$1203,4,0),"※编码不在物料档案里"))</f>
        <v/>
      </c>
      <c r="G3643" s="24">
        <f>IF($D3643="","",IFERROR(VLOOKUP($D3643,物料档案!$A$4:$P$1203,5,0),"※编码不在物料档案里"))</f>
        <v/>
      </c>
      <c r="H3643" s="24">
        <f>IF($D3643="","",IFERROR(VLOOKUP($D3643,物料档案!$A$4:$P$1203,2,0),"※编码不在物料档案里"))</f>
        <v/>
      </c>
      <c r="I3643" s="24">
        <f>IF($D3643="","",IFERROR(VLOOKUP($D3643,物料档案!$A$4:$P$1203,6,0),"※编码不在物料档案里"))</f>
        <v/>
      </c>
      <c r="J3643" s="23" t="n"/>
      <c r="K3643" s="17" t="n"/>
      <c r="L3643" s="17" t="n"/>
      <c r="M3643" s="17" t="n"/>
      <c r="N3643" s="17" t="n"/>
      <c r="O3643" s="26">
        <f>IF($D3643="","",IFERROR(VLOOKUP($D3643,物料档案!$A$4:$P$1203,10,0),0))</f>
        <v/>
      </c>
      <c r="P3643" s="32" t="n"/>
      <c r="Q3643" s="26">
        <f>IF($D3643="","",IF($K3643&lt;&gt;"对外销售",0,ROUND(N($J3643)*IF($P3643="",N($O3643),N($P3643)),0)))</f>
        <v/>
      </c>
      <c r="R3643" s="26">
        <f>IF($D3643="","",IFERROR(VLOOKUP($D3643,库存台账!$A$5:$Y$1204,11,0),0))</f>
        <v/>
      </c>
      <c r="S3643" s="26">
        <f>IF($D3643="","",ROUND(N($J3643)*N($R3643),0))</f>
        <v/>
      </c>
      <c r="T3643" s="26">
        <f>IF($D3643="","",IF($K3643&lt;&gt;"对外销售","",ROUND($Q3643-$S3643,0)))</f>
        <v/>
      </c>
      <c r="U3643" s="17" t="n"/>
      <c r="V3643" s="17" t="n"/>
      <c r="W3643" s="24">
        <f>IF($D3643="","",IF($E3643="※编码不在物料档案里","※物料编码不在档案里",IF(N($J3643)&lt;=0,"※出库数量要大于 0",IF($K3643="","※没填去向类型",IF($L3643="","※没填去向矿区",IF(AND($C3643&lt;&gt;"",$C3643&lt;=结账锁),"※日期早于已结账截止日，不能再录",IF(AND($K3643="自用消耗",COUNTIF({"一矿区";"二矿区"},$L3643)=0),"※自用消耗的去向只能是一矿区或二矿区",IF(AND($K3643="对外销售",COUNTIF({"三矿区";"六矿区"},$L3643)=0),"※对外销售的去向只能是三矿区或六矿区",IF(AND($K3643="对外销售",ROUND($Q3643,0)=0),"※外销却没有售价，请填实际售价",IF(AND($K3643="对外销售",$T3643&lt;&gt;"",$T3643&lt;0),"※这一笔外销是亏的，请核对售价",IF(IFERROR(VLOOKUP($D3643,库存台账!$A$5:$Y$1204,24,0),0)&lt;-0.001,"※这个物料账面已经变成负数了，查一下是不是漏记入库","")))))))))))</f>
        <v/>
      </c>
    </row>
    <row r="3644">
      <c r="A3644" s="24">
        <f>IF($D3644="","",COUNTA($D$4:$D3644))</f>
        <v/>
      </c>
      <c r="B3644" s="17" t="n"/>
      <c r="C3644" s="30" t="n"/>
      <c r="D3644" s="17" t="n"/>
      <c r="E3644" s="24">
        <f>IF($D3644="","",IFERROR(VLOOKUP($D3644,物料档案!$A$4:$P$1203,3,0),"※编码不在物料档案里"))</f>
        <v/>
      </c>
      <c r="F3644" s="24">
        <f>IF($D3644="","",IFERROR(VLOOKUP($D3644,物料档案!$A$4:$P$1203,4,0),"※编码不在物料档案里"))</f>
        <v/>
      </c>
      <c r="G3644" s="24">
        <f>IF($D3644="","",IFERROR(VLOOKUP($D3644,物料档案!$A$4:$P$1203,5,0),"※编码不在物料档案里"))</f>
        <v/>
      </c>
      <c r="H3644" s="24">
        <f>IF($D3644="","",IFERROR(VLOOKUP($D3644,物料档案!$A$4:$P$1203,2,0),"※编码不在物料档案里"))</f>
        <v/>
      </c>
      <c r="I3644" s="24">
        <f>IF($D3644="","",IFERROR(VLOOKUP($D3644,物料档案!$A$4:$P$1203,6,0),"※编码不在物料档案里"))</f>
        <v/>
      </c>
      <c r="J3644" s="23" t="n"/>
      <c r="K3644" s="17" t="n"/>
      <c r="L3644" s="17" t="n"/>
      <c r="M3644" s="17" t="n"/>
      <c r="N3644" s="17" t="n"/>
      <c r="O3644" s="26">
        <f>IF($D3644="","",IFERROR(VLOOKUP($D3644,物料档案!$A$4:$P$1203,10,0),0))</f>
        <v/>
      </c>
      <c r="P3644" s="32" t="n"/>
      <c r="Q3644" s="26">
        <f>IF($D3644="","",IF($K3644&lt;&gt;"对外销售",0,ROUND(N($J3644)*IF($P3644="",N($O3644),N($P3644)),0)))</f>
        <v/>
      </c>
      <c r="R3644" s="26">
        <f>IF($D3644="","",IFERROR(VLOOKUP($D3644,库存台账!$A$5:$Y$1204,11,0),0))</f>
        <v/>
      </c>
      <c r="S3644" s="26">
        <f>IF($D3644="","",ROUND(N($J3644)*N($R3644),0))</f>
        <v/>
      </c>
      <c r="T3644" s="26">
        <f>IF($D3644="","",IF($K3644&lt;&gt;"对外销售","",ROUND($Q3644-$S3644,0)))</f>
        <v/>
      </c>
      <c r="U3644" s="17" t="n"/>
      <c r="V3644" s="17" t="n"/>
      <c r="W3644" s="24">
        <f>IF($D3644="","",IF($E3644="※编码不在物料档案里","※物料编码不在档案里",IF(N($J3644)&lt;=0,"※出库数量要大于 0",IF($K3644="","※没填去向类型",IF($L3644="","※没填去向矿区",IF(AND($C3644&lt;&gt;"",$C3644&lt;=结账锁),"※日期早于已结账截止日，不能再录",IF(AND($K3644="自用消耗",COUNTIF({"一矿区";"二矿区"},$L3644)=0),"※自用消耗的去向只能是一矿区或二矿区",IF(AND($K3644="对外销售",COUNTIF({"三矿区";"六矿区"},$L3644)=0),"※对外销售的去向只能是三矿区或六矿区",IF(AND($K3644="对外销售",ROUND($Q3644,0)=0),"※外销却没有售价，请填实际售价",IF(AND($K3644="对外销售",$T3644&lt;&gt;"",$T3644&lt;0),"※这一笔外销是亏的，请核对售价",IF(IFERROR(VLOOKUP($D3644,库存台账!$A$5:$Y$1204,24,0),0)&lt;-0.001,"※这个物料账面已经变成负数了，查一下是不是漏记入库","")))))))))))</f>
        <v/>
      </c>
    </row>
    <row r="3645">
      <c r="A3645" s="24">
        <f>IF($D3645="","",COUNTA($D$4:$D3645))</f>
        <v/>
      </c>
      <c r="B3645" s="17" t="n"/>
      <c r="C3645" s="30" t="n"/>
      <c r="D3645" s="17" t="n"/>
      <c r="E3645" s="24">
        <f>IF($D3645="","",IFERROR(VLOOKUP($D3645,物料档案!$A$4:$P$1203,3,0),"※编码不在物料档案里"))</f>
        <v/>
      </c>
      <c r="F3645" s="24">
        <f>IF($D3645="","",IFERROR(VLOOKUP($D3645,物料档案!$A$4:$P$1203,4,0),"※编码不在物料档案里"))</f>
        <v/>
      </c>
      <c r="G3645" s="24">
        <f>IF($D3645="","",IFERROR(VLOOKUP($D3645,物料档案!$A$4:$P$1203,5,0),"※编码不在物料档案里"))</f>
        <v/>
      </c>
      <c r="H3645" s="24">
        <f>IF($D3645="","",IFERROR(VLOOKUP($D3645,物料档案!$A$4:$P$1203,2,0),"※编码不在物料档案里"))</f>
        <v/>
      </c>
      <c r="I3645" s="24">
        <f>IF($D3645="","",IFERROR(VLOOKUP($D3645,物料档案!$A$4:$P$1203,6,0),"※编码不在物料档案里"))</f>
        <v/>
      </c>
      <c r="J3645" s="23" t="n"/>
      <c r="K3645" s="17" t="n"/>
      <c r="L3645" s="17" t="n"/>
      <c r="M3645" s="17" t="n"/>
      <c r="N3645" s="17" t="n"/>
      <c r="O3645" s="26">
        <f>IF($D3645="","",IFERROR(VLOOKUP($D3645,物料档案!$A$4:$P$1203,10,0),0))</f>
        <v/>
      </c>
      <c r="P3645" s="32" t="n"/>
      <c r="Q3645" s="26">
        <f>IF($D3645="","",IF($K3645&lt;&gt;"对外销售",0,ROUND(N($J3645)*IF($P3645="",N($O3645),N($P3645)),0)))</f>
        <v/>
      </c>
      <c r="R3645" s="26">
        <f>IF($D3645="","",IFERROR(VLOOKUP($D3645,库存台账!$A$5:$Y$1204,11,0),0))</f>
        <v/>
      </c>
      <c r="S3645" s="26">
        <f>IF($D3645="","",ROUND(N($J3645)*N($R3645),0))</f>
        <v/>
      </c>
      <c r="T3645" s="26">
        <f>IF($D3645="","",IF($K3645&lt;&gt;"对外销售","",ROUND($Q3645-$S3645,0)))</f>
        <v/>
      </c>
      <c r="U3645" s="17" t="n"/>
      <c r="V3645" s="17" t="n"/>
      <c r="W3645" s="24">
        <f>IF($D3645="","",IF($E3645="※编码不在物料档案里","※物料编码不在档案里",IF(N($J3645)&lt;=0,"※出库数量要大于 0",IF($K3645="","※没填去向类型",IF($L3645="","※没填去向矿区",IF(AND($C3645&lt;&gt;"",$C3645&lt;=结账锁),"※日期早于已结账截止日，不能再录",IF(AND($K3645="自用消耗",COUNTIF({"一矿区";"二矿区"},$L3645)=0),"※自用消耗的去向只能是一矿区或二矿区",IF(AND($K3645="对外销售",COUNTIF({"三矿区";"六矿区"},$L3645)=0),"※对外销售的去向只能是三矿区或六矿区",IF(AND($K3645="对外销售",ROUND($Q3645,0)=0),"※外销却没有售价，请填实际售价",IF(AND($K3645="对外销售",$T3645&lt;&gt;"",$T3645&lt;0),"※这一笔外销是亏的，请核对售价",IF(IFERROR(VLOOKUP($D3645,库存台账!$A$5:$Y$1204,24,0),0)&lt;-0.001,"※这个物料账面已经变成负数了，查一下是不是漏记入库","")))))))))))</f>
        <v/>
      </c>
    </row>
    <row r="3646">
      <c r="A3646" s="24">
        <f>IF($D3646="","",COUNTA($D$4:$D3646))</f>
        <v/>
      </c>
      <c r="B3646" s="17" t="n"/>
      <c r="C3646" s="30" t="n"/>
      <c r="D3646" s="17" t="n"/>
      <c r="E3646" s="24">
        <f>IF($D3646="","",IFERROR(VLOOKUP($D3646,物料档案!$A$4:$P$1203,3,0),"※编码不在物料档案里"))</f>
        <v/>
      </c>
      <c r="F3646" s="24">
        <f>IF($D3646="","",IFERROR(VLOOKUP($D3646,物料档案!$A$4:$P$1203,4,0),"※编码不在物料档案里"))</f>
        <v/>
      </c>
      <c r="G3646" s="24">
        <f>IF($D3646="","",IFERROR(VLOOKUP($D3646,物料档案!$A$4:$P$1203,5,0),"※编码不在物料档案里"))</f>
        <v/>
      </c>
      <c r="H3646" s="24">
        <f>IF($D3646="","",IFERROR(VLOOKUP($D3646,物料档案!$A$4:$P$1203,2,0),"※编码不在物料档案里"))</f>
        <v/>
      </c>
      <c r="I3646" s="24">
        <f>IF($D3646="","",IFERROR(VLOOKUP($D3646,物料档案!$A$4:$P$1203,6,0),"※编码不在物料档案里"))</f>
        <v/>
      </c>
      <c r="J3646" s="23" t="n"/>
      <c r="K3646" s="17" t="n"/>
      <c r="L3646" s="17" t="n"/>
      <c r="M3646" s="17" t="n"/>
      <c r="N3646" s="17" t="n"/>
      <c r="O3646" s="26">
        <f>IF($D3646="","",IFERROR(VLOOKUP($D3646,物料档案!$A$4:$P$1203,10,0),0))</f>
        <v/>
      </c>
      <c r="P3646" s="32" t="n"/>
      <c r="Q3646" s="26">
        <f>IF($D3646="","",IF($K3646&lt;&gt;"对外销售",0,ROUND(N($J3646)*IF($P3646="",N($O3646),N($P3646)),0)))</f>
        <v/>
      </c>
      <c r="R3646" s="26">
        <f>IF($D3646="","",IFERROR(VLOOKUP($D3646,库存台账!$A$5:$Y$1204,11,0),0))</f>
        <v/>
      </c>
      <c r="S3646" s="26">
        <f>IF($D3646="","",ROUND(N($J3646)*N($R3646),0))</f>
        <v/>
      </c>
      <c r="T3646" s="26">
        <f>IF($D3646="","",IF($K3646&lt;&gt;"对外销售","",ROUND($Q3646-$S3646,0)))</f>
        <v/>
      </c>
      <c r="U3646" s="17" t="n"/>
      <c r="V3646" s="17" t="n"/>
      <c r="W3646" s="24">
        <f>IF($D3646="","",IF($E3646="※编码不在物料档案里","※物料编码不在档案里",IF(N($J3646)&lt;=0,"※出库数量要大于 0",IF($K3646="","※没填去向类型",IF($L3646="","※没填去向矿区",IF(AND($C3646&lt;&gt;"",$C3646&lt;=结账锁),"※日期早于已结账截止日，不能再录",IF(AND($K3646="自用消耗",COUNTIF({"一矿区";"二矿区"},$L3646)=0),"※自用消耗的去向只能是一矿区或二矿区",IF(AND($K3646="对外销售",COUNTIF({"三矿区";"六矿区"},$L3646)=0),"※对外销售的去向只能是三矿区或六矿区",IF(AND($K3646="对外销售",ROUND($Q3646,0)=0),"※外销却没有售价，请填实际售价",IF(AND($K3646="对外销售",$T3646&lt;&gt;"",$T3646&lt;0),"※这一笔外销是亏的，请核对售价",IF(IFERROR(VLOOKUP($D3646,库存台账!$A$5:$Y$1204,24,0),0)&lt;-0.001,"※这个物料账面已经变成负数了，查一下是不是漏记入库","")))))))))))</f>
        <v/>
      </c>
    </row>
    <row r="3647">
      <c r="A3647" s="24">
        <f>IF($D3647="","",COUNTA($D$4:$D3647))</f>
        <v/>
      </c>
      <c r="B3647" s="17" t="n"/>
      <c r="C3647" s="30" t="n"/>
      <c r="D3647" s="17" t="n"/>
      <c r="E3647" s="24">
        <f>IF($D3647="","",IFERROR(VLOOKUP($D3647,物料档案!$A$4:$P$1203,3,0),"※编码不在物料档案里"))</f>
        <v/>
      </c>
      <c r="F3647" s="24">
        <f>IF($D3647="","",IFERROR(VLOOKUP($D3647,物料档案!$A$4:$P$1203,4,0),"※编码不在物料档案里"))</f>
        <v/>
      </c>
      <c r="G3647" s="24">
        <f>IF($D3647="","",IFERROR(VLOOKUP($D3647,物料档案!$A$4:$P$1203,5,0),"※编码不在物料档案里"))</f>
        <v/>
      </c>
      <c r="H3647" s="24">
        <f>IF($D3647="","",IFERROR(VLOOKUP($D3647,物料档案!$A$4:$P$1203,2,0),"※编码不在物料档案里"))</f>
        <v/>
      </c>
      <c r="I3647" s="24">
        <f>IF($D3647="","",IFERROR(VLOOKUP($D3647,物料档案!$A$4:$P$1203,6,0),"※编码不在物料档案里"))</f>
        <v/>
      </c>
      <c r="J3647" s="23" t="n"/>
      <c r="K3647" s="17" t="n"/>
      <c r="L3647" s="17" t="n"/>
      <c r="M3647" s="17" t="n"/>
      <c r="N3647" s="17" t="n"/>
      <c r="O3647" s="26">
        <f>IF($D3647="","",IFERROR(VLOOKUP($D3647,物料档案!$A$4:$P$1203,10,0),0))</f>
        <v/>
      </c>
      <c r="P3647" s="32" t="n"/>
      <c r="Q3647" s="26">
        <f>IF($D3647="","",IF($K3647&lt;&gt;"对外销售",0,ROUND(N($J3647)*IF($P3647="",N($O3647),N($P3647)),0)))</f>
        <v/>
      </c>
      <c r="R3647" s="26">
        <f>IF($D3647="","",IFERROR(VLOOKUP($D3647,库存台账!$A$5:$Y$1204,11,0),0))</f>
        <v/>
      </c>
      <c r="S3647" s="26">
        <f>IF($D3647="","",ROUND(N($J3647)*N($R3647),0))</f>
        <v/>
      </c>
      <c r="T3647" s="26">
        <f>IF($D3647="","",IF($K3647&lt;&gt;"对外销售","",ROUND($Q3647-$S3647,0)))</f>
        <v/>
      </c>
      <c r="U3647" s="17" t="n"/>
      <c r="V3647" s="17" t="n"/>
      <c r="W3647" s="24">
        <f>IF($D3647="","",IF($E3647="※编码不在物料档案里","※物料编码不在档案里",IF(N($J3647)&lt;=0,"※出库数量要大于 0",IF($K3647="","※没填去向类型",IF($L3647="","※没填去向矿区",IF(AND($C3647&lt;&gt;"",$C3647&lt;=结账锁),"※日期早于已结账截止日，不能再录",IF(AND($K3647="自用消耗",COUNTIF({"一矿区";"二矿区"},$L3647)=0),"※自用消耗的去向只能是一矿区或二矿区",IF(AND($K3647="对外销售",COUNTIF({"三矿区";"六矿区"},$L3647)=0),"※对外销售的去向只能是三矿区或六矿区",IF(AND($K3647="对外销售",ROUND($Q3647,0)=0),"※外销却没有售价，请填实际售价",IF(AND($K3647="对外销售",$T3647&lt;&gt;"",$T3647&lt;0),"※这一笔外销是亏的，请核对售价",IF(IFERROR(VLOOKUP($D3647,库存台账!$A$5:$Y$1204,24,0),0)&lt;-0.001,"※这个物料账面已经变成负数了，查一下是不是漏记入库","")))))))))))</f>
        <v/>
      </c>
    </row>
    <row r="3648">
      <c r="A3648" s="24">
        <f>IF($D3648="","",COUNTA($D$4:$D3648))</f>
        <v/>
      </c>
      <c r="B3648" s="17" t="n"/>
      <c r="C3648" s="30" t="n"/>
      <c r="D3648" s="17" t="n"/>
      <c r="E3648" s="24">
        <f>IF($D3648="","",IFERROR(VLOOKUP($D3648,物料档案!$A$4:$P$1203,3,0),"※编码不在物料档案里"))</f>
        <v/>
      </c>
      <c r="F3648" s="24">
        <f>IF($D3648="","",IFERROR(VLOOKUP($D3648,物料档案!$A$4:$P$1203,4,0),"※编码不在物料档案里"))</f>
        <v/>
      </c>
      <c r="G3648" s="24">
        <f>IF($D3648="","",IFERROR(VLOOKUP($D3648,物料档案!$A$4:$P$1203,5,0),"※编码不在物料档案里"))</f>
        <v/>
      </c>
      <c r="H3648" s="24">
        <f>IF($D3648="","",IFERROR(VLOOKUP($D3648,物料档案!$A$4:$P$1203,2,0),"※编码不在物料档案里"))</f>
        <v/>
      </c>
      <c r="I3648" s="24">
        <f>IF($D3648="","",IFERROR(VLOOKUP($D3648,物料档案!$A$4:$P$1203,6,0),"※编码不在物料档案里"))</f>
        <v/>
      </c>
      <c r="J3648" s="23" t="n"/>
      <c r="K3648" s="17" t="n"/>
      <c r="L3648" s="17" t="n"/>
      <c r="M3648" s="17" t="n"/>
      <c r="N3648" s="17" t="n"/>
      <c r="O3648" s="26">
        <f>IF($D3648="","",IFERROR(VLOOKUP($D3648,物料档案!$A$4:$P$1203,10,0),0))</f>
        <v/>
      </c>
      <c r="P3648" s="32" t="n"/>
      <c r="Q3648" s="26">
        <f>IF($D3648="","",IF($K3648&lt;&gt;"对外销售",0,ROUND(N($J3648)*IF($P3648="",N($O3648),N($P3648)),0)))</f>
        <v/>
      </c>
      <c r="R3648" s="26">
        <f>IF($D3648="","",IFERROR(VLOOKUP($D3648,库存台账!$A$5:$Y$1204,11,0),0))</f>
        <v/>
      </c>
      <c r="S3648" s="26">
        <f>IF($D3648="","",ROUND(N($J3648)*N($R3648),0))</f>
        <v/>
      </c>
      <c r="T3648" s="26">
        <f>IF($D3648="","",IF($K3648&lt;&gt;"对外销售","",ROUND($Q3648-$S3648,0)))</f>
        <v/>
      </c>
      <c r="U3648" s="17" t="n"/>
      <c r="V3648" s="17" t="n"/>
      <c r="W3648" s="24">
        <f>IF($D3648="","",IF($E3648="※编码不在物料档案里","※物料编码不在档案里",IF(N($J3648)&lt;=0,"※出库数量要大于 0",IF($K3648="","※没填去向类型",IF($L3648="","※没填去向矿区",IF(AND($C3648&lt;&gt;"",$C3648&lt;=结账锁),"※日期早于已结账截止日，不能再录",IF(AND($K3648="自用消耗",COUNTIF({"一矿区";"二矿区"},$L3648)=0),"※自用消耗的去向只能是一矿区或二矿区",IF(AND($K3648="对外销售",COUNTIF({"三矿区";"六矿区"},$L3648)=0),"※对外销售的去向只能是三矿区或六矿区",IF(AND($K3648="对外销售",ROUND($Q3648,0)=0),"※外销却没有售价，请填实际售价",IF(AND($K3648="对外销售",$T3648&lt;&gt;"",$T3648&lt;0),"※这一笔外销是亏的，请核对售价",IF(IFERROR(VLOOKUP($D3648,库存台账!$A$5:$Y$1204,24,0),0)&lt;-0.001,"※这个物料账面已经变成负数了，查一下是不是漏记入库","")))))))))))</f>
        <v/>
      </c>
    </row>
    <row r="3649">
      <c r="A3649" s="24">
        <f>IF($D3649="","",COUNTA($D$4:$D3649))</f>
        <v/>
      </c>
      <c r="B3649" s="17" t="n"/>
      <c r="C3649" s="30" t="n"/>
      <c r="D3649" s="17" t="n"/>
      <c r="E3649" s="24">
        <f>IF($D3649="","",IFERROR(VLOOKUP($D3649,物料档案!$A$4:$P$1203,3,0),"※编码不在物料档案里"))</f>
        <v/>
      </c>
      <c r="F3649" s="24">
        <f>IF($D3649="","",IFERROR(VLOOKUP($D3649,物料档案!$A$4:$P$1203,4,0),"※编码不在物料档案里"))</f>
        <v/>
      </c>
      <c r="G3649" s="24">
        <f>IF($D3649="","",IFERROR(VLOOKUP($D3649,物料档案!$A$4:$P$1203,5,0),"※编码不在物料档案里"))</f>
        <v/>
      </c>
      <c r="H3649" s="24">
        <f>IF($D3649="","",IFERROR(VLOOKUP($D3649,物料档案!$A$4:$P$1203,2,0),"※编码不在物料档案里"))</f>
        <v/>
      </c>
      <c r="I3649" s="24">
        <f>IF($D3649="","",IFERROR(VLOOKUP($D3649,物料档案!$A$4:$P$1203,6,0),"※编码不在物料档案里"))</f>
        <v/>
      </c>
      <c r="J3649" s="23" t="n"/>
      <c r="K3649" s="17" t="n"/>
      <c r="L3649" s="17" t="n"/>
      <c r="M3649" s="17" t="n"/>
      <c r="N3649" s="17" t="n"/>
      <c r="O3649" s="26">
        <f>IF($D3649="","",IFERROR(VLOOKUP($D3649,物料档案!$A$4:$P$1203,10,0),0))</f>
        <v/>
      </c>
      <c r="P3649" s="32" t="n"/>
      <c r="Q3649" s="26">
        <f>IF($D3649="","",IF($K3649&lt;&gt;"对外销售",0,ROUND(N($J3649)*IF($P3649="",N($O3649),N($P3649)),0)))</f>
        <v/>
      </c>
      <c r="R3649" s="26">
        <f>IF($D3649="","",IFERROR(VLOOKUP($D3649,库存台账!$A$5:$Y$1204,11,0),0))</f>
        <v/>
      </c>
      <c r="S3649" s="26">
        <f>IF($D3649="","",ROUND(N($J3649)*N($R3649),0))</f>
        <v/>
      </c>
      <c r="T3649" s="26">
        <f>IF($D3649="","",IF($K3649&lt;&gt;"对外销售","",ROUND($Q3649-$S3649,0)))</f>
        <v/>
      </c>
      <c r="U3649" s="17" t="n"/>
      <c r="V3649" s="17" t="n"/>
      <c r="W3649" s="24">
        <f>IF($D3649="","",IF($E3649="※编码不在物料档案里","※物料编码不在档案里",IF(N($J3649)&lt;=0,"※出库数量要大于 0",IF($K3649="","※没填去向类型",IF($L3649="","※没填去向矿区",IF(AND($C3649&lt;&gt;"",$C3649&lt;=结账锁),"※日期早于已结账截止日，不能再录",IF(AND($K3649="自用消耗",COUNTIF({"一矿区";"二矿区"},$L3649)=0),"※自用消耗的去向只能是一矿区或二矿区",IF(AND($K3649="对外销售",COUNTIF({"三矿区";"六矿区"},$L3649)=0),"※对外销售的去向只能是三矿区或六矿区",IF(AND($K3649="对外销售",ROUND($Q3649,0)=0),"※外销却没有售价，请填实际售价",IF(AND($K3649="对外销售",$T3649&lt;&gt;"",$T3649&lt;0),"※这一笔外销是亏的，请核对售价",IF(IFERROR(VLOOKUP($D3649,库存台账!$A$5:$Y$1204,24,0),0)&lt;-0.001,"※这个物料账面已经变成负数了，查一下是不是漏记入库","")))))))))))</f>
        <v/>
      </c>
    </row>
    <row r="3650">
      <c r="A3650" s="24">
        <f>IF($D3650="","",COUNTA($D$4:$D3650))</f>
        <v/>
      </c>
      <c r="B3650" s="17" t="n"/>
      <c r="C3650" s="30" t="n"/>
      <c r="D3650" s="17" t="n"/>
      <c r="E3650" s="24">
        <f>IF($D3650="","",IFERROR(VLOOKUP($D3650,物料档案!$A$4:$P$1203,3,0),"※编码不在物料档案里"))</f>
        <v/>
      </c>
      <c r="F3650" s="24">
        <f>IF($D3650="","",IFERROR(VLOOKUP($D3650,物料档案!$A$4:$P$1203,4,0),"※编码不在物料档案里"))</f>
        <v/>
      </c>
      <c r="G3650" s="24">
        <f>IF($D3650="","",IFERROR(VLOOKUP($D3650,物料档案!$A$4:$P$1203,5,0),"※编码不在物料档案里"))</f>
        <v/>
      </c>
      <c r="H3650" s="24">
        <f>IF($D3650="","",IFERROR(VLOOKUP($D3650,物料档案!$A$4:$P$1203,2,0),"※编码不在物料档案里"))</f>
        <v/>
      </c>
      <c r="I3650" s="24">
        <f>IF($D3650="","",IFERROR(VLOOKUP($D3650,物料档案!$A$4:$P$1203,6,0),"※编码不在物料档案里"))</f>
        <v/>
      </c>
      <c r="J3650" s="23" t="n"/>
      <c r="K3650" s="17" t="n"/>
      <c r="L3650" s="17" t="n"/>
      <c r="M3650" s="17" t="n"/>
      <c r="N3650" s="17" t="n"/>
      <c r="O3650" s="26">
        <f>IF($D3650="","",IFERROR(VLOOKUP($D3650,物料档案!$A$4:$P$1203,10,0),0))</f>
        <v/>
      </c>
      <c r="P3650" s="32" t="n"/>
      <c r="Q3650" s="26">
        <f>IF($D3650="","",IF($K3650&lt;&gt;"对外销售",0,ROUND(N($J3650)*IF($P3650="",N($O3650),N($P3650)),0)))</f>
        <v/>
      </c>
      <c r="R3650" s="26">
        <f>IF($D3650="","",IFERROR(VLOOKUP($D3650,库存台账!$A$5:$Y$1204,11,0),0))</f>
        <v/>
      </c>
      <c r="S3650" s="26">
        <f>IF($D3650="","",ROUND(N($J3650)*N($R3650),0))</f>
        <v/>
      </c>
      <c r="T3650" s="26">
        <f>IF($D3650="","",IF($K3650&lt;&gt;"对外销售","",ROUND($Q3650-$S3650,0)))</f>
        <v/>
      </c>
      <c r="U3650" s="17" t="n"/>
      <c r="V3650" s="17" t="n"/>
      <c r="W3650" s="24">
        <f>IF($D3650="","",IF($E3650="※编码不在物料档案里","※物料编码不在档案里",IF(N($J3650)&lt;=0,"※出库数量要大于 0",IF($K3650="","※没填去向类型",IF($L3650="","※没填去向矿区",IF(AND($C3650&lt;&gt;"",$C3650&lt;=结账锁),"※日期早于已结账截止日，不能再录",IF(AND($K3650="自用消耗",COUNTIF({"一矿区";"二矿区"},$L3650)=0),"※自用消耗的去向只能是一矿区或二矿区",IF(AND($K3650="对外销售",COUNTIF({"三矿区";"六矿区"},$L3650)=0),"※对外销售的去向只能是三矿区或六矿区",IF(AND($K3650="对外销售",ROUND($Q3650,0)=0),"※外销却没有售价，请填实际售价",IF(AND($K3650="对外销售",$T3650&lt;&gt;"",$T3650&lt;0),"※这一笔外销是亏的，请核对售价",IF(IFERROR(VLOOKUP($D3650,库存台账!$A$5:$Y$1204,24,0),0)&lt;-0.001,"※这个物料账面已经变成负数了，查一下是不是漏记入库","")))))))))))</f>
        <v/>
      </c>
    </row>
    <row r="3651">
      <c r="A3651" s="24">
        <f>IF($D3651="","",COUNTA($D$4:$D3651))</f>
        <v/>
      </c>
      <c r="B3651" s="17" t="n"/>
      <c r="C3651" s="30" t="n"/>
      <c r="D3651" s="17" t="n"/>
      <c r="E3651" s="24">
        <f>IF($D3651="","",IFERROR(VLOOKUP($D3651,物料档案!$A$4:$P$1203,3,0),"※编码不在物料档案里"))</f>
        <v/>
      </c>
      <c r="F3651" s="24">
        <f>IF($D3651="","",IFERROR(VLOOKUP($D3651,物料档案!$A$4:$P$1203,4,0),"※编码不在物料档案里"))</f>
        <v/>
      </c>
      <c r="G3651" s="24">
        <f>IF($D3651="","",IFERROR(VLOOKUP($D3651,物料档案!$A$4:$P$1203,5,0),"※编码不在物料档案里"))</f>
        <v/>
      </c>
      <c r="H3651" s="24">
        <f>IF($D3651="","",IFERROR(VLOOKUP($D3651,物料档案!$A$4:$P$1203,2,0),"※编码不在物料档案里"))</f>
        <v/>
      </c>
      <c r="I3651" s="24">
        <f>IF($D3651="","",IFERROR(VLOOKUP($D3651,物料档案!$A$4:$P$1203,6,0),"※编码不在物料档案里"))</f>
        <v/>
      </c>
      <c r="J3651" s="23" t="n"/>
      <c r="K3651" s="17" t="n"/>
      <c r="L3651" s="17" t="n"/>
      <c r="M3651" s="17" t="n"/>
      <c r="N3651" s="17" t="n"/>
      <c r="O3651" s="26">
        <f>IF($D3651="","",IFERROR(VLOOKUP($D3651,物料档案!$A$4:$P$1203,10,0),0))</f>
        <v/>
      </c>
      <c r="P3651" s="32" t="n"/>
      <c r="Q3651" s="26">
        <f>IF($D3651="","",IF($K3651&lt;&gt;"对外销售",0,ROUND(N($J3651)*IF($P3651="",N($O3651),N($P3651)),0)))</f>
        <v/>
      </c>
      <c r="R3651" s="26">
        <f>IF($D3651="","",IFERROR(VLOOKUP($D3651,库存台账!$A$5:$Y$1204,11,0),0))</f>
        <v/>
      </c>
      <c r="S3651" s="26">
        <f>IF($D3651="","",ROUND(N($J3651)*N($R3651),0))</f>
        <v/>
      </c>
      <c r="T3651" s="26">
        <f>IF($D3651="","",IF($K3651&lt;&gt;"对外销售","",ROUND($Q3651-$S3651,0)))</f>
        <v/>
      </c>
      <c r="U3651" s="17" t="n"/>
      <c r="V3651" s="17" t="n"/>
      <c r="W3651" s="24">
        <f>IF($D3651="","",IF($E3651="※编码不在物料档案里","※物料编码不在档案里",IF(N($J3651)&lt;=0,"※出库数量要大于 0",IF($K3651="","※没填去向类型",IF($L3651="","※没填去向矿区",IF(AND($C3651&lt;&gt;"",$C3651&lt;=结账锁),"※日期早于已结账截止日，不能再录",IF(AND($K3651="自用消耗",COUNTIF({"一矿区";"二矿区"},$L3651)=0),"※自用消耗的去向只能是一矿区或二矿区",IF(AND($K3651="对外销售",COUNTIF({"三矿区";"六矿区"},$L3651)=0),"※对外销售的去向只能是三矿区或六矿区",IF(AND($K3651="对外销售",ROUND($Q3651,0)=0),"※外销却没有售价，请填实际售价",IF(AND($K3651="对外销售",$T3651&lt;&gt;"",$T3651&lt;0),"※这一笔外销是亏的，请核对售价",IF(IFERROR(VLOOKUP($D3651,库存台账!$A$5:$Y$1204,24,0),0)&lt;-0.001,"※这个物料账面已经变成负数了，查一下是不是漏记入库","")))))))))))</f>
        <v/>
      </c>
    </row>
    <row r="3652">
      <c r="A3652" s="24">
        <f>IF($D3652="","",COUNTA($D$4:$D3652))</f>
        <v/>
      </c>
      <c r="B3652" s="17" t="n"/>
      <c r="C3652" s="30" t="n"/>
      <c r="D3652" s="17" t="n"/>
      <c r="E3652" s="24">
        <f>IF($D3652="","",IFERROR(VLOOKUP($D3652,物料档案!$A$4:$P$1203,3,0),"※编码不在物料档案里"))</f>
        <v/>
      </c>
      <c r="F3652" s="24">
        <f>IF($D3652="","",IFERROR(VLOOKUP($D3652,物料档案!$A$4:$P$1203,4,0),"※编码不在物料档案里"))</f>
        <v/>
      </c>
      <c r="G3652" s="24">
        <f>IF($D3652="","",IFERROR(VLOOKUP($D3652,物料档案!$A$4:$P$1203,5,0),"※编码不在物料档案里"))</f>
        <v/>
      </c>
      <c r="H3652" s="24">
        <f>IF($D3652="","",IFERROR(VLOOKUP($D3652,物料档案!$A$4:$P$1203,2,0),"※编码不在物料档案里"))</f>
        <v/>
      </c>
      <c r="I3652" s="24">
        <f>IF($D3652="","",IFERROR(VLOOKUP($D3652,物料档案!$A$4:$P$1203,6,0),"※编码不在物料档案里"))</f>
        <v/>
      </c>
      <c r="J3652" s="23" t="n"/>
      <c r="K3652" s="17" t="n"/>
      <c r="L3652" s="17" t="n"/>
      <c r="M3652" s="17" t="n"/>
      <c r="N3652" s="17" t="n"/>
      <c r="O3652" s="26">
        <f>IF($D3652="","",IFERROR(VLOOKUP($D3652,物料档案!$A$4:$P$1203,10,0),0))</f>
        <v/>
      </c>
      <c r="P3652" s="32" t="n"/>
      <c r="Q3652" s="26">
        <f>IF($D3652="","",IF($K3652&lt;&gt;"对外销售",0,ROUND(N($J3652)*IF($P3652="",N($O3652),N($P3652)),0)))</f>
        <v/>
      </c>
      <c r="R3652" s="26">
        <f>IF($D3652="","",IFERROR(VLOOKUP($D3652,库存台账!$A$5:$Y$1204,11,0),0))</f>
        <v/>
      </c>
      <c r="S3652" s="26">
        <f>IF($D3652="","",ROUND(N($J3652)*N($R3652),0))</f>
        <v/>
      </c>
      <c r="T3652" s="26">
        <f>IF($D3652="","",IF($K3652&lt;&gt;"对外销售","",ROUND($Q3652-$S3652,0)))</f>
        <v/>
      </c>
      <c r="U3652" s="17" t="n"/>
      <c r="V3652" s="17" t="n"/>
      <c r="W3652" s="24">
        <f>IF($D3652="","",IF($E3652="※编码不在物料档案里","※物料编码不在档案里",IF(N($J3652)&lt;=0,"※出库数量要大于 0",IF($K3652="","※没填去向类型",IF($L3652="","※没填去向矿区",IF(AND($C3652&lt;&gt;"",$C3652&lt;=结账锁),"※日期早于已结账截止日，不能再录",IF(AND($K3652="自用消耗",COUNTIF({"一矿区";"二矿区"},$L3652)=0),"※自用消耗的去向只能是一矿区或二矿区",IF(AND($K3652="对外销售",COUNTIF({"三矿区";"六矿区"},$L3652)=0),"※对外销售的去向只能是三矿区或六矿区",IF(AND($K3652="对外销售",ROUND($Q3652,0)=0),"※外销却没有售价，请填实际售价",IF(AND($K3652="对外销售",$T3652&lt;&gt;"",$T3652&lt;0),"※这一笔外销是亏的，请核对售价",IF(IFERROR(VLOOKUP($D3652,库存台账!$A$5:$Y$1204,24,0),0)&lt;-0.001,"※这个物料账面已经变成负数了，查一下是不是漏记入库","")))))))))))</f>
        <v/>
      </c>
    </row>
    <row r="3653">
      <c r="A3653" s="24">
        <f>IF($D3653="","",COUNTA($D$4:$D3653))</f>
        <v/>
      </c>
      <c r="B3653" s="17" t="n"/>
      <c r="C3653" s="30" t="n"/>
      <c r="D3653" s="17" t="n"/>
      <c r="E3653" s="24">
        <f>IF($D3653="","",IFERROR(VLOOKUP($D3653,物料档案!$A$4:$P$1203,3,0),"※编码不在物料档案里"))</f>
        <v/>
      </c>
      <c r="F3653" s="24">
        <f>IF($D3653="","",IFERROR(VLOOKUP($D3653,物料档案!$A$4:$P$1203,4,0),"※编码不在物料档案里"))</f>
        <v/>
      </c>
      <c r="G3653" s="24">
        <f>IF($D3653="","",IFERROR(VLOOKUP($D3653,物料档案!$A$4:$P$1203,5,0),"※编码不在物料档案里"))</f>
        <v/>
      </c>
      <c r="H3653" s="24">
        <f>IF($D3653="","",IFERROR(VLOOKUP($D3653,物料档案!$A$4:$P$1203,2,0),"※编码不在物料档案里"))</f>
        <v/>
      </c>
      <c r="I3653" s="24">
        <f>IF($D3653="","",IFERROR(VLOOKUP($D3653,物料档案!$A$4:$P$1203,6,0),"※编码不在物料档案里"))</f>
        <v/>
      </c>
      <c r="J3653" s="23" t="n"/>
      <c r="K3653" s="17" t="n"/>
      <c r="L3653" s="17" t="n"/>
      <c r="M3653" s="17" t="n"/>
      <c r="N3653" s="17" t="n"/>
      <c r="O3653" s="26">
        <f>IF($D3653="","",IFERROR(VLOOKUP($D3653,物料档案!$A$4:$P$1203,10,0),0))</f>
        <v/>
      </c>
      <c r="P3653" s="32" t="n"/>
      <c r="Q3653" s="26">
        <f>IF($D3653="","",IF($K3653&lt;&gt;"对外销售",0,ROUND(N($J3653)*IF($P3653="",N($O3653),N($P3653)),0)))</f>
        <v/>
      </c>
      <c r="R3653" s="26">
        <f>IF($D3653="","",IFERROR(VLOOKUP($D3653,库存台账!$A$5:$Y$1204,11,0),0))</f>
        <v/>
      </c>
      <c r="S3653" s="26">
        <f>IF($D3653="","",ROUND(N($J3653)*N($R3653),0))</f>
        <v/>
      </c>
      <c r="T3653" s="26">
        <f>IF($D3653="","",IF($K3653&lt;&gt;"对外销售","",ROUND($Q3653-$S3653,0)))</f>
        <v/>
      </c>
      <c r="U3653" s="17" t="n"/>
      <c r="V3653" s="17" t="n"/>
      <c r="W3653" s="24">
        <f>IF($D3653="","",IF($E3653="※编码不在物料档案里","※物料编码不在档案里",IF(N($J3653)&lt;=0,"※出库数量要大于 0",IF($K3653="","※没填去向类型",IF($L3653="","※没填去向矿区",IF(AND($C3653&lt;&gt;"",$C3653&lt;=结账锁),"※日期早于已结账截止日，不能再录",IF(AND($K3653="自用消耗",COUNTIF({"一矿区";"二矿区"},$L3653)=0),"※自用消耗的去向只能是一矿区或二矿区",IF(AND($K3653="对外销售",COUNTIF({"三矿区";"六矿区"},$L3653)=0),"※对外销售的去向只能是三矿区或六矿区",IF(AND($K3653="对外销售",ROUND($Q3653,0)=0),"※外销却没有售价，请填实际售价",IF(AND($K3653="对外销售",$T3653&lt;&gt;"",$T3653&lt;0),"※这一笔外销是亏的，请核对售价",IF(IFERROR(VLOOKUP($D3653,库存台账!$A$5:$Y$1204,24,0),0)&lt;-0.001,"※这个物料账面已经变成负数了，查一下是不是漏记入库","")))))))))))</f>
        <v/>
      </c>
    </row>
    <row r="3654">
      <c r="A3654" s="24">
        <f>IF($D3654="","",COUNTA($D$4:$D3654))</f>
        <v/>
      </c>
      <c r="B3654" s="17" t="n"/>
      <c r="C3654" s="30" t="n"/>
      <c r="D3654" s="17" t="n"/>
      <c r="E3654" s="24">
        <f>IF($D3654="","",IFERROR(VLOOKUP($D3654,物料档案!$A$4:$P$1203,3,0),"※编码不在物料档案里"))</f>
        <v/>
      </c>
      <c r="F3654" s="24">
        <f>IF($D3654="","",IFERROR(VLOOKUP($D3654,物料档案!$A$4:$P$1203,4,0),"※编码不在物料档案里"))</f>
        <v/>
      </c>
      <c r="G3654" s="24">
        <f>IF($D3654="","",IFERROR(VLOOKUP($D3654,物料档案!$A$4:$P$1203,5,0),"※编码不在物料档案里"))</f>
        <v/>
      </c>
      <c r="H3654" s="24">
        <f>IF($D3654="","",IFERROR(VLOOKUP($D3654,物料档案!$A$4:$P$1203,2,0),"※编码不在物料档案里"))</f>
        <v/>
      </c>
      <c r="I3654" s="24">
        <f>IF($D3654="","",IFERROR(VLOOKUP($D3654,物料档案!$A$4:$P$1203,6,0),"※编码不在物料档案里"))</f>
        <v/>
      </c>
      <c r="J3654" s="23" t="n"/>
      <c r="K3654" s="17" t="n"/>
      <c r="L3654" s="17" t="n"/>
      <c r="M3654" s="17" t="n"/>
      <c r="N3654" s="17" t="n"/>
      <c r="O3654" s="26">
        <f>IF($D3654="","",IFERROR(VLOOKUP($D3654,物料档案!$A$4:$P$1203,10,0),0))</f>
        <v/>
      </c>
      <c r="P3654" s="32" t="n"/>
      <c r="Q3654" s="26">
        <f>IF($D3654="","",IF($K3654&lt;&gt;"对外销售",0,ROUND(N($J3654)*IF($P3654="",N($O3654),N($P3654)),0)))</f>
        <v/>
      </c>
      <c r="R3654" s="26">
        <f>IF($D3654="","",IFERROR(VLOOKUP($D3654,库存台账!$A$5:$Y$1204,11,0),0))</f>
        <v/>
      </c>
      <c r="S3654" s="26">
        <f>IF($D3654="","",ROUND(N($J3654)*N($R3654),0))</f>
        <v/>
      </c>
      <c r="T3654" s="26">
        <f>IF($D3654="","",IF($K3654&lt;&gt;"对外销售","",ROUND($Q3654-$S3654,0)))</f>
        <v/>
      </c>
      <c r="U3654" s="17" t="n"/>
      <c r="V3654" s="17" t="n"/>
      <c r="W3654" s="24">
        <f>IF($D3654="","",IF($E3654="※编码不在物料档案里","※物料编码不在档案里",IF(N($J3654)&lt;=0,"※出库数量要大于 0",IF($K3654="","※没填去向类型",IF($L3654="","※没填去向矿区",IF(AND($C3654&lt;&gt;"",$C3654&lt;=结账锁),"※日期早于已结账截止日，不能再录",IF(AND($K3654="自用消耗",COUNTIF({"一矿区";"二矿区"},$L3654)=0),"※自用消耗的去向只能是一矿区或二矿区",IF(AND($K3654="对外销售",COUNTIF({"三矿区";"六矿区"},$L3654)=0),"※对外销售的去向只能是三矿区或六矿区",IF(AND($K3654="对外销售",ROUND($Q3654,0)=0),"※外销却没有售价，请填实际售价",IF(AND($K3654="对外销售",$T3654&lt;&gt;"",$T3654&lt;0),"※这一笔外销是亏的，请核对售价",IF(IFERROR(VLOOKUP($D3654,库存台账!$A$5:$Y$1204,24,0),0)&lt;-0.001,"※这个物料账面已经变成负数了，查一下是不是漏记入库","")))))))))))</f>
        <v/>
      </c>
    </row>
    <row r="3655">
      <c r="A3655" s="24">
        <f>IF($D3655="","",COUNTA($D$4:$D3655))</f>
        <v/>
      </c>
      <c r="B3655" s="17" t="n"/>
      <c r="C3655" s="30" t="n"/>
      <c r="D3655" s="17" t="n"/>
      <c r="E3655" s="24">
        <f>IF($D3655="","",IFERROR(VLOOKUP($D3655,物料档案!$A$4:$P$1203,3,0),"※编码不在物料档案里"))</f>
        <v/>
      </c>
      <c r="F3655" s="24">
        <f>IF($D3655="","",IFERROR(VLOOKUP($D3655,物料档案!$A$4:$P$1203,4,0),"※编码不在物料档案里"))</f>
        <v/>
      </c>
      <c r="G3655" s="24">
        <f>IF($D3655="","",IFERROR(VLOOKUP($D3655,物料档案!$A$4:$P$1203,5,0),"※编码不在物料档案里"))</f>
        <v/>
      </c>
      <c r="H3655" s="24">
        <f>IF($D3655="","",IFERROR(VLOOKUP($D3655,物料档案!$A$4:$P$1203,2,0),"※编码不在物料档案里"))</f>
        <v/>
      </c>
      <c r="I3655" s="24">
        <f>IF($D3655="","",IFERROR(VLOOKUP($D3655,物料档案!$A$4:$P$1203,6,0),"※编码不在物料档案里"))</f>
        <v/>
      </c>
      <c r="J3655" s="23" t="n"/>
      <c r="K3655" s="17" t="n"/>
      <c r="L3655" s="17" t="n"/>
      <c r="M3655" s="17" t="n"/>
      <c r="N3655" s="17" t="n"/>
      <c r="O3655" s="26">
        <f>IF($D3655="","",IFERROR(VLOOKUP($D3655,物料档案!$A$4:$P$1203,10,0),0))</f>
        <v/>
      </c>
      <c r="P3655" s="32" t="n"/>
      <c r="Q3655" s="26">
        <f>IF($D3655="","",IF($K3655&lt;&gt;"对外销售",0,ROUND(N($J3655)*IF($P3655="",N($O3655),N($P3655)),0)))</f>
        <v/>
      </c>
      <c r="R3655" s="26">
        <f>IF($D3655="","",IFERROR(VLOOKUP($D3655,库存台账!$A$5:$Y$1204,11,0),0))</f>
        <v/>
      </c>
      <c r="S3655" s="26">
        <f>IF($D3655="","",ROUND(N($J3655)*N($R3655),0))</f>
        <v/>
      </c>
      <c r="T3655" s="26">
        <f>IF($D3655="","",IF($K3655&lt;&gt;"对外销售","",ROUND($Q3655-$S3655,0)))</f>
        <v/>
      </c>
      <c r="U3655" s="17" t="n"/>
      <c r="V3655" s="17" t="n"/>
      <c r="W3655" s="24">
        <f>IF($D3655="","",IF($E3655="※编码不在物料档案里","※物料编码不在档案里",IF(N($J3655)&lt;=0,"※出库数量要大于 0",IF($K3655="","※没填去向类型",IF($L3655="","※没填去向矿区",IF(AND($C3655&lt;&gt;"",$C3655&lt;=结账锁),"※日期早于已结账截止日，不能再录",IF(AND($K3655="自用消耗",COUNTIF({"一矿区";"二矿区"},$L3655)=0),"※自用消耗的去向只能是一矿区或二矿区",IF(AND($K3655="对外销售",COUNTIF({"三矿区";"六矿区"},$L3655)=0),"※对外销售的去向只能是三矿区或六矿区",IF(AND($K3655="对外销售",ROUND($Q3655,0)=0),"※外销却没有售价，请填实际售价",IF(AND($K3655="对外销售",$T3655&lt;&gt;"",$T3655&lt;0),"※这一笔外销是亏的，请核对售价",IF(IFERROR(VLOOKUP($D3655,库存台账!$A$5:$Y$1204,24,0),0)&lt;-0.001,"※这个物料账面已经变成负数了，查一下是不是漏记入库","")))))))))))</f>
        <v/>
      </c>
    </row>
    <row r="3656">
      <c r="A3656" s="24">
        <f>IF($D3656="","",COUNTA($D$4:$D3656))</f>
        <v/>
      </c>
      <c r="B3656" s="17" t="n"/>
      <c r="C3656" s="30" t="n"/>
      <c r="D3656" s="17" t="n"/>
      <c r="E3656" s="24">
        <f>IF($D3656="","",IFERROR(VLOOKUP($D3656,物料档案!$A$4:$P$1203,3,0),"※编码不在物料档案里"))</f>
        <v/>
      </c>
      <c r="F3656" s="24">
        <f>IF($D3656="","",IFERROR(VLOOKUP($D3656,物料档案!$A$4:$P$1203,4,0),"※编码不在物料档案里"))</f>
        <v/>
      </c>
      <c r="G3656" s="24">
        <f>IF($D3656="","",IFERROR(VLOOKUP($D3656,物料档案!$A$4:$P$1203,5,0),"※编码不在物料档案里"))</f>
        <v/>
      </c>
      <c r="H3656" s="24">
        <f>IF($D3656="","",IFERROR(VLOOKUP($D3656,物料档案!$A$4:$P$1203,2,0),"※编码不在物料档案里"))</f>
        <v/>
      </c>
      <c r="I3656" s="24">
        <f>IF($D3656="","",IFERROR(VLOOKUP($D3656,物料档案!$A$4:$P$1203,6,0),"※编码不在物料档案里"))</f>
        <v/>
      </c>
      <c r="J3656" s="23" t="n"/>
      <c r="K3656" s="17" t="n"/>
      <c r="L3656" s="17" t="n"/>
      <c r="M3656" s="17" t="n"/>
      <c r="N3656" s="17" t="n"/>
      <c r="O3656" s="26">
        <f>IF($D3656="","",IFERROR(VLOOKUP($D3656,物料档案!$A$4:$P$1203,10,0),0))</f>
        <v/>
      </c>
      <c r="P3656" s="32" t="n"/>
      <c r="Q3656" s="26">
        <f>IF($D3656="","",IF($K3656&lt;&gt;"对外销售",0,ROUND(N($J3656)*IF($P3656="",N($O3656),N($P3656)),0)))</f>
        <v/>
      </c>
      <c r="R3656" s="26">
        <f>IF($D3656="","",IFERROR(VLOOKUP($D3656,库存台账!$A$5:$Y$1204,11,0),0))</f>
        <v/>
      </c>
      <c r="S3656" s="26">
        <f>IF($D3656="","",ROUND(N($J3656)*N($R3656),0))</f>
        <v/>
      </c>
      <c r="T3656" s="26">
        <f>IF($D3656="","",IF($K3656&lt;&gt;"对外销售","",ROUND($Q3656-$S3656,0)))</f>
        <v/>
      </c>
      <c r="U3656" s="17" t="n"/>
      <c r="V3656" s="17" t="n"/>
      <c r="W3656" s="24">
        <f>IF($D3656="","",IF($E3656="※编码不在物料档案里","※物料编码不在档案里",IF(N($J3656)&lt;=0,"※出库数量要大于 0",IF($K3656="","※没填去向类型",IF($L3656="","※没填去向矿区",IF(AND($C3656&lt;&gt;"",$C3656&lt;=结账锁),"※日期早于已结账截止日，不能再录",IF(AND($K3656="自用消耗",COUNTIF({"一矿区";"二矿区"},$L3656)=0),"※自用消耗的去向只能是一矿区或二矿区",IF(AND($K3656="对外销售",COUNTIF({"三矿区";"六矿区"},$L3656)=0),"※对外销售的去向只能是三矿区或六矿区",IF(AND($K3656="对外销售",ROUND($Q3656,0)=0),"※外销却没有售价，请填实际售价",IF(AND($K3656="对外销售",$T3656&lt;&gt;"",$T3656&lt;0),"※这一笔外销是亏的，请核对售价",IF(IFERROR(VLOOKUP($D3656,库存台账!$A$5:$Y$1204,24,0),0)&lt;-0.001,"※这个物料账面已经变成负数了，查一下是不是漏记入库","")))))))))))</f>
        <v/>
      </c>
    </row>
    <row r="3657">
      <c r="A3657" s="24">
        <f>IF($D3657="","",COUNTA($D$4:$D3657))</f>
        <v/>
      </c>
      <c r="B3657" s="17" t="n"/>
      <c r="C3657" s="30" t="n"/>
      <c r="D3657" s="17" t="n"/>
      <c r="E3657" s="24">
        <f>IF($D3657="","",IFERROR(VLOOKUP($D3657,物料档案!$A$4:$P$1203,3,0),"※编码不在物料档案里"))</f>
        <v/>
      </c>
      <c r="F3657" s="24">
        <f>IF($D3657="","",IFERROR(VLOOKUP($D3657,物料档案!$A$4:$P$1203,4,0),"※编码不在物料档案里"))</f>
        <v/>
      </c>
      <c r="G3657" s="24">
        <f>IF($D3657="","",IFERROR(VLOOKUP($D3657,物料档案!$A$4:$P$1203,5,0),"※编码不在物料档案里"))</f>
        <v/>
      </c>
      <c r="H3657" s="24">
        <f>IF($D3657="","",IFERROR(VLOOKUP($D3657,物料档案!$A$4:$P$1203,2,0),"※编码不在物料档案里"))</f>
        <v/>
      </c>
      <c r="I3657" s="24">
        <f>IF($D3657="","",IFERROR(VLOOKUP($D3657,物料档案!$A$4:$P$1203,6,0),"※编码不在物料档案里"))</f>
        <v/>
      </c>
      <c r="J3657" s="23" t="n"/>
      <c r="K3657" s="17" t="n"/>
      <c r="L3657" s="17" t="n"/>
      <c r="M3657" s="17" t="n"/>
      <c r="N3657" s="17" t="n"/>
      <c r="O3657" s="26">
        <f>IF($D3657="","",IFERROR(VLOOKUP($D3657,物料档案!$A$4:$P$1203,10,0),0))</f>
        <v/>
      </c>
      <c r="P3657" s="32" t="n"/>
      <c r="Q3657" s="26">
        <f>IF($D3657="","",IF($K3657&lt;&gt;"对外销售",0,ROUND(N($J3657)*IF($P3657="",N($O3657),N($P3657)),0)))</f>
        <v/>
      </c>
      <c r="R3657" s="26">
        <f>IF($D3657="","",IFERROR(VLOOKUP($D3657,库存台账!$A$5:$Y$1204,11,0),0))</f>
        <v/>
      </c>
      <c r="S3657" s="26">
        <f>IF($D3657="","",ROUND(N($J3657)*N($R3657),0))</f>
        <v/>
      </c>
      <c r="T3657" s="26">
        <f>IF($D3657="","",IF($K3657&lt;&gt;"对外销售","",ROUND($Q3657-$S3657,0)))</f>
        <v/>
      </c>
      <c r="U3657" s="17" t="n"/>
      <c r="V3657" s="17" t="n"/>
      <c r="W3657" s="24">
        <f>IF($D3657="","",IF($E3657="※编码不在物料档案里","※物料编码不在档案里",IF(N($J3657)&lt;=0,"※出库数量要大于 0",IF($K3657="","※没填去向类型",IF($L3657="","※没填去向矿区",IF(AND($C3657&lt;&gt;"",$C3657&lt;=结账锁),"※日期早于已结账截止日，不能再录",IF(AND($K3657="自用消耗",COUNTIF({"一矿区";"二矿区"},$L3657)=0),"※自用消耗的去向只能是一矿区或二矿区",IF(AND($K3657="对外销售",COUNTIF({"三矿区";"六矿区"},$L3657)=0),"※对外销售的去向只能是三矿区或六矿区",IF(AND($K3657="对外销售",ROUND($Q3657,0)=0),"※外销却没有售价，请填实际售价",IF(AND($K3657="对外销售",$T3657&lt;&gt;"",$T3657&lt;0),"※这一笔外销是亏的，请核对售价",IF(IFERROR(VLOOKUP($D3657,库存台账!$A$5:$Y$1204,24,0),0)&lt;-0.001,"※这个物料账面已经变成负数了，查一下是不是漏记入库","")))))))))))</f>
        <v/>
      </c>
    </row>
    <row r="3658">
      <c r="A3658" s="24">
        <f>IF($D3658="","",COUNTA($D$4:$D3658))</f>
        <v/>
      </c>
      <c r="B3658" s="17" t="n"/>
      <c r="C3658" s="30" t="n"/>
      <c r="D3658" s="17" t="n"/>
      <c r="E3658" s="24">
        <f>IF($D3658="","",IFERROR(VLOOKUP($D3658,物料档案!$A$4:$P$1203,3,0),"※编码不在物料档案里"))</f>
        <v/>
      </c>
      <c r="F3658" s="24">
        <f>IF($D3658="","",IFERROR(VLOOKUP($D3658,物料档案!$A$4:$P$1203,4,0),"※编码不在物料档案里"))</f>
        <v/>
      </c>
      <c r="G3658" s="24">
        <f>IF($D3658="","",IFERROR(VLOOKUP($D3658,物料档案!$A$4:$P$1203,5,0),"※编码不在物料档案里"))</f>
        <v/>
      </c>
      <c r="H3658" s="24">
        <f>IF($D3658="","",IFERROR(VLOOKUP($D3658,物料档案!$A$4:$P$1203,2,0),"※编码不在物料档案里"))</f>
        <v/>
      </c>
      <c r="I3658" s="24">
        <f>IF($D3658="","",IFERROR(VLOOKUP($D3658,物料档案!$A$4:$P$1203,6,0),"※编码不在物料档案里"))</f>
        <v/>
      </c>
      <c r="J3658" s="23" t="n"/>
      <c r="K3658" s="17" t="n"/>
      <c r="L3658" s="17" t="n"/>
      <c r="M3658" s="17" t="n"/>
      <c r="N3658" s="17" t="n"/>
      <c r="O3658" s="26">
        <f>IF($D3658="","",IFERROR(VLOOKUP($D3658,物料档案!$A$4:$P$1203,10,0),0))</f>
        <v/>
      </c>
      <c r="P3658" s="32" t="n"/>
      <c r="Q3658" s="26">
        <f>IF($D3658="","",IF($K3658&lt;&gt;"对外销售",0,ROUND(N($J3658)*IF($P3658="",N($O3658),N($P3658)),0)))</f>
        <v/>
      </c>
      <c r="R3658" s="26">
        <f>IF($D3658="","",IFERROR(VLOOKUP($D3658,库存台账!$A$5:$Y$1204,11,0),0))</f>
        <v/>
      </c>
      <c r="S3658" s="26">
        <f>IF($D3658="","",ROUND(N($J3658)*N($R3658),0))</f>
        <v/>
      </c>
      <c r="T3658" s="26">
        <f>IF($D3658="","",IF($K3658&lt;&gt;"对外销售","",ROUND($Q3658-$S3658,0)))</f>
        <v/>
      </c>
      <c r="U3658" s="17" t="n"/>
      <c r="V3658" s="17" t="n"/>
      <c r="W3658" s="24">
        <f>IF($D3658="","",IF($E3658="※编码不在物料档案里","※物料编码不在档案里",IF(N($J3658)&lt;=0,"※出库数量要大于 0",IF($K3658="","※没填去向类型",IF($L3658="","※没填去向矿区",IF(AND($C3658&lt;&gt;"",$C3658&lt;=结账锁),"※日期早于已结账截止日，不能再录",IF(AND($K3658="自用消耗",COUNTIF({"一矿区";"二矿区"},$L3658)=0),"※自用消耗的去向只能是一矿区或二矿区",IF(AND($K3658="对外销售",COUNTIF({"三矿区";"六矿区"},$L3658)=0),"※对外销售的去向只能是三矿区或六矿区",IF(AND($K3658="对外销售",ROUND($Q3658,0)=0),"※外销却没有售价，请填实际售价",IF(AND($K3658="对外销售",$T3658&lt;&gt;"",$T3658&lt;0),"※这一笔外销是亏的，请核对售价",IF(IFERROR(VLOOKUP($D3658,库存台账!$A$5:$Y$1204,24,0),0)&lt;-0.001,"※这个物料账面已经变成负数了，查一下是不是漏记入库","")))))))))))</f>
        <v/>
      </c>
    </row>
    <row r="3659">
      <c r="A3659" s="24">
        <f>IF($D3659="","",COUNTA($D$4:$D3659))</f>
        <v/>
      </c>
      <c r="B3659" s="17" t="n"/>
      <c r="C3659" s="30" t="n"/>
      <c r="D3659" s="17" t="n"/>
      <c r="E3659" s="24">
        <f>IF($D3659="","",IFERROR(VLOOKUP($D3659,物料档案!$A$4:$P$1203,3,0),"※编码不在物料档案里"))</f>
        <v/>
      </c>
      <c r="F3659" s="24">
        <f>IF($D3659="","",IFERROR(VLOOKUP($D3659,物料档案!$A$4:$P$1203,4,0),"※编码不在物料档案里"))</f>
        <v/>
      </c>
      <c r="G3659" s="24">
        <f>IF($D3659="","",IFERROR(VLOOKUP($D3659,物料档案!$A$4:$P$1203,5,0),"※编码不在物料档案里"))</f>
        <v/>
      </c>
      <c r="H3659" s="24">
        <f>IF($D3659="","",IFERROR(VLOOKUP($D3659,物料档案!$A$4:$P$1203,2,0),"※编码不在物料档案里"))</f>
        <v/>
      </c>
      <c r="I3659" s="24">
        <f>IF($D3659="","",IFERROR(VLOOKUP($D3659,物料档案!$A$4:$P$1203,6,0),"※编码不在物料档案里"))</f>
        <v/>
      </c>
      <c r="J3659" s="23" t="n"/>
      <c r="K3659" s="17" t="n"/>
      <c r="L3659" s="17" t="n"/>
      <c r="M3659" s="17" t="n"/>
      <c r="N3659" s="17" t="n"/>
      <c r="O3659" s="26">
        <f>IF($D3659="","",IFERROR(VLOOKUP($D3659,物料档案!$A$4:$P$1203,10,0),0))</f>
        <v/>
      </c>
      <c r="P3659" s="32" t="n"/>
      <c r="Q3659" s="26">
        <f>IF($D3659="","",IF($K3659&lt;&gt;"对外销售",0,ROUND(N($J3659)*IF($P3659="",N($O3659),N($P3659)),0)))</f>
        <v/>
      </c>
      <c r="R3659" s="26">
        <f>IF($D3659="","",IFERROR(VLOOKUP($D3659,库存台账!$A$5:$Y$1204,11,0),0))</f>
        <v/>
      </c>
      <c r="S3659" s="26">
        <f>IF($D3659="","",ROUND(N($J3659)*N($R3659),0))</f>
        <v/>
      </c>
      <c r="T3659" s="26">
        <f>IF($D3659="","",IF($K3659&lt;&gt;"对外销售","",ROUND($Q3659-$S3659,0)))</f>
        <v/>
      </c>
      <c r="U3659" s="17" t="n"/>
      <c r="V3659" s="17" t="n"/>
      <c r="W3659" s="24">
        <f>IF($D3659="","",IF($E3659="※编码不在物料档案里","※物料编码不在档案里",IF(N($J3659)&lt;=0,"※出库数量要大于 0",IF($K3659="","※没填去向类型",IF($L3659="","※没填去向矿区",IF(AND($C3659&lt;&gt;"",$C3659&lt;=结账锁),"※日期早于已结账截止日，不能再录",IF(AND($K3659="自用消耗",COUNTIF({"一矿区";"二矿区"},$L3659)=0),"※自用消耗的去向只能是一矿区或二矿区",IF(AND($K3659="对外销售",COUNTIF({"三矿区";"六矿区"},$L3659)=0),"※对外销售的去向只能是三矿区或六矿区",IF(AND($K3659="对外销售",ROUND($Q3659,0)=0),"※外销却没有售价，请填实际售价",IF(AND($K3659="对外销售",$T3659&lt;&gt;"",$T3659&lt;0),"※这一笔外销是亏的，请核对售价",IF(IFERROR(VLOOKUP($D3659,库存台账!$A$5:$Y$1204,24,0),0)&lt;-0.001,"※这个物料账面已经变成负数了，查一下是不是漏记入库","")))))))))))</f>
        <v/>
      </c>
    </row>
    <row r="3660">
      <c r="A3660" s="24">
        <f>IF($D3660="","",COUNTA($D$4:$D3660))</f>
        <v/>
      </c>
      <c r="B3660" s="17" t="n"/>
      <c r="C3660" s="30" t="n"/>
      <c r="D3660" s="17" t="n"/>
      <c r="E3660" s="24">
        <f>IF($D3660="","",IFERROR(VLOOKUP($D3660,物料档案!$A$4:$P$1203,3,0),"※编码不在物料档案里"))</f>
        <v/>
      </c>
      <c r="F3660" s="24">
        <f>IF($D3660="","",IFERROR(VLOOKUP($D3660,物料档案!$A$4:$P$1203,4,0),"※编码不在物料档案里"))</f>
        <v/>
      </c>
      <c r="G3660" s="24">
        <f>IF($D3660="","",IFERROR(VLOOKUP($D3660,物料档案!$A$4:$P$1203,5,0),"※编码不在物料档案里"))</f>
        <v/>
      </c>
      <c r="H3660" s="24">
        <f>IF($D3660="","",IFERROR(VLOOKUP($D3660,物料档案!$A$4:$P$1203,2,0),"※编码不在物料档案里"))</f>
        <v/>
      </c>
      <c r="I3660" s="24">
        <f>IF($D3660="","",IFERROR(VLOOKUP($D3660,物料档案!$A$4:$P$1203,6,0),"※编码不在物料档案里"))</f>
        <v/>
      </c>
      <c r="J3660" s="23" t="n"/>
      <c r="K3660" s="17" t="n"/>
      <c r="L3660" s="17" t="n"/>
      <c r="M3660" s="17" t="n"/>
      <c r="N3660" s="17" t="n"/>
      <c r="O3660" s="26">
        <f>IF($D3660="","",IFERROR(VLOOKUP($D3660,物料档案!$A$4:$P$1203,10,0),0))</f>
        <v/>
      </c>
      <c r="P3660" s="32" t="n"/>
      <c r="Q3660" s="26">
        <f>IF($D3660="","",IF($K3660&lt;&gt;"对外销售",0,ROUND(N($J3660)*IF($P3660="",N($O3660),N($P3660)),0)))</f>
        <v/>
      </c>
      <c r="R3660" s="26">
        <f>IF($D3660="","",IFERROR(VLOOKUP($D3660,库存台账!$A$5:$Y$1204,11,0),0))</f>
        <v/>
      </c>
      <c r="S3660" s="26">
        <f>IF($D3660="","",ROUND(N($J3660)*N($R3660),0))</f>
        <v/>
      </c>
      <c r="T3660" s="26">
        <f>IF($D3660="","",IF($K3660&lt;&gt;"对外销售","",ROUND($Q3660-$S3660,0)))</f>
        <v/>
      </c>
      <c r="U3660" s="17" t="n"/>
      <c r="V3660" s="17" t="n"/>
      <c r="W3660" s="24">
        <f>IF($D3660="","",IF($E3660="※编码不在物料档案里","※物料编码不在档案里",IF(N($J3660)&lt;=0,"※出库数量要大于 0",IF($K3660="","※没填去向类型",IF($L3660="","※没填去向矿区",IF(AND($C3660&lt;&gt;"",$C3660&lt;=结账锁),"※日期早于已结账截止日，不能再录",IF(AND($K3660="自用消耗",COUNTIF({"一矿区";"二矿区"},$L3660)=0),"※自用消耗的去向只能是一矿区或二矿区",IF(AND($K3660="对外销售",COUNTIF({"三矿区";"六矿区"},$L3660)=0),"※对外销售的去向只能是三矿区或六矿区",IF(AND($K3660="对外销售",ROUND($Q3660,0)=0),"※外销却没有售价，请填实际售价",IF(AND($K3660="对外销售",$T3660&lt;&gt;"",$T3660&lt;0),"※这一笔外销是亏的，请核对售价",IF(IFERROR(VLOOKUP($D3660,库存台账!$A$5:$Y$1204,24,0),0)&lt;-0.001,"※这个物料账面已经变成负数了，查一下是不是漏记入库","")))))))))))</f>
        <v/>
      </c>
    </row>
    <row r="3661">
      <c r="A3661" s="24">
        <f>IF($D3661="","",COUNTA($D$4:$D3661))</f>
        <v/>
      </c>
      <c r="B3661" s="17" t="n"/>
      <c r="C3661" s="30" t="n"/>
      <c r="D3661" s="17" t="n"/>
      <c r="E3661" s="24">
        <f>IF($D3661="","",IFERROR(VLOOKUP($D3661,物料档案!$A$4:$P$1203,3,0),"※编码不在物料档案里"))</f>
        <v/>
      </c>
      <c r="F3661" s="24">
        <f>IF($D3661="","",IFERROR(VLOOKUP($D3661,物料档案!$A$4:$P$1203,4,0),"※编码不在物料档案里"))</f>
        <v/>
      </c>
      <c r="G3661" s="24">
        <f>IF($D3661="","",IFERROR(VLOOKUP($D3661,物料档案!$A$4:$P$1203,5,0),"※编码不在物料档案里"))</f>
        <v/>
      </c>
      <c r="H3661" s="24">
        <f>IF($D3661="","",IFERROR(VLOOKUP($D3661,物料档案!$A$4:$P$1203,2,0),"※编码不在物料档案里"))</f>
        <v/>
      </c>
      <c r="I3661" s="24">
        <f>IF($D3661="","",IFERROR(VLOOKUP($D3661,物料档案!$A$4:$P$1203,6,0),"※编码不在物料档案里"))</f>
        <v/>
      </c>
      <c r="J3661" s="23" t="n"/>
      <c r="K3661" s="17" t="n"/>
      <c r="L3661" s="17" t="n"/>
      <c r="M3661" s="17" t="n"/>
      <c r="N3661" s="17" t="n"/>
      <c r="O3661" s="26">
        <f>IF($D3661="","",IFERROR(VLOOKUP($D3661,物料档案!$A$4:$P$1203,10,0),0))</f>
        <v/>
      </c>
      <c r="P3661" s="32" t="n"/>
      <c r="Q3661" s="26">
        <f>IF($D3661="","",IF($K3661&lt;&gt;"对外销售",0,ROUND(N($J3661)*IF($P3661="",N($O3661),N($P3661)),0)))</f>
        <v/>
      </c>
      <c r="R3661" s="26">
        <f>IF($D3661="","",IFERROR(VLOOKUP($D3661,库存台账!$A$5:$Y$1204,11,0),0))</f>
        <v/>
      </c>
      <c r="S3661" s="26">
        <f>IF($D3661="","",ROUND(N($J3661)*N($R3661),0))</f>
        <v/>
      </c>
      <c r="T3661" s="26">
        <f>IF($D3661="","",IF($K3661&lt;&gt;"对外销售","",ROUND($Q3661-$S3661,0)))</f>
        <v/>
      </c>
      <c r="U3661" s="17" t="n"/>
      <c r="V3661" s="17" t="n"/>
      <c r="W3661" s="24">
        <f>IF($D3661="","",IF($E3661="※编码不在物料档案里","※物料编码不在档案里",IF(N($J3661)&lt;=0,"※出库数量要大于 0",IF($K3661="","※没填去向类型",IF($L3661="","※没填去向矿区",IF(AND($C3661&lt;&gt;"",$C3661&lt;=结账锁),"※日期早于已结账截止日，不能再录",IF(AND($K3661="自用消耗",COUNTIF({"一矿区";"二矿区"},$L3661)=0),"※自用消耗的去向只能是一矿区或二矿区",IF(AND($K3661="对外销售",COUNTIF({"三矿区";"六矿区"},$L3661)=0),"※对外销售的去向只能是三矿区或六矿区",IF(AND($K3661="对外销售",ROUND($Q3661,0)=0),"※外销却没有售价，请填实际售价",IF(AND($K3661="对外销售",$T3661&lt;&gt;"",$T3661&lt;0),"※这一笔外销是亏的，请核对售价",IF(IFERROR(VLOOKUP($D3661,库存台账!$A$5:$Y$1204,24,0),0)&lt;-0.001,"※这个物料账面已经变成负数了，查一下是不是漏记入库","")))))))))))</f>
        <v/>
      </c>
    </row>
    <row r="3662">
      <c r="A3662" s="24">
        <f>IF($D3662="","",COUNTA($D$4:$D3662))</f>
        <v/>
      </c>
      <c r="B3662" s="17" t="n"/>
      <c r="C3662" s="30" t="n"/>
      <c r="D3662" s="17" t="n"/>
      <c r="E3662" s="24">
        <f>IF($D3662="","",IFERROR(VLOOKUP($D3662,物料档案!$A$4:$P$1203,3,0),"※编码不在物料档案里"))</f>
        <v/>
      </c>
      <c r="F3662" s="24">
        <f>IF($D3662="","",IFERROR(VLOOKUP($D3662,物料档案!$A$4:$P$1203,4,0),"※编码不在物料档案里"))</f>
        <v/>
      </c>
      <c r="G3662" s="24">
        <f>IF($D3662="","",IFERROR(VLOOKUP($D3662,物料档案!$A$4:$P$1203,5,0),"※编码不在物料档案里"))</f>
        <v/>
      </c>
      <c r="H3662" s="24">
        <f>IF($D3662="","",IFERROR(VLOOKUP($D3662,物料档案!$A$4:$P$1203,2,0),"※编码不在物料档案里"))</f>
        <v/>
      </c>
      <c r="I3662" s="24">
        <f>IF($D3662="","",IFERROR(VLOOKUP($D3662,物料档案!$A$4:$P$1203,6,0),"※编码不在物料档案里"))</f>
        <v/>
      </c>
      <c r="J3662" s="23" t="n"/>
      <c r="K3662" s="17" t="n"/>
      <c r="L3662" s="17" t="n"/>
      <c r="M3662" s="17" t="n"/>
      <c r="N3662" s="17" t="n"/>
      <c r="O3662" s="26">
        <f>IF($D3662="","",IFERROR(VLOOKUP($D3662,物料档案!$A$4:$P$1203,10,0),0))</f>
        <v/>
      </c>
      <c r="P3662" s="32" t="n"/>
      <c r="Q3662" s="26">
        <f>IF($D3662="","",IF($K3662&lt;&gt;"对外销售",0,ROUND(N($J3662)*IF($P3662="",N($O3662),N($P3662)),0)))</f>
        <v/>
      </c>
      <c r="R3662" s="26">
        <f>IF($D3662="","",IFERROR(VLOOKUP($D3662,库存台账!$A$5:$Y$1204,11,0),0))</f>
        <v/>
      </c>
      <c r="S3662" s="26">
        <f>IF($D3662="","",ROUND(N($J3662)*N($R3662),0))</f>
        <v/>
      </c>
      <c r="T3662" s="26">
        <f>IF($D3662="","",IF($K3662&lt;&gt;"对外销售","",ROUND($Q3662-$S3662,0)))</f>
        <v/>
      </c>
      <c r="U3662" s="17" t="n"/>
      <c r="V3662" s="17" t="n"/>
      <c r="W3662" s="24">
        <f>IF($D3662="","",IF($E3662="※编码不在物料档案里","※物料编码不在档案里",IF(N($J3662)&lt;=0,"※出库数量要大于 0",IF($K3662="","※没填去向类型",IF($L3662="","※没填去向矿区",IF(AND($C3662&lt;&gt;"",$C3662&lt;=结账锁),"※日期早于已结账截止日，不能再录",IF(AND($K3662="自用消耗",COUNTIF({"一矿区";"二矿区"},$L3662)=0),"※自用消耗的去向只能是一矿区或二矿区",IF(AND($K3662="对外销售",COUNTIF({"三矿区";"六矿区"},$L3662)=0),"※对外销售的去向只能是三矿区或六矿区",IF(AND($K3662="对外销售",ROUND($Q3662,0)=0),"※外销却没有售价，请填实际售价",IF(AND($K3662="对外销售",$T3662&lt;&gt;"",$T3662&lt;0),"※这一笔外销是亏的，请核对售价",IF(IFERROR(VLOOKUP($D3662,库存台账!$A$5:$Y$1204,24,0),0)&lt;-0.001,"※这个物料账面已经变成负数了，查一下是不是漏记入库","")))))))))))</f>
        <v/>
      </c>
    </row>
    <row r="3663">
      <c r="A3663" s="24">
        <f>IF($D3663="","",COUNTA($D$4:$D3663))</f>
        <v/>
      </c>
      <c r="B3663" s="17" t="n"/>
      <c r="C3663" s="30" t="n"/>
      <c r="D3663" s="17" t="n"/>
      <c r="E3663" s="24">
        <f>IF($D3663="","",IFERROR(VLOOKUP($D3663,物料档案!$A$4:$P$1203,3,0),"※编码不在物料档案里"))</f>
        <v/>
      </c>
      <c r="F3663" s="24">
        <f>IF($D3663="","",IFERROR(VLOOKUP($D3663,物料档案!$A$4:$P$1203,4,0),"※编码不在物料档案里"))</f>
        <v/>
      </c>
      <c r="G3663" s="24">
        <f>IF($D3663="","",IFERROR(VLOOKUP($D3663,物料档案!$A$4:$P$1203,5,0),"※编码不在物料档案里"))</f>
        <v/>
      </c>
      <c r="H3663" s="24">
        <f>IF($D3663="","",IFERROR(VLOOKUP($D3663,物料档案!$A$4:$P$1203,2,0),"※编码不在物料档案里"))</f>
        <v/>
      </c>
      <c r="I3663" s="24">
        <f>IF($D3663="","",IFERROR(VLOOKUP($D3663,物料档案!$A$4:$P$1203,6,0),"※编码不在物料档案里"))</f>
        <v/>
      </c>
      <c r="J3663" s="23" t="n"/>
      <c r="K3663" s="17" t="n"/>
      <c r="L3663" s="17" t="n"/>
      <c r="M3663" s="17" t="n"/>
      <c r="N3663" s="17" t="n"/>
      <c r="O3663" s="26">
        <f>IF($D3663="","",IFERROR(VLOOKUP($D3663,物料档案!$A$4:$P$1203,10,0),0))</f>
        <v/>
      </c>
      <c r="P3663" s="32" t="n"/>
      <c r="Q3663" s="26">
        <f>IF($D3663="","",IF($K3663&lt;&gt;"对外销售",0,ROUND(N($J3663)*IF($P3663="",N($O3663),N($P3663)),0)))</f>
        <v/>
      </c>
      <c r="R3663" s="26">
        <f>IF($D3663="","",IFERROR(VLOOKUP($D3663,库存台账!$A$5:$Y$1204,11,0),0))</f>
        <v/>
      </c>
      <c r="S3663" s="26">
        <f>IF($D3663="","",ROUND(N($J3663)*N($R3663),0))</f>
        <v/>
      </c>
      <c r="T3663" s="26">
        <f>IF($D3663="","",IF($K3663&lt;&gt;"对外销售","",ROUND($Q3663-$S3663,0)))</f>
        <v/>
      </c>
      <c r="U3663" s="17" t="n"/>
      <c r="V3663" s="17" t="n"/>
      <c r="W3663" s="24">
        <f>IF($D3663="","",IF($E3663="※编码不在物料档案里","※物料编码不在档案里",IF(N($J3663)&lt;=0,"※出库数量要大于 0",IF($K3663="","※没填去向类型",IF($L3663="","※没填去向矿区",IF(AND($C3663&lt;&gt;"",$C3663&lt;=结账锁),"※日期早于已结账截止日，不能再录",IF(AND($K3663="自用消耗",COUNTIF({"一矿区";"二矿区"},$L3663)=0),"※自用消耗的去向只能是一矿区或二矿区",IF(AND($K3663="对外销售",COUNTIF({"三矿区";"六矿区"},$L3663)=0),"※对外销售的去向只能是三矿区或六矿区",IF(AND($K3663="对外销售",ROUND($Q3663,0)=0),"※外销却没有售价，请填实际售价",IF(AND($K3663="对外销售",$T3663&lt;&gt;"",$T3663&lt;0),"※这一笔外销是亏的，请核对售价",IF(IFERROR(VLOOKUP($D3663,库存台账!$A$5:$Y$1204,24,0),0)&lt;-0.001,"※这个物料账面已经变成负数了，查一下是不是漏记入库","")))))))))))</f>
        <v/>
      </c>
    </row>
    <row r="3664">
      <c r="A3664" s="24">
        <f>IF($D3664="","",COUNTA($D$4:$D3664))</f>
        <v/>
      </c>
      <c r="B3664" s="17" t="n"/>
      <c r="C3664" s="30" t="n"/>
      <c r="D3664" s="17" t="n"/>
      <c r="E3664" s="24">
        <f>IF($D3664="","",IFERROR(VLOOKUP($D3664,物料档案!$A$4:$P$1203,3,0),"※编码不在物料档案里"))</f>
        <v/>
      </c>
      <c r="F3664" s="24">
        <f>IF($D3664="","",IFERROR(VLOOKUP($D3664,物料档案!$A$4:$P$1203,4,0),"※编码不在物料档案里"))</f>
        <v/>
      </c>
      <c r="G3664" s="24">
        <f>IF($D3664="","",IFERROR(VLOOKUP($D3664,物料档案!$A$4:$P$1203,5,0),"※编码不在物料档案里"))</f>
        <v/>
      </c>
      <c r="H3664" s="24">
        <f>IF($D3664="","",IFERROR(VLOOKUP($D3664,物料档案!$A$4:$P$1203,2,0),"※编码不在物料档案里"))</f>
        <v/>
      </c>
      <c r="I3664" s="24">
        <f>IF($D3664="","",IFERROR(VLOOKUP($D3664,物料档案!$A$4:$P$1203,6,0),"※编码不在物料档案里"))</f>
        <v/>
      </c>
      <c r="J3664" s="23" t="n"/>
      <c r="K3664" s="17" t="n"/>
      <c r="L3664" s="17" t="n"/>
      <c r="M3664" s="17" t="n"/>
      <c r="N3664" s="17" t="n"/>
      <c r="O3664" s="26">
        <f>IF($D3664="","",IFERROR(VLOOKUP($D3664,物料档案!$A$4:$P$1203,10,0),0))</f>
        <v/>
      </c>
      <c r="P3664" s="32" t="n"/>
      <c r="Q3664" s="26">
        <f>IF($D3664="","",IF($K3664&lt;&gt;"对外销售",0,ROUND(N($J3664)*IF($P3664="",N($O3664),N($P3664)),0)))</f>
        <v/>
      </c>
      <c r="R3664" s="26">
        <f>IF($D3664="","",IFERROR(VLOOKUP($D3664,库存台账!$A$5:$Y$1204,11,0),0))</f>
        <v/>
      </c>
      <c r="S3664" s="26">
        <f>IF($D3664="","",ROUND(N($J3664)*N($R3664),0))</f>
        <v/>
      </c>
      <c r="T3664" s="26">
        <f>IF($D3664="","",IF($K3664&lt;&gt;"对外销售","",ROUND($Q3664-$S3664,0)))</f>
        <v/>
      </c>
      <c r="U3664" s="17" t="n"/>
      <c r="V3664" s="17" t="n"/>
      <c r="W3664" s="24">
        <f>IF($D3664="","",IF($E3664="※编码不在物料档案里","※物料编码不在档案里",IF(N($J3664)&lt;=0,"※出库数量要大于 0",IF($K3664="","※没填去向类型",IF($L3664="","※没填去向矿区",IF(AND($C3664&lt;&gt;"",$C3664&lt;=结账锁),"※日期早于已结账截止日，不能再录",IF(AND($K3664="自用消耗",COUNTIF({"一矿区";"二矿区"},$L3664)=0),"※自用消耗的去向只能是一矿区或二矿区",IF(AND($K3664="对外销售",COUNTIF({"三矿区";"六矿区"},$L3664)=0),"※对外销售的去向只能是三矿区或六矿区",IF(AND($K3664="对外销售",ROUND($Q3664,0)=0),"※外销却没有售价，请填实际售价",IF(AND($K3664="对外销售",$T3664&lt;&gt;"",$T3664&lt;0),"※这一笔外销是亏的，请核对售价",IF(IFERROR(VLOOKUP($D3664,库存台账!$A$5:$Y$1204,24,0),0)&lt;-0.001,"※这个物料账面已经变成负数了，查一下是不是漏记入库","")))))))))))</f>
        <v/>
      </c>
    </row>
    <row r="3665">
      <c r="A3665" s="24">
        <f>IF($D3665="","",COUNTA($D$4:$D3665))</f>
        <v/>
      </c>
      <c r="B3665" s="17" t="n"/>
      <c r="C3665" s="30" t="n"/>
      <c r="D3665" s="17" t="n"/>
      <c r="E3665" s="24">
        <f>IF($D3665="","",IFERROR(VLOOKUP($D3665,物料档案!$A$4:$P$1203,3,0),"※编码不在物料档案里"))</f>
        <v/>
      </c>
      <c r="F3665" s="24">
        <f>IF($D3665="","",IFERROR(VLOOKUP($D3665,物料档案!$A$4:$P$1203,4,0),"※编码不在物料档案里"))</f>
        <v/>
      </c>
      <c r="G3665" s="24">
        <f>IF($D3665="","",IFERROR(VLOOKUP($D3665,物料档案!$A$4:$P$1203,5,0),"※编码不在物料档案里"))</f>
        <v/>
      </c>
      <c r="H3665" s="24">
        <f>IF($D3665="","",IFERROR(VLOOKUP($D3665,物料档案!$A$4:$P$1203,2,0),"※编码不在物料档案里"))</f>
        <v/>
      </c>
      <c r="I3665" s="24">
        <f>IF($D3665="","",IFERROR(VLOOKUP($D3665,物料档案!$A$4:$P$1203,6,0),"※编码不在物料档案里"))</f>
        <v/>
      </c>
      <c r="J3665" s="23" t="n"/>
      <c r="K3665" s="17" t="n"/>
      <c r="L3665" s="17" t="n"/>
      <c r="M3665" s="17" t="n"/>
      <c r="N3665" s="17" t="n"/>
      <c r="O3665" s="26">
        <f>IF($D3665="","",IFERROR(VLOOKUP($D3665,物料档案!$A$4:$P$1203,10,0),0))</f>
        <v/>
      </c>
      <c r="P3665" s="32" t="n"/>
      <c r="Q3665" s="26">
        <f>IF($D3665="","",IF($K3665&lt;&gt;"对外销售",0,ROUND(N($J3665)*IF($P3665="",N($O3665),N($P3665)),0)))</f>
        <v/>
      </c>
      <c r="R3665" s="26">
        <f>IF($D3665="","",IFERROR(VLOOKUP($D3665,库存台账!$A$5:$Y$1204,11,0),0))</f>
        <v/>
      </c>
      <c r="S3665" s="26">
        <f>IF($D3665="","",ROUND(N($J3665)*N($R3665),0))</f>
        <v/>
      </c>
      <c r="T3665" s="26">
        <f>IF($D3665="","",IF($K3665&lt;&gt;"对外销售","",ROUND($Q3665-$S3665,0)))</f>
        <v/>
      </c>
      <c r="U3665" s="17" t="n"/>
      <c r="V3665" s="17" t="n"/>
      <c r="W3665" s="24">
        <f>IF($D3665="","",IF($E3665="※编码不在物料档案里","※物料编码不在档案里",IF(N($J3665)&lt;=0,"※出库数量要大于 0",IF($K3665="","※没填去向类型",IF($L3665="","※没填去向矿区",IF(AND($C3665&lt;&gt;"",$C3665&lt;=结账锁),"※日期早于已结账截止日，不能再录",IF(AND($K3665="自用消耗",COUNTIF({"一矿区";"二矿区"},$L3665)=0),"※自用消耗的去向只能是一矿区或二矿区",IF(AND($K3665="对外销售",COUNTIF({"三矿区";"六矿区"},$L3665)=0),"※对外销售的去向只能是三矿区或六矿区",IF(AND($K3665="对外销售",ROUND($Q3665,0)=0),"※外销却没有售价，请填实际售价",IF(AND($K3665="对外销售",$T3665&lt;&gt;"",$T3665&lt;0),"※这一笔外销是亏的，请核对售价",IF(IFERROR(VLOOKUP($D3665,库存台账!$A$5:$Y$1204,24,0),0)&lt;-0.001,"※这个物料账面已经变成负数了，查一下是不是漏记入库","")))))))))))</f>
        <v/>
      </c>
    </row>
    <row r="3666">
      <c r="A3666" s="24">
        <f>IF($D3666="","",COUNTA($D$4:$D3666))</f>
        <v/>
      </c>
      <c r="B3666" s="17" t="n"/>
      <c r="C3666" s="30" t="n"/>
      <c r="D3666" s="17" t="n"/>
      <c r="E3666" s="24">
        <f>IF($D3666="","",IFERROR(VLOOKUP($D3666,物料档案!$A$4:$P$1203,3,0),"※编码不在物料档案里"))</f>
        <v/>
      </c>
      <c r="F3666" s="24">
        <f>IF($D3666="","",IFERROR(VLOOKUP($D3666,物料档案!$A$4:$P$1203,4,0),"※编码不在物料档案里"))</f>
        <v/>
      </c>
      <c r="G3666" s="24">
        <f>IF($D3666="","",IFERROR(VLOOKUP($D3666,物料档案!$A$4:$P$1203,5,0),"※编码不在物料档案里"))</f>
        <v/>
      </c>
      <c r="H3666" s="24">
        <f>IF($D3666="","",IFERROR(VLOOKUP($D3666,物料档案!$A$4:$P$1203,2,0),"※编码不在物料档案里"))</f>
        <v/>
      </c>
      <c r="I3666" s="24">
        <f>IF($D3666="","",IFERROR(VLOOKUP($D3666,物料档案!$A$4:$P$1203,6,0),"※编码不在物料档案里"))</f>
        <v/>
      </c>
      <c r="J3666" s="23" t="n"/>
      <c r="K3666" s="17" t="n"/>
      <c r="L3666" s="17" t="n"/>
      <c r="M3666" s="17" t="n"/>
      <c r="N3666" s="17" t="n"/>
      <c r="O3666" s="26">
        <f>IF($D3666="","",IFERROR(VLOOKUP($D3666,物料档案!$A$4:$P$1203,10,0),0))</f>
        <v/>
      </c>
      <c r="P3666" s="32" t="n"/>
      <c r="Q3666" s="26">
        <f>IF($D3666="","",IF($K3666&lt;&gt;"对外销售",0,ROUND(N($J3666)*IF($P3666="",N($O3666),N($P3666)),0)))</f>
        <v/>
      </c>
      <c r="R3666" s="26">
        <f>IF($D3666="","",IFERROR(VLOOKUP($D3666,库存台账!$A$5:$Y$1204,11,0),0))</f>
        <v/>
      </c>
      <c r="S3666" s="26">
        <f>IF($D3666="","",ROUND(N($J3666)*N($R3666),0))</f>
        <v/>
      </c>
      <c r="T3666" s="26">
        <f>IF($D3666="","",IF($K3666&lt;&gt;"对外销售","",ROUND($Q3666-$S3666,0)))</f>
        <v/>
      </c>
      <c r="U3666" s="17" t="n"/>
      <c r="V3666" s="17" t="n"/>
      <c r="W3666" s="24">
        <f>IF($D3666="","",IF($E3666="※编码不在物料档案里","※物料编码不在档案里",IF(N($J3666)&lt;=0,"※出库数量要大于 0",IF($K3666="","※没填去向类型",IF($L3666="","※没填去向矿区",IF(AND($C3666&lt;&gt;"",$C3666&lt;=结账锁),"※日期早于已结账截止日，不能再录",IF(AND($K3666="自用消耗",COUNTIF({"一矿区";"二矿区"},$L3666)=0),"※自用消耗的去向只能是一矿区或二矿区",IF(AND($K3666="对外销售",COUNTIF({"三矿区";"六矿区"},$L3666)=0),"※对外销售的去向只能是三矿区或六矿区",IF(AND($K3666="对外销售",ROUND($Q3666,0)=0),"※外销却没有售价，请填实际售价",IF(AND($K3666="对外销售",$T3666&lt;&gt;"",$T3666&lt;0),"※这一笔外销是亏的，请核对售价",IF(IFERROR(VLOOKUP($D3666,库存台账!$A$5:$Y$1204,24,0),0)&lt;-0.001,"※这个物料账面已经变成负数了，查一下是不是漏记入库","")))))))))))</f>
        <v/>
      </c>
    </row>
    <row r="3667">
      <c r="A3667" s="24">
        <f>IF($D3667="","",COUNTA($D$4:$D3667))</f>
        <v/>
      </c>
      <c r="B3667" s="17" t="n"/>
      <c r="C3667" s="30" t="n"/>
      <c r="D3667" s="17" t="n"/>
      <c r="E3667" s="24">
        <f>IF($D3667="","",IFERROR(VLOOKUP($D3667,物料档案!$A$4:$P$1203,3,0),"※编码不在物料档案里"))</f>
        <v/>
      </c>
      <c r="F3667" s="24">
        <f>IF($D3667="","",IFERROR(VLOOKUP($D3667,物料档案!$A$4:$P$1203,4,0),"※编码不在物料档案里"))</f>
        <v/>
      </c>
      <c r="G3667" s="24">
        <f>IF($D3667="","",IFERROR(VLOOKUP($D3667,物料档案!$A$4:$P$1203,5,0),"※编码不在物料档案里"))</f>
        <v/>
      </c>
      <c r="H3667" s="24">
        <f>IF($D3667="","",IFERROR(VLOOKUP($D3667,物料档案!$A$4:$P$1203,2,0),"※编码不在物料档案里"))</f>
        <v/>
      </c>
      <c r="I3667" s="24">
        <f>IF($D3667="","",IFERROR(VLOOKUP($D3667,物料档案!$A$4:$P$1203,6,0),"※编码不在物料档案里"))</f>
        <v/>
      </c>
      <c r="J3667" s="23" t="n"/>
      <c r="K3667" s="17" t="n"/>
      <c r="L3667" s="17" t="n"/>
      <c r="M3667" s="17" t="n"/>
      <c r="N3667" s="17" t="n"/>
      <c r="O3667" s="26">
        <f>IF($D3667="","",IFERROR(VLOOKUP($D3667,物料档案!$A$4:$P$1203,10,0),0))</f>
        <v/>
      </c>
      <c r="P3667" s="32" t="n"/>
      <c r="Q3667" s="26">
        <f>IF($D3667="","",IF($K3667&lt;&gt;"对外销售",0,ROUND(N($J3667)*IF($P3667="",N($O3667),N($P3667)),0)))</f>
        <v/>
      </c>
      <c r="R3667" s="26">
        <f>IF($D3667="","",IFERROR(VLOOKUP($D3667,库存台账!$A$5:$Y$1204,11,0),0))</f>
        <v/>
      </c>
      <c r="S3667" s="26">
        <f>IF($D3667="","",ROUND(N($J3667)*N($R3667),0))</f>
        <v/>
      </c>
      <c r="T3667" s="26">
        <f>IF($D3667="","",IF($K3667&lt;&gt;"对外销售","",ROUND($Q3667-$S3667,0)))</f>
        <v/>
      </c>
      <c r="U3667" s="17" t="n"/>
      <c r="V3667" s="17" t="n"/>
      <c r="W3667" s="24">
        <f>IF($D3667="","",IF($E3667="※编码不在物料档案里","※物料编码不在档案里",IF(N($J3667)&lt;=0,"※出库数量要大于 0",IF($K3667="","※没填去向类型",IF($L3667="","※没填去向矿区",IF(AND($C3667&lt;&gt;"",$C3667&lt;=结账锁),"※日期早于已结账截止日，不能再录",IF(AND($K3667="自用消耗",COUNTIF({"一矿区";"二矿区"},$L3667)=0),"※自用消耗的去向只能是一矿区或二矿区",IF(AND($K3667="对外销售",COUNTIF({"三矿区";"六矿区"},$L3667)=0),"※对外销售的去向只能是三矿区或六矿区",IF(AND($K3667="对外销售",ROUND($Q3667,0)=0),"※外销却没有售价，请填实际售价",IF(AND($K3667="对外销售",$T3667&lt;&gt;"",$T3667&lt;0),"※这一笔外销是亏的，请核对售价",IF(IFERROR(VLOOKUP($D3667,库存台账!$A$5:$Y$1204,24,0),0)&lt;-0.001,"※这个物料账面已经变成负数了，查一下是不是漏记入库","")))))))))))</f>
        <v/>
      </c>
    </row>
    <row r="3668">
      <c r="A3668" s="24">
        <f>IF($D3668="","",COUNTA($D$4:$D3668))</f>
        <v/>
      </c>
      <c r="B3668" s="17" t="n"/>
      <c r="C3668" s="30" t="n"/>
      <c r="D3668" s="17" t="n"/>
      <c r="E3668" s="24">
        <f>IF($D3668="","",IFERROR(VLOOKUP($D3668,物料档案!$A$4:$P$1203,3,0),"※编码不在物料档案里"))</f>
        <v/>
      </c>
      <c r="F3668" s="24">
        <f>IF($D3668="","",IFERROR(VLOOKUP($D3668,物料档案!$A$4:$P$1203,4,0),"※编码不在物料档案里"))</f>
        <v/>
      </c>
      <c r="G3668" s="24">
        <f>IF($D3668="","",IFERROR(VLOOKUP($D3668,物料档案!$A$4:$P$1203,5,0),"※编码不在物料档案里"))</f>
        <v/>
      </c>
      <c r="H3668" s="24">
        <f>IF($D3668="","",IFERROR(VLOOKUP($D3668,物料档案!$A$4:$P$1203,2,0),"※编码不在物料档案里"))</f>
        <v/>
      </c>
      <c r="I3668" s="24">
        <f>IF($D3668="","",IFERROR(VLOOKUP($D3668,物料档案!$A$4:$P$1203,6,0),"※编码不在物料档案里"))</f>
        <v/>
      </c>
      <c r="J3668" s="23" t="n"/>
      <c r="K3668" s="17" t="n"/>
      <c r="L3668" s="17" t="n"/>
      <c r="M3668" s="17" t="n"/>
      <c r="N3668" s="17" t="n"/>
      <c r="O3668" s="26">
        <f>IF($D3668="","",IFERROR(VLOOKUP($D3668,物料档案!$A$4:$P$1203,10,0),0))</f>
        <v/>
      </c>
      <c r="P3668" s="32" t="n"/>
      <c r="Q3668" s="26">
        <f>IF($D3668="","",IF($K3668&lt;&gt;"对外销售",0,ROUND(N($J3668)*IF($P3668="",N($O3668),N($P3668)),0)))</f>
        <v/>
      </c>
      <c r="R3668" s="26">
        <f>IF($D3668="","",IFERROR(VLOOKUP($D3668,库存台账!$A$5:$Y$1204,11,0),0))</f>
        <v/>
      </c>
      <c r="S3668" s="26">
        <f>IF($D3668="","",ROUND(N($J3668)*N($R3668),0))</f>
        <v/>
      </c>
      <c r="T3668" s="26">
        <f>IF($D3668="","",IF($K3668&lt;&gt;"对外销售","",ROUND($Q3668-$S3668,0)))</f>
        <v/>
      </c>
      <c r="U3668" s="17" t="n"/>
      <c r="V3668" s="17" t="n"/>
      <c r="W3668" s="24">
        <f>IF($D3668="","",IF($E3668="※编码不在物料档案里","※物料编码不在档案里",IF(N($J3668)&lt;=0,"※出库数量要大于 0",IF($K3668="","※没填去向类型",IF($L3668="","※没填去向矿区",IF(AND($C3668&lt;&gt;"",$C3668&lt;=结账锁),"※日期早于已结账截止日，不能再录",IF(AND($K3668="自用消耗",COUNTIF({"一矿区";"二矿区"},$L3668)=0),"※自用消耗的去向只能是一矿区或二矿区",IF(AND($K3668="对外销售",COUNTIF({"三矿区";"六矿区"},$L3668)=0),"※对外销售的去向只能是三矿区或六矿区",IF(AND($K3668="对外销售",ROUND($Q3668,0)=0),"※外销却没有售价，请填实际售价",IF(AND($K3668="对外销售",$T3668&lt;&gt;"",$T3668&lt;0),"※这一笔外销是亏的，请核对售价",IF(IFERROR(VLOOKUP($D3668,库存台账!$A$5:$Y$1204,24,0),0)&lt;-0.001,"※这个物料账面已经变成负数了，查一下是不是漏记入库","")))))))))))</f>
        <v/>
      </c>
    </row>
    <row r="3669">
      <c r="A3669" s="24">
        <f>IF($D3669="","",COUNTA($D$4:$D3669))</f>
        <v/>
      </c>
      <c r="B3669" s="17" t="n"/>
      <c r="C3669" s="30" t="n"/>
      <c r="D3669" s="17" t="n"/>
      <c r="E3669" s="24">
        <f>IF($D3669="","",IFERROR(VLOOKUP($D3669,物料档案!$A$4:$P$1203,3,0),"※编码不在物料档案里"))</f>
        <v/>
      </c>
      <c r="F3669" s="24">
        <f>IF($D3669="","",IFERROR(VLOOKUP($D3669,物料档案!$A$4:$P$1203,4,0),"※编码不在物料档案里"))</f>
        <v/>
      </c>
      <c r="G3669" s="24">
        <f>IF($D3669="","",IFERROR(VLOOKUP($D3669,物料档案!$A$4:$P$1203,5,0),"※编码不在物料档案里"))</f>
        <v/>
      </c>
      <c r="H3669" s="24">
        <f>IF($D3669="","",IFERROR(VLOOKUP($D3669,物料档案!$A$4:$P$1203,2,0),"※编码不在物料档案里"))</f>
        <v/>
      </c>
      <c r="I3669" s="24">
        <f>IF($D3669="","",IFERROR(VLOOKUP($D3669,物料档案!$A$4:$P$1203,6,0),"※编码不在物料档案里"))</f>
        <v/>
      </c>
      <c r="J3669" s="23" t="n"/>
      <c r="K3669" s="17" t="n"/>
      <c r="L3669" s="17" t="n"/>
      <c r="M3669" s="17" t="n"/>
      <c r="N3669" s="17" t="n"/>
      <c r="O3669" s="26">
        <f>IF($D3669="","",IFERROR(VLOOKUP($D3669,物料档案!$A$4:$P$1203,10,0),0))</f>
        <v/>
      </c>
      <c r="P3669" s="32" t="n"/>
      <c r="Q3669" s="26">
        <f>IF($D3669="","",IF($K3669&lt;&gt;"对外销售",0,ROUND(N($J3669)*IF($P3669="",N($O3669),N($P3669)),0)))</f>
        <v/>
      </c>
      <c r="R3669" s="26">
        <f>IF($D3669="","",IFERROR(VLOOKUP($D3669,库存台账!$A$5:$Y$1204,11,0),0))</f>
        <v/>
      </c>
      <c r="S3669" s="26">
        <f>IF($D3669="","",ROUND(N($J3669)*N($R3669),0))</f>
        <v/>
      </c>
      <c r="T3669" s="26">
        <f>IF($D3669="","",IF($K3669&lt;&gt;"对外销售","",ROUND($Q3669-$S3669,0)))</f>
        <v/>
      </c>
      <c r="U3669" s="17" t="n"/>
      <c r="V3669" s="17" t="n"/>
      <c r="W3669" s="24">
        <f>IF($D3669="","",IF($E3669="※编码不在物料档案里","※物料编码不在档案里",IF(N($J3669)&lt;=0,"※出库数量要大于 0",IF($K3669="","※没填去向类型",IF($L3669="","※没填去向矿区",IF(AND($C3669&lt;&gt;"",$C3669&lt;=结账锁),"※日期早于已结账截止日，不能再录",IF(AND($K3669="自用消耗",COUNTIF({"一矿区";"二矿区"},$L3669)=0),"※自用消耗的去向只能是一矿区或二矿区",IF(AND($K3669="对外销售",COUNTIF({"三矿区";"六矿区"},$L3669)=0),"※对外销售的去向只能是三矿区或六矿区",IF(AND($K3669="对外销售",ROUND($Q3669,0)=0),"※外销却没有售价，请填实际售价",IF(AND($K3669="对外销售",$T3669&lt;&gt;"",$T3669&lt;0),"※这一笔外销是亏的，请核对售价",IF(IFERROR(VLOOKUP($D3669,库存台账!$A$5:$Y$1204,24,0),0)&lt;-0.001,"※这个物料账面已经变成负数了，查一下是不是漏记入库","")))))))))))</f>
        <v/>
      </c>
    </row>
    <row r="3670">
      <c r="A3670" s="24">
        <f>IF($D3670="","",COUNTA($D$4:$D3670))</f>
        <v/>
      </c>
      <c r="B3670" s="17" t="n"/>
      <c r="C3670" s="30" t="n"/>
      <c r="D3670" s="17" t="n"/>
      <c r="E3670" s="24">
        <f>IF($D3670="","",IFERROR(VLOOKUP($D3670,物料档案!$A$4:$P$1203,3,0),"※编码不在物料档案里"))</f>
        <v/>
      </c>
      <c r="F3670" s="24">
        <f>IF($D3670="","",IFERROR(VLOOKUP($D3670,物料档案!$A$4:$P$1203,4,0),"※编码不在物料档案里"))</f>
        <v/>
      </c>
      <c r="G3670" s="24">
        <f>IF($D3670="","",IFERROR(VLOOKUP($D3670,物料档案!$A$4:$P$1203,5,0),"※编码不在物料档案里"))</f>
        <v/>
      </c>
      <c r="H3670" s="24">
        <f>IF($D3670="","",IFERROR(VLOOKUP($D3670,物料档案!$A$4:$P$1203,2,0),"※编码不在物料档案里"))</f>
        <v/>
      </c>
      <c r="I3670" s="24">
        <f>IF($D3670="","",IFERROR(VLOOKUP($D3670,物料档案!$A$4:$P$1203,6,0),"※编码不在物料档案里"))</f>
        <v/>
      </c>
      <c r="J3670" s="23" t="n"/>
      <c r="K3670" s="17" t="n"/>
      <c r="L3670" s="17" t="n"/>
      <c r="M3670" s="17" t="n"/>
      <c r="N3670" s="17" t="n"/>
      <c r="O3670" s="26">
        <f>IF($D3670="","",IFERROR(VLOOKUP($D3670,物料档案!$A$4:$P$1203,10,0),0))</f>
        <v/>
      </c>
      <c r="P3670" s="32" t="n"/>
      <c r="Q3670" s="26">
        <f>IF($D3670="","",IF($K3670&lt;&gt;"对外销售",0,ROUND(N($J3670)*IF($P3670="",N($O3670),N($P3670)),0)))</f>
        <v/>
      </c>
      <c r="R3670" s="26">
        <f>IF($D3670="","",IFERROR(VLOOKUP($D3670,库存台账!$A$5:$Y$1204,11,0),0))</f>
        <v/>
      </c>
      <c r="S3670" s="26">
        <f>IF($D3670="","",ROUND(N($J3670)*N($R3670),0))</f>
        <v/>
      </c>
      <c r="T3670" s="26">
        <f>IF($D3670="","",IF($K3670&lt;&gt;"对外销售","",ROUND($Q3670-$S3670,0)))</f>
        <v/>
      </c>
      <c r="U3670" s="17" t="n"/>
      <c r="V3670" s="17" t="n"/>
      <c r="W3670" s="24">
        <f>IF($D3670="","",IF($E3670="※编码不在物料档案里","※物料编码不在档案里",IF(N($J3670)&lt;=0,"※出库数量要大于 0",IF($K3670="","※没填去向类型",IF($L3670="","※没填去向矿区",IF(AND($C3670&lt;&gt;"",$C3670&lt;=结账锁),"※日期早于已结账截止日，不能再录",IF(AND($K3670="自用消耗",COUNTIF({"一矿区";"二矿区"},$L3670)=0),"※自用消耗的去向只能是一矿区或二矿区",IF(AND($K3670="对外销售",COUNTIF({"三矿区";"六矿区"},$L3670)=0),"※对外销售的去向只能是三矿区或六矿区",IF(AND($K3670="对外销售",ROUND($Q3670,0)=0),"※外销却没有售价，请填实际售价",IF(AND($K3670="对外销售",$T3670&lt;&gt;"",$T3670&lt;0),"※这一笔外销是亏的，请核对售价",IF(IFERROR(VLOOKUP($D3670,库存台账!$A$5:$Y$1204,24,0),0)&lt;-0.001,"※这个物料账面已经变成负数了，查一下是不是漏记入库","")))))))))))</f>
        <v/>
      </c>
    </row>
    <row r="3671">
      <c r="A3671" s="24">
        <f>IF($D3671="","",COUNTA($D$4:$D3671))</f>
        <v/>
      </c>
      <c r="B3671" s="17" t="n"/>
      <c r="C3671" s="30" t="n"/>
      <c r="D3671" s="17" t="n"/>
      <c r="E3671" s="24">
        <f>IF($D3671="","",IFERROR(VLOOKUP($D3671,物料档案!$A$4:$P$1203,3,0),"※编码不在物料档案里"))</f>
        <v/>
      </c>
      <c r="F3671" s="24">
        <f>IF($D3671="","",IFERROR(VLOOKUP($D3671,物料档案!$A$4:$P$1203,4,0),"※编码不在物料档案里"))</f>
        <v/>
      </c>
      <c r="G3671" s="24">
        <f>IF($D3671="","",IFERROR(VLOOKUP($D3671,物料档案!$A$4:$P$1203,5,0),"※编码不在物料档案里"))</f>
        <v/>
      </c>
      <c r="H3671" s="24">
        <f>IF($D3671="","",IFERROR(VLOOKUP($D3671,物料档案!$A$4:$P$1203,2,0),"※编码不在物料档案里"))</f>
        <v/>
      </c>
      <c r="I3671" s="24">
        <f>IF($D3671="","",IFERROR(VLOOKUP($D3671,物料档案!$A$4:$P$1203,6,0),"※编码不在物料档案里"))</f>
        <v/>
      </c>
      <c r="J3671" s="23" t="n"/>
      <c r="K3671" s="17" t="n"/>
      <c r="L3671" s="17" t="n"/>
      <c r="M3671" s="17" t="n"/>
      <c r="N3671" s="17" t="n"/>
      <c r="O3671" s="26">
        <f>IF($D3671="","",IFERROR(VLOOKUP($D3671,物料档案!$A$4:$P$1203,10,0),0))</f>
        <v/>
      </c>
      <c r="P3671" s="32" t="n"/>
      <c r="Q3671" s="26">
        <f>IF($D3671="","",IF($K3671&lt;&gt;"对外销售",0,ROUND(N($J3671)*IF($P3671="",N($O3671),N($P3671)),0)))</f>
        <v/>
      </c>
      <c r="R3671" s="26">
        <f>IF($D3671="","",IFERROR(VLOOKUP($D3671,库存台账!$A$5:$Y$1204,11,0),0))</f>
        <v/>
      </c>
      <c r="S3671" s="26">
        <f>IF($D3671="","",ROUND(N($J3671)*N($R3671),0))</f>
        <v/>
      </c>
      <c r="T3671" s="26">
        <f>IF($D3671="","",IF($K3671&lt;&gt;"对外销售","",ROUND($Q3671-$S3671,0)))</f>
        <v/>
      </c>
      <c r="U3671" s="17" t="n"/>
      <c r="V3671" s="17" t="n"/>
      <c r="W3671" s="24">
        <f>IF($D3671="","",IF($E3671="※编码不在物料档案里","※物料编码不在档案里",IF(N($J3671)&lt;=0,"※出库数量要大于 0",IF($K3671="","※没填去向类型",IF($L3671="","※没填去向矿区",IF(AND($C3671&lt;&gt;"",$C3671&lt;=结账锁),"※日期早于已结账截止日，不能再录",IF(AND($K3671="自用消耗",COUNTIF({"一矿区";"二矿区"},$L3671)=0),"※自用消耗的去向只能是一矿区或二矿区",IF(AND($K3671="对外销售",COUNTIF({"三矿区";"六矿区"},$L3671)=0),"※对外销售的去向只能是三矿区或六矿区",IF(AND($K3671="对外销售",ROUND($Q3671,0)=0),"※外销却没有售价，请填实际售价",IF(AND($K3671="对外销售",$T3671&lt;&gt;"",$T3671&lt;0),"※这一笔外销是亏的，请核对售价",IF(IFERROR(VLOOKUP($D3671,库存台账!$A$5:$Y$1204,24,0),0)&lt;-0.001,"※这个物料账面已经变成负数了，查一下是不是漏记入库","")))))))))))</f>
        <v/>
      </c>
    </row>
    <row r="3672">
      <c r="A3672" s="24">
        <f>IF($D3672="","",COUNTA($D$4:$D3672))</f>
        <v/>
      </c>
      <c r="B3672" s="17" t="n"/>
      <c r="C3672" s="30" t="n"/>
      <c r="D3672" s="17" t="n"/>
      <c r="E3672" s="24">
        <f>IF($D3672="","",IFERROR(VLOOKUP($D3672,物料档案!$A$4:$P$1203,3,0),"※编码不在物料档案里"))</f>
        <v/>
      </c>
      <c r="F3672" s="24">
        <f>IF($D3672="","",IFERROR(VLOOKUP($D3672,物料档案!$A$4:$P$1203,4,0),"※编码不在物料档案里"))</f>
        <v/>
      </c>
      <c r="G3672" s="24">
        <f>IF($D3672="","",IFERROR(VLOOKUP($D3672,物料档案!$A$4:$P$1203,5,0),"※编码不在物料档案里"))</f>
        <v/>
      </c>
      <c r="H3672" s="24">
        <f>IF($D3672="","",IFERROR(VLOOKUP($D3672,物料档案!$A$4:$P$1203,2,0),"※编码不在物料档案里"))</f>
        <v/>
      </c>
      <c r="I3672" s="24">
        <f>IF($D3672="","",IFERROR(VLOOKUP($D3672,物料档案!$A$4:$P$1203,6,0),"※编码不在物料档案里"))</f>
        <v/>
      </c>
      <c r="J3672" s="23" t="n"/>
      <c r="K3672" s="17" t="n"/>
      <c r="L3672" s="17" t="n"/>
      <c r="M3672" s="17" t="n"/>
      <c r="N3672" s="17" t="n"/>
      <c r="O3672" s="26">
        <f>IF($D3672="","",IFERROR(VLOOKUP($D3672,物料档案!$A$4:$P$1203,10,0),0))</f>
        <v/>
      </c>
      <c r="P3672" s="32" t="n"/>
      <c r="Q3672" s="26">
        <f>IF($D3672="","",IF($K3672&lt;&gt;"对外销售",0,ROUND(N($J3672)*IF($P3672="",N($O3672),N($P3672)),0)))</f>
        <v/>
      </c>
      <c r="R3672" s="26">
        <f>IF($D3672="","",IFERROR(VLOOKUP($D3672,库存台账!$A$5:$Y$1204,11,0),0))</f>
        <v/>
      </c>
      <c r="S3672" s="26">
        <f>IF($D3672="","",ROUND(N($J3672)*N($R3672),0))</f>
        <v/>
      </c>
      <c r="T3672" s="26">
        <f>IF($D3672="","",IF($K3672&lt;&gt;"对外销售","",ROUND($Q3672-$S3672,0)))</f>
        <v/>
      </c>
      <c r="U3672" s="17" t="n"/>
      <c r="V3672" s="17" t="n"/>
      <c r="W3672" s="24">
        <f>IF($D3672="","",IF($E3672="※编码不在物料档案里","※物料编码不在档案里",IF(N($J3672)&lt;=0,"※出库数量要大于 0",IF($K3672="","※没填去向类型",IF($L3672="","※没填去向矿区",IF(AND($C3672&lt;&gt;"",$C3672&lt;=结账锁),"※日期早于已结账截止日，不能再录",IF(AND($K3672="自用消耗",COUNTIF({"一矿区";"二矿区"},$L3672)=0),"※自用消耗的去向只能是一矿区或二矿区",IF(AND($K3672="对外销售",COUNTIF({"三矿区";"六矿区"},$L3672)=0),"※对外销售的去向只能是三矿区或六矿区",IF(AND($K3672="对外销售",ROUND($Q3672,0)=0),"※外销却没有售价，请填实际售价",IF(AND($K3672="对外销售",$T3672&lt;&gt;"",$T3672&lt;0),"※这一笔外销是亏的，请核对售价",IF(IFERROR(VLOOKUP($D3672,库存台账!$A$5:$Y$1204,24,0),0)&lt;-0.001,"※这个物料账面已经变成负数了，查一下是不是漏记入库","")))))))))))</f>
        <v/>
      </c>
    </row>
    <row r="3673">
      <c r="A3673" s="24">
        <f>IF($D3673="","",COUNTA($D$4:$D3673))</f>
        <v/>
      </c>
      <c r="B3673" s="17" t="n"/>
      <c r="C3673" s="30" t="n"/>
      <c r="D3673" s="17" t="n"/>
      <c r="E3673" s="24">
        <f>IF($D3673="","",IFERROR(VLOOKUP($D3673,物料档案!$A$4:$P$1203,3,0),"※编码不在物料档案里"))</f>
        <v/>
      </c>
      <c r="F3673" s="24">
        <f>IF($D3673="","",IFERROR(VLOOKUP($D3673,物料档案!$A$4:$P$1203,4,0),"※编码不在物料档案里"))</f>
        <v/>
      </c>
      <c r="G3673" s="24">
        <f>IF($D3673="","",IFERROR(VLOOKUP($D3673,物料档案!$A$4:$P$1203,5,0),"※编码不在物料档案里"))</f>
        <v/>
      </c>
      <c r="H3673" s="24">
        <f>IF($D3673="","",IFERROR(VLOOKUP($D3673,物料档案!$A$4:$P$1203,2,0),"※编码不在物料档案里"))</f>
        <v/>
      </c>
      <c r="I3673" s="24">
        <f>IF($D3673="","",IFERROR(VLOOKUP($D3673,物料档案!$A$4:$P$1203,6,0),"※编码不在物料档案里"))</f>
        <v/>
      </c>
      <c r="J3673" s="23" t="n"/>
      <c r="K3673" s="17" t="n"/>
      <c r="L3673" s="17" t="n"/>
      <c r="M3673" s="17" t="n"/>
      <c r="N3673" s="17" t="n"/>
      <c r="O3673" s="26">
        <f>IF($D3673="","",IFERROR(VLOOKUP($D3673,物料档案!$A$4:$P$1203,10,0),0))</f>
        <v/>
      </c>
      <c r="P3673" s="32" t="n"/>
      <c r="Q3673" s="26">
        <f>IF($D3673="","",IF($K3673&lt;&gt;"对外销售",0,ROUND(N($J3673)*IF($P3673="",N($O3673),N($P3673)),0)))</f>
        <v/>
      </c>
      <c r="R3673" s="26">
        <f>IF($D3673="","",IFERROR(VLOOKUP($D3673,库存台账!$A$5:$Y$1204,11,0),0))</f>
        <v/>
      </c>
      <c r="S3673" s="26">
        <f>IF($D3673="","",ROUND(N($J3673)*N($R3673),0))</f>
        <v/>
      </c>
      <c r="T3673" s="26">
        <f>IF($D3673="","",IF($K3673&lt;&gt;"对外销售","",ROUND($Q3673-$S3673,0)))</f>
        <v/>
      </c>
      <c r="U3673" s="17" t="n"/>
      <c r="V3673" s="17" t="n"/>
      <c r="W3673" s="24">
        <f>IF($D3673="","",IF($E3673="※编码不在物料档案里","※物料编码不在档案里",IF(N($J3673)&lt;=0,"※出库数量要大于 0",IF($K3673="","※没填去向类型",IF($L3673="","※没填去向矿区",IF(AND($C3673&lt;&gt;"",$C3673&lt;=结账锁),"※日期早于已结账截止日，不能再录",IF(AND($K3673="自用消耗",COUNTIF({"一矿区";"二矿区"},$L3673)=0),"※自用消耗的去向只能是一矿区或二矿区",IF(AND($K3673="对外销售",COUNTIF({"三矿区";"六矿区"},$L3673)=0),"※对外销售的去向只能是三矿区或六矿区",IF(AND($K3673="对外销售",ROUND($Q3673,0)=0),"※外销却没有售价，请填实际售价",IF(AND($K3673="对外销售",$T3673&lt;&gt;"",$T3673&lt;0),"※这一笔外销是亏的，请核对售价",IF(IFERROR(VLOOKUP($D3673,库存台账!$A$5:$Y$1204,24,0),0)&lt;-0.001,"※这个物料账面已经变成负数了，查一下是不是漏记入库","")))))))))))</f>
        <v/>
      </c>
    </row>
    <row r="3674">
      <c r="A3674" s="24">
        <f>IF($D3674="","",COUNTA($D$4:$D3674))</f>
        <v/>
      </c>
      <c r="B3674" s="17" t="n"/>
      <c r="C3674" s="30" t="n"/>
      <c r="D3674" s="17" t="n"/>
      <c r="E3674" s="24">
        <f>IF($D3674="","",IFERROR(VLOOKUP($D3674,物料档案!$A$4:$P$1203,3,0),"※编码不在物料档案里"))</f>
        <v/>
      </c>
      <c r="F3674" s="24">
        <f>IF($D3674="","",IFERROR(VLOOKUP($D3674,物料档案!$A$4:$P$1203,4,0),"※编码不在物料档案里"))</f>
        <v/>
      </c>
      <c r="G3674" s="24">
        <f>IF($D3674="","",IFERROR(VLOOKUP($D3674,物料档案!$A$4:$P$1203,5,0),"※编码不在物料档案里"))</f>
        <v/>
      </c>
      <c r="H3674" s="24">
        <f>IF($D3674="","",IFERROR(VLOOKUP($D3674,物料档案!$A$4:$P$1203,2,0),"※编码不在物料档案里"))</f>
        <v/>
      </c>
      <c r="I3674" s="24">
        <f>IF($D3674="","",IFERROR(VLOOKUP($D3674,物料档案!$A$4:$P$1203,6,0),"※编码不在物料档案里"))</f>
        <v/>
      </c>
      <c r="J3674" s="23" t="n"/>
      <c r="K3674" s="17" t="n"/>
      <c r="L3674" s="17" t="n"/>
      <c r="M3674" s="17" t="n"/>
      <c r="N3674" s="17" t="n"/>
      <c r="O3674" s="26">
        <f>IF($D3674="","",IFERROR(VLOOKUP($D3674,物料档案!$A$4:$P$1203,10,0),0))</f>
        <v/>
      </c>
      <c r="P3674" s="32" t="n"/>
      <c r="Q3674" s="26">
        <f>IF($D3674="","",IF($K3674&lt;&gt;"对外销售",0,ROUND(N($J3674)*IF($P3674="",N($O3674),N($P3674)),0)))</f>
        <v/>
      </c>
      <c r="R3674" s="26">
        <f>IF($D3674="","",IFERROR(VLOOKUP($D3674,库存台账!$A$5:$Y$1204,11,0),0))</f>
        <v/>
      </c>
      <c r="S3674" s="26">
        <f>IF($D3674="","",ROUND(N($J3674)*N($R3674),0))</f>
        <v/>
      </c>
      <c r="T3674" s="26">
        <f>IF($D3674="","",IF($K3674&lt;&gt;"对外销售","",ROUND($Q3674-$S3674,0)))</f>
        <v/>
      </c>
      <c r="U3674" s="17" t="n"/>
      <c r="V3674" s="17" t="n"/>
      <c r="W3674" s="24">
        <f>IF($D3674="","",IF($E3674="※编码不在物料档案里","※物料编码不在档案里",IF(N($J3674)&lt;=0,"※出库数量要大于 0",IF($K3674="","※没填去向类型",IF($L3674="","※没填去向矿区",IF(AND($C3674&lt;&gt;"",$C3674&lt;=结账锁),"※日期早于已结账截止日，不能再录",IF(AND($K3674="自用消耗",COUNTIF({"一矿区";"二矿区"},$L3674)=0),"※自用消耗的去向只能是一矿区或二矿区",IF(AND($K3674="对外销售",COUNTIF({"三矿区";"六矿区"},$L3674)=0),"※对外销售的去向只能是三矿区或六矿区",IF(AND($K3674="对外销售",ROUND($Q3674,0)=0),"※外销却没有售价，请填实际售价",IF(AND($K3674="对外销售",$T3674&lt;&gt;"",$T3674&lt;0),"※这一笔外销是亏的，请核对售价",IF(IFERROR(VLOOKUP($D3674,库存台账!$A$5:$Y$1204,24,0),0)&lt;-0.001,"※这个物料账面已经变成负数了，查一下是不是漏记入库","")))))))))))</f>
        <v/>
      </c>
    </row>
    <row r="3675">
      <c r="A3675" s="24">
        <f>IF($D3675="","",COUNTA($D$4:$D3675))</f>
        <v/>
      </c>
      <c r="B3675" s="17" t="n"/>
      <c r="C3675" s="30" t="n"/>
      <c r="D3675" s="17" t="n"/>
      <c r="E3675" s="24">
        <f>IF($D3675="","",IFERROR(VLOOKUP($D3675,物料档案!$A$4:$P$1203,3,0),"※编码不在物料档案里"))</f>
        <v/>
      </c>
      <c r="F3675" s="24">
        <f>IF($D3675="","",IFERROR(VLOOKUP($D3675,物料档案!$A$4:$P$1203,4,0),"※编码不在物料档案里"))</f>
        <v/>
      </c>
      <c r="G3675" s="24">
        <f>IF($D3675="","",IFERROR(VLOOKUP($D3675,物料档案!$A$4:$P$1203,5,0),"※编码不在物料档案里"))</f>
        <v/>
      </c>
      <c r="H3675" s="24">
        <f>IF($D3675="","",IFERROR(VLOOKUP($D3675,物料档案!$A$4:$P$1203,2,0),"※编码不在物料档案里"))</f>
        <v/>
      </c>
      <c r="I3675" s="24">
        <f>IF($D3675="","",IFERROR(VLOOKUP($D3675,物料档案!$A$4:$P$1203,6,0),"※编码不在物料档案里"))</f>
        <v/>
      </c>
      <c r="J3675" s="23" t="n"/>
      <c r="K3675" s="17" t="n"/>
      <c r="L3675" s="17" t="n"/>
      <c r="M3675" s="17" t="n"/>
      <c r="N3675" s="17" t="n"/>
      <c r="O3675" s="26">
        <f>IF($D3675="","",IFERROR(VLOOKUP($D3675,物料档案!$A$4:$P$1203,10,0),0))</f>
        <v/>
      </c>
      <c r="P3675" s="32" t="n"/>
      <c r="Q3675" s="26">
        <f>IF($D3675="","",IF($K3675&lt;&gt;"对外销售",0,ROUND(N($J3675)*IF($P3675="",N($O3675),N($P3675)),0)))</f>
        <v/>
      </c>
      <c r="R3675" s="26">
        <f>IF($D3675="","",IFERROR(VLOOKUP($D3675,库存台账!$A$5:$Y$1204,11,0),0))</f>
        <v/>
      </c>
      <c r="S3675" s="26">
        <f>IF($D3675="","",ROUND(N($J3675)*N($R3675),0))</f>
        <v/>
      </c>
      <c r="T3675" s="26">
        <f>IF($D3675="","",IF($K3675&lt;&gt;"对外销售","",ROUND($Q3675-$S3675,0)))</f>
        <v/>
      </c>
      <c r="U3675" s="17" t="n"/>
      <c r="V3675" s="17" t="n"/>
      <c r="W3675" s="24">
        <f>IF($D3675="","",IF($E3675="※编码不在物料档案里","※物料编码不在档案里",IF(N($J3675)&lt;=0,"※出库数量要大于 0",IF($K3675="","※没填去向类型",IF($L3675="","※没填去向矿区",IF(AND($C3675&lt;&gt;"",$C3675&lt;=结账锁),"※日期早于已结账截止日，不能再录",IF(AND($K3675="自用消耗",COUNTIF({"一矿区";"二矿区"},$L3675)=0),"※自用消耗的去向只能是一矿区或二矿区",IF(AND($K3675="对外销售",COUNTIF({"三矿区";"六矿区"},$L3675)=0),"※对外销售的去向只能是三矿区或六矿区",IF(AND($K3675="对外销售",ROUND($Q3675,0)=0),"※外销却没有售价，请填实际售价",IF(AND($K3675="对外销售",$T3675&lt;&gt;"",$T3675&lt;0),"※这一笔外销是亏的，请核对售价",IF(IFERROR(VLOOKUP($D3675,库存台账!$A$5:$Y$1204,24,0),0)&lt;-0.001,"※这个物料账面已经变成负数了，查一下是不是漏记入库","")))))))))))</f>
        <v/>
      </c>
    </row>
    <row r="3676">
      <c r="A3676" s="24">
        <f>IF($D3676="","",COUNTA($D$4:$D3676))</f>
        <v/>
      </c>
      <c r="B3676" s="17" t="n"/>
      <c r="C3676" s="30" t="n"/>
      <c r="D3676" s="17" t="n"/>
      <c r="E3676" s="24">
        <f>IF($D3676="","",IFERROR(VLOOKUP($D3676,物料档案!$A$4:$P$1203,3,0),"※编码不在物料档案里"))</f>
        <v/>
      </c>
      <c r="F3676" s="24">
        <f>IF($D3676="","",IFERROR(VLOOKUP($D3676,物料档案!$A$4:$P$1203,4,0),"※编码不在物料档案里"))</f>
        <v/>
      </c>
      <c r="G3676" s="24">
        <f>IF($D3676="","",IFERROR(VLOOKUP($D3676,物料档案!$A$4:$P$1203,5,0),"※编码不在物料档案里"))</f>
        <v/>
      </c>
      <c r="H3676" s="24">
        <f>IF($D3676="","",IFERROR(VLOOKUP($D3676,物料档案!$A$4:$P$1203,2,0),"※编码不在物料档案里"))</f>
        <v/>
      </c>
      <c r="I3676" s="24">
        <f>IF($D3676="","",IFERROR(VLOOKUP($D3676,物料档案!$A$4:$P$1203,6,0),"※编码不在物料档案里"))</f>
        <v/>
      </c>
      <c r="J3676" s="23" t="n"/>
      <c r="K3676" s="17" t="n"/>
      <c r="L3676" s="17" t="n"/>
      <c r="M3676" s="17" t="n"/>
      <c r="N3676" s="17" t="n"/>
      <c r="O3676" s="26">
        <f>IF($D3676="","",IFERROR(VLOOKUP($D3676,物料档案!$A$4:$P$1203,10,0),0))</f>
        <v/>
      </c>
      <c r="P3676" s="32" t="n"/>
      <c r="Q3676" s="26">
        <f>IF($D3676="","",IF($K3676&lt;&gt;"对外销售",0,ROUND(N($J3676)*IF($P3676="",N($O3676),N($P3676)),0)))</f>
        <v/>
      </c>
      <c r="R3676" s="26">
        <f>IF($D3676="","",IFERROR(VLOOKUP($D3676,库存台账!$A$5:$Y$1204,11,0),0))</f>
        <v/>
      </c>
      <c r="S3676" s="26">
        <f>IF($D3676="","",ROUND(N($J3676)*N($R3676),0))</f>
        <v/>
      </c>
      <c r="T3676" s="26">
        <f>IF($D3676="","",IF($K3676&lt;&gt;"对外销售","",ROUND($Q3676-$S3676,0)))</f>
        <v/>
      </c>
      <c r="U3676" s="17" t="n"/>
      <c r="V3676" s="17" t="n"/>
      <c r="W3676" s="24">
        <f>IF($D3676="","",IF($E3676="※编码不在物料档案里","※物料编码不在档案里",IF(N($J3676)&lt;=0,"※出库数量要大于 0",IF($K3676="","※没填去向类型",IF($L3676="","※没填去向矿区",IF(AND($C3676&lt;&gt;"",$C3676&lt;=结账锁),"※日期早于已结账截止日，不能再录",IF(AND($K3676="自用消耗",COUNTIF({"一矿区";"二矿区"},$L3676)=0),"※自用消耗的去向只能是一矿区或二矿区",IF(AND($K3676="对外销售",COUNTIF({"三矿区";"六矿区"},$L3676)=0),"※对外销售的去向只能是三矿区或六矿区",IF(AND($K3676="对外销售",ROUND($Q3676,0)=0),"※外销却没有售价，请填实际售价",IF(AND($K3676="对外销售",$T3676&lt;&gt;"",$T3676&lt;0),"※这一笔外销是亏的，请核对售价",IF(IFERROR(VLOOKUP($D3676,库存台账!$A$5:$Y$1204,24,0),0)&lt;-0.001,"※这个物料账面已经变成负数了，查一下是不是漏记入库","")))))))))))</f>
        <v/>
      </c>
    </row>
    <row r="3677">
      <c r="A3677" s="24">
        <f>IF($D3677="","",COUNTA($D$4:$D3677))</f>
        <v/>
      </c>
      <c r="B3677" s="17" t="n"/>
      <c r="C3677" s="30" t="n"/>
      <c r="D3677" s="17" t="n"/>
      <c r="E3677" s="24">
        <f>IF($D3677="","",IFERROR(VLOOKUP($D3677,物料档案!$A$4:$P$1203,3,0),"※编码不在物料档案里"))</f>
        <v/>
      </c>
      <c r="F3677" s="24">
        <f>IF($D3677="","",IFERROR(VLOOKUP($D3677,物料档案!$A$4:$P$1203,4,0),"※编码不在物料档案里"))</f>
        <v/>
      </c>
      <c r="G3677" s="24">
        <f>IF($D3677="","",IFERROR(VLOOKUP($D3677,物料档案!$A$4:$P$1203,5,0),"※编码不在物料档案里"))</f>
        <v/>
      </c>
      <c r="H3677" s="24">
        <f>IF($D3677="","",IFERROR(VLOOKUP($D3677,物料档案!$A$4:$P$1203,2,0),"※编码不在物料档案里"))</f>
        <v/>
      </c>
      <c r="I3677" s="24">
        <f>IF($D3677="","",IFERROR(VLOOKUP($D3677,物料档案!$A$4:$P$1203,6,0),"※编码不在物料档案里"))</f>
        <v/>
      </c>
      <c r="J3677" s="23" t="n"/>
      <c r="K3677" s="17" t="n"/>
      <c r="L3677" s="17" t="n"/>
      <c r="M3677" s="17" t="n"/>
      <c r="N3677" s="17" t="n"/>
      <c r="O3677" s="26">
        <f>IF($D3677="","",IFERROR(VLOOKUP($D3677,物料档案!$A$4:$P$1203,10,0),0))</f>
        <v/>
      </c>
      <c r="P3677" s="32" t="n"/>
      <c r="Q3677" s="26">
        <f>IF($D3677="","",IF($K3677&lt;&gt;"对外销售",0,ROUND(N($J3677)*IF($P3677="",N($O3677),N($P3677)),0)))</f>
        <v/>
      </c>
      <c r="R3677" s="26">
        <f>IF($D3677="","",IFERROR(VLOOKUP($D3677,库存台账!$A$5:$Y$1204,11,0),0))</f>
        <v/>
      </c>
      <c r="S3677" s="26">
        <f>IF($D3677="","",ROUND(N($J3677)*N($R3677),0))</f>
        <v/>
      </c>
      <c r="T3677" s="26">
        <f>IF($D3677="","",IF($K3677&lt;&gt;"对外销售","",ROUND($Q3677-$S3677,0)))</f>
        <v/>
      </c>
      <c r="U3677" s="17" t="n"/>
      <c r="V3677" s="17" t="n"/>
      <c r="W3677" s="24">
        <f>IF($D3677="","",IF($E3677="※编码不在物料档案里","※物料编码不在档案里",IF(N($J3677)&lt;=0,"※出库数量要大于 0",IF($K3677="","※没填去向类型",IF($L3677="","※没填去向矿区",IF(AND($C3677&lt;&gt;"",$C3677&lt;=结账锁),"※日期早于已结账截止日，不能再录",IF(AND($K3677="自用消耗",COUNTIF({"一矿区";"二矿区"},$L3677)=0),"※自用消耗的去向只能是一矿区或二矿区",IF(AND($K3677="对外销售",COUNTIF({"三矿区";"六矿区"},$L3677)=0),"※对外销售的去向只能是三矿区或六矿区",IF(AND($K3677="对外销售",ROUND($Q3677,0)=0),"※外销却没有售价，请填实际售价",IF(AND($K3677="对外销售",$T3677&lt;&gt;"",$T3677&lt;0),"※这一笔外销是亏的，请核对售价",IF(IFERROR(VLOOKUP($D3677,库存台账!$A$5:$Y$1204,24,0),0)&lt;-0.001,"※这个物料账面已经变成负数了，查一下是不是漏记入库","")))))))))))</f>
        <v/>
      </c>
    </row>
    <row r="3678">
      <c r="A3678" s="24">
        <f>IF($D3678="","",COUNTA($D$4:$D3678))</f>
        <v/>
      </c>
      <c r="B3678" s="17" t="n"/>
      <c r="C3678" s="30" t="n"/>
      <c r="D3678" s="17" t="n"/>
      <c r="E3678" s="24">
        <f>IF($D3678="","",IFERROR(VLOOKUP($D3678,物料档案!$A$4:$P$1203,3,0),"※编码不在物料档案里"))</f>
        <v/>
      </c>
      <c r="F3678" s="24">
        <f>IF($D3678="","",IFERROR(VLOOKUP($D3678,物料档案!$A$4:$P$1203,4,0),"※编码不在物料档案里"))</f>
        <v/>
      </c>
      <c r="G3678" s="24">
        <f>IF($D3678="","",IFERROR(VLOOKUP($D3678,物料档案!$A$4:$P$1203,5,0),"※编码不在物料档案里"))</f>
        <v/>
      </c>
      <c r="H3678" s="24">
        <f>IF($D3678="","",IFERROR(VLOOKUP($D3678,物料档案!$A$4:$P$1203,2,0),"※编码不在物料档案里"))</f>
        <v/>
      </c>
      <c r="I3678" s="24">
        <f>IF($D3678="","",IFERROR(VLOOKUP($D3678,物料档案!$A$4:$P$1203,6,0),"※编码不在物料档案里"))</f>
        <v/>
      </c>
      <c r="J3678" s="23" t="n"/>
      <c r="K3678" s="17" t="n"/>
      <c r="L3678" s="17" t="n"/>
      <c r="M3678" s="17" t="n"/>
      <c r="N3678" s="17" t="n"/>
      <c r="O3678" s="26">
        <f>IF($D3678="","",IFERROR(VLOOKUP($D3678,物料档案!$A$4:$P$1203,10,0),0))</f>
        <v/>
      </c>
      <c r="P3678" s="32" t="n"/>
      <c r="Q3678" s="26">
        <f>IF($D3678="","",IF($K3678&lt;&gt;"对外销售",0,ROUND(N($J3678)*IF($P3678="",N($O3678),N($P3678)),0)))</f>
        <v/>
      </c>
      <c r="R3678" s="26">
        <f>IF($D3678="","",IFERROR(VLOOKUP($D3678,库存台账!$A$5:$Y$1204,11,0),0))</f>
        <v/>
      </c>
      <c r="S3678" s="26">
        <f>IF($D3678="","",ROUND(N($J3678)*N($R3678),0))</f>
        <v/>
      </c>
      <c r="T3678" s="26">
        <f>IF($D3678="","",IF($K3678&lt;&gt;"对外销售","",ROUND($Q3678-$S3678,0)))</f>
        <v/>
      </c>
      <c r="U3678" s="17" t="n"/>
      <c r="V3678" s="17" t="n"/>
      <c r="W3678" s="24">
        <f>IF($D3678="","",IF($E3678="※编码不在物料档案里","※物料编码不在档案里",IF(N($J3678)&lt;=0,"※出库数量要大于 0",IF($K3678="","※没填去向类型",IF($L3678="","※没填去向矿区",IF(AND($C3678&lt;&gt;"",$C3678&lt;=结账锁),"※日期早于已结账截止日，不能再录",IF(AND($K3678="自用消耗",COUNTIF({"一矿区";"二矿区"},$L3678)=0),"※自用消耗的去向只能是一矿区或二矿区",IF(AND($K3678="对外销售",COUNTIF({"三矿区";"六矿区"},$L3678)=0),"※对外销售的去向只能是三矿区或六矿区",IF(AND($K3678="对外销售",ROUND($Q3678,0)=0),"※外销却没有售价，请填实际售价",IF(AND($K3678="对外销售",$T3678&lt;&gt;"",$T3678&lt;0),"※这一笔外销是亏的，请核对售价",IF(IFERROR(VLOOKUP($D3678,库存台账!$A$5:$Y$1204,24,0),0)&lt;-0.001,"※这个物料账面已经变成负数了，查一下是不是漏记入库","")))))))))))</f>
        <v/>
      </c>
    </row>
    <row r="3679">
      <c r="A3679" s="24">
        <f>IF($D3679="","",COUNTA($D$4:$D3679))</f>
        <v/>
      </c>
      <c r="B3679" s="17" t="n"/>
      <c r="C3679" s="30" t="n"/>
      <c r="D3679" s="17" t="n"/>
      <c r="E3679" s="24">
        <f>IF($D3679="","",IFERROR(VLOOKUP($D3679,物料档案!$A$4:$P$1203,3,0),"※编码不在物料档案里"))</f>
        <v/>
      </c>
      <c r="F3679" s="24">
        <f>IF($D3679="","",IFERROR(VLOOKUP($D3679,物料档案!$A$4:$P$1203,4,0),"※编码不在物料档案里"))</f>
        <v/>
      </c>
      <c r="G3679" s="24">
        <f>IF($D3679="","",IFERROR(VLOOKUP($D3679,物料档案!$A$4:$P$1203,5,0),"※编码不在物料档案里"))</f>
        <v/>
      </c>
      <c r="H3679" s="24">
        <f>IF($D3679="","",IFERROR(VLOOKUP($D3679,物料档案!$A$4:$P$1203,2,0),"※编码不在物料档案里"))</f>
        <v/>
      </c>
      <c r="I3679" s="24">
        <f>IF($D3679="","",IFERROR(VLOOKUP($D3679,物料档案!$A$4:$P$1203,6,0),"※编码不在物料档案里"))</f>
        <v/>
      </c>
      <c r="J3679" s="23" t="n"/>
      <c r="K3679" s="17" t="n"/>
      <c r="L3679" s="17" t="n"/>
      <c r="M3679" s="17" t="n"/>
      <c r="N3679" s="17" t="n"/>
      <c r="O3679" s="26">
        <f>IF($D3679="","",IFERROR(VLOOKUP($D3679,物料档案!$A$4:$P$1203,10,0),0))</f>
        <v/>
      </c>
      <c r="P3679" s="32" t="n"/>
      <c r="Q3679" s="26">
        <f>IF($D3679="","",IF($K3679&lt;&gt;"对外销售",0,ROUND(N($J3679)*IF($P3679="",N($O3679),N($P3679)),0)))</f>
        <v/>
      </c>
      <c r="R3679" s="26">
        <f>IF($D3679="","",IFERROR(VLOOKUP($D3679,库存台账!$A$5:$Y$1204,11,0),0))</f>
        <v/>
      </c>
      <c r="S3679" s="26">
        <f>IF($D3679="","",ROUND(N($J3679)*N($R3679),0))</f>
        <v/>
      </c>
      <c r="T3679" s="26">
        <f>IF($D3679="","",IF($K3679&lt;&gt;"对外销售","",ROUND($Q3679-$S3679,0)))</f>
        <v/>
      </c>
      <c r="U3679" s="17" t="n"/>
      <c r="V3679" s="17" t="n"/>
      <c r="W3679" s="24">
        <f>IF($D3679="","",IF($E3679="※编码不在物料档案里","※物料编码不在档案里",IF(N($J3679)&lt;=0,"※出库数量要大于 0",IF($K3679="","※没填去向类型",IF($L3679="","※没填去向矿区",IF(AND($C3679&lt;&gt;"",$C3679&lt;=结账锁),"※日期早于已结账截止日，不能再录",IF(AND($K3679="自用消耗",COUNTIF({"一矿区";"二矿区"},$L3679)=0),"※自用消耗的去向只能是一矿区或二矿区",IF(AND($K3679="对外销售",COUNTIF({"三矿区";"六矿区"},$L3679)=0),"※对外销售的去向只能是三矿区或六矿区",IF(AND($K3679="对外销售",ROUND($Q3679,0)=0),"※外销却没有售价，请填实际售价",IF(AND($K3679="对外销售",$T3679&lt;&gt;"",$T3679&lt;0),"※这一笔外销是亏的，请核对售价",IF(IFERROR(VLOOKUP($D3679,库存台账!$A$5:$Y$1204,24,0),0)&lt;-0.001,"※这个物料账面已经变成负数了，查一下是不是漏记入库","")))))))))))</f>
        <v/>
      </c>
    </row>
    <row r="3680">
      <c r="A3680" s="24">
        <f>IF($D3680="","",COUNTA($D$4:$D3680))</f>
        <v/>
      </c>
      <c r="B3680" s="17" t="n"/>
      <c r="C3680" s="30" t="n"/>
      <c r="D3680" s="17" t="n"/>
      <c r="E3680" s="24">
        <f>IF($D3680="","",IFERROR(VLOOKUP($D3680,物料档案!$A$4:$P$1203,3,0),"※编码不在物料档案里"))</f>
        <v/>
      </c>
      <c r="F3680" s="24">
        <f>IF($D3680="","",IFERROR(VLOOKUP($D3680,物料档案!$A$4:$P$1203,4,0),"※编码不在物料档案里"))</f>
        <v/>
      </c>
      <c r="G3680" s="24">
        <f>IF($D3680="","",IFERROR(VLOOKUP($D3680,物料档案!$A$4:$P$1203,5,0),"※编码不在物料档案里"))</f>
        <v/>
      </c>
      <c r="H3680" s="24">
        <f>IF($D3680="","",IFERROR(VLOOKUP($D3680,物料档案!$A$4:$P$1203,2,0),"※编码不在物料档案里"))</f>
        <v/>
      </c>
      <c r="I3680" s="24">
        <f>IF($D3680="","",IFERROR(VLOOKUP($D3680,物料档案!$A$4:$P$1203,6,0),"※编码不在物料档案里"))</f>
        <v/>
      </c>
      <c r="J3680" s="23" t="n"/>
      <c r="K3680" s="17" t="n"/>
      <c r="L3680" s="17" t="n"/>
      <c r="M3680" s="17" t="n"/>
      <c r="N3680" s="17" t="n"/>
      <c r="O3680" s="26">
        <f>IF($D3680="","",IFERROR(VLOOKUP($D3680,物料档案!$A$4:$P$1203,10,0),0))</f>
        <v/>
      </c>
      <c r="P3680" s="32" t="n"/>
      <c r="Q3680" s="26">
        <f>IF($D3680="","",IF($K3680&lt;&gt;"对外销售",0,ROUND(N($J3680)*IF($P3680="",N($O3680),N($P3680)),0)))</f>
        <v/>
      </c>
      <c r="R3680" s="26">
        <f>IF($D3680="","",IFERROR(VLOOKUP($D3680,库存台账!$A$5:$Y$1204,11,0),0))</f>
        <v/>
      </c>
      <c r="S3680" s="26">
        <f>IF($D3680="","",ROUND(N($J3680)*N($R3680),0))</f>
        <v/>
      </c>
      <c r="T3680" s="26">
        <f>IF($D3680="","",IF($K3680&lt;&gt;"对外销售","",ROUND($Q3680-$S3680,0)))</f>
        <v/>
      </c>
      <c r="U3680" s="17" t="n"/>
      <c r="V3680" s="17" t="n"/>
      <c r="W3680" s="24">
        <f>IF($D3680="","",IF($E3680="※编码不在物料档案里","※物料编码不在档案里",IF(N($J3680)&lt;=0,"※出库数量要大于 0",IF($K3680="","※没填去向类型",IF($L3680="","※没填去向矿区",IF(AND($C3680&lt;&gt;"",$C3680&lt;=结账锁),"※日期早于已结账截止日，不能再录",IF(AND($K3680="自用消耗",COUNTIF({"一矿区";"二矿区"},$L3680)=0),"※自用消耗的去向只能是一矿区或二矿区",IF(AND($K3680="对外销售",COUNTIF({"三矿区";"六矿区"},$L3680)=0),"※对外销售的去向只能是三矿区或六矿区",IF(AND($K3680="对外销售",ROUND($Q3680,0)=0),"※外销却没有售价，请填实际售价",IF(AND($K3680="对外销售",$T3680&lt;&gt;"",$T3680&lt;0),"※这一笔外销是亏的，请核对售价",IF(IFERROR(VLOOKUP($D3680,库存台账!$A$5:$Y$1204,24,0),0)&lt;-0.001,"※这个物料账面已经变成负数了，查一下是不是漏记入库","")))))))))))</f>
        <v/>
      </c>
    </row>
    <row r="3681">
      <c r="A3681" s="24">
        <f>IF($D3681="","",COUNTA($D$4:$D3681))</f>
        <v/>
      </c>
      <c r="B3681" s="17" t="n"/>
      <c r="C3681" s="30" t="n"/>
      <c r="D3681" s="17" t="n"/>
      <c r="E3681" s="24">
        <f>IF($D3681="","",IFERROR(VLOOKUP($D3681,物料档案!$A$4:$P$1203,3,0),"※编码不在物料档案里"))</f>
        <v/>
      </c>
      <c r="F3681" s="24">
        <f>IF($D3681="","",IFERROR(VLOOKUP($D3681,物料档案!$A$4:$P$1203,4,0),"※编码不在物料档案里"))</f>
        <v/>
      </c>
      <c r="G3681" s="24">
        <f>IF($D3681="","",IFERROR(VLOOKUP($D3681,物料档案!$A$4:$P$1203,5,0),"※编码不在物料档案里"))</f>
        <v/>
      </c>
      <c r="H3681" s="24">
        <f>IF($D3681="","",IFERROR(VLOOKUP($D3681,物料档案!$A$4:$P$1203,2,0),"※编码不在物料档案里"))</f>
        <v/>
      </c>
      <c r="I3681" s="24">
        <f>IF($D3681="","",IFERROR(VLOOKUP($D3681,物料档案!$A$4:$P$1203,6,0),"※编码不在物料档案里"))</f>
        <v/>
      </c>
      <c r="J3681" s="23" t="n"/>
      <c r="K3681" s="17" t="n"/>
      <c r="L3681" s="17" t="n"/>
      <c r="M3681" s="17" t="n"/>
      <c r="N3681" s="17" t="n"/>
      <c r="O3681" s="26">
        <f>IF($D3681="","",IFERROR(VLOOKUP($D3681,物料档案!$A$4:$P$1203,10,0),0))</f>
        <v/>
      </c>
      <c r="P3681" s="32" t="n"/>
      <c r="Q3681" s="26">
        <f>IF($D3681="","",IF($K3681&lt;&gt;"对外销售",0,ROUND(N($J3681)*IF($P3681="",N($O3681),N($P3681)),0)))</f>
        <v/>
      </c>
      <c r="R3681" s="26">
        <f>IF($D3681="","",IFERROR(VLOOKUP($D3681,库存台账!$A$5:$Y$1204,11,0),0))</f>
        <v/>
      </c>
      <c r="S3681" s="26">
        <f>IF($D3681="","",ROUND(N($J3681)*N($R3681),0))</f>
        <v/>
      </c>
      <c r="T3681" s="26">
        <f>IF($D3681="","",IF($K3681&lt;&gt;"对外销售","",ROUND($Q3681-$S3681,0)))</f>
        <v/>
      </c>
      <c r="U3681" s="17" t="n"/>
      <c r="V3681" s="17" t="n"/>
      <c r="W3681" s="24">
        <f>IF($D3681="","",IF($E3681="※编码不在物料档案里","※物料编码不在档案里",IF(N($J3681)&lt;=0,"※出库数量要大于 0",IF($K3681="","※没填去向类型",IF($L3681="","※没填去向矿区",IF(AND($C3681&lt;&gt;"",$C3681&lt;=结账锁),"※日期早于已结账截止日，不能再录",IF(AND($K3681="自用消耗",COUNTIF({"一矿区";"二矿区"},$L3681)=0),"※自用消耗的去向只能是一矿区或二矿区",IF(AND($K3681="对外销售",COUNTIF({"三矿区";"六矿区"},$L3681)=0),"※对外销售的去向只能是三矿区或六矿区",IF(AND($K3681="对外销售",ROUND($Q3681,0)=0),"※外销却没有售价，请填实际售价",IF(AND($K3681="对外销售",$T3681&lt;&gt;"",$T3681&lt;0),"※这一笔外销是亏的，请核对售价",IF(IFERROR(VLOOKUP($D3681,库存台账!$A$5:$Y$1204,24,0),0)&lt;-0.001,"※这个物料账面已经变成负数了，查一下是不是漏记入库","")))))))))))</f>
        <v/>
      </c>
    </row>
    <row r="3682">
      <c r="A3682" s="24">
        <f>IF($D3682="","",COUNTA($D$4:$D3682))</f>
        <v/>
      </c>
      <c r="B3682" s="17" t="n"/>
      <c r="C3682" s="30" t="n"/>
      <c r="D3682" s="17" t="n"/>
      <c r="E3682" s="24">
        <f>IF($D3682="","",IFERROR(VLOOKUP($D3682,物料档案!$A$4:$P$1203,3,0),"※编码不在物料档案里"))</f>
        <v/>
      </c>
      <c r="F3682" s="24">
        <f>IF($D3682="","",IFERROR(VLOOKUP($D3682,物料档案!$A$4:$P$1203,4,0),"※编码不在物料档案里"))</f>
        <v/>
      </c>
      <c r="G3682" s="24">
        <f>IF($D3682="","",IFERROR(VLOOKUP($D3682,物料档案!$A$4:$P$1203,5,0),"※编码不在物料档案里"))</f>
        <v/>
      </c>
      <c r="H3682" s="24">
        <f>IF($D3682="","",IFERROR(VLOOKUP($D3682,物料档案!$A$4:$P$1203,2,0),"※编码不在物料档案里"))</f>
        <v/>
      </c>
      <c r="I3682" s="24">
        <f>IF($D3682="","",IFERROR(VLOOKUP($D3682,物料档案!$A$4:$P$1203,6,0),"※编码不在物料档案里"))</f>
        <v/>
      </c>
      <c r="J3682" s="23" t="n"/>
      <c r="K3682" s="17" t="n"/>
      <c r="L3682" s="17" t="n"/>
      <c r="M3682" s="17" t="n"/>
      <c r="N3682" s="17" t="n"/>
      <c r="O3682" s="26">
        <f>IF($D3682="","",IFERROR(VLOOKUP($D3682,物料档案!$A$4:$P$1203,10,0),0))</f>
        <v/>
      </c>
      <c r="P3682" s="32" t="n"/>
      <c r="Q3682" s="26">
        <f>IF($D3682="","",IF($K3682&lt;&gt;"对外销售",0,ROUND(N($J3682)*IF($P3682="",N($O3682),N($P3682)),0)))</f>
        <v/>
      </c>
      <c r="R3682" s="26">
        <f>IF($D3682="","",IFERROR(VLOOKUP($D3682,库存台账!$A$5:$Y$1204,11,0),0))</f>
        <v/>
      </c>
      <c r="S3682" s="26">
        <f>IF($D3682="","",ROUND(N($J3682)*N($R3682),0))</f>
        <v/>
      </c>
      <c r="T3682" s="26">
        <f>IF($D3682="","",IF($K3682&lt;&gt;"对外销售","",ROUND($Q3682-$S3682,0)))</f>
        <v/>
      </c>
      <c r="U3682" s="17" t="n"/>
      <c r="V3682" s="17" t="n"/>
      <c r="W3682" s="24">
        <f>IF($D3682="","",IF($E3682="※编码不在物料档案里","※物料编码不在档案里",IF(N($J3682)&lt;=0,"※出库数量要大于 0",IF($K3682="","※没填去向类型",IF($L3682="","※没填去向矿区",IF(AND($C3682&lt;&gt;"",$C3682&lt;=结账锁),"※日期早于已结账截止日，不能再录",IF(AND($K3682="自用消耗",COUNTIF({"一矿区";"二矿区"},$L3682)=0),"※自用消耗的去向只能是一矿区或二矿区",IF(AND($K3682="对外销售",COUNTIF({"三矿区";"六矿区"},$L3682)=0),"※对外销售的去向只能是三矿区或六矿区",IF(AND($K3682="对外销售",ROUND($Q3682,0)=0),"※外销却没有售价，请填实际售价",IF(AND($K3682="对外销售",$T3682&lt;&gt;"",$T3682&lt;0),"※这一笔外销是亏的，请核对售价",IF(IFERROR(VLOOKUP($D3682,库存台账!$A$5:$Y$1204,24,0),0)&lt;-0.001,"※这个物料账面已经变成负数了，查一下是不是漏记入库","")))))))))))</f>
        <v/>
      </c>
    </row>
    <row r="3683">
      <c r="A3683" s="24">
        <f>IF($D3683="","",COUNTA($D$4:$D3683))</f>
        <v/>
      </c>
      <c r="B3683" s="17" t="n"/>
      <c r="C3683" s="30" t="n"/>
      <c r="D3683" s="17" t="n"/>
      <c r="E3683" s="24">
        <f>IF($D3683="","",IFERROR(VLOOKUP($D3683,物料档案!$A$4:$P$1203,3,0),"※编码不在物料档案里"))</f>
        <v/>
      </c>
      <c r="F3683" s="24">
        <f>IF($D3683="","",IFERROR(VLOOKUP($D3683,物料档案!$A$4:$P$1203,4,0),"※编码不在物料档案里"))</f>
        <v/>
      </c>
      <c r="G3683" s="24">
        <f>IF($D3683="","",IFERROR(VLOOKUP($D3683,物料档案!$A$4:$P$1203,5,0),"※编码不在物料档案里"))</f>
        <v/>
      </c>
      <c r="H3683" s="24">
        <f>IF($D3683="","",IFERROR(VLOOKUP($D3683,物料档案!$A$4:$P$1203,2,0),"※编码不在物料档案里"))</f>
        <v/>
      </c>
      <c r="I3683" s="24">
        <f>IF($D3683="","",IFERROR(VLOOKUP($D3683,物料档案!$A$4:$P$1203,6,0),"※编码不在物料档案里"))</f>
        <v/>
      </c>
      <c r="J3683" s="23" t="n"/>
      <c r="K3683" s="17" t="n"/>
      <c r="L3683" s="17" t="n"/>
      <c r="M3683" s="17" t="n"/>
      <c r="N3683" s="17" t="n"/>
      <c r="O3683" s="26">
        <f>IF($D3683="","",IFERROR(VLOOKUP($D3683,物料档案!$A$4:$P$1203,10,0),0))</f>
        <v/>
      </c>
      <c r="P3683" s="32" t="n"/>
      <c r="Q3683" s="26">
        <f>IF($D3683="","",IF($K3683&lt;&gt;"对外销售",0,ROUND(N($J3683)*IF($P3683="",N($O3683),N($P3683)),0)))</f>
        <v/>
      </c>
      <c r="R3683" s="26">
        <f>IF($D3683="","",IFERROR(VLOOKUP($D3683,库存台账!$A$5:$Y$1204,11,0),0))</f>
        <v/>
      </c>
      <c r="S3683" s="26">
        <f>IF($D3683="","",ROUND(N($J3683)*N($R3683),0))</f>
        <v/>
      </c>
      <c r="T3683" s="26">
        <f>IF($D3683="","",IF($K3683&lt;&gt;"对外销售","",ROUND($Q3683-$S3683,0)))</f>
        <v/>
      </c>
      <c r="U3683" s="17" t="n"/>
      <c r="V3683" s="17" t="n"/>
      <c r="W3683" s="24">
        <f>IF($D3683="","",IF($E3683="※编码不在物料档案里","※物料编码不在档案里",IF(N($J3683)&lt;=0,"※出库数量要大于 0",IF($K3683="","※没填去向类型",IF($L3683="","※没填去向矿区",IF(AND($C3683&lt;&gt;"",$C3683&lt;=结账锁),"※日期早于已结账截止日，不能再录",IF(AND($K3683="自用消耗",COUNTIF({"一矿区";"二矿区"},$L3683)=0),"※自用消耗的去向只能是一矿区或二矿区",IF(AND($K3683="对外销售",COUNTIF({"三矿区";"六矿区"},$L3683)=0),"※对外销售的去向只能是三矿区或六矿区",IF(AND($K3683="对外销售",ROUND($Q3683,0)=0),"※外销却没有售价，请填实际售价",IF(AND($K3683="对外销售",$T3683&lt;&gt;"",$T3683&lt;0),"※这一笔外销是亏的，请核对售价",IF(IFERROR(VLOOKUP($D3683,库存台账!$A$5:$Y$1204,24,0),0)&lt;-0.001,"※这个物料账面已经变成负数了，查一下是不是漏记入库","")))))))))))</f>
        <v/>
      </c>
    </row>
    <row r="3684">
      <c r="A3684" s="24">
        <f>IF($D3684="","",COUNTA($D$4:$D3684))</f>
        <v/>
      </c>
      <c r="B3684" s="17" t="n"/>
      <c r="C3684" s="30" t="n"/>
      <c r="D3684" s="17" t="n"/>
      <c r="E3684" s="24">
        <f>IF($D3684="","",IFERROR(VLOOKUP($D3684,物料档案!$A$4:$P$1203,3,0),"※编码不在物料档案里"))</f>
        <v/>
      </c>
      <c r="F3684" s="24">
        <f>IF($D3684="","",IFERROR(VLOOKUP($D3684,物料档案!$A$4:$P$1203,4,0),"※编码不在物料档案里"))</f>
        <v/>
      </c>
      <c r="G3684" s="24">
        <f>IF($D3684="","",IFERROR(VLOOKUP($D3684,物料档案!$A$4:$P$1203,5,0),"※编码不在物料档案里"))</f>
        <v/>
      </c>
      <c r="H3684" s="24">
        <f>IF($D3684="","",IFERROR(VLOOKUP($D3684,物料档案!$A$4:$P$1203,2,0),"※编码不在物料档案里"))</f>
        <v/>
      </c>
      <c r="I3684" s="24">
        <f>IF($D3684="","",IFERROR(VLOOKUP($D3684,物料档案!$A$4:$P$1203,6,0),"※编码不在物料档案里"))</f>
        <v/>
      </c>
      <c r="J3684" s="23" t="n"/>
      <c r="K3684" s="17" t="n"/>
      <c r="L3684" s="17" t="n"/>
      <c r="M3684" s="17" t="n"/>
      <c r="N3684" s="17" t="n"/>
      <c r="O3684" s="26">
        <f>IF($D3684="","",IFERROR(VLOOKUP($D3684,物料档案!$A$4:$P$1203,10,0),0))</f>
        <v/>
      </c>
      <c r="P3684" s="32" t="n"/>
      <c r="Q3684" s="26">
        <f>IF($D3684="","",IF($K3684&lt;&gt;"对外销售",0,ROUND(N($J3684)*IF($P3684="",N($O3684),N($P3684)),0)))</f>
        <v/>
      </c>
      <c r="R3684" s="26">
        <f>IF($D3684="","",IFERROR(VLOOKUP($D3684,库存台账!$A$5:$Y$1204,11,0),0))</f>
        <v/>
      </c>
      <c r="S3684" s="26">
        <f>IF($D3684="","",ROUND(N($J3684)*N($R3684),0))</f>
        <v/>
      </c>
      <c r="T3684" s="26">
        <f>IF($D3684="","",IF($K3684&lt;&gt;"对外销售","",ROUND($Q3684-$S3684,0)))</f>
        <v/>
      </c>
      <c r="U3684" s="17" t="n"/>
      <c r="V3684" s="17" t="n"/>
      <c r="W3684" s="24">
        <f>IF($D3684="","",IF($E3684="※编码不在物料档案里","※物料编码不在档案里",IF(N($J3684)&lt;=0,"※出库数量要大于 0",IF($K3684="","※没填去向类型",IF($L3684="","※没填去向矿区",IF(AND($C3684&lt;&gt;"",$C3684&lt;=结账锁),"※日期早于已结账截止日，不能再录",IF(AND($K3684="自用消耗",COUNTIF({"一矿区";"二矿区"},$L3684)=0),"※自用消耗的去向只能是一矿区或二矿区",IF(AND($K3684="对外销售",COUNTIF({"三矿区";"六矿区"},$L3684)=0),"※对外销售的去向只能是三矿区或六矿区",IF(AND($K3684="对外销售",ROUND($Q3684,0)=0),"※外销却没有售价，请填实际售价",IF(AND($K3684="对外销售",$T3684&lt;&gt;"",$T3684&lt;0),"※这一笔外销是亏的，请核对售价",IF(IFERROR(VLOOKUP($D3684,库存台账!$A$5:$Y$1204,24,0),0)&lt;-0.001,"※这个物料账面已经变成负数了，查一下是不是漏记入库","")))))))))))</f>
        <v/>
      </c>
    </row>
    <row r="3685">
      <c r="A3685" s="24">
        <f>IF($D3685="","",COUNTA($D$4:$D3685))</f>
        <v/>
      </c>
      <c r="B3685" s="17" t="n"/>
      <c r="C3685" s="30" t="n"/>
      <c r="D3685" s="17" t="n"/>
      <c r="E3685" s="24">
        <f>IF($D3685="","",IFERROR(VLOOKUP($D3685,物料档案!$A$4:$P$1203,3,0),"※编码不在物料档案里"))</f>
        <v/>
      </c>
      <c r="F3685" s="24">
        <f>IF($D3685="","",IFERROR(VLOOKUP($D3685,物料档案!$A$4:$P$1203,4,0),"※编码不在物料档案里"))</f>
        <v/>
      </c>
      <c r="G3685" s="24">
        <f>IF($D3685="","",IFERROR(VLOOKUP($D3685,物料档案!$A$4:$P$1203,5,0),"※编码不在物料档案里"))</f>
        <v/>
      </c>
      <c r="H3685" s="24">
        <f>IF($D3685="","",IFERROR(VLOOKUP($D3685,物料档案!$A$4:$P$1203,2,0),"※编码不在物料档案里"))</f>
        <v/>
      </c>
      <c r="I3685" s="24">
        <f>IF($D3685="","",IFERROR(VLOOKUP($D3685,物料档案!$A$4:$P$1203,6,0),"※编码不在物料档案里"))</f>
        <v/>
      </c>
      <c r="J3685" s="23" t="n"/>
      <c r="K3685" s="17" t="n"/>
      <c r="L3685" s="17" t="n"/>
      <c r="M3685" s="17" t="n"/>
      <c r="N3685" s="17" t="n"/>
      <c r="O3685" s="26">
        <f>IF($D3685="","",IFERROR(VLOOKUP($D3685,物料档案!$A$4:$P$1203,10,0),0))</f>
        <v/>
      </c>
      <c r="P3685" s="32" t="n"/>
      <c r="Q3685" s="26">
        <f>IF($D3685="","",IF($K3685&lt;&gt;"对外销售",0,ROUND(N($J3685)*IF($P3685="",N($O3685),N($P3685)),0)))</f>
        <v/>
      </c>
      <c r="R3685" s="26">
        <f>IF($D3685="","",IFERROR(VLOOKUP($D3685,库存台账!$A$5:$Y$1204,11,0),0))</f>
        <v/>
      </c>
      <c r="S3685" s="26">
        <f>IF($D3685="","",ROUND(N($J3685)*N($R3685),0))</f>
        <v/>
      </c>
      <c r="T3685" s="26">
        <f>IF($D3685="","",IF($K3685&lt;&gt;"对外销售","",ROUND($Q3685-$S3685,0)))</f>
        <v/>
      </c>
      <c r="U3685" s="17" t="n"/>
      <c r="V3685" s="17" t="n"/>
      <c r="W3685" s="24">
        <f>IF($D3685="","",IF($E3685="※编码不在物料档案里","※物料编码不在档案里",IF(N($J3685)&lt;=0,"※出库数量要大于 0",IF($K3685="","※没填去向类型",IF($L3685="","※没填去向矿区",IF(AND($C3685&lt;&gt;"",$C3685&lt;=结账锁),"※日期早于已结账截止日，不能再录",IF(AND($K3685="自用消耗",COUNTIF({"一矿区";"二矿区"},$L3685)=0),"※自用消耗的去向只能是一矿区或二矿区",IF(AND($K3685="对外销售",COUNTIF({"三矿区";"六矿区"},$L3685)=0),"※对外销售的去向只能是三矿区或六矿区",IF(AND($K3685="对外销售",ROUND($Q3685,0)=0),"※外销却没有售价，请填实际售价",IF(AND($K3685="对外销售",$T3685&lt;&gt;"",$T3685&lt;0),"※这一笔外销是亏的，请核对售价",IF(IFERROR(VLOOKUP($D3685,库存台账!$A$5:$Y$1204,24,0),0)&lt;-0.001,"※这个物料账面已经变成负数了，查一下是不是漏记入库","")))))))))))</f>
        <v/>
      </c>
    </row>
    <row r="3686">
      <c r="A3686" s="24">
        <f>IF($D3686="","",COUNTA($D$4:$D3686))</f>
        <v/>
      </c>
      <c r="B3686" s="17" t="n"/>
      <c r="C3686" s="30" t="n"/>
      <c r="D3686" s="17" t="n"/>
      <c r="E3686" s="24">
        <f>IF($D3686="","",IFERROR(VLOOKUP($D3686,物料档案!$A$4:$P$1203,3,0),"※编码不在物料档案里"))</f>
        <v/>
      </c>
      <c r="F3686" s="24">
        <f>IF($D3686="","",IFERROR(VLOOKUP($D3686,物料档案!$A$4:$P$1203,4,0),"※编码不在物料档案里"))</f>
        <v/>
      </c>
      <c r="G3686" s="24">
        <f>IF($D3686="","",IFERROR(VLOOKUP($D3686,物料档案!$A$4:$P$1203,5,0),"※编码不在物料档案里"))</f>
        <v/>
      </c>
      <c r="H3686" s="24">
        <f>IF($D3686="","",IFERROR(VLOOKUP($D3686,物料档案!$A$4:$P$1203,2,0),"※编码不在物料档案里"))</f>
        <v/>
      </c>
      <c r="I3686" s="24">
        <f>IF($D3686="","",IFERROR(VLOOKUP($D3686,物料档案!$A$4:$P$1203,6,0),"※编码不在物料档案里"))</f>
        <v/>
      </c>
      <c r="J3686" s="23" t="n"/>
      <c r="K3686" s="17" t="n"/>
      <c r="L3686" s="17" t="n"/>
      <c r="M3686" s="17" t="n"/>
      <c r="N3686" s="17" t="n"/>
      <c r="O3686" s="26">
        <f>IF($D3686="","",IFERROR(VLOOKUP($D3686,物料档案!$A$4:$P$1203,10,0),0))</f>
        <v/>
      </c>
      <c r="P3686" s="32" t="n"/>
      <c r="Q3686" s="26">
        <f>IF($D3686="","",IF($K3686&lt;&gt;"对外销售",0,ROUND(N($J3686)*IF($P3686="",N($O3686),N($P3686)),0)))</f>
        <v/>
      </c>
      <c r="R3686" s="26">
        <f>IF($D3686="","",IFERROR(VLOOKUP($D3686,库存台账!$A$5:$Y$1204,11,0),0))</f>
        <v/>
      </c>
      <c r="S3686" s="26">
        <f>IF($D3686="","",ROUND(N($J3686)*N($R3686),0))</f>
        <v/>
      </c>
      <c r="T3686" s="26">
        <f>IF($D3686="","",IF($K3686&lt;&gt;"对外销售","",ROUND($Q3686-$S3686,0)))</f>
        <v/>
      </c>
      <c r="U3686" s="17" t="n"/>
      <c r="V3686" s="17" t="n"/>
      <c r="W3686" s="24">
        <f>IF($D3686="","",IF($E3686="※编码不在物料档案里","※物料编码不在档案里",IF(N($J3686)&lt;=0,"※出库数量要大于 0",IF($K3686="","※没填去向类型",IF($L3686="","※没填去向矿区",IF(AND($C3686&lt;&gt;"",$C3686&lt;=结账锁),"※日期早于已结账截止日，不能再录",IF(AND($K3686="自用消耗",COUNTIF({"一矿区";"二矿区"},$L3686)=0),"※自用消耗的去向只能是一矿区或二矿区",IF(AND($K3686="对外销售",COUNTIF({"三矿区";"六矿区"},$L3686)=0),"※对外销售的去向只能是三矿区或六矿区",IF(AND($K3686="对外销售",ROUND($Q3686,0)=0),"※外销却没有售价，请填实际售价",IF(AND($K3686="对外销售",$T3686&lt;&gt;"",$T3686&lt;0),"※这一笔外销是亏的，请核对售价",IF(IFERROR(VLOOKUP($D3686,库存台账!$A$5:$Y$1204,24,0),0)&lt;-0.001,"※这个物料账面已经变成负数了，查一下是不是漏记入库","")))))))))))</f>
        <v/>
      </c>
    </row>
    <row r="3687">
      <c r="A3687" s="24">
        <f>IF($D3687="","",COUNTA($D$4:$D3687))</f>
        <v/>
      </c>
      <c r="B3687" s="17" t="n"/>
      <c r="C3687" s="30" t="n"/>
      <c r="D3687" s="17" t="n"/>
      <c r="E3687" s="24">
        <f>IF($D3687="","",IFERROR(VLOOKUP($D3687,物料档案!$A$4:$P$1203,3,0),"※编码不在物料档案里"))</f>
        <v/>
      </c>
      <c r="F3687" s="24">
        <f>IF($D3687="","",IFERROR(VLOOKUP($D3687,物料档案!$A$4:$P$1203,4,0),"※编码不在物料档案里"))</f>
        <v/>
      </c>
      <c r="G3687" s="24">
        <f>IF($D3687="","",IFERROR(VLOOKUP($D3687,物料档案!$A$4:$P$1203,5,0),"※编码不在物料档案里"))</f>
        <v/>
      </c>
      <c r="H3687" s="24">
        <f>IF($D3687="","",IFERROR(VLOOKUP($D3687,物料档案!$A$4:$P$1203,2,0),"※编码不在物料档案里"))</f>
        <v/>
      </c>
      <c r="I3687" s="24">
        <f>IF($D3687="","",IFERROR(VLOOKUP($D3687,物料档案!$A$4:$P$1203,6,0),"※编码不在物料档案里"))</f>
        <v/>
      </c>
      <c r="J3687" s="23" t="n"/>
      <c r="K3687" s="17" t="n"/>
      <c r="L3687" s="17" t="n"/>
      <c r="M3687" s="17" t="n"/>
      <c r="N3687" s="17" t="n"/>
      <c r="O3687" s="26">
        <f>IF($D3687="","",IFERROR(VLOOKUP($D3687,物料档案!$A$4:$P$1203,10,0),0))</f>
        <v/>
      </c>
      <c r="P3687" s="32" t="n"/>
      <c r="Q3687" s="26">
        <f>IF($D3687="","",IF($K3687&lt;&gt;"对外销售",0,ROUND(N($J3687)*IF($P3687="",N($O3687),N($P3687)),0)))</f>
        <v/>
      </c>
      <c r="R3687" s="26">
        <f>IF($D3687="","",IFERROR(VLOOKUP($D3687,库存台账!$A$5:$Y$1204,11,0),0))</f>
        <v/>
      </c>
      <c r="S3687" s="26">
        <f>IF($D3687="","",ROUND(N($J3687)*N($R3687),0))</f>
        <v/>
      </c>
      <c r="T3687" s="26">
        <f>IF($D3687="","",IF($K3687&lt;&gt;"对外销售","",ROUND($Q3687-$S3687,0)))</f>
        <v/>
      </c>
      <c r="U3687" s="17" t="n"/>
      <c r="V3687" s="17" t="n"/>
      <c r="W3687" s="24">
        <f>IF($D3687="","",IF($E3687="※编码不在物料档案里","※物料编码不在档案里",IF(N($J3687)&lt;=0,"※出库数量要大于 0",IF($K3687="","※没填去向类型",IF($L3687="","※没填去向矿区",IF(AND($C3687&lt;&gt;"",$C3687&lt;=结账锁),"※日期早于已结账截止日，不能再录",IF(AND($K3687="自用消耗",COUNTIF({"一矿区";"二矿区"},$L3687)=0),"※自用消耗的去向只能是一矿区或二矿区",IF(AND($K3687="对外销售",COUNTIF({"三矿区";"六矿区"},$L3687)=0),"※对外销售的去向只能是三矿区或六矿区",IF(AND($K3687="对外销售",ROUND($Q3687,0)=0),"※外销却没有售价，请填实际售价",IF(AND($K3687="对外销售",$T3687&lt;&gt;"",$T3687&lt;0),"※这一笔外销是亏的，请核对售价",IF(IFERROR(VLOOKUP($D3687,库存台账!$A$5:$Y$1204,24,0),0)&lt;-0.001,"※这个物料账面已经变成负数了，查一下是不是漏记入库","")))))))))))</f>
        <v/>
      </c>
    </row>
    <row r="3688">
      <c r="A3688" s="24">
        <f>IF($D3688="","",COUNTA($D$4:$D3688))</f>
        <v/>
      </c>
      <c r="B3688" s="17" t="n"/>
      <c r="C3688" s="30" t="n"/>
      <c r="D3688" s="17" t="n"/>
      <c r="E3688" s="24">
        <f>IF($D3688="","",IFERROR(VLOOKUP($D3688,物料档案!$A$4:$P$1203,3,0),"※编码不在物料档案里"))</f>
        <v/>
      </c>
      <c r="F3688" s="24">
        <f>IF($D3688="","",IFERROR(VLOOKUP($D3688,物料档案!$A$4:$P$1203,4,0),"※编码不在物料档案里"))</f>
        <v/>
      </c>
      <c r="G3688" s="24">
        <f>IF($D3688="","",IFERROR(VLOOKUP($D3688,物料档案!$A$4:$P$1203,5,0),"※编码不在物料档案里"))</f>
        <v/>
      </c>
      <c r="H3688" s="24">
        <f>IF($D3688="","",IFERROR(VLOOKUP($D3688,物料档案!$A$4:$P$1203,2,0),"※编码不在物料档案里"))</f>
        <v/>
      </c>
      <c r="I3688" s="24">
        <f>IF($D3688="","",IFERROR(VLOOKUP($D3688,物料档案!$A$4:$P$1203,6,0),"※编码不在物料档案里"))</f>
        <v/>
      </c>
      <c r="J3688" s="23" t="n"/>
      <c r="K3688" s="17" t="n"/>
      <c r="L3688" s="17" t="n"/>
      <c r="M3688" s="17" t="n"/>
      <c r="N3688" s="17" t="n"/>
      <c r="O3688" s="26">
        <f>IF($D3688="","",IFERROR(VLOOKUP($D3688,物料档案!$A$4:$P$1203,10,0),0))</f>
        <v/>
      </c>
      <c r="P3688" s="32" t="n"/>
      <c r="Q3688" s="26">
        <f>IF($D3688="","",IF($K3688&lt;&gt;"对外销售",0,ROUND(N($J3688)*IF($P3688="",N($O3688),N($P3688)),0)))</f>
        <v/>
      </c>
      <c r="R3688" s="26">
        <f>IF($D3688="","",IFERROR(VLOOKUP($D3688,库存台账!$A$5:$Y$1204,11,0),0))</f>
        <v/>
      </c>
      <c r="S3688" s="26">
        <f>IF($D3688="","",ROUND(N($J3688)*N($R3688),0))</f>
        <v/>
      </c>
      <c r="T3688" s="26">
        <f>IF($D3688="","",IF($K3688&lt;&gt;"对外销售","",ROUND($Q3688-$S3688,0)))</f>
        <v/>
      </c>
      <c r="U3688" s="17" t="n"/>
      <c r="V3688" s="17" t="n"/>
      <c r="W3688" s="24">
        <f>IF($D3688="","",IF($E3688="※编码不在物料档案里","※物料编码不在档案里",IF(N($J3688)&lt;=0,"※出库数量要大于 0",IF($K3688="","※没填去向类型",IF($L3688="","※没填去向矿区",IF(AND($C3688&lt;&gt;"",$C3688&lt;=结账锁),"※日期早于已结账截止日，不能再录",IF(AND($K3688="自用消耗",COUNTIF({"一矿区";"二矿区"},$L3688)=0),"※自用消耗的去向只能是一矿区或二矿区",IF(AND($K3688="对外销售",COUNTIF({"三矿区";"六矿区"},$L3688)=0),"※对外销售的去向只能是三矿区或六矿区",IF(AND($K3688="对外销售",ROUND($Q3688,0)=0),"※外销却没有售价，请填实际售价",IF(AND($K3688="对外销售",$T3688&lt;&gt;"",$T3688&lt;0),"※这一笔外销是亏的，请核对售价",IF(IFERROR(VLOOKUP($D3688,库存台账!$A$5:$Y$1204,24,0),0)&lt;-0.001,"※这个物料账面已经变成负数了，查一下是不是漏记入库","")))))))))))</f>
        <v/>
      </c>
    </row>
    <row r="3689">
      <c r="A3689" s="24">
        <f>IF($D3689="","",COUNTA($D$4:$D3689))</f>
        <v/>
      </c>
      <c r="B3689" s="17" t="n"/>
      <c r="C3689" s="30" t="n"/>
      <c r="D3689" s="17" t="n"/>
      <c r="E3689" s="24">
        <f>IF($D3689="","",IFERROR(VLOOKUP($D3689,物料档案!$A$4:$P$1203,3,0),"※编码不在物料档案里"))</f>
        <v/>
      </c>
      <c r="F3689" s="24">
        <f>IF($D3689="","",IFERROR(VLOOKUP($D3689,物料档案!$A$4:$P$1203,4,0),"※编码不在物料档案里"))</f>
        <v/>
      </c>
      <c r="G3689" s="24">
        <f>IF($D3689="","",IFERROR(VLOOKUP($D3689,物料档案!$A$4:$P$1203,5,0),"※编码不在物料档案里"))</f>
        <v/>
      </c>
      <c r="H3689" s="24">
        <f>IF($D3689="","",IFERROR(VLOOKUP($D3689,物料档案!$A$4:$P$1203,2,0),"※编码不在物料档案里"))</f>
        <v/>
      </c>
      <c r="I3689" s="24">
        <f>IF($D3689="","",IFERROR(VLOOKUP($D3689,物料档案!$A$4:$P$1203,6,0),"※编码不在物料档案里"))</f>
        <v/>
      </c>
      <c r="J3689" s="23" t="n"/>
      <c r="K3689" s="17" t="n"/>
      <c r="L3689" s="17" t="n"/>
      <c r="M3689" s="17" t="n"/>
      <c r="N3689" s="17" t="n"/>
      <c r="O3689" s="26">
        <f>IF($D3689="","",IFERROR(VLOOKUP($D3689,物料档案!$A$4:$P$1203,10,0),0))</f>
        <v/>
      </c>
      <c r="P3689" s="32" t="n"/>
      <c r="Q3689" s="26">
        <f>IF($D3689="","",IF($K3689&lt;&gt;"对外销售",0,ROUND(N($J3689)*IF($P3689="",N($O3689),N($P3689)),0)))</f>
        <v/>
      </c>
      <c r="R3689" s="26">
        <f>IF($D3689="","",IFERROR(VLOOKUP($D3689,库存台账!$A$5:$Y$1204,11,0),0))</f>
        <v/>
      </c>
      <c r="S3689" s="26">
        <f>IF($D3689="","",ROUND(N($J3689)*N($R3689),0))</f>
        <v/>
      </c>
      <c r="T3689" s="26">
        <f>IF($D3689="","",IF($K3689&lt;&gt;"对外销售","",ROUND($Q3689-$S3689,0)))</f>
        <v/>
      </c>
      <c r="U3689" s="17" t="n"/>
      <c r="V3689" s="17" t="n"/>
      <c r="W3689" s="24">
        <f>IF($D3689="","",IF($E3689="※编码不在物料档案里","※物料编码不在档案里",IF(N($J3689)&lt;=0,"※出库数量要大于 0",IF($K3689="","※没填去向类型",IF($L3689="","※没填去向矿区",IF(AND($C3689&lt;&gt;"",$C3689&lt;=结账锁),"※日期早于已结账截止日，不能再录",IF(AND($K3689="自用消耗",COUNTIF({"一矿区";"二矿区"},$L3689)=0),"※自用消耗的去向只能是一矿区或二矿区",IF(AND($K3689="对外销售",COUNTIF({"三矿区";"六矿区"},$L3689)=0),"※对外销售的去向只能是三矿区或六矿区",IF(AND($K3689="对外销售",ROUND($Q3689,0)=0),"※外销却没有售价，请填实际售价",IF(AND($K3689="对外销售",$T3689&lt;&gt;"",$T3689&lt;0),"※这一笔外销是亏的，请核对售价",IF(IFERROR(VLOOKUP($D3689,库存台账!$A$5:$Y$1204,24,0),0)&lt;-0.001,"※这个物料账面已经变成负数了，查一下是不是漏记入库","")))))))))))</f>
        <v/>
      </c>
    </row>
    <row r="3690">
      <c r="A3690" s="24">
        <f>IF($D3690="","",COUNTA($D$4:$D3690))</f>
        <v/>
      </c>
      <c r="B3690" s="17" t="n"/>
      <c r="C3690" s="30" t="n"/>
      <c r="D3690" s="17" t="n"/>
      <c r="E3690" s="24">
        <f>IF($D3690="","",IFERROR(VLOOKUP($D3690,物料档案!$A$4:$P$1203,3,0),"※编码不在物料档案里"))</f>
        <v/>
      </c>
      <c r="F3690" s="24">
        <f>IF($D3690="","",IFERROR(VLOOKUP($D3690,物料档案!$A$4:$P$1203,4,0),"※编码不在物料档案里"))</f>
        <v/>
      </c>
      <c r="G3690" s="24">
        <f>IF($D3690="","",IFERROR(VLOOKUP($D3690,物料档案!$A$4:$P$1203,5,0),"※编码不在物料档案里"))</f>
        <v/>
      </c>
      <c r="H3690" s="24">
        <f>IF($D3690="","",IFERROR(VLOOKUP($D3690,物料档案!$A$4:$P$1203,2,0),"※编码不在物料档案里"))</f>
        <v/>
      </c>
      <c r="I3690" s="24">
        <f>IF($D3690="","",IFERROR(VLOOKUP($D3690,物料档案!$A$4:$P$1203,6,0),"※编码不在物料档案里"))</f>
        <v/>
      </c>
      <c r="J3690" s="23" t="n"/>
      <c r="K3690" s="17" t="n"/>
      <c r="L3690" s="17" t="n"/>
      <c r="M3690" s="17" t="n"/>
      <c r="N3690" s="17" t="n"/>
      <c r="O3690" s="26">
        <f>IF($D3690="","",IFERROR(VLOOKUP($D3690,物料档案!$A$4:$P$1203,10,0),0))</f>
        <v/>
      </c>
      <c r="P3690" s="32" t="n"/>
      <c r="Q3690" s="26">
        <f>IF($D3690="","",IF($K3690&lt;&gt;"对外销售",0,ROUND(N($J3690)*IF($P3690="",N($O3690),N($P3690)),0)))</f>
        <v/>
      </c>
      <c r="R3690" s="26">
        <f>IF($D3690="","",IFERROR(VLOOKUP($D3690,库存台账!$A$5:$Y$1204,11,0),0))</f>
        <v/>
      </c>
      <c r="S3690" s="26">
        <f>IF($D3690="","",ROUND(N($J3690)*N($R3690),0))</f>
        <v/>
      </c>
      <c r="T3690" s="26">
        <f>IF($D3690="","",IF($K3690&lt;&gt;"对外销售","",ROUND($Q3690-$S3690,0)))</f>
        <v/>
      </c>
      <c r="U3690" s="17" t="n"/>
      <c r="V3690" s="17" t="n"/>
      <c r="W3690" s="24">
        <f>IF($D3690="","",IF($E3690="※编码不在物料档案里","※物料编码不在档案里",IF(N($J3690)&lt;=0,"※出库数量要大于 0",IF($K3690="","※没填去向类型",IF($L3690="","※没填去向矿区",IF(AND($C3690&lt;&gt;"",$C3690&lt;=结账锁),"※日期早于已结账截止日，不能再录",IF(AND($K3690="自用消耗",COUNTIF({"一矿区";"二矿区"},$L3690)=0),"※自用消耗的去向只能是一矿区或二矿区",IF(AND($K3690="对外销售",COUNTIF({"三矿区";"六矿区"},$L3690)=0),"※对外销售的去向只能是三矿区或六矿区",IF(AND($K3690="对外销售",ROUND($Q3690,0)=0),"※外销却没有售价，请填实际售价",IF(AND($K3690="对外销售",$T3690&lt;&gt;"",$T3690&lt;0),"※这一笔外销是亏的，请核对售价",IF(IFERROR(VLOOKUP($D3690,库存台账!$A$5:$Y$1204,24,0),0)&lt;-0.001,"※这个物料账面已经变成负数了，查一下是不是漏记入库","")))))))))))</f>
        <v/>
      </c>
    </row>
    <row r="3691">
      <c r="A3691" s="24">
        <f>IF($D3691="","",COUNTA($D$4:$D3691))</f>
        <v/>
      </c>
      <c r="B3691" s="17" t="n"/>
      <c r="C3691" s="30" t="n"/>
      <c r="D3691" s="17" t="n"/>
      <c r="E3691" s="24">
        <f>IF($D3691="","",IFERROR(VLOOKUP($D3691,物料档案!$A$4:$P$1203,3,0),"※编码不在物料档案里"))</f>
        <v/>
      </c>
      <c r="F3691" s="24">
        <f>IF($D3691="","",IFERROR(VLOOKUP($D3691,物料档案!$A$4:$P$1203,4,0),"※编码不在物料档案里"))</f>
        <v/>
      </c>
      <c r="G3691" s="24">
        <f>IF($D3691="","",IFERROR(VLOOKUP($D3691,物料档案!$A$4:$P$1203,5,0),"※编码不在物料档案里"))</f>
        <v/>
      </c>
      <c r="H3691" s="24">
        <f>IF($D3691="","",IFERROR(VLOOKUP($D3691,物料档案!$A$4:$P$1203,2,0),"※编码不在物料档案里"))</f>
        <v/>
      </c>
      <c r="I3691" s="24">
        <f>IF($D3691="","",IFERROR(VLOOKUP($D3691,物料档案!$A$4:$P$1203,6,0),"※编码不在物料档案里"))</f>
        <v/>
      </c>
      <c r="J3691" s="23" t="n"/>
      <c r="K3691" s="17" t="n"/>
      <c r="L3691" s="17" t="n"/>
      <c r="M3691" s="17" t="n"/>
      <c r="N3691" s="17" t="n"/>
      <c r="O3691" s="26">
        <f>IF($D3691="","",IFERROR(VLOOKUP($D3691,物料档案!$A$4:$P$1203,10,0),0))</f>
        <v/>
      </c>
      <c r="P3691" s="32" t="n"/>
      <c r="Q3691" s="26">
        <f>IF($D3691="","",IF($K3691&lt;&gt;"对外销售",0,ROUND(N($J3691)*IF($P3691="",N($O3691),N($P3691)),0)))</f>
        <v/>
      </c>
      <c r="R3691" s="26">
        <f>IF($D3691="","",IFERROR(VLOOKUP($D3691,库存台账!$A$5:$Y$1204,11,0),0))</f>
        <v/>
      </c>
      <c r="S3691" s="26">
        <f>IF($D3691="","",ROUND(N($J3691)*N($R3691),0))</f>
        <v/>
      </c>
      <c r="T3691" s="26">
        <f>IF($D3691="","",IF($K3691&lt;&gt;"对外销售","",ROUND($Q3691-$S3691,0)))</f>
        <v/>
      </c>
      <c r="U3691" s="17" t="n"/>
      <c r="V3691" s="17" t="n"/>
      <c r="W3691" s="24">
        <f>IF($D3691="","",IF($E3691="※编码不在物料档案里","※物料编码不在档案里",IF(N($J3691)&lt;=0,"※出库数量要大于 0",IF($K3691="","※没填去向类型",IF($L3691="","※没填去向矿区",IF(AND($C3691&lt;&gt;"",$C3691&lt;=结账锁),"※日期早于已结账截止日，不能再录",IF(AND($K3691="自用消耗",COUNTIF({"一矿区";"二矿区"},$L3691)=0),"※自用消耗的去向只能是一矿区或二矿区",IF(AND($K3691="对外销售",COUNTIF({"三矿区";"六矿区"},$L3691)=0),"※对外销售的去向只能是三矿区或六矿区",IF(AND($K3691="对外销售",ROUND($Q3691,0)=0),"※外销却没有售价，请填实际售价",IF(AND($K3691="对外销售",$T3691&lt;&gt;"",$T3691&lt;0),"※这一笔外销是亏的，请核对售价",IF(IFERROR(VLOOKUP($D3691,库存台账!$A$5:$Y$1204,24,0),0)&lt;-0.001,"※这个物料账面已经变成负数了，查一下是不是漏记入库","")))))))))))</f>
        <v/>
      </c>
    </row>
    <row r="3692">
      <c r="A3692" s="24">
        <f>IF($D3692="","",COUNTA($D$4:$D3692))</f>
        <v/>
      </c>
      <c r="B3692" s="17" t="n"/>
      <c r="C3692" s="30" t="n"/>
      <c r="D3692" s="17" t="n"/>
      <c r="E3692" s="24">
        <f>IF($D3692="","",IFERROR(VLOOKUP($D3692,物料档案!$A$4:$P$1203,3,0),"※编码不在物料档案里"))</f>
        <v/>
      </c>
      <c r="F3692" s="24">
        <f>IF($D3692="","",IFERROR(VLOOKUP($D3692,物料档案!$A$4:$P$1203,4,0),"※编码不在物料档案里"))</f>
        <v/>
      </c>
      <c r="G3692" s="24">
        <f>IF($D3692="","",IFERROR(VLOOKUP($D3692,物料档案!$A$4:$P$1203,5,0),"※编码不在物料档案里"))</f>
        <v/>
      </c>
      <c r="H3692" s="24">
        <f>IF($D3692="","",IFERROR(VLOOKUP($D3692,物料档案!$A$4:$P$1203,2,0),"※编码不在物料档案里"))</f>
        <v/>
      </c>
      <c r="I3692" s="24">
        <f>IF($D3692="","",IFERROR(VLOOKUP($D3692,物料档案!$A$4:$P$1203,6,0),"※编码不在物料档案里"))</f>
        <v/>
      </c>
      <c r="J3692" s="23" t="n"/>
      <c r="K3692" s="17" t="n"/>
      <c r="L3692" s="17" t="n"/>
      <c r="M3692" s="17" t="n"/>
      <c r="N3692" s="17" t="n"/>
      <c r="O3692" s="26">
        <f>IF($D3692="","",IFERROR(VLOOKUP($D3692,物料档案!$A$4:$P$1203,10,0),0))</f>
        <v/>
      </c>
      <c r="P3692" s="32" t="n"/>
      <c r="Q3692" s="26">
        <f>IF($D3692="","",IF($K3692&lt;&gt;"对外销售",0,ROUND(N($J3692)*IF($P3692="",N($O3692),N($P3692)),0)))</f>
        <v/>
      </c>
      <c r="R3692" s="26">
        <f>IF($D3692="","",IFERROR(VLOOKUP($D3692,库存台账!$A$5:$Y$1204,11,0),0))</f>
        <v/>
      </c>
      <c r="S3692" s="26">
        <f>IF($D3692="","",ROUND(N($J3692)*N($R3692),0))</f>
        <v/>
      </c>
      <c r="T3692" s="26">
        <f>IF($D3692="","",IF($K3692&lt;&gt;"对外销售","",ROUND($Q3692-$S3692,0)))</f>
        <v/>
      </c>
      <c r="U3692" s="17" t="n"/>
      <c r="V3692" s="17" t="n"/>
      <c r="W3692" s="24">
        <f>IF($D3692="","",IF($E3692="※编码不在物料档案里","※物料编码不在档案里",IF(N($J3692)&lt;=0,"※出库数量要大于 0",IF($K3692="","※没填去向类型",IF($L3692="","※没填去向矿区",IF(AND($C3692&lt;&gt;"",$C3692&lt;=结账锁),"※日期早于已结账截止日，不能再录",IF(AND($K3692="自用消耗",COUNTIF({"一矿区";"二矿区"},$L3692)=0),"※自用消耗的去向只能是一矿区或二矿区",IF(AND($K3692="对外销售",COUNTIF({"三矿区";"六矿区"},$L3692)=0),"※对外销售的去向只能是三矿区或六矿区",IF(AND($K3692="对外销售",ROUND($Q3692,0)=0),"※外销却没有售价，请填实际售价",IF(AND($K3692="对外销售",$T3692&lt;&gt;"",$T3692&lt;0),"※这一笔外销是亏的，请核对售价",IF(IFERROR(VLOOKUP($D3692,库存台账!$A$5:$Y$1204,24,0),0)&lt;-0.001,"※这个物料账面已经变成负数了，查一下是不是漏记入库","")))))))))))</f>
        <v/>
      </c>
    </row>
    <row r="3693">
      <c r="A3693" s="24">
        <f>IF($D3693="","",COUNTA($D$4:$D3693))</f>
        <v/>
      </c>
      <c r="B3693" s="17" t="n"/>
      <c r="C3693" s="30" t="n"/>
      <c r="D3693" s="17" t="n"/>
      <c r="E3693" s="24">
        <f>IF($D3693="","",IFERROR(VLOOKUP($D3693,物料档案!$A$4:$P$1203,3,0),"※编码不在物料档案里"))</f>
        <v/>
      </c>
      <c r="F3693" s="24">
        <f>IF($D3693="","",IFERROR(VLOOKUP($D3693,物料档案!$A$4:$P$1203,4,0),"※编码不在物料档案里"))</f>
        <v/>
      </c>
      <c r="G3693" s="24">
        <f>IF($D3693="","",IFERROR(VLOOKUP($D3693,物料档案!$A$4:$P$1203,5,0),"※编码不在物料档案里"))</f>
        <v/>
      </c>
      <c r="H3693" s="24">
        <f>IF($D3693="","",IFERROR(VLOOKUP($D3693,物料档案!$A$4:$P$1203,2,0),"※编码不在物料档案里"))</f>
        <v/>
      </c>
      <c r="I3693" s="24">
        <f>IF($D3693="","",IFERROR(VLOOKUP($D3693,物料档案!$A$4:$P$1203,6,0),"※编码不在物料档案里"))</f>
        <v/>
      </c>
      <c r="J3693" s="23" t="n"/>
      <c r="K3693" s="17" t="n"/>
      <c r="L3693" s="17" t="n"/>
      <c r="M3693" s="17" t="n"/>
      <c r="N3693" s="17" t="n"/>
      <c r="O3693" s="26">
        <f>IF($D3693="","",IFERROR(VLOOKUP($D3693,物料档案!$A$4:$P$1203,10,0),0))</f>
        <v/>
      </c>
      <c r="P3693" s="32" t="n"/>
      <c r="Q3693" s="26">
        <f>IF($D3693="","",IF($K3693&lt;&gt;"对外销售",0,ROUND(N($J3693)*IF($P3693="",N($O3693),N($P3693)),0)))</f>
        <v/>
      </c>
      <c r="R3693" s="26">
        <f>IF($D3693="","",IFERROR(VLOOKUP($D3693,库存台账!$A$5:$Y$1204,11,0),0))</f>
        <v/>
      </c>
      <c r="S3693" s="26">
        <f>IF($D3693="","",ROUND(N($J3693)*N($R3693),0))</f>
        <v/>
      </c>
      <c r="T3693" s="26">
        <f>IF($D3693="","",IF($K3693&lt;&gt;"对外销售","",ROUND($Q3693-$S3693,0)))</f>
        <v/>
      </c>
      <c r="U3693" s="17" t="n"/>
      <c r="V3693" s="17" t="n"/>
      <c r="W3693" s="24">
        <f>IF($D3693="","",IF($E3693="※编码不在物料档案里","※物料编码不在档案里",IF(N($J3693)&lt;=0,"※出库数量要大于 0",IF($K3693="","※没填去向类型",IF($L3693="","※没填去向矿区",IF(AND($C3693&lt;&gt;"",$C3693&lt;=结账锁),"※日期早于已结账截止日，不能再录",IF(AND($K3693="自用消耗",COUNTIF({"一矿区";"二矿区"},$L3693)=0),"※自用消耗的去向只能是一矿区或二矿区",IF(AND($K3693="对外销售",COUNTIF({"三矿区";"六矿区"},$L3693)=0),"※对外销售的去向只能是三矿区或六矿区",IF(AND($K3693="对外销售",ROUND($Q3693,0)=0),"※外销却没有售价，请填实际售价",IF(AND($K3693="对外销售",$T3693&lt;&gt;"",$T3693&lt;0),"※这一笔外销是亏的，请核对售价",IF(IFERROR(VLOOKUP($D3693,库存台账!$A$5:$Y$1204,24,0),0)&lt;-0.001,"※这个物料账面已经变成负数了，查一下是不是漏记入库","")))))))))))</f>
        <v/>
      </c>
    </row>
    <row r="3694">
      <c r="A3694" s="24">
        <f>IF($D3694="","",COUNTA($D$4:$D3694))</f>
        <v/>
      </c>
      <c r="B3694" s="17" t="n"/>
      <c r="C3694" s="30" t="n"/>
      <c r="D3694" s="17" t="n"/>
      <c r="E3694" s="24">
        <f>IF($D3694="","",IFERROR(VLOOKUP($D3694,物料档案!$A$4:$P$1203,3,0),"※编码不在物料档案里"))</f>
        <v/>
      </c>
      <c r="F3694" s="24">
        <f>IF($D3694="","",IFERROR(VLOOKUP($D3694,物料档案!$A$4:$P$1203,4,0),"※编码不在物料档案里"))</f>
        <v/>
      </c>
      <c r="G3694" s="24">
        <f>IF($D3694="","",IFERROR(VLOOKUP($D3694,物料档案!$A$4:$P$1203,5,0),"※编码不在物料档案里"))</f>
        <v/>
      </c>
      <c r="H3694" s="24">
        <f>IF($D3694="","",IFERROR(VLOOKUP($D3694,物料档案!$A$4:$P$1203,2,0),"※编码不在物料档案里"))</f>
        <v/>
      </c>
      <c r="I3694" s="24">
        <f>IF($D3694="","",IFERROR(VLOOKUP($D3694,物料档案!$A$4:$P$1203,6,0),"※编码不在物料档案里"))</f>
        <v/>
      </c>
      <c r="J3694" s="23" t="n"/>
      <c r="K3694" s="17" t="n"/>
      <c r="L3694" s="17" t="n"/>
      <c r="M3694" s="17" t="n"/>
      <c r="N3694" s="17" t="n"/>
      <c r="O3694" s="26">
        <f>IF($D3694="","",IFERROR(VLOOKUP($D3694,物料档案!$A$4:$P$1203,10,0),0))</f>
        <v/>
      </c>
      <c r="P3694" s="32" t="n"/>
      <c r="Q3694" s="26">
        <f>IF($D3694="","",IF($K3694&lt;&gt;"对外销售",0,ROUND(N($J3694)*IF($P3694="",N($O3694),N($P3694)),0)))</f>
        <v/>
      </c>
      <c r="R3694" s="26">
        <f>IF($D3694="","",IFERROR(VLOOKUP($D3694,库存台账!$A$5:$Y$1204,11,0),0))</f>
        <v/>
      </c>
      <c r="S3694" s="26">
        <f>IF($D3694="","",ROUND(N($J3694)*N($R3694),0))</f>
        <v/>
      </c>
      <c r="T3694" s="26">
        <f>IF($D3694="","",IF($K3694&lt;&gt;"对外销售","",ROUND($Q3694-$S3694,0)))</f>
        <v/>
      </c>
      <c r="U3694" s="17" t="n"/>
      <c r="V3694" s="17" t="n"/>
      <c r="W3694" s="24">
        <f>IF($D3694="","",IF($E3694="※编码不在物料档案里","※物料编码不在档案里",IF(N($J3694)&lt;=0,"※出库数量要大于 0",IF($K3694="","※没填去向类型",IF($L3694="","※没填去向矿区",IF(AND($C3694&lt;&gt;"",$C3694&lt;=结账锁),"※日期早于已结账截止日，不能再录",IF(AND($K3694="自用消耗",COUNTIF({"一矿区";"二矿区"},$L3694)=0),"※自用消耗的去向只能是一矿区或二矿区",IF(AND($K3694="对外销售",COUNTIF({"三矿区";"六矿区"},$L3694)=0),"※对外销售的去向只能是三矿区或六矿区",IF(AND($K3694="对外销售",ROUND($Q3694,0)=0),"※外销却没有售价，请填实际售价",IF(AND($K3694="对外销售",$T3694&lt;&gt;"",$T3694&lt;0),"※这一笔外销是亏的，请核对售价",IF(IFERROR(VLOOKUP($D3694,库存台账!$A$5:$Y$1204,24,0),0)&lt;-0.001,"※这个物料账面已经变成负数了，查一下是不是漏记入库","")))))))))))</f>
        <v/>
      </c>
    </row>
    <row r="3695">
      <c r="A3695" s="24">
        <f>IF($D3695="","",COUNTA($D$4:$D3695))</f>
        <v/>
      </c>
      <c r="B3695" s="17" t="n"/>
      <c r="C3695" s="30" t="n"/>
      <c r="D3695" s="17" t="n"/>
      <c r="E3695" s="24">
        <f>IF($D3695="","",IFERROR(VLOOKUP($D3695,物料档案!$A$4:$P$1203,3,0),"※编码不在物料档案里"))</f>
        <v/>
      </c>
      <c r="F3695" s="24">
        <f>IF($D3695="","",IFERROR(VLOOKUP($D3695,物料档案!$A$4:$P$1203,4,0),"※编码不在物料档案里"))</f>
        <v/>
      </c>
      <c r="G3695" s="24">
        <f>IF($D3695="","",IFERROR(VLOOKUP($D3695,物料档案!$A$4:$P$1203,5,0),"※编码不在物料档案里"))</f>
        <v/>
      </c>
      <c r="H3695" s="24">
        <f>IF($D3695="","",IFERROR(VLOOKUP($D3695,物料档案!$A$4:$P$1203,2,0),"※编码不在物料档案里"))</f>
        <v/>
      </c>
      <c r="I3695" s="24">
        <f>IF($D3695="","",IFERROR(VLOOKUP($D3695,物料档案!$A$4:$P$1203,6,0),"※编码不在物料档案里"))</f>
        <v/>
      </c>
      <c r="J3695" s="23" t="n"/>
      <c r="K3695" s="17" t="n"/>
      <c r="L3695" s="17" t="n"/>
      <c r="M3695" s="17" t="n"/>
      <c r="N3695" s="17" t="n"/>
      <c r="O3695" s="26">
        <f>IF($D3695="","",IFERROR(VLOOKUP($D3695,物料档案!$A$4:$P$1203,10,0),0))</f>
        <v/>
      </c>
      <c r="P3695" s="32" t="n"/>
      <c r="Q3695" s="26">
        <f>IF($D3695="","",IF($K3695&lt;&gt;"对外销售",0,ROUND(N($J3695)*IF($P3695="",N($O3695),N($P3695)),0)))</f>
        <v/>
      </c>
      <c r="R3695" s="26">
        <f>IF($D3695="","",IFERROR(VLOOKUP($D3695,库存台账!$A$5:$Y$1204,11,0),0))</f>
        <v/>
      </c>
      <c r="S3695" s="26">
        <f>IF($D3695="","",ROUND(N($J3695)*N($R3695),0))</f>
        <v/>
      </c>
      <c r="T3695" s="26">
        <f>IF($D3695="","",IF($K3695&lt;&gt;"对外销售","",ROUND($Q3695-$S3695,0)))</f>
        <v/>
      </c>
      <c r="U3695" s="17" t="n"/>
      <c r="V3695" s="17" t="n"/>
      <c r="W3695" s="24">
        <f>IF($D3695="","",IF($E3695="※编码不在物料档案里","※物料编码不在档案里",IF(N($J3695)&lt;=0,"※出库数量要大于 0",IF($K3695="","※没填去向类型",IF($L3695="","※没填去向矿区",IF(AND($C3695&lt;&gt;"",$C3695&lt;=结账锁),"※日期早于已结账截止日，不能再录",IF(AND($K3695="自用消耗",COUNTIF({"一矿区";"二矿区"},$L3695)=0),"※自用消耗的去向只能是一矿区或二矿区",IF(AND($K3695="对外销售",COUNTIF({"三矿区";"六矿区"},$L3695)=0),"※对外销售的去向只能是三矿区或六矿区",IF(AND($K3695="对外销售",ROUND($Q3695,0)=0),"※外销却没有售价，请填实际售价",IF(AND($K3695="对外销售",$T3695&lt;&gt;"",$T3695&lt;0),"※这一笔外销是亏的，请核对售价",IF(IFERROR(VLOOKUP($D3695,库存台账!$A$5:$Y$1204,24,0),0)&lt;-0.001,"※这个物料账面已经变成负数了，查一下是不是漏记入库","")))))))))))</f>
        <v/>
      </c>
    </row>
    <row r="3696">
      <c r="A3696" s="24">
        <f>IF($D3696="","",COUNTA($D$4:$D3696))</f>
        <v/>
      </c>
      <c r="B3696" s="17" t="n"/>
      <c r="C3696" s="30" t="n"/>
      <c r="D3696" s="17" t="n"/>
      <c r="E3696" s="24">
        <f>IF($D3696="","",IFERROR(VLOOKUP($D3696,物料档案!$A$4:$P$1203,3,0),"※编码不在物料档案里"))</f>
        <v/>
      </c>
      <c r="F3696" s="24">
        <f>IF($D3696="","",IFERROR(VLOOKUP($D3696,物料档案!$A$4:$P$1203,4,0),"※编码不在物料档案里"))</f>
        <v/>
      </c>
      <c r="G3696" s="24">
        <f>IF($D3696="","",IFERROR(VLOOKUP($D3696,物料档案!$A$4:$P$1203,5,0),"※编码不在物料档案里"))</f>
        <v/>
      </c>
      <c r="H3696" s="24">
        <f>IF($D3696="","",IFERROR(VLOOKUP($D3696,物料档案!$A$4:$P$1203,2,0),"※编码不在物料档案里"))</f>
        <v/>
      </c>
      <c r="I3696" s="24">
        <f>IF($D3696="","",IFERROR(VLOOKUP($D3696,物料档案!$A$4:$P$1203,6,0),"※编码不在物料档案里"))</f>
        <v/>
      </c>
      <c r="J3696" s="23" t="n"/>
      <c r="K3696" s="17" t="n"/>
      <c r="L3696" s="17" t="n"/>
      <c r="M3696" s="17" t="n"/>
      <c r="N3696" s="17" t="n"/>
      <c r="O3696" s="26">
        <f>IF($D3696="","",IFERROR(VLOOKUP($D3696,物料档案!$A$4:$P$1203,10,0),0))</f>
        <v/>
      </c>
      <c r="P3696" s="32" t="n"/>
      <c r="Q3696" s="26">
        <f>IF($D3696="","",IF($K3696&lt;&gt;"对外销售",0,ROUND(N($J3696)*IF($P3696="",N($O3696),N($P3696)),0)))</f>
        <v/>
      </c>
      <c r="R3696" s="26">
        <f>IF($D3696="","",IFERROR(VLOOKUP($D3696,库存台账!$A$5:$Y$1204,11,0),0))</f>
        <v/>
      </c>
      <c r="S3696" s="26">
        <f>IF($D3696="","",ROUND(N($J3696)*N($R3696),0))</f>
        <v/>
      </c>
      <c r="T3696" s="26">
        <f>IF($D3696="","",IF($K3696&lt;&gt;"对外销售","",ROUND($Q3696-$S3696,0)))</f>
        <v/>
      </c>
      <c r="U3696" s="17" t="n"/>
      <c r="V3696" s="17" t="n"/>
      <c r="W3696" s="24">
        <f>IF($D3696="","",IF($E3696="※编码不在物料档案里","※物料编码不在档案里",IF(N($J3696)&lt;=0,"※出库数量要大于 0",IF($K3696="","※没填去向类型",IF($L3696="","※没填去向矿区",IF(AND($C3696&lt;&gt;"",$C3696&lt;=结账锁),"※日期早于已结账截止日，不能再录",IF(AND($K3696="自用消耗",COUNTIF({"一矿区";"二矿区"},$L3696)=0),"※自用消耗的去向只能是一矿区或二矿区",IF(AND($K3696="对外销售",COUNTIF({"三矿区";"六矿区"},$L3696)=0),"※对外销售的去向只能是三矿区或六矿区",IF(AND($K3696="对外销售",ROUND($Q3696,0)=0),"※外销却没有售价，请填实际售价",IF(AND($K3696="对外销售",$T3696&lt;&gt;"",$T3696&lt;0),"※这一笔外销是亏的，请核对售价",IF(IFERROR(VLOOKUP($D3696,库存台账!$A$5:$Y$1204,24,0),0)&lt;-0.001,"※这个物料账面已经变成负数了，查一下是不是漏记入库","")))))))))))</f>
        <v/>
      </c>
    </row>
    <row r="3697">
      <c r="A3697" s="24">
        <f>IF($D3697="","",COUNTA($D$4:$D3697))</f>
        <v/>
      </c>
      <c r="B3697" s="17" t="n"/>
      <c r="C3697" s="30" t="n"/>
      <c r="D3697" s="17" t="n"/>
      <c r="E3697" s="24">
        <f>IF($D3697="","",IFERROR(VLOOKUP($D3697,物料档案!$A$4:$P$1203,3,0),"※编码不在物料档案里"))</f>
        <v/>
      </c>
      <c r="F3697" s="24">
        <f>IF($D3697="","",IFERROR(VLOOKUP($D3697,物料档案!$A$4:$P$1203,4,0),"※编码不在物料档案里"))</f>
        <v/>
      </c>
      <c r="G3697" s="24">
        <f>IF($D3697="","",IFERROR(VLOOKUP($D3697,物料档案!$A$4:$P$1203,5,0),"※编码不在物料档案里"))</f>
        <v/>
      </c>
      <c r="H3697" s="24">
        <f>IF($D3697="","",IFERROR(VLOOKUP($D3697,物料档案!$A$4:$P$1203,2,0),"※编码不在物料档案里"))</f>
        <v/>
      </c>
      <c r="I3697" s="24">
        <f>IF($D3697="","",IFERROR(VLOOKUP($D3697,物料档案!$A$4:$P$1203,6,0),"※编码不在物料档案里"))</f>
        <v/>
      </c>
      <c r="J3697" s="23" t="n"/>
      <c r="K3697" s="17" t="n"/>
      <c r="L3697" s="17" t="n"/>
      <c r="M3697" s="17" t="n"/>
      <c r="N3697" s="17" t="n"/>
      <c r="O3697" s="26">
        <f>IF($D3697="","",IFERROR(VLOOKUP($D3697,物料档案!$A$4:$P$1203,10,0),0))</f>
        <v/>
      </c>
      <c r="P3697" s="32" t="n"/>
      <c r="Q3697" s="26">
        <f>IF($D3697="","",IF($K3697&lt;&gt;"对外销售",0,ROUND(N($J3697)*IF($P3697="",N($O3697),N($P3697)),0)))</f>
        <v/>
      </c>
      <c r="R3697" s="26">
        <f>IF($D3697="","",IFERROR(VLOOKUP($D3697,库存台账!$A$5:$Y$1204,11,0),0))</f>
        <v/>
      </c>
      <c r="S3697" s="26">
        <f>IF($D3697="","",ROUND(N($J3697)*N($R3697),0))</f>
        <v/>
      </c>
      <c r="T3697" s="26">
        <f>IF($D3697="","",IF($K3697&lt;&gt;"对外销售","",ROUND($Q3697-$S3697,0)))</f>
        <v/>
      </c>
      <c r="U3697" s="17" t="n"/>
      <c r="V3697" s="17" t="n"/>
      <c r="W3697" s="24">
        <f>IF($D3697="","",IF($E3697="※编码不在物料档案里","※物料编码不在档案里",IF(N($J3697)&lt;=0,"※出库数量要大于 0",IF($K3697="","※没填去向类型",IF($L3697="","※没填去向矿区",IF(AND($C3697&lt;&gt;"",$C3697&lt;=结账锁),"※日期早于已结账截止日，不能再录",IF(AND($K3697="自用消耗",COUNTIF({"一矿区";"二矿区"},$L3697)=0),"※自用消耗的去向只能是一矿区或二矿区",IF(AND($K3697="对外销售",COUNTIF({"三矿区";"六矿区"},$L3697)=0),"※对外销售的去向只能是三矿区或六矿区",IF(AND($K3697="对外销售",ROUND($Q3697,0)=0),"※外销却没有售价，请填实际售价",IF(AND($K3697="对外销售",$T3697&lt;&gt;"",$T3697&lt;0),"※这一笔外销是亏的，请核对售价",IF(IFERROR(VLOOKUP($D3697,库存台账!$A$5:$Y$1204,24,0),0)&lt;-0.001,"※这个物料账面已经变成负数了，查一下是不是漏记入库","")))))))))))</f>
        <v/>
      </c>
    </row>
    <row r="3698">
      <c r="A3698" s="24">
        <f>IF($D3698="","",COUNTA($D$4:$D3698))</f>
        <v/>
      </c>
      <c r="B3698" s="17" t="n"/>
      <c r="C3698" s="30" t="n"/>
      <c r="D3698" s="17" t="n"/>
      <c r="E3698" s="24">
        <f>IF($D3698="","",IFERROR(VLOOKUP($D3698,物料档案!$A$4:$P$1203,3,0),"※编码不在物料档案里"))</f>
        <v/>
      </c>
      <c r="F3698" s="24">
        <f>IF($D3698="","",IFERROR(VLOOKUP($D3698,物料档案!$A$4:$P$1203,4,0),"※编码不在物料档案里"))</f>
        <v/>
      </c>
      <c r="G3698" s="24">
        <f>IF($D3698="","",IFERROR(VLOOKUP($D3698,物料档案!$A$4:$P$1203,5,0),"※编码不在物料档案里"))</f>
        <v/>
      </c>
      <c r="H3698" s="24">
        <f>IF($D3698="","",IFERROR(VLOOKUP($D3698,物料档案!$A$4:$P$1203,2,0),"※编码不在物料档案里"))</f>
        <v/>
      </c>
      <c r="I3698" s="24">
        <f>IF($D3698="","",IFERROR(VLOOKUP($D3698,物料档案!$A$4:$P$1203,6,0),"※编码不在物料档案里"))</f>
        <v/>
      </c>
      <c r="J3698" s="23" t="n"/>
      <c r="K3698" s="17" t="n"/>
      <c r="L3698" s="17" t="n"/>
      <c r="M3698" s="17" t="n"/>
      <c r="N3698" s="17" t="n"/>
      <c r="O3698" s="26">
        <f>IF($D3698="","",IFERROR(VLOOKUP($D3698,物料档案!$A$4:$P$1203,10,0),0))</f>
        <v/>
      </c>
      <c r="P3698" s="32" t="n"/>
      <c r="Q3698" s="26">
        <f>IF($D3698="","",IF($K3698&lt;&gt;"对外销售",0,ROUND(N($J3698)*IF($P3698="",N($O3698),N($P3698)),0)))</f>
        <v/>
      </c>
      <c r="R3698" s="26">
        <f>IF($D3698="","",IFERROR(VLOOKUP($D3698,库存台账!$A$5:$Y$1204,11,0),0))</f>
        <v/>
      </c>
      <c r="S3698" s="26">
        <f>IF($D3698="","",ROUND(N($J3698)*N($R3698),0))</f>
        <v/>
      </c>
      <c r="T3698" s="26">
        <f>IF($D3698="","",IF($K3698&lt;&gt;"对外销售","",ROUND($Q3698-$S3698,0)))</f>
        <v/>
      </c>
      <c r="U3698" s="17" t="n"/>
      <c r="V3698" s="17" t="n"/>
      <c r="W3698" s="24">
        <f>IF($D3698="","",IF($E3698="※编码不在物料档案里","※物料编码不在档案里",IF(N($J3698)&lt;=0,"※出库数量要大于 0",IF($K3698="","※没填去向类型",IF($L3698="","※没填去向矿区",IF(AND($C3698&lt;&gt;"",$C3698&lt;=结账锁),"※日期早于已结账截止日，不能再录",IF(AND($K3698="自用消耗",COUNTIF({"一矿区";"二矿区"},$L3698)=0),"※自用消耗的去向只能是一矿区或二矿区",IF(AND($K3698="对外销售",COUNTIF({"三矿区";"六矿区"},$L3698)=0),"※对外销售的去向只能是三矿区或六矿区",IF(AND($K3698="对外销售",ROUND($Q3698,0)=0),"※外销却没有售价，请填实际售价",IF(AND($K3698="对外销售",$T3698&lt;&gt;"",$T3698&lt;0),"※这一笔外销是亏的，请核对售价",IF(IFERROR(VLOOKUP($D3698,库存台账!$A$5:$Y$1204,24,0),0)&lt;-0.001,"※这个物料账面已经变成负数了，查一下是不是漏记入库","")))))))))))</f>
        <v/>
      </c>
    </row>
    <row r="3699">
      <c r="A3699" s="24">
        <f>IF($D3699="","",COUNTA($D$4:$D3699))</f>
        <v/>
      </c>
      <c r="B3699" s="17" t="n"/>
      <c r="C3699" s="30" t="n"/>
      <c r="D3699" s="17" t="n"/>
      <c r="E3699" s="24">
        <f>IF($D3699="","",IFERROR(VLOOKUP($D3699,物料档案!$A$4:$P$1203,3,0),"※编码不在物料档案里"))</f>
        <v/>
      </c>
      <c r="F3699" s="24">
        <f>IF($D3699="","",IFERROR(VLOOKUP($D3699,物料档案!$A$4:$P$1203,4,0),"※编码不在物料档案里"))</f>
        <v/>
      </c>
      <c r="G3699" s="24">
        <f>IF($D3699="","",IFERROR(VLOOKUP($D3699,物料档案!$A$4:$P$1203,5,0),"※编码不在物料档案里"))</f>
        <v/>
      </c>
      <c r="H3699" s="24">
        <f>IF($D3699="","",IFERROR(VLOOKUP($D3699,物料档案!$A$4:$P$1203,2,0),"※编码不在物料档案里"))</f>
        <v/>
      </c>
      <c r="I3699" s="24">
        <f>IF($D3699="","",IFERROR(VLOOKUP($D3699,物料档案!$A$4:$P$1203,6,0),"※编码不在物料档案里"))</f>
        <v/>
      </c>
      <c r="J3699" s="23" t="n"/>
      <c r="K3699" s="17" t="n"/>
      <c r="L3699" s="17" t="n"/>
      <c r="M3699" s="17" t="n"/>
      <c r="N3699" s="17" t="n"/>
      <c r="O3699" s="26">
        <f>IF($D3699="","",IFERROR(VLOOKUP($D3699,物料档案!$A$4:$P$1203,10,0),0))</f>
        <v/>
      </c>
      <c r="P3699" s="32" t="n"/>
      <c r="Q3699" s="26">
        <f>IF($D3699="","",IF($K3699&lt;&gt;"对外销售",0,ROUND(N($J3699)*IF($P3699="",N($O3699),N($P3699)),0)))</f>
        <v/>
      </c>
      <c r="R3699" s="26">
        <f>IF($D3699="","",IFERROR(VLOOKUP($D3699,库存台账!$A$5:$Y$1204,11,0),0))</f>
        <v/>
      </c>
      <c r="S3699" s="26">
        <f>IF($D3699="","",ROUND(N($J3699)*N($R3699),0))</f>
        <v/>
      </c>
      <c r="T3699" s="26">
        <f>IF($D3699="","",IF($K3699&lt;&gt;"对外销售","",ROUND($Q3699-$S3699,0)))</f>
        <v/>
      </c>
      <c r="U3699" s="17" t="n"/>
      <c r="V3699" s="17" t="n"/>
      <c r="W3699" s="24">
        <f>IF($D3699="","",IF($E3699="※编码不在物料档案里","※物料编码不在档案里",IF(N($J3699)&lt;=0,"※出库数量要大于 0",IF($K3699="","※没填去向类型",IF($L3699="","※没填去向矿区",IF(AND($C3699&lt;&gt;"",$C3699&lt;=结账锁),"※日期早于已结账截止日，不能再录",IF(AND($K3699="自用消耗",COUNTIF({"一矿区";"二矿区"},$L3699)=0),"※自用消耗的去向只能是一矿区或二矿区",IF(AND($K3699="对外销售",COUNTIF({"三矿区";"六矿区"},$L3699)=0),"※对外销售的去向只能是三矿区或六矿区",IF(AND($K3699="对外销售",ROUND($Q3699,0)=0),"※外销却没有售价，请填实际售价",IF(AND($K3699="对外销售",$T3699&lt;&gt;"",$T3699&lt;0),"※这一笔外销是亏的，请核对售价",IF(IFERROR(VLOOKUP($D3699,库存台账!$A$5:$Y$1204,24,0),0)&lt;-0.001,"※这个物料账面已经变成负数了，查一下是不是漏记入库","")))))))))))</f>
        <v/>
      </c>
    </row>
    <row r="3700">
      <c r="A3700" s="24">
        <f>IF($D3700="","",COUNTA($D$4:$D3700))</f>
        <v/>
      </c>
      <c r="B3700" s="17" t="n"/>
      <c r="C3700" s="30" t="n"/>
      <c r="D3700" s="17" t="n"/>
      <c r="E3700" s="24">
        <f>IF($D3700="","",IFERROR(VLOOKUP($D3700,物料档案!$A$4:$P$1203,3,0),"※编码不在物料档案里"))</f>
        <v/>
      </c>
      <c r="F3700" s="24">
        <f>IF($D3700="","",IFERROR(VLOOKUP($D3700,物料档案!$A$4:$P$1203,4,0),"※编码不在物料档案里"))</f>
        <v/>
      </c>
      <c r="G3700" s="24">
        <f>IF($D3700="","",IFERROR(VLOOKUP($D3700,物料档案!$A$4:$P$1203,5,0),"※编码不在物料档案里"))</f>
        <v/>
      </c>
      <c r="H3700" s="24">
        <f>IF($D3700="","",IFERROR(VLOOKUP($D3700,物料档案!$A$4:$P$1203,2,0),"※编码不在物料档案里"))</f>
        <v/>
      </c>
      <c r="I3700" s="24">
        <f>IF($D3700="","",IFERROR(VLOOKUP($D3700,物料档案!$A$4:$P$1203,6,0),"※编码不在物料档案里"))</f>
        <v/>
      </c>
      <c r="J3700" s="23" t="n"/>
      <c r="K3700" s="17" t="n"/>
      <c r="L3700" s="17" t="n"/>
      <c r="M3700" s="17" t="n"/>
      <c r="N3700" s="17" t="n"/>
      <c r="O3700" s="26">
        <f>IF($D3700="","",IFERROR(VLOOKUP($D3700,物料档案!$A$4:$P$1203,10,0),0))</f>
        <v/>
      </c>
      <c r="P3700" s="32" t="n"/>
      <c r="Q3700" s="26">
        <f>IF($D3700="","",IF($K3700&lt;&gt;"对外销售",0,ROUND(N($J3700)*IF($P3700="",N($O3700),N($P3700)),0)))</f>
        <v/>
      </c>
      <c r="R3700" s="26">
        <f>IF($D3700="","",IFERROR(VLOOKUP($D3700,库存台账!$A$5:$Y$1204,11,0),0))</f>
        <v/>
      </c>
      <c r="S3700" s="26">
        <f>IF($D3700="","",ROUND(N($J3700)*N($R3700),0))</f>
        <v/>
      </c>
      <c r="T3700" s="26">
        <f>IF($D3700="","",IF($K3700&lt;&gt;"对外销售","",ROUND($Q3700-$S3700,0)))</f>
        <v/>
      </c>
      <c r="U3700" s="17" t="n"/>
      <c r="V3700" s="17" t="n"/>
      <c r="W3700" s="24">
        <f>IF($D3700="","",IF($E3700="※编码不在物料档案里","※物料编码不在档案里",IF(N($J3700)&lt;=0,"※出库数量要大于 0",IF($K3700="","※没填去向类型",IF($L3700="","※没填去向矿区",IF(AND($C3700&lt;&gt;"",$C3700&lt;=结账锁),"※日期早于已结账截止日，不能再录",IF(AND($K3700="自用消耗",COUNTIF({"一矿区";"二矿区"},$L3700)=0),"※自用消耗的去向只能是一矿区或二矿区",IF(AND($K3700="对外销售",COUNTIF({"三矿区";"六矿区"},$L3700)=0),"※对外销售的去向只能是三矿区或六矿区",IF(AND($K3700="对外销售",ROUND($Q3700,0)=0),"※外销却没有售价，请填实际售价",IF(AND($K3700="对外销售",$T3700&lt;&gt;"",$T3700&lt;0),"※这一笔外销是亏的，请核对售价",IF(IFERROR(VLOOKUP($D3700,库存台账!$A$5:$Y$1204,24,0),0)&lt;-0.001,"※这个物料账面已经变成负数了，查一下是不是漏记入库","")))))))))))</f>
        <v/>
      </c>
    </row>
    <row r="3701">
      <c r="A3701" s="24">
        <f>IF($D3701="","",COUNTA($D$4:$D3701))</f>
        <v/>
      </c>
      <c r="B3701" s="17" t="n"/>
      <c r="C3701" s="30" t="n"/>
      <c r="D3701" s="17" t="n"/>
      <c r="E3701" s="24">
        <f>IF($D3701="","",IFERROR(VLOOKUP($D3701,物料档案!$A$4:$P$1203,3,0),"※编码不在物料档案里"))</f>
        <v/>
      </c>
      <c r="F3701" s="24">
        <f>IF($D3701="","",IFERROR(VLOOKUP($D3701,物料档案!$A$4:$P$1203,4,0),"※编码不在物料档案里"))</f>
        <v/>
      </c>
      <c r="G3701" s="24">
        <f>IF($D3701="","",IFERROR(VLOOKUP($D3701,物料档案!$A$4:$P$1203,5,0),"※编码不在物料档案里"))</f>
        <v/>
      </c>
      <c r="H3701" s="24">
        <f>IF($D3701="","",IFERROR(VLOOKUP($D3701,物料档案!$A$4:$P$1203,2,0),"※编码不在物料档案里"))</f>
        <v/>
      </c>
      <c r="I3701" s="24">
        <f>IF($D3701="","",IFERROR(VLOOKUP($D3701,物料档案!$A$4:$P$1203,6,0),"※编码不在物料档案里"))</f>
        <v/>
      </c>
      <c r="J3701" s="23" t="n"/>
      <c r="K3701" s="17" t="n"/>
      <c r="L3701" s="17" t="n"/>
      <c r="M3701" s="17" t="n"/>
      <c r="N3701" s="17" t="n"/>
      <c r="O3701" s="26">
        <f>IF($D3701="","",IFERROR(VLOOKUP($D3701,物料档案!$A$4:$P$1203,10,0),0))</f>
        <v/>
      </c>
      <c r="P3701" s="32" t="n"/>
      <c r="Q3701" s="26">
        <f>IF($D3701="","",IF($K3701&lt;&gt;"对外销售",0,ROUND(N($J3701)*IF($P3701="",N($O3701),N($P3701)),0)))</f>
        <v/>
      </c>
      <c r="R3701" s="26">
        <f>IF($D3701="","",IFERROR(VLOOKUP($D3701,库存台账!$A$5:$Y$1204,11,0),0))</f>
        <v/>
      </c>
      <c r="S3701" s="26">
        <f>IF($D3701="","",ROUND(N($J3701)*N($R3701),0))</f>
        <v/>
      </c>
      <c r="T3701" s="26">
        <f>IF($D3701="","",IF($K3701&lt;&gt;"对外销售","",ROUND($Q3701-$S3701,0)))</f>
        <v/>
      </c>
      <c r="U3701" s="17" t="n"/>
      <c r="V3701" s="17" t="n"/>
      <c r="W3701" s="24">
        <f>IF($D3701="","",IF($E3701="※编码不在物料档案里","※物料编码不在档案里",IF(N($J3701)&lt;=0,"※出库数量要大于 0",IF($K3701="","※没填去向类型",IF($L3701="","※没填去向矿区",IF(AND($C3701&lt;&gt;"",$C3701&lt;=结账锁),"※日期早于已结账截止日，不能再录",IF(AND($K3701="自用消耗",COUNTIF({"一矿区";"二矿区"},$L3701)=0),"※自用消耗的去向只能是一矿区或二矿区",IF(AND($K3701="对外销售",COUNTIF({"三矿区";"六矿区"},$L3701)=0),"※对外销售的去向只能是三矿区或六矿区",IF(AND($K3701="对外销售",ROUND($Q3701,0)=0),"※外销却没有售价，请填实际售价",IF(AND($K3701="对外销售",$T3701&lt;&gt;"",$T3701&lt;0),"※这一笔外销是亏的，请核对售价",IF(IFERROR(VLOOKUP($D3701,库存台账!$A$5:$Y$1204,24,0),0)&lt;-0.001,"※这个物料账面已经变成负数了，查一下是不是漏记入库","")))))))))))</f>
        <v/>
      </c>
    </row>
    <row r="3702">
      <c r="A3702" s="24">
        <f>IF($D3702="","",COUNTA($D$4:$D3702))</f>
        <v/>
      </c>
      <c r="B3702" s="17" t="n"/>
      <c r="C3702" s="30" t="n"/>
      <c r="D3702" s="17" t="n"/>
      <c r="E3702" s="24">
        <f>IF($D3702="","",IFERROR(VLOOKUP($D3702,物料档案!$A$4:$P$1203,3,0),"※编码不在物料档案里"))</f>
        <v/>
      </c>
      <c r="F3702" s="24">
        <f>IF($D3702="","",IFERROR(VLOOKUP($D3702,物料档案!$A$4:$P$1203,4,0),"※编码不在物料档案里"))</f>
        <v/>
      </c>
      <c r="G3702" s="24">
        <f>IF($D3702="","",IFERROR(VLOOKUP($D3702,物料档案!$A$4:$P$1203,5,0),"※编码不在物料档案里"))</f>
        <v/>
      </c>
      <c r="H3702" s="24">
        <f>IF($D3702="","",IFERROR(VLOOKUP($D3702,物料档案!$A$4:$P$1203,2,0),"※编码不在物料档案里"))</f>
        <v/>
      </c>
      <c r="I3702" s="24">
        <f>IF($D3702="","",IFERROR(VLOOKUP($D3702,物料档案!$A$4:$P$1203,6,0),"※编码不在物料档案里"))</f>
        <v/>
      </c>
      <c r="J3702" s="23" t="n"/>
      <c r="K3702" s="17" t="n"/>
      <c r="L3702" s="17" t="n"/>
      <c r="M3702" s="17" t="n"/>
      <c r="N3702" s="17" t="n"/>
      <c r="O3702" s="26">
        <f>IF($D3702="","",IFERROR(VLOOKUP($D3702,物料档案!$A$4:$P$1203,10,0),0))</f>
        <v/>
      </c>
      <c r="P3702" s="32" t="n"/>
      <c r="Q3702" s="26">
        <f>IF($D3702="","",IF($K3702&lt;&gt;"对外销售",0,ROUND(N($J3702)*IF($P3702="",N($O3702),N($P3702)),0)))</f>
        <v/>
      </c>
      <c r="R3702" s="26">
        <f>IF($D3702="","",IFERROR(VLOOKUP($D3702,库存台账!$A$5:$Y$1204,11,0),0))</f>
        <v/>
      </c>
      <c r="S3702" s="26">
        <f>IF($D3702="","",ROUND(N($J3702)*N($R3702),0))</f>
        <v/>
      </c>
      <c r="T3702" s="26">
        <f>IF($D3702="","",IF($K3702&lt;&gt;"对外销售","",ROUND($Q3702-$S3702,0)))</f>
        <v/>
      </c>
      <c r="U3702" s="17" t="n"/>
      <c r="V3702" s="17" t="n"/>
      <c r="W3702" s="24">
        <f>IF($D3702="","",IF($E3702="※编码不在物料档案里","※物料编码不在档案里",IF(N($J3702)&lt;=0,"※出库数量要大于 0",IF($K3702="","※没填去向类型",IF($L3702="","※没填去向矿区",IF(AND($C3702&lt;&gt;"",$C3702&lt;=结账锁),"※日期早于已结账截止日，不能再录",IF(AND($K3702="自用消耗",COUNTIF({"一矿区";"二矿区"},$L3702)=0),"※自用消耗的去向只能是一矿区或二矿区",IF(AND($K3702="对外销售",COUNTIF({"三矿区";"六矿区"},$L3702)=0),"※对外销售的去向只能是三矿区或六矿区",IF(AND($K3702="对外销售",ROUND($Q3702,0)=0),"※外销却没有售价，请填实际售价",IF(AND($K3702="对外销售",$T3702&lt;&gt;"",$T3702&lt;0),"※这一笔外销是亏的，请核对售价",IF(IFERROR(VLOOKUP($D3702,库存台账!$A$5:$Y$1204,24,0),0)&lt;-0.001,"※这个物料账面已经变成负数了，查一下是不是漏记入库","")))))))))))</f>
        <v/>
      </c>
    </row>
    <row r="3703">
      <c r="A3703" s="24">
        <f>IF($D3703="","",COUNTA($D$4:$D3703))</f>
        <v/>
      </c>
      <c r="B3703" s="17" t="n"/>
      <c r="C3703" s="30" t="n"/>
      <c r="D3703" s="17" t="n"/>
      <c r="E3703" s="24">
        <f>IF($D3703="","",IFERROR(VLOOKUP($D3703,物料档案!$A$4:$P$1203,3,0),"※编码不在物料档案里"))</f>
        <v/>
      </c>
      <c r="F3703" s="24">
        <f>IF($D3703="","",IFERROR(VLOOKUP($D3703,物料档案!$A$4:$P$1203,4,0),"※编码不在物料档案里"))</f>
        <v/>
      </c>
      <c r="G3703" s="24">
        <f>IF($D3703="","",IFERROR(VLOOKUP($D3703,物料档案!$A$4:$P$1203,5,0),"※编码不在物料档案里"))</f>
        <v/>
      </c>
      <c r="H3703" s="24">
        <f>IF($D3703="","",IFERROR(VLOOKUP($D3703,物料档案!$A$4:$P$1203,2,0),"※编码不在物料档案里"))</f>
        <v/>
      </c>
      <c r="I3703" s="24">
        <f>IF($D3703="","",IFERROR(VLOOKUP($D3703,物料档案!$A$4:$P$1203,6,0),"※编码不在物料档案里"))</f>
        <v/>
      </c>
      <c r="J3703" s="23" t="n"/>
      <c r="K3703" s="17" t="n"/>
      <c r="L3703" s="17" t="n"/>
      <c r="M3703" s="17" t="n"/>
      <c r="N3703" s="17" t="n"/>
      <c r="O3703" s="26">
        <f>IF($D3703="","",IFERROR(VLOOKUP($D3703,物料档案!$A$4:$P$1203,10,0),0))</f>
        <v/>
      </c>
      <c r="P3703" s="32" t="n"/>
      <c r="Q3703" s="26">
        <f>IF($D3703="","",IF($K3703&lt;&gt;"对外销售",0,ROUND(N($J3703)*IF($P3703="",N($O3703),N($P3703)),0)))</f>
        <v/>
      </c>
      <c r="R3703" s="26">
        <f>IF($D3703="","",IFERROR(VLOOKUP($D3703,库存台账!$A$5:$Y$1204,11,0),0))</f>
        <v/>
      </c>
      <c r="S3703" s="26">
        <f>IF($D3703="","",ROUND(N($J3703)*N($R3703),0))</f>
        <v/>
      </c>
      <c r="T3703" s="26">
        <f>IF($D3703="","",IF($K3703&lt;&gt;"对外销售","",ROUND($Q3703-$S3703,0)))</f>
        <v/>
      </c>
      <c r="U3703" s="17" t="n"/>
      <c r="V3703" s="17" t="n"/>
      <c r="W3703" s="24">
        <f>IF($D3703="","",IF($E3703="※编码不在物料档案里","※物料编码不在档案里",IF(N($J3703)&lt;=0,"※出库数量要大于 0",IF($K3703="","※没填去向类型",IF($L3703="","※没填去向矿区",IF(AND($C3703&lt;&gt;"",$C3703&lt;=结账锁),"※日期早于已结账截止日，不能再录",IF(AND($K3703="自用消耗",COUNTIF({"一矿区";"二矿区"},$L3703)=0),"※自用消耗的去向只能是一矿区或二矿区",IF(AND($K3703="对外销售",COUNTIF({"三矿区";"六矿区"},$L3703)=0),"※对外销售的去向只能是三矿区或六矿区",IF(AND($K3703="对外销售",ROUND($Q3703,0)=0),"※外销却没有售价，请填实际售价",IF(AND($K3703="对外销售",$T3703&lt;&gt;"",$T3703&lt;0),"※这一笔外销是亏的，请核对售价",IF(IFERROR(VLOOKUP($D3703,库存台账!$A$5:$Y$1204,24,0),0)&lt;-0.001,"※这个物料账面已经变成负数了，查一下是不是漏记入库","")))))))))))</f>
        <v/>
      </c>
    </row>
    <row r="3704">
      <c r="A3704" s="24">
        <f>IF($D3704="","",COUNTA($D$4:$D3704))</f>
        <v/>
      </c>
      <c r="B3704" s="17" t="n"/>
      <c r="C3704" s="30" t="n"/>
      <c r="D3704" s="17" t="n"/>
      <c r="E3704" s="24">
        <f>IF($D3704="","",IFERROR(VLOOKUP($D3704,物料档案!$A$4:$P$1203,3,0),"※编码不在物料档案里"))</f>
        <v/>
      </c>
      <c r="F3704" s="24">
        <f>IF($D3704="","",IFERROR(VLOOKUP($D3704,物料档案!$A$4:$P$1203,4,0),"※编码不在物料档案里"))</f>
        <v/>
      </c>
      <c r="G3704" s="24">
        <f>IF($D3704="","",IFERROR(VLOOKUP($D3704,物料档案!$A$4:$P$1203,5,0),"※编码不在物料档案里"))</f>
        <v/>
      </c>
      <c r="H3704" s="24">
        <f>IF($D3704="","",IFERROR(VLOOKUP($D3704,物料档案!$A$4:$P$1203,2,0),"※编码不在物料档案里"))</f>
        <v/>
      </c>
      <c r="I3704" s="24">
        <f>IF($D3704="","",IFERROR(VLOOKUP($D3704,物料档案!$A$4:$P$1203,6,0),"※编码不在物料档案里"))</f>
        <v/>
      </c>
      <c r="J3704" s="23" t="n"/>
      <c r="K3704" s="17" t="n"/>
      <c r="L3704" s="17" t="n"/>
      <c r="M3704" s="17" t="n"/>
      <c r="N3704" s="17" t="n"/>
      <c r="O3704" s="26">
        <f>IF($D3704="","",IFERROR(VLOOKUP($D3704,物料档案!$A$4:$P$1203,10,0),0))</f>
        <v/>
      </c>
      <c r="P3704" s="32" t="n"/>
      <c r="Q3704" s="26">
        <f>IF($D3704="","",IF($K3704&lt;&gt;"对外销售",0,ROUND(N($J3704)*IF($P3704="",N($O3704),N($P3704)),0)))</f>
        <v/>
      </c>
      <c r="R3704" s="26">
        <f>IF($D3704="","",IFERROR(VLOOKUP($D3704,库存台账!$A$5:$Y$1204,11,0),0))</f>
        <v/>
      </c>
      <c r="S3704" s="26">
        <f>IF($D3704="","",ROUND(N($J3704)*N($R3704),0))</f>
        <v/>
      </c>
      <c r="T3704" s="26">
        <f>IF($D3704="","",IF($K3704&lt;&gt;"对外销售","",ROUND($Q3704-$S3704,0)))</f>
        <v/>
      </c>
      <c r="U3704" s="17" t="n"/>
      <c r="V3704" s="17" t="n"/>
      <c r="W3704" s="24">
        <f>IF($D3704="","",IF($E3704="※编码不在物料档案里","※物料编码不在档案里",IF(N($J3704)&lt;=0,"※出库数量要大于 0",IF($K3704="","※没填去向类型",IF($L3704="","※没填去向矿区",IF(AND($C3704&lt;&gt;"",$C3704&lt;=结账锁),"※日期早于已结账截止日，不能再录",IF(AND($K3704="自用消耗",COUNTIF({"一矿区";"二矿区"},$L3704)=0),"※自用消耗的去向只能是一矿区或二矿区",IF(AND($K3704="对外销售",COUNTIF({"三矿区";"六矿区"},$L3704)=0),"※对外销售的去向只能是三矿区或六矿区",IF(AND($K3704="对外销售",ROUND($Q3704,0)=0),"※外销却没有售价，请填实际售价",IF(AND($K3704="对外销售",$T3704&lt;&gt;"",$T3704&lt;0),"※这一笔外销是亏的，请核对售价",IF(IFERROR(VLOOKUP($D3704,库存台账!$A$5:$Y$1204,24,0),0)&lt;-0.001,"※这个物料账面已经变成负数了，查一下是不是漏记入库","")))))))))))</f>
        <v/>
      </c>
    </row>
    <row r="3705">
      <c r="A3705" s="24">
        <f>IF($D3705="","",COUNTA($D$4:$D3705))</f>
        <v/>
      </c>
      <c r="B3705" s="17" t="n"/>
      <c r="C3705" s="30" t="n"/>
      <c r="D3705" s="17" t="n"/>
      <c r="E3705" s="24">
        <f>IF($D3705="","",IFERROR(VLOOKUP($D3705,物料档案!$A$4:$P$1203,3,0),"※编码不在物料档案里"))</f>
        <v/>
      </c>
      <c r="F3705" s="24">
        <f>IF($D3705="","",IFERROR(VLOOKUP($D3705,物料档案!$A$4:$P$1203,4,0),"※编码不在物料档案里"))</f>
        <v/>
      </c>
      <c r="G3705" s="24">
        <f>IF($D3705="","",IFERROR(VLOOKUP($D3705,物料档案!$A$4:$P$1203,5,0),"※编码不在物料档案里"))</f>
        <v/>
      </c>
      <c r="H3705" s="24">
        <f>IF($D3705="","",IFERROR(VLOOKUP($D3705,物料档案!$A$4:$P$1203,2,0),"※编码不在物料档案里"))</f>
        <v/>
      </c>
      <c r="I3705" s="24">
        <f>IF($D3705="","",IFERROR(VLOOKUP($D3705,物料档案!$A$4:$P$1203,6,0),"※编码不在物料档案里"))</f>
        <v/>
      </c>
      <c r="J3705" s="23" t="n"/>
      <c r="K3705" s="17" t="n"/>
      <c r="L3705" s="17" t="n"/>
      <c r="M3705" s="17" t="n"/>
      <c r="N3705" s="17" t="n"/>
      <c r="O3705" s="26">
        <f>IF($D3705="","",IFERROR(VLOOKUP($D3705,物料档案!$A$4:$P$1203,10,0),0))</f>
        <v/>
      </c>
      <c r="P3705" s="32" t="n"/>
      <c r="Q3705" s="26">
        <f>IF($D3705="","",IF($K3705&lt;&gt;"对外销售",0,ROUND(N($J3705)*IF($P3705="",N($O3705),N($P3705)),0)))</f>
        <v/>
      </c>
      <c r="R3705" s="26">
        <f>IF($D3705="","",IFERROR(VLOOKUP($D3705,库存台账!$A$5:$Y$1204,11,0),0))</f>
        <v/>
      </c>
      <c r="S3705" s="26">
        <f>IF($D3705="","",ROUND(N($J3705)*N($R3705),0))</f>
        <v/>
      </c>
      <c r="T3705" s="26">
        <f>IF($D3705="","",IF($K3705&lt;&gt;"对外销售","",ROUND($Q3705-$S3705,0)))</f>
        <v/>
      </c>
      <c r="U3705" s="17" t="n"/>
      <c r="V3705" s="17" t="n"/>
      <c r="W3705" s="24">
        <f>IF($D3705="","",IF($E3705="※编码不在物料档案里","※物料编码不在档案里",IF(N($J3705)&lt;=0,"※出库数量要大于 0",IF($K3705="","※没填去向类型",IF($L3705="","※没填去向矿区",IF(AND($C3705&lt;&gt;"",$C3705&lt;=结账锁),"※日期早于已结账截止日，不能再录",IF(AND($K3705="自用消耗",COUNTIF({"一矿区";"二矿区"},$L3705)=0),"※自用消耗的去向只能是一矿区或二矿区",IF(AND($K3705="对外销售",COUNTIF({"三矿区";"六矿区"},$L3705)=0),"※对外销售的去向只能是三矿区或六矿区",IF(AND($K3705="对外销售",ROUND($Q3705,0)=0),"※外销却没有售价，请填实际售价",IF(AND($K3705="对外销售",$T3705&lt;&gt;"",$T3705&lt;0),"※这一笔外销是亏的，请核对售价",IF(IFERROR(VLOOKUP($D3705,库存台账!$A$5:$Y$1204,24,0),0)&lt;-0.001,"※这个物料账面已经变成负数了，查一下是不是漏记入库","")))))))))))</f>
        <v/>
      </c>
    </row>
    <row r="3706">
      <c r="A3706" s="24">
        <f>IF($D3706="","",COUNTA($D$4:$D3706))</f>
        <v/>
      </c>
      <c r="B3706" s="17" t="n"/>
      <c r="C3706" s="30" t="n"/>
      <c r="D3706" s="17" t="n"/>
      <c r="E3706" s="24">
        <f>IF($D3706="","",IFERROR(VLOOKUP($D3706,物料档案!$A$4:$P$1203,3,0),"※编码不在物料档案里"))</f>
        <v/>
      </c>
      <c r="F3706" s="24">
        <f>IF($D3706="","",IFERROR(VLOOKUP($D3706,物料档案!$A$4:$P$1203,4,0),"※编码不在物料档案里"))</f>
        <v/>
      </c>
      <c r="G3706" s="24">
        <f>IF($D3706="","",IFERROR(VLOOKUP($D3706,物料档案!$A$4:$P$1203,5,0),"※编码不在物料档案里"))</f>
        <v/>
      </c>
      <c r="H3706" s="24">
        <f>IF($D3706="","",IFERROR(VLOOKUP($D3706,物料档案!$A$4:$P$1203,2,0),"※编码不在物料档案里"))</f>
        <v/>
      </c>
      <c r="I3706" s="24">
        <f>IF($D3706="","",IFERROR(VLOOKUP($D3706,物料档案!$A$4:$P$1203,6,0),"※编码不在物料档案里"))</f>
        <v/>
      </c>
      <c r="J3706" s="23" t="n"/>
      <c r="K3706" s="17" t="n"/>
      <c r="L3706" s="17" t="n"/>
      <c r="M3706" s="17" t="n"/>
      <c r="N3706" s="17" t="n"/>
      <c r="O3706" s="26">
        <f>IF($D3706="","",IFERROR(VLOOKUP($D3706,物料档案!$A$4:$P$1203,10,0),0))</f>
        <v/>
      </c>
      <c r="P3706" s="32" t="n"/>
      <c r="Q3706" s="26">
        <f>IF($D3706="","",IF($K3706&lt;&gt;"对外销售",0,ROUND(N($J3706)*IF($P3706="",N($O3706),N($P3706)),0)))</f>
        <v/>
      </c>
      <c r="R3706" s="26">
        <f>IF($D3706="","",IFERROR(VLOOKUP($D3706,库存台账!$A$5:$Y$1204,11,0),0))</f>
        <v/>
      </c>
      <c r="S3706" s="26">
        <f>IF($D3706="","",ROUND(N($J3706)*N($R3706),0))</f>
        <v/>
      </c>
      <c r="T3706" s="26">
        <f>IF($D3706="","",IF($K3706&lt;&gt;"对外销售","",ROUND($Q3706-$S3706,0)))</f>
        <v/>
      </c>
      <c r="U3706" s="17" t="n"/>
      <c r="V3706" s="17" t="n"/>
      <c r="W3706" s="24">
        <f>IF($D3706="","",IF($E3706="※编码不在物料档案里","※物料编码不在档案里",IF(N($J3706)&lt;=0,"※出库数量要大于 0",IF($K3706="","※没填去向类型",IF($L3706="","※没填去向矿区",IF(AND($C3706&lt;&gt;"",$C3706&lt;=结账锁),"※日期早于已结账截止日，不能再录",IF(AND($K3706="自用消耗",COUNTIF({"一矿区";"二矿区"},$L3706)=0),"※自用消耗的去向只能是一矿区或二矿区",IF(AND($K3706="对外销售",COUNTIF({"三矿区";"六矿区"},$L3706)=0),"※对外销售的去向只能是三矿区或六矿区",IF(AND($K3706="对外销售",ROUND($Q3706,0)=0),"※外销却没有售价，请填实际售价",IF(AND($K3706="对外销售",$T3706&lt;&gt;"",$T3706&lt;0),"※这一笔外销是亏的，请核对售价",IF(IFERROR(VLOOKUP($D3706,库存台账!$A$5:$Y$1204,24,0),0)&lt;-0.001,"※这个物料账面已经变成负数了，查一下是不是漏记入库","")))))))))))</f>
        <v/>
      </c>
    </row>
    <row r="3707">
      <c r="A3707" s="24">
        <f>IF($D3707="","",COUNTA($D$4:$D3707))</f>
        <v/>
      </c>
      <c r="B3707" s="17" t="n"/>
      <c r="C3707" s="30" t="n"/>
      <c r="D3707" s="17" t="n"/>
      <c r="E3707" s="24">
        <f>IF($D3707="","",IFERROR(VLOOKUP($D3707,物料档案!$A$4:$P$1203,3,0),"※编码不在物料档案里"))</f>
        <v/>
      </c>
      <c r="F3707" s="24">
        <f>IF($D3707="","",IFERROR(VLOOKUP($D3707,物料档案!$A$4:$P$1203,4,0),"※编码不在物料档案里"))</f>
        <v/>
      </c>
      <c r="G3707" s="24">
        <f>IF($D3707="","",IFERROR(VLOOKUP($D3707,物料档案!$A$4:$P$1203,5,0),"※编码不在物料档案里"))</f>
        <v/>
      </c>
      <c r="H3707" s="24">
        <f>IF($D3707="","",IFERROR(VLOOKUP($D3707,物料档案!$A$4:$P$1203,2,0),"※编码不在物料档案里"))</f>
        <v/>
      </c>
      <c r="I3707" s="24">
        <f>IF($D3707="","",IFERROR(VLOOKUP($D3707,物料档案!$A$4:$P$1203,6,0),"※编码不在物料档案里"))</f>
        <v/>
      </c>
      <c r="J3707" s="23" t="n"/>
      <c r="K3707" s="17" t="n"/>
      <c r="L3707" s="17" t="n"/>
      <c r="M3707" s="17" t="n"/>
      <c r="N3707" s="17" t="n"/>
      <c r="O3707" s="26">
        <f>IF($D3707="","",IFERROR(VLOOKUP($D3707,物料档案!$A$4:$P$1203,10,0),0))</f>
        <v/>
      </c>
      <c r="P3707" s="32" t="n"/>
      <c r="Q3707" s="26">
        <f>IF($D3707="","",IF($K3707&lt;&gt;"对外销售",0,ROUND(N($J3707)*IF($P3707="",N($O3707),N($P3707)),0)))</f>
        <v/>
      </c>
      <c r="R3707" s="26">
        <f>IF($D3707="","",IFERROR(VLOOKUP($D3707,库存台账!$A$5:$Y$1204,11,0),0))</f>
        <v/>
      </c>
      <c r="S3707" s="26">
        <f>IF($D3707="","",ROUND(N($J3707)*N($R3707),0))</f>
        <v/>
      </c>
      <c r="T3707" s="26">
        <f>IF($D3707="","",IF($K3707&lt;&gt;"对外销售","",ROUND($Q3707-$S3707,0)))</f>
        <v/>
      </c>
      <c r="U3707" s="17" t="n"/>
      <c r="V3707" s="17" t="n"/>
      <c r="W3707" s="24">
        <f>IF($D3707="","",IF($E3707="※编码不在物料档案里","※物料编码不在档案里",IF(N($J3707)&lt;=0,"※出库数量要大于 0",IF($K3707="","※没填去向类型",IF($L3707="","※没填去向矿区",IF(AND($C3707&lt;&gt;"",$C3707&lt;=结账锁),"※日期早于已结账截止日，不能再录",IF(AND($K3707="自用消耗",COUNTIF({"一矿区";"二矿区"},$L3707)=0),"※自用消耗的去向只能是一矿区或二矿区",IF(AND($K3707="对外销售",COUNTIF({"三矿区";"六矿区"},$L3707)=0),"※对外销售的去向只能是三矿区或六矿区",IF(AND($K3707="对外销售",ROUND($Q3707,0)=0),"※外销却没有售价，请填实际售价",IF(AND($K3707="对外销售",$T3707&lt;&gt;"",$T3707&lt;0),"※这一笔外销是亏的，请核对售价",IF(IFERROR(VLOOKUP($D3707,库存台账!$A$5:$Y$1204,24,0),0)&lt;-0.001,"※这个物料账面已经变成负数了，查一下是不是漏记入库","")))))))))))</f>
        <v/>
      </c>
    </row>
    <row r="3708">
      <c r="A3708" s="24">
        <f>IF($D3708="","",COUNTA($D$4:$D3708))</f>
        <v/>
      </c>
      <c r="B3708" s="17" t="n"/>
      <c r="C3708" s="30" t="n"/>
      <c r="D3708" s="17" t="n"/>
      <c r="E3708" s="24">
        <f>IF($D3708="","",IFERROR(VLOOKUP($D3708,物料档案!$A$4:$P$1203,3,0),"※编码不在物料档案里"))</f>
        <v/>
      </c>
      <c r="F3708" s="24">
        <f>IF($D3708="","",IFERROR(VLOOKUP($D3708,物料档案!$A$4:$P$1203,4,0),"※编码不在物料档案里"))</f>
        <v/>
      </c>
      <c r="G3708" s="24">
        <f>IF($D3708="","",IFERROR(VLOOKUP($D3708,物料档案!$A$4:$P$1203,5,0),"※编码不在物料档案里"))</f>
        <v/>
      </c>
      <c r="H3708" s="24">
        <f>IF($D3708="","",IFERROR(VLOOKUP($D3708,物料档案!$A$4:$P$1203,2,0),"※编码不在物料档案里"))</f>
        <v/>
      </c>
      <c r="I3708" s="24">
        <f>IF($D3708="","",IFERROR(VLOOKUP($D3708,物料档案!$A$4:$P$1203,6,0),"※编码不在物料档案里"))</f>
        <v/>
      </c>
      <c r="J3708" s="23" t="n"/>
      <c r="K3708" s="17" t="n"/>
      <c r="L3708" s="17" t="n"/>
      <c r="M3708" s="17" t="n"/>
      <c r="N3708" s="17" t="n"/>
      <c r="O3708" s="26">
        <f>IF($D3708="","",IFERROR(VLOOKUP($D3708,物料档案!$A$4:$P$1203,10,0),0))</f>
        <v/>
      </c>
      <c r="P3708" s="32" t="n"/>
      <c r="Q3708" s="26">
        <f>IF($D3708="","",IF($K3708&lt;&gt;"对外销售",0,ROUND(N($J3708)*IF($P3708="",N($O3708),N($P3708)),0)))</f>
        <v/>
      </c>
      <c r="R3708" s="26">
        <f>IF($D3708="","",IFERROR(VLOOKUP($D3708,库存台账!$A$5:$Y$1204,11,0),0))</f>
        <v/>
      </c>
      <c r="S3708" s="26">
        <f>IF($D3708="","",ROUND(N($J3708)*N($R3708),0))</f>
        <v/>
      </c>
      <c r="T3708" s="26">
        <f>IF($D3708="","",IF($K3708&lt;&gt;"对外销售","",ROUND($Q3708-$S3708,0)))</f>
        <v/>
      </c>
      <c r="U3708" s="17" t="n"/>
      <c r="V3708" s="17" t="n"/>
      <c r="W3708" s="24">
        <f>IF($D3708="","",IF($E3708="※编码不在物料档案里","※物料编码不在档案里",IF(N($J3708)&lt;=0,"※出库数量要大于 0",IF($K3708="","※没填去向类型",IF($L3708="","※没填去向矿区",IF(AND($C3708&lt;&gt;"",$C3708&lt;=结账锁),"※日期早于已结账截止日，不能再录",IF(AND($K3708="自用消耗",COUNTIF({"一矿区";"二矿区"},$L3708)=0),"※自用消耗的去向只能是一矿区或二矿区",IF(AND($K3708="对外销售",COUNTIF({"三矿区";"六矿区"},$L3708)=0),"※对外销售的去向只能是三矿区或六矿区",IF(AND($K3708="对外销售",ROUND($Q3708,0)=0),"※外销却没有售价，请填实际售价",IF(AND($K3708="对外销售",$T3708&lt;&gt;"",$T3708&lt;0),"※这一笔外销是亏的，请核对售价",IF(IFERROR(VLOOKUP($D3708,库存台账!$A$5:$Y$1204,24,0),0)&lt;-0.001,"※这个物料账面已经变成负数了，查一下是不是漏记入库","")))))))))))</f>
        <v/>
      </c>
    </row>
    <row r="3709">
      <c r="A3709" s="24">
        <f>IF($D3709="","",COUNTA($D$4:$D3709))</f>
        <v/>
      </c>
      <c r="B3709" s="17" t="n"/>
      <c r="C3709" s="30" t="n"/>
      <c r="D3709" s="17" t="n"/>
      <c r="E3709" s="24">
        <f>IF($D3709="","",IFERROR(VLOOKUP($D3709,物料档案!$A$4:$P$1203,3,0),"※编码不在物料档案里"))</f>
        <v/>
      </c>
      <c r="F3709" s="24">
        <f>IF($D3709="","",IFERROR(VLOOKUP($D3709,物料档案!$A$4:$P$1203,4,0),"※编码不在物料档案里"))</f>
        <v/>
      </c>
      <c r="G3709" s="24">
        <f>IF($D3709="","",IFERROR(VLOOKUP($D3709,物料档案!$A$4:$P$1203,5,0),"※编码不在物料档案里"))</f>
        <v/>
      </c>
      <c r="H3709" s="24">
        <f>IF($D3709="","",IFERROR(VLOOKUP($D3709,物料档案!$A$4:$P$1203,2,0),"※编码不在物料档案里"))</f>
        <v/>
      </c>
      <c r="I3709" s="24">
        <f>IF($D3709="","",IFERROR(VLOOKUP($D3709,物料档案!$A$4:$P$1203,6,0),"※编码不在物料档案里"))</f>
        <v/>
      </c>
      <c r="J3709" s="23" t="n"/>
      <c r="K3709" s="17" t="n"/>
      <c r="L3709" s="17" t="n"/>
      <c r="M3709" s="17" t="n"/>
      <c r="N3709" s="17" t="n"/>
      <c r="O3709" s="26">
        <f>IF($D3709="","",IFERROR(VLOOKUP($D3709,物料档案!$A$4:$P$1203,10,0),0))</f>
        <v/>
      </c>
      <c r="P3709" s="32" t="n"/>
      <c r="Q3709" s="26">
        <f>IF($D3709="","",IF($K3709&lt;&gt;"对外销售",0,ROUND(N($J3709)*IF($P3709="",N($O3709),N($P3709)),0)))</f>
        <v/>
      </c>
      <c r="R3709" s="26">
        <f>IF($D3709="","",IFERROR(VLOOKUP($D3709,库存台账!$A$5:$Y$1204,11,0),0))</f>
        <v/>
      </c>
      <c r="S3709" s="26">
        <f>IF($D3709="","",ROUND(N($J3709)*N($R3709),0))</f>
        <v/>
      </c>
      <c r="T3709" s="26">
        <f>IF($D3709="","",IF($K3709&lt;&gt;"对外销售","",ROUND($Q3709-$S3709,0)))</f>
        <v/>
      </c>
      <c r="U3709" s="17" t="n"/>
      <c r="V3709" s="17" t="n"/>
      <c r="W3709" s="24">
        <f>IF($D3709="","",IF($E3709="※编码不在物料档案里","※物料编码不在档案里",IF(N($J3709)&lt;=0,"※出库数量要大于 0",IF($K3709="","※没填去向类型",IF($L3709="","※没填去向矿区",IF(AND($C3709&lt;&gt;"",$C3709&lt;=结账锁),"※日期早于已结账截止日，不能再录",IF(AND($K3709="自用消耗",COUNTIF({"一矿区";"二矿区"},$L3709)=0),"※自用消耗的去向只能是一矿区或二矿区",IF(AND($K3709="对外销售",COUNTIF({"三矿区";"六矿区"},$L3709)=0),"※对外销售的去向只能是三矿区或六矿区",IF(AND($K3709="对外销售",ROUND($Q3709,0)=0),"※外销却没有售价，请填实际售价",IF(AND($K3709="对外销售",$T3709&lt;&gt;"",$T3709&lt;0),"※这一笔外销是亏的，请核对售价",IF(IFERROR(VLOOKUP($D3709,库存台账!$A$5:$Y$1204,24,0),0)&lt;-0.001,"※这个物料账面已经变成负数了，查一下是不是漏记入库","")))))))))))</f>
        <v/>
      </c>
    </row>
    <row r="3710">
      <c r="A3710" s="24">
        <f>IF($D3710="","",COUNTA($D$4:$D3710))</f>
        <v/>
      </c>
      <c r="B3710" s="17" t="n"/>
      <c r="C3710" s="30" t="n"/>
      <c r="D3710" s="17" t="n"/>
      <c r="E3710" s="24">
        <f>IF($D3710="","",IFERROR(VLOOKUP($D3710,物料档案!$A$4:$P$1203,3,0),"※编码不在物料档案里"))</f>
        <v/>
      </c>
      <c r="F3710" s="24">
        <f>IF($D3710="","",IFERROR(VLOOKUP($D3710,物料档案!$A$4:$P$1203,4,0),"※编码不在物料档案里"))</f>
        <v/>
      </c>
      <c r="G3710" s="24">
        <f>IF($D3710="","",IFERROR(VLOOKUP($D3710,物料档案!$A$4:$P$1203,5,0),"※编码不在物料档案里"))</f>
        <v/>
      </c>
      <c r="H3710" s="24">
        <f>IF($D3710="","",IFERROR(VLOOKUP($D3710,物料档案!$A$4:$P$1203,2,0),"※编码不在物料档案里"))</f>
        <v/>
      </c>
      <c r="I3710" s="24">
        <f>IF($D3710="","",IFERROR(VLOOKUP($D3710,物料档案!$A$4:$P$1203,6,0),"※编码不在物料档案里"))</f>
        <v/>
      </c>
      <c r="J3710" s="23" t="n"/>
      <c r="K3710" s="17" t="n"/>
      <c r="L3710" s="17" t="n"/>
      <c r="M3710" s="17" t="n"/>
      <c r="N3710" s="17" t="n"/>
      <c r="O3710" s="26">
        <f>IF($D3710="","",IFERROR(VLOOKUP($D3710,物料档案!$A$4:$P$1203,10,0),0))</f>
        <v/>
      </c>
      <c r="P3710" s="32" t="n"/>
      <c r="Q3710" s="26">
        <f>IF($D3710="","",IF($K3710&lt;&gt;"对外销售",0,ROUND(N($J3710)*IF($P3710="",N($O3710),N($P3710)),0)))</f>
        <v/>
      </c>
      <c r="R3710" s="26">
        <f>IF($D3710="","",IFERROR(VLOOKUP($D3710,库存台账!$A$5:$Y$1204,11,0),0))</f>
        <v/>
      </c>
      <c r="S3710" s="26">
        <f>IF($D3710="","",ROUND(N($J3710)*N($R3710),0))</f>
        <v/>
      </c>
      <c r="T3710" s="26">
        <f>IF($D3710="","",IF($K3710&lt;&gt;"对外销售","",ROUND($Q3710-$S3710,0)))</f>
        <v/>
      </c>
      <c r="U3710" s="17" t="n"/>
      <c r="V3710" s="17" t="n"/>
      <c r="W3710" s="24">
        <f>IF($D3710="","",IF($E3710="※编码不在物料档案里","※物料编码不在档案里",IF(N($J3710)&lt;=0,"※出库数量要大于 0",IF($K3710="","※没填去向类型",IF($L3710="","※没填去向矿区",IF(AND($C3710&lt;&gt;"",$C3710&lt;=结账锁),"※日期早于已结账截止日，不能再录",IF(AND($K3710="自用消耗",COUNTIF({"一矿区";"二矿区"},$L3710)=0),"※自用消耗的去向只能是一矿区或二矿区",IF(AND($K3710="对外销售",COUNTIF({"三矿区";"六矿区"},$L3710)=0),"※对外销售的去向只能是三矿区或六矿区",IF(AND($K3710="对外销售",ROUND($Q3710,0)=0),"※外销却没有售价，请填实际售价",IF(AND($K3710="对外销售",$T3710&lt;&gt;"",$T3710&lt;0),"※这一笔外销是亏的，请核对售价",IF(IFERROR(VLOOKUP($D3710,库存台账!$A$5:$Y$1204,24,0),0)&lt;-0.001,"※这个物料账面已经变成负数了，查一下是不是漏记入库","")))))))))))</f>
        <v/>
      </c>
    </row>
    <row r="3711">
      <c r="A3711" s="24">
        <f>IF($D3711="","",COUNTA($D$4:$D3711))</f>
        <v/>
      </c>
      <c r="B3711" s="17" t="n"/>
      <c r="C3711" s="30" t="n"/>
      <c r="D3711" s="17" t="n"/>
      <c r="E3711" s="24">
        <f>IF($D3711="","",IFERROR(VLOOKUP($D3711,物料档案!$A$4:$P$1203,3,0),"※编码不在物料档案里"))</f>
        <v/>
      </c>
      <c r="F3711" s="24">
        <f>IF($D3711="","",IFERROR(VLOOKUP($D3711,物料档案!$A$4:$P$1203,4,0),"※编码不在物料档案里"))</f>
        <v/>
      </c>
      <c r="G3711" s="24">
        <f>IF($D3711="","",IFERROR(VLOOKUP($D3711,物料档案!$A$4:$P$1203,5,0),"※编码不在物料档案里"))</f>
        <v/>
      </c>
      <c r="H3711" s="24">
        <f>IF($D3711="","",IFERROR(VLOOKUP($D3711,物料档案!$A$4:$P$1203,2,0),"※编码不在物料档案里"))</f>
        <v/>
      </c>
      <c r="I3711" s="24">
        <f>IF($D3711="","",IFERROR(VLOOKUP($D3711,物料档案!$A$4:$P$1203,6,0),"※编码不在物料档案里"))</f>
        <v/>
      </c>
      <c r="J3711" s="23" t="n"/>
      <c r="K3711" s="17" t="n"/>
      <c r="L3711" s="17" t="n"/>
      <c r="M3711" s="17" t="n"/>
      <c r="N3711" s="17" t="n"/>
      <c r="O3711" s="26">
        <f>IF($D3711="","",IFERROR(VLOOKUP($D3711,物料档案!$A$4:$P$1203,10,0),0))</f>
        <v/>
      </c>
      <c r="P3711" s="32" t="n"/>
      <c r="Q3711" s="26">
        <f>IF($D3711="","",IF($K3711&lt;&gt;"对外销售",0,ROUND(N($J3711)*IF($P3711="",N($O3711),N($P3711)),0)))</f>
        <v/>
      </c>
      <c r="R3711" s="26">
        <f>IF($D3711="","",IFERROR(VLOOKUP($D3711,库存台账!$A$5:$Y$1204,11,0),0))</f>
        <v/>
      </c>
      <c r="S3711" s="26">
        <f>IF($D3711="","",ROUND(N($J3711)*N($R3711),0))</f>
        <v/>
      </c>
      <c r="T3711" s="26">
        <f>IF($D3711="","",IF($K3711&lt;&gt;"对外销售","",ROUND($Q3711-$S3711,0)))</f>
        <v/>
      </c>
      <c r="U3711" s="17" t="n"/>
      <c r="V3711" s="17" t="n"/>
      <c r="W3711" s="24">
        <f>IF($D3711="","",IF($E3711="※编码不在物料档案里","※物料编码不在档案里",IF(N($J3711)&lt;=0,"※出库数量要大于 0",IF($K3711="","※没填去向类型",IF($L3711="","※没填去向矿区",IF(AND($C3711&lt;&gt;"",$C3711&lt;=结账锁),"※日期早于已结账截止日，不能再录",IF(AND($K3711="自用消耗",COUNTIF({"一矿区";"二矿区"},$L3711)=0),"※自用消耗的去向只能是一矿区或二矿区",IF(AND($K3711="对外销售",COUNTIF({"三矿区";"六矿区"},$L3711)=0),"※对外销售的去向只能是三矿区或六矿区",IF(AND($K3711="对外销售",ROUND($Q3711,0)=0),"※外销却没有售价，请填实际售价",IF(AND($K3711="对外销售",$T3711&lt;&gt;"",$T3711&lt;0),"※这一笔外销是亏的，请核对售价",IF(IFERROR(VLOOKUP($D3711,库存台账!$A$5:$Y$1204,24,0),0)&lt;-0.001,"※这个物料账面已经变成负数了，查一下是不是漏记入库","")))))))))))</f>
        <v/>
      </c>
    </row>
    <row r="3712">
      <c r="A3712" s="24">
        <f>IF($D3712="","",COUNTA($D$4:$D3712))</f>
        <v/>
      </c>
      <c r="B3712" s="17" t="n"/>
      <c r="C3712" s="30" t="n"/>
      <c r="D3712" s="17" t="n"/>
      <c r="E3712" s="24">
        <f>IF($D3712="","",IFERROR(VLOOKUP($D3712,物料档案!$A$4:$P$1203,3,0),"※编码不在物料档案里"))</f>
        <v/>
      </c>
      <c r="F3712" s="24">
        <f>IF($D3712="","",IFERROR(VLOOKUP($D3712,物料档案!$A$4:$P$1203,4,0),"※编码不在物料档案里"))</f>
        <v/>
      </c>
      <c r="G3712" s="24">
        <f>IF($D3712="","",IFERROR(VLOOKUP($D3712,物料档案!$A$4:$P$1203,5,0),"※编码不在物料档案里"))</f>
        <v/>
      </c>
      <c r="H3712" s="24">
        <f>IF($D3712="","",IFERROR(VLOOKUP($D3712,物料档案!$A$4:$P$1203,2,0),"※编码不在物料档案里"))</f>
        <v/>
      </c>
      <c r="I3712" s="24">
        <f>IF($D3712="","",IFERROR(VLOOKUP($D3712,物料档案!$A$4:$P$1203,6,0),"※编码不在物料档案里"))</f>
        <v/>
      </c>
      <c r="J3712" s="23" t="n"/>
      <c r="K3712" s="17" t="n"/>
      <c r="L3712" s="17" t="n"/>
      <c r="M3712" s="17" t="n"/>
      <c r="N3712" s="17" t="n"/>
      <c r="O3712" s="26">
        <f>IF($D3712="","",IFERROR(VLOOKUP($D3712,物料档案!$A$4:$P$1203,10,0),0))</f>
        <v/>
      </c>
      <c r="P3712" s="32" t="n"/>
      <c r="Q3712" s="26">
        <f>IF($D3712="","",IF($K3712&lt;&gt;"对外销售",0,ROUND(N($J3712)*IF($P3712="",N($O3712),N($P3712)),0)))</f>
        <v/>
      </c>
      <c r="R3712" s="26">
        <f>IF($D3712="","",IFERROR(VLOOKUP($D3712,库存台账!$A$5:$Y$1204,11,0),0))</f>
        <v/>
      </c>
      <c r="S3712" s="26">
        <f>IF($D3712="","",ROUND(N($J3712)*N($R3712),0))</f>
        <v/>
      </c>
      <c r="T3712" s="26">
        <f>IF($D3712="","",IF($K3712&lt;&gt;"对外销售","",ROUND($Q3712-$S3712,0)))</f>
        <v/>
      </c>
      <c r="U3712" s="17" t="n"/>
      <c r="V3712" s="17" t="n"/>
      <c r="W3712" s="24">
        <f>IF($D3712="","",IF($E3712="※编码不在物料档案里","※物料编码不在档案里",IF(N($J3712)&lt;=0,"※出库数量要大于 0",IF($K3712="","※没填去向类型",IF($L3712="","※没填去向矿区",IF(AND($C3712&lt;&gt;"",$C3712&lt;=结账锁),"※日期早于已结账截止日，不能再录",IF(AND($K3712="自用消耗",COUNTIF({"一矿区";"二矿区"},$L3712)=0),"※自用消耗的去向只能是一矿区或二矿区",IF(AND($K3712="对外销售",COUNTIF({"三矿区";"六矿区"},$L3712)=0),"※对外销售的去向只能是三矿区或六矿区",IF(AND($K3712="对外销售",ROUND($Q3712,0)=0),"※外销却没有售价，请填实际售价",IF(AND($K3712="对外销售",$T3712&lt;&gt;"",$T3712&lt;0),"※这一笔外销是亏的，请核对售价",IF(IFERROR(VLOOKUP($D3712,库存台账!$A$5:$Y$1204,24,0),0)&lt;-0.001,"※这个物料账面已经变成负数了，查一下是不是漏记入库","")))))))))))</f>
        <v/>
      </c>
    </row>
    <row r="3713">
      <c r="A3713" s="24">
        <f>IF($D3713="","",COUNTA($D$4:$D3713))</f>
        <v/>
      </c>
      <c r="B3713" s="17" t="n"/>
      <c r="C3713" s="30" t="n"/>
      <c r="D3713" s="17" t="n"/>
      <c r="E3713" s="24">
        <f>IF($D3713="","",IFERROR(VLOOKUP($D3713,物料档案!$A$4:$P$1203,3,0),"※编码不在物料档案里"))</f>
        <v/>
      </c>
      <c r="F3713" s="24">
        <f>IF($D3713="","",IFERROR(VLOOKUP($D3713,物料档案!$A$4:$P$1203,4,0),"※编码不在物料档案里"))</f>
        <v/>
      </c>
      <c r="G3713" s="24">
        <f>IF($D3713="","",IFERROR(VLOOKUP($D3713,物料档案!$A$4:$P$1203,5,0),"※编码不在物料档案里"))</f>
        <v/>
      </c>
      <c r="H3713" s="24">
        <f>IF($D3713="","",IFERROR(VLOOKUP($D3713,物料档案!$A$4:$P$1203,2,0),"※编码不在物料档案里"))</f>
        <v/>
      </c>
      <c r="I3713" s="24">
        <f>IF($D3713="","",IFERROR(VLOOKUP($D3713,物料档案!$A$4:$P$1203,6,0),"※编码不在物料档案里"))</f>
        <v/>
      </c>
      <c r="J3713" s="23" t="n"/>
      <c r="K3713" s="17" t="n"/>
      <c r="L3713" s="17" t="n"/>
      <c r="M3713" s="17" t="n"/>
      <c r="N3713" s="17" t="n"/>
      <c r="O3713" s="26">
        <f>IF($D3713="","",IFERROR(VLOOKUP($D3713,物料档案!$A$4:$P$1203,10,0),0))</f>
        <v/>
      </c>
      <c r="P3713" s="32" t="n"/>
      <c r="Q3713" s="26">
        <f>IF($D3713="","",IF($K3713&lt;&gt;"对外销售",0,ROUND(N($J3713)*IF($P3713="",N($O3713),N($P3713)),0)))</f>
        <v/>
      </c>
      <c r="R3713" s="26">
        <f>IF($D3713="","",IFERROR(VLOOKUP($D3713,库存台账!$A$5:$Y$1204,11,0),0))</f>
        <v/>
      </c>
      <c r="S3713" s="26">
        <f>IF($D3713="","",ROUND(N($J3713)*N($R3713),0))</f>
        <v/>
      </c>
      <c r="T3713" s="26">
        <f>IF($D3713="","",IF($K3713&lt;&gt;"对外销售","",ROUND($Q3713-$S3713,0)))</f>
        <v/>
      </c>
      <c r="U3713" s="17" t="n"/>
      <c r="V3713" s="17" t="n"/>
      <c r="W3713" s="24">
        <f>IF($D3713="","",IF($E3713="※编码不在物料档案里","※物料编码不在档案里",IF(N($J3713)&lt;=0,"※出库数量要大于 0",IF($K3713="","※没填去向类型",IF($L3713="","※没填去向矿区",IF(AND($C3713&lt;&gt;"",$C3713&lt;=结账锁),"※日期早于已结账截止日，不能再录",IF(AND($K3713="自用消耗",COUNTIF({"一矿区";"二矿区"},$L3713)=0),"※自用消耗的去向只能是一矿区或二矿区",IF(AND($K3713="对外销售",COUNTIF({"三矿区";"六矿区"},$L3713)=0),"※对外销售的去向只能是三矿区或六矿区",IF(AND($K3713="对外销售",ROUND($Q3713,0)=0),"※外销却没有售价，请填实际售价",IF(AND($K3713="对外销售",$T3713&lt;&gt;"",$T3713&lt;0),"※这一笔外销是亏的，请核对售价",IF(IFERROR(VLOOKUP($D3713,库存台账!$A$5:$Y$1204,24,0),0)&lt;-0.001,"※这个物料账面已经变成负数了，查一下是不是漏记入库","")))))))))))</f>
        <v/>
      </c>
    </row>
    <row r="3714">
      <c r="A3714" s="24">
        <f>IF($D3714="","",COUNTA($D$4:$D3714))</f>
        <v/>
      </c>
      <c r="B3714" s="17" t="n"/>
      <c r="C3714" s="30" t="n"/>
      <c r="D3714" s="17" t="n"/>
      <c r="E3714" s="24">
        <f>IF($D3714="","",IFERROR(VLOOKUP($D3714,物料档案!$A$4:$P$1203,3,0),"※编码不在物料档案里"))</f>
        <v/>
      </c>
      <c r="F3714" s="24">
        <f>IF($D3714="","",IFERROR(VLOOKUP($D3714,物料档案!$A$4:$P$1203,4,0),"※编码不在物料档案里"))</f>
        <v/>
      </c>
      <c r="G3714" s="24">
        <f>IF($D3714="","",IFERROR(VLOOKUP($D3714,物料档案!$A$4:$P$1203,5,0),"※编码不在物料档案里"))</f>
        <v/>
      </c>
      <c r="H3714" s="24">
        <f>IF($D3714="","",IFERROR(VLOOKUP($D3714,物料档案!$A$4:$P$1203,2,0),"※编码不在物料档案里"))</f>
        <v/>
      </c>
      <c r="I3714" s="24">
        <f>IF($D3714="","",IFERROR(VLOOKUP($D3714,物料档案!$A$4:$P$1203,6,0),"※编码不在物料档案里"))</f>
        <v/>
      </c>
      <c r="J3714" s="23" t="n"/>
      <c r="K3714" s="17" t="n"/>
      <c r="L3714" s="17" t="n"/>
      <c r="M3714" s="17" t="n"/>
      <c r="N3714" s="17" t="n"/>
      <c r="O3714" s="26">
        <f>IF($D3714="","",IFERROR(VLOOKUP($D3714,物料档案!$A$4:$P$1203,10,0),0))</f>
        <v/>
      </c>
      <c r="P3714" s="32" t="n"/>
      <c r="Q3714" s="26">
        <f>IF($D3714="","",IF($K3714&lt;&gt;"对外销售",0,ROUND(N($J3714)*IF($P3714="",N($O3714),N($P3714)),0)))</f>
        <v/>
      </c>
      <c r="R3714" s="26">
        <f>IF($D3714="","",IFERROR(VLOOKUP($D3714,库存台账!$A$5:$Y$1204,11,0),0))</f>
        <v/>
      </c>
      <c r="S3714" s="26">
        <f>IF($D3714="","",ROUND(N($J3714)*N($R3714),0))</f>
        <v/>
      </c>
      <c r="T3714" s="26">
        <f>IF($D3714="","",IF($K3714&lt;&gt;"对外销售","",ROUND($Q3714-$S3714,0)))</f>
        <v/>
      </c>
      <c r="U3714" s="17" t="n"/>
      <c r="V3714" s="17" t="n"/>
      <c r="W3714" s="24">
        <f>IF($D3714="","",IF($E3714="※编码不在物料档案里","※物料编码不在档案里",IF(N($J3714)&lt;=0,"※出库数量要大于 0",IF($K3714="","※没填去向类型",IF($L3714="","※没填去向矿区",IF(AND($C3714&lt;&gt;"",$C3714&lt;=结账锁),"※日期早于已结账截止日，不能再录",IF(AND($K3714="自用消耗",COUNTIF({"一矿区";"二矿区"},$L3714)=0),"※自用消耗的去向只能是一矿区或二矿区",IF(AND($K3714="对外销售",COUNTIF({"三矿区";"六矿区"},$L3714)=0),"※对外销售的去向只能是三矿区或六矿区",IF(AND($K3714="对外销售",ROUND($Q3714,0)=0),"※外销却没有售价，请填实际售价",IF(AND($K3714="对外销售",$T3714&lt;&gt;"",$T3714&lt;0),"※这一笔外销是亏的，请核对售价",IF(IFERROR(VLOOKUP($D3714,库存台账!$A$5:$Y$1204,24,0),0)&lt;-0.001,"※这个物料账面已经变成负数了，查一下是不是漏记入库","")))))))))))</f>
        <v/>
      </c>
    </row>
    <row r="3715">
      <c r="A3715" s="24">
        <f>IF($D3715="","",COUNTA($D$4:$D3715))</f>
        <v/>
      </c>
      <c r="B3715" s="17" t="n"/>
      <c r="C3715" s="30" t="n"/>
      <c r="D3715" s="17" t="n"/>
      <c r="E3715" s="24">
        <f>IF($D3715="","",IFERROR(VLOOKUP($D3715,物料档案!$A$4:$P$1203,3,0),"※编码不在物料档案里"))</f>
        <v/>
      </c>
      <c r="F3715" s="24">
        <f>IF($D3715="","",IFERROR(VLOOKUP($D3715,物料档案!$A$4:$P$1203,4,0),"※编码不在物料档案里"))</f>
        <v/>
      </c>
      <c r="G3715" s="24">
        <f>IF($D3715="","",IFERROR(VLOOKUP($D3715,物料档案!$A$4:$P$1203,5,0),"※编码不在物料档案里"))</f>
        <v/>
      </c>
      <c r="H3715" s="24">
        <f>IF($D3715="","",IFERROR(VLOOKUP($D3715,物料档案!$A$4:$P$1203,2,0),"※编码不在物料档案里"))</f>
        <v/>
      </c>
      <c r="I3715" s="24">
        <f>IF($D3715="","",IFERROR(VLOOKUP($D3715,物料档案!$A$4:$P$1203,6,0),"※编码不在物料档案里"))</f>
        <v/>
      </c>
      <c r="J3715" s="23" t="n"/>
      <c r="K3715" s="17" t="n"/>
      <c r="L3715" s="17" t="n"/>
      <c r="M3715" s="17" t="n"/>
      <c r="N3715" s="17" t="n"/>
      <c r="O3715" s="26">
        <f>IF($D3715="","",IFERROR(VLOOKUP($D3715,物料档案!$A$4:$P$1203,10,0),0))</f>
        <v/>
      </c>
      <c r="P3715" s="32" t="n"/>
      <c r="Q3715" s="26">
        <f>IF($D3715="","",IF($K3715&lt;&gt;"对外销售",0,ROUND(N($J3715)*IF($P3715="",N($O3715),N($P3715)),0)))</f>
        <v/>
      </c>
      <c r="R3715" s="26">
        <f>IF($D3715="","",IFERROR(VLOOKUP($D3715,库存台账!$A$5:$Y$1204,11,0),0))</f>
        <v/>
      </c>
      <c r="S3715" s="26">
        <f>IF($D3715="","",ROUND(N($J3715)*N($R3715),0))</f>
        <v/>
      </c>
      <c r="T3715" s="26">
        <f>IF($D3715="","",IF($K3715&lt;&gt;"对外销售","",ROUND($Q3715-$S3715,0)))</f>
        <v/>
      </c>
      <c r="U3715" s="17" t="n"/>
      <c r="V3715" s="17" t="n"/>
      <c r="W3715" s="24">
        <f>IF($D3715="","",IF($E3715="※编码不在物料档案里","※物料编码不在档案里",IF(N($J3715)&lt;=0,"※出库数量要大于 0",IF($K3715="","※没填去向类型",IF($L3715="","※没填去向矿区",IF(AND($C3715&lt;&gt;"",$C3715&lt;=结账锁),"※日期早于已结账截止日，不能再录",IF(AND($K3715="自用消耗",COUNTIF({"一矿区";"二矿区"},$L3715)=0),"※自用消耗的去向只能是一矿区或二矿区",IF(AND($K3715="对外销售",COUNTIF({"三矿区";"六矿区"},$L3715)=0),"※对外销售的去向只能是三矿区或六矿区",IF(AND($K3715="对外销售",ROUND($Q3715,0)=0),"※外销却没有售价，请填实际售价",IF(AND($K3715="对外销售",$T3715&lt;&gt;"",$T3715&lt;0),"※这一笔外销是亏的，请核对售价",IF(IFERROR(VLOOKUP($D3715,库存台账!$A$5:$Y$1204,24,0),0)&lt;-0.001,"※这个物料账面已经变成负数了，查一下是不是漏记入库","")))))))))))</f>
        <v/>
      </c>
    </row>
    <row r="3716">
      <c r="A3716" s="24">
        <f>IF($D3716="","",COUNTA($D$4:$D3716))</f>
        <v/>
      </c>
      <c r="B3716" s="17" t="n"/>
      <c r="C3716" s="30" t="n"/>
      <c r="D3716" s="17" t="n"/>
      <c r="E3716" s="24">
        <f>IF($D3716="","",IFERROR(VLOOKUP($D3716,物料档案!$A$4:$P$1203,3,0),"※编码不在物料档案里"))</f>
        <v/>
      </c>
      <c r="F3716" s="24">
        <f>IF($D3716="","",IFERROR(VLOOKUP($D3716,物料档案!$A$4:$P$1203,4,0),"※编码不在物料档案里"))</f>
        <v/>
      </c>
      <c r="G3716" s="24">
        <f>IF($D3716="","",IFERROR(VLOOKUP($D3716,物料档案!$A$4:$P$1203,5,0),"※编码不在物料档案里"))</f>
        <v/>
      </c>
      <c r="H3716" s="24">
        <f>IF($D3716="","",IFERROR(VLOOKUP($D3716,物料档案!$A$4:$P$1203,2,0),"※编码不在物料档案里"))</f>
        <v/>
      </c>
      <c r="I3716" s="24">
        <f>IF($D3716="","",IFERROR(VLOOKUP($D3716,物料档案!$A$4:$P$1203,6,0),"※编码不在物料档案里"))</f>
        <v/>
      </c>
      <c r="J3716" s="23" t="n"/>
      <c r="K3716" s="17" t="n"/>
      <c r="L3716" s="17" t="n"/>
      <c r="M3716" s="17" t="n"/>
      <c r="N3716" s="17" t="n"/>
      <c r="O3716" s="26">
        <f>IF($D3716="","",IFERROR(VLOOKUP($D3716,物料档案!$A$4:$P$1203,10,0),0))</f>
        <v/>
      </c>
      <c r="P3716" s="32" t="n"/>
      <c r="Q3716" s="26">
        <f>IF($D3716="","",IF($K3716&lt;&gt;"对外销售",0,ROUND(N($J3716)*IF($P3716="",N($O3716),N($P3716)),0)))</f>
        <v/>
      </c>
      <c r="R3716" s="26">
        <f>IF($D3716="","",IFERROR(VLOOKUP($D3716,库存台账!$A$5:$Y$1204,11,0),0))</f>
        <v/>
      </c>
      <c r="S3716" s="26">
        <f>IF($D3716="","",ROUND(N($J3716)*N($R3716),0))</f>
        <v/>
      </c>
      <c r="T3716" s="26">
        <f>IF($D3716="","",IF($K3716&lt;&gt;"对外销售","",ROUND($Q3716-$S3716,0)))</f>
        <v/>
      </c>
      <c r="U3716" s="17" t="n"/>
      <c r="V3716" s="17" t="n"/>
      <c r="W3716" s="24">
        <f>IF($D3716="","",IF($E3716="※编码不在物料档案里","※物料编码不在档案里",IF(N($J3716)&lt;=0,"※出库数量要大于 0",IF($K3716="","※没填去向类型",IF($L3716="","※没填去向矿区",IF(AND($C3716&lt;&gt;"",$C3716&lt;=结账锁),"※日期早于已结账截止日，不能再录",IF(AND($K3716="自用消耗",COUNTIF({"一矿区";"二矿区"},$L3716)=0),"※自用消耗的去向只能是一矿区或二矿区",IF(AND($K3716="对外销售",COUNTIF({"三矿区";"六矿区"},$L3716)=0),"※对外销售的去向只能是三矿区或六矿区",IF(AND($K3716="对外销售",ROUND($Q3716,0)=0),"※外销却没有售价，请填实际售价",IF(AND($K3716="对外销售",$T3716&lt;&gt;"",$T3716&lt;0),"※这一笔外销是亏的，请核对售价",IF(IFERROR(VLOOKUP($D3716,库存台账!$A$5:$Y$1204,24,0),0)&lt;-0.001,"※这个物料账面已经变成负数了，查一下是不是漏记入库","")))))))))))</f>
        <v/>
      </c>
    </row>
    <row r="3717">
      <c r="A3717" s="24">
        <f>IF($D3717="","",COUNTA($D$4:$D3717))</f>
        <v/>
      </c>
      <c r="B3717" s="17" t="n"/>
      <c r="C3717" s="30" t="n"/>
      <c r="D3717" s="17" t="n"/>
      <c r="E3717" s="24">
        <f>IF($D3717="","",IFERROR(VLOOKUP($D3717,物料档案!$A$4:$P$1203,3,0),"※编码不在物料档案里"))</f>
        <v/>
      </c>
      <c r="F3717" s="24">
        <f>IF($D3717="","",IFERROR(VLOOKUP($D3717,物料档案!$A$4:$P$1203,4,0),"※编码不在物料档案里"))</f>
        <v/>
      </c>
      <c r="G3717" s="24">
        <f>IF($D3717="","",IFERROR(VLOOKUP($D3717,物料档案!$A$4:$P$1203,5,0),"※编码不在物料档案里"))</f>
        <v/>
      </c>
      <c r="H3717" s="24">
        <f>IF($D3717="","",IFERROR(VLOOKUP($D3717,物料档案!$A$4:$P$1203,2,0),"※编码不在物料档案里"))</f>
        <v/>
      </c>
      <c r="I3717" s="24">
        <f>IF($D3717="","",IFERROR(VLOOKUP($D3717,物料档案!$A$4:$P$1203,6,0),"※编码不在物料档案里"))</f>
        <v/>
      </c>
      <c r="J3717" s="23" t="n"/>
      <c r="K3717" s="17" t="n"/>
      <c r="L3717" s="17" t="n"/>
      <c r="M3717" s="17" t="n"/>
      <c r="N3717" s="17" t="n"/>
      <c r="O3717" s="26">
        <f>IF($D3717="","",IFERROR(VLOOKUP($D3717,物料档案!$A$4:$P$1203,10,0),0))</f>
        <v/>
      </c>
      <c r="P3717" s="32" t="n"/>
      <c r="Q3717" s="26">
        <f>IF($D3717="","",IF($K3717&lt;&gt;"对外销售",0,ROUND(N($J3717)*IF($P3717="",N($O3717),N($P3717)),0)))</f>
        <v/>
      </c>
      <c r="R3717" s="26">
        <f>IF($D3717="","",IFERROR(VLOOKUP($D3717,库存台账!$A$5:$Y$1204,11,0),0))</f>
        <v/>
      </c>
      <c r="S3717" s="26">
        <f>IF($D3717="","",ROUND(N($J3717)*N($R3717),0))</f>
        <v/>
      </c>
      <c r="T3717" s="26">
        <f>IF($D3717="","",IF($K3717&lt;&gt;"对外销售","",ROUND($Q3717-$S3717,0)))</f>
        <v/>
      </c>
      <c r="U3717" s="17" t="n"/>
      <c r="V3717" s="17" t="n"/>
      <c r="W3717" s="24">
        <f>IF($D3717="","",IF($E3717="※编码不在物料档案里","※物料编码不在档案里",IF(N($J3717)&lt;=0,"※出库数量要大于 0",IF($K3717="","※没填去向类型",IF($L3717="","※没填去向矿区",IF(AND($C3717&lt;&gt;"",$C3717&lt;=结账锁),"※日期早于已结账截止日，不能再录",IF(AND($K3717="自用消耗",COUNTIF({"一矿区";"二矿区"},$L3717)=0),"※自用消耗的去向只能是一矿区或二矿区",IF(AND($K3717="对外销售",COUNTIF({"三矿区";"六矿区"},$L3717)=0),"※对外销售的去向只能是三矿区或六矿区",IF(AND($K3717="对外销售",ROUND($Q3717,0)=0),"※外销却没有售价，请填实际售价",IF(AND($K3717="对外销售",$T3717&lt;&gt;"",$T3717&lt;0),"※这一笔外销是亏的，请核对售价",IF(IFERROR(VLOOKUP($D3717,库存台账!$A$5:$Y$1204,24,0),0)&lt;-0.001,"※这个物料账面已经变成负数了，查一下是不是漏记入库","")))))))))))</f>
        <v/>
      </c>
    </row>
    <row r="3718">
      <c r="A3718" s="24">
        <f>IF($D3718="","",COUNTA($D$4:$D3718))</f>
        <v/>
      </c>
      <c r="B3718" s="17" t="n"/>
      <c r="C3718" s="30" t="n"/>
      <c r="D3718" s="17" t="n"/>
      <c r="E3718" s="24">
        <f>IF($D3718="","",IFERROR(VLOOKUP($D3718,物料档案!$A$4:$P$1203,3,0),"※编码不在物料档案里"))</f>
        <v/>
      </c>
      <c r="F3718" s="24">
        <f>IF($D3718="","",IFERROR(VLOOKUP($D3718,物料档案!$A$4:$P$1203,4,0),"※编码不在物料档案里"))</f>
        <v/>
      </c>
      <c r="G3718" s="24">
        <f>IF($D3718="","",IFERROR(VLOOKUP($D3718,物料档案!$A$4:$P$1203,5,0),"※编码不在物料档案里"))</f>
        <v/>
      </c>
      <c r="H3718" s="24">
        <f>IF($D3718="","",IFERROR(VLOOKUP($D3718,物料档案!$A$4:$P$1203,2,0),"※编码不在物料档案里"))</f>
        <v/>
      </c>
      <c r="I3718" s="24">
        <f>IF($D3718="","",IFERROR(VLOOKUP($D3718,物料档案!$A$4:$P$1203,6,0),"※编码不在物料档案里"))</f>
        <v/>
      </c>
      <c r="J3718" s="23" t="n"/>
      <c r="K3718" s="17" t="n"/>
      <c r="L3718" s="17" t="n"/>
      <c r="M3718" s="17" t="n"/>
      <c r="N3718" s="17" t="n"/>
      <c r="O3718" s="26">
        <f>IF($D3718="","",IFERROR(VLOOKUP($D3718,物料档案!$A$4:$P$1203,10,0),0))</f>
        <v/>
      </c>
      <c r="P3718" s="32" t="n"/>
      <c r="Q3718" s="26">
        <f>IF($D3718="","",IF($K3718&lt;&gt;"对外销售",0,ROUND(N($J3718)*IF($P3718="",N($O3718),N($P3718)),0)))</f>
        <v/>
      </c>
      <c r="R3718" s="26">
        <f>IF($D3718="","",IFERROR(VLOOKUP($D3718,库存台账!$A$5:$Y$1204,11,0),0))</f>
        <v/>
      </c>
      <c r="S3718" s="26">
        <f>IF($D3718="","",ROUND(N($J3718)*N($R3718),0))</f>
        <v/>
      </c>
      <c r="T3718" s="26">
        <f>IF($D3718="","",IF($K3718&lt;&gt;"对外销售","",ROUND($Q3718-$S3718,0)))</f>
        <v/>
      </c>
      <c r="U3718" s="17" t="n"/>
      <c r="V3718" s="17" t="n"/>
      <c r="W3718" s="24">
        <f>IF($D3718="","",IF($E3718="※编码不在物料档案里","※物料编码不在档案里",IF(N($J3718)&lt;=0,"※出库数量要大于 0",IF($K3718="","※没填去向类型",IF($L3718="","※没填去向矿区",IF(AND($C3718&lt;&gt;"",$C3718&lt;=结账锁),"※日期早于已结账截止日，不能再录",IF(AND($K3718="自用消耗",COUNTIF({"一矿区";"二矿区"},$L3718)=0),"※自用消耗的去向只能是一矿区或二矿区",IF(AND($K3718="对外销售",COUNTIF({"三矿区";"六矿区"},$L3718)=0),"※对外销售的去向只能是三矿区或六矿区",IF(AND($K3718="对外销售",ROUND($Q3718,0)=0),"※外销却没有售价，请填实际售价",IF(AND($K3718="对外销售",$T3718&lt;&gt;"",$T3718&lt;0),"※这一笔外销是亏的，请核对售价",IF(IFERROR(VLOOKUP($D3718,库存台账!$A$5:$Y$1204,24,0),0)&lt;-0.001,"※这个物料账面已经变成负数了，查一下是不是漏记入库","")))))))))))</f>
        <v/>
      </c>
    </row>
    <row r="3719">
      <c r="A3719" s="24">
        <f>IF($D3719="","",COUNTA($D$4:$D3719))</f>
        <v/>
      </c>
      <c r="B3719" s="17" t="n"/>
      <c r="C3719" s="30" t="n"/>
      <c r="D3719" s="17" t="n"/>
      <c r="E3719" s="24">
        <f>IF($D3719="","",IFERROR(VLOOKUP($D3719,物料档案!$A$4:$P$1203,3,0),"※编码不在物料档案里"))</f>
        <v/>
      </c>
      <c r="F3719" s="24">
        <f>IF($D3719="","",IFERROR(VLOOKUP($D3719,物料档案!$A$4:$P$1203,4,0),"※编码不在物料档案里"))</f>
        <v/>
      </c>
      <c r="G3719" s="24">
        <f>IF($D3719="","",IFERROR(VLOOKUP($D3719,物料档案!$A$4:$P$1203,5,0),"※编码不在物料档案里"))</f>
        <v/>
      </c>
      <c r="H3719" s="24">
        <f>IF($D3719="","",IFERROR(VLOOKUP($D3719,物料档案!$A$4:$P$1203,2,0),"※编码不在物料档案里"))</f>
        <v/>
      </c>
      <c r="I3719" s="24">
        <f>IF($D3719="","",IFERROR(VLOOKUP($D3719,物料档案!$A$4:$P$1203,6,0),"※编码不在物料档案里"))</f>
        <v/>
      </c>
      <c r="J3719" s="23" t="n"/>
      <c r="K3719" s="17" t="n"/>
      <c r="L3719" s="17" t="n"/>
      <c r="M3719" s="17" t="n"/>
      <c r="N3719" s="17" t="n"/>
      <c r="O3719" s="26">
        <f>IF($D3719="","",IFERROR(VLOOKUP($D3719,物料档案!$A$4:$P$1203,10,0),0))</f>
        <v/>
      </c>
      <c r="P3719" s="32" t="n"/>
      <c r="Q3719" s="26">
        <f>IF($D3719="","",IF($K3719&lt;&gt;"对外销售",0,ROUND(N($J3719)*IF($P3719="",N($O3719),N($P3719)),0)))</f>
        <v/>
      </c>
      <c r="R3719" s="26">
        <f>IF($D3719="","",IFERROR(VLOOKUP($D3719,库存台账!$A$5:$Y$1204,11,0),0))</f>
        <v/>
      </c>
      <c r="S3719" s="26">
        <f>IF($D3719="","",ROUND(N($J3719)*N($R3719),0))</f>
        <v/>
      </c>
      <c r="T3719" s="26">
        <f>IF($D3719="","",IF($K3719&lt;&gt;"对外销售","",ROUND($Q3719-$S3719,0)))</f>
        <v/>
      </c>
      <c r="U3719" s="17" t="n"/>
      <c r="V3719" s="17" t="n"/>
      <c r="W3719" s="24">
        <f>IF($D3719="","",IF($E3719="※编码不在物料档案里","※物料编码不在档案里",IF(N($J3719)&lt;=0,"※出库数量要大于 0",IF($K3719="","※没填去向类型",IF($L3719="","※没填去向矿区",IF(AND($C3719&lt;&gt;"",$C3719&lt;=结账锁),"※日期早于已结账截止日，不能再录",IF(AND($K3719="自用消耗",COUNTIF({"一矿区";"二矿区"},$L3719)=0),"※自用消耗的去向只能是一矿区或二矿区",IF(AND($K3719="对外销售",COUNTIF({"三矿区";"六矿区"},$L3719)=0),"※对外销售的去向只能是三矿区或六矿区",IF(AND($K3719="对外销售",ROUND($Q3719,0)=0),"※外销却没有售价，请填实际售价",IF(AND($K3719="对外销售",$T3719&lt;&gt;"",$T3719&lt;0),"※这一笔外销是亏的，请核对售价",IF(IFERROR(VLOOKUP($D3719,库存台账!$A$5:$Y$1204,24,0),0)&lt;-0.001,"※这个物料账面已经变成负数了，查一下是不是漏记入库","")))))))))))</f>
        <v/>
      </c>
    </row>
    <row r="3720">
      <c r="A3720" s="24">
        <f>IF($D3720="","",COUNTA($D$4:$D3720))</f>
        <v/>
      </c>
      <c r="B3720" s="17" t="n"/>
      <c r="C3720" s="30" t="n"/>
      <c r="D3720" s="17" t="n"/>
      <c r="E3720" s="24">
        <f>IF($D3720="","",IFERROR(VLOOKUP($D3720,物料档案!$A$4:$P$1203,3,0),"※编码不在物料档案里"))</f>
        <v/>
      </c>
      <c r="F3720" s="24">
        <f>IF($D3720="","",IFERROR(VLOOKUP($D3720,物料档案!$A$4:$P$1203,4,0),"※编码不在物料档案里"))</f>
        <v/>
      </c>
      <c r="G3720" s="24">
        <f>IF($D3720="","",IFERROR(VLOOKUP($D3720,物料档案!$A$4:$P$1203,5,0),"※编码不在物料档案里"))</f>
        <v/>
      </c>
      <c r="H3720" s="24">
        <f>IF($D3720="","",IFERROR(VLOOKUP($D3720,物料档案!$A$4:$P$1203,2,0),"※编码不在物料档案里"))</f>
        <v/>
      </c>
      <c r="I3720" s="24">
        <f>IF($D3720="","",IFERROR(VLOOKUP($D3720,物料档案!$A$4:$P$1203,6,0),"※编码不在物料档案里"))</f>
        <v/>
      </c>
      <c r="J3720" s="23" t="n"/>
      <c r="K3720" s="17" t="n"/>
      <c r="L3720" s="17" t="n"/>
      <c r="M3720" s="17" t="n"/>
      <c r="N3720" s="17" t="n"/>
      <c r="O3720" s="26">
        <f>IF($D3720="","",IFERROR(VLOOKUP($D3720,物料档案!$A$4:$P$1203,10,0),0))</f>
        <v/>
      </c>
      <c r="P3720" s="32" t="n"/>
      <c r="Q3720" s="26">
        <f>IF($D3720="","",IF($K3720&lt;&gt;"对外销售",0,ROUND(N($J3720)*IF($P3720="",N($O3720),N($P3720)),0)))</f>
        <v/>
      </c>
      <c r="R3720" s="26">
        <f>IF($D3720="","",IFERROR(VLOOKUP($D3720,库存台账!$A$5:$Y$1204,11,0),0))</f>
        <v/>
      </c>
      <c r="S3720" s="26">
        <f>IF($D3720="","",ROUND(N($J3720)*N($R3720),0))</f>
        <v/>
      </c>
      <c r="T3720" s="26">
        <f>IF($D3720="","",IF($K3720&lt;&gt;"对外销售","",ROUND($Q3720-$S3720,0)))</f>
        <v/>
      </c>
      <c r="U3720" s="17" t="n"/>
      <c r="V3720" s="17" t="n"/>
      <c r="W3720" s="24">
        <f>IF($D3720="","",IF($E3720="※编码不在物料档案里","※物料编码不在档案里",IF(N($J3720)&lt;=0,"※出库数量要大于 0",IF($K3720="","※没填去向类型",IF($L3720="","※没填去向矿区",IF(AND($C3720&lt;&gt;"",$C3720&lt;=结账锁),"※日期早于已结账截止日，不能再录",IF(AND($K3720="自用消耗",COUNTIF({"一矿区";"二矿区"},$L3720)=0),"※自用消耗的去向只能是一矿区或二矿区",IF(AND($K3720="对外销售",COUNTIF({"三矿区";"六矿区"},$L3720)=0),"※对外销售的去向只能是三矿区或六矿区",IF(AND($K3720="对外销售",ROUND($Q3720,0)=0),"※外销却没有售价，请填实际售价",IF(AND($K3720="对外销售",$T3720&lt;&gt;"",$T3720&lt;0),"※这一笔外销是亏的，请核对售价",IF(IFERROR(VLOOKUP($D3720,库存台账!$A$5:$Y$1204,24,0),0)&lt;-0.001,"※这个物料账面已经变成负数了，查一下是不是漏记入库","")))))))))))</f>
        <v/>
      </c>
    </row>
    <row r="3721">
      <c r="A3721" s="24">
        <f>IF($D3721="","",COUNTA($D$4:$D3721))</f>
        <v/>
      </c>
      <c r="B3721" s="17" t="n"/>
      <c r="C3721" s="30" t="n"/>
      <c r="D3721" s="17" t="n"/>
      <c r="E3721" s="24">
        <f>IF($D3721="","",IFERROR(VLOOKUP($D3721,物料档案!$A$4:$P$1203,3,0),"※编码不在物料档案里"))</f>
        <v/>
      </c>
      <c r="F3721" s="24">
        <f>IF($D3721="","",IFERROR(VLOOKUP($D3721,物料档案!$A$4:$P$1203,4,0),"※编码不在物料档案里"))</f>
        <v/>
      </c>
      <c r="G3721" s="24">
        <f>IF($D3721="","",IFERROR(VLOOKUP($D3721,物料档案!$A$4:$P$1203,5,0),"※编码不在物料档案里"))</f>
        <v/>
      </c>
      <c r="H3721" s="24">
        <f>IF($D3721="","",IFERROR(VLOOKUP($D3721,物料档案!$A$4:$P$1203,2,0),"※编码不在物料档案里"))</f>
        <v/>
      </c>
      <c r="I3721" s="24">
        <f>IF($D3721="","",IFERROR(VLOOKUP($D3721,物料档案!$A$4:$P$1203,6,0),"※编码不在物料档案里"))</f>
        <v/>
      </c>
      <c r="J3721" s="23" t="n"/>
      <c r="K3721" s="17" t="n"/>
      <c r="L3721" s="17" t="n"/>
      <c r="M3721" s="17" t="n"/>
      <c r="N3721" s="17" t="n"/>
      <c r="O3721" s="26">
        <f>IF($D3721="","",IFERROR(VLOOKUP($D3721,物料档案!$A$4:$P$1203,10,0),0))</f>
        <v/>
      </c>
      <c r="P3721" s="32" t="n"/>
      <c r="Q3721" s="26">
        <f>IF($D3721="","",IF($K3721&lt;&gt;"对外销售",0,ROUND(N($J3721)*IF($P3721="",N($O3721),N($P3721)),0)))</f>
        <v/>
      </c>
      <c r="R3721" s="26">
        <f>IF($D3721="","",IFERROR(VLOOKUP($D3721,库存台账!$A$5:$Y$1204,11,0),0))</f>
        <v/>
      </c>
      <c r="S3721" s="26">
        <f>IF($D3721="","",ROUND(N($J3721)*N($R3721),0))</f>
        <v/>
      </c>
      <c r="T3721" s="26">
        <f>IF($D3721="","",IF($K3721&lt;&gt;"对外销售","",ROUND($Q3721-$S3721,0)))</f>
        <v/>
      </c>
      <c r="U3721" s="17" t="n"/>
      <c r="V3721" s="17" t="n"/>
      <c r="W3721" s="24">
        <f>IF($D3721="","",IF($E3721="※编码不在物料档案里","※物料编码不在档案里",IF(N($J3721)&lt;=0,"※出库数量要大于 0",IF($K3721="","※没填去向类型",IF($L3721="","※没填去向矿区",IF(AND($C3721&lt;&gt;"",$C3721&lt;=结账锁),"※日期早于已结账截止日，不能再录",IF(AND($K3721="自用消耗",COUNTIF({"一矿区";"二矿区"},$L3721)=0),"※自用消耗的去向只能是一矿区或二矿区",IF(AND($K3721="对外销售",COUNTIF({"三矿区";"六矿区"},$L3721)=0),"※对外销售的去向只能是三矿区或六矿区",IF(AND($K3721="对外销售",ROUND($Q3721,0)=0),"※外销却没有售价，请填实际售价",IF(AND($K3721="对外销售",$T3721&lt;&gt;"",$T3721&lt;0),"※这一笔外销是亏的，请核对售价",IF(IFERROR(VLOOKUP($D3721,库存台账!$A$5:$Y$1204,24,0),0)&lt;-0.001,"※这个物料账面已经变成负数了，查一下是不是漏记入库","")))))))))))</f>
        <v/>
      </c>
    </row>
    <row r="3722">
      <c r="A3722" s="24">
        <f>IF($D3722="","",COUNTA($D$4:$D3722))</f>
        <v/>
      </c>
      <c r="B3722" s="17" t="n"/>
      <c r="C3722" s="30" t="n"/>
      <c r="D3722" s="17" t="n"/>
      <c r="E3722" s="24">
        <f>IF($D3722="","",IFERROR(VLOOKUP($D3722,物料档案!$A$4:$P$1203,3,0),"※编码不在物料档案里"))</f>
        <v/>
      </c>
      <c r="F3722" s="24">
        <f>IF($D3722="","",IFERROR(VLOOKUP($D3722,物料档案!$A$4:$P$1203,4,0),"※编码不在物料档案里"))</f>
        <v/>
      </c>
      <c r="G3722" s="24">
        <f>IF($D3722="","",IFERROR(VLOOKUP($D3722,物料档案!$A$4:$P$1203,5,0),"※编码不在物料档案里"))</f>
        <v/>
      </c>
      <c r="H3722" s="24">
        <f>IF($D3722="","",IFERROR(VLOOKUP($D3722,物料档案!$A$4:$P$1203,2,0),"※编码不在物料档案里"))</f>
        <v/>
      </c>
      <c r="I3722" s="24">
        <f>IF($D3722="","",IFERROR(VLOOKUP($D3722,物料档案!$A$4:$P$1203,6,0),"※编码不在物料档案里"))</f>
        <v/>
      </c>
      <c r="J3722" s="23" t="n"/>
      <c r="K3722" s="17" t="n"/>
      <c r="L3722" s="17" t="n"/>
      <c r="M3722" s="17" t="n"/>
      <c r="N3722" s="17" t="n"/>
      <c r="O3722" s="26">
        <f>IF($D3722="","",IFERROR(VLOOKUP($D3722,物料档案!$A$4:$P$1203,10,0),0))</f>
        <v/>
      </c>
      <c r="P3722" s="32" t="n"/>
      <c r="Q3722" s="26">
        <f>IF($D3722="","",IF($K3722&lt;&gt;"对外销售",0,ROUND(N($J3722)*IF($P3722="",N($O3722),N($P3722)),0)))</f>
        <v/>
      </c>
      <c r="R3722" s="26">
        <f>IF($D3722="","",IFERROR(VLOOKUP($D3722,库存台账!$A$5:$Y$1204,11,0),0))</f>
        <v/>
      </c>
      <c r="S3722" s="26">
        <f>IF($D3722="","",ROUND(N($J3722)*N($R3722),0))</f>
        <v/>
      </c>
      <c r="T3722" s="26">
        <f>IF($D3722="","",IF($K3722&lt;&gt;"对外销售","",ROUND($Q3722-$S3722,0)))</f>
        <v/>
      </c>
      <c r="U3722" s="17" t="n"/>
      <c r="V3722" s="17" t="n"/>
      <c r="W3722" s="24">
        <f>IF($D3722="","",IF($E3722="※编码不在物料档案里","※物料编码不在档案里",IF(N($J3722)&lt;=0,"※出库数量要大于 0",IF($K3722="","※没填去向类型",IF($L3722="","※没填去向矿区",IF(AND($C3722&lt;&gt;"",$C3722&lt;=结账锁),"※日期早于已结账截止日，不能再录",IF(AND($K3722="自用消耗",COUNTIF({"一矿区";"二矿区"},$L3722)=0),"※自用消耗的去向只能是一矿区或二矿区",IF(AND($K3722="对外销售",COUNTIF({"三矿区";"六矿区"},$L3722)=0),"※对外销售的去向只能是三矿区或六矿区",IF(AND($K3722="对外销售",ROUND($Q3722,0)=0),"※外销却没有售价，请填实际售价",IF(AND($K3722="对外销售",$T3722&lt;&gt;"",$T3722&lt;0),"※这一笔外销是亏的，请核对售价",IF(IFERROR(VLOOKUP($D3722,库存台账!$A$5:$Y$1204,24,0),0)&lt;-0.001,"※这个物料账面已经变成负数了，查一下是不是漏记入库","")))))))))))</f>
        <v/>
      </c>
    </row>
    <row r="3723">
      <c r="A3723" s="24">
        <f>IF($D3723="","",COUNTA($D$4:$D3723))</f>
        <v/>
      </c>
      <c r="B3723" s="17" t="n"/>
      <c r="C3723" s="30" t="n"/>
      <c r="D3723" s="17" t="n"/>
      <c r="E3723" s="24">
        <f>IF($D3723="","",IFERROR(VLOOKUP($D3723,物料档案!$A$4:$P$1203,3,0),"※编码不在物料档案里"))</f>
        <v/>
      </c>
      <c r="F3723" s="24">
        <f>IF($D3723="","",IFERROR(VLOOKUP($D3723,物料档案!$A$4:$P$1203,4,0),"※编码不在物料档案里"))</f>
        <v/>
      </c>
      <c r="G3723" s="24">
        <f>IF($D3723="","",IFERROR(VLOOKUP($D3723,物料档案!$A$4:$P$1203,5,0),"※编码不在物料档案里"))</f>
        <v/>
      </c>
      <c r="H3723" s="24">
        <f>IF($D3723="","",IFERROR(VLOOKUP($D3723,物料档案!$A$4:$P$1203,2,0),"※编码不在物料档案里"))</f>
        <v/>
      </c>
      <c r="I3723" s="24">
        <f>IF($D3723="","",IFERROR(VLOOKUP($D3723,物料档案!$A$4:$P$1203,6,0),"※编码不在物料档案里"))</f>
        <v/>
      </c>
      <c r="J3723" s="23" t="n"/>
      <c r="K3723" s="17" t="n"/>
      <c r="L3723" s="17" t="n"/>
      <c r="M3723" s="17" t="n"/>
      <c r="N3723" s="17" t="n"/>
      <c r="O3723" s="26">
        <f>IF($D3723="","",IFERROR(VLOOKUP($D3723,物料档案!$A$4:$P$1203,10,0),0))</f>
        <v/>
      </c>
      <c r="P3723" s="32" t="n"/>
      <c r="Q3723" s="26">
        <f>IF($D3723="","",IF($K3723&lt;&gt;"对外销售",0,ROUND(N($J3723)*IF($P3723="",N($O3723),N($P3723)),0)))</f>
        <v/>
      </c>
      <c r="R3723" s="26">
        <f>IF($D3723="","",IFERROR(VLOOKUP($D3723,库存台账!$A$5:$Y$1204,11,0),0))</f>
        <v/>
      </c>
      <c r="S3723" s="26">
        <f>IF($D3723="","",ROUND(N($J3723)*N($R3723),0))</f>
        <v/>
      </c>
      <c r="T3723" s="26">
        <f>IF($D3723="","",IF($K3723&lt;&gt;"对外销售","",ROUND($Q3723-$S3723,0)))</f>
        <v/>
      </c>
      <c r="U3723" s="17" t="n"/>
      <c r="V3723" s="17" t="n"/>
      <c r="W3723" s="24">
        <f>IF($D3723="","",IF($E3723="※编码不在物料档案里","※物料编码不在档案里",IF(N($J3723)&lt;=0,"※出库数量要大于 0",IF($K3723="","※没填去向类型",IF($L3723="","※没填去向矿区",IF(AND($C3723&lt;&gt;"",$C3723&lt;=结账锁),"※日期早于已结账截止日，不能再录",IF(AND($K3723="自用消耗",COUNTIF({"一矿区";"二矿区"},$L3723)=0),"※自用消耗的去向只能是一矿区或二矿区",IF(AND($K3723="对外销售",COUNTIF({"三矿区";"六矿区"},$L3723)=0),"※对外销售的去向只能是三矿区或六矿区",IF(AND($K3723="对外销售",ROUND($Q3723,0)=0),"※外销却没有售价，请填实际售价",IF(AND($K3723="对外销售",$T3723&lt;&gt;"",$T3723&lt;0),"※这一笔外销是亏的，请核对售价",IF(IFERROR(VLOOKUP($D3723,库存台账!$A$5:$Y$1204,24,0),0)&lt;-0.001,"※这个物料账面已经变成负数了，查一下是不是漏记入库","")))))))))))</f>
        <v/>
      </c>
    </row>
    <row r="3724">
      <c r="A3724" s="24">
        <f>IF($D3724="","",COUNTA($D$4:$D3724))</f>
        <v/>
      </c>
      <c r="B3724" s="17" t="n"/>
      <c r="C3724" s="30" t="n"/>
      <c r="D3724" s="17" t="n"/>
      <c r="E3724" s="24">
        <f>IF($D3724="","",IFERROR(VLOOKUP($D3724,物料档案!$A$4:$P$1203,3,0),"※编码不在物料档案里"))</f>
        <v/>
      </c>
      <c r="F3724" s="24">
        <f>IF($D3724="","",IFERROR(VLOOKUP($D3724,物料档案!$A$4:$P$1203,4,0),"※编码不在物料档案里"))</f>
        <v/>
      </c>
      <c r="G3724" s="24">
        <f>IF($D3724="","",IFERROR(VLOOKUP($D3724,物料档案!$A$4:$P$1203,5,0),"※编码不在物料档案里"))</f>
        <v/>
      </c>
      <c r="H3724" s="24">
        <f>IF($D3724="","",IFERROR(VLOOKUP($D3724,物料档案!$A$4:$P$1203,2,0),"※编码不在物料档案里"))</f>
        <v/>
      </c>
      <c r="I3724" s="24">
        <f>IF($D3724="","",IFERROR(VLOOKUP($D3724,物料档案!$A$4:$P$1203,6,0),"※编码不在物料档案里"))</f>
        <v/>
      </c>
      <c r="J3724" s="23" t="n"/>
      <c r="K3724" s="17" t="n"/>
      <c r="L3724" s="17" t="n"/>
      <c r="M3724" s="17" t="n"/>
      <c r="N3724" s="17" t="n"/>
      <c r="O3724" s="26">
        <f>IF($D3724="","",IFERROR(VLOOKUP($D3724,物料档案!$A$4:$P$1203,10,0),0))</f>
        <v/>
      </c>
      <c r="P3724" s="32" t="n"/>
      <c r="Q3724" s="26">
        <f>IF($D3724="","",IF($K3724&lt;&gt;"对外销售",0,ROUND(N($J3724)*IF($P3724="",N($O3724),N($P3724)),0)))</f>
        <v/>
      </c>
      <c r="R3724" s="26">
        <f>IF($D3724="","",IFERROR(VLOOKUP($D3724,库存台账!$A$5:$Y$1204,11,0),0))</f>
        <v/>
      </c>
      <c r="S3724" s="26">
        <f>IF($D3724="","",ROUND(N($J3724)*N($R3724),0))</f>
        <v/>
      </c>
      <c r="T3724" s="26">
        <f>IF($D3724="","",IF($K3724&lt;&gt;"对外销售","",ROUND($Q3724-$S3724,0)))</f>
        <v/>
      </c>
      <c r="U3724" s="17" t="n"/>
      <c r="V3724" s="17" t="n"/>
      <c r="W3724" s="24">
        <f>IF($D3724="","",IF($E3724="※编码不在物料档案里","※物料编码不在档案里",IF(N($J3724)&lt;=0,"※出库数量要大于 0",IF($K3724="","※没填去向类型",IF($L3724="","※没填去向矿区",IF(AND($C3724&lt;&gt;"",$C3724&lt;=结账锁),"※日期早于已结账截止日，不能再录",IF(AND($K3724="自用消耗",COUNTIF({"一矿区";"二矿区"},$L3724)=0),"※自用消耗的去向只能是一矿区或二矿区",IF(AND($K3724="对外销售",COUNTIF({"三矿区";"六矿区"},$L3724)=0),"※对外销售的去向只能是三矿区或六矿区",IF(AND($K3724="对外销售",ROUND($Q3724,0)=0),"※外销却没有售价，请填实际售价",IF(AND($K3724="对外销售",$T3724&lt;&gt;"",$T3724&lt;0),"※这一笔外销是亏的，请核对售价",IF(IFERROR(VLOOKUP($D3724,库存台账!$A$5:$Y$1204,24,0),0)&lt;-0.001,"※这个物料账面已经变成负数了，查一下是不是漏记入库","")))))))))))</f>
        <v/>
      </c>
    </row>
    <row r="3725">
      <c r="A3725" s="24">
        <f>IF($D3725="","",COUNTA($D$4:$D3725))</f>
        <v/>
      </c>
      <c r="B3725" s="17" t="n"/>
      <c r="C3725" s="30" t="n"/>
      <c r="D3725" s="17" t="n"/>
      <c r="E3725" s="24">
        <f>IF($D3725="","",IFERROR(VLOOKUP($D3725,物料档案!$A$4:$P$1203,3,0),"※编码不在物料档案里"))</f>
        <v/>
      </c>
      <c r="F3725" s="24">
        <f>IF($D3725="","",IFERROR(VLOOKUP($D3725,物料档案!$A$4:$P$1203,4,0),"※编码不在物料档案里"))</f>
        <v/>
      </c>
      <c r="G3725" s="24">
        <f>IF($D3725="","",IFERROR(VLOOKUP($D3725,物料档案!$A$4:$P$1203,5,0),"※编码不在物料档案里"))</f>
        <v/>
      </c>
      <c r="H3725" s="24">
        <f>IF($D3725="","",IFERROR(VLOOKUP($D3725,物料档案!$A$4:$P$1203,2,0),"※编码不在物料档案里"))</f>
        <v/>
      </c>
      <c r="I3725" s="24">
        <f>IF($D3725="","",IFERROR(VLOOKUP($D3725,物料档案!$A$4:$P$1203,6,0),"※编码不在物料档案里"))</f>
        <v/>
      </c>
      <c r="J3725" s="23" t="n"/>
      <c r="K3725" s="17" t="n"/>
      <c r="L3725" s="17" t="n"/>
      <c r="M3725" s="17" t="n"/>
      <c r="N3725" s="17" t="n"/>
      <c r="O3725" s="26">
        <f>IF($D3725="","",IFERROR(VLOOKUP($D3725,物料档案!$A$4:$P$1203,10,0),0))</f>
        <v/>
      </c>
      <c r="P3725" s="32" t="n"/>
      <c r="Q3725" s="26">
        <f>IF($D3725="","",IF($K3725&lt;&gt;"对外销售",0,ROUND(N($J3725)*IF($P3725="",N($O3725),N($P3725)),0)))</f>
        <v/>
      </c>
      <c r="R3725" s="26">
        <f>IF($D3725="","",IFERROR(VLOOKUP($D3725,库存台账!$A$5:$Y$1204,11,0),0))</f>
        <v/>
      </c>
      <c r="S3725" s="26">
        <f>IF($D3725="","",ROUND(N($J3725)*N($R3725),0))</f>
        <v/>
      </c>
      <c r="T3725" s="26">
        <f>IF($D3725="","",IF($K3725&lt;&gt;"对外销售","",ROUND($Q3725-$S3725,0)))</f>
        <v/>
      </c>
      <c r="U3725" s="17" t="n"/>
      <c r="V3725" s="17" t="n"/>
      <c r="W3725" s="24">
        <f>IF($D3725="","",IF($E3725="※编码不在物料档案里","※物料编码不在档案里",IF(N($J3725)&lt;=0,"※出库数量要大于 0",IF($K3725="","※没填去向类型",IF($L3725="","※没填去向矿区",IF(AND($C3725&lt;&gt;"",$C3725&lt;=结账锁),"※日期早于已结账截止日，不能再录",IF(AND($K3725="自用消耗",COUNTIF({"一矿区";"二矿区"},$L3725)=0),"※自用消耗的去向只能是一矿区或二矿区",IF(AND($K3725="对外销售",COUNTIF({"三矿区";"六矿区"},$L3725)=0),"※对外销售的去向只能是三矿区或六矿区",IF(AND($K3725="对外销售",ROUND($Q3725,0)=0),"※外销却没有售价，请填实际售价",IF(AND($K3725="对外销售",$T3725&lt;&gt;"",$T3725&lt;0),"※这一笔外销是亏的，请核对售价",IF(IFERROR(VLOOKUP($D3725,库存台账!$A$5:$Y$1204,24,0),0)&lt;-0.001,"※这个物料账面已经变成负数了，查一下是不是漏记入库","")))))))))))</f>
        <v/>
      </c>
    </row>
    <row r="3726">
      <c r="A3726" s="24">
        <f>IF($D3726="","",COUNTA($D$4:$D3726))</f>
        <v/>
      </c>
      <c r="B3726" s="17" t="n"/>
      <c r="C3726" s="30" t="n"/>
      <c r="D3726" s="17" t="n"/>
      <c r="E3726" s="24">
        <f>IF($D3726="","",IFERROR(VLOOKUP($D3726,物料档案!$A$4:$P$1203,3,0),"※编码不在物料档案里"))</f>
        <v/>
      </c>
      <c r="F3726" s="24">
        <f>IF($D3726="","",IFERROR(VLOOKUP($D3726,物料档案!$A$4:$P$1203,4,0),"※编码不在物料档案里"))</f>
        <v/>
      </c>
      <c r="G3726" s="24">
        <f>IF($D3726="","",IFERROR(VLOOKUP($D3726,物料档案!$A$4:$P$1203,5,0),"※编码不在物料档案里"))</f>
        <v/>
      </c>
      <c r="H3726" s="24">
        <f>IF($D3726="","",IFERROR(VLOOKUP($D3726,物料档案!$A$4:$P$1203,2,0),"※编码不在物料档案里"))</f>
        <v/>
      </c>
      <c r="I3726" s="24">
        <f>IF($D3726="","",IFERROR(VLOOKUP($D3726,物料档案!$A$4:$P$1203,6,0),"※编码不在物料档案里"))</f>
        <v/>
      </c>
      <c r="J3726" s="23" t="n"/>
      <c r="K3726" s="17" t="n"/>
      <c r="L3726" s="17" t="n"/>
      <c r="M3726" s="17" t="n"/>
      <c r="N3726" s="17" t="n"/>
      <c r="O3726" s="26">
        <f>IF($D3726="","",IFERROR(VLOOKUP($D3726,物料档案!$A$4:$P$1203,10,0),0))</f>
        <v/>
      </c>
      <c r="P3726" s="32" t="n"/>
      <c r="Q3726" s="26">
        <f>IF($D3726="","",IF($K3726&lt;&gt;"对外销售",0,ROUND(N($J3726)*IF($P3726="",N($O3726),N($P3726)),0)))</f>
        <v/>
      </c>
      <c r="R3726" s="26">
        <f>IF($D3726="","",IFERROR(VLOOKUP($D3726,库存台账!$A$5:$Y$1204,11,0),0))</f>
        <v/>
      </c>
      <c r="S3726" s="26">
        <f>IF($D3726="","",ROUND(N($J3726)*N($R3726),0))</f>
        <v/>
      </c>
      <c r="T3726" s="26">
        <f>IF($D3726="","",IF($K3726&lt;&gt;"对外销售","",ROUND($Q3726-$S3726,0)))</f>
        <v/>
      </c>
      <c r="U3726" s="17" t="n"/>
      <c r="V3726" s="17" t="n"/>
      <c r="W3726" s="24">
        <f>IF($D3726="","",IF($E3726="※编码不在物料档案里","※物料编码不在档案里",IF(N($J3726)&lt;=0,"※出库数量要大于 0",IF($K3726="","※没填去向类型",IF($L3726="","※没填去向矿区",IF(AND($C3726&lt;&gt;"",$C3726&lt;=结账锁),"※日期早于已结账截止日，不能再录",IF(AND($K3726="自用消耗",COUNTIF({"一矿区";"二矿区"},$L3726)=0),"※自用消耗的去向只能是一矿区或二矿区",IF(AND($K3726="对外销售",COUNTIF({"三矿区";"六矿区"},$L3726)=0),"※对外销售的去向只能是三矿区或六矿区",IF(AND($K3726="对外销售",ROUND($Q3726,0)=0),"※外销却没有售价，请填实际售价",IF(AND($K3726="对外销售",$T3726&lt;&gt;"",$T3726&lt;0),"※这一笔外销是亏的，请核对售价",IF(IFERROR(VLOOKUP($D3726,库存台账!$A$5:$Y$1204,24,0),0)&lt;-0.001,"※这个物料账面已经变成负数了，查一下是不是漏记入库","")))))))))))</f>
        <v/>
      </c>
    </row>
    <row r="3727">
      <c r="A3727" s="24">
        <f>IF($D3727="","",COUNTA($D$4:$D3727))</f>
        <v/>
      </c>
      <c r="B3727" s="17" t="n"/>
      <c r="C3727" s="30" t="n"/>
      <c r="D3727" s="17" t="n"/>
      <c r="E3727" s="24">
        <f>IF($D3727="","",IFERROR(VLOOKUP($D3727,物料档案!$A$4:$P$1203,3,0),"※编码不在物料档案里"))</f>
        <v/>
      </c>
      <c r="F3727" s="24">
        <f>IF($D3727="","",IFERROR(VLOOKUP($D3727,物料档案!$A$4:$P$1203,4,0),"※编码不在物料档案里"))</f>
        <v/>
      </c>
      <c r="G3727" s="24">
        <f>IF($D3727="","",IFERROR(VLOOKUP($D3727,物料档案!$A$4:$P$1203,5,0),"※编码不在物料档案里"))</f>
        <v/>
      </c>
      <c r="H3727" s="24">
        <f>IF($D3727="","",IFERROR(VLOOKUP($D3727,物料档案!$A$4:$P$1203,2,0),"※编码不在物料档案里"))</f>
        <v/>
      </c>
      <c r="I3727" s="24">
        <f>IF($D3727="","",IFERROR(VLOOKUP($D3727,物料档案!$A$4:$P$1203,6,0),"※编码不在物料档案里"))</f>
        <v/>
      </c>
      <c r="J3727" s="23" t="n"/>
      <c r="K3727" s="17" t="n"/>
      <c r="L3727" s="17" t="n"/>
      <c r="M3727" s="17" t="n"/>
      <c r="N3727" s="17" t="n"/>
      <c r="O3727" s="26">
        <f>IF($D3727="","",IFERROR(VLOOKUP($D3727,物料档案!$A$4:$P$1203,10,0),0))</f>
        <v/>
      </c>
      <c r="P3727" s="32" t="n"/>
      <c r="Q3727" s="26">
        <f>IF($D3727="","",IF($K3727&lt;&gt;"对外销售",0,ROUND(N($J3727)*IF($P3727="",N($O3727),N($P3727)),0)))</f>
        <v/>
      </c>
      <c r="R3727" s="26">
        <f>IF($D3727="","",IFERROR(VLOOKUP($D3727,库存台账!$A$5:$Y$1204,11,0),0))</f>
        <v/>
      </c>
      <c r="S3727" s="26">
        <f>IF($D3727="","",ROUND(N($J3727)*N($R3727),0))</f>
        <v/>
      </c>
      <c r="T3727" s="26">
        <f>IF($D3727="","",IF($K3727&lt;&gt;"对外销售","",ROUND($Q3727-$S3727,0)))</f>
        <v/>
      </c>
      <c r="U3727" s="17" t="n"/>
      <c r="V3727" s="17" t="n"/>
      <c r="W3727" s="24">
        <f>IF($D3727="","",IF($E3727="※编码不在物料档案里","※物料编码不在档案里",IF(N($J3727)&lt;=0,"※出库数量要大于 0",IF($K3727="","※没填去向类型",IF($L3727="","※没填去向矿区",IF(AND($C3727&lt;&gt;"",$C3727&lt;=结账锁),"※日期早于已结账截止日，不能再录",IF(AND($K3727="自用消耗",COUNTIF({"一矿区";"二矿区"},$L3727)=0),"※自用消耗的去向只能是一矿区或二矿区",IF(AND($K3727="对外销售",COUNTIF({"三矿区";"六矿区"},$L3727)=0),"※对外销售的去向只能是三矿区或六矿区",IF(AND($K3727="对外销售",ROUND($Q3727,0)=0),"※外销却没有售价，请填实际售价",IF(AND($K3727="对外销售",$T3727&lt;&gt;"",$T3727&lt;0),"※这一笔外销是亏的，请核对售价",IF(IFERROR(VLOOKUP($D3727,库存台账!$A$5:$Y$1204,24,0),0)&lt;-0.001,"※这个物料账面已经变成负数了，查一下是不是漏记入库","")))))))))))</f>
        <v/>
      </c>
    </row>
    <row r="3728">
      <c r="A3728" s="24">
        <f>IF($D3728="","",COUNTA($D$4:$D3728))</f>
        <v/>
      </c>
      <c r="B3728" s="17" t="n"/>
      <c r="C3728" s="30" t="n"/>
      <c r="D3728" s="17" t="n"/>
      <c r="E3728" s="24">
        <f>IF($D3728="","",IFERROR(VLOOKUP($D3728,物料档案!$A$4:$P$1203,3,0),"※编码不在物料档案里"))</f>
        <v/>
      </c>
      <c r="F3728" s="24">
        <f>IF($D3728="","",IFERROR(VLOOKUP($D3728,物料档案!$A$4:$P$1203,4,0),"※编码不在物料档案里"))</f>
        <v/>
      </c>
      <c r="G3728" s="24">
        <f>IF($D3728="","",IFERROR(VLOOKUP($D3728,物料档案!$A$4:$P$1203,5,0),"※编码不在物料档案里"))</f>
        <v/>
      </c>
      <c r="H3728" s="24">
        <f>IF($D3728="","",IFERROR(VLOOKUP($D3728,物料档案!$A$4:$P$1203,2,0),"※编码不在物料档案里"))</f>
        <v/>
      </c>
      <c r="I3728" s="24">
        <f>IF($D3728="","",IFERROR(VLOOKUP($D3728,物料档案!$A$4:$P$1203,6,0),"※编码不在物料档案里"))</f>
        <v/>
      </c>
      <c r="J3728" s="23" t="n"/>
      <c r="K3728" s="17" t="n"/>
      <c r="L3728" s="17" t="n"/>
      <c r="M3728" s="17" t="n"/>
      <c r="N3728" s="17" t="n"/>
      <c r="O3728" s="26">
        <f>IF($D3728="","",IFERROR(VLOOKUP($D3728,物料档案!$A$4:$P$1203,10,0),0))</f>
        <v/>
      </c>
      <c r="P3728" s="32" t="n"/>
      <c r="Q3728" s="26">
        <f>IF($D3728="","",IF($K3728&lt;&gt;"对外销售",0,ROUND(N($J3728)*IF($P3728="",N($O3728),N($P3728)),0)))</f>
        <v/>
      </c>
      <c r="R3728" s="26">
        <f>IF($D3728="","",IFERROR(VLOOKUP($D3728,库存台账!$A$5:$Y$1204,11,0),0))</f>
        <v/>
      </c>
      <c r="S3728" s="26">
        <f>IF($D3728="","",ROUND(N($J3728)*N($R3728),0))</f>
        <v/>
      </c>
      <c r="T3728" s="26">
        <f>IF($D3728="","",IF($K3728&lt;&gt;"对外销售","",ROUND($Q3728-$S3728,0)))</f>
        <v/>
      </c>
      <c r="U3728" s="17" t="n"/>
      <c r="V3728" s="17" t="n"/>
      <c r="W3728" s="24">
        <f>IF($D3728="","",IF($E3728="※编码不在物料档案里","※物料编码不在档案里",IF(N($J3728)&lt;=0,"※出库数量要大于 0",IF($K3728="","※没填去向类型",IF($L3728="","※没填去向矿区",IF(AND($C3728&lt;&gt;"",$C3728&lt;=结账锁),"※日期早于已结账截止日，不能再录",IF(AND($K3728="自用消耗",COUNTIF({"一矿区";"二矿区"},$L3728)=0),"※自用消耗的去向只能是一矿区或二矿区",IF(AND($K3728="对外销售",COUNTIF({"三矿区";"六矿区"},$L3728)=0),"※对外销售的去向只能是三矿区或六矿区",IF(AND($K3728="对外销售",ROUND($Q3728,0)=0),"※外销却没有售价，请填实际售价",IF(AND($K3728="对外销售",$T3728&lt;&gt;"",$T3728&lt;0),"※这一笔外销是亏的，请核对售价",IF(IFERROR(VLOOKUP($D3728,库存台账!$A$5:$Y$1204,24,0),0)&lt;-0.001,"※这个物料账面已经变成负数了，查一下是不是漏记入库","")))))))))))</f>
        <v/>
      </c>
    </row>
    <row r="3729">
      <c r="A3729" s="24">
        <f>IF($D3729="","",COUNTA($D$4:$D3729))</f>
        <v/>
      </c>
      <c r="B3729" s="17" t="n"/>
      <c r="C3729" s="30" t="n"/>
      <c r="D3729" s="17" t="n"/>
      <c r="E3729" s="24">
        <f>IF($D3729="","",IFERROR(VLOOKUP($D3729,物料档案!$A$4:$P$1203,3,0),"※编码不在物料档案里"))</f>
        <v/>
      </c>
      <c r="F3729" s="24">
        <f>IF($D3729="","",IFERROR(VLOOKUP($D3729,物料档案!$A$4:$P$1203,4,0),"※编码不在物料档案里"))</f>
        <v/>
      </c>
      <c r="G3729" s="24">
        <f>IF($D3729="","",IFERROR(VLOOKUP($D3729,物料档案!$A$4:$P$1203,5,0),"※编码不在物料档案里"))</f>
        <v/>
      </c>
      <c r="H3729" s="24">
        <f>IF($D3729="","",IFERROR(VLOOKUP($D3729,物料档案!$A$4:$P$1203,2,0),"※编码不在物料档案里"))</f>
        <v/>
      </c>
      <c r="I3729" s="24">
        <f>IF($D3729="","",IFERROR(VLOOKUP($D3729,物料档案!$A$4:$P$1203,6,0),"※编码不在物料档案里"))</f>
        <v/>
      </c>
      <c r="J3729" s="23" t="n"/>
      <c r="K3729" s="17" t="n"/>
      <c r="L3729" s="17" t="n"/>
      <c r="M3729" s="17" t="n"/>
      <c r="N3729" s="17" t="n"/>
      <c r="O3729" s="26">
        <f>IF($D3729="","",IFERROR(VLOOKUP($D3729,物料档案!$A$4:$P$1203,10,0),0))</f>
        <v/>
      </c>
      <c r="P3729" s="32" t="n"/>
      <c r="Q3729" s="26">
        <f>IF($D3729="","",IF($K3729&lt;&gt;"对外销售",0,ROUND(N($J3729)*IF($P3729="",N($O3729),N($P3729)),0)))</f>
        <v/>
      </c>
      <c r="R3729" s="26">
        <f>IF($D3729="","",IFERROR(VLOOKUP($D3729,库存台账!$A$5:$Y$1204,11,0),0))</f>
        <v/>
      </c>
      <c r="S3729" s="26">
        <f>IF($D3729="","",ROUND(N($J3729)*N($R3729),0))</f>
        <v/>
      </c>
      <c r="T3729" s="26">
        <f>IF($D3729="","",IF($K3729&lt;&gt;"对外销售","",ROUND($Q3729-$S3729,0)))</f>
        <v/>
      </c>
      <c r="U3729" s="17" t="n"/>
      <c r="V3729" s="17" t="n"/>
      <c r="W3729" s="24">
        <f>IF($D3729="","",IF($E3729="※编码不在物料档案里","※物料编码不在档案里",IF(N($J3729)&lt;=0,"※出库数量要大于 0",IF($K3729="","※没填去向类型",IF($L3729="","※没填去向矿区",IF(AND($C3729&lt;&gt;"",$C3729&lt;=结账锁),"※日期早于已结账截止日，不能再录",IF(AND($K3729="自用消耗",COUNTIF({"一矿区";"二矿区"},$L3729)=0),"※自用消耗的去向只能是一矿区或二矿区",IF(AND($K3729="对外销售",COUNTIF({"三矿区";"六矿区"},$L3729)=0),"※对外销售的去向只能是三矿区或六矿区",IF(AND($K3729="对外销售",ROUND($Q3729,0)=0),"※外销却没有售价，请填实际售价",IF(AND($K3729="对外销售",$T3729&lt;&gt;"",$T3729&lt;0),"※这一笔外销是亏的，请核对售价",IF(IFERROR(VLOOKUP($D3729,库存台账!$A$5:$Y$1204,24,0),0)&lt;-0.001,"※这个物料账面已经变成负数了，查一下是不是漏记入库","")))))))))))</f>
        <v/>
      </c>
    </row>
    <row r="3730">
      <c r="A3730" s="24">
        <f>IF($D3730="","",COUNTA($D$4:$D3730))</f>
        <v/>
      </c>
      <c r="B3730" s="17" t="n"/>
      <c r="C3730" s="30" t="n"/>
      <c r="D3730" s="17" t="n"/>
      <c r="E3730" s="24">
        <f>IF($D3730="","",IFERROR(VLOOKUP($D3730,物料档案!$A$4:$P$1203,3,0),"※编码不在物料档案里"))</f>
        <v/>
      </c>
      <c r="F3730" s="24">
        <f>IF($D3730="","",IFERROR(VLOOKUP($D3730,物料档案!$A$4:$P$1203,4,0),"※编码不在物料档案里"))</f>
        <v/>
      </c>
      <c r="G3730" s="24">
        <f>IF($D3730="","",IFERROR(VLOOKUP($D3730,物料档案!$A$4:$P$1203,5,0),"※编码不在物料档案里"))</f>
        <v/>
      </c>
      <c r="H3730" s="24">
        <f>IF($D3730="","",IFERROR(VLOOKUP($D3730,物料档案!$A$4:$P$1203,2,0),"※编码不在物料档案里"))</f>
        <v/>
      </c>
      <c r="I3730" s="24">
        <f>IF($D3730="","",IFERROR(VLOOKUP($D3730,物料档案!$A$4:$P$1203,6,0),"※编码不在物料档案里"))</f>
        <v/>
      </c>
      <c r="J3730" s="23" t="n"/>
      <c r="K3730" s="17" t="n"/>
      <c r="L3730" s="17" t="n"/>
      <c r="M3730" s="17" t="n"/>
      <c r="N3730" s="17" t="n"/>
      <c r="O3730" s="26">
        <f>IF($D3730="","",IFERROR(VLOOKUP($D3730,物料档案!$A$4:$P$1203,10,0),0))</f>
        <v/>
      </c>
      <c r="P3730" s="32" t="n"/>
      <c r="Q3730" s="26">
        <f>IF($D3730="","",IF($K3730&lt;&gt;"对外销售",0,ROUND(N($J3730)*IF($P3730="",N($O3730),N($P3730)),0)))</f>
        <v/>
      </c>
      <c r="R3730" s="26">
        <f>IF($D3730="","",IFERROR(VLOOKUP($D3730,库存台账!$A$5:$Y$1204,11,0),0))</f>
        <v/>
      </c>
      <c r="S3730" s="26">
        <f>IF($D3730="","",ROUND(N($J3730)*N($R3730),0))</f>
        <v/>
      </c>
      <c r="T3730" s="26">
        <f>IF($D3730="","",IF($K3730&lt;&gt;"对外销售","",ROUND($Q3730-$S3730,0)))</f>
        <v/>
      </c>
      <c r="U3730" s="17" t="n"/>
      <c r="V3730" s="17" t="n"/>
      <c r="W3730" s="24">
        <f>IF($D3730="","",IF($E3730="※编码不在物料档案里","※物料编码不在档案里",IF(N($J3730)&lt;=0,"※出库数量要大于 0",IF($K3730="","※没填去向类型",IF($L3730="","※没填去向矿区",IF(AND($C3730&lt;&gt;"",$C3730&lt;=结账锁),"※日期早于已结账截止日，不能再录",IF(AND($K3730="自用消耗",COUNTIF({"一矿区";"二矿区"},$L3730)=0),"※自用消耗的去向只能是一矿区或二矿区",IF(AND($K3730="对外销售",COUNTIF({"三矿区";"六矿区"},$L3730)=0),"※对外销售的去向只能是三矿区或六矿区",IF(AND($K3730="对外销售",ROUND($Q3730,0)=0),"※外销却没有售价，请填实际售价",IF(AND($K3730="对外销售",$T3730&lt;&gt;"",$T3730&lt;0),"※这一笔外销是亏的，请核对售价",IF(IFERROR(VLOOKUP($D3730,库存台账!$A$5:$Y$1204,24,0),0)&lt;-0.001,"※这个物料账面已经变成负数了，查一下是不是漏记入库","")))))))))))</f>
        <v/>
      </c>
    </row>
    <row r="3731">
      <c r="A3731" s="24">
        <f>IF($D3731="","",COUNTA($D$4:$D3731))</f>
        <v/>
      </c>
      <c r="B3731" s="17" t="n"/>
      <c r="C3731" s="30" t="n"/>
      <c r="D3731" s="17" t="n"/>
      <c r="E3731" s="24">
        <f>IF($D3731="","",IFERROR(VLOOKUP($D3731,物料档案!$A$4:$P$1203,3,0),"※编码不在物料档案里"))</f>
        <v/>
      </c>
      <c r="F3731" s="24">
        <f>IF($D3731="","",IFERROR(VLOOKUP($D3731,物料档案!$A$4:$P$1203,4,0),"※编码不在物料档案里"))</f>
        <v/>
      </c>
      <c r="G3731" s="24">
        <f>IF($D3731="","",IFERROR(VLOOKUP($D3731,物料档案!$A$4:$P$1203,5,0),"※编码不在物料档案里"))</f>
        <v/>
      </c>
      <c r="H3731" s="24">
        <f>IF($D3731="","",IFERROR(VLOOKUP($D3731,物料档案!$A$4:$P$1203,2,0),"※编码不在物料档案里"))</f>
        <v/>
      </c>
      <c r="I3731" s="24">
        <f>IF($D3731="","",IFERROR(VLOOKUP($D3731,物料档案!$A$4:$P$1203,6,0),"※编码不在物料档案里"))</f>
        <v/>
      </c>
      <c r="J3731" s="23" t="n"/>
      <c r="K3731" s="17" t="n"/>
      <c r="L3731" s="17" t="n"/>
      <c r="M3731" s="17" t="n"/>
      <c r="N3731" s="17" t="n"/>
      <c r="O3731" s="26">
        <f>IF($D3731="","",IFERROR(VLOOKUP($D3731,物料档案!$A$4:$P$1203,10,0),0))</f>
        <v/>
      </c>
      <c r="P3731" s="32" t="n"/>
      <c r="Q3731" s="26">
        <f>IF($D3731="","",IF($K3731&lt;&gt;"对外销售",0,ROUND(N($J3731)*IF($P3731="",N($O3731),N($P3731)),0)))</f>
        <v/>
      </c>
      <c r="R3731" s="26">
        <f>IF($D3731="","",IFERROR(VLOOKUP($D3731,库存台账!$A$5:$Y$1204,11,0),0))</f>
        <v/>
      </c>
      <c r="S3731" s="26">
        <f>IF($D3731="","",ROUND(N($J3731)*N($R3731),0))</f>
        <v/>
      </c>
      <c r="T3731" s="26">
        <f>IF($D3731="","",IF($K3731&lt;&gt;"对外销售","",ROUND($Q3731-$S3731,0)))</f>
        <v/>
      </c>
      <c r="U3731" s="17" t="n"/>
      <c r="V3731" s="17" t="n"/>
      <c r="W3731" s="24">
        <f>IF($D3731="","",IF($E3731="※编码不在物料档案里","※物料编码不在档案里",IF(N($J3731)&lt;=0,"※出库数量要大于 0",IF($K3731="","※没填去向类型",IF($L3731="","※没填去向矿区",IF(AND($C3731&lt;&gt;"",$C3731&lt;=结账锁),"※日期早于已结账截止日，不能再录",IF(AND($K3731="自用消耗",COUNTIF({"一矿区";"二矿区"},$L3731)=0),"※自用消耗的去向只能是一矿区或二矿区",IF(AND($K3731="对外销售",COUNTIF({"三矿区";"六矿区"},$L3731)=0),"※对外销售的去向只能是三矿区或六矿区",IF(AND($K3731="对外销售",ROUND($Q3731,0)=0),"※外销却没有售价，请填实际售价",IF(AND($K3731="对外销售",$T3731&lt;&gt;"",$T3731&lt;0),"※这一笔外销是亏的，请核对售价",IF(IFERROR(VLOOKUP($D3731,库存台账!$A$5:$Y$1204,24,0),0)&lt;-0.001,"※这个物料账面已经变成负数了，查一下是不是漏记入库","")))))))))))</f>
        <v/>
      </c>
    </row>
    <row r="3732">
      <c r="A3732" s="24">
        <f>IF($D3732="","",COUNTA($D$4:$D3732))</f>
        <v/>
      </c>
      <c r="B3732" s="17" t="n"/>
      <c r="C3732" s="30" t="n"/>
      <c r="D3732" s="17" t="n"/>
      <c r="E3732" s="24">
        <f>IF($D3732="","",IFERROR(VLOOKUP($D3732,物料档案!$A$4:$P$1203,3,0),"※编码不在物料档案里"))</f>
        <v/>
      </c>
      <c r="F3732" s="24">
        <f>IF($D3732="","",IFERROR(VLOOKUP($D3732,物料档案!$A$4:$P$1203,4,0),"※编码不在物料档案里"))</f>
        <v/>
      </c>
      <c r="G3732" s="24">
        <f>IF($D3732="","",IFERROR(VLOOKUP($D3732,物料档案!$A$4:$P$1203,5,0),"※编码不在物料档案里"))</f>
        <v/>
      </c>
      <c r="H3732" s="24">
        <f>IF($D3732="","",IFERROR(VLOOKUP($D3732,物料档案!$A$4:$P$1203,2,0),"※编码不在物料档案里"))</f>
        <v/>
      </c>
      <c r="I3732" s="24">
        <f>IF($D3732="","",IFERROR(VLOOKUP($D3732,物料档案!$A$4:$P$1203,6,0),"※编码不在物料档案里"))</f>
        <v/>
      </c>
      <c r="J3732" s="23" t="n"/>
      <c r="K3732" s="17" t="n"/>
      <c r="L3732" s="17" t="n"/>
      <c r="M3732" s="17" t="n"/>
      <c r="N3732" s="17" t="n"/>
      <c r="O3732" s="26">
        <f>IF($D3732="","",IFERROR(VLOOKUP($D3732,物料档案!$A$4:$P$1203,10,0),0))</f>
        <v/>
      </c>
      <c r="P3732" s="32" t="n"/>
      <c r="Q3732" s="26">
        <f>IF($D3732="","",IF($K3732&lt;&gt;"对外销售",0,ROUND(N($J3732)*IF($P3732="",N($O3732),N($P3732)),0)))</f>
        <v/>
      </c>
      <c r="R3732" s="26">
        <f>IF($D3732="","",IFERROR(VLOOKUP($D3732,库存台账!$A$5:$Y$1204,11,0),0))</f>
        <v/>
      </c>
      <c r="S3732" s="26">
        <f>IF($D3732="","",ROUND(N($J3732)*N($R3732),0))</f>
        <v/>
      </c>
      <c r="T3732" s="26">
        <f>IF($D3732="","",IF($K3732&lt;&gt;"对外销售","",ROUND($Q3732-$S3732,0)))</f>
        <v/>
      </c>
      <c r="U3732" s="17" t="n"/>
      <c r="V3732" s="17" t="n"/>
      <c r="W3732" s="24">
        <f>IF($D3732="","",IF($E3732="※编码不在物料档案里","※物料编码不在档案里",IF(N($J3732)&lt;=0,"※出库数量要大于 0",IF($K3732="","※没填去向类型",IF($L3732="","※没填去向矿区",IF(AND($C3732&lt;&gt;"",$C3732&lt;=结账锁),"※日期早于已结账截止日，不能再录",IF(AND($K3732="自用消耗",COUNTIF({"一矿区";"二矿区"},$L3732)=0),"※自用消耗的去向只能是一矿区或二矿区",IF(AND($K3732="对外销售",COUNTIF({"三矿区";"六矿区"},$L3732)=0),"※对外销售的去向只能是三矿区或六矿区",IF(AND($K3732="对外销售",ROUND($Q3732,0)=0),"※外销却没有售价，请填实际售价",IF(AND($K3732="对外销售",$T3732&lt;&gt;"",$T3732&lt;0),"※这一笔外销是亏的，请核对售价",IF(IFERROR(VLOOKUP($D3732,库存台账!$A$5:$Y$1204,24,0),0)&lt;-0.001,"※这个物料账面已经变成负数了，查一下是不是漏记入库","")))))))))))</f>
        <v/>
      </c>
    </row>
    <row r="3733">
      <c r="A3733" s="24">
        <f>IF($D3733="","",COUNTA($D$4:$D3733))</f>
        <v/>
      </c>
      <c r="B3733" s="17" t="n"/>
      <c r="C3733" s="30" t="n"/>
      <c r="D3733" s="17" t="n"/>
      <c r="E3733" s="24">
        <f>IF($D3733="","",IFERROR(VLOOKUP($D3733,物料档案!$A$4:$P$1203,3,0),"※编码不在物料档案里"))</f>
        <v/>
      </c>
      <c r="F3733" s="24">
        <f>IF($D3733="","",IFERROR(VLOOKUP($D3733,物料档案!$A$4:$P$1203,4,0),"※编码不在物料档案里"))</f>
        <v/>
      </c>
      <c r="G3733" s="24">
        <f>IF($D3733="","",IFERROR(VLOOKUP($D3733,物料档案!$A$4:$P$1203,5,0),"※编码不在物料档案里"))</f>
        <v/>
      </c>
      <c r="H3733" s="24">
        <f>IF($D3733="","",IFERROR(VLOOKUP($D3733,物料档案!$A$4:$P$1203,2,0),"※编码不在物料档案里"))</f>
        <v/>
      </c>
      <c r="I3733" s="24">
        <f>IF($D3733="","",IFERROR(VLOOKUP($D3733,物料档案!$A$4:$P$1203,6,0),"※编码不在物料档案里"))</f>
        <v/>
      </c>
      <c r="J3733" s="23" t="n"/>
      <c r="K3733" s="17" t="n"/>
      <c r="L3733" s="17" t="n"/>
      <c r="M3733" s="17" t="n"/>
      <c r="N3733" s="17" t="n"/>
      <c r="O3733" s="26">
        <f>IF($D3733="","",IFERROR(VLOOKUP($D3733,物料档案!$A$4:$P$1203,10,0),0))</f>
        <v/>
      </c>
      <c r="P3733" s="32" t="n"/>
      <c r="Q3733" s="26">
        <f>IF($D3733="","",IF($K3733&lt;&gt;"对外销售",0,ROUND(N($J3733)*IF($P3733="",N($O3733),N($P3733)),0)))</f>
        <v/>
      </c>
      <c r="R3733" s="26">
        <f>IF($D3733="","",IFERROR(VLOOKUP($D3733,库存台账!$A$5:$Y$1204,11,0),0))</f>
        <v/>
      </c>
      <c r="S3733" s="26">
        <f>IF($D3733="","",ROUND(N($J3733)*N($R3733),0))</f>
        <v/>
      </c>
      <c r="T3733" s="26">
        <f>IF($D3733="","",IF($K3733&lt;&gt;"对外销售","",ROUND($Q3733-$S3733,0)))</f>
        <v/>
      </c>
      <c r="U3733" s="17" t="n"/>
      <c r="V3733" s="17" t="n"/>
      <c r="W3733" s="24">
        <f>IF($D3733="","",IF($E3733="※编码不在物料档案里","※物料编码不在档案里",IF(N($J3733)&lt;=0,"※出库数量要大于 0",IF($K3733="","※没填去向类型",IF($L3733="","※没填去向矿区",IF(AND($C3733&lt;&gt;"",$C3733&lt;=结账锁),"※日期早于已结账截止日，不能再录",IF(AND($K3733="自用消耗",COUNTIF({"一矿区";"二矿区"},$L3733)=0),"※自用消耗的去向只能是一矿区或二矿区",IF(AND($K3733="对外销售",COUNTIF({"三矿区";"六矿区"},$L3733)=0),"※对外销售的去向只能是三矿区或六矿区",IF(AND($K3733="对外销售",ROUND($Q3733,0)=0),"※外销却没有售价，请填实际售价",IF(AND($K3733="对外销售",$T3733&lt;&gt;"",$T3733&lt;0),"※这一笔外销是亏的，请核对售价",IF(IFERROR(VLOOKUP($D3733,库存台账!$A$5:$Y$1204,24,0),0)&lt;-0.001,"※这个物料账面已经变成负数了，查一下是不是漏记入库","")))))))))))</f>
        <v/>
      </c>
    </row>
    <row r="3734">
      <c r="A3734" s="24">
        <f>IF($D3734="","",COUNTA($D$4:$D3734))</f>
        <v/>
      </c>
      <c r="B3734" s="17" t="n"/>
      <c r="C3734" s="30" t="n"/>
      <c r="D3734" s="17" t="n"/>
      <c r="E3734" s="24">
        <f>IF($D3734="","",IFERROR(VLOOKUP($D3734,物料档案!$A$4:$P$1203,3,0),"※编码不在物料档案里"))</f>
        <v/>
      </c>
      <c r="F3734" s="24">
        <f>IF($D3734="","",IFERROR(VLOOKUP($D3734,物料档案!$A$4:$P$1203,4,0),"※编码不在物料档案里"))</f>
        <v/>
      </c>
      <c r="G3734" s="24">
        <f>IF($D3734="","",IFERROR(VLOOKUP($D3734,物料档案!$A$4:$P$1203,5,0),"※编码不在物料档案里"))</f>
        <v/>
      </c>
      <c r="H3734" s="24">
        <f>IF($D3734="","",IFERROR(VLOOKUP($D3734,物料档案!$A$4:$P$1203,2,0),"※编码不在物料档案里"))</f>
        <v/>
      </c>
      <c r="I3734" s="24">
        <f>IF($D3734="","",IFERROR(VLOOKUP($D3734,物料档案!$A$4:$P$1203,6,0),"※编码不在物料档案里"))</f>
        <v/>
      </c>
      <c r="J3734" s="23" t="n"/>
      <c r="K3734" s="17" t="n"/>
      <c r="L3734" s="17" t="n"/>
      <c r="M3734" s="17" t="n"/>
      <c r="N3734" s="17" t="n"/>
      <c r="O3734" s="26">
        <f>IF($D3734="","",IFERROR(VLOOKUP($D3734,物料档案!$A$4:$P$1203,10,0),0))</f>
        <v/>
      </c>
      <c r="P3734" s="32" t="n"/>
      <c r="Q3734" s="26">
        <f>IF($D3734="","",IF($K3734&lt;&gt;"对外销售",0,ROUND(N($J3734)*IF($P3734="",N($O3734),N($P3734)),0)))</f>
        <v/>
      </c>
      <c r="R3734" s="26">
        <f>IF($D3734="","",IFERROR(VLOOKUP($D3734,库存台账!$A$5:$Y$1204,11,0),0))</f>
        <v/>
      </c>
      <c r="S3734" s="26">
        <f>IF($D3734="","",ROUND(N($J3734)*N($R3734),0))</f>
        <v/>
      </c>
      <c r="T3734" s="26">
        <f>IF($D3734="","",IF($K3734&lt;&gt;"对外销售","",ROUND($Q3734-$S3734,0)))</f>
        <v/>
      </c>
      <c r="U3734" s="17" t="n"/>
      <c r="V3734" s="17" t="n"/>
      <c r="W3734" s="24">
        <f>IF($D3734="","",IF($E3734="※编码不在物料档案里","※物料编码不在档案里",IF(N($J3734)&lt;=0,"※出库数量要大于 0",IF($K3734="","※没填去向类型",IF($L3734="","※没填去向矿区",IF(AND($C3734&lt;&gt;"",$C3734&lt;=结账锁),"※日期早于已结账截止日，不能再录",IF(AND($K3734="自用消耗",COUNTIF({"一矿区";"二矿区"},$L3734)=0),"※自用消耗的去向只能是一矿区或二矿区",IF(AND($K3734="对外销售",COUNTIF({"三矿区";"六矿区"},$L3734)=0),"※对外销售的去向只能是三矿区或六矿区",IF(AND($K3734="对外销售",ROUND($Q3734,0)=0),"※外销却没有售价，请填实际售价",IF(AND($K3734="对外销售",$T3734&lt;&gt;"",$T3734&lt;0),"※这一笔外销是亏的，请核对售价",IF(IFERROR(VLOOKUP($D3734,库存台账!$A$5:$Y$1204,24,0),0)&lt;-0.001,"※这个物料账面已经变成负数了，查一下是不是漏记入库","")))))))))))</f>
        <v/>
      </c>
    </row>
    <row r="3735">
      <c r="A3735" s="24">
        <f>IF($D3735="","",COUNTA($D$4:$D3735))</f>
        <v/>
      </c>
      <c r="B3735" s="17" t="n"/>
      <c r="C3735" s="30" t="n"/>
      <c r="D3735" s="17" t="n"/>
      <c r="E3735" s="24">
        <f>IF($D3735="","",IFERROR(VLOOKUP($D3735,物料档案!$A$4:$P$1203,3,0),"※编码不在物料档案里"))</f>
        <v/>
      </c>
      <c r="F3735" s="24">
        <f>IF($D3735="","",IFERROR(VLOOKUP($D3735,物料档案!$A$4:$P$1203,4,0),"※编码不在物料档案里"))</f>
        <v/>
      </c>
      <c r="G3735" s="24">
        <f>IF($D3735="","",IFERROR(VLOOKUP($D3735,物料档案!$A$4:$P$1203,5,0),"※编码不在物料档案里"))</f>
        <v/>
      </c>
      <c r="H3735" s="24">
        <f>IF($D3735="","",IFERROR(VLOOKUP($D3735,物料档案!$A$4:$P$1203,2,0),"※编码不在物料档案里"))</f>
        <v/>
      </c>
      <c r="I3735" s="24">
        <f>IF($D3735="","",IFERROR(VLOOKUP($D3735,物料档案!$A$4:$P$1203,6,0),"※编码不在物料档案里"))</f>
        <v/>
      </c>
      <c r="J3735" s="23" t="n"/>
      <c r="K3735" s="17" t="n"/>
      <c r="L3735" s="17" t="n"/>
      <c r="M3735" s="17" t="n"/>
      <c r="N3735" s="17" t="n"/>
      <c r="O3735" s="26">
        <f>IF($D3735="","",IFERROR(VLOOKUP($D3735,物料档案!$A$4:$P$1203,10,0),0))</f>
        <v/>
      </c>
      <c r="P3735" s="32" t="n"/>
      <c r="Q3735" s="26">
        <f>IF($D3735="","",IF($K3735&lt;&gt;"对外销售",0,ROUND(N($J3735)*IF($P3735="",N($O3735),N($P3735)),0)))</f>
        <v/>
      </c>
      <c r="R3735" s="26">
        <f>IF($D3735="","",IFERROR(VLOOKUP($D3735,库存台账!$A$5:$Y$1204,11,0),0))</f>
        <v/>
      </c>
      <c r="S3735" s="26">
        <f>IF($D3735="","",ROUND(N($J3735)*N($R3735),0))</f>
        <v/>
      </c>
      <c r="T3735" s="26">
        <f>IF($D3735="","",IF($K3735&lt;&gt;"对外销售","",ROUND($Q3735-$S3735,0)))</f>
        <v/>
      </c>
      <c r="U3735" s="17" t="n"/>
      <c r="V3735" s="17" t="n"/>
      <c r="W3735" s="24">
        <f>IF($D3735="","",IF($E3735="※编码不在物料档案里","※物料编码不在档案里",IF(N($J3735)&lt;=0,"※出库数量要大于 0",IF($K3735="","※没填去向类型",IF($L3735="","※没填去向矿区",IF(AND($C3735&lt;&gt;"",$C3735&lt;=结账锁),"※日期早于已结账截止日，不能再录",IF(AND($K3735="自用消耗",COUNTIF({"一矿区";"二矿区"},$L3735)=0),"※自用消耗的去向只能是一矿区或二矿区",IF(AND($K3735="对外销售",COUNTIF({"三矿区";"六矿区"},$L3735)=0),"※对外销售的去向只能是三矿区或六矿区",IF(AND($K3735="对外销售",ROUND($Q3735,0)=0),"※外销却没有售价，请填实际售价",IF(AND($K3735="对外销售",$T3735&lt;&gt;"",$T3735&lt;0),"※这一笔外销是亏的，请核对售价",IF(IFERROR(VLOOKUP($D3735,库存台账!$A$5:$Y$1204,24,0),0)&lt;-0.001,"※这个物料账面已经变成负数了，查一下是不是漏记入库","")))))))))))</f>
        <v/>
      </c>
    </row>
    <row r="3736">
      <c r="A3736" s="24">
        <f>IF($D3736="","",COUNTA($D$4:$D3736))</f>
        <v/>
      </c>
      <c r="B3736" s="17" t="n"/>
      <c r="C3736" s="30" t="n"/>
      <c r="D3736" s="17" t="n"/>
      <c r="E3736" s="24">
        <f>IF($D3736="","",IFERROR(VLOOKUP($D3736,物料档案!$A$4:$P$1203,3,0),"※编码不在物料档案里"))</f>
        <v/>
      </c>
      <c r="F3736" s="24">
        <f>IF($D3736="","",IFERROR(VLOOKUP($D3736,物料档案!$A$4:$P$1203,4,0),"※编码不在物料档案里"))</f>
        <v/>
      </c>
      <c r="G3736" s="24">
        <f>IF($D3736="","",IFERROR(VLOOKUP($D3736,物料档案!$A$4:$P$1203,5,0),"※编码不在物料档案里"))</f>
        <v/>
      </c>
      <c r="H3736" s="24">
        <f>IF($D3736="","",IFERROR(VLOOKUP($D3736,物料档案!$A$4:$P$1203,2,0),"※编码不在物料档案里"))</f>
        <v/>
      </c>
      <c r="I3736" s="24">
        <f>IF($D3736="","",IFERROR(VLOOKUP($D3736,物料档案!$A$4:$P$1203,6,0),"※编码不在物料档案里"))</f>
        <v/>
      </c>
      <c r="J3736" s="23" t="n"/>
      <c r="K3736" s="17" t="n"/>
      <c r="L3736" s="17" t="n"/>
      <c r="M3736" s="17" t="n"/>
      <c r="N3736" s="17" t="n"/>
      <c r="O3736" s="26">
        <f>IF($D3736="","",IFERROR(VLOOKUP($D3736,物料档案!$A$4:$P$1203,10,0),0))</f>
        <v/>
      </c>
      <c r="P3736" s="32" t="n"/>
      <c r="Q3736" s="26">
        <f>IF($D3736="","",IF($K3736&lt;&gt;"对外销售",0,ROUND(N($J3736)*IF($P3736="",N($O3736),N($P3736)),0)))</f>
        <v/>
      </c>
      <c r="R3736" s="26">
        <f>IF($D3736="","",IFERROR(VLOOKUP($D3736,库存台账!$A$5:$Y$1204,11,0),0))</f>
        <v/>
      </c>
      <c r="S3736" s="26">
        <f>IF($D3736="","",ROUND(N($J3736)*N($R3736),0))</f>
        <v/>
      </c>
      <c r="T3736" s="26">
        <f>IF($D3736="","",IF($K3736&lt;&gt;"对外销售","",ROUND($Q3736-$S3736,0)))</f>
        <v/>
      </c>
      <c r="U3736" s="17" t="n"/>
      <c r="V3736" s="17" t="n"/>
      <c r="W3736" s="24">
        <f>IF($D3736="","",IF($E3736="※编码不在物料档案里","※物料编码不在档案里",IF(N($J3736)&lt;=0,"※出库数量要大于 0",IF($K3736="","※没填去向类型",IF($L3736="","※没填去向矿区",IF(AND($C3736&lt;&gt;"",$C3736&lt;=结账锁),"※日期早于已结账截止日，不能再录",IF(AND($K3736="自用消耗",COUNTIF({"一矿区";"二矿区"},$L3736)=0),"※自用消耗的去向只能是一矿区或二矿区",IF(AND($K3736="对外销售",COUNTIF({"三矿区";"六矿区"},$L3736)=0),"※对外销售的去向只能是三矿区或六矿区",IF(AND($K3736="对外销售",ROUND($Q3736,0)=0),"※外销却没有售价，请填实际售价",IF(AND($K3736="对外销售",$T3736&lt;&gt;"",$T3736&lt;0),"※这一笔外销是亏的，请核对售价",IF(IFERROR(VLOOKUP($D3736,库存台账!$A$5:$Y$1204,24,0),0)&lt;-0.001,"※这个物料账面已经变成负数了，查一下是不是漏记入库","")))))))))))</f>
        <v/>
      </c>
    </row>
    <row r="3737">
      <c r="A3737" s="24">
        <f>IF($D3737="","",COUNTA($D$4:$D3737))</f>
        <v/>
      </c>
      <c r="B3737" s="17" t="n"/>
      <c r="C3737" s="30" t="n"/>
      <c r="D3737" s="17" t="n"/>
      <c r="E3737" s="24">
        <f>IF($D3737="","",IFERROR(VLOOKUP($D3737,物料档案!$A$4:$P$1203,3,0),"※编码不在物料档案里"))</f>
        <v/>
      </c>
      <c r="F3737" s="24">
        <f>IF($D3737="","",IFERROR(VLOOKUP($D3737,物料档案!$A$4:$P$1203,4,0),"※编码不在物料档案里"))</f>
        <v/>
      </c>
      <c r="G3737" s="24">
        <f>IF($D3737="","",IFERROR(VLOOKUP($D3737,物料档案!$A$4:$P$1203,5,0),"※编码不在物料档案里"))</f>
        <v/>
      </c>
      <c r="H3737" s="24">
        <f>IF($D3737="","",IFERROR(VLOOKUP($D3737,物料档案!$A$4:$P$1203,2,0),"※编码不在物料档案里"))</f>
        <v/>
      </c>
      <c r="I3737" s="24">
        <f>IF($D3737="","",IFERROR(VLOOKUP($D3737,物料档案!$A$4:$P$1203,6,0),"※编码不在物料档案里"))</f>
        <v/>
      </c>
      <c r="J3737" s="23" t="n"/>
      <c r="K3737" s="17" t="n"/>
      <c r="L3737" s="17" t="n"/>
      <c r="M3737" s="17" t="n"/>
      <c r="N3737" s="17" t="n"/>
      <c r="O3737" s="26">
        <f>IF($D3737="","",IFERROR(VLOOKUP($D3737,物料档案!$A$4:$P$1203,10,0),0))</f>
        <v/>
      </c>
      <c r="P3737" s="32" t="n"/>
      <c r="Q3737" s="26">
        <f>IF($D3737="","",IF($K3737&lt;&gt;"对外销售",0,ROUND(N($J3737)*IF($P3737="",N($O3737),N($P3737)),0)))</f>
        <v/>
      </c>
      <c r="R3737" s="26">
        <f>IF($D3737="","",IFERROR(VLOOKUP($D3737,库存台账!$A$5:$Y$1204,11,0),0))</f>
        <v/>
      </c>
      <c r="S3737" s="26">
        <f>IF($D3737="","",ROUND(N($J3737)*N($R3737),0))</f>
        <v/>
      </c>
      <c r="T3737" s="26">
        <f>IF($D3737="","",IF($K3737&lt;&gt;"对外销售","",ROUND($Q3737-$S3737,0)))</f>
        <v/>
      </c>
      <c r="U3737" s="17" t="n"/>
      <c r="V3737" s="17" t="n"/>
      <c r="W3737" s="24">
        <f>IF($D3737="","",IF($E3737="※编码不在物料档案里","※物料编码不在档案里",IF(N($J3737)&lt;=0,"※出库数量要大于 0",IF($K3737="","※没填去向类型",IF($L3737="","※没填去向矿区",IF(AND($C3737&lt;&gt;"",$C3737&lt;=结账锁),"※日期早于已结账截止日，不能再录",IF(AND($K3737="自用消耗",COUNTIF({"一矿区";"二矿区"},$L3737)=0),"※自用消耗的去向只能是一矿区或二矿区",IF(AND($K3737="对外销售",COUNTIF({"三矿区";"六矿区"},$L3737)=0),"※对外销售的去向只能是三矿区或六矿区",IF(AND($K3737="对外销售",ROUND($Q3737,0)=0),"※外销却没有售价，请填实际售价",IF(AND($K3737="对外销售",$T3737&lt;&gt;"",$T3737&lt;0),"※这一笔外销是亏的，请核对售价",IF(IFERROR(VLOOKUP($D3737,库存台账!$A$5:$Y$1204,24,0),0)&lt;-0.001,"※这个物料账面已经变成负数了，查一下是不是漏记入库","")))))))))))</f>
        <v/>
      </c>
    </row>
    <row r="3738">
      <c r="A3738" s="24">
        <f>IF($D3738="","",COUNTA($D$4:$D3738))</f>
        <v/>
      </c>
      <c r="B3738" s="17" t="n"/>
      <c r="C3738" s="30" t="n"/>
      <c r="D3738" s="17" t="n"/>
      <c r="E3738" s="24">
        <f>IF($D3738="","",IFERROR(VLOOKUP($D3738,物料档案!$A$4:$P$1203,3,0),"※编码不在物料档案里"))</f>
        <v/>
      </c>
      <c r="F3738" s="24">
        <f>IF($D3738="","",IFERROR(VLOOKUP($D3738,物料档案!$A$4:$P$1203,4,0),"※编码不在物料档案里"))</f>
        <v/>
      </c>
      <c r="G3738" s="24">
        <f>IF($D3738="","",IFERROR(VLOOKUP($D3738,物料档案!$A$4:$P$1203,5,0),"※编码不在物料档案里"))</f>
        <v/>
      </c>
      <c r="H3738" s="24">
        <f>IF($D3738="","",IFERROR(VLOOKUP($D3738,物料档案!$A$4:$P$1203,2,0),"※编码不在物料档案里"))</f>
        <v/>
      </c>
      <c r="I3738" s="24">
        <f>IF($D3738="","",IFERROR(VLOOKUP($D3738,物料档案!$A$4:$P$1203,6,0),"※编码不在物料档案里"))</f>
        <v/>
      </c>
      <c r="J3738" s="23" t="n"/>
      <c r="K3738" s="17" t="n"/>
      <c r="L3738" s="17" t="n"/>
      <c r="M3738" s="17" t="n"/>
      <c r="N3738" s="17" t="n"/>
      <c r="O3738" s="26">
        <f>IF($D3738="","",IFERROR(VLOOKUP($D3738,物料档案!$A$4:$P$1203,10,0),0))</f>
        <v/>
      </c>
      <c r="P3738" s="32" t="n"/>
      <c r="Q3738" s="26">
        <f>IF($D3738="","",IF($K3738&lt;&gt;"对外销售",0,ROUND(N($J3738)*IF($P3738="",N($O3738),N($P3738)),0)))</f>
        <v/>
      </c>
      <c r="R3738" s="26">
        <f>IF($D3738="","",IFERROR(VLOOKUP($D3738,库存台账!$A$5:$Y$1204,11,0),0))</f>
        <v/>
      </c>
      <c r="S3738" s="26">
        <f>IF($D3738="","",ROUND(N($J3738)*N($R3738),0))</f>
        <v/>
      </c>
      <c r="T3738" s="26">
        <f>IF($D3738="","",IF($K3738&lt;&gt;"对外销售","",ROUND($Q3738-$S3738,0)))</f>
        <v/>
      </c>
      <c r="U3738" s="17" t="n"/>
      <c r="V3738" s="17" t="n"/>
      <c r="W3738" s="24">
        <f>IF($D3738="","",IF($E3738="※编码不在物料档案里","※物料编码不在档案里",IF(N($J3738)&lt;=0,"※出库数量要大于 0",IF($K3738="","※没填去向类型",IF($L3738="","※没填去向矿区",IF(AND($C3738&lt;&gt;"",$C3738&lt;=结账锁),"※日期早于已结账截止日，不能再录",IF(AND($K3738="自用消耗",COUNTIF({"一矿区";"二矿区"},$L3738)=0),"※自用消耗的去向只能是一矿区或二矿区",IF(AND($K3738="对外销售",COUNTIF({"三矿区";"六矿区"},$L3738)=0),"※对外销售的去向只能是三矿区或六矿区",IF(AND($K3738="对外销售",ROUND($Q3738,0)=0),"※外销却没有售价，请填实际售价",IF(AND($K3738="对外销售",$T3738&lt;&gt;"",$T3738&lt;0),"※这一笔外销是亏的，请核对售价",IF(IFERROR(VLOOKUP($D3738,库存台账!$A$5:$Y$1204,24,0),0)&lt;-0.001,"※这个物料账面已经变成负数了，查一下是不是漏记入库","")))))))))))</f>
        <v/>
      </c>
    </row>
    <row r="3739">
      <c r="A3739" s="24">
        <f>IF($D3739="","",COUNTA($D$4:$D3739))</f>
        <v/>
      </c>
      <c r="B3739" s="17" t="n"/>
      <c r="C3739" s="30" t="n"/>
      <c r="D3739" s="17" t="n"/>
      <c r="E3739" s="24">
        <f>IF($D3739="","",IFERROR(VLOOKUP($D3739,物料档案!$A$4:$P$1203,3,0),"※编码不在物料档案里"))</f>
        <v/>
      </c>
      <c r="F3739" s="24">
        <f>IF($D3739="","",IFERROR(VLOOKUP($D3739,物料档案!$A$4:$P$1203,4,0),"※编码不在物料档案里"))</f>
        <v/>
      </c>
      <c r="G3739" s="24">
        <f>IF($D3739="","",IFERROR(VLOOKUP($D3739,物料档案!$A$4:$P$1203,5,0),"※编码不在物料档案里"))</f>
        <v/>
      </c>
      <c r="H3739" s="24">
        <f>IF($D3739="","",IFERROR(VLOOKUP($D3739,物料档案!$A$4:$P$1203,2,0),"※编码不在物料档案里"))</f>
        <v/>
      </c>
      <c r="I3739" s="24">
        <f>IF($D3739="","",IFERROR(VLOOKUP($D3739,物料档案!$A$4:$P$1203,6,0),"※编码不在物料档案里"))</f>
        <v/>
      </c>
      <c r="J3739" s="23" t="n"/>
      <c r="K3739" s="17" t="n"/>
      <c r="L3739" s="17" t="n"/>
      <c r="M3739" s="17" t="n"/>
      <c r="N3739" s="17" t="n"/>
      <c r="O3739" s="26">
        <f>IF($D3739="","",IFERROR(VLOOKUP($D3739,物料档案!$A$4:$P$1203,10,0),0))</f>
        <v/>
      </c>
      <c r="P3739" s="32" t="n"/>
      <c r="Q3739" s="26">
        <f>IF($D3739="","",IF($K3739&lt;&gt;"对外销售",0,ROUND(N($J3739)*IF($P3739="",N($O3739),N($P3739)),0)))</f>
        <v/>
      </c>
      <c r="R3739" s="26">
        <f>IF($D3739="","",IFERROR(VLOOKUP($D3739,库存台账!$A$5:$Y$1204,11,0),0))</f>
        <v/>
      </c>
      <c r="S3739" s="26">
        <f>IF($D3739="","",ROUND(N($J3739)*N($R3739),0))</f>
        <v/>
      </c>
      <c r="T3739" s="26">
        <f>IF($D3739="","",IF($K3739&lt;&gt;"对外销售","",ROUND($Q3739-$S3739,0)))</f>
        <v/>
      </c>
      <c r="U3739" s="17" t="n"/>
      <c r="V3739" s="17" t="n"/>
      <c r="W3739" s="24">
        <f>IF($D3739="","",IF($E3739="※编码不在物料档案里","※物料编码不在档案里",IF(N($J3739)&lt;=0,"※出库数量要大于 0",IF($K3739="","※没填去向类型",IF($L3739="","※没填去向矿区",IF(AND($C3739&lt;&gt;"",$C3739&lt;=结账锁),"※日期早于已结账截止日，不能再录",IF(AND($K3739="自用消耗",COUNTIF({"一矿区";"二矿区"},$L3739)=0),"※自用消耗的去向只能是一矿区或二矿区",IF(AND($K3739="对外销售",COUNTIF({"三矿区";"六矿区"},$L3739)=0),"※对外销售的去向只能是三矿区或六矿区",IF(AND($K3739="对外销售",ROUND($Q3739,0)=0),"※外销却没有售价，请填实际售价",IF(AND($K3739="对外销售",$T3739&lt;&gt;"",$T3739&lt;0),"※这一笔外销是亏的，请核对售价",IF(IFERROR(VLOOKUP($D3739,库存台账!$A$5:$Y$1204,24,0),0)&lt;-0.001,"※这个物料账面已经变成负数了，查一下是不是漏记入库","")))))))))))</f>
        <v/>
      </c>
    </row>
    <row r="3740">
      <c r="A3740" s="24">
        <f>IF($D3740="","",COUNTA($D$4:$D3740))</f>
        <v/>
      </c>
      <c r="B3740" s="17" t="n"/>
      <c r="C3740" s="30" t="n"/>
      <c r="D3740" s="17" t="n"/>
      <c r="E3740" s="24">
        <f>IF($D3740="","",IFERROR(VLOOKUP($D3740,物料档案!$A$4:$P$1203,3,0),"※编码不在物料档案里"))</f>
        <v/>
      </c>
      <c r="F3740" s="24">
        <f>IF($D3740="","",IFERROR(VLOOKUP($D3740,物料档案!$A$4:$P$1203,4,0),"※编码不在物料档案里"))</f>
        <v/>
      </c>
      <c r="G3740" s="24">
        <f>IF($D3740="","",IFERROR(VLOOKUP($D3740,物料档案!$A$4:$P$1203,5,0),"※编码不在物料档案里"))</f>
        <v/>
      </c>
      <c r="H3740" s="24">
        <f>IF($D3740="","",IFERROR(VLOOKUP($D3740,物料档案!$A$4:$P$1203,2,0),"※编码不在物料档案里"))</f>
        <v/>
      </c>
      <c r="I3740" s="24">
        <f>IF($D3740="","",IFERROR(VLOOKUP($D3740,物料档案!$A$4:$P$1203,6,0),"※编码不在物料档案里"))</f>
        <v/>
      </c>
      <c r="J3740" s="23" t="n"/>
      <c r="K3740" s="17" t="n"/>
      <c r="L3740" s="17" t="n"/>
      <c r="M3740" s="17" t="n"/>
      <c r="N3740" s="17" t="n"/>
      <c r="O3740" s="26">
        <f>IF($D3740="","",IFERROR(VLOOKUP($D3740,物料档案!$A$4:$P$1203,10,0),0))</f>
        <v/>
      </c>
      <c r="P3740" s="32" t="n"/>
      <c r="Q3740" s="26">
        <f>IF($D3740="","",IF($K3740&lt;&gt;"对外销售",0,ROUND(N($J3740)*IF($P3740="",N($O3740),N($P3740)),0)))</f>
        <v/>
      </c>
      <c r="R3740" s="26">
        <f>IF($D3740="","",IFERROR(VLOOKUP($D3740,库存台账!$A$5:$Y$1204,11,0),0))</f>
        <v/>
      </c>
      <c r="S3740" s="26">
        <f>IF($D3740="","",ROUND(N($J3740)*N($R3740),0))</f>
        <v/>
      </c>
      <c r="T3740" s="26">
        <f>IF($D3740="","",IF($K3740&lt;&gt;"对外销售","",ROUND($Q3740-$S3740,0)))</f>
        <v/>
      </c>
      <c r="U3740" s="17" t="n"/>
      <c r="V3740" s="17" t="n"/>
      <c r="W3740" s="24">
        <f>IF($D3740="","",IF($E3740="※编码不在物料档案里","※物料编码不在档案里",IF(N($J3740)&lt;=0,"※出库数量要大于 0",IF($K3740="","※没填去向类型",IF($L3740="","※没填去向矿区",IF(AND($C3740&lt;&gt;"",$C3740&lt;=结账锁),"※日期早于已结账截止日，不能再录",IF(AND($K3740="自用消耗",COUNTIF({"一矿区";"二矿区"},$L3740)=0),"※自用消耗的去向只能是一矿区或二矿区",IF(AND($K3740="对外销售",COUNTIF({"三矿区";"六矿区"},$L3740)=0),"※对外销售的去向只能是三矿区或六矿区",IF(AND($K3740="对外销售",ROUND($Q3740,0)=0),"※外销却没有售价，请填实际售价",IF(AND($K3740="对外销售",$T3740&lt;&gt;"",$T3740&lt;0),"※这一笔外销是亏的，请核对售价",IF(IFERROR(VLOOKUP($D3740,库存台账!$A$5:$Y$1204,24,0),0)&lt;-0.001,"※这个物料账面已经变成负数了，查一下是不是漏记入库","")))))))))))</f>
        <v/>
      </c>
    </row>
    <row r="3741">
      <c r="A3741" s="24">
        <f>IF($D3741="","",COUNTA($D$4:$D3741))</f>
        <v/>
      </c>
      <c r="B3741" s="17" t="n"/>
      <c r="C3741" s="30" t="n"/>
      <c r="D3741" s="17" t="n"/>
      <c r="E3741" s="24">
        <f>IF($D3741="","",IFERROR(VLOOKUP($D3741,物料档案!$A$4:$P$1203,3,0),"※编码不在物料档案里"))</f>
        <v/>
      </c>
      <c r="F3741" s="24">
        <f>IF($D3741="","",IFERROR(VLOOKUP($D3741,物料档案!$A$4:$P$1203,4,0),"※编码不在物料档案里"))</f>
        <v/>
      </c>
      <c r="G3741" s="24">
        <f>IF($D3741="","",IFERROR(VLOOKUP($D3741,物料档案!$A$4:$P$1203,5,0),"※编码不在物料档案里"))</f>
        <v/>
      </c>
      <c r="H3741" s="24">
        <f>IF($D3741="","",IFERROR(VLOOKUP($D3741,物料档案!$A$4:$P$1203,2,0),"※编码不在物料档案里"))</f>
        <v/>
      </c>
      <c r="I3741" s="24">
        <f>IF($D3741="","",IFERROR(VLOOKUP($D3741,物料档案!$A$4:$P$1203,6,0),"※编码不在物料档案里"))</f>
        <v/>
      </c>
      <c r="J3741" s="23" t="n"/>
      <c r="K3741" s="17" t="n"/>
      <c r="L3741" s="17" t="n"/>
      <c r="M3741" s="17" t="n"/>
      <c r="N3741" s="17" t="n"/>
      <c r="O3741" s="26">
        <f>IF($D3741="","",IFERROR(VLOOKUP($D3741,物料档案!$A$4:$P$1203,10,0),0))</f>
        <v/>
      </c>
      <c r="P3741" s="32" t="n"/>
      <c r="Q3741" s="26">
        <f>IF($D3741="","",IF($K3741&lt;&gt;"对外销售",0,ROUND(N($J3741)*IF($P3741="",N($O3741),N($P3741)),0)))</f>
        <v/>
      </c>
      <c r="R3741" s="26">
        <f>IF($D3741="","",IFERROR(VLOOKUP($D3741,库存台账!$A$5:$Y$1204,11,0),0))</f>
        <v/>
      </c>
      <c r="S3741" s="26">
        <f>IF($D3741="","",ROUND(N($J3741)*N($R3741),0))</f>
        <v/>
      </c>
      <c r="T3741" s="26">
        <f>IF($D3741="","",IF($K3741&lt;&gt;"对外销售","",ROUND($Q3741-$S3741,0)))</f>
        <v/>
      </c>
      <c r="U3741" s="17" t="n"/>
      <c r="V3741" s="17" t="n"/>
      <c r="W3741" s="24">
        <f>IF($D3741="","",IF($E3741="※编码不在物料档案里","※物料编码不在档案里",IF(N($J3741)&lt;=0,"※出库数量要大于 0",IF($K3741="","※没填去向类型",IF($L3741="","※没填去向矿区",IF(AND($C3741&lt;&gt;"",$C3741&lt;=结账锁),"※日期早于已结账截止日，不能再录",IF(AND($K3741="自用消耗",COUNTIF({"一矿区";"二矿区"},$L3741)=0),"※自用消耗的去向只能是一矿区或二矿区",IF(AND($K3741="对外销售",COUNTIF({"三矿区";"六矿区"},$L3741)=0),"※对外销售的去向只能是三矿区或六矿区",IF(AND($K3741="对外销售",ROUND($Q3741,0)=0),"※外销却没有售价，请填实际售价",IF(AND($K3741="对外销售",$T3741&lt;&gt;"",$T3741&lt;0),"※这一笔外销是亏的，请核对售价",IF(IFERROR(VLOOKUP($D3741,库存台账!$A$5:$Y$1204,24,0),0)&lt;-0.001,"※这个物料账面已经变成负数了，查一下是不是漏记入库","")))))))))))</f>
        <v/>
      </c>
    </row>
    <row r="3742">
      <c r="A3742" s="24">
        <f>IF($D3742="","",COUNTA($D$4:$D3742))</f>
        <v/>
      </c>
      <c r="B3742" s="17" t="n"/>
      <c r="C3742" s="30" t="n"/>
      <c r="D3742" s="17" t="n"/>
      <c r="E3742" s="24">
        <f>IF($D3742="","",IFERROR(VLOOKUP($D3742,物料档案!$A$4:$P$1203,3,0),"※编码不在物料档案里"))</f>
        <v/>
      </c>
      <c r="F3742" s="24">
        <f>IF($D3742="","",IFERROR(VLOOKUP($D3742,物料档案!$A$4:$P$1203,4,0),"※编码不在物料档案里"))</f>
        <v/>
      </c>
      <c r="G3742" s="24">
        <f>IF($D3742="","",IFERROR(VLOOKUP($D3742,物料档案!$A$4:$P$1203,5,0),"※编码不在物料档案里"))</f>
        <v/>
      </c>
      <c r="H3742" s="24">
        <f>IF($D3742="","",IFERROR(VLOOKUP($D3742,物料档案!$A$4:$P$1203,2,0),"※编码不在物料档案里"))</f>
        <v/>
      </c>
      <c r="I3742" s="24">
        <f>IF($D3742="","",IFERROR(VLOOKUP($D3742,物料档案!$A$4:$P$1203,6,0),"※编码不在物料档案里"))</f>
        <v/>
      </c>
      <c r="J3742" s="23" t="n"/>
      <c r="K3742" s="17" t="n"/>
      <c r="L3742" s="17" t="n"/>
      <c r="M3742" s="17" t="n"/>
      <c r="N3742" s="17" t="n"/>
      <c r="O3742" s="26">
        <f>IF($D3742="","",IFERROR(VLOOKUP($D3742,物料档案!$A$4:$P$1203,10,0),0))</f>
        <v/>
      </c>
      <c r="P3742" s="32" t="n"/>
      <c r="Q3742" s="26">
        <f>IF($D3742="","",IF($K3742&lt;&gt;"对外销售",0,ROUND(N($J3742)*IF($P3742="",N($O3742),N($P3742)),0)))</f>
        <v/>
      </c>
      <c r="R3742" s="26">
        <f>IF($D3742="","",IFERROR(VLOOKUP($D3742,库存台账!$A$5:$Y$1204,11,0),0))</f>
        <v/>
      </c>
      <c r="S3742" s="26">
        <f>IF($D3742="","",ROUND(N($J3742)*N($R3742),0))</f>
        <v/>
      </c>
      <c r="T3742" s="26">
        <f>IF($D3742="","",IF($K3742&lt;&gt;"对外销售","",ROUND($Q3742-$S3742,0)))</f>
        <v/>
      </c>
      <c r="U3742" s="17" t="n"/>
      <c r="V3742" s="17" t="n"/>
      <c r="W3742" s="24">
        <f>IF($D3742="","",IF($E3742="※编码不在物料档案里","※物料编码不在档案里",IF(N($J3742)&lt;=0,"※出库数量要大于 0",IF($K3742="","※没填去向类型",IF($L3742="","※没填去向矿区",IF(AND($C3742&lt;&gt;"",$C3742&lt;=结账锁),"※日期早于已结账截止日，不能再录",IF(AND($K3742="自用消耗",COUNTIF({"一矿区";"二矿区"},$L3742)=0),"※自用消耗的去向只能是一矿区或二矿区",IF(AND($K3742="对外销售",COUNTIF({"三矿区";"六矿区"},$L3742)=0),"※对外销售的去向只能是三矿区或六矿区",IF(AND($K3742="对外销售",ROUND($Q3742,0)=0),"※外销却没有售价，请填实际售价",IF(AND($K3742="对外销售",$T3742&lt;&gt;"",$T3742&lt;0),"※这一笔外销是亏的，请核对售价",IF(IFERROR(VLOOKUP($D3742,库存台账!$A$5:$Y$1204,24,0),0)&lt;-0.001,"※这个物料账面已经变成负数了，查一下是不是漏记入库","")))))))))))</f>
        <v/>
      </c>
    </row>
    <row r="3743">
      <c r="A3743" s="24">
        <f>IF($D3743="","",COUNTA($D$4:$D3743))</f>
        <v/>
      </c>
      <c r="B3743" s="17" t="n"/>
      <c r="C3743" s="30" t="n"/>
      <c r="D3743" s="17" t="n"/>
      <c r="E3743" s="24">
        <f>IF($D3743="","",IFERROR(VLOOKUP($D3743,物料档案!$A$4:$P$1203,3,0),"※编码不在物料档案里"))</f>
        <v/>
      </c>
      <c r="F3743" s="24">
        <f>IF($D3743="","",IFERROR(VLOOKUP($D3743,物料档案!$A$4:$P$1203,4,0),"※编码不在物料档案里"))</f>
        <v/>
      </c>
      <c r="G3743" s="24">
        <f>IF($D3743="","",IFERROR(VLOOKUP($D3743,物料档案!$A$4:$P$1203,5,0),"※编码不在物料档案里"))</f>
        <v/>
      </c>
      <c r="H3743" s="24">
        <f>IF($D3743="","",IFERROR(VLOOKUP($D3743,物料档案!$A$4:$P$1203,2,0),"※编码不在物料档案里"))</f>
        <v/>
      </c>
      <c r="I3743" s="24">
        <f>IF($D3743="","",IFERROR(VLOOKUP($D3743,物料档案!$A$4:$P$1203,6,0),"※编码不在物料档案里"))</f>
        <v/>
      </c>
      <c r="J3743" s="23" t="n"/>
      <c r="K3743" s="17" t="n"/>
      <c r="L3743" s="17" t="n"/>
      <c r="M3743" s="17" t="n"/>
      <c r="N3743" s="17" t="n"/>
      <c r="O3743" s="26">
        <f>IF($D3743="","",IFERROR(VLOOKUP($D3743,物料档案!$A$4:$P$1203,10,0),0))</f>
        <v/>
      </c>
      <c r="P3743" s="32" t="n"/>
      <c r="Q3743" s="26">
        <f>IF($D3743="","",IF($K3743&lt;&gt;"对外销售",0,ROUND(N($J3743)*IF($P3743="",N($O3743),N($P3743)),0)))</f>
        <v/>
      </c>
      <c r="R3743" s="26">
        <f>IF($D3743="","",IFERROR(VLOOKUP($D3743,库存台账!$A$5:$Y$1204,11,0),0))</f>
        <v/>
      </c>
      <c r="S3743" s="26">
        <f>IF($D3743="","",ROUND(N($J3743)*N($R3743),0))</f>
        <v/>
      </c>
      <c r="T3743" s="26">
        <f>IF($D3743="","",IF($K3743&lt;&gt;"对外销售","",ROUND($Q3743-$S3743,0)))</f>
        <v/>
      </c>
      <c r="U3743" s="17" t="n"/>
      <c r="V3743" s="17" t="n"/>
      <c r="W3743" s="24">
        <f>IF($D3743="","",IF($E3743="※编码不在物料档案里","※物料编码不在档案里",IF(N($J3743)&lt;=0,"※出库数量要大于 0",IF($K3743="","※没填去向类型",IF($L3743="","※没填去向矿区",IF(AND($C3743&lt;&gt;"",$C3743&lt;=结账锁),"※日期早于已结账截止日，不能再录",IF(AND($K3743="自用消耗",COUNTIF({"一矿区";"二矿区"},$L3743)=0),"※自用消耗的去向只能是一矿区或二矿区",IF(AND($K3743="对外销售",COUNTIF({"三矿区";"六矿区"},$L3743)=0),"※对外销售的去向只能是三矿区或六矿区",IF(AND($K3743="对外销售",ROUND($Q3743,0)=0),"※外销却没有售价，请填实际售价",IF(AND($K3743="对外销售",$T3743&lt;&gt;"",$T3743&lt;0),"※这一笔外销是亏的，请核对售价",IF(IFERROR(VLOOKUP($D3743,库存台账!$A$5:$Y$1204,24,0),0)&lt;-0.001,"※这个物料账面已经变成负数了，查一下是不是漏记入库","")))))))))))</f>
        <v/>
      </c>
    </row>
    <row r="3744">
      <c r="A3744" s="24">
        <f>IF($D3744="","",COUNTA($D$4:$D3744))</f>
        <v/>
      </c>
      <c r="B3744" s="17" t="n"/>
      <c r="C3744" s="30" t="n"/>
      <c r="D3744" s="17" t="n"/>
      <c r="E3744" s="24">
        <f>IF($D3744="","",IFERROR(VLOOKUP($D3744,物料档案!$A$4:$P$1203,3,0),"※编码不在物料档案里"))</f>
        <v/>
      </c>
      <c r="F3744" s="24">
        <f>IF($D3744="","",IFERROR(VLOOKUP($D3744,物料档案!$A$4:$P$1203,4,0),"※编码不在物料档案里"))</f>
        <v/>
      </c>
      <c r="G3744" s="24">
        <f>IF($D3744="","",IFERROR(VLOOKUP($D3744,物料档案!$A$4:$P$1203,5,0),"※编码不在物料档案里"))</f>
        <v/>
      </c>
      <c r="H3744" s="24">
        <f>IF($D3744="","",IFERROR(VLOOKUP($D3744,物料档案!$A$4:$P$1203,2,0),"※编码不在物料档案里"))</f>
        <v/>
      </c>
      <c r="I3744" s="24">
        <f>IF($D3744="","",IFERROR(VLOOKUP($D3744,物料档案!$A$4:$P$1203,6,0),"※编码不在物料档案里"))</f>
        <v/>
      </c>
      <c r="J3744" s="23" t="n"/>
      <c r="K3744" s="17" t="n"/>
      <c r="L3744" s="17" t="n"/>
      <c r="M3744" s="17" t="n"/>
      <c r="N3744" s="17" t="n"/>
      <c r="O3744" s="26">
        <f>IF($D3744="","",IFERROR(VLOOKUP($D3744,物料档案!$A$4:$P$1203,10,0),0))</f>
        <v/>
      </c>
      <c r="P3744" s="32" t="n"/>
      <c r="Q3744" s="26">
        <f>IF($D3744="","",IF($K3744&lt;&gt;"对外销售",0,ROUND(N($J3744)*IF($P3744="",N($O3744),N($P3744)),0)))</f>
        <v/>
      </c>
      <c r="R3744" s="26">
        <f>IF($D3744="","",IFERROR(VLOOKUP($D3744,库存台账!$A$5:$Y$1204,11,0),0))</f>
        <v/>
      </c>
      <c r="S3744" s="26">
        <f>IF($D3744="","",ROUND(N($J3744)*N($R3744),0))</f>
        <v/>
      </c>
      <c r="T3744" s="26">
        <f>IF($D3744="","",IF($K3744&lt;&gt;"对外销售","",ROUND($Q3744-$S3744,0)))</f>
        <v/>
      </c>
      <c r="U3744" s="17" t="n"/>
      <c r="V3744" s="17" t="n"/>
      <c r="W3744" s="24">
        <f>IF($D3744="","",IF($E3744="※编码不在物料档案里","※物料编码不在档案里",IF(N($J3744)&lt;=0,"※出库数量要大于 0",IF($K3744="","※没填去向类型",IF($L3744="","※没填去向矿区",IF(AND($C3744&lt;&gt;"",$C3744&lt;=结账锁),"※日期早于已结账截止日，不能再录",IF(AND($K3744="自用消耗",COUNTIF({"一矿区";"二矿区"},$L3744)=0),"※自用消耗的去向只能是一矿区或二矿区",IF(AND($K3744="对外销售",COUNTIF({"三矿区";"六矿区"},$L3744)=0),"※对外销售的去向只能是三矿区或六矿区",IF(AND($K3744="对外销售",ROUND($Q3744,0)=0),"※外销却没有售价，请填实际售价",IF(AND($K3744="对外销售",$T3744&lt;&gt;"",$T3744&lt;0),"※这一笔外销是亏的，请核对售价",IF(IFERROR(VLOOKUP($D3744,库存台账!$A$5:$Y$1204,24,0),0)&lt;-0.001,"※这个物料账面已经变成负数了，查一下是不是漏记入库","")))))))))))</f>
        <v/>
      </c>
    </row>
    <row r="3745">
      <c r="A3745" s="24">
        <f>IF($D3745="","",COUNTA($D$4:$D3745))</f>
        <v/>
      </c>
      <c r="B3745" s="17" t="n"/>
      <c r="C3745" s="30" t="n"/>
      <c r="D3745" s="17" t="n"/>
      <c r="E3745" s="24">
        <f>IF($D3745="","",IFERROR(VLOOKUP($D3745,物料档案!$A$4:$P$1203,3,0),"※编码不在物料档案里"))</f>
        <v/>
      </c>
      <c r="F3745" s="24">
        <f>IF($D3745="","",IFERROR(VLOOKUP($D3745,物料档案!$A$4:$P$1203,4,0),"※编码不在物料档案里"))</f>
        <v/>
      </c>
      <c r="G3745" s="24">
        <f>IF($D3745="","",IFERROR(VLOOKUP($D3745,物料档案!$A$4:$P$1203,5,0),"※编码不在物料档案里"))</f>
        <v/>
      </c>
      <c r="H3745" s="24">
        <f>IF($D3745="","",IFERROR(VLOOKUP($D3745,物料档案!$A$4:$P$1203,2,0),"※编码不在物料档案里"))</f>
        <v/>
      </c>
      <c r="I3745" s="24">
        <f>IF($D3745="","",IFERROR(VLOOKUP($D3745,物料档案!$A$4:$P$1203,6,0),"※编码不在物料档案里"))</f>
        <v/>
      </c>
      <c r="J3745" s="23" t="n"/>
      <c r="K3745" s="17" t="n"/>
      <c r="L3745" s="17" t="n"/>
      <c r="M3745" s="17" t="n"/>
      <c r="N3745" s="17" t="n"/>
      <c r="O3745" s="26">
        <f>IF($D3745="","",IFERROR(VLOOKUP($D3745,物料档案!$A$4:$P$1203,10,0),0))</f>
        <v/>
      </c>
      <c r="P3745" s="32" t="n"/>
      <c r="Q3745" s="26">
        <f>IF($D3745="","",IF($K3745&lt;&gt;"对外销售",0,ROUND(N($J3745)*IF($P3745="",N($O3745),N($P3745)),0)))</f>
        <v/>
      </c>
      <c r="R3745" s="26">
        <f>IF($D3745="","",IFERROR(VLOOKUP($D3745,库存台账!$A$5:$Y$1204,11,0),0))</f>
        <v/>
      </c>
      <c r="S3745" s="26">
        <f>IF($D3745="","",ROUND(N($J3745)*N($R3745),0))</f>
        <v/>
      </c>
      <c r="T3745" s="26">
        <f>IF($D3745="","",IF($K3745&lt;&gt;"对外销售","",ROUND($Q3745-$S3745,0)))</f>
        <v/>
      </c>
      <c r="U3745" s="17" t="n"/>
      <c r="V3745" s="17" t="n"/>
      <c r="W3745" s="24">
        <f>IF($D3745="","",IF($E3745="※编码不在物料档案里","※物料编码不在档案里",IF(N($J3745)&lt;=0,"※出库数量要大于 0",IF($K3745="","※没填去向类型",IF($L3745="","※没填去向矿区",IF(AND($C3745&lt;&gt;"",$C3745&lt;=结账锁),"※日期早于已结账截止日，不能再录",IF(AND($K3745="自用消耗",COUNTIF({"一矿区";"二矿区"},$L3745)=0),"※自用消耗的去向只能是一矿区或二矿区",IF(AND($K3745="对外销售",COUNTIF({"三矿区";"六矿区"},$L3745)=0),"※对外销售的去向只能是三矿区或六矿区",IF(AND($K3745="对外销售",ROUND($Q3745,0)=0),"※外销却没有售价，请填实际售价",IF(AND($K3745="对外销售",$T3745&lt;&gt;"",$T3745&lt;0),"※这一笔外销是亏的，请核对售价",IF(IFERROR(VLOOKUP($D3745,库存台账!$A$5:$Y$1204,24,0),0)&lt;-0.001,"※这个物料账面已经变成负数了，查一下是不是漏记入库","")))))))))))</f>
        <v/>
      </c>
    </row>
    <row r="3746">
      <c r="A3746" s="24">
        <f>IF($D3746="","",COUNTA($D$4:$D3746))</f>
        <v/>
      </c>
      <c r="B3746" s="17" t="n"/>
      <c r="C3746" s="30" t="n"/>
      <c r="D3746" s="17" t="n"/>
      <c r="E3746" s="24">
        <f>IF($D3746="","",IFERROR(VLOOKUP($D3746,物料档案!$A$4:$P$1203,3,0),"※编码不在物料档案里"))</f>
        <v/>
      </c>
      <c r="F3746" s="24">
        <f>IF($D3746="","",IFERROR(VLOOKUP($D3746,物料档案!$A$4:$P$1203,4,0),"※编码不在物料档案里"))</f>
        <v/>
      </c>
      <c r="G3746" s="24">
        <f>IF($D3746="","",IFERROR(VLOOKUP($D3746,物料档案!$A$4:$P$1203,5,0),"※编码不在物料档案里"))</f>
        <v/>
      </c>
      <c r="H3746" s="24">
        <f>IF($D3746="","",IFERROR(VLOOKUP($D3746,物料档案!$A$4:$P$1203,2,0),"※编码不在物料档案里"))</f>
        <v/>
      </c>
      <c r="I3746" s="24">
        <f>IF($D3746="","",IFERROR(VLOOKUP($D3746,物料档案!$A$4:$P$1203,6,0),"※编码不在物料档案里"))</f>
        <v/>
      </c>
      <c r="J3746" s="23" t="n"/>
      <c r="K3746" s="17" t="n"/>
      <c r="L3746" s="17" t="n"/>
      <c r="M3746" s="17" t="n"/>
      <c r="N3746" s="17" t="n"/>
      <c r="O3746" s="26">
        <f>IF($D3746="","",IFERROR(VLOOKUP($D3746,物料档案!$A$4:$P$1203,10,0),0))</f>
        <v/>
      </c>
      <c r="P3746" s="32" t="n"/>
      <c r="Q3746" s="26">
        <f>IF($D3746="","",IF($K3746&lt;&gt;"对外销售",0,ROUND(N($J3746)*IF($P3746="",N($O3746),N($P3746)),0)))</f>
        <v/>
      </c>
      <c r="R3746" s="26">
        <f>IF($D3746="","",IFERROR(VLOOKUP($D3746,库存台账!$A$5:$Y$1204,11,0),0))</f>
        <v/>
      </c>
      <c r="S3746" s="26">
        <f>IF($D3746="","",ROUND(N($J3746)*N($R3746),0))</f>
        <v/>
      </c>
      <c r="T3746" s="26">
        <f>IF($D3746="","",IF($K3746&lt;&gt;"对外销售","",ROUND($Q3746-$S3746,0)))</f>
        <v/>
      </c>
      <c r="U3746" s="17" t="n"/>
      <c r="V3746" s="17" t="n"/>
      <c r="W3746" s="24">
        <f>IF($D3746="","",IF($E3746="※编码不在物料档案里","※物料编码不在档案里",IF(N($J3746)&lt;=0,"※出库数量要大于 0",IF($K3746="","※没填去向类型",IF($L3746="","※没填去向矿区",IF(AND($C3746&lt;&gt;"",$C3746&lt;=结账锁),"※日期早于已结账截止日，不能再录",IF(AND($K3746="自用消耗",COUNTIF({"一矿区";"二矿区"},$L3746)=0),"※自用消耗的去向只能是一矿区或二矿区",IF(AND($K3746="对外销售",COUNTIF({"三矿区";"六矿区"},$L3746)=0),"※对外销售的去向只能是三矿区或六矿区",IF(AND($K3746="对外销售",ROUND($Q3746,0)=0),"※外销却没有售价，请填实际售价",IF(AND($K3746="对外销售",$T3746&lt;&gt;"",$T3746&lt;0),"※这一笔外销是亏的，请核对售价",IF(IFERROR(VLOOKUP($D3746,库存台账!$A$5:$Y$1204,24,0),0)&lt;-0.001,"※这个物料账面已经变成负数了，查一下是不是漏记入库","")))))))))))</f>
        <v/>
      </c>
    </row>
    <row r="3747">
      <c r="A3747" s="24">
        <f>IF($D3747="","",COUNTA($D$4:$D3747))</f>
        <v/>
      </c>
      <c r="B3747" s="17" t="n"/>
      <c r="C3747" s="30" t="n"/>
      <c r="D3747" s="17" t="n"/>
      <c r="E3747" s="24">
        <f>IF($D3747="","",IFERROR(VLOOKUP($D3747,物料档案!$A$4:$P$1203,3,0),"※编码不在物料档案里"))</f>
        <v/>
      </c>
      <c r="F3747" s="24">
        <f>IF($D3747="","",IFERROR(VLOOKUP($D3747,物料档案!$A$4:$P$1203,4,0),"※编码不在物料档案里"))</f>
        <v/>
      </c>
      <c r="G3747" s="24">
        <f>IF($D3747="","",IFERROR(VLOOKUP($D3747,物料档案!$A$4:$P$1203,5,0),"※编码不在物料档案里"))</f>
        <v/>
      </c>
      <c r="H3747" s="24">
        <f>IF($D3747="","",IFERROR(VLOOKUP($D3747,物料档案!$A$4:$P$1203,2,0),"※编码不在物料档案里"))</f>
        <v/>
      </c>
      <c r="I3747" s="24">
        <f>IF($D3747="","",IFERROR(VLOOKUP($D3747,物料档案!$A$4:$P$1203,6,0),"※编码不在物料档案里"))</f>
        <v/>
      </c>
      <c r="J3747" s="23" t="n"/>
      <c r="K3747" s="17" t="n"/>
      <c r="L3747" s="17" t="n"/>
      <c r="M3747" s="17" t="n"/>
      <c r="N3747" s="17" t="n"/>
      <c r="O3747" s="26">
        <f>IF($D3747="","",IFERROR(VLOOKUP($D3747,物料档案!$A$4:$P$1203,10,0),0))</f>
        <v/>
      </c>
      <c r="P3747" s="32" t="n"/>
      <c r="Q3747" s="26">
        <f>IF($D3747="","",IF($K3747&lt;&gt;"对外销售",0,ROUND(N($J3747)*IF($P3747="",N($O3747),N($P3747)),0)))</f>
        <v/>
      </c>
      <c r="R3747" s="26">
        <f>IF($D3747="","",IFERROR(VLOOKUP($D3747,库存台账!$A$5:$Y$1204,11,0),0))</f>
        <v/>
      </c>
      <c r="S3747" s="26">
        <f>IF($D3747="","",ROUND(N($J3747)*N($R3747),0))</f>
        <v/>
      </c>
      <c r="T3747" s="26">
        <f>IF($D3747="","",IF($K3747&lt;&gt;"对外销售","",ROUND($Q3747-$S3747,0)))</f>
        <v/>
      </c>
      <c r="U3747" s="17" t="n"/>
      <c r="V3747" s="17" t="n"/>
      <c r="W3747" s="24">
        <f>IF($D3747="","",IF($E3747="※编码不在物料档案里","※物料编码不在档案里",IF(N($J3747)&lt;=0,"※出库数量要大于 0",IF($K3747="","※没填去向类型",IF($L3747="","※没填去向矿区",IF(AND($C3747&lt;&gt;"",$C3747&lt;=结账锁),"※日期早于已结账截止日，不能再录",IF(AND($K3747="自用消耗",COUNTIF({"一矿区";"二矿区"},$L3747)=0),"※自用消耗的去向只能是一矿区或二矿区",IF(AND($K3747="对外销售",COUNTIF({"三矿区";"六矿区"},$L3747)=0),"※对外销售的去向只能是三矿区或六矿区",IF(AND($K3747="对外销售",ROUND($Q3747,0)=0),"※外销却没有售价，请填实际售价",IF(AND($K3747="对外销售",$T3747&lt;&gt;"",$T3747&lt;0),"※这一笔外销是亏的，请核对售价",IF(IFERROR(VLOOKUP($D3747,库存台账!$A$5:$Y$1204,24,0),0)&lt;-0.001,"※这个物料账面已经变成负数了，查一下是不是漏记入库","")))))))))))</f>
        <v/>
      </c>
    </row>
    <row r="3748">
      <c r="A3748" s="24">
        <f>IF($D3748="","",COUNTA($D$4:$D3748))</f>
        <v/>
      </c>
      <c r="B3748" s="17" t="n"/>
      <c r="C3748" s="30" t="n"/>
      <c r="D3748" s="17" t="n"/>
      <c r="E3748" s="24">
        <f>IF($D3748="","",IFERROR(VLOOKUP($D3748,物料档案!$A$4:$P$1203,3,0),"※编码不在物料档案里"))</f>
        <v/>
      </c>
      <c r="F3748" s="24">
        <f>IF($D3748="","",IFERROR(VLOOKUP($D3748,物料档案!$A$4:$P$1203,4,0),"※编码不在物料档案里"))</f>
        <v/>
      </c>
      <c r="G3748" s="24">
        <f>IF($D3748="","",IFERROR(VLOOKUP($D3748,物料档案!$A$4:$P$1203,5,0),"※编码不在物料档案里"))</f>
        <v/>
      </c>
      <c r="H3748" s="24">
        <f>IF($D3748="","",IFERROR(VLOOKUP($D3748,物料档案!$A$4:$P$1203,2,0),"※编码不在物料档案里"))</f>
        <v/>
      </c>
      <c r="I3748" s="24">
        <f>IF($D3748="","",IFERROR(VLOOKUP($D3748,物料档案!$A$4:$P$1203,6,0),"※编码不在物料档案里"))</f>
        <v/>
      </c>
      <c r="J3748" s="23" t="n"/>
      <c r="K3748" s="17" t="n"/>
      <c r="L3748" s="17" t="n"/>
      <c r="M3748" s="17" t="n"/>
      <c r="N3748" s="17" t="n"/>
      <c r="O3748" s="26">
        <f>IF($D3748="","",IFERROR(VLOOKUP($D3748,物料档案!$A$4:$P$1203,10,0),0))</f>
        <v/>
      </c>
      <c r="P3748" s="32" t="n"/>
      <c r="Q3748" s="26">
        <f>IF($D3748="","",IF($K3748&lt;&gt;"对外销售",0,ROUND(N($J3748)*IF($P3748="",N($O3748),N($P3748)),0)))</f>
        <v/>
      </c>
      <c r="R3748" s="26">
        <f>IF($D3748="","",IFERROR(VLOOKUP($D3748,库存台账!$A$5:$Y$1204,11,0),0))</f>
        <v/>
      </c>
      <c r="S3748" s="26">
        <f>IF($D3748="","",ROUND(N($J3748)*N($R3748),0))</f>
        <v/>
      </c>
      <c r="T3748" s="26">
        <f>IF($D3748="","",IF($K3748&lt;&gt;"对外销售","",ROUND($Q3748-$S3748,0)))</f>
        <v/>
      </c>
      <c r="U3748" s="17" t="n"/>
      <c r="V3748" s="17" t="n"/>
      <c r="W3748" s="24">
        <f>IF($D3748="","",IF($E3748="※编码不在物料档案里","※物料编码不在档案里",IF(N($J3748)&lt;=0,"※出库数量要大于 0",IF($K3748="","※没填去向类型",IF($L3748="","※没填去向矿区",IF(AND($C3748&lt;&gt;"",$C3748&lt;=结账锁),"※日期早于已结账截止日，不能再录",IF(AND($K3748="自用消耗",COUNTIF({"一矿区";"二矿区"},$L3748)=0),"※自用消耗的去向只能是一矿区或二矿区",IF(AND($K3748="对外销售",COUNTIF({"三矿区";"六矿区"},$L3748)=0),"※对外销售的去向只能是三矿区或六矿区",IF(AND($K3748="对外销售",ROUND($Q3748,0)=0),"※外销却没有售价，请填实际售价",IF(AND($K3748="对外销售",$T3748&lt;&gt;"",$T3748&lt;0),"※这一笔外销是亏的，请核对售价",IF(IFERROR(VLOOKUP($D3748,库存台账!$A$5:$Y$1204,24,0),0)&lt;-0.001,"※这个物料账面已经变成负数了，查一下是不是漏记入库","")))))))))))</f>
        <v/>
      </c>
    </row>
    <row r="3749">
      <c r="A3749" s="24">
        <f>IF($D3749="","",COUNTA($D$4:$D3749))</f>
        <v/>
      </c>
      <c r="B3749" s="17" t="n"/>
      <c r="C3749" s="30" t="n"/>
      <c r="D3749" s="17" t="n"/>
      <c r="E3749" s="24">
        <f>IF($D3749="","",IFERROR(VLOOKUP($D3749,物料档案!$A$4:$P$1203,3,0),"※编码不在物料档案里"))</f>
        <v/>
      </c>
      <c r="F3749" s="24">
        <f>IF($D3749="","",IFERROR(VLOOKUP($D3749,物料档案!$A$4:$P$1203,4,0),"※编码不在物料档案里"))</f>
        <v/>
      </c>
      <c r="G3749" s="24">
        <f>IF($D3749="","",IFERROR(VLOOKUP($D3749,物料档案!$A$4:$P$1203,5,0),"※编码不在物料档案里"))</f>
        <v/>
      </c>
      <c r="H3749" s="24">
        <f>IF($D3749="","",IFERROR(VLOOKUP($D3749,物料档案!$A$4:$P$1203,2,0),"※编码不在物料档案里"))</f>
        <v/>
      </c>
      <c r="I3749" s="24">
        <f>IF($D3749="","",IFERROR(VLOOKUP($D3749,物料档案!$A$4:$P$1203,6,0),"※编码不在物料档案里"))</f>
        <v/>
      </c>
      <c r="J3749" s="23" t="n"/>
      <c r="K3749" s="17" t="n"/>
      <c r="L3749" s="17" t="n"/>
      <c r="M3749" s="17" t="n"/>
      <c r="N3749" s="17" t="n"/>
      <c r="O3749" s="26">
        <f>IF($D3749="","",IFERROR(VLOOKUP($D3749,物料档案!$A$4:$P$1203,10,0),0))</f>
        <v/>
      </c>
      <c r="P3749" s="32" t="n"/>
      <c r="Q3749" s="26">
        <f>IF($D3749="","",IF($K3749&lt;&gt;"对外销售",0,ROUND(N($J3749)*IF($P3749="",N($O3749),N($P3749)),0)))</f>
        <v/>
      </c>
      <c r="R3749" s="26">
        <f>IF($D3749="","",IFERROR(VLOOKUP($D3749,库存台账!$A$5:$Y$1204,11,0),0))</f>
        <v/>
      </c>
      <c r="S3749" s="26">
        <f>IF($D3749="","",ROUND(N($J3749)*N($R3749),0))</f>
        <v/>
      </c>
      <c r="T3749" s="26">
        <f>IF($D3749="","",IF($K3749&lt;&gt;"对外销售","",ROUND($Q3749-$S3749,0)))</f>
        <v/>
      </c>
      <c r="U3749" s="17" t="n"/>
      <c r="V3749" s="17" t="n"/>
      <c r="W3749" s="24">
        <f>IF($D3749="","",IF($E3749="※编码不在物料档案里","※物料编码不在档案里",IF(N($J3749)&lt;=0,"※出库数量要大于 0",IF($K3749="","※没填去向类型",IF($L3749="","※没填去向矿区",IF(AND($C3749&lt;&gt;"",$C3749&lt;=结账锁),"※日期早于已结账截止日，不能再录",IF(AND($K3749="自用消耗",COUNTIF({"一矿区";"二矿区"},$L3749)=0),"※自用消耗的去向只能是一矿区或二矿区",IF(AND($K3749="对外销售",COUNTIF({"三矿区";"六矿区"},$L3749)=0),"※对外销售的去向只能是三矿区或六矿区",IF(AND($K3749="对外销售",ROUND($Q3749,0)=0),"※外销却没有售价，请填实际售价",IF(AND($K3749="对外销售",$T3749&lt;&gt;"",$T3749&lt;0),"※这一笔外销是亏的，请核对售价",IF(IFERROR(VLOOKUP($D3749,库存台账!$A$5:$Y$1204,24,0),0)&lt;-0.001,"※这个物料账面已经变成负数了，查一下是不是漏记入库","")))))))))))</f>
        <v/>
      </c>
    </row>
    <row r="3750">
      <c r="A3750" s="24">
        <f>IF($D3750="","",COUNTA($D$4:$D3750))</f>
        <v/>
      </c>
      <c r="B3750" s="17" t="n"/>
      <c r="C3750" s="30" t="n"/>
      <c r="D3750" s="17" t="n"/>
      <c r="E3750" s="24">
        <f>IF($D3750="","",IFERROR(VLOOKUP($D3750,物料档案!$A$4:$P$1203,3,0),"※编码不在物料档案里"))</f>
        <v/>
      </c>
      <c r="F3750" s="24">
        <f>IF($D3750="","",IFERROR(VLOOKUP($D3750,物料档案!$A$4:$P$1203,4,0),"※编码不在物料档案里"))</f>
        <v/>
      </c>
      <c r="G3750" s="24">
        <f>IF($D3750="","",IFERROR(VLOOKUP($D3750,物料档案!$A$4:$P$1203,5,0),"※编码不在物料档案里"))</f>
        <v/>
      </c>
      <c r="H3750" s="24">
        <f>IF($D3750="","",IFERROR(VLOOKUP($D3750,物料档案!$A$4:$P$1203,2,0),"※编码不在物料档案里"))</f>
        <v/>
      </c>
      <c r="I3750" s="24">
        <f>IF($D3750="","",IFERROR(VLOOKUP($D3750,物料档案!$A$4:$P$1203,6,0),"※编码不在物料档案里"))</f>
        <v/>
      </c>
      <c r="J3750" s="23" t="n"/>
      <c r="K3750" s="17" t="n"/>
      <c r="L3750" s="17" t="n"/>
      <c r="M3750" s="17" t="n"/>
      <c r="N3750" s="17" t="n"/>
      <c r="O3750" s="26">
        <f>IF($D3750="","",IFERROR(VLOOKUP($D3750,物料档案!$A$4:$P$1203,10,0),0))</f>
        <v/>
      </c>
      <c r="P3750" s="32" t="n"/>
      <c r="Q3750" s="26">
        <f>IF($D3750="","",IF($K3750&lt;&gt;"对外销售",0,ROUND(N($J3750)*IF($P3750="",N($O3750),N($P3750)),0)))</f>
        <v/>
      </c>
      <c r="R3750" s="26">
        <f>IF($D3750="","",IFERROR(VLOOKUP($D3750,库存台账!$A$5:$Y$1204,11,0),0))</f>
        <v/>
      </c>
      <c r="S3750" s="26">
        <f>IF($D3750="","",ROUND(N($J3750)*N($R3750),0))</f>
        <v/>
      </c>
      <c r="T3750" s="26">
        <f>IF($D3750="","",IF($K3750&lt;&gt;"对外销售","",ROUND($Q3750-$S3750,0)))</f>
        <v/>
      </c>
      <c r="U3750" s="17" t="n"/>
      <c r="V3750" s="17" t="n"/>
      <c r="W3750" s="24">
        <f>IF($D3750="","",IF($E3750="※编码不在物料档案里","※物料编码不在档案里",IF(N($J3750)&lt;=0,"※出库数量要大于 0",IF($K3750="","※没填去向类型",IF($L3750="","※没填去向矿区",IF(AND($C3750&lt;&gt;"",$C3750&lt;=结账锁),"※日期早于已结账截止日，不能再录",IF(AND($K3750="自用消耗",COUNTIF({"一矿区";"二矿区"},$L3750)=0),"※自用消耗的去向只能是一矿区或二矿区",IF(AND($K3750="对外销售",COUNTIF({"三矿区";"六矿区"},$L3750)=0),"※对外销售的去向只能是三矿区或六矿区",IF(AND($K3750="对外销售",ROUND($Q3750,0)=0),"※外销却没有售价，请填实际售价",IF(AND($K3750="对外销售",$T3750&lt;&gt;"",$T3750&lt;0),"※这一笔外销是亏的，请核对售价",IF(IFERROR(VLOOKUP($D3750,库存台账!$A$5:$Y$1204,24,0),0)&lt;-0.001,"※这个物料账面已经变成负数了，查一下是不是漏记入库","")))))))))))</f>
        <v/>
      </c>
    </row>
    <row r="3751">
      <c r="A3751" s="24">
        <f>IF($D3751="","",COUNTA($D$4:$D3751))</f>
        <v/>
      </c>
      <c r="B3751" s="17" t="n"/>
      <c r="C3751" s="30" t="n"/>
      <c r="D3751" s="17" t="n"/>
      <c r="E3751" s="24">
        <f>IF($D3751="","",IFERROR(VLOOKUP($D3751,物料档案!$A$4:$P$1203,3,0),"※编码不在物料档案里"))</f>
        <v/>
      </c>
      <c r="F3751" s="24">
        <f>IF($D3751="","",IFERROR(VLOOKUP($D3751,物料档案!$A$4:$P$1203,4,0),"※编码不在物料档案里"))</f>
        <v/>
      </c>
      <c r="G3751" s="24">
        <f>IF($D3751="","",IFERROR(VLOOKUP($D3751,物料档案!$A$4:$P$1203,5,0),"※编码不在物料档案里"))</f>
        <v/>
      </c>
      <c r="H3751" s="24">
        <f>IF($D3751="","",IFERROR(VLOOKUP($D3751,物料档案!$A$4:$P$1203,2,0),"※编码不在物料档案里"))</f>
        <v/>
      </c>
      <c r="I3751" s="24">
        <f>IF($D3751="","",IFERROR(VLOOKUP($D3751,物料档案!$A$4:$P$1203,6,0),"※编码不在物料档案里"))</f>
        <v/>
      </c>
      <c r="J3751" s="23" t="n"/>
      <c r="K3751" s="17" t="n"/>
      <c r="L3751" s="17" t="n"/>
      <c r="M3751" s="17" t="n"/>
      <c r="N3751" s="17" t="n"/>
      <c r="O3751" s="26">
        <f>IF($D3751="","",IFERROR(VLOOKUP($D3751,物料档案!$A$4:$P$1203,10,0),0))</f>
        <v/>
      </c>
      <c r="P3751" s="32" t="n"/>
      <c r="Q3751" s="26">
        <f>IF($D3751="","",IF($K3751&lt;&gt;"对外销售",0,ROUND(N($J3751)*IF($P3751="",N($O3751),N($P3751)),0)))</f>
        <v/>
      </c>
      <c r="R3751" s="26">
        <f>IF($D3751="","",IFERROR(VLOOKUP($D3751,库存台账!$A$5:$Y$1204,11,0),0))</f>
        <v/>
      </c>
      <c r="S3751" s="26">
        <f>IF($D3751="","",ROUND(N($J3751)*N($R3751),0))</f>
        <v/>
      </c>
      <c r="T3751" s="26">
        <f>IF($D3751="","",IF($K3751&lt;&gt;"对外销售","",ROUND($Q3751-$S3751,0)))</f>
        <v/>
      </c>
      <c r="U3751" s="17" t="n"/>
      <c r="V3751" s="17" t="n"/>
      <c r="W3751" s="24">
        <f>IF($D3751="","",IF($E3751="※编码不在物料档案里","※物料编码不在档案里",IF(N($J3751)&lt;=0,"※出库数量要大于 0",IF($K3751="","※没填去向类型",IF($L3751="","※没填去向矿区",IF(AND($C3751&lt;&gt;"",$C3751&lt;=结账锁),"※日期早于已结账截止日，不能再录",IF(AND($K3751="自用消耗",COUNTIF({"一矿区";"二矿区"},$L3751)=0),"※自用消耗的去向只能是一矿区或二矿区",IF(AND($K3751="对外销售",COUNTIF({"三矿区";"六矿区"},$L3751)=0),"※对外销售的去向只能是三矿区或六矿区",IF(AND($K3751="对外销售",ROUND($Q3751,0)=0),"※外销却没有售价，请填实际售价",IF(AND($K3751="对外销售",$T3751&lt;&gt;"",$T3751&lt;0),"※这一笔外销是亏的，请核对售价",IF(IFERROR(VLOOKUP($D3751,库存台账!$A$5:$Y$1204,24,0),0)&lt;-0.001,"※这个物料账面已经变成负数了，查一下是不是漏记入库","")))))))))))</f>
        <v/>
      </c>
    </row>
    <row r="3752">
      <c r="A3752" s="24">
        <f>IF($D3752="","",COUNTA($D$4:$D3752))</f>
        <v/>
      </c>
      <c r="B3752" s="17" t="n"/>
      <c r="C3752" s="30" t="n"/>
      <c r="D3752" s="17" t="n"/>
      <c r="E3752" s="24">
        <f>IF($D3752="","",IFERROR(VLOOKUP($D3752,物料档案!$A$4:$P$1203,3,0),"※编码不在物料档案里"))</f>
        <v/>
      </c>
      <c r="F3752" s="24">
        <f>IF($D3752="","",IFERROR(VLOOKUP($D3752,物料档案!$A$4:$P$1203,4,0),"※编码不在物料档案里"))</f>
        <v/>
      </c>
      <c r="G3752" s="24">
        <f>IF($D3752="","",IFERROR(VLOOKUP($D3752,物料档案!$A$4:$P$1203,5,0),"※编码不在物料档案里"))</f>
        <v/>
      </c>
      <c r="H3752" s="24">
        <f>IF($D3752="","",IFERROR(VLOOKUP($D3752,物料档案!$A$4:$P$1203,2,0),"※编码不在物料档案里"))</f>
        <v/>
      </c>
      <c r="I3752" s="24">
        <f>IF($D3752="","",IFERROR(VLOOKUP($D3752,物料档案!$A$4:$P$1203,6,0),"※编码不在物料档案里"))</f>
        <v/>
      </c>
      <c r="J3752" s="23" t="n"/>
      <c r="K3752" s="17" t="n"/>
      <c r="L3752" s="17" t="n"/>
      <c r="M3752" s="17" t="n"/>
      <c r="N3752" s="17" t="n"/>
      <c r="O3752" s="26">
        <f>IF($D3752="","",IFERROR(VLOOKUP($D3752,物料档案!$A$4:$P$1203,10,0),0))</f>
        <v/>
      </c>
      <c r="P3752" s="32" t="n"/>
      <c r="Q3752" s="26">
        <f>IF($D3752="","",IF($K3752&lt;&gt;"对外销售",0,ROUND(N($J3752)*IF($P3752="",N($O3752),N($P3752)),0)))</f>
        <v/>
      </c>
      <c r="R3752" s="26">
        <f>IF($D3752="","",IFERROR(VLOOKUP($D3752,库存台账!$A$5:$Y$1204,11,0),0))</f>
        <v/>
      </c>
      <c r="S3752" s="26">
        <f>IF($D3752="","",ROUND(N($J3752)*N($R3752),0))</f>
        <v/>
      </c>
      <c r="T3752" s="26">
        <f>IF($D3752="","",IF($K3752&lt;&gt;"对外销售","",ROUND($Q3752-$S3752,0)))</f>
        <v/>
      </c>
      <c r="U3752" s="17" t="n"/>
      <c r="V3752" s="17" t="n"/>
      <c r="W3752" s="24">
        <f>IF($D3752="","",IF($E3752="※编码不在物料档案里","※物料编码不在档案里",IF(N($J3752)&lt;=0,"※出库数量要大于 0",IF($K3752="","※没填去向类型",IF($L3752="","※没填去向矿区",IF(AND($C3752&lt;&gt;"",$C3752&lt;=结账锁),"※日期早于已结账截止日，不能再录",IF(AND($K3752="自用消耗",COUNTIF({"一矿区";"二矿区"},$L3752)=0),"※自用消耗的去向只能是一矿区或二矿区",IF(AND($K3752="对外销售",COUNTIF({"三矿区";"六矿区"},$L3752)=0),"※对外销售的去向只能是三矿区或六矿区",IF(AND($K3752="对外销售",ROUND($Q3752,0)=0),"※外销却没有售价，请填实际售价",IF(AND($K3752="对外销售",$T3752&lt;&gt;"",$T3752&lt;0),"※这一笔外销是亏的，请核对售价",IF(IFERROR(VLOOKUP($D3752,库存台账!$A$5:$Y$1204,24,0),0)&lt;-0.001,"※这个物料账面已经变成负数了，查一下是不是漏记入库","")))))))))))</f>
        <v/>
      </c>
    </row>
    <row r="3753">
      <c r="A3753" s="24">
        <f>IF($D3753="","",COUNTA($D$4:$D3753))</f>
        <v/>
      </c>
      <c r="B3753" s="17" t="n"/>
      <c r="C3753" s="30" t="n"/>
      <c r="D3753" s="17" t="n"/>
      <c r="E3753" s="24">
        <f>IF($D3753="","",IFERROR(VLOOKUP($D3753,物料档案!$A$4:$P$1203,3,0),"※编码不在物料档案里"))</f>
        <v/>
      </c>
      <c r="F3753" s="24">
        <f>IF($D3753="","",IFERROR(VLOOKUP($D3753,物料档案!$A$4:$P$1203,4,0),"※编码不在物料档案里"))</f>
        <v/>
      </c>
      <c r="G3753" s="24">
        <f>IF($D3753="","",IFERROR(VLOOKUP($D3753,物料档案!$A$4:$P$1203,5,0),"※编码不在物料档案里"))</f>
        <v/>
      </c>
      <c r="H3753" s="24">
        <f>IF($D3753="","",IFERROR(VLOOKUP($D3753,物料档案!$A$4:$P$1203,2,0),"※编码不在物料档案里"))</f>
        <v/>
      </c>
      <c r="I3753" s="24">
        <f>IF($D3753="","",IFERROR(VLOOKUP($D3753,物料档案!$A$4:$P$1203,6,0),"※编码不在物料档案里"))</f>
        <v/>
      </c>
      <c r="J3753" s="23" t="n"/>
      <c r="K3753" s="17" t="n"/>
      <c r="L3753" s="17" t="n"/>
      <c r="M3753" s="17" t="n"/>
      <c r="N3753" s="17" t="n"/>
      <c r="O3753" s="26">
        <f>IF($D3753="","",IFERROR(VLOOKUP($D3753,物料档案!$A$4:$P$1203,10,0),0))</f>
        <v/>
      </c>
      <c r="P3753" s="32" t="n"/>
      <c r="Q3753" s="26">
        <f>IF($D3753="","",IF($K3753&lt;&gt;"对外销售",0,ROUND(N($J3753)*IF($P3753="",N($O3753),N($P3753)),0)))</f>
        <v/>
      </c>
      <c r="R3753" s="26">
        <f>IF($D3753="","",IFERROR(VLOOKUP($D3753,库存台账!$A$5:$Y$1204,11,0),0))</f>
        <v/>
      </c>
      <c r="S3753" s="26">
        <f>IF($D3753="","",ROUND(N($J3753)*N($R3753),0))</f>
        <v/>
      </c>
      <c r="T3753" s="26">
        <f>IF($D3753="","",IF($K3753&lt;&gt;"对外销售","",ROUND($Q3753-$S3753,0)))</f>
        <v/>
      </c>
      <c r="U3753" s="17" t="n"/>
      <c r="V3753" s="17" t="n"/>
      <c r="W3753" s="24">
        <f>IF($D3753="","",IF($E3753="※编码不在物料档案里","※物料编码不在档案里",IF(N($J3753)&lt;=0,"※出库数量要大于 0",IF($K3753="","※没填去向类型",IF($L3753="","※没填去向矿区",IF(AND($C3753&lt;&gt;"",$C3753&lt;=结账锁),"※日期早于已结账截止日，不能再录",IF(AND($K3753="自用消耗",COUNTIF({"一矿区";"二矿区"},$L3753)=0),"※自用消耗的去向只能是一矿区或二矿区",IF(AND($K3753="对外销售",COUNTIF({"三矿区";"六矿区"},$L3753)=0),"※对外销售的去向只能是三矿区或六矿区",IF(AND($K3753="对外销售",ROUND($Q3753,0)=0),"※外销却没有售价，请填实际售价",IF(AND($K3753="对外销售",$T3753&lt;&gt;"",$T3753&lt;0),"※这一笔外销是亏的，请核对售价",IF(IFERROR(VLOOKUP($D3753,库存台账!$A$5:$Y$1204,24,0),0)&lt;-0.001,"※这个物料账面已经变成负数了，查一下是不是漏记入库","")))))))))))</f>
        <v/>
      </c>
    </row>
    <row r="3754">
      <c r="A3754" s="24">
        <f>IF($D3754="","",COUNTA($D$4:$D3754))</f>
        <v/>
      </c>
      <c r="B3754" s="17" t="n"/>
      <c r="C3754" s="30" t="n"/>
      <c r="D3754" s="17" t="n"/>
      <c r="E3754" s="24">
        <f>IF($D3754="","",IFERROR(VLOOKUP($D3754,物料档案!$A$4:$P$1203,3,0),"※编码不在物料档案里"))</f>
        <v/>
      </c>
      <c r="F3754" s="24">
        <f>IF($D3754="","",IFERROR(VLOOKUP($D3754,物料档案!$A$4:$P$1203,4,0),"※编码不在物料档案里"))</f>
        <v/>
      </c>
      <c r="G3754" s="24">
        <f>IF($D3754="","",IFERROR(VLOOKUP($D3754,物料档案!$A$4:$P$1203,5,0),"※编码不在物料档案里"))</f>
        <v/>
      </c>
      <c r="H3754" s="24">
        <f>IF($D3754="","",IFERROR(VLOOKUP($D3754,物料档案!$A$4:$P$1203,2,0),"※编码不在物料档案里"))</f>
        <v/>
      </c>
      <c r="I3754" s="24">
        <f>IF($D3754="","",IFERROR(VLOOKUP($D3754,物料档案!$A$4:$P$1203,6,0),"※编码不在物料档案里"))</f>
        <v/>
      </c>
      <c r="J3754" s="23" t="n"/>
      <c r="K3754" s="17" t="n"/>
      <c r="L3754" s="17" t="n"/>
      <c r="M3754" s="17" t="n"/>
      <c r="N3754" s="17" t="n"/>
      <c r="O3754" s="26">
        <f>IF($D3754="","",IFERROR(VLOOKUP($D3754,物料档案!$A$4:$P$1203,10,0),0))</f>
        <v/>
      </c>
      <c r="P3754" s="32" t="n"/>
      <c r="Q3754" s="26">
        <f>IF($D3754="","",IF($K3754&lt;&gt;"对外销售",0,ROUND(N($J3754)*IF($P3754="",N($O3754),N($P3754)),0)))</f>
        <v/>
      </c>
      <c r="R3754" s="26">
        <f>IF($D3754="","",IFERROR(VLOOKUP($D3754,库存台账!$A$5:$Y$1204,11,0),0))</f>
        <v/>
      </c>
      <c r="S3754" s="26">
        <f>IF($D3754="","",ROUND(N($J3754)*N($R3754),0))</f>
        <v/>
      </c>
      <c r="T3754" s="26">
        <f>IF($D3754="","",IF($K3754&lt;&gt;"对外销售","",ROUND($Q3754-$S3754,0)))</f>
        <v/>
      </c>
      <c r="U3754" s="17" t="n"/>
      <c r="V3754" s="17" t="n"/>
      <c r="W3754" s="24">
        <f>IF($D3754="","",IF($E3754="※编码不在物料档案里","※物料编码不在档案里",IF(N($J3754)&lt;=0,"※出库数量要大于 0",IF($K3754="","※没填去向类型",IF($L3754="","※没填去向矿区",IF(AND($C3754&lt;&gt;"",$C3754&lt;=结账锁),"※日期早于已结账截止日，不能再录",IF(AND($K3754="自用消耗",COUNTIF({"一矿区";"二矿区"},$L3754)=0),"※自用消耗的去向只能是一矿区或二矿区",IF(AND($K3754="对外销售",COUNTIF({"三矿区";"六矿区"},$L3754)=0),"※对外销售的去向只能是三矿区或六矿区",IF(AND($K3754="对外销售",ROUND($Q3754,0)=0),"※外销却没有售价，请填实际售价",IF(AND($K3754="对外销售",$T3754&lt;&gt;"",$T3754&lt;0),"※这一笔外销是亏的，请核对售价",IF(IFERROR(VLOOKUP($D3754,库存台账!$A$5:$Y$1204,24,0),0)&lt;-0.001,"※这个物料账面已经变成负数了，查一下是不是漏记入库","")))))))))))</f>
        <v/>
      </c>
    </row>
    <row r="3755">
      <c r="A3755" s="24">
        <f>IF($D3755="","",COUNTA($D$4:$D3755))</f>
        <v/>
      </c>
      <c r="B3755" s="17" t="n"/>
      <c r="C3755" s="30" t="n"/>
      <c r="D3755" s="17" t="n"/>
      <c r="E3755" s="24">
        <f>IF($D3755="","",IFERROR(VLOOKUP($D3755,物料档案!$A$4:$P$1203,3,0),"※编码不在物料档案里"))</f>
        <v/>
      </c>
      <c r="F3755" s="24">
        <f>IF($D3755="","",IFERROR(VLOOKUP($D3755,物料档案!$A$4:$P$1203,4,0),"※编码不在物料档案里"))</f>
        <v/>
      </c>
      <c r="G3755" s="24">
        <f>IF($D3755="","",IFERROR(VLOOKUP($D3755,物料档案!$A$4:$P$1203,5,0),"※编码不在物料档案里"))</f>
        <v/>
      </c>
      <c r="H3755" s="24">
        <f>IF($D3755="","",IFERROR(VLOOKUP($D3755,物料档案!$A$4:$P$1203,2,0),"※编码不在物料档案里"))</f>
        <v/>
      </c>
      <c r="I3755" s="24">
        <f>IF($D3755="","",IFERROR(VLOOKUP($D3755,物料档案!$A$4:$P$1203,6,0),"※编码不在物料档案里"))</f>
        <v/>
      </c>
      <c r="J3755" s="23" t="n"/>
      <c r="K3755" s="17" t="n"/>
      <c r="L3755" s="17" t="n"/>
      <c r="M3755" s="17" t="n"/>
      <c r="N3755" s="17" t="n"/>
      <c r="O3755" s="26">
        <f>IF($D3755="","",IFERROR(VLOOKUP($D3755,物料档案!$A$4:$P$1203,10,0),0))</f>
        <v/>
      </c>
      <c r="P3755" s="32" t="n"/>
      <c r="Q3755" s="26">
        <f>IF($D3755="","",IF($K3755&lt;&gt;"对外销售",0,ROUND(N($J3755)*IF($P3755="",N($O3755),N($P3755)),0)))</f>
        <v/>
      </c>
      <c r="R3755" s="26">
        <f>IF($D3755="","",IFERROR(VLOOKUP($D3755,库存台账!$A$5:$Y$1204,11,0),0))</f>
        <v/>
      </c>
      <c r="S3755" s="26">
        <f>IF($D3755="","",ROUND(N($J3755)*N($R3755),0))</f>
        <v/>
      </c>
      <c r="T3755" s="26">
        <f>IF($D3755="","",IF($K3755&lt;&gt;"对外销售","",ROUND($Q3755-$S3755,0)))</f>
        <v/>
      </c>
      <c r="U3755" s="17" t="n"/>
      <c r="V3755" s="17" t="n"/>
      <c r="W3755" s="24">
        <f>IF($D3755="","",IF($E3755="※编码不在物料档案里","※物料编码不在档案里",IF(N($J3755)&lt;=0,"※出库数量要大于 0",IF($K3755="","※没填去向类型",IF($L3755="","※没填去向矿区",IF(AND($C3755&lt;&gt;"",$C3755&lt;=结账锁),"※日期早于已结账截止日，不能再录",IF(AND($K3755="自用消耗",COUNTIF({"一矿区";"二矿区"},$L3755)=0),"※自用消耗的去向只能是一矿区或二矿区",IF(AND($K3755="对外销售",COUNTIF({"三矿区";"六矿区"},$L3755)=0),"※对外销售的去向只能是三矿区或六矿区",IF(AND($K3755="对外销售",ROUND($Q3755,0)=0),"※外销却没有售价，请填实际售价",IF(AND($K3755="对外销售",$T3755&lt;&gt;"",$T3755&lt;0),"※这一笔外销是亏的，请核对售价",IF(IFERROR(VLOOKUP($D3755,库存台账!$A$5:$Y$1204,24,0),0)&lt;-0.001,"※这个物料账面已经变成负数了，查一下是不是漏记入库","")))))))))))</f>
        <v/>
      </c>
    </row>
    <row r="3756">
      <c r="A3756" s="24">
        <f>IF($D3756="","",COUNTA($D$4:$D3756))</f>
        <v/>
      </c>
      <c r="B3756" s="17" t="n"/>
      <c r="C3756" s="30" t="n"/>
      <c r="D3756" s="17" t="n"/>
      <c r="E3756" s="24">
        <f>IF($D3756="","",IFERROR(VLOOKUP($D3756,物料档案!$A$4:$P$1203,3,0),"※编码不在物料档案里"))</f>
        <v/>
      </c>
      <c r="F3756" s="24">
        <f>IF($D3756="","",IFERROR(VLOOKUP($D3756,物料档案!$A$4:$P$1203,4,0),"※编码不在物料档案里"))</f>
        <v/>
      </c>
      <c r="G3756" s="24">
        <f>IF($D3756="","",IFERROR(VLOOKUP($D3756,物料档案!$A$4:$P$1203,5,0),"※编码不在物料档案里"))</f>
        <v/>
      </c>
      <c r="H3756" s="24">
        <f>IF($D3756="","",IFERROR(VLOOKUP($D3756,物料档案!$A$4:$P$1203,2,0),"※编码不在物料档案里"))</f>
        <v/>
      </c>
      <c r="I3756" s="24">
        <f>IF($D3756="","",IFERROR(VLOOKUP($D3756,物料档案!$A$4:$P$1203,6,0),"※编码不在物料档案里"))</f>
        <v/>
      </c>
      <c r="J3756" s="23" t="n"/>
      <c r="K3756" s="17" t="n"/>
      <c r="L3756" s="17" t="n"/>
      <c r="M3756" s="17" t="n"/>
      <c r="N3756" s="17" t="n"/>
      <c r="O3756" s="26">
        <f>IF($D3756="","",IFERROR(VLOOKUP($D3756,物料档案!$A$4:$P$1203,10,0),0))</f>
        <v/>
      </c>
      <c r="P3756" s="32" t="n"/>
      <c r="Q3756" s="26">
        <f>IF($D3756="","",IF($K3756&lt;&gt;"对外销售",0,ROUND(N($J3756)*IF($P3756="",N($O3756),N($P3756)),0)))</f>
        <v/>
      </c>
      <c r="R3756" s="26">
        <f>IF($D3756="","",IFERROR(VLOOKUP($D3756,库存台账!$A$5:$Y$1204,11,0),0))</f>
        <v/>
      </c>
      <c r="S3756" s="26">
        <f>IF($D3756="","",ROUND(N($J3756)*N($R3756),0))</f>
        <v/>
      </c>
      <c r="T3756" s="26">
        <f>IF($D3756="","",IF($K3756&lt;&gt;"对外销售","",ROUND($Q3756-$S3756,0)))</f>
        <v/>
      </c>
      <c r="U3756" s="17" t="n"/>
      <c r="V3756" s="17" t="n"/>
      <c r="W3756" s="24">
        <f>IF($D3756="","",IF($E3756="※编码不在物料档案里","※物料编码不在档案里",IF(N($J3756)&lt;=0,"※出库数量要大于 0",IF($K3756="","※没填去向类型",IF($L3756="","※没填去向矿区",IF(AND($C3756&lt;&gt;"",$C3756&lt;=结账锁),"※日期早于已结账截止日，不能再录",IF(AND($K3756="自用消耗",COUNTIF({"一矿区";"二矿区"},$L3756)=0),"※自用消耗的去向只能是一矿区或二矿区",IF(AND($K3756="对外销售",COUNTIF({"三矿区";"六矿区"},$L3756)=0),"※对外销售的去向只能是三矿区或六矿区",IF(AND($K3756="对外销售",ROUND($Q3756,0)=0),"※外销却没有售价，请填实际售价",IF(AND($K3756="对外销售",$T3756&lt;&gt;"",$T3756&lt;0),"※这一笔外销是亏的，请核对售价",IF(IFERROR(VLOOKUP($D3756,库存台账!$A$5:$Y$1204,24,0),0)&lt;-0.001,"※这个物料账面已经变成负数了，查一下是不是漏记入库","")))))))))))</f>
        <v/>
      </c>
    </row>
    <row r="3757">
      <c r="A3757" s="24">
        <f>IF($D3757="","",COUNTA($D$4:$D3757))</f>
        <v/>
      </c>
      <c r="B3757" s="17" t="n"/>
      <c r="C3757" s="30" t="n"/>
      <c r="D3757" s="17" t="n"/>
      <c r="E3757" s="24">
        <f>IF($D3757="","",IFERROR(VLOOKUP($D3757,物料档案!$A$4:$P$1203,3,0),"※编码不在物料档案里"))</f>
        <v/>
      </c>
      <c r="F3757" s="24">
        <f>IF($D3757="","",IFERROR(VLOOKUP($D3757,物料档案!$A$4:$P$1203,4,0),"※编码不在物料档案里"))</f>
        <v/>
      </c>
      <c r="G3757" s="24">
        <f>IF($D3757="","",IFERROR(VLOOKUP($D3757,物料档案!$A$4:$P$1203,5,0),"※编码不在物料档案里"))</f>
        <v/>
      </c>
      <c r="H3757" s="24">
        <f>IF($D3757="","",IFERROR(VLOOKUP($D3757,物料档案!$A$4:$P$1203,2,0),"※编码不在物料档案里"))</f>
        <v/>
      </c>
      <c r="I3757" s="24">
        <f>IF($D3757="","",IFERROR(VLOOKUP($D3757,物料档案!$A$4:$P$1203,6,0),"※编码不在物料档案里"))</f>
        <v/>
      </c>
      <c r="J3757" s="23" t="n"/>
      <c r="K3757" s="17" t="n"/>
      <c r="L3757" s="17" t="n"/>
      <c r="M3757" s="17" t="n"/>
      <c r="N3757" s="17" t="n"/>
      <c r="O3757" s="26">
        <f>IF($D3757="","",IFERROR(VLOOKUP($D3757,物料档案!$A$4:$P$1203,10,0),0))</f>
        <v/>
      </c>
      <c r="P3757" s="32" t="n"/>
      <c r="Q3757" s="26">
        <f>IF($D3757="","",IF($K3757&lt;&gt;"对外销售",0,ROUND(N($J3757)*IF($P3757="",N($O3757),N($P3757)),0)))</f>
        <v/>
      </c>
      <c r="R3757" s="26">
        <f>IF($D3757="","",IFERROR(VLOOKUP($D3757,库存台账!$A$5:$Y$1204,11,0),0))</f>
        <v/>
      </c>
      <c r="S3757" s="26">
        <f>IF($D3757="","",ROUND(N($J3757)*N($R3757),0))</f>
        <v/>
      </c>
      <c r="T3757" s="26">
        <f>IF($D3757="","",IF($K3757&lt;&gt;"对外销售","",ROUND($Q3757-$S3757,0)))</f>
        <v/>
      </c>
      <c r="U3757" s="17" t="n"/>
      <c r="V3757" s="17" t="n"/>
      <c r="W3757" s="24">
        <f>IF($D3757="","",IF($E3757="※编码不在物料档案里","※物料编码不在档案里",IF(N($J3757)&lt;=0,"※出库数量要大于 0",IF($K3757="","※没填去向类型",IF($L3757="","※没填去向矿区",IF(AND($C3757&lt;&gt;"",$C3757&lt;=结账锁),"※日期早于已结账截止日，不能再录",IF(AND($K3757="自用消耗",COUNTIF({"一矿区";"二矿区"},$L3757)=0),"※自用消耗的去向只能是一矿区或二矿区",IF(AND($K3757="对外销售",COUNTIF({"三矿区";"六矿区"},$L3757)=0),"※对外销售的去向只能是三矿区或六矿区",IF(AND($K3757="对外销售",ROUND($Q3757,0)=0),"※外销却没有售价，请填实际售价",IF(AND($K3757="对外销售",$T3757&lt;&gt;"",$T3757&lt;0),"※这一笔外销是亏的，请核对售价",IF(IFERROR(VLOOKUP($D3757,库存台账!$A$5:$Y$1204,24,0),0)&lt;-0.001,"※这个物料账面已经变成负数了，查一下是不是漏记入库","")))))))))))</f>
        <v/>
      </c>
    </row>
    <row r="3758">
      <c r="A3758" s="24">
        <f>IF($D3758="","",COUNTA($D$4:$D3758))</f>
        <v/>
      </c>
      <c r="B3758" s="17" t="n"/>
      <c r="C3758" s="30" t="n"/>
      <c r="D3758" s="17" t="n"/>
      <c r="E3758" s="24">
        <f>IF($D3758="","",IFERROR(VLOOKUP($D3758,物料档案!$A$4:$P$1203,3,0),"※编码不在物料档案里"))</f>
        <v/>
      </c>
      <c r="F3758" s="24">
        <f>IF($D3758="","",IFERROR(VLOOKUP($D3758,物料档案!$A$4:$P$1203,4,0),"※编码不在物料档案里"))</f>
        <v/>
      </c>
      <c r="G3758" s="24">
        <f>IF($D3758="","",IFERROR(VLOOKUP($D3758,物料档案!$A$4:$P$1203,5,0),"※编码不在物料档案里"))</f>
        <v/>
      </c>
      <c r="H3758" s="24">
        <f>IF($D3758="","",IFERROR(VLOOKUP($D3758,物料档案!$A$4:$P$1203,2,0),"※编码不在物料档案里"))</f>
        <v/>
      </c>
      <c r="I3758" s="24">
        <f>IF($D3758="","",IFERROR(VLOOKUP($D3758,物料档案!$A$4:$P$1203,6,0),"※编码不在物料档案里"))</f>
        <v/>
      </c>
      <c r="J3758" s="23" t="n"/>
      <c r="K3758" s="17" t="n"/>
      <c r="L3758" s="17" t="n"/>
      <c r="M3758" s="17" t="n"/>
      <c r="N3758" s="17" t="n"/>
      <c r="O3758" s="26">
        <f>IF($D3758="","",IFERROR(VLOOKUP($D3758,物料档案!$A$4:$P$1203,10,0),0))</f>
        <v/>
      </c>
      <c r="P3758" s="32" t="n"/>
      <c r="Q3758" s="26">
        <f>IF($D3758="","",IF($K3758&lt;&gt;"对外销售",0,ROUND(N($J3758)*IF($P3758="",N($O3758),N($P3758)),0)))</f>
        <v/>
      </c>
      <c r="R3758" s="26">
        <f>IF($D3758="","",IFERROR(VLOOKUP($D3758,库存台账!$A$5:$Y$1204,11,0),0))</f>
        <v/>
      </c>
      <c r="S3758" s="26">
        <f>IF($D3758="","",ROUND(N($J3758)*N($R3758),0))</f>
        <v/>
      </c>
      <c r="T3758" s="26">
        <f>IF($D3758="","",IF($K3758&lt;&gt;"对外销售","",ROUND($Q3758-$S3758,0)))</f>
        <v/>
      </c>
      <c r="U3758" s="17" t="n"/>
      <c r="V3758" s="17" t="n"/>
      <c r="W3758" s="24">
        <f>IF($D3758="","",IF($E3758="※编码不在物料档案里","※物料编码不在档案里",IF(N($J3758)&lt;=0,"※出库数量要大于 0",IF($K3758="","※没填去向类型",IF($L3758="","※没填去向矿区",IF(AND($C3758&lt;&gt;"",$C3758&lt;=结账锁),"※日期早于已结账截止日，不能再录",IF(AND($K3758="自用消耗",COUNTIF({"一矿区";"二矿区"},$L3758)=0),"※自用消耗的去向只能是一矿区或二矿区",IF(AND($K3758="对外销售",COUNTIF({"三矿区";"六矿区"},$L3758)=0),"※对外销售的去向只能是三矿区或六矿区",IF(AND($K3758="对外销售",ROUND($Q3758,0)=0),"※外销却没有售价，请填实际售价",IF(AND($K3758="对外销售",$T3758&lt;&gt;"",$T3758&lt;0),"※这一笔外销是亏的，请核对售价",IF(IFERROR(VLOOKUP($D3758,库存台账!$A$5:$Y$1204,24,0),0)&lt;-0.001,"※这个物料账面已经变成负数了，查一下是不是漏记入库","")))))))))))</f>
        <v/>
      </c>
    </row>
    <row r="3759">
      <c r="A3759" s="24">
        <f>IF($D3759="","",COUNTA($D$4:$D3759))</f>
        <v/>
      </c>
      <c r="B3759" s="17" t="n"/>
      <c r="C3759" s="30" t="n"/>
      <c r="D3759" s="17" t="n"/>
      <c r="E3759" s="24">
        <f>IF($D3759="","",IFERROR(VLOOKUP($D3759,物料档案!$A$4:$P$1203,3,0),"※编码不在物料档案里"))</f>
        <v/>
      </c>
      <c r="F3759" s="24">
        <f>IF($D3759="","",IFERROR(VLOOKUP($D3759,物料档案!$A$4:$P$1203,4,0),"※编码不在物料档案里"))</f>
        <v/>
      </c>
      <c r="G3759" s="24">
        <f>IF($D3759="","",IFERROR(VLOOKUP($D3759,物料档案!$A$4:$P$1203,5,0),"※编码不在物料档案里"))</f>
        <v/>
      </c>
      <c r="H3759" s="24">
        <f>IF($D3759="","",IFERROR(VLOOKUP($D3759,物料档案!$A$4:$P$1203,2,0),"※编码不在物料档案里"))</f>
        <v/>
      </c>
      <c r="I3759" s="24">
        <f>IF($D3759="","",IFERROR(VLOOKUP($D3759,物料档案!$A$4:$P$1203,6,0),"※编码不在物料档案里"))</f>
        <v/>
      </c>
      <c r="J3759" s="23" t="n"/>
      <c r="K3759" s="17" t="n"/>
      <c r="L3759" s="17" t="n"/>
      <c r="M3759" s="17" t="n"/>
      <c r="N3759" s="17" t="n"/>
      <c r="O3759" s="26">
        <f>IF($D3759="","",IFERROR(VLOOKUP($D3759,物料档案!$A$4:$P$1203,10,0),0))</f>
        <v/>
      </c>
      <c r="P3759" s="32" t="n"/>
      <c r="Q3759" s="26">
        <f>IF($D3759="","",IF($K3759&lt;&gt;"对外销售",0,ROUND(N($J3759)*IF($P3759="",N($O3759),N($P3759)),0)))</f>
        <v/>
      </c>
      <c r="R3759" s="26">
        <f>IF($D3759="","",IFERROR(VLOOKUP($D3759,库存台账!$A$5:$Y$1204,11,0),0))</f>
        <v/>
      </c>
      <c r="S3759" s="26">
        <f>IF($D3759="","",ROUND(N($J3759)*N($R3759),0))</f>
        <v/>
      </c>
      <c r="T3759" s="26">
        <f>IF($D3759="","",IF($K3759&lt;&gt;"对外销售","",ROUND($Q3759-$S3759,0)))</f>
        <v/>
      </c>
      <c r="U3759" s="17" t="n"/>
      <c r="V3759" s="17" t="n"/>
      <c r="W3759" s="24">
        <f>IF($D3759="","",IF($E3759="※编码不在物料档案里","※物料编码不在档案里",IF(N($J3759)&lt;=0,"※出库数量要大于 0",IF($K3759="","※没填去向类型",IF($L3759="","※没填去向矿区",IF(AND($C3759&lt;&gt;"",$C3759&lt;=结账锁),"※日期早于已结账截止日，不能再录",IF(AND($K3759="自用消耗",COUNTIF({"一矿区";"二矿区"},$L3759)=0),"※自用消耗的去向只能是一矿区或二矿区",IF(AND($K3759="对外销售",COUNTIF({"三矿区";"六矿区"},$L3759)=0),"※对外销售的去向只能是三矿区或六矿区",IF(AND($K3759="对外销售",ROUND($Q3759,0)=0),"※外销却没有售价，请填实际售价",IF(AND($K3759="对外销售",$T3759&lt;&gt;"",$T3759&lt;0),"※这一笔外销是亏的，请核对售价",IF(IFERROR(VLOOKUP($D3759,库存台账!$A$5:$Y$1204,24,0),0)&lt;-0.001,"※这个物料账面已经变成负数了，查一下是不是漏记入库","")))))))))))</f>
        <v/>
      </c>
    </row>
    <row r="3760">
      <c r="A3760" s="24">
        <f>IF($D3760="","",COUNTA($D$4:$D3760))</f>
        <v/>
      </c>
      <c r="B3760" s="17" t="n"/>
      <c r="C3760" s="30" t="n"/>
      <c r="D3760" s="17" t="n"/>
      <c r="E3760" s="24">
        <f>IF($D3760="","",IFERROR(VLOOKUP($D3760,物料档案!$A$4:$P$1203,3,0),"※编码不在物料档案里"))</f>
        <v/>
      </c>
      <c r="F3760" s="24">
        <f>IF($D3760="","",IFERROR(VLOOKUP($D3760,物料档案!$A$4:$P$1203,4,0),"※编码不在物料档案里"))</f>
        <v/>
      </c>
      <c r="G3760" s="24">
        <f>IF($D3760="","",IFERROR(VLOOKUP($D3760,物料档案!$A$4:$P$1203,5,0),"※编码不在物料档案里"))</f>
        <v/>
      </c>
      <c r="H3760" s="24">
        <f>IF($D3760="","",IFERROR(VLOOKUP($D3760,物料档案!$A$4:$P$1203,2,0),"※编码不在物料档案里"))</f>
        <v/>
      </c>
      <c r="I3760" s="24">
        <f>IF($D3760="","",IFERROR(VLOOKUP($D3760,物料档案!$A$4:$P$1203,6,0),"※编码不在物料档案里"))</f>
        <v/>
      </c>
      <c r="J3760" s="23" t="n"/>
      <c r="K3760" s="17" t="n"/>
      <c r="L3760" s="17" t="n"/>
      <c r="M3760" s="17" t="n"/>
      <c r="N3760" s="17" t="n"/>
      <c r="O3760" s="26">
        <f>IF($D3760="","",IFERROR(VLOOKUP($D3760,物料档案!$A$4:$P$1203,10,0),0))</f>
        <v/>
      </c>
      <c r="P3760" s="32" t="n"/>
      <c r="Q3760" s="26">
        <f>IF($D3760="","",IF($K3760&lt;&gt;"对外销售",0,ROUND(N($J3760)*IF($P3760="",N($O3760),N($P3760)),0)))</f>
        <v/>
      </c>
      <c r="R3760" s="26">
        <f>IF($D3760="","",IFERROR(VLOOKUP($D3760,库存台账!$A$5:$Y$1204,11,0),0))</f>
        <v/>
      </c>
      <c r="S3760" s="26">
        <f>IF($D3760="","",ROUND(N($J3760)*N($R3760),0))</f>
        <v/>
      </c>
      <c r="T3760" s="26">
        <f>IF($D3760="","",IF($K3760&lt;&gt;"对外销售","",ROUND($Q3760-$S3760,0)))</f>
        <v/>
      </c>
      <c r="U3760" s="17" t="n"/>
      <c r="V3760" s="17" t="n"/>
      <c r="W3760" s="24">
        <f>IF($D3760="","",IF($E3760="※编码不在物料档案里","※物料编码不在档案里",IF(N($J3760)&lt;=0,"※出库数量要大于 0",IF($K3760="","※没填去向类型",IF($L3760="","※没填去向矿区",IF(AND($C3760&lt;&gt;"",$C3760&lt;=结账锁),"※日期早于已结账截止日，不能再录",IF(AND($K3760="自用消耗",COUNTIF({"一矿区";"二矿区"},$L3760)=0),"※自用消耗的去向只能是一矿区或二矿区",IF(AND($K3760="对外销售",COUNTIF({"三矿区";"六矿区"},$L3760)=0),"※对外销售的去向只能是三矿区或六矿区",IF(AND($K3760="对外销售",ROUND($Q3760,0)=0),"※外销却没有售价，请填实际售价",IF(AND($K3760="对外销售",$T3760&lt;&gt;"",$T3760&lt;0),"※这一笔外销是亏的，请核对售价",IF(IFERROR(VLOOKUP($D3760,库存台账!$A$5:$Y$1204,24,0),0)&lt;-0.001,"※这个物料账面已经变成负数了，查一下是不是漏记入库","")))))))))))</f>
        <v/>
      </c>
    </row>
    <row r="3761">
      <c r="A3761" s="24">
        <f>IF($D3761="","",COUNTA($D$4:$D3761))</f>
        <v/>
      </c>
      <c r="B3761" s="17" t="n"/>
      <c r="C3761" s="30" t="n"/>
      <c r="D3761" s="17" t="n"/>
      <c r="E3761" s="24">
        <f>IF($D3761="","",IFERROR(VLOOKUP($D3761,物料档案!$A$4:$P$1203,3,0),"※编码不在物料档案里"))</f>
        <v/>
      </c>
      <c r="F3761" s="24">
        <f>IF($D3761="","",IFERROR(VLOOKUP($D3761,物料档案!$A$4:$P$1203,4,0),"※编码不在物料档案里"))</f>
        <v/>
      </c>
      <c r="G3761" s="24">
        <f>IF($D3761="","",IFERROR(VLOOKUP($D3761,物料档案!$A$4:$P$1203,5,0),"※编码不在物料档案里"))</f>
        <v/>
      </c>
      <c r="H3761" s="24">
        <f>IF($D3761="","",IFERROR(VLOOKUP($D3761,物料档案!$A$4:$P$1203,2,0),"※编码不在物料档案里"))</f>
        <v/>
      </c>
      <c r="I3761" s="24">
        <f>IF($D3761="","",IFERROR(VLOOKUP($D3761,物料档案!$A$4:$P$1203,6,0),"※编码不在物料档案里"))</f>
        <v/>
      </c>
      <c r="J3761" s="23" t="n"/>
      <c r="K3761" s="17" t="n"/>
      <c r="L3761" s="17" t="n"/>
      <c r="M3761" s="17" t="n"/>
      <c r="N3761" s="17" t="n"/>
      <c r="O3761" s="26">
        <f>IF($D3761="","",IFERROR(VLOOKUP($D3761,物料档案!$A$4:$P$1203,10,0),0))</f>
        <v/>
      </c>
      <c r="P3761" s="32" t="n"/>
      <c r="Q3761" s="26">
        <f>IF($D3761="","",IF($K3761&lt;&gt;"对外销售",0,ROUND(N($J3761)*IF($P3761="",N($O3761),N($P3761)),0)))</f>
        <v/>
      </c>
      <c r="R3761" s="26">
        <f>IF($D3761="","",IFERROR(VLOOKUP($D3761,库存台账!$A$5:$Y$1204,11,0),0))</f>
        <v/>
      </c>
      <c r="S3761" s="26">
        <f>IF($D3761="","",ROUND(N($J3761)*N($R3761),0))</f>
        <v/>
      </c>
      <c r="T3761" s="26">
        <f>IF($D3761="","",IF($K3761&lt;&gt;"对外销售","",ROUND($Q3761-$S3761,0)))</f>
        <v/>
      </c>
      <c r="U3761" s="17" t="n"/>
      <c r="V3761" s="17" t="n"/>
      <c r="W3761" s="24">
        <f>IF($D3761="","",IF($E3761="※编码不在物料档案里","※物料编码不在档案里",IF(N($J3761)&lt;=0,"※出库数量要大于 0",IF($K3761="","※没填去向类型",IF($L3761="","※没填去向矿区",IF(AND($C3761&lt;&gt;"",$C3761&lt;=结账锁),"※日期早于已结账截止日，不能再录",IF(AND($K3761="自用消耗",COUNTIF({"一矿区";"二矿区"},$L3761)=0),"※自用消耗的去向只能是一矿区或二矿区",IF(AND($K3761="对外销售",COUNTIF({"三矿区";"六矿区"},$L3761)=0),"※对外销售的去向只能是三矿区或六矿区",IF(AND($K3761="对外销售",ROUND($Q3761,0)=0),"※外销却没有售价，请填实际售价",IF(AND($K3761="对外销售",$T3761&lt;&gt;"",$T3761&lt;0),"※这一笔外销是亏的，请核对售价",IF(IFERROR(VLOOKUP($D3761,库存台账!$A$5:$Y$1204,24,0),0)&lt;-0.001,"※这个物料账面已经变成负数了，查一下是不是漏记入库","")))))))))))</f>
        <v/>
      </c>
    </row>
    <row r="3762">
      <c r="A3762" s="24">
        <f>IF($D3762="","",COUNTA($D$4:$D3762))</f>
        <v/>
      </c>
      <c r="B3762" s="17" t="n"/>
      <c r="C3762" s="30" t="n"/>
      <c r="D3762" s="17" t="n"/>
      <c r="E3762" s="24">
        <f>IF($D3762="","",IFERROR(VLOOKUP($D3762,物料档案!$A$4:$P$1203,3,0),"※编码不在物料档案里"))</f>
        <v/>
      </c>
      <c r="F3762" s="24">
        <f>IF($D3762="","",IFERROR(VLOOKUP($D3762,物料档案!$A$4:$P$1203,4,0),"※编码不在物料档案里"))</f>
        <v/>
      </c>
      <c r="G3762" s="24">
        <f>IF($D3762="","",IFERROR(VLOOKUP($D3762,物料档案!$A$4:$P$1203,5,0),"※编码不在物料档案里"))</f>
        <v/>
      </c>
      <c r="H3762" s="24">
        <f>IF($D3762="","",IFERROR(VLOOKUP($D3762,物料档案!$A$4:$P$1203,2,0),"※编码不在物料档案里"))</f>
        <v/>
      </c>
      <c r="I3762" s="24">
        <f>IF($D3762="","",IFERROR(VLOOKUP($D3762,物料档案!$A$4:$P$1203,6,0),"※编码不在物料档案里"))</f>
        <v/>
      </c>
      <c r="J3762" s="23" t="n"/>
      <c r="K3762" s="17" t="n"/>
      <c r="L3762" s="17" t="n"/>
      <c r="M3762" s="17" t="n"/>
      <c r="N3762" s="17" t="n"/>
      <c r="O3762" s="26">
        <f>IF($D3762="","",IFERROR(VLOOKUP($D3762,物料档案!$A$4:$P$1203,10,0),0))</f>
        <v/>
      </c>
      <c r="P3762" s="32" t="n"/>
      <c r="Q3762" s="26">
        <f>IF($D3762="","",IF($K3762&lt;&gt;"对外销售",0,ROUND(N($J3762)*IF($P3762="",N($O3762),N($P3762)),0)))</f>
        <v/>
      </c>
      <c r="R3762" s="26">
        <f>IF($D3762="","",IFERROR(VLOOKUP($D3762,库存台账!$A$5:$Y$1204,11,0),0))</f>
        <v/>
      </c>
      <c r="S3762" s="26">
        <f>IF($D3762="","",ROUND(N($J3762)*N($R3762),0))</f>
        <v/>
      </c>
      <c r="T3762" s="26">
        <f>IF($D3762="","",IF($K3762&lt;&gt;"对外销售","",ROUND($Q3762-$S3762,0)))</f>
        <v/>
      </c>
      <c r="U3762" s="17" t="n"/>
      <c r="V3762" s="17" t="n"/>
      <c r="W3762" s="24">
        <f>IF($D3762="","",IF($E3762="※编码不在物料档案里","※物料编码不在档案里",IF(N($J3762)&lt;=0,"※出库数量要大于 0",IF($K3762="","※没填去向类型",IF($L3762="","※没填去向矿区",IF(AND($C3762&lt;&gt;"",$C3762&lt;=结账锁),"※日期早于已结账截止日，不能再录",IF(AND($K3762="自用消耗",COUNTIF({"一矿区";"二矿区"},$L3762)=0),"※自用消耗的去向只能是一矿区或二矿区",IF(AND($K3762="对外销售",COUNTIF({"三矿区";"六矿区"},$L3762)=0),"※对外销售的去向只能是三矿区或六矿区",IF(AND($K3762="对外销售",ROUND($Q3762,0)=0),"※外销却没有售价，请填实际售价",IF(AND($K3762="对外销售",$T3762&lt;&gt;"",$T3762&lt;0),"※这一笔外销是亏的，请核对售价",IF(IFERROR(VLOOKUP($D3762,库存台账!$A$5:$Y$1204,24,0),0)&lt;-0.001,"※这个物料账面已经变成负数了，查一下是不是漏记入库","")))))))))))</f>
        <v/>
      </c>
    </row>
    <row r="3763">
      <c r="A3763" s="24">
        <f>IF($D3763="","",COUNTA($D$4:$D3763))</f>
        <v/>
      </c>
      <c r="B3763" s="17" t="n"/>
      <c r="C3763" s="30" t="n"/>
      <c r="D3763" s="17" t="n"/>
      <c r="E3763" s="24">
        <f>IF($D3763="","",IFERROR(VLOOKUP($D3763,物料档案!$A$4:$P$1203,3,0),"※编码不在物料档案里"))</f>
        <v/>
      </c>
      <c r="F3763" s="24">
        <f>IF($D3763="","",IFERROR(VLOOKUP($D3763,物料档案!$A$4:$P$1203,4,0),"※编码不在物料档案里"))</f>
        <v/>
      </c>
      <c r="G3763" s="24">
        <f>IF($D3763="","",IFERROR(VLOOKUP($D3763,物料档案!$A$4:$P$1203,5,0),"※编码不在物料档案里"))</f>
        <v/>
      </c>
      <c r="H3763" s="24">
        <f>IF($D3763="","",IFERROR(VLOOKUP($D3763,物料档案!$A$4:$P$1203,2,0),"※编码不在物料档案里"))</f>
        <v/>
      </c>
      <c r="I3763" s="24">
        <f>IF($D3763="","",IFERROR(VLOOKUP($D3763,物料档案!$A$4:$P$1203,6,0),"※编码不在物料档案里"))</f>
        <v/>
      </c>
      <c r="J3763" s="23" t="n"/>
      <c r="K3763" s="17" t="n"/>
      <c r="L3763" s="17" t="n"/>
      <c r="M3763" s="17" t="n"/>
      <c r="N3763" s="17" t="n"/>
      <c r="O3763" s="26">
        <f>IF($D3763="","",IFERROR(VLOOKUP($D3763,物料档案!$A$4:$P$1203,10,0),0))</f>
        <v/>
      </c>
      <c r="P3763" s="32" t="n"/>
      <c r="Q3763" s="26">
        <f>IF($D3763="","",IF($K3763&lt;&gt;"对外销售",0,ROUND(N($J3763)*IF($P3763="",N($O3763),N($P3763)),0)))</f>
        <v/>
      </c>
      <c r="R3763" s="26">
        <f>IF($D3763="","",IFERROR(VLOOKUP($D3763,库存台账!$A$5:$Y$1204,11,0),0))</f>
        <v/>
      </c>
      <c r="S3763" s="26">
        <f>IF($D3763="","",ROUND(N($J3763)*N($R3763),0))</f>
        <v/>
      </c>
      <c r="T3763" s="26">
        <f>IF($D3763="","",IF($K3763&lt;&gt;"对外销售","",ROUND($Q3763-$S3763,0)))</f>
        <v/>
      </c>
      <c r="U3763" s="17" t="n"/>
      <c r="V3763" s="17" t="n"/>
      <c r="W3763" s="24">
        <f>IF($D3763="","",IF($E3763="※编码不在物料档案里","※物料编码不在档案里",IF(N($J3763)&lt;=0,"※出库数量要大于 0",IF($K3763="","※没填去向类型",IF($L3763="","※没填去向矿区",IF(AND($C3763&lt;&gt;"",$C3763&lt;=结账锁),"※日期早于已结账截止日，不能再录",IF(AND($K3763="自用消耗",COUNTIF({"一矿区";"二矿区"},$L3763)=0),"※自用消耗的去向只能是一矿区或二矿区",IF(AND($K3763="对外销售",COUNTIF({"三矿区";"六矿区"},$L3763)=0),"※对外销售的去向只能是三矿区或六矿区",IF(AND($K3763="对外销售",ROUND($Q3763,0)=0),"※外销却没有售价，请填实际售价",IF(AND($K3763="对外销售",$T3763&lt;&gt;"",$T3763&lt;0),"※这一笔外销是亏的，请核对售价",IF(IFERROR(VLOOKUP($D3763,库存台账!$A$5:$Y$1204,24,0),0)&lt;-0.001,"※这个物料账面已经变成负数了，查一下是不是漏记入库","")))))))))))</f>
        <v/>
      </c>
    </row>
    <row r="3764">
      <c r="A3764" s="24">
        <f>IF($D3764="","",COUNTA($D$4:$D3764))</f>
        <v/>
      </c>
      <c r="B3764" s="17" t="n"/>
      <c r="C3764" s="30" t="n"/>
      <c r="D3764" s="17" t="n"/>
      <c r="E3764" s="24">
        <f>IF($D3764="","",IFERROR(VLOOKUP($D3764,物料档案!$A$4:$P$1203,3,0),"※编码不在物料档案里"))</f>
        <v/>
      </c>
      <c r="F3764" s="24">
        <f>IF($D3764="","",IFERROR(VLOOKUP($D3764,物料档案!$A$4:$P$1203,4,0),"※编码不在物料档案里"))</f>
        <v/>
      </c>
      <c r="G3764" s="24">
        <f>IF($D3764="","",IFERROR(VLOOKUP($D3764,物料档案!$A$4:$P$1203,5,0),"※编码不在物料档案里"))</f>
        <v/>
      </c>
      <c r="H3764" s="24">
        <f>IF($D3764="","",IFERROR(VLOOKUP($D3764,物料档案!$A$4:$P$1203,2,0),"※编码不在物料档案里"))</f>
        <v/>
      </c>
      <c r="I3764" s="24">
        <f>IF($D3764="","",IFERROR(VLOOKUP($D3764,物料档案!$A$4:$P$1203,6,0),"※编码不在物料档案里"))</f>
        <v/>
      </c>
      <c r="J3764" s="23" t="n"/>
      <c r="K3764" s="17" t="n"/>
      <c r="L3764" s="17" t="n"/>
      <c r="M3764" s="17" t="n"/>
      <c r="N3764" s="17" t="n"/>
      <c r="O3764" s="26">
        <f>IF($D3764="","",IFERROR(VLOOKUP($D3764,物料档案!$A$4:$P$1203,10,0),0))</f>
        <v/>
      </c>
      <c r="P3764" s="32" t="n"/>
      <c r="Q3764" s="26">
        <f>IF($D3764="","",IF($K3764&lt;&gt;"对外销售",0,ROUND(N($J3764)*IF($P3764="",N($O3764),N($P3764)),0)))</f>
        <v/>
      </c>
      <c r="R3764" s="26">
        <f>IF($D3764="","",IFERROR(VLOOKUP($D3764,库存台账!$A$5:$Y$1204,11,0),0))</f>
        <v/>
      </c>
      <c r="S3764" s="26">
        <f>IF($D3764="","",ROUND(N($J3764)*N($R3764),0))</f>
        <v/>
      </c>
      <c r="T3764" s="26">
        <f>IF($D3764="","",IF($K3764&lt;&gt;"对外销售","",ROUND($Q3764-$S3764,0)))</f>
        <v/>
      </c>
      <c r="U3764" s="17" t="n"/>
      <c r="V3764" s="17" t="n"/>
      <c r="W3764" s="24">
        <f>IF($D3764="","",IF($E3764="※编码不在物料档案里","※物料编码不在档案里",IF(N($J3764)&lt;=0,"※出库数量要大于 0",IF($K3764="","※没填去向类型",IF($L3764="","※没填去向矿区",IF(AND($C3764&lt;&gt;"",$C3764&lt;=结账锁),"※日期早于已结账截止日，不能再录",IF(AND($K3764="自用消耗",COUNTIF({"一矿区";"二矿区"},$L3764)=0),"※自用消耗的去向只能是一矿区或二矿区",IF(AND($K3764="对外销售",COUNTIF({"三矿区";"六矿区"},$L3764)=0),"※对外销售的去向只能是三矿区或六矿区",IF(AND($K3764="对外销售",ROUND($Q3764,0)=0),"※外销却没有售价，请填实际售价",IF(AND($K3764="对外销售",$T3764&lt;&gt;"",$T3764&lt;0),"※这一笔外销是亏的，请核对售价",IF(IFERROR(VLOOKUP($D3764,库存台账!$A$5:$Y$1204,24,0),0)&lt;-0.001,"※这个物料账面已经变成负数了，查一下是不是漏记入库","")))))))))))</f>
        <v/>
      </c>
    </row>
    <row r="3765">
      <c r="A3765" s="24">
        <f>IF($D3765="","",COUNTA($D$4:$D3765))</f>
        <v/>
      </c>
      <c r="B3765" s="17" t="n"/>
      <c r="C3765" s="30" t="n"/>
      <c r="D3765" s="17" t="n"/>
      <c r="E3765" s="24">
        <f>IF($D3765="","",IFERROR(VLOOKUP($D3765,物料档案!$A$4:$P$1203,3,0),"※编码不在物料档案里"))</f>
        <v/>
      </c>
      <c r="F3765" s="24">
        <f>IF($D3765="","",IFERROR(VLOOKUP($D3765,物料档案!$A$4:$P$1203,4,0),"※编码不在物料档案里"))</f>
        <v/>
      </c>
      <c r="G3765" s="24">
        <f>IF($D3765="","",IFERROR(VLOOKUP($D3765,物料档案!$A$4:$P$1203,5,0),"※编码不在物料档案里"))</f>
        <v/>
      </c>
      <c r="H3765" s="24">
        <f>IF($D3765="","",IFERROR(VLOOKUP($D3765,物料档案!$A$4:$P$1203,2,0),"※编码不在物料档案里"))</f>
        <v/>
      </c>
      <c r="I3765" s="24">
        <f>IF($D3765="","",IFERROR(VLOOKUP($D3765,物料档案!$A$4:$P$1203,6,0),"※编码不在物料档案里"))</f>
        <v/>
      </c>
      <c r="J3765" s="23" t="n"/>
      <c r="K3765" s="17" t="n"/>
      <c r="L3765" s="17" t="n"/>
      <c r="M3765" s="17" t="n"/>
      <c r="N3765" s="17" t="n"/>
      <c r="O3765" s="26">
        <f>IF($D3765="","",IFERROR(VLOOKUP($D3765,物料档案!$A$4:$P$1203,10,0),0))</f>
        <v/>
      </c>
      <c r="P3765" s="32" t="n"/>
      <c r="Q3765" s="26">
        <f>IF($D3765="","",IF($K3765&lt;&gt;"对外销售",0,ROUND(N($J3765)*IF($P3765="",N($O3765),N($P3765)),0)))</f>
        <v/>
      </c>
      <c r="R3765" s="26">
        <f>IF($D3765="","",IFERROR(VLOOKUP($D3765,库存台账!$A$5:$Y$1204,11,0),0))</f>
        <v/>
      </c>
      <c r="S3765" s="26">
        <f>IF($D3765="","",ROUND(N($J3765)*N($R3765),0))</f>
        <v/>
      </c>
      <c r="T3765" s="26">
        <f>IF($D3765="","",IF($K3765&lt;&gt;"对外销售","",ROUND($Q3765-$S3765,0)))</f>
        <v/>
      </c>
      <c r="U3765" s="17" t="n"/>
      <c r="V3765" s="17" t="n"/>
      <c r="W3765" s="24">
        <f>IF($D3765="","",IF($E3765="※编码不在物料档案里","※物料编码不在档案里",IF(N($J3765)&lt;=0,"※出库数量要大于 0",IF($K3765="","※没填去向类型",IF($L3765="","※没填去向矿区",IF(AND($C3765&lt;&gt;"",$C3765&lt;=结账锁),"※日期早于已结账截止日，不能再录",IF(AND($K3765="自用消耗",COUNTIF({"一矿区";"二矿区"},$L3765)=0),"※自用消耗的去向只能是一矿区或二矿区",IF(AND($K3765="对外销售",COUNTIF({"三矿区";"六矿区"},$L3765)=0),"※对外销售的去向只能是三矿区或六矿区",IF(AND($K3765="对外销售",ROUND($Q3765,0)=0),"※外销却没有售价，请填实际售价",IF(AND($K3765="对外销售",$T3765&lt;&gt;"",$T3765&lt;0),"※这一笔外销是亏的，请核对售价",IF(IFERROR(VLOOKUP($D3765,库存台账!$A$5:$Y$1204,24,0),0)&lt;-0.001,"※这个物料账面已经变成负数了，查一下是不是漏记入库","")))))))))))</f>
        <v/>
      </c>
    </row>
    <row r="3766">
      <c r="A3766" s="24">
        <f>IF($D3766="","",COUNTA($D$4:$D3766))</f>
        <v/>
      </c>
      <c r="B3766" s="17" t="n"/>
      <c r="C3766" s="30" t="n"/>
      <c r="D3766" s="17" t="n"/>
      <c r="E3766" s="24">
        <f>IF($D3766="","",IFERROR(VLOOKUP($D3766,物料档案!$A$4:$P$1203,3,0),"※编码不在物料档案里"))</f>
        <v/>
      </c>
      <c r="F3766" s="24">
        <f>IF($D3766="","",IFERROR(VLOOKUP($D3766,物料档案!$A$4:$P$1203,4,0),"※编码不在物料档案里"))</f>
        <v/>
      </c>
      <c r="G3766" s="24">
        <f>IF($D3766="","",IFERROR(VLOOKUP($D3766,物料档案!$A$4:$P$1203,5,0),"※编码不在物料档案里"))</f>
        <v/>
      </c>
      <c r="H3766" s="24">
        <f>IF($D3766="","",IFERROR(VLOOKUP($D3766,物料档案!$A$4:$P$1203,2,0),"※编码不在物料档案里"))</f>
        <v/>
      </c>
      <c r="I3766" s="24">
        <f>IF($D3766="","",IFERROR(VLOOKUP($D3766,物料档案!$A$4:$P$1203,6,0),"※编码不在物料档案里"))</f>
        <v/>
      </c>
      <c r="J3766" s="23" t="n"/>
      <c r="K3766" s="17" t="n"/>
      <c r="L3766" s="17" t="n"/>
      <c r="M3766" s="17" t="n"/>
      <c r="N3766" s="17" t="n"/>
      <c r="O3766" s="26">
        <f>IF($D3766="","",IFERROR(VLOOKUP($D3766,物料档案!$A$4:$P$1203,10,0),0))</f>
        <v/>
      </c>
      <c r="P3766" s="32" t="n"/>
      <c r="Q3766" s="26">
        <f>IF($D3766="","",IF($K3766&lt;&gt;"对外销售",0,ROUND(N($J3766)*IF($P3766="",N($O3766),N($P3766)),0)))</f>
        <v/>
      </c>
      <c r="R3766" s="26">
        <f>IF($D3766="","",IFERROR(VLOOKUP($D3766,库存台账!$A$5:$Y$1204,11,0),0))</f>
        <v/>
      </c>
      <c r="S3766" s="26">
        <f>IF($D3766="","",ROUND(N($J3766)*N($R3766),0))</f>
        <v/>
      </c>
      <c r="T3766" s="26">
        <f>IF($D3766="","",IF($K3766&lt;&gt;"对外销售","",ROUND($Q3766-$S3766,0)))</f>
        <v/>
      </c>
      <c r="U3766" s="17" t="n"/>
      <c r="V3766" s="17" t="n"/>
      <c r="W3766" s="24">
        <f>IF($D3766="","",IF($E3766="※编码不在物料档案里","※物料编码不在档案里",IF(N($J3766)&lt;=0,"※出库数量要大于 0",IF($K3766="","※没填去向类型",IF($L3766="","※没填去向矿区",IF(AND($C3766&lt;&gt;"",$C3766&lt;=结账锁),"※日期早于已结账截止日，不能再录",IF(AND($K3766="自用消耗",COUNTIF({"一矿区";"二矿区"},$L3766)=0),"※自用消耗的去向只能是一矿区或二矿区",IF(AND($K3766="对外销售",COUNTIF({"三矿区";"六矿区"},$L3766)=0),"※对外销售的去向只能是三矿区或六矿区",IF(AND($K3766="对外销售",ROUND($Q3766,0)=0),"※外销却没有售价，请填实际售价",IF(AND($K3766="对外销售",$T3766&lt;&gt;"",$T3766&lt;0),"※这一笔外销是亏的，请核对售价",IF(IFERROR(VLOOKUP($D3766,库存台账!$A$5:$Y$1204,24,0),0)&lt;-0.001,"※这个物料账面已经变成负数了，查一下是不是漏记入库","")))))))))))</f>
        <v/>
      </c>
    </row>
    <row r="3767">
      <c r="A3767" s="24">
        <f>IF($D3767="","",COUNTA($D$4:$D3767))</f>
        <v/>
      </c>
      <c r="B3767" s="17" t="n"/>
      <c r="C3767" s="30" t="n"/>
      <c r="D3767" s="17" t="n"/>
      <c r="E3767" s="24">
        <f>IF($D3767="","",IFERROR(VLOOKUP($D3767,物料档案!$A$4:$P$1203,3,0),"※编码不在物料档案里"))</f>
        <v/>
      </c>
      <c r="F3767" s="24">
        <f>IF($D3767="","",IFERROR(VLOOKUP($D3767,物料档案!$A$4:$P$1203,4,0),"※编码不在物料档案里"))</f>
        <v/>
      </c>
      <c r="G3767" s="24">
        <f>IF($D3767="","",IFERROR(VLOOKUP($D3767,物料档案!$A$4:$P$1203,5,0),"※编码不在物料档案里"))</f>
        <v/>
      </c>
      <c r="H3767" s="24">
        <f>IF($D3767="","",IFERROR(VLOOKUP($D3767,物料档案!$A$4:$P$1203,2,0),"※编码不在物料档案里"))</f>
        <v/>
      </c>
      <c r="I3767" s="24">
        <f>IF($D3767="","",IFERROR(VLOOKUP($D3767,物料档案!$A$4:$P$1203,6,0),"※编码不在物料档案里"))</f>
        <v/>
      </c>
      <c r="J3767" s="23" t="n"/>
      <c r="K3767" s="17" t="n"/>
      <c r="L3767" s="17" t="n"/>
      <c r="M3767" s="17" t="n"/>
      <c r="N3767" s="17" t="n"/>
      <c r="O3767" s="26">
        <f>IF($D3767="","",IFERROR(VLOOKUP($D3767,物料档案!$A$4:$P$1203,10,0),0))</f>
        <v/>
      </c>
      <c r="P3767" s="32" t="n"/>
      <c r="Q3767" s="26">
        <f>IF($D3767="","",IF($K3767&lt;&gt;"对外销售",0,ROUND(N($J3767)*IF($P3767="",N($O3767),N($P3767)),0)))</f>
        <v/>
      </c>
      <c r="R3767" s="26">
        <f>IF($D3767="","",IFERROR(VLOOKUP($D3767,库存台账!$A$5:$Y$1204,11,0),0))</f>
        <v/>
      </c>
      <c r="S3767" s="26">
        <f>IF($D3767="","",ROUND(N($J3767)*N($R3767),0))</f>
        <v/>
      </c>
      <c r="T3767" s="26">
        <f>IF($D3767="","",IF($K3767&lt;&gt;"对外销售","",ROUND($Q3767-$S3767,0)))</f>
        <v/>
      </c>
      <c r="U3767" s="17" t="n"/>
      <c r="V3767" s="17" t="n"/>
      <c r="W3767" s="24">
        <f>IF($D3767="","",IF($E3767="※编码不在物料档案里","※物料编码不在档案里",IF(N($J3767)&lt;=0,"※出库数量要大于 0",IF($K3767="","※没填去向类型",IF($L3767="","※没填去向矿区",IF(AND($C3767&lt;&gt;"",$C3767&lt;=结账锁),"※日期早于已结账截止日，不能再录",IF(AND($K3767="自用消耗",COUNTIF({"一矿区";"二矿区"},$L3767)=0),"※自用消耗的去向只能是一矿区或二矿区",IF(AND($K3767="对外销售",COUNTIF({"三矿区";"六矿区"},$L3767)=0),"※对外销售的去向只能是三矿区或六矿区",IF(AND($K3767="对外销售",ROUND($Q3767,0)=0),"※外销却没有售价，请填实际售价",IF(AND($K3767="对外销售",$T3767&lt;&gt;"",$T3767&lt;0),"※这一笔外销是亏的，请核对售价",IF(IFERROR(VLOOKUP($D3767,库存台账!$A$5:$Y$1204,24,0),0)&lt;-0.001,"※这个物料账面已经变成负数了，查一下是不是漏记入库","")))))))))))</f>
        <v/>
      </c>
    </row>
    <row r="3768">
      <c r="A3768" s="24">
        <f>IF($D3768="","",COUNTA($D$4:$D3768))</f>
        <v/>
      </c>
      <c r="B3768" s="17" t="n"/>
      <c r="C3768" s="30" t="n"/>
      <c r="D3768" s="17" t="n"/>
      <c r="E3768" s="24">
        <f>IF($D3768="","",IFERROR(VLOOKUP($D3768,物料档案!$A$4:$P$1203,3,0),"※编码不在物料档案里"))</f>
        <v/>
      </c>
      <c r="F3768" s="24">
        <f>IF($D3768="","",IFERROR(VLOOKUP($D3768,物料档案!$A$4:$P$1203,4,0),"※编码不在物料档案里"))</f>
        <v/>
      </c>
      <c r="G3768" s="24">
        <f>IF($D3768="","",IFERROR(VLOOKUP($D3768,物料档案!$A$4:$P$1203,5,0),"※编码不在物料档案里"))</f>
        <v/>
      </c>
      <c r="H3768" s="24">
        <f>IF($D3768="","",IFERROR(VLOOKUP($D3768,物料档案!$A$4:$P$1203,2,0),"※编码不在物料档案里"))</f>
        <v/>
      </c>
      <c r="I3768" s="24">
        <f>IF($D3768="","",IFERROR(VLOOKUP($D3768,物料档案!$A$4:$P$1203,6,0),"※编码不在物料档案里"))</f>
        <v/>
      </c>
      <c r="J3768" s="23" t="n"/>
      <c r="K3768" s="17" t="n"/>
      <c r="L3768" s="17" t="n"/>
      <c r="M3768" s="17" t="n"/>
      <c r="N3768" s="17" t="n"/>
      <c r="O3768" s="26">
        <f>IF($D3768="","",IFERROR(VLOOKUP($D3768,物料档案!$A$4:$P$1203,10,0),0))</f>
        <v/>
      </c>
      <c r="P3768" s="32" t="n"/>
      <c r="Q3768" s="26">
        <f>IF($D3768="","",IF($K3768&lt;&gt;"对外销售",0,ROUND(N($J3768)*IF($P3768="",N($O3768),N($P3768)),0)))</f>
        <v/>
      </c>
      <c r="R3768" s="26">
        <f>IF($D3768="","",IFERROR(VLOOKUP($D3768,库存台账!$A$5:$Y$1204,11,0),0))</f>
        <v/>
      </c>
      <c r="S3768" s="26">
        <f>IF($D3768="","",ROUND(N($J3768)*N($R3768),0))</f>
        <v/>
      </c>
      <c r="T3768" s="26">
        <f>IF($D3768="","",IF($K3768&lt;&gt;"对外销售","",ROUND($Q3768-$S3768,0)))</f>
        <v/>
      </c>
      <c r="U3768" s="17" t="n"/>
      <c r="V3768" s="17" t="n"/>
      <c r="W3768" s="24">
        <f>IF($D3768="","",IF($E3768="※编码不在物料档案里","※物料编码不在档案里",IF(N($J3768)&lt;=0,"※出库数量要大于 0",IF($K3768="","※没填去向类型",IF($L3768="","※没填去向矿区",IF(AND($C3768&lt;&gt;"",$C3768&lt;=结账锁),"※日期早于已结账截止日，不能再录",IF(AND($K3768="自用消耗",COUNTIF({"一矿区";"二矿区"},$L3768)=0),"※自用消耗的去向只能是一矿区或二矿区",IF(AND($K3768="对外销售",COUNTIF({"三矿区";"六矿区"},$L3768)=0),"※对外销售的去向只能是三矿区或六矿区",IF(AND($K3768="对外销售",ROUND($Q3768,0)=0),"※外销却没有售价，请填实际售价",IF(AND($K3768="对外销售",$T3768&lt;&gt;"",$T3768&lt;0),"※这一笔外销是亏的，请核对售价",IF(IFERROR(VLOOKUP($D3768,库存台账!$A$5:$Y$1204,24,0),0)&lt;-0.001,"※这个物料账面已经变成负数了，查一下是不是漏记入库","")))))))))))</f>
        <v/>
      </c>
    </row>
    <row r="3769">
      <c r="A3769" s="24">
        <f>IF($D3769="","",COUNTA($D$4:$D3769))</f>
        <v/>
      </c>
      <c r="B3769" s="17" t="n"/>
      <c r="C3769" s="30" t="n"/>
      <c r="D3769" s="17" t="n"/>
      <c r="E3769" s="24">
        <f>IF($D3769="","",IFERROR(VLOOKUP($D3769,物料档案!$A$4:$P$1203,3,0),"※编码不在物料档案里"))</f>
        <v/>
      </c>
      <c r="F3769" s="24">
        <f>IF($D3769="","",IFERROR(VLOOKUP($D3769,物料档案!$A$4:$P$1203,4,0),"※编码不在物料档案里"))</f>
        <v/>
      </c>
      <c r="G3769" s="24">
        <f>IF($D3769="","",IFERROR(VLOOKUP($D3769,物料档案!$A$4:$P$1203,5,0),"※编码不在物料档案里"))</f>
        <v/>
      </c>
      <c r="H3769" s="24">
        <f>IF($D3769="","",IFERROR(VLOOKUP($D3769,物料档案!$A$4:$P$1203,2,0),"※编码不在物料档案里"))</f>
        <v/>
      </c>
      <c r="I3769" s="24">
        <f>IF($D3769="","",IFERROR(VLOOKUP($D3769,物料档案!$A$4:$P$1203,6,0),"※编码不在物料档案里"))</f>
        <v/>
      </c>
      <c r="J3769" s="23" t="n"/>
      <c r="K3769" s="17" t="n"/>
      <c r="L3769" s="17" t="n"/>
      <c r="M3769" s="17" t="n"/>
      <c r="N3769" s="17" t="n"/>
      <c r="O3769" s="26">
        <f>IF($D3769="","",IFERROR(VLOOKUP($D3769,物料档案!$A$4:$P$1203,10,0),0))</f>
        <v/>
      </c>
      <c r="P3769" s="32" t="n"/>
      <c r="Q3769" s="26">
        <f>IF($D3769="","",IF($K3769&lt;&gt;"对外销售",0,ROUND(N($J3769)*IF($P3769="",N($O3769),N($P3769)),0)))</f>
        <v/>
      </c>
      <c r="R3769" s="26">
        <f>IF($D3769="","",IFERROR(VLOOKUP($D3769,库存台账!$A$5:$Y$1204,11,0),0))</f>
        <v/>
      </c>
      <c r="S3769" s="26">
        <f>IF($D3769="","",ROUND(N($J3769)*N($R3769),0))</f>
        <v/>
      </c>
      <c r="T3769" s="26">
        <f>IF($D3769="","",IF($K3769&lt;&gt;"对外销售","",ROUND($Q3769-$S3769,0)))</f>
        <v/>
      </c>
      <c r="U3769" s="17" t="n"/>
      <c r="V3769" s="17" t="n"/>
      <c r="W3769" s="24">
        <f>IF($D3769="","",IF($E3769="※编码不在物料档案里","※物料编码不在档案里",IF(N($J3769)&lt;=0,"※出库数量要大于 0",IF($K3769="","※没填去向类型",IF($L3769="","※没填去向矿区",IF(AND($C3769&lt;&gt;"",$C3769&lt;=结账锁),"※日期早于已结账截止日，不能再录",IF(AND($K3769="自用消耗",COUNTIF({"一矿区";"二矿区"},$L3769)=0),"※自用消耗的去向只能是一矿区或二矿区",IF(AND($K3769="对外销售",COUNTIF({"三矿区";"六矿区"},$L3769)=0),"※对外销售的去向只能是三矿区或六矿区",IF(AND($K3769="对外销售",ROUND($Q3769,0)=0),"※外销却没有售价，请填实际售价",IF(AND($K3769="对外销售",$T3769&lt;&gt;"",$T3769&lt;0),"※这一笔外销是亏的，请核对售价",IF(IFERROR(VLOOKUP($D3769,库存台账!$A$5:$Y$1204,24,0),0)&lt;-0.001,"※这个物料账面已经变成负数了，查一下是不是漏记入库","")))))))))))</f>
        <v/>
      </c>
    </row>
    <row r="3770">
      <c r="A3770" s="24">
        <f>IF($D3770="","",COUNTA($D$4:$D3770))</f>
        <v/>
      </c>
      <c r="B3770" s="17" t="n"/>
      <c r="C3770" s="30" t="n"/>
      <c r="D3770" s="17" t="n"/>
      <c r="E3770" s="24">
        <f>IF($D3770="","",IFERROR(VLOOKUP($D3770,物料档案!$A$4:$P$1203,3,0),"※编码不在物料档案里"))</f>
        <v/>
      </c>
      <c r="F3770" s="24">
        <f>IF($D3770="","",IFERROR(VLOOKUP($D3770,物料档案!$A$4:$P$1203,4,0),"※编码不在物料档案里"))</f>
        <v/>
      </c>
      <c r="G3770" s="24">
        <f>IF($D3770="","",IFERROR(VLOOKUP($D3770,物料档案!$A$4:$P$1203,5,0),"※编码不在物料档案里"))</f>
        <v/>
      </c>
      <c r="H3770" s="24">
        <f>IF($D3770="","",IFERROR(VLOOKUP($D3770,物料档案!$A$4:$P$1203,2,0),"※编码不在物料档案里"))</f>
        <v/>
      </c>
      <c r="I3770" s="24">
        <f>IF($D3770="","",IFERROR(VLOOKUP($D3770,物料档案!$A$4:$P$1203,6,0),"※编码不在物料档案里"))</f>
        <v/>
      </c>
      <c r="J3770" s="23" t="n"/>
      <c r="K3770" s="17" t="n"/>
      <c r="L3770" s="17" t="n"/>
      <c r="M3770" s="17" t="n"/>
      <c r="N3770" s="17" t="n"/>
      <c r="O3770" s="26">
        <f>IF($D3770="","",IFERROR(VLOOKUP($D3770,物料档案!$A$4:$P$1203,10,0),0))</f>
        <v/>
      </c>
      <c r="P3770" s="32" t="n"/>
      <c r="Q3770" s="26">
        <f>IF($D3770="","",IF($K3770&lt;&gt;"对外销售",0,ROUND(N($J3770)*IF($P3770="",N($O3770),N($P3770)),0)))</f>
        <v/>
      </c>
      <c r="R3770" s="26">
        <f>IF($D3770="","",IFERROR(VLOOKUP($D3770,库存台账!$A$5:$Y$1204,11,0),0))</f>
        <v/>
      </c>
      <c r="S3770" s="26">
        <f>IF($D3770="","",ROUND(N($J3770)*N($R3770),0))</f>
        <v/>
      </c>
      <c r="T3770" s="26">
        <f>IF($D3770="","",IF($K3770&lt;&gt;"对外销售","",ROUND($Q3770-$S3770,0)))</f>
        <v/>
      </c>
      <c r="U3770" s="17" t="n"/>
      <c r="V3770" s="17" t="n"/>
      <c r="W3770" s="24">
        <f>IF($D3770="","",IF($E3770="※编码不在物料档案里","※物料编码不在档案里",IF(N($J3770)&lt;=0,"※出库数量要大于 0",IF($K3770="","※没填去向类型",IF($L3770="","※没填去向矿区",IF(AND($C3770&lt;&gt;"",$C3770&lt;=结账锁),"※日期早于已结账截止日，不能再录",IF(AND($K3770="自用消耗",COUNTIF({"一矿区";"二矿区"},$L3770)=0),"※自用消耗的去向只能是一矿区或二矿区",IF(AND($K3770="对外销售",COUNTIF({"三矿区";"六矿区"},$L3770)=0),"※对外销售的去向只能是三矿区或六矿区",IF(AND($K3770="对外销售",ROUND($Q3770,0)=0),"※外销却没有售价，请填实际售价",IF(AND($K3770="对外销售",$T3770&lt;&gt;"",$T3770&lt;0),"※这一笔外销是亏的，请核对售价",IF(IFERROR(VLOOKUP($D3770,库存台账!$A$5:$Y$1204,24,0),0)&lt;-0.001,"※这个物料账面已经变成负数了，查一下是不是漏记入库","")))))))))))</f>
        <v/>
      </c>
    </row>
    <row r="3771">
      <c r="A3771" s="24">
        <f>IF($D3771="","",COUNTA($D$4:$D3771))</f>
        <v/>
      </c>
      <c r="B3771" s="17" t="n"/>
      <c r="C3771" s="30" t="n"/>
      <c r="D3771" s="17" t="n"/>
      <c r="E3771" s="24">
        <f>IF($D3771="","",IFERROR(VLOOKUP($D3771,物料档案!$A$4:$P$1203,3,0),"※编码不在物料档案里"))</f>
        <v/>
      </c>
      <c r="F3771" s="24">
        <f>IF($D3771="","",IFERROR(VLOOKUP($D3771,物料档案!$A$4:$P$1203,4,0),"※编码不在物料档案里"))</f>
        <v/>
      </c>
      <c r="G3771" s="24">
        <f>IF($D3771="","",IFERROR(VLOOKUP($D3771,物料档案!$A$4:$P$1203,5,0),"※编码不在物料档案里"))</f>
        <v/>
      </c>
      <c r="H3771" s="24">
        <f>IF($D3771="","",IFERROR(VLOOKUP($D3771,物料档案!$A$4:$P$1203,2,0),"※编码不在物料档案里"))</f>
        <v/>
      </c>
      <c r="I3771" s="24">
        <f>IF($D3771="","",IFERROR(VLOOKUP($D3771,物料档案!$A$4:$P$1203,6,0),"※编码不在物料档案里"))</f>
        <v/>
      </c>
      <c r="J3771" s="23" t="n"/>
      <c r="K3771" s="17" t="n"/>
      <c r="L3771" s="17" t="n"/>
      <c r="M3771" s="17" t="n"/>
      <c r="N3771" s="17" t="n"/>
      <c r="O3771" s="26">
        <f>IF($D3771="","",IFERROR(VLOOKUP($D3771,物料档案!$A$4:$P$1203,10,0),0))</f>
        <v/>
      </c>
      <c r="P3771" s="32" t="n"/>
      <c r="Q3771" s="26">
        <f>IF($D3771="","",IF($K3771&lt;&gt;"对外销售",0,ROUND(N($J3771)*IF($P3771="",N($O3771),N($P3771)),0)))</f>
        <v/>
      </c>
      <c r="R3771" s="26">
        <f>IF($D3771="","",IFERROR(VLOOKUP($D3771,库存台账!$A$5:$Y$1204,11,0),0))</f>
        <v/>
      </c>
      <c r="S3771" s="26">
        <f>IF($D3771="","",ROUND(N($J3771)*N($R3771),0))</f>
        <v/>
      </c>
      <c r="T3771" s="26">
        <f>IF($D3771="","",IF($K3771&lt;&gt;"对外销售","",ROUND($Q3771-$S3771,0)))</f>
        <v/>
      </c>
      <c r="U3771" s="17" t="n"/>
      <c r="V3771" s="17" t="n"/>
      <c r="W3771" s="24">
        <f>IF($D3771="","",IF($E3771="※编码不在物料档案里","※物料编码不在档案里",IF(N($J3771)&lt;=0,"※出库数量要大于 0",IF($K3771="","※没填去向类型",IF($L3771="","※没填去向矿区",IF(AND($C3771&lt;&gt;"",$C3771&lt;=结账锁),"※日期早于已结账截止日，不能再录",IF(AND($K3771="自用消耗",COUNTIF({"一矿区";"二矿区"},$L3771)=0),"※自用消耗的去向只能是一矿区或二矿区",IF(AND($K3771="对外销售",COUNTIF({"三矿区";"六矿区"},$L3771)=0),"※对外销售的去向只能是三矿区或六矿区",IF(AND($K3771="对外销售",ROUND($Q3771,0)=0),"※外销却没有售价，请填实际售价",IF(AND($K3771="对外销售",$T3771&lt;&gt;"",$T3771&lt;0),"※这一笔外销是亏的，请核对售价",IF(IFERROR(VLOOKUP($D3771,库存台账!$A$5:$Y$1204,24,0),0)&lt;-0.001,"※这个物料账面已经变成负数了，查一下是不是漏记入库","")))))))))))</f>
        <v/>
      </c>
    </row>
    <row r="3772">
      <c r="A3772" s="24">
        <f>IF($D3772="","",COUNTA($D$4:$D3772))</f>
        <v/>
      </c>
      <c r="B3772" s="17" t="n"/>
      <c r="C3772" s="30" t="n"/>
      <c r="D3772" s="17" t="n"/>
      <c r="E3772" s="24">
        <f>IF($D3772="","",IFERROR(VLOOKUP($D3772,物料档案!$A$4:$P$1203,3,0),"※编码不在物料档案里"))</f>
        <v/>
      </c>
      <c r="F3772" s="24">
        <f>IF($D3772="","",IFERROR(VLOOKUP($D3772,物料档案!$A$4:$P$1203,4,0),"※编码不在物料档案里"))</f>
        <v/>
      </c>
      <c r="G3772" s="24">
        <f>IF($D3772="","",IFERROR(VLOOKUP($D3772,物料档案!$A$4:$P$1203,5,0),"※编码不在物料档案里"))</f>
        <v/>
      </c>
      <c r="H3772" s="24">
        <f>IF($D3772="","",IFERROR(VLOOKUP($D3772,物料档案!$A$4:$P$1203,2,0),"※编码不在物料档案里"))</f>
        <v/>
      </c>
      <c r="I3772" s="24">
        <f>IF($D3772="","",IFERROR(VLOOKUP($D3772,物料档案!$A$4:$P$1203,6,0),"※编码不在物料档案里"))</f>
        <v/>
      </c>
      <c r="J3772" s="23" t="n"/>
      <c r="K3772" s="17" t="n"/>
      <c r="L3772" s="17" t="n"/>
      <c r="M3772" s="17" t="n"/>
      <c r="N3772" s="17" t="n"/>
      <c r="O3772" s="26">
        <f>IF($D3772="","",IFERROR(VLOOKUP($D3772,物料档案!$A$4:$P$1203,10,0),0))</f>
        <v/>
      </c>
      <c r="P3772" s="32" t="n"/>
      <c r="Q3772" s="26">
        <f>IF($D3772="","",IF($K3772&lt;&gt;"对外销售",0,ROUND(N($J3772)*IF($P3772="",N($O3772),N($P3772)),0)))</f>
        <v/>
      </c>
      <c r="R3772" s="26">
        <f>IF($D3772="","",IFERROR(VLOOKUP($D3772,库存台账!$A$5:$Y$1204,11,0),0))</f>
        <v/>
      </c>
      <c r="S3772" s="26">
        <f>IF($D3772="","",ROUND(N($J3772)*N($R3772),0))</f>
        <v/>
      </c>
      <c r="T3772" s="26">
        <f>IF($D3772="","",IF($K3772&lt;&gt;"对外销售","",ROUND($Q3772-$S3772,0)))</f>
        <v/>
      </c>
      <c r="U3772" s="17" t="n"/>
      <c r="V3772" s="17" t="n"/>
      <c r="W3772" s="24">
        <f>IF($D3772="","",IF($E3772="※编码不在物料档案里","※物料编码不在档案里",IF(N($J3772)&lt;=0,"※出库数量要大于 0",IF($K3772="","※没填去向类型",IF($L3772="","※没填去向矿区",IF(AND($C3772&lt;&gt;"",$C3772&lt;=结账锁),"※日期早于已结账截止日，不能再录",IF(AND($K3772="自用消耗",COUNTIF({"一矿区";"二矿区"},$L3772)=0),"※自用消耗的去向只能是一矿区或二矿区",IF(AND($K3772="对外销售",COUNTIF({"三矿区";"六矿区"},$L3772)=0),"※对外销售的去向只能是三矿区或六矿区",IF(AND($K3772="对外销售",ROUND($Q3772,0)=0),"※外销却没有售价，请填实际售价",IF(AND($K3772="对外销售",$T3772&lt;&gt;"",$T3772&lt;0),"※这一笔外销是亏的，请核对售价",IF(IFERROR(VLOOKUP($D3772,库存台账!$A$5:$Y$1204,24,0),0)&lt;-0.001,"※这个物料账面已经变成负数了，查一下是不是漏记入库","")))))))))))</f>
        <v/>
      </c>
    </row>
    <row r="3773">
      <c r="A3773" s="24">
        <f>IF($D3773="","",COUNTA($D$4:$D3773))</f>
        <v/>
      </c>
      <c r="B3773" s="17" t="n"/>
      <c r="C3773" s="30" t="n"/>
      <c r="D3773" s="17" t="n"/>
      <c r="E3773" s="24">
        <f>IF($D3773="","",IFERROR(VLOOKUP($D3773,物料档案!$A$4:$P$1203,3,0),"※编码不在物料档案里"))</f>
        <v/>
      </c>
      <c r="F3773" s="24">
        <f>IF($D3773="","",IFERROR(VLOOKUP($D3773,物料档案!$A$4:$P$1203,4,0),"※编码不在物料档案里"))</f>
        <v/>
      </c>
      <c r="G3773" s="24">
        <f>IF($D3773="","",IFERROR(VLOOKUP($D3773,物料档案!$A$4:$P$1203,5,0),"※编码不在物料档案里"))</f>
        <v/>
      </c>
      <c r="H3773" s="24">
        <f>IF($D3773="","",IFERROR(VLOOKUP($D3773,物料档案!$A$4:$P$1203,2,0),"※编码不在物料档案里"))</f>
        <v/>
      </c>
      <c r="I3773" s="24">
        <f>IF($D3773="","",IFERROR(VLOOKUP($D3773,物料档案!$A$4:$P$1203,6,0),"※编码不在物料档案里"))</f>
        <v/>
      </c>
      <c r="J3773" s="23" t="n"/>
      <c r="K3773" s="17" t="n"/>
      <c r="L3773" s="17" t="n"/>
      <c r="M3773" s="17" t="n"/>
      <c r="N3773" s="17" t="n"/>
      <c r="O3773" s="26">
        <f>IF($D3773="","",IFERROR(VLOOKUP($D3773,物料档案!$A$4:$P$1203,10,0),0))</f>
        <v/>
      </c>
      <c r="P3773" s="32" t="n"/>
      <c r="Q3773" s="26">
        <f>IF($D3773="","",IF($K3773&lt;&gt;"对外销售",0,ROUND(N($J3773)*IF($P3773="",N($O3773),N($P3773)),0)))</f>
        <v/>
      </c>
      <c r="R3773" s="26">
        <f>IF($D3773="","",IFERROR(VLOOKUP($D3773,库存台账!$A$5:$Y$1204,11,0),0))</f>
        <v/>
      </c>
      <c r="S3773" s="26">
        <f>IF($D3773="","",ROUND(N($J3773)*N($R3773),0))</f>
        <v/>
      </c>
      <c r="T3773" s="26">
        <f>IF($D3773="","",IF($K3773&lt;&gt;"对外销售","",ROUND($Q3773-$S3773,0)))</f>
        <v/>
      </c>
      <c r="U3773" s="17" t="n"/>
      <c r="V3773" s="17" t="n"/>
      <c r="W3773" s="24">
        <f>IF($D3773="","",IF($E3773="※编码不在物料档案里","※物料编码不在档案里",IF(N($J3773)&lt;=0,"※出库数量要大于 0",IF($K3773="","※没填去向类型",IF($L3773="","※没填去向矿区",IF(AND($C3773&lt;&gt;"",$C3773&lt;=结账锁),"※日期早于已结账截止日，不能再录",IF(AND($K3773="自用消耗",COUNTIF({"一矿区";"二矿区"},$L3773)=0),"※自用消耗的去向只能是一矿区或二矿区",IF(AND($K3773="对外销售",COUNTIF({"三矿区";"六矿区"},$L3773)=0),"※对外销售的去向只能是三矿区或六矿区",IF(AND($K3773="对外销售",ROUND($Q3773,0)=0),"※外销却没有售价，请填实际售价",IF(AND($K3773="对外销售",$T3773&lt;&gt;"",$T3773&lt;0),"※这一笔外销是亏的，请核对售价",IF(IFERROR(VLOOKUP($D3773,库存台账!$A$5:$Y$1204,24,0),0)&lt;-0.001,"※这个物料账面已经变成负数了，查一下是不是漏记入库","")))))))))))</f>
        <v/>
      </c>
    </row>
    <row r="3774">
      <c r="A3774" s="24">
        <f>IF($D3774="","",COUNTA($D$4:$D3774))</f>
        <v/>
      </c>
      <c r="B3774" s="17" t="n"/>
      <c r="C3774" s="30" t="n"/>
      <c r="D3774" s="17" t="n"/>
      <c r="E3774" s="24">
        <f>IF($D3774="","",IFERROR(VLOOKUP($D3774,物料档案!$A$4:$P$1203,3,0),"※编码不在物料档案里"))</f>
        <v/>
      </c>
      <c r="F3774" s="24">
        <f>IF($D3774="","",IFERROR(VLOOKUP($D3774,物料档案!$A$4:$P$1203,4,0),"※编码不在物料档案里"))</f>
        <v/>
      </c>
      <c r="G3774" s="24">
        <f>IF($D3774="","",IFERROR(VLOOKUP($D3774,物料档案!$A$4:$P$1203,5,0),"※编码不在物料档案里"))</f>
        <v/>
      </c>
      <c r="H3774" s="24">
        <f>IF($D3774="","",IFERROR(VLOOKUP($D3774,物料档案!$A$4:$P$1203,2,0),"※编码不在物料档案里"))</f>
        <v/>
      </c>
      <c r="I3774" s="24">
        <f>IF($D3774="","",IFERROR(VLOOKUP($D3774,物料档案!$A$4:$P$1203,6,0),"※编码不在物料档案里"))</f>
        <v/>
      </c>
      <c r="J3774" s="23" t="n"/>
      <c r="K3774" s="17" t="n"/>
      <c r="L3774" s="17" t="n"/>
      <c r="M3774" s="17" t="n"/>
      <c r="N3774" s="17" t="n"/>
      <c r="O3774" s="26">
        <f>IF($D3774="","",IFERROR(VLOOKUP($D3774,物料档案!$A$4:$P$1203,10,0),0))</f>
        <v/>
      </c>
      <c r="P3774" s="32" t="n"/>
      <c r="Q3774" s="26">
        <f>IF($D3774="","",IF($K3774&lt;&gt;"对外销售",0,ROUND(N($J3774)*IF($P3774="",N($O3774),N($P3774)),0)))</f>
        <v/>
      </c>
      <c r="R3774" s="26">
        <f>IF($D3774="","",IFERROR(VLOOKUP($D3774,库存台账!$A$5:$Y$1204,11,0),0))</f>
        <v/>
      </c>
      <c r="S3774" s="26">
        <f>IF($D3774="","",ROUND(N($J3774)*N($R3774),0))</f>
        <v/>
      </c>
      <c r="T3774" s="26">
        <f>IF($D3774="","",IF($K3774&lt;&gt;"对外销售","",ROUND($Q3774-$S3774,0)))</f>
        <v/>
      </c>
      <c r="U3774" s="17" t="n"/>
      <c r="V3774" s="17" t="n"/>
      <c r="W3774" s="24">
        <f>IF($D3774="","",IF($E3774="※编码不在物料档案里","※物料编码不在档案里",IF(N($J3774)&lt;=0,"※出库数量要大于 0",IF($K3774="","※没填去向类型",IF($L3774="","※没填去向矿区",IF(AND($C3774&lt;&gt;"",$C3774&lt;=结账锁),"※日期早于已结账截止日，不能再录",IF(AND($K3774="自用消耗",COUNTIF({"一矿区";"二矿区"},$L3774)=0),"※自用消耗的去向只能是一矿区或二矿区",IF(AND($K3774="对外销售",COUNTIF({"三矿区";"六矿区"},$L3774)=0),"※对外销售的去向只能是三矿区或六矿区",IF(AND($K3774="对外销售",ROUND($Q3774,0)=0),"※外销却没有售价，请填实际售价",IF(AND($K3774="对外销售",$T3774&lt;&gt;"",$T3774&lt;0),"※这一笔外销是亏的，请核对售价",IF(IFERROR(VLOOKUP($D3774,库存台账!$A$5:$Y$1204,24,0),0)&lt;-0.001,"※这个物料账面已经变成负数了，查一下是不是漏记入库","")))))))))))</f>
        <v/>
      </c>
    </row>
    <row r="3775">
      <c r="A3775" s="24">
        <f>IF($D3775="","",COUNTA($D$4:$D3775))</f>
        <v/>
      </c>
      <c r="B3775" s="17" t="n"/>
      <c r="C3775" s="30" t="n"/>
      <c r="D3775" s="17" t="n"/>
      <c r="E3775" s="24">
        <f>IF($D3775="","",IFERROR(VLOOKUP($D3775,物料档案!$A$4:$P$1203,3,0),"※编码不在物料档案里"))</f>
        <v/>
      </c>
      <c r="F3775" s="24">
        <f>IF($D3775="","",IFERROR(VLOOKUP($D3775,物料档案!$A$4:$P$1203,4,0),"※编码不在物料档案里"))</f>
        <v/>
      </c>
      <c r="G3775" s="24">
        <f>IF($D3775="","",IFERROR(VLOOKUP($D3775,物料档案!$A$4:$P$1203,5,0),"※编码不在物料档案里"))</f>
        <v/>
      </c>
      <c r="H3775" s="24">
        <f>IF($D3775="","",IFERROR(VLOOKUP($D3775,物料档案!$A$4:$P$1203,2,0),"※编码不在物料档案里"))</f>
        <v/>
      </c>
      <c r="I3775" s="24">
        <f>IF($D3775="","",IFERROR(VLOOKUP($D3775,物料档案!$A$4:$P$1203,6,0),"※编码不在物料档案里"))</f>
        <v/>
      </c>
      <c r="J3775" s="23" t="n"/>
      <c r="K3775" s="17" t="n"/>
      <c r="L3775" s="17" t="n"/>
      <c r="M3775" s="17" t="n"/>
      <c r="N3775" s="17" t="n"/>
      <c r="O3775" s="26">
        <f>IF($D3775="","",IFERROR(VLOOKUP($D3775,物料档案!$A$4:$P$1203,10,0),0))</f>
        <v/>
      </c>
      <c r="P3775" s="32" t="n"/>
      <c r="Q3775" s="26">
        <f>IF($D3775="","",IF($K3775&lt;&gt;"对外销售",0,ROUND(N($J3775)*IF($P3775="",N($O3775),N($P3775)),0)))</f>
        <v/>
      </c>
      <c r="R3775" s="26">
        <f>IF($D3775="","",IFERROR(VLOOKUP($D3775,库存台账!$A$5:$Y$1204,11,0),0))</f>
        <v/>
      </c>
      <c r="S3775" s="26">
        <f>IF($D3775="","",ROUND(N($J3775)*N($R3775),0))</f>
        <v/>
      </c>
      <c r="T3775" s="26">
        <f>IF($D3775="","",IF($K3775&lt;&gt;"对外销售","",ROUND($Q3775-$S3775,0)))</f>
        <v/>
      </c>
      <c r="U3775" s="17" t="n"/>
      <c r="V3775" s="17" t="n"/>
      <c r="W3775" s="24">
        <f>IF($D3775="","",IF($E3775="※编码不在物料档案里","※物料编码不在档案里",IF(N($J3775)&lt;=0,"※出库数量要大于 0",IF($K3775="","※没填去向类型",IF($L3775="","※没填去向矿区",IF(AND($C3775&lt;&gt;"",$C3775&lt;=结账锁),"※日期早于已结账截止日，不能再录",IF(AND($K3775="自用消耗",COUNTIF({"一矿区";"二矿区"},$L3775)=0),"※自用消耗的去向只能是一矿区或二矿区",IF(AND($K3775="对外销售",COUNTIF({"三矿区";"六矿区"},$L3775)=0),"※对外销售的去向只能是三矿区或六矿区",IF(AND($K3775="对外销售",ROUND($Q3775,0)=0),"※外销却没有售价，请填实际售价",IF(AND($K3775="对外销售",$T3775&lt;&gt;"",$T3775&lt;0),"※这一笔外销是亏的，请核对售价",IF(IFERROR(VLOOKUP($D3775,库存台账!$A$5:$Y$1204,24,0),0)&lt;-0.001,"※这个物料账面已经变成负数了，查一下是不是漏记入库","")))))))))))</f>
        <v/>
      </c>
    </row>
    <row r="3776">
      <c r="A3776" s="24">
        <f>IF($D3776="","",COUNTA($D$4:$D3776))</f>
        <v/>
      </c>
      <c r="B3776" s="17" t="n"/>
      <c r="C3776" s="30" t="n"/>
      <c r="D3776" s="17" t="n"/>
      <c r="E3776" s="24">
        <f>IF($D3776="","",IFERROR(VLOOKUP($D3776,物料档案!$A$4:$P$1203,3,0),"※编码不在物料档案里"))</f>
        <v/>
      </c>
      <c r="F3776" s="24">
        <f>IF($D3776="","",IFERROR(VLOOKUP($D3776,物料档案!$A$4:$P$1203,4,0),"※编码不在物料档案里"))</f>
        <v/>
      </c>
      <c r="G3776" s="24">
        <f>IF($D3776="","",IFERROR(VLOOKUP($D3776,物料档案!$A$4:$P$1203,5,0),"※编码不在物料档案里"))</f>
        <v/>
      </c>
      <c r="H3776" s="24">
        <f>IF($D3776="","",IFERROR(VLOOKUP($D3776,物料档案!$A$4:$P$1203,2,0),"※编码不在物料档案里"))</f>
        <v/>
      </c>
      <c r="I3776" s="24">
        <f>IF($D3776="","",IFERROR(VLOOKUP($D3776,物料档案!$A$4:$P$1203,6,0),"※编码不在物料档案里"))</f>
        <v/>
      </c>
      <c r="J3776" s="23" t="n"/>
      <c r="K3776" s="17" t="n"/>
      <c r="L3776" s="17" t="n"/>
      <c r="M3776" s="17" t="n"/>
      <c r="N3776" s="17" t="n"/>
      <c r="O3776" s="26">
        <f>IF($D3776="","",IFERROR(VLOOKUP($D3776,物料档案!$A$4:$P$1203,10,0),0))</f>
        <v/>
      </c>
      <c r="P3776" s="32" t="n"/>
      <c r="Q3776" s="26">
        <f>IF($D3776="","",IF($K3776&lt;&gt;"对外销售",0,ROUND(N($J3776)*IF($P3776="",N($O3776),N($P3776)),0)))</f>
        <v/>
      </c>
      <c r="R3776" s="26">
        <f>IF($D3776="","",IFERROR(VLOOKUP($D3776,库存台账!$A$5:$Y$1204,11,0),0))</f>
        <v/>
      </c>
      <c r="S3776" s="26">
        <f>IF($D3776="","",ROUND(N($J3776)*N($R3776),0))</f>
        <v/>
      </c>
      <c r="T3776" s="26">
        <f>IF($D3776="","",IF($K3776&lt;&gt;"对外销售","",ROUND($Q3776-$S3776,0)))</f>
        <v/>
      </c>
      <c r="U3776" s="17" t="n"/>
      <c r="V3776" s="17" t="n"/>
      <c r="W3776" s="24">
        <f>IF($D3776="","",IF($E3776="※编码不在物料档案里","※物料编码不在档案里",IF(N($J3776)&lt;=0,"※出库数量要大于 0",IF($K3776="","※没填去向类型",IF($L3776="","※没填去向矿区",IF(AND($C3776&lt;&gt;"",$C3776&lt;=结账锁),"※日期早于已结账截止日，不能再录",IF(AND($K3776="自用消耗",COUNTIF({"一矿区";"二矿区"},$L3776)=0),"※自用消耗的去向只能是一矿区或二矿区",IF(AND($K3776="对外销售",COUNTIF({"三矿区";"六矿区"},$L3776)=0),"※对外销售的去向只能是三矿区或六矿区",IF(AND($K3776="对外销售",ROUND($Q3776,0)=0),"※外销却没有售价，请填实际售价",IF(AND($K3776="对外销售",$T3776&lt;&gt;"",$T3776&lt;0),"※这一笔外销是亏的，请核对售价",IF(IFERROR(VLOOKUP($D3776,库存台账!$A$5:$Y$1204,24,0),0)&lt;-0.001,"※这个物料账面已经变成负数了，查一下是不是漏记入库","")))))))))))</f>
        <v/>
      </c>
    </row>
    <row r="3777">
      <c r="A3777" s="24">
        <f>IF($D3777="","",COUNTA($D$4:$D3777))</f>
        <v/>
      </c>
      <c r="B3777" s="17" t="n"/>
      <c r="C3777" s="30" t="n"/>
      <c r="D3777" s="17" t="n"/>
      <c r="E3777" s="24">
        <f>IF($D3777="","",IFERROR(VLOOKUP($D3777,物料档案!$A$4:$P$1203,3,0),"※编码不在物料档案里"))</f>
        <v/>
      </c>
      <c r="F3777" s="24">
        <f>IF($D3777="","",IFERROR(VLOOKUP($D3777,物料档案!$A$4:$P$1203,4,0),"※编码不在物料档案里"))</f>
        <v/>
      </c>
      <c r="G3777" s="24">
        <f>IF($D3777="","",IFERROR(VLOOKUP($D3777,物料档案!$A$4:$P$1203,5,0),"※编码不在物料档案里"))</f>
        <v/>
      </c>
      <c r="H3777" s="24">
        <f>IF($D3777="","",IFERROR(VLOOKUP($D3777,物料档案!$A$4:$P$1203,2,0),"※编码不在物料档案里"))</f>
        <v/>
      </c>
      <c r="I3777" s="24">
        <f>IF($D3777="","",IFERROR(VLOOKUP($D3777,物料档案!$A$4:$P$1203,6,0),"※编码不在物料档案里"))</f>
        <v/>
      </c>
      <c r="J3777" s="23" t="n"/>
      <c r="K3777" s="17" t="n"/>
      <c r="L3777" s="17" t="n"/>
      <c r="M3777" s="17" t="n"/>
      <c r="N3777" s="17" t="n"/>
      <c r="O3777" s="26">
        <f>IF($D3777="","",IFERROR(VLOOKUP($D3777,物料档案!$A$4:$P$1203,10,0),0))</f>
        <v/>
      </c>
      <c r="P3777" s="32" t="n"/>
      <c r="Q3777" s="26">
        <f>IF($D3777="","",IF($K3777&lt;&gt;"对外销售",0,ROUND(N($J3777)*IF($P3777="",N($O3777),N($P3777)),0)))</f>
        <v/>
      </c>
      <c r="R3777" s="26">
        <f>IF($D3777="","",IFERROR(VLOOKUP($D3777,库存台账!$A$5:$Y$1204,11,0),0))</f>
        <v/>
      </c>
      <c r="S3777" s="26">
        <f>IF($D3777="","",ROUND(N($J3777)*N($R3777),0))</f>
        <v/>
      </c>
      <c r="T3777" s="26">
        <f>IF($D3777="","",IF($K3777&lt;&gt;"对外销售","",ROUND($Q3777-$S3777,0)))</f>
        <v/>
      </c>
      <c r="U3777" s="17" t="n"/>
      <c r="V3777" s="17" t="n"/>
      <c r="W3777" s="24">
        <f>IF($D3777="","",IF($E3777="※编码不在物料档案里","※物料编码不在档案里",IF(N($J3777)&lt;=0,"※出库数量要大于 0",IF($K3777="","※没填去向类型",IF($L3777="","※没填去向矿区",IF(AND($C3777&lt;&gt;"",$C3777&lt;=结账锁),"※日期早于已结账截止日，不能再录",IF(AND($K3777="自用消耗",COUNTIF({"一矿区";"二矿区"},$L3777)=0),"※自用消耗的去向只能是一矿区或二矿区",IF(AND($K3777="对外销售",COUNTIF({"三矿区";"六矿区"},$L3777)=0),"※对外销售的去向只能是三矿区或六矿区",IF(AND($K3777="对外销售",ROUND($Q3777,0)=0),"※外销却没有售价，请填实际售价",IF(AND($K3777="对外销售",$T3777&lt;&gt;"",$T3777&lt;0),"※这一笔外销是亏的，请核对售价",IF(IFERROR(VLOOKUP($D3777,库存台账!$A$5:$Y$1204,24,0),0)&lt;-0.001,"※这个物料账面已经变成负数了，查一下是不是漏记入库","")))))))))))</f>
        <v/>
      </c>
    </row>
    <row r="3778">
      <c r="A3778" s="24">
        <f>IF($D3778="","",COUNTA($D$4:$D3778))</f>
        <v/>
      </c>
      <c r="B3778" s="17" t="n"/>
      <c r="C3778" s="30" t="n"/>
      <c r="D3778" s="17" t="n"/>
      <c r="E3778" s="24">
        <f>IF($D3778="","",IFERROR(VLOOKUP($D3778,物料档案!$A$4:$P$1203,3,0),"※编码不在物料档案里"))</f>
        <v/>
      </c>
      <c r="F3778" s="24">
        <f>IF($D3778="","",IFERROR(VLOOKUP($D3778,物料档案!$A$4:$P$1203,4,0),"※编码不在物料档案里"))</f>
        <v/>
      </c>
      <c r="G3778" s="24">
        <f>IF($D3778="","",IFERROR(VLOOKUP($D3778,物料档案!$A$4:$P$1203,5,0),"※编码不在物料档案里"))</f>
        <v/>
      </c>
      <c r="H3778" s="24">
        <f>IF($D3778="","",IFERROR(VLOOKUP($D3778,物料档案!$A$4:$P$1203,2,0),"※编码不在物料档案里"))</f>
        <v/>
      </c>
      <c r="I3778" s="24">
        <f>IF($D3778="","",IFERROR(VLOOKUP($D3778,物料档案!$A$4:$P$1203,6,0),"※编码不在物料档案里"))</f>
        <v/>
      </c>
      <c r="J3778" s="23" t="n"/>
      <c r="K3778" s="17" t="n"/>
      <c r="L3778" s="17" t="n"/>
      <c r="M3778" s="17" t="n"/>
      <c r="N3778" s="17" t="n"/>
      <c r="O3778" s="26">
        <f>IF($D3778="","",IFERROR(VLOOKUP($D3778,物料档案!$A$4:$P$1203,10,0),0))</f>
        <v/>
      </c>
      <c r="P3778" s="32" t="n"/>
      <c r="Q3778" s="26">
        <f>IF($D3778="","",IF($K3778&lt;&gt;"对外销售",0,ROUND(N($J3778)*IF($P3778="",N($O3778),N($P3778)),0)))</f>
        <v/>
      </c>
      <c r="R3778" s="26">
        <f>IF($D3778="","",IFERROR(VLOOKUP($D3778,库存台账!$A$5:$Y$1204,11,0),0))</f>
        <v/>
      </c>
      <c r="S3778" s="26">
        <f>IF($D3778="","",ROUND(N($J3778)*N($R3778),0))</f>
        <v/>
      </c>
      <c r="T3778" s="26">
        <f>IF($D3778="","",IF($K3778&lt;&gt;"对外销售","",ROUND($Q3778-$S3778,0)))</f>
        <v/>
      </c>
      <c r="U3778" s="17" t="n"/>
      <c r="V3778" s="17" t="n"/>
      <c r="W3778" s="24">
        <f>IF($D3778="","",IF($E3778="※编码不在物料档案里","※物料编码不在档案里",IF(N($J3778)&lt;=0,"※出库数量要大于 0",IF($K3778="","※没填去向类型",IF($L3778="","※没填去向矿区",IF(AND($C3778&lt;&gt;"",$C3778&lt;=结账锁),"※日期早于已结账截止日，不能再录",IF(AND($K3778="自用消耗",COUNTIF({"一矿区";"二矿区"},$L3778)=0),"※自用消耗的去向只能是一矿区或二矿区",IF(AND($K3778="对外销售",COUNTIF({"三矿区";"六矿区"},$L3778)=0),"※对外销售的去向只能是三矿区或六矿区",IF(AND($K3778="对外销售",ROUND($Q3778,0)=0),"※外销却没有售价，请填实际售价",IF(AND($K3778="对外销售",$T3778&lt;&gt;"",$T3778&lt;0),"※这一笔外销是亏的，请核对售价",IF(IFERROR(VLOOKUP($D3778,库存台账!$A$5:$Y$1204,24,0),0)&lt;-0.001,"※这个物料账面已经变成负数了，查一下是不是漏记入库","")))))))))))</f>
        <v/>
      </c>
    </row>
    <row r="3779">
      <c r="A3779" s="24">
        <f>IF($D3779="","",COUNTA($D$4:$D3779))</f>
        <v/>
      </c>
      <c r="B3779" s="17" t="n"/>
      <c r="C3779" s="30" t="n"/>
      <c r="D3779" s="17" t="n"/>
      <c r="E3779" s="24">
        <f>IF($D3779="","",IFERROR(VLOOKUP($D3779,物料档案!$A$4:$P$1203,3,0),"※编码不在物料档案里"))</f>
        <v/>
      </c>
      <c r="F3779" s="24">
        <f>IF($D3779="","",IFERROR(VLOOKUP($D3779,物料档案!$A$4:$P$1203,4,0),"※编码不在物料档案里"))</f>
        <v/>
      </c>
      <c r="G3779" s="24">
        <f>IF($D3779="","",IFERROR(VLOOKUP($D3779,物料档案!$A$4:$P$1203,5,0),"※编码不在物料档案里"))</f>
        <v/>
      </c>
      <c r="H3779" s="24">
        <f>IF($D3779="","",IFERROR(VLOOKUP($D3779,物料档案!$A$4:$P$1203,2,0),"※编码不在物料档案里"))</f>
        <v/>
      </c>
      <c r="I3779" s="24">
        <f>IF($D3779="","",IFERROR(VLOOKUP($D3779,物料档案!$A$4:$P$1203,6,0),"※编码不在物料档案里"))</f>
        <v/>
      </c>
      <c r="J3779" s="23" t="n"/>
      <c r="K3779" s="17" t="n"/>
      <c r="L3779" s="17" t="n"/>
      <c r="M3779" s="17" t="n"/>
      <c r="N3779" s="17" t="n"/>
      <c r="O3779" s="26">
        <f>IF($D3779="","",IFERROR(VLOOKUP($D3779,物料档案!$A$4:$P$1203,10,0),0))</f>
        <v/>
      </c>
      <c r="P3779" s="32" t="n"/>
      <c r="Q3779" s="26">
        <f>IF($D3779="","",IF($K3779&lt;&gt;"对外销售",0,ROUND(N($J3779)*IF($P3779="",N($O3779),N($P3779)),0)))</f>
        <v/>
      </c>
      <c r="R3779" s="26">
        <f>IF($D3779="","",IFERROR(VLOOKUP($D3779,库存台账!$A$5:$Y$1204,11,0),0))</f>
        <v/>
      </c>
      <c r="S3779" s="26">
        <f>IF($D3779="","",ROUND(N($J3779)*N($R3779),0))</f>
        <v/>
      </c>
      <c r="T3779" s="26">
        <f>IF($D3779="","",IF($K3779&lt;&gt;"对外销售","",ROUND($Q3779-$S3779,0)))</f>
        <v/>
      </c>
      <c r="U3779" s="17" t="n"/>
      <c r="V3779" s="17" t="n"/>
      <c r="W3779" s="24">
        <f>IF($D3779="","",IF($E3779="※编码不在物料档案里","※物料编码不在档案里",IF(N($J3779)&lt;=0,"※出库数量要大于 0",IF($K3779="","※没填去向类型",IF($L3779="","※没填去向矿区",IF(AND($C3779&lt;&gt;"",$C3779&lt;=结账锁),"※日期早于已结账截止日，不能再录",IF(AND($K3779="自用消耗",COUNTIF({"一矿区";"二矿区"},$L3779)=0),"※自用消耗的去向只能是一矿区或二矿区",IF(AND($K3779="对外销售",COUNTIF({"三矿区";"六矿区"},$L3779)=0),"※对外销售的去向只能是三矿区或六矿区",IF(AND($K3779="对外销售",ROUND($Q3779,0)=0),"※外销却没有售价，请填实际售价",IF(AND($K3779="对外销售",$T3779&lt;&gt;"",$T3779&lt;0),"※这一笔外销是亏的，请核对售价",IF(IFERROR(VLOOKUP($D3779,库存台账!$A$5:$Y$1204,24,0),0)&lt;-0.001,"※这个物料账面已经变成负数了，查一下是不是漏记入库","")))))))))))</f>
        <v/>
      </c>
    </row>
    <row r="3780">
      <c r="A3780" s="24">
        <f>IF($D3780="","",COUNTA($D$4:$D3780))</f>
        <v/>
      </c>
      <c r="B3780" s="17" t="n"/>
      <c r="C3780" s="30" t="n"/>
      <c r="D3780" s="17" t="n"/>
      <c r="E3780" s="24">
        <f>IF($D3780="","",IFERROR(VLOOKUP($D3780,物料档案!$A$4:$P$1203,3,0),"※编码不在物料档案里"))</f>
        <v/>
      </c>
      <c r="F3780" s="24">
        <f>IF($D3780="","",IFERROR(VLOOKUP($D3780,物料档案!$A$4:$P$1203,4,0),"※编码不在物料档案里"))</f>
        <v/>
      </c>
      <c r="G3780" s="24">
        <f>IF($D3780="","",IFERROR(VLOOKUP($D3780,物料档案!$A$4:$P$1203,5,0),"※编码不在物料档案里"))</f>
        <v/>
      </c>
      <c r="H3780" s="24">
        <f>IF($D3780="","",IFERROR(VLOOKUP($D3780,物料档案!$A$4:$P$1203,2,0),"※编码不在物料档案里"))</f>
        <v/>
      </c>
      <c r="I3780" s="24">
        <f>IF($D3780="","",IFERROR(VLOOKUP($D3780,物料档案!$A$4:$P$1203,6,0),"※编码不在物料档案里"))</f>
        <v/>
      </c>
      <c r="J3780" s="23" t="n"/>
      <c r="K3780" s="17" t="n"/>
      <c r="L3780" s="17" t="n"/>
      <c r="M3780" s="17" t="n"/>
      <c r="N3780" s="17" t="n"/>
      <c r="O3780" s="26">
        <f>IF($D3780="","",IFERROR(VLOOKUP($D3780,物料档案!$A$4:$P$1203,10,0),0))</f>
        <v/>
      </c>
      <c r="P3780" s="32" t="n"/>
      <c r="Q3780" s="26">
        <f>IF($D3780="","",IF($K3780&lt;&gt;"对外销售",0,ROUND(N($J3780)*IF($P3780="",N($O3780),N($P3780)),0)))</f>
        <v/>
      </c>
      <c r="R3780" s="26">
        <f>IF($D3780="","",IFERROR(VLOOKUP($D3780,库存台账!$A$5:$Y$1204,11,0),0))</f>
        <v/>
      </c>
      <c r="S3780" s="26">
        <f>IF($D3780="","",ROUND(N($J3780)*N($R3780),0))</f>
        <v/>
      </c>
      <c r="T3780" s="26">
        <f>IF($D3780="","",IF($K3780&lt;&gt;"对外销售","",ROUND($Q3780-$S3780,0)))</f>
        <v/>
      </c>
      <c r="U3780" s="17" t="n"/>
      <c r="V3780" s="17" t="n"/>
      <c r="W3780" s="24">
        <f>IF($D3780="","",IF($E3780="※编码不在物料档案里","※物料编码不在档案里",IF(N($J3780)&lt;=0,"※出库数量要大于 0",IF($K3780="","※没填去向类型",IF($L3780="","※没填去向矿区",IF(AND($C3780&lt;&gt;"",$C3780&lt;=结账锁),"※日期早于已结账截止日，不能再录",IF(AND($K3780="自用消耗",COUNTIF({"一矿区";"二矿区"},$L3780)=0),"※自用消耗的去向只能是一矿区或二矿区",IF(AND($K3780="对外销售",COUNTIF({"三矿区";"六矿区"},$L3780)=0),"※对外销售的去向只能是三矿区或六矿区",IF(AND($K3780="对外销售",ROUND($Q3780,0)=0),"※外销却没有售价，请填实际售价",IF(AND($K3780="对外销售",$T3780&lt;&gt;"",$T3780&lt;0),"※这一笔外销是亏的，请核对售价",IF(IFERROR(VLOOKUP($D3780,库存台账!$A$5:$Y$1204,24,0),0)&lt;-0.001,"※这个物料账面已经变成负数了，查一下是不是漏记入库","")))))))))))</f>
        <v/>
      </c>
    </row>
    <row r="3781">
      <c r="A3781" s="24">
        <f>IF($D3781="","",COUNTA($D$4:$D3781))</f>
        <v/>
      </c>
      <c r="B3781" s="17" t="n"/>
      <c r="C3781" s="30" t="n"/>
      <c r="D3781" s="17" t="n"/>
      <c r="E3781" s="24">
        <f>IF($D3781="","",IFERROR(VLOOKUP($D3781,物料档案!$A$4:$P$1203,3,0),"※编码不在物料档案里"))</f>
        <v/>
      </c>
      <c r="F3781" s="24">
        <f>IF($D3781="","",IFERROR(VLOOKUP($D3781,物料档案!$A$4:$P$1203,4,0),"※编码不在物料档案里"))</f>
        <v/>
      </c>
      <c r="G3781" s="24">
        <f>IF($D3781="","",IFERROR(VLOOKUP($D3781,物料档案!$A$4:$P$1203,5,0),"※编码不在物料档案里"))</f>
        <v/>
      </c>
      <c r="H3781" s="24">
        <f>IF($D3781="","",IFERROR(VLOOKUP($D3781,物料档案!$A$4:$P$1203,2,0),"※编码不在物料档案里"))</f>
        <v/>
      </c>
      <c r="I3781" s="24">
        <f>IF($D3781="","",IFERROR(VLOOKUP($D3781,物料档案!$A$4:$P$1203,6,0),"※编码不在物料档案里"))</f>
        <v/>
      </c>
      <c r="J3781" s="23" t="n"/>
      <c r="K3781" s="17" t="n"/>
      <c r="L3781" s="17" t="n"/>
      <c r="M3781" s="17" t="n"/>
      <c r="N3781" s="17" t="n"/>
      <c r="O3781" s="26">
        <f>IF($D3781="","",IFERROR(VLOOKUP($D3781,物料档案!$A$4:$P$1203,10,0),0))</f>
        <v/>
      </c>
      <c r="P3781" s="32" t="n"/>
      <c r="Q3781" s="26">
        <f>IF($D3781="","",IF($K3781&lt;&gt;"对外销售",0,ROUND(N($J3781)*IF($P3781="",N($O3781),N($P3781)),0)))</f>
        <v/>
      </c>
      <c r="R3781" s="26">
        <f>IF($D3781="","",IFERROR(VLOOKUP($D3781,库存台账!$A$5:$Y$1204,11,0),0))</f>
        <v/>
      </c>
      <c r="S3781" s="26">
        <f>IF($D3781="","",ROUND(N($J3781)*N($R3781),0))</f>
        <v/>
      </c>
      <c r="T3781" s="26">
        <f>IF($D3781="","",IF($K3781&lt;&gt;"对外销售","",ROUND($Q3781-$S3781,0)))</f>
        <v/>
      </c>
      <c r="U3781" s="17" t="n"/>
      <c r="V3781" s="17" t="n"/>
      <c r="W3781" s="24">
        <f>IF($D3781="","",IF($E3781="※编码不在物料档案里","※物料编码不在档案里",IF(N($J3781)&lt;=0,"※出库数量要大于 0",IF($K3781="","※没填去向类型",IF($L3781="","※没填去向矿区",IF(AND($C3781&lt;&gt;"",$C3781&lt;=结账锁),"※日期早于已结账截止日，不能再录",IF(AND($K3781="自用消耗",COUNTIF({"一矿区";"二矿区"},$L3781)=0),"※自用消耗的去向只能是一矿区或二矿区",IF(AND($K3781="对外销售",COUNTIF({"三矿区";"六矿区"},$L3781)=0),"※对外销售的去向只能是三矿区或六矿区",IF(AND($K3781="对外销售",ROUND($Q3781,0)=0),"※外销却没有售价，请填实际售价",IF(AND($K3781="对外销售",$T3781&lt;&gt;"",$T3781&lt;0),"※这一笔外销是亏的，请核对售价",IF(IFERROR(VLOOKUP($D3781,库存台账!$A$5:$Y$1204,24,0),0)&lt;-0.001,"※这个物料账面已经变成负数了，查一下是不是漏记入库","")))))))))))</f>
        <v/>
      </c>
    </row>
    <row r="3782">
      <c r="A3782" s="24">
        <f>IF($D3782="","",COUNTA($D$4:$D3782))</f>
        <v/>
      </c>
      <c r="B3782" s="17" t="n"/>
      <c r="C3782" s="30" t="n"/>
      <c r="D3782" s="17" t="n"/>
      <c r="E3782" s="24">
        <f>IF($D3782="","",IFERROR(VLOOKUP($D3782,物料档案!$A$4:$P$1203,3,0),"※编码不在物料档案里"))</f>
        <v/>
      </c>
      <c r="F3782" s="24">
        <f>IF($D3782="","",IFERROR(VLOOKUP($D3782,物料档案!$A$4:$P$1203,4,0),"※编码不在物料档案里"))</f>
        <v/>
      </c>
      <c r="G3782" s="24">
        <f>IF($D3782="","",IFERROR(VLOOKUP($D3782,物料档案!$A$4:$P$1203,5,0),"※编码不在物料档案里"))</f>
        <v/>
      </c>
      <c r="H3782" s="24">
        <f>IF($D3782="","",IFERROR(VLOOKUP($D3782,物料档案!$A$4:$P$1203,2,0),"※编码不在物料档案里"))</f>
        <v/>
      </c>
      <c r="I3782" s="24">
        <f>IF($D3782="","",IFERROR(VLOOKUP($D3782,物料档案!$A$4:$P$1203,6,0),"※编码不在物料档案里"))</f>
        <v/>
      </c>
      <c r="J3782" s="23" t="n"/>
      <c r="K3782" s="17" t="n"/>
      <c r="L3782" s="17" t="n"/>
      <c r="M3782" s="17" t="n"/>
      <c r="N3782" s="17" t="n"/>
      <c r="O3782" s="26">
        <f>IF($D3782="","",IFERROR(VLOOKUP($D3782,物料档案!$A$4:$P$1203,10,0),0))</f>
        <v/>
      </c>
      <c r="P3782" s="32" t="n"/>
      <c r="Q3782" s="26">
        <f>IF($D3782="","",IF($K3782&lt;&gt;"对外销售",0,ROUND(N($J3782)*IF($P3782="",N($O3782),N($P3782)),0)))</f>
        <v/>
      </c>
      <c r="R3782" s="26">
        <f>IF($D3782="","",IFERROR(VLOOKUP($D3782,库存台账!$A$5:$Y$1204,11,0),0))</f>
        <v/>
      </c>
      <c r="S3782" s="26">
        <f>IF($D3782="","",ROUND(N($J3782)*N($R3782),0))</f>
        <v/>
      </c>
      <c r="T3782" s="26">
        <f>IF($D3782="","",IF($K3782&lt;&gt;"对外销售","",ROUND($Q3782-$S3782,0)))</f>
        <v/>
      </c>
      <c r="U3782" s="17" t="n"/>
      <c r="V3782" s="17" t="n"/>
      <c r="W3782" s="24">
        <f>IF($D3782="","",IF($E3782="※编码不在物料档案里","※物料编码不在档案里",IF(N($J3782)&lt;=0,"※出库数量要大于 0",IF($K3782="","※没填去向类型",IF($L3782="","※没填去向矿区",IF(AND($C3782&lt;&gt;"",$C3782&lt;=结账锁),"※日期早于已结账截止日，不能再录",IF(AND($K3782="自用消耗",COUNTIF({"一矿区";"二矿区"},$L3782)=0),"※自用消耗的去向只能是一矿区或二矿区",IF(AND($K3782="对外销售",COUNTIF({"三矿区";"六矿区"},$L3782)=0),"※对外销售的去向只能是三矿区或六矿区",IF(AND($K3782="对外销售",ROUND($Q3782,0)=0),"※外销却没有售价，请填实际售价",IF(AND($K3782="对外销售",$T3782&lt;&gt;"",$T3782&lt;0),"※这一笔外销是亏的，请核对售价",IF(IFERROR(VLOOKUP($D3782,库存台账!$A$5:$Y$1204,24,0),0)&lt;-0.001,"※这个物料账面已经变成负数了，查一下是不是漏记入库","")))))))))))</f>
        <v/>
      </c>
    </row>
    <row r="3783">
      <c r="A3783" s="24">
        <f>IF($D3783="","",COUNTA($D$4:$D3783))</f>
        <v/>
      </c>
      <c r="B3783" s="17" t="n"/>
      <c r="C3783" s="30" t="n"/>
      <c r="D3783" s="17" t="n"/>
      <c r="E3783" s="24">
        <f>IF($D3783="","",IFERROR(VLOOKUP($D3783,物料档案!$A$4:$P$1203,3,0),"※编码不在物料档案里"))</f>
        <v/>
      </c>
      <c r="F3783" s="24">
        <f>IF($D3783="","",IFERROR(VLOOKUP($D3783,物料档案!$A$4:$P$1203,4,0),"※编码不在物料档案里"))</f>
        <v/>
      </c>
      <c r="G3783" s="24">
        <f>IF($D3783="","",IFERROR(VLOOKUP($D3783,物料档案!$A$4:$P$1203,5,0),"※编码不在物料档案里"))</f>
        <v/>
      </c>
      <c r="H3783" s="24">
        <f>IF($D3783="","",IFERROR(VLOOKUP($D3783,物料档案!$A$4:$P$1203,2,0),"※编码不在物料档案里"))</f>
        <v/>
      </c>
      <c r="I3783" s="24">
        <f>IF($D3783="","",IFERROR(VLOOKUP($D3783,物料档案!$A$4:$P$1203,6,0),"※编码不在物料档案里"))</f>
        <v/>
      </c>
      <c r="J3783" s="23" t="n"/>
      <c r="K3783" s="17" t="n"/>
      <c r="L3783" s="17" t="n"/>
      <c r="M3783" s="17" t="n"/>
      <c r="N3783" s="17" t="n"/>
      <c r="O3783" s="26">
        <f>IF($D3783="","",IFERROR(VLOOKUP($D3783,物料档案!$A$4:$P$1203,10,0),0))</f>
        <v/>
      </c>
      <c r="P3783" s="32" t="n"/>
      <c r="Q3783" s="26">
        <f>IF($D3783="","",IF($K3783&lt;&gt;"对外销售",0,ROUND(N($J3783)*IF($P3783="",N($O3783),N($P3783)),0)))</f>
        <v/>
      </c>
      <c r="R3783" s="26">
        <f>IF($D3783="","",IFERROR(VLOOKUP($D3783,库存台账!$A$5:$Y$1204,11,0),0))</f>
        <v/>
      </c>
      <c r="S3783" s="26">
        <f>IF($D3783="","",ROUND(N($J3783)*N($R3783),0))</f>
        <v/>
      </c>
      <c r="T3783" s="26">
        <f>IF($D3783="","",IF($K3783&lt;&gt;"对外销售","",ROUND($Q3783-$S3783,0)))</f>
        <v/>
      </c>
      <c r="U3783" s="17" t="n"/>
      <c r="V3783" s="17" t="n"/>
      <c r="W3783" s="24">
        <f>IF($D3783="","",IF($E3783="※编码不在物料档案里","※物料编码不在档案里",IF(N($J3783)&lt;=0,"※出库数量要大于 0",IF($K3783="","※没填去向类型",IF($L3783="","※没填去向矿区",IF(AND($C3783&lt;&gt;"",$C3783&lt;=结账锁),"※日期早于已结账截止日，不能再录",IF(AND($K3783="自用消耗",COUNTIF({"一矿区";"二矿区"},$L3783)=0),"※自用消耗的去向只能是一矿区或二矿区",IF(AND($K3783="对外销售",COUNTIF({"三矿区";"六矿区"},$L3783)=0),"※对外销售的去向只能是三矿区或六矿区",IF(AND($K3783="对外销售",ROUND($Q3783,0)=0),"※外销却没有售价，请填实际售价",IF(AND($K3783="对外销售",$T3783&lt;&gt;"",$T3783&lt;0),"※这一笔外销是亏的，请核对售价",IF(IFERROR(VLOOKUP($D3783,库存台账!$A$5:$Y$1204,24,0),0)&lt;-0.001,"※这个物料账面已经变成负数了，查一下是不是漏记入库","")))))))))))</f>
        <v/>
      </c>
    </row>
    <row r="3784">
      <c r="A3784" s="24">
        <f>IF($D3784="","",COUNTA($D$4:$D3784))</f>
        <v/>
      </c>
      <c r="B3784" s="17" t="n"/>
      <c r="C3784" s="30" t="n"/>
      <c r="D3784" s="17" t="n"/>
      <c r="E3784" s="24">
        <f>IF($D3784="","",IFERROR(VLOOKUP($D3784,物料档案!$A$4:$P$1203,3,0),"※编码不在物料档案里"))</f>
        <v/>
      </c>
      <c r="F3784" s="24">
        <f>IF($D3784="","",IFERROR(VLOOKUP($D3784,物料档案!$A$4:$P$1203,4,0),"※编码不在物料档案里"))</f>
        <v/>
      </c>
      <c r="G3784" s="24">
        <f>IF($D3784="","",IFERROR(VLOOKUP($D3784,物料档案!$A$4:$P$1203,5,0),"※编码不在物料档案里"))</f>
        <v/>
      </c>
      <c r="H3784" s="24">
        <f>IF($D3784="","",IFERROR(VLOOKUP($D3784,物料档案!$A$4:$P$1203,2,0),"※编码不在物料档案里"))</f>
        <v/>
      </c>
      <c r="I3784" s="24">
        <f>IF($D3784="","",IFERROR(VLOOKUP($D3784,物料档案!$A$4:$P$1203,6,0),"※编码不在物料档案里"))</f>
        <v/>
      </c>
      <c r="J3784" s="23" t="n"/>
      <c r="K3784" s="17" t="n"/>
      <c r="L3784" s="17" t="n"/>
      <c r="M3784" s="17" t="n"/>
      <c r="N3784" s="17" t="n"/>
      <c r="O3784" s="26">
        <f>IF($D3784="","",IFERROR(VLOOKUP($D3784,物料档案!$A$4:$P$1203,10,0),0))</f>
        <v/>
      </c>
      <c r="P3784" s="32" t="n"/>
      <c r="Q3784" s="26">
        <f>IF($D3784="","",IF($K3784&lt;&gt;"对外销售",0,ROUND(N($J3784)*IF($P3784="",N($O3784),N($P3784)),0)))</f>
        <v/>
      </c>
      <c r="R3784" s="26">
        <f>IF($D3784="","",IFERROR(VLOOKUP($D3784,库存台账!$A$5:$Y$1204,11,0),0))</f>
        <v/>
      </c>
      <c r="S3784" s="26">
        <f>IF($D3784="","",ROUND(N($J3784)*N($R3784),0))</f>
        <v/>
      </c>
      <c r="T3784" s="26">
        <f>IF($D3784="","",IF($K3784&lt;&gt;"对外销售","",ROUND($Q3784-$S3784,0)))</f>
        <v/>
      </c>
      <c r="U3784" s="17" t="n"/>
      <c r="V3784" s="17" t="n"/>
      <c r="W3784" s="24">
        <f>IF($D3784="","",IF($E3784="※编码不在物料档案里","※物料编码不在档案里",IF(N($J3784)&lt;=0,"※出库数量要大于 0",IF($K3784="","※没填去向类型",IF($L3784="","※没填去向矿区",IF(AND($C3784&lt;&gt;"",$C3784&lt;=结账锁),"※日期早于已结账截止日，不能再录",IF(AND($K3784="自用消耗",COUNTIF({"一矿区";"二矿区"},$L3784)=0),"※自用消耗的去向只能是一矿区或二矿区",IF(AND($K3784="对外销售",COUNTIF({"三矿区";"六矿区"},$L3784)=0),"※对外销售的去向只能是三矿区或六矿区",IF(AND($K3784="对外销售",ROUND($Q3784,0)=0),"※外销却没有售价，请填实际售价",IF(AND($K3784="对外销售",$T3784&lt;&gt;"",$T3784&lt;0),"※这一笔外销是亏的，请核对售价",IF(IFERROR(VLOOKUP($D3784,库存台账!$A$5:$Y$1204,24,0),0)&lt;-0.001,"※这个物料账面已经变成负数了，查一下是不是漏记入库","")))))))))))</f>
        <v/>
      </c>
    </row>
    <row r="3785">
      <c r="A3785" s="24">
        <f>IF($D3785="","",COUNTA($D$4:$D3785))</f>
        <v/>
      </c>
      <c r="B3785" s="17" t="n"/>
      <c r="C3785" s="30" t="n"/>
      <c r="D3785" s="17" t="n"/>
      <c r="E3785" s="24">
        <f>IF($D3785="","",IFERROR(VLOOKUP($D3785,物料档案!$A$4:$P$1203,3,0),"※编码不在物料档案里"))</f>
        <v/>
      </c>
      <c r="F3785" s="24">
        <f>IF($D3785="","",IFERROR(VLOOKUP($D3785,物料档案!$A$4:$P$1203,4,0),"※编码不在物料档案里"))</f>
        <v/>
      </c>
      <c r="G3785" s="24">
        <f>IF($D3785="","",IFERROR(VLOOKUP($D3785,物料档案!$A$4:$P$1203,5,0),"※编码不在物料档案里"))</f>
        <v/>
      </c>
      <c r="H3785" s="24">
        <f>IF($D3785="","",IFERROR(VLOOKUP($D3785,物料档案!$A$4:$P$1203,2,0),"※编码不在物料档案里"))</f>
        <v/>
      </c>
      <c r="I3785" s="24">
        <f>IF($D3785="","",IFERROR(VLOOKUP($D3785,物料档案!$A$4:$P$1203,6,0),"※编码不在物料档案里"))</f>
        <v/>
      </c>
      <c r="J3785" s="23" t="n"/>
      <c r="K3785" s="17" t="n"/>
      <c r="L3785" s="17" t="n"/>
      <c r="M3785" s="17" t="n"/>
      <c r="N3785" s="17" t="n"/>
      <c r="O3785" s="26">
        <f>IF($D3785="","",IFERROR(VLOOKUP($D3785,物料档案!$A$4:$P$1203,10,0),0))</f>
        <v/>
      </c>
      <c r="P3785" s="32" t="n"/>
      <c r="Q3785" s="26">
        <f>IF($D3785="","",IF($K3785&lt;&gt;"对外销售",0,ROUND(N($J3785)*IF($P3785="",N($O3785),N($P3785)),0)))</f>
        <v/>
      </c>
      <c r="R3785" s="26">
        <f>IF($D3785="","",IFERROR(VLOOKUP($D3785,库存台账!$A$5:$Y$1204,11,0),0))</f>
        <v/>
      </c>
      <c r="S3785" s="26">
        <f>IF($D3785="","",ROUND(N($J3785)*N($R3785),0))</f>
        <v/>
      </c>
      <c r="T3785" s="26">
        <f>IF($D3785="","",IF($K3785&lt;&gt;"对外销售","",ROUND($Q3785-$S3785,0)))</f>
        <v/>
      </c>
      <c r="U3785" s="17" t="n"/>
      <c r="V3785" s="17" t="n"/>
      <c r="W3785" s="24">
        <f>IF($D3785="","",IF($E3785="※编码不在物料档案里","※物料编码不在档案里",IF(N($J3785)&lt;=0,"※出库数量要大于 0",IF($K3785="","※没填去向类型",IF($L3785="","※没填去向矿区",IF(AND($C3785&lt;&gt;"",$C3785&lt;=结账锁),"※日期早于已结账截止日，不能再录",IF(AND($K3785="自用消耗",COUNTIF({"一矿区";"二矿区"},$L3785)=0),"※自用消耗的去向只能是一矿区或二矿区",IF(AND($K3785="对外销售",COUNTIF({"三矿区";"六矿区"},$L3785)=0),"※对外销售的去向只能是三矿区或六矿区",IF(AND($K3785="对外销售",ROUND($Q3785,0)=0),"※外销却没有售价，请填实际售价",IF(AND($K3785="对外销售",$T3785&lt;&gt;"",$T3785&lt;0),"※这一笔外销是亏的，请核对售价",IF(IFERROR(VLOOKUP($D3785,库存台账!$A$5:$Y$1204,24,0),0)&lt;-0.001,"※这个物料账面已经变成负数了，查一下是不是漏记入库","")))))))))))</f>
        <v/>
      </c>
    </row>
    <row r="3786">
      <c r="A3786" s="24">
        <f>IF($D3786="","",COUNTA($D$4:$D3786))</f>
        <v/>
      </c>
      <c r="B3786" s="17" t="n"/>
      <c r="C3786" s="30" t="n"/>
      <c r="D3786" s="17" t="n"/>
      <c r="E3786" s="24">
        <f>IF($D3786="","",IFERROR(VLOOKUP($D3786,物料档案!$A$4:$P$1203,3,0),"※编码不在物料档案里"))</f>
        <v/>
      </c>
      <c r="F3786" s="24">
        <f>IF($D3786="","",IFERROR(VLOOKUP($D3786,物料档案!$A$4:$P$1203,4,0),"※编码不在物料档案里"))</f>
        <v/>
      </c>
      <c r="G3786" s="24">
        <f>IF($D3786="","",IFERROR(VLOOKUP($D3786,物料档案!$A$4:$P$1203,5,0),"※编码不在物料档案里"))</f>
        <v/>
      </c>
      <c r="H3786" s="24">
        <f>IF($D3786="","",IFERROR(VLOOKUP($D3786,物料档案!$A$4:$P$1203,2,0),"※编码不在物料档案里"))</f>
        <v/>
      </c>
      <c r="I3786" s="24">
        <f>IF($D3786="","",IFERROR(VLOOKUP($D3786,物料档案!$A$4:$P$1203,6,0),"※编码不在物料档案里"))</f>
        <v/>
      </c>
      <c r="J3786" s="23" t="n"/>
      <c r="K3786" s="17" t="n"/>
      <c r="L3786" s="17" t="n"/>
      <c r="M3786" s="17" t="n"/>
      <c r="N3786" s="17" t="n"/>
      <c r="O3786" s="26">
        <f>IF($D3786="","",IFERROR(VLOOKUP($D3786,物料档案!$A$4:$P$1203,10,0),0))</f>
        <v/>
      </c>
      <c r="P3786" s="32" t="n"/>
      <c r="Q3786" s="26">
        <f>IF($D3786="","",IF($K3786&lt;&gt;"对外销售",0,ROUND(N($J3786)*IF($P3786="",N($O3786),N($P3786)),0)))</f>
        <v/>
      </c>
      <c r="R3786" s="26">
        <f>IF($D3786="","",IFERROR(VLOOKUP($D3786,库存台账!$A$5:$Y$1204,11,0),0))</f>
        <v/>
      </c>
      <c r="S3786" s="26">
        <f>IF($D3786="","",ROUND(N($J3786)*N($R3786),0))</f>
        <v/>
      </c>
      <c r="T3786" s="26">
        <f>IF($D3786="","",IF($K3786&lt;&gt;"对外销售","",ROUND($Q3786-$S3786,0)))</f>
        <v/>
      </c>
      <c r="U3786" s="17" t="n"/>
      <c r="V3786" s="17" t="n"/>
      <c r="W3786" s="24">
        <f>IF($D3786="","",IF($E3786="※编码不在物料档案里","※物料编码不在档案里",IF(N($J3786)&lt;=0,"※出库数量要大于 0",IF($K3786="","※没填去向类型",IF($L3786="","※没填去向矿区",IF(AND($C3786&lt;&gt;"",$C3786&lt;=结账锁),"※日期早于已结账截止日，不能再录",IF(AND($K3786="自用消耗",COUNTIF({"一矿区";"二矿区"},$L3786)=0),"※自用消耗的去向只能是一矿区或二矿区",IF(AND($K3786="对外销售",COUNTIF({"三矿区";"六矿区"},$L3786)=0),"※对外销售的去向只能是三矿区或六矿区",IF(AND($K3786="对外销售",ROUND($Q3786,0)=0),"※外销却没有售价，请填实际售价",IF(AND($K3786="对外销售",$T3786&lt;&gt;"",$T3786&lt;0),"※这一笔外销是亏的，请核对售价",IF(IFERROR(VLOOKUP($D3786,库存台账!$A$5:$Y$1204,24,0),0)&lt;-0.001,"※这个物料账面已经变成负数了，查一下是不是漏记入库","")))))))))))</f>
        <v/>
      </c>
    </row>
    <row r="3787">
      <c r="A3787" s="24">
        <f>IF($D3787="","",COUNTA($D$4:$D3787))</f>
        <v/>
      </c>
      <c r="B3787" s="17" t="n"/>
      <c r="C3787" s="30" t="n"/>
      <c r="D3787" s="17" t="n"/>
      <c r="E3787" s="24">
        <f>IF($D3787="","",IFERROR(VLOOKUP($D3787,物料档案!$A$4:$P$1203,3,0),"※编码不在物料档案里"))</f>
        <v/>
      </c>
      <c r="F3787" s="24">
        <f>IF($D3787="","",IFERROR(VLOOKUP($D3787,物料档案!$A$4:$P$1203,4,0),"※编码不在物料档案里"))</f>
        <v/>
      </c>
      <c r="G3787" s="24">
        <f>IF($D3787="","",IFERROR(VLOOKUP($D3787,物料档案!$A$4:$P$1203,5,0),"※编码不在物料档案里"))</f>
        <v/>
      </c>
      <c r="H3787" s="24">
        <f>IF($D3787="","",IFERROR(VLOOKUP($D3787,物料档案!$A$4:$P$1203,2,0),"※编码不在物料档案里"))</f>
        <v/>
      </c>
      <c r="I3787" s="24">
        <f>IF($D3787="","",IFERROR(VLOOKUP($D3787,物料档案!$A$4:$P$1203,6,0),"※编码不在物料档案里"))</f>
        <v/>
      </c>
      <c r="J3787" s="23" t="n"/>
      <c r="K3787" s="17" t="n"/>
      <c r="L3787" s="17" t="n"/>
      <c r="M3787" s="17" t="n"/>
      <c r="N3787" s="17" t="n"/>
      <c r="O3787" s="26">
        <f>IF($D3787="","",IFERROR(VLOOKUP($D3787,物料档案!$A$4:$P$1203,10,0),0))</f>
        <v/>
      </c>
      <c r="P3787" s="32" t="n"/>
      <c r="Q3787" s="26">
        <f>IF($D3787="","",IF($K3787&lt;&gt;"对外销售",0,ROUND(N($J3787)*IF($P3787="",N($O3787),N($P3787)),0)))</f>
        <v/>
      </c>
      <c r="R3787" s="26">
        <f>IF($D3787="","",IFERROR(VLOOKUP($D3787,库存台账!$A$5:$Y$1204,11,0),0))</f>
        <v/>
      </c>
      <c r="S3787" s="26">
        <f>IF($D3787="","",ROUND(N($J3787)*N($R3787),0))</f>
        <v/>
      </c>
      <c r="T3787" s="26">
        <f>IF($D3787="","",IF($K3787&lt;&gt;"对外销售","",ROUND($Q3787-$S3787,0)))</f>
        <v/>
      </c>
      <c r="U3787" s="17" t="n"/>
      <c r="V3787" s="17" t="n"/>
      <c r="W3787" s="24">
        <f>IF($D3787="","",IF($E3787="※编码不在物料档案里","※物料编码不在档案里",IF(N($J3787)&lt;=0,"※出库数量要大于 0",IF($K3787="","※没填去向类型",IF($L3787="","※没填去向矿区",IF(AND($C3787&lt;&gt;"",$C3787&lt;=结账锁),"※日期早于已结账截止日，不能再录",IF(AND($K3787="自用消耗",COUNTIF({"一矿区";"二矿区"},$L3787)=0),"※自用消耗的去向只能是一矿区或二矿区",IF(AND($K3787="对外销售",COUNTIF({"三矿区";"六矿区"},$L3787)=0),"※对外销售的去向只能是三矿区或六矿区",IF(AND($K3787="对外销售",ROUND($Q3787,0)=0),"※外销却没有售价，请填实际售价",IF(AND($K3787="对外销售",$T3787&lt;&gt;"",$T3787&lt;0),"※这一笔外销是亏的，请核对售价",IF(IFERROR(VLOOKUP($D3787,库存台账!$A$5:$Y$1204,24,0),0)&lt;-0.001,"※这个物料账面已经变成负数了，查一下是不是漏记入库","")))))))))))</f>
        <v/>
      </c>
    </row>
    <row r="3788">
      <c r="A3788" s="24">
        <f>IF($D3788="","",COUNTA($D$4:$D3788))</f>
        <v/>
      </c>
      <c r="B3788" s="17" t="n"/>
      <c r="C3788" s="30" t="n"/>
      <c r="D3788" s="17" t="n"/>
      <c r="E3788" s="24">
        <f>IF($D3788="","",IFERROR(VLOOKUP($D3788,物料档案!$A$4:$P$1203,3,0),"※编码不在物料档案里"))</f>
        <v/>
      </c>
      <c r="F3788" s="24">
        <f>IF($D3788="","",IFERROR(VLOOKUP($D3788,物料档案!$A$4:$P$1203,4,0),"※编码不在物料档案里"))</f>
        <v/>
      </c>
      <c r="G3788" s="24">
        <f>IF($D3788="","",IFERROR(VLOOKUP($D3788,物料档案!$A$4:$P$1203,5,0),"※编码不在物料档案里"))</f>
        <v/>
      </c>
      <c r="H3788" s="24">
        <f>IF($D3788="","",IFERROR(VLOOKUP($D3788,物料档案!$A$4:$P$1203,2,0),"※编码不在物料档案里"))</f>
        <v/>
      </c>
      <c r="I3788" s="24">
        <f>IF($D3788="","",IFERROR(VLOOKUP($D3788,物料档案!$A$4:$P$1203,6,0),"※编码不在物料档案里"))</f>
        <v/>
      </c>
      <c r="J3788" s="23" t="n"/>
      <c r="K3788" s="17" t="n"/>
      <c r="L3788" s="17" t="n"/>
      <c r="M3788" s="17" t="n"/>
      <c r="N3788" s="17" t="n"/>
      <c r="O3788" s="26">
        <f>IF($D3788="","",IFERROR(VLOOKUP($D3788,物料档案!$A$4:$P$1203,10,0),0))</f>
        <v/>
      </c>
      <c r="P3788" s="32" t="n"/>
      <c r="Q3788" s="26">
        <f>IF($D3788="","",IF($K3788&lt;&gt;"对外销售",0,ROUND(N($J3788)*IF($P3788="",N($O3788),N($P3788)),0)))</f>
        <v/>
      </c>
      <c r="R3788" s="26">
        <f>IF($D3788="","",IFERROR(VLOOKUP($D3788,库存台账!$A$5:$Y$1204,11,0),0))</f>
        <v/>
      </c>
      <c r="S3788" s="26">
        <f>IF($D3788="","",ROUND(N($J3788)*N($R3788),0))</f>
        <v/>
      </c>
      <c r="T3788" s="26">
        <f>IF($D3788="","",IF($K3788&lt;&gt;"对外销售","",ROUND($Q3788-$S3788,0)))</f>
        <v/>
      </c>
      <c r="U3788" s="17" t="n"/>
      <c r="V3788" s="17" t="n"/>
      <c r="W3788" s="24">
        <f>IF($D3788="","",IF($E3788="※编码不在物料档案里","※物料编码不在档案里",IF(N($J3788)&lt;=0,"※出库数量要大于 0",IF($K3788="","※没填去向类型",IF($L3788="","※没填去向矿区",IF(AND($C3788&lt;&gt;"",$C3788&lt;=结账锁),"※日期早于已结账截止日，不能再录",IF(AND($K3788="自用消耗",COUNTIF({"一矿区";"二矿区"},$L3788)=0),"※自用消耗的去向只能是一矿区或二矿区",IF(AND($K3788="对外销售",COUNTIF({"三矿区";"六矿区"},$L3788)=0),"※对外销售的去向只能是三矿区或六矿区",IF(AND($K3788="对外销售",ROUND($Q3788,0)=0),"※外销却没有售价，请填实际售价",IF(AND($K3788="对外销售",$T3788&lt;&gt;"",$T3788&lt;0),"※这一笔外销是亏的，请核对售价",IF(IFERROR(VLOOKUP($D3788,库存台账!$A$5:$Y$1204,24,0),0)&lt;-0.001,"※这个物料账面已经变成负数了，查一下是不是漏记入库","")))))))))))</f>
        <v/>
      </c>
    </row>
    <row r="3789">
      <c r="A3789" s="24">
        <f>IF($D3789="","",COUNTA($D$4:$D3789))</f>
        <v/>
      </c>
      <c r="B3789" s="17" t="n"/>
      <c r="C3789" s="30" t="n"/>
      <c r="D3789" s="17" t="n"/>
      <c r="E3789" s="24">
        <f>IF($D3789="","",IFERROR(VLOOKUP($D3789,物料档案!$A$4:$P$1203,3,0),"※编码不在物料档案里"))</f>
        <v/>
      </c>
      <c r="F3789" s="24">
        <f>IF($D3789="","",IFERROR(VLOOKUP($D3789,物料档案!$A$4:$P$1203,4,0),"※编码不在物料档案里"))</f>
        <v/>
      </c>
      <c r="G3789" s="24">
        <f>IF($D3789="","",IFERROR(VLOOKUP($D3789,物料档案!$A$4:$P$1203,5,0),"※编码不在物料档案里"))</f>
        <v/>
      </c>
      <c r="H3789" s="24">
        <f>IF($D3789="","",IFERROR(VLOOKUP($D3789,物料档案!$A$4:$P$1203,2,0),"※编码不在物料档案里"))</f>
        <v/>
      </c>
      <c r="I3789" s="24">
        <f>IF($D3789="","",IFERROR(VLOOKUP($D3789,物料档案!$A$4:$P$1203,6,0),"※编码不在物料档案里"))</f>
        <v/>
      </c>
      <c r="J3789" s="23" t="n"/>
      <c r="K3789" s="17" t="n"/>
      <c r="L3789" s="17" t="n"/>
      <c r="M3789" s="17" t="n"/>
      <c r="N3789" s="17" t="n"/>
      <c r="O3789" s="26">
        <f>IF($D3789="","",IFERROR(VLOOKUP($D3789,物料档案!$A$4:$P$1203,10,0),0))</f>
        <v/>
      </c>
      <c r="P3789" s="32" t="n"/>
      <c r="Q3789" s="26">
        <f>IF($D3789="","",IF($K3789&lt;&gt;"对外销售",0,ROUND(N($J3789)*IF($P3789="",N($O3789),N($P3789)),0)))</f>
        <v/>
      </c>
      <c r="R3789" s="26">
        <f>IF($D3789="","",IFERROR(VLOOKUP($D3789,库存台账!$A$5:$Y$1204,11,0),0))</f>
        <v/>
      </c>
      <c r="S3789" s="26">
        <f>IF($D3789="","",ROUND(N($J3789)*N($R3789),0))</f>
        <v/>
      </c>
      <c r="T3789" s="26">
        <f>IF($D3789="","",IF($K3789&lt;&gt;"对外销售","",ROUND($Q3789-$S3789,0)))</f>
        <v/>
      </c>
      <c r="U3789" s="17" t="n"/>
      <c r="V3789" s="17" t="n"/>
      <c r="W3789" s="24">
        <f>IF($D3789="","",IF($E3789="※编码不在物料档案里","※物料编码不在档案里",IF(N($J3789)&lt;=0,"※出库数量要大于 0",IF($K3789="","※没填去向类型",IF($L3789="","※没填去向矿区",IF(AND($C3789&lt;&gt;"",$C3789&lt;=结账锁),"※日期早于已结账截止日，不能再录",IF(AND($K3789="自用消耗",COUNTIF({"一矿区";"二矿区"},$L3789)=0),"※自用消耗的去向只能是一矿区或二矿区",IF(AND($K3789="对外销售",COUNTIF({"三矿区";"六矿区"},$L3789)=0),"※对外销售的去向只能是三矿区或六矿区",IF(AND($K3789="对外销售",ROUND($Q3789,0)=0),"※外销却没有售价，请填实际售价",IF(AND($K3789="对外销售",$T3789&lt;&gt;"",$T3789&lt;0),"※这一笔外销是亏的，请核对售价",IF(IFERROR(VLOOKUP($D3789,库存台账!$A$5:$Y$1204,24,0),0)&lt;-0.001,"※这个物料账面已经变成负数了，查一下是不是漏记入库","")))))))))))</f>
        <v/>
      </c>
    </row>
    <row r="3790">
      <c r="A3790" s="24">
        <f>IF($D3790="","",COUNTA($D$4:$D3790))</f>
        <v/>
      </c>
      <c r="B3790" s="17" t="n"/>
      <c r="C3790" s="30" t="n"/>
      <c r="D3790" s="17" t="n"/>
      <c r="E3790" s="24">
        <f>IF($D3790="","",IFERROR(VLOOKUP($D3790,物料档案!$A$4:$P$1203,3,0),"※编码不在物料档案里"))</f>
        <v/>
      </c>
      <c r="F3790" s="24">
        <f>IF($D3790="","",IFERROR(VLOOKUP($D3790,物料档案!$A$4:$P$1203,4,0),"※编码不在物料档案里"))</f>
        <v/>
      </c>
      <c r="G3790" s="24">
        <f>IF($D3790="","",IFERROR(VLOOKUP($D3790,物料档案!$A$4:$P$1203,5,0),"※编码不在物料档案里"))</f>
        <v/>
      </c>
      <c r="H3790" s="24">
        <f>IF($D3790="","",IFERROR(VLOOKUP($D3790,物料档案!$A$4:$P$1203,2,0),"※编码不在物料档案里"))</f>
        <v/>
      </c>
      <c r="I3790" s="24">
        <f>IF($D3790="","",IFERROR(VLOOKUP($D3790,物料档案!$A$4:$P$1203,6,0),"※编码不在物料档案里"))</f>
        <v/>
      </c>
      <c r="J3790" s="23" t="n"/>
      <c r="K3790" s="17" t="n"/>
      <c r="L3790" s="17" t="n"/>
      <c r="M3790" s="17" t="n"/>
      <c r="N3790" s="17" t="n"/>
      <c r="O3790" s="26">
        <f>IF($D3790="","",IFERROR(VLOOKUP($D3790,物料档案!$A$4:$P$1203,10,0),0))</f>
        <v/>
      </c>
      <c r="P3790" s="32" t="n"/>
      <c r="Q3790" s="26">
        <f>IF($D3790="","",IF($K3790&lt;&gt;"对外销售",0,ROUND(N($J3790)*IF($P3790="",N($O3790),N($P3790)),0)))</f>
        <v/>
      </c>
      <c r="R3790" s="26">
        <f>IF($D3790="","",IFERROR(VLOOKUP($D3790,库存台账!$A$5:$Y$1204,11,0),0))</f>
        <v/>
      </c>
      <c r="S3790" s="26">
        <f>IF($D3790="","",ROUND(N($J3790)*N($R3790),0))</f>
        <v/>
      </c>
      <c r="T3790" s="26">
        <f>IF($D3790="","",IF($K3790&lt;&gt;"对外销售","",ROUND($Q3790-$S3790,0)))</f>
        <v/>
      </c>
      <c r="U3790" s="17" t="n"/>
      <c r="V3790" s="17" t="n"/>
      <c r="W3790" s="24">
        <f>IF($D3790="","",IF($E3790="※编码不在物料档案里","※物料编码不在档案里",IF(N($J3790)&lt;=0,"※出库数量要大于 0",IF($K3790="","※没填去向类型",IF($L3790="","※没填去向矿区",IF(AND($C3790&lt;&gt;"",$C3790&lt;=结账锁),"※日期早于已结账截止日，不能再录",IF(AND($K3790="自用消耗",COUNTIF({"一矿区";"二矿区"},$L3790)=0),"※自用消耗的去向只能是一矿区或二矿区",IF(AND($K3790="对外销售",COUNTIF({"三矿区";"六矿区"},$L3790)=0),"※对外销售的去向只能是三矿区或六矿区",IF(AND($K3790="对外销售",ROUND($Q3790,0)=0),"※外销却没有售价，请填实际售价",IF(AND($K3790="对外销售",$T3790&lt;&gt;"",$T3790&lt;0),"※这一笔外销是亏的，请核对售价",IF(IFERROR(VLOOKUP($D3790,库存台账!$A$5:$Y$1204,24,0),0)&lt;-0.001,"※这个物料账面已经变成负数了，查一下是不是漏记入库","")))))))))))</f>
        <v/>
      </c>
    </row>
    <row r="3791">
      <c r="A3791" s="24">
        <f>IF($D3791="","",COUNTA($D$4:$D3791))</f>
        <v/>
      </c>
      <c r="B3791" s="17" t="n"/>
      <c r="C3791" s="30" t="n"/>
      <c r="D3791" s="17" t="n"/>
      <c r="E3791" s="24">
        <f>IF($D3791="","",IFERROR(VLOOKUP($D3791,物料档案!$A$4:$P$1203,3,0),"※编码不在物料档案里"))</f>
        <v/>
      </c>
      <c r="F3791" s="24">
        <f>IF($D3791="","",IFERROR(VLOOKUP($D3791,物料档案!$A$4:$P$1203,4,0),"※编码不在物料档案里"))</f>
        <v/>
      </c>
      <c r="G3791" s="24">
        <f>IF($D3791="","",IFERROR(VLOOKUP($D3791,物料档案!$A$4:$P$1203,5,0),"※编码不在物料档案里"))</f>
        <v/>
      </c>
      <c r="H3791" s="24">
        <f>IF($D3791="","",IFERROR(VLOOKUP($D3791,物料档案!$A$4:$P$1203,2,0),"※编码不在物料档案里"))</f>
        <v/>
      </c>
      <c r="I3791" s="24">
        <f>IF($D3791="","",IFERROR(VLOOKUP($D3791,物料档案!$A$4:$P$1203,6,0),"※编码不在物料档案里"))</f>
        <v/>
      </c>
      <c r="J3791" s="23" t="n"/>
      <c r="K3791" s="17" t="n"/>
      <c r="L3791" s="17" t="n"/>
      <c r="M3791" s="17" t="n"/>
      <c r="N3791" s="17" t="n"/>
      <c r="O3791" s="26">
        <f>IF($D3791="","",IFERROR(VLOOKUP($D3791,物料档案!$A$4:$P$1203,10,0),0))</f>
        <v/>
      </c>
      <c r="P3791" s="32" t="n"/>
      <c r="Q3791" s="26">
        <f>IF($D3791="","",IF($K3791&lt;&gt;"对外销售",0,ROUND(N($J3791)*IF($P3791="",N($O3791),N($P3791)),0)))</f>
        <v/>
      </c>
      <c r="R3791" s="26">
        <f>IF($D3791="","",IFERROR(VLOOKUP($D3791,库存台账!$A$5:$Y$1204,11,0),0))</f>
        <v/>
      </c>
      <c r="S3791" s="26">
        <f>IF($D3791="","",ROUND(N($J3791)*N($R3791),0))</f>
        <v/>
      </c>
      <c r="T3791" s="26">
        <f>IF($D3791="","",IF($K3791&lt;&gt;"对外销售","",ROUND($Q3791-$S3791,0)))</f>
        <v/>
      </c>
      <c r="U3791" s="17" t="n"/>
      <c r="V3791" s="17" t="n"/>
      <c r="W3791" s="24">
        <f>IF($D3791="","",IF($E3791="※编码不在物料档案里","※物料编码不在档案里",IF(N($J3791)&lt;=0,"※出库数量要大于 0",IF($K3791="","※没填去向类型",IF($L3791="","※没填去向矿区",IF(AND($C3791&lt;&gt;"",$C3791&lt;=结账锁),"※日期早于已结账截止日，不能再录",IF(AND($K3791="自用消耗",COUNTIF({"一矿区";"二矿区"},$L3791)=0),"※自用消耗的去向只能是一矿区或二矿区",IF(AND($K3791="对外销售",COUNTIF({"三矿区";"六矿区"},$L3791)=0),"※对外销售的去向只能是三矿区或六矿区",IF(AND($K3791="对外销售",ROUND($Q3791,0)=0),"※外销却没有售价，请填实际售价",IF(AND($K3791="对外销售",$T3791&lt;&gt;"",$T3791&lt;0),"※这一笔外销是亏的，请核对售价",IF(IFERROR(VLOOKUP($D3791,库存台账!$A$5:$Y$1204,24,0),0)&lt;-0.001,"※这个物料账面已经变成负数了，查一下是不是漏记入库","")))))))))))</f>
        <v/>
      </c>
    </row>
    <row r="3792">
      <c r="A3792" s="24">
        <f>IF($D3792="","",COUNTA($D$4:$D3792))</f>
        <v/>
      </c>
      <c r="B3792" s="17" t="n"/>
      <c r="C3792" s="30" t="n"/>
      <c r="D3792" s="17" t="n"/>
      <c r="E3792" s="24">
        <f>IF($D3792="","",IFERROR(VLOOKUP($D3792,物料档案!$A$4:$P$1203,3,0),"※编码不在物料档案里"))</f>
        <v/>
      </c>
      <c r="F3792" s="24">
        <f>IF($D3792="","",IFERROR(VLOOKUP($D3792,物料档案!$A$4:$P$1203,4,0),"※编码不在物料档案里"))</f>
        <v/>
      </c>
      <c r="G3792" s="24">
        <f>IF($D3792="","",IFERROR(VLOOKUP($D3792,物料档案!$A$4:$P$1203,5,0),"※编码不在物料档案里"))</f>
        <v/>
      </c>
      <c r="H3792" s="24">
        <f>IF($D3792="","",IFERROR(VLOOKUP($D3792,物料档案!$A$4:$P$1203,2,0),"※编码不在物料档案里"))</f>
        <v/>
      </c>
      <c r="I3792" s="24">
        <f>IF($D3792="","",IFERROR(VLOOKUP($D3792,物料档案!$A$4:$P$1203,6,0),"※编码不在物料档案里"))</f>
        <v/>
      </c>
      <c r="J3792" s="23" t="n"/>
      <c r="K3792" s="17" t="n"/>
      <c r="L3792" s="17" t="n"/>
      <c r="M3792" s="17" t="n"/>
      <c r="N3792" s="17" t="n"/>
      <c r="O3792" s="26">
        <f>IF($D3792="","",IFERROR(VLOOKUP($D3792,物料档案!$A$4:$P$1203,10,0),0))</f>
        <v/>
      </c>
      <c r="P3792" s="32" t="n"/>
      <c r="Q3792" s="26">
        <f>IF($D3792="","",IF($K3792&lt;&gt;"对外销售",0,ROUND(N($J3792)*IF($P3792="",N($O3792),N($P3792)),0)))</f>
        <v/>
      </c>
      <c r="R3792" s="26">
        <f>IF($D3792="","",IFERROR(VLOOKUP($D3792,库存台账!$A$5:$Y$1204,11,0),0))</f>
        <v/>
      </c>
      <c r="S3792" s="26">
        <f>IF($D3792="","",ROUND(N($J3792)*N($R3792),0))</f>
        <v/>
      </c>
      <c r="T3792" s="26">
        <f>IF($D3792="","",IF($K3792&lt;&gt;"对外销售","",ROUND($Q3792-$S3792,0)))</f>
        <v/>
      </c>
      <c r="U3792" s="17" t="n"/>
      <c r="V3792" s="17" t="n"/>
      <c r="W3792" s="24">
        <f>IF($D3792="","",IF($E3792="※编码不在物料档案里","※物料编码不在档案里",IF(N($J3792)&lt;=0,"※出库数量要大于 0",IF($K3792="","※没填去向类型",IF($L3792="","※没填去向矿区",IF(AND($C3792&lt;&gt;"",$C3792&lt;=结账锁),"※日期早于已结账截止日，不能再录",IF(AND($K3792="自用消耗",COUNTIF({"一矿区";"二矿区"},$L3792)=0),"※自用消耗的去向只能是一矿区或二矿区",IF(AND($K3792="对外销售",COUNTIF({"三矿区";"六矿区"},$L3792)=0),"※对外销售的去向只能是三矿区或六矿区",IF(AND($K3792="对外销售",ROUND($Q3792,0)=0),"※外销却没有售价，请填实际售价",IF(AND($K3792="对外销售",$T3792&lt;&gt;"",$T3792&lt;0),"※这一笔外销是亏的，请核对售价",IF(IFERROR(VLOOKUP($D3792,库存台账!$A$5:$Y$1204,24,0),0)&lt;-0.001,"※这个物料账面已经变成负数了，查一下是不是漏记入库","")))))))))))</f>
        <v/>
      </c>
    </row>
    <row r="3793">
      <c r="A3793" s="24">
        <f>IF($D3793="","",COUNTA($D$4:$D3793))</f>
        <v/>
      </c>
      <c r="B3793" s="17" t="n"/>
      <c r="C3793" s="30" t="n"/>
      <c r="D3793" s="17" t="n"/>
      <c r="E3793" s="24">
        <f>IF($D3793="","",IFERROR(VLOOKUP($D3793,物料档案!$A$4:$P$1203,3,0),"※编码不在物料档案里"))</f>
        <v/>
      </c>
      <c r="F3793" s="24">
        <f>IF($D3793="","",IFERROR(VLOOKUP($D3793,物料档案!$A$4:$P$1203,4,0),"※编码不在物料档案里"))</f>
        <v/>
      </c>
      <c r="G3793" s="24">
        <f>IF($D3793="","",IFERROR(VLOOKUP($D3793,物料档案!$A$4:$P$1203,5,0),"※编码不在物料档案里"))</f>
        <v/>
      </c>
      <c r="H3793" s="24">
        <f>IF($D3793="","",IFERROR(VLOOKUP($D3793,物料档案!$A$4:$P$1203,2,0),"※编码不在物料档案里"))</f>
        <v/>
      </c>
      <c r="I3793" s="24">
        <f>IF($D3793="","",IFERROR(VLOOKUP($D3793,物料档案!$A$4:$P$1203,6,0),"※编码不在物料档案里"))</f>
        <v/>
      </c>
      <c r="J3793" s="23" t="n"/>
      <c r="K3793" s="17" t="n"/>
      <c r="L3793" s="17" t="n"/>
      <c r="M3793" s="17" t="n"/>
      <c r="N3793" s="17" t="n"/>
      <c r="O3793" s="26">
        <f>IF($D3793="","",IFERROR(VLOOKUP($D3793,物料档案!$A$4:$P$1203,10,0),0))</f>
        <v/>
      </c>
      <c r="P3793" s="32" t="n"/>
      <c r="Q3793" s="26">
        <f>IF($D3793="","",IF($K3793&lt;&gt;"对外销售",0,ROUND(N($J3793)*IF($P3793="",N($O3793),N($P3793)),0)))</f>
        <v/>
      </c>
      <c r="R3793" s="26">
        <f>IF($D3793="","",IFERROR(VLOOKUP($D3793,库存台账!$A$5:$Y$1204,11,0),0))</f>
        <v/>
      </c>
      <c r="S3793" s="26">
        <f>IF($D3793="","",ROUND(N($J3793)*N($R3793),0))</f>
        <v/>
      </c>
      <c r="T3793" s="26">
        <f>IF($D3793="","",IF($K3793&lt;&gt;"对外销售","",ROUND($Q3793-$S3793,0)))</f>
        <v/>
      </c>
      <c r="U3793" s="17" t="n"/>
      <c r="V3793" s="17" t="n"/>
      <c r="W3793" s="24">
        <f>IF($D3793="","",IF($E3793="※编码不在物料档案里","※物料编码不在档案里",IF(N($J3793)&lt;=0,"※出库数量要大于 0",IF($K3793="","※没填去向类型",IF($L3793="","※没填去向矿区",IF(AND($C3793&lt;&gt;"",$C3793&lt;=结账锁),"※日期早于已结账截止日，不能再录",IF(AND($K3793="自用消耗",COUNTIF({"一矿区";"二矿区"},$L3793)=0),"※自用消耗的去向只能是一矿区或二矿区",IF(AND($K3793="对外销售",COUNTIF({"三矿区";"六矿区"},$L3793)=0),"※对外销售的去向只能是三矿区或六矿区",IF(AND($K3793="对外销售",ROUND($Q3793,0)=0),"※外销却没有售价，请填实际售价",IF(AND($K3793="对外销售",$T3793&lt;&gt;"",$T3793&lt;0),"※这一笔外销是亏的，请核对售价",IF(IFERROR(VLOOKUP($D3793,库存台账!$A$5:$Y$1204,24,0),0)&lt;-0.001,"※这个物料账面已经变成负数了，查一下是不是漏记入库","")))))))))))</f>
        <v/>
      </c>
    </row>
    <row r="3794">
      <c r="A3794" s="24">
        <f>IF($D3794="","",COUNTA($D$4:$D3794))</f>
        <v/>
      </c>
      <c r="B3794" s="17" t="n"/>
      <c r="C3794" s="30" t="n"/>
      <c r="D3794" s="17" t="n"/>
      <c r="E3794" s="24">
        <f>IF($D3794="","",IFERROR(VLOOKUP($D3794,物料档案!$A$4:$P$1203,3,0),"※编码不在物料档案里"))</f>
        <v/>
      </c>
      <c r="F3794" s="24">
        <f>IF($D3794="","",IFERROR(VLOOKUP($D3794,物料档案!$A$4:$P$1203,4,0),"※编码不在物料档案里"))</f>
        <v/>
      </c>
      <c r="G3794" s="24">
        <f>IF($D3794="","",IFERROR(VLOOKUP($D3794,物料档案!$A$4:$P$1203,5,0),"※编码不在物料档案里"))</f>
        <v/>
      </c>
      <c r="H3794" s="24">
        <f>IF($D3794="","",IFERROR(VLOOKUP($D3794,物料档案!$A$4:$P$1203,2,0),"※编码不在物料档案里"))</f>
        <v/>
      </c>
      <c r="I3794" s="24">
        <f>IF($D3794="","",IFERROR(VLOOKUP($D3794,物料档案!$A$4:$P$1203,6,0),"※编码不在物料档案里"))</f>
        <v/>
      </c>
      <c r="J3794" s="23" t="n"/>
      <c r="K3794" s="17" t="n"/>
      <c r="L3794" s="17" t="n"/>
      <c r="M3794" s="17" t="n"/>
      <c r="N3794" s="17" t="n"/>
      <c r="O3794" s="26">
        <f>IF($D3794="","",IFERROR(VLOOKUP($D3794,物料档案!$A$4:$P$1203,10,0),0))</f>
        <v/>
      </c>
      <c r="P3794" s="32" t="n"/>
      <c r="Q3794" s="26">
        <f>IF($D3794="","",IF($K3794&lt;&gt;"对外销售",0,ROUND(N($J3794)*IF($P3794="",N($O3794),N($P3794)),0)))</f>
        <v/>
      </c>
      <c r="R3794" s="26">
        <f>IF($D3794="","",IFERROR(VLOOKUP($D3794,库存台账!$A$5:$Y$1204,11,0),0))</f>
        <v/>
      </c>
      <c r="S3794" s="26">
        <f>IF($D3794="","",ROUND(N($J3794)*N($R3794),0))</f>
        <v/>
      </c>
      <c r="T3794" s="26">
        <f>IF($D3794="","",IF($K3794&lt;&gt;"对外销售","",ROUND($Q3794-$S3794,0)))</f>
        <v/>
      </c>
      <c r="U3794" s="17" t="n"/>
      <c r="V3794" s="17" t="n"/>
      <c r="W3794" s="24">
        <f>IF($D3794="","",IF($E3794="※编码不在物料档案里","※物料编码不在档案里",IF(N($J3794)&lt;=0,"※出库数量要大于 0",IF($K3794="","※没填去向类型",IF($L3794="","※没填去向矿区",IF(AND($C3794&lt;&gt;"",$C3794&lt;=结账锁),"※日期早于已结账截止日，不能再录",IF(AND($K3794="自用消耗",COUNTIF({"一矿区";"二矿区"},$L3794)=0),"※自用消耗的去向只能是一矿区或二矿区",IF(AND($K3794="对外销售",COUNTIF({"三矿区";"六矿区"},$L3794)=0),"※对外销售的去向只能是三矿区或六矿区",IF(AND($K3794="对外销售",ROUND($Q3794,0)=0),"※外销却没有售价，请填实际售价",IF(AND($K3794="对外销售",$T3794&lt;&gt;"",$T3794&lt;0),"※这一笔外销是亏的，请核对售价",IF(IFERROR(VLOOKUP($D3794,库存台账!$A$5:$Y$1204,24,0),0)&lt;-0.001,"※这个物料账面已经变成负数了，查一下是不是漏记入库","")))))))))))</f>
        <v/>
      </c>
    </row>
    <row r="3795">
      <c r="A3795" s="24">
        <f>IF($D3795="","",COUNTA($D$4:$D3795))</f>
        <v/>
      </c>
      <c r="B3795" s="17" t="n"/>
      <c r="C3795" s="30" t="n"/>
      <c r="D3795" s="17" t="n"/>
      <c r="E3795" s="24">
        <f>IF($D3795="","",IFERROR(VLOOKUP($D3795,物料档案!$A$4:$P$1203,3,0),"※编码不在物料档案里"))</f>
        <v/>
      </c>
      <c r="F3795" s="24">
        <f>IF($D3795="","",IFERROR(VLOOKUP($D3795,物料档案!$A$4:$P$1203,4,0),"※编码不在物料档案里"))</f>
        <v/>
      </c>
      <c r="G3795" s="24">
        <f>IF($D3795="","",IFERROR(VLOOKUP($D3795,物料档案!$A$4:$P$1203,5,0),"※编码不在物料档案里"))</f>
        <v/>
      </c>
      <c r="H3795" s="24">
        <f>IF($D3795="","",IFERROR(VLOOKUP($D3795,物料档案!$A$4:$P$1203,2,0),"※编码不在物料档案里"))</f>
        <v/>
      </c>
      <c r="I3795" s="24">
        <f>IF($D3795="","",IFERROR(VLOOKUP($D3795,物料档案!$A$4:$P$1203,6,0),"※编码不在物料档案里"))</f>
        <v/>
      </c>
      <c r="J3795" s="23" t="n"/>
      <c r="K3795" s="17" t="n"/>
      <c r="L3795" s="17" t="n"/>
      <c r="M3795" s="17" t="n"/>
      <c r="N3795" s="17" t="n"/>
      <c r="O3795" s="26">
        <f>IF($D3795="","",IFERROR(VLOOKUP($D3795,物料档案!$A$4:$P$1203,10,0),0))</f>
        <v/>
      </c>
      <c r="P3795" s="32" t="n"/>
      <c r="Q3795" s="26">
        <f>IF($D3795="","",IF($K3795&lt;&gt;"对外销售",0,ROUND(N($J3795)*IF($P3795="",N($O3795),N($P3795)),0)))</f>
        <v/>
      </c>
      <c r="R3795" s="26">
        <f>IF($D3795="","",IFERROR(VLOOKUP($D3795,库存台账!$A$5:$Y$1204,11,0),0))</f>
        <v/>
      </c>
      <c r="S3795" s="26">
        <f>IF($D3795="","",ROUND(N($J3795)*N($R3795),0))</f>
        <v/>
      </c>
      <c r="T3795" s="26">
        <f>IF($D3795="","",IF($K3795&lt;&gt;"对外销售","",ROUND($Q3795-$S3795,0)))</f>
        <v/>
      </c>
      <c r="U3795" s="17" t="n"/>
      <c r="V3795" s="17" t="n"/>
      <c r="W3795" s="24">
        <f>IF($D3795="","",IF($E3795="※编码不在物料档案里","※物料编码不在档案里",IF(N($J3795)&lt;=0,"※出库数量要大于 0",IF($K3795="","※没填去向类型",IF($L3795="","※没填去向矿区",IF(AND($C3795&lt;&gt;"",$C3795&lt;=结账锁),"※日期早于已结账截止日，不能再录",IF(AND($K3795="自用消耗",COUNTIF({"一矿区";"二矿区"},$L3795)=0),"※自用消耗的去向只能是一矿区或二矿区",IF(AND($K3795="对外销售",COUNTIF({"三矿区";"六矿区"},$L3795)=0),"※对外销售的去向只能是三矿区或六矿区",IF(AND($K3795="对外销售",ROUND($Q3795,0)=0),"※外销却没有售价，请填实际售价",IF(AND($K3795="对外销售",$T3795&lt;&gt;"",$T3795&lt;0),"※这一笔外销是亏的，请核对售价",IF(IFERROR(VLOOKUP($D3795,库存台账!$A$5:$Y$1204,24,0),0)&lt;-0.001,"※这个物料账面已经变成负数了，查一下是不是漏记入库","")))))))))))</f>
        <v/>
      </c>
    </row>
    <row r="3796">
      <c r="A3796" s="24">
        <f>IF($D3796="","",COUNTA($D$4:$D3796))</f>
        <v/>
      </c>
      <c r="B3796" s="17" t="n"/>
      <c r="C3796" s="30" t="n"/>
      <c r="D3796" s="17" t="n"/>
      <c r="E3796" s="24">
        <f>IF($D3796="","",IFERROR(VLOOKUP($D3796,物料档案!$A$4:$P$1203,3,0),"※编码不在物料档案里"))</f>
        <v/>
      </c>
      <c r="F3796" s="24">
        <f>IF($D3796="","",IFERROR(VLOOKUP($D3796,物料档案!$A$4:$P$1203,4,0),"※编码不在物料档案里"))</f>
        <v/>
      </c>
      <c r="G3796" s="24">
        <f>IF($D3796="","",IFERROR(VLOOKUP($D3796,物料档案!$A$4:$P$1203,5,0),"※编码不在物料档案里"))</f>
        <v/>
      </c>
      <c r="H3796" s="24">
        <f>IF($D3796="","",IFERROR(VLOOKUP($D3796,物料档案!$A$4:$P$1203,2,0),"※编码不在物料档案里"))</f>
        <v/>
      </c>
      <c r="I3796" s="24">
        <f>IF($D3796="","",IFERROR(VLOOKUP($D3796,物料档案!$A$4:$P$1203,6,0),"※编码不在物料档案里"))</f>
        <v/>
      </c>
      <c r="J3796" s="23" t="n"/>
      <c r="K3796" s="17" t="n"/>
      <c r="L3796" s="17" t="n"/>
      <c r="M3796" s="17" t="n"/>
      <c r="N3796" s="17" t="n"/>
      <c r="O3796" s="26">
        <f>IF($D3796="","",IFERROR(VLOOKUP($D3796,物料档案!$A$4:$P$1203,10,0),0))</f>
        <v/>
      </c>
      <c r="P3796" s="32" t="n"/>
      <c r="Q3796" s="26">
        <f>IF($D3796="","",IF($K3796&lt;&gt;"对外销售",0,ROUND(N($J3796)*IF($P3796="",N($O3796),N($P3796)),0)))</f>
        <v/>
      </c>
      <c r="R3796" s="26">
        <f>IF($D3796="","",IFERROR(VLOOKUP($D3796,库存台账!$A$5:$Y$1204,11,0),0))</f>
        <v/>
      </c>
      <c r="S3796" s="26">
        <f>IF($D3796="","",ROUND(N($J3796)*N($R3796),0))</f>
        <v/>
      </c>
      <c r="T3796" s="26">
        <f>IF($D3796="","",IF($K3796&lt;&gt;"对外销售","",ROUND($Q3796-$S3796,0)))</f>
        <v/>
      </c>
      <c r="U3796" s="17" t="n"/>
      <c r="V3796" s="17" t="n"/>
      <c r="W3796" s="24">
        <f>IF($D3796="","",IF($E3796="※编码不在物料档案里","※物料编码不在档案里",IF(N($J3796)&lt;=0,"※出库数量要大于 0",IF($K3796="","※没填去向类型",IF($L3796="","※没填去向矿区",IF(AND($C3796&lt;&gt;"",$C3796&lt;=结账锁),"※日期早于已结账截止日，不能再录",IF(AND($K3796="自用消耗",COUNTIF({"一矿区";"二矿区"},$L3796)=0),"※自用消耗的去向只能是一矿区或二矿区",IF(AND($K3796="对外销售",COUNTIF({"三矿区";"六矿区"},$L3796)=0),"※对外销售的去向只能是三矿区或六矿区",IF(AND($K3796="对外销售",ROUND($Q3796,0)=0),"※外销却没有售价，请填实际售价",IF(AND($K3796="对外销售",$T3796&lt;&gt;"",$T3796&lt;0),"※这一笔外销是亏的，请核对售价",IF(IFERROR(VLOOKUP($D3796,库存台账!$A$5:$Y$1204,24,0),0)&lt;-0.001,"※这个物料账面已经变成负数了，查一下是不是漏记入库","")))))))))))</f>
        <v/>
      </c>
    </row>
    <row r="3797">
      <c r="A3797" s="24">
        <f>IF($D3797="","",COUNTA($D$4:$D3797))</f>
        <v/>
      </c>
      <c r="B3797" s="17" t="n"/>
      <c r="C3797" s="30" t="n"/>
      <c r="D3797" s="17" t="n"/>
      <c r="E3797" s="24">
        <f>IF($D3797="","",IFERROR(VLOOKUP($D3797,物料档案!$A$4:$P$1203,3,0),"※编码不在物料档案里"))</f>
        <v/>
      </c>
      <c r="F3797" s="24">
        <f>IF($D3797="","",IFERROR(VLOOKUP($D3797,物料档案!$A$4:$P$1203,4,0),"※编码不在物料档案里"))</f>
        <v/>
      </c>
      <c r="G3797" s="24">
        <f>IF($D3797="","",IFERROR(VLOOKUP($D3797,物料档案!$A$4:$P$1203,5,0),"※编码不在物料档案里"))</f>
        <v/>
      </c>
      <c r="H3797" s="24">
        <f>IF($D3797="","",IFERROR(VLOOKUP($D3797,物料档案!$A$4:$P$1203,2,0),"※编码不在物料档案里"))</f>
        <v/>
      </c>
      <c r="I3797" s="24">
        <f>IF($D3797="","",IFERROR(VLOOKUP($D3797,物料档案!$A$4:$P$1203,6,0),"※编码不在物料档案里"))</f>
        <v/>
      </c>
      <c r="J3797" s="23" t="n"/>
      <c r="K3797" s="17" t="n"/>
      <c r="L3797" s="17" t="n"/>
      <c r="M3797" s="17" t="n"/>
      <c r="N3797" s="17" t="n"/>
      <c r="O3797" s="26">
        <f>IF($D3797="","",IFERROR(VLOOKUP($D3797,物料档案!$A$4:$P$1203,10,0),0))</f>
        <v/>
      </c>
      <c r="P3797" s="32" t="n"/>
      <c r="Q3797" s="26">
        <f>IF($D3797="","",IF($K3797&lt;&gt;"对外销售",0,ROUND(N($J3797)*IF($P3797="",N($O3797),N($P3797)),0)))</f>
        <v/>
      </c>
      <c r="R3797" s="26">
        <f>IF($D3797="","",IFERROR(VLOOKUP($D3797,库存台账!$A$5:$Y$1204,11,0),0))</f>
        <v/>
      </c>
      <c r="S3797" s="26">
        <f>IF($D3797="","",ROUND(N($J3797)*N($R3797),0))</f>
        <v/>
      </c>
      <c r="T3797" s="26">
        <f>IF($D3797="","",IF($K3797&lt;&gt;"对外销售","",ROUND($Q3797-$S3797,0)))</f>
        <v/>
      </c>
      <c r="U3797" s="17" t="n"/>
      <c r="V3797" s="17" t="n"/>
      <c r="W3797" s="24">
        <f>IF($D3797="","",IF($E3797="※编码不在物料档案里","※物料编码不在档案里",IF(N($J3797)&lt;=0,"※出库数量要大于 0",IF($K3797="","※没填去向类型",IF($L3797="","※没填去向矿区",IF(AND($C3797&lt;&gt;"",$C3797&lt;=结账锁),"※日期早于已结账截止日，不能再录",IF(AND($K3797="自用消耗",COUNTIF({"一矿区";"二矿区"},$L3797)=0),"※自用消耗的去向只能是一矿区或二矿区",IF(AND($K3797="对外销售",COUNTIF({"三矿区";"六矿区"},$L3797)=0),"※对外销售的去向只能是三矿区或六矿区",IF(AND($K3797="对外销售",ROUND($Q3797,0)=0),"※外销却没有售价，请填实际售价",IF(AND($K3797="对外销售",$T3797&lt;&gt;"",$T3797&lt;0),"※这一笔外销是亏的，请核对售价",IF(IFERROR(VLOOKUP($D3797,库存台账!$A$5:$Y$1204,24,0),0)&lt;-0.001,"※这个物料账面已经变成负数了，查一下是不是漏记入库","")))))))))))</f>
        <v/>
      </c>
    </row>
    <row r="3798">
      <c r="A3798" s="24">
        <f>IF($D3798="","",COUNTA($D$4:$D3798))</f>
        <v/>
      </c>
      <c r="B3798" s="17" t="n"/>
      <c r="C3798" s="30" t="n"/>
      <c r="D3798" s="17" t="n"/>
      <c r="E3798" s="24">
        <f>IF($D3798="","",IFERROR(VLOOKUP($D3798,物料档案!$A$4:$P$1203,3,0),"※编码不在物料档案里"))</f>
        <v/>
      </c>
      <c r="F3798" s="24">
        <f>IF($D3798="","",IFERROR(VLOOKUP($D3798,物料档案!$A$4:$P$1203,4,0),"※编码不在物料档案里"))</f>
        <v/>
      </c>
      <c r="G3798" s="24">
        <f>IF($D3798="","",IFERROR(VLOOKUP($D3798,物料档案!$A$4:$P$1203,5,0),"※编码不在物料档案里"))</f>
        <v/>
      </c>
      <c r="H3798" s="24">
        <f>IF($D3798="","",IFERROR(VLOOKUP($D3798,物料档案!$A$4:$P$1203,2,0),"※编码不在物料档案里"))</f>
        <v/>
      </c>
      <c r="I3798" s="24">
        <f>IF($D3798="","",IFERROR(VLOOKUP($D3798,物料档案!$A$4:$P$1203,6,0),"※编码不在物料档案里"))</f>
        <v/>
      </c>
      <c r="J3798" s="23" t="n"/>
      <c r="K3798" s="17" t="n"/>
      <c r="L3798" s="17" t="n"/>
      <c r="M3798" s="17" t="n"/>
      <c r="N3798" s="17" t="n"/>
      <c r="O3798" s="26">
        <f>IF($D3798="","",IFERROR(VLOOKUP($D3798,物料档案!$A$4:$P$1203,10,0),0))</f>
        <v/>
      </c>
      <c r="P3798" s="32" t="n"/>
      <c r="Q3798" s="26">
        <f>IF($D3798="","",IF($K3798&lt;&gt;"对外销售",0,ROUND(N($J3798)*IF($P3798="",N($O3798),N($P3798)),0)))</f>
        <v/>
      </c>
      <c r="R3798" s="26">
        <f>IF($D3798="","",IFERROR(VLOOKUP($D3798,库存台账!$A$5:$Y$1204,11,0),0))</f>
        <v/>
      </c>
      <c r="S3798" s="26">
        <f>IF($D3798="","",ROUND(N($J3798)*N($R3798),0))</f>
        <v/>
      </c>
      <c r="T3798" s="26">
        <f>IF($D3798="","",IF($K3798&lt;&gt;"对外销售","",ROUND($Q3798-$S3798,0)))</f>
        <v/>
      </c>
      <c r="U3798" s="17" t="n"/>
      <c r="V3798" s="17" t="n"/>
      <c r="W3798" s="24">
        <f>IF($D3798="","",IF($E3798="※编码不在物料档案里","※物料编码不在档案里",IF(N($J3798)&lt;=0,"※出库数量要大于 0",IF($K3798="","※没填去向类型",IF($L3798="","※没填去向矿区",IF(AND($C3798&lt;&gt;"",$C3798&lt;=结账锁),"※日期早于已结账截止日，不能再录",IF(AND($K3798="自用消耗",COUNTIF({"一矿区";"二矿区"},$L3798)=0),"※自用消耗的去向只能是一矿区或二矿区",IF(AND($K3798="对外销售",COUNTIF({"三矿区";"六矿区"},$L3798)=0),"※对外销售的去向只能是三矿区或六矿区",IF(AND($K3798="对外销售",ROUND($Q3798,0)=0),"※外销却没有售价，请填实际售价",IF(AND($K3798="对外销售",$T3798&lt;&gt;"",$T3798&lt;0),"※这一笔外销是亏的，请核对售价",IF(IFERROR(VLOOKUP($D3798,库存台账!$A$5:$Y$1204,24,0),0)&lt;-0.001,"※这个物料账面已经变成负数了，查一下是不是漏记入库","")))))))))))</f>
        <v/>
      </c>
    </row>
    <row r="3799">
      <c r="A3799" s="24">
        <f>IF($D3799="","",COUNTA($D$4:$D3799))</f>
        <v/>
      </c>
      <c r="B3799" s="17" t="n"/>
      <c r="C3799" s="30" t="n"/>
      <c r="D3799" s="17" t="n"/>
      <c r="E3799" s="24">
        <f>IF($D3799="","",IFERROR(VLOOKUP($D3799,物料档案!$A$4:$P$1203,3,0),"※编码不在物料档案里"))</f>
        <v/>
      </c>
      <c r="F3799" s="24">
        <f>IF($D3799="","",IFERROR(VLOOKUP($D3799,物料档案!$A$4:$P$1203,4,0),"※编码不在物料档案里"))</f>
        <v/>
      </c>
      <c r="G3799" s="24">
        <f>IF($D3799="","",IFERROR(VLOOKUP($D3799,物料档案!$A$4:$P$1203,5,0),"※编码不在物料档案里"))</f>
        <v/>
      </c>
      <c r="H3799" s="24">
        <f>IF($D3799="","",IFERROR(VLOOKUP($D3799,物料档案!$A$4:$P$1203,2,0),"※编码不在物料档案里"))</f>
        <v/>
      </c>
      <c r="I3799" s="24">
        <f>IF($D3799="","",IFERROR(VLOOKUP($D3799,物料档案!$A$4:$P$1203,6,0),"※编码不在物料档案里"))</f>
        <v/>
      </c>
      <c r="J3799" s="23" t="n"/>
      <c r="K3799" s="17" t="n"/>
      <c r="L3799" s="17" t="n"/>
      <c r="M3799" s="17" t="n"/>
      <c r="N3799" s="17" t="n"/>
      <c r="O3799" s="26">
        <f>IF($D3799="","",IFERROR(VLOOKUP($D3799,物料档案!$A$4:$P$1203,10,0),0))</f>
        <v/>
      </c>
      <c r="P3799" s="32" t="n"/>
      <c r="Q3799" s="26">
        <f>IF($D3799="","",IF($K3799&lt;&gt;"对外销售",0,ROUND(N($J3799)*IF($P3799="",N($O3799),N($P3799)),0)))</f>
        <v/>
      </c>
      <c r="R3799" s="26">
        <f>IF($D3799="","",IFERROR(VLOOKUP($D3799,库存台账!$A$5:$Y$1204,11,0),0))</f>
        <v/>
      </c>
      <c r="S3799" s="26">
        <f>IF($D3799="","",ROUND(N($J3799)*N($R3799),0))</f>
        <v/>
      </c>
      <c r="T3799" s="26">
        <f>IF($D3799="","",IF($K3799&lt;&gt;"对外销售","",ROUND($Q3799-$S3799,0)))</f>
        <v/>
      </c>
      <c r="U3799" s="17" t="n"/>
      <c r="V3799" s="17" t="n"/>
      <c r="W3799" s="24">
        <f>IF($D3799="","",IF($E3799="※编码不在物料档案里","※物料编码不在档案里",IF(N($J3799)&lt;=0,"※出库数量要大于 0",IF($K3799="","※没填去向类型",IF($L3799="","※没填去向矿区",IF(AND($C3799&lt;&gt;"",$C3799&lt;=结账锁),"※日期早于已结账截止日，不能再录",IF(AND($K3799="自用消耗",COUNTIF({"一矿区";"二矿区"},$L3799)=0),"※自用消耗的去向只能是一矿区或二矿区",IF(AND($K3799="对外销售",COUNTIF({"三矿区";"六矿区"},$L3799)=0),"※对外销售的去向只能是三矿区或六矿区",IF(AND($K3799="对外销售",ROUND($Q3799,0)=0),"※外销却没有售价，请填实际售价",IF(AND($K3799="对外销售",$T3799&lt;&gt;"",$T3799&lt;0),"※这一笔外销是亏的，请核对售价",IF(IFERROR(VLOOKUP($D3799,库存台账!$A$5:$Y$1204,24,0),0)&lt;-0.001,"※这个物料账面已经变成负数了，查一下是不是漏记入库","")))))))))))</f>
        <v/>
      </c>
    </row>
    <row r="3800">
      <c r="A3800" s="24">
        <f>IF($D3800="","",COUNTA($D$4:$D3800))</f>
        <v/>
      </c>
      <c r="B3800" s="17" t="n"/>
      <c r="C3800" s="30" t="n"/>
      <c r="D3800" s="17" t="n"/>
      <c r="E3800" s="24">
        <f>IF($D3800="","",IFERROR(VLOOKUP($D3800,物料档案!$A$4:$P$1203,3,0),"※编码不在物料档案里"))</f>
        <v/>
      </c>
      <c r="F3800" s="24">
        <f>IF($D3800="","",IFERROR(VLOOKUP($D3800,物料档案!$A$4:$P$1203,4,0),"※编码不在物料档案里"))</f>
        <v/>
      </c>
      <c r="G3800" s="24">
        <f>IF($D3800="","",IFERROR(VLOOKUP($D3800,物料档案!$A$4:$P$1203,5,0),"※编码不在物料档案里"))</f>
        <v/>
      </c>
      <c r="H3800" s="24">
        <f>IF($D3800="","",IFERROR(VLOOKUP($D3800,物料档案!$A$4:$P$1203,2,0),"※编码不在物料档案里"))</f>
        <v/>
      </c>
      <c r="I3800" s="24">
        <f>IF($D3800="","",IFERROR(VLOOKUP($D3800,物料档案!$A$4:$P$1203,6,0),"※编码不在物料档案里"))</f>
        <v/>
      </c>
      <c r="J3800" s="23" t="n"/>
      <c r="K3800" s="17" t="n"/>
      <c r="L3800" s="17" t="n"/>
      <c r="M3800" s="17" t="n"/>
      <c r="N3800" s="17" t="n"/>
      <c r="O3800" s="26">
        <f>IF($D3800="","",IFERROR(VLOOKUP($D3800,物料档案!$A$4:$P$1203,10,0),0))</f>
        <v/>
      </c>
      <c r="P3800" s="32" t="n"/>
      <c r="Q3800" s="26">
        <f>IF($D3800="","",IF($K3800&lt;&gt;"对外销售",0,ROUND(N($J3800)*IF($P3800="",N($O3800),N($P3800)),0)))</f>
        <v/>
      </c>
      <c r="R3800" s="26">
        <f>IF($D3800="","",IFERROR(VLOOKUP($D3800,库存台账!$A$5:$Y$1204,11,0),0))</f>
        <v/>
      </c>
      <c r="S3800" s="26">
        <f>IF($D3800="","",ROUND(N($J3800)*N($R3800),0))</f>
        <v/>
      </c>
      <c r="T3800" s="26">
        <f>IF($D3800="","",IF($K3800&lt;&gt;"对外销售","",ROUND($Q3800-$S3800,0)))</f>
        <v/>
      </c>
      <c r="U3800" s="17" t="n"/>
      <c r="V3800" s="17" t="n"/>
      <c r="W3800" s="24">
        <f>IF($D3800="","",IF($E3800="※编码不在物料档案里","※物料编码不在档案里",IF(N($J3800)&lt;=0,"※出库数量要大于 0",IF($K3800="","※没填去向类型",IF($L3800="","※没填去向矿区",IF(AND($C3800&lt;&gt;"",$C3800&lt;=结账锁),"※日期早于已结账截止日，不能再录",IF(AND($K3800="自用消耗",COUNTIF({"一矿区";"二矿区"},$L3800)=0),"※自用消耗的去向只能是一矿区或二矿区",IF(AND($K3800="对外销售",COUNTIF({"三矿区";"六矿区"},$L3800)=0),"※对外销售的去向只能是三矿区或六矿区",IF(AND($K3800="对外销售",ROUND($Q3800,0)=0),"※外销却没有售价，请填实际售价",IF(AND($K3800="对外销售",$T3800&lt;&gt;"",$T3800&lt;0),"※这一笔外销是亏的，请核对售价",IF(IFERROR(VLOOKUP($D3800,库存台账!$A$5:$Y$1204,24,0),0)&lt;-0.001,"※这个物料账面已经变成负数了，查一下是不是漏记入库","")))))))))))</f>
        <v/>
      </c>
    </row>
    <row r="3801">
      <c r="A3801" s="24">
        <f>IF($D3801="","",COUNTA($D$4:$D3801))</f>
        <v/>
      </c>
      <c r="B3801" s="17" t="n"/>
      <c r="C3801" s="30" t="n"/>
      <c r="D3801" s="17" t="n"/>
      <c r="E3801" s="24">
        <f>IF($D3801="","",IFERROR(VLOOKUP($D3801,物料档案!$A$4:$P$1203,3,0),"※编码不在物料档案里"))</f>
        <v/>
      </c>
      <c r="F3801" s="24">
        <f>IF($D3801="","",IFERROR(VLOOKUP($D3801,物料档案!$A$4:$P$1203,4,0),"※编码不在物料档案里"))</f>
        <v/>
      </c>
      <c r="G3801" s="24">
        <f>IF($D3801="","",IFERROR(VLOOKUP($D3801,物料档案!$A$4:$P$1203,5,0),"※编码不在物料档案里"))</f>
        <v/>
      </c>
      <c r="H3801" s="24">
        <f>IF($D3801="","",IFERROR(VLOOKUP($D3801,物料档案!$A$4:$P$1203,2,0),"※编码不在物料档案里"))</f>
        <v/>
      </c>
      <c r="I3801" s="24">
        <f>IF($D3801="","",IFERROR(VLOOKUP($D3801,物料档案!$A$4:$P$1203,6,0),"※编码不在物料档案里"))</f>
        <v/>
      </c>
      <c r="J3801" s="23" t="n"/>
      <c r="K3801" s="17" t="n"/>
      <c r="L3801" s="17" t="n"/>
      <c r="M3801" s="17" t="n"/>
      <c r="N3801" s="17" t="n"/>
      <c r="O3801" s="26">
        <f>IF($D3801="","",IFERROR(VLOOKUP($D3801,物料档案!$A$4:$P$1203,10,0),0))</f>
        <v/>
      </c>
      <c r="P3801" s="32" t="n"/>
      <c r="Q3801" s="26">
        <f>IF($D3801="","",IF($K3801&lt;&gt;"对外销售",0,ROUND(N($J3801)*IF($P3801="",N($O3801),N($P3801)),0)))</f>
        <v/>
      </c>
      <c r="R3801" s="26">
        <f>IF($D3801="","",IFERROR(VLOOKUP($D3801,库存台账!$A$5:$Y$1204,11,0),0))</f>
        <v/>
      </c>
      <c r="S3801" s="26">
        <f>IF($D3801="","",ROUND(N($J3801)*N($R3801),0))</f>
        <v/>
      </c>
      <c r="T3801" s="26">
        <f>IF($D3801="","",IF($K3801&lt;&gt;"对外销售","",ROUND($Q3801-$S3801,0)))</f>
        <v/>
      </c>
      <c r="U3801" s="17" t="n"/>
      <c r="V3801" s="17" t="n"/>
      <c r="W3801" s="24">
        <f>IF($D3801="","",IF($E3801="※编码不在物料档案里","※物料编码不在档案里",IF(N($J3801)&lt;=0,"※出库数量要大于 0",IF($K3801="","※没填去向类型",IF($L3801="","※没填去向矿区",IF(AND($C3801&lt;&gt;"",$C3801&lt;=结账锁),"※日期早于已结账截止日，不能再录",IF(AND($K3801="自用消耗",COUNTIF({"一矿区";"二矿区"},$L3801)=0),"※自用消耗的去向只能是一矿区或二矿区",IF(AND($K3801="对外销售",COUNTIF({"三矿区";"六矿区"},$L3801)=0),"※对外销售的去向只能是三矿区或六矿区",IF(AND($K3801="对外销售",ROUND($Q3801,0)=0),"※外销却没有售价，请填实际售价",IF(AND($K3801="对外销售",$T3801&lt;&gt;"",$T3801&lt;0),"※这一笔外销是亏的，请核对售价",IF(IFERROR(VLOOKUP($D3801,库存台账!$A$5:$Y$1204,24,0),0)&lt;-0.001,"※这个物料账面已经变成负数了，查一下是不是漏记入库","")))))))))))</f>
        <v/>
      </c>
    </row>
    <row r="3802">
      <c r="A3802" s="24">
        <f>IF($D3802="","",COUNTA($D$4:$D3802))</f>
        <v/>
      </c>
      <c r="B3802" s="17" t="n"/>
      <c r="C3802" s="30" t="n"/>
      <c r="D3802" s="17" t="n"/>
      <c r="E3802" s="24">
        <f>IF($D3802="","",IFERROR(VLOOKUP($D3802,物料档案!$A$4:$P$1203,3,0),"※编码不在物料档案里"))</f>
        <v/>
      </c>
      <c r="F3802" s="24">
        <f>IF($D3802="","",IFERROR(VLOOKUP($D3802,物料档案!$A$4:$P$1203,4,0),"※编码不在物料档案里"))</f>
        <v/>
      </c>
      <c r="G3802" s="24">
        <f>IF($D3802="","",IFERROR(VLOOKUP($D3802,物料档案!$A$4:$P$1203,5,0),"※编码不在物料档案里"))</f>
        <v/>
      </c>
      <c r="H3802" s="24">
        <f>IF($D3802="","",IFERROR(VLOOKUP($D3802,物料档案!$A$4:$P$1203,2,0),"※编码不在物料档案里"))</f>
        <v/>
      </c>
      <c r="I3802" s="24">
        <f>IF($D3802="","",IFERROR(VLOOKUP($D3802,物料档案!$A$4:$P$1203,6,0),"※编码不在物料档案里"))</f>
        <v/>
      </c>
      <c r="J3802" s="23" t="n"/>
      <c r="K3802" s="17" t="n"/>
      <c r="L3802" s="17" t="n"/>
      <c r="M3802" s="17" t="n"/>
      <c r="N3802" s="17" t="n"/>
      <c r="O3802" s="26">
        <f>IF($D3802="","",IFERROR(VLOOKUP($D3802,物料档案!$A$4:$P$1203,10,0),0))</f>
        <v/>
      </c>
      <c r="P3802" s="32" t="n"/>
      <c r="Q3802" s="26">
        <f>IF($D3802="","",IF($K3802&lt;&gt;"对外销售",0,ROUND(N($J3802)*IF($P3802="",N($O3802),N($P3802)),0)))</f>
        <v/>
      </c>
      <c r="R3802" s="26">
        <f>IF($D3802="","",IFERROR(VLOOKUP($D3802,库存台账!$A$5:$Y$1204,11,0),0))</f>
        <v/>
      </c>
      <c r="S3802" s="26">
        <f>IF($D3802="","",ROUND(N($J3802)*N($R3802),0))</f>
        <v/>
      </c>
      <c r="T3802" s="26">
        <f>IF($D3802="","",IF($K3802&lt;&gt;"对外销售","",ROUND($Q3802-$S3802,0)))</f>
        <v/>
      </c>
      <c r="U3802" s="17" t="n"/>
      <c r="V3802" s="17" t="n"/>
      <c r="W3802" s="24">
        <f>IF($D3802="","",IF($E3802="※编码不在物料档案里","※物料编码不在档案里",IF(N($J3802)&lt;=0,"※出库数量要大于 0",IF($K3802="","※没填去向类型",IF($L3802="","※没填去向矿区",IF(AND($C3802&lt;&gt;"",$C3802&lt;=结账锁),"※日期早于已结账截止日，不能再录",IF(AND($K3802="自用消耗",COUNTIF({"一矿区";"二矿区"},$L3802)=0),"※自用消耗的去向只能是一矿区或二矿区",IF(AND($K3802="对外销售",COUNTIF({"三矿区";"六矿区"},$L3802)=0),"※对外销售的去向只能是三矿区或六矿区",IF(AND($K3802="对外销售",ROUND($Q3802,0)=0),"※外销却没有售价，请填实际售价",IF(AND($K3802="对外销售",$T3802&lt;&gt;"",$T3802&lt;0),"※这一笔外销是亏的，请核对售价",IF(IFERROR(VLOOKUP($D3802,库存台账!$A$5:$Y$1204,24,0),0)&lt;-0.001,"※这个物料账面已经变成负数了，查一下是不是漏记入库","")))))))))))</f>
        <v/>
      </c>
    </row>
    <row r="3803">
      <c r="A3803" s="24">
        <f>IF($D3803="","",COUNTA($D$4:$D3803))</f>
        <v/>
      </c>
      <c r="B3803" s="17" t="n"/>
      <c r="C3803" s="30" t="n"/>
      <c r="D3803" s="17" t="n"/>
      <c r="E3803" s="24">
        <f>IF($D3803="","",IFERROR(VLOOKUP($D3803,物料档案!$A$4:$P$1203,3,0),"※编码不在物料档案里"))</f>
        <v/>
      </c>
      <c r="F3803" s="24">
        <f>IF($D3803="","",IFERROR(VLOOKUP($D3803,物料档案!$A$4:$P$1203,4,0),"※编码不在物料档案里"))</f>
        <v/>
      </c>
      <c r="G3803" s="24">
        <f>IF($D3803="","",IFERROR(VLOOKUP($D3803,物料档案!$A$4:$P$1203,5,0),"※编码不在物料档案里"))</f>
        <v/>
      </c>
      <c r="H3803" s="24">
        <f>IF($D3803="","",IFERROR(VLOOKUP($D3803,物料档案!$A$4:$P$1203,2,0),"※编码不在物料档案里"))</f>
        <v/>
      </c>
      <c r="I3803" s="24">
        <f>IF($D3803="","",IFERROR(VLOOKUP($D3803,物料档案!$A$4:$P$1203,6,0),"※编码不在物料档案里"))</f>
        <v/>
      </c>
      <c r="J3803" s="23" t="n"/>
      <c r="K3803" s="17" t="n"/>
      <c r="L3803" s="17" t="n"/>
      <c r="M3803" s="17" t="n"/>
      <c r="N3803" s="17" t="n"/>
      <c r="O3803" s="26">
        <f>IF($D3803="","",IFERROR(VLOOKUP($D3803,物料档案!$A$4:$P$1203,10,0),0))</f>
        <v/>
      </c>
      <c r="P3803" s="32" t="n"/>
      <c r="Q3803" s="26">
        <f>IF($D3803="","",IF($K3803&lt;&gt;"对外销售",0,ROUND(N($J3803)*IF($P3803="",N($O3803),N($P3803)),0)))</f>
        <v/>
      </c>
      <c r="R3803" s="26">
        <f>IF($D3803="","",IFERROR(VLOOKUP($D3803,库存台账!$A$5:$Y$1204,11,0),0))</f>
        <v/>
      </c>
      <c r="S3803" s="26">
        <f>IF($D3803="","",ROUND(N($J3803)*N($R3803),0))</f>
        <v/>
      </c>
      <c r="T3803" s="26">
        <f>IF($D3803="","",IF($K3803&lt;&gt;"对外销售","",ROUND($Q3803-$S3803,0)))</f>
        <v/>
      </c>
      <c r="U3803" s="17" t="n"/>
      <c r="V3803" s="17" t="n"/>
      <c r="W3803" s="24">
        <f>IF($D3803="","",IF($E3803="※编码不在物料档案里","※物料编码不在档案里",IF(N($J3803)&lt;=0,"※出库数量要大于 0",IF($K3803="","※没填去向类型",IF($L3803="","※没填去向矿区",IF(AND($C3803&lt;&gt;"",$C3803&lt;=结账锁),"※日期早于已结账截止日，不能再录",IF(AND($K3803="自用消耗",COUNTIF({"一矿区";"二矿区"},$L3803)=0),"※自用消耗的去向只能是一矿区或二矿区",IF(AND($K3803="对外销售",COUNTIF({"三矿区";"六矿区"},$L3803)=0),"※对外销售的去向只能是三矿区或六矿区",IF(AND($K3803="对外销售",ROUND($Q3803,0)=0),"※外销却没有售价，请填实际售价",IF(AND($K3803="对外销售",$T3803&lt;&gt;"",$T3803&lt;0),"※这一笔外销是亏的，请核对售价",IF(IFERROR(VLOOKUP($D3803,库存台账!$A$5:$Y$1204,24,0),0)&lt;-0.001,"※这个物料账面已经变成负数了，查一下是不是漏记入库","")))))))))))</f>
        <v/>
      </c>
    </row>
    <row r="3804">
      <c r="A3804" s="24">
        <f>IF($D3804="","",COUNTA($D$4:$D3804))</f>
        <v/>
      </c>
      <c r="B3804" s="17" t="n"/>
      <c r="C3804" s="30" t="n"/>
      <c r="D3804" s="17" t="n"/>
      <c r="E3804" s="24">
        <f>IF($D3804="","",IFERROR(VLOOKUP($D3804,物料档案!$A$4:$P$1203,3,0),"※编码不在物料档案里"))</f>
        <v/>
      </c>
      <c r="F3804" s="24">
        <f>IF($D3804="","",IFERROR(VLOOKUP($D3804,物料档案!$A$4:$P$1203,4,0),"※编码不在物料档案里"))</f>
        <v/>
      </c>
      <c r="G3804" s="24">
        <f>IF($D3804="","",IFERROR(VLOOKUP($D3804,物料档案!$A$4:$P$1203,5,0),"※编码不在物料档案里"))</f>
        <v/>
      </c>
      <c r="H3804" s="24">
        <f>IF($D3804="","",IFERROR(VLOOKUP($D3804,物料档案!$A$4:$P$1203,2,0),"※编码不在物料档案里"))</f>
        <v/>
      </c>
      <c r="I3804" s="24">
        <f>IF($D3804="","",IFERROR(VLOOKUP($D3804,物料档案!$A$4:$P$1203,6,0),"※编码不在物料档案里"))</f>
        <v/>
      </c>
      <c r="J3804" s="23" t="n"/>
      <c r="K3804" s="17" t="n"/>
      <c r="L3804" s="17" t="n"/>
      <c r="M3804" s="17" t="n"/>
      <c r="N3804" s="17" t="n"/>
      <c r="O3804" s="26">
        <f>IF($D3804="","",IFERROR(VLOOKUP($D3804,物料档案!$A$4:$P$1203,10,0),0))</f>
        <v/>
      </c>
      <c r="P3804" s="32" t="n"/>
      <c r="Q3804" s="26">
        <f>IF($D3804="","",IF($K3804&lt;&gt;"对外销售",0,ROUND(N($J3804)*IF($P3804="",N($O3804),N($P3804)),0)))</f>
        <v/>
      </c>
      <c r="R3804" s="26">
        <f>IF($D3804="","",IFERROR(VLOOKUP($D3804,库存台账!$A$5:$Y$1204,11,0),0))</f>
        <v/>
      </c>
      <c r="S3804" s="26">
        <f>IF($D3804="","",ROUND(N($J3804)*N($R3804),0))</f>
        <v/>
      </c>
      <c r="T3804" s="26">
        <f>IF($D3804="","",IF($K3804&lt;&gt;"对外销售","",ROUND($Q3804-$S3804,0)))</f>
        <v/>
      </c>
      <c r="U3804" s="17" t="n"/>
      <c r="V3804" s="17" t="n"/>
      <c r="W3804" s="24">
        <f>IF($D3804="","",IF($E3804="※编码不在物料档案里","※物料编码不在档案里",IF(N($J3804)&lt;=0,"※出库数量要大于 0",IF($K3804="","※没填去向类型",IF($L3804="","※没填去向矿区",IF(AND($C3804&lt;&gt;"",$C3804&lt;=结账锁),"※日期早于已结账截止日，不能再录",IF(AND($K3804="自用消耗",COUNTIF({"一矿区";"二矿区"},$L3804)=0),"※自用消耗的去向只能是一矿区或二矿区",IF(AND($K3804="对外销售",COUNTIF({"三矿区";"六矿区"},$L3804)=0),"※对外销售的去向只能是三矿区或六矿区",IF(AND($K3804="对外销售",ROUND($Q3804,0)=0),"※外销却没有售价，请填实际售价",IF(AND($K3804="对外销售",$T3804&lt;&gt;"",$T3804&lt;0),"※这一笔外销是亏的，请核对售价",IF(IFERROR(VLOOKUP($D3804,库存台账!$A$5:$Y$1204,24,0),0)&lt;-0.001,"※这个物料账面已经变成负数了，查一下是不是漏记入库","")))))))))))</f>
        <v/>
      </c>
    </row>
    <row r="3805">
      <c r="A3805" s="24">
        <f>IF($D3805="","",COUNTA($D$4:$D3805))</f>
        <v/>
      </c>
      <c r="B3805" s="17" t="n"/>
      <c r="C3805" s="30" t="n"/>
      <c r="D3805" s="17" t="n"/>
      <c r="E3805" s="24">
        <f>IF($D3805="","",IFERROR(VLOOKUP($D3805,物料档案!$A$4:$P$1203,3,0),"※编码不在物料档案里"))</f>
        <v/>
      </c>
      <c r="F3805" s="24">
        <f>IF($D3805="","",IFERROR(VLOOKUP($D3805,物料档案!$A$4:$P$1203,4,0),"※编码不在物料档案里"))</f>
        <v/>
      </c>
      <c r="G3805" s="24">
        <f>IF($D3805="","",IFERROR(VLOOKUP($D3805,物料档案!$A$4:$P$1203,5,0),"※编码不在物料档案里"))</f>
        <v/>
      </c>
      <c r="H3805" s="24">
        <f>IF($D3805="","",IFERROR(VLOOKUP($D3805,物料档案!$A$4:$P$1203,2,0),"※编码不在物料档案里"))</f>
        <v/>
      </c>
      <c r="I3805" s="24">
        <f>IF($D3805="","",IFERROR(VLOOKUP($D3805,物料档案!$A$4:$P$1203,6,0),"※编码不在物料档案里"))</f>
        <v/>
      </c>
      <c r="J3805" s="23" t="n"/>
      <c r="K3805" s="17" t="n"/>
      <c r="L3805" s="17" t="n"/>
      <c r="M3805" s="17" t="n"/>
      <c r="N3805" s="17" t="n"/>
      <c r="O3805" s="26">
        <f>IF($D3805="","",IFERROR(VLOOKUP($D3805,物料档案!$A$4:$P$1203,10,0),0))</f>
        <v/>
      </c>
      <c r="P3805" s="32" t="n"/>
      <c r="Q3805" s="26">
        <f>IF($D3805="","",IF($K3805&lt;&gt;"对外销售",0,ROUND(N($J3805)*IF($P3805="",N($O3805),N($P3805)),0)))</f>
        <v/>
      </c>
      <c r="R3805" s="26">
        <f>IF($D3805="","",IFERROR(VLOOKUP($D3805,库存台账!$A$5:$Y$1204,11,0),0))</f>
        <v/>
      </c>
      <c r="S3805" s="26">
        <f>IF($D3805="","",ROUND(N($J3805)*N($R3805),0))</f>
        <v/>
      </c>
      <c r="T3805" s="26">
        <f>IF($D3805="","",IF($K3805&lt;&gt;"对外销售","",ROUND($Q3805-$S3805,0)))</f>
        <v/>
      </c>
      <c r="U3805" s="17" t="n"/>
      <c r="V3805" s="17" t="n"/>
      <c r="W3805" s="24">
        <f>IF($D3805="","",IF($E3805="※编码不在物料档案里","※物料编码不在档案里",IF(N($J3805)&lt;=0,"※出库数量要大于 0",IF($K3805="","※没填去向类型",IF($L3805="","※没填去向矿区",IF(AND($C3805&lt;&gt;"",$C3805&lt;=结账锁),"※日期早于已结账截止日，不能再录",IF(AND($K3805="自用消耗",COUNTIF({"一矿区";"二矿区"},$L3805)=0),"※自用消耗的去向只能是一矿区或二矿区",IF(AND($K3805="对外销售",COUNTIF({"三矿区";"六矿区"},$L3805)=0),"※对外销售的去向只能是三矿区或六矿区",IF(AND($K3805="对外销售",ROUND($Q3805,0)=0),"※外销却没有售价，请填实际售价",IF(AND($K3805="对外销售",$T3805&lt;&gt;"",$T3805&lt;0),"※这一笔外销是亏的，请核对售价",IF(IFERROR(VLOOKUP($D3805,库存台账!$A$5:$Y$1204,24,0),0)&lt;-0.001,"※这个物料账面已经变成负数了，查一下是不是漏记入库","")))))))))))</f>
        <v/>
      </c>
    </row>
    <row r="3806">
      <c r="A3806" s="24">
        <f>IF($D3806="","",COUNTA($D$4:$D3806))</f>
        <v/>
      </c>
      <c r="B3806" s="17" t="n"/>
      <c r="C3806" s="30" t="n"/>
      <c r="D3806" s="17" t="n"/>
      <c r="E3806" s="24">
        <f>IF($D3806="","",IFERROR(VLOOKUP($D3806,物料档案!$A$4:$P$1203,3,0),"※编码不在物料档案里"))</f>
        <v/>
      </c>
      <c r="F3806" s="24">
        <f>IF($D3806="","",IFERROR(VLOOKUP($D3806,物料档案!$A$4:$P$1203,4,0),"※编码不在物料档案里"))</f>
        <v/>
      </c>
      <c r="G3806" s="24">
        <f>IF($D3806="","",IFERROR(VLOOKUP($D3806,物料档案!$A$4:$P$1203,5,0),"※编码不在物料档案里"))</f>
        <v/>
      </c>
      <c r="H3806" s="24">
        <f>IF($D3806="","",IFERROR(VLOOKUP($D3806,物料档案!$A$4:$P$1203,2,0),"※编码不在物料档案里"))</f>
        <v/>
      </c>
      <c r="I3806" s="24">
        <f>IF($D3806="","",IFERROR(VLOOKUP($D3806,物料档案!$A$4:$P$1203,6,0),"※编码不在物料档案里"))</f>
        <v/>
      </c>
      <c r="J3806" s="23" t="n"/>
      <c r="K3806" s="17" t="n"/>
      <c r="L3806" s="17" t="n"/>
      <c r="M3806" s="17" t="n"/>
      <c r="N3806" s="17" t="n"/>
      <c r="O3806" s="26">
        <f>IF($D3806="","",IFERROR(VLOOKUP($D3806,物料档案!$A$4:$P$1203,10,0),0))</f>
        <v/>
      </c>
      <c r="P3806" s="32" t="n"/>
      <c r="Q3806" s="26">
        <f>IF($D3806="","",IF($K3806&lt;&gt;"对外销售",0,ROUND(N($J3806)*IF($P3806="",N($O3806),N($P3806)),0)))</f>
        <v/>
      </c>
      <c r="R3806" s="26">
        <f>IF($D3806="","",IFERROR(VLOOKUP($D3806,库存台账!$A$5:$Y$1204,11,0),0))</f>
        <v/>
      </c>
      <c r="S3806" s="26">
        <f>IF($D3806="","",ROUND(N($J3806)*N($R3806),0))</f>
        <v/>
      </c>
      <c r="T3806" s="26">
        <f>IF($D3806="","",IF($K3806&lt;&gt;"对外销售","",ROUND($Q3806-$S3806,0)))</f>
        <v/>
      </c>
      <c r="U3806" s="17" t="n"/>
      <c r="V3806" s="17" t="n"/>
      <c r="W3806" s="24">
        <f>IF($D3806="","",IF($E3806="※编码不在物料档案里","※物料编码不在档案里",IF(N($J3806)&lt;=0,"※出库数量要大于 0",IF($K3806="","※没填去向类型",IF($L3806="","※没填去向矿区",IF(AND($C3806&lt;&gt;"",$C3806&lt;=结账锁),"※日期早于已结账截止日，不能再录",IF(AND($K3806="自用消耗",COUNTIF({"一矿区";"二矿区"},$L3806)=0),"※自用消耗的去向只能是一矿区或二矿区",IF(AND($K3806="对外销售",COUNTIF({"三矿区";"六矿区"},$L3806)=0),"※对外销售的去向只能是三矿区或六矿区",IF(AND($K3806="对外销售",ROUND($Q3806,0)=0),"※外销却没有售价，请填实际售价",IF(AND($K3806="对外销售",$T3806&lt;&gt;"",$T3806&lt;0),"※这一笔外销是亏的，请核对售价",IF(IFERROR(VLOOKUP($D3806,库存台账!$A$5:$Y$1204,24,0),0)&lt;-0.001,"※这个物料账面已经变成负数了，查一下是不是漏记入库","")))))))))))</f>
        <v/>
      </c>
    </row>
    <row r="3807">
      <c r="A3807" s="24">
        <f>IF($D3807="","",COUNTA($D$4:$D3807))</f>
        <v/>
      </c>
      <c r="B3807" s="17" t="n"/>
      <c r="C3807" s="30" t="n"/>
      <c r="D3807" s="17" t="n"/>
      <c r="E3807" s="24">
        <f>IF($D3807="","",IFERROR(VLOOKUP($D3807,物料档案!$A$4:$P$1203,3,0),"※编码不在物料档案里"))</f>
        <v/>
      </c>
      <c r="F3807" s="24">
        <f>IF($D3807="","",IFERROR(VLOOKUP($D3807,物料档案!$A$4:$P$1203,4,0),"※编码不在物料档案里"))</f>
        <v/>
      </c>
      <c r="G3807" s="24">
        <f>IF($D3807="","",IFERROR(VLOOKUP($D3807,物料档案!$A$4:$P$1203,5,0),"※编码不在物料档案里"))</f>
        <v/>
      </c>
      <c r="H3807" s="24">
        <f>IF($D3807="","",IFERROR(VLOOKUP($D3807,物料档案!$A$4:$P$1203,2,0),"※编码不在物料档案里"))</f>
        <v/>
      </c>
      <c r="I3807" s="24">
        <f>IF($D3807="","",IFERROR(VLOOKUP($D3807,物料档案!$A$4:$P$1203,6,0),"※编码不在物料档案里"))</f>
        <v/>
      </c>
      <c r="J3807" s="23" t="n"/>
      <c r="K3807" s="17" t="n"/>
      <c r="L3807" s="17" t="n"/>
      <c r="M3807" s="17" t="n"/>
      <c r="N3807" s="17" t="n"/>
      <c r="O3807" s="26">
        <f>IF($D3807="","",IFERROR(VLOOKUP($D3807,物料档案!$A$4:$P$1203,10,0),0))</f>
        <v/>
      </c>
      <c r="P3807" s="32" t="n"/>
      <c r="Q3807" s="26">
        <f>IF($D3807="","",IF($K3807&lt;&gt;"对外销售",0,ROUND(N($J3807)*IF($P3807="",N($O3807),N($P3807)),0)))</f>
        <v/>
      </c>
      <c r="R3807" s="26">
        <f>IF($D3807="","",IFERROR(VLOOKUP($D3807,库存台账!$A$5:$Y$1204,11,0),0))</f>
        <v/>
      </c>
      <c r="S3807" s="26">
        <f>IF($D3807="","",ROUND(N($J3807)*N($R3807),0))</f>
        <v/>
      </c>
      <c r="T3807" s="26">
        <f>IF($D3807="","",IF($K3807&lt;&gt;"对外销售","",ROUND($Q3807-$S3807,0)))</f>
        <v/>
      </c>
      <c r="U3807" s="17" t="n"/>
      <c r="V3807" s="17" t="n"/>
      <c r="W3807" s="24">
        <f>IF($D3807="","",IF($E3807="※编码不在物料档案里","※物料编码不在档案里",IF(N($J3807)&lt;=0,"※出库数量要大于 0",IF($K3807="","※没填去向类型",IF($L3807="","※没填去向矿区",IF(AND($C3807&lt;&gt;"",$C3807&lt;=结账锁),"※日期早于已结账截止日，不能再录",IF(AND($K3807="自用消耗",COUNTIF({"一矿区";"二矿区"},$L3807)=0),"※自用消耗的去向只能是一矿区或二矿区",IF(AND($K3807="对外销售",COUNTIF({"三矿区";"六矿区"},$L3807)=0),"※对外销售的去向只能是三矿区或六矿区",IF(AND($K3807="对外销售",ROUND($Q3807,0)=0),"※外销却没有售价，请填实际售价",IF(AND($K3807="对外销售",$T3807&lt;&gt;"",$T3807&lt;0),"※这一笔外销是亏的，请核对售价",IF(IFERROR(VLOOKUP($D3807,库存台账!$A$5:$Y$1204,24,0),0)&lt;-0.001,"※这个物料账面已经变成负数了，查一下是不是漏记入库","")))))))))))</f>
        <v/>
      </c>
    </row>
    <row r="3808">
      <c r="A3808" s="24">
        <f>IF($D3808="","",COUNTA($D$4:$D3808))</f>
        <v/>
      </c>
      <c r="B3808" s="17" t="n"/>
      <c r="C3808" s="30" t="n"/>
      <c r="D3808" s="17" t="n"/>
      <c r="E3808" s="24">
        <f>IF($D3808="","",IFERROR(VLOOKUP($D3808,物料档案!$A$4:$P$1203,3,0),"※编码不在物料档案里"))</f>
        <v/>
      </c>
      <c r="F3808" s="24">
        <f>IF($D3808="","",IFERROR(VLOOKUP($D3808,物料档案!$A$4:$P$1203,4,0),"※编码不在物料档案里"))</f>
        <v/>
      </c>
      <c r="G3808" s="24">
        <f>IF($D3808="","",IFERROR(VLOOKUP($D3808,物料档案!$A$4:$P$1203,5,0),"※编码不在物料档案里"))</f>
        <v/>
      </c>
      <c r="H3808" s="24">
        <f>IF($D3808="","",IFERROR(VLOOKUP($D3808,物料档案!$A$4:$P$1203,2,0),"※编码不在物料档案里"))</f>
        <v/>
      </c>
      <c r="I3808" s="24">
        <f>IF($D3808="","",IFERROR(VLOOKUP($D3808,物料档案!$A$4:$P$1203,6,0),"※编码不在物料档案里"))</f>
        <v/>
      </c>
      <c r="J3808" s="23" t="n"/>
      <c r="K3808" s="17" t="n"/>
      <c r="L3808" s="17" t="n"/>
      <c r="M3808" s="17" t="n"/>
      <c r="N3808" s="17" t="n"/>
      <c r="O3808" s="26">
        <f>IF($D3808="","",IFERROR(VLOOKUP($D3808,物料档案!$A$4:$P$1203,10,0),0))</f>
        <v/>
      </c>
      <c r="P3808" s="32" t="n"/>
      <c r="Q3808" s="26">
        <f>IF($D3808="","",IF($K3808&lt;&gt;"对外销售",0,ROUND(N($J3808)*IF($P3808="",N($O3808),N($P3808)),0)))</f>
        <v/>
      </c>
      <c r="R3808" s="26">
        <f>IF($D3808="","",IFERROR(VLOOKUP($D3808,库存台账!$A$5:$Y$1204,11,0),0))</f>
        <v/>
      </c>
      <c r="S3808" s="26">
        <f>IF($D3808="","",ROUND(N($J3808)*N($R3808),0))</f>
        <v/>
      </c>
      <c r="T3808" s="26">
        <f>IF($D3808="","",IF($K3808&lt;&gt;"对外销售","",ROUND($Q3808-$S3808,0)))</f>
        <v/>
      </c>
      <c r="U3808" s="17" t="n"/>
      <c r="V3808" s="17" t="n"/>
      <c r="W3808" s="24">
        <f>IF($D3808="","",IF($E3808="※编码不在物料档案里","※物料编码不在档案里",IF(N($J3808)&lt;=0,"※出库数量要大于 0",IF($K3808="","※没填去向类型",IF($L3808="","※没填去向矿区",IF(AND($C3808&lt;&gt;"",$C3808&lt;=结账锁),"※日期早于已结账截止日，不能再录",IF(AND($K3808="自用消耗",COUNTIF({"一矿区";"二矿区"},$L3808)=0),"※自用消耗的去向只能是一矿区或二矿区",IF(AND($K3808="对外销售",COUNTIF({"三矿区";"六矿区"},$L3808)=0),"※对外销售的去向只能是三矿区或六矿区",IF(AND($K3808="对外销售",ROUND($Q3808,0)=0),"※外销却没有售价，请填实际售价",IF(AND($K3808="对外销售",$T3808&lt;&gt;"",$T3808&lt;0),"※这一笔外销是亏的，请核对售价",IF(IFERROR(VLOOKUP($D3808,库存台账!$A$5:$Y$1204,24,0),0)&lt;-0.001,"※这个物料账面已经变成负数了，查一下是不是漏记入库","")))))))))))</f>
        <v/>
      </c>
    </row>
    <row r="3809">
      <c r="A3809" s="24">
        <f>IF($D3809="","",COUNTA($D$4:$D3809))</f>
        <v/>
      </c>
      <c r="B3809" s="17" t="n"/>
      <c r="C3809" s="30" t="n"/>
      <c r="D3809" s="17" t="n"/>
      <c r="E3809" s="24">
        <f>IF($D3809="","",IFERROR(VLOOKUP($D3809,物料档案!$A$4:$P$1203,3,0),"※编码不在物料档案里"))</f>
        <v/>
      </c>
      <c r="F3809" s="24">
        <f>IF($D3809="","",IFERROR(VLOOKUP($D3809,物料档案!$A$4:$P$1203,4,0),"※编码不在物料档案里"))</f>
        <v/>
      </c>
      <c r="G3809" s="24">
        <f>IF($D3809="","",IFERROR(VLOOKUP($D3809,物料档案!$A$4:$P$1203,5,0),"※编码不在物料档案里"))</f>
        <v/>
      </c>
      <c r="H3809" s="24">
        <f>IF($D3809="","",IFERROR(VLOOKUP($D3809,物料档案!$A$4:$P$1203,2,0),"※编码不在物料档案里"))</f>
        <v/>
      </c>
      <c r="I3809" s="24">
        <f>IF($D3809="","",IFERROR(VLOOKUP($D3809,物料档案!$A$4:$P$1203,6,0),"※编码不在物料档案里"))</f>
        <v/>
      </c>
      <c r="J3809" s="23" t="n"/>
      <c r="K3809" s="17" t="n"/>
      <c r="L3809" s="17" t="n"/>
      <c r="M3809" s="17" t="n"/>
      <c r="N3809" s="17" t="n"/>
      <c r="O3809" s="26">
        <f>IF($D3809="","",IFERROR(VLOOKUP($D3809,物料档案!$A$4:$P$1203,10,0),0))</f>
        <v/>
      </c>
      <c r="P3809" s="32" t="n"/>
      <c r="Q3809" s="26">
        <f>IF($D3809="","",IF($K3809&lt;&gt;"对外销售",0,ROUND(N($J3809)*IF($P3809="",N($O3809),N($P3809)),0)))</f>
        <v/>
      </c>
      <c r="R3809" s="26">
        <f>IF($D3809="","",IFERROR(VLOOKUP($D3809,库存台账!$A$5:$Y$1204,11,0),0))</f>
        <v/>
      </c>
      <c r="S3809" s="26">
        <f>IF($D3809="","",ROUND(N($J3809)*N($R3809),0))</f>
        <v/>
      </c>
      <c r="T3809" s="26">
        <f>IF($D3809="","",IF($K3809&lt;&gt;"对外销售","",ROUND($Q3809-$S3809,0)))</f>
        <v/>
      </c>
      <c r="U3809" s="17" t="n"/>
      <c r="V3809" s="17" t="n"/>
      <c r="W3809" s="24">
        <f>IF($D3809="","",IF($E3809="※编码不在物料档案里","※物料编码不在档案里",IF(N($J3809)&lt;=0,"※出库数量要大于 0",IF($K3809="","※没填去向类型",IF($L3809="","※没填去向矿区",IF(AND($C3809&lt;&gt;"",$C3809&lt;=结账锁),"※日期早于已结账截止日，不能再录",IF(AND($K3809="自用消耗",COUNTIF({"一矿区";"二矿区"},$L3809)=0),"※自用消耗的去向只能是一矿区或二矿区",IF(AND($K3809="对外销售",COUNTIF({"三矿区";"六矿区"},$L3809)=0),"※对外销售的去向只能是三矿区或六矿区",IF(AND($K3809="对外销售",ROUND($Q3809,0)=0),"※外销却没有售价，请填实际售价",IF(AND($K3809="对外销售",$T3809&lt;&gt;"",$T3809&lt;0),"※这一笔外销是亏的，请核对售价",IF(IFERROR(VLOOKUP($D3809,库存台账!$A$5:$Y$1204,24,0),0)&lt;-0.001,"※这个物料账面已经变成负数了，查一下是不是漏记入库","")))))))))))</f>
        <v/>
      </c>
    </row>
    <row r="3810">
      <c r="A3810" s="24">
        <f>IF($D3810="","",COUNTA($D$4:$D3810))</f>
        <v/>
      </c>
      <c r="B3810" s="17" t="n"/>
      <c r="C3810" s="30" t="n"/>
      <c r="D3810" s="17" t="n"/>
      <c r="E3810" s="24">
        <f>IF($D3810="","",IFERROR(VLOOKUP($D3810,物料档案!$A$4:$P$1203,3,0),"※编码不在物料档案里"))</f>
        <v/>
      </c>
      <c r="F3810" s="24">
        <f>IF($D3810="","",IFERROR(VLOOKUP($D3810,物料档案!$A$4:$P$1203,4,0),"※编码不在物料档案里"))</f>
        <v/>
      </c>
      <c r="G3810" s="24">
        <f>IF($D3810="","",IFERROR(VLOOKUP($D3810,物料档案!$A$4:$P$1203,5,0),"※编码不在物料档案里"))</f>
        <v/>
      </c>
      <c r="H3810" s="24">
        <f>IF($D3810="","",IFERROR(VLOOKUP($D3810,物料档案!$A$4:$P$1203,2,0),"※编码不在物料档案里"))</f>
        <v/>
      </c>
      <c r="I3810" s="24">
        <f>IF($D3810="","",IFERROR(VLOOKUP($D3810,物料档案!$A$4:$P$1203,6,0),"※编码不在物料档案里"))</f>
        <v/>
      </c>
      <c r="J3810" s="23" t="n"/>
      <c r="K3810" s="17" t="n"/>
      <c r="L3810" s="17" t="n"/>
      <c r="M3810" s="17" t="n"/>
      <c r="N3810" s="17" t="n"/>
      <c r="O3810" s="26">
        <f>IF($D3810="","",IFERROR(VLOOKUP($D3810,物料档案!$A$4:$P$1203,10,0),0))</f>
        <v/>
      </c>
      <c r="P3810" s="32" t="n"/>
      <c r="Q3810" s="26">
        <f>IF($D3810="","",IF($K3810&lt;&gt;"对外销售",0,ROUND(N($J3810)*IF($P3810="",N($O3810),N($P3810)),0)))</f>
        <v/>
      </c>
      <c r="R3810" s="26">
        <f>IF($D3810="","",IFERROR(VLOOKUP($D3810,库存台账!$A$5:$Y$1204,11,0),0))</f>
        <v/>
      </c>
      <c r="S3810" s="26">
        <f>IF($D3810="","",ROUND(N($J3810)*N($R3810),0))</f>
        <v/>
      </c>
      <c r="T3810" s="26">
        <f>IF($D3810="","",IF($K3810&lt;&gt;"对外销售","",ROUND($Q3810-$S3810,0)))</f>
        <v/>
      </c>
      <c r="U3810" s="17" t="n"/>
      <c r="V3810" s="17" t="n"/>
      <c r="W3810" s="24">
        <f>IF($D3810="","",IF($E3810="※编码不在物料档案里","※物料编码不在档案里",IF(N($J3810)&lt;=0,"※出库数量要大于 0",IF($K3810="","※没填去向类型",IF($L3810="","※没填去向矿区",IF(AND($C3810&lt;&gt;"",$C3810&lt;=结账锁),"※日期早于已结账截止日，不能再录",IF(AND($K3810="自用消耗",COUNTIF({"一矿区";"二矿区"},$L3810)=0),"※自用消耗的去向只能是一矿区或二矿区",IF(AND($K3810="对外销售",COUNTIF({"三矿区";"六矿区"},$L3810)=0),"※对外销售的去向只能是三矿区或六矿区",IF(AND($K3810="对外销售",ROUND($Q3810,0)=0),"※外销却没有售价，请填实际售价",IF(AND($K3810="对外销售",$T3810&lt;&gt;"",$T3810&lt;0),"※这一笔外销是亏的，请核对售价",IF(IFERROR(VLOOKUP($D3810,库存台账!$A$5:$Y$1204,24,0),0)&lt;-0.001,"※这个物料账面已经变成负数了，查一下是不是漏记入库","")))))))))))</f>
        <v/>
      </c>
    </row>
    <row r="3811">
      <c r="A3811" s="24">
        <f>IF($D3811="","",COUNTA($D$4:$D3811))</f>
        <v/>
      </c>
      <c r="B3811" s="17" t="n"/>
      <c r="C3811" s="30" t="n"/>
      <c r="D3811" s="17" t="n"/>
      <c r="E3811" s="24">
        <f>IF($D3811="","",IFERROR(VLOOKUP($D3811,物料档案!$A$4:$P$1203,3,0),"※编码不在物料档案里"))</f>
        <v/>
      </c>
      <c r="F3811" s="24">
        <f>IF($D3811="","",IFERROR(VLOOKUP($D3811,物料档案!$A$4:$P$1203,4,0),"※编码不在物料档案里"))</f>
        <v/>
      </c>
      <c r="G3811" s="24">
        <f>IF($D3811="","",IFERROR(VLOOKUP($D3811,物料档案!$A$4:$P$1203,5,0),"※编码不在物料档案里"))</f>
        <v/>
      </c>
      <c r="H3811" s="24">
        <f>IF($D3811="","",IFERROR(VLOOKUP($D3811,物料档案!$A$4:$P$1203,2,0),"※编码不在物料档案里"))</f>
        <v/>
      </c>
      <c r="I3811" s="24">
        <f>IF($D3811="","",IFERROR(VLOOKUP($D3811,物料档案!$A$4:$P$1203,6,0),"※编码不在物料档案里"))</f>
        <v/>
      </c>
      <c r="J3811" s="23" t="n"/>
      <c r="K3811" s="17" t="n"/>
      <c r="L3811" s="17" t="n"/>
      <c r="M3811" s="17" t="n"/>
      <c r="N3811" s="17" t="n"/>
      <c r="O3811" s="26">
        <f>IF($D3811="","",IFERROR(VLOOKUP($D3811,物料档案!$A$4:$P$1203,10,0),0))</f>
        <v/>
      </c>
      <c r="P3811" s="32" t="n"/>
      <c r="Q3811" s="26">
        <f>IF($D3811="","",IF($K3811&lt;&gt;"对外销售",0,ROUND(N($J3811)*IF($P3811="",N($O3811),N($P3811)),0)))</f>
        <v/>
      </c>
      <c r="R3811" s="26">
        <f>IF($D3811="","",IFERROR(VLOOKUP($D3811,库存台账!$A$5:$Y$1204,11,0),0))</f>
        <v/>
      </c>
      <c r="S3811" s="26">
        <f>IF($D3811="","",ROUND(N($J3811)*N($R3811),0))</f>
        <v/>
      </c>
      <c r="T3811" s="26">
        <f>IF($D3811="","",IF($K3811&lt;&gt;"对外销售","",ROUND($Q3811-$S3811,0)))</f>
        <v/>
      </c>
      <c r="U3811" s="17" t="n"/>
      <c r="V3811" s="17" t="n"/>
      <c r="W3811" s="24">
        <f>IF($D3811="","",IF($E3811="※编码不在物料档案里","※物料编码不在档案里",IF(N($J3811)&lt;=0,"※出库数量要大于 0",IF($K3811="","※没填去向类型",IF($L3811="","※没填去向矿区",IF(AND($C3811&lt;&gt;"",$C3811&lt;=结账锁),"※日期早于已结账截止日，不能再录",IF(AND($K3811="自用消耗",COUNTIF({"一矿区";"二矿区"},$L3811)=0),"※自用消耗的去向只能是一矿区或二矿区",IF(AND($K3811="对外销售",COUNTIF({"三矿区";"六矿区"},$L3811)=0),"※对外销售的去向只能是三矿区或六矿区",IF(AND($K3811="对外销售",ROUND($Q3811,0)=0),"※外销却没有售价，请填实际售价",IF(AND($K3811="对外销售",$T3811&lt;&gt;"",$T3811&lt;0),"※这一笔外销是亏的，请核对售价",IF(IFERROR(VLOOKUP($D3811,库存台账!$A$5:$Y$1204,24,0),0)&lt;-0.001,"※这个物料账面已经变成负数了，查一下是不是漏记入库","")))))))))))</f>
        <v/>
      </c>
    </row>
    <row r="3812">
      <c r="A3812" s="24">
        <f>IF($D3812="","",COUNTA($D$4:$D3812))</f>
        <v/>
      </c>
      <c r="B3812" s="17" t="n"/>
      <c r="C3812" s="30" t="n"/>
      <c r="D3812" s="17" t="n"/>
      <c r="E3812" s="24">
        <f>IF($D3812="","",IFERROR(VLOOKUP($D3812,物料档案!$A$4:$P$1203,3,0),"※编码不在物料档案里"))</f>
        <v/>
      </c>
      <c r="F3812" s="24">
        <f>IF($D3812="","",IFERROR(VLOOKUP($D3812,物料档案!$A$4:$P$1203,4,0),"※编码不在物料档案里"))</f>
        <v/>
      </c>
      <c r="G3812" s="24">
        <f>IF($D3812="","",IFERROR(VLOOKUP($D3812,物料档案!$A$4:$P$1203,5,0),"※编码不在物料档案里"))</f>
        <v/>
      </c>
      <c r="H3812" s="24">
        <f>IF($D3812="","",IFERROR(VLOOKUP($D3812,物料档案!$A$4:$P$1203,2,0),"※编码不在物料档案里"))</f>
        <v/>
      </c>
      <c r="I3812" s="24">
        <f>IF($D3812="","",IFERROR(VLOOKUP($D3812,物料档案!$A$4:$P$1203,6,0),"※编码不在物料档案里"))</f>
        <v/>
      </c>
      <c r="J3812" s="23" t="n"/>
      <c r="K3812" s="17" t="n"/>
      <c r="L3812" s="17" t="n"/>
      <c r="M3812" s="17" t="n"/>
      <c r="N3812" s="17" t="n"/>
      <c r="O3812" s="26">
        <f>IF($D3812="","",IFERROR(VLOOKUP($D3812,物料档案!$A$4:$P$1203,10,0),0))</f>
        <v/>
      </c>
      <c r="P3812" s="32" t="n"/>
      <c r="Q3812" s="26">
        <f>IF($D3812="","",IF($K3812&lt;&gt;"对外销售",0,ROUND(N($J3812)*IF($P3812="",N($O3812),N($P3812)),0)))</f>
        <v/>
      </c>
      <c r="R3812" s="26">
        <f>IF($D3812="","",IFERROR(VLOOKUP($D3812,库存台账!$A$5:$Y$1204,11,0),0))</f>
        <v/>
      </c>
      <c r="S3812" s="26">
        <f>IF($D3812="","",ROUND(N($J3812)*N($R3812),0))</f>
        <v/>
      </c>
      <c r="T3812" s="26">
        <f>IF($D3812="","",IF($K3812&lt;&gt;"对外销售","",ROUND($Q3812-$S3812,0)))</f>
        <v/>
      </c>
      <c r="U3812" s="17" t="n"/>
      <c r="V3812" s="17" t="n"/>
      <c r="W3812" s="24">
        <f>IF($D3812="","",IF($E3812="※编码不在物料档案里","※物料编码不在档案里",IF(N($J3812)&lt;=0,"※出库数量要大于 0",IF($K3812="","※没填去向类型",IF($L3812="","※没填去向矿区",IF(AND($C3812&lt;&gt;"",$C3812&lt;=结账锁),"※日期早于已结账截止日，不能再录",IF(AND($K3812="自用消耗",COUNTIF({"一矿区";"二矿区"},$L3812)=0),"※自用消耗的去向只能是一矿区或二矿区",IF(AND($K3812="对外销售",COUNTIF({"三矿区";"六矿区"},$L3812)=0),"※对外销售的去向只能是三矿区或六矿区",IF(AND($K3812="对外销售",ROUND($Q3812,0)=0),"※外销却没有售价，请填实际售价",IF(AND($K3812="对外销售",$T3812&lt;&gt;"",$T3812&lt;0),"※这一笔外销是亏的，请核对售价",IF(IFERROR(VLOOKUP($D3812,库存台账!$A$5:$Y$1204,24,0),0)&lt;-0.001,"※这个物料账面已经变成负数了，查一下是不是漏记入库","")))))))))))</f>
        <v/>
      </c>
    </row>
    <row r="3813">
      <c r="A3813" s="24">
        <f>IF($D3813="","",COUNTA($D$4:$D3813))</f>
        <v/>
      </c>
      <c r="B3813" s="17" t="n"/>
      <c r="C3813" s="30" t="n"/>
      <c r="D3813" s="17" t="n"/>
      <c r="E3813" s="24">
        <f>IF($D3813="","",IFERROR(VLOOKUP($D3813,物料档案!$A$4:$P$1203,3,0),"※编码不在物料档案里"))</f>
        <v/>
      </c>
      <c r="F3813" s="24">
        <f>IF($D3813="","",IFERROR(VLOOKUP($D3813,物料档案!$A$4:$P$1203,4,0),"※编码不在物料档案里"))</f>
        <v/>
      </c>
      <c r="G3813" s="24">
        <f>IF($D3813="","",IFERROR(VLOOKUP($D3813,物料档案!$A$4:$P$1203,5,0),"※编码不在物料档案里"))</f>
        <v/>
      </c>
      <c r="H3813" s="24">
        <f>IF($D3813="","",IFERROR(VLOOKUP($D3813,物料档案!$A$4:$P$1203,2,0),"※编码不在物料档案里"))</f>
        <v/>
      </c>
      <c r="I3813" s="24">
        <f>IF($D3813="","",IFERROR(VLOOKUP($D3813,物料档案!$A$4:$P$1203,6,0),"※编码不在物料档案里"))</f>
        <v/>
      </c>
      <c r="J3813" s="23" t="n"/>
      <c r="K3813" s="17" t="n"/>
      <c r="L3813" s="17" t="n"/>
      <c r="M3813" s="17" t="n"/>
      <c r="N3813" s="17" t="n"/>
      <c r="O3813" s="26">
        <f>IF($D3813="","",IFERROR(VLOOKUP($D3813,物料档案!$A$4:$P$1203,10,0),0))</f>
        <v/>
      </c>
      <c r="P3813" s="32" t="n"/>
      <c r="Q3813" s="26">
        <f>IF($D3813="","",IF($K3813&lt;&gt;"对外销售",0,ROUND(N($J3813)*IF($P3813="",N($O3813),N($P3813)),0)))</f>
        <v/>
      </c>
      <c r="R3813" s="26">
        <f>IF($D3813="","",IFERROR(VLOOKUP($D3813,库存台账!$A$5:$Y$1204,11,0),0))</f>
        <v/>
      </c>
      <c r="S3813" s="26">
        <f>IF($D3813="","",ROUND(N($J3813)*N($R3813),0))</f>
        <v/>
      </c>
      <c r="T3813" s="26">
        <f>IF($D3813="","",IF($K3813&lt;&gt;"对外销售","",ROUND($Q3813-$S3813,0)))</f>
        <v/>
      </c>
      <c r="U3813" s="17" t="n"/>
      <c r="V3813" s="17" t="n"/>
      <c r="W3813" s="24">
        <f>IF($D3813="","",IF($E3813="※编码不在物料档案里","※物料编码不在档案里",IF(N($J3813)&lt;=0,"※出库数量要大于 0",IF($K3813="","※没填去向类型",IF($L3813="","※没填去向矿区",IF(AND($C3813&lt;&gt;"",$C3813&lt;=结账锁),"※日期早于已结账截止日，不能再录",IF(AND($K3813="自用消耗",COUNTIF({"一矿区";"二矿区"},$L3813)=0),"※自用消耗的去向只能是一矿区或二矿区",IF(AND($K3813="对外销售",COUNTIF({"三矿区";"六矿区"},$L3813)=0),"※对外销售的去向只能是三矿区或六矿区",IF(AND($K3813="对外销售",ROUND($Q3813,0)=0),"※外销却没有售价，请填实际售价",IF(AND($K3813="对外销售",$T3813&lt;&gt;"",$T3813&lt;0),"※这一笔外销是亏的，请核对售价",IF(IFERROR(VLOOKUP($D3813,库存台账!$A$5:$Y$1204,24,0),0)&lt;-0.001,"※这个物料账面已经变成负数了，查一下是不是漏记入库","")))))))))))</f>
        <v/>
      </c>
    </row>
    <row r="3814">
      <c r="A3814" s="24">
        <f>IF($D3814="","",COUNTA($D$4:$D3814))</f>
        <v/>
      </c>
      <c r="B3814" s="17" t="n"/>
      <c r="C3814" s="30" t="n"/>
      <c r="D3814" s="17" t="n"/>
      <c r="E3814" s="24">
        <f>IF($D3814="","",IFERROR(VLOOKUP($D3814,物料档案!$A$4:$P$1203,3,0),"※编码不在物料档案里"))</f>
        <v/>
      </c>
      <c r="F3814" s="24">
        <f>IF($D3814="","",IFERROR(VLOOKUP($D3814,物料档案!$A$4:$P$1203,4,0),"※编码不在物料档案里"))</f>
        <v/>
      </c>
      <c r="G3814" s="24">
        <f>IF($D3814="","",IFERROR(VLOOKUP($D3814,物料档案!$A$4:$P$1203,5,0),"※编码不在物料档案里"))</f>
        <v/>
      </c>
      <c r="H3814" s="24">
        <f>IF($D3814="","",IFERROR(VLOOKUP($D3814,物料档案!$A$4:$P$1203,2,0),"※编码不在物料档案里"))</f>
        <v/>
      </c>
      <c r="I3814" s="24">
        <f>IF($D3814="","",IFERROR(VLOOKUP($D3814,物料档案!$A$4:$P$1203,6,0),"※编码不在物料档案里"))</f>
        <v/>
      </c>
      <c r="J3814" s="23" t="n"/>
      <c r="K3814" s="17" t="n"/>
      <c r="L3814" s="17" t="n"/>
      <c r="M3814" s="17" t="n"/>
      <c r="N3814" s="17" t="n"/>
      <c r="O3814" s="26">
        <f>IF($D3814="","",IFERROR(VLOOKUP($D3814,物料档案!$A$4:$P$1203,10,0),0))</f>
        <v/>
      </c>
      <c r="P3814" s="32" t="n"/>
      <c r="Q3814" s="26">
        <f>IF($D3814="","",IF($K3814&lt;&gt;"对外销售",0,ROUND(N($J3814)*IF($P3814="",N($O3814),N($P3814)),0)))</f>
        <v/>
      </c>
      <c r="R3814" s="26">
        <f>IF($D3814="","",IFERROR(VLOOKUP($D3814,库存台账!$A$5:$Y$1204,11,0),0))</f>
        <v/>
      </c>
      <c r="S3814" s="26">
        <f>IF($D3814="","",ROUND(N($J3814)*N($R3814),0))</f>
        <v/>
      </c>
      <c r="T3814" s="26">
        <f>IF($D3814="","",IF($K3814&lt;&gt;"对外销售","",ROUND($Q3814-$S3814,0)))</f>
        <v/>
      </c>
      <c r="U3814" s="17" t="n"/>
      <c r="V3814" s="17" t="n"/>
      <c r="W3814" s="24">
        <f>IF($D3814="","",IF($E3814="※编码不在物料档案里","※物料编码不在档案里",IF(N($J3814)&lt;=0,"※出库数量要大于 0",IF($K3814="","※没填去向类型",IF($L3814="","※没填去向矿区",IF(AND($C3814&lt;&gt;"",$C3814&lt;=结账锁),"※日期早于已结账截止日，不能再录",IF(AND($K3814="自用消耗",COUNTIF({"一矿区";"二矿区"},$L3814)=0),"※自用消耗的去向只能是一矿区或二矿区",IF(AND($K3814="对外销售",COUNTIF({"三矿区";"六矿区"},$L3814)=0),"※对外销售的去向只能是三矿区或六矿区",IF(AND($K3814="对外销售",ROUND($Q3814,0)=0),"※外销却没有售价，请填实际售价",IF(AND($K3814="对外销售",$T3814&lt;&gt;"",$T3814&lt;0),"※这一笔外销是亏的，请核对售价",IF(IFERROR(VLOOKUP($D3814,库存台账!$A$5:$Y$1204,24,0),0)&lt;-0.001,"※这个物料账面已经变成负数了，查一下是不是漏记入库","")))))))))))</f>
        <v/>
      </c>
    </row>
    <row r="3815">
      <c r="A3815" s="24">
        <f>IF($D3815="","",COUNTA($D$4:$D3815))</f>
        <v/>
      </c>
      <c r="B3815" s="17" t="n"/>
      <c r="C3815" s="30" t="n"/>
      <c r="D3815" s="17" t="n"/>
      <c r="E3815" s="24">
        <f>IF($D3815="","",IFERROR(VLOOKUP($D3815,物料档案!$A$4:$P$1203,3,0),"※编码不在物料档案里"))</f>
        <v/>
      </c>
      <c r="F3815" s="24">
        <f>IF($D3815="","",IFERROR(VLOOKUP($D3815,物料档案!$A$4:$P$1203,4,0),"※编码不在物料档案里"))</f>
        <v/>
      </c>
      <c r="G3815" s="24">
        <f>IF($D3815="","",IFERROR(VLOOKUP($D3815,物料档案!$A$4:$P$1203,5,0),"※编码不在物料档案里"))</f>
        <v/>
      </c>
      <c r="H3815" s="24">
        <f>IF($D3815="","",IFERROR(VLOOKUP($D3815,物料档案!$A$4:$P$1203,2,0),"※编码不在物料档案里"))</f>
        <v/>
      </c>
      <c r="I3815" s="24">
        <f>IF($D3815="","",IFERROR(VLOOKUP($D3815,物料档案!$A$4:$P$1203,6,0),"※编码不在物料档案里"))</f>
        <v/>
      </c>
      <c r="J3815" s="23" t="n"/>
      <c r="K3815" s="17" t="n"/>
      <c r="L3815" s="17" t="n"/>
      <c r="M3815" s="17" t="n"/>
      <c r="N3815" s="17" t="n"/>
      <c r="O3815" s="26">
        <f>IF($D3815="","",IFERROR(VLOOKUP($D3815,物料档案!$A$4:$P$1203,10,0),0))</f>
        <v/>
      </c>
      <c r="P3815" s="32" t="n"/>
      <c r="Q3815" s="26">
        <f>IF($D3815="","",IF($K3815&lt;&gt;"对外销售",0,ROUND(N($J3815)*IF($P3815="",N($O3815),N($P3815)),0)))</f>
        <v/>
      </c>
      <c r="R3815" s="26">
        <f>IF($D3815="","",IFERROR(VLOOKUP($D3815,库存台账!$A$5:$Y$1204,11,0),0))</f>
        <v/>
      </c>
      <c r="S3815" s="26">
        <f>IF($D3815="","",ROUND(N($J3815)*N($R3815),0))</f>
        <v/>
      </c>
      <c r="T3815" s="26">
        <f>IF($D3815="","",IF($K3815&lt;&gt;"对外销售","",ROUND($Q3815-$S3815,0)))</f>
        <v/>
      </c>
      <c r="U3815" s="17" t="n"/>
      <c r="V3815" s="17" t="n"/>
      <c r="W3815" s="24">
        <f>IF($D3815="","",IF($E3815="※编码不在物料档案里","※物料编码不在档案里",IF(N($J3815)&lt;=0,"※出库数量要大于 0",IF($K3815="","※没填去向类型",IF($L3815="","※没填去向矿区",IF(AND($C3815&lt;&gt;"",$C3815&lt;=结账锁),"※日期早于已结账截止日，不能再录",IF(AND($K3815="自用消耗",COUNTIF({"一矿区";"二矿区"},$L3815)=0),"※自用消耗的去向只能是一矿区或二矿区",IF(AND($K3815="对外销售",COUNTIF({"三矿区";"六矿区"},$L3815)=0),"※对外销售的去向只能是三矿区或六矿区",IF(AND($K3815="对外销售",ROUND($Q3815,0)=0),"※外销却没有售价，请填实际售价",IF(AND($K3815="对外销售",$T3815&lt;&gt;"",$T3815&lt;0),"※这一笔外销是亏的，请核对售价",IF(IFERROR(VLOOKUP($D3815,库存台账!$A$5:$Y$1204,24,0),0)&lt;-0.001,"※这个物料账面已经变成负数了，查一下是不是漏记入库","")))))))))))</f>
        <v/>
      </c>
    </row>
    <row r="3816">
      <c r="A3816" s="24">
        <f>IF($D3816="","",COUNTA($D$4:$D3816))</f>
        <v/>
      </c>
      <c r="B3816" s="17" t="n"/>
      <c r="C3816" s="30" t="n"/>
      <c r="D3816" s="17" t="n"/>
      <c r="E3816" s="24">
        <f>IF($D3816="","",IFERROR(VLOOKUP($D3816,物料档案!$A$4:$P$1203,3,0),"※编码不在物料档案里"))</f>
        <v/>
      </c>
      <c r="F3816" s="24">
        <f>IF($D3816="","",IFERROR(VLOOKUP($D3816,物料档案!$A$4:$P$1203,4,0),"※编码不在物料档案里"))</f>
        <v/>
      </c>
      <c r="G3816" s="24">
        <f>IF($D3816="","",IFERROR(VLOOKUP($D3816,物料档案!$A$4:$P$1203,5,0),"※编码不在物料档案里"))</f>
        <v/>
      </c>
      <c r="H3816" s="24">
        <f>IF($D3816="","",IFERROR(VLOOKUP($D3816,物料档案!$A$4:$P$1203,2,0),"※编码不在物料档案里"))</f>
        <v/>
      </c>
      <c r="I3816" s="24">
        <f>IF($D3816="","",IFERROR(VLOOKUP($D3816,物料档案!$A$4:$P$1203,6,0),"※编码不在物料档案里"))</f>
        <v/>
      </c>
      <c r="J3816" s="23" t="n"/>
      <c r="K3816" s="17" t="n"/>
      <c r="L3816" s="17" t="n"/>
      <c r="M3816" s="17" t="n"/>
      <c r="N3816" s="17" t="n"/>
      <c r="O3816" s="26">
        <f>IF($D3816="","",IFERROR(VLOOKUP($D3816,物料档案!$A$4:$P$1203,10,0),0))</f>
        <v/>
      </c>
      <c r="P3816" s="32" t="n"/>
      <c r="Q3816" s="26">
        <f>IF($D3816="","",IF($K3816&lt;&gt;"对外销售",0,ROUND(N($J3816)*IF($P3816="",N($O3816),N($P3816)),0)))</f>
        <v/>
      </c>
      <c r="R3816" s="26">
        <f>IF($D3816="","",IFERROR(VLOOKUP($D3816,库存台账!$A$5:$Y$1204,11,0),0))</f>
        <v/>
      </c>
      <c r="S3816" s="26">
        <f>IF($D3816="","",ROUND(N($J3816)*N($R3816),0))</f>
        <v/>
      </c>
      <c r="T3816" s="26">
        <f>IF($D3816="","",IF($K3816&lt;&gt;"对外销售","",ROUND($Q3816-$S3816,0)))</f>
        <v/>
      </c>
      <c r="U3816" s="17" t="n"/>
      <c r="V3816" s="17" t="n"/>
      <c r="W3816" s="24">
        <f>IF($D3816="","",IF($E3816="※编码不在物料档案里","※物料编码不在档案里",IF(N($J3816)&lt;=0,"※出库数量要大于 0",IF($K3816="","※没填去向类型",IF($L3816="","※没填去向矿区",IF(AND($C3816&lt;&gt;"",$C3816&lt;=结账锁),"※日期早于已结账截止日，不能再录",IF(AND($K3816="自用消耗",COUNTIF({"一矿区";"二矿区"},$L3816)=0),"※自用消耗的去向只能是一矿区或二矿区",IF(AND($K3816="对外销售",COUNTIF({"三矿区";"六矿区"},$L3816)=0),"※对外销售的去向只能是三矿区或六矿区",IF(AND($K3816="对外销售",ROUND($Q3816,0)=0),"※外销却没有售价，请填实际售价",IF(AND($K3816="对外销售",$T3816&lt;&gt;"",$T3816&lt;0),"※这一笔外销是亏的，请核对售价",IF(IFERROR(VLOOKUP($D3816,库存台账!$A$5:$Y$1204,24,0),0)&lt;-0.001,"※这个物料账面已经变成负数了，查一下是不是漏记入库","")))))))))))</f>
        <v/>
      </c>
    </row>
    <row r="3817">
      <c r="A3817" s="24">
        <f>IF($D3817="","",COUNTA($D$4:$D3817))</f>
        <v/>
      </c>
      <c r="B3817" s="17" t="n"/>
      <c r="C3817" s="30" t="n"/>
      <c r="D3817" s="17" t="n"/>
      <c r="E3817" s="24">
        <f>IF($D3817="","",IFERROR(VLOOKUP($D3817,物料档案!$A$4:$P$1203,3,0),"※编码不在物料档案里"))</f>
        <v/>
      </c>
      <c r="F3817" s="24">
        <f>IF($D3817="","",IFERROR(VLOOKUP($D3817,物料档案!$A$4:$P$1203,4,0),"※编码不在物料档案里"))</f>
        <v/>
      </c>
      <c r="G3817" s="24">
        <f>IF($D3817="","",IFERROR(VLOOKUP($D3817,物料档案!$A$4:$P$1203,5,0),"※编码不在物料档案里"))</f>
        <v/>
      </c>
      <c r="H3817" s="24">
        <f>IF($D3817="","",IFERROR(VLOOKUP($D3817,物料档案!$A$4:$P$1203,2,0),"※编码不在物料档案里"))</f>
        <v/>
      </c>
      <c r="I3817" s="24">
        <f>IF($D3817="","",IFERROR(VLOOKUP($D3817,物料档案!$A$4:$P$1203,6,0),"※编码不在物料档案里"))</f>
        <v/>
      </c>
      <c r="J3817" s="23" t="n"/>
      <c r="K3817" s="17" t="n"/>
      <c r="L3817" s="17" t="n"/>
      <c r="M3817" s="17" t="n"/>
      <c r="N3817" s="17" t="n"/>
      <c r="O3817" s="26">
        <f>IF($D3817="","",IFERROR(VLOOKUP($D3817,物料档案!$A$4:$P$1203,10,0),0))</f>
        <v/>
      </c>
      <c r="P3817" s="32" t="n"/>
      <c r="Q3817" s="26">
        <f>IF($D3817="","",IF($K3817&lt;&gt;"对外销售",0,ROUND(N($J3817)*IF($P3817="",N($O3817),N($P3817)),0)))</f>
        <v/>
      </c>
      <c r="R3817" s="26">
        <f>IF($D3817="","",IFERROR(VLOOKUP($D3817,库存台账!$A$5:$Y$1204,11,0),0))</f>
        <v/>
      </c>
      <c r="S3817" s="26">
        <f>IF($D3817="","",ROUND(N($J3817)*N($R3817),0))</f>
        <v/>
      </c>
      <c r="T3817" s="26">
        <f>IF($D3817="","",IF($K3817&lt;&gt;"对外销售","",ROUND($Q3817-$S3817,0)))</f>
        <v/>
      </c>
      <c r="U3817" s="17" t="n"/>
      <c r="V3817" s="17" t="n"/>
      <c r="W3817" s="24">
        <f>IF($D3817="","",IF($E3817="※编码不在物料档案里","※物料编码不在档案里",IF(N($J3817)&lt;=0,"※出库数量要大于 0",IF($K3817="","※没填去向类型",IF($L3817="","※没填去向矿区",IF(AND($C3817&lt;&gt;"",$C3817&lt;=结账锁),"※日期早于已结账截止日，不能再录",IF(AND($K3817="自用消耗",COUNTIF({"一矿区";"二矿区"},$L3817)=0),"※自用消耗的去向只能是一矿区或二矿区",IF(AND($K3817="对外销售",COUNTIF({"三矿区";"六矿区"},$L3817)=0),"※对外销售的去向只能是三矿区或六矿区",IF(AND($K3817="对外销售",ROUND($Q3817,0)=0),"※外销却没有售价，请填实际售价",IF(AND($K3817="对外销售",$T3817&lt;&gt;"",$T3817&lt;0),"※这一笔外销是亏的，请核对售价",IF(IFERROR(VLOOKUP($D3817,库存台账!$A$5:$Y$1204,24,0),0)&lt;-0.001,"※这个物料账面已经变成负数了，查一下是不是漏记入库","")))))))))))</f>
        <v/>
      </c>
    </row>
    <row r="3818">
      <c r="A3818" s="24">
        <f>IF($D3818="","",COUNTA($D$4:$D3818))</f>
        <v/>
      </c>
      <c r="B3818" s="17" t="n"/>
      <c r="C3818" s="30" t="n"/>
      <c r="D3818" s="17" t="n"/>
      <c r="E3818" s="24">
        <f>IF($D3818="","",IFERROR(VLOOKUP($D3818,物料档案!$A$4:$P$1203,3,0),"※编码不在物料档案里"))</f>
        <v/>
      </c>
      <c r="F3818" s="24">
        <f>IF($D3818="","",IFERROR(VLOOKUP($D3818,物料档案!$A$4:$P$1203,4,0),"※编码不在物料档案里"))</f>
        <v/>
      </c>
      <c r="G3818" s="24">
        <f>IF($D3818="","",IFERROR(VLOOKUP($D3818,物料档案!$A$4:$P$1203,5,0),"※编码不在物料档案里"))</f>
        <v/>
      </c>
      <c r="H3818" s="24">
        <f>IF($D3818="","",IFERROR(VLOOKUP($D3818,物料档案!$A$4:$P$1203,2,0),"※编码不在物料档案里"))</f>
        <v/>
      </c>
      <c r="I3818" s="24">
        <f>IF($D3818="","",IFERROR(VLOOKUP($D3818,物料档案!$A$4:$P$1203,6,0),"※编码不在物料档案里"))</f>
        <v/>
      </c>
      <c r="J3818" s="23" t="n"/>
      <c r="K3818" s="17" t="n"/>
      <c r="L3818" s="17" t="n"/>
      <c r="M3818" s="17" t="n"/>
      <c r="N3818" s="17" t="n"/>
      <c r="O3818" s="26">
        <f>IF($D3818="","",IFERROR(VLOOKUP($D3818,物料档案!$A$4:$P$1203,10,0),0))</f>
        <v/>
      </c>
      <c r="P3818" s="32" t="n"/>
      <c r="Q3818" s="26">
        <f>IF($D3818="","",IF($K3818&lt;&gt;"对外销售",0,ROUND(N($J3818)*IF($P3818="",N($O3818),N($P3818)),0)))</f>
        <v/>
      </c>
      <c r="R3818" s="26">
        <f>IF($D3818="","",IFERROR(VLOOKUP($D3818,库存台账!$A$5:$Y$1204,11,0),0))</f>
        <v/>
      </c>
      <c r="S3818" s="26">
        <f>IF($D3818="","",ROUND(N($J3818)*N($R3818),0))</f>
        <v/>
      </c>
      <c r="T3818" s="26">
        <f>IF($D3818="","",IF($K3818&lt;&gt;"对外销售","",ROUND($Q3818-$S3818,0)))</f>
        <v/>
      </c>
      <c r="U3818" s="17" t="n"/>
      <c r="V3818" s="17" t="n"/>
      <c r="W3818" s="24">
        <f>IF($D3818="","",IF($E3818="※编码不在物料档案里","※物料编码不在档案里",IF(N($J3818)&lt;=0,"※出库数量要大于 0",IF($K3818="","※没填去向类型",IF($L3818="","※没填去向矿区",IF(AND($C3818&lt;&gt;"",$C3818&lt;=结账锁),"※日期早于已结账截止日，不能再录",IF(AND($K3818="自用消耗",COUNTIF({"一矿区";"二矿区"},$L3818)=0),"※自用消耗的去向只能是一矿区或二矿区",IF(AND($K3818="对外销售",COUNTIF({"三矿区";"六矿区"},$L3818)=0),"※对外销售的去向只能是三矿区或六矿区",IF(AND($K3818="对外销售",ROUND($Q3818,0)=0),"※外销却没有售价，请填实际售价",IF(AND($K3818="对外销售",$T3818&lt;&gt;"",$T3818&lt;0),"※这一笔外销是亏的，请核对售价",IF(IFERROR(VLOOKUP($D3818,库存台账!$A$5:$Y$1204,24,0),0)&lt;-0.001,"※这个物料账面已经变成负数了，查一下是不是漏记入库","")))))))))))</f>
        <v/>
      </c>
    </row>
    <row r="3819">
      <c r="A3819" s="24">
        <f>IF($D3819="","",COUNTA($D$4:$D3819))</f>
        <v/>
      </c>
      <c r="B3819" s="17" t="n"/>
      <c r="C3819" s="30" t="n"/>
      <c r="D3819" s="17" t="n"/>
      <c r="E3819" s="24">
        <f>IF($D3819="","",IFERROR(VLOOKUP($D3819,物料档案!$A$4:$P$1203,3,0),"※编码不在物料档案里"))</f>
        <v/>
      </c>
      <c r="F3819" s="24">
        <f>IF($D3819="","",IFERROR(VLOOKUP($D3819,物料档案!$A$4:$P$1203,4,0),"※编码不在物料档案里"))</f>
        <v/>
      </c>
      <c r="G3819" s="24">
        <f>IF($D3819="","",IFERROR(VLOOKUP($D3819,物料档案!$A$4:$P$1203,5,0),"※编码不在物料档案里"))</f>
        <v/>
      </c>
      <c r="H3819" s="24">
        <f>IF($D3819="","",IFERROR(VLOOKUP($D3819,物料档案!$A$4:$P$1203,2,0),"※编码不在物料档案里"))</f>
        <v/>
      </c>
      <c r="I3819" s="24">
        <f>IF($D3819="","",IFERROR(VLOOKUP($D3819,物料档案!$A$4:$P$1203,6,0),"※编码不在物料档案里"))</f>
        <v/>
      </c>
      <c r="J3819" s="23" t="n"/>
      <c r="K3819" s="17" t="n"/>
      <c r="L3819" s="17" t="n"/>
      <c r="M3819" s="17" t="n"/>
      <c r="N3819" s="17" t="n"/>
      <c r="O3819" s="26">
        <f>IF($D3819="","",IFERROR(VLOOKUP($D3819,物料档案!$A$4:$P$1203,10,0),0))</f>
        <v/>
      </c>
      <c r="P3819" s="32" t="n"/>
      <c r="Q3819" s="26">
        <f>IF($D3819="","",IF($K3819&lt;&gt;"对外销售",0,ROUND(N($J3819)*IF($P3819="",N($O3819),N($P3819)),0)))</f>
        <v/>
      </c>
      <c r="R3819" s="26">
        <f>IF($D3819="","",IFERROR(VLOOKUP($D3819,库存台账!$A$5:$Y$1204,11,0),0))</f>
        <v/>
      </c>
      <c r="S3819" s="26">
        <f>IF($D3819="","",ROUND(N($J3819)*N($R3819),0))</f>
        <v/>
      </c>
      <c r="T3819" s="26">
        <f>IF($D3819="","",IF($K3819&lt;&gt;"对外销售","",ROUND($Q3819-$S3819,0)))</f>
        <v/>
      </c>
      <c r="U3819" s="17" t="n"/>
      <c r="V3819" s="17" t="n"/>
      <c r="W3819" s="24">
        <f>IF($D3819="","",IF($E3819="※编码不在物料档案里","※物料编码不在档案里",IF(N($J3819)&lt;=0,"※出库数量要大于 0",IF($K3819="","※没填去向类型",IF($L3819="","※没填去向矿区",IF(AND($C3819&lt;&gt;"",$C3819&lt;=结账锁),"※日期早于已结账截止日，不能再录",IF(AND($K3819="自用消耗",COUNTIF({"一矿区";"二矿区"},$L3819)=0),"※自用消耗的去向只能是一矿区或二矿区",IF(AND($K3819="对外销售",COUNTIF({"三矿区";"六矿区"},$L3819)=0),"※对外销售的去向只能是三矿区或六矿区",IF(AND($K3819="对外销售",ROUND($Q3819,0)=0),"※外销却没有售价，请填实际售价",IF(AND($K3819="对外销售",$T3819&lt;&gt;"",$T3819&lt;0),"※这一笔外销是亏的，请核对售价",IF(IFERROR(VLOOKUP($D3819,库存台账!$A$5:$Y$1204,24,0),0)&lt;-0.001,"※这个物料账面已经变成负数了，查一下是不是漏记入库","")))))))))))</f>
        <v/>
      </c>
    </row>
    <row r="3820">
      <c r="A3820" s="24">
        <f>IF($D3820="","",COUNTA($D$4:$D3820))</f>
        <v/>
      </c>
      <c r="B3820" s="17" t="n"/>
      <c r="C3820" s="30" t="n"/>
      <c r="D3820" s="17" t="n"/>
      <c r="E3820" s="24">
        <f>IF($D3820="","",IFERROR(VLOOKUP($D3820,物料档案!$A$4:$P$1203,3,0),"※编码不在物料档案里"))</f>
        <v/>
      </c>
      <c r="F3820" s="24">
        <f>IF($D3820="","",IFERROR(VLOOKUP($D3820,物料档案!$A$4:$P$1203,4,0),"※编码不在物料档案里"))</f>
        <v/>
      </c>
      <c r="G3820" s="24">
        <f>IF($D3820="","",IFERROR(VLOOKUP($D3820,物料档案!$A$4:$P$1203,5,0),"※编码不在物料档案里"))</f>
        <v/>
      </c>
      <c r="H3820" s="24">
        <f>IF($D3820="","",IFERROR(VLOOKUP($D3820,物料档案!$A$4:$P$1203,2,0),"※编码不在物料档案里"))</f>
        <v/>
      </c>
      <c r="I3820" s="24">
        <f>IF($D3820="","",IFERROR(VLOOKUP($D3820,物料档案!$A$4:$P$1203,6,0),"※编码不在物料档案里"))</f>
        <v/>
      </c>
      <c r="J3820" s="23" t="n"/>
      <c r="K3820" s="17" t="n"/>
      <c r="L3820" s="17" t="n"/>
      <c r="M3820" s="17" t="n"/>
      <c r="N3820" s="17" t="n"/>
      <c r="O3820" s="26">
        <f>IF($D3820="","",IFERROR(VLOOKUP($D3820,物料档案!$A$4:$P$1203,10,0),0))</f>
        <v/>
      </c>
      <c r="P3820" s="32" t="n"/>
      <c r="Q3820" s="26">
        <f>IF($D3820="","",IF($K3820&lt;&gt;"对外销售",0,ROUND(N($J3820)*IF($P3820="",N($O3820),N($P3820)),0)))</f>
        <v/>
      </c>
      <c r="R3820" s="26">
        <f>IF($D3820="","",IFERROR(VLOOKUP($D3820,库存台账!$A$5:$Y$1204,11,0),0))</f>
        <v/>
      </c>
      <c r="S3820" s="26">
        <f>IF($D3820="","",ROUND(N($J3820)*N($R3820),0))</f>
        <v/>
      </c>
      <c r="T3820" s="26">
        <f>IF($D3820="","",IF($K3820&lt;&gt;"对外销售","",ROUND($Q3820-$S3820,0)))</f>
        <v/>
      </c>
      <c r="U3820" s="17" t="n"/>
      <c r="V3820" s="17" t="n"/>
      <c r="W3820" s="24">
        <f>IF($D3820="","",IF($E3820="※编码不在物料档案里","※物料编码不在档案里",IF(N($J3820)&lt;=0,"※出库数量要大于 0",IF($K3820="","※没填去向类型",IF($L3820="","※没填去向矿区",IF(AND($C3820&lt;&gt;"",$C3820&lt;=结账锁),"※日期早于已结账截止日，不能再录",IF(AND($K3820="自用消耗",COUNTIF({"一矿区";"二矿区"},$L3820)=0),"※自用消耗的去向只能是一矿区或二矿区",IF(AND($K3820="对外销售",COUNTIF({"三矿区";"六矿区"},$L3820)=0),"※对外销售的去向只能是三矿区或六矿区",IF(AND($K3820="对外销售",ROUND($Q3820,0)=0),"※外销却没有售价，请填实际售价",IF(AND($K3820="对外销售",$T3820&lt;&gt;"",$T3820&lt;0),"※这一笔外销是亏的，请核对售价",IF(IFERROR(VLOOKUP($D3820,库存台账!$A$5:$Y$1204,24,0),0)&lt;-0.001,"※这个物料账面已经变成负数了，查一下是不是漏记入库","")))))))))))</f>
        <v/>
      </c>
    </row>
    <row r="3821">
      <c r="A3821" s="24">
        <f>IF($D3821="","",COUNTA($D$4:$D3821))</f>
        <v/>
      </c>
      <c r="B3821" s="17" t="n"/>
      <c r="C3821" s="30" t="n"/>
      <c r="D3821" s="17" t="n"/>
      <c r="E3821" s="24">
        <f>IF($D3821="","",IFERROR(VLOOKUP($D3821,物料档案!$A$4:$P$1203,3,0),"※编码不在物料档案里"))</f>
        <v/>
      </c>
      <c r="F3821" s="24">
        <f>IF($D3821="","",IFERROR(VLOOKUP($D3821,物料档案!$A$4:$P$1203,4,0),"※编码不在物料档案里"))</f>
        <v/>
      </c>
      <c r="G3821" s="24">
        <f>IF($D3821="","",IFERROR(VLOOKUP($D3821,物料档案!$A$4:$P$1203,5,0),"※编码不在物料档案里"))</f>
        <v/>
      </c>
      <c r="H3821" s="24">
        <f>IF($D3821="","",IFERROR(VLOOKUP($D3821,物料档案!$A$4:$P$1203,2,0),"※编码不在物料档案里"))</f>
        <v/>
      </c>
      <c r="I3821" s="24">
        <f>IF($D3821="","",IFERROR(VLOOKUP($D3821,物料档案!$A$4:$P$1203,6,0),"※编码不在物料档案里"))</f>
        <v/>
      </c>
      <c r="J3821" s="23" t="n"/>
      <c r="K3821" s="17" t="n"/>
      <c r="L3821" s="17" t="n"/>
      <c r="M3821" s="17" t="n"/>
      <c r="N3821" s="17" t="n"/>
      <c r="O3821" s="26">
        <f>IF($D3821="","",IFERROR(VLOOKUP($D3821,物料档案!$A$4:$P$1203,10,0),0))</f>
        <v/>
      </c>
      <c r="P3821" s="32" t="n"/>
      <c r="Q3821" s="26">
        <f>IF($D3821="","",IF($K3821&lt;&gt;"对外销售",0,ROUND(N($J3821)*IF($P3821="",N($O3821),N($P3821)),0)))</f>
        <v/>
      </c>
      <c r="R3821" s="26">
        <f>IF($D3821="","",IFERROR(VLOOKUP($D3821,库存台账!$A$5:$Y$1204,11,0),0))</f>
        <v/>
      </c>
      <c r="S3821" s="26">
        <f>IF($D3821="","",ROUND(N($J3821)*N($R3821),0))</f>
        <v/>
      </c>
      <c r="T3821" s="26">
        <f>IF($D3821="","",IF($K3821&lt;&gt;"对外销售","",ROUND($Q3821-$S3821,0)))</f>
        <v/>
      </c>
      <c r="U3821" s="17" t="n"/>
      <c r="V3821" s="17" t="n"/>
      <c r="W3821" s="24">
        <f>IF($D3821="","",IF($E3821="※编码不在物料档案里","※物料编码不在档案里",IF(N($J3821)&lt;=0,"※出库数量要大于 0",IF($K3821="","※没填去向类型",IF($L3821="","※没填去向矿区",IF(AND($C3821&lt;&gt;"",$C3821&lt;=结账锁),"※日期早于已结账截止日，不能再录",IF(AND($K3821="自用消耗",COUNTIF({"一矿区";"二矿区"},$L3821)=0),"※自用消耗的去向只能是一矿区或二矿区",IF(AND($K3821="对外销售",COUNTIF({"三矿区";"六矿区"},$L3821)=0),"※对外销售的去向只能是三矿区或六矿区",IF(AND($K3821="对外销售",ROUND($Q3821,0)=0),"※外销却没有售价，请填实际售价",IF(AND($K3821="对外销售",$T3821&lt;&gt;"",$T3821&lt;0),"※这一笔外销是亏的，请核对售价",IF(IFERROR(VLOOKUP($D3821,库存台账!$A$5:$Y$1204,24,0),0)&lt;-0.001,"※这个物料账面已经变成负数了，查一下是不是漏记入库","")))))))))))</f>
        <v/>
      </c>
    </row>
    <row r="3822">
      <c r="A3822" s="24">
        <f>IF($D3822="","",COUNTA($D$4:$D3822))</f>
        <v/>
      </c>
      <c r="B3822" s="17" t="n"/>
      <c r="C3822" s="30" t="n"/>
      <c r="D3822" s="17" t="n"/>
      <c r="E3822" s="24">
        <f>IF($D3822="","",IFERROR(VLOOKUP($D3822,物料档案!$A$4:$P$1203,3,0),"※编码不在物料档案里"))</f>
        <v/>
      </c>
      <c r="F3822" s="24">
        <f>IF($D3822="","",IFERROR(VLOOKUP($D3822,物料档案!$A$4:$P$1203,4,0),"※编码不在物料档案里"))</f>
        <v/>
      </c>
      <c r="G3822" s="24">
        <f>IF($D3822="","",IFERROR(VLOOKUP($D3822,物料档案!$A$4:$P$1203,5,0),"※编码不在物料档案里"))</f>
        <v/>
      </c>
      <c r="H3822" s="24">
        <f>IF($D3822="","",IFERROR(VLOOKUP($D3822,物料档案!$A$4:$P$1203,2,0),"※编码不在物料档案里"))</f>
        <v/>
      </c>
      <c r="I3822" s="24">
        <f>IF($D3822="","",IFERROR(VLOOKUP($D3822,物料档案!$A$4:$P$1203,6,0),"※编码不在物料档案里"))</f>
        <v/>
      </c>
      <c r="J3822" s="23" t="n"/>
      <c r="K3822" s="17" t="n"/>
      <c r="L3822" s="17" t="n"/>
      <c r="M3822" s="17" t="n"/>
      <c r="N3822" s="17" t="n"/>
      <c r="O3822" s="26">
        <f>IF($D3822="","",IFERROR(VLOOKUP($D3822,物料档案!$A$4:$P$1203,10,0),0))</f>
        <v/>
      </c>
      <c r="P3822" s="32" t="n"/>
      <c r="Q3822" s="26">
        <f>IF($D3822="","",IF($K3822&lt;&gt;"对外销售",0,ROUND(N($J3822)*IF($P3822="",N($O3822),N($P3822)),0)))</f>
        <v/>
      </c>
      <c r="R3822" s="26">
        <f>IF($D3822="","",IFERROR(VLOOKUP($D3822,库存台账!$A$5:$Y$1204,11,0),0))</f>
        <v/>
      </c>
      <c r="S3822" s="26">
        <f>IF($D3822="","",ROUND(N($J3822)*N($R3822),0))</f>
        <v/>
      </c>
      <c r="T3822" s="26">
        <f>IF($D3822="","",IF($K3822&lt;&gt;"对外销售","",ROUND($Q3822-$S3822,0)))</f>
        <v/>
      </c>
      <c r="U3822" s="17" t="n"/>
      <c r="V3822" s="17" t="n"/>
      <c r="W3822" s="24">
        <f>IF($D3822="","",IF($E3822="※编码不在物料档案里","※物料编码不在档案里",IF(N($J3822)&lt;=0,"※出库数量要大于 0",IF($K3822="","※没填去向类型",IF($L3822="","※没填去向矿区",IF(AND($C3822&lt;&gt;"",$C3822&lt;=结账锁),"※日期早于已结账截止日，不能再录",IF(AND($K3822="自用消耗",COUNTIF({"一矿区";"二矿区"},$L3822)=0),"※自用消耗的去向只能是一矿区或二矿区",IF(AND($K3822="对外销售",COUNTIF({"三矿区";"六矿区"},$L3822)=0),"※对外销售的去向只能是三矿区或六矿区",IF(AND($K3822="对外销售",ROUND($Q3822,0)=0),"※外销却没有售价，请填实际售价",IF(AND($K3822="对外销售",$T3822&lt;&gt;"",$T3822&lt;0),"※这一笔外销是亏的，请核对售价",IF(IFERROR(VLOOKUP($D3822,库存台账!$A$5:$Y$1204,24,0),0)&lt;-0.001,"※这个物料账面已经变成负数了，查一下是不是漏记入库","")))))))))))</f>
        <v/>
      </c>
    </row>
    <row r="3823">
      <c r="A3823" s="24">
        <f>IF($D3823="","",COUNTA($D$4:$D3823))</f>
        <v/>
      </c>
      <c r="B3823" s="17" t="n"/>
      <c r="C3823" s="30" t="n"/>
      <c r="D3823" s="17" t="n"/>
      <c r="E3823" s="24">
        <f>IF($D3823="","",IFERROR(VLOOKUP($D3823,物料档案!$A$4:$P$1203,3,0),"※编码不在物料档案里"))</f>
        <v/>
      </c>
      <c r="F3823" s="24">
        <f>IF($D3823="","",IFERROR(VLOOKUP($D3823,物料档案!$A$4:$P$1203,4,0),"※编码不在物料档案里"))</f>
        <v/>
      </c>
      <c r="G3823" s="24">
        <f>IF($D3823="","",IFERROR(VLOOKUP($D3823,物料档案!$A$4:$P$1203,5,0),"※编码不在物料档案里"))</f>
        <v/>
      </c>
      <c r="H3823" s="24">
        <f>IF($D3823="","",IFERROR(VLOOKUP($D3823,物料档案!$A$4:$P$1203,2,0),"※编码不在物料档案里"))</f>
        <v/>
      </c>
      <c r="I3823" s="24">
        <f>IF($D3823="","",IFERROR(VLOOKUP($D3823,物料档案!$A$4:$P$1203,6,0),"※编码不在物料档案里"))</f>
        <v/>
      </c>
      <c r="J3823" s="23" t="n"/>
      <c r="K3823" s="17" t="n"/>
      <c r="L3823" s="17" t="n"/>
      <c r="M3823" s="17" t="n"/>
      <c r="N3823" s="17" t="n"/>
      <c r="O3823" s="26">
        <f>IF($D3823="","",IFERROR(VLOOKUP($D3823,物料档案!$A$4:$P$1203,10,0),0))</f>
        <v/>
      </c>
      <c r="P3823" s="32" t="n"/>
      <c r="Q3823" s="26">
        <f>IF($D3823="","",IF($K3823&lt;&gt;"对外销售",0,ROUND(N($J3823)*IF($P3823="",N($O3823),N($P3823)),0)))</f>
        <v/>
      </c>
      <c r="R3823" s="26">
        <f>IF($D3823="","",IFERROR(VLOOKUP($D3823,库存台账!$A$5:$Y$1204,11,0),0))</f>
        <v/>
      </c>
      <c r="S3823" s="26">
        <f>IF($D3823="","",ROUND(N($J3823)*N($R3823),0))</f>
        <v/>
      </c>
      <c r="T3823" s="26">
        <f>IF($D3823="","",IF($K3823&lt;&gt;"对外销售","",ROUND($Q3823-$S3823,0)))</f>
        <v/>
      </c>
      <c r="U3823" s="17" t="n"/>
      <c r="V3823" s="17" t="n"/>
      <c r="W3823" s="24">
        <f>IF($D3823="","",IF($E3823="※编码不在物料档案里","※物料编码不在档案里",IF(N($J3823)&lt;=0,"※出库数量要大于 0",IF($K3823="","※没填去向类型",IF($L3823="","※没填去向矿区",IF(AND($C3823&lt;&gt;"",$C3823&lt;=结账锁),"※日期早于已结账截止日，不能再录",IF(AND($K3823="自用消耗",COUNTIF({"一矿区";"二矿区"},$L3823)=0),"※自用消耗的去向只能是一矿区或二矿区",IF(AND($K3823="对外销售",COUNTIF({"三矿区";"六矿区"},$L3823)=0),"※对外销售的去向只能是三矿区或六矿区",IF(AND($K3823="对外销售",ROUND($Q3823,0)=0),"※外销却没有售价，请填实际售价",IF(AND($K3823="对外销售",$T3823&lt;&gt;"",$T3823&lt;0),"※这一笔外销是亏的，请核对售价",IF(IFERROR(VLOOKUP($D3823,库存台账!$A$5:$Y$1204,24,0),0)&lt;-0.001,"※这个物料账面已经变成负数了，查一下是不是漏记入库","")))))))))))</f>
        <v/>
      </c>
    </row>
    <row r="3824">
      <c r="A3824" s="24">
        <f>IF($D3824="","",COUNTA($D$4:$D3824))</f>
        <v/>
      </c>
      <c r="B3824" s="17" t="n"/>
      <c r="C3824" s="30" t="n"/>
      <c r="D3824" s="17" t="n"/>
      <c r="E3824" s="24">
        <f>IF($D3824="","",IFERROR(VLOOKUP($D3824,物料档案!$A$4:$P$1203,3,0),"※编码不在物料档案里"))</f>
        <v/>
      </c>
      <c r="F3824" s="24">
        <f>IF($D3824="","",IFERROR(VLOOKUP($D3824,物料档案!$A$4:$P$1203,4,0),"※编码不在物料档案里"))</f>
        <v/>
      </c>
      <c r="G3824" s="24">
        <f>IF($D3824="","",IFERROR(VLOOKUP($D3824,物料档案!$A$4:$P$1203,5,0),"※编码不在物料档案里"))</f>
        <v/>
      </c>
      <c r="H3824" s="24">
        <f>IF($D3824="","",IFERROR(VLOOKUP($D3824,物料档案!$A$4:$P$1203,2,0),"※编码不在物料档案里"))</f>
        <v/>
      </c>
      <c r="I3824" s="24">
        <f>IF($D3824="","",IFERROR(VLOOKUP($D3824,物料档案!$A$4:$P$1203,6,0),"※编码不在物料档案里"))</f>
        <v/>
      </c>
      <c r="J3824" s="23" t="n"/>
      <c r="K3824" s="17" t="n"/>
      <c r="L3824" s="17" t="n"/>
      <c r="M3824" s="17" t="n"/>
      <c r="N3824" s="17" t="n"/>
      <c r="O3824" s="26">
        <f>IF($D3824="","",IFERROR(VLOOKUP($D3824,物料档案!$A$4:$P$1203,10,0),0))</f>
        <v/>
      </c>
      <c r="P3824" s="32" t="n"/>
      <c r="Q3824" s="26">
        <f>IF($D3824="","",IF($K3824&lt;&gt;"对外销售",0,ROUND(N($J3824)*IF($P3824="",N($O3824),N($P3824)),0)))</f>
        <v/>
      </c>
      <c r="R3824" s="26">
        <f>IF($D3824="","",IFERROR(VLOOKUP($D3824,库存台账!$A$5:$Y$1204,11,0),0))</f>
        <v/>
      </c>
      <c r="S3824" s="26">
        <f>IF($D3824="","",ROUND(N($J3824)*N($R3824),0))</f>
        <v/>
      </c>
      <c r="T3824" s="26">
        <f>IF($D3824="","",IF($K3824&lt;&gt;"对外销售","",ROUND($Q3824-$S3824,0)))</f>
        <v/>
      </c>
      <c r="U3824" s="17" t="n"/>
      <c r="V3824" s="17" t="n"/>
      <c r="W3824" s="24">
        <f>IF($D3824="","",IF($E3824="※编码不在物料档案里","※物料编码不在档案里",IF(N($J3824)&lt;=0,"※出库数量要大于 0",IF($K3824="","※没填去向类型",IF($L3824="","※没填去向矿区",IF(AND($C3824&lt;&gt;"",$C3824&lt;=结账锁),"※日期早于已结账截止日，不能再录",IF(AND($K3824="自用消耗",COUNTIF({"一矿区";"二矿区"},$L3824)=0),"※自用消耗的去向只能是一矿区或二矿区",IF(AND($K3824="对外销售",COUNTIF({"三矿区";"六矿区"},$L3824)=0),"※对外销售的去向只能是三矿区或六矿区",IF(AND($K3824="对外销售",ROUND($Q3824,0)=0),"※外销却没有售价，请填实际售价",IF(AND($K3824="对外销售",$T3824&lt;&gt;"",$T3824&lt;0),"※这一笔外销是亏的，请核对售价",IF(IFERROR(VLOOKUP($D3824,库存台账!$A$5:$Y$1204,24,0),0)&lt;-0.001,"※这个物料账面已经变成负数了，查一下是不是漏记入库","")))))))))))</f>
        <v/>
      </c>
    </row>
    <row r="3825">
      <c r="A3825" s="24">
        <f>IF($D3825="","",COUNTA($D$4:$D3825))</f>
        <v/>
      </c>
      <c r="B3825" s="17" t="n"/>
      <c r="C3825" s="30" t="n"/>
      <c r="D3825" s="17" t="n"/>
      <c r="E3825" s="24">
        <f>IF($D3825="","",IFERROR(VLOOKUP($D3825,物料档案!$A$4:$P$1203,3,0),"※编码不在物料档案里"))</f>
        <v/>
      </c>
      <c r="F3825" s="24">
        <f>IF($D3825="","",IFERROR(VLOOKUP($D3825,物料档案!$A$4:$P$1203,4,0),"※编码不在物料档案里"))</f>
        <v/>
      </c>
      <c r="G3825" s="24">
        <f>IF($D3825="","",IFERROR(VLOOKUP($D3825,物料档案!$A$4:$P$1203,5,0),"※编码不在物料档案里"))</f>
        <v/>
      </c>
      <c r="H3825" s="24">
        <f>IF($D3825="","",IFERROR(VLOOKUP($D3825,物料档案!$A$4:$P$1203,2,0),"※编码不在物料档案里"))</f>
        <v/>
      </c>
      <c r="I3825" s="24">
        <f>IF($D3825="","",IFERROR(VLOOKUP($D3825,物料档案!$A$4:$P$1203,6,0),"※编码不在物料档案里"))</f>
        <v/>
      </c>
      <c r="J3825" s="23" t="n"/>
      <c r="K3825" s="17" t="n"/>
      <c r="L3825" s="17" t="n"/>
      <c r="M3825" s="17" t="n"/>
      <c r="N3825" s="17" t="n"/>
      <c r="O3825" s="26">
        <f>IF($D3825="","",IFERROR(VLOOKUP($D3825,物料档案!$A$4:$P$1203,10,0),0))</f>
        <v/>
      </c>
      <c r="P3825" s="32" t="n"/>
      <c r="Q3825" s="26">
        <f>IF($D3825="","",IF($K3825&lt;&gt;"对外销售",0,ROUND(N($J3825)*IF($P3825="",N($O3825),N($P3825)),0)))</f>
        <v/>
      </c>
      <c r="R3825" s="26">
        <f>IF($D3825="","",IFERROR(VLOOKUP($D3825,库存台账!$A$5:$Y$1204,11,0),0))</f>
        <v/>
      </c>
      <c r="S3825" s="26">
        <f>IF($D3825="","",ROUND(N($J3825)*N($R3825),0))</f>
        <v/>
      </c>
      <c r="T3825" s="26">
        <f>IF($D3825="","",IF($K3825&lt;&gt;"对外销售","",ROUND($Q3825-$S3825,0)))</f>
        <v/>
      </c>
      <c r="U3825" s="17" t="n"/>
      <c r="V3825" s="17" t="n"/>
      <c r="W3825" s="24">
        <f>IF($D3825="","",IF($E3825="※编码不在物料档案里","※物料编码不在档案里",IF(N($J3825)&lt;=0,"※出库数量要大于 0",IF($K3825="","※没填去向类型",IF($L3825="","※没填去向矿区",IF(AND($C3825&lt;&gt;"",$C3825&lt;=结账锁),"※日期早于已结账截止日，不能再录",IF(AND($K3825="自用消耗",COUNTIF({"一矿区";"二矿区"},$L3825)=0),"※自用消耗的去向只能是一矿区或二矿区",IF(AND($K3825="对外销售",COUNTIF({"三矿区";"六矿区"},$L3825)=0),"※对外销售的去向只能是三矿区或六矿区",IF(AND($K3825="对外销售",ROUND($Q3825,0)=0),"※外销却没有售价，请填实际售价",IF(AND($K3825="对外销售",$T3825&lt;&gt;"",$T3825&lt;0),"※这一笔外销是亏的，请核对售价",IF(IFERROR(VLOOKUP($D3825,库存台账!$A$5:$Y$1204,24,0),0)&lt;-0.001,"※这个物料账面已经变成负数了，查一下是不是漏记入库","")))))))))))</f>
        <v/>
      </c>
    </row>
    <row r="3826">
      <c r="A3826" s="24">
        <f>IF($D3826="","",COUNTA($D$4:$D3826))</f>
        <v/>
      </c>
      <c r="B3826" s="17" t="n"/>
      <c r="C3826" s="30" t="n"/>
      <c r="D3826" s="17" t="n"/>
      <c r="E3826" s="24">
        <f>IF($D3826="","",IFERROR(VLOOKUP($D3826,物料档案!$A$4:$P$1203,3,0),"※编码不在物料档案里"))</f>
        <v/>
      </c>
      <c r="F3826" s="24">
        <f>IF($D3826="","",IFERROR(VLOOKUP($D3826,物料档案!$A$4:$P$1203,4,0),"※编码不在物料档案里"))</f>
        <v/>
      </c>
      <c r="G3826" s="24">
        <f>IF($D3826="","",IFERROR(VLOOKUP($D3826,物料档案!$A$4:$P$1203,5,0),"※编码不在物料档案里"))</f>
        <v/>
      </c>
      <c r="H3826" s="24">
        <f>IF($D3826="","",IFERROR(VLOOKUP($D3826,物料档案!$A$4:$P$1203,2,0),"※编码不在物料档案里"))</f>
        <v/>
      </c>
      <c r="I3826" s="24">
        <f>IF($D3826="","",IFERROR(VLOOKUP($D3826,物料档案!$A$4:$P$1203,6,0),"※编码不在物料档案里"))</f>
        <v/>
      </c>
      <c r="J3826" s="23" t="n"/>
      <c r="K3826" s="17" t="n"/>
      <c r="L3826" s="17" t="n"/>
      <c r="M3826" s="17" t="n"/>
      <c r="N3826" s="17" t="n"/>
      <c r="O3826" s="26">
        <f>IF($D3826="","",IFERROR(VLOOKUP($D3826,物料档案!$A$4:$P$1203,10,0),0))</f>
        <v/>
      </c>
      <c r="P3826" s="32" t="n"/>
      <c r="Q3826" s="26">
        <f>IF($D3826="","",IF($K3826&lt;&gt;"对外销售",0,ROUND(N($J3826)*IF($P3826="",N($O3826),N($P3826)),0)))</f>
        <v/>
      </c>
      <c r="R3826" s="26">
        <f>IF($D3826="","",IFERROR(VLOOKUP($D3826,库存台账!$A$5:$Y$1204,11,0),0))</f>
        <v/>
      </c>
      <c r="S3826" s="26">
        <f>IF($D3826="","",ROUND(N($J3826)*N($R3826),0))</f>
        <v/>
      </c>
      <c r="T3826" s="26">
        <f>IF($D3826="","",IF($K3826&lt;&gt;"对外销售","",ROUND($Q3826-$S3826,0)))</f>
        <v/>
      </c>
      <c r="U3826" s="17" t="n"/>
      <c r="V3826" s="17" t="n"/>
      <c r="W3826" s="24">
        <f>IF($D3826="","",IF($E3826="※编码不在物料档案里","※物料编码不在档案里",IF(N($J3826)&lt;=0,"※出库数量要大于 0",IF($K3826="","※没填去向类型",IF($L3826="","※没填去向矿区",IF(AND($C3826&lt;&gt;"",$C3826&lt;=结账锁),"※日期早于已结账截止日，不能再录",IF(AND($K3826="自用消耗",COUNTIF({"一矿区";"二矿区"},$L3826)=0),"※自用消耗的去向只能是一矿区或二矿区",IF(AND($K3826="对外销售",COUNTIF({"三矿区";"六矿区"},$L3826)=0),"※对外销售的去向只能是三矿区或六矿区",IF(AND($K3826="对外销售",ROUND($Q3826,0)=0),"※外销却没有售价，请填实际售价",IF(AND($K3826="对外销售",$T3826&lt;&gt;"",$T3826&lt;0),"※这一笔外销是亏的，请核对售价",IF(IFERROR(VLOOKUP($D3826,库存台账!$A$5:$Y$1204,24,0),0)&lt;-0.001,"※这个物料账面已经变成负数了，查一下是不是漏记入库","")))))))))))</f>
        <v/>
      </c>
    </row>
    <row r="3827">
      <c r="A3827" s="24">
        <f>IF($D3827="","",COUNTA($D$4:$D3827))</f>
        <v/>
      </c>
      <c r="B3827" s="17" t="n"/>
      <c r="C3827" s="30" t="n"/>
      <c r="D3827" s="17" t="n"/>
      <c r="E3827" s="24">
        <f>IF($D3827="","",IFERROR(VLOOKUP($D3827,物料档案!$A$4:$P$1203,3,0),"※编码不在物料档案里"))</f>
        <v/>
      </c>
      <c r="F3827" s="24">
        <f>IF($D3827="","",IFERROR(VLOOKUP($D3827,物料档案!$A$4:$P$1203,4,0),"※编码不在物料档案里"))</f>
        <v/>
      </c>
      <c r="G3827" s="24">
        <f>IF($D3827="","",IFERROR(VLOOKUP($D3827,物料档案!$A$4:$P$1203,5,0),"※编码不在物料档案里"))</f>
        <v/>
      </c>
      <c r="H3827" s="24">
        <f>IF($D3827="","",IFERROR(VLOOKUP($D3827,物料档案!$A$4:$P$1203,2,0),"※编码不在物料档案里"))</f>
        <v/>
      </c>
      <c r="I3827" s="24">
        <f>IF($D3827="","",IFERROR(VLOOKUP($D3827,物料档案!$A$4:$P$1203,6,0),"※编码不在物料档案里"))</f>
        <v/>
      </c>
      <c r="J3827" s="23" t="n"/>
      <c r="K3827" s="17" t="n"/>
      <c r="L3827" s="17" t="n"/>
      <c r="M3827" s="17" t="n"/>
      <c r="N3827" s="17" t="n"/>
      <c r="O3827" s="26">
        <f>IF($D3827="","",IFERROR(VLOOKUP($D3827,物料档案!$A$4:$P$1203,10,0),0))</f>
        <v/>
      </c>
      <c r="P3827" s="32" t="n"/>
      <c r="Q3827" s="26">
        <f>IF($D3827="","",IF($K3827&lt;&gt;"对外销售",0,ROUND(N($J3827)*IF($P3827="",N($O3827),N($P3827)),0)))</f>
        <v/>
      </c>
      <c r="R3827" s="26">
        <f>IF($D3827="","",IFERROR(VLOOKUP($D3827,库存台账!$A$5:$Y$1204,11,0),0))</f>
        <v/>
      </c>
      <c r="S3827" s="26">
        <f>IF($D3827="","",ROUND(N($J3827)*N($R3827),0))</f>
        <v/>
      </c>
      <c r="T3827" s="26">
        <f>IF($D3827="","",IF($K3827&lt;&gt;"对外销售","",ROUND($Q3827-$S3827,0)))</f>
        <v/>
      </c>
      <c r="U3827" s="17" t="n"/>
      <c r="V3827" s="17" t="n"/>
      <c r="W3827" s="24">
        <f>IF($D3827="","",IF($E3827="※编码不在物料档案里","※物料编码不在档案里",IF(N($J3827)&lt;=0,"※出库数量要大于 0",IF($K3827="","※没填去向类型",IF($L3827="","※没填去向矿区",IF(AND($C3827&lt;&gt;"",$C3827&lt;=结账锁),"※日期早于已结账截止日，不能再录",IF(AND($K3827="自用消耗",COUNTIF({"一矿区";"二矿区"},$L3827)=0),"※自用消耗的去向只能是一矿区或二矿区",IF(AND($K3827="对外销售",COUNTIF({"三矿区";"六矿区"},$L3827)=0),"※对外销售的去向只能是三矿区或六矿区",IF(AND($K3827="对外销售",ROUND($Q3827,0)=0),"※外销却没有售价，请填实际售价",IF(AND($K3827="对外销售",$T3827&lt;&gt;"",$T3827&lt;0),"※这一笔外销是亏的，请核对售价",IF(IFERROR(VLOOKUP($D3827,库存台账!$A$5:$Y$1204,24,0),0)&lt;-0.001,"※这个物料账面已经变成负数了，查一下是不是漏记入库","")))))))))))</f>
        <v/>
      </c>
    </row>
    <row r="3828">
      <c r="A3828" s="24">
        <f>IF($D3828="","",COUNTA($D$4:$D3828))</f>
        <v/>
      </c>
      <c r="B3828" s="17" t="n"/>
      <c r="C3828" s="30" t="n"/>
      <c r="D3828" s="17" t="n"/>
      <c r="E3828" s="24">
        <f>IF($D3828="","",IFERROR(VLOOKUP($D3828,物料档案!$A$4:$P$1203,3,0),"※编码不在物料档案里"))</f>
        <v/>
      </c>
      <c r="F3828" s="24">
        <f>IF($D3828="","",IFERROR(VLOOKUP($D3828,物料档案!$A$4:$P$1203,4,0),"※编码不在物料档案里"))</f>
        <v/>
      </c>
      <c r="G3828" s="24">
        <f>IF($D3828="","",IFERROR(VLOOKUP($D3828,物料档案!$A$4:$P$1203,5,0),"※编码不在物料档案里"))</f>
        <v/>
      </c>
      <c r="H3828" s="24">
        <f>IF($D3828="","",IFERROR(VLOOKUP($D3828,物料档案!$A$4:$P$1203,2,0),"※编码不在物料档案里"))</f>
        <v/>
      </c>
      <c r="I3828" s="24">
        <f>IF($D3828="","",IFERROR(VLOOKUP($D3828,物料档案!$A$4:$P$1203,6,0),"※编码不在物料档案里"))</f>
        <v/>
      </c>
      <c r="J3828" s="23" t="n"/>
      <c r="K3828" s="17" t="n"/>
      <c r="L3828" s="17" t="n"/>
      <c r="M3828" s="17" t="n"/>
      <c r="N3828" s="17" t="n"/>
      <c r="O3828" s="26">
        <f>IF($D3828="","",IFERROR(VLOOKUP($D3828,物料档案!$A$4:$P$1203,10,0),0))</f>
        <v/>
      </c>
      <c r="P3828" s="32" t="n"/>
      <c r="Q3828" s="26">
        <f>IF($D3828="","",IF($K3828&lt;&gt;"对外销售",0,ROUND(N($J3828)*IF($P3828="",N($O3828),N($P3828)),0)))</f>
        <v/>
      </c>
      <c r="R3828" s="26">
        <f>IF($D3828="","",IFERROR(VLOOKUP($D3828,库存台账!$A$5:$Y$1204,11,0),0))</f>
        <v/>
      </c>
      <c r="S3828" s="26">
        <f>IF($D3828="","",ROUND(N($J3828)*N($R3828),0))</f>
        <v/>
      </c>
      <c r="T3828" s="26">
        <f>IF($D3828="","",IF($K3828&lt;&gt;"对外销售","",ROUND($Q3828-$S3828,0)))</f>
        <v/>
      </c>
      <c r="U3828" s="17" t="n"/>
      <c r="V3828" s="17" t="n"/>
      <c r="W3828" s="24">
        <f>IF($D3828="","",IF($E3828="※编码不在物料档案里","※物料编码不在档案里",IF(N($J3828)&lt;=0,"※出库数量要大于 0",IF($K3828="","※没填去向类型",IF($L3828="","※没填去向矿区",IF(AND($C3828&lt;&gt;"",$C3828&lt;=结账锁),"※日期早于已结账截止日，不能再录",IF(AND($K3828="自用消耗",COUNTIF({"一矿区";"二矿区"},$L3828)=0),"※自用消耗的去向只能是一矿区或二矿区",IF(AND($K3828="对外销售",COUNTIF({"三矿区";"六矿区"},$L3828)=0),"※对外销售的去向只能是三矿区或六矿区",IF(AND($K3828="对外销售",ROUND($Q3828,0)=0),"※外销却没有售价，请填实际售价",IF(AND($K3828="对外销售",$T3828&lt;&gt;"",$T3828&lt;0),"※这一笔外销是亏的，请核对售价",IF(IFERROR(VLOOKUP($D3828,库存台账!$A$5:$Y$1204,24,0),0)&lt;-0.001,"※这个物料账面已经变成负数了，查一下是不是漏记入库","")))))))))))</f>
        <v/>
      </c>
    </row>
    <row r="3829">
      <c r="A3829" s="24">
        <f>IF($D3829="","",COUNTA($D$4:$D3829))</f>
        <v/>
      </c>
      <c r="B3829" s="17" t="n"/>
      <c r="C3829" s="30" t="n"/>
      <c r="D3829" s="17" t="n"/>
      <c r="E3829" s="24">
        <f>IF($D3829="","",IFERROR(VLOOKUP($D3829,物料档案!$A$4:$P$1203,3,0),"※编码不在物料档案里"))</f>
        <v/>
      </c>
      <c r="F3829" s="24">
        <f>IF($D3829="","",IFERROR(VLOOKUP($D3829,物料档案!$A$4:$P$1203,4,0),"※编码不在物料档案里"))</f>
        <v/>
      </c>
      <c r="G3829" s="24">
        <f>IF($D3829="","",IFERROR(VLOOKUP($D3829,物料档案!$A$4:$P$1203,5,0),"※编码不在物料档案里"))</f>
        <v/>
      </c>
      <c r="H3829" s="24">
        <f>IF($D3829="","",IFERROR(VLOOKUP($D3829,物料档案!$A$4:$P$1203,2,0),"※编码不在物料档案里"))</f>
        <v/>
      </c>
      <c r="I3829" s="24">
        <f>IF($D3829="","",IFERROR(VLOOKUP($D3829,物料档案!$A$4:$P$1203,6,0),"※编码不在物料档案里"))</f>
        <v/>
      </c>
      <c r="J3829" s="23" t="n"/>
      <c r="K3829" s="17" t="n"/>
      <c r="L3829" s="17" t="n"/>
      <c r="M3829" s="17" t="n"/>
      <c r="N3829" s="17" t="n"/>
      <c r="O3829" s="26">
        <f>IF($D3829="","",IFERROR(VLOOKUP($D3829,物料档案!$A$4:$P$1203,10,0),0))</f>
        <v/>
      </c>
      <c r="P3829" s="32" t="n"/>
      <c r="Q3829" s="26">
        <f>IF($D3829="","",IF($K3829&lt;&gt;"对外销售",0,ROUND(N($J3829)*IF($P3829="",N($O3829),N($P3829)),0)))</f>
        <v/>
      </c>
      <c r="R3829" s="26">
        <f>IF($D3829="","",IFERROR(VLOOKUP($D3829,库存台账!$A$5:$Y$1204,11,0),0))</f>
        <v/>
      </c>
      <c r="S3829" s="26">
        <f>IF($D3829="","",ROUND(N($J3829)*N($R3829),0))</f>
        <v/>
      </c>
      <c r="T3829" s="26">
        <f>IF($D3829="","",IF($K3829&lt;&gt;"对外销售","",ROUND($Q3829-$S3829,0)))</f>
        <v/>
      </c>
      <c r="U3829" s="17" t="n"/>
      <c r="V3829" s="17" t="n"/>
      <c r="W3829" s="24">
        <f>IF($D3829="","",IF($E3829="※编码不在物料档案里","※物料编码不在档案里",IF(N($J3829)&lt;=0,"※出库数量要大于 0",IF($K3829="","※没填去向类型",IF($L3829="","※没填去向矿区",IF(AND($C3829&lt;&gt;"",$C3829&lt;=结账锁),"※日期早于已结账截止日，不能再录",IF(AND($K3829="自用消耗",COUNTIF({"一矿区";"二矿区"},$L3829)=0),"※自用消耗的去向只能是一矿区或二矿区",IF(AND($K3829="对外销售",COUNTIF({"三矿区";"六矿区"},$L3829)=0),"※对外销售的去向只能是三矿区或六矿区",IF(AND($K3829="对外销售",ROUND($Q3829,0)=0),"※外销却没有售价，请填实际售价",IF(AND($K3829="对外销售",$T3829&lt;&gt;"",$T3829&lt;0),"※这一笔外销是亏的，请核对售价",IF(IFERROR(VLOOKUP($D3829,库存台账!$A$5:$Y$1204,24,0),0)&lt;-0.001,"※这个物料账面已经变成负数了，查一下是不是漏记入库","")))))))))))</f>
        <v/>
      </c>
    </row>
    <row r="3830">
      <c r="A3830" s="24">
        <f>IF($D3830="","",COUNTA($D$4:$D3830))</f>
        <v/>
      </c>
      <c r="B3830" s="17" t="n"/>
      <c r="C3830" s="30" t="n"/>
      <c r="D3830" s="17" t="n"/>
      <c r="E3830" s="24">
        <f>IF($D3830="","",IFERROR(VLOOKUP($D3830,物料档案!$A$4:$P$1203,3,0),"※编码不在物料档案里"))</f>
        <v/>
      </c>
      <c r="F3830" s="24">
        <f>IF($D3830="","",IFERROR(VLOOKUP($D3830,物料档案!$A$4:$P$1203,4,0),"※编码不在物料档案里"))</f>
        <v/>
      </c>
      <c r="G3830" s="24">
        <f>IF($D3830="","",IFERROR(VLOOKUP($D3830,物料档案!$A$4:$P$1203,5,0),"※编码不在物料档案里"))</f>
        <v/>
      </c>
      <c r="H3830" s="24">
        <f>IF($D3830="","",IFERROR(VLOOKUP($D3830,物料档案!$A$4:$P$1203,2,0),"※编码不在物料档案里"))</f>
        <v/>
      </c>
      <c r="I3830" s="24">
        <f>IF($D3830="","",IFERROR(VLOOKUP($D3830,物料档案!$A$4:$P$1203,6,0),"※编码不在物料档案里"))</f>
        <v/>
      </c>
      <c r="J3830" s="23" t="n"/>
      <c r="K3830" s="17" t="n"/>
      <c r="L3830" s="17" t="n"/>
      <c r="M3830" s="17" t="n"/>
      <c r="N3830" s="17" t="n"/>
      <c r="O3830" s="26">
        <f>IF($D3830="","",IFERROR(VLOOKUP($D3830,物料档案!$A$4:$P$1203,10,0),0))</f>
        <v/>
      </c>
      <c r="P3830" s="32" t="n"/>
      <c r="Q3830" s="26">
        <f>IF($D3830="","",IF($K3830&lt;&gt;"对外销售",0,ROUND(N($J3830)*IF($P3830="",N($O3830),N($P3830)),0)))</f>
        <v/>
      </c>
      <c r="R3830" s="26">
        <f>IF($D3830="","",IFERROR(VLOOKUP($D3830,库存台账!$A$5:$Y$1204,11,0),0))</f>
        <v/>
      </c>
      <c r="S3830" s="26">
        <f>IF($D3830="","",ROUND(N($J3830)*N($R3830),0))</f>
        <v/>
      </c>
      <c r="T3830" s="26">
        <f>IF($D3830="","",IF($K3830&lt;&gt;"对外销售","",ROUND($Q3830-$S3830,0)))</f>
        <v/>
      </c>
      <c r="U3830" s="17" t="n"/>
      <c r="V3830" s="17" t="n"/>
      <c r="W3830" s="24">
        <f>IF($D3830="","",IF($E3830="※编码不在物料档案里","※物料编码不在档案里",IF(N($J3830)&lt;=0,"※出库数量要大于 0",IF($K3830="","※没填去向类型",IF($L3830="","※没填去向矿区",IF(AND($C3830&lt;&gt;"",$C3830&lt;=结账锁),"※日期早于已结账截止日，不能再录",IF(AND($K3830="自用消耗",COUNTIF({"一矿区";"二矿区"},$L3830)=0),"※自用消耗的去向只能是一矿区或二矿区",IF(AND($K3830="对外销售",COUNTIF({"三矿区";"六矿区"},$L3830)=0),"※对外销售的去向只能是三矿区或六矿区",IF(AND($K3830="对外销售",ROUND($Q3830,0)=0),"※外销却没有售价，请填实际售价",IF(AND($K3830="对外销售",$T3830&lt;&gt;"",$T3830&lt;0),"※这一笔外销是亏的，请核对售价",IF(IFERROR(VLOOKUP($D3830,库存台账!$A$5:$Y$1204,24,0),0)&lt;-0.001,"※这个物料账面已经变成负数了，查一下是不是漏记入库","")))))))))))</f>
        <v/>
      </c>
    </row>
    <row r="3831">
      <c r="A3831" s="24">
        <f>IF($D3831="","",COUNTA($D$4:$D3831))</f>
        <v/>
      </c>
      <c r="B3831" s="17" t="n"/>
      <c r="C3831" s="30" t="n"/>
      <c r="D3831" s="17" t="n"/>
      <c r="E3831" s="24">
        <f>IF($D3831="","",IFERROR(VLOOKUP($D3831,物料档案!$A$4:$P$1203,3,0),"※编码不在物料档案里"))</f>
        <v/>
      </c>
      <c r="F3831" s="24">
        <f>IF($D3831="","",IFERROR(VLOOKUP($D3831,物料档案!$A$4:$P$1203,4,0),"※编码不在物料档案里"))</f>
        <v/>
      </c>
      <c r="G3831" s="24">
        <f>IF($D3831="","",IFERROR(VLOOKUP($D3831,物料档案!$A$4:$P$1203,5,0),"※编码不在物料档案里"))</f>
        <v/>
      </c>
      <c r="H3831" s="24">
        <f>IF($D3831="","",IFERROR(VLOOKUP($D3831,物料档案!$A$4:$P$1203,2,0),"※编码不在物料档案里"))</f>
        <v/>
      </c>
      <c r="I3831" s="24">
        <f>IF($D3831="","",IFERROR(VLOOKUP($D3831,物料档案!$A$4:$P$1203,6,0),"※编码不在物料档案里"))</f>
        <v/>
      </c>
      <c r="J3831" s="23" t="n"/>
      <c r="K3831" s="17" t="n"/>
      <c r="L3831" s="17" t="n"/>
      <c r="M3831" s="17" t="n"/>
      <c r="N3831" s="17" t="n"/>
      <c r="O3831" s="26">
        <f>IF($D3831="","",IFERROR(VLOOKUP($D3831,物料档案!$A$4:$P$1203,10,0),0))</f>
        <v/>
      </c>
      <c r="P3831" s="32" t="n"/>
      <c r="Q3831" s="26">
        <f>IF($D3831="","",IF($K3831&lt;&gt;"对外销售",0,ROUND(N($J3831)*IF($P3831="",N($O3831),N($P3831)),0)))</f>
        <v/>
      </c>
      <c r="R3831" s="26">
        <f>IF($D3831="","",IFERROR(VLOOKUP($D3831,库存台账!$A$5:$Y$1204,11,0),0))</f>
        <v/>
      </c>
      <c r="S3831" s="26">
        <f>IF($D3831="","",ROUND(N($J3831)*N($R3831),0))</f>
        <v/>
      </c>
      <c r="T3831" s="26">
        <f>IF($D3831="","",IF($K3831&lt;&gt;"对外销售","",ROUND($Q3831-$S3831,0)))</f>
        <v/>
      </c>
      <c r="U3831" s="17" t="n"/>
      <c r="V3831" s="17" t="n"/>
      <c r="W3831" s="24">
        <f>IF($D3831="","",IF($E3831="※编码不在物料档案里","※物料编码不在档案里",IF(N($J3831)&lt;=0,"※出库数量要大于 0",IF($K3831="","※没填去向类型",IF($L3831="","※没填去向矿区",IF(AND($C3831&lt;&gt;"",$C3831&lt;=结账锁),"※日期早于已结账截止日，不能再录",IF(AND($K3831="自用消耗",COUNTIF({"一矿区";"二矿区"},$L3831)=0),"※自用消耗的去向只能是一矿区或二矿区",IF(AND($K3831="对外销售",COUNTIF({"三矿区";"六矿区"},$L3831)=0),"※对外销售的去向只能是三矿区或六矿区",IF(AND($K3831="对外销售",ROUND($Q3831,0)=0),"※外销却没有售价，请填实际售价",IF(AND($K3831="对外销售",$T3831&lt;&gt;"",$T3831&lt;0),"※这一笔外销是亏的，请核对售价",IF(IFERROR(VLOOKUP($D3831,库存台账!$A$5:$Y$1204,24,0),0)&lt;-0.001,"※这个物料账面已经变成负数了，查一下是不是漏记入库","")))))))))))</f>
        <v/>
      </c>
    </row>
    <row r="3832">
      <c r="A3832" s="24">
        <f>IF($D3832="","",COUNTA($D$4:$D3832))</f>
        <v/>
      </c>
      <c r="B3832" s="17" t="n"/>
      <c r="C3832" s="30" t="n"/>
      <c r="D3832" s="17" t="n"/>
      <c r="E3832" s="24">
        <f>IF($D3832="","",IFERROR(VLOOKUP($D3832,物料档案!$A$4:$P$1203,3,0),"※编码不在物料档案里"))</f>
        <v/>
      </c>
      <c r="F3832" s="24">
        <f>IF($D3832="","",IFERROR(VLOOKUP($D3832,物料档案!$A$4:$P$1203,4,0),"※编码不在物料档案里"))</f>
        <v/>
      </c>
      <c r="G3832" s="24">
        <f>IF($D3832="","",IFERROR(VLOOKUP($D3832,物料档案!$A$4:$P$1203,5,0),"※编码不在物料档案里"))</f>
        <v/>
      </c>
      <c r="H3832" s="24">
        <f>IF($D3832="","",IFERROR(VLOOKUP($D3832,物料档案!$A$4:$P$1203,2,0),"※编码不在物料档案里"))</f>
        <v/>
      </c>
      <c r="I3832" s="24">
        <f>IF($D3832="","",IFERROR(VLOOKUP($D3832,物料档案!$A$4:$P$1203,6,0),"※编码不在物料档案里"))</f>
        <v/>
      </c>
      <c r="J3832" s="23" t="n"/>
      <c r="K3832" s="17" t="n"/>
      <c r="L3832" s="17" t="n"/>
      <c r="M3832" s="17" t="n"/>
      <c r="N3832" s="17" t="n"/>
      <c r="O3832" s="26">
        <f>IF($D3832="","",IFERROR(VLOOKUP($D3832,物料档案!$A$4:$P$1203,10,0),0))</f>
        <v/>
      </c>
      <c r="P3832" s="32" t="n"/>
      <c r="Q3832" s="26">
        <f>IF($D3832="","",IF($K3832&lt;&gt;"对外销售",0,ROUND(N($J3832)*IF($P3832="",N($O3832),N($P3832)),0)))</f>
        <v/>
      </c>
      <c r="R3832" s="26">
        <f>IF($D3832="","",IFERROR(VLOOKUP($D3832,库存台账!$A$5:$Y$1204,11,0),0))</f>
        <v/>
      </c>
      <c r="S3832" s="26">
        <f>IF($D3832="","",ROUND(N($J3832)*N($R3832),0))</f>
        <v/>
      </c>
      <c r="T3832" s="26">
        <f>IF($D3832="","",IF($K3832&lt;&gt;"对外销售","",ROUND($Q3832-$S3832,0)))</f>
        <v/>
      </c>
      <c r="U3832" s="17" t="n"/>
      <c r="V3832" s="17" t="n"/>
      <c r="W3832" s="24">
        <f>IF($D3832="","",IF($E3832="※编码不在物料档案里","※物料编码不在档案里",IF(N($J3832)&lt;=0,"※出库数量要大于 0",IF($K3832="","※没填去向类型",IF($L3832="","※没填去向矿区",IF(AND($C3832&lt;&gt;"",$C3832&lt;=结账锁),"※日期早于已结账截止日，不能再录",IF(AND($K3832="自用消耗",COUNTIF({"一矿区";"二矿区"},$L3832)=0),"※自用消耗的去向只能是一矿区或二矿区",IF(AND($K3832="对外销售",COUNTIF({"三矿区";"六矿区"},$L3832)=0),"※对外销售的去向只能是三矿区或六矿区",IF(AND($K3832="对外销售",ROUND($Q3832,0)=0),"※外销却没有售价，请填实际售价",IF(AND($K3832="对外销售",$T3832&lt;&gt;"",$T3832&lt;0),"※这一笔外销是亏的，请核对售价",IF(IFERROR(VLOOKUP($D3832,库存台账!$A$5:$Y$1204,24,0),0)&lt;-0.001,"※这个物料账面已经变成负数了，查一下是不是漏记入库","")))))))))))</f>
        <v/>
      </c>
    </row>
    <row r="3833">
      <c r="A3833" s="24">
        <f>IF($D3833="","",COUNTA($D$4:$D3833))</f>
        <v/>
      </c>
      <c r="B3833" s="17" t="n"/>
      <c r="C3833" s="30" t="n"/>
      <c r="D3833" s="17" t="n"/>
      <c r="E3833" s="24">
        <f>IF($D3833="","",IFERROR(VLOOKUP($D3833,物料档案!$A$4:$P$1203,3,0),"※编码不在物料档案里"))</f>
        <v/>
      </c>
      <c r="F3833" s="24">
        <f>IF($D3833="","",IFERROR(VLOOKUP($D3833,物料档案!$A$4:$P$1203,4,0),"※编码不在物料档案里"))</f>
        <v/>
      </c>
      <c r="G3833" s="24">
        <f>IF($D3833="","",IFERROR(VLOOKUP($D3833,物料档案!$A$4:$P$1203,5,0),"※编码不在物料档案里"))</f>
        <v/>
      </c>
      <c r="H3833" s="24">
        <f>IF($D3833="","",IFERROR(VLOOKUP($D3833,物料档案!$A$4:$P$1203,2,0),"※编码不在物料档案里"))</f>
        <v/>
      </c>
      <c r="I3833" s="24">
        <f>IF($D3833="","",IFERROR(VLOOKUP($D3833,物料档案!$A$4:$P$1203,6,0),"※编码不在物料档案里"))</f>
        <v/>
      </c>
      <c r="J3833" s="23" t="n"/>
      <c r="K3833" s="17" t="n"/>
      <c r="L3833" s="17" t="n"/>
      <c r="M3833" s="17" t="n"/>
      <c r="N3833" s="17" t="n"/>
      <c r="O3833" s="26">
        <f>IF($D3833="","",IFERROR(VLOOKUP($D3833,物料档案!$A$4:$P$1203,10,0),0))</f>
        <v/>
      </c>
      <c r="P3833" s="32" t="n"/>
      <c r="Q3833" s="26">
        <f>IF($D3833="","",IF($K3833&lt;&gt;"对外销售",0,ROUND(N($J3833)*IF($P3833="",N($O3833),N($P3833)),0)))</f>
        <v/>
      </c>
      <c r="R3833" s="26">
        <f>IF($D3833="","",IFERROR(VLOOKUP($D3833,库存台账!$A$5:$Y$1204,11,0),0))</f>
        <v/>
      </c>
      <c r="S3833" s="26">
        <f>IF($D3833="","",ROUND(N($J3833)*N($R3833),0))</f>
        <v/>
      </c>
      <c r="T3833" s="26">
        <f>IF($D3833="","",IF($K3833&lt;&gt;"对外销售","",ROUND($Q3833-$S3833,0)))</f>
        <v/>
      </c>
      <c r="U3833" s="17" t="n"/>
      <c r="V3833" s="17" t="n"/>
      <c r="W3833" s="24">
        <f>IF($D3833="","",IF($E3833="※编码不在物料档案里","※物料编码不在档案里",IF(N($J3833)&lt;=0,"※出库数量要大于 0",IF($K3833="","※没填去向类型",IF($L3833="","※没填去向矿区",IF(AND($C3833&lt;&gt;"",$C3833&lt;=结账锁),"※日期早于已结账截止日，不能再录",IF(AND($K3833="自用消耗",COUNTIF({"一矿区";"二矿区"},$L3833)=0),"※自用消耗的去向只能是一矿区或二矿区",IF(AND($K3833="对外销售",COUNTIF({"三矿区";"六矿区"},$L3833)=0),"※对外销售的去向只能是三矿区或六矿区",IF(AND($K3833="对外销售",ROUND($Q3833,0)=0),"※外销却没有售价，请填实际售价",IF(AND($K3833="对外销售",$T3833&lt;&gt;"",$T3833&lt;0),"※这一笔外销是亏的，请核对售价",IF(IFERROR(VLOOKUP($D3833,库存台账!$A$5:$Y$1204,24,0),0)&lt;-0.001,"※这个物料账面已经变成负数了，查一下是不是漏记入库","")))))))))))</f>
        <v/>
      </c>
    </row>
    <row r="3834">
      <c r="A3834" s="24">
        <f>IF($D3834="","",COUNTA($D$4:$D3834))</f>
        <v/>
      </c>
      <c r="B3834" s="17" t="n"/>
      <c r="C3834" s="30" t="n"/>
      <c r="D3834" s="17" t="n"/>
      <c r="E3834" s="24">
        <f>IF($D3834="","",IFERROR(VLOOKUP($D3834,物料档案!$A$4:$P$1203,3,0),"※编码不在物料档案里"))</f>
        <v/>
      </c>
      <c r="F3834" s="24">
        <f>IF($D3834="","",IFERROR(VLOOKUP($D3834,物料档案!$A$4:$P$1203,4,0),"※编码不在物料档案里"))</f>
        <v/>
      </c>
      <c r="G3834" s="24">
        <f>IF($D3834="","",IFERROR(VLOOKUP($D3834,物料档案!$A$4:$P$1203,5,0),"※编码不在物料档案里"))</f>
        <v/>
      </c>
      <c r="H3834" s="24">
        <f>IF($D3834="","",IFERROR(VLOOKUP($D3834,物料档案!$A$4:$P$1203,2,0),"※编码不在物料档案里"))</f>
        <v/>
      </c>
      <c r="I3834" s="24">
        <f>IF($D3834="","",IFERROR(VLOOKUP($D3834,物料档案!$A$4:$P$1203,6,0),"※编码不在物料档案里"))</f>
        <v/>
      </c>
      <c r="J3834" s="23" t="n"/>
      <c r="K3834" s="17" t="n"/>
      <c r="L3834" s="17" t="n"/>
      <c r="M3834" s="17" t="n"/>
      <c r="N3834" s="17" t="n"/>
      <c r="O3834" s="26">
        <f>IF($D3834="","",IFERROR(VLOOKUP($D3834,物料档案!$A$4:$P$1203,10,0),0))</f>
        <v/>
      </c>
      <c r="P3834" s="32" t="n"/>
      <c r="Q3834" s="26">
        <f>IF($D3834="","",IF($K3834&lt;&gt;"对外销售",0,ROUND(N($J3834)*IF($P3834="",N($O3834),N($P3834)),0)))</f>
        <v/>
      </c>
      <c r="R3834" s="26">
        <f>IF($D3834="","",IFERROR(VLOOKUP($D3834,库存台账!$A$5:$Y$1204,11,0),0))</f>
        <v/>
      </c>
      <c r="S3834" s="26">
        <f>IF($D3834="","",ROUND(N($J3834)*N($R3834),0))</f>
        <v/>
      </c>
      <c r="T3834" s="26">
        <f>IF($D3834="","",IF($K3834&lt;&gt;"对外销售","",ROUND($Q3834-$S3834,0)))</f>
        <v/>
      </c>
      <c r="U3834" s="17" t="n"/>
      <c r="V3834" s="17" t="n"/>
      <c r="W3834" s="24">
        <f>IF($D3834="","",IF($E3834="※编码不在物料档案里","※物料编码不在档案里",IF(N($J3834)&lt;=0,"※出库数量要大于 0",IF($K3834="","※没填去向类型",IF($L3834="","※没填去向矿区",IF(AND($C3834&lt;&gt;"",$C3834&lt;=结账锁),"※日期早于已结账截止日，不能再录",IF(AND($K3834="自用消耗",COUNTIF({"一矿区";"二矿区"},$L3834)=0),"※自用消耗的去向只能是一矿区或二矿区",IF(AND($K3834="对外销售",COUNTIF({"三矿区";"六矿区"},$L3834)=0),"※对外销售的去向只能是三矿区或六矿区",IF(AND($K3834="对外销售",ROUND($Q3834,0)=0),"※外销却没有售价，请填实际售价",IF(AND($K3834="对外销售",$T3834&lt;&gt;"",$T3834&lt;0),"※这一笔外销是亏的，请核对售价",IF(IFERROR(VLOOKUP($D3834,库存台账!$A$5:$Y$1204,24,0),0)&lt;-0.001,"※这个物料账面已经变成负数了，查一下是不是漏记入库","")))))))))))</f>
        <v/>
      </c>
    </row>
    <row r="3835">
      <c r="A3835" s="24">
        <f>IF($D3835="","",COUNTA($D$4:$D3835))</f>
        <v/>
      </c>
      <c r="B3835" s="17" t="n"/>
      <c r="C3835" s="30" t="n"/>
      <c r="D3835" s="17" t="n"/>
      <c r="E3835" s="24">
        <f>IF($D3835="","",IFERROR(VLOOKUP($D3835,物料档案!$A$4:$P$1203,3,0),"※编码不在物料档案里"))</f>
        <v/>
      </c>
      <c r="F3835" s="24">
        <f>IF($D3835="","",IFERROR(VLOOKUP($D3835,物料档案!$A$4:$P$1203,4,0),"※编码不在物料档案里"))</f>
        <v/>
      </c>
      <c r="G3835" s="24">
        <f>IF($D3835="","",IFERROR(VLOOKUP($D3835,物料档案!$A$4:$P$1203,5,0),"※编码不在物料档案里"))</f>
        <v/>
      </c>
      <c r="H3835" s="24">
        <f>IF($D3835="","",IFERROR(VLOOKUP($D3835,物料档案!$A$4:$P$1203,2,0),"※编码不在物料档案里"))</f>
        <v/>
      </c>
      <c r="I3835" s="24">
        <f>IF($D3835="","",IFERROR(VLOOKUP($D3835,物料档案!$A$4:$P$1203,6,0),"※编码不在物料档案里"))</f>
        <v/>
      </c>
      <c r="J3835" s="23" t="n"/>
      <c r="K3835" s="17" t="n"/>
      <c r="L3835" s="17" t="n"/>
      <c r="M3835" s="17" t="n"/>
      <c r="N3835" s="17" t="n"/>
      <c r="O3835" s="26">
        <f>IF($D3835="","",IFERROR(VLOOKUP($D3835,物料档案!$A$4:$P$1203,10,0),0))</f>
        <v/>
      </c>
      <c r="P3835" s="32" t="n"/>
      <c r="Q3835" s="26">
        <f>IF($D3835="","",IF($K3835&lt;&gt;"对外销售",0,ROUND(N($J3835)*IF($P3835="",N($O3835),N($P3835)),0)))</f>
        <v/>
      </c>
      <c r="R3835" s="26">
        <f>IF($D3835="","",IFERROR(VLOOKUP($D3835,库存台账!$A$5:$Y$1204,11,0),0))</f>
        <v/>
      </c>
      <c r="S3835" s="26">
        <f>IF($D3835="","",ROUND(N($J3835)*N($R3835),0))</f>
        <v/>
      </c>
      <c r="T3835" s="26">
        <f>IF($D3835="","",IF($K3835&lt;&gt;"对外销售","",ROUND($Q3835-$S3835,0)))</f>
        <v/>
      </c>
      <c r="U3835" s="17" t="n"/>
      <c r="V3835" s="17" t="n"/>
      <c r="W3835" s="24">
        <f>IF($D3835="","",IF($E3835="※编码不在物料档案里","※物料编码不在档案里",IF(N($J3835)&lt;=0,"※出库数量要大于 0",IF($K3835="","※没填去向类型",IF($L3835="","※没填去向矿区",IF(AND($C3835&lt;&gt;"",$C3835&lt;=结账锁),"※日期早于已结账截止日，不能再录",IF(AND($K3835="自用消耗",COUNTIF({"一矿区";"二矿区"},$L3835)=0),"※自用消耗的去向只能是一矿区或二矿区",IF(AND($K3835="对外销售",COUNTIF({"三矿区";"六矿区"},$L3835)=0),"※对外销售的去向只能是三矿区或六矿区",IF(AND($K3835="对外销售",ROUND($Q3835,0)=0),"※外销却没有售价，请填实际售价",IF(AND($K3835="对外销售",$T3835&lt;&gt;"",$T3835&lt;0),"※这一笔外销是亏的，请核对售价",IF(IFERROR(VLOOKUP($D3835,库存台账!$A$5:$Y$1204,24,0),0)&lt;-0.001,"※这个物料账面已经变成负数了，查一下是不是漏记入库","")))))))))))</f>
        <v/>
      </c>
    </row>
    <row r="3836">
      <c r="A3836" s="24">
        <f>IF($D3836="","",COUNTA($D$4:$D3836))</f>
        <v/>
      </c>
      <c r="B3836" s="17" t="n"/>
      <c r="C3836" s="30" t="n"/>
      <c r="D3836" s="17" t="n"/>
      <c r="E3836" s="24">
        <f>IF($D3836="","",IFERROR(VLOOKUP($D3836,物料档案!$A$4:$P$1203,3,0),"※编码不在物料档案里"))</f>
        <v/>
      </c>
      <c r="F3836" s="24">
        <f>IF($D3836="","",IFERROR(VLOOKUP($D3836,物料档案!$A$4:$P$1203,4,0),"※编码不在物料档案里"))</f>
        <v/>
      </c>
      <c r="G3836" s="24">
        <f>IF($D3836="","",IFERROR(VLOOKUP($D3836,物料档案!$A$4:$P$1203,5,0),"※编码不在物料档案里"))</f>
        <v/>
      </c>
      <c r="H3836" s="24">
        <f>IF($D3836="","",IFERROR(VLOOKUP($D3836,物料档案!$A$4:$P$1203,2,0),"※编码不在物料档案里"))</f>
        <v/>
      </c>
      <c r="I3836" s="24">
        <f>IF($D3836="","",IFERROR(VLOOKUP($D3836,物料档案!$A$4:$P$1203,6,0),"※编码不在物料档案里"))</f>
        <v/>
      </c>
      <c r="J3836" s="23" t="n"/>
      <c r="K3836" s="17" t="n"/>
      <c r="L3836" s="17" t="n"/>
      <c r="M3836" s="17" t="n"/>
      <c r="N3836" s="17" t="n"/>
      <c r="O3836" s="26">
        <f>IF($D3836="","",IFERROR(VLOOKUP($D3836,物料档案!$A$4:$P$1203,10,0),0))</f>
        <v/>
      </c>
      <c r="P3836" s="32" t="n"/>
      <c r="Q3836" s="26">
        <f>IF($D3836="","",IF($K3836&lt;&gt;"对外销售",0,ROUND(N($J3836)*IF($P3836="",N($O3836),N($P3836)),0)))</f>
        <v/>
      </c>
      <c r="R3836" s="26">
        <f>IF($D3836="","",IFERROR(VLOOKUP($D3836,库存台账!$A$5:$Y$1204,11,0),0))</f>
        <v/>
      </c>
      <c r="S3836" s="26">
        <f>IF($D3836="","",ROUND(N($J3836)*N($R3836),0))</f>
        <v/>
      </c>
      <c r="T3836" s="26">
        <f>IF($D3836="","",IF($K3836&lt;&gt;"对外销售","",ROUND($Q3836-$S3836,0)))</f>
        <v/>
      </c>
      <c r="U3836" s="17" t="n"/>
      <c r="V3836" s="17" t="n"/>
      <c r="W3836" s="24">
        <f>IF($D3836="","",IF($E3836="※编码不在物料档案里","※物料编码不在档案里",IF(N($J3836)&lt;=0,"※出库数量要大于 0",IF($K3836="","※没填去向类型",IF($L3836="","※没填去向矿区",IF(AND($C3836&lt;&gt;"",$C3836&lt;=结账锁),"※日期早于已结账截止日，不能再录",IF(AND($K3836="自用消耗",COUNTIF({"一矿区";"二矿区"},$L3836)=0),"※自用消耗的去向只能是一矿区或二矿区",IF(AND($K3836="对外销售",COUNTIF({"三矿区";"六矿区"},$L3836)=0),"※对外销售的去向只能是三矿区或六矿区",IF(AND($K3836="对外销售",ROUND($Q3836,0)=0),"※外销却没有售价，请填实际售价",IF(AND($K3836="对外销售",$T3836&lt;&gt;"",$T3836&lt;0),"※这一笔外销是亏的，请核对售价",IF(IFERROR(VLOOKUP($D3836,库存台账!$A$5:$Y$1204,24,0),0)&lt;-0.001,"※这个物料账面已经变成负数了，查一下是不是漏记入库","")))))))))))</f>
        <v/>
      </c>
    </row>
    <row r="3837">
      <c r="A3837" s="24">
        <f>IF($D3837="","",COUNTA($D$4:$D3837))</f>
        <v/>
      </c>
      <c r="B3837" s="17" t="n"/>
      <c r="C3837" s="30" t="n"/>
      <c r="D3837" s="17" t="n"/>
      <c r="E3837" s="24">
        <f>IF($D3837="","",IFERROR(VLOOKUP($D3837,物料档案!$A$4:$P$1203,3,0),"※编码不在物料档案里"))</f>
        <v/>
      </c>
      <c r="F3837" s="24">
        <f>IF($D3837="","",IFERROR(VLOOKUP($D3837,物料档案!$A$4:$P$1203,4,0),"※编码不在物料档案里"))</f>
        <v/>
      </c>
      <c r="G3837" s="24">
        <f>IF($D3837="","",IFERROR(VLOOKUP($D3837,物料档案!$A$4:$P$1203,5,0),"※编码不在物料档案里"))</f>
        <v/>
      </c>
      <c r="H3837" s="24">
        <f>IF($D3837="","",IFERROR(VLOOKUP($D3837,物料档案!$A$4:$P$1203,2,0),"※编码不在物料档案里"))</f>
        <v/>
      </c>
      <c r="I3837" s="24">
        <f>IF($D3837="","",IFERROR(VLOOKUP($D3837,物料档案!$A$4:$P$1203,6,0),"※编码不在物料档案里"))</f>
        <v/>
      </c>
      <c r="J3837" s="23" t="n"/>
      <c r="K3837" s="17" t="n"/>
      <c r="L3837" s="17" t="n"/>
      <c r="M3837" s="17" t="n"/>
      <c r="N3837" s="17" t="n"/>
      <c r="O3837" s="26">
        <f>IF($D3837="","",IFERROR(VLOOKUP($D3837,物料档案!$A$4:$P$1203,10,0),0))</f>
        <v/>
      </c>
      <c r="P3837" s="32" t="n"/>
      <c r="Q3837" s="26">
        <f>IF($D3837="","",IF($K3837&lt;&gt;"对外销售",0,ROUND(N($J3837)*IF($P3837="",N($O3837),N($P3837)),0)))</f>
        <v/>
      </c>
      <c r="R3837" s="26">
        <f>IF($D3837="","",IFERROR(VLOOKUP($D3837,库存台账!$A$5:$Y$1204,11,0),0))</f>
        <v/>
      </c>
      <c r="S3837" s="26">
        <f>IF($D3837="","",ROUND(N($J3837)*N($R3837),0))</f>
        <v/>
      </c>
      <c r="T3837" s="26">
        <f>IF($D3837="","",IF($K3837&lt;&gt;"对外销售","",ROUND($Q3837-$S3837,0)))</f>
        <v/>
      </c>
      <c r="U3837" s="17" t="n"/>
      <c r="V3837" s="17" t="n"/>
      <c r="W3837" s="24">
        <f>IF($D3837="","",IF($E3837="※编码不在物料档案里","※物料编码不在档案里",IF(N($J3837)&lt;=0,"※出库数量要大于 0",IF($K3837="","※没填去向类型",IF($L3837="","※没填去向矿区",IF(AND($C3837&lt;&gt;"",$C3837&lt;=结账锁),"※日期早于已结账截止日，不能再录",IF(AND($K3837="自用消耗",COUNTIF({"一矿区";"二矿区"},$L3837)=0),"※自用消耗的去向只能是一矿区或二矿区",IF(AND($K3837="对外销售",COUNTIF({"三矿区";"六矿区"},$L3837)=0),"※对外销售的去向只能是三矿区或六矿区",IF(AND($K3837="对外销售",ROUND($Q3837,0)=0),"※外销却没有售价，请填实际售价",IF(AND($K3837="对外销售",$T3837&lt;&gt;"",$T3837&lt;0),"※这一笔外销是亏的，请核对售价",IF(IFERROR(VLOOKUP($D3837,库存台账!$A$5:$Y$1204,24,0),0)&lt;-0.001,"※这个物料账面已经变成负数了，查一下是不是漏记入库","")))))))))))</f>
        <v/>
      </c>
    </row>
    <row r="3838">
      <c r="A3838" s="24">
        <f>IF($D3838="","",COUNTA($D$4:$D3838))</f>
        <v/>
      </c>
      <c r="B3838" s="17" t="n"/>
      <c r="C3838" s="30" t="n"/>
      <c r="D3838" s="17" t="n"/>
      <c r="E3838" s="24">
        <f>IF($D3838="","",IFERROR(VLOOKUP($D3838,物料档案!$A$4:$P$1203,3,0),"※编码不在物料档案里"))</f>
        <v/>
      </c>
      <c r="F3838" s="24">
        <f>IF($D3838="","",IFERROR(VLOOKUP($D3838,物料档案!$A$4:$P$1203,4,0),"※编码不在物料档案里"))</f>
        <v/>
      </c>
      <c r="G3838" s="24">
        <f>IF($D3838="","",IFERROR(VLOOKUP($D3838,物料档案!$A$4:$P$1203,5,0),"※编码不在物料档案里"))</f>
        <v/>
      </c>
      <c r="H3838" s="24">
        <f>IF($D3838="","",IFERROR(VLOOKUP($D3838,物料档案!$A$4:$P$1203,2,0),"※编码不在物料档案里"))</f>
        <v/>
      </c>
      <c r="I3838" s="24">
        <f>IF($D3838="","",IFERROR(VLOOKUP($D3838,物料档案!$A$4:$P$1203,6,0),"※编码不在物料档案里"))</f>
        <v/>
      </c>
      <c r="J3838" s="23" t="n"/>
      <c r="K3838" s="17" t="n"/>
      <c r="L3838" s="17" t="n"/>
      <c r="M3838" s="17" t="n"/>
      <c r="N3838" s="17" t="n"/>
      <c r="O3838" s="26">
        <f>IF($D3838="","",IFERROR(VLOOKUP($D3838,物料档案!$A$4:$P$1203,10,0),0))</f>
        <v/>
      </c>
      <c r="P3838" s="32" t="n"/>
      <c r="Q3838" s="26">
        <f>IF($D3838="","",IF($K3838&lt;&gt;"对外销售",0,ROUND(N($J3838)*IF($P3838="",N($O3838),N($P3838)),0)))</f>
        <v/>
      </c>
      <c r="R3838" s="26">
        <f>IF($D3838="","",IFERROR(VLOOKUP($D3838,库存台账!$A$5:$Y$1204,11,0),0))</f>
        <v/>
      </c>
      <c r="S3838" s="26">
        <f>IF($D3838="","",ROUND(N($J3838)*N($R3838),0))</f>
        <v/>
      </c>
      <c r="T3838" s="26">
        <f>IF($D3838="","",IF($K3838&lt;&gt;"对外销售","",ROUND($Q3838-$S3838,0)))</f>
        <v/>
      </c>
      <c r="U3838" s="17" t="n"/>
      <c r="V3838" s="17" t="n"/>
      <c r="W3838" s="24">
        <f>IF($D3838="","",IF($E3838="※编码不在物料档案里","※物料编码不在档案里",IF(N($J3838)&lt;=0,"※出库数量要大于 0",IF($K3838="","※没填去向类型",IF($L3838="","※没填去向矿区",IF(AND($C3838&lt;&gt;"",$C3838&lt;=结账锁),"※日期早于已结账截止日，不能再录",IF(AND($K3838="自用消耗",COUNTIF({"一矿区";"二矿区"},$L3838)=0),"※自用消耗的去向只能是一矿区或二矿区",IF(AND($K3838="对外销售",COUNTIF({"三矿区";"六矿区"},$L3838)=0),"※对外销售的去向只能是三矿区或六矿区",IF(AND($K3838="对外销售",ROUND($Q3838,0)=0),"※外销却没有售价，请填实际售价",IF(AND($K3838="对外销售",$T3838&lt;&gt;"",$T3838&lt;0),"※这一笔外销是亏的，请核对售价",IF(IFERROR(VLOOKUP($D3838,库存台账!$A$5:$Y$1204,24,0),0)&lt;-0.001,"※这个物料账面已经变成负数了，查一下是不是漏记入库","")))))))))))</f>
        <v/>
      </c>
    </row>
    <row r="3839">
      <c r="A3839" s="24">
        <f>IF($D3839="","",COUNTA($D$4:$D3839))</f>
        <v/>
      </c>
      <c r="B3839" s="17" t="n"/>
      <c r="C3839" s="30" t="n"/>
      <c r="D3839" s="17" t="n"/>
      <c r="E3839" s="24">
        <f>IF($D3839="","",IFERROR(VLOOKUP($D3839,物料档案!$A$4:$P$1203,3,0),"※编码不在物料档案里"))</f>
        <v/>
      </c>
      <c r="F3839" s="24">
        <f>IF($D3839="","",IFERROR(VLOOKUP($D3839,物料档案!$A$4:$P$1203,4,0),"※编码不在物料档案里"))</f>
        <v/>
      </c>
      <c r="G3839" s="24">
        <f>IF($D3839="","",IFERROR(VLOOKUP($D3839,物料档案!$A$4:$P$1203,5,0),"※编码不在物料档案里"))</f>
        <v/>
      </c>
      <c r="H3839" s="24">
        <f>IF($D3839="","",IFERROR(VLOOKUP($D3839,物料档案!$A$4:$P$1203,2,0),"※编码不在物料档案里"))</f>
        <v/>
      </c>
      <c r="I3839" s="24">
        <f>IF($D3839="","",IFERROR(VLOOKUP($D3839,物料档案!$A$4:$P$1203,6,0),"※编码不在物料档案里"))</f>
        <v/>
      </c>
      <c r="J3839" s="23" t="n"/>
      <c r="K3839" s="17" t="n"/>
      <c r="L3839" s="17" t="n"/>
      <c r="M3839" s="17" t="n"/>
      <c r="N3839" s="17" t="n"/>
      <c r="O3839" s="26">
        <f>IF($D3839="","",IFERROR(VLOOKUP($D3839,物料档案!$A$4:$P$1203,10,0),0))</f>
        <v/>
      </c>
      <c r="P3839" s="32" t="n"/>
      <c r="Q3839" s="26">
        <f>IF($D3839="","",IF($K3839&lt;&gt;"对外销售",0,ROUND(N($J3839)*IF($P3839="",N($O3839),N($P3839)),0)))</f>
        <v/>
      </c>
      <c r="R3839" s="26">
        <f>IF($D3839="","",IFERROR(VLOOKUP($D3839,库存台账!$A$5:$Y$1204,11,0),0))</f>
        <v/>
      </c>
      <c r="S3839" s="26">
        <f>IF($D3839="","",ROUND(N($J3839)*N($R3839),0))</f>
        <v/>
      </c>
      <c r="T3839" s="26">
        <f>IF($D3839="","",IF($K3839&lt;&gt;"对外销售","",ROUND($Q3839-$S3839,0)))</f>
        <v/>
      </c>
      <c r="U3839" s="17" t="n"/>
      <c r="V3839" s="17" t="n"/>
      <c r="W3839" s="24">
        <f>IF($D3839="","",IF($E3839="※编码不在物料档案里","※物料编码不在档案里",IF(N($J3839)&lt;=0,"※出库数量要大于 0",IF($K3839="","※没填去向类型",IF($L3839="","※没填去向矿区",IF(AND($C3839&lt;&gt;"",$C3839&lt;=结账锁),"※日期早于已结账截止日，不能再录",IF(AND($K3839="自用消耗",COUNTIF({"一矿区";"二矿区"},$L3839)=0),"※自用消耗的去向只能是一矿区或二矿区",IF(AND($K3839="对外销售",COUNTIF({"三矿区";"六矿区"},$L3839)=0),"※对外销售的去向只能是三矿区或六矿区",IF(AND($K3839="对外销售",ROUND($Q3839,0)=0),"※外销却没有售价，请填实际售价",IF(AND($K3839="对外销售",$T3839&lt;&gt;"",$T3839&lt;0),"※这一笔外销是亏的，请核对售价",IF(IFERROR(VLOOKUP($D3839,库存台账!$A$5:$Y$1204,24,0),0)&lt;-0.001,"※这个物料账面已经变成负数了，查一下是不是漏记入库","")))))))))))</f>
        <v/>
      </c>
    </row>
    <row r="3840">
      <c r="A3840" s="24">
        <f>IF($D3840="","",COUNTA($D$4:$D3840))</f>
        <v/>
      </c>
      <c r="B3840" s="17" t="n"/>
      <c r="C3840" s="30" t="n"/>
      <c r="D3840" s="17" t="n"/>
      <c r="E3840" s="24">
        <f>IF($D3840="","",IFERROR(VLOOKUP($D3840,物料档案!$A$4:$P$1203,3,0),"※编码不在物料档案里"))</f>
        <v/>
      </c>
      <c r="F3840" s="24">
        <f>IF($D3840="","",IFERROR(VLOOKUP($D3840,物料档案!$A$4:$P$1203,4,0),"※编码不在物料档案里"))</f>
        <v/>
      </c>
      <c r="G3840" s="24">
        <f>IF($D3840="","",IFERROR(VLOOKUP($D3840,物料档案!$A$4:$P$1203,5,0),"※编码不在物料档案里"))</f>
        <v/>
      </c>
      <c r="H3840" s="24">
        <f>IF($D3840="","",IFERROR(VLOOKUP($D3840,物料档案!$A$4:$P$1203,2,0),"※编码不在物料档案里"))</f>
        <v/>
      </c>
      <c r="I3840" s="24">
        <f>IF($D3840="","",IFERROR(VLOOKUP($D3840,物料档案!$A$4:$P$1203,6,0),"※编码不在物料档案里"))</f>
        <v/>
      </c>
      <c r="J3840" s="23" t="n"/>
      <c r="K3840" s="17" t="n"/>
      <c r="L3840" s="17" t="n"/>
      <c r="M3840" s="17" t="n"/>
      <c r="N3840" s="17" t="n"/>
      <c r="O3840" s="26">
        <f>IF($D3840="","",IFERROR(VLOOKUP($D3840,物料档案!$A$4:$P$1203,10,0),0))</f>
        <v/>
      </c>
      <c r="P3840" s="32" t="n"/>
      <c r="Q3840" s="26">
        <f>IF($D3840="","",IF($K3840&lt;&gt;"对外销售",0,ROUND(N($J3840)*IF($P3840="",N($O3840),N($P3840)),0)))</f>
        <v/>
      </c>
      <c r="R3840" s="26">
        <f>IF($D3840="","",IFERROR(VLOOKUP($D3840,库存台账!$A$5:$Y$1204,11,0),0))</f>
        <v/>
      </c>
      <c r="S3840" s="26">
        <f>IF($D3840="","",ROUND(N($J3840)*N($R3840),0))</f>
        <v/>
      </c>
      <c r="T3840" s="26">
        <f>IF($D3840="","",IF($K3840&lt;&gt;"对外销售","",ROUND($Q3840-$S3840,0)))</f>
        <v/>
      </c>
      <c r="U3840" s="17" t="n"/>
      <c r="V3840" s="17" t="n"/>
      <c r="W3840" s="24">
        <f>IF($D3840="","",IF($E3840="※编码不在物料档案里","※物料编码不在档案里",IF(N($J3840)&lt;=0,"※出库数量要大于 0",IF($K3840="","※没填去向类型",IF($L3840="","※没填去向矿区",IF(AND($C3840&lt;&gt;"",$C3840&lt;=结账锁),"※日期早于已结账截止日，不能再录",IF(AND($K3840="自用消耗",COUNTIF({"一矿区";"二矿区"},$L3840)=0),"※自用消耗的去向只能是一矿区或二矿区",IF(AND($K3840="对外销售",COUNTIF({"三矿区";"六矿区"},$L3840)=0),"※对外销售的去向只能是三矿区或六矿区",IF(AND($K3840="对外销售",ROUND($Q3840,0)=0),"※外销却没有售价，请填实际售价",IF(AND($K3840="对外销售",$T3840&lt;&gt;"",$T3840&lt;0),"※这一笔外销是亏的，请核对售价",IF(IFERROR(VLOOKUP($D3840,库存台账!$A$5:$Y$1204,24,0),0)&lt;-0.001,"※这个物料账面已经变成负数了，查一下是不是漏记入库","")))))))))))</f>
        <v/>
      </c>
    </row>
    <row r="3841">
      <c r="A3841" s="24">
        <f>IF($D3841="","",COUNTA($D$4:$D3841))</f>
        <v/>
      </c>
      <c r="B3841" s="17" t="n"/>
      <c r="C3841" s="30" t="n"/>
      <c r="D3841" s="17" t="n"/>
      <c r="E3841" s="24">
        <f>IF($D3841="","",IFERROR(VLOOKUP($D3841,物料档案!$A$4:$P$1203,3,0),"※编码不在物料档案里"))</f>
        <v/>
      </c>
      <c r="F3841" s="24">
        <f>IF($D3841="","",IFERROR(VLOOKUP($D3841,物料档案!$A$4:$P$1203,4,0),"※编码不在物料档案里"))</f>
        <v/>
      </c>
      <c r="G3841" s="24">
        <f>IF($D3841="","",IFERROR(VLOOKUP($D3841,物料档案!$A$4:$P$1203,5,0),"※编码不在物料档案里"))</f>
        <v/>
      </c>
      <c r="H3841" s="24">
        <f>IF($D3841="","",IFERROR(VLOOKUP($D3841,物料档案!$A$4:$P$1203,2,0),"※编码不在物料档案里"))</f>
        <v/>
      </c>
      <c r="I3841" s="24">
        <f>IF($D3841="","",IFERROR(VLOOKUP($D3841,物料档案!$A$4:$P$1203,6,0),"※编码不在物料档案里"))</f>
        <v/>
      </c>
      <c r="J3841" s="23" t="n"/>
      <c r="K3841" s="17" t="n"/>
      <c r="L3841" s="17" t="n"/>
      <c r="M3841" s="17" t="n"/>
      <c r="N3841" s="17" t="n"/>
      <c r="O3841" s="26">
        <f>IF($D3841="","",IFERROR(VLOOKUP($D3841,物料档案!$A$4:$P$1203,10,0),0))</f>
        <v/>
      </c>
      <c r="P3841" s="32" t="n"/>
      <c r="Q3841" s="26">
        <f>IF($D3841="","",IF($K3841&lt;&gt;"对外销售",0,ROUND(N($J3841)*IF($P3841="",N($O3841),N($P3841)),0)))</f>
        <v/>
      </c>
      <c r="R3841" s="26">
        <f>IF($D3841="","",IFERROR(VLOOKUP($D3841,库存台账!$A$5:$Y$1204,11,0),0))</f>
        <v/>
      </c>
      <c r="S3841" s="26">
        <f>IF($D3841="","",ROUND(N($J3841)*N($R3841),0))</f>
        <v/>
      </c>
      <c r="T3841" s="26">
        <f>IF($D3841="","",IF($K3841&lt;&gt;"对外销售","",ROUND($Q3841-$S3841,0)))</f>
        <v/>
      </c>
      <c r="U3841" s="17" t="n"/>
      <c r="V3841" s="17" t="n"/>
      <c r="W3841" s="24">
        <f>IF($D3841="","",IF($E3841="※编码不在物料档案里","※物料编码不在档案里",IF(N($J3841)&lt;=0,"※出库数量要大于 0",IF($K3841="","※没填去向类型",IF($L3841="","※没填去向矿区",IF(AND($C3841&lt;&gt;"",$C3841&lt;=结账锁),"※日期早于已结账截止日，不能再录",IF(AND($K3841="自用消耗",COUNTIF({"一矿区";"二矿区"},$L3841)=0),"※自用消耗的去向只能是一矿区或二矿区",IF(AND($K3841="对外销售",COUNTIF({"三矿区";"六矿区"},$L3841)=0),"※对外销售的去向只能是三矿区或六矿区",IF(AND($K3841="对外销售",ROUND($Q3841,0)=0),"※外销却没有售价，请填实际售价",IF(AND($K3841="对外销售",$T3841&lt;&gt;"",$T3841&lt;0),"※这一笔外销是亏的，请核对售价",IF(IFERROR(VLOOKUP($D3841,库存台账!$A$5:$Y$1204,24,0),0)&lt;-0.001,"※这个物料账面已经变成负数了，查一下是不是漏记入库","")))))))))))</f>
        <v/>
      </c>
    </row>
    <row r="3842">
      <c r="A3842" s="24">
        <f>IF($D3842="","",COUNTA($D$4:$D3842))</f>
        <v/>
      </c>
      <c r="B3842" s="17" t="n"/>
      <c r="C3842" s="30" t="n"/>
      <c r="D3842" s="17" t="n"/>
      <c r="E3842" s="24">
        <f>IF($D3842="","",IFERROR(VLOOKUP($D3842,物料档案!$A$4:$P$1203,3,0),"※编码不在物料档案里"))</f>
        <v/>
      </c>
      <c r="F3842" s="24">
        <f>IF($D3842="","",IFERROR(VLOOKUP($D3842,物料档案!$A$4:$P$1203,4,0),"※编码不在物料档案里"))</f>
        <v/>
      </c>
      <c r="G3842" s="24">
        <f>IF($D3842="","",IFERROR(VLOOKUP($D3842,物料档案!$A$4:$P$1203,5,0),"※编码不在物料档案里"))</f>
        <v/>
      </c>
      <c r="H3842" s="24">
        <f>IF($D3842="","",IFERROR(VLOOKUP($D3842,物料档案!$A$4:$P$1203,2,0),"※编码不在物料档案里"))</f>
        <v/>
      </c>
      <c r="I3842" s="24">
        <f>IF($D3842="","",IFERROR(VLOOKUP($D3842,物料档案!$A$4:$P$1203,6,0),"※编码不在物料档案里"))</f>
        <v/>
      </c>
      <c r="J3842" s="23" t="n"/>
      <c r="K3842" s="17" t="n"/>
      <c r="L3842" s="17" t="n"/>
      <c r="M3842" s="17" t="n"/>
      <c r="N3842" s="17" t="n"/>
      <c r="O3842" s="26">
        <f>IF($D3842="","",IFERROR(VLOOKUP($D3842,物料档案!$A$4:$P$1203,10,0),0))</f>
        <v/>
      </c>
      <c r="P3842" s="32" t="n"/>
      <c r="Q3842" s="26">
        <f>IF($D3842="","",IF($K3842&lt;&gt;"对外销售",0,ROUND(N($J3842)*IF($P3842="",N($O3842),N($P3842)),0)))</f>
        <v/>
      </c>
      <c r="R3842" s="26">
        <f>IF($D3842="","",IFERROR(VLOOKUP($D3842,库存台账!$A$5:$Y$1204,11,0),0))</f>
        <v/>
      </c>
      <c r="S3842" s="26">
        <f>IF($D3842="","",ROUND(N($J3842)*N($R3842),0))</f>
        <v/>
      </c>
      <c r="T3842" s="26">
        <f>IF($D3842="","",IF($K3842&lt;&gt;"对外销售","",ROUND($Q3842-$S3842,0)))</f>
        <v/>
      </c>
      <c r="U3842" s="17" t="n"/>
      <c r="V3842" s="17" t="n"/>
      <c r="W3842" s="24">
        <f>IF($D3842="","",IF($E3842="※编码不在物料档案里","※物料编码不在档案里",IF(N($J3842)&lt;=0,"※出库数量要大于 0",IF($K3842="","※没填去向类型",IF($L3842="","※没填去向矿区",IF(AND($C3842&lt;&gt;"",$C3842&lt;=结账锁),"※日期早于已结账截止日，不能再录",IF(AND($K3842="自用消耗",COUNTIF({"一矿区";"二矿区"},$L3842)=0),"※自用消耗的去向只能是一矿区或二矿区",IF(AND($K3842="对外销售",COUNTIF({"三矿区";"六矿区"},$L3842)=0),"※对外销售的去向只能是三矿区或六矿区",IF(AND($K3842="对外销售",ROUND($Q3842,0)=0),"※外销却没有售价，请填实际售价",IF(AND($K3842="对外销售",$T3842&lt;&gt;"",$T3842&lt;0),"※这一笔外销是亏的，请核对售价",IF(IFERROR(VLOOKUP($D3842,库存台账!$A$5:$Y$1204,24,0),0)&lt;-0.001,"※这个物料账面已经变成负数了，查一下是不是漏记入库","")))))))))))</f>
        <v/>
      </c>
    </row>
    <row r="3843">
      <c r="A3843" s="24">
        <f>IF($D3843="","",COUNTA($D$4:$D3843))</f>
        <v/>
      </c>
      <c r="B3843" s="17" t="n"/>
      <c r="C3843" s="30" t="n"/>
      <c r="D3843" s="17" t="n"/>
      <c r="E3843" s="24">
        <f>IF($D3843="","",IFERROR(VLOOKUP($D3843,物料档案!$A$4:$P$1203,3,0),"※编码不在物料档案里"))</f>
        <v/>
      </c>
      <c r="F3843" s="24">
        <f>IF($D3843="","",IFERROR(VLOOKUP($D3843,物料档案!$A$4:$P$1203,4,0),"※编码不在物料档案里"))</f>
        <v/>
      </c>
      <c r="G3843" s="24">
        <f>IF($D3843="","",IFERROR(VLOOKUP($D3843,物料档案!$A$4:$P$1203,5,0),"※编码不在物料档案里"))</f>
        <v/>
      </c>
      <c r="H3843" s="24">
        <f>IF($D3843="","",IFERROR(VLOOKUP($D3843,物料档案!$A$4:$P$1203,2,0),"※编码不在物料档案里"))</f>
        <v/>
      </c>
      <c r="I3843" s="24">
        <f>IF($D3843="","",IFERROR(VLOOKUP($D3843,物料档案!$A$4:$P$1203,6,0),"※编码不在物料档案里"))</f>
        <v/>
      </c>
      <c r="J3843" s="23" t="n"/>
      <c r="K3843" s="17" t="n"/>
      <c r="L3843" s="17" t="n"/>
      <c r="M3843" s="17" t="n"/>
      <c r="N3843" s="17" t="n"/>
      <c r="O3843" s="26">
        <f>IF($D3843="","",IFERROR(VLOOKUP($D3843,物料档案!$A$4:$P$1203,10,0),0))</f>
        <v/>
      </c>
      <c r="P3843" s="32" t="n"/>
      <c r="Q3843" s="26">
        <f>IF($D3843="","",IF($K3843&lt;&gt;"对外销售",0,ROUND(N($J3843)*IF($P3843="",N($O3843),N($P3843)),0)))</f>
        <v/>
      </c>
      <c r="R3843" s="26">
        <f>IF($D3843="","",IFERROR(VLOOKUP($D3843,库存台账!$A$5:$Y$1204,11,0),0))</f>
        <v/>
      </c>
      <c r="S3843" s="26">
        <f>IF($D3843="","",ROUND(N($J3843)*N($R3843),0))</f>
        <v/>
      </c>
      <c r="T3843" s="26">
        <f>IF($D3843="","",IF($K3843&lt;&gt;"对外销售","",ROUND($Q3843-$S3843,0)))</f>
        <v/>
      </c>
      <c r="U3843" s="17" t="n"/>
      <c r="V3843" s="17" t="n"/>
      <c r="W3843" s="24">
        <f>IF($D3843="","",IF($E3843="※编码不在物料档案里","※物料编码不在档案里",IF(N($J3843)&lt;=0,"※出库数量要大于 0",IF($K3843="","※没填去向类型",IF($L3843="","※没填去向矿区",IF(AND($C3843&lt;&gt;"",$C3843&lt;=结账锁),"※日期早于已结账截止日，不能再录",IF(AND($K3843="自用消耗",COUNTIF({"一矿区";"二矿区"},$L3843)=0),"※自用消耗的去向只能是一矿区或二矿区",IF(AND($K3843="对外销售",COUNTIF({"三矿区";"六矿区"},$L3843)=0),"※对外销售的去向只能是三矿区或六矿区",IF(AND($K3843="对外销售",ROUND($Q3843,0)=0),"※外销却没有售价，请填实际售价",IF(AND($K3843="对外销售",$T3843&lt;&gt;"",$T3843&lt;0),"※这一笔外销是亏的，请核对售价",IF(IFERROR(VLOOKUP($D3843,库存台账!$A$5:$Y$1204,24,0),0)&lt;-0.001,"※这个物料账面已经变成负数了，查一下是不是漏记入库","")))))))))))</f>
        <v/>
      </c>
    </row>
    <row r="3844">
      <c r="A3844" s="24">
        <f>IF($D3844="","",COUNTA($D$4:$D3844))</f>
        <v/>
      </c>
      <c r="B3844" s="17" t="n"/>
      <c r="C3844" s="30" t="n"/>
      <c r="D3844" s="17" t="n"/>
      <c r="E3844" s="24">
        <f>IF($D3844="","",IFERROR(VLOOKUP($D3844,物料档案!$A$4:$P$1203,3,0),"※编码不在物料档案里"))</f>
        <v/>
      </c>
      <c r="F3844" s="24">
        <f>IF($D3844="","",IFERROR(VLOOKUP($D3844,物料档案!$A$4:$P$1203,4,0),"※编码不在物料档案里"))</f>
        <v/>
      </c>
      <c r="G3844" s="24">
        <f>IF($D3844="","",IFERROR(VLOOKUP($D3844,物料档案!$A$4:$P$1203,5,0),"※编码不在物料档案里"))</f>
        <v/>
      </c>
      <c r="H3844" s="24">
        <f>IF($D3844="","",IFERROR(VLOOKUP($D3844,物料档案!$A$4:$P$1203,2,0),"※编码不在物料档案里"))</f>
        <v/>
      </c>
      <c r="I3844" s="24">
        <f>IF($D3844="","",IFERROR(VLOOKUP($D3844,物料档案!$A$4:$P$1203,6,0),"※编码不在物料档案里"))</f>
        <v/>
      </c>
      <c r="J3844" s="23" t="n"/>
      <c r="K3844" s="17" t="n"/>
      <c r="L3844" s="17" t="n"/>
      <c r="M3844" s="17" t="n"/>
      <c r="N3844" s="17" t="n"/>
      <c r="O3844" s="26">
        <f>IF($D3844="","",IFERROR(VLOOKUP($D3844,物料档案!$A$4:$P$1203,10,0),0))</f>
        <v/>
      </c>
      <c r="P3844" s="32" t="n"/>
      <c r="Q3844" s="26">
        <f>IF($D3844="","",IF($K3844&lt;&gt;"对外销售",0,ROUND(N($J3844)*IF($P3844="",N($O3844),N($P3844)),0)))</f>
        <v/>
      </c>
      <c r="R3844" s="26">
        <f>IF($D3844="","",IFERROR(VLOOKUP($D3844,库存台账!$A$5:$Y$1204,11,0),0))</f>
        <v/>
      </c>
      <c r="S3844" s="26">
        <f>IF($D3844="","",ROUND(N($J3844)*N($R3844),0))</f>
        <v/>
      </c>
      <c r="T3844" s="26">
        <f>IF($D3844="","",IF($K3844&lt;&gt;"对外销售","",ROUND($Q3844-$S3844,0)))</f>
        <v/>
      </c>
      <c r="U3844" s="17" t="n"/>
      <c r="V3844" s="17" t="n"/>
      <c r="W3844" s="24">
        <f>IF($D3844="","",IF($E3844="※编码不在物料档案里","※物料编码不在档案里",IF(N($J3844)&lt;=0,"※出库数量要大于 0",IF($K3844="","※没填去向类型",IF($L3844="","※没填去向矿区",IF(AND($C3844&lt;&gt;"",$C3844&lt;=结账锁),"※日期早于已结账截止日，不能再录",IF(AND($K3844="自用消耗",COUNTIF({"一矿区";"二矿区"},$L3844)=0),"※自用消耗的去向只能是一矿区或二矿区",IF(AND($K3844="对外销售",COUNTIF({"三矿区";"六矿区"},$L3844)=0),"※对外销售的去向只能是三矿区或六矿区",IF(AND($K3844="对外销售",ROUND($Q3844,0)=0),"※外销却没有售价，请填实际售价",IF(AND($K3844="对外销售",$T3844&lt;&gt;"",$T3844&lt;0),"※这一笔外销是亏的，请核对售价",IF(IFERROR(VLOOKUP($D3844,库存台账!$A$5:$Y$1204,24,0),0)&lt;-0.001,"※这个物料账面已经变成负数了，查一下是不是漏记入库","")))))))))))</f>
        <v/>
      </c>
    </row>
    <row r="3845">
      <c r="A3845" s="24">
        <f>IF($D3845="","",COUNTA($D$4:$D3845))</f>
        <v/>
      </c>
      <c r="B3845" s="17" t="n"/>
      <c r="C3845" s="30" t="n"/>
      <c r="D3845" s="17" t="n"/>
      <c r="E3845" s="24">
        <f>IF($D3845="","",IFERROR(VLOOKUP($D3845,物料档案!$A$4:$P$1203,3,0),"※编码不在物料档案里"))</f>
        <v/>
      </c>
      <c r="F3845" s="24">
        <f>IF($D3845="","",IFERROR(VLOOKUP($D3845,物料档案!$A$4:$P$1203,4,0),"※编码不在物料档案里"))</f>
        <v/>
      </c>
      <c r="G3845" s="24">
        <f>IF($D3845="","",IFERROR(VLOOKUP($D3845,物料档案!$A$4:$P$1203,5,0),"※编码不在物料档案里"))</f>
        <v/>
      </c>
      <c r="H3845" s="24">
        <f>IF($D3845="","",IFERROR(VLOOKUP($D3845,物料档案!$A$4:$P$1203,2,0),"※编码不在物料档案里"))</f>
        <v/>
      </c>
      <c r="I3845" s="24">
        <f>IF($D3845="","",IFERROR(VLOOKUP($D3845,物料档案!$A$4:$P$1203,6,0),"※编码不在物料档案里"))</f>
        <v/>
      </c>
      <c r="J3845" s="23" t="n"/>
      <c r="K3845" s="17" t="n"/>
      <c r="L3845" s="17" t="n"/>
      <c r="M3845" s="17" t="n"/>
      <c r="N3845" s="17" t="n"/>
      <c r="O3845" s="26">
        <f>IF($D3845="","",IFERROR(VLOOKUP($D3845,物料档案!$A$4:$P$1203,10,0),0))</f>
        <v/>
      </c>
      <c r="P3845" s="32" t="n"/>
      <c r="Q3845" s="26">
        <f>IF($D3845="","",IF($K3845&lt;&gt;"对外销售",0,ROUND(N($J3845)*IF($P3845="",N($O3845),N($P3845)),0)))</f>
        <v/>
      </c>
      <c r="R3845" s="26">
        <f>IF($D3845="","",IFERROR(VLOOKUP($D3845,库存台账!$A$5:$Y$1204,11,0),0))</f>
        <v/>
      </c>
      <c r="S3845" s="26">
        <f>IF($D3845="","",ROUND(N($J3845)*N($R3845),0))</f>
        <v/>
      </c>
      <c r="T3845" s="26">
        <f>IF($D3845="","",IF($K3845&lt;&gt;"对外销售","",ROUND($Q3845-$S3845,0)))</f>
        <v/>
      </c>
      <c r="U3845" s="17" t="n"/>
      <c r="V3845" s="17" t="n"/>
      <c r="W3845" s="24">
        <f>IF($D3845="","",IF($E3845="※编码不在物料档案里","※物料编码不在档案里",IF(N($J3845)&lt;=0,"※出库数量要大于 0",IF($K3845="","※没填去向类型",IF($L3845="","※没填去向矿区",IF(AND($C3845&lt;&gt;"",$C3845&lt;=结账锁),"※日期早于已结账截止日，不能再录",IF(AND($K3845="自用消耗",COUNTIF({"一矿区";"二矿区"},$L3845)=0),"※自用消耗的去向只能是一矿区或二矿区",IF(AND($K3845="对外销售",COUNTIF({"三矿区";"六矿区"},$L3845)=0),"※对外销售的去向只能是三矿区或六矿区",IF(AND($K3845="对外销售",ROUND($Q3845,0)=0),"※外销却没有售价，请填实际售价",IF(AND($K3845="对外销售",$T3845&lt;&gt;"",$T3845&lt;0),"※这一笔外销是亏的，请核对售价",IF(IFERROR(VLOOKUP($D3845,库存台账!$A$5:$Y$1204,24,0),0)&lt;-0.001,"※这个物料账面已经变成负数了，查一下是不是漏记入库","")))))))))))</f>
        <v/>
      </c>
    </row>
    <row r="3846">
      <c r="A3846" s="24">
        <f>IF($D3846="","",COUNTA($D$4:$D3846))</f>
        <v/>
      </c>
      <c r="B3846" s="17" t="n"/>
      <c r="C3846" s="30" t="n"/>
      <c r="D3846" s="17" t="n"/>
      <c r="E3846" s="24">
        <f>IF($D3846="","",IFERROR(VLOOKUP($D3846,物料档案!$A$4:$P$1203,3,0),"※编码不在物料档案里"))</f>
        <v/>
      </c>
      <c r="F3846" s="24">
        <f>IF($D3846="","",IFERROR(VLOOKUP($D3846,物料档案!$A$4:$P$1203,4,0),"※编码不在物料档案里"))</f>
        <v/>
      </c>
      <c r="G3846" s="24">
        <f>IF($D3846="","",IFERROR(VLOOKUP($D3846,物料档案!$A$4:$P$1203,5,0),"※编码不在物料档案里"))</f>
        <v/>
      </c>
      <c r="H3846" s="24">
        <f>IF($D3846="","",IFERROR(VLOOKUP($D3846,物料档案!$A$4:$P$1203,2,0),"※编码不在物料档案里"))</f>
        <v/>
      </c>
      <c r="I3846" s="24">
        <f>IF($D3846="","",IFERROR(VLOOKUP($D3846,物料档案!$A$4:$P$1203,6,0),"※编码不在物料档案里"))</f>
        <v/>
      </c>
      <c r="J3846" s="23" t="n"/>
      <c r="K3846" s="17" t="n"/>
      <c r="L3846" s="17" t="n"/>
      <c r="M3846" s="17" t="n"/>
      <c r="N3846" s="17" t="n"/>
      <c r="O3846" s="26">
        <f>IF($D3846="","",IFERROR(VLOOKUP($D3846,物料档案!$A$4:$P$1203,10,0),0))</f>
        <v/>
      </c>
      <c r="P3846" s="32" t="n"/>
      <c r="Q3846" s="26">
        <f>IF($D3846="","",IF($K3846&lt;&gt;"对外销售",0,ROUND(N($J3846)*IF($P3846="",N($O3846),N($P3846)),0)))</f>
        <v/>
      </c>
      <c r="R3846" s="26">
        <f>IF($D3846="","",IFERROR(VLOOKUP($D3846,库存台账!$A$5:$Y$1204,11,0),0))</f>
        <v/>
      </c>
      <c r="S3846" s="26">
        <f>IF($D3846="","",ROUND(N($J3846)*N($R3846),0))</f>
        <v/>
      </c>
      <c r="T3846" s="26">
        <f>IF($D3846="","",IF($K3846&lt;&gt;"对外销售","",ROUND($Q3846-$S3846,0)))</f>
        <v/>
      </c>
      <c r="U3846" s="17" t="n"/>
      <c r="V3846" s="17" t="n"/>
      <c r="W3846" s="24">
        <f>IF($D3846="","",IF($E3846="※编码不在物料档案里","※物料编码不在档案里",IF(N($J3846)&lt;=0,"※出库数量要大于 0",IF($K3846="","※没填去向类型",IF($L3846="","※没填去向矿区",IF(AND($C3846&lt;&gt;"",$C3846&lt;=结账锁),"※日期早于已结账截止日，不能再录",IF(AND($K3846="自用消耗",COUNTIF({"一矿区";"二矿区"},$L3846)=0),"※自用消耗的去向只能是一矿区或二矿区",IF(AND($K3846="对外销售",COUNTIF({"三矿区";"六矿区"},$L3846)=0),"※对外销售的去向只能是三矿区或六矿区",IF(AND($K3846="对外销售",ROUND($Q3846,0)=0),"※外销却没有售价，请填实际售价",IF(AND($K3846="对外销售",$T3846&lt;&gt;"",$T3846&lt;0),"※这一笔外销是亏的，请核对售价",IF(IFERROR(VLOOKUP($D3846,库存台账!$A$5:$Y$1204,24,0),0)&lt;-0.001,"※这个物料账面已经变成负数了，查一下是不是漏记入库","")))))))))))</f>
        <v/>
      </c>
    </row>
    <row r="3847">
      <c r="A3847" s="24">
        <f>IF($D3847="","",COUNTA($D$4:$D3847))</f>
        <v/>
      </c>
      <c r="B3847" s="17" t="n"/>
      <c r="C3847" s="30" t="n"/>
      <c r="D3847" s="17" t="n"/>
      <c r="E3847" s="24">
        <f>IF($D3847="","",IFERROR(VLOOKUP($D3847,物料档案!$A$4:$P$1203,3,0),"※编码不在物料档案里"))</f>
        <v/>
      </c>
      <c r="F3847" s="24">
        <f>IF($D3847="","",IFERROR(VLOOKUP($D3847,物料档案!$A$4:$P$1203,4,0),"※编码不在物料档案里"))</f>
        <v/>
      </c>
      <c r="G3847" s="24">
        <f>IF($D3847="","",IFERROR(VLOOKUP($D3847,物料档案!$A$4:$P$1203,5,0),"※编码不在物料档案里"))</f>
        <v/>
      </c>
      <c r="H3847" s="24">
        <f>IF($D3847="","",IFERROR(VLOOKUP($D3847,物料档案!$A$4:$P$1203,2,0),"※编码不在物料档案里"))</f>
        <v/>
      </c>
      <c r="I3847" s="24">
        <f>IF($D3847="","",IFERROR(VLOOKUP($D3847,物料档案!$A$4:$P$1203,6,0),"※编码不在物料档案里"))</f>
        <v/>
      </c>
      <c r="J3847" s="23" t="n"/>
      <c r="K3847" s="17" t="n"/>
      <c r="L3847" s="17" t="n"/>
      <c r="M3847" s="17" t="n"/>
      <c r="N3847" s="17" t="n"/>
      <c r="O3847" s="26">
        <f>IF($D3847="","",IFERROR(VLOOKUP($D3847,物料档案!$A$4:$P$1203,10,0),0))</f>
        <v/>
      </c>
      <c r="P3847" s="32" t="n"/>
      <c r="Q3847" s="26">
        <f>IF($D3847="","",IF($K3847&lt;&gt;"对外销售",0,ROUND(N($J3847)*IF($P3847="",N($O3847),N($P3847)),0)))</f>
        <v/>
      </c>
      <c r="R3847" s="26">
        <f>IF($D3847="","",IFERROR(VLOOKUP($D3847,库存台账!$A$5:$Y$1204,11,0),0))</f>
        <v/>
      </c>
      <c r="S3847" s="26">
        <f>IF($D3847="","",ROUND(N($J3847)*N($R3847),0))</f>
        <v/>
      </c>
      <c r="T3847" s="26">
        <f>IF($D3847="","",IF($K3847&lt;&gt;"对外销售","",ROUND($Q3847-$S3847,0)))</f>
        <v/>
      </c>
      <c r="U3847" s="17" t="n"/>
      <c r="V3847" s="17" t="n"/>
      <c r="W3847" s="24">
        <f>IF($D3847="","",IF($E3847="※编码不在物料档案里","※物料编码不在档案里",IF(N($J3847)&lt;=0,"※出库数量要大于 0",IF($K3847="","※没填去向类型",IF($L3847="","※没填去向矿区",IF(AND($C3847&lt;&gt;"",$C3847&lt;=结账锁),"※日期早于已结账截止日，不能再录",IF(AND($K3847="自用消耗",COUNTIF({"一矿区";"二矿区"},$L3847)=0),"※自用消耗的去向只能是一矿区或二矿区",IF(AND($K3847="对外销售",COUNTIF({"三矿区";"六矿区"},$L3847)=0),"※对外销售的去向只能是三矿区或六矿区",IF(AND($K3847="对外销售",ROUND($Q3847,0)=0),"※外销却没有售价，请填实际售价",IF(AND($K3847="对外销售",$T3847&lt;&gt;"",$T3847&lt;0),"※这一笔外销是亏的，请核对售价",IF(IFERROR(VLOOKUP($D3847,库存台账!$A$5:$Y$1204,24,0),0)&lt;-0.001,"※这个物料账面已经变成负数了，查一下是不是漏记入库","")))))))))))</f>
        <v/>
      </c>
    </row>
    <row r="3848">
      <c r="A3848" s="24">
        <f>IF($D3848="","",COUNTA($D$4:$D3848))</f>
        <v/>
      </c>
      <c r="B3848" s="17" t="n"/>
      <c r="C3848" s="30" t="n"/>
      <c r="D3848" s="17" t="n"/>
      <c r="E3848" s="24">
        <f>IF($D3848="","",IFERROR(VLOOKUP($D3848,物料档案!$A$4:$P$1203,3,0),"※编码不在物料档案里"))</f>
        <v/>
      </c>
      <c r="F3848" s="24">
        <f>IF($D3848="","",IFERROR(VLOOKUP($D3848,物料档案!$A$4:$P$1203,4,0),"※编码不在物料档案里"))</f>
        <v/>
      </c>
      <c r="G3848" s="24">
        <f>IF($D3848="","",IFERROR(VLOOKUP($D3848,物料档案!$A$4:$P$1203,5,0),"※编码不在物料档案里"))</f>
        <v/>
      </c>
      <c r="H3848" s="24">
        <f>IF($D3848="","",IFERROR(VLOOKUP($D3848,物料档案!$A$4:$P$1203,2,0),"※编码不在物料档案里"))</f>
        <v/>
      </c>
      <c r="I3848" s="24">
        <f>IF($D3848="","",IFERROR(VLOOKUP($D3848,物料档案!$A$4:$P$1203,6,0),"※编码不在物料档案里"))</f>
        <v/>
      </c>
      <c r="J3848" s="23" t="n"/>
      <c r="K3848" s="17" t="n"/>
      <c r="L3848" s="17" t="n"/>
      <c r="M3848" s="17" t="n"/>
      <c r="N3848" s="17" t="n"/>
      <c r="O3848" s="26">
        <f>IF($D3848="","",IFERROR(VLOOKUP($D3848,物料档案!$A$4:$P$1203,10,0),0))</f>
        <v/>
      </c>
      <c r="P3848" s="32" t="n"/>
      <c r="Q3848" s="26">
        <f>IF($D3848="","",IF($K3848&lt;&gt;"对外销售",0,ROUND(N($J3848)*IF($P3848="",N($O3848),N($P3848)),0)))</f>
        <v/>
      </c>
      <c r="R3848" s="26">
        <f>IF($D3848="","",IFERROR(VLOOKUP($D3848,库存台账!$A$5:$Y$1204,11,0),0))</f>
        <v/>
      </c>
      <c r="S3848" s="26">
        <f>IF($D3848="","",ROUND(N($J3848)*N($R3848),0))</f>
        <v/>
      </c>
      <c r="T3848" s="26">
        <f>IF($D3848="","",IF($K3848&lt;&gt;"对外销售","",ROUND($Q3848-$S3848,0)))</f>
        <v/>
      </c>
      <c r="U3848" s="17" t="n"/>
      <c r="V3848" s="17" t="n"/>
      <c r="W3848" s="24">
        <f>IF($D3848="","",IF($E3848="※编码不在物料档案里","※物料编码不在档案里",IF(N($J3848)&lt;=0,"※出库数量要大于 0",IF($K3848="","※没填去向类型",IF($L3848="","※没填去向矿区",IF(AND($C3848&lt;&gt;"",$C3848&lt;=结账锁),"※日期早于已结账截止日，不能再录",IF(AND($K3848="自用消耗",COUNTIF({"一矿区";"二矿区"},$L3848)=0),"※自用消耗的去向只能是一矿区或二矿区",IF(AND($K3848="对外销售",COUNTIF({"三矿区";"六矿区"},$L3848)=0),"※对外销售的去向只能是三矿区或六矿区",IF(AND($K3848="对外销售",ROUND($Q3848,0)=0),"※外销却没有售价，请填实际售价",IF(AND($K3848="对外销售",$T3848&lt;&gt;"",$T3848&lt;0),"※这一笔外销是亏的，请核对售价",IF(IFERROR(VLOOKUP($D3848,库存台账!$A$5:$Y$1204,24,0),0)&lt;-0.001,"※这个物料账面已经变成负数了，查一下是不是漏记入库","")))))))))))</f>
        <v/>
      </c>
    </row>
    <row r="3849">
      <c r="A3849" s="24">
        <f>IF($D3849="","",COUNTA($D$4:$D3849))</f>
        <v/>
      </c>
      <c r="B3849" s="17" t="n"/>
      <c r="C3849" s="30" t="n"/>
      <c r="D3849" s="17" t="n"/>
      <c r="E3849" s="24">
        <f>IF($D3849="","",IFERROR(VLOOKUP($D3849,物料档案!$A$4:$P$1203,3,0),"※编码不在物料档案里"))</f>
        <v/>
      </c>
      <c r="F3849" s="24">
        <f>IF($D3849="","",IFERROR(VLOOKUP($D3849,物料档案!$A$4:$P$1203,4,0),"※编码不在物料档案里"))</f>
        <v/>
      </c>
      <c r="G3849" s="24">
        <f>IF($D3849="","",IFERROR(VLOOKUP($D3849,物料档案!$A$4:$P$1203,5,0),"※编码不在物料档案里"))</f>
        <v/>
      </c>
      <c r="H3849" s="24">
        <f>IF($D3849="","",IFERROR(VLOOKUP($D3849,物料档案!$A$4:$P$1203,2,0),"※编码不在物料档案里"))</f>
        <v/>
      </c>
      <c r="I3849" s="24">
        <f>IF($D3849="","",IFERROR(VLOOKUP($D3849,物料档案!$A$4:$P$1203,6,0),"※编码不在物料档案里"))</f>
        <v/>
      </c>
      <c r="J3849" s="23" t="n"/>
      <c r="K3849" s="17" t="n"/>
      <c r="L3849" s="17" t="n"/>
      <c r="M3849" s="17" t="n"/>
      <c r="N3849" s="17" t="n"/>
      <c r="O3849" s="26">
        <f>IF($D3849="","",IFERROR(VLOOKUP($D3849,物料档案!$A$4:$P$1203,10,0),0))</f>
        <v/>
      </c>
      <c r="P3849" s="32" t="n"/>
      <c r="Q3849" s="26">
        <f>IF($D3849="","",IF($K3849&lt;&gt;"对外销售",0,ROUND(N($J3849)*IF($P3849="",N($O3849),N($P3849)),0)))</f>
        <v/>
      </c>
      <c r="R3849" s="26">
        <f>IF($D3849="","",IFERROR(VLOOKUP($D3849,库存台账!$A$5:$Y$1204,11,0),0))</f>
        <v/>
      </c>
      <c r="S3849" s="26">
        <f>IF($D3849="","",ROUND(N($J3849)*N($R3849),0))</f>
        <v/>
      </c>
      <c r="T3849" s="26">
        <f>IF($D3849="","",IF($K3849&lt;&gt;"对外销售","",ROUND($Q3849-$S3849,0)))</f>
        <v/>
      </c>
      <c r="U3849" s="17" t="n"/>
      <c r="V3849" s="17" t="n"/>
      <c r="W3849" s="24">
        <f>IF($D3849="","",IF($E3849="※编码不在物料档案里","※物料编码不在档案里",IF(N($J3849)&lt;=0,"※出库数量要大于 0",IF($K3849="","※没填去向类型",IF($L3849="","※没填去向矿区",IF(AND($C3849&lt;&gt;"",$C3849&lt;=结账锁),"※日期早于已结账截止日，不能再录",IF(AND($K3849="自用消耗",COUNTIF({"一矿区";"二矿区"},$L3849)=0),"※自用消耗的去向只能是一矿区或二矿区",IF(AND($K3849="对外销售",COUNTIF({"三矿区";"六矿区"},$L3849)=0),"※对外销售的去向只能是三矿区或六矿区",IF(AND($K3849="对外销售",ROUND($Q3849,0)=0),"※外销却没有售价，请填实际售价",IF(AND($K3849="对外销售",$T3849&lt;&gt;"",$T3849&lt;0),"※这一笔外销是亏的，请核对售价",IF(IFERROR(VLOOKUP($D3849,库存台账!$A$5:$Y$1204,24,0),0)&lt;-0.001,"※这个物料账面已经变成负数了，查一下是不是漏记入库","")))))))))))</f>
        <v/>
      </c>
    </row>
    <row r="3850">
      <c r="A3850" s="24">
        <f>IF($D3850="","",COUNTA($D$4:$D3850))</f>
        <v/>
      </c>
      <c r="B3850" s="17" t="n"/>
      <c r="C3850" s="30" t="n"/>
      <c r="D3850" s="17" t="n"/>
      <c r="E3850" s="24">
        <f>IF($D3850="","",IFERROR(VLOOKUP($D3850,物料档案!$A$4:$P$1203,3,0),"※编码不在物料档案里"))</f>
        <v/>
      </c>
      <c r="F3850" s="24">
        <f>IF($D3850="","",IFERROR(VLOOKUP($D3850,物料档案!$A$4:$P$1203,4,0),"※编码不在物料档案里"))</f>
        <v/>
      </c>
      <c r="G3850" s="24">
        <f>IF($D3850="","",IFERROR(VLOOKUP($D3850,物料档案!$A$4:$P$1203,5,0),"※编码不在物料档案里"))</f>
        <v/>
      </c>
      <c r="H3850" s="24">
        <f>IF($D3850="","",IFERROR(VLOOKUP($D3850,物料档案!$A$4:$P$1203,2,0),"※编码不在物料档案里"))</f>
        <v/>
      </c>
      <c r="I3850" s="24">
        <f>IF($D3850="","",IFERROR(VLOOKUP($D3850,物料档案!$A$4:$P$1203,6,0),"※编码不在物料档案里"))</f>
        <v/>
      </c>
      <c r="J3850" s="23" t="n"/>
      <c r="K3850" s="17" t="n"/>
      <c r="L3850" s="17" t="n"/>
      <c r="M3850" s="17" t="n"/>
      <c r="N3850" s="17" t="n"/>
      <c r="O3850" s="26">
        <f>IF($D3850="","",IFERROR(VLOOKUP($D3850,物料档案!$A$4:$P$1203,10,0),0))</f>
        <v/>
      </c>
      <c r="P3850" s="32" t="n"/>
      <c r="Q3850" s="26">
        <f>IF($D3850="","",IF($K3850&lt;&gt;"对外销售",0,ROUND(N($J3850)*IF($P3850="",N($O3850),N($P3850)),0)))</f>
        <v/>
      </c>
      <c r="R3850" s="26">
        <f>IF($D3850="","",IFERROR(VLOOKUP($D3850,库存台账!$A$5:$Y$1204,11,0),0))</f>
        <v/>
      </c>
      <c r="S3850" s="26">
        <f>IF($D3850="","",ROUND(N($J3850)*N($R3850),0))</f>
        <v/>
      </c>
      <c r="T3850" s="26">
        <f>IF($D3850="","",IF($K3850&lt;&gt;"对外销售","",ROUND($Q3850-$S3850,0)))</f>
        <v/>
      </c>
      <c r="U3850" s="17" t="n"/>
      <c r="V3850" s="17" t="n"/>
      <c r="W3850" s="24">
        <f>IF($D3850="","",IF($E3850="※编码不在物料档案里","※物料编码不在档案里",IF(N($J3850)&lt;=0,"※出库数量要大于 0",IF($K3850="","※没填去向类型",IF($L3850="","※没填去向矿区",IF(AND($C3850&lt;&gt;"",$C3850&lt;=结账锁),"※日期早于已结账截止日，不能再录",IF(AND($K3850="自用消耗",COUNTIF({"一矿区";"二矿区"},$L3850)=0),"※自用消耗的去向只能是一矿区或二矿区",IF(AND($K3850="对外销售",COUNTIF({"三矿区";"六矿区"},$L3850)=0),"※对外销售的去向只能是三矿区或六矿区",IF(AND($K3850="对外销售",ROUND($Q3850,0)=0),"※外销却没有售价，请填实际售价",IF(AND($K3850="对外销售",$T3850&lt;&gt;"",$T3850&lt;0),"※这一笔外销是亏的，请核对售价",IF(IFERROR(VLOOKUP($D3850,库存台账!$A$5:$Y$1204,24,0),0)&lt;-0.001,"※这个物料账面已经变成负数了，查一下是不是漏记入库","")))))))))))</f>
        <v/>
      </c>
    </row>
    <row r="3851">
      <c r="A3851" s="24">
        <f>IF($D3851="","",COUNTA($D$4:$D3851))</f>
        <v/>
      </c>
      <c r="B3851" s="17" t="n"/>
      <c r="C3851" s="30" t="n"/>
      <c r="D3851" s="17" t="n"/>
      <c r="E3851" s="24">
        <f>IF($D3851="","",IFERROR(VLOOKUP($D3851,物料档案!$A$4:$P$1203,3,0),"※编码不在物料档案里"))</f>
        <v/>
      </c>
      <c r="F3851" s="24">
        <f>IF($D3851="","",IFERROR(VLOOKUP($D3851,物料档案!$A$4:$P$1203,4,0),"※编码不在物料档案里"))</f>
        <v/>
      </c>
      <c r="G3851" s="24">
        <f>IF($D3851="","",IFERROR(VLOOKUP($D3851,物料档案!$A$4:$P$1203,5,0),"※编码不在物料档案里"))</f>
        <v/>
      </c>
      <c r="H3851" s="24">
        <f>IF($D3851="","",IFERROR(VLOOKUP($D3851,物料档案!$A$4:$P$1203,2,0),"※编码不在物料档案里"))</f>
        <v/>
      </c>
      <c r="I3851" s="24">
        <f>IF($D3851="","",IFERROR(VLOOKUP($D3851,物料档案!$A$4:$P$1203,6,0),"※编码不在物料档案里"))</f>
        <v/>
      </c>
      <c r="J3851" s="23" t="n"/>
      <c r="K3851" s="17" t="n"/>
      <c r="L3851" s="17" t="n"/>
      <c r="M3851" s="17" t="n"/>
      <c r="N3851" s="17" t="n"/>
      <c r="O3851" s="26">
        <f>IF($D3851="","",IFERROR(VLOOKUP($D3851,物料档案!$A$4:$P$1203,10,0),0))</f>
        <v/>
      </c>
      <c r="P3851" s="32" t="n"/>
      <c r="Q3851" s="26">
        <f>IF($D3851="","",IF($K3851&lt;&gt;"对外销售",0,ROUND(N($J3851)*IF($P3851="",N($O3851),N($P3851)),0)))</f>
        <v/>
      </c>
      <c r="R3851" s="26">
        <f>IF($D3851="","",IFERROR(VLOOKUP($D3851,库存台账!$A$5:$Y$1204,11,0),0))</f>
        <v/>
      </c>
      <c r="S3851" s="26">
        <f>IF($D3851="","",ROUND(N($J3851)*N($R3851),0))</f>
        <v/>
      </c>
      <c r="T3851" s="26">
        <f>IF($D3851="","",IF($K3851&lt;&gt;"对外销售","",ROUND($Q3851-$S3851,0)))</f>
        <v/>
      </c>
      <c r="U3851" s="17" t="n"/>
      <c r="V3851" s="17" t="n"/>
      <c r="W3851" s="24">
        <f>IF($D3851="","",IF($E3851="※编码不在物料档案里","※物料编码不在档案里",IF(N($J3851)&lt;=0,"※出库数量要大于 0",IF($K3851="","※没填去向类型",IF($L3851="","※没填去向矿区",IF(AND($C3851&lt;&gt;"",$C3851&lt;=结账锁),"※日期早于已结账截止日，不能再录",IF(AND($K3851="自用消耗",COUNTIF({"一矿区";"二矿区"},$L3851)=0),"※自用消耗的去向只能是一矿区或二矿区",IF(AND($K3851="对外销售",COUNTIF({"三矿区";"六矿区"},$L3851)=0),"※对外销售的去向只能是三矿区或六矿区",IF(AND($K3851="对外销售",ROUND($Q3851,0)=0),"※外销却没有售价，请填实际售价",IF(AND($K3851="对外销售",$T3851&lt;&gt;"",$T3851&lt;0),"※这一笔外销是亏的，请核对售价",IF(IFERROR(VLOOKUP($D3851,库存台账!$A$5:$Y$1204,24,0),0)&lt;-0.001,"※这个物料账面已经变成负数了，查一下是不是漏记入库","")))))))))))</f>
        <v/>
      </c>
    </row>
    <row r="3852">
      <c r="A3852" s="24">
        <f>IF($D3852="","",COUNTA($D$4:$D3852))</f>
        <v/>
      </c>
      <c r="B3852" s="17" t="n"/>
      <c r="C3852" s="30" t="n"/>
      <c r="D3852" s="17" t="n"/>
      <c r="E3852" s="24">
        <f>IF($D3852="","",IFERROR(VLOOKUP($D3852,物料档案!$A$4:$P$1203,3,0),"※编码不在物料档案里"))</f>
        <v/>
      </c>
      <c r="F3852" s="24">
        <f>IF($D3852="","",IFERROR(VLOOKUP($D3852,物料档案!$A$4:$P$1203,4,0),"※编码不在物料档案里"))</f>
        <v/>
      </c>
      <c r="G3852" s="24">
        <f>IF($D3852="","",IFERROR(VLOOKUP($D3852,物料档案!$A$4:$P$1203,5,0),"※编码不在物料档案里"))</f>
        <v/>
      </c>
      <c r="H3852" s="24">
        <f>IF($D3852="","",IFERROR(VLOOKUP($D3852,物料档案!$A$4:$P$1203,2,0),"※编码不在物料档案里"))</f>
        <v/>
      </c>
      <c r="I3852" s="24">
        <f>IF($D3852="","",IFERROR(VLOOKUP($D3852,物料档案!$A$4:$P$1203,6,0),"※编码不在物料档案里"))</f>
        <v/>
      </c>
      <c r="J3852" s="23" t="n"/>
      <c r="K3852" s="17" t="n"/>
      <c r="L3852" s="17" t="n"/>
      <c r="M3852" s="17" t="n"/>
      <c r="N3852" s="17" t="n"/>
      <c r="O3852" s="26">
        <f>IF($D3852="","",IFERROR(VLOOKUP($D3852,物料档案!$A$4:$P$1203,10,0),0))</f>
        <v/>
      </c>
      <c r="P3852" s="32" t="n"/>
      <c r="Q3852" s="26">
        <f>IF($D3852="","",IF($K3852&lt;&gt;"对外销售",0,ROUND(N($J3852)*IF($P3852="",N($O3852),N($P3852)),0)))</f>
        <v/>
      </c>
      <c r="R3852" s="26">
        <f>IF($D3852="","",IFERROR(VLOOKUP($D3852,库存台账!$A$5:$Y$1204,11,0),0))</f>
        <v/>
      </c>
      <c r="S3852" s="26">
        <f>IF($D3852="","",ROUND(N($J3852)*N($R3852),0))</f>
        <v/>
      </c>
      <c r="T3852" s="26">
        <f>IF($D3852="","",IF($K3852&lt;&gt;"对外销售","",ROUND($Q3852-$S3852,0)))</f>
        <v/>
      </c>
      <c r="U3852" s="17" t="n"/>
      <c r="V3852" s="17" t="n"/>
      <c r="W3852" s="24">
        <f>IF($D3852="","",IF($E3852="※编码不在物料档案里","※物料编码不在档案里",IF(N($J3852)&lt;=0,"※出库数量要大于 0",IF($K3852="","※没填去向类型",IF($L3852="","※没填去向矿区",IF(AND($C3852&lt;&gt;"",$C3852&lt;=结账锁),"※日期早于已结账截止日，不能再录",IF(AND($K3852="自用消耗",COUNTIF({"一矿区";"二矿区"},$L3852)=0),"※自用消耗的去向只能是一矿区或二矿区",IF(AND($K3852="对外销售",COUNTIF({"三矿区";"六矿区"},$L3852)=0),"※对外销售的去向只能是三矿区或六矿区",IF(AND($K3852="对外销售",ROUND($Q3852,0)=0),"※外销却没有售价，请填实际售价",IF(AND($K3852="对外销售",$T3852&lt;&gt;"",$T3852&lt;0),"※这一笔外销是亏的，请核对售价",IF(IFERROR(VLOOKUP($D3852,库存台账!$A$5:$Y$1204,24,0),0)&lt;-0.001,"※这个物料账面已经变成负数了，查一下是不是漏记入库","")))))))))))</f>
        <v/>
      </c>
    </row>
    <row r="3853">
      <c r="A3853" s="24">
        <f>IF($D3853="","",COUNTA($D$4:$D3853))</f>
        <v/>
      </c>
      <c r="B3853" s="17" t="n"/>
      <c r="C3853" s="30" t="n"/>
      <c r="D3853" s="17" t="n"/>
      <c r="E3853" s="24">
        <f>IF($D3853="","",IFERROR(VLOOKUP($D3853,物料档案!$A$4:$P$1203,3,0),"※编码不在物料档案里"))</f>
        <v/>
      </c>
      <c r="F3853" s="24">
        <f>IF($D3853="","",IFERROR(VLOOKUP($D3853,物料档案!$A$4:$P$1203,4,0),"※编码不在物料档案里"))</f>
        <v/>
      </c>
      <c r="G3853" s="24">
        <f>IF($D3853="","",IFERROR(VLOOKUP($D3853,物料档案!$A$4:$P$1203,5,0),"※编码不在物料档案里"))</f>
        <v/>
      </c>
      <c r="H3853" s="24">
        <f>IF($D3853="","",IFERROR(VLOOKUP($D3853,物料档案!$A$4:$P$1203,2,0),"※编码不在物料档案里"))</f>
        <v/>
      </c>
      <c r="I3853" s="24">
        <f>IF($D3853="","",IFERROR(VLOOKUP($D3853,物料档案!$A$4:$P$1203,6,0),"※编码不在物料档案里"))</f>
        <v/>
      </c>
      <c r="J3853" s="23" t="n"/>
      <c r="K3853" s="17" t="n"/>
      <c r="L3853" s="17" t="n"/>
      <c r="M3853" s="17" t="n"/>
      <c r="N3853" s="17" t="n"/>
      <c r="O3853" s="26">
        <f>IF($D3853="","",IFERROR(VLOOKUP($D3853,物料档案!$A$4:$P$1203,10,0),0))</f>
        <v/>
      </c>
      <c r="P3853" s="32" t="n"/>
      <c r="Q3853" s="26">
        <f>IF($D3853="","",IF($K3853&lt;&gt;"对外销售",0,ROUND(N($J3853)*IF($P3853="",N($O3853),N($P3853)),0)))</f>
        <v/>
      </c>
      <c r="R3853" s="26">
        <f>IF($D3853="","",IFERROR(VLOOKUP($D3853,库存台账!$A$5:$Y$1204,11,0),0))</f>
        <v/>
      </c>
      <c r="S3853" s="26">
        <f>IF($D3853="","",ROUND(N($J3853)*N($R3853),0))</f>
        <v/>
      </c>
      <c r="T3853" s="26">
        <f>IF($D3853="","",IF($K3853&lt;&gt;"对外销售","",ROUND($Q3853-$S3853,0)))</f>
        <v/>
      </c>
      <c r="U3853" s="17" t="n"/>
      <c r="V3853" s="17" t="n"/>
      <c r="W3853" s="24">
        <f>IF($D3853="","",IF($E3853="※编码不在物料档案里","※物料编码不在档案里",IF(N($J3853)&lt;=0,"※出库数量要大于 0",IF($K3853="","※没填去向类型",IF($L3853="","※没填去向矿区",IF(AND($C3853&lt;&gt;"",$C3853&lt;=结账锁),"※日期早于已结账截止日，不能再录",IF(AND($K3853="自用消耗",COUNTIF({"一矿区";"二矿区"},$L3853)=0),"※自用消耗的去向只能是一矿区或二矿区",IF(AND($K3853="对外销售",COUNTIF({"三矿区";"六矿区"},$L3853)=0),"※对外销售的去向只能是三矿区或六矿区",IF(AND($K3853="对外销售",ROUND($Q3853,0)=0),"※外销却没有售价，请填实际售价",IF(AND($K3853="对外销售",$T3853&lt;&gt;"",$T3853&lt;0),"※这一笔外销是亏的，请核对售价",IF(IFERROR(VLOOKUP($D3853,库存台账!$A$5:$Y$1204,24,0),0)&lt;-0.001,"※这个物料账面已经变成负数了，查一下是不是漏记入库","")))))))))))</f>
        <v/>
      </c>
    </row>
    <row r="3854">
      <c r="A3854" s="24">
        <f>IF($D3854="","",COUNTA($D$4:$D3854))</f>
        <v/>
      </c>
      <c r="B3854" s="17" t="n"/>
      <c r="C3854" s="30" t="n"/>
      <c r="D3854" s="17" t="n"/>
      <c r="E3854" s="24">
        <f>IF($D3854="","",IFERROR(VLOOKUP($D3854,物料档案!$A$4:$P$1203,3,0),"※编码不在物料档案里"))</f>
        <v/>
      </c>
      <c r="F3854" s="24">
        <f>IF($D3854="","",IFERROR(VLOOKUP($D3854,物料档案!$A$4:$P$1203,4,0),"※编码不在物料档案里"))</f>
        <v/>
      </c>
      <c r="G3854" s="24">
        <f>IF($D3854="","",IFERROR(VLOOKUP($D3854,物料档案!$A$4:$P$1203,5,0),"※编码不在物料档案里"))</f>
        <v/>
      </c>
      <c r="H3854" s="24">
        <f>IF($D3854="","",IFERROR(VLOOKUP($D3854,物料档案!$A$4:$P$1203,2,0),"※编码不在物料档案里"))</f>
        <v/>
      </c>
      <c r="I3854" s="24">
        <f>IF($D3854="","",IFERROR(VLOOKUP($D3854,物料档案!$A$4:$P$1203,6,0),"※编码不在物料档案里"))</f>
        <v/>
      </c>
      <c r="J3854" s="23" t="n"/>
      <c r="K3854" s="17" t="n"/>
      <c r="L3854" s="17" t="n"/>
      <c r="M3854" s="17" t="n"/>
      <c r="N3854" s="17" t="n"/>
      <c r="O3854" s="26">
        <f>IF($D3854="","",IFERROR(VLOOKUP($D3854,物料档案!$A$4:$P$1203,10,0),0))</f>
        <v/>
      </c>
      <c r="P3854" s="32" t="n"/>
      <c r="Q3854" s="26">
        <f>IF($D3854="","",IF($K3854&lt;&gt;"对外销售",0,ROUND(N($J3854)*IF($P3854="",N($O3854),N($P3854)),0)))</f>
        <v/>
      </c>
      <c r="R3854" s="26">
        <f>IF($D3854="","",IFERROR(VLOOKUP($D3854,库存台账!$A$5:$Y$1204,11,0),0))</f>
        <v/>
      </c>
      <c r="S3854" s="26">
        <f>IF($D3854="","",ROUND(N($J3854)*N($R3854),0))</f>
        <v/>
      </c>
      <c r="T3854" s="26">
        <f>IF($D3854="","",IF($K3854&lt;&gt;"对外销售","",ROUND($Q3854-$S3854,0)))</f>
        <v/>
      </c>
      <c r="U3854" s="17" t="n"/>
      <c r="V3854" s="17" t="n"/>
      <c r="W3854" s="24">
        <f>IF($D3854="","",IF($E3854="※编码不在物料档案里","※物料编码不在档案里",IF(N($J3854)&lt;=0,"※出库数量要大于 0",IF($K3854="","※没填去向类型",IF($L3854="","※没填去向矿区",IF(AND($C3854&lt;&gt;"",$C3854&lt;=结账锁),"※日期早于已结账截止日，不能再录",IF(AND($K3854="自用消耗",COUNTIF({"一矿区";"二矿区"},$L3854)=0),"※自用消耗的去向只能是一矿区或二矿区",IF(AND($K3854="对外销售",COUNTIF({"三矿区";"六矿区"},$L3854)=0),"※对外销售的去向只能是三矿区或六矿区",IF(AND($K3854="对外销售",ROUND($Q3854,0)=0),"※外销却没有售价，请填实际售价",IF(AND($K3854="对外销售",$T3854&lt;&gt;"",$T3854&lt;0),"※这一笔外销是亏的，请核对售价",IF(IFERROR(VLOOKUP($D3854,库存台账!$A$5:$Y$1204,24,0),0)&lt;-0.001,"※这个物料账面已经变成负数了，查一下是不是漏记入库","")))))))))))</f>
        <v/>
      </c>
    </row>
    <row r="3855">
      <c r="A3855" s="24">
        <f>IF($D3855="","",COUNTA($D$4:$D3855))</f>
        <v/>
      </c>
      <c r="B3855" s="17" t="n"/>
      <c r="C3855" s="30" t="n"/>
      <c r="D3855" s="17" t="n"/>
      <c r="E3855" s="24">
        <f>IF($D3855="","",IFERROR(VLOOKUP($D3855,物料档案!$A$4:$P$1203,3,0),"※编码不在物料档案里"))</f>
        <v/>
      </c>
      <c r="F3855" s="24">
        <f>IF($D3855="","",IFERROR(VLOOKUP($D3855,物料档案!$A$4:$P$1203,4,0),"※编码不在物料档案里"))</f>
        <v/>
      </c>
      <c r="G3855" s="24">
        <f>IF($D3855="","",IFERROR(VLOOKUP($D3855,物料档案!$A$4:$P$1203,5,0),"※编码不在物料档案里"))</f>
        <v/>
      </c>
      <c r="H3855" s="24">
        <f>IF($D3855="","",IFERROR(VLOOKUP($D3855,物料档案!$A$4:$P$1203,2,0),"※编码不在物料档案里"))</f>
        <v/>
      </c>
      <c r="I3855" s="24">
        <f>IF($D3855="","",IFERROR(VLOOKUP($D3855,物料档案!$A$4:$P$1203,6,0),"※编码不在物料档案里"))</f>
        <v/>
      </c>
      <c r="J3855" s="23" t="n"/>
      <c r="K3855" s="17" t="n"/>
      <c r="L3855" s="17" t="n"/>
      <c r="M3855" s="17" t="n"/>
      <c r="N3855" s="17" t="n"/>
      <c r="O3855" s="26">
        <f>IF($D3855="","",IFERROR(VLOOKUP($D3855,物料档案!$A$4:$P$1203,10,0),0))</f>
        <v/>
      </c>
      <c r="P3855" s="32" t="n"/>
      <c r="Q3855" s="26">
        <f>IF($D3855="","",IF($K3855&lt;&gt;"对外销售",0,ROUND(N($J3855)*IF($P3855="",N($O3855),N($P3855)),0)))</f>
        <v/>
      </c>
      <c r="R3855" s="26">
        <f>IF($D3855="","",IFERROR(VLOOKUP($D3855,库存台账!$A$5:$Y$1204,11,0),0))</f>
        <v/>
      </c>
      <c r="S3855" s="26">
        <f>IF($D3855="","",ROUND(N($J3855)*N($R3855),0))</f>
        <v/>
      </c>
      <c r="T3855" s="26">
        <f>IF($D3855="","",IF($K3855&lt;&gt;"对外销售","",ROUND($Q3855-$S3855,0)))</f>
        <v/>
      </c>
      <c r="U3855" s="17" t="n"/>
      <c r="V3855" s="17" t="n"/>
      <c r="W3855" s="24">
        <f>IF($D3855="","",IF($E3855="※编码不在物料档案里","※物料编码不在档案里",IF(N($J3855)&lt;=0,"※出库数量要大于 0",IF($K3855="","※没填去向类型",IF($L3855="","※没填去向矿区",IF(AND($C3855&lt;&gt;"",$C3855&lt;=结账锁),"※日期早于已结账截止日，不能再录",IF(AND($K3855="自用消耗",COUNTIF({"一矿区";"二矿区"},$L3855)=0),"※自用消耗的去向只能是一矿区或二矿区",IF(AND($K3855="对外销售",COUNTIF({"三矿区";"六矿区"},$L3855)=0),"※对外销售的去向只能是三矿区或六矿区",IF(AND($K3855="对外销售",ROUND($Q3855,0)=0),"※外销却没有售价，请填实际售价",IF(AND($K3855="对外销售",$T3855&lt;&gt;"",$T3855&lt;0),"※这一笔外销是亏的，请核对售价",IF(IFERROR(VLOOKUP($D3855,库存台账!$A$5:$Y$1204,24,0),0)&lt;-0.001,"※这个物料账面已经变成负数了，查一下是不是漏记入库","")))))))))))</f>
        <v/>
      </c>
    </row>
    <row r="3856">
      <c r="A3856" s="24">
        <f>IF($D3856="","",COUNTA($D$4:$D3856))</f>
        <v/>
      </c>
      <c r="B3856" s="17" t="n"/>
      <c r="C3856" s="30" t="n"/>
      <c r="D3856" s="17" t="n"/>
      <c r="E3856" s="24">
        <f>IF($D3856="","",IFERROR(VLOOKUP($D3856,物料档案!$A$4:$P$1203,3,0),"※编码不在物料档案里"))</f>
        <v/>
      </c>
      <c r="F3856" s="24">
        <f>IF($D3856="","",IFERROR(VLOOKUP($D3856,物料档案!$A$4:$P$1203,4,0),"※编码不在物料档案里"))</f>
        <v/>
      </c>
      <c r="G3856" s="24">
        <f>IF($D3856="","",IFERROR(VLOOKUP($D3856,物料档案!$A$4:$P$1203,5,0),"※编码不在物料档案里"))</f>
        <v/>
      </c>
      <c r="H3856" s="24">
        <f>IF($D3856="","",IFERROR(VLOOKUP($D3856,物料档案!$A$4:$P$1203,2,0),"※编码不在物料档案里"))</f>
        <v/>
      </c>
      <c r="I3856" s="24">
        <f>IF($D3856="","",IFERROR(VLOOKUP($D3856,物料档案!$A$4:$P$1203,6,0),"※编码不在物料档案里"))</f>
        <v/>
      </c>
      <c r="J3856" s="23" t="n"/>
      <c r="K3856" s="17" t="n"/>
      <c r="L3856" s="17" t="n"/>
      <c r="M3856" s="17" t="n"/>
      <c r="N3856" s="17" t="n"/>
      <c r="O3856" s="26">
        <f>IF($D3856="","",IFERROR(VLOOKUP($D3856,物料档案!$A$4:$P$1203,10,0),0))</f>
        <v/>
      </c>
      <c r="P3856" s="32" t="n"/>
      <c r="Q3856" s="26">
        <f>IF($D3856="","",IF($K3856&lt;&gt;"对外销售",0,ROUND(N($J3856)*IF($P3856="",N($O3856),N($P3856)),0)))</f>
        <v/>
      </c>
      <c r="R3856" s="26">
        <f>IF($D3856="","",IFERROR(VLOOKUP($D3856,库存台账!$A$5:$Y$1204,11,0),0))</f>
        <v/>
      </c>
      <c r="S3856" s="26">
        <f>IF($D3856="","",ROUND(N($J3856)*N($R3856),0))</f>
        <v/>
      </c>
      <c r="T3856" s="26">
        <f>IF($D3856="","",IF($K3856&lt;&gt;"对外销售","",ROUND($Q3856-$S3856,0)))</f>
        <v/>
      </c>
      <c r="U3856" s="17" t="n"/>
      <c r="V3856" s="17" t="n"/>
      <c r="W3856" s="24">
        <f>IF($D3856="","",IF($E3856="※编码不在物料档案里","※物料编码不在档案里",IF(N($J3856)&lt;=0,"※出库数量要大于 0",IF($K3856="","※没填去向类型",IF($L3856="","※没填去向矿区",IF(AND($C3856&lt;&gt;"",$C3856&lt;=结账锁),"※日期早于已结账截止日，不能再录",IF(AND($K3856="自用消耗",COUNTIF({"一矿区";"二矿区"},$L3856)=0),"※自用消耗的去向只能是一矿区或二矿区",IF(AND($K3856="对外销售",COUNTIF({"三矿区";"六矿区"},$L3856)=0),"※对外销售的去向只能是三矿区或六矿区",IF(AND($K3856="对外销售",ROUND($Q3856,0)=0),"※外销却没有售价，请填实际售价",IF(AND($K3856="对外销售",$T3856&lt;&gt;"",$T3856&lt;0),"※这一笔外销是亏的，请核对售价",IF(IFERROR(VLOOKUP($D3856,库存台账!$A$5:$Y$1204,24,0),0)&lt;-0.001,"※这个物料账面已经变成负数了，查一下是不是漏记入库","")))))))))))</f>
        <v/>
      </c>
    </row>
    <row r="3857">
      <c r="A3857" s="24">
        <f>IF($D3857="","",COUNTA($D$4:$D3857))</f>
        <v/>
      </c>
      <c r="B3857" s="17" t="n"/>
      <c r="C3857" s="30" t="n"/>
      <c r="D3857" s="17" t="n"/>
      <c r="E3857" s="24">
        <f>IF($D3857="","",IFERROR(VLOOKUP($D3857,物料档案!$A$4:$P$1203,3,0),"※编码不在物料档案里"))</f>
        <v/>
      </c>
      <c r="F3857" s="24">
        <f>IF($D3857="","",IFERROR(VLOOKUP($D3857,物料档案!$A$4:$P$1203,4,0),"※编码不在物料档案里"))</f>
        <v/>
      </c>
      <c r="G3857" s="24">
        <f>IF($D3857="","",IFERROR(VLOOKUP($D3857,物料档案!$A$4:$P$1203,5,0),"※编码不在物料档案里"))</f>
        <v/>
      </c>
      <c r="H3857" s="24">
        <f>IF($D3857="","",IFERROR(VLOOKUP($D3857,物料档案!$A$4:$P$1203,2,0),"※编码不在物料档案里"))</f>
        <v/>
      </c>
      <c r="I3857" s="24">
        <f>IF($D3857="","",IFERROR(VLOOKUP($D3857,物料档案!$A$4:$P$1203,6,0),"※编码不在物料档案里"))</f>
        <v/>
      </c>
      <c r="J3857" s="23" t="n"/>
      <c r="K3857" s="17" t="n"/>
      <c r="L3857" s="17" t="n"/>
      <c r="M3857" s="17" t="n"/>
      <c r="N3857" s="17" t="n"/>
      <c r="O3857" s="26">
        <f>IF($D3857="","",IFERROR(VLOOKUP($D3857,物料档案!$A$4:$P$1203,10,0),0))</f>
        <v/>
      </c>
      <c r="P3857" s="32" t="n"/>
      <c r="Q3857" s="26">
        <f>IF($D3857="","",IF($K3857&lt;&gt;"对外销售",0,ROUND(N($J3857)*IF($P3857="",N($O3857),N($P3857)),0)))</f>
        <v/>
      </c>
      <c r="R3857" s="26">
        <f>IF($D3857="","",IFERROR(VLOOKUP($D3857,库存台账!$A$5:$Y$1204,11,0),0))</f>
        <v/>
      </c>
      <c r="S3857" s="26">
        <f>IF($D3857="","",ROUND(N($J3857)*N($R3857),0))</f>
        <v/>
      </c>
      <c r="T3857" s="26">
        <f>IF($D3857="","",IF($K3857&lt;&gt;"对外销售","",ROUND($Q3857-$S3857,0)))</f>
        <v/>
      </c>
      <c r="U3857" s="17" t="n"/>
      <c r="V3857" s="17" t="n"/>
      <c r="W3857" s="24">
        <f>IF($D3857="","",IF($E3857="※编码不在物料档案里","※物料编码不在档案里",IF(N($J3857)&lt;=0,"※出库数量要大于 0",IF($K3857="","※没填去向类型",IF($L3857="","※没填去向矿区",IF(AND($C3857&lt;&gt;"",$C3857&lt;=结账锁),"※日期早于已结账截止日，不能再录",IF(AND($K3857="自用消耗",COUNTIF({"一矿区";"二矿区"},$L3857)=0),"※自用消耗的去向只能是一矿区或二矿区",IF(AND($K3857="对外销售",COUNTIF({"三矿区";"六矿区"},$L3857)=0),"※对外销售的去向只能是三矿区或六矿区",IF(AND($K3857="对外销售",ROUND($Q3857,0)=0),"※外销却没有售价，请填实际售价",IF(AND($K3857="对外销售",$T3857&lt;&gt;"",$T3857&lt;0),"※这一笔外销是亏的，请核对售价",IF(IFERROR(VLOOKUP($D3857,库存台账!$A$5:$Y$1204,24,0),0)&lt;-0.001,"※这个物料账面已经变成负数了，查一下是不是漏记入库","")))))))))))</f>
        <v/>
      </c>
    </row>
    <row r="3858">
      <c r="A3858" s="24">
        <f>IF($D3858="","",COUNTA($D$4:$D3858))</f>
        <v/>
      </c>
      <c r="B3858" s="17" t="n"/>
      <c r="C3858" s="30" t="n"/>
      <c r="D3858" s="17" t="n"/>
      <c r="E3858" s="24">
        <f>IF($D3858="","",IFERROR(VLOOKUP($D3858,物料档案!$A$4:$P$1203,3,0),"※编码不在物料档案里"))</f>
        <v/>
      </c>
      <c r="F3858" s="24">
        <f>IF($D3858="","",IFERROR(VLOOKUP($D3858,物料档案!$A$4:$P$1203,4,0),"※编码不在物料档案里"))</f>
        <v/>
      </c>
      <c r="G3858" s="24">
        <f>IF($D3858="","",IFERROR(VLOOKUP($D3858,物料档案!$A$4:$P$1203,5,0),"※编码不在物料档案里"))</f>
        <v/>
      </c>
      <c r="H3858" s="24">
        <f>IF($D3858="","",IFERROR(VLOOKUP($D3858,物料档案!$A$4:$P$1203,2,0),"※编码不在物料档案里"))</f>
        <v/>
      </c>
      <c r="I3858" s="24">
        <f>IF($D3858="","",IFERROR(VLOOKUP($D3858,物料档案!$A$4:$P$1203,6,0),"※编码不在物料档案里"))</f>
        <v/>
      </c>
      <c r="J3858" s="23" t="n"/>
      <c r="K3858" s="17" t="n"/>
      <c r="L3858" s="17" t="n"/>
      <c r="M3858" s="17" t="n"/>
      <c r="N3858" s="17" t="n"/>
      <c r="O3858" s="26">
        <f>IF($D3858="","",IFERROR(VLOOKUP($D3858,物料档案!$A$4:$P$1203,10,0),0))</f>
        <v/>
      </c>
      <c r="P3858" s="32" t="n"/>
      <c r="Q3858" s="26">
        <f>IF($D3858="","",IF($K3858&lt;&gt;"对外销售",0,ROUND(N($J3858)*IF($P3858="",N($O3858),N($P3858)),0)))</f>
        <v/>
      </c>
      <c r="R3858" s="26">
        <f>IF($D3858="","",IFERROR(VLOOKUP($D3858,库存台账!$A$5:$Y$1204,11,0),0))</f>
        <v/>
      </c>
      <c r="S3858" s="26">
        <f>IF($D3858="","",ROUND(N($J3858)*N($R3858),0))</f>
        <v/>
      </c>
      <c r="T3858" s="26">
        <f>IF($D3858="","",IF($K3858&lt;&gt;"对外销售","",ROUND($Q3858-$S3858,0)))</f>
        <v/>
      </c>
      <c r="U3858" s="17" t="n"/>
      <c r="V3858" s="17" t="n"/>
      <c r="W3858" s="24">
        <f>IF($D3858="","",IF($E3858="※编码不在物料档案里","※物料编码不在档案里",IF(N($J3858)&lt;=0,"※出库数量要大于 0",IF($K3858="","※没填去向类型",IF($L3858="","※没填去向矿区",IF(AND($C3858&lt;&gt;"",$C3858&lt;=结账锁),"※日期早于已结账截止日，不能再录",IF(AND($K3858="自用消耗",COUNTIF({"一矿区";"二矿区"},$L3858)=0),"※自用消耗的去向只能是一矿区或二矿区",IF(AND($K3858="对外销售",COUNTIF({"三矿区";"六矿区"},$L3858)=0),"※对外销售的去向只能是三矿区或六矿区",IF(AND($K3858="对外销售",ROUND($Q3858,0)=0),"※外销却没有售价，请填实际售价",IF(AND($K3858="对外销售",$T3858&lt;&gt;"",$T3858&lt;0),"※这一笔外销是亏的，请核对售价",IF(IFERROR(VLOOKUP($D3858,库存台账!$A$5:$Y$1204,24,0),0)&lt;-0.001,"※这个物料账面已经变成负数了，查一下是不是漏记入库","")))))))))))</f>
        <v/>
      </c>
    </row>
    <row r="3859">
      <c r="A3859" s="24">
        <f>IF($D3859="","",COUNTA($D$4:$D3859))</f>
        <v/>
      </c>
      <c r="B3859" s="17" t="n"/>
      <c r="C3859" s="30" t="n"/>
      <c r="D3859" s="17" t="n"/>
      <c r="E3859" s="24">
        <f>IF($D3859="","",IFERROR(VLOOKUP($D3859,物料档案!$A$4:$P$1203,3,0),"※编码不在物料档案里"))</f>
        <v/>
      </c>
      <c r="F3859" s="24">
        <f>IF($D3859="","",IFERROR(VLOOKUP($D3859,物料档案!$A$4:$P$1203,4,0),"※编码不在物料档案里"))</f>
        <v/>
      </c>
      <c r="G3859" s="24">
        <f>IF($D3859="","",IFERROR(VLOOKUP($D3859,物料档案!$A$4:$P$1203,5,0),"※编码不在物料档案里"))</f>
        <v/>
      </c>
      <c r="H3859" s="24">
        <f>IF($D3859="","",IFERROR(VLOOKUP($D3859,物料档案!$A$4:$P$1203,2,0),"※编码不在物料档案里"))</f>
        <v/>
      </c>
      <c r="I3859" s="24">
        <f>IF($D3859="","",IFERROR(VLOOKUP($D3859,物料档案!$A$4:$P$1203,6,0),"※编码不在物料档案里"))</f>
        <v/>
      </c>
      <c r="J3859" s="23" t="n"/>
      <c r="K3859" s="17" t="n"/>
      <c r="L3859" s="17" t="n"/>
      <c r="M3859" s="17" t="n"/>
      <c r="N3859" s="17" t="n"/>
      <c r="O3859" s="26">
        <f>IF($D3859="","",IFERROR(VLOOKUP($D3859,物料档案!$A$4:$P$1203,10,0),0))</f>
        <v/>
      </c>
      <c r="P3859" s="32" t="n"/>
      <c r="Q3859" s="26">
        <f>IF($D3859="","",IF($K3859&lt;&gt;"对外销售",0,ROUND(N($J3859)*IF($P3859="",N($O3859),N($P3859)),0)))</f>
        <v/>
      </c>
      <c r="R3859" s="26">
        <f>IF($D3859="","",IFERROR(VLOOKUP($D3859,库存台账!$A$5:$Y$1204,11,0),0))</f>
        <v/>
      </c>
      <c r="S3859" s="26">
        <f>IF($D3859="","",ROUND(N($J3859)*N($R3859),0))</f>
        <v/>
      </c>
      <c r="T3859" s="26">
        <f>IF($D3859="","",IF($K3859&lt;&gt;"对外销售","",ROUND($Q3859-$S3859,0)))</f>
        <v/>
      </c>
      <c r="U3859" s="17" t="n"/>
      <c r="V3859" s="17" t="n"/>
      <c r="W3859" s="24">
        <f>IF($D3859="","",IF($E3859="※编码不在物料档案里","※物料编码不在档案里",IF(N($J3859)&lt;=0,"※出库数量要大于 0",IF($K3859="","※没填去向类型",IF($L3859="","※没填去向矿区",IF(AND($C3859&lt;&gt;"",$C3859&lt;=结账锁),"※日期早于已结账截止日，不能再录",IF(AND($K3859="自用消耗",COUNTIF({"一矿区";"二矿区"},$L3859)=0),"※自用消耗的去向只能是一矿区或二矿区",IF(AND($K3859="对外销售",COUNTIF({"三矿区";"六矿区"},$L3859)=0),"※对外销售的去向只能是三矿区或六矿区",IF(AND($K3859="对外销售",ROUND($Q3859,0)=0),"※外销却没有售价，请填实际售价",IF(AND($K3859="对外销售",$T3859&lt;&gt;"",$T3859&lt;0),"※这一笔外销是亏的，请核对售价",IF(IFERROR(VLOOKUP($D3859,库存台账!$A$5:$Y$1204,24,0),0)&lt;-0.001,"※这个物料账面已经变成负数了，查一下是不是漏记入库","")))))))))))</f>
        <v/>
      </c>
    </row>
    <row r="3860">
      <c r="A3860" s="24">
        <f>IF($D3860="","",COUNTA($D$4:$D3860))</f>
        <v/>
      </c>
      <c r="B3860" s="17" t="n"/>
      <c r="C3860" s="30" t="n"/>
      <c r="D3860" s="17" t="n"/>
      <c r="E3860" s="24">
        <f>IF($D3860="","",IFERROR(VLOOKUP($D3860,物料档案!$A$4:$P$1203,3,0),"※编码不在物料档案里"))</f>
        <v/>
      </c>
      <c r="F3860" s="24">
        <f>IF($D3860="","",IFERROR(VLOOKUP($D3860,物料档案!$A$4:$P$1203,4,0),"※编码不在物料档案里"))</f>
        <v/>
      </c>
      <c r="G3860" s="24">
        <f>IF($D3860="","",IFERROR(VLOOKUP($D3860,物料档案!$A$4:$P$1203,5,0),"※编码不在物料档案里"))</f>
        <v/>
      </c>
      <c r="H3860" s="24">
        <f>IF($D3860="","",IFERROR(VLOOKUP($D3860,物料档案!$A$4:$P$1203,2,0),"※编码不在物料档案里"))</f>
        <v/>
      </c>
      <c r="I3860" s="24">
        <f>IF($D3860="","",IFERROR(VLOOKUP($D3860,物料档案!$A$4:$P$1203,6,0),"※编码不在物料档案里"))</f>
        <v/>
      </c>
      <c r="J3860" s="23" t="n"/>
      <c r="K3860" s="17" t="n"/>
      <c r="L3860" s="17" t="n"/>
      <c r="M3860" s="17" t="n"/>
      <c r="N3860" s="17" t="n"/>
      <c r="O3860" s="26">
        <f>IF($D3860="","",IFERROR(VLOOKUP($D3860,物料档案!$A$4:$P$1203,10,0),0))</f>
        <v/>
      </c>
      <c r="P3860" s="32" t="n"/>
      <c r="Q3860" s="26">
        <f>IF($D3860="","",IF($K3860&lt;&gt;"对外销售",0,ROUND(N($J3860)*IF($P3860="",N($O3860),N($P3860)),0)))</f>
        <v/>
      </c>
      <c r="R3860" s="26">
        <f>IF($D3860="","",IFERROR(VLOOKUP($D3860,库存台账!$A$5:$Y$1204,11,0),0))</f>
        <v/>
      </c>
      <c r="S3860" s="26">
        <f>IF($D3860="","",ROUND(N($J3860)*N($R3860),0))</f>
        <v/>
      </c>
      <c r="T3860" s="26">
        <f>IF($D3860="","",IF($K3860&lt;&gt;"对外销售","",ROUND($Q3860-$S3860,0)))</f>
        <v/>
      </c>
      <c r="U3860" s="17" t="n"/>
      <c r="V3860" s="17" t="n"/>
      <c r="W3860" s="24">
        <f>IF($D3860="","",IF($E3860="※编码不在物料档案里","※物料编码不在档案里",IF(N($J3860)&lt;=0,"※出库数量要大于 0",IF($K3860="","※没填去向类型",IF($L3860="","※没填去向矿区",IF(AND($C3860&lt;&gt;"",$C3860&lt;=结账锁),"※日期早于已结账截止日，不能再录",IF(AND($K3860="自用消耗",COUNTIF({"一矿区";"二矿区"},$L3860)=0),"※自用消耗的去向只能是一矿区或二矿区",IF(AND($K3860="对外销售",COUNTIF({"三矿区";"六矿区"},$L3860)=0),"※对外销售的去向只能是三矿区或六矿区",IF(AND($K3860="对外销售",ROUND($Q3860,0)=0),"※外销却没有售价，请填实际售价",IF(AND($K3860="对外销售",$T3860&lt;&gt;"",$T3860&lt;0),"※这一笔外销是亏的，请核对售价",IF(IFERROR(VLOOKUP($D3860,库存台账!$A$5:$Y$1204,24,0),0)&lt;-0.001,"※这个物料账面已经变成负数了，查一下是不是漏记入库","")))))))))))</f>
        <v/>
      </c>
    </row>
    <row r="3861">
      <c r="A3861" s="24">
        <f>IF($D3861="","",COUNTA($D$4:$D3861))</f>
        <v/>
      </c>
      <c r="B3861" s="17" t="n"/>
      <c r="C3861" s="30" t="n"/>
      <c r="D3861" s="17" t="n"/>
      <c r="E3861" s="24">
        <f>IF($D3861="","",IFERROR(VLOOKUP($D3861,物料档案!$A$4:$P$1203,3,0),"※编码不在物料档案里"))</f>
        <v/>
      </c>
      <c r="F3861" s="24">
        <f>IF($D3861="","",IFERROR(VLOOKUP($D3861,物料档案!$A$4:$P$1203,4,0),"※编码不在物料档案里"))</f>
        <v/>
      </c>
      <c r="G3861" s="24">
        <f>IF($D3861="","",IFERROR(VLOOKUP($D3861,物料档案!$A$4:$P$1203,5,0),"※编码不在物料档案里"))</f>
        <v/>
      </c>
      <c r="H3861" s="24">
        <f>IF($D3861="","",IFERROR(VLOOKUP($D3861,物料档案!$A$4:$P$1203,2,0),"※编码不在物料档案里"))</f>
        <v/>
      </c>
      <c r="I3861" s="24">
        <f>IF($D3861="","",IFERROR(VLOOKUP($D3861,物料档案!$A$4:$P$1203,6,0),"※编码不在物料档案里"))</f>
        <v/>
      </c>
      <c r="J3861" s="23" t="n"/>
      <c r="K3861" s="17" t="n"/>
      <c r="L3861" s="17" t="n"/>
      <c r="M3861" s="17" t="n"/>
      <c r="N3861" s="17" t="n"/>
      <c r="O3861" s="26">
        <f>IF($D3861="","",IFERROR(VLOOKUP($D3861,物料档案!$A$4:$P$1203,10,0),0))</f>
        <v/>
      </c>
      <c r="P3861" s="32" t="n"/>
      <c r="Q3861" s="26">
        <f>IF($D3861="","",IF($K3861&lt;&gt;"对外销售",0,ROUND(N($J3861)*IF($P3861="",N($O3861),N($P3861)),0)))</f>
        <v/>
      </c>
      <c r="R3861" s="26">
        <f>IF($D3861="","",IFERROR(VLOOKUP($D3861,库存台账!$A$5:$Y$1204,11,0),0))</f>
        <v/>
      </c>
      <c r="S3861" s="26">
        <f>IF($D3861="","",ROUND(N($J3861)*N($R3861),0))</f>
        <v/>
      </c>
      <c r="T3861" s="26">
        <f>IF($D3861="","",IF($K3861&lt;&gt;"对外销售","",ROUND($Q3861-$S3861,0)))</f>
        <v/>
      </c>
      <c r="U3861" s="17" t="n"/>
      <c r="V3861" s="17" t="n"/>
      <c r="W3861" s="24">
        <f>IF($D3861="","",IF($E3861="※编码不在物料档案里","※物料编码不在档案里",IF(N($J3861)&lt;=0,"※出库数量要大于 0",IF($K3861="","※没填去向类型",IF($L3861="","※没填去向矿区",IF(AND($C3861&lt;&gt;"",$C3861&lt;=结账锁),"※日期早于已结账截止日，不能再录",IF(AND($K3861="自用消耗",COUNTIF({"一矿区";"二矿区"},$L3861)=0),"※自用消耗的去向只能是一矿区或二矿区",IF(AND($K3861="对外销售",COUNTIF({"三矿区";"六矿区"},$L3861)=0),"※对外销售的去向只能是三矿区或六矿区",IF(AND($K3861="对外销售",ROUND($Q3861,0)=0),"※外销却没有售价，请填实际售价",IF(AND($K3861="对外销售",$T3861&lt;&gt;"",$T3861&lt;0),"※这一笔外销是亏的，请核对售价",IF(IFERROR(VLOOKUP($D3861,库存台账!$A$5:$Y$1204,24,0),0)&lt;-0.001,"※这个物料账面已经变成负数了，查一下是不是漏记入库","")))))))))))</f>
        <v/>
      </c>
    </row>
    <row r="3862">
      <c r="A3862" s="24">
        <f>IF($D3862="","",COUNTA($D$4:$D3862))</f>
        <v/>
      </c>
      <c r="B3862" s="17" t="n"/>
      <c r="C3862" s="30" t="n"/>
      <c r="D3862" s="17" t="n"/>
      <c r="E3862" s="24">
        <f>IF($D3862="","",IFERROR(VLOOKUP($D3862,物料档案!$A$4:$P$1203,3,0),"※编码不在物料档案里"))</f>
        <v/>
      </c>
      <c r="F3862" s="24">
        <f>IF($D3862="","",IFERROR(VLOOKUP($D3862,物料档案!$A$4:$P$1203,4,0),"※编码不在物料档案里"))</f>
        <v/>
      </c>
      <c r="G3862" s="24">
        <f>IF($D3862="","",IFERROR(VLOOKUP($D3862,物料档案!$A$4:$P$1203,5,0),"※编码不在物料档案里"))</f>
        <v/>
      </c>
      <c r="H3862" s="24">
        <f>IF($D3862="","",IFERROR(VLOOKUP($D3862,物料档案!$A$4:$P$1203,2,0),"※编码不在物料档案里"))</f>
        <v/>
      </c>
      <c r="I3862" s="24">
        <f>IF($D3862="","",IFERROR(VLOOKUP($D3862,物料档案!$A$4:$P$1203,6,0),"※编码不在物料档案里"))</f>
        <v/>
      </c>
      <c r="J3862" s="23" t="n"/>
      <c r="K3862" s="17" t="n"/>
      <c r="L3862" s="17" t="n"/>
      <c r="M3862" s="17" t="n"/>
      <c r="N3862" s="17" t="n"/>
      <c r="O3862" s="26">
        <f>IF($D3862="","",IFERROR(VLOOKUP($D3862,物料档案!$A$4:$P$1203,10,0),0))</f>
        <v/>
      </c>
      <c r="P3862" s="32" t="n"/>
      <c r="Q3862" s="26">
        <f>IF($D3862="","",IF($K3862&lt;&gt;"对外销售",0,ROUND(N($J3862)*IF($P3862="",N($O3862),N($P3862)),0)))</f>
        <v/>
      </c>
      <c r="R3862" s="26">
        <f>IF($D3862="","",IFERROR(VLOOKUP($D3862,库存台账!$A$5:$Y$1204,11,0),0))</f>
        <v/>
      </c>
      <c r="S3862" s="26">
        <f>IF($D3862="","",ROUND(N($J3862)*N($R3862),0))</f>
        <v/>
      </c>
      <c r="T3862" s="26">
        <f>IF($D3862="","",IF($K3862&lt;&gt;"对外销售","",ROUND($Q3862-$S3862,0)))</f>
        <v/>
      </c>
      <c r="U3862" s="17" t="n"/>
      <c r="V3862" s="17" t="n"/>
      <c r="W3862" s="24">
        <f>IF($D3862="","",IF($E3862="※编码不在物料档案里","※物料编码不在档案里",IF(N($J3862)&lt;=0,"※出库数量要大于 0",IF($K3862="","※没填去向类型",IF($L3862="","※没填去向矿区",IF(AND($C3862&lt;&gt;"",$C3862&lt;=结账锁),"※日期早于已结账截止日，不能再录",IF(AND($K3862="自用消耗",COUNTIF({"一矿区";"二矿区"},$L3862)=0),"※自用消耗的去向只能是一矿区或二矿区",IF(AND($K3862="对外销售",COUNTIF({"三矿区";"六矿区"},$L3862)=0),"※对外销售的去向只能是三矿区或六矿区",IF(AND($K3862="对外销售",ROUND($Q3862,0)=0),"※外销却没有售价，请填实际售价",IF(AND($K3862="对外销售",$T3862&lt;&gt;"",$T3862&lt;0),"※这一笔外销是亏的，请核对售价",IF(IFERROR(VLOOKUP($D3862,库存台账!$A$5:$Y$1204,24,0),0)&lt;-0.001,"※这个物料账面已经变成负数了，查一下是不是漏记入库","")))))))))))</f>
        <v/>
      </c>
    </row>
    <row r="3863">
      <c r="A3863" s="24">
        <f>IF($D3863="","",COUNTA($D$4:$D3863))</f>
        <v/>
      </c>
      <c r="B3863" s="17" t="n"/>
      <c r="C3863" s="30" t="n"/>
      <c r="D3863" s="17" t="n"/>
      <c r="E3863" s="24">
        <f>IF($D3863="","",IFERROR(VLOOKUP($D3863,物料档案!$A$4:$P$1203,3,0),"※编码不在物料档案里"))</f>
        <v/>
      </c>
      <c r="F3863" s="24">
        <f>IF($D3863="","",IFERROR(VLOOKUP($D3863,物料档案!$A$4:$P$1203,4,0),"※编码不在物料档案里"))</f>
        <v/>
      </c>
      <c r="G3863" s="24">
        <f>IF($D3863="","",IFERROR(VLOOKUP($D3863,物料档案!$A$4:$P$1203,5,0),"※编码不在物料档案里"))</f>
        <v/>
      </c>
      <c r="H3863" s="24">
        <f>IF($D3863="","",IFERROR(VLOOKUP($D3863,物料档案!$A$4:$P$1203,2,0),"※编码不在物料档案里"))</f>
        <v/>
      </c>
      <c r="I3863" s="24">
        <f>IF($D3863="","",IFERROR(VLOOKUP($D3863,物料档案!$A$4:$P$1203,6,0),"※编码不在物料档案里"))</f>
        <v/>
      </c>
      <c r="J3863" s="23" t="n"/>
      <c r="K3863" s="17" t="n"/>
      <c r="L3863" s="17" t="n"/>
      <c r="M3863" s="17" t="n"/>
      <c r="N3863" s="17" t="n"/>
      <c r="O3863" s="26">
        <f>IF($D3863="","",IFERROR(VLOOKUP($D3863,物料档案!$A$4:$P$1203,10,0),0))</f>
        <v/>
      </c>
      <c r="P3863" s="32" t="n"/>
      <c r="Q3863" s="26">
        <f>IF($D3863="","",IF($K3863&lt;&gt;"对外销售",0,ROUND(N($J3863)*IF($P3863="",N($O3863),N($P3863)),0)))</f>
        <v/>
      </c>
      <c r="R3863" s="26">
        <f>IF($D3863="","",IFERROR(VLOOKUP($D3863,库存台账!$A$5:$Y$1204,11,0),0))</f>
        <v/>
      </c>
      <c r="S3863" s="26">
        <f>IF($D3863="","",ROUND(N($J3863)*N($R3863),0))</f>
        <v/>
      </c>
      <c r="T3863" s="26">
        <f>IF($D3863="","",IF($K3863&lt;&gt;"对外销售","",ROUND($Q3863-$S3863,0)))</f>
        <v/>
      </c>
      <c r="U3863" s="17" t="n"/>
      <c r="V3863" s="17" t="n"/>
      <c r="W3863" s="24">
        <f>IF($D3863="","",IF($E3863="※编码不在物料档案里","※物料编码不在档案里",IF(N($J3863)&lt;=0,"※出库数量要大于 0",IF($K3863="","※没填去向类型",IF($L3863="","※没填去向矿区",IF(AND($C3863&lt;&gt;"",$C3863&lt;=结账锁),"※日期早于已结账截止日，不能再录",IF(AND($K3863="自用消耗",COUNTIF({"一矿区";"二矿区"},$L3863)=0),"※自用消耗的去向只能是一矿区或二矿区",IF(AND($K3863="对外销售",COUNTIF({"三矿区";"六矿区"},$L3863)=0),"※对外销售的去向只能是三矿区或六矿区",IF(AND($K3863="对外销售",ROUND($Q3863,0)=0),"※外销却没有售价，请填实际售价",IF(AND($K3863="对外销售",$T3863&lt;&gt;"",$T3863&lt;0),"※这一笔外销是亏的，请核对售价",IF(IFERROR(VLOOKUP($D3863,库存台账!$A$5:$Y$1204,24,0),0)&lt;-0.001,"※这个物料账面已经变成负数了，查一下是不是漏记入库","")))))))))))</f>
        <v/>
      </c>
    </row>
    <row r="3864">
      <c r="A3864" s="24">
        <f>IF($D3864="","",COUNTA($D$4:$D3864))</f>
        <v/>
      </c>
      <c r="B3864" s="17" t="n"/>
      <c r="C3864" s="30" t="n"/>
      <c r="D3864" s="17" t="n"/>
      <c r="E3864" s="24">
        <f>IF($D3864="","",IFERROR(VLOOKUP($D3864,物料档案!$A$4:$P$1203,3,0),"※编码不在物料档案里"))</f>
        <v/>
      </c>
      <c r="F3864" s="24">
        <f>IF($D3864="","",IFERROR(VLOOKUP($D3864,物料档案!$A$4:$P$1203,4,0),"※编码不在物料档案里"))</f>
        <v/>
      </c>
      <c r="G3864" s="24">
        <f>IF($D3864="","",IFERROR(VLOOKUP($D3864,物料档案!$A$4:$P$1203,5,0),"※编码不在物料档案里"))</f>
        <v/>
      </c>
      <c r="H3864" s="24">
        <f>IF($D3864="","",IFERROR(VLOOKUP($D3864,物料档案!$A$4:$P$1203,2,0),"※编码不在物料档案里"))</f>
        <v/>
      </c>
      <c r="I3864" s="24">
        <f>IF($D3864="","",IFERROR(VLOOKUP($D3864,物料档案!$A$4:$P$1203,6,0),"※编码不在物料档案里"))</f>
        <v/>
      </c>
      <c r="J3864" s="23" t="n"/>
      <c r="K3864" s="17" t="n"/>
      <c r="L3864" s="17" t="n"/>
      <c r="M3864" s="17" t="n"/>
      <c r="N3864" s="17" t="n"/>
      <c r="O3864" s="26">
        <f>IF($D3864="","",IFERROR(VLOOKUP($D3864,物料档案!$A$4:$P$1203,10,0),0))</f>
        <v/>
      </c>
      <c r="P3864" s="32" t="n"/>
      <c r="Q3864" s="26">
        <f>IF($D3864="","",IF($K3864&lt;&gt;"对外销售",0,ROUND(N($J3864)*IF($P3864="",N($O3864),N($P3864)),0)))</f>
        <v/>
      </c>
      <c r="R3864" s="26">
        <f>IF($D3864="","",IFERROR(VLOOKUP($D3864,库存台账!$A$5:$Y$1204,11,0),0))</f>
        <v/>
      </c>
      <c r="S3864" s="26">
        <f>IF($D3864="","",ROUND(N($J3864)*N($R3864),0))</f>
        <v/>
      </c>
      <c r="T3864" s="26">
        <f>IF($D3864="","",IF($K3864&lt;&gt;"对外销售","",ROUND($Q3864-$S3864,0)))</f>
        <v/>
      </c>
      <c r="U3864" s="17" t="n"/>
      <c r="V3864" s="17" t="n"/>
      <c r="W3864" s="24">
        <f>IF($D3864="","",IF($E3864="※编码不在物料档案里","※物料编码不在档案里",IF(N($J3864)&lt;=0,"※出库数量要大于 0",IF($K3864="","※没填去向类型",IF($L3864="","※没填去向矿区",IF(AND($C3864&lt;&gt;"",$C3864&lt;=结账锁),"※日期早于已结账截止日，不能再录",IF(AND($K3864="自用消耗",COUNTIF({"一矿区";"二矿区"},$L3864)=0),"※自用消耗的去向只能是一矿区或二矿区",IF(AND($K3864="对外销售",COUNTIF({"三矿区";"六矿区"},$L3864)=0),"※对外销售的去向只能是三矿区或六矿区",IF(AND($K3864="对外销售",ROUND($Q3864,0)=0),"※外销却没有售价，请填实际售价",IF(AND($K3864="对外销售",$T3864&lt;&gt;"",$T3864&lt;0),"※这一笔外销是亏的，请核对售价",IF(IFERROR(VLOOKUP($D3864,库存台账!$A$5:$Y$1204,24,0),0)&lt;-0.001,"※这个物料账面已经变成负数了，查一下是不是漏记入库","")))))))))))</f>
        <v/>
      </c>
    </row>
    <row r="3865">
      <c r="A3865" s="24">
        <f>IF($D3865="","",COUNTA($D$4:$D3865))</f>
        <v/>
      </c>
      <c r="B3865" s="17" t="n"/>
      <c r="C3865" s="30" t="n"/>
      <c r="D3865" s="17" t="n"/>
      <c r="E3865" s="24">
        <f>IF($D3865="","",IFERROR(VLOOKUP($D3865,物料档案!$A$4:$P$1203,3,0),"※编码不在物料档案里"))</f>
        <v/>
      </c>
      <c r="F3865" s="24">
        <f>IF($D3865="","",IFERROR(VLOOKUP($D3865,物料档案!$A$4:$P$1203,4,0),"※编码不在物料档案里"))</f>
        <v/>
      </c>
      <c r="G3865" s="24">
        <f>IF($D3865="","",IFERROR(VLOOKUP($D3865,物料档案!$A$4:$P$1203,5,0),"※编码不在物料档案里"))</f>
        <v/>
      </c>
      <c r="H3865" s="24">
        <f>IF($D3865="","",IFERROR(VLOOKUP($D3865,物料档案!$A$4:$P$1203,2,0),"※编码不在物料档案里"))</f>
        <v/>
      </c>
      <c r="I3865" s="24">
        <f>IF($D3865="","",IFERROR(VLOOKUP($D3865,物料档案!$A$4:$P$1203,6,0),"※编码不在物料档案里"))</f>
        <v/>
      </c>
      <c r="J3865" s="23" t="n"/>
      <c r="K3865" s="17" t="n"/>
      <c r="L3865" s="17" t="n"/>
      <c r="M3865" s="17" t="n"/>
      <c r="N3865" s="17" t="n"/>
      <c r="O3865" s="26">
        <f>IF($D3865="","",IFERROR(VLOOKUP($D3865,物料档案!$A$4:$P$1203,10,0),0))</f>
        <v/>
      </c>
      <c r="P3865" s="32" t="n"/>
      <c r="Q3865" s="26">
        <f>IF($D3865="","",IF($K3865&lt;&gt;"对外销售",0,ROUND(N($J3865)*IF($P3865="",N($O3865),N($P3865)),0)))</f>
        <v/>
      </c>
      <c r="R3865" s="26">
        <f>IF($D3865="","",IFERROR(VLOOKUP($D3865,库存台账!$A$5:$Y$1204,11,0),0))</f>
        <v/>
      </c>
      <c r="S3865" s="26">
        <f>IF($D3865="","",ROUND(N($J3865)*N($R3865),0))</f>
        <v/>
      </c>
      <c r="T3865" s="26">
        <f>IF($D3865="","",IF($K3865&lt;&gt;"对外销售","",ROUND($Q3865-$S3865,0)))</f>
        <v/>
      </c>
      <c r="U3865" s="17" t="n"/>
      <c r="V3865" s="17" t="n"/>
      <c r="W3865" s="24">
        <f>IF($D3865="","",IF($E3865="※编码不在物料档案里","※物料编码不在档案里",IF(N($J3865)&lt;=0,"※出库数量要大于 0",IF($K3865="","※没填去向类型",IF($L3865="","※没填去向矿区",IF(AND($C3865&lt;&gt;"",$C3865&lt;=结账锁),"※日期早于已结账截止日，不能再录",IF(AND($K3865="自用消耗",COUNTIF({"一矿区";"二矿区"},$L3865)=0),"※自用消耗的去向只能是一矿区或二矿区",IF(AND($K3865="对外销售",COUNTIF({"三矿区";"六矿区"},$L3865)=0),"※对外销售的去向只能是三矿区或六矿区",IF(AND($K3865="对外销售",ROUND($Q3865,0)=0),"※外销却没有售价，请填实际售价",IF(AND($K3865="对外销售",$T3865&lt;&gt;"",$T3865&lt;0),"※这一笔外销是亏的，请核对售价",IF(IFERROR(VLOOKUP($D3865,库存台账!$A$5:$Y$1204,24,0),0)&lt;-0.001,"※这个物料账面已经变成负数了，查一下是不是漏记入库","")))))))))))</f>
        <v/>
      </c>
    </row>
    <row r="3866">
      <c r="A3866" s="24">
        <f>IF($D3866="","",COUNTA($D$4:$D3866))</f>
        <v/>
      </c>
      <c r="B3866" s="17" t="n"/>
      <c r="C3866" s="30" t="n"/>
      <c r="D3866" s="17" t="n"/>
      <c r="E3866" s="24">
        <f>IF($D3866="","",IFERROR(VLOOKUP($D3866,物料档案!$A$4:$P$1203,3,0),"※编码不在物料档案里"))</f>
        <v/>
      </c>
      <c r="F3866" s="24">
        <f>IF($D3866="","",IFERROR(VLOOKUP($D3866,物料档案!$A$4:$P$1203,4,0),"※编码不在物料档案里"))</f>
        <v/>
      </c>
      <c r="G3866" s="24">
        <f>IF($D3866="","",IFERROR(VLOOKUP($D3866,物料档案!$A$4:$P$1203,5,0),"※编码不在物料档案里"))</f>
        <v/>
      </c>
      <c r="H3866" s="24">
        <f>IF($D3866="","",IFERROR(VLOOKUP($D3866,物料档案!$A$4:$P$1203,2,0),"※编码不在物料档案里"))</f>
        <v/>
      </c>
      <c r="I3866" s="24">
        <f>IF($D3866="","",IFERROR(VLOOKUP($D3866,物料档案!$A$4:$P$1203,6,0),"※编码不在物料档案里"))</f>
        <v/>
      </c>
      <c r="J3866" s="23" t="n"/>
      <c r="K3866" s="17" t="n"/>
      <c r="L3866" s="17" t="n"/>
      <c r="M3866" s="17" t="n"/>
      <c r="N3866" s="17" t="n"/>
      <c r="O3866" s="26">
        <f>IF($D3866="","",IFERROR(VLOOKUP($D3866,物料档案!$A$4:$P$1203,10,0),0))</f>
        <v/>
      </c>
      <c r="P3866" s="32" t="n"/>
      <c r="Q3866" s="26">
        <f>IF($D3866="","",IF($K3866&lt;&gt;"对外销售",0,ROUND(N($J3866)*IF($P3866="",N($O3866),N($P3866)),0)))</f>
        <v/>
      </c>
      <c r="R3866" s="26">
        <f>IF($D3866="","",IFERROR(VLOOKUP($D3866,库存台账!$A$5:$Y$1204,11,0),0))</f>
        <v/>
      </c>
      <c r="S3866" s="26">
        <f>IF($D3866="","",ROUND(N($J3866)*N($R3866),0))</f>
        <v/>
      </c>
      <c r="T3866" s="26">
        <f>IF($D3866="","",IF($K3866&lt;&gt;"对外销售","",ROUND($Q3866-$S3866,0)))</f>
        <v/>
      </c>
      <c r="U3866" s="17" t="n"/>
      <c r="V3866" s="17" t="n"/>
      <c r="W3866" s="24">
        <f>IF($D3866="","",IF($E3866="※编码不在物料档案里","※物料编码不在档案里",IF(N($J3866)&lt;=0,"※出库数量要大于 0",IF($K3866="","※没填去向类型",IF($L3866="","※没填去向矿区",IF(AND($C3866&lt;&gt;"",$C3866&lt;=结账锁),"※日期早于已结账截止日，不能再录",IF(AND($K3866="自用消耗",COUNTIF({"一矿区";"二矿区"},$L3866)=0),"※自用消耗的去向只能是一矿区或二矿区",IF(AND($K3866="对外销售",COUNTIF({"三矿区";"六矿区"},$L3866)=0),"※对外销售的去向只能是三矿区或六矿区",IF(AND($K3866="对外销售",ROUND($Q3866,0)=0),"※外销却没有售价，请填实际售价",IF(AND($K3866="对外销售",$T3866&lt;&gt;"",$T3866&lt;0),"※这一笔外销是亏的，请核对售价",IF(IFERROR(VLOOKUP($D3866,库存台账!$A$5:$Y$1204,24,0),0)&lt;-0.001,"※这个物料账面已经变成负数了，查一下是不是漏记入库","")))))))))))</f>
        <v/>
      </c>
    </row>
    <row r="3867">
      <c r="A3867" s="24">
        <f>IF($D3867="","",COUNTA($D$4:$D3867))</f>
        <v/>
      </c>
      <c r="B3867" s="17" t="n"/>
      <c r="C3867" s="30" t="n"/>
      <c r="D3867" s="17" t="n"/>
      <c r="E3867" s="24">
        <f>IF($D3867="","",IFERROR(VLOOKUP($D3867,物料档案!$A$4:$P$1203,3,0),"※编码不在物料档案里"))</f>
        <v/>
      </c>
      <c r="F3867" s="24">
        <f>IF($D3867="","",IFERROR(VLOOKUP($D3867,物料档案!$A$4:$P$1203,4,0),"※编码不在物料档案里"))</f>
        <v/>
      </c>
      <c r="G3867" s="24">
        <f>IF($D3867="","",IFERROR(VLOOKUP($D3867,物料档案!$A$4:$P$1203,5,0),"※编码不在物料档案里"))</f>
        <v/>
      </c>
      <c r="H3867" s="24">
        <f>IF($D3867="","",IFERROR(VLOOKUP($D3867,物料档案!$A$4:$P$1203,2,0),"※编码不在物料档案里"))</f>
        <v/>
      </c>
      <c r="I3867" s="24">
        <f>IF($D3867="","",IFERROR(VLOOKUP($D3867,物料档案!$A$4:$P$1203,6,0),"※编码不在物料档案里"))</f>
        <v/>
      </c>
      <c r="J3867" s="23" t="n"/>
      <c r="K3867" s="17" t="n"/>
      <c r="L3867" s="17" t="n"/>
      <c r="M3867" s="17" t="n"/>
      <c r="N3867" s="17" t="n"/>
      <c r="O3867" s="26">
        <f>IF($D3867="","",IFERROR(VLOOKUP($D3867,物料档案!$A$4:$P$1203,10,0),0))</f>
        <v/>
      </c>
      <c r="P3867" s="32" t="n"/>
      <c r="Q3867" s="26">
        <f>IF($D3867="","",IF($K3867&lt;&gt;"对外销售",0,ROUND(N($J3867)*IF($P3867="",N($O3867),N($P3867)),0)))</f>
        <v/>
      </c>
      <c r="R3867" s="26">
        <f>IF($D3867="","",IFERROR(VLOOKUP($D3867,库存台账!$A$5:$Y$1204,11,0),0))</f>
        <v/>
      </c>
      <c r="S3867" s="26">
        <f>IF($D3867="","",ROUND(N($J3867)*N($R3867),0))</f>
        <v/>
      </c>
      <c r="T3867" s="26">
        <f>IF($D3867="","",IF($K3867&lt;&gt;"对外销售","",ROUND($Q3867-$S3867,0)))</f>
        <v/>
      </c>
      <c r="U3867" s="17" t="n"/>
      <c r="V3867" s="17" t="n"/>
      <c r="W3867" s="24">
        <f>IF($D3867="","",IF($E3867="※编码不在物料档案里","※物料编码不在档案里",IF(N($J3867)&lt;=0,"※出库数量要大于 0",IF($K3867="","※没填去向类型",IF($L3867="","※没填去向矿区",IF(AND($C3867&lt;&gt;"",$C3867&lt;=结账锁),"※日期早于已结账截止日，不能再录",IF(AND($K3867="自用消耗",COUNTIF({"一矿区";"二矿区"},$L3867)=0),"※自用消耗的去向只能是一矿区或二矿区",IF(AND($K3867="对外销售",COUNTIF({"三矿区";"六矿区"},$L3867)=0),"※对外销售的去向只能是三矿区或六矿区",IF(AND($K3867="对外销售",ROUND($Q3867,0)=0),"※外销却没有售价，请填实际售价",IF(AND($K3867="对外销售",$T3867&lt;&gt;"",$T3867&lt;0),"※这一笔外销是亏的，请核对售价",IF(IFERROR(VLOOKUP($D3867,库存台账!$A$5:$Y$1204,24,0),0)&lt;-0.001,"※这个物料账面已经变成负数了，查一下是不是漏记入库","")))))))))))</f>
        <v/>
      </c>
    </row>
    <row r="3868">
      <c r="A3868" s="24">
        <f>IF($D3868="","",COUNTA($D$4:$D3868))</f>
        <v/>
      </c>
      <c r="B3868" s="17" t="n"/>
      <c r="C3868" s="30" t="n"/>
      <c r="D3868" s="17" t="n"/>
      <c r="E3868" s="24">
        <f>IF($D3868="","",IFERROR(VLOOKUP($D3868,物料档案!$A$4:$P$1203,3,0),"※编码不在物料档案里"))</f>
        <v/>
      </c>
      <c r="F3868" s="24">
        <f>IF($D3868="","",IFERROR(VLOOKUP($D3868,物料档案!$A$4:$P$1203,4,0),"※编码不在物料档案里"))</f>
        <v/>
      </c>
      <c r="G3868" s="24">
        <f>IF($D3868="","",IFERROR(VLOOKUP($D3868,物料档案!$A$4:$P$1203,5,0),"※编码不在物料档案里"))</f>
        <v/>
      </c>
      <c r="H3868" s="24">
        <f>IF($D3868="","",IFERROR(VLOOKUP($D3868,物料档案!$A$4:$P$1203,2,0),"※编码不在物料档案里"))</f>
        <v/>
      </c>
      <c r="I3868" s="24">
        <f>IF($D3868="","",IFERROR(VLOOKUP($D3868,物料档案!$A$4:$P$1203,6,0),"※编码不在物料档案里"))</f>
        <v/>
      </c>
      <c r="J3868" s="23" t="n"/>
      <c r="K3868" s="17" t="n"/>
      <c r="L3868" s="17" t="n"/>
      <c r="M3868" s="17" t="n"/>
      <c r="N3868" s="17" t="n"/>
      <c r="O3868" s="26">
        <f>IF($D3868="","",IFERROR(VLOOKUP($D3868,物料档案!$A$4:$P$1203,10,0),0))</f>
        <v/>
      </c>
      <c r="P3868" s="32" t="n"/>
      <c r="Q3868" s="26">
        <f>IF($D3868="","",IF($K3868&lt;&gt;"对外销售",0,ROUND(N($J3868)*IF($P3868="",N($O3868),N($P3868)),0)))</f>
        <v/>
      </c>
      <c r="R3868" s="26">
        <f>IF($D3868="","",IFERROR(VLOOKUP($D3868,库存台账!$A$5:$Y$1204,11,0),0))</f>
        <v/>
      </c>
      <c r="S3868" s="26">
        <f>IF($D3868="","",ROUND(N($J3868)*N($R3868),0))</f>
        <v/>
      </c>
      <c r="T3868" s="26">
        <f>IF($D3868="","",IF($K3868&lt;&gt;"对外销售","",ROUND($Q3868-$S3868,0)))</f>
        <v/>
      </c>
      <c r="U3868" s="17" t="n"/>
      <c r="V3868" s="17" t="n"/>
      <c r="W3868" s="24">
        <f>IF($D3868="","",IF($E3868="※编码不在物料档案里","※物料编码不在档案里",IF(N($J3868)&lt;=0,"※出库数量要大于 0",IF($K3868="","※没填去向类型",IF($L3868="","※没填去向矿区",IF(AND($C3868&lt;&gt;"",$C3868&lt;=结账锁),"※日期早于已结账截止日，不能再录",IF(AND($K3868="自用消耗",COUNTIF({"一矿区";"二矿区"},$L3868)=0),"※自用消耗的去向只能是一矿区或二矿区",IF(AND($K3868="对外销售",COUNTIF({"三矿区";"六矿区"},$L3868)=0),"※对外销售的去向只能是三矿区或六矿区",IF(AND($K3868="对外销售",ROUND($Q3868,0)=0),"※外销却没有售价，请填实际售价",IF(AND($K3868="对外销售",$T3868&lt;&gt;"",$T3868&lt;0),"※这一笔外销是亏的，请核对售价",IF(IFERROR(VLOOKUP($D3868,库存台账!$A$5:$Y$1204,24,0),0)&lt;-0.001,"※这个物料账面已经变成负数了，查一下是不是漏记入库","")))))))))))</f>
        <v/>
      </c>
    </row>
    <row r="3869">
      <c r="A3869" s="24">
        <f>IF($D3869="","",COUNTA($D$4:$D3869))</f>
        <v/>
      </c>
      <c r="B3869" s="17" t="n"/>
      <c r="C3869" s="30" t="n"/>
      <c r="D3869" s="17" t="n"/>
      <c r="E3869" s="24">
        <f>IF($D3869="","",IFERROR(VLOOKUP($D3869,物料档案!$A$4:$P$1203,3,0),"※编码不在物料档案里"))</f>
        <v/>
      </c>
      <c r="F3869" s="24">
        <f>IF($D3869="","",IFERROR(VLOOKUP($D3869,物料档案!$A$4:$P$1203,4,0),"※编码不在物料档案里"))</f>
        <v/>
      </c>
      <c r="G3869" s="24">
        <f>IF($D3869="","",IFERROR(VLOOKUP($D3869,物料档案!$A$4:$P$1203,5,0),"※编码不在物料档案里"))</f>
        <v/>
      </c>
      <c r="H3869" s="24">
        <f>IF($D3869="","",IFERROR(VLOOKUP($D3869,物料档案!$A$4:$P$1203,2,0),"※编码不在物料档案里"))</f>
        <v/>
      </c>
      <c r="I3869" s="24">
        <f>IF($D3869="","",IFERROR(VLOOKUP($D3869,物料档案!$A$4:$P$1203,6,0),"※编码不在物料档案里"))</f>
        <v/>
      </c>
      <c r="J3869" s="23" t="n"/>
      <c r="K3869" s="17" t="n"/>
      <c r="L3869" s="17" t="n"/>
      <c r="M3869" s="17" t="n"/>
      <c r="N3869" s="17" t="n"/>
      <c r="O3869" s="26">
        <f>IF($D3869="","",IFERROR(VLOOKUP($D3869,物料档案!$A$4:$P$1203,10,0),0))</f>
        <v/>
      </c>
      <c r="P3869" s="32" t="n"/>
      <c r="Q3869" s="26">
        <f>IF($D3869="","",IF($K3869&lt;&gt;"对外销售",0,ROUND(N($J3869)*IF($P3869="",N($O3869),N($P3869)),0)))</f>
        <v/>
      </c>
      <c r="R3869" s="26">
        <f>IF($D3869="","",IFERROR(VLOOKUP($D3869,库存台账!$A$5:$Y$1204,11,0),0))</f>
        <v/>
      </c>
      <c r="S3869" s="26">
        <f>IF($D3869="","",ROUND(N($J3869)*N($R3869),0))</f>
        <v/>
      </c>
      <c r="T3869" s="26">
        <f>IF($D3869="","",IF($K3869&lt;&gt;"对外销售","",ROUND($Q3869-$S3869,0)))</f>
        <v/>
      </c>
      <c r="U3869" s="17" t="n"/>
      <c r="V3869" s="17" t="n"/>
      <c r="W3869" s="24">
        <f>IF($D3869="","",IF($E3869="※编码不在物料档案里","※物料编码不在档案里",IF(N($J3869)&lt;=0,"※出库数量要大于 0",IF($K3869="","※没填去向类型",IF($L3869="","※没填去向矿区",IF(AND($C3869&lt;&gt;"",$C3869&lt;=结账锁),"※日期早于已结账截止日，不能再录",IF(AND($K3869="自用消耗",COUNTIF({"一矿区";"二矿区"},$L3869)=0),"※自用消耗的去向只能是一矿区或二矿区",IF(AND($K3869="对外销售",COUNTIF({"三矿区";"六矿区"},$L3869)=0),"※对外销售的去向只能是三矿区或六矿区",IF(AND($K3869="对外销售",ROUND($Q3869,0)=0),"※外销却没有售价，请填实际售价",IF(AND($K3869="对外销售",$T3869&lt;&gt;"",$T3869&lt;0),"※这一笔外销是亏的，请核对售价",IF(IFERROR(VLOOKUP($D3869,库存台账!$A$5:$Y$1204,24,0),0)&lt;-0.001,"※这个物料账面已经变成负数了，查一下是不是漏记入库","")))))))))))</f>
        <v/>
      </c>
    </row>
    <row r="3870">
      <c r="A3870" s="24">
        <f>IF($D3870="","",COUNTA($D$4:$D3870))</f>
        <v/>
      </c>
      <c r="B3870" s="17" t="n"/>
      <c r="C3870" s="30" t="n"/>
      <c r="D3870" s="17" t="n"/>
      <c r="E3870" s="24">
        <f>IF($D3870="","",IFERROR(VLOOKUP($D3870,物料档案!$A$4:$P$1203,3,0),"※编码不在物料档案里"))</f>
        <v/>
      </c>
      <c r="F3870" s="24">
        <f>IF($D3870="","",IFERROR(VLOOKUP($D3870,物料档案!$A$4:$P$1203,4,0),"※编码不在物料档案里"))</f>
        <v/>
      </c>
      <c r="G3870" s="24">
        <f>IF($D3870="","",IFERROR(VLOOKUP($D3870,物料档案!$A$4:$P$1203,5,0),"※编码不在物料档案里"))</f>
        <v/>
      </c>
      <c r="H3870" s="24">
        <f>IF($D3870="","",IFERROR(VLOOKUP($D3870,物料档案!$A$4:$P$1203,2,0),"※编码不在物料档案里"))</f>
        <v/>
      </c>
      <c r="I3870" s="24">
        <f>IF($D3870="","",IFERROR(VLOOKUP($D3870,物料档案!$A$4:$P$1203,6,0),"※编码不在物料档案里"))</f>
        <v/>
      </c>
      <c r="J3870" s="23" t="n"/>
      <c r="K3870" s="17" t="n"/>
      <c r="L3870" s="17" t="n"/>
      <c r="M3870" s="17" t="n"/>
      <c r="N3870" s="17" t="n"/>
      <c r="O3870" s="26">
        <f>IF($D3870="","",IFERROR(VLOOKUP($D3870,物料档案!$A$4:$P$1203,10,0),0))</f>
        <v/>
      </c>
      <c r="P3870" s="32" t="n"/>
      <c r="Q3870" s="26">
        <f>IF($D3870="","",IF($K3870&lt;&gt;"对外销售",0,ROUND(N($J3870)*IF($P3870="",N($O3870),N($P3870)),0)))</f>
        <v/>
      </c>
      <c r="R3870" s="26">
        <f>IF($D3870="","",IFERROR(VLOOKUP($D3870,库存台账!$A$5:$Y$1204,11,0),0))</f>
        <v/>
      </c>
      <c r="S3870" s="26">
        <f>IF($D3870="","",ROUND(N($J3870)*N($R3870),0))</f>
        <v/>
      </c>
      <c r="T3870" s="26">
        <f>IF($D3870="","",IF($K3870&lt;&gt;"对外销售","",ROUND($Q3870-$S3870,0)))</f>
        <v/>
      </c>
      <c r="U3870" s="17" t="n"/>
      <c r="V3870" s="17" t="n"/>
      <c r="W3870" s="24">
        <f>IF($D3870="","",IF($E3870="※编码不在物料档案里","※物料编码不在档案里",IF(N($J3870)&lt;=0,"※出库数量要大于 0",IF($K3870="","※没填去向类型",IF($L3870="","※没填去向矿区",IF(AND($C3870&lt;&gt;"",$C3870&lt;=结账锁),"※日期早于已结账截止日，不能再录",IF(AND($K3870="自用消耗",COUNTIF({"一矿区";"二矿区"},$L3870)=0),"※自用消耗的去向只能是一矿区或二矿区",IF(AND($K3870="对外销售",COUNTIF({"三矿区";"六矿区"},$L3870)=0),"※对外销售的去向只能是三矿区或六矿区",IF(AND($K3870="对外销售",ROUND($Q3870,0)=0),"※外销却没有售价，请填实际售价",IF(AND($K3870="对外销售",$T3870&lt;&gt;"",$T3870&lt;0),"※这一笔外销是亏的，请核对售价",IF(IFERROR(VLOOKUP($D3870,库存台账!$A$5:$Y$1204,24,0),0)&lt;-0.001,"※这个物料账面已经变成负数了，查一下是不是漏记入库","")))))))))))</f>
        <v/>
      </c>
    </row>
    <row r="3871">
      <c r="A3871" s="24">
        <f>IF($D3871="","",COUNTA($D$4:$D3871))</f>
        <v/>
      </c>
      <c r="B3871" s="17" t="n"/>
      <c r="C3871" s="30" t="n"/>
      <c r="D3871" s="17" t="n"/>
      <c r="E3871" s="24">
        <f>IF($D3871="","",IFERROR(VLOOKUP($D3871,物料档案!$A$4:$P$1203,3,0),"※编码不在物料档案里"))</f>
        <v/>
      </c>
      <c r="F3871" s="24">
        <f>IF($D3871="","",IFERROR(VLOOKUP($D3871,物料档案!$A$4:$P$1203,4,0),"※编码不在物料档案里"))</f>
        <v/>
      </c>
      <c r="G3871" s="24">
        <f>IF($D3871="","",IFERROR(VLOOKUP($D3871,物料档案!$A$4:$P$1203,5,0),"※编码不在物料档案里"))</f>
        <v/>
      </c>
      <c r="H3871" s="24">
        <f>IF($D3871="","",IFERROR(VLOOKUP($D3871,物料档案!$A$4:$P$1203,2,0),"※编码不在物料档案里"))</f>
        <v/>
      </c>
      <c r="I3871" s="24">
        <f>IF($D3871="","",IFERROR(VLOOKUP($D3871,物料档案!$A$4:$P$1203,6,0),"※编码不在物料档案里"))</f>
        <v/>
      </c>
      <c r="J3871" s="23" t="n"/>
      <c r="K3871" s="17" t="n"/>
      <c r="L3871" s="17" t="n"/>
      <c r="M3871" s="17" t="n"/>
      <c r="N3871" s="17" t="n"/>
      <c r="O3871" s="26">
        <f>IF($D3871="","",IFERROR(VLOOKUP($D3871,物料档案!$A$4:$P$1203,10,0),0))</f>
        <v/>
      </c>
      <c r="P3871" s="32" t="n"/>
      <c r="Q3871" s="26">
        <f>IF($D3871="","",IF($K3871&lt;&gt;"对外销售",0,ROUND(N($J3871)*IF($P3871="",N($O3871),N($P3871)),0)))</f>
        <v/>
      </c>
      <c r="R3871" s="26">
        <f>IF($D3871="","",IFERROR(VLOOKUP($D3871,库存台账!$A$5:$Y$1204,11,0),0))</f>
        <v/>
      </c>
      <c r="S3871" s="26">
        <f>IF($D3871="","",ROUND(N($J3871)*N($R3871),0))</f>
        <v/>
      </c>
      <c r="T3871" s="26">
        <f>IF($D3871="","",IF($K3871&lt;&gt;"对外销售","",ROUND($Q3871-$S3871,0)))</f>
        <v/>
      </c>
      <c r="U3871" s="17" t="n"/>
      <c r="V3871" s="17" t="n"/>
      <c r="W3871" s="24">
        <f>IF($D3871="","",IF($E3871="※编码不在物料档案里","※物料编码不在档案里",IF(N($J3871)&lt;=0,"※出库数量要大于 0",IF($K3871="","※没填去向类型",IF($L3871="","※没填去向矿区",IF(AND($C3871&lt;&gt;"",$C3871&lt;=结账锁),"※日期早于已结账截止日，不能再录",IF(AND($K3871="自用消耗",COUNTIF({"一矿区";"二矿区"},$L3871)=0),"※自用消耗的去向只能是一矿区或二矿区",IF(AND($K3871="对外销售",COUNTIF({"三矿区";"六矿区"},$L3871)=0),"※对外销售的去向只能是三矿区或六矿区",IF(AND($K3871="对外销售",ROUND($Q3871,0)=0),"※外销却没有售价，请填实际售价",IF(AND($K3871="对外销售",$T3871&lt;&gt;"",$T3871&lt;0),"※这一笔外销是亏的，请核对售价",IF(IFERROR(VLOOKUP($D3871,库存台账!$A$5:$Y$1204,24,0),0)&lt;-0.001,"※这个物料账面已经变成负数了，查一下是不是漏记入库","")))))))))))</f>
        <v/>
      </c>
    </row>
    <row r="3872">
      <c r="A3872" s="24">
        <f>IF($D3872="","",COUNTA($D$4:$D3872))</f>
        <v/>
      </c>
      <c r="B3872" s="17" t="n"/>
      <c r="C3872" s="30" t="n"/>
      <c r="D3872" s="17" t="n"/>
      <c r="E3872" s="24">
        <f>IF($D3872="","",IFERROR(VLOOKUP($D3872,物料档案!$A$4:$P$1203,3,0),"※编码不在物料档案里"))</f>
        <v/>
      </c>
      <c r="F3872" s="24">
        <f>IF($D3872="","",IFERROR(VLOOKUP($D3872,物料档案!$A$4:$P$1203,4,0),"※编码不在物料档案里"))</f>
        <v/>
      </c>
      <c r="G3872" s="24">
        <f>IF($D3872="","",IFERROR(VLOOKUP($D3872,物料档案!$A$4:$P$1203,5,0),"※编码不在物料档案里"))</f>
        <v/>
      </c>
      <c r="H3872" s="24">
        <f>IF($D3872="","",IFERROR(VLOOKUP($D3872,物料档案!$A$4:$P$1203,2,0),"※编码不在物料档案里"))</f>
        <v/>
      </c>
      <c r="I3872" s="24">
        <f>IF($D3872="","",IFERROR(VLOOKUP($D3872,物料档案!$A$4:$P$1203,6,0),"※编码不在物料档案里"))</f>
        <v/>
      </c>
      <c r="J3872" s="23" t="n"/>
      <c r="K3872" s="17" t="n"/>
      <c r="L3872" s="17" t="n"/>
      <c r="M3872" s="17" t="n"/>
      <c r="N3872" s="17" t="n"/>
      <c r="O3872" s="26">
        <f>IF($D3872="","",IFERROR(VLOOKUP($D3872,物料档案!$A$4:$P$1203,10,0),0))</f>
        <v/>
      </c>
      <c r="P3872" s="32" t="n"/>
      <c r="Q3872" s="26">
        <f>IF($D3872="","",IF($K3872&lt;&gt;"对外销售",0,ROUND(N($J3872)*IF($P3872="",N($O3872),N($P3872)),0)))</f>
        <v/>
      </c>
      <c r="R3872" s="26">
        <f>IF($D3872="","",IFERROR(VLOOKUP($D3872,库存台账!$A$5:$Y$1204,11,0),0))</f>
        <v/>
      </c>
      <c r="S3872" s="26">
        <f>IF($D3872="","",ROUND(N($J3872)*N($R3872),0))</f>
        <v/>
      </c>
      <c r="T3872" s="26">
        <f>IF($D3872="","",IF($K3872&lt;&gt;"对外销售","",ROUND($Q3872-$S3872,0)))</f>
        <v/>
      </c>
      <c r="U3872" s="17" t="n"/>
      <c r="V3872" s="17" t="n"/>
      <c r="W3872" s="24">
        <f>IF($D3872="","",IF($E3872="※编码不在物料档案里","※物料编码不在档案里",IF(N($J3872)&lt;=0,"※出库数量要大于 0",IF($K3872="","※没填去向类型",IF($L3872="","※没填去向矿区",IF(AND($C3872&lt;&gt;"",$C3872&lt;=结账锁),"※日期早于已结账截止日，不能再录",IF(AND($K3872="自用消耗",COUNTIF({"一矿区";"二矿区"},$L3872)=0),"※自用消耗的去向只能是一矿区或二矿区",IF(AND($K3872="对外销售",COUNTIF({"三矿区";"六矿区"},$L3872)=0),"※对外销售的去向只能是三矿区或六矿区",IF(AND($K3872="对外销售",ROUND($Q3872,0)=0),"※外销却没有售价，请填实际售价",IF(AND($K3872="对外销售",$T3872&lt;&gt;"",$T3872&lt;0),"※这一笔外销是亏的，请核对售价",IF(IFERROR(VLOOKUP($D3872,库存台账!$A$5:$Y$1204,24,0),0)&lt;-0.001,"※这个物料账面已经变成负数了，查一下是不是漏记入库","")))))))))))</f>
        <v/>
      </c>
    </row>
    <row r="3873">
      <c r="A3873" s="24">
        <f>IF($D3873="","",COUNTA($D$4:$D3873))</f>
        <v/>
      </c>
      <c r="B3873" s="17" t="n"/>
      <c r="C3873" s="30" t="n"/>
      <c r="D3873" s="17" t="n"/>
      <c r="E3873" s="24">
        <f>IF($D3873="","",IFERROR(VLOOKUP($D3873,物料档案!$A$4:$P$1203,3,0),"※编码不在物料档案里"))</f>
        <v/>
      </c>
      <c r="F3873" s="24">
        <f>IF($D3873="","",IFERROR(VLOOKUP($D3873,物料档案!$A$4:$P$1203,4,0),"※编码不在物料档案里"))</f>
        <v/>
      </c>
      <c r="G3873" s="24">
        <f>IF($D3873="","",IFERROR(VLOOKUP($D3873,物料档案!$A$4:$P$1203,5,0),"※编码不在物料档案里"))</f>
        <v/>
      </c>
      <c r="H3873" s="24">
        <f>IF($D3873="","",IFERROR(VLOOKUP($D3873,物料档案!$A$4:$P$1203,2,0),"※编码不在物料档案里"))</f>
        <v/>
      </c>
      <c r="I3873" s="24">
        <f>IF($D3873="","",IFERROR(VLOOKUP($D3873,物料档案!$A$4:$P$1203,6,0),"※编码不在物料档案里"))</f>
        <v/>
      </c>
      <c r="J3873" s="23" t="n"/>
      <c r="K3873" s="17" t="n"/>
      <c r="L3873" s="17" t="n"/>
      <c r="M3873" s="17" t="n"/>
      <c r="N3873" s="17" t="n"/>
      <c r="O3873" s="26">
        <f>IF($D3873="","",IFERROR(VLOOKUP($D3873,物料档案!$A$4:$P$1203,10,0),0))</f>
        <v/>
      </c>
      <c r="P3873" s="32" t="n"/>
      <c r="Q3873" s="26">
        <f>IF($D3873="","",IF($K3873&lt;&gt;"对外销售",0,ROUND(N($J3873)*IF($P3873="",N($O3873),N($P3873)),0)))</f>
        <v/>
      </c>
      <c r="R3873" s="26">
        <f>IF($D3873="","",IFERROR(VLOOKUP($D3873,库存台账!$A$5:$Y$1204,11,0),0))</f>
        <v/>
      </c>
      <c r="S3873" s="26">
        <f>IF($D3873="","",ROUND(N($J3873)*N($R3873),0))</f>
        <v/>
      </c>
      <c r="T3873" s="26">
        <f>IF($D3873="","",IF($K3873&lt;&gt;"对外销售","",ROUND($Q3873-$S3873,0)))</f>
        <v/>
      </c>
      <c r="U3873" s="17" t="n"/>
      <c r="V3873" s="17" t="n"/>
      <c r="W3873" s="24">
        <f>IF($D3873="","",IF($E3873="※编码不在物料档案里","※物料编码不在档案里",IF(N($J3873)&lt;=0,"※出库数量要大于 0",IF($K3873="","※没填去向类型",IF($L3873="","※没填去向矿区",IF(AND($C3873&lt;&gt;"",$C3873&lt;=结账锁),"※日期早于已结账截止日，不能再录",IF(AND($K3873="自用消耗",COUNTIF({"一矿区";"二矿区"},$L3873)=0),"※自用消耗的去向只能是一矿区或二矿区",IF(AND($K3873="对外销售",COUNTIF({"三矿区";"六矿区"},$L3873)=0),"※对外销售的去向只能是三矿区或六矿区",IF(AND($K3873="对外销售",ROUND($Q3873,0)=0),"※外销却没有售价，请填实际售价",IF(AND($K3873="对外销售",$T3873&lt;&gt;"",$T3873&lt;0),"※这一笔外销是亏的，请核对售价",IF(IFERROR(VLOOKUP($D3873,库存台账!$A$5:$Y$1204,24,0),0)&lt;-0.001,"※这个物料账面已经变成负数了，查一下是不是漏记入库","")))))))))))</f>
        <v/>
      </c>
    </row>
    <row r="3874">
      <c r="A3874" s="24">
        <f>IF($D3874="","",COUNTA($D$4:$D3874))</f>
        <v/>
      </c>
      <c r="B3874" s="17" t="n"/>
      <c r="C3874" s="30" t="n"/>
      <c r="D3874" s="17" t="n"/>
      <c r="E3874" s="24">
        <f>IF($D3874="","",IFERROR(VLOOKUP($D3874,物料档案!$A$4:$P$1203,3,0),"※编码不在物料档案里"))</f>
        <v/>
      </c>
      <c r="F3874" s="24">
        <f>IF($D3874="","",IFERROR(VLOOKUP($D3874,物料档案!$A$4:$P$1203,4,0),"※编码不在物料档案里"))</f>
        <v/>
      </c>
      <c r="G3874" s="24">
        <f>IF($D3874="","",IFERROR(VLOOKUP($D3874,物料档案!$A$4:$P$1203,5,0),"※编码不在物料档案里"))</f>
        <v/>
      </c>
      <c r="H3874" s="24">
        <f>IF($D3874="","",IFERROR(VLOOKUP($D3874,物料档案!$A$4:$P$1203,2,0),"※编码不在物料档案里"))</f>
        <v/>
      </c>
      <c r="I3874" s="24">
        <f>IF($D3874="","",IFERROR(VLOOKUP($D3874,物料档案!$A$4:$P$1203,6,0),"※编码不在物料档案里"))</f>
        <v/>
      </c>
      <c r="J3874" s="23" t="n"/>
      <c r="K3874" s="17" t="n"/>
      <c r="L3874" s="17" t="n"/>
      <c r="M3874" s="17" t="n"/>
      <c r="N3874" s="17" t="n"/>
      <c r="O3874" s="26">
        <f>IF($D3874="","",IFERROR(VLOOKUP($D3874,物料档案!$A$4:$P$1203,10,0),0))</f>
        <v/>
      </c>
      <c r="P3874" s="32" t="n"/>
      <c r="Q3874" s="26">
        <f>IF($D3874="","",IF($K3874&lt;&gt;"对外销售",0,ROUND(N($J3874)*IF($P3874="",N($O3874),N($P3874)),0)))</f>
        <v/>
      </c>
      <c r="R3874" s="26">
        <f>IF($D3874="","",IFERROR(VLOOKUP($D3874,库存台账!$A$5:$Y$1204,11,0),0))</f>
        <v/>
      </c>
      <c r="S3874" s="26">
        <f>IF($D3874="","",ROUND(N($J3874)*N($R3874),0))</f>
        <v/>
      </c>
      <c r="T3874" s="26">
        <f>IF($D3874="","",IF($K3874&lt;&gt;"对外销售","",ROUND($Q3874-$S3874,0)))</f>
        <v/>
      </c>
      <c r="U3874" s="17" t="n"/>
      <c r="V3874" s="17" t="n"/>
      <c r="W3874" s="24">
        <f>IF($D3874="","",IF($E3874="※编码不在物料档案里","※物料编码不在档案里",IF(N($J3874)&lt;=0,"※出库数量要大于 0",IF($K3874="","※没填去向类型",IF($L3874="","※没填去向矿区",IF(AND($C3874&lt;&gt;"",$C3874&lt;=结账锁),"※日期早于已结账截止日，不能再录",IF(AND($K3874="自用消耗",COUNTIF({"一矿区";"二矿区"},$L3874)=0),"※自用消耗的去向只能是一矿区或二矿区",IF(AND($K3874="对外销售",COUNTIF({"三矿区";"六矿区"},$L3874)=0),"※对外销售的去向只能是三矿区或六矿区",IF(AND($K3874="对外销售",ROUND($Q3874,0)=0),"※外销却没有售价，请填实际售价",IF(AND($K3874="对外销售",$T3874&lt;&gt;"",$T3874&lt;0),"※这一笔外销是亏的，请核对售价",IF(IFERROR(VLOOKUP($D3874,库存台账!$A$5:$Y$1204,24,0),0)&lt;-0.001,"※这个物料账面已经变成负数了，查一下是不是漏记入库","")))))))))))</f>
        <v/>
      </c>
    </row>
    <row r="3875">
      <c r="A3875" s="24">
        <f>IF($D3875="","",COUNTA($D$4:$D3875))</f>
        <v/>
      </c>
      <c r="B3875" s="17" t="n"/>
      <c r="C3875" s="30" t="n"/>
      <c r="D3875" s="17" t="n"/>
      <c r="E3875" s="24">
        <f>IF($D3875="","",IFERROR(VLOOKUP($D3875,物料档案!$A$4:$P$1203,3,0),"※编码不在物料档案里"))</f>
        <v/>
      </c>
      <c r="F3875" s="24">
        <f>IF($D3875="","",IFERROR(VLOOKUP($D3875,物料档案!$A$4:$P$1203,4,0),"※编码不在物料档案里"))</f>
        <v/>
      </c>
      <c r="G3875" s="24">
        <f>IF($D3875="","",IFERROR(VLOOKUP($D3875,物料档案!$A$4:$P$1203,5,0),"※编码不在物料档案里"))</f>
        <v/>
      </c>
      <c r="H3875" s="24">
        <f>IF($D3875="","",IFERROR(VLOOKUP($D3875,物料档案!$A$4:$P$1203,2,0),"※编码不在物料档案里"))</f>
        <v/>
      </c>
      <c r="I3875" s="24">
        <f>IF($D3875="","",IFERROR(VLOOKUP($D3875,物料档案!$A$4:$P$1203,6,0),"※编码不在物料档案里"))</f>
        <v/>
      </c>
      <c r="J3875" s="23" t="n"/>
      <c r="K3875" s="17" t="n"/>
      <c r="L3875" s="17" t="n"/>
      <c r="M3875" s="17" t="n"/>
      <c r="N3875" s="17" t="n"/>
      <c r="O3875" s="26">
        <f>IF($D3875="","",IFERROR(VLOOKUP($D3875,物料档案!$A$4:$P$1203,10,0),0))</f>
        <v/>
      </c>
      <c r="P3875" s="32" t="n"/>
      <c r="Q3875" s="26">
        <f>IF($D3875="","",IF($K3875&lt;&gt;"对外销售",0,ROUND(N($J3875)*IF($P3875="",N($O3875),N($P3875)),0)))</f>
        <v/>
      </c>
      <c r="R3875" s="26">
        <f>IF($D3875="","",IFERROR(VLOOKUP($D3875,库存台账!$A$5:$Y$1204,11,0),0))</f>
        <v/>
      </c>
      <c r="S3875" s="26">
        <f>IF($D3875="","",ROUND(N($J3875)*N($R3875),0))</f>
        <v/>
      </c>
      <c r="T3875" s="26">
        <f>IF($D3875="","",IF($K3875&lt;&gt;"对外销售","",ROUND($Q3875-$S3875,0)))</f>
        <v/>
      </c>
      <c r="U3875" s="17" t="n"/>
      <c r="V3875" s="17" t="n"/>
      <c r="W3875" s="24">
        <f>IF($D3875="","",IF($E3875="※编码不在物料档案里","※物料编码不在档案里",IF(N($J3875)&lt;=0,"※出库数量要大于 0",IF($K3875="","※没填去向类型",IF($L3875="","※没填去向矿区",IF(AND($C3875&lt;&gt;"",$C3875&lt;=结账锁),"※日期早于已结账截止日，不能再录",IF(AND($K3875="自用消耗",COUNTIF({"一矿区";"二矿区"},$L3875)=0),"※自用消耗的去向只能是一矿区或二矿区",IF(AND($K3875="对外销售",COUNTIF({"三矿区";"六矿区"},$L3875)=0),"※对外销售的去向只能是三矿区或六矿区",IF(AND($K3875="对外销售",ROUND($Q3875,0)=0),"※外销却没有售价，请填实际售价",IF(AND($K3875="对外销售",$T3875&lt;&gt;"",$T3875&lt;0),"※这一笔外销是亏的，请核对售价",IF(IFERROR(VLOOKUP($D3875,库存台账!$A$5:$Y$1204,24,0),0)&lt;-0.001,"※这个物料账面已经变成负数了，查一下是不是漏记入库","")))))))))))</f>
        <v/>
      </c>
    </row>
    <row r="3876">
      <c r="A3876" s="24">
        <f>IF($D3876="","",COUNTA($D$4:$D3876))</f>
        <v/>
      </c>
      <c r="B3876" s="17" t="n"/>
      <c r="C3876" s="30" t="n"/>
      <c r="D3876" s="17" t="n"/>
      <c r="E3876" s="24">
        <f>IF($D3876="","",IFERROR(VLOOKUP($D3876,物料档案!$A$4:$P$1203,3,0),"※编码不在物料档案里"))</f>
        <v/>
      </c>
      <c r="F3876" s="24">
        <f>IF($D3876="","",IFERROR(VLOOKUP($D3876,物料档案!$A$4:$P$1203,4,0),"※编码不在物料档案里"))</f>
        <v/>
      </c>
      <c r="G3876" s="24">
        <f>IF($D3876="","",IFERROR(VLOOKUP($D3876,物料档案!$A$4:$P$1203,5,0),"※编码不在物料档案里"))</f>
        <v/>
      </c>
      <c r="H3876" s="24">
        <f>IF($D3876="","",IFERROR(VLOOKUP($D3876,物料档案!$A$4:$P$1203,2,0),"※编码不在物料档案里"))</f>
        <v/>
      </c>
      <c r="I3876" s="24">
        <f>IF($D3876="","",IFERROR(VLOOKUP($D3876,物料档案!$A$4:$P$1203,6,0),"※编码不在物料档案里"))</f>
        <v/>
      </c>
      <c r="J3876" s="23" t="n"/>
      <c r="K3876" s="17" t="n"/>
      <c r="L3876" s="17" t="n"/>
      <c r="M3876" s="17" t="n"/>
      <c r="N3876" s="17" t="n"/>
      <c r="O3876" s="26">
        <f>IF($D3876="","",IFERROR(VLOOKUP($D3876,物料档案!$A$4:$P$1203,10,0),0))</f>
        <v/>
      </c>
      <c r="P3876" s="32" t="n"/>
      <c r="Q3876" s="26">
        <f>IF($D3876="","",IF($K3876&lt;&gt;"对外销售",0,ROUND(N($J3876)*IF($P3876="",N($O3876),N($P3876)),0)))</f>
        <v/>
      </c>
      <c r="R3876" s="26">
        <f>IF($D3876="","",IFERROR(VLOOKUP($D3876,库存台账!$A$5:$Y$1204,11,0),0))</f>
        <v/>
      </c>
      <c r="S3876" s="26">
        <f>IF($D3876="","",ROUND(N($J3876)*N($R3876),0))</f>
        <v/>
      </c>
      <c r="T3876" s="26">
        <f>IF($D3876="","",IF($K3876&lt;&gt;"对外销售","",ROUND($Q3876-$S3876,0)))</f>
        <v/>
      </c>
      <c r="U3876" s="17" t="n"/>
      <c r="V3876" s="17" t="n"/>
      <c r="W3876" s="24">
        <f>IF($D3876="","",IF($E3876="※编码不在物料档案里","※物料编码不在档案里",IF(N($J3876)&lt;=0,"※出库数量要大于 0",IF($K3876="","※没填去向类型",IF($L3876="","※没填去向矿区",IF(AND($C3876&lt;&gt;"",$C3876&lt;=结账锁),"※日期早于已结账截止日，不能再录",IF(AND($K3876="自用消耗",COUNTIF({"一矿区";"二矿区"},$L3876)=0),"※自用消耗的去向只能是一矿区或二矿区",IF(AND($K3876="对外销售",COUNTIF({"三矿区";"六矿区"},$L3876)=0),"※对外销售的去向只能是三矿区或六矿区",IF(AND($K3876="对外销售",ROUND($Q3876,0)=0),"※外销却没有售价，请填实际售价",IF(AND($K3876="对外销售",$T3876&lt;&gt;"",$T3876&lt;0),"※这一笔外销是亏的，请核对售价",IF(IFERROR(VLOOKUP($D3876,库存台账!$A$5:$Y$1204,24,0),0)&lt;-0.001,"※这个物料账面已经变成负数了，查一下是不是漏记入库","")))))))))))</f>
        <v/>
      </c>
    </row>
    <row r="3877">
      <c r="A3877" s="24">
        <f>IF($D3877="","",COUNTA($D$4:$D3877))</f>
        <v/>
      </c>
      <c r="B3877" s="17" t="n"/>
      <c r="C3877" s="30" t="n"/>
      <c r="D3877" s="17" t="n"/>
      <c r="E3877" s="24">
        <f>IF($D3877="","",IFERROR(VLOOKUP($D3877,物料档案!$A$4:$P$1203,3,0),"※编码不在物料档案里"))</f>
        <v/>
      </c>
      <c r="F3877" s="24">
        <f>IF($D3877="","",IFERROR(VLOOKUP($D3877,物料档案!$A$4:$P$1203,4,0),"※编码不在物料档案里"))</f>
        <v/>
      </c>
      <c r="G3877" s="24">
        <f>IF($D3877="","",IFERROR(VLOOKUP($D3877,物料档案!$A$4:$P$1203,5,0),"※编码不在物料档案里"))</f>
        <v/>
      </c>
      <c r="H3877" s="24">
        <f>IF($D3877="","",IFERROR(VLOOKUP($D3877,物料档案!$A$4:$P$1203,2,0),"※编码不在物料档案里"))</f>
        <v/>
      </c>
      <c r="I3877" s="24">
        <f>IF($D3877="","",IFERROR(VLOOKUP($D3877,物料档案!$A$4:$P$1203,6,0),"※编码不在物料档案里"))</f>
        <v/>
      </c>
      <c r="J3877" s="23" t="n"/>
      <c r="K3877" s="17" t="n"/>
      <c r="L3877" s="17" t="n"/>
      <c r="M3877" s="17" t="n"/>
      <c r="N3877" s="17" t="n"/>
      <c r="O3877" s="26">
        <f>IF($D3877="","",IFERROR(VLOOKUP($D3877,物料档案!$A$4:$P$1203,10,0),0))</f>
        <v/>
      </c>
      <c r="P3877" s="32" t="n"/>
      <c r="Q3877" s="26">
        <f>IF($D3877="","",IF($K3877&lt;&gt;"对外销售",0,ROUND(N($J3877)*IF($P3877="",N($O3877),N($P3877)),0)))</f>
        <v/>
      </c>
      <c r="R3877" s="26">
        <f>IF($D3877="","",IFERROR(VLOOKUP($D3877,库存台账!$A$5:$Y$1204,11,0),0))</f>
        <v/>
      </c>
      <c r="S3877" s="26">
        <f>IF($D3877="","",ROUND(N($J3877)*N($R3877),0))</f>
        <v/>
      </c>
      <c r="T3877" s="26">
        <f>IF($D3877="","",IF($K3877&lt;&gt;"对外销售","",ROUND($Q3877-$S3877,0)))</f>
        <v/>
      </c>
      <c r="U3877" s="17" t="n"/>
      <c r="V3877" s="17" t="n"/>
      <c r="W3877" s="24">
        <f>IF($D3877="","",IF($E3877="※编码不在物料档案里","※物料编码不在档案里",IF(N($J3877)&lt;=0,"※出库数量要大于 0",IF($K3877="","※没填去向类型",IF($L3877="","※没填去向矿区",IF(AND($C3877&lt;&gt;"",$C3877&lt;=结账锁),"※日期早于已结账截止日，不能再录",IF(AND($K3877="自用消耗",COUNTIF({"一矿区";"二矿区"},$L3877)=0),"※自用消耗的去向只能是一矿区或二矿区",IF(AND($K3877="对外销售",COUNTIF({"三矿区";"六矿区"},$L3877)=0),"※对外销售的去向只能是三矿区或六矿区",IF(AND($K3877="对外销售",ROUND($Q3877,0)=0),"※外销却没有售价，请填实际售价",IF(AND($K3877="对外销售",$T3877&lt;&gt;"",$T3877&lt;0),"※这一笔外销是亏的，请核对售价",IF(IFERROR(VLOOKUP($D3877,库存台账!$A$5:$Y$1204,24,0),0)&lt;-0.001,"※这个物料账面已经变成负数了，查一下是不是漏记入库","")))))))))))</f>
        <v/>
      </c>
    </row>
    <row r="3878">
      <c r="A3878" s="24">
        <f>IF($D3878="","",COUNTA($D$4:$D3878))</f>
        <v/>
      </c>
      <c r="B3878" s="17" t="n"/>
      <c r="C3878" s="30" t="n"/>
      <c r="D3878" s="17" t="n"/>
      <c r="E3878" s="24">
        <f>IF($D3878="","",IFERROR(VLOOKUP($D3878,物料档案!$A$4:$P$1203,3,0),"※编码不在物料档案里"))</f>
        <v/>
      </c>
      <c r="F3878" s="24">
        <f>IF($D3878="","",IFERROR(VLOOKUP($D3878,物料档案!$A$4:$P$1203,4,0),"※编码不在物料档案里"))</f>
        <v/>
      </c>
      <c r="G3878" s="24">
        <f>IF($D3878="","",IFERROR(VLOOKUP($D3878,物料档案!$A$4:$P$1203,5,0),"※编码不在物料档案里"))</f>
        <v/>
      </c>
      <c r="H3878" s="24">
        <f>IF($D3878="","",IFERROR(VLOOKUP($D3878,物料档案!$A$4:$P$1203,2,0),"※编码不在物料档案里"))</f>
        <v/>
      </c>
      <c r="I3878" s="24">
        <f>IF($D3878="","",IFERROR(VLOOKUP($D3878,物料档案!$A$4:$P$1203,6,0),"※编码不在物料档案里"))</f>
        <v/>
      </c>
      <c r="J3878" s="23" t="n"/>
      <c r="K3878" s="17" t="n"/>
      <c r="L3878" s="17" t="n"/>
      <c r="M3878" s="17" t="n"/>
      <c r="N3878" s="17" t="n"/>
      <c r="O3878" s="26">
        <f>IF($D3878="","",IFERROR(VLOOKUP($D3878,物料档案!$A$4:$P$1203,10,0),0))</f>
        <v/>
      </c>
      <c r="P3878" s="32" t="n"/>
      <c r="Q3878" s="26">
        <f>IF($D3878="","",IF($K3878&lt;&gt;"对外销售",0,ROUND(N($J3878)*IF($P3878="",N($O3878),N($P3878)),0)))</f>
        <v/>
      </c>
      <c r="R3878" s="26">
        <f>IF($D3878="","",IFERROR(VLOOKUP($D3878,库存台账!$A$5:$Y$1204,11,0),0))</f>
        <v/>
      </c>
      <c r="S3878" s="26">
        <f>IF($D3878="","",ROUND(N($J3878)*N($R3878),0))</f>
        <v/>
      </c>
      <c r="T3878" s="26">
        <f>IF($D3878="","",IF($K3878&lt;&gt;"对外销售","",ROUND($Q3878-$S3878,0)))</f>
        <v/>
      </c>
      <c r="U3878" s="17" t="n"/>
      <c r="V3878" s="17" t="n"/>
      <c r="W3878" s="24">
        <f>IF($D3878="","",IF($E3878="※编码不在物料档案里","※物料编码不在档案里",IF(N($J3878)&lt;=0,"※出库数量要大于 0",IF($K3878="","※没填去向类型",IF($L3878="","※没填去向矿区",IF(AND($C3878&lt;&gt;"",$C3878&lt;=结账锁),"※日期早于已结账截止日，不能再录",IF(AND($K3878="自用消耗",COUNTIF({"一矿区";"二矿区"},$L3878)=0),"※自用消耗的去向只能是一矿区或二矿区",IF(AND($K3878="对外销售",COUNTIF({"三矿区";"六矿区"},$L3878)=0),"※对外销售的去向只能是三矿区或六矿区",IF(AND($K3878="对外销售",ROUND($Q3878,0)=0),"※外销却没有售价，请填实际售价",IF(AND($K3878="对外销售",$T3878&lt;&gt;"",$T3878&lt;0),"※这一笔外销是亏的，请核对售价",IF(IFERROR(VLOOKUP($D3878,库存台账!$A$5:$Y$1204,24,0),0)&lt;-0.001,"※这个物料账面已经变成负数了，查一下是不是漏记入库","")))))))))))</f>
        <v/>
      </c>
    </row>
    <row r="3879">
      <c r="A3879" s="24">
        <f>IF($D3879="","",COUNTA($D$4:$D3879))</f>
        <v/>
      </c>
      <c r="B3879" s="17" t="n"/>
      <c r="C3879" s="30" t="n"/>
      <c r="D3879" s="17" t="n"/>
      <c r="E3879" s="24">
        <f>IF($D3879="","",IFERROR(VLOOKUP($D3879,物料档案!$A$4:$P$1203,3,0),"※编码不在物料档案里"))</f>
        <v/>
      </c>
      <c r="F3879" s="24">
        <f>IF($D3879="","",IFERROR(VLOOKUP($D3879,物料档案!$A$4:$P$1203,4,0),"※编码不在物料档案里"))</f>
        <v/>
      </c>
      <c r="G3879" s="24">
        <f>IF($D3879="","",IFERROR(VLOOKUP($D3879,物料档案!$A$4:$P$1203,5,0),"※编码不在物料档案里"))</f>
        <v/>
      </c>
      <c r="H3879" s="24">
        <f>IF($D3879="","",IFERROR(VLOOKUP($D3879,物料档案!$A$4:$P$1203,2,0),"※编码不在物料档案里"))</f>
        <v/>
      </c>
      <c r="I3879" s="24">
        <f>IF($D3879="","",IFERROR(VLOOKUP($D3879,物料档案!$A$4:$P$1203,6,0),"※编码不在物料档案里"))</f>
        <v/>
      </c>
      <c r="J3879" s="23" t="n"/>
      <c r="K3879" s="17" t="n"/>
      <c r="L3879" s="17" t="n"/>
      <c r="M3879" s="17" t="n"/>
      <c r="N3879" s="17" t="n"/>
      <c r="O3879" s="26">
        <f>IF($D3879="","",IFERROR(VLOOKUP($D3879,物料档案!$A$4:$P$1203,10,0),0))</f>
        <v/>
      </c>
      <c r="P3879" s="32" t="n"/>
      <c r="Q3879" s="26">
        <f>IF($D3879="","",IF($K3879&lt;&gt;"对外销售",0,ROUND(N($J3879)*IF($P3879="",N($O3879),N($P3879)),0)))</f>
        <v/>
      </c>
      <c r="R3879" s="26">
        <f>IF($D3879="","",IFERROR(VLOOKUP($D3879,库存台账!$A$5:$Y$1204,11,0),0))</f>
        <v/>
      </c>
      <c r="S3879" s="26">
        <f>IF($D3879="","",ROUND(N($J3879)*N($R3879),0))</f>
        <v/>
      </c>
      <c r="T3879" s="26">
        <f>IF($D3879="","",IF($K3879&lt;&gt;"对外销售","",ROUND($Q3879-$S3879,0)))</f>
        <v/>
      </c>
      <c r="U3879" s="17" t="n"/>
      <c r="V3879" s="17" t="n"/>
      <c r="W3879" s="24">
        <f>IF($D3879="","",IF($E3879="※编码不在物料档案里","※物料编码不在档案里",IF(N($J3879)&lt;=0,"※出库数量要大于 0",IF($K3879="","※没填去向类型",IF($L3879="","※没填去向矿区",IF(AND($C3879&lt;&gt;"",$C3879&lt;=结账锁),"※日期早于已结账截止日，不能再录",IF(AND($K3879="自用消耗",COUNTIF({"一矿区";"二矿区"},$L3879)=0),"※自用消耗的去向只能是一矿区或二矿区",IF(AND($K3879="对外销售",COUNTIF({"三矿区";"六矿区"},$L3879)=0),"※对外销售的去向只能是三矿区或六矿区",IF(AND($K3879="对外销售",ROUND($Q3879,0)=0),"※外销却没有售价，请填实际售价",IF(AND($K3879="对外销售",$T3879&lt;&gt;"",$T3879&lt;0),"※这一笔外销是亏的，请核对售价",IF(IFERROR(VLOOKUP($D3879,库存台账!$A$5:$Y$1204,24,0),0)&lt;-0.001,"※这个物料账面已经变成负数了，查一下是不是漏记入库","")))))))))))</f>
        <v/>
      </c>
    </row>
    <row r="3880">
      <c r="A3880" s="24">
        <f>IF($D3880="","",COUNTA($D$4:$D3880))</f>
        <v/>
      </c>
      <c r="B3880" s="17" t="n"/>
      <c r="C3880" s="30" t="n"/>
      <c r="D3880" s="17" t="n"/>
      <c r="E3880" s="24">
        <f>IF($D3880="","",IFERROR(VLOOKUP($D3880,物料档案!$A$4:$P$1203,3,0),"※编码不在物料档案里"))</f>
        <v/>
      </c>
      <c r="F3880" s="24">
        <f>IF($D3880="","",IFERROR(VLOOKUP($D3880,物料档案!$A$4:$P$1203,4,0),"※编码不在物料档案里"))</f>
        <v/>
      </c>
      <c r="G3880" s="24">
        <f>IF($D3880="","",IFERROR(VLOOKUP($D3880,物料档案!$A$4:$P$1203,5,0),"※编码不在物料档案里"))</f>
        <v/>
      </c>
      <c r="H3880" s="24">
        <f>IF($D3880="","",IFERROR(VLOOKUP($D3880,物料档案!$A$4:$P$1203,2,0),"※编码不在物料档案里"))</f>
        <v/>
      </c>
      <c r="I3880" s="24">
        <f>IF($D3880="","",IFERROR(VLOOKUP($D3880,物料档案!$A$4:$P$1203,6,0),"※编码不在物料档案里"))</f>
        <v/>
      </c>
      <c r="J3880" s="23" t="n"/>
      <c r="K3880" s="17" t="n"/>
      <c r="L3880" s="17" t="n"/>
      <c r="M3880" s="17" t="n"/>
      <c r="N3880" s="17" t="n"/>
      <c r="O3880" s="26">
        <f>IF($D3880="","",IFERROR(VLOOKUP($D3880,物料档案!$A$4:$P$1203,10,0),0))</f>
        <v/>
      </c>
      <c r="P3880" s="32" t="n"/>
      <c r="Q3880" s="26">
        <f>IF($D3880="","",IF($K3880&lt;&gt;"对外销售",0,ROUND(N($J3880)*IF($P3880="",N($O3880),N($P3880)),0)))</f>
        <v/>
      </c>
      <c r="R3880" s="26">
        <f>IF($D3880="","",IFERROR(VLOOKUP($D3880,库存台账!$A$5:$Y$1204,11,0),0))</f>
        <v/>
      </c>
      <c r="S3880" s="26">
        <f>IF($D3880="","",ROUND(N($J3880)*N($R3880),0))</f>
        <v/>
      </c>
      <c r="T3880" s="26">
        <f>IF($D3880="","",IF($K3880&lt;&gt;"对外销售","",ROUND($Q3880-$S3880,0)))</f>
        <v/>
      </c>
      <c r="U3880" s="17" t="n"/>
      <c r="V3880" s="17" t="n"/>
      <c r="W3880" s="24">
        <f>IF($D3880="","",IF($E3880="※编码不在物料档案里","※物料编码不在档案里",IF(N($J3880)&lt;=0,"※出库数量要大于 0",IF($K3880="","※没填去向类型",IF($L3880="","※没填去向矿区",IF(AND($C3880&lt;&gt;"",$C3880&lt;=结账锁),"※日期早于已结账截止日，不能再录",IF(AND($K3880="自用消耗",COUNTIF({"一矿区";"二矿区"},$L3880)=0),"※自用消耗的去向只能是一矿区或二矿区",IF(AND($K3880="对外销售",COUNTIF({"三矿区";"六矿区"},$L3880)=0),"※对外销售的去向只能是三矿区或六矿区",IF(AND($K3880="对外销售",ROUND($Q3880,0)=0),"※外销却没有售价，请填实际售价",IF(AND($K3880="对外销售",$T3880&lt;&gt;"",$T3880&lt;0),"※这一笔外销是亏的，请核对售价",IF(IFERROR(VLOOKUP($D3880,库存台账!$A$5:$Y$1204,24,0),0)&lt;-0.001,"※这个物料账面已经变成负数了，查一下是不是漏记入库","")))))))))))</f>
        <v/>
      </c>
    </row>
    <row r="3881">
      <c r="A3881" s="24">
        <f>IF($D3881="","",COUNTA($D$4:$D3881))</f>
        <v/>
      </c>
      <c r="B3881" s="17" t="n"/>
      <c r="C3881" s="30" t="n"/>
      <c r="D3881" s="17" t="n"/>
      <c r="E3881" s="24">
        <f>IF($D3881="","",IFERROR(VLOOKUP($D3881,物料档案!$A$4:$P$1203,3,0),"※编码不在物料档案里"))</f>
        <v/>
      </c>
      <c r="F3881" s="24">
        <f>IF($D3881="","",IFERROR(VLOOKUP($D3881,物料档案!$A$4:$P$1203,4,0),"※编码不在物料档案里"))</f>
        <v/>
      </c>
      <c r="G3881" s="24">
        <f>IF($D3881="","",IFERROR(VLOOKUP($D3881,物料档案!$A$4:$P$1203,5,0),"※编码不在物料档案里"))</f>
        <v/>
      </c>
      <c r="H3881" s="24">
        <f>IF($D3881="","",IFERROR(VLOOKUP($D3881,物料档案!$A$4:$P$1203,2,0),"※编码不在物料档案里"))</f>
        <v/>
      </c>
      <c r="I3881" s="24">
        <f>IF($D3881="","",IFERROR(VLOOKUP($D3881,物料档案!$A$4:$P$1203,6,0),"※编码不在物料档案里"))</f>
        <v/>
      </c>
      <c r="J3881" s="23" t="n"/>
      <c r="K3881" s="17" t="n"/>
      <c r="L3881" s="17" t="n"/>
      <c r="M3881" s="17" t="n"/>
      <c r="N3881" s="17" t="n"/>
      <c r="O3881" s="26">
        <f>IF($D3881="","",IFERROR(VLOOKUP($D3881,物料档案!$A$4:$P$1203,10,0),0))</f>
        <v/>
      </c>
      <c r="P3881" s="32" t="n"/>
      <c r="Q3881" s="26">
        <f>IF($D3881="","",IF($K3881&lt;&gt;"对外销售",0,ROUND(N($J3881)*IF($P3881="",N($O3881),N($P3881)),0)))</f>
        <v/>
      </c>
      <c r="R3881" s="26">
        <f>IF($D3881="","",IFERROR(VLOOKUP($D3881,库存台账!$A$5:$Y$1204,11,0),0))</f>
        <v/>
      </c>
      <c r="S3881" s="26">
        <f>IF($D3881="","",ROUND(N($J3881)*N($R3881),0))</f>
        <v/>
      </c>
      <c r="T3881" s="26">
        <f>IF($D3881="","",IF($K3881&lt;&gt;"对外销售","",ROUND($Q3881-$S3881,0)))</f>
        <v/>
      </c>
      <c r="U3881" s="17" t="n"/>
      <c r="V3881" s="17" t="n"/>
      <c r="W3881" s="24">
        <f>IF($D3881="","",IF($E3881="※编码不在物料档案里","※物料编码不在档案里",IF(N($J3881)&lt;=0,"※出库数量要大于 0",IF($K3881="","※没填去向类型",IF($L3881="","※没填去向矿区",IF(AND($C3881&lt;&gt;"",$C3881&lt;=结账锁),"※日期早于已结账截止日，不能再录",IF(AND($K3881="自用消耗",COUNTIF({"一矿区";"二矿区"},$L3881)=0),"※自用消耗的去向只能是一矿区或二矿区",IF(AND($K3881="对外销售",COUNTIF({"三矿区";"六矿区"},$L3881)=0),"※对外销售的去向只能是三矿区或六矿区",IF(AND($K3881="对外销售",ROUND($Q3881,0)=0),"※外销却没有售价，请填实际售价",IF(AND($K3881="对外销售",$T3881&lt;&gt;"",$T3881&lt;0),"※这一笔外销是亏的，请核对售价",IF(IFERROR(VLOOKUP($D3881,库存台账!$A$5:$Y$1204,24,0),0)&lt;-0.001,"※这个物料账面已经变成负数了，查一下是不是漏记入库","")))))))))))</f>
        <v/>
      </c>
    </row>
    <row r="3882">
      <c r="A3882" s="24">
        <f>IF($D3882="","",COUNTA($D$4:$D3882))</f>
        <v/>
      </c>
      <c r="B3882" s="17" t="n"/>
      <c r="C3882" s="30" t="n"/>
      <c r="D3882" s="17" t="n"/>
      <c r="E3882" s="24">
        <f>IF($D3882="","",IFERROR(VLOOKUP($D3882,物料档案!$A$4:$P$1203,3,0),"※编码不在物料档案里"))</f>
        <v/>
      </c>
      <c r="F3882" s="24">
        <f>IF($D3882="","",IFERROR(VLOOKUP($D3882,物料档案!$A$4:$P$1203,4,0),"※编码不在物料档案里"))</f>
        <v/>
      </c>
      <c r="G3882" s="24">
        <f>IF($D3882="","",IFERROR(VLOOKUP($D3882,物料档案!$A$4:$P$1203,5,0),"※编码不在物料档案里"))</f>
        <v/>
      </c>
      <c r="H3882" s="24">
        <f>IF($D3882="","",IFERROR(VLOOKUP($D3882,物料档案!$A$4:$P$1203,2,0),"※编码不在物料档案里"))</f>
        <v/>
      </c>
      <c r="I3882" s="24">
        <f>IF($D3882="","",IFERROR(VLOOKUP($D3882,物料档案!$A$4:$P$1203,6,0),"※编码不在物料档案里"))</f>
        <v/>
      </c>
      <c r="J3882" s="23" t="n"/>
      <c r="K3882" s="17" t="n"/>
      <c r="L3882" s="17" t="n"/>
      <c r="M3882" s="17" t="n"/>
      <c r="N3882" s="17" t="n"/>
      <c r="O3882" s="26">
        <f>IF($D3882="","",IFERROR(VLOOKUP($D3882,物料档案!$A$4:$P$1203,10,0),0))</f>
        <v/>
      </c>
      <c r="P3882" s="32" t="n"/>
      <c r="Q3882" s="26">
        <f>IF($D3882="","",IF($K3882&lt;&gt;"对外销售",0,ROUND(N($J3882)*IF($P3882="",N($O3882),N($P3882)),0)))</f>
        <v/>
      </c>
      <c r="R3882" s="26">
        <f>IF($D3882="","",IFERROR(VLOOKUP($D3882,库存台账!$A$5:$Y$1204,11,0),0))</f>
        <v/>
      </c>
      <c r="S3882" s="26">
        <f>IF($D3882="","",ROUND(N($J3882)*N($R3882),0))</f>
        <v/>
      </c>
      <c r="T3882" s="26">
        <f>IF($D3882="","",IF($K3882&lt;&gt;"对外销售","",ROUND($Q3882-$S3882,0)))</f>
        <v/>
      </c>
      <c r="U3882" s="17" t="n"/>
      <c r="V3882" s="17" t="n"/>
      <c r="W3882" s="24">
        <f>IF($D3882="","",IF($E3882="※编码不在物料档案里","※物料编码不在档案里",IF(N($J3882)&lt;=0,"※出库数量要大于 0",IF($K3882="","※没填去向类型",IF($L3882="","※没填去向矿区",IF(AND($C3882&lt;&gt;"",$C3882&lt;=结账锁),"※日期早于已结账截止日，不能再录",IF(AND($K3882="自用消耗",COUNTIF({"一矿区";"二矿区"},$L3882)=0),"※自用消耗的去向只能是一矿区或二矿区",IF(AND($K3882="对外销售",COUNTIF({"三矿区";"六矿区"},$L3882)=0),"※对外销售的去向只能是三矿区或六矿区",IF(AND($K3882="对外销售",ROUND($Q3882,0)=0),"※外销却没有售价，请填实际售价",IF(AND($K3882="对外销售",$T3882&lt;&gt;"",$T3882&lt;0),"※这一笔外销是亏的，请核对售价",IF(IFERROR(VLOOKUP($D3882,库存台账!$A$5:$Y$1204,24,0),0)&lt;-0.001,"※这个物料账面已经变成负数了，查一下是不是漏记入库","")))))))))))</f>
        <v/>
      </c>
    </row>
    <row r="3883">
      <c r="A3883" s="24">
        <f>IF($D3883="","",COUNTA($D$4:$D3883))</f>
        <v/>
      </c>
      <c r="B3883" s="17" t="n"/>
      <c r="C3883" s="30" t="n"/>
      <c r="D3883" s="17" t="n"/>
      <c r="E3883" s="24">
        <f>IF($D3883="","",IFERROR(VLOOKUP($D3883,物料档案!$A$4:$P$1203,3,0),"※编码不在物料档案里"))</f>
        <v/>
      </c>
      <c r="F3883" s="24">
        <f>IF($D3883="","",IFERROR(VLOOKUP($D3883,物料档案!$A$4:$P$1203,4,0),"※编码不在物料档案里"))</f>
        <v/>
      </c>
      <c r="G3883" s="24">
        <f>IF($D3883="","",IFERROR(VLOOKUP($D3883,物料档案!$A$4:$P$1203,5,0),"※编码不在物料档案里"))</f>
        <v/>
      </c>
      <c r="H3883" s="24">
        <f>IF($D3883="","",IFERROR(VLOOKUP($D3883,物料档案!$A$4:$P$1203,2,0),"※编码不在物料档案里"))</f>
        <v/>
      </c>
      <c r="I3883" s="24">
        <f>IF($D3883="","",IFERROR(VLOOKUP($D3883,物料档案!$A$4:$P$1203,6,0),"※编码不在物料档案里"))</f>
        <v/>
      </c>
      <c r="J3883" s="23" t="n"/>
      <c r="K3883" s="17" t="n"/>
      <c r="L3883" s="17" t="n"/>
      <c r="M3883" s="17" t="n"/>
      <c r="N3883" s="17" t="n"/>
      <c r="O3883" s="26">
        <f>IF($D3883="","",IFERROR(VLOOKUP($D3883,物料档案!$A$4:$P$1203,10,0),0))</f>
        <v/>
      </c>
      <c r="P3883" s="32" t="n"/>
      <c r="Q3883" s="26">
        <f>IF($D3883="","",IF($K3883&lt;&gt;"对外销售",0,ROUND(N($J3883)*IF($P3883="",N($O3883),N($P3883)),0)))</f>
        <v/>
      </c>
      <c r="R3883" s="26">
        <f>IF($D3883="","",IFERROR(VLOOKUP($D3883,库存台账!$A$5:$Y$1204,11,0),0))</f>
        <v/>
      </c>
      <c r="S3883" s="26">
        <f>IF($D3883="","",ROUND(N($J3883)*N($R3883),0))</f>
        <v/>
      </c>
      <c r="T3883" s="26">
        <f>IF($D3883="","",IF($K3883&lt;&gt;"对外销售","",ROUND($Q3883-$S3883,0)))</f>
        <v/>
      </c>
      <c r="U3883" s="17" t="n"/>
      <c r="V3883" s="17" t="n"/>
      <c r="W3883" s="24">
        <f>IF($D3883="","",IF($E3883="※编码不在物料档案里","※物料编码不在档案里",IF(N($J3883)&lt;=0,"※出库数量要大于 0",IF($K3883="","※没填去向类型",IF($L3883="","※没填去向矿区",IF(AND($C3883&lt;&gt;"",$C3883&lt;=结账锁),"※日期早于已结账截止日，不能再录",IF(AND($K3883="自用消耗",COUNTIF({"一矿区";"二矿区"},$L3883)=0),"※自用消耗的去向只能是一矿区或二矿区",IF(AND($K3883="对外销售",COUNTIF({"三矿区";"六矿区"},$L3883)=0),"※对外销售的去向只能是三矿区或六矿区",IF(AND($K3883="对外销售",ROUND($Q3883,0)=0),"※外销却没有售价，请填实际售价",IF(AND($K3883="对外销售",$T3883&lt;&gt;"",$T3883&lt;0),"※这一笔外销是亏的，请核对售价",IF(IFERROR(VLOOKUP($D3883,库存台账!$A$5:$Y$1204,24,0),0)&lt;-0.001,"※这个物料账面已经变成负数了，查一下是不是漏记入库","")))))))))))</f>
        <v/>
      </c>
    </row>
    <row r="3884">
      <c r="A3884" s="24">
        <f>IF($D3884="","",COUNTA($D$4:$D3884))</f>
        <v/>
      </c>
      <c r="B3884" s="17" t="n"/>
      <c r="C3884" s="30" t="n"/>
      <c r="D3884" s="17" t="n"/>
      <c r="E3884" s="24">
        <f>IF($D3884="","",IFERROR(VLOOKUP($D3884,物料档案!$A$4:$P$1203,3,0),"※编码不在物料档案里"))</f>
        <v/>
      </c>
      <c r="F3884" s="24">
        <f>IF($D3884="","",IFERROR(VLOOKUP($D3884,物料档案!$A$4:$P$1203,4,0),"※编码不在物料档案里"))</f>
        <v/>
      </c>
      <c r="G3884" s="24">
        <f>IF($D3884="","",IFERROR(VLOOKUP($D3884,物料档案!$A$4:$P$1203,5,0),"※编码不在物料档案里"))</f>
        <v/>
      </c>
      <c r="H3884" s="24">
        <f>IF($D3884="","",IFERROR(VLOOKUP($D3884,物料档案!$A$4:$P$1203,2,0),"※编码不在物料档案里"))</f>
        <v/>
      </c>
      <c r="I3884" s="24">
        <f>IF($D3884="","",IFERROR(VLOOKUP($D3884,物料档案!$A$4:$P$1203,6,0),"※编码不在物料档案里"))</f>
        <v/>
      </c>
      <c r="J3884" s="23" t="n"/>
      <c r="K3884" s="17" t="n"/>
      <c r="L3884" s="17" t="n"/>
      <c r="M3884" s="17" t="n"/>
      <c r="N3884" s="17" t="n"/>
      <c r="O3884" s="26">
        <f>IF($D3884="","",IFERROR(VLOOKUP($D3884,物料档案!$A$4:$P$1203,10,0),0))</f>
        <v/>
      </c>
      <c r="P3884" s="32" t="n"/>
      <c r="Q3884" s="26">
        <f>IF($D3884="","",IF($K3884&lt;&gt;"对外销售",0,ROUND(N($J3884)*IF($P3884="",N($O3884),N($P3884)),0)))</f>
        <v/>
      </c>
      <c r="R3884" s="26">
        <f>IF($D3884="","",IFERROR(VLOOKUP($D3884,库存台账!$A$5:$Y$1204,11,0),0))</f>
        <v/>
      </c>
      <c r="S3884" s="26">
        <f>IF($D3884="","",ROUND(N($J3884)*N($R3884),0))</f>
        <v/>
      </c>
      <c r="T3884" s="26">
        <f>IF($D3884="","",IF($K3884&lt;&gt;"对外销售","",ROUND($Q3884-$S3884,0)))</f>
        <v/>
      </c>
      <c r="U3884" s="17" t="n"/>
      <c r="V3884" s="17" t="n"/>
      <c r="W3884" s="24">
        <f>IF($D3884="","",IF($E3884="※编码不在物料档案里","※物料编码不在档案里",IF(N($J3884)&lt;=0,"※出库数量要大于 0",IF($K3884="","※没填去向类型",IF($L3884="","※没填去向矿区",IF(AND($C3884&lt;&gt;"",$C3884&lt;=结账锁),"※日期早于已结账截止日，不能再录",IF(AND($K3884="自用消耗",COUNTIF({"一矿区";"二矿区"},$L3884)=0),"※自用消耗的去向只能是一矿区或二矿区",IF(AND($K3884="对外销售",COUNTIF({"三矿区";"六矿区"},$L3884)=0),"※对外销售的去向只能是三矿区或六矿区",IF(AND($K3884="对外销售",ROUND($Q3884,0)=0),"※外销却没有售价，请填实际售价",IF(AND($K3884="对外销售",$T3884&lt;&gt;"",$T3884&lt;0),"※这一笔外销是亏的，请核对售价",IF(IFERROR(VLOOKUP($D3884,库存台账!$A$5:$Y$1204,24,0),0)&lt;-0.001,"※这个物料账面已经变成负数了，查一下是不是漏记入库","")))))))))))</f>
        <v/>
      </c>
    </row>
    <row r="3885">
      <c r="A3885" s="24">
        <f>IF($D3885="","",COUNTA($D$4:$D3885))</f>
        <v/>
      </c>
      <c r="B3885" s="17" t="n"/>
      <c r="C3885" s="30" t="n"/>
      <c r="D3885" s="17" t="n"/>
      <c r="E3885" s="24">
        <f>IF($D3885="","",IFERROR(VLOOKUP($D3885,物料档案!$A$4:$P$1203,3,0),"※编码不在物料档案里"))</f>
        <v/>
      </c>
      <c r="F3885" s="24">
        <f>IF($D3885="","",IFERROR(VLOOKUP($D3885,物料档案!$A$4:$P$1203,4,0),"※编码不在物料档案里"))</f>
        <v/>
      </c>
      <c r="G3885" s="24">
        <f>IF($D3885="","",IFERROR(VLOOKUP($D3885,物料档案!$A$4:$P$1203,5,0),"※编码不在物料档案里"))</f>
        <v/>
      </c>
      <c r="H3885" s="24">
        <f>IF($D3885="","",IFERROR(VLOOKUP($D3885,物料档案!$A$4:$P$1203,2,0),"※编码不在物料档案里"))</f>
        <v/>
      </c>
      <c r="I3885" s="24">
        <f>IF($D3885="","",IFERROR(VLOOKUP($D3885,物料档案!$A$4:$P$1203,6,0),"※编码不在物料档案里"))</f>
        <v/>
      </c>
      <c r="J3885" s="23" t="n"/>
      <c r="K3885" s="17" t="n"/>
      <c r="L3885" s="17" t="n"/>
      <c r="M3885" s="17" t="n"/>
      <c r="N3885" s="17" t="n"/>
      <c r="O3885" s="26">
        <f>IF($D3885="","",IFERROR(VLOOKUP($D3885,物料档案!$A$4:$P$1203,10,0),0))</f>
        <v/>
      </c>
      <c r="P3885" s="32" t="n"/>
      <c r="Q3885" s="26">
        <f>IF($D3885="","",IF($K3885&lt;&gt;"对外销售",0,ROUND(N($J3885)*IF($P3885="",N($O3885),N($P3885)),0)))</f>
        <v/>
      </c>
      <c r="R3885" s="26">
        <f>IF($D3885="","",IFERROR(VLOOKUP($D3885,库存台账!$A$5:$Y$1204,11,0),0))</f>
        <v/>
      </c>
      <c r="S3885" s="26">
        <f>IF($D3885="","",ROUND(N($J3885)*N($R3885),0))</f>
        <v/>
      </c>
      <c r="T3885" s="26">
        <f>IF($D3885="","",IF($K3885&lt;&gt;"对外销售","",ROUND($Q3885-$S3885,0)))</f>
        <v/>
      </c>
      <c r="U3885" s="17" t="n"/>
      <c r="V3885" s="17" t="n"/>
      <c r="W3885" s="24">
        <f>IF($D3885="","",IF($E3885="※编码不在物料档案里","※物料编码不在档案里",IF(N($J3885)&lt;=0,"※出库数量要大于 0",IF($K3885="","※没填去向类型",IF($L3885="","※没填去向矿区",IF(AND($C3885&lt;&gt;"",$C3885&lt;=结账锁),"※日期早于已结账截止日，不能再录",IF(AND($K3885="自用消耗",COUNTIF({"一矿区";"二矿区"},$L3885)=0),"※自用消耗的去向只能是一矿区或二矿区",IF(AND($K3885="对外销售",COUNTIF({"三矿区";"六矿区"},$L3885)=0),"※对外销售的去向只能是三矿区或六矿区",IF(AND($K3885="对外销售",ROUND($Q3885,0)=0),"※外销却没有售价，请填实际售价",IF(AND($K3885="对外销售",$T3885&lt;&gt;"",$T3885&lt;0),"※这一笔外销是亏的，请核对售价",IF(IFERROR(VLOOKUP($D3885,库存台账!$A$5:$Y$1204,24,0),0)&lt;-0.001,"※这个物料账面已经变成负数了，查一下是不是漏记入库","")))))))))))</f>
        <v/>
      </c>
    </row>
    <row r="3886">
      <c r="A3886" s="24">
        <f>IF($D3886="","",COUNTA($D$4:$D3886))</f>
        <v/>
      </c>
      <c r="B3886" s="17" t="n"/>
      <c r="C3886" s="30" t="n"/>
      <c r="D3886" s="17" t="n"/>
      <c r="E3886" s="24">
        <f>IF($D3886="","",IFERROR(VLOOKUP($D3886,物料档案!$A$4:$P$1203,3,0),"※编码不在物料档案里"))</f>
        <v/>
      </c>
      <c r="F3886" s="24">
        <f>IF($D3886="","",IFERROR(VLOOKUP($D3886,物料档案!$A$4:$P$1203,4,0),"※编码不在物料档案里"))</f>
        <v/>
      </c>
      <c r="G3886" s="24">
        <f>IF($D3886="","",IFERROR(VLOOKUP($D3886,物料档案!$A$4:$P$1203,5,0),"※编码不在物料档案里"))</f>
        <v/>
      </c>
      <c r="H3886" s="24">
        <f>IF($D3886="","",IFERROR(VLOOKUP($D3886,物料档案!$A$4:$P$1203,2,0),"※编码不在物料档案里"))</f>
        <v/>
      </c>
      <c r="I3886" s="24">
        <f>IF($D3886="","",IFERROR(VLOOKUP($D3886,物料档案!$A$4:$P$1203,6,0),"※编码不在物料档案里"))</f>
        <v/>
      </c>
      <c r="J3886" s="23" t="n"/>
      <c r="K3886" s="17" t="n"/>
      <c r="L3886" s="17" t="n"/>
      <c r="M3886" s="17" t="n"/>
      <c r="N3886" s="17" t="n"/>
      <c r="O3886" s="26">
        <f>IF($D3886="","",IFERROR(VLOOKUP($D3886,物料档案!$A$4:$P$1203,10,0),0))</f>
        <v/>
      </c>
      <c r="P3886" s="32" t="n"/>
      <c r="Q3886" s="26">
        <f>IF($D3886="","",IF($K3886&lt;&gt;"对外销售",0,ROUND(N($J3886)*IF($P3886="",N($O3886),N($P3886)),0)))</f>
        <v/>
      </c>
      <c r="R3886" s="26">
        <f>IF($D3886="","",IFERROR(VLOOKUP($D3886,库存台账!$A$5:$Y$1204,11,0),0))</f>
        <v/>
      </c>
      <c r="S3886" s="26">
        <f>IF($D3886="","",ROUND(N($J3886)*N($R3886),0))</f>
        <v/>
      </c>
      <c r="T3886" s="26">
        <f>IF($D3886="","",IF($K3886&lt;&gt;"对外销售","",ROUND($Q3886-$S3886,0)))</f>
        <v/>
      </c>
      <c r="U3886" s="17" t="n"/>
      <c r="V3886" s="17" t="n"/>
      <c r="W3886" s="24">
        <f>IF($D3886="","",IF($E3886="※编码不在物料档案里","※物料编码不在档案里",IF(N($J3886)&lt;=0,"※出库数量要大于 0",IF($K3886="","※没填去向类型",IF($L3886="","※没填去向矿区",IF(AND($C3886&lt;&gt;"",$C3886&lt;=结账锁),"※日期早于已结账截止日，不能再录",IF(AND($K3886="自用消耗",COUNTIF({"一矿区";"二矿区"},$L3886)=0),"※自用消耗的去向只能是一矿区或二矿区",IF(AND($K3886="对外销售",COUNTIF({"三矿区";"六矿区"},$L3886)=0),"※对外销售的去向只能是三矿区或六矿区",IF(AND($K3886="对外销售",ROUND($Q3886,0)=0),"※外销却没有售价，请填实际售价",IF(AND($K3886="对外销售",$T3886&lt;&gt;"",$T3886&lt;0),"※这一笔外销是亏的，请核对售价",IF(IFERROR(VLOOKUP($D3886,库存台账!$A$5:$Y$1204,24,0),0)&lt;-0.001,"※这个物料账面已经变成负数了，查一下是不是漏记入库","")))))))))))</f>
        <v/>
      </c>
    </row>
    <row r="3887">
      <c r="A3887" s="24">
        <f>IF($D3887="","",COUNTA($D$4:$D3887))</f>
        <v/>
      </c>
      <c r="B3887" s="17" t="n"/>
      <c r="C3887" s="30" t="n"/>
      <c r="D3887" s="17" t="n"/>
      <c r="E3887" s="24">
        <f>IF($D3887="","",IFERROR(VLOOKUP($D3887,物料档案!$A$4:$P$1203,3,0),"※编码不在物料档案里"))</f>
        <v/>
      </c>
      <c r="F3887" s="24">
        <f>IF($D3887="","",IFERROR(VLOOKUP($D3887,物料档案!$A$4:$P$1203,4,0),"※编码不在物料档案里"))</f>
        <v/>
      </c>
      <c r="G3887" s="24">
        <f>IF($D3887="","",IFERROR(VLOOKUP($D3887,物料档案!$A$4:$P$1203,5,0),"※编码不在物料档案里"))</f>
        <v/>
      </c>
      <c r="H3887" s="24">
        <f>IF($D3887="","",IFERROR(VLOOKUP($D3887,物料档案!$A$4:$P$1203,2,0),"※编码不在物料档案里"))</f>
        <v/>
      </c>
      <c r="I3887" s="24">
        <f>IF($D3887="","",IFERROR(VLOOKUP($D3887,物料档案!$A$4:$P$1203,6,0),"※编码不在物料档案里"))</f>
        <v/>
      </c>
      <c r="J3887" s="23" t="n"/>
      <c r="K3887" s="17" t="n"/>
      <c r="L3887" s="17" t="n"/>
      <c r="M3887" s="17" t="n"/>
      <c r="N3887" s="17" t="n"/>
      <c r="O3887" s="26">
        <f>IF($D3887="","",IFERROR(VLOOKUP($D3887,物料档案!$A$4:$P$1203,10,0),0))</f>
        <v/>
      </c>
      <c r="P3887" s="32" t="n"/>
      <c r="Q3887" s="26">
        <f>IF($D3887="","",IF($K3887&lt;&gt;"对外销售",0,ROUND(N($J3887)*IF($P3887="",N($O3887),N($P3887)),0)))</f>
        <v/>
      </c>
      <c r="R3887" s="26">
        <f>IF($D3887="","",IFERROR(VLOOKUP($D3887,库存台账!$A$5:$Y$1204,11,0),0))</f>
        <v/>
      </c>
      <c r="S3887" s="26">
        <f>IF($D3887="","",ROUND(N($J3887)*N($R3887),0))</f>
        <v/>
      </c>
      <c r="T3887" s="26">
        <f>IF($D3887="","",IF($K3887&lt;&gt;"对外销售","",ROUND($Q3887-$S3887,0)))</f>
        <v/>
      </c>
      <c r="U3887" s="17" t="n"/>
      <c r="V3887" s="17" t="n"/>
      <c r="W3887" s="24">
        <f>IF($D3887="","",IF($E3887="※编码不在物料档案里","※物料编码不在档案里",IF(N($J3887)&lt;=0,"※出库数量要大于 0",IF($K3887="","※没填去向类型",IF($L3887="","※没填去向矿区",IF(AND($C3887&lt;&gt;"",$C3887&lt;=结账锁),"※日期早于已结账截止日，不能再录",IF(AND($K3887="自用消耗",COUNTIF({"一矿区";"二矿区"},$L3887)=0),"※自用消耗的去向只能是一矿区或二矿区",IF(AND($K3887="对外销售",COUNTIF({"三矿区";"六矿区"},$L3887)=0),"※对外销售的去向只能是三矿区或六矿区",IF(AND($K3887="对外销售",ROUND($Q3887,0)=0),"※外销却没有售价，请填实际售价",IF(AND($K3887="对外销售",$T3887&lt;&gt;"",$T3887&lt;0),"※这一笔外销是亏的，请核对售价",IF(IFERROR(VLOOKUP($D3887,库存台账!$A$5:$Y$1204,24,0),0)&lt;-0.001,"※这个物料账面已经变成负数了，查一下是不是漏记入库","")))))))))))</f>
        <v/>
      </c>
    </row>
    <row r="3888">
      <c r="A3888" s="24">
        <f>IF($D3888="","",COUNTA($D$4:$D3888))</f>
        <v/>
      </c>
      <c r="B3888" s="17" t="n"/>
      <c r="C3888" s="30" t="n"/>
      <c r="D3888" s="17" t="n"/>
      <c r="E3888" s="24">
        <f>IF($D3888="","",IFERROR(VLOOKUP($D3888,物料档案!$A$4:$P$1203,3,0),"※编码不在物料档案里"))</f>
        <v/>
      </c>
      <c r="F3888" s="24">
        <f>IF($D3888="","",IFERROR(VLOOKUP($D3888,物料档案!$A$4:$P$1203,4,0),"※编码不在物料档案里"))</f>
        <v/>
      </c>
      <c r="G3888" s="24">
        <f>IF($D3888="","",IFERROR(VLOOKUP($D3888,物料档案!$A$4:$P$1203,5,0),"※编码不在物料档案里"))</f>
        <v/>
      </c>
      <c r="H3888" s="24">
        <f>IF($D3888="","",IFERROR(VLOOKUP($D3888,物料档案!$A$4:$P$1203,2,0),"※编码不在物料档案里"))</f>
        <v/>
      </c>
      <c r="I3888" s="24">
        <f>IF($D3888="","",IFERROR(VLOOKUP($D3888,物料档案!$A$4:$P$1203,6,0),"※编码不在物料档案里"))</f>
        <v/>
      </c>
      <c r="J3888" s="23" t="n"/>
      <c r="K3888" s="17" t="n"/>
      <c r="L3888" s="17" t="n"/>
      <c r="M3888" s="17" t="n"/>
      <c r="N3888" s="17" t="n"/>
      <c r="O3888" s="26">
        <f>IF($D3888="","",IFERROR(VLOOKUP($D3888,物料档案!$A$4:$P$1203,10,0),0))</f>
        <v/>
      </c>
      <c r="P3888" s="32" t="n"/>
      <c r="Q3888" s="26">
        <f>IF($D3888="","",IF($K3888&lt;&gt;"对外销售",0,ROUND(N($J3888)*IF($P3888="",N($O3888),N($P3888)),0)))</f>
        <v/>
      </c>
      <c r="R3888" s="26">
        <f>IF($D3888="","",IFERROR(VLOOKUP($D3888,库存台账!$A$5:$Y$1204,11,0),0))</f>
        <v/>
      </c>
      <c r="S3888" s="26">
        <f>IF($D3888="","",ROUND(N($J3888)*N($R3888),0))</f>
        <v/>
      </c>
      <c r="T3888" s="26">
        <f>IF($D3888="","",IF($K3888&lt;&gt;"对外销售","",ROUND($Q3888-$S3888,0)))</f>
        <v/>
      </c>
      <c r="U3888" s="17" t="n"/>
      <c r="V3888" s="17" t="n"/>
      <c r="W3888" s="24">
        <f>IF($D3888="","",IF($E3888="※编码不在物料档案里","※物料编码不在档案里",IF(N($J3888)&lt;=0,"※出库数量要大于 0",IF($K3888="","※没填去向类型",IF($L3888="","※没填去向矿区",IF(AND($C3888&lt;&gt;"",$C3888&lt;=结账锁),"※日期早于已结账截止日，不能再录",IF(AND($K3888="自用消耗",COUNTIF({"一矿区";"二矿区"},$L3888)=0),"※自用消耗的去向只能是一矿区或二矿区",IF(AND($K3888="对外销售",COUNTIF({"三矿区";"六矿区"},$L3888)=0),"※对外销售的去向只能是三矿区或六矿区",IF(AND($K3888="对外销售",ROUND($Q3888,0)=0),"※外销却没有售价，请填实际售价",IF(AND($K3888="对外销售",$T3888&lt;&gt;"",$T3888&lt;0),"※这一笔外销是亏的，请核对售价",IF(IFERROR(VLOOKUP($D3888,库存台账!$A$5:$Y$1204,24,0),0)&lt;-0.001,"※这个物料账面已经变成负数了，查一下是不是漏记入库","")))))))))))</f>
        <v/>
      </c>
    </row>
    <row r="3889">
      <c r="A3889" s="24">
        <f>IF($D3889="","",COUNTA($D$4:$D3889))</f>
        <v/>
      </c>
      <c r="B3889" s="17" t="n"/>
      <c r="C3889" s="30" t="n"/>
      <c r="D3889" s="17" t="n"/>
      <c r="E3889" s="24">
        <f>IF($D3889="","",IFERROR(VLOOKUP($D3889,物料档案!$A$4:$P$1203,3,0),"※编码不在物料档案里"))</f>
        <v/>
      </c>
      <c r="F3889" s="24">
        <f>IF($D3889="","",IFERROR(VLOOKUP($D3889,物料档案!$A$4:$P$1203,4,0),"※编码不在物料档案里"))</f>
        <v/>
      </c>
      <c r="G3889" s="24">
        <f>IF($D3889="","",IFERROR(VLOOKUP($D3889,物料档案!$A$4:$P$1203,5,0),"※编码不在物料档案里"))</f>
        <v/>
      </c>
      <c r="H3889" s="24">
        <f>IF($D3889="","",IFERROR(VLOOKUP($D3889,物料档案!$A$4:$P$1203,2,0),"※编码不在物料档案里"))</f>
        <v/>
      </c>
      <c r="I3889" s="24">
        <f>IF($D3889="","",IFERROR(VLOOKUP($D3889,物料档案!$A$4:$P$1203,6,0),"※编码不在物料档案里"))</f>
        <v/>
      </c>
      <c r="J3889" s="23" t="n"/>
      <c r="K3889" s="17" t="n"/>
      <c r="L3889" s="17" t="n"/>
      <c r="M3889" s="17" t="n"/>
      <c r="N3889" s="17" t="n"/>
      <c r="O3889" s="26">
        <f>IF($D3889="","",IFERROR(VLOOKUP($D3889,物料档案!$A$4:$P$1203,10,0),0))</f>
        <v/>
      </c>
      <c r="P3889" s="32" t="n"/>
      <c r="Q3889" s="26">
        <f>IF($D3889="","",IF($K3889&lt;&gt;"对外销售",0,ROUND(N($J3889)*IF($P3889="",N($O3889),N($P3889)),0)))</f>
        <v/>
      </c>
      <c r="R3889" s="26">
        <f>IF($D3889="","",IFERROR(VLOOKUP($D3889,库存台账!$A$5:$Y$1204,11,0),0))</f>
        <v/>
      </c>
      <c r="S3889" s="26">
        <f>IF($D3889="","",ROUND(N($J3889)*N($R3889),0))</f>
        <v/>
      </c>
      <c r="T3889" s="26">
        <f>IF($D3889="","",IF($K3889&lt;&gt;"对外销售","",ROUND($Q3889-$S3889,0)))</f>
        <v/>
      </c>
      <c r="U3889" s="17" t="n"/>
      <c r="V3889" s="17" t="n"/>
      <c r="W3889" s="24">
        <f>IF($D3889="","",IF($E3889="※编码不在物料档案里","※物料编码不在档案里",IF(N($J3889)&lt;=0,"※出库数量要大于 0",IF($K3889="","※没填去向类型",IF($L3889="","※没填去向矿区",IF(AND($C3889&lt;&gt;"",$C3889&lt;=结账锁),"※日期早于已结账截止日，不能再录",IF(AND($K3889="自用消耗",COUNTIF({"一矿区";"二矿区"},$L3889)=0),"※自用消耗的去向只能是一矿区或二矿区",IF(AND($K3889="对外销售",COUNTIF({"三矿区";"六矿区"},$L3889)=0),"※对外销售的去向只能是三矿区或六矿区",IF(AND($K3889="对外销售",ROUND($Q3889,0)=0),"※外销却没有售价，请填实际售价",IF(AND($K3889="对外销售",$T3889&lt;&gt;"",$T3889&lt;0),"※这一笔外销是亏的，请核对售价",IF(IFERROR(VLOOKUP($D3889,库存台账!$A$5:$Y$1204,24,0),0)&lt;-0.001,"※这个物料账面已经变成负数了，查一下是不是漏记入库","")))))))))))</f>
        <v/>
      </c>
    </row>
    <row r="3890">
      <c r="A3890" s="24">
        <f>IF($D3890="","",COUNTA($D$4:$D3890))</f>
        <v/>
      </c>
      <c r="B3890" s="17" t="n"/>
      <c r="C3890" s="30" t="n"/>
      <c r="D3890" s="17" t="n"/>
      <c r="E3890" s="24">
        <f>IF($D3890="","",IFERROR(VLOOKUP($D3890,物料档案!$A$4:$P$1203,3,0),"※编码不在物料档案里"))</f>
        <v/>
      </c>
      <c r="F3890" s="24">
        <f>IF($D3890="","",IFERROR(VLOOKUP($D3890,物料档案!$A$4:$P$1203,4,0),"※编码不在物料档案里"))</f>
        <v/>
      </c>
      <c r="G3890" s="24">
        <f>IF($D3890="","",IFERROR(VLOOKUP($D3890,物料档案!$A$4:$P$1203,5,0),"※编码不在物料档案里"))</f>
        <v/>
      </c>
      <c r="H3890" s="24">
        <f>IF($D3890="","",IFERROR(VLOOKUP($D3890,物料档案!$A$4:$P$1203,2,0),"※编码不在物料档案里"))</f>
        <v/>
      </c>
      <c r="I3890" s="24">
        <f>IF($D3890="","",IFERROR(VLOOKUP($D3890,物料档案!$A$4:$P$1203,6,0),"※编码不在物料档案里"))</f>
        <v/>
      </c>
      <c r="J3890" s="23" t="n"/>
      <c r="K3890" s="17" t="n"/>
      <c r="L3890" s="17" t="n"/>
      <c r="M3890" s="17" t="n"/>
      <c r="N3890" s="17" t="n"/>
      <c r="O3890" s="26">
        <f>IF($D3890="","",IFERROR(VLOOKUP($D3890,物料档案!$A$4:$P$1203,10,0),0))</f>
        <v/>
      </c>
      <c r="P3890" s="32" t="n"/>
      <c r="Q3890" s="26">
        <f>IF($D3890="","",IF($K3890&lt;&gt;"对外销售",0,ROUND(N($J3890)*IF($P3890="",N($O3890),N($P3890)),0)))</f>
        <v/>
      </c>
      <c r="R3890" s="26">
        <f>IF($D3890="","",IFERROR(VLOOKUP($D3890,库存台账!$A$5:$Y$1204,11,0),0))</f>
        <v/>
      </c>
      <c r="S3890" s="26">
        <f>IF($D3890="","",ROUND(N($J3890)*N($R3890),0))</f>
        <v/>
      </c>
      <c r="T3890" s="26">
        <f>IF($D3890="","",IF($K3890&lt;&gt;"对外销售","",ROUND($Q3890-$S3890,0)))</f>
        <v/>
      </c>
      <c r="U3890" s="17" t="n"/>
      <c r="V3890" s="17" t="n"/>
      <c r="W3890" s="24">
        <f>IF($D3890="","",IF($E3890="※编码不在物料档案里","※物料编码不在档案里",IF(N($J3890)&lt;=0,"※出库数量要大于 0",IF($K3890="","※没填去向类型",IF($L3890="","※没填去向矿区",IF(AND($C3890&lt;&gt;"",$C3890&lt;=结账锁),"※日期早于已结账截止日，不能再录",IF(AND($K3890="自用消耗",COUNTIF({"一矿区";"二矿区"},$L3890)=0),"※自用消耗的去向只能是一矿区或二矿区",IF(AND($K3890="对外销售",COUNTIF({"三矿区";"六矿区"},$L3890)=0),"※对外销售的去向只能是三矿区或六矿区",IF(AND($K3890="对外销售",ROUND($Q3890,0)=0),"※外销却没有售价，请填实际售价",IF(AND($K3890="对外销售",$T3890&lt;&gt;"",$T3890&lt;0),"※这一笔外销是亏的，请核对售价",IF(IFERROR(VLOOKUP($D3890,库存台账!$A$5:$Y$1204,24,0),0)&lt;-0.001,"※这个物料账面已经变成负数了，查一下是不是漏记入库","")))))))))))</f>
        <v/>
      </c>
    </row>
    <row r="3891">
      <c r="A3891" s="24">
        <f>IF($D3891="","",COUNTA($D$4:$D3891))</f>
        <v/>
      </c>
      <c r="B3891" s="17" t="n"/>
      <c r="C3891" s="30" t="n"/>
      <c r="D3891" s="17" t="n"/>
      <c r="E3891" s="24">
        <f>IF($D3891="","",IFERROR(VLOOKUP($D3891,物料档案!$A$4:$P$1203,3,0),"※编码不在物料档案里"))</f>
        <v/>
      </c>
      <c r="F3891" s="24">
        <f>IF($D3891="","",IFERROR(VLOOKUP($D3891,物料档案!$A$4:$P$1203,4,0),"※编码不在物料档案里"))</f>
        <v/>
      </c>
      <c r="G3891" s="24">
        <f>IF($D3891="","",IFERROR(VLOOKUP($D3891,物料档案!$A$4:$P$1203,5,0),"※编码不在物料档案里"))</f>
        <v/>
      </c>
      <c r="H3891" s="24">
        <f>IF($D3891="","",IFERROR(VLOOKUP($D3891,物料档案!$A$4:$P$1203,2,0),"※编码不在物料档案里"))</f>
        <v/>
      </c>
      <c r="I3891" s="24">
        <f>IF($D3891="","",IFERROR(VLOOKUP($D3891,物料档案!$A$4:$P$1203,6,0),"※编码不在物料档案里"))</f>
        <v/>
      </c>
      <c r="J3891" s="23" t="n"/>
      <c r="K3891" s="17" t="n"/>
      <c r="L3891" s="17" t="n"/>
      <c r="M3891" s="17" t="n"/>
      <c r="N3891" s="17" t="n"/>
      <c r="O3891" s="26">
        <f>IF($D3891="","",IFERROR(VLOOKUP($D3891,物料档案!$A$4:$P$1203,10,0),0))</f>
        <v/>
      </c>
      <c r="P3891" s="32" t="n"/>
      <c r="Q3891" s="26">
        <f>IF($D3891="","",IF($K3891&lt;&gt;"对外销售",0,ROUND(N($J3891)*IF($P3891="",N($O3891),N($P3891)),0)))</f>
        <v/>
      </c>
      <c r="R3891" s="26">
        <f>IF($D3891="","",IFERROR(VLOOKUP($D3891,库存台账!$A$5:$Y$1204,11,0),0))</f>
        <v/>
      </c>
      <c r="S3891" s="26">
        <f>IF($D3891="","",ROUND(N($J3891)*N($R3891),0))</f>
        <v/>
      </c>
      <c r="T3891" s="26">
        <f>IF($D3891="","",IF($K3891&lt;&gt;"对外销售","",ROUND($Q3891-$S3891,0)))</f>
        <v/>
      </c>
      <c r="U3891" s="17" t="n"/>
      <c r="V3891" s="17" t="n"/>
      <c r="W3891" s="24">
        <f>IF($D3891="","",IF($E3891="※编码不在物料档案里","※物料编码不在档案里",IF(N($J3891)&lt;=0,"※出库数量要大于 0",IF($K3891="","※没填去向类型",IF($L3891="","※没填去向矿区",IF(AND($C3891&lt;&gt;"",$C3891&lt;=结账锁),"※日期早于已结账截止日，不能再录",IF(AND($K3891="自用消耗",COUNTIF({"一矿区";"二矿区"},$L3891)=0),"※自用消耗的去向只能是一矿区或二矿区",IF(AND($K3891="对外销售",COUNTIF({"三矿区";"六矿区"},$L3891)=0),"※对外销售的去向只能是三矿区或六矿区",IF(AND($K3891="对外销售",ROUND($Q3891,0)=0),"※外销却没有售价，请填实际售价",IF(AND($K3891="对外销售",$T3891&lt;&gt;"",$T3891&lt;0),"※这一笔外销是亏的，请核对售价",IF(IFERROR(VLOOKUP($D3891,库存台账!$A$5:$Y$1204,24,0),0)&lt;-0.001,"※这个物料账面已经变成负数了，查一下是不是漏记入库","")))))))))))</f>
        <v/>
      </c>
    </row>
    <row r="3892">
      <c r="A3892" s="24">
        <f>IF($D3892="","",COUNTA($D$4:$D3892))</f>
        <v/>
      </c>
      <c r="B3892" s="17" t="n"/>
      <c r="C3892" s="30" t="n"/>
      <c r="D3892" s="17" t="n"/>
      <c r="E3892" s="24">
        <f>IF($D3892="","",IFERROR(VLOOKUP($D3892,物料档案!$A$4:$P$1203,3,0),"※编码不在物料档案里"))</f>
        <v/>
      </c>
      <c r="F3892" s="24">
        <f>IF($D3892="","",IFERROR(VLOOKUP($D3892,物料档案!$A$4:$P$1203,4,0),"※编码不在物料档案里"))</f>
        <v/>
      </c>
      <c r="G3892" s="24">
        <f>IF($D3892="","",IFERROR(VLOOKUP($D3892,物料档案!$A$4:$P$1203,5,0),"※编码不在物料档案里"))</f>
        <v/>
      </c>
      <c r="H3892" s="24">
        <f>IF($D3892="","",IFERROR(VLOOKUP($D3892,物料档案!$A$4:$P$1203,2,0),"※编码不在物料档案里"))</f>
        <v/>
      </c>
      <c r="I3892" s="24">
        <f>IF($D3892="","",IFERROR(VLOOKUP($D3892,物料档案!$A$4:$P$1203,6,0),"※编码不在物料档案里"))</f>
        <v/>
      </c>
      <c r="J3892" s="23" t="n"/>
      <c r="K3892" s="17" t="n"/>
      <c r="L3892" s="17" t="n"/>
      <c r="M3892" s="17" t="n"/>
      <c r="N3892" s="17" t="n"/>
      <c r="O3892" s="26">
        <f>IF($D3892="","",IFERROR(VLOOKUP($D3892,物料档案!$A$4:$P$1203,10,0),0))</f>
        <v/>
      </c>
      <c r="P3892" s="32" t="n"/>
      <c r="Q3892" s="26">
        <f>IF($D3892="","",IF($K3892&lt;&gt;"对外销售",0,ROUND(N($J3892)*IF($P3892="",N($O3892),N($P3892)),0)))</f>
        <v/>
      </c>
      <c r="R3892" s="26">
        <f>IF($D3892="","",IFERROR(VLOOKUP($D3892,库存台账!$A$5:$Y$1204,11,0),0))</f>
        <v/>
      </c>
      <c r="S3892" s="26">
        <f>IF($D3892="","",ROUND(N($J3892)*N($R3892),0))</f>
        <v/>
      </c>
      <c r="T3892" s="26">
        <f>IF($D3892="","",IF($K3892&lt;&gt;"对外销售","",ROUND($Q3892-$S3892,0)))</f>
        <v/>
      </c>
      <c r="U3892" s="17" t="n"/>
      <c r="V3892" s="17" t="n"/>
      <c r="W3892" s="24">
        <f>IF($D3892="","",IF($E3892="※编码不在物料档案里","※物料编码不在档案里",IF(N($J3892)&lt;=0,"※出库数量要大于 0",IF($K3892="","※没填去向类型",IF($L3892="","※没填去向矿区",IF(AND($C3892&lt;&gt;"",$C3892&lt;=结账锁),"※日期早于已结账截止日，不能再录",IF(AND($K3892="自用消耗",COUNTIF({"一矿区";"二矿区"},$L3892)=0),"※自用消耗的去向只能是一矿区或二矿区",IF(AND($K3892="对外销售",COUNTIF({"三矿区";"六矿区"},$L3892)=0),"※对外销售的去向只能是三矿区或六矿区",IF(AND($K3892="对外销售",ROUND($Q3892,0)=0),"※外销却没有售价，请填实际售价",IF(AND($K3892="对外销售",$T3892&lt;&gt;"",$T3892&lt;0),"※这一笔外销是亏的，请核对售价",IF(IFERROR(VLOOKUP($D3892,库存台账!$A$5:$Y$1204,24,0),0)&lt;-0.001,"※这个物料账面已经变成负数了，查一下是不是漏记入库","")))))))))))</f>
        <v/>
      </c>
    </row>
    <row r="3893">
      <c r="A3893" s="24">
        <f>IF($D3893="","",COUNTA($D$4:$D3893))</f>
        <v/>
      </c>
      <c r="B3893" s="17" t="n"/>
      <c r="C3893" s="30" t="n"/>
      <c r="D3893" s="17" t="n"/>
      <c r="E3893" s="24">
        <f>IF($D3893="","",IFERROR(VLOOKUP($D3893,物料档案!$A$4:$P$1203,3,0),"※编码不在物料档案里"))</f>
        <v/>
      </c>
      <c r="F3893" s="24">
        <f>IF($D3893="","",IFERROR(VLOOKUP($D3893,物料档案!$A$4:$P$1203,4,0),"※编码不在物料档案里"))</f>
        <v/>
      </c>
      <c r="G3893" s="24">
        <f>IF($D3893="","",IFERROR(VLOOKUP($D3893,物料档案!$A$4:$P$1203,5,0),"※编码不在物料档案里"))</f>
        <v/>
      </c>
      <c r="H3893" s="24">
        <f>IF($D3893="","",IFERROR(VLOOKUP($D3893,物料档案!$A$4:$P$1203,2,0),"※编码不在物料档案里"))</f>
        <v/>
      </c>
      <c r="I3893" s="24">
        <f>IF($D3893="","",IFERROR(VLOOKUP($D3893,物料档案!$A$4:$P$1203,6,0),"※编码不在物料档案里"))</f>
        <v/>
      </c>
      <c r="J3893" s="23" t="n"/>
      <c r="K3893" s="17" t="n"/>
      <c r="L3893" s="17" t="n"/>
      <c r="M3893" s="17" t="n"/>
      <c r="N3893" s="17" t="n"/>
      <c r="O3893" s="26">
        <f>IF($D3893="","",IFERROR(VLOOKUP($D3893,物料档案!$A$4:$P$1203,10,0),0))</f>
        <v/>
      </c>
      <c r="P3893" s="32" t="n"/>
      <c r="Q3893" s="26">
        <f>IF($D3893="","",IF($K3893&lt;&gt;"对外销售",0,ROUND(N($J3893)*IF($P3893="",N($O3893),N($P3893)),0)))</f>
        <v/>
      </c>
      <c r="R3893" s="26">
        <f>IF($D3893="","",IFERROR(VLOOKUP($D3893,库存台账!$A$5:$Y$1204,11,0),0))</f>
        <v/>
      </c>
      <c r="S3893" s="26">
        <f>IF($D3893="","",ROUND(N($J3893)*N($R3893),0))</f>
        <v/>
      </c>
      <c r="T3893" s="26">
        <f>IF($D3893="","",IF($K3893&lt;&gt;"对外销售","",ROUND($Q3893-$S3893,0)))</f>
        <v/>
      </c>
      <c r="U3893" s="17" t="n"/>
      <c r="V3893" s="17" t="n"/>
      <c r="W3893" s="24">
        <f>IF($D3893="","",IF($E3893="※编码不在物料档案里","※物料编码不在档案里",IF(N($J3893)&lt;=0,"※出库数量要大于 0",IF($K3893="","※没填去向类型",IF($L3893="","※没填去向矿区",IF(AND($C3893&lt;&gt;"",$C3893&lt;=结账锁),"※日期早于已结账截止日，不能再录",IF(AND($K3893="自用消耗",COUNTIF({"一矿区";"二矿区"},$L3893)=0),"※自用消耗的去向只能是一矿区或二矿区",IF(AND($K3893="对外销售",COUNTIF({"三矿区";"六矿区"},$L3893)=0),"※对外销售的去向只能是三矿区或六矿区",IF(AND($K3893="对外销售",ROUND($Q3893,0)=0),"※外销却没有售价，请填实际售价",IF(AND($K3893="对外销售",$T3893&lt;&gt;"",$T3893&lt;0),"※这一笔外销是亏的，请核对售价",IF(IFERROR(VLOOKUP($D3893,库存台账!$A$5:$Y$1204,24,0),0)&lt;-0.001,"※这个物料账面已经变成负数了，查一下是不是漏记入库","")))))))))))</f>
        <v/>
      </c>
    </row>
    <row r="3894">
      <c r="A3894" s="24">
        <f>IF($D3894="","",COUNTA($D$4:$D3894))</f>
        <v/>
      </c>
      <c r="B3894" s="17" t="n"/>
      <c r="C3894" s="30" t="n"/>
      <c r="D3894" s="17" t="n"/>
      <c r="E3894" s="24">
        <f>IF($D3894="","",IFERROR(VLOOKUP($D3894,物料档案!$A$4:$P$1203,3,0),"※编码不在物料档案里"))</f>
        <v/>
      </c>
      <c r="F3894" s="24">
        <f>IF($D3894="","",IFERROR(VLOOKUP($D3894,物料档案!$A$4:$P$1203,4,0),"※编码不在物料档案里"))</f>
        <v/>
      </c>
      <c r="G3894" s="24">
        <f>IF($D3894="","",IFERROR(VLOOKUP($D3894,物料档案!$A$4:$P$1203,5,0),"※编码不在物料档案里"))</f>
        <v/>
      </c>
      <c r="H3894" s="24">
        <f>IF($D3894="","",IFERROR(VLOOKUP($D3894,物料档案!$A$4:$P$1203,2,0),"※编码不在物料档案里"))</f>
        <v/>
      </c>
      <c r="I3894" s="24">
        <f>IF($D3894="","",IFERROR(VLOOKUP($D3894,物料档案!$A$4:$P$1203,6,0),"※编码不在物料档案里"))</f>
        <v/>
      </c>
      <c r="J3894" s="23" t="n"/>
      <c r="K3894" s="17" t="n"/>
      <c r="L3894" s="17" t="n"/>
      <c r="M3894" s="17" t="n"/>
      <c r="N3894" s="17" t="n"/>
      <c r="O3894" s="26">
        <f>IF($D3894="","",IFERROR(VLOOKUP($D3894,物料档案!$A$4:$P$1203,10,0),0))</f>
        <v/>
      </c>
      <c r="P3894" s="32" t="n"/>
      <c r="Q3894" s="26">
        <f>IF($D3894="","",IF($K3894&lt;&gt;"对外销售",0,ROUND(N($J3894)*IF($P3894="",N($O3894),N($P3894)),0)))</f>
        <v/>
      </c>
      <c r="R3894" s="26">
        <f>IF($D3894="","",IFERROR(VLOOKUP($D3894,库存台账!$A$5:$Y$1204,11,0),0))</f>
        <v/>
      </c>
      <c r="S3894" s="26">
        <f>IF($D3894="","",ROUND(N($J3894)*N($R3894),0))</f>
        <v/>
      </c>
      <c r="T3894" s="26">
        <f>IF($D3894="","",IF($K3894&lt;&gt;"对外销售","",ROUND($Q3894-$S3894,0)))</f>
        <v/>
      </c>
      <c r="U3894" s="17" t="n"/>
      <c r="V3894" s="17" t="n"/>
      <c r="W3894" s="24">
        <f>IF($D3894="","",IF($E3894="※编码不在物料档案里","※物料编码不在档案里",IF(N($J3894)&lt;=0,"※出库数量要大于 0",IF($K3894="","※没填去向类型",IF($L3894="","※没填去向矿区",IF(AND($C3894&lt;&gt;"",$C3894&lt;=结账锁),"※日期早于已结账截止日，不能再录",IF(AND($K3894="自用消耗",COUNTIF({"一矿区";"二矿区"},$L3894)=0),"※自用消耗的去向只能是一矿区或二矿区",IF(AND($K3894="对外销售",COUNTIF({"三矿区";"六矿区"},$L3894)=0),"※对外销售的去向只能是三矿区或六矿区",IF(AND($K3894="对外销售",ROUND($Q3894,0)=0),"※外销却没有售价，请填实际售价",IF(AND($K3894="对外销售",$T3894&lt;&gt;"",$T3894&lt;0),"※这一笔外销是亏的，请核对售价",IF(IFERROR(VLOOKUP($D3894,库存台账!$A$5:$Y$1204,24,0),0)&lt;-0.001,"※这个物料账面已经变成负数了，查一下是不是漏记入库","")))))))))))</f>
        <v/>
      </c>
    </row>
    <row r="3895">
      <c r="A3895" s="24">
        <f>IF($D3895="","",COUNTA($D$4:$D3895))</f>
        <v/>
      </c>
      <c r="B3895" s="17" t="n"/>
      <c r="C3895" s="30" t="n"/>
      <c r="D3895" s="17" t="n"/>
      <c r="E3895" s="24">
        <f>IF($D3895="","",IFERROR(VLOOKUP($D3895,物料档案!$A$4:$P$1203,3,0),"※编码不在物料档案里"))</f>
        <v/>
      </c>
      <c r="F3895" s="24">
        <f>IF($D3895="","",IFERROR(VLOOKUP($D3895,物料档案!$A$4:$P$1203,4,0),"※编码不在物料档案里"))</f>
        <v/>
      </c>
      <c r="G3895" s="24">
        <f>IF($D3895="","",IFERROR(VLOOKUP($D3895,物料档案!$A$4:$P$1203,5,0),"※编码不在物料档案里"))</f>
        <v/>
      </c>
      <c r="H3895" s="24">
        <f>IF($D3895="","",IFERROR(VLOOKUP($D3895,物料档案!$A$4:$P$1203,2,0),"※编码不在物料档案里"))</f>
        <v/>
      </c>
      <c r="I3895" s="24">
        <f>IF($D3895="","",IFERROR(VLOOKUP($D3895,物料档案!$A$4:$P$1203,6,0),"※编码不在物料档案里"))</f>
        <v/>
      </c>
      <c r="J3895" s="23" t="n"/>
      <c r="K3895" s="17" t="n"/>
      <c r="L3895" s="17" t="n"/>
      <c r="M3895" s="17" t="n"/>
      <c r="N3895" s="17" t="n"/>
      <c r="O3895" s="26">
        <f>IF($D3895="","",IFERROR(VLOOKUP($D3895,物料档案!$A$4:$P$1203,10,0),0))</f>
        <v/>
      </c>
      <c r="P3895" s="32" t="n"/>
      <c r="Q3895" s="26">
        <f>IF($D3895="","",IF($K3895&lt;&gt;"对外销售",0,ROUND(N($J3895)*IF($P3895="",N($O3895),N($P3895)),0)))</f>
        <v/>
      </c>
      <c r="R3895" s="26">
        <f>IF($D3895="","",IFERROR(VLOOKUP($D3895,库存台账!$A$5:$Y$1204,11,0),0))</f>
        <v/>
      </c>
      <c r="S3895" s="26">
        <f>IF($D3895="","",ROUND(N($J3895)*N($R3895),0))</f>
        <v/>
      </c>
      <c r="T3895" s="26">
        <f>IF($D3895="","",IF($K3895&lt;&gt;"对外销售","",ROUND($Q3895-$S3895,0)))</f>
        <v/>
      </c>
      <c r="U3895" s="17" t="n"/>
      <c r="V3895" s="17" t="n"/>
      <c r="W3895" s="24">
        <f>IF($D3895="","",IF($E3895="※编码不在物料档案里","※物料编码不在档案里",IF(N($J3895)&lt;=0,"※出库数量要大于 0",IF($K3895="","※没填去向类型",IF($L3895="","※没填去向矿区",IF(AND($C3895&lt;&gt;"",$C3895&lt;=结账锁),"※日期早于已结账截止日，不能再录",IF(AND($K3895="自用消耗",COUNTIF({"一矿区";"二矿区"},$L3895)=0),"※自用消耗的去向只能是一矿区或二矿区",IF(AND($K3895="对外销售",COUNTIF({"三矿区";"六矿区"},$L3895)=0),"※对外销售的去向只能是三矿区或六矿区",IF(AND($K3895="对外销售",ROUND($Q3895,0)=0),"※外销却没有售价，请填实际售价",IF(AND($K3895="对外销售",$T3895&lt;&gt;"",$T3895&lt;0),"※这一笔外销是亏的，请核对售价",IF(IFERROR(VLOOKUP($D3895,库存台账!$A$5:$Y$1204,24,0),0)&lt;-0.001,"※这个物料账面已经变成负数了，查一下是不是漏记入库","")))))))))))</f>
        <v/>
      </c>
    </row>
    <row r="3896">
      <c r="A3896" s="24">
        <f>IF($D3896="","",COUNTA($D$4:$D3896))</f>
        <v/>
      </c>
      <c r="B3896" s="17" t="n"/>
      <c r="C3896" s="30" t="n"/>
      <c r="D3896" s="17" t="n"/>
      <c r="E3896" s="24">
        <f>IF($D3896="","",IFERROR(VLOOKUP($D3896,物料档案!$A$4:$P$1203,3,0),"※编码不在物料档案里"))</f>
        <v/>
      </c>
      <c r="F3896" s="24">
        <f>IF($D3896="","",IFERROR(VLOOKUP($D3896,物料档案!$A$4:$P$1203,4,0),"※编码不在物料档案里"))</f>
        <v/>
      </c>
      <c r="G3896" s="24">
        <f>IF($D3896="","",IFERROR(VLOOKUP($D3896,物料档案!$A$4:$P$1203,5,0),"※编码不在物料档案里"))</f>
        <v/>
      </c>
      <c r="H3896" s="24">
        <f>IF($D3896="","",IFERROR(VLOOKUP($D3896,物料档案!$A$4:$P$1203,2,0),"※编码不在物料档案里"))</f>
        <v/>
      </c>
      <c r="I3896" s="24">
        <f>IF($D3896="","",IFERROR(VLOOKUP($D3896,物料档案!$A$4:$P$1203,6,0),"※编码不在物料档案里"))</f>
        <v/>
      </c>
      <c r="J3896" s="23" t="n"/>
      <c r="K3896" s="17" t="n"/>
      <c r="L3896" s="17" t="n"/>
      <c r="M3896" s="17" t="n"/>
      <c r="N3896" s="17" t="n"/>
      <c r="O3896" s="26">
        <f>IF($D3896="","",IFERROR(VLOOKUP($D3896,物料档案!$A$4:$P$1203,10,0),0))</f>
        <v/>
      </c>
      <c r="P3896" s="32" t="n"/>
      <c r="Q3896" s="26">
        <f>IF($D3896="","",IF($K3896&lt;&gt;"对外销售",0,ROUND(N($J3896)*IF($P3896="",N($O3896),N($P3896)),0)))</f>
        <v/>
      </c>
      <c r="R3896" s="26">
        <f>IF($D3896="","",IFERROR(VLOOKUP($D3896,库存台账!$A$5:$Y$1204,11,0),0))</f>
        <v/>
      </c>
      <c r="S3896" s="26">
        <f>IF($D3896="","",ROUND(N($J3896)*N($R3896),0))</f>
        <v/>
      </c>
      <c r="T3896" s="26">
        <f>IF($D3896="","",IF($K3896&lt;&gt;"对外销售","",ROUND($Q3896-$S3896,0)))</f>
        <v/>
      </c>
      <c r="U3896" s="17" t="n"/>
      <c r="V3896" s="17" t="n"/>
      <c r="W3896" s="24">
        <f>IF($D3896="","",IF($E3896="※编码不在物料档案里","※物料编码不在档案里",IF(N($J3896)&lt;=0,"※出库数量要大于 0",IF($K3896="","※没填去向类型",IF($L3896="","※没填去向矿区",IF(AND($C3896&lt;&gt;"",$C3896&lt;=结账锁),"※日期早于已结账截止日，不能再录",IF(AND($K3896="自用消耗",COUNTIF({"一矿区";"二矿区"},$L3896)=0),"※自用消耗的去向只能是一矿区或二矿区",IF(AND($K3896="对外销售",COUNTIF({"三矿区";"六矿区"},$L3896)=0),"※对外销售的去向只能是三矿区或六矿区",IF(AND($K3896="对外销售",ROUND($Q3896,0)=0),"※外销却没有售价，请填实际售价",IF(AND($K3896="对外销售",$T3896&lt;&gt;"",$T3896&lt;0),"※这一笔外销是亏的，请核对售价",IF(IFERROR(VLOOKUP($D3896,库存台账!$A$5:$Y$1204,24,0),0)&lt;-0.001,"※这个物料账面已经变成负数了，查一下是不是漏记入库","")))))))))))</f>
        <v/>
      </c>
    </row>
    <row r="3897">
      <c r="A3897" s="24">
        <f>IF($D3897="","",COUNTA($D$4:$D3897))</f>
        <v/>
      </c>
      <c r="B3897" s="17" t="n"/>
      <c r="C3897" s="30" t="n"/>
      <c r="D3897" s="17" t="n"/>
      <c r="E3897" s="24">
        <f>IF($D3897="","",IFERROR(VLOOKUP($D3897,物料档案!$A$4:$P$1203,3,0),"※编码不在物料档案里"))</f>
        <v/>
      </c>
      <c r="F3897" s="24">
        <f>IF($D3897="","",IFERROR(VLOOKUP($D3897,物料档案!$A$4:$P$1203,4,0),"※编码不在物料档案里"))</f>
        <v/>
      </c>
      <c r="G3897" s="24">
        <f>IF($D3897="","",IFERROR(VLOOKUP($D3897,物料档案!$A$4:$P$1203,5,0),"※编码不在物料档案里"))</f>
        <v/>
      </c>
      <c r="H3897" s="24">
        <f>IF($D3897="","",IFERROR(VLOOKUP($D3897,物料档案!$A$4:$P$1203,2,0),"※编码不在物料档案里"))</f>
        <v/>
      </c>
      <c r="I3897" s="24">
        <f>IF($D3897="","",IFERROR(VLOOKUP($D3897,物料档案!$A$4:$P$1203,6,0),"※编码不在物料档案里"))</f>
        <v/>
      </c>
      <c r="J3897" s="23" t="n"/>
      <c r="K3897" s="17" t="n"/>
      <c r="L3897" s="17" t="n"/>
      <c r="M3897" s="17" t="n"/>
      <c r="N3897" s="17" t="n"/>
      <c r="O3897" s="26">
        <f>IF($D3897="","",IFERROR(VLOOKUP($D3897,物料档案!$A$4:$P$1203,10,0),0))</f>
        <v/>
      </c>
      <c r="P3897" s="32" t="n"/>
      <c r="Q3897" s="26">
        <f>IF($D3897="","",IF($K3897&lt;&gt;"对外销售",0,ROUND(N($J3897)*IF($P3897="",N($O3897),N($P3897)),0)))</f>
        <v/>
      </c>
      <c r="R3897" s="26">
        <f>IF($D3897="","",IFERROR(VLOOKUP($D3897,库存台账!$A$5:$Y$1204,11,0),0))</f>
        <v/>
      </c>
      <c r="S3897" s="26">
        <f>IF($D3897="","",ROUND(N($J3897)*N($R3897),0))</f>
        <v/>
      </c>
      <c r="T3897" s="26">
        <f>IF($D3897="","",IF($K3897&lt;&gt;"对外销售","",ROUND($Q3897-$S3897,0)))</f>
        <v/>
      </c>
      <c r="U3897" s="17" t="n"/>
      <c r="V3897" s="17" t="n"/>
      <c r="W3897" s="24">
        <f>IF($D3897="","",IF($E3897="※编码不在物料档案里","※物料编码不在档案里",IF(N($J3897)&lt;=0,"※出库数量要大于 0",IF($K3897="","※没填去向类型",IF($L3897="","※没填去向矿区",IF(AND($C3897&lt;&gt;"",$C3897&lt;=结账锁),"※日期早于已结账截止日，不能再录",IF(AND($K3897="自用消耗",COUNTIF({"一矿区";"二矿区"},$L3897)=0),"※自用消耗的去向只能是一矿区或二矿区",IF(AND($K3897="对外销售",COUNTIF({"三矿区";"六矿区"},$L3897)=0),"※对外销售的去向只能是三矿区或六矿区",IF(AND($K3897="对外销售",ROUND($Q3897,0)=0),"※外销却没有售价，请填实际售价",IF(AND($K3897="对外销售",$T3897&lt;&gt;"",$T3897&lt;0),"※这一笔外销是亏的，请核对售价",IF(IFERROR(VLOOKUP($D3897,库存台账!$A$5:$Y$1204,24,0),0)&lt;-0.001,"※这个物料账面已经变成负数了，查一下是不是漏记入库","")))))))))))</f>
        <v/>
      </c>
    </row>
    <row r="3898">
      <c r="A3898" s="24">
        <f>IF($D3898="","",COUNTA($D$4:$D3898))</f>
        <v/>
      </c>
      <c r="B3898" s="17" t="n"/>
      <c r="C3898" s="30" t="n"/>
      <c r="D3898" s="17" t="n"/>
      <c r="E3898" s="24">
        <f>IF($D3898="","",IFERROR(VLOOKUP($D3898,物料档案!$A$4:$P$1203,3,0),"※编码不在物料档案里"))</f>
        <v/>
      </c>
      <c r="F3898" s="24">
        <f>IF($D3898="","",IFERROR(VLOOKUP($D3898,物料档案!$A$4:$P$1203,4,0),"※编码不在物料档案里"))</f>
        <v/>
      </c>
      <c r="G3898" s="24">
        <f>IF($D3898="","",IFERROR(VLOOKUP($D3898,物料档案!$A$4:$P$1203,5,0),"※编码不在物料档案里"))</f>
        <v/>
      </c>
      <c r="H3898" s="24">
        <f>IF($D3898="","",IFERROR(VLOOKUP($D3898,物料档案!$A$4:$P$1203,2,0),"※编码不在物料档案里"))</f>
        <v/>
      </c>
      <c r="I3898" s="24">
        <f>IF($D3898="","",IFERROR(VLOOKUP($D3898,物料档案!$A$4:$P$1203,6,0),"※编码不在物料档案里"))</f>
        <v/>
      </c>
      <c r="J3898" s="23" t="n"/>
      <c r="K3898" s="17" t="n"/>
      <c r="L3898" s="17" t="n"/>
      <c r="M3898" s="17" t="n"/>
      <c r="N3898" s="17" t="n"/>
      <c r="O3898" s="26">
        <f>IF($D3898="","",IFERROR(VLOOKUP($D3898,物料档案!$A$4:$P$1203,10,0),0))</f>
        <v/>
      </c>
      <c r="P3898" s="32" t="n"/>
      <c r="Q3898" s="26">
        <f>IF($D3898="","",IF($K3898&lt;&gt;"对外销售",0,ROUND(N($J3898)*IF($P3898="",N($O3898),N($P3898)),0)))</f>
        <v/>
      </c>
      <c r="R3898" s="26">
        <f>IF($D3898="","",IFERROR(VLOOKUP($D3898,库存台账!$A$5:$Y$1204,11,0),0))</f>
        <v/>
      </c>
      <c r="S3898" s="26">
        <f>IF($D3898="","",ROUND(N($J3898)*N($R3898),0))</f>
        <v/>
      </c>
      <c r="T3898" s="26">
        <f>IF($D3898="","",IF($K3898&lt;&gt;"对外销售","",ROUND($Q3898-$S3898,0)))</f>
        <v/>
      </c>
      <c r="U3898" s="17" t="n"/>
      <c r="V3898" s="17" t="n"/>
      <c r="W3898" s="24">
        <f>IF($D3898="","",IF($E3898="※编码不在物料档案里","※物料编码不在档案里",IF(N($J3898)&lt;=0,"※出库数量要大于 0",IF($K3898="","※没填去向类型",IF($L3898="","※没填去向矿区",IF(AND($C3898&lt;&gt;"",$C3898&lt;=结账锁),"※日期早于已结账截止日，不能再录",IF(AND($K3898="自用消耗",COUNTIF({"一矿区";"二矿区"},$L3898)=0),"※自用消耗的去向只能是一矿区或二矿区",IF(AND($K3898="对外销售",COUNTIF({"三矿区";"六矿区"},$L3898)=0),"※对外销售的去向只能是三矿区或六矿区",IF(AND($K3898="对外销售",ROUND($Q3898,0)=0),"※外销却没有售价，请填实际售价",IF(AND($K3898="对外销售",$T3898&lt;&gt;"",$T3898&lt;0),"※这一笔外销是亏的，请核对售价",IF(IFERROR(VLOOKUP($D3898,库存台账!$A$5:$Y$1204,24,0),0)&lt;-0.001,"※这个物料账面已经变成负数了，查一下是不是漏记入库","")))))))))))</f>
        <v/>
      </c>
    </row>
    <row r="3899">
      <c r="A3899" s="24">
        <f>IF($D3899="","",COUNTA($D$4:$D3899))</f>
        <v/>
      </c>
      <c r="B3899" s="17" t="n"/>
      <c r="C3899" s="30" t="n"/>
      <c r="D3899" s="17" t="n"/>
      <c r="E3899" s="24">
        <f>IF($D3899="","",IFERROR(VLOOKUP($D3899,物料档案!$A$4:$P$1203,3,0),"※编码不在物料档案里"))</f>
        <v/>
      </c>
      <c r="F3899" s="24">
        <f>IF($D3899="","",IFERROR(VLOOKUP($D3899,物料档案!$A$4:$P$1203,4,0),"※编码不在物料档案里"))</f>
        <v/>
      </c>
      <c r="G3899" s="24">
        <f>IF($D3899="","",IFERROR(VLOOKUP($D3899,物料档案!$A$4:$P$1203,5,0),"※编码不在物料档案里"))</f>
        <v/>
      </c>
      <c r="H3899" s="24">
        <f>IF($D3899="","",IFERROR(VLOOKUP($D3899,物料档案!$A$4:$P$1203,2,0),"※编码不在物料档案里"))</f>
        <v/>
      </c>
      <c r="I3899" s="24">
        <f>IF($D3899="","",IFERROR(VLOOKUP($D3899,物料档案!$A$4:$P$1203,6,0),"※编码不在物料档案里"))</f>
        <v/>
      </c>
      <c r="J3899" s="23" t="n"/>
      <c r="K3899" s="17" t="n"/>
      <c r="L3899" s="17" t="n"/>
      <c r="M3899" s="17" t="n"/>
      <c r="N3899" s="17" t="n"/>
      <c r="O3899" s="26">
        <f>IF($D3899="","",IFERROR(VLOOKUP($D3899,物料档案!$A$4:$P$1203,10,0),0))</f>
        <v/>
      </c>
      <c r="P3899" s="32" t="n"/>
      <c r="Q3899" s="26">
        <f>IF($D3899="","",IF($K3899&lt;&gt;"对外销售",0,ROUND(N($J3899)*IF($P3899="",N($O3899),N($P3899)),0)))</f>
        <v/>
      </c>
      <c r="R3899" s="26">
        <f>IF($D3899="","",IFERROR(VLOOKUP($D3899,库存台账!$A$5:$Y$1204,11,0),0))</f>
        <v/>
      </c>
      <c r="S3899" s="26">
        <f>IF($D3899="","",ROUND(N($J3899)*N($R3899),0))</f>
        <v/>
      </c>
      <c r="T3899" s="26">
        <f>IF($D3899="","",IF($K3899&lt;&gt;"对外销售","",ROUND($Q3899-$S3899,0)))</f>
        <v/>
      </c>
      <c r="U3899" s="17" t="n"/>
      <c r="V3899" s="17" t="n"/>
      <c r="W3899" s="24">
        <f>IF($D3899="","",IF($E3899="※编码不在物料档案里","※物料编码不在档案里",IF(N($J3899)&lt;=0,"※出库数量要大于 0",IF($K3899="","※没填去向类型",IF($L3899="","※没填去向矿区",IF(AND($C3899&lt;&gt;"",$C3899&lt;=结账锁),"※日期早于已结账截止日，不能再录",IF(AND($K3899="自用消耗",COUNTIF({"一矿区";"二矿区"},$L3899)=0),"※自用消耗的去向只能是一矿区或二矿区",IF(AND($K3899="对外销售",COUNTIF({"三矿区";"六矿区"},$L3899)=0),"※对外销售的去向只能是三矿区或六矿区",IF(AND($K3899="对外销售",ROUND($Q3899,0)=0),"※外销却没有售价，请填实际售价",IF(AND($K3899="对外销售",$T3899&lt;&gt;"",$T3899&lt;0),"※这一笔外销是亏的，请核对售价",IF(IFERROR(VLOOKUP($D3899,库存台账!$A$5:$Y$1204,24,0),0)&lt;-0.001,"※这个物料账面已经变成负数了，查一下是不是漏记入库","")))))))))))</f>
        <v/>
      </c>
    </row>
    <row r="3900">
      <c r="A3900" s="24">
        <f>IF($D3900="","",COUNTA($D$4:$D3900))</f>
        <v/>
      </c>
      <c r="B3900" s="17" t="n"/>
      <c r="C3900" s="30" t="n"/>
      <c r="D3900" s="17" t="n"/>
      <c r="E3900" s="24">
        <f>IF($D3900="","",IFERROR(VLOOKUP($D3900,物料档案!$A$4:$P$1203,3,0),"※编码不在物料档案里"))</f>
        <v/>
      </c>
      <c r="F3900" s="24">
        <f>IF($D3900="","",IFERROR(VLOOKUP($D3900,物料档案!$A$4:$P$1203,4,0),"※编码不在物料档案里"))</f>
        <v/>
      </c>
      <c r="G3900" s="24">
        <f>IF($D3900="","",IFERROR(VLOOKUP($D3900,物料档案!$A$4:$P$1203,5,0),"※编码不在物料档案里"))</f>
        <v/>
      </c>
      <c r="H3900" s="24">
        <f>IF($D3900="","",IFERROR(VLOOKUP($D3900,物料档案!$A$4:$P$1203,2,0),"※编码不在物料档案里"))</f>
        <v/>
      </c>
      <c r="I3900" s="24">
        <f>IF($D3900="","",IFERROR(VLOOKUP($D3900,物料档案!$A$4:$P$1203,6,0),"※编码不在物料档案里"))</f>
        <v/>
      </c>
      <c r="J3900" s="23" t="n"/>
      <c r="K3900" s="17" t="n"/>
      <c r="L3900" s="17" t="n"/>
      <c r="M3900" s="17" t="n"/>
      <c r="N3900" s="17" t="n"/>
      <c r="O3900" s="26">
        <f>IF($D3900="","",IFERROR(VLOOKUP($D3900,物料档案!$A$4:$P$1203,10,0),0))</f>
        <v/>
      </c>
      <c r="P3900" s="32" t="n"/>
      <c r="Q3900" s="26">
        <f>IF($D3900="","",IF($K3900&lt;&gt;"对外销售",0,ROUND(N($J3900)*IF($P3900="",N($O3900),N($P3900)),0)))</f>
        <v/>
      </c>
      <c r="R3900" s="26">
        <f>IF($D3900="","",IFERROR(VLOOKUP($D3900,库存台账!$A$5:$Y$1204,11,0),0))</f>
        <v/>
      </c>
      <c r="S3900" s="26">
        <f>IF($D3900="","",ROUND(N($J3900)*N($R3900),0))</f>
        <v/>
      </c>
      <c r="T3900" s="26">
        <f>IF($D3900="","",IF($K3900&lt;&gt;"对外销售","",ROUND($Q3900-$S3900,0)))</f>
        <v/>
      </c>
      <c r="U3900" s="17" t="n"/>
      <c r="V3900" s="17" t="n"/>
      <c r="W3900" s="24">
        <f>IF($D3900="","",IF($E3900="※编码不在物料档案里","※物料编码不在档案里",IF(N($J3900)&lt;=0,"※出库数量要大于 0",IF($K3900="","※没填去向类型",IF($L3900="","※没填去向矿区",IF(AND($C3900&lt;&gt;"",$C3900&lt;=结账锁),"※日期早于已结账截止日，不能再录",IF(AND($K3900="自用消耗",COUNTIF({"一矿区";"二矿区"},$L3900)=0),"※自用消耗的去向只能是一矿区或二矿区",IF(AND($K3900="对外销售",COUNTIF({"三矿区";"六矿区"},$L3900)=0),"※对外销售的去向只能是三矿区或六矿区",IF(AND($K3900="对外销售",ROUND($Q3900,0)=0),"※外销却没有售价，请填实际售价",IF(AND($K3900="对外销售",$T3900&lt;&gt;"",$T3900&lt;0),"※这一笔外销是亏的，请核对售价",IF(IFERROR(VLOOKUP($D3900,库存台账!$A$5:$Y$1204,24,0),0)&lt;-0.001,"※这个物料账面已经变成负数了，查一下是不是漏记入库","")))))))))))</f>
        <v/>
      </c>
    </row>
    <row r="3901">
      <c r="A3901" s="24">
        <f>IF($D3901="","",COUNTA($D$4:$D3901))</f>
        <v/>
      </c>
      <c r="B3901" s="17" t="n"/>
      <c r="C3901" s="30" t="n"/>
      <c r="D3901" s="17" t="n"/>
      <c r="E3901" s="24">
        <f>IF($D3901="","",IFERROR(VLOOKUP($D3901,物料档案!$A$4:$P$1203,3,0),"※编码不在物料档案里"))</f>
        <v/>
      </c>
      <c r="F3901" s="24">
        <f>IF($D3901="","",IFERROR(VLOOKUP($D3901,物料档案!$A$4:$P$1203,4,0),"※编码不在物料档案里"))</f>
        <v/>
      </c>
      <c r="G3901" s="24">
        <f>IF($D3901="","",IFERROR(VLOOKUP($D3901,物料档案!$A$4:$P$1203,5,0),"※编码不在物料档案里"))</f>
        <v/>
      </c>
      <c r="H3901" s="24">
        <f>IF($D3901="","",IFERROR(VLOOKUP($D3901,物料档案!$A$4:$P$1203,2,0),"※编码不在物料档案里"))</f>
        <v/>
      </c>
      <c r="I3901" s="24">
        <f>IF($D3901="","",IFERROR(VLOOKUP($D3901,物料档案!$A$4:$P$1203,6,0),"※编码不在物料档案里"))</f>
        <v/>
      </c>
      <c r="J3901" s="23" t="n"/>
      <c r="K3901" s="17" t="n"/>
      <c r="L3901" s="17" t="n"/>
      <c r="M3901" s="17" t="n"/>
      <c r="N3901" s="17" t="n"/>
      <c r="O3901" s="26">
        <f>IF($D3901="","",IFERROR(VLOOKUP($D3901,物料档案!$A$4:$P$1203,10,0),0))</f>
        <v/>
      </c>
      <c r="P3901" s="32" t="n"/>
      <c r="Q3901" s="26">
        <f>IF($D3901="","",IF($K3901&lt;&gt;"对外销售",0,ROUND(N($J3901)*IF($P3901="",N($O3901),N($P3901)),0)))</f>
        <v/>
      </c>
      <c r="R3901" s="26">
        <f>IF($D3901="","",IFERROR(VLOOKUP($D3901,库存台账!$A$5:$Y$1204,11,0),0))</f>
        <v/>
      </c>
      <c r="S3901" s="26">
        <f>IF($D3901="","",ROUND(N($J3901)*N($R3901),0))</f>
        <v/>
      </c>
      <c r="T3901" s="26">
        <f>IF($D3901="","",IF($K3901&lt;&gt;"对外销售","",ROUND($Q3901-$S3901,0)))</f>
        <v/>
      </c>
      <c r="U3901" s="17" t="n"/>
      <c r="V3901" s="17" t="n"/>
      <c r="W3901" s="24">
        <f>IF($D3901="","",IF($E3901="※编码不在物料档案里","※物料编码不在档案里",IF(N($J3901)&lt;=0,"※出库数量要大于 0",IF($K3901="","※没填去向类型",IF($L3901="","※没填去向矿区",IF(AND($C3901&lt;&gt;"",$C3901&lt;=结账锁),"※日期早于已结账截止日，不能再录",IF(AND($K3901="自用消耗",COUNTIF({"一矿区";"二矿区"},$L3901)=0),"※自用消耗的去向只能是一矿区或二矿区",IF(AND($K3901="对外销售",COUNTIF({"三矿区";"六矿区"},$L3901)=0),"※对外销售的去向只能是三矿区或六矿区",IF(AND($K3901="对外销售",ROUND($Q3901,0)=0),"※外销却没有售价，请填实际售价",IF(AND($K3901="对外销售",$T3901&lt;&gt;"",$T3901&lt;0),"※这一笔外销是亏的，请核对售价",IF(IFERROR(VLOOKUP($D3901,库存台账!$A$5:$Y$1204,24,0),0)&lt;-0.001,"※这个物料账面已经变成负数了，查一下是不是漏记入库","")))))))))))</f>
        <v/>
      </c>
    </row>
    <row r="3902">
      <c r="A3902" s="24">
        <f>IF($D3902="","",COUNTA($D$4:$D3902))</f>
        <v/>
      </c>
      <c r="B3902" s="17" t="n"/>
      <c r="C3902" s="30" t="n"/>
      <c r="D3902" s="17" t="n"/>
      <c r="E3902" s="24">
        <f>IF($D3902="","",IFERROR(VLOOKUP($D3902,物料档案!$A$4:$P$1203,3,0),"※编码不在物料档案里"))</f>
        <v/>
      </c>
      <c r="F3902" s="24">
        <f>IF($D3902="","",IFERROR(VLOOKUP($D3902,物料档案!$A$4:$P$1203,4,0),"※编码不在物料档案里"))</f>
        <v/>
      </c>
      <c r="G3902" s="24">
        <f>IF($D3902="","",IFERROR(VLOOKUP($D3902,物料档案!$A$4:$P$1203,5,0),"※编码不在物料档案里"))</f>
        <v/>
      </c>
      <c r="H3902" s="24">
        <f>IF($D3902="","",IFERROR(VLOOKUP($D3902,物料档案!$A$4:$P$1203,2,0),"※编码不在物料档案里"))</f>
        <v/>
      </c>
      <c r="I3902" s="24">
        <f>IF($D3902="","",IFERROR(VLOOKUP($D3902,物料档案!$A$4:$P$1203,6,0),"※编码不在物料档案里"))</f>
        <v/>
      </c>
      <c r="J3902" s="23" t="n"/>
      <c r="K3902" s="17" t="n"/>
      <c r="L3902" s="17" t="n"/>
      <c r="M3902" s="17" t="n"/>
      <c r="N3902" s="17" t="n"/>
      <c r="O3902" s="26">
        <f>IF($D3902="","",IFERROR(VLOOKUP($D3902,物料档案!$A$4:$P$1203,10,0),0))</f>
        <v/>
      </c>
      <c r="P3902" s="32" t="n"/>
      <c r="Q3902" s="26">
        <f>IF($D3902="","",IF($K3902&lt;&gt;"对外销售",0,ROUND(N($J3902)*IF($P3902="",N($O3902),N($P3902)),0)))</f>
        <v/>
      </c>
      <c r="R3902" s="26">
        <f>IF($D3902="","",IFERROR(VLOOKUP($D3902,库存台账!$A$5:$Y$1204,11,0),0))</f>
        <v/>
      </c>
      <c r="S3902" s="26">
        <f>IF($D3902="","",ROUND(N($J3902)*N($R3902),0))</f>
        <v/>
      </c>
      <c r="T3902" s="26">
        <f>IF($D3902="","",IF($K3902&lt;&gt;"对外销售","",ROUND($Q3902-$S3902,0)))</f>
        <v/>
      </c>
      <c r="U3902" s="17" t="n"/>
      <c r="V3902" s="17" t="n"/>
      <c r="W3902" s="24">
        <f>IF($D3902="","",IF($E3902="※编码不在物料档案里","※物料编码不在档案里",IF(N($J3902)&lt;=0,"※出库数量要大于 0",IF($K3902="","※没填去向类型",IF($L3902="","※没填去向矿区",IF(AND($C3902&lt;&gt;"",$C3902&lt;=结账锁),"※日期早于已结账截止日，不能再录",IF(AND($K3902="自用消耗",COUNTIF({"一矿区";"二矿区"},$L3902)=0),"※自用消耗的去向只能是一矿区或二矿区",IF(AND($K3902="对外销售",COUNTIF({"三矿区";"六矿区"},$L3902)=0),"※对外销售的去向只能是三矿区或六矿区",IF(AND($K3902="对外销售",ROUND($Q3902,0)=0),"※外销却没有售价，请填实际售价",IF(AND($K3902="对外销售",$T3902&lt;&gt;"",$T3902&lt;0),"※这一笔外销是亏的，请核对售价",IF(IFERROR(VLOOKUP($D3902,库存台账!$A$5:$Y$1204,24,0),0)&lt;-0.001,"※这个物料账面已经变成负数了，查一下是不是漏记入库","")))))))))))</f>
        <v/>
      </c>
    </row>
    <row r="3903">
      <c r="A3903" s="24">
        <f>IF($D3903="","",COUNTA($D$4:$D3903))</f>
        <v/>
      </c>
      <c r="B3903" s="17" t="n"/>
      <c r="C3903" s="30" t="n"/>
      <c r="D3903" s="17" t="n"/>
      <c r="E3903" s="24">
        <f>IF($D3903="","",IFERROR(VLOOKUP($D3903,物料档案!$A$4:$P$1203,3,0),"※编码不在物料档案里"))</f>
        <v/>
      </c>
      <c r="F3903" s="24">
        <f>IF($D3903="","",IFERROR(VLOOKUP($D3903,物料档案!$A$4:$P$1203,4,0),"※编码不在物料档案里"))</f>
        <v/>
      </c>
      <c r="G3903" s="24">
        <f>IF($D3903="","",IFERROR(VLOOKUP($D3903,物料档案!$A$4:$P$1203,5,0),"※编码不在物料档案里"))</f>
        <v/>
      </c>
      <c r="H3903" s="24">
        <f>IF($D3903="","",IFERROR(VLOOKUP($D3903,物料档案!$A$4:$P$1203,2,0),"※编码不在物料档案里"))</f>
        <v/>
      </c>
      <c r="I3903" s="24">
        <f>IF($D3903="","",IFERROR(VLOOKUP($D3903,物料档案!$A$4:$P$1203,6,0),"※编码不在物料档案里"))</f>
        <v/>
      </c>
      <c r="J3903" s="23" t="n"/>
      <c r="K3903" s="17" t="n"/>
      <c r="L3903" s="17" t="n"/>
      <c r="M3903" s="17" t="n"/>
      <c r="N3903" s="17" t="n"/>
      <c r="O3903" s="26">
        <f>IF($D3903="","",IFERROR(VLOOKUP($D3903,物料档案!$A$4:$P$1203,10,0),0))</f>
        <v/>
      </c>
      <c r="P3903" s="32" t="n"/>
      <c r="Q3903" s="26">
        <f>IF($D3903="","",IF($K3903&lt;&gt;"对外销售",0,ROUND(N($J3903)*IF($P3903="",N($O3903),N($P3903)),0)))</f>
        <v/>
      </c>
      <c r="R3903" s="26">
        <f>IF($D3903="","",IFERROR(VLOOKUP($D3903,库存台账!$A$5:$Y$1204,11,0),0))</f>
        <v/>
      </c>
      <c r="S3903" s="26">
        <f>IF($D3903="","",ROUND(N($J3903)*N($R3903),0))</f>
        <v/>
      </c>
      <c r="T3903" s="26">
        <f>IF($D3903="","",IF($K3903&lt;&gt;"对外销售","",ROUND($Q3903-$S3903,0)))</f>
        <v/>
      </c>
      <c r="U3903" s="17" t="n"/>
      <c r="V3903" s="17" t="n"/>
      <c r="W3903" s="24">
        <f>IF($D3903="","",IF($E3903="※编码不在物料档案里","※物料编码不在档案里",IF(N($J3903)&lt;=0,"※出库数量要大于 0",IF($K3903="","※没填去向类型",IF($L3903="","※没填去向矿区",IF(AND($C3903&lt;&gt;"",$C3903&lt;=结账锁),"※日期早于已结账截止日，不能再录",IF(AND($K3903="自用消耗",COUNTIF({"一矿区";"二矿区"},$L3903)=0),"※自用消耗的去向只能是一矿区或二矿区",IF(AND($K3903="对外销售",COUNTIF({"三矿区";"六矿区"},$L3903)=0),"※对外销售的去向只能是三矿区或六矿区",IF(AND($K3903="对外销售",ROUND($Q3903,0)=0),"※外销却没有售价，请填实际售价",IF(AND($K3903="对外销售",$T3903&lt;&gt;"",$T3903&lt;0),"※这一笔外销是亏的，请核对售价",IF(IFERROR(VLOOKUP($D3903,库存台账!$A$5:$Y$1204,24,0),0)&lt;-0.001,"※这个物料账面已经变成负数了，查一下是不是漏记入库","")))))))))))</f>
        <v/>
      </c>
    </row>
    <row r="3904">
      <c r="A3904" s="24">
        <f>IF($D3904="","",COUNTA($D$4:$D3904))</f>
        <v/>
      </c>
      <c r="B3904" s="17" t="n"/>
      <c r="C3904" s="30" t="n"/>
      <c r="D3904" s="17" t="n"/>
      <c r="E3904" s="24">
        <f>IF($D3904="","",IFERROR(VLOOKUP($D3904,物料档案!$A$4:$P$1203,3,0),"※编码不在物料档案里"))</f>
        <v/>
      </c>
      <c r="F3904" s="24">
        <f>IF($D3904="","",IFERROR(VLOOKUP($D3904,物料档案!$A$4:$P$1203,4,0),"※编码不在物料档案里"))</f>
        <v/>
      </c>
      <c r="G3904" s="24">
        <f>IF($D3904="","",IFERROR(VLOOKUP($D3904,物料档案!$A$4:$P$1203,5,0),"※编码不在物料档案里"))</f>
        <v/>
      </c>
      <c r="H3904" s="24">
        <f>IF($D3904="","",IFERROR(VLOOKUP($D3904,物料档案!$A$4:$P$1203,2,0),"※编码不在物料档案里"))</f>
        <v/>
      </c>
      <c r="I3904" s="24">
        <f>IF($D3904="","",IFERROR(VLOOKUP($D3904,物料档案!$A$4:$P$1203,6,0),"※编码不在物料档案里"))</f>
        <v/>
      </c>
      <c r="J3904" s="23" t="n"/>
      <c r="K3904" s="17" t="n"/>
      <c r="L3904" s="17" t="n"/>
      <c r="M3904" s="17" t="n"/>
      <c r="N3904" s="17" t="n"/>
      <c r="O3904" s="26">
        <f>IF($D3904="","",IFERROR(VLOOKUP($D3904,物料档案!$A$4:$P$1203,10,0),0))</f>
        <v/>
      </c>
      <c r="P3904" s="32" t="n"/>
      <c r="Q3904" s="26">
        <f>IF($D3904="","",IF($K3904&lt;&gt;"对外销售",0,ROUND(N($J3904)*IF($P3904="",N($O3904),N($P3904)),0)))</f>
        <v/>
      </c>
      <c r="R3904" s="26">
        <f>IF($D3904="","",IFERROR(VLOOKUP($D3904,库存台账!$A$5:$Y$1204,11,0),0))</f>
        <v/>
      </c>
      <c r="S3904" s="26">
        <f>IF($D3904="","",ROUND(N($J3904)*N($R3904),0))</f>
        <v/>
      </c>
      <c r="T3904" s="26">
        <f>IF($D3904="","",IF($K3904&lt;&gt;"对外销售","",ROUND($Q3904-$S3904,0)))</f>
        <v/>
      </c>
      <c r="U3904" s="17" t="n"/>
      <c r="V3904" s="17" t="n"/>
      <c r="W3904" s="24">
        <f>IF($D3904="","",IF($E3904="※编码不在物料档案里","※物料编码不在档案里",IF(N($J3904)&lt;=0,"※出库数量要大于 0",IF($K3904="","※没填去向类型",IF($L3904="","※没填去向矿区",IF(AND($C3904&lt;&gt;"",$C3904&lt;=结账锁),"※日期早于已结账截止日，不能再录",IF(AND($K3904="自用消耗",COUNTIF({"一矿区";"二矿区"},$L3904)=0),"※自用消耗的去向只能是一矿区或二矿区",IF(AND($K3904="对外销售",COUNTIF({"三矿区";"六矿区"},$L3904)=0),"※对外销售的去向只能是三矿区或六矿区",IF(AND($K3904="对外销售",ROUND($Q3904,0)=0),"※外销却没有售价，请填实际售价",IF(AND($K3904="对外销售",$T3904&lt;&gt;"",$T3904&lt;0),"※这一笔外销是亏的，请核对售价",IF(IFERROR(VLOOKUP($D3904,库存台账!$A$5:$Y$1204,24,0),0)&lt;-0.001,"※这个物料账面已经变成负数了，查一下是不是漏记入库","")))))))))))</f>
        <v/>
      </c>
    </row>
    <row r="3905">
      <c r="A3905" s="24">
        <f>IF($D3905="","",COUNTA($D$4:$D3905))</f>
        <v/>
      </c>
      <c r="B3905" s="17" t="n"/>
      <c r="C3905" s="30" t="n"/>
      <c r="D3905" s="17" t="n"/>
      <c r="E3905" s="24">
        <f>IF($D3905="","",IFERROR(VLOOKUP($D3905,物料档案!$A$4:$P$1203,3,0),"※编码不在物料档案里"))</f>
        <v/>
      </c>
      <c r="F3905" s="24">
        <f>IF($D3905="","",IFERROR(VLOOKUP($D3905,物料档案!$A$4:$P$1203,4,0),"※编码不在物料档案里"))</f>
        <v/>
      </c>
      <c r="G3905" s="24">
        <f>IF($D3905="","",IFERROR(VLOOKUP($D3905,物料档案!$A$4:$P$1203,5,0),"※编码不在物料档案里"))</f>
        <v/>
      </c>
      <c r="H3905" s="24">
        <f>IF($D3905="","",IFERROR(VLOOKUP($D3905,物料档案!$A$4:$P$1203,2,0),"※编码不在物料档案里"))</f>
        <v/>
      </c>
      <c r="I3905" s="24">
        <f>IF($D3905="","",IFERROR(VLOOKUP($D3905,物料档案!$A$4:$P$1203,6,0),"※编码不在物料档案里"))</f>
        <v/>
      </c>
      <c r="J3905" s="23" t="n"/>
      <c r="K3905" s="17" t="n"/>
      <c r="L3905" s="17" t="n"/>
      <c r="M3905" s="17" t="n"/>
      <c r="N3905" s="17" t="n"/>
      <c r="O3905" s="26">
        <f>IF($D3905="","",IFERROR(VLOOKUP($D3905,物料档案!$A$4:$P$1203,10,0),0))</f>
        <v/>
      </c>
      <c r="P3905" s="32" t="n"/>
      <c r="Q3905" s="26">
        <f>IF($D3905="","",IF($K3905&lt;&gt;"对外销售",0,ROUND(N($J3905)*IF($P3905="",N($O3905),N($P3905)),0)))</f>
        <v/>
      </c>
      <c r="R3905" s="26">
        <f>IF($D3905="","",IFERROR(VLOOKUP($D3905,库存台账!$A$5:$Y$1204,11,0),0))</f>
        <v/>
      </c>
      <c r="S3905" s="26">
        <f>IF($D3905="","",ROUND(N($J3905)*N($R3905),0))</f>
        <v/>
      </c>
      <c r="T3905" s="26">
        <f>IF($D3905="","",IF($K3905&lt;&gt;"对外销售","",ROUND($Q3905-$S3905,0)))</f>
        <v/>
      </c>
      <c r="U3905" s="17" t="n"/>
      <c r="V3905" s="17" t="n"/>
      <c r="W3905" s="24">
        <f>IF($D3905="","",IF($E3905="※编码不在物料档案里","※物料编码不在档案里",IF(N($J3905)&lt;=0,"※出库数量要大于 0",IF($K3905="","※没填去向类型",IF($L3905="","※没填去向矿区",IF(AND($C3905&lt;&gt;"",$C3905&lt;=结账锁),"※日期早于已结账截止日，不能再录",IF(AND($K3905="自用消耗",COUNTIF({"一矿区";"二矿区"},$L3905)=0),"※自用消耗的去向只能是一矿区或二矿区",IF(AND($K3905="对外销售",COUNTIF({"三矿区";"六矿区"},$L3905)=0),"※对外销售的去向只能是三矿区或六矿区",IF(AND($K3905="对外销售",ROUND($Q3905,0)=0),"※外销却没有售价，请填实际售价",IF(AND($K3905="对外销售",$T3905&lt;&gt;"",$T3905&lt;0),"※这一笔外销是亏的，请核对售价",IF(IFERROR(VLOOKUP($D3905,库存台账!$A$5:$Y$1204,24,0),0)&lt;-0.001,"※这个物料账面已经变成负数了，查一下是不是漏记入库","")))))))))))</f>
        <v/>
      </c>
    </row>
    <row r="3906">
      <c r="A3906" s="24">
        <f>IF($D3906="","",COUNTA($D$4:$D3906))</f>
        <v/>
      </c>
      <c r="B3906" s="17" t="n"/>
      <c r="C3906" s="30" t="n"/>
      <c r="D3906" s="17" t="n"/>
      <c r="E3906" s="24">
        <f>IF($D3906="","",IFERROR(VLOOKUP($D3906,物料档案!$A$4:$P$1203,3,0),"※编码不在物料档案里"))</f>
        <v/>
      </c>
      <c r="F3906" s="24">
        <f>IF($D3906="","",IFERROR(VLOOKUP($D3906,物料档案!$A$4:$P$1203,4,0),"※编码不在物料档案里"))</f>
        <v/>
      </c>
      <c r="G3906" s="24">
        <f>IF($D3906="","",IFERROR(VLOOKUP($D3906,物料档案!$A$4:$P$1203,5,0),"※编码不在物料档案里"))</f>
        <v/>
      </c>
      <c r="H3906" s="24">
        <f>IF($D3906="","",IFERROR(VLOOKUP($D3906,物料档案!$A$4:$P$1203,2,0),"※编码不在物料档案里"))</f>
        <v/>
      </c>
      <c r="I3906" s="24">
        <f>IF($D3906="","",IFERROR(VLOOKUP($D3906,物料档案!$A$4:$P$1203,6,0),"※编码不在物料档案里"))</f>
        <v/>
      </c>
      <c r="J3906" s="23" t="n"/>
      <c r="K3906" s="17" t="n"/>
      <c r="L3906" s="17" t="n"/>
      <c r="M3906" s="17" t="n"/>
      <c r="N3906" s="17" t="n"/>
      <c r="O3906" s="26">
        <f>IF($D3906="","",IFERROR(VLOOKUP($D3906,物料档案!$A$4:$P$1203,10,0),0))</f>
        <v/>
      </c>
      <c r="P3906" s="32" t="n"/>
      <c r="Q3906" s="26">
        <f>IF($D3906="","",IF($K3906&lt;&gt;"对外销售",0,ROUND(N($J3906)*IF($P3906="",N($O3906),N($P3906)),0)))</f>
        <v/>
      </c>
      <c r="R3906" s="26">
        <f>IF($D3906="","",IFERROR(VLOOKUP($D3906,库存台账!$A$5:$Y$1204,11,0),0))</f>
        <v/>
      </c>
      <c r="S3906" s="26">
        <f>IF($D3906="","",ROUND(N($J3906)*N($R3906),0))</f>
        <v/>
      </c>
      <c r="T3906" s="26">
        <f>IF($D3906="","",IF($K3906&lt;&gt;"对外销售","",ROUND($Q3906-$S3906,0)))</f>
        <v/>
      </c>
      <c r="U3906" s="17" t="n"/>
      <c r="V3906" s="17" t="n"/>
      <c r="W3906" s="24">
        <f>IF($D3906="","",IF($E3906="※编码不在物料档案里","※物料编码不在档案里",IF(N($J3906)&lt;=0,"※出库数量要大于 0",IF($K3906="","※没填去向类型",IF($L3906="","※没填去向矿区",IF(AND($C3906&lt;&gt;"",$C3906&lt;=结账锁),"※日期早于已结账截止日，不能再录",IF(AND($K3906="自用消耗",COUNTIF({"一矿区";"二矿区"},$L3906)=0),"※自用消耗的去向只能是一矿区或二矿区",IF(AND($K3906="对外销售",COUNTIF({"三矿区";"六矿区"},$L3906)=0),"※对外销售的去向只能是三矿区或六矿区",IF(AND($K3906="对外销售",ROUND($Q3906,0)=0),"※外销却没有售价，请填实际售价",IF(AND($K3906="对外销售",$T3906&lt;&gt;"",$T3906&lt;0),"※这一笔外销是亏的，请核对售价",IF(IFERROR(VLOOKUP($D3906,库存台账!$A$5:$Y$1204,24,0),0)&lt;-0.001,"※这个物料账面已经变成负数了，查一下是不是漏记入库","")))))))))))</f>
        <v/>
      </c>
    </row>
    <row r="3907">
      <c r="A3907" s="24">
        <f>IF($D3907="","",COUNTA($D$4:$D3907))</f>
        <v/>
      </c>
      <c r="B3907" s="17" t="n"/>
      <c r="C3907" s="30" t="n"/>
      <c r="D3907" s="17" t="n"/>
      <c r="E3907" s="24">
        <f>IF($D3907="","",IFERROR(VLOOKUP($D3907,物料档案!$A$4:$P$1203,3,0),"※编码不在物料档案里"))</f>
        <v/>
      </c>
      <c r="F3907" s="24">
        <f>IF($D3907="","",IFERROR(VLOOKUP($D3907,物料档案!$A$4:$P$1203,4,0),"※编码不在物料档案里"))</f>
        <v/>
      </c>
      <c r="G3907" s="24">
        <f>IF($D3907="","",IFERROR(VLOOKUP($D3907,物料档案!$A$4:$P$1203,5,0),"※编码不在物料档案里"))</f>
        <v/>
      </c>
      <c r="H3907" s="24">
        <f>IF($D3907="","",IFERROR(VLOOKUP($D3907,物料档案!$A$4:$P$1203,2,0),"※编码不在物料档案里"))</f>
        <v/>
      </c>
      <c r="I3907" s="24">
        <f>IF($D3907="","",IFERROR(VLOOKUP($D3907,物料档案!$A$4:$P$1203,6,0),"※编码不在物料档案里"))</f>
        <v/>
      </c>
      <c r="J3907" s="23" t="n"/>
      <c r="K3907" s="17" t="n"/>
      <c r="L3907" s="17" t="n"/>
      <c r="M3907" s="17" t="n"/>
      <c r="N3907" s="17" t="n"/>
      <c r="O3907" s="26">
        <f>IF($D3907="","",IFERROR(VLOOKUP($D3907,物料档案!$A$4:$P$1203,10,0),0))</f>
        <v/>
      </c>
      <c r="P3907" s="32" t="n"/>
      <c r="Q3907" s="26">
        <f>IF($D3907="","",IF($K3907&lt;&gt;"对外销售",0,ROUND(N($J3907)*IF($P3907="",N($O3907),N($P3907)),0)))</f>
        <v/>
      </c>
      <c r="R3907" s="26">
        <f>IF($D3907="","",IFERROR(VLOOKUP($D3907,库存台账!$A$5:$Y$1204,11,0),0))</f>
        <v/>
      </c>
      <c r="S3907" s="26">
        <f>IF($D3907="","",ROUND(N($J3907)*N($R3907),0))</f>
        <v/>
      </c>
      <c r="T3907" s="26">
        <f>IF($D3907="","",IF($K3907&lt;&gt;"对外销售","",ROUND($Q3907-$S3907,0)))</f>
        <v/>
      </c>
      <c r="U3907" s="17" t="n"/>
      <c r="V3907" s="17" t="n"/>
      <c r="W3907" s="24">
        <f>IF($D3907="","",IF($E3907="※编码不在物料档案里","※物料编码不在档案里",IF(N($J3907)&lt;=0,"※出库数量要大于 0",IF($K3907="","※没填去向类型",IF($L3907="","※没填去向矿区",IF(AND($C3907&lt;&gt;"",$C3907&lt;=结账锁),"※日期早于已结账截止日，不能再录",IF(AND($K3907="自用消耗",COUNTIF({"一矿区";"二矿区"},$L3907)=0),"※自用消耗的去向只能是一矿区或二矿区",IF(AND($K3907="对外销售",COUNTIF({"三矿区";"六矿区"},$L3907)=0),"※对外销售的去向只能是三矿区或六矿区",IF(AND($K3907="对外销售",ROUND($Q3907,0)=0),"※外销却没有售价，请填实际售价",IF(AND($K3907="对外销售",$T3907&lt;&gt;"",$T3907&lt;0),"※这一笔外销是亏的，请核对售价",IF(IFERROR(VLOOKUP($D3907,库存台账!$A$5:$Y$1204,24,0),0)&lt;-0.001,"※这个物料账面已经变成负数了，查一下是不是漏记入库","")))))))))))</f>
        <v/>
      </c>
    </row>
    <row r="3908">
      <c r="A3908" s="24">
        <f>IF($D3908="","",COUNTA($D$4:$D3908))</f>
        <v/>
      </c>
      <c r="B3908" s="17" t="n"/>
      <c r="C3908" s="30" t="n"/>
      <c r="D3908" s="17" t="n"/>
      <c r="E3908" s="24">
        <f>IF($D3908="","",IFERROR(VLOOKUP($D3908,物料档案!$A$4:$P$1203,3,0),"※编码不在物料档案里"))</f>
        <v/>
      </c>
      <c r="F3908" s="24">
        <f>IF($D3908="","",IFERROR(VLOOKUP($D3908,物料档案!$A$4:$P$1203,4,0),"※编码不在物料档案里"))</f>
        <v/>
      </c>
      <c r="G3908" s="24">
        <f>IF($D3908="","",IFERROR(VLOOKUP($D3908,物料档案!$A$4:$P$1203,5,0),"※编码不在物料档案里"))</f>
        <v/>
      </c>
      <c r="H3908" s="24">
        <f>IF($D3908="","",IFERROR(VLOOKUP($D3908,物料档案!$A$4:$P$1203,2,0),"※编码不在物料档案里"))</f>
        <v/>
      </c>
      <c r="I3908" s="24">
        <f>IF($D3908="","",IFERROR(VLOOKUP($D3908,物料档案!$A$4:$P$1203,6,0),"※编码不在物料档案里"))</f>
        <v/>
      </c>
      <c r="J3908" s="23" t="n"/>
      <c r="K3908" s="17" t="n"/>
      <c r="L3908" s="17" t="n"/>
      <c r="M3908" s="17" t="n"/>
      <c r="N3908" s="17" t="n"/>
      <c r="O3908" s="26">
        <f>IF($D3908="","",IFERROR(VLOOKUP($D3908,物料档案!$A$4:$P$1203,10,0),0))</f>
        <v/>
      </c>
      <c r="P3908" s="32" t="n"/>
      <c r="Q3908" s="26">
        <f>IF($D3908="","",IF($K3908&lt;&gt;"对外销售",0,ROUND(N($J3908)*IF($P3908="",N($O3908),N($P3908)),0)))</f>
        <v/>
      </c>
      <c r="R3908" s="26">
        <f>IF($D3908="","",IFERROR(VLOOKUP($D3908,库存台账!$A$5:$Y$1204,11,0),0))</f>
        <v/>
      </c>
      <c r="S3908" s="26">
        <f>IF($D3908="","",ROUND(N($J3908)*N($R3908),0))</f>
        <v/>
      </c>
      <c r="T3908" s="26">
        <f>IF($D3908="","",IF($K3908&lt;&gt;"对外销售","",ROUND($Q3908-$S3908,0)))</f>
        <v/>
      </c>
      <c r="U3908" s="17" t="n"/>
      <c r="V3908" s="17" t="n"/>
      <c r="W3908" s="24">
        <f>IF($D3908="","",IF($E3908="※编码不在物料档案里","※物料编码不在档案里",IF(N($J3908)&lt;=0,"※出库数量要大于 0",IF($K3908="","※没填去向类型",IF($L3908="","※没填去向矿区",IF(AND($C3908&lt;&gt;"",$C3908&lt;=结账锁),"※日期早于已结账截止日，不能再录",IF(AND($K3908="自用消耗",COUNTIF({"一矿区";"二矿区"},$L3908)=0),"※自用消耗的去向只能是一矿区或二矿区",IF(AND($K3908="对外销售",COUNTIF({"三矿区";"六矿区"},$L3908)=0),"※对外销售的去向只能是三矿区或六矿区",IF(AND($K3908="对外销售",ROUND($Q3908,0)=0),"※外销却没有售价，请填实际售价",IF(AND($K3908="对外销售",$T3908&lt;&gt;"",$T3908&lt;0),"※这一笔外销是亏的，请核对售价",IF(IFERROR(VLOOKUP($D3908,库存台账!$A$5:$Y$1204,24,0),0)&lt;-0.001,"※这个物料账面已经变成负数了，查一下是不是漏记入库","")))))))))))</f>
        <v/>
      </c>
    </row>
    <row r="3909">
      <c r="A3909" s="24">
        <f>IF($D3909="","",COUNTA($D$4:$D3909))</f>
        <v/>
      </c>
      <c r="B3909" s="17" t="n"/>
      <c r="C3909" s="30" t="n"/>
      <c r="D3909" s="17" t="n"/>
      <c r="E3909" s="24">
        <f>IF($D3909="","",IFERROR(VLOOKUP($D3909,物料档案!$A$4:$P$1203,3,0),"※编码不在物料档案里"))</f>
        <v/>
      </c>
      <c r="F3909" s="24">
        <f>IF($D3909="","",IFERROR(VLOOKUP($D3909,物料档案!$A$4:$P$1203,4,0),"※编码不在物料档案里"))</f>
        <v/>
      </c>
      <c r="G3909" s="24">
        <f>IF($D3909="","",IFERROR(VLOOKUP($D3909,物料档案!$A$4:$P$1203,5,0),"※编码不在物料档案里"))</f>
        <v/>
      </c>
      <c r="H3909" s="24">
        <f>IF($D3909="","",IFERROR(VLOOKUP($D3909,物料档案!$A$4:$P$1203,2,0),"※编码不在物料档案里"))</f>
        <v/>
      </c>
      <c r="I3909" s="24">
        <f>IF($D3909="","",IFERROR(VLOOKUP($D3909,物料档案!$A$4:$P$1203,6,0),"※编码不在物料档案里"))</f>
        <v/>
      </c>
      <c r="J3909" s="23" t="n"/>
      <c r="K3909" s="17" t="n"/>
      <c r="L3909" s="17" t="n"/>
      <c r="M3909" s="17" t="n"/>
      <c r="N3909" s="17" t="n"/>
      <c r="O3909" s="26">
        <f>IF($D3909="","",IFERROR(VLOOKUP($D3909,物料档案!$A$4:$P$1203,10,0),0))</f>
        <v/>
      </c>
      <c r="P3909" s="32" t="n"/>
      <c r="Q3909" s="26">
        <f>IF($D3909="","",IF($K3909&lt;&gt;"对外销售",0,ROUND(N($J3909)*IF($P3909="",N($O3909),N($P3909)),0)))</f>
        <v/>
      </c>
      <c r="R3909" s="26">
        <f>IF($D3909="","",IFERROR(VLOOKUP($D3909,库存台账!$A$5:$Y$1204,11,0),0))</f>
        <v/>
      </c>
      <c r="S3909" s="26">
        <f>IF($D3909="","",ROUND(N($J3909)*N($R3909),0))</f>
        <v/>
      </c>
      <c r="T3909" s="26">
        <f>IF($D3909="","",IF($K3909&lt;&gt;"对外销售","",ROUND($Q3909-$S3909,0)))</f>
        <v/>
      </c>
      <c r="U3909" s="17" t="n"/>
      <c r="V3909" s="17" t="n"/>
      <c r="W3909" s="24">
        <f>IF($D3909="","",IF($E3909="※编码不在物料档案里","※物料编码不在档案里",IF(N($J3909)&lt;=0,"※出库数量要大于 0",IF($K3909="","※没填去向类型",IF($L3909="","※没填去向矿区",IF(AND($C3909&lt;&gt;"",$C3909&lt;=结账锁),"※日期早于已结账截止日，不能再录",IF(AND($K3909="自用消耗",COUNTIF({"一矿区";"二矿区"},$L3909)=0),"※自用消耗的去向只能是一矿区或二矿区",IF(AND($K3909="对外销售",COUNTIF({"三矿区";"六矿区"},$L3909)=0),"※对外销售的去向只能是三矿区或六矿区",IF(AND($K3909="对外销售",ROUND($Q3909,0)=0),"※外销却没有售价，请填实际售价",IF(AND($K3909="对外销售",$T3909&lt;&gt;"",$T3909&lt;0),"※这一笔外销是亏的，请核对售价",IF(IFERROR(VLOOKUP($D3909,库存台账!$A$5:$Y$1204,24,0),0)&lt;-0.001,"※这个物料账面已经变成负数了，查一下是不是漏记入库","")))))))))))</f>
        <v/>
      </c>
    </row>
    <row r="3910">
      <c r="A3910" s="24">
        <f>IF($D3910="","",COUNTA($D$4:$D3910))</f>
        <v/>
      </c>
      <c r="B3910" s="17" t="n"/>
      <c r="C3910" s="30" t="n"/>
      <c r="D3910" s="17" t="n"/>
      <c r="E3910" s="24">
        <f>IF($D3910="","",IFERROR(VLOOKUP($D3910,物料档案!$A$4:$P$1203,3,0),"※编码不在物料档案里"))</f>
        <v/>
      </c>
      <c r="F3910" s="24">
        <f>IF($D3910="","",IFERROR(VLOOKUP($D3910,物料档案!$A$4:$P$1203,4,0),"※编码不在物料档案里"))</f>
        <v/>
      </c>
      <c r="G3910" s="24">
        <f>IF($D3910="","",IFERROR(VLOOKUP($D3910,物料档案!$A$4:$P$1203,5,0),"※编码不在物料档案里"))</f>
        <v/>
      </c>
      <c r="H3910" s="24">
        <f>IF($D3910="","",IFERROR(VLOOKUP($D3910,物料档案!$A$4:$P$1203,2,0),"※编码不在物料档案里"))</f>
        <v/>
      </c>
      <c r="I3910" s="24">
        <f>IF($D3910="","",IFERROR(VLOOKUP($D3910,物料档案!$A$4:$P$1203,6,0),"※编码不在物料档案里"))</f>
        <v/>
      </c>
      <c r="J3910" s="23" t="n"/>
      <c r="K3910" s="17" t="n"/>
      <c r="L3910" s="17" t="n"/>
      <c r="M3910" s="17" t="n"/>
      <c r="N3910" s="17" t="n"/>
      <c r="O3910" s="26">
        <f>IF($D3910="","",IFERROR(VLOOKUP($D3910,物料档案!$A$4:$P$1203,10,0),0))</f>
        <v/>
      </c>
      <c r="P3910" s="32" t="n"/>
      <c r="Q3910" s="26">
        <f>IF($D3910="","",IF($K3910&lt;&gt;"对外销售",0,ROUND(N($J3910)*IF($P3910="",N($O3910),N($P3910)),0)))</f>
        <v/>
      </c>
      <c r="R3910" s="26">
        <f>IF($D3910="","",IFERROR(VLOOKUP($D3910,库存台账!$A$5:$Y$1204,11,0),0))</f>
        <v/>
      </c>
      <c r="S3910" s="26">
        <f>IF($D3910="","",ROUND(N($J3910)*N($R3910),0))</f>
        <v/>
      </c>
      <c r="T3910" s="26">
        <f>IF($D3910="","",IF($K3910&lt;&gt;"对外销售","",ROUND($Q3910-$S3910,0)))</f>
        <v/>
      </c>
      <c r="U3910" s="17" t="n"/>
      <c r="V3910" s="17" t="n"/>
      <c r="W3910" s="24">
        <f>IF($D3910="","",IF($E3910="※编码不在物料档案里","※物料编码不在档案里",IF(N($J3910)&lt;=0,"※出库数量要大于 0",IF($K3910="","※没填去向类型",IF($L3910="","※没填去向矿区",IF(AND($C3910&lt;&gt;"",$C3910&lt;=结账锁),"※日期早于已结账截止日，不能再录",IF(AND($K3910="自用消耗",COUNTIF({"一矿区";"二矿区"},$L3910)=0),"※自用消耗的去向只能是一矿区或二矿区",IF(AND($K3910="对外销售",COUNTIF({"三矿区";"六矿区"},$L3910)=0),"※对外销售的去向只能是三矿区或六矿区",IF(AND($K3910="对外销售",ROUND($Q3910,0)=0),"※外销却没有售价，请填实际售价",IF(AND($K3910="对外销售",$T3910&lt;&gt;"",$T3910&lt;0),"※这一笔外销是亏的，请核对售价",IF(IFERROR(VLOOKUP($D3910,库存台账!$A$5:$Y$1204,24,0),0)&lt;-0.001,"※这个物料账面已经变成负数了，查一下是不是漏记入库","")))))))))))</f>
        <v/>
      </c>
    </row>
    <row r="3911">
      <c r="A3911" s="24">
        <f>IF($D3911="","",COUNTA($D$4:$D3911))</f>
        <v/>
      </c>
      <c r="B3911" s="17" t="n"/>
      <c r="C3911" s="30" t="n"/>
      <c r="D3911" s="17" t="n"/>
      <c r="E3911" s="24">
        <f>IF($D3911="","",IFERROR(VLOOKUP($D3911,物料档案!$A$4:$P$1203,3,0),"※编码不在物料档案里"))</f>
        <v/>
      </c>
      <c r="F3911" s="24">
        <f>IF($D3911="","",IFERROR(VLOOKUP($D3911,物料档案!$A$4:$P$1203,4,0),"※编码不在物料档案里"))</f>
        <v/>
      </c>
      <c r="G3911" s="24">
        <f>IF($D3911="","",IFERROR(VLOOKUP($D3911,物料档案!$A$4:$P$1203,5,0),"※编码不在物料档案里"))</f>
        <v/>
      </c>
      <c r="H3911" s="24">
        <f>IF($D3911="","",IFERROR(VLOOKUP($D3911,物料档案!$A$4:$P$1203,2,0),"※编码不在物料档案里"))</f>
        <v/>
      </c>
      <c r="I3911" s="24">
        <f>IF($D3911="","",IFERROR(VLOOKUP($D3911,物料档案!$A$4:$P$1203,6,0),"※编码不在物料档案里"))</f>
        <v/>
      </c>
      <c r="J3911" s="23" t="n"/>
      <c r="K3911" s="17" t="n"/>
      <c r="L3911" s="17" t="n"/>
      <c r="M3911" s="17" t="n"/>
      <c r="N3911" s="17" t="n"/>
      <c r="O3911" s="26">
        <f>IF($D3911="","",IFERROR(VLOOKUP($D3911,物料档案!$A$4:$P$1203,10,0),0))</f>
        <v/>
      </c>
      <c r="P3911" s="32" t="n"/>
      <c r="Q3911" s="26">
        <f>IF($D3911="","",IF($K3911&lt;&gt;"对外销售",0,ROUND(N($J3911)*IF($P3911="",N($O3911),N($P3911)),0)))</f>
        <v/>
      </c>
      <c r="R3911" s="26">
        <f>IF($D3911="","",IFERROR(VLOOKUP($D3911,库存台账!$A$5:$Y$1204,11,0),0))</f>
        <v/>
      </c>
      <c r="S3911" s="26">
        <f>IF($D3911="","",ROUND(N($J3911)*N($R3911),0))</f>
        <v/>
      </c>
      <c r="T3911" s="26">
        <f>IF($D3911="","",IF($K3911&lt;&gt;"对外销售","",ROUND($Q3911-$S3911,0)))</f>
        <v/>
      </c>
      <c r="U3911" s="17" t="n"/>
      <c r="V3911" s="17" t="n"/>
      <c r="W3911" s="24">
        <f>IF($D3911="","",IF($E3911="※编码不在物料档案里","※物料编码不在档案里",IF(N($J3911)&lt;=0,"※出库数量要大于 0",IF($K3911="","※没填去向类型",IF($L3911="","※没填去向矿区",IF(AND($C3911&lt;&gt;"",$C3911&lt;=结账锁),"※日期早于已结账截止日，不能再录",IF(AND($K3911="自用消耗",COUNTIF({"一矿区";"二矿区"},$L3911)=0),"※自用消耗的去向只能是一矿区或二矿区",IF(AND($K3911="对外销售",COUNTIF({"三矿区";"六矿区"},$L3911)=0),"※对外销售的去向只能是三矿区或六矿区",IF(AND($K3911="对外销售",ROUND($Q3911,0)=0),"※外销却没有售价，请填实际售价",IF(AND($K3911="对外销售",$T3911&lt;&gt;"",$T3911&lt;0),"※这一笔外销是亏的，请核对售价",IF(IFERROR(VLOOKUP($D3911,库存台账!$A$5:$Y$1204,24,0),0)&lt;-0.001,"※这个物料账面已经变成负数了，查一下是不是漏记入库","")))))))))))</f>
        <v/>
      </c>
    </row>
    <row r="3912">
      <c r="A3912" s="24">
        <f>IF($D3912="","",COUNTA($D$4:$D3912))</f>
        <v/>
      </c>
      <c r="B3912" s="17" t="n"/>
      <c r="C3912" s="30" t="n"/>
      <c r="D3912" s="17" t="n"/>
      <c r="E3912" s="24">
        <f>IF($D3912="","",IFERROR(VLOOKUP($D3912,物料档案!$A$4:$P$1203,3,0),"※编码不在物料档案里"))</f>
        <v/>
      </c>
      <c r="F3912" s="24">
        <f>IF($D3912="","",IFERROR(VLOOKUP($D3912,物料档案!$A$4:$P$1203,4,0),"※编码不在物料档案里"))</f>
        <v/>
      </c>
      <c r="G3912" s="24">
        <f>IF($D3912="","",IFERROR(VLOOKUP($D3912,物料档案!$A$4:$P$1203,5,0),"※编码不在物料档案里"))</f>
        <v/>
      </c>
      <c r="H3912" s="24">
        <f>IF($D3912="","",IFERROR(VLOOKUP($D3912,物料档案!$A$4:$P$1203,2,0),"※编码不在物料档案里"))</f>
        <v/>
      </c>
      <c r="I3912" s="24">
        <f>IF($D3912="","",IFERROR(VLOOKUP($D3912,物料档案!$A$4:$P$1203,6,0),"※编码不在物料档案里"))</f>
        <v/>
      </c>
      <c r="J3912" s="23" t="n"/>
      <c r="K3912" s="17" t="n"/>
      <c r="L3912" s="17" t="n"/>
      <c r="M3912" s="17" t="n"/>
      <c r="N3912" s="17" t="n"/>
      <c r="O3912" s="26">
        <f>IF($D3912="","",IFERROR(VLOOKUP($D3912,物料档案!$A$4:$P$1203,10,0),0))</f>
        <v/>
      </c>
      <c r="P3912" s="32" t="n"/>
      <c r="Q3912" s="26">
        <f>IF($D3912="","",IF($K3912&lt;&gt;"对外销售",0,ROUND(N($J3912)*IF($P3912="",N($O3912),N($P3912)),0)))</f>
        <v/>
      </c>
      <c r="R3912" s="26">
        <f>IF($D3912="","",IFERROR(VLOOKUP($D3912,库存台账!$A$5:$Y$1204,11,0),0))</f>
        <v/>
      </c>
      <c r="S3912" s="26">
        <f>IF($D3912="","",ROUND(N($J3912)*N($R3912),0))</f>
        <v/>
      </c>
      <c r="T3912" s="26">
        <f>IF($D3912="","",IF($K3912&lt;&gt;"对外销售","",ROUND($Q3912-$S3912,0)))</f>
        <v/>
      </c>
      <c r="U3912" s="17" t="n"/>
      <c r="V3912" s="17" t="n"/>
      <c r="W3912" s="24">
        <f>IF($D3912="","",IF($E3912="※编码不在物料档案里","※物料编码不在档案里",IF(N($J3912)&lt;=0,"※出库数量要大于 0",IF($K3912="","※没填去向类型",IF($L3912="","※没填去向矿区",IF(AND($C3912&lt;&gt;"",$C3912&lt;=结账锁),"※日期早于已结账截止日，不能再录",IF(AND($K3912="自用消耗",COUNTIF({"一矿区";"二矿区"},$L3912)=0),"※自用消耗的去向只能是一矿区或二矿区",IF(AND($K3912="对外销售",COUNTIF({"三矿区";"六矿区"},$L3912)=0),"※对外销售的去向只能是三矿区或六矿区",IF(AND($K3912="对外销售",ROUND($Q3912,0)=0),"※外销却没有售价，请填实际售价",IF(AND($K3912="对外销售",$T3912&lt;&gt;"",$T3912&lt;0),"※这一笔外销是亏的，请核对售价",IF(IFERROR(VLOOKUP($D3912,库存台账!$A$5:$Y$1204,24,0),0)&lt;-0.001,"※这个物料账面已经变成负数了，查一下是不是漏记入库","")))))))))))</f>
        <v/>
      </c>
    </row>
    <row r="3913">
      <c r="A3913" s="24">
        <f>IF($D3913="","",COUNTA($D$4:$D3913))</f>
        <v/>
      </c>
      <c r="B3913" s="17" t="n"/>
      <c r="C3913" s="30" t="n"/>
      <c r="D3913" s="17" t="n"/>
      <c r="E3913" s="24">
        <f>IF($D3913="","",IFERROR(VLOOKUP($D3913,物料档案!$A$4:$P$1203,3,0),"※编码不在物料档案里"))</f>
        <v/>
      </c>
      <c r="F3913" s="24">
        <f>IF($D3913="","",IFERROR(VLOOKUP($D3913,物料档案!$A$4:$P$1203,4,0),"※编码不在物料档案里"))</f>
        <v/>
      </c>
      <c r="G3913" s="24">
        <f>IF($D3913="","",IFERROR(VLOOKUP($D3913,物料档案!$A$4:$P$1203,5,0),"※编码不在物料档案里"))</f>
        <v/>
      </c>
      <c r="H3913" s="24">
        <f>IF($D3913="","",IFERROR(VLOOKUP($D3913,物料档案!$A$4:$P$1203,2,0),"※编码不在物料档案里"))</f>
        <v/>
      </c>
      <c r="I3913" s="24">
        <f>IF($D3913="","",IFERROR(VLOOKUP($D3913,物料档案!$A$4:$P$1203,6,0),"※编码不在物料档案里"))</f>
        <v/>
      </c>
      <c r="J3913" s="23" t="n"/>
      <c r="K3913" s="17" t="n"/>
      <c r="L3913" s="17" t="n"/>
      <c r="M3913" s="17" t="n"/>
      <c r="N3913" s="17" t="n"/>
      <c r="O3913" s="26">
        <f>IF($D3913="","",IFERROR(VLOOKUP($D3913,物料档案!$A$4:$P$1203,10,0),0))</f>
        <v/>
      </c>
      <c r="P3913" s="32" t="n"/>
      <c r="Q3913" s="26">
        <f>IF($D3913="","",IF($K3913&lt;&gt;"对外销售",0,ROUND(N($J3913)*IF($P3913="",N($O3913),N($P3913)),0)))</f>
        <v/>
      </c>
      <c r="R3913" s="26">
        <f>IF($D3913="","",IFERROR(VLOOKUP($D3913,库存台账!$A$5:$Y$1204,11,0),0))</f>
        <v/>
      </c>
      <c r="S3913" s="26">
        <f>IF($D3913="","",ROUND(N($J3913)*N($R3913),0))</f>
        <v/>
      </c>
      <c r="T3913" s="26">
        <f>IF($D3913="","",IF($K3913&lt;&gt;"对外销售","",ROUND($Q3913-$S3913,0)))</f>
        <v/>
      </c>
      <c r="U3913" s="17" t="n"/>
      <c r="V3913" s="17" t="n"/>
      <c r="W3913" s="24">
        <f>IF($D3913="","",IF($E3913="※编码不在物料档案里","※物料编码不在档案里",IF(N($J3913)&lt;=0,"※出库数量要大于 0",IF($K3913="","※没填去向类型",IF($L3913="","※没填去向矿区",IF(AND($C3913&lt;&gt;"",$C3913&lt;=结账锁),"※日期早于已结账截止日，不能再录",IF(AND($K3913="自用消耗",COUNTIF({"一矿区";"二矿区"},$L3913)=0),"※自用消耗的去向只能是一矿区或二矿区",IF(AND($K3913="对外销售",COUNTIF({"三矿区";"六矿区"},$L3913)=0),"※对外销售的去向只能是三矿区或六矿区",IF(AND($K3913="对外销售",ROUND($Q3913,0)=0),"※外销却没有售价，请填实际售价",IF(AND($K3913="对外销售",$T3913&lt;&gt;"",$T3913&lt;0),"※这一笔外销是亏的，请核对售价",IF(IFERROR(VLOOKUP($D3913,库存台账!$A$5:$Y$1204,24,0),0)&lt;-0.001,"※这个物料账面已经变成负数了，查一下是不是漏记入库","")))))))))))</f>
        <v/>
      </c>
    </row>
    <row r="3914">
      <c r="A3914" s="24">
        <f>IF($D3914="","",COUNTA($D$4:$D3914))</f>
        <v/>
      </c>
      <c r="B3914" s="17" t="n"/>
      <c r="C3914" s="30" t="n"/>
      <c r="D3914" s="17" t="n"/>
      <c r="E3914" s="24">
        <f>IF($D3914="","",IFERROR(VLOOKUP($D3914,物料档案!$A$4:$P$1203,3,0),"※编码不在物料档案里"))</f>
        <v/>
      </c>
      <c r="F3914" s="24">
        <f>IF($D3914="","",IFERROR(VLOOKUP($D3914,物料档案!$A$4:$P$1203,4,0),"※编码不在物料档案里"))</f>
        <v/>
      </c>
      <c r="G3914" s="24">
        <f>IF($D3914="","",IFERROR(VLOOKUP($D3914,物料档案!$A$4:$P$1203,5,0),"※编码不在物料档案里"))</f>
        <v/>
      </c>
      <c r="H3914" s="24">
        <f>IF($D3914="","",IFERROR(VLOOKUP($D3914,物料档案!$A$4:$P$1203,2,0),"※编码不在物料档案里"))</f>
        <v/>
      </c>
      <c r="I3914" s="24">
        <f>IF($D3914="","",IFERROR(VLOOKUP($D3914,物料档案!$A$4:$P$1203,6,0),"※编码不在物料档案里"))</f>
        <v/>
      </c>
      <c r="J3914" s="23" t="n"/>
      <c r="K3914" s="17" t="n"/>
      <c r="L3914" s="17" t="n"/>
      <c r="M3914" s="17" t="n"/>
      <c r="N3914" s="17" t="n"/>
      <c r="O3914" s="26">
        <f>IF($D3914="","",IFERROR(VLOOKUP($D3914,物料档案!$A$4:$P$1203,10,0),0))</f>
        <v/>
      </c>
      <c r="P3914" s="32" t="n"/>
      <c r="Q3914" s="26">
        <f>IF($D3914="","",IF($K3914&lt;&gt;"对外销售",0,ROUND(N($J3914)*IF($P3914="",N($O3914),N($P3914)),0)))</f>
        <v/>
      </c>
      <c r="R3914" s="26">
        <f>IF($D3914="","",IFERROR(VLOOKUP($D3914,库存台账!$A$5:$Y$1204,11,0),0))</f>
        <v/>
      </c>
      <c r="S3914" s="26">
        <f>IF($D3914="","",ROUND(N($J3914)*N($R3914),0))</f>
        <v/>
      </c>
      <c r="T3914" s="26">
        <f>IF($D3914="","",IF($K3914&lt;&gt;"对外销售","",ROUND($Q3914-$S3914,0)))</f>
        <v/>
      </c>
      <c r="U3914" s="17" t="n"/>
      <c r="V3914" s="17" t="n"/>
      <c r="W3914" s="24">
        <f>IF($D3914="","",IF($E3914="※编码不在物料档案里","※物料编码不在档案里",IF(N($J3914)&lt;=0,"※出库数量要大于 0",IF($K3914="","※没填去向类型",IF($L3914="","※没填去向矿区",IF(AND($C3914&lt;&gt;"",$C3914&lt;=结账锁),"※日期早于已结账截止日，不能再录",IF(AND($K3914="自用消耗",COUNTIF({"一矿区";"二矿区"},$L3914)=0),"※自用消耗的去向只能是一矿区或二矿区",IF(AND($K3914="对外销售",COUNTIF({"三矿区";"六矿区"},$L3914)=0),"※对外销售的去向只能是三矿区或六矿区",IF(AND($K3914="对外销售",ROUND($Q3914,0)=0),"※外销却没有售价，请填实际售价",IF(AND($K3914="对外销售",$T3914&lt;&gt;"",$T3914&lt;0),"※这一笔外销是亏的，请核对售价",IF(IFERROR(VLOOKUP($D3914,库存台账!$A$5:$Y$1204,24,0),0)&lt;-0.001,"※这个物料账面已经变成负数了，查一下是不是漏记入库","")))))))))))</f>
        <v/>
      </c>
    </row>
    <row r="3915">
      <c r="A3915" s="24">
        <f>IF($D3915="","",COUNTA($D$4:$D3915))</f>
        <v/>
      </c>
      <c r="B3915" s="17" t="n"/>
      <c r="C3915" s="30" t="n"/>
      <c r="D3915" s="17" t="n"/>
      <c r="E3915" s="24">
        <f>IF($D3915="","",IFERROR(VLOOKUP($D3915,物料档案!$A$4:$P$1203,3,0),"※编码不在物料档案里"))</f>
        <v/>
      </c>
      <c r="F3915" s="24">
        <f>IF($D3915="","",IFERROR(VLOOKUP($D3915,物料档案!$A$4:$P$1203,4,0),"※编码不在物料档案里"))</f>
        <v/>
      </c>
      <c r="G3915" s="24">
        <f>IF($D3915="","",IFERROR(VLOOKUP($D3915,物料档案!$A$4:$P$1203,5,0),"※编码不在物料档案里"))</f>
        <v/>
      </c>
      <c r="H3915" s="24">
        <f>IF($D3915="","",IFERROR(VLOOKUP($D3915,物料档案!$A$4:$P$1203,2,0),"※编码不在物料档案里"))</f>
        <v/>
      </c>
      <c r="I3915" s="24">
        <f>IF($D3915="","",IFERROR(VLOOKUP($D3915,物料档案!$A$4:$P$1203,6,0),"※编码不在物料档案里"))</f>
        <v/>
      </c>
      <c r="J3915" s="23" t="n"/>
      <c r="K3915" s="17" t="n"/>
      <c r="L3915" s="17" t="n"/>
      <c r="M3915" s="17" t="n"/>
      <c r="N3915" s="17" t="n"/>
      <c r="O3915" s="26">
        <f>IF($D3915="","",IFERROR(VLOOKUP($D3915,物料档案!$A$4:$P$1203,10,0),0))</f>
        <v/>
      </c>
      <c r="P3915" s="32" t="n"/>
      <c r="Q3915" s="26">
        <f>IF($D3915="","",IF($K3915&lt;&gt;"对外销售",0,ROUND(N($J3915)*IF($P3915="",N($O3915),N($P3915)),0)))</f>
        <v/>
      </c>
      <c r="R3915" s="26">
        <f>IF($D3915="","",IFERROR(VLOOKUP($D3915,库存台账!$A$5:$Y$1204,11,0),0))</f>
        <v/>
      </c>
      <c r="S3915" s="26">
        <f>IF($D3915="","",ROUND(N($J3915)*N($R3915),0))</f>
        <v/>
      </c>
      <c r="T3915" s="26">
        <f>IF($D3915="","",IF($K3915&lt;&gt;"对外销售","",ROUND($Q3915-$S3915,0)))</f>
        <v/>
      </c>
      <c r="U3915" s="17" t="n"/>
      <c r="V3915" s="17" t="n"/>
      <c r="W3915" s="24">
        <f>IF($D3915="","",IF($E3915="※编码不在物料档案里","※物料编码不在档案里",IF(N($J3915)&lt;=0,"※出库数量要大于 0",IF($K3915="","※没填去向类型",IF($L3915="","※没填去向矿区",IF(AND($C3915&lt;&gt;"",$C3915&lt;=结账锁),"※日期早于已结账截止日，不能再录",IF(AND($K3915="自用消耗",COUNTIF({"一矿区";"二矿区"},$L3915)=0),"※自用消耗的去向只能是一矿区或二矿区",IF(AND($K3915="对外销售",COUNTIF({"三矿区";"六矿区"},$L3915)=0),"※对外销售的去向只能是三矿区或六矿区",IF(AND($K3915="对外销售",ROUND($Q3915,0)=0),"※外销却没有售价，请填实际售价",IF(AND($K3915="对外销售",$T3915&lt;&gt;"",$T3915&lt;0),"※这一笔外销是亏的，请核对售价",IF(IFERROR(VLOOKUP($D3915,库存台账!$A$5:$Y$1204,24,0),0)&lt;-0.001,"※这个物料账面已经变成负数了，查一下是不是漏记入库","")))))))))))</f>
        <v/>
      </c>
    </row>
    <row r="3916">
      <c r="A3916" s="24">
        <f>IF($D3916="","",COUNTA($D$4:$D3916))</f>
        <v/>
      </c>
      <c r="B3916" s="17" t="n"/>
      <c r="C3916" s="30" t="n"/>
      <c r="D3916" s="17" t="n"/>
      <c r="E3916" s="24">
        <f>IF($D3916="","",IFERROR(VLOOKUP($D3916,物料档案!$A$4:$P$1203,3,0),"※编码不在物料档案里"))</f>
        <v/>
      </c>
      <c r="F3916" s="24">
        <f>IF($D3916="","",IFERROR(VLOOKUP($D3916,物料档案!$A$4:$P$1203,4,0),"※编码不在物料档案里"))</f>
        <v/>
      </c>
      <c r="G3916" s="24">
        <f>IF($D3916="","",IFERROR(VLOOKUP($D3916,物料档案!$A$4:$P$1203,5,0),"※编码不在物料档案里"))</f>
        <v/>
      </c>
      <c r="H3916" s="24">
        <f>IF($D3916="","",IFERROR(VLOOKUP($D3916,物料档案!$A$4:$P$1203,2,0),"※编码不在物料档案里"))</f>
        <v/>
      </c>
      <c r="I3916" s="24">
        <f>IF($D3916="","",IFERROR(VLOOKUP($D3916,物料档案!$A$4:$P$1203,6,0),"※编码不在物料档案里"))</f>
        <v/>
      </c>
      <c r="J3916" s="23" t="n"/>
      <c r="K3916" s="17" t="n"/>
      <c r="L3916" s="17" t="n"/>
      <c r="M3916" s="17" t="n"/>
      <c r="N3916" s="17" t="n"/>
      <c r="O3916" s="26">
        <f>IF($D3916="","",IFERROR(VLOOKUP($D3916,物料档案!$A$4:$P$1203,10,0),0))</f>
        <v/>
      </c>
      <c r="P3916" s="32" t="n"/>
      <c r="Q3916" s="26">
        <f>IF($D3916="","",IF($K3916&lt;&gt;"对外销售",0,ROUND(N($J3916)*IF($P3916="",N($O3916),N($P3916)),0)))</f>
        <v/>
      </c>
      <c r="R3916" s="26">
        <f>IF($D3916="","",IFERROR(VLOOKUP($D3916,库存台账!$A$5:$Y$1204,11,0),0))</f>
        <v/>
      </c>
      <c r="S3916" s="26">
        <f>IF($D3916="","",ROUND(N($J3916)*N($R3916),0))</f>
        <v/>
      </c>
      <c r="T3916" s="26">
        <f>IF($D3916="","",IF($K3916&lt;&gt;"对外销售","",ROUND($Q3916-$S3916,0)))</f>
        <v/>
      </c>
      <c r="U3916" s="17" t="n"/>
      <c r="V3916" s="17" t="n"/>
      <c r="W3916" s="24">
        <f>IF($D3916="","",IF($E3916="※编码不在物料档案里","※物料编码不在档案里",IF(N($J3916)&lt;=0,"※出库数量要大于 0",IF($K3916="","※没填去向类型",IF($L3916="","※没填去向矿区",IF(AND($C3916&lt;&gt;"",$C3916&lt;=结账锁),"※日期早于已结账截止日，不能再录",IF(AND($K3916="自用消耗",COUNTIF({"一矿区";"二矿区"},$L3916)=0),"※自用消耗的去向只能是一矿区或二矿区",IF(AND($K3916="对外销售",COUNTIF({"三矿区";"六矿区"},$L3916)=0),"※对外销售的去向只能是三矿区或六矿区",IF(AND($K3916="对外销售",ROUND($Q3916,0)=0),"※外销却没有售价，请填实际售价",IF(AND($K3916="对外销售",$T3916&lt;&gt;"",$T3916&lt;0),"※这一笔外销是亏的，请核对售价",IF(IFERROR(VLOOKUP($D3916,库存台账!$A$5:$Y$1204,24,0),0)&lt;-0.001,"※这个物料账面已经变成负数了，查一下是不是漏记入库","")))))))))))</f>
        <v/>
      </c>
    </row>
    <row r="3917">
      <c r="A3917" s="24">
        <f>IF($D3917="","",COUNTA($D$4:$D3917))</f>
        <v/>
      </c>
      <c r="B3917" s="17" t="n"/>
      <c r="C3917" s="30" t="n"/>
      <c r="D3917" s="17" t="n"/>
      <c r="E3917" s="24">
        <f>IF($D3917="","",IFERROR(VLOOKUP($D3917,物料档案!$A$4:$P$1203,3,0),"※编码不在物料档案里"))</f>
        <v/>
      </c>
      <c r="F3917" s="24">
        <f>IF($D3917="","",IFERROR(VLOOKUP($D3917,物料档案!$A$4:$P$1203,4,0),"※编码不在物料档案里"))</f>
        <v/>
      </c>
      <c r="G3917" s="24">
        <f>IF($D3917="","",IFERROR(VLOOKUP($D3917,物料档案!$A$4:$P$1203,5,0),"※编码不在物料档案里"))</f>
        <v/>
      </c>
      <c r="H3917" s="24">
        <f>IF($D3917="","",IFERROR(VLOOKUP($D3917,物料档案!$A$4:$P$1203,2,0),"※编码不在物料档案里"))</f>
        <v/>
      </c>
      <c r="I3917" s="24">
        <f>IF($D3917="","",IFERROR(VLOOKUP($D3917,物料档案!$A$4:$P$1203,6,0),"※编码不在物料档案里"))</f>
        <v/>
      </c>
      <c r="J3917" s="23" t="n"/>
      <c r="K3917" s="17" t="n"/>
      <c r="L3917" s="17" t="n"/>
      <c r="M3917" s="17" t="n"/>
      <c r="N3917" s="17" t="n"/>
      <c r="O3917" s="26">
        <f>IF($D3917="","",IFERROR(VLOOKUP($D3917,物料档案!$A$4:$P$1203,10,0),0))</f>
        <v/>
      </c>
      <c r="P3917" s="32" t="n"/>
      <c r="Q3917" s="26">
        <f>IF($D3917="","",IF($K3917&lt;&gt;"对外销售",0,ROUND(N($J3917)*IF($P3917="",N($O3917),N($P3917)),0)))</f>
        <v/>
      </c>
      <c r="R3917" s="26">
        <f>IF($D3917="","",IFERROR(VLOOKUP($D3917,库存台账!$A$5:$Y$1204,11,0),0))</f>
        <v/>
      </c>
      <c r="S3917" s="26">
        <f>IF($D3917="","",ROUND(N($J3917)*N($R3917),0))</f>
        <v/>
      </c>
      <c r="T3917" s="26">
        <f>IF($D3917="","",IF($K3917&lt;&gt;"对外销售","",ROUND($Q3917-$S3917,0)))</f>
        <v/>
      </c>
      <c r="U3917" s="17" t="n"/>
      <c r="V3917" s="17" t="n"/>
      <c r="W3917" s="24">
        <f>IF($D3917="","",IF($E3917="※编码不在物料档案里","※物料编码不在档案里",IF(N($J3917)&lt;=0,"※出库数量要大于 0",IF($K3917="","※没填去向类型",IF($L3917="","※没填去向矿区",IF(AND($C3917&lt;&gt;"",$C3917&lt;=结账锁),"※日期早于已结账截止日，不能再录",IF(AND($K3917="自用消耗",COUNTIF({"一矿区";"二矿区"},$L3917)=0),"※自用消耗的去向只能是一矿区或二矿区",IF(AND($K3917="对外销售",COUNTIF({"三矿区";"六矿区"},$L3917)=0),"※对外销售的去向只能是三矿区或六矿区",IF(AND($K3917="对外销售",ROUND($Q3917,0)=0),"※外销却没有售价，请填实际售价",IF(AND($K3917="对外销售",$T3917&lt;&gt;"",$T3917&lt;0),"※这一笔外销是亏的，请核对售价",IF(IFERROR(VLOOKUP($D3917,库存台账!$A$5:$Y$1204,24,0),0)&lt;-0.001,"※这个物料账面已经变成负数了，查一下是不是漏记入库","")))))))))))</f>
        <v/>
      </c>
    </row>
    <row r="3918">
      <c r="A3918" s="24">
        <f>IF($D3918="","",COUNTA($D$4:$D3918))</f>
        <v/>
      </c>
      <c r="B3918" s="17" t="n"/>
      <c r="C3918" s="30" t="n"/>
      <c r="D3918" s="17" t="n"/>
      <c r="E3918" s="24">
        <f>IF($D3918="","",IFERROR(VLOOKUP($D3918,物料档案!$A$4:$P$1203,3,0),"※编码不在物料档案里"))</f>
        <v/>
      </c>
      <c r="F3918" s="24">
        <f>IF($D3918="","",IFERROR(VLOOKUP($D3918,物料档案!$A$4:$P$1203,4,0),"※编码不在物料档案里"))</f>
        <v/>
      </c>
      <c r="G3918" s="24">
        <f>IF($D3918="","",IFERROR(VLOOKUP($D3918,物料档案!$A$4:$P$1203,5,0),"※编码不在物料档案里"))</f>
        <v/>
      </c>
      <c r="H3918" s="24">
        <f>IF($D3918="","",IFERROR(VLOOKUP($D3918,物料档案!$A$4:$P$1203,2,0),"※编码不在物料档案里"))</f>
        <v/>
      </c>
      <c r="I3918" s="24">
        <f>IF($D3918="","",IFERROR(VLOOKUP($D3918,物料档案!$A$4:$P$1203,6,0),"※编码不在物料档案里"))</f>
        <v/>
      </c>
      <c r="J3918" s="23" t="n"/>
      <c r="K3918" s="17" t="n"/>
      <c r="L3918" s="17" t="n"/>
      <c r="M3918" s="17" t="n"/>
      <c r="N3918" s="17" t="n"/>
      <c r="O3918" s="26">
        <f>IF($D3918="","",IFERROR(VLOOKUP($D3918,物料档案!$A$4:$P$1203,10,0),0))</f>
        <v/>
      </c>
      <c r="P3918" s="32" t="n"/>
      <c r="Q3918" s="26">
        <f>IF($D3918="","",IF($K3918&lt;&gt;"对外销售",0,ROUND(N($J3918)*IF($P3918="",N($O3918),N($P3918)),0)))</f>
        <v/>
      </c>
      <c r="R3918" s="26">
        <f>IF($D3918="","",IFERROR(VLOOKUP($D3918,库存台账!$A$5:$Y$1204,11,0),0))</f>
        <v/>
      </c>
      <c r="S3918" s="26">
        <f>IF($D3918="","",ROUND(N($J3918)*N($R3918),0))</f>
        <v/>
      </c>
      <c r="T3918" s="26">
        <f>IF($D3918="","",IF($K3918&lt;&gt;"对外销售","",ROUND($Q3918-$S3918,0)))</f>
        <v/>
      </c>
      <c r="U3918" s="17" t="n"/>
      <c r="V3918" s="17" t="n"/>
      <c r="W3918" s="24">
        <f>IF($D3918="","",IF($E3918="※编码不在物料档案里","※物料编码不在档案里",IF(N($J3918)&lt;=0,"※出库数量要大于 0",IF($K3918="","※没填去向类型",IF($L3918="","※没填去向矿区",IF(AND($C3918&lt;&gt;"",$C3918&lt;=结账锁),"※日期早于已结账截止日，不能再录",IF(AND($K3918="自用消耗",COUNTIF({"一矿区";"二矿区"},$L3918)=0),"※自用消耗的去向只能是一矿区或二矿区",IF(AND($K3918="对外销售",COUNTIF({"三矿区";"六矿区"},$L3918)=0),"※对外销售的去向只能是三矿区或六矿区",IF(AND($K3918="对外销售",ROUND($Q3918,0)=0),"※外销却没有售价，请填实际售价",IF(AND($K3918="对外销售",$T3918&lt;&gt;"",$T3918&lt;0),"※这一笔外销是亏的，请核对售价",IF(IFERROR(VLOOKUP($D3918,库存台账!$A$5:$Y$1204,24,0),0)&lt;-0.001,"※这个物料账面已经变成负数了，查一下是不是漏记入库","")))))))))))</f>
        <v/>
      </c>
    </row>
    <row r="3919">
      <c r="A3919" s="24">
        <f>IF($D3919="","",COUNTA($D$4:$D3919))</f>
        <v/>
      </c>
      <c r="B3919" s="17" t="n"/>
      <c r="C3919" s="30" t="n"/>
      <c r="D3919" s="17" t="n"/>
      <c r="E3919" s="24">
        <f>IF($D3919="","",IFERROR(VLOOKUP($D3919,物料档案!$A$4:$P$1203,3,0),"※编码不在物料档案里"))</f>
        <v/>
      </c>
      <c r="F3919" s="24">
        <f>IF($D3919="","",IFERROR(VLOOKUP($D3919,物料档案!$A$4:$P$1203,4,0),"※编码不在物料档案里"))</f>
        <v/>
      </c>
      <c r="G3919" s="24">
        <f>IF($D3919="","",IFERROR(VLOOKUP($D3919,物料档案!$A$4:$P$1203,5,0),"※编码不在物料档案里"))</f>
        <v/>
      </c>
      <c r="H3919" s="24">
        <f>IF($D3919="","",IFERROR(VLOOKUP($D3919,物料档案!$A$4:$P$1203,2,0),"※编码不在物料档案里"))</f>
        <v/>
      </c>
      <c r="I3919" s="24">
        <f>IF($D3919="","",IFERROR(VLOOKUP($D3919,物料档案!$A$4:$P$1203,6,0),"※编码不在物料档案里"))</f>
        <v/>
      </c>
      <c r="J3919" s="23" t="n"/>
      <c r="K3919" s="17" t="n"/>
      <c r="L3919" s="17" t="n"/>
      <c r="M3919" s="17" t="n"/>
      <c r="N3919" s="17" t="n"/>
      <c r="O3919" s="26">
        <f>IF($D3919="","",IFERROR(VLOOKUP($D3919,物料档案!$A$4:$P$1203,10,0),0))</f>
        <v/>
      </c>
      <c r="P3919" s="32" t="n"/>
      <c r="Q3919" s="26">
        <f>IF($D3919="","",IF($K3919&lt;&gt;"对外销售",0,ROUND(N($J3919)*IF($P3919="",N($O3919),N($P3919)),0)))</f>
        <v/>
      </c>
      <c r="R3919" s="26">
        <f>IF($D3919="","",IFERROR(VLOOKUP($D3919,库存台账!$A$5:$Y$1204,11,0),0))</f>
        <v/>
      </c>
      <c r="S3919" s="26">
        <f>IF($D3919="","",ROUND(N($J3919)*N($R3919),0))</f>
        <v/>
      </c>
      <c r="T3919" s="26">
        <f>IF($D3919="","",IF($K3919&lt;&gt;"对外销售","",ROUND($Q3919-$S3919,0)))</f>
        <v/>
      </c>
      <c r="U3919" s="17" t="n"/>
      <c r="V3919" s="17" t="n"/>
      <c r="W3919" s="24">
        <f>IF($D3919="","",IF($E3919="※编码不在物料档案里","※物料编码不在档案里",IF(N($J3919)&lt;=0,"※出库数量要大于 0",IF($K3919="","※没填去向类型",IF($L3919="","※没填去向矿区",IF(AND($C3919&lt;&gt;"",$C3919&lt;=结账锁),"※日期早于已结账截止日，不能再录",IF(AND($K3919="自用消耗",COUNTIF({"一矿区";"二矿区"},$L3919)=0),"※自用消耗的去向只能是一矿区或二矿区",IF(AND($K3919="对外销售",COUNTIF({"三矿区";"六矿区"},$L3919)=0),"※对外销售的去向只能是三矿区或六矿区",IF(AND($K3919="对外销售",ROUND($Q3919,0)=0),"※外销却没有售价，请填实际售价",IF(AND($K3919="对外销售",$T3919&lt;&gt;"",$T3919&lt;0),"※这一笔外销是亏的，请核对售价",IF(IFERROR(VLOOKUP($D3919,库存台账!$A$5:$Y$1204,24,0),0)&lt;-0.001,"※这个物料账面已经变成负数了，查一下是不是漏记入库","")))))))))))</f>
        <v/>
      </c>
    </row>
    <row r="3920">
      <c r="A3920" s="24">
        <f>IF($D3920="","",COUNTA($D$4:$D3920))</f>
        <v/>
      </c>
      <c r="B3920" s="17" t="n"/>
      <c r="C3920" s="30" t="n"/>
      <c r="D3920" s="17" t="n"/>
      <c r="E3920" s="24">
        <f>IF($D3920="","",IFERROR(VLOOKUP($D3920,物料档案!$A$4:$P$1203,3,0),"※编码不在物料档案里"))</f>
        <v/>
      </c>
      <c r="F3920" s="24">
        <f>IF($D3920="","",IFERROR(VLOOKUP($D3920,物料档案!$A$4:$P$1203,4,0),"※编码不在物料档案里"))</f>
        <v/>
      </c>
      <c r="G3920" s="24">
        <f>IF($D3920="","",IFERROR(VLOOKUP($D3920,物料档案!$A$4:$P$1203,5,0),"※编码不在物料档案里"))</f>
        <v/>
      </c>
      <c r="H3920" s="24">
        <f>IF($D3920="","",IFERROR(VLOOKUP($D3920,物料档案!$A$4:$P$1203,2,0),"※编码不在物料档案里"))</f>
        <v/>
      </c>
      <c r="I3920" s="24">
        <f>IF($D3920="","",IFERROR(VLOOKUP($D3920,物料档案!$A$4:$P$1203,6,0),"※编码不在物料档案里"))</f>
        <v/>
      </c>
      <c r="J3920" s="23" t="n"/>
      <c r="K3920" s="17" t="n"/>
      <c r="L3920" s="17" t="n"/>
      <c r="M3920" s="17" t="n"/>
      <c r="N3920" s="17" t="n"/>
      <c r="O3920" s="26">
        <f>IF($D3920="","",IFERROR(VLOOKUP($D3920,物料档案!$A$4:$P$1203,10,0),0))</f>
        <v/>
      </c>
      <c r="P3920" s="32" t="n"/>
      <c r="Q3920" s="26">
        <f>IF($D3920="","",IF($K3920&lt;&gt;"对外销售",0,ROUND(N($J3920)*IF($P3920="",N($O3920),N($P3920)),0)))</f>
        <v/>
      </c>
      <c r="R3920" s="26">
        <f>IF($D3920="","",IFERROR(VLOOKUP($D3920,库存台账!$A$5:$Y$1204,11,0),0))</f>
        <v/>
      </c>
      <c r="S3920" s="26">
        <f>IF($D3920="","",ROUND(N($J3920)*N($R3920),0))</f>
        <v/>
      </c>
      <c r="T3920" s="26">
        <f>IF($D3920="","",IF($K3920&lt;&gt;"对外销售","",ROUND($Q3920-$S3920,0)))</f>
        <v/>
      </c>
      <c r="U3920" s="17" t="n"/>
      <c r="V3920" s="17" t="n"/>
      <c r="W3920" s="24">
        <f>IF($D3920="","",IF($E3920="※编码不在物料档案里","※物料编码不在档案里",IF(N($J3920)&lt;=0,"※出库数量要大于 0",IF($K3920="","※没填去向类型",IF($L3920="","※没填去向矿区",IF(AND($C3920&lt;&gt;"",$C3920&lt;=结账锁),"※日期早于已结账截止日，不能再录",IF(AND($K3920="自用消耗",COUNTIF({"一矿区";"二矿区"},$L3920)=0),"※自用消耗的去向只能是一矿区或二矿区",IF(AND($K3920="对外销售",COUNTIF({"三矿区";"六矿区"},$L3920)=0),"※对外销售的去向只能是三矿区或六矿区",IF(AND($K3920="对外销售",ROUND($Q3920,0)=0),"※外销却没有售价，请填实际售价",IF(AND($K3920="对外销售",$T3920&lt;&gt;"",$T3920&lt;0),"※这一笔外销是亏的，请核对售价",IF(IFERROR(VLOOKUP($D3920,库存台账!$A$5:$Y$1204,24,0),0)&lt;-0.001,"※这个物料账面已经变成负数了，查一下是不是漏记入库","")))))))))))</f>
        <v/>
      </c>
    </row>
    <row r="3921">
      <c r="A3921" s="24">
        <f>IF($D3921="","",COUNTA($D$4:$D3921))</f>
        <v/>
      </c>
      <c r="B3921" s="17" t="n"/>
      <c r="C3921" s="30" t="n"/>
      <c r="D3921" s="17" t="n"/>
      <c r="E3921" s="24">
        <f>IF($D3921="","",IFERROR(VLOOKUP($D3921,物料档案!$A$4:$P$1203,3,0),"※编码不在物料档案里"))</f>
        <v/>
      </c>
      <c r="F3921" s="24">
        <f>IF($D3921="","",IFERROR(VLOOKUP($D3921,物料档案!$A$4:$P$1203,4,0),"※编码不在物料档案里"))</f>
        <v/>
      </c>
      <c r="G3921" s="24">
        <f>IF($D3921="","",IFERROR(VLOOKUP($D3921,物料档案!$A$4:$P$1203,5,0),"※编码不在物料档案里"))</f>
        <v/>
      </c>
      <c r="H3921" s="24">
        <f>IF($D3921="","",IFERROR(VLOOKUP($D3921,物料档案!$A$4:$P$1203,2,0),"※编码不在物料档案里"))</f>
        <v/>
      </c>
      <c r="I3921" s="24">
        <f>IF($D3921="","",IFERROR(VLOOKUP($D3921,物料档案!$A$4:$P$1203,6,0),"※编码不在物料档案里"))</f>
        <v/>
      </c>
      <c r="J3921" s="23" t="n"/>
      <c r="K3921" s="17" t="n"/>
      <c r="L3921" s="17" t="n"/>
      <c r="M3921" s="17" t="n"/>
      <c r="N3921" s="17" t="n"/>
      <c r="O3921" s="26">
        <f>IF($D3921="","",IFERROR(VLOOKUP($D3921,物料档案!$A$4:$P$1203,10,0),0))</f>
        <v/>
      </c>
      <c r="P3921" s="32" t="n"/>
      <c r="Q3921" s="26">
        <f>IF($D3921="","",IF($K3921&lt;&gt;"对外销售",0,ROUND(N($J3921)*IF($P3921="",N($O3921),N($P3921)),0)))</f>
        <v/>
      </c>
      <c r="R3921" s="26">
        <f>IF($D3921="","",IFERROR(VLOOKUP($D3921,库存台账!$A$5:$Y$1204,11,0),0))</f>
        <v/>
      </c>
      <c r="S3921" s="26">
        <f>IF($D3921="","",ROUND(N($J3921)*N($R3921),0))</f>
        <v/>
      </c>
      <c r="T3921" s="26">
        <f>IF($D3921="","",IF($K3921&lt;&gt;"对外销售","",ROUND($Q3921-$S3921,0)))</f>
        <v/>
      </c>
      <c r="U3921" s="17" t="n"/>
      <c r="V3921" s="17" t="n"/>
      <c r="W3921" s="24">
        <f>IF($D3921="","",IF($E3921="※编码不在物料档案里","※物料编码不在档案里",IF(N($J3921)&lt;=0,"※出库数量要大于 0",IF($K3921="","※没填去向类型",IF($L3921="","※没填去向矿区",IF(AND($C3921&lt;&gt;"",$C3921&lt;=结账锁),"※日期早于已结账截止日，不能再录",IF(AND($K3921="自用消耗",COUNTIF({"一矿区";"二矿区"},$L3921)=0),"※自用消耗的去向只能是一矿区或二矿区",IF(AND($K3921="对外销售",COUNTIF({"三矿区";"六矿区"},$L3921)=0),"※对外销售的去向只能是三矿区或六矿区",IF(AND($K3921="对外销售",ROUND($Q3921,0)=0),"※外销却没有售价，请填实际售价",IF(AND($K3921="对外销售",$T3921&lt;&gt;"",$T3921&lt;0),"※这一笔外销是亏的，请核对售价",IF(IFERROR(VLOOKUP($D3921,库存台账!$A$5:$Y$1204,24,0),0)&lt;-0.001,"※这个物料账面已经变成负数了，查一下是不是漏记入库","")))))))))))</f>
        <v/>
      </c>
    </row>
    <row r="3922">
      <c r="A3922" s="24">
        <f>IF($D3922="","",COUNTA($D$4:$D3922))</f>
        <v/>
      </c>
      <c r="B3922" s="17" t="n"/>
      <c r="C3922" s="30" t="n"/>
      <c r="D3922" s="17" t="n"/>
      <c r="E3922" s="24">
        <f>IF($D3922="","",IFERROR(VLOOKUP($D3922,物料档案!$A$4:$P$1203,3,0),"※编码不在物料档案里"))</f>
        <v/>
      </c>
      <c r="F3922" s="24">
        <f>IF($D3922="","",IFERROR(VLOOKUP($D3922,物料档案!$A$4:$P$1203,4,0),"※编码不在物料档案里"))</f>
        <v/>
      </c>
      <c r="G3922" s="24">
        <f>IF($D3922="","",IFERROR(VLOOKUP($D3922,物料档案!$A$4:$P$1203,5,0),"※编码不在物料档案里"))</f>
        <v/>
      </c>
      <c r="H3922" s="24">
        <f>IF($D3922="","",IFERROR(VLOOKUP($D3922,物料档案!$A$4:$P$1203,2,0),"※编码不在物料档案里"))</f>
        <v/>
      </c>
      <c r="I3922" s="24">
        <f>IF($D3922="","",IFERROR(VLOOKUP($D3922,物料档案!$A$4:$P$1203,6,0),"※编码不在物料档案里"))</f>
        <v/>
      </c>
      <c r="J3922" s="23" t="n"/>
      <c r="K3922" s="17" t="n"/>
      <c r="L3922" s="17" t="n"/>
      <c r="M3922" s="17" t="n"/>
      <c r="N3922" s="17" t="n"/>
      <c r="O3922" s="26">
        <f>IF($D3922="","",IFERROR(VLOOKUP($D3922,物料档案!$A$4:$P$1203,10,0),0))</f>
        <v/>
      </c>
      <c r="P3922" s="32" t="n"/>
      <c r="Q3922" s="26">
        <f>IF($D3922="","",IF($K3922&lt;&gt;"对外销售",0,ROUND(N($J3922)*IF($P3922="",N($O3922),N($P3922)),0)))</f>
        <v/>
      </c>
      <c r="R3922" s="26">
        <f>IF($D3922="","",IFERROR(VLOOKUP($D3922,库存台账!$A$5:$Y$1204,11,0),0))</f>
        <v/>
      </c>
      <c r="S3922" s="26">
        <f>IF($D3922="","",ROUND(N($J3922)*N($R3922),0))</f>
        <v/>
      </c>
      <c r="T3922" s="26">
        <f>IF($D3922="","",IF($K3922&lt;&gt;"对外销售","",ROUND($Q3922-$S3922,0)))</f>
        <v/>
      </c>
      <c r="U3922" s="17" t="n"/>
      <c r="V3922" s="17" t="n"/>
      <c r="W3922" s="24">
        <f>IF($D3922="","",IF($E3922="※编码不在物料档案里","※物料编码不在档案里",IF(N($J3922)&lt;=0,"※出库数量要大于 0",IF($K3922="","※没填去向类型",IF($L3922="","※没填去向矿区",IF(AND($C3922&lt;&gt;"",$C3922&lt;=结账锁),"※日期早于已结账截止日，不能再录",IF(AND($K3922="自用消耗",COUNTIF({"一矿区";"二矿区"},$L3922)=0),"※自用消耗的去向只能是一矿区或二矿区",IF(AND($K3922="对外销售",COUNTIF({"三矿区";"六矿区"},$L3922)=0),"※对外销售的去向只能是三矿区或六矿区",IF(AND($K3922="对外销售",ROUND($Q3922,0)=0),"※外销却没有售价，请填实际售价",IF(AND($K3922="对外销售",$T3922&lt;&gt;"",$T3922&lt;0),"※这一笔外销是亏的，请核对售价",IF(IFERROR(VLOOKUP($D3922,库存台账!$A$5:$Y$1204,24,0),0)&lt;-0.001,"※这个物料账面已经变成负数了，查一下是不是漏记入库","")))))))))))</f>
        <v/>
      </c>
    </row>
    <row r="3923">
      <c r="A3923" s="24">
        <f>IF($D3923="","",COUNTA($D$4:$D3923))</f>
        <v/>
      </c>
      <c r="B3923" s="17" t="n"/>
      <c r="C3923" s="30" t="n"/>
      <c r="D3923" s="17" t="n"/>
      <c r="E3923" s="24">
        <f>IF($D3923="","",IFERROR(VLOOKUP($D3923,物料档案!$A$4:$P$1203,3,0),"※编码不在物料档案里"))</f>
        <v/>
      </c>
      <c r="F3923" s="24">
        <f>IF($D3923="","",IFERROR(VLOOKUP($D3923,物料档案!$A$4:$P$1203,4,0),"※编码不在物料档案里"))</f>
        <v/>
      </c>
      <c r="G3923" s="24">
        <f>IF($D3923="","",IFERROR(VLOOKUP($D3923,物料档案!$A$4:$P$1203,5,0),"※编码不在物料档案里"))</f>
        <v/>
      </c>
      <c r="H3923" s="24">
        <f>IF($D3923="","",IFERROR(VLOOKUP($D3923,物料档案!$A$4:$P$1203,2,0),"※编码不在物料档案里"))</f>
        <v/>
      </c>
      <c r="I3923" s="24">
        <f>IF($D3923="","",IFERROR(VLOOKUP($D3923,物料档案!$A$4:$P$1203,6,0),"※编码不在物料档案里"))</f>
        <v/>
      </c>
      <c r="J3923" s="23" t="n"/>
      <c r="K3923" s="17" t="n"/>
      <c r="L3923" s="17" t="n"/>
      <c r="M3923" s="17" t="n"/>
      <c r="N3923" s="17" t="n"/>
      <c r="O3923" s="26">
        <f>IF($D3923="","",IFERROR(VLOOKUP($D3923,物料档案!$A$4:$P$1203,10,0),0))</f>
        <v/>
      </c>
      <c r="P3923" s="32" t="n"/>
      <c r="Q3923" s="26">
        <f>IF($D3923="","",IF($K3923&lt;&gt;"对外销售",0,ROUND(N($J3923)*IF($P3923="",N($O3923),N($P3923)),0)))</f>
        <v/>
      </c>
      <c r="R3923" s="26">
        <f>IF($D3923="","",IFERROR(VLOOKUP($D3923,库存台账!$A$5:$Y$1204,11,0),0))</f>
        <v/>
      </c>
      <c r="S3923" s="26">
        <f>IF($D3923="","",ROUND(N($J3923)*N($R3923),0))</f>
        <v/>
      </c>
      <c r="T3923" s="26">
        <f>IF($D3923="","",IF($K3923&lt;&gt;"对外销售","",ROUND($Q3923-$S3923,0)))</f>
        <v/>
      </c>
      <c r="U3923" s="17" t="n"/>
      <c r="V3923" s="17" t="n"/>
      <c r="W3923" s="24">
        <f>IF($D3923="","",IF($E3923="※编码不在物料档案里","※物料编码不在档案里",IF(N($J3923)&lt;=0,"※出库数量要大于 0",IF($K3923="","※没填去向类型",IF($L3923="","※没填去向矿区",IF(AND($C3923&lt;&gt;"",$C3923&lt;=结账锁),"※日期早于已结账截止日，不能再录",IF(AND($K3923="自用消耗",COUNTIF({"一矿区";"二矿区"},$L3923)=0),"※自用消耗的去向只能是一矿区或二矿区",IF(AND($K3923="对外销售",COUNTIF({"三矿区";"六矿区"},$L3923)=0),"※对外销售的去向只能是三矿区或六矿区",IF(AND($K3923="对外销售",ROUND($Q3923,0)=0),"※外销却没有售价，请填实际售价",IF(AND($K3923="对外销售",$T3923&lt;&gt;"",$T3923&lt;0),"※这一笔外销是亏的，请核对售价",IF(IFERROR(VLOOKUP($D3923,库存台账!$A$5:$Y$1204,24,0),0)&lt;-0.001,"※这个物料账面已经变成负数了，查一下是不是漏记入库","")))))))))))</f>
        <v/>
      </c>
    </row>
    <row r="3924">
      <c r="A3924" s="24">
        <f>IF($D3924="","",COUNTA($D$4:$D3924))</f>
        <v/>
      </c>
      <c r="B3924" s="17" t="n"/>
      <c r="C3924" s="30" t="n"/>
      <c r="D3924" s="17" t="n"/>
      <c r="E3924" s="24">
        <f>IF($D3924="","",IFERROR(VLOOKUP($D3924,物料档案!$A$4:$P$1203,3,0),"※编码不在物料档案里"))</f>
        <v/>
      </c>
      <c r="F3924" s="24">
        <f>IF($D3924="","",IFERROR(VLOOKUP($D3924,物料档案!$A$4:$P$1203,4,0),"※编码不在物料档案里"))</f>
        <v/>
      </c>
      <c r="G3924" s="24">
        <f>IF($D3924="","",IFERROR(VLOOKUP($D3924,物料档案!$A$4:$P$1203,5,0),"※编码不在物料档案里"))</f>
        <v/>
      </c>
      <c r="H3924" s="24">
        <f>IF($D3924="","",IFERROR(VLOOKUP($D3924,物料档案!$A$4:$P$1203,2,0),"※编码不在物料档案里"))</f>
        <v/>
      </c>
      <c r="I3924" s="24">
        <f>IF($D3924="","",IFERROR(VLOOKUP($D3924,物料档案!$A$4:$P$1203,6,0),"※编码不在物料档案里"))</f>
        <v/>
      </c>
      <c r="J3924" s="23" t="n"/>
      <c r="K3924" s="17" t="n"/>
      <c r="L3924" s="17" t="n"/>
      <c r="M3924" s="17" t="n"/>
      <c r="N3924" s="17" t="n"/>
      <c r="O3924" s="26">
        <f>IF($D3924="","",IFERROR(VLOOKUP($D3924,物料档案!$A$4:$P$1203,10,0),0))</f>
        <v/>
      </c>
      <c r="P3924" s="32" t="n"/>
      <c r="Q3924" s="26">
        <f>IF($D3924="","",IF($K3924&lt;&gt;"对外销售",0,ROUND(N($J3924)*IF($P3924="",N($O3924),N($P3924)),0)))</f>
        <v/>
      </c>
      <c r="R3924" s="26">
        <f>IF($D3924="","",IFERROR(VLOOKUP($D3924,库存台账!$A$5:$Y$1204,11,0),0))</f>
        <v/>
      </c>
      <c r="S3924" s="26">
        <f>IF($D3924="","",ROUND(N($J3924)*N($R3924),0))</f>
        <v/>
      </c>
      <c r="T3924" s="26">
        <f>IF($D3924="","",IF($K3924&lt;&gt;"对外销售","",ROUND($Q3924-$S3924,0)))</f>
        <v/>
      </c>
      <c r="U3924" s="17" t="n"/>
      <c r="V3924" s="17" t="n"/>
      <c r="W3924" s="24">
        <f>IF($D3924="","",IF($E3924="※编码不在物料档案里","※物料编码不在档案里",IF(N($J3924)&lt;=0,"※出库数量要大于 0",IF($K3924="","※没填去向类型",IF($L3924="","※没填去向矿区",IF(AND($C3924&lt;&gt;"",$C3924&lt;=结账锁),"※日期早于已结账截止日，不能再录",IF(AND($K3924="自用消耗",COUNTIF({"一矿区";"二矿区"},$L3924)=0),"※自用消耗的去向只能是一矿区或二矿区",IF(AND($K3924="对外销售",COUNTIF({"三矿区";"六矿区"},$L3924)=0),"※对外销售的去向只能是三矿区或六矿区",IF(AND($K3924="对外销售",ROUND($Q3924,0)=0),"※外销却没有售价，请填实际售价",IF(AND($K3924="对外销售",$T3924&lt;&gt;"",$T3924&lt;0),"※这一笔外销是亏的，请核对售价",IF(IFERROR(VLOOKUP($D3924,库存台账!$A$5:$Y$1204,24,0),0)&lt;-0.001,"※这个物料账面已经变成负数了，查一下是不是漏记入库","")))))))))))</f>
        <v/>
      </c>
    </row>
    <row r="3925">
      <c r="A3925" s="24">
        <f>IF($D3925="","",COUNTA($D$4:$D3925))</f>
        <v/>
      </c>
      <c r="B3925" s="17" t="n"/>
      <c r="C3925" s="30" t="n"/>
      <c r="D3925" s="17" t="n"/>
      <c r="E3925" s="24">
        <f>IF($D3925="","",IFERROR(VLOOKUP($D3925,物料档案!$A$4:$P$1203,3,0),"※编码不在物料档案里"))</f>
        <v/>
      </c>
      <c r="F3925" s="24">
        <f>IF($D3925="","",IFERROR(VLOOKUP($D3925,物料档案!$A$4:$P$1203,4,0),"※编码不在物料档案里"))</f>
        <v/>
      </c>
      <c r="G3925" s="24">
        <f>IF($D3925="","",IFERROR(VLOOKUP($D3925,物料档案!$A$4:$P$1203,5,0),"※编码不在物料档案里"))</f>
        <v/>
      </c>
      <c r="H3925" s="24">
        <f>IF($D3925="","",IFERROR(VLOOKUP($D3925,物料档案!$A$4:$P$1203,2,0),"※编码不在物料档案里"))</f>
        <v/>
      </c>
      <c r="I3925" s="24">
        <f>IF($D3925="","",IFERROR(VLOOKUP($D3925,物料档案!$A$4:$P$1203,6,0),"※编码不在物料档案里"))</f>
        <v/>
      </c>
      <c r="J3925" s="23" t="n"/>
      <c r="K3925" s="17" t="n"/>
      <c r="L3925" s="17" t="n"/>
      <c r="M3925" s="17" t="n"/>
      <c r="N3925" s="17" t="n"/>
      <c r="O3925" s="26">
        <f>IF($D3925="","",IFERROR(VLOOKUP($D3925,物料档案!$A$4:$P$1203,10,0),0))</f>
        <v/>
      </c>
      <c r="P3925" s="32" t="n"/>
      <c r="Q3925" s="26">
        <f>IF($D3925="","",IF($K3925&lt;&gt;"对外销售",0,ROUND(N($J3925)*IF($P3925="",N($O3925),N($P3925)),0)))</f>
        <v/>
      </c>
      <c r="R3925" s="26">
        <f>IF($D3925="","",IFERROR(VLOOKUP($D3925,库存台账!$A$5:$Y$1204,11,0),0))</f>
        <v/>
      </c>
      <c r="S3925" s="26">
        <f>IF($D3925="","",ROUND(N($J3925)*N($R3925),0))</f>
        <v/>
      </c>
      <c r="T3925" s="26">
        <f>IF($D3925="","",IF($K3925&lt;&gt;"对外销售","",ROUND($Q3925-$S3925,0)))</f>
        <v/>
      </c>
      <c r="U3925" s="17" t="n"/>
      <c r="V3925" s="17" t="n"/>
      <c r="W3925" s="24">
        <f>IF($D3925="","",IF($E3925="※编码不在物料档案里","※物料编码不在档案里",IF(N($J3925)&lt;=0,"※出库数量要大于 0",IF($K3925="","※没填去向类型",IF($L3925="","※没填去向矿区",IF(AND($C3925&lt;&gt;"",$C3925&lt;=结账锁),"※日期早于已结账截止日，不能再录",IF(AND($K3925="自用消耗",COUNTIF({"一矿区";"二矿区"},$L3925)=0),"※自用消耗的去向只能是一矿区或二矿区",IF(AND($K3925="对外销售",COUNTIF({"三矿区";"六矿区"},$L3925)=0),"※对外销售的去向只能是三矿区或六矿区",IF(AND($K3925="对外销售",ROUND($Q3925,0)=0),"※外销却没有售价，请填实际售价",IF(AND($K3925="对外销售",$T3925&lt;&gt;"",$T3925&lt;0),"※这一笔外销是亏的，请核对售价",IF(IFERROR(VLOOKUP($D3925,库存台账!$A$5:$Y$1204,24,0),0)&lt;-0.001,"※这个物料账面已经变成负数了，查一下是不是漏记入库","")))))))))))</f>
        <v/>
      </c>
    </row>
    <row r="3926">
      <c r="A3926" s="24">
        <f>IF($D3926="","",COUNTA($D$4:$D3926))</f>
        <v/>
      </c>
      <c r="B3926" s="17" t="n"/>
      <c r="C3926" s="30" t="n"/>
      <c r="D3926" s="17" t="n"/>
      <c r="E3926" s="24">
        <f>IF($D3926="","",IFERROR(VLOOKUP($D3926,物料档案!$A$4:$P$1203,3,0),"※编码不在物料档案里"))</f>
        <v/>
      </c>
      <c r="F3926" s="24">
        <f>IF($D3926="","",IFERROR(VLOOKUP($D3926,物料档案!$A$4:$P$1203,4,0),"※编码不在物料档案里"))</f>
        <v/>
      </c>
      <c r="G3926" s="24">
        <f>IF($D3926="","",IFERROR(VLOOKUP($D3926,物料档案!$A$4:$P$1203,5,0),"※编码不在物料档案里"))</f>
        <v/>
      </c>
      <c r="H3926" s="24">
        <f>IF($D3926="","",IFERROR(VLOOKUP($D3926,物料档案!$A$4:$P$1203,2,0),"※编码不在物料档案里"))</f>
        <v/>
      </c>
      <c r="I3926" s="24">
        <f>IF($D3926="","",IFERROR(VLOOKUP($D3926,物料档案!$A$4:$P$1203,6,0),"※编码不在物料档案里"))</f>
        <v/>
      </c>
      <c r="J3926" s="23" t="n"/>
      <c r="K3926" s="17" t="n"/>
      <c r="L3926" s="17" t="n"/>
      <c r="M3926" s="17" t="n"/>
      <c r="N3926" s="17" t="n"/>
      <c r="O3926" s="26">
        <f>IF($D3926="","",IFERROR(VLOOKUP($D3926,物料档案!$A$4:$P$1203,10,0),0))</f>
        <v/>
      </c>
      <c r="P3926" s="32" t="n"/>
      <c r="Q3926" s="26">
        <f>IF($D3926="","",IF($K3926&lt;&gt;"对外销售",0,ROUND(N($J3926)*IF($P3926="",N($O3926),N($P3926)),0)))</f>
        <v/>
      </c>
      <c r="R3926" s="26">
        <f>IF($D3926="","",IFERROR(VLOOKUP($D3926,库存台账!$A$5:$Y$1204,11,0),0))</f>
        <v/>
      </c>
      <c r="S3926" s="26">
        <f>IF($D3926="","",ROUND(N($J3926)*N($R3926),0))</f>
        <v/>
      </c>
      <c r="T3926" s="26">
        <f>IF($D3926="","",IF($K3926&lt;&gt;"对外销售","",ROUND($Q3926-$S3926,0)))</f>
        <v/>
      </c>
      <c r="U3926" s="17" t="n"/>
      <c r="V3926" s="17" t="n"/>
      <c r="W3926" s="24">
        <f>IF($D3926="","",IF($E3926="※编码不在物料档案里","※物料编码不在档案里",IF(N($J3926)&lt;=0,"※出库数量要大于 0",IF($K3926="","※没填去向类型",IF($L3926="","※没填去向矿区",IF(AND($C3926&lt;&gt;"",$C3926&lt;=结账锁),"※日期早于已结账截止日，不能再录",IF(AND($K3926="自用消耗",COUNTIF({"一矿区";"二矿区"},$L3926)=0),"※自用消耗的去向只能是一矿区或二矿区",IF(AND($K3926="对外销售",COUNTIF({"三矿区";"六矿区"},$L3926)=0),"※对外销售的去向只能是三矿区或六矿区",IF(AND($K3926="对外销售",ROUND($Q3926,0)=0),"※外销却没有售价，请填实际售价",IF(AND($K3926="对外销售",$T3926&lt;&gt;"",$T3926&lt;0),"※这一笔外销是亏的，请核对售价",IF(IFERROR(VLOOKUP($D3926,库存台账!$A$5:$Y$1204,24,0),0)&lt;-0.001,"※这个物料账面已经变成负数了，查一下是不是漏记入库","")))))))))))</f>
        <v/>
      </c>
    </row>
    <row r="3927">
      <c r="A3927" s="24">
        <f>IF($D3927="","",COUNTA($D$4:$D3927))</f>
        <v/>
      </c>
      <c r="B3927" s="17" t="n"/>
      <c r="C3927" s="30" t="n"/>
      <c r="D3927" s="17" t="n"/>
      <c r="E3927" s="24">
        <f>IF($D3927="","",IFERROR(VLOOKUP($D3927,物料档案!$A$4:$P$1203,3,0),"※编码不在物料档案里"))</f>
        <v/>
      </c>
      <c r="F3927" s="24">
        <f>IF($D3927="","",IFERROR(VLOOKUP($D3927,物料档案!$A$4:$P$1203,4,0),"※编码不在物料档案里"))</f>
        <v/>
      </c>
      <c r="G3927" s="24">
        <f>IF($D3927="","",IFERROR(VLOOKUP($D3927,物料档案!$A$4:$P$1203,5,0),"※编码不在物料档案里"))</f>
        <v/>
      </c>
      <c r="H3927" s="24">
        <f>IF($D3927="","",IFERROR(VLOOKUP($D3927,物料档案!$A$4:$P$1203,2,0),"※编码不在物料档案里"))</f>
        <v/>
      </c>
      <c r="I3927" s="24">
        <f>IF($D3927="","",IFERROR(VLOOKUP($D3927,物料档案!$A$4:$P$1203,6,0),"※编码不在物料档案里"))</f>
        <v/>
      </c>
      <c r="J3927" s="23" t="n"/>
      <c r="K3927" s="17" t="n"/>
      <c r="L3927" s="17" t="n"/>
      <c r="M3927" s="17" t="n"/>
      <c r="N3927" s="17" t="n"/>
      <c r="O3927" s="26">
        <f>IF($D3927="","",IFERROR(VLOOKUP($D3927,物料档案!$A$4:$P$1203,10,0),0))</f>
        <v/>
      </c>
      <c r="P3927" s="32" t="n"/>
      <c r="Q3927" s="26">
        <f>IF($D3927="","",IF($K3927&lt;&gt;"对外销售",0,ROUND(N($J3927)*IF($P3927="",N($O3927),N($P3927)),0)))</f>
        <v/>
      </c>
      <c r="R3927" s="26">
        <f>IF($D3927="","",IFERROR(VLOOKUP($D3927,库存台账!$A$5:$Y$1204,11,0),0))</f>
        <v/>
      </c>
      <c r="S3927" s="26">
        <f>IF($D3927="","",ROUND(N($J3927)*N($R3927),0))</f>
        <v/>
      </c>
      <c r="T3927" s="26">
        <f>IF($D3927="","",IF($K3927&lt;&gt;"对外销售","",ROUND($Q3927-$S3927,0)))</f>
        <v/>
      </c>
      <c r="U3927" s="17" t="n"/>
      <c r="V3927" s="17" t="n"/>
      <c r="W3927" s="24">
        <f>IF($D3927="","",IF($E3927="※编码不在物料档案里","※物料编码不在档案里",IF(N($J3927)&lt;=0,"※出库数量要大于 0",IF($K3927="","※没填去向类型",IF($L3927="","※没填去向矿区",IF(AND($C3927&lt;&gt;"",$C3927&lt;=结账锁),"※日期早于已结账截止日，不能再录",IF(AND($K3927="自用消耗",COUNTIF({"一矿区";"二矿区"},$L3927)=0),"※自用消耗的去向只能是一矿区或二矿区",IF(AND($K3927="对外销售",COUNTIF({"三矿区";"六矿区"},$L3927)=0),"※对外销售的去向只能是三矿区或六矿区",IF(AND($K3927="对外销售",ROUND($Q3927,0)=0),"※外销却没有售价，请填实际售价",IF(AND($K3927="对外销售",$T3927&lt;&gt;"",$T3927&lt;0),"※这一笔外销是亏的，请核对售价",IF(IFERROR(VLOOKUP($D3927,库存台账!$A$5:$Y$1204,24,0),0)&lt;-0.001,"※这个物料账面已经变成负数了，查一下是不是漏记入库","")))))))))))</f>
        <v/>
      </c>
    </row>
    <row r="3928">
      <c r="A3928" s="24">
        <f>IF($D3928="","",COUNTA($D$4:$D3928))</f>
        <v/>
      </c>
      <c r="B3928" s="17" t="n"/>
      <c r="C3928" s="30" t="n"/>
      <c r="D3928" s="17" t="n"/>
      <c r="E3928" s="24">
        <f>IF($D3928="","",IFERROR(VLOOKUP($D3928,物料档案!$A$4:$P$1203,3,0),"※编码不在物料档案里"))</f>
        <v/>
      </c>
      <c r="F3928" s="24">
        <f>IF($D3928="","",IFERROR(VLOOKUP($D3928,物料档案!$A$4:$P$1203,4,0),"※编码不在物料档案里"))</f>
        <v/>
      </c>
      <c r="G3928" s="24">
        <f>IF($D3928="","",IFERROR(VLOOKUP($D3928,物料档案!$A$4:$P$1203,5,0),"※编码不在物料档案里"))</f>
        <v/>
      </c>
      <c r="H3928" s="24">
        <f>IF($D3928="","",IFERROR(VLOOKUP($D3928,物料档案!$A$4:$P$1203,2,0),"※编码不在物料档案里"))</f>
        <v/>
      </c>
      <c r="I3928" s="24">
        <f>IF($D3928="","",IFERROR(VLOOKUP($D3928,物料档案!$A$4:$P$1203,6,0),"※编码不在物料档案里"))</f>
        <v/>
      </c>
      <c r="J3928" s="23" t="n"/>
      <c r="K3928" s="17" t="n"/>
      <c r="L3928" s="17" t="n"/>
      <c r="M3928" s="17" t="n"/>
      <c r="N3928" s="17" t="n"/>
      <c r="O3928" s="26">
        <f>IF($D3928="","",IFERROR(VLOOKUP($D3928,物料档案!$A$4:$P$1203,10,0),0))</f>
        <v/>
      </c>
      <c r="P3928" s="32" t="n"/>
      <c r="Q3928" s="26">
        <f>IF($D3928="","",IF($K3928&lt;&gt;"对外销售",0,ROUND(N($J3928)*IF($P3928="",N($O3928),N($P3928)),0)))</f>
        <v/>
      </c>
      <c r="R3928" s="26">
        <f>IF($D3928="","",IFERROR(VLOOKUP($D3928,库存台账!$A$5:$Y$1204,11,0),0))</f>
        <v/>
      </c>
      <c r="S3928" s="26">
        <f>IF($D3928="","",ROUND(N($J3928)*N($R3928),0))</f>
        <v/>
      </c>
      <c r="T3928" s="26">
        <f>IF($D3928="","",IF($K3928&lt;&gt;"对外销售","",ROUND($Q3928-$S3928,0)))</f>
        <v/>
      </c>
      <c r="U3928" s="17" t="n"/>
      <c r="V3928" s="17" t="n"/>
      <c r="W3928" s="24">
        <f>IF($D3928="","",IF($E3928="※编码不在物料档案里","※物料编码不在档案里",IF(N($J3928)&lt;=0,"※出库数量要大于 0",IF($K3928="","※没填去向类型",IF($L3928="","※没填去向矿区",IF(AND($C3928&lt;&gt;"",$C3928&lt;=结账锁),"※日期早于已结账截止日，不能再录",IF(AND($K3928="自用消耗",COUNTIF({"一矿区";"二矿区"},$L3928)=0),"※自用消耗的去向只能是一矿区或二矿区",IF(AND($K3928="对外销售",COUNTIF({"三矿区";"六矿区"},$L3928)=0),"※对外销售的去向只能是三矿区或六矿区",IF(AND($K3928="对外销售",ROUND($Q3928,0)=0),"※外销却没有售价，请填实际售价",IF(AND($K3928="对外销售",$T3928&lt;&gt;"",$T3928&lt;0),"※这一笔外销是亏的，请核对售价",IF(IFERROR(VLOOKUP($D3928,库存台账!$A$5:$Y$1204,24,0),0)&lt;-0.001,"※这个物料账面已经变成负数了，查一下是不是漏记入库","")))))))))))</f>
        <v/>
      </c>
    </row>
    <row r="3929">
      <c r="A3929" s="24">
        <f>IF($D3929="","",COUNTA($D$4:$D3929))</f>
        <v/>
      </c>
      <c r="B3929" s="17" t="n"/>
      <c r="C3929" s="30" t="n"/>
      <c r="D3929" s="17" t="n"/>
      <c r="E3929" s="24">
        <f>IF($D3929="","",IFERROR(VLOOKUP($D3929,物料档案!$A$4:$P$1203,3,0),"※编码不在物料档案里"))</f>
        <v/>
      </c>
      <c r="F3929" s="24">
        <f>IF($D3929="","",IFERROR(VLOOKUP($D3929,物料档案!$A$4:$P$1203,4,0),"※编码不在物料档案里"))</f>
        <v/>
      </c>
      <c r="G3929" s="24">
        <f>IF($D3929="","",IFERROR(VLOOKUP($D3929,物料档案!$A$4:$P$1203,5,0),"※编码不在物料档案里"))</f>
        <v/>
      </c>
      <c r="H3929" s="24">
        <f>IF($D3929="","",IFERROR(VLOOKUP($D3929,物料档案!$A$4:$P$1203,2,0),"※编码不在物料档案里"))</f>
        <v/>
      </c>
      <c r="I3929" s="24">
        <f>IF($D3929="","",IFERROR(VLOOKUP($D3929,物料档案!$A$4:$P$1203,6,0),"※编码不在物料档案里"))</f>
        <v/>
      </c>
      <c r="J3929" s="23" t="n"/>
      <c r="K3929" s="17" t="n"/>
      <c r="L3929" s="17" t="n"/>
      <c r="M3929" s="17" t="n"/>
      <c r="N3929" s="17" t="n"/>
      <c r="O3929" s="26">
        <f>IF($D3929="","",IFERROR(VLOOKUP($D3929,物料档案!$A$4:$P$1203,10,0),0))</f>
        <v/>
      </c>
      <c r="P3929" s="32" t="n"/>
      <c r="Q3929" s="26">
        <f>IF($D3929="","",IF($K3929&lt;&gt;"对外销售",0,ROUND(N($J3929)*IF($P3929="",N($O3929),N($P3929)),0)))</f>
        <v/>
      </c>
      <c r="R3929" s="26">
        <f>IF($D3929="","",IFERROR(VLOOKUP($D3929,库存台账!$A$5:$Y$1204,11,0),0))</f>
        <v/>
      </c>
      <c r="S3929" s="26">
        <f>IF($D3929="","",ROUND(N($J3929)*N($R3929),0))</f>
        <v/>
      </c>
      <c r="T3929" s="26">
        <f>IF($D3929="","",IF($K3929&lt;&gt;"对外销售","",ROUND($Q3929-$S3929,0)))</f>
        <v/>
      </c>
      <c r="U3929" s="17" t="n"/>
      <c r="V3929" s="17" t="n"/>
      <c r="W3929" s="24">
        <f>IF($D3929="","",IF($E3929="※编码不在物料档案里","※物料编码不在档案里",IF(N($J3929)&lt;=0,"※出库数量要大于 0",IF($K3929="","※没填去向类型",IF($L3929="","※没填去向矿区",IF(AND($C3929&lt;&gt;"",$C3929&lt;=结账锁),"※日期早于已结账截止日，不能再录",IF(AND($K3929="自用消耗",COUNTIF({"一矿区";"二矿区"},$L3929)=0),"※自用消耗的去向只能是一矿区或二矿区",IF(AND($K3929="对外销售",COUNTIF({"三矿区";"六矿区"},$L3929)=0),"※对外销售的去向只能是三矿区或六矿区",IF(AND($K3929="对外销售",ROUND($Q3929,0)=0),"※外销却没有售价，请填实际售价",IF(AND($K3929="对外销售",$T3929&lt;&gt;"",$T3929&lt;0),"※这一笔外销是亏的，请核对售价",IF(IFERROR(VLOOKUP($D3929,库存台账!$A$5:$Y$1204,24,0),0)&lt;-0.001,"※这个物料账面已经变成负数了，查一下是不是漏记入库","")))))))))))</f>
        <v/>
      </c>
    </row>
    <row r="3930">
      <c r="A3930" s="24">
        <f>IF($D3930="","",COUNTA($D$4:$D3930))</f>
        <v/>
      </c>
      <c r="B3930" s="17" t="n"/>
      <c r="C3930" s="30" t="n"/>
      <c r="D3930" s="17" t="n"/>
      <c r="E3930" s="24">
        <f>IF($D3930="","",IFERROR(VLOOKUP($D3930,物料档案!$A$4:$P$1203,3,0),"※编码不在物料档案里"))</f>
        <v/>
      </c>
      <c r="F3930" s="24">
        <f>IF($D3930="","",IFERROR(VLOOKUP($D3930,物料档案!$A$4:$P$1203,4,0),"※编码不在物料档案里"))</f>
        <v/>
      </c>
      <c r="G3930" s="24">
        <f>IF($D3930="","",IFERROR(VLOOKUP($D3930,物料档案!$A$4:$P$1203,5,0),"※编码不在物料档案里"))</f>
        <v/>
      </c>
      <c r="H3930" s="24">
        <f>IF($D3930="","",IFERROR(VLOOKUP($D3930,物料档案!$A$4:$P$1203,2,0),"※编码不在物料档案里"))</f>
        <v/>
      </c>
      <c r="I3930" s="24">
        <f>IF($D3930="","",IFERROR(VLOOKUP($D3930,物料档案!$A$4:$P$1203,6,0),"※编码不在物料档案里"))</f>
        <v/>
      </c>
      <c r="J3930" s="23" t="n"/>
      <c r="K3930" s="17" t="n"/>
      <c r="L3930" s="17" t="n"/>
      <c r="M3930" s="17" t="n"/>
      <c r="N3930" s="17" t="n"/>
      <c r="O3930" s="26">
        <f>IF($D3930="","",IFERROR(VLOOKUP($D3930,物料档案!$A$4:$P$1203,10,0),0))</f>
        <v/>
      </c>
      <c r="P3930" s="32" t="n"/>
      <c r="Q3930" s="26">
        <f>IF($D3930="","",IF($K3930&lt;&gt;"对外销售",0,ROUND(N($J3930)*IF($P3930="",N($O3930),N($P3930)),0)))</f>
        <v/>
      </c>
      <c r="R3930" s="26">
        <f>IF($D3930="","",IFERROR(VLOOKUP($D3930,库存台账!$A$5:$Y$1204,11,0),0))</f>
        <v/>
      </c>
      <c r="S3930" s="26">
        <f>IF($D3930="","",ROUND(N($J3930)*N($R3930),0))</f>
        <v/>
      </c>
      <c r="T3930" s="26">
        <f>IF($D3930="","",IF($K3930&lt;&gt;"对外销售","",ROUND($Q3930-$S3930,0)))</f>
        <v/>
      </c>
      <c r="U3930" s="17" t="n"/>
      <c r="V3930" s="17" t="n"/>
      <c r="W3930" s="24">
        <f>IF($D3930="","",IF($E3930="※编码不在物料档案里","※物料编码不在档案里",IF(N($J3930)&lt;=0,"※出库数量要大于 0",IF($K3930="","※没填去向类型",IF($L3930="","※没填去向矿区",IF(AND($C3930&lt;&gt;"",$C3930&lt;=结账锁),"※日期早于已结账截止日，不能再录",IF(AND($K3930="自用消耗",COUNTIF({"一矿区";"二矿区"},$L3930)=0),"※自用消耗的去向只能是一矿区或二矿区",IF(AND($K3930="对外销售",COUNTIF({"三矿区";"六矿区"},$L3930)=0),"※对外销售的去向只能是三矿区或六矿区",IF(AND($K3930="对外销售",ROUND($Q3930,0)=0),"※外销却没有售价，请填实际售价",IF(AND($K3930="对外销售",$T3930&lt;&gt;"",$T3930&lt;0),"※这一笔外销是亏的，请核对售价",IF(IFERROR(VLOOKUP($D3930,库存台账!$A$5:$Y$1204,24,0),0)&lt;-0.001,"※这个物料账面已经变成负数了，查一下是不是漏记入库","")))))))))))</f>
        <v/>
      </c>
    </row>
    <row r="3931">
      <c r="A3931" s="24">
        <f>IF($D3931="","",COUNTA($D$4:$D3931))</f>
        <v/>
      </c>
      <c r="B3931" s="17" t="n"/>
      <c r="C3931" s="30" t="n"/>
      <c r="D3931" s="17" t="n"/>
      <c r="E3931" s="24">
        <f>IF($D3931="","",IFERROR(VLOOKUP($D3931,物料档案!$A$4:$P$1203,3,0),"※编码不在物料档案里"))</f>
        <v/>
      </c>
      <c r="F3931" s="24">
        <f>IF($D3931="","",IFERROR(VLOOKUP($D3931,物料档案!$A$4:$P$1203,4,0),"※编码不在物料档案里"))</f>
        <v/>
      </c>
      <c r="G3931" s="24">
        <f>IF($D3931="","",IFERROR(VLOOKUP($D3931,物料档案!$A$4:$P$1203,5,0),"※编码不在物料档案里"))</f>
        <v/>
      </c>
      <c r="H3931" s="24">
        <f>IF($D3931="","",IFERROR(VLOOKUP($D3931,物料档案!$A$4:$P$1203,2,0),"※编码不在物料档案里"))</f>
        <v/>
      </c>
      <c r="I3931" s="24">
        <f>IF($D3931="","",IFERROR(VLOOKUP($D3931,物料档案!$A$4:$P$1203,6,0),"※编码不在物料档案里"))</f>
        <v/>
      </c>
      <c r="J3931" s="23" t="n"/>
      <c r="K3931" s="17" t="n"/>
      <c r="L3931" s="17" t="n"/>
      <c r="M3931" s="17" t="n"/>
      <c r="N3931" s="17" t="n"/>
      <c r="O3931" s="26">
        <f>IF($D3931="","",IFERROR(VLOOKUP($D3931,物料档案!$A$4:$P$1203,10,0),0))</f>
        <v/>
      </c>
      <c r="P3931" s="32" t="n"/>
      <c r="Q3931" s="26">
        <f>IF($D3931="","",IF($K3931&lt;&gt;"对外销售",0,ROUND(N($J3931)*IF($P3931="",N($O3931),N($P3931)),0)))</f>
        <v/>
      </c>
      <c r="R3931" s="26">
        <f>IF($D3931="","",IFERROR(VLOOKUP($D3931,库存台账!$A$5:$Y$1204,11,0),0))</f>
        <v/>
      </c>
      <c r="S3931" s="26">
        <f>IF($D3931="","",ROUND(N($J3931)*N($R3931),0))</f>
        <v/>
      </c>
      <c r="T3931" s="26">
        <f>IF($D3931="","",IF($K3931&lt;&gt;"对外销售","",ROUND($Q3931-$S3931,0)))</f>
        <v/>
      </c>
      <c r="U3931" s="17" t="n"/>
      <c r="V3931" s="17" t="n"/>
      <c r="W3931" s="24">
        <f>IF($D3931="","",IF($E3931="※编码不在物料档案里","※物料编码不在档案里",IF(N($J3931)&lt;=0,"※出库数量要大于 0",IF($K3931="","※没填去向类型",IF($L3931="","※没填去向矿区",IF(AND($C3931&lt;&gt;"",$C3931&lt;=结账锁),"※日期早于已结账截止日，不能再录",IF(AND($K3931="自用消耗",COUNTIF({"一矿区";"二矿区"},$L3931)=0),"※自用消耗的去向只能是一矿区或二矿区",IF(AND($K3931="对外销售",COUNTIF({"三矿区";"六矿区"},$L3931)=0),"※对外销售的去向只能是三矿区或六矿区",IF(AND($K3931="对外销售",ROUND($Q3931,0)=0),"※外销却没有售价，请填实际售价",IF(AND($K3931="对外销售",$T3931&lt;&gt;"",$T3931&lt;0),"※这一笔外销是亏的，请核对售价",IF(IFERROR(VLOOKUP($D3931,库存台账!$A$5:$Y$1204,24,0),0)&lt;-0.001,"※这个物料账面已经变成负数了，查一下是不是漏记入库","")))))))))))</f>
        <v/>
      </c>
    </row>
    <row r="3932">
      <c r="A3932" s="24">
        <f>IF($D3932="","",COUNTA($D$4:$D3932))</f>
        <v/>
      </c>
      <c r="B3932" s="17" t="n"/>
      <c r="C3932" s="30" t="n"/>
      <c r="D3932" s="17" t="n"/>
      <c r="E3932" s="24">
        <f>IF($D3932="","",IFERROR(VLOOKUP($D3932,物料档案!$A$4:$P$1203,3,0),"※编码不在物料档案里"))</f>
        <v/>
      </c>
      <c r="F3932" s="24">
        <f>IF($D3932="","",IFERROR(VLOOKUP($D3932,物料档案!$A$4:$P$1203,4,0),"※编码不在物料档案里"))</f>
        <v/>
      </c>
      <c r="G3932" s="24">
        <f>IF($D3932="","",IFERROR(VLOOKUP($D3932,物料档案!$A$4:$P$1203,5,0),"※编码不在物料档案里"))</f>
        <v/>
      </c>
      <c r="H3932" s="24">
        <f>IF($D3932="","",IFERROR(VLOOKUP($D3932,物料档案!$A$4:$P$1203,2,0),"※编码不在物料档案里"))</f>
        <v/>
      </c>
      <c r="I3932" s="24">
        <f>IF($D3932="","",IFERROR(VLOOKUP($D3932,物料档案!$A$4:$P$1203,6,0),"※编码不在物料档案里"))</f>
        <v/>
      </c>
      <c r="J3932" s="23" t="n"/>
      <c r="K3932" s="17" t="n"/>
      <c r="L3932" s="17" t="n"/>
      <c r="M3932" s="17" t="n"/>
      <c r="N3932" s="17" t="n"/>
      <c r="O3932" s="26">
        <f>IF($D3932="","",IFERROR(VLOOKUP($D3932,物料档案!$A$4:$P$1203,10,0),0))</f>
        <v/>
      </c>
      <c r="P3932" s="32" t="n"/>
      <c r="Q3932" s="26">
        <f>IF($D3932="","",IF($K3932&lt;&gt;"对外销售",0,ROUND(N($J3932)*IF($P3932="",N($O3932),N($P3932)),0)))</f>
        <v/>
      </c>
      <c r="R3932" s="26">
        <f>IF($D3932="","",IFERROR(VLOOKUP($D3932,库存台账!$A$5:$Y$1204,11,0),0))</f>
        <v/>
      </c>
      <c r="S3932" s="26">
        <f>IF($D3932="","",ROUND(N($J3932)*N($R3932),0))</f>
        <v/>
      </c>
      <c r="T3932" s="26">
        <f>IF($D3932="","",IF($K3932&lt;&gt;"对外销售","",ROUND($Q3932-$S3932,0)))</f>
        <v/>
      </c>
      <c r="U3932" s="17" t="n"/>
      <c r="V3932" s="17" t="n"/>
      <c r="W3932" s="24">
        <f>IF($D3932="","",IF($E3932="※编码不在物料档案里","※物料编码不在档案里",IF(N($J3932)&lt;=0,"※出库数量要大于 0",IF($K3932="","※没填去向类型",IF($L3932="","※没填去向矿区",IF(AND($C3932&lt;&gt;"",$C3932&lt;=结账锁),"※日期早于已结账截止日，不能再录",IF(AND($K3932="自用消耗",COUNTIF({"一矿区";"二矿区"},$L3932)=0),"※自用消耗的去向只能是一矿区或二矿区",IF(AND($K3932="对外销售",COUNTIF({"三矿区";"六矿区"},$L3932)=0),"※对外销售的去向只能是三矿区或六矿区",IF(AND($K3932="对外销售",ROUND($Q3932,0)=0),"※外销却没有售价，请填实际售价",IF(AND($K3932="对外销售",$T3932&lt;&gt;"",$T3932&lt;0),"※这一笔外销是亏的，请核对售价",IF(IFERROR(VLOOKUP($D3932,库存台账!$A$5:$Y$1204,24,0),0)&lt;-0.001,"※这个物料账面已经变成负数了，查一下是不是漏记入库","")))))))))))</f>
        <v/>
      </c>
    </row>
    <row r="3933">
      <c r="A3933" s="24">
        <f>IF($D3933="","",COUNTA($D$4:$D3933))</f>
        <v/>
      </c>
      <c r="B3933" s="17" t="n"/>
      <c r="C3933" s="30" t="n"/>
      <c r="D3933" s="17" t="n"/>
      <c r="E3933" s="24">
        <f>IF($D3933="","",IFERROR(VLOOKUP($D3933,物料档案!$A$4:$P$1203,3,0),"※编码不在物料档案里"))</f>
        <v/>
      </c>
      <c r="F3933" s="24">
        <f>IF($D3933="","",IFERROR(VLOOKUP($D3933,物料档案!$A$4:$P$1203,4,0),"※编码不在物料档案里"))</f>
        <v/>
      </c>
      <c r="G3933" s="24">
        <f>IF($D3933="","",IFERROR(VLOOKUP($D3933,物料档案!$A$4:$P$1203,5,0),"※编码不在物料档案里"))</f>
        <v/>
      </c>
      <c r="H3933" s="24">
        <f>IF($D3933="","",IFERROR(VLOOKUP($D3933,物料档案!$A$4:$P$1203,2,0),"※编码不在物料档案里"))</f>
        <v/>
      </c>
      <c r="I3933" s="24">
        <f>IF($D3933="","",IFERROR(VLOOKUP($D3933,物料档案!$A$4:$P$1203,6,0),"※编码不在物料档案里"))</f>
        <v/>
      </c>
      <c r="J3933" s="23" t="n"/>
      <c r="K3933" s="17" t="n"/>
      <c r="L3933" s="17" t="n"/>
      <c r="M3933" s="17" t="n"/>
      <c r="N3933" s="17" t="n"/>
      <c r="O3933" s="26">
        <f>IF($D3933="","",IFERROR(VLOOKUP($D3933,物料档案!$A$4:$P$1203,10,0),0))</f>
        <v/>
      </c>
      <c r="P3933" s="32" t="n"/>
      <c r="Q3933" s="26">
        <f>IF($D3933="","",IF($K3933&lt;&gt;"对外销售",0,ROUND(N($J3933)*IF($P3933="",N($O3933),N($P3933)),0)))</f>
        <v/>
      </c>
      <c r="R3933" s="26">
        <f>IF($D3933="","",IFERROR(VLOOKUP($D3933,库存台账!$A$5:$Y$1204,11,0),0))</f>
        <v/>
      </c>
      <c r="S3933" s="26">
        <f>IF($D3933="","",ROUND(N($J3933)*N($R3933),0))</f>
        <v/>
      </c>
      <c r="T3933" s="26">
        <f>IF($D3933="","",IF($K3933&lt;&gt;"对外销售","",ROUND($Q3933-$S3933,0)))</f>
        <v/>
      </c>
      <c r="U3933" s="17" t="n"/>
      <c r="V3933" s="17" t="n"/>
      <c r="W3933" s="24">
        <f>IF($D3933="","",IF($E3933="※编码不在物料档案里","※物料编码不在档案里",IF(N($J3933)&lt;=0,"※出库数量要大于 0",IF($K3933="","※没填去向类型",IF($L3933="","※没填去向矿区",IF(AND($C3933&lt;&gt;"",$C3933&lt;=结账锁),"※日期早于已结账截止日，不能再录",IF(AND($K3933="自用消耗",COUNTIF({"一矿区";"二矿区"},$L3933)=0),"※自用消耗的去向只能是一矿区或二矿区",IF(AND($K3933="对外销售",COUNTIF({"三矿区";"六矿区"},$L3933)=0),"※对外销售的去向只能是三矿区或六矿区",IF(AND($K3933="对外销售",ROUND($Q3933,0)=0),"※外销却没有售价，请填实际售价",IF(AND($K3933="对外销售",$T3933&lt;&gt;"",$T3933&lt;0),"※这一笔外销是亏的，请核对售价",IF(IFERROR(VLOOKUP($D3933,库存台账!$A$5:$Y$1204,24,0),0)&lt;-0.001,"※这个物料账面已经变成负数了，查一下是不是漏记入库","")))))))))))</f>
        <v/>
      </c>
    </row>
    <row r="3934">
      <c r="A3934" s="24">
        <f>IF($D3934="","",COUNTA($D$4:$D3934))</f>
        <v/>
      </c>
      <c r="B3934" s="17" t="n"/>
      <c r="C3934" s="30" t="n"/>
      <c r="D3934" s="17" t="n"/>
      <c r="E3934" s="24">
        <f>IF($D3934="","",IFERROR(VLOOKUP($D3934,物料档案!$A$4:$P$1203,3,0),"※编码不在物料档案里"))</f>
        <v/>
      </c>
      <c r="F3934" s="24">
        <f>IF($D3934="","",IFERROR(VLOOKUP($D3934,物料档案!$A$4:$P$1203,4,0),"※编码不在物料档案里"))</f>
        <v/>
      </c>
      <c r="G3934" s="24">
        <f>IF($D3934="","",IFERROR(VLOOKUP($D3934,物料档案!$A$4:$P$1203,5,0),"※编码不在物料档案里"))</f>
        <v/>
      </c>
      <c r="H3934" s="24">
        <f>IF($D3934="","",IFERROR(VLOOKUP($D3934,物料档案!$A$4:$P$1203,2,0),"※编码不在物料档案里"))</f>
        <v/>
      </c>
      <c r="I3934" s="24">
        <f>IF($D3934="","",IFERROR(VLOOKUP($D3934,物料档案!$A$4:$P$1203,6,0),"※编码不在物料档案里"))</f>
        <v/>
      </c>
      <c r="J3934" s="23" t="n"/>
      <c r="K3934" s="17" t="n"/>
      <c r="L3934" s="17" t="n"/>
      <c r="M3934" s="17" t="n"/>
      <c r="N3934" s="17" t="n"/>
      <c r="O3934" s="26">
        <f>IF($D3934="","",IFERROR(VLOOKUP($D3934,物料档案!$A$4:$P$1203,10,0),0))</f>
        <v/>
      </c>
      <c r="P3934" s="32" t="n"/>
      <c r="Q3934" s="26">
        <f>IF($D3934="","",IF($K3934&lt;&gt;"对外销售",0,ROUND(N($J3934)*IF($P3934="",N($O3934),N($P3934)),0)))</f>
        <v/>
      </c>
      <c r="R3934" s="26">
        <f>IF($D3934="","",IFERROR(VLOOKUP($D3934,库存台账!$A$5:$Y$1204,11,0),0))</f>
        <v/>
      </c>
      <c r="S3934" s="26">
        <f>IF($D3934="","",ROUND(N($J3934)*N($R3934),0))</f>
        <v/>
      </c>
      <c r="T3934" s="26">
        <f>IF($D3934="","",IF($K3934&lt;&gt;"对外销售","",ROUND($Q3934-$S3934,0)))</f>
        <v/>
      </c>
      <c r="U3934" s="17" t="n"/>
      <c r="V3934" s="17" t="n"/>
      <c r="W3934" s="24">
        <f>IF($D3934="","",IF($E3934="※编码不在物料档案里","※物料编码不在档案里",IF(N($J3934)&lt;=0,"※出库数量要大于 0",IF($K3934="","※没填去向类型",IF($L3934="","※没填去向矿区",IF(AND($C3934&lt;&gt;"",$C3934&lt;=结账锁),"※日期早于已结账截止日，不能再录",IF(AND($K3934="自用消耗",COUNTIF({"一矿区";"二矿区"},$L3934)=0),"※自用消耗的去向只能是一矿区或二矿区",IF(AND($K3934="对外销售",COUNTIF({"三矿区";"六矿区"},$L3934)=0),"※对外销售的去向只能是三矿区或六矿区",IF(AND($K3934="对外销售",ROUND($Q3934,0)=0),"※外销却没有售价，请填实际售价",IF(AND($K3934="对外销售",$T3934&lt;&gt;"",$T3934&lt;0),"※这一笔外销是亏的，请核对售价",IF(IFERROR(VLOOKUP($D3934,库存台账!$A$5:$Y$1204,24,0),0)&lt;-0.001,"※这个物料账面已经变成负数了，查一下是不是漏记入库","")))))))))))</f>
        <v/>
      </c>
    </row>
    <row r="3935">
      <c r="A3935" s="24">
        <f>IF($D3935="","",COUNTA($D$4:$D3935))</f>
        <v/>
      </c>
      <c r="B3935" s="17" t="n"/>
      <c r="C3935" s="30" t="n"/>
      <c r="D3935" s="17" t="n"/>
      <c r="E3935" s="24">
        <f>IF($D3935="","",IFERROR(VLOOKUP($D3935,物料档案!$A$4:$P$1203,3,0),"※编码不在物料档案里"))</f>
        <v/>
      </c>
      <c r="F3935" s="24">
        <f>IF($D3935="","",IFERROR(VLOOKUP($D3935,物料档案!$A$4:$P$1203,4,0),"※编码不在物料档案里"))</f>
        <v/>
      </c>
      <c r="G3935" s="24">
        <f>IF($D3935="","",IFERROR(VLOOKUP($D3935,物料档案!$A$4:$P$1203,5,0),"※编码不在物料档案里"))</f>
        <v/>
      </c>
      <c r="H3935" s="24">
        <f>IF($D3935="","",IFERROR(VLOOKUP($D3935,物料档案!$A$4:$P$1203,2,0),"※编码不在物料档案里"))</f>
        <v/>
      </c>
      <c r="I3935" s="24">
        <f>IF($D3935="","",IFERROR(VLOOKUP($D3935,物料档案!$A$4:$P$1203,6,0),"※编码不在物料档案里"))</f>
        <v/>
      </c>
      <c r="J3935" s="23" t="n"/>
      <c r="K3935" s="17" t="n"/>
      <c r="L3935" s="17" t="n"/>
      <c r="M3935" s="17" t="n"/>
      <c r="N3935" s="17" t="n"/>
      <c r="O3935" s="26">
        <f>IF($D3935="","",IFERROR(VLOOKUP($D3935,物料档案!$A$4:$P$1203,10,0),0))</f>
        <v/>
      </c>
      <c r="P3935" s="32" t="n"/>
      <c r="Q3935" s="26">
        <f>IF($D3935="","",IF($K3935&lt;&gt;"对外销售",0,ROUND(N($J3935)*IF($P3935="",N($O3935),N($P3935)),0)))</f>
        <v/>
      </c>
      <c r="R3935" s="26">
        <f>IF($D3935="","",IFERROR(VLOOKUP($D3935,库存台账!$A$5:$Y$1204,11,0),0))</f>
        <v/>
      </c>
      <c r="S3935" s="26">
        <f>IF($D3935="","",ROUND(N($J3935)*N($R3935),0))</f>
        <v/>
      </c>
      <c r="T3935" s="26">
        <f>IF($D3935="","",IF($K3935&lt;&gt;"对外销售","",ROUND($Q3935-$S3935,0)))</f>
        <v/>
      </c>
      <c r="U3935" s="17" t="n"/>
      <c r="V3935" s="17" t="n"/>
      <c r="W3935" s="24">
        <f>IF($D3935="","",IF($E3935="※编码不在物料档案里","※物料编码不在档案里",IF(N($J3935)&lt;=0,"※出库数量要大于 0",IF($K3935="","※没填去向类型",IF($L3935="","※没填去向矿区",IF(AND($C3935&lt;&gt;"",$C3935&lt;=结账锁),"※日期早于已结账截止日，不能再录",IF(AND($K3935="自用消耗",COUNTIF({"一矿区";"二矿区"},$L3935)=0),"※自用消耗的去向只能是一矿区或二矿区",IF(AND($K3935="对外销售",COUNTIF({"三矿区";"六矿区"},$L3935)=0),"※对外销售的去向只能是三矿区或六矿区",IF(AND($K3935="对外销售",ROUND($Q3935,0)=0),"※外销却没有售价，请填实际售价",IF(AND($K3935="对外销售",$T3935&lt;&gt;"",$T3935&lt;0),"※这一笔外销是亏的，请核对售价",IF(IFERROR(VLOOKUP($D3935,库存台账!$A$5:$Y$1204,24,0),0)&lt;-0.001,"※这个物料账面已经变成负数了，查一下是不是漏记入库","")))))))))))</f>
        <v/>
      </c>
    </row>
    <row r="3936">
      <c r="A3936" s="24">
        <f>IF($D3936="","",COUNTA($D$4:$D3936))</f>
        <v/>
      </c>
      <c r="B3936" s="17" t="n"/>
      <c r="C3936" s="30" t="n"/>
      <c r="D3936" s="17" t="n"/>
      <c r="E3936" s="24">
        <f>IF($D3936="","",IFERROR(VLOOKUP($D3936,物料档案!$A$4:$P$1203,3,0),"※编码不在物料档案里"))</f>
        <v/>
      </c>
      <c r="F3936" s="24">
        <f>IF($D3936="","",IFERROR(VLOOKUP($D3936,物料档案!$A$4:$P$1203,4,0),"※编码不在物料档案里"))</f>
        <v/>
      </c>
      <c r="G3936" s="24">
        <f>IF($D3936="","",IFERROR(VLOOKUP($D3936,物料档案!$A$4:$P$1203,5,0),"※编码不在物料档案里"))</f>
        <v/>
      </c>
      <c r="H3936" s="24">
        <f>IF($D3936="","",IFERROR(VLOOKUP($D3936,物料档案!$A$4:$P$1203,2,0),"※编码不在物料档案里"))</f>
        <v/>
      </c>
      <c r="I3936" s="24">
        <f>IF($D3936="","",IFERROR(VLOOKUP($D3936,物料档案!$A$4:$P$1203,6,0),"※编码不在物料档案里"))</f>
        <v/>
      </c>
      <c r="J3936" s="23" t="n"/>
      <c r="K3936" s="17" t="n"/>
      <c r="L3936" s="17" t="n"/>
      <c r="M3936" s="17" t="n"/>
      <c r="N3936" s="17" t="n"/>
      <c r="O3936" s="26">
        <f>IF($D3936="","",IFERROR(VLOOKUP($D3936,物料档案!$A$4:$P$1203,10,0),0))</f>
        <v/>
      </c>
      <c r="P3936" s="32" t="n"/>
      <c r="Q3936" s="26">
        <f>IF($D3936="","",IF($K3936&lt;&gt;"对外销售",0,ROUND(N($J3936)*IF($P3936="",N($O3936),N($P3936)),0)))</f>
        <v/>
      </c>
      <c r="R3936" s="26">
        <f>IF($D3936="","",IFERROR(VLOOKUP($D3936,库存台账!$A$5:$Y$1204,11,0),0))</f>
        <v/>
      </c>
      <c r="S3936" s="26">
        <f>IF($D3936="","",ROUND(N($J3936)*N($R3936),0))</f>
        <v/>
      </c>
      <c r="T3936" s="26">
        <f>IF($D3936="","",IF($K3936&lt;&gt;"对外销售","",ROUND($Q3936-$S3936,0)))</f>
        <v/>
      </c>
      <c r="U3936" s="17" t="n"/>
      <c r="V3936" s="17" t="n"/>
      <c r="W3936" s="24">
        <f>IF($D3936="","",IF($E3936="※编码不在物料档案里","※物料编码不在档案里",IF(N($J3936)&lt;=0,"※出库数量要大于 0",IF($K3936="","※没填去向类型",IF($L3936="","※没填去向矿区",IF(AND($C3936&lt;&gt;"",$C3936&lt;=结账锁),"※日期早于已结账截止日，不能再录",IF(AND($K3936="自用消耗",COUNTIF({"一矿区";"二矿区"},$L3936)=0),"※自用消耗的去向只能是一矿区或二矿区",IF(AND($K3936="对外销售",COUNTIF({"三矿区";"六矿区"},$L3936)=0),"※对外销售的去向只能是三矿区或六矿区",IF(AND($K3936="对外销售",ROUND($Q3936,0)=0),"※外销却没有售价，请填实际售价",IF(AND($K3936="对外销售",$T3936&lt;&gt;"",$T3936&lt;0),"※这一笔外销是亏的，请核对售价",IF(IFERROR(VLOOKUP($D3936,库存台账!$A$5:$Y$1204,24,0),0)&lt;-0.001,"※这个物料账面已经变成负数了，查一下是不是漏记入库","")))))))))))</f>
        <v/>
      </c>
    </row>
    <row r="3937">
      <c r="A3937" s="24">
        <f>IF($D3937="","",COUNTA($D$4:$D3937))</f>
        <v/>
      </c>
      <c r="B3937" s="17" t="n"/>
      <c r="C3937" s="30" t="n"/>
      <c r="D3937" s="17" t="n"/>
      <c r="E3937" s="24">
        <f>IF($D3937="","",IFERROR(VLOOKUP($D3937,物料档案!$A$4:$P$1203,3,0),"※编码不在物料档案里"))</f>
        <v/>
      </c>
      <c r="F3937" s="24">
        <f>IF($D3937="","",IFERROR(VLOOKUP($D3937,物料档案!$A$4:$P$1203,4,0),"※编码不在物料档案里"))</f>
        <v/>
      </c>
      <c r="G3937" s="24">
        <f>IF($D3937="","",IFERROR(VLOOKUP($D3937,物料档案!$A$4:$P$1203,5,0),"※编码不在物料档案里"))</f>
        <v/>
      </c>
      <c r="H3937" s="24">
        <f>IF($D3937="","",IFERROR(VLOOKUP($D3937,物料档案!$A$4:$P$1203,2,0),"※编码不在物料档案里"))</f>
        <v/>
      </c>
      <c r="I3937" s="24">
        <f>IF($D3937="","",IFERROR(VLOOKUP($D3937,物料档案!$A$4:$P$1203,6,0),"※编码不在物料档案里"))</f>
        <v/>
      </c>
      <c r="J3937" s="23" t="n"/>
      <c r="K3937" s="17" t="n"/>
      <c r="L3937" s="17" t="n"/>
      <c r="M3937" s="17" t="n"/>
      <c r="N3937" s="17" t="n"/>
      <c r="O3937" s="26">
        <f>IF($D3937="","",IFERROR(VLOOKUP($D3937,物料档案!$A$4:$P$1203,10,0),0))</f>
        <v/>
      </c>
      <c r="P3937" s="32" t="n"/>
      <c r="Q3937" s="26">
        <f>IF($D3937="","",IF($K3937&lt;&gt;"对外销售",0,ROUND(N($J3937)*IF($P3937="",N($O3937),N($P3937)),0)))</f>
        <v/>
      </c>
      <c r="R3937" s="26">
        <f>IF($D3937="","",IFERROR(VLOOKUP($D3937,库存台账!$A$5:$Y$1204,11,0),0))</f>
        <v/>
      </c>
      <c r="S3937" s="26">
        <f>IF($D3937="","",ROUND(N($J3937)*N($R3937),0))</f>
        <v/>
      </c>
      <c r="T3937" s="26">
        <f>IF($D3937="","",IF($K3937&lt;&gt;"对外销售","",ROUND($Q3937-$S3937,0)))</f>
        <v/>
      </c>
      <c r="U3937" s="17" t="n"/>
      <c r="V3937" s="17" t="n"/>
      <c r="W3937" s="24">
        <f>IF($D3937="","",IF($E3937="※编码不在物料档案里","※物料编码不在档案里",IF(N($J3937)&lt;=0,"※出库数量要大于 0",IF($K3937="","※没填去向类型",IF($L3937="","※没填去向矿区",IF(AND($C3937&lt;&gt;"",$C3937&lt;=结账锁),"※日期早于已结账截止日，不能再录",IF(AND($K3937="自用消耗",COUNTIF({"一矿区";"二矿区"},$L3937)=0),"※自用消耗的去向只能是一矿区或二矿区",IF(AND($K3937="对外销售",COUNTIF({"三矿区";"六矿区"},$L3937)=0),"※对外销售的去向只能是三矿区或六矿区",IF(AND($K3937="对外销售",ROUND($Q3937,0)=0),"※外销却没有售价，请填实际售价",IF(AND($K3937="对外销售",$T3937&lt;&gt;"",$T3937&lt;0),"※这一笔外销是亏的，请核对售价",IF(IFERROR(VLOOKUP($D3937,库存台账!$A$5:$Y$1204,24,0),0)&lt;-0.001,"※这个物料账面已经变成负数了，查一下是不是漏记入库","")))))))))))</f>
        <v/>
      </c>
    </row>
    <row r="3938">
      <c r="A3938" s="24">
        <f>IF($D3938="","",COUNTA($D$4:$D3938))</f>
        <v/>
      </c>
      <c r="B3938" s="17" t="n"/>
      <c r="C3938" s="30" t="n"/>
      <c r="D3938" s="17" t="n"/>
      <c r="E3938" s="24">
        <f>IF($D3938="","",IFERROR(VLOOKUP($D3938,物料档案!$A$4:$P$1203,3,0),"※编码不在物料档案里"))</f>
        <v/>
      </c>
      <c r="F3938" s="24">
        <f>IF($D3938="","",IFERROR(VLOOKUP($D3938,物料档案!$A$4:$P$1203,4,0),"※编码不在物料档案里"))</f>
        <v/>
      </c>
      <c r="G3938" s="24">
        <f>IF($D3938="","",IFERROR(VLOOKUP($D3938,物料档案!$A$4:$P$1203,5,0),"※编码不在物料档案里"))</f>
        <v/>
      </c>
      <c r="H3938" s="24">
        <f>IF($D3938="","",IFERROR(VLOOKUP($D3938,物料档案!$A$4:$P$1203,2,0),"※编码不在物料档案里"))</f>
        <v/>
      </c>
      <c r="I3938" s="24">
        <f>IF($D3938="","",IFERROR(VLOOKUP($D3938,物料档案!$A$4:$P$1203,6,0),"※编码不在物料档案里"))</f>
        <v/>
      </c>
      <c r="J3938" s="23" t="n"/>
      <c r="K3938" s="17" t="n"/>
      <c r="L3938" s="17" t="n"/>
      <c r="M3938" s="17" t="n"/>
      <c r="N3938" s="17" t="n"/>
      <c r="O3938" s="26">
        <f>IF($D3938="","",IFERROR(VLOOKUP($D3938,物料档案!$A$4:$P$1203,10,0),0))</f>
        <v/>
      </c>
      <c r="P3938" s="32" t="n"/>
      <c r="Q3938" s="26">
        <f>IF($D3938="","",IF($K3938&lt;&gt;"对外销售",0,ROUND(N($J3938)*IF($P3938="",N($O3938),N($P3938)),0)))</f>
        <v/>
      </c>
      <c r="R3938" s="26">
        <f>IF($D3938="","",IFERROR(VLOOKUP($D3938,库存台账!$A$5:$Y$1204,11,0),0))</f>
        <v/>
      </c>
      <c r="S3938" s="26">
        <f>IF($D3938="","",ROUND(N($J3938)*N($R3938),0))</f>
        <v/>
      </c>
      <c r="T3938" s="26">
        <f>IF($D3938="","",IF($K3938&lt;&gt;"对外销售","",ROUND($Q3938-$S3938,0)))</f>
        <v/>
      </c>
      <c r="U3938" s="17" t="n"/>
      <c r="V3938" s="17" t="n"/>
      <c r="W3938" s="24">
        <f>IF($D3938="","",IF($E3938="※编码不在物料档案里","※物料编码不在档案里",IF(N($J3938)&lt;=0,"※出库数量要大于 0",IF($K3938="","※没填去向类型",IF($L3938="","※没填去向矿区",IF(AND($C3938&lt;&gt;"",$C3938&lt;=结账锁),"※日期早于已结账截止日，不能再录",IF(AND($K3938="自用消耗",COUNTIF({"一矿区";"二矿区"},$L3938)=0),"※自用消耗的去向只能是一矿区或二矿区",IF(AND($K3938="对外销售",COUNTIF({"三矿区";"六矿区"},$L3938)=0),"※对外销售的去向只能是三矿区或六矿区",IF(AND($K3938="对外销售",ROUND($Q3938,0)=0),"※外销却没有售价，请填实际售价",IF(AND($K3938="对外销售",$T3938&lt;&gt;"",$T3938&lt;0),"※这一笔外销是亏的，请核对售价",IF(IFERROR(VLOOKUP($D3938,库存台账!$A$5:$Y$1204,24,0),0)&lt;-0.001,"※这个物料账面已经变成负数了，查一下是不是漏记入库","")))))))))))</f>
        <v/>
      </c>
    </row>
    <row r="3939">
      <c r="A3939" s="24">
        <f>IF($D3939="","",COUNTA($D$4:$D3939))</f>
        <v/>
      </c>
      <c r="B3939" s="17" t="n"/>
      <c r="C3939" s="30" t="n"/>
      <c r="D3939" s="17" t="n"/>
      <c r="E3939" s="24">
        <f>IF($D3939="","",IFERROR(VLOOKUP($D3939,物料档案!$A$4:$P$1203,3,0),"※编码不在物料档案里"))</f>
        <v/>
      </c>
      <c r="F3939" s="24">
        <f>IF($D3939="","",IFERROR(VLOOKUP($D3939,物料档案!$A$4:$P$1203,4,0),"※编码不在物料档案里"))</f>
        <v/>
      </c>
      <c r="G3939" s="24">
        <f>IF($D3939="","",IFERROR(VLOOKUP($D3939,物料档案!$A$4:$P$1203,5,0),"※编码不在物料档案里"))</f>
        <v/>
      </c>
      <c r="H3939" s="24">
        <f>IF($D3939="","",IFERROR(VLOOKUP($D3939,物料档案!$A$4:$P$1203,2,0),"※编码不在物料档案里"))</f>
        <v/>
      </c>
      <c r="I3939" s="24">
        <f>IF($D3939="","",IFERROR(VLOOKUP($D3939,物料档案!$A$4:$P$1203,6,0),"※编码不在物料档案里"))</f>
        <v/>
      </c>
      <c r="J3939" s="23" t="n"/>
      <c r="K3939" s="17" t="n"/>
      <c r="L3939" s="17" t="n"/>
      <c r="M3939" s="17" t="n"/>
      <c r="N3939" s="17" t="n"/>
      <c r="O3939" s="26">
        <f>IF($D3939="","",IFERROR(VLOOKUP($D3939,物料档案!$A$4:$P$1203,10,0),0))</f>
        <v/>
      </c>
      <c r="P3939" s="32" t="n"/>
      <c r="Q3939" s="26">
        <f>IF($D3939="","",IF($K3939&lt;&gt;"对外销售",0,ROUND(N($J3939)*IF($P3939="",N($O3939),N($P3939)),0)))</f>
        <v/>
      </c>
      <c r="R3939" s="26">
        <f>IF($D3939="","",IFERROR(VLOOKUP($D3939,库存台账!$A$5:$Y$1204,11,0),0))</f>
        <v/>
      </c>
      <c r="S3939" s="26">
        <f>IF($D3939="","",ROUND(N($J3939)*N($R3939),0))</f>
        <v/>
      </c>
      <c r="T3939" s="26">
        <f>IF($D3939="","",IF($K3939&lt;&gt;"对外销售","",ROUND($Q3939-$S3939,0)))</f>
        <v/>
      </c>
      <c r="U3939" s="17" t="n"/>
      <c r="V3939" s="17" t="n"/>
      <c r="W3939" s="24">
        <f>IF($D3939="","",IF($E3939="※编码不在物料档案里","※物料编码不在档案里",IF(N($J3939)&lt;=0,"※出库数量要大于 0",IF($K3939="","※没填去向类型",IF($L3939="","※没填去向矿区",IF(AND($C3939&lt;&gt;"",$C3939&lt;=结账锁),"※日期早于已结账截止日，不能再录",IF(AND($K3939="自用消耗",COUNTIF({"一矿区";"二矿区"},$L3939)=0),"※自用消耗的去向只能是一矿区或二矿区",IF(AND($K3939="对外销售",COUNTIF({"三矿区";"六矿区"},$L3939)=0),"※对外销售的去向只能是三矿区或六矿区",IF(AND($K3939="对外销售",ROUND($Q3939,0)=0),"※外销却没有售价，请填实际售价",IF(AND($K3939="对外销售",$T3939&lt;&gt;"",$T3939&lt;0),"※这一笔外销是亏的，请核对售价",IF(IFERROR(VLOOKUP($D3939,库存台账!$A$5:$Y$1204,24,0),0)&lt;-0.001,"※这个物料账面已经变成负数了，查一下是不是漏记入库","")))))))))))</f>
        <v/>
      </c>
    </row>
    <row r="3940">
      <c r="A3940" s="24">
        <f>IF($D3940="","",COUNTA($D$4:$D3940))</f>
        <v/>
      </c>
      <c r="B3940" s="17" t="n"/>
      <c r="C3940" s="30" t="n"/>
      <c r="D3940" s="17" t="n"/>
      <c r="E3940" s="24">
        <f>IF($D3940="","",IFERROR(VLOOKUP($D3940,物料档案!$A$4:$P$1203,3,0),"※编码不在物料档案里"))</f>
        <v/>
      </c>
      <c r="F3940" s="24">
        <f>IF($D3940="","",IFERROR(VLOOKUP($D3940,物料档案!$A$4:$P$1203,4,0),"※编码不在物料档案里"))</f>
        <v/>
      </c>
      <c r="G3940" s="24">
        <f>IF($D3940="","",IFERROR(VLOOKUP($D3940,物料档案!$A$4:$P$1203,5,0),"※编码不在物料档案里"))</f>
        <v/>
      </c>
      <c r="H3940" s="24">
        <f>IF($D3940="","",IFERROR(VLOOKUP($D3940,物料档案!$A$4:$P$1203,2,0),"※编码不在物料档案里"))</f>
        <v/>
      </c>
      <c r="I3940" s="24">
        <f>IF($D3940="","",IFERROR(VLOOKUP($D3940,物料档案!$A$4:$P$1203,6,0),"※编码不在物料档案里"))</f>
        <v/>
      </c>
      <c r="J3940" s="23" t="n"/>
      <c r="K3940" s="17" t="n"/>
      <c r="L3940" s="17" t="n"/>
      <c r="M3940" s="17" t="n"/>
      <c r="N3940" s="17" t="n"/>
      <c r="O3940" s="26">
        <f>IF($D3940="","",IFERROR(VLOOKUP($D3940,物料档案!$A$4:$P$1203,10,0),0))</f>
        <v/>
      </c>
      <c r="P3940" s="32" t="n"/>
      <c r="Q3940" s="26">
        <f>IF($D3940="","",IF($K3940&lt;&gt;"对外销售",0,ROUND(N($J3940)*IF($P3940="",N($O3940),N($P3940)),0)))</f>
        <v/>
      </c>
      <c r="R3940" s="26">
        <f>IF($D3940="","",IFERROR(VLOOKUP($D3940,库存台账!$A$5:$Y$1204,11,0),0))</f>
        <v/>
      </c>
      <c r="S3940" s="26">
        <f>IF($D3940="","",ROUND(N($J3940)*N($R3940),0))</f>
        <v/>
      </c>
      <c r="T3940" s="26">
        <f>IF($D3940="","",IF($K3940&lt;&gt;"对外销售","",ROUND($Q3940-$S3940,0)))</f>
        <v/>
      </c>
      <c r="U3940" s="17" t="n"/>
      <c r="V3940" s="17" t="n"/>
      <c r="W3940" s="24">
        <f>IF($D3940="","",IF($E3940="※编码不在物料档案里","※物料编码不在档案里",IF(N($J3940)&lt;=0,"※出库数量要大于 0",IF($K3940="","※没填去向类型",IF($L3940="","※没填去向矿区",IF(AND($C3940&lt;&gt;"",$C3940&lt;=结账锁),"※日期早于已结账截止日，不能再录",IF(AND($K3940="自用消耗",COUNTIF({"一矿区";"二矿区"},$L3940)=0),"※自用消耗的去向只能是一矿区或二矿区",IF(AND($K3940="对外销售",COUNTIF({"三矿区";"六矿区"},$L3940)=0),"※对外销售的去向只能是三矿区或六矿区",IF(AND($K3940="对外销售",ROUND($Q3940,0)=0),"※外销却没有售价，请填实际售价",IF(AND($K3940="对外销售",$T3940&lt;&gt;"",$T3940&lt;0),"※这一笔外销是亏的，请核对售价",IF(IFERROR(VLOOKUP($D3940,库存台账!$A$5:$Y$1204,24,0),0)&lt;-0.001,"※这个物料账面已经变成负数了，查一下是不是漏记入库","")))))))))))</f>
        <v/>
      </c>
    </row>
    <row r="3941">
      <c r="A3941" s="24">
        <f>IF($D3941="","",COUNTA($D$4:$D3941))</f>
        <v/>
      </c>
      <c r="B3941" s="17" t="n"/>
      <c r="C3941" s="30" t="n"/>
      <c r="D3941" s="17" t="n"/>
      <c r="E3941" s="24">
        <f>IF($D3941="","",IFERROR(VLOOKUP($D3941,物料档案!$A$4:$P$1203,3,0),"※编码不在物料档案里"))</f>
        <v/>
      </c>
      <c r="F3941" s="24">
        <f>IF($D3941="","",IFERROR(VLOOKUP($D3941,物料档案!$A$4:$P$1203,4,0),"※编码不在物料档案里"))</f>
        <v/>
      </c>
      <c r="G3941" s="24">
        <f>IF($D3941="","",IFERROR(VLOOKUP($D3941,物料档案!$A$4:$P$1203,5,0),"※编码不在物料档案里"))</f>
        <v/>
      </c>
      <c r="H3941" s="24">
        <f>IF($D3941="","",IFERROR(VLOOKUP($D3941,物料档案!$A$4:$P$1203,2,0),"※编码不在物料档案里"))</f>
        <v/>
      </c>
      <c r="I3941" s="24">
        <f>IF($D3941="","",IFERROR(VLOOKUP($D3941,物料档案!$A$4:$P$1203,6,0),"※编码不在物料档案里"))</f>
        <v/>
      </c>
      <c r="J3941" s="23" t="n"/>
      <c r="K3941" s="17" t="n"/>
      <c r="L3941" s="17" t="n"/>
      <c r="M3941" s="17" t="n"/>
      <c r="N3941" s="17" t="n"/>
      <c r="O3941" s="26">
        <f>IF($D3941="","",IFERROR(VLOOKUP($D3941,物料档案!$A$4:$P$1203,10,0),0))</f>
        <v/>
      </c>
      <c r="P3941" s="32" t="n"/>
      <c r="Q3941" s="26">
        <f>IF($D3941="","",IF($K3941&lt;&gt;"对外销售",0,ROUND(N($J3941)*IF($P3941="",N($O3941),N($P3941)),0)))</f>
        <v/>
      </c>
      <c r="R3941" s="26">
        <f>IF($D3941="","",IFERROR(VLOOKUP($D3941,库存台账!$A$5:$Y$1204,11,0),0))</f>
        <v/>
      </c>
      <c r="S3941" s="26">
        <f>IF($D3941="","",ROUND(N($J3941)*N($R3941),0))</f>
        <v/>
      </c>
      <c r="T3941" s="26">
        <f>IF($D3941="","",IF($K3941&lt;&gt;"对外销售","",ROUND($Q3941-$S3941,0)))</f>
        <v/>
      </c>
      <c r="U3941" s="17" t="n"/>
      <c r="V3941" s="17" t="n"/>
      <c r="W3941" s="24">
        <f>IF($D3941="","",IF($E3941="※编码不在物料档案里","※物料编码不在档案里",IF(N($J3941)&lt;=0,"※出库数量要大于 0",IF($K3941="","※没填去向类型",IF($L3941="","※没填去向矿区",IF(AND($C3941&lt;&gt;"",$C3941&lt;=结账锁),"※日期早于已结账截止日，不能再录",IF(AND($K3941="自用消耗",COUNTIF({"一矿区";"二矿区"},$L3941)=0),"※自用消耗的去向只能是一矿区或二矿区",IF(AND($K3941="对外销售",COUNTIF({"三矿区";"六矿区"},$L3941)=0),"※对外销售的去向只能是三矿区或六矿区",IF(AND($K3941="对外销售",ROUND($Q3941,0)=0),"※外销却没有售价，请填实际售价",IF(AND($K3941="对外销售",$T3941&lt;&gt;"",$T3941&lt;0),"※这一笔外销是亏的，请核对售价",IF(IFERROR(VLOOKUP($D3941,库存台账!$A$5:$Y$1204,24,0),0)&lt;-0.001,"※这个物料账面已经变成负数了，查一下是不是漏记入库","")))))))))))</f>
        <v/>
      </c>
    </row>
    <row r="3942">
      <c r="A3942" s="24">
        <f>IF($D3942="","",COUNTA($D$4:$D3942))</f>
        <v/>
      </c>
      <c r="B3942" s="17" t="n"/>
      <c r="C3942" s="30" t="n"/>
      <c r="D3942" s="17" t="n"/>
      <c r="E3942" s="24">
        <f>IF($D3942="","",IFERROR(VLOOKUP($D3942,物料档案!$A$4:$P$1203,3,0),"※编码不在物料档案里"))</f>
        <v/>
      </c>
      <c r="F3942" s="24">
        <f>IF($D3942="","",IFERROR(VLOOKUP($D3942,物料档案!$A$4:$P$1203,4,0),"※编码不在物料档案里"))</f>
        <v/>
      </c>
      <c r="G3942" s="24">
        <f>IF($D3942="","",IFERROR(VLOOKUP($D3942,物料档案!$A$4:$P$1203,5,0),"※编码不在物料档案里"))</f>
        <v/>
      </c>
      <c r="H3942" s="24">
        <f>IF($D3942="","",IFERROR(VLOOKUP($D3942,物料档案!$A$4:$P$1203,2,0),"※编码不在物料档案里"))</f>
        <v/>
      </c>
      <c r="I3942" s="24">
        <f>IF($D3942="","",IFERROR(VLOOKUP($D3942,物料档案!$A$4:$P$1203,6,0),"※编码不在物料档案里"))</f>
        <v/>
      </c>
      <c r="J3942" s="23" t="n"/>
      <c r="K3942" s="17" t="n"/>
      <c r="L3942" s="17" t="n"/>
      <c r="M3942" s="17" t="n"/>
      <c r="N3942" s="17" t="n"/>
      <c r="O3942" s="26">
        <f>IF($D3942="","",IFERROR(VLOOKUP($D3942,物料档案!$A$4:$P$1203,10,0),0))</f>
        <v/>
      </c>
      <c r="P3942" s="32" t="n"/>
      <c r="Q3942" s="26">
        <f>IF($D3942="","",IF($K3942&lt;&gt;"对外销售",0,ROUND(N($J3942)*IF($P3942="",N($O3942),N($P3942)),0)))</f>
        <v/>
      </c>
      <c r="R3942" s="26">
        <f>IF($D3942="","",IFERROR(VLOOKUP($D3942,库存台账!$A$5:$Y$1204,11,0),0))</f>
        <v/>
      </c>
      <c r="S3942" s="26">
        <f>IF($D3942="","",ROUND(N($J3942)*N($R3942),0))</f>
        <v/>
      </c>
      <c r="T3942" s="26">
        <f>IF($D3942="","",IF($K3942&lt;&gt;"对外销售","",ROUND($Q3942-$S3942,0)))</f>
        <v/>
      </c>
      <c r="U3942" s="17" t="n"/>
      <c r="V3942" s="17" t="n"/>
      <c r="W3942" s="24">
        <f>IF($D3942="","",IF($E3942="※编码不在物料档案里","※物料编码不在档案里",IF(N($J3942)&lt;=0,"※出库数量要大于 0",IF($K3942="","※没填去向类型",IF($L3942="","※没填去向矿区",IF(AND($C3942&lt;&gt;"",$C3942&lt;=结账锁),"※日期早于已结账截止日，不能再录",IF(AND($K3942="自用消耗",COUNTIF({"一矿区";"二矿区"},$L3942)=0),"※自用消耗的去向只能是一矿区或二矿区",IF(AND($K3942="对外销售",COUNTIF({"三矿区";"六矿区"},$L3942)=0),"※对外销售的去向只能是三矿区或六矿区",IF(AND($K3942="对外销售",ROUND($Q3942,0)=0),"※外销却没有售价，请填实际售价",IF(AND($K3942="对外销售",$T3942&lt;&gt;"",$T3942&lt;0),"※这一笔外销是亏的，请核对售价",IF(IFERROR(VLOOKUP($D3942,库存台账!$A$5:$Y$1204,24,0),0)&lt;-0.001,"※这个物料账面已经变成负数了，查一下是不是漏记入库","")))))))))))</f>
        <v/>
      </c>
    </row>
    <row r="3943">
      <c r="A3943" s="24">
        <f>IF($D3943="","",COUNTA($D$4:$D3943))</f>
        <v/>
      </c>
      <c r="B3943" s="17" t="n"/>
      <c r="C3943" s="30" t="n"/>
      <c r="D3943" s="17" t="n"/>
      <c r="E3943" s="24">
        <f>IF($D3943="","",IFERROR(VLOOKUP($D3943,物料档案!$A$4:$P$1203,3,0),"※编码不在物料档案里"))</f>
        <v/>
      </c>
      <c r="F3943" s="24">
        <f>IF($D3943="","",IFERROR(VLOOKUP($D3943,物料档案!$A$4:$P$1203,4,0),"※编码不在物料档案里"))</f>
        <v/>
      </c>
      <c r="G3943" s="24">
        <f>IF($D3943="","",IFERROR(VLOOKUP($D3943,物料档案!$A$4:$P$1203,5,0),"※编码不在物料档案里"))</f>
        <v/>
      </c>
      <c r="H3943" s="24">
        <f>IF($D3943="","",IFERROR(VLOOKUP($D3943,物料档案!$A$4:$P$1203,2,0),"※编码不在物料档案里"))</f>
        <v/>
      </c>
      <c r="I3943" s="24">
        <f>IF($D3943="","",IFERROR(VLOOKUP($D3943,物料档案!$A$4:$P$1203,6,0),"※编码不在物料档案里"))</f>
        <v/>
      </c>
      <c r="J3943" s="23" t="n"/>
      <c r="K3943" s="17" t="n"/>
      <c r="L3943" s="17" t="n"/>
      <c r="M3943" s="17" t="n"/>
      <c r="N3943" s="17" t="n"/>
      <c r="O3943" s="26">
        <f>IF($D3943="","",IFERROR(VLOOKUP($D3943,物料档案!$A$4:$P$1203,10,0),0))</f>
        <v/>
      </c>
      <c r="P3943" s="32" t="n"/>
      <c r="Q3943" s="26">
        <f>IF($D3943="","",IF($K3943&lt;&gt;"对外销售",0,ROUND(N($J3943)*IF($P3943="",N($O3943),N($P3943)),0)))</f>
        <v/>
      </c>
      <c r="R3943" s="26">
        <f>IF($D3943="","",IFERROR(VLOOKUP($D3943,库存台账!$A$5:$Y$1204,11,0),0))</f>
        <v/>
      </c>
      <c r="S3943" s="26">
        <f>IF($D3943="","",ROUND(N($J3943)*N($R3943),0))</f>
        <v/>
      </c>
      <c r="T3943" s="26">
        <f>IF($D3943="","",IF($K3943&lt;&gt;"对外销售","",ROUND($Q3943-$S3943,0)))</f>
        <v/>
      </c>
      <c r="U3943" s="17" t="n"/>
      <c r="V3943" s="17" t="n"/>
      <c r="W3943" s="24">
        <f>IF($D3943="","",IF($E3943="※编码不在物料档案里","※物料编码不在档案里",IF(N($J3943)&lt;=0,"※出库数量要大于 0",IF($K3943="","※没填去向类型",IF($L3943="","※没填去向矿区",IF(AND($C3943&lt;&gt;"",$C3943&lt;=结账锁),"※日期早于已结账截止日，不能再录",IF(AND($K3943="自用消耗",COUNTIF({"一矿区";"二矿区"},$L3943)=0),"※自用消耗的去向只能是一矿区或二矿区",IF(AND($K3943="对外销售",COUNTIF({"三矿区";"六矿区"},$L3943)=0),"※对外销售的去向只能是三矿区或六矿区",IF(AND($K3943="对外销售",ROUND($Q3943,0)=0),"※外销却没有售价，请填实际售价",IF(AND($K3943="对外销售",$T3943&lt;&gt;"",$T3943&lt;0),"※这一笔外销是亏的，请核对售价",IF(IFERROR(VLOOKUP($D3943,库存台账!$A$5:$Y$1204,24,0),0)&lt;-0.001,"※这个物料账面已经变成负数了，查一下是不是漏记入库","")))))))))))</f>
        <v/>
      </c>
    </row>
    <row r="3944">
      <c r="A3944" s="24">
        <f>IF($D3944="","",COUNTA($D$4:$D3944))</f>
        <v/>
      </c>
      <c r="B3944" s="17" t="n"/>
      <c r="C3944" s="30" t="n"/>
      <c r="D3944" s="17" t="n"/>
      <c r="E3944" s="24">
        <f>IF($D3944="","",IFERROR(VLOOKUP($D3944,物料档案!$A$4:$P$1203,3,0),"※编码不在物料档案里"))</f>
        <v/>
      </c>
      <c r="F3944" s="24">
        <f>IF($D3944="","",IFERROR(VLOOKUP($D3944,物料档案!$A$4:$P$1203,4,0),"※编码不在物料档案里"))</f>
        <v/>
      </c>
      <c r="G3944" s="24">
        <f>IF($D3944="","",IFERROR(VLOOKUP($D3944,物料档案!$A$4:$P$1203,5,0),"※编码不在物料档案里"))</f>
        <v/>
      </c>
      <c r="H3944" s="24">
        <f>IF($D3944="","",IFERROR(VLOOKUP($D3944,物料档案!$A$4:$P$1203,2,0),"※编码不在物料档案里"))</f>
        <v/>
      </c>
      <c r="I3944" s="24">
        <f>IF($D3944="","",IFERROR(VLOOKUP($D3944,物料档案!$A$4:$P$1203,6,0),"※编码不在物料档案里"))</f>
        <v/>
      </c>
      <c r="J3944" s="23" t="n"/>
      <c r="K3944" s="17" t="n"/>
      <c r="L3944" s="17" t="n"/>
      <c r="M3944" s="17" t="n"/>
      <c r="N3944" s="17" t="n"/>
      <c r="O3944" s="26">
        <f>IF($D3944="","",IFERROR(VLOOKUP($D3944,物料档案!$A$4:$P$1203,10,0),0))</f>
        <v/>
      </c>
      <c r="P3944" s="32" t="n"/>
      <c r="Q3944" s="26">
        <f>IF($D3944="","",IF($K3944&lt;&gt;"对外销售",0,ROUND(N($J3944)*IF($P3944="",N($O3944),N($P3944)),0)))</f>
        <v/>
      </c>
      <c r="R3944" s="26">
        <f>IF($D3944="","",IFERROR(VLOOKUP($D3944,库存台账!$A$5:$Y$1204,11,0),0))</f>
        <v/>
      </c>
      <c r="S3944" s="26">
        <f>IF($D3944="","",ROUND(N($J3944)*N($R3944),0))</f>
        <v/>
      </c>
      <c r="T3944" s="26">
        <f>IF($D3944="","",IF($K3944&lt;&gt;"对外销售","",ROUND($Q3944-$S3944,0)))</f>
        <v/>
      </c>
      <c r="U3944" s="17" t="n"/>
      <c r="V3944" s="17" t="n"/>
      <c r="W3944" s="24">
        <f>IF($D3944="","",IF($E3944="※编码不在物料档案里","※物料编码不在档案里",IF(N($J3944)&lt;=0,"※出库数量要大于 0",IF($K3944="","※没填去向类型",IF($L3944="","※没填去向矿区",IF(AND($C3944&lt;&gt;"",$C3944&lt;=结账锁),"※日期早于已结账截止日，不能再录",IF(AND($K3944="自用消耗",COUNTIF({"一矿区";"二矿区"},$L3944)=0),"※自用消耗的去向只能是一矿区或二矿区",IF(AND($K3944="对外销售",COUNTIF({"三矿区";"六矿区"},$L3944)=0),"※对外销售的去向只能是三矿区或六矿区",IF(AND($K3944="对外销售",ROUND($Q3944,0)=0),"※外销却没有售价，请填实际售价",IF(AND($K3944="对外销售",$T3944&lt;&gt;"",$T3944&lt;0),"※这一笔外销是亏的，请核对售价",IF(IFERROR(VLOOKUP($D3944,库存台账!$A$5:$Y$1204,24,0),0)&lt;-0.001,"※这个物料账面已经变成负数了，查一下是不是漏记入库","")))))))))))</f>
        <v/>
      </c>
    </row>
    <row r="3945">
      <c r="A3945" s="24">
        <f>IF($D3945="","",COUNTA($D$4:$D3945))</f>
        <v/>
      </c>
      <c r="B3945" s="17" t="n"/>
      <c r="C3945" s="30" t="n"/>
      <c r="D3945" s="17" t="n"/>
      <c r="E3945" s="24">
        <f>IF($D3945="","",IFERROR(VLOOKUP($D3945,物料档案!$A$4:$P$1203,3,0),"※编码不在物料档案里"))</f>
        <v/>
      </c>
      <c r="F3945" s="24">
        <f>IF($D3945="","",IFERROR(VLOOKUP($D3945,物料档案!$A$4:$P$1203,4,0),"※编码不在物料档案里"))</f>
        <v/>
      </c>
      <c r="G3945" s="24">
        <f>IF($D3945="","",IFERROR(VLOOKUP($D3945,物料档案!$A$4:$P$1203,5,0),"※编码不在物料档案里"))</f>
        <v/>
      </c>
      <c r="H3945" s="24">
        <f>IF($D3945="","",IFERROR(VLOOKUP($D3945,物料档案!$A$4:$P$1203,2,0),"※编码不在物料档案里"))</f>
        <v/>
      </c>
      <c r="I3945" s="24">
        <f>IF($D3945="","",IFERROR(VLOOKUP($D3945,物料档案!$A$4:$P$1203,6,0),"※编码不在物料档案里"))</f>
        <v/>
      </c>
      <c r="J3945" s="23" t="n"/>
      <c r="K3945" s="17" t="n"/>
      <c r="L3945" s="17" t="n"/>
      <c r="M3945" s="17" t="n"/>
      <c r="N3945" s="17" t="n"/>
      <c r="O3945" s="26">
        <f>IF($D3945="","",IFERROR(VLOOKUP($D3945,物料档案!$A$4:$P$1203,10,0),0))</f>
        <v/>
      </c>
      <c r="P3945" s="32" t="n"/>
      <c r="Q3945" s="26">
        <f>IF($D3945="","",IF($K3945&lt;&gt;"对外销售",0,ROUND(N($J3945)*IF($P3945="",N($O3945),N($P3945)),0)))</f>
        <v/>
      </c>
      <c r="R3945" s="26">
        <f>IF($D3945="","",IFERROR(VLOOKUP($D3945,库存台账!$A$5:$Y$1204,11,0),0))</f>
        <v/>
      </c>
      <c r="S3945" s="26">
        <f>IF($D3945="","",ROUND(N($J3945)*N($R3945),0))</f>
        <v/>
      </c>
      <c r="T3945" s="26">
        <f>IF($D3945="","",IF($K3945&lt;&gt;"对外销售","",ROUND($Q3945-$S3945,0)))</f>
        <v/>
      </c>
      <c r="U3945" s="17" t="n"/>
      <c r="V3945" s="17" t="n"/>
      <c r="W3945" s="24">
        <f>IF($D3945="","",IF($E3945="※编码不在物料档案里","※物料编码不在档案里",IF(N($J3945)&lt;=0,"※出库数量要大于 0",IF($K3945="","※没填去向类型",IF($L3945="","※没填去向矿区",IF(AND($C3945&lt;&gt;"",$C3945&lt;=结账锁),"※日期早于已结账截止日，不能再录",IF(AND($K3945="自用消耗",COUNTIF({"一矿区";"二矿区"},$L3945)=0),"※自用消耗的去向只能是一矿区或二矿区",IF(AND($K3945="对外销售",COUNTIF({"三矿区";"六矿区"},$L3945)=0),"※对外销售的去向只能是三矿区或六矿区",IF(AND($K3945="对外销售",ROUND($Q3945,0)=0),"※外销却没有售价，请填实际售价",IF(AND($K3945="对外销售",$T3945&lt;&gt;"",$T3945&lt;0),"※这一笔外销是亏的，请核对售价",IF(IFERROR(VLOOKUP($D3945,库存台账!$A$5:$Y$1204,24,0),0)&lt;-0.001,"※这个物料账面已经变成负数了，查一下是不是漏记入库","")))))))))))</f>
        <v/>
      </c>
    </row>
    <row r="3946">
      <c r="A3946" s="24">
        <f>IF($D3946="","",COUNTA($D$4:$D3946))</f>
        <v/>
      </c>
      <c r="B3946" s="17" t="n"/>
      <c r="C3946" s="30" t="n"/>
      <c r="D3946" s="17" t="n"/>
      <c r="E3946" s="24">
        <f>IF($D3946="","",IFERROR(VLOOKUP($D3946,物料档案!$A$4:$P$1203,3,0),"※编码不在物料档案里"))</f>
        <v/>
      </c>
      <c r="F3946" s="24">
        <f>IF($D3946="","",IFERROR(VLOOKUP($D3946,物料档案!$A$4:$P$1203,4,0),"※编码不在物料档案里"))</f>
        <v/>
      </c>
      <c r="G3946" s="24">
        <f>IF($D3946="","",IFERROR(VLOOKUP($D3946,物料档案!$A$4:$P$1203,5,0),"※编码不在物料档案里"))</f>
        <v/>
      </c>
      <c r="H3946" s="24">
        <f>IF($D3946="","",IFERROR(VLOOKUP($D3946,物料档案!$A$4:$P$1203,2,0),"※编码不在物料档案里"))</f>
        <v/>
      </c>
      <c r="I3946" s="24">
        <f>IF($D3946="","",IFERROR(VLOOKUP($D3946,物料档案!$A$4:$P$1203,6,0),"※编码不在物料档案里"))</f>
        <v/>
      </c>
      <c r="J3946" s="23" t="n"/>
      <c r="K3946" s="17" t="n"/>
      <c r="L3946" s="17" t="n"/>
      <c r="M3946" s="17" t="n"/>
      <c r="N3946" s="17" t="n"/>
      <c r="O3946" s="26">
        <f>IF($D3946="","",IFERROR(VLOOKUP($D3946,物料档案!$A$4:$P$1203,10,0),0))</f>
        <v/>
      </c>
      <c r="P3946" s="32" t="n"/>
      <c r="Q3946" s="26">
        <f>IF($D3946="","",IF($K3946&lt;&gt;"对外销售",0,ROUND(N($J3946)*IF($P3946="",N($O3946),N($P3946)),0)))</f>
        <v/>
      </c>
      <c r="R3946" s="26">
        <f>IF($D3946="","",IFERROR(VLOOKUP($D3946,库存台账!$A$5:$Y$1204,11,0),0))</f>
        <v/>
      </c>
      <c r="S3946" s="26">
        <f>IF($D3946="","",ROUND(N($J3946)*N($R3946),0))</f>
        <v/>
      </c>
      <c r="T3946" s="26">
        <f>IF($D3946="","",IF($K3946&lt;&gt;"对外销售","",ROUND($Q3946-$S3946,0)))</f>
        <v/>
      </c>
      <c r="U3946" s="17" t="n"/>
      <c r="V3946" s="17" t="n"/>
      <c r="W3946" s="24">
        <f>IF($D3946="","",IF($E3946="※编码不在物料档案里","※物料编码不在档案里",IF(N($J3946)&lt;=0,"※出库数量要大于 0",IF($K3946="","※没填去向类型",IF($L3946="","※没填去向矿区",IF(AND($C3946&lt;&gt;"",$C3946&lt;=结账锁),"※日期早于已结账截止日，不能再录",IF(AND($K3946="自用消耗",COUNTIF({"一矿区";"二矿区"},$L3946)=0),"※自用消耗的去向只能是一矿区或二矿区",IF(AND($K3946="对外销售",COUNTIF({"三矿区";"六矿区"},$L3946)=0),"※对外销售的去向只能是三矿区或六矿区",IF(AND($K3946="对外销售",ROUND($Q3946,0)=0),"※外销却没有售价，请填实际售价",IF(AND($K3946="对外销售",$T3946&lt;&gt;"",$T3946&lt;0),"※这一笔外销是亏的，请核对售价",IF(IFERROR(VLOOKUP($D3946,库存台账!$A$5:$Y$1204,24,0),0)&lt;-0.001,"※这个物料账面已经变成负数了，查一下是不是漏记入库","")))))))))))</f>
        <v/>
      </c>
    </row>
    <row r="3947">
      <c r="A3947" s="24">
        <f>IF($D3947="","",COUNTA($D$4:$D3947))</f>
        <v/>
      </c>
      <c r="B3947" s="17" t="n"/>
      <c r="C3947" s="30" t="n"/>
      <c r="D3947" s="17" t="n"/>
      <c r="E3947" s="24">
        <f>IF($D3947="","",IFERROR(VLOOKUP($D3947,物料档案!$A$4:$P$1203,3,0),"※编码不在物料档案里"))</f>
        <v/>
      </c>
      <c r="F3947" s="24">
        <f>IF($D3947="","",IFERROR(VLOOKUP($D3947,物料档案!$A$4:$P$1203,4,0),"※编码不在物料档案里"))</f>
        <v/>
      </c>
      <c r="G3947" s="24">
        <f>IF($D3947="","",IFERROR(VLOOKUP($D3947,物料档案!$A$4:$P$1203,5,0),"※编码不在物料档案里"))</f>
        <v/>
      </c>
      <c r="H3947" s="24">
        <f>IF($D3947="","",IFERROR(VLOOKUP($D3947,物料档案!$A$4:$P$1203,2,0),"※编码不在物料档案里"))</f>
        <v/>
      </c>
      <c r="I3947" s="24">
        <f>IF($D3947="","",IFERROR(VLOOKUP($D3947,物料档案!$A$4:$P$1203,6,0),"※编码不在物料档案里"))</f>
        <v/>
      </c>
      <c r="J3947" s="23" t="n"/>
      <c r="K3947" s="17" t="n"/>
      <c r="L3947" s="17" t="n"/>
      <c r="M3947" s="17" t="n"/>
      <c r="N3947" s="17" t="n"/>
      <c r="O3947" s="26">
        <f>IF($D3947="","",IFERROR(VLOOKUP($D3947,物料档案!$A$4:$P$1203,10,0),0))</f>
        <v/>
      </c>
      <c r="P3947" s="32" t="n"/>
      <c r="Q3947" s="26">
        <f>IF($D3947="","",IF($K3947&lt;&gt;"对外销售",0,ROUND(N($J3947)*IF($P3947="",N($O3947),N($P3947)),0)))</f>
        <v/>
      </c>
      <c r="R3947" s="26">
        <f>IF($D3947="","",IFERROR(VLOOKUP($D3947,库存台账!$A$5:$Y$1204,11,0),0))</f>
        <v/>
      </c>
      <c r="S3947" s="26">
        <f>IF($D3947="","",ROUND(N($J3947)*N($R3947),0))</f>
        <v/>
      </c>
      <c r="T3947" s="26">
        <f>IF($D3947="","",IF($K3947&lt;&gt;"对外销售","",ROUND($Q3947-$S3947,0)))</f>
        <v/>
      </c>
      <c r="U3947" s="17" t="n"/>
      <c r="V3947" s="17" t="n"/>
      <c r="W3947" s="24">
        <f>IF($D3947="","",IF($E3947="※编码不在物料档案里","※物料编码不在档案里",IF(N($J3947)&lt;=0,"※出库数量要大于 0",IF($K3947="","※没填去向类型",IF($L3947="","※没填去向矿区",IF(AND($C3947&lt;&gt;"",$C3947&lt;=结账锁),"※日期早于已结账截止日，不能再录",IF(AND($K3947="自用消耗",COUNTIF({"一矿区";"二矿区"},$L3947)=0),"※自用消耗的去向只能是一矿区或二矿区",IF(AND($K3947="对外销售",COUNTIF({"三矿区";"六矿区"},$L3947)=0),"※对外销售的去向只能是三矿区或六矿区",IF(AND($K3947="对外销售",ROUND($Q3947,0)=0),"※外销却没有售价，请填实际售价",IF(AND($K3947="对外销售",$T3947&lt;&gt;"",$T3947&lt;0),"※这一笔外销是亏的，请核对售价",IF(IFERROR(VLOOKUP($D3947,库存台账!$A$5:$Y$1204,24,0),0)&lt;-0.001,"※这个物料账面已经变成负数了，查一下是不是漏记入库","")))))))))))</f>
        <v/>
      </c>
    </row>
    <row r="3948">
      <c r="A3948" s="24">
        <f>IF($D3948="","",COUNTA($D$4:$D3948))</f>
        <v/>
      </c>
      <c r="B3948" s="17" t="n"/>
      <c r="C3948" s="30" t="n"/>
      <c r="D3948" s="17" t="n"/>
      <c r="E3948" s="24">
        <f>IF($D3948="","",IFERROR(VLOOKUP($D3948,物料档案!$A$4:$P$1203,3,0),"※编码不在物料档案里"))</f>
        <v/>
      </c>
      <c r="F3948" s="24">
        <f>IF($D3948="","",IFERROR(VLOOKUP($D3948,物料档案!$A$4:$P$1203,4,0),"※编码不在物料档案里"))</f>
        <v/>
      </c>
      <c r="G3948" s="24">
        <f>IF($D3948="","",IFERROR(VLOOKUP($D3948,物料档案!$A$4:$P$1203,5,0),"※编码不在物料档案里"))</f>
        <v/>
      </c>
      <c r="H3948" s="24">
        <f>IF($D3948="","",IFERROR(VLOOKUP($D3948,物料档案!$A$4:$P$1203,2,0),"※编码不在物料档案里"))</f>
        <v/>
      </c>
      <c r="I3948" s="24">
        <f>IF($D3948="","",IFERROR(VLOOKUP($D3948,物料档案!$A$4:$P$1203,6,0),"※编码不在物料档案里"))</f>
        <v/>
      </c>
      <c r="J3948" s="23" t="n"/>
      <c r="K3948" s="17" t="n"/>
      <c r="L3948" s="17" t="n"/>
      <c r="M3948" s="17" t="n"/>
      <c r="N3948" s="17" t="n"/>
      <c r="O3948" s="26">
        <f>IF($D3948="","",IFERROR(VLOOKUP($D3948,物料档案!$A$4:$P$1203,10,0),0))</f>
        <v/>
      </c>
      <c r="P3948" s="32" t="n"/>
      <c r="Q3948" s="26">
        <f>IF($D3948="","",IF($K3948&lt;&gt;"对外销售",0,ROUND(N($J3948)*IF($P3948="",N($O3948),N($P3948)),0)))</f>
        <v/>
      </c>
      <c r="R3948" s="26">
        <f>IF($D3948="","",IFERROR(VLOOKUP($D3948,库存台账!$A$5:$Y$1204,11,0),0))</f>
        <v/>
      </c>
      <c r="S3948" s="26">
        <f>IF($D3948="","",ROUND(N($J3948)*N($R3948),0))</f>
        <v/>
      </c>
      <c r="T3948" s="26">
        <f>IF($D3948="","",IF($K3948&lt;&gt;"对外销售","",ROUND($Q3948-$S3948,0)))</f>
        <v/>
      </c>
      <c r="U3948" s="17" t="n"/>
      <c r="V3948" s="17" t="n"/>
      <c r="W3948" s="24">
        <f>IF($D3948="","",IF($E3948="※编码不在物料档案里","※物料编码不在档案里",IF(N($J3948)&lt;=0,"※出库数量要大于 0",IF($K3948="","※没填去向类型",IF($L3948="","※没填去向矿区",IF(AND($C3948&lt;&gt;"",$C3948&lt;=结账锁),"※日期早于已结账截止日，不能再录",IF(AND($K3948="自用消耗",COUNTIF({"一矿区";"二矿区"},$L3948)=0),"※自用消耗的去向只能是一矿区或二矿区",IF(AND($K3948="对外销售",COUNTIF({"三矿区";"六矿区"},$L3948)=0),"※对外销售的去向只能是三矿区或六矿区",IF(AND($K3948="对外销售",ROUND($Q3948,0)=0),"※外销却没有售价，请填实际售价",IF(AND($K3948="对外销售",$T3948&lt;&gt;"",$T3948&lt;0),"※这一笔外销是亏的，请核对售价",IF(IFERROR(VLOOKUP($D3948,库存台账!$A$5:$Y$1204,24,0),0)&lt;-0.001,"※这个物料账面已经变成负数了，查一下是不是漏记入库","")))))))))))</f>
        <v/>
      </c>
    </row>
    <row r="3949">
      <c r="A3949" s="24">
        <f>IF($D3949="","",COUNTA($D$4:$D3949))</f>
        <v/>
      </c>
      <c r="B3949" s="17" t="n"/>
      <c r="C3949" s="30" t="n"/>
      <c r="D3949" s="17" t="n"/>
      <c r="E3949" s="24">
        <f>IF($D3949="","",IFERROR(VLOOKUP($D3949,物料档案!$A$4:$P$1203,3,0),"※编码不在物料档案里"))</f>
        <v/>
      </c>
      <c r="F3949" s="24">
        <f>IF($D3949="","",IFERROR(VLOOKUP($D3949,物料档案!$A$4:$P$1203,4,0),"※编码不在物料档案里"))</f>
        <v/>
      </c>
      <c r="G3949" s="24">
        <f>IF($D3949="","",IFERROR(VLOOKUP($D3949,物料档案!$A$4:$P$1203,5,0),"※编码不在物料档案里"))</f>
        <v/>
      </c>
      <c r="H3949" s="24">
        <f>IF($D3949="","",IFERROR(VLOOKUP($D3949,物料档案!$A$4:$P$1203,2,0),"※编码不在物料档案里"))</f>
        <v/>
      </c>
      <c r="I3949" s="24">
        <f>IF($D3949="","",IFERROR(VLOOKUP($D3949,物料档案!$A$4:$P$1203,6,0),"※编码不在物料档案里"))</f>
        <v/>
      </c>
      <c r="J3949" s="23" t="n"/>
      <c r="K3949" s="17" t="n"/>
      <c r="L3949" s="17" t="n"/>
      <c r="M3949" s="17" t="n"/>
      <c r="N3949" s="17" t="n"/>
      <c r="O3949" s="26">
        <f>IF($D3949="","",IFERROR(VLOOKUP($D3949,物料档案!$A$4:$P$1203,10,0),0))</f>
        <v/>
      </c>
      <c r="P3949" s="32" t="n"/>
      <c r="Q3949" s="26">
        <f>IF($D3949="","",IF($K3949&lt;&gt;"对外销售",0,ROUND(N($J3949)*IF($P3949="",N($O3949),N($P3949)),0)))</f>
        <v/>
      </c>
      <c r="R3949" s="26">
        <f>IF($D3949="","",IFERROR(VLOOKUP($D3949,库存台账!$A$5:$Y$1204,11,0),0))</f>
        <v/>
      </c>
      <c r="S3949" s="26">
        <f>IF($D3949="","",ROUND(N($J3949)*N($R3949),0))</f>
        <v/>
      </c>
      <c r="T3949" s="26">
        <f>IF($D3949="","",IF($K3949&lt;&gt;"对外销售","",ROUND($Q3949-$S3949,0)))</f>
        <v/>
      </c>
      <c r="U3949" s="17" t="n"/>
      <c r="V3949" s="17" t="n"/>
      <c r="W3949" s="24">
        <f>IF($D3949="","",IF($E3949="※编码不在物料档案里","※物料编码不在档案里",IF(N($J3949)&lt;=0,"※出库数量要大于 0",IF($K3949="","※没填去向类型",IF($L3949="","※没填去向矿区",IF(AND($C3949&lt;&gt;"",$C3949&lt;=结账锁),"※日期早于已结账截止日，不能再录",IF(AND($K3949="自用消耗",COUNTIF({"一矿区";"二矿区"},$L3949)=0),"※自用消耗的去向只能是一矿区或二矿区",IF(AND($K3949="对外销售",COUNTIF({"三矿区";"六矿区"},$L3949)=0),"※对外销售的去向只能是三矿区或六矿区",IF(AND($K3949="对外销售",ROUND($Q3949,0)=0),"※外销却没有售价，请填实际售价",IF(AND($K3949="对外销售",$T3949&lt;&gt;"",$T3949&lt;0),"※这一笔外销是亏的，请核对售价",IF(IFERROR(VLOOKUP($D3949,库存台账!$A$5:$Y$1204,24,0),0)&lt;-0.001,"※这个物料账面已经变成负数了，查一下是不是漏记入库","")))))))))))</f>
        <v/>
      </c>
    </row>
    <row r="3950">
      <c r="A3950" s="24">
        <f>IF($D3950="","",COUNTA($D$4:$D3950))</f>
        <v/>
      </c>
      <c r="B3950" s="17" t="n"/>
      <c r="C3950" s="30" t="n"/>
      <c r="D3950" s="17" t="n"/>
      <c r="E3950" s="24">
        <f>IF($D3950="","",IFERROR(VLOOKUP($D3950,物料档案!$A$4:$P$1203,3,0),"※编码不在物料档案里"))</f>
        <v/>
      </c>
      <c r="F3950" s="24">
        <f>IF($D3950="","",IFERROR(VLOOKUP($D3950,物料档案!$A$4:$P$1203,4,0),"※编码不在物料档案里"))</f>
        <v/>
      </c>
      <c r="G3950" s="24">
        <f>IF($D3950="","",IFERROR(VLOOKUP($D3950,物料档案!$A$4:$P$1203,5,0),"※编码不在物料档案里"))</f>
        <v/>
      </c>
      <c r="H3950" s="24">
        <f>IF($D3950="","",IFERROR(VLOOKUP($D3950,物料档案!$A$4:$P$1203,2,0),"※编码不在物料档案里"))</f>
        <v/>
      </c>
      <c r="I3950" s="24">
        <f>IF($D3950="","",IFERROR(VLOOKUP($D3950,物料档案!$A$4:$P$1203,6,0),"※编码不在物料档案里"))</f>
        <v/>
      </c>
      <c r="J3950" s="23" t="n"/>
      <c r="K3950" s="17" t="n"/>
      <c r="L3950" s="17" t="n"/>
      <c r="M3950" s="17" t="n"/>
      <c r="N3950" s="17" t="n"/>
      <c r="O3950" s="26">
        <f>IF($D3950="","",IFERROR(VLOOKUP($D3950,物料档案!$A$4:$P$1203,10,0),0))</f>
        <v/>
      </c>
      <c r="P3950" s="32" t="n"/>
      <c r="Q3950" s="26">
        <f>IF($D3950="","",IF($K3950&lt;&gt;"对外销售",0,ROUND(N($J3950)*IF($P3950="",N($O3950),N($P3950)),0)))</f>
        <v/>
      </c>
      <c r="R3950" s="26">
        <f>IF($D3950="","",IFERROR(VLOOKUP($D3950,库存台账!$A$5:$Y$1204,11,0),0))</f>
        <v/>
      </c>
      <c r="S3950" s="26">
        <f>IF($D3950="","",ROUND(N($J3950)*N($R3950),0))</f>
        <v/>
      </c>
      <c r="T3950" s="26">
        <f>IF($D3950="","",IF($K3950&lt;&gt;"对外销售","",ROUND($Q3950-$S3950,0)))</f>
        <v/>
      </c>
      <c r="U3950" s="17" t="n"/>
      <c r="V3950" s="17" t="n"/>
      <c r="W3950" s="24">
        <f>IF($D3950="","",IF($E3950="※编码不在物料档案里","※物料编码不在档案里",IF(N($J3950)&lt;=0,"※出库数量要大于 0",IF($K3950="","※没填去向类型",IF($L3950="","※没填去向矿区",IF(AND($C3950&lt;&gt;"",$C3950&lt;=结账锁),"※日期早于已结账截止日，不能再录",IF(AND($K3950="自用消耗",COUNTIF({"一矿区";"二矿区"},$L3950)=0),"※自用消耗的去向只能是一矿区或二矿区",IF(AND($K3950="对外销售",COUNTIF({"三矿区";"六矿区"},$L3950)=0),"※对外销售的去向只能是三矿区或六矿区",IF(AND($K3950="对外销售",ROUND($Q3950,0)=0),"※外销却没有售价，请填实际售价",IF(AND($K3950="对外销售",$T3950&lt;&gt;"",$T3950&lt;0),"※这一笔外销是亏的，请核对售价",IF(IFERROR(VLOOKUP($D3950,库存台账!$A$5:$Y$1204,24,0),0)&lt;-0.001,"※这个物料账面已经变成负数了，查一下是不是漏记入库","")))))))))))</f>
        <v/>
      </c>
    </row>
    <row r="3951">
      <c r="A3951" s="24">
        <f>IF($D3951="","",COUNTA($D$4:$D3951))</f>
        <v/>
      </c>
      <c r="B3951" s="17" t="n"/>
      <c r="C3951" s="30" t="n"/>
      <c r="D3951" s="17" t="n"/>
      <c r="E3951" s="24">
        <f>IF($D3951="","",IFERROR(VLOOKUP($D3951,物料档案!$A$4:$P$1203,3,0),"※编码不在物料档案里"))</f>
        <v/>
      </c>
      <c r="F3951" s="24">
        <f>IF($D3951="","",IFERROR(VLOOKUP($D3951,物料档案!$A$4:$P$1203,4,0),"※编码不在物料档案里"))</f>
        <v/>
      </c>
      <c r="G3951" s="24">
        <f>IF($D3951="","",IFERROR(VLOOKUP($D3951,物料档案!$A$4:$P$1203,5,0),"※编码不在物料档案里"))</f>
        <v/>
      </c>
      <c r="H3951" s="24">
        <f>IF($D3951="","",IFERROR(VLOOKUP($D3951,物料档案!$A$4:$P$1203,2,0),"※编码不在物料档案里"))</f>
        <v/>
      </c>
      <c r="I3951" s="24">
        <f>IF($D3951="","",IFERROR(VLOOKUP($D3951,物料档案!$A$4:$P$1203,6,0),"※编码不在物料档案里"))</f>
        <v/>
      </c>
      <c r="J3951" s="23" t="n"/>
      <c r="K3951" s="17" t="n"/>
      <c r="L3951" s="17" t="n"/>
      <c r="M3951" s="17" t="n"/>
      <c r="N3951" s="17" t="n"/>
      <c r="O3951" s="26">
        <f>IF($D3951="","",IFERROR(VLOOKUP($D3951,物料档案!$A$4:$P$1203,10,0),0))</f>
        <v/>
      </c>
      <c r="P3951" s="32" t="n"/>
      <c r="Q3951" s="26">
        <f>IF($D3951="","",IF($K3951&lt;&gt;"对外销售",0,ROUND(N($J3951)*IF($P3951="",N($O3951),N($P3951)),0)))</f>
        <v/>
      </c>
      <c r="R3951" s="26">
        <f>IF($D3951="","",IFERROR(VLOOKUP($D3951,库存台账!$A$5:$Y$1204,11,0),0))</f>
        <v/>
      </c>
      <c r="S3951" s="26">
        <f>IF($D3951="","",ROUND(N($J3951)*N($R3951),0))</f>
        <v/>
      </c>
      <c r="T3951" s="26">
        <f>IF($D3951="","",IF($K3951&lt;&gt;"对外销售","",ROUND($Q3951-$S3951,0)))</f>
        <v/>
      </c>
      <c r="U3951" s="17" t="n"/>
      <c r="V3951" s="17" t="n"/>
      <c r="W3951" s="24">
        <f>IF($D3951="","",IF($E3951="※编码不在物料档案里","※物料编码不在档案里",IF(N($J3951)&lt;=0,"※出库数量要大于 0",IF($K3951="","※没填去向类型",IF($L3951="","※没填去向矿区",IF(AND($C3951&lt;&gt;"",$C3951&lt;=结账锁),"※日期早于已结账截止日，不能再录",IF(AND($K3951="自用消耗",COUNTIF({"一矿区";"二矿区"},$L3951)=0),"※自用消耗的去向只能是一矿区或二矿区",IF(AND($K3951="对外销售",COUNTIF({"三矿区";"六矿区"},$L3951)=0),"※对外销售的去向只能是三矿区或六矿区",IF(AND($K3951="对外销售",ROUND($Q3951,0)=0),"※外销却没有售价，请填实际售价",IF(AND($K3951="对外销售",$T3951&lt;&gt;"",$T3951&lt;0),"※这一笔外销是亏的，请核对售价",IF(IFERROR(VLOOKUP($D3951,库存台账!$A$5:$Y$1204,24,0),0)&lt;-0.001,"※这个物料账面已经变成负数了，查一下是不是漏记入库","")))))))))))</f>
        <v/>
      </c>
    </row>
    <row r="3952">
      <c r="A3952" s="24">
        <f>IF($D3952="","",COUNTA($D$4:$D3952))</f>
        <v/>
      </c>
      <c r="B3952" s="17" t="n"/>
      <c r="C3952" s="30" t="n"/>
      <c r="D3952" s="17" t="n"/>
      <c r="E3952" s="24">
        <f>IF($D3952="","",IFERROR(VLOOKUP($D3952,物料档案!$A$4:$P$1203,3,0),"※编码不在物料档案里"))</f>
        <v/>
      </c>
      <c r="F3952" s="24">
        <f>IF($D3952="","",IFERROR(VLOOKUP($D3952,物料档案!$A$4:$P$1203,4,0),"※编码不在物料档案里"))</f>
        <v/>
      </c>
      <c r="G3952" s="24">
        <f>IF($D3952="","",IFERROR(VLOOKUP($D3952,物料档案!$A$4:$P$1203,5,0),"※编码不在物料档案里"))</f>
        <v/>
      </c>
      <c r="H3952" s="24">
        <f>IF($D3952="","",IFERROR(VLOOKUP($D3952,物料档案!$A$4:$P$1203,2,0),"※编码不在物料档案里"))</f>
        <v/>
      </c>
      <c r="I3952" s="24">
        <f>IF($D3952="","",IFERROR(VLOOKUP($D3952,物料档案!$A$4:$P$1203,6,0),"※编码不在物料档案里"))</f>
        <v/>
      </c>
      <c r="J3952" s="23" t="n"/>
      <c r="K3952" s="17" t="n"/>
      <c r="L3952" s="17" t="n"/>
      <c r="M3952" s="17" t="n"/>
      <c r="N3952" s="17" t="n"/>
      <c r="O3952" s="26">
        <f>IF($D3952="","",IFERROR(VLOOKUP($D3952,物料档案!$A$4:$P$1203,10,0),0))</f>
        <v/>
      </c>
      <c r="P3952" s="32" t="n"/>
      <c r="Q3952" s="26">
        <f>IF($D3952="","",IF($K3952&lt;&gt;"对外销售",0,ROUND(N($J3952)*IF($P3952="",N($O3952),N($P3952)),0)))</f>
        <v/>
      </c>
      <c r="R3952" s="26">
        <f>IF($D3952="","",IFERROR(VLOOKUP($D3952,库存台账!$A$5:$Y$1204,11,0),0))</f>
        <v/>
      </c>
      <c r="S3952" s="26">
        <f>IF($D3952="","",ROUND(N($J3952)*N($R3952),0))</f>
        <v/>
      </c>
      <c r="T3952" s="26">
        <f>IF($D3952="","",IF($K3952&lt;&gt;"对外销售","",ROUND($Q3952-$S3952,0)))</f>
        <v/>
      </c>
      <c r="U3952" s="17" t="n"/>
      <c r="V3952" s="17" t="n"/>
      <c r="W3952" s="24">
        <f>IF($D3952="","",IF($E3952="※编码不在物料档案里","※物料编码不在档案里",IF(N($J3952)&lt;=0,"※出库数量要大于 0",IF($K3952="","※没填去向类型",IF($L3952="","※没填去向矿区",IF(AND($C3952&lt;&gt;"",$C3952&lt;=结账锁),"※日期早于已结账截止日，不能再录",IF(AND($K3952="自用消耗",COUNTIF({"一矿区";"二矿区"},$L3952)=0),"※自用消耗的去向只能是一矿区或二矿区",IF(AND($K3952="对外销售",COUNTIF({"三矿区";"六矿区"},$L3952)=0),"※对外销售的去向只能是三矿区或六矿区",IF(AND($K3952="对外销售",ROUND($Q3952,0)=0),"※外销却没有售价，请填实际售价",IF(AND($K3952="对外销售",$T3952&lt;&gt;"",$T3952&lt;0),"※这一笔外销是亏的，请核对售价",IF(IFERROR(VLOOKUP($D3952,库存台账!$A$5:$Y$1204,24,0),0)&lt;-0.001,"※这个物料账面已经变成负数了，查一下是不是漏记入库","")))))))))))</f>
        <v/>
      </c>
    </row>
    <row r="3953">
      <c r="A3953" s="24">
        <f>IF($D3953="","",COUNTA($D$4:$D3953))</f>
        <v/>
      </c>
      <c r="B3953" s="17" t="n"/>
      <c r="C3953" s="30" t="n"/>
      <c r="D3953" s="17" t="n"/>
      <c r="E3953" s="24">
        <f>IF($D3953="","",IFERROR(VLOOKUP($D3953,物料档案!$A$4:$P$1203,3,0),"※编码不在物料档案里"))</f>
        <v/>
      </c>
      <c r="F3953" s="24">
        <f>IF($D3953="","",IFERROR(VLOOKUP($D3953,物料档案!$A$4:$P$1203,4,0),"※编码不在物料档案里"))</f>
        <v/>
      </c>
      <c r="G3953" s="24">
        <f>IF($D3953="","",IFERROR(VLOOKUP($D3953,物料档案!$A$4:$P$1203,5,0),"※编码不在物料档案里"))</f>
        <v/>
      </c>
      <c r="H3953" s="24">
        <f>IF($D3953="","",IFERROR(VLOOKUP($D3953,物料档案!$A$4:$P$1203,2,0),"※编码不在物料档案里"))</f>
        <v/>
      </c>
      <c r="I3953" s="24">
        <f>IF($D3953="","",IFERROR(VLOOKUP($D3953,物料档案!$A$4:$P$1203,6,0),"※编码不在物料档案里"))</f>
        <v/>
      </c>
      <c r="J3953" s="23" t="n"/>
      <c r="K3953" s="17" t="n"/>
      <c r="L3953" s="17" t="n"/>
      <c r="M3953" s="17" t="n"/>
      <c r="N3953" s="17" t="n"/>
      <c r="O3953" s="26">
        <f>IF($D3953="","",IFERROR(VLOOKUP($D3953,物料档案!$A$4:$P$1203,10,0),0))</f>
        <v/>
      </c>
      <c r="P3953" s="32" t="n"/>
      <c r="Q3953" s="26">
        <f>IF($D3953="","",IF($K3953&lt;&gt;"对外销售",0,ROUND(N($J3953)*IF($P3953="",N($O3953),N($P3953)),0)))</f>
        <v/>
      </c>
      <c r="R3953" s="26">
        <f>IF($D3953="","",IFERROR(VLOOKUP($D3953,库存台账!$A$5:$Y$1204,11,0),0))</f>
        <v/>
      </c>
      <c r="S3953" s="26">
        <f>IF($D3953="","",ROUND(N($J3953)*N($R3953),0))</f>
        <v/>
      </c>
      <c r="T3953" s="26">
        <f>IF($D3953="","",IF($K3953&lt;&gt;"对外销售","",ROUND($Q3953-$S3953,0)))</f>
        <v/>
      </c>
      <c r="U3953" s="17" t="n"/>
      <c r="V3953" s="17" t="n"/>
      <c r="W3953" s="24">
        <f>IF($D3953="","",IF($E3953="※编码不在物料档案里","※物料编码不在档案里",IF(N($J3953)&lt;=0,"※出库数量要大于 0",IF($K3953="","※没填去向类型",IF($L3953="","※没填去向矿区",IF(AND($C3953&lt;&gt;"",$C3953&lt;=结账锁),"※日期早于已结账截止日，不能再录",IF(AND($K3953="自用消耗",COUNTIF({"一矿区";"二矿区"},$L3953)=0),"※自用消耗的去向只能是一矿区或二矿区",IF(AND($K3953="对外销售",COUNTIF({"三矿区";"六矿区"},$L3953)=0),"※对外销售的去向只能是三矿区或六矿区",IF(AND($K3953="对外销售",ROUND($Q3953,0)=0),"※外销却没有售价，请填实际售价",IF(AND($K3953="对外销售",$T3953&lt;&gt;"",$T3953&lt;0),"※这一笔外销是亏的，请核对售价",IF(IFERROR(VLOOKUP($D3953,库存台账!$A$5:$Y$1204,24,0),0)&lt;-0.001,"※这个物料账面已经变成负数了，查一下是不是漏记入库","")))))))))))</f>
        <v/>
      </c>
    </row>
    <row r="3954">
      <c r="A3954" s="24">
        <f>IF($D3954="","",COUNTA($D$4:$D3954))</f>
        <v/>
      </c>
      <c r="B3954" s="17" t="n"/>
      <c r="C3954" s="30" t="n"/>
      <c r="D3954" s="17" t="n"/>
      <c r="E3954" s="24">
        <f>IF($D3954="","",IFERROR(VLOOKUP($D3954,物料档案!$A$4:$P$1203,3,0),"※编码不在物料档案里"))</f>
        <v/>
      </c>
      <c r="F3954" s="24">
        <f>IF($D3954="","",IFERROR(VLOOKUP($D3954,物料档案!$A$4:$P$1203,4,0),"※编码不在物料档案里"))</f>
        <v/>
      </c>
      <c r="G3954" s="24">
        <f>IF($D3954="","",IFERROR(VLOOKUP($D3954,物料档案!$A$4:$P$1203,5,0),"※编码不在物料档案里"))</f>
        <v/>
      </c>
      <c r="H3954" s="24">
        <f>IF($D3954="","",IFERROR(VLOOKUP($D3954,物料档案!$A$4:$P$1203,2,0),"※编码不在物料档案里"))</f>
        <v/>
      </c>
      <c r="I3954" s="24">
        <f>IF($D3954="","",IFERROR(VLOOKUP($D3954,物料档案!$A$4:$P$1203,6,0),"※编码不在物料档案里"))</f>
        <v/>
      </c>
      <c r="J3954" s="23" t="n"/>
      <c r="K3954" s="17" t="n"/>
      <c r="L3954" s="17" t="n"/>
      <c r="M3954" s="17" t="n"/>
      <c r="N3954" s="17" t="n"/>
      <c r="O3954" s="26">
        <f>IF($D3954="","",IFERROR(VLOOKUP($D3954,物料档案!$A$4:$P$1203,10,0),0))</f>
        <v/>
      </c>
      <c r="P3954" s="32" t="n"/>
      <c r="Q3954" s="26">
        <f>IF($D3954="","",IF($K3954&lt;&gt;"对外销售",0,ROUND(N($J3954)*IF($P3954="",N($O3954),N($P3954)),0)))</f>
        <v/>
      </c>
      <c r="R3954" s="26">
        <f>IF($D3954="","",IFERROR(VLOOKUP($D3954,库存台账!$A$5:$Y$1204,11,0),0))</f>
        <v/>
      </c>
      <c r="S3954" s="26">
        <f>IF($D3954="","",ROUND(N($J3954)*N($R3954),0))</f>
        <v/>
      </c>
      <c r="T3954" s="26">
        <f>IF($D3954="","",IF($K3954&lt;&gt;"对外销售","",ROUND($Q3954-$S3954,0)))</f>
        <v/>
      </c>
      <c r="U3954" s="17" t="n"/>
      <c r="V3954" s="17" t="n"/>
      <c r="W3954" s="24">
        <f>IF($D3954="","",IF($E3954="※编码不在物料档案里","※物料编码不在档案里",IF(N($J3954)&lt;=0,"※出库数量要大于 0",IF($K3954="","※没填去向类型",IF($L3954="","※没填去向矿区",IF(AND($C3954&lt;&gt;"",$C3954&lt;=结账锁),"※日期早于已结账截止日，不能再录",IF(AND($K3954="自用消耗",COUNTIF({"一矿区";"二矿区"},$L3954)=0),"※自用消耗的去向只能是一矿区或二矿区",IF(AND($K3954="对外销售",COUNTIF({"三矿区";"六矿区"},$L3954)=0),"※对外销售的去向只能是三矿区或六矿区",IF(AND($K3954="对外销售",ROUND($Q3954,0)=0),"※外销却没有售价，请填实际售价",IF(AND($K3954="对外销售",$T3954&lt;&gt;"",$T3954&lt;0),"※这一笔外销是亏的，请核对售价",IF(IFERROR(VLOOKUP($D3954,库存台账!$A$5:$Y$1204,24,0),0)&lt;-0.001,"※这个物料账面已经变成负数了，查一下是不是漏记入库","")))))))))))</f>
        <v/>
      </c>
    </row>
    <row r="3955">
      <c r="A3955" s="24">
        <f>IF($D3955="","",COUNTA($D$4:$D3955))</f>
        <v/>
      </c>
      <c r="B3955" s="17" t="n"/>
      <c r="C3955" s="30" t="n"/>
      <c r="D3955" s="17" t="n"/>
      <c r="E3955" s="24">
        <f>IF($D3955="","",IFERROR(VLOOKUP($D3955,物料档案!$A$4:$P$1203,3,0),"※编码不在物料档案里"))</f>
        <v/>
      </c>
      <c r="F3955" s="24">
        <f>IF($D3955="","",IFERROR(VLOOKUP($D3955,物料档案!$A$4:$P$1203,4,0),"※编码不在物料档案里"))</f>
        <v/>
      </c>
      <c r="G3955" s="24">
        <f>IF($D3955="","",IFERROR(VLOOKUP($D3955,物料档案!$A$4:$P$1203,5,0),"※编码不在物料档案里"))</f>
        <v/>
      </c>
      <c r="H3955" s="24">
        <f>IF($D3955="","",IFERROR(VLOOKUP($D3955,物料档案!$A$4:$P$1203,2,0),"※编码不在物料档案里"))</f>
        <v/>
      </c>
      <c r="I3955" s="24">
        <f>IF($D3955="","",IFERROR(VLOOKUP($D3955,物料档案!$A$4:$P$1203,6,0),"※编码不在物料档案里"))</f>
        <v/>
      </c>
      <c r="J3955" s="23" t="n"/>
      <c r="K3955" s="17" t="n"/>
      <c r="L3955" s="17" t="n"/>
      <c r="M3955" s="17" t="n"/>
      <c r="N3955" s="17" t="n"/>
      <c r="O3955" s="26">
        <f>IF($D3955="","",IFERROR(VLOOKUP($D3955,物料档案!$A$4:$P$1203,10,0),0))</f>
        <v/>
      </c>
      <c r="P3955" s="32" t="n"/>
      <c r="Q3955" s="26">
        <f>IF($D3955="","",IF($K3955&lt;&gt;"对外销售",0,ROUND(N($J3955)*IF($P3955="",N($O3955),N($P3955)),0)))</f>
        <v/>
      </c>
      <c r="R3955" s="26">
        <f>IF($D3955="","",IFERROR(VLOOKUP($D3955,库存台账!$A$5:$Y$1204,11,0),0))</f>
        <v/>
      </c>
      <c r="S3955" s="26">
        <f>IF($D3955="","",ROUND(N($J3955)*N($R3955),0))</f>
        <v/>
      </c>
      <c r="T3955" s="26">
        <f>IF($D3955="","",IF($K3955&lt;&gt;"对外销售","",ROUND($Q3955-$S3955,0)))</f>
        <v/>
      </c>
      <c r="U3955" s="17" t="n"/>
      <c r="V3955" s="17" t="n"/>
      <c r="W3955" s="24">
        <f>IF($D3955="","",IF($E3955="※编码不在物料档案里","※物料编码不在档案里",IF(N($J3955)&lt;=0,"※出库数量要大于 0",IF($K3955="","※没填去向类型",IF($L3955="","※没填去向矿区",IF(AND($C3955&lt;&gt;"",$C3955&lt;=结账锁),"※日期早于已结账截止日，不能再录",IF(AND($K3955="自用消耗",COUNTIF({"一矿区";"二矿区"},$L3955)=0),"※自用消耗的去向只能是一矿区或二矿区",IF(AND($K3955="对外销售",COUNTIF({"三矿区";"六矿区"},$L3955)=0),"※对外销售的去向只能是三矿区或六矿区",IF(AND($K3955="对外销售",ROUND($Q3955,0)=0),"※外销却没有售价，请填实际售价",IF(AND($K3955="对外销售",$T3955&lt;&gt;"",$T3955&lt;0),"※这一笔外销是亏的，请核对售价",IF(IFERROR(VLOOKUP($D3955,库存台账!$A$5:$Y$1204,24,0),0)&lt;-0.001,"※这个物料账面已经变成负数了，查一下是不是漏记入库","")))))))))))</f>
        <v/>
      </c>
    </row>
    <row r="3956">
      <c r="A3956" s="24">
        <f>IF($D3956="","",COUNTA($D$4:$D3956))</f>
        <v/>
      </c>
      <c r="B3956" s="17" t="n"/>
      <c r="C3956" s="30" t="n"/>
      <c r="D3956" s="17" t="n"/>
      <c r="E3956" s="24">
        <f>IF($D3956="","",IFERROR(VLOOKUP($D3956,物料档案!$A$4:$P$1203,3,0),"※编码不在物料档案里"))</f>
        <v/>
      </c>
      <c r="F3956" s="24">
        <f>IF($D3956="","",IFERROR(VLOOKUP($D3956,物料档案!$A$4:$P$1203,4,0),"※编码不在物料档案里"))</f>
        <v/>
      </c>
      <c r="G3956" s="24">
        <f>IF($D3956="","",IFERROR(VLOOKUP($D3956,物料档案!$A$4:$P$1203,5,0),"※编码不在物料档案里"))</f>
        <v/>
      </c>
      <c r="H3956" s="24">
        <f>IF($D3956="","",IFERROR(VLOOKUP($D3956,物料档案!$A$4:$P$1203,2,0),"※编码不在物料档案里"))</f>
        <v/>
      </c>
      <c r="I3956" s="24">
        <f>IF($D3956="","",IFERROR(VLOOKUP($D3956,物料档案!$A$4:$P$1203,6,0),"※编码不在物料档案里"))</f>
        <v/>
      </c>
      <c r="J3956" s="23" t="n"/>
      <c r="K3956" s="17" t="n"/>
      <c r="L3956" s="17" t="n"/>
      <c r="M3956" s="17" t="n"/>
      <c r="N3956" s="17" t="n"/>
      <c r="O3956" s="26">
        <f>IF($D3956="","",IFERROR(VLOOKUP($D3956,物料档案!$A$4:$P$1203,10,0),0))</f>
        <v/>
      </c>
      <c r="P3956" s="32" t="n"/>
      <c r="Q3956" s="26">
        <f>IF($D3956="","",IF($K3956&lt;&gt;"对外销售",0,ROUND(N($J3956)*IF($P3956="",N($O3956),N($P3956)),0)))</f>
        <v/>
      </c>
      <c r="R3956" s="26">
        <f>IF($D3956="","",IFERROR(VLOOKUP($D3956,库存台账!$A$5:$Y$1204,11,0),0))</f>
        <v/>
      </c>
      <c r="S3956" s="26">
        <f>IF($D3956="","",ROUND(N($J3956)*N($R3956),0))</f>
        <v/>
      </c>
      <c r="T3956" s="26">
        <f>IF($D3956="","",IF($K3956&lt;&gt;"对外销售","",ROUND($Q3956-$S3956,0)))</f>
        <v/>
      </c>
      <c r="U3956" s="17" t="n"/>
      <c r="V3956" s="17" t="n"/>
      <c r="W3956" s="24">
        <f>IF($D3956="","",IF($E3956="※编码不在物料档案里","※物料编码不在档案里",IF(N($J3956)&lt;=0,"※出库数量要大于 0",IF($K3956="","※没填去向类型",IF($L3956="","※没填去向矿区",IF(AND($C3956&lt;&gt;"",$C3956&lt;=结账锁),"※日期早于已结账截止日，不能再录",IF(AND($K3956="自用消耗",COUNTIF({"一矿区";"二矿区"},$L3956)=0),"※自用消耗的去向只能是一矿区或二矿区",IF(AND($K3956="对外销售",COUNTIF({"三矿区";"六矿区"},$L3956)=0),"※对外销售的去向只能是三矿区或六矿区",IF(AND($K3956="对外销售",ROUND($Q3956,0)=0),"※外销却没有售价，请填实际售价",IF(AND($K3956="对外销售",$T3956&lt;&gt;"",$T3956&lt;0),"※这一笔外销是亏的，请核对售价",IF(IFERROR(VLOOKUP($D3956,库存台账!$A$5:$Y$1204,24,0),0)&lt;-0.001,"※这个物料账面已经变成负数了，查一下是不是漏记入库","")))))))))))</f>
        <v/>
      </c>
    </row>
    <row r="3957">
      <c r="A3957" s="24">
        <f>IF($D3957="","",COUNTA($D$4:$D3957))</f>
        <v/>
      </c>
      <c r="B3957" s="17" t="n"/>
      <c r="C3957" s="30" t="n"/>
      <c r="D3957" s="17" t="n"/>
      <c r="E3957" s="24">
        <f>IF($D3957="","",IFERROR(VLOOKUP($D3957,物料档案!$A$4:$P$1203,3,0),"※编码不在物料档案里"))</f>
        <v/>
      </c>
      <c r="F3957" s="24">
        <f>IF($D3957="","",IFERROR(VLOOKUP($D3957,物料档案!$A$4:$P$1203,4,0),"※编码不在物料档案里"))</f>
        <v/>
      </c>
      <c r="G3957" s="24">
        <f>IF($D3957="","",IFERROR(VLOOKUP($D3957,物料档案!$A$4:$P$1203,5,0),"※编码不在物料档案里"))</f>
        <v/>
      </c>
      <c r="H3957" s="24">
        <f>IF($D3957="","",IFERROR(VLOOKUP($D3957,物料档案!$A$4:$P$1203,2,0),"※编码不在物料档案里"))</f>
        <v/>
      </c>
      <c r="I3957" s="24">
        <f>IF($D3957="","",IFERROR(VLOOKUP($D3957,物料档案!$A$4:$P$1203,6,0),"※编码不在物料档案里"))</f>
        <v/>
      </c>
      <c r="J3957" s="23" t="n"/>
      <c r="K3957" s="17" t="n"/>
      <c r="L3957" s="17" t="n"/>
      <c r="M3957" s="17" t="n"/>
      <c r="N3957" s="17" t="n"/>
      <c r="O3957" s="26">
        <f>IF($D3957="","",IFERROR(VLOOKUP($D3957,物料档案!$A$4:$P$1203,10,0),0))</f>
        <v/>
      </c>
      <c r="P3957" s="32" t="n"/>
      <c r="Q3957" s="26">
        <f>IF($D3957="","",IF($K3957&lt;&gt;"对外销售",0,ROUND(N($J3957)*IF($P3957="",N($O3957),N($P3957)),0)))</f>
        <v/>
      </c>
      <c r="R3957" s="26">
        <f>IF($D3957="","",IFERROR(VLOOKUP($D3957,库存台账!$A$5:$Y$1204,11,0),0))</f>
        <v/>
      </c>
      <c r="S3957" s="26">
        <f>IF($D3957="","",ROUND(N($J3957)*N($R3957),0))</f>
        <v/>
      </c>
      <c r="T3957" s="26">
        <f>IF($D3957="","",IF($K3957&lt;&gt;"对外销售","",ROUND($Q3957-$S3957,0)))</f>
        <v/>
      </c>
      <c r="U3957" s="17" t="n"/>
      <c r="V3957" s="17" t="n"/>
      <c r="W3957" s="24">
        <f>IF($D3957="","",IF($E3957="※编码不在物料档案里","※物料编码不在档案里",IF(N($J3957)&lt;=0,"※出库数量要大于 0",IF($K3957="","※没填去向类型",IF($L3957="","※没填去向矿区",IF(AND($C3957&lt;&gt;"",$C3957&lt;=结账锁),"※日期早于已结账截止日，不能再录",IF(AND($K3957="自用消耗",COUNTIF({"一矿区";"二矿区"},$L3957)=0),"※自用消耗的去向只能是一矿区或二矿区",IF(AND($K3957="对外销售",COUNTIF({"三矿区";"六矿区"},$L3957)=0),"※对外销售的去向只能是三矿区或六矿区",IF(AND($K3957="对外销售",ROUND($Q3957,0)=0),"※外销却没有售价，请填实际售价",IF(AND($K3957="对外销售",$T3957&lt;&gt;"",$T3957&lt;0),"※这一笔外销是亏的，请核对售价",IF(IFERROR(VLOOKUP($D3957,库存台账!$A$5:$Y$1204,24,0),0)&lt;-0.001,"※这个物料账面已经变成负数了，查一下是不是漏记入库","")))))))))))</f>
        <v/>
      </c>
    </row>
    <row r="3958">
      <c r="A3958" s="24">
        <f>IF($D3958="","",COUNTA($D$4:$D3958))</f>
        <v/>
      </c>
      <c r="B3958" s="17" t="n"/>
      <c r="C3958" s="30" t="n"/>
      <c r="D3958" s="17" t="n"/>
      <c r="E3958" s="24">
        <f>IF($D3958="","",IFERROR(VLOOKUP($D3958,物料档案!$A$4:$P$1203,3,0),"※编码不在物料档案里"))</f>
        <v/>
      </c>
      <c r="F3958" s="24">
        <f>IF($D3958="","",IFERROR(VLOOKUP($D3958,物料档案!$A$4:$P$1203,4,0),"※编码不在物料档案里"))</f>
        <v/>
      </c>
      <c r="G3958" s="24">
        <f>IF($D3958="","",IFERROR(VLOOKUP($D3958,物料档案!$A$4:$P$1203,5,0),"※编码不在物料档案里"))</f>
        <v/>
      </c>
      <c r="H3958" s="24">
        <f>IF($D3958="","",IFERROR(VLOOKUP($D3958,物料档案!$A$4:$P$1203,2,0),"※编码不在物料档案里"))</f>
        <v/>
      </c>
      <c r="I3958" s="24">
        <f>IF($D3958="","",IFERROR(VLOOKUP($D3958,物料档案!$A$4:$P$1203,6,0),"※编码不在物料档案里"))</f>
        <v/>
      </c>
      <c r="J3958" s="23" t="n"/>
      <c r="K3958" s="17" t="n"/>
      <c r="L3958" s="17" t="n"/>
      <c r="M3958" s="17" t="n"/>
      <c r="N3958" s="17" t="n"/>
      <c r="O3958" s="26">
        <f>IF($D3958="","",IFERROR(VLOOKUP($D3958,物料档案!$A$4:$P$1203,10,0),0))</f>
        <v/>
      </c>
      <c r="P3958" s="32" t="n"/>
      <c r="Q3958" s="26">
        <f>IF($D3958="","",IF($K3958&lt;&gt;"对外销售",0,ROUND(N($J3958)*IF($P3958="",N($O3958),N($P3958)),0)))</f>
        <v/>
      </c>
      <c r="R3958" s="26">
        <f>IF($D3958="","",IFERROR(VLOOKUP($D3958,库存台账!$A$5:$Y$1204,11,0),0))</f>
        <v/>
      </c>
      <c r="S3958" s="26">
        <f>IF($D3958="","",ROUND(N($J3958)*N($R3958),0))</f>
        <v/>
      </c>
      <c r="T3958" s="26">
        <f>IF($D3958="","",IF($K3958&lt;&gt;"对外销售","",ROUND($Q3958-$S3958,0)))</f>
        <v/>
      </c>
      <c r="U3958" s="17" t="n"/>
      <c r="V3958" s="17" t="n"/>
      <c r="W3958" s="24">
        <f>IF($D3958="","",IF($E3958="※编码不在物料档案里","※物料编码不在档案里",IF(N($J3958)&lt;=0,"※出库数量要大于 0",IF($K3958="","※没填去向类型",IF($L3958="","※没填去向矿区",IF(AND($C3958&lt;&gt;"",$C3958&lt;=结账锁),"※日期早于已结账截止日，不能再录",IF(AND($K3958="自用消耗",COUNTIF({"一矿区";"二矿区"},$L3958)=0),"※自用消耗的去向只能是一矿区或二矿区",IF(AND($K3958="对外销售",COUNTIF({"三矿区";"六矿区"},$L3958)=0),"※对外销售的去向只能是三矿区或六矿区",IF(AND($K3958="对外销售",ROUND($Q3958,0)=0),"※外销却没有售价，请填实际售价",IF(AND($K3958="对外销售",$T3958&lt;&gt;"",$T3958&lt;0),"※这一笔外销是亏的，请核对售价",IF(IFERROR(VLOOKUP($D3958,库存台账!$A$5:$Y$1204,24,0),0)&lt;-0.001,"※这个物料账面已经变成负数了，查一下是不是漏记入库","")))))))))))</f>
        <v/>
      </c>
    </row>
    <row r="3959">
      <c r="A3959" s="24">
        <f>IF($D3959="","",COUNTA($D$4:$D3959))</f>
        <v/>
      </c>
      <c r="B3959" s="17" t="n"/>
      <c r="C3959" s="30" t="n"/>
      <c r="D3959" s="17" t="n"/>
      <c r="E3959" s="24">
        <f>IF($D3959="","",IFERROR(VLOOKUP($D3959,物料档案!$A$4:$P$1203,3,0),"※编码不在物料档案里"))</f>
        <v/>
      </c>
      <c r="F3959" s="24">
        <f>IF($D3959="","",IFERROR(VLOOKUP($D3959,物料档案!$A$4:$P$1203,4,0),"※编码不在物料档案里"))</f>
        <v/>
      </c>
      <c r="G3959" s="24">
        <f>IF($D3959="","",IFERROR(VLOOKUP($D3959,物料档案!$A$4:$P$1203,5,0),"※编码不在物料档案里"))</f>
        <v/>
      </c>
      <c r="H3959" s="24">
        <f>IF($D3959="","",IFERROR(VLOOKUP($D3959,物料档案!$A$4:$P$1203,2,0),"※编码不在物料档案里"))</f>
        <v/>
      </c>
      <c r="I3959" s="24">
        <f>IF($D3959="","",IFERROR(VLOOKUP($D3959,物料档案!$A$4:$P$1203,6,0),"※编码不在物料档案里"))</f>
        <v/>
      </c>
      <c r="J3959" s="23" t="n"/>
      <c r="K3959" s="17" t="n"/>
      <c r="L3959" s="17" t="n"/>
      <c r="M3959" s="17" t="n"/>
      <c r="N3959" s="17" t="n"/>
      <c r="O3959" s="26">
        <f>IF($D3959="","",IFERROR(VLOOKUP($D3959,物料档案!$A$4:$P$1203,10,0),0))</f>
        <v/>
      </c>
      <c r="P3959" s="32" t="n"/>
      <c r="Q3959" s="26">
        <f>IF($D3959="","",IF($K3959&lt;&gt;"对外销售",0,ROUND(N($J3959)*IF($P3959="",N($O3959),N($P3959)),0)))</f>
        <v/>
      </c>
      <c r="R3959" s="26">
        <f>IF($D3959="","",IFERROR(VLOOKUP($D3959,库存台账!$A$5:$Y$1204,11,0),0))</f>
        <v/>
      </c>
      <c r="S3959" s="26">
        <f>IF($D3959="","",ROUND(N($J3959)*N($R3959),0))</f>
        <v/>
      </c>
      <c r="T3959" s="26">
        <f>IF($D3959="","",IF($K3959&lt;&gt;"对外销售","",ROUND($Q3959-$S3959,0)))</f>
        <v/>
      </c>
      <c r="U3959" s="17" t="n"/>
      <c r="V3959" s="17" t="n"/>
      <c r="W3959" s="24">
        <f>IF($D3959="","",IF($E3959="※编码不在物料档案里","※物料编码不在档案里",IF(N($J3959)&lt;=0,"※出库数量要大于 0",IF($K3959="","※没填去向类型",IF($L3959="","※没填去向矿区",IF(AND($C3959&lt;&gt;"",$C3959&lt;=结账锁),"※日期早于已结账截止日，不能再录",IF(AND($K3959="自用消耗",COUNTIF({"一矿区";"二矿区"},$L3959)=0),"※自用消耗的去向只能是一矿区或二矿区",IF(AND($K3959="对外销售",COUNTIF({"三矿区";"六矿区"},$L3959)=0),"※对外销售的去向只能是三矿区或六矿区",IF(AND($K3959="对外销售",ROUND($Q3959,0)=0),"※外销却没有售价，请填实际售价",IF(AND($K3959="对外销售",$T3959&lt;&gt;"",$T3959&lt;0),"※这一笔外销是亏的，请核对售价",IF(IFERROR(VLOOKUP($D3959,库存台账!$A$5:$Y$1204,24,0),0)&lt;-0.001,"※这个物料账面已经变成负数了，查一下是不是漏记入库","")))))))))))</f>
        <v/>
      </c>
    </row>
    <row r="3960">
      <c r="A3960" s="24">
        <f>IF($D3960="","",COUNTA($D$4:$D3960))</f>
        <v/>
      </c>
      <c r="B3960" s="17" t="n"/>
      <c r="C3960" s="30" t="n"/>
      <c r="D3960" s="17" t="n"/>
      <c r="E3960" s="24">
        <f>IF($D3960="","",IFERROR(VLOOKUP($D3960,物料档案!$A$4:$P$1203,3,0),"※编码不在物料档案里"))</f>
        <v/>
      </c>
      <c r="F3960" s="24">
        <f>IF($D3960="","",IFERROR(VLOOKUP($D3960,物料档案!$A$4:$P$1203,4,0),"※编码不在物料档案里"))</f>
        <v/>
      </c>
      <c r="G3960" s="24">
        <f>IF($D3960="","",IFERROR(VLOOKUP($D3960,物料档案!$A$4:$P$1203,5,0),"※编码不在物料档案里"))</f>
        <v/>
      </c>
      <c r="H3960" s="24">
        <f>IF($D3960="","",IFERROR(VLOOKUP($D3960,物料档案!$A$4:$P$1203,2,0),"※编码不在物料档案里"))</f>
        <v/>
      </c>
      <c r="I3960" s="24">
        <f>IF($D3960="","",IFERROR(VLOOKUP($D3960,物料档案!$A$4:$P$1203,6,0),"※编码不在物料档案里"))</f>
        <v/>
      </c>
      <c r="J3960" s="23" t="n"/>
      <c r="K3960" s="17" t="n"/>
      <c r="L3960" s="17" t="n"/>
      <c r="M3960" s="17" t="n"/>
      <c r="N3960" s="17" t="n"/>
      <c r="O3960" s="26">
        <f>IF($D3960="","",IFERROR(VLOOKUP($D3960,物料档案!$A$4:$P$1203,10,0),0))</f>
        <v/>
      </c>
      <c r="P3960" s="32" t="n"/>
      <c r="Q3960" s="26">
        <f>IF($D3960="","",IF($K3960&lt;&gt;"对外销售",0,ROUND(N($J3960)*IF($P3960="",N($O3960),N($P3960)),0)))</f>
        <v/>
      </c>
      <c r="R3960" s="26">
        <f>IF($D3960="","",IFERROR(VLOOKUP($D3960,库存台账!$A$5:$Y$1204,11,0),0))</f>
        <v/>
      </c>
      <c r="S3960" s="26">
        <f>IF($D3960="","",ROUND(N($J3960)*N($R3960),0))</f>
        <v/>
      </c>
      <c r="T3960" s="26">
        <f>IF($D3960="","",IF($K3960&lt;&gt;"对外销售","",ROUND($Q3960-$S3960,0)))</f>
        <v/>
      </c>
      <c r="U3960" s="17" t="n"/>
      <c r="V3960" s="17" t="n"/>
      <c r="W3960" s="24">
        <f>IF($D3960="","",IF($E3960="※编码不在物料档案里","※物料编码不在档案里",IF(N($J3960)&lt;=0,"※出库数量要大于 0",IF($K3960="","※没填去向类型",IF($L3960="","※没填去向矿区",IF(AND($C3960&lt;&gt;"",$C3960&lt;=结账锁),"※日期早于已结账截止日，不能再录",IF(AND($K3960="自用消耗",COUNTIF({"一矿区";"二矿区"},$L3960)=0),"※自用消耗的去向只能是一矿区或二矿区",IF(AND($K3960="对外销售",COUNTIF({"三矿区";"六矿区"},$L3960)=0),"※对外销售的去向只能是三矿区或六矿区",IF(AND($K3960="对外销售",ROUND($Q3960,0)=0),"※外销却没有售价，请填实际售价",IF(AND($K3960="对外销售",$T3960&lt;&gt;"",$T3960&lt;0),"※这一笔外销是亏的，请核对售价",IF(IFERROR(VLOOKUP($D3960,库存台账!$A$5:$Y$1204,24,0),0)&lt;-0.001,"※这个物料账面已经变成负数了，查一下是不是漏记入库","")))))))))))</f>
        <v/>
      </c>
    </row>
    <row r="3961">
      <c r="A3961" s="24">
        <f>IF($D3961="","",COUNTA($D$4:$D3961))</f>
        <v/>
      </c>
      <c r="B3961" s="17" t="n"/>
      <c r="C3961" s="30" t="n"/>
      <c r="D3961" s="17" t="n"/>
      <c r="E3961" s="24">
        <f>IF($D3961="","",IFERROR(VLOOKUP($D3961,物料档案!$A$4:$P$1203,3,0),"※编码不在物料档案里"))</f>
        <v/>
      </c>
      <c r="F3961" s="24">
        <f>IF($D3961="","",IFERROR(VLOOKUP($D3961,物料档案!$A$4:$P$1203,4,0),"※编码不在物料档案里"))</f>
        <v/>
      </c>
      <c r="G3961" s="24">
        <f>IF($D3961="","",IFERROR(VLOOKUP($D3961,物料档案!$A$4:$P$1203,5,0),"※编码不在物料档案里"))</f>
        <v/>
      </c>
      <c r="H3961" s="24">
        <f>IF($D3961="","",IFERROR(VLOOKUP($D3961,物料档案!$A$4:$P$1203,2,0),"※编码不在物料档案里"))</f>
        <v/>
      </c>
      <c r="I3961" s="24">
        <f>IF($D3961="","",IFERROR(VLOOKUP($D3961,物料档案!$A$4:$P$1203,6,0),"※编码不在物料档案里"))</f>
        <v/>
      </c>
      <c r="J3961" s="23" t="n"/>
      <c r="K3961" s="17" t="n"/>
      <c r="L3961" s="17" t="n"/>
      <c r="M3961" s="17" t="n"/>
      <c r="N3961" s="17" t="n"/>
      <c r="O3961" s="26">
        <f>IF($D3961="","",IFERROR(VLOOKUP($D3961,物料档案!$A$4:$P$1203,10,0),0))</f>
        <v/>
      </c>
      <c r="P3961" s="32" t="n"/>
      <c r="Q3961" s="26">
        <f>IF($D3961="","",IF($K3961&lt;&gt;"对外销售",0,ROUND(N($J3961)*IF($P3961="",N($O3961),N($P3961)),0)))</f>
        <v/>
      </c>
      <c r="R3961" s="26">
        <f>IF($D3961="","",IFERROR(VLOOKUP($D3961,库存台账!$A$5:$Y$1204,11,0),0))</f>
        <v/>
      </c>
      <c r="S3961" s="26">
        <f>IF($D3961="","",ROUND(N($J3961)*N($R3961),0))</f>
        <v/>
      </c>
      <c r="T3961" s="26">
        <f>IF($D3961="","",IF($K3961&lt;&gt;"对外销售","",ROUND($Q3961-$S3961,0)))</f>
        <v/>
      </c>
      <c r="U3961" s="17" t="n"/>
      <c r="V3961" s="17" t="n"/>
      <c r="W3961" s="24">
        <f>IF($D3961="","",IF($E3961="※编码不在物料档案里","※物料编码不在档案里",IF(N($J3961)&lt;=0,"※出库数量要大于 0",IF($K3961="","※没填去向类型",IF($L3961="","※没填去向矿区",IF(AND($C3961&lt;&gt;"",$C3961&lt;=结账锁),"※日期早于已结账截止日，不能再录",IF(AND($K3961="自用消耗",COUNTIF({"一矿区";"二矿区"},$L3961)=0),"※自用消耗的去向只能是一矿区或二矿区",IF(AND($K3961="对外销售",COUNTIF({"三矿区";"六矿区"},$L3961)=0),"※对外销售的去向只能是三矿区或六矿区",IF(AND($K3961="对外销售",ROUND($Q3961,0)=0),"※外销却没有售价，请填实际售价",IF(AND($K3961="对外销售",$T3961&lt;&gt;"",$T3961&lt;0),"※这一笔外销是亏的，请核对售价",IF(IFERROR(VLOOKUP($D3961,库存台账!$A$5:$Y$1204,24,0),0)&lt;-0.001,"※这个物料账面已经变成负数了，查一下是不是漏记入库","")))))))))))</f>
        <v/>
      </c>
    </row>
    <row r="3962">
      <c r="A3962" s="24">
        <f>IF($D3962="","",COUNTA($D$4:$D3962))</f>
        <v/>
      </c>
      <c r="B3962" s="17" t="n"/>
      <c r="C3962" s="30" t="n"/>
      <c r="D3962" s="17" t="n"/>
      <c r="E3962" s="24">
        <f>IF($D3962="","",IFERROR(VLOOKUP($D3962,物料档案!$A$4:$P$1203,3,0),"※编码不在物料档案里"))</f>
        <v/>
      </c>
      <c r="F3962" s="24">
        <f>IF($D3962="","",IFERROR(VLOOKUP($D3962,物料档案!$A$4:$P$1203,4,0),"※编码不在物料档案里"))</f>
        <v/>
      </c>
      <c r="G3962" s="24">
        <f>IF($D3962="","",IFERROR(VLOOKUP($D3962,物料档案!$A$4:$P$1203,5,0),"※编码不在物料档案里"))</f>
        <v/>
      </c>
      <c r="H3962" s="24">
        <f>IF($D3962="","",IFERROR(VLOOKUP($D3962,物料档案!$A$4:$P$1203,2,0),"※编码不在物料档案里"))</f>
        <v/>
      </c>
      <c r="I3962" s="24">
        <f>IF($D3962="","",IFERROR(VLOOKUP($D3962,物料档案!$A$4:$P$1203,6,0),"※编码不在物料档案里"))</f>
        <v/>
      </c>
      <c r="J3962" s="23" t="n"/>
      <c r="K3962" s="17" t="n"/>
      <c r="L3962" s="17" t="n"/>
      <c r="M3962" s="17" t="n"/>
      <c r="N3962" s="17" t="n"/>
      <c r="O3962" s="26">
        <f>IF($D3962="","",IFERROR(VLOOKUP($D3962,物料档案!$A$4:$P$1203,10,0),0))</f>
        <v/>
      </c>
      <c r="P3962" s="32" t="n"/>
      <c r="Q3962" s="26">
        <f>IF($D3962="","",IF($K3962&lt;&gt;"对外销售",0,ROUND(N($J3962)*IF($P3962="",N($O3962),N($P3962)),0)))</f>
        <v/>
      </c>
      <c r="R3962" s="26">
        <f>IF($D3962="","",IFERROR(VLOOKUP($D3962,库存台账!$A$5:$Y$1204,11,0),0))</f>
        <v/>
      </c>
      <c r="S3962" s="26">
        <f>IF($D3962="","",ROUND(N($J3962)*N($R3962),0))</f>
        <v/>
      </c>
      <c r="T3962" s="26">
        <f>IF($D3962="","",IF($K3962&lt;&gt;"对外销售","",ROUND($Q3962-$S3962,0)))</f>
        <v/>
      </c>
      <c r="U3962" s="17" t="n"/>
      <c r="V3962" s="17" t="n"/>
      <c r="W3962" s="24">
        <f>IF($D3962="","",IF($E3962="※编码不在物料档案里","※物料编码不在档案里",IF(N($J3962)&lt;=0,"※出库数量要大于 0",IF($K3962="","※没填去向类型",IF($L3962="","※没填去向矿区",IF(AND($C3962&lt;&gt;"",$C3962&lt;=结账锁),"※日期早于已结账截止日，不能再录",IF(AND($K3962="自用消耗",COUNTIF({"一矿区";"二矿区"},$L3962)=0),"※自用消耗的去向只能是一矿区或二矿区",IF(AND($K3962="对外销售",COUNTIF({"三矿区";"六矿区"},$L3962)=0),"※对外销售的去向只能是三矿区或六矿区",IF(AND($K3962="对外销售",ROUND($Q3962,0)=0),"※外销却没有售价，请填实际售价",IF(AND($K3962="对外销售",$T3962&lt;&gt;"",$T3962&lt;0),"※这一笔外销是亏的，请核对售价",IF(IFERROR(VLOOKUP($D3962,库存台账!$A$5:$Y$1204,24,0),0)&lt;-0.001,"※这个物料账面已经变成负数了，查一下是不是漏记入库","")))))))))))</f>
        <v/>
      </c>
    </row>
    <row r="3963">
      <c r="A3963" s="24">
        <f>IF($D3963="","",COUNTA($D$4:$D3963))</f>
        <v/>
      </c>
      <c r="B3963" s="17" t="n"/>
      <c r="C3963" s="30" t="n"/>
      <c r="D3963" s="17" t="n"/>
      <c r="E3963" s="24">
        <f>IF($D3963="","",IFERROR(VLOOKUP($D3963,物料档案!$A$4:$P$1203,3,0),"※编码不在物料档案里"))</f>
        <v/>
      </c>
      <c r="F3963" s="24">
        <f>IF($D3963="","",IFERROR(VLOOKUP($D3963,物料档案!$A$4:$P$1203,4,0),"※编码不在物料档案里"))</f>
        <v/>
      </c>
      <c r="G3963" s="24">
        <f>IF($D3963="","",IFERROR(VLOOKUP($D3963,物料档案!$A$4:$P$1203,5,0),"※编码不在物料档案里"))</f>
        <v/>
      </c>
      <c r="H3963" s="24">
        <f>IF($D3963="","",IFERROR(VLOOKUP($D3963,物料档案!$A$4:$P$1203,2,0),"※编码不在物料档案里"))</f>
        <v/>
      </c>
      <c r="I3963" s="24">
        <f>IF($D3963="","",IFERROR(VLOOKUP($D3963,物料档案!$A$4:$P$1203,6,0),"※编码不在物料档案里"))</f>
        <v/>
      </c>
      <c r="J3963" s="23" t="n"/>
      <c r="K3963" s="17" t="n"/>
      <c r="L3963" s="17" t="n"/>
      <c r="M3963" s="17" t="n"/>
      <c r="N3963" s="17" t="n"/>
      <c r="O3963" s="26">
        <f>IF($D3963="","",IFERROR(VLOOKUP($D3963,物料档案!$A$4:$P$1203,10,0),0))</f>
        <v/>
      </c>
      <c r="P3963" s="32" t="n"/>
      <c r="Q3963" s="26">
        <f>IF($D3963="","",IF($K3963&lt;&gt;"对外销售",0,ROUND(N($J3963)*IF($P3963="",N($O3963),N($P3963)),0)))</f>
        <v/>
      </c>
      <c r="R3963" s="26">
        <f>IF($D3963="","",IFERROR(VLOOKUP($D3963,库存台账!$A$5:$Y$1204,11,0),0))</f>
        <v/>
      </c>
      <c r="S3963" s="26">
        <f>IF($D3963="","",ROUND(N($J3963)*N($R3963),0))</f>
        <v/>
      </c>
      <c r="T3963" s="26">
        <f>IF($D3963="","",IF($K3963&lt;&gt;"对外销售","",ROUND($Q3963-$S3963,0)))</f>
        <v/>
      </c>
      <c r="U3963" s="17" t="n"/>
      <c r="V3963" s="17" t="n"/>
      <c r="W3963" s="24">
        <f>IF($D3963="","",IF($E3963="※编码不在物料档案里","※物料编码不在档案里",IF(N($J3963)&lt;=0,"※出库数量要大于 0",IF($K3963="","※没填去向类型",IF($L3963="","※没填去向矿区",IF(AND($C3963&lt;&gt;"",$C3963&lt;=结账锁),"※日期早于已结账截止日，不能再录",IF(AND($K3963="自用消耗",COUNTIF({"一矿区";"二矿区"},$L3963)=0),"※自用消耗的去向只能是一矿区或二矿区",IF(AND($K3963="对外销售",COUNTIF({"三矿区";"六矿区"},$L3963)=0),"※对外销售的去向只能是三矿区或六矿区",IF(AND($K3963="对外销售",ROUND($Q3963,0)=0),"※外销却没有售价，请填实际售价",IF(AND($K3963="对外销售",$T3963&lt;&gt;"",$T3963&lt;0),"※这一笔外销是亏的，请核对售价",IF(IFERROR(VLOOKUP($D3963,库存台账!$A$5:$Y$1204,24,0),0)&lt;-0.001,"※这个物料账面已经变成负数了，查一下是不是漏记入库","")))))))))))</f>
        <v/>
      </c>
    </row>
    <row r="3964">
      <c r="A3964" s="24">
        <f>IF($D3964="","",COUNTA($D$4:$D3964))</f>
        <v/>
      </c>
      <c r="B3964" s="17" t="n"/>
      <c r="C3964" s="30" t="n"/>
      <c r="D3964" s="17" t="n"/>
      <c r="E3964" s="24">
        <f>IF($D3964="","",IFERROR(VLOOKUP($D3964,物料档案!$A$4:$P$1203,3,0),"※编码不在物料档案里"))</f>
        <v/>
      </c>
      <c r="F3964" s="24">
        <f>IF($D3964="","",IFERROR(VLOOKUP($D3964,物料档案!$A$4:$P$1203,4,0),"※编码不在物料档案里"))</f>
        <v/>
      </c>
      <c r="G3964" s="24">
        <f>IF($D3964="","",IFERROR(VLOOKUP($D3964,物料档案!$A$4:$P$1203,5,0),"※编码不在物料档案里"))</f>
        <v/>
      </c>
      <c r="H3964" s="24">
        <f>IF($D3964="","",IFERROR(VLOOKUP($D3964,物料档案!$A$4:$P$1203,2,0),"※编码不在物料档案里"))</f>
        <v/>
      </c>
      <c r="I3964" s="24">
        <f>IF($D3964="","",IFERROR(VLOOKUP($D3964,物料档案!$A$4:$P$1203,6,0),"※编码不在物料档案里"))</f>
        <v/>
      </c>
      <c r="J3964" s="23" t="n"/>
      <c r="K3964" s="17" t="n"/>
      <c r="L3964" s="17" t="n"/>
      <c r="M3964" s="17" t="n"/>
      <c r="N3964" s="17" t="n"/>
      <c r="O3964" s="26">
        <f>IF($D3964="","",IFERROR(VLOOKUP($D3964,物料档案!$A$4:$P$1203,10,0),0))</f>
        <v/>
      </c>
      <c r="P3964" s="32" t="n"/>
      <c r="Q3964" s="26">
        <f>IF($D3964="","",IF($K3964&lt;&gt;"对外销售",0,ROUND(N($J3964)*IF($P3964="",N($O3964),N($P3964)),0)))</f>
        <v/>
      </c>
      <c r="R3964" s="26">
        <f>IF($D3964="","",IFERROR(VLOOKUP($D3964,库存台账!$A$5:$Y$1204,11,0),0))</f>
        <v/>
      </c>
      <c r="S3964" s="26">
        <f>IF($D3964="","",ROUND(N($J3964)*N($R3964),0))</f>
        <v/>
      </c>
      <c r="T3964" s="26">
        <f>IF($D3964="","",IF($K3964&lt;&gt;"对外销售","",ROUND($Q3964-$S3964,0)))</f>
        <v/>
      </c>
      <c r="U3964" s="17" t="n"/>
      <c r="V3964" s="17" t="n"/>
      <c r="W3964" s="24">
        <f>IF($D3964="","",IF($E3964="※编码不在物料档案里","※物料编码不在档案里",IF(N($J3964)&lt;=0,"※出库数量要大于 0",IF($K3964="","※没填去向类型",IF($L3964="","※没填去向矿区",IF(AND($C3964&lt;&gt;"",$C3964&lt;=结账锁),"※日期早于已结账截止日，不能再录",IF(AND($K3964="自用消耗",COUNTIF({"一矿区";"二矿区"},$L3964)=0),"※自用消耗的去向只能是一矿区或二矿区",IF(AND($K3964="对外销售",COUNTIF({"三矿区";"六矿区"},$L3964)=0),"※对外销售的去向只能是三矿区或六矿区",IF(AND($K3964="对外销售",ROUND($Q3964,0)=0),"※外销却没有售价，请填实际售价",IF(AND($K3964="对外销售",$T3964&lt;&gt;"",$T3964&lt;0),"※这一笔外销是亏的，请核对售价",IF(IFERROR(VLOOKUP($D3964,库存台账!$A$5:$Y$1204,24,0),0)&lt;-0.001,"※这个物料账面已经变成负数了，查一下是不是漏记入库","")))))))))))</f>
        <v/>
      </c>
    </row>
    <row r="3965">
      <c r="A3965" s="24">
        <f>IF($D3965="","",COUNTA($D$4:$D3965))</f>
        <v/>
      </c>
      <c r="B3965" s="17" t="n"/>
      <c r="C3965" s="30" t="n"/>
      <c r="D3965" s="17" t="n"/>
      <c r="E3965" s="24">
        <f>IF($D3965="","",IFERROR(VLOOKUP($D3965,物料档案!$A$4:$P$1203,3,0),"※编码不在物料档案里"))</f>
        <v/>
      </c>
      <c r="F3965" s="24">
        <f>IF($D3965="","",IFERROR(VLOOKUP($D3965,物料档案!$A$4:$P$1203,4,0),"※编码不在物料档案里"))</f>
        <v/>
      </c>
      <c r="G3965" s="24">
        <f>IF($D3965="","",IFERROR(VLOOKUP($D3965,物料档案!$A$4:$P$1203,5,0),"※编码不在物料档案里"))</f>
        <v/>
      </c>
      <c r="H3965" s="24">
        <f>IF($D3965="","",IFERROR(VLOOKUP($D3965,物料档案!$A$4:$P$1203,2,0),"※编码不在物料档案里"))</f>
        <v/>
      </c>
      <c r="I3965" s="24">
        <f>IF($D3965="","",IFERROR(VLOOKUP($D3965,物料档案!$A$4:$P$1203,6,0),"※编码不在物料档案里"))</f>
        <v/>
      </c>
      <c r="J3965" s="23" t="n"/>
      <c r="K3965" s="17" t="n"/>
      <c r="L3965" s="17" t="n"/>
      <c r="M3965" s="17" t="n"/>
      <c r="N3965" s="17" t="n"/>
      <c r="O3965" s="26">
        <f>IF($D3965="","",IFERROR(VLOOKUP($D3965,物料档案!$A$4:$P$1203,10,0),0))</f>
        <v/>
      </c>
      <c r="P3965" s="32" t="n"/>
      <c r="Q3965" s="26">
        <f>IF($D3965="","",IF($K3965&lt;&gt;"对外销售",0,ROUND(N($J3965)*IF($P3965="",N($O3965),N($P3965)),0)))</f>
        <v/>
      </c>
      <c r="R3965" s="26">
        <f>IF($D3965="","",IFERROR(VLOOKUP($D3965,库存台账!$A$5:$Y$1204,11,0),0))</f>
        <v/>
      </c>
      <c r="S3965" s="26">
        <f>IF($D3965="","",ROUND(N($J3965)*N($R3965),0))</f>
        <v/>
      </c>
      <c r="T3965" s="26">
        <f>IF($D3965="","",IF($K3965&lt;&gt;"对外销售","",ROUND($Q3965-$S3965,0)))</f>
        <v/>
      </c>
      <c r="U3965" s="17" t="n"/>
      <c r="V3965" s="17" t="n"/>
      <c r="W3965" s="24">
        <f>IF($D3965="","",IF($E3965="※编码不在物料档案里","※物料编码不在档案里",IF(N($J3965)&lt;=0,"※出库数量要大于 0",IF($K3965="","※没填去向类型",IF($L3965="","※没填去向矿区",IF(AND($C3965&lt;&gt;"",$C3965&lt;=结账锁),"※日期早于已结账截止日，不能再录",IF(AND($K3965="自用消耗",COUNTIF({"一矿区";"二矿区"},$L3965)=0),"※自用消耗的去向只能是一矿区或二矿区",IF(AND($K3965="对外销售",COUNTIF({"三矿区";"六矿区"},$L3965)=0),"※对外销售的去向只能是三矿区或六矿区",IF(AND($K3965="对外销售",ROUND($Q3965,0)=0),"※外销却没有售价，请填实际售价",IF(AND($K3965="对外销售",$T3965&lt;&gt;"",$T3965&lt;0),"※这一笔外销是亏的，请核对售价",IF(IFERROR(VLOOKUP($D3965,库存台账!$A$5:$Y$1204,24,0),0)&lt;-0.001,"※这个物料账面已经变成负数了，查一下是不是漏记入库","")))))))))))</f>
        <v/>
      </c>
    </row>
    <row r="3966">
      <c r="A3966" s="24">
        <f>IF($D3966="","",COUNTA($D$4:$D3966))</f>
        <v/>
      </c>
      <c r="B3966" s="17" t="n"/>
      <c r="C3966" s="30" t="n"/>
      <c r="D3966" s="17" t="n"/>
      <c r="E3966" s="24">
        <f>IF($D3966="","",IFERROR(VLOOKUP($D3966,物料档案!$A$4:$P$1203,3,0),"※编码不在物料档案里"))</f>
        <v/>
      </c>
      <c r="F3966" s="24">
        <f>IF($D3966="","",IFERROR(VLOOKUP($D3966,物料档案!$A$4:$P$1203,4,0),"※编码不在物料档案里"))</f>
        <v/>
      </c>
      <c r="G3966" s="24">
        <f>IF($D3966="","",IFERROR(VLOOKUP($D3966,物料档案!$A$4:$P$1203,5,0),"※编码不在物料档案里"))</f>
        <v/>
      </c>
      <c r="H3966" s="24">
        <f>IF($D3966="","",IFERROR(VLOOKUP($D3966,物料档案!$A$4:$P$1203,2,0),"※编码不在物料档案里"))</f>
        <v/>
      </c>
      <c r="I3966" s="24">
        <f>IF($D3966="","",IFERROR(VLOOKUP($D3966,物料档案!$A$4:$P$1203,6,0),"※编码不在物料档案里"))</f>
        <v/>
      </c>
      <c r="J3966" s="23" t="n"/>
      <c r="K3966" s="17" t="n"/>
      <c r="L3966" s="17" t="n"/>
      <c r="M3966" s="17" t="n"/>
      <c r="N3966" s="17" t="n"/>
      <c r="O3966" s="26">
        <f>IF($D3966="","",IFERROR(VLOOKUP($D3966,物料档案!$A$4:$P$1203,10,0),0))</f>
        <v/>
      </c>
      <c r="P3966" s="32" t="n"/>
      <c r="Q3966" s="26">
        <f>IF($D3966="","",IF($K3966&lt;&gt;"对外销售",0,ROUND(N($J3966)*IF($P3966="",N($O3966),N($P3966)),0)))</f>
        <v/>
      </c>
      <c r="R3966" s="26">
        <f>IF($D3966="","",IFERROR(VLOOKUP($D3966,库存台账!$A$5:$Y$1204,11,0),0))</f>
        <v/>
      </c>
      <c r="S3966" s="26">
        <f>IF($D3966="","",ROUND(N($J3966)*N($R3966),0))</f>
        <v/>
      </c>
      <c r="T3966" s="26">
        <f>IF($D3966="","",IF($K3966&lt;&gt;"对外销售","",ROUND($Q3966-$S3966,0)))</f>
        <v/>
      </c>
      <c r="U3966" s="17" t="n"/>
      <c r="V3966" s="17" t="n"/>
      <c r="W3966" s="24">
        <f>IF($D3966="","",IF($E3966="※编码不在物料档案里","※物料编码不在档案里",IF(N($J3966)&lt;=0,"※出库数量要大于 0",IF($K3966="","※没填去向类型",IF($L3966="","※没填去向矿区",IF(AND($C3966&lt;&gt;"",$C3966&lt;=结账锁),"※日期早于已结账截止日，不能再录",IF(AND($K3966="自用消耗",COUNTIF({"一矿区";"二矿区"},$L3966)=0),"※自用消耗的去向只能是一矿区或二矿区",IF(AND($K3966="对外销售",COUNTIF({"三矿区";"六矿区"},$L3966)=0),"※对外销售的去向只能是三矿区或六矿区",IF(AND($K3966="对外销售",ROUND($Q3966,0)=0),"※外销却没有售价，请填实际售价",IF(AND($K3966="对外销售",$T3966&lt;&gt;"",$T3966&lt;0),"※这一笔外销是亏的，请核对售价",IF(IFERROR(VLOOKUP($D3966,库存台账!$A$5:$Y$1204,24,0),0)&lt;-0.001,"※这个物料账面已经变成负数了，查一下是不是漏记入库","")))))))))))</f>
        <v/>
      </c>
    </row>
    <row r="3967">
      <c r="A3967" s="24">
        <f>IF($D3967="","",COUNTA($D$4:$D3967))</f>
        <v/>
      </c>
      <c r="B3967" s="17" t="n"/>
      <c r="C3967" s="30" t="n"/>
      <c r="D3967" s="17" t="n"/>
      <c r="E3967" s="24">
        <f>IF($D3967="","",IFERROR(VLOOKUP($D3967,物料档案!$A$4:$P$1203,3,0),"※编码不在物料档案里"))</f>
        <v/>
      </c>
      <c r="F3967" s="24">
        <f>IF($D3967="","",IFERROR(VLOOKUP($D3967,物料档案!$A$4:$P$1203,4,0),"※编码不在物料档案里"))</f>
        <v/>
      </c>
      <c r="G3967" s="24">
        <f>IF($D3967="","",IFERROR(VLOOKUP($D3967,物料档案!$A$4:$P$1203,5,0),"※编码不在物料档案里"))</f>
        <v/>
      </c>
      <c r="H3967" s="24">
        <f>IF($D3967="","",IFERROR(VLOOKUP($D3967,物料档案!$A$4:$P$1203,2,0),"※编码不在物料档案里"))</f>
        <v/>
      </c>
      <c r="I3967" s="24">
        <f>IF($D3967="","",IFERROR(VLOOKUP($D3967,物料档案!$A$4:$P$1203,6,0),"※编码不在物料档案里"))</f>
        <v/>
      </c>
      <c r="J3967" s="23" t="n"/>
      <c r="K3967" s="17" t="n"/>
      <c r="L3967" s="17" t="n"/>
      <c r="M3967" s="17" t="n"/>
      <c r="N3967" s="17" t="n"/>
      <c r="O3967" s="26">
        <f>IF($D3967="","",IFERROR(VLOOKUP($D3967,物料档案!$A$4:$P$1203,10,0),0))</f>
        <v/>
      </c>
      <c r="P3967" s="32" t="n"/>
      <c r="Q3967" s="26">
        <f>IF($D3967="","",IF($K3967&lt;&gt;"对外销售",0,ROUND(N($J3967)*IF($P3967="",N($O3967),N($P3967)),0)))</f>
        <v/>
      </c>
      <c r="R3967" s="26">
        <f>IF($D3967="","",IFERROR(VLOOKUP($D3967,库存台账!$A$5:$Y$1204,11,0),0))</f>
        <v/>
      </c>
      <c r="S3967" s="26">
        <f>IF($D3967="","",ROUND(N($J3967)*N($R3967),0))</f>
        <v/>
      </c>
      <c r="T3967" s="26">
        <f>IF($D3967="","",IF($K3967&lt;&gt;"对外销售","",ROUND($Q3967-$S3967,0)))</f>
        <v/>
      </c>
      <c r="U3967" s="17" t="n"/>
      <c r="V3967" s="17" t="n"/>
      <c r="W3967" s="24">
        <f>IF($D3967="","",IF($E3967="※编码不在物料档案里","※物料编码不在档案里",IF(N($J3967)&lt;=0,"※出库数量要大于 0",IF($K3967="","※没填去向类型",IF($L3967="","※没填去向矿区",IF(AND($C3967&lt;&gt;"",$C3967&lt;=结账锁),"※日期早于已结账截止日，不能再录",IF(AND($K3967="自用消耗",COUNTIF({"一矿区";"二矿区"},$L3967)=0),"※自用消耗的去向只能是一矿区或二矿区",IF(AND($K3967="对外销售",COUNTIF({"三矿区";"六矿区"},$L3967)=0),"※对外销售的去向只能是三矿区或六矿区",IF(AND($K3967="对外销售",ROUND($Q3967,0)=0),"※外销却没有售价，请填实际售价",IF(AND($K3967="对外销售",$T3967&lt;&gt;"",$T3967&lt;0),"※这一笔外销是亏的，请核对售价",IF(IFERROR(VLOOKUP($D3967,库存台账!$A$5:$Y$1204,24,0),0)&lt;-0.001,"※这个物料账面已经变成负数了，查一下是不是漏记入库","")))))))))))</f>
        <v/>
      </c>
    </row>
    <row r="3968">
      <c r="A3968" s="24">
        <f>IF($D3968="","",COUNTA($D$4:$D3968))</f>
        <v/>
      </c>
      <c r="B3968" s="17" t="n"/>
      <c r="C3968" s="30" t="n"/>
      <c r="D3968" s="17" t="n"/>
      <c r="E3968" s="24">
        <f>IF($D3968="","",IFERROR(VLOOKUP($D3968,物料档案!$A$4:$P$1203,3,0),"※编码不在物料档案里"))</f>
        <v/>
      </c>
      <c r="F3968" s="24">
        <f>IF($D3968="","",IFERROR(VLOOKUP($D3968,物料档案!$A$4:$P$1203,4,0),"※编码不在物料档案里"))</f>
        <v/>
      </c>
      <c r="G3968" s="24">
        <f>IF($D3968="","",IFERROR(VLOOKUP($D3968,物料档案!$A$4:$P$1203,5,0),"※编码不在物料档案里"))</f>
        <v/>
      </c>
      <c r="H3968" s="24">
        <f>IF($D3968="","",IFERROR(VLOOKUP($D3968,物料档案!$A$4:$P$1203,2,0),"※编码不在物料档案里"))</f>
        <v/>
      </c>
      <c r="I3968" s="24">
        <f>IF($D3968="","",IFERROR(VLOOKUP($D3968,物料档案!$A$4:$P$1203,6,0),"※编码不在物料档案里"))</f>
        <v/>
      </c>
      <c r="J3968" s="23" t="n"/>
      <c r="K3968" s="17" t="n"/>
      <c r="L3968" s="17" t="n"/>
      <c r="M3968" s="17" t="n"/>
      <c r="N3968" s="17" t="n"/>
      <c r="O3968" s="26">
        <f>IF($D3968="","",IFERROR(VLOOKUP($D3968,物料档案!$A$4:$P$1203,10,0),0))</f>
        <v/>
      </c>
      <c r="P3968" s="32" t="n"/>
      <c r="Q3968" s="26">
        <f>IF($D3968="","",IF($K3968&lt;&gt;"对外销售",0,ROUND(N($J3968)*IF($P3968="",N($O3968),N($P3968)),0)))</f>
        <v/>
      </c>
      <c r="R3968" s="26">
        <f>IF($D3968="","",IFERROR(VLOOKUP($D3968,库存台账!$A$5:$Y$1204,11,0),0))</f>
        <v/>
      </c>
      <c r="S3968" s="26">
        <f>IF($D3968="","",ROUND(N($J3968)*N($R3968),0))</f>
        <v/>
      </c>
      <c r="T3968" s="26">
        <f>IF($D3968="","",IF($K3968&lt;&gt;"对外销售","",ROUND($Q3968-$S3968,0)))</f>
        <v/>
      </c>
      <c r="U3968" s="17" t="n"/>
      <c r="V3968" s="17" t="n"/>
      <c r="W3968" s="24">
        <f>IF($D3968="","",IF($E3968="※编码不在物料档案里","※物料编码不在档案里",IF(N($J3968)&lt;=0,"※出库数量要大于 0",IF($K3968="","※没填去向类型",IF($L3968="","※没填去向矿区",IF(AND($C3968&lt;&gt;"",$C3968&lt;=结账锁),"※日期早于已结账截止日，不能再录",IF(AND($K3968="自用消耗",COUNTIF({"一矿区";"二矿区"},$L3968)=0),"※自用消耗的去向只能是一矿区或二矿区",IF(AND($K3968="对外销售",COUNTIF({"三矿区";"六矿区"},$L3968)=0),"※对外销售的去向只能是三矿区或六矿区",IF(AND($K3968="对外销售",ROUND($Q3968,0)=0),"※外销却没有售价，请填实际售价",IF(AND($K3968="对外销售",$T3968&lt;&gt;"",$T3968&lt;0),"※这一笔外销是亏的，请核对售价",IF(IFERROR(VLOOKUP($D3968,库存台账!$A$5:$Y$1204,24,0),0)&lt;-0.001,"※这个物料账面已经变成负数了，查一下是不是漏记入库","")))))))))))</f>
        <v/>
      </c>
    </row>
    <row r="3969">
      <c r="A3969" s="24">
        <f>IF($D3969="","",COUNTA($D$4:$D3969))</f>
        <v/>
      </c>
      <c r="B3969" s="17" t="n"/>
      <c r="C3969" s="30" t="n"/>
      <c r="D3969" s="17" t="n"/>
      <c r="E3969" s="24">
        <f>IF($D3969="","",IFERROR(VLOOKUP($D3969,物料档案!$A$4:$P$1203,3,0),"※编码不在物料档案里"))</f>
        <v/>
      </c>
      <c r="F3969" s="24">
        <f>IF($D3969="","",IFERROR(VLOOKUP($D3969,物料档案!$A$4:$P$1203,4,0),"※编码不在物料档案里"))</f>
        <v/>
      </c>
      <c r="G3969" s="24">
        <f>IF($D3969="","",IFERROR(VLOOKUP($D3969,物料档案!$A$4:$P$1203,5,0),"※编码不在物料档案里"))</f>
        <v/>
      </c>
      <c r="H3969" s="24">
        <f>IF($D3969="","",IFERROR(VLOOKUP($D3969,物料档案!$A$4:$P$1203,2,0),"※编码不在物料档案里"))</f>
        <v/>
      </c>
      <c r="I3969" s="24">
        <f>IF($D3969="","",IFERROR(VLOOKUP($D3969,物料档案!$A$4:$P$1203,6,0),"※编码不在物料档案里"))</f>
        <v/>
      </c>
      <c r="J3969" s="23" t="n"/>
      <c r="K3969" s="17" t="n"/>
      <c r="L3969" s="17" t="n"/>
      <c r="M3969" s="17" t="n"/>
      <c r="N3969" s="17" t="n"/>
      <c r="O3969" s="26">
        <f>IF($D3969="","",IFERROR(VLOOKUP($D3969,物料档案!$A$4:$P$1203,10,0),0))</f>
        <v/>
      </c>
      <c r="P3969" s="32" t="n"/>
      <c r="Q3969" s="26">
        <f>IF($D3969="","",IF($K3969&lt;&gt;"对外销售",0,ROUND(N($J3969)*IF($P3969="",N($O3969),N($P3969)),0)))</f>
        <v/>
      </c>
      <c r="R3969" s="26">
        <f>IF($D3969="","",IFERROR(VLOOKUP($D3969,库存台账!$A$5:$Y$1204,11,0),0))</f>
        <v/>
      </c>
      <c r="S3969" s="26">
        <f>IF($D3969="","",ROUND(N($J3969)*N($R3969),0))</f>
        <v/>
      </c>
      <c r="T3969" s="26">
        <f>IF($D3969="","",IF($K3969&lt;&gt;"对外销售","",ROUND($Q3969-$S3969,0)))</f>
        <v/>
      </c>
      <c r="U3969" s="17" t="n"/>
      <c r="V3969" s="17" t="n"/>
      <c r="W3969" s="24">
        <f>IF($D3969="","",IF($E3969="※编码不在物料档案里","※物料编码不在档案里",IF(N($J3969)&lt;=0,"※出库数量要大于 0",IF($K3969="","※没填去向类型",IF($L3969="","※没填去向矿区",IF(AND($C3969&lt;&gt;"",$C3969&lt;=结账锁),"※日期早于已结账截止日，不能再录",IF(AND($K3969="自用消耗",COUNTIF({"一矿区";"二矿区"},$L3969)=0),"※自用消耗的去向只能是一矿区或二矿区",IF(AND($K3969="对外销售",COUNTIF({"三矿区";"六矿区"},$L3969)=0),"※对外销售的去向只能是三矿区或六矿区",IF(AND($K3969="对外销售",ROUND($Q3969,0)=0),"※外销却没有售价，请填实际售价",IF(AND($K3969="对外销售",$T3969&lt;&gt;"",$T3969&lt;0),"※这一笔外销是亏的，请核对售价",IF(IFERROR(VLOOKUP($D3969,库存台账!$A$5:$Y$1204,24,0),0)&lt;-0.001,"※这个物料账面已经变成负数了，查一下是不是漏记入库","")))))))))))</f>
        <v/>
      </c>
    </row>
    <row r="3970">
      <c r="A3970" s="24">
        <f>IF($D3970="","",COUNTA($D$4:$D3970))</f>
        <v/>
      </c>
      <c r="B3970" s="17" t="n"/>
      <c r="C3970" s="30" t="n"/>
      <c r="D3970" s="17" t="n"/>
      <c r="E3970" s="24">
        <f>IF($D3970="","",IFERROR(VLOOKUP($D3970,物料档案!$A$4:$P$1203,3,0),"※编码不在物料档案里"))</f>
        <v/>
      </c>
      <c r="F3970" s="24">
        <f>IF($D3970="","",IFERROR(VLOOKUP($D3970,物料档案!$A$4:$P$1203,4,0),"※编码不在物料档案里"))</f>
        <v/>
      </c>
      <c r="G3970" s="24">
        <f>IF($D3970="","",IFERROR(VLOOKUP($D3970,物料档案!$A$4:$P$1203,5,0),"※编码不在物料档案里"))</f>
        <v/>
      </c>
      <c r="H3970" s="24">
        <f>IF($D3970="","",IFERROR(VLOOKUP($D3970,物料档案!$A$4:$P$1203,2,0),"※编码不在物料档案里"))</f>
        <v/>
      </c>
      <c r="I3970" s="24">
        <f>IF($D3970="","",IFERROR(VLOOKUP($D3970,物料档案!$A$4:$P$1203,6,0),"※编码不在物料档案里"))</f>
        <v/>
      </c>
      <c r="J3970" s="23" t="n"/>
      <c r="K3970" s="17" t="n"/>
      <c r="L3970" s="17" t="n"/>
      <c r="M3970" s="17" t="n"/>
      <c r="N3970" s="17" t="n"/>
      <c r="O3970" s="26">
        <f>IF($D3970="","",IFERROR(VLOOKUP($D3970,物料档案!$A$4:$P$1203,10,0),0))</f>
        <v/>
      </c>
      <c r="P3970" s="32" t="n"/>
      <c r="Q3970" s="26">
        <f>IF($D3970="","",IF($K3970&lt;&gt;"对外销售",0,ROUND(N($J3970)*IF($P3970="",N($O3970),N($P3970)),0)))</f>
        <v/>
      </c>
      <c r="R3970" s="26">
        <f>IF($D3970="","",IFERROR(VLOOKUP($D3970,库存台账!$A$5:$Y$1204,11,0),0))</f>
        <v/>
      </c>
      <c r="S3970" s="26">
        <f>IF($D3970="","",ROUND(N($J3970)*N($R3970),0))</f>
        <v/>
      </c>
      <c r="T3970" s="26">
        <f>IF($D3970="","",IF($K3970&lt;&gt;"对外销售","",ROUND($Q3970-$S3970,0)))</f>
        <v/>
      </c>
      <c r="U3970" s="17" t="n"/>
      <c r="V3970" s="17" t="n"/>
      <c r="W3970" s="24">
        <f>IF($D3970="","",IF($E3970="※编码不在物料档案里","※物料编码不在档案里",IF(N($J3970)&lt;=0,"※出库数量要大于 0",IF($K3970="","※没填去向类型",IF($L3970="","※没填去向矿区",IF(AND($C3970&lt;&gt;"",$C3970&lt;=结账锁),"※日期早于已结账截止日，不能再录",IF(AND($K3970="自用消耗",COUNTIF({"一矿区";"二矿区"},$L3970)=0),"※自用消耗的去向只能是一矿区或二矿区",IF(AND($K3970="对外销售",COUNTIF({"三矿区";"六矿区"},$L3970)=0),"※对外销售的去向只能是三矿区或六矿区",IF(AND($K3970="对外销售",ROUND($Q3970,0)=0),"※外销却没有售价，请填实际售价",IF(AND($K3970="对外销售",$T3970&lt;&gt;"",$T3970&lt;0),"※这一笔外销是亏的，请核对售价",IF(IFERROR(VLOOKUP($D3970,库存台账!$A$5:$Y$1204,24,0),0)&lt;-0.001,"※这个物料账面已经变成负数了，查一下是不是漏记入库","")))))))))))</f>
        <v/>
      </c>
    </row>
    <row r="3971">
      <c r="A3971" s="24">
        <f>IF($D3971="","",COUNTA($D$4:$D3971))</f>
        <v/>
      </c>
      <c r="B3971" s="17" t="n"/>
      <c r="C3971" s="30" t="n"/>
      <c r="D3971" s="17" t="n"/>
      <c r="E3971" s="24">
        <f>IF($D3971="","",IFERROR(VLOOKUP($D3971,物料档案!$A$4:$P$1203,3,0),"※编码不在物料档案里"))</f>
        <v/>
      </c>
      <c r="F3971" s="24">
        <f>IF($D3971="","",IFERROR(VLOOKUP($D3971,物料档案!$A$4:$P$1203,4,0),"※编码不在物料档案里"))</f>
        <v/>
      </c>
      <c r="G3971" s="24">
        <f>IF($D3971="","",IFERROR(VLOOKUP($D3971,物料档案!$A$4:$P$1203,5,0),"※编码不在物料档案里"))</f>
        <v/>
      </c>
      <c r="H3971" s="24">
        <f>IF($D3971="","",IFERROR(VLOOKUP($D3971,物料档案!$A$4:$P$1203,2,0),"※编码不在物料档案里"))</f>
        <v/>
      </c>
      <c r="I3971" s="24">
        <f>IF($D3971="","",IFERROR(VLOOKUP($D3971,物料档案!$A$4:$P$1203,6,0),"※编码不在物料档案里"))</f>
        <v/>
      </c>
      <c r="J3971" s="23" t="n"/>
      <c r="K3971" s="17" t="n"/>
      <c r="L3971" s="17" t="n"/>
      <c r="M3971" s="17" t="n"/>
      <c r="N3971" s="17" t="n"/>
      <c r="O3971" s="26">
        <f>IF($D3971="","",IFERROR(VLOOKUP($D3971,物料档案!$A$4:$P$1203,10,0),0))</f>
        <v/>
      </c>
      <c r="P3971" s="32" t="n"/>
      <c r="Q3971" s="26">
        <f>IF($D3971="","",IF($K3971&lt;&gt;"对外销售",0,ROUND(N($J3971)*IF($P3971="",N($O3971),N($P3971)),0)))</f>
        <v/>
      </c>
      <c r="R3971" s="26">
        <f>IF($D3971="","",IFERROR(VLOOKUP($D3971,库存台账!$A$5:$Y$1204,11,0),0))</f>
        <v/>
      </c>
      <c r="S3971" s="26">
        <f>IF($D3971="","",ROUND(N($J3971)*N($R3971),0))</f>
        <v/>
      </c>
      <c r="T3971" s="26">
        <f>IF($D3971="","",IF($K3971&lt;&gt;"对外销售","",ROUND($Q3971-$S3971,0)))</f>
        <v/>
      </c>
      <c r="U3971" s="17" t="n"/>
      <c r="V3971" s="17" t="n"/>
      <c r="W3971" s="24">
        <f>IF($D3971="","",IF($E3971="※编码不在物料档案里","※物料编码不在档案里",IF(N($J3971)&lt;=0,"※出库数量要大于 0",IF($K3971="","※没填去向类型",IF($L3971="","※没填去向矿区",IF(AND($C3971&lt;&gt;"",$C3971&lt;=结账锁),"※日期早于已结账截止日，不能再录",IF(AND($K3971="自用消耗",COUNTIF({"一矿区";"二矿区"},$L3971)=0),"※自用消耗的去向只能是一矿区或二矿区",IF(AND($K3971="对外销售",COUNTIF({"三矿区";"六矿区"},$L3971)=0),"※对外销售的去向只能是三矿区或六矿区",IF(AND($K3971="对外销售",ROUND($Q3971,0)=0),"※外销却没有售价，请填实际售价",IF(AND($K3971="对外销售",$T3971&lt;&gt;"",$T3971&lt;0),"※这一笔外销是亏的，请核对售价",IF(IFERROR(VLOOKUP($D3971,库存台账!$A$5:$Y$1204,24,0),0)&lt;-0.001,"※这个物料账面已经变成负数了，查一下是不是漏记入库","")))))))))))</f>
        <v/>
      </c>
    </row>
    <row r="3972">
      <c r="A3972" s="24">
        <f>IF($D3972="","",COUNTA($D$4:$D3972))</f>
        <v/>
      </c>
      <c r="B3972" s="17" t="n"/>
      <c r="C3972" s="30" t="n"/>
      <c r="D3972" s="17" t="n"/>
      <c r="E3972" s="24">
        <f>IF($D3972="","",IFERROR(VLOOKUP($D3972,物料档案!$A$4:$P$1203,3,0),"※编码不在物料档案里"))</f>
        <v/>
      </c>
      <c r="F3972" s="24">
        <f>IF($D3972="","",IFERROR(VLOOKUP($D3972,物料档案!$A$4:$P$1203,4,0),"※编码不在物料档案里"))</f>
        <v/>
      </c>
      <c r="G3972" s="24">
        <f>IF($D3972="","",IFERROR(VLOOKUP($D3972,物料档案!$A$4:$P$1203,5,0),"※编码不在物料档案里"))</f>
        <v/>
      </c>
      <c r="H3972" s="24">
        <f>IF($D3972="","",IFERROR(VLOOKUP($D3972,物料档案!$A$4:$P$1203,2,0),"※编码不在物料档案里"))</f>
        <v/>
      </c>
      <c r="I3972" s="24">
        <f>IF($D3972="","",IFERROR(VLOOKUP($D3972,物料档案!$A$4:$P$1203,6,0),"※编码不在物料档案里"))</f>
        <v/>
      </c>
      <c r="J3972" s="23" t="n"/>
      <c r="K3972" s="17" t="n"/>
      <c r="L3972" s="17" t="n"/>
      <c r="M3972" s="17" t="n"/>
      <c r="N3972" s="17" t="n"/>
      <c r="O3972" s="26">
        <f>IF($D3972="","",IFERROR(VLOOKUP($D3972,物料档案!$A$4:$P$1203,10,0),0))</f>
        <v/>
      </c>
      <c r="P3972" s="32" t="n"/>
      <c r="Q3972" s="26">
        <f>IF($D3972="","",IF($K3972&lt;&gt;"对外销售",0,ROUND(N($J3972)*IF($P3972="",N($O3972),N($P3972)),0)))</f>
        <v/>
      </c>
      <c r="R3972" s="26">
        <f>IF($D3972="","",IFERROR(VLOOKUP($D3972,库存台账!$A$5:$Y$1204,11,0),0))</f>
        <v/>
      </c>
      <c r="S3972" s="26">
        <f>IF($D3972="","",ROUND(N($J3972)*N($R3972),0))</f>
        <v/>
      </c>
      <c r="T3972" s="26">
        <f>IF($D3972="","",IF($K3972&lt;&gt;"对外销售","",ROUND($Q3972-$S3972,0)))</f>
        <v/>
      </c>
      <c r="U3972" s="17" t="n"/>
      <c r="V3972" s="17" t="n"/>
      <c r="W3972" s="24">
        <f>IF($D3972="","",IF($E3972="※编码不在物料档案里","※物料编码不在档案里",IF(N($J3972)&lt;=0,"※出库数量要大于 0",IF($K3972="","※没填去向类型",IF($L3972="","※没填去向矿区",IF(AND($C3972&lt;&gt;"",$C3972&lt;=结账锁),"※日期早于已结账截止日，不能再录",IF(AND($K3972="自用消耗",COUNTIF({"一矿区";"二矿区"},$L3972)=0),"※自用消耗的去向只能是一矿区或二矿区",IF(AND($K3972="对外销售",COUNTIF({"三矿区";"六矿区"},$L3972)=0),"※对外销售的去向只能是三矿区或六矿区",IF(AND($K3972="对外销售",ROUND($Q3972,0)=0),"※外销却没有售价，请填实际售价",IF(AND($K3972="对外销售",$T3972&lt;&gt;"",$T3972&lt;0),"※这一笔外销是亏的，请核对售价",IF(IFERROR(VLOOKUP($D3972,库存台账!$A$5:$Y$1204,24,0),0)&lt;-0.001,"※这个物料账面已经变成负数了，查一下是不是漏记入库","")))))))))))</f>
        <v/>
      </c>
    </row>
    <row r="3973">
      <c r="A3973" s="24">
        <f>IF($D3973="","",COUNTA($D$4:$D3973))</f>
        <v/>
      </c>
      <c r="B3973" s="17" t="n"/>
      <c r="C3973" s="30" t="n"/>
      <c r="D3973" s="17" t="n"/>
      <c r="E3973" s="24">
        <f>IF($D3973="","",IFERROR(VLOOKUP($D3973,物料档案!$A$4:$P$1203,3,0),"※编码不在物料档案里"))</f>
        <v/>
      </c>
      <c r="F3973" s="24">
        <f>IF($D3973="","",IFERROR(VLOOKUP($D3973,物料档案!$A$4:$P$1203,4,0),"※编码不在物料档案里"))</f>
        <v/>
      </c>
      <c r="G3973" s="24">
        <f>IF($D3973="","",IFERROR(VLOOKUP($D3973,物料档案!$A$4:$P$1203,5,0),"※编码不在物料档案里"))</f>
        <v/>
      </c>
      <c r="H3973" s="24">
        <f>IF($D3973="","",IFERROR(VLOOKUP($D3973,物料档案!$A$4:$P$1203,2,0),"※编码不在物料档案里"))</f>
        <v/>
      </c>
      <c r="I3973" s="24">
        <f>IF($D3973="","",IFERROR(VLOOKUP($D3973,物料档案!$A$4:$P$1203,6,0),"※编码不在物料档案里"))</f>
        <v/>
      </c>
      <c r="J3973" s="23" t="n"/>
      <c r="K3973" s="17" t="n"/>
      <c r="L3973" s="17" t="n"/>
      <c r="M3973" s="17" t="n"/>
      <c r="N3973" s="17" t="n"/>
      <c r="O3973" s="26">
        <f>IF($D3973="","",IFERROR(VLOOKUP($D3973,物料档案!$A$4:$P$1203,10,0),0))</f>
        <v/>
      </c>
      <c r="P3973" s="32" t="n"/>
      <c r="Q3973" s="26">
        <f>IF($D3973="","",IF($K3973&lt;&gt;"对外销售",0,ROUND(N($J3973)*IF($P3973="",N($O3973),N($P3973)),0)))</f>
        <v/>
      </c>
      <c r="R3973" s="26">
        <f>IF($D3973="","",IFERROR(VLOOKUP($D3973,库存台账!$A$5:$Y$1204,11,0),0))</f>
        <v/>
      </c>
      <c r="S3973" s="26">
        <f>IF($D3973="","",ROUND(N($J3973)*N($R3973),0))</f>
        <v/>
      </c>
      <c r="T3973" s="26">
        <f>IF($D3973="","",IF($K3973&lt;&gt;"对外销售","",ROUND($Q3973-$S3973,0)))</f>
        <v/>
      </c>
      <c r="U3973" s="17" t="n"/>
      <c r="V3973" s="17" t="n"/>
      <c r="W3973" s="24">
        <f>IF($D3973="","",IF($E3973="※编码不在物料档案里","※物料编码不在档案里",IF(N($J3973)&lt;=0,"※出库数量要大于 0",IF($K3973="","※没填去向类型",IF($L3973="","※没填去向矿区",IF(AND($C3973&lt;&gt;"",$C3973&lt;=结账锁),"※日期早于已结账截止日，不能再录",IF(AND($K3973="自用消耗",COUNTIF({"一矿区";"二矿区"},$L3973)=0),"※自用消耗的去向只能是一矿区或二矿区",IF(AND($K3973="对外销售",COUNTIF({"三矿区";"六矿区"},$L3973)=0),"※对外销售的去向只能是三矿区或六矿区",IF(AND($K3973="对外销售",ROUND($Q3973,0)=0),"※外销却没有售价，请填实际售价",IF(AND($K3973="对外销售",$T3973&lt;&gt;"",$T3973&lt;0),"※这一笔外销是亏的，请核对售价",IF(IFERROR(VLOOKUP($D3973,库存台账!$A$5:$Y$1204,24,0),0)&lt;-0.001,"※这个物料账面已经变成负数了，查一下是不是漏记入库","")))))))))))</f>
        <v/>
      </c>
    </row>
    <row r="3974">
      <c r="A3974" s="24">
        <f>IF($D3974="","",COUNTA($D$4:$D3974))</f>
        <v/>
      </c>
      <c r="B3974" s="17" t="n"/>
      <c r="C3974" s="30" t="n"/>
      <c r="D3974" s="17" t="n"/>
      <c r="E3974" s="24">
        <f>IF($D3974="","",IFERROR(VLOOKUP($D3974,物料档案!$A$4:$P$1203,3,0),"※编码不在物料档案里"))</f>
        <v/>
      </c>
      <c r="F3974" s="24">
        <f>IF($D3974="","",IFERROR(VLOOKUP($D3974,物料档案!$A$4:$P$1203,4,0),"※编码不在物料档案里"))</f>
        <v/>
      </c>
      <c r="G3974" s="24">
        <f>IF($D3974="","",IFERROR(VLOOKUP($D3974,物料档案!$A$4:$P$1203,5,0),"※编码不在物料档案里"))</f>
        <v/>
      </c>
      <c r="H3974" s="24">
        <f>IF($D3974="","",IFERROR(VLOOKUP($D3974,物料档案!$A$4:$P$1203,2,0),"※编码不在物料档案里"))</f>
        <v/>
      </c>
      <c r="I3974" s="24">
        <f>IF($D3974="","",IFERROR(VLOOKUP($D3974,物料档案!$A$4:$P$1203,6,0),"※编码不在物料档案里"))</f>
        <v/>
      </c>
      <c r="J3974" s="23" t="n"/>
      <c r="K3974" s="17" t="n"/>
      <c r="L3974" s="17" t="n"/>
      <c r="M3974" s="17" t="n"/>
      <c r="N3974" s="17" t="n"/>
      <c r="O3974" s="26">
        <f>IF($D3974="","",IFERROR(VLOOKUP($D3974,物料档案!$A$4:$P$1203,10,0),0))</f>
        <v/>
      </c>
      <c r="P3974" s="32" t="n"/>
      <c r="Q3974" s="26">
        <f>IF($D3974="","",IF($K3974&lt;&gt;"对外销售",0,ROUND(N($J3974)*IF($P3974="",N($O3974),N($P3974)),0)))</f>
        <v/>
      </c>
      <c r="R3974" s="26">
        <f>IF($D3974="","",IFERROR(VLOOKUP($D3974,库存台账!$A$5:$Y$1204,11,0),0))</f>
        <v/>
      </c>
      <c r="S3974" s="26">
        <f>IF($D3974="","",ROUND(N($J3974)*N($R3974),0))</f>
        <v/>
      </c>
      <c r="T3974" s="26">
        <f>IF($D3974="","",IF($K3974&lt;&gt;"对外销售","",ROUND($Q3974-$S3974,0)))</f>
        <v/>
      </c>
      <c r="U3974" s="17" t="n"/>
      <c r="V3974" s="17" t="n"/>
      <c r="W3974" s="24">
        <f>IF($D3974="","",IF($E3974="※编码不在物料档案里","※物料编码不在档案里",IF(N($J3974)&lt;=0,"※出库数量要大于 0",IF($K3974="","※没填去向类型",IF($L3974="","※没填去向矿区",IF(AND($C3974&lt;&gt;"",$C3974&lt;=结账锁),"※日期早于已结账截止日，不能再录",IF(AND($K3974="自用消耗",COUNTIF({"一矿区";"二矿区"},$L3974)=0),"※自用消耗的去向只能是一矿区或二矿区",IF(AND($K3974="对外销售",COUNTIF({"三矿区";"六矿区"},$L3974)=0),"※对外销售的去向只能是三矿区或六矿区",IF(AND($K3974="对外销售",ROUND($Q3974,0)=0),"※外销却没有售价，请填实际售价",IF(AND($K3974="对外销售",$T3974&lt;&gt;"",$T3974&lt;0),"※这一笔外销是亏的，请核对售价",IF(IFERROR(VLOOKUP($D3974,库存台账!$A$5:$Y$1204,24,0),0)&lt;-0.001,"※这个物料账面已经变成负数了，查一下是不是漏记入库","")))))))))))</f>
        <v/>
      </c>
    </row>
    <row r="3975">
      <c r="A3975" s="24">
        <f>IF($D3975="","",COUNTA($D$4:$D3975))</f>
        <v/>
      </c>
      <c r="B3975" s="17" t="n"/>
      <c r="C3975" s="30" t="n"/>
      <c r="D3975" s="17" t="n"/>
      <c r="E3975" s="24">
        <f>IF($D3975="","",IFERROR(VLOOKUP($D3975,物料档案!$A$4:$P$1203,3,0),"※编码不在物料档案里"))</f>
        <v/>
      </c>
      <c r="F3975" s="24">
        <f>IF($D3975="","",IFERROR(VLOOKUP($D3975,物料档案!$A$4:$P$1203,4,0),"※编码不在物料档案里"))</f>
        <v/>
      </c>
      <c r="G3975" s="24">
        <f>IF($D3975="","",IFERROR(VLOOKUP($D3975,物料档案!$A$4:$P$1203,5,0),"※编码不在物料档案里"))</f>
        <v/>
      </c>
      <c r="H3975" s="24">
        <f>IF($D3975="","",IFERROR(VLOOKUP($D3975,物料档案!$A$4:$P$1203,2,0),"※编码不在物料档案里"))</f>
        <v/>
      </c>
      <c r="I3975" s="24">
        <f>IF($D3975="","",IFERROR(VLOOKUP($D3975,物料档案!$A$4:$P$1203,6,0),"※编码不在物料档案里"))</f>
        <v/>
      </c>
      <c r="J3975" s="23" t="n"/>
      <c r="K3975" s="17" t="n"/>
      <c r="L3975" s="17" t="n"/>
      <c r="M3975" s="17" t="n"/>
      <c r="N3975" s="17" t="n"/>
      <c r="O3975" s="26">
        <f>IF($D3975="","",IFERROR(VLOOKUP($D3975,物料档案!$A$4:$P$1203,10,0),0))</f>
        <v/>
      </c>
      <c r="P3975" s="32" t="n"/>
      <c r="Q3975" s="26">
        <f>IF($D3975="","",IF($K3975&lt;&gt;"对外销售",0,ROUND(N($J3975)*IF($P3975="",N($O3975),N($P3975)),0)))</f>
        <v/>
      </c>
      <c r="R3975" s="26">
        <f>IF($D3975="","",IFERROR(VLOOKUP($D3975,库存台账!$A$5:$Y$1204,11,0),0))</f>
        <v/>
      </c>
      <c r="S3975" s="26">
        <f>IF($D3975="","",ROUND(N($J3975)*N($R3975),0))</f>
        <v/>
      </c>
      <c r="T3975" s="26">
        <f>IF($D3975="","",IF($K3975&lt;&gt;"对外销售","",ROUND($Q3975-$S3975,0)))</f>
        <v/>
      </c>
      <c r="U3975" s="17" t="n"/>
      <c r="V3975" s="17" t="n"/>
      <c r="W3975" s="24">
        <f>IF($D3975="","",IF($E3975="※编码不在物料档案里","※物料编码不在档案里",IF(N($J3975)&lt;=0,"※出库数量要大于 0",IF($K3975="","※没填去向类型",IF($L3975="","※没填去向矿区",IF(AND($C3975&lt;&gt;"",$C3975&lt;=结账锁),"※日期早于已结账截止日，不能再录",IF(AND($K3975="自用消耗",COUNTIF({"一矿区";"二矿区"},$L3975)=0),"※自用消耗的去向只能是一矿区或二矿区",IF(AND($K3975="对外销售",COUNTIF({"三矿区";"六矿区"},$L3975)=0),"※对外销售的去向只能是三矿区或六矿区",IF(AND($K3975="对外销售",ROUND($Q3975,0)=0),"※外销却没有售价，请填实际售价",IF(AND($K3975="对外销售",$T3975&lt;&gt;"",$T3975&lt;0),"※这一笔外销是亏的，请核对售价",IF(IFERROR(VLOOKUP($D3975,库存台账!$A$5:$Y$1204,24,0),0)&lt;-0.001,"※这个物料账面已经变成负数了，查一下是不是漏记入库","")))))))))))</f>
        <v/>
      </c>
    </row>
    <row r="3976">
      <c r="A3976" s="24">
        <f>IF($D3976="","",COUNTA($D$4:$D3976))</f>
        <v/>
      </c>
      <c r="B3976" s="17" t="n"/>
      <c r="C3976" s="30" t="n"/>
      <c r="D3976" s="17" t="n"/>
      <c r="E3976" s="24">
        <f>IF($D3976="","",IFERROR(VLOOKUP($D3976,物料档案!$A$4:$P$1203,3,0),"※编码不在物料档案里"))</f>
        <v/>
      </c>
      <c r="F3976" s="24">
        <f>IF($D3976="","",IFERROR(VLOOKUP($D3976,物料档案!$A$4:$P$1203,4,0),"※编码不在物料档案里"))</f>
        <v/>
      </c>
      <c r="G3976" s="24">
        <f>IF($D3976="","",IFERROR(VLOOKUP($D3976,物料档案!$A$4:$P$1203,5,0),"※编码不在物料档案里"))</f>
        <v/>
      </c>
      <c r="H3976" s="24">
        <f>IF($D3976="","",IFERROR(VLOOKUP($D3976,物料档案!$A$4:$P$1203,2,0),"※编码不在物料档案里"))</f>
        <v/>
      </c>
      <c r="I3976" s="24">
        <f>IF($D3976="","",IFERROR(VLOOKUP($D3976,物料档案!$A$4:$P$1203,6,0),"※编码不在物料档案里"))</f>
        <v/>
      </c>
      <c r="J3976" s="23" t="n"/>
      <c r="K3976" s="17" t="n"/>
      <c r="L3976" s="17" t="n"/>
      <c r="M3976" s="17" t="n"/>
      <c r="N3976" s="17" t="n"/>
      <c r="O3976" s="26">
        <f>IF($D3976="","",IFERROR(VLOOKUP($D3976,物料档案!$A$4:$P$1203,10,0),0))</f>
        <v/>
      </c>
      <c r="P3976" s="32" t="n"/>
      <c r="Q3976" s="26">
        <f>IF($D3976="","",IF($K3976&lt;&gt;"对外销售",0,ROUND(N($J3976)*IF($P3976="",N($O3976),N($P3976)),0)))</f>
        <v/>
      </c>
      <c r="R3976" s="26">
        <f>IF($D3976="","",IFERROR(VLOOKUP($D3976,库存台账!$A$5:$Y$1204,11,0),0))</f>
        <v/>
      </c>
      <c r="S3976" s="26">
        <f>IF($D3976="","",ROUND(N($J3976)*N($R3976),0))</f>
        <v/>
      </c>
      <c r="T3976" s="26">
        <f>IF($D3976="","",IF($K3976&lt;&gt;"对外销售","",ROUND($Q3976-$S3976,0)))</f>
        <v/>
      </c>
      <c r="U3976" s="17" t="n"/>
      <c r="V3976" s="17" t="n"/>
      <c r="W3976" s="24">
        <f>IF($D3976="","",IF($E3976="※编码不在物料档案里","※物料编码不在档案里",IF(N($J3976)&lt;=0,"※出库数量要大于 0",IF($K3976="","※没填去向类型",IF($L3976="","※没填去向矿区",IF(AND($C3976&lt;&gt;"",$C3976&lt;=结账锁),"※日期早于已结账截止日，不能再录",IF(AND($K3976="自用消耗",COUNTIF({"一矿区";"二矿区"},$L3976)=0),"※自用消耗的去向只能是一矿区或二矿区",IF(AND($K3976="对外销售",COUNTIF({"三矿区";"六矿区"},$L3976)=0),"※对外销售的去向只能是三矿区或六矿区",IF(AND($K3976="对外销售",ROUND($Q3976,0)=0),"※外销却没有售价，请填实际售价",IF(AND($K3976="对外销售",$T3976&lt;&gt;"",$T3976&lt;0),"※这一笔外销是亏的，请核对售价",IF(IFERROR(VLOOKUP($D3976,库存台账!$A$5:$Y$1204,24,0),0)&lt;-0.001,"※这个物料账面已经变成负数了，查一下是不是漏记入库","")))))))))))</f>
        <v/>
      </c>
    </row>
    <row r="3977">
      <c r="A3977" s="24">
        <f>IF($D3977="","",COUNTA($D$4:$D3977))</f>
        <v/>
      </c>
      <c r="B3977" s="17" t="n"/>
      <c r="C3977" s="30" t="n"/>
      <c r="D3977" s="17" t="n"/>
      <c r="E3977" s="24">
        <f>IF($D3977="","",IFERROR(VLOOKUP($D3977,物料档案!$A$4:$P$1203,3,0),"※编码不在物料档案里"))</f>
        <v/>
      </c>
      <c r="F3977" s="24">
        <f>IF($D3977="","",IFERROR(VLOOKUP($D3977,物料档案!$A$4:$P$1203,4,0),"※编码不在物料档案里"))</f>
        <v/>
      </c>
      <c r="G3977" s="24">
        <f>IF($D3977="","",IFERROR(VLOOKUP($D3977,物料档案!$A$4:$P$1203,5,0),"※编码不在物料档案里"))</f>
        <v/>
      </c>
      <c r="H3977" s="24">
        <f>IF($D3977="","",IFERROR(VLOOKUP($D3977,物料档案!$A$4:$P$1203,2,0),"※编码不在物料档案里"))</f>
        <v/>
      </c>
      <c r="I3977" s="24">
        <f>IF($D3977="","",IFERROR(VLOOKUP($D3977,物料档案!$A$4:$P$1203,6,0),"※编码不在物料档案里"))</f>
        <v/>
      </c>
      <c r="J3977" s="23" t="n"/>
      <c r="K3977" s="17" t="n"/>
      <c r="L3977" s="17" t="n"/>
      <c r="M3977" s="17" t="n"/>
      <c r="N3977" s="17" t="n"/>
      <c r="O3977" s="26">
        <f>IF($D3977="","",IFERROR(VLOOKUP($D3977,物料档案!$A$4:$P$1203,10,0),0))</f>
        <v/>
      </c>
      <c r="P3977" s="32" t="n"/>
      <c r="Q3977" s="26">
        <f>IF($D3977="","",IF($K3977&lt;&gt;"对外销售",0,ROUND(N($J3977)*IF($P3977="",N($O3977),N($P3977)),0)))</f>
        <v/>
      </c>
      <c r="R3977" s="26">
        <f>IF($D3977="","",IFERROR(VLOOKUP($D3977,库存台账!$A$5:$Y$1204,11,0),0))</f>
        <v/>
      </c>
      <c r="S3977" s="26">
        <f>IF($D3977="","",ROUND(N($J3977)*N($R3977),0))</f>
        <v/>
      </c>
      <c r="T3977" s="26">
        <f>IF($D3977="","",IF($K3977&lt;&gt;"对外销售","",ROUND($Q3977-$S3977,0)))</f>
        <v/>
      </c>
      <c r="U3977" s="17" t="n"/>
      <c r="V3977" s="17" t="n"/>
      <c r="W3977" s="24">
        <f>IF($D3977="","",IF($E3977="※编码不在物料档案里","※物料编码不在档案里",IF(N($J3977)&lt;=0,"※出库数量要大于 0",IF($K3977="","※没填去向类型",IF($L3977="","※没填去向矿区",IF(AND($C3977&lt;&gt;"",$C3977&lt;=结账锁),"※日期早于已结账截止日，不能再录",IF(AND($K3977="自用消耗",COUNTIF({"一矿区";"二矿区"},$L3977)=0),"※自用消耗的去向只能是一矿区或二矿区",IF(AND($K3977="对外销售",COUNTIF({"三矿区";"六矿区"},$L3977)=0),"※对外销售的去向只能是三矿区或六矿区",IF(AND($K3977="对外销售",ROUND($Q3977,0)=0),"※外销却没有售价，请填实际售价",IF(AND($K3977="对外销售",$T3977&lt;&gt;"",$T3977&lt;0),"※这一笔外销是亏的，请核对售价",IF(IFERROR(VLOOKUP($D3977,库存台账!$A$5:$Y$1204,24,0),0)&lt;-0.001,"※这个物料账面已经变成负数了，查一下是不是漏记入库","")))))))))))</f>
        <v/>
      </c>
    </row>
    <row r="3978">
      <c r="A3978" s="24">
        <f>IF($D3978="","",COUNTA($D$4:$D3978))</f>
        <v/>
      </c>
      <c r="B3978" s="17" t="n"/>
      <c r="C3978" s="30" t="n"/>
      <c r="D3978" s="17" t="n"/>
      <c r="E3978" s="24">
        <f>IF($D3978="","",IFERROR(VLOOKUP($D3978,物料档案!$A$4:$P$1203,3,0),"※编码不在物料档案里"))</f>
        <v/>
      </c>
      <c r="F3978" s="24">
        <f>IF($D3978="","",IFERROR(VLOOKUP($D3978,物料档案!$A$4:$P$1203,4,0),"※编码不在物料档案里"))</f>
        <v/>
      </c>
      <c r="G3978" s="24">
        <f>IF($D3978="","",IFERROR(VLOOKUP($D3978,物料档案!$A$4:$P$1203,5,0),"※编码不在物料档案里"))</f>
        <v/>
      </c>
      <c r="H3978" s="24">
        <f>IF($D3978="","",IFERROR(VLOOKUP($D3978,物料档案!$A$4:$P$1203,2,0),"※编码不在物料档案里"))</f>
        <v/>
      </c>
      <c r="I3978" s="24">
        <f>IF($D3978="","",IFERROR(VLOOKUP($D3978,物料档案!$A$4:$P$1203,6,0),"※编码不在物料档案里"))</f>
        <v/>
      </c>
      <c r="J3978" s="23" t="n"/>
      <c r="K3978" s="17" t="n"/>
      <c r="L3978" s="17" t="n"/>
      <c r="M3978" s="17" t="n"/>
      <c r="N3978" s="17" t="n"/>
      <c r="O3978" s="26">
        <f>IF($D3978="","",IFERROR(VLOOKUP($D3978,物料档案!$A$4:$P$1203,10,0),0))</f>
        <v/>
      </c>
      <c r="P3978" s="32" t="n"/>
      <c r="Q3978" s="26">
        <f>IF($D3978="","",IF($K3978&lt;&gt;"对外销售",0,ROUND(N($J3978)*IF($P3978="",N($O3978),N($P3978)),0)))</f>
        <v/>
      </c>
      <c r="R3978" s="26">
        <f>IF($D3978="","",IFERROR(VLOOKUP($D3978,库存台账!$A$5:$Y$1204,11,0),0))</f>
        <v/>
      </c>
      <c r="S3978" s="26">
        <f>IF($D3978="","",ROUND(N($J3978)*N($R3978),0))</f>
        <v/>
      </c>
      <c r="T3978" s="26">
        <f>IF($D3978="","",IF($K3978&lt;&gt;"对外销售","",ROUND($Q3978-$S3978,0)))</f>
        <v/>
      </c>
      <c r="U3978" s="17" t="n"/>
      <c r="V3978" s="17" t="n"/>
      <c r="W3978" s="24">
        <f>IF($D3978="","",IF($E3978="※编码不在物料档案里","※物料编码不在档案里",IF(N($J3978)&lt;=0,"※出库数量要大于 0",IF($K3978="","※没填去向类型",IF($L3978="","※没填去向矿区",IF(AND($C3978&lt;&gt;"",$C3978&lt;=结账锁),"※日期早于已结账截止日，不能再录",IF(AND($K3978="自用消耗",COUNTIF({"一矿区";"二矿区"},$L3978)=0),"※自用消耗的去向只能是一矿区或二矿区",IF(AND($K3978="对外销售",COUNTIF({"三矿区";"六矿区"},$L3978)=0),"※对外销售的去向只能是三矿区或六矿区",IF(AND($K3978="对外销售",ROUND($Q3978,0)=0),"※外销却没有售价，请填实际售价",IF(AND($K3978="对外销售",$T3978&lt;&gt;"",$T3978&lt;0),"※这一笔外销是亏的，请核对售价",IF(IFERROR(VLOOKUP($D3978,库存台账!$A$5:$Y$1204,24,0),0)&lt;-0.001,"※这个物料账面已经变成负数了，查一下是不是漏记入库","")))))))))))</f>
        <v/>
      </c>
    </row>
    <row r="3979">
      <c r="A3979" s="24">
        <f>IF($D3979="","",COUNTA($D$4:$D3979))</f>
        <v/>
      </c>
      <c r="B3979" s="17" t="n"/>
      <c r="C3979" s="30" t="n"/>
      <c r="D3979" s="17" t="n"/>
      <c r="E3979" s="24">
        <f>IF($D3979="","",IFERROR(VLOOKUP($D3979,物料档案!$A$4:$P$1203,3,0),"※编码不在物料档案里"))</f>
        <v/>
      </c>
      <c r="F3979" s="24">
        <f>IF($D3979="","",IFERROR(VLOOKUP($D3979,物料档案!$A$4:$P$1203,4,0),"※编码不在物料档案里"))</f>
        <v/>
      </c>
      <c r="G3979" s="24">
        <f>IF($D3979="","",IFERROR(VLOOKUP($D3979,物料档案!$A$4:$P$1203,5,0),"※编码不在物料档案里"))</f>
        <v/>
      </c>
      <c r="H3979" s="24">
        <f>IF($D3979="","",IFERROR(VLOOKUP($D3979,物料档案!$A$4:$P$1203,2,0),"※编码不在物料档案里"))</f>
        <v/>
      </c>
      <c r="I3979" s="24">
        <f>IF($D3979="","",IFERROR(VLOOKUP($D3979,物料档案!$A$4:$P$1203,6,0),"※编码不在物料档案里"))</f>
        <v/>
      </c>
      <c r="J3979" s="23" t="n"/>
      <c r="K3979" s="17" t="n"/>
      <c r="L3979" s="17" t="n"/>
      <c r="M3979" s="17" t="n"/>
      <c r="N3979" s="17" t="n"/>
      <c r="O3979" s="26">
        <f>IF($D3979="","",IFERROR(VLOOKUP($D3979,物料档案!$A$4:$P$1203,10,0),0))</f>
        <v/>
      </c>
      <c r="P3979" s="32" t="n"/>
      <c r="Q3979" s="26">
        <f>IF($D3979="","",IF($K3979&lt;&gt;"对外销售",0,ROUND(N($J3979)*IF($P3979="",N($O3979),N($P3979)),0)))</f>
        <v/>
      </c>
      <c r="R3979" s="26">
        <f>IF($D3979="","",IFERROR(VLOOKUP($D3979,库存台账!$A$5:$Y$1204,11,0),0))</f>
        <v/>
      </c>
      <c r="S3979" s="26">
        <f>IF($D3979="","",ROUND(N($J3979)*N($R3979),0))</f>
        <v/>
      </c>
      <c r="T3979" s="26">
        <f>IF($D3979="","",IF($K3979&lt;&gt;"对外销售","",ROUND($Q3979-$S3979,0)))</f>
        <v/>
      </c>
      <c r="U3979" s="17" t="n"/>
      <c r="V3979" s="17" t="n"/>
      <c r="W3979" s="24">
        <f>IF($D3979="","",IF($E3979="※编码不在物料档案里","※物料编码不在档案里",IF(N($J3979)&lt;=0,"※出库数量要大于 0",IF($K3979="","※没填去向类型",IF($L3979="","※没填去向矿区",IF(AND($C3979&lt;&gt;"",$C3979&lt;=结账锁),"※日期早于已结账截止日，不能再录",IF(AND($K3979="自用消耗",COUNTIF({"一矿区";"二矿区"},$L3979)=0),"※自用消耗的去向只能是一矿区或二矿区",IF(AND($K3979="对外销售",COUNTIF({"三矿区";"六矿区"},$L3979)=0),"※对外销售的去向只能是三矿区或六矿区",IF(AND($K3979="对外销售",ROUND($Q3979,0)=0),"※外销却没有售价，请填实际售价",IF(AND($K3979="对外销售",$T3979&lt;&gt;"",$T3979&lt;0),"※这一笔外销是亏的，请核对售价",IF(IFERROR(VLOOKUP($D3979,库存台账!$A$5:$Y$1204,24,0),0)&lt;-0.001,"※这个物料账面已经变成负数了，查一下是不是漏记入库","")))))))))))</f>
        <v/>
      </c>
    </row>
    <row r="3980">
      <c r="A3980" s="24">
        <f>IF($D3980="","",COUNTA($D$4:$D3980))</f>
        <v/>
      </c>
      <c r="B3980" s="17" t="n"/>
      <c r="C3980" s="30" t="n"/>
      <c r="D3980" s="17" t="n"/>
      <c r="E3980" s="24">
        <f>IF($D3980="","",IFERROR(VLOOKUP($D3980,物料档案!$A$4:$P$1203,3,0),"※编码不在物料档案里"))</f>
        <v/>
      </c>
      <c r="F3980" s="24">
        <f>IF($D3980="","",IFERROR(VLOOKUP($D3980,物料档案!$A$4:$P$1203,4,0),"※编码不在物料档案里"))</f>
        <v/>
      </c>
      <c r="G3980" s="24">
        <f>IF($D3980="","",IFERROR(VLOOKUP($D3980,物料档案!$A$4:$P$1203,5,0),"※编码不在物料档案里"))</f>
        <v/>
      </c>
      <c r="H3980" s="24">
        <f>IF($D3980="","",IFERROR(VLOOKUP($D3980,物料档案!$A$4:$P$1203,2,0),"※编码不在物料档案里"))</f>
        <v/>
      </c>
      <c r="I3980" s="24">
        <f>IF($D3980="","",IFERROR(VLOOKUP($D3980,物料档案!$A$4:$P$1203,6,0),"※编码不在物料档案里"))</f>
        <v/>
      </c>
      <c r="J3980" s="23" t="n"/>
      <c r="K3980" s="17" t="n"/>
      <c r="L3980" s="17" t="n"/>
      <c r="M3980" s="17" t="n"/>
      <c r="N3980" s="17" t="n"/>
      <c r="O3980" s="26">
        <f>IF($D3980="","",IFERROR(VLOOKUP($D3980,物料档案!$A$4:$P$1203,10,0),0))</f>
        <v/>
      </c>
      <c r="P3980" s="32" t="n"/>
      <c r="Q3980" s="26">
        <f>IF($D3980="","",IF($K3980&lt;&gt;"对外销售",0,ROUND(N($J3980)*IF($P3980="",N($O3980),N($P3980)),0)))</f>
        <v/>
      </c>
      <c r="R3980" s="26">
        <f>IF($D3980="","",IFERROR(VLOOKUP($D3980,库存台账!$A$5:$Y$1204,11,0),0))</f>
        <v/>
      </c>
      <c r="S3980" s="26">
        <f>IF($D3980="","",ROUND(N($J3980)*N($R3980),0))</f>
        <v/>
      </c>
      <c r="T3980" s="26">
        <f>IF($D3980="","",IF($K3980&lt;&gt;"对外销售","",ROUND($Q3980-$S3980,0)))</f>
        <v/>
      </c>
      <c r="U3980" s="17" t="n"/>
      <c r="V3980" s="17" t="n"/>
      <c r="W3980" s="24">
        <f>IF($D3980="","",IF($E3980="※编码不在物料档案里","※物料编码不在档案里",IF(N($J3980)&lt;=0,"※出库数量要大于 0",IF($K3980="","※没填去向类型",IF($L3980="","※没填去向矿区",IF(AND($C3980&lt;&gt;"",$C3980&lt;=结账锁),"※日期早于已结账截止日，不能再录",IF(AND($K3980="自用消耗",COUNTIF({"一矿区";"二矿区"},$L3980)=0),"※自用消耗的去向只能是一矿区或二矿区",IF(AND($K3980="对外销售",COUNTIF({"三矿区";"六矿区"},$L3980)=0),"※对外销售的去向只能是三矿区或六矿区",IF(AND($K3980="对外销售",ROUND($Q3980,0)=0),"※外销却没有售价，请填实际售价",IF(AND($K3980="对外销售",$T3980&lt;&gt;"",$T3980&lt;0),"※这一笔外销是亏的，请核对售价",IF(IFERROR(VLOOKUP($D3980,库存台账!$A$5:$Y$1204,24,0),0)&lt;-0.001,"※这个物料账面已经变成负数了，查一下是不是漏记入库","")))))))))))</f>
        <v/>
      </c>
    </row>
    <row r="3981">
      <c r="A3981" s="24">
        <f>IF($D3981="","",COUNTA($D$4:$D3981))</f>
        <v/>
      </c>
      <c r="B3981" s="17" t="n"/>
      <c r="C3981" s="30" t="n"/>
      <c r="D3981" s="17" t="n"/>
      <c r="E3981" s="24">
        <f>IF($D3981="","",IFERROR(VLOOKUP($D3981,物料档案!$A$4:$P$1203,3,0),"※编码不在物料档案里"))</f>
        <v/>
      </c>
      <c r="F3981" s="24">
        <f>IF($D3981="","",IFERROR(VLOOKUP($D3981,物料档案!$A$4:$P$1203,4,0),"※编码不在物料档案里"))</f>
        <v/>
      </c>
      <c r="G3981" s="24">
        <f>IF($D3981="","",IFERROR(VLOOKUP($D3981,物料档案!$A$4:$P$1203,5,0),"※编码不在物料档案里"))</f>
        <v/>
      </c>
      <c r="H3981" s="24">
        <f>IF($D3981="","",IFERROR(VLOOKUP($D3981,物料档案!$A$4:$P$1203,2,0),"※编码不在物料档案里"))</f>
        <v/>
      </c>
      <c r="I3981" s="24">
        <f>IF($D3981="","",IFERROR(VLOOKUP($D3981,物料档案!$A$4:$P$1203,6,0),"※编码不在物料档案里"))</f>
        <v/>
      </c>
      <c r="J3981" s="23" t="n"/>
      <c r="K3981" s="17" t="n"/>
      <c r="L3981" s="17" t="n"/>
      <c r="M3981" s="17" t="n"/>
      <c r="N3981" s="17" t="n"/>
      <c r="O3981" s="26">
        <f>IF($D3981="","",IFERROR(VLOOKUP($D3981,物料档案!$A$4:$P$1203,10,0),0))</f>
        <v/>
      </c>
      <c r="P3981" s="32" t="n"/>
      <c r="Q3981" s="26">
        <f>IF($D3981="","",IF($K3981&lt;&gt;"对外销售",0,ROUND(N($J3981)*IF($P3981="",N($O3981),N($P3981)),0)))</f>
        <v/>
      </c>
      <c r="R3981" s="26">
        <f>IF($D3981="","",IFERROR(VLOOKUP($D3981,库存台账!$A$5:$Y$1204,11,0),0))</f>
        <v/>
      </c>
      <c r="S3981" s="26">
        <f>IF($D3981="","",ROUND(N($J3981)*N($R3981),0))</f>
        <v/>
      </c>
      <c r="T3981" s="26">
        <f>IF($D3981="","",IF($K3981&lt;&gt;"对外销售","",ROUND($Q3981-$S3981,0)))</f>
        <v/>
      </c>
      <c r="U3981" s="17" t="n"/>
      <c r="V3981" s="17" t="n"/>
      <c r="W3981" s="24">
        <f>IF($D3981="","",IF($E3981="※编码不在物料档案里","※物料编码不在档案里",IF(N($J3981)&lt;=0,"※出库数量要大于 0",IF($K3981="","※没填去向类型",IF($L3981="","※没填去向矿区",IF(AND($C3981&lt;&gt;"",$C3981&lt;=结账锁),"※日期早于已结账截止日，不能再录",IF(AND($K3981="自用消耗",COUNTIF({"一矿区";"二矿区"},$L3981)=0),"※自用消耗的去向只能是一矿区或二矿区",IF(AND($K3981="对外销售",COUNTIF({"三矿区";"六矿区"},$L3981)=0),"※对外销售的去向只能是三矿区或六矿区",IF(AND($K3981="对外销售",ROUND($Q3981,0)=0),"※外销却没有售价，请填实际售价",IF(AND($K3981="对外销售",$T3981&lt;&gt;"",$T3981&lt;0),"※这一笔外销是亏的，请核对售价",IF(IFERROR(VLOOKUP($D3981,库存台账!$A$5:$Y$1204,24,0),0)&lt;-0.001,"※这个物料账面已经变成负数了，查一下是不是漏记入库","")))))))))))</f>
        <v/>
      </c>
    </row>
    <row r="3982">
      <c r="A3982" s="24">
        <f>IF($D3982="","",COUNTA($D$4:$D3982))</f>
        <v/>
      </c>
      <c r="B3982" s="17" t="n"/>
      <c r="C3982" s="30" t="n"/>
      <c r="D3982" s="17" t="n"/>
      <c r="E3982" s="24">
        <f>IF($D3982="","",IFERROR(VLOOKUP($D3982,物料档案!$A$4:$P$1203,3,0),"※编码不在物料档案里"))</f>
        <v/>
      </c>
      <c r="F3982" s="24">
        <f>IF($D3982="","",IFERROR(VLOOKUP($D3982,物料档案!$A$4:$P$1203,4,0),"※编码不在物料档案里"))</f>
        <v/>
      </c>
      <c r="G3982" s="24">
        <f>IF($D3982="","",IFERROR(VLOOKUP($D3982,物料档案!$A$4:$P$1203,5,0),"※编码不在物料档案里"))</f>
        <v/>
      </c>
      <c r="H3982" s="24">
        <f>IF($D3982="","",IFERROR(VLOOKUP($D3982,物料档案!$A$4:$P$1203,2,0),"※编码不在物料档案里"))</f>
        <v/>
      </c>
      <c r="I3982" s="24">
        <f>IF($D3982="","",IFERROR(VLOOKUP($D3982,物料档案!$A$4:$P$1203,6,0),"※编码不在物料档案里"))</f>
        <v/>
      </c>
      <c r="J3982" s="23" t="n"/>
      <c r="K3982" s="17" t="n"/>
      <c r="L3982" s="17" t="n"/>
      <c r="M3982" s="17" t="n"/>
      <c r="N3982" s="17" t="n"/>
      <c r="O3982" s="26">
        <f>IF($D3982="","",IFERROR(VLOOKUP($D3982,物料档案!$A$4:$P$1203,10,0),0))</f>
        <v/>
      </c>
      <c r="P3982" s="32" t="n"/>
      <c r="Q3982" s="26">
        <f>IF($D3982="","",IF($K3982&lt;&gt;"对外销售",0,ROUND(N($J3982)*IF($P3982="",N($O3982),N($P3982)),0)))</f>
        <v/>
      </c>
      <c r="R3982" s="26">
        <f>IF($D3982="","",IFERROR(VLOOKUP($D3982,库存台账!$A$5:$Y$1204,11,0),0))</f>
        <v/>
      </c>
      <c r="S3982" s="26">
        <f>IF($D3982="","",ROUND(N($J3982)*N($R3982),0))</f>
        <v/>
      </c>
      <c r="T3982" s="26">
        <f>IF($D3982="","",IF($K3982&lt;&gt;"对外销售","",ROUND($Q3982-$S3982,0)))</f>
        <v/>
      </c>
      <c r="U3982" s="17" t="n"/>
      <c r="V3982" s="17" t="n"/>
      <c r="W3982" s="24">
        <f>IF($D3982="","",IF($E3982="※编码不在物料档案里","※物料编码不在档案里",IF(N($J3982)&lt;=0,"※出库数量要大于 0",IF($K3982="","※没填去向类型",IF($L3982="","※没填去向矿区",IF(AND($C3982&lt;&gt;"",$C3982&lt;=结账锁),"※日期早于已结账截止日，不能再录",IF(AND($K3982="自用消耗",COUNTIF({"一矿区";"二矿区"},$L3982)=0),"※自用消耗的去向只能是一矿区或二矿区",IF(AND($K3982="对外销售",COUNTIF({"三矿区";"六矿区"},$L3982)=0),"※对外销售的去向只能是三矿区或六矿区",IF(AND($K3982="对外销售",ROUND($Q3982,0)=0),"※外销却没有售价，请填实际售价",IF(AND($K3982="对外销售",$T3982&lt;&gt;"",$T3982&lt;0),"※这一笔外销是亏的，请核对售价",IF(IFERROR(VLOOKUP($D3982,库存台账!$A$5:$Y$1204,24,0),0)&lt;-0.001,"※这个物料账面已经变成负数了，查一下是不是漏记入库","")))))))))))</f>
        <v/>
      </c>
    </row>
    <row r="3983">
      <c r="A3983" s="24">
        <f>IF($D3983="","",COUNTA($D$4:$D3983))</f>
        <v/>
      </c>
      <c r="B3983" s="17" t="n"/>
      <c r="C3983" s="30" t="n"/>
      <c r="D3983" s="17" t="n"/>
      <c r="E3983" s="24">
        <f>IF($D3983="","",IFERROR(VLOOKUP($D3983,物料档案!$A$4:$P$1203,3,0),"※编码不在物料档案里"))</f>
        <v/>
      </c>
      <c r="F3983" s="24">
        <f>IF($D3983="","",IFERROR(VLOOKUP($D3983,物料档案!$A$4:$P$1203,4,0),"※编码不在物料档案里"))</f>
        <v/>
      </c>
      <c r="G3983" s="24">
        <f>IF($D3983="","",IFERROR(VLOOKUP($D3983,物料档案!$A$4:$P$1203,5,0),"※编码不在物料档案里"))</f>
        <v/>
      </c>
      <c r="H3983" s="24">
        <f>IF($D3983="","",IFERROR(VLOOKUP($D3983,物料档案!$A$4:$P$1203,2,0),"※编码不在物料档案里"))</f>
        <v/>
      </c>
      <c r="I3983" s="24">
        <f>IF($D3983="","",IFERROR(VLOOKUP($D3983,物料档案!$A$4:$P$1203,6,0),"※编码不在物料档案里"))</f>
        <v/>
      </c>
      <c r="J3983" s="23" t="n"/>
      <c r="K3983" s="17" t="n"/>
      <c r="L3983" s="17" t="n"/>
      <c r="M3983" s="17" t="n"/>
      <c r="N3983" s="17" t="n"/>
      <c r="O3983" s="26">
        <f>IF($D3983="","",IFERROR(VLOOKUP($D3983,物料档案!$A$4:$P$1203,10,0),0))</f>
        <v/>
      </c>
      <c r="P3983" s="32" t="n"/>
      <c r="Q3983" s="26">
        <f>IF($D3983="","",IF($K3983&lt;&gt;"对外销售",0,ROUND(N($J3983)*IF($P3983="",N($O3983),N($P3983)),0)))</f>
        <v/>
      </c>
      <c r="R3983" s="26">
        <f>IF($D3983="","",IFERROR(VLOOKUP($D3983,库存台账!$A$5:$Y$1204,11,0),0))</f>
        <v/>
      </c>
      <c r="S3983" s="26">
        <f>IF($D3983="","",ROUND(N($J3983)*N($R3983),0))</f>
        <v/>
      </c>
      <c r="T3983" s="26">
        <f>IF($D3983="","",IF($K3983&lt;&gt;"对外销售","",ROUND($Q3983-$S3983,0)))</f>
        <v/>
      </c>
      <c r="U3983" s="17" t="n"/>
      <c r="V3983" s="17" t="n"/>
      <c r="W3983" s="24">
        <f>IF($D3983="","",IF($E3983="※编码不在物料档案里","※物料编码不在档案里",IF(N($J3983)&lt;=0,"※出库数量要大于 0",IF($K3983="","※没填去向类型",IF($L3983="","※没填去向矿区",IF(AND($C3983&lt;&gt;"",$C3983&lt;=结账锁),"※日期早于已结账截止日，不能再录",IF(AND($K3983="自用消耗",COUNTIF({"一矿区";"二矿区"},$L3983)=0),"※自用消耗的去向只能是一矿区或二矿区",IF(AND($K3983="对外销售",COUNTIF({"三矿区";"六矿区"},$L3983)=0),"※对外销售的去向只能是三矿区或六矿区",IF(AND($K3983="对外销售",ROUND($Q3983,0)=0),"※外销却没有售价，请填实际售价",IF(AND($K3983="对外销售",$T3983&lt;&gt;"",$T3983&lt;0),"※这一笔外销是亏的，请核对售价",IF(IFERROR(VLOOKUP($D3983,库存台账!$A$5:$Y$1204,24,0),0)&lt;-0.001,"※这个物料账面已经变成负数了，查一下是不是漏记入库","")))))))))))</f>
        <v/>
      </c>
    </row>
    <row r="3984">
      <c r="A3984" s="24">
        <f>IF($D3984="","",COUNTA($D$4:$D3984))</f>
        <v/>
      </c>
      <c r="B3984" s="17" t="n"/>
      <c r="C3984" s="30" t="n"/>
      <c r="D3984" s="17" t="n"/>
      <c r="E3984" s="24">
        <f>IF($D3984="","",IFERROR(VLOOKUP($D3984,物料档案!$A$4:$P$1203,3,0),"※编码不在物料档案里"))</f>
        <v/>
      </c>
      <c r="F3984" s="24">
        <f>IF($D3984="","",IFERROR(VLOOKUP($D3984,物料档案!$A$4:$P$1203,4,0),"※编码不在物料档案里"))</f>
        <v/>
      </c>
      <c r="G3984" s="24">
        <f>IF($D3984="","",IFERROR(VLOOKUP($D3984,物料档案!$A$4:$P$1203,5,0),"※编码不在物料档案里"))</f>
        <v/>
      </c>
      <c r="H3984" s="24">
        <f>IF($D3984="","",IFERROR(VLOOKUP($D3984,物料档案!$A$4:$P$1203,2,0),"※编码不在物料档案里"))</f>
        <v/>
      </c>
      <c r="I3984" s="24">
        <f>IF($D3984="","",IFERROR(VLOOKUP($D3984,物料档案!$A$4:$P$1203,6,0),"※编码不在物料档案里"))</f>
        <v/>
      </c>
      <c r="J3984" s="23" t="n"/>
      <c r="K3984" s="17" t="n"/>
      <c r="L3984" s="17" t="n"/>
      <c r="M3984" s="17" t="n"/>
      <c r="N3984" s="17" t="n"/>
      <c r="O3984" s="26">
        <f>IF($D3984="","",IFERROR(VLOOKUP($D3984,物料档案!$A$4:$P$1203,10,0),0))</f>
        <v/>
      </c>
      <c r="P3984" s="32" t="n"/>
      <c r="Q3984" s="26">
        <f>IF($D3984="","",IF($K3984&lt;&gt;"对外销售",0,ROUND(N($J3984)*IF($P3984="",N($O3984),N($P3984)),0)))</f>
        <v/>
      </c>
      <c r="R3984" s="26">
        <f>IF($D3984="","",IFERROR(VLOOKUP($D3984,库存台账!$A$5:$Y$1204,11,0),0))</f>
        <v/>
      </c>
      <c r="S3984" s="26">
        <f>IF($D3984="","",ROUND(N($J3984)*N($R3984),0))</f>
        <v/>
      </c>
      <c r="T3984" s="26">
        <f>IF($D3984="","",IF($K3984&lt;&gt;"对外销售","",ROUND($Q3984-$S3984,0)))</f>
        <v/>
      </c>
      <c r="U3984" s="17" t="n"/>
      <c r="V3984" s="17" t="n"/>
      <c r="W3984" s="24">
        <f>IF($D3984="","",IF($E3984="※编码不在物料档案里","※物料编码不在档案里",IF(N($J3984)&lt;=0,"※出库数量要大于 0",IF($K3984="","※没填去向类型",IF($L3984="","※没填去向矿区",IF(AND($C3984&lt;&gt;"",$C3984&lt;=结账锁),"※日期早于已结账截止日，不能再录",IF(AND($K3984="自用消耗",COUNTIF({"一矿区";"二矿区"},$L3984)=0),"※自用消耗的去向只能是一矿区或二矿区",IF(AND($K3984="对外销售",COUNTIF({"三矿区";"六矿区"},$L3984)=0),"※对外销售的去向只能是三矿区或六矿区",IF(AND($K3984="对外销售",ROUND($Q3984,0)=0),"※外销却没有售价，请填实际售价",IF(AND($K3984="对外销售",$T3984&lt;&gt;"",$T3984&lt;0),"※这一笔外销是亏的，请核对售价",IF(IFERROR(VLOOKUP($D3984,库存台账!$A$5:$Y$1204,24,0),0)&lt;-0.001,"※这个物料账面已经变成负数了，查一下是不是漏记入库","")))))))))))</f>
        <v/>
      </c>
    </row>
    <row r="3985">
      <c r="A3985" s="24">
        <f>IF($D3985="","",COUNTA($D$4:$D3985))</f>
        <v/>
      </c>
      <c r="B3985" s="17" t="n"/>
      <c r="C3985" s="30" t="n"/>
      <c r="D3985" s="17" t="n"/>
      <c r="E3985" s="24">
        <f>IF($D3985="","",IFERROR(VLOOKUP($D3985,物料档案!$A$4:$P$1203,3,0),"※编码不在物料档案里"))</f>
        <v/>
      </c>
      <c r="F3985" s="24">
        <f>IF($D3985="","",IFERROR(VLOOKUP($D3985,物料档案!$A$4:$P$1203,4,0),"※编码不在物料档案里"))</f>
        <v/>
      </c>
      <c r="G3985" s="24">
        <f>IF($D3985="","",IFERROR(VLOOKUP($D3985,物料档案!$A$4:$P$1203,5,0),"※编码不在物料档案里"))</f>
        <v/>
      </c>
      <c r="H3985" s="24">
        <f>IF($D3985="","",IFERROR(VLOOKUP($D3985,物料档案!$A$4:$P$1203,2,0),"※编码不在物料档案里"))</f>
        <v/>
      </c>
      <c r="I3985" s="24">
        <f>IF($D3985="","",IFERROR(VLOOKUP($D3985,物料档案!$A$4:$P$1203,6,0),"※编码不在物料档案里"))</f>
        <v/>
      </c>
      <c r="J3985" s="23" t="n"/>
      <c r="K3985" s="17" t="n"/>
      <c r="L3985" s="17" t="n"/>
      <c r="M3985" s="17" t="n"/>
      <c r="N3985" s="17" t="n"/>
      <c r="O3985" s="26">
        <f>IF($D3985="","",IFERROR(VLOOKUP($D3985,物料档案!$A$4:$P$1203,10,0),0))</f>
        <v/>
      </c>
      <c r="P3985" s="32" t="n"/>
      <c r="Q3985" s="26">
        <f>IF($D3985="","",IF($K3985&lt;&gt;"对外销售",0,ROUND(N($J3985)*IF($P3985="",N($O3985),N($P3985)),0)))</f>
        <v/>
      </c>
      <c r="R3985" s="26">
        <f>IF($D3985="","",IFERROR(VLOOKUP($D3985,库存台账!$A$5:$Y$1204,11,0),0))</f>
        <v/>
      </c>
      <c r="S3985" s="26">
        <f>IF($D3985="","",ROUND(N($J3985)*N($R3985),0))</f>
        <v/>
      </c>
      <c r="T3985" s="26">
        <f>IF($D3985="","",IF($K3985&lt;&gt;"对外销售","",ROUND($Q3985-$S3985,0)))</f>
        <v/>
      </c>
      <c r="U3985" s="17" t="n"/>
      <c r="V3985" s="17" t="n"/>
      <c r="W3985" s="24">
        <f>IF($D3985="","",IF($E3985="※编码不在物料档案里","※物料编码不在档案里",IF(N($J3985)&lt;=0,"※出库数量要大于 0",IF($K3985="","※没填去向类型",IF($L3985="","※没填去向矿区",IF(AND($C3985&lt;&gt;"",$C3985&lt;=结账锁),"※日期早于已结账截止日，不能再录",IF(AND($K3985="自用消耗",COUNTIF({"一矿区";"二矿区"},$L3985)=0),"※自用消耗的去向只能是一矿区或二矿区",IF(AND($K3985="对外销售",COUNTIF({"三矿区";"六矿区"},$L3985)=0),"※对外销售的去向只能是三矿区或六矿区",IF(AND($K3985="对外销售",ROUND($Q3985,0)=0),"※外销却没有售价，请填实际售价",IF(AND($K3985="对外销售",$T3985&lt;&gt;"",$T3985&lt;0),"※这一笔外销是亏的，请核对售价",IF(IFERROR(VLOOKUP($D3985,库存台账!$A$5:$Y$1204,24,0),0)&lt;-0.001,"※这个物料账面已经变成负数了，查一下是不是漏记入库","")))))))))))</f>
        <v/>
      </c>
    </row>
    <row r="3986">
      <c r="A3986" s="24">
        <f>IF($D3986="","",COUNTA($D$4:$D3986))</f>
        <v/>
      </c>
      <c r="B3986" s="17" t="n"/>
      <c r="C3986" s="30" t="n"/>
      <c r="D3986" s="17" t="n"/>
      <c r="E3986" s="24">
        <f>IF($D3986="","",IFERROR(VLOOKUP($D3986,物料档案!$A$4:$P$1203,3,0),"※编码不在物料档案里"))</f>
        <v/>
      </c>
      <c r="F3986" s="24">
        <f>IF($D3986="","",IFERROR(VLOOKUP($D3986,物料档案!$A$4:$P$1203,4,0),"※编码不在物料档案里"))</f>
        <v/>
      </c>
      <c r="G3986" s="24">
        <f>IF($D3986="","",IFERROR(VLOOKUP($D3986,物料档案!$A$4:$P$1203,5,0),"※编码不在物料档案里"))</f>
        <v/>
      </c>
      <c r="H3986" s="24">
        <f>IF($D3986="","",IFERROR(VLOOKUP($D3986,物料档案!$A$4:$P$1203,2,0),"※编码不在物料档案里"))</f>
        <v/>
      </c>
      <c r="I3986" s="24">
        <f>IF($D3986="","",IFERROR(VLOOKUP($D3986,物料档案!$A$4:$P$1203,6,0),"※编码不在物料档案里"))</f>
        <v/>
      </c>
      <c r="J3986" s="23" t="n"/>
      <c r="K3986" s="17" t="n"/>
      <c r="L3986" s="17" t="n"/>
      <c r="M3986" s="17" t="n"/>
      <c r="N3986" s="17" t="n"/>
      <c r="O3986" s="26">
        <f>IF($D3986="","",IFERROR(VLOOKUP($D3986,物料档案!$A$4:$P$1203,10,0),0))</f>
        <v/>
      </c>
      <c r="P3986" s="32" t="n"/>
      <c r="Q3986" s="26">
        <f>IF($D3986="","",IF($K3986&lt;&gt;"对外销售",0,ROUND(N($J3986)*IF($P3986="",N($O3986),N($P3986)),0)))</f>
        <v/>
      </c>
      <c r="R3986" s="26">
        <f>IF($D3986="","",IFERROR(VLOOKUP($D3986,库存台账!$A$5:$Y$1204,11,0),0))</f>
        <v/>
      </c>
      <c r="S3986" s="26">
        <f>IF($D3986="","",ROUND(N($J3986)*N($R3986),0))</f>
        <v/>
      </c>
      <c r="T3986" s="26">
        <f>IF($D3986="","",IF($K3986&lt;&gt;"对外销售","",ROUND($Q3986-$S3986,0)))</f>
        <v/>
      </c>
      <c r="U3986" s="17" t="n"/>
      <c r="V3986" s="17" t="n"/>
      <c r="W3986" s="24">
        <f>IF($D3986="","",IF($E3986="※编码不在物料档案里","※物料编码不在档案里",IF(N($J3986)&lt;=0,"※出库数量要大于 0",IF($K3986="","※没填去向类型",IF($L3986="","※没填去向矿区",IF(AND($C3986&lt;&gt;"",$C3986&lt;=结账锁),"※日期早于已结账截止日，不能再录",IF(AND($K3986="自用消耗",COUNTIF({"一矿区";"二矿区"},$L3986)=0),"※自用消耗的去向只能是一矿区或二矿区",IF(AND($K3986="对外销售",COUNTIF({"三矿区";"六矿区"},$L3986)=0),"※对外销售的去向只能是三矿区或六矿区",IF(AND($K3986="对外销售",ROUND($Q3986,0)=0),"※外销却没有售价，请填实际售价",IF(AND($K3986="对外销售",$T3986&lt;&gt;"",$T3986&lt;0),"※这一笔外销是亏的，请核对售价",IF(IFERROR(VLOOKUP($D3986,库存台账!$A$5:$Y$1204,24,0),0)&lt;-0.001,"※这个物料账面已经变成负数了，查一下是不是漏记入库","")))))))))))</f>
        <v/>
      </c>
    </row>
    <row r="3987">
      <c r="A3987" s="24">
        <f>IF($D3987="","",COUNTA($D$4:$D3987))</f>
        <v/>
      </c>
      <c r="B3987" s="17" t="n"/>
      <c r="C3987" s="30" t="n"/>
      <c r="D3987" s="17" t="n"/>
      <c r="E3987" s="24">
        <f>IF($D3987="","",IFERROR(VLOOKUP($D3987,物料档案!$A$4:$P$1203,3,0),"※编码不在物料档案里"))</f>
        <v/>
      </c>
      <c r="F3987" s="24">
        <f>IF($D3987="","",IFERROR(VLOOKUP($D3987,物料档案!$A$4:$P$1203,4,0),"※编码不在物料档案里"))</f>
        <v/>
      </c>
      <c r="G3987" s="24">
        <f>IF($D3987="","",IFERROR(VLOOKUP($D3987,物料档案!$A$4:$P$1203,5,0),"※编码不在物料档案里"))</f>
        <v/>
      </c>
      <c r="H3987" s="24">
        <f>IF($D3987="","",IFERROR(VLOOKUP($D3987,物料档案!$A$4:$P$1203,2,0),"※编码不在物料档案里"))</f>
        <v/>
      </c>
      <c r="I3987" s="24">
        <f>IF($D3987="","",IFERROR(VLOOKUP($D3987,物料档案!$A$4:$P$1203,6,0),"※编码不在物料档案里"))</f>
        <v/>
      </c>
      <c r="J3987" s="23" t="n"/>
      <c r="K3987" s="17" t="n"/>
      <c r="L3987" s="17" t="n"/>
      <c r="M3987" s="17" t="n"/>
      <c r="N3987" s="17" t="n"/>
      <c r="O3987" s="26">
        <f>IF($D3987="","",IFERROR(VLOOKUP($D3987,物料档案!$A$4:$P$1203,10,0),0))</f>
        <v/>
      </c>
      <c r="P3987" s="32" t="n"/>
      <c r="Q3987" s="26">
        <f>IF($D3987="","",IF($K3987&lt;&gt;"对外销售",0,ROUND(N($J3987)*IF($P3987="",N($O3987),N($P3987)),0)))</f>
        <v/>
      </c>
      <c r="R3987" s="26">
        <f>IF($D3987="","",IFERROR(VLOOKUP($D3987,库存台账!$A$5:$Y$1204,11,0),0))</f>
        <v/>
      </c>
      <c r="S3987" s="26">
        <f>IF($D3987="","",ROUND(N($J3987)*N($R3987),0))</f>
        <v/>
      </c>
      <c r="T3987" s="26">
        <f>IF($D3987="","",IF($K3987&lt;&gt;"对外销售","",ROUND($Q3987-$S3987,0)))</f>
        <v/>
      </c>
      <c r="U3987" s="17" t="n"/>
      <c r="V3987" s="17" t="n"/>
      <c r="W3987" s="24">
        <f>IF($D3987="","",IF($E3987="※编码不在物料档案里","※物料编码不在档案里",IF(N($J3987)&lt;=0,"※出库数量要大于 0",IF($K3987="","※没填去向类型",IF($L3987="","※没填去向矿区",IF(AND($C3987&lt;&gt;"",$C3987&lt;=结账锁),"※日期早于已结账截止日，不能再录",IF(AND($K3987="自用消耗",COUNTIF({"一矿区";"二矿区"},$L3987)=0),"※自用消耗的去向只能是一矿区或二矿区",IF(AND($K3987="对外销售",COUNTIF({"三矿区";"六矿区"},$L3987)=0),"※对外销售的去向只能是三矿区或六矿区",IF(AND($K3987="对外销售",ROUND($Q3987,0)=0),"※外销却没有售价，请填实际售价",IF(AND($K3987="对外销售",$T3987&lt;&gt;"",$T3987&lt;0),"※这一笔外销是亏的，请核对售价",IF(IFERROR(VLOOKUP($D3987,库存台账!$A$5:$Y$1204,24,0),0)&lt;-0.001,"※这个物料账面已经变成负数了，查一下是不是漏记入库","")))))))))))</f>
        <v/>
      </c>
    </row>
    <row r="3988">
      <c r="A3988" s="24">
        <f>IF($D3988="","",COUNTA($D$4:$D3988))</f>
        <v/>
      </c>
      <c r="B3988" s="17" t="n"/>
      <c r="C3988" s="30" t="n"/>
      <c r="D3988" s="17" t="n"/>
      <c r="E3988" s="24">
        <f>IF($D3988="","",IFERROR(VLOOKUP($D3988,物料档案!$A$4:$P$1203,3,0),"※编码不在物料档案里"))</f>
        <v/>
      </c>
      <c r="F3988" s="24">
        <f>IF($D3988="","",IFERROR(VLOOKUP($D3988,物料档案!$A$4:$P$1203,4,0),"※编码不在物料档案里"))</f>
        <v/>
      </c>
      <c r="G3988" s="24">
        <f>IF($D3988="","",IFERROR(VLOOKUP($D3988,物料档案!$A$4:$P$1203,5,0),"※编码不在物料档案里"))</f>
        <v/>
      </c>
      <c r="H3988" s="24">
        <f>IF($D3988="","",IFERROR(VLOOKUP($D3988,物料档案!$A$4:$P$1203,2,0),"※编码不在物料档案里"))</f>
        <v/>
      </c>
      <c r="I3988" s="24">
        <f>IF($D3988="","",IFERROR(VLOOKUP($D3988,物料档案!$A$4:$P$1203,6,0),"※编码不在物料档案里"))</f>
        <v/>
      </c>
      <c r="J3988" s="23" t="n"/>
      <c r="K3988" s="17" t="n"/>
      <c r="L3988" s="17" t="n"/>
      <c r="M3988" s="17" t="n"/>
      <c r="N3988" s="17" t="n"/>
      <c r="O3988" s="26">
        <f>IF($D3988="","",IFERROR(VLOOKUP($D3988,物料档案!$A$4:$P$1203,10,0),0))</f>
        <v/>
      </c>
      <c r="P3988" s="32" t="n"/>
      <c r="Q3988" s="26">
        <f>IF($D3988="","",IF($K3988&lt;&gt;"对外销售",0,ROUND(N($J3988)*IF($P3988="",N($O3988),N($P3988)),0)))</f>
        <v/>
      </c>
      <c r="R3988" s="26">
        <f>IF($D3988="","",IFERROR(VLOOKUP($D3988,库存台账!$A$5:$Y$1204,11,0),0))</f>
        <v/>
      </c>
      <c r="S3988" s="26">
        <f>IF($D3988="","",ROUND(N($J3988)*N($R3988),0))</f>
        <v/>
      </c>
      <c r="T3988" s="26">
        <f>IF($D3988="","",IF($K3988&lt;&gt;"对外销售","",ROUND($Q3988-$S3988,0)))</f>
        <v/>
      </c>
      <c r="U3988" s="17" t="n"/>
      <c r="V3988" s="17" t="n"/>
      <c r="W3988" s="24">
        <f>IF($D3988="","",IF($E3988="※编码不在物料档案里","※物料编码不在档案里",IF(N($J3988)&lt;=0,"※出库数量要大于 0",IF($K3988="","※没填去向类型",IF($L3988="","※没填去向矿区",IF(AND($C3988&lt;&gt;"",$C3988&lt;=结账锁),"※日期早于已结账截止日，不能再录",IF(AND($K3988="自用消耗",COUNTIF({"一矿区";"二矿区"},$L3988)=0),"※自用消耗的去向只能是一矿区或二矿区",IF(AND($K3988="对外销售",COUNTIF({"三矿区";"六矿区"},$L3988)=0),"※对外销售的去向只能是三矿区或六矿区",IF(AND($K3988="对外销售",ROUND($Q3988,0)=0),"※外销却没有售价，请填实际售价",IF(AND($K3988="对外销售",$T3988&lt;&gt;"",$T3988&lt;0),"※这一笔外销是亏的，请核对售价",IF(IFERROR(VLOOKUP($D3988,库存台账!$A$5:$Y$1204,24,0),0)&lt;-0.001,"※这个物料账面已经变成负数了，查一下是不是漏记入库","")))))))))))</f>
        <v/>
      </c>
    </row>
    <row r="3989">
      <c r="A3989" s="24">
        <f>IF($D3989="","",COUNTA($D$4:$D3989))</f>
        <v/>
      </c>
      <c r="B3989" s="17" t="n"/>
      <c r="C3989" s="30" t="n"/>
      <c r="D3989" s="17" t="n"/>
      <c r="E3989" s="24">
        <f>IF($D3989="","",IFERROR(VLOOKUP($D3989,物料档案!$A$4:$P$1203,3,0),"※编码不在物料档案里"))</f>
        <v/>
      </c>
      <c r="F3989" s="24">
        <f>IF($D3989="","",IFERROR(VLOOKUP($D3989,物料档案!$A$4:$P$1203,4,0),"※编码不在物料档案里"))</f>
        <v/>
      </c>
      <c r="G3989" s="24">
        <f>IF($D3989="","",IFERROR(VLOOKUP($D3989,物料档案!$A$4:$P$1203,5,0),"※编码不在物料档案里"))</f>
        <v/>
      </c>
      <c r="H3989" s="24">
        <f>IF($D3989="","",IFERROR(VLOOKUP($D3989,物料档案!$A$4:$P$1203,2,0),"※编码不在物料档案里"))</f>
        <v/>
      </c>
      <c r="I3989" s="24">
        <f>IF($D3989="","",IFERROR(VLOOKUP($D3989,物料档案!$A$4:$P$1203,6,0),"※编码不在物料档案里"))</f>
        <v/>
      </c>
      <c r="J3989" s="23" t="n"/>
      <c r="K3989" s="17" t="n"/>
      <c r="L3989" s="17" t="n"/>
      <c r="M3989" s="17" t="n"/>
      <c r="N3989" s="17" t="n"/>
      <c r="O3989" s="26">
        <f>IF($D3989="","",IFERROR(VLOOKUP($D3989,物料档案!$A$4:$P$1203,10,0),0))</f>
        <v/>
      </c>
      <c r="P3989" s="32" t="n"/>
      <c r="Q3989" s="26">
        <f>IF($D3989="","",IF($K3989&lt;&gt;"对外销售",0,ROUND(N($J3989)*IF($P3989="",N($O3989),N($P3989)),0)))</f>
        <v/>
      </c>
      <c r="R3989" s="26">
        <f>IF($D3989="","",IFERROR(VLOOKUP($D3989,库存台账!$A$5:$Y$1204,11,0),0))</f>
        <v/>
      </c>
      <c r="S3989" s="26">
        <f>IF($D3989="","",ROUND(N($J3989)*N($R3989),0))</f>
        <v/>
      </c>
      <c r="T3989" s="26">
        <f>IF($D3989="","",IF($K3989&lt;&gt;"对外销售","",ROUND($Q3989-$S3989,0)))</f>
        <v/>
      </c>
      <c r="U3989" s="17" t="n"/>
      <c r="V3989" s="17" t="n"/>
      <c r="W3989" s="24">
        <f>IF($D3989="","",IF($E3989="※编码不在物料档案里","※物料编码不在档案里",IF(N($J3989)&lt;=0,"※出库数量要大于 0",IF($K3989="","※没填去向类型",IF($L3989="","※没填去向矿区",IF(AND($C3989&lt;&gt;"",$C3989&lt;=结账锁),"※日期早于已结账截止日，不能再录",IF(AND($K3989="自用消耗",COUNTIF({"一矿区";"二矿区"},$L3989)=0),"※自用消耗的去向只能是一矿区或二矿区",IF(AND($K3989="对外销售",COUNTIF({"三矿区";"六矿区"},$L3989)=0),"※对外销售的去向只能是三矿区或六矿区",IF(AND($K3989="对外销售",ROUND($Q3989,0)=0),"※外销却没有售价，请填实际售价",IF(AND($K3989="对外销售",$T3989&lt;&gt;"",$T3989&lt;0),"※这一笔外销是亏的，请核对售价",IF(IFERROR(VLOOKUP($D3989,库存台账!$A$5:$Y$1204,24,0),0)&lt;-0.001,"※这个物料账面已经变成负数了，查一下是不是漏记入库","")))))))))))</f>
        <v/>
      </c>
    </row>
    <row r="3990">
      <c r="A3990" s="24">
        <f>IF($D3990="","",COUNTA($D$4:$D3990))</f>
        <v/>
      </c>
      <c r="B3990" s="17" t="n"/>
      <c r="C3990" s="30" t="n"/>
      <c r="D3990" s="17" t="n"/>
      <c r="E3990" s="24">
        <f>IF($D3990="","",IFERROR(VLOOKUP($D3990,物料档案!$A$4:$P$1203,3,0),"※编码不在物料档案里"))</f>
        <v/>
      </c>
      <c r="F3990" s="24">
        <f>IF($D3990="","",IFERROR(VLOOKUP($D3990,物料档案!$A$4:$P$1203,4,0),"※编码不在物料档案里"))</f>
        <v/>
      </c>
      <c r="G3990" s="24">
        <f>IF($D3990="","",IFERROR(VLOOKUP($D3990,物料档案!$A$4:$P$1203,5,0),"※编码不在物料档案里"))</f>
        <v/>
      </c>
      <c r="H3990" s="24">
        <f>IF($D3990="","",IFERROR(VLOOKUP($D3990,物料档案!$A$4:$P$1203,2,0),"※编码不在物料档案里"))</f>
        <v/>
      </c>
      <c r="I3990" s="24">
        <f>IF($D3990="","",IFERROR(VLOOKUP($D3990,物料档案!$A$4:$P$1203,6,0),"※编码不在物料档案里"))</f>
        <v/>
      </c>
      <c r="J3990" s="23" t="n"/>
      <c r="K3990" s="17" t="n"/>
      <c r="L3990" s="17" t="n"/>
      <c r="M3990" s="17" t="n"/>
      <c r="N3990" s="17" t="n"/>
      <c r="O3990" s="26">
        <f>IF($D3990="","",IFERROR(VLOOKUP($D3990,物料档案!$A$4:$P$1203,10,0),0))</f>
        <v/>
      </c>
      <c r="P3990" s="32" t="n"/>
      <c r="Q3990" s="26">
        <f>IF($D3990="","",IF($K3990&lt;&gt;"对外销售",0,ROUND(N($J3990)*IF($P3990="",N($O3990),N($P3990)),0)))</f>
        <v/>
      </c>
      <c r="R3990" s="26">
        <f>IF($D3990="","",IFERROR(VLOOKUP($D3990,库存台账!$A$5:$Y$1204,11,0),0))</f>
        <v/>
      </c>
      <c r="S3990" s="26">
        <f>IF($D3990="","",ROUND(N($J3990)*N($R3990),0))</f>
        <v/>
      </c>
      <c r="T3990" s="26">
        <f>IF($D3990="","",IF($K3990&lt;&gt;"对外销售","",ROUND($Q3990-$S3990,0)))</f>
        <v/>
      </c>
      <c r="U3990" s="17" t="n"/>
      <c r="V3990" s="17" t="n"/>
      <c r="W3990" s="24">
        <f>IF($D3990="","",IF($E3990="※编码不在物料档案里","※物料编码不在档案里",IF(N($J3990)&lt;=0,"※出库数量要大于 0",IF($K3990="","※没填去向类型",IF($L3990="","※没填去向矿区",IF(AND($C3990&lt;&gt;"",$C3990&lt;=结账锁),"※日期早于已结账截止日，不能再录",IF(AND($K3990="自用消耗",COUNTIF({"一矿区";"二矿区"},$L3990)=0),"※自用消耗的去向只能是一矿区或二矿区",IF(AND($K3990="对外销售",COUNTIF({"三矿区";"六矿区"},$L3990)=0),"※对外销售的去向只能是三矿区或六矿区",IF(AND($K3990="对外销售",ROUND($Q3990,0)=0),"※外销却没有售价，请填实际售价",IF(AND($K3990="对外销售",$T3990&lt;&gt;"",$T3990&lt;0),"※这一笔外销是亏的，请核对售价",IF(IFERROR(VLOOKUP($D3990,库存台账!$A$5:$Y$1204,24,0),0)&lt;-0.001,"※这个物料账面已经变成负数了，查一下是不是漏记入库","")))))))))))</f>
        <v/>
      </c>
    </row>
    <row r="3991">
      <c r="A3991" s="24">
        <f>IF($D3991="","",COUNTA($D$4:$D3991))</f>
        <v/>
      </c>
      <c r="B3991" s="17" t="n"/>
      <c r="C3991" s="30" t="n"/>
      <c r="D3991" s="17" t="n"/>
      <c r="E3991" s="24">
        <f>IF($D3991="","",IFERROR(VLOOKUP($D3991,物料档案!$A$4:$P$1203,3,0),"※编码不在物料档案里"))</f>
        <v/>
      </c>
      <c r="F3991" s="24">
        <f>IF($D3991="","",IFERROR(VLOOKUP($D3991,物料档案!$A$4:$P$1203,4,0),"※编码不在物料档案里"))</f>
        <v/>
      </c>
      <c r="G3991" s="24">
        <f>IF($D3991="","",IFERROR(VLOOKUP($D3991,物料档案!$A$4:$P$1203,5,0),"※编码不在物料档案里"))</f>
        <v/>
      </c>
      <c r="H3991" s="24">
        <f>IF($D3991="","",IFERROR(VLOOKUP($D3991,物料档案!$A$4:$P$1203,2,0),"※编码不在物料档案里"))</f>
        <v/>
      </c>
      <c r="I3991" s="24">
        <f>IF($D3991="","",IFERROR(VLOOKUP($D3991,物料档案!$A$4:$P$1203,6,0),"※编码不在物料档案里"))</f>
        <v/>
      </c>
      <c r="J3991" s="23" t="n"/>
      <c r="K3991" s="17" t="n"/>
      <c r="L3991" s="17" t="n"/>
      <c r="M3991" s="17" t="n"/>
      <c r="N3991" s="17" t="n"/>
      <c r="O3991" s="26">
        <f>IF($D3991="","",IFERROR(VLOOKUP($D3991,物料档案!$A$4:$P$1203,10,0),0))</f>
        <v/>
      </c>
      <c r="P3991" s="32" t="n"/>
      <c r="Q3991" s="26">
        <f>IF($D3991="","",IF($K3991&lt;&gt;"对外销售",0,ROUND(N($J3991)*IF($P3991="",N($O3991),N($P3991)),0)))</f>
        <v/>
      </c>
      <c r="R3991" s="26">
        <f>IF($D3991="","",IFERROR(VLOOKUP($D3991,库存台账!$A$5:$Y$1204,11,0),0))</f>
        <v/>
      </c>
      <c r="S3991" s="26">
        <f>IF($D3991="","",ROUND(N($J3991)*N($R3991),0))</f>
        <v/>
      </c>
      <c r="T3991" s="26">
        <f>IF($D3991="","",IF($K3991&lt;&gt;"对外销售","",ROUND($Q3991-$S3991,0)))</f>
        <v/>
      </c>
      <c r="U3991" s="17" t="n"/>
      <c r="V3991" s="17" t="n"/>
      <c r="W3991" s="24">
        <f>IF($D3991="","",IF($E3991="※编码不在物料档案里","※物料编码不在档案里",IF(N($J3991)&lt;=0,"※出库数量要大于 0",IF($K3991="","※没填去向类型",IF($L3991="","※没填去向矿区",IF(AND($C3991&lt;&gt;"",$C3991&lt;=结账锁),"※日期早于已结账截止日，不能再录",IF(AND($K3991="自用消耗",COUNTIF({"一矿区";"二矿区"},$L3991)=0),"※自用消耗的去向只能是一矿区或二矿区",IF(AND($K3991="对外销售",COUNTIF({"三矿区";"六矿区"},$L3991)=0),"※对外销售的去向只能是三矿区或六矿区",IF(AND($K3991="对外销售",ROUND($Q3991,0)=0),"※外销却没有售价，请填实际售价",IF(AND($K3991="对外销售",$T3991&lt;&gt;"",$T3991&lt;0),"※这一笔外销是亏的，请核对售价",IF(IFERROR(VLOOKUP($D3991,库存台账!$A$5:$Y$1204,24,0),0)&lt;-0.001,"※这个物料账面已经变成负数了，查一下是不是漏记入库","")))))))))))</f>
        <v/>
      </c>
    </row>
    <row r="3992">
      <c r="A3992" s="24">
        <f>IF($D3992="","",COUNTA($D$4:$D3992))</f>
        <v/>
      </c>
      <c r="B3992" s="17" t="n"/>
      <c r="C3992" s="30" t="n"/>
      <c r="D3992" s="17" t="n"/>
      <c r="E3992" s="24">
        <f>IF($D3992="","",IFERROR(VLOOKUP($D3992,物料档案!$A$4:$P$1203,3,0),"※编码不在物料档案里"))</f>
        <v/>
      </c>
      <c r="F3992" s="24">
        <f>IF($D3992="","",IFERROR(VLOOKUP($D3992,物料档案!$A$4:$P$1203,4,0),"※编码不在物料档案里"))</f>
        <v/>
      </c>
      <c r="G3992" s="24">
        <f>IF($D3992="","",IFERROR(VLOOKUP($D3992,物料档案!$A$4:$P$1203,5,0),"※编码不在物料档案里"))</f>
        <v/>
      </c>
      <c r="H3992" s="24">
        <f>IF($D3992="","",IFERROR(VLOOKUP($D3992,物料档案!$A$4:$P$1203,2,0),"※编码不在物料档案里"))</f>
        <v/>
      </c>
      <c r="I3992" s="24">
        <f>IF($D3992="","",IFERROR(VLOOKUP($D3992,物料档案!$A$4:$P$1203,6,0),"※编码不在物料档案里"))</f>
        <v/>
      </c>
      <c r="J3992" s="23" t="n"/>
      <c r="K3992" s="17" t="n"/>
      <c r="L3992" s="17" t="n"/>
      <c r="M3992" s="17" t="n"/>
      <c r="N3992" s="17" t="n"/>
      <c r="O3992" s="26">
        <f>IF($D3992="","",IFERROR(VLOOKUP($D3992,物料档案!$A$4:$P$1203,10,0),0))</f>
        <v/>
      </c>
      <c r="P3992" s="32" t="n"/>
      <c r="Q3992" s="26">
        <f>IF($D3992="","",IF($K3992&lt;&gt;"对外销售",0,ROUND(N($J3992)*IF($P3992="",N($O3992),N($P3992)),0)))</f>
        <v/>
      </c>
      <c r="R3992" s="26">
        <f>IF($D3992="","",IFERROR(VLOOKUP($D3992,库存台账!$A$5:$Y$1204,11,0),0))</f>
        <v/>
      </c>
      <c r="S3992" s="26">
        <f>IF($D3992="","",ROUND(N($J3992)*N($R3992),0))</f>
        <v/>
      </c>
      <c r="T3992" s="26">
        <f>IF($D3992="","",IF($K3992&lt;&gt;"对外销售","",ROUND($Q3992-$S3992,0)))</f>
        <v/>
      </c>
      <c r="U3992" s="17" t="n"/>
      <c r="V3992" s="17" t="n"/>
      <c r="W3992" s="24">
        <f>IF($D3992="","",IF($E3992="※编码不在物料档案里","※物料编码不在档案里",IF(N($J3992)&lt;=0,"※出库数量要大于 0",IF($K3992="","※没填去向类型",IF($L3992="","※没填去向矿区",IF(AND($C3992&lt;&gt;"",$C3992&lt;=结账锁),"※日期早于已结账截止日，不能再录",IF(AND($K3992="自用消耗",COUNTIF({"一矿区";"二矿区"},$L3992)=0),"※自用消耗的去向只能是一矿区或二矿区",IF(AND($K3992="对外销售",COUNTIF({"三矿区";"六矿区"},$L3992)=0),"※对外销售的去向只能是三矿区或六矿区",IF(AND($K3992="对外销售",ROUND($Q3992,0)=0),"※外销却没有售价，请填实际售价",IF(AND($K3992="对外销售",$T3992&lt;&gt;"",$T3992&lt;0),"※这一笔外销是亏的，请核对售价",IF(IFERROR(VLOOKUP($D3992,库存台账!$A$5:$Y$1204,24,0),0)&lt;-0.001,"※这个物料账面已经变成负数了，查一下是不是漏记入库","")))))))))))</f>
        <v/>
      </c>
    </row>
    <row r="3993">
      <c r="A3993" s="24">
        <f>IF($D3993="","",COUNTA($D$4:$D3993))</f>
        <v/>
      </c>
      <c r="B3993" s="17" t="n"/>
      <c r="C3993" s="30" t="n"/>
      <c r="D3993" s="17" t="n"/>
      <c r="E3993" s="24">
        <f>IF($D3993="","",IFERROR(VLOOKUP($D3993,物料档案!$A$4:$P$1203,3,0),"※编码不在物料档案里"))</f>
        <v/>
      </c>
      <c r="F3993" s="24">
        <f>IF($D3993="","",IFERROR(VLOOKUP($D3993,物料档案!$A$4:$P$1203,4,0),"※编码不在物料档案里"))</f>
        <v/>
      </c>
      <c r="G3993" s="24">
        <f>IF($D3993="","",IFERROR(VLOOKUP($D3993,物料档案!$A$4:$P$1203,5,0),"※编码不在物料档案里"))</f>
        <v/>
      </c>
      <c r="H3993" s="24">
        <f>IF($D3993="","",IFERROR(VLOOKUP($D3993,物料档案!$A$4:$P$1203,2,0),"※编码不在物料档案里"))</f>
        <v/>
      </c>
      <c r="I3993" s="24">
        <f>IF($D3993="","",IFERROR(VLOOKUP($D3993,物料档案!$A$4:$P$1203,6,0),"※编码不在物料档案里"))</f>
        <v/>
      </c>
      <c r="J3993" s="23" t="n"/>
      <c r="K3993" s="17" t="n"/>
      <c r="L3993" s="17" t="n"/>
      <c r="M3993" s="17" t="n"/>
      <c r="N3993" s="17" t="n"/>
      <c r="O3993" s="26">
        <f>IF($D3993="","",IFERROR(VLOOKUP($D3993,物料档案!$A$4:$P$1203,10,0),0))</f>
        <v/>
      </c>
      <c r="P3993" s="32" t="n"/>
      <c r="Q3993" s="26">
        <f>IF($D3993="","",IF($K3993&lt;&gt;"对外销售",0,ROUND(N($J3993)*IF($P3993="",N($O3993),N($P3993)),0)))</f>
        <v/>
      </c>
      <c r="R3993" s="26">
        <f>IF($D3993="","",IFERROR(VLOOKUP($D3993,库存台账!$A$5:$Y$1204,11,0),0))</f>
        <v/>
      </c>
      <c r="S3993" s="26">
        <f>IF($D3993="","",ROUND(N($J3993)*N($R3993),0))</f>
        <v/>
      </c>
      <c r="T3993" s="26">
        <f>IF($D3993="","",IF($K3993&lt;&gt;"对外销售","",ROUND($Q3993-$S3993,0)))</f>
        <v/>
      </c>
      <c r="U3993" s="17" t="n"/>
      <c r="V3993" s="17" t="n"/>
      <c r="W3993" s="24">
        <f>IF($D3993="","",IF($E3993="※编码不在物料档案里","※物料编码不在档案里",IF(N($J3993)&lt;=0,"※出库数量要大于 0",IF($K3993="","※没填去向类型",IF($L3993="","※没填去向矿区",IF(AND($C3993&lt;&gt;"",$C3993&lt;=结账锁),"※日期早于已结账截止日，不能再录",IF(AND($K3993="自用消耗",COUNTIF({"一矿区";"二矿区"},$L3993)=0),"※自用消耗的去向只能是一矿区或二矿区",IF(AND($K3993="对外销售",COUNTIF({"三矿区";"六矿区"},$L3993)=0),"※对外销售的去向只能是三矿区或六矿区",IF(AND($K3993="对外销售",ROUND($Q3993,0)=0),"※外销却没有售价，请填实际售价",IF(AND($K3993="对外销售",$T3993&lt;&gt;"",$T3993&lt;0),"※这一笔外销是亏的，请核对售价",IF(IFERROR(VLOOKUP($D3993,库存台账!$A$5:$Y$1204,24,0),0)&lt;-0.001,"※这个物料账面已经变成负数了，查一下是不是漏记入库","")))))))))))</f>
        <v/>
      </c>
    </row>
    <row r="3994">
      <c r="A3994" s="24">
        <f>IF($D3994="","",COUNTA($D$4:$D3994))</f>
        <v/>
      </c>
      <c r="B3994" s="17" t="n"/>
      <c r="C3994" s="30" t="n"/>
      <c r="D3994" s="17" t="n"/>
      <c r="E3994" s="24">
        <f>IF($D3994="","",IFERROR(VLOOKUP($D3994,物料档案!$A$4:$P$1203,3,0),"※编码不在物料档案里"))</f>
        <v/>
      </c>
      <c r="F3994" s="24">
        <f>IF($D3994="","",IFERROR(VLOOKUP($D3994,物料档案!$A$4:$P$1203,4,0),"※编码不在物料档案里"))</f>
        <v/>
      </c>
      <c r="G3994" s="24">
        <f>IF($D3994="","",IFERROR(VLOOKUP($D3994,物料档案!$A$4:$P$1203,5,0),"※编码不在物料档案里"))</f>
        <v/>
      </c>
      <c r="H3994" s="24">
        <f>IF($D3994="","",IFERROR(VLOOKUP($D3994,物料档案!$A$4:$P$1203,2,0),"※编码不在物料档案里"))</f>
        <v/>
      </c>
      <c r="I3994" s="24">
        <f>IF($D3994="","",IFERROR(VLOOKUP($D3994,物料档案!$A$4:$P$1203,6,0),"※编码不在物料档案里"))</f>
        <v/>
      </c>
      <c r="J3994" s="23" t="n"/>
      <c r="K3994" s="17" t="n"/>
      <c r="L3994" s="17" t="n"/>
      <c r="M3994" s="17" t="n"/>
      <c r="N3994" s="17" t="n"/>
      <c r="O3994" s="26">
        <f>IF($D3994="","",IFERROR(VLOOKUP($D3994,物料档案!$A$4:$P$1203,10,0),0))</f>
        <v/>
      </c>
      <c r="P3994" s="32" t="n"/>
      <c r="Q3994" s="26">
        <f>IF($D3994="","",IF($K3994&lt;&gt;"对外销售",0,ROUND(N($J3994)*IF($P3994="",N($O3994),N($P3994)),0)))</f>
        <v/>
      </c>
      <c r="R3994" s="26">
        <f>IF($D3994="","",IFERROR(VLOOKUP($D3994,库存台账!$A$5:$Y$1204,11,0),0))</f>
        <v/>
      </c>
      <c r="S3994" s="26">
        <f>IF($D3994="","",ROUND(N($J3994)*N($R3994),0))</f>
        <v/>
      </c>
      <c r="T3994" s="26">
        <f>IF($D3994="","",IF($K3994&lt;&gt;"对外销售","",ROUND($Q3994-$S3994,0)))</f>
        <v/>
      </c>
      <c r="U3994" s="17" t="n"/>
      <c r="V3994" s="17" t="n"/>
      <c r="W3994" s="24">
        <f>IF($D3994="","",IF($E3994="※编码不在物料档案里","※物料编码不在档案里",IF(N($J3994)&lt;=0,"※出库数量要大于 0",IF($K3994="","※没填去向类型",IF($L3994="","※没填去向矿区",IF(AND($C3994&lt;&gt;"",$C3994&lt;=结账锁),"※日期早于已结账截止日，不能再录",IF(AND($K3994="自用消耗",COUNTIF({"一矿区";"二矿区"},$L3994)=0),"※自用消耗的去向只能是一矿区或二矿区",IF(AND($K3994="对外销售",COUNTIF({"三矿区";"六矿区"},$L3994)=0),"※对外销售的去向只能是三矿区或六矿区",IF(AND($K3994="对外销售",ROUND($Q3994,0)=0),"※外销却没有售价，请填实际售价",IF(AND($K3994="对外销售",$T3994&lt;&gt;"",$T3994&lt;0),"※这一笔外销是亏的，请核对售价",IF(IFERROR(VLOOKUP($D3994,库存台账!$A$5:$Y$1204,24,0),0)&lt;-0.001,"※这个物料账面已经变成负数了，查一下是不是漏记入库","")))))))))))</f>
        <v/>
      </c>
    </row>
    <row r="3995">
      <c r="A3995" s="24">
        <f>IF($D3995="","",COUNTA($D$4:$D3995))</f>
        <v/>
      </c>
      <c r="B3995" s="17" t="n"/>
      <c r="C3995" s="30" t="n"/>
      <c r="D3995" s="17" t="n"/>
      <c r="E3995" s="24">
        <f>IF($D3995="","",IFERROR(VLOOKUP($D3995,物料档案!$A$4:$P$1203,3,0),"※编码不在物料档案里"))</f>
        <v/>
      </c>
      <c r="F3995" s="24">
        <f>IF($D3995="","",IFERROR(VLOOKUP($D3995,物料档案!$A$4:$P$1203,4,0),"※编码不在物料档案里"))</f>
        <v/>
      </c>
      <c r="G3995" s="24">
        <f>IF($D3995="","",IFERROR(VLOOKUP($D3995,物料档案!$A$4:$P$1203,5,0),"※编码不在物料档案里"))</f>
        <v/>
      </c>
      <c r="H3995" s="24">
        <f>IF($D3995="","",IFERROR(VLOOKUP($D3995,物料档案!$A$4:$P$1203,2,0),"※编码不在物料档案里"))</f>
        <v/>
      </c>
      <c r="I3995" s="24">
        <f>IF($D3995="","",IFERROR(VLOOKUP($D3995,物料档案!$A$4:$P$1203,6,0),"※编码不在物料档案里"))</f>
        <v/>
      </c>
      <c r="J3995" s="23" t="n"/>
      <c r="K3995" s="17" t="n"/>
      <c r="L3995" s="17" t="n"/>
      <c r="M3995" s="17" t="n"/>
      <c r="N3995" s="17" t="n"/>
      <c r="O3995" s="26">
        <f>IF($D3995="","",IFERROR(VLOOKUP($D3995,物料档案!$A$4:$P$1203,10,0),0))</f>
        <v/>
      </c>
      <c r="P3995" s="32" t="n"/>
      <c r="Q3995" s="26">
        <f>IF($D3995="","",IF($K3995&lt;&gt;"对外销售",0,ROUND(N($J3995)*IF($P3995="",N($O3995),N($P3995)),0)))</f>
        <v/>
      </c>
      <c r="R3995" s="26">
        <f>IF($D3995="","",IFERROR(VLOOKUP($D3995,库存台账!$A$5:$Y$1204,11,0),0))</f>
        <v/>
      </c>
      <c r="S3995" s="26">
        <f>IF($D3995="","",ROUND(N($J3995)*N($R3995),0))</f>
        <v/>
      </c>
      <c r="T3995" s="26">
        <f>IF($D3995="","",IF($K3995&lt;&gt;"对外销售","",ROUND($Q3995-$S3995,0)))</f>
        <v/>
      </c>
      <c r="U3995" s="17" t="n"/>
      <c r="V3995" s="17" t="n"/>
      <c r="W3995" s="24">
        <f>IF($D3995="","",IF($E3995="※编码不在物料档案里","※物料编码不在档案里",IF(N($J3995)&lt;=0,"※出库数量要大于 0",IF($K3995="","※没填去向类型",IF($L3995="","※没填去向矿区",IF(AND($C3995&lt;&gt;"",$C3995&lt;=结账锁),"※日期早于已结账截止日，不能再录",IF(AND($K3995="自用消耗",COUNTIF({"一矿区";"二矿区"},$L3995)=0),"※自用消耗的去向只能是一矿区或二矿区",IF(AND($K3995="对外销售",COUNTIF({"三矿区";"六矿区"},$L3995)=0),"※对外销售的去向只能是三矿区或六矿区",IF(AND($K3995="对外销售",ROUND($Q3995,0)=0),"※外销却没有售价，请填实际售价",IF(AND($K3995="对外销售",$T3995&lt;&gt;"",$T3995&lt;0),"※这一笔外销是亏的，请核对售价",IF(IFERROR(VLOOKUP($D3995,库存台账!$A$5:$Y$1204,24,0),0)&lt;-0.001,"※这个物料账面已经变成负数了，查一下是不是漏记入库","")))))))))))</f>
        <v/>
      </c>
    </row>
    <row r="3996">
      <c r="A3996" s="24">
        <f>IF($D3996="","",COUNTA($D$4:$D3996))</f>
        <v/>
      </c>
      <c r="B3996" s="17" t="n"/>
      <c r="C3996" s="30" t="n"/>
      <c r="D3996" s="17" t="n"/>
      <c r="E3996" s="24">
        <f>IF($D3996="","",IFERROR(VLOOKUP($D3996,物料档案!$A$4:$P$1203,3,0),"※编码不在物料档案里"))</f>
        <v/>
      </c>
      <c r="F3996" s="24">
        <f>IF($D3996="","",IFERROR(VLOOKUP($D3996,物料档案!$A$4:$P$1203,4,0),"※编码不在物料档案里"))</f>
        <v/>
      </c>
      <c r="G3996" s="24">
        <f>IF($D3996="","",IFERROR(VLOOKUP($D3996,物料档案!$A$4:$P$1203,5,0),"※编码不在物料档案里"))</f>
        <v/>
      </c>
      <c r="H3996" s="24">
        <f>IF($D3996="","",IFERROR(VLOOKUP($D3996,物料档案!$A$4:$P$1203,2,0),"※编码不在物料档案里"))</f>
        <v/>
      </c>
      <c r="I3996" s="24">
        <f>IF($D3996="","",IFERROR(VLOOKUP($D3996,物料档案!$A$4:$P$1203,6,0),"※编码不在物料档案里"))</f>
        <v/>
      </c>
      <c r="J3996" s="23" t="n"/>
      <c r="K3996" s="17" t="n"/>
      <c r="L3996" s="17" t="n"/>
      <c r="M3996" s="17" t="n"/>
      <c r="N3996" s="17" t="n"/>
      <c r="O3996" s="26">
        <f>IF($D3996="","",IFERROR(VLOOKUP($D3996,物料档案!$A$4:$P$1203,10,0),0))</f>
        <v/>
      </c>
      <c r="P3996" s="32" t="n"/>
      <c r="Q3996" s="26">
        <f>IF($D3996="","",IF($K3996&lt;&gt;"对外销售",0,ROUND(N($J3996)*IF($P3996="",N($O3996),N($P3996)),0)))</f>
        <v/>
      </c>
      <c r="R3996" s="26">
        <f>IF($D3996="","",IFERROR(VLOOKUP($D3996,库存台账!$A$5:$Y$1204,11,0),0))</f>
        <v/>
      </c>
      <c r="S3996" s="26">
        <f>IF($D3996="","",ROUND(N($J3996)*N($R3996),0))</f>
        <v/>
      </c>
      <c r="T3996" s="26">
        <f>IF($D3996="","",IF($K3996&lt;&gt;"对外销售","",ROUND($Q3996-$S3996,0)))</f>
        <v/>
      </c>
      <c r="U3996" s="17" t="n"/>
      <c r="V3996" s="17" t="n"/>
      <c r="W3996" s="24">
        <f>IF($D3996="","",IF($E3996="※编码不在物料档案里","※物料编码不在档案里",IF(N($J3996)&lt;=0,"※出库数量要大于 0",IF($K3996="","※没填去向类型",IF($L3996="","※没填去向矿区",IF(AND($C3996&lt;&gt;"",$C3996&lt;=结账锁),"※日期早于已结账截止日，不能再录",IF(AND($K3996="自用消耗",COUNTIF({"一矿区";"二矿区"},$L3996)=0),"※自用消耗的去向只能是一矿区或二矿区",IF(AND($K3996="对外销售",COUNTIF({"三矿区";"六矿区"},$L3996)=0),"※对外销售的去向只能是三矿区或六矿区",IF(AND($K3996="对外销售",ROUND($Q3996,0)=0),"※外销却没有售价，请填实际售价",IF(AND($K3996="对外销售",$T3996&lt;&gt;"",$T3996&lt;0),"※这一笔外销是亏的，请核对售价",IF(IFERROR(VLOOKUP($D3996,库存台账!$A$5:$Y$1204,24,0),0)&lt;-0.001,"※这个物料账面已经变成负数了，查一下是不是漏记入库","")))))))))))</f>
        <v/>
      </c>
    </row>
    <row r="3997">
      <c r="A3997" s="24">
        <f>IF($D3997="","",COUNTA($D$4:$D3997))</f>
        <v/>
      </c>
      <c r="B3997" s="17" t="n"/>
      <c r="C3997" s="30" t="n"/>
      <c r="D3997" s="17" t="n"/>
      <c r="E3997" s="24">
        <f>IF($D3997="","",IFERROR(VLOOKUP($D3997,物料档案!$A$4:$P$1203,3,0),"※编码不在物料档案里"))</f>
        <v/>
      </c>
      <c r="F3997" s="24">
        <f>IF($D3997="","",IFERROR(VLOOKUP($D3997,物料档案!$A$4:$P$1203,4,0),"※编码不在物料档案里"))</f>
        <v/>
      </c>
      <c r="G3997" s="24">
        <f>IF($D3997="","",IFERROR(VLOOKUP($D3997,物料档案!$A$4:$P$1203,5,0),"※编码不在物料档案里"))</f>
        <v/>
      </c>
      <c r="H3997" s="24">
        <f>IF($D3997="","",IFERROR(VLOOKUP($D3997,物料档案!$A$4:$P$1203,2,0),"※编码不在物料档案里"))</f>
        <v/>
      </c>
      <c r="I3997" s="24">
        <f>IF($D3997="","",IFERROR(VLOOKUP($D3997,物料档案!$A$4:$P$1203,6,0),"※编码不在物料档案里"))</f>
        <v/>
      </c>
      <c r="J3997" s="23" t="n"/>
      <c r="K3997" s="17" t="n"/>
      <c r="L3997" s="17" t="n"/>
      <c r="M3997" s="17" t="n"/>
      <c r="N3997" s="17" t="n"/>
      <c r="O3997" s="26">
        <f>IF($D3997="","",IFERROR(VLOOKUP($D3997,物料档案!$A$4:$P$1203,10,0),0))</f>
        <v/>
      </c>
      <c r="P3997" s="32" t="n"/>
      <c r="Q3997" s="26">
        <f>IF($D3997="","",IF($K3997&lt;&gt;"对外销售",0,ROUND(N($J3997)*IF($P3997="",N($O3997),N($P3997)),0)))</f>
        <v/>
      </c>
      <c r="R3997" s="26">
        <f>IF($D3997="","",IFERROR(VLOOKUP($D3997,库存台账!$A$5:$Y$1204,11,0),0))</f>
        <v/>
      </c>
      <c r="S3997" s="26">
        <f>IF($D3997="","",ROUND(N($J3997)*N($R3997),0))</f>
        <v/>
      </c>
      <c r="T3997" s="26">
        <f>IF($D3997="","",IF($K3997&lt;&gt;"对外销售","",ROUND($Q3997-$S3997,0)))</f>
        <v/>
      </c>
      <c r="U3997" s="17" t="n"/>
      <c r="V3997" s="17" t="n"/>
      <c r="W3997" s="24">
        <f>IF($D3997="","",IF($E3997="※编码不在物料档案里","※物料编码不在档案里",IF(N($J3997)&lt;=0,"※出库数量要大于 0",IF($K3997="","※没填去向类型",IF($L3997="","※没填去向矿区",IF(AND($C3997&lt;&gt;"",$C3997&lt;=结账锁),"※日期早于已结账截止日，不能再录",IF(AND($K3997="自用消耗",COUNTIF({"一矿区";"二矿区"},$L3997)=0),"※自用消耗的去向只能是一矿区或二矿区",IF(AND($K3997="对外销售",COUNTIF({"三矿区";"六矿区"},$L3997)=0),"※对外销售的去向只能是三矿区或六矿区",IF(AND($K3997="对外销售",ROUND($Q3997,0)=0),"※外销却没有售价，请填实际售价",IF(AND($K3997="对外销售",$T3997&lt;&gt;"",$T3997&lt;0),"※这一笔外销是亏的，请核对售价",IF(IFERROR(VLOOKUP($D3997,库存台账!$A$5:$Y$1204,24,0),0)&lt;-0.001,"※这个物料账面已经变成负数了，查一下是不是漏记入库","")))))))))))</f>
        <v/>
      </c>
    </row>
    <row r="3998">
      <c r="A3998" s="24">
        <f>IF($D3998="","",COUNTA($D$4:$D3998))</f>
        <v/>
      </c>
      <c r="B3998" s="17" t="n"/>
      <c r="C3998" s="30" t="n"/>
      <c r="D3998" s="17" t="n"/>
      <c r="E3998" s="24">
        <f>IF($D3998="","",IFERROR(VLOOKUP($D3998,物料档案!$A$4:$P$1203,3,0),"※编码不在物料档案里"))</f>
        <v/>
      </c>
      <c r="F3998" s="24">
        <f>IF($D3998="","",IFERROR(VLOOKUP($D3998,物料档案!$A$4:$P$1203,4,0),"※编码不在物料档案里"))</f>
        <v/>
      </c>
      <c r="G3998" s="24">
        <f>IF($D3998="","",IFERROR(VLOOKUP($D3998,物料档案!$A$4:$P$1203,5,0),"※编码不在物料档案里"))</f>
        <v/>
      </c>
      <c r="H3998" s="24">
        <f>IF($D3998="","",IFERROR(VLOOKUP($D3998,物料档案!$A$4:$P$1203,2,0),"※编码不在物料档案里"))</f>
        <v/>
      </c>
      <c r="I3998" s="24">
        <f>IF($D3998="","",IFERROR(VLOOKUP($D3998,物料档案!$A$4:$P$1203,6,0),"※编码不在物料档案里"))</f>
        <v/>
      </c>
      <c r="J3998" s="23" t="n"/>
      <c r="K3998" s="17" t="n"/>
      <c r="L3998" s="17" t="n"/>
      <c r="M3998" s="17" t="n"/>
      <c r="N3998" s="17" t="n"/>
      <c r="O3998" s="26">
        <f>IF($D3998="","",IFERROR(VLOOKUP($D3998,物料档案!$A$4:$P$1203,10,0),0))</f>
        <v/>
      </c>
      <c r="P3998" s="32" t="n"/>
      <c r="Q3998" s="26">
        <f>IF($D3998="","",IF($K3998&lt;&gt;"对外销售",0,ROUND(N($J3998)*IF($P3998="",N($O3998),N($P3998)),0)))</f>
        <v/>
      </c>
      <c r="R3998" s="26">
        <f>IF($D3998="","",IFERROR(VLOOKUP($D3998,库存台账!$A$5:$Y$1204,11,0),0))</f>
        <v/>
      </c>
      <c r="S3998" s="26">
        <f>IF($D3998="","",ROUND(N($J3998)*N($R3998),0))</f>
        <v/>
      </c>
      <c r="T3998" s="26">
        <f>IF($D3998="","",IF($K3998&lt;&gt;"对外销售","",ROUND($Q3998-$S3998,0)))</f>
        <v/>
      </c>
      <c r="U3998" s="17" t="n"/>
      <c r="V3998" s="17" t="n"/>
      <c r="W3998" s="24">
        <f>IF($D3998="","",IF($E3998="※编码不在物料档案里","※物料编码不在档案里",IF(N($J3998)&lt;=0,"※出库数量要大于 0",IF($K3998="","※没填去向类型",IF($L3998="","※没填去向矿区",IF(AND($C3998&lt;&gt;"",$C3998&lt;=结账锁),"※日期早于已结账截止日，不能再录",IF(AND($K3998="自用消耗",COUNTIF({"一矿区";"二矿区"},$L3998)=0),"※自用消耗的去向只能是一矿区或二矿区",IF(AND($K3998="对外销售",COUNTIF({"三矿区";"六矿区"},$L3998)=0),"※对外销售的去向只能是三矿区或六矿区",IF(AND($K3998="对外销售",ROUND($Q3998,0)=0),"※外销却没有售价，请填实际售价",IF(AND($K3998="对外销售",$T3998&lt;&gt;"",$T3998&lt;0),"※这一笔外销是亏的，请核对售价",IF(IFERROR(VLOOKUP($D3998,库存台账!$A$5:$Y$1204,24,0),0)&lt;-0.001,"※这个物料账面已经变成负数了，查一下是不是漏记入库","")))))))))))</f>
        <v/>
      </c>
    </row>
    <row r="3999">
      <c r="A3999" s="24">
        <f>IF($D3999="","",COUNTA($D$4:$D3999))</f>
        <v/>
      </c>
      <c r="B3999" s="17" t="n"/>
      <c r="C3999" s="30" t="n"/>
      <c r="D3999" s="17" t="n"/>
      <c r="E3999" s="24">
        <f>IF($D3999="","",IFERROR(VLOOKUP($D3999,物料档案!$A$4:$P$1203,3,0),"※编码不在物料档案里"))</f>
        <v/>
      </c>
      <c r="F3999" s="24">
        <f>IF($D3999="","",IFERROR(VLOOKUP($D3999,物料档案!$A$4:$P$1203,4,0),"※编码不在物料档案里"))</f>
        <v/>
      </c>
      <c r="G3999" s="24">
        <f>IF($D3999="","",IFERROR(VLOOKUP($D3999,物料档案!$A$4:$P$1203,5,0),"※编码不在物料档案里"))</f>
        <v/>
      </c>
      <c r="H3999" s="24">
        <f>IF($D3999="","",IFERROR(VLOOKUP($D3999,物料档案!$A$4:$P$1203,2,0),"※编码不在物料档案里"))</f>
        <v/>
      </c>
      <c r="I3999" s="24">
        <f>IF($D3999="","",IFERROR(VLOOKUP($D3999,物料档案!$A$4:$P$1203,6,0),"※编码不在物料档案里"))</f>
        <v/>
      </c>
      <c r="J3999" s="23" t="n"/>
      <c r="K3999" s="17" t="n"/>
      <c r="L3999" s="17" t="n"/>
      <c r="M3999" s="17" t="n"/>
      <c r="N3999" s="17" t="n"/>
      <c r="O3999" s="26">
        <f>IF($D3999="","",IFERROR(VLOOKUP($D3999,物料档案!$A$4:$P$1203,10,0),0))</f>
        <v/>
      </c>
      <c r="P3999" s="32" t="n"/>
      <c r="Q3999" s="26">
        <f>IF($D3999="","",IF($K3999&lt;&gt;"对外销售",0,ROUND(N($J3999)*IF($P3999="",N($O3999),N($P3999)),0)))</f>
        <v/>
      </c>
      <c r="R3999" s="26">
        <f>IF($D3999="","",IFERROR(VLOOKUP($D3999,库存台账!$A$5:$Y$1204,11,0),0))</f>
        <v/>
      </c>
      <c r="S3999" s="26">
        <f>IF($D3999="","",ROUND(N($J3999)*N($R3999),0))</f>
        <v/>
      </c>
      <c r="T3999" s="26">
        <f>IF($D3999="","",IF($K3999&lt;&gt;"对外销售","",ROUND($Q3999-$S3999,0)))</f>
        <v/>
      </c>
      <c r="U3999" s="17" t="n"/>
      <c r="V3999" s="17" t="n"/>
      <c r="W3999" s="24">
        <f>IF($D3999="","",IF($E3999="※编码不在物料档案里","※物料编码不在档案里",IF(N($J3999)&lt;=0,"※出库数量要大于 0",IF($K3999="","※没填去向类型",IF($L3999="","※没填去向矿区",IF(AND($C3999&lt;&gt;"",$C3999&lt;=结账锁),"※日期早于已结账截止日，不能再录",IF(AND($K3999="自用消耗",COUNTIF({"一矿区";"二矿区"},$L3999)=0),"※自用消耗的去向只能是一矿区或二矿区",IF(AND($K3999="对外销售",COUNTIF({"三矿区";"六矿区"},$L3999)=0),"※对外销售的去向只能是三矿区或六矿区",IF(AND($K3999="对外销售",ROUND($Q3999,0)=0),"※外销却没有售价，请填实际售价",IF(AND($K3999="对外销售",$T3999&lt;&gt;"",$T3999&lt;0),"※这一笔外销是亏的，请核对售价",IF(IFERROR(VLOOKUP($D3999,库存台账!$A$5:$Y$1204,24,0),0)&lt;-0.001,"※这个物料账面已经变成负数了，查一下是不是漏记入库","")))))))))))</f>
        <v/>
      </c>
    </row>
    <row r="4000">
      <c r="A4000" s="24">
        <f>IF($D4000="","",COUNTA($D$4:$D4000))</f>
        <v/>
      </c>
      <c r="B4000" s="17" t="n"/>
      <c r="C4000" s="30" t="n"/>
      <c r="D4000" s="17" t="n"/>
      <c r="E4000" s="24">
        <f>IF($D4000="","",IFERROR(VLOOKUP($D4000,物料档案!$A$4:$P$1203,3,0),"※编码不在物料档案里"))</f>
        <v/>
      </c>
      <c r="F4000" s="24">
        <f>IF($D4000="","",IFERROR(VLOOKUP($D4000,物料档案!$A$4:$P$1203,4,0),"※编码不在物料档案里"))</f>
        <v/>
      </c>
      <c r="G4000" s="24">
        <f>IF($D4000="","",IFERROR(VLOOKUP($D4000,物料档案!$A$4:$P$1203,5,0),"※编码不在物料档案里"))</f>
        <v/>
      </c>
      <c r="H4000" s="24">
        <f>IF($D4000="","",IFERROR(VLOOKUP($D4000,物料档案!$A$4:$P$1203,2,0),"※编码不在物料档案里"))</f>
        <v/>
      </c>
      <c r="I4000" s="24">
        <f>IF($D4000="","",IFERROR(VLOOKUP($D4000,物料档案!$A$4:$P$1203,6,0),"※编码不在物料档案里"))</f>
        <v/>
      </c>
      <c r="J4000" s="23" t="n"/>
      <c r="K4000" s="17" t="n"/>
      <c r="L4000" s="17" t="n"/>
      <c r="M4000" s="17" t="n"/>
      <c r="N4000" s="17" t="n"/>
      <c r="O4000" s="26">
        <f>IF($D4000="","",IFERROR(VLOOKUP($D4000,物料档案!$A$4:$P$1203,10,0),0))</f>
        <v/>
      </c>
      <c r="P4000" s="32" t="n"/>
      <c r="Q4000" s="26">
        <f>IF($D4000="","",IF($K4000&lt;&gt;"对外销售",0,ROUND(N($J4000)*IF($P4000="",N($O4000),N($P4000)),0)))</f>
        <v/>
      </c>
      <c r="R4000" s="26">
        <f>IF($D4000="","",IFERROR(VLOOKUP($D4000,库存台账!$A$5:$Y$1204,11,0),0))</f>
        <v/>
      </c>
      <c r="S4000" s="26">
        <f>IF($D4000="","",ROUND(N($J4000)*N($R4000),0))</f>
        <v/>
      </c>
      <c r="T4000" s="26">
        <f>IF($D4000="","",IF($K4000&lt;&gt;"对外销售","",ROUND($Q4000-$S4000,0)))</f>
        <v/>
      </c>
      <c r="U4000" s="17" t="n"/>
      <c r="V4000" s="17" t="n"/>
      <c r="W4000" s="24">
        <f>IF($D4000="","",IF($E4000="※编码不在物料档案里","※物料编码不在档案里",IF(N($J4000)&lt;=0,"※出库数量要大于 0",IF($K4000="","※没填去向类型",IF($L4000="","※没填去向矿区",IF(AND($C4000&lt;&gt;"",$C4000&lt;=结账锁),"※日期早于已结账截止日，不能再录",IF(AND($K4000="自用消耗",COUNTIF({"一矿区";"二矿区"},$L4000)=0),"※自用消耗的去向只能是一矿区或二矿区",IF(AND($K4000="对外销售",COUNTIF({"三矿区";"六矿区"},$L4000)=0),"※对外销售的去向只能是三矿区或六矿区",IF(AND($K4000="对外销售",ROUND($Q4000,0)=0),"※外销却没有售价，请填实际售价",IF(AND($K4000="对外销售",$T4000&lt;&gt;"",$T4000&lt;0),"※这一笔外销是亏的，请核对售价",IF(IFERROR(VLOOKUP($D4000,库存台账!$A$5:$Y$1204,24,0),0)&lt;-0.001,"※这个物料账面已经变成负数了，查一下是不是漏记入库","")))))))))))</f>
        <v/>
      </c>
    </row>
    <row r="4001">
      <c r="A4001" s="24">
        <f>IF($D4001="","",COUNTA($D$4:$D4001))</f>
        <v/>
      </c>
      <c r="B4001" s="17" t="n"/>
      <c r="C4001" s="30" t="n"/>
      <c r="D4001" s="17" t="n"/>
      <c r="E4001" s="24">
        <f>IF($D4001="","",IFERROR(VLOOKUP($D4001,物料档案!$A$4:$P$1203,3,0),"※编码不在物料档案里"))</f>
        <v/>
      </c>
      <c r="F4001" s="24">
        <f>IF($D4001="","",IFERROR(VLOOKUP($D4001,物料档案!$A$4:$P$1203,4,0),"※编码不在物料档案里"))</f>
        <v/>
      </c>
      <c r="G4001" s="24">
        <f>IF($D4001="","",IFERROR(VLOOKUP($D4001,物料档案!$A$4:$P$1203,5,0),"※编码不在物料档案里"))</f>
        <v/>
      </c>
      <c r="H4001" s="24">
        <f>IF($D4001="","",IFERROR(VLOOKUP($D4001,物料档案!$A$4:$P$1203,2,0),"※编码不在物料档案里"))</f>
        <v/>
      </c>
      <c r="I4001" s="24">
        <f>IF($D4001="","",IFERROR(VLOOKUP($D4001,物料档案!$A$4:$P$1203,6,0),"※编码不在物料档案里"))</f>
        <v/>
      </c>
      <c r="J4001" s="23" t="n"/>
      <c r="K4001" s="17" t="n"/>
      <c r="L4001" s="17" t="n"/>
      <c r="M4001" s="17" t="n"/>
      <c r="N4001" s="17" t="n"/>
      <c r="O4001" s="26">
        <f>IF($D4001="","",IFERROR(VLOOKUP($D4001,物料档案!$A$4:$P$1203,10,0),0))</f>
        <v/>
      </c>
      <c r="P4001" s="32" t="n"/>
      <c r="Q4001" s="26">
        <f>IF($D4001="","",IF($K4001&lt;&gt;"对外销售",0,ROUND(N($J4001)*IF($P4001="",N($O4001),N($P4001)),0)))</f>
        <v/>
      </c>
      <c r="R4001" s="26">
        <f>IF($D4001="","",IFERROR(VLOOKUP($D4001,库存台账!$A$5:$Y$1204,11,0),0))</f>
        <v/>
      </c>
      <c r="S4001" s="26">
        <f>IF($D4001="","",ROUND(N($J4001)*N($R4001),0))</f>
        <v/>
      </c>
      <c r="T4001" s="26">
        <f>IF($D4001="","",IF($K4001&lt;&gt;"对外销售","",ROUND($Q4001-$S4001,0)))</f>
        <v/>
      </c>
      <c r="U4001" s="17" t="n"/>
      <c r="V4001" s="17" t="n"/>
      <c r="W4001" s="24">
        <f>IF($D4001="","",IF($E4001="※编码不在物料档案里","※物料编码不在档案里",IF(N($J4001)&lt;=0,"※出库数量要大于 0",IF($K4001="","※没填去向类型",IF($L4001="","※没填去向矿区",IF(AND($C4001&lt;&gt;"",$C4001&lt;=结账锁),"※日期早于已结账截止日，不能再录",IF(AND($K4001="自用消耗",COUNTIF({"一矿区";"二矿区"},$L4001)=0),"※自用消耗的去向只能是一矿区或二矿区",IF(AND($K4001="对外销售",COUNTIF({"三矿区";"六矿区"},$L4001)=0),"※对外销售的去向只能是三矿区或六矿区",IF(AND($K4001="对外销售",ROUND($Q4001,0)=0),"※外销却没有售价，请填实际售价",IF(AND($K4001="对外销售",$T4001&lt;&gt;"",$T4001&lt;0),"※这一笔外销是亏的，请核对售价",IF(IFERROR(VLOOKUP($D4001,库存台账!$A$5:$Y$1204,24,0),0)&lt;-0.001,"※这个物料账面已经变成负数了，查一下是不是漏记入库","")))))))))))</f>
        <v/>
      </c>
    </row>
    <row r="4002">
      <c r="A4002" s="24">
        <f>IF($D4002="","",COUNTA($D$4:$D4002))</f>
        <v/>
      </c>
      <c r="B4002" s="17" t="n"/>
      <c r="C4002" s="30" t="n"/>
      <c r="D4002" s="17" t="n"/>
      <c r="E4002" s="24">
        <f>IF($D4002="","",IFERROR(VLOOKUP($D4002,物料档案!$A$4:$P$1203,3,0),"※编码不在物料档案里"))</f>
        <v/>
      </c>
      <c r="F4002" s="24">
        <f>IF($D4002="","",IFERROR(VLOOKUP($D4002,物料档案!$A$4:$P$1203,4,0),"※编码不在物料档案里"))</f>
        <v/>
      </c>
      <c r="G4002" s="24">
        <f>IF($D4002="","",IFERROR(VLOOKUP($D4002,物料档案!$A$4:$P$1203,5,0),"※编码不在物料档案里"))</f>
        <v/>
      </c>
      <c r="H4002" s="24">
        <f>IF($D4002="","",IFERROR(VLOOKUP($D4002,物料档案!$A$4:$P$1203,2,0),"※编码不在物料档案里"))</f>
        <v/>
      </c>
      <c r="I4002" s="24">
        <f>IF($D4002="","",IFERROR(VLOOKUP($D4002,物料档案!$A$4:$P$1203,6,0),"※编码不在物料档案里"))</f>
        <v/>
      </c>
      <c r="J4002" s="23" t="n"/>
      <c r="K4002" s="17" t="n"/>
      <c r="L4002" s="17" t="n"/>
      <c r="M4002" s="17" t="n"/>
      <c r="N4002" s="17" t="n"/>
      <c r="O4002" s="26">
        <f>IF($D4002="","",IFERROR(VLOOKUP($D4002,物料档案!$A$4:$P$1203,10,0),0))</f>
        <v/>
      </c>
      <c r="P4002" s="32" t="n"/>
      <c r="Q4002" s="26">
        <f>IF($D4002="","",IF($K4002&lt;&gt;"对外销售",0,ROUND(N($J4002)*IF($P4002="",N($O4002),N($P4002)),0)))</f>
        <v/>
      </c>
      <c r="R4002" s="26">
        <f>IF($D4002="","",IFERROR(VLOOKUP($D4002,库存台账!$A$5:$Y$1204,11,0),0))</f>
        <v/>
      </c>
      <c r="S4002" s="26">
        <f>IF($D4002="","",ROUND(N($J4002)*N($R4002),0))</f>
        <v/>
      </c>
      <c r="T4002" s="26">
        <f>IF($D4002="","",IF($K4002&lt;&gt;"对外销售","",ROUND($Q4002-$S4002,0)))</f>
        <v/>
      </c>
      <c r="U4002" s="17" t="n"/>
      <c r="V4002" s="17" t="n"/>
      <c r="W4002" s="24">
        <f>IF($D4002="","",IF($E4002="※编码不在物料档案里","※物料编码不在档案里",IF(N($J4002)&lt;=0,"※出库数量要大于 0",IF($K4002="","※没填去向类型",IF($L4002="","※没填去向矿区",IF(AND($C4002&lt;&gt;"",$C4002&lt;=结账锁),"※日期早于已结账截止日，不能再录",IF(AND($K4002="自用消耗",COUNTIF({"一矿区";"二矿区"},$L4002)=0),"※自用消耗的去向只能是一矿区或二矿区",IF(AND($K4002="对外销售",COUNTIF({"三矿区";"六矿区"},$L4002)=0),"※对外销售的去向只能是三矿区或六矿区",IF(AND($K4002="对外销售",ROUND($Q4002,0)=0),"※外销却没有售价，请填实际售价",IF(AND($K4002="对外销售",$T4002&lt;&gt;"",$T4002&lt;0),"※这一笔外销是亏的，请核对售价",IF(IFERROR(VLOOKUP($D4002,库存台账!$A$5:$Y$1204,24,0),0)&lt;-0.001,"※这个物料账面已经变成负数了，查一下是不是漏记入库","")))))))))))</f>
        <v/>
      </c>
    </row>
    <row r="4003">
      <c r="A4003" s="24">
        <f>IF($D4003="","",COUNTA($D$4:$D4003))</f>
        <v/>
      </c>
      <c r="B4003" s="17" t="n"/>
      <c r="C4003" s="30" t="n"/>
      <c r="D4003" s="17" t="n"/>
      <c r="E4003" s="24">
        <f>IF($D4003="","",IFERROR(VLOOKUP($D4003,物料档案!$A$4:$P$1203,3,0),"※编码不在物料档案里"))</f>
        <v/>
      </c>
      <c r="F4003" s="24">
        <f>IF($D4003="","",IFERROR(VLOOKUP($D4003,物料档案!$A$4:$P$1203,4,0),"※编码不在物料档案里"))</f>
        <v/>
      </c>
      <c r="G4003" s="24">
        <f>IF($D4003="","",IFERROR(VLOOKUP($D4003,物料档案!$A$4:$P$1203,5,0),"※编码不在物料档案里"))</f>
        <v/>
      </c>
      <c r="H4003" s="24">
        <f>IF($D4003="","",IFERROR(VLOOKUP($D4003,物料档案!$A$4:$P$1203,2,0),"※编码不在物料档案里"))</f>
        <v/>
      </c>
      <c r="I4003" s="24">
        <f>IF($D4003="","",IFERROR(VLOOKUP($D4003,物料档案!$A$4:$P$1203,6,0),"※编码不在物料档案里"))</f>
        <v/>
      </c>
      <c r="J4003" s="23" t="n"/>
      <c r="K4003" s="17" t="n"/>
      <c r="L4003" s="17" t="n"/>
      <c r="M4003" s="17" t="n"/>
      <c r="N4003" s="17" t="n"/>
      <c r="O4003" s="26">
        <f>IF($D4003="","",IFERROR(VLOOKUP($D4003,物料档案!$A$4:$P$1203,10,0),0))</f>
        <v/>
      </c>
      <c r="P4003" s="32" t="n"/>
      <c r="Q4003" s="26">
        <f>IF($D4003="","",IF($K4003&lt;&gt;"对外销售",0,ROUND(N($J4003)*IF($P4003="",N($O4003),N($P4003)),0)))</f>
        <v/>
      </c>
      <c r="R4003" s="26">
        <f>IF($D4003="","",IFERROR(VLOOKUP($D4003,库存台账!$A$5:$Y$1204,11,0),0))</f>
        <v/>
      </c>
      <c r="S4003" s="26">
        <f>IF($D4003="","",ROUND(N($J4003)*N($R4003),0))</f>
        <v/>
      </c>
      <c r="T4003" s="26">
        <f>IF($D4003="","",IF($K4003&lt;&gt;"对外销售","",ROUND($Q4003-$S4003,0)))</f>
        <v/>
      </c>
      <c r="U4003" s="17" t="n"/>
      <c r="V4003" s="17" t="n"/>
      <c r="W4003" s="24">
        <f>IF($D4003="","",IF($E4003="※编码不在物料档案里","※物料编码不在档案里",IF(N($J4003)&lt;=0,"※出库数量要大于 0",IF($K4003="","※没填去向类型",IF($L4003="","※没填去向矿区",IF(AND($C4003&lt;&gt;"",$C4003&lt;=结账锁),"※日期早于已结账截止日，不能再录",IF(AND($K4003="自用消耗",COUNTIF({"一矿区";"二矿区"},$L4003)=0),"※自用消耗的去向只能是一矿区或二矿区",IF(AND($K4003="对外销售",COUNTIF({"三矿区";"六矿区"},$L4003)=0),"※对外销售的去向只能是三矿区或六矿区",IF(AND($K4003="对外销售",ROUND($Q4003,0)=0),"※外销却没有售价，请填实际售价",IF(AND($K4003="对外销售",$T4003&lt;&gt;"",$T4003&lt;0),"※这一笔外销是亏的，请核对售价",IF(IFERROR(VLOOKUP($D4003,库存台账!$A$5:$Y$1204,24,0),0)&lt;-0.001,"※这个物料账面已经变成负数了，查一下是不是漏记入库","")))))))))))</f>
        <v/>
      </c>
    </row>
  </sheetData>
  <autoFilter ref="A3:W4003"/>
  <mergeCells count="2">
    <mergeCell ref="A2:W2"/>
    <mergeCell ref="A1:W1"/>
  </mergeCells>
  <conditionalFormatting sqref="W4:W4003">
    <cfRule type="expression" priority="1" dxfId="1">
      <formula>LEFT(W4,1)="※"</formula>
    </cfRule>
    <cfRule type="expression" priority="2" dxfId="2">
      <formula>LEFT(W4,1)="△"</formula>
    </cfRule>
  </conditionalFormatting>
  <conditionalFormatting sqref="E4:E4003">
    <cfRule type="expression" priority="3" dxfId="1">
      <formula>LEFT(E4,1)="※"</formula>
    </cfRule>
    <cfRule type="expression" priority="4" dxfId="2">
      <formula>LEFT(E4,1)="△"</formula>
    </cfRule>
  </conditionalFormatting>
  <conditionalFormatting sqref="I4:I4003">
    <cfRule type="cellIs" priority="5" operator="equal" dxfId="0">
      <formula>"是"</formula>
    </cfRule>
  </conditionalFormatting>
  <conditionalFormatting sqref="T4:T4003">
    <cfRule type="cellIs" priority="6" operator="lessThan" dxfId="0">
      <formula>0</formula>
    </cfRule>
  </conditionalFormatting>
  <dataValidations count="5">
    <dataValidation sqref="D4:D4003" showDropDown="0" showInputMessage="0" showErrorMessage="1" allowBlank="1" errorTitle="不在名单里" error="先去【参数表】或【物料档案】把它加上。" type="list" errorStyle="warning">
      <formula1>=物料档案表</formula1>
    </dataValidation>
    <dataValidation sqref="K4:K4003" showDropDown="0" showInputMessage="0" showErrorMessage="1" allowBlank="1" errorTitle="不在名单里" error="先去【参数表】或【物料档案】把它加上。" type="list" errorStyle="stop">
      <formula1>=去向表</formula1>
    </dataValidation>
    <dataValidation sqref="L4:L4003" showDropDown="0" showInputMessage="0" showErrorMessage="1" allowBlank="1" errorTitle="不在名单里" error="先去【参数表】或【物料档案】把它加上。" type="list" errorStyle="stop">
      <formula1>=矿区表</formula1>
    </dataValidation>
    <dataValidation sqref="N4:N4003" showDropDown="0" showInputMessage="0" showErrorMessage="1" allowBlank="1" errorTitle="不在名单里" error="先去【参数表】或【物料档案】把它加上。" type="list" errorStyle="warning">
      <formula1>=人员表</formula1>
    </dataValidation>
    <dataValidation sqref="U4:U4003" showDropDown="0" showInputMessage="0" showErrorMessage="1" allowBlank="1" errorTitle="不在名单里" error="先去【参数表】或【物料档案】把它加上。" type="list" errorStyle="stop">
      <formula1>"正常,作废"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M20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2" customWidth="1" min="3" max="3"/>
    <col width="10" customWidth="1" min="4" max="4"/>
    <col width="10" customWidth="1" min="5" max="5"/>
    <col width="12" customWidth="1" min="6" max="6"/>
    <col width="16" customWidth="1" min="7" max="7"/>
    <col width="15" customWidth="1" min="8" max="8"/>
    <col width="10" customWidth="1" min="9" max="9"/>
    <col width="16" customWidth="1" min="10" max="10"/>
    <col width="16" customWidth="1" min="11" max="11"/>
    <col width="16" customWidth="1" min="12" max="12"/>
    <col width="30" customWidth="1" min="13" max="13"/>
  </cols>
  <sheetData>
    <row r="1" ht="30" customHeight="1">
      <c r="A1" s="12" t="inlineStr">
        <is>
          <t>到货批次 · 自动，一个柜一行，看运费摊得对不对</t>
        </is>
      </c>
    </row>
    <row r="2" ht="24" customHeight="1">
      <c r="A2" s="13" t="inlineStr">
        <is>
          <t>「运费率」差得越多越说明必须按柜摊：真实数据里 TIIU4204331 柜 22.28%、DRYU9381826 柜 5.75%，差快 4 倍，用一个统一费率去摊必错。</t>
        </is>
      </c>
    </row>
    <row r="3" ht="34" customHeight="1">
      <c r="A3" s="33" t="inlineStr">
        <is>
          <t>批次号</t>
        </is>
      </c>
      <c r="B3" s="33" t="inlineStr">
        <is>
          <t>集装箱号</t>
        </is>
      </c>
      <c r="C3" s="33" t="inlineStr">
        <is>
          <t>到港日期</t>
        </is>
      </c>
      <c r="D3" s="33" t="inlineStr">
        <is>
          <t>货源</t>
        </is>
      </c>
      <c r="E3" s="33" t="inlineStr">
        <is>
          <t>物料行数</t>
        </is>
      </c>
      <c r="F3" s="33" t="inlineStr">
        <is>
          <t>没填单价行数</t>
        </is>
      </c>
      <c r="G3" s="33" t="inlineStr">
        <is>
          <t>货值·先令</t>
        </is>
      </c>
      <c r="H3" s="33" t="inlineStr">
        <is>
          <t>费用·先令</t>
        </is>
      </c>
      <c r="I3" s="33" t="inlineStr">
        <is>
          <t>运费率</t>
        </is>
      </c>
      <c r="J3" s="33" t="inlineStr">
        <is>
          <t>已摊运费·先令</t>
        </is>
      </c>
      <c r="K3" s="33" t="inlineStr">
        <is>
          <t>未摊(挂账)·先令</t>
        </is>
      </c>
      <c r="L3" s="33" t="inlineStr">
        <is>
          <t>入库总成本·先令</t>
        </is>
      </c>
      <c r="M3" s="33" t="inlineStr">
        <is>
          <t>状态</t>
        </is>
      </c>
    </row>
    <row r="4">
      <c r="A4" s="34" t="inlineStr">
        <is>
          <t>合计</t>
        </is>
      </c>
      <c r="B4" s="17" t="n"/>
      <c r="C4" s="30" t="n"/>
      <c r="D4" s="24" t="n"/>
      <c r="E4" s="35">
        <f>ROUND(SUM(E5:E204),0)</f>
        <v/>
      </c>
      <c r="F4" s="35">
        <f>ROUND(SUM(F5:F204),0)</f>
        <v/>
      </c>
      <c r="G4" s="36">
        <f>ROUND(SUM(G5:G204),0)</f>
        <v/>
      </c>
      <c r="H4" s="36">
        <f>ROUND(SUM(H5:H204),0)</f>
        <v/>
      </c>
      <c r="I4" s="37" t="n"/>
      <c r="J4" s="36">
        <f>ROUND(SUM(J5:J204),0)</f>
        <v/>
      </c>
      <c r="K4" s="36">
        <f>ROUND(SUM(K5:K204),0)</f>
        <v/>
      </c>
      <c r="L4" s="36">
        <f>ROUND(SUM(L5:L204),0)</f>
        <v/>
      </c>
      <c r="M4" s="24" t="n"/>
    </row>
    <row r="5">
      <c r="A5" s="24" t="inlineStr">
        <is>
          <t>MAEU4138660-202601</t>
        </is>
      </c>
      <c r="B5" s="17" t="inlineStr">
        <is>
          <t>MAEU4138660</t>
        </is>
      </c>
      <c r="C5" s="30" t="n">
        <v>46042</v>
      </c>
      <c r="D5" s="24">
        <f>IF($A5="","",IFERROR(LOOKUP(2,1/(入库单!$E$4:$E$2503=$A5),入库单!$D$4:$D$2503),""))</f>
        <v/>
      </c>
      <c r="E5" s="28">
        <f>IF($A5="","",COUNTIFS(入库单!$E$4:$E$2503,$A5,入库单!$Z$4:$Z$2503,"正常"))</f>
        <v/>
      </c>
      <c r="F5" s="28">
        <f>IF($A5="","",COUNTIFS(入库单!$E$4:$E$2503,$A5,入库单!$Z$4:$Z$2503,"正常",入库单!$Y$4:$Y$2503,"待补价"))</f>
        <v/>
      </c>
      <c r="G5" s="26">
        <f>IF($A5="","",ROUND(SUMIFS(入库单!$P$4:$P$2503,入库单!$E$4:$E$2503,$A5,入库单!$Z$4:$Z$2503,"正常"),0))</f>
        <v/>
      </c>
      <c r="H5" s="26">
        <f>IF($A5="","",ROUND(SUMIFS(费用台账!$I$4:$I$503,费用台账!$C$4:$C$503,$A5,费用台账!$J$4:$J$503,"是",费用台账!$K$4:$K$503,"正常"),0))</f>
        <v/>
      </c>
      <c r="I5" s="37">
        <f>IF($A5="","",IF($G5=0,"",ROUND($H5/$G5,4)))</f>
        <v/>
      </c>
      <c r="J5" s="26">
        <f>IF($A5="","",ROUND(SUMIFS(入库单!$U$4:$U$2503,入库单!$E$4:$E$2503,$A5,入库单!$Z$4:$Z$2503,"正常"),0))</f>
        <v/>
      </c>
      <c r="K5" s="26">
        <f>IF($A5="","",ROUND($H5-$J5,0))</f>
        <v/>
      </c>
      <c r="L5" s="26">
        <f>IF($A5="","",ROUND(SUMIFS(入库单!$V$4:$V$2503,入库单!$E$4:$E$2503,$A5,入库单!$Z$4:$Z$2503,"正常"),0))</f>
        <v/>
      </c>
      <c r="M5" s="24">
        <f>IF($A5="","",IF($E5=0,"※这个批次号在入库单里找不到",IF(AND($H5&gt;0,$F5&gt;0),"△有 "&amp;$F5&amp;" 行没单价，运费整批挂账没摊 —— 补完价自动摊",IF($H5=0,"△还没录运费（27 个柜里只有 2 个录了，其余的要补）",IF(ABS($K5)&gt;1,"※摊完还差 "&amp;TEXT($K5,"#,##0")&amp;" 先令，查一下","已摊平")))))</f>
        <v/>
      </c>
    </row>
    <row r="6">
      <c r="A6" s="24" t="inlineStr">
        <is>
          <t>MAEU4036837-202601</t>
        </is>
      </c>
      <c r="B6" s="17" t="inlineStr">
        <is>
          <t>MAEU4036837</t>
        </is>
      </c>
      <c r="C6" s="30" t="n">
        <v>46043</v>
      </c>
      <c r="D6" s="24">
        <f>IF($A6="","",IFERROR(LOOKUP(2,1/(入库单!$E$4:$E$2503=$A6),入库单!$D$4:$D$2503),""))</f>
        <v/>
      </c>
      <c r="E6" s="28">
        <f>IF($A6="","",COUNTIFS(入库单!$E$4:$E$2503,$A6,入库单!$Z$4:$Z$2503,"正常"))</f>
        <v/>
      </c>
      <c r="F6" s="28">
        <f>IF($A6="","",COUNTIFS(入库单!$E$4:$E$2503,$A6,入库单!$Z$4:$Z$2503,"正常",入库单!$Y$4:$Y$2503,"待补价"))</f>
        <v/>
      </c>
      <c r="G6" s="26">
        <f>IF($A6="","",ROUND(SUMIFS(入库单!$P$4:$P$2503,入库单!$E$4:$E$2503,$A6,入库单!$Z$4:$Z$2503,"正常"),0))</f>
        <v/>
      </c>
      <c r="H6" s="26">
        <f>IF($A6="","",ROUND(SUMIFS(费用台账!$I$4:$I$503,费用台账!$C$4:$C$503,$A6,费用台账!$J$4:$J$503,"是",费用台账!$K$4:$K$503,"正常"),0))</f>
        <v/>
      </c>
      <c r="I6" s="37">
        <f>IF($A6="","",IF($G6=0,"",ROUND($H6/$G6,4)))</f>
        <v/>
      </c>
      <c r="J6" s="26">
        <f>IF($A6="","",ROUND(SUMIFS(入库单!$U$4:$U$2503,入库单!$E$4:$E$2503,$A6,入库单!$Z$4:$Z$2503,"正常"),0))</f>
        <v/>
      </c>
      <c r="K6" s="26">
        <f>IF($A6="","",ROUND($H6-$J6,0))</f>
        <v/>
      </c>
      <c r="L6" s="26">
        <f>IF($A6="","",ROUND(SUMIFS(入库单!$V$4:$V$2503,入库单!$E$4:$E$2503,$A6,入库单!$Z$4:$Z$2503,"正常"),0))</f>
        <v/>
      </c>
      <c r="M6" s="24">
        <f>IF($A6="","",IF($E6=0,"※这个批次号在入库单里找不到",IF(AND($H6&gt;0,$F6&gt;0),"△有 "&amp;$F6&amp;" 行没单价，运费整批挂账没摊 —— 补完价自动摊",IF($H6=0,"△还没录运费（27 个柜里只有 2 个录了，其余的要补）",IF(ABS($K6)&gt;1,"※摊完还差 "&amp;TEXT($K6,"#,##0")&amp;" 先令，查一下","已摊平")))))</f>
        <v/>
      </c>
    </row>
    <row r="7">
      <c r="A7" s="24" t="inlineStr">
        <is>
          <t>ASLU7057651-202601</t>
        </is>
      </c>
      <c r="B7" s="17" t="inlineStr">
        <is>
          <t>ASLU7057651</t>
        </is>
      </c>
      <c r="C7" s="30" t="n">
        <v>46047</v>
      </c>
      <c r="D7" s="24">
        <f>IF($A7="","",IFERROR(LOOKUP(2,1/(入库单!$E$4:$E$2503=$A7),入库单!$D$4:$D$2503),""))</f>
        <v/>
      </c>
      <c r="E7" s="28">
        <f>IF($A7="","",COUNTIFS(入库单!$E$4:$E$2503,$A7,入库单!$Z$4:$Z$2503,"正常"))</f>
        <v/>
      </c>
      <c r="F7" s="28">
        <f>IF($A7="","",COUNTIFS(入库单!$E$4:$E$2503,$A7,入库单!$Z$4:$Z$2503,"正常",入库单!$Y$4:$Y$2503,"待补价"))</f>
        <v/>
      </c>
      <c r="G7" s="26">
        <f>IF($A7="","",ROUND(SUMIFS(入库单!$P$4:$P$2503,入库单!$E$4:$E$2503,$A7,入库单!$Z$4:$Z$2503,"正常"),0))</f>
        <v/>
      </c>
      <c r="H7" s="26">
        <f>IF($A7="","",ROUND(SUMIFS(费用台账!$I$4:$I$503,费用台账!$C$4:$C$503,$A7,费用台账!$J$4:$J$503,"是",费用台账!$K$4:$K$503,"正常"),0))</f>
        <v/>
      </c>
      <c r="I7" s="37">
        <f>IF($A7="","",IF($G7=0,"",ROUND($H7/$G7,4)))</f>
        <v/>
      </c>
      <c r="J7" s="26">
        <f>IF($A7="","",ROUND(SUMIFS(入库单!$U$4:$U$2503,入库单!$E$4:$E$2503,$A7,入库单!$Z$4:$Z$2503,"正常"),0))</f>
        <v/>
      </c>
      <c r="K7" s="26">
        <f>IF($A7="","",ROUND($H7-$J7,0))</f>
        <v/>
      </c>
      <c r="L7" s="26">
        <f>IF($A7="","",ROUND(SUMIFS(入库单!$V$4:$V$2503,入库单!$E$4:$E$2503,$A7,入库单!$Z$4:$Z$2503,"正常"),0))</f>
        <v/>
      </c>
      <c r="M7" s="24">
        <f>IF($A7="","",IF($E7=0,"※这个批次号在入库单里找不到",IF(AND($H7&gt;0,$F7&gt;0),"△有 "&amp;$F7&amp;" 行没单价，运费整批挂账没摊 —— 补完价自动摊",IF($H7=0,"△还没录运费（27 个柜里只有 2 个录了，其余的要补）",IF(ABS($K7)&gt;1,"※摊完还差 "&amp;TEXT($K7,"#,##0")&amp;" 先令，查一下","已摊平")))))</f>
        <v/>
      </c>
    </row>
    <row r="8">
      <c r="A8" s="24" t="inlineStr">
        <is>
          <t>SELU4288257-202601</t>
        </is>
      </c>
      <c r="B8" s="17" t="inlineStr">
        <is>
          <t>SELU4288257</t>
        </is>
      </c>
      <c r="C8" s="30" t="n">
        <v>46047</v>
      </c>
      <c r="D8" s="24">
        <f>IF($A8="","",IFERROR(LOOKUP(2,1/(入库单!$E$4:$E$2503=$A8),入库单!$D$4:$D$2503),""))</f>
        <v/>
      </c>
      <c r="E8" s="28">
        <f>IF($A8="","",COUNTIFS(入库单!$E$4:$E$2503,$A8,入库单!$Z$4:$Z$2503,"正常"))</f>
        <v/>
      </c>
      <c r="F8" s="28">
        <f>IF($A8="","",COUNTIFS(入库单!$E$4:$E$2503,$A8,入库单!$Z$4:$Z$2503,"正常",入库单!$Y$4:$Y$2503,"待补价"))</f>
        <v/>
      </c>
      <c r="G8" s="26">
        <f>IF($A8="","",ROUND(SUMIFS(入库单!$P$4:$P$2503,入库单!$E$4:$E$2503,$A8,入库单!$Z$4:$Z$2503,"正常"),0))</f>
        <v/>
      </c>
      <c r="H8" s="26">
        <f>IF($A8="","",ROUND(SUMIFS(费用台账!$I$4:$I$503,费用台账!$C$4:$C$503,$A8,费用台账!$J$4:$J$503,"是",费用台账!$K$4:$K$503,"正常"),0))</f>
        <v/>
      </c>
      <c r="I8" s="37">
        <f>IF($A8="","",IF($G8=0,"",ROUND($H8/$G8,4)))</f>
        <v/>
      </c>
      <c r="J8" s="26">
        <f>IF($A8="","",ROUND(SUMIFS(入库单!$U$4:$U$2503,入库单!$E$4:$E$2503,$A8,入库单!$Z$4:$Z$2503,"正常"),0))</f>
        <v/>
      </c>
      <c r="K8" s="26">
        <f>IF($A8="","",ROUND($H8-$J8,0))</f>
        <v/>
      </c>
      <c r="L8" s="26">
        <f>IF($A8="","",ROUND(SUMIFS(入库单!$V$4:$V$2503,入库单!$E$4:$E$2503,$A8,入库单!$Z$4:$Z$2503,"正常"),0))</f>
        <v/>
      </c>
      <c r="M8" s="24">
        <f>IF($A8="","",IF($E8=0,"※这个批次号在入库单里找不到",IF(AND($H8&gt;0,$F8&gt;0),"△有 "&amp;$F8&amp;" 行没单价，运费整批挂账没摊 —— 补完价自动摊",IF($H8=0,"△还没录运费（27 个柜里只有 2 个录了，其余的要补）",IF(ABS($K8)&gt;1,"※摊完还差 "&amp;TEXT($K8,"#,##0")&amp;" 先令，查一下","已摊平")))))</f>
        <v/>
      </c>
    </row>
    <row r="9">
      <c r="A9" s="24" t="inlineStr">
        <is>
          <t>ASLU7068595-202601</t>
        </is>
      </c>
      <c r="B9" s="17" t="inlineStr">
        <is>
          <t>ASLU7068595</t>
        </is>
      </c>
      <c r="C9" s="30" t="n">
        <v>46047</v>
      </c>
      <c r="D9" s="24">
        <f>IF($A9="","",IFERROR(LOOKUP(2,1/(入库单!$E$4:$E$2503=$A9),入库单!$D$4:$D$2503),""))</f>
        <v/>
      </c>
      <c r="E9" s="28">
        <f>IF($A9="","",COUNTIFS(入库单!$E$4:$E$2503,$A9,入库单!$Z$4:$Z$2503,"正常"))</f>
        <v/>
      </c>
      <c r="F9" s="28">
        <f>IF($A9="","",COUNTIFS(入库单!$E$4:$E$2503,$A9,入库单!$Z$4:$Z$2503,"正常",入库单!$Y$4:$Y$2503,"待补价"))</f>
        <v/>
      </c>
      <c r="G9" s="26">
        <f>IF($A9="","",ROUND(SUMIFS(入库单!$P$4:$P$2503,入库单!$E$4:$E$2503,$A9,入库单!$Z$4:$Z$2503,"正常"),0))</f>
        <v/>
      </c>
      <c r="H9" s="26">
        <f>IF($A9="","",ROUND(SUMIFS(费用台账!$I$4:$I$503,费用台账!$C$4:$C$503,$A9,费用台账!$J$4:$J$503,"是",费用台账!$K$4:$K$503,"正常"),0))</f>
        <v/>
      </c>
      <c r="I9" s="37">
        <f>IF($A9="","",IF($G9=0,"",ROUND($H9/$G9,4)))</f>
        <v/>
      </c>
      <c r="J9" s="26">
        <f>IF($A9="","",ROUND(SUMIFS(入库单!$U$4:$U$2503,入库单!$E$4:$E$2503,$A9,入库单!$Z$4:$Z$2503,"正常"),0))</f>
        <v/>
      </c>
      <c r="K9" s="26">
        <f>IF($A9="","",ROUND($H9-$J9,0))</f>
        <v/>
      </c>
      <c r="L9" s="26">
        <f>IF($A9="","",ROUND(SUMIFS(入库单!$V$4:$V$2503,入库单!$E$4:$E$2503,$A9,入库单!$Z$4:$Z$2503,"正常"),0))</f>
        <v/>
      </c>
      <c r="M9" s="24">
        <f>IF($A9="","",IF($E9=0,"※这个批次号在入库单里找不到",IF(AND($H9&gt;0,$F9&gt;0),"△有 "&amp;$F9&amp;" 行没单价，运费整批挂账没摊 —— 补完价自动摊",IF($H9=0,"△还没录运费（27 个柜里只有 2 个录了，其余的要补）",IF(ABS($K9)&gt;1,"※摊完还差 "&amp;TEXT($K9,"#,##0")&amp;" 先令，查一下","已摊平")))))</f>
        <v/>
      </c>
    </row>
    <row r="10">
      <c r="A10" s="24" t="inlineStr">
        <is>
          <t>MEDU7050813-202601</t>
        </is>
      </c>
      <c r="B10" s="17" t="inlineStr">
        <is>
          <t>MEDU7050813</t>
        </is>
      </c>
      <c r="C10" s="30" t="n">
        <v>46048</v>
      </c>
      <c r="D10" s="24">
        <f>IF($A10="","",IFERROR(LOOKUP(2,1/(入库单!$E$4:$E$2503=$A10),入库单!$D$4:$D$2503),""))</f>
        <v/>
      </c>
      <c r="E10" s="28">
        <f>IF($A10="","",COUNTIFS(入库单!$E$4:$E$2503,$A10,入库单!$Z$4:$Z$2503,"正常"))</f>
        <v/>
      </c>
      <c r="F10" s="28">
        <f>IF($A10="","",COUNTIFS(入库单!$E$4:$E$2503,$A10,入库单!$Z$4:$Z$2503,"正常",入库单!$Y$4:$Y$2503,"待补价"))</f>
        <v/>
      </c>
      <c r="G10" s="26">
        <f>IF($A10="","",ROUND(SUMIFS(入库单!$P$4:$P$2503,入库单!$E$4:$E$2503,$A10,入库单!$Z$4:$Z$2503,"正常"),0))</f>
        <v/>
      </c>
      <c r="H10" s="26">
        <f>IF($A10="","",ROUND(SUMIFS(费用台账!$I$4:$I$503,费用台账!$C$4:$C$503,$A10,费用台账!$J$4:$J$503,"是",费用台账!$K$4:$K$503,"正常"),0))</f>
        <v/>
      </c>
      <c r="I10" s="37">
        <f>IF($A10="","",IF($G10=0,"",ROUND($H10/$G10,4)))</f>
        <v/>
      </c>
      <c r="J10" s="26">
        <f>IF($A10="","",ROUND(SUMIFS(入库单!$U$4:$U$2503,入库单!$E$4:$E$2503,$A10,入库单!$Z$4:$Z$2503,"正常"),0))</f>
        <v/>
      </c>
      <c r="K10" s="26">
        <f>IF($A10="","",ROUND($H10-$J10,0))</f>
        <v/>
      </c>
      <c r="L10" s="26">
        <f>IF($A10="","",ROUND(SUMIFS(入库单!$V$4:$V$2503,入库单!$E$4:$E$2503,$A10,入库单!$Z$4:$Z$2503,"正常"),0))</f>
        <v/>
      </c>
      <c r="M10" s="24">
        <f>IF($A10="","",IF($E10=0,"※这个批次号在入库单里找不到",IF(AND($H10&gt;0,$F10&gt;0),"△有 "&amp;$F10&amp;" 行没单价，运费整批挂账没摊 —— 补完价自动摊",IF($H10=0,"△还没录运费（27 个柜里只有 2 个录了，其余的要补）",IF(ABS($K10)&gt;1,"※摊完还差 "&amp;TEXT($K10,"#,##0")&amp;" 先令，查一下","已摊平")))))</f>
        <v/>
      </c>
    </row>
    <row r="11">
      <c r="A11" s="24" t="inlineStr">
        <is>
          <t>LCZU6663979-202601</t>
        </is>
      </c>
      <c r="B11" s="17" t="inlineStr">
        <is>
          <t>LCZU6663979</t>
        </is>
      </c>
      <c r="C11" s="30" t="n">
        <v>46052</v>
      </c>
      <c r="D11" s="24">
        <f>IF($A11="","",IFERROR(LOOKUP(2,1/(入库单!$E$4:$E$2503=$A11),入库单!$D$4:$D$2503),""))</f>
        <v/>
      </c>
      <c r="E11" s="28">
        <f>IF($A11="","",COUNTIFS(入库单!$E$4:$E$2503,$A11,入库单!$Z$4:$Z$2503,"正常"))</f>
        <v/>
      </c>
      <c r="F11" s="28">
        <f>IF($A11="","",COUNTIFS(入库单!$E$4:$E$2503,$A11,入库单!$Z$4:$Z$2503,"正常",入库单!$Y$4:$Y$2503,"待补价"))</f>
        <v/>
      </c>
      <c r="G11" s="26">
        <f>IF($A11="","",ROUND(SUMIFS(入库单!$P$4:$P$2503,入库单!$E$4:$E$2503,$A11,入库单!$Z$4:$Z$2503,"正常"),0))</f>
        <v/>
      </c>
      <c r="H11" s="26">
        <f>IF($A11="","",ROUND(SUMIFS(费用台账!$I$4:$I$503,费用台账!$C$4:$C$503,$A11,费用台账!$J$4:$J$503,"是",费用台账!$K$4:$K$503,"正常"),0))</f>
        <v/>
      </c>
      <c r="I11" s="37">
        <f>IF($A11="","",IF($G11=0,"",ROUND($H11/$G11,4)))</f>
        <v/>
      </c>
      <c r="J11" s="26">
        <f>IF($A11="","",ROUND(SUMIFS(入库单!$U$4:$U$2503,入库单!$E$4:$E$2503,$A11,入库单!$Z$4:$Z$2503,"正常"),0))</f>
        <v/>
      </c>
      <c r="K11" s="26">
        <f>IF($A11="","",ROUND($H11-$J11,0))</f>
        <v/>
      </c>
      <c r="L11" s="26">
        <f>IF($A11="","",ROUND(SUMIFS(入库单!$V$4:$V$2503,入库单!$E$4:$E$2503,$A11,入库单!$Z$4:$Z$2503,"正常"),0))</f>
        <v/>
      </c>
      <c r="M11" s="24">
        <f>IF($A11="","",IF($E11=0,"※这个批次号在入库单里找不到",IF(AND($H11&gt;0,$F11&gt;0),"△有 "&amp;$F11&amp;" 行没单价，运费整批挂账没摊 —— 补完价自动摊",IF($H11=0,"△还没录运费（27 个柜里只有 2 个录了，其余的要补）",IF(ABS($K11)&gt;1,"※摊完还差 "&amp;TEXT($K11,"#,##0")&amp;" 先令，查一下","已摊平")))))</f>
        <v/>
      </c>
    </row>
    <row r="12">
      <c r="A12" s="24" t="inlineStr">
        <is>
          <t>AXIU1629864-202603</t>
        </is>
      </c>
      <c r="B12" s="17" t="inlineStr">
        <is>
          <t>AXIU1629864</t>
        </is>
      </c>
      <c r="C12" s="30" t="n">
        <v>46091</v>
      </c>
      <c r="D12" s="24">
        <f>IF($A12="","",IFERROR(LOOKUP(2,1/(入库单!$E$4:$E$2503=$A12),入库单!$D$4:$D$2503),""))</f>
        <v/>
      </c>
      <c r="E12" s="28">
        <f>IF($A12="","",COUNTIFS(入库单!$E$4:$E$2503,$A12,入库单!$Z$4:$Z$2503,"正常"))</f>
        <v/>
      </c>
      <c r="F12" s="28">
        <f>IF($A12="","",COUNTIFS(入库单!$E$4:$E$2503,$A12,入库单!$Z$4:$Z$2503,"正常",入库单!$Y$4:$Y$2503,"待补价"))</f>
        <v/>
      </c>
      <c r="G12" s="26">
        <f>IF($A12="","",ROUND(SUMIFS(入库单!$P$4:$P$2503,入库单!$E$4:$E$2503,$A12,入库单!$Z$4:$Z$2503,"正常"),0))</f>
        <v/>
      </c>
      <c r="H12" s="26">
        <f>IF($A12="","",ROUND(SUMIFS(费用台账!$I$4:$I$503,费用台账!$C$4:$C$503,$A12,费用台账!$J$4:$J$503,"是",费用台账!$K$4:$K$503,"正常"),0))</f>
        <v/>
      </c>
      <c r="I12" s="37">
        <f>IF($A12="","",IF($G12=0,"",ROUND($H12/$G12,4)))</f>
        <v/>
      </c>
      <c r="J12" s="26">
        <f>IF($A12="","",ROUND(SUMIFS(入库单!$U$4:$U$2503,入库单!$E$4:$E$2503,$A12,入库单!$Z$4:$Z$2503,"正常"),0))</f>
        <v/>
      </c>
      <c r="K12" s="26">
        <f>IF($A12="","",ROUND($H12-$J12,0))</f>
        <v/>
      </c>
      <c r="L12" s="26">
        <f>IF($A12="","",ROUND(SUMIFS(入库单!$V$4:$V$2503,入库单!$E$4:$E$2503,$A12,入库单!$Z$4:$Z$2503,"正常"),0))</f>
        <v/>
      </c>
      <c r="M12" s="24">
        <f>IF($A12="","",IF($E12=0,"※这个批次号在入库单里找不到",IF(AND($H12&gt;0,$F12&gt;0),"△有 "&amp;$F12&amp;" 行没单价，运费整批挂账没摊 —— 补完价自动摊",IF($H12=0,"△还没录运费（27 个柜里只有 2 个录了，其余的要补）",IF(ABS($K12)&gt;1,"※摊完还差 "&amp;TEXT($K12,"#,##0")&amp;" 先令，查一下","已摊平")))))</f>
        <v/>
      </c>
    </row>
    <row r="13">
      <c r="A13" s="24" t="inlineStr">
        <is>
          <t>FCIU8857920-202603</t>
        </is>
      </c>
      <c r="B13" s="17" t="inlineStr">
        <is>
          <t>FCIU8857920</t>
        </is>
      </c>
      <c r="C13" s="30" t="n">
        <v>46091</v>
      </c>
      <c r="D13" s="24">
        <f>IF($A13="","",IFERROR(LOOKUP(2,1/(入库单!$E$4:$E$2503=$A13),入库单!$D$4:$D$2503),""))</f>
        <v/>
      </c>
      <c r="E13" s="28">
        <f>IF($A13="","",COUNTIFS(入库单!$E$4:$E$2503,$A13,入库单!$Z$4:$Z$2503,"正常"))</f>
        <v/>
      </c>
      <c r="F13" s="28">
        <f>IF($A13="","",COUNTIFS(入库单!$E$4:$E$2503,$A13,入库单!$Z$4:$Z$2503,"正常",入库单!$Y$4:$Y$2503,"待补价"))</f>
        <v/>
      </c>
      <c r="G13" s="26">
        <f>IF($A13="","",ROUND(SUMIFS(入库单!$P$4:$P$2503,入库单!$E$4:$E$2503,$A13,入库单!$Z$4:$Z$2503,"正常"),0))</f>
        <v/>
      </c>
      <c r="H13" s="26">
        <f>IF($A13="","",ROUND(SUMIFS(费用台账!$I$4:$I$503,费用台账!$C$4:$C$503,$A13,费用台账!$J$4:$J$503,"是",费用台账!$K$4:$K$503,"正常"),0))</f>
        <v/>
      </c>
      <c r="I13" s="37">
        <f>IF($A13="","",IF($G13=0,"",ROUND($H13/$G13,4)))</f>
        <v/>
      </c>
      <c r="J13" s="26">
        <f>IF($A13="","",ROUND(SUMIFS(入库单!$U$4:$U$2503,入库单!$E$4:$E$2503,$A13,入库单!$Z$4:$Z$2503,"正常"),0))</f>
        <v/>
      </c>
      <c r="K13" s="26">
        <f>IF($A13="","",ROUND($H13-$J13,0))</f>
        <v/>
      </c>
      <c r="L13" s="26">
        <f>IF($A13="","",ROUND(SUMIFS(入库单!$V$4:$V$2503,入库单!$E$4:$E$2503,$A13,入库单!$Z$4:$Z$2503,"正常"),0))</f>
        <v/>
      </c>
      <c r="M13" s="24">
        <f>IF($A13="","",IF($E13=0,"※这个批次号在入库单里找不到",IF(AND($H13&gt;0,$F13&gt;0),"△有 "&amp;$F13&amp;" 行没单价，运费整批挂账没摊 —— 补完价自动摊",IF($H13=0,"△还没录运费（27 个柜里只有 2 个录了，其余的要补）",IF(ABS($K13)&gt;1,"※摊完还差 "&amp;TEXT($K13,"#,##0")&amp;" 先令，查一下","已摊平")))))</f>
        <v/>
      </c>
    </row>
    <row r="14">
      <c r="A14" s="24" t="inlineStr">
        <is>
          <t>MSMU9007511-202603</t>
        </is>
      </c>
      <c r="B14" s="17" t="inlineStr">
        <is>
          <t>MSMU9007511</t>
        </is>
      </c>
      <c r="C14" s="30" t="n">
        <v>46098</v>
      </c>
      <c r="D14" s="24">
        <f>IF($A14="","",IFERROR(LOOKUP(2,1/(入库单!$E$4:$E$2503=$A14),入库单!$D$4:$D$2503),""))</f>
        <v/>
      </c>
      <c r="E14" s="28">
        <f>IF($A14="","",COUNTIFS(入库单!$E$4:$E$2503,$A14,入库单!$Z$4:$Z$2503,"正常"))</f>
        <v/>
      </c>
      <c r="F14" s="28">
        <f>IF($A14="","",COUNTIFS(入库单!$E$4:$E$2503,$A14,入库单!$Z$4:$Z$2503,"正常",入库单!$Y$4:$Y$2503,"待补价"))</f>
        <v/>
      </c>
      <c r="G14" s="26">
        <f>IF($A14="","",ROUND(SUMIFS(入库单!$P$4:$P$2503,入库单!$E$4:$E$2503,$A14,入库单!$Z$4:$Z$2503,"正常"),0))</f>
        <v/>
      </c>
      <c r="H14" s="26">
        <f>IF($A14="","",ROUND(SUMIFS(费用台账!$I$4:$I$503,费用台账!$C$4:$C$503,$A14,费用台账!$J$4:$J$503,"是",费用台账!$K$4:$K$503,"正常"),0))</f>
        <v/>
      </c>
      <c r="I14" s="37">
        <f>IF($A14="","",IF($G14=0,"",ROUND($H14/$G14,4)))</f>
        <v/>
      </c>
      <c r="J14" s="26">
        <f>IF($A14="","",ROUND(SUMIFS(入库单!$U$4:$U$2503,入库单!$E$4:$E$2503,$A14,入库单!$Z$4:$Z$2503,"正常"),0))</f>
        <v/>
      </c>
      <c r="K14" s="26">
        <f>IF($A14="","",ROUND($H14-$J14,0))</f>
        <v/>
      </c>
      <c r="L14" s="26">
        <f>IF($A14="","",ROUND(SUMIFS(入库单!$V$4:$V$2503,入库单!$E$4:$E$2503,$A14,入库单!$Z$4:$Z$2503,"正常"),0))</f>
        <v/>
      </c>
      <c r="M14" s="24">
        <f>IF($A14="","",IF($E14=0,"※这个批次号在入库单里找不到",IF(AND($H14&gt;0,$F14&gt;0),"△有 "&amp;$F14&amp;" 行没单价，运费整批挂账没摊 —— 补完价自动摊",IF($H14=0,"△还没录运费（27 个柜里只有 2 个录了，其余的要补）",IF(ABS($K14)&gt;1,"※摊完还差 "&amp;TEXT($K14,"#,##0")&amp;" 先令，查一下","已摊平")))))</f>
        <v/>
      </c>
    </row>
    <row r="15">
      <c r="A15" s="24" t="inlineStr">
        <is>
          <t>MSMU9008082-202603</t>
        </is>
      </c>
      <c r="B15" s="17" t="inlineStr">
        <is>
          <t>MSMU9008082</t>
        </is>
      </c>
      <c r="C15" s="30" t="n">
        <v>46101</v>
      </c>
      <c r="D15" s="24">
        <f>IF($A15="","",IFERROR(LOOKUP(2,1/(入库单!$E$4:$E$2503=$A15),入库单!$D$4:$D$2503),""))</f>
        <v/>
      </c>
      <c r="E15" s="28">
        <f>IF($A15="","",COUNTIFS(入库单!$E$4:$E$2503,$A15,入库单!$Z$4:$Z$2503,"正常"))</f>
        <v/>
      </c>
      <c r="F15" s="28">
        <f>IF($A15="","",COUNTIFS(入库单!$E$4:$E$2503,$A15,入库单!$Z$4:$Z$2503,"正常",入库单!$Y$4:$Y$2503,"待补价"))</f>
        <v/>
      </c>
      <c r="G15" s="26">
        <f>IF($A15="","",ROUND(SUMIFS(入库单!$P$4:$P$2503,入库单!$E$4:$E$2503,$A15,入库单!$Z$4:$Z$2503,"正常"),0))</f>
        <v/>
      </c>
      <c r="H15" s="26">
        <f>IF($A15="","",ROUND(SUMIFS(费用台账!$I$4:$I$503,费用台账!$C$4:$C$503,$A15,费用台账!$J$4:$J$503,"是",费用台账!$K$4:$K$503,"正常"),0))</f>
        <v/>
      </c>
      <c r="I15" s="37">
        <f>IF($A15="","",IF($G15=0,"",ROUND($H15/$G15,4)))</f>
        <v/>
      </c>
      <c r="J15" s="26">
        <f>IF($A15="","",ROUND(SUMIFS(入库单!$U$4:$U$2503,入库单!$E$4:$E$2503,$A15,入库单!$Z$4:$Z$2503,"正常"),0))</f>
        <v/>
      </c>
      <c r="K15" s="26">
        <f>IF($A15="","",ROUND($H15-$J15,0))</f>
        <v/>
      </c>
      <c r="L15" s="26">
        <f>IF($A15="","",ROUND(SUMIFS(入库单!$V$4:$V$2503,入库单!$E$4:$E$2503,$A15,入库单!$Z$4:$Z$2503,"正常"),0))</f>
        <v/>
      </c>
      <c r="M15" s="24">
        <f>IF($A15="","",IF($E15=0,"※这个批次号在入库单里找不到",IF(AND($H15&gt;0,$F15&gt;0),"△有 "&amp;$F15&amp;" 行没单价，运费整批挂账没摊 —— 补完价自动摊",IF($H15=0,"△还没录运费（27 个柜里只有 2 个录了，其余的要补）",IF(ABS($K15)&gt;1,"※摊完还差 "&amp;TEXT($K15,"#,##0")&amp;" 先令，查一下","已摊平")))))</f>
        <v/>
      </c>
    </row>
    <row r="16">
      <c r="A16" s="24" t="inlineStr">
        <is>
          <t>CBHU9041804-202603</t>
        </is>
      </c>
      <c r="B16" s="17" t="inlineStr">
        <is>
          <t>CBHU9041804</t>
        </is>
      </c>
      <c r="C16" s="30" t="n">
        <v>46102</v>
      </c>
      <c r="D16" s="24">
        <f>IF($A16="","",IFERROR(LOOKUP(2,1/(入库单!$E$4:$E$2503=$A16),入库单!$D$4:$D$2503),""))</f>
        <v/>
      </c>
      <c r="E16" s="28">
        <f>IF($A16="","",COUNTIFS(入库单!$E$4:$E$2503,$A16,入库单!$Z$4:$Z$2503,"正常"))</f>
        <v/>
      </c>
      <c r="F16" s="28">
        <f>IF($A16="","",COUNTIFS(入库单!$E$4:$E$2503,$A16,入库单!$Z$4:$Z$2503,"正常",入库单!$Y$4:$Y$2503,"待补价"))</f>
        <v/>
      </c>
      <c r="G16" s="26">
        <f>IF($A16="","",ROUND(SUMIFS(入库单!$P$4:$P$2503,入库单!$E$4:$E$2503,$A16,入库单!$Z$4:$Z$2503,"正常"),0))</f>
        <v/>
      </c>
      <c r="H16" s="26">
        <f>IF($A16="","",ROUND(SUMIFS(费用台账!$I$4:$I$503,费用台账!$C$4:$C$503,$A16,费用台账!$J$4:$J$503,"是",费用台账!$K$4:$K$503,"正常"),0))</f>
        <v/>
      </c>
      <c r="I16" s="37">
        <f>IF($A16="","",IF($G16=0,"",ROUND($H16/$G16,4)))</f>
        <v/>
      </c>
      <c r="J16" s="26">
        <f>IF($A16="","",ROUND(SUMIFS(入库单!$U$4:$U$2503,入库单!$E$4:$E$2503,$A16,入库单!$Z$4:$Z$2503,"正常"),0))</f>
        <v/>
      </c>
      <c r="K16" s="26">
        <f>IF($A16="","",ROUND($H16-$J16,0))</f>
        <v/>
      </c>
      <c r="L16" s="26">
        <f>IF($A16="","",ROUND(SUMIFS(入库单!$V$4:$V$2503,入库单!$E$4:$E$2503,$A16,入库单!$Z$4:$Z$2503,"正常"),0))</f>
        <v/>
      </c>
      <c r="M16" s="24">
        <f>IF($A16="","",IF($E16=0,"※这个批次号在入库单里找不到",IF(AND($H16&gt;0,$F16&gt;0),"△有 "&amp;$F16&amp;" 行没单价，运费整批挂账没摊 —— 补完价自动摊",IF($H16=0,"△还没录运费（27 个柜里只有 2 个录了，其余的要补）",IF(ABS($K16)&gt;1,"※摊完还差 "&amp;TEXT($K16,"#,##0")&amp;" 先令，查一下","已摊平")))))</f>
        <v/>
      </c>
    </row>
    <row r="17">
      <c r="A17" s="24" t="inlineStr">
        <is>
          <t>GATU8693770-202603</t>
        </is>
      </c>
      <c r="B17" s="17" t="inlineStr">
        <is>
          <t>GATU8693770</t>
        </is>
      </c>
      <c r="C17" s="30" t="n">
        <v>46103</v>
      </c>
      <c r="D17" s="24">
        <f>IF($A17="","",IFERROR(LOOKUP(2,1/(入库单!$E$4:$E$2503=$A17),入库单!$D$4:$D$2503),""))</f>
        <v/>
      </c>
      <c r="E17" s="28">
        <f>IF($A17="","",COUNTIFS(入库单!$E$4:$E$2503,$A17,入库单!$Z$4:$Z$2503,"正常"))</f>
        <v/>
      </c>
      <c r="F17" s="28">
        <f>IF($A17="","",COUNTIFS(入库单!$E$4:$E$2503,$A17,入库单!$Z$4:$Z$2503,"正常",入库单!$Y$4:$Y$2503,"待补价"))</f>
        <v/>
      </c>
      <c r="G17" s="26">
        <f>IF($A17="","",ROUND(SUMIFS(入库单!$P$4:$P$2503,入库单!$E$4:$E$2503,$A17,入库单!$Z$4:$Z$2503,"正常"),0))</f>
        <v/>
      </c>
      <c r="H17" s="26">
        <f>IF($A17="","",ROUND(SUMIFS(费用台账!$I$4:$I$503,费用台账!$C$4:$C$503,$A17,费用台账!$J$4:$J$503,"是",费用台账!$K$4:$K$503,"正常"),0))</f>
        <v/>
      </c>
      <c r="I17" s="37">
        <f>IF($A17="","",IF($G17=0,"",ROUND($H17/$G17,4)))</f>
        <v/>
      </c>
      <c r="J17" s="26">
        <f>IF($A17="","",ROUND(SUMIFS(入库单!$U$4:$U$2503,入库单!$E$4:$E$2503,$A17,入库单!$Z$4:$Z$2503,"正常"),0))</f>
        <v/>
      </c>
      <c r="K17" s="26">
        <f>IF($A17="","",ROUND($H17-$J17,0))</f>
        <v/>
      </c>
      <c r="L17" s="26">
        <f>IF($A17="","",ROUND(SUMIFS(入库单!$V$4:$V$2503,入库单!$E$4:$E$2503,$A17,入库单!$Z$4:$Z$2503,"正常"),0))</f>
        <v/>
      </c>
      <c r="M17" s="24">
        <f>IF($A17="","",IF($E17=0,"※这个批次号在入库单里找不到",IF(AND($H17&gt;0,$F17&gt;0),"△有 "&amp;$F17&amp;" 行没单价，运费整批挂账没摊 —— 补完价自动摊",IF($H17=0,"△还没录运费（27 个柜里只有 2 个录了，其余的要补）",IF(ABS($K17)&gt;1,"※摊完还差 "&amp;TEXT($K17,"#,##0")&amp;" 先令，查一下","已摊平")))))</f>
        <v/>
      </c>
    </row>
    <row r="18">
      <c r="A18" s="24" t="inlineStr">
        <is>
          <t>GATU8663903-202603</t>
        </is>
      </c>
      <c r="B18" s="17" t="inlineStr">
        <is>
          <t>GATU8663903</t>
        </is>
      </c>
      <c r="C18" s="30" t="n">
        <v>46103</v>
      </c>
      <c r="D18" s="24">
        <f>IF($A18="","",IFERROR(LOOKUP(2,1/(入库单!$E$4:$E$2503=$A18),入库单!$D$4:$D$2503),""))</f>
        <v/>
      </c>
      <c r="E18" s="28">
        <f>IF($A18="","",COUNTIFS(入库单!$E$4:$E$2503,$A18,入库单!$Z$4:$Z$2503,"正常"))</f>
        <v/>
      </c>
      <c r="F18" s="28">
        <f>IF($A18="","",COUNTIFS(入库单!$E$4:$E$2503,$A18,入库单!$Z$4:$Z$2503,"正常",入库单!$Y$4:$Y$2503,"待补价"))</f>
        <v/>
      </c>
      <c r="G18" s="26">
        <f>IF($A18="","",ROUND(SUMIFS(入库单!$P$4:$P$2503,入库单!$E$4:$E$2503,$A18,入库单!$Z$4:$Z$2503,"正常"),0))</f>
        <v/>
      </c>
      <c r="H18" s="26">
        <f>IF($A18="","",ROUND(SUMIFS(费用台账!$I$4:$I$503,费用台账!$C$4:$C$503,$A18,费用台账!$J$4:$J$503,"是",费用台账!$K$4:$K$503,"正常"),0))</f>
        <v/>
      </c>
      <c r="I18" s="37">
        <f>IF($A18="","",IF($G18=0,"",ROUND($H18/$G18,4)))</f>
        <v/>
      </c>
      <c r="J18" s="26">
        <f>IF($A18="","",ROUND(SUMIFS(入库单!$U$4:$U$2503,入库单!$E$4:$E$2503,$A18,入库单!$Z$4:$Z$2503,"正常"),0))</f>
        <v/>
      </c>
      <c r="K18" s="26">
        <f>IF($A18="","",ROUND($H18-$J18,0))</f>
        <v/>
      </c>
      <c r="L18" s="26">
        <f>IF($A18="","",ROUND(SUMIFS(入库单!$V$4:$V$2503,入库单!$E$4:$E$2503,$A18,入库单!$Z$4:$Z$2503,"正常"),0))</f>
        <v/>
      </c>
      <c r="M18" s="24">
        <f>IF($A18="","",IF($E18=0,"※这个批次号在入库单里找不到",IF(AND($H18&gt;0,$F18&gt;0),"△有 "&amp;$F18&amp;" 行没单价，运费整批挂账没摊 —— 补完价自动摊",IF($H18=0,"△还没录运费（27 个柜里只有 2 个录了，其余的要补）",IF(ABS($K18)&gt;1,"※摊完还差 "&amp;TEXT($K18,"#,##0")&amp;" 先令，查一下","已摊平")))))</f>
        <v/>
      </c>
    </row>
    <row r="19">
      <c r="A19" s="24" t="inlineStr">
        <is>
          <t>CBHU8968633-202603</t>
        </is>
      </c>
      <c r="B19" s="17" t="inlineStr">
        <is>
          <t>CBHU8968633</t>
        </is>
      </c>
      <c r="C19" s="30" t="n">
        <v>46108</v>
      </c>
      <c r="D19" s="24">
        <f>IF($A19="","",IFERROR(LOOKUP(2,1/(入库单!$E$4:$E$2503=$A19),入库单!$D$4:$D$2503),""))</f>
        <v/>
      </c>
      <c r="E19" s="28">
        <f>IF($A19="","",COUNTIFS(入库单!$E$4:$E$2503,$A19,入库单!$Z$4:$Z$2503,"正常"))</f>
        <v/>
      </c>
      <c r="F19" s="28">
        <f>IF($A19="","",COUNTIFS(入库单!$E$4:$E$2503,$A19,入库单!$Z$4:$Z$2503,"正常",入库单!$Y$4:$Y$2503,"待补价"))</f>
        <v/>
      </c>
      <c r="G19" s="26">
        <f>IF($A19="","",ROUND(SUMIFS(入库单!$P$4:$P$2503,入库单!$E$4:$E$2503,$A19,入库单!$Z$4:$Z$2503,"正常"),0))</f>
        <v/>
      </c>
      <c r="H19" s="26">
        <f>IF($A19="","",ROUND(SUMIFS(费用台账!$I$4:$I$503,费用台账!$C$4:$C$503,$A19,费用台账!$J$4:$J$503,"是",费用台账!$K$4:$K$503,"正常"),0))</f>
        <v/>
      </c>
      <c r="I19" s="37">
        <f>IF($A19="","",IF($G19=0,"",ROUND($H19/$G19,4)))</f>
        <v/>
      </c>
      <c r="J19" s="26">
        <f>IF($A19="","",ROUND(SUMIFS(入库单!$U$4:$U$2503,入库单!$E$4:$E$2503,$A19,入库单!$Z$4:$Z$2503,"正常"),0))</f>
        <v/>
      </c>
      <c r="K19" s="26">
        <f>IF($A19="","",ROUND($H19-$J19,0))</f>
        <v/>
      </c>
      <c r="L19" s="26">
        <f>IF($A19="","",ROUND(SUMIFS(入库单!$V$4:$V$2503,入库单!$E$4:$E$2503,$A19,入库单!$Z$4:$Z$2503,"正常"),0))</f>
        <v/>
      </c>
      <c r="M19" s="24">
        <f>IF($A19="","",IF($E19=0,"※这个批次号在入库单里找不到",IF(AND($H19&gt;0,$F19&gt;0),"△有 "&amp;$F19&amp;" 行没单价，运费整批挂账没摊 —— 补完价自动摊",IF($H19=0,"△还没录运费（27 个柜里只有 2 个录了，其余的要补）",IF(ABS($K19)&gt;1,"※摊完还差 "&amp;TEXT($K19,"#,##0")&amp;" 先令，查一下","已摊平")))))</f>
        <v/>
      </c>
    </row>
    <row r="20">
      <c r="A20" s="24" t="inlineStr">
        <is>
          <t>CBHU8932081-202603</t>
        </is>
      </c>
      <c r="B20" s="17" t="inlineStr">
        <is>
          <t>CBHU8932081</t>
        </is>
      </c>
      <c r="C20" s="30" t="n">
        <v>46108</v>
      </c>
      <c r="D20" s="24">
        <f>IF($A20="","",IFERROR(LOOKUP(2,1/(入库单!$E$4:$E$2503=$A20),入库单!$D$4:$D$2503),""))</f>
        <v/>
      </c>
      <c r="E20" s="28">
        <f>IF($A20="","",COUNTIFS(入库单!$E$4:$E$2503,$A20,入库单!$Z$4:$Z$2503,"正常"))</f>
        <v/>
      </c>
      <c r="F20" s="28">
        <f>IF($A20="","",COUNTIFS(入库单!$E$4:$E$2503,$A20,入库单!$Z$4:$Z$2503,"正常",入库单!$Y$4:$Y$2503,"待补价"))</f>
        <v/>
      </c>
      <c r="G20" s="26">
        <f>IF($A20="","",ROUND(SUMIFS(入库单!$P$4:$P$2503,入库单!$E$4:$E$2503,$A20,入库单!$Z$4:$Z$2503,"正常"),0))</f>
        <v/>
      </c>
      <c r="H20" s="26">
        <f>IF($A20="","",ROUND(SUMIFS(费用台账!$I$4:$I$503,费用台账!$C$4:$C$503,$A20,费用台账!$J$4:$J$503,"是",费用台账!$K$4:$K$503,"正常"),0))</f>
        <v/>
      </c>
      <c r="I20" s="37">
        <f>IF($A20="","",IF($G20=0,"",ROUND($H20/$G20,4)))</f>
        <v/>
      </c>
      <c r="J20" s="26">
        <f>IF($A20="","",ROUND(SUMIFS(入库单!$U$4:$U$2503,入库单!$E$4:$E$2503,$A20,入库单!$Z$4:$Z$2503,"正常"),0))</f>
        <v/>
      </c>
      <c r="K20" s="26">
        <f>IF($A20="","",ROUND($H20-$J20,0))</f>
        <v/>
      </c>
      <c r="L20" s="26">
        <f>IF($A20="","",ROUND(SUMIFS(入库单!$V$4:$V$2503,入库单!$E$4:$E$2503,$A20,入库单!$Z$4:$Z$2503,"正常"),0))</f>
        <v/>
      </c>
      <c r="M20" s="24">
        <f>IF($A20="","",IF($E20=0,"※这个批次号在入库单里找不到",IF(AND($H20&gt;0,$F20&gt;0),"△有 "&amp;$F20&amp;" 行没单价，运费整批挂账没摊 —— 补完价自动摊",IF($H20=0,"△还没录运费（27 个柜里只有 2 个录了，其余的要补）",IF(ABS($K20)&gt;1,"※摊完还差 "&amp;TEXT($K20,"#,##0")&amp;" 先令，查一下","已摊平")))))</f>
        <v/>
      </c>
    </row>
    <row r="21">
      <c r="A21" s="24" t="inlineStr">
        <is>
          <t>FCIU8393711-202603</t>
        </is>
      </c>
      <c r="B21" s="17" t="inlineStr">
        <is>
          <t>FCIU8393711</t>
        </is>
      </c>
      <c r="C21" s="30" t="n">
        <v>46109</v>
      </c>
      <c r="D21" s="24">
        <f>IF($A21="","",IFERROR(LOOKUP(2,1/(入库单!$E$4:$E$2503=$A21),入库单!$D$4:$D$2503),""))</f>
        <v/>
      </c>
      <c r="E21" s="28">
        <f>IF($A21="","",COUNTIFS(入库单!$E$4:$E$2503,$A21,入库单!$Z$4:$Z$2503,"正常"))</f>
        <v/>
      </c>
      <c r="F21" s="28">
        <f>IF($A21="","",COUNTIFS(入库单!$E$4:$E$2503,$A21,入库单!$Z$4:$Z$2503,"正常",入库单!$Y$4:$Y$2503,"待补价"))</f>
        <v/>
      </c>
      <c r="G21" s="26">
        <f>IF($A21="","",ROUND(SUMIFS(入库单!$P$4:$P$2503,入库单!$E$4:$E$2503,$A21,入库单!$Z$4:$Z$2503,"正常"),0))</f>
        <v/>
      </c>
      <c r="H21" s="26">
        <f>IF($A21="","",ROUND(SUMIFS(费用台账!$I$4:$I$503,费用台账!$C$4:$C$503,$A21,费用台账!$J$4:$J$503,"是",费用台账!$K$4:$K$503,"正常"),0))</f>
        <v/>
      </c>
      <c r="I21" s="37">
        <f>IF($A21="","",IF($G21=0,"",ROUND($H21/$G21,4)))</f>
        <v/>
      </c>
      <c r="J21" s="26">
        <f>IF($A21="","",ROUND(SUMIFS(入库单!$U$4:$U$2503,入库单!$E$4:$E$2503,$A21,入库单!$Z$4:$Z$2503,"正常"),0))</f>
        <v/>
      </c>
      <c r="K21" s="26">
        <f>IF($A21="","",ROUND($H21-$J21,0))</f>
        <v/>
      </c>
      <c r="L21" s="26">
        <f>IF($A21="","",ROUND(SUMIFS(入库单!$V$4:$V$2503,入库单!$E$4:$E$2503,$A21,入库单!$Z$4:$Z$2503,"正常"),0))</f>
        <v/>
      </c>
      <c r="M21" s="24">
        <f>IF($A21="","",IF($E21=0,"※这个批次号在入库单里找不到",IF(AND($H21&gt;0,$F21&gt;0),"△有 "&amp;$F21&amp;" 行没单价，运费整批挂账没摊 —— 补完价自动摊",IF($H21=0,"△还没录运费（27 个柜里只有 2 个录了，其余的要补）",IF(ABS($K21)&gt;1,"※摊完还差 "&amp;TEXT($K21,"#,##0")&amp;" 先令，查一下","已摊平")))))</f>
        <v/>
      </c>
    </row>
    <row r="22">
      <c r="A22" s="24" t="inlineStr">
        <is>
          <t>FCIU8630602-202603</t>
        </is>
      </c>
      <c r="B22" s="17" t="inlineStr">
        <is>
          <t>FCIU8630602</t>
        </is>
      </c>
      <c r="C22" s="30" t="n">
        <v>46109</v>
      </c>
      <c r="D22" s="24">
        <f>IF($A22="","",IFERROR(LOOKUP(2,1/(入库单!$E$4:$E$2503=$A22),入库单!$D$4:$D$2503),""))</f>
        <v/>
      </c>
      <c r="E22" s="28">
        <f>IF($A22="","",COUNTIFS(入库单!$E$4:$E$2503,$A22,入库单!$Z$4:$Z$2503,"正常"))</f>
        <v/>
      </c>
      <c r="F22" s="28">
        <f>IF($A22="","",COUNTIFS(入库单!$E$4:$E$2503,$A22,入库单!$Z$4:$Z$2503,"正常",入库单!$Y$4:$Y$2503,"待补价"))</f>
        <v/>
      </c>
      <c r="G22" s="26">
        <f>IF($A22="","",ROUND(SUMIFS(入库单!$P$4:$P$2503,入库单!$E$4:$E$2503,$A22,入库单!$Z$4:$Z$2503,"正常"),0))</f>
        <v/>
      </c>
      <c r="H22" s="26">
        <f>IF($A22="","",ROUND(SUMIFS(费用台账!$I$4:$I$503,费用台账!$C$4:$C$503,$A22,费用台账!$J$4:$J$503,"是",费用台账!$K$4:$K$503,"正常"),0))</f>
        <v/>
      </c>
      <c r="I22" s="37">
        <f>IF($A22="","",IF($G22=0,"",ROUND($H22/$G22,4)))</f>
        <v/>
      </c>
      <c r="J22" s="26">
        <f>IF($A22="","",ROUND(SUMIFS(入库单!$U$4:$U$2503,入库单!$E$4:$E$2503,$A22,入库单!$Z$4:$Z$2503,"正常"),0))</f>
        <v/>
      </c>
      <c r="K22" s="26">
        <f>IF($A22="","",ROUND($H22-$J22,0))</f>
        <v/>
      </c>
      <c r="L22" s="26">
        <f>IF($A22="","",ROUND(SUMIFS(入库单!$V$4:$V$2503,入库单!$E$4:$E$2503,$A22,入库单!$Z$4:$Z$2503,"正常"),0))</f>
        <v/>
      </c>
      <c r="M22" s="24">
        <f>IF($A22="","",IF($E22=0,"※这个批次号在入库单里找不到",IF(AND($H22&gt;0,$F22&gt;0),"△有 "&amp;$F22&amp;" 行没单价，运费整批挂账没摊 —— 补完价自动摊",IF($H22=0,"△还没录运费（27 个柜里只有 2 个录了，其余的要补）",IF(ABS($K22)&gt;1,"※摊完还差 "&amp;TEXT($K22,"#,##0")&amp;" 先令，查一下","已摊平")))))</f>
        <v/>
      </c>
    </row>
    <row r="23">
      <c r="A23" s="24" t="inlineStr">
        <is>
          <t>BEAU645628045G1-202604</t>
        </is>
      </c>
      <c r="B23" s="17" t="inlineStr">
        <is>
          <t>BEAU645628045G1</t>
        </is>
      </c>
      <c r="C23" s="30" t="n">
        <v>46119</v>
      </c>
      <c r="D23" s="24">
        <f>IF($A23="","",IFERROR(LOOKUP(2,1/(入库单!$E$4:$E$2503=$A23),入库单!$D$4:$D$2503),""))</f>
        <v/>
      </c>
      <c r="E23" s="28">
        <f>IF($A23="","",COUNTIFS(入库单!$E$4:$E$2503,$A23,入库单!$Z$4:$Z$2503,"正常"))</f>
        <v/>
      </c>
      <c r="F23" s="28">
        <f>IF($A23="","",COUNTIFS(入库单!$E$4:$E$2503,$A23,入库单!$Z$4:$Z$2503,"正常",入库单!$Y$4:$Y$2503,"待补价"))</f>
        <v/>
      </c>
      <c r="G23" s="26">
        <f>IF($A23="","",ROUND(SUMIFS(入库单!$P$4:$P$2503,入库单!$E$4:$E$2503,$A23,入库单!$Z$4:$Z$2503,"正常"),0))</f>
        <v/>
      </c>
      <c r="H23" s="26">
        <f>IF($A23="","",ROUND(SUMIFS(费用台账!$I$4:$I$503,费用台账!$C$4:$C$503,$A23,费用台账!$J$4:$J$503,"是",费用台账!$K$4:$K$503,"正常"),0))</f>
        <v/>
      </c>
      <c r="I23" s="37">
        <f>IF($A23="","",IF($G23=0,"",ROUND($H23/$G23,4)))</f>
        <v/>
      </c>
      <c r="J23" s="26">
        <f>IF($A23="","",ROUND(SUMIFS(入库单!$U$4:$U$2503,入库单!$E$4:$E$2503,$A23,入库单!$Z$4:$Z$2503,"正常"),0))</f>
        <v/>
      </c>
      <c r="K23" s="26">
        <f>IF($A23="","",ROUND($H23-$J23,0))</f>
        <v/>
      </c>
      <c r="L23" s="26">
        <f>IF($A23="","",ROUND(SUMIFS(入库单!$V$4:$V$2503,入库单!$E$4:$E$2503,$A23,入库单!$Z$4:$Z$2503,"正常"),0))</f>
        <v/>
      </c>
      <c r="M23" s="24">
        <f>IF($A23="","",IF($E23=0,"※这个批次号在入库单里找不到",IF(AND($H23&gt;0,$F23&gt;0),"△有 "&amp;$F23&amp;" 行没单价，运费整批挂账没摊 —— 补完价自动摊",IF($H23=0,"△还没录运费（27 个柜里只有 2 个录了，其余的要补）",IF(ABS($K23)&gt;1,"※摊完还差 "&amp;TEXT($K23,"#,##0")&amp;" 先令，查一下","已摊平")))))</f>
        <v/>
      </c>
    </row>
    <row r="24">
      <c r="A24" s="24" t="inlineStr">
        <is>
          <t>EMCU1461128-202604</t>
        </is>
      </c>
      <c r="B24" s="17" t="inlineStr">
        <is>
          <t>EMCU1461128</t>
        </is>
      </c>
      <c r="C24" s="30" t="n">
        <v>46132</v>
      </c>
      <c r="D24" s="24">
        <f>IF($A24="","",IFERROR(LOOKUP(2,1/(入库单!$E$4:$E$2503=$A24),入库单!$D$4:$D$2503),""))</f>
        <v/>
      </c>
      <c r="E24" s="28">
        <f>IF($A24="","",COUNTIFS(入库单!$E$4:$E$2503,$A24,入库单!$Z$4:$Z$2503,"正常"))</f>
        <v/>
      </c>
      <c r="F24" s="28">
        <f>IF($A24="","",COUNTIFS(入库单!$E$4:$E$2503,$A24,入库单!$Z$4:$Z$2503,"正常",入库单!$Y$4:$Y$2503,"待补价"))</f>
        <v/>
      </c>
      <c r="G24" s="26">
        <f>IF($A24="","",ROUND(SUMIFS(入库单!$P$4:$P$2503,入库单!$E$4:$E$2503,$A24,入库单!$Z$4:$Z$2503,"正常"),0))</f>
        <v/>
      </c>
      <c r="H24" s="26">
        <f>IF($A24="","",ROUND(SUMIFS(费用台账!$I$4:$I$503,费用台账!$C$4:$C$503,$A24,费用台账!$J$4:$J$503,"是",费用台账!$K$4:$K$503,"正常"),0))</f>
        <v/>
      </c>
      <c r="I24" s="37">
        <f>IF($A24="","",IF($G24=0,"",ROUND($H24/$G24,4)))</f>
        <v/>
      </c>
      <c r="J24" s="26">
        <f>IF($A24="","",ROUND(SUMIFS(入库单!$U$4:$U$2503,入库单!$E$4:$E$2503,$A24,入库单!$Z$4:$Z$2503,"正常"),0))</f>
        <v/>
      </c>
      <c r="K24" s="26">
        <f>IF($A24="","",ROUND($H24-$J24,0))</f>
        <v/>
      </c>
      <c r="L24" s="26">
        <f>IF($A24="","",ROUND(SUMIFS(入库单!$V$4:$V$2503,入库单!$E$4:$E$2503,$A24,入库单!$Z$4:$Z$2503,"正常"),0))</f>
        <v/>
      </c>
      <c r="M24" s="24">
        <f>IF($A24="","",IF($E24=0,"※这个批次号在入库单里找不到",IF(AND($H24&gt;0,$F24&gt;0),"△有 "&amp;$F24&amp;" 行没单价，运费整批挂账没摊 —— 补完价自动摊",IF($H24=0,"△还没录运费（27 个柜里只有 2 个录了，其余的要补）",IF(ABS($K24)&gt;1,"※摊完还差 "&amp;TEXT($K24,"#,##0")&amp;" 先令，查一下","已摊平")))))</f>
        <v/>
      </c>
    </row>
    <row r="25">
      <c r="A25" s="24" t="inlineStr">
        <is>
          <t>XYJU2031238-202604</t>
        </is>
      </c>
      <c r="B25" s="17" t="inlineStr">
        <is>
          <t>XYJU2031238</t>
        </is>
      </c>
      <c r="C25" s="30" t="n">
        <v>46141</v>
      </c>
      <c r="D25" s="24">
        <f>IF($A25="","",IFERROR(LOOKUP(2,1/(入库单!$E$4:$E$2503=$A25),入库单!$D$4:$D$2503),""))</f>
        <v/>
      </c>
      <c r="E25" s="28">
        <f>IF($A25="","",COUNTIFS(入库单!$E$4:$E$2503,$A25,入库单!$Z$4:$Z$2503,"正常"))</f>
        <v/>
      </c>
      <c r="F25" s="28">
        <f>IF($A25="","",COUNTIFS(入库单!$E$4:$E$2503,$A25,入库单!$Z$4:$Z$2503,"正常",入库单!$Y$4:$Y$2503,"待补价"))</f>
        <v/>
      </c>
      <c r="G25" s="26">
        <f>IF($A25="","",ROUND(SUMIFS(入库单!$P$4:$P$2503,入库单!$E$4:$E$2503,$A25,入库单!$Z$4:$Z$2503,"正常"),0))</f>
        <v/>
      </c>
      <c r="H25" s="26">
        <f>IF($A25="","",ROUND(SUMIFS(费用台账!$I$4:$I$503,费用台账!$C$4:$C$503,$A25,费用台账!$J$4:$J$503,"是",费用台账!$K$4:$K$503,"正常"),0))</f>
        <v/>
      </c>
      <c r="I25" s="37">
        <f>IF($A25="","",IF($G25=0,"",ROUND($H25/$G25,4)))</f>
        <v/>
      </c>
      <c r="J25" s="26">
        <f>IF($A25="","",ROUND(SUMIFS(入库单!$U$4:$U$2503,入库单!$E$4:$E$2503,$A25,入库单!$Z$4:$Z$2503,"正常"),0))</f>
        <v/>
      </c>
      <c r="K25" s="26">
        <f>IF($A25="","",ROUND($H25-$J25,0))</f>
        <v/>
      </c>
      <c r="L25" s="26">
        <f>IF($A25="","",ROUND(SUMIFS(入库单!$V$4:$V$2503,入库单!$E$4:$E$2503,$A25,入库单!$Z$4:$Z$2503,"正常"),0))</f>
        <v/>
      </c>
      <c r="M25" s="24">
        <f>IF($A25="","",IF($E25=0,"※这个批次号在入库单里找不到",IF(AND($H25&gt;0,$F25&gt;0),"△有 "&amp;$F25&amp;" 行没单价，运费整批挂账没摊 —— 补完价自动摊",IF($H25=0,"△还没录运费（27 个柜里只有 2 个录了，其余的要补）",IF(ABS($K25)&gt;1,"※摊完还差 "&amp;TEXT($K25,"#,##0")&amp;" 先令，查一下","已摊平")))))</f>
        <v/>
      </c>
    </row>
    <row r="26">
      <c r="A26" s="24" t="inlineStr">
        <is>
          <t>TIIU4204331-202605</t>
        </is>
      </c>
      <c r="B26" s="17" t="inlineStr">
        <is>
          <t>TIIU4204331</t>
        </is>
      </c>
      <c r="C26" s="30" t="n">
        <v>46158</v>
      </c>
      <c r="D26" s="24">
        <f>IF($A26="","",IFERROR(LOOKUP(2,1/(入库单!$E$4:$E$2503=$A26),入库单!$D$4:$D$2503),""))</f>
        <v/>
      </c>
      <c r="E26" s="28">
        <f>IF($A26="","",COUNTIFS(入库单!$E$4:$E$2503,$A26,入库单!$Z$4:$Z$2503,"正常"))</f>
        <v/>
      </c>
      <c r="F26" s="28">
        <f>IF($A26="","",COUNTIFS(入库单!$E$4:$E$2503,$A26,入库单!$Z$4:$Z$2503,"正常",入库单!$Y$4:$Y$2503,"待补价"))</f>
        <v/>
      </c>
      <c r="G26" s="26">
        <f>IF($A26="","",ROUND(SUMIFS(入库单!$P$4:$P$2503,入库单!$E$4:$E$2503,$A26,入库单!$Z$4:$Z$2503,"正常"),0))</f>
        <v/>
      </c>
      <c r="H26" s="26">
        <f>IF($A26="","",ROUND(SUMIFS(费用台账!$I$4:$I$503,费用台账!$C$4:$C$503,$A26,费用台账!$J$4:$J$503,"是",费用台账!$K$4:$K$503,"正常"),0))</f>
        <v/>
      </c>
      <c r="I26" s="37">
        <f>IF($A26="","",IF($G26=0,"",ROUND($H26/$G26,4)))</f>
        <v/>
      </c>
      <c r="J26" s="26">
        <f>IF($A26="","",ROUND(SUMIFS(入库单!$U$4:$U$2503,入库单!$E$4:$E$2503,$A26,入库单!$Z$4:$Z$2503,"正常"),0))</f>
        <v/>
      </c>
      <c r="K26" s="26">
        <f>IF($A26="","",ROUND($H26-$J26,0))</f>
        <v/>
      </c>
      <c r="L26" s="26">
        <f>IF($A26="","",ROUND(SUMIFS(入库单!$V$4:$V$2503,入库单!$E$4:$E$2503,$A26,入库单!$Z$4:$Z$2503,"正常"),0))</f>
        <v/>
      </c>
      <c r="M26" s="24">
        <f>IF($A26="","",IF($E26=0,"※这个批次号在入库单里找不到",IF(AND($H26&gt;0,$F26&gt;0),"△有 "&amp;$F26&amp;" 行没单价，运费整批挂账没摊 —— 补完价自动摊",IF($H26=0,"△还没录运费（27 个柜里只有 2 个录了，其余的要补）",IF(ABS($K26)&gt;1,"※摊完还差 "&amp;TEXT($K26,"#,##0")&amp;" 先令，查一下","已摊平")))))</f>
        <v/>
      </c>
    </row>
    <row r="27">
      <c r="A27" s="24" t="inlineStr">
        <is>
          <t>DRYU9381826-202605</t>
        </is>
      </c>
      <c r="B27" s="17" t="inlineStr">
        <is>
          <t>DRYU9381826</t>
        </is>
      </c>
      <c r="C27" s="30" t="n">
        <v>46158</v>
      </c>
      <c r="D27" s="24">
        <f>IF($A27="","",IFERROR(LOOKUP(2,1/(入库单!$E$4:$E$2503=$A27),入库单!$D$4:$D$2503),""))</f>
        <v/>
      </c>
      <c r="E27" s="28">
        <f>IF($A27="","",COUNTIFS(入库单!$E$4:$E$2503,$A27,入库单!$Z$4:$Z$2503,"正常"))</f>
        <v/>
      </c>
      <c r="F27" s="28">
        <f>IF($A27="","",COUNTIFS(入库单!$E$4:$E$2503,$A27,入库单!$Z$4:$Z$2503,"正常",入库单!$Y$4:$Y$2503,"待补价"))</f>
        <v/>
      </c>
      <c r="G27" s="26">
        <f>IF($A27="","",ROUND(SUMIFS(入库单!$P$4:$P$2503,入库单!$E$4:$E$2503,$A27,入库单!$Z$4:$Z$2503,"正常"),0))</f>
        <v/>
      </c>
      <c r="H27" s="26">
        <f>IF($A27="","",ROUND(SUMIFS(费用台账!$I$4:$I$503,费用台账!$C$4:$C$503,$A27,费用台账!$J$4:$J$503,"是",费用台账!$K$4:$K$503,"正常"),0))</f>
        <v/>
      </c>
      <c r="I27" s="37">
        <f>IF($A27="","",IF($G27=0,"",ROUND($H27/$G27,4)))</f>
        <v/>
      </c>
      <c r="J27" s="26">
        <f>IF($A27="","",ROUND(SUMIFS(入库单!$U$4:$U$2503,入库单!$E$4:$E$2503,$A27,入库单!$Z$4:$Z$2503,"正常"),0))</f>
        <v/>
      </c>
      <c r="K27" s="26">
        <f>IF($A27="","",ROUND($H27-$J27,0))</f>
        <v/>
      </c>
      <c r="L27" s="26">
        <f>IF($A27="","",ROUND(SUMIFS(入库单!$V$4:$V$2503,入库单!$E$4:$E$2503,$A27,入库单!$Z$4:$Z$2503,"正常"),0))</f>
        <v/>
      </c>
      <c r="M27" s="24">
        <f>IF($A27="","",IF($E27=0,"※这个批次号在入库单里找不到",IF(AND($H27&gt;0,$F27&gt;0),"△有 "&amp;$F27&amp;" 行没单价，运费整批挂账没摊 —— 补完价自动摊",IF($H27=0,"△还没录运费（27 个柜里只有 2 个录了，其余的要补）",IF(ABS($K27)&gt;1,"※摊完还差 "&amp;TEXT($K27,"#,##0")&amp;" 先令，查一下","已摊平")))))</f>
        <v/>
      </c>
    </row>
    <row r="28">
      <c r="A28" s="24" t="inlineStr">
        <is>
          <t>TEMU2732393-202605</t>
        </is>
      </c>
      <c r="B28" s="17" t="inlineStr">
        <is>
          <t>TEMU2732393</t>
        </is>
      </c>
      <c r="C28" s="30" t="n">
        <v>46165</v>
      </c>
      <c r="D28" s="24">
        <f>IF($A28="","",IFERROR(LOOKUP(2,1/(入库单!$E$4:$E$2503=$A28),入库单!$D$4:$D$2503),""))</f>
        <v/>
      </c>
      <c r="E28" s="28">
        <f>IF($A28="","",COUNTIFS(入库单!$E$4:$E$2503,$A28,入库单!$Z$4:$Z$2503,"正常"))</f>
        <v/>
      </c>
      <c r="F28" s="28">
        <f>IF($A28="","",COUNTIFS(入库单!$E$4:$E$2503,$A28,入库单!$Z$4:$Z$2503,"正常",入库单!$Y$4:$Y$2503,"待补价"))</f>
        <v/>
      </c>
      <c r="G28" s="26">
        <f>IF($A28="","",ROUND(SUMIFS(入库单!$P$4:$P$2503,入库单!$E$4:$E$2503,$A28,入库单!$Z$4:$Z$2503,"正常"),0))</f>
        <v/>
      </c>
      <c r="H28" s="26">
        <f>IF($A28="","",ROUND(SUMIFS(费用台账!$I$4:$I$503,费用台账!$C$4:$C$503,$A28,费用台账!$J$4:$J$503,"是",费用台账!$K$4:$K$503,"正常"),0))</f>
        <v/>
      </c>
      <c r="I28" s="37">
        <f>IF($A28="","",IF($G28=0,"",ROUND($H28/$G28,4)))</f>
        <v/>
      </c>
      <c r="J28" s="26">
        <f>IF($A28="","",ROUND(SUMIFS(入库单!$U$4:$U$2503,入库单!$E$4:$E$2503,$A28,入库单!$Z$4:$Z$2503,"正常"),0))</f>
        <v/>
      </c>
      <c r="K28" s="26">
        <f>IF($A28="","",ROUND($H28-$J28,0))</f>
        <v/>
      </c>
      <c r="L28" s="26">
        <f>IF($A28="","",ROUND(SUMIFS(入库单!$V$4:$V$2503,入库单!$E$4:$E$2503,$A28,入库单!$Z$4:$Z$2503,"正常"),0))</f>
        <v/>
      </c>
      <c r="M28" s="24">
        <f>IF($A28="","",IF($E28=0,"※这个批次号在入库单里找不到",IF(AND($H28&gt;0,$F28&gt;0),"△有 "&amp;$F28&amp;" 行没单价，运费整批挂账没摊 —— 补完价自动摊",IF($H28=0,"△还没录运费（27 个柜里只有 2 个录了，其余的要补）",IF(ABS($K28)&gt;1,"※摊完还差 "&amp;TEXT($K28,"#,##0")&amp;" 先令，查一下","已摊平")))))</f>
        <v/>
      </c>
    </row>
    <row r="29">
      <c r="A29" s="24" t="inlineStr">
        <is>
          <t>WSKU6723980-202606</t>
        </is>
      </c>
      <c r="B29" s="17" t="inlineStr">
        <is>
          <t>WSKU6723980</t>
        </is>
      </c>
      <c r="C29" s="30" t="n">
        <v>46176</v>
      </c>
      <c r="D29" s="24">
        <f>IF($A29="","",IFERROR(LOOKUP(2,1/(入库单!$E$4:$E$2503=$A29),入库单!$D$4:$D$2503),""))</f>
        <v/>
      </c>
      <c r="E29" s="28">
        <f>IF($A29="","",COUNTIFS(入库单!$E$4:$E$2503,$A29,入库单!$Z$4:$Z$2503,"正常"))</f>
        <v/>
      </c>
      <c r="F29" s="28">
        <f>IF($A29="","",COUNTIFS(入库单!$E$4:$E$2503,$A29,入库单!$Z$4:$Z$2503,"正常",入库单!$Y$4:$Y$2503,"待补价"))</f>
        <v/>
      </c>
      <c r="G29" s="26">
        <f>IF($A29="","",ROUND(SUMIFS(入库单!$P$4:$P$2503,入库单!$E$4:$E$2503,$A29,入库单!$Z$4:$Z$2503,"正常"),0))</f>
        <v/>
      </c>
      <c r="H29" s="26">
        <f>IF($A29="","",ROUND(SUMIFS(费用台账!$I$4:$I$503,费用台账!$C$4:$C$503,$A29,费用台账!$J$4:$J$503,"是",费用台账!$K$4:$K$503,"正常"),0))</f>
        <v/>
      </c>
      <c r="I29" s="37">
        <f>IF($A29="","",IF($G29=0,"",ROUND($H29/$G29,4)))</f>
        <v/>
      </c>
      <c r="J29" s="26">
        <f>IF($A29="","",ROUND(SUMIFS(入库单!$U$4:$U$2503,入库单!$E$4:$E$2503,$A29,入库单!$Z$4:$Z$2503,"正常"),0))</f>
        <v/>
      </c>
      <c r="K29" s="26">
        <f>IF($A29="","",ROUND($H29-$J29,0))</f>
        <v/>
      </c>
      <c r="L29" s="26">
        <f>IF($A29="","",ROUND(SUMIFS(入库单!$V$4:$V$2503,入库单!$E$4:$E$2503,$A29,入库单!$Z$4:$Z$2503,"正常"),0))</f>
        <v/>
      </c>
      <c r="M29" s="24">
        <f>IF($A29="","",IF($E29=0,"※这个批次号在入库单里找不到",IF(AND($H29&gt;0,$F29&gt;0),"△有 "&amp;$F29&amp;" 行没单价，运费整批挂账没摊 —— 补完价自动摊",IF($H29=0,"△还没录运费（27 个柜里只有 2 个录了，其余的要补）",IF(ABS($K29)&gt;1,"※摊完还差 "&amp;TEXT($K29,"#,##0")&amp;" 先令，查一下","已摊平")))))</f>
        <v/>
      </c>
    </row>
    <row r="30">
      <c r="A30" s="24" t="inlineStr">
        <is>
          <t>WSKU6981795-202606</t>
        </is>
      </c>
      <c r="B30" s="17" t="inlineStr">
        <is>
          <t>WSKU6981795</t>
        </is>
      </c>
      <c r="C30" s="30" t="n">
        <v>46176</v>
      </c>
      <c r="D30" s="24">
        <f>IF($A30="","",IFERROR(LOOKUP(2,1/(入库单!$E$4:$E$2503=$A30),入库单!$D$4:$D$2503),""))</f>
        <v/>
      </c>
      <c r="E30" s="28">
        <f>IF($A30="","",COUNTIFS(入库单!$E$4:$E$2503,$A30,入库单!$Z$4:$Z$2503,"正常"))</f>
        <v/>
      </c>
      <c r="F30" s="28">
        <f>IF($A30="","",COUNTIFS(入库单!$E$4:$E$2503,$A30,入库单!$Z$4:$Z$2503,"正常",入库单!$Y$4:$Y$2503,"待补价"))</f>
        <v/>
      </c>
      <c r="G30" s="26">
        <f>IF($A30="","",ROUND(SUMIFS(入库单!$P$4:$P$2503,入库单!$E$4:$E$2503,$A30,入库单!$Z$4:$Z$2503,"正常"),0))</f>
        <v/>
      </c>
      <c r="H30" s="26">
        <f>IF($A30="","",ROUND(SUMIFS(费用台账!$I$4:$I$503,费用台账!$C$4:$C$503,$A30,费用台账!$J$4:$J$503,"是",费用台账!$K$4:$K$503,"正常"),0))</f>
        <v/>
      </c>
      <c r="I30" s="37">
        <f>IF($A30="","",IF($G30=0,"",ROUND($H30/$G30,4)))</f>
        <v/>
      </c>
      <c r="J30" s="26">
        <f>IF($A30="","",ROUND(SUMIFS(入库单!$U$4:$U$2503,入库单!$E$4:$E$2503,$A30,入库单!$Z$4:$Z$2503,"正常"),0))</f>
        <v/>
      </c>
      <c r="K30" s="26">
        <f>IF($A30="","",ROUND($H30-$J30,0))</f>
        <v/>
      </c>
      <c r="L30" s="26">
        <f>IF($A30="","",ROUND(SUMIFS(入库单!$V$4:$V$2503,入库单!$E$4:$E$2503,$A30,入库单!$Z$4:$Z$2503,"正常"),0))</f>
        <v/>
      </c>
      <c r="M30" s="24">
        <f>IF($A30="","",IF($E30=0,"※这个批次号在入库单里找不到",IF(AND($H30&gt;0,$F30&gt;0),"△有 "&amp;$F30&amp;" 行没单价，运费整批挂账没摊 —— 补完价自动摊",IF($H30=0,"△还没录运费（27 个柜里只有 2 个录了，其余的要补）",IF(ABS($K30)&gt;1,"※摊完还差 "&amp;TEXT($K30,"#,##0")&amp;" 先令，查一下","已摊平")))))</f>
        <v/>
      </c>
    </row>
    <row r="31">
      <c r="A31" s="24" t="inlineStr">
        <is>
          <t>MSKV4646463-202608</t>
        </is>
      </c>
      <c r="B31" s="17" t="inlineStr">
        <is>
          <t>MSKV4646463</t>
        </is>
      </c>
      <c r="C31" s="30" t="n">
        <v>46255</v>
      </c>
      <c r="D31" s="24">
        <f>IF($A31="","",IFERROR(LOOKUP(2,1/(入库单!$E$4:$E$2503=$A31),入库单!$D$4:$D$2503),""))</f>
        <v/>
      </c>
      <c r="E31" s="28">
        <f>IF($A31="","",COUNTIFS(入库单!$E$4:$E$2503,$A31,入库单!$Z$4:$Z$2503,"正常"))</f>
        <v/>
      </c>
      <c r="F31" s="28">
        <f>IF($A31="","",COUNTIFS(入库单!$E$4:$E$2503,$A31,入库单!$Z$4:$Z$2503,"正常",入库单!$Y$4:$Y$2503,"待补价"))</f>
        <v/>
      </c>
      <c r="G31" s="26">
        <f>IF($A31="","",ROUND(SUMIFS(入库单!$P$4:$P$2503,入库单!$E$4:$E$2503,$A31,入库单!$Z$4:$Z$2503,"正常"),0))</f>
        <v/>
      </c>
      <c r="H31" s="26">
        <f>IF($A31="","",ROUND(SUMIFS(费用台账!$I$4:$I$503,费用台账!$C$4:$C$503,$A31,费用台账!$J$4:$J$503,"是",费用台账!$K$4:$K$503,"正常"),0))</f>
        <v/>
      </c>
      <c r="I31" s="37">
        <f>IF($A31="","",IF($G31=0,"",ROUND($H31/$G31,4)))</f>
        <v/>
      </c>
      <c r="J31" s="26">
        <f>IF($A31="","",ROUND(SUMIFS(入库单!$U$4:$U$2503,入库单!$E$4:$E$2503,$A31,入库单!$Z$4:$Z$2503,"正常"),0))</f>
        <v/>
      </c>
      <c r="K31" s="26">
        <f>IF($A31="","",ROUND($H31-$J31,0))</f>
        <v/>
      </c>
      <c r="L31" s="26">
        <f>IF($A31="","",ROUND(SUMIFS(入库单!$V$4:$V$2503,入库单!$E$4:$E$2503,$A31,入库单!$Z$4:$Z$2503,"正常"),0))</f>
        <v/>
      </c>
      <c r="M31" s="24">
        <f>IF($A31="","",IF($E31=0,"※这个批次号在入库单里找不到",IF(AND($H31&gt;0,$F31&gt;0),"△有 "&amp;$F31&amp;" 行没单价，运费整批挂账没摊 —— 补完价自动摊",IF($H31=0,"△还没录运费（27 个柜里只有 2 个录了，其余的要补）",IF(ABS($K31)&gt;1,"※摊完还差 "&amp;TEXT($K31,"#,##0")&amp;" 先令，查一下","已摊平")))))</f>
        <v/>
      </c>
    </row>
    <row r="32">
      <c r="A32" s="24" t="n"/>
      <c r="B32" s="17" t="n"/>
      <c r="C32" s="30" t="n"/>
      <c r="D32" s="24">
        <f>IF($A32="","",IFERROR(LOOKUP(2,1/(入库单!$E$4:$E$2503=$A32),入库单!$D$4:$D$2503),""))</f>
        <v/>
      </c>
      <c r="E32" s="28">
        <f>IF($A32="","",COUNTIFS(入库单!$E$4:$E$2503,$A32,入库单!$Z$4:$Z$2503,"正常"))</f>
        <v/>
      </c>
      <c r="F32" s="28">
        <f>IF($A32="","",COUNTIFS(入库单!$E$4:$E$2503,$A32,入库单!$Z$4:$Z$2503,"正常",入库单!$Y$4:$Y$2503,"待补价"))</f>
        <v/>
      </c>
      <c r="G32" s="26">
        <f>IF($A32="","",ROUND(SUMIFS(入库单!$P$4:$P$2503,入库单!$E$4:$E$2503,$A32,入库单!$Z$4:$Z$2503,"正常"),0))</f>
        <v/>
      </c>
      <c r="H32" s="26">
        <f>IF($A32="","",ROUND(SUMIFS(费用台账!$I$4:$I$503,费用台账!$C$4:$C$503,$A32,费用台账!$J$4:$J$503,"是",费用台账!$K$4:$K$503,"正常"),0))</f>
        <v/>
      </c>
      <c r="I32" s="37">
        <f>IF($A32="","",IF($G32=0,"",ROUND($H32/$G32,4)))</f>
        <v/>
      </c>
      <c r="J32" s="26">
        <f>IF($A32="","",ROUND(SUMIFS(入库单!$U$4:$U$2503,入库单!$E$4:$E$2503,$A32,入库单!$Z$4:$Z$2503,"正常"),0))</f>
        <v/>
      </c>
      <c r="K32" s="26">
        <f>IF($A32="","",ROUND($H32-$J32,0))</f>
        <v/>
      </c>
      <c r="L32" s="26">
        <f>IF($A32="","",ROUND(SUMIFS(入库单!$V$4:$V$2503,入库单!$E$4:$E$2503,$A32,入库单!$Z$4:$Z$2503,"正常"),0))</f>
        <v/>
      </c>
      <c r="M32" s="24">
        <f>IF($A32="","",IF($E32=0,"※这个批次号在入库单里找不到",IF(AND($H32&gt;0,$F32&gt;0),"△有 "&amp;$F32&amp;" 行没单价，运费整批挂账没摊 —— 补完价自动摊",IF($H32=0,"△还没录运费（27 个柜里只有 2 个录了，其余的要补）",IF(ABS($K32)&gt;1,"※摊完还差 "&amp;TEXT($K32,"#,##0")&amp;" 先令，查一下","已摊平")))))</f>
        <v/>
      </c>
    </row>
    <row r="33">
      <c r="A33" s="24" t="n"/>
      <c r="B33" s="17" t="n"/>
      <c r="C33" s="30" t="n"/>
      <c r="D33" s="24">
        <f>IF($A33="","",IFERROR(LOOKUP(2,1/(入库单!$E$4:$E$2503=$A33),入库单!$D$4:$D$2503),""))</f>
        <v/>
      </c>
      <c r="E33" s="28">
        <f>IF($A33="","",COUNTIFS(入库单!$E$4:$E$2503,$A33,入库单!$Z$4:$Z$2503,"正常"))</f>
        <v/>
      </c>
      <c r="F33" s="28">
        <f>IF($A33="","",COUNTIFS(入库单!$E$4:$E$2503,$A33,入库单!$Z$4:$Z$2503,"正常",入库单!$Y$4:$Y$2503,"待补价"))</f>
        <v/>
      </c>
      <c r="G33" s="26">
        <f>IF($A33="","",ROUND(SUMIFS(入库单!$P$4:$P$2503,入库单!$E$4:$E$2503,$A33,入库单!$Z$4:$Z$2503,"正常"),0))</f>
        <v/>
      </c>
      <c r="H33" s="26">
        <f>IF($A33="","",ROUND(SUMIFS(费用台账!$I$4:$I$503,费用台账!$C$4:$C$503,$A33,费用台账!$J$4:$J$503,"是",费用台账!$K$4:$K$503,"正常"),0))</f>
        <v/>
      </c>
      <c r="I33" s="37">
        <f>IF($A33="","",IF($G33=0,"",ROUND($H33/$G33,4)))</f>
        <v/>
      </c>
      <c r="J33" s="26">
        <f>IF($A33="","",ROUND(SUMIFS(入库单!$U$4:$U$2503,入库单!$E$4:$E$2503,$A33,入库单!$Z$4:$Z$2503,"正常"),0))</f>
        <v/>
      </c>
      <c r="K33" s="26">
        <f>IF($A33="","",ROUND($H33-$J33,0))</f>
        <v/>
      </c>
      <c r="L33" s="26">
        <f>IF($A33="","",ROUND(SUMIFS(入库单!$V$4:$V$2503,入库单!$E$4:$E$2503,$A33,入库单!$Z$4:$Z$2503,"正常"),0))</f>
        <v/>
      </c>
      <c r="M33" s="24">
        <f>IF($A33="","",IF($E33=0,"※这个批次号在入库单里找不到",IF(AND($H33&gt;0,$F33&gt;0),"△有 "&amp;$F33&amp;" 行没单价，运费整批挂账没摊 —— 补完价自动摊",IF($H33=0,"△还没录运费（27 个柜里只有 2 个录了，其余的要补）",IF(ABS($K33)&gt;1,"※摊完还差 "&amp;TEXT($K33,"#,##0")&amp;" 先令，查一下","已摊平")))))</f>
        <v/>
      </c>
    </row>
    <row r="34">
      <c r="A34" s="24" t="n"/>
      <c r="B34" s="17" t="n"/>
      <c r="C34" s="30" t="n"/>
      <c r="D34" s="24">
        <f>IF($A34="","",IFERROR(LOOKUP(2,1/(入库单!$E$4:$E$2503=$A34),入库单!$D$4:$D$2503),""))</f>
        <v/>
      </c>
      <c r="E34" s="28">
        <f>IF($A34="","",COUNTIFS(入库单!$E$4:$E$2503,$A34,入库单!$Z$4:$Z$2503,"正常"))</f>
        <v/>
      </c>
      <c r="F34" s="28">
        <f>IF($A34="","",COUNTIFS(入库单!$E$4:$E$2503,$A34,入库单!$Z$4:$Z$2503,"正常",入库单!$Y$4:$Y$2503,"待补价"))</f>
        <v/>
      </c>
      <c r="G34" s="26">
        <f>IF($A34="","",ROUND(SUMIFS(入库单!$P$4:$P$2503,入库单!$E$4:$E$2503,$A34,入库单!$Z$4:$Z$2503,"正常"),0))</f>
        <v/>
      </c>
      <c r="H34" s="26">
        <f>IF($A34="","",ROUND(SUMIFS(费用台账!$I$4:$I$503,费用台账!$C$4:$C$503,$A34,费用台账!$J$4:$J$503,"是",费用台账!$K$4:$K$503,"正常"),0))</f>
        <v/>
      </c>
      <c r="I34" s="37">
        <f>IF($A34="","",IF($G34=0,"",ROUND($H34/$G34,4)))</f>
        <v/>
      </c>
      <c r="J34" s="26">
        <f>IF($A34="","",ROUND(SUMIFS(入库单!$U$4:$U$2503,入库单!$E$4:$E$2503,$A34,入库单!$Z$4:$Z$2503,"正常"),0))</f>
        <v/>
      </c>
      <c r="K34" s="26">
        <f>IF($A34="","",ROUND($H34-$J34,0))</f>
        <v/>
      </c>
      <c r="L34" s="26">
        <f>IF($A34="","",ROUND(SUMIFS(入库单!$V$4:$V$2503,入库单!$E$4:$E$2503,$A34,入库单!$Z$4:$Z$2503,"正常"),0))</f>
        <v/>
      </c>
      <c r="M34" s="24">
        <f>IF($A34="","",IF($E34=0,"※这个批次号在入库单里找不到",IF(AND($H34&gt;0,$F34&gt;0),"△有 "&amp;$F34&amp;" 行没单价，运费整批挂账没摊 —— 补完价自动摊",IF($H34=0,"△还没录运费（27 个柜里只有 2 个录了，其余的要补）",IF(ABS($K34)&gt;1,"※摊完还差 "&amp;TEXT($K34,"#,##0")&amp;" 先令，查一下","已摊平")))))</f>
        <v/>
      </c>
    </row>
    <row r="35">
      <c r="A35" s="24" t="n"/>
      <c r="B35" s="17" t="n"/>
      <c r="C35" s="30" t="n"/>
      <c r="D35" s="24">
        <f>IF($A35="","",IFERROR(LOOKUP(2,1/(入库单!$E$4:$E$2503=$A35),入库单!$D$4:$D$2503),""))</f>
        <v/>
      </c>
      <c r="E35" s="28">
        <f>IF($A35="","",COUNTIFS(入库单!$E$4:$E$2503,$A35,入库单!$Z$4:$Z$2503,"正常"))</f>
        <v/>
      </c>
      <c r="F35" s="28">
        <f>IF($A35="","",COUNTIFS(入库单!$E$4:$E$2503,$A35,入库单!$Z$4:$Z$2503,"正常",入库单!$Y$4:$Y$2503,"待补价"))</f>
        <v/>
      </c>
      <c r="G35" s="26">
        <f>IF($A35="","",ROUND(SUMIFS(入库单!$P$4:$P$2503,入库单!$E$4:$E$2503,$A35,入库单!$Z$4:$Z$2503,"正常"),0))</f>
        <v/>
      </c>
      <c r="H35" s="26">
        <f>IF($A35="","",ROUND(SUMIFS(费用台账!$I$4:$I$503,费用台账!$C$4:$C$503,$A35,费用台账!$J$4:$J$503,"是",费用台账!$K$4:$K$503,"正常"),0))</f>
        <v/>
      </c>
      <c r="I35" s="37">
        <f>IF($A35="","",IF($G35=0,"",ROUND($H35/$G35,4)))</f>
        <v/>
      </c>
      <c r="J35" s="26">
        <f>IF($A35="","",ROUND(SUMIFS(入库单!$U$4:$U$2503,入库单!$E$4:$E$2503,$A35,入库单!$Z$4:$Z$2503,"正常"),0))</f>
        <v/>
      </c>
      <c r="K35" s="26">
        <f>IF($A35="","",ROUND($H35-$J35,0))</f>
        <v/>
      </c>
      <c r="L35" s="26">
        <f>IF($A35="","",ROUND(SUMIFS(入库单!$V$4:$V$2503,入库单!$E$4:$E$2503,$A35,入库单!$Z$4:$Z$2503,"正常"),0))</f>
        <v/>
      </c>
      <c r="M35" s="24">
        <f>IF($A35="","",IF($E35=0,"※这个批次号在入库单里找不到",IF(AND($H35&gt;0,$F35&gt;0),"△有 "&amp;$F35&amp;" 行没单价，运费整批挂账没摊 —— 补完价自动摊",IF($H35=0,"△还没录运费（27 个柜里只有 2 个录了，其余的要补）",IF(ABS($K35)&gt;1,"※摊完还差 "&amp;TEXT($K35,"#,##0")&amp;" 先令，查一下","已摊平")))))</f>
        <v/>
      </c>
    </row>
    <row r="36">
      <c r="A36" s="24" t="n"/>
      <c r="B36" s="17" t="n"/>
      <c r="C36" s="30" t="n"/>
      <c r="D36" s="24">
        <f>IF($A36="","",IFERROR(LOOKUP(2,1/(入库单!$E$4:$E$2503=$A36),入库单!$D$4:$D$2503),""))</f>
        <v/>
      </c>
      <c r="E36" s="28">
        <f>IF($A36="","",COUNTIFS(入库单!$E$4:$E$2503,$A36,入库单!$Z$4:$Z$2503,"正常"))</f>
        <v/>
      </c>
      <c r="F36" s="28">
        <f>IF($A36="","",COUNTIFS(入库单!$E$4:$E$2503,$A36,入库单!$Z$4:$Z$2503,"正常",入库单!$Y$4:$Y$2503,"待补价"))</f>
        <v/>
      </c>
      <c r="G36" s="26">
        <f>IF($A36="","",ROUND(SUMIFS(入库单!$P$4:$P$2503,入库单!$E$4:$E$2503,$A36,入库单!$Z$4:$Z$2503,"正常"),0))</f>
        <v/>
      </c>
      <c r="H36" s="26">
        <f>IF($A36="","",ROUND(SUMIFS(费用台账!$I$4:$I$503,费用台账!$C$4:$C$503,$A36,费用台账!$J$4:$J$503,"是",费用台账!$K$4:$K$503,"正常"),0))</f>
        <v/>
      </c>
      <c r="I36" s="37">
        <f>IF($A36="","",IF($G36=0,"",ROUND($H36/$G36,4)))</f>
        <v/>
      </c>
      <c r="J36" s="26">
        <f>IF($A36="","",ROUND(SUMIFS(入库单!$U$4:$U$2503,入库单!$E$4:$E$2503,$A36,入库单!$Z$4:$Z$2503,"正常"),0))</f>
        <v/>
      </c>
      <c r="K36" s="26">
        <f>IF($A36="","",ROUND($H36-$J36,0))</f>
        <v/>
      </c>
      <c r="L36" s="26">
        <f>IF($A36="","",ROUND(SUMIFS(入库单!$V$4:$V$2503,入库单!$E$4:$E$2503,$A36,入库单!$Z$4:$Z$2503,"正常"),0))</f>
        <v/>
      </c>
      <c r="M36" s="24">
        <f>IF($A36="","",IF($E36=0,"※这个批次号在入库单里找不到",IF(AND($H36&gt;0,$F36&gt;0),"△有 "&amp;$F36&amp;" 行没单价，运费整批挂账没摊 —— 补完价自动摊",IF($H36=0,"△还没录运费（27 个柜里只有 2 个录了，其余的要补）",IF(ABS($K36)&gt;1,"※摊完还差 "&amp;TEXT($K36,"#,##0")&amp;" 先令，查一下","已摊平")))))</f>
        <v/>
      </c>
    </row>
    <row r="37">
      <c r="A37" s="24" t="n"/>
      <c r="B37" s="17" t="n"/>
      <c r="C37" s="30" t="n"/>
      <c r="D37" s="24">
        <f>IF($A37="","",IFERROR(LOOKUP(2,1/(入库单!$E$4:$E$2503=$A37),入库单!$D$4:$D$2503),""))</f>
        <v/>
      </c>
      <c r="E37" s="28">
        <f>IF($A37="","",COUNTIFS(入库单!$E$4:$E$2503,$A37,入库单!$Z$4:$Z$2503,"正常"))</f>
        <v/>
      </c>
      <c r="F37" s="28">
        <f>IF($A37="","",COUNTIFS(入库单!$E$4:$E$2503,$A37,入库单!$Z$4:$Z$2503,"正常",入库单!$Y$4:$Y$2503,"待补价"))</f>
        <v/>
      </c>
      <c r="G37" s="26">
        <f>IF($A37="","",ROUND(SUMIFS(入库单!$P$4:$P$2503,入库单!$E$4:$E$2503,$A37,入库单!$Z$4:$Z$2503,"正常"),0))</f>
        <v/>
      </c>
      <c r="H37" s="26">
        <f>IF($A37="","",ROUND(SUMIFS(费用台账!$I$4:$I$503,费用台账!$C$4:$C$503,$A37,费用台账!$J$4:$J$503,"是",费用台账!$K$4:$K$503,"正常"),0))</f>
        <v/>
      </c>
      <c r="I37" s="37">
        <f>IF($A37="","",IF($G37=0,"",ROUND($H37/$G37,4)))</f>
        <v/>
      </c>
      <c r="J37" s="26">
        <f>IF($A37="","",ROUND(SUMIFS(入库单!$U$4:$U$2503,入库单!$E$4:$E$2503,$A37,入库单!$Z$4:$Z$2503,"正常"),0))</f>
        <v/>
      </c>
      <c r="K37" s="26">
        <f>IF($A37="","",ROUND($H37-$J37,0))</f>
        <v/>
      </c>
      <c r="L37" s="26">
        <f>IF($A37="","",ROUND(SUMIFS(入库单!$V$4:$V$2503,入库单!$E$4:$E$2503,$A37,入库单!$Z$4:$Z$2503,"正常"),0))</f>
        <v/>
      </c>
      <c r="M37" s="24">
        <f>IF($A37="","",IF($E37=0,"※这个批次号在入库单里找不到",IF(AND($H37&gt;0,$F37&gt;0),"△有 "&amp;$F37&amp;" 行没单价，运费整批挂账没摊 —— 补完价自动摊",IF($H37=0,"△还没录运费（27 个柜里只有 2 个录了，其余的要补）",IF(ABS($K37)&gt;1,"※摊完还差 "&amp;TEXT($K37,"#,##0")&amp;" 先令，查一下","已摊平")))))</f>
        <v/>
      </c>
    </row>
    <row r="38">
      <c r="A38" s="24" t="n"/>
      <c r="B38" s="17" t="n"/>
      <c r="C38" s="30" t="n"/>
      <c r="D38" s="24">
        <f>IF($A38="","",IFERROR(LOOKUP(2,1/(入库单!$E$4:$E$2503=$A38),入库单!$D$4:$D$2503),""))</f>
        <v/>
      </c>
      <c r="E38" s="28">
        <f>IF($A38="","",COUNTIFS(入库单!$E$4:$E$2503,$A38,入库单!$Z$4:$Z$2503,"正常"))</f>
        <v/>
      </c>
      <c r="F38" s="28">
        <f>IF($A38="","",COUNTIFS(入库单!$E$4:$E$2503,$A38,入库单!$Z$4:$Z$2503,"正常",入库单!$Y$4:$Y$2503,"待补价"))</f>
        <v/>
      </c>
      <c r="G38" s="26">
        <f>IF($A38="","",ROUND(SUMIFS(入库单!$P$4:$P$2503,入库单!$E$4:$E$2503,$A38,入库单!$Z$4:$Z$2503,"正常"),0))</f>
        <v/>
      </c>
      <c r="H38" s="26">
        <f>IF($A38="","",ROUND(SUMIFS(费用台账!$I$4:$I$503,费用台账!$C$4:$C$503,$A38,费用台账!$J$4:$J$503,"是",费用台账!$K$4:$K$503,"正常"),0))</f>
        <v/>
      </c>
      <c r="I38" s="37">
        <f>IF($A38="","",IF($G38=0,"",ROUND($H38/$G38,4)))</f>
        <v/>
      </c>
      <c r="J38" s="26">
        <f>IF($A38="","",ROUND(SUMIFS(入库单!$U$4:$U$2503,入库单!$E$4:$E$2503,$A38,入库单!$Z$4:$Z$2503,"正常"),0))</f>
        <v/>
      </c>
      <c r="K38" s="26">
        <f>IF($A38="","",ROUND($H38-$J38,0))</f>
        <v/>
      </c>
      <c r="L38" s="26">
        <f>IF($A38="","",ROUND(SUMIFS(入库单!$V$4:$V$2503,入库单!$E$4:$E$2503,$A38,入库单!$Z$4:$Z$2503,"正常"),0))</f>
        <v/>
      </c>
      <c r="M38" s="24">
        <f>IF($A38="","",IF($E38=0,"※这个批次号在入库单里找不到",IF(AND($H38&gt;0,$F38&gt;0),"△有 "&amp;$F38&amp;" 行没单价，运费整批挂账没摊 —— 补完价自动摊",IF($H38=0,"△还没录运费（27 个柜里只有 2 个录了，其余的要补）",IF(ABS($K38)&gt;1,"※摊完还差 "&amp;TEXT($K38,"#,##0")&amp;" 先令，查一下","已摊平")))))</f>
        <v/>
      </c>
    </row>
    <row r="39">
      <c r="A39" s="24" t="n"/>
      <c r="B39" s="17" t="n"/>
      <c r="C39" s="30" t="n"/>
      <c r="D39" s="24">
        <f>IF($A39="","",IFERROR(LOOKUP(2,1/(入库单!$E$4:$E$2503=$A39),入库单!$D$4:$D$2503),""))</f>
        <v/>
      </c>
      <c r="E39" s="28">
        <f>IF($A39="","",COUNTIFS(入库单!$E$4:$E$2503,$A39,入库单!$Z$4:$Z$2503,"正常"))</f>
        <v/>
      </c>
      <c r="F39" s="28">
        <f>IF($A39="","",COUNTIFS(入库单!$E$4:$E$2503,$A39,入库单!$Z$4:$Z$2503,"正常",入库单!$Y$4:$Y$2503,"待补价"))</f>
        <v/>
      </c>
      <c r="G39" s="26">
        <f>IF($A39="","",ROUND(SUMIFS(入库单!$P$4:$P$2503,入库单!$E$4:$E$2503,$A39,入库单!$Z$4:$Z$2503,"正常"),0))</f>
        <v/>
      </c>
      <c r="H39" s="26">
        <f>IF($A39="","",ROUND(SUMIFS(费用台账!$I$4:$I$503,费用台账!$C$4:$C$503,$A39,费用台账!$J$4:$J$503,"是",费用台账!$K$4:$K$503,"正常"),0))</f>
        <v/>
      </c>
      <c r="I39" s="37">
        <f>IF($A39="","",IF($G39=0,"",ROUND($H39/$G39,4)))</f>
        <v/>
      </c>
      <c r="J39" s="26">
        <f>IF($A39="","",ROUND(SUMIFS(入库单!$U$4:$U$2503,入库单!$E$4:$E$2503,$A39,入库单!$Z$4:$Z$2503,"正常"),0))</f>
        <v/>
      </c>
      <c r="K39" s="26">
        <f>IF($A39="","",ROUND($H39-$J39,0))</f>
        <v/>
      </c>
      <c r="L39" s="26">
        <f>IF($A39="","",ROUND(SUMIFS(入库单!$V$4:$V$2503,入库单!$E$4:$E$2503,$A39,入库单!$Z$4:$Z$2503,"正常"),0))</f>
        <v/>
      </c>
      <c r="M39" s="24">
        <f>IF($A39="","",IF($E39=0,"※这个批次号在入库单里找不到",IF(AND($H39&gt;0,$F39&gt;0),"△有 "&amp;$F39&amp;" 行没单价，运费整批挂账没摊 —— 补完价自动摊",IF($H39=0,"△还没录运费（27 个柜里只有 2 个录了，其余的要补）",IF(ABS($K39)&gt;1,"※摊完还差 "&amp;TEXT($K39,"#,##0")&amp;" 先令，查一下","已摊平")))))</f>
        <v/>
      </c>
    </row>
    <row r="40">
      <c r="A40" s="24" t="n"/>
      <c r="B40" s="17" t="n"/>
      <c r="C40" s="30" t="n"/>
      <c r="D40" s="24">
        <f>IF($A40="","",IFERROR(LOOKUP(2,1/(入库单!$E$4:$E$2503=$A40),入库单!$D$4:$D$2503),""))</f>
        <v/>
      </c>
      <c r="E40" s="28">
        <f>IF($A40="","",COUNTIFS(入库单!$E$4:$E$2503,$A40,入库单!$Z$4:$Z$2503,"正常"))</f>
        <v/>
      </c>
      <c r="F40" s="28">
        <f>IF($A40="","",COUNTIFS(入库单!$E$4:$E$2503,$A40,入库单!$Z$4:$Z$2503,"正常",入库单!$Y$4:$Y$2503,"待补价"))</f>
        <v/>
      </c>
      <c r="G40" s="26">
        <f>IF($A40="","",ROUND(SUMIFS(入库单!$P$4:$P$2503,入库单!$E$4:$E$2503,$A40,入库单!$Z$4:$Z$2503,"正常"),0))</f>
        <v/>
      </c>
      <c r="H40" s="26">
        <f>IF($A40="","",ROUND(SUMIFS(费用台账!$I$4:$I$503,费用台账!$C$4:$C$503,$A40,费用台账!$J$4:$J$503,"是",费用台账!$K$4:$K$503,"正常"),0))</f>
        <v/>
      </c>
      <c r="I40" s="37">
        <f>IF($A40="","",IF($G40=0,"",ROUND($H40/$G40,4)))</f>
        <v/>
      </c>
      <c r="J40" s="26">
        <f>IF($A40="","",ROUND(SUMIFS(入库单!$U$4:$U$2503,入库单!$E$4:$E$2503,$A40,入库单!$Z$4:$Z$2503,"正常"),0))</f>
        <v/>
      </c>
      <c r="K40" s="26">
        <f>IF($A40="","",ROUND($H40-$J40,0))</f>
        <v/>
      </c>
      <c r="L40" s="26">
        <f>IF($A40="","",ROUND(SUMIFS(入库单!$V$4:$V$2503,入库单!$E$4:$E$2503,$A40,入库单!$Z$4:$Z$2503,"正常"),0))</f>
        <v/>
      </c>
      <c r="M40" s="24">
        <f>IF($A40="","",IF($E40=0,"※这个批次号在入库单里找不到",IF(AND($H40&gt;0,$F40&gt;0),"△有 "&amp;$F40&amp;" 行没单价，运费整批挂账没摊 —— 补完价自动摊",IF($H40=0,"△还没录运费（27 个柜里只有 2 个录了，其余的要补）",IF(ABS($K40)&gt;1,"※摊完还差 "&amp;TEXT($K40,"#,##0")&amp;" 先令，查一下","已摊平")))))</f>
        <v/>
      </c>
    </row>
    <row r="41">
      <c r="A41" s="24" t="n"/>
      <c r="B41" s="17" t="n"/>
      <c r="C41" s="30" t="n"/>
      <c r="D41" s="24">
        <f>IF($A41="","",IFERROR(LOOKUP(2,1/(入库单!$E$4:$E$2503=$A41),入库单!$D$4:$D$2503),""))</f>
        <v/>
      </c>
      <c r="E41" s="28">
        <f>IF($A41="","",COUNTIFS(入库单!$E$4:$E$2503,$A41,入库单!$Z$4:$Z$2503,"正常"))</f>
        <v/>
      </c>
      <c r="F41" s="28">
        <f>IF($A41="","",COUNTIFS(入库单!$E$4:$E$2503,$A41,入库单!$Z$4:$Z$2503,"正常",入库单!$Y$4:$Y$2503,"待补价"))</f>
        <v/>
      </c>
      <c r="G41" s="26">
        <f>IF($A41="","",ROUND(SUMIFS(入库单!$P$4:$P$2503,入库单!$E$4:$E$2503,$A41,入库单!$Z$4:$Z$2503,"正常"),0))</f>
        <v/>
      </c>
      <c r="H41" s="26">
        <f>IF($A41="","",ROUND(SUMIFS(费用台账!$I$4:$I$503,费用台账!$C$4:$C$503,$A41,费用台账!$J$4:$J$503,"是",费用台账!$K$4:$K$503,"正常"),0))</f>
        <v/>
      </c>
      <c r="I41" s="37">
        <f>IF($A41="","",IF($G41=0,"",ROUND($H41/$G41,4)))</f>
        <v/>
      </c>
      <c r="J41" s="26">
        <f>IF($A41="","",ROUND(SUMIFS(入库单!$U$4:$U$2503,入库单!$E$4:$E$2503,$A41,入库单!$Z$4:$Z$2503,"正常"),0))</f>
        <v/>
      </c>
      <c r="K41" s="26">
        <f>IF($A41="","",ROUND($H41-$J41,0))</f>
        <v/>
      </c>
      <c r="L41" s="26">
        <f>IF($A41="","",ROUND(SUMIFS(入库单!$V$4:$V$2503,入库单!$E$4:$E$2503,$A41,入库单!$Z$4:$Z$2503,"正常"),0))</f>
        <v/>
      </c>
      <c r="M41" s="24">
        <f>IF($A41="","",IF($E41=0,"※这个批次号在入库单里找不到",IF(AND($H41&gt;0,$F41&gt;0),"△有 "&amp;$F41&amp;" 行没单价，运费整批挂账没摊 —— 补完价自动摊",IF($H41=0,"△还没录运费（27 个柜里只有 2 个录了，其余的要补）",IF(ABS($K41)&gt;1,"※摊完还差 "&amp;TEXT($K41,"#,##0")&amp;" 先令，查一下","已摊平")))))</f>
        <v/>
      </c>
    </row>
    <row r="42">
      <c r="A42" s="24" t="n"/>
      <c r="B42" s="17" t="n"/>
      <c r="C42" s="30" t="n"/>
      <c r="D42" s="24">
        <f>IF($A42="","",IFERROR(LOOKUP(2,1/(入库单!$E$4:$E$2503=$A42),入库单!$D$4:$D$2503),""))</f>
        <v/>
      </c>
      <c r="E42" s="28">
        <f>IF($A42="","",COUNTIFS(入库单!$E$4:$E$2503,$A42,入库单!$Z$4:$Z$2503,"正常"))</f>
        <v/>
      </c>
      <c r="F42" s="28">
        <f>IF($A42="","",COUNTIFS(入库单!$E$4:$E$2503,$A42,入库单!$Z$4:$Z$2503,"正常",入库单!$Y$4:$Y$2503,"待补价"))</f>
        <v/>
      </c>
      <c r="G42" s="26">
        <f>IF($A42="","",ROUND(SUMIFS(入库单!$P$4:$P$2503,入库单!$E$4:$E$2503,$A42,入库单!$Z$4:$Z$2503,"正常"),0))</f>
        <v/>
      </c>
      <c r="H42" s="26">
        <f>IF($A42="","",ROUND(SUMIFS(费用台账!$I$4:$I$503,费用台账!$C$4:$C$503,$A42,费用台账!$J$4:$J$503,"是",费用台账!$K$4:$K$503,"正常"),0))</f>
        <v/>
      </c>
      <c r="I42" s="37">
        <f>IF($A42="","",IF($G42=0,"",ROUND($H42/$G42,4)))</f>
        <v/>
      </c>
      <c r="J42" s="26">
        <f>IF($A42="","",ROUND(SUMIFS(入库单!$U$4:$U$2503,入库单!$E$4:$E$2503,$A42,入库单!$Z$4:$Z$2503,"正常"),0))</f>
        <v/>
      </c>
      <c r="K42" s="26">
        <f>IF($A42="","",ROUND($H42-$J42,0))</f>
        <v/>
      </c>
      <c r="L42" s="26">
        <f>IF($A42="","",ROUND(SUMIFS(入库单!$V$4:$V$2503,入库单!$E$4:$E$2503,$A42,入库单!$Z$4:$Z$2503,"正常"),0))</f>
        <v/>
      </c>
      <c r="M42" s="24">
        <f>IF($A42="","",IF($E42=0,"※这个批次号在入库单里找不到",IF(AND($H42&gt;0,$F42&gt;0),"△有 "&amp;$F42&amp;" 行没单价，运费整批挂账没摊 —— 补完价自动摊",IF($H42=0,"△还没录运费（27 个柜里只有 2 个录了，其余的要补）",IF(ABS($K42)&gt;1,"※摊完还差 "&amp;TEXT($K42,"#,##0")&amp;" 先令，查一下","已摊平")))))</f>
        <v/>
      </c>
    </row>
    <row r="43">
      <c r="A43" s="24" t="n"/>
      <c r="B43" s="17" t="n"/>
      <c r="C43" s="30" t="n"/>
      <c r="D43" s="24">
        <f>IF($A43="","",IFERROR(LOOKUP(2,1/(入库单!$E$4:$E$2503=$A43),入库单!$D$4:$D$2503),""))</f>
        <v/>
      </c>
      <c r="E43" s="28">
        <f>IF($A43="","",COUNTIFS(入库单!$E$4:$E$2503,$A43,入库单!$Z$4:$Z$2503,"正常"))</f>
        <v/>
      </c>
      <c r="F43" s="28">
        <f>IF($A43="","",COUNTIFS(入库单!$E$4:$E$2503,$A43,入库单!$Z$4:$Z$2503,"正常",入库单!$Y$4:$Y$2503,"待补价"))</f>
        <v/>
      </c>
      <c r="G43" s="26">
        <f>IF($A43="","",ROUND(SUMIFS(入库单!$P$4:$P$2503,入库单!$E$4:$E$2503,$A43,入库单!$Z$4:$Z$2503,"正常"),0))</f>
        <v/>
      </c>
      <c r="H43" s="26">
        <f>IF($A43="","",ROUND(SUMIFS(费用台账!$I$4:$I$503,费用台账!$C$4:$C$503,$A43,费用台账!$J$4:$J$503,"是",费用台账!$K$4:$K$503,"正常"),0))</f>
        <v/>
      </c>
      <c r="I43" s="37">
        <f>IF($A43="","",IF($G43=0,"",ROUND($H43/$G43,4)))</f>
        <v/>
      </c>
      <c r="J43" s="26">
        <f>IF($A43="","",ROUND(SUMIFS(入库单!$U$4:$U$2503,入库单!$E$4:$E$2503,$A43,入库单!$Z$4:$Z$2503,"正常"),0))</f>
        <v/>
      </c>
      <c r="K43" s="26">
        <f>IF($A43="","",ROUND($H43-$J43,0))</f>
        <v/>
      </c>
      <c r="L43" s="26">
        <f>IF($A43="","",ROUND(SUMIFS(入库单!$V$4:$V$2503,入库单!$E$4:$E$2503,$A43,入库单!$Z$4:$Z$2503,"正常"),0))</f>
        <v/>
      </c>
      <c r="M43" s="24">
        <f>IF($A43="","",IF($E43=0,"※这个批次号在入库单里找不到",IF(AND($H43&gt;0,$F43&gt;0),"△有 "&amp;$F43&amp;" 行没单价，运费整批挂账没摊 —— 补完价自动摊",IF($H43=0,"△还没录运费（27 个柜里只有 2 个录了，其余的要补）",IF(ABS($K43)&gt;1,"※摊完还差 "&amp;TEXT($K43,"#,##0")&amp;" 先令，查一下","已摊平")))))</f>
        <v/>
      </c>
    </row>
    <row r="44">
      <c r="A44" s="24" t="n"/>
      <c r="B44" s="17" t="n"/>
      <c r="C44" s="30" t="n"/>
      <c r="D44" s="24">
        <f>IF($A44="","",IFERROR(LOOKUP(2,1/(入库单!$E$4:$E$2503=$A44),入库单!$D$4:$D$2503),""))</f>
        <v/>
      </c>
      <c r="E44" s="28">
        <f>IF($A44="","",COUNTIFS(入库单!$E$4:$E$2503,$A44,入库单!$Z$4:$Z$2503,"正常"))</f>
        <v/>
      </c>
      <c r="F44" s="28">
        <f>IF($A44="","",COUNTIFS(入库单!$E$4:$E$2503,$A44,入库单!$Z$4:$Z$2503,"正常",入库单!$Y$4:$Y$2503,"待补价"))</f>
        <v/>
      </c>
      <c r="G44" s="26">
        <f>IF($A44="","",ROUND(SUMIFS(入库单!$P$4:$P$2503,入库单!$E$4:$E$2503,$A44,入库单!$Z$4:$Z$2503,"正常"),0))</f>
        <v/>
      </c>
      <c r="H44" s="26">
        <f>IF($A44="","",ROUND(SUMIFS(费用台账!$I$4:$I$503,费用台账!$C$4:$C$503,$A44,费用台账!$J$4:$J$503,"是",费用台账!$K$4:$K$503,"正常"),0))</f>
        <v/>
      </c>
      <c r="I44" s="37">
        <f>IF($A44="","",IF($G44=0,"",ROUND($H44/$G44,4)))</f>
        <v/>
      </c>
      <c r="J44" s="26">
        <f>IF($A44="","",ROUND(SUMIFS(入库单!$U$4:$U$2503,入库单!$E$4:$E$2503,$A44,入库单!$Z$4:$Z$2503,"正常"),0))</f>
        <v/>
      </c>
      <c r="K44" s="26">
        <f>IF($A44="","",ROUND($H44-$J44,0))</f>
        <v/>
      </c>
      <c r="L44" s="26">
        <f>IF($A44="","",ROUND(SUMIFS(入库单!$V$4:$V$2503,入库单!$E$4:$E$2503,$A44,入库单!$Z$4:$Z$2503,"正常"),0))</f>
        <v/>
      </c>
      <c r="M44" s="24">
        <f>IF($A44="","",IF($E44=0,"※这个批次号在入库单里找不到",IF(AND($H44&gt;0,$F44&gt;0),"△有 "&amp;$F44&amp;" 行没单价，运费整批挂账没摊 —— 补完价自动摊",IF($H44=0,"△还没录运费（27 个柜里只有 2 个录了，其余的要补）",IF(ABS($K44)&gt;1,"※摊完还差 "&amp;TEXT($K44,"#,##0")&amp;" 先令，查一下","已摊平")))))</f>
        <v/>
      </c>
    </row>
    <row r="45">
      <c r="A45" s="24" t="n"/>
      <c r="B45" s="17" t="n"/>
      <c r="C45" s="30" t="n"/>
      <c r="D45" s="24">
        <f>IF($A45="","",IFERROR(LOOKUP(2,1/(入库单!$E$4:$E$2503=$A45),入库单!$D$4:$D$2503),""))</f>
        <v/>
      </c>
      <c r="E45" s="28">
        <f>IF($A45="","",COUNTIFS(入库单!$E$4:$E$2503,$A45,入库单!$Z$4:$Z$2503,"正常"))</f>
        <v/>
      </c>
      <c r="F45" s="28">
        <f>IF($A45="","",COUNTIFS(入库单!$E$4:$E$2503,$A45,入库单!$Z$4:$Z$2503,"正常",入库单!$Y$4:$Y$2503,"待补价"))</f>
        <v/>
      </c>
      <c r="G45" s="26">
        <f>IF($A45="","",ROUND(SUMIFS(入库单!$P$4:$P$2503,入库单!$E$4:$E$2503,$A45,入库单!$Z$4:$Z$2503,"正常"),0))</f>
        <v/>
      </c>
      <c r="H45" s="26">
        <f>IF($A45="","",ROUND(SUMIFS(费用台账!$I$4:$I$503,费用台账!$C$4:$C$503,$A45,费用台账!$J$4:$J$503,"是",费用台账!$K$4:$K$503,"正常"),0))</f>
        <v/>
      </c>
      <c r="I45" s="37">
        <f>IF($A45="","",IF($G45=0,"",ROUND($H45/$G45,4)))</f>
        <v/>
      </c>
      <c r="J45" s="26">
        <f>IF($A45="","",ROUND(SUMIFS(入库单!$U$4:$U$2503,入库单!$E$4:$E$2503,$A45,入库单!$Z$4:$Z$2503,"正常"),0))</f>
        <v/>
      </c>
      <c r="K45" s="26">
        <f>IF($A45="","",ROUND($H45-$J45,0))</f>
        <v/>
      </c>
      <c r="L45" s="26">
        <f>IF($A45="","",ROUND(SUMIFS(入库单!$V$4:$V$2503,入库单!$E$4:$E$2503,$A45,入库单!$Z$4:$Z$2503,"正常"),0))</f>
        <v/>
      </c>
      <c r="M45" s="24">
        <f>IF($A45="","",IF($E45=0,"※这个批次号在入库单里找不到",IF(AND($H45&gt;0,$F45&gt;0),"△有 "&amp;$F45&amp;" 行没单价，运费整批挂账没摊 —— 补完价自动摊",IF($H45=0,"△还没录运费（27 个柜里只有 2 个录了，其余的要补）",IF(ABS($K45)&gt;1,"※摊完还差 "&amp;TEXT($K45,"#,##0")&amp;" 先令，查一下","已摊平")))))</f>
        <v/>
      </c>
    </row>
    <row r="46">
      <c r="A46" s="24" t="n"/>
      <c r="B46" s="17" t="n"/>
      <c r="C46" s="30" t="n"/>
      <c r="D46" s="24">
        <f>IF($A46="","",IFERROR(LOOKUP(2,1/(入库单!$E$4:$E$2503=$A46),入库单!$D$4:$D$2503),""))</f>
        <v/>
      </c>
      <c r="E46" s="28">
        <f>IF($A46="","",COUNTIFS(入库单!$E$4:$E$2503,$A46,入库单!$Z$4:$Z$2503,"正常"))</f>
        <v/>
      </c>
      <c r="F46" s="28">
        <f>IF($A46="","",COUNTIFS(入库单!$E$4:$E$2503,$A46,入库单!$Z$4:$Z$2503,"正常",入库单!$Y$4:$Y$2503,"待补价"))</f>
        <v/>
      </c>
      <c r="G46" s="26">
        <f>IF($A46="","",ROUND(SUMIFS(入库单!$P$4:$P$2503,入库单!$E$4:$E$2503,$A46,入库单!$Z$4:$Z$2503,"正常"),0))</f>
        <v/>
      </c>
      <c r="H46" s="26">
        <f>IF($A46="","",ROUND(SUMIFS(费用台账!$I$4:$I$503,费用台账!$C$4:$C$503,$A46,费用台账!$J$4:$J$503,"是",费用台账!$K$4:$K$503,"正常"),0))</f>
        <v/>
      </c>
      <c r="I46" s="37">
        <f>IF($A46="","",IF($G46=0,"",ROUND($H46/$G46,4)))</f>
        <v/>
      </c>
      <c r="J46" s="26">
        <f>IF($A46="","",ROUND(SUMIFS(入库单!$U$4:$U$2503,入库单!$E$4:$E$2503,$A46,入库单!$Z$4:$Z$2503,"正常"),0))</f>
        <v/>
      </c>
      <c r="K46" s="26">
        <f>IF($A46="","",ROUND($H46-$J46,0))</f>
        <v/>
      </c>
      <c r="L46" s="26">
        <f>IF($A46="","",ROUND(SUMIFS(入库单!$V$4:$V$2503,入库单!$E$4:$E$2503,$A46,入库单!$Z$4:$Z$2503,"正常"),0))</f>
        <v/>
      </c>
      <c r="M46" s="24">
        <f>IF($A46="","",IF($E46=0,"※这个批次号在入库单里找不到",IF(AND($H46&gt;0,$F46&gt;0),"△有 "&amp;$F46&amp;" 行没单价，运费整批挂账没摊 —— 补完价自动摊",IF($H46=0,"△还没录运费（27 个柜里只有 2 个录了，其余的要补）",IF(ABS($K46)&gt;1,"※摊完还差 "&amp;TEXT($K46,"#,##0")&amp;" 先令，查一下","已摊平")))))</f>
        <v/>
      </c>
    </row>
    <row r="47">
      <c r="A47" s="24" t="n"/>
      <c r="B47" s="17" t="n"/>
      <c r="C47" s="30" t="n"/>
      <c r="D47" s="24">
        <f>IF($A47="","",IFERROR(LOOKUP(2,1/(入库单!$E$4:$E$2503=$A47),入库单!$D$4:$D$2503),""))</f>
        <v/>
      </c>
      <c r="E47" s="28">
        <f>IF($A47="","",COUNTIFS(入库单!$E$4:$E$2503,$A47,入库单!$Z$4:$Z$2503,"正常"))</f>
        <v/>
      </c>
      <c r="F47" s="28">
        <f>IF($A47="","",COUNTIFS(入库单!$E$4:$E$2503,$A47,入库单!$Z$4:$Z$2503,"正常",入库单!$Y$4:$Y$2503,"待补价"))</f>
        <v/>
      </c>
      <c r="G47" s="26">
        <f>IF($A47="","",ROUND(SUMIFS(入库单!$P$4:$P$2503,入库单!$E$4:$E$2503,$A47,入库单!$Z$4:$Z$2503,"正常"),0))</f>
        <v/>
      </c>
      <c r="H47" s="26">
        <f>IF($A47="","",ROUND(SUMIFS(费用台账!$I$4:$I$503,费用台账!$C$4:$C$503,$A47,费用台账!$J$4:$J$503,"是",费用台账!$K$4:$K$503,"正常"),0))</f>
        <v/>
      </c>
      <c r="I47" s="37">
        <f>IF($A47="","",IF($G47=0,"",ROUND($H47/$G47,4)))</f>
        <v/>
      </c>
      <c r="J47" s="26">
        <f>IF($A47="","",ROUND(SUMIFS(入库单!$U$4:$U$2503,入库单!$E$4:$E$2503,$A47,入库单!$Z$4:$Z$2503,"正常"),0))</f>
        <v/>
      </c>
      <c r="K47" s="26">
        <f>IF($A47="","",ROUND($H47-$J47,0))</f>
        <v/>
      </c>
      <c r="L47" s="26">
        <f>IF($A47="","",ROUND(SUMIFS(入库单!$V$4:$V$2503,入库单!$E$4:$E$2503,$A47,入库单!$Z$4:$Z$2503,"正常"),0))</f>
        <v/>
      </c>
      <c r="M47" s="24">
        <f>IF($A47="","",IF($E47=0,"※这个批次号在入库单里找不到",IF(AND($H47&gt;0,$F47&gt;0),"△有 "&amp;$F47&amp;" 行没单价，运费整批挂账没摊 —— 补完价自动摊",IF($H47=0,"△还没录运费（27 个柜里只有 2 个录了，其余的要补）",IF(ABS($K47)&gt;1,"※摊完还差 "&amp;TEXT($K47,"#,##0")&amp;" 先令，查一下","已摊平")))))</f>
        <v/>
      </c>
    </row>
    <row r="48">
      <c r="A48" s="24" t="n"/>
      <c r="B48" s="17" t="n"/>
      <c r="C48" s="30" t="n"/>
      <c r="D48" s="24">
        <f>IF($A48="","",IFERROR(LOOKUP(2,1/(入库单!$E$4:$E$2503=$A48),入库单!$D$4:$D$2503),""))</f>
        <v/>
      </c>
      <c r="E48" s="28">
        <f>IF($A48="","",COUNTIFS(入库单!$E$4:$E$2503,$A48,入库单!$Z$4:$Z$2503,"正常"))</f>
        <v/>
      </c>
      <c r="F48" s="28">
        <f>IF($A48="","",COUNTIFS(入库单!$E$4:$E$2503,$A48,入库单!$Z$4:$Z$2503,"正常",入库单!$Y$4:$Y$2503,"待补价"))</f>
        <v/>
      </c>
      <c r="G48" s="26">
        <f>IF($A48="","",ROUND(SUMIFS(入库单!$P$4:$P$2503,入库单!$E$4:$E$2503,$A48,入库单!$Z$4:$Z$2503,"正常"),0))</f>
        <v/>
      </c>
      <c r="H48" s="26">
        <f>IF($A48="","",ROUND(SUMIFS(费用台账!$I$4:$I$503,费用台账!$C$4:$C$503,$A48,费用台账!$J$4:$J$503,"是",费用台账!$K$4:$K$503,"正常"),0))</f>
        <v/>
      </c>
      <c r="I48" s="37">
        <f>IF($A48="","",IF($G48=0,"",ROUND($H48/$G48,4)))</f>
        <v/>
      </c>
      <c r="J48" s="26">
        <f>IF($A48="","",ROUND(SUMIFS(入库单!$U$4:$U$2503,入库单!$E$4:$E$2503,$A48,入库单!$Z$4:$Z$2503,"正常"),0))</f>
        <v/>
      </c>
      <c r="K48" s="26">
        <f>IF($A48="","",ROUND($H48-$J48,0))</f>
        <v/>
      </c>
      <c r="L48" s="26">
        <f>IF($A48="","",ROUND(SUMIFS(入库单!$V$4:$V$2503,入库单!$E$4:$E$2503,$A48,入库单!$Z$4:$Z$2503,"正常"),0))</f>
        <v/>
      </c>
      <c r="M48" s="24">
        <f>IF($A48="","",IF($E48=0,"※这个批次号在入库单里找不到",IF(AND($H48&gt;0,$F48&gt;0),"△有 "&amp;$F48&amp;" 行没单价，运费整批挂账没摊 —— 补完价自动摊",IF($H48=0,"△还没录运费（27 个柜里只有 2 个录了，其余的要补）",IF(ABS($K48)&gt;1,"※摊完还差 "&amp;TEXT($K48,"#,##0")&amp;" 先令，查一下","已摊平")))))</f>
        <v/>
      </c>
    </row>
    <row r="49">
      <c r="A49" s="24" t="n"/>
      <c r="B49" s="17" t="n"/>
      <c r="C49" s="30" t="n"/>
      <c r="D49" s="24">
        <f>IF($A49="","",IFERROR(LOOKUP(2,1/(入库单!$E$4:$E$2503=$A49),入库单!$D$4:$D$2503),""))</f>
        <v/>
      </c>
      <c r="E49" s="28">
        <f>IF($A49="","",COUNTIFS(入库单!$E$4:$E$2503,$A49,入库单!$Z$4:$Z$2503,"正常"))</f>
        <v/>
      </c>
      <c r="F49" s="28">
        <f>IF($A49="","",COUNTIFS(入库单!$E$4:$E$2503,$A49,入库单!$Z$4:$Z$2503,"正常",入库单!$Y$4:$Y$2503,"待补价"))</f>
        <v/>
      </c>
      <c r="G49" s="26">
        <f>IF($A49="","",ROUND(SUMIFS(入库单!$P$4:$P$2503,入库单!$E$4:$E$2503,$A49,入库单!$Z$4:$Z$2503,"正常"),0))</f>
        <v/>
      </c>
      <c r="H49" s="26">
        <f>IF($A49="","",ROUND(SUMIFS(费用台账!$I$4:$I$503,费用台账!$C$4:$C$503,$A49,费用台账!$J$4:$J$503,"是",费用台账!$K$4:$K$503,"正常"),0))</f>
        <v/>
      </c>
      <c r="I49" s="37">
        <f>IF($A49="","",IF($G49=0,"",ROUND($H49/$G49,4)))</f>
        <v/>
      </c>
      <c r="J49" s="26">
        <f>IF($A49="","",ROUND(SUMIFS(入库单!$U$4:$U$2503,入库单!$E$4:$E$2503,$A49,入库单!$Z$4:$Z$2503,"正常"),0))</f>
        <v/>
      </c>
      <c r="K49" s="26">
        <f>IF($A49="","",ROUND($H49-$J49,0))</f>
        <v/>
      </c>
      <c r="L49" s="26">
        <f>IF($A49="","",ROUND(SUMIFS(入库单!$V$4:$V$2503,入库单!$E$4:$E$2503,$A49,入库单!$Z$4:$Z$2503,"正常"),0))</f>
        <v/>
      </c>
      <c r="M49" s="24">
        <f>IF($A49="","",IF($E49=0,"※这个批次号在入库单里找不到",IF(AND($H49&gt;0,$F49&gt;0),"△有 "&amp;$F49&amp;" 行没单价，运费整批挂账没摊 —— 补完价自动摊",IF($H49=0,"△还没录运费（27 个柜里只有 2 个录了，其余的要补）",IF(ABS($K49)&gt;1,"※摊完还差 "&amp;TEXT($K49,"#,##0")&amp;" 先令，查一下","已摊平")))))</f>
        <v/>
      </c>
    </row>
    <row r="50">
      <c r="A50" s="24" t="n"/>
      <c r="B50" s="17" t="n"/>
      <c r="C50" s="30" t="n"/>
      <c r="D50" s="24">
        <f>IF($A50="","",IFERROR(LOOKUP(2,1/(入库单!$E$4:$E$2503=$A50),入库单!$D$4:$D$2503),""))</f>
        <v/>
      </c>
      <c r="E50" s="28">
        <f>IF($A50="","",COUNTIFS(入库单!$E$4:$E$2503,$A50,入库单!$Z$4:$Z$2503,"正常"))</f>
        <v/>
      </c>
      <c r="F50" s="28">
        <f>IF($A50="","",COUNTIFS(入库单!$E$4:$E$2503,$A50,入库单!$Z$4:$Z$2503,"正常",入库单!$Y$4:$Y$2503,"待补价"))</f>
        <v/>
      </c>
      <c r="G50" s="26">
        <f>IF($A50="","",ROUND(SUMIFS(入库单!$P$4:$P$2503,入库单!$E$4:$E$2503,$A50,入库单!$Z$4:$Z$2503,"正常"),0))</f>
        <v/>
      </c>
      <c r="H50" s="26">
        <f>IF($A50="","",ROUND(SUMIFS(费用台账!$I$4:$I$503,费用台账!$C$4:$C$503,$A50,费用台账!$J$4:$J$503,"是",费用台账!$K$4:$K$503,"正常"),0))</f>
        <v/>
      </c>
      <c r="I50" s="37">
        <f>IF($A50="","",IF($G50=0,"",ROUND($H50/$G50,4)))</f>
        <v/>
      </c>
      <c r="J50" s="26">
        <f>IF($A50="","",ROUND(SUMIFS(入库单!$U$4:$U$2503,入库单!$E$4:$E$2503,$A50,入库单!$Z$4:$Z$2503,"正常"),0))</f>
        <v/>
      </c>
      <c r="K50" s="26">
        <f>IF($A50="","",ROUND($H50-$J50,0))</f>
        <v/>
      </c>
      <c r="L50" s="26">
        <f>IF($A50="","",ROUND(SUMIFS(入库单!$V$4:$V$2503,入库单!$E$4:$E$2503,$A50,入库单!$Z$4:$Z$2503,"正常"),0))</f>
        <v/>
      </c>
      <c r="M50" s="24">
        <f>IF($A50="","",IF($E50=0,"※这个批次号在入库单里找不到",IF(AND($H50&gt;0,$F50&gt;0),"△有 "&amp;$F50&amp;" 行没单价，运费整批挂账没摊 —— 补完价自动摊",IF($H50=0,"△还没录运费（27 个柜里只有 2 个录了，其余的要补）",IF(ABS($K50)&gt;1,"※摊完还差 "&amp;TEXT($K50,"#,##0")&amp;" 先令，查一下","已摊平")))))</f>
        <v/>
      </c>
    </row>
    <row r="51">
      <c r="A51" s="24" t="n"/>
      <c r="B51" s="17" t="n"/>
      <c r="C51" s="30" t="n"/>
      <c r="D51" s="24">
        <f>IF($A51="","",IFERROR(LOOKUP(2,1/(入库单!$E$4:$E$2503=$A51),入库单!$D$4:$D$2503),""))</f>
        <v/>
      </c>
      <c r="E51" s="28">
        <f>IF($A51="","",COUNTIFS(入库单!$E$4:$E$2503,$A51,入库单!$Z$4:$Z$2503,"正常"))</f>
        <v/>
      </c>
      <c r="F51" s="28">
        <f>IF($A51="","",COUNTIFS(入库单!$E$4:$E$2503,$A51,入库单!$Z$4:$Z$2503,"正常",入库单!$Y$4:$Y$2503,"待补价"))</f>
        <v/>
      </c>
      <c r="G51" s="26">
        <f>IF($A51="","",ROUND(SUMIFS(入库单!$P$4:$P$2503,入库单!$E$4:$E$2503,$A51,入库单!$Z$4:$Z$2503,"正常"),0))</f>
        <v/>
      </c>
      <c r="H51" s="26">
        <f>IF($A51="","",ROUND(SUMIFS(费用台账!$I$4:$I$503,费用台账!$C$4:$C$503,$A51,费用台账!$J$4:$J$503,"是",费用台账!$K$4:$K$503,"正常"),0))</f>
        <v/>
      </c>
      <c r="I51" s="37">
        <f>IF($A51="","",IF($G51=0,"",ROUND($H51/$G51,4)))</f>
        <v/>
      </c>
      <c r="J51" s="26">
        <f>IF($A51="","",ROUND(SUMIFS(入库单!$U$4:$U$2503,入库单!$E$4:$E$2503,$A51,入库单!$Z$4:$Z$2503,"正常"),0))</f>
        <v/>
      </c>
      <c r="K51" s="26">
        <f>IF($A51="","",ROUND($H51-$J51,0))</f>
        <v/>
      </c>
      <c r="L51" s="26">
        <f>IF($A51="","",ROUND(SUMIFS(入库单!$V$4:$V$2503,入库单!$E$4:$E$2503,$A51,入库单!$Z$4:$Z$2503,"正常"),0))</f>
        <v/>
      </c>
      <c r="M51" s="24">
        <f>IF($A51="","",IF($E51=0,"※这个批次号在入库单里找不到",IF(AND($H51&gt;0,$F51&gt;0),"△有 "&amp;$F51&amp;" 行没单价，运费整批挂账没摊 —— 补完价自动摊",IF($H51=0,"△还没录运费（27 个柜里只有 2 个录了，其余的要补）",IF(ABS($K51)&gt;1,"※摊完还差 "&amp;TEXT($K51,"#,##0")&amp;" 先令，查一下","已摊平")))))</f>
        <v/>
      </c>
    </row>
    <row r="52">
      <c r="A52" s="24" t="n"/>
      <c r="B52" s="17" t="n"/>
      <c r="C52" s="30" t="n"/>
      <c r="D52" s="24">
        <f>IF($A52="","",IFERROR(LOOKUP(2,1/(入库单!$E$4:$E$2503=$A52),入库单!$D$4:$D$2503),""))</f>
        <v/>
      </c>
      <c r="E52" s="28">
        <f>IF($A52="","",COUNTIFS(入库单!$E$4:$E$2503,$A52,入库单!$Z$4:$Z$2503,"正常"))</f>
        <v/>
      </c>
      <c r="F52" s="28">
        <f>IF($A52="","",COUNTIFS(入库单!$E$4:$E$2503,$A52,入库单!$Z$4:$Z$2503,"正常",入库单!$Y$4:$Y$2503,"待补价"))</f>
        <v/>
      </c>
      <c r="G52" s="26">
        <f>IF($A52="","",ROUND(SUMIFS(入库单!$P$4:$P$2503,入库单!$E$4:$E$2503,$A52,入库单!$Z$4:$Z$2503,"正常"),0))</f>
        <v/>
      </c>
      <c r="H52" s="26">
        <f>IF($A52="","",ROUND(SUMIFS(费用台账!$I$4:$I$503,费用台账!$C$4:$C$503,$A52,费用台账!$J$4:$J$503,"是",费用台账!$K$4:$K$503,"正常"),0))</f>
        <v/>
      </c>
      <c r="I52" s="37">
        <f>IF($A52="","",IF($G52=0,"",ROUND($H52/$G52,4)))</f>
        <v/>
      </c>
      <c r="J52" s="26">
        <f>IF($A52="","",ROUND(SUMIFS(入库单!$U$4:$U$2503,入库单!$E$4:$E$2503,$A52,入库单!$Z$4:$Z$2503,"正常"),0))</f>
        <v/>
      </c>
      <c r="K52" s="26">
        <f>IF($A52="","",ROUND($H52-$J52,0))</f>
        <v/>
      </c>
      <c r="L52" s="26">
        <f>IF($A52="","",ROUND(SUMIFS(入库单!$V$4:$V$2503,入库单!$E$4:$E$2503,$A52,入库单!$Z$4:$Z$2503,"正常"),0))</f>
        <v/>
      </c>
      <c r="M52" s="24">
        <f>IF($A52="","",IF($E52=0,"※这个批次号在入库单里找不到",IF(AND($H52&gt;0,$F52&gt;0),"△有 "&amp;$F52&amp;" 行没单价，运费整批挂账没摊 —— 补完价自动摊",IF($H52=0,"△还没录运费（27 个柜里只有 2 个录了，其余的要补）",IF(ABS($K52)&gt;1,"※摊完还差 "&amp;TEXT($K52,"#,##0")&amp;" 先令，查一下","已摊平")))))</f>
        <v/>
      </c>
    </row>
    <row r="53">
      <c r="A53" s="24" t="n"/>
      <c r="B53" s="17" t="n"/>
      <c r="C53" s="30" t="n"/>
      <c r="D53" s="24">
        <f>IF($A53="","",IFERROR(LOOKUP(2,1/(入库单!$E$4:$E$2503=$A53),入库单!$D$4:$D$2503),""))</f>
        <v/>
      </c>
      <c r="E53" s="28">
        <f>IF($A53="","",COUNTIFS(入库单!$E$4:$E$2503,$A53,入库单!$Z$4:$Z$2503,"正常"))</f>
        <v/>
      </c>
      <c r="F53" s="28">
        <f>IF($A53="","",COUNTIFS(入库单!$E$4:$E$2503,$A53,入库单!$Z$4:$Z$2503,"正常",入库单!$Y$4:$Y$2503,"待补价"))</f>
        <v/>
      </c>
      <c r="G53" s="26">
        <f>IF($A53="","",ROUND(SUMIFS(入库单!$P$4:$P$2503,入库单!$E$4:$E$2503,$A53,入库单!$Z$4:$Z$2503,"正常"),0))</f>
        <v/>
      </c>
      <c r="H53" s="26">
        <f>IF($A53="","",ROUND(SUMIFS(费用台账!$I$4:$I$503,费用台账!$C$4:$C$503,$A53,费用台账!$J$4:$J$503,"是",费用台账!$K$4:$K$503,"正常"),0))</f>
        <v/>
      </c>
      <c r="I53" s="37">
        <f>IF($A53="","",IF($G53=0,"",ROUND($H53/$G53,4)))</f>
        <v/>
      </c>
      <c r="J53" s="26">
        <f>IF($A53="","",ROUND(SUMIFS(入库单!$U$4:$U$2503,入库单!$E$4:$E$2503,$A53,入库单!$Z$4:$Z$2503,"正常"),0))</f>
        <v/>
      </c>
      <c r="K53" s="26">
        <f>IF($A53="","",ROUND($H53-$J53,0))</f>
        <v/>
      </c>
      <c r="L53" s="26">
        <f>IF($A53="","",ROUND(SUMIFS(入库单!$V$4:$V$2503,入库单!$E$4:$E$2503,$A53,入库单!$Z$4:$Z$2503,"正常"),0))</f>
        <v/>
      </c>
      <c r="M53" s="24">
        <f>IF($A53="","",IF($E53=0,"※这个批次号在入库单里找不到",IF(AND($H53&gt;0,$F53&gt;0),"△有 "&amp;$F53&amp;" 行没单价，运费整批挂账没摊 —— 补完价自动摊",IF($H53=0,"△还没录运费（27 个柜里只有 2 个录了，其余的要补）",IF(ABS($K53)&gt;1,"※摊完还差 "&amp;TEXT($K53,"#,##0")&amp;" 先令，查一下","已摊平")))))</f>
        <v/>
      </c>
    </row>
    <row r="54">
      <c r="A54" s="24" t="n"/>
      <c r="B54" s="17" t="n"/>
      <c r="C54" s="30" t="n"/>
      <c r="D54" s="24">
        <f>IF($A54="","",IFERROR(LOOKUP(2,1/(入库单!$E$4:$E$2503=$A54),入库单!$D$4:$D$2503),""))</f>
        <v/>
      </c>
      <c r="E54" s="28">
        <f>IF($A54="","",COUNTIFS(入库单!$E$4:$E$2503,$A54,入库单!$Z$4:$Z$2503,"正常"))</f>
        <v/>
      </c>
      <c r="F54" s="28">
        <f>IF($A54="","",COUNTIFS(入库单!$E$4:$E$2503,$A54,入库单!$Z$4:$Z$2503,"正常",入库单!$Y$4:$Y$2503,"待补价"))</f>
        <v/>
      </c>
      <c r="G54" s="26">
        <f>IF($A54="","",ROUND(SUMIFS(入库单!$P$4:$P$2503,入库单!$E$4:$E$2503,$A54,入库单!$Z$4:$Z$2503,"正常"),0))</f>
        <v/>
      </c>
      <c r="H54" s="26">
        <f>IF($A54="","",ROUND(SUMIFS(费用台账!$I$4:$I$503,费用台账!$C$4:$C$503,$A54,费用台账!$J$4:$J$503,"是",费用台账!$K$4:$K$503,"正常"),0))</f>
        <v/>
      </c>
      <c r="I54" s="37">
        <f>IF($A54="","",IF($G54=0,"",ROUND($H54/$G54,4)))</f>
        <v/>
      </c>
      <c r="J54" s="26">
        <f>IF($A54="","",ROUND(SUMIFS(入库单!$U$4:$U$2503,入库单!$E$4:$E$2503,$A54,入库单!$Z$4:$Z$2503,"正常"),0))</f>
        <v/>
      </c>
      <c r="K54" s="26">
        <f>IF($A54="","",ROUND($H54-$J54,0))</f>
        <v/>
      </c>
      <c r="L54" s="26">
        <f>IF($A54="","",ROUND(SUMIFS(入库单!$V$4:$V$2503,入库单!$E$4:$E$2503,$A54,入库单!$Z$4:$Z$2503,"正常"),0))</f>
        <v/>
      </c>
      <c r="M54" s="24">
        <f>IF($A54="","",IF($E54=0,"※这个批次号在入库单里找不到",IF(AND($H54&gt;0,$F54&gt;0),"△有 "&amp;$F54&amp;" 行没单价，运费整批挂账没摊 —— 补完价自动摊",IF($H54=0,"△还没录运费（27 个柜里只有 2 个录了，其余的要补）",IF(ABS($K54)&gt;1,"※摊完还差 "&amp;TEXT($K54,"#,##0")&amp;" 先令，查一下","已摊平")))))</f>
        <v/>
      </c>
    </row>
    <row r="55">
      <c r="A55" s="24" t="n"/>
      <c r="B55" s="17" t="n"/>
      <c r="C55" s="30" t="n"/>
      <c r="D55" s="24">
        <f>IF($A55="","",IFERROR(LOOKUP(2,1/(入库单!$E$4:$E$2503=$A55),入库单!$D$4:$D$2503),""))</f>
        <v/>
      </c>
      <c r="E55" s="28">
        <f>IF($A55="","",COUNTIFS(入库单!$E$4:$E$2503,$A55,入库单!$Z$4:$Z$2503,"正常"))</f>
        <v/>
      </c>
      <c r="F55" s="28">
        <f>IF($A55="","",COUNTIFS(入库单!$E$4:$E$2503,$A55,入库单!$Z$4:$Z$2503,"正常",入库单!$Y$4:$Y$2503,"待补价"))</f>
        <v/>
      </c>
      <c r="G55" s="26">
        <f>IF($A55="","",ROUND(SUMIFS(入库单!$P$4:$P$2503,入库单!$E$4:$E$2503,$A55,入库单!$Z$4:$Z$2503,"正常"),0))</f>
        <v/>
      </c>
      <c r="H55" s="26">
        <f>IF($A55="","",ROUND(SUMIFS(费用台账!$I$4:$I$503,费用台账!$C$4:$C$503,$A55,费用台账!$J$4:$J$503,"是",费用台账!$K$4:$K$503,"正常"),0))</f>
        <v/>
      </c>
      <c r="I55" s="37">
        <f>IF($A55="","",IF($G55=0,"",ROUND($H55/$G55,4)))</f>
        <v/>
      </c>
      <c r="J55" s="26">
        <f>IF($A55="","",ROUND(SUMIFS(入库单!$U$4:$U$2503,入库单!$E$4:$E$2503,$A55,入库单!$Z$4:$Z$2503,"正常"),0))</f>
        <v/>
      </c>
      <c r="K55" s="26">
        <f>IF($A55="","",ROUND($H55-$J55,0))</f>
        <v/>
      </c>
      <c r="L55" s="26">
        <f>IF($A55="","",ROUND(SUMIFS(入库单!$V$4:$V$2503,入库单!$E$4:$E$2503,$A55,入库单!$Z$4:$Z$2503,"正常"),0))</f>
        <v/>
      </c>
      <c r="M55" s="24">
        <f>IF($A55="","",IF($E55=0,"※这个批次号在入库单里找不到",IF(AND($H55&gt;0,$F55&gt;0),"△有 "&amp;$F55&amp;" 行没单价，运费整批挂账没摊 —— 补完价自动摊",IF($H55=0,"△还没录运费（27 个柜里只有 2 个录了，其余的要补）",IF(ABS($K55)&gt;1,"※摊完还差 "&amp;TEXT($K55,"#,##0")&amp;" 先令，查一下","已摊平")))))</f>
        <v/>
      </c>
    </row>
    <row r="56">
      <c r="A56" s="24" t="n"/>
      <c r="B56" s="17" t="n"/>
      <c r="C56" s="30" t="n"/>
      <c r="D56" s="24">
        <f>IF($A56="","",IFERROR(LOOKUP(2,1/(入库单!$E$4:$E$2503=$A56),入库单!$D$4:$D$2503),""))</f>
        <v/>
      </c>
      <c r="E56" s="28">
        <f>IF($A56="","",COUNTIFS(入库单!$E$4:$E$2503,$A56,入库单!$Z$4:$Z$2503,"正常"))</f>
        <v/>
      </c>
      <c r="F56" s="28">
        <f>IF($A56="","",COUNTIFS(入库单!$E$4:$E$2503,$A56,入库单!$Z$4:$Z$2503,"正常",入库单!$Y$4:$Y$2503,"待补价"))</f>
        <v/>
      </c>
      <c r="G56" s="26">
        <f>IF($A56="","",ROUND(SUMIFS(入库单!$P$4:$P$2503,入库单!$E$4:$E$2503,$A56,入库单!$Z$4:$Z$2503,"正常"),0))</f>
        <v/>
      </c>
      <c r="H56" s="26">
        <f>IF($A56="","",ROUND(SUMIFS(费用台账!$I$4:$I$503,费用台账!$C$4:$C$503,$A56,费用台账!$J$4:$J$503,"是",费用台账!$K$4:$K$503,"正常"),0))</f>
        <v/>
      </c>
      <c r="I56" s="37">
        <f>IF($A56="","",IF($G56=0,"",ROUND($H56/$G56,4)))</f>
        <v/>
      </c>
      <c r="J56" s="26">
        <f>IF($A56="","",ROUND(SUMIFS(入库单!$U$4:$U$2503,入库单!$E$4:$E$2503,$A56,入库单!$Z$4:$Z$2503,"正常"),0))</f>
        <v/>
      </c>
      <c r="K56" s="26">
        <f>IF($A56="","",ROUND($H56-$J56,0))</f>
        <v/>
      </c>
      <c r="L56" s="26">
        <f>IF($A56="","",ROUND(SUMIFS(入库单!$V$4:$V$2503,入库单!$E$4:$E$2503,$A56,入库单!$Z$4:$Z$2503,"正常"),0))</f>
        <v/>
      </c>
      <c r="M56" s="24">
        <f>IF($A56="","",IF($E56=0,"※这个批次号在入库单里找不到",IF(AND($H56&gt;0,$F56&gt;0),"△有 "&amp;$F56&amp;" 行没单价，运费整批挂账没摊 —— 补完价自动摊",IF($H56=0,"△还没录运费（27 个柜里只有 2 个录了，其余的要补）",IF(ABS($K56)&gt;1,"※摊完还差 "&amp;TEXT($K56,"#,##0")&amp;" 先令，查一下","已摊平")))))</f>
        <v/>
      </c>
    </row>
    <row r="57">
      <c r="A57" s="24" t="n"/>
      <c r="B57" s="17" t="n"/>
      <c r="C57" s="30" t="n"/>
      <c r="D57" s="24">
        <f>IF($A57="","",IFERROR(LOOKUP(2,1/(入库单!$E$4:$E$2503=$A57),入库单!$D$4:$D$2503),""))</f>
        <v/>
      </c>
      <c r="E57" s="28">
        <f>IF($A57="","",COUNTIFS(入库单!$E$4:$E$2503,$A57,入库单!$Z$4:$Z$2503,"正常"))</f>
        <v/>
      </c>
      <c r="F57" s="28">
        <f>IF($A57="","",COUNTIFS(入库单!$E$4:$E$2503,$A57,入库单!$Z$4:$Z$2503,"正常",入库单!$Y$4:$Y$2503,"待补价"))</f>
        <v/>
      </c>
      <c r="G57" s="26">
        <f>IF($A57="","",ROUND(SUMIFS(入库单!$P$4:$P$2503,入库单!$E$4:$E$2503,$A57,入库单!$Z$4:$Z$2503,"正常"),0))</f>
        <v/>
      </c>
      <c r="H57" s="26">
        <f>IF($A57="","",ROUND(SUMIFS(费用台账!$I$4:$I$503,费用台账!$C$4:$C$503,$A57,费用台账!$J$4:$J$503,"是",费用台账!$K$4:$K$503,"正常"),0))</f>
        <v/>
      </c>
      <c r="I57" s="37">
        <f>IF($A57="","",IF($G57=0,"",ROUND($H57/$G57,4)))</f>
        <v/>
      </c>
      <c r="J57" s="26">
        <f>IF($A57="","",ROUND(SUMIFS(入库单!$U$4:$U$2503,入库单!$E$4:$E$2503,$A57,入库单!$Z$4:$Z$2503,"正常"),0))</f>
        <v/>
      </c>
      <c r="K57" s="26">
        <f>IF($A57="","",ROUND($H57-$J57,0))</f>
        <v/>
      </c>
      <c r="L57" s="26">
        <f>IF($A57="","",ROUND(SUMIFS(入库单!$V$4:$V$2503,入库单!$E$4:$E$2503,$A57,入库单!$Z$4:$Z$2503,"正常"),0))</f>
        <v/>
      </c>
      <c r="M57" s="24">
        <f>IF($A57="","",IF($E57=0,"※这个批次号在入库单里找不到",IF(AND($H57&gt;0,$F57&gt;0),"△有 "&amp;$F57&amp;" 行没单价，运费整批挂账没摊 —— 补完价自动摊",IF($H57=0,"△还没录运费（27 个柜里只有 2 个录了，其余的要补）",IF(ABS($K57)&gt;1,"※摊完还差 "&amp;TEXT($K57,"#,##0")&amp;" 先令，查一下","已摊平")))))</f>
        <v/>
      </c>
    </row>
    <row r="58">
      <c r="A58" s="24" t="n"/>
      <c r="B58" s="17" t="n"/>
      <c r="C58" s="30" t="n"/>
      <c r="D58" s="24">
        <f>IF($A58="","",IFERROR(LOOKUP(2,1/(入库单!$E$4:$E$2503=$A58),入库单!$D$4:$D$2503),""))</f>
        <v/>
      </c>
      <c r="E58" s="28">
        <f>IF($A58="","",COUNTIFS(入库单!$E$4:$E$2503,$A58,入库单!$Z$4:$Z$2503,"正常"))</f>
        <v/>
      </c>
      <c r="F58" s="28">
        <f>IF($A58="","",COUNTIFS(入库单!$E$4:$E$2503,$A58,入库单!$Z$4:$Z$2503,"正常",入库单!$Y$4:$Y$2503,"待补价"))</f>
        <v/>
      </c>
      <c r="G58" s="26">
        <f>IF($A58="","",ROUND(SUMIFS(入库单!$P$4:$P$2503,入库单!$E$4:$E$2503,$A58,入库单!$Z$4:$Z$2503,"正常"),0))</f>
        <v/>
      </c>
      <c r="H58" s="26">
        <f>IF($A58="","",ROUND(SUMIFS(费用台账!$I$4:$I$503,费用台账!$C$4:$C$503,$A58,费用台账!$J$4:$J$503,"是",费用台账!$K$4:$K$503,"正常"),0))</f>
        <v/>
      </c>
      <c r="I58" s="37">
        <f>IF($A58="","",IF($G58=0,"",ROUND($H58/$G58,4)))</f>
        <v/>
      </c>
      <c r="J58" s="26">
        <f>IF($A58="","",ROUND(SUMIFS(入库单!$U$4:$U$2503,入库单!$E$4:$E$2503,$A58,入库单!$Z$4:$Z$2503,"正常"),0))</f>
        <v/>
      </c>
      <c r="K58" s="26">
        <f>IF($A58="","",ROUND($H58-$J58,0))</f>
        <v/>
      </c>
      <c r="L58" s="26">
        <f>IF($A58="","",ROUND(SUMIFS(入库单!$V$4:$V$2503,入库单!$E$4:$E$2503,$A58,入库单!$Z$4:$Z$2503,"正常"),0))</f>
        <v/>
      </c>
      <c r="M58" s="24">
        <f>IF($A58="","",IF($E58=0,"※这个批次号在入库单里找不到",IF(AND($H58&gt;0,$F58&gt;0),"△有 "&amp;$F58&amp;" 行没单价，运费整批挂账没摊 —— 补完价自动摊",IF($H58=0,"△还没录运费（27 个柜里只有 2 个录了，其余的要补）",IF(ABS($K58)&gt;1,"※摊完还差 "&amp;TEXT($K58,"#,##0")&amp;" 先令，查一下","已摊平")))))</f>
        <v/>
      </c>
    </row>
    <row r="59">
      <c r="A59" s="24" t="n"/>
      <c r="B59" s="17" t="n"/>
      <c r="C59" s="30" t="n"/>
      <c r="D59" s="24">
        <f>IF($A59="","",IFERROR(LOOKUP(2,1/(入库单!$E$4:$E$2503=$A59),入库单!$D$4:$D$2503),""))</f>
        <v/>
      </c>
      <c r="E59" s="28">
        <f>IF($A59="","",COUNTIFS(入库单!$E$4:$E$2503,$A59,入库单!$Z$4:$Z$2503,"正常"))</f>
        <v/>
      </c>
      <c r="F59" s="28">
        <f>IF($A59="","",COUNTIFS(入库单!$E$4:$E$2503,$A59,入库单!$Z$4:$Z$2503,"正常",入库单!$Y$4:$Y$2503,"待补价"))</f>
        <v/>
      </c>
      <c r="G59" s="26">
        <f>IF($A59="","",ROUND(SUMIFS(入库单!$P$4:$P$2503,入库单!$E$4:$E$2503,$A59,入库单!$Z$4:$Z$2503,"正常"),0))</f>
        <v/>
      </c>
      <c r="H59" s="26">
        <f>IF($A59="","",ROUND(SUMIFS(费用台账!$I$4:$I$503,费用台账!$C$4:$C$503,$A59,费用台账!$J$4:$J$503,"是",费用台账!$K$4:$K$503,"正常"),0))</f>
        <v/>
      </c>
      <c r="I59" s="37">
        <f>IF($A59="","",IF($G59=0,"",ROUND($H59/$G59,4)))</f>
        <v/>
      </c>
      <c r="J59" s="26">
        <f>IF($A59="","",ROUND(SUMIFS(入库单!$U$4:$U$2503,入库单!$E$4:$E$2503,$A59,入库单!$Z$4:$Z$2503,"正常"),0))</f>
        <v/>
      </c>
      <c r="K59" s="26">
        <f>IF($A59="","",ROUND($H59-$J59,0))</f>
        <v/>
      </c>
      <c r="L59" s="26">
        <f>IF($A59="","",ROUND(SUMIFS(入库单!$V$4:$V$2503,入库单!$E$4:$E$2503,$A59,入库单!$Z$4:$Z$2503,"正常"),0))</f>
        <v/>
      </c>
      <c r="M59" s="24">
        <f>IF($A59="","",IF($E59=0,"※这个批次号在入库单里找不到",IF(AND($H59&gt;0,$F59&gt;0),"△有 "&amp;$F59&amp;" 行没单价，运费整批挂账没摊 —— 补完价自动摊",IF($H59=0,"△还没录运费（27 个柜里只有 2 个录了，其余的要补）",IF(ABS($K59)&gt;1,"※摊完还差 "&amp;TEXT($K59,"#,##0")&amp;" 先令，查一下","已摊平")))))</f>
        <v/>
      </c>
    </row>
    <row r="60">
      <c r="A60" s="24" t="n"/>
      <c r="B60" s="17" t="n"/>
      <c r="C60" s="30" t="n"/>
      <c r="D60" s="24">
        <f>IF($A60="","",IFERROR(LOOKUP(2,1/(入库单!$E$4:$E$2503=$A60),入库单!$D$4:$D$2503),""))</f>
        <v/>
      </c>
      <c r="E60" s="28">
        <f>IF($A60="","",COUNTIFS(入库单!$E$4:$E$2503,$A60,入库单!$Z$4:$Z$2503,"正常"))</f>
        <v/>
      </c>
      <c r="F60" s="28">
        <f>IF($A60="","",COUNTIFS(入库单!$E$4:$E$2503,$A60,入库单!$Z$4:$Z$2503,"正常",入库单!$Y$4:$Y$2503,"待补价"))</f>
        <v/>
      </c>
      <c r="G60" s="26">
        <f>IF($A60="","",ROUND(SUMIFS(入库单!$P$4:$P$2503,入库单!$E$4:$E$2503,$A60,入库单!$Z$4:$Z$2503,"正常"),0))</f>
        <v/>
      </c>
      <c r="H60" s="26">
        <f>IF($A60="","",ROUND(SUMIFS(费用台账!$I$4:$I$503,费用台账!$C$4:$C$503,$A60,费用台账!$J$4:$J$503,"是",费用台账!$K$4:$K$503,"正常"),0))</f>
        <v/>
      </c>
      <c r="I60" s="37">
        <f>IF($A60="","",IF($G60=0,"",ROUND($H60/$G60,4)))</f>
        <v/>
      </c>
      <c r="J60" s="26">
        <f>IF($A60="","",ROUND(SUMIFS(入库单!$U$4:$U$2503,入库单!$E$4:$E$2503,$A60,入库单!$Z$4:$Z$2503,"正常"),0))</f>
        <v/>
      </c>
      <c r="K60" s="26">
        <f>IF($A60="","",ROUND($H60-$J60,0))</f>
        <v/>
      </c>
      <c r="L60" s="26">
        <f>IF($A60="","",ROUND(SUMIFS(入库单!$V$4:$V$2503,入库单!$E$4:$E$2503,$A60,入库单!$Z$4:$Z$2503,"正常"),0))</f>
        <v/>
      </c>
      <c r="M60" s="24">
        <f>IF($A60="","",IF($E60=0,"※这个批次号在入库单里找不到",IF(AND($H60&gt;0,$F60&gt;0),"△有 "&amp;$F60&amp;" 行没单价，运费整批挂账没摊 —— 补完价自动摊",IF($H60=0,"△还没录运费（27 个柜里只有 2 个录了，其余的要补）",IF(ABS($K60)&gt;1,"※摊完还差 "&amp;TEXT($K60,"#,##0")&amp;" 先令，查一下","已摊平")))))</f>
        <v/>
      </c>
    </row>
    <row r="61">
      <c r="A61" s="24" t="n"/>
      <c r="B61" s="17" t="n"/>
      <c r="C61" s="30" t="n"/>
      <c r="D61" s="24">
        <f>IF($A61="","",IFERROR(LOOKUP(2,1/(入库单!$E$4:$E$2503=$A61),入库单!$D$4:$D$2503),""))</f>
        <v/>
      </c>
      <c r="E61" s="28">
        <f>IF($A61="","",COUNTIFS(入库单!$E$4:$E$2503,$A61,入库单!$Z$4:$Z$2503,"正常"))</f>
        <v/>
      </c>
      <c r="F61" s="28">
        <f>IF($A61="","",COUNTIFS(入库单!$E$4:$E$2503,$A61,入库单!$Z$4:$Z$2503,"正常",入库单!$Y$4:$Y$2503,"待补价"))</f>
        <v/>
      </c>
      <c r="G61" s="26">
        <f>IF($A61="","",ROUND(SUMIFS(入库单!$P$4:$P$2503,入库单!$E$4:$E$2503,$A61,入库单!$Z$4:$Z$2503,"正常"),0))</f>
        <v/>
      </c>
      <c r="H61" s="26">
        <f>IF($A61="","",ROUND(SUMIFS(费用台账!$I$4:$I$503,费用台账!$C$4:$C$503,$A61,费用台账!$J$4:$J$503,"是",费用台账!$K$4:$K$503,"正常"),0))</f>
        <v/>
      </c>
      <c r="I61" s="37">
        <f>IF($A61="","",IF($G61=0,"",ROUND($H61/$G61,4)))</f>
        <v/>
      </c>
      <c r="J61" s="26">
        <f>IF($A61="","",ROUND(SUMIFS(入库单!$U$4:$U$2503,入库单!$E$4:$E$2503,$A61,入库单!$Z$4:$Z$2503,"正常"),0))</f>
        <v/>
      </c>
      <c r="K61" s="26">
        <f>IF($A61="","",ROUND($H61-$J61,0))</f>
        <v/>
      </c>
      <c r="L61" s="26">
        <f>IF($A61="","",ROUND(SUMIFS(入库单!$V$4:$V$2503,入库单!$E$4:$E$2503,$A61,入库单!$Z$4:$Z$2503,"正常"),0))</f>
        <v/>
      </c>
      <c r="M61" s="24">
        <f>IF($A61="","",IF($E61=0,"※这个批次号在入库单里找不到",IF(AND($H61&gt;0,$F61&gt;0),"△有 "&amp;$F61&amp;" 行没单价，运费整批挂账没摊 —— 补完价自动摊",IF($H61=0,"△还没录运费（27 个柜里只有 2 个录了，其余的要补）",IF(ABS($K61)&gt;1,"※摊完还差 "&amp;TEXT($K61,"#,##0")&amp;" 先令，查一下","已摊平")))))</f>
        <v/>
      </c>
    </row>
    <row r="62">
      <c r="A62" s="24" t="n"/>
      <c r="B62" s="17" t="n"/>
      <c r="C62" s="30" t="n"/>
      <c r="D62" s="24">
        <f>IF($A62="","",IFERROR(LOOKUP(2,1/(入库单!$E$4:$E$2503=$A62),入库单!$D$4:$D$2503),""))</f>
        <v/>
      </c>
      <c r="E62" s="28">
        <f>IF($A62="","",COUNTIFS(入库单!$E$4:$E$2503,$A62,入库单!$Z$4:$Z$2503,"正常"))</f>
        <v/>
      </c>
      <c r="F62" s="28">
        <f>IF($A62="","",COUNTIFS(入库单!$E$4:$E$2503,$A62,入库单!$Z$4:$Z$2503,"正常",入库单!$Y$4:$Y$2503,"待补价"))</f>
        <v/>
      </c>
      <c r="G62" s="26">
        <f>IF($A62="","",ROUND(SUMIFS(入库单!$P$4:$P$2503,入库单!$E$4:$E$2503,$A62,入库单!$Z$4:$Z$2503,"正常"),0))</f>
        <v/>
      </c>
      <c r="H62" s="26">
        <f>IF($A62="","",ROUND(SUMIFS(费用台账!$I$4:$I$503,费用台账!$C$4:$C$503,$A62,费用台账!$J$4:$J$503,"是",费用台账!$K$4:$K$503,"正常"),0))</f>
        <v/>
      </c>
      <c r="I62" s="37">
        <f>IF($A62="","",IF($G62=0,"",ROUND($H62/$G62,4)))</f>
        <v/>
      </c>
      <c r="J62" s="26">
        <f>IF($A62="","",ROUND(SUMIFS(入库单!$U$4:$U$2503,入库单!$E$4:$E$2503,$A62,入库单!$Z$4:$Z$2503,"正常"),0))</f>
        <v/>
      </c>
      <c r="K62" s="26">
        <f>IF($A62="","",ROUND($H62-$J62,0))</f>
        <v/>
      </c>
      <c r="L62" s="26">
        <f>IF($A62="","",ROUND(SUMIFS(入库单!$V$4:$V$2503,入库单!$E$4:$E$2503,$A62,入库单!$Z$4:$Z$2503,"正常"),0))</f>
        <v/>
      </c>
      <c r="M62" s="24">
        <f>IF($A62="","",IF($E62=0,"※这个批次号在入库单里找不到",IF(AND($H62&gt;0,$F62&gt;0),"△有 "&amp;$F62&amp;" 行没单价，运费整批挂账没摊 —— 补完价自动摊",IF($H62=0,"△还没录运费（27 个柜里只有 2 个录了，其余的要补）",IF(ABS($K62)&gt;1,"※摊完还差 "&amp;TEXT($K62,"#,##0")&amp;" 先令，查一下","已摊平")))))</f>
        <v/>
      </c>
    </row>
    <row r="63">
      <c r="A63" s="24" t="n"/>
      <c r="B63" s="17" t="n"/>
      <c r="C63" s="30" t="n"/>
      <c r="D63" s="24">
        <f>IF($A63="","",IFERROR(LOOKUP(2,1/(入库单!$E$4:$E$2503=$A63),入库单!$D$4:$D$2503),""))</f>
        <v/>
      </c>
      <c r="E63" s="28">
        <f>IF($A63="","",COUNTIFS(入库单!$E$4:$E$2503,$A63,入库单!$Z$4:$Z$2503,"正常"))</f>
        <v/>
      </c>
      <c r="F63" s="28">
        <f>IF($A63="","",COUNTIFS(入库单!$E$4:$E$2503,$A63,入库单!$Z$4:$Z$2503,"正常",入库单!$Y$4:$Y$2503,"待补价"))</f>
        <v/>
      </c>
      <c r="G63" s="26">
        <f>IF($A63="","",ROUND(SUMIFS(入库单!$P$4:$P$2503,入库单!$E$4:$E$2503,$A63,入库单!$Z$4:$Z$2503,"正常"),0))</f>
        <v/>
      </c>
      <c r="H63" s="26">
        <f>IF($A63="","",ROUND(SUMIFS(费用台账!$I$4:$I$503,费用台账!$C$4:$C$503,$A63,费用台账!$J$4:$J$503,"是",费用台账!$K$4:$K$503,"正常"),0))</f>
        <v/>
      </c>
      <c r="I63" s="37">
        <f>IF($A63="","",IF($G63=0,"",ROUND($H63/$G63,4)))</f>
        <v/>
      </c>
      <c r="J63" s="26">
        <f>IF($A63="","",ROUND(SUMIFS(入库单!$U$4:$U$2503,入库单!$E$4:$E$2503,$A63,入库单!$Z$4:$Z$2503,"正常"),0))</f>
        <v/>
      </c>
      <c r="K63" s="26">
        <f>IF($A63="","",ROUND($H63-$J63,0))</f>
        <v/>
      </c>
      <c r="L63" s="26">
        <f>IF($A63="","",ROUND(SUMIFS(入库单!$V$4:$V$2503,入库单!$E$4:$E$2503,$A63,入库单!$Z$4:$Z$2503,"正常"),0))</f>
        <v/>
      </c>
      <c r="M63" s="24">
        <f>IF($A63="","",IF($E63=0,"※这个批次号在入库单里找不到",IF(AND($H63&gt;0,$F63&gt;0),"△有 "&amp;$F63&amp;" 行没单价，运费整批挂账没摊 —— 补完价自动摊",IF($H63=0,"△还没录运费（27 个柜里只有 2 个录了，其余的要补）",IF(ABS($K63)&gt;1,"※摊完还差 "&amp;TEXT($K63,"#,##0")&amp;" 先令，查一下","已摊平")))))</f>
        <v/>
      </c>
    </row>
    <row r="64">
      <c r="A64" s="24" t="n"/>
      <c r="B64" s="17" t="n"/>
      <c r="C64" s="30" t="n"/>
      <c r="D64" s="24">
        <f>IF($A64="","",IFERROR(LOOKUP(2,1/(入库单!$E$4:$E$2503=$A64),入库单!$D$4:$D$2503),""))</f>
        <v/>
      </c>
      <c r="E64" s="28">
        <f>IF($A64="","",COUNTIFS(入库单!$E$4:$E$2503,$A64,入库单!$Z$4:$Z$2503,"正常"))</f>
        <v/>
      </c>
      <c r="F64" s="28">
        <f>IF($A64="","",COUNTIFS(入库单!$E$4:$E$2503,$A64,入库单!$Z$4:$Z$2503,"正常",入库单!$Y$4:$Y$2503,"待补价"))</f>
        <v/>
      </c>
      <c r="G64" s="26">
        <f>IF($A64="","",ROUND(SUMIFS(入库单!$P$4:$P$2503,入库单!$E$4:$E$2503,$A64,入库单!$Z$4:$Z$2503,"正常"),0))</f>
        <v/>
      </c>
      <c r="H64" s="26">
        <f>IF($A64="","",ROUND(SUMIFS(费用台账!$I$4:$I$503,费用台账!$C$4:$C$503,$A64,费用台账!$J$4:$J$503,"是",费用台账!$K$4:$K$503,"正常"),0))</f>
        <v/>
      </c>
      <c r="I64" s="37">
        <f>IF($A64="","",IF($G64=0,"",ROUND($H64/$G64,4)))</f>
        <v/>
      </c>
      <c r="J64" s="26">
        <f>IF($A64="","",ROUND(SUMIFS(入库单!$U$4:$U$2503,入库单!$E$4:$E$2503,$A64,入库单!$Z$4:$Z$2503,"正常"),0))</f>
        <v/>
      </c>
      <c r="K64" s="26">
        <f>IF($A64="","",ROUND($H64-$J64,0))</f>
        <v/>
      </c>
      <c r="L64" s="26">
        <f>IF($A64="","",ROUND(SUMIFS(入库单!$V$4:$V$2503,入库单!$E$4:$E$2503,$A64,入库单!$Z$4:$Z$2503,"正常"),0))</f>
        <v/>
      </c>
      <c r="M64" s="24">
        <f>IF($A64="","",IF($E64=0,"※这个批次号在入库单里找不到",IF(AND($H64&gt;0,$F64&gt;0),"△有 "&amp;$F64&amp;" 行没单价，运费整批挂账没摊 —— 补完价自动摊",IF($H64=0,"△还没录运费（27 个柜里只有 2 个录了，其余的要补）",IF(ABS($K64)&gt;1,"※摊完还差 "&amp;TEXT($K64,"#,##0")&amp;" 先令，查一下","已摊平")))))</f>
        <v/>
      </c>
    </row>
    <row r="65">
      <c r="A65" s="24" t="n"/>
      <c r="B65" s="17" t="n"/>
      <c r="C65" s="30" t="n"/>
      <c r="D65" s="24">
        <f>IF($A65="","",IFERROR(LOOKUP(2,1/(入库单!$E$4:$E$2503=$A65),入库单!$D$4:$D$2503),""))</f>
        <v/>
      </c>
      <c r="E65" s="28">
        <f>IF($A65="","",COUNTIFS(入库单!$E$4:$E$2503,$A65,入库单!$Z$4:$Z$2503,"正常"))</f>
        <v/>
      </c>
      <c r="F65" s="28">
        <f>IF($A65="","",COUNTIFS(入库单!$E$4:$E$2503,$A65,入库单!$Z$4:$Z$2503,"正常",入库单!$Y$4:$Y$2503,"待补价"))</f>
        <v/>
      </c>
      <c r="G65" s="26">
        <f>IF($A65="","",ROUND(SUMIFS(入库单!$P$4:$P$2503,入库单!$E$4:$E$2503,$A65,入库单!$Z$4:$Z$2503,"正常"),0))</f>
        <v/>
      </c>
      <c r="H65" s="26">
        <f>IF($A65="","",ROUND(SUMIFS(费用台账!$I$4:$I$503,费用台账!$C$4:$C$503,$A65,费用台账!$J$4:$J$503,"是",费用台账!$K$4:$K$503,"正常"),0))</f>
        <v/>
      </c>
      <c r="I65" s="37">
        <f>IF($A65="","",IF($G65=0,"",ROUND($H65/$G65,4)))</f>
        <v/>
      </c>
      <c r="J65" s="26">
        <f>IF($A65="","",ROUND(SUMIFS(入库单!$U$4:$U$2503,入库单!$E$4:$E$2503,$A65,入库单!$Z$4:$Z$2503,"正常"),0))</f>
        <v/>
      </c>
      <c r="K65" s="26">
        <f>IF($A65="","",ROUND($H65-$J65,0))</f>
        <v/>
      </c>
      <c r="L65" s="26">
        <f>IF($A65="","",ROUND(SUMIFS(入库单!$V$4:$V$2503,入库单!$E$4:$E$2503,$A65,入库单!$Z$4:$Z$2503,"正常"),0))</f>
        <v/>
      </c>
      <c r="M65" s="24">
        <f>IF($A65="","",IF($E65=0,"※这个批次号在入库单里找不到",IF(AND($H65&gt;0,$F65&gt;0),"△有 "&amp;$F65&amp;" 行没单价，运费整批挂账没摊 —— 补完价自动摊",IF($H65=0,"△还没录运费（27 个柜里只有 2 个录了，其余的要补）",IF(ABS($K65)&gt;1,"※摊完还差 "&amp;TEXT($K65,"#,##0")&amp;" 先令，查一下","已摊平")))))</f>
        <v/>
      </c>
    </row>
    <row r="66">
      <c r="A66" s="24" t="n"/>
      <c r="B66" s="17" t="n"/>
      <c r="C66" s="30" t="n"/>
      <c r="D66" s="24">
        <f>IF($A66="","",IFERROR(LOOKUP(2,1/(入库单!$E$4:$E$2503=$A66),入库单!$D$4:$D$2503),""))</f>
        <v/>
      </c>
      <c r="E66" s="28">
        <f>IF($A66="","",COUNTIFS(入库单!$E$4:$E$2503,$A66,入库单!$Z$4:$Z$2503,"正常"))</f>
        <v/>
      </c>
      <c r="F66" s="28">
        <f>IF($A66="","",COUNTIFS(入库单!$E$4:$E$2503,$A66,入库单!$Z$4:$Z$2503,"正常",入库单!$Y$4:$Y$2503,"待补价"))</f>
        <v/>
      </c>
      <c r="G66" s="26">
        <f>IF($A66="","",ROUND(SUMIFS(入库单!$P$4:$P$2503,入库单!$E$4:$E$2503,$A66,入库单!$Z$4:$Z$2503,"正常"),0))</f>
        <v/>
      </c>
      <c r="H66" s="26">
        <f>IF($A66="","",ROUND(SUMIFS(费用台账!$I$4:$I$503,费用台账!$C$4:$C$503,$A66,费用台账!$J$4:$J$503,"是",费用台账!$K$4:$K$503,"正常"),0))</f>
        <v/>
      </c>
      <c r="I66" s="37">
        <f>IF($A66="","",IF($G66=0,"",ROUND($H66/$G66,4)))</f>
        <v/>
      </c>
      <c r="J66" s="26">
        <f>IF($A66="","",ROUND(SUMIFS(入库单!$U$4:$U$2503,入库单!$E$4:$E$2503,$A66,入库单!$Z$4:$Z$2503,"正常"),0))</f>
        <v/>
      </c>
      <c r="K66" s="26">
        <f>IF($A66="","",ROUND($H66-$J66,0))</f>
        <v/>
      </c>
      <c r="L66" s="26">
        <f>IF($A66="","",ROUND(SUMIFS(入库单!$V$4:$V$2503,入库单!$E$4:$E$2503,$A66,入库单!$Z$4:$Z$2503,"正常"),0))</f>
        <v/>
      </c>
      <c r="M66" s="24">
        <f>IF($A66="","",IF($E66=0,"※这个批次号在入库单里找不到",IF(AND($H66&gt;0,$F66&gt;0),"△有 "&amp;$F66&amp;" 行没单价，运费整批挂账没摊 —— 补完价自动摊",IF($H66=0,"△还没录运费（27 个柜里只有 2 个录了，其余的要补）",IF(ABS($K66)&gt;1,"※摊完还差 "&amp;TEXT($K66,"#,##0")&amp;" 先令，查一下","已摊平")))))</f>
        <v/>
      </c>
    </row>
    <row r="67">
      <c r="A67" s="24" t="n"/>
      <c r="B67" s="17" t="n"/>
      <c r="C67" s="30" t="n"/>
      <c r="D67" s="24">
        <f>IF($A67="","",IFERROR(LOOKUP(2,1/(入库单!$E$4:$E$2503=$A67),入库单!$D$4:$D$2503),""))</f>
        <v/>
      </c>
      <c r="E67" s="28">
        <f>IF($A67="","",COUNTIFS(入库单!$E$4:$E$2503,$A67,入库单!$Z$4:$Z$2503,"正常"))</f>
        <v/>
      </c>
      <c r="F67" s="28">
        <f>IF($A67="","",COUNTIFS(入库单!$E$4:$E$2503,$A67,入库单!$Z$4:$Z$2503,"正常",入库单!$Y$4:$Y$2503,"待补价"))</f>
        <v/>
      </c>
      <c r="G67" s="26">
        <f>IF($A67="","",ROUND(SUMIFS(入库单!$P$4:$P$2503,入库单!$E$4:$E$2503,$A67,入库单!$Z$4:$Z$2503,"正常"),0))</f>
        <v/>
      </c>
      <c r="H67" s="26">
        <f>IF($A67="","",ROUND(SUMIFS(费用台账!$I$4:$I$503,费用台账!$C$4:$C$503,$A67,费用台账!$J$4:$J$503,"是",费用台账!$K$4:$K$503,"正常"),0))</f>
        <v/>
      </c>
      <c r="I67" s="37">
        <f>IF($A67="","",IF($G67=0,"",ROUND($H67/$G67,4)))</f>
        <v/>
      </c>
      <c r="J67" s="26">
        <f>IF($A67="","",ROUND(SUMIFS(入库单!$U$4:$U$2503,入库单!$E$4:$E$2503,$A67,入库单!$Z$4:$Z$2503,"正常"),0))</f>
        <v/>
      </c>
      <c r="K67" s="26">
        <f>IF($A67="","",ROUND($H67-$J67,0))</f>
        <v/>
      </c>
      <c r="L67" s="26">
        <f>IF($A67="","",ROUND(SUMIFS(入库单!$V$4:$V$2503,入库单!$E$4:$E$2503,$A67,入库单!$Z$4:$Z$2503,"正常"),0))</f>
        <v/>
      </c>
      <c r="M67" s="24">
        <f>IF($A67="","",IF($E67=0,"※这个批次号在入库单里找不到",IF(AND($H67&gt;0,$F67&gt;0),"△有 "&amp;$F67&amp;" 行没单价，运费整批挂账没摊 —— 补完价自动摊",IF($H67=0,"△还没录运费（27 个柜里只有 2 个录了，其余的要补）",IF(ABS($K67)&gt;1,"※摊完还差 "&amp;TEXT($K67,"#,##0")&amp;" 先令，查一下","已摊平")))))</f>
        <v/>
      </c>
    </row>
    <row r="68">
      <c r="A68" s="24" t="n"/>
      <c r="B68" s="17" t="n"/>
      <c r="C68" s="30" t="n"/>
      <c r="D68" s="24">
        <f>IF($A68="","",IFERROR(LOOKUP(2,1/(入库单!$E$4:$E$2503=$A68),入库单!$D$4:$D$2503),""))</f>
        <v/>
      </c>
      <c r="E68" s="28">
        <f>IF($A68="","",COUNTIFS(入库单!$E$4:$E$2503,$A68,入库单!$Z$4:$Z$2503,"正常"))</f>
        <v/>
      </c>
      <c r="F68" s="28">
        <f>IF($A68="","",COUNTIFS(入库单!$E$4:$E$2503,$A68,入库单!$Z$4:$Z$2503,"正常",入库单!$Y$4:$Y$2503,"待补价"))</f>
        <v/>
      </c>
      <c r="G68" s="26">
        <f>IF($A68="","",ROUND(SUMIFS(入库单!$P$4:$P$2503,入库单!$E$4:$E$2503,$A68,入库单!$Z$4:$Z$2503,"正常"),0))</f>
        <v/>
      </c>
      <c r="H68" s="26">
        <f>IF($A68="","",ROUND(SUMIFS(费用台账!$I$4:$I$503,费用台账!$C$4:$C$503,$A68,费用台账!$J$4:$J$503,"是",费用台账!$K$4:$K$503,"正常"),0))</f>
        <v/>
      </c>
      <c r="I68" s="37">
        <f>IF($A68="","",IF($G68=0,"",ROUND($H68/$G68,4)))</f>
        <v/>
      </c>
      <c r="J68" s="26">
        <f>IF($A68="","",ROUND(SUMIFS(入库单!$U$4:$U$2503,入库单!$E$4:$E$2503,$A68,入库单!$Z$4:$Z$2503,"正常"),0))</f>
        <v/>
      </c>
      <c r="K68" s="26">
        <f>IF($A68="","",ROUND($H68-$J68,0))</f>
        <v/>
      </c>
      <c r="L68" s="26">
        <f>IF($A68="","",ROUND(SUMIFS(入库单!$V$4:$V$2503,入库单!$E$4:$E$2503,$A68,入库单!$Z$4:$Z$2503,"正常"),0))</f>
        <v/>
      </c>
      <c r="M68" s="24">
        <f>IF($A68="","",IF($E68=0,"※这个批次号在入库单里找不到",IF(AND($H68&gt;0,$F68&gt;0),"△有 "&amp;$F68&amp;" 行没单价，运费整批挂账没摊 —— 补完价自动摊",IF($H68=0,"△还没录运费（27 个柜里只有 2 个录了，其余的要补）",IF(ABS($K68)&gt;1,"※摊完还差 "&amp;TEXT($K68,"#,##0")&amp;" 先令，查一下","已摊平")))))</f>
        <v/>
      </c>
    </row>
    <row r="69">
      <c r="A69" s="24" t="n"/>
      <c r="B69" s="17" t="n"/>
      <c r="C69" s="30" t="n"/>
      <c r="D69" s="24">
        <f>IF($A69="","",IFERROR(LOOKUP(2,1/(入库单!$E$4:$E$2503=$A69),入库单!$D$4:$D$2503),""))</f>
        <v/>
      </c>
      <c r="E69" s="28">
        <f>IF($A69="","",COUNTIFS(入库单!$E$4:$E$2503,$A69,入库单!$Z$4:$Z$2503,"正常"))</f>
        <v/>
      </c>
      <c r="F69" s="28">
        <f>IF($A69="","",COUNTIFS(入库单!$E$4:$E$2503,$A69,入库单!$Z$4:$Z$2503,"正常",入库单!$Y$4:$Y$2503,"待补价"))</f>
        <v/>
      </c>
      <c r="G69" s="26">
        <f>IF($A69="","",ROUND(SUMIFS(入库单!$P$4:$P$2503,入库单!$E$4:$E$2503,$A69,入库单!$Z$4:$Z$2503,"正常"),0))</f>
        <v/>
      </c>
      <c r="H69" s="26">
        <f>IF($A69="","",ROUND(SUMIFS(费用台账!$I$4:$I$503,费用台账!$C$4:$C$503,$A69,费用台账!$J$4:$J$503,"是",费用台账!$K$4:$K$503,"正常"),0))</f>
        <v/>
      </c>
      <c r="I69" s="37">
        <f>IF($A69="","",IF($G69=0,"",ROUND($H69/$G69,4)))</f>
        <v/>
      </c>
      <c r="J69" s="26">
        <f>IF($A69="","",ROUND(SUMIFS(入库单!$U$4:$U$2503,入库单!$E$4:$E$2503,$A69,入库单!$Z$4:$Z$2503,"正常"),0))</f>
        <v/>
      </c>
      <c r="K69" s="26">
        <f>IF($A69="","",ROUND($H69-$J69,0))</f>
        <v/>
      </c>
      <c r="L69" s="26">
        <f>IF($A69="","",ROUND(SUMIFS(入库单!$V$4:$V$2503,入库单!$E$4:$E$2503,$A69,入库单!$Z$4:$Z$2503,"正常"),0))</f>
        <v/>
      </c>
      <c r="M69" s="24">
        <f>IF($A69="","",IF($E69=0,"※这个批次号在入库单里找不到",IF(AND($H69&gt;0,$F69&gt;0),"△有 "&amp;$F69&amp;" 行没单价，运费整批挂账没摊 —— 补完价自动摊",IF($H69=0,"△还没录运费（27 个柜里只有 2 个录了，其余的要补）",IF(ABS($K69)&gt;1,"※摊完还差 "&amp;TEXT($K69,"#,##0")&amp;" 先令，查一下","已摊平")))))</f>
        <v/>
      </c>
    </row>
    <row r="70">
      <c r="A70" s="24" t="n"/>
      <c r="B70" s="17" t="n"/>
      <c r="C70" s="30" t="n"/>
      <c r="D70" s="24">
        <f>IF($A70="","",IFERROR(LOOKUP(2,1/(入库单!$E$4:$E$2503=$A70),入库单!$D$4:$D$2503),""))</f>
        <v/>
      </c>
      <c r="E70" s="28">
        <f>IF($A70="","",COUNTIFS(入库单!$E$4:$E$2503,$A70,入库单!$Z$4:$Z$2503,"正常"))</f>
        <v/>
      </c>
      <c r="F70" s="28">
        <f>IF($A70="","",COUNTIFS(入库单!$E$4:$E$2503,$A70,入库单!$Z$4:$Z$2503,"正常",入库单!$Y$4:$Y$2503,"待补价"))</f>
        <v/>
      </c>
      <c r="G70" s="26">
        <f>IF($A70="","",ROUND(SUMIFS(入库单!$P$4:$P$2503,入库单!$E$4:$E$2503,$A70,入库单!$Z$4:$Z$2503,"正常"),0))</f>
        <v/>
      </c>
      <c r="H70" s="26">
        <f>IF($A70="","",ROUND(SUMIFS(费用台账!$I$4:$I$503,费用台账!$C$4:$C$503,$A70,费用台账!$J$4:$J$503,"是",费用台账!$K$4:$K$503,"正常"),0))</f>
        <v/>
      </c>
      <c r="I70" s="37">
        <f>IF($A70="","",IF($G70=0,"",ROUND($H70/$G70,4)))</f>
        <v/>
      </c>
      <c r="J70" s="26">
        <f>IF($A70="","",ROUND(SUMIFS(入库单!$U$4:$U$2503,入库单!$E$4:$E$2503,$A70,入库单!$Z$4:$Z$2503,"正常"),0))</f>
        <v/>
      </c>
      <c r="K70" s="26">
        <f>IF($A70="","",ROUND($H70-$J70,0))</f>
        <v/>
      </c>
      <c r="L70" s="26">
        <f>IF($A70="","",ROUND(SUMIFS(入库单!$V$4:$V$2503,入库单!$E$4:$E$2503,$A70,入库单!$Z$4:$Z$2503,"正常"),0))</f>
        <v/>
      </c>
      <c r="M70" s="24">
        <f>IF($A70="","",IF($E70=0,"※这个批次号在入库单里找不到",IF(AND($H70&gt;0,$F70&gt;0),"△有 "&amp;$F70&amp;" 行没单价，运费整批挂账没摊 —— 补完价自动摊",IF($H70=0,"△还没录运费（27 个柜里只有 2 个录了，其余的要补）",IF(ABS($K70)&gt;1,"※摊完还差 "&amp;TEXT($K70,"#,##0")&amp;" 先令，查一下","已摊平")))))</f>
        <v/>
      </c>
    </row>
    <row r="71">
      <c r="A71" s="24" t="n"/>
      <c r="B71" s="17" t="n"/>
      <c r="C71" s="30" t="n"/>
      <c r="D71" s="24">
        <f>IF($A71="","",IFERROR(LOOKUP(2,1/(入库单!$E$4:$E$2503=$A71),入库单!$D$4:$D$2503),""))</f>
        <v/>
      </c>
      <c r="E71" s="28">
        <f>IF($A71="","",COUNTIFS(入库单!$E$4:$E$2503,$A71,入库单!$Z$4:$Z$2503,"正常"))</f>
        <v/>
      </c>
      <c r="F71" s="28">
        <f>IF($A71="","",COUNTIFS(入库单!$E$4:$E$2503,$A71,入库单!$Z$4:$Z$2503,"正常",入库单!$Y$4:$Y$2503,"待补价"))</f>
        <v/>
      </c>
      <c r="G71" s="26">
        <f>IF($A71="","",ROUND(SUMIFS(入库单!$P$4:$P$2503,入库单!$E$4:$E$2503,$A71,入库单!$Z$4:$Z$2503,"正常"),0))</f>
        <v/>
      </c>
      <c r="H71" s="26">
        <f>IF($A71="","",ROUND(SUMIFS(费用台账!$I$4:$I$503,费用台账!$C$4:$C$503,$A71,费用台账!$J$4:$J$503,"是",费用台账!$K$4:$K$503,"正常"),0))</f>
        <v/>
      </c>
      <c r="I71" s="37">
        <f>IF($A71="","",IF($G71=0,"",ROUND($H71/$G71,4)))</f>
        <v/>
      </c>
      <c r="J71" s="26">
        <f>IF($A71="","",ROUND(SUMIFS(入库单!$U$4:$U$2503,入库单!$E$4:$E$2503,$A71,入库单!$Z$4:$Z$2503,"正常"),0))</f>
        <v/>
      </c>
      <c r="K71" s="26">
        <f>IF($A71="","",ROUND($H71-$J71,0))</f>
        <v/>
      </c>
      <c r="L71" s="26">
        <f>IF($A71="","",ROUND(SUMIFS(入库单!$V$4:$V$2503,入库单!$E$4:$E$2503,$A71,入库单!$Z$4:$Z$2503,"正常"),0))</f>
        <v/>
      </c>
      <c r="M71" s="24">
        <f>IF($A71="","",IF($E71=0,"※这个批次号在入库单里找不到",IF(AND($H71&gt;0,$F71&gt;0),"△有 "&amp;$F71&amp;" 行没单价，运费整批挂账没摊 —— 补完价自动摊",IF($H71=0,"△还没录运费（27 个柜里只有 2 个录了，其余的要补）",IF(ABS($K71)&gt;1,"※摊完还差 "&amp;TEXT($K71,"#,##0")&amp;" 先令，查一下","已摊平")))))</f>
        <v/>
      </c>
    </row>
    <row r="72">
      <c r="A72" s="24" t="n"/>
      <c r="B72" s="17" t="n"/>
      <c r="C72" s="30" t="n"/>
      <c r="D72" s="24">
        <f>IF($A72="","",IFERROR(LOOKUP(2,1/(入库单!$E$4:$E$2503=$A72),入库单!$D$4:$D$2503),""))</f>
        <v/>
      </c>
      <c r="E72" s="28">
        <f>IF($A72="","",COUNTIFS(入库单!$E$4:$E$2503,$A72,入库单!$Z$4:$Z$2503,"正常"))</f>
        <v/>
      </c>
      <c r="F72" s="28">
        <f>IF($A72="","",COUNTIFS(入库单!$E$4:$E$2503,$A72,入库单!$Z$4:$Z$2503,"正常",入库单!$Y$4:$Y$2503,"待补价"))</f>
        <v/>
      </c>
      <c r="G72" s="26">
        <f>IF($A72="","",ROUND(SUMIFS(入库单!$P$4:$P$2503,入库单!$E$4:$E$2503,$A72,入库单!$Z$4:$Z$2503,"正常"),0))</f>
        <v/>
      </c>
      <c r="H72" s="26">
        <f>IF($A72="","",ROUND(SUMIFS(费用台账!$I$4:$I$503,费用台账!$C$4:$C$503,$A72,费用台账!$J$4:$J$503,"是",费用台账!$K$4:$K$503,"正常"),0))</f>
        <v/>
      </c>
      <c r="I72" s="37">
        <f>IF($A72="","",IF($G72=0,"",ROUND($H72/$G72,4)))</f>
        <v/>
      </c>
      <c r="J72" s="26">
        <f>IF($A72="","",ROUND(SUMIFS(入库单!$U$4:$U$2503,入库单!$E$4:$E$2503,$A72,入库单!$Z$4:$Z$2503,"正常"),0))</f>
        <v/>
      </c>
      <c r="K72" s="26">
        <f>IF($A72="","",ROUND($H72-$J72,0))</f>
        <v/>
      </c>
      <c r="L72" s="26">
        <f>IF($A72="","",ROUND(SUMIFS(入库单!$V$4:$V$2503,入库单!$E$4:$E$2503,$A72,入库单!$Z$4:$Z$2503,"正常"),0))</f>
        <v/>
      </c>
      <c r="M72" s="24">
        <f>IF($A72="","",IF($E72=0,"※这个批次号在入库单里找不到",IF(AND($H72&gt;0,$F72&gt;0),"△有 "&amp;$F72&amp;" 行没单价，运费整批挂账没摊 —— 补完价自动摊",IF($H72=0,"△还没录运费（27 个柜里只有 2 个录了，其余的要补）",IF(ABS($K72)&gt;1,"※摊完还差 "&amp;TEXT($K72,"#,##0")&amp;" 先令，查一下","已摊平")))))</f>
        <v/>
      </c>
    </row>
    <row r="73">
      <c r="A73" s="24" t="n"/>
      <c r="B73" s="17" t="n"/>
      <c r="C73" s="30" t="n"/>
      <c r="D73" s="24">
        <f>IF($A73="","",IFERROR(LOOKUP(2,1/(入库单!$E$4:$E$2503=$A73),入库单!$D$4:$D$2503),""))</f>
        <v/>
      </c>
      <c r="E73" s="28">
        <f>IF($A73="","",COUNTIFS(入库单!$E$4:$E$2503,$A73,入库单!$Z$4:$Z$2503,"正常"))</f>
        <v/>
      </c>
      <c r="F73" s="28">
        <f>IF($A73="","",COUNTIFS(入库单!$E$4:$E$2503,$A73,入库单!$Z$4:$Z$2503,"正常",入库单!$Y$4:$Y$2503,"待补价"))</f>
        <v/>
      </c>
      <c r="G73" s="26">
        <f>IF($A73="","",ROUND(SUMIFS(入库单!$P$4:$P$2503,入库单!$E$4:$E$2503,$A73,入库单!$Z$4:$Z$2503,"正常"),0))</f>
        <v/>
      </c>
      <c r="H73" s="26">
        <f>IF($A73="","",ROUND(SUMIFS(费用台账!$I$4:$I$503,费用台账!$C$4:$C$503,$A73,费用台账!$J$4:$J$503,"是",费用台账!$K$4:$K$503,"正常"),0))</f>
        <v/>
      </c>
      <c r="I73" s="37">
        <f>IF($A73="","",IF($G73=0,"",ROUND($H73/$G73,4)))</f>
        <v/>
      </c>
      <c r="J73" s="26">
        <f>IF($A73="","",ROUND(SUMIFS(入库单!$U$4:$U$2503,入库单!$E$4:$E$2503,$A73,入库单!$Z$4:$Z$2503,"正常"),0))</f>
        <v/>
      </c>
      <c r="K73" s="26">
        <f>IF($A73="","",ROUND($H73-$J73,0))</f>
        <v/>
      </c>
      <c r="L73" s="26">
        <f>IF($A73="","",ROUND(SUMIFS(入库单!$V$4:$V$2503,入库单!$E$4:$E$2503,$A73,入库单!$Z$4:$Z$2503,"正常"),0))</f>
        <v/>
      </c>
      <c r="M73" s="24">
        <f>IF($A73="","",IF($E73=0,"※这个批次号在入库单里找不到",IF(AND($H73&gt;0,$F73&gt;0),"△有 "&amp;$F73&amp;" 行没单价，运费整批挂账没摊 —— 补完价自动摊",IF($H73=0,"△还没录运费（27 个柜里只有 2 个录了，其余的要补）",IF(ABS($K73)&gt;1,"※摊完还差 "&amp;TEXT($K73,"#,##0")&amp;" 先令，查一下","已摊平")))))</f>
        <v/>
      </c>
    </row>
    <row r="74">
      <c r="A74" s="24" t="n"/>
      <c r="B74" s="17" t="n"/>
      <c r="C74" s="30" t="n"/>
      <c r="D74" s="24">
        <f>IF($A74="","",IFERROR(LOOKUP(2,1/(入库单!$E$4:$E$2503=$A74),入库单!$D$4:$D$2503),""))</f>
        <v/>
      </c>
      <c r="E74" s="28">
        <f>IF($A74="","",COUNTIFS(入库单!$E$4:$E$2503,$A74,入库单!$Z$4:$Z$2503,"正常"))</f>
        <v/>
      </c>
      <c r="F74" s="28">
        <f>IF($A74="","",COUNTIFS(入库单!$E$4:$E$2503,$A74,入库单!$Z$4:$Z$2503,"正常",入库单!$Y$4:$Y$2503,"待补价"))</f>
        <v/>
      </c>
      <c r="G74" s="26">
        <f>IF($A74="","",ROUND(SUMIFS(入库单!$P$4:$P$2503,入库单!$E$4:$E$2503,$A74,入库单!$Z$4:$Z$2503,"正常"),0))</f>
        <v/>
      </c>
      <c r="H74" s="26">
        <f>IF($A74="","",ROUND(SUMIFS(费用台账!$I$4:$I$503,费用台账!$C$4:$C$503,$A74,费用台账!$J$4:$J$503,"是",费用台账!$K$4:$K$503,"正常"),0))</f>
        <v/>
      </c>
      <c r="I74" s="37">
        <f>IF($A74="","",IF($G74=0,"",ROUND($H74/$G74,4)))</f>
        <v/>
      </c>
      <c r="J74" s="26">
        <f>IF($A74="","",ROUND(SUMIFS(入库单!$U$4:$U$2503,入库单!$E$4:$E$2503,$A74,入库单!$Z$4:$Z$2503,"正常"),0))</f>
        <v/>
      </c>
      <c r="K74" s="26">
        <f>IF($A74="","",ROUND($H74-$J74,0))</f>
        <v/>
      </c>
      <c r="L74" s="26">
        <f>IF($A74="","",ROUND(SUMIFS(入库单!$V$4:$V$2503,入库单!$E$4:$E$2503,$A74,入库单!$Z$4:$Z$2503,"正常"),0))</f>
        <v/>
      </c>
      <c r="M74" s="24">
        <f>IF($A74="","",IF($E74=0,"※这个批次号在入库单里找不到",IF(AND($H74&gt;0,$F74&gt;0),"△有 "&amp;$F74&amp;" 行没单价，运费整批挂账没摊 —— 补完价自动摊",IF($H74=0,"△还没录运费（27 个柜里只有 2 个录了，其余的要补）",IF(ABS($K74)&gt;1,"※摊完还差 "&amp;TEXT($K74,"#,##0")&amp;" 先令，查一下","已摊平")))))</f>
        <v/>
      </c>
    </row>
    <row r="75">
      <c r="A75" s="24" t="n"/>
      <c r="B75" s="17" t="n"/>
      <c r="C75" s="30" t="n"/>
      <c r="D75" s="24">
        <f>IF($A75="","",IFERROR(LOOKUP(2,1/(入库单!$E$4:$E$2503=$A75),入库单!$D$4:$D$2503),""))</f>
        <v/>
      </c>
      <c r="E75" s="28">
        <f>IF($A75="","",COUNTIFS(入库单!$E$4:$E$2503,$A75,入库单!$Z$4:$Z$2503,"正常"))</f>
        <v/>
      </c>
      <c r="F75" s="28">
        <f>IF($A75="","",COUNTIFS(入库单!$E$4:$E$2503,$A75,入库单!$Z$4:$Z$2503,"正常",入库单!$Y$4:$Y$2503,"待补价"))</f>
        <v/>
      </c>
      <c r="G75" s="26">
        <f>IF($A75="","",ROUND(SUMIFS(入库单!$P$4:$P$2503,入库单!$E$4:$E$2503,$A75,入库单!$Z$4:$Z$2503,"正常"),0))</f>
        <v/>
      </c>
      <c r="H75" s="26">
        <f>IF($A75="","",ROUND(SUMIFS(费用台账!$I$4:$I$503,费用台账!$C$4:$C$503,$A75,费用台账!$J$4:$J$503,"是",费用台账!$K$4:$K$503,"正常"),0))</f>
        <v/>
      </c>
      <c r="I75" s="37">
        <f>IF($A75="","",IF($G75=0,"",ROUND($H75/$G75,4)))</f>
        <v/>
      </c>
      <c r="J75" s="26">
        <f>IF($A75="","",ROUND(SUMIFS(入库单!$U$4:$U$2503,入库单!$E$4:$E$2503,$A75,入库单!$Z$4:$Z$2503,"正常"),0))</f>
        <v/>
      </c>
      <c r="K75" s="26">
        <f>IF($A75="","",ROUND($H75-$J75,0))</f>
        <v/>
      </c>
      <c r="L75" s="26">
        <f>IF($A75="","",ROUND(SUMIFS(入库单!$V$4:$V$2503,入库单!$E$4:$E$2503,$A75,入库单!$Z$4:$Z$2503,"正常"),0))</f>
        <v/>
      </c>
      <c r="M75" s="24">
        <f>IF($A75="","",IF($E75=0,"※这个批次号在入库单里找不到",IF(AND($H75&gt;0,$F75&gt;0),"△有 "&amp;$F75&amp;" 行没单价，运费整批挂账没摊 —— 补完价自动摊",IF($H75=0,"△还没录运费（27 个柜里只有 2 个录了，其余的要补）",IF(ABS($K75)&gt;1,"※摊完还差 "&amp;TEXT($K75,"#,##0")&amp;" 先令，查一下","已摊平")))))</f>
        <v/>
      </c>
    </row>
    <row r="76">
      <c r="A76" s="24" t="n"/>
      <c r="B76" s="17" t="n"/>
      <c r="C76" s="30" t="n"/>
      <c r="D76" s="24">
        <f>IF($A76="","",IFERROR(LOOKUP(2,1/(入库单!$E$4:$E$2503=$A76),入库单!$D$4:$D$2503),""))</f>
        <v/>
      </c>
      <c r="E76" s="28">
        <f>IF($A76="","",COUNTIFS(入库单!$E$4:$E$2503,$A76,入库单!$Z$4:$Z$2503,"正常"))</f>
        <v/>
      </c>
      <c r="F76" s="28">
        <f>IF($A76="","",COUNTIFS(入库单!$E$4:$E$2503,$A76,入库单!$Z$4:$Z$2503,"正常",入库单!$Y$4:$Y$2503,"待补价"))</f>
        <v/>
      </c>
      <c r="G76" s="26">
        <f>IF($A76="","",ROUND(SUMIFS(入库单!$P$4:$P$2503,入库单!$E$4:$E$2503,$A76,入库单!$Z$4:$Z$2503,"正常"),0))</f>
        <v/>
      </c>
      <c r="H76" s="26">
        <f>IF($A76="","",ROUND(SUMIFS(费用台账!$I$4:$I$503,费用台账!$C$4:$C$503,$A76,费用台账!$J$4:$J$503,"是",费用台账!$K$4:$K$503,"正常"),0))</f>
        <v/>
      </c>
      <c r="I76" s="37">
        <f>IF($A76="","",IF($G76=0,"",ROUND($H76/$G76,4)))</f>
        <v/>
      </c>
      <c r="J76" s="26">
        <f>IF($A76="","",ROUND(SUMIFS(入库单!$U$4:$U$2503,入库单!$E$4:$E$2503,$A76,入库单!$Z$4:$Z$2503,"正常"),0))</f>
        <v/>
      </c>
      <c r="K76" s="26">
        <f>IF($A76="","",ROUND($H76-$J76,0))</f>
        <v/>
      </c>
      <c r="L76" s="26">
        <f>IF($A76="","",ROUND(SUMIFS(入库单!$V$4:$V$2503,入库单!$E$4:$E$2503,$A76,入库单!$Z$4:$Z$2503,"正常"),0))</f>
        <v/>
      </c>
      <c r="M76" s="24">
        <f>IF($A76="","",IF($E76=0,"※这个批次号在入库单里找不到",IF(AND($H76&gt;0,$F76&gt;0),"△有 "&amp;$F76&amp;" 行没单价，运费整批挂账没摊 —— 补完价自动摊",IF($H76=0,"△还没录运费（27 个柜里只有 2 个录了，其余的要补）",IF(ABS($K76)&gt;1,"※摊完还差 "&amp;TEXT($K76,"#,##0")&amp;" 先令，查一下","已摊平")))))</f>
        <v/>
      </c>
    </row>
    <row r="77">
      <c r="A77" s="24" t="n"/>
      <c r="B77" s="17" t="n"/>
      <c r="C77" s="30" t="n"/>
      <c r="D77" s="24">
        <f>IF($A77="","",IFERROR(LOOKUP(2,1/(入库单!$E$4:$E$2503=$A77),入库单!$D$4:$D$2503),""))</f>
        <v/>
      </c>
      <c r="E77" s="28">
        <f>IF($A77="","",COUNTIFS(入库单!$E$4:$E$2503,$A77,入库单!$Z$4:$Z$2503,"正常"))</f>
        <v/>
      </c>
      <c r="F77" s="28">
        <f>IF($A77="","",COUNTIFS(入库单!$E$4:$E$2503,$A77,入库单!$Z$4:$Z$2503,"正常",入库单!$Y$4:$Y$2503,"待补价"))</f>
        <v/>
      </c>
      <c r="G77" s="26">
        <f>IF($A77="","",ROUND(SUMIFS(入库单!$P$4:$P$2503,入库单!$E$4:$E$2503,$A77,入库单!$Z$4:$Z$2503,"正常"),0))</f>
        <v/>
      </c>
      <c r="H77" s="26">
        <f>IF($A77="","",ROUND(SUMIFS(费用台账!$I$4:$I$503,费用台账!$C$4:$C$503,$A77,费用台账!$J$4:$J$503,"是",费用台账!$K$4:$K$503,"正常"),0))</f>
        <v/>
      </c>
      <c r="I77" s="37">
        <f>IF($A77="","",IF($G77=0,"",ROUND($H77/$G77,4)))</f>
        <v/>
      </c>
      <c r="J77" s="26">
        <f>IF($A77="","",ROUND(SUMIFS(入库单!$U$4:$U$2503,入库单!$E$4:$E$2503,$A77,入库单!$Z$4:$Z$2503,"正常"),0))</f>
        <v/>
      </c>
      <c r="K77" s="26">
        <f>IF($A77="","",ROUND($H77-$J77,0))</f>
        <v/>
      </c>
      <c r="L77" s="26">
        <f>IF($A77="","",ROUND(SUMIFS(入库单!$V$4:$V$2503,入库单!$E$4:$E$2503,$A77,入库单!$Z$4:$Z$2503,"正常"),0))</f>
        <v/>
      </c>
      <c r="M77" s="24">
        <f>IF($A77="","",IF($E77=0,"※这个批次号在入库单里找不到",IF(AND($H77&gt;0,$F77&gt;0),"△有 "&amp;$F77&amp;" 行没单价，运费整批挂账没摊 —— 补完价自动摊",IF($H77=0,"△还没录运费（27 个柜里只有 2 个录了，其余的要补）",IF(ABS($K77)&gt;1,"※摊完还差 "&amp;TEXT($K77,"#,##0")&amp;" 先令，查一下","已摊平")))))</f>
        <v/>
      </c>
    </row>
    <row r="78">
      <c r="A78" s="24" t="n"/>
      <c r="B78" s="17" t="n"/>
      <c r="C78" s="30" t="n"/>
      <c r="D78" s="24">
        <f>IF($A78="","",IFERROR(LOOKUP(2,1/(入库单!$E$4:$E$2503=$A78),入库单!$D$4:$D$2503),""))</f>
        <v/>
      </c>
      <c r="E78" s="28">
        <f>IF($A78="","",COUNTIFS(入库单!$E$4:$E$2503,$A78,入库单!$Z$4:$Z$2503,"正常"))</f>
        <v/>
      </c>
      <c r="F78" s="28">
        <f>IF($A78="","",COUNTIFS(入库单!$E$4:$E$2503,$A78,入库单!$Z$4:$Z$2503,"正常",入库单!$Y$4:$Y$2503,"待补价"))</f>
        <v/>
      </c>
      <c r="G78" s="26">
        <f>IF($A78="","",ROUND(SUMIFS(入库单!$P$4:$P$2503,入库单!$E$4:$E$2503,$A78,入库单!$Z$4:$Z$2503,"正常"),0))</f>
        <v/>
      </c>
      <c r="H78" s="26">
        <f>IF($A78="","",ROUND(SUMIFS(费用台账!$I$4:$I$503,费用台账!$C$4:$C$503,$A78,费用台账!$J$4:$J$503,"是",费用台账!$K$4:$K$503,"正常"),0))</f>
        <v/>
      </c>
      <c r="I78" s="37">
        <f>IF($A78="","",IF($G78=0,"",ROUND($H78/$G78,4)))</f>
        <v/>
      </c>
      <c r="J78" s="26">
        <f>IF($A78="","",ROUND(SUMIFS(入库单!$U$4:$U$2503,入库单!$E$4:$E$2503,$A78,入库单!$Z$4:$Z$2503,"正常"),0))</f>
        <v/>
      </c>
      <c r="K78" s="26">
        <f>IF($A78="","",ROUND($H78-$J78,0))</f>
        <v/>
      </c>
      <c r="L78" s="26">
        <f>IF($A78="","",ROUND(SUMIFS(入库单!$V$4:$V$2503,入库单!$E$4:$E$2503,$A78,入库单!$Z$4:$Z$2503,"正常"),0))</f>
        <v/>
      </c>
      <c r="M78" s="24">
        <f>IF($A78="","",IF($E78=0,"※这个批次号在入库单里找不到",IF(AND($H78&gt;0,$F78&gt;0),"△有 "&amp;$F78&amp;" 行没单价，运费整批挂账没摊 —— 补完价自动摊",IF($H78=0,"△还没录运费（27 个柜里只有 2 个录了，其余的要补）",IF(ABS($K78)&gt;1,"※摊完还差 "&amp;TEXT($K78,"#,##0")&amp;" 先令，查一下","已摊平")))))</f>
        <v/>
      </c>
    </row>
    <row r="79">
      <c r="A79" s="24" t="n"/>
      <c r="B79" s="17" t="n"/>
      <c r="C79" s="30" t="n"/>
      <c r="D79" s="24">
        <f>IF($A79="","",IFERROR(LOOKUP(2,1/(入库单!$E$4:$E$2503=$A79),入库单!$D$4:$D$2503),""))</f>
        <v/>
      </c>
      <c r="E79" s="28">
        <f>IF($A79="","",COUNTIFS(入库单!$E$4:$E$2503,$A79,入库单!$Z$4:$Z$2503,"正常"))</f>
        <v/>
      </c>
      <c r="F79" s="28">
        <f>IF($A79="","",COUNTIFS(入库单!$E$4:$E$2503,$A79,入库单!$Z$4:$Z$2503,"正常",入库单!$Y$4:$Y$2503,"待补价"))</f>
        <v/>
      </c>
      <c r="G79" s="26">
        <f>IF($A79="","",ROUND(SUMIFS(入库单!$P$4:$P$2503,入库单!$E$4:$E$2503,$A79,入库单!$Z$4:$Z$2503,"正常"),0))</f>
        <v/>
      </c>
      <c r="H79" s="26">
        <f>IF($A79="","",ROUND(SUMIFS(费用台账!$I$4:$I$503,费用台账!$C$4:$C$503,$A79,费用台账!$J$4:$J$503,"是",费用台账!$K$4:$K$503,"正常"),0))</f>
        <v/>
      </c>
      <c r="I79" s="37">
        <f>IF($A79="","",IF($G79=0,"",ROUND($H79/$G79,4)))</f>
        <v/>
      </c>
      <c r="J79" s="26">
        <f>IF($A79="","",ROUND(SUMIFS(入库单!$U$4:$U$2503,入库单!$E$4:$E$2503,$A79,入库单!$Z$4:$Z$2503,"正常"),0))</f>
        <v/>
      </c>
      <c r="K79" s="26">
        <f>IF($A79="","",ROUND($H79-$J79,0))</f>
        <v/>
      </c>
      <c r="L79" s="26">
        <f>IF($A79="","",ROUND(SUMIFS(入库单!$V$4:$V$2503,入库单!$E$4:$E$2503,$A79,入库单!$Z$4:$Z$2503,"正常"),0))</f>
        <v/>
      </c>
      <c r="M79" s="24">
        <f>IF($A79="","",IF($E79=0,"※这个批次号在入库单里找不到",IF(AND($H79&gt;0,$F79&gt;0),"△有 "&amp;$F79&amp;" 行没单价，运费整批挂账没摊 —— 补完价自动摊",IF($H79=0,"△还没录运费（27 个柜里只有 2 个录了，其余的要补）",IF(ABS($K79)&gt;1,"※摊完还差 "&amp;TEXT($K79,"#,##0")&amp;" 先令，查一下","已摊平")))))</f>
        <v/>
      </c>
    </row>
    <row r="80">
      <c r="A80" s="24" t="n"/>
      <c r="B80" s="17" t="n"/>
      <c r="C80" s="30" t="n"/>
      <c r="D80" s="24">
        <f>IF($A80="","",IFERROR(LOOKUP(2,1/(入库单!$E$4:$E$2503=$A80),入库单!$D$4:$D$2503),""))</f>
        <v/>
      </c>
      <c r="E80" s="28">
        <f>IF($A80="","",COUNTIFS(入库单!$E$4:$E$2503,$A80,入库单!$Z$4:$Z$2503,"正常"))</f>
        <v/>
      </c>
      <c r="F80" s="28">
        <f>IF($A80="","",COUNTIFS(入库单!$E$4:$E$2503,$A80,入库单!$Z$4:$Z$2503,"正常",入库单!$Y$4:$Y$2503,"待补价"))</f>
        <v/>
      </c>
      <c r="G80" s="26">
        <f>IF($A80="","",ROUND(SUMIFS(入库单!$P$4:$P$2503,入库单!$E$4:$E$2503,$A80,入库单!$Z$4:$Z$2503,"正常"),0))</f>
        <v/>
      </c>
      <c r="H80" s="26">
        <f>IF($A80="","",ROUND(SUMIFS(费用台账!$I$4:$I$503,费用台账!$C$4:$C$503,$A80,费用台账!$J$4:$J$503,"是",费用台账!$K$4:$K$503,"正常"),0))</f>
        <v/>
      </c>
      <c r="I80" s="37">
        <f>IF($A80="","",IF($G80=0,"",ROUND($H80/$G80,4)))</f>
        <v/>
      </c>
      <c r="J80" s="26">
        <f>IF($A80="","",ROUND(SUMIFS(入库单!$U$4:$U$2503,入库单!$E$4:$E$2503,$A80,入库单!$Z$4:$Z$2503,"正常"),0))</f>
        <v/>
      </c>
      <c r="K80" s="26">
        <f>IF($A80="","",ROUND($H80-$J80,0))</f>
        <v/>
      </c>
      <c r="L80" s="26">
        <f>IF($A80="","",ROUND(SUMIFS(入库单!$V$4:$V$2503,入库单!$E$4:$E$2503,$A80,入库单!$Z$4:$Z$2503,"正常"),0))</f>
        <v/>
      </c>
      <c r="M80" s="24">
        <f>IF($A80="","",IF($E80=0,"※这个批次号在入库单里找不到",IF(AND($H80&gt;0,$F80&gt;0),"△有 "&amp;$F80&amp;" 行没单价，运费整批挂账没摊 —— 补完价自动摊",IF($H80=0,"△还没录运费（27 个柜里只有 2 个录了，其余的要补）",IF(ABS($K80)&gt;1,"※摊完还差 "&amp;TEXT($K80,"#,##0")&amp;" 先令，查一下","已摊平")))))</f>
        <v/>
      </c>
    </row>
    <row r="81">
      <c r="A81" s="24" t="n"/>
      <c r="B81" s="17" t="n"/>
      <c r="C81" s="30" t="n"/>
      <c r="D81" s="24">
        <f>IF($A81="","",IFERROR(LOOKUP(2,1/(入库单!$E$4:$E$2503=$A81),入库单!$D$4:$D$2503),""))</f>
        <v/>
      </c>
      <c r="E81" s="28">
        <f>IF($A81="","",COUNTIFS(入库单!$E$4:$E$2503,$A81,入库单!$Z$4:$Z$2503,"正常"))</f>
        <v/>
      </c>
      <c r="F81" s="28">
        <f>IF($A81="","",COUNTIFS(入库单!$E$4:$E$2503,$A81,入库单!$Z$4:$Z$2503,"正常",入库单!$Y$4:$Y$2503,"待补价"))</f>
        <v/>
      </c>
      <c r="G81" s="26">
        <f>IF($A81="","",ROUND(SUMIFS(入库单!$P$4:$P$2503,入库单!$E$4:$E$2503,$A81,入库单!$Z$4:$Z$2503,"正常"),0))</f>
        <v/>
      </c>
      <c r="H81" s="26">
        <f>IF($A81="","",ROUND(SUMIFS(费用台账!$I$4:$I$503,费用台账!$C$4:$C$503,$A81,费用台账!$J$4:$J$503,"是",费用台账!$K$4:$K$503,"正常"),0))</f>
        <v/>
      </c>
      <c r="I81" s="37">
        <f>IF($A81="","",IF($G81=0,"",ROUND($H81/$G81,4)))</f>
        <v/>
      </c>
      <c r="J81" s="26">
        <f>IF($A81="","",ROUND(SUMIFS(入库单!$U$4:$U$2503,入库单!$E$4:$E$2503,$A81,入库单!$Z$4:$Z$2503,"正常"),0))</f>
        <v/>
      </c>
      <c r="K81" s="26">
        <f>IF($A81="","",ROUND($H81-$J81,0))</f>
        <v/>
      </c>
      <c r="L81" s="26">
        <f>IF($A81="","",ROUND(SUMIFS(入库单!$V$4:$V$2503,入库单!$E$4:$E$2503,$A81,入库单!$Z$4:$Z$2503,"正常"),0))</f>
        <v/>
      </c>
      <c r="M81" s="24">
        <f>IF($A81="","",IF($E81=0,"※这个批次号在入库单里找不到",IF(AND($H81&gt;0,$F81&gt;0),"△有 "&amp;$F81&amp;" 行没单价，运费整批挂账没摊 —— 补完价自动摊",IF($H81=0,"△还没录运费（27 个柜里只有 2 个录了，其余的要补）",IF(ABS($K81)&gt;1,"※摊完还差 "&amp;TEXT($K81,"#,##0")&amp;" 先令，查一下","已摊平")))))</f>
        <v/>
      </c>
    </row>
    <row r="82">
      <c r="A82" s="24" t="n"/>
      <c r="B82" s="17" t="n"/>
      <c r="C82" s="30" t="n"/>
      <c r="D82" s="24">
        <f>IF($A82="","",IFERROR(LOOKUP(2,1/(入库单!$E$4:$E$2503=$A82),入库单!$D$4:$D$2503),""))</f>
        <v/>
      </c>
      <c r="E82" s="28">
        <f>IF($A82="","",COUNTIFS(入库单!$E$4:$E$2503,$A82,入库单!$Z$4:$Z$2503,"正常"))</f>
        <v/>
      </c>
      <c r="F82" s="28">
        <f>IF($A82="","",COUNTIFS(入库单!$E$4:$E$2503,$A82,入库单!$Z$4:$Z$2503,"正常",入库单!$Y$4:$Y$2503,"待补价"))</f>
        <v/>
      </c>
      <c r="G82" s="26">
        <f>IF($A82="","",ROUND(SUMIFS(入库单!$P$4:$P$2503,入库单!$E$4:$E$2503,$A82,入库单!$Z$4:$Z$2503,"正常"),0))</f>
        <v/>
      </c>
      <c r="H82" s="26">
        <f>IF($A82="","",ROUND(SUMIFS(费用台账!$I$4:$I$503,费用台账!$C$4:$C$503,$A82,费用台账!$J$4:$J$503,"是",费用台账!$K$4:$K$503,"正常"),0))</f>
        <v/>
      </c>
      <c r="I82" s="37">
        <f>IF($A82="","",IF($G82=0,"",ROUND($H82/$G82,4)))</f>
        <v/>
      </c>
      <c r="J82" s="26">
        <f>IF($A82="","",ROUND(SUMIFS(入库单!$U$4:$U$2503,入库单!$E$4:$E$2503,$A82,入库单!$Z$4:$Z$2503,"正常"),0))</f>
        <v/>
      </c>
      <c r="K82" s="26">
        <f>IF($A82="","",ROUND($H82-$J82,0))</f>
        <v/>
      </c>
      <c r="L82" s="26">
        <f>IF($A82="","",ROUND(SUMIFS(入库单!$V$4:$V$2503,入库单!$E$4:$E$2503,$A82,入库单!$Z$4:$Z$2503,"正常"),0))</f>
        <v/>
      </c>
      <c r="M82" s="24">
        <f>IF($A82="","",IF($E82=0,"※这个批次号在入库单里找不到",IF(AND($H82&gt;0,$F82&gt;0),"△有 "&amp;$F82&amp;" 行没单价，运费整批挂账没摊 —— 补完价自动摊",IF($H82=0,"△还没录运费（27 个柜里只有 2 个录了，其余的要补）",IF(ABS($K82)&gt;1,"※摊完还差 "&amp;TEXT($K82,"#,##0")&amp;" 先令，查一下","已摊平")))))</f>
        <v/>
      </c>
    </row>
    <row r="83">
      <c r="A83" s="24" t="n"/>
      <c r="B83" s="17" t="n"/>
      <c r="C83" s="30" t="n"/>
      <c r="D83" s="24">
        <f>IF($A83="","",IFERROR(LOOKUP(2,1/(入库单!$E$4:$E$2503=$A83),入库单!$D$4:$D$2503),""))</f>
        <v/>
      </c>
      <c r="E83" s="28">
        <f>IF($A83="","",COUNTIFS(入库单!$E$4:$E$2503,$A83,入库单!$Z$4:$Z$2503,"正常"))</f>
        <v/>
      </c>
      <c r="F83" s="28">
        <f>IF($A83="","",COUNTIFS(入库单!$E$4:$E$2503,$A83,入库单!$Z$4:$Z$2503,"正常",入库单!$Y$4:$Y$2503,"待补价"))</f>
        <v/>
      </c>
      <c r="G83" s="26">
        <f>IF($A83="","",ROUND(SUMIFS(入库单!$P$4:$P$2503,入库单!$E$4:$E$2503,$A83,入库单!$Z$4:$Z$2503,"正常"),0))</f>
        <v/>
      </c>
      <c r="H83" s="26">
        <f>IF($A83="","",ROUND(SUMIFS(费用台账!$I$4:$I$503,费用台账!$C$4:$C$503,$A83,费用台账!$J$4:$J$503,"是",费用台账!$K$4:$K$503,"正常"),0))</f>
        <v/>
      </c>
      <c r="I83" s="37">
        <f>IF($A83="","",IF($G83=0,"",ROUND($H83/$G83,4)))</f>
        <v/>
      </c>
      <c r="J83" s="26">
        <f>IF($A83="","",ROUND(SUMIFS(入库单!$U$4:$U$2503,入库单!$E$4:$E$2503,$A83,入库单!$Z$4:$Z$2503,"正常"),0))</f>
        <v/>
      </c>
      <c r="K83" s="26">
        <f>IF($A83="","",ROUND($H83-$J83,0))</f>
        <v/>
      </c>
      <c r="L83" s="26">
        <f>IF($A83="","",ROUND(SUMIFS(入库单!$V$4:$V$2503,入库单!$E$4:$E$2503,$A83,入库单!$Z$4:$Z$2503,"正常"),0))</f>
        <v/>
      </c>
      <c r="M83" s="24">
        <f>IF($A83="","",IF($E83=0,"※这个批次号在入库单里找不到",IF(AND($H83&gt;0,$F83&gt;0),"△有 "&amp;$F83&amp;" 行没单价，运费整批挂账没摊 —— 补完价自动摊",IF($H83=0,"△还没录运费（27 个柜里只有 2 个录了，其余的要补）",IF(ABS($K83)&gt;1,"※摊完还差 "&amp;TEXT($K83,"#,##0")&amp;" 先令，查一下","已摊平")))))</f>
        <v/>
      </c>
    </row>
    <row r="84">
      <c r="A84" s="24" t="n"/>
      <c r="B84" s="17" t="n"/>
      <c r="C84" s="30" t="n"/>
      <c r="D84" s="24">
        <f>IF($A84="","",IFERROR(LOOKUP(2,1/(入库单!$E$4:$E$2503=$A84),入库单!$D$4:$D$2503),""))</f>
        <v/>
      </c>
      <c r="E84" s="28">
        <f>IF($A84="","",COUNTIFS(入库单!$E$4:$E$2503,$A84,入库单!$Z$4:$Z$2503,"正常"))</f>
        <v/>
      </c>
      <c r="F84" s="28">
        <f>IF($A84="","",COUNTIFS(入库单!$E$4:$E$2503,$A84,入库单!$Z$4:$Z$2503,"正常",入库单!$Y$4:$Y$2503,"待补价"))</f>
        <v/>
      </c>
      <c r="G84" s="26">
        <f>IF($A84="","",ROUND(SUMIFS(入库单!$P$4:$P$2503,入库单!$E$4:$E$2503,$A84,入库单!$Z$4:$Z$2503,"正常"),0))</f>
        <v/>
      </c>
      <c r="H84" s="26">
        <f>IF($A84="","",ROUND(SUMIFS(费用台账!$I$4:$I$503,费用台账!$C$4:$C$503,$A84,费用台账!$J$4:$J$503,"是",费用台账!$K$4:$K$503,"正常"),0))</f>
        <v/>
      </c>
      <c r="I84" s="37">
        <f>IF($A84="","",IF($G84=0,"",ROUND($H84/$G84,4)))</f>
        <v/>
      </c>
      <c r="J84" s="26">
        <f>IF($A84="","",ROUND(SUMIFS(入库单!$U$4:$U$2503,入库单!$E$4:$E$2503,$A84,入库单!$Z$4:$Z$2503,"正常"),0))</f>
        <v/>
      </c>
      <c r="K84" s="26">
        <f>IF($A84="","",ROUND($H84-$J84,0))</f>
        <v/>
      </c>
      <c r="L84" s="26">
        <f>IF($A84="","",ROUND(SUMIFS(入库单!$V$4:$V$2503,入库单!$E$4:$E$2503,$A84,入库单!$Z$4:$Z$2503,"正常"),0))</f>
        <v/>
      </c>
      <c r="M84" s="24">
        <f>IF($A84="","",IF($E84=0,"※这个批次号在入库单里找不到",IF(AND($H84&gt;0,$F84&gt;0),"△有 "&amp;$F84&amp;" 行没单价，运费整批挂账没摊 —— 补完价自动摊",IF($H84=0,"△还没录运费（27 个柜里只有 2 个录了，其余的要补）",IF(ABS($K84)&gt;1,"※摊完还差 "&amp;TEXT($K84,"#,##0")&amp;" 先令，查一下","已摊平")))))</f>
        <v/>
      </c>
    </row>
    <row r="85">
      <c r="A85" s="24" t="n"/>
      <c r="B85" s="17" t="n"/>
      <c r="C85" s="30" t="n"/>
      <c r="D85" s="24">
        <f>IF($A85="","",IFERROR(LOOKUP(2,1/(入库单!$E$4:$E$2503=$A85),入库单!$D$4:$D$2503),""))</f>
        <v/>
      </c>
      <c r="E85" s="28">
        <f>IF($A85="","",COUNTIFS(入库单!$E$4:$E$2503,$A85,入库单!$Z$4:$Z$2503,"正常"))</f>
        <v/>
      </c>
      <c r="F85" s="28">
        <f>IF($A85="","",COUNTIFS(入库单!$E$4:$E$2503,$A85,入库单!$Z$4:$Z$2503,"正常",入库单!$Y$4:$Y$2503,"待补价"))</f>
        <v/>
      </c>
      <c r="G85" s="26">
        <f>IF($A85="","",ROUND(SUMIFS(入库单!$P$4:$P$2503,入库单!$E$4:$E$2503,$A85,入库单!$Z$4:$Z$2503,"正常"),0))</f>
        <v/>
      </c>
      <c r="H85" s="26">
        <f>IF($A85="","",ROUND(SUMIFS(费用台账!$I$4:$I$503,费用台账!$C$4:$C$503,$A85,费用台账!$J$4:$J$503,"是",费用台账!$K$4:$K$503,"正常"),0))</f>
        <v/>
      </c>
      <c r="I85" s="37">
        <f>IF($A85="","",IF($G85=0,"",ROUND($H85/$G85,4)))</f>
        <v/>
      </c>
      <c r="J85" s="26">
        <f>IF($A85="","",ROUND(SUMIFS(入库单!$U$4:$U$2503,入库单!$E$4:$E$2503,$A85,入库单!$Z$4:$Z$2503,"正常"),0))</f>
        <v/>
      </c>
      <c r="K85" s="26">
        <f>IF($A85="","",ROUND($H85-$J85,0))</f>
        <v/>
      </c>
      <c r="L85" s="26">
        <f>IF($A85="","",ROUND(SUMIFS(入库单!$V$4:$V$2503,入库单!$E$4:$E$2503,$A85,入库单!$Z$4:$Z$2503,"正常"),0))</f>
        <v/>
      </c>
      <c r="M85" s="24">
        <f>IF($A85="","",IF($E85=0,"※这个批次号在入库单里找不到",IF(AND($H85&gt;0,$F85&gt;0),"△有 "&amp;$F85&amp;" 行没单价，运费整批挂账没摊 —— 补完价自动摊",IF($H85=0,"△还没录运费（27 个柜里只有 2 个录了，其余的要补）",IF(ABS($K85)&gt;1,"※摊完还差 "&amp;TEXT($K85,"#,##0")&amp;" 先令，查一下","已摊平")))))</f>
        <v/>
      </c>
    </row>
    <row r="86">
      <c r="A86" s="24" t="n"/>
      <c r="B86" s="17" t="n"/>
      <c r="C86" s="30" t="n"/>
      <c r="D86" s="24">
        <f>IF($A86="","",IFERROR(LOOKUP(2,1/(入库单!$E$4:$E$2503=$A86),入库单!$D$4:$D$2503),""))</f>
        <v/>
      </c>
      <c r="E86" s="28">
        <f>IF($A86="","",COUNTIFS(入库单!$E$4:$E$2503,$A86,入库单!$Z$4:$Z$2503,"正常"))</f>
        <v/>
      </c>
      <c r="F86" s="28">
        <f>IF($A86="","",COUNTIFS(入库单!$E$4:$E$2503,$A86,入库单!$Z$4:$Z$2503,"正常",入库单!$Y$4:$Y$2503,"待补价"))</f>
        <v/>
      </c>
      <c r="G86" s="26">
        <f>IF($A86="","",ROUND(SUMIFS(入库单!$P$4:$P$2503,入库单!$E$4:$E$2503,$A86,入库单!$Z$4:$Z$2503,"正常"),0))</f>
        <v/>
      </c>
      <c r="H86" s="26">
        <f>IF($A86="","",ROUND(SUMIFS(费用台账!$I$4:$I$503,费用台账!$C$4:$C$503,$A86,费用台账!$J$4:$J$503,"是",费用台账!$K$4:$K$503,"正常"),0))</f>
        <v/>
      </c>
      <c r="I86" s="37">
        <f>IF($A86="","",IF($G86=0,"",ROUND($H86/$G86,4)))</f>
        <v/>
      </c>
      <c r="J86" s="26">
        <f>IF($A86="","",ROUND(SUMIFS(入库单!$U$4:$U$2503,入库单!$E$4:$E$2503,$A86,入库单!$Z$4:$Z$2503,"正常"),0))</f>
        <v/>
      </c>
      <c r="K86" s="26">
        <f>IF($A86="","",ROUND($H86-$J86,0))</f>
        <v/>
      </c>
      <c r="L86" s="26">
        <f>IF($A86="","",ROUND(SUMIFS(入库单!$V$4:$V$2503,入库单!$E$4:$E$2503,$A86,入库单!$Z$4:$Z$2503,"正常"),0))</f>
        <v/>
      </c>
      <c r="M86" s="24">
        <f>IF($A86="","",IF($E86=0,"※这个批次号在入库单里找不到",IF(AND($H86&gt;0,$F86&gt;0),"△有 "&amp;$F86&amp;" 行没单价，运费整批挂账没摊 —— 补完价自动摊",IF($H86=0,"△还没录运费（27 个柜里只有 2 个录了，其余的要补）",IF(ABS($K86)&gt;1,"※摊完还差 "&amp;TEXT($K86,"#,##0")&amp;" 先令，查一下","已摊平")))))</f>
        <v/>
      </c>
    </row>
    <row r="87">
      <c r="A87" s="24" t="n"/>
      <c r="B87" s="17" t="n"/>
      <c r="C87" s="30" t="n"/>
      <c r="D87" s="24">
        <f>IF($A87="","",IFERROR(LOOKUP(2,1/(入库单!$E$4:$E$2503=$A87),入库单!$D$4:$D$2503),""))</f>
        <v/>
      </c>
      <c r="E87" s="28">
        <f>IF($A87="","",COUNTIFS(入库单!$E$4:$E$2503,$A87,入库单!$Z$4:$Z$2503,"正常"))</f>
        <v/>
      </c>
      <c r="F87" s="28">
        <f>IF($A87="","",COUNTIFS(入库单!$E$4:$E$2503,$A87,入库单!$Z$4:$Z$2503,"正常",入库单!$Y$4:$Y$2503,"待补价"))</f>
        <v/>
      </c>
      <c r="G87" s="26">
        <f>IF($A87="","",ROUND(SUMIFS(入库单!$P$4:$P$2503,入库单!$E$4:$E$2503,$A87,入库单!$Z$4:$Z$2503,"正常"),0))</f>
        <v/>
      </c>
      <c r="H87" s="26">
        <f>IF($A87="","",ROUND(SUMIFS(费用台账!$I$4:$I$503,费用台账!$C$4:$C$503,$A87,费用台账!$J$4:$J$503,"是",费用台账!$K$4:$K$503,"正常"),0))</f>
        <v/>
      </c>
      <c r="I87" s="37">
        <f>IF($A87="","",IF($G87=0,"",ROUND($H87/$G87,4)))</f>
        <v/>
      </c>
      <c r="J87" s="26">
        <f>IF($A87="","",ROUND(SUMIFS(入库单!$U$4:$U$2503,入库单!$E$4:$E$2503,$A87,入库单!$Z$4:$Z$2503,"正常"),0))</f>
        <v/>
      </c>
      <c r="K87" s="26">
        <f>IF($A87="","",ROUND($H87-$J87,0))</f>
        <v/>
      </c>
      <c r="L87" s="26">
        <f>IF($A87="","",ROUND(SUMIFS(入库单!$V$4:$V$2503,入库单!$E$4:$E$2503,$A87,入库单!$Z$4:$Z$2503,"正常"),0))</f>
        <v/>
      </c>
      <c r="M87" s="24">
        <f>IF($A87="","",IF($E87=0,"※这个批次号在入库单里找不到",IF(AND($H87&gt;0,$F87&gt;0),"△有 "&amp;$F87&amp;" 行没单价，运费整批挂账没摊 —— 补完价自动摊",IF($H87=0,"△还没录运费（27 个柜里只有 2 个录了，其余的要补）",IF(ABS($K87)&gt;1,"※摊完还差 "&amp;TEXT($K87,"#,##0")&amp;" 先令，查一下","已摊平")))))</f>
        <v/>
      </c>
    </row>
    <row r="88">
      <c r="A88" s="24" t="n"/>
      <c r="B88" s="17" t="n"/>
      <c r="C88" s="30" t="n"/>
      <c r="D88" s="24">
        <f>IF($A88="","",IFERROR(LOOKUP(2,1/(入库单!$E$4:$E$2503=$A88),入库单!$D$4:$D$2503),""))</f>
        <v/>
      </c>
      <c r="E88" s="28">
        <f>IF($A88="","",COUNTIFS(入库单!$E$4:$E$2503,$A88,入库单!$Z$4:$Z$2503,"正常"))</f>
        <v/>
      </c>
      <c r="F88" s="28">
        <f>IF($A88="","",COUNTIFS(入库单!$E$4:$E$2503,$A88,入库单!$Z$4:$Z$2503,"正常",入库单!$Y$4:$Y$2503,"待补价"))</f>
        <v/>
      </c>
      <c r="G88" s="26">
        <f>IF($A88="","",ROUND(SUMIFS(入库单!$P$4:$P$2503,入库单!$E$4:$E$2503,$A88,入库单!$Z$4:$Z$2503,"正常"),0))</f>
        <v/>
      </c>
      <c r="H88" s="26">
        <f>IF($A88="","",ROUND(SUMIFS(费用台账!$I$4:$I$503,费用台账!$C$4:$C$503,$A88,费用台账!$J$4:$J$503,"是",费用台账!$K$4:$K$503,"正常"),0))</f>
        <v/>
      </c>
      <c r="I88" s="37">
        <f>IF($A88="","",IF($G88=0,"",ROUND($H88/$G88,4)))</f>
        <v/>
      </c>
      <c r="J88" s="26">
        <f>IF($A88="","",ROUND(SUMIFS(入库单!$U$4:$U$2503,入库单!$E$4:$E$2503,$A88,入库单!$Z$4:$Z$2503,"正常"),0))</f>
        <v/>
      </c>
      <c r="K88" s="26">
        <f>IF($A88="","",ROUND($H88-$J88,0))</f>
        <v/>
      </c>
      <c r="L88" s="26">
        <f>IF($A88="","",ROUND(SUMIFS(入库单!$V$4:$V$2503,入库单!$E$4:$E$2503,$A88,入库单!$Z$4:$Z$2503,"正常"),0))</f>
        <v/>
      </c>
      <c r="M88" s="24">
        <f>IF($A88="","",IF($E88=0,"※这个批次号在入库单里找不到",IF(AND($H88&gt;0,$F88&gt;0),"△有 "&amp;$F88&amp;" 行没单价，运费整批挂账没摊 —— 补完价自动摊",IF($H88=0,"△还没录运费（27 个柜里只有 2 个录了，其余的要补）",IF(ABS($K88)&gt;1,"※摊完还差 "&amp;TEXT($K88,"#,##0")&amp;" 先令，查一下","已摊平")))))</f>
        <v/>
      </c>
    </row>
    <row r="89">
      <c r="A89" s="24" t="n"/>
      <c r="B89" s="17" t="n"/>
      <c r="C89" s="30" t="n"/>
      <c r="D89" s="24">
        <f>IF($A89="","",IFERROR(LOOKUP(2,1/(入库单!$E$4:$E$2503=$A89),入库单!$D$4:$D$2503),""))</f>
        <v/>
      </c>
      <c r="E89" s="28">
        <f>IF($A89="","",COUNTIFS(入库单!$E$4:$E$2503,$A89,入库单!$Z$4:$Z$2503,"正常"))</f>
        <v/>
      </c>
      <c r="F89" s="28">
        <f>IF($A89="","",COUNTIFS(入库单!$E$4:$E$2503,$A89,入库单!$Z$4:$Z$2503,"正常",入库单!$Y$4:$Y$2503,"待补价"))</f>
        <v/>
      </c>
      <c r="G89" s="26">
        <f>IF($A89="","",ROUND(SUMIFS(入库单!$P$4:$P$2503,入库单!$E$4:$E$2503,$A89,入库单!$Z$4:$Z$2503,"正常"),0))</f>
        <v/>
      </c>
      <c r="H89" s="26">
        <f>IF($A89="","",ROUND(SUMIFS(费用台账!$I$4:$I$503,费用台账!$C$4:$C$503,$A89,费用台账!$J$4:$J$503,"是",费用台账!$K$4:$K$503,"正常"),0))</f>
        <v/>
      </c>
      <c r="I89" s="37">
        <f>IF($A89="","",IF($G89=0,"",ROUND($H89/$G89,4)))</f>
        <v/>
      </c>
      <c r="J89" s="26">
        <f>IF($A89="","",ROUND(SUMIFS(入库单!$U$4:$U$2503,入库单!$E$4:$E$2503,$A89,入库单!$Z$4:$Z$2503,"正常"),0))</f>
        <v/>
      </c>
      <c r="K89" s="26">
        <f>IF($A89="","",ROUND($H89-$J89,0))</f>
        <v/>
      </c>
      <c r="L89" s="26">
        <f>IF($A89="","",ROUND(SUMIFS(入库单!$V$4:$V$2503,入库单!$E$4:$E$2503,$A89,入库单!$Z$4:$Z$2503,"正常"),0))</f>
        <v/>
      </c>
      <c r="M89" s="24">
        <f>IF($A89="","",IF($E89=0,"※这个批次号在入库单里找不到",IF(AND($H89&gt;0,$F89&gt;0),"△有 "&amp;$F89&amp;" 行没单价，运费整批挂账没摊 —— 补完价自动摊",IF($H89=0,"△还没录运费（27 个柜里只有 2 个录了，其余的要补）",IF(ABS($K89)&gt;1,"※摊完还差 "&amp;TEXT($K89,"#,##0")&amp;" 先令，查一下","已摊平")))))</f>
        <v/>
      </c>
    </row>
    <row r="90">
      <c r="A90" s="24" t="n"/>
      <c r="B90" s="17" t="n"/>
      <c r="C90" s="30" t="n"/>
      <c r="D90" s="24">
        <f>IF($A90="","",IFERROR(LOOKUP(2,1/(入库单!$E$4:$E$2503=$A90),入库单!$D$4:$D$2503),""))</f>
        <v/>
      </c>
      <c r="E90" s="28">
        <f>IF($A90="","",COUNTIFS(入库单!$E$4:$E$2503,$A90,入库单!$Z$4:$Z$2503,"正常"))</f>
        <v/>
      </c>
      <c r="F90" s="28">
        <f>IF($A90="","",COUNTIFS(入库单!$E$4:$E$2503,$A90,入库单!$Z$4:$Z$2503,"正常",入库单!$Y$4:$Y$2503,"待补价"))</f>
        <v/>
      </c>
      <c r="G90" s="26">
        <f>IF($A90="","",ROUND(SUMIFS(入库单!$P$4:$P$2503,入库单!$E$4:$E$2503,$A90,入库单!$Z$4:$Z$2503,"正常"),0))</f>
        <v/>
      </c>
      <c r="H90" s="26">
        <f>IF($A90="","",ROUND(SUMIFS(费用台账!$I$4:$I$503,费用台账!$C$4:$C$503,$A90,费用台账!$J$4:$J$503,"是",费用台账!$K$4:$K$503,"正常"),0))</f>
        <v/>
      </c>
      <c r="I90" s="37">
        <f>IF($A90="","",IF($G90=0,"",ROUND($H90/$G90,4)))</f>
        <v/>
      </c>
      <c r="J90" s="26">
        <f>IF($A90="","",ROUND(SUMIFS(入库单!$U$4:$U$2503,入库单!$E$4:$E$2503,$A90,入库单!$Z$4:$Z$2503,"正常"),0))</f>
        <v/>
      </c>
      <c r="K90" s="26">
        <f>IF($A90="","",ROUND($H90-$J90,0))</f>
        <v/>
      </c>
      <c r="L90" s="26">
        <f>IF($A90="","",ROUND(SUMIFS(入库单!$V$4:$V$2503,入库单!$E$4:$E$2503,$A90,入库单!$Z$4:$Z$2503,"正常"),0))</f>
        <v/>
      </c>
      <c r="M90" s="24">
        <f>IF($A90="","",IF($E90=0,"※这个批次号在入库单里找不到",IF(AND($H90&gt;0,$F90&gt;0),"△有 "&amp;$F90&amp;" 行没单价，运费整批挂账没摊 —— 补完价自动摊",IF($H90=0,"△还没录运费（27 个柜里只有 2 个录了，其余的要补）",IF(ABS($K90)&gt;1,"※摊完还差 "&amp;TEXT($K90,"#,##0")&amp;" 先令，查一下","已摊平")))))</f>
        <v/>
      </c>
    </row>
    <row r="91">
      <c r="A91" s="24" t="n"/>
      <c r="B91" s="17" t="n"/>
      <c r="C91" s="30" t="n"/>
      <c r="D91" s="24">
        <f>IF($A91="","",IFERROR(LOOKUP(2,1/(入库单!$E$4:$E$2503=$A91),入库单!$D$4:$D$2503),""))</f>
        <v/>
      </c>
      <c r="E91" s="28">
        <f>IF($A91="","",COUNTIFS(入库单!$E$4:$E$2503,$A91,入库单!$Z$4:$Z$2503,"正常"))</f>
        <v/>
      </c>
      <c r="F91" s="28">
        <f>IF($A91="","",COUNTIFS(入库单!$E$4:$E$2503,$A91,入库单!$Z$4:$Z$2503,"正常",入库单!$Y$4:$Y$2503,"待补价"))</f>
        <v/>
      </c>
      <c r="G91" s="26">
        <f>IF($A91="","",ROUND(SUMIFS(入库单!$P$4:$P$2503,入库单!$E$4:$E$2503,$A91,入库单!$Z$4:$Z$2503,"正常"),0))</f>
        <v/>
      </c>
      <c r="H91" s="26">
        <f>IF($A91="","",ROUND(SUMIFS(费用台账!$I$4:$I$503,费用台账!$C$4:$C$503,$A91,费用台账!$J$4:$J$503,"是",费用台账!$K$4:$K$503,"正常"),0))</f>
        <v/>
      </c>
      <c r="I91" s="37">
        <f>IF($A91="","",IF($G91=0,"",ROUND($H91/$G91,4)))</f>
        <v/>
      </c>
      <c r="J91" s="26">
        <f>IF($A91="","",ROUND(SUMIFS(入库单!$U$4:$U$2503,入库单!$E$4:$E$2503,$A91,入库单!$Z$4:$Z$2503,"正常"),0))</f>
        <v/>
      </c>
      <c r="K91" s="26">
        <f>IF($A91="","",ROUND($H91-$J91,0))</f>
        <v/>
      </c>
      <c r="L91" s="26">
        <f>IF($A91="","",ROUND(SUMIFS(入库单!$V$4:$V$2503,入库单!$E$4:$E$2503,$A91,入库单!$Z$4:$Z$2503,"正常"),0))</f>
        <v/>
      </c>
      <c r="M91" s="24">
        <f>IF($A91="","",IF($E91=0,"※这个批次号在入库单里找不到",IF(AND($H91&gt;0,$F91&gt;0),"△有 "&amp;$F91&amp;" 行没单价，运费整批挂账没摊 —— 补完价自动摊",IF($H91=0,"△还没录运费（27 个柜里只有 2 个录了，其余的要补）",IF(ABS($K91)&gt;1,"※摊完还差 "&amp;TEXT($K91,"#,##0")&amp;" 先令，查一下","已摊平")))))</f>
        <v/>
      </c>
    </row>
    <row r="92">
      <c r="A92" s="24" t="n"/>
      <c r="B92" s="17" t="n"/>
      <c r="C92" s="30" t="n"/>
      <c r="D92" s="24">
        <f>IF($A92="","",IFERROR(LOOKUP(2,1/(入库单!$E$4:$E$2503=$A92),入库单!$D$4:$D$2503),""))</f>
        <v/>
      </c>
      <c r="E92" s="28">
        <f>IF($A92="","",COUNTIFS(入库单!$E$4:$E$2503,$A92,入库单!$Z$4:$Z$2503,"正常"))</f>
        <v/>
      </c>
      <c r="F92" s="28">
        <f>IF($A92="","",COUNTIFS(入库单!$E$4:$E$2503,$A92,入库单!$Z$4:$Z$2503,"正常",入库单!$Y$4:$Y$2503,"待补价"))</f>
        <v/>
      </c>
      <c r="G92" s="26">
        <f>IF($A92="","",ROUND(SUMIFS(入库单!$P$4:$P$2503,入库单!$E$4:$E$2503,$A92,入库单!$Z$4:$Z$2503,"正常"),0))</f>
        <v/>
      </c>
      <c r="H92" s="26">
        <f>IF($A92="","",ROUND(SUMIFS(费用台账!$I$4:$I$503,费用台账!$C$4:$C$503,$A92,费用台账!$J$4:$J$503,"是",费用台账!$K$4:$K$503,"正常"),0))</f>
        <v/>
      </c>
      <c r="I92" s="37">
        <f>IF($A92="","",IF($G92=0,"",ROUND($H92/$G92,4)))</f>
        <v/>
      </c>
      <c r="J92" s="26">
        <f>IF($A92="","",ROUND(SUMIFS(入库单!$U$4:$U$2503,入库单!$E$4:$E$2503,$A92,入库单!$Z$4:$Z$2503,"正常"),0))</f>
        <v/>
      </c>
      <c r="K92" s="26">
        <f>IF($A92="","",ROUND($H92-$J92,0))</f>
        <v/>
      </c>
      <c r="L92" s="26">
        <f>IF($A92="","",ROUND(SUMIFS(入库单!$V$4:$V$2503,入库单!$E$4:$E$2503,$A92,入库单!$Z$4:$Z$2503,"正常"),0))</f>
        <v/>
      </c>
      <c r="M92" s="24">
        <f>IF($A92="","",IF($E92=0,"※这个批次号在入库单里找不到",IF(AND($H92&gt;0,$F92&gt;0),"△有 "&amp;$F92&amp;" 行没单价，运费整批挂账没摊 —— 补完价自动摊",IF($H92=0,"△还没录运费（27 个柜里只有 2 个录了，其余的要补）",IF(ABS($K92)&gt;1,"※摊完还差 "&amp;TEXT($K92,"#,##0")&amp;" 先令，查一下","已摊平")))))</f>
        <v/>
      </c>
    </row>
    <row r="93">
      <c r="A93" s="24" t="n"/>
      <c r="B93" s="17" t="n"/>
      <c r="C93" s="30" t="n"/>
      <c r="D93" s="24">
        <f>IF($A93="","",IFERROR(LOOKUP(2,1/(入库单!$E$4:$E$2503=$A93),入库单!$D$4:$D$2503),""))</f>
        <v/>
      </c>
      <c r="E93" s="28">
        <f>IF($A93="","",COUNTIFS(入库单!$E$4:$E$2503,$A93,入库单!$Z$4:$Z$2503,"正常"))</f>
        <v/>
      </c>
      <c r="F93" s="28">
        <f>IF($A93="","",COUNTIFS(入库单!$E$4:$E$2503,$A93,入库单!$Z$4:$Z$2503,"正常",入库单!$Y$4:$Y$2503,"待补价"))</f>
        <v/>
      </c>
      <c r="G93" s="26">
        <f>IF($A93="","",ROUND(SUMIFS(入库单!$P$4:$P$2503,入库单!$E$4:$E$2503,$A93,入库单!$Z$4:$Z$2503,"正常"),0))</f>
        <v/>
      </c>
      <c r="H93" s="26">
        <f>IF($A93="","",ROUND(SUMIFS(费用台账!$I$4:$I$503,费用台账!$C$4:$C$503,$A93,费用台账!$J$4:$J$503,"是",费用台账!$K$4:$K$503,"正常"),0))</f>
        <v/>
      </c>
      <c r="I93" s="37">
        <f>IF($A93="","",IF($G93=0,"",ROUND($H93/$G93,4)))</f>
        <v/>
      </c>
      <c r="J93" s="26">
        <f>IF($A93="","",ROUND(SUMIFS(入库单!$U$4:$U$2503,入库单!$E$4:$E$2503,$A93,入库单!$Z$4:$Z$2503,"正常"),0))</f>
        <v/>
      </c>
      <c r="K93" s="26">
        <f>IF($A93="","",ROUND($H93-$J93,0))</f>
        <v/>
      </c>
      <c r="L93" s="26">
        <f>IF($A93="","",ROUND(SUMIFS(入库单!$V$4:$V$2503,入库单!$E$4:$E$2503,$A93,入库单!$Z$4:$Z$2503,"正常"),0))</f>
        <v/>
      </c>
      <c r="M93" s="24">
        <f>IF($A93="","",IF($E93=0,"※这个批次号在入库单里找不到",IF(AND($H93&gt;0,$F93&gt;0),"△有 "&amp;$F93&amp;" 行没单价，运费整批挂账没摊 —— 补完价自动摊",IF($H93=0,"△还没录运费（27 个柜里只有 2 个录了，其余的要补）",IF(ABS($K93)&gt;1,"※摊完还差 "&amp;TEXT($K93,"#,##0")&amp;" 先令，查一下","已摊平")))))</f>
        <v/>
      </c>
    </row>
    <row r="94">
      <c r="A94" s="24" t="n"/>
      <c r="B94" s="17" t="n"/>
      <c r="C94" s="30" t="n"/>
      <c r="D94" s="24">
        <f>IF($A94="","",IFERROR(LOOKUP(2,1/(入库单!$E$4:$E$2503=$A94),入库单!$D$4:$D$2503),""))</f>
        <v/>
      </c>
      <c r="E94" s="28">
        <f>IF($A94="","",COUNTIFS(入库单!$E$4:$E$2503,$A94,入库单!$Z$4:$Z$2503,"正常"))</f>
        <v/>
      </c>
      <c r="F94" s="28">
        <f>IF($A94="","",COUNTIFS(入库单!$E$4:$E$2503,$A94,入库单!$Z$4:$Z$2503,"正常",入库单!$Y$4:$Y$2503,"待补价"))</f>
        <v/>
      </c>
      <c r="G94" s="26">
        <f>IF($A94="","",ROUND(SUMIFS(入库单!$P$4:$P$2503,入库单!$E$4:$E$2503,$A94,入库单!$Z$4:$Z$2503,"正常"),0))</f>
        <v/>
      </c>
      <c r="H94" s="26">
        <f>IF($A94="","",ROUND(SUMIFS(费用台账!$I$4:$I$503,费用台账!$C$4:$C$503,$A94,费用台账!$J$4:$J$503,"是",费用台账!$K$4:$K$503,"正常"),0))</f>
        <v/>
      </c>
      <c r="I94" s="37">
        <f>IF($A94="","",IF($G94=0,"",ROUND($H94/$G94,4)))</f>
        <v/>
      </c>
      <c r="J94" s="26">
        <f>IF($A94="","",ROUND(SUMIFS(入库单!$U$4:$U$2503,入库单!$E$4:$E$2503,$A94,入库单!$Z$4:$Z$2503,"正常"),0))</f>
        <v/>
      </c>
      <c r="K94" s="26">
        <f>IF($A94="","",ROUND($H94-$J94,0))</f>
        <v/>
      </c>
      <c r="L94" s="26">
        <f>IF($A94="","",ROUND(SUMIFS(入库单!$V$4:$V$2503,入库单!$E$4:$E$2503,$A94,入库单!$Z$4:$Z$2503,"正常"),0))</f>
        <v/>
      </c>
      <c r="M94" s="24">
        <f>IF($A94="","",IF($E94=0,"※这个批次号在入库单里找不到",IF(AND($H94&gt;0,$F94&gt;0),"△有 "&amp;$F94&amp;" 行没单价，运费整批挂账没摊 —— 补完价自动摊",IF($H94=0,"△还没录运费（27 个柜里只有 2 个录了，其余的要补）",IF(ABS($K94)&gt;1,"※摊完还差 "&amp;TEXT($K94,"#,##0")&amp;" 先令，查一下","已摊平")))))</f>
        <v/>
      </c>
    </row>
    <row r="95">
      <c r="A95" s="24" t="n"/>
      <c r="B95" s="17" t="n"/>
      <c r="C95" s="30" t="n"/>
      <c r="D95" s="24">
        <f>IF($A95="","",IFERROR(LOOKUP(2,1/(入库单!$E$4:$E$2503=$A95),入库单!$D$4:$D$2503),""))</f>
        <v/>
      </c>
      <c r="E95" s="28">
        <f>IF($A95="","",COUNTIFS(入库单!$E$4:$E$2503,$A95,入库单!$Z$4:$Z$2503,"正常"))</f>
        <v/>
      </c>
      <c r="F95" s="28">
        <f>IF($A95="","",COUNTIFS(入库单!$E$4:$E$2503,$A95,入库单!$Z$4:$Z$2503,"正常",入库单!$Y$4:$Y$2503,"待补价"))</f>
        <v/>
      </c>
      <c r="G95" s="26">
        <f>IF($A95="","",ROUND(SUMIFS(入库单!$P$4:$P$2503,入库单!$E$4:$E$2503,$A95,入库单!$Z$4:$Z$2503,"正常"),0))</f>
        <v/>
      </c>
      <c r="H95" s="26">
        <f>IF($A95="","",ROUND(SUMIFS(费用台账!$I$4:$I$503,费用台账!$C$4:$C$503,$A95,费用台账!$J$4:$J$503,"是",费用台账!$K$4:$K$503,"正常"),0))</f>
        <v/>
      </c>
      <c r="I95" s="37">
        <f>IF($A95="","",IF($G95=0,"",ROUND($H95/$G95,4)))</f>
        <v/>
      </c>
      <c r="J95" s="26">
        <f>IF($A95="","",ROUND(SUMIFS(入库单!$U$4:$U$2503,入库单!$E$4:$E$2503,$A95,入库单!$Z$4:$Z$2503,"正常"),0))</f>
        <v/>
      </c>
      <c r="K95" s="26">
        <f>IF($A95="","",ROUND($H95-$J95,0))</f>
        <v/>
      </c>
      <c r="L95" s="26">
        <f>IF($A95="","",ROUND(SUMIFS(入库单!$V$4:$V$2503,入库单!$E$4:$E$2503,$A95,入库单!$Z$4:$Z$2503,"正常"),0))</f>
        <v/>
      </c>
      <c r="M95" s="24">
        <f>IF($A95="","",IF($E95=0,"※这个批次号在入库单里找不到",IF(AND($H95&gt;0,$F95&gt;0),"△有 "&amp;$F95&amp;" 行没单价，运费整批挂账没摊 —— 补完价自动摊",IF($H95=0,"△还没录运费（27 个柜里只有 2 个录了，其余的要补）",IF(ABS($K95)&gt;1,"※摊完还差 "&amp;TEXT($K95,"#,##0")&amp;" 先令，查一下","已摊平")))))</f>
        <v/>
      </c>
    </row>
    <row r="96">
      <c r="A96" s="24" t="n"/>
      <c r="B96" s="17" t="n"/>
      <c r="C96" s="30" t="n"/>
      <c r="D96" s="24">
        <f>IF($A96="","",IFERROR(LOOKUP(2,1/(入库单!$E$4:$E$2503=$A96),入库单!$D$4:$D$2503),""))</f>
        <v/>
      </c>
      <c r="E96" s="28">
        <f>IF($A96="","",COUNTIFS(入库单!$E$4:$E$2503,$A96,入库单!$Z$4:$Z$2503,"正常"))</f>
        <v/>
      </c>
      <c r="F96" s="28">
        <f>IF($A96="","",COUNTIFS(入库单!$E$4:$E$2503,$A96,入库单!$Z$4:$Z$2503,"正常",入库单!$Y$4:$Y$2503,"待补价"))</f>
        <v/>
      </c>
      <c r="G96" s="26">
        <f>IF($A96="","",ROUND(SUMIFS(入库单!$P$4:$P$2503,入库单!$E$4:$E$2503,$A96,入库单!$Z$4:$Z$2503,"正常"),0))</f>
        <v/>
      </c>
      <c r="H96" s="26">
        <f>IF($A96="","",ROUND(SUMIFS(费用台账!$I$4:$I$503,费用台账!$C$4:$C$503,$A96,费用台账!$J$4:$J$503,"是",费用台账!$K$4:$K$503,"正常"),0))</f>
        <v/>
      </c>
      <c r="I96" s="37">
        <f>IF($A96="","",IF($G96=0,"",ROUND($H96/$G96,4)))</f>
        <v/>
      </c>
      <c r="J96" s="26">
        <f>IF($A96="","",ROUND(SUMIFS(入库单!$U$4:$U$2503,入库单!$E$4:$E$2503,$A96,入库单!$Z$4:$Z$2503,"正常"),0))</f>
        <v/>
      </c>
      <c r="K96" s="26">
        <f>IF($A96="","",ROUND($H96-$J96,0))</f>
        <v/>
      </c>
      <c r="L96" s="26">
        <f>IF($A96="","",ROUND(SUMIFS(入库单!$V$4:$V$2503,入库单!$E$4:$E$2503,$A96,入库单!$Z$4:$Z$2503,"正常"),0))</f>
        <v/>
      </c>
      <c r="M96" s="24">
        <f>IF($A96="","",IF($E96=0,"※这个批次号在入库单里找不到",IF(AND($H96&gt;0,$F96&gt;0),"△有 "&amp;$F96&amp;" 行没单价，运费整批挂账没摊 —— 补完价自动摊",IF($H96=0,"△还没录运费（27 个柜里只有 2 个录了，其余的要补）",IF(ABS($K96)&gt;1,"※摊完还差 "&amp;TEXT($K96,"#,##0")&amp;" 先令，查一下","已摊平")))))</f>
        <v/>
      </c>
    </row>
    <row r="97">
      <c r="A97" s="24" t="n"/>
      <c r="B97" s="17" t="n"/>
      <c r="C97" s="30" t="n"/>
      <c r="D97" s="24">
        <f>IF($A97="","",IFERROR(LOOKUP(2,1/(入库单!$E$4:$E$2503=$A97),入库单!$D$4:$D$2503),""))</f>
        <v/>
      </c>
      <c r="E97" s="28">
        <f>IF($A97="","",COUNTIFS(入库单!$E$4:$E$2503,$A97,入库单!$Z$4:$Z$2503,"正常"))</f>
        <v/>
      </c>
      <c r="F97" s="28">
        <f>IF($A97="","",COUNTIFS(入库单!$E$4:$E$2503,$A97,入库单!$Z$4:$Z$2503,"正常",入库单!$Y$4:$Y$2503,"待补价"))</f>
        <v/>
      </c>
      <c r="G97" s="26">
        <f>IF($A97="","",ROUND(SUMIFS(入库单!$P$4:$P$2503,入库单!$E$4:$E$2503,$A97,入库单!$Z$4:$Z$2503,"正常"),0))</f>
        <v/>
      </c>
      <c r="H97" s="26">
        <f>IF($A97="","",ROUND(SUMIFS(费用台账!$I$4:$I$503,费用台账!$C$4:$C$503,$A97,费用台账!$J$4:$J$503,"是",费用台账!$K$4:$K$503,"正常"),0))</f>
        <v/>
      </c>
      <c r="I97" s="37">
        <f>IF($A97="","",IF($G97=0,"",ROUND($H97/$G97,4)))</f>
        <v/>
      </c>
      <c r="J97" s="26">
        <f>IF($A97="","",ROUND(SUMIFS(入库单!$U$4:$U$2503,入库单!$E$4:$E$2503,$A97,入库单!$Z$4:$Z$2503,"正常"),0))</f>
        <v/>
      </c>
      <c r="K97" s="26">
        <f>IF($A97="","",ROUND($H97-$J97,0))</f>
        <v/>
      </c>
      <c r="L97" s="26">
        <f>IF($A97="","",ROUND(SUMIFS(入库单!$V$4:$V$2503,入库单!$E$4:$E$2503,$A97,入库单!$Z$4:$Z$2503,"正常"),0))</f>
        <v/>
      </c>
      <c r="M97" s="24">
        <f>IF($A97="","",IF($E97=0,"※这个批次号在入库单里找不到",IF(AND($H97&gt;0,$F97&gt;0),"△有 "&amp;$F97&amp;" 行没单价，运费整批挂账没摊 —— 补完价自动摊",IF($H97=0,"△还没录运费（27 个柜里只有 2 个录了，其余的要补）",IF(ABS($K97)&gt;1,"※摊完还差 "&amp;TEXT($K97,"#,##0")&amp;" 先令，查一下","已摊平")))))</f>
        <v/>
      </c>
    </row>
    <row r="98">
      <c r="A98" s="24" t="n"/>
      <c r="B98" s="17" t="n"/>
      <c r="C98" s="30" t="n"/>
      <c r="D98" s="24">
        <f>IF($A98="","",IFERROR(LOOKUP(2,1/(入库单!$E$4:$E$2503=$A98),入库单!$D$4:$D$2503),""))</f>
        <v/>
      </c>
      <c r="E98" s="28">
        <f>IF($A98="","",COUNTIFS(入库单!$E$4:$E$2503,$A98,入库单!$Z$4:$Z$2503,"正常"))</f>
        <v/>
      </c>
      <c r="F98" s="28">
        <f>IF($A98="","",COUNTIFS(入库单!$E$4:$E$2503,$A98,入库单!$Z$4:$Z$2503,"正常",入库单!$Y$4:$Y$2503,"待补价"))</f>
        <v/>
      </c>
      <c r="G98" s="26">
        <f>IF($A98="","",ROUND(SUMIFS(入库单!$P$4:$P$2503,入库单!$E$4:$E$2503,$A98,入库单!$Z$4:$Z$2503,"正常"),0))</f>
        <v/>
      </c>
      <c r="H98" s="26">
        <f>IF($A98="","",ROUND(SUMIFS(费用台账!$I$4:$I$503,费用台账!$C$4:$C$503,$A98,费用台账!$J$4:$J$503,"是",费用台账!$K$4:$K$503,"正常"),0))</f>
        <v/>
      </c>
      <c r="I98" s="37">
        <f>IF($A98="","",IF($G98=0,"",ROUND($H98/$G98,4)))</f>
        <v/>
      </c>
      <c r="J98" s="26">
        <f>IF($A98="","",ROUND(SUMIFS(入库单!$U$4:$U$2503,入库单!$E$4:$E$2503,$A98,入库单!$Z$4:$Z$2503,"正常"),0))</f>
        <v/>
      </c>
      <c r="K98" s="26">
        <f>IF($A98="","",ROUND($H98-$J98,0))</f>
        <v/>
      </c>
      <c r="L98" s="26">
        <f>IF($A98="","",ROUND(SUMIFS(入库单!$V$4:$V$2503,入库单!$E$4:$E$2503,$A98,入库单!$Z$4:$Z$2503,"正常"),0))</f>
        <v/>
      </c>
      <c r="M98" s="24">
        <f>IF($A98="","",IF($E98=0,"※这个批次号在入库单里找不到",IF(AND($H98&gt;0,$F98&gt;0),"△有 "&amp;$F98&amp;" 行没单价，运费整批挂账没摊 —— 补完价自动摊",IF($H98=0,"△还没录运费（27 个柜里只有 2 个录了，其余的要补）",IF(ABS($K98)&gt;1,"※摊完还差 "&amp;TEXT($K98,"#,##0")&amp;" 先令，查一下","已摊平")))))</f>
        <v/>
      </c>
    </row>
    <row r="99">
      <c r="A99" s="24" t="n"/>
      <c r="B99" s="17" t="n"/>
      <c r="C99" s="30" t="n"/>
      <c r="D99" s="24">
        <f>IF($A99="","",IFERROR(LOOKUP(2,1/(入库单!$E$4:$E$2503=$A99),入库单!$D$4:$D$2503),""))</f>
        <v/>
      </c>
      <c r="E99" s="28">
        <f>IF($A99="","",COUNTIFS(入库单!$E$4:$E$2503,$A99,入库单!$Z$4:$Z$2503,"正常"))</f>
        <v/>
      </c>
      <c r="F99" s="28">
        <f>IF($A99="","",COUNTIFS(入库单!$E$4:$E$2503,$A99,入库单!$Z$4:$Z$2503,"正常",入库单!$Y$4:$Y$2503,"待补价"))</f>
        <v/>
      </c>
      <c r="G99" s="26">
        <f>IF($A99="","",ROUND(SUMIFS(入库单!$P$4:$P$2503,入库单!$E$4:$E$2503,$A99,入库单!$Z$4:$Z$2503,"正常"),0))</f>
        <v/>
      </c>
      <c r="H99" s="26">
        <f>IF($A99="","",ROUND(SUMIFS(费用台账!$I$4:$I$503,费用台账!$C$4:$C$503,$A99,费用台账!$J$4:$J$503,"是",费用台账!$K$4:$K$503,"正常"),0))</f>
        <v/>
      </c>
      <c r="I99" s="37">
        <f>IF($A99="","",IF($G99=0,"",ROUND($H99/$G99,4)))</f>
        <v/>
      </c>
      <c r="J99" s="26">
        <f>IF($A99="","",ROUND(SUMIFS(入库单!$U$4:$U$2503,入库单!$E$4:$E$2503,$A99,入库单!$Z$4:$Z$2503,"正常"),0))</f>
        <v/>
      </c>
      <c r="K99" s="26">
        <f>IF($A99="","",ROUND($H99-$J99,0))</f>
        <v/>
      </c>
      <c r="L99" s="26">
        <f>IF($A99="","",ROUND(SUMIFS(入库单!$V$4:$V$2503,入库单!$E$4:$E$2503,$A99,入库单!$Z$4:$Z$2503,"正常"),0))</f>
        <v/>
      </c>
      <c r="M99" s="24">
        <f>IF($A99="","",IF($E99=0,"※这个批次号在入库单里找不到",IF(AND($H99&gt;0,$F99&gt;0),"△有 "&amp;$F99&amp;" 行没单价，运费整批挂账没摊 —— 补完价自动摊",IF($H99=0,"△还没录运费（27 个柜里只有 2 个录了，其余的要补）",IF(ABS($K99)&gt;1,"※摊完还差 "&amp;TEXT($K99,"#,##0")&amp;" 先令，查一下","已摊平")))))</f>
        <v/>
      </c>
    </row>
    <row r="100">
      <c r="A100" s="24" t="n"/>
      <c r="B100" s="17" t="n"/>
      <c r="C100" s="30" t="n"/>
      <c r="D100" s="24">
        <f>IF($A100="","",IFERROR(LOOKUP(2,1/(入库单!$E$4:$E$2503=$A100),入库单!$D$4:$D$2503),""))</f>
        <v/>
      </c>
      <c r="E100" s="28">
        <f>IF($A100="","",COUNTIFS(入库单!$E$4:$E$2503,$A100,入库单!$Z$4:$Z$2503,"正常"))</f>
        <v/>
      </c>
      <c r="F100" s="28">
        <f>IF($A100="","",COUNTIFS(入库单!$E$4:$E$2503,$A100,入库单!$Z$4:$Z$2503,"正常",入库单!$Y$4:$Y$2503,"待补价"))</f>
        <v/>
      </c>
      <c r="G100" s="26">
        <f>IF($A100="","",ROUND(SUMIFS(入库单!$P$4:$P$2503,入库单!$E$4:$E$2503,$A100,入库单!$Z$4:$Z$2503,"正常"),0))</f>
        <v/>
      </c>
      <c r="H100" s="26">
        <f>IF($A100="","",ROUND(SUMIFS(费用台账!$I$4:$I$503,费用台账!$C$4:$C$503,$A100,费用台账!$J$4:$J$503,"是",费用台账!$K$4:$K$503,"正常"),0))</f>
        <v/>
      </c>
      <c r="I100" s="37">
        <f>IF($A100="","",IF($G100=0,"",ROUND($H100/$G100,4)))</f>
        <v/>
      </c>
      <c r="J100" s="26">
        <f>IF($A100="","",ROUND(SUMIFS(入库单!$U$4:$U$2503,入库单!$E$4:$E$2503,$A100,入库单!$Z$4:$Z$2503,"正常"),0))</f>
        <v/>
      </c>
      <c r="K100" s="26">
        <f>IF($A100="","",ROUND($H100-$J100,0))</f>
        <v/>
      </c>
      <c r="L100" s="26">
        <f>IF($A100="","",ROUND(SUMIFS(入库单!$V$4:$V$2503,入库单!$E$4:$E$2503,$A100,入库单!$Z$4:$Z$2503,"正常"),0))</f>
        <v/>
      </c>
      <c r="M100" s="24">
        <f>IF($A100="","",IF($E100=0,"※这个批次号在入库单里找不到",IF(AND($H100&gt;0,$F100&gt;0),"△有 "&amp;$F100&amp;" 行没单价，运费整批挂账没摊 —— 补完价自动摊",IF($H100=0,"△还没录运费（27 个柜里只有 2 个录了，其余的要补）",IF(ABS($K100)&gt;1,"※摊完还差 "&amp;TEXT($K100,"#,##0")&amp;" 先令，查一下","已摊平")))))</f>
        <v/>
      </c>
    </row>
    <row r="101">
      <c r="A101" s="24" t="n"/>
      <c r="B101" s="17" t="n"/>
      <c r="C101" s="30" t="n"/>
      <c r="D101" s="24">
        <f>IF($A101="","",IFERROR(LOOKUP(2,1/(入库单!$E$4:$E$2503=$A101),入库单!$D$4:$D$2503),""))</f>
        <v/>
      </c>
      <c r="E101" s="28">
        <f>IF($A101="","",COUNTIFS(入库单!$E$4:$E$2503,$A101,入库单!$Z$4:$Z$2503,"正常"))</f>
        <v/>
      </c>
      <c r="F101" s="28">
        <f>IF($A101="","",COUNTIFS(入库单!$E$4:$E$2503,$A101,入库单!$Z$4:$Z$2503,"正常",入库单!$Y$4:$Y$2503,"待补价"))</f>
        <v/>
      </c>
      <c r="G101" s="26">
        <f>IF($A101="","",ROUND(SUMIFS(入库单!$P$4:$P$2503,入库单!$E$4:$E$2503,$A101,入库单!$Z$4:$Z$2503,"正常"),0))</f>
        <v/>
      </c>
      <c r="H101" s="26">
        <f>IF($A101="","",ROUND(SUMIFS(费用台账!$I$4:$I$503,费用台账!$C$4:$C$503,$A101,费用台账!$J$4:$J$503,"是",费用台账!$K$4:$K$503,"正常"),0))</f>
        <v/>
      </c>
      <c r="I101" s="37">
        <f>IF($A101="","",IF($G101=0,"",ROUND($H101/$G101,4)))</f>
        <v/>
      </c>
      <c r="J101" s="26">
        <f>IF($A101="","",ROUND(SUMIFS(入库单!$U$4:$U$2503,入库单!$E$4:$E$2503,$A101,入库单!$Z$4:$Z$2503,"正常"),0))</f>
        <v/>
      </c>
      <c r="K101" s="26">
        <f>IF($A101="","",ROUND($H101-$J101,0))</f>
        <v/>
      </c>
      <c r="L101" s="26">
        <f>IF($A101="","",ROUND(SUMIFS(入库单!$V$4:$V$2503,入库单!$E$4:$E$2503,$A101,入库单!$Z$4:$Z$2503,"正常"),0))</f>
        <v/>
      </c>
      <c r="M101" s="24">
        <f>IF($A101="","",IF($E101=0,"※这个批次号在入库单里找不到",IF(AND($H101&gt;0,$F101&gt;0),"△有 "&amp;$F101&amp;" 行没单价，运费整批挂账没摊 —— 补完价自动摊",IF($H101=0,"△还没录运费（27 个柜里只有 2 个录了，其余的要补）",IF(ABS($K101)&gt;1,"※摊完还差 "&amp;TEXT($K101,"#,##0")&amp;" 先令，查一下","已摊平")))))</f>
        <v/>
      </c>
    </row>
    <row r="102">
      <c r="A102" s="24" t="n"/>
      <c r="B102" s="17" t="n"/>
      <c r="C102" s="30" t="n"/>
      <c r="D102" s="24">
        <f>IF($A102="","",IFERROR(LOOKUP(2,1/(入库单!$E$4:$E$2503=$A102),入库单!$D$4:$D$2503),""))</f>
        <v/>
      </c>
      <c r="E102" s="28">
        <f>IF($A102="","",COUNTIFS(入库单!$E$4:$E$2503,$A102,入库单!$Z$4:$Z$2503,"正常"))</f>
        <v/>
      </c>
      <c r="F102" s="28">
        <f>IF($A102="","",COUNTIFS(入库单!$E$4:$E$2503,$A102,入库单!$Z$4:$Z$2503,"正常",入库单!$Y$4:$Y$2503,"待补价"))</f>
        <v/>
      </c>
      <c r="G102" s="26">
        <f>IF($A102="","",ROUND(SUMIFS(入库单!$P$4:$P$2503,入库单!$E$4:$E$2503,$A102,入库单!$Z$4:$Z$2503,"正常"),0))</f>
        <v/>
      </c>
      <c r="H102" s="26">
        <f>IF($A102="","",ROUND(SUMIFS(费用台账!$I$4:$I$503,费用台账!$C$4:$C$503,$A102,费用台账!$J$4:$J$503,"是",费用台账!$K$4:$K$503,"正常"),0))</f>
        <v/>
      </c>
      <c r="I102" s="37">
        <f>IF($A102="","",IF($G102=0,"",ROUND($H102/$G102,4)))</f>
        <v/>
      </c>
      <c r="J102" s="26">
        <f>IF($A102="","",ROUND(SUMIFS(入库单!$U$4:$U$2503,入库单!$E$4:$E$2503,$A102,入库单!$Z$4:$Z$2503,"正常"),0))</f>
        <v/>
      </c>
      <c r="K102" s="26">
        <f>IF($A102="","",ROUND($H102-$J102,0))</f>
        <v/>
      </c>
      <c r="L102" s="26">
        <f>IF($A102="","",ROUND(SUMIFS(入库单!$V$4:$V$2503,入库单!$E$4:$E$2503,$A102,入库单!$Z$4:$Z$2503,"正常"),0))</f>
        <v/>
      </c>
      <c r="M102" s="24">
        <f>IF($A102="","",IF($E102=0,"※这个批次号在入库单里找不到",IF(AND($H102&gt;0,$F102&gt;0),"△有 "&amp;$F102&amp;" 行没单价，运费整批挂账没摊 —— 补完价自动摊",IF($H102=0,"△还没录运费（27 个柜里只有 2 个录了，其余的要补）",IF(ABS($K102)&gt;1,"※摊完还差 "&amp;TEXT($K102,"#,##0")&amp;" 先令，查一下","已摊平")))))</f>
        <v/>
      </c>
    </row>
    <row r="103">
      <c r="A103" s="24" t="n"/>
      <c r="B103" s="17" t="n"/>
      <c r="C103" s="30" t="n"/>
      <c r="D103" s="24">
        <f>IF($A103="","",IFERROR(LOOKUP(2,1/(入库单!$E$4:$E$2503=$A103),入库单!$D$4:$D$2503),""))</f>
        <v/>
      </c>
      <c r="E103" s="28">
        <f>IF($A103="","",COUNTIFS(入库单!$E$4:$E$2503,$A103,入库单!$Z$4:$Z$2503,"正常"))</f>
        <v/>
      </c>
      <c r="F103" s="28">
        <f>IF($A103="","",COUNTIFS(入库单!$E$4:$E$2503,$A103,入库单!$Z$4:$Z$2503,"正常",入库单!$Y$4:$Y$2503,"待补价"))</f>
        <v/>
      </c>
      <c r="G103" s="26">
        <f>IF($A103="","",ROUND(SUMIFS(入库单!$P$4:$P$2503,入库单!$E$4:$E$2503,$A103,入库单!$Z$4:$Z$2503,"正常"),0))</f>
        <v/>
      </c>
      <c r="H103" s="26">
        <f>IF($A103="","",ROUND(SUMIFS(费用台账!$I$4:$I$503,费用台账!$C$4:$C$503,$A103,费用台账!$J$4:$J$503,"是",费用台账!$K$4:$K$503,"正常"),0))</f>
        <v/>
      </c>
      <c r="I103" s="37">
        <f>IF($A103="","",IF($G103=0,"",ROUND($H103/$G103,4)))</f>
        <v/>
      </c>
      <c r="J103" s="26">
        <f>IF($A103="","",ROUND(SUMIFS(入库单!$U$4:$U$2503,入库单!$E$4:$E$2503,$A103,入库单!$Z$4:$Z$2503,"正常"),0))</f>
        <v/>
      </c>
      <c r="K103" s="26">
        <f>IF($A103="","",ROUND($H103-$J103,0))</f>
        <v/>
      </c>
      <c r="L103" s="26">
        <f>IF($A103="","",ROUND(SUMIFS(入库单!$V$4:$V$2503,入库单!$E$4:$E$2503,$A103,入库单!$Z$4:$Z$2503,"正常"),0))</f>
        <v/>
      </c>
      <c r="M103" s="24">
        <f>IF($A103="","",IF($E103=0,"※这个批次号在入库单里找不到",IF(AND($H103&gt;0,$F103&gt;0),"△有 "&amp;$F103&amp;" 行没单价，运费整批挂账没摊 —— 补完价自动摊",IF($H103=0,"△还没录运费（27 个柜里只有 2 个录了，其余的要补）",IF(ABS($K103)&gt;1,"※摊完还差 "&amp;TEXT($K103,"#,##0")&amp;" 先令，查一下","已摊平")))))</f>
        <v/>
      </c>
    </row>
    <row r="104">
      <c r="A104" s="24" t="n"/>
      <c r="B104" s="17" t="n"/>
      <c r="C104" s="30" t="n"/>
      <c r="D104" s="24">
        <f>IF($A104="","",IFERROR(LOOKUP(2,1/(入库单!$E$4:$E$2503=$A104),入库单!$D$4:$D$2503),""))</f>
        <v/>
      </c>
      <c r="E104" s="28">
        <f>IF($A104="","",COUNTIFS(入库单!$E$4:$E$2503,$A104,入库单!$Z$4:$Z$2503,"正常"))</f>
        <v/>
      </c>
      <c r="F104" s="28">
        <f>IF($A104="","",COUNTIFS(入库单!$E$4:$E$2503,$A104,入库单!$Z$4:$Z$2503,"正常",入库单!$Y$4:$Y$2503,"待补价"))</f>
        <v/>
      </c>
      <c r="G104" s="26">
        <f>IF($A104="","",ROUND(SUMIFS(入库单!$P$4:$P$2503,入库单!$E$4:$E$2503,$A104,入库单!$Z$4:$Z$2503,"正常"),0))</f>
        <v/>
      </c>
      <c r="H104" s="26">
        <f>IF($A104="","",ROUND(SUMIFS(费用台账!$I$4:$I$503,费用台账!$C$4:$C$503,$A104,费用台账!$J$4:$J$503,"是",费用台账!$K$4:$K$503,"正常"),0))</f>
        <v/>
      </c>
      <c r="I104" s="37">
        <f>IF($A104="","",IF($G104=0,"",ROUND($H104/$G104,4)))</f>
        <v/>
      </c>
      <c r="J104" s="26">
        <f>IF($A104="","",ROUND(SUMIFS(入库单!$U$4:$U$2503,入库单!$E$4:$E$2503,$A104,入库单!$Z$4:$Z$2503,"正常"),0))</f>
        <v/>
      </c>
      <c r="K104" s="26">
        <f>IF($A104="","",ROUND($H104-$J104,0))</f>
        <v/>
      </c>
      <c r="L104" s="26">
        <f>IF($A104="","",ROUND(SUMIFS(入库单!$V$4:$V$2503,入库单!$E$4:$E$2503,$A104,入库单!$Z$4:$Z$2503,"正常"),0))</f>
        <v/>
      </c>
      <c r="M104" s="24">
        <f>IF($A104="","",IF($E104=0,"※这个批次号在入库单里找不到",IF(AND($H104&gt;0,$F104&gt;0),"△有 "&amp;$F104&amp;" 行没单价，运费整批挂账没摊 —— 补完价自动摊",IF($H104=0,"△还没录运费（27 个柜里只有 2 个录了，其余的要补）",IF(ABS($K104)&gt;1,"※摊完还差 "&amp;TEXT($K104,"#,##0")&amp;" 先令，查一下","已摊平")))))</f>
        <v/>
      </c>
    </row>
    <row r="105">
      <c r="A105" s="24" t="n"/>
      <c r="B105" s="17" t="n"/>
      <c r="C105" s="30" t="n"/>
      <c r="D105" s="24">
        <f>IF($A105="","",IFERROR(LOOKUP(2,1/(入库单!$E$4:$E$2503=$A105),入库单!$D$4:$D$2503),""))</f>
        <v/>
      </c>
      <c r="E105" s="28">
        <f>IF($A105="","",COUNTIFS(入库单!$E$4:$E$2503,$A105,入库单!$Z$4:$Z$2503,"正常"))</f>
        <v/>
      </c>
      <c r="F105" s="28">
        <f>IF($A105="","",COUNTIFS(入库单!$E$4:$E$2503,$A105,入库单!$Z$4:$Z$2503,"正常",入库单!$Y$4:$Y$2503,"待补价"))</f>
        <v/>
      </c>
      <c r="G105" s="26">
        <f>IF($A105="","",ROUND(SUMIFS(入库单!$P$4:$P$2503,入库单!$E$4:$E$2503,$A105,入库单!$Z$4:$Z$2503,"正常"),0))</f>
        <v/>
      </c>
      <c r="H105" s="26">
        <f>IF($A105="","",ROUND(SUMIFS(费用台账!$I$4:$I$503,费用台账!$C$4:$C$503,$A105,费用台账!$J$4:$J$503,"是",费用台账!$K$4:$K$503,"正常"),0))</f>
        <v/>
      </c>
      <c r="I105" s="37">
        <f>IF($A105="","",IF($G105=0,"",ROUND($H105/$G105,4)))</f>
        <v/>
      </c>
      <c r="J105" s="26">
        <f>IF($A105="","",ROUND(SUMIFS(入库单!$U$4:$U$2503,入库单!$E$4:$E$2503,$A105,入库单!$Z$4:$Z$2503,"正常"),0))</f>
        <v/>
      </c>
      <c r="K105" s="26">
        <f>IF($A105="","",ROUND($H105-$J105,0))</f>
        <v/>
      </c>
      <c r="L105" s="26">
        <f>IF($A105="","",ROUND(SUMIFS(入库单!$V$4:$V$2503,入库单!$E$4:$E$2503,$A105,入库单!$Z$4:$Z$2503,"正常"),0))</f>
        <v/>
      </c>
      <c r="M105" s="24">
        <f>IF($A105="","",IF($E105=0,"※这个批次号在入库单里找不到",IF(AND($H105&gt;0,$F105&gt;0),"△有 "&amp;$F105&amp;" 行没单价，运费整批挂账没摊 —— 补完价自动摊",IF($H105=0,"△还没录运费（27 个柜里只有 2 个录了，其余的要补）",IF(ABS($K105)&gt;1,"※摊完还差 "&amp;TEXT($K105,"#,##0")&amp;" 先令，查一下","已摊平")))))</f>
        <v/>
      </c>
    </row>
    <row r="106">
      <c r="A106" s="24" t="n"/>
      <c r="B106" s="17" t="n"/>
      <c r="C106" s="30" t="n"/>
      <c r="D106" s="24">
        <f>IF($A106="","",IFERROR(LOOKUP(2,1/(入库单!$E$4:$E$2503=$A106),入库单!$D$4:$D$2503),""))</f>
        <v/>
      </c>
      <c r="E106" s="28">
        <f>IF($A106="","",COUNTIFS(入库单!$E$4:$E$2503,$A106,入库单!$Z$4:$Z$2503,"正常"))</f>
        <v/>
      </c>
      <c r="F106" s="28">
        <f>IF($A106="","",COUNTIFS(入库单!$E$4:$E$2503,$A106,入库单!$Z$4:$Z$2503,"正常",入库单!$Y$4:$Y$2503,"待补价"))</f>
        <v/>
      </c>
      <c r="G106" s="26">
        <f>IF($A106="","",ROUND(SUMIFS(入库单!$P$4:$P$2503,入库单!$E$4:$E$2503,$A106,入库单!$Z$4:$Z$2503,"正常"),0))</f>
        <v/>
      </c>
      <c r="H106" s="26">
        <f>IF($A106="","",ROUND(SUMIFS(费用台账!$I$4:$I$503,费用台账!$C$4:$C$503,$A106,费用台账!$J$4:$J$503,"是",费用台账!$K$4:$K$503,"正常"),0))</f>
        <v/>
      </c>
      <c r="I106" s="37">
        <f>IF($A106="","",IF($G106=0,"",ROUND($H106/$G106,4)))</f>
        <v/>
      </c>
      <c r="J106" s="26">
        <f>IF($A106="","",ROUND(SUMIFS(入库单!$U$4:$U$2503,入库单!$E$4:$E$2503,$A106,入库单!$Z$4:$Z$2503,"正常"),0))</f>
        <v/>
      </c>
      <c r="K106" s="26">
        <f>IF($A106="","",ROUND($H106-$J106,0))</f>
        <v/>
      </c>
      <c r="L106" s="26">
        <f>IF($A106="","",ROUND(SUMIFS(入库单!$V$4:$V$2503,入库单!$E$4:$E$2503,$A106,入库单!$Z$4:$Z$2503,"正常"),0))</f>
        <v/>
      </c>
      <c r="M106" s="24">
        <f>IF($A106="","",IF($E106=0,"※这个批次号在入库单里找不到",IF(AND($H106&gt;0,$F106&gt;0),"△有 "&amp;$F106&amp;" 行没单价，运费整批挂账没摊 —— 补完价自动摊",IF($H106=0,"△还没录运费（27 个柜里只有 2 个录了，其余的要补）",IF(ABS($K106)&gt;1,"※摊完还差 "&amp;TEXT($K106,"#,##0")&amp;" 先令，查一下","已摊平")))))</f>
        <v/>
      </c>
    </row>
    <row r="107">
      <c r="A107" s="24" t="n"/>
      <c r="B107" s="17" t="n"/>
      <c r="C107" s="30" t="n"/>
      <c r="D107" s="24">
        <f>IF($A107="","",IFERROR(LOOKUP(2,1/(入库单!$E$4:$E$2503=$A107),入库单!$D$4:$D$2503),""))</f>
        <v/>
      </c>
      <c r="E107" s="28">
        <f>IF($A107="","",COUNTIFS(入库单!$E$4:$E$2503,$A107,入库单!$Z$4:$Z$2503,"正常"))</f>
        <v/>
      </c>
      <c r="F107" s="28">
        <f>IF($A107="","",COUNTIFS(入库单!$E$4:$E$2503,$A107,入库单!$Z$4:$Z$2503,"正常",入库单!$Y$4:$Y$2503,"待补价"))</f>
        <v/>
      </c>
      <c r="G107" s="26">
        <f>IF($A107="","",ROUND(SUMIFS(入库单!$P$4:$P$2503,入库单!$E$4:$E$2503,$A107,入库单!$Z$4:$Z$2503,"正常"),0))</f>
        <v/>
      </c>
      <c r="H107" s="26">
        <f>IF($A107="","",ROUND(SUMIFS(费用台账!$I$4:$I$503,费用台账!$C$4:$C$503,$A107,费用台账!$J$4:$J$503,"是",费用台账!$K$4:$K$503,"正常"),0))</f>
        <v/>
      </c>
      <c r="I107" s="37">
        <f>IF($A107="","",IF($G107=0,"",ROUND($H107/$G107,4)))</f>
        <v/>
      </c>
      <c r="J107" s="26">
        <f>IF($A107="","",ROUND(SUMIFS(入库单!$U$4:$U$2503,入库单!$E$4:$E$2503,$A107,入库单!$Z$4:$Z$2503,"正常"),0))</f>
        <v/>
      </c>
      <c r="K107" s="26">
        <f>IF($A107="","",ROUND($H107-$J107,0))</f>
        <v/>
      </c>
      <c r="L107" s="26">
        <f>IF($A107="","",ROUND(SUMIFS(入库单!$V$4:$V$2503,入库单!$E$4:$E$2503,$A107,入库单!$Z$4:$Z$2503,"正常"),0))</f>
        <v/>
      </c>
      <c r="M107" s="24">
        <f>IF($A107="","",IF($E107=0,"※这个批次号在入库单里找不到",IF(AND($H107&gt;0,$F107&gt;0),"△有 "&amp;$F107&amp;" 行没单价，运费整批挂账没摊 —— 补完价自动摊",IF($H107=0,"△还没录运费（27 个柜里只有 2 个录了，其余的要补）",IF(ABS($K107)&gt;1,"※摊完还差 "&amp;TEXT($K107,"#,##0")&amp;" 先令，查一下","已摊平")))))</f>
        <v/>
      </c>
    </row>
    <row r="108">
      <c r="A108" s="24" t="n"/>
      <c r="B108" s="17" t="n"/>
      <c r="C108" s="30" t="n"/>
      <c r="D108" s="24">
        <f>IF($A108="","",IFERROR(LOOKUP(2,1/(入库单!$E$4:$E$2503=$A108),入库单!$D$4:$D$2503),""))</f>
        <v/>
      </c>
      <c r="E108" s="28">
        <f>IF($A108="","",COUNTIFS(入库单!$E$4:$E$2503,$A108,入库单!$Z$4:$Z$2503,"正常"))</f>
        <v/>
      </c>
      <c r="F108" s="28">
        <f>IF($A108="","",COUNTIFS(入库单!$E$4:$E$2503,$A108,入库单!$Z$4:$Z$2503,"正常",入库单!$Y$4:$Y$2503,"待补价"))</f>
        <v/>
      </c>
      <c r="G108" s="26">
        <f>IF($A108="","",ROUND(SUMIFS(入库单!$P$4:$P$2503,入库单!$E$4:$E$2503,$A108,入库单!$Z$4:$Z$2503,"正常"),0))</f>
        <v/>
      </c>
      <c r="H108" s="26">
        <f>IF($A108="","",ROUND(SUMIFS(费用台账!$I$4:$I$503,费用台账!$C$4:$C$503,$A108,费用台账!$J$4:$J$503,"是",费用台账!$K$4:$K$503,"正常"),0))</f>
        <v/>
      </c>
      <c r="I108" s="37">
        <f>IF($A108="","",IF($G108=0,"",ROUND($H108/$G108,4)))</f>
        <v/>
      </c>
      <c r="J108" s="26">
        <f>IF($A108="","",ROUND(SUMIFS(入库单!$U$4:$U$2503,入库单!$E$4:$E$2503,$A108,入库单!$Z$4:$Z$2503,"正常"),0))</f>
        <v/>
      </c>
      <c r="K108" s="26">
        <f>IF($A108="","",ROUND($H108-$J108,0))</f>
        <v/>
      </c>
      <c r="L108" s="26">
        <f>IF($A108="","",ROUND(SUMIFS(入库单!$V$4:$V$2503,入库单!$E$4:$E$2503,$A108,入库单!$Z$4:$Z$2503,"正常"),0))</f>
        <v/>
      </c>
      <c r="M108" s="24">
        <f>IF($A108="","",IF($E108=0,"※这个批次号在入库单里找不到",IF(AND($H108&gt;0,$F108&gt;0),"△有 "&amp;$F108&amp;" 行没单价，运费整批挂账没摊 —— 补完价自动摊",IF($H108=0,"△还没录运费（27 个柜里只有 2 个录了，其余的要补）",IF(ABS($K108)&gt;1,"※摊完还差 "&amp;TEXT($K108,"#,##0")&amp;" 先令，查一下","已摊平")))))</f>
        <v/>
      </c>
    </row>
    <row r="109">
      <c r="A109" s="24" t="n"/>
      <c r="B109" s="17" t="n"/>
      <c r="C109" s="30" t="n"/>
      <c r="D109" s="24">
        <f>IF($A109="","",IFERROR(LOOKUP(2,1/(入库单!$E$4:$E$2503=$A109),入库单!$D$4:$D$2503),""))</f>
        <v/>
      </c>
      <c r="E109" s="28">
        <f>IF($A109="","",COUNTIFS(入库单!$E$4:$E$2503,$A109,入库单!$Z$4:$Z$2503,"正常"))</f>
        <v/>
      </c>
      <c r="F109" s="28">
        <f>IF($A109="","",COUNTIFS(入库单!$E$4:$E$2503,$A109,入库单!$Z$4:$Z$2503,"正常",入库单!$Y$4:$Y$2503,"待补价"))</f>
        <v/>
      </c>
      <c r="G109" s="26">
        <f>IF($A109="","",ROUND(SUMIFS(入库单!$P$4:$P$2503,入库单!$E$4:$E$2503,$A109,入库单!$Z$4:$Z$2503,"正常"),0))</f>
        <v/>
      </c>
      <c r="H109" s="26">
        <f>IF($A109="","",ROUND(SUMIFS(费用台账!$I$4:$I$503,费用台账!$C$4:$C$503,$A109,费用台账!$J$4:$J$503,"是",费用台账!$K$4:$K$503,"正常"),0))</f>
        <v/>
      </c>
      <c r="I109" s="37">
        <f>IF($A109="","",IF($G109=0,"",ROUND($H109/$G109,4)))</f>
        <v/>
      </c>
      <c r="J109" s="26">
        <f>IF($A109="","",ROUND(SUMIFS(入库单!$U$4:$U$2503,入库单!$E$4:$E$2503,$A109,入库单!$Z$4:$Z$2503,"正常"),0))</f>
        <v/>
      </c>
      <c r="K109" s="26">
        <f>IF($A109="","",ROUND($H109-$J109,0))</f>
        <v/>
      </c>
      <c r="L109" s="26">
        <f>IF($A109="","",ROUND(SUMIFS(入库单!$V$4:$V$2503,入库单!$E$4:$E$2503,$A109,入库单!$Z$4:$Z$2503,"正常"),0))</f>
        <v/>
      </c>
      <c r="M109" s="24">
        <f>IF($A109="","",IF($E109=0,"※这个批次号在入库单里找不到",IF(AND($H109&gt;0,$F109&gt;0),"△有 "&amp;$F109&amp;" 行没单价，运费整批挂账没摊 —— 补完价自动摊",IF($H109=0,"△还没录运费（27 个柜里只有 2 个录了，其余的要补）",IF(ABS($K109)&gt;1,"※摊完还差 "&amp;TEXT($K109,"#,##0")&amp;" 先令，查一下","已摊平")))))</f>
        <v/>
      </c>
    </row>
    <row r="110">
      <c r="A110" s="24" t="n"/>
      <c r="B110" s="17" t="n"/>
      <c r="C110" s="30" t="n"/>
      <c r="D110" s="24">
        <f>IF($A110="","",IFERROR(LOOKUP(2,1/(入库单!$E$4:$E$2503=$A110),入库单!$D$4:$D$2503),""))</f>
        <v/>
      </c>
      <c r="E110" s="28">
        <f>IF($A110="","",COUNTIFS(入库单!$E$4:$E$2503,$A110,入库单!$Z$4:$Z$2503,"正常"))</f>
        <v/>
      </c>
      <c r="F110" s="28">
        <f>IF($A110="","",COUNTIFS(入库单!$E$4:$E$2503,$A110,入库单!$Z$4:$Z$2503,"正常",入库单!$Y$4:$Y$2503,"待补价"))</f>
        <v/>
      </c>
      <c r="G110" s="26">
        <f>IF($A110="","",ROUND(SUMIFS(入库单!$P$4:$P$2503,入库单!$E$4:$E$2503,$A110,入库单!$Z$4:$Z$2503,"正常"),0))</f>
        <v/>
      </c>
      <c r="H110" s="26">
        <f>IF($A110="","",ROUND(SUMIFS(费用台账!$I$4:$I$503,费用台账!$C$4:$C$503,$A110,费用台账!$J$4:$J$503,"是",费用台账!$K$4:$K$503,"正常"),0))</f>
        <v/>
      </c>
      <c r="I110" s="37">
        <f>IF($A110="","",IF($G110=0,"",ROUND($H110/$G110,4)))</f>
        <v/>
      </c>
      <c r="J110" s="26">
        <f>IF($A110="","",ROUND(SUMIFS(入库单!$U$4:$U$2503,入库单!$E$4:$E$2503,$A110,入库单!$Z$4:$Z$2503,"正常"),0))</f>
        <v/>
      </c>
      <c r="K110" s="26">
        <f>IF($A110="","",ROUND($H110-$J110,0))</f>
        <v/>
      </c>
      <c r="L110" s="26">
        <f>IF($A110="","",ROUND(SUMIFS(入库单!$V$4:$V$2503,入库单!$E$4:$E$2503,$A110,入库单!$Z$4:$Z$2503,"正常"),0))</f>
        <v/>
      </c>
      <c r="M110" s="24">
        <f>IF($A110="","",IF($E110=0,"※这个批次号在入库单里找不到",IF(AND($H110&gt;0,$F110&gt;0),"△有 "&amp;$F110&amp;" 行没单价，运费整批挂账没摊 —— 补完价自动摊",IF($H110=0,"△还没录运费（27 个柜里只有 2 个录了，其余的要补）",IF(ABS($K110)&gt;1,"※摊完还差 "&amp;TEXT($K110,"#,##0")&amp;" 先令，查一下","已摊平")))))</f>
        <v/>
      </c>
    </row>
    <row r="111">
      <c r="A111" s="24" t="n"/>
      <c r="B111" s="17" t="n"/>
      <c r="C111" s="30" t="n"/>
      <c r="D111" s="24">
        <f>IF($A111="","",IFERROR(LOOKUP(2,1/(入库单!$E$4:$E$2503=$A111),入库单!$D$4:$D$2503),""))</f>
        <v/>
      </c>
      <c r="E111" s="28">
        <f>IF($A111="","",COUNTIFS(入库单!$E$4:$E$2503,$A111,入库单!$Z$4:$Z$2503,"正常"))</f>
        <v/>
      </c>
      <c r="F111" s="28">
        <f>IF($A111="","",COUNTIFS(入库单!$E$4:$E$2503,$A111,入库单!$Z$4:$Z$2503,"正常",入库单!$Y$4:$Y$2503,"待补价"))</f>
        <v/>
      </c>
      <c r="G111" s="26">
        <f>IF($A111="","",ROUND(SUMIFS(入库单!$P$4:$P$2503,入库单!$E$4:$E$2503,$A111,入库单!$Z$4:$Z$2503,"正常"),0))</f>
        <v/>
      </c>
      <c r="H111" s="26">
        <f>IF($A111="","",ROUND(SUMIFS(费用台账!$I$4:$I$503,费用台账!$C$4:$C$503,$A111,费用台账!$J$4:$J$503,"是",费用台账!$K$4:$K$503,"正常"),0))</f>
        <v/>
      </c>
      <c r="I111" s="37">
        <f>IF($A111="","",IF($G111=0,"",ROUND($H111/$G111,4)))</f>
        <v/>
      </c>
      <c r="J111" s="26">
        <f>IF($A111="","",ROUND(SUMIFS(入库单!$U$4:$U$2503,入库单!$E$4:$E$2503,$A111,入库单!$Z$4:$Z$2503,"正常"),0))</f>
        <v/>
      </c>
      <c r="K111" s="26">
        <f>IF($A111="","",ROUND($H111-$J111,0))</f>
        <v/>
      </c>
      <c r="L111" s="26">
        <f>IF($A111="","",ROUND(SUMIFS(入库单!$V$4:$V$2503,入库单!$E$4:$E$2503,$A111,入库单!$Z$4:$Z$2503,"正常"),0))</f>
        <v/>
      </c>
      <c r="M111" s="24">
        <f>IF($A111="","",IF($E111=0,"※这个批次号在入库单里找不到",IF(AND($H111&gt;0,$F111&gt;0),"△有 "&amp;$F111&amp;" 行没单价，运费整批挂账没摊 —— 补完价自动摊",IF($H111=0,"△还没录运费（27 个柜里只有 2 个录了，其余的要补）",IF(ABS($K111)&gt;1,"※摊完还差 "&amp;TEXT($K111,"#,##0")&amp;" 先令，查一下","已摊平")))))</f>
        <v/>
      </c>
    </row>
    <row r="112">
      <c r="A112" s="24" t="n"/>
      <c r="B112" s="17" t="n"/>
      <c r="C112" s="30" t="n"/>
      <c r="D112" s="24">
        <f>IF($A112="","",IFERROR(LOOKUP(2,1/(入库单!$E$4:$E$2503=$A112),入库单!$D$4:$D$2503),""))</f>
        <v/>
      </c>
      <c r="E112" s="28">
        <f>IF($A112="","",COUNTIFS(入库单!$E$4:$E$2503,$A112,入库单!$Z$4:$Z$2503,"正常"))</f>
        <v/>
      </c>
      <c r="F112" s="28">
        <f>IF($A112="","",COUNTIFS(入库单!$E$4:$E$2503,$A112,入库单!$Z$4:$Z$2503,"正常",入库单!$Y$4:$Y$2503,"待补价"))</f>
        <v/>
      </c>
      <c r="G112" s="26">
        <f>IF($A112="","",ROUND(SUMIFS(入库单!$P$4:$P$2503,入库单!$E$4:$E$2503,$A112,入库单!$Z$4:$Z$2503,"正常"),0))</f>
        <v/>
      </c>
      <c r="H112" s="26">
        <f>IF($A112="","",ROUND(SUMIFS(费用台账!$I$4:$I$503,费用台账!$C$4:$C$503,$A112,费用台账!$J$4:$J$503,"是",费用台账!$K$4:$K$503,"正常"),0))</f>
        <v/>
      </c>
      <c r="I112" s="37">
        <f>IF($A112="","",IF($G112=0,"",ROUND($H112/$G112,4)))</f>
        <v/>
      </c>
      <c r="J112" s="26">
        <f>IF($A112="","",ROUND(SUMIFS(入库单!$U$4:$U$2503,入库单!$E$4:$E$2503,$A112,入库单!$Z$4:$Z$2503,"正常"),0))</f>
        <v/>
      </c>
      <c r="K112" s="26">
        <f>IF($A112="","",ROUND($H112-$J112,0))</f>
        <v/>
      </c>
      <c r="L112" s="26">
        <f>IF($A112="","",ROUND(SUMIFS(入库单!$V$4:$V$2503,入库单!$E$4:$E$2503,$A112,入库单!$Z$4:$Z$2503,"正常"),0))</f>
        <v/>
      </c>
      <c r="M112" s="24">
        <f>IF($A112="","",IF($E112=0,"※这个批次号在入库单里找不到",IF(AND($H112&gt;0,$F112&gt;0),"△有 "&amp;$F112&amp;" 行没单价，运费整批挂账没摊 —— 补完价自动摊",IF($H112=0,"△还没录运费（27 个柜里只有 2 个录了，其余的要补）",IF(ABS($K112)&gt;1,"※摊完还差 "&amp;TEXT($K112,"#,##0")&amp;" 先令，查一下","已摊平")))))</f>
        <v/>
      </c>
    </row>
    <row r="113">
      <c r="A113" s="24" t="n"/>
      <c r="B113" s="17" t="n"/>
      <c r="C113" s="30" t="n"/>
      <c r="D113" s="24">
        <f>IF($A113="","",IFERROR(LOOKUP(2,1/(入库单!$E$4:$E$2503=$A113),入库单!$D$4:$D$2503),""))</f>
        <v/>
      </c>
      <c r="E113" s="28">
        <f>IF($A113="","",COUNTIFS(入库单!$E$4:$E$2503,$A113,入库单!$Z$4:$Z$2503,"正常"))</f>
        <v/>
      </c>
      <c r="F113" s="28">
        <f>IF($A113="","",COUNTIFS(入库单!$E$4:$E$2503,$A113,入库单!$Z$4:$Z$2503,"正常",入库单!$Y$4:$Y$2503,"待补价"))</f>
        <v/>
      </c>
      <c r="G113" s="26">
        <f>IF($A113="","",ROUND(SUMIFS(入库单!$P$4:$P$2503,入库单!$E$4:$E$2503,$A113,入库单!$Z$4:$Z$2503,"正常"),0))</f>
        <v/>
      </c>
      <c r="H113" s="26">
        <f>IF($A113="","",ROUND(SUMIFS(费用台账!$I$4:$I$503,费用台账!$C$4:$C$503,$A113,费用台账!$J$4:$J$503,"是",费用台账!$K$4:$K$503,"正常"),0))</f>
        <v/>
      </c>
      <c r="I113" s="37">
        <f>IF($A113="","",IF($G113=0,"",ROUND($H113/$G113,4)))</f>
        <v/>
      </c>
      <c r="J113" s="26">
        <f>IF($A113="","",ROUND(SUMIFS(入库单!$U$4:$U$2503,入库单!$E$4:$E$2503,$A113,入库单!$Z$4:$Z$2503,"正常"),0))</f>
        <v/>
      </c>
      <c r="K113" s="26">
        <f>IF($A113="","",ROUND($H113-$J113,0))</f>
        <v/>
      </c>
      <c r="L113" s="26">
        <f>IF($A113="","",ROUND(SUMIFS(入库单!$V$4:$V$2503,入库单!$E$4:$E$2503,$A113,入库单!$Z$4:$Z$2503,"正常"),0))</f>
        <v/>
      </c>
      <c r="M113" s="24">
        <f>IF($A113="","",IF($E113=0,"※这个批次号在入库单里找不到",IF(AND($H113&gt;0,$F113&gt;0),"△有 "&amp;$F113&amp;" 行没单价，运费整批挂账没摊 —— 补完价自动摊",IF($H113=0,"△还没录运费（27 个柜里只有 2 个录了，其余的要补）",IF(ABS($K113)&gt;1,"※摊完还差 "&amp;TEXT($K113,"#,##0")&amp;" 先令，查一下","已摊平")))))</f>
        <v/>
      </c>
    </row>
    <row r="114">
      <c r="A114" s="24" t="n"/>
      <c r="B114" s="17" t="n"/>
      <c r="C114" s="30" t="n"/>
      <c r="D114" s="24">
        <f>IF($A114="","",IFERROR(LOOKUP(2,1/(入库单!$E$4:$E$2503=$A114),入库单!$D$4:$D$2503),""))</f>
        <v/>
      </c>
      <c r="E114" s="28">
        <f>IF($A114="","",COUNTIFS(入库单!$E$4:$E$2503,$A114,入库单!$Z$4:$Z$2503,"正常"))</f>
        <v/>
      </c>
      <c r="F114" s="28">
        <f>IF($A114="","",COUNTIFS(入库单!$E$4:$E$2503,$A114,入库单!$Z$4:$Z$2503,"正常",入库单!$Y$4:$Y$2503,"待补价"))</f>
        <v/>
      </c>
      <c r="G114" s="26">
        <f>IF($A114="","",ROUND(SUMIFS(入库单!$P$4:$P$2503,入库单!$E$4:$E$2503,$A114,入库单!$Z$4:$Z$2503,"正常"),0))</f>
        <v/>
      </c>
      <c r="H114" s="26">
        <f>IF($A114="","",ROUND(SUMIFS(费用台账!$I$4:$I$503,费用台账!$C$4:$C$503,$A114,费用台账!$J$4:$J$503,"是",费用台账!$K$4:$K$503,"正常"),0))</f>
        <v/>
      </c>
      <c r="I114" s="37">
        <f>IF($A114="","",IF($G114=0,"",ROUND($H114/$G114,4)))</f>
        <v/>
      </c>
      <c r="J114" s="26">
        <f>IF($A114="","",ROUND(SUMIFS(入库单!$U$4:$U$2503,入库单!$E$4:$E$2503,$A114,入库单!$Z$4:$Z$2503,"正常"),0))</f>
        <v/>
      </c>
      <c r="K114" s="26">
        <f>IF($A114="","",ROUND($H114-$J114,0))</f>
        <v/>
      </c>
      <c r="L114" s="26">
        <f>IF($A114="","",ROUND(SUMIFS(入库单!$V$4:$V$2503,入库单!$E$4:$E$2503,$A114,入库单!$Z$4:$Z$2503,"正常"),0))</f>
        <v/>
      </c>
      <c r="M114" s="24">
        <f>IF($A114="","",IF($E114=0,"※这个批次号在入库单里找不到",IF(AND($H114&gt;0,$F114&gt;0),"△有 "&amp;$F114&amp;" 行没单价，运费整批挂账没摊 —— 补完价自动摊",IF($H114=0,"△还没录运费（27 个柜里只有 2 个录了，其余的要补）",IF(ABS($K114)&gt;1,"※摊完还差 "&amp;TEXT($K114,"#,##0")&amp;" 先令，查一下","已摊平")))))</f>
        <v/>
      </c>
    </row>
    <row r="115">
      <c r="A115" s="24" t="n"/>
      <c r="B115" s="17" t="n"/>
      <c r="C115" s="30" t="n"/>
      <c r="D115" s="24">
        <f>IF($A115="","",IFERROR(LOOKUP(2,1/(入库单!$E$4:$E$2503=$A115),入库单!$D$4:$D$2503),""))</f>
        <v/>
      </c>
      <c r="E115" s="28">
        <f>IF($A115="","",COUNTIFS(入库单!$E$4:$E$2503,$A115,入库单!$Z$4:$Z$2503,"正常"))</f>
        <v/>
      </c>
      <c r="F115" s="28">
        <f>IF($A115="","",COUNTIFS(入库单!$E$4:$E$2503,$A115,入库单!$Z$4:$Z$2503,"正常",入库单!$Y$4:$Y$2503,"待补价"))</f>
        <v/>
      </c>
      <c r="G115" s="26">
        <f>IF($A115="","",ROUND(SUMIFS(入库单!$P$4:$P$2503,入库单!$E$4:$E$2503,$A115,入库单!$Z$4:$Z$2503,"正常"),0))</f>
        <v/>
      </c>
      <c r="H115" s="26">
        <f>IF($A115="","",ROUND(SUMIFS(费用台账!$I$4:$I$503,费用台账!$C$4:$C$503,$A115,费用台账!$J$4:$J$503,"是",费用台账!$K$4:$K$503,"正常"),0))</f>
        <v/>
      </c>
      <c r="I115" s="37">
        <f>IF($A115="","",IF($G115=0,"",ROUND($H115/$G115,4)))</f>
        <v/>
      </c>
      <c r="J115" s="26">
        <f>IF($A115="","",ROUND(SUMIFS(入库单!$U$4:$U$2503,入库单!$E$4:$E$2503,$A115,入库单!$Z$4:$Z$2503,"正常"),0))</f>
        <v/>
      </c>
      <c r="K115" s="26">
        <f>IF($A115="","",ROUND($H115-$J115,0))</f>
        <v/>
      </c>
      <c r="L115" s="26">
        <f>IF($A115="","",ROUND(SUMIFS(入库单!$V$4:$V$2503,入库单!$E$4:$E$2503,$A115,入库单!$Z$4:$Z$2503,"正常"),0))</f>
        <v/>
      </c>
      <c r="M115" s="24">
        <f>IF($A115="","",IF($E115=0,"※这个批次号在入库单里找不到",IF(AND($H115&gt;0,$F115&gt;0),"△有 "&amp;$F115&amp;" 行没单价，运费整批挂账没摊 —— 补完价自动摊",IF($H115=0,"△还没录运费（27 个柜里只有 2 个录了，其余的要补）",IF(ABS($K115)&gt;1,"※摊完还差 "&amp;TEXT($K115,"#,##0")&amp;" 先令，查一下","已摊平")))))</f>
        <v/>
      </c>
    </row>
    <row r="116">
      <c r="A116" s="24" t="n"/>
      <c r="B116" s="17" t="n"/>
      <c r="C116" s="30" t="n"/>
      <c r="D116" s="24">
        <f>IF($A116="","",IFERROR(LOOKUP(2,1/(入库单!$E$4:$E$2503=$A116),入库单!$D$4:$D$2503),""))</f>
        <v/>
      </c>
      <c r="E116" s="28">
        <f>IF($A116="","",COUNTIFS(入库单!$E$4:$E$2503,$A116,入库单!$Z$4:$Z$2503,"正常"))</f>
        <v/>
      </c>
      <c r="F116" s="28">
        <f>IF($A116="","",COUNTIFS(入库单!$E$4:$E$2503,$A116,入库单!$Z$4:$Z$2503,"正常",入库单!$Y$4:$Y$2503,"待补价"))</f>
        <v/>
      </c>
      <c r="G116" s="26">
        <f>IF($A116="","",ROUND(SUMIFS(入库单!$P$4:$P$2503,入库单!$E$4:$E$2503,$A116,入库单!$Z$4:$Z$2503,"正常"),0))</f>
        <v/>
      </c>
      <c r="H116" s="26">
        <f>IF($A116="","",ROUND(SUMIFS(费用台账!$I$4:$I$503,费用台账!$C$4:$C$503,$A116,费用台账!$J$4:$J$503,"是",费用台账!$K$4:$K$503,"正常"),0))</f>
        <v/>
      </c>
      <c r="I116" s="37">
        <f>IF($A116="","",IF($G116=0,"",ROUND($H116/$G116,4)))</f>
        <v/>
      </c>
      <c r="J116" s="26">
        <f>IF($A116="","",ROUND(SUMIFS(入库单!$U$4:$U$2503,入库单!$E$4:$E$2503,$A116,入库单!$Z$4:$Z$2503,"正常"),0))</f>
        <v/>
      </c>
      <c r="K116" s="26">
        <f>IF($A116="","",ROUND($H116-$J116,0))</f>
        <v/>
      </c>
      <c r="L116" s="26">
        <f>IF($A116="","",ROUND(SUMIFS(入库单!$V$4:$V$2503,入库单!$E$4:$E$2503,$A116,入库单!$Z$4:$Z$2503,"正常"),0))</f>
        <v/>
      </c>
      <c r="M116" s="24">
        <f>IF($A116="","",IF($E116=0,"※这个批次号在入库单里找不到",IF(AND($H116&gt;0,$F116&gt;0),"△有 "&amp;$F116&amp;" 行没单价，运费整批挂账没摊 —— 补完价自动摊",IF($H116=0,"△还没录运费（27 个柜里只有 2 个录了，其余的要补）",IF(ABS($K116)&gt;1,"※摊完还差 "&amp;TEXT($K116,"#,##0")&amp;" 先令，查一下","已摊平")))))</f>
        <v/>
      </c>
    </row>
    <row r="117">
      <c r="A117" s="24" t="n"/>
      <c r="B117" s="17" t="n"/>
      <c r="C117" s="30" t="n"/>
      <c r="D117" s="24">
        <f>IF($A117="","",IFERROR(LOOKUP(2,1/(入库单!$E$4:$E$2503=$A117),入库单!$D$4:$D$2503),""))</f>
        <v/>
      </c>
      <c r="E117" s="28">
        <f>IF($A117="","",COUNTIFS(入库单!$E$4:$E$2503,$A117,入库单!$Z$4:$Z$2503,"正常"))</f>
        <v/>
      </c>
      <c r="F117" s="28">
        <f>IF($A117="","",COUNTIFS(入库单!$E$4:$E$2503,$A117,入库单!$Z$4:$Z$2503,"正常",入库单!$Y$4:$Y$2503,"待补价"))</f>
        <v/>
      </c>
      <c r="G117" s="26">
        <f>IF($A117="","",ROUND(SUMIFS(入库单!$P$4:$P$2503,入库单!$E$4:$E$2503,$A117,入库单!$Z$4:$Z$2503,"正常"),0))</f>
        <v/>
      </c>
      <c r="H117" s="26">
        <f>IF($A117="","",ROUND(SUMIFS(费用台账!$I$4:$I$503,费用台账!$C$4:$C$503,$A117,费用台账!$J$4:$J$503,"是",费用台账!$K$4:$K$503,"正常"),0))</f>
        <v/>
      </c>
      <c r="I117" s="37">
        <f>IF($A117="","",IF($G117=0,"",ROUND($H117/$G117,4)))</f>
        <v/>
      </c>
      <c r="J117" s="26">
        <f>IF($A117="","",ROUND(SUMIFS(入库单!$U$4:$U$2503,入库单!$E$4:$E$2503,$A117,入库单!$Z$4:$Z$2503,"正常"),0))</f>
        <v/>
      </c>
      <c r="K117" s="26">
        <f>IF($A117="","",ROUND($H117-$J117,0))</f>
        <v/>
      </c>
      <c r="L117" s="26">
        <f>IF($A117="","",ROUND(SUMIFS(入库单!$V$4:$V$2503,入库单!$E$4:$E$2503,$A117,入库单!$Z$4:$Z$2503,"正常"),0))</f>
        <v/>
      </c>
      <c r="M117" s="24">
        <f>IF($A117="","",IF($E117=0,"※这个批次号在入库单里找不到",IF(AND($H117&gt;0,$F117&gt;0),"△有 "&amp;$F117&amp;" 行没单价，运费整批挂账没摊 —— 补完价自动摊",IF($H117=0,"△还没录运费（27 个柜里只有 2 个录了，其余的要补）",IF(ABS($K117)&gt;1,"※摊完还差 "&amp;TEXT($K117,"#,##0")&amp;" 先令，查一下","已摊平")))))</f>
        <v/>
      </c>
    </row>
    <row r="118">
      <c r="A118" s="24" t="n"/>
      <c r="B118" s="17" t="n"/>
      <c r="C118" s="30" t="n"/>
      <c r="D118" s="24">
        <f>IF($A118="","",IFERROR(LOOKUP(2,1/(入库单!$E$4:$E$2503=$A118),入库单!$D$4:$D$2503),""))</f>
        <v/>
      </c>
      <c r="E118" s="28">
        <f>IF($A118="","",COUNTIFS(入库单!$E$4:$E$2503,$A118,入库单!$Z$4:$Z$2503,"正常"))</f>
        <v/>
      </c>
      <c r="F118" s="28">
        <f>IF($A118="","",COUNTIFS(入库单!$E$4:$E$2503,$A118,入库单!$Z$4:$Z$2503,"正常",入库单!$Y$4:$Y$2503,"待补价"))</f>
        <v/>
      </c>
      <c r="G118" s="26">
        <f>IF($A118="","",ROUND(SUMIFS(入库单!$P$4:$P$2503,入库单!$E$4:$E$2503,$A118,入库单!$Z$4:$Z$2503,"正常"),0))</f>
        <v/>
      </c>
      <c r="H118" s="26">
        <f>IF($A118="","",ROUND(SUMIFS(费用台账!$I$4:$I$503,费用台账!$C$4:$C$503,$A118,费用台账!$J$4:$J$503,"是",费用台账!$K$4:$K$503,"正常"),0))</f>
        <v/>
      </c>
      <c r="I118" s="37">
        <f>IF($A118="","",IF($G118=0,"",ROUND($H118/$G118,4)))</f>
        <v/>
      </c>
      <c r="J118" s="26">
        <f>IF($A118="","",ROUND(SUMIFS(入库单!$U$4:$U$2503,入库单!$E$4:$E$2503,$A118,入库单!$Z$4:$Z$2503,"正常"),0))</f>
        <v/>
      </c>
      <c r="K118" s="26">
        <f>IF($A118="","",ROUND($H118-$J118,0))</f>
        <v/>
      </c>
      <c r="L118" s="26">
        <f>IF($A118="","",ROUND(SUMIFS(入库单!$V$4:$V$2503,入库单!$E$4:$E$2503,$A118,入库单!$Z$4:$Z$2503,"正常"),0))</f>
        <v/>
      </c>
      <c r="M118" s="24">
        <f>IF($A118="","",IF($E118=0,"※这个批次号在入库单里找不到",IF(AND($H118&gt;0,$F118&gt;0),"△有 "&amp;$F118&amp;" 行没单价，运费整批挂账没摊 —— 补完价自动摊",IF($H118=0,"△还没录运费（27 个柜里只有 2 个录了，其余的要补）",IF(ABS($K118)&gt;1,"※摊完还差 "&amp;TEXT($K118,"#,##0")&amp;" 先令，查一下","已摊平")))))</f>
        <v/>
      </c>
    </row>
    <row r="119">
      <c r="A119" s="24" t="n"/>
      <c r="B119" s="17" t="n"/>
      <c r="C119" s="30" t="n"/>
      <c r="D119" s="24">
        <f>IF($A119="","",IFERROR(LOOKUP(2,1/(入库单!$E$4:$E$2503=$A119),入库单!$D$4:$D$2503),""))</f>
        <v/>
      </c>
      <c r="E119" s="28">
        <f>IF($A119="","",COUNTIFS(入库单!$E$4:$E$2503,$A119,入库单!$Z$4:$Z$2503,"正常"))</f>
        <v/>
      </c>
      <c r="F119" s="28">
        <f>IF($A119="","",COUNTIFS(入库单!$E$4:$E$2503,$A119,入库单!$Z$4:$Z$2503,"正常",入库单!$Y$4:$Y$2503,"待补价"))</f>
        <v/>
      </c>
      <c r="G119" s="26">
        <f>IF($A119="","",ROUND(SUMIFS(入库单!$P$4:$P$2503,入库单!$E$4:$E$2503,$A119,入库单!$Z$4:$Z$2503,"正常"),0))</f>
        <v/>
      </c>
      <c r="H119" s="26">
        <f>IF($A119="","",ROUND(SUMIFS(费用台账!$I$4:$I$503,费用台账!$C$4:$C$503,$A119,费用台账!$J$4:$J$503,"是",费用台账!$K$4:$K$503,"正常"),0))</f>
        <v/>
      </c>
      <c r="I119" s="37">
        <f>IF($A119="","",IF($G119=0,"",ROUND($H119/$G119,4)))</f>
        <v/>
      </c>
      <c r="J119" s="26">
        <f>IF($A119="","",ROUND(SUMIFS(入库单!$U$4:$U$2503,入库单!$E$4:$E$2503,$A119,入库单!$Z$4:$Z$2503,"正常"),0))</f>
        <v/>
      </c>
      <c r="K119" s="26">
        <f>IF($A119="","",ROUND($H119-$J119,0))</f>
        <v/>
      </c>
      <c r="L119" s="26">
        <f>IF($A119="","",ROUND(SUMIFS(入库单!$V$4:$V$2503,入库单!$E$4:$E$2503,$A119,入库单!$Z$4:$Z$2503,"正常"),0))</f>
        <v/>
      </c>
      <c r="M119" s="24">
        <f>IF($A119="","",IF($E119=0,"※这个批次号在入库单里找不到",IF(AND($H119&gt;0,$F119&gt;0),"△有 "&amp;$F119&amp;" 行没单价，运费整批挂账没摊 —— 补完价自动摊",IF($H119=0,"△还没录运费（27 个柜里只有 2 个录了，其余的要补）",IF(ABS($K119)&gt;1,"※摊完还差 "&amp;TEXT($K119,"#,##0")&amp;" 先令，查一下","已摊平")))))</f>
        <v/>
      </c>
    </row>
    <row r="120">
      <c r="A120" s="24" t="n"/>
      <c r="B120" s="17" t="n"/>
      <c r="C120" s="30" t="n"/>
      <c r="D120" s="24">
        <f>IF($A120="","",IFERROR(LOOKUP(2,1/(入库单!$E$4:$E$2503=$A120),入库单!$D$4:$D$2503),""))</f>
        <v/>
      </c>
      <c r="E120" s="28">
        <f>IF($A120="","",COUNTIFS(入库单!$E$4:$E$2503,$A120,入库单!$Z$4:$Z$2503,"正常"))</f>
        <v/>
      </c>
      <c r="F120" s="28">
        <f>IF($A120="","",COUNTIFS(入库单!$E$4:$E$2503,$A120,入库单!$Z$4:$Z$2503,"正常",入库单!$Y$4:$Y$2503,"待补价"))</f>
        <v/>
      </c>
      <c r="G120" s="26">
        <f>IF($A120="","",ROUND(SUMIFS(入库单!$P$4:$P$2503,入库单!$E$4:$E$2503,$A120,入库单!$Z$4:$Z$2503,"正常"),0))</f>
        <v/>
      </c>
      <c r="H120" s="26">
        <f>IF($A120="","",ROUND(SUMIFS(费用台账!$I$4:$I$503,费用台账!$C$4:$C$503,$A120,费用台账!$J$4:$J$503,"是",费用台账!$K$4:$K$503,"正常"),0))</f>
        <v/>
      </c>
      <c r="I120" s="37">
        <f>IF($A120="","",IF($G120=0,"",ROUND($H120/$G120,4)))</f>
        <v/>
      </c>
      <c r="J120" s="26">
        <f>IF($A120="","",ROUND(SUMIFS(入库单!$U$4:$U$2503,入库单!$E$4:$E$2503,$A120,入库单!$Z$4:$Z$2503,"正常"),0))</f>
        <v/>
      </c>
      <c r="K120" s="26">
        <f>IF($A120="","",ROUND($H120-$J120,0))</f>
        <v/>
      </c>
      <c r="L120" s="26">
        <f>IF($A120="","",ROUND(SUMIFS(入库单!$V$4:$V$2503,入库单!$E$4:$E$2503,$A120,入库单!$Z$4:$Z$2503,"正常"),0))</f>
        <v/>
      </c>
      <c r="M120" s="24">
        <f>IF($A120="","",IF($E120=0,"※这个批次号在入库单里找不到",IF(AND($H120&gt;0,$F120&gt;0),"△有 "&amp;$F120&amp;" 行没单价，运费整批挂账没摊 —— 补完价自动摊",IF($H120=0,"△还没录运费（27 个柜里只有 2 个录了，其余的要补）",IF(ABS($K120)&gt;1,"※摊完还差 "&amp;TEXT($K120,"#,##0")&amp;" 先令，查一下","已摊平")))))</f>
        <v/>
      </c>
    </row>
    <row r="121">
      <c r="A121" s="24" t="n"/>
      <c r="B121" s="17" t="n"/>
      <c r="C121" s="30" t="n"/>
      <c r="D121" s="24">
        <f>IF($A121="","",IFERROR(LOOKUP(2,1/(入库单!$E$4:$E$2503=$A121),入库单!$D$4:$D$2503),""))</f>
        <v/>
      </c>
      <c r="E121" s="28">
        <f>IF($A121="","",COUNTIFS(入库单!$E$4:$E$2503,$A121,入库单!$Z$4:$Z$2503,"正常"))</f>
        <v/>
      </c>
      <c r="F121" s="28">
        <f>IF($A121="","",COUNTIFS(入库单!$E$4:$E$2503,$A121,入库单!$Z$4:$Z$2503,"正常",入库单!$Y$4:$Y$2503,"待补价"))</f>
        <v/>
      </c>
      <c r="G121" s="26">
        <f>IF($A121="","",ROUND(SUMIFS(入库单!$P$4:$P$2503,入库单!$E$4:$E$2503,$A121,入库单!$Z$4:$Z$2503,"正常"),0))</f>
        <v/>
      </c>
      <c r="H121" s="26">
        <f>IF($A121="","",ROUND(SUMIFS(费用台账!$I$4:$I$503,费用台账!$C$4:$C$503,$A121,费用台账!$J$4:$J$503,"是",费用台账!$K$4:$K$503,"正常"),0))</f>
        <v/>
      </c>
      <c r="I121" s="37">
        <f>IF($A121="","",IF($G121=0,"",ROUND($H121/$G121,4)))</f>
        <v/>
      </c>
      <c r="J121" s="26">
        <f>IF($A121="","",ROUND(SUMIFS(入库单!$U$4:$U$2503,入库单!$E$4:$E$2503,$A121,入库单!$Z$4:$Z$2503,"正常"),0))</f>
        <v/>
      </c>
      <c r="K121" s="26">
        <f>IF($A121="","",ROUND($H121-$J121,0))</f>
        <v/>
      </c>
      <c r="L121" s="26">
        <f>IF($A121="","",ROUND(SUMIFS(入库单!$V$4:$V$2503,入库单!$E$4:$E$2503,$A121,入库单!$Z$4:$Z$2503,"正常"),0))</f>
        <v/>
      </c>
      <c r="M121" s="24">
        <f>IF($A121="","",IF($E121=0,"※这个批次号在入库单里找不到",IF(AND($H121&gt;0,$F121&gt;0),"△有 "&amp;$F121&amp;" 行没单价，运费整批挂账没摊 —— 补完价自动摊",IF($H121=0,"△还没录运费（27 个柜里只有 2 个录了，其余的要补）",IF(ABS($K121)&gt;1,"※摊完还差 "&amp;TEXT($K121,"#,##0")&amp;" 先令，查一下","已摊平")))))</f>
        <v/>
      </c>
    </row>
    <row r="122">
      <c r="A122" s="24" t="n"/>
      <c r="B122" s="17" t="n"/>
      <c r="C122" s="30" t="n"/>
      <c r="D122" s="24">
        <f>IF($A122="","",IFERROR(LOOKUP(2,1/(入库单!$E$4:$E$2503=$A122),入库单!$D$4:$D$2503),""))</f>
        <v/>
      </c>
      <c r="E122" s="28">
        <f>IF($A122="","",COUNTIFS(入库单!$E$4:$E$2503,$A122,入库单!$Z$4:$Z$2503,"正常"))</f>
        <v/>
      </c>
      <c r="F122" s="28">
        <f>IF($A122="","",COUNTIFS(入库单!$E$4:$E$2503,$A122,入库单!$Z$4:$Z$2503,"正常",入库单!$Y$4:$Y$2503,"待补价"))</f>
        <v/>
      </c>
      <c r="G122" s="26">
        <f>IF($A122="","",ROUND(SUMIFS(入库单!$P$4:$P$2503,入库单!$E$4:$E$2503,$A122,入库单!$Z$4:$Z$2503,"正常"),0))</f>
        <v/>
      </c>
      <c r="H122" s="26">
        <f>IF($A122="","",ROUND(SUMIFS(费用台账!$I$4:$I$503,费用台账!$C$4:$C$503,$A122,费用台账!$J$4:$J$503,"是",费用台账!$K$4:$K$503,"正常"),0))</f>
        <v/>
      </c>
      <c r="I122" s="37">
        <f>IF($A122="","",IF($G122=0,"",ROUND($H122/$G122,4)))</f>
        <v/>
      </c>
      <c r="J122" s="26">
        <f>IF($A122="","",ROUND(SUMIFS(入库单!$U$4:$U$2503,入库单!$E$4:$E$2503,$A122,入库单!$Z$4:$Z$2503,"正常"),0))</f>
        <v/>
      </c>
      <c r="K122" s="26">
        <f>IF($A122="","",ROUND($H122-$J122,0))</f>
        <v/>
      </c>
      <c r="L122" s="26">
        <f>IF($A122="","",ROUND(SUMIFS(入库单!$V$4:$V$2503,入库单!$E$4:$E$2503,$A122,入库单!$Z$4:$Z$2503,"正常"),0))</f>
        <v/>
      </c>
      <c r="M122" s="24">
        <f>IF($A122="","",IF($E122=0,"※这个批次号在入库单里找不到",IF(AND($H122&gt;0,$F122&gt;0),"△有 "&amp;$F122&amp;" 行没单价，运费整批挂账没摊 —— 补完价自动摊",IF($H122=0,"△还没录运费（27 个柜里只有 2 个录了，其余的要补）",IF(ABS($K122)&gt;1,"※摊完还差 "&amp;TEXT($K122,"#,##0")&amp;" 先令，查一下","已摊平")))))</f>
        <v/>
      </c>
    </row>
    <row r="123">
      <c r="A123" s="24" t="n"/>
      <c r="B123" s="17" t="n"/>
      <c r="C123" s="30" t="n"/>
      <c r="D123" s="24">
        <f>IF($A123="","",IFERROR(LOOKUP(2,1/(入库单!$E$4:$E$2503=$A123),入库单!$D$4:$D$2503),""))</f>
        <v/>
      </c>
      <c r="E123" s="28">
        <f>IF($A123="","",COUNTIFS(入库单!$E$4:$E$2503,$A123,入库单!$Z$4:$Z$2503,"正常"))</f>
        <v/>
      </c>
      <c r="F123" s="28">
        <f>IF($A123="","",COUNTIFS(入库单!$E$4:$E$2503,$A123,入库单!$Z$4:$Z$2503,"正常",入库单!$Y$4:$Y$2503,"待补价"))</f>
        <v/>
      </c>
      <c r="G123" s="26">
        <f>IF($A123="","",ROUND(SUMIFS(入库单!$P$4:$P$2503,入库单!$E$4:$E$2503,$A123,入库单!$Z$4:$Z$2503,"正常"),0))</f>
        <v/>
      </c>
      <c r="H123" s="26">
        <f>IF($A123="","",ROUND(SUMIFS(费用台账!$I$4:$I$503,费用台账!$C$4:$C$503,$A123,费用台账!$J$4:$J$503,"是",费用台账!$K$4:$K$503,"正常"),0))</f>
        <v/>
      </c>
      <c r="I123" s="37">
        <f>IF($A123="","",IF($G123=0,"",ROUND($H123/$G123,4)))</f>
        <v/>
      </c>
      <c r="J123" s="26">
        <f>IF($A123="","",ROUND(SUMIFS(入库单!$U$4:$U$2503,入库单!$E$4:$E$2503,$A123,入库单!$Z$4:$Z$2503,"正常"),0))</f>
        <v/>
      </c>
      <c r="K123" s="26">
        <f>IF($A123="","",ROUND($H123-$J123,0))</f>
        <v/>
      </c>
      <c r="L123" s="26">
        <f>IF($A123="","",ROUND(SUMIFS(入库单!$V$4:$V$2503,入库单!$E$4:$E$2503,$A123,入库单!$Z$4:$Z$2503,"正常"),0))</f>
        <v/>
      </c>
      <c r="M123" s="24">
        <f>IF($A123="","",IF($E123=0,"※这个批次号在入库单里找不到",IF(AND($H123&gt;0,$F123&gt;0),"△有 "&amp;$F123&amp;" 行没单价，运费整批挂账没摊 —— 补完价自动摊",IF($H123=0,"△还没录运费（27 个柜里只有 2 个录了，其余的要补）",IF(ABS($K123)&gt;1,"※摊完还差 "&amp;TEXT($K123,"#,##0")&amp;" 先令，查一下","已摊平")))))</f>
        <v/>
      </c>
    </row>
    <row r="124">
      <c r="A124" s="24" t="n"/>
      <c r="B124" s="17" t="n"/>
      <c r="C124" s="30" t="n"/>
      <c r="D124" s="24">
        <f>IF($A124="","",IFERROR(LOOKUP(2,1/(入库单!$E$4:$E$2503=$A124),入库单!$D$4:$D$2503),""))</f>
        <v/>
      </c>
      <c r="E124" s="28">
        <f>IF($A124="","",COUNTIFS(入库单!$E$4:$E$2503,$A124,入库单!$Z$4:$Z$2503,"正常"))</f>
        <v/>
      </c>
      <c r="F124" s="28">
        <f>IF($A124="","",COUNTIFS(入库单!$E$4:$E$2503,$A124,入库单!$Z$4:$Z$2503,"正常",入库单!$Y$4:$Y$2503,"待补价"))</f>
        <v/>
      </c>
      <c r="G124" s="26">
        <f>IF($A124="","",ROUND(SUMIFS(入库单!$P$4:$P$2503,入库单!$E$4:$E$2503,$A124,入库单!$Z$4:$Z$2503,"正常"),0))</f>
        <v/>
      </c>
      <c r="H124" s="26">
        <f>IF($A124="","",ROUND(SUMIFS(费用台账!$I$4:$I$503,费用台账!$C$4:$C$503,$A124,费用台账!$J$4:$J$503,"是",费用台账!$K$4:$K$503,"正常"),0))</f>
        <v/>
      </c>
      <c r="I124" s="37">
        <f>IF($A124="","",IF($G124=0,"",ROUND($H124/$G124,4)))</f>
        <v/>
      </c>
      <c r="J124" s="26">
        <f>IF($A124="","",ROUND(SUMIFS(入库单!$U$4:$U$2503,入库单!$E$4:$E$2503,$A124,入库单!$Z$4:$Z$2503,"正常"),0))</f>
        <v/>
      </c>
      <c r="K124" s="26">
        <f>IF($A124="","",ROUND($H124-$J124,0))</f>
        <v/>
      </c>
      <c r="L124" s="26">
        <f>IF($A124="","",ROUND(SUMIFS(入库单!$V$4:$V$2503,入库单!$E$4:$E$2503,$A124,入库单!$Z$4:$Z$2503,"正常"),0))</f>
        <v/>
      </c>
      <c r="M124" s="24">
        <f>IF($A124="","",IF($E124=0,"※这个批次号在入库单里找不到",IF(AND($H124&gt;0,$F124&gt;0),"△有 "&amp;$F124&amp;" 行没单价，运费整批挂账没摊 —— 补完价自动摊",IF($H124=0,"△还没录运费（27 个柜里只有 2 个录了，其余的要补）",IF(ABS($K124)&gt;1,"※摊完还差 "&amp;TEXT($K124,"#,##0")&amp;" 先令，查一下","已摊平")))))</f>
        <v/>
      </c>
    </row>
    <row r="125">
      <c r="A125" s="24" t="n"/>
      <c r="B125" s="17" t="n"/>
      <c r="C125" s="30" t="n"/>
      <c r="D125" s="24">
        <f>IF($A125="","",IFERROR(LOOKUP(2,1/(入库单!$E$4:$E$2503=$A125),入库单!$D$4:$D$2503),""))</f>
        <v/>
      </c>
      <c r="E125" s="28">
        <f>IF($A125="","",COUNTIFS(入库单!$E$4:$E$2503,$A125,入库单!$Z$4:$Z$2503,"正常"))</f>
        <v/>
      </c>
      <c r="F125" s="28">
        <f>IF($A125="","",COUNTIFS(入库单!$E$4:$E$2503,$A125,入库单!$Z$4:$Z$2503,"正常",入库单!$Y$4:$Y$2503,"待补价"))</f>
        <v/>
      </c>
      <c r="G125" s="26">
        <f>IF($A125="","",ROUND(SUMIFS(入库单!$P$4:$P$2503,入库单!$E$4:$E$2503,$A125,入库单!$Z$4:$Z$2503,"正常"),0))</f>
        <v/>
      </c>
      <c r="H125" s="26">
        <f>IF($A125="","",ROUND(SUMIFS(费用台账!$I$4:$I$503,费用台账!$C$4:$C$503,$A125,费用台账!$J$4:$J$503,"是",费用台账!$K$4:$K$503,"正常"),0))</f>
        <v/>
      </c>
      <c r="I125" s="37">
        <f>IF($A125="","",IF($G125=0,"",ROUND($H125/$G125,4)))</f>
        <v/>
      </c>
      <c r="J125" s="26">
        <f>IF($A125="","",ROUND(SUMIFS(入库单!$U$4:$U$2503,入库单!$E$4:$E$2503,$A125,入库单!$Z$4:$Z$2503,"正常"),0))</f>
        <v/>
      </c>
      <c r="K125" s="26">
        <f>IF($A125="","",ROUND($H125-$J125,0))</f>
        <v/>
      </c>
      <c r="L125" s="26">
        <f>IF($A125="","",ROUND(SUMIFS(入库单!$V$4:$V$2503,入库单!$E$4:$E$2503,$A125,入库单!$Z$4:$Z$2503,"正常"),0))</f>
        <v/>
      </c>
      <c r="M125" s="24">
        <f>IF($A125="","",IF($E125=0,"※这个批次号在入库单里找不到",IF(AND($H125&gt;0,$F125&gt;0),"△有 "&amp;$F125&amp;" 行没单价，运费整批挂账没摊 —— 补完价自动摊",IF($H125=0,"△还没录运费（27 个柜里只有 2 个录了，其余的要补）",IF(ABS($K125)&gt;1,"※摊完还差 "&amp;TEXT($K125,"#,##0")&amp;" 先令，查一下","已摊平")))))</f>
        <v/>
      </c>
    </row>
    <row r="126">
      <c r="A126" s="24" t="n"/>
      <c r="B126" s="17" t="n"/>
      <c r="C126" s="30" t="n"/>
      <c r="D126" s="24">
        <f>IF($A126="","",IFERROR(LOOKUP(2,1/(入库单!$E$4:$E$2503=$A126),入库单!$D$4:$D$2503),""))</f>
        <v/>
      </c>
      <c r="E126" s="28">
        <f>IF($A126="","",COUNTIFS(入库单!$E$4:$E$2503,$A126,入库单!$Z$4:$Z$2503,"正常"))</f>
        <v/>
      </c>
      <c r="F126" s="28">
        <f>IF($A126="","",COUNTIFS(入库单!$E$4:$E$2503,$A126,入库单!$Z$4:$Z$2503,"正常",入库单!$Y$4:$Y$2503,"待补价"))</f>
        <v/>
      </c>
      <c r="G126" s="26">
        <f>IF($A126="","",ROUND(SUMIFS(入库单!$P$4:$P$2503,入库单!$E$4:$E$2503,$A126,入库单!$Z$4:$Z$2503,"正常"),0))</f>
        <v/>
      </c>
      <c r="H126" s="26">
        <f>IF($A126="","",ROUND(SUMIFS(费用台账!$I$4:$I$503,费用台账!$C$4:$C$503,$A126,费用台账!$J$4:$J$503,"是",费用台账!$K$4:$K$503,"正常"),0))</f>
        <v/>
      </c>
      <c r="I126" s="37">
        <f>IF($A126="","",IF($G126=0,"",ROUND($H126/$G126,4)))</f>
        <v/>
      </c>
      <c r="J126" s="26">
        <f>IF($A126="","",ROUND(SUMIFS(入库单!$U$4:$U$2503,入库单!$E$4:$E$2503,$A126,入库单!$Z$4:$Z$2503,"正常"),0))</f>
        <v/>
      </c>
      <c r="K126" s="26">
        <f>IF($A126="","",ROUND($H126-$J126,0))</f>
        <v/>
      </c>
      <c r="L126" s="26">
        <f>IF($A126="","",ROUND(SUMIFS(入库单!$V$4:$V$2503,入库单!$E$4:$E$2503,$A126,入库单!$Z$4:$Z$2503,"正常"),0))</f>
        <v/>
      </c>
      <c r="M126" s="24">
        <f>IF($A126="","",IF($E126=0,"※这个批次号在入库单里找不到",IF(AND($H126&gt;0,$F126&gt;0),"△有 "&amp;$F126&amp;" 行没单价，运费整批挂账没摊 —— 补完价自动摊",IF($H126=0,"△还没录运费（27 个柜里只有 2 个录了，其余的要补）",IF(ABS($K126)&gt;1,"※摊完还差 "&amp;TEXT($K126,"#,##0")&amp;" 先令，查一下","已摊平")))))</f>
        <v/>
      </c>
    </row>
    <row r="127">
      <c r="A127" s="24" t="n"/>
      <c r="B127" s="17" t="n"/>
      <c r="C127" s="30" t="n"/>
      <c r="D127" s="24">
        <f>IF($A127="","",IFERROR(LOOKUP(2,1/(入库单!$E$4:$E$2503=$A127),入库单!$D$4:$D$2503),""))</f>
        <v/>
      </c>
      <c r="E127" s="28">
        <f>IF($A127="","",COUNTIFS(入库单!$E$4:$E$2503,$A127,入库单!$Z$4:$Z$2503,"正常"))</f>
        <v/>
      </c>
      <c r="F127" s="28">
        <f>IF($A127="","",COUNTIFS(入库单!$E$4:$E$2503,$A127,入库单!$Z$4:$Z$2503,"正常",入库单!$Y$4:$Y$2503,"待补价"))</f>
        <v/>
      </c>
      <c r="G127" s="26">
        <f>IF($A127="","",ROUND(SUMIFS(入库单!$P$4:$P$2503,入库单!$E$4:$E$2503,$A127,入库单!$Z$4:$Z$2503,"正常"),0))</f>
        <v/>
      </c>
      <c r="H127" s="26">
        <f>IF($A127="","",ROUND(SUMIFS(费用台账!$I$4:$I$503,费用台账!$C$4:$C$503,$A127,费用台账!$J$4:$J$503,"是",费用台账!$K$4:$K$503,"正常"),0))</f>
        <v/>
      </c>
      <c r="I127" s="37">
        <f>IF($A127="","",IF($G127=0,"",ROUND($H127/$G127,4)))</f>
        <v/>
      </c>
      <c r="J127" s="26">
        <f>IF($A127="","",ROUND(SUMIFS(入库单!$U$4:$U$2503,入库单!$E$4:$E$2503,$A127,入库单!$Z$4:$Z$2503,"正常"),0))</f>
        <v/>
      </c>
      <c r="K127" s="26">
        <f>IF($A127="","",ROUND($H127-$J127,0))</f>
        <v/>
      </c>
      <c r="L127" s="26">
        <f>IF($A127="","",ROUND(SUMIFS(入库单!$V$4:$V$2503,入库单!$E$4:$E$2503,$A127,入库单!$Z$4:$Z$2503,"正常"),0))</f>
        <v/>
      </c>
      <c r="M127" s="24">
        <f>IF($A127="","",IF($E127=0,"※这个批次号在入库单里找不到",IF(AND($H127&gt;0,$F127&gt;0),"△有 "&amp;$F127&amp;" 行没单价，运费整批挂账没摊 —— 补完价自动摊",IF($H127=0,"△还没录运费（27 个柜里只有 2 个录了，其余的要补）",IF(ABS($K127)&gt;1,"※摊完还差 "&amp;TEXT($K127,"#,##0")&amp;" 先令，查一下","已摊平")))))</f>
        <v/>
      </c>
    </row>
    <row r="128">
      <c r="A128" s="24" t="n"/>
      <c r="B128" s="17" t="n"/>
      <c r="C128" s="30" t="n"/>
      <c r="D128" s="24">
        <f>IF($A128="","",IFERROR(LOOKUP(2,1/(入库单!$E$4:$E$2503=$A128),入库单!$D$4:$D$2503),""))</f>
        <v/>
      </c>
      <c r="E128" s="28">
        <f>IF($A128="","",COUNTIFS(入库单!$E$4:$E$2503,$A128,入库单!$Z$4:$Z$2503,"正常"))</f>
        <v/>
      </c>
      <c r="F128" s="28">
        <f>IF($A128="","",COUNTIFS(入库单!$E$4:$E$2503,$A128,入库单!$Z$4:$Z$2503,"正常",入库单!$Y$4:$Y$2503,"待补价"))</f>
        <v/>
      </c>
      <c r="G128" s="26">
        <f>IF($A128="","",ROUND(SUMIFS(入库单!$P$4:$P$2503,入库单!$E$4:$E$2503,$A128,入库单!$Z$4:$Z$2503,"正常"),0))</f>
        <v/>
      </c>
      <c r="H128" s="26">
        <f>IF($A128="","",ROUND(SUMIFS(费用台账!$I$4:$I$503,费用台账!$C$4:$C$503,$A128,费用台账!$J$4:$J$503,"是",费用台账!$K$4:$K$503,"正常"),0))</f>
        <v/>
      </c>
      <c r="I128" s="37">
        <f>IF($A128="","",IF($G128=0,"",ROUND($H128/$G128,4)))</f>
        <v/>
      </c>
      <c r="J128" s="26">
        <f>IF($A128="","",ROUND(SUMIFS(入库单!$U$4:$U$2503,入库单!$E$4:$E$2503,$A128,入库单!$Z$4:$Z$2503,"正常"),0))</f>
        <v/>
      </c>
      <c r="K128" s="26">
        <f>IF($A128="","",ROUND($H128-$J128,0))</f>
        <v/>
      </c>
      <c r="L128" s="26">
        <f>IF($A128="","",ROUND(SUMIFS(入库单!$V$4:$V$2503,入库单!$E$4:$E$2503,$A128,入库单!$Z$4:$Z$2503,"正常"),0))</f>
        <v/>
      </c>
      <c r="M128" s="24">
        <f>IF($A128="","",IF($E128=0,"※这个批次号在入库单里找不到",IF(AND($H128&gt;0,$F128&gt;0),"△有 "&amp;$F128&amp;" 行没单价，运费整批挂账没摊 —— 补完价自动摊",IF($H128=0,"△还没录运费（27 个柜里只有 2 个录了，其余的要补）",IF(ABS($K128)&gt;1,"※摊完还差 "&amp;TEXT($K128,"#,##0")&amp;" 先令，查一下","已摊平")))))</f>
        <v/>
      </c>
    </row>
    <row r="129">
      <c r="A129" s="24" t="n"/>
      <c r="B129" s="17" t="n"/>
      <c r="C129" s="30" t="n"/>
      <c r="D129" s="24">
        <f>IF($A129="","",IFERROR(LOOKUP(2,1/(入库单!$E$4:$E$2503=$A129),入库单!$D$4:$D$2503),""))</f>
        <v/>
      </c>
      <c r="E129" s="28">
        <f>IF($A129="","",COUNTIFS(入库单!$E$4:$E$2503,$A129,入库单!$Z$4:$Z$2503,"正常"))</f>
        <v/>
      </c>
      <c r="F129" s="28">
        <f>IF($A129="","",COUNTIFS(入库单!$E$4:$E$2503,$A129,入库单!$Z$4:$Z$2503,"正常",入库单!$Y$4:$Y$2503,"待补价"))</f>
        <v/>
      </c>
      <c r="G129" s="26">
        <f>IF($A129="","",ROUND(SUMIFS(入库单!$P$4:$P$2503,入库单!$E$4:$E$2503,$A129,入库单!$Z$4:$Z$2503,"正常"),0))</f>
        <v/>
      </c>
      <c r="H129" s="26">
        <f>IF($A129="","",ROUND(SUMIFS(费用台账!$I$4:$I$503,费用台账!$C$4:$C$503,$A129,费用台账!$J$4:$J$503,"是",费用台账!$K$4:$K$503,"正常"),0))</f>
        <v/>
      </c>
      <c r="I129" s="37">
        <f>IF($A129="","",IF($G129=0,"",ROUND($H129/$G129,4)))</f>
        <v/>
      </c>
      <c r="J129" s="26">
        <f>IF($A129="","",ROUND(SUMIFS(入库单!$U$4:$U$2503,入库单!$E$4:$E$2503,$A129,入库单!$Z$4:$Z$2503,"正常"),0))</f>
        <v/>
      </c>
      <c r="K129" s="26">
        <f>IF($A129="","",ROUND($H129-$J129,0))</f>
        <v/>
      </c>
      <c r="L129" s="26">
        <f>IF($A129="","",ROUND(SUMIFS(入库单!$V$4:$V$2503,入库单!$E$4:$E$2503,$A129,入库单!$Z$4:$Z$2503,"正常"),0))</f>
        <v/>
      </c>
      <c r="M129" s="24">
        <f>IF($A129="","",IF($E129=0,"※这个批次号在入库单里找不到",IF(AND($H129&gt;0,$F129&gt;0),"△有 "&amp;$F129&amp;" 行没单价，运费整批挂账没摊 —— 补完价自动摊",IF($H129=0,"△还没录运费（27 个柜里只有 2 个录了，其余的要补）",IF(ABS($K129)&gt;1,"※摊完还差 "&amp;TEXT($K129,"#,##0")&amp;" 先令，查一下","已摊平")))))</f>
        <v/>
      </c>
    </row>
    <row r="130">
      <c r="A130" s="24" t="n"/>
      <c r="B130" s="17" t="n"/>
      <c r="C130" s="30" t="n"/>
      <c r="D130" s="24">
        <f>IF($A130="","",IFERROR(LOOKUP(2,1/(入库单!$E$4:$E$2503=$A130),入库单!$D$4:$D$2503),""))</f>
        <v/>
      </c>
      <c r="E130" s="28">
        <f>IF($A130="","",COUNTIFS(入库单!$E$4:$E$2503,$A130,入库单!$Z$4:$Z$2503,"正常"))</f>
        <v/>
      </c>
      <c r="F130" s="28">
        <f>IF($A130="","",COUNTIFS(入库单!$E$4:$E$2503,$A130,入库单!$Z$4:$Z$2503,"正常",入库单!$Y$4:$Y$2503,"待补价"))</f>
        <v/>
      </c>
      <c r="G130" s="26">
        <f>IF($A130="","",ROUND(SUMIFS(入库单!$P$4:$P$2503,入库单!$E$4:$E$2503,$A130,入库单!$Z$4:$Z$2503,"正常"),0))</f>
        <v/>
      </c>
      <c r="H130" s="26">
        <f>IF($A130="","",ROUND(SUMIFS(费用台账!$I$4:$I$503,费用台账!$C$4:$C$503,$A130,费用台账!$J$4:$J$503,"是",费用台账!$K$4:$K$503,"正常"),0))</f>
        <v/>
      </c>
      <c r="I130" s="37">
        <f>IF($A130="","",IF($G130=0,"",ROUND($H130/$G130,4)))</f>
        <v/>
      </c>
      <c r="J130" s="26">
        <f>IF($A130="","",ROUND(SUMIFS(入库单!$U$4:$U$2503,入库单!$E$4:$E$2503,$A130,入库单!$Z$4:$Z$2503,"正常"),0))</f>
        <v/>
      </c>
      <c r="K130" s="26">
        <f>IF($A130="","",ROUND($H130-$J130,0))</f>
        <v/>
      </c>
      <c r="L130" s="26">
        <f>IF($A130="","",ROUND(SUMIFS(入库单!$V$4:$V$2503,入库单!$E$4:$E$2503,$A130,入库单!$Z$4:$Z$2503,"正常"),0))</f>
        <v/>
      </c>
      <c r="M130" s="24">
        <f>IF($A130="","",IF($E130=0,"※这个批次号在入库单里找不到",IF(AND($H130&gt;0,$F130&gt;0),"△有 "&amp;$F130&amp;" 行没单价，运费整批挂账没摊 —— 补完价自动摊",IF($H130=0,"△还没录运费（27 个柜里只有 2 个录了，其余的要补）",IF(ABS($K130)&gt;1,"※摊完还差 "&amp;TEXT($K130,"#,##0")&amp;" 先令，查一下","已摊平")))))</f>
        <v/>
      </c>
    </row>
    <row r="131">
      <c r="A131" s="24" t="n"/>
      <c r="B131" s="17" t="n"/>
      <c r="C131" s="30" t="n"/>
      <c r="D131" s="24">
        <f>IF($A131="","",IFERROR(LOOKUP(2,1/(入库单!$E$4:$E$2503=$A131),入库单!$D$4:$D$2503),""))</f>
        <v/>
      </c>
      <c r="E131" s="28">
        <f>IF($A131="","",COUNTIFS(入库单!$E$4:$E$2503,$A131,入库单!$Z$4:$Z$2503,"正常"))</f>
        <v/>
      </c>
      <c r="F131" s="28">
        <f>IF($A131="","",COUNTIFS(入库单!$E$4:$E$2503,$A131,入库单!$Z$4:$Z$2503,"正常",入库单!$Y$4:$Y$2503,"待补价"))</f>
        <v/>
      </c>
      <c r="G131" s="26">
        <f>IF($A131="","",ROUND(SUMIFS(入库单!$P$4:$P$2503,入库单!$E$4:$E$2503,$A131,入库单!$Z$4:$Z$2503,"正常"),0))</f>
        <v/>
      </c>
      <c r="H131" s="26">
        <f>IF($A131="","",ROUND(SUMIFS(费用台账!$I$4:$I$503,费用台账!$C$4:$C$503,$A131,费用台账!$J$4:$J$503,"是",费用台账!$K$4:$K$503,"正常"),0))</f>
        <v/>
      </c>
      <c r="I131" s="37">
        <f>IF($A131="","",IF($G131=0,"",ROUND($H131/$G131,4)))</f>
        <v/>
      </c>
      <c r="J131" s="26">
        <f>IF($A131="","",ROUND(SUMIFS(入库单!$U$4:$U$2503,入库单!$E$4:$E$2503,$A131,入库单!$Z$4:$Z$2503,"正常"),0))</f>
        <v/>
      </c>
      <c r="K131" s="26">
        <f>IF($A131="","",ROUND($H131-$J131,0))</f>
        <v/>
      </c>
      <c r="L131" s="26">
        <f>IF($A131="","",ROUND(SUMIFS(入库单!$V$4:$V$2503,入库单!$E$4:$E$2503,$A131,入库单!$Z$4:$Z$2503,"正常"),0))</f>
        <v/>
      </c>
      <c r="M131" s="24">
        <f>IF($A131="","",IF($E131=0,"※这个批次号在入库单里找不到",IF(AND($H131&gt;0,$F131&gt;0),"△有 "&amp;$F131&amp;" 行没单价，运费整批挂账没摊 —— 补完价自动摊",IF($H131=0,"△还没录运费（27 个柜里只有 2 个录了，其余的要补）",IF(ABS($K131)&gt;1,"※摊完还差 "&amp;TEXT($K131,"#,##0")&amp;" 先令，查一下","已摊平")))))</f>
        <v/>
      </c>
    </row>
    <row r="132">
      <c r="A132" s="24" t="n"/>
      <c r="B132" s="17" t="n"/>
      <c r="C132" s="30" t="n"/>
      <c r="D132" s="24">
        <f>IF($A132="","",IFERROR(LOOKUP(2,1/(入库单!$E$4:$E$2503=$A132),入库单!$D$4:$D$2503),""))</f>
        <v/>
      </c>
      <c r="E132" s="28">
        <f>IF($A132="","",COUNTIFS(入库单!$E$4:$E$2503,$A132,入库单!$Z$4:$Z$2503,"正常"))</f>
        <v/>
      </c>
      <c r="F132" s="28">
        <f>IF($A132="","",COUNTIFS(入库单!$E$4:$E$2503,$A132,入库单!$Z$4:$Z$2503,"正常",入库单!$Y$4:$Y$2503,"待补价"))</f>
        <v/>
      </c>
      <c r="G132" s="26">
        <f>IF($A132="","",ROUND(SUMIFS(入库单!$P$4:$P$2503,入库单!$E$4:$E$2503,$A132,入库单!$Z$4:$Z$2503,"正常"),0))</f>
        <v/>
      </c>
      <c r="H132" s="26">
        <f>IF($A132="","",ROUND(SUMIFS(费用台账!$I$4:$I$503,费用台账!$C$4:$C$503,$A132,费用台账!$J$4:$J$503,"是",费用台账!$K$4:$K$503,"正常"),0))</f>
        <v/>
      </c>
      <c r="I132" s="37">
        <f>IF($A132="","",IF($G132=0,"",ROUND($H132/$G132,4)))</f>
        <v/>
      </c>
      <c r="J132" s="26">
        <f>IF($A132="","",ROUND(SUMIFS(入库单!$U$4:$U$2503,入库单!$E$4:$E$2503,$A132,入库单!$Z$4:$Z$2503,"正常"),0))</f>
        <v/>
      </c>
      <c r="K132" s="26">
        <f>IF($A132="","",ROUND($H132-$J132,0))</f>
        <v/>
      </c>
      <c r="L132" s="26">
        <f>IF($A132="","",ROUND(SUMIFS(入库单!$V$4:$V$2503,入库单!$E$4:$E$2503,$A132,入库单!$Z$4:$Z$2503,"正常"),0))</f>
        <v/>
      </c>
      <c r="M132" s="24">
        <f>IF($A132="","",IF($E132=0,"※这个批次号在入库单里找不到",IF(AND($H132&gt;0,$F132&gt;0),"△有 "&amp;$F132&amp;" 行没单价，运费整批挂账没摊 —— 补完价自动摊",IF($H132=0,"△还没录运费（27 个柜里只有 2 个录了，其余的要补）",IF(ABS($K132)&gt;1,"※摊完还差 "&amp;TEXT($K132,"#,##0")&amp;" 先令，查一下","已摊平")))))</f>
        <v/>
      </c>
    </row>
    <row r="133">
      <c r="A133" s="24" t="n"/>
      <c r="B133" s="17" t="n"/>
      <c r="C133" s="30" t="n"/>
      <c r="D133" s="24">
        <f>IF($A133="","",IFERROR(LOOKUP(2,1/(入库单!$E$4:$E$2503=$A133),入库单!$D$4:$D$2503),""))</f>
        <v/>
      </c>
      <c r="E133" s="28">
        <f>IF($A133="","",COUNTIFS(入库单!$E$4:$E$2503,$A133,入库单!$Z$4:$Z$2503,"正常"))</f>
        <v/>
      </c>
      <c r="F133" s="28">
        <f>IF($A133="","",COUNTIFS(入库单!$E$4:$E$2503,$A133,入库单!$Z$4:$Z$2503,"正常",入库单!$Y$4:$Y$2503,"待补价"))</f>
        <v/>
      </c>
      <c r="G133" s="26">
        <f>IF($A133="","",ROUND(SUMIFS(入库单!$P$4:$P$2503,入库单!$E$4:$E$2503,$A133,入库单!$Z$4:$Z$2503,"正常"),0))</f>
        <v/>
      </c>
      <c r="H133" s="26">
        <f>IF($A133="","",ROUND(SUMIFS(费用台账!$I$4:$I$503,费用台账!$C$4:$C$503,$A133,费用台账!$J$4:$J$503,"是",费用台账!$K$4:$K$503,"正常"),0))</f>
        <v/>
      </c>
      <c r="I133" s="37">
        <f>IF($A133="","",IF($G133=0,"",ROUND($H133/$G133,4)))</f>
        <v/>
      </c>
      <c r="J133" s="26">
        <f>IF($A133="","",ROUND(SUMIFS(入库单!$U$4:$U$2503,入库单!$E$4:$E$2503,$A133,入库单!$Z$4:$Z$2503,"正常"),0))</f>
        <v/>
      </c>
      <c r="K133" s="26">
        <f>IF($A133="","",ROUND($H133-$J133,0))</f>
        <v/>
      </c>
      <c r="L133" s="26">
        <f>IF($A133="","",ROUND(SUMIFS(入库单!$V$4:$V$2503,入库单!$E$4:$E$2503,$A133,入库单!$Z$4:$Z$2503,"正常"),0))</f>
        <v/>
      </c>
      <c r="M133" s="24">
        <f>IF($A133="","",IF($E133=0,"※这个批次号在入库单里找不到",IF(AND($H133&gt;0,$F133&gt;0),"△有 "&amp;$F133&amp;" 行没单价，运费整批挂账没摊 —— 补完价自动摊",IF($H133=0,"△还没录运费（27 个柜里只有 2 个录了，其余的要补）",IF(ABS($K133)&gt;1,"※摊完还差 "&amp;TEXT($K133,"#,##0")&amp;" 先令，查一下","已摊平")))))</f>
        <v/>
      </c>
    </row>
    <row r="134">
      <c r="A134" s="24" t="n"/>
      <c r="B134" s="17" t="n"/>
      <c r="C134" s="30" t="n"/>
      <c r="D134" s="24">
        <f>IF($A134="","",IFERROR(LOOKUP(2,1/(入库单!$E$4:$E$2503=$A134),入库单!$D$4:$D$2503),""))</f>
        <v/>
      </c>
      <c r="E134" s="28">
        <f>IF($A134="","",COUNTIFS(入库单!$E$4:$E$2503,$A134,入库单!$Z$4:$Z$2503,"正常"))</f>
        <v/>
      </c>
      <c r="F134" s="28">
        <f>IF($A134="","",COUNTIFS(入库单!$E$4:$E$2503,$A134,入库单!$Z$4:$Z$2503,"正常",入库单!$Y$4:$Y$2503,"待补价"))</f>
        <v/>
      </c>
      <c r="G134" s="26">
        <f>IF($A134="","",ROUND(SUMIFS(入库单!$P$4:$P$2503,入库单!$E$4:$E$2503,$A134,入库单!$Z$4:$Z$2503,"正常"),0))</f>
        <v/>
      </c>
      <c r="H134" s="26">
        <f>IF($A134="","",ROUND(SUMIFS(费用台账!$I$4:$I$503,费用台账!$C$4:$C$503,$A134,费用台账!$J$4:$J$503,"是",费用台账!$K$4:$K$503,"正常"),0))</f>
        <v/>
      </c>
      <c r="I134" s="37">
        <f>IF($A134="","",IF($G134=0,"",ROUND($H134/$G134,4)))</f>
        <v/>
      </c>
      <c r="J134" s="26">
        <f>IF($A134="","",ROUND(SUMIFS(入库单!$U$4:$U$2503,入库单!$E$4:$E$2503,$A134,入库单!$Z$4:$Z$2503,"正常"),0))</f>
        <v/>
      </c>
      <c r="K134" s="26">
        <f>IF($A134="","",ROUND($H134-$J134,0))</f>
        <v/>
      </c>
      <c r="L134" s="26">
        <f>IF($A134="","",ROUND(SUMIFS(入库单!$V$4:$V$2503,入库单!$E$4:$E$2503,$A134,入库单!$Z$4:$Z$2503,"正常"),0))</f>
        <v/>
      </c>
      <c r="M134" s="24">
        <f>IF($A134="","",IF($E134=0,"※这个批次号在入库单里找不到",IF(AND($H134&gt;0,$F134&gt;0),"△有 "&amp;$F134&amp;" 行没单价，运费整批挂账没摊 —— 补完价自动摊",IF($H134=0,"△还没录运费（27 个柜里只有 2 个录了，其余的要补）",IF(ABS($K134)&gt;1,"※摊完还差 "&amp;TEXT($K134,"#,##0")&amp;" 先令，查一下","已摊平")))))</f>
        <v/>
      </c>
    </row>
    <row r="135">
      <c r="A135" s="24" t="n"/>
      <c r="B135" s="17" t="n"/>
      <c r="C135" s="30" t="n"/>
      <c r="D135" s="24">
        <f>IF($A135="","",IFERROR(LOOKUP(2,1/(入库单!$E$4:$E$2503=$A135),入库单!$D$4:$D$2503),""))</f>
        <v/>
      </c>
      <c r="E135" s="28">
        <f>IF($A135="","",COUNTIFS(入库单!$E$4:$E$2503,$A135,入库单!$Z$4:$Z$2503,"正常"))</f>
        <v/>
      </c>
      <c r="F135" s="28">
        <f>IF($A135="","",COUNTIFS(入库单!$E$4:$E$2503,$A135,入库单!$Z$4:$Z$2503,"正常",入库单!$Y$4:$Y$2503,"待补价"))</f>
        <v/>
      </c>
      <c r="G135" s="26">
        <f>IF($A135="","",ROUND(SUMIFS(入库单!$P$4:$P$2503,入库单!$E$4:$E$2503,$A135,入库单!$Z$4:$Z$2503,"正常"),0))</f>
        <v/>
      </c>
      <c r="H135" s="26">
        <f>IF($A135="","",ROUND(SUMIFS(费用台账!$I$4:$I$503,费用台账!$C$4:$C$503,$A135,费用台账!$J$4:$J$503,"是",费用台账!$K$4:$K$503,"正常"),0))</f>
        <v/>
      </c>
      <c r="I135" s="37">
        <f>IF($A135="","",IF($G135=0,"",ROUND($H135/$G135,4)))</f>
        <v/>
      </c>
      <c r="J135" s="26">
        <f>IF($A135="","",ROUND(SUMIFS(入库单!$U$4:$U$2503,入库单!$E$4:$E$2503,$A135,入库单!$Z$4:$Z$2503,"正常"),0))</f>
        <v/>
      </c>
      <c r="K135" s="26">
        <f>IF($A135="","",ROUND($H135-$J135,0))</f>
        <v/>
      </c>
      <c r="L135" s="26">
        <f>IF($A135="","",ROUND(SUMIFS(入库单!$V$4:$V$2503,入库单!$E$4:$E$2503,$A135,入库单!$Z$4:$Z$2503,"正常"),0))</f>
        <v/>
      </c>
      <c r="M135" s="24">
        <f>IF($A135="","",IF($E135=0,"※这个批次号在入库单里找不到",IF(AND($H135&gt;0,$F135&gt;0),"△有 "&amp;$F135&amp;" 行没单价，运费整批挂账没摊 —— 补完价自动摊",IF($H135=0,"△还没录运费（27 个柜里只有 2 个录了，其余的要补）",IF(ABS($K135)&gt;1,"※摊完还差 "&amp;TEXT($K135,"#,##0")&amp;" 先令，查一下","已摊平")))))</f>
        <v/>
      </c>
    </row>
    <row r="136">
      <c r="A136" s="24" t="n"/>
      <c r="B136" s="17" t="n"/>
      <c r="C136" s="30" t="n"/>
      <c r="D136" s="24">
        <f>IF($A136="","",IFERROR(LOOKUP(2,1/(入库单!$E$4:$E$2503=$A136),入库单!$D$4:$D$2503),""))</f>
        <v/>
      </c>
      <c r="E136" s="28">
        <f>IF($A136="","",COUNTIFS(入库单!$E$4:$E$2503,$A136,入库单!$Z$4:$Z$2503,"正常"))</f>
        <v/>
      </c>
      <c r="F136" s="28">
        <f>IF($A136="","",COUNTIFS(入库单!$E$4:$E$2503,$A136,入库单!$Z$4:$Z$2503,"正常",入库单!$Y$4:$Y$2503,"待补价"))</f>
        <v/>
      </c>
      <c r="G136" s="26">
        <f>IF($A136="","",ROUND(SUMIFS(入库单!$P$4:$P$2503,入库单!$E$4:$E$2503,$A136,入库单!$Z$4:$Z$2503,"正常"),0))</f>
        <v/>
      </c>
      <c r="H136" s="26">
        <f>IF($A136="","",ROUND(SUMIFS(费用台账!$I$4:$I$503,费用台账!$C$4:$C$503,$A136,费用台账!$J$4:$J$503,"是",费用台账!$K$4:$K$503,"正常"),0))</f>
        <v/>
      </c>
      <c r="I136" s="37">
        <f>IF($A136="","",IF($G136=0,"",ROUND($H136/$G136,4)))</f>
        <v/>
      </c>
      <c r="J136" s="26">
        <f>IF($A136="","",ROUND(SUMIFS(入库单!$U$4:$U$2503,入库单!$E$4:$E$2503,$A136,入库单!$Z$4:$Z$2503,"正常"),0))</f>
        <v/>
      </c>
      <c r="K136" s="26">
        <f>IF($A136="","",ROUND($H136-$J136,0))</f>
        <v/>
      </c>
      <c r="L136" s="26">
        <f>IF($A136="","",ROUND(SUMIFS(入库单!$V$4:$V$2503,入库单!$E$4:$E$2503,$A136,入库单!$Z$4:$Z$2503,"正常"),0))</f>
        <v/>
      </c>
      <c r="M136" s="24">
        <f>IF($A136="","",IF($E136=0,"※这个批次号在入库单里找不到",IF(AND($H136&gt;0,$F136&gt;0),"△有 "&amp;$F136&amp;" 行没单价，运费整批挂账没摊 —— 补完价自动摊",IF($H136=0,"△还没录运费（27 个柜里只有 2 个录了，其余的要补）",IF(ABS($K136)&gt;1,"※摊完还差 "&amp;TEXT($K136,"#,##0")&amp;" 先令，查一下","已摊平")))))</f>
        <v/>
      </c>
    </row>
    <row r="137">
      <c r="A137" s="24" t="n"/>
      <c r="B137" s="17" t="n"/>
      <c r="C137" s="30" t="n"/>
      <c r="D137" s="24">
        <f>IF($A137="","",IFERROR(LOOKUP(2,1/(入库单!$E$4:$E$2503=$A137),入库单!$D$4:$D$2503),""))</f>
        <v/>
      </c>
      <c r="E137" s="28">
        <f>IF($A137="","",COUNTIFS(入库单!$E$4:$E$2503,$A137,入库单!$Z$4:$Z$2503,"正常"))</f>
        <v/>
      </c>
      <c r="F137" s="28">
        <f>IF($A137="","",COUNTIFS(入库单!$E$4:$E$2503,$A137,入库单!$Z$4:$Z$2503,"正常",入库单!$Y$4:$Y$2503,"待补价"))</f>
        <v/>
      </c>
      <c r="G137" s="26">
        <f>IF($A137="","",ROUND(SUMIFS(入库单!$P$4:$P$2503,入库单!$E$4:$E$2503,$A137,入库单!$Z$4:$Z$2503,"正常"),0))</f>
        <v/>
      </c>
      <c r="H137" s="26">
        <f>IF($A137="","",ROUND(SUMIFS(费用台账!$I$4:$I$503,费用台账!$C$4:$C$503,$A137,费用台账!$J$4:$J$503,"是",费用台账!$K$4:$K$503,"正常"),0))</f>
        <v/>
      </c>
      <c r="I137" s="37">
        <f>IF($A137="","",IF($G137=0,"",ROUND($H137/$G137,4)))</f>
        <v/>
      </c>
      <c r="J137" s="26">
        <f>IF($A137="","",ROUND(SUMIFS(入库单!$U$4:$U$2503,入库单!$E$4:$E$2503,$A137,入库单!$Z$4:$Z$2503,"正常"),0))</f>
        <v/>
      </c>
      <c r="K137" s="26">
        <f>IF($A137="","",ROUND($H137-$J137,0))</f>
        <v/>
      </c>
      <c r="L137" s="26">
        <f>IF($A137="","",ROUND(SUMIFS(入库单!$V$4:$V$2503,入库单!$E$4:$E$2503,$A137,入库单!$Z$4:$Z$2503,"正常"),0))</f>
        <v/>
      </c>
      <c r="M137" s="24">
        <f>IF($A137="","",IF($E137=0,"※这个批次号在入库单里找不到",IF(AND($H137&gt;0,$F137&gt;0),"△有 "&amp;$F137&amp;" 行没单价，运费整批挂账没摊 —— 补完价自动摊",IF($H137=0,"△还没录运费（27 个柜里只有 2 个录了，其余的要补）",IF(ABS($K137)&gt;1,"※摊完还差 "&amp;TEXT($K137,"#,##0")&amp;" 先令，查一下","已摊平")))))</f>
        <v/>
      </c>
    </row>
    <row r="138">
      <c r="A138" s="24" t="n"/>
      <c r="B138" s="17" t="n"/>
      <c r="C138" s="30" t="n"/>
      <c r="D138" s="24">
        <f>IF($A138="","",IFERROR(LOOKUP(2,1/(入库单!$E$4:$E$2503=$A138),入库单!$D$4:$D$2503),""))</f>
        <v/>
      </c>
      <c r="E138" s="28">
        <f>IF($A138="","",COUNTIFS(入库单!$E$4:$E$2503,$A138,入库单!$Z$4:$Z$2503,"正常"))</f>
        <v/>
      </c>
      <c r="F138" s="28">
        <f>IF($A138="","",COUNTIFS(入库单!$E$4:$E$2503,$A138,入库单!$Z$4:$Z$2503,"正常",入库单!$Y$4:$Y$2503,"待补价"))</f>
        <v/>
      </c>
      <c r="G138" s="26">
        <f>IF($A138="","",ROUND(SUMIFS(入库单!$P$4:$P$2503,入库单!$E$4:$E$2503,$A138,入库单!$Z$4:$Z$2503,"正常"),0))</f>
        <v/>
      </c>
      <c r="H138" s="26">
        <f>IF($A138="","",ROUND(SUMIFS(费用台账!$I$4:$I$503,费用台账!$C$4:$C$503,$A138,费用台账!$J$4:$J$503,"是",费用台账!$K$4:$K$503,"正常"),0))</f>
        <v/>
      </c>
      <c r="I138" s="37">
        <f>IF($A138="","",IF($G138=0,"",ROUND($H138/$G138,4)))</f>
        <v/>
      </c>
      <c r="J138" s="26">
        <f>IF($A138="","",ROUND(SUMIFS(入库单!$U$4:$U$2503,入库单!$E$4:$E$2503,$A138,入库单!$Z$4:$Z$2503,"正常"),0))</f>
        <v/>
      </c>
      <c r="K138" s="26">
        <f>IF($A138="","",ROUND($H138-$J138,0))</f>
        <v/>
      </c>
      <c r="L138" s="26">
        <f>IF($A138="","",ROUND(SUMIFS(入库单!$V$4:$V$2503,入库单!$E$4:$E$2503,$A138,入库单!$Z$4:$Z$2503,"正常"),0))</f>
        <v/>
      </c>
      <c r="M138" s="24">
        <f>IF($A138="","",IF($E138=0,"※这个批次号在入库单里找不到",IF(AND($H138&gt;0,$F138&gt;0),"△有 "&amp;$F138&amp;" 行没单价，运费整批挂账没摊 —— 补完价自动摊",IF($H138=0,"△还没录运费（27 个柜里只有 2 个录了，其余的要补）",IF(ABS($K138)&gt;1,"※摊完还差 "&amp;TEXT($K138,"#,##0")&amp;" 先令，查一下","已摊平")))))</f>
        <v/>
      </c>
    </row>
    <row r="139">
      <c r="A139" s="24" t="n"/>
      <c r="B139" s="17" t="n"/>
      <c r="C139" s="30" t="n"/>
      <c r="D139" s="24">
        <f>IF($A139="","",IFERROR(LOOKUP(2,1/(入库单!$E$4:$E$2503=$A139),入库单!$D$4:$D$2503),""))</f>
        <v/>
      </c>
      <c r="E139" s="28">
        <f>IF($A139="","",COUNTIFS(入库单!$E$4:$E$2503,$A139,入库单!$Z$4:$Z$2503,"正常"))</f>
        <v/>
      </c>
      <c r="F139" s="28">
        <f>IF($A139="","",COUNTIFS(入库单!$E$4:$E$2503,$A139,入库单!$Z$4:$Z$2503,"正常",入库单!$Y$4:$Y$2503,"待补价"))</f>
        <v/>
      </c>
      <c r="G139" s="26">
        <f>IF($A139="","",ROUND(SUMIFS(入库单!$P$4:$P$2503,入库单!$E$4:$E$2503,$A139,入库单!$Z$4:$Z$2503,"正常"),0))</f>
        <v/>
      </c>
      <c r="H139" s="26">
        <f>IF($A139="","",ROUND(SUMIFS(费用台账!$I$4:$I$503,费用台账!$C$4:$C$503,$A139,费用台账!$J$4:$J$503,"是",费用台账!$K$4:$K$503,"正常"),0))</f>
        <v/>
      </c>
      <c r="I139" s="37">
        <f>IF($A139="","",IF($G139=0,"",ROUND($H139/$G139,4)))</f>
        <v/>
      </c>
      <c r="J139" s="26">
        <f>IF($A139="","",ROUND(SUMIFS(入库单!$U$4:$U$2503,入库单!$E$4:$E$2503,$A139,入库单!$Z$4:$Z$2503,"正常"),0))</f>
        <v/>
      </c>
      <c r="K139" s="26">
        <f>IF($A139="","",ROUND($H139-$J139,0))</f>
        <v/>
      </c>
      <c r="L139" s="26">
        <f>IF($A139="","",ROUND(SUMIFS(入库单!$V$4:$V$2503,入库单!$E$4:$E$2503,$A139,入库单!$Z$4:$Z$2503,"正常"),0))</f>
        <v/>
      </c>
      <c r="M139" s="24">
        <f>IF($A139="","",IF($E139=0,"※这个批次号在入库单里找不到",IF(AND($H139&gt;0,$F139&gt;0),"△有 "&amp;$F139&amp;" 行没单价，运费整批挂账没摊 —— 补完价自动摊",IF($H139=0,"△还没录运费（27 个柜里只有 2 个录了，其余的要补）",IF(ABS($K139)&gt;1,"※摊完还差 "&amp;TEXT($K139,"#,##0")&amp;" 先令，查一下","已摊平")))))</f>
        <v/>
      </c>
    </row>
    <row r="140">
      <c r="A140" s="24" t="n"/>
      <c r="B140" s="17" t="n"/>
      <c r="C140" s="30" t="n"/>
      <c r="D140" s="24">
        <f>IF($A140="","",IFERROR(LOOKUP(2,1/(入库单!$E$4:$E$2503=$A140),入库单!$D$4:$D$2503),""))</f>
        <v/>
      </c>
      <c r="E140" s="28">
        <f>IF($A140="","",COUNTIFS(入库单!$E$4:$E$2503,$A140,入库单!$Z$4:$Z$2503,"正常"))</f>
        <v/>
      </c>
      <c r="F140" s="28">
        <f>IF($A140="","",COUNTIFS(入库单!$E$4:$E$2503,$A140,入库单!$Z$4:$Z$2503,"正常",入库单!$Y$4:$Y$2503,"待补价"))</f>
        <v/>
      </c>
      <c r="G140" s="26">
        <f>IF($A140="","",ROUND(SUMIFS(入库单!$P$4:$P$2503,入库单!$E$4:$E$2503,$A140,入库单!$Z$4:$Z$2503,"正常"),0))</f>
        <v/>
      </c>
      <c r="H140" s="26">
        <f>IF($A140="","",ROUND(SUMIFS(费用台账!$I$4:$I$503,费用台账!$C$4:$C$503,$A140,费用台账!$J$4:$J$503,"是",费用台账!$K$4:$K$503,"正常"),0))</f>
        <v/>
      </c>
      <c r="I140" s="37">
        <f>IF($A140="","",IF($G140=0,"",ROUND($H140/$G140,4)))</f>
        <v/>
      </c>
      <c r="J140" s="26">
        <f>IF($A140="","",ROUND(SUMIFS(入库单!$U$4:$U$2503,入库单!$E$4:$E$2503,$A140,入库单!$Z$4:$Z$2503,"正常"),0))</f>
        <v/>
      </c>
      <c r="K140" s="26">
        <f>IF($A140="","",ROUND($H140-$J140,0))</f>
        <v/>
      </c>
      <c r="L140" s="26">
        <f>IF($A140="","",ROUND(SUMIFS(入库单!$V$4:$V$2503,入库单!$E$4:$E$2503,$A140,入库单!$Z$4:$Z$2503,"正常"),0))</f>
        <v/>
      </c>
      <c r="M140" s="24">
        <f>IF($A140="","",IF($E140=0,"※这个批次号在入库单里找不到",IF(AND($H140&gt;0,$F140&gt;0),"△有 "&amp;$F140&amp;" 行没单价，运费整批挂账没摊 —— 补完价自动摊",IF($H140=0,"△还没录运费（27 个柜里只有 2 个录了，其余的要补）",IF(ABS($K140)&gt;1,"※摊完还差 "&amp;TEXT($K140,"#,##0")&amp;" 先令，查一下","已摊平")))))</f>
        <v/>
      </c>
    </row>
    <row r="141">
      <c r="A141" s="24" t="n"/>
      <c r="B141" s="17" t="n"/>
      <c r="C141" s="30" t="n"/>
      <c r="D141" s="24">
        <f>IF($A141="","",IFERROR(LOOKUP(2,1/(入库单!$E$4:$E$2503=$A141),入库单!$D$4:$D$2503),""))</f>
        <v/>
      </c>
      <c r="E141" s="28">
        <f>IF($A141="","",COUNTIFS(入库单!$E$4:$E$2503,$A141,入库单!$Z$4:$Z$2503,"正常"))</f>
        <v/>
      </c>
      <c r="F141" s="28">
        <f>IF($A141="","",COUNTIFS(入库单!$E$4:$E$2503,$A141,入库单!$Z$4:$Z$2503,"正常",入库单!$Y$4:$Y$2503,"待补价"))</f>
        <v/>
      </c>
      <c r="G141" s="26">
        <f>IF($A141="","",ROUND(SUMIFS(入库单!$P$4:$P$2503,入库单!$E$4:$E$2503,$A141,入库单!$Z$4:$Z$2503,"正常"),0))</f>
        <v/>
      </c>
      <c r="H141" s="26">
        <f>IF($A141="","",ROUND(SUMIFS(费用台账!$I$4:$I$503,费用台账!$C$4:$C$503,$A141,费用台账!$J$4:$J$503,"是",费用台账!$K$4:$K$503,"正常"),0))</f>
        <v/>
      </c>
      <c r="I141" s="37">
        <f>IF($A141="","",IF($G141=0,"",ROUND($H141/$G141,4)))</f>
        <v/>
      </c>
      <c r="J141" s="26">
        <f>IF($A141="","",ROUND(SUMIFS(入库单!$U$4:$U$2503,入库单!$E$4:$E$2503,$A141,入库单!$Z$4:$Z$2503,"正常"),0))</f>
        <v/>
      </c>
      <c r="K141" s="26">
        <f>IF($A141="","",ROUND($H141-$J141,0))</f>
        <v/>
      </c>
      <c r="L141" s="26">
        <f>IF($A141="","",ROUND(SUMIFS(入库单!$V$4:$V$2503,入库单!$E$4:$E$2503,$A141,入库单!$Z$4:$Z$2503,"正常"),0))</f>
        <v/>
      </c>
      <c r="M141" s="24">
        <f>IF($A141="","",IF($E141=0,"※这个批次号在入库单里找不到",IF(AND($H141&gt;0,$F141&gt;0),"△有 "&amp;$F141&amp;" 行没单价，运费整批挂账没摊 —— 补完价自动摊",IF($H141=0,"△还没录运费（27 个柜里只有 2 个录了，其余的要补）",IF(ABS($K141)&gt;1,"※摊完还差 "&amp;TEXT($K141,"#,##0")&amp;" 先令，查一下","已摊平")))))</f>
        <v/>
      </c>
    </row>
    <row r="142">
      <c r="A142" s="24" t="n"/>
      <c r="B142" s="17" t="n"/>
      <c r="C142" s="30" t="n"/>
      <c r="D142" s="24">
        <f>IF($A142="","",IFERROR(LOOKUP(2,1/(入库单!$E$4:$E$2503=$A142),入库单!$D$4:$D$2503),""))</f>
        <v/>
      </c>
      <c r="E142" s="28">
        <f>IF($A142="","",COUNTIFS(入库单!$E$4:$E$2503,$A142,入库单!$Z$4:$Z$2503,"正常"))</f>
        <v/>
      </c>
      <c r="F142" s="28">
        <f>IF($A142="","",COUNTIFS(入库单!$E$4:$E$2503,$A142,入库单!$Z$4:$Z$2503,"正常",入库单!$Y$4:$Y$2503,"待补价"))</f>
        <v/>
      </c>
      <c r="G142" s="26">
        <f>IF($A142="","",ROUND(SUMIFS(入库单!$P$4:$P$2503,入库单!$E$4:$E$2503,$A142,入库单!$Z$4:$Z$2503,"正常"),0))</f>
        <v/>
      </c>
      <c r="H142" s="26">
        <f>IF($A142="","",ROUND(SUMIFS(费用台账!$I$4:$I$503,费用台账!$C$4:$C$503,$A142,费用台账!$J$4:$J$503,"是",费用台账!$K$4:$K$503,"正常"),0))</f>
        <v/>
      </c>
      <c r="I142" s="37">
        <f>IF($A142="","",IF($G142=0,"",ROUND($H142/$G142,4)))</f>
        <v/>
      </c>
      <c r="J142" s="26">
        <f>IF($A142="","",ROUND(SUMIFS(入库单!$U$4:$U$2503,入库单!$E$4:$E$2503,$A142,入库单!$Z$4:$Z$2503,"正常"),0))</f>
        <v/>
      </c>
      <c r="K142" s="26">
        <f>IF($A142="","",ROUND($H142-$J142,0))</f>
        <v/>
      </c>
      <c r="L142" s="26">
        <f>IF($A142="","",ROUND(SUMIFS(入库单!$V$4:$V$2503,入库单!$E$4:$E$2503,$A142,入库单!$Z$4:$Z$2503,"正常"),0))</f>
        <v/>
      </c>
      <c r="M142" s="24">
        <f>IF($A142="","",IF($E142=0,"※这个批次号在入库单里找不到",IF(AND($H142&gt;0,$F142&gt;0),"△有 "&amp;$F142&amp;" 行没单价，运费整批挂账没摊 —— 补完价自动摊",IF($H142=0,"△还没录运费（27 个柜里只有 2 个录了，其余的要补）",IF(ABS($K142)&gt;1,"※摊完还差 "&amp;TEXT($K142,"#,##0")&amp;" 先令，查一下","已摊平")))))</f>
        <v/>
      </c>
    </row>
    <row r="143">
      <c r="A143" s="24" t="n"/>
      <c r="B143" s="17" t="n"/>
      <c r="C143" s="30" t="n"/>
      <c r="D143" s="24">
        <f>IF($A143="","",IFERROR(LOOKUP(2,1/(入库单!$E$4:$E$2503=$A143),入库单!$D$4:$D$2503),""))</f>
        <v/>
      </c>
      <c r="E143" s="28">
        <f>IF($A143="","",COUNTIFS(入库单!$E$4:$E$2503,$A143,入库单!$Z$4:$Z$2503,"正常"))</f>
        <v/>
      </c>
      <c r="F143" s="28">
        <f>IF($A143="","",COUNTIFS(入库单!$E$4:$E$2503,$A143,入库单!$Z$4:$Z$2503,"正常",入库单!$Y$4:$Y$2503,"待补价"))</f>
        <v/>
      </c>
      <c r="G143" s="26">
        <f>IF($A143="","",ROUND(SUMIFS(入库单!$P$4:$P$2503,入库单!$E$4:$E$2503,$A143,入库单!$Z$4:$Z$2503,"正常"),0))</f>
        <v/>
      </c>
      <c r="H143" s="26">
        <f>IF($A143="","",ROUND(SUMIFS(费用台账!$I$4:$I$503,费用台账!$C$4:$C$503,$A143,费用台账!$J$4:$J$503,"是",费用台账!$K$4:$K$503,"正常"),0))</f>
        <v/>
      </c>
      <c r="I143" s="37">
        <f>IF($A143="","",IF($G143=0,"",ROUND($H143/$G143,4)))</f>
        <v/>
      </c>
      <c r="J143" s="26">
        <f>IF($A143="","",ROUND(SUMIFS(入库单!$U$4:$U$2503,入库单!$E$4:$E$2503,$A143,入库单!$Z$4:$Z$2503,"正常"),0))</f>
        <v/>
      </c>
      <c r="K143" s="26">
        <f>IF($A143="","",ROUND($H143-$J143,0))</f>
        <v/>
      </c>
      <c r="L143" s="26">
        <f>IF($A143="","",ROUND(SUMIFS(入库单!$V$4:$V$2503,入库单!$E$4:$E$2503,$A143,入库单!$Z$4:$Z$2503,"正常"),0))</f>
        <v/>
      </c>
      <c r="M143" s="24">
        <f>IF($A143="","",IF($E143=0,"※这个批次号在入库单里找不到",IF(AND($H143&gt;0,$F143&gt;0),"△有 "&amp;$F143&amp;" 行没单价，运费整批挂账没摊 —— 补完价自动摊",IF($H143=0,"△还没录运费（27 个柜里只有 2 个录了，其余的要补）",IF(ABS($K143)&gt;1,"※摊完还差 "&amp;TEXT($K143,"#,##0")&amp;" 先令，查一下","已摊平")))))</f>
        <v/>
      </c>
    </row>
    <row r="144">
      <c r="A144" s="24" t="n"/>
      <c r="B144" s="17" t="n"/>
      <c r="C144" s="30" t="n"/>
      <c r="D144" s="24">
        <f>IF($A144="","",IFERROR(LOOKUP(2,1/(入库单!$E$4:$E$2503=$A144),入库单!$D$4:$D$2503),""))</f>
        <v/>
      </c>
      <c r="E144" s="28">
        <f>IF($A144="","",COUNTIFS(入库单!$E$4:$E$2503,$A144,入库单!$Z$4:$Z$2503,"正常"))</f>
        <v/>
      </c>
      <c r="F144" s="28">
        <f>IF($A144="","",COUNTIFS(入库单!$E$4:$E$2503,$A144,入库单!$Z$4:$Z$2503,"正常",入库单!$Y$4:$Y$2503,"待补价"))</f>
        <v/>
      </c>
      <c r="G144" s="26">
        <f>IF($A144="","",ROUND(SUMIFS(入库单!$P$4:$P$2503,入库单!$E$4:$E$2503,$A144,入库单!$Z$4:$Z$2503,"正常"),0))</f>
        <v/>
      </c>
      <c r="H144" s="26">
        <f>IF($A144="","",ROUND(SUMIFS(费用台账!$I$4:$I$503,费用台账!$C$4:$C$503,$A144,费用台账!$J$4:$J$503,"是",费用台账!$K$4:$K$503,"正常"),0))</f>
        <v/>
      </c>
      <c r="I144" s="37">
        <f>IF($A144="","",IF($G144=0,"",ROUND($H144/$G144,4)))</f>
        <v/>
      </c>
      <c r="J144" s="26">
        <f>IF($A144="","",ROUND(SUMIFS(入库单!$U$4:$U$2503,入库单!$E$4:$E$2503,$A144,入库单!$Z$4:$Z$2503,"正常"),0))</f>
        <v/>
      </c>
      <c r="K144" s="26">
        <f>IF($A144="","",ROUND($H144-$J144,0))</f>
        <v/>
      </c>
      <c r="L144" s="26">
        <f>IF($A144="","",ROUND(SUMIFS(入库单!$V$4:$V$2503,入库单!$E$4:$E$2503,$A144,入库单!$Z$4:$Z$2503,"正常"),0))</f>
        <v/>
      </c>
      <c r="M144" s="24">
        <f>IF($A144="","",IF($E144=0,"※这个批次号在入库单里找不到",IF(AND($H144&gt;0,$F144&gt;0),"△有 "&amp;$F144&amp;" 行没单价，运费整批挂账没摊 —— 补完价自动摊",IF($H144=0,"△还没录运费（27 个柜里只有 2 个录了，其余的要补）",IF(ABS($K144)&gt;1,"※摊完还差 "&amp;TEXT($K144,"#,##0")&amp;" 先令，查一下","已摊平")))))</f>
        <v/>
      </c>
    </row>
    <row r="145">
      <c r="A145" s="24" t="n"/>
      <c r="B145" s="17" t="n"/>
      <c r="C145" s="30" t="n"/>
      <c r="D145" s="24">
        <f>IF($A145="","",IFERROR(LOOKUP(2,1/(入库单!$E$4:$E$2503=$A145),入库单!$D$4:$D$2503),""))</f>
        <v/>
      </c>
      <c r="E145" s="28">
        <f>IF($A145="","",COUNTIFS(入库单!$E$4:$E$2503,$A145,入库单!$Z$4:$Z$2503,"正常"))</f>
        <v/>
      </c>
      <c r="F145" s="28">
        <f>IF($A145="","",COUNTIFS(入库单!$E$4:$E$2503,$A145,入库单!$Z$4:$Z$2503,"正常",入库单!$Y$4:$Y$2503,"待补价"))</f>
        <v/>
      </c>
      <c r="G145" s="26">
        <f>IF($A145="","",ROUND(SUMIFS(入库单!$P$4:$P$2503,入库单!$E$4:$E$2503,$A145,入库单!$Z$4:$Z$2503,"正常"),0))</f>
        <v/>
      </c>
      <c r="H145" s="26">
        <f>IF($A145="","",ROUND(SUMIFS(费用台账!$I$4:$I$503,费用台账!$C$4:$C$503,$A145,费用台账!$J$4:$J$503,"是",费用台账!$K$4:$K$503,"正常"),0))</f>
        <v/>
      </c>
      <c r="I145" s="37">
        <f>IF($A145="","",IF($G145=0,"",ROUND($H145/$G145,4)))</f>
        <v/>
      </c>
      <c r="J145" s="26">
        <f>IF($A145="","",ROUND(SUMIFS(入库单!$U$4:$U$2503,入库单!$E$4:$E$2503,$A145,入库单!$Z$4:$Z$2503,"正常"),0))</f>
        <v/>
      </c>
      <c r="K145" s="26">
        <f>IF($A145="","",ROUND($H145-$J145,0))</f>
        <v/>
      </c>
      <c r="L145" s="26">
        <f>IF($A145="","",ROUND(SUMIFS(入库单!$V$4:$V$2503,入库单!$E$4:$E$2503,$A145,入库单!$Z$4:$Z$2503,"正常"),0))</f>
        <v/>
      </c>
      <c r="M145" s="24">
        <f>IF($A145="","",IF($E145=0,"※这个批次号在入库单里找不到",IF(AND($H145&gt;0,$F145&gt;0),"△有 "&amp;$F145&amp;" 行没单价，运费整批挂账没摊 —— 补完价自动摊",IF($H145=0,"△还没录运费（27 个柜里只有 2 个录了，其余的要补）",IF(ABS($K145)&gt;1,"※摊完还差 "&amp;TEXT($K145,"#,##0")&amp;" 先令，查一下","已摊平")))))</f>
        <v/>
      </c>
    </row>
    <row r="146">
      <c r="A146" s="24" t="n"/>
      <c r="B146" s="17" t="n"/>
      <c r="C146" s="30" t="n"/>
      <c r="D146" s="24">
        <f>IF($A146="","",IFERROR(LOOKUP(2,1/(入库单!$E$4:$E$2503=$A146),入库单!$D$4:$D$2503),""))</f>
        <v/>
      </c>
      <c r="E146" s="28">
        <f>IF($A146="","",COUNTIFS(入库单!$E$4:$E$2503,$A146,入库单!$Z$4:$Z$2503,"正常"))</f>
        <v/>
      </c>
      <c r="F146" s="28">
        <f>IF($A146="","",COUNTIFS(入库单!$E$4:$E$2503,$A146,入库单!$Z$4:$Z$2503,"正常",入库单!$Y$4:$Y$2503,"待补价"))</f>
        <v/>
      </c>
      <c r="G146" s="26">
        <f>IF($A146="","",ROUND(SUMIFS(入库单!$P$4:$P$2503,入库单!$E$4:$E$2503,$A146,入库单!$Z$4:$Z$2503,"正常"),0))</f>
        <v/>
      </c>
      <c r="H146" s="26">
        <f>IF($A146="","",ROUND(SUMIFS(费用台账!$I$4:$I$503,费用台账!$C$4:$C$503,$A146,费用台账!$J$4:$J$503,"是",费用台账!$K$4:$K$503,"正常"),0))</f>
        <v/>
      </c>
      <c r="I146" s="37">
        <f>IF($A146="","",IF($G146=0,"",ROUND($H146/$G146,4)))</f>
        <v/>
      </c>
      <c r="J146" s="26">
        <f>IF($A146="","",ROUND(SUMIFS(入库单!$U$4:$U$2503,入库单!$E$4:$E$2503,$A146,入库单!$Z$4:$Z$2503,"正常"),0))</f>
        <v/>
      </c>
      <c r="K146" s="26">
        <f>IF($A146="","",ROUND($H146-$J146,0))</f>
        <v/>
      </c>
      <c r="L146" s="26">
        <f>IF($A146="","",ROUND(SUMIFS(入库单!$V$4:$V$2503,入库单!$E$4:$E$2503,$A146,入库单!$Z$4:$Z$2503,"正常"),0))</f>
        <v/>
      </c>
      <c r="M146" s="24">
        <f>IF($A146="","",IF($E146=0,"※这个批次号在入库单里找不到",IF(AND($H146&gt;0,$F146&gt;0),"△有 "&amp;$F146&amp;" 行没单价，运费整批挂账没摊 —— 补完价自动摊",IF($H146=0,"△还没录运费（27 个柜里只有 2 个录了，其余的要补）",IF(ABS($K146)&gt;1,"※摊完还差 "&amp;TEXT($K146,"#,##0")&amp;" 先令，查一下","已摊平")))))</f>
        <v/>
      </c>
    </row>
    <row r="147">
      <c r="A147" s="24" t="n"/>
      <c r="B147" s="17" t="n"/>
      <c r="C147" s="30" t="n"/>
      <c r="D147" s="24">
        <f>IF($A147="","",IFERROR(LOOKUP(2,1/(入库单!$E$4:$E$2503=$A147),入库单!$D$4:$D$2503),""))</f>
        <v/>
      </c>
      <c r="E147" s="28">
        <f>IF($A147="","",COUNTIFS(入库单!$E$4:$E$2503,$A147,入库单!$Z$4:$Z$2503,"正常"))</f>
        <v/>
      </c>
      <c r="F147" s="28">
        <f>IF($A147="","",COUNTIFS(入库单!$E$4:$E$2503,$A147,入库单!$Z$4:$Z$2503,"正常",入库单!$Y$4:$Y$2503,"待补价"))</f>
        <v/>
      </c>
      <c r="G147" s="26">
        <f>IF($A147="","",ROUND(SUMIFS(入库单!$P$4:$P$2503,入库单!$E$4:$E$2503,$A147,入库单!$Z$4:$Z$2503,"正常"),0))</f>
        <v/>
      </c>
      <c r="H147" s="26">
        <f>IF($A147="","",ROUND(SUMIFS(费用台账!$I$4:$I$503,费用台账!$C$4:$C$503,$A147,费用台账!$J$4:$J$503,"是",费用台账!$K$4:$K$503,"正常"),0))</f>
        <v/>
      </c>
      <c r="I147" s="37">
        <f>IF($A147="","",IF($G147=0,"",ROUND($H147/$G147,4)))</f>
        <v/>
      </c>
      <c r="J147" s="26">
        <f>IF($A147="","",ROUND(SUMIFS(入库单!$U$4:$U$2503,入库单!$E$4:$E$2503,$A147,入库单!$Z$4:$Z$2503,"正常"),0))</f>
        <v/>
      </c>
      <c r="K147" s="26">
        <f>IF($A147="","",ROUND($H147-$J147,0))</f>
        <v/>
      </c>
      <c r="L147" s="26">
        <f>IF($A147="","",ROUND(SUMIFS(入库单!$V$4:$V$2503,入库单!$E$4:$E$2503,$A147,入库单!$Z$4:$Z$2503,"正常"),0))</f>
        <v/>
      </c>
      <c r="M147" s="24">
        <f>IF($A147="","",IF($E147=0,"※这个批次号在入库单里找不到",IF(AND($H147&gt;0,$F147&gt;0),"△有 "&amp;$F147&amp;" 行没单价，运费整批挂账没摊 —— 补完价自动摊",IF($H147=0,"△还没录运费（27 个柜里只有 2 个录了，其余的要补）",IF(ABS($K147)&gt;1,"※摊完还差 "&amp;TEXT($K147,"#,##0")&amp;" 先令，查一下","已摊平")))))</f>
        <v/>
      </c>
    </row>
    <row r="148">
      <c r="A148" s="24" t="n"/>
      <c r="B148" s="17" t="n"/>
      <c r="C148" s="30" t="n"/>
      <c r="D148" s="24">
        <f>IF($A148="","",IFERROR(LOOKUP(2,1/(入库单!$E$4:$E$2503=$A148),入库单!$D$4:$D$2503),""))</f>
        <v/>
      </c>
      <c r="E148" s="28">
        <f>IF($A148="","",COUNTIFS(入库单!$E$4:$E$2503,$A148,入库单!$Z$4:$Z$2503,"正常"))</f>
        <v/>
      </c>
      <c r="F148" s="28">
        <f>IF($A148="","",COUNTIFS(入库单!$E$4:$E$2503,$A148,入库单!$Z$4:$Z$2503,"正常",入库单!$Y$4:$Y$2503,"待补价"))</f>
        <v/>
      </c>
      <c r="G148" s="26">
        <f>IF($A148="","",ROUND(SUMIFS(入库单!$P$4:$P$2503,入库单!$E$4:$E$2503,$A148,入库单!$Z$4:$Z$2503,"正常"),0))</f>
        <v/>
      </c>
      <c r="H148" s="26">
        <f>IF($A148="","",ROUND(SUMIFS(费用台账!$I$4:$I$503,费用台账!$C$4:$C$503,$A148,费用台账!$J$4:$J$503,"是",费用台账!$K$4:$K$503,"正常"),0))</f>
        <v/>
      </c>
      <c r="I148" s="37">
        <f>IF($A148="","",IF($G148=0,"",ROUND($H148/$G148,4)))</f>
        <v/>
      </c>
      <c r="J148" s="26">
        <f>IF($A148="","",ROUND(SUMIFS(入库单!$U$4:$U$2503,入库单!$E$4:$E$2503,$A148,入库单!$Z$4:$Z$2503,"正常"),0))</f>
        <v/>
      </c>
      <c r="K148" s="26">
        <f>IF($A148="","",ROUND($H148-$J148,0))</f>
        <v/>
      </c>
      <c r="L148" s="26">
        <f>IF($A148="","",ROUND(SUMIFS(入库单!$V$4:$V$2503,入库单!$E$4:$E$2503,$A148,入库单!$Z$4:$Z$2503,"正常"),0))</f>
        <v/>
      </c>
      <c r="M148" s="24">
        <f>IF($A148="","",IF($E148=0,"※这个批次号在入库单里找不到",IF(AND($H148&gt;0,$F148&gt;0),"△有 "&amp;$F148&amp;" 行没单价，运费整批挂账没摊 —— 补完价自动摊",IF($H148=0,"△还没录运费（27 个柜里只有 2 个录了，其余的要补）",IF(ABS($K148)&gt;1,"※摊完还差 "&amp;TEXT($K148,"#,##0")&amp;" 先令，查一下","已摊平")))))</f>
        <v/>
      </c>
    </row>
    <row r="149">
      <c r="A149" s="24" t="n"/>
      <c r="B149" s="17" t="n"/>
      <c r="C149" s="30" t="n"/>
      <c r="D149" s="24">
        <f>IF($A149="","",IFERROR(LOOKUP(2,1/(入库单!$E$4:$E$2503=$A149),入库单!$D$4:$D$2503),""))</f>
        <v/>
      </c>
      <c r="E149" s="28">
        <f>IF($A149="","",COUNTIFS(入库单!$E$4:$E$2503,$A149,入库单!$Z$4:$Z$2503,"正常"))</f>
        <v/>
      </c>
      <c r="F149" s="28">
        <f>IF($A149="","",COUNTIFS(入库单!$E$4:$E$2503,$A149,入库单!$Z$4:$Z$2503,"正常",入库单!$Y$4:$Y$2503,"待补价"))</f>
        <v/>
      </c>
      <c r="G149" s="26">
        <f>IF($A149="","",ROUND(SUMIFS(入库单!$P$4:$P$2503,入库单!$E$4:$E$2503,$A149,入库单!$Z$4:$Z$2503,"正常"),0))</f>
        <v/>
      </c>
      <c r="H149" s="26">
        <f>IF($A149="","",ROUND(SUMIFS(费用台账!$I$4:$I$503,费用台账!$C$4:$C$503,$A149,费用台账!$J$4:$J$503,"是",费用台账!$K$4:$K$503,"正常"),0))</f>
        <v/>
      </c>
      <c r="I149" s="37">
        <f>IF($A149="","",IF($G149=0,"",ROUND($H149/$G149,4)))</f>
        <v/>
      </c>
      <c r="J149" s="26">
        <f>IF($A149="","",ROUND(SUMIFS(入库单!$U$4:$U$2503,入库单!$E$4:$E$2503,$A149,入库单!$Z$4:$Z$2503,"正常"),0))</f>
        <v/>
      </c>
      <c r="K149" s="26">
        <f>IF($A149="","",ROUND($H149-$J149,0))</f>
        <v/>
      </c>
      <c r="L149" s="26">
        <f>IF($A149="","",ROUND(SUMIFS(入库单!$V$4:$V$2503,入库单!$E$4:$E$2503,$A149,入库单!$Z$4:$Z$2503,"正常"),0))</f>
        <v/>
      </c>
      <c r="M149" s="24">
        <f>IF($A149="","",IF($E149=0,"※这个批次号在入库单里找不到",IF(AND($H149&gt;0,$F149&gt;0),"△有 "&amp;$F149&amp;" 行没单价，运费整批挂账没摊 —— 补完价自动摊",IF($H149=0,"△还没录运费（27 个柜里只有 2 个录了，其余的要补）",IF(ABS($K149)&gt;1,"※摊完还差 "&amp;TEXT($K149,"#,##0")&amp;" 先令，查一下","已摊平")))))</f>
        <v/>
      </c>
    </row>
    <row r="150">
      <c r="A150" s="24" t="n"/>
      <c r="B150" s="17" t="n"/>
      <c r="C150" s="30" t="n"/>
      <c r="D150" s="24">
        <f>IF($A150="","",IFERROR(LOOKUP(2,1/(入库单!$E$4:$E$2503=$A150),入库单!$D$4:$D$2503),""))</f>
        <v/>
      </c>
      <c r="E150" s="28">
        <f>IF($A150="","",COUNTIFS(入库单!$E$4:$E$2503,$A150,入库单!$Z$4:$Z$2503,"正常"))</f>
        <v/>
      </c>
      <c r="F150" s="28">
        <f>IF($A150="","",COUNTIFS(入库单!$E$4:$E$2503,$A150,入库单!$Z$4:$Z$2503,"正常",入库单!$Y$4:$Y$2503,"待补价"))</f>
        <v/>
      </c>
      <c r="G150" s="26">
        <f>IF($A150="","",ROUND(SUMIFS(入库单!$P$4:$P$2503,入库单!$E$4:$E$2503,$A150,入库单!$Z$4:$Z$2503,"正常"),0))</f>
        <v/>
      </c>
      <c r="H150" s="26">
        <f>IF($A150="","",ROUND(SUMIFS(费用台账!$I$4:$I$503,费用台账!$C$4:$C$503,$A150,费用台账!$J$4:$J$503,"是",费用台账!$K$4:$K$503,"正常"),0))</f>
        <v/>
      </c>
      <c r="I150" s="37">
        <f>IF($A150="","",IF($G150=0,"",ROUND($H150/$G150,4)))</f>
        <v/>
      </c>
      <c r="J150" s="26">
        <f>IF($A150="","",ROUND(SUMIFS(入库单!$U$4:$U$2503,入库单!$E$4:$E$2503,$A150,入库单!$Z$4:$Z$2503,"正常"),0))</f>
        <v/>
      </c>
      <c r="K150" s="26">
        <f>IF($A150="","",ROUND($H150-$J150,0))</f>
        <v/>
      </c>
      <c r="L150" s="26">
        <f>IF($A150="","",ROUND(SUMIFS(入库单!$V$4:$V$2503,入库单!$E$4:$E$2503,$A150,入库单!$Z$4:$Z$2503,"正常"),0))</f>
        <v/>
      </c>
      <c r="M150" s="24">
        <f>IF($A150="","",IF($E150=0,"※这个批次号在入库单里找不到",IF(AND($H150&gt;0,$F150&gt;0),"△有 "&amp;$F150&amp;" 行没单价，运费整批挂账没摊 —— 补完价自动摊",IF($H150=0,"△还没录运费（27 个柜里只有 2 个录了，其余的要补）",IF(ABS($K150)&gt;1,"※摊完还差 "&amp;TEXT($K150,"#,##0")&amp;" 先令，查一下","已摊平")))))</f>
        <v/>
      </c>
    </row>
    <row r="151">
      <c r="A151" s="24" t="n"/>
      <c r="B151" s="17" t="n"/>
      <c r="C151" s="30" t="n"/>
      <c r="D151" s="24">
        <f>IF($A151="","",IFERROR(LOOKUP(2,1/(入库单!$E$4:$E$2503=$A151),入库单!$D$4:$D$2503),""))</f>
        <v/>
      </c>
      <c r="E151" s="28">
        <f>IF($A151="","",COUNTIFS(入库单!$E$4:$E$2503,$A151,入库单!$Z$4:$Z$2503,"正常"))</f>
        <v/>
      </c>
      <c r="F151" s="28">
        <f>IF($A151="","",COUNTIFS(入库单!$E$4:$E$2503,$A151,入库单!$Z$4:$Z$2503,"正常",入库单!$Y$4:$Y$2503,"待补价"))</f>
        <v/>
      </c>
      <c r="G151" s="26">
        <f>IF($A151="","",ROUND(SUMIFS(入库单!$P$4:$P$2503,入库单!$E$4:$E$2503,$A151,入库单!$Z$4:$Z$2503,"正常"),0))</f>
        <v/>
      </c>
      <c r="H151" s="26">
        <f>IF($A151="","",ROUND(SUMIFS(费用台账!$I$4:$I$503,费用台账!$C$4:$C$503,$A151,费用台账!$J$4:$J$503,"是",费用台账!$K$4:$K$503,"正常"),0))</f>
        <v/>
      </c>
      <c r="I151" s="37">
        <f>IF($A151="","",IF($G151=0,"",ROUND($H151/$G151,4)))</f>
        <v/>
      </c>
      <c r="J151" s="26">
        <f>IF($A151="","",ROUND(SUMIFS(入库单!$U$4:$U$2503,入库单!$E$4:$E$2503,$A151,入库单!$Z$4:$Z$2503,"正常"),0))</f>
        <v/>
      </c>
      <c r="K151" s="26">
        <f>IF($A151="","",ROUND($H151-$J151,0))</f>
        <v/>
      </c>
      <c r="L151" s="26">
        <f>IF($A151="","",ROUND(SUMIFS(入库单!$V$4:$V$2503,入库单!$E$4:$E$2503,$A151,入库单!$Z$4:$Z$2503,"正常"),0))</f>
        <v/>
      </c>
      <c r="M151" s="24">
        <f>IF($A151="","",IF($E151=0,"※这个批次号在入库单里找不到",IF(AND($H151&gt;0,$F151&gt;0),"△有 "&amp;$F151&amp;" 行没单价，运费整批挂账没摊 —— 补完价自动摊",IF($H151=0,"△还没录运费（27 个柜里只有 2 个录了，其余的要补）",IF(ABS($K151)&gt;1,"※摊完还差 "&amp;TEXT($K151,"#,##0")&amp;" 先令，查一下","已摊平")))))</f>
        <v/>
      </c>
    </row>
    <row r="152">
      <c r="A152" s="24" t="n"/>
      <c r="B152" s="17" t="n"/>
      <c r="C152" s="30" t="n"/>
      <c r="D152" s="24">
        <f>IF($A152="","",IFERROR(LOOKUP(2,1/(入库单!$E$4:$E$2503=$A152),入库单!$D$4:$D$2503),""))</f>
        <v/>
      </c>
      <c r="E152" s="28">
        <f>IF($A152="","",COUNTIFS(入库单!$E$4:$E$2503,$A152,入库单!$Z$4:$Z$2503,"正常"))</f>
        <v/>
      </c>
      <c r="F152" s="28">
        <f>IF($A152="","",COUNTIFS(入库单!$E$4:$E$2503,$A152,入库单!$Z$4:$Z$2503,"正常",入库单!$Y$4:$Y$2503,"待补价"))</f>
        <v/>
      </c>
      <c r="G152" s="26">
        <f>IF($A152="","",ROUND(SUMIFS(入库单!$P$4:$P$2503,入库单!$E$4:$E$2503,$A152,入库单!$Z$4:$Z$2503,"正常"),0))</f>
        <v/>
      </c>
      <c r="H152" s="26">
        <f>IF($A152="","",ROUND(SUMIFS(费用台账!$I$4:$I$503,费用台账!$C$4:$C$503,$A152,费用台账!$J$4:$J$503,"是",费用台账!$K$4:$K$503,"正常"),0))</f>
        <v/>
      </c>
      <c r="I152" s="37">
        <f>IF($A152="","",IF($G152=0,"",ROUND($H152/$G152,4)))</f>
        <v/>
      </c>
      <c r="J152" s="26">
        <f>IF($A152="","",ROUND(SUMIFS(入库单!$U$4:$U$2503,入库单!$E$4:$E$2503,$A152,入库单!$Z$4:$Z$2503,"正常"),0))</f>
        <v/>
      </c>
      <c r="K152" s="26">
        <f>IF($A152="","",ROUND($H152-$J152,0))</f>
        <v/>
      </c>
      <c r="L152" s="26">
        <f>IF($A152="","",ROUND(SUMIFS(入库单!$V$4:$V$2503,入库单!$E$4:$E$2503,$A152,入库单!$Z$4:$Z$2503,"正常"),0))</f>
        <v/>
      </c>
      <c r="M152" s="24">
        <f>IF($A152="","",IF($E152=0,"※这个批次号在入库单里找不到",IF(AND($H152&gt;0,$F152&gt;0),"△有 "&amp;$F152&amp;" 行没单价，运费整批挂账没摊 —— 补完价自动摊",IF($H152=0,"△还没录运费（27 个柜里只有 2 个录了，其余的要补）",IF(ABS($K152)&gt;1,"※摊完还差 "&amp;TEXT($K152,"#,##0")&amp;" 先令，查一下","已摊平")))))</f>
        <v/>
      </c>
    </row>
    <row r="153">
      <c r="A153" s="24" t="n"/>
      <c r="B153" s="17" t="n"/>
      <c r="C153" s="30" t="n"/>
      <c r="D153" s="24">
        <f>IF($A153="","",IFERROR(LOOKUP(2,1/(入库单!$E$4:$E$2503=$A153),入库单!$D$4:$D$2503),""))</f>
        <v/>
      </c>
      <c r="E153" s="28">
        <f>IF($A153="","",COUNTIFS(入库单!$E$4:$E$2503,$A153,入库单!$Z$4:$Z$2503,"正常"))</f>
        <v/>
      </c>
      <c r="F153" s="28">
        <f>IF($A153="","",COUNTIFS(入库单!$E$4:$E$2503,$A153,入库单!$Z$4:$Z$2503,"正常",入库单!$Y$4:$Y$2503,"待补价"))</f>
        <v/>
      </c>
      <c r="G153" s="26">
        <f>IF($A153="","",ROUND(SUMIFS(入库单!$P$4:$P$2503,入库单!$E$4:$E$2503,$A153,入库单!$Z$4:$Z$2503,"正常"),0))</f>
        <v/>
      </c>
      <c r="H153" s="26">
        <f>IF($A153="","",ROUND(SUMIFS(费用台账!$I$4:$I$503,费用台账!$C$4:$C$503,$A153,费用台账!$J$4:$J$503,"是",费用台账!$K$4:$K$503,"正常"),0))</f>
        <v/>
      </c>
      <c r="I153" s="37">
        <f>IF($A153="","",IF($G153=0,"",ROUND($H153/$G153,4)))</f>
        <v/>
      </c>
      <c r="J153" s="26">
        <f>IF($A153="","",ROUND(SUMIFS(入库单!$U$4:$U$2503,入库单!$E$4:$E$2503,$A153,入库单!$Z$4:$Z$2503,"正常"),0))</f>
        <v/>
      </c>
      <c r="K153" s="26">
        <f>IF($A153="","",ROUND($H153-$J153,0))</f>
        <v/>
      </c>
      <c r="L153" s="26">
        <f>IF($A153="","",ROUND(SUMIFS(入库单!$V$4:$V$2503,入库单!$E$4:$E$2503,$A153,入库单!$Z$4:$Z$2503,"正常"),0))</f>
        <v/>
      </c>
      <c r="M153" s="24">
        <f>IF($A153="","",IF($E153=0,"※这个批次号在入库单里找不到",IF(AND($H153&gt;0,$F153&gt;0),"△有 "&amp;$F153&amp;" 行没单价，运费整批挂账没摊 —— 补完价自动摊",IF($H153=0,"△还没录运费（27 个柜里只有 2 个录了，其余的要补）",IF(ABS($K153)&gt;1,"※摊完还差 "&amp;TEXT($K153,"#,##0")&amp;" 先令，查一下","已摊平")))))</f>
        <v/>
      </c>
    </row>
    <row r="154">
      <c r="A154" s="24" t="n"/>
      <c r="B154" s="17" t="n"/>
      <c r="C154" s="30" t="n"/>
      <c r="D154" s="24">
        <f>IF($A154="","",IFERROR(LOOKUP(2,1/(入库单!$E$4:$E$2503=$A154),入库单!$D$4:$D$2503),""))</f>
        <v/>
      </c>
      <c r="E154" s="28">
        <f>IF($A154="","",COUNTIFS(入库单!$E$4:$E$2503,$A154,入库单!$Z$4:$Z$2503,"正常"))</f>
        <v/>
      </c>
      <c r="F154" s="28">
        <f>IF($A154="","",COUNTIFS(入库单!$E$4:$E$2503,$A154,入库单!$Z$4:$Z$2503,"正常",入库单!$Y$4:$Y$2503,"待补价"))</f>
        <v/>
      </c>
      <c r="G154" s="26">
        <f>IF($A154="","",ROUND(SUMIFS(入库单!$P$4:$P$2503,入库单!$E$4:$E$2503,$A154,入库单!$Z$4:$Z$2503,"正常"),0))</f>
        <v/>
      </c>
      <c r="H154" s="26">
        <f>IF($A154="","",ROUND(SUMIFS(费用台账!$I$4:$I$503,费用台账!$C$4:$C$503,$A154,费用台账!$J$4:$J$503,"是",费用台账!$K$4:$K$503,"正常"),0))</f>
        <v/>
      </c>
      <c r="I154" s="37">
        <f>IF($A154="","",IF($G154=0,"",ROUND($H154/$G154,4)))</f>
        <v/>
      </c>
      <c r="J154" s="26">
        <f>IF($A154="","",ROUND(SUMIFS(入库单!$U$4:$U$2503,入库单!$E$4:$E$2503,$A154,入库单!$Z$4:$Z$2503,"正常"),0))</f>
        <v/>
      </c>
      <c r="K154" s="26">
        <f>IF($A154="","",ROUND($H154-$J154,0))</f>
        <v/>
      </c>
      <c r="L154" s="26">
        <f>IF($A154="","",ROUND(SUMIFS(入库单!$V$4:$V$2503,入库单!$E$4:$E$2503,$A154,入库单!$Z$4:$Z$2503,"正常"),0))</f>
        <v/>
      </c>
      <c r="M154" s="24">
        <f>IF($A154="","",IF($E154=0,"※这个批次号在入库单里找不到",IF(AND($H154&gt;0,$F154&gt;0),"△有 "&amp;$F154&amp;" 行没单价，运费整批挂账没摊 —— 补完价自动摊",IF($H154=0,"△还没录运费（27 个柜里只有 2 个录了，其余的要补）",IF(ABS($K154)&gt;1,"※摊完还差 "&amp;TEXT($K154,"#,##0")&amp;" 先令，查一下","已摊平")))))</f>
        <v/>
      </c>
    </row>
    <row r="155">
      <c r="A155" s="24" t="n"/>
      <c r="B155" s="17" t="n"/>
      <c r="C155" s="30" t="n"/>
      <c r="D155" s="24">
        <f>IF($A155="","",IFERROR(LOOKUP(2,1/(入库单!$E$4:$E$2503=$A155),入库单!$D$4:$D$2503),""))</f>
        <v/>
      </c>
      <c r="E155" s="28">
        <f>IF($A155="","",COUNTIFS(入库单!$E$4:$E$2503,$A155,入库单!$Z$4:$Z$2503,"正常"))</f>
        <v/>
      </c>
      <c r="F155" s="28">
        <f>IF($A155="","",COUNTIFS(入库单!$E$4:$E$2503,$A155,入库单!$Z$4:$Z$2503,"正常",入库单!$Y$4:$Y$2503,"待补价"))</f>
        <v/>
      </c>
      <c r="G155" s="26">
        <f>IF($A155="","",ROUND(SUMIFS(入库单!$P$4:$P$2503,入库单!$E$4:$E$2503,$A155,入库单!$Z$4:$Z$2503,"正常"),0))</f>
        <v/>
      </c>
      <c r="H155" s="26">
        <f>IF($A155="","",ROUND(SUMIFS(费用台账!$I$4:$I$503,费用台账!$C$4:$C$503,$A155,费用台账!$J$4:$J$503,"是",费用台账!$K$4:$K$503,"正常"),0))</f>
        <v/>
      </c>
      <c r="I155" s="37">
        <f>IF($A155="","",IF($G155=0,"",ROUND($H155/$G155,4)))</f>
        <v/>
      </c>
      <c r="J155" s="26">
        <f>IF($A155="","",ROUND(SUMIFS(入库单!$U$4:$U$2503,入库单!$E$4:$E$2503,$A155,入库单!$Z$4:$Z$2503,"正常"),0))</f>
        <v/>
      </c>
      <c r="K155" s="26">
        <f>IF($A155="","",ROUND($H155-$J155,0))</f>
        <v/>
      </c>
      <c r="L155" s="26">
        <f>IF($A155="","",ROUND(SUMIFS(入库单!$V$4:$V$2503,入库单!$E$4:$E$2503,$A155,入库单!$Z$4:$Z$2503,"正常"),0))</f>
        <v/>
      </c>
      <c r="M155" s="24">
        <f>IF($A155="","",IF($E155=0,"※这个批次号在入库单里找不到",IF(AND($H155&gt;0,$F155&gt;0),"△有 "&amp;$F155&amp;" 行没单价，运费整批挂账没摊 —— 补完价自动摊",IF($H155=0,"△还没录运费（27 个柜里只有 2 个录了，其余的要补）",IF(ABS($K155)&gt;1,"※摊完还差 "&amp;TEXT($K155,"#,##0")&amp;" 先令，查一下","已摊平")))))</f>
        <v/>
      </c>
    </row>
    <row r="156">
      <c r="A156" s="24" t="n"/>
      <c r="B156" s="17" t="n"/>
      <c r="C156" s="30" t="n"/>
      <c r="D156" s="24">
        <f>IF($A156="","",IFERROR(LOOKUP(2,1/(入库单!$E$4:$E$2503=$A156),入库单!$D$4:$D$2503),""))</f>
        <v/>
      </c>
      <c r="E156" s="28">
        <f>IF($A156="","",COUNTIFS(入库单!$E$4:$E$2503,$A156,入库单!$Z$4:$Z$2503,"正常"))</f>
        <v/>
      </c>
      <c r="F156" s="28">
        <f>IF($A156="","",COUNTIFS(入库单!$E$4:$E$2503,$A156,入库单!$Z$4:$Z$2503,"正常",入库单!$Y$4:$Y$2503,"待补价"))</f>
        <v/>
      </c>
      <c r="G156" s="26">
        <f>IF($A156="","",ROUND(SUMIFS(入库单!$P$4:$P$2503,入库单!$E$4:$E$2503,$A156,入库单!$Z$4:$Z$2503,"正常"),0))</f>
        <v/>
      </c>
      <c r="H156" s="26">
        <f>IF($A156="","",ROUND(SUMIFS(费用台账!$I$4:$I$503,费用台账!$C$4:$C$503,$A156,费用台账!$J$4:$J$503,"是",费用台账!$K$4:$K$503,"正常"),0))</f>
        <v/>
      </c>
      <c r="I156" s="37">
        <f>IF($A156="","",IF($G156=0,"",ROUND($H156/$G156,4)))</f>
        <v/>
      </c>
      <c r="J156" s="26">
        <f>IF($A156="","",ROUND(SUMIFS(入库单!$U$4:$U$2503,入库单!$E$4:$E$2503,$A156,入库单!$Z$4:$Z$2503,"正常"),0))</f>
        <v/>
      </c>
      <c r="K156" s="26">
        <f>IF($A156="","",ROUND($H156-$J156,0))</f>
        <v/>
      </c>
      <c r="L156" s="26">
        <f>IF($A156="","",ROUND(SUMIFS(入库单!$V$4:$V$2503,入库单!$E$4:$E$2503,$A156,入库单!$Z$4:$Z$2503,"正常"),0))</f>
        <v/>
      </c>
      <c r="M156" s="24">
        <f>IF($A156="","",IF($E156=0,"※这个批次号在入库单里找不到",IF(AND($H156&gt;0,$F156&gt;0),"△有 "&amp;$F156&amp;" 行没单价，运费整批挂账没摊 —— 补完价自动摊",IF($H156=0,"△还没录运费（27 个柜里只有 2 个录了，其余的要补）",IF(ABS($K156)&gt;1,"※摊完还差 "&amp;TEXT($K156,"#,##0")&amp;" 先令，查一下","已摊平")))))</f>
        <v/>
      </c>
    </row>
    <row r="157">
      <c r="A157" s="24" t="n"/>
      <c r="B157" s="17" t="n"/>
      <c r="C157" s="30" t="n"/>
      <c r="D157" s="24">
        <f>IF($A157="","",IFERROR(LOOKUP(2,1/(入库单!$E$4:$E$2503=$A157),入库单!$D$4:$D$2503),""))</f>
        <v/>
      </c>
      <c r="E157" s="28">
        <f>IF($A157="","",COUNTIFS(入库单!$E$4:$E$2503,$A157,入库单!$Z$4:$Z$2503,"正常"))</f>
        <v/>
      </c>
      <c r="F157" s="28">
        <f>IF($A157="","",COUNTIFS(入库单!$E$4:$E$2503,$A157,入库单!$Z$4:$Z$2503,"正常",入库单!$Y$4:$Y$2503,"待补价"))</f>
        <v/>
      </c>
      <c r="G157" s="26">
        <f>IF($A157="","",ROUND(SUMIFS(入库单!$P$4:$P$2503,入库单!$E$4:$E$2503,$A157,入库单!$Z$4:$Z$2503,"正常"),0))</f>
        <v/>
      </c>
      <c r="H157" s="26">
        <f>IF($A157="","",ROUND(SUMIFS(费用台账!$I$4:$I$503,费用台账!$C$4:$C$503,$A157,费用台账!$J$4:$J$503,"是",费用台账!$K$4:$K$503,"正常"),0))</f>
        <v/>
      </c>
      <c r="I157" s="37">
        <f>IF($A157="","",IF($G157=0,"",ROUND($H157/$G157,4)))</f>
        <v/>
      </c>
      <c r="J157" s="26">
        <f>IF($A157="","",ROUND(SUMIFS(入库单!$U$4:$U$2503,入库单!$E$4:$E$2503,$A157,入库单!$Z$4:$Z$2503,"正常"),0))</f>
        <v/>
      </c>
      <c r="K157" s="26">
        <f>IF($A157="","",ROUND($H157-$J157,0))</f>
        <v/>
      </c>
      <c r="L157" s="26">
        <f>IF($A157="","",ROUND(SUMIFS(入库单!$V$4:$V$2503,入库单!$E$4:$E$2503,$A157,入库单!$Z$4:$Z$2503,"正常"),0))</f>
        <v/>
      </c>
      <c r="M157" s="24">
        <f>IF($A157="","",IF($E157=0,"※这个批次号在入库单里找不到",IF(AND($H157&gt;0,$F157&gt;0),"△有 "&amp;$F157&amp;" 行没单价，运费整批挂账没摊 —— 补完价自动摊",IF($H157=0,"△还没录运费（27 个柜里只有 2 个录了，其余的要补）",IF(ABS($K157)&gt;1,"※摊完还差 "&amp;TEXT($K157,"#,##0")&amp;" 先令，查一下","已摊平")))))</f>
        <v/>
      </c>
    </row>
    <row r="158">
      <c r="A158" s="24" t="n"/>
      <c r="B158" s="17" t="n"/>
      <c r="C158" s="30" t="n"/>
      <c r="D158" s="24">
        <f>IF($A158="","",IFERROR(LOOKUP(2,1/(入库单!$E$4:$E$2503=$A158),入库单!$D$4:$D$2503),""))</f>
        <v/>
      </c>
      <c r="E158" s="28">
        <f>IF($A158="","",COUNTIFS(入库单!$E$4:$E$2503,$A158,入库单!$Z$4:$Z$2503,"正常"))</f>
        <v/>
      </c>
      <c r="F158" s="28">
        <f>IF($A158="","",COUNTIFS(入库单!$E$4:$E$2503,$A158,入库单!$Z$4:$Z$2503,"正常",入库单!$Y$4:$Y$2503,"待补价"))</f>
        <v/>
      </c>
      <c r="G158" s="26">
        <f>IF($A158="","",ROUND(SUMIFS(入库单!$P$4:$P$2503,入库单!$E$4:$E$2503,$A158,入库单!$Z$4:$Z$2503,"正常"),0))</f>
        <v/>
      </c>
      <c r="H158" s="26">
        <f>IF($A158="","",ROUND(SUMIFS(费用台账!$I$4:$I$503,费用台账!$C$4:$C$503,$A158,费用台账!$J$4:$J$503,"是",费用台账!$K$4:$K$503,"正常"),0))</f>
        <v/>
      </c>
      <c r="I158" s="37">
        <f>IF($A158="","",IF($G158=0,"",ROUND($H158/$G158,4)))</f>
        <v/>
      </c>
      <c r="J158" s="26">
        <f>IF($A158="","",ROUND(SUMIFS(入库单!$U$4:$U$2503,入库单!$E$4:$E$2503,$A158,入库单!$Z$4:$Z$2503,"正常"),0))</f>
        <v/>
      </c>
      <c r="K158" s="26">
        <f>IF($A158="","",ROUND($H158-$J158,0))</f>
        <v/>
      </c>
      <c r="L158" s="26">
        <f>IF($A158="","",ROUND(SUMIFS(入库单!$V$4:$V$2503,入库单!$E$4:$E$2503,$A158,入库单!$Z$4:$Z$2503,"正常"),0))</f>
        <v/>
      </c>
      <c r="M158" s="24">
        <f>IF($A158="","",IF($E158=0,"※这个批次号在入库单里找不到",IF(AND($H158&gt;0,$F158&gt;0),"△有 "&amp;$F158&amp;" 行没单价，运费整批挂账没摊 —— 补完价自动摊",IF($H158=0,"△还没录运费（27 个柜里只有 2 个录了，其余的要补）",IF(ABS($K158)&gt;1,"※摊完还差 "&amp;TEXT($K158,"#,##0")&amp;" 先令，查一下","已摊平")))))</f>
        <v/>
      </c>
    </row>
    <row r="159">
      <c r="A159" s="24" t="n"/>
      <c r="B159" s="17" t="n"/>
      <c r="C159" s="30" t="n"/>
      <c r="D159" s="24">
        <f>IF($A159="","",IFERROR(LOOKUP(2,1/(入库单!$E$4:$E$2503=$A159),入库单!$D$4:$D$2503),""))</f>
        <v/>
      </c>
      <c r="E159" s="28">
        <f>IF($A159="","",COUNTIFS(入库单!$E$4:$E$2503,$A159,入库单!$Z$4:$Z$2503,"正常"))</f>
        <v/>
      </c>
      <c r="F159" s="28">
        <f>IF($A159="","",COUNTIFS(入库单!$E$4:$E$2503,$A159,入库单!$Z$4:$Z$2503,"正常",入库单!$Y$4:$Y$2503,"待补价"))</f>
        <v/>
      </c>
      <c r="G159" s="26">
        <f>IF($A159="","",ROUND(SUMIFS(入库单!$P$4:$P$2503,入库单!$E$4:$E$2503,$A159,入库单!$Z$4:$Z$2503,"正常"),0))</f>
        <v/>
      </c>
      <c r="H159" s="26">
        <f>IF($A159="","",ROUND(SUMIFS(费用台账!$I$4:$I$503,费用台账!$C$4:$C$503,$A159,费用台账!$J$4:$J$503,"是",费用台账!$K$4:$K$503,"正常"),0))</f>
        <v/>
      </c>
      <c r="I159" s="37">
        <f>IF($A159="","",IF($G159=0,"",ROUND($H159/$G159,4)))</f>
        <v/>
      </c>
      <c r="J159" s="26">
        <f>IF($A159="","",ROUND(SUMIFS(入库单!$U$4:$U$2503,入库单!$E$4:$E$2503,$A159,入库单!$Z$4:$Z$2503,"正常"),0))</f>
        <v/>
      </c>
      <c r="K159" s="26">
        <f>IF($A159="","",ROUND($H159-$J159,0))</f>
        <v/>
      </c>
      <c r="L159" s="26">
        <f>IF($A159="","",ROUND(SUMIFS(入库单!$V$4:$V$2503,入库单!$E$4:$E$2503,$A159,入库单!$Z$4:$Z$2503,"正常"),0))</f>
        <v/>
      </c>
      <c r="M159" s="24">
        <f>IF($A159="","",IF($E159=0,"※这个批次号在入库单里找不到",IF(AND($H159&gt;0,$F159&gt;0),"△有 "&amp;$F159&amp;" 行没单价，运费整批挂账没摊 —— 补完价自动摊",IF($H159=0,"△还没录运费（27 个柜里只有 2 个录了，其余的要补）",IF(ABS($K159)&gt;1,"※摊完还差 "&amp;TEXT($K159,"#,##0")&amp;" 先令，查一下","已摊平")))))</f>
        <v/>
      </c>
    </row>
    <row r="160">
      <c r="A160" s="24" t="n"/>
      <c r="B160" s="17" t="n"/>
      <c r="C160" s="30" t="n"/>
      <c r="D160" s="24">
        <f>IF($A160="","",IFERROR(LOOKUP(2,1/(入库单!$E$4:$E$2503=$A160),入库单!$D$4:$D$2503),""))</f>
        <v/>
      </c>
      <c r="E160" s="28">
        <f>IF($A160="","",COUNTIFS(入库单!$E$4:$E$2503,$A160,入库单!$Z$4:$Z$2503,"正常"))</f>
        <v/>
      </c>
      <c r="F160" s="28">
        <f>IF($A160="","",COUNTIFS(入库单!$E$4:$E$2503,$A160,入库单!$Z$4:$Z$2503,"正常",入库单!$Y$4:$Y$2503,"待补价"))</f>
        <v/>
      </c>
      <c r="G160" s="26">
        <f>IF($A160="","",ROUND(SUMIFS(入库单!$P$4:$P$2503,入库单!$E$4:$E$2503,$A160,入库单!$Z$4:$Z$2503,"正常"),0))</f>
        <v/>
      </c>
      <c r="H160" s="26">
        <f>IF($A160="","",ROUND(SUMIFS(费用台账!$I$4:$I$503,费用台账!$C$4:$C$503,$A160,费用台账!$J$4:$J$503,"是",费用台账!$K$4:$K$503,"正常"),0))</f>
        <v/>
      </c>
      <c r="I160" s="37">
        <f>IF($A160="","",IF($G160=0,"",ROUND($H160/$G160,4)))</f>
        <v/>
      </c>
      <c r="J160" s="26">
        <f>IF($A160="","",ROUND(SUMIFS(入库单!$U$4:$U$2503,入库单!$E$4:$E$2503,$A160,入库单!$Z$4:$Z$2503,"正常"),0))</f>
        <v/>
      </c>
      <c r="K160" s="26">
        <f>IF($A160="","",ROUND($H160-$J160,0))</f>
        <v/>
      </c>
      <c r="L160" s="26">
        <f>IF($A160="","",ROUND(SUMIFS(入库单!$V$4:$V$2503,入库单!$E$4:$E$2503,$A160,入库单!$Z$4:$Z$2503,"正常"),0))</f>
        <v/>
      </c>
      <c r="M160" s="24">
        <f>IF($A160="","",IF($E160=0,"※这个批次号在入库单里找不到",IF(AND($H160&gt;0,$F160&gt;0),"△有 "&amp;$F160&amp;" 行没单价，运费整批挂账没摊 —— 补完价自动摊",IF($H160=0,"△还没录运费（27 个柜里只有 2 个录了，其余的要补）",IF(ABS($K160)&gt;1,"※摊完还差 "&amp;TEXT($K160,"#,##0")&amp;" 先令，查一下","已摊平")))))</f>
        <v/>
      </c>
    </row>
    <row r="161">
      <c r="A161" s="24" t="n"/>
      <c r="B161" s="17" t="n"/>
      <c r="C161" s="30" t="n"/>
      <c r="D161" s="24">
        <f>IF($A161="","",IFERROR(LOOKUP(2,1/(入库单!$E$4:$E$2503=$A161),入库单!$D$4:$D$2503),""))</f>
        <v/>
      </c>
      <c r="E161" s="28">
        <f>IF($A161="","",COUNTIFS(入库单!$E$4:$E$2503,$A161,入库单!$Z$4:$Z$2503,"正常"))</f>
        <v/>
      </c>
      <c r="F161" s="28">
        <f>IF($A161="","",COUNTIFS(入库单!$E$4:$E$2503,$A161,入库单!$Z$4:$Z$2503,"正常",入库单!$Y$4:$Y$2503,"待补价"))</f>
        <v/>
      </c>
      <c r="G161" s="26">
        <f>IF($A161="","",ROUND(SUMIFS(入库单!$P$4:$P$2503,入库单!$E$4:$E$2503,$A161,入库单!$Z$4:$Z$2503,"正常"),0))</f>
        <v/>
      </c>
      <c r="H161" s="26">
        <f>IF($A161="","",ROUND(SUMIFS(费用台账!$I$4:$I$503,费用台账!$C$4:$C$503,$A161,费用台账!$J$4:$J$503,"是",费用台账!$K$4:$K$503,"正常"),0))</f>
        <v/>
      </c>
      <c r="I161" s="37">
        <f>IF($A161="","",IF($G161=0,"",ROUND($H161/$G161,4)))</f>
        <v/>
      </c>
      <c r="J161" s="26">
        <f>IF($A161="","",ROUND(SUMIFS(入库单!$U$4:$U$2503,入库单!$E$4:$E$2503,$A161,入库单!$Z$4:$Z$2503,"正常"),0))</f>
        <v/>
      </c>
      <c r="K161" s="26">
        <f>IF($A161="","",ROUND($H161-$J161,0))</f>
        <v/>
      </c>
      <c r="L161" s="26">
        <f>IF($A161="","",ROUND(SUMIFS(入库单!$V$4:$V$2503,入库单!$E$4:$E$2503,$A161,入库单!$Z$4:$Z$2503,"正常"),0))</f>
        <v/>
      </c>
      <c r="M161" s="24">
        <f>IF($A161="","",IF($E161=0,"※这个批次号在入库单里找不到",IF(AND($H161&gt;0,$F161&gt;0),"△有 "&amp;$F161&amp;" 行没单价，运费整批挂账没摊 —— 补完价自动摊",IF($H161=0,"△还没录运费（27 个柜里只有 2 个录了，其余的要补）",IF(ABS($K161)&gt;1,"※摊完还差 "&amp;TEXT($K161,"#,##0")&amp;" 先令，查一下","已摊平")))))</f>
        <v/>
      </c>
    </row>
    <row r="162">
      <c r="A162" s="24" t="n"/>
      <c r="B162" s="17" t="n"/>
      <c r="C162" s="30" t="n"/>
      <c r="D162" s="24">
        <f>IF($A162="","",IFERROR(LOOKUP(2,1/(入库单!$E$4:$E$2503=$A162),入库单!$D$4:$D$2503),""))</f>
        <v/>
      </c>
      <c r="E162" s="28">
        <f>IF($A162="","",COUNTIFS(入库单!$E$4:$E$2503,$A162,入库单!$Z$4:$Z$2503,"正常"))</f>
        <v/>
      </c>
      <c r="F162" s="28">
        <f>IF($A162="","",COUNTIFS(入库单!$E$4:$E$2503,$A162,入库单!$Z$4:$Z$2503,"正常",入库单!$Y$4:$Y$2503,"待补价"))</f>
        <v/>
      </c>
      <c r="G162" s="26">
        <f>IF($A162="","",ROUND(SUMIFS(入库单!$P$4:$P$2503,入库单!$E$4:$E$2503,$A162,入库单!$Z$4:$Z$2503,"正常"),0))</f>
        <v/>
      </c>
      <c r="H162" s="26">
        <f>IF($A162="","",ROUND(SUMIFS(费用台账!$I$4:$I$503,费用台账!$C$4:$C$503,$A162,费用台账!$J$4:$J$503,"是",费用台账!$K$4:$K$503,"正常"),0))</f>
        <v/>
      </c>
      <c r="I162" s="37">
        <f>IF($A162="","",IF($G162=0,"",ROUND($H162/$G162,4)))</f>
        <v/>
      </c>
      <c r="J162" s="26">
        <f>IF($A162="","",ROUND(SUMIFS(入库单!$U$4:$U$2503,入库单!$E$4:$E$2503,$A162,入库单!$Z$4:$Z$2503,"正常"),0))</f>
        <v/>
      </c>
      <c r="K162" s="26">
        <f>IF($A162="","",ROUND($H162-$J162,0))</f>
        <v/>
      </c>
      <c r="L162" s="26">
        <f>IF($A162="","",ROUND(SUMIFS(入库单!$V$4:$V$2503,入库单!$E$4:$E$2503,$A162,入库单!$Z$4:$Z$2503,"正常"),0))</f>
        <v/>
      </c>
      <c r="M162" s="24">
        <f>IF($A162="","",IF($E162=0,"※这个批次号在入库单里找不到",IF(AND($H162&gt;0,$F162&gt;0),"△有 "&amp;$F162&amp;" 行没单价，运费整批挂账没摊 —— 补完价自动摊",IF($H162=0,"△还没录运费（27 个柜里只有 2 个录了，其余的要补）",IF(ABS($K162)&gt;1,"※摊完还差 "&amp;TEXT($K162,"#,##0")&amp;" 先令，查一下","已摊平")))))</f>
        <v/>
      </c>
    </row>
    <row r="163">
      <c r="A163" s="24" t="n"/>
      <c r="B163" s="17" t="n"/>
      <c r="C163" s="30" t="n"/>
      <c r="D163" s="24">
        <f>IF($A163="","",IFERROR(LOOKUP(2,1/(入库单!$E$4:$E$2503=$A163),入库单!$D$4:$D$2503),""))</f>
        <v/>
      </c>
      <c r="E163" s="28">
        <f>IF($A163="","",COUNTIFS(入库单!$E$4:$E$2503,$A163,入库单!$Z$4:$Z$2503,"正常"))</f>
        <v/>
      </c>
      <c r="F163" s="28">
        <f>IF($A163="","",COUNTIFS(入库单!$E$4:$E$2503,$A163,入库单!$Z$4:$Z$2503,"正常",入库单!$Y$4:$Y$2503,"待补价"))</f>
        <v/>
      </c>
      <c r="G163" s="26">
        <f>IF($A163="","",ROUND(SUMIFS(入库单!$P$4:$P$2503,入库单!$E$4:$E$2503,$A163,入库单!$Z$4:$Z$2503,"正常"),0))</f>
        <v/>
      </c>
      <c r="H163" s="26">
        <f>IF($A163="","",ROUND(SUMIFS(费用台账!$I$4:$I$503,费用台账!$C$4:$C$503,$A163,费用台账!$J$4:$J$503,"是",费用台账!$K$4:$K$503,"正常"),0))</f>
        <v/>
      </c>
      <c r="I163" s="37">
        <f>IF($A163="","",IF($G163=0,"",ROUND($H163/$G163,4)))</f>
        <v/>
      </c>
      <c r="J163" s="26">
        <f>IF($A163="","",ROUND(SUMIFS(入库单!$U$4:$U$2503,入库单!$E$4:$E$2503,$A163,入库单!$Z$4:$Z$2503,"正常"),0))</f>
        <v/>
      </c>
      <c r="K163" s="26">
        <f>IF($A163="","",ROUND($H163-$J163,0))</f>
        <v/>
      </c>
      <c r="L163" s="26">
        <f>IF($A163="","",ROUND(SUMIFS(入库单!$V$4:$V$2503,入库单!$E$4:$E$2503,$A163,入库单!$Z$4:$Z$2503,"正常"),0))</f>
        <v/>
      </c>
      <c r="M163" s="24">
        <f>IF($A163="","",IF($E163=0,"※这个批次号在入库单里找不到",IF(AND($H163&gt;0,$F163&gt;0),"△有 "&amp;$F163&amp;" 行没单价，运费整批挂账没摊 —— 补完价自动摊",IF($H163=0,"△还没录运费（27 个柜里只有 2 个录了，其余的要补）",IF(ABS($K163)&gt;1,"※摊完还差 "&amp;TEXT($K163,"#,##0")&amp;" 先令，查一下","已摊平")))))</f>
        <v/>
      </c>
    </row>
    <row r="164">
      <c r="A164" s="24" t="n"/>
      <c r="B164" s="17" t="n"/>
      <c r="C164" s="30" t="n"/>
      <c r="D164" s="24">
        <f>IF($A164="","",IFERROR(LOOKUP(2,1/(入库单!$E$4:$E$2503=$A164),入库单!$D$4:$D$2503),""))</f>
        <v/>
      </c>
      <c r="E164" s="28">
        <f>IF($A164="","",COUNTIFS(入库单!$E$4:$E$2503,$A164,入库单!$Z$4:$Z$2503,"正常"))</f>
        <v/>
      </c>
      <c r="F164" s="28">
        <f>IF($A164="","",COUNTIFS(入库单!$E$4:$E$2503,$A164,入库单!$Z$4:$Z$2503,"正常",入库单!$Y$4:$Y$2503,"待补价"))</f>
        <v/>
      </c>
      <c r="G164" s="26">
        <f>IF($A164="","",ROUND(SUMIFS(入库单!$P$4:$P$2503,入库单!$E$4:$E$2503,$A164,入库单!$Z$4:$Z$2503,"正常"),0))</f>
        <v/>
      </c>
      <c r="H164" s="26">
        <f>IF($A164="","",ROUND(SUMIFS(费用台账!$I$4:$I$503,费用台账!$C$4:$C$503,$A164,费用台账!$J$4:$J$503,"是",费用台账!$K$4:$K$503,"正常"),0))</f>
        <v/>
      </c>
      <c r="I164" s="37">
        <f>IF($A164="","",IF($G164=0,"",ROUND($H164/$G164,4)))</f>
        <v/>
      </c>
      <c r="J164" s="26">
        <f>IF($A164="","",ROUND(SUMIFS(入库单!$U$4:$U$2503,入库单!$E$4:$E$2503,$A164,入库单!$Z$4:$Z$2503,"正常"),0))</f>
        <v/>
      </c>
      <c r="K164" s="26">
        <f>IF($A164="","",ROUND($H164-$J164,0))</f>
        <v/>
      </c>
      <c r="L164" s="26">
        <f>IF($A164="","",ROUND(SUMIFS(入库单!$V$4:$V$2503,入库单!$E$4:$E$2503,$A164,入库单!$Z$4:$Z$2503,"正常"),0))</f>
        <v/>
      </c>
      <c r="M164" s="24">
        <f>IF($A164="","",IF($E164=0,"※这个批次号在入库单里找不到",IF(AND($H164&gt;0,$F164&gt;0),"△有 "&amp;$F164&amp;" 行没单价，运费整批挂账没摊 —— 补完价自动摊",IF($H164=0,"△还没录运费（27 个柜里只有 2 个录了，其余的要补）",IF(ABS($K164)&gt;1,"※摊完还差 "&amp;TEXT($K164,"#,##0")&amp;" 先令，查一下","已摊平")))))</f>
        <v/>
      </c>
    </row>
    <row r="165">
      <c r="A165" s="24" t="n"/>
      <c r="B165" s="17" t="n"/>
      <c r="C165" s="30" t="n"/>
      <c r="D165" s="24">
        <f>IF($A165="","",IFERROR(LOOKUP(2,1/(入库单!$E$4:$E$2503=$A165),入库单!$D$4:$D$2503),""))</f>
        <v/>
      </c>
      <c r="E165" s="28">
        <f>IF($A165="","",COUNTIFS(入库单!$E$4:$E$2503,$A165,入库单!$Z$4:$Z$2503,"正常"))</f>
        <v/>
      </c>
      <c r="F165" s="28">
        <f>IF($A165="","",COUNTIFS(入库单!$E$4:$E$2503,$A165,入库单!$Z$4:$Z$2503,"正常",入库单!$Y$4:$Y$2503,"待补价"))</f>
        <v/>
      </c>
      <c r="G165" s="26">
        <f>IF($A165="","",ROUND(SUMIFS(入库单!$P$4:$P$2503,入库单!$E$4:$E$2503,$A165,入库单!$Z$4:$Z$2503,"正常"),0))</f>
        <v/>
      </c>
      <c r="H165" s="26">
        <f>IF($A165="","",ROUND(SUMIFS(费用台账!$I$4:$I$503,费用台账!$C$4:$C$503,$A165,费用台账!$J$4:$J$503,"是",费用台账!$K$4:$K$503,"正常"),0))</f>
        <v/>
      </c>
      <c r="I165" s="37">
        <f>IF($A165="","",IF($G165=0,"",ROUND($H165/$G165,4)))</f>
        <v/>
      </c>
      <c r="J165" s="26">
        <f>IF($A165="","",ROUND(SUMIFS(入库单!$U$4:$U$2503,入库单!$E$4:$E$2503,$A165,入库单!$Z$4:$Z$2503,"正常"),0))</f>
        <v/>
      </c>
      <c r="K165" s="26">
        <f>IF($A165="","",ROUND($H165-$J165,0))</f>
        <v/>
      </c>
      <c r="L165" s="26">
        <f>IF($A165="","",ROUND(SUMIFS(入库单!$V$4:$V$2503,入库单!$E$4:$E$2503,$A165,入库单!$Z$4:$Z$2503,"正常"),0))</f>
        <v/>
      </c>
      <c r="M165" s="24">
        <f>IF($A165="","",IF($E165=0,"※这个批次号在入库单里找不到",IF(AND($H165&gt;0,$F165&gt;0),"△有 "&amp;$F165&amp;" 行没单价，运费整批挂账没摊 —— 补完价自动摊",IF($H165=0,"△还没录运费（27 个柜里只有 2 个录了，其余的要补）",IF(ABS($K165)&gt;1,"※摊完还差 "&amp;TEXT($K165,"#,##0")&amp;" 先令，查一下","已摊平")))))</f>
        <v/>
      </c>
    </row>
    <row r="166">
      <c r="A166" s="24" t="n"/>
      <c r="B166" s="17" t="n"/>
      <c r="C166" s="30" t="n"/>
      <c r="D166" s="24">
        <f>IF($A166="","",IFERROR(LOOKUP(2,1/(入库单!$E$4:$E$2503=$A166),入库单!$D$4:$D$2503),""))</f>
        <v/>
      </c>
      <c r="E166" s="28">
        <f>IF($A166="","",COUNTIFS(入库单!$E$4:$E$2503,$A166,入库单!$Z$4:$Z$2503,"正常"))</f>
        <v/>
      </c>
      <c r="F166" s="28">
        <f>IF($A166="","",COUNTIFS(入库单!$E$4:$E$2503,$A166,入库单!$Z$4:$Z$2503,"正常",入库单!$Y$4:$Y$2503,"待补价"))</f>
        <v/>
      </c>
      <c r="G166" s="26">
        <f>IF($A166="","",ROUND(SUMIFS(入库单!$P$4:$P$2503,入库单!$E$4:$E$2503,$A166,入库单!$Z$4:$Z$2503,"正常"),0))</f>
        <v/>
      </c>
      <c r="H166" s="26">
        <f>IF($A166="","",ROUND(SUMIFS(费用台账!$I$4:$I$503,费用台账!$C$4:$C$503,$A166,费用台账!$J$4:$J$503,"是",费用台账!$K$4:$K$503,"正常"),0))</f>
        <v/>
      </c>
      <c r="I166" s="37">
        <f>IF($A166="","",IF($G166=0,"",ROUND($H166/$G166,4)))</f>
        <v/>
      </c>
      <c r="J166" s="26">
        <f>IF($A166="","",ROUND(SUMIFS(入库单!$U$4:$U$2503,入库单!$E$4:$E$2503,$A166,入库单!$Z$4:$Z$2503,"正常"),0))</f>
        <v/>
      </c>
      <c r="K166" s="26">
        <f>IF($A166="","",ROUND($H166-$J166,0))</f>
        <v/>
      </c>
      <c r="L166" s="26">
        <f>IF($A166="","",ROUND(SUMIFS(入库单!$V$4:$V$2503,入库单!$E$4:$E$2503,$A166,入库单!$Z$4:$Z$2503,"正常"),0))</f>
        <v/>
      </c>
      <c r="M166" s="24">
        <f>IF($A166="","",IF($E166=0,"※这个批次号在入库单里找不到",IF(AND($H166&gt;0,$F166&gt;0),"△有 "&amp;$F166&amp;" 行没单价，运费整批挂账没摊 —— 补完价自动摊",IF($H166=0,"△还没录运费（27 个柜里只有 2 个录了，其余的要补）",IF(ABS($K166)&gt;1,"※摊完还差 "&amp;TEXT($K166,"#,##0")&amp;" 先令，查一下","已摊平")))))</f>
        <v/>
      </c>
    </row>
    <row r="167">
      <c r="A167" s="24" t="n"/>
      <c r="B167" s="17" t="n"/>
      <c r="C167" s="30" t="n"/>
      <c r="D167" s="24">
        <f>IF($A167="","",IFERROR(LOOKUP(2,1/(入库单!$E$4:$E$2503=$A167),入库单!$D$4:$D$2503),""))</f>
        <v/>
      </c>
      <c r="E167" s="28">
        <f>IF($A167="","",COUNTIFS(入库单!$E$4:$E$2503,$A167,入库单!$Z$4:$Z$2503,"正常"))</f>
        <v/>
      </c>
      <c r="F167" s="28">
        <f>IF($A167="","",COUNTIFS(入库单!$E$4:$E$2503,$A167,入库单!$Z$4:$Z$2503,"正常",入库单!$Y$4:$Y$2503,"待补价"))</f>
        <v/>
      </c>
      <c r="G167" s="26">
        <f>IF($A167="","",ROUND(SUMIFS(入库单!$P$4:$P$2503,入库单!$E$4:$E$2503,$A167,入库单!$Z$4:$Z$2503,"正常"),0))</f>
        <v/>
      </c>
      <c r="H167" s="26">
        <f>IF($A167="","",ROUND(SUMIFS(费用台账!$I$4:$I$503,费用台账!$C$4:$C$503,$A167,费用台账!$J$4:$J$503,"是",费用台账!$K$4:$K$503,"正常"),0))</f>
        <v/>
      </c>
      <c r="I167" s="37">
        <f>IF($A167="","",IF($G167=0,"",ROUND($H167/$G167,4)))</f>
        <v/>
      </c>
      <c r="J167" s="26">
        <f>IF($A167="","",ROUND(SUMIFS(入库单!$U$4:$U$2503,入库单!$E$4:$E$2503,$A167,入库单!$Z$4:$Z$2503,"正常"),0))</f>
        <v/>
      </c>
      <c r="K167" s="26">
        <f>IF($A167="","",ROUND($H167-$J167,0))</f>
        <v/>
      </c>
      <c r="L167" s="26">
        <f>IF($A167="","",ROUND(SUMIFS(入库单!$V$4:$V$2503,入库单!$E$4:$E$2503,$A167,入库单!$Z$4:$Z$2503,"正常"),0))</f>
        <v/>
      </c>
      <c r="M167" s="24">
        <f>IF($A167="","",IF($E167=0,"※这个批次号在入库单里找不到",IF(AND($H167&gt;0,$F167&gt;0),"△有 "&amp;$F167&amp;" 行没单价，运费整批挂账没摊 —— 补完价自动摊",IF($H167=0,"△还没录运费（27 个柜里只有 2 个录了，其余的要补）",IF(ABS($K167)&gt;1,"※摊完还差 "&amp;TEXT($K167,"#,##0")&amp;" 先令，查一下","已摊平")))))</f>
        <v/>
      </c>
    </row>
    <row r="168">
      <c r="A168" s="24" t="n"/>
      <c r="B168" s="17" t="n"/>
      <c r="C168" s="30" t="n"/>
      <c r="D168" s="24">
        <f>IF($A168="","",IFERROR(LOOKUP(2,1/(入库单!$E$4:$E$2503=$A168),入库单!$D$4:$D$2503),""))</f>
        <v/>
      </c>
      <c r="E168" s="28">
        <f>IF($A168="","",COUNTIFS(入库单!$E$4:$E$2503,$A168,入库单!$Z$4:$Z$2503,"正常"))</f>
        <v/>
      </c>
      <c r="F168" s="28">
        <f>IF($A168="","",COUNTIFS(入库单!$E$4:$E$2503,$A168,入库单!$Z$4:$Z$2503,"正常",入库单!$Y$4:$Y$2503,"待补价"))</f>
        <v/>
      </c>
      <c r="G168" s="26">
        <f>IF($A168="","",ROUND(SUMIFS(入库单!$P$4:$P$2503,入库单!$E$4:$E$2503,$A168,入库单!$Z$4:$Z$2503,"正常"),0))</f>
        <v/>
      </c>
      <c r="H168" s="26">
        <f>IF($A168="","",ROUND(SUMIFS(费用台账!$I$4:$I$503,费用台账!$C$4:$C$503,$A168,费用台账!$J$4:$J$503,"是",费用台账!$K$4:$K$503,"正常"),0))</f>
        <v/>
      </c>
      <c r="I168" s="37">
        <f>IF($A168="","",IF($G168=0,"",ROUND($H168/$G168,4)))</f>
        <v/>
      </c>
      <c r="J168" s="26">
        <f>IF($A168="","",ROUND(SUMIFS(入库单!$U$4:$U$2503,入库单!$E$4:$E$2503,$A168,入库单!$Z$4:$Z$2503,"正常"),0))</f>
        <v/>
      </c>
      <c r="K168" s="26">
        <f>IF($A168="","",ROUND($H168-$J168,0))</f>
        <v/>
      </c>
      <c r="L168" s="26">
        <f>IF($A168="","",ROUND(SUMIFS(入库单!$V$4:$V$2503,入库单!$E$4:$E$2503,$A168,入库单!$Z$4:$Z$2503,"正常"),0))</f>
        <v/>
      </c>
      <c r="M168" s="24">
        <f>IF($A168="","",IF($E168=0,"※这个批次号在入库单里找不到",IF(AND($H168&gt;0,$F168&gt;0),"△有 "&amp;$F168&amp;" 行没单价，运费整批挂账没摊 —— 补完价自动摊",IF($H168=0,"△还没录运费（27 个柜里只有 2 个录了，其余的要补）",IF(ABS($K168)&gt;1,"※摊完还差 "&amp;TEXT($K168,"#,##0")&amp;" 先令，查一下","已摊平")))))</f>
        <v/>
      </c>
    </row>
    <row r="169">
      <c r="A169" s="24" t="n"/>
      <c r="B169" s="17" t="n"/>
      <c r="C169" s="30" t="n"/>
      <c r="D169" s="24">
        <f>IF($A169="","",IFERROR(LOOKUP(2,1/(入库单!$E$4:$E$2503=$A169),入库单!$D$4:$D$2503),""))</f>
        <v/>
      </c>
      <c r="E169" s="28">
        <f>IF($A169="","",COUNTIFS(入库单!$E$4:$E$2503,$A169,入库单!$Z$4:$Z$2503,"正常"))</f>
        <v/>
      </c>
      <c r="F169" s="28">
        <f>IF($A169="","",COUNTIFS(入库单!$E$4:$E$2503,$A169,入库单!$Z$4:$Z$2503,"正常",入库单!$Y$4:$Y$2503,"待补价"))</f>
        <v/>
      </c>
      <c r="G169" s="26">
        <f>IF($A169="","",ROUND(SUMIFS(入库单!$P$4:$P$2503,入库单!$E$4:$E$2503,$A169,入库单!$Z$4:$Z$2503,"正常"),0))</f>
        <v/>
      </c>
      <c r="H169" s="26">
        <f>IF($A169="","",ROUND(SUMIFS(费用台账!$I$4:$I$503,费用台账!$C$4:$C$503,$A169,费用台账!$J$4:$J$503,"是",费用台账!$K$4:$K$503,"正常"),0))</f>
        <v/>
      </c>
      <c r="I169" s="37">
        <f>IF($A169="","",IF($G169=0,"",ROUND($H169/$G169,4)))</f>
        <v/>
      </c>
      <c r="J169" s="26">
        <f>IF($A169="","",ROUND(SUMIFS(入库单!$U$4:$U$2503,入库单!$E$4:$E$2503,$A169,入库单!$Z$4:$Z$2503,"正常"),0))</f>
        <v/>
      </c>
      <c r="K169" s="26">
        <f>IF($A169="","",ROUND($H169-$J169,0))</f>
        <v/>
      </c>
      <c r="L169" s="26">
        <f>IF($A169="","",ROUND(SUMIFS(入库单!$V$4:$V$2503,入库单!$E$4:$E$2503,$A169,入库单!$Z$4:$Z$2503,"正常"),0))</f>
        <v/>
      </c>
      <c r="M169" s="24">
        <f>IF($A169="","",IF($E169=0,"※这个批次号在入库单里找不到",IF(AND($H169&gt;0,$F169&gt;0),"△有 "&amp;$F169&amp;" 行没单价，运费整批挂账没摊 —— 补完价自动摊",IF($H169=0,"△还没录运费（27 个柜里只有 2 个录了，其余的要补）",IF(ABS($K169)&gt;1,"※摊完还差 "&amp;TEXT($K169,"#,##0")&amp;" 先令，查一下","已摊平")))))</f>
        <v/>
      </c>
    </row>
    <row r="170">
      <c r="A170" s="24" t="n"/>
      <c r="B170" s="17" t="n"/>
      <c r="C170" s="30" t="n"/>
      <c r="D170" s="24">
        <f>IF($A170="","",IFERROR(LOOKUP(2,1/(入库单!$E$4:$E$2503=$A170),入库单!$D$4:$D$2503),""))</f>
        <v/>
      </c>
      <c r="E170" s="28">
        <f>IF($A170="","",COUNTIFS(入库单!$E$4:$E$2503,$A170,入库单!$Z$4:$Z$2503,"正常"))</f>
        <v/>
      </c>
      <c r="F170" s="28">
        <f>IF($A170="","",COUNTIFS(入库单!$E$4:$E$2503,$A170,入库单!$Z$4:$Z$2503,"正常",入库单!$Y$4:$Y$2503,"待补价"))</f>
        <v/>
      </c>
      <c r="G170" s="26">
        <f>IF($A170="","",ROUND(SUMIFS(入库单!$P$4:$P$2503,入库单!$E$4:$E$2503,$A170,入库单!$Z$4:$Z$2503,"正常"),0))</f>
        <v/>
      </c>
      <c r="H170" s="26">
        <f>IF($A170="","",ROUND(SUMIFS(费用台账!$I$4:$I$503,费用台账!$C$4:$C$503,$A170,费用台账!$J$4:$J$503,"是",费用台账!$K$4:$K$503,"正常"),0))</f>
        <v/>
      </c>
      <c r="I170" s="37">
        <f>IF($A170="","",IF($G170=0,"",ROUND($H170/$G170,4)))</f>
        <v/>
      </c>
      <c r="J170" s="26">
        <f>IF($A170="","",ROUND(SUMIFS(入库单!$U$4:$U$2503,入库单!$E$4:$E$2503,$A170,入库单!$Z$4:$Z$2503,"正常"),0))</f>
        <v/>
      </c>
      <c r="K170" s="26">
        <f>IF($A170="","",ROUND($H170-$J170,0))</f>
        <v/>
      </c>
      <c r="L170" s="26">
        <f>IF($A170="","",ROUND(SUMIFS(入库单!$V$4:$V$2503,入库单!$E$4:$E$2503,$A170,入库单!$Z$4:$Z$2503,"正常"),0))</f>
        <v/>
      </c>
      <c r="M170" s="24">
        <f>IF($A170="","",IF($E170=0,"※这个批次号在入库单里找不到",IF(AND($H170&gt;0,$F170&gt;0),"△有 "&amp;$F170&amp;" 行没单价，运费整批挂账没摊 —— 补完价自动摊",IF($H170=0,"△还没录运费（27 个柜里只有 2 个录了，其余的要补）",IF(ABS($K170)&gt;1,"※摊完还差 "&amp;TEXT($K170,"#,##0")&amp;" 先令，查一下","已摊平")))))</f>
        <v/>
      </c>
    </row>
    <row r="171">
      <c r="A171" s="24" t="n"/>
      <c r="B171" s="17" t="n"/>
      <c r="C171" s="30" t="n"/>
      <c r="D171" s="24">
        <f>IF($A171="","",IFERROR(LOOKUP(2,1/(入库单!$E$4:$E$2503=$A171),入库单!$D$4:$D$2503),""))</f>
        <v/>
      </c>
      <c r="E171" s="28">
        <f>IF($A171="","",COUNTIFS(入库单!$E$4:$E$2503,$A171,入库单!$Z$4:$Z$2503,"正常"))</f>
        <v/>
      </c>
      <c r="F171" s="28">
        <f>IF($A171="","",COUNTIFS(入库单!$E$4:$E$2503,$A171,入库单!$Z$4:$Z$2503,"正常",入库单!$Y$4:$Y$2503,"待补价"))</f>
        <v/>
      </c>
      <c r="G171" s="26">
        <f>IF($A171="","",ROUND(SUMIFS(入库单!$P$4:$P$2503,入库单!$E$4:$E$2503,$A171,入库单!$Z$4:$Z$2503,"正常"),0))</f>
        <v/>
      </c>
      <c r="H171" s="26">
        <f>IF($A171="","",ROUND(SUMIFS(费用台账!$I$4:$I$503,费用台账!$C$4:$C$503,$A171,费用台账!$J$4:$J$503,"是",费用台账!$K$4:$K$503,"正常"),0))</f>
        <v/>
      </c>
      <c r="I171" s="37">
        <f>IF($A171="","",IF($G171=0,"",ROUND($H171/$G171,4)))</f>
        <v/>
      </c>
      <c r="J171" s="26">
        <f>IF($A171="","",ROUND(SUMIFS(入库单!$U$4:$U$2503,入库单!$E$4:$E$2503,$A171,入库单!$Z$4:$Z$2503,"正常"),0))</f>
        <v/>
      </c>
      <c r="K171" s="26">
        <f>IF($A171="","",ROUND($H171-$J171,0))</f>
        <v/>
      </c>
      <c r="L171" s="26">
        <f>IF($A171="","",ROUND(SUMIFS(入库单!$V$4:$V$2503,入库单!$E$4:$E$2503,$A171,入库单!$Z$4:$Z$2503,"正常"),0))</f>
        <v/>
      </c>
      <c r="M171" s="24">
        <f>IF($A171="","",IF($E171=0,"※这个批次号在入库单里找不到",IF(AND($H171&gt;0,$F171&gt;0),"△有 "&amp;$F171&amp;" 行没单价，运费整批挂账没摊 —— 补完价自动摊",IF($H171=0,"△还没录运费（27 个柜里只有 2 个录了，其余的要补）",IF(ABS($K171)&gt;1,"※摊完还差 "&amp;TEXT($K171,"#,##0")&amp;" 先令，查一下","已摊平")))))</f>
        <v/>
      </c>
    </row>
    <row r="172">
      <c r="A172" s="24" t="n"/>
      <c r="B172" s="17" t="n"/>
      <c r="C172" s="30" t="n"/>
      <c r="D172" s="24">
        <f>IF($A172="","",IFERROR(LOOKUP(2,1/(入库单!$E$4:$E$2503=$A172),入库单!$D$4:$D$2503),""))</f>
        <v/>
      </c>
      <c r="E172" s="28">
        <f>IF($A172="","",COUNTIFS(入库单!$E$4:$E$2503,$A172,入库单!$Z$4:$Z$2503,"正常"))</f>
        <v/>
      </c>
      <c r="F172" s="28">
        <f>IF($A172="","",COUNTIFS(入库单!$E$4:$E$2503,$A172,入库单!$Z$4:$Z$2503,"正常",入库单!$Y$4:$Y$2503,"待补价"))</f>
        <v/>
      </c>
      <c r="G172" s="26">
        <f>IF($A172="","",ROUND(SUMIFS(入库单!$P$4:$P$2503,入库单!$E$4:$E$2503,$A172,入库单!$Z$4:$Z$2503,"正常"),0))</f>
        <v/>
      </c>
      <c r="H172" s="26">
        <f>IF($A172="","",ROUND(SUMIFS(费用台账!$I$4:$I$503,费用台账!$C$4:$C$503,$A172,费用台账!$J$4:$J$503,"是",费用台账!$K$4:$K$503,"正常"),0))</f>
        <v/>
      </c>
      <c r="I172" s="37">
        <f>IF($A172="","",IF($G172=0,"",ROUND($H172/$G172,4)))</f>
        <v/>
      </c>
      <c r="J172" s="26">
        <f>IF($A172="","",ROUND(SUMIFS(入库单!$U$4:$U$2503,入库单!$E$4:$E$2503,$A172,入库单!$Z$4:$Z$2503,"正常"),0))</f>
        <v/>
      </c>
      <c r="K172" s="26">
        <f>IF($A172="","",ROUND($H172-$J172,0))</f>
        <v/>
      </c>
      <c r="L172" s="26">
        <f>IF($A172="","",ROUND(SUMIFS(入库单!$V$4:$V$2503,入库单!$E$4:$E$2503,$A172,入库单!$Z$4:$Z$2503,"正常"),0))</f>
        <v/>
      </c>
      <c r="M172" s="24">
        <f>IF($A172="","",IF($E172=0,"※这个批次号在入库单里找不到",IF(AND($H172&gt;0,$F172&gt;0),"△有 "&amp;$F172&amp;" 行没单价，运费整批挂账没摊 —— 补完价自动摊",IF($H172=0,"△还没录运费（27 个柜里只有 2 个录了，其余的要补）",IF(ABS($K172)&gt;1,"※摊完还差 "&amp;TEXT($K172,"#,##0")&amp;" 先令，查一下","已摊平")))))</f>
        <v/>
      </c>
    </row>
    <row r="173">
      <c r="A173" s="24" t="n"/>
      <c r="B173" s="17" t="n"/>
      <c r="C173" s="30" t="n"/>
      <c r="D173" s="24">
        <f>IF($A173="","",IFERROR(LOOKUP(2,1/(入库单!$E$4:$E$2503=$A173),入库单!$D$4:$D$2503),""))</f>
        <v/>
      </c>
      <c r="E173" s="28">
        <f>IF($A173="","",COUNTIFS(入库单!$E$4:$E$2503,$A173,入库单!$Z$4:$Z$2503,"正常"))</f>
        <v/>
      </c>
      <c r="F173" s="28">
        <f>IF($A173="","",COUNTIFS(入库单!$E$4:$E$2503,$A173,入库单!$Z$4:$Z$2503,"正常",入库单!$Y$4:$Y$2503,"待补价"))</f>
        <v/>
      </c>
      <c r="G173" s="26">
        <f>IF($A173="","",ROUND(SUMIFS(入库单!$P$4:$P$2503,入库单!$E$4:$E$2503,$A173,入库单!$Z$4:$Z$2503,"正常"),0))</f>
        <v/>
      </c>
      <c r="H173" s="26">
        <f>IF($A173="","",ROUND(SUMIFS(费用台账!$I$4:$I$503,费用台账!$C$4:$C$503,$A173,费用台账!$J$4:$J$503,"是",费用台账!$K$4:$K$503,"正常"),0))</f>
        <v/>
      </c>
      <c r="I173" s="37">
        <f>IF($A173="","",IF($G173=0,"",ROUND($H173/$G173,4)))</f>
        <v/>
      </c>
      <c r="J173" s="26">
        <f>IF($A173="","",ROUND(SUMIFS(入库单!$U$4:$U$2503,入库单!$E$4:$E$2503,$A173,入库单!$Z$4:$Z$2503,"正常"),0))</f>
        <v/>
      </c>
      <c r="K173" s="26">
        <f>IF($A173="","",ROUND($H173-$J173,0))</f>
        <v/>
      </c>
      <c r="L173" s="26">
        <f>IF($A173="","",ROUND(SUMIFS(入库单!$V$4:$V$2503,入库单!$E$4:$E$2503,$A173,入库单!$Z$4:$Z$2503,"正常"),0))</f>
        <v/>
      </c>
      <c r="M173" s="24">
        <f>IF($A173="","",IF($E173=0,"※这个批次号在入库单里找不到",IF(AND($H173&gt;0,$F173&gt;0),"△有 "&amp;$F173&amp;" 行没单价，运费整批挂账没摊 —— 补完价自动摊",IF($H173=0,"△还没录运费（27 个柜里只有 2 个录了，其余的要补）",IF(ABS($K173)&gt;1,"※摊完还差 "&amp;TEXT($K173,"#,##0")&amp;" 先令，查一下","已摊平")))))</f>
        <v/>
      </c>
    </row>
    <row r="174">
      <c r="A174" s="24" t="n"/>
      <c r="B174" s="17" t="n"/>
      <c r="C174" s="30" t="n"/>
      <c r="D174" s="24">
        <f>IF($A174="","",IFERROR(LOOKUP(2,1/(入库单!$E$4:$E$2503=$A174),入库单!$D$4:$D$2503),""))</f>
        <v/>
      </c>
      <c r="E174" s="28">
        <f>IF($A174="","",COUNTIFS(入库单!$E$4:$E$2503,$A174,入库单!$Z$4:$Z$2503,"正常"))</f>
        <v/>
      </c>
      <c r="F174" s="28">
        <f>IF($A174="","",COUNTIFS(入库单!$E$4:$E$2503,$A174,入库单!$Z$4:$Z$2503,"正常",入库单!$Y$4:$Y$2503,"待补价"))</f>
        <v/>
      </c>
      <c r="G174" s="26">
        <f>IF($A174="","",ROUND(SUMIFS(入库单!$P$4:$P$2503,入库单!$E$4:$E$2503,$A174,入库单!$Z$4:$Z$2503,"正常"),0))</f>
        <v/>
      </c>
      <c r="H174" s="26">
        <f>IF($A174="","",ROUND(SUMIFS(费用台账!$I$4:$I$503,费用台账!$C$4:$C$503,$A174,费用台账!$J$4:$J$503,"是",费用台账!$K$4:$K$503,"正常"),0))</f>
        <v/>
      </c>
      <c r="I174" s="37">
        <f>IF($A174="","",IF($G174=0,"",ROUND($H174/$G174,4)))</f>
        <v/>
      </c>
      <c r="J174" s="26">
        <f>IF($A174="","",ROUND(SUMIFS(入库单!$U$4:$U$2503,入库单!$E$4:$E$2503,$A174,入库单!$Z$4:$Z$2503,"正常"),0))</f>
        <v/>
      </c>
      <c r="K174" s="26">
        <f>IF($A174="","",ROUND($H174-$J174,0))</f>
        <v/>
      </c>
      <c r="L174" s="26">
        <f>IF($A174="","",ROUND(SUMIFS(入库单!$V$4:$V$2503,入库单!$E$4:$E$2503,$A174,入库单!$Z$4:$Z$2503,"正常"),0))</f>
        <v/>
      </c>
      <c r="M174" s="24">
        <f>IF($A174="","",IF($E174=0,"※这个批次号在入库单里找不到",IF(AND($H174&gt;0,$F174&gt;0),"△有 "&amp;$F174&amp;" 行没单价，运费整批挂账没摊 —— 补完价自动摊",IF($H174=0,"△还没录运费（27 个柜里只有 2 个录了，其余的要补）",IF(ABS($K174)&gt;1,"※摊完还差 "&amp;TEXT($K174,"#,##0")&amp;" 先令，查一下","已摊平")))))</f>
        <v/>
      </c>
    </row>
    <row r="175">
      <c r="A175" s="24" t="n"/>
      <c r="B175" s="17" t="n"/>
      <c r="C175" s="30" t="n"/>
      <c r="D175" s="24">
        <f>IF($A175="","",IFERROR(LOOKUP(2,1/(入库单!$E$4:$E$2503=$A175),入库单!$D$4:$D$2503),""))</f>
        <v/>
      </c>
      <c r="E175" s="28">
        <f>IF($A175="","",COUNTIFS(入库单!$E$4:$E$2503,$A175,入库单!$Z$4:$Z$2503,"正常"))</f>
        <v/>
      </c>
      <c r="F175" s="28">
        <f>IF($A175="","",COUNTIFS(入库单!$E$4:$E$2503,$A175,入库单!$Z$4:$Z$2503,"正常",入库单!$Y$4:$Y$2503,"待补价"))</f>
        <v/>
      </c>
      <c r="G175" s="26">
        <f>IF($A175="","",ROUND(SUMIFS(入库单!$P$4:$P$2503,入库单!$E$4:$E$2503,$A175,入库单!$Z$4:$Z$2503,"正常"),0))</f>
        <v/>
      </c>
      <c r="H175" s="26">
        <f>IF($A175="","",ROUND(SUMIFS(费用台账!$I$4:$I$503,费用台账!$C$4:$C$503,$A175,费用台账!$J$4:$J$503,"是",费用台账!$K$4:$K$503,"正常"),0))</f>
        <v/>
      </c>
      <c r="I175" s="37">
        <f>IF($A175="","",IF($G175=0,"",ROUND($H175/$G175,4)))</f>
        <v/>
      </c>
      <c r="J175" s="26">
        <f>IF($A175="","",ROUND(SUMIFS(入库单!$U$4:$U$2503,入库单!$E$4:$E$2503,$A175,入库单!$Z$4:$Z$2503,"正常"),0))</f>
        <v/>
      </c>
      <c r="K175" s="26">
        <f>IF($A175="","",ROUND($H175-$J175,0))</f>
        <v/>
      </c>
      <c r="L175" s="26">
        <f>IF($A175="","",ROUND(SUMIFS(入库单!$V$4:$V$2503,入库单!$E$4:$E$2503,$A175,入库单!$Z$4:$Z$2503,"正常"),0))</f>
        <v/>
      </c>
      <c r="M175" s="24">
        <f>IF($A175="","",IF($E175=0,"※这个批次号在入库单里找不到",IF(AND($H175&gt;0,$F175&gt;0),"△有 "&amp;$F175&amp;" 行没单价，运费整批挂账没摊 —— 补完价自动摊",IF($H175=0,"△还没录运费（27 个柜里只有 2 个录了，其余的要补）",IF(ABS($K175)&gt;1,"※摊完还差 "&amp;TEXT($K175,"#,##0")&amp;" 先令，查一下","已摊平")))))</f>
        <v/>
      </c>
    </row>
    <row r="176">
      <c r="A176" s="24" t="n"/>
      <c r="B176" s="17" t="n"/>
      <c r="C176" s="30" t="n"/>
      <c r="D176" s="24">
        <f>IF($A176="","",IFERROR(LOOKUP(2,1/(入库单!$E$4:$E$2503=$A176),入库单!$D$4:$D$2503),""))</f>
        <v/>
      </c>
      <c r="E176" s="28">
        <f>IF($A176="","",COUNTIFS(入库单!$E$4:$E$2503,$A176,入库单!$Z$4:$Z$2503,"正常"))</f>
        <v/>
      </c>
      <c r="F176" s="28">
        <f>IF($A176="","",COUNTIFS(入库单!$E$4:$E$2503,$A176,入库单!$Z$4:$Z$2503,"正常",入库单!$Y$4:$Y$2503,"待补价"))</f>
        <v/>
      </c>
      <c r="G176" s="26">
        <f>IF($A176="","",ROUND(SUMIFS(入库单!$P$4:$P$2503,入库单!$E$4:$E$2503,$A176,入库单!$Z$4:$Z$2503,"正常"),0))</f>
        <v/>
      </c>
      <c r="H176" s="26">
        <f>IF($A176="","",ROUND(SUMIFS(费用台账!$I$4:$I$503,费用台账!$C$4:$C$503,$A176,费用台账!$J$4:$J$503,"是",费用台账!$K$4:$K$503,"正常"),0))</f>
        <v/>
      </c>
      <c r="I176" s="37">
        <f>IF($A176="","",IF($G176=0,"",ROUND($H176/$G176,4)))</f>
        <v/>
      </c>
      <c r="J176" s="26">
        <f>IF($A176="","",ROUND(SUMIFS(入库单!$U$4:$U$2503,入库单!$E$4:$E$2503,$A176,入库单!$Z$4:$Z$2503,"正常"),0))</f>
        <v/>
      </c>
      <c r="K176" s="26">
        <f>IF($A176="","",ROUND($H176-$J176,0))</f>
        <v/>
      </c>
      <c r="L176" s="26">
        <f>IF($A176="","",ROUND(SUMIFS(入库单!$V$4:$V$2503,入库单!$E$4:$E$2503,$A176,入库单!$Z$4:$Z$2503,"正常"),0))</f>
        <v/>
      </c>
      <c r="M176" s="24">
        <f>IF($A176="","",IF($E176=0,"※这个批次号在入库单里找不到",IF(AND($H176&gt;0,$F176&gt;0),"△有 "&amp;$F176&amp;" 行没单价，运费整批挂账没摊 —— 补完价自动摊",IF($H176=0,"△还没录运费（27 个柜里只有 2 个录了，其余的要补）",IF(ABS($K176)&gt;1,"※摊完还差 "&amp;TEXT($K176,"#,##0")&amp;" 先令，查一下","已摊平")))))</f>
        <v/>
      </c>
    </row>
    <row r="177">
      <c r="A177" s="24" t="n"/>
      <c r="B177" s="17" t="n"/>
      <c r="C177" s="30" t="n"/>
      <c r="D177" s="24">
        <f>IF($A177="","",IFERROR(LOOKUP(2,1/(入库单!$E$4:$E$2503=$A177),入库单!$D$4:$D$2503),""))</f>
        <v/>
      </c>
      <c r="E177" s="28">
        <f>IF($A177="","",COUNTIFS(入库单!$E$4:$E$2503,$A177,入库单!$Z$4:$Z$2503,"正常"))</f>
        <v/>
      </c>
      <c r="F177" s="28">
        <f>IF($A177="","",COUNTIFS(入库单!$E$4:$E$2503,$A177,入库单!$Z$4:$Z$2503,"正常",入库单!$Y$4:$Y$2503,"待补价"))</f>
        <v/>
      </c>
      <c r="G177" s="26">
        <f>IF($A177="","",ROUND(SUMIFS(入库单!$P$4:$P$2503,入库单!$E$4:$E$2503,$A177,入库单!$Z$4:$Z$2503,"正常"),0))</f>
        <v/>
      </c>
      <c r="H177" s="26">
        <f>IF($A177="","",ROUND(SUMIFS(费用台账!$I$4:$I$503,费用台账!$C$4:$C$503,$A177,费用台账!$J$4:$J$503,"是",费用台账!$K$4:$K$503,"正常"),0))</f>
        <v/>
      </c>
      <c r="I177" s="37">
        <f>IF($A177="","",IF($G177=0,"",ROUND($H177/$G177,4)))</f>
        <v/>
      </c>
      <c r="J177" s="26">
        <f>IF($A177="","",ROUND(SUMIFS(入库单!$U$4:$U$2503,入库单!$E$4:$E$2503,$A177,入库单!$Z$4:$Z$2503,"正常"),0))</f>
        <v/>
      </c>
      <c r="K177" s="26">
        <f>IF($A177="","",ROUND($H177-$J177,0))</f>
        <v/>
      </c>
      <c r="L177" s="26">
        <f>IF($A177="","",ROUND(SUMIFS(入库单!$V$4:$V$2503,入库单!$E$4:$E$2503,$A177,入库单!$Z$4:$Z$2503,"正常"),0))</f>
        <v/>
      </c>
      <c r="M177" s="24">
        <f>IF($A177="","",IF($E177=0,"※这个批次号在入库单里找不到",IF(AND($H177&gt;0,$F177&gt;0),"△有 "&amp;$F177&amp;" 行没单价，运费整批挂账没摊 —— 补完价自动摊",IF($H177=0,"△还没录运费（27 个柜里只有 2 个录了，其余的要补）",IF(ABS($K177)&gt;1,"※摊完还差 "&amp;TEXT($K177,"#,##0")&amp;" 先令，查一下","已摊平")))))</f>
        <v/>
      </c>
    </row>
    <row r="178">
      <c r="A178" s="24" t="n"/>
      <c r="B178" s="17" t="n"/>
      <c r="C178" s="30" t="n"/>
      <c r="D178" s="24">
        <f>IF($A178="","",IFERROR(LOOKUP(2,1/(入库单!$E$4:$E$2503=$A178),入库单!$D$4:$D$2503),""))</f>
        <v/>
      </c>
      <c r="E178" s="28">
        <f>IF($A178="","",COUNTIFS(入库单!$E$4:$E$2503,$A178,入库单!$Z$4:$Z$2503,"正常"))</f>
        <v/>
      </c>
      <c r="F178" s="28">
        <f>IF($A178="","",COUNTIFS(入库单!$E$4:$E$2503,$A178,入库单!$Z$4:$Z$2503,"正常",入库单!$Y$4:$Y$2503,"待补价"))</f>
        <v/>
      </c>
      <c r="G178" s="26">
        <f>IF($A178="","",ROUND(SUMIFS(入库单!$P$4:$P$2503,入库单!$E$4:$E$2503,$A178,入库单!$Z$4:$Z$2503,"正常"),0))</f>
        <v/>
      </c>
      <c r="H178" s="26">
        <f>IF($A178="","",ROUND(SUMIFS(费用台账!$I$4:$I$503,费用台账!$C$4:$C$503,$A178,费用台账!$J$4:$J$503,"是",费用台账!$K$4:$K$503,"正常"),0))</f>
        <v/>
      </c>
      <c r="I178" s="37">
        <f>IF($A178="","",IF($G178=0,"",ROUND($H178/$G178,4)))</f>
        <v/>
      </c>
      <c r="J178" s="26">
        <f>IF($A178="","",ROUND(SUMIFS(入库单!$U$4:$U$2503,入库单!$E$4:$E$2503,$A178,入库单!$Z$4:$Z$2503,"正常"),0))</f>
        <v/>
      </c>
      <c r="K178" s="26">
        <f>IF($A178="","",ROUND($H178-$J178,0))</f>
        <v/>
      </c>
      <c r="L178" s="26">
        <f>IF($A178="","",ROUND(SUMIFS(入库单!$V$4:$V$2503,入库单!$E$4:$E$2503,$A178,入库单!$Z$4:$Z$2503,"正常"),0))</f>
        <v/>
      </c>
      <c r="M178" s="24">
        <f>IF($A178="","",IF($E178=0,"※这个批次号在入库单里找不到",IF(AND($H178&gt;0,$F178&gt;0),"△有 "&amp;$F178&amp;" 行没单价，运费整批挂账没摊 —— 补完价自动摊",IF($H178=0,"△还没录运费（27 个柜里只有 2 个录了，其余的要补）",IF(ABS($K178)&gt;1,"※摊完还差 "&amp;TEXT($K178,"#,##0")&amp;" 先令，查一下","已摊平")))))</f>
        <v/>
      </c>
    </row>
    <row r="179">
      <c r="A179" s="24" t="n"/>
      <c r="B179" s="17" t="n"/>
      <c r="C179" s="30" t="n"/>
      <c r="D179" s="24">
        <f>IF($A179="","",IFERROR(LOOKUP(2,1/(入库单!$E$4:$E$2503=$A179),入库单!$D$4:$D$2503),""))</f>
        <v/>
      </c>
      <c r="E179" s="28">
        <f>IF($A179="","",COUNTIFS(入库单!$E$4:$E$2503,$A179,入库单!$Z$4:$Z$2503,"正常"))</f>
        <v/>
      </c>
      <c r="F179" s="28">
        <f>IF($A179="","",COUNTIFS(入库单!$E$4:$E$2503,$A179,入库单!$Z$4:$Z$2503,"正常",入库单!$Y$4:$Y$2503,"待补价"))</f>
        <v/>
      </c>
      <c r="G179" s="26">
        <f>IF($A179="","",ROUND(SUMIFS(入库单!$P$4:$P$2503,入库单!$E$4:$E$2503,$A179,入库单!$Z$4:$Z$2503,"正常"),0))</f>
        <v/>
      </c>
      <c r="H179" s="26">
        <f>IF($A179="","",ROUND(SUMIFS(费用台账!$I$4:$I$503,费用台账!$C$4:$C$503,$A179,费用台账!$J$4:$J$503,"是",费用台账!$K$4:$K$503,"正常"),0))</f>
        <v/>
      </c>
      <c r="I179" s="37">
        <f>IF($A179="","",IF($G179=0,"",ROUND($H179/$G179,4)))</f>
        <v/>
      </c>
      <c r="J179" s="26">
        <f>IF($A179="","",ROUND(SUMIFS(入库单!$U$4:$U$2503,入库单!$E$4:$E$2503,$A179,入库单!$Z$4:$Z$2503,"正常"),0))</f>
        <v/>
      </c>
      <c r="K179" s="26">
        <f>IF($A179="","",ROUND($H179-$J179,0))</f>
        <v/>
      </c>
      <c r="L179" s="26">
        <f>IF($A179="","",ROUND(SUMIFS(入库单!$V$4:$V$2503,入库单!$E$4:$E$2503,$A179,入库单!$Z$4:$Z$2503,"正常"),0))</f>
        <v/>
      </c>
      <c r="M179" s="24">
        <f>IF($A179="","",IF($E179=0,"※这个批次号在入库单里找不到",IF(AND($H179&gt;0,$F179&gt;0),"△有 "&amp;$F179&amp;" 行没单价，运费整批挂账没摊 —— 补完价自动摊",IF($H179=0,"△还没录运费（27 个柜里只有 2 个录了，其余的要补）",IF(ABS($K179)&gt;1,"※摊完还差 "&amp;TEXT($K179,"#,##0")&amp;" 先令，查一下","已摊平")))))</f>
        <v/>
      </c>
    </row>
    <row r="180">
      <c r="A180" s="24" t="n"/>
      <c r="B180" s="17" t="n"/>
      <c r="C180" s="30" t="n"/>
      <c r="D180" s="24">
        <f>IF($A180="","",IFERROR(LOOKUP(2,1/(入库单!$E$4:$E$2503=$A180),入库单!$D$4:$D$2503),""))</f>
        <v/>
      </c>
      <c r="E180" s="28">
        <f>IF($A180="","",COUNTIFS(入库单!$E$4:$E$2503,$A180,入库单!$Z$4:$Z$2503,"正常"))</f>
        <v/>
      </c>
      <c r="F180" s="28">
        <f>IF($A180="","",COUNTIFS(入库单!$E$4:$E$2503,$A180,入库单!$Z$4:$Z$2503,"正常",入库单!$Y$4:$Y$2503,"待补价"))</f>
        <v/>
      </c>
      <c r="G180" s="26">
        <f>IF($A180="","",ROUND(SUMIFS(入库单!$P$4:$P$2503,入库单!$E$4:$E$2503,$A180,入库单!$Z$4:$Z$2503,"正常"),0))</f>
        <v/>
      </c>
      <c r="H180" s="26">
        <f>IF($A180="","",ROUND(SUMIFS(费用台账!$I$4:$I$503,费用台账!$C$4:$C$503,$A180,费用台账!$J$4:$J$503,"是",费用台账!$K$4:$K$503,"正常"),0))</f>
        <v/>
      </c>
      <c r="I180" s="37">
        <f>IF($A180="","",IF($G180=0,"",ROUND($H180/$G180,4)))</f>
        <v/>
      </c>
      <c r="J180" s="26">
        <f>IF($A180="","",ROUND(SUMIFS(入库单!$U$4:$U$2503,入库单!$E$4:$E$2503,$A180,入库单!$Z$4:$Z$2503,"正常"),0))</f>
        <v/>
      </c>
      <c r="K180" s="26">
        <f>IF($A180="","",ROUND($H180-$J180,0))</f>
        <v/>
      </c>
      <c r="L180" s="26">
        <f>IF($A180="","",ROUND(SUMIFS(入库单!$V$4:$V$2503,入库单!$E$4:$E$2503,$A180,入库单!$Z$4:$Z$2503,"正常"),0))</f>
        <v/>
      </c>
      <c r="M180" s="24">
        <f>IF($A180="","",IF($E180=0,"※这个批次号在入库单里找不到",IF(AND($H180&gt;0,$F180&gt;0),"△有 "&amp;$F180&amp;" 行没单价，运费整批挂账没摊 —— 补完价自动摊",IF($H180=0,"△还没录运费（27 个柜里只有 2 个录了，其余的要补）",IF(ABS($K180)&gt;1,"※摊完还差 "&amp;TEXT($K180,"#,##0")&amp;" 先令，查一下","已摊平")))))</f>
        <v/>
      </c>
    </row>
    <row r="181">
      <c r="A181" s="24" t="n"/>
      <c r="B181" s="17" t="n"/>
      <c r="C181" s="30" t="n"/>
      <c r="D181" s="24">
        <f>IF($A181="","",IFERROR(LOOKUP(2,1/(入库单!$E$4:$E$2503=$A181),入库单!$D$4:$D$2503),""))</f>
        <v/>
      </c>
      <c r="E181" s="28">
        <f>IF($A181="","",COUNTIFS(入库单!$E$4:$E$2503,$A181,入库单!$Z$4:$Z$2503,"正常"))</f>
        <v/>
      </c>
      <c r="F181" s="28">
        <f>IF($A181="","",COUNTIFS(入库单!$E$4:$E$2503,$A181,入库单!$Z$4:$Z$2503,"正常",入库单!$Y$4:$Y$2503,"待补价"))</f>
        <v/>
      </c>
      <c r="G181" s="26">
        <f>IF($A181="","",ROUND(SUMIFS(入库单!$P$4:$P$2503,入库单!$E$4:$E$2503,$A181,入库单!$Z$4:$Z$2503,"正常"),0))</f>
        <v/>
      </c>
      <c r="H181" s="26">
        <f>IF($A181="","",ROUND(SUMIFS(费用台账!$I$4:$I$503,费用台账!$C$4:$C$503,$A181,费用台账!$J$4:$J$503,"是",费用台账!$K$4:$K$503,"正常"),0))</f>
        <v/>
      </c>
      <c r="I181" s="37">
        <f>IF($A181="","",IF($G181=0,"",ROUND($H181/$G181,4)))</f>
        <v/>
      </c>
      <c r="J181" s="26">
        <f>IF($A181="","",ROUND(SUMIFS(入库单!$U$4:$U$2503,入库单!$E$4:$E$2503,$A181,入库单!$Z$4:$Z$2503,"正常"),0))</f>
        <v/>
      </c>
      <c r="K181" s="26">
        <f>IF($A181="","",ROUND($H181-$J181,0))</f>
        <v/>
      </c>
      <c r="L181" s="26">
        <f>IF($A181="","",ROUND(SUMIFS(入库单!$V$4:$V$2503,入库单!$E$4:$E$2503,$A181,入库单!$Z$4:$Z$2503,"正常"),0))</f>
        <v/>
      </c>
      <c r="M181" s="24">
        <f>IF($A181="","",IF($E181=0,"※这个批次号在入库单里找不到",IF(AND($H181&gt;0,$F181&gt;0),"△有 "&amp;$F181&amp;" 行没单价，运费整批挂账没摊 —— 补完价自动摊",IF($H181=0,"△还没录运费（27 个柜里只有 2 个录了，其余的要补）",IF(ABS($K181)&gt;1,"※摊完还差 "&amp;TEXT($K181,"#,##0")&amp;" 先令，查一下","已摊平")))))</f>
        <v/>
      </c>
    </row>
    <row r="182">
      <c r="A182" s="24" t="n"/>
      <c r="B182" s="17" t="n"/>
      <c r="C182" s="30" t="n"/>
      <c r="D182" s="24">
        <f>IF($A182="","",IFERROR(LOOKUP(2,1/(入库单!$E$4:$E$2503=$A182),入库单!$D$4:$D$2503),""))</f>
        <v/>
      </c>
      <c r="E182" s="28">
        <f>IF($A182="","",COUNTIFS(入库单!$E$4:$E$2503,$A182,入库单!$Z$4:$Z$2503,"正常"))</f>
        <v/>
      </c>
      <c r="F182" s="28">
        <f>IF($A182="","",COUNTIFS(入库单!$E$4:$E$2503,$A182,入库单!$Z$4:$Z$2503,"正常",入库单!$Y$4:$Y$2503,"待补价"))</f>
        <v/>
      </c>
      <c r="G182" s="26">
        <f>IF($A182="","",ROUND(SUMIFS(入库单!$P$4:$P$2503,入库单!$E$4:$E$2503,$A182,入库单!$Z$4:$Z$2503,"正常"),0))</f>
        <v/>
      </c>
      <c r="H182" s="26">
        <f>IF($A182="","",ROUND(SUMIFS(费用台账!$I$4:$I$503,费用台账!$C$4:$C$503,$A182,费用台账!$J$4:$J$503,"是",费用台账!$K$4:$K$503,"正常"),0))</f>
        <v/>
      </c>
      <c r="I182" s="37">
        <f>IF($A182="","",IF($G182=0,"",ROUND($H182/$G182,4)))</f>
        <v/>
      </c>
      <c r="J182" s="26">
        <f>IF($A182="","",ROUND(SUMIFS(入库单!$U$4:$U$2503,入库单!$E$4:$E$2503,$A182,入库单!$Z$4:$Z$2503,"正常"),0))</f>
        <v/>
      </c>
      <c r="K182" s="26">
        <f>IF($A182="","",ROUND($H182-$J182,0))</f>
        <v/>
      </c>
      <c r="L182" s="26">
        <f>IF($A182="","",ROUND(SUMIFS(入库单!$V$4:$V$2503,入库单!$E$4:$E$2503,$A182,入库单!$Z$4:$Z$2503,"正常"),0))</f>
        <v/>
      </c>
      <c r="M182" s="24">
        <f>IF($A182="","",IF($E182=0,"※这个批次号在入库单里找不到",IF(AND($H182&gt;0,$F182&gt;0),"△有 "&amp;$F182&amp;" 行没单价，运费整批挂账没摊 —— 补完价自动摊",IF($H182=0,"△还没录运费（27 个柜里只有 2 个录了，其余的要补）",IF(ABS($K182)&gt;1,"※摊完还差 "&amp;TEXT($K182,"#,##0")&amp;" 先令，查一下","已摊平")))))</f>
        <v/>
      </c>
    </row>
    <row r="183">
      <c r="A183" s="24" t="n"/>
      <c r="B183" s="17" t="n"/>
      <c r="C183" s="30" t="n"/>
      <c r="D183" s="24">
        <f>IF($A183="","",IFERROR(LOOKUP(2,1/(入库单!$E$4:$E$2503=$A183),入库单!$D$4:$D$2503),""))</f>
        <v/>
      </c>
      <c r="E183" s="28">
        <f>IF($A183="","",COUNTIFS(入库单!$E$4:$E$2503,$A183,入库单!$Z$4:$Z$2503,"正常"))</f>
        <v/>
      </c>
      <c r="F183" s="28">
        <f>IF($A183="","",COUNTIFS(入库单!$E$4:$E$2503,$A183,入库单!$Z$4:$Z$2503,"正常",入库单!$Y$4:$Y$2503,"待补价"))</f>
        <v/>
      </c>
      <c r="G183" s="26">
        <f>IF($A183="","",ROUND(SUMIFS(入库单!$P$4:$P$2503,入库单!$E$4:$E$2503,$A183,入库单!$Z$4:$Z$2503,"正常"),0))</f>
        <v/>
      </c>
      <c r="H183" s="26">
        <f>IF($A183="","",ROUND(SUMIFS(费用台账!$I$4:$I$503,费用台账!$C$4:$C$503,$A183,费用台账!$J$4:$J$503,"是",费用台账!$K$4:$K$503,"正常"),0))</f>
        <v/>
      </c>
      <c r="I183" s="37">
        <f>IF($A183="","",IF($G183=0,"",ROUND($H183/$G183,4)))</f>
        <v/>
      </c>
      <c r="J183" s="26">
        <f>IF($A183="","",ROUND(SUMIFS(入库单!$U$4:$U$2503,入库单!$E$4:$E$2503,$A183,入库单!$Z$4:$Z$2503,"正常"),0))</f>
        <v/>
      </c>
      <c r="K183" s="26">
        <f>IF($A183="","",ROUND($H183-$J183,0))</f>
        <v/>
      </c>
      <c r="L183" s="26">
        <f>IF($A183="","",ROUND(SUMIFS(入库单!$V$4:$V$2503,入库单!$E$4:$E$2503,$A183,入库单!$Z$4:$Z$2503,"正常"),0))</f>
        <v/>
      </c>
      <c r="M183" s="24">
        <f>IF($A183="","",IF($E183=0,"※这个批次号在入库单里找不到",IF(AND($H183&gt;0,$F183&gt;0),"△有 "&amp;$F183&amp;" 行没单价，运费整批挂账没摊 —— 补完价自动摊",IF($H183=0,"△还没录运费（27 个柜里只有 2 个录了，其余的要补）",IF(ABS($K183)&gt;1,"※摊完还差 "&amp;TEXT($K183,"#,##0")&amp;" 先令，查一下","已摊平")))))</f>
        <v/>
      </c>
    </row>
    <row r="184">
      <c r="A184" s="24" t="n"/>
      <c r="B184" s="17" t="n"/>
      <c r="C184" s="30" t="n"/>
      <c r="D184" s="24">
        <f>IF($A184="","",IFERROR(LOOKUP(2,1/(入库单!$E$4:$E$2503=$A184),入库单!$D$4:$D$2503),""))</f>
        <v/>
      </c>
      <c r="E184" s="28">
        <f>IF($A184="","",COUNTIFS(入库单!$E$4:$E$2503,$A184,入库单!$Z$4:$Z$2503,"正常"))</f>
        <v/>
      </c>
      <c r="F184" s="28">
        <f>IF($A184="","",COUNTIFS(入库单!$E$4:$E$2503,$A184,入库单!$Z$4:$Z$2503,"正常",入库单!$Y$4:$Y$2503,"待补价"))</f>
        <v/>
      </c>
      <c r="G184" s="26">
        <f>IF($A184="","",ROUND(SUMIFS(入库单!$P$4:$P$2503,入库单!$E$4:$E$2503,$A184,入库单!$Z$4:$Z$2503,"正常"),0))</f>
        <v/>
      </c>
      <c r="H184" s="26">
        <f>IF($A184="","",ROUND(SUMIFS(费用台账!$I$4:$I$503,费用台账!$C$4:$C$503,$A184,费用台账!$J$4:$J$503,"是",费用台账!$K$4:$K$503,"正常"),0))</f>
        <v/>
      </c>
      <c r="I184" s="37">
        <f>IF($A184="","",IF($G184=0,"",ROUND($H184/$G184,4)))</f>
        <v/>
      </c>
      <c r="J184" s="26">
        <f>IF($A184="","",ROUND(SUMIFS(入库单!$U$4:$U$2503,入库单!$E$4:$E$2503,$A184,入库单!$Z$4:$Z$2503,"正常"),0))</f>
        <v/>
      </c>
      <c r="K184" s="26">
        <f>IF($A184="","",ROUND($H184-$J184,0))</f>
        <v/>
      </c>
      <c r="L184" s="26">
        <f>IF($A184="","",ROUND(SUMIFS(入库单!$V$4:$V$2503,入库单!$E$4:$E$2503,$A184,入库单!$Z$4:$Z$2503,"正常"),0))</f>
        <v/>
      </c>
      <c r="M184" s="24">
        <f>IF($A184="","",IF($E184=0,"※这个批次号在入库单里找不到",IF(AND($H184&gt;0,$F184&gt;0),"△有 "&amp;$F184&amp;" 行没单价，运费整批挂账没摊 —— 补完价自动摊",IF($H184=0,"△还没录运费（27 个柜里只有 2 个录了，其余的要补）",IF(ABS($K184)&gt;1,"※摊完还差 "&amp;TEXT($K184,"#,##0")&amp;" 先令，查一下","已摊平")))))</f>
        <v/>
      </c>
    </row>
    <row r="185">
      <c r="A185" s="24" t="n"/>
      <c r="B185" s="17" t="n"/>
      <c r="C185" s="30" t="n"/>
      <c r="D185" s="24">
        <f>IF($A185="","",IFERROR(LOOKUP(2,1/(入库单!$E$4:$E$2503=$A185),入库单!$D$4:$D$2503),""))</f>
        <v/>
      </c>
      <c r="E185" s="28">
        <f>IF($A185="","",COUNTIFS(入库单!$E$4:$E$2503,$A185,入库单!$Z$4:$Z$2503,"正常"))</f>
        <v/>
      </c>
      <c r="F185" s="28">
        <f>IF($A185="","",COUNTIFS(入库单!$E$4:$E$2503,$A185,入库单!$Z$4:$Z$2503,"正常",入库单!$Y$4:$Y$2503,"待补价"))</f>
        <v/>
      </c>
      <c r="G185" s="26">
        <f>IF($A185="","",ROUND(SUMIFS(入库单!$P$4:$P$2503,入库单!$E$4:$E$2503,$A185,入库单!$Z$4:$Z$2503,"正常"),0))</f>
        <v/>
      </c>
      <c r="H185" s="26">
        <f>IF($A185="","",ROUND(SUMIFS(费用台账!$I$4:$I$503,费用台账!$C$4:$C$503,$A185,费用台账!$J$4:$J$503,"是",费用台账!$K$4:$K$503,"正常"),0))</f>
        <v/>
      </c>
      <c r="I185" s="37">
        <f>IF($A185="","",IF($G185=0,"",ROUND($H185/$G185,4)))</f>
        <v/>
      </c>
      <c r="J185" s="26">
        <f>IF($A185="","",ROUND(SUMIFS(入库单!$U$4:$U$2503,入库单!$E$4:$E$2503,$A185,入库单!$Z$4:$Z$2503,"正常"),0))</f>
        <v/>
      </c>
      <c r="K185" s="26">
        <f>IF($A185="","",ROUND($H185-$J185,0))</f>
        <v/>
      </c>
      <c r="L185" s="26">
        <f>IF($A185="","",ROUND(SUMIFS(入库单!$V$4:$V$2503,入库单!$E$4:$E$2503,$A185,入库单!$Z$4:$Z$2503,"正常"),0))</f>
        <v/>
      </c>
      <c r="M185" s="24">
        <f>IF($A185="","",IF($E185=0,"※这个批次号在入库单里找不到",IF(AND($H185&gt;0,$F185&gt;0),"△有 "&amp;$F185&amp;" 行没单价，运费整批挂账没摊 —— 补完价自动摊",IF($H185=0,"△还没录运费（27 个柜里只有 2 个录了，其余的要补）",IF(ABS($K185)&gt;1,"※摊完还差 "&amp;TEXT($K185,"#,##0")&amp;" 先令，查一下","已摊平")))))</f>
        <v/>
      </c>
    </row>
    <row r="186">
      <c r="A186" s="24" t="n"/>
      <c r="B186" s="17" t="n"/>
      <c r="C186" s="30" t="n"/>
      <c r="D186" s="24">
        <f>IF($A186="","",IFERROR(LOOKUP(2,1/(入库单!$E$4:$E$2503=$A186),入库单!$D$4:$D$2503),""))</f>
        <v/>
      </c>
      <c r="E186" s="28">
        <f>IF($A186="","",COUNTIFS(入库单!$E$4:$E$2503,$A186,入库单!$Z$4:$Z$2503,"正常"))</f>
        <v/>
      </c>
      <c r="F186" s="28">
        <f>IF($A186="","",COUNTIFS(入库单!$E$4:$E$2503,$A186,入库单!$Z$4:$Z$2503,"正常",入库单!$Y$4:$Y$2503,"待补价"))</f>
        <v/>
      </c>
      <c r="G186" s="26">
        <f>IF($A186="","",ROUND(SUMIFS(入库单!$P$4:$P$2503,入库单!$E$4:$E$2503,$A186,入库单!$Z$4:$Z$2503,"正常"),0))</f>
        <v/>
      </c>
      <c r="H186" s="26">
        <f>IF($A186="","",ROUND(SUMIFS(费用台账!$I$4:$I$503,费用台账!$C$4:$C$503,$A186,费用台账!$J$4:$J$503,"是",费用台账!$K$4:$K$503,"正常"),0))</f>
        <v/>
      </c>
      <c r="I186" s="37">
        <f>IF($A186="","",IF($G186=0,"",ROUND($H186/$G186,4)))</f>
        <v/>
      </c>
      <c r="J186" s="26">
        <f>IF($A186="","",ROUND(SUMIFS(入库单!$U$4:$U$2503,入库单!$E$4:$E$2503,$A186,入库单!$Z$4:$Z$2503,"正常"),0))</f>
        <v/>
      </c>
      <c r="K186" s="26">
        <f>IF($A186="","",ROUND($H186-$J186,0))</f>
        <v/>
      </c>
      <c r="L186" s="26">
        <f>IF($A186="","",ROUND(SUMIFS(入库单!$V$4:$V$2503,入库单!$E$4:$E$2503,$A186,入库单!$Z$4:$Z$2503,"正常"),0))</f>
        <v/>
      </c>
      <c r="M186" s="24">
        <f>IF($A186="","",IF($E186=0,"※这个批次号在入库单里找不到",IF(AND($H186&gt;0,$F186&gt;0),"△有 "&amp;$F186&amp;" 行没单价，运费整批挂账没摊 —— 补完价自动摊",IF($H186=0,"△还没录运费（27 个柜里只有 2 个录了，其余的要补）",IF(ABS($K186)&gt;1,"※摊完还差 "&amp;TEXT($K186,"#,##0")&amp;" 先令，查一下","已摊平")))))</f>
        <v/>
      </c>
    </row>
    <row r="187">
      <c r="A187" s="24" t="n"/>
      <c r="B187" s="17" t="n"/>
      <c r="C187" s="30" t="n"/>
      <c r="D187" s="24">
        <f>IF($A187="","",IFERROR(LOOKUP(2,1/(入库单!$E$4:$E$2503=$A187),入库单!$D$4:$D$2503),""))</f>
        <v/>
      </c>
      <c r="E187" s="28">
        <f>IF($A187="","",COUNTIFS(入库单!$E$4:$E$2503,$A187,入库单!$Z$4:$Z$2503,"正常"))</f>
        <v/>
      </c>
      <c r="F187" s="28">
        <f>IF($A187="","",COUNTIFS(入库单!$E$4:$E$2503,$A187,入库单!$Z$4:$Z$2503,"正常",入库单!$Y$4:$Y$2503,"待补价"))</f>
        <v/>
      </c>
      <c r="G187" s="26">
        <f>IF($A187="","",ROUND(SUMIFS(入库单!$P$4:$P$2503,入库单!$E$4:$E$2503,$A187,入库单!$Z$4:$Z$2503,"正常"),0))</f>
        <v/>
      </c>
      <c r="H187" s="26">
        <f>IF($A187="","",ROUND(SUMIFS(费用台账!$I$4:$I$503,费用台账!$C$4:$C$503,$A187,费用台账!$J$4:$J$503,"是",费用台账!$K$4:$K$503,"正常"),0))</f>
        <v/>
      </c>
      <c r="I187" s="37">
        <f>IF($A187="","",IF($G187=0,"",ROUND($H187/$G187,4)))</f>
        <v/>
      </c>
      <c r="J187" s="26">
        <f>IF($A187="","",ROUND(SUMIFS(入库单!$U$4:$U$2503,入库单!$E$4:$E$2503,$A187,入库单!$Z$4:$Z$2503,"正常"),0))</f>
        <v/>
      </c>
      <c r="K187" s="26">
        <f>IF($A187="","",ROUND($H187-$J187,0))</f>
        <v/>
      </c>
      <c r="L187" s="26">
        <f>IF($A187="","",ROUND(SUMIFS(入库单!$V$4:$V$2503,入库单!$E$4:$E$2503,$A187,入库单!$Z$4:$Z$2503,"正常"),0))</f>
        <v/>
      </c>
      <c r="M187" s="24">
        <f>IF($A187="","",IF($E187=0,"※这个批次号在入库单里找不到",IF(AND($H187&gt;0,$F187&gt;0),"△有 "&amp;$F187&amp;" 行没单价，运费整批挂账没摊 —— 补完价自动摊",IF($H187=0,"△还没录运费（27 个柜里只有 2 个录了，其余的要补）",IF(ABS($K187)&gt;1,"※摊完还差 "&amp;TEXT($K187,"#,##0")&amp;" 先令，查一下","已摊平")))))</f>
        <v/>
      </c>
    </row>
    <row r="188">
      <c r="A188" s="24" t="n"/>
      <c r="B188" s="17" t="n"/>
      <c r="C188" s="30" t="n"/>
      <c r="D188" s="24">
        <f>IF($A188="","",IFERROR(LOOKUP(2,1/(入库单!$E$4:$E$2503=$A188),入库单!$D$4:$D$2503),""))</f>
        <v/>
      </c>
      <c r="E188" s="28">
        <f>IF($A188="","",COUNTIFS(入库单!$E$4:$E$2503,$A188,入库单!$Z$4:$Z$2503,"正常"))</f>
        <v/>
      </c>
      <c r="F188" s="28">
        <f>IF($A188="","",COUNTIFS(入库单!$E$4:$E$2503,$A188,入库单!$Z$4:$Z$2503,"正常",入库单!$Y$4:$Y$2503,"待补价"))</f>
        <v/>
      </c>
      <c r="G188" s="26">
        <f>IF($A188="","",ROUND(SUMIFS(入库单!$P$4:$P$2503,入库单!$E$4:$E$2503,$A188,入库单!$Z$4:$Z$2503,"正常"),0))</f>
        <v/>
      </c>
      <c r="H188" s="26">
        <f>IF($A188="","",ROUND(SUMIFS(费用台账!$I$4:$I$503,费用台账!$C$4:$C$503,$A188,费用台账!$J$4:$J$503,"是",费用台账!$K$4:$K$503,"正常"),0))</f>
        <v/>
      </c>
      <c r="I188" s="37">
        <f>IF($A188="","",IF($G188=0,"",ROUND($H188/$G188,4)))</f>
        <v/>
      </c>
      <c r="J188" s="26">
        <f>IF($A188="","",ROUND(SUMIFS(入库单!$U$4:$U$2503,入库单!$E$4:$E$2503,$A188,入库单!$Z$4:$Z$2503,"正常"),0))</f>
        <v/>
      </c>
      <c r="K188" s="26">
        <f>IF($A188="","",ROUND($H188-$J188,0))</f>
        <v/>
      </c>
      <c r="L188" s="26">
        <f>IF($A188="","",ROUND(SUMIFS(入库单!$V$4:$V$2503,入库单!$E$4:$E$2503,$A188,入库单!$Z$4:$Z$2503,"正常"),0))</f>
        <v/>
      </c>
      <c r="M188" s="24">
        <f>IF($A188="","",IF($E188=0,"※这个批次号在入库单里找不到",IF(AND($H188&gt;0,$F188&gt;0),"△有 "&amp;$F188&amp;" 行没单价，运费整批挂账没摊 —— 补完价自动摊",IF($H188=0,"△还没录运费（27 个柜里只有 2 个录了，其余的要补）",IF(ABS($K188)&gt;1,"※摊完还差 "&amp;TEXT($K188,"#,##0")&amp;" 先令，查一下","已摊平")))))</f>
        <v/>
      </c>
    </row>
    <row r="189">
      <c r="A189" s="24" t="n"/>
      <c r="B189" s="17" t="n"/>
      <c r="C189" s="30" t="n"/>
      <c r="D189" s="24">
        <f>IF($A189="","",IFERROR(LOOKUP(2,1/(入库单!$E$4:$E$2503=$A189),入库单!$D$4:$D$2503),""))</f>
        <v/>
      </c>
      <c r="E189" s="28">
        <f>IF($A189="","",COUNTIFS(入库单!$E$4:$E$2503,$A189,入库单!$Z$4:$Z$2503,"正常"))</f>
        <v/>
      </c>
      <c r="F189" s="28">
        <f>IF($A189="","",COUNTIFS(入库单!$E$4:$E$2503,$A189,入库单!$Z$4:$Z$2503,"正常",入库单!$Y$4:$Y$2503,"待补价"))</f>
        <v/>
      </c>
      <c r="G189" s="26">
        <f>IF($A189="","",ROUND(SUMIFS(入库单!$P$4:$P$2503,入库单!$E$4:$E$2503,$A189,入库单!$Z$4:$Z$2503,"正常"),0))</f>
        <v/>
      </c>
      <c r="H189" s="26">
        <f>IF($A189="","",ROUND(SUMIFS(费用台账!$I$4:$I$503,费用台账!$C$4:$C$503,$A189,费用台账!$J$4:$J$503,"是",费用台账!$K$4:$K$503,"正常"),0))</f>
        <v/>
      </c>
      <c r="I189" s="37">
        <f>IF($A189="","",IF($G189=0,"",ROUND($H189/$G189,4)))</f>
        <v/>
      </c>
      <c r="J189" s="26">
        <f>IF($A189="","",ROUND(SUMIFS(入库单!$U$4:$U$2503,入库单!$E$4:$E$2503,$A189,入库单!$Z$4:$Z$2503,"正常"),0))</f>
        <v/>
      </c>
      <c r="K189" s="26">
        <f>IF($A189="","",ROUND($H189-$J189,0))</f>
        <v/>
      </c>
      <c r="L189" s="26">
        <f>IF($A189="","",ROUND(SUMIFS(入库单!$V$4:$V$2503,入库单!$E$4:$E$2503,$A189,入库单!$Z$4:$Z$2503,"正常"),0))</f>
        <v/>
      </c>
      <c r="M189" s="24">
        <f>IF($A189="","",IF($E189=0,"※这个批次号在入库单里找不到",IF(AND($H189&gt;0,$F189&gt;0),"△有 "&amp;$F189&amp;" 行没单价，运费整批挂账没摊 —— 补完价自动摊",IF($H189=0,"△还没录运费（27 个柜里只有 2 个录了，其余的要补）",IF(ABS($K189)&gt;1,"※摊完还差 "&amp;TEXT($K189,"#,##0")&amp;" 先令，查一下","已摊平")))))</f>
        <v/>
      </c>
    </row>
    <row r="190">
      <c r="A190" s="24" t="n"/>
      <c r="B190" s="17" t="n"/>
      <c r="C190" s="30" t="n"/>
      <c r="D190" s="24">
        <f>IF($A190="","",IFERROR(LOOKUP(2,1/(入库单!$E$4:$E$2503=$A190),入库单!$D$4:$D$2503),""))</f>
        <v/>
      </c>
      <c r="E190" s="28">
        <f>IF($A190="","",COUNTIFS(入库单!$E$4:$E$2503,$A190,入库单!$Z$4:$Z$2503,"正常"))</f>
        <v/>
      </c>
      <c r="F190" s="28">
        <f>IF($A190="","",COUNTIFS(入库单!$E$4:$E$2503,$A190,入库单!$Z$4:$Z$2503,"正常",入库单!$Y$4:$Y$2503,"待补价"))</f>
        <v/>
      </c>
      <c r="G190" s="26">
        <f>IF($A190="","",ROUND(SUMIFS(入库单!$P$4:$P$2503,入库单!$E$4:$E$2503,$A190,入库单!$Z$4:$Z$2503,"正常"),0))</f>
        <v/>
      </c>
      <c r="H190" s="26">
        <f>IF($A190="","",ROUND(SUMIFS(费用台账!$I$4:$I$503,费用台账!$C$4:$C$503,$A190,费用台账!$J$4:$J$503,"是",费用台账!$K$4:$K$503,"正常"),0))</f>
        <v/>
      </c>
      <c r="I190" s="37">
        <f>IF($A190="","",IF($G190=0,"",ROUND($H190/$G190,4)))</f>
        <v/>
      </c>
      <c r="J190" s="26">
        <f>IF($A190="","",ROUND(SUMIFS(入库单!$U$4:$U$2503,入库单!$E$4:$E$2503,$A190,入库单!$Z$4:$Z$2503,"正常"),0))</f>
        <v/>
      </c>
      <c r="K190" s="26">
        <f>IF($A190="","",ROUND($H190-$J190,0))</f>
        <v/>
      </c>
      <c r="L190" s="26">
        <f>IF($A190="","",ROUND(SUMIFS(入库单!$V$4:$V$2503,入库单!$E$4:$E$2503,$A190,入库单!$Z$4:$Z$2503,"正常"),0))</f>
        <v/>
      </c>
      <c r="M190" s="24">
        <f>IF($A190="","",IF($E190=0,"※这个批次号在入库单里找不到",IF(AND($H190&gt;0,$F190&gt;0),"△有 "&amp;$F190&amp;" 行没单价，运费整批挂账没摊 —— 补完价自动摊",IF($H190=0,"△还没录运费（27 个柜里只有 2 个录了，其余的要补）",IF(ABS($K190)&gt;1,"※摊完还差 "&amp;TEXT($K190,"#,##0")&amp;" 先令，查一下","已摊平")))))</f>
        <v/>
      </c>
    </row>
    <row r="191">
      <c r="A191" s="24" t="n"/>
      <c r="B191" s="17" t="n"/>
      <c r="C191" s="30" t="n"/>
      <c r="D191" s="24">
        <f>IF($A191="","",IFERROR(LOOKUP(2,1/(入库单!$E$4:$E$2503=$A191),入库单!$D$4:$D$2503),""))</f>
        <v/>
      </c>
      <c r="E191" s="28">
        <f>IF($A191="","",COUNTIFS(入库单!$E$4:$E$2503,$A191,入库单!$Z$4:$Z$2503,"正常"))</f>
        <v/>
      </c>
      <c r="F191" s="28">
        <f>IF($A191="","",COUNTIFS(入库单!$E$4:$E$2503,$A191,入库单!$Z$4:$Z$2503,"正常",入库单!$Y$4:$Y$2503,"待补价"))</f>
        <v/>
      </c>
      <c r="G191" s="26">
        <f>IF($A191="","",ROUND(SUMIFS(入库单!$P$4:$P$2503,入库单!$E$4:$E$2503,$A191,入库单!$Z$4:$Z$2503,"正常"),0))</f>
        <v/>
      </c>
      <c r="H191" s="26">
        <f>IF($A191="","",ROUND(SUMIFS(费用台账!$I$4:$I$503,费用台账!$C$4:$C$503,$A191,费用台账!$J$4:$J$503,"是",费用台账!$K$4:$K$503,"正常"),0))</f>
        <v/>
      </c>
      <c r="I191" s="37">
        <f>IF($A191="","",IF($G191=0,"",ROUND($H191/$G191,4)))</f>
        <v/>
      </c>
      <c r="J191" s="26">
        <f>IF($A191="","",ROUND(SUMIFS(入库单!$U$4:$U$2503,入库单!$E$4:$E$2503,$A191,入库单!$Z$4:$Z$2503,"正常"),0))</f>
        <v/>
      </c>
      <c r="K191" s="26">
        <f>IF($A191="","",ROUND($H191-$J191,0))</f>
        <v/>
      </c>
      <c r="L191" s="26">
        <f>IF($A191="","",ROUND(SUMIFS(入库单!$V$4:$V$2503,入库单!$E$4:$E$2503,$A191,入库单!$Z$4:$Z$2503,"正常"),0))</f>
        <v/>
      </c>
      <c r="M191" s="24">
        <f>IF($A191="","",IF($E191=0,"※这个批次号在入库单里找不到",IF(AND($H191&gt;0,$F191&gt;0),"△有 "&amp;$F191&amp;" 行没单价，运费整批挂账没摊 —— 补完价自动摊",IF($H191=0,"△还没录运费（27 个柜里只有 2 个录了，其余的要补）",IF(ABS($K191)&gt;1,"※摊完还差 "&amp;TEXT($K191,"#,##0")&amp;" 先令，查一下","已摊平")))))</f>
        <v/>
      </c>
    </row>
    <row r="192">
      <c r="A192" s="24" t="n"/>
      <c r="B192" s="17" t="n"/>
      <c r="C192" s="30" t="n"/>
      <c r="D192" s="24">
        <f>IF($A192="","",IFERROR(LOOKUP(2,1/(入库单!$E$4:$E$2503=$A192),入库单!$D$4:$D$2503),""))</f>
        <v/>
      </c>
      <c r="E192" s="28">
        <f>IF($A192="","",COUNTIFS(入库单!$E$4:$E$2503,$A192,入库单!$Z$4:$Z$2503,"正常"))</f>
        <v/>
      </c>
      <c r="F192" s="28">
        <f>IF($A192="","",COUNTIFS(入库单!$E$4:$E$2503,$A192,入库单!$Z$4:$Z$2503,"正常",入库单!$Y$4:$Y$2503,"待补价"))</f>
        <v/>
      </c>
      <c r="G192" s="26">
        <f>IF($A192="","",ROUND(SUMIFS(入库单!$P$4:$P$2503,入库单!$E$4:$E$2503,$A192,入库单!$Z$4:$Z$2503,"正常"),0))</f>
        <v/>
      </c>
      <c r="H192" s="26">
        <f>IF($A192="","",ROUND(SUMIFS(费用台账!$I$4:$I$503,费用台账!$C$4:$C$503,$A192,费用台账!$J$4:$J$503,"是",费用台账!$K$4:$K$503,"正常"),0))</f>
        <v/>
      </c>
      <c r="I192" s="37">
        <f>IF($A192="","",IF($G192=0,"",ROUND($H192/$G192,4)))</f>
        <v/>
      </c>
      <c r="J192" s="26">
        <f>IF($A192="","",ROUND(SUMIFS(入库单!$U$4:$U$2503,入库单!$E$4:$E$2503,$A192,入库单!$Z$4:$Z$2503,"正常"),0))</f>
        <v/>
      </c>
      <c r="K192" s="26">
        <f>IF($A192="","",ROUND($H192-$J192,0))</f>
        <v/>
      </c>
      <c r="L192" s="26">
        <f>IF($A192="","",ROUND(SUMIFS(入库单!$V$4:$V$2503,入库单!$E$4:$E$2503,$A192,入库单!$Z$4:$Z$2503,"正常"),0))</f>
        <v/>
      </c>
      <c r="M192" s="24">
        <f>IF($A192="","",IF($E192=0,"※这个批次号在入库单里找不到",IF(AND($H192&gt;0,$F192&gt;0),"△有 "&amp;$F192&amp;" 行没单价，运费整批挂账没摊 —— 补完价自动摊",IF($H192=0,"△还没录运费（27 个柜里只有 2 个录了，其余的要补）",IF(ABS($K192)&gt;1,"※摊完还差 "&amp;TEXT($K192,"#,##0")&amp;" 先令，查一下","已摊平")))))</f>
        <v/>
      </c>
    </row>
    <row r="193">
      <c r="A193" s="24" t="n"/>
      <c r="B193" s="17" t="n"/>
      <c r="C193" s="30" t="n"/>
      <c r="D193" s="24">
        <f>IF($A193="","",IFERROR(LOOKUP(2,1/(入库单!$E$4:$E$2503=$A193),入库单!$D$4:$D$2503),""))</f>
        <v/>
      </c>
      <c r="E193" s="28">
        <f>IF($A193="","",COUNTIFS(入库单!$E$4:$E$2503,$A193,入库单!$Z$4:$Z$2503,"正常"))</f>
        <v/>
      </c>
      <c r="F193" s="28">
        <f>IF($A193="","",COUNTIFS(入库单!$E$4:$E$2503,$A193,入库单!$Z$4:$Z$2503,"正常",入库单!$Y$4:$Y$2503,"待补价"))</f>
        <v/>
      </c>
      <c r="G193" s="26">
        <f>IF($A193="","",ROUND(SUMIFS(入库单!$P$4:$P$2503,入库单!$E$4:$E$2503,$A193,入库单!$Z$4:$Z$2503,"正常"),0))</f>
        <v/>
      </c>
      <c r="H193" s="26">
        <f>IF($A193="","",ROUND(SUMIFS(费用台账!$I$4:$I$503,费用台账!$C$4:$C$503,$A193,费用台账!$J$4:$J$503,"是",费用台账!$K$4:$K$503,"正常"),0))</f>
        <v/>
      </c>
      <c r="I193" s="37">
        <f>IF($A193="","",IF($G193=0,"",ROUND($H193/$G193,4)))</f>
        <v/>
      </c>
      <c r="J193" s="26">
        <f>IF($A193="","",ROUND(SUMIFS(入库单!$U$4:$U$2503,入库单!$E$4:$E$2503,$A193,入库单!$Z$4:$Z$2503,"正常"),0))</f>
        <v/>
      </c>
      <c r="K193" s="26">
        <f>IF($A193="","",ROUND($H193-$J193,0))</f>
        <v/>
      </c>
      <c r="L193" s="26">
        <f>IF($A193="","",ROUND(SUMIFS(入库单!$V$4:$V$2503,入库单!$E$4:$E$2503,$A193,入库单!$Z$4:$Z$2503,"正常"),0))</f>
        <v/>
      </c>
      <c r="M193" s="24">
        <f>IF($A193="","",IF($E193=0,"※这个批次号在入库单里找不到",IF(AND($H193&gt;0,$F193&gt;0),"△有 "&amp;$F193&amp;" 行没单价，运费整批挂账没摊 —— 补完价自动摊",IF($H193=0,"△还没录运费（27 个柜里只有 2 个录了，其余的要补）",IF(ABS($K193)&gt;1,"※摊完还差 "&amp;TEXT($K193,"#,##0")&amp;" 先令，查一下","已摊平")))))</f>
        <v/>
      </c>
    </row>
    <row r="194">
      <c r="A194" s="24" t="n"/>
      <c r="B194" s="17" t="n"/>
      <c r="C194" s="30" t="n"/>
      <c r="D194" s="24">
        <f>IF($A194="","",IFERROR(LOOKUP(2,1/(入库单!$E$4:$E$2503=$A194),入库单!$D$4:$D$2503),""))</f>
        <v/>
      </c>
      <c r="E194" s="28">
        <f>IF($A194="","",COUNTIFS(入库单!$E$4:$E$2503,$A194,入库单!$Z$4:$Z$2503,"正常"))</f>
        <v/>
      </c>
      <c r="F194" s="28">
        <f>IF($A194="","",COUNTIFS(入库单!$E$4:$E$2503,$A194,入库单!$Z$4:$Z$2503,"正常",入库单!$Y$4:$Y$2503,"待补价"))</f>
        <v/>
      </c>
      <c r="G194" s="26">
        <f>IF($A194="","",ROUND(SUMIFS(入库单!$P$4:$P$2503,入库单!$E$4:$E$2503,$A194,入库单!$Z$4:$Z$2503,"正常"),0))</f>
        <v/>
      </c>
      <c r="H194" s="26">
        <f>IF($A194="","",ROUND(SUMIFS(费用台账!$I$4:$I$503,费用台账!$C$4:$C$503,$A194,费用台账!$J$4:$J$503,"是",费用台账!$K$4:$K$503,"正常"),0))</f>
        <v/>
      </c>
      <c r="I194" s="37">
        <f>IF($A194="","",IF($G194=0,"",ROUND($H194/$G194,4)))</f>
        <v/>
      </c>
      <c r="J194" s="26">
        <f>IF($A194="","",ROUND(SUMIFS(入库单!$U$4:$U$2503,入库单!$E$4:$E$2503,$A194,入库单!$Z$4:$Z$2503,"正常"),0))</f>
        <v/>
      </c>
      <c r="K194" s="26">
        <f>IF($A194="","",ROUND($H194-$J194,0))</f>
        <v/>
      </c>
      <c r="L194" s="26">
        <f>IF($A194="","",ROUND(SUMIFS(入库单!$V$4:$V$2503,入库单!$E$4:$E$2503,$A194,入库单!$Z$4:$Z$2503,"正常"),0))</f>
        <v/>
      </c>
      <c r="M194" s="24">
        <f>IF($A194="","",IF($E194=0,"※这个批次号在入库单里找不到",IF(AND($H194&gt;0,$F194&gt;0),"△有 "&amp;$F194&amp;" 行没单价，运费整批挂账没摊 —— 补完价自动摊",IF($H194=0,"△还没录运费（27 个柜里只有 2 个录了，其余的要补）",IF(ABS($K194)&gt;1,"※摊完还差 "&amp;TEXT($K194,"#,##0")&amp;" 先令，查一下","已摊平")))))</f>
        <v/>
      </c>
    </row>
    <row r="195">
      <c r="A195" s="24" t="n"/>
      <c r="B195" s="17" t="n"/>
      <c r="C195" s="30" t="n"/>
      <c r="D195" s="24">
        <f>IF($A195="","",IFERROR(LOOKUP(2,1/(入库单!$E$4:$E$2503=$A195),入库单!$D$4:$D$2503),""))</f>
        <v/>
      </c>
      <c r="E195" s="28">
        <f>IF($A195="","",COUNTIFS(入库单!$E$4:$E$2503,$A195,入库单!$Z$4:$Z$2503,"正常"))</f>
        <v/>
      </c>
      <c r="F195" s="28">
        <f>IF($A195="","",COUNTIFS(入库单!$E$4:$E$2503,$A195,入库单!$Z$4:$Z$2503,"正常",入库单!$Y$4:$Y$2503,"待补价"))</f>
        <v/>
      </c>
      <c r="G195" s="26">
        <f>IF($A195="","",ROUND(SUMIFS(入库单!$P$4:$P$2503,入库单!$E$4:$E$2503,$A195,入库单!$Z$4:$Z$2503,"正常"),0))</f>
        <v/>
      </c>
      <c r="H195" s="26">
        <f>IF($A195="","",ROUND(SUMIFS(费用台账!$I$4:$I$503,费用台账!$C$4:$C$503,$A195,费用台账!$J$4:$J$503,"是",费用台账!$K$4:$K$503,"正常"),0))</f>
        <v/>
      </c>
      <c r="I195" s="37">
        <f>IF($A195="","",IF($G195=0,"",ROUND($H195/$G195,4)))</f>
        <v/>
      </c>
      <c r="J195" s="26">
        <f>IF($A195="","",ROUND(SUMIFS(入库单!$U$4:$U$2503,入库单!$E$4:$E$2503,$A195,入库单!$Z$4:$Z$2503,"正常"),0))</f>
        <v/>
      </c>
      <c r="K195" s="26">
        <f>IF($A195="","",ROUND($H195-$J195,0))</f>
        <v/>
      </c>
      <c r="L195" s="26">
        <f>IF($A195="","",ROUND(SUMIFS(入库单!$V$4:$V$2503,入库单!$E$4:$E$2503,$A195,入库单!$Z$4:$Z$2503,"正常"),0))</f>
        <v/>
      </c>
      <c r="M195" s="24">
        <f>IF($A195="","",IF($E195=0,"※这个批次号在入库单里找不到",IF(AND($H195&gt;0,$F195&gt;0),"△有 "&amp;$F195&amp;" 行没单价，运费整批挂账没摊 —— 补完价自动摊",IF($H195=0,"△还没录运费（27 个柜里只有 2 个录了，其余的要补）",IF(ABS($K195)&gt;1,"※摊完还差 "&amp;TEXT($K195,"#,##0")&amp;" 先令，查一下","已摊平")))))</f>
        <v/>
      </c>
    </row>
    <row r="196">
      <c r="A196" s="24" t="n"/>
      <c r="B196" s="17" t="n"/>
      <c r="C196" s="30" t="n"/>
      <c r="D196" s="24">
        <f>IF($A196="","",IFERROR(LOOKUP(2,1/(入库单!$E$4:$E$2503=$A196),入库单!$D$4:$D$2503),""))</f>
        <v/>
      </c>
      <c r="E196" s="28">
        <f>IF($A196="","",COUNTIFS(入库单!$E$4:$E$2503,$A196,入库单!$Z$4:$Z$2503,"正常"))</f>
        <v/>
      </c>
      <c r="F196" s="28">
        <f>IF($A196="","",COUNTIFS(入库单!$E$4:$E$2503,$A196,入库单!$Z$4:$Z$2503,"正常",入库单!$Y$4:$Y$2503,"待补价"))</f>
        <v/>
      </c>
      <c r="G196" s="26">
        <f>IF($A196="","",ROUND(SUMIFS(入库单!$P$4:$P$2503,入库单!$E$4:$E$2503,$A196,入库单!$Z$4:$Z$2503,"正常"),0))</f>
        <v/>
      </c>
      <c r="H196" s="26">
        <f>IF($A196="","",ROUND(SUMIFS(费用台账!$I$4:$I$503,费用台账!$C$4:$C$503,$A196,费用台账!$J$4:$J$503,"是",费用台账!$K$4:$K$503,"正常"),0))</f>
        <v/>
      </c>
      <c r="I196" s="37">
        <f>IF($A196="","",IF($G196=0,"",ROUND($H196/$G196,4)))</f>
        <v/>
      </c>
      <c r="J196" s="26">
        <f>IF($A196="","",ROUND(SUMIFS(入库单!$U$4:$U$2503,入库单!$E$4:$E$2503,$A196,入库单!$Z$4:$Z$2503,"正常"),0))</f>
        <v/>
      </c>
      <c r="K196" s="26">
        <f>IF($A196="","",ROUND($H196-$J196,0))</f>
        <v/>
      </c>
      <c r="L196" s="26">
        <f>IF($A196="","",ROUND(SUMIFS(入库单!$V$4:$V$2503,入库单!$E$4:$E$2503,$A196,入库单!$Z$4:$Z$2503,"正常"),0))</f>
        <v/>
      </c>
      <c r="M196" s="24">
        <f>IF($A196="","",IF($E196=0,"※这个批次号在入库单里找不到",IF(AND($H196&gt;0,$F196&gt;0),"△有 "&amp;$F196&amp;" 行没单价，运费整批挂账没摊 —— 补完价自动摊",IF($H196=0,"△还没录运费（27 个柜里只有 2 个录了，其余的要补）",IF(ABS($K196)&gt;1,"※摊完还差 "&amp;TEXT($K196,"#,##0")&amp;" 先令，查一下","已摊平")))))</f>
        <v/>
      </c>
    </row>
    <row r="197">
      <c r="A197" s="24" t="n"/>
      <c r="B197" s="17" t="n"/>
      <c r="C197" s="30" t="n"/>
      <c r="D197" s="24">
        <f>IF($A197="","",IFERROR(LOOKUP(2,1/(入库单!$E$4:$E$2503=$A197),入库单!$D$4:$D$2503),""))</f>
        <v/>
      </c>
      <c r="E197" s="28">
        <f>IF($A197="","",COUNTIFS(入库单!$E$4:$E$2503,$A197,入库单!$Z$4:$Z$2503,"正常"))</f>
        <v/>
      </c>
      <c r="F197" s="28">
        <f>IF($A197="","",COUNTIFS(入库单!$E$4:$E$2503,$A197,入库单!$Z$4:$Z$2503,"正常",入库单!$Y$4:$Y$2503,"待补价"))</f>
        <v/>
      </c>
      <c r="G197" s="26">
        <f>IF($A197="","",ROUND(SUMIFS(入库单!$P$4:$P$2503,入库单!$E$4:$E$2503,$A197,入库单!$Z$4:$Z$2503,"正常"),0))</f>
        <v/>
      </c>
      <c r="H197" s="26">
        <f>IF($A197="","",ROUND(SUMIFS(费用台账!$I$4:$I$503,费用台账!$C$4:$C$503,$A197,费用台账!$J$4:$J$503,"是",费用台账!$K$4:$K$503,"正常"),0))</f>
        <v/>
      </c>
      <c r="I197" s="37">
        <f>IF($A197="","",IF($G197=0,"",ROUND($H197/$G197,4)))</f>
        <v/>
      </c>
      <c r="J197" s="26">
        <f>IF($A197="","",ROUND(SUMIFS(入库单!$U$4:$U$2503,入库单!$E$4:$E$2503,$A197,入库单!$Z$4:$Z$2503,"正常"),0))</f>
        <v/>
      </c>
      <c r="K197" s="26">
        <f>IF($A197="","",ROUND($H197-$J197,0))</f>
        <v/>
      </c>
      <c r="L197" s="26">
        <f>IF($A197="","",ROUND(SUMIFS(入库单!$V$4:$V$2503,入库单!$E$4:$E$2503,$A197,入库单!$Z$4:$Z$2503,"正常"),0))</f>
        <v/>
      </c>
      <c r="M197" s="24">
        <f>IF($A197="","",IF($E197=0,"※这个批次号在入库单里找不到",IF(AND($H197&gt;0,$F197&gt;0),"△有 "&amp;$F197&amp;" 行没单价，运费整批挂账没摊 —— 补完价自动摊",IF($H197=0,"△还没录运费（27 个柜里只有 2 个录了，其余的要补）",IF(ABS($K197)&gt;1,"※摊完还差 "&amp;TEXT($K197,"#,##0")&amp;" 先令，查一下","已摊平")))))</f>
        <v/>
      </c>
    </row>
    <row r="198">
      <c r="A198" s="24" t="n"/>
      <c r="B198" s="17" t="n"/>
      <c r="C198" s="30" t="n"/>
      <c r="D198" s="24">
        <f>IF($A198="","",IFERROR(LOOKUP(2,1/(入库单!$E$4:$E$2503=$A198),入库单!$D$4:$D$2503),""))</f>
        <v/>
      </c>
      <c r="E198" s="28">
        <f>IF($A198="","",COUNTIFS(入库单!$E$4:$E$2503,$A198,入库单!$Z$4:$Z$2503,"正常"))</f>
        <v/>
      </c>
      <c r="F198" s="28">
        <f>IF($A198="","",COUNTIFS(入库单!$E$4:$E$2503,$A198,入库单!$Z$4:$Z$2503,"正常",入库单!$Y$4:$Y$2503,"待补价"))</f>
        <v/>
      </c>
      <c r="G198" s="26">
        <f>IF($A198="","",ROUND(SUMIFS(入库单!$P$4:$P$2503,入库单!$E$4:$E$2503,$A198,入库单!$Z$4:$Z$2503,"正常"),0))</f>
        <v/>
      </c>
      <c r="H198" s="26">
        <f>IF($A198="","",ROUND(SUMIFS(费用台账!$I$4:$I$503,费用台账!$C$4:$C$503,$A198,费用台账!$J$4:$J$503,"是",费用台账!$K$4:$K$503,"正常"),0))</f>
        <v/>
      </c>
      <c r="I198" s="37">
        <f>IF($A198="","",IF($G198=0,"",ROUND($H198/$G198,4)))</f>
        <v/>
      </c>
      <c r="J198" s="26">
        <f>IF($A198="","",ROUND(SUMIFS(入库单!$U$4:$U$2503,入库单!$E$4:$E$2503,$A198,入库单!$Z$4:$Z$2503,"正常"),0))</f>
        <v/>
      </c>
      <c r="K198" s="26">
        <f>IF($A198="","",ROUND($H198-$J198,0))</f>
        <v/>
      </c>
      <c r="L198" s="26">
        <f>IF($A198="","",ROUND(SUMIFS(入库单!$V$4:$V$2503,入库单!$E$4:$E$2503,$A198,入库单!$Z$4:$Z$2503,"正常"),0))</f>
        <v/>
      </c>
      <c r="M198" s="24">
        <f>IF($A198="","",IF($E198=0,"※这个批次号在入库单里找不到",IF(AND($H198&gt;0,$F198&gt;0),"△有 "&amp;$F198&amp;" 行没单价，运费整批挂账没摊 —— 补完价自动摊",IF($H198=0,"△还没录运费（27 个柜里只有 2 个录了，其余的要补）",IF(ABS($K198)&gt;1,"※摊完还差 "&amp;TEXT($K198,"#,##0")&amp;" 先令，查一下","已摊平")))))</f>
        <v/>
      </c>
    </row>
    <row r="199">
      <c r="A199" s="24" t="n"/>
      <c r="B199" s="17" t="n"/>
      <c r="C199" s="30" t="n"/>
      <c r="D199" s="24">
        <f>IF($A199="","",IFERROR(LOOKUP(2,1/(入库单!$E$4:$E$2503=$A199),入库单!$D$4:$D$2503),""))</f>
        <v/>
      </c>
      <c r="E199" s="28">
        <f>IF($A199="","",COUNTIFS(入库单!$E$4:$E$2503,$A199,入库单!$Z$4:$Z$2503,"正常"))</f>
        <v/>
      </c>
      <c r="F199" s="28">
        <f>IF($A199="","",COUNTIFS(入库单!$E$4:$E$2503,$A199,入库单!$Z$4:$Z$2503,"正常",入库单!$Y$4:$Y$2503,"待补价"))</f>
        <v/>
      </c>
      <c r="G199" s="26">
        <f>IF($A199="","",ROUND(SUMIFS(入库单!$P$4:$P$2503,入库单!$E$4:$E$2503,$A199,入库单!$Z$4:$Z$2503,"正常"),0))</f>
        <v/>
      </c>
      <c r="H199" s="26">
        <f>IF($A199="","",ROUND(SUMIFS(费用台账!$I$4:$I$503,费用台账!$C$4:$C$503,$A199,费用台账!$J$4:$J$503,"是",费用台账!$K$4:$K$503,"正常"),0))</f>
        <v/>
      </c>
      <c r="I199" s="37">
        <f>IF($A199="","",IF($G199=0,"",ROUND($H199/$G199,4)))</f>
        <v/>
      </c>
      <c r="J199" s="26">
        <f>IF($A199="","",ROUND(SUMIFS(入库单!$U$4:$U$2503,入库单!$E$4:$E$2503,$A199,入库单!$Z$4:$Z$2503,"正常"),0))</f>
        <v/>
      </c>
      <c r="K199" s="26">
        <f>IF($A199="","",ROUND($H199-$J199,0))</f>
        <v/>
      </c>
      <c r="L199" s="26">
        <f>IF($A199="","",ROUND(SUMIFS(入库单!$V$4:$V$2503,入库单!$E$4:$E$2503,$A199,入库单!$Z$4:$Z$2503,"正常"),0))</f>
        <v/>
      </c>
      <c r="M199" s="24">
        <f>IF($A199="","",IF($E199=0,"※这个批次号在入库单里找不到",IF(AND($H199&gt;0,$F199&gt;0),"△有 "&amp;$F199&amp;" 行没单价，运费整批挂账没摊 —— 补完价自动摊",IF($H199=0,"△还没录运费（27 个柜里只有 2 个录了，其余的要补）",IF(ABS($K199)&gt;1,"※摊完还差 "&amp;TEXT($K199,"#,##0")&amp;" 先令，查一下","已摊平")))))</f>
        <v/>
      </c>
    </row>
    <row r="200">
      <c r="A200" s="24" t="n"/>
      <c r="B200" s="17" t="n"/>
      <c r="C200" s="30" t="n"/>
      <c r="D200" s="24">
        <f>IF($A200="","",IFERROR(LOOKUP(2,1/(入库单!$E$4:$E$2503=$A200),入库单!$D$4:$D$2503),""))</f>
        <v/>
      </c>
      <c r="E200" s="28">
        <f>IF($A200="","",COUNTIFS(入库单!$E$4:$E$2503,$A200,入库单!$Z$4:$Z$2503,"正常"))</f>
        <v/>
      </c>
      <c r="F200" s="28">
        <f>IF($A200="","",COUNTIFS(入库单!$E$4:$E$2503,$A200,入库单!$Z$4:$Z$2503,"正常",入库单!$Y$4:$Y$2503,"待补价"))</f>
        <v/>
      </c>
      <c r="G200" s="26">
        <f>IF($A200="","",ROUND(SUMIFS(入库单!$P$4:$P$2503,入库单!$E$4:$E$2503,$A200,入库单!$Z$4:$Z$2503,"正常"),0))</f>
        <v/>
      </c>
      <c r="H200" s="26">
        <f>IF($A200="","",ROUND(SUMIFS(费用台账!$I$4:$I$503,费用台账!$C$4:$C$503,$A200,费用台账!$J$4:$J$503,"是",费用台账!$K$4:$K$503,"正常"),0))</f>
        <v/>
      </c>
      <c r="I200" s="37">
        <f>IF($A200="","",IF($G200=0,"",ROUND($H200/$G200,4)))</f>
        <v/>
      </c>
      <c r="J200" s="26">
        <f>IF($A200="","",ROUND(SUMIFS(入库单!$U$4:$U$2503,入库单!$E$4:$E$2503,$A200,入库单!$Z$4:$Z$2503,"正常"),0))</f>
        <v/>
      </c>
      <c r="K200" s="26">
        <f>IF($A200="","",ROUND($H200-$J200,0))</f>
        <v/>
      </c>
      <c r="L200" s="26">
        <f>IF($A200="","",ROUND(SUMIFS(入库单!$V$4:$V$2503,入库单!$E$4:$E$2503,$A200,入库单!$Z$4:$Z$2503,"正常"),0))</f>
        <v/>
      </c>
      <c r="M200" s="24">
        <f>IF($A200="","",IF($E200=0,"※这个批次号在入库单里找不到",IF(AND($H200&gt;0,$F200&gt;0),"△有 "&amp;$F200&amp;" 行没单价，运费整批挂账没摊 —— 补完价自动摊",IF($H200=0,"△还没录运费（27 个柜里只有 2 个录了，其余的要补）",IF(ABS($K200)&gt;1,"※摊完还差 "&amp;TEXT($K200,"#,##0")&amp;" 先令，查一下","已摊平")))))</f>
        <v/>
      </c>
    </row>
    <row r="201">
      <c r="A201" s="24" t="n"/>
      <c r="B201" s="17" t="n"/>
      <c r="C201" s="30" t="n"/>
      <c r="D201" s="24">
        <f>IF($A201="","",IFERROR(LOOKUP(2,1/(入库单!$E$4:$E$2503=$A201),入库单!$D$4:$D$2503),""))</f>
        <v/>
      </c>
      <c r="E201" s="28">
        <f>IF($A201="","",COUNTIFS(入库单!$E$4:$E$2503,$A201,入库单!$Z$4:$Z$2503,"正常"))</f>
        <v/>
      </c>
      <c r="F201" s="28">
        <f>IF($A201="","",COUNTIFS(入库单!$E$4:$E$2503,$A201,入库单!$Z$4:$Z$2503,"正常",入库单!$Y$4:$Y$2503,"待补价"))</f>
        <v/>
      </c>
      <c r="G201" s="26">
        <f>IF($A201="","",ROUND(SUMIFS(入库单!$P$4:$P$2503,入库单!$E$4:$E$2503,$A201,入库单!$Z$4:$Z$2503,"正常"),0))</f>
        <v/>
      </c>
      <c r="H201" s="26">
        <f>IF($A201="","",ROUND(SUMIFS(费用台账!$I$4:$I$503,费用台账!$C$4:$C$503,$A201,费用台账!$J$4:$J$503,"是",费用台账!$K$4:$K$503,"正常"),0))</f>
        <v/>
      </c>
      <c r="I201" s="37">
        <f>IF($A201="","",IF($G201=0,"",ROUND($H201/$G201,4)))</f>
        <v/>
      </c>
      <c r="J201" s="26">
        <f>IF($A201="","",ROUND(SUMIFS(入库单!$U$4:$U$2503,入库单!$E$4:$E$2503,$A201,入库单!$Z$4:$Z$2503,"正常"),0))</f>
        <v/>
      </c>
      <c r="K201" s="26">
        <f>IF($A201="","",ROUND($H201-$J201,0))</f>
        <v/>
      </c>
      <c r="L201" s="26">
        <f>IF($A201="","",ROUND(SUMIFS(入库单!$V$4:$V$2503,入库单!$E$4:$E$2503,$A201,入库单!$Z$4:$Z$2503,"正常"),0))</f>
        <v/>
      </c>
      <c r="M201" s="24">
        <f>IF($A201="","",IF($E201=0,"※这个批次号在入库单里找不到",IF(AND($H201&gt;0,$F201&gt;0),"△有 "&amp;$F201&amp;" 行没单价，运费整批挂账没摊 —— 补完价自动摊",IF($H201=0,"△还没录运费（27 个柜里只有 2 个录了，其余的要补）",IF(ABS($K201)&gt;1,"※摊完还差 "&amp;TEXT($K201,"#,##0")&amp;" 先令，查一下","已摊平")))))</f>
        <v/>
      </c>
    </row>
    <row r="202">
      <c r="A202" s="24" t="n"/>
      <c r="B202" s="17" t="n"/>
      <c r="C202" s="30" t="n"/>
      <c r="D202" s="24">
        <f>IF($A202="","",IFERROR(LOOKUP(2,1/(入库单!$E$4:$E$2503=$A202),入库单!$D$4:$D$2503),""))</f>
        <v/>
      </c>
      <c r="E202" s="28">
        <f>IF($A202="","",COUNTIFS(入库单!$E$4:$E$2503,$A202,入库单!$Z$4:$Z$2503,"正常"))</f>
        <v/>
      </c>
      <c r="F202" s="28">
        <f>IF($A202="","",COUNTIFS(入库单!$E$4:$E$2503,$A202,入库单!$Z$4:$Z$2503,"正常",入库单!$Y$4:$Y$2503,"待补价"))</f>
        <v/>
      </c>
      <c r="G202" s="26">
        <f>IF($A202="","",ROUND(SUMIFS(入库单!$P$4:$P$2503,入库单!$E$4:$E$2503,$A202,入库单!$Z$4:$Z$2503,"正常"),0))</f>
        <v/>
      </c>
      <c r="H202" s="26">
        <f>IF($A202="","",ROUND(SUMIFS(费用台账!$I$4:$I$503,费用台账!$C$4:$C$503,$A202,费用台账!$J$4:$J$503,"是",费用台账!$K$4:$K$503,"正常"),0))</f>
        <v/>
      </c>
      <c r="I202" s="37">
        <f>IF($A202="","",IF($G202=0,"",ROUND($H202/$G202,4)))</f>
        <v/>
      </c>
      <c r="J202" s="26">
        <f>IF($A202="","",ROUND(SUMIFS(入库单!$U$4:$U$2503,入库单!$E$4:$E$2503,$A202,入库单!$Z$4:$Z$2503,"正常"),0))</f>
        <v/>
      </c>
      <c r="K202" s="26">
        <f>IF($A202="","",ROUND($H202-$J202,0))</f>
        <v/>
      </c>
      <c r="L202" s="26">
        <f>IF($A202="","",ROUND(SUMIFS(入库单!$V$4:$V$2503,入库单!$E$4:$E$2503,$A202,入库单!$Z$4:$Z$2503,"正常"),0))</f>
        <v/>
      </c>
      <c r="M202" s="24">
        <f>IF($A202="","",IF($E202=0,"※这个批次号在入库单里找不到",IF(AND($H202&gt;0,$F202&gt;0),"△有 "&amp;$F202&amp;" 行没单价，运费整批挂账没摊 —— 补完价自动摊",IF($H202=0,"△还没录运费（27 个柜里只有 2 个录了，其余的要补）",IF(ABS($K202)&gt;1,"※摊完还差 "&amp;TEXT($K202,"#,##0")&amp;" 先令，查一下","已摊平")))))</f>
        <v/>
      </c>
    </row>
    <row r="203">
      <c r="A203" s="24" t="n"/>
      <c r="B203" s="17" t="n"/>
      <c r="C203" s="30" t="n"/>
      <c r="D203" s="24">
        <f>IF($A203="","",IFERROR(LOOKUP(2,1/(入库单!$E$4:$E$2503=$A203),入库单!$D$4:$D$2503),""))</f>
        <v/>
      </c>
      <c r="E203" s="28">
        <f>IF($A203="","",COUNTIFS(入库单!$E$4:$E$2503,$A203,入库单!$Z$4:$Z$2503,"正常"))</f>
        <v/>
      </c>
      <c r="F203" s="28">
        <f>IF($A203="","",COUNTIFS(入库单!$E$4:$E$2503,$A203,入库单!$Z$4:$Z$2503,"正常",入库单!$Y$4:$Y$2503,"待补价"))</f>
        <v/>
      </c>
      <c r="G203" s="26">
        <f>IF($A203="","",ROUND(SUMIFS(入库单!$P$4:$P$2503,入库单!$E$4:$E$2503,$A203,入库单!$Z$4:$Z$2503,"正常"),0))</f>
        <v/>
      </c>
      <c r="H203" s="26">
        <f>IF($A203="","",ROUND(SUMIFS(费用台账!$I$4:$I$503,费用台账!$C$4:$C$503,$A203,费用台账!$J$4:$J$503,"是",费用台账!$K$4:$K$503,"正常"),0))</f>
        <v/>
      </c>
      <c r="I203" s="37">
        <f>IF($A203="","",IF($G203=0,"",ROUND($H203/$G203,4)))</f>
        <v/>
      </c>
      <c r="J203" s="26">
        <f>IF($A203="","",ROUND(SUMIFS(入库单!$U$4:$U$2503,入库单!$E$4:$E$2503,$A203,入库单!$Z$4:$Z$2503,"正常"),0))</f>
        <v/>
      </c>
      <c r="K203" s="26">
        <f>IF($A203="","",ROUND($H203-$J203,0))</f>
        <v/>
      </c>
      <c r="L203" s="26">
        <f>IF($A203="","",ROUND(SUMIFS(入库单!$V$4:$V$2503,入库单!$E$4:$E$2503,$A203,入库单!$Z$4:$Z$2503,"正常"),0))</f>
        <v/>
      </c>
      <c r="M203" s="24">
        <f>IF($A203="","",IF($E203=0,"※这个批次号在入库单里找不到",IF(AND($H203&gt;0,$F203&gt;0),"△有 "&amp;$F203&amp;" 行没单价，运费整批挂账没摊 —— 补完价自动摊",IF($H203=0,"△还没录运费（27 个柜里只有 2 个录了，其余的要补）",IF(ABS($K203)&gt;1,"※摊完还差 "&amp;TEXT($K203,"#,##0")&amp;" 先令，查一下","已摊平")))))</f>
        <v/>
      </c>
    </row>
    <row r="204">
      <c r="A204" s="24" t="n"/>
      <c r="B204" s="17" t="n"/>
      <c r="C204" s="30" t="n"/>
      <c r="D204" s="24">
        <f>IF($A204="","",IFERROR(LOOKUP(2,1/(入库单!$E$4:$E$2503=$A204),入库单!$D$4:$D$2503),""))</f>
        <v/>
      </c>
      <c r="E204" s="28">
        <f>IF($A204="","",COUNTIFS(入库单!$E$4:$E$2503,$A204,入库单!$Z$4:$Z$2503,"正常"))</f>
        <v/>
      </c>
      <c r="F204" s="28">
        <f>IF($A204="","",COUNTIFS(入库单!$E$4:$E$2503,$A204,入库单!$Z$4:$Z$2503,"正常",入库单!$Y$4:$Y$2503,"待补价"))</f>
        <v/>
      </c>
      <c r="G204" s="26">
        <f>IF($A204="","",ROUND(SUMIFS(入库单!$P$4:$P$2503,入库单!$E$4:$E$2503,$A204,入库单!$Z$4:$Z$2503,"正常"),0))</f>
        <v/>
      </c>
      <c r="H204" s="26">
        <f>IF($A204="","",ROUND(SUMIFS(费用台账!$I$4:$I$503,费用台账!$C$4:$C$503,$A204,费用台账!$J$4:$J$503,"是",费用台账!$K$4:$K$503,"正常"),0))</f>
        <v/>
      </c>
      <c r="I204" s="37">
        <f>IF($A204="","",IF($G204=0,"",ROUND($H204/$G204,4)))</f>
        <v/>
      </c>
      <c r="J204" s="26">
        <f>IF($A204="","",ROUND(SUMIFS(入库单!$U$4:$U$2503,入库单!$E$4:$E$2503,$A204,入库单!$Z$4:$Z$2503,"正常"),0))</f>
        <v/>
      </c>
      <c r="K204" s="26">
        <f>IF($A204="","",ROUND($H204-$J204,0))</f>
        <v/>
      </c>
      <c r="L204" s="26">
        <f>IF($A204="","",ROUND(SUMIFS(入库单!$V$4:$V$2503,入库单!$E$4:$E$2503,$A204,入库单!$Z$4:$Z$2503,"正常"),0))</f>
        <v/>
      </c>
      <c r="M204" s="24">
        <f>IF($A204="","",IF($E204=0,"※这个批次号在入库单里找不到",IF(AND($H204&gt;0,$F204&gt;0),"△有 "&amp;$F204&amp;" 行没单价，运费整批挂账没摊 —— 补完价自动摊",IF($H204=0,"△还没录运费（27 个柜里只有 2 个录了，其余的要补）",IF(ABS($K204)&gt;1,"※摊完还差 "&amp;TEXT($K204,"#,##0")&amp;" 先令，查一下","已摊平")))))</f>
        <v/>
      </c>
    </row>
  </sheetData>
  <autoFilter ref="A3:M204"/>
  <mergeCells count="2">
    <mergeCell ref="A2:M2"/>
    <mergeCell ref="A1:M1"/>
  </mergeCells>
  <conditionalFormatting sqref="M5:M204">
    <cfRule type="expression" priority="1" dxfId="1">
      <formula>LEFT(M5,1)="※"</formula>
    </cfRule>
    <cfRule type="expression" priority="2" dxfId="2">
      <formula>LEFT(M5,1)="△"</formula>
    </cfRule>
  </conditionalFormatting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AA120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4" customWidth="1" min="2" max="2"/>
    <col width="22" customWidth="1" min="3" max="3"/>
    <col width="8" customWidth="1" min="4" max="4"/>
    <col width="13" customWidth="1" min="5" max="5"/>
    <col width="8" customWidth="1" min="6" max="6"/>
    <col width="11" customWidth="1" min="7" max="7"/>
    <col width="15" customWidth="1" min="8" max="8"/>
    <col width="12" customWidth="1" min="9" max="9"/>
    <col width="16" customWidth="1" min="10" max="10"/>
    <col width="17" customWidth="1" min="11" max="11"/>
    <col width="10" customWidth="1" min="12" max="12"/>
    <col width="13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4" customWidth="1" min="19" max="19"/>
    <col width="10" customWidth="1" min="20" max="20"/>
    <col width="13" customWidth="1" min="21" max="21"/>
    <col width="10" customWidth="1" min="22" max="22"/>
    <col width="13" customWidth="1" min="23" max="23"/>
    <col width="12" customWidth="1" min="24" max="24"/>
    <col width="16" customWidth="1" min="25" max="25"/>
    <col width="12" customWidth="1" min="26" max="26"/>
    <col width="30" customWidth="1" min="27" max="27"/>
  </cols>
  <sheetData>
    <row r="1" ht="30" customHeight="1">
      <c r="A1" s="12" t="inlineStr">
        <is>
          <t>库存台账 · 一样东西一行，全套报表都从这里取数</t>
        </is>
      </c>
    </row>
    <row r="2" ht="24" customHeight="1">
      <c r="A2" s="13" t="inlineStr">
        <is>
          <t>期末 = 期初 + 采购入库 + 盘盈 + 退库 − 自用消耗 − 对外销售 − 盘亏 − 退货。这一句在本表、月报、核对表三处用的是同一个式子。月加权单位成本只看「期初 + 本月入库」，不看出库 —— 这样才不会循环引用。【月初开账】把 X、Y 两列复制→选择性粘贴为数值→贴到 G、H 两列，再改参数表的账期。</t>
        </is>
      </c>
    </row>
    <row r="3" ht="34" customHeight="1">
      <c r="A3" s="33" t="inlineStr">
        <is>
          <t>物料编码</t>
        </is>
      </c>
      <c r="B3" s="33" t="inlineStr">
        <is>
          <t>品名</t>
        </is>
      </c>
      <c r="C3" s="33" t="inlineStr">
        <is>
          <t>规格型号</t>
        </is>
      </c>
      <c r="D3" s="33" t="inlineStr">
        <is>
          <t>单位</t>
        </is>
      </c>
      <c r="E3" s="33" t="inlineStr">
        <is>
          <t>大类</t>
        </is>
      </c>
      <c r="F3" s="33" t="inlineStr">
        <is>
          <t>重点</t>
        </is>
      </c>
      <c r="G3" s="33" t="inlineStr">
        <is>
          <t>期初数量</t>
        </is>
      </c>
      <c r="H3" s="33" t="inlineStr">
        <is>
          <t>期初金额·先令</t>
        </is>
      </c>
      <c r="I3" s="33" t="inlineStr">
        <is>
          <t>本月入库数量</t>
        </is>
      </c>
      <c r="J3" s="33" t="inlineStr">
        <is>
          <t>本月入库金额·先令</t>
        </is>
      </c>
      <c r="K3" s="33" t="inlineStr">
        <is>
          <t>月加权单位成本·先令</t>
        </is>
      </c>
      <c r="L3" s="33" t="inlineStr">
        <is>
          <t>盘盈数量</t>
        </is>
      </c>
      <c r="M3" s="33" t="inlineStr">
        <is>
          <t>盘盈金额</t>
        </is>
      </c>
      <c r="N3" s="33" t="inlineStr">
        <is>
          <t>矿区退库数量</t>
        </is>
      </c>
      <c r="O3" s="33" t="inlineStr">
        <is>
          <t>退库金额</t>
        </is>
      </c>
      <c r="P3" s="33" t="inlineStr">
        <is>
          <t>自用消耗数量</t>
        </is>
      </c>
      <c r="Q3" s="33" t="inlineStr">
        <is>
          <t>自用消耗金额</t>
        </is>
      </c>
      <c r="R3" s="33" t="inlineStr">
        <is>
          <t>对外销售数量</t>
        </is>
      </c>
      <c r="S3" s="33" t="inlineStr">
        <is>
          <t>对外销售成本</t>
        </is>
      </c>
      <c r="T3" s="33" t="inlineStr">
        <is>
          <t>盘亏数量</t>
        </is>
      </c>
      <c r="U3" s="33" t="inlineStr">
        <is>
          <t>盘亏金额</t>
        </is>
      </c>
      <c r="V3" s="33" t="inlineStr">
        <is>
          <t>退货数量</t>
        </is>
      </c>
      <c r="W3" s="33" t="inlineStr">
        <is>
          <t>退货金额</t>
        </is>
      </c>
      <c r="X3" s="33" t="inlineStr">
        <is>
          <t>期末数量</t>
        </is>
      </c>
      <c r="Y3" s="33" t="inlineStr">
        <is>
          <t>期末金额·先令</t>
        </is>
      </c>
      <c r="Z3" s="33" t="inlineStr">
        <is>
          <t>成本可信度</t>
        </is>
      </c>
      <c r="AA3" s="33" t="inlineStr">
        <is>
          <t>异常</t>
        </is>
      </c>
    </row>
    <row r="4">
      <c r="A4" s="34" t="inlineStr">
        <is>
          <t>合计</t>
        </is>
      </c>
      <c r="B4" s="24" t="n"/>
      <c r="C4" s="24" t="n"/>
      <c r="D4" s="24" t="n"/>
      <c r="E4" s="24" t="n"/>
      <c r="F4" s="24" t="n"/>
      <c r="G4" s="36">
        <f>ROUND(SUM(G5:G1204),2)</f>
        <v/>
      </c>
      <c r="H4" s="36">
        <f>ROUND(SUM(H5:H1204),2)</f>
        <v/>
      </c>
      <c r="I4" s="36">
        <f>ROUND(SUM(I5:I1204),2)</f>
        <v/>
      </c>
      <c r="J4" s="36">
        <f>ROUND(SUM(J5:J1204),2)</f>
        <v/>
      </c>
      <c r="K4" s="26" t="n"/>
      <c r="L4" s="36">
        <f>ROUND(SUM(L5:L1204),2)</f>
        <v/>
      </c>
      <c r="M4" s="36">
        <f>ROUND(SUM(M5:M1204),2)</f>
        <v/>
      </c>
      <c r="N4" s="36">
        <f>ROUND(SUM(N5:N1204),2)</f>
        <v/>
      </c>
      <c r="O4" s="36">
        <f>ROUND(SUM(O5:O1204),2)</f>
        <v/>
      </c>
      <c r="P4" s="36">
        <f>ROUND(SUM(P5:P1204),2)</f>
        <v/>
      </c>
      <c r="Q4" s="36">
        <f>ROUND(SUM(Q5:Q1204),2)</f>
        <v/>
      </c>
      <c r="R4" s="36">
        <f>ROUND(SUM(R5:R1204),2)</f>
        <v/>
      </c>
      <c r="S4" s="36">
        <f>ROUND(SUM(S5:S1204),2)</f>
        <v/>
      </c>
      <c r="T4" s="36">
        <f>ROUND(SUM(T5:T1204),2)</f>
        <v/>
      </c>
      <c r="U4" s="36">
        <f>ROUND(SUM(U5:U1204),2)</f>
        <v/>
      </c>
      <c r="V4" s="36">
        <f>ROUND(SUM(V5:V1204),2)</f>
        <v/>
      </c>
      <c r="W4" s="36">
        <f>ROUND(SUM(W5:W1204),2)</f>
        <v/>
      </c>
      <c r="X4" s="36">
        <f>ROUND(SUM(X5:X1204),2)</f>
        <v/>
      </c>
      <c r="Y4" s="36">
        <f>ROUND(SUM(Y5:Y1204),2)</f>
        <v/>
      </c>
      <c r="Z4" s="24" t="n"/>
      <c r="AA4" s="24" t="n"/>
    </row>
    <row r="5">
      <c r="A5" s="24">
        <f>IF(物料档案!$A4="","",物料档案!$A4)</f>
        <v/>
      </c>
      <c r="B5" s="24">
        <f>IF($A5="","",IFERROR(VLOOKUP($A5,物料档案!$A$4:$P$1203,3,0),""))</f>
        <v/>
      </c>
      <c r="C5" s="24">
        <f>IF($A5="","",IFERROR(VLOOKUP($A5,物料档案!$A$4:$P$1203,4,0),""))</f>
        <v/>
      </c>
      <c r="D5" s="24">
        <f>IF($A5="","",IFERROR(VLOOKUP($A5,物料档案!$A$4:$P$1203,5,0),""))</f>
        <v/>
      </c>
      <c r="E5" s="24">
        <f>IF($A5="","",IFERROR(VLOOKUP($A5,物料档案!$A$4:$P$1203,2,0),""))</f>
        <v/>
      </c>
      <c r="F5" s="24">
        <f>IF($A5="","",IFERROR(VLOOKUP($A5,物料档案!$A$4:$P$1203,6,0),""))</f>
        <v/>
      </c>
      <c r="G5" s="23" t="n"/>
      <c r="H5" s="32" t="n"/>
      <c r="I5" s="27">
        <f>IF($A5="","",SUMIFS(入库单!$K$4:$K$2503,入库单!$G$4:$G$2503,$A5,入库单!$X$4:$X$2503,"采购入库",入库单!$Z$4:$Z$2503,"正常",入库单!$C$4:$C$2503,"&gt;="&amp;账期起,入库单!$C$4:$C$2503,"&lt;="&amp;账期止))</f>
        <v/>
      </c>
      <c r="J5" s="26">
        <f>IF($A5="","",SUMIFS(入库单!$V$4:$V$2503,入库单!$G$4:$G$2503,$A5,入库单!$X$4:$X$2503,"采购入库",入库单!$Z$4:$Z$2503,"正常",入库单!$C$4:$C$2503,"&gt;="&amp;账期起,入库单!$C$4:$C$2503,"&lt;="&amp;账期止))</f>
        <v/>
      </c>
      <c r="K5" s="26">
        <f>IF($A5="","",IFERROR(ROUND((N($H5)+N($J5))/(N($G5)+N($I5)),2),0))</f>
        <v/>
      </c>
      <c r="L5" s="27">
        <f>IF($A5="","",SUMIFS(入库单!$K$4:$K$2503,入库单!$G$4:$G$2503,$A5,入库单!$X$4:$X$2503,"盘盈",入库单!$Z$4:$Z$2503,"正常",入库单!$C$4:$C$2503,"&gt;="&amp;账期起,入库单!$C$4:$C$2503,"&lt;="&amp;账期止))</f>
        <v/>
      </c>
      <c r="M5" s="26">
        <f>IF($A5="","",ROUND($L5*$K5,0))</f>
        <v/>
      </c>
      <c r="N5" s="27">
        <f>IF($A5="","",SUMIFS(入库单!$K$4:$K$2503,入库单!$G$4:$G$2503,$A5,入库单!$X$4:$X$2503,"矿区退库",入库单!$Z$4:$Z$2503,"正常",入库单!$C$4:$C$2503,"&gt;="&amp;账期起,入库单!$C$4:$C$2503,"&lt;="&amp;账期止))</f>
        <v/>
      </c>
      <c r="O5" s="26">
        <f>IF($A5="","",ROUND($N5*$K5,0))</f>
        <v/>
      </c>
      <c r="P5" s="27">
        <f>IF($A5="","",SUMIFS(出库单!$J$4:$J$4003,出库单!$D$4:$D$4003,$A5,出库单!$K$4:$K$4003,"自用消耗",出库单!$U$4:$U$4003,"正常",出库单!$C$4:$C$4003,"&gt;="&amp;账期起,出库单!$C$4:$C$4003,"&lt;="&amp;账期止))</f>
        <v/>
      </c>
      <c r="Q5" s="26">
        <f>IF($A5="","",ROUND(SUMIFS(出库单!$S$4:$S$4003,出库单!$D$4:$D$4003,$A5,出库单!$K$4:$K$4003,"自用消耗",出库单!$U$4:$U$4003,"正常",出库单!$C$4:$C$4003,"&gt;="&amp;账期起,出库单!$C$4:$C$4003,"&lt;="&amp;账期止),0))</f>
        <v/>
      </c>
      <c r="R5" s="27">
        <f>IF($A5="","",SUMIFS(出库单!$J$4:$J$4003,出库单!$D$4:$D$4003,$A5,出库单!$K$4:$K$4003,"对外销售",出库单!$U$4:$U$4003,"正常",出库单!$C$4:$C$4003,"&gt;="&amp;账期起,出库单!$C$4:$C$4003,"&lt;="&amp;账期止))</f>
        <v/>
      </c>
      <c r="S5" s="26">
        <f>IF($A5="","",ROUND(SUMIFS(出库单!$S$4:$S$4003,出库单!$D$4:$D$4003,$A5,出库单!$K$4:$K$4003,"对外销售",出库单!$U$4:$U$4003,"正常",出库单!$C$4:$C$4003,"&gt;="&amp;账期起,出库单!$C$4:$C$4003,"&lt;="&amp;账期止),0))</f>
        <v/>
      </c>
      <c r="T5" s="27">
        <f>IF($A5="","",SUMIFS(出库单!$J$4:$J$4003,出库单!$D$4:$D$4003,$A5,出库单!$K$4:$K$4003,"盘亏",出库单!$U$4:$U$4003,"正常",出库单!$C$4:$C$4003,"&gt;="&amp;账期起,出库单!$C$4:$C$4003,"&lt;="&amp;账期止))</f>
        <v/>
      </c>
      <c r="U5" s="26">
        <f>IF($A5="","",ROUND(SUMIFS(出库单!$S$4:$S$4003,出库单!$D$4:$D$4003,$A5,出库单!$K$4:$K$4003,"盘亏",出库单!$U$4:$U$4003,"正常",出库单!$C$4:$C$4003,"&gt;="&amp;账期起,出库单!$C$4:$C$4003,"&lt;="&amp;账期止),0))</f>
        <v/>
      </c>
      <c r="V5" s="27">
        <f>IF($A5="","",SUMIFS(出库单!$J$4:$J$4003,出库单!$D$4:$D$4003,$A5,出库单!$K$4:$K$4003,"退货给供应商",出库单!$U$4:$U$4003,"正常",出库单!$C$4:$C$4003,"&gt;="&amp;账期起,出库单!$C$4:$C$4003,"&lt;="&amp;账期止))</f>
        <v/>
      </c>
      <c r="W5" s="26">
        <f>IF($A5="","",ROUND(SUMIFS(出库单!$S$4:$S$4003,出库单!$D$4:$D$4003,$A5,出库单!$K$4:$K$4003,"退货给供应商",出库单!$U$4:$U$4003,"正常",出库单!$C$4:$C$4003,"&gt;="&amp;账期起,出库单!$C$4:$C$4003,"&lt;="&amp;账期止),0))</f>
        <v/>
      </c>
      <c r="X5" s="27">
        <f>IF($A5="","",ROUND(N($G5)+$I5+$L5+$N5-$P5-$R5-$T5-$V5,3))</f>
        <v/>
      </c>
      <c r="Y5" s="26">
        <f>IF($A5="","",ROUND(N($H5)+$J5+$M5+$O5-$Q5-$S5-$U5-$W5,0))</f>
        <v/>
      </c>
      <c r="Z5" s="24">
        <f>IF($A5="","",IF(COUNTIFS(入库单!$G$4:$G$2503,$A5,入库单!$Y$4:$Y$2503,"待补价")+COUNTIFS(入库单!$G$4:$G$2503,$A5,入库单!$Y$4:$Y$2503,"暂估")&gt;0,"不可信","可信"))</f>
        <v/>
      </c>
      <c r="AA5" s="24">
        <f>IF($A5="","",IF($X5&lt;-0.001,"※账面负库存，查一下是不是漏记入库",IF(AND(ROUND($X5,3)=0,ABS($Y5)&gt;1),"※数量已经是 0，金额还挂着 "&amp;TEXT($Y5,"#,##0")&amp;" 先令",IF(AND($X5&gt;0,$Y5&lt;=0,$K5=0),"※有数量没金额（这个物料一直没填过进价）",IF($Z5="不可信","△成本含待补价/暂估，毛利仅供参考","")))))</f>
        <v/>
      </c>
    </row>
    <row r="6">
      <c r="A6" s="24">
        <f>IF(物料档案!$A5="","",物料档案!$A5)</f>
        <v/>
      </c>
      <c r="B6" s="24">
        <f>IF($A6="","",IFERROR(VLOOKUP($A6,物料档案!$A$4:$P$1203,3,0),""))</f>
        <v/>
      </c>
      <c r="C6" s="24">
        <f>IF($A6="","",IFERROR(VLOOKUP($A6,物料档案!$A$4:$P$1203,4,0),""))</f>
        <v/>
      </c>
      <c r="D6" s="24">
        <f>IF($A6="","",IFERROR(VLOOKUP($A6,物料档案!$A$4:$P$1203,5,0),""))</f>
        <v/>
      </c>
      <c r="E6" s="24">
        <f>IF($A6="","",IFERROR(VLOOKUP($A6,物料档案!$A$4:$P$1203,2,0),""))</f>
        <v/>
      </c>
      <c r="F6" s="24">
        <f>IF($A6="","",IFERROR(VLOOKUP($A6,物料档案!$A$4:$P$1203,6,0),""))</f>
        <v/>
      </c>
      <c r="G6" s="23" t="n"/>
      <c r="H6" s="32" t="n"/>
      <c r="I6" s="27">
        <f>IF($A6="","",SUMIFS(入库单!$K$4:$K$2503,入库单!$G$4:$G$2503,$A6,入库单!$X$4:$X$2503,"采购入库",入库单!$Z$4:$Z$2503,"正常",入库单!$C$4:$C$2503,"&gt;="&amp;账期起,入库单!$C$4:$C$2503,"&lt;="&amp;账期止))</f>
        <v/>
      </c>
      <c r="J6" s="26">
        <f>IF($A6="","",SUMIFS(入库单!$V$4:$V$2503,入库单!$G$4:$G$2503,$A6,入库单!$X$4:$X$2503,"采购入库",入库单!$Z$4:$Z$2503,"正常",入库单!$C$4:$C$2503,"&gt;="&amp;账期起,入库单!$C$4:$C$2503,"&lt;="&amp;账期止))</f>
        <v/>
      </c>
      <c r="K6" s="26">
        <f>IF($A6="","",IFERROR(ROUND((N($H6)+N($J6))/(N($G6)+N($I6)),2),0))</f>
        <v/>
      </c>
      <c r="L6" s="27">
        <f>IF($A6="","",SUMIFS(入库单!$K$4:$K$2503,入库单!$G$4:$G$2503,$A6,入库单!$X$4:$X$2503,"盘盈",入库单!$Z$4:$Z$2503,"正常",入库单!$C$4:$C$2503,"&gt;="&amp;账期起,入库单!$C$4:$C$2503,"&lt;="&amp;账期止))</f>
        <v/>
      </c>
      <c r="M6" s="26">
        <f>IF($A6="","",ROUND($L6*$K6,0))</f>
        <v/>
      </c>
      <c r="N6" s="27">
        <f>IF($A6="","",SUMIFS(入库单!$K$4:$K$2503,入库单!$G$4:$G$2503,$A6,入库单!$X$4:$X$2503,"矿区退库",入库单!$Z$4:$Z$2503,"正常",入库单!$C$4:$C$2503,"&gt;="&amp;账期起,入库单!$C$4:$C$2503,"&lt;="&amp;账期止))</f>
        <v/>
      </c>
      <c r="O6" s="26">
        <f>IF($A6="","",ROUND($N6*$K6,0))</f>
        <v/>
      </c>
      <c r="P6" s="27">
        <f>IF($A6="","",SUMIFS(出库单!$J$4:$J$4003,出库单!$D$4:$D$4003,$A6,出库单!$K$4:$K$4003,"自用消耗",出库单!$U$4:$U$4003,"正常",出库单!$C$4:$C$4003,"&gt;="&amp;账期起,出库单!$C$4:$C$4003,"&lt;="&amp;账期止))</f>
        <v/>
      </c>
      <c r="Q6" s="26">
        <f>IF($A6="","",ROUND(SUMIFS(出库单!$S$4:$S$4003,出库单!$D$4:$D$4003,$A6,出库单!$K$4:$K$4003,"自用消耗",出库单!$U$4:$U$4003,"正常",出库单!$C$4:$C$4003,"&gt;="&amp;账期起,出库单!$C$4:$C$4003,"&lt;="&amp;账期止),0))</f>
        <v/>
      </c>
      <c r="R6" s="27">
        <f>IF($A6="","",SUMIFS(出库单!$J$4:$J$4003,出库单!$D$4:$D$4003,$A6,出库单!$K$4:$K$4003,"对外销售",出库单!$U$4:$U$4003,"正常",出库单!$C$4:$C$4003,"&gt;="&amp;账期起,出库单!$C$4:$C$4003,"&lt;="&amp;账期止))</f>
        <v/>
      </c>
      <c r="S6" s="26">
        <f>IF($A6="","",ROUND(SUMIFS(出库单!$S$4:$S$4003,出库单!$D$4:$D$4003,$A6,出库单!$K$4:$K$4003,"对外销售",出库单!$U$4:$U$4003,"正常",出库单!$C$4:$C$4003,"&gt;="&amp;账期起,出库单!$C$4:$C$4003,"&lt;="&amp;账期止),0))</f>
        <v/>
      </c>
      <c r="T6" s="27">
        <f>IF($A6="","",SUMIFS(出库单!$J$4:$J$4003,出库单!$D$4:$D$4003,$A6,出库单!$K$4:$K$4003,"盘亏",出库单!$U$4:$U$4003,"正常",出库单!$C$4:$C$4003,"&gt;="&amp;账期起,出库单!$C$4:$C$4003,"&lt;="&amp;账期止))</f>
        <v/>
      </c>
      <c r="U6" s="26">
        <f>IF($A6="","",ROUND(SUMIFS(出库单!$S$4:$S$4003,出库单!$D$4:$D$4003,$A6,出库单!$K$4:$K$4003,"盘亏",出库单!$U$4:$U$4003,"正常",出库单!$C$4:$C$4003,"&gt;="&amp;账期起,出库单!$C$4:$C$4003,"&lt;="&amp;账期止),0))</f>
        <v/>
      </c>
      <c r="V6" s="27">
        <f>IF($A6="","",SUMIFS(出库单!$J$4:$J$4003,出库单!$D$4:$D$4003,$A6,出库单!$K$4:$K$4003,"退货给供应商",出库单!$U$4:$U$4003,"正常",出库单!$C$4:$C$4003,"&gt;="&amp;账期起,出库单!$C$4:$C$4003,"&lt;="&amp;账期止))</f>
        <v/>
      </c>
      <c r="W6" s="26">
        <f>IF($A6="","",ROUND(SUMIFS(出库单!$S$4:$S$4003,出库单!$D$4:$D$4003,$A6,出库单!$K$4:$K$4003,"退货给供应商",出库单!$U$4:$U$4003,"正常",出库单!$C$4:$C$4003,"&gt;="&amp;账期起,出库单!$C$4:$C$4003,"&lt;="&amp;账期止),0))</f>
        <v/>
      </c>
      <c r="X6" s="27">
        <f>IF($A6="","",ROUND(N($G6)+$I6+$L6+$N6-$P6-$R6-$T6-$V6,3))</f>
        <v/>
      </c>
      <c r="Y6" s="26">
        <f>IF($A6="","",ROUND(N($H6)+$J6+$M6+$O6-$Q6-$S6-$U6-$W6,0))</f>
        <v/>
      </c>
      <c r="Z6" s="24">
        <f>IF($A6="","",IF(COUNTIFS(入库单!$G$4:$G$2503,$A6,入库单!$Y$4:$Y$2503,"待补价")+COUNTIFS(入库单!$G$4:$G$2503,$A6,入库单!$Y$4:$Y$2503,"暂估")&gt;0,"不可信","可信"))</f>
        <v/>
      </c>
      <c r="AA6" s="24">
        <f>IF($A6="","",IF($X6&lt;-0.001,"※账面负库存，查一下是不是漏记入库",IF(AND(ROUND($X6,3)=0,ABS($Y6)&gt;1),"※数量已经是 0，金额还挂着 "&amp;TEXT($Y6,"#,##0")&amp;" 先令",IF(AND($X6&gt;0,$Y6&lt;=0,$K6=0),"※有数量没金额（这个物料一直没填过进价）",IF($Z6="不可信","△成本含待补价/暂估，毛利仅供参考","")))))</f>
        <v/>
      </c>
    </row>
    <row r="7">
      <c r="A7" s="24">
        <f>IF(物料档案!$A6="","",物料档案!$A6)</f>
        <v/>
      </c>
      <c r="B7" s="24">
        <f>IF($A7="","",IFERROR(VLOOKUP($A7,物料档案!$A$4:$P$1203,3,0),""))</f>
        <v/>
      </c>
      <c r="C7" s="24">
        <f>IF($A7="","",IFERROR(VLOOKUP($A7,物料档案!$A$4:$P$1203,4,0),""))</f>
        <v/>
      </c>
      <c r="D7" s="24">
        <f>IF($A7="","",IFERROR(VLOOKUP($A7,物料档案!$A$4:$P$1203,5,0),""))</f>
        <v/>
      </c>
      <c r="E7" s="24">
        <f>IF($A7="","",IFERROR(VLOOKUP($A7,物料档案!$A$4:$P$1203,2,0),""))</f>
        <v/>
      </c>
      <c r="F7" s="24">
        <f>IF($A7="","",IFERROR(VLOOKUP($A7,物料档案!$A$4:$P$1203,6,0),""))</f>
        <v/>
      </c>
      <c r="G7" s="23" t="n"/>
      <c r="H7" s="32" t="n"/>
      <c r="I7" s="27">
        <f>IF($A7="","",SUMIFS(入库单!$K$4:$K$2503,入库单!$G$4:$G$2503,$A7,入库单!$X$4:$X$2503,"采购入库",入库单!$Z$4:$Z$2503,"正常",入库单!$C$4:$C$2503,"&gt;="&amp;账期起,入库单!$C$4:$C$2503,"&lt;="&amp;账期止))</f>
        <v/>
      </c>
      <c r="J7" s="26">
        <f>IF($A7="","",SUMIFS(入库单!$V$4:$V$2503,入库单!$G$4:$G$2503,$A7,入库单!$X$4:$X$2503,"采购入库",入库单!$Z$4:$Z$2503,"正常",入库单!$C$4:$C$2503,"&gt;="&amp;账期起,入库单!$C$4:$C$2503,"&lt;="&amp;账期止))</f>
        <v/>
      </c>
      <c r="K7" s="26">
        <f>IF($A7="","",IFERROR(ROUND((N($H7)+N($J7))/(N($G7)+N($I7)),2),0))</f>
        <v/>
      </c>
      <c r="L7" s="27">
        <f>IF($A7="","",SUMIFS(入库单!$K$4:$K$2503,入库单!$G$4:$G$2503,$A7,入库单!$X$4:$X$2503,"盘盈",入库单!$Z$4:$Z$2503,"正常",入库单!$C$4:$C$2503,"&gt;="&amp;账期起,入库单!$C$4:$C$2503,"&lt;="&amp;账期止))</f>
        <v/>
      </c>
      <c r="M7" s="26">
        <f>IF($A7="","",ROUND($L7*$K7,0))</f>
        <v/>
      </c>
      <c r="N7" s="27">
        <f>IF($A7="","",SUMIFS(入库单!$K$4:$K$2503,入库单!$G$4:$G$2503,$A7,入库单!$X$4:$X$2503,"矿区退库",入库单!$Z$4:$Z$2503,"正常",入库单!$C$4:$C$2503,"&gt;="&amp;账期起,入库单!$C$4:$C$2503,"&lt;="&amp;账期止))</f>
        <v/>
      </c>
      <c r="O7" s="26">
        <f>IF($A7="","",ROUND($N7*$K7,0))</f>
        <v/>
      </c>
      <c r="P7" s="27">
        <f>IF($A7="","",SUMIFS(出库单!$J$4:$J$4003,出库单!$D$4:$D$4003,$A7,出库单!$K$4:$K$4003,"自用消耗",出库单!$U$4:$U$4003,"正常",出库单!$C$4:$C$4003,"&gt;="&amp;账期起,出库单!$C$4:$C$4003,"&lt;="&amp;账期止))</f>
        <v/>
      </c>
      <c r="Q7" s="26">
        <f>IF($A7="","",ROUND(SUMIFS(出库单!$S$4:$S$4003,出库单!$D$4:$D$4003,$A7,出库单!$K$4:$K$4003,"自用消耗",出库单!$U$4:$U$4003,"正常",出库单!$C$4:$C$4003,"&gt;="&amp;账期起,出库单!$C$4:$C$4003,"&lt;="&amp;账期止),0))</f>
        <v/>
      </c>
      <c r="R7" s="27">
        <f>IF($A7="","",SUMIFS(出库单!$J$4:$J$4003,出库单!$D$4:$D$4003,$A7,出库单!$K$4:$K$4003,"对外销售",出库单!$U$4:$U$4003,"正常",出库单!$C$4:$C$4003,"&gt;="&amp;账期起,出库单!$C$4:$C$4003,"&lt;="&amp;账期止))</f>
        <v/>
      </c>
      <c r="S7" s="26">
        <f>IF($A7="","",ROUND(SUMIFS(出库单!$S$4:$S$4003,出库单!$D$4:$D$4003,$A7,出库单!$K$4:$K$4003,"对外销售",出库单!$U$4:$U$4003,"正常",出库单!$C$4:$C$4003,"&gt;="&amp;账期起,出库单!$C$4:$C$4003,"&lt;="&amp;账期止),0))</f>
        <v/>
      </c>
      <c r="T7" s="27">
        <f>IF($A7="","",SUMIFS(出库单!$J$4:$J$4003,出库单!$D$4:$D$4003,$A7,出库单!$K$4:$K$4003,"盘亏",出库单!$U$4:$U$4003,"正常",出库单!$C$4:$C$4003,"&gt;="&amp;账期起,出库单!$C$4:$C$4003,"&lt;="&amp;账期止))</f>
        <v/>
      </c>
      <c r="U7" s="26">
        <f>IF($A7="","",ROUND(SUMIFS(出库单!$S$4:$S$4003,出库单!$D$4:$D$4003,$A7,出库单!$K$4:$K$4003,"盘亏",出库单!$U$4:$U$4003,"正常",出库单!$C$4:$C$4003,"&gt;="&amp;账期起,出库单!$C$4:$C$4003,"&lt;="&amp;账期止),0))</f>
        <v/>
      </c>
      <c r="V7" s="27">
        <f>IF($A7="","",SUMIFS(出库单!$J$4:$J$4003,出库单!$D$4:$D$4003,$A7,出库单!$K$4:$K$4003,"退货给供应商",出库单!$U$4:$U$4003,"正常",出库单!$C$4:$C$4003,"&gt;="&amp;账期起,出库单!$C$4:$C$4003,"&lt;="&amp;账期止))</f>
        <v/>
      </c>
      <c r="W7" s="26">
        <f>IF($A7="","",ROUND(SUMIFS(出库单!$S$4:$S$4003,出库单!$D$4:$D$4003,$A7,出库单!$K$4:$K$4003,"退货给供应商",出库单!$U$4:$U$4003,"正常",出库单!$C$4:$C$4003,"&gt;="&amp;账期起,出库单!$C$4:$C$4003,"&lt;="&amp;账期止),0))</f>
        <v/>
      </c>
      <c r="X7" s="27">
        <f>IF($A7="","",ROUND(N($G7)+$I7+$L7+$N7-$P7-$R7-$T7-$V7,3))</f>
        <v/>
      </c>
      <c r="Y7" s="26">
        <f>IF($A7="","",ROUND(N($H7)+$J7+$M7+$O7-$Q7-$S7-$U7-$W7,0))</f>
        <v/>
      </c>
      <c r="Z7" s="24">
        <f>IF($A7="","",IF(COUNTIFS(入库单!$G$4:$G$2503,$A7,入库单!$Y$4:$Y$2503,"待补价")+COUNTIFS(入库单!$G$4:$G$2503,$A7,入库单!$Y$4:$Y$2503,"暂估")&gt;0,"不可信","可信"))</f>
        <v/>
      </c>
      <c r="AA7" s="24">
        <f>IF($A7="","",IF($X7&lt;-0.001,"※账面负库存，查一下是不是漏记入库",IF(AND(ROUND($X7,3)=0,ABS($Y7)&gt;1),"※数量已经是 0，金额还挂着 "&amp;TEXT($Y7,"#,##0")&amp;" 先令",IF(AND($X7&gt;0,$Y7&lt;=0,$K7=0),"※有数量没金额（这个物料一直没填过进价）",IF($Z7="不可信","△成本含待补价/暂估，毛利仅供参考","")))))</f>
        <v/>
      </c>
    </row>
    <row r="8">
      <c r="A8" s="24">
        <f>IF(物料档案!$A7="","",物料档案!$A7)</f>
        <v/>
      </c>
      <c r="B8" s="24">
        <f>IF($A8="","",IFERROR(VLOOKUP($A8,物料档案!$A$4:$P$1203,3,0),""))</f>
        <v/>
      </c>
      <c r="C8" s="24">
        <f>IF($A8="","",IFERROR(VLOOKUP($A8,物料档案!$A$4:$P$1203,4,0),""))</f>
        <v/>
      </c>
      <c r="D8" s="24">
        <f>IF($A8="","",IFERROR(VLOOKUP($A8,物料档案!$A$4:$P$1203,5,0),""))</f>
        <v/>
      </c>
      <c r="E8" s="24">
        <f>IF($A8="","",IFERROR(VLOOKUP($A8,物料档案!$A$4:$P$1203,2,0),""))</f>
        <v/>
      </c>
      <c r="F8" s="24">
        <f>IF($A8="","",IFERROR(VLOOKUP($A8,物料档案!$A$4:$P$1203,6,0),""))</f>
        <v/>
      </c>
      <c r="G8" s="23" t="n"/>
      <c r="H8" s="32" t="n"/>
      <c r="I8" s="27">
        <f>IF($A8="","",SUMIFS(入库单!$K$4:$K$2503,入库单!$G$4:$G$2503,$A8,入库单!$X$4:$X$2503,"采购入库",入库单!$Z$4:$Z$2503,"正常",入库单!$C$4:$C$2503,"&gt;="&amp;账期起,入库单!$C$4:$C$2503,"&lt;="&amp;账期止))</f>
        <v/>
      </c>
      <c r="J8" s="26">
        <f>IF($A8="","",SUMIFS(入库单!$V$4:$V$2503,入库单!$G$4:$G$2503,$A8,入库单!$X$4:$X$2503,"采购入库",入库单!$Z$4:$Z$2503,"正常",入库单!$C$4:$C$2503,"&gt;="&amp;账期起,入库单!$C$4:$C$2503,"&lt;="&amp;账期止))</f>
        <v/>
      </c>
      <c r="K8" s="26">
        <f>IF($A8="","",IFERROR(ROUND((N($H8)+N($J8))/(N($G8)+N($I8)),2),0))</f>
        <v/>
      </c>
      <c r="L8" s="27">
        <f>IF($A8="","",SUMIFS(入库单!$K$4:$K$2503,入库单!$G$4:$G$2503,$A8,入库单!$X$4:$X$2503,"盘盈",入库单!$Z$4:$Z$2503,"正常",入库单!$C$4:$C$2503,"&gt;="&amp;账期起,入库单!$C$4:$C$2503,"&lt;="&amp;账期止))</f>
        <v/>
      </c>
      <c r="M8" s="26">
        <f>IF($A8="","",ROUND($L8*$K8,0))</f>
        <v/>
      </c>
      <c r="N8" s="27">
        <f>IF($A8="","",SUMIFS(入库单!$K$4:$K$2503,入库单!$G$4:$G$2503,$A8,入库单!$X$4:$X$2503,"矿区退库",入库单!$Z$4:$Z$2503,"正常",入库单!$C$4:$C$2503,"&gt;="&amp;账期起,入库单!$C$4:$C$2503,"&lt;="&amp;账期止))</f>
        <v/>
      </c>
      <c r="O8" s="26">
        <f>IF($A8="","",ROUND($N8*$K8,0))</f>
        <v/>
      </c>
      <c r="P8" s="27">
        <f>IF($A8="","",SUMIFS(出库单!$J$4:$J$4003,出库单!$D$4:$D$4003,$A8,出库单!$K$4:$K$4003,"自用消耗",出库单!$U$4:$U$4003,"正常",出库单!$C$4:$C$4003,"&gt;="&amp;账期起,出库单!$C$4:$C$4003,"&lt;="&amp;账期止))</f>
        <v/>
      </c>
      <c r="Q8" s="26">
        <f>IF($A8="","",ROUND(SUMIFS(出库单!$S$4:$S$4003,出库单!$D$4:$D$4003,$A8,出库单!$K$4:$K$4003,"自用消耗",出库单!$U$4:$U$4003,"正常",出库单!$C$4:$C$4003,"&gt;="&amp;账期起,出库单!$C$4:$C$4003,"&lt;="&amp;账期止),0))</f>
        <v/>
      </c>
      <c r="R8" s="27">
        <f>IF($A8="","",SUMIFS(出库单!$J$4:$J$4003,出库单!$D$4:$D$4003,$A8,出库单!$K$4:$K$4003,"对外销售",出库单!$U$4:$U$4003,"正常",出库单!$C$4:$C$4003,"&gt;="&amp;账期起,出库单!$C$4:$C$4003,"&lt;="&amp;账期止))</f>
        <v/>
      </c>
      <c r="S8" s="26">
        <f>IF($A8="","",ROUND(SUMIFS(出库单!$S$4:$S$4003,出库单!$D$4:$D$4003,$A8,出库单!$K$4:$K$4003,"对外销售",出库单!$U$4:$U$4003,"正常",出库单!$C$4:$C$4003,"&gt;="&amp;账期起,出库单!$C$4:$C$4003,"&lt;="&amp;账期止),0))</f>
        <v/>
      </c>
      <c r="T8" s="27">
        <f>IF($A8="","",SUMIFS(出库单!$J$4:$J$4003,出库单!$D$4:$D$4003,$A8,出库单!$K$4:$K$4003,"盘亏",出库单!$U$4:$U$4003,"正常",出库单!$C$4:$C$4003,"&gt;="&amp;账期起,出库单!$C$4:$C$4003,"&lt;="&amp;账期止))</f>
        <v/>
      </c>
      <c r="U8" s="26">
        <f>IF($A8="","",ROUND(SUMIFS(出库单!$S$4:$S$4003,出库单!$D$4:$D$4003,$A8,出库单!$K$4:$K$4003,"盘亏",出库单!$U$4:$U$4003,"正常",出库单!$C$4:$C$4003,"&gt;="&amp;账期起,出库单!$C$4:$C$4003,"&lt;="&amp;账期止),0))</f>
        <v/>
      </c>
      <c r="V8" s="27">
        <f>IF($A8="","",SUMIFS(出库单!$J$4:$J$4003,出库单!$D$4:$D$4003,$A8,出库单!$K$4:$K$4003,"退货给供应商",出库单!$U$4:$U$4003,"正常",出库单!$C$4:$C$4003,"&gt;="&amp;账期起,出库单!$C$4:$C$4003,"&lt;="&amp;账期止))</f>
        <v/>
      </c>
      <c r="W8" s="26">
        <f>IF($A8="","",ROUND(SUMIFS(出库单!$S$4:$S$4003,出库单!$D$4:$D$4003,$A8,出库单!$K$4:$K$4003,"退货给供应商",出库单!$U$4:$U$4003,"正常",出库单!$C$4:$C$4003,"&gt;="&amp;账期起,出库单!$C$4:$C$4003,"&lt;="&amp;账期止),0))</f>
        <v/>
      </c>
      <c r="X8" s="27">
        <f>IF($A8="","",ROUND(N($G8)+$I8+$L8+$N8-$P8-$R8-$T8-$V8,3))</f>
        <v/>
      </c>
      <c r="Y8" s="26">
        <f>IF($A8="","",ROUND(N($H8)+$J8+$M8+$O8-$Q8-$S8-$U8-$W8,0))</f>
        <v/>
      </c>
      <c r="Z8" s="24">
        <f>IF($A8="","",IF(COUNTIFS(入库单!$G$4:$G$2503,$A8,入库单!$Y$4:$Y$2503,"待补价")+COUNTIFS(入库单!$G$4:$G$2503,$A8,入库单!$Y$4:$Y$2503,"暂估")&gt;0,"不可信","可信"))</f>
        <v/>
      </c>
      <c r="AA8" s="24">
        <f>IF($A8="","",IF($X8&lt;-0.001,"※账面负库存，查一下是不是漏记入库",IF(AND(ROUND($X8,3)=0,ABS($Y8)&gt;1),"※数量已经是 0，金额还挂着 "&amp;TEXT($Y8,"#,##0")&amp;" 先令",IF(AND($X8&gt;0,$Y8&lt;=0,$K8=0),"※有数量没金额（这个物料一直没填过进价）",IF($Z8="不可信","△成本含待补价/暂估，毛利仅供参考","")))))</f>
        <v/>
      </c>
    </row>
    <row r="9">
      <c r="A9" s="24">
        <f>IF(物料档案!$A8="","",物料档案!$A8)</f>
        <v/>
      </c>
      <c r="B9" s="24">
        <f>IF($A9="","",IFERROR(VLOOKUP($A9,物料档案!$A$4:$P$1203,3,0),""))</f>
        <v/>
      </c>
      <c r="C9" s="24">
        <f>IF($A9="","",IFERROR(VLOOKUP($A9,物料档案!$A$4:$P$1203,4,0),""))</f>
        <v/>
      </c>
      <c r="D9" s="24">
        <f>IF($A9="","",IFERROR(VLOOKUP($A9,物料档案!$A$4:$P$1203,5,0),""))</f>
        <v/>
      </c>
      <c r="E9" s="24">
        <f>IF($A9="","",IFERROR(VLOOKUP($A9,物料档案!$A$4:$P$1203,2,0),""))</f>
        <v/>
      </c>
      <c r="F9" s="24">
        <f>IF($A9="","",IFERROR(VLOOKUP($A9,物料档案!$A$4:$P$1203,6,0),""))</f>
        <v/>
      </c>
      <c r="G9" s="23" t="n"/>
      <c r="H9" s="32" t="n"/>
      <c r="I9" s="27">
        <f>IF($A9="","",SUMIFS(入库单!$K$4:$K$2503,入库单!$G$4:$G$2503,$A9,入库单!$X$4:$X$2503,"采购入库",入库单!$Z$4:$Z$2503,"正常",入库单!$C$4:$C$2503,"&gt;="&amp;账期起,入库单!$C$4:$C$2503,"&lt;="&amp;账期止))</f>
        <v/>
      </c>
      <c r="J9" s="26">
        <f>IF($A9="","",SUMIFS(入库单!$V$4:$V$2503,入库单!$G$4:$G$2503,$A9,入库单!$X$4:$X$2503,"采购入库",入库单!$Z$4:$Z$2503,"正常",入库单!$C$4:$C$2503,"&gt;="&amp;账期起,入库单!$C$4:$C$2503,"&lt;="&amp;账期止))</f>
        <v/>
      </c>
      <c r="K9" s="26">
        <f>IF($A9="","",IFERROR(ROUND((N($H9)+N($J9))/(N($G9)+N($I9)),2),0))</f>
        <v/>
      </c>
      <c r="L9" s="27">
        <f>IF($A9="","",SUMIFS(入库单!$K$4:$K$2503,入库单!$G$4:$G$2503,$A9,入库单!$X$4:$X$2503,"盘盈",入库单!$Z$4:$Z$2503,"正常",入库单!$C$4:$C$2503,"&gt;="&amp;账期起,入库单!$C$4:$C$2503,"&lt;="&amp;账期止))</f>
        <v/>
      </c>
      <c r="M9" s="26">
        <f>IF($A9="","",ROUND($L9*$K9,0))</f>
        <v/>
      </c>
      <c r="N9" s="27">
        <f>IF($A9="","",SUMIFS(入库单!$K$4:$K$2503,入库单!$G$4:$G$2503,$A9,入库单!$X$4:$X$2503,"矿区退库",入库单!$Z$4:$Z$2503,"正常",入库单!$C$4:$C$2503,"&gt;="&amp;账期起,入库单!$C$4:$C$2503,"&lt;="&amp;账期止))</f>
        <v/>
      </c>
      <c r="O9" s="26">
        <f>IF($A9="","",ROUND($N9*$K9,0))</f>
        <v/>
      </c>
      <c r="P9" s="27">
        <f>IF($A9="","",SUMIFS(出库单!$J$4:$J$4003,出库单!$D$4:$D$4003,$A9,出库单!$K$4:$K$4003,"自用消耗",出库单!$U$4:$U$4003,"正常",出库单!$C$4:$C$4003,"&gt;="&amp;账期起,出库单!$C$4:$C$4003,"&lt;="&amp;账期止))</f>
        <v/>
      </c>
      <c r="Q9" s="26">
        <f>IF($A9="","",ROUND(SUMIFS(出库单!$S$4:$S$4003,出库单!$D$4:$D$4003,$A9,出库单!$K$4:$K$4003,"自用消耗",出库单!$U$4:$U$4003,"正常",出库单!$C$4:$C$4003,"&gt;="&amp;账期起,出库单!$C$4:$C$4003,"&lt;="&amp;账期止),0))</f>
        <v/>
      </c>
      <c r="R9" s="27">
        <f>IF($A9="","",SUMIFS(出库单!$J$4:$J$4003,出库单!$D$4:$D$4003,$A9,出库单!$K$4:$K$4003,"对外销售",出库单!$U$4:$U$4003,"正常",出库单!$C$4:$C$4003,"&gt;="&amp;账期起,出库单!$C$4:$C$4003,"&lt;="&amp;账期止))</f>
        <v/>
      </c>
      <c r="S9" s="26">
        <f>IF($A9="","",ROUND(SUMIFS(出库单!$S$4:$S$4003,出库单!$D$4:$D$4003,$A9,出库单!$K$4:$K$4003,"对外销售",出库单!$U$4:$U$4003,"正常",出库单!$C$4:$C$4003,"&gt;="&amp;账期起,出库单!$C$4:$C$4003,"&lt;="&amp;账期止),0))</f>
        <v/>
      </c>
      <c r="T9" s="27">
        <f>IF($A9="","",SUMIFS(出库单!$J$4:$J$4003,出库单!$D$4:$D$4003,$A9,出库单!$K$4:$K$4003,"盘亏",出库单!$U$4:$U$4003,"正常",出库单!$C$4:$C$4003,"&gt;="&amp;账期起,出库单!$C$4:$C$4003,"&lt;="&amp;账期止))</f>
        <v/>
      </c>
      <c r="U9" s="26">
        <f>IF($A9="","",ROUND(SUMIFS(出库单!$S$4:$S$4003,出库单!$D$4:$D$4003,$A9,出库单!$K$4:$K$4003,"盘亏",出库单!$U$4:$U$4003,"正常",出库单!$C$4:$C$4003,"&gt;="&amp;账期起,出库单!$C$4:$C$4003,"&lt;="&amp;账期止),0))</f>
        <v/>
      </c>
      <c r="V9" s="27">
        <f>IF($A9="","",SUMIFS(出库单!$J$4:$J$4003,出库单!$D$4:$D$4003,$A9,出库单!$K$4:$K$4003,"退货给供应商",出库单!$U$4:$U$4003,"正常",出库单!$C$4:$C$4003,"&gt;="&amp;账期起,出库单!$C$4:$C$4003,"&lt;="&amp;账期止))</f>
        <v/>
      </c>
      <c r="W9" s="26">
        <f>IF($A9="","",ROUND(SUMIFS(出库单!$S$4:$S$4003,出库单!$D$4:$D$4003,$A9,出库单!$K$4:$K$4003,"退货给供应商",出库单!$U$4:$U$4003,"正常",出库单!$C$4:$C$4003,"&gt;="&amp;账期起,出库单!$C$4:$C$4003,"&lt;="&amp;账期止),0))</f>
        <v/>
      </c>
      <c r="X9" s="27">
        <f>IF($A9="","",ROUND(N($G9)+$I9+$L9+$N9-$P9-$R9-$T9-$V9,3))</f>
        <v/>
      </c>
      <c r="Y9" s="26">
        <f>IF($A9="","",ROUND(N($H9)+$J9+$M9+$O9-$Q9-$S9-$U9-$W9,0))</f>
        <v/>
      </c>
      <c r="Z9" s="24">
        <f>IF($A9="","",IF(COUNTIFS(入库单!$G$4:$G$2503,$A9,入库单!$Y$4:$Y$2503,"待补价")+COUNTIFS(入库单!$G$4:$G$2503,$A9,入库单!$Y$4:$Y$2503,"暂估")&gt;0,"不可信","可信"))</f>
        <v/>
      </c>
      <c r="AA9" s="24">
        <f>IF($A9="","",IF($X9&lt;-0.001,"※账面负库存，查一下是不是漏记入库",IF(AND(ROUND($X9,3)=0,ABS($Y9)&gt;1),"※数量已经是 0，金额还挂着 "&amp;TEXT($Y9,"#,##0")&amp;" 先令",IF(AND($X9&gt;0,$Y9&lt;=0,$K9=0),"※有数量没金额（这个物料一直没填过进价）",IF($Z9="不可信","△成本含待补价/暂估，毛利仅供参考","")))))</f>
        <v/>
      </c>
    </row>
    <row r="10">
      <c r="A10" s="24">
        <f>IF(物料档案!$A9="","",物料档案!$A9)</f>
        <v/>
      </c>
      <c r="B10" s="24">
        <f>IF($A10="","",IFERROR(VLOOKUP($A10,物料档案!$A$4:$P$1203,3,0),""))</f>
        <v/>
      </c>
      <c r="C10" s="24">
        <f>IF($A10="","",IFERROR(VLOOKUP($A10,物料档案!$A$4:$P$1203,4,0),""))</f>
        <v/>
      </c>
      <c r="D10" s="24">
        <f>IF($A10="","",IFERROR(VLOOKUP($A10,物料档案!$A$4:$P$1203,5,0),""))</f>
        <v/>
      </c>
      <c r="E10" s="24">
        <f>IF($A10="","",IFERROR(VLOOKUP($A10,物料档案!$A$4:$P$1203,2,0),""))</f>
        <v/>
      </c>
      <c r="F10" s="24">
        <f>IF($A10="","",IFERROR(VLOOKUP($A10,物料档案!$A$4:$P$1203,6,0),""))</f>
        <v/>
      </c>
      <c r="G10" s="23" t="n"/>
      <c r="H10" s="32" t="n"/>
      <c r="I10" s="27">
        <f>IF($A10="","",SUMIFS(入库单!$K$4:$K$2503,入库单!$G$4:$G$2503,$A10,入库单!$X$4:$X$2503,"采购入库",入库单!$Z$4:$Z$2503,"正常",入库单!$C$4:$C$2503,"&gt;="&amp;账期起,入库单!$C$4:$C$2503,"&lt;="&amp;账期止))</f>
        <v/>
      </c>
      <c r="J10" s="26">
        <f>IF($A10="","",SUMIFS(入库单!$V$4:$V$2503,入库单!$G$4:$G$2503,$A10,入库单!$X$4:$X$2503,"采购入库",入库单!$Z$4:$Z$2503,"正常",入库单!$C$4:$C$2503,"&gt;="&amp;账期起,入库单!$C$4:$C$2503,"&lt;="&amp;账期止))</f>
        <v/>
      </c>
      <c r="K10" s="26">
        <f>IF($A10="","",IFERROR(ROUND((N($H10)+N($J10))/(N($G10)+N($I10)),2),0))</f>
        <v/>
      </c>
      <c r="L10" s="27">
        <f>IF($A10="","",SUMIFS(入库单!$K$4:$K$2503,入库单!$G$4:$G$2503,$A10,入库单!$X$4:$X$2503,"盘盈",入库单!$Z$4:$Z$2503,"正常",入库单!$C$4:$C$2503,"&gt;="&amp;账期起,入库单!$C$4:$C$2503,"&lt;="&amp;账期止))</f>
        <v/>
      </c>
      <c r="M10" s="26">
        <f>IF($A10="","",ROUND($L10*$K10,0))</f>
        <v/>
      </c>
      <c r="N10" s="27">
        <f>IF($A10="","",SUMIFS(入库单!$K$4:$K$2503,入库单!$G$4:$G$2503,$A10,入库单!$X$4:$X$2503,"矿区退库",入库单!$Z$4:$Z$2503,"正常",入库单!$C$4:$C$2503,"&gt;="&amp;账期起,入库单!$C$4:$C$2503,"&lt;="&amp;账期止))</f>
        <v/>
      </c>
      <c r="O10" s="26">
        <f>IF($A10="","",ROUND($N10*$K10,0))</f>
        <v/>
      </c>
      <c r="P10" s="27">
        <f>IF($A10="","",SUMIFS(出库单!$J$4:$J$4003,出库单!$D$4:$D$4003,$A10,出库单!$K$4:$K$4003,"自用消耗",出库单!$U$4:$U$4003,"正常",出库单!$C$4:$C$4003,"&gt;="&amp;账期起,出库单!$C$4:$C$4003,"&lt;="&amp;账期止))</f>
        <v/>
      </c>
      <c r="Q10" s="26">
        <f>IF($A10="","",ROUND(SUMIFS(出库单!$S$4:$S$4003,出库单!$D$4:$D$4003,$A10,出库单!$K$4:$K$4003,"自用消耗",出库单!$U$4:$U$4003,"正常",出库单!$C$4:$C$4003,"&gt;="&amp;账期起,出库单!$C$4:$C$4003,"&lt;="&amp;账期止),0))</f>
        <v/>
      </c>
      <c r="R10" s="27">
        <f>IF($A10="","",SUMIFS(出库单!$J$4:$J$4003,出库单!$D$4:$D$4003,$A10,出库单!$K$4:$K$4003,"对外销售",出库单!$U$4:$U$4003,"正常",出库单!$C$4:$C$4003,"&gt;="&amp;账期起,出库单!$C$4:$C$4003,"&lt;="&amp;账期止))</f>
        <v/>
      </c>
      <c r="S10" s="26">
        <f>IF($A10="","",ROUND(SUMIFS(出库单!$S$4:$S$4003,出库单!$D$4:$D$4003,$A10,出库单!$K$4:$K$4003,"对外销售",出库单!$U$4:$U$4003,"正常",出库单!$C$4:$C$4003,"&gt;="&amp;账期起,出库单!$C$4:$C$4003,"&lt;="&amp;账期止),0))</f>
        <v/>
      </c>
      <c r="T10" s="27">
        <f>IF($A10="","",SUMIFS(出库单!$J$4:$J$4003,出库单!$D$4:$D$4003,$A10,出库单!$K$4:$K$4003,"盘亏",出库单!$U$4:$U$4003,"正常",出库单!$C$4:$C$4003,"&gt;="&amp;账期起,出库单!$C$4:$C$4003,"&lt;="&amp;账期止))</f>
        <v/>
      </c>
      <c r="U10" s="26">
        <f>IF($A10="","",ROUND(SUMIFS(出库单!$S$4:$S$4003,出库单!$D$4:$D$4003,$A10,出库单!$K$4:$K$4003,"盘亏",出库单!$U$4:$U$4003,"正常",出库单!$C$4:$C$4003,"&gt;="&amp;账期起,出库单!$C$4:$C$4003,"&lt;="&amp;账期止),0))</f>
        <v/>
      </c>
      <c r="V10" s="27">
        <f>IF($A10="","",SUMIFS(出库单!$J$4:$J$4003,出库单!$D$4:$D$4003,$A10,出库单!$K$4:$K$4003,"退货给供应商",出库单!$U$4:$U$4003,"正常",出库单!$C$4:$C$4003,"&gt;="&amp;账期起,出库单!$C$4:$C$4003,"&lt;="&amp;账期止))</f>
        <v/>
      </c>
      <c r="W10" s="26">
        <f>IF($A10="","",ROUND(SUMIFS(出库单!$S$4:$S$4003,出库单!$D$4:$D$4003,$A10,出库单!$K$4:$K$4003,"退货给供应商",出库单!$U$4:$U$4003,"正常",出库单!$C$4:$C$4003,"&gt;="&amp;账期起,出库单!$C$4:$C$4003,"&lt;="&amp;账期止),0))</f>
        <v/>
      </c>
      <c r="X10" s="27">
        <f>IF($A10="","",ROUND(N($G10)+$I10+$L10+$N10-$P10-$R10-$T10-$V10,3))</f>
        <v/>
      </c>
      <c r="Y10" s="26">
        <f>IF($A10="","",ROUND(N($H10)+$J10+$M10+$O10-$Q10-$S10-$U10-$W10,0))</f>
        <v/>
      </c>
      <c r="Z10" s="24">
        <f>IF($A10="","",IF(COUNTIFS(入库单!$G$4:$G$2503,$A10,入库单!$Y$4:$Y$2503,"待补价")+COUNTIFS(入库单!$G$4:$G$2503,$A10,入库单!$Y$4:$Y$2503,"暂估")&gt;0,"不可信","可信"))</f>
        <v/>
      </c>
      <c r="AA10" s="24">
        <f>IF($A10="","",IF($X10&lt;-0.001,"※账面负库存，查一下是不是漏记入库",IF(AND(ROUND($X10,3)=0,ABS($Y10)&gt;1),"※数量已经是 0，金额还挂着 "&amp;TEXT($Y10,"#,##0")&amp;" 先令",IF(AND($X10&gt;0,$Y10&lt;=0,$K10=0),"※有数量没金额（这个物料一直没填过进价）",IF($Z10="不可信","△成本含待补价/暂估，毛利仅供参考","")))))</f>
        <v/>
      </c>
    </row>
    <row r="11">
      <c r="A11" s="24">
        <f>IF(物料档案!$A10="","",物料档案!$A10)</f>
        <v/>
      </c>
      <c r="B11" s="24">
        <f>IF($A11="","",IFERROR(VLOOKUP($A11,物料档案!$A$4:$P$1203,3,0),""))</f>
        <v/>
      </c>
      <c r="C11" s="24">
        <f>IF($A11="","",IFERROR(VLOOKUP($A11,物料档案!$A$4:$P$1203,4,0),""))</f>
        <v/>
      </c>
      <c r="D11" s="24">
        <f>IF($A11="","",IFERROR(VLOOKUP($A11,物料档案!$A$4:$P$1203,5,0),""))</f>
        <v/>
      </c>
      <c r="E11" s="24">
        <f>IF($A11="","",IFERROR(VLOOKUP($A11,物料档案!$A$4:$P$1203,2,0),""))</f>
        <v/>
      </c>
      <c r="F11" s="24">
        <f>IF($A11="","",IFERROR(VLOOKUP($A11,物料档案!$A$4:$P$1203,6,0),""))</f>
        <v/>
      </c>
      <c r="G11" s="23" t="n"/>
      <c r="H11" s="32" t="n"/>
      <c r="I11" s="27">
        <f>IF($A11="","",SUMIFS(入库单!$K$4:$K$2503,入库单!$G$4:$G$2503,$A11,入库单!$X$4:$X$2503,"采购入库",入库单!$Z$4:$Z$2503,"正常",入库单!$C$4:$C$2503,"&gt;="&amp;账期起,入库单!$C$4:$C$2503,"&lt;="&amp;账期止))</f>
        <v/>
      </c>
      <c r="J11" s="26">
        <f>IF($A11="","",SUMIFS(入库单!$V$4:$V$2503,入库单!$G$4:$G$2503,$A11,入库单!$X$4:$X$2503,"采购入库",入库单!$Z$4:$Z$2503,"正常",入库单!$C$4:$C$2503,"&gt;="&amp;账期起,入库单!$C$4:$C$2503,"&lt;="&amp;账期止))</f>
        <v/>
      </c>
      <c r="K11" s="26">
        <f>IF($A11="","",IFERROR(ROUND((N($H11)+N($J11))/(N($G11)+N($I11)),2),0))</f>
        <v/>
      </c>
      <c r="L11" s="27">
        <f>IF($A11="","",SUMIFS(入库单!$K$4:$K$2503,入库单!$G$4:$G$2503,$A11,入库单!$X$4:$X$2503,"盘盈",入库单!$Z$4:$Z$2503,"正常",入库单!$C$4:$C$2503,"&gt;="&amp;账期起,入库单!$C$4:$C$2503,"&lt;="&amp;账期止))</f>
        <v/>
      </c>
      <c r="M11" s="26">
        <f>IF($A11="","",ROUND($L11*$K11,0))</f>
        <v/>
      </c>
      <c r="N11" s="27">
        <f>IF($A11="","",SUMIFS(入库单!$K$4:$K$2503,入库单!$G$4:$G$2503,$A11,入库单!$X$4:$X$2503,"矿区退库",入库单!$Z$4:$Z$2503,"正常",入库单!$C$4:$C$2503,"&gt;="&amp;账期起,入库单!$C$4:$C$2503,"&lt;="&amp;账期止))</f>
        <v/>
      </c>
      <c r="O11" s="26">
        <f>IF($A11="","",ROUND($N11*$K11,0))</f>
        <v/>
      </c>
      <c r="P11" s="27">
        <f>IF($A11="","",SUMIFS(出库单!$J$4:$J$4003,出库单!$D$4:$D$4003,$A11,出库单!$K$4:$K$4003,"自用消耗",出库单!$U$4:$U$4003,"正常",出库单!$C$4:$C$4003,"&gt;="&amp;账期起,出库单!$C$4:$C$4003,"&lt;="&amp;账期止))</f>
        <v/>
      </c>
      <c r="Q11" s="26">
        <f>IF($A11="","",ROUND(SUMIFS(出库单!$S$4:$S$4003,出库单!$D$4:$D$4003,$A11,出库单!$K$4:$K$4003,"自用消耗",出库单!$U$4:$U$4003,"正常",出库单!$C$4:$C$4003,"&gt;="&amp;账期起,出库单!$C$4:$C$4003,"&lt;="&amp;账期止),0))</f>
        <v/>
      </c>
      <c r="R11" s="27">
        <f>IF($A11="","",SUMIFS(出库单!$J$4:$J$4003,出库单!$D$4:$D$4003,$A11,出库单!$K$4:$K$4003,"对外销售",出库单!$U$4:$U$4003,"正常",出库单!$C$4:$C$4003,"&gt;="&amp;账期起,出库单!$C$4:$C$4003,"&lt;="&amp;账期止))</f>
        <v/>
      </c>
      <c r="S11" s="26">
        <f>IF($A11="","",ROUND(SUMIFS(出库单!$S$4:$S$4003,出库单!$D$4:$D$4003,$A11,出库单!$K$4:$K$4003,"对外销售",出库单!$U$4:$U$4003,"正常",出库单!$C$4:$C$4003,"&gt;="&amp;账期起,出库单!$C$4:$C$4003,"&lt;="&amp;账期止),0))</f>
        <v/>
      </c>
      <c r="T11" s="27">
        <f>IF($A11="","",SUMIFS(出库单!$J$4:$J$4003,出库单!$D$4:$D$4003,$A11,出库单!$K$4:$K$4003,"盘亏",出库单!$U$4:$U$4003,"正常",出库单!$C$4:$C$4003,"&gt;="&amp;账期起,出库单!$C$4:$C$4003,"&lt;="&amp;账期止))</f>
        <v/>
      </c>
      <c r="U11" s="26">
        <f>IF($A11="","",ROUND(SUMIFS(出库单!$S$4:$S$4003,出库单!$D$4:$D$4003,$A11,出库单!$K$4:$K$4003,"盘亏",出库单!$U$4:$U$4003,"正常",出库单!$C$4:$C$4003,"&gt;="&amp;账期起,出库单!$C$4:$C$4003,"&lt;="&amp;账期止),0))</f>
        <v/>
      </c>
      <c r="V11" s="27">
        <f>IF($A11="","",SUMIFS(出库单!$J$4:$J$4003,出库单!$D$4:$D$4003,$A11,出库单!$K$4:$K$4003,"退货给供应商",出库单!$U$4:$U$4003,"正常",出库单!$C$4:$C$4003,"&gt;="&amp;账期起,出库单!$C$4:$C$4003,"&lt;="&amp;账期止))</f>
        <v/>
      </c>
      <c r="W11" s="26">
        <f>IF($A11="","",ROUND(SUMIFS(出库单!$S$4:$S$4003,出库单!$D$4:$D$4003,$A11,出库单!$K$4:$K$4003,"退货给供应商",出库单!$U$4:$U$4003,"正常",出库单!$C$4:$C$4003,"&gt;="&amp;账期起,出库单!$C$4:$C$4003,"&lt;="&amp;账期止),0))</f>
        <v/>
      </c>
      <c r="X11" s="27">
        <f>IF($A11="","",ROUND(N($G11)+$I11+$L11+$N11-$P11-$R11-$T11-$V11,3))</f>
        <v/>
      </c>
      <c r="Y11" s="26">
        <f>IF($A11="","",ROUND(N($H11)+$J11+$M11+$O11-$Q11-$S11-$U11-$W11,0))</f>
        <v/>
      </c>
      <c r="Z11" s="24">
        <f>IF($A11="","",IF(COUNTIFS(入库单!$G$4:$G$2503,$A11,入库单!$Y$4:$Y$2503,"待补价")+COUNTIFS(入库单!$G$4:$G$2503,$A11,入库单!$Y$4:$Y$2503,"暂估")&gt;0,"不可信","可信"))</f>
        <v/>
      </c>
      <c r="AA11" s="24">
        <f>IF($A11="","",IF($X11&lt;-0.001,"※账面负库存，查一下是不是漏记入库",IF(AND(ROUND($X11,3)=0,ABS($Y11)&gt;1),"※数量已经是 0，金额还挂着 "&amp;TEXT($Y11,"#,##0")&amp;" 先令",IF(AND($X11&gt;0,$Y11&lt;=0,$K11=0),"※有数量没金额（这个物料一直没填过进价）",IF($Z11="不可信","△成本含待补价/暂估，毛利仅供参考","")))))</f>
        <v/>
      </c>
    </row>
    <row r="12">
      <c r="A12" s="24">
        <f>IF(物料档案!$A11="","",物料档案!$A11)</f>
        <v/>
      </c>
      <c r="B12" s="24">
        <f>IF($A12="","",IFERROR(VLOOKUP($A12,物料档案!$A$4:$P$1203,3,0),""))</f>
        <v/>
      </c>
      <c r="C12" s="24">
        <f>IF($A12="","",IFERROR(VLOOKUP($A12,物料档案!$A$4:$P$1203,4,0),""))</f>
        <v/>
      </c>
      <c r="D12" s="24">
        <f>IF($A12="","",IFERROR(VLOOKUP($A12,物料档案!$A$4:$P$1203,5,0),""))</f>
        <v/>
      </c>
      <c r="E12" s="24">
        <f>IF($A12="","",IFERROR(VLOOKUP($A12,物料档案!$A$4:$P$1203,2,0),""))</f>
        <v/>
      </c>
      <c r="F12" s="24">
        <f>IF($A12="","",IFERROR(VLOOKUP($A12,物料档案!$A$4:$P$1203,6,0),""))</f>
        <v/>
      </c>
      <c r="G12" s="23" t="n"/>
      <c r="H12" s="32" t="n"/>
      <c r="I12" s="27">
        <f>IF($A12="","",SUMIFS(入库单!$K$4:$K$2503,入库单!$G$4:$G$2503,$A12,入库单!$X$4:$X$2503,"采购入库",入库单!$Z$4:$Z$2503,"正常",入库单!$C$4:$C$2503,"&gt;="&amp;账期起,入库单!$C$4:$C$2503,"&lt;="&amp;账期止))</f>
        <v/>
      </c>
      <c r="J12" s="26">
        <f>IF($A12="","",SUMIFS(入库单!$V$4:$V$2503,入库单!$G$4:$G$2503,$A12,入库单!$X$4:$X$2503,"采购入库",入库单!$Z$4:$Z$2503,"正常",入库单!$C$4:$C$2503,"&gt;="&amp;账期起,入库单!$C$4:$C$2503,"&lt;="&amp;账期止))</f>
        <v/>
      </c>
      <c r="K12" s="26">
        <f>IF($A12="","",IFERROR(ROUND((N($H12)+N($J12))/(N($G12)+N($I12)),2),0))</f>
        <v/>
      </c>
      <c r="L12" s="27">
        <f>IF($A12="","",SUMIFS(入库单!$K$4:$K$2503,入库单!$G$4:$G$2503,$A12,入库单!$X$4:$X$2503,"盘盈",入库单!$Z$4:$Z$2503,"正常",入库单!$C$4:$C$2503,"&gt;="&amp;账期起,入库单!$C$4:$C$2503,"&lt;="&amp;账期止))</f>
        <v/>
      </c>
      <c r="M12" s="26">
        <f>IF($A12="","",ROUND($L12*$K12,0))</f>
        <v/>
      </c>
      <c r="N12" s="27">
        <f>IF($A12="","",SUMIFS(入库单!$K$4:$K$2503,入库单!$G$4:$G$2503,$A12,入库单!$X$4:$X$2503,"矿区退库",入库单!$Z$4:$Z$2503,"正常",入库单!$C$4:$C$2503,"&gt;="&amp;账期起,入库单!$C$4:$C$2503,"&lt;="&amp;账期止))</f>
        <v/>
      </c>
      <c r="O12" s="26">
        <f>IF($A12="","",ROUND($N12*$K12,0))</f>
        <v/>
      </c>
      <c r="P12" s="27">
        <f>IF($A12="","",SUMIFS(出库单!$J$4:$J$4003,出库单!$D$4:$D$4003,$A12,出库单!$K$4:$K$4003,"自用消耗",出库单!$U$4:$U$4003,"正常",出库单!$C$4:$C$4003,"&gt;="&amp;账期起,出库单!$C$4:$C$4003,"&lt;="&amp;账期止))</f>
        <v/>
      </c>
      <c r="Q12" s="26">
        <f>IF($A12="","",ROUND(SUMIFS(出库单!$S$4:$S$4003,出库单!$D$4:$D$4003,$A12,出库单!$K$4:$K$4003,"自用消耗",出库单!$U$4:$U$4003,"正常",出库单!$C$4:$C$4003,"&gt;="&amp;账期起,出库单!$C$4:$C$4003,"&lt;="&amp;账期止),0))</f>
        <v/>
      </c>
      <c r="R12" s="27">
        <f>IF($A12="","",SUMIFS(出库单!$J$4:$J$4003,出库单!$D$4:$D$4003,$A12,出库单!$K$4:$K$4003,"对外销售",出库单!$U$4:$U$4003,"正常",出库单!$C$4:$C$4003,"&gt;="&amp;账期起,出库单!$C$4:$C$4003,"&lt;="&amp;账期止))</f>
        <v/>
      </c>
      <c r="S12" s="26">
        <f>IF($A12="","",ROUND(SUMIFS(出库单!$S$4:$S$4003,出库单!$D$4:$D$4003,$A12,出库单!$K$4:$K$4003,"对外销售",出库单!$U$4:$U$4003,"正常",出库单!$C$4:$C$4003,"&gt;="&amp;账期起,出库单!$C$4:$C$4003,"&lt;="&amp;账期止),0))</f>
        <v/>
      </c>
      <c r="T12" s="27">
        <f>IF($A12="","",SUMIFS(出库单!$J$4:$J$4003,出库单!$D$4:$D$4003,$A12,出库单!$K$4:$K$4003,"盘亏",出库单!$U$4:$U$4003,"正常",出库单!$C$4:$C$4003,"&gt;="&amp;账期起,出库单!$C$4:$C$4003,"&lt;="&amp;账期止))</f>
        <v/>
      </c>
      <c r="U12" s="26">
        <f>IF($A12="","",ROUND(SUMIFS(出库单!$S$4:$S$4003,出库单!$D$4:$D$4003,$A12,出库单!$K$4:$K$4003,"盘亏",出库单!$U$4:$U$4003,"正常",出库单!$C$4:$C$4003,"&gt;="&amp;账期起,出库单!$C$4:$C$4003,"&lt;="&amp;账期止),0))</f>
        <v/>
      </c>
      <c r="V12" s="27">
        <f>IF($A12="","",SUMIFS(出库单!$J$4:$J$4003,出库单!$D$4:$D$4003,$A12,出库单!$K$4:$K$4003,"退货给供应商",出库单!$U$4:$U$4003,"正常",出库单!$C$4:$C$4003,"&gt;="&amp;账期起,出库单!$C$4:$C$4003,"&lt;="&amp;账期止))</f>
        <v/>
      </c>
      <c r="W12" s="26">
        <f>IF($A12="","",ROUND(SUMIFS(出库单!$S$4:$S$4003,出库单!$D$4:$D$4003,$A12,出库单!$K$4:$K$4003,"退货给供应商",出库单!$U$4:$U$4003,"正常",出库单!$C$4:$C$4003,"&gt;="&amp;账期起,出库单!$C$4:$C$4003,"&lt;="&amp;账期止),0))</f>
        <v/>
      </c>
      <c r="X12" s="27">
        <f>IF($A12="","",ROUND(N($G12)+$I12+$L12+$N12-$P12-$R12-$T12-$V12,3))</f>
        <v/>
      </c>
      <c r="Y12" s="26">
        <f>IF($A12="","",ROUND(N($H12)+$J12+$M12+$O12-$Q12-$S12-$U12-$W12,0))</f>
        <v/>
      </c>
      <c r="Z12" s="24">
        <f>IF($A12="","",IF(COUNTIFS(入库单!$G$4:$G$2503,$A12,入库单!$Y$4:$Y$2503,"待补价")+COUNTIFS(入库单!$G$4:$G$2503,$A12,入库单!$Y$4:$Y$2503,"暂估")&gt;0,"不可信","可信"))</f>
        <v/>
      </c>
      <c r="AA12" s="24">
        <f>IF($A12="","",IF($X12&lt;-0.001,"※账面负库存，查一下是不是漏记入库",IF(AND(ROUND($X12,3)=0,ABS($Y12)&gt;1),"※数量已经是 0，金额还挂着 "&amp;TEXT($Y12,"#,##0")&amp;" 先令",IF(AND($X12&gt;0,$Y12&lt;=0,$K12=0),"※有数量没金额（这个物料一直没填过进价）",IF($Z12="不可信","△成本含待补价/暂估，毛利仅供参考","")))))</f>
        <v/>
      </c>
    </row>
    <row r="13">
      <c r="A13" s="24">
        <f>IF(物料档案!$A12="","",物料档案!$A12)</f>
        <v/>
      </c>
      <c r="B13" s="24">
        <f>IF($A13="","",IFERROR(VLOOKUP($A13,物料档案!$A$4:$P$1203,3,0),""))</f>
        <v/>
      </c>
      <c r="C13" s="24">
        <f>IF($A13="","",IFERROR(VLOOKUP($A13,物料档案!$A$4:$P$1203,4,0),""))</f>
        <v/>
      </c>
      <c r="D13" s="24">
        <f>IF($A13="","",IFERROR(VLOOKUP($A13,物料档案!$A$4:$P$1203,5,0),""))</f>
        <v/>
      </c>
      <c r="E13" s="24">
        <f>IF($A13="","",IFERROR(VLOOKUP($A13,物料档案!$A$4:$P$1203,2,0),""))</f>
        <v/>
      </c>
      <c r="F13" s="24">
        <f>IF($A13="","",IFERROR(VLOOKUP($A13,物料档案!$A$4:$P$1203,6,0),""))</f>
        <v/>
      </c>
      <c r="G13" s="23" t="n"/>
      <c r="H13" s="32" t="n"/>
      <c r="I13" s="27">
        <f>IF($A13="","",SUMIFS(入库单!$K$4:$K$2503,入库单!$G$4:$G$2503,$A13,入库单!$X$4:$X$2503,"采购入库",入库单!$Z$4:$Z$2503,"正常",入库单!$C$4:$C$2503,"&gt;="&amp;账期起,入库单!$C$4:$C$2503,"&lt;="&amp;账期止))</f>
        <v/>
      </c>
      <c r="J13" s="26">
        <f>IF($A13="","",SUMIFS(入库单!$V$4:$V$2503,入库单!$G$4:$G$2503,$A13,入库单!$X$4:$X$2503,"采购入库",入库单!$Z$4:$Z$2503,"正常",入库单!$C$4:$C$2503,"&gt;="&amp;账期起,入库单!$C$4:$C$2503,"&lt;="&amp;账期止))</f>
        <v/>
      </c>
      <c r="K13" s="26">
        <f>IF($A13="","",IFERROR(ROUND((N($H13)+N($J13))/(N($G13)+N($I13)),2),0))</f>
        <v/>
      </c>
      <c r="L13" s="27">
        <f>IF($A13="","",SUMIFS(入库单!$K$4:$K$2503,入库单!$G$4:$G$2503,$A13,入库单!$X$4:$X$2503,"盘盈",入库单!$Z$4:$Z$2503,"正常",入库单!$C$4:$C$2503,"&gt;="&amp;账期起,入库单!$C$4:$C$2503,"&lt;="&amp;账期止))</f>
        <v/>
      </c>
      <c r="M13" s="26">
        <f>IF($A13="","",ROUND($L13*$K13,0))</f>
        <v/>
      </c>
      <c r="N13" s="27">
        <f>IF($A13="","",SUMIFS(入库单!$K$4:$K$2503,入库单!$G$4:$G$2503,$A13,入库单!$X$4:$X$2503,"矿区退库",入库单!$Z$4:$Z$2503,"正常",入库单!$C$4:$C$2503,"&gt;="&amp;账期起,入库单!$C$4:$C$2503,"&lt;="&amp;账期止))</f>
        <v/>
      </c>
      <c r="O13" s="26">
        <f>IF($A13="","",ROUND($N13*$K13,0))</f>
        <v/>
      </c>
      <c r="P13" s="27">
        <f>IF($A13="","",SUMIFS(出库单!$J$4:$J$4003,出库单!$D$4:$D$4003,$A13,出库单!$K$4:$K$4003,"自用消耗",出库单!$U$4:$U$4003,"正常",出库单!$C$4:$C$4003,"&gt;="&amp;账期起,出库单!$C$4:$C$4003,"&lt;="&amp;账期止))</f>
        <v/>
      </c>
      <c r="Q13" s="26">
        <f>IF($A13="","",ROUND(SUMIFS(出库单!$S$4:$S$4003,出库单!$D$4:$D$4003,$A13,出库单!$K$4:$K$4003,"自用消耗",出库单!$U$4:$U$4003,"正常",出库单!$C$4:$C$4003,"&gt;="&amp;账期起,出库单!$C$4:$C$4003,"&lt;="&amp;账期止),0))</f>
        <v/>
      </c>
      <c r="R13" s="27">
        <f>IF($A13="","",SUMIFS(出库单!$J$4:$J$4003,出库单!$D$4:$D$4003,$A13,出库单!$K$4:$K$4003,"对外销售",出库单!$U$4:$U$4003,"正常",出库单!$C$4:$C$4003,"&gt;="&amp;账期起,出库单!$C$4:$C$4003,"&lt;="&amp;账期止))</f>
        <v/>
      </c>
      <c r="S13" s="26">
        <f>IF($A13="","",ROUND(SUMIFS(出库单!$S$4:$S$4003,出库单!$D$4:$D$4003,$A13,出库单!$K$4:$K$4003,"对外销售",出库单!$U$4:$U$4003,"正常",出库单!$C$4:$C$4003,"&gt;="&amp;账期起,出库单!$C$4:$C$4003,"&lt;="&amp;账期止),0))</f>
        <v/>
      </c>
      <c r="T13" s="27">
        <f>IF($A13="","",SUMIFS(出库单!$J$4:$J$4003,出库单!$D$4:$D$4003,$A13,出库单!$K$4:$K$4003,"盘亏",出库单!$U$4:$U$4003,"正常",出库单!$C$4:$C$4003,"&gt;="&amp;账期起,出库单!$C$4:$C$4003,"&lt;="&amp;账期止))</f>
        <v/>
      </c>
      <c r="U13" s="26">
        <f>IF($A13="","",ROUND(SUMIFS(出库单!$S$4:$S$4003,出库单!$D$4:$D$4003,$A13,出库单!$K$4:$K$4003,"盘亏",出库单!$U$4:$U$4003,"正常",出库单!$C$4:$C$4003,"&gt;="&amp;账期起,出库单!$C$4:$C$4003,"&lt;="&amp;账期止),0))</f>
        <v/>
      </c>
      <c r="V13" s="27">
        <f>IF($A13="","",SUMIFS(出库单!$J$4:$J$4003,出库单!$D$4:$D$4003,$A13,出库单!$K$4:$K$4003,"退货给供应商",出库单!$U$4:$U$4003,"正常",出库单!$C$4:$C$4003,"&gt;="&amp;账期起,出库单!$C$4:$C$4003,"&lt;="&amp;账期止))</f>
        <v/>
      </c>
      <c r="W13" s="26">
        <f>IF($A13="","",ROUND(SUMIFS(出库单!$S$4:$S$4003,出库单!$D$4:$D$4003,$A13,出库单!$K$4:$K$4003,"退货给供应商",出库单!$U$4:$U$4003,"正常",出库单!$C$4:$C$4003,"&gt;="&amp;账期起,出库单!$C$4:$C$4003,"&lt;="&amp;账期止),0))</f>
        <v/>
      </c>
      <c r="X13" s="27">
        <f>IF($A13="","",ROUND(N($G13)+$I13+$L13+$N13-$P13-$R13-$T13-$V13,3))</f>
        <v/>
      </c>
      <c r="Y13" s="26">
        <f>IF($A13="","",ROUND(N($H13)+$J13+$M13+$O13-$Q13-$S13-$U13-$W13,0))</f>
        <v/>
      </c>
      <c r="Z13" s="24">
        <f>IF($A13="","",IF(COUNTIFS(入库单!$G$4:$G$2503,$A13,入库单!$Y$4:$Y$2503,"待补价")+COUNTIFS(入库单!$G$4:$G$2503,$A13,入库单!$Y$4:$Y$2503,"暂估")&gt;0,"不可信","可信"))</f>
        <v/>
      </c>
      <c r="AA13" s="24">
        <f>IF($A13="","",IF($X13&lt;-0.001,"※账面负库存，查一下是不是漏记入库",IF(AND(ROUND($X13,3)=0,ABS($Y13)&gt;1),"※数量已经是 0，金额还挂着 "&amp;TEXT($Y13,"#,##0")&amp;" 先令",IF(AND($X13&gt;0,$Y13&lt;=0,$K13=0),"※有数量没金额（这个物料一直没填过进价）",IF($Z13="不可信","△成本含待补价/暂估，毛利仅供参考","")))))</f>
        <v/>
      </c>
    </row>
    <row r="14">
      <c r="A14" s="24">
        <f>IF(物料档案!$A13="","",物料档案!$A13)</f>
        <v/>
      </c>
      <c r="B14" s="24">
        <f>IF($A14="","",IFERROR(VLOOKUP($A14,物料档案!$A$4:$P$1203,3,0),""))</f>
        <v/>
      </c>
      <c r="C14" s="24">
        <f>IF($A14="","",IFERROR(VLOOKUP($A14,物料档案!$A$4:$P$1203,4,0),""))</f>
        <v/>
      </c>
      <c r="D14" s="24">
        <f>IF($A14="","",IFERROR(VLOOKUP($A14,物料档案!$A$4:$P$1203,5,0),""))</f>
        <v/>
      </c>
      <c r="E14" s="24">
        <f>IF($A14="","",IFERROR(VLOOKUP($A14,物料档案!$A$4:$P$1203,2,0),""))</f>
        <v/>
      </c>
      <c r="F14" s="24">
        <f>IF($A14="","",IFERROR(VLOOKUP($A14,物料档案!$A$4:$P$1203,6,0),""))</f>
        <v/>
      </c>
      <c r="G14" s="23" t="n"/>
      <c r="H14" s="32" t="n"/>
      <c r="I14" s="27">
        <f>IF($A14="","",SUMIFS(入库单!$K$4:$K$2503,入库单!$G$4:$G$2503,$A14,入库单!$X$4:$X$2503,"采购入库",入库单!$Z$4:$Z$2503,"正常",入库单!$C$4:$C$2503,"&gt;="&amp;账期起,入库单!$C$4:$C$2503,"&lt;="&amp;账期止))</f>
        <v/>
      </c>
      <c r="J14" s="26">
        <f>IF($A14="","",SUMIFS(入库单!$V$4:$V$2503,入库单!$G$4:$G$2503,$A14,入库单!$X$4:$X$2503,"采购入库",入库单!$Z$4:$Z$2503,"正常",入库单!$C$4:$C$2503,"&gt;="&amp;账期起,入库单!$C$4:$C$2503,"&lt;="&amp;账期止))</f>
        <v/>
      </c>
      <c r="K14" s="26">
        <f>IF($A14="","",IFERROR(ROUND((N($H14)+N($J14))/(N($G14)+N($I14)),2),0))</f>
        <v/>
      </c>
      <c r="L14" s="27">
        <f>IF($A14="","",SUMIFS(入库单!$K$4:$K$2503,入库单!$G$4:$G$2503,$A14,入库单!$X$4:$X$2503,"盘盈",入库单!$Z$4:$Z$2503,"正常",入库单!$C$4:$C$2503,"&gt;="&amp;账期起,入库单!$C$4:$C$2503,"&lt;="&amp;账期止))</f>
        <v/>
      </c>
      <c r="M14" s="26">
        <f>IF($A14="","",ROUND($L14*$K14,0))</f>
        <v/>
      </c>
      <c r="N14" s="27">
        <f>IF($A14="","",SUMIFS(入库单!$K$4:$K$2503,入库单!$G$4:$G$2503,$A14,入库单!$X$4:$X$2503,"矿区退库",入库单!$Z$4:$Z$2503,"正常",入库单!$C$4:$C$2503,"&gt;="&amp;账期起,入库单!$C$4:$C$2503,"&lt;="&amp;账期止))</f>
        <v/>
      </c>
      <c r="O14" s="26">
        <f>IF($A14="","",ROUND($N14*$K14,0))</f>
        <v/>
      </c>
      <c r="P14" s="27">
        <f>IF($A14="","",SUMIFS(出库单!$J$4:$J$4003,出库单!$D$4:$D$4003,$A14,出库单!$K$4:$K$4003,"自用消耗",出库单!$U$4:$U$4003,"正常",出库单!$C$4:$C$4003,"&gt;="&amp;账期起,出库单!$C$4:$C$4003,"&lt;="&amp;账期止))</f>
        <v/>
      </c>
      <c r="Q14" s="26">
        <f>IF($A14="","",ROUND(SUMIFS(出库单!$S$4:$S$4003,出库单!$D$4:$D$4003,$A14,出库单!$K$4:$K$4003,"自用消耗",出库单!$U$4:$U$4003,"正常",出库单!$C$4:$C$4003,"&gt;="&amp;账期起,出库单!$C$4:$C$4003,"&lt;="&amp;账期止),0))</f>
        <v/>
      </c>
      <c r="R14" s="27">
        <f>IF($A14="","",SUMIFS(出库单!$J$4:$J$4003,出库单!$D$4:$D$4003,$A14,出库单!$K$4:$K$4003,"对外销售",出库单!$U$4:$U$4003,"正常",出库单!$C$4:$C$4003,"&gt;="&amp;账期起,出库单!$C$4:$C$4003,"&lt;="&amp;账期止))</f>
        <v/>
      </c>
      <c r="S14" s="26">
        <f>IF($A14="","",ROUND(SUMIFS(出库单!$S$4:$S$4003,出库单!$D$4:$D$4003,$A14,出库单!$K$4:$K$4003,"对外销售",出库单!$U$4:$U$4003,"正常",出库单!$C$4:$C$4003,"&gt;="&amp;账期起,出库单!$C$4:$C$4003,"&lt;="&amp;账期止),0))</f>
        <v/>
      </c>
      <c r="T14" s="27">
        <f>IF($A14="","",SUMIFS(出库单!$J$4:$J$4003,出库单!$D$4:$D$4003,$A14,出库单!$K$4:$K$4003,"盘亏",出库单!$U$4:$U$4003,"正常",出库单!$C$4:$C$4003,"&gt;="&amp;账期起,出库单!$C$4:$C$4003,"&lt;="&amp;账期止))</f>
        <v/>
      </c>
      <c r="U14" s="26">
        <f>IF($A14="","",ROUND(SUMIFS(出库单!$S$4:$S$4003,出库单!$D$4:$D$4003,$A14,出库单!$K$4:$K$4003,"盘亏",出库单!$U$4:$U$4003,"正常",出库单!$C$4:$C$4003,"&gt;="&amp;账期起,出库单!$C$4:$C$4003,"&lt;="&amp;账期止),0))</f>
        <v/>
      </c>
      <c r="V14" s="27">
        <f>IF($A14="","",SUMIFS(出库单!$J$4:$J$4003,出库单!$D$4:$D$4003,$A14,出库单!$K$4:$K$4003,"退货给供应商",出库单!$U$4:$U$4003,"正常",出库单!$C$4:$C$4003,"&gt;="&amp;账期起,出库单!$C$4:$C$4003,"&lt;="&amp;账期止))</f>
        <v/>
      </c>
      <c r="W14" s="26">
        <f>IF($A14="","",ROUND(SUMIFS(出库单!$S$4:$S$4003,出库单!$D$4:$D$4003,$A14,出库单!$K$4:$K$4003,"退货给供应商",出库单!$U$4:$U$4003,"正常",出库单!$C$4:$C$4003,"&gt;="&amp;账期起,出库单!$C$4:$C$4003,"&lt;="&amp;账期止),0))</f>
        <v/>
      </c>
      <c r="X14" s="27">
        <f>IF($A14="","",ROUND(N($G14)+$I14+$L14+$N14-$P14-$R14-$T14-$V14,3))</f>
        <v/>
      </c>
      <c r="Y14" s="26">
        <f>IF($A14="","",ROUND(N($H14)+$J14+$M14+$O14-$Q14-$S14-$U14-$W14,0))</f>
        <v/>
      </c>
      <c r="Z14" s="24">
        <f>IF($A14="","",IF(COUNTIFS(入库单!$G$4:$G$2503,$A14,入库单!$Y$4:$Y$2503,"待补价")+COUNTIFS(入库单!$G$4:$G$2503,$A14,入库单!$Y$4:$Y$2503,"暂估")&gt;0,"不可信","可信"))</f>
        <v/>
      </c>
      <c r="AA14" s="24">
        <f>IF($A14="","",IF($X14&lt;-0.001,"※账面负库存，查一下是不是漏记入库",IF(AND(ROUND($X14,3)=0,ABS($Y14)&gt;1),"※数量已经是 0，金额还挂着 "&amp;TEXT($Y14,"#,##0")&amp;" 先令",IF(AND($X14&gt;0,$Y14&lt;=0,$K14=0),"※有数量没金额（这个物料一直没填过进价）",IF($Z14="不可信","△成本含待补价/暂估，毛利仅供参考","")))))</f>
        <v/>
      </c>
    </row>
    <row r="15">
      <c r="A15" s="24">
        <f>IF(物料档案!$A14="","",物料档案!$A14)</f>
        <v/>
      </c>
      <c r="B15" s="24">
        <f>IF($A15="","",IFERROR(VLOOKUP($A15,物料档案!$A$4:$P$1203,3,0),""))</f>
        <v/>
      </c>
      <c r="C15" s="24">
        <f>IF($A15="","",IFERROR(VLOOKUP($A15,物料档案!$A$4:$P$1203,4,0),""))</f>
        <v/>
      </c>
      <c r="D15" s="24">
        <f>IF($A15="","",IFERROR(VLOOKUP($A15,物料档案!$A$4:$P$1203,5,0),""))</f>
        <v/>
      </c>
      <c r="E15" s="24">
        <f>IF($A15="","",IFERROR(VLOOKUP($A15,物料档案!$A$4:$P$1203,2,0),""))</f>
        <v/>
      </c>
      <c r="F15" s="24">
        <f>IF($A15="","",IFERROR(VLOOKUP($A15,物料档案!$A$4:$P$1203,6,0),""))</f>
        <v/>
      </c>
      <c r="G15" s="23" t="n"/>
      <c r="H15" s="32" t="n"/>
      <c r="I15" s="27">
        <f>IF($A15="","",SUMIFS(入库单!$K$4:$K$2503,入库单!$G$4:$G$2503,$A15,入库单!$X$4:$X$2503,"采购入库",入库单!$Z$4:$Z$2503,"正常",入库单!$C$4:$C$2503,"&gt;="&amp;账期起,入库单!$C$4:$C$2503,"&lt;="&amp;账期止))</f>
        <v/>
      </c>
      <c r="J15" s="26">
        <f>IF($A15="","",SUMIFS(入库单!$V$4:$V$2503,入库单!$G$4:$G$2503,$A15,入库单!$X$4:$X$2503,"采购入库",入库单!$Z$4:$Z$2503,"正常",入库单!$C$4:$C$2503,"&gt;="&amp;账期起,入库单!$C$4:$C$2503,"&lt;="&amp;账期止))</f>
        <v/>
      </c>
      <c r="K15" s="26">
        <f>IF($A15="","",IFERROR(ROUND((N($H15)+N($J15))/(N($G15)+N($I15)),2),0))</f>
        <v/>
      </c>
      <c r="L15" s="27">
        <f>IF($A15="","",SUMIFS(入库单!$K$4:$K$2503,入库单!$G$4:$G$2503,$A15,入库单!$X$4:$X$2503,"盘盈",入库单!$Z$4:$Z$2503,"正常",入库单!$C$4:$C$2503,"&gt;="&amp;账期起,入库单!$C$4:$C$2503,"&lt;="&amp;账期止))</f>
        <v/>
      </c>
      <c r="M15" s="26">
        <f>IF($A15="","",ROUND($L15*$K15,0))</f>
        <v/>
      </c>
      <c r="N15" s="27">
        <f>IF($A15="","",SUMIFS(入库单!$K$4:$K$2503,入库单!$G$4:$G$2503,$A15,入库单!$X$4:$X$2503,"矿区退库",入库单!$Z$4:$Z$2503,"正常",入库单!$C$4:$C$2503,"&gt;="&amp;账期起,入库单!$C$4:$C$2503,"&lt;="&amp;账期止))</f>
        <v/>
      </c>
      <c r="O15" s="26">
        <f>IF($A15="","",ROUND($N15*$K15,0))</f>
        <v/>
      </c>
      <c r="P15" s="27">
        <f>IF($A15="","",SUMIFS(出库单!$J$4:$J$4003,出库单!$D$4:$D$4003,$A15,出库单!$K$4:$K$4003,"自用消耗",出库单!$U$4:$U$4003,"正常",出库单!$C$4:$C$4003,"&gt;="&amp;账期起,出库单!$C$4:$C$4003,"&lt;="&amp;账期止))</f>
        <v/>
      </c>
      <c r="Q15" s="26">
        <f>IF($A15="","",ROUND(SUMIFS(出库单!$S$4:$S$4003,出库单!$D$4:$D$4003,$A15,出库单!$K$4:$K$4003,"自用消耗",出库单!$U$4:$U$4003,"正常",出库单!$C$4:$C$4003,"&gt;="&amp;账期起,出库单!$C$4:$C$4003,"&lt;="&amp;账期止),0))</f>
        <v/>
      </c>
      <c r="R15" s="27">
        <f>IF($A15="","",SUMIFS(出库单!$J$4:$J$4003,出库单!$D$4:$D$4003,$A15,出库单!$K$4:$K$4003,"对外销售",出库单!$U$4:$U$4003,"正常",出库单!$C$4:$C$4003,"&gt;="&amp;账期起,出库单!$C$4:$C$4003,"&lt;="&amp;账期止))</f>
        <v/>
      </c>
      <c r="S15" s="26">
        <f>IF($A15="","",ROUND(SUMIFS(出库单!$S$4:$S$4003,出库单!$D$4:$D$4003,$A15,出库单!$K$4:$K$4003,"对外销售",出库单!$U$4:$U$4003,"正常",出库单!$C$4:$C$4003,"&gt;="&amp;账期起,出库单!$C$4:$C$4003,"&lt;="&amp;账期止),0))</f>
        <v/>
      </c>
      <c r="T15" s="27">
        <f>IF($A15="","",SUMIFS(出库单!$J$4:$J$4003,出库单!$D$4:$D$4003,$A15,出库单!$K$4:$K$4003,"盘亏",出库单!$U$4:$U$4003,"正常",出库单!$C$4:$C$4003,"&gt;="&amp;账期起,出库单!$C$4:$C$4003,"&lt;="&amp;账期止))</f>
        <v/>
      </c>
      <c r="U15" s="26">
        <f>IF($A15="","",ROUND(SUMIFS(出库单!$S$4:$S$4003,出库单!$D$4:$D$4003,$A15,出库单!$K$4:$K$4003,"盘亏",出库单!$U$4:$U$4003,"正常",出库单!$C$4:$C$4003,"&gt;="&amp;账期起,出库单!$C$4:$C$4003,"&lt;="&amp;账期止),0))</f>
        <v/>
      </c>
      <c r="V15" s="27">
        <f>IF($A15="","",SUMIFS(出库单!$J$4:$J$4003,出库单!$D$4:$D$4003,$A15,出库单!$K$4:$K$4003,"退货给供应商",出库单!$U$4:$U$4003,"正常",出库单!$C$4:$C$4003,"&gt;="&amp;账期起,出库单!$C$4:$C$4003,"&lt;="&amp;账期止))</f>
        <v/>
      </c>
      <c r="W15" s="26">
        <f>IF($A15="","",ROUND(SUMIFS(出库单!$S$4:$S$4003,出库单!$D$4:$D$4003,$A15,出库单!$K$4:$K$4003,"退货给供应商",出库单!$U$4:$U$4003,"正常",出库单!$C$4:$C$4003,"&gt;="&amp;账期起,出库单!$C$4:$C$4003,"&lt;="&amp;账期止),0))</f>
        <v/>
      </c>
      <c r="X15" s="27">
        <f>IF($A15="","",ROUND(N($G15)+$I15+$L15+$N15-$P15-$R15-$T15-$V15,3))</f>
        <v/>
      </c>
      <c r="Y15" s="26">
        <f>IF($A15="","",ROUND(N($H15)+$J15+$M15+$O15-$Q15-$S15-$U15-$W15,0))</f>
        <v/>
      </c>
      <c r="Z15" s="24">
        <f>IF($A15="","",IF(COUNTIFS(入库单!$G$4:$G$2503,$A15,入库单!$Y$4:$Y$2503,"待补价")+COUNTIFS(入库单!$G$4:$G$2503,$A15,入库单!$Y$4:$Y$2503,"暂估")&gt;0,"不可信","可信"))</f>
        <v/>
      </c>
      <c r="AA15" s="24">
        <f>IF($A15="","",IF($X15&lt;-0.001,"※账面负库存，查一下是不是漏记入库",IF(AND(ROUND($X15,3)=0,ABS($Y15)&gt;1),"※数量已经是 0，金额还挂着 "&amp;TEXT($Y15,"#,##0")&amp;" 先令",IF(AND($X15&gt;0,$Y15&lt;=0,$K15=0),"※有数量没金额（这个物料一直没填过进价）",IF($Z15="不可信","△成本含待补价/暂估，毛利仅供参考","")))))</f>
        <v/>
      </c>
    </row>
    <row r="16">
      <c r="A16" s="24">
        <f>IF(物料档案!$A15="","",物料档案!$A15)</f>
        <v/>
      </c>
      <c r="B16" s="24">
        <f>IF($A16="","",IFERROR(VLOOKUP($A16,物料档案!$A$4:$P$1203,3,0),""))</f>
        <v/>
      </c>
      <c r="C16" s="24">
        <f>IF($A16="","",IFERROR(VLOOKUP($A16,物料档案!$A$4:$P$1203,4,0),""))</f>
        <v/>
      </c>
      <c r="D16" s="24">
        <f>IF($A16="","",IFERROR(VLOOKUP($A16,物料档案!$A$4:$P$1203,5,0),""))</f>
        <v/>
      </c>
      <c r="E16" s="24">
        <f>IF($A16="","",IFERROR(VLOOKUP($A16,物料档案!$A$4:$P$1203,2,0),""))</f>
        <v/>
      </c>
      <c r="F16" s="24">
        <f>IF($A16="","",IFERROR(VLOOKUP($A16,物料档案!$A$4:$P$1203,6,0),""))</f>
        <v/>
      </c>
      <c r="G16" s="23" t="n"/>
      <c r="H16" s="32" t="n"/>
      <c r="I16" s="27">
        <f>IF($A16="","",SUMIFS(入库单!$K$4:$K$2503,入库单!$G$4:$G$2503,$A16,入库单!$X$4:$X$2503,"采购入库",入库单!$Z$4:$Z$2503,"正常",入库单!$C$4:$C$2503,"&gt;="&amp;账期起,入库单!$C$4:$C$2503,"&lt;="&amp;账期止))</f>
        <v/>
      </c>
      <c r="J16" s="26">
        <f>IF($A16="","",SUMIFS(入库单!$V$4:$V$2503,入库单!$G$4:$G$2503,$A16,入库单!$X$4:$X$2503,"采购入库",入库单!$Z$4:$Z$2503,"正常",入库单!$C$4:$C$2503,"&gt;="&amp;账期起,入库单!$C$4:$C$2503,"&lt;="&amp;账期止))</f>
        <v/>
      </c>
      <c r="K16" s="26">
        <f>IF($A16="","",IFERROR(ROUND((N($H16)+N($J16))/(N($G16)+N($I16)),2),0))</f>
        <v/>
      </c>
      <c r="L16" s="27">
        <f>IF($A16="","",SUMIFS(入库单!$K$4:$K$2503,入库单!$G$4:$G$2503,$A16,入库单!$X$4:$X$2503,"盘盈",入库单!$Z$4:$Z$2503,"正常",入库单!$C$4:$C$2503,"&gt;="&amp;账期起,入库单!$C$4:$C$2503,"&lt;="&amp;账期止))</f>
        <v/>
      </c>
      <c r="M16" s="26">
        <f>IF($A16="","",ROUND($L16*$K16,0))</f>
        <v/>
      </c>
      <c r="N16" s="27">
        <f>IF($A16="","",SUMIFS(入库单!$K$4:$K$2503,入库单!$G$4:$G$2503,$A16,入库单!$X$4:$X$2503,"矿区退库",入库单!$Z$4:$Z$2503,"正常",入库单!$C$4:$C$2503,"&gt;="&amp;账期起,入库单!$C$4:$C$2503,"&lt;="&amp;账期止))</f>
        <v/>
      </c>
      <c r="O16" s="26">
        <f>IF($A16="","",ROUND($N16*$K16,0))</f>
        <v/>
      </c>
      <c r="P16" s="27">
        <f>IF($A16="","",SUMIFS(出库单!$J$4:$J$4003,出库单!$D$4:$D$4003,$A16,出库单!$K$4:$K$4003,"自用消耗",出库单!$U$4:$U$4003,"正常",出库单!$C$4:$C$4003,"&gt;="&amp;账期起,出库单!$C$4:$C$4003,"&lt;="&amp;账期止))</f>
        <v/>
      </c>
      <c r="Q16" s="26">
        <f>IF($A16="","",ROUND(SUMIFS(出库单!$S$4:$S$4003,出库单!$D$4:$D$4003,$A16,出库单!$K$4:$K$4003,"自用消耗",出库单!$U$4:$U$4003,"正常",出库单!$C$4:$C$4003,"&gt;="&amp;账期起,出库单!$C$4:$C$4003,"&lt;="&amp;账期止),0))</f>
        <v/>
      </c>
      <c r="R16" s="27">
        <f>IF($A16="","",SUMIFS(出库单!$J$4:$J$4003,出库单!$D$4:$D$4003,$A16,出库单!$K$4:$K$4003,"对外销售",出库单!$U$4:$U$4003,"正常",出库单!$C$4:$C$4003,"&gt;="&amp;账期起,出库单!$C$4:$C$4003,"&lt;="&amp;账期止))</f>
        <v/>
      </c>
      <c r="S16" s="26">
        <f>IF($A16="","",ROUND(SUMIFS(出库单!$S$4:$S$4003,出库单!$D$4:$D$4003,$A16,出库单!$K$4:$K$4003,"对外销售",出库单!$U$4:$U$4003,"正常",出库单!$C$4:$C$4003,"&gt;="&amp;账期起,出库单!$C$4:$C$4003,"&lt;="&amp;账期止),0))</f>
        <v/>
      </c>
      <c r="T16" s="27">
        <f>IF($A16="","",SUMIFS(出库单!$J$4:$J$4003,出库单!$D$4:$D$4003,$A16,出库单!$K$4:$K$4003,"盘亏",出库单!$U$4:$U$4003,"正常",出库单!$C$4:$C$4003,"&gt;="&amp;账期起,出库单!$C$4:$C$4003,"&lt;="&amp;账期止))</f>
        <v/>
      </c>
      <c r="U16" s="26">
        <f>IF($A16="","",ROUND(SUMIFS(出库单!$S$4:$S$4003,出库单!$D$4:$D$4003,$A16,出库单!$K$4:$K$4003,"盘亏",出库单!$U$4:$U$4003,"正常",出库单!$C$4:$C$4003,"&gt;="&amp;账期起,出库单!$C$4:$C$4003,"&lt;="&amp;账期止),0))</f>
        <v/>
      </c>
      <c r="V16" s="27">
        <f>IF($A16="","",SUMIFS(出库单!$J$4:$J$4003,出库单!$D$4:$D$4003,$A16,出库单!$K$4:$K$4003,"退货给供应商",出库单!$U$4:$U$4003,"正常",出库单!$C$4:$C$4003,"&gt;="&amp;账期起,出库单!$C$4:$C$4003,"&lt;="&amp;账期止))</f>
        <v/>
      </c>
      <c r="W16" s="26">
        <f>IF($A16="","",ROUND(SUMIFS(出库单!$S$4:$S$4003,出库单!$D$4:$D$4003,$A16,出库单!$K$4:$K$4003,"退货给供应商",出库单!$U$4:$U$4003,"正常",出库单!$C$4:$C$4003,"&gt;="&amp;账期起,出库单!$C$4:$C$4003,"&lt;="&amp;账期止),0))</f>
        <v/>
      </c>
      <c r="X16" s="27">
        <f>IF($A16="","",ROUND(N($G16)+$I16+$L16+$N16-$P16-$R16-$T16-$V16,3))</f>
        <v/>
      </c>
      <c r="Y16" s="26">
        <f>IF($A16="","",ROUND(N($H16)+$J16+$M16+$O16-$Q16-$S16-$U16-$W16,0))</f>
        <v/>
      </c>
      <c r="Z16" s="24">
        <f>IF($A16="","",IF(COUNTIFS(入库单!$G$4:$G$2503,$A16,入库单!$Y$4:$Y$2503,"待补价")+COUNTIFS(入库单!$G$4:$G$2503,$A16,入库单!$Y$4:$Y$2503,"暂估")&gt;0,"不可信","可信"))</f>
        <v/>
      </c>
      <c r="AA16" s="24">
        <f>IF($A16="","",IF($X16&lt;-0.001,"※账面负库存，查一下是不是漏记入库",IF(AND(ROUND($X16,3)=0,ABS($Y16)&gt;1),"※数量已经是 0，金额还挂着 "&amp;TEXT($Y16,"#,##0")&amp;" 先令",IF(AND($X16&gt;0,$Y16&lt;=0,$K16=0),"※有数量没金额（这个物料一直没填过进价）",IF($Z16="不可信","△成本含待补价/暂估，毛利仅供参考","")))))</f>
        <v/>
      </c>
    </row>
    <row r="17">
      <c r="A17" s="24">
        <f>IF(物料档案!$A16="","",物料档案!$A16)</f>
        <v/>
      </c>
      <c r="B17" s="24">
        <f>IF($A17="","",IFERROR(VLOOKUP($A17,物料档案!$A$4:$P$1203,3,0),""))</f>
        <v/>
      </c>
      <c r="C17" s="24">
        <f>IF($A17="","",IFERROR(VLOOKUP($A17,物料档案!$A$4:$P$1203,4,0),""))</f>
        <v/>
      </c>
      <c r="D17" s="24">
        <f>IF($A17="","",IFERROR(VLOOKUP($A17,物料档案!$A$4:$P$1203,5,0),""))</f>
        <v/>
      </c>
      <c r="E17" s="24">
        <f>IF($A17="","",IFERROR(VLOOKUP($A17,物料档案!$A$4:$P$1203,2,0),""))</f>
        <v/>
      </c>
      <c r="F17" s="24">
        <f>IF($A17="","",IFERROR(VLOOKUP($A17,物料档案!$A$4:$P$1203,6,0),""))</f>
        <v/>
      </c>
      <c r="G17" s="23" t="n"/>
      <c r="H17" s="32" t="n"/>
      <c r="I17" s="27">
        <f>IF($A17="","",SUMIFS(入库单!$K$4:$K$2503,入库单!$G$4:$G$2503,$A17,入库单!$X$4:$X$2503,"采购入库",入库单!$Z$4:$Z$2503,"正常",入库单!$C$4:$C$2503,"&gt;="&amp;账期起,入库单!$C$4:$C$2503,"&lt;="&amp;账期止))</f>
        <v/>
      </c>
      <c r="J17" s="26">
        <f>IF($A17="","",SUMIFS(入库单!$V$4:$V$2503,入库单!$G$4:$G$2503,$A17,入库单!$X$4:$X$2503,"采购入库",入库单!$Z$4:$Z$2503,"正常",入库单!$C$4:$C$2503,"&gt;="&amp;账期起,入库单!$C$4:$C$2503,"&lt;="&amp;账期止))</f>
        <v/>
      </c>
      <c r="K17" s="26">
        <f>IF($A17="","",IFERROR(ROUND((N($H17)+N($J17))/(N($G17)+N($I17)),2),0))</f>
        <v/>
      </c>
      <c r="L17" s="27">
        <f>IF($A17="","",SUMIFS(入库单!$K$4:$K$2503,入库单!$G$4:$G$2503,$A17,入库单!$X$4:$X$2503,"盘盈",入库单!$Z$4:$Z$2503,"正常",入库单!$C$4:$C$2503,"&gt;="&amp;账期起,入库单!$C$4:$C$2503,"&lt;="&amp;账期止))</f>
        <v/>
      </c>
      <c r="M17" s="26">
        <f>IF($A17="","",ROUND($L17*$K17,0))</f>
        <v/>
      </c>
      <c r="N17" s="27">
        <f>IF($A17="","",SUMIFS(入库单!$K$4:$K$2503,入库单!$G$4:$G$2503,$A17,入库单!$X$4:$X$2503,"矿区退库",入库单!$Z$4:$Z$2503,"正常",入库单!$C$4:$C$2503,"&gt;="&amp;账期起,入库单!$C$4:$C$2503,"&lt;="&amp;账期止))</f>
        <v/>
      </c>
      <c r="O17" s="26">
        <f>IF($A17="","",ROUND($N17*$K17,0))</f>
        <v/>
      </c>
      <c r="P17" s="27">
        <f>IF($A17="","",SUMIFS(出库单!$J$4:$J$4003,出库单!$D$4:$D$4003,$A17,出库单!$K$4:$K$4003,"自用消耗",出库单!$U$4:$U$4003,"正常",出库单!$C$4:$C$4003,"&gt;="&amp;账期起,出库单!$C$4:$C$4003,"&lt;="&amp;账期止))</f>
        <v/>
      </c>
      <c r="Q17" s="26">
        <f>IF($A17="","",ROUND(SUMIFS(出库单!$S$4:$S$4003,出库单!$D$4:$D$4003,$A17,出库单!$K$4:$K$4003,"自用消耗",出库单!$U$4:$U$4003,"正常",出库单!$C$4:$C$4003,"&gt;="&amp;账期起,出库单!$C$4:$C$4003,"&lt;="&amp;账期止),0))</f>
        <v/>
      </c>
      <c r="R17" s="27">
        <f>IF($A17="","",SUMIFS(出库单!$J$4:$J$4003,出库单!$D$4:$D$4003,$A17,出库单!$K$4:$K$4003,"对外销售",出库单!$U$4:$U$4003,"正常",出库单!$C$4:$C$4003,"&gt;="&amp;账期起,出库单!$C$4:$C$4003,"&lt;="&amp;账期止))</f>
        <v/>
      </c>
      <c r="S17" s="26">
        <f>IF($A17="","",ROUND(SUMIFS(出库单!$S$4:$S$4003,出库单!$D$4:$D$4003,$A17,出库单!$K$4:$K$4003,"对外销售",出库单!$U$4:$U$4003,"正常",出库单!$C$4:$C$4003,"&gt;="&amp;账期起,出库单!$C$4:$C$4003,"&lt;="&amp;账期止),0))</f>
        <v/>
      </c>
      <c r="T17" s="27">
        <f>IF($A17="","",SUMIFS(出库单!$J$4:$J$4003,出库单!$D$4:$D$4003,$A17,出库单!$K$4:$K$4003,"盘亏",出库单!$U$4:$U$4003,"正常",出库单!$C$4:$C$4003,"&gt;="&amp;账期起,出库单!$C$4:$C$4003,"&lt;="&amp;账期止))</f>
        <v/>
      </c>
      <c r="U17" s="26">
        <f>IF($A17="","",ROUND(SUMIFS(出库单!$S$4:$S$4003,出库单!$D$4:$D$4003,$A17,出库单!$K$4:$K$4003,"盘亏",出库单!$U$4:$U$4003,"正常",出库单!$C$4:$C$4003,"&gt;="&amp;账期起,出库单!$C$4:$C$4003,"&lt;="&amp;账期止),0))</f>
        <v/>
      </c>
      <c r="V17" s="27">
        <f>IF($A17="","",SUMIFS(出库单!$J$4:$J$4003,出库单!$D$4:$D$4003,$A17,出库单!$K$4:$K$4003,"退货给供应商",出库单!$U$4:$U$4003,"正常",出库单!$C$4:$C$4003,"&gt;="&amp;账期起,出库单!$C$4:$C$4003,"&lt;="&amp;账期止))</f>
        <v/>
      </c>
      <c r="W17" s="26">
        <f>IF($A17="","",ROUND(SUMIFS(出库单!$S$4:$S$4003,出库单!$D$4:$D$4003,$A17,出库单!$K$4:$K$4003,"退货给供应商",出库单!$U$4:$U$4003,"正常",出库单!$C$4:$C$4003,"&gt;="&amp;账期起,出库单!$C$4:$C$4003,"&lt;="&amp;账期止),0))</f>
        <v/>
      </c>
      <c r="X17" s="27">
        <f>IF($A17="","",ROUND(N($G17)+$I17+$L17+$N17-$P17-$R17-$T17-$V17,3))</f>
        <v/>
      </c>
      <c r="Y17" s="26">
        <f>IF($A17="","",ROUND(N($H17)+$J17+$M17+$O17-$Q17-$S17-$U17-$W17,0))</f>
        <v/>
      </c>
      <c r="Z17" s="24">
        <f>IF($A17="","",IF(COUNTIFS(入库单!$G$4:$G$2503,$A17,入库单!$Y$4:$Y$2503,"待补价")+COUNTIFS(入库单!$G$4:$G$2503,$A17,入库单!$Y$4:$Y$2503,"暂估")&gt;0,"不可信","可信"))</f>
        <v/>
      </c>
      <c r="AA17" s="24">
        <f>IF($A17="","",IF($X17&lt;-0.001,"※账面负库存，查一下是不是漏记入库",IF(AND(ROUND($X17,3)=0,ABS($Y17)&gt;1),"※数量已经是 0，金额还挂着 "&amp;TEXT($Y17,"#,##0")&amp;" 先令",IF(AND($X17&gt;0,$Y17&lt;=0,$K17=0),"※有数量没金额（这个物料一直没填过进价）",IF($Z17="不可信","△成本含待补价/暂估，毛利仅供参考","")))))</f>
        <v/>
      </c>
    </row>
    <row r="18">
      <c r="A18" s="24">
        <f>IF(物料档案!$A17="","",物料档案!$A17)</f>
        <v/>
      </c>
      <c r="B18" s="24">
        <f>IF($A18="","",IFERROR(VLOOKUP($A18,物料档案!$A$4:$P$1203,3,0),""))</f>
        <v/>
      </c>
      <c r="C18" s="24">
        <f>IF($A18="","",IFERROR(VLOOKUP($A18,物料档案!$A$4:$P$1203,4,0),""))</f>
        <v/>
      </c>
      <c r="D18" s="24">
        <f>IF($A18="","",IFERROR(VLOOKUP($A18,物料档案!$A$4:$P$1203,5,0),""))</f>
        <v/>
      </c>
      <c r="E18" s="24">
        <f>IF($A18="","",IFERROR(VLOOKUP($A18,物料档案!$A$4:$P$1203,2,0),""))</f>
        <v/>
      </c>
      <c r="F18" s="24">
        <f>IF($A18="","",IFERROR(VLOOKUP($A18,物料档案!$A$4:$P$1203,6,0),""))</f>
        <v/>
      </c>
      <c r="G18" s="23" t="n"/>
      <c r="H18" s="32" t="n"/>
      <c r="I18" s="27">
        <f>IF($A18="","",SUMIFS(入库单!$K$4:$K$2503,入库单!$G$4:$G$2503,$A18,入库单!$X$4:$X$2503,"采购入库",入库单!$Z$4:$Z$2503,"正常",入库单!$C$4:$C$2503,"&gt;="&amp;账期起,入库单!$C$4:$C$2503,"&lt;="&amp;账期止))</f>
        <v/>
      </c>
      <c r="J18" s="26">
        <f>IF($A18="","",SUMIFS(入库单!$V$4:$V$2503,入库单!$G$4:$G$2503,$A18,入库单!$X$4:$X$2503,"采购入库",入库单!$Z$4:$Z$2503,"正常",入库单!$C$4:$C$2503,"&gt;="&amp;账期起,入库单!$C$4:$C$2503,"&lt;="&amp;账期止))</f>
        <v/>
      </c>
      <c r="K18" s="26">
        <f>IF($A18="","",IFERROR(ROUND((N($H18)+N($J18))/(N($G18)+N($I18)),2),0))</f>
        <v/>
      </c>
      <c r="L18" s="27">
        <f>IF($A18="","",SUMIFS(入库单!$K$4:$K$2503,入库单!$G$4:$G$2503,$A18,入库单!$X$4:$X$2503,"盘盈",入库单!$Z$4:$Z$2503,"正常",入库单!$C$4:$C$2503,"&gt;="&amp;账期起,入库单!$C$4:$C$2503,"&lt;="&amp;账期止))</f>
        <v/>
      </c>
      <c r="M18" s="26">
        <f>IF($A18="","",ROUND($L18*$K18,0))</f>
        <v/>
      </c>
      <c r="N18" s="27">
        <f>IF($A18="","",SUMIFS(入库单!$K$4:$K$2503,入库单!$G$4:$G$2503,$A18,入库单!$X$4:$X$2503,"矿区退库",入库单!$Z$4:$Z$2503,"正常",入库单!$C$4:$C$2503,"&gt;="&amp;账期起,入库单!$C$4:$C$2503,"&lt;="&amp;账期止))</f>
        <v/>
      </c>
      <c r="O18" s="26">
        <f>IF($A18="","",ROUND($N18*$K18,0))</f>
        <v/>
      </c>
      <c r="P18" s="27">
        <f>IF($A18="","",SUMIFS(出库单!$J$4:$J$4003,出库单!$D$4:$D$4003,$A18,出库单!$K$4:$K$4003,"自用消耗",出库单!$U$4:$U$4003,"正常",出库单!$C$4:$C$4003,"&gt;="&amp;账期起,出库单!$C$4:$C$4003,"&lt;="&amp;账期止))</f>
        <v/>
      </c>
      <c r="Q18" s="26">
        <f>IF($A18="","",ROUND(SUMIFS(出库单!$S$4:$S$4003,出库单!$D$4:$D$4003,$A18,出库单!$K$4:$K$4003,"自用消耗",出库单!$U$4:$U$4003,"正常",出库单!$C$4:$C$4003,"&gt;="&amp;账期起,出库单!$C$4:$C$4003,"&lt;="&amp;账期止),0))</f>
        <v/>
      </c>
      <c r="R18" s="27">
        <f>IF($A18="","",SUMIFS(出库单!$J$4:$J$4003,出库单!$D$4:$D$4003,$A18,出库单!$K$4:$K$4003,"对外销售",出库单!$U$4:$U$4003,"正常",出库单!$C$4:$C$4003,"&gt;="&amp;账期起,出库单!$C$4:$C$4003,"&lt;="&amp;账期止))</f>
        <v/>
      </c>
      <c r="S18" s="26">
        <f>IF($A18="","",ROUND(SUMIFS(出库单!$S$4:$S$4003,出库单!$D$4:$D$4003,$A18,出库单!$K$4:$K$4003,"对外销售",出库单!$U$4:$U$4003,"正常",出库单!$C$4:$C$4003,"&gt;="&amp;账期起,出库单!$C$4:$C$4003,"&lt;="&amp;账期止),0))</f>
        <v/>
      </c>
      <c r="T18" s="27">
        <f>IF($A18="","",SUMIFS(出库单!$J$4:$J$4003,出库单!$D$4:$D$4003,$A18,出库单!$K$4:$K$4003,"盘亏",出库单!$U$4:$U$4003,"正常",出库单!$C$4:$C$4003,"&gt;="&amp;账期起,出库单!$C$4:$C$4003,"&lt;="&amp;账期止))</f>
        <v/>
      </c>
      <c r="U18" s="26">
        <f>IF($A18="","",ROUND(SUMIFS(出库单!$S$4:$S$4003,出库单!$D$4:$D$4003,$A18,出库单!$K$4:$K$4003,"盘亏",出库单!$U$4:$U$4003,"正常",出库单!$C$4:$C$4003,"&gt;="&amp;账期起,出库单!$C$4:$C$4003,"&lt;="&amp;账期止),0))</f>
        <v/>
      </c>
      <c r="V18" s="27">
        <f>IF($A18="","",SUMIFS(出库单!$J$4:$J$4003,出库单!$D$4:$D$4003,$A18,出库单!$K$4:$K$4003,"退货给供应商",出库单!$U$4:$U$4003,"正常",出库单!$C$4:$C$4003,"&gt;="&amp;账期起,出库单!$C$4:$C$4003,"&lt;="&amp;账期止))</f>
        <v/>
      </c>
      <c r="W18" s="26">
        <f>IF($A18="","",ROUND(SUMIFS(出库单!$S$4:$S$4003,出库单!$D$4:$D$4003,$A18,出库单!$K$4:$K$4003,"退货给供应商",出库单!$U$4:$U$4003,"正常",出库单!$C$4:$C$4003,"&gt;="&amp;账期起,出库单!$C$4:$C$4003,"&lt;="&amp;账期止),0))</f>
        <v/>
      </c>
      <c r="X18" s="27">
        <f>IF($A18="","",ROUND(N($G18)+$I18+$L18+$N18-$P18-$R18-$T18-$V18,3))</f>
        <v/>
      </c>
      <c r="Y18" s="26">
        <f>IF($A18="","",ROUND(N($H18)+$J18+$M18+$O18-$Q18-$S18-$U18-$W18,0))</f>
        <v/>
      </c>
      <c r="Z18" s="24">
        <f>IF($A18="","",IF(COUNTIFS(入库单!$G$4:$G$2503,$A18,入库单!$Y$4:$Y$2503,"待补价")+COUNTIFS(入库单!$G$4:$G$2503,$A18,入库单!$Y$4:$Y$2503,"暂估")&gt;0,"不可信","可信"))</f>
        <v/>
      </c>
      <c r="AA18" s="24">
        <f>IF($A18="","",IF($X18&lt;-0.001,"※账面负库存，查一下是不是漏记入库",IF(AND(ROUND($X18,3)=0,ABS($Y18)&gt;1),"※数量已经是 0，金额还挂着 "&amp;TEXT($Y18,"#,##0")&amp;" 先令",IF(AND($X18&gt;0,$Y18&lt;=0,$K18=0),"※有数量没金额（这个物料一直没填过进价）",IF($Z18="不可信","△成本含待补价/暂估，毛利仅供参考","")))))</f>
        <v/>
      </c>
    </row>
    <row r="19">
      <c r="A19" s="24">
        <f>IF(物料档案!$A18="","",物料档案!$A18)</f>
        <v/>
      </c>
      <c r="B19" s="24">
        <f>IF($A19="","",IFERROR(VLOOKUP($A19,物料档案!$A$4:$P$1203,3,0),""))</f>
        <v/>
      </c>
      <c r="C19" s="24">
        <f>IF($A19="","",IFERROR(VLOOKUP($A19,物料档案!$A$4:$P$1203,4,0),""))</f>
        <v/>
      </c>
      <c r="D19" s="24">
        <f>IF($A19="","",IFERROR(VLOOKUP($A19,物料档案!$A$4:$P$1203,5,0),""))</f>
        <v/>
      </c>
      <c r="E19" s="24">
        <f>IF($A19="","",IFERROR(VLOOKUP($A19,物料档案!$A$4:$P$1203,2,0),""))</f>
        <v/>
      </c>
      <c r="F19" s="24">
        <f>IF($A19="","",IFERROR(VLOOKUP($A19,物料档案!$A$4:$P$1203,6,0),""))</f>
        <v/>
      </c>
      <c r="G19" s="23" t="n"/>
      <c r="H19" s="32" t="n"/>
      <c r="I19" s="27">
        <f>IF($A19="","",SUMIFS(入库单!$K$4:$K$2503,入库单!$G$4:$G$2503,$A19,入库单!$X$4:$X$2503,"采购入库",入库单!$Z$4:$Z$2503,"正常",入库单!$C$4:$C$2503,"&gt;="&amp;账期起,入库单!$C$4:$C$2503,"&lt;="&amp;账期止))</f>
        <v/>
      </c>
      <c r="J19" s="26">
        <f>IF($A19="","",SUMIFS(入库单!$V$4:$V$2503,入库单!$G$4:$G$2503,$A19,入库单!$X$4:$X$2503,"采购入库",入库单!$Z$4:$Z$2503,"正常",入库单!$C$4:$C$2503,"&gt;="&amp;账期起,入库单!$C$4:$C$2503,"&lt;="&amp;账期止))</f>
        <v/>
      </c>
      <c r="K19" s="26">
        <f>IF($A19="","",IFERROR(ROUND((N($H19)+N($J19))/(N($G19)+N($I19)),2),0))</f>
        <v/>
      </c>
      <c r="L19" s="27">
        <f>IF($A19="","",SUMIFS(入库单!$K$4:$K$2503,入库单!$G$4:$G$2503,$A19,入库单!$X$4:$X$2503,"盘盈",入库单!$Z$4:$Z$2503,"正常",入库单!$C$4:$C$2503,"&gt;="&amp;账期起,入库单!$C$4:$C$2503,"&lt;="&amp;账期止))</f>
        <v/>
      </c>
      <c r="M19" s="26">
        <f>IF($A19="","",ROUND($L19*$K19,0))</f>
        <v/>
      </c>
      <c r="N19" s="27">
        <f>IF($A19="","",SUMIFS(入库单!$K$4:$K$2503,入库单!$G$4:$G$2503,$A19,入库单!$X$4:$X$2503,"矿区退库",入库单!$Z$4:$Z$2503,"正常",入库单!$C$4:$C$2503,"&gt;="&amp;账期起,入库单!$C$4:$C$2503,"&lt;="&amp;账期止))</f>
        <v/>
      </c>
      <c r="O19" s="26">
        <f>IF($A19="","",ROUND($N19*$K19,0))</f>
        <v/>
      </c>
      <c r="P19" s="27">
        <f>IF($A19="","",SUMIFS(出库单!$J$4:$J$4003,出库单!$D$4:$D$4003,$A19,出库单!$K$4:$K$4003,"自用消耗",出库单!$U$4:$U$4003,"正常",出库单!$C$4:$C$4003,"&gt;="&amp;账期起,出库单!$C$4:$C$4003,"&lt;="&amp;账期止))</f>
        <v/>
      </c>
      <c r="Q19" s="26">
        <f>IF($A19="","",ROUND(SUMIFS(出库单!$S$4:$S$4003,出库单!$D$4:$D$4003,$A19,出库单!$K$4:$K$4003,"自用消耗",出库单!$U$4:$U$4003,"正常",出库单!$C$4:$C$4003,"&gt;="&amp;账期起,出库单!$C$4:$C$4003,"&lt;="&amp;账期止),0))</f>
        <v/>
      </c>
      <c r="R19" s="27">
        <f>IF($A19="","",SUMIFS(出库单!$J$4:$J$4003,出库单!$D$4:$D$4003,$A19,出库单!$K$4:$K$4003,"对外销售",出库单!$U$4:$U$4003,"正常",出库单!$C$4:$C$4003,"&gt;="&amp;账期起,出库单!$C$4:$C$4003,"&lt;="&amp;账期止))</f>
        <v/>
      </c>
      <c r="S19" s="26">
        <f>IF($A19="","",ROUND(SUMIFS(出库单!$S$4:$S$4003,出库单!$D$4:$D$4003,$A19,出库单!$K$4:$K$4003,"对外销售",出库单!$U$4:$U$4003,"正常",出库单!$C$4:$C$4003,"&gt;="&amp;账期起,出库单!$C$4:$C$4003,"&lt;="&amp;账期止),0))</f>
        <v/>
      </c>
      <c r="T19" s="27">
        <f>IF($A19="","",SUMIFS(出库单!$J$4:$J$4003,出库单!$D$4:$D$4003,$A19,出库单!$K$4:$K$4003,"盘亏",出库单!$U$4:$U$4003,"正常",出库单!$C$4:$C$4003,"&gt;="&amp;账期起,出库单!$C$4:$C$4003,"&lt;="&amp;账期止))</f>
        <v/>
      </c>
      <c r="U19" s="26">
        <f>IF($A19="","",ROUND(SUMIFS(出库单!$S$4:$S$4003,出库单!$D$4:$D$4003,$A19,出库单!$K$4:$K$4003,"盘亏",出库单!$U$4:$U$4003,"正常",出库单!$C$4:$C$4003,"&gt;="&amp;账期起,出库单!$C$4:$C$4003,"&lt;="&amp;账期止),0))</f>
        <v/>
      </c>
      <c r="V19" s="27">
        <f>IF($A19="","",SUMIFS(出库单!$J$4:$J$4003,出库单!$D$4:$D$4003,$A19,出库单!$K$4:$K$4003,"退货给供应商",出库单!$U$4:$U$4003,"正常",出库单!$C$4:$C$4003,"&gt;="&amp;账期起,出库单!$C$4:$C$4003,"&lt;="&amp;账期止))</f>
        <v/>
      </c>
      <c r="W19" s="26">
        <f>IF($A19="","",ROUND(SUMIFS(出库单!$S$4:$S$4003,出库单!$D$4:$D$4003,$A19,出库单!$K$4:$K$4003,"退货给供应商",出库单!$U$4:$U$4003,"正常",出库单!$C$4:$C$4003,"&gt;="&amp;账期起,出库单!$C$4:$C$4003,"&lt;="&amp;账期止),0))</f>
        <v/>
      </c>
      <c r="X19" s="27">
        <f>IF($A19="","",ROUND(N($G19)+$I19+$L19+$N19-$P19-$R19-$T19-$V19,3))</f>
        <v/>
      </c>
      <c r="Y19" s="26">
        <f>IF($A19="","",ROUND(N($H19)+$J19+$M19+$O19-$Q19-$S19-$U19-$W19,0))</f>
        <v/>
      </c>
      <c r="Z19" s="24">
        <f>IF($A19="","",IF(COUNTIFS(入库单!$G$4:$G$2503,$A19,入库单!$Y$4:$Y$2503,"待补价")+COUNTIFS(入库单!$G$4:$G$2503,$A19,入库单!$Y$4:$Y$2503,"暂估")&gt;0,"不可信","可信"))</f>
        <v/>
      </c>
      <c r="AA19" s="24">
        <f>IF($A19="","",IF($X19&lt;-0.001,"※账面负库存，查一下是不是漏记入库",IF(AND(ROUND($X19,3)=0,ABS($Y19)&gt;1),"※数量已经是 0，金额还挂着 "&amp;TEXT($Y19,"#,##0")&amp;" 先令",IF(AND($X19&gt;0,$Y19&lt;=0,$K19=0),"※有数量没金额（这个物料一直没填过进价）",IF($Z19="不可信","△成本含待补价/暂估，毛利仅供参考","")))))</f>
        <v/>
      </c>
    </row>
    <row r="20">
      <c r="A20" s="24">
        <f>IF(物料档案!$A19="","",物料档案!$A19)</f>
        <v/>
      </c>
      <c r="B20" s="24">
        <f>IF($A20="","",IFERROR(VLOOKUP($A20,物料档案!$A$4:$P$1203,3,0),""))</f>
        <v/>
      </c>
      <c r="C20" s="24">
        <f>IF($A20="","",IFERROR(VLOOKUP($A20,物料档案!$A$4:$P$1203,4,0),""))</f>
        <v/>
      </c>
      <c r="D20" s="24">
        <f>IF($A20="","",IFERROR(VLOOKUP($A20,物料档案!$A$4:$P$1203,5,0),""))</f>
        <v/>
      </c>
      <c r="E20" s="24">
        <f>IF($A20="","",IFERROR(VLOOKUP($A20,物料档案!$A$4:$P$1203,2,0),""))</f>
        <v/>
      </c>
      <c r="F20" s="24">
        <f>IF($A20="","",IFERROR(VLOOKUP($A20,物料档案!$A$4:$P$1203,6,0),""))</f>
        <v/>
      </c>
      <c r="G20" s="23" t="n"/>
      <c r="H20" s="32" t="n"/>
      <c r="I20" s="27">
        <f>IF($A20="","",SUMIFS(入库单!$K$4:$K$2503,入库单!$G$4:$G$2503,$A20,入库单!$X$4:$X$2503,"采购入库",入库单!$Z$4:$Z$2503,"正常",入库单!$C$4:$C$2503,"&gt;="&amp;账期起,入库单!$C$4:$C$2503,"&lt;="&amp;账期止))</f>
        <v/>
      </c>
      <c r="J20" s="26">
        <f>IF($A20="","",SUMIFS(入库单!$V$4:$V$2503,入库单!$G$4:$G$2503,$A20,入库单!$X$4:$X$2503,"采购入库",入库单!$Z$4:$Z$2503,"正常",入库单!$C$4:$C$2503,"&gt;="&amp;账期起,入库单!$C$4:$C$2503,"&lt;="&amp;账期止))</f>
        <v/>
      </c>
      <c r="K20" s="26">
        <f>IF($A20="","",IFERROR(ROUND((N($H20)+N($J20))/(N($G20)+N($I20)),2),0))</f>
        <v/>
      </c>
      <c r="L20" s="27">
        <f>IF($A20="","",SUMIFS(入库单!$K$4:$K$2503,入库单!$G$4:$G$2503,$A20,入库单!$X$4:$X$2503,"盘盈",入库单!$Z$4:$Z$2503,"正常",入库单!$C$4:$C$2503,"&gt;="&amp;账期起,入库单!$C$4:$C$2503,"&lt;="&amp;账期止))</f>
        <v/>
      </c>
      <c r="M20" s="26">
        <f>IF($A20="","",ROUND($L20*$K20,0))</f>
        <v/>
      </c>
      <c r="N20" s="27">
        <f>IF($A20="","",SUMIFS(入库单!$K$4:$K$2503,入库单!$G$4:$G$2503,$A20,入库单!$X$4:$X$2503,"矿区退库",入库单!$Z$4:$Z$2503,"正常",入库单!$C$4:$C$2503,"&gt;="&amp;账期起,入库单!$C$4:$C$2503,"&lt;="&amp;账期止))</f>
        <v/>
      </c>
      <c r="O20" s="26">
        <f>IF($A20="","",ROUND($N20*$K20,0))</f>
        <v/>
      </c>
      <c r="P20" s="27">
        <f>IF($A20="","",SUMIFS(出库单!$J$4:$J$4003,出库单!$D$4:$D$4003,$A20,出库单!$K$4:$K$4003,"自用消耗",出库单!$U$4:$U$4003,"正常",出库单!$C$4:$C$4003,"&gt;="&amp;账期起,出库单!$C$4:$C$4003,"&lt;="&amp;账期止))</f>
        <v/>
      </c>
      <c r="Q20" s="26">
        <f>IF($A20="","",ROUND(SUMIFS(出库单!$S$4:$S$4003,出库单!$D$4:$D$4003,$A20,出库单!$K$4:$K$4003,"自用消耗",出库单!$U$4:$U$4003,"正常",出库单!$C$4:$C$4003,"&gt;="&amp;账期起,出库单!$C$4:$C$4003,"&lt;="&amp;账期止),0))</f>
        <v/>
      </c>
      <c r="R20" s="27">
        <f>IF($A20="","",SUMIFS(出库单!$J$4:$J$4003,出库单!$D$4:$D$4003,$A20,出库单!$K$4:$K$4003,"对外销售",出库单!$U$4:$U$4003,"正常",出库单!$C$4:$C$4003,"&gt;="&amp;账期起,出库单!$C$4:$C$4003,"&lt;="&amp;账期止))</f>
        <v/>
      </c>
      <c r="S20" s="26">
        <f>IF($A20="","",ROUND(SUMIFS(出库单!$S$4:$S$4003,出库单!$D$4:$D$4003,$A20,出库单!$K$4:$K$4003,"对外销售",出库单!$U$4:$U$4003,"正常",出库单!$C$4:$C$4003,"&gt;="&amp;账期起,出库单!$C$4:$C$4003,"&lt;="&amp;账期止),0))</f>
        <v/>
      </c>
      <c r="T20" s="27">
        <f>IF($A20="","",SUMIFS(出库单!$J$4:$J$4003,出库单!$D$4:$D$4003,$A20,出库单!$K$4:$K$4003,"盘亏",出库单!$U$4:$U$4003,"正常",出库单!$C$4:$C$4003,"&gt;="&amp;账期起,出库单!$C$4:$C$4003,"&lt;="&amp;账期止))</f>
        <v/>
      </c>
      <c r="U20" s="26">
        <f>IF($A20="","",ROUND(SUMIFS(出库单!$S$4:$S$4003,出库单!$D$4:$D$4003,$A20,出库单!$K$4:$K$4003,"盘亏",出库单!$U$4:$U$4003,"正常",出库单!$C$4:$C$4003,"&gt;="&amp;账期起,出库单!$C$4:$C$4003,"&lt;="&amp;账期止),0))</f>
        <v/>
      </c>
      <c r="V20" s="27">
        <f>IF($A20="","",SUMIFS(出库单!$J$4:$J$4003,出库单!$D$4:$D$4003,$A20,出库单!$K$4:$K$4003,"退货给供应商",出库单!$U$4:$U$4003,"正常",出库单!$C$4:$C$4003,"&gt;="&amp;账期起,出库单!$C$4:$C$4003,"&lt;="&amp;账期止))</f>
        <v/>
      </c>
      <c r="W20" s="26">
        <f>IF($A20="","",ROUND(SUMIFS(出库单!$S$4:$S$4003,出库单!$D$4:$D$4003,$A20,出库单!$K$4:$K$4003,"退货给供应商",出库单!$U$4:$U$4003,"正常",出库单!$C$4:$C$4003,"&gt;="&amp;账期起,出库单!$C$4:$C$4003,"&lt;="&amp;账期止),0))</f>
        <v/>
      </c>
      <c r="X20" s="27">
        <f>IF($A20="","",ROUND(N($G20)+$I20+$L20+$N20-$P20-$R20-$T20-$V20,3))</f>
        <v/>
      </c>
      <c r="Y20" s="26">
        <f>IF($A20="","",ROUND(N($H20)+$J20+$M20+$O20-$Q20-$S20-$U20-$W20,0))</f>
        <v/>
      </c>
      <c r="Z20" s="24">
        <f>IF($A20="","",IF(COUNTIFS(入库单!$G$4:$G$2503,$A20,入库单!$Y$4:$Y$2503,"待补价")+COUNTIFS(入库单!$G$4:$G$2503,$A20,入库单!$Y$4:$Y$2503,"暂估")&gt;0,"不可信","可信"))</f>
        <v/>
      </c>
      <c r="AA20" s="24">
        <f>IF($A20="","",IF($X20&lt;-0.001,"※账面负库存，查一下是不是漏记入库",IF(AND(ROUND($X20,3)=0,ABS($Y20)&gt;1),"※数量已经是 0，金额还挂着 "&amp;TEXT($Y20,"#,##0")&amp;" 先令",IF(AND($X20&gt;0,$Y20&lt;=0,$K20=0),"※有数量没金额（这个物料一直没填过进价）",IF($Z20="不可信","△成本含待补价/暂估，毛利仅供参考","")))))</f>
        <v/>
      </c>
    </row>
    <row r="21">
      <c r="A21" s="24">
        <f>IF(物料档案!$A20="","",物料档案!$A20)</f>
        <v/>
      </c>
      <c r="B21" s="24">
        <f>IF($A21="","",IFERROR(VLOOKUP($A21,物料档案!$A$4:$P$1203,3,0),""))</f>
        <v/>
      </c>
      <c r="C21" s="24">
        <f>IF($A21="","",IFERROR(VLOOKUP($A21,物料档案!$A$4:$P$1203,4,0),""))</f>
        <v/>
      </c>
      <c r="D21" s="24">
        <f>IF($A21="","",IFERROR(VLOOKUP($A21,物料档案!$A$4:$P$1203,5,0),""))</f>
        <v/>
      </c>
      <c r="E21" s="24">
        <f>IF($A21="","",IFERROR(VLOOKUP($A21,物料档案!$A$4:$P$1203,2,0),""))</f>
        <v/>
      </c>
      <c r="F21" s="24">
        <f>IF($A21="","",IFERROR(VLOOKUP($A21,物料档案!$A$4:$P$1203,6,0),""))</f>
        <v/>
      </c>
      <c r="G21" s="23" t="n"/>
      <c r="H21" s="32" t="n"/>
      <c r="I21" s="27">
        <f>IF($A21="","",SUMIFS(入库单!$K$4:$K$2503,入库单!$G$4:$G$2503,$A21,入库单!$X$4:$X$2503,"采购入库",入库单!$Z$4:$Z$2503,"正常",入库单!$C$4:$C$2503,"&gt;="&amp;账期起,入库单!$C$4:$C$2503,"&lt;="&amp;账期止))</f>
        <v/>
      </c>
      <c r="J21" s="26">
        <f>IF($A21="","",SUMIFS(入库单!$V$4:$V$2503,入库单!$G$4:$G$2503,$A21,入库单!$X$4:$X$2503,"采购入库",入库单!$Z$4:$Z$2503,"正常",入库单!$C$4:$C$2503,"&gt;="&amp;账期起,入库单!$C$4:$C$2503,"&lt;="&amp;账期止))</f>
        <v/>
      </c>
      <c r="K21" s="26">
        <f>IF($A21="","",IFERROR(ROUND((N($H21)+N($J21))/(N($G21)+N($I21)),2),0))</f>
        <v/>
      </c>
      <c r="L21" s="27">
        <f>IF($A21="","",SUMIFS(入库单!$K$4:$K$2503,入库单!$G$4:$G$2503,$A21,入库单!$X$4:$X$2503,"盘盈",入库单!$Z$4:$Z$2503,"正常",入库单!$C$4:$C$2503,"&gt;="&amp;账期起,入库单!$C$4:$C$2503,"&lt;="&amp;账期止))</f>
        <v/>
      </c>
      <c r="M21" s="26">
        <f>IF($A21="","",ROUND($L21*$K21,0))</f>
        <v/>
      </c>
      <c r="N21" s="27">
        <f>IF($A21="","",SUMIFS(入库单!$K$4:$K$2503,入库单!$G$4:$G$2503,$A21,入库单!$X$4:$X$2503,"矿区退库",入库单!$Z$4:$Z$2503,"正常",入库单!$C$4:$C$2503,"&gt;="&amp;账期起,入库单!$C$4:$C$2503,"&lt;="&amp;账期止))</f>
        <v/>
      </c>
      <c r="O21" s="26">
        <f>IF($A21="","",ROUND($N21*$K21,0))</f>
        <v/>
      </c>
      <c r="P21" s="27">
        <f>IF($A21="","",SUMIFS(出库单!$J$4:$J$4003,出库单!$D$4:$D$4003,$A21,出库单!$K$4:$K$4003,"自用消耗",出库单!$U$4:$U$4003,"正常",出库单!$C$4:$C$4003,"&gt;="&amp;账期起,出库单!$C$4:$C$4003,"&lt;="&amp;账期止))</f>
        <v/>
      </c>
      <c r="Q21" s="26">
        <f>IF($A21="","",ROUND(SUMIFS(出库单!$S$4:$S$4003,出库单!$D$4:$D$4003,$A21,出库单!$K$4:$K$4003,"自用消耗",出库单!$U$4:$U$4003,"正常",出库单!$C$4:$C$4003,"&gt;="&amp;账期起,出库单!$C$4:$C$4003,"&lt;="&amp;账期止),0))</f>
        <v/>
      </c>
      <c r="R21" s="27">
        <f>IF($A21="","",SUMIFS(出库单!$J$4:$J$4003,出库单!$D$4:$D$4003,$A21,出库单!$K$4:$K$4003,"对外销售",出库单!$U$4:$U$4003,"正常",出库单!$C$4:$C$4003,"&gt;="&amp;账期起,出库单!$C$4:$C$4003,"&lt;="&amp;账期止))</f>
        <v/>
      </c>
      <c r="S21" s="26">
        <f>IF($A21="","",ROUND(SUMIFS(出库单!$S$4:$S$4003,出库单!$D$4:$D$4003,$A21,出库单!$K$4:$K$4003,"对外销售",出库单!$U$4:$U$4003,"正常",出库单!$C$4:$C$4003,"&gt;="&amp;账期起,出库单!$C$4:$C$4003,"&lt;="&amp;账期止),0))</f>
        <v/>
      </c>
      <c r="T21" s="27">
        <f>IF($A21="","",SUMIFS(出库单!$J$4:$J$4003,出库单!$D$4:$D$4003,$A21,出库单!$K$4:$K$4003,"盘亏",出库单!$U$4:$U$4003,"正常",出库单!$C$4:$C$4003,"&gt;="&amp;账期起,出库单!$C$4:$C$4003,"&lt;="&amp;账期止))</f>
        <v/>
      </c>
      <c r="U21" s="26">
        <f>IF($A21="","",ROUND(SUMIFS(出库单!$S$4:$S$4003,出库单!$D$4:$D$4003,$A21,出库单!$K$4:$K$4003,"盘亏",出库单!$U$4:$U$4003,"正常",出库单!$C$4:$C$4003,"&gt;="&amp;账期起,出库单!$C$4:$C$4003,"&lt;="&amp;账期止),0))</f>
        <v/>
      </c>
      <c r="V21" s="27">
        <f>IF($A21="","",SUMIFS(出库单!$J$4:$J$4003,出库单!$D$4:$D$4003,$A21,出库单!$K$4:$K$4003,"退货给供应商",出库单!$U$4:$U$4003,"正常",出库单!$C$4:$C$4003,"&gt;="&amp;账期起,出库单!$C$4:$C$4003,"&lt;="&amp;账期止))</f>
        <v/>
      </c>
      <c r="W21" s="26">
        <f>IF($A21="","",ROUND(SUMIFS(出库单!$S$4:$S$4003,出库单!$D$4:$D$4003,$A21,出库单!$K$4:$K$4003,"退货给供应商",出库单!$U$4:$U$4003,"正常",出库单!$C$4:$C$4003,"&gt;="&amp;账期起,出库单!$C$4:$C$4003,"&lt;="&amp;账期止),0))</f>
        <v/>
      </c>
      <c r="X21" s="27">
        <f>IF($A21="","",ROUND(N($G21)+$I21+$L21+$N21-$P21-$R21-$T21-$V21,3))</f>
        <v/>
      </c>
      <c r="Y21" s="26">
        <f>IF($A21="","",ROUND(N($H21)+$J21+$M21+$O21-$Q21-$S21-$U21-$W21,0))</f>
        <v/>
      </c>
      <c r="Z21" s="24">
        <f>IF($A21="","",IF(COUNTIFS(入库单!$G$4:$G$2503,$A21,入库单!$Y$4:$Y$2503,"待补价")+COUNTIFS(入库单!$G$4:$G$2503,$A21,入库单!$Y$4:$Y$2503,"暂估")&gt;0,"不可信","可信"))</f>
        <v/>
      </c>
      <c r="AA21" s="24">
        <f>IF($A21="","",IF($X21&lt;-0.001,"※账面负库存，查一下是不是漏记入库",IF(AND(ROUND($X21,3)=0,ABS($Y21)&gt;1),"※数量已经是 0，金额还挂着 "&amp;TEXT($Y21,"#,##0")&amp;" 先令",IF(AND($X21&gt;0,$Y21&lt;=0,$K21=0),"※有数量没金额（这个物料一直没填过进价）",IF($Z21="不可信","△成本含待补价/暂估，毛利仅供参考","")))))</f>
        <v/>
      </c>
    </row>
    <row r="22">
      <c r="A22" s="24">
        <f>IF(物料档案!$A21="","",物料档案!$A21)</f>
        <v/>
      </c>
      <c r="B22" s="24">
        <f>IF($A22="","",IFERROR(VLOOKUP($A22,物料档案!$A$4:$P$1203,3,0),""))</f>
        <v/>
      </c>
      <c r="C22" s="24">
        <f>IF($A22="","",IFERROR(VLOOKUP($A22,物料档案!$A$4:$P$1203,4,0),""))</f>
        <v/>
      </c>
      <c r="D22" s="24">
        <f>IF($A22="","",IFERROR(VLOOKUP($A22,物料档案!$A$4:$P$1203,5,0),""))</f>
        <v/>
      </c>
      <c r="E22" s="24">
        <f>IF($A22="","",IFERROR(VLOOKUP($A22,物料档案!$A$4:$P$1203,2,0),""))</f>
        <v/>
      </c>
      <c r="F22" s="24">
        <f>IF($A22="","",IFERROR(VLOOKUP($A22,物料档案!$A$4:$P$1203,6,0),""))</f>
        <v/>
      </c>
      <c r="G22" s="23" t="n"/>
      <c r="H22" s="32" t="n"/>
      <c r="I22" s="27">
        <f>IF($A22="","",SUMIFS(入库单!$K$4:$K$2503,入库单!$G$4:$G$2503,$A22,入库单!$X$4:$X$2503,"采购入库",入库单!$Z$4:$Z$2503,"正常",入库单!$C$4:$C$2503,"&gt;="&amp;账期起,入库单!$C$4:$C$2503,"&lt;="&amp;账期止))</f>
        <v/>
      </c>
      <c r="J22" s="26">
        <f>IF($A22="","",SUMIFS(入库单!$V$4:$V$2503,入库单!$G$4:$G$2503,$A22,入库单!$X$4:$X$2503,"采购入库",入库单!$Z$4:$Z$2503,"正常",入库单!$C$4:$C$2503,"&gt;="&amp;账期起,入库单!$C$4:$C$2503,"&lt;="&amp;账期止))</f>
        <v/>
      </c>
      <c r="K22" s="26">
        <f>IF($A22="","",IFERROR(ROUND((N($H22)+N($J22))/(N($G22)+N($I22)),2),0))</f>
        <v/>
      </c>
      <c r="L22" s="27">
        <f>IF($A22="","",SUMIFS(入库单!$K$4:$K$2503,入库单!$G$4:$G$2503,$A22,入库单!$X$4:$X$2503,"盘盈",入库单!$Z$4:$Z$2503,"正常",入库单!$C$4:$C$2503,"&gt;="&amp;账期起,入库单!$C$4:$C$2503,"&lt;="&amp;账期止))</f>
        <v/>
      </c>
      <c r="M22" s="26">
        <f>IF($A22="","",ROUND($L22*$K22,0))</f>
        <v/>
      </c>
      <c r="N22" s="27">
        <f>IF($A22="","",SUMIFS(入库单!$K$4:$K$2503,入库单!$G$4:$G$2503,$A22,入库单!$X$4:$X$2503,"矿区退库",入库单!$Z$4:$Z$2503,"正常",入库单!$C$4:$C$2503,"&gt;="&amp;账期起,入库单!$C$4:$C$2503,"&lt;="&amp;账期止))</f>
        <v/>
      </c>
      <c r="O22" s="26">
        <f>IF($A22="","",ROUND($N22*$K22,0))</f>
        <v/>
      </c>
      <c r="P22" s="27">
        <f>IF($A22="","",SUMIFS(出库单!$J$4:$J$4003,出库单!$D$4:$D$4003,$A22,出库单!$K$4:$K$4003,"自用消耗",出库单!$U$4:$U$4003,"正常",出库单!$C$4:$C$4003,"&gt;="&amp;账期起,出库单!$C$4:$C$4003,"&lt;="&amp;账期止))</f>
        <v/>
      </c>
      <c r="Q22" s="26">
        <f>IF($A22="","",ROUND(SUMIFS(出库单!$S$4:$S$4003,出库单!$D$4:$D$4003,$A22,出库单!$K$4:$K$4003,"自用消耗",出库单!$U$4:$U$4003,"正常",出库单!$C$4:$C$4003,"&gt;="&amp;账期起,出库单!$C$4:$C$4003,"&lt;="&amp;账期止),0))</f>
        <v/>
      </c>
      <c r="R22" s="27">
        <f>IF($A22="","",SUMIFS(出库单!$J$4:$J$4003,出库单!$D$4:$D$4003,$A22,出库单!$K$4:$K$4003,"对外销售",出库单!$U$4:$U$4003,"正常",出库单!$C$4:$C$4003,"&gt;="&amp;账期起,出库单!$C$4:$C$4003,"&lt;="&amp;账期止))</f>
        <v/>
      </c>
      <c r="S22" s="26">
        <f>IF($A22="","",ROUND(SUMIFS(出库单!$S$4:$S$4003,出库单!$D$4:$D$4003,$A22,出库单!$K$4:$K$4003,"对外销售",出库单!$U$4:$U$4003,"正常",出库单!$C$4:$C$4003,"&gt;="&amp;账期起,出库单!$C$4:$C$4003,"&lt;="&amp;账期止),0))</f>
        <v/>
      </c>
      <c r="T22" s="27">
        <f>IF($A22="","",SUMIFS(出库单!$J$4:$J$4003,出库单!$D$4:$D$4003,$A22,出库单!$K$4:$K$4003,"盘亏",出库单!$U$4:$U$4003,"正常",出库单!$C$4:$C$4003,"&gt;="&amp;账期起,出库单!$C$4:$C$4003,"&lt;="&amp;账期止))</f>
        <v/>
      </c>
      <c r="U22" s="26">
        <f>IF($A22="","",ROUND(SUMIFS(出库单!$S$4:$S$4003,出库单!$D$4:$D$4003,$A22,出库单!$K$4:$K$4003,"盘亏",出库单!$U$4:$U$4003,"正常",出库单!$C$4:$C$4003,"&gt;="&amp;账期起,出库单!$C$4:$C$4003,"&lt;="&amp;账期止),0))</f>
        <v/>
      </c>
      <c r="V22" s="27">
        <f>IF($A22="","",SUMIFS(出库单!$J$4:$J$4003,出库单!$D$4:$D$4003,$A22,出库单!$K$4:$K$4003,"退货给供应商",出库单!$U$4:$U$4003,"正常",出库单!$C$4:$C$4003,"&gt;="&amp;账期起,出库单!$C$4:$C$4003,"&lt;="&amp;账期止))</f>
        <v/>
      </c>
      <c r="W22" s="26">
        <f>IF($A22="","",ROUND(SUMIFS(出库单!$S$4:$S$4003,出库单!$D$4:$D$4003,$A22,出库单!$K$4:$K$4003,"退货给供应商",出库单!$U$4:$U$4003,"正常",出库单!$C$4:$C$4003,"&gt;="&amp;账期起,出库单!$C$4:$C$4003,"&lt;="&amp;账期止),0))</f>
        <v/>
      </c>
      <c r="X22" s="27">
        <f>IF($A22="","",ROUND(N($G22)+$I22+$L22+$N22-$P22-$R22-$T22-$V22,3))</f>
        <v/>
      </c>
      <c r="Y22" s="26">
        <f>IF($A22="","",ROUND(N($H22)+$J22+$M22+$O22-$Q22-$S22-$U22-$W22,0))</f>
        <v/>
      </c>
      <c r="Z22" s="24">
        <f>IF($A22="","",IF(COUNTIFS(入库单!$G$4:$G$2503,$A22,入库单!$Y$4:$Y$2503,"待补价")+COUNTIFS(入库单!$G$4:$G$2503,$A22,入库单!$Y$4:$Y$2503,"暂估")&gt;0,"不可信","可信"))</f>
        <v/>
      </c>
      <c r="AA22" s="24">
        <f>IF($A22="","",IF($X22&lt;-0.001,"※账面负库存，查一下是不是漏记入库",IF(AND(ROUND($X22,3)=0,ABS($Y22)&gt;1),"※数量已经是 0，金额还挂着 "&amp;TEXT($Y22,"#,##0")&amp;" 先令",IF(AND($X22&gt;0,$Y22&lt;=0,$K22=0),"※有数量没金额（这个物料一直没填过进价）",IF($Z22="不可信","△成本含待补价/暂估，毛利仅供参考","")))))</f>
        <v/>
      </c>
    </row>
    <row r="23">
      <c r="A23" s="24">
        <f>IF(物料档案!$A22="","",物料档案!$A22)</f>
        <v/>
      </c>
      <c r="B23" s="24">
        <f>IF($A23="","",IFERROR(VLOOKUP($A23,物料档案!$A$4:$P$1203,3,0),""))</f>
        <v/>
      </c>
      <c r="C23" s="24">
        <f>IF($A23="","",IFERROR(VLOOKUP($A23,物料档案!$A$4:$P$1203,4,0),""))</f>
        <v/>
      </c>
      <c r="D23" s="24">
        <f>IF($A23="","",IFERROR(VLOOKUP($A23,物料档案!$A$4:$P$1203,5,0),""))</f>
        <v/>
      </c>
      <c r="E23" s="24">
        <f>IF($A23="","",IFERROR(VLOOKUP($A23,物料档案!$A$4:$P$1203,2,0),""))</f>
        <v/>
      </c>
      <c r="F23" s="24">
        <f>IF($A23="","",IFERROR(VLOOKUP($A23,物料档案!$A$4:$P$1203,6,0),""))</f>
        <v/>
      </c>
      <c r="G23" s="23" t="n"/>
      <c r="H23" s="32" t="n"/>
      <c r="I23" s="27">
        <f>IF($A23="","",SUMIFS(入库单!$K$4:$K$2503,入库单!$G$4:$G$2503,$A23,入库单!$X$4:$X$2503,"采购入库",入库单!$Z$4:$Z$2503,"正常",入库单!$C$4:$C$2503,"&gt;="&amp;账期起,入库单!$C$4:$C$2503,"&lt;="&amp;账期止))</f>
        <v/>
      </c>
      <c r="J23" s="26">
        <f>IF($A23="","",SUMIFS(入库单!$V$4:$V$2503,入库单!$G$4:$G$2503,$A23,入库单!$X$4:$X$2503,"采购入库",入库单!$Z$4:$Z$2503,"正常",入库单!$C$4:$C$2503,"&gt;="&amp;账期起,入库单!$C$4:$C$2503,"&lt;="&amp;账期止))</f>
        <v/>
      </c>
      <c r="K23" s="26">
        <f>IF($A23="","",IFERROR(ROUND((N($H23)+N($J23))/(N($G23)+N($I23)),2),0))</f>
        <v/>
      </c>
      <c r="L23" s="27">
        <f>IF($A23="","",SUMIFS(入库单!$K$4:$K$2503,入库单!$G$4:$G$2503,$A23,入库单!$X$4:$X$2503,"盘盈",入库单!$Z$4:$Z$2503,"正常",入库单!$C$4:$C$2503,"&gt;="&amp;账期起,入库单!$C$4:$C$2503,"&lt;="&amp;账期止))</f>
        <v/>
      </c>
      <c r="M23" s="26">
        <f>IF($A23="","",ROUND($L23*$K23,0))</f>
        <v/>
      </c>
      <c r="N23" s="27">
        <f>IF($A23="","",SUMIFS(入库单!$K$4:$K$2503,入库单!$G$4:$G$2503,$A23,入库单!$X$4:$X$2503,"矿区退库",入库单!$Z$4:$Z$2503,"正常",入库单!$C$4:$C$2503,"&gt;="&amp;账期起,入库单!$C$4:$C$2503,"&lt;="&amp;账期止))</f>
        <v/>
      </c>
      <c r="O23" s="26">
        <f>IF($A23="","",ROUND($N23*$K23,0))</f>
        <v/>
      </c>
      <c r="P23" s="27">
        <f>IF($A23="","",SUMIFS(出库单!$J$4:$J$4003,出库单!$D$4:$D$4003,$A23,出库单!$K$4:$K$4003,"自用消耗",出库单!$U$4:$U$4003,"正常",出库单!$C$4:$C$4003,"&gt;="&amp;账期起,出库单!$C$4:$C$4003,"&lt;="&amp;账期止))</f>
        <v/>
      </c>
      <c r="Q23" s="26">
        <f>IF($A23="","",ROUND(SUMIFS(出库单!$S$4:$S$4003,出库单!$D$4:$D$4003,$A23,出库单!$K$4:$K$4003,"自用消耗",出库单!$U$4:$U$4003,"正常",出库单!$C$4:$C$4003,"&gt;="&amp;账期起,出库单!$C$4:$C$4003,"&lt;="&amp;账期止),0))</f>
        <v/>
      </c>
      <c r="R23" s="27">
        <f>IF($A23="","",SUMIFS(出库单!$J$4:$J$4003,出库单!$D$4:$D$4003,$A23,出库单!$K$4:$K$4003,"对外销售",出库单!$U$4:$U$4003,"正常",出库单!$C$4:$C$4003,"&gt;="&amp;账期起,出库单!$C$4:$C$4003,"&lt;="&amp;账期止))</f>
        <v/>
      </c>
      <c r="S23" s="26">
        <f>IF($A23="","",ROUND(SUMIFS(出库单!$S$4:$S$4003,出库单!$D$4:$D$4003,$A23,出库单!$K$4:$K$4003,"对外销售",出库单!$U$4:$U$4003,"正常",出库单!$C$4:$C$4003,"&gt;="&amp;账期起,出库单!$C$4:$C$4003,"&lt;="&amp;账期止),0))</f>
        <v/>
      </c>
      <c r="T23" s="27">
        <f>IF($A23="","",SUMIFS(出库单!$J$4:$J$4003,出库单!$D$4:$D$4003,$A23,出库单!$K$4:$K$4003,"盘亏",出库单!$U$4:$U$4003,"正常",出库单!$C$4:$C$4003,"&gt;="&amp;账期起,出库单!$C$4:$C$4003,"&lt;="&amp;账期止))</f>
        <v/>
      </c>
      <c r="U23" s="26">
        <f>IF($A23="","",ROUND(SUMIFS(出库单!$S$4:$S$4003,出库单!$D$4:$D$4003,$A23,出库单!$K$4:$K$4003,"盘亏",出库单!$U$4:$U$4003,"正常",出库单!$C$4:$C$4003,"&gt;="&amp;账期起,出库单!$C$4:$C$4003,"&lt;="&amp;账期止),0))</f>
        <v/>
      </c>
      <c r="V23" s="27">
        <f>IF($A23="","",SUMIFS(出库单!$J$4:$J$4003,出库单!$D$4:$D$4003,$A23,出库单!$K$4:$K$4003,"退货给供应商",出库单!$U$4:$U$4003,"正常",出库单!$C$4:$C$4003,"&gt;="&amp;账期起,出库单!$C$4:$C$4003,"&lt;="&amp;账期止))</f>
        <v/>
      </c>
      <c r="W23" s="26">
        <f>IF($A23="","",ROUND(SUMIFS(出库单!$S$4:$S$4003,出库单!$D$4:$D$4003,$A23,出库单!$K$4:$K$4003,"退货给供应商",出库单!$U$4:$U$4003,"正常",出库单!$C$4:$C$4003,"&gt;="&amp;账期起,出库单!$C$4:$C$4003,"&lt;="&amp;账期止),0))</f>
        <v/>
      </c>
      <c r="X23" s="27">
        <f>IF($A23="","",ROUND(N($G23)+$I23+$L23+$N23-$P23-$R23-$T23-$V23,3))</f>
        <v/>
      </c>
      <c r="Y23" s="26">
        <f>IF($A23="","",ROUND(N($H23)+$J23+$M23+$O23-$Q23-$S23-$U23-$W23,0))</f>
        <v/>
      </c>
      <c r="Z23" s="24">
        <f>IF($A23="","",IF(COUNTIFS(入库单!$G$4:$G$2503,$A23,入库单!$Y$4:$Y$2503,"待补价")+COUNTIFS(入库单!$G$4:$G$2503,$A23,入库单!$Y$4:$Y$2503,"暂估")&gt;0,"不可信","可信"))</f>
        <v/>
      </c>
      <c r="AA23" s="24">
        <f>IF($A23="","",IF($X23&lt;-0.001,"※账面负库存，查一下是不是漏记入库",IF(AND(ROUND($X23,3)=0,ABS($Y23)&gt;1),"※数量已经是 0，金额还挂着 "&amp;TEXT($Y23,"#,##0")&amp;" 先令",IF(AND($X23&gt;0,$Y23&lt;=0,$K23=0),"※有数量没金额（这个物料一直没填过进价）",IF($Z23="不可信","△成本含待补价/暂估，毛利仅供参考","")))))</f>
        <v/>
      </c>
    </row>
    <row r="24">
      <c r="A24" s="24">
        <f>IF(物料档案!$A23="","",物料档案!$A23)</f>
        <v/>
      </c>
      <c r="B24" s="24">
        <f>IF($A24="","",IFERROR(VLOOKUP($A24,物料档案!$A$4:$P$1203,3,0),""))</f>
        <v/>
      </c>
      <c r="C24" s="24">
        <f>IF($A24="","",IFERROR(VLOOKUP($A24,物料档案!$A$4:$P$1203,4,0),""))</f>
        <v/>
      </c>
      <c r="D24" s="24">
        <f>IF($A24="","",IFERROR(VLOOKUP($A24,物料档案!$A$4:$P$1203,5,0),""))</f>
        <v/>
      </c>
      <c r="E24" s="24">
        <f>IF($A24="","",IFERROR(VLOOKUP($A24,物料档案!$A$4:$P$1203,2,0),""))</f>
        <v/>
      </c>
      <c r="F24" s="24">
        <f>IF($A24="","",IFERROR(VLOOKUP($A24,物料档案!$A$4:$P$1203,6,0),""))</f>
        <v/>
      </c>
      <c r="G24" s="23" t="n"/>
      <c r="H24" s="32" t="n"/>
      <c r="I24" s="27">
        <f>IF($A24="","",SUMIFS(入库单!$K$4:$K$2503,入库单!$G$4:$G$2503,$A24,入库单!$X$4:$X$2503,"采购入库",入库单!$Z$4:$Z$2503,"正常",入库单!$C$4:$C$2503,"&gt;="&amp;账期起,入库单!$C$4:$C$2503,"&lt;="&amp;账期止))</f>
        <v/>
      </c>
      <c r="J24" s="26">
        <f>IF($A24="","",SUMIFS(入库单!$V$4:$V$2503,入库单!$G$4:$G$2503,$A24,入库单!$X$4:$X$2503,"采购入库",入库单!$Z$4:$Z$2503,"正常",入库单!$C$4:$C$2503,"&gt;="&amp;账期起,入库单!$C$4:$C$2503,"&lt;="&amp;账期止))</f>
        <v/>
      </c>
      <c r="K24" s="26">
        <f>IF($A24="","",IFERROR(ROUND((N($H24)+N($J24))/(N($G24)+N($I24)),2),0))</f>
        <v/>
      </c>
      <c r="L24" s="27">
        <f>IF($A24="","",SUMIFS(入库单!$K$4:$K$2503,入库单!$G$4:$G$2503,$A24,入库单!$X$4:$X$2503,"盘盈",入库单!$Z$4:$Z$2503,"正常",入库单!$C$4:$C$2503,"&gt;="&amp;账期起,入库单!$C$4:$C$2503,"&lt;="&amp;账期止))</f>
        <v/>
      </c>
      <c r="M24" s="26">
        <f>IF($A24="","",ROUND($L24*$K24,0))</f>
        <v/>
      </c>
      <c r="N24" s="27">
        <f>IF($A24="","",SUMIFS(入库单!$K$4:$K$2503,入库单!$G$4:$G$2503,$A24,入库单!$X$4:$X$2503,"矿区退库",入库单!$Z$4:$Z$2503,"正常",入库单!$C$4:$C$2503,"&gt;="&amp;账期起,入库单!$C$4:$C$2503,"&lt;="&amp;账期止))</f>
        <v/>
      </c>
      <c r="O24" s="26">
        <f>IF($A24="","",ROUND($N24*$K24,0))</f>
        <v/>
      </c>
      <c r="P24" s="27">
        <f>IF($A24="","",SUMIFS(出库单!$J$4:$J$4003,出库单!$D$4:$D$4003,$A24,出库单!$K$4:$K$4003,"自用消耗",出库单!$U$4:$U$4003,"正常",出库单!$C$4:$C$4003,"&gt;="&amp;账期起,出库单!$C$4:$C$4003,"&lt;="&amp;账期止))</f>
        <v/>
      </c>
      <c r="Q24" s="26">
        <f>IF($A24="","",ROUND(SUMIFS(出库单!$S$4:$S$4003,出库单!$D$4:$D$4003,$A24,出库单!$K$4:$K$4003,"自用消耗",出库单!$U$4:$U$4003,"正常",出库单!$C$4:$C$4003,"&gt;="&amp;账期起,出库单!$C$4:$C$4003,"&lt;="&amp;账期止),0))</f>
        <v/>
      </c>
      <c r="R24" s="27">
        <f>IF($A24="","",SUMIFS(出库单!$J$4:$J$4003,出库单!$D$4:$D$4003,$A24,出库单!$K$4:$K$4003,"对外销售",出库单!$U$4:$U$4003,"正常",出库单!$C$4:$C$4003,"&gt;="&amp;账期起,出库单!$C$4:$C$4003,"&lt;="&amp;账期止))</f>
        <v/>
      </c>
      <c r="S24" s="26">
        <f>IF($A24="","",ROUND(SUMIFS(出库单!$S$4:$S$4003,出库单!$D$4:$D$4003,$A24,出库单!$K$4:$K$4003,"对外销售",出库单!$U$4:$U$4003,"正常",出库单!$C$4:$C$4003,"&gt;="&amp;账期起,出库单!$C$4:$C$4003,"&lt;="&amp;账期止),0))</f>
        <v/>
      </c>
      <c r="T24" s="27">
        <f>IF($A24="","",SUMIFS(出库单!$J$4:$J$4003,出库单!$D$4:$D$4003,$A24,出库单!$K$4:$K$4003,"盘亏",出库单!$U$4:$U$4003,"正常",出库单!$C$4:$C$4003,"&gt;="&amp;账期起,出库单!$C$4:$C$4003,"&lt;="&amp;账期止))</f>
        <v/>
      </c>
      <c r="U24" s="26">
        <f>IF($A24="","",ROUND(SUMIFS(出库单!$S$4:$S$4003,出库单!$D$4:$D$4003,$A24,出库单!$K$4:$K$4003,"盘亏",出库单!$U$4:$U$4003,"正常",出库单!$C$4:$C$4003,"&gt;="&amp;账期起,出库单!$C$4:$C$4003,"&lt;="&amp;账期止),0))</f>
        <v/>
      </c>
      <c r="V24" s="27">
        <f>IF($A24="","",SUMIFS(出库单!$J$4:$J$4003,出库单!$D$4:$D$4003,$A24,出库单!$K$4:$K$4003,"退货给供应商",出库单!$U$4:$U$4003,"正常",出库单!$C$4:$C$4003,"&gt;="&amp;账期起,出库单!$C$4:$C$4003,"&lt;="&amp;账期止))</f>
        <v/>
      </c>
      <c r="W24" s="26">
        <f>IF($A24="","",ROUND(SUMIFS(出库单!$S$4:$S$4003,出库单!$D$4:$D$4003,$A24,出库单!$K$4:$K$4003,"退货给供应商",出库单!$U$4:$U$4003,"正常",出库单!$C$4:$C$4003,"&gt;="&amp;账期起,出库单!$C$4:$C$4003,"&lt;="&amp;账期止),0))</f>
        <v/>
      </c>
      <c r="X24" s="27">
        <f>IF($A24="","",ROUND(N($G24)+$I24+$L24+$N24-$P24-$R24-$T24-$V24,3))</f>
        <v/>
      </c>
      <c r="Y24" s="26">
        <f>IF($A24="","",ROUND(N($H24)+$J24+$M24+$O24-$Q24-$S24-$U24-$W24,0))</f>
        <v/>
      </c>
      <c r="Z24" s="24">
        <f>IF($A24="","",IF(COUNTIFS(入库单!$G$4:$G$2503,$A24,入库单!$Y$4:$Y$2503,"待补价")+COUNTIFS(入库单!$G$4:$G$2503,$A24,入库单!$Y$4:$Y$2503,"暂估")&gt;0,"不可信","可信"))</f>
        <v/>
      </c>
      <c r="AA24" s="24">
        <f>IF($A24="","",IF($X24&lt;-0.001,"※账面负库存，查一下是不是漏记入库",IF(AND(ROUND($X24,3)=0,ABS($Y24)&gt;1),"※数量已经是 0，金额还挂着 "&amp;TEXT($Y24,"#,##0")&amp;" 先令",IF(AND($X24&gt;0,$Y24&lt;=0,$K24=0),"※有数量没金额（这个物料一直没填过进价）",IF($Z24="不可信","△成本含待补价/暂估，毛利仅供参考","")))))</f>
        <v/>
      </c>
    </row>
    <row r="25">
      <c r="A25" s="24">
        <f>IF(物料档案!$A24="","",物料档案!$A24)</f>
        <v/>
      </c>
      <c r="B25" s="24">
        <f>IF($A25="","",IFERROR(VLOOKUP($A25,物料档案!$A$4:$P$1203,3,0),""))</f>
        <v/>
      </c>
      <c r="C25" s="24">
        <f>IF($A25="","",IFERROR(VLOOKUP($A25,物料档案!$A$4:$P$1203,4,0),""))</f>
        <v/>
      </c>
      <c r="D25" s="24">
        <f>IF($A25="","",IFERROR(VLOOKUP($A25,物料档案!$A$4:$P$1203,5,0),""))</f>
        <v/>
      </c>
      <c r="E25" s="24">
        <f>IF($A25="","",IFERROR(VLOOKUP($A25,物料档案!$A$4:$P$1203,2,0),""))</f>
        <v/>
      </c>
      <c r="F25" s="24">
        <f>IF($A25="","",IFERROR(VLOOKUP($A25,物料档案!$A$4:$P$1203,6,0),""))</f>
        <v/>
      </c>
      <c r="G25" s="23" t="n"/>
      <c r="H25" s="32" t="n"/>
      <c r="I25" s="27">
        <f>IF($A25="","",SUMIFS(入库单!$K$4:$K$2503,入库单!$G$4:$G$2503,$A25,入库单!$X$4:$X$2503,"采购入库",入库单!$Z$4:$Z$2503,"正常",入库单!$C$4:$C$2503,"&gt;="&amp;账期起,入库单!$C$4:$C$2503,"&lt;="&amp;账期止))</f>
        <v/>
      </c>
      <c r="J25" s="26">
        <f>IF($A25="","",SUMIFS(入库单!$V$4:$V$2503,入库单!$G$4:$G$2503,$A25,入库单!$X$4:$X$2503,"采购入库",入库单!$Z$4:$Z$2503,"正常",入库单!$C$4:$C$2503,"&gt;="&amp;账期起,入库单!$C$4:$C$2503,"&lt;="&amp;账期止))</f>
        <v/>
      </c>
      <c r="K25" s="26">
        <f>IF($A25="","",IFERROR(ROUND((N($H25)+N($J25))/(N($G25)+N($I25)),2),0))</f>
        <v/>
      </c>
      <c r="L25" s="27">
        <f>IF($A25="","",SUMIFS(入库单!$K$4:$K$2503,入库单!$G$4:$G$2503,$A25,入库单!$X$4:$X$2503,"盘盈",入库单!$Z$4:$Z$2503,"正常",入库单!$C$4:$C$2503,"&gt;="&amp;账期起,入库单!$C$4:$C$2503,"&lt;="&amp;账期止))</f>
        <v/>
      </c>
      <c r="M25" s="26">
        <f>IF($A25="","",ROUND($L25*$K25,0))</f>
        <v/>
      </c>
      <c r="N25" s="27">
        <f>IF($A25="","",SUMIFS(入库单!$K$4:$K$2503,入库单!$G$4:$G$2503,$A25,入库单!$X$4:$X$2503,"矿区退库",入库单!$Z$4:$Z$2503,"正常",入库单!$C$4:$C$2503,"&gt;="&amp;账期起,入库单!$C$4:$C$2503,"&lt;="&amp;账期止))</f>
        <v/>
      </c>
      <c r="O25" s="26">
        <f>IF($A25="","",ROUND($N25*$K25,0))</f>
        <v/>
      </c>
      <c r="P25" s="27">
        <f>IF($A25="","",SUMIFS(出库单!$J$4:$J$4003,出库单!$D$4:$D$4003,$A25,出库单!$K$4:$K$4003,"自用消耗",出库单!$U$4:$U$4003,"正常",出库单!$C$4:$C$4003,"&gt;="&amp;账期起,出库单!$C$4:$C$4003,"&lt;="&amp;账期止))</f>
        <v/>
      </c>
      <c r="Q25" s="26">
        <f>IF($A25="","",ROUND(SUMIFS(出库单!$S$4:$S$4003,出库单!$D$4:$D$4003,$A25,出库单!$K$4:$K$4003,"自用消耗",出库单!$U$4:$U$4003,"正常",出库单!$C$4:$C$4003,"&gt;="&amp;账期起,出库单!$C$4:$C$4003,"&lt;="&amp;账期止),0))</f>
        <v/>
      </c>
      <c r="R25" s="27">
        <f>IF($A25="","",SUMIFS(出库单!$J$4:$J$4003,出库单!$D$4:$D$4003,$A25,出库单!$K$4:$K$4003,"对外销售",出库单!$U$4:$U$4003,"正常",出库单!$C$4:$C$4003,"&gt;="&amp;账期起,出库单!$C$4:$C$4003,"&lt;="&amp;账期止))</f>
        <v/>
      </c>
      <c r="S25" s="26">
        <f>IF($A25="","",ROUND(SUMIFS(出库单!$S$4:$S$4003,出库单!$D$4:$D$4003,$A25,出库单!$K$4:$K$4003,"对外销售",出库单!$U$4:$U$4003,"正常",出库单!$C$4:$C$4003,"&gt;="&amp;账期起,出库单!$C$4:$C$4003,"&lt;="&amp;账期止),0))</f>
        <v/>
      </c>
      <c r="T25" s="27">
        <f>IF($A25="","",SUMIFS(出库单!$J$4:$J$4003,出库单!$D$4:$D$4003,$A25,出库单!$K$4:$K$4003,"盘亏",出库单!$U$4:$U$4003,"正常",出库单!$C$4:$C$4003,"&gt;="&amp;账期起,出库单!$C$4:$C$4003,"&lt;="&amp;账期止))</f>
        <v/>
      </c>
      <c r="U25" s="26">
        <f>IF($A25="","",ROUND(SUMIFS(出库单!$S$4:$S$4003,出库单!$D$4:$D$4003,$A25,出库单!$K$4:$K$4003,"盘亏",出库单!$U$4:$U$4003,"正常",出库单!$C$4:$C$4003,"&gt;="&amp;账期起,出库单!$C$4:$C$4003,"&lt;="&amp;账期止),0))</f>
        <v/>
      </c>
      <c r="V25" s="27">
        <f>IF($A25="","",SUMIFS(出库单!$J$4:$J$4003,出库单!$D$4:$D$4003,$A25,出库单!$K$4:$K$4003,"退货给供应商",出库单!$U$4:$U$4003,"正常",出库单!$C$4:$C$4003,"&gt;="&amp;账期起,出库单!$C$4:$C$4003,"&lt;="&amp;账期止))</f>
        <v/>
      </c>
      <c r="W25" s="26">
        <f>IF($A25="","",ROUND(SUMIFS(出库单!$S$4:$S$4003,出库单!$D$4:$D$4003,$A25,出库单!$K$4:$K$4003,"退货给供应商",出库单!$U$4:$U$4003,"正常",出库单!$C$4:$C$4003,"&gt;="&amp;账期起,出库单!$C$4:$C$4003,"&lt;="&amp;账期止),0))</f>
        <v/>
      </c>
      <c r="X25" s="27">
        <f>IF($A25="","",ROUND(N($G25)+$I25+$L25+$N25-$P25-$R25-$T25-$V25,3))</f>
        <v/>
      </c>
      <c r="Y25" s="26">
        <f>IF($A25="","",ROUND(N($H25)+$J25+$M25+$O25-$Q25-$S25-$U25-$W25,0))</f>
        <v/>
      </c>
      <c r="Z25" s="24">
        <f>IF($A25="","",IF(COUNTIFS(入库单!$G$4:$G$2503,$A25,入库单!$Y$4:$Y$2503,"待补价")+COUNTIFS(入库单!$G$4:$G$2503,$A25,入库单!$Y$4:$Y$2503,"暂估")&gt;0,"不可信","可信"))</f>
        <v/>
      </c>
      <c r="AA25" s="24">
        <f>IF($A25="","",IF($X25&lt;-0.001,"※账面负库存，查一下是不是漏记入库",IF(AND(ROUND($X25,3)=0,ABS($Y25)&gt;1),"※数量已经是 0，金额还挂着 "&amp;TEXT($Y25,"#,##0")&amp;" 先令",IF(AND($X25&gt;0,$Y25&lt;=0,$K25=0),"※有数量没金额（这个物料一直没填过进价）",IF($Z25="不可信","△成本含待补价/暂估，毛利仅供参考","")))))</f>
        <v/>
      </c>
    </row>
    <row r="26">
      <c r="A26" s="24">
        <f>IF(物料档案!$A25="","",物料档案!$A25)</f>
        <v/>
      </c>
      <c r="B26" s="24">
        <f>IF($A26="","",IFERROR(VLOOKUP($A26,物料档案!$A$4:$P$1203,3,0),""))</f>
        <v/>
      </c>
      <c r="C26" s="24">
        <f>IF($A26="","",IFERROR(VLOOKUP($A26,物料档案!$A$4:$P$1203,4,0),""))</f>
        <v/>
      </c>
      <c r="D26" s="24">
        <f>IF($A26="","",IFERROR(VLOOKUP($A26,物料档案!$A$4:$P$1203,5,0),""))</f>
        <v/>
      </c>
      <c r="E26" s="24">
        <f>IF($A26="","",IFERROR(VLOOKUP($A26,物料档案!$A$4:$P$1203,2,0),""))</f>
        <v/>
      </c>
      <c r="F26" s="24">
        <f>IF($A26="","",IFERROR(VLOOKUP($A26,物料档案!$A$4:$P$1203,6,0),""))</f>
        <v/>
      </c>
      <c r="G26" s="23" t="n"/>
      <c r="H26" s="32" t="n"/>
      <c r="I26" s="27">
        <f>IF($A26="","",SUMIFS(入库单!$K$4:$K$2503,入库单!$G$4:$G$2503,$A26,入库单!$X$4:$X$2503,"采购入库",入库单!$Z$4:$Z$2503,"正常",入库单!$C$4:$C$2503,"&gt;="&amp;账期起,入库单!$C$4:$C$2503,"&lt;="&amp;账期止))</f>
        <v/>
      </c>
      <c r="J26" s="26">
        <f>IF($A26="","",SUMIFS(入库单!$V$4:$V$2503,入库单!$G$4:$G$2503,$A26,入库单!$X$4:$X$2503,"采购入库",入库单!$Z$4:$Z$2503,"正常",入库单!$C$4:$C$2503,"&gt;="&amp;账期起,入库单!$C$4:$C$2503,"&lt;="&amp;账期止))</f>
        <v/>
      </c>
      <c r="K26" s="26">
        <f>IF($A26="","",IFERROR(ROUND((N($H26)+N($J26))/(N($G26)+N($I26)),2),0))</f>
        <v/>
      </c>
      <c r="L26" s="27">
        <f>IF($A26="","",SUMIFS(入库单!$K$4:$K$2503,入库单!$G$4:$G$2503,$A26,入库单!$X$4:$X$2503,"盘盈",入库单!$Z$4:$Z$2503,"正常",入库单!$C$4:$C$2503,"&gt;="&amp;账期起,入库单!$C$4:$C$2503,"&lt;="&amp;账期止))</f>
        <v/>
      </c>
      <c r="M26" s="26">
        <f>IF($A26="","",ROUND($L26*$K26,0))</f>
        <v/>
      </c>
      <c r="N26" s="27">
        <f>IF($A26="","",SUMIFS(入库单!$K$4:$K$2503,入库单!$G$4:$G$2503,$A26,入库单!$X$4:$X$2503,"矿区退库",入库单!$Z$4:$Z$2503,"正常",入库单!$C$4:$C$2503,"&gt;="&amp;账期起,入库单!$C$4:$C$2503,"&lt;="&amp;账期止))</f>
        <v/>
      </c>
      <c r="O26" s="26">
        <f>IF($A26="","",ROUND($N26*$K26,0))</f>
        <v/>
      </c>
      <c r="P26" s="27">
        <f>IF($A26="","",SUMIFS(出库单!$J$4:$J$4003,出库单!$D$4:$D$4003,$A26,出库单!$K$4:$K$4003,"自用消耗",出库单!$U$4:$U$4003,"正常",出库单!$C$4:$C$4003,"&gt;="&amp;账期起,出库单!$C$4:$C$4003,"&lt;="&amp;账期止))</f>
        <v/>
      </c>
      <c r="Q26" s="26">
        <f>IF($A26="","",ROUND(SUMIFS(出库单!$S$4:$S$4003,出库单!$D$4:$D$4003,$A26,出库单!$K$4:$K$4003,"自用消耗",出库单!$U$4:$U$4003,"正常",出库单!$C$4:$C$4003,"&gt;="&amp;账期起,出库单!$C$4:$C$4003,"&lt;="&amp;账期止),0))</f>
        <v/>
      </c>
      <c r="R26" s="27">
        <f>IF($A26="","",SUMIFS(出库单!$J$4:$J$4003,出库单!$D$4:$D$4003,$A26,出库单!$K$4:$K$4003,"对外销售",出库单!$U$4:$U$4003,"正常",出库单!$C$4:$C$4003,"&gt;="&amp;账期起,出库单!$C$4:$C$4003,"&lt;="&amp;账期止))</f>
        <v/>
      </c>
      <c r="S26" s="26">
        <f>IF($A26="","",ROUND(SUMIFS(出库单!$S$4:$S$4003,出库单!$D$4:$D$4003,$A26,出库单!$K$4:$K$4003,"对外销售",出库单!$U$4:$U$4003,"正常",出库单!$C$4:$C$4003,"&gt;="&amp;账期起,出库单!$C$4:$C$4003,"&lt;="&amp;账期止),0))</f>
        <v/>
      </c>
      <c r="T26" s="27">
        <f>IF($A26="","",SUMIFS(出库单!$J$4:$J$4003,出库单!$D$4:$D$4003,$A26,出库单!$K$4:$K$4003,"盘亏",出库单!$U$4:$U$4003,"正常",出库单!$C$4:$C$4003,"&gt;="&amp;账期起,出库单!$C$4:$C$4003,"&lt;="&amp;账期止))</f>
        <v/>
      </c>
      <c r="U26" s="26">
        <f>IF($A26="","",ROUND(SUMIFS(出库单!$S$4:$S$4003,出库单!$D$4:$D$4003,$A26,出库单!$K$4:$K$4003,"盘亏",出库单!$U$4:$U$4003,"正常",出库单!$C$4:$C$4003,"&gt;="&amp;账期起,出库单!$C$4:$C$4003,"&lt;="&amp;账期止),0))</f>
        <v/>
      </c>
      <c r="V26" s="27">
        <f>IF($A26="","",SUMIFS(出库单!$J$4:$J$4003,出库单!$D$4:$D$4003,$A26,出库单!$K$4:$K$4003,"退货给供应商",出库单!$U$4:$U$4003,"正常",出库单!$C$4:$C$4003,"&gt;="&amp;账期起,出库单!$C$4:$C$4003,"&lt;="&amp;账期止))</f>
        <v/>
      </c>
      <c r="W26" s="26">
        <f>IF($A26="","",ROUND(SUMIFS(出库单!$S$4:$S$4003,出库单!$D$4:$D$4003,$A26,出库单!$K$4:$K$4003,"退货给供应商",出库单!$U$4:$U$4003,"正常",出库单!$C$4:$C$4003,"&gt;="&amp;账期起,出库单!$C$4:$C$4003,"&lt;="&amp;账期止),0))</f>
        <v/>
      </c>
      <c r="X26" s="27">
        <f>IF($A26="","",ROUND(N($G26)+$I26+$L26+$N26-$P26-$R26-$T26-$V26,3))</f>
        <v/>
      </c>
      <c r="Y26" s="26">
        <f>IF($A26="","",ROUND(N($H26)+$J26+$M26+$O26-$Q26-$S26-$U26-$W26,0))</f>
        <v/>
      </c>
      <c r="Z26" s="24">
        <f>IF($A26="","",IF(COUNTIFS(入库单!$G$4:$G$2503,$A26,入库单!$Y$4:$Y$2503,"待补价")+COUNTIFS(入库单!$G$4:$G$2503,$A26,入库单!$Y$4:$Y$2503,"暂估")&gt;0,"不可信","可信"))</f>
        <v/>
      </c>
      <c r="AA26" s="24">
        <f>IF($A26="","",IF($X26&lt;-0.001,"※账面负库存，查一下是不是漏记入库",IF(AND(ROUND($X26,3)=0,ABS($Y26)&gt;1),"※数量已经是 0，金额还挂着 "&amp;TEXT($Y26,"#,##0")&amp;" 先令",IF(AND($X26&gt;0,$Y26&lt;=0,$K26=0),"※有数量没金额（这个物料一直没填过进价）",IF($Z26="不可信","△成本含待补价/暂估，毛利仅供参考","")))))</f>
        <v/>
      </c>
    </row>
    <row r="27">
      <c r="A27" s="24">
        <f>IF(物料档案!$A26="","",物料档案!$A26)</f>
        <v/>
      </c>
      <c r="B27" s="24">
        <f>IF($A27="","",IFERROR(VLOOKUP($A27,物料档案!$A$4:$P$1203,3,0),""))</f>
        <v/>
      </c>
      <c r="C27" s="24">
        <f>IF($A27="","",IFERROR(VLOOKUP($A27,物料档案!$A$4:$P$1203,4,0),""))</f>
        <v/>
      </c>
      <c r="D27" s="24">
        <f>IF($A27="","",IFERROR(VLOOKUP($A27,物料档案!$A$4:$P$1203,5,0),""))</f>
        <v/>
      </c>
      <c r="E27" s="24">
        <f>IF($A27="","",IFERROR(VLOOKUP($A27,物料档案!$A$4:$P$1203,2,0),""))</f>
        <v/>
      </c>
      <c r="F27" s="24">
        <f>IF($A27="","",IFERROR(VLOOKUP($A27,物料档案!$A$4:$P$1203,6,0),""))</f>
        <v/>
      </c>
      <c r="G27" s="23" t="n"/>
      <c r="H27" s="32" t="n"/>
      <c r="I27" s="27">
        <f>IF($A27="","",SUMIFS(入库单!$K$4:$K$2503,入库单!$G$4:$G$2503,$A27,入库单!$X$4:$X$2503,"采购入库",入库单!$Z$4:$Z$2503,"正常",入库单!$C$4:$C$2503,"&gt;="&amp;账期起,入库单!$C$4:$C$2503,"&lt;="&amp;账期止))</f>
        <v/>
      </c>
      <c r="J27" s="26">
        <f>IF($A27="","",SUMIFS(入库单!$V$4:$V$2503,入库单!$G$4:$G$2503,$A27,入库单!$X$4:$X$2503,"采购入库",入库单!$Z$4:$Z$2503,"正常",入库单!$C$4:$C$2503,"&gt;="&amp;账期起,入库单!$C$4:$C$2503,"&lt;="&amp;账期止))</f>
        <v/>
      </c>
      <c r="K27" s="26">
        <f>IF($A27="","",IFERROR(ROUND((N($H27)+N($J27))/(N($G27)+N($I27)),2),0))</f>
        <v/>
      </c>
      <c r="L27" s="27">
        <f>IF($A27="","",SUMIFS(入库单!$K$4:$K$2503,入库单!$G$4:$G$2503,$A27,入库单!$X$4:$X$2503,"盘盈",入库单!$Z$4:$Z$2503,"正常",入库单!$C$4:$C$2503,"&gt;="&amp;账期起,入库单!$C$4:$C$2503,"&lt;="&amp;账期止))</f>
        <v/>
      </c>
      <c r="M27" s="26">
        <f>IF($A27="","",ROUND($L27*$K27,0))</f>
        <v/>
      </c>
      <c r="N27" s="27">
        <f>IF($A27="","",SUMIFS(入库单!$K$4:$K$2503,入库单!$G$4:$G$2503,$A27,入库单!$X$4:$X$2503,"矿区退库",入库单!$Z$4:$Z$2503,"正常",入库单!$C$4:$C$2503,"&gt;="&amp;账期起,入库单!$C$4:$C$2503,"&lt;="&amp;账期止))</f>
        <v/>
      </c>
      <c r="O27" s="26">
        <f>IF($A27="","",ROUND($N27*$K27,0))</f>
        <v/>
      </c>
      <c r="P27" s="27">
        <f>IF($A27="","",SUMIFS(出库单!$J$4:$J$4003,出库单!$D$4:$D$4003,$A27,出库单!$K$4:$K$4003,"自用消耗",出库单!$U$4:$U$4003,"正常",出库单!$C$4:$C$4003,"&gt;="&amp;账期起,出库单!$C$4:$C$4003,"&lt;="&amp;账期止))</f>
        <v/>
      </c>
      <c r="Q27" s="26">
        <f>IF($A27="","",ROUND(SUMIFS(出库单!$S$4:$S$4003,出库单!$D$4:$D$4003,$A27,出库单!$K$4:$K$4003,"自用消耗",出库单!$U$4:$U$4003,"正常",出库单!$C$4:$C$4003,"&gt;="&amp;账期起,出库单!$C$4:$C$4003,"&lt;="&amp;账期止),0))</f>
        <v/>
      </c>
      <c r="R27" s="27">
        <f>IF($A27="","",SUMIFS(出库单!$J$4:$J$4003,出库单!$D$4:$D$4003,$A27,出库单!$K$4:$K$4003,"对外销售",出库单!$U$4:$U$4003,"正常",出库单!$C$4:$C$4003,"&gt;="&amp;账期起,出库单!$C$4:$C$4003,"&lt;="&amp;账期止))</f>
        <v/>
      </c>
      <c r="S27" s="26">
        <f>IF($A27="","",ROUND(SUMIFS(出库单!$S$4:$S$4003,出库单!$D$4:$D$4003,$A27,出库单!$K$4:$K$4003,"对外销售",出库单!$U$4:$U$4003,"正常",出库单!$C$4:$C$4003,"&gt;="&amp;账期起,出库单!$C$4:$C$4003,"&lt;="&amp;账期止),0))</f>
        <v/>
      </c>
      <c r="T27" s="27">
        <f>IF($A27="","",SUMIFS(出库单!$J$4:$J$4003,出库单!$D$4:$D$4003,$A27,出库单!$K$4:$K$4003,"盘亏",出库单!$U$4:$U$4003,"正常",出库单!$C$4:$C$4003,"&gt;="&amp;账期起,出库单!$C$4:$C$4003,"&lt;="&amp;账期止))</f>
        <v/>
      </c>
      <c r="U27" s="26">
        <f>IF($A27="","",ROUND(SUMIFS(出库单!$S$4:$S$4003,出库单!$D$4:$D$4003,$A27,出库单!$K$4:$K$4003,"盘亏",出库单!$U$4:$U$4003,"正常",出库单!$C$4:$C$4003,"&gt;="&amp;账期起,出库单!$C$4:$C$4003,"&lt;="&amp;账期止),0))</f>
        <v/>
      </c>
      <c r="V27" s="27">
        <f>IF($A27="","",SUMIFS(出库单!$J$4:$J$4003,出库单!$D$4:$D$4003,$A27,出库单!$K$4:$K$4003,"退货给供应商",出库单!$U$4:$U$4003,"正常",出库单!$C$4:$C$4003,"&gt;="&amp;账期起,出库单!$C$4:$C$4003,"&lt;="&amp;账期止))</f>
        <v/>
      </c>
      <c r="W27" s="26">
        <f>IF($A27="","",ROUND(SUMIFS(出库单!$S$4:$S$4003,出库单!$D$4:$D$4003,$A27,出库单!$K$4:$K$4003,"退货给供应商",出库单!$U$4:$U$4003,"正常",出库单!$C$4:$C$4003,"&gt;="&amp;账期起,出库单!$C$4:$C$4003,"&lt;="&amp;账期止),0))</f>
        <v/>
      </c>
      <c r="X27" s="27">
        <f>IF($A27="","",ROUND(N($G27)+$I27+$L27+$N27-$P27-$R27-$T27-$V27,3))</f>
        <v/>
      </c>
      <c r="Y27" s="26">
        <f>IF($A27="","",ROUND(N($H27)+$J27+$M27+$O27-$Q27-$S27-$U27-$W27,0))</f>
        <v/>
      </c>
      <c r="Z27" s="24">
        <f>IF($A27="","",IF(COUNTIFS(入库单!$G$4:$G$2503,$A27,入库单!$Y$4:$Y$2503,"待补价")+COUNTIFS(入库单!$G$4:$G$2503,$A27,入库单!$Y$4:$Y$2503,"暂估")&gt;0,"不可信","可信"))</f>
        <v/>
      </c>
      <c r="AA27" s="24">
        <f>IF($A27="","",IF($X27&lt;-0.001,"※账面负库存，查一下是不是漏记入库",IF(AND(ROUND($X27,3)=0,ABS($Y27)&gt;1),"※数量已经是 0，金额还挂着 "&amp;TEXT($Y27,"#,##0")&amp;" 先令",IF(AND($X27&gt;0,$Y27&lt;=0,$K27=0),"※有数量没金额（这个物料一直没填过进价）",IF($Z27="不可信","△成本含待补价/暂估，毛利仅供参考","")))))</f>
        <v/>
      </c>
    </row>
    <row r="28">
      <c r="A28" s="24">
        <f>IF(物料档案!$A27="","",物料档案!$A27)</f>
        <v/>
      </c>
      <c r="B28" s="24">
        <f>IF($A28="","",IFERROR(VLOOKUP($A28,物料档案!$A$4:$P$1203,3,0),""))</f>
        <v/>
      </c>
      <c r="C28" s="24">
        <f>IF($A28="","",IFERROR(VLOOKUP($A28,物料档案!$A$4:$P$1203,4,0),""))</f>
        <v/>
      </c>
      <c r="D28" s="24">
        <f>IF($A28="","",IFERROR(VLOOKUP($A28,物料档案!$A$4:$P$1203,5,0),""))</f>
        <v/>
      </c>
      <c r="E28" s="24">
        <f>IF($A28="","",IFERROR(VLOOKUP($A28,物料档案!$A$4:$P$1203,2,0),""))</f>
        <v/>
      </c>
      <c r="F28" s="24">
        <f>IF($A28="","",IFERROR(VLOOKUP($A28,物料档案!$A$4:$P$1203,6,0),""))</f>
        <v/>
      </c>
      <c r="G28" s="23" t="n"/>
      <c r="H28" s="32" t="n"/>
      <c r="I28" s="27">
        <f>IF($A28="","",SUMIFS(入库单!$K$4:$K$2503,入库单!$G$4:$G$2503,$A28,入库单!$X$4:$X$2503,"采购入库",入库单!$Z$4:$Z$2503,"正常",入库单!$C$4:$C$2503,"&gt;="&amp;账期起,入库单!$C$4:$C$2503,"&lt;="&amp;账期止))</f>
        <v/>
      </c>
      <c r="J28" s="26">
        <f>IF($A28="","",SUMIFS(入库单!$V$4:$V$2503,入库单!$G$4:$G$2503,$A28,入库单!$X$4:$X$2503,"采购入库",入库单!$Z$4:$Z$2503,"正常",入库单!$C$4:$C$2503,"&gt;="&amp;账期起,入库单!$C$4:$C$2503,"&lt;="&amp;账期止))</f>
        <v/>
      </c>
      <c r="K28" s="26">
        <f>IF($A28="","",IFERROR(ROUND((N($H28)+N($J28))/(N($G28)+N($I28)),2),0))</f>
        <v/>
      </c>
      <c r="L28" s="27">
        <f>IF($A28="","",SUMIFS(入库单!$K$4:$K$2503,入库单!$G$4:$G$2503,$A28,入库单!$X$4:$X$2503,"盘盈",入库单!$Z$4:$Z$2503,"正常",入库单!$C$4:$C$2503,"&gt;="&amp;账期起,入库单!$C$4:$C$2503,"&lt;="&amp;账期止))</f>
        <v/>
      </c>
      <c r="M28" s="26">
        <f>IF($A28="","",ROUND($L28*$K28,0))</f>
        <v/>
      </c>
      <c r="N28" s="27">
        <f>IF($A28="","",SUMIFS(入库单!$K$4:$K$2503,入库单!$G$4:$G$2503,$A28,入库单!$X$4:$X$2503,"矿区退库",入库单!$Z$4:$Z$2503,"正常",入库单!$C$4:$C$2503,"&gt;="&amp;账期起,入库单!$C$4:$C$2503,"&lt;="&amp;账期止))</f>
        <v/>
      </c>
      <c r="O28" s="26">
        <f>IF($A28="","",ROUND($N28*$K28,0))</f>
        <v/>
      </c>
      <c r="P28" s="27">
        <f>IF($A28="","",SUMIFS(出库单!$J$4:$J$4003,出库单!$D$4:$D$4003,$A28,出库单!$K$4:$K$4003,"自用消耗",出库单!$U$4:$U$4003,"正常",出库单!$C$4:$C$4003,"&gt;="&amp;账期起,出库单!$C$4:$C$4003,"&lt;="&amp;账期止))</f>
        <v/>
      </c>
      <c r="Q28" s="26">
        <f>IF($A28="","",ROUND(SUMIFS(出库单!$S$4:$S$4003,出库单!$D$4:$D$4003,$A28,出库单!$K$4:$K$4003,"自用消耗",出库单!$U$4:$U$4003,"正常",出库单!$C$4:$C$4003,"&gt;="&amp;账期起,出库单!$C$4:$C$4003,"&lt;="&amp;账期止),0))</f>
        <v/>
      </c>
      <c r="R28" s="27">
        <f>IF($A28="","",SUMIFS(出库单!$J$4:$J$4003,出库单!$D$4:$D$4003,$A28,出库单!$K$4:$K$4003,"对外销售",出库单!$U$4:$U$4003,"正常",出库单!$C$4:$C$4003,"&gt;="&amp;账期起,出库单!$C$4:$C$4003,"&lt;="&amp;账期止))</f>
        <v/>
      </c>
      <c r="S28" s="26">
        <f>IF($A28="","",ROUND(SUMIFS(出库单!$S$4:$S$4003,出库单!$D$4:$D$4003,$A28,出库单!$K$4:$K$4003,"对外销售",出库单!$U$4:$U$4003,"正常",出库单!$C$4:$C$4003,"&gt;="&amp;账期起,出库单!$C$4:$C$4003,"&lt;="&amp;账期止),0))</f>
        <v/>
      </c>
      <c r="T28" s="27">
        <f>IF($A28="","",SUMIFS(出库单!$J$4:$J$4003,出库单!$D$4:$D$4003,$A28,出库单!$K$4:$K$4003,"盘亏",出库单!$U$4:$U$4003,"正常",出库单!$C$4:$C$4003,"&gt;="&amp;账期起,出库单!$C$4:$C$4003,"&lt;="&amp;账期止))</f>
        <v/>
      </c>
      <c r="U28" s="26">
        <f>IF($A28="","",ROUND(SUMIFS(出库单!$S$4:$S$4003,出库单!$D$4:$D$4003,$A28,出库单!$K$4:$K$4003,"盘亏",出库单!$U$4:$U$4003,"正常",出库单!$C$4:$C$4003,"&gt;="&amp;账期起,出库单!$C$4:$C$4003,"&lt;="&amp;账期止),0))</f>
        <v/>
      </c>
      <c r="V28" s="27">
        <f>IF($A28="","",SUMIFS(出库单!$J$4:$J$4003,出库单!$D$4:$D$4003,$A28,出库单!$K$4:$K$4003,"退货给供应商",出库单!$U$4:$U$4003,"正常",出库单!$C$4:$C$4003,"&gt;="&amp;账期起,出库单!$C$4:$C$4003,"&lt;="&amp;账期止))</f>
        <v/>
      </c>
      <c r="W28" s="26">
        <f>IF($A28="","",ROUND(SUMIFS(出库单!$S$4:$S$4003,出库单!$D$4:$D$4003,$A28,出库单!$K$4:$K$4003,"退货给供应商",出库单!$U$4:$U$4003,"正常",出库单!$C$4:$C$4003,"&gt;="&amp;账期起,出库单!$C$4:$C$4003,"&lt;="&amp;账期止),0))</f>
        <v/>
      </c>
      <c r="X28" s="27">
        <f>IF($A28="","",ROUND(N($G28)+$I28+$L28+$N28-$P28-$R28-$T28-$V28,3))</f>
        <v/>
      </c>
      <c r="Y28" s="26">
        <f>IF($A28="","",ROUND(N($H28)+$J28+$M28+$O28-$Q28-$S28-$U28-$W28,0))</f>
        <v/>
      </c>
      <c r="Z28" s="24">
        <f>IF($A28="","",IF(COUNTIFS(入库单!$G$4:$G$2503,$A28,入库单!$Y$4:$Y$2503,"待补价")+COUNTIFS(入库单!$G$4:$G$2503,$A28,入库单!$Y$4:$Y$2503,"暂估")&gt;0,"不可信","可信"))</f>
        <v/>
      </c>
      <c r="AA28" s="24">
        <f>IF($A28="","",IF($X28&lt;-0.001,"※账面负库存，查一下是不是漏记入库",IF(AND(ROUND($X28,3)=0,ABS($Y28)&gt;1),"※数量已经是 0，金额还挂着 "&amp;TEXT($Y28,"#,##0")&amp;" 先令",IF(AND($X28&gt;0,$Y28&lt;=0,$K28=0),"※有数量没金额（这个物料一直没填过进价）",IF($Z28="不可信","△成本含待补价/暂估，毛利仅供参考","")))))</f>
        <v/>
      </c>
    </row>
    <row r="29">
      <c r="A29" s="24">
        <f>IF(物料档案!$A28="","",物料档案!$A28)</f>
        <v/>
      </c>
      <c r="B29" s="24">
        <f>IF($A29="","",IFERROR(VLOOKUP($A29,物料档案!$A$4:$P$1203,3,0),""))</f>
        <v/>
      </c>
      <c r="C29" s="24">
        <f>IF($A29="","",IFERROR(VLOOKUP($A29,物料档案!$A$4:$P$1203,4,0),""))</f>
        <v/>
      </c>
      <c r="D29" s="24">
        <f>IF($A29="","",IFERROR(VLOOKUP($A29,物料档案!$A$4:$P$1203,5,0),""))</f>
        <v/>
      </c>
      <c r="E29" s="24">
        <f>IF($A29="","",IFERROR(VLOOKUP($A29,物料档案!$A$4:$P$1203,2,0),""))</f>
        <v/>
      </c>
      <c r="F29" s="24">
        <f>IF($A29="","",IFERROR(VLOOKUP($A29,物料档案!$A$4:$P$1203,6,0),""))</f>
        <v/>
      </c>
      <c r="G29" s="23" t="n"/>
      <c r="H29" s="32" t="n"/>
      <c r="I29" s="27">
        <f>IF($A29="","",SUMIFS(入库单!$K$4:$K$2503,入库单!$G$4:$G$2503,$A29,入库单!$X$4:$X$2503,"采购入库",入库单!$Z$4:$Z$2503,"正常",入库单!$C$4:$C$2503,"&gt;="&amp;账期起,入库单!$C$4:$C$2503,"&lt;="&amp;账期止))</f>
        <v/>
      </c>
      <c r="J29" s="26">
        <f>IF($A29="","",SUMIFS(入库单!$V$4:$V$2503,入库单!$G$4:$G$2503,$A29,入库单!$X$4:$X$2503,"采购入库",入库单!$Z$4:$Z$2503,"正常",入库单!$C$4:$C$2503,"&gt;="&amp;账期起,入库单!$C$4:$C$2503,"&lt;="&amp;账期止))</f>
        <v/>
      </c>
      <c r="K29" s="26">
        <f>IF($A29="","",IFERROR(ROUND((N($H29)+N($J29))/(N($G29)+N($I29)),2),0))</f>
        <v/>
      </c>
      <c r="L29" s="27">
        <f>IF($A29="","",SUMIFS(入库单!$K$4:$K$2503,入库单!$G$4:$G$2503,$A29,入库单!$X$4:$X$2503,"盘盈",入库单!$Z$4:$Z$2503,"正常",入库单!$C$4:$C$2503,"&gt;="&amp;账期起,入库单!$C$4:$C$2503,"&lt;="&amp;账期止))</f>
        <v/>
      </c>
      <c r="M29" s="26">
        <f>IF($A29="","",ROUND($L29*$K29,0))</f>
        <v/>
      </c>
      <c r="N29" s="27">
        <f>IF($A29="","",SUMIFS(入库单!$K$4:$K$2503,入库单!$G$4:$G$2503,$A29,入库单!$X$4:$X$2503,"矿区退库",入库单!$Z$4:$Z$2503,"正常",入库单!$C$4:$C$2503,"&gt;="&amp;账期起,入库单!$C$4:$C$2503,"&lt;="&amp;账期止))</f>
        <v/>
      </c>
      <c r="O29" s="26">
        <f>IF($A29="","",ROUND($N29*$K29,0))</f>
        <v/>
      </c>
      <c r="P29" s="27">
        <f>IF($A29="","",SUMIFS(出库单!$J$4:$J$4003,出库单!$D$4:$D$4003,$A29,出库单!$K$4:$K$4003,"自用消耗",出库单!$U$4:$U$4003,"正常",出库单!$C$4:$C$4003,"&gt;="&amp;账期起,出库单!$C$4:$C$4003,"&lt;="&amp;账期止))</f>
        <v/>
      </c>
      <c r="Q29" s="26">
        <f>IF($A29="","",ROUND(SUMIFS(出库单!$S$4:$S$4003,出库单!$D$4:$D$4003,$A29,出库单!$K$4:$K$4003,"自用消耗",出库单!$U$4:$U$4003,"正常",出库单!$C$4:$C$4003,"&gt;="&amp;账期起,出库单!$C$4:$C$4003,"&lt;="&amp;账期止),0))</f>
        <v/>
      </c>
      <c r="R29" s="27">
        <f>IF($A29="","",SUMIFS(出库单!$J$4:$J$4003,出库单!$D$4:$D$4003,$A29,出库单!$K$4:$K$4003,"对外销售",出库单!$U$4:$U$4003,"正常",出库单!$C$4:$C$4003,"&gt;="&amp;账期起,出库单!$C$4:$C$4003,"&lt;="&amp;账期止))</f>
        <v/>
      </c>
      <c r="S29" s="26">
        <f>IF($A29="","",ROUND(SUMIFS(出库单!$S$4:$S$4003,出库单!$D$4:$D$4003,$A29,出库单!$K$4:$K$4003,"对外销售",出库单!$U$4:$U$4003,"正常",出库单!$C$4:$C$4003,"&gt;="&amp;账期起,出库单!$C$4:$C$4003,"&lt;="&amp;账期止),0))</f>
        <v/>
      </c>
      <c r="T29" s="27">
        <f>IF($A29="","",SUMIFS(出库单!$J$4:$J$4003,出库单!$D$4:$D$4003,$A29,出库单!$K$4:$K$4003,"盘亏",出库单!$U$4:$U$4003,"正常",出库单!$C$4:$C$4003,"&gt;="&amp;账期起,出库单!$C$4:$C$4003,"&lt;="&amp;账期止))</f>
        <v/>
      </c>
      <c r="U29" s="26">
        <f>IF($A29="","",ROUND(SUMIFS(出库单!$S$4:$S$4003,出库单!$D$4:$D$4003,$A29,出库单!$K$4:$K$4003,"盘亏",出库单!$U$4:$U$4003,"正常",出库单!$C$4:$C$4003,"&gt;="&amp;账期起,出库单!$C$4:$C$4003,"&lt;="&amp;账期止),0))</f>
        <v/>
      </c>
      <c r="V29" s="27">
        <f>IF($A29="","",SUMIFS(出库单!$J$4:$J$4003,出库单!$D$4:$D$4003,$A29,出库单!$K$4:$K$4003,"退货给供应商",出库单!$U$4:$U$4003,"正常",出库单!$C$4:$C$4003,"&gt;="&amp;账期起,出库单!$C$4:$C$4003,"&lt;="&amp;账期止))</f>
        <v/>
      </c>
      <c r="W29" s="26">
        <f>IF($A29="","",ROUND(SUMIFS(出库单!$S$4:$S$4003,出库单!$D$4:$D$4003,$A29,出库单!$K$4:$K$4003,"退货给供应商",出库单!$U$4:$U$4003,"正常",出库单!$C$4:$C$4003,"&gt;="&amp;账期起,出库单!$C$4:$C$4003,"&lt;="&amp;账期止),0))</f>
        <v/>
      </c>
      <c r="X29" s="27">
        <f>IF($A29="","",ROUND(N($G29)+$I29+$L29+$N29-$P29-$R29-$T29-$V29,3))</f>
        <v/>
      </c>
      <c r="Y29" s="26">
        <f>IF($A29="","",ROUND(N($H29)+$J29+$M29+$O29-$Q29-$S29-$U29-$W29,0))</f>
        <v/>
      </c>
      <c r="Z29" s="24">
        <f>IF($A29="","",IF(COUNTIFS(入库单!$G$4:$G$2503,$A29,入库单!$Y$4:$Y$2503,"待补价")+COUNTIFS(入库单!$G$4:$G$2503,$A29,入库单!$Y$4:$Y$2503,"暂估")&gt;0,"不可信","可信"))</f>
        <v/>
      </c>
      <c r="AA29" s="24">
        <f>IF($A29="","",IF($X29&lt;-0.001,"※账面负库存，查一下是不是漏记入库",IF(AND(ROUND($X29,3)=0,ABS($Y29)&gt;1),"※数量已经是 0，金额还挂着 "&amp;TEXT($Y29,"#,##0")&amp;" 先令",IF(AND($X29&gt;0,$Y29&lt;=0,$K29=0),"※有数量没金额（这个物料一直没填过进价）",IF($Z29="不可信","△成本含待补价/暂估，毛利仅供参考","")))))</f>
        <v/>
      </c>
    </row>
    <row r="30">
      <c r="A30" s="24">
        <f>IF(物料档案!$A29="","",物料档案!$A29)</f>
        <v/>
      </c>
      <c r="B30" s="24">
        <f>IF($A30="","",IFERROR(VLOOKUP($A30,物料档案!$A$4:$P$1203,3,0),""))</f>
        <v/>
      </c>
      <c r="C30" s="24">
        <f>IF($A30="","",IFERROR(VLOOKUP($A30,物料档案!$A$4:$P$1203,4,0),""))</f>
        <v/>
      </c>
      <c r="D30" s="24">
        <f>IF($A30="","",IFERROR(VLOOKUP($A30,物料档案!$A$4:$P$1203,5,0),""))</f>
        <v/>
      </c>
      <c r="E30" s="24">
        <f>IF($A30="","",IFERROR(VLOOKUP($A30,物料档案!$A$4:$P$1203,2,0),""))</f>
        <v/>
      </c>
      <c r="F30" s="24">
        <f>IF($A30="","",IFERROR(VLOOKUP($A30,物料档案!$A$4:$P$1203,6,0),""))</f>
        <v/>
      </c>
      <c r="G30" s="23" t="n"/>
      <c r="H30" s="32" t="n"/>
      <c r="I30" s="27">
        <f>IF($A30="","",SUMIFS(入库单!$K$4:$K$2503,入库单!$G$4:$G$2503,$A30,入库单!$X$4:$X$2503,"采购入库",入库单!$Z$4:$Z$2503,"正常",入库单!$C$4:$C$2503,"&gt;="&amp;账期起,入库单!$C$4:$C$2503,"&lt;="&amp;账期止))</f>
        <v/>
      </c>
      <c r="J30" s="26">
        <f>IF($A30="","",SUMIFS(入库单!$V$4:$V$2503,入库单!$G$4:$G$2503,$A30,入库单!$X$4:$X$2503,"采购入库",入库单!$Z$4:$Z$2503,"正常",入库单!$C$4:$C$2503,"&gt;="&amp;账期起,入库单!$C$4:$C$2503,"&lt;="&amp;账期止))</f>
        <v/>
      </c>
      <c r="K30" s="26">
        <f>IF($A30="","",IFERROR(ROUND((N($H30)+N($J30))/(N($G30)+N($I30)),2),0))</f>
        <v/>
      </c>
      <c r="L30" s="27">
        <f>IF($A30="","",SUMIFS(入库单!$K$4:$K$2503,入库单!$G$4:$G$2503,$A30,入库单!$X$4:$X$2503,"盘盈",入库单!$Z$4:$Z$2503,"正常",入库单!$C$4:$C$2503,"&gt;="&amp;账期起,入库单!$C$4:$C$2503,"&lt;="&amp;账期止))</f>
        <v/>
      </c>
      <c r="M30" s="26">
        <f>IF($A30="","",ROUND($L30*$K30,0))</f>
        <v/>
      </c>
      <c r="N30" s="27">
        <f>IF($A30="","",SUMIFS(入库单!$K$4:$K$2503,入库单!$G$4:$G$2503,$A30,入库单!$X$4:$X$2503,"矿区退库",入库单!$Z$4:$Z$2503,"正常",入库单!$C$4:$C$2503,"&gt;="&amp;账期起,入库单!$C$4:$C$2503,"&lt;="&amp;账期止))</f>
        <v/>
      </c>
      <c r="O30" s="26">
        <f>IF($A30="","",ROUND($N30*$K30,0))</f>
        <v/>
      </c>
      <c r="P30" s="27">
        <f>IF($A30="","",SUMIFS(出库单!$J$4:$J$4003,出库单!$D$4:$D$4003,$A30,出库单!$K$4:$K$4003,"自用消耗",出库单!$U$4:$U$4003,"正常",出库单!$C$4:$C$4003,"&gt;="&amp;账期起,出库单!$C$4:$C$4003,"&lt;="&amp;账期止))</f>
        <v/>
      </c>
      <c r="Q30" s="26">
        <f>IF($A30="","",ROUND(SUMIFS(出库单!$S$4:$S$4003,出库单!$D$4:$D$4003,$A30,出库单!$K$4:$K$4003,"自用消耗",出库单!$U$4:$U$4003,"正常",出库单!$C$4:$C$4003,"&gt;="&amp;账期起,出库单!$C$4:$C$4003,"&lt;="&amp;账期止),0))</f>
        <v/>
      </c>
      <c r="R30" s="27">
        <f>IF($A30="","",SUMIFS(出库单!$J$4:$J$4003,出库单!$D$4:$D$4003,$A30,出库单!$K$4:$K$4003,"对外销售",出库单!$U$4:$U$4003,"正常",出库单!$C$4:$C$4003,"&gt;="&amp;账期起,出库单!$C$4:$C$4003,"&lt;="&amp;账期止))</f>
        <v/>
      </c>
      <c r="S30" s="26">
        <f>IF($A30="","",ROUND(SUMIFS(出库单!$S$4:$S$4003,出库单!$D$4:$D$4003,$A30,出库单!$K$4:$K$4003,"对外销售",出库单!$U$4:$U$4003,"正常",出库单!$C$4:$C$4003,"&gt;="&amp;账期起,出库单!$C$4:$C$4003,"&lt;="&amp;账期止),0))</f>
        <v/>
      </c>
      <c r="T30" s="27">
        <f>IF($A30="","",SUMIFS(出库单!$J$4:$J$4003,出库单!$D$4:$D$4003,$A30,出库单!$K$4:$K$4003,"盘亏",出库单!$U$4:$U$4003,"正常",出库单!$C$4:$C$4003,"&gt;="&amp;账期起,出库单!$C$4:$C$4003,"&lt;="&amp;账期止))</f>
        <v/>
      </c>
      <c r="U30" s="26">
        <f>IF($A30="","",ROUND(SUMIFS(出库单!$S$4:$S$4003,出库单!$D$4:$D$4003,$A30,出库单!$K$4:$K$4003,"盘亏",出库单!$U$4:$U$4003,"正常",出库单!$C$4:$C$4003,"&gt;="&amp;账期起,出库单!$C$4:$C$4003,"&lt;="&amp;账期止),0))</f>
        <v/>
      </c>
      <c r="V30" s="27">
        <f>IF($A30="","",SUMIFS(出库单!$J$4:$J$4003,出库单!$D$4:$D$4003,$A30,出库单!$K$4:$K$4003,"退货给供应商",出库单!$U$4:$U$4003,"正常",出库单!$C$4:$C$4003,"&gt;="&amp;账期起,出库单!$C$4:$C$4003,"&lt;="&amp;账期止))</f>
        <v/>
      </c>
      <c r="W30" s="26">
        <f>IF($A30="","",ROUND(SUMIFS(出库单!$S$4:$S$4003,出库单!$D$4:$D$4003,$A30,出库单!$K$4:$K$4003,"退货给供应商",出库单!$U$4:$U$4003,"正常",出库单!$C$4:$C$4003,"&gt;="&amp;账期起,出库单!$C$4:$C$4003,"&lt;="&amp;账期止),0))</f>
        <v/>
      </c>
      <c r="X30" s="27">
        <f>IF($A30="","",ROUND(N($G30)+$I30+$L30+$N30-$P30-$R30-$T30-$V30,3))</f>
        <v/>
      </c>
      <c r="Y30" s="26">
        <f>IF($A30="","",ROUND(N($H30)+$J30+$M30+$O30-$Q30-$S30-$U30-$W30,0))</f>
        <v/>
      </c>
      <c r="Z30" s="24">
        <f>IF($A30="","",IF(COUNTIFS(入库单!$G$4:$G$2503,$A30,入库单!$Y$4:$Y$2503,"待补价")+COUNTIFS(入库单!$G$4:$G$2503,$A30,入库单!$Y$4:$Y$2503,"暂估")&gt;0,"不可信","可信"))</f>
        <v/>
      </c>
      <c r="AA30" s="24">
        <f>IF($A30="","",IF($X30&lt;-0.001,"※账面负库存，查一下是不是漏记入库",IF(AND(ROUND($X30,3)=0,ABS($Y30)&gt;1),"※数量已经是 0，金额还挂着 "&amp;TEXT($Y30,"#,##0")&amp;" 先令",IF(AND($X30&gt;0,$Y30&lt;=0,$K30=0),"※有数量没金额（这个物料一直没填过进价）",IF($Z30="不可信","△成本含待补价/暂估，毛利仅供参考","")))))</f>
        <v/>
      </c>
    </row>
    <row r="31">
      <c r="A31" s="24">
        <f>IF(物料档案!$A30="","",物料档案!$A30)</f>
        <v/>
      </c>
      <c r="B31" s="24">
        <f>IF($A31="","",IFERROR(VLOOKUP($A31,物料档案!$A$4:$P$1203,3,0),""))</f>
        <v/>
      </c>
      <c r="C31" s="24">
        <f>IF($A31="","",IFERROR(VLOOKUP($A31,物料档案!$A$4:$P$1203,4,0),""))</f>
        <v/>
      </c>
      <c r="D31" s="24">
        <f>IF($A31="","",IFERROR(VLOOKUP($A31,物料档案!$A$4:$P$1203,5,0),""))</f>
        <v/>
      </c>
      <c r="E31" s="24">
        <f>IF($A31="","",IFERROR(VLOOKUP($A31,物料档案!$A$4:$P$1203,2,0),""))</f>
        <v/>
      </c>
      <c r="F31" s="24">
        <f>IF($A31="","",IFERROR(VLOOKUP($A31,物料档案!$A$4:$P$1203,6,0),""))</f>
        <v/>
      </c>
      <c r="G31" s="23" t="n"/>
      <c r="H31" s="32" t="n"/>
      <c r="I31" s="27">
        <f>IF($A31="","",SUMIFS(入库单!$K$4:$K$2503,入库单!$G$4:$G$2503,$A31,入库单!$X$4:$X$2503,"采购入库",入库单!$Z$4:$Z$2503,"正常",入库单!$C$4:$C$2503,"&gt;="&amp;账期起,入库单!$C$4:$C$2503,"&lt;="&amp;账期止))</f>
        <v/>
      </c>
      <c r="J31" s="26">
        <f>IF($A31="","",SUMIFS(入库单!$V$4:$V$2503,入库单!$G$4:$G$2503,$A31,入库单!$X$4:$X$2503,"采购入库",入库单!$Z$4:$Z$2503,"正常",入库单!$C$4:$C$2503,"&gt;="&amp;账期起,入库单!$C$4:$C$2503,"&lt;="&amp;账期止))</f>
        <v/>
      </c>
      <c r="K31" s="26">
        <f>IF($A31="","",IFERROR(ROUND((N($H31)+N($J31))/(N($G31)+N($I31)),2),0))</f>
        <v/>
      </c>
      <c r="L31" s="27">
        <f>IF($A31="","",SUMIFS(入库单!$K$4:$K$2503,入库单!$G$4:$G$2503,$A31,入库单!$X$4:$X$2503,"盘盈",入库单!$Z$4:$Z$2503,"正常",入库单!$C$4:$C$2503,"&gt;="&amp;账期起,入库单!$C$4:$C$2503,"&lt;="&amp;账期止))</f>
        <v/>
      </c>
      <c r="M31" s="26">
        <f>IF($A31="","",ROUND($L31*$K31,0))</f>
        <v/>
      </c>
      <c r="N31" s="27">
        <f>IF($A31="","",SUMIFS(入库单!$K$4:$K$2503,入库单!$G$4:$G$2503,$A31,入库单!$X$4:$X$2503,"矿区退库",入库单!$Z$4:$Z$2503,"正常",入库单!$C$4:$C$2503,"&gt;="&amp;账期起,入库单!$C$4:$C$2503,"&lt;="&amp;账期止))</f>
        <v/>
      </c>
      <c r="O31" s="26">
        <f>IF($A31="","",ROUND($N31*$K31,0))</f>
        <v/>
      </c>
      <c r="P31" s="27">
        <f>IF($A31="","",SUMIFS(出库单!$J$4:$J$4003,出库单!$D$4:$D$4003,$A31,出库单!$K$4:$K$4003,"自用消耗",出库单!$U$4:$U$4003,"正常",出库单!$C$4:$C$4003,"&gt;="&amp;账期起,出库单!$C$4:$C$4003,"&lt;="&amp;账期止))</f>
        <v/>
      </c>
      <c r="Q31" s="26">
        <f>IF($A31="","",ROUND(SUMIFS(出库单!$S$4:$S$4003,出库单!$D$4:$D$4003,$A31,出库单!$K$4:$K$4003,"自用消耗",出库单!$U$4:$U$4003,"正常",出库单!$C$4:$C$4003,"&gt;="&amp;账期起,出库单!$C$4:$C$4003,"&lt;="&amp;账期止),0))</f>
        <v/>
      </c>
      <c r="R31" s="27">
        <f>IF($A31="","",SUMIFS(出库单!$J$4:$J$4003,出库单!$D$4:$D$4003,$A31,出库单!$K$4:$K$4003,"对外销售",出库单!$U$4:$U$4003,"正常",出库单!$C$4:$C$4003,"&gt;="&amp;账期起,出库单!$C$4:$C$4003,"&lt;="&amp;账期止))</f>
        <v/>
      </c>
      <c r="S31" s="26">
        <f>IF($A31="","",ROUND(SUMIFS(出库单!$S$4:$S$4003,出库单!$D$4:$D$4003,$A31,出库单!$K$4:$K$4003,"对外销售",出库单!$U$4:$U$4003,"正常",出库单!$C$4:$C$4003,"&gt;="&amp;账期起,出库单!$C$4:$C$4003,"&lt;="&amp;账期止),0))</f>
        <v/>
      </c>
      <c r="T31" s="27">
        <f>IF($A31="","",SUMIFS(出库单!$J$4:$J$4003,出库单!$D$4:$D$4003,$A31,出库单!$K$4:$K$4003,"盘亏",出库单!$U$4:$U$4003,"正常",出库单!$C$4:$C$4003,"&gt;="&amp;账期起,出库单!$C$4:$C$4003,"&lt;="&amp;账期止))</f>
        <v/>
      </c>
      <c r="U31" s="26">
        <f>IF($A31="","",ROUND(SUMIFS(出库单!$S$4:$S$4003,出库单!$D$4:$D$4003,$A31,出库单!$K$4:$K$4003,"盘亏",出库单!$U$4:$U$4003,"正常",出库单!$C$4:$C$4003,"&gt;="&amp;账期起,出库单!$C$4:$C$4003,"&lt;="&amp;账期止),0))</f>
        <v/>
      </c>
      <c r="V31" s="27">
        <f>IF($A31="","",SUMIFS(出库单!$J$4:$J$4003,出库单!$D$4:$D$4003,$A31,出库单!$K$4:$K$4003,"退货给供应商",出库单!$U$4:$U$4003,"正常",出库单!$C$4:$C$4003,"&gt;="&amp;账期起,出库单!$C$4:$C$4003,"&lt;="&amp;账期止))</f>
        <v/>
      </c>
      <c r="W31" s="26">
        <f>IF($A31="","",ROUND(SUMIFS(出库单!$S$4:$S$4003,出库单!$D$4:$D$4003,$A31,出库单!$K$4:$K$4003,"退货给供应商",出库单!$U$4:$U$4003,"正常",出库单!$C$4:$C$4003,"&gt;="&amp;账期起,出库单!$C$4:$C$4003,"&lt;="&amp;账期止),0))</f>
        <v/>
      </c>
      <c r="X31" s="27">
        <f>IF($A31="","",ROUND(N($G31)+$I31+$L31+$N31-$P31-$R31-$T31-$V31,3))</f>
        <v/>
      </c>
      <c r="Y31" s="26">
        <f>IF($A31="","",ROUND(N($H31)+$J31+$M31+$O31-$Q31-$S31-$U31-$W31,0))</f>
        <v/>
      </c>
      <c r="Z31" s="24">
        <f>IF($A31="","",IF(COUNTIFS(入库单!$G$4:$G$2503,$A31,入库单!$Y$4:$Y$2503,"待补价")+COUNTIFS(入库单!$G$4:$G$2503,$A31,入库单!$Y$4:$Y$2503,"暂估")&gt;0,"不可信","可信"))</f>
        <v/>
      </c>
      <c r="AA31" s="24">
        <f>IF($A31="","",IF($X31&lt;-0.001,"※账面负库存，查一下是不是漏记入库",IF(AND(ROUND($X31,3)=0,ABS($Y31)&gt;1),"※数量已经是 0，金额还挂着 "&amp;TEXT($Y31,"#,##0")&amp;" 先令",IF(AND($X31&gt;0,$Y31&lt;=0,$K31=0),"※有数量没金额（这个物料一直没填过进价）",IF($Z31="不可信","△成本含待补价/暂估，毛利仅供参考","")))))</f>
        <v/>
      </c>
    </row>
    <row r="32">
      <c r="A32" s="24">
        <f>IF(物料档案!$A31="","",物料档案!$A31)</f>
        <v/>
      </c>
      <c r="B32" s="24">
        <f>IF($A32="","",IFERROR(VLOOKUP($A32,物料档案!$A$4:$P$1203,3,0),""))</f>
        <v/>
      </c>
      <c r="C32" s="24">
        <f>IF($A32="","",IFERROR(VLOOKUP($A32,物料档案!$A$4:$P$1203,4,0),""))</f>
        <v/>
      </c>
      <c r="D32" s="24">
        <f>IF($A32="","",IFERROR(VLOOKUP($A32,物料档案!$A$4:$P$1203,5,0),""))</f>
        <v/>
      </c>
      <c r="E32" s="24">
        <f>IF($A32="","",IFERROR(VLOOKUP($A32,物料档案!$A$4:$P$1203,2,0),""))</f>
        <v/>
      </c>
      <c r="F32" s="24">
        <f>IF($A32="","",IFERROR(VLOOKUP($A32,物料档案!$A$4:$P$1203,6,0),""))</f>
        <v/>
      </c>
      <c r="G32" s="23" t="n"/>
      <c r="H32" s="32" t="n"/>
      <c r="I32" s="27">
        <f>IF($A32="","",SUMIFS(入库单!$K$4:$K$2503,入库单!$G$4:$G$2503,$A32,入库单!$X$4:$X$2503,"采购入库",入库单!$Z$4:$Z$2503,"正常",入库单!$C$4:$C$2503,"&gt;="&amp;账期起,入库单!$C$4:$C$2503,"&lt;="&amp;账期止))</f>
        <v/>
      </c>
      <c r="J32" s="26">
        <f>IF($A32="","",SUMIFS(入库单!$V$4:$V$2503,入库单!$G$4:$G$2503,$A32,入库单!$X$4:$X$2503,"采购入库",入库单!$Z$4:$Z$2503,"正常",入库单!$C$4:$C$2503,"&gt;="&amp;账期起,入库单!$C$4:$C$2503,"&lt;="&amp;账期止))</f>
        <v/>
      </c>
      <c r="K32" s="26">
        <f>IF($A32="","",IFERROR(ROUND((N($H32)+N($J32))/(N($G32)+N($I32)),2),0))</f>
        <v/>
      </c>
      <c r="L32" s="27">
        <f>IF($A32="","",SUMIFS(入库单!$K$4:$K$2503,入库单!$G$4:$G$2503,$A32,入库单!$X$4:$X$2503,"盘盈",入库单!$Z$4:$Z$2503,"正常",入库单!$C$4:$C$2503,"&gt;="&amp;账期起,入库单!$C$4:$C$2503,"&lt;="&amp;账期止))</f>
        <v/>
      </c>
      <c r="M32" s="26">
        <f>IF($A32="","",ROUND($L32*$K32,0))</f>
        <v/>
      </c>
      <c r="N32" s="27">
        <f>IF($A32="","",SUMIFS(入库单!$K$4:$K$2503,入库单!$G$4:$G$2503,$A32,入库单!$X$4:$X$2503,"矿区退库",入库单!$Z$4:$Z$2503,"正常",入库单!$C$4:$C$2503,"&gt;="&amp;账期起,入库单!$C$4:$C$2503,"&lt;="&amp;账期止))</f>
        <v/>
      </c>
      <c r="O32" s="26">
        <f>IF($A32="","",ROUND($N32*$K32,0))</f>
        <v/>
      </c>
      <c r="P32" s="27">
        <f>IF($A32="","",SUMIFS(出库单!$J$4:$J$4003,出库单!$D$4:$D$4003,$A32,出库单!$K$4:$K$4003,"自用消耗",出库单!$U$4:$U$4003,"正常",出库单!$C$4:$C$4003,"&gt;="&amp;账期起,出库单!$C$4:$C$4003,"&lt;="&amp;账期止))</f>
        <v/>
      </c>
      <c r="Q32" s="26">
        <f>IF($A32="","",ROUND(SUMIFS(出库单!$S$4:$S$4003,出库单!$D$4:$D$4003,$A32,出库单!$K$4:$K$4003,"自用消耗",出库单!$U$4:$U$4003,"正常",出库单!$C$4:$C$4003,"&gt;="&amp;账期起,出库单!$C$4:$C$4003,"&lt;="&amp;账期止),0))</f>
        <v/>
      </c>
      <c r="R32" s="27">
        <f>IF($A32="","",SUMIFS(出库单!$J$4:$J$4003,出库单!$D$4:$D$4003,$A32,出库单!$K$4:$K$4003,"对外销售",出库单!$U$4:$U$4003,"正常",出库单!$C$4:$C$4003,"&gt;="&amp;账期起,出库单!$C$4:$C$4003,"&lt;="&amp;账期止))</f>
        <v/>
      </c>
      <c r="S32" s="26">
        <f>IF($A32="","",ROUND(SUMIFS(出库单!$S$4:$S$4003,出库单!$D$4:$D$4003,$A32,出库单!$K$4:$K$4003,"对外销售",出库单!$U$4:$U$4003,"正常",出库单!$C$4:$C$4003,"&gt;="&amp;账期起,出库单!$C$4:$C$4003,"&lt;="&amp;账期止),0))</f>
        <v/>
      </c>
      <c r="T32" s="27">
        <f>IF($A32="","",SUMIFS(出库单!$J$4:$J$4003,出库单!$D$4:$D$4003,$A32,出库单!$K$4:$K$4003,"盘亏",出库单!$U$4:$U$4003,"正常",出库单!$C$4:$C$4003,"&gt;="&amp;账期起,出库单!$C$4:$C$4003,"&lt;="&amp;账期止))</f>
        <v/>
      </c>
      <c r="U32" s="26">
        <f>IF($A32="","",ROUND(SUMIFS(出库单!$S$4:$S$4003,出库单!$D$4:$D$4003,$A32,出库单!$K$4:$K$4003,"盘亏",出库单!$U$4:$U$4003,"正常",出库单!$C$4:$C$4003,"&gt;="&amp;账期起,出库单!$C$4:$C$4003,"&lt;="&amp;账期止),0))</f>
        <v/>
      </c>
      <c r="V32" s="27">
        <f>IF($A32="","",SUMIFS(出库单!$J$4:$J$4003,出库单!$D$4:$D$4003,$A32,出库单!$K$4:$K$4003,"退货给供应商",出库单!$U$4:$U$4003,"正常",出库单!$C$4:$C$4003,"&gt;="&amp;账期起,出库单!$C$4:$C$4003,"&lt;="&amp;账期止))</f>
        <v/>
      </c>
      <c r="W32" s="26">
        <f>IF($A32="","",ROUND(SUMIFS(出库单!$S$4:$S$4003,出库单!$D$4:$D$4003,$A32,出库单!$K$4:$K$4003,"退货给供应商",出库单!$U$4:$U$4003,"正常",出库单!$C$4:$C$4003,"&gt;="&amp;账期起,出库单!$C$4:$C$4003,"&lt;="&amp;账期止),0))</f>
        <v/>
      </c>
      <c r="X32" s="27">
        <f>IF($A32="","",ROUND(N($G32)+$I32+$L32+$N32-$P32-$R32-$T32-$V32,3))</f>
        <v/>
      </c>
      <c r="Y32" s="26">
        <f>IF($A32="","",ROUND(N($H32)+$J32+$M32+$O32-$Q32-$S32-$U32-$W32,0))</f>
        <v/>
      </c>
      <c r="Z32" s="24">
        <f>IF($A32="","",IF(COUNTIFS(入库单!$G$4:$G$2503,$A32,入库单!$Y$4:$Y$2503,"待补价")+COUNTIFS(入库单!$G$4:$G$2503,$A32,入库单!$Y$4:$Y$2503,"暂估")&gt;0,"不可信","可信"))</f>
        <v/>
      </c>
      <c r="AA32" s="24">
        <f>IF($A32="","",IF($X32&lt;-0.001,"※账面负库存，查一下是不是漏记入库",IF(AND(ROUND($X32,3)=0,ABS($Y32)&gt;1),"※数量已经是 0，金额还挂着 "&amp;TEXT($Y32,"#,##0")&amp;" 先令",IF(AND($X32&gt;0,$Y32&lt;=0,$K32=0),"※有数量没金额（这个物料一直没填过进价）",IF($Z32="不可信","△成本含待补价/暂估，毛利仅供参考","")))))</f>
        <v/>
      </c>
    </row>
    <row r="33">
      <c r="A33" s="24">
        <f>IF(物料档案!$A32="","",物料档案!$A32)</f>
        <v/>
      </c>
      <c r="B33" s="24">
        <f>IF($A33="","",IFERROR(VLOOKUP($A33,物料档案!$A$4:$P$1203,3,0),""))</f>
        <v/>
      </c>
      <c r="C33" s="24">
        <f>IF($A33="","",IFERROR(VLOOKUP($A33,物料档案!$A$4:$P$1203,4,0),""))</f>
        <v/>
      </c>
      <c r="D33" s="24">
        <f>IF($A33="","",IFERROR(VLOOKUP($A33,物料档案!$A$4:$P$1203,5,0),""))</f>
        <v/>
      </c>
      <c r="E33" s="24">
        <f>IF($A33="","",IFERROR(VLOOKUP($A33,物料档案!$A$4:$P$1203,2,0),""))</f>
        <v/>
      </c>
      <c r="F33" s="24">
        <f>IF($A33="","",IFERROR(VLOOKUP($A33,物料档案!$A$4:$P$1203,6,0),""))</f>
        <v/>
      </c>
      <c r="G33" s="23" t="n"/>
      <c r="H33" s="32" t="n"/>
      <c r="I33" s="27">
        <f>IF($A33="","",SUMIFS(入库单!$K$4:$K$2503,入库单!$G$4:$G$2503,$A33,入库单!$X$4:$X$2503,"采购入库",入库单!$Z$4:$Z$2503,"正常",入库单!$C$4:$C$2503,"&gt;="&amp;账期起,入库单!$C$4:$C$2503,"&lt;="&amp;账期止))</f>
        <v/>
      </c>
      <c r="J33" s="26">
        <f>IF($A33="","",SUMIFS(入库单!$V$4:$V$2503,入库单!$G$4:$G$2503,$A33,入库单!$X$4:$X$2503,"采购入库",入库单!$Z$4:$Z$2503,"正常",入库单!$C$4:$C$2503,"&gt;="&amp;账期起,入库单!$C$4:$C$2503,"&lt;="&amp;账期止))</f>
        <v/>
      </c>
      <c r="K33" s="26">
        <f>IF($A33="","",IFERROR(ROUND((N($H33)+N($J33))/(N($G33)+N($I33)),2),0))</f>
        <v/>
      </c>
      <c r="L33" s="27">
        <f>IF($A33="","",SUMIFS(入库单!$K$4:$K$2503,入库单!$G$4:$G$2503,$A33,入库单!$X$4:$X$2503,"盘盈",入库单!$Z$4:$Z$2503,"正常",入库单!$C$4:$C$2503,"&gt;="&amp;账期起,入库单!$C$4:$C$2503,"&lt;="&amp;账期止))</f>
        <v/>
      </c>
      <c r="M33" s="26">
        <f>IF($A33="","",ROUND($L33*$K33,0))</f>
        <v/>
      </c>
      <c r="N33" s="27">
        <f>IF($A33="","",SUMIFS(入库单!$K$4:$K$2503,入库单!$G$4:$G$2503,$A33,入库单!$X$4:$X$2503,"矿区退库",入库单!$Z$4:$Z$2503,"正常",入库单!$C$4:$C$2503,"&gt;="&amp;账期起,入库单!$C$4:$C$2503,"&lt;="&amp;账期止))</f>
        <v/>
      </c>
      <c r="O33" s="26">
        <f>IF($A33="","",ROUND($N33*$K33,0))</f>
        <v/>
      </c>
      <c r="P33" s="27">
        <f>IF($A33="","",SUMIFS(出库单!$J$4:$J$4003,出库单!$D$4:$D$4003,$A33,出库单!$K$4:$K$4003,"自用消耗",出库单!$U$4:$U$4003,"正常",出库单!$C$4:$C$4003,"&gt;="&amp;账期起,出库单!$C$4:$C$4003,"&lt;="&amp;账期止))</f>
        <v/>
      </c>
      <c r="Q33" s="26">
        <f>IF($A33="","",ROUND(SUMIFS(出库单!$S$4:$S$4003,出库单!$D$4:$D$4003,$A33,出库单!$K$4:$K$4003,"自用消耗",出库单!$U$4:$U$4003,"正常",出库单!$C$4:$C$4003,"&gt;="&amp;账期起,出库单!$C$4:$C$4003,"&lt;="&amp;账期止),0))</f>
        <v/>
      </c>
      <c r="R33" s="27">
        <f>IF($A33="","",SUMIFS(出库单!$J$4:$J$4003,出库单!$D$4:$D$4003,$A33,出库单!$K$4:$K$4003,"对外销售",出库单!$U$4:$U$4003,"正常",出库单!$C$4:$C$4003,"&gt;="&amp;账期起,出库单!$C$4:$C$4003,"&lt;="&amp;账期止))</f>
        <v/>
      </c>
      <c r="S33" s="26">
        <f>IF($A33="","",ROUND(SUMIFS(出库单!$S$4:$S$4003,出库单!$D$4:$D$4003,$A33,出库单!$K$4:$K$4003,"对外销售",出库单!$U$4:$U$4003,"正常",出库单!$C$4:$C$4003,"&gt;="&amp;账期起,出库单!$C$4:$C$4003,"&lt;="&amp;账期止),0))</f>
        <v/>
      </c>
      <c r="T33" s="27">
        <f>IF($A33="","",SUMIFS(出库单!$J$4:$J$4003,出库单!$D$4:$D$4003,$A33,出库单!$K$4:$K$4003,"盘亏",出库单!$U$4:$U$4003,"正常",出库单!$C$4:$C$4003,"&gt;="&amp;账期起,出库单!$C$4:$C$4003,"&lt;="&amp;账期止))</f>
        <v/>
      </c>
      <c r="U33" s="26">
        <f>IF($A33="","",ROUND(SUMIFS(出库单!$S$4:$S$4003,出库单!$D$4:$D$4003,$A33,出库单!$K$4:$K$4003,"盘亏",出库单!$U$4:$U$4003,"正常",出库单!$C$4:$C$4003,"&gt;="&amp;账期起,出库单!$C$4:$C$4003,"&lt;="&amp;账期止),0))</f>
        <v/>
      </c>
      <c r="V33" s="27">
        <f>IF($A33="","",SUMIFS(出库单!$J$4:$J$4003,出库单!$D$4:$D$4003,$A33,出库单!$K$4:$K$4003,"退货给供应商",出库单!$U$4:$U$4003,"正常",出库单!$C$4:$C$4003,"&gt;="&amp;账期起,出库单!$C$4:$C$4003,"&lt;="&amp;账期止))</f>
        <v/>
      </c>
      <c r="W33" s="26">
        <f>IF($A33="","",ROUND(SUMIFS(出库单!$S$4:$S$4003,出库单!$D$4:$D$4003,$A33,出库单!$K$4:$K$4003,"退货给供应商",出库单!$U$4:$U$4003,"正常",出库单!$C$4:$C$4003,"&gt;="&amp;账期起,出库单!$C$4:$C$4003,"&lt;="&amp;账期止),0))</f>
        <v/>
      </c>
      <c r="X33" s="27">
        <f>IF($A33="","",ROUND(N($G33)+$I33+$L33+$N33-$P33-$R33-$T33-$V33,3))</f>
        <v/>
      </c>
      <c r="Y33" s="26">
        <f>IF($A33="","",ROUND(N($H33)+$J33+$M33+$O33-$Q33-$S33-$U33-$W33,0))</f>
        <v/>
      </c>
      <c r="Z33" s="24">
        <f>IF($A33="","",IF(COUNTIFS(入库单!$G$4:$G$2503,$A33,入库单!$Y$4:$Y$2503,"待补价")+COUNTIFS(入库单!$G$4:$G$2503,$A33,入库单!$Y$4:$Y$2503,"暂估")&gt;0,"不可信","可信"))</f>
        <v/>
      </c>
      <c r="AA33" s="24">
        <f>IF($A33="","",IF($X33&lt;-0.001,"※账面负库存，查一下是不是漏记入库",IF(AND(ROUND($X33,3)=0,ABS($Y33)&gt;1),"※数量已经是 0，金额还挂着 "&amp;TEXT($Y33,"#,##0")&amp;" 先令",IF(AND($X33&gt;0,$Y33&lt;=0,$K33=0),"※有数量没金额（这个物料一直没填过进价）",IF($Z33="不可信","△成本含待补价/暂估，毛利仅供参考","")))))</f>
        <v/>
      </c>
    </row>
    <row r="34">
      <c r="A34" s="24">
        <f>IF(物料档案!$A33="","",物料档案!$A33)</f>
        <v/>
      </c>
      <c r="B34" s="24">
        <f>IF($A34="","",IFERROR(VLOOKUP($A34,物料档案!$A$4:$P$1203,3,0),""))</f>
        <v/>
      </c>
      <c r="C34" s="24">
        <f>IF($A34="","",IFERROR(VLOOKUP($A34,物料档案!$A$4:$P$1203,4,0),""))</f>
        <v/>
      </c>
      <c r="D34" s="24">
        <f>IF($A34="","",IFERROR(VLOOKUP($A34,物料档案!$A$4:$P$1203,5,0),""))</f>
        <v/>
      </c>
      <c r="E34" s="24">
        <f>IF($A34="","",IFERROR(VLOOKUP($A34,物料档案!$A$4:$P$1203,2,0),""))</f>
        <v/>
      </c>
      <c r="F34" s="24">
        <f>IF($A34="","",IFERROR(VLOOKUP($A34,物料档案!$A$4:$P$1203,6,0),""))</f>
        <v/>
      </c>
      <c r="G34" s="23" t="n"/>
      <c r="H34" s="32" t="n"/>
      <c r="I34" s="27">
        <f>IF($A34="","",SUMIFS(入库单!$K$4:$K$2503,入库单!$G$4:$G$2503,$A34,入库单!$X$4:$X$2503,"采购入库",入库单!$Z$4:$Z$2503,"正常",入库单!$C$4:$C$2503,"&gt;="&amp;账期起,入库单!$C$4:$C$2503,"&lt;="&amp;账期止))</f>
        <v/>
      </c>
      <c r="J34" s="26">
        <f>IF($A34="","",SUMIFS(入库单!$V$4:$V$2503,入库单!$G$4:$G$2503,$A34,入库单!$X$4:$X$2503,"采购入库",入库单!$Z$4:$Z$2503,"正常",入库单!$C$4:$C$2503,"&gt;="&amp;账期起,入库单!$C$4:$C$2503,"&lt;="&amp;账期止))</f>
        <v/>
      </c>
      <c r="K34" s="26">
        <f>IF($A34="","",IFERROR(ROUND((N($H34)+N($J34))/(N($G34)+N($I34)),2),0))</f>
        <v/>
      </c>
      <c r="L34" s="27">
        <f>IF($A34="","",SUMIFS(入库单!$K$4:$K$2503,入库单!$G$4:$G$2503,$A34,入库单!$X$4:$X$2503,"盘盈",入库单!$Z$4:$Z$2503,"正常",入库单!$C$4:$C$2503,"&gt;="&amp;账期起,入库单!$C$4:$C$2503,"&lt;="&amp;账期止))</f>
        <v/>
      </c>
      <c r="M34" s="26">
        <f>IF($A34="","",ROUND($L34*$K34,0))</f>
        <v/>
      </c>
      <c r="N34" s="27">
        <f>IF($A34="","",SUMIFS(入库单!$K$4:$K$2503,入库单!$G$4:$G$2503,$A34,入库单!$X$4:$X$2503,"矿区退库",入库单!$Z$4:$Z$2503,"正常",入库单!$C$4:$C$2503,"&gt;="&amp;账期起,入库单!$C$4:$C$2503,"&lt;="&amp;账期止))</f>
        <v/>
      </c>
      <c r="O34" s="26">
        <f>IF($A34="","",ROUND($N34*$K34,0))</f>
        <v/>
      </c>
      <c r="P34" s="27">
        <f>IF($A34="","",SUMIFS(出库单!$J$4:$J$4003,出库单!$D$4:$D$4003,$A34,出库单!$K$4:$K$4003,"自用消耗",出库单!$U$4:$U$4003,"正常",出库单!$C$4:$C$4003,"&gt;="&amp;账期起,出库单!$C$4:$C$4003,"&lt;="&amp;账期止))</f>
        <v/>
      </c>
      <c r="Q34" s="26">
        <f>IF($A34="","",ROUND(SUMIFS(出库单!$S$4:$S$4003,出库单!$D$4:$D$4003,$A34,出库单!$K$4:$K$4003,"自用消耗",出库单!$U$4:$U$4003,"正常",出库单!$C$4:$C$4003,"&gt;="&amp;账期起,出库单!$C$4:$C$4003,"&lt;="&amp;账期止),0))</f>
        <v/>
      </c>
      <c r="R34" s="27">
        <f>IF($A34="","",SUMIFS(出库单!$J$4:$J$4003,出库单!$D$4:$D$4003,$A34,出库单!$K$4:$K$4003,"对外销售",出库单!$U$4:$U$4003,"正常",出库单!$C$4:$C$4003,"&gt;="&amp;账期起,出库单!$C$4:$C$4003,"&lt;="&amp;账期止))</f>
        <v/>
      </c>
      <c r="S34" s="26">
        <f>IF($A34="","",ROUND(SUMIFS(出库单!$S$4:$S$4003,出库单!$D$4:$D$4003,$A34,出库单!$K$4:$K$4003,"对外销售",出库单!$U$4:$U$4003,"正常",出库单!$C$4:$C$4003,"&gt;="&amp;账期起,出库单!$C$4:$C$4003,"&lt;="&amp;账期止),0))</f>
        <v/>
      </c>
      <c r="T34" s="27">
        <f>IF($A34="","",SUMIFS(出库单!$J$4:$J$4003,出库单!$D$4:$D$4003,$A34,出库单!$K$4:$K$4003,"盘亏",出库单!$U$4:$U$4003,"正常",出库单!$C$4:$C$4003,"&gt;="&amp;账期起,出库单!$C$4:$C$4003,"&lt;="&amp;账期止))</f>
        <v/>
      </c>
      <c r="U34" s="26">
        <f>IF($A34="","",ROUND(SUMIFS(出库单!$S$4:$S$4003,出库单!$D$4:$D$4003,$A34,出库单!$K$4:$K$4003,"盘亏",出库单!$U$4:$U$4003,"正常",出库单!$C$4:$C$4003,"&gt;="&amp;账期起,出库单!$C$4:$C$4003,"&lt;="&amp;账期止),0))</f>
        <v/>
      </c>
      <c r="V34" s="27">
        <f>IF($A34="","",SUMIFS(出库单!$J$4:$J$4003,出库单!$D$4:$D$4003,$A34,出库单!$K$4:$K$4003,"退货给供应商",出库单!$U$4:$U$4003,"正常",出库单!$C$4:$C$4003,"&gt;="&amp;账期起,出库单!$C$4:$C$4003,"&lt;="&amp;账期止))</f>
        <v/>
      </c>
      <c r="W34" s="26">
        <f>IF($A34="","",ROUND(SUMIFS(出库单!$S$4:$S$4003,出库单!$D$4:$D$4003,$A34,出库单!$K$4:$K$4003,"退货给供应商",出库单!$U$4:$U$4003,"正常",出库单!$C$4:$C$4003,"&gt;="&amp;账期起,出库单!$C$4:$C$4003,"&lt;="&amp;账期止),0))</f>
        <v/>
      </c>
      <c r="X34" s="27">
        <f>IF($A34="","",ROUND(N($G34)+$I34+$L34+$N34-$P34-$R34-$T34-$V34,3))</f>
        <v/>
      </c>
      <c r="Y34" s="26">
        <f>IF($A34="","",ROUND(N($H34)+$J34+$M34+$O34-$Q34-$S34-$U34-$W34,0))</f>
        <v/>
      </c>
      <c r="Z34" s="24">
        <f>IF($A34="","",IF(COUNTIFS(入库单!$G$4:$G$2503,$A34,入库单!$Y$4:$Y$2503,"待补价")+COUNTIFS(入库单!$G$4:$G$2503,$A34,入库单!$Y$4:$Y$2503,"暂估")&gt;0,"不可信","可信"))</f>
        <v/>
      </c>
      <c r="AA34" s="24">
        <f>IF($A34="","",IF($X34&lt;-0.001,"※账面负库存，查一下是不是漏记入库",IF(AND(ROUND($X34,3)=0,ABS($Y34)&gt;1),"※数量已经是 0，金额还挂着 "&amp;TEXT($Y34,"#,##0")&amp;" 先令",IF(AND($X34&gt;0,$Y34&lt;=0,$K34=0),"※有数量没金额（这个物料一直没填过进价）",IF($Z34="不可信","△成本含待补价/暂估，毛利仅供参考","")))))</f>
        <v/>
      </c>
    </row>
    <row r="35">
      <c r="A35" s="24">
        <f>IF(物料档案!$A34="","",物料档案!$A34)</f>
        <v/>
      </c>
      <c r="B35" s="24">
        <f>IF($A35="","",IFERROR(VLOOKUP($A35,物料档案!$A$4:$P$1203,3,0),""))</f>
        <v/>
      </c>
      <c r="C35" s="24">
        <f>IF($A35="","",IFERROR(VLOOKUP($A35,物料档案!$A$4:$P$1203,4,0),""))</f>
        <v/>
      </c>
      <c r="D35" s="24">
        <f>IF($A35="","",IFERROR(VLOOKUP($A35,物料档案!$A$4:$P$1203,5,0),""))</f>
        <v/>
      </c>
      <c r="E35" s="24">
        <f>IF($A35="","",IFERROR(VLOOKUP($A35,物料档案!$A$4:$P$1203,2,0),""))</f>
        <v/>
      </c>
      <c r="F35" s="24">
        <f>IF($A35="","",IFERROR(VLOOKUP($A35,物料档案!$A$4:$P$1203,6,0),""))</f>
        <v/>
      </c>
      <c r="G35" s="23" t="n"/>
      <c r="H35" s="32" t="n"/>
      <c r="I35" s="27">
        <f>IF($A35="","",SUMIFS(入库单!$K$4:$K$2503,入库单!$G$4:$G$2503,$A35,入库单!$X$4:$X$2503,"采购入库",入库单!$Z$4:$Z$2503,"正常",入库单!$C$4:$C$2503,"&gt;="&amp;账期起,入库单!$C$4:$C$2503,"&lt;="&amp;账期止))</f>
        <v/>
      </c>
      <c r="J35" s="26">
        <f>IF($A35="","",SUMIFS(入库单!$V$4:$V$2503,入库单!$G$4:$G$2503,$A35,入库单!$X$4:$X$2503,"采购入库",入库单!$Z$4:$Z$2503,"正常",入库单!$C$4:$C$2503,"&gt;="&amp;账期起,入库单!$C$4:$C$2503,"&lt;="&amp;账期止))</f>
        <v/>
      </c>
      <c r="K35" s="26">
        <f>IF($A35="","",IFERROR(ROUND((N($H35)+N($J35))/(N($G35)+N($I35)),2),0))</f>
        <v/>
      </c>
      <c r="L35" s="27">
        <f>IF($A35="","",SUMIFS(入库单!$K$4:$K$2503,入库单!$G$4:$G$2503,$A35,入库单!$X$4:$X$2503,"盘盈",入库单!$Z$4:$Z$2503,"正常",入库单!$C$4:$C$2503,"&gt;="&amp;账期起,入库单!$C$4:$C$2503,"&lt;="&amp;账期止))</f>
        <v/>
      </c>
      <c r="M35" s="26">
        <f>IF($A35="","",ROUND($L35*$K35,0))</f>
        <v/>
      </c>
      <c r="N35" s="27">
        <f>IF($A35="","",SUMIFS(入库单!$K$4:$K$2503,入库单!$G$4:$G$2503,$A35,入库单!$X$4:$X$2503,"矿区退库",入库单!$Z$4:$Z$2503,"正常",入库单!$C$4:$C$2503,"&gt;="&amp;账期起,入库单!$C$4:$C$2503,"&lt;="&amp;账期止))</f>
        <v/>
      </c>
      <c r="O35" s="26">
        <f>IF($A35="","",ROUND($N35*$K35,0))</f>
        <v/>
      </c>
      <c r="P35" s="27">
        <f>IF($A35="","",SUMIFS(出库单!$J$4:$J$4003,出库单!$D$4:$D$4003,$A35,出库单!$K$4:$K$4003,"自用消耗",出库单!$U$4:$U$4003,"正常",出库单!$C$4:$C$4003,"&gt;="&amp;账期起,出库单!$C$4:$C$4003,"&lt;="&amp;账期止))</f>
        <v/>
      </c>
      <c r="Q35" s="26">
        <f>IF($A35="","",ROUND(SUMIFS(出库单!$S$4:$S$4003,出库单!$D$4:$D$4003,$A35,出库单!$K$4:$K$4003,"自用消耗",出库单!$U$4:$U$4003,"正常",出库单!$C$4:$C$4003,"&gt;="&amp;账期起,出库单!$C$4:$C$4003,"&lt;="&amp;账期止),0))</f>
        <v/>
      </c>
      <c r="R35" s="27">
        <f>IF($A35="","",SUMIFS(出库单!$J$4:$J$4003,出库单!$D$4:$D$4003,$A35,出库单!$K$4:$K$4003,"对外销售",出库单!$U$4:$U$4003,"正常",出库单!$C$4:$C$4003,"&gt;="&amp;账期起,出库单!$C$4:$C$4003,"&lt;="&amp;账期止))</f>
        <v/>
      </c>
      <c r="S35" s="26">
        <f>IF($A35="","",ROUND(SUMIFS(出库单!$S$4:$S$4003,出库单!$D$4:$D$4003,$A35,出库单!$K$4:$K$4003,"对外销售",出库单!$U$4:$U$4003,"正常",出库单!$C$4:$C$4003,"&gt;="&amp;账期起,出库单!$C$4:$C$4003,"&lt;="&amp;账期止),0))</f>
        <v/>
      </c>
      <c r="T35" s="27">
        <f>IF($A35="","",SUMIFS(出库单!$J$4:$J$4003,出库单!$D$4:$D$4003,$A35,出库单!$K$4:$K$4003,"盘亏",出库单!$U$4:$U$4003,"正常",出库单!$C$4:$C$4003,"&gt;="&amp;账期起,出库单!$C$4:$C$4003,"&lt;="&amp;账期止))</f>
        <v/>
      </c>
      <c r="U35" s="26">
        <f>IF($A35="","",ROUND(SUMIFS(出库单!$S$4:$S$4003,出库单!$D$4:$D$4003,$A35,出库单!$K$4:$K$4003,"盘亏",出库单!$U$4:$U$4003,"正常",出库单!$C$4:$C$4003,"&gt;="&amp;账期起,出库单!$C$4:$C$4003,"&lt;="&amp;账期止),0))</f>
        <v/>
      </c>
      <c r="V35" s="27">
        <f>IF($A35="","",SUMIFS(出库单!$J$4:$J$4003,出库单!$D$4:$D$4003,$A35,出库单!$K$4:$K$4003,"退货给供应商",出库单!$U$4:$U$4003,"正常",出库单!$C$4:$C$4003,"&gt;="&amp;账期起,出库单!$C$4:$C$4003,"&lt;="&amp;账期止))</f>
        <v/>
      </c>
      <c r="W35" s="26">
        <f>IF($A35="","",ROUND(SUMIFS(出库单!$S$4:$S$4003,出库单!$D$4:$D$4003,$A35,出库单!$K$4:$K$4003,"退货给供应商",出库单!$U$4:$U$4003,"正常",出库单!$C$4:$C$4003,"&gt;="&amp;账期起,出库单!$C$4:$C$4003,"&lt;="&amp;账期止),0))</f>
        <v/>
      </c>
      <c r="X35" s="27">
        <f>IF($A35="","",ROUND(N($G35)+$I35+$L35+$N35-$P35-$R35-$T35-$V35,3))</f>
        <v/>
      </c>
      <c r="Y35" s="26">
        <f>IF($A35="","",ROUND(N($H35)+$J35+$M35+$O35-$Q35-$S35-$U35-$W35,0))</f>
        <v/>
      </c>
      <c r="Z35" s="24">
        <f>IF($A35="","",IF(COUNTIFS(入库单!$G$4:$G$2503,$A35,入库单!$Y$4:$Y$2503,"待补价")+COUNTIFS(入库单!$G$4:$G$2503,$A35,入库单!$Y$4:$Y$2503,"暂估")&gt;0,"不可信","可信"))</f>
        <v/>
      </c>
      <c r="AA35" s="24">
        <f>IF($A35="","",IF($X35&lt;-0.001,"※账面负库存，查一下是不是漏记入库",IF(AND(ROUND($X35,3)=0,ABS($Y35)&gt;1),"※数量已经是 0，金额还挂着 "&amp;TEXT($Y35,"#,##0")&amp;" 先令",IF(AND($X35&gt;0,$Y35&lt;=0,$K35=0),"※有数量没金额（这个物料一直没填过进价）",IF($Z35="不可信","△成本含待补价/暂估，毛利仅供参考","")))))</f>
        <v/>
      </c>
    </row>
    <row r="36">
      <c r="A36" s="24">
        <f>IF(物料档案!$A35="","",物料档案!$A35)</f>
        <v/>
      </c>
      <c r="B36" s="24">
        <f>IF($A36="","",IFERROR(VLOOKUP($A36,物料档案!$A$4:$P$1203,3,0),""))</f>
        <v/>
      </c>
      <c r="C36" s="24">
        <f>IF($A36="","",IFERROR(VLOOKUP($A36,物料档案!$A$4:$P$1203,4,0),""))</f>
        <v/>
      </c>
      <c r="D36" s="24">
        <f>IF($A36="","",IFERROR(VLOOKUP($A36,物料档案!$A$4:$P$1203,5,0),""))</f>
        <v/>
      </c>
      <c r="E36" s="24">
        <f>IF($A36="","",IFERROR(VLOOKUP($A36,物料档案!$A$4:$P$1203,2,0),""))</f>
        <v/>
      </c>
      <c r="F36" s="24">
        <f>IF($A36="","",IFERROR(VLOOKUP($A36,物料档案!$A$4:$P$1203,6,0),""))</f>
        <v/>
      </c>
      <c r="G36" s="23" t="n"/>
      <c r="H36" s="32" t="n"/>
      <c r="I36" s="27">
        <f>IF($A36="","",SUMIFS(入库单!$K$4:$K$2503,入库单!$G$4:$G$2503,$A36,入库单!$X$4:$X$2503,"采购入库",入库单!$Z$4:$Z$2503,"正常",入库单!$C$4:$C$2503,"&gt;="&amp;账期起,入库单!$C$4:$C$2503,"&lt;="&amp;账期止))</f>
        <v/>
      </c>
      <c r="J36" s="26">
        <f>IF($A36="","",SUMIFS(入库单!$V$4:$V$2503,入库单!$G$4:$G$2503,$A36,入库单!$X$4:$X$2503,"采购入库",入库单!$Z$4:$Z$2503,"正常",入库单!$C$4:$C$2503,"&gt;="&amp;账期起,入库单!$C$4:$C$2503,"&lt;="&amp;账期止))</f>
        <v/>
      </c>
      <c r="K36" s="26">
        <f>IF($A36="","",IFERROR(ROUND((N($H36)+N($J36))/(N($G36)+N($I36)),2),0))</f>
        <v/>
      </c>
      <c r="L36" s="27">
        <f>IF($A36="","",SUMIFS(入库单!$K$4:$K$2503,入库单!$G$4:$G$2503,$A36,入库单!$X$4:$X$2503,"盘盈",入库单!$Z$4:$Z$2503,"正常",入库单!$C$4:$C$2503,"&gt;="&amp;账期起,入库单!$C$4:$C$2503,"&lt;="&amp;账期止))</f>
        <v/>
      </c>
      <c r="M36" s="26">
        <f>IF($A36="","",ROUND($L36*$K36,0))</f>
        <v/>
      </c>
      <c r="N36" s="27">
        <f>IF($A36="","",SUMIFS(入库单!$K$4:$K$2503,入库单!$G$4:$G$2503,$A36,入库单!$X$4:$X$2503,"矿区退库",入库单!$Z$4:$Z$2503,"正常",入库单!$C$4:$C$2503,"&gt;="&amp;账期起,入库单!$C$4:$C$2503,"&lt;="&amp;账期止))</f>
        <v/>
      </c>
      <c r="O36" s="26">
        <f>IF($A36="","",ROUND($N36*$K36,0))</f>
        <v/>
      </c>
      <c r="P36" s="27">
        <f>IF($A36="","",SUMIFS(出库单!$J$4:$J$4003,出库单!$D$4:$D$4003,$A36,出库单!$K$4:$K$4003,"自用消耗",出库单!$U$4:$U$4003,"正常",出库单!$C$4:$C$4003,"&gt;="&amp;账期起,出库单!$C$4:$C$4003,"&lt;="&amp;账期止))</f>
        <v/>
      </c>
      <c r="Q36" s="26">
        <f>IF($A36="","",ROUND(SUMIFS(出库单!$S$4:$S$4003,出库单!$D$4:$D$4003,$A36,出库单!$K$4:$K$4003,"自用消耗",出库单!$U$4:$U$4003,"正常",出库单!$C$4:$C$4003,"&gt;="&amp;账期起,出库单!$C$4:$C$4003,"&lt;="&amp;账期止),0))</f>
        <v/>
      </c>
      <c r="R36" s="27">
        <f>IF($A36="","",SUMIFS(出库单!$J$4:$J$4003,出库单!$D$4:$D$4003,$A36,出库单!$K$4:$K$4003,"对外销售",出库单!$U$4:$U$4003,"正常",出库单!$C$4:$C$4003,"&gt;="&amp;账期起,出库单!$C$4:$C$4003,"&lt;="&amp;账期止))</f>
        <v/>
      </c>
      <c r="S36" s="26">
        <f>IF($A36="","",ROUND(SUMIFS(出库单!$S$4:$S$4003,出库单!$D$4:$D$4003,$A36,出库单!$K$4:$K$4003,"对外销售",出库单!$U$4:$U$4003,"正常",出库单!$C$4:$C$4003,"&gt;="&amp;账期起,出库单!$C$4:$C$4003,"&lt;="&amp;账期止),0))</f>
        <v/>
      </c>
      <c r="T36" s="27">
        <f>IF($A36="","",SUMIFS(出库单!$J$4:$J$4003,出库单!$D$4:$D$4003,$A36,出库单!$K$4:$K$4003,"盘亏",出库单!$U$4:$U$4003,"正常",出库单!$C$4:$C$4003,"&gt;="&amp;账期起,出库单!$C$4:$C$4003,"&lt;="&amp;账期止))</f>
        <v/>
      </c>
      <c r="U36" s="26">
        <f>IF($A36="","",ROUND(SUMIFS(出库单!$S$4:$S$4003,出库单!$D$4:$D$4003,$A36,出库单!$K$4:$K$4003,"盘亏",出库单!$U$4:$U$4003,"正常",出库单!$C$4:$C$4003,"&gt;="&amp;账期起,出库单!$C$4:$C$4003,"&lt;="&amp;账期止),0))</f>
        <v/>
      </c>
      <c r="V36" s="27">
        <f>IF($A36="","",SUMIFS(出库单!$J$4:$J$4003,出库单!$D$4:$D$4003,$A36,出库单!$K$4:$K$4003,"退货给供应商",出库单!$U$4:$U$4003,"正常",出库单!$C$4:$C$4003,"&gt;="&amp;账期起,出库单!$C$4:$C$4003,"&lt;="&amp;账期止))</f>
        <v/>
      </c>
      <c r="W36" s="26">
        <f>IF($A36="","",ROUND(SUMIFS(出库单!$S$4:$S$4003,出库单!$D$4:$D$4003,$A36,出库单!$K$4:$K$4003,"退货给供应商",出库单!$U$4:$U$4003,"正常",出库单!$C$4:$C$4003,"&gt;="&amp;账期起,出库单!$C$4:$C$4003,"&lt;="&amp;账期止),0))</f>
        <v/>
      </c>
      <c r="X36" s="27">
        <f>IF($A36="","",ROUND(N($G36)+$I36+$L36+$N36-$P36-$R36-$T36-$V36,3))</f>
        <v/>
      </c>
      <c r="Y36" s="26">
        <f>IF($A36="","",ROUND(N($H36)+$J36+$M36+$O36-$Q36-$S36-$U36-$W36,0))</f>
        <v/>
      </c>
      <c r="Z36" s="24">
        <f>IF($A36="","",IF(COUNTIFS(入库单!$G$4:$G$2503,$A36,入库单!$Y$4:$Y$2503,"待补价")+COUNTIFS(入库单!$G$4:$G$2503,$A36,入库单!$Y$4:$Y$2503,"暂估")&gt;0,"不可信","可信"))</f>
        <v/>
      </c>
      <c r="AA36" s="24">
        <f>IF($A36="","",IF($X36&lt;-0.001,"※账面负库存，查一下是不是漏记入库",IF(AND(ROUND($X36,3)=0,ABS($Y36)&gt;1),"※数量已经是 0，金额还挂着 "&amp;TEXT($Y36,"#,##0")&amp;" 先令",IF(AND($X36&gt;0,$Y36&lt;=0,$K36=0),"※有数量没金额（这个物料一直没填过进价）",IF($Z36="不可信","△成本含待补价/暂估，毛利仅供参考","")))))</f>
        <v/>
      </c>
    </row>
    <row r="37">
      <c r="A37" s="24">
        <f>IF(物料档案!$A36="","",物料档案!$A36)</f>
        <v/>
      </c>
      <c r="B37" s="24">
        <f>IF($A37="","",IFERROR(VLOOKUP($A37,物料档案!$A$4:$P$1203,3,0),""))</f>
        <v/>
      </c>
      <c r="C37" s="24">
        <f>IF($A37="","",IFERROR(VLOOKUP($A37,物料档案!$A$4:$P$1203,4,0),""))</f>
        <v/>
      </c>
      <c r="D37" s="24">
        <f>IF($A37="","",IFERROR(VLOOKUP($A37,物料档案!$A$4:$P$1203,5,0),""))</f>
        <v/>
      </c>
      <c r="E37" s="24">
        <f>IF($A37="","",IFERROR(VLOOKUP($A37,物料档案!$A$4:$P$1203,2,0),""))</f>
        <v/>
      </c>
      <c r="F37" s="24">
        <f>IF($A37="","",IFERROR(VLOOKUP($A37,物料档案!$A$4:$P$1203,6,0),""))</f>
        <v/>
      </c>
      <c r="G37" s="23" t="n"/>
      <c r="H37" s="32" t="n"/>
      <c r="I37" s="27">
        <f>IF($A37="","",SUMIFS(入库单!$K$4:$K$2503,入库单!$G$4:$G$2503,$A37,入库单!$X$4:$X$2503,"采购入库",入库单!$Z$4:$Z$2503,"正常",入库单!$C$4:$C$2503,"&gt;="&amp;账期起,入库单!$C$4:$C$2503,"&lt;="&amp;账期止))</f>
        <v/>
      </c>
      <c r="J37" s="26">
        <f>IF($A37="","",SUMIFS(入库单!$V$4:$V$2503,入库单!$G$4:$G$2503,$A37,入库单!$X$4:$X$2503,"采购入库",入库单!$Z$4:$Z$2503,"正常",入库单!$C$4:$C$2503,"&gt;="&amp;账期起,入库单!$C$4:$C$2503,"&lt;="&amp;账期止))</f>
        <v/>
      </c>
      <c r="K37" s="26">
        <f>IF($A37="","",IFERROR(ROUND((N($H37)+N($J37))/(N($G37)+N($I37)),2),0))</f>
        <v/>
      </c>
      <c r="L37" s="27">
        <f>IF($A37="","",SUMIFS(入库单!$K$4:$K$2503,入库单!$G$4:$G$2503,$A37,入库单!$X$4:$X$2503,"盘盈",入库单!$Z$4:$Z$2503,"正常",入库单!$C$4:$C$2503,"&gt;="&amp;账期起,入库单!$C$4:$C$2503,"&lt;="&amp;账期止))</f>
        <v/>
      </c>
      <c r="M37" s="26">
        <f>IF($A37="","",ROUND($L37*$K37,0))</f>
        <v/>
      </c>
      <c r="N37" s="27">
        <f>IF($A37="","",SUMIFS(入库单!$K$4:$K$2503,入库单!$G$4:$G$2503,$A37,入库单!$X$4:$X$2503,"矿区退库",入库单!$Z$4:$Z$2503,"正常",入库单!$C$4:$C$2503,"&gt;="&amp;账期起,入库单!$C$4:$C$2503,"&lt;="&amp;账期止))</f>
        <v/>
      </c>
      <c r="O37" s="26">
        <f>IF($A37="","",ROUND($N37*$K37,0))</f>
        <v/>
      </c>
      <c r="P37" s="27">
        <f>IF($A37="","",SUMIFS(出库单!$J$4:$J$4003,出库单!$D$4:$D$4003,$A37,出库单!$K$4:$K$4003,"自用消耗",出库单!$U$4:$U$4003,"正常",出库单!$C$4:$C$4003,"&gt;="&amp;账期起,出库单!$C$4:$C$4003,"&lt;="&amp;账期止))</f>
        <v/>
      </c>
      <c r="Q37" s="26">
        <f>IF($A37="","",ROUND(SUMIFS(出库单!$S$4:$S$4003,出库单!$D$4:$D$4003,$A37,出库单!$K$4:$K$4003,"自用消耗",出库单!$U$4:$U$4003,"正常",出库单!$C$4:$C$4003,"&gt;="&amp;账期起,出库单!$C$4:$C$4003,"&lt;="&amp;账期止),0))</f>
        <v/>
      </c>
      <c r="R37" s="27">
        <f>IF($A37="","",SUMIFS(出库单!$J$4:$J$4003,出库单!$D$4:$D$4003,$A37,出库单!$K$4:$K$4003,"对外销售",出库单!$U$4:$U$4003,"正常",出库单!$C$4:$C$4003,"&gt;="&amp;账期起,出库单!$C$4:$C$4003,"&lt;="&amp;账期止))</f>
        <v/>
      </c>
      <c r="S37" s="26">
        <f>IF($A37="","",ROUND(SUMIFS(出库单!$S$4:$S$4003,出库单!$D$4:$D$4003,$A37,出库单!$K$4:$K$4003,"对外销售",出库单!$U$4:$U$4003,"正常",出库单!$C$4:$C$4003,"&gt;="&amp;账期起,出库单!$C$4:$C$4003,"&lt;="&amp;账期止),0))</f>
        <v/>
      </c>
      <c r="T37" s="27">
        <f>IF($A37="","",SUMIFS(出库单!$J$4:$J$4003,出库单!$D$4:$D$4003,$A37,出库单!$K$4:$K$4003,"盘亏",出库单!$U$4:$U$4003,"正常",出库单!$C$4:$C$4003,"&gt;="&amp;账期起,出库单!$C$4:$C$4003,"&lt;="&amp;账期止))</f>
        <v/>
      </c>
      <c r="U37" s="26">
        <f>IF($A37="","",ROUND(SUMIFS(出库单!$S$4:$S$4003,出库单!$D$4:$D$4003,$A37,出库单!$K$4:$K$4003,"盘亏",出库单!$U$4:$U$4003,"正常",出库单!$C$4:$C$4003,"&gt;="&amp;账期起,出库单!$C$4:$C$4003,"&lt;="&amp;账期止),0))</f>
        <v/>
      </c>
      <c r="V37" s="27">
        <f>IF($A37="","",SUMIFS(出库单!$J$4:$J$4003,出库单!$D$4:$D$4003,$A37,出库单!$K$4:$K$4003,"退货给供应商",出库单!$U$4:$U$4003,"正常",出库单!$C$4:$C$4003,"&gt;="&amp;账期起,出库单!$C$4:$C$4003,"&lt;="&amp;账期止))</f>
        <v/>
      </c>
      <c r="W37" s="26">
        <f>IF($A37="","",ROUND(SUMIFS(出库单!$S$4:$S$4003,出库单!$D$4:$D$4003,$A37,出库单!$K$4:$K$4003,"退货给供应商",出库单!$U$4:$U$4003,"正常",出库单!$C$4:$C$4003,"&gt;="&amp;账期起,出库单!$C$4:$C$4003,"&lt;="&amp;账期止),0))</f>
        <v/>
      </c>
      <c r="X37" s="27">
        <f>IF($A37="","",ROUND(N($G37)+$I37+$L37+$N37-$P37-$R37-$T37-$V37,3))</f>
        <v/>
      </c>
      <c r="Y37" s="26">
        <f>IF($A37="","",ROUND(N($H37)+$J37+$M37+$O37-$Q37-$S37-$U37-$W37,0))</f>
        <v/>
      </c>
      <c r="Z37" s="24">
        <f>IF($A37="","",IF(COUNTIFS(入库单!$G$4:$G$2503,$A37,入库单!$Y$4:$Y$2503,"待补价")+COUNTIFS(入库单!$G$4:$G$2503,$A37,入库单!$Y$4:$Y$2503,"暂估")&gt;0,"不可信","可信"))</f>
        <v/>
      </c>
      <c r="AA37" s="24">
        <f>IF($A37="","",IF($X37&lt;-0.001,"※账面负库存，查一下是不是漏记入库",IF(AND(ROUND($X37,3)=0,ABS($Y37)&gt;1),"※数量已经是 0，金额还挂着 "&amp;TEXT($Y37,"#,##0")&amp;" 先令",IF(AND($X37&gt;0,$Y37&lt;=0,$K37=0),"※有数量没金额（这个物料一直没填过进价）",IF($Z37="不可信","△成本含待补价/暂估，毛利仅供参考","")))))</f>
        <v/>
      </c>
    </row>
    <row r="38">
      <c r="A38" s="24">
        <f>IF(物料档案!$A37="","",物料档案!$A37)</f>
        <v/>
      </c>
      <c r="B38" s="24">
        <f>IF($A38="","",IFERROR(VLOOKUP($A38,物料档案!$A$4:$P$1203,3,0),""))</f>
        <v/>
      </c>
      <c r="C38" s="24">
        <f>IF($A38="","",IFERROR(VLOOKUP($A38,物料档案!$A$4:$P$1203,4,0),""))</f>
        <v/>
      </c>
      <c r="D38" s="24">
        <f>IF($A38="","",IFERROR(VLOOKUP($A38,物料档案!$A$4:$P$1203,5,0),""))</f>
        <v/>
      </c>
      <c r="E38" s="24">
        <f>IF($A38="","",IFERROR(VLOOKUP($A38,物料档案!$A$4:$P$1203,2,0),""))</f>
        <v/>
      </c>
      <c r="F38" s="24">
        <f>IF($A38="","",IFERROR(VLOOKUP($A38,物料档案!$A$4:$P$1203,6,0),""))</f>
        <v/>
      </c>
      <c r="G38" s="23" t="n"/>
      <c r="H38" s="32" t="n"/>
      <c r="I38" s="27">
        <f>IF($A38="","",SUMIFS(入库单!$K$4:$K$2503,入库单!$G$4:$G$2503,$A38,入库单!$X$4:$X$2503,"采购入库",入库单!$Z$4:$Z$2503,"正常",入库单!$C$4:$C$2503,"&gt;="&amp;账期起,入库单!$C$4:$C$2503,"&lt;="&amp;账期止))</f>
        <v/>
      </c>
      <c r="J38" s="26">
        <f>IF($A38="","",SUMIFS(入库单!$V$4:$V$2503,入库单!$G$4:$G$2503,$A38,入库单!$X$4:$X$2503,"采购入库",入库单!$Z$4:$Z$2503,"正常",入库单!$C$4:$C$2503,"&gt;="&amp;账期起,入库单!$C$4:$C$2503,"&lt;="&amp;账期止))</f>
        <v/>
      </c>
      <c r="K38" s="26">
        <f>IF($A38="","",IFERROR(ROUND((N($H38)+N($J38))/(N($G38)+N($I38)),2),0))</f>
        <v/>
      </c>
      <c r="L38" s="27">
        <f>IF($A38="","",SUMIFS(入库单!$K$4:$K$2503,入库单!$G$4:$G$2503,$A38,入库单!$X$4:$X$2503,"盘盈",入库单!$Z$4:$Z$2503,"正常",入库单!$C$4:$C$2503,"&gt;="&amp;账期起,入库单!$C$4:$C$2503,"&lt;="&amp;账期止))</f>
        <v/>
      </c>
      <c r="M38" s="26">
        <f>IF($A38="","",ROUND($L38*$K38,0))</f>
        <v/>
      </c>
      <c r="N38" s="27">
        <f>IF($A38="","",SUMIFS(入库单!$K$4:$K$2503,入库单!$G$4:$G$2503,$A38,入库单!$X$4:$X$2503,"矿区退库",入库单!$Z$4:$Z$2503,"正常",入库单!$C$4:$C$2503,"&gt;="&amp;账期起,入库单!$C$4:$C$2503,"&lt;="&amp;账期止))</f>
        <v/>
      </c>
      <c r="O38" s="26">
        <f>IF($A38="","",ROUND($N38*$K38,0))</f>
        <v/>
      </c>
      <c r="P38" s="27">
        <f>IF($A38="","",SUMIFS(出库单!$J$4:$J$4003,出库单!$D$4:$D$4003,$A38,出库单!$K$4:$K$4003,"自用消耗",出库单!$U$4:$U$4003,"正常",出库单!$C$4:$C$4003,"&gt;="&amp;账期起,出库单!$C$4:$C$4003,"&lt;="&amp;账期止))</f>
        <v/>
      </c>
      <c r="Q38" s="26">
        <f>IF($A38="","",ROUND(SUMIFS(出库单!$S$4:$S$4003,出库单!$D$4:$D$4003,$A38,出库单!$K$4:$K$4003,"自用消耗",出库单!$U$4:$U$4003,"正常",出库单!$C$4:$C$4003,"&gt;="&amp;账期起,出库单!$C$4:$C$4003,"&lt;="&amp;账期止),0))</f>
        <v/>
      </c>
      <c r="R38" s="27">
        <f>IF($A38="","",SUMIFS(出库单!$J$4:$J$4003,出库单!$D$4:$D$4003,$A38,出库单!$K$4:$K$4003,"对外销售",出库单!$U$4:$U$4003,"正常",出库单!$C$4:$C$4003,"&gt;="&amp;账期起,出库单!$C$4:$C$4003,"&lt;="&amp;账期止))</f>
        <v/>
      </c>
      <c r="S38" s="26">
        <f>IF($A38="","",ROUND(SUMIFS(出库单!$S$4:$S$4003,出库单!$D$4:$D$4003,$A38,出库单!$K$4:$K$4003,"对外销售",出库单!$U$4:$U$4003,"正常",出库单!$C$4:$C$4003,"&gt;="&amp;账期起,出库单!$C$4:$C$4003,"&lt;="&amp;账期止),0))</f>
        <v/>
      </c>
      <c r="T38" s="27">
        <f>IF($A38="","",SUMIFS(出库单!$J$4:$J$4003,出库单!$D$4:$D$4003,$A38,出库单!$K$4:$K$4003,"盘亏",出库单!$U$4:$U$4003,"正常",出库单!$C$4:$C$4003,"&gt;="&amp;账期起,出库单!$C$4:$C$4003,"&lt;="&amp;账期止))</f>
        <v/>
      </c>
      <c r="U38" s="26">
        <f>IF($A38="","",ROUND(SUMIFS(出库单!$S$4:$S$4003,出库单!$D$4:$D$4003,$A38,出库单!$K$4:$K$4003,"盘亏",出库单!$U$4:$U$4003,"正常",出库单!$C$4:$C$4003,"&gt;="&amp;账期起,出库单!$C$4:$C$4003,"&lt;="&amp;账期止),0))</f>
        <v/>
      </c>
      <c r="V38" s="27">
        <f>IF($A38="","",SUMIFS(出库单!$J$4:$J$4003,出库单!$D$4:$D$4003,$A38,出库单!$K$4:$K$4003,"退货给供应商",出库单!$U$4:$U$4003,"正常",出库单!$C$4:$C$4003,"&gt;="&amp;账期起,出库单!$C$4:$C$4003,"&lt;="&amp;账期止))</f>
        <v/>
      </c>
      <c r="W38" s="26">
        <f>IF($A38="","",ROUND(SUMIFS(出库单!$S$4:$S$4003,出库单!$D$4:$D$4003,$A38,出库单!$K$4:$K$4003,"退货给供应商",出库单!$U$4:$U$4003,"正常",出库单!$C$4:$C$4003,"&gt;="&amp;账期起,出库单!$C$4:$C$4003,"&lt;="&amp;账期止),0))</f>
        <v/>
      </c>
      <c r="X38" s="27">
        <f>IF($A38="","",ROUND(N($G38)+$I38+$L38+$N38-$P38-$R38-$T38-$V38,3))</f>
        <v/>
      </c>
      <c r="Y38" s="26">
        <f>IF($A38="","",ROUND(N($H38)+$J38+$M38+$O38-$Q38-$S38-$U38-$W38,0))</f>
        <v/>
      </c>
      <c r="Z38" s="24">
        <f>IF($A38="","",IF(COUNTIFS(入库单!$G$4:$G$2503,$A38,入库单!$Y$4:$Y$2503,"待补价")+COUNTIFS(入库单!$G$4:$G$2503,$A38,入库单!$Y$4:$Y$2503,"暂估")&gt;0,"不可信","可信"))</f>
        <v/>
      </c>
      <c r="AA38" s="24">
        <f>IF($A38="","",IF($X38&lt;-0.001,"※账面负库存，查一下是不是漏记入库",IF(AND(ROUND($X38,3)=0,ABS($Y38)&gt;1),"※数量已经是 0，金额还挂着 "&amp;TEXT($Y38,"#,##0")&amp;" 先令",IF(AND($X38&gt;0,$Y38&lt;=0,$K38=0),"※有数量没金额（这个物料一直没填过进价）",IF($Z38="不可信","△成本含待补价/暂估，毛利仅供参考","")))))</f>
        <v/>
      </c>
    </row>
    <row r="39">
      <c r="A39" s="24">
        <f>IF(物料档案!$A38="","",物料档案!$A38)</f>
        <v/>
      </c>
      <c r="B39" s="24">
        <f>IF($A39="","",IFERROR(VLOOKUP($A39,物料档案!$A$4:$P$1203,3,0),""))</f>
        <v/>
      </c>
      <c r="C39" s="24">
        <f>IF($A39="","",IFERROR(VLOOKUP($A39,物料档案!$A$4:$P$1203,4,0),""))</f>
        <v/>
      </c>
      <c r="D39" s="24">
        <f>IF($A39="","",IFERROR(VLOOKUP($A39,物料档案!$A$4:$P$1203,5,0),""))</f>
        <v/>
      </c>
      <c r="E39" s="24">
        <f>IF($A39="","",IFERROR(VLOOKUP($A39,物料档案!$A$4:$P$1203,2,0),""))</f>
        <v/>
      </c>
      <c r="F39" s="24">
        <f>IF($A39="","",IFERROR(VLOOKUP($A39,物料档案!$A$4:$P$1203,6,0),""))</f>
        <v/>
      </c>
      <c r="G39" s="23" t="n"/>
      <c r="H39" s="32" t="n"/>
      <c r="I39" s="27">
        <f>IF($A39="","",SUMIFS(入库单!$K$4:$K$2503,入库单!$G$4:$G$2503,$A39,入库单!$X$4:$X$2503,"采购入库",入库单!$Z$4:$Z$2503,"正常",入库单!$C$4:$C$2503,"&gt;="&amp;账期起,入库单!$C$4:$C$2503,"&lt;="&amp;账期止))</f>
        <v/>
      </c>
      <c r="J39" s="26">
        <f>IF($A39="","",SUMIFS(入库单!$V$4:$V$2503,入库单!$G$4:$G$2503,$A39,入库单!$X$4:$X$2503,"采购入库",入库单!$Z$4:$Z$2503,"正常",入库单!$C$4:$C$2503,"&gt;="&amp;账期起,入库单!$C$4:$C$2503,"&lt;="&amp;账期止))</f>
        <v/>
      </c>
      <c r="K39" s="26">
        <f>IF($A39="","",IFERROR(ROUND((N($H39)+N($J39))/(N($G39)+N($I39)),2),0))</f>
        <v/>
      </c>
      <c r="L39" s="27">
        <f>IF($A39="","",SUMIFS(入库单!$K$4:$K$2503,入库单!$G$4:$G$2503,$A39,入库单!$X$4:$X$2503,"盘盈",入库单!$Z$4:$Z$2503,"正常",入库单!$C$4:$C$2503,"&gt;="&amp;账期起,入库单!$C$4:$C$2503,"&lt;="&amp;账期止))</f>
        <v/>
      </c>
      <c r="M39" s="26">
        <f>IF($A39="","",ROUND($L39*$K39,0))</f>
        <v/>
      </c>
      <c r="N39" s="27">
        <f>IF($A39="","",SUMIFS(入库单!$K$4:$K$2503,入库单!$G$4:$G$2503,$A39,入库单!$X$4:$X$2503,"矿区退库",入库单!$Z$4:$Z$2503,"正常",入库单!$C$4:$C$2503,"&gt;="&amp;账期起,入库单!$C$4:$C$2503,"&lt;="&amp;账期止))</f>
        <v/>
      </c>
      <c r="O39" s="26">
        <f>IF($A39="","",ROUND($N39*$K39,0))</f>
        <v/>
      </c>
      <c r="P39" s="27">
        <f>IF($A39="","",SUMIFS(出库单!$J$4:$J$4003,出库单!$D$4:$D$4003,$A39,出库单!$K$4:$K$4003,"自用消耗",出库单!$U$4:$U$4003,"正常",出库单!$C$4:$C$4003,"&gt;="&amp;账期起,出库单!$C$4:$C$4003,"&lt;="&amp;账期止))</f>
        <v/>
      </c>
      <c r="Q39" s="26">
        <f>IF($A39="","",ROUND(SUMIFS(出库单!$S$4:$S$4003,出库单!$D$4:$D$4003,$A39,出库单!$K$4:$K$4003,"自用消耗",出库单!$U$4:$U$4003,"正常",出库单!$C$4:$C$4003,"&gt;="&amp;账期起,出库单!$C$4:$C$4003,"&lt;="&amp;账期止),0))</f>
        <v/>
      </c>
      <c r="R39" s="27">
        <f>IF($A39="","",SUMIFS(出库单!$J$4:$J$4003,出库单!$D$4:$D$4003,$A39,出库单!$K$4:$K$4003,"对外销售",出库单!$U$4:$U$4003,"正常",出库单!$C$4:$C$4003,"&gt;="&amp;账期起,出库单!$C$4:$C$4003,"&lt;="&amp;账期止))</f>
        <v/>
      </c>
      <c r="S39" s="26">
        <f>IF($A39="","",ROUND(SUMIFS(出库单!$S$4:$S$4003,出库单!$D$4:$D$4003,$A39,出库单!$K$4:$K$4003,"对外销售",出库单!$U$4:$U$4003,"正常",出库单!$C$4:$C$4003,"&gt;="&amp;账期起,出库单!$C$4:$C$4003,"&lt;="&amp;账期止),0))</f>
        <v/>
      </c>
      <c r="T39" s="27">
        <f>IF($A39="","",SUMIFS(出库单!$J$4:$J$4003,出库单!$D$4:$D$4003,$A39,出库单!$K$4:$K$4003,"盘亏",出库单!$U$4:$U$4003,"正常",出库单!$C$4:$C$4003,"&gt;="&amp;账期起,出库单!$C$4:$C$4003,"&lt;="&amp;账期止))</f>
        <v/>
      </c>
      <c r="U39" s="26">
        <f>IF($A39="","",ROUND(SUMIFS(出库单!$S$4:$S$4003,出库单!$D$4:$D$4003,$A39,出库单!$K$4:$K$4003,"盘亏",出库单!$U$4:$U$4003,"正常",出库单!$C$4:$C$4003,"&gt;="&amp;账期起,出库单!$C$4:$C$4003,"&lt;="&amp;账期止),0))</f>
        <v/>
      </c>
      <c r="V39" s="27">
        <f>IF($A39="","",SUMIFS(出库单!$J$4:$J$4003,出库单!$D$4:$D$4003,$A39,出库单!$K$4:$K$4003,"退货给供应商",出库单!$U$4:$U$4003,"正常",出库单!$C$4:$C$4003,"&gt;="&amp;账期起,出库单!$C$4:$C$4003,"&lt;="&amp;账期止))</f>
        <v/>
      </c>
      <c r="W39" s="26">
        <f>IF($A39="","",ROUND(SUMIFS(出库单!$S$4:$S$4003,出库单!$D$4:$D$4003,$A39,出库单!$K$4:$K$4003,"退货给供应商",出库单!$U$4:$U$4003,"正常",出库单!$C$4:$C$4003,"&gt;="&amp;账期起,出库单!$C$4:$C$4003,"&lt;="&amp;账期止),0))</f>
        <v/>
      </c>
      <c r="X39" s="27">
        <f>IF($A39="","",ROUND(N($G39)+$I39+$L39+$N39-$P39-$R39-$T39-$V39,3))</f>
        <v/>
      </c>
      <c r="Y39" s="26">
        <f>IF($A39="","",ROUND(N($H39)+$J39+$M39+$O39-$Q39-$S39-$U39-$W39,0))</f>
        <v/>
      </c>
      <c r="Z39" s="24">
        <f>IF($A39="","",IF(COUNTIFS(入库单!$G$4:$G$2503,$A39,入库单!$Y$4:$Y$2503,"待补价")+COUNTIFS(入库单!$G$4:$G$2503,$A39,入库单!$Y$4:$Y$2503,"暂估")&gt;0,"不可信","可信"))</f>
        <v/>
      </c>
      <c r="AA39" s="24">
        <f>IF($A39="","",IF($X39&lt;-0.001,"※账面负库存，查一下是不是漏记入库",IF(AND(ROUND($X39,3)=0,ABS($Y39)&gt;1),"※数量已经是 0，金额还挂着 "&amp;TEXT($Y39,"#,##0")&amp;" 先令",IF(AND($X39&gt;0,$Y39&lt;=0,$K39=0),"※有数量没金额（这个物料一直没填过进价）",IF($Z39="不可信","△成本含待补价/暂估，毛利仅供参考","")))))</f>
        <v/>
      </c>
    </row>
    <row r="40">
      <c r="A40" s="24">
        <f>IF(物料档案!$A39="","",物料档案!$A39)</f>
        <v/>
      </c>
      <c r="B40" s="24">
        <f>IF($A40="","",IFERROR(VLOOKUP($A40,物料档案!$A$4:$P$1203,3,0),""))</f>
        <v/>
      </c>
      <c r="C40" s="24">
        <f>IF($A40="","",IFERROR(VLOOKUP($A40,物料档案!$A$4:$P$1203,4,0),""))</f>
        <v/>
      </c>
      <c r="D40" s="24">
        <f>IF($A40="","",IFERROR(VLOOKUP($A40,物料档案!$A$4:$P$1203,5,0),""))</f>
        <v/>
      </c>
      <c r="E40" s="24">
        <f>IF($A40="","",IFERROR(VLOOKUP($A40,物料档案!$A$4:$P$1203,2,0),""))</f>
        <v/>
      </c>
      <c r="F40" s="24">
        <f>IF($A40="","",IFERROR(VLOOKUP($A40,物料档案!$A$4:$P$1203,6,0),""))</f>
        <v/>
      </c>
      <c r="G40" s="23" t="n"/>
      <c r="H40" s="32" t="n"/>
      <c r="I40" s="27">
        <f>IF($A40="","",SUMIFS(入库单!$K$4:$K$2503,入库单!$G$4:$G$2503,$A40,入库单!$X$4:$X$2503,"采购入库",入库单!$Z$4:$Z$2503,"正常",入库单!$C$4:$C$2503,"&gt;="&amp;账期起,入库单!$C$4:$C$2503,"&lt;="&amp;账期止))</f>
        <v/>
      </c>
      <c r="J40" s="26">
        <f>IF($A40="","",SUMIFS(入库单!$V$4:$V$2503,入库单!$G$4:$G$2503,$A40,入库单!$X$4:$X$2503,"采购入库",入库单!$Z$4:$Z$2503,"正常",入库单!$C$4:$C$2503,"&gt;="&amp;账期起,入库单!$C$4:$C$2503,"&lt;="&amp;账期止))</f>
        <v/>
      </c>
      <c r="K40" s="26">
        <f>IF($A40="","",IFERROR(ROUND((N($H40)+N($J40))/(N($G40)+N($I40)),2),0))</f>
        <v/>
      </c>
      <c r="L40" s="27">
        <f>IF($A40="","",SUMIFS(入库单!$K$4:$K$2503,入库单!$G$4:$G$2503,$A40,入库单!$X$4:$X$2503,"盘盈",入库单!$Z$4:$Z$2503,"正常",入库单!$C$4:$C$2503,"&gt;="&amp;账期起,入库单!$C$4:$C$2503,"&lt;="&amp;账期止))</f>
        <v/>
      </c>
      <c r="M40" s="26">
        <f>IF($A40="","",ROUND($L40*$K40,0))</f>
        <v/>
      </c>
      <c r="N40" s="27">
        <f>IF($A40="","",SUMIFS(入库单!$K$4:$K$2503,入库单!$G$4:$G$2503,$A40,入库单!$X$4:$X$2503,"矿区退库",入库单!$Z$4:$Z$2503,"正常",入库单!$C$4:$C$2503,"&gt;="&amp;账期起,入库单!$C$4:$C$2503,"&lt;="&amp;账期止))</f>
        <v/>
      </c>
      <c r="O40" s="26">
        <f>IF($A40="","",ROUND($N40*$K40,0))</f>
        <v/>
      </c>
      <c r="P40" s="27">
        <f>IF($A40="","",SUMIFS(出库单!$J$4:$J$4003,出库单!$D$4:$D$4003,$A40,出库单!$K$4:$K$4003,"自用消耗",出库单!$U$4:$U$4003,"正常",出库单!$C$4:$C$4003,"&gt;="&amp;账期起,出库单!$C$4:$C$4003,"&lt;="&amp;账期止))</f>
        <v/>
      </c>
      <c r="Q40" s="26">
        <f>IF($A40="","",ROUND(SUMIFS(出库单!$S$4:$S$4003,出库单!$D$4:$D$4003,$A40,出库单!$K$4:$K$4003,"自用消耗",出库单!$U$4:$U$4003,"正常",出库单!$C$4:$C$4003,"&gt;="&amp;账期起,出库单!$C$4:$C$4003,"&lt;="&amp;账期止),0))</f>
        <v/>
      </c>
      <c r="R40" s="27">
        <f>IF($A40="","",SUMIFS(出库单!$J$4:$J$4003,出库单!$D$4:$D$4003,$A40,出库单!$K$4:$K$4003,"对外销售",出库单!$U$4:$U$4003,"正常",出库单!$C$4:$C$4003,"&gt;="&amp;账期起,出库单!$C$4:$C$4003,"&lt;="&amp;账期止))</f>
        <v/>
      </c>
      <c r="S40" s="26">
        <f>IF($A40="","",ROUND(SUMIFS(出库单!$S$4:$S$4003,出库单!$D$4:$D$4003,$A40,出库单!$K$4:$K$4003,"对外销售",出库单!$U$4:$U$4003,"正常",出库单!$C$4:$C$4003,"&gt;="&amp;账期起,出库单!$C$4:$C$4003,"&lt;="&amp;账期止),0))</f>
        <v/>
      </c>
      <c r="T40" s="27">
        <f>IF($A40="","",SUMIFS(出库单!$J$4:$J$4003,出库单!$D$4:$D$4003,$A40,出库单!$K$4:$K$4003,"盘亏",出库单!$U$4:$U$4003,"正常",出库单!$C$4:$C$4003,"&gt;="&amp;账期起,出库单!$C$4:$C$4003,"&lt;="&amp;账期止))</f>
        <v/>
      </c>
      <c r="U40" s="26">
        <f>IF($A40="","",ROUND(SUMIFS(出库单!$S$4:$S$4003,出库单!$D$4:$D$4003,$A40,出库单!$K$4:$K$4003,"盘亏",出库单!$U$4:$U$4003,"正常",出库单!$C$4:$C$4003,"&gt;="&amp;账期起,出库单!$C$4:$C$4003,"&lt;="&amp;账期止),0))</f>
        <v/>
      </c>
      <c r="V40" s="27">
        <f>IF($A40="","",SUMIFS(出库单!$J$4:$J$4003,出库单!$D$4:$D$4003,$A40,出库单!$K$4:$K$4003,"退货给供应商",出库单!$U$4:$U$4003,"正常",出库单!$C$4:$C$4003,"&gt;="&amp;账期起,出库单!$C$4:$C$4003,"&lt;="&amp;账期止))</f>
        <v/>
      </c>
      <c r="W40" s="26">
        <f>IF($A40="","",ROUND(SUMIFS(出库单!$S$4:$S$4003,出库单!$D$4:$D$4003,$A40,出库单!$K$4:$K$4003,"退货给供应商",出库单!$U$4:$U$4003,"正常",出库单!$C$4:$C$4003,"&gt;="&amp;账期起,出库单!$C$4:$C$4003,"&lt;="&amp;账期止),0))</f>
        <v/>
      </c>
      <c r="X40" s="27">
        <f>IF($A40="","",ROUND(N($G40)+$I40+$L40+$N40-$P40-$R40-$T40-$V40,3))</f>
        <v/>
      </c>
      <c r="Y40" s="26">
        <f>IF($A40="","",ROUND(N($H40)+$J40+$M40+$O40-$Q40-$S40-$U40-$W40,0))</f>
        <v/>
      </c>
      <c r="Z40" s="24">
        <f>IF($A40="","",IF(COUNTIFS(入库单!$G$4:$G$2503,$A40,入库单!$Y$4:$Y$2503,"待补价")+COUNTIFS(入库单!$G$4:$G$2503,$A40,入库单!$Y$4:$Y$2503,"暂估")&gt;0,"不可信","可信"))</f>
        <v/>
      </c>
      <c r="AA40" s="24">
        <f>IF($A40="","",IF($X40&lt;-0.001,"※账面负库存，查一下是不是漏记入库",IF(AND(ROUND($X40,3)=0,ABS($Y40)&gt;1),"※数量已经是 0，金额还挂着 "&amp;TEXT($Y40,"#,##0")&amp;" 先令",IF(AND($X40&gt;0,$Y40&lt;=0,$K40=0),"※有数量没金额（这个物料一直没填过进价）",IF($Z40="不可信","△成本含待补价/暂估，毛利仅供参考","")))))</f>
        <v/>
      </c>
    </row>
    <row r="41">
      <c r="A41" s="24">
        <f>IF(物料档案!$A40="","",物料档案!$A40)</f>
        <v/>
      </c>
      <c r="B41" s="24">
        <f>IF($A41="","",IFERROR(VLOOKUP($A41,物料档案!$A$4:$P$1203,3,0),""))</f>
        <v/>
      </c>
      <c r="C41" s="24">
        <f>IF($A41="","",IFERROR(VLOOKUP($A41,物料档案!$A$4:$P$1203,4,0),""))</f>
        <v/>
      </c>
      <c r="D41" s="24">
        <f>IF($A41="","",IFERROR(VLOOKUP($A41,物料档案!$A$4:$P$1203,5,0),""))</f>
        <v/>
      </c>
      <c r="E41" s="24">
        <f>IF($A41="","",IFERROR(VLOOKUP($A41,物料档案!$A$4:$P$1203,2,0),""))</f>
        <v/>
      </c>
      <c r="F41" s="24">
        <f>IF($A41="","",IFERROR(VLOOKUP($A41,物料档案!$A$4:$P$1203,6,0),""))</f>
        <v/>
      </c>
      <c r="G41" s="23" t="n"/>
      <c r="H41" s="32" t="n"/>
      <c r="I41" s="27">
        <f>IF($A41="","",SUMIFS(入库单!$K$4:$K$2503,入库单!$G$4:$G$2503,$A41,入库单!$X$4:$X$2503,"采购入库",入库单!$Z$4:$Z$2503,"正常",入库单!$C$4:$C$2503,"&gt;="&amp;账期起,入库单!$C$4:$C$2503,"&lt;="&amp;账期止))</f>
        <v/>
      </c>
      <c r="J41" s="26">
        <f>IF($A41="","",SUMIFS(入库单!$V$4:$V$2503,入库单!$G$4:$G$2503,$A41,入库单!$X$4:$X$2503,"采购入库",入库单!$Z$4:$Z$2503,"正常",入库单!$C$4:$C$2503,"&gt;="&amp;账期起,入库单!$C$4:$C$2503,"&lt;="&amp;账期止))</f>
        <v/>
      </c>
      <c r="K41" s="26">
        <f>IF($A41="","",IFERROR(ROUND((N($H41)+N($J41))/(N($G41)+N($I41)),2),0))</f>
        <v/>
      </c>
      <c r="L41" s="27">
        <f>IF($A41="","",SUMIFS(入库单!$K$4:$K$2503,入库单!$G$4:$G$2503,$A41,入库单!$X$4:$X$2503,"盘盈",入库单!$Z$4:$Z$2503,"正常",入库单!$C$4:$C$2503,"&gt;="&amp;账期起,入库单!$C$4:$C$2503,"&lt;="&amp;账期止))</f>
        <v/>
      </c>
      <c r="M41" s="26">
        <f>IF($A41="","",ROUND($L41*$K41,0))</f>
        <v/>
      </c>
      <c r="N41" s="27">
        <f>IF($A41="","",SUMIFS(入库单!$K$4:$K$2503,入库单!$G$4:$G$2503,$A41,入库单!$X$4:$X$2503,"矿区退库",入库单!$Z$4:$Z$2503,"正常",入库单!$C$4:$C$2503,"&gt;="&amp;账期起,入库单!$C$4:$C$2503,"&lt;="&amp;账期止))</f>
        <v/>
      </c>
      <c r="O41" s="26">
        <f>IF($A41="","",ROUND($N41*$K41,0))</f>
        <v/>
      </c>
      <c r="P41" s="27">
        <f>IF($A41="","",SUMIFS(出库单!$J$4:$J$4003,出库单!$D$4:$D$4003,$A41,出库单!$K$4:$K$4003,"自用消耗",出库单!$U$4:$U$4003,"正常",出库单!$C$4:$C$4003,"&gt;="&amp;账期起,出库单!$C$4:$C$4003,"&lt;="&amp;账期止))</f>
        <v/>
      </c>
      <c r="Q41" s="26">
        <f>IF($A41="","",ROUND(SUMIFS(出库单!$S$4:$S$4003,出库单!$D$4:$D$4003,$A41,出库单!$K$4:$K$4003,"自用消耗",出库单!$U$4:$U$4003,"正常",出库单!$C$4:$C$4003,"&gt;="&amp;账期起,出库单!$C$4:$C$4003,"&lt;="&amp;账期止),0))</f>
        <v/>
      </c>
      <c r="R41" s="27">
        <f>IF($A41="","",SUMIFS(出库单!$J$4:$J$4003,出库单!$D$4:$D$4003,$A41,出库单!$K$4:$K$4003,"对外销售",出库单!$U$4:$U$4003,"正常",出库单!$C$4:$C$4003,"&gt;="&amp;账期起,出库单!$C$4:$C$4003,"&lt;="&amp;账期止))</f>
        <v/>
      </c>
      <c r="S41" s="26">
        <f>IF($A41="","",ROUND(SUMIFS(出库单!$S$4:$S$4003,出库单!$D$4:$D$4003,$A41,出库单!$K$4:$K$4003,"对外销售",出库单!$U$4:$U$4003,"正常",出库单!$C$4:$C$4003,"&gt;="&amp;账期起,出库单!$C$4:$C$4003,"&lt;="&amp;账期止),0))</f>
        <v/>
      </c>
      <c r="T41" s="27">
        <f>IF($A41="","",SUMIFS(出库单!$J$4:$J$4003,出库单!$D$4:$D$4003,$A41,出库单!$K$4:$K$4003,"盘亏",出库单!$U$4:$U$4003,"正常",出库单!$C$4:$C$4003,"&gt;="&amp;账期起,出库单!$C$4:$C$4003,"&lt;="&amp;账期止))</f>
        <v/>
      </c>
      <c r="U41" s="26">
        <f>IF($A41="","",ROUND(SUMIFS(出库单!$S$4:$S$4003,出库单!$D$4:$D$4003,$A41,出库单!$K$4:$K$4003,"盘亏",出库单!$U$4:$U$4003,"正常",出库单!$C$4:$C$4003,"&gt;="&amp;账期起,出库单!$C$4:$C$4003,"&lt;="&amp;账期止),0))</f>
        <v/>
      </c>
      <c r="V41" s="27">
        <f>IF($A41="","",SUMIFS(出库单!$J$4:$J$4003,出库单!$D$4:$D$4003,$A41,出库单!$K$4:$K$4003,"退货给供应商",出库单!$U$4:$U$4003,"正常",出库单!$C$4:$C$4003,"&gt;="&amp;账期起,出库单!$C$4:$C$4003,"&lt;="&amp;账期止))</f>
        <v/>
      </c>
      <c r="W41" s="26">
        <f>IF($A41="","",ROUND(SUMIFS(出库单!$S$4:$S$4003,出库单!$D$4:$D$4003,$A41,出库单!$K$4:$K$4003,"退货给供应商",出库单!$U$4:$U$4003,"正常",出库单!$C$4:$C$4003,"&gt;="&amp;账期起,出库单!$C$4:$C$4003,"&lt;="&amp;账期止),0))</f>
        <v/>
      </c>
      <c r="X41" s="27">
        <f>IF($A41="","",ROUND(N($G41)+$I41+$L41+$N41-$P41-$R41-$T41-$V41,3))</f>
        <v/>
      </c>
      <c r="Y41" s="26">
        <f>IF($A41="","",ROUND(N($H41)+$J41+$M41+$O41-$Q41-$S41-$U41-$W41,0))</f>
        <v/>
      </c>
      <c r="Z41" s="24">
        <f>IF($A41="","",IF(COUNTIFS(入库单!$G$4:$G$2503,$A41,入库单!$Y$4:$Y$2503,"待补价")+COUNTIFS(入库单!$G$4:$G$2503,$A41,入库单!$Y$4:$Y$2503,"暂估")&gt;0,"不可信","可信"))</f>
        <v/>
      </c>
      <c r="AA41" s="24">
        <f>IF($A41="","",IF($X41&lt;-0.001,"※账面负库存，查一下是不是漏记入库",IF(AND(ROUND($X41,3)=0,ABS($Y41)&gt;1),"※数量已经是 0，金额还挂着 "&amp;TEXT($Y41,"#,##0")&amp;" 先令",IF(AND($X41&gt;0,$Y41&lt;=0,$K41=0),"※有数量没金额（这个物料一直没填过进价）",IF($Z41="不可信","△成本含待补价/暂估，毛利仅供参考","")))))</f>
        <v/>
      </c>
    </row>
    <row r="42">
      <c r="A42" s="24">
        <f>IF(物料档案!$A41="","",物料档案!$A41)</f>
        <v/>
      </c>
      <c r="B42" s="24">
        <f>IF($A42="","",IFERROR(VLOOKUP($A42,物料档案!$A$4:$P$1203,3,0),""))</f>
        <v/>
      </c>
      <c r="C42" s="24">
        <f>IF($A42="","",IFERROR(VLOOKUP($A42,物料档案!$A$4:$P$1203,4,0),""))</f>
        <v/>
      </c>
      <c r="D42" s="24">
        <f>IF($A42="","",IFERROR(VLOOKUP($A42,物料档案!$A$4:$P$1203,5,0),""))</f>
        <v/>
      </c>
      <c r="E42" s="24">
        <f>IF($A42="","",IFERROR(VLOOKUP($A42,物料档案!$A$4:$P$1203,2,0),""))</f>
        <v/>
      </c>
      <c r="F42" s="24">
        <f>IF($A42="","",IFERROR(VLOOKUP($A42,物料档案!$A$4:$P$1203,6,0),""))</f>
        <v/>
      </c>
      <c r="G42" s="23" t="n"/>
      <c r="H42" s="32" t="n"/>
      <c r="I42" s="27">
        <f>IF($A42="","",SUMIFS(入库单!$K$4:$K$2503,入库单!$G$4:$G$2503,$A42,入库单!$X$4:$X$2503,"采购入库",入库单!$Z$4:$Z$2503,"正常",入库单!$C$4:$C$2503,"&gt;="&amp;账期起,入库单!$C$4:$C$2503,"&lt;="&amp;账期止))</f>
        <v/>
      </c>
      <c r="J42" s="26">
        <f>IF($A42="","",SUMIFS(入库单!$V$4:$V$2503,入库单!$G$4:$G$2503,$A42,入库单!$X$4:$X$2503,"采购入库",入库单!$Z$4:$Z$2503,"正常",入库单!$C$4:$C$2503,"&gt;="&amp;账期起,入库单!$C$4:$C$2503,"&lt;="&amp;账期止))</f>
        <v/>
      </c>
      <c r="K42" s="26">
        <f>IF($A42="","",IFERROR(ROUND((N($H42)+N($J42))/(N($G42)+N($I42)),2),0))</f>
        <v/>
      </c>
      <c r="L42" s="27">
        <f>IF($A42="","",SUMIFS(入库单!$K$4:$K$2503,入库单!$G$4:$G$2503,$A42,入库单!$X$4:$X$2503,"盘盈",入库单!$Z$4:$Z$2503,"正常",入库单!$C$4:$C$2503,"&gt;="&amp;账期起,入库单!$C$4:$C$2503,"&lt;="&amp;账期止))</f>
        <v/>
      </c>
      <c r="M42" s="26">
        <f>IF($A42="","",ROUND($L42*$K42,0))</f>
        <v/>
      </c>
      <c r="N42" s="27">
        <f>IF($A42="","",SUMIFS(入库单!$K$4:$K$2503,入库单!$G$4:$G$2503,$A42,入库单!$X$4:$X$2503,"矿区退库",入库单!$Z$4:$Z$2503,"正常",入库单!$C$4:$C$2503,"&gt;="&amp;账期起,入库单!$C$4:$C$2503,"&lt;="&amp;账期止))</f>
        <v/>
      </c>
      <c r="O42" s="26">
        <f>IF($A42="","",ROUND($N42*$K42,0))</f>
        <v/>
      </c>
      <c r="P42" s="27">
        <f>IF($A42="","",SUMIFS(出库单!$J$4:$J$4003,出库单!$D$4:$D$4003,$A42,出库单!$K$4:$K$4003,"自用消耗",出库单!$U$4:$U$4003,"正常",出库单!$C$4:$C$4003,"&gt;="&amp;账期起,出库单!$C$4:$C$4003,"&lt;="&amp;账期止))</f>
        <v/>
      </c>
      <c r="Q42" s="26">
        <f>IF($A42="","",ROUND(SUMIFS(出库单!$S$4:$S$4003,出库单!$D$4:$D$4003,$A42,出库单!$K$4:$K$4003,"自用消耗",出库单!$U$4:$U$4003,"正常",出库单!$C$4:$C$4003,"&gt;="&amp;账期起,出库单!$C$4:$C$4003,"&lt;="&amp;账期止),0))</f>
        <v/>
      </c>
      <c r="R42" s="27">
        <f>IF($A42="","",SUMIFS(出库单!$J$4:$J$4003,出库单!$D$4:$D$4003,$A42,出库单!$K$4:$K$4003,"对外销售",出库单!$U$4:$U$4003,"正常",出库单!$C$4:$C$4003,"&gt;="&amp;账期起,出库单!$C$4:$C$4003,"&lt;="&amp;账期止))</f>
        <v/>
      </c>
      <c r="S42" s="26">
        <f>IF($A42="","",ROUND(SUMIFS(出库单!$S$4:$S$4003,出库单!$D$4:$D$4003,$A42,出库单!$K$4:$K$4003,"对外销售",出库单!$U$4:$U$4003,"正常",出库单!$C$4:$C$4003,"&gt;="&amp;账期起,出库单!$C$4:$C$4003,"&lt;="&amp;账期止),0))</f>
        <v/>
      </c>
      <c r="T42" s="27">
        <f>IF($A42="","",SUMIFS(出库单!$J$4:$J$4003,出库单!$D$4:$D$4003,$A42,出库单!$K$4:$K$4003,"盘亏",出库单!$U$4:$U$4003,"正常",出库单!$C$4:$C$4003,"&gt;="&amp;账期起,出库单!$C$4:$C$4003,"&lt;="&amp;账期止))</f>
        <v/>
      </c>
      <c r="U42" s="26">
        <f>IF($A42="","",ROUND(SUMIFS(出库单!$S$4:$S$4003,出库单!$D$4:$D$4003,$A42,出库单!$K$4:$K$4003,"盘亏",出库单!$U$4:$U$4003,"正常",出库单!$C$4:$C$4003,"&gt;="&amp;账期起,出库单!$C$4:$C$4003,"&lt;="&amp;账期止),0))</f>
        <v/>
      </c>
      <c r="V42" s="27">
        <f>IF($A42="","",SUMIFS(出库单!$J$4:$J$4003,出库单!$D$4:$D$4003,$A42,出库单!$K$4:$K$4003,"退货给供应商",出库单!$U$4:$U$4003,"正常",出库单!$C$4:$C$4003,"&gt;="&amp;账期起,出库单!$C$4:$C$4003,"&lt;="&amp;账期止))</f>
        <v/>
      </c>
      <c r="W42" s="26">
        <f>IF($A42="","",ROUND(SUMIFS(出库单!$S$4:$S$4003,出库单!$D$4:$D$4003,$A42,出库单!$K$4:$K$4003,"退货给供应商",出库单!$U$4:$U$4003,"正常",出库单!$C$4:$C$4003,"&gt;="&amp;账期起,出库单!$C$4:$C$4003,"&lt;="&amp;账期止),0))</f>
        <v/>
      </c>
      <c r="X42" s="27">
        <f>IF($A42="","",ROUND(N($G42)+$I42+$L42+$N42-$P42-$R42-$T42-$V42,3))</f>
        <v/>
      </c>
      <c r="Y42" s="26">
        <f>IF($A42="","",ROUND(N($H42)+$J42+$M42+$O42-$Q42-$S42-$U42-$W42,0))</f>
        <v/>
      </c>
      <c r="Z42" s="24">
        <f>IF($A42="","",IF(COUNTIFS(入库单!$G$4:$G$2503,$A42,入库单!$Y$4:$Y$2503,"待补价")+COUNTIFS(入库单!$G$4:$G$2503,$A42,入库单!$Y$4:$Y$2503,"暂估")&gt;0,"不可信","可信"))</f>
        <v/>
      </c>
      <c r="AA42" s="24">
        <f>IF($A42="","",IF($X42&lt;-0.001,"※账面负库存，查一下是不是漏记入库",IF(AND(ROUND($X42,3)=0,ABS($Y42)&gt;1),"※数量已经是 0，金额还挂着 "&amp;TEXT($Y42,"#,##0")&amp;" 先令",IF(AND($X42&gt;0,$Y42&lt;=0,$K42=0),"※有数量没金额（这个物料一直没填过进价）",IF($Z42="不可信","△成本含待补价/暂估，毛利仅供参考","")))))</f>
        <v/>
      </c>
    </row>
    <row r="43">
      <c r="A43" s="24">
        <f>IF(物料档案!$A42="","",物料档案!$A42)</f>
        <v/>
      </c>
      <c r="B43" s="24">
        <f>IF($A43="","",IFERROR(VLOOKUP($A43,物料档案!$A$4:$P$1203,3,0),""))</f>
        <v/>
      </c>
      <c r="C43" s="24">
        <f>IF($A43="","",IFERROR(VLOOKUP($A43,物料档案!$A$4:$P$1203,4,0),""))</f>
        <v/>
      </c>
      <c r="D43" s="24">
        <f>IF($A43="","",IFERROR(VLOOKUP($A43,物料档案!$A$4:$P$1203,5,0),""))</f>
        <v/>
      </c>
      <c r="E43" s="24">
        <f>IF($A43="","",IFERROR(VLOOKUP($A43,物料档案!$A$4:$P$1203,2,0),""))</f>
        <v/>
      </c>
      <c r="F43" s="24">
        <f>IF($A43="","",IFERROR(VLOOKUP($A43,物料档案!$A$4:$P$1203,6,0),""))</f>
        <v/>
      </c>
      <c r="G43" s="23" t="n"/>
      <c r="H43" s="32" t="n"/>
      <c r="I43" s="27">
        <f>IF($A43="","",SUMIFS(入库单!$K$4:$K$2503,入库单!$G$4:$G$2503,$A43,入库单!$X$4:$X$2503,"采购入库",入库单!$Z$4:$Z$2503,"正常",入库单!$C$4:$C$2503,"&gt;="&amp;账期起,入库单!$C$4:$C$2503,"&lt;="&amp;账期止))</f>
        <v/>
      </c>
      <c r="J43" s="26">
        <f>IF($A43="","",SUMIFS(入库单!$V$4:$V$2503,入库单!$G$4:$G$2503,$A43,入库单!$X$4:$X$2503,"采购入库",入库单!$Z$4:$Z$2503,"正常",入库单!$C$4:$C$2503,"&gt;="&amp;账期起,入库单!$C$4:$C$2503,"&lt;="&amp;账期止))</f>
        <v/>
      </c>
      <c r="K43" s="26">
        <f>IF($A43="","",IFERROR(ROUND((N($H43)+N($J43))/(N($G43)+N($I43)),2),0))</f>
        <v/>
      </c>
      <c r="L43" s="27">
        <f>IF($A43="","",SUMIFS(入库单!$K$4:$K$2503,入库单!$G$4:$G$2503,$A43,入库单!$X$4:$X$2503,"盘盈",入库单!$Z$4:$Z$2503,"正常",入库单!$C$4:$C$2503,"&gt;="&amp;账期起,入库单!$C$4:$C$2503,"&lt;="&amp;账期止))</f>
        <v/>
      </c>
      <c r="M43" s="26">
        <f>IF($A43="","",ROUND($L43*$K43,0))</f>
        <v/>
      </c>
      <c r="N43" s="27">
        <f>IF($A43="","",SUMIFS(入库单!$K$4:$K$2503,入库单!$G$4:$G$2503,$A43,入库单!$X$4:$X$2503,"矿区退库",入库单!$Z$4:$Z$2503,"正常",入库单!$C$4:$C$2503,"&gt;="&amp;账期起,入库单!$C$4:$C$2503,"&lt;="&amp;账期止))</f>
        <v/>
      </c>
      <c r="O43" s="26">
        <f>IF($A43="","",ROUND($N43*$K43,0))</f>
        <v/>
      </c>
      <c r="P43" s="27">
        <f>IF($A43="","",SUMIFS(出库单!$J$4:$J$4003,出库单!$D$4:$D$4003,$A43,出库单!$K$4:$K$4003,"自用消耗",出库单!$U$4:$U$4003,"正常",出库单!$C$4:$C$4003,"&gt;="&amp;账期起,出库单!$C$4:$C$4003,"&lt;="&amp;账期止))</f>
        <v/>
      </c>
      <c r="Q43" s="26">
        <f>IF($A43="","",ROUND(SUMIFS(出库单!$S$4:$S$4003,出库单!$D$4:$D$4003,$A43,出库单!$K$4:$K$4003,"自用消耗",出库单!$U$4:$U$4003,"正常",出库单!$C$4:$C$4003,"&gt;="&amp;账期起,出库单!$C$4:$C$4003,"&lt;="&amp;账期止),0))</f>
        <v/>
      </c>
      <c r="R43" s="27">
        <f>IF($A43="","",SUMIFS(出库单!$J$4:$J$4003,出库单!$D$4:$D$4003,$A43,出库单!$K$4:$K$4003,"对外销售",出库单!$U$4:$U$4003,"正常",出库单!$C$4:$C$4003,"&gt;="&amp;账期起,出库单!$C$4:$C$4003,"&lt;="&amp;账期止))</f>
        <v/>
      </c>
      <c r="S43" s="26">
        <f>IF($A43="","",ROUND(SUMIFS(出库单!$S$4:$S$4003,出库单!$D$4:$D$4003,$A43,出库单!$K$4:$K$4003,"对外销售",出库单!$U$4:$U$4003,"正常",出库单!$C$4:$C$4003,"&gt;="&amp;账期起,出库单!$C$4:$C$4003,"&lt;="&amp;账期止),0))</f>
        <v/>
      </c>
      <c r="T43" s="27">
        <f>IF($A43="","",SUMIFS(出库单!$J$4:$J$4003,出库单!$D$4:$D$4003,$A43,出库单!$K$4:$K$4003,"盘亏",出库单!$U$4:$U$4003,"正常",出库单!$C$4:$C$4003,"&gt;="&amp;账期起,出库单!$C$4:$C$4003,"&lt;="&amp;账期止))</f>
        <v/>
      </c>
      <c r="U43" s="26">
        <f>IF($A43="","",ROUND(SUMIFS(出库单!$S$4:$S$4003,出库单!$D$4:$D$4003,$A43,出库单!$K$4:$K$4003,"盘亏",出库单!$U$4:$U$4003,"正常",出库单!$C$4:$C$4003,"&gt;="&amp;账期起,出库单!$C$4:$C$4003,"&lt;="&amp;账期止),0))</f>
        <v/>
      </c>
      <c r="V43" s="27">
        <f>IF($A43="","",SUMIFS(出库单!$J$4:$J$4003,出库单!$D$4:$D$4003,$A43,出库单!$K$4:$K$4003,"退货给供应商",出库单!$U$4:$U$4003,"正常",出库单!$C$4:$C$4003,"&gt;="&amp;账期起,出库单!$C$4:$C$4003,"&lt;="&amp;账期止))</f>
        <v/>
      </c>
      <c r="W43" s="26">
        <f>IF($A43="","",ROUND(SUMIFS(出库单!$S$4:$S$4003,出库单!$D$4:$D$4003,$A43,出库单!$K$4:$K$4003,"退货给供应商",出库单!$U$4:$U$4003,"正常",出库单!$C$4:$C$4003,"&gt;="&amp;账期起,出库单!$C$4:$C$4003,"&lt;="&amp;账期止),0))</f>
        <v/>
      </c>
      <c r="X43" s="27">
        <f>IF($A43="","",ROUND(N($G43)+$I43+$L43+$N43-$P43-$R43-$T43-$V43,3))</f>
        <v/>
      </c>
      <c r="Y43" s="26">
        <f>IF($A43="","",ROUND(N($H43)+$J43+$M43+$O43-$Q43-$S43-$U43-$W43,0))</f>
        <v/>
      </c>
      <c r="Z43" s="24">
        <f>IF($A43="","",IF(COUNTIFS(入库单!$G$4:$G$2503,$A43,入库单!$Y$4:$Y$2503,"待补价")+COUNTIFS(入库单!$G$4:$G$2503,$A43,入库单!$Y$4:$Y$2503,"暂估")&gt;0,"不可信","可信"))</f>
        <v/>
      </c>
      <c r="AA43" s="24">
        <f>IF($A43="","",IF($X43&lt;-0.001,"※账面负库存，查一下是不是漏记入库",IF(AND(ROUND($X43,3)=0,ABS($Y43)&gt;1),"※数量已经是 0，金额还挂着 "&amp;TEXT($Y43,"#,##0")&amp;" 先令",IF(AND($X43&gt;0,$Y43&lt;=0,$K43=0),"※有数量没金额（这个物料一直没填过进价）",IF($Z43="不可信","△成本含待补价/暂估，毛利仅供参考","")))))</f>
        <v/>
      </c>
    </row>
    <row r="44">
      <c r="A44" s="24">
        <f>IF(物料档案!$A43="","",物料档案!$A43)</f>
        <v/>
      </c>
      <c r="B44" s="24">
        <f>IF($A44="","",IFERROR(VLOOKUP($A44,物料档案!$A$4:$P$1203,3,0),""))</f>
        <v/>
      </c>
      <c r="C44" s="24">
        <f>IF($A44="","",IFERROR(VLOOKUP($A44,物料档案!$A$4:$P$1203,4,0),""))</f>
        <v/>
      </c>
      <c r="D44" s="24">
        <f>IF($A44="","",IFERROR(VLOOKUP($A44,物料档案!$A$4:$P$1203,5,0),""))</f>
        <v/>
      </c>
      <c r="E44" s="24">
        <f>IF($A44="","",IFERROR(VLOOKUP($A44,物料档案!$A$4:$P$1203,2,0),""))</f>
        <v/>
      </c>
      <c r="F44" s="24">
        <f>IF($A44="","",IFERROR(VLOOKUP($A44,物料档案!$A$4:$P$1203,6,0),""))</f>
        <v/>
      </c>
      <c r="G44" s="23" t="n"/>
      <c r="H44" s="32" t="n"/>
      <c r="I44" s="27">
        <f>IF($A44="","",SUMIFS(入库单!$K$4:$K$2503,入库单!$G$4:$G$2503,$A44,入库单!$X$4:$X$2503,"采购入库",入库单!$Z$4:$Z$2503,"正常",入库单!$C$4:$C$2503,"&gt;="&amp;账期起,入库单!$C$4:$C$2503,"&lt;="&amp;账期止))</f>
        <v/>
      </c>
      <c r="J44" s="26">
        <f>IF($A44="","",SUMIFS(入库单!$V$4:$V$2503,入库单!$G$4:$G$2503,$A44,入库单!$X$4:$X$2503,"采购入库",入库单!$Z$4:$Z$2503,"正常",入库单!$C$4:$C$2503,"&gt;="&amp;账期起,入库单!$C$4:$C$2503,"&lt;="&amp;账期止))</f>
        <v/>
      </c>
      <c r="K44" s="26">
        <f>IF($A44="","",IFERROR(ROUND((N($H44)+N($J44))/(N($G44)+N($I44)),2),0))</f>
        <v/>
      </c>
      <c r="L44" s="27">
        <f>IF($A44="","",SUMIFS(入库单!$K$4:$K$2503,入库单!$G$4:$G$2503,$A44,入库单!$X$4:$X$2503,"盘盈",入库单!$Z$4:$Z$2503,"正常",入库单!$C$4:$C$2503,"&gt;="&amp;账期起,入库单!$C$4:$C$2503,"&lt;="&amp;账期止))</f>
        <v/>
      </c>
      <c r="M44" s="26">
        <f>IF($A44="","",ROUND($L44*$K44,0))</f>
        <v/>
      </c>
      <c r="N44" s="27">
        <f>IF($A44="","",SUMIFS(入库单!$K$4:$K$2503,入库单!$G$4:$G$2503,$A44,入库单!$X$4:$X$2503,"矿区退库",入库单!$Z$4:$Z$2503,"正常",入库单!$C$4:$C$2503,"&gt;="&amp;账期起,入库单!$C$4:$C$2503,"&lt;="&amp;账期止))</f>
        <v/>
      </c>
      <c r="O44" s="26">
        <f>IF($A44="","",ROUND($N44*$K44,0))</f>
        <v/>
      </c>
      <c r="P44" s="27">
        <f>IF($A44="","",SUMIFS(出库单!$J$4:$J$4003,出库单!$D$4:$D$4003,$A44,出库单!$K$4:$K$4003,"自用消耗",出库单!$U$4:$U$4003,"正常",出库单!$C$4:$C$4003,"&gt;="&amp;账期起,出库单!$C$4:$C$4003,"&lt;="&amp;账期止))</f>
        <v/>
      </c>
      <c r="Q44" s="26">
        <f>IF($A44="","",ROUND(SUMIFS(出库单!$S$4:$S$4003,出库单!$D$4:$D$4003,$A44,出库单!$K$4:$K$4003,"自用消耗",出库单!$U$4:$U$4003,"正常",出库单!$C$4:$C$4003,"&gt;="&amp;账期起,出库单!$C$4:$C$4003,"&lt;="&amp;账期止),0))</f>
        <v/>
      </c>
      <c r="R44" s="27">
        <f>IF($A44="","",SUMIFS(出库单!$J$4:$J$4003,出库单!$D$4:$D$4003,$A44,出库单!$K$4:$K$4003,"对外销售",出库单!$U$4:$U$4003,"正常",出库单!$C$4:$C$4003,"&gt;="&amp;账期起,出库单!$C$4:$C$4003,"&lt;="&amp;账期止))</f>
        <v/>
      </c>
      <c r="S44" s="26">
        <f>IF($A44="","",ROUND(SUMIFS(出库单!$S$4:$S$4003,出库单!$D$4:$D$4003,$A44,出库单!$K$4:$K$4003,"对外销售",出库单!$U$4:$U$4003,"正常",出库单!$C$4:$C$4003,"&gt;="&amp;账期起,出库单!$C$4:$C$4003,"&lt;="&amp;账期止),0))</f>
        <v/>
      </c>
      <c r="T44" s="27">
        <f>IF($A44="","",SUMIFS(出库单!$J$4:$J$4003,出库单!$D$4:$D$4003,$A44,出库单!$K$4:$K$4003,"盘亏",出库单!$U$4:$U$4003,"正常",出库单!$C$4:$C$4003,"&gt;="&amp;账期起,出库单!$C$4:$C$4003,"&lt;="&amp;账期止))</f>
        <v/>
      </c>
      <c r="U44" s="26">
        <f>IF($A44="","",ROUND(SUMIFS(出库单!$S$4:$S$4003,出库单!$D$4:$D$4003,$A44,出库单!$K$4:$K$4003,"盘亏",出库单!$U$4:$U$4003,"正常",出库单!$C$4:$C$4003,"&gt;="&amp;账期起,出库单!$C$4:$C$4003,"&lt;="&amp;账期止),0))</f>
        <v/>
      </c>
      <c r="V44" s="27">
        <f>IF($A44="","",SUMIFS(出库单!$J$4:$J$4003,出库单!$D$4:$D$4003,$A44,出库单!$K$4:$K$4003,"退货给供应商",出库单!$U$4:$U$4003,"正常",出库单!$C$4:$C$4003,"&gt;="&amp;账期起,出库单!$C$4:$C$4003,"&lt;="&amp;账期止))</f>
        <v/>
      </c>
      <c r="W44" s="26">
        <f>IF($A44="","",ROUND(SUMIFS(出库单!$S$4:$S$4003,出库单!$D$4:$D$4003,$A44,出库单!$K$4:$K$4003,"退货给供应商",出库单!$U$4:$U$4003,"正常",出库单!$C$4:$C$4003,"&gt;="&amp;账期起,出库单!$C$4:$C$4003,"&lt;="&amp;账期止),0))</f>
        <v/>
      </c>
      <c r="X44" s="27">
        <f>IF($A44="","",ROUND(N($G44)+$I44+$L44+$N44-$P44-$R44-$T44-$V44,3))</f>
        <v/>
      </c>
      <c r="Y44" s="26">
        <f>IF($A44="","",ROUND(N($H44)+$J44+$M44+$O44-$Q44-$S44-$U44-$W44,0))</f>
        <v/>
      </c>
      <c r="Z44" s="24">
        <f>IF($A44="","",IF(COUNTIFS(入库单!$G$4:$G$2503,$A44,入库单!$Y$4:$Y$2503,"待补价")+COUNTIFS(入库单!$G$4:$G$2503,$A44,入库单!$Y$4:$Y$2503,"暂估")&gt;0,"不可信","可信"))</f>
        <v/>
      </c>
      <c r="AA44" s="24">
        <f>IF($A44="","",IF($X44&lt;-0.001,"※账面负库存，查一下是不是漏记入库",IF(AND(ROUND($X44,3)=0,ABS($Y44)&gt;1),"※数量已经是 0，金额还挂着 "&amp;TEXT($Y44,"#,##0")&amp;" 先令",IF(AND($X44&gt;0,$Y44&lt;=0,$K44=0),"※有数量没金额（这个物料一直没填过进价）",IF($Z44="不可信","△成本含待补价/暂估，毛利仅供参考","")))))</f>
        <v/>
      </c>
    </row>
    <row r="45">
      <c r="A45" s="24">
        <f>IF(物料档案!$A44="","",物料档案!$A44)</f>
        <v/>
      </c>
      <c r="B45" s="24">
        <f>IF($A45="","",IFERROR(VLOOKUP($A45,物料档案!$A$4:$P$1203,3,0),""))</f>
        <v/>
      </c>
      <c r="C45" s="24">
        <f>IF($A45="","",IFERROR(VLOOKUP($A45,物料档案!$A$4:$P$1203,4,0),""))</f>
        <v/>
      </c>
      <c r="D45" s="24">
        <f>IF($A45="","",IFERROR(VLOOKUP($A45,物料档案!$A$4:$P$1203,5,0),""))</f>
        <v/>
      </c>
      <c r="E45" s="24">
        <f>IF($A45="","",IFERROR(VLOOKUP($A45,物料档案!$A$4:$P$1203,2,0),""))</f>
        <v/>
      </c>
      <c r="F45" s="24">
        <f>IF($A45="","",IFERROR(VLOOKUP($A45,物料档案!$A$4:$P$1203,6,0),""))</f>
        <v/>
      </c>
      <c r="G45" s="23" t="n"/>
      <c r="H45" s="32" t="n"/>
      <c r="I45" s="27">
        <f>IF($A45="","",SUMIFS(入库单!$K$4:$K$2503,入库单!$G$4:$G$2503,$A45,入库单!$X$4:$X$2503,"采购入库",入库单!$Z$4:$Z$2503,"正常",入库单!$C$4:$C$2503,"&gt;="&amp;账期起,入库单!$C$4:$C$2503,"&lt;="&amp;账期止))</f>
        <v/>
      </c>
      <c r="J45" s="26">
        <f>IF($A45="","",SUMIFS(入库单!$V$4:$V$2503,入库单!$G$4:$G$2503,$A45,入库单!$X$4:$X$2503,"采购入库",入库单!$Z$4:$Z$2503,"正常",入库单!$C$4:$C$2503,"&gt;="&amp;账期起,入库单!$C$4:$C$2503,"&lt;="&amp;账期止))</f>
        <v/>
      </c>
      <c r="K45" s="26">
        <f>IF($A45="","",IFERROR(ROUND((N($H45)+N($J45))/(N($G45)+N($I45)),2),0))</f>
        <v/>
      </c>
      <c r="L45" s="27">
        <f>IF($A45="","",SUMIFS(入库单!$K$4:$K$2503,入库单!$G$4:$G$2503,$A45,入库单!$X$4:$X$2503,"盘盈",入库单!$Z$4:$Z$2503,"正常",入库单!$C$4:$C$2503,"&gt;="&amp;账期起,入库单!$C$4:$C$2503,"&lt;="&amp;账期止))</f>
        <v/>
      </c>
      <c r="M45" s="26">
        <f>IF($A45="","",ROUND($L45*$K45,0))</f>
        <v/>
      </c>
      <c r="N45" s="27">
        <f>IF($A45="","",SUMIFS(入库单!$K$4:$K$2503,入库单!$G$4:$G$2503,$A45,入库单!$X$4:$X$2503,"矿区退库",入库单!$Z$4:$Z$2503,"正常",入库单!$C$4:$C$2503,"&gt;="&amp;账期起,入库单!$C$4:$C$2503,"&lt;="&amp;账期止))</f>
        <v/>
      </c>
      <c r="O45" s="26">
        <f>IF($A45="","",ROUND($N45*$K45,0))</f>
        <v/>
      </c>
      <c r="P45" s="27">
        <f>IF($A45="","",SUMIFS(出库单!$J$4:$J$4003,出库单!$D$4:$D$4003,$A45,出库单!$K$4:$K$4003,"自用消耗",出库单!$U$4:$U$4003,"正常",出库单!$C$4:$C$4003,"&gt;="&amp;账期起,出库单!$C$4:$C$4003,"&lt;="&amp;账期止))</f>
        <v/>
      </c>
      <c r="Q45" s="26">
        <f>IF($A45="","",ROUND(SUMIFS(出库单!$S$4:$S$4003,出库单!$D$4:$D$4003,$A45,出库单!$K$4:$K$4003,"自用消耗",出库单!$U$4:$U$4003,"正常",出库单!$C$4:$C$4003,"&gt;="&amp;账期起,出库单!$C$4:$C$4003,"&lt;="&amp;账期止),0))</f>
        <v/>
      </c>
      <c r="R45" s="27">
        <f>IF($A45="","",SUMIFS(出库单!$J$4:$J$4003,出库单!$D$4:$D$4003,$A45,出库单!$K$4:$K$4003,"对外销售",出库单!$U$4:$U$4003,"正常",出库单!$C$4:$C$4003,"&gt;="&amp;账期起,出库单!$C$4:$C$4003,"&lt;="&amp;账期止))</f>
        <v/>
      </c>
      <c r="S45" s="26">
        <f>IF($A45="","",ROUND(SUMIFS(出库单!$S$4:$S$4003,出库单!$D$4:$D$4003,$A45,出库单!$K$4:$K$4003,"对外销售",出库单!$U$4:$U$4003,"正常",出库单!$C$4:$C$4003,"&gt;="&amp;账期起,出库单!$C$4:$C$4003,"&lt;="&amp;账期止),0))</f>
        <v/>
      </c>
      <c r="T45" s="27">
        <f>IF($A45="","",SUMIFS(出库单!$J$4:$J$4003,出库单!$D$4:$D$4003,$A45,出库单!$K$4:$K$4003,"盘亏",出库单!$U$4:$U$4003,"正常",出库单!$C$4:$C$4003,"&gt;="&amp;账期起,出库单!$C$4:$C$4003,"&lt;="&amp;账期止))</f>
        <v/>
      </c>
      <c r="U45" s="26">
        <f>IF($A45="","",ROUND(SUMIFS(出库单!$S$4:$S$4003,出库单!$D$4:$D$4003,$A45,出库单!$K$4:$K$4003,"盘亏",出库单!$U$4:$U$4003,"正常",出库单!$C$4:$C$4003,"&gt;="&amp;账期起,出库单!$C$4:$C$4003,"&lt;="&amp;账期止),0))</f>
        <v/>
      </c>
      <c r="V45" s="27">
        <f>IF($A45="","",SUMIFS(出库单!$J$4:$J$4003,出库单!$D$4:$D$4003,$A45,出库单!$K$4:$K$4003,"退货给供应商",出库单!$U$4:$U$4003,"正常",出库单!$C$4:$C$4003,"&gt;="&amp;账期起,出库单!$C$4:$C$4003,"&lt;="&amp;账期止))</f>
        <v/>
      </c>
      <c r="W45" s="26">
        <f>IF($A45="","",ROUND(SUMIFS(出库单!$S$4:$S$4003,出库单!$D$4:$D$4003,$A45,出库单!$K$4:$K$4003,"退货给供应商",出库单!$U$4:$U$4003,"正常",出库单!$C$4:$C$4003,"&gt;="&amp;账期起,出库单!$C$4:$C$4003,"&lt;="&amp;账期止),0))</f>
        <v/>
      </c>
      <c r="X45" s="27">
        <f>IF($A45="","",ROUND(N($G45)+$I45+$L45+$N45-$P45-$R45-$T45-$V45,3))</f>
        <v/>
      </c>
      <c r="Y45" s="26">
        <f>IF($A45="","",ROUND(N($H45)+$J45+$M45+$O45-$Q45-$S45-$U45-$W45,0))</f>
        <v/>
      </c>
      <c r="Z45" s="24">
        <f>IF($A45="","",IF(COUNTIFS(入库单!$G$4:$G$2503,$A45,入库单!$Y$4:$Y$2503,"待补价")+COUNTIFS(入库单!$G$4:$G$2503,$A45,入库单!$Y$4:$Y$2503,"暂估")&gt;0,"不可信","可信"))</f>
        <v/>
      </c>
      <c r="AA45" s="24">
        <f>IF($A45="","",IF($X45&lt;-0.001,"※账面负库存，查一下是不是漏记入库",IF(AND(ROUND($X45,3)=0,ABS($Y45)&gt;1),"※数量已经是 0，金额还挂着 "&amp;TEXT($Y45,"#,##0")&amp;" 先令",IF(AND($X45&gt;0,$Y45&lt;=0,$K45=0),"※有数量没金额（这个物料一直没填过进价）",IF($Z45="不可信","△成本含待补价/暂估，毛利仅供参考","")))))</f>
        <v/>
      </c>
    </row>
    <row r="46">
      <c r="A46" s="24">
        <f>IF(物料档案!$A45="","",物料档案!$A45)</f>
        <v/>
      </c>
      <c r="B46" s="24">
        <f>IF($A46="","",IFERROR(VLOOKUP($A46,物料档案!$A$4:$P$1203,3,0),""))</f>
        <v/>
      </c>
      <c r="C46" s="24">
        <f>IF($A46="","",IFERROR(VLOOKUP($A46,物料档案!$A$4:$P$1203,4,0),""))</f>
        <v/>
      </c>
      <c r="D46" s="24">
        <f>IF($A46="","",IFERROR(VLOOKUP($A46,物料档案!$A$4:$P$1203,5,0),""))</f>
        <v/>
      </c>
      <c r="E46" s="24">
        <f>IF($A46="","",IFERROR(VLOOKUP($A46,物料档案!$A$4:$P$1203,2,0),""))</f>
        <v/>
      </c>
      <c r="F46" s="24">
        <f>IF($A46="","",IFERROR(VLOOKUP($A46,物料档案!$A$4:$P$1203,6,0),""))</f>
        <v/>
      </c>
      <c r="G46" s="23" t="n"/>
      <c r="H46" s="32" t="n"/>
      <c r="I46" s="27">
        <f>IF($A46="","",SUMIFS(入库单!$K$4:$K$2503,入库单!$G$4:$G$2503,$A46,入库单!$X$4:$X$2503,"采购入库",入库单!$Z$4:$Z$2503,"正常",入库单!$C$4:$C$2503,"&gt;="&amp;账期起,入库单!$C$4:$C$2503,"&lt;="&amp;账期止))</f>
        <v/>
      </c>
      <c r="J46" s="26">
        <f>IF($A46="","",SUMIFS(入库单!$V$4:$V$2503,入库单!$G$4:$G$2503,$A46,入库单!$X$4:$X$2503,"采购入库",入库单!$Z$4:$Z$2503,"正常",入库单!$C$4:$C$2503,"&gt;="&amp;账期起,入库单!$C$4:$C$2503,"&lt;="&amp;账期止))</f>
        <v/>
      </c>
      <c r="K46" s="26">
        <f>IF($A46="","",IFERROR(ROUND((N($H46)+N($J46))/(N($G46)+N($I46)),2),0))</f>
        <v/>
      </c>
      <c r="L46" s="27">
        <f>IF($A46="","",SUMIFS(入库单!$K$4:$K$2503,入库单!$G$4:$G$2503,$A46,入库单!$X$4:$X$2503,"盘盈",入库单!$Z$4:$Z$2503,"正常",入库单!$C$4:$C$2503,"&gt;="&amp;账期起,入库单!$C$4:$C$2503,"&lt;="&amp;账期止))</f>
        <v/>
      </c>
      <c r="M46" s="26">
        <f>IF($A46="","",ROUND($L46*$K46,0))</f>
        <v/>
      </c>
      <c r="N46" s="27">
        <f>IF($A46="","",SUMIFS(入库单!$K$4:$K$2503,入库单!$G$4:$G$2503,$A46,入库单!$X$4:$X$2503,"矿区退库",入库单!$Z$4:$Z$2503,"正常",入库单!$C$4:$C$2503,"&gt;="&amp;账期起,入库单!$C$4:$C$2503,"&lt;="&amp;账期止))</f>
        <v/>
      </c>
      <c r="O46" s="26">
        <f>IF($A46="","",ROUND($N46*$K46,0))</f>
        <v/>
      </c>
      <c r="P46" s="27">
        <f>IF($A46="","",SUMIFS(出库单!$J$4:$J$4003,出库单!$D$4:$D$4003,$A46,出库单!$K$4:$K$4003,"自用消耗",出库单!$U$4:$U$4003,"正常",出库单!$C$4:$C$4003,"&gt;="&amp;账期起,出库单!$C$4:$C$4003,"&lt;="&amp;账期止))</f>
        <v/>
      </c>
      <c r="Q46" s="26">
        <f>IF($A46="","",ROUND(SUMIFS(出库单!$S$4:$S$4003,出库单!$D$4:$D$4003,$A46,出库单!$K$4:$K$4003,"自用消耗",出库单!$U$4:$U$4003,"正常",出库单!$C$4:$C$4003,"&gt;="&amp;账期起,出库单!$C$4:$C$4003,"&lt;="&amp;账期止),0))</f>
        <v/>
      </c>
      <c r="R46" s="27">
        <f>IF($A46="","",SUMIFS(出库单!$J$4:$J$4003,出库单!$D$4:$D$4003,$A46,出库单!$K$4:$K$4003,"对外销售",出库单!$U$4:$U$4003,"正常",出库单!$C$4:$C$4003,"&gt;="&amp;账期起,出库单!$C$4:$C$4003,"&lt;="&amp;账期止))</f>
        <v/>
      </c>
      <c r="S46" s="26">
        <f>IF($A46="","",ROUND(SUMIFS(出库单!$S$4:$S$4003,出库单!$D$4:$D$4003,$A46,出库单!$K$4:$K$4003,"对外销售",出库单!$U$4:$U$4003,"正常",出库单!$C$4:$C$4003,"&gt;="&amp;账期起,出库单!$C$4:$C$4003,"&lt;="&amp;账期止),0))</f>
        <v/>
      </c>
      <c r="T46" s="27">
        <f>IF($A46="","",SUMIFS(出库单!$J$4:$J$4003,出库单!$D$4:$D$4003,$A46,出库单!$K$4:$K$4003,"盘亏",出库单!$U$4:$U$4003,"正常",出库单!$C$4:$C$4003,"&gt;="&amp;账期起,出库单!$C$4:$C$4003,"&lt;="&amp;账期止))</f>
        <v/>
      </c>
      <c r="U46" s="26">
        <f>IF($A46="","",ROUND(SUMIFS(出库单!$S$4:$S$4003,出库单!$D$4:$D$4003,$A46,出库单!$K$4:$K$4003,"盘亏",出库单!$U$4:$U$4003,"正常",出库单!$C$4:$C$4003,"&gt;="&amp;账期起,出库单!$C$4:$C$4003,"&lt;="&amp;账期止),0))</f>
        <v/>
      </c>
      <c r="V46" s="27">
        <f>IF($A46="","",SUMIFS(出库单!$J$4:$J$4003,出库单!$D$4:$D$4003,$A46,出库单!$K$4:$K$4003,"退货给供应商",出库单!$U$4:$U$4003,"正常",出库单!$C$4:$C$4003,"&gt;="&amp;账期起,出库单!$C$4:$C$4003,"&lt;="&amp;账期止))</f>
        <v/>
      </c>
      <c r="W46" s="26">
        <f>IF($A46="","",ROUND(SUMIFS(出库单!$S$4:$S$4003,出库单!$D$4:$D$4003,$A46,出库单!$K$4:$K$4003,"退货给供应商",出库单!$U$4:$U$4003,"正常",出库单!$C$4:$C$4003,"&gt;="&amp;账期起,出库单!$C$4:$C$4003,"&lt;="&amp;账期止),0))</f>
        <v/>
      </c>
      <c r="X46" s="27">
        <f>IF($A46="","",ROUND(N($G46)+$I46+$L46+$N46-$P46-$R46-$T46-$V46,3))</f>
        <v/>
      </c>
      <c r="Y46" s="26">
        <f>IF($A46="","",ROUND(N($H46)+$J46+$M46+$O46-$Q46-$S46-$U46-$W46,0))</f>
        <v/>
      </c>
      <c r="Z46" s="24">
        <f>IF($A46="","",IF(COUNTIFS(入库单!$G$4:$G$2503,$A46,入库单!$Y$4:$Y$2503,"待补价")+COUNTIFS(入库单!$G$4:$G$2503,$A46,入库单!$Y$4:$Y$2503,"暂估")&gt;0,"不可信","可信"))</f>
        <v/>
      </c>
      <c r="AA46" s="24">
        <f>IF($A46="","",IF($X46&lt;-0.001,"※账面负库存，查一下是不是漏记入库",IF(AND(ROUND($X46,3)=0,ABS($Y46)&gt;1),"※数量已经是 0，金额还挂着 "&amp;TEXT($Y46,"#,##0")&amp;" 先令",IF(AND($X46&gt;0,$Y46&lt;=0,$K46=0),"※有数量没金额（这个物料一直没填过进价）",IF($Z46="不可信","△成本含待补价/暂估，毛利仅供参考","")))))</f>
        <v/>
      </c>
    </row>
    <row r="47">
      <c r="A47" s="24">
        <f>IF(物料档案!$A46="","",物料档案!$A46)</f>
        <v/>
      </c>
      <c r="B47" s="24">
        <f>IF($A47="","",IFERROR(VLOOKUP($A47,物料档案!$A$4:$P$1203,3,0),""))</f>
        <v/>
      </c>
      <c r="C47" s="24">
        <f>IF($A47="","",IFERROR(VLOOKUP($A47,物料档案!$A$4:$P$1203,4,0),""))</f>
        <v/>
      </c>
      <c r="D47" s="24">
        <f>IF($A47="","",IFERROR(VLOOKUP($A47,物料档案!$A$4:$P$1203,5,0),""))</f>
        <v/>
      </c>
      <c r="E47" s="24">
        <f>IF($A47="","",IFERROR(VLOOKUP($A47,物料档案!$A$4:$P$1203,2,0),""))</f>
        <v/>
      </c>
      <c r="F47" s="24">
        <f>IF($A47="","",IFERROR(VLOOKUP($A47,物料档案!$A$4:$P$1203,6,0),""))</f>
        <v/>
      </c>
      <c r="G47" s="23" t="n"/>
      <c r="H47" s="32" t="n"/>
      <c r="I47" s="27">
        <f>IF($A47="","",SUMIFS(入库单!$K$4:$K$2503,入库单!$G$4:$G$2503,$A47,入库单!$X$4:$X$2503,"采购入库",入库单!$Z$4:$Z$2503,"正常",入库单!$C$4:$C$2503,"&gt;="&amp;账期起,入库单!$C$4:$C$2503,"&lt;="&amp;账期止))</f>
        <v/>
      </c>
      <c r="J47" s="26">
        <f>IF($A47="","",SUMIFS(入库单!$V$4:$V$2503,入库单!$G$4:$G$2503,$A47,入库单!$X$4:$X$2503,"采购入库",入库单!$Z$4:$Z$2503,"正常",入库单!$C$4:$C$2503,"&gt;="&amp;账期起,入库单!$C$4:$C$2503,"&lt;="&amp;账期止))</f>
        <v/>
      </c>
      <c r="K47" s="26">
        <f>IF($A47="","",IFERROR(ROUND((N($H47)+N($J47))/(N($G47)+N($I47)),2),0))</f>
        <v/>
      </c>
      <c r="L47" s="27">
        <f>IF($A47="","",SUMIFS(入库单!$K$4:$K$2503,入库单!$G$4:$G$2503,$A47,入库单!$X$4:$X$2503,"盘盈",入库单!$Z$4:$Z$2503,"正常",入库单!$C$4:$C$2503,"&gt;="&amp;账期起,入库单!$C$4:$C$2503,"&lt;="&amp;账期止))</f>
        <v/>
      </c>
      <c r="M47" s="26">
        <f>IF($A47="","",ROUND($L47*$K47,0))</f>
        <v/>
      </c>
      <c r="N47" s="27">
        <f>IF($A47="","",SUMIFS(入库单!$K$4:$K$2503,入库单!$G$4:$G$2503,$A47,入库单!$X$4:$X$2503,"矿区退库",入库单!$Z$4:$Z$2503,"正常",入库单!$C$4:$C$2503,"&gt;="&amp;账期起,入库单!$C$4:$C$2503,"&lt;="&amp;账期止))</f>
        <v/>
      </c>
      <c r="O47" s="26">
        <f>IF($A47="","",ROUND($N47*$K47,0))</f>
        <v/>
      </c>
      <c r="P47" s="27">
        <f>IF($A47="","",SUMIFS(出库单!$J$4:$J$4003,出库单!$D$4:$D$4003,$A47,出库单!$K$4:$K$4003,"自用消耗",出库单!$U$4:$U$4003,"正常",出库单!$C$4:$C$4003,"&gt;="&amp;账期起,出库单!$C$4:$C$4003,"&lt;="&amp;账期止))</f>
        <v/>
      </c>
      <c r="Q47" s="26">
        <f>IF($A47="","",ROUND(SUMIFS(出库单!$S$4:$S$4003,出库单!$D$4:$D$4003,$A47,出库单!$K$4:$K$4003,"自用消耗",出库单!$U$4:$U$4003,"正常",出库单!$C$4:$C$4003,"&gt;="&amp;账期起,出库单!$C$4:$C$4003,"&lt;="&amp;账期止),0))</f>
        <v/>
      </c>
      <c r="R47" s="27">
        <f>IF($A47="","",SUMIFS(出库单!$J$4:$J$4003,出库单!$D$4:$D$4003,$A47,出库单!$K$4:$K$4003,"对外销售",出库单!$U$4:$U$4003,"正常",出库单!$C$4:$C$4003,"&gt;="&amp;账期起,出库单!$C$4:$C$4003,"&lt;="&amp;账期止))</f>
        <v/>
      </c>
      <c r="S47" s="26">
        <f>IF($A47="","",ROUND(SUMIFS(出库单!$S$4:$S$4003,出库单!$D$4:$D$4003,$A47,出库单!$K$4:$K$4003,"对外销售",出库单!$U$4:$U$4003,"正常",出库单!$C$4:$C$4003,"&gt;="&amp;账期起,出库单!$C$4:$C$4003,"&lt;="&amp;账期止),0))</f>
        <v/>
      </c>
      <c r="T47" s="27">
        <f>IF($A47="","",SUMIFS(出库单!$J$4:$J$4003,出库单!$D$4:$D$4003,$A47,出库单!$K$4:$K$4003,"盘亏",出库单!$U$4:$U$4003,"正常",出库单!$C$4:$C$4003,"&gt;="&amp;账期起,出库单!$C$4:$C$4003,"&lt;="&amp;账期止))</f>
        <v/>
      </c>
      <c r="U47" s="26">
        <f>IF($A47="","",ROUND(SUMIFS(出库单!$S$4:$S$4003,出库单!$D$4:$D$4003,$A47,出库单!$K$4:$K$4003,"盘亏",出库单!$U$4:$U$4003,"正常",出库单!$C$4:$C$4003,"&gt;="&amp;账期起,出库单!$C$4:$C$4003,"&lt;="&amp;账期止),0))</f>
        <v/>
      </c>
      <c r="V47" s="27">
        <f>IF($A47="","",SUMIFS(出库单!$J$4:$J$4003,出库单!$D$4:$D$4003,$A47,出库单!$K$4:$K$4003,"退货给供应商",出库单!$U$4:$U$4003,"正常",出库单!$C$4:$C$4003,"&gt;="&amp;账期起,出库单!$C$4:$C$4003,"&lt;="&amp;账期止))</f>
        <v/>
      </c>
      <c r="W47" s="26">
        <f>IF($A47="","",ROUND(SUMIFS(出库单!$S$4:$S$4003,出库单!$D$4:$D$4003,$A47,出库单!$K$4:$K$4003,"退货给供应商",出库单!$U$4:$U$4003,"正常",出库单!$C$4:$C$4003,"&gt;="&amp;账期起,出库单!$C$4:$C$4003,"&lt;="&amp;账期止),0))</f>
        <v/>
      </c>
      <c r="X47" s="27">
        <f>IF($A47="","",ROUND(N($G47)+$I47+$L47+$N47-$P47-$R47-$T47-$V47,3))</f>
        <v/>
      </c>
      <c r="Y47" s="26">
        <f>IF($A47="","",ROUND(N($H47)+$J47+$M47+$O47-$Q47-$S47-$U47-$W47,0))</f>
        <v/>
      </c>
      <c r="Z47" s="24">
        <f>IF($A47="","",IF(COUNTIFS(入库单!$G$4:$G$2503,$A47,入库单!$Y$4:$Y$2503,"待补价")+COUNTIFS(入库单!$G$4:$G$2503,$A47,入库单!$Y$4:$Y$2503,"暂估")&gt;0,"不可信","可信"))</f>
        <v/>
      </c>
      <c r="AA47" s="24">
        <f>IF($A47="","",IF($X47&lt;-0.001,"※账面负库存，查一下是不是漏记入库",IF(AND(ROUND($X47,3)=0,ABS($Y47)&gt;1),"※数量已经是 0，金额还挂着 "&amp;TEXT($Y47,"#,##0")&amp;" 先令",IF(AND($X47&gt;0,$Y47&lt;=0,$K47=0),"※有数量没金额（这个物料一直没填过进价）",IF($Z47="不可信","△成本含待补价/暂估，毛利仅供参考","")))))</f>
        <v/>
      </c>
    </row>
    <row r="48">
      <c r="A48" s="24">
        <f>IF(物料档案!$A47="","",物料档案!$A47)</f>
        <v/>
      </c>
      <c r="B48" s="24">
        <f>IF($A48="","",IFERROR(VLOOKUP($A48,物料档案!$A$4:$P$1203,3,0),""))</f>
        <v/>
      </c>
      <c r="C48" s="24">
        <f>IF($A48="","",IFERROR(VLOOKUP($A48,物料档案!$A$4:$P$1203,4,0),""))</f>
        <v/>
      </c>
      <c r="D48" s="24">
        <f>IF($A48="","",IFERROR(VLOOKUP($A48,物料档案!$A$4:$P$1203,5,0),""))</f>
        <v/>
      </c>
      <c r="E48" s="24">
        <f>IF($A48="","",IFERROR(VLOOKUP($A48,物料档案!$A$4:$P$1203,2,0),""))</f>
        <v/>
      </c>
      <c r="F48" s="24">
        <f>IF($A48="","",IFERROR(VLOOKUP($A48,物料档案!$A$4:$P$1203,6,0),""))</f>
        <v/>
      </c>
      <c r="G48" s="23" t="n"/>
      <c r="H48" s="32" t="n"/>
      <c r="I48" s="27">
        <f>IF($A48="","",SUMIFS(入库单!$K$4:$K$2503,入库单!$G$4:$G$2503,$A48,入库单!$X$4:$X$2503,"采购入库",入库单!$Z$4:$Z$2503,"正常",入库单!$C$4:$C$2503,"&gt;="&amp;账期起,入库单!$C$4:$C$2503,"&lt;="&amp;账期止))</f>
        <v/>
      </c>
      <c r="J48" s="26">
        <f>IF($A48="","",SUMIFS(入库单!$V$4:$V$2503,入库单!$G$4:$G$2503,$A48,入库单!$X$4:$X$2503,"采购入库",入库单!$Z$4:$Z$2503,"正常",入库单!$C$4:$C$2503,"&gt;="&amp;账期起,入库单!$C$4:$C$2503,"&lt;="&amp;账期止))</f>
        <v/>
      </c>
      <c r="K48" s="26">
        <f>IF($A48="","",IFERROR(ROUND((N($H48)+N($J48))/(N($G48)+N($I48)),2),0))</f>
        <v/>
      </c>
      <c r="L48" s="27">
        <f>IF($A48="","",SUMIFS(入库单!$K$4:$K$2503,入库单!$G$4:$G$2503,$A48,入库单!$X$4:$X$2503,"盘盈",入库单!$Z$4:$Z$2503,"正常",入库单!$C$4:$C$2503,"&gt;="&amp;账期起,入库单!$C$4:$C$2503,"&lt;="&amp;账期止))</f>
        <v/>
      </c>
      <c r="M48" s="26">
        <f>IF($A48="","",ROUND($L48*$K48,0))</f>
        <v/>
      </c>
      <c r="N48" s="27">
        <f>IF($A48="","",SUMIFS(入库单!$K$4:$K$2503,入库单!$G$4:$G$2503,$A48,入库单!$X$4:$X$2503,"矿区退库",入库单!$Z$4:$Z$2503,"正常",入库单!$C$4:$C$2503,"&gt;="&amp;账期起,入库单!$C$4:$C$2503,"&lt;="&amp;账期止))</f>
        <v/>
      </c>
      <c r="O48" s="26">
        <f>IF($A48="","",ROUND($N48*$K48,0))</f>
        <v/>
      </c>
      <c r="P48" s="27">
        <f>IF($A48="","",SUMIFS(出库单!$J$4:$J$4003,出库单!$D$4:$D$4003,$A48,出库单!$K$4:$K$4003,"自用消耗",出库单!$U$4:$U$4003,"正常",出库单!$C$4:$C$4003,"&gt;="&amp;账期起,出库单!$C$4:$C$4003,"&lt;="&amp;账期止))</f>
        <v/>
      </c>
      <c r="Q48" s="26">
        <f>IF($A48="","",ROUND(SUMIFS(出库单!$S$4:$S$4003,出库单!$D$4:$D$4003,$A48,出库单!$K$4:$K$4003,"自用消耗",出库单!$U$4:$U$4003,"正常",出库单!$C$4:$C$4003,"&gt;="&amp;账期起,出库单!$C$4:$C$4003,"&lt;="&amp;账期止),0))</f>
        <v/>
      </c>
      <c r="R48" s="27">
        <f>IF($A48="","",SUMIFS(出库单!$J$4:$J$4003,出库单!$D$4:$D$4003,$A48,出库单!$K$4:$K$4003,"对外销售",出库单!$U$4:$U$4003,"正常",出库单!$C$4:$C$4003,"&gt;="&amp;账期起,出库单!$C$4:$C$4003,"&lt;="&amp;账期止))</f>
        <v/>
      </c>
      <c r="S48" s="26">
        <f>IF($A48="","",ROUND(SUMIFS(出库单!$S$4:$S$4003,出库单!$D$4:$D$4003,$A48,出库单!$K$4:$K$4003,"对外销售",出库单!$U$4:$U$4003,"正常",出库单!$C$4:$C$4003,"&gt;="&amp;账期起,出库单!$C$4:$C$4003,"&lt;="&amp;账期止),0))</f>
        <v/>
      </c>
      <c r="T48" s="27">
        <f>IF($A48="","",SUMIFS(出库单!$J$4:$J$4003,出库单!$D$4:$D$4003,$A48,出库单!$K$4:$K$4003,"盘亏",出库单!$U$4:$U$4003,"正常",出库单!$C$4:$C$4003,"&gt;="&amp;账期起,出库单!$C$4:$C$4003,"&lt;="&amp;账期止))</f>
        <v/>
      </c>
      <c r="U48" s="26">
        <f>IF($A48="","",ROUND(SUMIFS(出库单!$S$4:$S$4003,出库单!$D$4:$D$4003,$A48,出库单!$K$4:$K$4003,"盘亏",出库单!$U$4:$U$4003,"正常",出库单!$C$4:$C$4003,"&gt;="&amp;账期起,出库单!$C$4:$C$4003,"&lt;="&amp;账期止),0))</f>
        <v/>
      </c>
      <c r="V48" s="27">
        <f>IF($A48="","",SUMIFS(出库单!$J$4:$J$4003,出库单!$D$4:$D$4003,$A48,出库单!$K$4:$K$4003,"退货给供应商",出库单!$U$4:$U$4003,"正常",出库单!$C$4:$C$4003,"&gt;="&amp;账期起,出库单!$C$4:$C$4003,"&lt;="&amp;账期止))</f>
        <v/>
      </c>
      <c r="W48" s="26">
        <f>IF($A48="","",ROUND(SUMIFS(出库单!$S$4:$S$4003,出库单!$D$4:$D$4003,$A48,出库单!$K$4:$K$4003,"退货给供应商",出库单!$U$4:$U$4003,"正常",出库单!$C$4:$C$4003,"&gt;="&amp;账期起,出库单!$C$4:$C$4003,"&lt;="&amp;账期止),0))</f>
        <v/>
      </c>
      <c r="X48" s="27">
        <f>IF($A48="","",ROUND(N($G48)+$I48+$L48+$N48-$P48-$R48-$T48-$V48,3))</f>
        <v/>
      </c>
      <c r="Y48" s="26">
        <f>IF($A48="","",ROUND(N($H48)+$J48+$M48+$O48-$Q48-$S48-$U48-$W48,0))</f>
        <v/>
      </c>
      <c r="Z48" s="24">
        <f>IF($A48="","",IF(COUNTIFS(入库单!$G$4:$G$2503,$A48,入库单!$Y$4:$Y$2503,"待补价")+COUNTIFS(入库单!$G$4:$G$2503,$A48,入库单!$Y$4:$Y$2503,"暂估")&gt;0,"不可信","可信"))</f>
        <v/>
      </c>
      <c r="AA48" s="24">
        <f>IF($A48="","",IF($X48&lt;-0.001,"※账面负库存，查一下是不是漏记入库",IF(AND(ROUND($X48,3)=0,ABS($Y48)&gt;1),"※数量已经是 0，金额还挂着 "&amp;TEXT($Y48,"#,##0")&amp;" 先令",IF(AND($X48&gt;0,$Y48&lt;=0,$K48=0),"※有数量没金额（这个物料一直没填过进价）",IF($Z48="不可信","△成本含待补价/暂估，毛利仅供参考","")))))</f>
        <v/>
      </c>
    </row>
    <row r="49">
      <c r="A49" s="24">
        <f>IF(物料档案!$A48="","",物料档案!$A48)</f>
        <v/>
      </c>
      <c r="B49" s="24">
        <f>IF($A49="","",IFERROR(VLOOKUP($A49,物料档案!$A$4:$P$1203,3,0),""))</f>
        <v/>
      </c>
      <c r="C49" s="24">
        <f>IF($A49="","",IFERROR(VLOOKUP($A49,物料档案!$A$4:$P$1203,4,0),""))</f>
        <v/>
      </c>
      <c r="D49" s="24">
        <f>IF($A49="","",IFERROR(VLOOKUP($A49,物料档案!$A$4:$P$1203,5,0),""))</f>
        <v/>
      </c>
      <c r="E49" s="24">
        <f>IF($A49="","",IFERROR(VLOOKUP($A49,物料档案!$A$4:$P$1203,2,0),""))</f>
        <v/>
      </c>
      <c r="F49" s="24">
        <f>IF($A49="","",IFERROR(VLOOKUP($A49,物料档案!$A$4:$P$1203,6,0),""))</f>
        <v/>
      </c>
      <c r="G49" s="23" t="n"/>
      <c r="H49" s="32" t="n"/>
      <c r="I49" s="27">
        <f>IF($A49="","",SUMIFS(入库单!$K$4:$K$2503,入库单!$G$4:$G$2503,$A49,入库单!$X$4:$X$2503,"采购入库",入库单!$Z$4:$Z$2503,"正常",入库单!$C$4:$C$2503,"&gt;="&amp;账期起,入库单!$C$4:$C$2503,"&lt;="&amp;账期止))</f>
        <v/>
      </c>
      <c r="J49" s="26">
        <f>IF($A49="","",SUMIFS(入库单!$V$4:$V$2503,入库单!$G$4:$G$2503,$A49,入库单!$X$4:$X$2503,"采购入库",入库单!$Z$4:$Z$2503,"正常",入库单!$C$4:$C$2503,"&gt;="&amp;账期起,入库单!$C$4:$C$2503,"&lt;="&amp;账期止))</f>
        <v/>
      </c>
      <c r="K49" s="26">
        <f>IF($A49="","",IFERROR(ROUND((N($H49)+N($J49))/(N($G49)+N($I49)),2),0))</f>
        <v/>
      </c>
      <c r="L49" s="27">
        <f>IF($A49="","",SUMIFS(入库单!$K$4:$K$2503,入库单!$G$4:$G$2503,$A49,入库单!$X$4:$X$2503,"盘盈",入库单!$Z$4:$Z$2503,"正常",入库单!$C$4:$C$2503,"&gt;="&amp;账期起,入库单!$C$4:$C$2503,"&lt;="&amp;账期止))</f>
        <v/>
      </c>
      <c r="M49" s="26">
        <f>IF($A49="","",ROUND($L49*$K49,0))</f>
        <v/>
      </c>
      <c r="N49" s="27">
        <f>IF($A49="","",SUMIFS(入库单!$K$4:$K$2503,入库单!$G$4:$G$2503,$A49,入库单!$X$4:$X$2503,"矿区退库",入库单!$Z$4:$Z$2503,"正常",入库单!$C$4:$C$2503,"&gt;="&amp;账期起,入库单!$C$4:$C$2503,"&lt;="&amp;账期止))</f>
        <v/>
      </c>
      <c r="O49" s="26">
        <f>IF($A49="","",ROUND($N49*$K49,0))</f>
        <v/>
      </c>
      <c r="P49" s="27">
        <f>IF($A49="","",SUMIFS(出库单!$J$4:$J$4003,出库单!$D$4:$D$4003,$A49,出库单!$K$4:$K$4003,"自用消耗",出库单!$U$4:$U$4003,"正常",出库单!$C$4:$C$4003,"&gt;="&amp;账期起,出库单!$C$4:$C$4003,"&lt;="&amp;账期止))</f>
        <v/>
      </c>
      <c r="Q49" s="26">
        <f>IF($A49="","",ROUND(SUMIFS(出库单!$S$4:$S$4003,出库单!$D$4:$D$4003,$A49,出库单!$K$4:$K$4003,"自用消耗",出库单!$U$4:$U$4003,"正常",出库单!$C$4:$C$4003,"&gt;="&amp;账期起,出库单!$C$4:$C$4003,"&lt;="&amp;账期止),0))</f>
        <v/>
      </c>
      <c r="R49" s="27">
        <f>IF($A49="","",SUMIFS(出库单!$J$4:$J$4003,出库单!$D$4:$D$4003,$A49,出库单!$K$4:$K$4003,"对外销售",出库单!$U$4:$U$4003,"正常",出库单!$C$4:$C$4003,"&gt;="&amp;账期起,出库单!$C$4:$C$4003,"&lt;="&amp;账期止))</f>
        <v/>
      </c>
      <c r="S49" s="26">
        <f>IF($A49="","",ROUND(SUMIFS(出库单!$S$4:$S$4003,出库单!$D$4:$D$4003,$A49,出库单!$K$4:$K$4003,"对外销售",出库单!$U$4:$U$4003,"正常",出库单!$C$4:$C$4003,"&gt;="&amp;账期起,出库单!$C$4:$C$4003,"&lt;="&amp;账期止),0))</f>
        <v/>
      </c>
      <c r="T49" s="27">
        <f>IF($A49="","",SUMIFS(出库单!$J$4:$J$4003,出库单!$D$4:$D$4003,$A49,出库单!$K$4:$K$4003,"盘亏",出库单!$U$4:$U$4003,"正常",出库单!$C$4:$C$4003,"&gt;="&amp;账期起,出库单!$C$4:$C$4003,"&lt;="&amp;账期止))</f>
        <v/>
      </c>
      <c r="U49" s="26">
        <f>IF($A49="","",ROUND(SUMIFS(出库单!$S$4:$S$4003,出库单!$D$4:$D$4003,$A49,出库单!$K$4:$K$4003,"盘亏",出库单!$U$4:$U$4003,"正常",出库单!$C$4:$C$4003,"&gt;="&amp;账期起,出库单!$C$4:$C$4003,"&lt;="&amp;账期止),0))</f>
        <v/>
      </c>
      <c r="V49" s="27">
        <f>IF($A49="","",SUMIFS(出库单!$J$4:$J$4003,出库单!$D$4:$D$4003,$A49,出库单!$K$4:$K$4003,"退货给供应商",出库单!$U$4:$U$4003,"正常",出库单!$C$4:$C$4003,"&gt;="&amp;账期起,出库单!$C$4:$C$4003,"&lt;="&amp;账期止))</f>
        <v/>
      </c>
      <c r="W49" s="26">
        <f>IF($A49="","",ROUND(SUMIFS(出库单!$S$4:$S$4003,出库单!$D$4:$D$4003,$A49,出库单!$K$4:$K$4003,"退货给供应商",出库单!$U$4:$U$4003,"正常",出库单!$C$4:$C$4003,"&gt;="&amp;账期起,出库单!$C$4:$C$4003,"&lt;="&amp;账期止),0))</f>
        <v/>
      </c>
      <c r="X49" s="27">
        <f>IF($A49="","",ROUND(N($G49)+$I49+$L49+$N49-$P49-$R49-$T49-$V49,3))</f>
        <v/>
      </c>
      <c r="Y49" s="26">
        <f>IF($A49="","",ROUND(N($H49)+$J49+$M49+$O49-$Q49-$S49-$U49-$W49,0))</f>
        <v/>
      </c>
      <c r="Z49" s="24">
        <f>IF($A49="","",IF(COUNTIFS(入库单!$G$4:$G$2503,$A49,入库单!$Y$4:$Y$2503,"待补价")+COUNTIFS(入库单!$G$4:$G$2503,$A49,入库单!$Y$4:$Y$2503,"暂估")&gt;0,"不可信","可信"))</f>
        <v/>
      </c>
      <c r="AA49" s="24">
        <f>IF($A49="","",IF($X49&lt;-0.001,"※账面负库存，查一下是不是漏记入库",IF(AND(ROUND($X49,3)=0,ABS($Y49)&gt;1),"※数量已经是 0，金额还挂着 "&amp;TEXT($Y49,"#,##0")&amp;" 先令",IF(AND($X49&gt;0,$Y49&lt;=0,$K49=0),"※有数量没金额（这个物料一直没填过进价）",IF($Z49="不可信","△成本含待补价/暂估，毛利仅供参考","")))))</f>
        <v/>
      </c>
    </row>
    <row r="50">
      <c r="A50" s="24">
        <f>IF(物料档案!$A49="","",物料档案!$A49)</f>
        <v/>
      </c>
      <c r="B50" s="24">
        <f>IF($A50="","",IFERROR(VLOOKUP($A50,物料档案!$A$4:$P$1203,3,0),""))</f>
        <v/>
      </c>
      <c r="C50" s="24">
        <f>IF($A50="","",IFERROR(VLOOKUP($A50,物料档案!$A$4:$P$1203,4,0),""))</f>
        <v/>
      </c>
      <c r="D50" s="24">
        <f>IF($A50="","",IFERROR(VLOOKUP($A50,物料档案!$A$4:$P$1203,5,0),""))</f>
        <v/>
      </c>
      <c r="E50" s="24">
        <f>IF($A50="","",IFERROR(VLOOKUP($A50,物料档案!$A$4:$P$1203,2,0),""))</f>
        <v/>
      </c>
      <c r="F50" s="24">
        <f>IF($A50="","",IFERROR(VLOOKUP($A50,物料档案!$A$4:$P$1203,6,0),""))</f>
        <v/>
      </c>
      <c r="G50" s="23" t="n"/>
      <c r="H50" s="32" t="n"/>
      <c r="I50" s="27">
        <f>IF($A50="","",SUMIFS(入库单!$K$4:$K$2503,入库单!$G$4:$G$2503,$A50,入库单!$X$4:$X$2503,"采购入库",入库单!$Z$4:$Z$2503,"正常",入库单!$C$4:$C$2503,"&gt;="&amp;账期起,入库单!$C$4:$C$2503,"&lt;="&amp;账期止))</f>
        <v/>
      </c>
      <c r="J50" s="26">
        <f>IF($A50="","",SUMIFS(入库单!$V$4:$V$2503,入库单!$G$4:$G$2503,$A50,入库单!$X$4:$X$2503,"采购入库",入库单!$Z$4:$Z$2503,"正常",入库单!$C$4:$C$2503,"&gt;="&amp;账期起,入库单!$C$4:$C$2503,"&lt;="&amp;账期止))</f>
        <v/>
      </c>
      <c r="K50" s="26">
        <f>IF($A50="","",IFERROR(ROUND((N($H50)+N($J50))/(N($G50)+N($I50)),2),0))</f>
        <v/>
      </c>
      <c r="L50" s="27">
        <f>IF($A50="","",SUMIFS(入库单!$K$4:$K$2503,入库单!$G$4:$G$2503,$A50,入库单!$X$4:$X$2503,"盘盈",入库单!$Z$4:$Z$2503,"正常",入库单!$C$4:$C$2503,"&gt;="&amp;账期起,入库单!$C$4:$C$2503,"&lt;="&amp;账期止))</f>
        <v/>
      </c>
      <c r="M50" s="26">
        <f>IF($A50="","",ROUND($L50*$K50,0))</f>
        <v/>
      </c>
      <c r="N50" s="27">
        <f>IF($A50="","",SUMIFS(入库单!$K$4:$K$2503,入库单!$G$4:$G$2503,$A50,入库单!$X$4:$X$2503,"矿区退库",入库单!$Z$4:$Z$2503,"正常",入库单!$C$4:$C$2503,"&gt;="&amp;账期起,入库单!$C$4:$C$2503,"&lt;="&amp;账期止))</f>
        <v/>
      </c>
      <c r="O50" s="26">
        <f>IF($A50="","",ROUND($N50*$K50,0))</f>
        <v/>
      </c>
      <c r="P50" s="27">
        <f>IF($A50="","",SUMIFS(出库单!$J$4:$J$4003,出库单!$D$4:$D$4003,$A50,出库单!$K$4:$K$4003,"自用消耗",出库单!$U$4:$U$4003,"正常",出库单!$C$4:$C$4003,"&gt;="&amp;账期起,出库单!$C$4:$C$4003,"&lt;="&amp;账期止))</f>
        <v/>
      </c>
      <c r="Q50" s="26">
        <f>IF($A50="","",ROUND(SUMIFS(出库单!$S$4:$S$4003,出库单!$D$4:$D$4003,$A50,出库单!$K$4:$K$4003,"自用消耗",出库单!$U$4:$U$4003,"正常",出库单!$C$4:$C$4003,"&gt;="&amp;账期起,出库单!$C$4:$C$4003,"&lt;="&amp;账期止),0))</f>
        <v/>
      </c>
      <c r="R50" s="27">
        <f>IF($A50="","",SUMIFS(出库单!$J$4:$J$4003,出库单!$D$4:$D$4003,$A50,出库单!$K$4:$K$4003,"对外销售",出库单!$U$4:$U$4003,"正常",出库单!$C$4:$C$4003,"&gt;="&amp;账期起,出库单!$C$4:$C$4003,"&lt;="&amp;账期止))</f>
        <v/>
      </c>
      <c r="S50" s="26">
        <f>IF($A50="","",ROUND(SUMIFS(出库单!$S$4:$S$4003,出库单!$D$4:$D$4003,$A50,出库单!$K$4:$K$4003,"对外销售",出库单!$U$4:$U$4003,"正常",出库单!$C$4:$C$4003,"&gt;="&amp;账期起,出库单!$C$4:$C$4003,"&lt;="&amp;账期止),0))</f>
        <v/>
      </c>
      <c r="T50" s="27">
        <f>IF($A50="","",SUMIFS(出库单!$J$4:$J$4003,出库单!$D$4:$D$4003,$A50,出库单!$K$4:$K$4003,"盘亏",出库单!$U$4:$U$4003,"正常",出库单!$C$4:$C$4003,"&gt;="&amp;账期起,出库单!$C$4:$C$4003,"&lt;="&amp;账期止))</f>
        <v/>
      </c>
      <c r="U50" s="26">
        <f>IF($A50="","",ROUND(SUMIFS(出库单!$S$4:$S$4003,出库单!$D$4:$D$4003,$A50,出库单!$K$4:$K$4003,"盘亏",出库单!$U$4:$U$4003,"正常",出库单!$C$4:$C$4003,"&gt;="&amp;账期起,出库单!$C$4:$C$4003,"&lt;="&amp;账期止),0))</f>
        <v/>
      </c>
      <c r="V50" s="27">
        <f>IF($A50="","",SUMIFS(出库单!$J$4:$J$4003,出库单!$D$4:$D$4003,$A50,出库单!$K$4:$K$4003,"退货给供应商",出库单!$U$4:$U$4003,"正常",出库单!$C$4:$C$4003,"&gt;="&amp;账期起,出库单!$C$4:$C$4003,"&lt;="&amp;账期止))</f>
        <v/>
      </c>
      <c r="W50" s="26">
        <f>IF($A50="","",ROUND(SUMIFS(出库单!$S$4:$S$4003,出库单!$D$4:$D$4003,$A50,出库单!$K$4:$K$4003,"退货给供应商",出库单!$U$4:$U$4003,"正常",出库单!$C$4:$C$4003,"&gt;="&amp;账期起,出库单!$C$4:$C$4003,"&lt;="&amp;账期止),0))</f>
        <v/>
      </c>
      <c r="X50" s="27">
        <f>IF($A50="","",ROUND(N($G50)+$I50+$L50+$N50-$P50-$R50-$T50-$V50,3))</f>
        <v/>
      </c>
      <c r="Y50" s="26">
        <f>IF($A50="","",ROUND(N($H50)+$J50+$M50+$O50-$Q50-$S50-$U50-$W50,0))</f>
        <v/>
      </c>
      <c r="Z50" s="24">
        <f>IF($A50="","",IF(COUNTIFS(入库单!$G$4:$G$2503,$A50,入库单!$Y$4:$Y$2503,"待补价")+COUNTIFS(入库单!$G$4:$G$2503,$A50,入库单!$Y$4:$Y$2503,"暂估")&gt;0,"不可信","可信"))</f>
        <v/>
      </c>
      <c r="AA50" s="24">
        <f>IF($A50="","",IF($X50&lt;-0.001,"※账面负库存，查一下是不是漏记入库",IF(AND(ROUND($X50,3)=0,ABS($Y50)&gt;1),"※数量已经是 0，金额还挂着 "&amp;TEXT($Y50,"#,##0")&amp;" 先令",IF(AND($X50&gt;0,$Y50&lt;=0,$K50=0),"※有数量没金额（这个物料一直没填过进价）",IF($Z50="不可信","△成本含待补价/暂估，毛利仅供参考","")))))</f>
        <v/>
      </c>
    </row>
    <row r="51">
      <c r="A51" s="24">
        <f>IF(物料档案!$A50="","",物料档案!$A50)</f>
        <v/>
      </c>
      <c r="B51" s="24">
        <f>IF($A51="","",IFERROR(VLOOKUP($A51,物料档案!$A$4:$P$1203,3,0),""))</f>
        <v/>
      </c>
      <c r="C51" s="24">
        <f>IF($A51="","",IFERROR(VLOOKUP($A51,物料档案!$A$4:$P$1203,4,0),""))</f>
        <v/>
      </c>
      <c r="D51" s="24">
        <f>IF($A51="","",IFERROR(VLOOKUP($A51,物料档案!$A$4:$P$1203,5,0),""))</f>
        <v/>
      </c>
      <c r="E51" s="24">
        <f>IF($A51="","",IFERROR(VLOOKUP($A51,物料档案!$A$4:$P$1203,2,0),""))</f>
        <v/>
      </c>
      <c r="F51" s="24">
        <f>IF($A51="","",IFERROR(VLOOKUP($A51,物料档案!$A$4:$P$1203,6,0),""))</f>
        <v/>
      </c>
      <c r="G51" s="23" t="n"/>
      <c r="H51" s="32" t="n"/>
      <c r="I51" s="27">
        <f>IF($A51="","",SUMIFS(入库单!$K$4:$K$2503,入库单!$G$4:$G$2503,$A51,入库单!$X$4:$X$2503,"采购入库",入库单!$Z$4:$Z$2503,"正常",入库单!$C$4:$C$2503,"&gt;="&amp;账期起,入库单!$C$4:$C$2503,"&lt;="&amp;账期止))</f>
        <v/>
      </c>
      <c r="J51" s="26">
        <f>IF($A51="","",SUMIFS(入库单!$V$4:$V$2503,入库单!$G$4:$G$2503,$A51,入库单!$X$4:$X$2503,"采购入库",入库单!$Z$4:$Z$2503,"正常",入库单!$C$4:$C$2503,"&gt;="&amp;账期起,入库单!$C$4:$C$2503,"&lt;="&amp;账期止))</f>
        <v/>
      </c>
      <c r="K51" s="26">
        <f>IF($A51="","",IFERROR(ROUND((N($H51)+N($J51))/(N($G51)+N($I51)),2),0))</f>
        <v/>
      </c>
      <c r="L51" s="27">
        <f>IF($A51="","",SUMIFS(入库单!$K$4:$K$2503,入库单!$G$4:$G$2503,$A51,入库单!$X$4:$X$2503,"盘盈",入库单!$Z$4:$Z$2503,"正常",入库单!$C$4:$C$2503,"&gt;="&amp;账期起,入库单!$C$4:$C$2503,"&lt;="&amp;账期止))</f>
        <v/>
      </c>
      <c r="M51" s="26">
        <f>IF($A51="","",ROUND($L51*$K51,0))</f>
        <v/>
      </c>
      <c r="N51" s="27">
        <f>IF($A51="","",SUMIFS(入库单!$K$4:$K$2503,入库单!$G$4:$G$2503,$A51,入库单!$X$4:$X$2503,"矿区退库",入库单!$Z$4:$Z$2503,"正常",入库单!$C$4:$C$2503,"&gt;="&amp;账期起,入库单!$C$4:$C$2503,"&lt;="&amp;账期止))</f>
        <v/>
      </c>
      <c r="O51" s="26">
        <f>IF($A51="","",ROUND($N51*$K51,0))</f>
        <v/>
      </c>
      <c r="P51" s="27">
        <f>IF($A51="","",SUMIFS(出库单!$J$4:$J$4003,出库单!$D$4:$D$4003,$A51,出库单!$K$4:$K$4003,"自用消耗",出库单!$U$4:$U$4003,"正常",出库单!$C$4:$C$4003,"&gt;="&amp;账期起,出库单!$C$4:$C$4003,"&lt;="&amp;账期止))</f>
        <v/>
      </c>
      <c r="Q51" s="26">
        <f>IF($A51="","",ROUND(SUMIFS(出库单!$S$4:$S$4003,出库单!$D$4:$D$4003,$A51,出库单!$K$4:$K$4003,"自用消耗",出库单!$U$4:$U$4003,"正常",出库单!$C$4:$C$4003,"&gt;="&amp;账期起,出库单!$C$4:$C$4003,"&lt;="&amp;账期止),0))</f>
        <v/>
      </c>
      <c r="R51" s="27">
        <f>IF($A51="","",SUMIFS(出库单!$J$4:$J$4003,出库单!$D$4:$D$4003,$A51,出库单!$K$4:$K$4003,"对外销售",出库单!$U$4:$U$4003,"正常",出库单!$C$4:$C$4003,"&gt;="&amp;账期起,出库单!$C$4:$C$4003,"&lt;="&amp;账期止))</f>
        <v/>
      </c>
      <c r="S51" s="26">
        <f>IF($A51="","",ROUND(SUMIFS(出库单!$S$4:$S$4003,出库单!$D$4:$D$4003,$A51,出库单!$K$4:$K$4003,"对外销售",出库单!$U$4:$U$4003,"正常",出库单!$C$4:$C$4003,"&gt;="&amp;账期起,出库单!$C$4:$C$4003,"&lt;="&amp;账期止),0))</f>
        <v/>
      </c>
      <c r="T51" s="27">
        <f>IF($A51="","",SUMIFS(出库单!$J$4:$J$4003,出库单!$D$4:$D$4003,$A51,出库单!$K$4:$K$4003,"盘亏",出库单!$U$4:$U$4003,"正常",出库单!$C$4:$C$4003,"&gt;="&amp;账期起,出库单!$C$4:$C$4003,"&lt;="&amp;账期止))</f>
        <v/>
      </c>
      <c r="U51" s="26">
        <f>IF($A51="","",ROUND(SUMIFS(出库单!$S$4:$S$4003,出库单!$D$4:$D$4003,$A51,出库单!$K$4:$K$4003,"盘亏",出库单!$U$4:$U$4003,"正常",出库单!$C$4:$C$4003,"&gt;="&amp;账期起,出库单!$C$4:$C$4003,"&lt;="&amp;账期止),0))</f>
        <v/>
      </c>
      <c r="V51" s="27">
        <f>IF($A51="","",SUMIFS(出库单!$J$4:$J$4003,出库单!$D$4:$D$4003,$A51,出库单!$K$4:$K$4003,"退货给供应商",出库单!$U$4:$U$4003,"正常",出库单!$C$4:$C$4003,"&gt;="&amp;账期起,出库单!$C$4:$C$4003,"&lt;="&amp;账期止))</f>
        <v/>
      </c>
      <c r="W51" s="26">
        <f>IF($A51="","",ROUND(SUMIFS(出库单!$S$4:$S$4003,出库单!$D$4:$D$4003,$A51,出库单!$K$4:$K$4003,"退货给供应商",出库单!$U$4:$U$4003,"正常",出库单!$C$4:$C$4003,"&gt;="&amp;账期起,出库单!$C$4:$C$4003,"&lt;="&amp;账期止),0))</f>
        <v/>
      </c>
      <c r="X51" s="27">
        <f>IF($A51="","",ROUND(N($G51)+$I51+$L51+$N51-$P51-$R51-$T51-$V51,3))</f>
        <v/>
      </c>
      <c r="Y51" s="26">
        <f>IF($A51="","",ROUND(N($H51)+$J51+$M51+$O51-$Q51-$S51-$U51-$W51,0))</f>
        <v/>
      </c>
      <c r="Z51" s="24">
        <f>IF($A51="","",IF(COUNTIFS(入库单!$G$4:$G$2503,$A51,入库单!$Y$4:$Y$2503,"待补价")+COUNTIFS(入库单!$G$4:$G$2503,$A51,入库单!$Y$4:$Y$2503,"暂估")&gt;0,"不可信","可信"))</f>
        <v/>
      </c>
      <c r="AA51" s="24">
        <f>IF($A51="","",IF($X51&lt;-0.001,"※账面负库存，查一下是不是漏记入库",IF(AND(ROUND($X51,3)=0,ABS($Y51)&gt;1),"※数量已经是 0，金额还挂着 "&amp;TEXT($Y51,"#,##0")&amp;" 先令",IF(AND($X51&gt;0,$Y51&lt;=0,$K51=0),"※有数量没金额（这个物料一直没填过进价）",IF($Z51="不可信","△成本含待补价/暂估，毛利仅供参考","")))))</f>
        <v/>
      </c>
    </row>
    <row r="52">
      <c r="A52" s="24">
        <f>IF(物料档案!$A51="","",物料档案!$A51)</f>
        <v/>
      </c>
      <c r="B52" s="24">
        <f>IF($A52="","",IFERROR(VLOOKUP($A52,物料档案!$A$4:$P$1203,3,0),""))</f>
        <v/>
      </c>
      <c r="C52" s="24">
        <f>IF($A52="","",IFERROR(VLOOKUP($A52,物料档案!$A$4:$P$1203,4,0),""))</f>
        <v/>
      </c>
      <c r="D52" s="24">
        <f>IF($A52="","",IFERROR(VLOOKUP($A52,物料档案!$A$4:$P$1203,5,0),""))</f>
        <v/>
      </c>
      <c r="E52" s="24">
        <f>IF($A52="","",IFERROR(VLOOKUP($A52,物料档案!$A$4:$P$1203,2,0),""))</f>
        <v/>
      </c>
      <c r="F52" s="24">
        <f>IF($A52="","",IFERROR(VLOOKUP($A52,物料档案!$A$4:$P$1203,6,0),""))</f>
        <v/>
      </c>
      <c r="G52" s="23" t="n"/>
      <c r="H52" s="32" t="n"/>
      <c r="I52" s="27">
        <f>IF($A52="","",SUMIFS(入库单!$K$4:$K$2503,入库单!$G$4:$G$2503,$A52,入库单!$X$4:$X$2503,"采购入库",入库单!$Z$4:$Z$2503,"正常",入库单!$C$4:$C$2503,"&gt;="&amp;账期起,入库单!$C$4:$C$2503,"&lt;="&amp;账期止))</f>
        <v/>
      </c>
      <c r="J52" s="26">
        <f>IF($A52="","",SUMIFS(入库单!$V$4:$V$2503,入库单!$G$4:$G$2503,$A52,入库单!$X$4:$X$2503,"采购入库",入库单!$Z$4:$Z$2503,"正常",入库单!$C$4:$C$2503,"&gt;="&amp;账期起,入库单!$C$4:$C$2503,"&lt;="&amp;账期止))</f>
        <v/>
      </c>
      <c r="K52" s="26">
        <f>IF($A52="","",IFERROR(ROUND((N($H52)+N($J52))/(N($G52)+N($I52)),2),0))</f>
        <v/>
      </c>
      <c r="L52" s="27">
        <f>IF($A52="","",SUMIFS(入库单!$K$4:$K$2503,入库单!$G$4:$G$2503,$A52,入库单!$X$4:$X$2503,"盘盈",入库单!$Z$4:$Z$2503,"正常",入库单!$C$4:$C$2503,"&gt;="&amp;账期起,入库单!$C$4:$C$2503,"&lt;="&amp;账期止))</f>
        <v/>
      </c>
      <c r="M52" s="26">
        <f>IF($A52="","",ROUND($L52*$K52,0))</f>
        <v/>
      </c>
      <c r="N52" s="27">
        <f>IF($A52="","",SUMIFS(入库单!$K$4:$K$2503,入库单!$G$4:$G$2503,$A52,入库单!$X$4:$X$2503,"矿区退库",入库单!$Z$4:$Z$2503,"正常",入库单!$C$4:$C$2503,"&gt;="&amp;账期起,入库单!$C$4:$C$2503,"&lt;="&amp;账期止))</f>
        <v/>
      </c>
      <c r="O52" s="26">
        <f>IF($A52="","",ROUND($N52*$K52,0))</f>
        <v/>
      </c>
      <c r="P52" s="27">
        <f>IF($A52="","",SUMIFS(出库单!$J$4:$J$4003,出库单!$D$4:$D$4003,$A52,出库单!$K$4:$K$4003,"自用消耗",出库单!$U$4:$U$4003,"正常",出库单!$C$4:$C$4003,"&gt;="&amp;账期起,出库单!$C$4:$C$4003,"&lt;="&amp;账期止))</f>
        <v/>
      </c>
      <c r="Q52" s="26">
        <f>IF($A52="","",ROUND(SUMIFS(出库单!$S$4:$S$4003,出库单!$D$4:$D$4003,$A52,出库单!$K$4:$K$4003,"自用消耗",出库单!$U$4:$U$4003,"正常",出库单!$C$4:$C$4003,"&gt;="&amp;账期起,出库单!$C$4:$C$4003,"&lt;="&amp;账期止),0))</f>
        <v/>
      </c>
      <c r="R52" s="27">
        <f>IF($A52="","",SUMIFS(出库单!$J$4:$J$4003,出库单!$D$4:$D$4003,$A52,出库单!$K$4:$K$4003,"对外销售",出库单!$U$4:$U$4003,"正常",出库单!$C$4:$C$4003,"&gt;="&amp;账期起,出库单!$C$4:$C$4003,"&lt;="&amp;账期止))</f>
        <v/>
      </c>
      <c r="S52" s="26">
        <f>IF($A52="","",ROUND(SUMIFS(出库单!$S$4:$S$4003,出库单!$D$4:$D$4003,$A52,出库单!$K$4:$K$4003,"对外销售",出库单!$U$4:$U$4003,"正常",出库单!$C$4:$C$4003,"&gt;="&amp;账期起,出库单!$C$4:$C$4003,"&lt;="&amp;账期止),0))</f>
        <v/>
      </c>
      <c r="T52" s="27">
        <f>IF($A52="","",SUMIFS(出库单!$J$4:$J$4003,出库单!$D$4:$D$4003,$A52,出库单!$K$4:$K$4003,"盘亏",出库单!$U$4:$U$4003,"正常",出库单!$C$4:$C$4003,"&gt;="&amp;账期起,出库单!$C$4:$C$4003,"&lt;="&amp;账期止))</f>
        <v/>
      </c>
      <c r="U52" s="26">
        <f>IF($A52="","",ROUND(SUMIFS(出库单!$S$4:$S$4003,出库单!$D$4:$D$4003,$A52,出库单!$K$4:$K$4003,"盘亏",出库单!$U$4:$U$4003,"正常",出库单!$C$4:$C$4003,"&gt;="&amp;账期起,出库单!$C$4:$C$4003,"&lt;="&amp;账期止),0))</f>
        <v/>
      </c>
      <c r="V52" s="27">
        <f>IF($A52="","",SUMIFS(出库单!$J$4:$J$4003,出库单!$D$4:$D$4003,$A52,出库单!$K$4:$K$4003,"退货给供应商",出库单!$U$4:$U$4003,"正常",出库单!$C$4:$C$4003,"&gt;="&amp;账期起,出库单!$C$4:$C$4003,"&lt;="&amp;账期止))</f>
        <v/>
      </c>
      <c r="W52" s="26">
        <f>IF($A52="","",ROUND(SUMIFS(出库单!$S$4:$S$4003,出库单!$D$4:$D$4003,$A52,出库单!$K$4:$K$4003,"退货给供应商",出库单!$U$4:$U$4003,"正常",出库单!$C$4:$C$4003,"&gt;="&amp;账期起,出库单!$C$4:$C$4003,"&lt;="&amp;账期止),0))</f>
        <v/>
      </c>
      <c r="X52" s="27">
        <f>IF($A52="","",ROUND(N($G52)+$I52+$L52+$N52-$P52-$R52-$T52-$V52,3))</f>
        <v/>
      </c>
      <c r="Y52" s="26">
        <f>IF($A52="","",ROUND(N($H52)+$J52+$M52+$O52-$Q52-$S52-$U52-$W52,0))</f>
        <v/>
      </c>
      <c r="Z52" s="24">
        <f>IF($A52="","",IF(COUNTIFS(入库单!$G$4:$G$2503,$A52,入库单!$Y$4:$Y$2503,"待补价")+COUNTIFS(入库单!$G$4:$G$2503,$A52,入库单!$Y$4:$Y$2503,"暂估")&gt;0,"不可信","可信"))</f>
        <v/>
      </c>
      <c r="AA52" s="24">
        <f>IF($A52="","",IF($X52&lt;-0.001,"※账面负库存，查一下是不是漏记入库",IF(AND(ROUND($X52,3)=0,ABS($Y52)&gt;1),"※数量已经是 0，金额还挂着 "&amp;TEXT($Y52,"#,##0")&amp;" 先令",IF(AND($X52&gt;0,$Y52&lt;=0,$K52=0),"※有数量没金额（这个物料一直没填过进价）",IF($Z52="不可信","△成本含待补价/暂估，毛利仅供参考","")))))</f>
        <v/>
      </c>
    </row>
    <row r="53">
      <c r="A53" s="24">
        <f>IF(物料档案!$A52="","",物料档案!$A52)</f>
        <v/>
      </c>
      <c r="B53" s="24">
        <f>IF($A53="","",IFERROR(VLOOKUP($A53,物料档案!$A$4:$P$1203,3,0),""))</f>
        <v/>
      </c>
      <c r="C53" s="24">
        <f>IF($A53="","",IFERROR(VLOOKUP($A53,物料档案!$A$4:$P$1203,4,0),""))</f>
        <v/>
      </c>
      <c r="D53" s="24">
        <f>IF($A53="","",IFERROR(VLOOKUP($A53,物料档案!$A$4:$P$1203,5,0),""))</f>
        <v/>
      </c>
      <c r="E53" s="24">
        <f>IF($A53="","",IFERROR(VLOOKUP($A53,物料档案!$A$4:$P$1203,2,0),""))</f>
        <v/>
      </c>
      <c r="F53" s="24">
        <f>IF($A53="","",IFERROR(VLOOKUP($A53,物料档案!$A$4:$P$1203,6,0),""))</f>
        <v/>
      </c>
      <c r="G53" s="23" t="n"/>
      <c r="H53" s="32" t="n"/>
      <c r="I53" s="27">
        <f>IF($A53="","",SUMIFS(入库单!$K$4:$K$2503,入库单!$G$4:$G$2503,$A53,入库单!$X$4:$X$2503,"采购入库",入库单!$Z$4:$Z$2503,"正常",入库单!$C$4:$C$2503,"&gt;="&amp;账期起,入库单!$C$4:$C$2503,"&lt;="&amp;账期止))</f>
        <v/>
      </c>
      <c r="J53" s="26">
        <f>IF($A53="","",SUMIFS(入库单!$V$4:$V$2503,入库单!$G$4:$G$2503,$A53,入库单!$X$4:$X$2503,"采购入库",入库单!$Z$4:$Z$2503,"正常",入库单!$C$4:$C$2503,"&gt;="&amp;账期起,入库单!$C$4:$C$2503,"&lt;="&amp;账期止))</f>
        <v/>
      </c>
      <c r="K53" s="26">
        <f>IF($A53="","",IFERROR(ROUND((N($H53)+N($J53))/(N($G53)+N($I53)),2),0))</f>
        <v/>
      </c>
      <c r="L53" s="27">
        <f>IF($A53="","",SUMIFS(入库单!$K$4:$K$2503,入库单!$G$4:$G$2503,$A53,入库单!$X$4:$X$2503,"盘盈",入库单!$Z$4:$Z$2503,"正常",入库单!$C$4:$C$2503,"&gt;="&amp;账期起,入库单!$C$4:$C$2503,"&lt;="&amp;账期止))</f>
        <v/>
      </c>
      <c r="M53" s="26">
        <f>IF($A53="","",ROUND($L53*$K53,0))</f>
        <v/>
      </c>
      <c r="N53" s="27">
        <f>IF($A53="","",SUMIFS(入库单!$K$4:$K$2503,入库单!$G$4:$G$2503,$A53,入库单!$X$4:$X$2503,"矿区退库",入库单!$Z$4:$Z$2503,"正常",入库单!$C$4:$C$2503,"&gt;="&amp;账期起,入库单!$C$4:$C$2503,"&lt;="&amp;账期止))</f>
        <v/>
      </c>
      <c r="O53" s="26">
        <f>IF($A53="","",ROUND($N53*$K53,0))</f>
        <v/>
      </c>
      <c r="P53" s="27">
        <f>IF($A53="","",SUMIFS(出库单!$J$4:$J$4003,出库单!$D$4:$D$4003,$A53,出库单!$K$4:$K$4003,"自用消耗",出库单!$U$4:$U$4003,"正常",出库单!$C$4:$C$4003,"&gt;="&amp;账期起,出库单!$C$4:$C$4003,"&lt;="&amp;账期止))</f>
        <v/>
      </c>
      <c r="Q53" s="26">
        <f>IF($A53="","",ROUND(SUMIFS(出库单!$S$4:$S$4003,出库单!$D$4:$D$4003,$A53,出库单!$K$4:$K$4003,"自用消耗",出库单!$U$4:$U$4003,"正常",出库单!$C$4:$C$4003,"&gt;="&amp;账期起,出库单!$C$4:$C$4003,"&lt;="&amp;账期止),0))</f>
        <v/>
      </c>
      <c r="R53" s="27">
        <f>IF($A53="","",SUMIFS(出库单!$J$4:$J$4003,出库单!$D$4:$D$4003,$A53,出库单!$K$4:$K$4003,"对外销售",出库单!$U$4:$U$4003,"正常",出库单!$C$4:$C$4003,"&gt;="&amp;账期起,出库单!$C$4:$C$4003,"&lt;="&amp;账期止))</f>
        <v/>
      </c>
      <c r="S53" s="26">
        <f>IF($A53="","",ROUND(SUMIFS(出库单!$S$4:$S$4003,出库单!$D$4:$D$4003,$A53,出库单!$K$4:$K$4003,"对外销售",出库单!$U$4:$U$4003,"正常",出库单!$C$4:$C$4003,"&gt;="&amp;账期起,出库单!$C$4:$C$4003,"&lt;="&amp;账期止),0))</f>
        <v/>
      </c>
      <c r="T53" s="27">
        <f>IF($A53="","",SUMIFS(出库单!$J$4:$J$4003,出库单!$D$4:$D$4003,$A53,出库单!$K$4:$K$4003,"盘亏",出库单!$U$4:$U$4003,"正常",出库单!$C$4:$C$4003,"&gt;="&amp;账期起,出库单!$C$4:$C$4003,"&lt;="&amp;账期止))</f>
        <v/>
      </c>
      <c r="U53" s="26">
        <f>IF($A53="","",ROUND(SUMIFS(出库单!$S$4:$S$4003,出库单!$D$4:$D$4003,$A53,出库单!$K$4:$K$4003,"盘亏",出库单!$U$4:$U$4003,"正常",出库单!$C$4:$C$4003,"&gt;="&amp;账期起,出库单!$C$4:$C$4003,"&lt;="&amp;账期止),0))</f>
        <v/>
      </c>
      <c r="V53" s="27">
        <f>IF($A53="","",SUMIFS(出库单!$J$4:$J$4003,出库单!$D$4:$D$4003,$A53,出库单!$K$4:$K$4003,"退货给供应商",出库单!$U$4:$U$4003,"正常",出库单!$C$4:$C$4003,"&gt;="&amp;账期起,出库单!$C$4:$C$4003,"&lt;="&amp;账期止))</f>
        <v/>
      </c>
      <c r="W53" s="26">
        <f>IF($A53="","",ROUND(SUMIFS(出库单!$S$4:$S$4003,出库单!$D$4:$D$4003,$A53,出库单!$K$4:$K$4003,"退货给供应商",出库单!$U$4:$U$4003,"正常",出库单!$C$4:$C$4003,"&gt;="&amp;账期起,出库单!$C$4:$C$4003,"&lt;="&amp;账期止),0))</f>
        <v/>
      </c>
      <c r="X53" s="27">
        <f>IF($A53="","",ROUND(N($G53)+$I53+$L53+$N53-$P53-$R53-$T53-$V53,3))</f>
        <v/>
      </c>
      <c r="Y53" s="26">
        <f>IF($A53="","",ROUND(N($H53)+$J53+$M53+$O53-$Q53-$S53-$U53-$W53,0))</f>
        <v/>
      </c>
      <c r="Z53" s="24">
        <f>IF($A53="","",IF(COUNTIFS(入库单!$G$4:$G$2503,$A53,入库单!$Y$4:$Y$2503,"待补价")+COUNTIFS(入库单!$G$4:$G$2503,$A53,入库单!$Y$4:$Y$2503,"暂估")&gt;0,"不可信","可信"))</f>
        <v/>
      </c>
      <c r="AA53" s="24">
        <f>IF($A53="","",IF($X53&lt;-0.001,"※账面负库存，查一下是不是漏记入库",IF(AND(ROUND($X53,3)=0,ABS($Y53)&gt;1),"※数量已经是 0，金额还挂着 "&amp;TEXT($Y53,"#,##0")&amp;" 先令",IF(AND($X53&gt;0,$Y53&lt;=0,$K53=0),"※有数量没金额（这个物料一直没填过进价）",IF($Z53="不可信","△成本含待补价/暂估，毛利仅供参考","")))))</f>
        <v/>
      </c>
    </row>
    <row r="54">
      <c r="A54" s="24">
        <f>IF(物料档案!$A53="","",物料档案!$A53)</f>
        <v/>
      </c>
      <c r="B54" s="24">
        <f>IF($A54="","",IFERROR(VLOOKUP($A54,物料档案!$A$4:$P$1203,3,0),""))</f>
        <v/>
      </c>
      <c r="C54" s="24">
        <f>IF($A54="","",IFERROR(VLOOKUP($A54,物料档案!$A$4:$P$1203,4,0),""))</f>
        <v/>
      </c>
      <c r="D54" s="24">
        <f>IF($A54="","",IFERROR(VLOOKUP($A54,物料档案!$A$4:$P$1203,5,0),""))</f>
        <v/>
      </c>
      <c r="E54" s="24">
        <f>IF($A54="","",IFERROR(VLOOKUP($A54,物料档案!$A$4:$P$1203,2,0),""))</f>
        <v/>
      </c>
      <c r="F54" s="24">
        <f>IF($A54="","",IFERROR(VLOOKUP($A54,物料档案!$A$4:$P$1203,6,0),""))</f>
        <v/>
      </c>
      <c r="G54" s="23" t="n"/>
      <c r="H54" s="32" t="n"/>
      <c r="I54" s="27">
        <f>IF($A54="","",SUMIFS(入库单!$K$4:$K$2503,入库单!$G$4:$G$2503,$A54,入库单!$X$4:$X$2503,"采购入库",入库单!$Z$4:$Z$2503,"正常",入库单!$C$4:$C$2503,"&gt;="&amp;账期起,入库单!$C$4:$C$2503,"&lt;="&amp;账期止))</f>
        <v/>
      </c>
      <c r="J54" s="26">
        <f>IF($A54="","",SUMIFS(入库单!$V$4:$V$2503,入库单!$G$4:$G$2503,$A54,入库单!$X$4:$X$2503,"采购入库",入库单!$Z$4:$Z$2503,"正常",入库单!$C$4:$C$2503,"&gt;="&amp;账期起,入库单!$C$4:$C$2503,"&lt;="&amp;账期止))</f>
        <v/>
      </c>
      <c r="K54" s="26">
        <f>IF($A54="","",IFERROR(ROUND((N($H54)+N($J54))/(N($G54)+N($I54)),2),0))</f>
        <v/>
      </c>
      <c r="L54" s="27">
        <f>IF($A54="","",SUMIFS(入库单!$K$4:$K$2503,入库单!$G$4:$G$2503,$A54,入库单!$X$4:$X$2503,"盘盈",入库单!$Z$4:$Z$2503,"正常",入库单!$C$4:$C$2503,"&gt;="&amp;账期起,入库单!$C$4:$C$2503,"&lt;="&amp;账期止))</f>
        <v/>
      </c>
      <c r="M54" s="26">
        <f>IF($A54="","",ROUND($L54*$K54,0))</f>
        <v/>
      </c>
      <c r="N54" s="27">
        <f>IF($A54="","",SUMIFS(入库单!$K$4:$K$2503,入库单!$G$4:$G$2503,$A54,入库单!$X$4:$X$2503,"矿区退库",入库单!$Z$4:$Z$2503,"正常",入库单!$C$4:$C$2503,"&gt;="&amp;账期起,入库单!$C$4:$C$2503,"&lt;="&amp;账期止))</f>
        <v/>
      </c>
      <c r="O54" s="26">
        <f>IF($A54="","",ROUND($N54*$K54,0))</f>
        <v/>
      </c>
      <c r="P54" s="27">
        <f>IF($A54="","",SUMIFS(出库单!$J$4:$J$4003,出库单!$D$4:$D$4003,$A54,出库单!$K$4:$K$4003,"自用消耗",出库单!$U$4:$U$4003,"正常",出库单!$C$4:$C$4003,"&gt;="&amp;账期起,出库单!$C$4:$C$4003,"&lt;="&amp;账期止))</f>
        <v/>
      </c>
      <c r="Q54" s="26">
        <f>IF($A54="","",ROUND(SUMIFS(出库单!$S$4:$S$4003,出库单!$D$4:$D$4003,$A54,出库单!$K$4:$K$4003,"自用消耗",出库单!$U$4:$U$4003,"正常",出库单!$C$4:$C$4003,"&gt;="&amp;账期起,出库单!$C$4:$C$4003,"&lt;="&amp;账期止),0))</f>
        <v/>
      </c>
      <c r="R54" s="27">
        <f>IF($A54="","",SUMIFS(出库单!$J$4:$J$4003,出库单!$D$4:$D$4003,$A54,出库单!$K$4:$K$4003,"对外销售",出库单!$U$4:$U$4003,"正常",出库单!$C$4:$C$4003,"&gt;="&amp;账期起,出库单!$C$4:$C$4003,"&lt;="&amp;账期止))</f>
        <v/>
      </c>
      <c r="S54" s="26">
        <f>IF($A54="","",ROUND(SUMIFS(出库单!$S$4:$S$4003,出库单!$D$4:$D$4003,$A54,出库单!$K$4:$K$4003,"对外销售",出库单!$U$4:$U$4003,"正常",出库单!$C$4:$C$4003,"&gt;="&amp;账期起,出库单!$C$4:$C$4003,"&lt;="&amp;账期止),0))</f>
        <v/>
      </c>
      <c r="T54" s="27">
        <f>IF($A54="","",SUMIFS(出库单!$J$4:$J$4003,出库单!$D$4:$D$4003,$A54,出库单!$K$4:$K$4003,"盘亏",出库单!$U$4:$U$4003,"正常",出库单!$C$4:$C$4003,"&gt;="&amp;账期起,出库单!$C$4:$C$4003,"&lt;="&amp;账期止))</f>
        <v/>
      </c>
      <c r="U54" s="26">
        <f>IF($A54="","",ROUND(SUMIFS(出库单!$S$4:$S$4003,出库单!$D$4:$D$4003,$A54,出库单!$K$4:$K$4003,"盘亏",出库单!$U$4:$U$4003,"正常",出库单!$C$4:$C$4003,"&gt;="&amp;账期起,出库单!$C$4:$C$4003,"&lt;="&amp;账期止),0))</f>
        <v/>
      </c>
      <c r="V54" s="27">
        <f>IF($A54="","",SUMIFS(出库单!$J$4:$J$4003,出库单!$D$4:$D$4003,$A54,出库单!$K$4:$K$4003,"退货给供应商",出库单!$U$4:$U$4003,"正常",出库单!$C$4:$C$4003,"&gt;="&amp;账期起,出库单!$C$4:$C$4003,"&lt;="&amp;账期止))</f>
        <v/>
      </c>
      <c r="W54" s="26">
        <f>IF($A54="","",ROUND(SUMIFS(出库单!$S$4:$S$4003,出库单!$D$4:$D$4003,$A54,出库单!$K$4:$K$4003,"退货给供应商",出库单!$U$4:$U$4003,"正常",出库单!$C$4:$C$4003,"&gt;="&amp;账期起,出库单!$C$4:$C$4003,"&lt;="&amp;账期止),0))</f>
        <v/>
      </c>
      <c r="X54" s="27">
        <f>IF($A54="","",ROUND(N($G54)+$I54+$L54+$N54-$P54-$R54-$T54-$V54,3))</f>
        <v/>
      </c>
      <c r="Y54" s="26">
        <f>IF($A54="","",ROUND(N($H54)+$J54+$M54+$O54-$Q54-$S54-$U54-$W54,0))</f>
        <v/>
      </c>
      <c r="Z54" s="24">
        <f>IF($A54="","",IF(COUNTIFS(入库单!$G$4:$G$2503,$A54,入库单!$Y$4:$Y$2503,"待补价")+COUNTIFS(入库单!$G$4:$G$2503,$A54,入库单!$Y$4:$Y$2503,"暂估")&gt;0,"不可信","可信"))</f>
        <v/>
      </c>
      <c r="AA54" s="24">
        <f>IF($A54="","",IF($X54&lt;-0.001,"※账面负库存，查一下是不是漏记入库",IF(AND(ROUND($X54,3)=0,ABS($Y54)&gt;1),"※数量已经是 0，金额还挂着 "&amp;TEXT($Y54,"#,##0")&amp;" 先令",IF(AND($X54&gt;0,$Y54&lt;=0,$K54=0),"※有数量没金额（这个物料一直没填过进价）",IF($Z54="不可信","△成本含待补价/暂估，毛利仅供参考","")))))</f>
        <v/>
      </c>
    </row>
    <row r="55">
      <c r="A55" s="24">
        <f>IF(物料档案!$A54="","",物料档案!$A54)</f>
        <v/>
      </c>
      <c r="B55" s="24">
        <f>IF($A55="","",IFERROR(VLOOKUP($A55,物料档案!$A$4:$P$1203,3,0),""))</f>
        <v/>
      </c>
      <c r="C55" s="24">
        <f>IF($A55="","",IFERROR(VLOOKUP($A55,物料档案!$A$4:$P$1203,4,0),""))</f>
        <v/>
      </c>
      <c r="D55" s="24">
        <f>IF($A55="","",IFERROR(VLOOKUP($A55,物料档案!$A$4:$P$1203,5,0),""))</f>
        <v/>
      </c>
      <c r="E55" s="24">
        <f>IF($A55="","",IFERROR(VLOOKUP($A55,物料档案!$A$4:$P$1203,2,0),""))</f>
        <v/>
      </c>
      <c r="F55" s="24">
        <f>IF($A55="","",IFERROR(VLOOKUP($A55,物料档案!$A$4:$P$1203,6,0),""))</f>
        <v/>
      </c>
      <c r="G55" s="23" t="n"/>
      <c r="H55" s="32" t="n"/>
      <c r="I55" s="27">
        <f>IF($A55="","",SUMIFS(入库单!$K$4:$K$2503,入库单!$G$4:$G$2503,$A55,入库单!$X$4:$X$2503,"采购入库",入库单!$Z$4:$Z$2503,"正常",入库单!$C$4:$C$2503,"&gt;="&amp;账期起,入库单!$C$4:$C$2503,"&lt;="&amp;账期止))</f>
        <v/>
      </c>
      <c r="J55" s="26">
        <f>IF($A55="","",SUMIFS(入库单!$V$4:$V$2503,入库单!$G$4:$G$2503,$A55,入库单!$X$4:$X$2503,"采购入库",入库单!$Z$4:$Z$2503,"正常",入库单!$C$4:$C$2503,"&gt;="&amp;账期起,入库单!$C$4:$C$2503,"&lt;="&amp;账期止))</f>
        <v/>
      </c>
      <c r="K55" s="26">
        <f>IF($A55="","",IFERROR(ROUND((N($H55)+N($J55))/(N($G55)+N($I55)),2),0))</f>
        <v/>
      </c>
      <c r="L55" s="27">
        <f>IF($A55="","",SUMIFS(入库单!$K$4:$K$2503,入库单!$G$4:$G$2503,$A55,入库单!$X$4:$X$2503,"盘盈",入库单!$Z$4:$Z$2503,"正常",入库单!$C$4:$C$2503,"&gt;="&amp;账期起,入库单!$C$4:$C$2503,"&lt;="&amp;账期止))</f>
        <v/>
      </c>
      <c r="M55" s="26">
        <f>IF($A55="","",ROUND($L55*$K55,0))</f>
        <v/>
      </c>
      <c r="N55" s="27">
        <f>IF($A55="","",SUMIFS(入库单!$K$4:$K$2503,入库单!$G$4:$G$2503,$A55,入库单!$X$4:$X$2503,"矿区退库",入库单!$Z$4:$Z$2503,"正常",入库单!$C$4:$C$2503,"&gt;="&amp;账期起,入库单!$C$4:$C$2503,"&lt;="&amp;账期止))</f>
        <v/>
      </c>
      <c r="O55" s="26">
        <f>IF($A55="","",ROUND($N55*$K55,0))</f>
        <v/>
      </c>
      <c r="P55" s="27">
        <f>IF($A55="","",SUMIFS(出库单!$J$4:$J$4003,出库单!$D$4:$D$4003,$A55,出库单!$K$4:$K$4003,"自用消耗",出库单!$U$4:$U$4003,"正常",出库单!$C$4:$C$4003,"&gt;="&amp;账期起,出库单!$C$4:$C$4003,"&lt;="&amp;账期止))</f>
        <v/>
      </c>
      <c r="Q55" s="26">
        <f>IF($A55="","",ROUND(SUMIFS(出库单!$S$4:$S$4003,出库单!$D$4:$D$4003,$A55,出库单!$K$4:$K$4003,"自用消耗",出库单!$U$4:$U$4003,"正常",出库单!$C$4:$C$4003,"&gt;="&amp;账期起,出库单!$C$4:$C$4003,"&lt;="&amp;账期止),0))</f>
        <v/>
      </c>
      <c r="R55" s="27">
        <f>IF($A55="","",SUMIFS(出库单!$J$4:$J$4003,出库单!$D$4:$D$4003,$A55,出库单!$K$4:$K$4003,"对外销售",出库单!$U$4:$U$4003,"正常",出库单!$C$4:$C$4003,"&gt;="&amp;账期起,出库单!$C$4:$C$4003,"&lt;="&amp;账期止))</f>
        <v/>
      </c>
      <c r="S55" s="26">
        <f>IF($A55="","",ROUND(SUMIFS(出库单!$S$4:$S$4003,出库单!$D$4:$D$4003,$A55,出库单!$K$4:$K$4003,"对外销售",出库单!$U$4:$U$4003,"正常",出库单!$C$4:$C$4003,"&gt;="&amp;账期起,出库单!$C$4:$C$4003,"&lt;="&amp;账期止),0))</f>
        <v/>
      </c>
      <c r="T55" s="27">
        <f>IF($A55="","",SUMIFS(出库单!$J$4:$J$4003,出库单!$D$4:$D$4003,$A55,出库单!$K$4:$K$4003,"盘亏",出库单!$U$4:$U$4003,"正常",出库单!$C$4:$C$4003,"&gt;="&amp;账期起,出库单!$C$4:$C$4003,"&lt;="&amp;账期止))</f>
        <v/>
      </c>
      <c r="U55" s="26">
        <f>IF($A55="","",ROUND(SUMIFS(出库单!$S$4:$S$4003,出库单!$D$4:$D$4003,$A55,出库单!$K$4:$K$4003,"盘亏",出库单!$U$4:$U$4003,"正常",出库单!$C$4:$C$4003,"&gt;="&amp;账期起,出库单!$C$4:$C$4003,"&lt;="&amp;账期止),0))</f>
        <v/>
      </c>
      <c r="V55" s="27">
        <f>IF($A55="","",SUMIFS(出库单!$J$4:$J$4003,出库单!$D$4:$D$4003,$A55,出库单!$K$4:$K$4003,"退货给供应商",出库单!$U$4:$U$4003,"正常",出库单!$C$4:$C$4003,"&gt;="&amp;账期起,出库单!$C$4:$C$4003,"&lt;="&amp;账期止))</f>
        <v/>
      </c>
      <c r="W55" s="26">
        <f>IF($A55="","",ROUND(SUMIFS(出库单!$S$4:$S$4003,出库单!$D$4:$D$4003,$A55,出库单!$K$4:$K$4003,"退货给供应商",出库单!$U$4:$U$4003,"正常",出库单!$C$4:$C$4003,"&gt;="&amp;账期起,出库单!$C$4:$C$4003,"&lt;="&amp;账期止),0))</f>
        <v/>
      </c>
      <c r="X55" s="27">
        <f>IF($A55="","",ROUND(N($G55)+$I55+$L55+$N55-$P55-$R55-$T55-$V55,3))</f>
        <v/>
      </c>
      <c r="Y55" s="26">
        <f>IF($A55="","",ROUND(N($H55)+$J55+$M55+$O55-$Q55-$S55-$U55-$W55,0))</f>
        <v/>
      </c>
      <c r="Z55" s="24">
        <f>IF($A55="","",IF(COUNTIFS(入库单!$G$4:$G$2503,$A55,入库单!$Y$4:$Y$2503,"待补价")+COUNTIFS(入库单!$G$4:$G$2503,$A55,入库单!$Y$4:$Y$2503,"暂估")&gt;0,"不可信","可信"))</f>
        <v/>
      </c>
      <c r="AA55" s="24">
        <f>IF($A55="","",IF($X55&lt;-0.001,"※账面负库存，查一下是不是漏记入库",IF(AND(ROUND($X55,3)=0,ABS($Y55)&gt;1),"※数量已经是 0，金额还挂着 "&amp;TEXT($Y55,"#,##0")&amp;" 先令",IF(AND($X55&gt;0,$Y55&lt;=0,$K55=0),"※有数量没金额（这个物料一直没填过进价）",IF($Z55="不可信","△成本含待补价/暂估，毛利仅供参考","")))))</f>
        <v/>
      </c>
    </row>
    <row r="56">
      <c r="A56" s="24">
        <f>IF(物料档案!$A55="","",物料档案!$A55)</f>
        <v/>
      </c>
      <c r="B56" s="24">
        <f>IF($A56="","",IFERROR(VLOOKUP($A56,物料档案!$A$4:$P$1203,3,0),""))</f>
        <v/>
      </c>
      <c r="C56" s="24">
        <f>IF($A56="","",IFERROR(VLOOKUP($A56,物料档案!$A$4:$P$1203,4,0),""))</f>
        <v/>
      </c>
      <c r="D56" s="24">
        <f>IF($A56="","",IFERROR(VLOOKUP($A56,物料档案!$A$4:$P$1203,5,0),""))</f>
        <v/>
      </c>
      <c r="E56" s="24">
        <f>IF($A56="","",IFERROR(VLOOKUP($A56,物料档案!$A$4:$P$1203,2,0),""))</f>
        <v/>
      </c>
      <c r="F56" s="24">
        <f>IF($A56="","",IFERROR(VLOOKUP($A56,物料档案!$A$4:$P$1203,6,0),""))</f>
        <v/>
      </c>
      <c r="G56" s="23" t="n"/>
      <c r="H56" s="32" t="n"/>
      <c r="I56" s="27">
        <f>IF($A56="","",SUMIFS(入库单!$K$4:$K$2503,入库单!$G$4:$G$2503,$A56,入库单!$X$4:$X$2503,"采购入库",入库单!$Z$4:$Z$2503,"正常",入库单!$C$4:$C$2503,"&gt;="&amp;账期起,入库单!$C$4:$C$2503,"&lt;="&amp;账期止))</f>
        <v/>
      </c>
      <c r="J56" s="26">
        <f>IF($A56="","",SUMIFS(入库单!$V$4:$V$2503,入库单!$G$4:$G$2503,$A56,入库单!$X$4:$X$2503,"采购入库",入库单!$Z$4:$Z$2503,"正常",入库单!$C$4:$C$2503,"&gt;="&amp;账期起,入库单!$C$4:$C$2503,"&lt;="&amp;账期止))</f>
        <v/>
      </c>
      <c r="K56" s="26">
        <f>IF($A56="","",IFERROR(ROUND((N($H56)+N($J56))/(N($G56)+N($I56)),2),0))</f>
        <v/>
      </c>
      <c r="L56" s="27">
        <f>IF($A56="","",SUMIFS(入库单!$K$4:$K$2503,入库单!$G$4:$G$2503,$A56,入库单!$X$4:$X$2503,"盘盈",入库单!$Z$4:$Z$2503,"正常",入库单!$C$4:$C$2503,"&gt;="&amp;账期起,入库单!$C$4:$C$2503,"&lt;="&amp;账期止))</f>
        <v/>
      </c>
      <c r="M56" s="26">
        <f>IF($A56="","",ROUND($L56*$K56,0))</f>
        <v/>
      </c>
      <c r="N56" s="27">
        <f>IF($A56="","",SUMIFS(入库单!$K$4:$K$2503,入库单!$G$4:$G$2503,$A56,入库单!$X$4:$X$2503,"矿区退库",入库单!$Z$4:$Z$2503,"正常",入库单!$C$4:$C$2503,"&gt;="&amp;账期起,入库单!$C$4:$C$2503,"&lt;="&amp;账期止))</f>
        <v/>
      </c>
      <c r="O56" s="26">
        <f>IF($A56="","",ROUND($N56*$K56,0))</f>
        <v/>
      </c>
      <c r="P56" s="27">
        <f>IF($A56="","",SUMIFS(出库单!$J$4:$J$4003,出库单!$D$4:$D$4003,$A56,出库单!$K$4:$K$4003,"自用消耗",出库单!$U$4:$U$4003,"正常",出库单!$C$4:$C$4003,"&gt;="&amp;账期起,出库单!$C$4:$C$4003,"&lt;="&amp;账期止))</f>
        <v/>
      </c>
      <c r="Q56" s="26">
        <f>IF($A56="","",ROUND(SUMIFS(出库单!$S$4:$S$4003,出库单!$D$4:$D$4003,$A56,出库单!$K$4:$K$4003,"自用消耗",出库单!$U$4:$U$4003,"正常",出库单!$C$4:$C$4003,"&gt;="&amp;账期起,出库单!$C$4:$C$4003,"&lt;="&amp;账期止),0))</f>
        <v/>
      </c>
      <c r="R56" s="27">
        <f>IF($A56="","",SUMIFS(出库单!$J$4:$J$4003,出库单!$D$4:$D$4003,$A56,出库单!$K$4:$K$4003,"对外销售",出库单!$U$4:$U$4003,"正常",出库单!$C$4:$C$4003,"&gt;="&amp;账期起,出库单!$C$4:$C$4003,"&lt;="&amp;账期止))</f>
        <v/>
      </c>
      <c r="S56" s="26">
        <f>IF($A56="","",ROUND(SUMIFS(出库单!$S$4:$S$4003,出库单!$D$4:$D$4003,$A56,出库单!$K$4:$K$4003,"对外销售",出库单!$U$4:$U$4003,"正常",出库单!$C$4:$C$4003,"&gt;="&amp;账期起,出库单!$C$4:$C$4003,"&lt;="&amp;账期止),0))</f>
        <v/>
      </c>
      <c r="T56" s="27">
        <f>IF($A56="","",SUMIFS(出库单!$J$4:$J$4003,出库单!$D$4:$D$4003,$A56,出库单!$K$4:$K$4003,"盘亏",出库单!$U$4:$U$4003,"正常",出库单!$C$4:$C$4003,"&gt;="&amp;账期起,出库单!$C$4:$C$4003,"&lt;="&amp;账期止))</f>
        <v/>
      </c>
      <c r="U56" s="26">
        <f>IF($A56="","",ROUND(SUMIFS(出库单!$S$4:$S$4003,出库单!$D$4:$D$4003,$A56,出库单!$K$4:$K$4003,"盘亏",出库单!$U$4:$U$4003,"正常",出库单!$C$4:$C$4003,"&gt;="&amp;账期起,出库单!$C$4:$C$4003,"&lt;="&amp;账期止),0))</f>
        <v/>
      </c>
      <c r="V56" s="27">
        <f>IF($A56="","",SUMIFS(出库单!$J$4:$J$4003,出库单!$D$4:$D$4003,$A56,出库单!$K$4:$K$4003,"退货给供应商",出库单!$U$4:$U$4003,"正常",出库单!$C$4:$C$4003,"&gt;="&amp;账期起,出库单!$C$4:$C$4003,"&lt;="&amp;账期止))</f>
        <v/>
      </c>
      <c r="W56" s="26">
        <f>IF($A56="","",ROUND(SUMIFS(出库单!$S$4:$S$4003,出库单!$D$4:$D$4003,$A56,出库单!$K$4:$K$4003,"退货给供应商",出库单!$U$4:$U$4003,"正常",出库单!$C$4:$C$4003,"&gt;="&amp;账期起,出库单!$C$4:$C$4003,"&lt;="&amp;账期止),0))</f>
        <v/>
      </c>
      <c r="X56" s="27">
        <f>IF($A56="","",ROUND(N($G56)+$I56+$L56+$N56-$P56-$R56-$T56-$V56,3))</f>
        <v/>
      </c>
      <c r="Y56" s="26">
        <f>IF($A56="","",ROUND(N($H56)+$J56+$M56+$O56-$Q56-$S56-$U56-$W56,0))</f>
        <v/>
      </c>
      <c r="Z56" s="24">
        <f>IF($A56="","",IF(COUNTIFS(入库单!$G$4:$G$2503,$A56,入库单!$Y$4:$Y$2503,"待补价")+COUNTIFS(入库单!$G$4:$G$2503,$A56,入库单!$Y$4:$Y$2503,"暂估")&gt;0,"不可信","可信"))</f>
        <v/>
      </c>
      <c r="AA56" s="24">
        <f>IF($A56="","",IF($X56&lt;-0.001,"※账面负库存，查一下是不是漏记入库",IF(AND(ROUND($X56,3)=0,ABS($Y56)&gt;1),"※数量已经是 0，金额还挂着 "&amp;TEXT($Y56,"#,##0")&amp;" 先令",IF(AND($X56&gt;0,$Y56&lt;=0,$K56=0),"※有数量没金额（这个物料一直没填过进价）",IF($Z56="不可信","△成本含待补价/暂估，毛利仅供参考","")))))</f>
        <v/>
      </c>
    </row>
    <row r="57">
      <c r="A57" s="24">
        <f>IF(物料档案!$A56="","",物料档案!$A56)</f>
        <v/>
      </c>
      <c r="B57" s="24">
        <f>IF($A57="","",IFERROR(VLOOKUP($A57,物料档案!$A$4:$P$1203,3,0),""))</f>
        <v/>
      </c>
      <c r="C57" s="24">
        <f>IF($A57="","",IFERROR(VLOOKUP($A57,物料档案!$A$4:$P$1203,4,0),""))</f>
        <v/>
      </c>
      <c r="D57" s="24">
        <f>IF($A57="","",IFERROR(VLOOKUP($A57,物料档案!$A$4:$P$1203,5,0),""))</f>
        <v/>
      </c>
      <c r="E57" s="24">
        <f>IF($A57="","",IFERROR(VLOOKUP($A57,物料档案!$A$4:$P$1203,2,0),""))</f>
        <v/>
      </c>
      <c r="F57" s="24">
        <f>IF($A57="","",IFERROR(VLOOKUP($A57,物料档案!$A$4:$P$1203,6,0),""))</f>
        <v/>
      </c>
      <c r="G57" s="23" t="n"/>
      <c r="H57" s="32" t="n"/>
      <c r="I57" s="27">
        <f>IF($A57="","",SUMIFS(入库单!$K$4:$K$2503,入库单!$G$4:$G$2503,$A57,入库单!$X$4:$X$2503,"采购入库",入库单!$Z$4:$Z$2503,"正常",入库单!$C$4:$C$2503,"&gt;="&amp;账期起,入库单!$C$4:$C$2503,"&lt;="&amp;账期止))</f>
        <v/>
      </c>
      <c r="J57" s="26">
        <f>IF($A57="","",SUMIFS(入库单!$V$4:$V$2503,入库单!$G$4:$G$2503,$A57,入库单!$X$4:$X$2503,"采购入库",入库单!$Z$4:$Z$2503,"正常",入库单!$C$4:$C$2503,"&gt;="&amp;账期起,入库单!$C$4:$C$2503,"&lt;="&amp;账期止))</f>
        <v/>
      </c>
      <c r="K57" s="26">
        <f>IF($A57="","",IFERROR(ROUND((N($H57)+N($J57))/(N($G57)+N($I57)),2),0))</f>
        <v/>
      </c>
      <c r="L57" s="27">
        <f>IF($A57="","",SUMIFS(入库单!$K$4:$K$2503,入库单!$G$4:$G$2503,$A57,入库单!$X$4:$X$2503,"盘盈",入库单!$Z$4:$Z$2503,"正常",入库单!$C$4:$C$2503,"&gt;="&amp;账期起,入库单!$C$4:$C$2503,"&lt;="&amp;账期止))</f>
        <v/>
      </c>
      <c r="M57" s="26">
        <f>IF($A57="","",ROUND($L57*$K57,0))</f>
        <v/>
      </c>
      <c r="N57" s="27">
        <f>IF($A57="","",SUMIFS(入库单!$K$4:$K$2503,入库单!$G$4:$G$2503,$A57,入库单!$X$4:$X$2503,"矿区退库",入库单!$Z$4:$Z$2503,"正常",入库单!$C$4:$C$2503,"&gt;="&amp;账期起,入库单!$C$4:$C$2503,"&lt;="&amp;账期止))</f>
        <v/>
      </c>
      <c r="O57" s="26">
        <f>IF($A57="","",ROUND($N57*$K57,0))</f>
        <v/>
      </c>
      <c r="P57" s="27">
        <f>IF($A57="","",SUMIFS(出库单!$J$4:$J$4003,出库单!$D$4:$D$4003,$A57,出库单!$K$4:$K$4003,"自用消耗",出库单!$U$4:$U$4003,"正常",出库单!$C$4:$C$4003,"&gt;="&amp;账期起,出库单!$C$4:$C$4003,"&lt;="&amp;账期止))</f>
        <v/>
      </c>
      <c r="Q57" s="26">
        <f>IF($A57="","",ROUND(SUMIFS(出库单!$S$4:$S$4003,出库单!$D$4:$D$4003,$A57,出库单!$K$4:$K$4003,"自用消耗",出库单!$U$4:$U$4003,"正常",出库单!$C$4:$C$4003,"&gt;="&amp;账期起,出库单!$C$4:$C$4003,"&lt;="&amp;账期止),0))</f>
        <v/>
      </c>
      <c r="R57" s="27">
        <f>IF($A57="","",SUMIFS(出库单!$J$4:$J$4003,出库单!$D$4:$D$4003,$A57,出库单!$K$4:$K$4003,"对外销售",出库单!$U$4:$U$4003,"正常",出库单!$C$4:$C$4003,"&gt;="&amp;账期起,出库单!$C$4:$C$4003,"&lt;="&amp;账期止))</f>
        <v/>
      </c>
      <c r="S57" s="26">
        <f>IF($A57="","",ROUND(SUMIFS(出库单!$S$4:$S$4003,出库单!$D$4:$D$4003,$A57,出库单!$K$4:$K$4003,"对外销售",出库单!$U$4:$U$4003,"正常",出库单!$C$4:$C$4003,"&gt;="&amp;账期起,出库单!$C$4:$C$4003,"&lt;="&amp;账期止),0))</f>
        <v/>
      </c>
      <c r="T57" s="27">
        <f>IF($A57="","",SUMIFS(出库单!$J$4:$J$4003,出库单!$D$4:$D$4003,$A57,出库单!$K$4:$K$4003,"盘亏",出库单!$U$4:$U$4003,"正常",出库单!$C$4:$C$4003,"&gt;="&amp;账期起,出库单!$C$4:$C$4003,"&lt;="&amp;账期止))</f>
        <v/>
      </c>
      <c r="U57" s="26">
        <f>IF($A57="","",ROUND(SUMIFS(出库单!$S$4:$S$4003,出库单!$D$4:$D$4003,$A57,出库单!$K$4:$K$4003,"盘亏",出库单!$U$4:$U$4003,"正常",出库单!$C$4:$C$4003,"&gt;="&amp;账期起,出库单!$C$4:$C$4003,"&lt;="&amp;账期止),0))</f>
        <v/>
      </c>
      <c r="V57" s="27">
        <f>IF($A57="","",SUMIFS(出库单!$J$4:$J$4003,出库单!$D$4:$D$4003,$A57,出库单!$K$4:$K$4003,"退货给供应商",出库单!$U$4:$U$4003,"正常",出库单!$C$4:$C$4003,"&gt;="&amp;账期起,出库单!$C$4:$C$4003,"&lt;="&amp;账期止))</f>
        <v/>
      </c>
      <c r="W57" s="26">
        <f>IF($A57="","",ROUND(SUMIFS(出库单!$S$4:$S$4003,出库单!$D$4:$D$4003,$A57,出库单!$K$4:$K$4003,"退货给供应商",出库单!$U$4:$U$4003,"正常",出库单!$C$4:$C$4003,"&gt;="&amp;账期起,出库单!$C$4:$C$4003,"&lt;="&amp;账期止),0))</f>
        <v/>
      </c>
      <c r="X57" s="27">
        <f>IF($A57="","",ROUND(N($G57)+$I57+$L57+$N57-$P57-$R57-$T57-$V57,3))</f>
        <v/>
      </c>
      <c r="Y57" s="26">
        <f>IF($A57="","",ROUND(N($H57)+$J57+$M57+$O57-$Q57-$S57-$U57-$W57,0))</f>
        <v/>
      </c>
      <c r="Z57" s="24">
        <f>IF($A57="","",IF(COUNTIFS(入库单!$G$4:$G$2503,$A57,入库单!$Y$4:$Y$2503,"待补价")+COUNTIFS(入库单!$G$4:$G$2503,$A57,入库单!$Y$4:$Y$2503,"暂估")&gt;0,"不可信","可信"))</f>
        <v/>
      </c>
      <c r="AA57" s="24">
        <f>IF($A57="","",IF($X57&lt;-0.001,"※账面负库存，查一下是不是漏记入库",IF(AND(ROUND($X57,3)=0,ABS($Y57)&gt;1),"※数量已经是 0，金额还挂着 "&amp;TEXT($Y57,"#,##0")&amp;" 先令",IF(AND($X57&gt;0,$Y57&lt;=0,$K57=0),"※有数量没金额（这个物料一直没填过进价）",IF($Z57="不可信","△成本含待补价/暂估，毛利仅供参考","")))))</f>
        <v/>
      </c>
    </row>
    <row r="58">
      <c r="A58" s="24">
        <f>IF(物料档案!$A57="","",物料档案!$A57)</f>
        <v/>
      </c>
      <c r="B58" s="24">
        <f>IF($A58="","",IFERROR(VLOOKUP($A58,物料档案!$A$4:$P$1203,3,0),""))</f>
        <v/>
      </c>
      <c r="C58" s="24">
        <f>IF($A58="","",IFERROR(VLOOKUP($A58,物料档案!$A$4:$P$1203,4,0),""))</f>
        <v/>
      </c>
      <c r="D58" s="24">
        <f>IF($A58="","",IFERROR(VLOOKUP($A58,物料档案!$A$4:$P$1203,5,0),""))</f>
        <v/>
      </c>
      <c r="E58" s="24">
        <f>IF($A58="","",IFERROR(VLOOKUP($A58,物料档案!$A$4:$P$1203,2,0),""))</f>
        <v/>
      </c>
      <c r="F58" s="24">
        <f>IF($A58="","",IFERROR(VLOOKUP($A58,物料档案!$A$4:$P$1203,6,0),""))</f>
        <v/>
      </c>
      <c r="G58" s="23" t="n"/>
      <c r="H58" s="32" t="n"/>
      <c r="I58" s="27">
        <f>IF($A58="","",SUMIFS(入库单!$K$4:$K$2503,入库单!$G$4:$G$2503,$A58,入库单!$X$4:$X$2503,"采购入库",入库单!$Z$4:$Z$2503,"正常",入库单!$C$4:$C$2503,"&gt;="&amp;账期起,入库单!$C$4:$C$2503,"&lt;="&amp;账期止))</f>
        <v/>
      </c>
      <c r="J58" s="26">
        <f>IF($A58="","",SUMIFS(入库单!$V$4:$V$2503,入库单!$G$4:$G$2503,$A58,入库单!$X$4:$X$2503,"采购入库",入库单!$Z$4:$Z$2503,"正常",入库单!$C$4:$C$2503,"&gt;="&amp;账期起,入库单!$C$4:$C$2503,"&lt;="&amp;账期止))</f>
        <v/>
      </c>
      <c r="K58" s="26">
        <f>IF($A58="","",IFERROR(ROUND((N($H58)+N($J58))/(N($G58)+N($I58)),2),0))</f>
        <v/>
      </c>
      <c r="L58" s="27">
        <f>IF($A58="","",SUMIFS(入库单!$K$4:$K$2503,入库单!$G$4:$G$2503,$A58,入库单!$X$4:$X$2503,"盘盈",入库单!$Z$4:$Z$2503,"正常",入库单!$C$4:$C$2503,"&gt;="&amp;账期起,入库单!$C$4:$C$2503,"&lt;="&amp;账期止))</f>
        <v/>
      </c>
      <c r="M58" s="26">
        <f>IF($A58="","",ROUND($L58*$K58,0))</f>
        <v/>
      </c>
      <c r="N58" s="27">
        <f>IF($A58="","",SUMIFS(入库单!$K$4:$K$2503,入库单!$G$4:$G$2503,$A58,入库单!$X$4:$X$2503,"矿区退库",入库单!$Z$4:$Z$2503,"正常",入库单!$C$4:$C$2503,"&gt;="&amp;账期起,入库单!$C$4:$C$2503,"&lt;="&amp;账期止))</f>
        <v/>
      </c>
      <c r="O58" s="26">
        <f>IF($A58="","",ROUND($N58*$K58,0))</f>
        <v/>
      </c>
      <c r="P58" s="27">
        <f>IF($A58="","",SUMIFS(出库单!$J$4:$J$4003,出库单!$D$4:$D$4003,$A58,出库单!$K$4:$K$4003,"自用消耗",出库单!$U$4:$U$4003,"正常",出库单!$C$4:$C$4003,"&gt;="&amp;账期起,出库单!$C$4:$C$4003,"&lt;="&amp;账期止))</f>
        <v/>
      </c>
      <c r="Q58" s="26">
        <f>IF($A58="","",ROUND(SUMIFS(出库单!$S$4:$S$4003,出库单!$D$4:$D$4003,$A58,出库单!$K$4:$K$4003,"自用消耗",出库单!$U$4:$U$4003,"正常",出库单!$C$4:$C$4003,"&gt;="&amp;账期起,出库单!$C$4:$C$4003,"&lt;="&amp;账期止),0))</f>
        <v/>
      </c>
      <c r="R58" s="27">
        <f>IF($A58="","",SUMIFS(出库单!$J$4:$J$4003,出库单!$D$4:$D$4003,$A58,出库单!$K$4:$K$4003,"对外销售",出库单!$U$4:$U$4003,"正常",出库单!$C$4:$C$4003,"&gt;="&amp;账期起,出库单!$C$4:$C$4003,"&lt;="&amp;账期止))</f>
        <v/>
      </c>
      <c r="S58" s="26">
        <f>IF($A58="","",ROUND(SUMIFS(出库单!$S$4:$S$4003,出库单!$D$4:$D$4003,$A58,出库单!$K$4:$K$4003,"对外销售",出库单!$U$4:$U$4003,"正常",出库单!$C$4:$C$4003,"&gt;="&amp;账期起,出库单!$C$4:$C$4003,"&lt;="&amp;账期止),0))</f>
        <v/>
      </c>
      <c r="T58" s="27">
        <f>IF($A58="","",SUMIFS(出库单!$J$4:$J$4003,出库单!$D$4:$D$4003,$A58,出库单!$K$4:$K$4003,"盘亏",出库单!$U$4:$U$4003,"正常",出库单!$C$4:$C$4003,"&gt;="&amp;账期起,出库单!$C$4:$C$4003,"&lt;="&amp;账期止))</f>
        <v/>
      </c>
      <c r="U58" s="26">
        <f>IF($A58="","",ROUND(SUMIFS(出库单!$S$4:$S$4003,出库单!$D$4:$D$4003,$A58,出库单!$K$4:$K$4003,"盘亏",出库单!$U$4:$U$4003,"正常",出库单!$C$4:$C$4003,"&gt;="&amp;账期起,出库单!$C$4:$C$4003,"&lt;="&amp;账期止),0))</f>
        <v/>
      </c>
      <c r="V58" s="27">
        <f>IF($A58="","",SUMIFS(出库单!$J$4:$J$4003,出库单!$D$4:$D$4003,$A58,出库单!$K$4:$K$4003,"退货给供应商",出库单!$U$4:$U$4003,"正常",出库单!$C$4:$C$4003,"&gt;="&amp;账期起,出库单!$C$4:$C$4003,"&lt;="&amp;账期止))</f>
        <v/>
      </c>
      <c r="W58" s="26">
        <f>IF($A58="","",ROUND(SUMIFS(出库单!$S$4:$S$4003,出库单!$D$4:$D$4003,$A58,出库单!$K$4:$K$4003,"退货给供应商",出库单!$U$4:$U$4003,"正常",出库单!$C$4:$C$4003,"&gt;="&amp;账期起,出库单!$C$4:$C$4003,"&lt;="&amp;账期止),0))</f>
        <v/>
      </c>
      <c r="X58" s="27">
        <f>IF($A58="","",ROUND(N($G58)+$I58+$L58+$N58-$P58-$R58-$T58-$V58,3))</f>
        <v/>
      </c>
      <c r="Y58" s="26">
        <f>IF($A58="","",ROUND(N($H58)+$J58+$M58+$O58-$Q58-$S58-$U58-$W58,0))</f>
        <v/>
      </c>
      <c r="Z58" s="24">
        <f>IF($A58="","",IF(COUNTIFS(入库单!$G$4:$G$2503,$A58,入库单!$Y$4:$Y$2503,"待补价")+COUNTIFS(入库单!$G$4:$G$2503,$A58,入库单!$Y$4:$Y$2503,"暂估")&gt;0,"不可信","可信"))</f>
        <v/>
      </c>
      <c r="AA58" s="24">
        <f>IF($A58="","",IF($X58&lt;-0.001,"※账面负库存，查一下是不是漏记入库",IF(AND(ROUND($X58,3)=0,ABS($Y58)&gt;1),"※数量已经是 0，金额还挂着 "&amp;TEXT($Y58,"#,##0")&amp;" 先令",IF(AND($X58&gt;0,$Y58&lt;=0,$K58=0),"※有数量没金额（这个物料一直没填过进价）",IF($Z58="不可信","△成本含待补价/暂估，毛利仅供参考","")))))</f>
        <v/>
      </c>
    </row>
    <row r="59">
      <c r="A59" s="24">
        <f>IF(物料档案!$A58="","",物料档案!$A58)</f>
        <v/>
      </c>
      <c r="B59" s="24">
        <f>IF($A59="","",IFERROR(VLOOKUP($A59,物料档案!$A$4:$P$1203,3,0),""))</f>
        <v/>
      </c>
      <c r="C59" s="24">
        <f>IF($A59="","",IFERROR(VLOOKUP($A59,物料档案!$A$4:$P$1203,4,0),""))</f>
        <v/>
      </c>
      <c r="D59" s="24">
        <f>IF($A59="","",IFERROR(VLOOKUP($A59,物料档案!$A$4:$P$1203,5,0),""))</f>
        <v/>
      </c>
      <c r="E59" s="24">
        <f>IF($A59="","",IFERROR(VLOOKUP($A59,物料档案!$A$4:$P$1203,2,0),""))</f>
        <v/>
      </c>
      <c r="F59" s="24">
        <f>IF($A59="","",IFERROR(VLOOKUP($A59,物料档案!$A$4:$P$1203,6,0),""))</f>
        <v/>
      </c>
      <c r="G59" s="23" t="n"/>
      <c r="H59" s="32" t="n"/>
      <c r="I59" s="27">
        <f>IF($A59="","",SUMIFS(入库单!$K$4:$K$2503,入库单!$G$4:$G$2503,$A59,入库单!$X$4:$X$2503,"采购入库",入库单!$Z$4:$Z$2503,"正常",入库单!$C$4:$C$2503,"&gt;="&amp;账期起,入库单!$C$4:$C$2503,"&lt;="&amp;账期止))</f>
        <v/>
      </c>
      <c r="J59" s="26">
        <f>IF($A59="","",SUMIFS(入库单!$V$4:$V$2503,入库单!$G$4:$G$2503,$A59,入库单!$X$4:$X$2503,"采购入库",入库单!$Z$4:$Z$2503,"正常",入库单!$C$4:$C$2503,"&gt;="&amp;账期起,入库单!$C$4:$C$2503,"&lt;="&amp;账期止))</f>
        <v/>
      </c>
      <c r="K59" s="26">
        <f>IF($A59="","",IFERROR(ROUND((N($H59)+N($J59))/(N($G59)+N($I59)),2),0))</f>
        <v/>
      </c>
      <c r="L59" s="27">
        <f>IF($A59="","",SUMIFS(入库单!$K$4:$K$2503,入库单!$G$4:$G$2503,$A59,入库单!$X$4:$X$2503,"盘盈",入库单!$Z$4:$Z$2503,"正常",入库单!$C$4:$C$2503,"&gt;="&amp;账期起,入库单!$C$4:$C$2503,"&lt;="&amp;账期止))</f>
        <v/>
      </c>
      <c r="M59" s="26">
        <f>IF($A59="","",ROUND($L59*$K59,0))</f>
        <v/>
      </c>
      <c r="N59" s="27">
        <f>IF($A59="","",SUMIFS(入库单!$K$4:$K$2503,入库单!$G$4:$G$2503,$A59,入库单!$X$4:$X$2503,"矿区退库",入库单!$Z$4:$Z$2503,"正常",入库单!$C$4:$C$2503,"&gt;="&amp;账期起,入库单!$C$4:$C$2503,"&lt;="&amp;账期止))</f>
        <v/>
      </c>
      <c r="O59" s="26">
        <f>IF($A59="","",ROUND($N59*$K59,0))</f>
        <v/>
      </c>
      <c r="P59" s="27">
        <f>IF($A59="","",SUMIFS(出库单!$J$4:$J$4003,出库单!$D$4:$D$4003,$A59,出库单!$K$4:$K$4003,"自用消耗",出库单!$U$4:$U$4003,"正常",出库单!$C$4:$C$4003,"&gt;="&amp;账期起,出库单!$C$4:$C$4003,"&lt;="&amp;账期止))</f>
        <v/>
      </c>
      <c r="Q59" s="26">
        <f>IF($A59="","",ROUND(SUMIFS(出库单!$S$4:$S$4003,出库单!$D$4:$D$4003,$A59,出库单!$K$4:$K$4003,"自用消耗",出库单!$U$4:$U$4003,"正常",出库单!$C$4:$C$4003,"&gt;="&amp;账期起,出库单!$C$4:$C$4003,"&lt;="&amp;账期止),0))</f>
        <v/>
      </c>
      <c r="R59" s="27">
        <f>IF($A59="","",SUMIFS(出库单!$J$4:$J$4003,出库单!$D$4:$D$4003,$A59,出库单!$K$4:$K$4003,"对外销售",出库单!$U$4:$U$4003,"正常",出库单!$C$4:$C$4003,"&gt;="&amp;账期起,出库单!$C$4:$C$4003,"&lt;="&amp;账期止))</f>
        <v/>
      </c>
      <c r="S59" s="26">
        <f>IF($A59="","",ROUND(SUMIFS(出库单!$S$4:$S$4003,出库单!$D$4:$D$4003,$A59,出库单!$K$4:$K$4003,"对外销售",出库单!$U$4:$U$4003,"正常",出库单!$C$4:$C$4003,"&gt;="&amp;账期起,出库单!$C$4:$C$4003,"&lt;="&amp;账期止),0))</f>
        <v/>
      </c>
      <c r="T59" s="27">
        <f>IF($A59="","",SUMIFS(出库单!$J$4:$J$4003,出库单!$D$4:$D$4003,$A59,出库单!$K$4:$K$4003,"盘亏",出库单!$U$4:$U$4003,"正常",出库单!$C$4:$C$4003,"&gt;="&amp;账期起,出库单!$C$4:$C$4003,"&lt;="&amp;账期止))</f>
        <v/>
      </c>
      <c r="U59" s="26">
        <f>IF($A59="","",ROUND(SUMIFS(出库单!$S$4:$S$4003,出库单!$D$4:$D$4003,$A59,出库单!$K$4:$K$4003,"盘亏",出库单!$U$4:$U$4003,"正常",出库单!$C$4:$C$4003,"&gt;="&amp;账期起,出库单!$C$4:$C$4003,"&lt;="&amp;账期止),0))</f>
        <v/>
      </c>
      <c r="V59" s="27">
        <f>IF($A59="","",SUMIFS(出库单!$J$4:$J$4003,出库单!$D$4:$D$4003,$A59,出库单!$K$4:$K$4003,"退货给供应商",出库单!$U$4:$U$4003,"正常",出库单!$C$4:$C$4003,"&gt;="&amp;账期起,出库单!$C$4:$C$4003,"&lt;="&amp;账期止))</f>
        <v/>
      </c>
      <c r="W59" s="26">
        <f>IF($A59="","",ROUND(SUMIFS(出库单!$S$4:$S$4003,出库单!$D$4:$D$4003,$A59,出库单!$K$4:$K$4003,"退货给供应商",出库单!$U$4:$U$4003,"正常",出库单!$C$4:$C$4003,"&gt;="&amp;账期起,出库单!$C$4:$C$4003,"&lt;="&amp;账期止),0))</f>
        <v/>
      </c>
      <c r="X59" s="27">
        <f>IF($A59="","",ROUND(N($G59)+$I59+$L59+$N59-$P59-$R59-$T59-$V59,3))</f>
        <v/>
      </c>
      <c r="Y59" s="26">
        <f>IF($A59="","",ROUND(N($H59)+$J59+$M59+$O59-$Q59-$S59-$U59-$W59,0))</f>
        <v/>
      </c>
      <c r="Z59" s="24">
        <f>IF($A59="","",IF(COUNTIFS(入库单!$G$4:$G$2503,$A59,入库单!$Y$4:$Y$2503,"待补价")+COUNTIFS(入库单!$G$4:$G$2503,$A59,入库单!$Y$4:$Y$2503,"暂估")&gt;0,"不可信","可信"))</f>
        <v/>
      </c>
      <c r="AA59" s="24">
        <f>IF($A59="","",IF($X59&lt;-0.001,"※账面负库存，查一下是不是漏记入库",IF(AND(ROUND($X59,3)=0,ABS($Y59)&gt;1),"※数量已经是 0，金额还挂着 "&amp;TEXT($Y59,"#,##0")&amp;" 先令",IF(AND($X59&gt;0,$Y59&lt;=0,$K59=0),"※有数量没金额（这个物料一直没填过进价）",IF($Z59="不可信","△成本含待补价/暂估，毛利仅供参考","")))))</f>
        <v/>
      </c>
    </row>
    <row r="60">
      <c r="A60" s="24">
        <f>IF(物料档案!$A59="","",物料档案!$A59)</f>
        <v/>
      </c>
      <c r="B60" s="24">
        <f>IF($A60="","",IFERROR(VLOOKUP($A60,物料档案!$A$4:$P$1203,3,0),""))</f>
        <v/>
      </c>
      <c r="C60" s="24">
        <f>IF($A60="","",IFERROR(VLOOKUP($A60,物料档案!$A$4:$P$1203,4,0),""))</f>
        <v/>
      </c>
      <c r="D60" s="24">
        <f>IF($A60="","",IFERROR(VLOOKUP($A60,物料档案!$A$4:$P$1203,5,0),""))</f>
        <v/>
      </c>
      <c r="E60" s="24">
        <f>IF($A60="","",IFERROR(VLOOKUP($A60,物料档案!$A$4:$P$1203,2,0),""))</f>
        <v/>
      </c>
      <c r="F60" s="24">
        <f>IF($A60="","",IFERROR(VLOOKUP($A60,物料档案!$A$4:$P$1203,6,0),""))</f>
        <v/>
      </c>
      <c r="G60" s="23" t="n"/>
      <c r="H60" s="32" t="n"/>
      <c r="I60" s="27">
        <f>IF($A60="","",SUMIFS(入库单!$K$4:$K$2503,入库单!$G$4:$G$2503,$A60,入库单!$X$4:$X$2503,"采购入库",入库单!$Z$4:$Z$2503,"正常",入库单!$C$4:$C$2503,"&gt;="&amp;账期起,入库单!$C$4:$C$2503,"&lt;="&amp;账期止))</f>
        <v/>
      </c>
      <c r="J60" s="26">
        <f>IF($A60="","",SUMIFS(入库单!$V$4:$V$2503,入库单!$G$4:$G$2503,$A60,入库单!$X$4:$X$2503,"采购入库",入库单!$Z$4:$Z$2503,"正常",入库单!$C$4:$C$2503,"&gt;="&amp;账期起,入库单!$C$4:$C$2503,"&lt;="&amp;账期止))</f>
        <v/>
      </c>
      <c r="K60" s="26">
        <f>IF($A60="","",IFERROR(ROUND((N($H60)+N($J60))/(N($G60)+N($I60)),2),0))</f>
        <v/>
      </c>
      <c r="L60" s="27">
        <f>IF($A60="","",SUMIFS(入库单!$K$4:$K$2503,入库单!$G$4:$G$2503,$A60,入库单!$X$4:$X$2503,"盘盈",入库单!$Z$4:$Z$2503,"正常",入库单!$C$4:$C$2503,"&gt;="&amp;账期起,入库单!$C$4:$C$2503,"&lt;="&amp;账期止))</f>
        <v/>
      </c>
      <c r="M60" s="26">
        <f>IF($A60="","",ROUND($L60*$K60,0))</f>
        <v/>
      </c>
      <c r="N60" s="27">
        <f>IF($A60="","",SUMIFS(入库单!$K$4:$K$2503,入库单!$G$4:$G$2503,$A60,入库单!$X$4:$X$2503,"矿区退库",入库单!$Z$4:$Z$2503,"正常",入库单!$C$4:$C$2503,"&gt;="&amp;账期起,入库单!$C$4:$C$2503,"&lt;="&amp;账期止))</f>
        <v/>
      </c>
      <c r="O60" s="26">
        <f>IF($A60="","",ROUND($N60*$K60,0))</f>
        <v/>
      </c>
      <c r="P60" s="27">
        <f>IF($A60="","",SUMIFS(出库单!$J$4:$J$4003,出库单!$D$4:$D$4003,$A60,出库单!$K$4:$K$4003,"自用消耗",出库单!$U$4:$U$4003,"正常",出库单!$C$4:$C$4003,"&gt;="&amp;账期起,出库单!$C$4:$C$4003,"&lt;="&amp;账期止))</f>
        <v/>
      </c>
      <c r="Q60" s="26">
        <f>IF($A60="","",ROUND(SUMIFS(出库单!$S$4:$S$4003,出库单!$D$4:$D$4003,$A60,出库单!$K$4:$K$4003,"自用消耗",出库单!$U$4:$U$4003,"正常",出库单!$C$4:$C$4003,"&gt;="&amp;账期起,出库单!$C$4:$C$4003,"&lt;="&amp;账期止),0))</f>
        <v/>
      </c>
      <c r="R60" s="27">
        <f>IF($A60="","",SUMIFS(出库单!$J$4:$J$4003,出库单!$D$4:$D$4003,$A60,出库单!$K$4:$K$4003,"对外销售",出库单!$U$4:$U$4003,"正常",出库单!$C$4:$C$4003,"&gt;="&amp;账期起,出库单!$C$4:$C$4003,"&lt;="&amp;账期止))</f>
        <v/>
      </c>
      <c r="S60" s="26">
        <f>IF($A60="","",ROUND(SUMIFS(出库单!$S$4:$S$4003,出库单!$D$4:$D$4003,$A60,出库单!$K$4:$K$4003,"对外销售",出库单!$U$4:$U$4003,"正常",出库单!$C$4:$C$4003,"&gt;="&amp;账期起,出库单!$C$4:$C$4003,"&lt;="&amp;账期止),0))</f>
        <v/>
      </c>
      <c r="T60" s="27">
        <f>IF($A60="","",SUMIFS(出库单!$J$4:$J$4003,出库单!$D$4:$D$4003,$A60,出库单!$K$4:$K$4003,"盘亏",出库单!$U$4:$U$4003,"正常",出库单!$C$4:$C$4003,"&gt;="&amp;账期起,出库单!$C$4:$C$4003,"&lt;="&amp;账期止))</f>
        <v/>
      </c>
      <c r="U60" s="26">
        <f>IF($A60="","",ROUND(SUMIFS(出库单!$S$4:$S$4003,出库单!$D$4:$D$4003,$A60,出库单!$K$4:$K$4003,"盘亏",出库单!$U$4:$U$4003,"正常",出库单!$C$4:$C$4003,"&gt;="&amp;账期起,出库单!$C$4:$C$4003,"&lt;="&amp;账期止),0))</f>
        <v/>
      </c>
      <c r="V60" s="27">
        <f>IF($A60="","",SUMIFS(出库单!$J$4:$J$4003,出库单!$D$4:$D$4003,$A60,出库单!$K$4:$K$4003,"退货给供应商",出库单!$U$4:$U$4003,"正常",出库单!$C$4:$C$4003,"&gt;="&amp;账期起,出库单!$C$4:$C$4003,"&lt;="&amp;账期止))</f>
        <v/>
      </c>
      <c r="W60" s="26">
        <f>IF($A60="","",ROUND(SUMIFS(出库单!$S$4:$S$4003,出库单!$D$4:$D$4003,$A60,出库单!$K$4:$K$4003,"退货给供应商",出库单!$U$4:$U$4003,"正常",出库单!$C$4:$C$4003,"&gt;="&amp;账期起,出库单!$C$4:$C$4003,"&lt;="&amp;账期止),0))</f>
        <v/>
      </c>
      <c r="X60" s="27">
        <f>IF($A60="","",ROUND(N($G60)+$I60+$L60+$N60-$P60-$R60-$T60-$V60,3))</f>
        <v/>
      </c>
      <c r="Y60" s="26">
        <f>IF($A60="","",ROUND(N($H60)+$J60+$M60+$O60-$Q60-$S60-$U60-$W60,0))</f>
        <v/>
      </c>
      <c r="Z60" s="24">
        <f>IF($A60="","",IF(COUNTIFS(入库单!$G$4:$G$2503,$A60,入库单!$Y$4:$Y$2503,"待补价")+COUNTIFS(入库单!$G$4:$G$2503,$A60,入库单!$Y$4:$Y$2503,"暂估")&gt;0,"不可信","可信"))</f>
        <v/>
      </c>
      <c r="AA60" s="24">
        <f>IF($A60="","",IF($X60&lt;-0.001,"※账面负库存，查一下是不是漏记入库",IF(AND(ROUND($X60,3)=0,ABS($Y60)&gt;1),"※数量已经是 0，金额还挂着 "&amp;TEXT($Y60,"#,##0")&amp;" 先令",IF(AND($X60&gt;0,$Y60&lt;=0,$K60=0),"※有数量没金额（这个物料一直没填过进价）",IF($Z60="不可信","△成本含待补价/暂估，毛利仅供参考","")))))</f>
        <v/>
      </c>
    </row>
    <row r="61">
      <c r="A61" s="24">
        <f>IF(物料档案!$A60="","",物料档案!$A60)</f>
        <v/>
      </c>
      <c r="B61" s="24">
        <f>IF($A61="","",IFERROR(VLOOKUP($A61,物料档案!$A$4:$P$1203,3,0),""))</f>
        <v/>
      </c>
      <c r="C61" s="24">
        <f>IF($A61="","",IFERROR(VLOOKUP($A61,物料档案!$A$4:$P$1203,4,0),""))</f>
        <v/>
      </c>
      <c r="D61" s="24">
        <f>IF($A61="","",IFERROR(VLOOKUP($A61,物料档案!$A$4:$P$1203,5,0),""))</f>
        <v/>
      </c>
      <c r="E61" s="24">
        <f>IF($A61="","",IFERROR(VLOOKUP($A61,物料档案!$A$4:$P$1203,2,0),""))</f>
        <v/>
      </c>
      <c r="F61" s="24">
        <f>IF($A61="","",IFERROR(VLOOKUP($A61,物料档案!$A$4:$P$1203,6,0),""))</f>
        <v/>
      </c>
      <c r="G61" s="23" t="n"/>
      <c r="H61" s="32" t="n"/>
      <c r="I61" s="27">
        <f>IF($A61="","",SUMIFS(入库单!$K$4:$K$2503,入库单!$G$4:$G$2503,$A61,入库单!$X$4:$X$2503,"采购入库",入库单!$Z$4:$Z$2503,"正常",入库单!$C$4:$C$2503,"&gt;="&amp;账期起,入库单!$C$4:$C$2503,"&lt;="&amp;账期止))</f>
        <v/>
      </c>
      <c r="J61" s="26">
        <f>IF($A61="","",SUMIFS(入库单!$V$4:$V$2503,入库单!$G$4:$G$2503,$A61,入库单!$X$4:$X$2503,"采购入库",入库单!$Z$4:$Z$2503,"正常",入库单!$C$4:$C$2503,"&gt;="&amp;账期起,入库单!$C$4:$C$2503,"&lt;="&amp;账期止))</f>
        <v/>
      </c>
      <c r="K61" s="26">
        <f>IF($A61="","",IFERROR(ROUND((N($H61)+N($J61))/(N($G61)+N($I61)),2),0))</f>
        <v/>
      </c>
      <c r="L61" s="27">
        <f>IF($A61="","",SUMIFS(入库单!$K$4:$K$2503,入库单!$G$4:$G$2503,$A61,入库单!$X$4:$X$2503,"盘盈",入库单!$Z$4:$Z$2503,"正常",入库单!$C$4:$C$2503,"&gt;="&amp;账期起,入库单!$C$4:$C$2503,"&lt;="&amp;账期止))</f>
        <v/>
      </c>
      <c r="M61" s="26">
        <f>IF($A61="","",ROUND($L61*$K61,0))</f>
        <v/>
      </c>
      <c r="N61" s="27">
        <f>IF($A61="","",SUMIFS(入库单!$K$4:$K$2503,入库单!$G$4:$G$2503,$A61,入库单!$X$4:$X$2503,"矿区退库",入库单!$Z$4:$Z$2503,"正常",入库单!$C$4:$C$2503,"&gt;="&amp;账期起,入库单!$C$4:$C$2503,"&lt;="&amp;账期止))</f>
        <v/>
      </c>
      <c r="O61" s="26">
        <f>IF($A61="","",ROUND($N61*$K61,0))</f>
        <v/>
      </c>
      <c r="P61" s="27">
        <f>IF($A61="","",SUMIFS(出库单!$J$4:$J$4003,出库单!$D$4:$D$4003,$A61,出库单!$K$4:$K$4003,"自用消耗",出库单!$U$4:$U$4003,"正常",出库单!$C$4:$C$4003,"&gt;="&amp;账期起,出库单!$C$4:$C$4003,"&lt;="&amp;账期止))</f>
        <v/>
      </c>
      <c r="Q61" s="26">
        <f>IF($A61="","",ROUND(SUMIFS(出库单!$S$4:$S$4003,出库单!$D$4:$D$4003,$A61,出库单!$K$4:$K$4003,"自用消耗",出库单!$U$4:$U$4003,"正常",出库单!$C$4:$C$4003,"&gt;="&amp;账期起,出库单!$C$4:$C$4003,"&lt;="&amp;账期止),0))</f>
        <v/>
      </c>
      <c r="R61" s="27">
        <f>IF($A61="","",SUMIFS(出库单!$J$4:$J$4003,出库单!$D$4:$D$4003,$A61,出库单!$K$4:$K$4003,"对外销售",出库单!$U$4:$U$4003,"正常",出库单!$C$4:$C$4003,"&gt;="&amp;账期起,出库单!$C$4:$C$4003,"&lt;="&amp;账期止))</f>
        <v/>
      </c>
      <c r="S61" s="26">
        <f>IF($A61="","",ROUND(SUMIFS(出库单!$S$4:$S$4003,出库单!$D$4:$D$4003,$A61,出库单!$K$4:$K$4003,"对外销售",出库单!$U$4:$U$4003,"正常",出库单!$C$4:$C$4003,"&gt;="&amp;账期起,出库单!$C$4:$C$4003,"&lt;="&amp;账期止),0))</f>
        <v/>
      </c>
      <c r="T61" s="27">
        <f>IF($A61="","",SUMIFS(出库单!$J$4:$J$4003,出库单!$D$4:$D$4003,$A61,出库单!$K$4:$K$4003,"盘亏",出库单!$U$4:$U$4003,"正常",出库单!$C$4:$C$4003,"&gt;="&amp;账期起,出库单!$C$4:$C$4003,"&lt;="&amp;账期止))</f>
        <v/>
      </c>
      <c r="U61" s="26">
        <f>IF($A61="","",ROUND(SUMIFS(出库单!$S$4:$S$4003,出库单!$D$4:$D$4003,$A61,出库单!$K$4:$K$4003,"盘亏",出库单!$U$4:$U$4003,"正常",出库单!$C$4:$C$4003,"&gt;="&amp;账期起,出库单!$C$4:$C$4003,"&lt;="&amp;账期止),0))</f>
        <v/>
      </c>
      <c r="V61" s="27">
        <f>IF($A61="","",SUMIFS(出库单!$J$4:$J$4003,出库单!$D$4:$D$4003,$A61,出库单!$K$4:$K$4003,"退货给供应商",出库单!$U$4:$U$4003,"正常",出库单!$C$4:$C$4003,"&gt;="&amp;账期起,出库单!$C$4:$C$4003,"&lt;="&amp;账期止))</f>
        <v/>
      </c>
      <c r="W61" s="26">
        <f>IF($A61="","",ROUND(SUMIFS(出库单!$S$4:$S$4003,出库单!$D$4:$D$4003,$A61,出库单!$K$4:$K$4003,"退货给供应商",出库单!$U$4:$U$4003,"正常",出库单!$C$4:$C$4003,"&gt;="&amp;账期起,出库单!$C$4:$C$4003,"&lt;="&amp;账期止),0))</f>
        <v/>
      </c>
      <c r="X61" s="27">
        <f>IF($A61="","",ROUND(N($G61)+$I61+$L61+$N61-$P61-$R61-$T61-$V61,3))</f>
        <v/>
      </c>
      <c r="Y61" s="26">
        <f>IF($A61="","",ROUND(N($H61)+$J61+$M61+$O61-$Q61-$S61-$U61-$W61,0))</f>
        <v/>
      </c>
      <c r="Z61" s="24">
        <f>IF($A61="","",IF(COUNTIFS(入库单!$G$4:$G$2503,$A61,入库单!$Y$4:$Y$2503,"待补价")+COUNTIFS(入库单!$G$4:$G$2503,$A61,入库单!$Y$4:$Y$2503,"暂估")&gt;0,"不可信","可信"))</f>
        <v/>
      </c>
      <c r="AA61" s="24">
        <f>IF($A61="","",IF($X61&lt;-0.001,"※账面负库存，查一下是不是漏记入库",IF(AND(ROUND($X61,3)=0,ABS($Y61)&gt;1),"※数量已经是 0，金额还挂着 "&amp;TEXT($Y61,"#,##0")&amp;" 先令",IF(AND($X61&gt;0,$Y61&lt;=0,$K61=0),"※有数量没金额（这个物料一直没填过进价）",IF($Z61="不可信","△成本含待补价/暂估，毛利仅供参考","")))))</f>
        <v/>
      </c>
    </row>
    <row r="62">
      <c r="A62" s="24">
        <f>IF(物料档案!$A61="","",物料档案!$A61)</f>
        <v/>
      </c>
      <c r="B62" s="24">
        <f>IF($A62="","",IFERROR(VLOOKUP($A62,物料档案!$A$4:$P$1203,3,0),""))</f>
        <v/>
      </c>
      <c r="C62" s="24">
        <f>IF($A62="","",IFERROR(VLOOKUP($A62,物料档案!$A$4:$P$1203,4,0),""))</f>
        <v/>
      </c>
      <c r="D62" s="24">
        <f>IF($A62="","",IFERROR(VLOOKUP($A62,物料档案!$A$4:$P$1203,5,0),""))</f>
        <v/>
      </c>
      <c r="E62" s="24">
        <f>IF($A62="","",IFERROR(VLOOKUP($A62,物料档案!$A$4:$P$1203,2,0),""))</f>
        <v/>
      </c>
      <c r="F62" s="24">
        <f>IF($A62="","",IFERROR(VLOOKUP($A62,物料档案!$A$4:$P$1203,6,0),""))</f>
        <v/>
      </c>
      <c r="G62" s="23" t="n"/>
      <c r="H62" s="32" t="n"/>
      <c r="I62" s="27">
        <f>IF($A62="","",SUMIFS(入库单!$K$4:$K$2503,入库单!$G$4:$G$2503,$A62,入库单!$X$4:$X$2503,"采购入库",入库单!$Z$4:$Z$2503,"正常",入库单!$C$4:$C$2503,"&gt;="&amp;账期起,入库单!$C$4:$C$2503,"&lt;="&amp;账期止))</f>
        <v/>
      </c>
      <c r="J62" s="26">
        <f>IF($A62="","",SUMIFS(入库单!$V$4:$V$2503,入库单!$G$4:$G$2503,$A62,入库单!$X$4:$X$2503,"采购入库",入库单!$Z$4:$Z$2503,"正常",入库单!$C$4:$C$2503,"&gt;="&amp;账期起,入库单!$C$4:$C$2503,"&lt;="&amp;账期止))</f>
        <v/>
      </c>
      <c r="K62" s="26">
        <f>IF($A62="","",IFERROR(ROUND((N($H62)+N($J62))/(N($G62)+N($I62)),2),0))</f>
        <v/>
      </c>
      <c r="L62" s="27">
        <f>IF($A62="","",SUMIFS(入库单!$K$4:$K$2503,入库单!$G$4:$G$2503,$A62,入库单!$X$4:$X$2503,"盘盈",入库单!$Z$4:$Z$2503,"正常",入库单!$C$4:$C$2503,"&gt;="&amp;账期起,入库单!$C$4:$C$2503,"&lt;="&amp;账期止))</f>
        <v/>
      </c>
      <c r="M62" s="26">
        <f>IF($A62="","",ROUND($L62*$K62,0))</f>
        <v/>
      </c>
      <c r="N62" s="27">
        <f>IF($A62="","",SUMIFS(入库单!$K$4:$K$2503,入库单!$G$4:$G$2503,$A62,入库单!$X$4:$X$2503,"矿区退库",入库单!$Z$4:$Z$2503,"正常",入库单!$C$4:$C$2503,"&gt;="&amp;账期起,入库单!$C$4:$C$2503,"&lt;="&amp;账期止))</f>
        <v/>
      </c>
      <c r="O62" s="26">
        <f>IF($A62="","",ROUND($N62*$K62,0))</f>
        <v/>
      </c>
      <c r="P62" s="27">
        <f>IF($A62="","",SUMIFS(出库单!$J$4:$J$4003,出库单!$D$4:$D$4003,$A62,出库单!$K$4:$K$4003,"自用消耗",出库单!$U$4:$U$4003,"正常",出库单!$C$4:$C$4003,"&gt;="&amp;账期起,出库单!$C$4:$C$4003,"&lt;="&amp;账期止))</f>
        <v/>
      </c>
      <c r="Q62" s="26">
        <f>IF($A62="","",ROUND(SUMIFS(出库单!$S$4:$S$4003,出库单!$D$4:$D$4003,$A62,出库单!$K$4:$K$4003,"自用消耗",出库单!$U$4:$U$4003,"正常",出库单!$C$4:$C$4003,"&gt;="&amp;账期起,出库单!$C$4:$C$4003,"&lt;="&amp;账期止),0))</f>
        <v/>
      </c>
      <c r="R62" s="27">
        <f>IF($A62="","",SUMIFS(出库单!$J$4:$J$4003,出库单!$D$4:$D$4003,$A62,出库单!$K$4:$K$4003,"对外销售",出库单!$U$4:$U$4003,"正常",出库单!$C$4:$C$4003,"&gt;="&amp;账期起,出库单!$C$4:$C$4003,"&lt;="&amp;账期止))</f>
        <v/>
      </c>
      <c r="S62" s="26">
        <f>IF($A62="","",ROUND(SUMIFS(出库单!$S$4:$S$4003,出库单!$D$4:$D$4003,$A62,出库单!$K$4:$K$4003,"对外销售",出库单!$U$4:$U$4003,"正常",出库单!$C$4:$C$4003,"&gt;="&amp;账期起,出库单!$C$4:$C$4003,"&lt;="&amp;账期止),0))</f>
        <v/>
      </c>
      <c r="T62" s="27">
        <f>IF($A62="","",SUMIFS(出库单!$J$4:$J$4003,出库单!$D$4:$D$4003,$A62,出库单!$K$4:$K$4003,"盘亏",出库单!$U$4:$U$4003,"正常",出库单!$C$4:$C$4003,"&gt;="&amp;账期起,出库单!$C$4:$C$4003,"&lt;="&amp;账期止))</f>
        <v/>
      </c>
      <c r="U62" s="26">
        <f>IF($A62="","",ROUND(SUMIFS(出库单!$S$4:$S$4003,出库单!$D$4:$D$4003,$A62,出库单!$K$4:$K$4003,"盘亏",出库单!$U$4:$U$4003,"正常",出库单!$C$4:$C$4003,"&gt;="&amp;账期起,出库单!$C$4:$C$4003,"&lt;="&amp;账期止),0))</f>
        <v/>
      </c>
      <c r="V62" s="27">
        <f>IF($A62="","",SUMIFS(出库单!$J$4:$J$4003,出库单!$D$4:$D$4003,$A62,出库单!$K$4:$K$4003,"退货给供应商",出库单!$U$4:$U$4003,"正常",出库单!$C$4:$C$4003,"&gt;="&amp;账期起,出库单!$C$4:$C$4003,"&lt;="&amp;账期止))</f>
        <v/>
      </c>
      <c r="W62" s="26">
        <f>IF($A62="","",ROUND(SUMIFS(出库单!$S$4:$S$4003,出库单!$D$4:$D$4003,$A62,出库单!$K$4:$K$4003,"退货给供应商",出库单!$U$4:$U$4003,"正常",出库单!$C$4:$C$4003,"&gt;="&amp;账期起,出库单!$C$4:$C$4003,"&lt;="&amp;账期止),0))</f>
        <v/>
      </c>
      <c r="X62" s="27">
        <f>IF($A62="","",ROUND(N($G62)+$I62+$L62+$N62-$P62-$R62-$T62-$V62,3))</f>
        <v/>
      </c>
      <c r="Y62" s="26">
        <f>IF($A62="","",ROUND(N($H62)+$J62+$M62+$O62-$Q62-$S62-$U62-$W62,0))</f>
        <v/>
      </c>
      <c r="Z62" s="24">
        <f>IF($A62="","",IF(COUNTIFS(入库单!$G$4:$G$2503,$A62,入库单!$Y$4:$Y$2503,"待补价")+COUNTIFS(入库单!$G$4:$G$2503,$A62,入库单!$Y$4:$Y$2503,"暂估")&gt;0,"不可信","可信"))</f>
        <v/>
      </c>
      <c r="AA62" s="24">
        <f>IF($A62="","",IF($X62&lt;-0.001,"※账面负库存，查一下是不是漏记入库",IF(AND(ROUND($X62,3)=0,ABS($Y62)&gt;1),"※数量已经是 0，金额还挂着 "&amp;TEXT($Y62,"#,##0")&amp;" 先令",IF(AND($X62&gt;0,$Y62&lt;=0,$K62=0),"※有数量没金额（这个物料一直没填过进价）",IF($Z62="不可信","△成本含待补价/暂估，毛利仅供参考","")))))</f>
        <v/>
      </c>
    </row>
    <row r="63">
      <c r="A63" s="24">
        <f>IF(物料档案!$A62="","",物料档案!$A62)</f>
        <v/>
      </c>
      <c r="B63" s="24">
        <f>IF($A63="","",IFERROR(VLOOKUP($A63,物料档案!$A$4:$P$1203,3,0),""))</f>
        <v/>
      </c>
      <c r="C63" s="24">
        <f>IF($A63="","",IFERROR(VLOOKUP($A63,物料档案!$A$4:$P$1203,4,0),""))</f>
        <v/>
      </c>
      <c r="D63" s="24">
        <f>IF($A63="","",IFERROR(VLOOKUP($A63,物料档案!$A$4:$P$1203,5,0),""))</f>
        <v/>
      </c>
      <c r="E63" s="24">
        <f>IF($A63="","",IFERROR(VLOOKUP($A63,物料档案!$A$4:$P$1203,2,0),""))</f>
        <v/>
      </c>
      <c r="F63" s="24">
        <f>IF($A63="","",IFERROR(VLOOKUP($A63,物料档案!$A$4:$P$1203,6,0),""))</f>
        <v/>
      </c>
      <c r="G63" s="23" t="n"/>
      <c r="H63" s="32" t="n"/>
      <c r="I63" s="27">
        <f>IF($A63="","",SUMIFS(入库单!$K$4:$K$2503,入库单!$G$4:$G$2503,$A63,入库单!$X$4:$X$2503,"采购入库",入库单!$Z$4:$Z$2503,"正常",入库单!$C$4:$C$2503,"&gt;="&amp;账期起,入库单!$C$4:$C$2503,"&lt;="&amp;账期止))</f>
        <v/>
      </c>
      <c r="J63" s="26">
        <f>IF($A63="","",SUMIFS(入库单!$V$4:$V$2503,入库单!$G$4:$G$2503,$A63,入库单!$X$4:$X$2503,"采购入库",入库单!$Z$4:$Z$2503,"正常",入库单!$C$4:$C$2503,"&gt;="&amp;账期起,入库单!$C$4:$C$2503,"&lt;="&amp;账期止))</f>
        <v/>
      </c>
      <c r="K63" s="26">
        <f>IF($A63="","",IFERROR(ROUND((N($H63)+N($J63))/(N($G63)+N($I63)),2),0))</f>
        <v/>
      </c>
      <c r="L63" s="27">
        <f>IF($A63="","",SUMIFS(入库单!$K$4:$K$2503,入库单!$G$4:$G$2503,$A63,入库单!$X$4:$X$2503,"盘盈",入库单!$Z$4:$Z$2503,"正常",入库单!$C$4:$C$2503,"&gt;="&amp;账期起,入库单!$C$4:$C$2503,"&lt;="&amp;账期止))</f>
        <v/>
      </c>
      <c r="M63" s="26">
        <f>IF($A63="","",ROUND($L63*$K63,0))</f>
        <v/>
      </c>
      <c r="N63" s="27">
        <f>IF($A63="","",SUMIFS(入库单!$K$4:$K$2503,入库单!$G$4:$G$2503,$A63,入库单!$X$4:$X$2503,"矿区退库",入库单!$Z$4:$Z$2503,"正常",入库单!$C$4:$C$2503,"&gt;="&amp;账期起,入库单!$C$4:$C$2503,"&lt;="&amp;账期止))</f>
        <v/>
      </c>
      <c r="O63" s="26">
        <f>IF($A63="","",ROUND($N63*$K63,0))</f>
        <v/>
      </c>
      <c r="P63" s="27">
        <f>IF($A63="","",SUMIFS(出库单!$J$4:$J$4003,出库单!$D$4:$D$4003,$A63,出库单!$K$4:$K$4003,"自用消耗",出库单!$U$4:$U$4003,"正常",出库单!$C$4:$C$4003,"&gt;="&amp;账期起,出库单!$C$4:$C$4003,"&lt;="&amp;账期止))</f>
        <v/>
      </c>
      <c r="Q63" s="26">
        <f>IF($A63="","",ROUND(SUMIFS(出库单!$S$4:$S$4003,出库单!$D$4:$D$4003,$A63,出库单!$K$4:$K$4003,"自用消耗",出库单!$U$4:$U$4003,"正常",出库单!$C$4:$C$4003,"&gt;="&amp;账期起,出库单!$C$4:$C$4003,"&lt;="&amp;账期止),0))</f>
        <v/>
      </c>
      <c r="R63" s="27">
        <f>IF($A63="","",SUMIFS(出库单!$J$4:$J$4003,出库单!$D$4:$D$4003,$A63,出库单!$K$4:$K$4003,"对外销售",出库单!$U$4:$U$4003,"正常",出库单!$C$4:$C$4003,"&gt;="&amp;账期起,出库单!$C$4:$C$4003,"&lt;="&amp;账期止))</f>
        <v/>
      </c>
      <c r="S63" s="26">
        <f>IF($A63="","",ROUND(SUMIFS(出库单!$S$4:$S$4003,出库单!$D$4:$D$4003,$A63,出库单!$K$4:$K$4003,"对外销售",出库单!$U$4:$U$4003,"正常",出库单!$C$4:$C$4003,"&gt;="&amp;账期起,出库单!$C$4:$C$4003,"&lt;="&amp;账期止),0))</f>
        <v/>
      </c>
      <c r="T63" s="27">
        <f>IF($A63="","",SUMIFS(出库单!$J$4:$J$4003,出库单!$D$4:$D$4003,$A63,出库单!$K$4:$K$4003,"盘亏",出库单!$U$4:$U$4003,"正常",出库单!$C$4:$C$4003,"&gt;="&amp;账期起,出库单!$C$4:$C$4003,"&lt;="&amp;账期止))</f>
        <v/>
      </c>
      <c r="U63" s="26">
        <f>IF($A63="","",ROUND(SUMIFS(出库单!$S$4:$S$4003,出库单!$D$4:$D$4003,$A63,出库单!$K$4:$K$4003,"盘亏",出库单!$U$4:$U$4003,"正常",出库单!$C$4:$C$4003,"&gt;="&amp;账期起,出库单!$C$4:$C$4003,"&lt;="&amp;账期止),0))</f>
        <v/>
      </c>
      <c r="V63" s="27">
        <f>IF($A63="","",SUMIFS(出库单!$J$4:$J$4003,出库单!$D$4:$D$4003,$A63,出库单!$K$4:$K$4003,"退货给供应商",出库单!$U$4:$U$4003,"正常",出库单!$C$4:$C$4003,"&gt;="&amp;账期起,出库单!$C$4:$C$4003,"&lt;="&amp;账期止))</f>
        <v/>
      </c>
      <c r="W63" s="26">
        <f>IF($A63="","",ROUND(SUMIFS(出库单!$S$4:$S$4003,出库单!$D$4:$D$4003,$A63,出库单!$K$4:$K$4003,"退货给供应商",出库单!$U$4:$U$4003,"正常",出库单!$C$4:$C$4003,"&gt;="&amp;账期起,出库单!$C$4:$C$4003,"&lt;="&amp;账期止),0))</f>
        <v/>
      </c>
      <c r="X63" s="27">
        <f>IF($A63="","",ROUND(N($G63)+$I63+$L63+$N63-$P63-$R63-$T63-$V63,3))</f>
        <v/>
      </c>
      <c r="Y63" s="26">
        <f>IF($A63="","",ROUND(N($H63)+$J63+$M63+$O63-$Q63-$S63-$U63-$W63,0))</f>
        <v/>
      </c>
      <c r="Z63" s="24">
        <f>IF($A63="","",IF(COUNTIFS(入库单!$G$4:$G$2503,$A63,入库单!$Y$4:$Y$2503,"待补价")+COUNTIFS(入库单!$G$4:$G$2503,$A63,入库单!$Y$4:$Y$2503,"暂估")&gt;0,"不可信","可信"))</f>
        <v/>
      </c>
      <c r="AA63" s="24">
        <f>IF($A63="","",IF($X63&lt;-0.001,"※账面负库存，查一下是不是漏记入库",IF(AND(ROUND($X63,3)=0,ABS($Y63)&gt;1),"※数量已经是 0，金额还挂着 "&amp;TEXT($Y63,"#,##0")&amp;" 先令",IF(AND($X63&gt;0,$Y63&lt;=0,$K63=0),"※有数量没金额（这个物料一直没填过进价）",IF($Z63="不可信","△成本含待补价/暂估，毛利仅供参考","")))))</f>
        <v/>
      </c>
    </row>
    <row r="64">
      <c r="A64" s="24">
        <f>IF(物料档案!$A63="","",物料档案!$A63)</f>
        <v/>
      </c>
      <c r="B64" s="24">
        <f>IF($A64="","",IFERROR(VLOOKUP($A64,物料档案!$A$4:$P$1203,3,0),""))</f>
        <v/>
      </c>
      <c r="C64" s="24">
        <f>IF($A64="","",IFERROR(VLOOKUP($A64,物料档案!$A$4:$P$1203,4,0),""))</f>
        <v/>
      </c>
      <c r="D64" s="24">
        <f>IF($A64="","",IFERROR(VLOOKUP($A64,物料档案!$A$4:$P$1203,5,0),""))</f>
        <v/>
      </c>
      <c r="E64" s="24">
        <f>IF($A64="","",IFERROR(VLOOKUP($A64,物料档案!$A$4:$P$1203,2,0),""))</f>
        <v/>
      </c>
      <c r="F64" s="24">
        <f>IF($A64="","",IFERROR(VLOOKUP($A64,物料档案!$A$4:$P$1203,6,0),""))</f>
        <v/>
      </c>
      <c r="G64" s="23" t="n"/>
      <c r="H64" s="32" t="n"/>
      <c r="I64" s="27">
        <f>IF($A64="","",SUMIFS(入库单!$K$4:$K$2503,入库单!$G$4:$G$2503,$A64,入库单!$X$4:$X$2503,"采购入库",入库单!$Z$4:$Z$2503,"正常",入库单!$C$4:$C$2503,"&gt;="&amp;账期起,入库单!$C$4:$C$2503,"&lt;="&amp;账期止))</f>
        <v/>
      </c>
      <c r="J64" s="26">
        <f>IF($A64="","",SUMIFS(入库单!$V$4:$V$2503,入库单!$G$4:$G$2503,$A64,入库单!$X$4:$X$2503,"采购入库",入库单!$Z$4:$Z$2503,"正常",入库单!$C$4:$C$2503,"&gt;="&amp;账期起,入库单!$C$4:$C$2503,"&lt;="&amp;账期止))</f>
        <v/>
      </c>
      <c r="K64" s="26">
        <f>IF($A64="","",IFERROR(ROUND((N($H64)+N($J64))/(N($G64)+N($I64)),2),0))</f>
        <v/>
      </c>
      <c r="L64" s="27">
        <f>IF($A64="","",SUMIFS(入库单!$K$4:$K$2503,入库单!$G$4:$G$2503,$A64,入库单!$X$4:$X$2503,"盘盈",入库单!$Z$4:$Z$2503,"正常",入库单!$C$4:$C$2503,"&gt;="&amp;账期起,入库单!$C$4:$C$2503,"&lt;="&amp;账期止))</f>
        <v/>
      </c>
      <c r="M64" s="26">
        <f>IF($A64="","",ROUND($L64*$K64,0))</f>
        <v/>
      </c>
      <c r="N64" s="27">
        <f>IF($A64="","",SUMIFS(入库单!$K$4:$K$2503,入库单!$G$4:$G$2503,$A64,入库单!$X$4:$X$2503,"矿区退库",入库单!$Z$4:$Z$2503,"正常",入库单!$C$4:$C$2503,"&gt;="&amp;账期起,入库单!$C$4:$C$2503,"&lt;="&amp;账期止))</f>
        <v/>
      </c>
      <c r="O64" s="26">
        <f>IF($A64="","",ROUND($N64*$K64,0))</f>
        <v/>
      </c>
      <c r="P64" s="27">
        <f>IF($A64="","",SUMIFS(出库单!$J$4:$J$4003,出库单!$D$4:$D$4003,$A64,出库单!$K$4:$K$4003,"自用消耗",出库单!$U$4:$U$4003,"正常",出库单!$C$4:$C$4003,"&gt;="&amp;账期起,出库单!$C$4:$C$4003,"&lt;="&amp;账期止))</f>
        <v/>
      </c>
      <c r="Q64" s="26">
        <f>IF($A64="","",ROUND(SUMIFS(出库单!$S$4:$S$4003,出库单!$D$4:$D$4003,$A64,出库单!$K$4:$K$4003,"自用消耗",出库单!$U$4:$U$4003,"正常",出库单!$C$4:$C$4003,"&gt;="&amp;账期起,出库单!$C$4:$C$4003,"&lt;="&amp;账期止),0))</f>
        <v/>
      </c>
      <c r="R64" s="27">
        <f>IF($A64="","",SUMIFS(出库单!$J$4:$J$4003,出库单!$D$4:$D$4003,$A64,出库单!$K$4:$K$4003,"对外销售",出库单!$U$4:$U$4003,"正常",出库单!$C$4:$C$4003,"&gt;="&amp;账期起,出库单!$C$4:$C$4003,"&lt;="&amp;账期止))</f>
        <v/>
      </c>
      <c r="S64" s="26">
        <f>IF($A64="","",ROUND(SUMIFS(出库单!$S$4:$S$4003,出库单!$D$4:$D$4003,$A64,出库单!$K$4:$K$4003,"对外销售",出库单!$U$4:$U$4003,"正常",出库单!$C$4:$C$4003,"&gt;="&amp;账期起,出库单!$C$4:$C$4003,"&lt;="&amp;账期止),0))</f>
        <v/>
      </c>
      <c r="T64" s="27">
        <f>IF($A64="","",SUMIFS(出库单!$J$4:$J$4003,出库单!$D$4:$D$4003,$A64,出库单!$K$4:$K$4003,"盘亏",出库单!$U$4:$U$4003,"正常",出库单!$C$4:$C$4003,"&gt;="&amp;账期起,出库单!$C$4:$C$4003,"&lt;="&amp;账期止))</f>
        <v/>
      </c>
      <c r="U64" s="26">
        <f>IF($A64="","",ROUND(SUMIFS(出库单!$S$4:$S$4003,出库单!$D$4:$D$4003,$A64,出库单!$K$4:$K$4003,"盘亏",出库单!$U$4:$U$4003,"正常",出库单!$C$4:$C$4003,"&gt;="&amp;账期起,出库单!$C$4:$C$4003,"&lt;="&amp;账期止),0))</f>
        <v/>
      </c>
      <c r="V64" s="27">
        <f>IF($A64="","",SUMIFS(出库单!$J$4:$J$4003,出库单!$D$4:$D$4003,$A64,出库单!$K$4:$K$4003,"退货给供应商",出库单!$U$4:$U$4003,"正常",出库单!$C$4:$C$4003,"&gt;="&amp;账期起,出库单!$C$4:$C$4003,"&lt;="&amp;账期止))</f>
        <v/>
      </c>
      <c r="W64" s="26">
        <f>IF($A64="","",ROUND(SUMIFS(出库单!$S$4:$S$4003,出库单!$D$4:$D$4003,$A64,出库单!$K$4:$K$4003,"退货给供应商",出库单!$U$4:$U$4003,"正常",出库单!$C$4:$C$4003,"&gt;="&amp;账期起,出库单!$C$4:$C$4003,"&lt;="&amp;账期止),0))</f>
        <v/>
      </c>
      <c r="X64" s="27">
        <f>IF($A64="","",ROUND(N($G64)+$I64+$L64+$N64-$P64-$R64-$T64-$V64,3))</f>
        <v/>
      </c>
      <c r="Y64" s="26">
        <f>IF($A64="","",ROUND(N($H64)+$J64+$M64+$O64-$Q64-$S64-$U64-$W64,0))</f>
        <v/>
      </c>
      <c r="Z64" s="24">
        <f>IF($A64="","",IF(COUNTIFS(入库单!$G$4:$G$2503,$A64,入库单!$Y$4:$Y$2503,"待补价")+COUNTIFS(入库单!$G$4:$G$2503,$A64,入库单!$Y$4:$Y$2503,"暂估")&gt;0,"不可信","可信"))</f>
        <v/>
      </c>
      <c r="AA64" s="24">
        <f>IF($A64="","",IF($X64&lt;-0.001,"※账面负库存，查一下是不是漏记入库",IF(AND(ROUND($X64,3)=0,ABS($Y64)&gt;1),"※数量已经是 0，金额还挂着 "&amp;TEXT($Y64,"#,##0")&amp;" 先令",IF(AND($X64&gt;0,$Y64&lt;=0,$K64=0),"※有数量没金额（这个物料一直没填过进价）",IF($Z64="不可信","△成本含待补价/暂估，毛利仅供参考","")))))</f>
        <v/>
      </c>
    </row>
    <row r="65">
      <c r="A65" s="24">
        <f>IF(物料档案!$A64="","",物料档案!$A64)</f>
        <v/>
      </c>
      <c r="B65" s="24">
        <f>IF($A65="","",IFERROR(VLOOKUP($A65,物料档案!$A$4:$P$1203,3,0),""))</f>
        <v/>
      </c>
      <c r="C65" s="24">
        <f>IF($A65="","",IFERROR(VLOOKUP($A65,物料档案!$A$4:$P$1203,4,0),""))</f>
        <v/>
      </c>
      <c r="D65" s="24">
        <f>IF($A65="","",IFERROR(VLOOKUP($A65,物料档案!$A$4:$P$1203,5,0),""))</f>
        <v/>
      </c>
      <c r="E65" s="24">
        <f>IF($A65="","",IFERROR(VLOOKUP($A65,物料档案!$A$4:$P$1203,2,0),""))</f>
        <v/>
      </c>
      <c r="F65" s="24">
        <f>IF($A65="","",IFERROR(VLOOKUP($A65,物料档案!$A$4:$P$1203,6,0),""))</f>
        <v/>
      </c>
      <c r="G65" s="23" t="n"/>
      <c r="H65" s="32" t="n"/>
      <c r="I65" s="27">
        <f>IF($A65="","",SUMIFS(入库单!$K$4:$K$2503,入库单!$G$4:$G$2503,$A65,入库单!$X$4:$X$2503,"采购入库",入库单!$Z$4:$Z$2503,"正常",入库单!$C$4:$C$2503,"&gt;="&amp;账期起,入库单!$C$4:$C$2503,"&lt;="&amp;账期止))</f>
        <v/>
      </c>
      <c r="J65" s="26">
        <f>IF($A65="","",SUMIFS(入库单!$V$4:$V$2503,入库单!$G$4:$G$2503,$A65,入库单!$X$4:$X$2503,"采购入库",入库单!$Z$4:$Z$2503,"正常",入库单!$C$4:$C$2503,"&gt;="&amp;账期起,入库单!$C$4:$C$2503,"&lt;="&amp;账期止))</f>
        <v/>
      </c>
      <c r="K65" s="26">
        <f>IF($A65="","",IFERROR(ROUND((N($H65)+N($J65))/(N($G65)+N($I65)),2),0))</f>
        <v/>
      </c>
      <c r="L65" s="27">
        <f>IF($A65="","",SUMIFS(入库单!$K$4:$K$2503,入库单!$G$4:$G$2503,$A65,入库单!$X$4:$X$2503,"盘盈",入库单!$Z$4:$Z$2503,"正常",入库单!$C$4:$C$2503,"&gt;="&amp;账期起,入库单!$C$4:$C$2503,"&lt;="&amp;账期止))</f>
        <v/>
      </c>
      <c r="M65" s="26">
        <f>IF($A65="","",ROUND($L65*$K65,0))</f>
        <v/>
      </c>
      <c r="N65" s="27">
        <f>IF($A65="","",SUMIFS(入库单!$K$4:$K$2503,入库单!$G$4:$G$2503,$A65,入库单!$X$4:$X$2503,"矿区退库",入库单!$Z$4:$Z$2503,"正常",入库单!$C$4:$C$2503,"&gt;="&amp;账期起,入库单!$C$4:$C$2503,"&lt;="&amp;账期止))</f>
        <v/>
      </c>
      <c r="O65" s="26">
        <f>IF($A65="","",ROUND($N65*$K65,0))</f>
        <v/>
      </c>
      <c r="P65" s="27">
        <f>IF($A65="","",SUMIFS(出库单!$J$4:$J$4003,出库单!$D$4:$D$4003,$A65,出库单!$K$4:$K$4003,"自用消耗",出库单!$U$4:$U$4003,"正常",出库单!$C$4:$C$4003,"&gt;="&amp;账期起,出库单!$C$4:$C$4003,"&lt;="&amp;账期止))</f>
        <v/>
      </c>
      <c r="Q65" s="26">
        <f>IF($A65="","",ROUND(SUMIFS(出库单!$S$4:$S$4003,出库单!$D$4:$D$4003,$A65,出库单!$K$4:$K$4003,"自用消耗",出库单!$U$4:$U$4003,"正常",出库单!$C$4:$C$4003,"&gt;="&amp;账期起,出库单!$C$4:$C$4003,"&lt;="&amp;账期止),0))</f>
        <v/>
      </c>
      <c r="R65" s="27">
        <f>IF($A65="","",SUMIFS(出库单!$J$4:$J$4003,出库单!$D$4:$D$4003,$A65,出库单!$K$4:$K$4003,"对外销售",出库单!$U$4:$U$4003,"正常",出库单!$C$4:$C$4003,"&gt;="&amp;账期起,出库单!$C$4:$C$4003,"&lt;="&amp;账期止))</f>
        <v/>
      </c>
      <c r="S65" s="26">
        <f>IF($A65="","",ROUND(SUMIFS(出库单!$S$4:$S$4003,出库单!$D$4:$D$4003,$A65,出库单!$K$4:$K$4003,"对外销售",出库单!$U$4:$U$4003,"正常",出库单!$C$4:$C$4003,"&gt;="&amp;账期起,出库单!$C$4:$C$4003,"&lt;="&amp;账期止),0))</f>
        <v/>
      </c>
      <c r="T65" s="27">
        <f>IF($A65="","",SUMIFS(出库单!$J$4:$J$4003,出库单!$D$4:$D$4003,$A65,出库单!$K$4:$K$4003,"盘亏",出库单!$U$4:$U$4003,"正常",出库单!$C$4:$C$4003,"&gt;="&amp;账期起,出库单!$C$4:$C$4003,"&lt;="&amp;账期止))</f>
        <v/>
      </c>
      <c r="U65" s="26">
        <f>IF($A65="","",ROUND(SUMIFS(出库单!$S$4:$S$4003,出库单!$D$4:$D$4003,$A65,出库单!$K$4:$K$4003,"盘亏",出库单!$U$4:$U$4003,"正常",出库单!$C$4:$C$4003,"&gt;="&amp;账期起,出库单!$C$4:$C$4003,"&lt;="&amp;账期止),0))</f>
        <v/>
      </c>
      <c r="V65" s="27">
        <f>IF($A65="","",SUMIFS(出库单!$J$4:$J$4003,出库单!$D$4:$D$4003,$A65,出库单!$K$4:$K$4003,"退货给供应商",出库单!$U$4:$U$4003,"正常",出库单!$C$4:$C$4003,"&gt;="&amp;账期起,出库单!$C$4:$C$4003,"&lt;="&amp;账期止))</f>
        <v/>
      </c>
      <c r="W65" s="26">
        <f>IF($A65="","",ROUND(SUMIFS(出库单!$S$4:$S$4003,出库单!$D$4:$D$4003,$A65,出库单!$K$4:$K$4003,"退货给供应商",出库单!$U$4:$U$4003,"正常",出库单!$C$4:$C$4003,"&gt;="&amp;账期起,出库单!$C$4:$C$4003,"&lt;="&amp;账期止),0))</f>
        <v/>
      </c>
      <c r="X65" s="27">
        <f>IF($A65="","",ROUND(N($G65)+$I65+$L65+$N65-$P65-$R65-$T65-$V65,3))</f>
        <v/>
      </c>
      <c r="Y65" s="26">
        <f>IF($A65="","",ROUND(N($H65)+$J65+$M65+$O65-$Q65-$S65-$U65-$W65,0))</f>
        <v/>
      </c>
      <c r="Z65" s="24">
        <f>IF($A65="","",IF(COUNTIFS(入库单!$G$4:$G$2503,$A65,入库单!$Y$4:$Y$2503,"待补价")+COUNTIFS(入库单!$G$4:$G$2503,$A65,入库单!$Y$4:$Y$2503,"暂估")&gt;0,"不可信","可信"))</f>
        <v/>
      </c>
      <c r="AA65" s="24">
        <f>IF($A65="","",IF($X65&lt;-0.001,"※账面负库存，查一下是不是漏记入库",IF(AND(ROUND($X65,3)=0,ABS($Y65)&gt;1),"※数量已经是 0，金额还挂着 "&amp;TEXT($Y65,"#,##0")&amp;" 先令",IF(AND($X65&gt;0,$Y65&lt;=0,$K65=0),"※有数量没金额（这个物料一直没填过进价）",IF($Z65="不可信","△成本含待补价/暂估，毛利仅供参考","")))))</f>
        <v/>
      </c>
    </row>
    <row r="66">
      <c r="A66" s="24">
        <f>IF(物料档案!$A65="","",物料档案!$A65)</f>
        <v/>
      </c>
      <c r="B66" s="24">
        <f>IF($A66="","",IFERROR(VLOOKUP($A66,物料档案!$A$4:$P$1203,3,0),""))</f>
        <v/>
      </c>
      <c r="C66" s="24">
        <f>IF($A66="","",IFERROR(VLOOKUP($A66,物料档案!$A$4:$P$1203,4,0),""))</f>
        <v/>
      </c>
      <c r="D66" s="24">
        <f>IF($A66="","",IFERROR(VLOOKUP($A66,物料档案!$A$4:$P$1203,5,0),""))</f>
        <v/>
      </c>
      <c r="E66" s="24">
        <f>IF($A66="","",IFERROR(VLOOKUP($A66,物料档案!$A$4:$P$1203,2,0),""))</f>
        <v/>
      </c>
      <c r="F66" s="24">
        <f>IF($A66="","",IFERROR(VLOOKUP($A66,物料档案!$A$4:$P$1203,6,0),""))</f>
        <v/>
      </c>
      <c r="G66" s="23" t="n"/>
      <c r="H66" s="32" t="n"/>
      <c r="I66" s="27">
        <f>IF($A66="","",SUMIFS(入库单!$K$4:$K$2503,入库单!$G$4:$G$2503,$A66,入库单!$X$4:$X$2503,"采购入库",入库单!$Z$4:$Z$2503,"正常",入库单!$C$4:$C$2503,"&gt;="&amp;账期起,入库单!$C$4:$C$2503,"&lt;="&amp;账期止))</f>
        <v/>
      </c>
      <c r="J66" s="26">
        <f>IF($A66="","",SUMIFS(入库单!$V$4:$V$2503,入库单!$G$4:$G$2503,$A66,入库单!$X$4:$X$2503,"采购入库",入库单!$Z$4:$Z$2503,"正常",入库单!$C$4:$C$2503,"&gt;="&amp;账期起,入库单!$C$4:$C$2503,"&lt;="&amp;账期止))</f>
        <v/>
      </c>
      <c r="K66" s="26">
        <f>IF($A66="","",IFERROR(ROUND((N($H66)+N($J66))/(N($G66)+N($I66)),2),0))</f>
        <v/>
      </c>
      <c r="L66" s="27">
        <f>IF($A66="","",SUMIFS(入库单!$K$4:$K$2503,入库单!$G$4:$G$2503,$A66,入库单!$X$4:$X$2503,"盘盈",入库单!$Z$4:$Z$2503,"正常",入库单!$C$4:$C$2503,"&gt;="&amp;账期起,入库单!$C$4:$C$2503,"&lt;="&amp;账期止))</f>
        <v/>
      </c>
      <c r="M66" s="26">
        <f>IF($A66="","",ROUND($L66*$K66,0))</f>
        <v/>
      </c>
      <c r="N66" s="27">
        <f>IF($A66="","",SUMIFS(入库单!$K$4:$K$2503,入库单!$G$4:$G$2503,$A66,入库单!$X$4:$X$2503,"矿区退库",入库单!$Z$4:$Z$2503,"正常",入库单!$C$4:$C$2503,"&gt;="&amp;账期起,入库单!$C$4:$C$2503,"&lt;="&amp;账期止))</f>
        <v/>
      </c>
      <c r="O66" s="26">
        <f>IF($A66="","",ROUND($N66*$K66,0))</f>
        <v/>
      </c>
      <c r="P66" s="27">
        <f>IF($A66="","",SUMIFS(出库单!$J$4:$J$4003,出库单!$D$4:$D$4003,$A66,出库单!$K$4:$K$4003,"自用消耗",出库单!$U$4:$U$4003,"正常",出库单!$C$4:$C$4003,"&gt;="&amp;账期起,出库单!$C$4:$C$4003,"&lt;="&amp;账期止))</f>
        <v/>
      </c>
      <c r="Q66" s="26">
        <f>IF($A66="","",ROUND(SUMIFS(出库单!$S$4:$S$4003,出库单!$D$4:$D$4003,$A66,出库单!$K$4:$K$4003,"自用消耗",出库单!$U$4:$U$4003,"正常",出库单!$C$4:$C$4003,"&gt;="&amp;账期起,出库单!$C$4:$C$4003,"&lt;="&amp;账期止),0))</f>
        <v/>
      </c>
      <c r="R66" s="27">
        <f>IF($A66="","",SUMIFS(出库单!$J$4:$J$4003,出库单!$D$4:$D$4003,$A66,出库单!$K$4:$K$4003,"对外销售",出库单!$U$4:$U$4003,"正常",出库单!$C$4:$C$4003,"&gt;="&amp;账期起,出库单!$C$4:$C$4003,"&lt;="&amp;账期止))</f>
        <v/>
      </c>
      <c r="S66" s="26">
        <f>IF($A66="","",ROUND(SUMIFS(出库单!$S$4:$S$4003,出库单!$D$4:$D$4003,$A66,出库单!$K$4:$K$4003,"对外销售",出库单!$U$4:$U$4003,"正常",出库单!$C$4:$C$4003,"&gt;="&amp;账期起,出库单!$C$4:$C$4003,"&lt;="&amp;账期止),0))</f>
        <v/>
      </c>
      <c r="T66" s="27">
        <f>IF($A66="","",SUMIFS(出库单!$J$4:$J$4003,出库单!$D$4:$D$4003,$A66,出库单!$K$4:$K$4003,"盘亏",出库单!$U$4:$U$4003,"正常",出库单!$C$4:$C$4003,"&gt;="&amp;账期起,出库单!$C$4:$C$4003,"&lt;="&amp;账期止))</f>
        <v/>
      </c>
      <c r="U66" s="26">
        <f>IF($A66="","",ROUND(SUMIFS(出库单!$S$4:$S$4003,出库单!$D$4:$D$4003,$A66,出库单!$K$4:$K$4003,"盘亏",出库单!$U$4:$U$4003,"正常",出库单!$C$4:$C$4003,"&gt;="&amp;账期起,出库单!$C$4:$C$4003,"&lt;="&amp;账期止),0))</f>
        <v/>
      </c>
      <c r="V66" s="27">
        <f>IF($A66="","",SUMIFS(出库单!$J$4:$J$4003,出库单!$D$4:$D$4003,$A66,出库单!$K$4:$K$4003,"退货给供应商",出库单!$U$4:$U$4003,"正常",出库单!$C$4:$C$4003,"&gt;="&amp;账期起,出库单!$C$4:$C$4003,"&lt;="&amp;账期止))</f>
        <v/>
      </c>
      <c r="W66" s="26">
        <f>IF($A66="","",ROUND(SUMIFS(出库单!$S$4:$S$4003,出库单!$D$4:$D$4003,$A66,出库单!$K$4:$K$4003,"退货给供应商",出库单!$U$4:$U$4003,"正常",出库单!$C$4:$C$4003,"&gt;="&amp;账期起,出库单!$C$4:$C$4003,"&lt;="&amp;账期止),0))</f>
        <v/>
      </c>
      <c r="X66" s="27">
        <f>IF($A66="","",ROUND(N($G66)+$I66+$L66+$N66-$P66-$R66-$T66-$V66,3))</f>
        <v/>
      </c>
      <c r="Y66" s="26">
        <f>IF($A66="","",ROUND(N($H66)+$J66+$M66+$O66-$Q66-$S66-$U66-$W66,0))</f>
        <v/>
      </c>
      <c r="Z66" s="24">
        <f>IF($A66="","",IF(COUNTIFS(入库单!$G$4:$G$2503,$A66,入库单!$Y$4:$Y$2503,"待补价")+COUNTIFS(入库单!$G$4:$G$2503,$A66,入库单!$Y$4:$Y$2503,"暂估")&gt;0,"不可信","可信"))</f>
        <v/>
      </c>
      <c r="AA66" s="24">
        <f>IF($A66="","",IF($X66&lt;-0.001,"※账面负库存，查一下是不是漏记入库",IF(AND(ROUND($X66,3)=0,ABS($Y66)&gt;1),"※数量已经是 0，金额还挂着 "&amp;TEXT($Y66,"#,##0")&amp;" 先令",IF(AND($X66&gt;0,$Y66&lt;=0,$K66=0),"※有数量没金额（这个物料一直没填过进价）",IF($Z66="不可信","△成本含待补价/暂估，毛利仅供参考","")))))</f>
        <v/>
      </c>
    </row>
    <row r="67">
      <c r="A67" s="24">
        <f>IF(物料档案!$A66="","",物料档案!$A66)</f>
        <v/>
      </c>
      <c r="B67" s="24">
        <f>IF($A67="","",IFERROR(VLOOKUP($A67,物料档案!$A$4:$P$1203,3,0),""))</f>
        <v/>
      </c>
      <c r="C67" s="24">
        <f>IF($A67="","",IFERROR(VLOOKUP($A67,物料档案!$A$4:$P$1203,4,0),""))</f>
        <v/>
      </c>
      <c r="D67" s="24">
        <f>IF($A67="","",IFERROR(VLOOKUP($A67,物料档案!$A$4:$P$1203,5,0),""))</f>
        <v/>
      </c>
      <c r="E67" s="24">
        <f>IF($A67="","",IFERROR(VLOOKUP($A67,物料档案!$A$4:$P$1203,2,0),""))</f>
        <v/>
      </c>
      <c r="F67" s="24">
        <f>IF($A67="","",IFERROR(VLOOKUP($A67,物料档案!$A$4:$P$1203,6,0),""))</f>
        <v/>
      </c>
      <c r="G67" s="23" t="n"/>
      <c r="H67" s="32" t="n"/>
      <c r="I67" s="27">
        <f>IF($A67="","",SUMIFS(入库单!$K$4:$K$2503,入库单!$G$4:$G$2503,$A67,入库单!$X$4:$X$2503,"采购入库",入库单!$Z$4:$Z$2503,"正常",入库单!$C$4:$C$2503,"&gt;="&amp;账期起,入库单!$C$4:$C$2503,"&lt;="&amp;账期止))</f>
        <v/>
      </c>
      <c r="J67" s="26">
        <f>IF($A67="","",SUMIFS(入库单!$V$4:$V$2503,入库单!$G$4:$G$2503,$A67,入库单!$X$4:$X$2503,"采购入库",入库单!$Z$4:$Z$2503,"正常",入库单!$C$4:$C$2503,"&gt;="&amp;账期起,入库单!$C$4:$C$2503,"&lt;="&amp;账期止))</f>
        <v/>
      </c>
      <c r="K67" s="26">
        <f>IF($A67="","",IFERROR(ROUND((N($H67)+N($J67))/(N($G67)+N($I67)),2),0))</f>
        <v/>
      </c>
      <c r="L67" s="27">
        <f>IF($A67="","",SUMIFS(入库单!$K$4:$K$2503,入库单!$G$4:$G$2503,$A67,入库单!$X$4:$X$2503,"盘盈",入库单!$Z$4:$Z$2503,"正常",入库单!$C$4:$C$2503,"&gt;="&amp;账期起,入库单!$C$4:$C$2503,"&lt;="&amp;账期止))</f>
        <v/>
      </c>
      <c r="M67" s="26">
        <f>IF($A67="","",ROUND($L67*$K67,0))</f>
        <v/>
      </c>
      <c r="N67" s="27">
        <f>IF($A67="","",SUMIFS(入库单!$K$4:$K$2503,入库单!$G$4:$G$2503,$A67,入库单!$X$4:$X$2503,"矿区退库",入库单!$Z$4:$Z$2503,"正常",入库单!$C$4:$C$2503,"&gt;="&amp;账期起,入库单!$C$4:$C$2503,"&lt;="&amp;账期止))</f>
        <v/>
      </c>
      <c r="O67" s="26">
        <f>IF($A67="","",ROUND($N67*$K67,0))</f>
        <v/>
      </c>
      <c r="P67" s="27">
        <f>IF($A67="","",SUMIFS(出库单!$J$4:$J$4003,出库单!$D$4:$D$4003,$A67,出库单!$K$4:$K$4003,"自用消耗",出库单!$U$4:$U$4003,"正常",出库单!$C$4:$C$4003,"&gt;="&amp;账期起,出库单!$C$4:$C$4003,"&lt;="&amp;账期止))</f>
        <v/>
      </c>
      <c r="Q67" s="26">
        <f>IF($A67="","",ROUND(SUMIFS(出库单!$S$4:$S$4003,出库单!$D$4:$D$4003,$A67,出库单!$K$4:$K$4003,"自用消耗",出库单!$U$4:$U$4003,"正常",出库单!$C$4:$C$4003,"&gt;="&amp;账期起,出库单!$C$4:$C$4003,"&lt;="&amp;账期止),0))</f>
        <v/>
      </c>
      <c r="R67" s="27">
        <f>IF($A67="","",SUMIFS(出库单!$J$4:$J$4003,出库单!$D$4:$D$4003,$A67,出库单!$K$4:$K$4003,"对外销售",出库单!$U$4:$U$4003,"正常",出库单!$C$4:$C$4003,"&gt;="&amp;账期起,出库单!$C$4:$C$4003,"&lt;="&amp;账期止))</f>
        <v/>
      </c>
      <c r="S67" s="26">
        <f>IF($A67="","",ROUND(SUMIFS(出库单!$S$4:$S$4003,出库单!$D$4:$D$4003,$A67,出库单!$K$4:$K$4003,"对外销售",出库单!$U$4:$U$4003,"正常",出库单!$C$4:$C$4003,"&gt;="&amp;账期起,出库单!$C$4:$C$4003,"&lt;="&amp;账期止),0))</f>
        <v/>
      </c>
      <c r="T67" s="27">
        <f>IF($A67="","",SUMIFS(出库单!$J$4:$J$4003,出库单!$D$4:$D$4003,$A67,出库单!$K$4:$K$4003,"盘亏",出库单!$U$4:$U$4003,"正常",出库单!$C$4:$C$4003,"&gt;="&amp;账期起,出库单!$C$4:$C$4003,"&lt;="&amp;账期止))</f>
        <v/>
      </c>
      <c r="U67" s="26">
        <f>IF($A67="","",ROUND(SUMIFS(出库单!$S$4:$S$4003,出库单!$D$4:$D$4003,$A67,出库单!$K$4:$K$4003,"盘亏",出库单!$U$4:$U$4003,"正常",出库单!$C$4:$C$4003,"&gt;="&amp;账期起,出库单!$C$4:$C$4003,"&lt;="&amp;账期止),0))</f>
        <v/>
      </c>
      <c r="V67" s="27">
        <f>IF($A67="","",SUMIFS(出库单!$J$4:$J$4003,出库单!$D$4:$D$4003,$A67,出库单!$K$4:$K$4003,"退货给供应商",出库单!$U$4:$U$4003,"正常",出库单!$C$4:$C$4003,"&gt;="&amp;账期起,出库单!$C$4:$C$4003,"&lt;="&amp;账期止))</f>
        <v/>
      </c>
      <c r="W67" s="26">
        <f>IF($A67="","",ROUND(SUMIFS(出库单!$S$4:$S$4003,出库单!$D$4:$D$4003,$A67,出库单!$K$4:$K$4003,"退货给供应商",出库单!$U$4:$U$4003,"正常",出库单!$C$4:$C$4003,"&gt;="&amp;账期起,出库单!$C$4:$C$4003,"&lt;="&amp;账期止),0))</f>
        <v/>
      </c>
      <c r="X67" s="27">
        <f>IF($A67="","",ROUND(N($G67)+$I67+$L67+$N67-$P67-$R67-$T67-$V67,3))</f>
        <v/>
      </c>
      <c r="Y67" s="26">
        <f>IF($A67="","",ROUND(N($H67)+$J67+$M67+$O67-$Q67-$S67-$U67-$W67,0))</f>
        <v/>
      </c>
      <c r="Z67" s="24">
        <f>IF($A67="","",IF(COUNTIFS(入库单!$G$4:$G$2503,$A67,入库单!$Y$4:$Y$2503,"待补价")+COUNTIFS(入库单!$G$4:$G$2503,$A67,入库单!$Y$4:$Y$2503,"暂估")&gt;0,"不可信","可信"))</f>
        <v/>
      </c>
      <c r="AA67" s="24">
        <f>IF($A67="","",IF($X67&lt;-0.001,"※账面负库存，查一下是不是漏记入库",IF(AND(ROUND($X67,3)=0,ABS($Y67)&gt;1),"※数量已经是 0，金额还挂着 "&amp;TEXT($Y67,"#,##0")&amp;" 先令",IF(AND($X67&gt;0,$Y67&lt;=0,$K67=0),"※有数量没金额（这个物料一直没填过进价）",IF($Z67="不可信","△成本含待补价/暂估，毛利仅供参考","")))))</f>
        <v/>
      </c>
    </row>
    <row r="68">
      <c r="A68" s="24">
        <f>IF(物料档案!$A67="","",物料档案!$A67)</f>
        <v/>
      </c>
      <c r="B68" s="24">
        <f>IF($A68="","",IFERROR(VLOOKUP($A68,物料档案!$A$4:$P$1203,3,0),""))</f>
        <v/>
      </c>
      <c r="C68" s="24">
        <f>IF($A68="","",IFERROR(VLOOKUP($A68,物料档案!$A$4:$P$1203,4,0),""))</f>
        <v/>
      </c>
      <c r="D68" s="24">
        <f>IF($A68="","",IFERROR(VLOOKUP($A68,物料档案!$A$4:$P$1203,5,0),""))</f>
        <v/>
      </c>
      <c r="E68" s="24">
        <f>IF($A68="","",IFERROR(VLOOKUP($A68,物料档案!$A$4:$P$1203,2,0),""))</f>
        <v/>
      </c>
      <c r="F68" s="24">
        <f>IF($A68="","",IFERROR(VLOOKUP($A68,物料档案!$A$4:$P$1203,6,0),""))</f>
        <v/>
      </c>
      <c r="G68" s="23" t="n"/>
      <c r="H68" s="32" t="n"/>
      <c r="I68" s="27">
        <f>IF($A68="","",SUMIFS(入库单!$K$4:$K$2503,入库单!$G$4:$G$2503,$A68,入库单!$X$4:$X$2503,"采购入库",入库单!$Z$4:$Z$2503,"正常",入库单!$C$4:$C$2503,"&gt;="&amp;账期起,入库单!$C$4:$C$2503,"&lt;="&amp;账期止))</f>
        <v/>
      </c>
      <c r="J68" s="26">
        <f>IF($A68="","",SUMIFS(入库单!$V$4:$V$2503,入库单!$G$4:$G$2503,$A68,入库单!$X$4:$X$2503,"采购入库",入库单!$Z$4:$Z$2503,"正常",入库单!$C$4:$C$2503,"&gt;="&amp;账期起,入库单!$C$4:$C$2503,"&lt;="&amp;账期止))</f>
        <v/>
      </c>
      <c r="K68" s="26">
        <f>IF($A68="","",IFERROR(ROUND((N($H68)+N($J68))/(N($G68)+N($I68)),2),0))</f>
        <v/>
      </c>
      <c r="L68" s="27">
        <f>IF($A68="","",SUMIFS(入库单!$K$4:$K$2503,入库单!$G$4:$G$2503,$A68,入库单!$X$4:$X$2503,"盘盈",入库单!$Z$4:$Z$2503,"正常",入库单!$C$4:$C$2503,"&gt;="&amp;账期起,入库单!$C$4:$C$2503,"&lt;="&amp;账期止))</f>
        <v/>
      </c>
      <c r="M68" s="26">
        <f>IF($A68="","",ROUND($L68*$K68,0))</f>
        <v/>
      </c>
      <c r="N68" s="27">
        <f>IF($A68="","",SUMIFS(入库单!$K$4:$K$2503,入库单!$G$4:$G$2503,$A68,入库单!$X$4:$X$2503,"矿区退库",入库单!$Z$4:$Z$2503,"正常",入库单!$C$4:$C$2503,"&gt;="&amp;账期起,入库单!$C$4:$C$2503,"&lt;="&amp;账期止))</f>
        <v/>
      </c>
      <c r="O68" s="26">
        <f>IF($A68="","",ROUND($N68*$K68,0))</f>
        <v/>
      </c>
      <c r="P68" s="27">
        <f>IF($A68="","",SUMIFS(出库单!$J$4:$J$4003,出库单!$D$4:$D$4003,$A68,出库单!$K$4:$K$4003,"自用消耗",出库单!$U$4:$U$4003,"正常",出库单!$C$4:$C$4003,"&gt;="&amp;账期起,出库单!$C$4:$C$4003,"&lt;="&amp;账期止))</f>
        <v/>
      </c>
      <c r="Q68" s="26">
        <f>IF($A68="","",ROUND(SUMIFS(出库单!$S$4:$S$4003,出库单!$D$4:$D$4003,$A68,出库单!$K$4:$K$4003,"自用消耗",出库单!$U$4:$U$4003,"正常",出库单!$C$4:$C$4003,"&gt;="&amp;账期起,出库单!$C$4:$C$4003,"&lt;="&amp;账期止),0))</f>
        <v/>
      </c>
      <c r="R68" s="27">
        <f>IF($A68="","",SUMIFS(出库单!$J$4:$J$4003,出库单!$D$4:$D$4003,$A68,出库单!$K$4:$K$4003,"对外销售",出库单!$U$4:$U$4003,"正常",出库单!$C$4:$C$4003,"&gt;="&amp;账期起,出库单!$C$4:$C$4003,"&lt;="&amp;账期止))</f>
        <v/>
      </c>
      <c r="S68" s="26">
        <f>IF($A68="","",ROUND(SUMIFS(出库单!$S$4:$S$4003,出库单!$D$4:$D$4003,$A68,出库单!$K$4:$K$4003,"对外销售",出库单!$U$4:$U$4003,"正常",出库单!$C$4:$C$4003,"&gt;="&amp;账期起,出库单!$C$4:$C$4003,"&lt;="&amp;账期止),0))</f>
        <v/>
      </c>
      <c r="T68" s="27">
        <f>IF($A68="","",SUMIFS(出库单!$J$4:$J$4003,出库单!$D$4:$D$4003,$A68,出库单!$K$4:$K$4003,"盘亏",出库单!$U$4:$U$4003,"正常",出库单!$C$4:$C$4003,"&gt;="&amp;账期起,出库单!$C$4:$C$4003,"&lt;="&amp;账期止))</f>
        <v/>
      </c>
      <c r="U68" s="26">
        <f>IF($A68="","",ROUND(SUMIFS(出库单!$S$4:$S$4003,出库单!$D$4:$D$4003,$A68,出库单!$K$4:$K$4003,"盘亏",出库单!$U$4:$U$4003,"正常",出库单!$C$4:$C$4003,"&gt;="&amp;账期起,出库单!$C$4:$C$4003,"&lt;="&amp;账期止),0))</f>
        <v/>
      </c>
      <c r="V68" s="27">
        <f>IF($A68="","",SUMIFS(出库单!$J$4:$J$4003,出库单!$D$4:$D$4003,$A68,出库单!$K$4:$K$4003,"退货给供应商",出库单!$U$4:$U$4003,"正常",出库单!$C$4:$C$4003,"&gt;="&amp;账期起,出库单!$C$4:$C$4003,"&lt;="&amp;账期止))</f>
        <v/>
      </c>
      <c r="W68" s="26">
        <f>IF($A68="","",ROUND(SUMIFS(出库单!$S$4:$S$4003,出库单!$D$4:$D$4003,$A68,出库单!$K$4:$K$4003,"退货给供应商",出库单!$U$4:$U$4003,"正常",出库单!$C$4:$C$4003,"&gt;="&amp;账期起,出库单!$C$4:$C$4003,"&lt;="&amp;账期止),0))</f>
        <v/>
      </c>
      <c r="X68" s="27">
        <f>IF($A68="","",ROUND(N($G68)+$I68+$L68+$N68-$P68-$R68-$T68-$V68,3))</f>
        <v/>
      </c>
      <c r="Y68" s="26">
        <f>IF($A68="","",ROUND(N($H68)+$J68+$M68+$O68-$Q68-$S68-$U68-$W68,0))</f>
        <v/>
      </c>
      <c r="Z68" s="24">
        <f>IF($A68="","",IF(COUNTIFS(入库单!$G$4:$G$2503,$A68,入库单!$Y$4:$Y$2503,"待补价")+COUNTIFS(入库单!$G$4:$G$2503,$A68,入库单!$Y$4:$Y$2503,"暂估")&gt;0,"不可信","可信"))</f>
        <v/>
      </c>
      <c r="AA68" s="24">
        <f>IF($A68="","",IF($X68&lt;-0.001,"※账面负库存，查一下是不是漏记入库",IF(AND(ROUND($X68,3)=0,ABS($Y68)&gt;1),"※数量已经是 0，金额还挂着 "&amp;TEXT($Y68,"#,##0")&amp;" 先令",IF(AND($X68&gt;0,$Y68&lt;=0,$K68=0),"※有数量没金额（这个物料一直没填过进价）",IF($Z68="不可信","△成本含待补价/暂估，毛利仅供参考","")))))</f>
        <v/>
      </c>
    </row>
    <row r="69">
      <c r="A69" s="24">
        <f>IF(物料档案!$A68="","",物料档案!$A68)</f>
        <v/>
      </c>
      <c r="B69" s="24">
        <f>IF($A69="","",IFERROR(VLOOKUP($A69,物料档案!$A$4:$P$1203,3,0),""))</f>
        <v/>
      </c>
      <c r="C69" s="24">
        <f>IF($A69="","",IFERROR(VLOOKUP($A69,物料档案!$A$4:$P$1203,4,0),""))</f>
        <v/>
      </c>
      <c r="D69" s="24">
        <f>IF($A69="","",IFERROR(VLOOKUP($A69,物料档案!$A$4:$P$1203,5,0),""))</f>
        <v/>
      </c>
      <c r="E69" s="24">
        <f>IF($A69="","",IFERROR(VLOOKUP($A69,物料档案!$A$4:$P$1203,2,0),""))</f>
        <v/>
      </c>
      <c r="F69" s="24">
        <f>IF($A69="","",IFERROR(VLOOKUP($A69,物料档案!$A$4:$P$1203,6,0),""))</f>
        <v/>
      </c>
      <c r="G69" s="23" t="n"/>
      <c r="H69" s="32" t="n"/>
      <c r="I69" s="27">
        <f>IF($A69="","",SUMIFS(入库单!$K$4:$K$2503,入库单!$G$4:$G$2503,$A69,入库单!$X$4:$X$2503,"采购入库",入库单!$Z$4:$Z$2503,"正常",入库单!$C$4:$C$2503,"&gt;="&amp;账期起,入库单!$C$4:$C$2503,"&lt;="&amp;账期止))</f>
        <v/>
      </c>
      <c r="J69" s="26">
        <f>IF($A69="","",SUMIFS(入库单!$V$4:$V$2503,入库单!$G$4:$G$2503,$A69,入库单!$X$4:$X$2503,"采购入库",入库单!$Z$4:$Z$2503,"正常",入库单!$C$4:$C$2503,"&gt;="&amp;账期起,入库单!$C$4:$C$2503,"&lt;="&amp;账期止))</f>
        <v/>
      </c>
      <c r="K69" s="26">
        <f>IF($A69="","",IFERROR(ROUND((N($H69)+N($J69))/(N($G69)+N($I69)),2),0))</f>
        <v/>
      </c>
      <c r="L69" s="27">
        <f>IF($A69="","",SUMIFS(入库单!$K$4:$K$2503,入库单!$G$4:$G$2503,$A69,入库单!$X$4:$X$2503,"盘盈",入库单!$Z$4:$Z$2503,"正常",入库单!$C$4:$C$2503,"&gt;="&amp;账期起,入库单!$C$4:$C$2503,"&lt;="&amp;账期止))</f>
        <v/>
      </c>
      <c r="M69" s="26">
        <f>IF($A69="","",ROUND($L69*$K69,0))</f>
        <v/>
      </c>
      <c r="N69" s="27">
        <f>IF($A69="","",SUMIFS(入库单!$K$4:$K$2503,入库单!$G$4:$G$2503,$A69,入库单!$X$4:$X$2503,"矿区退库",入库单!$Z$4:$Z$2503,"正常",入库单!$C$4:$C$2503,"&gt;="&amp;账期起,入库单!$C$4:$C$2503,"&lt;="&amp;账期止))</f>
        <v/>
      </c>
      <c r="O69" s="26">
        <f>IF($A69="","",ROUND($N69*$K69,0))</f>
        <v/>
      </c>
      <c r="P69" s="27">
        <f>IF($A69="","",SUMIFS(出库单!$J$4:$J$4003,出库单!$D$4:$D$4003,$A69,出库单!$K$4:$K$4003,"自用消耗",出库单!$U$4:$U$4003,"正常",出库单!$C$4:$C$4003,"&gt;="&amp;账期起,出库单!$C$4:$C$4003,"&lt;="&amp;账期止))</f>
        <v/>
      </c>
      <c r="Q69" s="26">
        <f>IF($A69="","",ROUND(SUMIFS(出库单!$S$4:$S$4003,出库单!$D$4:$D$4003,$A69,出库单!$K$4:$K$4003,"自用消耗",出库单!$U$4:$U$4003,"正常",出库单!$C$4:$C$4003,"&gt;="&amp;账期起,出库单!$C$4:$C$4003,"&lt;="&amp;账期止),0))</f>
        <v/>
      </c>
      <c r="R69" s="27">
        <f>IF($A69="","",SUMIFS(出库单!$J$4:$J$4003,出库单!$D$4:$D$4003,$A69,出库单!$K$4:$K$4003,"对外销售",出库单!$U$4:$U$4003,"正常",出库单!$C$4:$C$4003,"&gt;="&amp;账期起,出库单!$C$4:$C$4003,"&lt;="&amp;账期止))</f>
        <v/>
      </c>
      <c r="S69" s="26">
        <f>IF($A69="","",ROUND(SUMIFS(出库单!$S$4:$S$4003,出库单!$D$4:$D$4003,$A69,出库单!$K$4:$K$4003,"对外销售",出库单!$U$4:$U$4003,"正常",出库单!$C$4:$C$4003,"&gt;="&amp;账期起,出库单!$C$4:$C$4003,"&lt;="&amp;账期止),0))</f>
        <v/>
      </c>
      <c r="T69" s="27">
        <f>IF($A69="","",SUMIFS(出库单!$J$4:$J$4003,出库单!$D$4:$D$4003,$A69,出库单!$K$4:$K$4003,"盘亏",出库单!$U$4:$U$4003,"正常",出库单!$C$4:$C$4003,"&gt;="&amp;账期起,出库单!$C$4:$C$4003,"&lt;="&amp;账期止))</f>
        <v/>
      </c>
      <c r="U69" s="26">
        <f>IF($A69="","",ROUND(SUMIFS(出库单!$S$4:$S$4003,出库单!$D$4:$D$4003,$A69,出库单!$K$4:$K$4003,"盘亏",出库单!$U$4:$U$4003,"正常",出库单!$C$4:$C$4003,"&gt;="&amp;账期起,出库单!$C$4:$C$4003,"&lt;="&amp;账期止),0))</f>
        <v/>
      </c>
      <c r="V69" s="27">
        <f>IF($A69="","",SUMIFS(出库单!$J$4:$J$4003,出库单!$D$4:$D$4003,$A69,出库单!$K$4:$K$4003,"退货给供应商",出库单!$U$4:$U$4003,"正常",出库单!$C$4:$C$4003,"&gt;="&amp;账期起,出库单!$C$4:$C$4003,"&lt;="&amp;账期止))</f>
        <v/>
      </c>
      <c r="W69" s="26">
        <f>IF($A69="","",ROUND(SUMIFS(出库单!$S$4:$S$4003,出库单!$D$4:$D$4003,$A69,出库单!$K$4:$K$4003,"退货给供应商",出库单!$U$4:$U$4003,"正常",出库单!$C$4:$C$4003,"&gt;="&amp;账期起,出库单!$C$4:$C$4003,"&lt;="&amp;账期止),0))</f>
        <v/>
      </c>
      <c r="X69" s="27">
        <f>IF($A69="","",ROUND(N($G69)+$I69+$L69+$N69-$P69-$R69-$T69-$V69,3))</f>
        <v/>
      </c>
      <c r="Y69" s="26">
        <f>IF($A69="","",ROUND(N($H69)+$J69+$M69+$O69-$Q69-$S69-$U69-$W69,0))</f>
        <v/>
      </c>
      <c r="Z69" s="24">
        <f>IF($A69="","",IF(COUNTIFS(入库单!$G$4:$G$2503,$A69,入库单!$Y$4:$Y$2503,"待补价")+COUNTIFS(入库单!$G$4:$G$2503,$A69,入库单!$Y$4:$Y$2503,"暂估")&gt;0,"不可信","可信"))</f>
        <v/>
      </c>
      <c r="AA69" s="24">
        <f>IF($A69="","",IF($X69&lt;-0.001,"※账面负库存，查一下是不是漏记入库",IF(AND(ROUND($X69,3)=0,ABS($Y69)&gt;1),"※数量已经是 0，金额还挂着 "&amp;TEXT($Y69,"#,##0")&amp;" 先令",IF(AND($X69&gt;0,$Y69&lt;=0,$K69=0),"※有数量没金额（这个物料一直没填过进价）",IF($Z69="不可信","△成本含待补价/暂估，毛利仅供参考","")))))</f>
        <v/>
      </c>
    </row>
    <row r="70">
      <c r="A70" s="24">
        <f>IF(物料档案!$A69="","",物料档案!$A69)</f>
        <v/>
      </c>
      <c r="B70" s="24">
        <f>IF($A70="","",IFERROR(VLOOKUP($A70,物料档案!$A$4:$P$1203,3,0),""))</f>
        <v/>
      </c>
      <c r="C70" s="24">
        <f>IF($A70="","",IFERROR(VLOOKUP($A70,物料档案!$A$4:$P$1203,4,0),""))</f>
        <v/>
      </c>
      <c r="D70" s="24">
        <f>IF($A70="","",IFERROR(VLOOKUP($A70,物料档案!$A$4:$P$1203,5,0),""))</f>
        <v/>
      </c>
      <c r="E70" s="24">
        <f>IF($A70="","",IFERROR(VLOOKUP($A70,物料档案!$A$4:$P$1203,2,0),""))</f>
        <v/>
      </c>
      <c r="F70" s="24">
        <f>IF($A70="","",IFERROR(VLOOKUP($A70,物料档案!$A$4:$P$1203,6,0),""))</f>
        <v/>
      </c>
      <c r="G70" s="23" t="n"/>
      <c r="H70" s="32" t="n"/>
      <c r="I70" s="27">
        <f>IF($A70="","",SUMIFS(入库单!$K$4:$K$2503,入库单!$G$4:$G$2503,$A70,入库单!$X$4:$X$2503,"采购入库",入库单!$Z$4:$Z$2503,"正常",入库单!$C$4:$C$2503,"&gt;="&amp;账期起,入库单!$C$4:$C$2503,"&lt;="&amp;账期止))</f>
        <v/>
      </c>
      <c r="J70" s="26">
        <f>IF($A70="","",SUMIFS(入库单!$V$4:$V$2503,入库单!$G$4:$G$2503,$A70,入库单!$X$4:$X$2503,"采购入库",入库单!$Z$4:$Z$2503,"正常",入库单!$C$4:$C$2503,"&gt;="&amp;账期起,入库单!$C$4:$C$2503,"&lt;="&amp;账期止))</f>
        <v/>
      </c>
      <c r="K70" s="26">
        <f>IF($A70="","",IFERROR(ROUND((N($H70)+N($J70))/(N($G70)+N($I70)),2),0))</f>
        <v/>
      </c>
      <c r="L70" s="27">
        <f>IF($A70="","",SUMIFS(入库单!$K$4:$K$2503,入库单!$G$4:$G$2503,$A70,入库单!$X$4:$X$2503,"盘盈",入库单!$Z$4:$Z$2503,"正常",入库单!$C$4:$C$2503,"&gt;="&amp;账期起,入库单!$C$4:$C$2503,"&lt;="&amp;账期止))</f>
        <v/>
      </c>
      <c r="M70" s="26">
        <f>IF($A70="","",ROUND($L70*$K70,0))</f>
        <v/>
      </c>
      <c r="N70" s="27">
        <f>IF($A70="","",SUMIFS(入库单!$K$4:$K$2503,入库单!$G$4:$G$2503,$A70,入库单!$X$4:$X$2503,"矿区退库",入库单!$Z$4:$Z$2503,"正常",入库单!$C$4:$C$2503,"&gt;="&amp;账期起,入库单!$C$4:$C$2503,"&lt;="&amp;账期止))</f>
        <v/>
      </c>
      <c r="O70" s="26">
        <f>IF($A70="","",ROUND($N70*$K70,0))</f>
        <v/>
      </c>
      <c r="P70" s="27">
        <f>IF($A70="","",SUMIFS(出库单!$J$4:$J$4003,出库单!$D$4:$D$4003,$A70,出库单!$K$4:$K$4003,"自用消耗",出库单!$U$4:$U$4003,"正常",出库单!$C$4:$C$4003,"&gt;="&amp;账期起,出库单!$C$4:$C$4003,"&lt;="&amp;账期止))</f>
        <v/>
      </c>
      <c r="Q70" s="26">
        <f>IF($A70="","",ROUND(SUMIFS(出库单!$S$4:$S$4003,出库单!$D$4:$D$4003,$A70,出库单!$K$4:$K$4003,"自用消耗",出库单!$U$4:$U$4003,"正常",出库单!$C$4:$C$4003,"&gt;="&amp;账期起,出库单!$C$4:$C$4003,"&lt;="&amp;账期止),0))</f>
        <v/>
      </c>
      <c r="R70" s="27">
        <f>IF($A70="","",SUMIFS(出库单!$J$4:$J$4003,出库单!$D$4:$D$4003,$A70,出库单!$K$4:$K$4003,"对外销售",出库单!$U$4:$U$4003,"正常",出库单!$C$4:$C$4003,"&gt;="&amp;账期起,出库单!$C$4:$C$4003,"&lt;="&amp;账期止))</f>
        <v/>
      </c>
      <c r="S70" s="26">
        <f>IF($A70="","",ROUND(SUMIFS(出库单!$S$4:$S$4003,出库单!$D$4:$D$4003,$A70,出库单!$K$4:$K$4003,"对外销售",出库单!$U$4:$U$4003,"正常",出库单!$C$4:$C$4003,"&gt;="&amp;账期起,出库单!$C$4:$C$4003,"&lt;="&amp;账期止),0))</f>
        <v/>
      </c>
      <c r="T70" s="27">
        <f>IF($A70="","",SUMIFS(出库单!$J$4:$J$4003,出库单!$D$4:$D$4003,$A70,出库单!$K$4:$K$4003,"盘亏",出库单!$U$4:$U$4003,"正常",出库单!$C$4:$C$4003,"&gt;="&amp;账期起,出库单!$C$4:$C$4003,"&lt;="&amp;账期止))</f>
        <v/>
      </c>
      <c r="U70" s="26">
        <f>IF($A70="","",ROUND(SUMIFS(出库单!$S$4:$S$4003,出库单!$D$4:$D$4003,$A70,出库单!$K$4:$K$4003,"盘亏",出库单!$U$4:$U$4003,"正常",出库单!$C$4:$C$4003,"&gt;="&amp;账期起,出库单!$C$4:$C$4003,"&lt;="&amp;账期止),0))</f>
        <v/>
      </c>
      <c r="V70" s="27">
        <f>IF($A70="","",SUMIFS(出库单!$J$4:$J$4003,出库单!$D$4:$D$4003,$A70,出库单!$K$4:$K$4003,"退货给供应商",出库单!$U$4:$U$4003,"正常",出库单!$C$4:$C$4003,"&gt;="&amp;账期起,出库单!$C$4:$C$4003,"&lt;="&amp;账期止))</f>
        <v/>
      </c>
      <c r="W70" s="26">
        <f>IF($A70="","",ROUND(SUMIFS(出库单!$S$4:$S$4003,出库单!$D$4:$D$4003,$A70,出库单!$K$4:$K$4003,"退货给供应商",出库单!$U$4:$U$4003,"正常",出库单!$C$4:$C$4003,"&gt;="&amp;账期起,出库单!$C$4:$C$4003,"&lt;="&amp;账期止),0))</f>
        <v/>
      </c>
      <c r="X70" s="27">
        <f>IF($A70="","",ROUND(N($G70)+$I70+$L70+$N70-$P70-$R70-$T70-$V70,3))</f>
        <v/>
      </c>
      <c r="Y70" s="26">
        <f>IF($A70="","",ROUND(N($H70)+$J70+$M70+$O70-$Q70-$S70-$U70-$W70,0))</f>
        <v/>
      </c>
      <c r="Z70" s="24">
        <f>IF($A70="","",IF(COUNTIFS(入库单!$G$4:$G$2503,$A70,入库单!$Y$4:$Y$2503,"待补价")+COUNTIFS(入库单!$G$4:$G$2503,$A70,入库单!$Y$4:$Y$2503,"暂估")&gt;0,"不可信","可信"))</f>
        <v/>
      </c>
      <c r="AA70" s="24">
        <f>IF($A70="","",IF($X70&lt;-0.001,"※账面负库存，查一下是不是漏记入库",IF(AND(ROUND($X70,3)=0,ABS($Y70)&gt;1),"※数量已经是 0，金额还挂着 "&amp;TEXT($Y70,"#,##0")&amp;" 先令",IF(AND($X70&gt;0,$Y70&lt;=0,$K70=0),"※有数量没金额（这个物料一直没填过进价）",IF($Z70="不可信","△成本含待补价/暂估，毛利仅供参考","")))))</f>
        <v/>
      </c>
    </row>
    <row r="71">
      <c r="A71" s="24">
        <f>IF(物料档案!$A70="","",物料档案!$A70)</f>
        <v/>
      </c>
      <c r="B71" s="24">
        <f>IF($A71="","",IFERROR(VLOOKUP($A71,物料档案!$A$4:$P$1203,3,0),""))</f>
        <v/>
      </c>
      <c r="C71" s="24">
        <f>IF($A71="","",IFERROR(VLOOKUP($A71,物料档案!$A$4:$P$1203,4,0),""))</f>
        <v/>
      </c>
      <c r="D71" s="24">
        <f>IF($A71="","",IFERROR(VLOOKUP($A71,物料档案!$A$4:$P$1203,5,0),""))</f>
        <v/>
      </c>
      <c r="E71" s="24">
        <f>IF($A71="","",IFERROR(VLOOKUP($A71,物料档案!$A$4:$P$1203,2,0),""))</f>
        <v/>
      </c>
      <c r="F71" s="24">
        <f>IF($A71="","",IFERROR(VLOOKUP($A71,物料档案!$A$4:$P$1203,6,0),""))</f>
        <v/>
      </c>
      <c r="G71" s="23" t="n"/>
      <c r="H71" s="32" t="n"/>
      <c r="I71" s="27">
        <f>IF($A71="","",SUMIFS(入库单!$K$4:$K$2503,入库单!$G$4:$G$2503,$A71,入库单!$X$4:$X$2503,"采购入库",入库单!$Z$4:$Z$2503,"正常",入库单!$C$4:$C$2503,"&gt;="&amp;账期起,入库单!$C$4:$C$2503,"&lt;="&amp;账期止))</f>
        <v/>
      </c>
      <c r="J71" s="26">
        <f>IF($A71="","",SUMIFS(入库单!$V$4:$V$2503,入库单!$G$4:$G$2503,$A71,入库单!$X$4:$X$2503,"采购入库",入库单!$Z$4:$Z$2503,"正常",入库单!$C$4:$C$2503,"&gt;="&amp;账期起,入库单!$C$4:$C$2503,"&lt;="&amp;账期止))</f>
        <v/>
      </c>
      <c r="K71" s="26">
        <f>IF($A71="","",IFERROR(ROUND((N($H71)+N($J71))/(N($G71)+N($I71)),2),0))</f>
        <v/>
      </c>
      <c r="L71" s="27">
        <f>IF($A71="","",SUMIFS(入库单!$K$4:$K$2503,入库单!$G$4:$G$2503,$A71,入库单!$X$4:$X$2503,"盘盈",入库单!$Z$4:$Z$2503,"正常",入库单!$C$4:$C$2503,"&gt;="&amp;账期起,入库单!$C$4:$C$2503,"&lt;="&amp;账期止))</f>
        <v/>
      </c>
      <c r="M71" s="26">
        <f>IF($A71="","",ROUND($L71*$K71,0))</f>
        <v/>
      </c>
      <c r="N71" s="27">
        <f>IF($A71="","",SUMIFS(入库单!$K$4:$K$2503,入库单!$G$4:$G$2503,$A71,入库单!$X$4:$X$2503,"矿区退库",入库单!$Z$4:$Z$2503,"正常",入库单!$C$4:$C$2503,"&gt;="&amp;账期起,入库单!$C$4:$C$2503,"&lt;="&amp;账期止))</f>
        <v/>
      </c>
      <c r="O71" s="26">
        <f>IF($A71="","",ROUND($N71*$K71,0))</f>
        <v/>
      </c>
      <c r="P71" s="27">
        <f>IF($A71="","",SUMIFS(出库单!$J$4:$J$4003,出库单!$D$4:$D$4003,$A71,出库单!$K$4:$K$4003,"自用消耗",出库单!$U$4:$U$4003,"正常",出库单!$C$4:$C$4003,"&gt;="&amp;账期起,出库单!$C$4:$C$4003,"&lt;="&amp;账期止))</f>
        <v/>
      </c>
      <c r="Q71" s="26">
        <f>IF($A71="","",ROUND(SUMIFS(出库单!$S$4:$S$4003,出库单!$D$4:$D$4003,$A71,出库单!$K$4:$K$4003,"自用消耗",出库单!$U$4:$U$4003,"正常",出库单!$C$4:$C$4003,"&gt;="&amp;账期起,出库单!$C$4:$C$4003,"&lt;="&amp;账期止),0))</f>
        <v/>
      </c>
      <c r="R71" s="27">
        <f>IF($A71="","",SUMIFS(出库单!$J$4:$J$4003,出库单!$D$4:$D$4003,$A71,出库单!$K$4:$K$4003,"对外销售",出库单!$U$4:$U$4003,"正常",出库单!$C$4:$C$4003,"&gt;="&amp;账期起,出库单!$C$4:$C$4003,"&lt;="&amp;账期止))</f>
        <v/>
      </c>
      <c r="S71" s="26">
        <f>IF($A71="","",ROUND(SUMIFS(出库单!$S$4:$S$4003,出库单!$D$4:$D$4003,$A71,出库单!$K$4:$K$4003,"对外销售",出库单!$U$4:$U$4003,"正常",出库单!$C$4:$C$4003,"&gt;="&amp;账期起,出库单!$C$4:$C$4003,"&lt;="&amp;账期止),0))</f>
        <v/>
      </c>
      <c r="T71" s="27">
        <f>IF($A71="","",SUMIFS(出库单!$J$4:$J$4003,出库单!$D$4:$D$4003,$A71,出库单!$K$4:$K$4003,"盘亏",出库单!$U$4:$U$4003,"正常",出库单!$C$4:$C$4003,"&gt;="&amp;账期起,出库单!$C$4:$C$4003,"&lt;="&amp;账期止))</f>
        <v/>
      </c>
      <c r="U71" s="26">
        <f>IF($A71="","",ROUND(SUMIFS(出库单!$S$4:$S$4003,出库单!$D$4:$D$4003,$A71,出库单!$K$4:$K$4003,"盘亏",出库单!$U$4:$U$4003,"正常",出库单!$C$4:$C$4003,"&gt;="&amp;账期起,出库单!$C$4:$C$4003,"&lt;="&amp;账期止),0))</f>
        <v/>
      </c>
      <c r="V71" s="27">
        <f>IF($A71="","",SUMIFS(出库单!$J$4:$J$4003,出库单!$D$4:$D$4003,$A71,出库单!$K$4:$K$4003,"退货给供应商",出库单!$U$4:$U$4003,"正常",出库单!$C$4:$C$4003,"&gt;="&amp;账期起,出库单!$C$4:$C$4003,"&lt;="&amp;账期止))</f>
        <v/>
      </c>
      <c r="W71" s="26">
        <f>IF($A71="","",ROUND(SUMIFS(出库单!$S$4:$S$4003,出库单!$D$4:$D$4003,$A71,出库单!$K$4:$K$4003,"退货给供应商",出库单!$U$4:$U$4003,"正常",出库单!$C$4:$C$4003,"&gt;="&amp;账期起,出库单!$C$4:$C$4003,"&lt;="&amp;账期止),0))</f>
        <v/>
      </c>
      <c r="X71" s="27">
        <f>IF($A71="","",ROUND(N($G71)+$I71+$L71+$N71-$P71-$R71-$T71-$V71,3))</f>
        <v/>
      </c>
      <c r="Y71" s="26">
        <f>IF($A71="","",ROUND(N($H71)+$J71+$M71+$O71-$Q71-$S71-$U71-$W71,0))</f>
        <v/>
      </c>
      <c r="Z71" s="24">
        <f>IF($A71="","",IF(COUNTIFS(入库单!$G$4:$G$2503,$A71,入库单!$Y$4:$Y$2503,"待补价")+COUNTIFS(入库单!$G$4:$G$2503,$A71,入库单!$Y$4:$Y$2503,"暂估")&gt;0,"不可信","可信"))</f>
        <v/>
      </c>
      <c r="AA71" s="24">
        <f>IF($A71="","",IF($X71&lt;-0.001,"※账面负库存，查一下是不是漏记入库",IF(AND(ROUND($X71,3)=0,ABS($Y71)&gt;1),"※数量已经是 0，金额还挂着 "&amp;TEXT($Y71,"#,##0")&amp;" 先令",IF(AND($X71&gt;0,$Y71&lt;=0,$K71=0),"※有数量没金额（这个物料一直没填过进价）",IF($Z71="不可信","△成本含待补价/暂估，毛利仅供参考","")))))</f>
        <v/>
      </c>
    </row>
    <row r="72">
      <c r="A72" s="24">
        <f>IF(物料档案!$A71="","",物料档案!$A71)</f>
        <v/>
      </c>
      <c r="B72" s="24">
        <f>IF($A72="","",IFERROR(VLOOKUP($A72,物料档案!$A$4:$P$1203,3,0),""))</f>
        <v/>
      </c>
      <c r="C72" s="24">
        <f>IF($A72="","",IFERROR(VLOOKUP($A72,物料档案!$A$4:$P$1203,4,0),""))</f>
        <v/>
      </c>
      <c r="D72" s="24">
        <f>IF($A72="","",IFERROR(VLOOKUP($A72,物料档案!$A$4:$P$1203,5,0),""))</f>
        <v/>
      </c>
      <c r="E72" s="24">
        <f>IF($A72="","",IFERROR(VLOOKUP($A72,物料档案!$A$4:$P$1203,2,0),""))</f>
        <v/>
      </c>
      <c r="F72" s="24">
        <f>IF($A72="","",IFERROR(VLOOKUP($A72,物料档案!$A$4:$P$1203,6,0),""))</f>
        <v/>
      </c>
      <c r="G72" s="23" t="n"/>
      <c r="H72" s="32" t="n"/>
      <c r="I72" s="27">
        <f>IF($A72="","",SUMIFS(入库单!$K$4:$K$2503,入库单!$G$4:$G$2503,$A72,入库单!$X$4:$X$2503,"采购入库",入库单!$Z$4:$Z$2503,"正常",入库单!$C$4:$C$2503,"&gt;="&amp;账期起,入库单!$C$4:$C$2503,"&lt;="&amp;账期止))</f>
        <v/>
      </c>
      <c r="J72" s="26">
        <f>IF($A72="","",SUMIFS(入库单!$V$4:$V$2503,入库单!$G$4:$G$2503,$A72,入库单!$X$4:$X$2503,"采购入库",入库单!$Z$4:$Z$2503,"正常",入库单!$C$4:$C$2503,"&gt;="&amp;账期起,入库单!$C$4:$C$2503,"&lt;="&amp;账期止))</f>
        <v/>
      </c>
      <c r="K72" s="26">
        <f>IF($A72="","",IFERROR(ROUND((N($H72)+N($J72))/(N($G72)+N($I72)),2),0))</f>
        <v/>
      </c>
      <c r="L72" s="27">
        <f>IF($A72="","",SUMIFS(入库单!$K$4:$K$2503,入库单!$G$4:$G$2503,$A72,入库单!$X$4:$X$2503,"盘盈",入库单!$Z$4:$Z$2503,"正常",入库单!$C$4:$C$2503,"&gt;="&amp;账期起,入库单!$C$4:$C$2503,"&lt;="&amp;账期止))</f>
        <v/>
      </c>
      <c r="M72" s="26">
        <f>IF($A72="","",ROUND($L72*$K72,0))</f>
        <v/>
      </c>
      <c r="N72" s="27">
        <f>IF($A72="","",SUMIFS(入库单!$K$4:$K$2503,入库单!$G$4:$G$2503,$A72,入库单!$X$4:$X$2503,"矿区退库",入库单!$Z$4:$Z$2503,"正常",入库单!$C$4:$C$2503,"&gt;="&amp;账期起,入库单!$C$4:$C$2503,"&lt;="&amp;账期止))</f>
        <v/>
      </c>
      <c r="O72" s="26">
        <f>IF($A72="","",ROUND($N72*$K72,0))</f>
        <v/>
      </c>
      <c r="P72" s="27">
        <f>IF($A72="","",SUMIFS(出库单!$J$4:$J$4003,出库单!$D$4:$D$4003,$A72,出库单!$K$4:$K$4003,"自用消耗",出库单!$U$4:$U$4003,"正常",出库单!$C$4:$C$4003,"&gt;="&amp;账期起,出库单!$C$4:$C$4003,"&lt;="&amp;账期止))</f>
        <v/>
      </c>
      <c r="Q72" s="26">
        <f>IF($A72="","",ROUND(SUMIFS(出库单!$S$4:$S$4003,出库单!$D$4:$D$4003,$A72,出库单!$K$4:$K$4003,"自用消耗",出库单!$U$4:$U$4003,"正常",出库单!$C$4:$C$4003,"&gt;="&amp;账期起,出库单!$C$4:$C$4003,"&lt;="&amp;账期止),0))</f>
        <v/>
      </c>
      <c r="R72" s="27">
        <f>IF($A72="","",SUMIFS(出库单!$J$4:$J$4003,出库单!$D$4:$D$4003,$A72,出库单!$K$4:$K$4003,"对外销售",出库单!$U$4:$U$4003,"正常",出库单!$C$4:$C$4003,"&gt;="&amp;账期起,出库单!$C$4:$C$4003,"&lt;="&amp;账期止))</f>
        <v/>
      </c>
      <c r="S72" s="26">
        <f>IF($A72="","",ROUND(SUMIFS(出库单!$S$4:$S$4003,出库单!$D$4:$D$4003,$A72,出库单!$K$4:$K$4003,"对外销售",出库单!$U$4:$U$4003,"正常",出库单!$C$4:$C$4003,"&gt;="&amp;账期起,出库单!$C$4:$C$4003,"&lt;="&amp;账期止),0))</f>
        <v/>
      </c>
      <c r="T72" s="27">
        <f>IF($A72="","",SUMIFS(出库单!$J$4:$J$4003,出库单!$D$4:$D$4003,$A72,出库单!$K$4:$K$4003,"盘亏",出库单!$U$4:$U$4003,"正常",出库单!$C$4:$C$4003,"&gt;="&amp;账期起,出库单!$C$4:$C$4003,"&lt;="&amp;账期止))</f>
        <v/>
      </c>
      <c r="U72" s="26">
        <f>IF($A72="","",ROUND(SUMIFS(出库单!$S$4:$S$4003,出库单!$D$4:$D$4003,$A72,出库单!$K$4:$K$4003,"盘亏",出库单!$U$4:$U$4003,"正常",出库单!$C$4:$C$4003,"&gt;="&amp;账期起,出库单!$C$4:$C$4003,"&lt;="&amp;账期止),0))</f>
        <v/>
      </c>
      <c r="V72" s="27">
        <f>IF($A72="","",SUMIFS(出库单!$J$4:$J$4003,出库单!$D$4:$D$4003,$A72,出库单!$K$4:$K$4003,"退货给供应商",出库单!$U$4:$U$4003,"正常",出库单!$C$4:$C$4003,"&gt;="&amp;账期起,出库单!$C$4:$C$4003,"&lt;="&amp;账期止))</f>
        <v/>
      </c>
      <c r="W72" s="26">
        <f>IF($A72="","",ROUND(SUMIFS(出库单!$S$4:$S$4003,出库单!$D$4:$D$4003,$A72,出库单!$K$4:$K$4003,"退货给供应商",出库单!$U$4:$U$4003,"正常",出库单!$C$4:$C$4003,"&gt;="&amp;账期起,出库单!$C$4:$C$4003,"&lt;="&amp;账期止),0))</f>
        <v/>
      </c>
      <c r="X72" s="27">
        <f>IF($A72="","",ROUND(N($G72)+$I72+$L72+$N72-$P72-$R72-$T72-$V72,3))</f>
        <v/>
      </c>
      <c r="Y72" s="26">
        <f>IF($A72="","",ROUND(N($H72)+$J72+$M72+$O72-$Q72-$S72-$U72-$W72,0))</f>
        <v/>
      </c>
      <c r="Z72" s="24">
        <f>IF($A72="","",IF(COUNTIFS(入库单!$G$4:$G$2503,$A72,入库单!$Y$4:$Y$2503,"待补价")+COUNTIFS(入库单!$G$4:$G$2503,$A72,入库单!$Y$4:$Y$2503,"暂估")&gt;0,"不可信","可信"))</f>
        <v/>
      </c>
      <c r="AA72" s="24">
        <f>IF($A72="","",IF($X72&lt;-0.001,"※账面负库存，查一下是不是漏记入库",IF(AND(ROUND($X72,3)=0,ABS($Y72)&gt;1),"※数量已经是 0，金额还挂着 "&amp;TEXT($Y72,"#,##0")&amp;" 先令",IF(AND($X72&gt;0,$Y72&lt;=0,$K72=0),"※有数量没金额（这个物料一直没填过进价）",IF($Z72="不可信","△成本含待补价/暂估，毛利仅供参考","")))))</f>
        <v/>
      </c>
    </row>
    <row r="73">
      <c r="A73" s="24">
        <f>IF(物料档案!$A72="","",物料档案!$A72)</f>
        <v/>
      </c>
      <c r="B73" s="24">
        <f>IF($A73="","",IFERROR(VLOOKUP($A73,物料档案!$A$4:$P$1203,3,0),""))</f>
        <v/>
      </c>
      <c r="C73" s="24">
        <f>IF($A73="","",IFERROR(VLOOKUP($A73,物料档案!$A$4:$P$1203,4,0),""))</f>
        <v/>
      </c>
      <c r="D73" s="24">
        <f>IF($A73="","",IFERROR(VLOOKUP($A73,物料档案!$A$4:$P$1203,5,0),""))</f>
        <v/>
      </c>
      <c r="E73" s="24">
        <f>IF($A73="","",IFERROR(VLOOKUP($A73,物料档案!$A$4:$P$1203,2,0),""))</f>
        <v/>
      </c>
      <c r="F73" s="24">
        <f>IF($A73="","",IFERROR(VLOOKUP($A73,物料档案!$A$4:$P$1203,6,0),""))</f>
        <v/>
      </c>
      <c r="G73" s="23" t="n"/>
      <c r="H73" s="32" t="n"/>
      <c r="I73" s="27">
        <f>IF($A73="","",SUMIFS(入库单!$K$4:$K$2503,入库单!$G$4:$G$2503,$A73,入库单!$X$4:$X$2503,"采购入库",入库单!$Z$4:$Z$2503,"正常",入库单!$C$4:$C$2503,"&gt;="&amp;账期起,入库单!$C$4:$C$2503,"&lt;="&amp;账期止))</f>
        <v/>
      </c>
      <c r="J73" s="26">
        <f>IF($A73="","",SUMIFS(入库单!$V$4:$V$2503,入库单!$G$4:$G$2503,$A73,入库单!$X$4:$X$2503,"采购入库",入库单!$Z$4:$Z$2503,"正常",入库单!$C$4:$C$2503,"&gt;="&amp;账期起,入库单!$C$4:$C$2503,"&lt;="&amp;账期止))</f>
        <v/>
      </c>
      <c r="K73" s="26">
        <f>IF($A73="","",IFERROR(ROUND((N($H73)+N($J73))/(N($G73)+N($I73)),2),0))</f>
        <v/>
      </c>
      <c r="L73" s="27">
        <f>IF($A73="","",SUMIFS(入库单!$K$4:$K$2503,入库单!$G$4:$G$2503,$A73,入库单!$X$4:$X$2503,"盘盈",入库单!$Z$4:$Z$2503,"正常",入库单!$C$4:$C$2503,"&gt;="&amp;账期起,入库单!$C$4:$C$2503,"&lt;="&amp;账期止))</f>
        <v/>
      </c>
      <c r="M73" s="26">
        <f>IF($A73="","",ROUND($L73*$K73,0))</f>
        <v/>
      </c>
      <c r="N73" s="27">
        <f>IF($A73="","",SUMIFS(入库单!$K$4:$K$2503,入库单!$G$4:$G$2503,$A73,入库单!$X$4:$X$2503,"矿区退库",入库单!$Z$4:$Z$2503,"正常",入库单!$C$4:$C$2503,"&gt;="&amp;账期起,入库单!$C$4:$C$2503,"&lt;="&amp;账期止))</f>
        <v/>
      </c>
      <c r="O73" s="26">
        <f>IF($A73="","",ROUND($N73*$K73,0))</f>
        <v/>
      </c>
      <c r="P73" s="27">
        <f>IF($A73="","",SUMIFS(出库单!$J$4:$J$4003,出库单!$D$4:$D$4003,$A73,出库单!$K$4:$K$4003,"自用消耗",出库单!$U$4:$U$4003,"正常",出库单!$C$4:$C$4003,"&gt;="&amp;账期起,出库单!$C$4:$C$4003,"&lt;="&amp;账期止))</f>
        <v/>
      </c>
      <c r="Q73" s="26">
        <f>IF($A73="","",ROUND(SUMIFS(出库单!$S$4:$S$4003,出库单!$D$4:$D$4003,$A73,出库单!$K$4:$K$4003,"自用消耗",出库单!$U$4:$U$4003,"正常",出库单!$C$4:$C$4003,"&gt;="&amp;账期起,出库单!$C$4:$C$4003,"&lt;="&amp;账期止),0))</f>
        <v/>
      </c>
      <c r="R73" s="27">
        <f>IF($A73="","",SUMIFS(出库单!$J$4:$J$4003,出库单!$D$4:$D$4003,$A73,出库单!$K$4:$K$4003,"对外销售",出库单!$U$4:$U$4003,"正常",出库单!$C$4:$C$4003,"&gt;="&amp;账期起,出库单!$C$4:$C$4003,"&lt;="&amp;账期止))</f>
        <v/>
      </c>
      <c r="S73" s="26">
        <f>IF($A73="","",ROUND(SUMIFS(出库单!$S$4:$S$4003,出库单!$D$4:$D$4003,$A73,出库单!$K$4:$K$4003,"对外销售",出库单!$U$4:$U$4003,"正常",出库单!$C$4:$C$4003,"&gt;="&amp;账期起,出库单!$C$4:$C$4003,"&lt;="&amp;账期止),0))</f>
        <v/>
      </c>
      <c r="T73" s="27">
        <f>IF($A73="","",SUMIFS(出库单!$J$4:$J$4003,出库单!$D$4:$D$4003,$A73,出库单!$K$4:$K$4003,"盘亏",出库单!$U$4:$U$4003,"正常",出库单!$C$4:$C$4003,"&gt;="&amp;账期起,出库单!$C$4:$C$4003,"&lt;="&amp;账期止))</f>
        <v/>
      </c>
      <c r="U73" s="26">
        <f>IF($A73="","",ROUND(SUMIFS(出库单!$S$4:$S$4003,出库单!$D$4:$D$4003,$A73,出库单!$K$4:$K$4003,"盘亏",出库单!$U$4:$U$4003,"正常",出库单!$C$4:$C$4003,"&gt;="&amp;账期起,出库单!$C$4:$C$4003,"&lt;="&amp;账期止),0))</f>
        <v/>
      </c>
      <c r="V73" s="27">
        <f>IF($A73="","",SUMIFS(出库单!$J$4:$J$4003,出库单!$D$4:$D$4003,$A73,出库单!$K$4:$K$4003,"退货给供应商",出库单!$U$4:$U$4003,"正常",出库单!$C$4:$C$4003,"&gt;="&amp;账期起,出库单!$C$4:$C$4003,"&lt;="&amp;账期止))</f>
        <v/>
      </c>
      <c r="W73" s="26">
        <f>IF($A73="","",ROUND(SUMIFS(出库单!$S$4:$S$4003,出库单!$D$4:$D$4003,$A73,出库单!$K$4:$K$4003,"退货给供应商",出库单!$U$4:$U$4003,"正常",出库单!$C$4:$C$4003,"&gt;="&amp;账期起,出库单!$C$4:$C$4003,"&lt;="&amp;账期止),0))</f>
        <v/>
      </c>
      <c r="X73" s="27">
        <f>IF($A73="","",ROUND(N($G73)+$I73+$L73+$N73-$P73-$R73-$T73-$V73,3))</f>
        <v/>
      </c>
      <c r="Y73" s="26">
        <f>IF($A73="","",ROUND(N($H73)+$J73+$M73+$O73-$Q73-$S73-$U73-$W73,0))</f>
        <v/>
      </c>
      <c r="Z73" s="24">
        <f>IF($A73="","",IF(COUNTIFS(入库单!$G$4:$G$2503,$A73,入库单!$Y$4:$Y$2503,"待补价")+COUNTIFS(入库单!$G$4:$G$2503,$A73,入库单!$Y$4:$Y$2503,"暂估")&gt;0,"不可信","可信"))</f>
        <v/>
      </c>
      <c r="AA73" s="24">
        <f>IF($A73="","",IF($X73&lt;-0.001,"※账面负库存，查一下是不是漏记入库",IF(AND(ROUND($X73,3)=0,ABS($Y73)&gt;1),"※数量已经是 0，金额还挂着 "&amp;TEXT($Y73,"#,##0")&amp;" 先令",IF(AND($X73&gt;0,$Y73&lt;=0,$K73=0),"※有数量没金额（这个物料一直没填过进价）",IF($Z73="不可信","△成本含待补价/暂估，毛利仅供参考","")))))</f>
        <v/>
      </c>
    </row>
    <row r="74">
      <c r="A74" s="24">
        <f>IF(物料档案!$A73="","",物料档案!$A73)</f>
        <v/>
      </c>
      <c r="B74" s="24">
        <f>IF($A74="","",IFERROR(VLOOKUP($A74,物料档案!$A$4:$P$1203,3,0),""))</f>
        <v/>
      </c>
      <c r="C74" s="24">
        <f>IF($A74="","",IFERROR(VLOOKUP($A74,物料档案!$A$4:$P$1203,4,0),""))</f>
        <v/>
      </c>
      <c r="D74" s="24">
        <f>IF($A74="","",IFERROR(VLOOKUP($A74,物料档案!$A$4:$P$1203,5,0),""))</f>
        <v/>
      </c>
      <c r="E74" s="24">
        <f>IF($A74="","",IFERROR(VLOOKUP($A74,物料档案!$A$4:$P$1203,2,0),""))</f>
        <v/>
      </c>
      <c r="F74" s="24">
        <f>IF($A74="","",IFERROR(VLOOKUP($A74,物料档案!$A$4:$P$1203,6,0),""))</f>
        <v/>
      </c>
      <c r="G74" s="23" t="n"/>
      <c r="H74" s="32" t="n"/>
      <c r="I74" s="27">
        <f>IF($A74="","",SUMIFS(入库单!$K$4:$K$2503,入库单!$G$4:$G$2503,$A74,入库单!$X$4:$X$2503,"采购入库",入库单!$Z$4:$Z$2503,"正常",入库单!$C$4:$C$2503,"&gt;="&amp;账期起,入库单!$C$4:$C$2503,"&lt;="&amp;账期止))</f>
        <v/>
      </c>
      <c r="J74" s="26">
        <f>IF($A74="","",SUMIFS(入库单!$V$4:$V$2503,入库单!$G$4:$G$2503,$A74,入库单!$X$4:$X$2503,"采购入库",入库单!$Z$4:$Z$2503,"正常",入库单!$C$4:$C$2503,"&gt;="&amp;账期起,入库单!$C$4:$C$2503,"&lt;="&amp;账期止))</f>
        <v/>
      </c>
      <c r="K74" s="26">
        <f>IF($A74="","",IFERROR(ROUND((N($H74)+N($J74))/(N($G74)+N($I74)),2),0))</f>
        <v/>
      </c>
      <c r="L74" s="27">
        <f>IF($A74="","",SUMIFS(入库单!$K$4:$K$2503,入库单!$G$4:$G$2503,$A74,入库单!$X$4:$X$2503,"盘盈",入库单!$Z$4:$Z$2503,"正常",入库单!$C$4:$C$2503,"&gt;="&amp;账期起,入库单!$C$4:$C$2503,"&lt;="&amp;账期止))</f>
        <v/>
      </c>
      <c r="M74" s="26">
        <f>IF($A74="","",ROUND($L74*$K74,0))</f>
        <v/>
      </c>
      <c r="N74" s="27">
        <f>IF($A74="","",SUMIFS(入库单!$K$4:$K$2503,入库单!$G$4:$G$2503,$A74,入库单!$X$4:$X$2503,"矿区退库",入库单!$Z$4:$Z$2503,"正常",入库单!$C$4:$C$2503,"&gt;="&amp;账期起,入库单!$C$4:$C$2503,"&lt;="&amp;账期止))</f>
        <v/>
      </c>
      <c r="O74" s="26">
        <f>IF($A74="","",ROUND($N74*$K74,0))</f>
        <v/>
      </c>
      <c r="P74" s="27">
        <f>IF($A74="","",SUMIFS(出库单!$J$4:$J$4003,出库单!$D$4:$D$4003,$A74,出库单!$K$4:$K$4003,"自用消耗",出库单!$U$4:$U$4003,"正常",出库单!$C$4:$C$4003,"&gt;="&amp;账期起,出库单!$C$4:$C$4003,"&lt;="&amp;账期止))</f>
        <v/>
      </c>
      <c r="Q74" s="26">
        <f>IF($A74="","",ROUND(SUMIFS(出库单!$S$4:$S$4003,出库单!$D$4:$D$4003,$A74,出库单!$K$4:$K$4003,"自用消耗",出库单!$U$4:$U$4003,"正常",出库单!$C$4:$C$4003,"&gt;="&amp;账期起,出库单!$C$4:$C$4003,"&lt;="&amp;账期止),0))</f>
        <v/>
      </c>
      <c r="R74" s="27">
        <f>IF($A74="","",SUMIFS(出库单!$J$4:$J$4003,出库单!$D$4:$D$4003,$A74,出库单!$K$4:$K$4003,"对外销售",出库单!$U$4:$U$4003,"正常",出库单!$C$4:$C$4003,"&gt;="&amp;账期起,出库单!$C$4:$C$4003,"&lt;="&amp;账期止))</f>
        <v/>
      </c>
      <c r="S74" s="26">
        <f>IF($A74="","",ROUND(SUMIFS(出库单!$S$4:$S$4003,出库单!$D$4:$D$4003,$A74,出库单!$K$4:$K$4003,"对外销售",出库单!$U$4:$U$4003,"正常",出库单!$C$4:$C$4003,"&gt;="&amp;账期起,出库单!$C$4:$C$4003,"&lt;="&amp;账期止),0))</f>
        <v/>
      </c>
      <c r="T74" s="27">
        <f>IF($A74="","",SUMIFS(出库单!$J$4:$J$4003,出库单!$D$4:$D$4003,$A74,出库单!$K$4:$K$4003,"盘亏",出库单!$U$4:$U$4003,"正常",出库单!$C$4:$C$4003,"&gt;="&amp;账期起,出库单!$C$4:$C$4003,"&lt;="&amp;账期止))</f>
        <v/>
      </c>
      <c r="U74" s="26">
        <f>IF($A74="","",ROUND(SUMIFS(出库单!$S$4:$S$4003,出库单!$D$4:$D$4003,$A74,出库单!$K$4:$K$4003,"盘亏",出库单!$U$4:$U$4003,"正常",出库单!$C$4:$C$4003,"&gt;="&amp;账期起,出库单!$C$4:$C$4003,"&lt;="&amp;账期止),0))</f>
        <v/>
      </c>
      <c r="V74" s="27">
        <f>IF($A74="","",SUMIFS(出库单!$J$4:$J$4003,出库单!$D$4:$D$4003,$A74,出库单!$K$4:$K$4003,"退货给供应商",出库单!$U$4:$U$4003,"正常",出库单!$C$4:$C$4003,"&gt;="&amp;账期起,出库单!$C$4:$C$4003,"&lt;="&amp;账期止))</f>
        <v/>
      </c>
      <c r="W74" s="26">
        <f>IF($A74="","",ROUND(SUMIFS(出库单!$S$4:$S$4003,出库单!$D$4:$D$4003,$A74,出库单!$K$4:$K$4003,"退货给供应商",出库单!$U$4:$U$4003,"正常",出库单!$C$4:$C$4003,"&gt;="&amp;账期起,出库单!$C$4:$C$4003,"&lt;="&amp;账期止),0))</f>
        <v/>
      </c>
      <c r="X74" s="27">
        <f>IF($A74="","",ROUND(N($G74)+$I74+$L74+$N74-$P74-$R74-$T74-$V74,3))</f>
        <v/>
      </c>
      <c r="Y74" s="26">
        <f>IF($A74="","",ROUND(N($H74)+$J74+$M74+$O74-$Q74-$S74-$U74-$W74,0))</f>
        <v/>
      </c>
      <c r="Z74" s="24">
        <f>IF($A74="","",IF(COUNTIFS(入库单!$G$4:$G$2503,$A74,入库单!$Y$4:$Y$2503,"待补价")+COUNTIFS(入库单!$G$4:$G$2503,$A74,入库单!$Y$4:$Y$2503,"暂估")&gt;0,"不可信","可信"))</f>
        <v/>
      </c>
      <c r="AA74" s="24">
        <f>IF($A74="","",IF($X74&lt;-0.001,"※账面负库存，查一下是不是漏记入库",IF(AND(ROUND($X74,3)=0,ABS($Y74)&gt;1),"※数量已经是 0，金额还挂着 "&amp;TEXT($Y74,"#,##0")&amp;" 先令",IF(AND($X74&gt;0,$Y74&lt;=0,$K74=0),"※有数量没金额（这个物料一直没填过进价）",IF($Z74="不可信","△成本含待补价/暂估，毛利仅供参考","")))))</f>
        <v/>
      </c>
    </row>
    <row r="75">
      <c r="A75" s="24">
        <f>IF(物料档案!$A74="","",物料档案!$A74)</f>
        <v/>
      </c>
      <c r="B75" s="24">
        <f>IF($A75="","",IFERROR(VLOOKUP($A75,物料档案!$A$4:$P$1203,3,0),""))</f>
        <v/>
      </c>
      <c r="C75" s="24">
        <f>IF($A75="","",IFERROR(VLOOKUP($A75,物料档案!$A$4:$P$1203,4,0),""))</f>
        <v/>
      </c>
      <c r="D75" s="24">
        <f>IF($A75="","",IFERROR(VLOOKUP($A75,物料档案!$A$4:$P$1203,5,0),""))</f>
        <v/>
      </c>
      <c r="E75" s="24">
        <f>IF($A75="","",IFERROR(VLOOKUP($A75,物料档案!$A$4:$P$1203,2,0),""))</f>
        <v/>
      </c>
      <c r="F75" s="24">
        <f>IF($A75="","",IFERROR(VLOOKUP($A75,物料档案!$A$4:$P$1203,6,0),""))</f>
        <v/>
      </c>
      <c r="G75" s="23" t="n"/>
      <c r="H75" s="32" t="n"/>
      <c r="I75" s="27">
        <f>IF($A75="","",SUMIFS(入库单!$K$4:$K$2503,入库单!$G$4:$G$2503,$A75,入库单!$X$4:$X$2503,"采购入库",入库单!$Z$4:$Z$2503,"正常",入库单!$C$4:$C$2503,"&gt;="&amp;账期起,入库单!$C$4:$C$2503,"&lt;="&amp;账期止))</f>
        <v/>
      </c>
      <c r="J75" s="26">
        <f>IF($A75="","",SUMIFS(入库单!$V$4:$V$2503,入库单!$G$4:$G$2503,$A75,入库单!$X$4:$X$2503,"采购入库",入库单!$Z$4:$Z$2503,"正常",入库单!$C$4:$C$2503,"&gt;="&amp;账期起,入库单!$C$4:$C$2503,"&lt;="&amp;账期止))</f>
        <v/>
      </c>
      <c r="K75" s="26">
        <f>IF($A75="","",IFERROR(ROUND((N($H75)+N($J75))/(N($G75)+N($I75)),2),0))</f>
        <v/>
      </c>
      <c r="L75" s="27">
        <f>IF($A75="","",SUMIFS(入库单!$K$4:$K$2503,入库单!$G$4:$G$2503,$A75,入库单!$X$4:$X$2503,"盘盈",入库单!$Z$4:$Z$2503,"正常",入库单!$C$4:$C$2503,"&gt;="&amp;账期起,入库单!$C$4:$C$2503,"&lt;="&amp;账期止))</f>
        <v/>
      </c>
      <c r="M75" s="26">
        <f>IF($A75="","",ROUND($L75*$K75,0))</f>
        <v/>
      </c>
      <c r="N75" s="27">
        <f>IF($A75="","",SUMIFS(入库单!$K$4:$K$2503,入库单!$G$4:$G$2503,$A75,入库单!$X$4:$X$2503,"矿区退库",入库单!$Z$4:$Z$2503,"正常",入库单!$C$4:$C$2503,"&gt;="&amp;账期起,入库单!$C$4:$C$2503,"&lt;="&amp;账期止))</f>
        <v/>
      </c>
      <c r="O75" s="26">
        <f>IF($A75="","",ROUND($N75*$K75,0))</f>
        <v/>
      </c>
      <c r="P75" s="27">
        <f>IF($A75="","",SUMIFS(出库单!$J$4:$J$4003,出库单!$D$4:$D$4003,$A75,出库单!$K$4:$K$4003,"自用消耗",出库单!$U$4:$U$4003,"正常",出库单!$C$4:$C$4003,"&gt;="&amp;账期起,出库单!$C$4:$C$4003,"&lt;="&amp;账期止))</f>
        <v/>
      </c>
      <c r="Q75" s="26">
        <f>IF($A75="","",ROUND(SUMIFS(出库单!$S$4:$S$4003,出库单!$D$4:$D$4003,$A75,出库单!$K$4:$K$4003,"自用消耗",出库单!$U$4:$U$4003,"正常",出库单!$C$4:$C$4003,"&gt;="&amp;账期起,出库单!$C$4:$C$4003,"&lt;="&amp;账期止),0))</f>
        <v/>
      </c>
      <c r="R75" s="27">
        <f>IF($A75="","",SUMIFS(出库单!$J$4:$J$4003,出库单!$D$4:$D$4003,$A75,出库单!$K$4:$K$4003,"对外销售",出库单!$U$4:$U$4003,"正常",出库单!$C$4:$C$4003,"&gt;="&amp;账期起,出库单!$C$4:$C$4003,"&lt;="&amp;账期止))</f>
        <v/>
      </c>
      <c r="S75" s="26">
        <f>IF($A75="","",ROUND(SUMIFS(出库单!$S$4:$S$4003,出库单!$D$4:$D$4003,$A75,出库单!$K$4:$K$4003,"对外销售",出库单!$U$4:$U$4003,"正常",出库单!$C$4:$C$4003,"&gt;="&amp;账期起,出库单!$C$4:$C$4003,"&lt;="&amp;账期止),0))</f>
        <v/>
      </c>
      <c r="T75" s="27">
        <f>IF($A75="","",SUMIFS(出库单!$J$4:$J$4003,出库单!$D$4:$D$4003,$A75,出库单!$K$4:$K$4003,"盘亏",出库单!$U$4:$U$4003,"正常",出库单!$C$4:$C$4003,"&gt;="&amp;账期起,出库单!$C$4:$C$4003,"&lt;="&amp;账期止))</f>
        <v/>
      </c>
      <c r="U75" s="26">
        <f>IF($A75="","",ROUND(SUMIFS(出库单!$S$4:$S$4003,出库单!$D$4:$D$4003,$A75,出库单!$K$4:$K$4003,"盘亏",出库单!$U$4:$U$4003,"正常",出库单!$C$4:$C$4003,"&gt;="&amp;账期起,出库单!$C$4:$C$4003,"&lt;="&amp;账期止),0))</f>
        <v/>
      </c>
      <c r="V75" s="27">
        <f>IF($A75="","",SUMIFS(出库单!$J$4:$J$4003,出库单!$D$4:$D$4003,$A75,出库单!$K$4:$K$4003,"退货给供应商",出库单!$U$4:$U$4003,"正常",出库单!$C$4:$C$4003,"&gt;="&amp;账期起,出库单!$C$4:$C$4003,"&lt;="&amp;账期止))</f>
        <v/>
      </c>
      <c r="W75" s="26">
        <f>IF($A75="","",ROUND(SUMIFS(出库单!$S$4:$S$4003,出库单!$D$4:$D$4003,$A75,出库单!$K$4:$K$4003,"退货给供应商",出库单!$U$4:$U$4003,"正常",出库单!$C$4:$C$4003,"&gt;="&amp;账期起,出库单!$C$4:$C$4003,"&lt;="&amp;账期止),0))</f>
        <v/>
      </c>
      <c r="X75" s="27">
        <f>IF($A75="","",ROUND(N($G75)+$I75+$L75+$N75-$P75-$R75-$T75-$V75,3))</f>
        <v/>
      </c>
      <c r="Y75" s="26">
        <f>IF($A75="","",ROUND(N($H75)+$J75+$M75+$O75-$Q75-$S75-$U75-$W75,0))</f>
        <v/>
      </c>
      <c r="Z75" s="24">
        <f>IF($A75="","",IF(COUNTIFS(入库单!$G$4:$G$2503,$A75,入库单!$Y$4:$Y$2503,"待补价")+COUNTIFS(入库单!$G$4:$G$2503,$A75,入库单!$Y$4:$Y$2503,"暂估")&gt;0,"不可信","可信"))</f>
        <v/>
      </c>
      <c r="AA75" s="24">
        <f>IF($A75="","",IF($X75&lt;-0.001,"※账面负库存，查一下是不是漏记入库",IF(AND(ROUND($X75,3)=0,ABS($Y75)&gt;1),"※数量已经是 0，金额还挂着 "&amp;TEXT($Y75,"#,##0")&amp;" 先令",IF(AND($X75&gt;0,$Y75&lt;=0,$K75=0),"※有数量没金额（这个物料一直没填过进价）",IF($Z75="不可信","△成本含待补价/暂估，毛利仅供参考","")))))</f>
        <v/>
      </c>
    </row>
    <row r="76">
      <c r="A76" s="24">
        <f>IF(物料档案!$A75="","",物料档案!$A75)</f>
        <v/>
      </c>
      <c r="B76" s="24">
        <f>IF($A76="","",IFERROR(VLOOKUP($A76,物料档案!$A$4:$P$1203,3,0),""))</f>
        <v/>
      </c>
      <c r="C76" s="24">
        <f>IF($A76="","",IFERROR(VLOOKUP($A76,物料档案!$A$4:$P$1203,4,0),""))</f>
        <v/>
      </c>
      <c r="D76" s="24">
        <f>IF($A76="","",IFERROR(VLOOKUP($A76,物料档案!$A$4:$P$1203,5,0),""))</f>
        <v/>
      </c>
      <c r="E76" s="24">
        <f>IF($A76="","",IFERROR(VLOOKUP($A76,物料档案!$A$4:$P$1203,2,0),""))</f>
        <v/>
      </c>
      <c r="F76" s="24">
        <f>IF($A76="","",IFERROR(VLOOKUP($A76,物料档案!$A$4:$P$1203,6,0),""))</f>
        <v/>
      </c>
      <c r="G76" s="23" t="n"/>
      <c r="H76" s="32" t="n"/>
      <c r="I76" s="27">
        <f>IF($A76="","",SUMIFS(入库单!$K$4:$K$2503,入库单!$G$4:$G$2503,$A76,入库单!$X$4:$X$2503,"采购入库",入库单!$Z$4:$Z$2503,"正常",入库单!$C$4:$C$2503,"&gt;="&amp;账期起,入库单!$C$4:$C$2503,"&lt;="&amp;账期止))</f>
        <v/>
      </c>
      <c r="J76" s="26">
        <f>IF($A76="","",SUMIFS(入库单!$V$4:$V$2503,入库单!$G$4:$G$2503,$A76,入库单!$X$4:$X$2503,"采购入库",入库单!$Z$4:$Z$2503,"正常",入库单!$C$4:$C$2503,"&gt;="&amp;账期起,入库单!$C$4:$C$2503,"&lt;="&amp;账期止))</f>
        <v/>
      </c>
      <c r="K76" s="26">
        <f>IF($A76="","",IFERROR(ROUND((N($H76)+N($J76))/(N($G76)+N($I76)),2),0))</f>
        <v/>
      </c>
      <c r="L76" s="27">
        <f>IF($A76="","",SUMIFS(入库单!$K$4:$K$2503,入库单!$G$4:$G$2503,$A76,入库单!$X$4:$X$2503,"盘盈",入库单!$Z$4:$Z$2503,"正常",入库单!$C$4:$C$2503,"&gt;="&amp;账期起,入库单!$C$4:$C$2503,"&lt;="&amp;账期止))</f>
        <v/>
      </c>
      <c r="M76" s="26">
        <f>IF($A76="","",ROUND($L76*$K76,0))</f>
        <v/>
      </c>
      <c r="N76" s="27">
        <f>IF($A76="","",SUMIFS(入库单!$K$4:$K$2503,入库单!$G$4:$G$2503,$A76,入库单!$X$4:$X$2503,"矿区退库",入库单!$Z$4:$Z$2503,"正常",入库单!$C$4:$C$2503,"&gt;="&amp;账期起,入库单!$C$4:$C$2503,"&lt;="&amp;账期止))</f>
        <v/>
      </c>
      <c r="O76" s="26">
        <f>IF($A76="","",ROUND($N76*$K76,0))</f>
        <v/>
      </c>
      <c r="P76" s="27">
        <f>IF($A76="","",SUMIFS(出库单!$J$4:$J$4003,出库单!$D$4:$D$4003,$A76,出库单!$K$4:$K$4003,"自用消耗",出库单!$U$4:$U$4003,"正常",出库单!$C$4:$C$4003,"&gt;="&amp;账期起,出库单!$C$4:$C$4003,"&lt;="&amp;账期止))</f>
        <v/>
      </c>
      <c r="Q76" s="26">
        <f>IF($A76="","",ROUND(SUMIFS(出库单!$S$4:$S$4003,出库单!$D$4:$D$4003,$A76,出库单!$K$4:$K$4003,"自用消耗",出库单!$U$4:$U$4003,"正常",出库单!$C$4:$C$4003,"&gt;="&amp;账期起,出库单!$C$4:$C$4003,"&lt;="&amp;账期止),0))</f>
        <v/>
      </c>
      <c r="R76" s="27">
        <f>IF($A76="","",SUMIFS(出库单!$J$4:$J$4003,出库单!$D$4:$D$4003,$A76,出库单!$K$4:$K$4003,"对外销售",出库单!$U$4:$U$4003,"正常",出库单!$C$4:$C$4003,"&gt;="&amp;账期起,出库单!$C$4:$C$4003,"&lt;="&amp;账期止))</f>
        <v/>
      </c>
      <c r="S76" s="26">
        <f>IF($A76="","",ROUND(SUMIFS(出库单!$S$4:$S$4003,出库单!$D$4:$D$4003,$A76,出库单!$K$4:$K$4003,"对外销售",出库单!$U$4:$U$4003,"正常",出库单!$C$4:$C$4003,"&gt;="&amp;账期起,出库单!$C$4:$C$4003,"&lt;="&amp;账期止),0))</f>
        <v/>
      </c>
      <c r="T76" s="27">
        <f>IF($A76="","",SUMIFS(出库单!$J$4:$J$4003,出库单!$D$4:$D$4003,$A76,出库单!$K$4:$K$4003,"盘亏",出库单!$U$4:$U$4003,"正常",出库单!$C$4:$C$4003,"&gt;="&amp;账期起,出库单!$C$4:$C$4003,"&lt;="&amp;账期止))</f>
        <v/>
      </c>
      <c r="U76" s="26">
        <f>IF($A76="","",ROUND(SUMIFS(出库单!$S$4:$S$4003,出库单!$D$4:$D$4003,$A76,出库单!$K$4:$K$4003,"盘亏",出库单!$U$4:$U$4003,"正常",出库单!$C$4:$C$4003,"&gt;="&amp;账期起,出库单!$C$4:$C$4003,"&lt;="&amp;账期止),0))</f>
        <v/>
      </c>
      <c r="V76" s="27">
        <f>IF($A76="","",SUMIFS(出库单!$J$4:$J$4003,出库单!$D$4:$D$4003,$A76,出库单!$K$4:$K$4003,"退货给供应商",出库单!$U$4:$U$4003,"正常",出库单!$C$4:$C$4003,"&gt;="&amp;账期起,出库单!$C$4:$C$4003,"&lt;="&amp;账期止))</f>
        <v/>
      </c>
      <c r="W76" s="26">
        <f>IF($A76="","",ROUND(SUMIFS(出库单!$S$4:$S$4003,出库单!$D$4:$D$4003,$A76,出库单!$K$4:$K$4003,"退货给供应商",出库单!$U$4:$U$4003,"正常",出库单!$C$4:$C$4003,"&gt;="&amp;账期起,出库单!$C$4:$C$4003,"&lt;="&amp;账期止),0))</f>
        <v/>
      </c>
      <c r="X76" s="27">
        <f>IF($A76="","",ROUND(N($G76)+$I76+$L76+$N76-$P76-$R76-$T76-$V76,3))</f>
        <v/>
      </c>
      <c r="Y76" s="26">
        <f>IF($A76="","",ROUND(N($H76)+$J76+$M76+$O76-$Q76-$S76-$U76-$W76,0))</f>
        <v/>
      </c>
      <c r="Z76" s="24">
        <f>IF($A76="","",IF(COUNTIFS(入库单!$G$4:$G$2503,$A76,入库单!$Y$4:$Y$2503,"待补价")+COUNTIFS(入库单!$G$4:$G$2503,$A76,入库单!$Y$4:$Y$2503,"暂估")&gt;0,"不可信","可信"))</f>
        <v/>
      </c>
      <c r="AA76" s="24">
        <f>IF($A76="","",IF($X76&lt;-0.001,"※账面负库存，查一下是不是漏记入库",IF(AND(ROUND($X76,3)=0,ABS($Y76)&gt;1),"※数量已经是 0，金额还挂着 "&amp;TEXT($Y76,"#,##0")&amp;" 先令",IF(AND($X76&gt;0,$Y76&lt;=0,$K76=0),"※有数量没金额（这个物料一直没填过进价）",IF($Z76="不可信","△成本含待补价/暂估，毛利仅供参考","")))))</f>
        <v/>
      </c>
    </row>
    <row r="77">
      <c r="A77" s="24">
        <f>IF(物料档案!$A76="","",物料档案!$A76)</f>
        <v/>
      </c>
      <c r="B77" s="24">
        <f>IF($A77="","",IFERROR(VLOOKUP($A77,物料档案!$A$4:$P$1203,3,0),""))</f>
        <v/>
      </c>
      <c r="C77" s="24">
        <f>IF($A77="","",IFERROR(VLOOKUP($A77,物料档案!$A$4:$P$1203,4,0),""))</f>
        <v/>
      </c>
      <c r="D77" s="24">
        <f>IF($A77="","",IFERROR(VLOOKUP($A77,物料档案!$A$4:$P$1203,5,0),""))</f>
        <v/>
      </c>
      <c r="E77" s="24">
        <f>IF($A77="","",IFERROR(VLOOKUP($A77,物料档案!$A$4:$P$1203,2,0),""))</f>
        <v/>
      </c>
      <c r="F77" s="24">
        <f>IF($A77="","",IFERROR(VLOOKUP($A77,物料档案!$A$4:$P$1203,6,0),""))</f>
        <v/>
      </c>
      <c r="G77" s="23" t="n"/>
      <c r="H77" s="32" t="n"/>
      <c r="I77" s="27">
        <f>IF($A77="","",SUMIFS(入库单!$K$4:$K$2503,入库单!$G$4:$G$2503,$A77,入库单!$X$4:$X$2503,"采购入库",入库单!$Z$4:$Z$2503,"正常",入库单!$C$4:$C$2503,"&gt;="&amp;账期起,入库单!$C$4:$C$2503,"&lt;="&amp;账期止))</f>
        <v/>
      </c>
      <c r="J77" s="26">
        <f>IF($A77="","",SUMIFS(入库单!$V$4:$V$2503,入库单!$G$4:$G$2503,$A77,入库单!$X$4:$X$2503,"采购入库",入库单!$Z$4:$Z$2503,"正常",入库单!$C$4:$C$2503,"&gt;="&amp;账期起,入库单!$C$4:$C$2503,"&lt;="&amp;账期止))</f>
        <v/>
      </c>
      <c r="K77" s="26">
        <f>IF($A77="","",IFERROR(ROUND((N($H77)+N($J77))/(N($G77)+N($I77)),2),0))</f>
        <v/>
      </c>
      <c r="L77" s="27">
        <f>IF($A77="","",SUMIFS(入库单!$K$4:$K$2503,入库单!$G$4:$G$2503,$A77,入库单!$X$4:$X$2503,"盘盈",入库单!$Z$4:$Z$2503,"正常",入库单!$C$4:$C$2503,"&gt;="&amp;账期起,入库单!$C$4:$C$2503,"&lt;="&amp;账期止))</f>
        <v/>
      </c>
      <c r="M77" s="26">
        <f>IF($A77="","",ROUND($L77*$K77,0))</f>
        <v/>
      </c>
      <c r="N77" s="27">
        <f>IF($A77="","",SUMIFS(入库单!$K$4:$K$2503,入库单!$G$4:$G$2503,$A77,入库单!$X$4:$X$2503,"矿区退库",入库单!$Z$4:$Z$2503,"正常",入库单!$C$4:$C$2503,"&gt;="&amp;账期起,入库单!$C$4:$C$2503,"&lt;="&amp;账期止))</f>
        <v/>
      </c>
      <c r="O77" s="26">
        <f>IF($A77="","",ROUND($N77*$K77,0))</f>
        <v/>
      </c>
      <c r="P77" s="27">
        <f>IF($A77="","",SUMIFS(出库单!$J$4:$J$4003,出库单!$D$4:$D$4003,$A77,出库单!$K$4:$K$4003,"自用消耗",出库单!$U$4:$U$4003,"正常",出库单!$C$4:$C$4003,"&gt;="&amp;账期起,出库单!$C$4:$C$4003,"&lt;="&amp;账期止))</f>
        <v/>
      </c>
      <c r="Q77" s="26">
        <f>IF($A77="","",ROUND(SUMIFS(出库单!$S$4:$S$4003,出库单!$D$4:$D$4003,$A77,出库单!$K$4:$K$4003,"自用消耗",出库单!$U$4:$U$4003,"正常",出库单!$C$4:$C$4003,"&gt;="&amp;账期起,出库单!$C$4:$C$4003,"&lt;="&amp;账期止),0))</f>
        <v/>
      </c>
      <c r="R77" s="27">
        <f>IF($A77="","",SUMIFS(出库单!$J$4:$J$4003,出库单!$D$4:$D$4003,$A77,出库单!$K$4:$K$4003,"对外销售",出库单!$U$4:$U$4003,"正常",出库单!$C$4:$C$4003,"&gt;="&amp;账期起,出库单!$C$4:$C$4003,"&lt;="&amp;账期止))</f>
        <v/>
      </c>
      <c r="S77" s="26">
        <f>IF($A77="","",ROUND(SUMIFS(出库单!$S$4:$S$4003,出库单!$D$4:$D$4003,$A77,出库单!$K$4:$K$4003,"对外销售",出库单!$U$4:$U$4003,"正常",出库单!$C$4:$C$4003,"&gt;="&amp;账期起,出库单!$C$4:$C$4003,"&lt;="&amp;账期止),0))</f>
        <v/>
      </c>
      <c r="T77" s="27">
        <f>IF($A77="","",SUMIFS(出库单!$J$4:$J$4003,出库单!$D$4:$D$4003,$A77,出库单!$K$4:$K$4003,"盘亏",出库单!$U$4:$U$4003,"正常",出库单!$C$4:$C$4003,"&gt;="&amp;账期起,出库单!$C$4:$C$4003,"&lt;="&amp;账期止))</f>
        <v/>
      </c>
      <c r="U77" s="26">
        <f>IF($A77="","",ROUND(SUMIFS(出库单!$S$4:$S$4003,出库单!$D$4:$D$4003,$A77,出库单!$K$4:$K$4003,"盘亏",出库单!$U$4:$U$4003,"正常",出库单!$C$4:$C$4003,"&gt;="&amp;账期起,出库单!$C$4:$C$4003,"&lt;="&amp;账期止),0))</f>
        <v/>
      </c>
      <c r="V77" s="27">
        <f>IF($A77="","",SUMIFS(出库单!$J$4:$J$4003,出库单!$D$4:$D$4003,$A77,出库单!$K$4:$K$4003,"退货给供应商",出库单!$U$4:$U$4003,"正常",出库单!$C$4:$C$4003,"&gt;="&amp;账期起,出库单!$C$4:$C$4003,"&lt;="&amp;账期止))</f>
        <v/>
      </c>
      <c r="W77" s="26">
        <f>IF($A77="","",ROUND(SUMIFS(出库单!$S$4:$S$4003,出库单!$D$4:$D$4003,$A77,出库单!$K$4:$K$4003,"退货给供应商",出库单!$U$4:$U$4003,"正常",出库单!$C$4:$C$4003,"&gt;="&amp;账期起,出库单!$C$4:$C$4003,"&lt;="&amp;账期止),0))</f>
        <v/>
      </c>
      <c r="X77" s="27">
        <f>IF($A77="","",ROUND(N($G77)+$I77+$L77+$N77-$P77-$R77-$T77-$V77,3))</f>
        <v/>
      </c>
      <c r="Y77" s="26">
        <f>IF($A77="","",ROUND(N($H77)+$J77+$M77+$O77-$Q77-$S77-$U77-$W77,0))</f>
        <v/>
      </c>
      <c r="Z77" s="24">
        <f>IF($A77="","",IF(COUNTIFS(入库单!$G$4:$G$2503,$A77,入库单!$Y$4:$Y$2503,"待补价")+COUNTIFS(入库单!$G$4:$G$2503,$A77,入库单!$Y$4:$Y$2503,"暂估")&gt;0,"不可信","可信"))</f>
        <v/>
      </c>
      <c r="AA77" s="24">
        <f>IF($A77="","",IF($X77&lt;-0.001,"※账面负库存，查一下是不是漏记入库",IF(AND(ROUND($X77,3)=0,ABS($Y77)&gt;1),"※数量已经是 0，金额还挂着 "&amp;TEXT($Y77,"#,##0")&amp;" 先令",IF(AND($X77&gt;0,$Y77&lt;=0,$K77=0),"※有数量没金额（这个物料一直没填过进价）",IF($Z77="不可信","△成本含待补价/暂估，毛利仅供参考","")))))</f>
        <v/>
      </c>
    </row>
    <row r="78">
      <c r="A78" s="24">
        <f>IF(物料档案!$A77="","",物料档案!$A77)</f>
        <v/>
      </c>
      <c r="B78" s="24">
        <f>IF($A78="","",IFERROR(VLOOKUP($A78,物料档案!$A$4:$P$1203,3,0),""))</f>
        <v/>
      </c>
      <c r="C78" s="24">
        <f>IF($A78="","",IFERROR(VLOOKUP($A78,物料档案!$A$4:$P$1203,4,0),""))</f>
        <v/>
      </c>
      <c r="D78" s="24">
        <f>IF($A78="","",IFERROR(VLOOKUP($A78,物料档案!$A$4:$P$1203,5,0),""))</f>
        <v/>
      </c>
      <c r="E78" s="24">
        <f>IF($A78="","",IFERROR(VLOOKUP($A78,物料档案!$A$4:$P$1203,2,0),""))</f>
        <v/>
      </c>
      <c r="F78" s="24">
        <f>IF($A78="","",IFERROR(VLOOKUP($A78,物料档案!$A$4:$P$1203,6,0),""))</f>
        <v/>
      </c>
      <c r="G78" s="23" t="n"/>
      <c r="H78" s="32" t="n"/>
      <c r="I78" s="27">
        <f>IF($A78="","",SUMIFS(入库单!$K$4:$K$2503,入库单!$G$4:$G$2503,$A78,入库单!$X$4:$X$2503,"采购入库",入库单!$Z$4:$Z$2503,"正常",入库单!$C$4:$C$2503,"&gt;="&amp;账期起,入库单!$C$4:$C$2503,"&lt;="&amp;账期止))</f>
        <v/>
      </c>
      <c r="J78" s="26">
        <f>IF($A78="","",SUMIFS(入库单!$V$4:$V$2503,入库单!$G$4:$G$2503,$A78,入库单!$X$4:$X$2503,"采购入库",入库单!$Z$4:$Z$2503,"正常",入库单!$C$4:$C$2503,"&gt;="&amp;账期起,入库单!$C$4:$C$2503,"&lt;="&amp;账期止))</f>
        <v/>
      </c>
      <c r="K78" s="26">
        <f>IF($A78="","",IFERROR(ROUND((N($H78)+N($J78))/(N($G78)+N($I78)),2),0))</f>
        <v/>
      </c>
      <c r="L78" s="27">
        <f>IF($A78="","",SUMIFS(入库单!$K$4:$K$2503,入库单!$G$4:$G$2503,$A78,入库单!$X$4:$X$2503,"盘盈",入库单!$Z$4:$Z$2503,"正常",入库单!$C$4:$C$2503,"&gt;="&amp;账期起,入库单!$C$4:$C$2503,"&lt;="&amp;账期止))</f>
        <v/>
      </c>
      <c r="M78" s="26">
        <f>IF($A78="","",ROUND($L78*$K78,0))</f>
        <v/>
      </c>
      <c r="N78" s="27">
        <f>IF($A78="","",SUMIFS(入库单!$K$4:$K$2503,入库单!$G$4:$G$2503,$A78,入库单!$X$4:$X$2503,"矿区退库",入库单!$Z$4:$Z$2503,"正常",入库单!$C$4:$C$2503,"&gt;="&amp;账期起,入库单!$C$4:$C$2503,"&lt;="&amp;账期止))</f>
        <v/>
      </c>
      <c r="O78" s="26">
        <f>IF($A78="","",ROUND($N78*$K78,0))</f>
        <v/>
      </c>
      <c r="P78" s="27">
        <f>IF($A78="","",SUMIFS(出库单!$J$4:$J$4003,出库单!$D$4:$D$4003,$A78,出库单!$K$4:$K$4003,"自用消耗",出库单!$U$4:$U$4003,"正常",出库单!$C$4:$C$4003,"&gt;="&amp;账期起,出库单!$C$4:$C$4003,"&lt;="&amp;账期止))</f>
        <v/>
      </c>
      <c r="Q78" s="26">
        <f>IF($A78="","",ROUND(SUMIFS(出库单!$S$4:$S$4003,出库单!$D$4:$D$4003,$A78,出库单!$K$4:$K$4003,"自用消耗",出库单!$U$4:$U$4003,"正常",出库单!$C$4:$C$4003,"&gt;="&amp;账期起,出库单!$C$4:$C$4003,"&lt;="&amp;账期止),0))</f>
        <v/>
      </c>
      <c r="R78" s="27">
        <f>IF($A78="","",SUMIFS(出库单!$J$4:$J$4003,出库单!$D$4:$D$4003,$A78,出库单!$K$4:$K$4003,"对外销售",出库单!$U$4:$U$4003,"正常",出库单!$C$4:$C$4003,"&gt;="&amp;账期起,出库单!$C$4:$C$4003,"&lt;="&amp;账期止))</f>
        <v/>
      </c>
      <c r="S78" s="26">
        <f>IF($A78="","",ROUND(SUMIFS(出库单!$S$4:$S$4003,出库单!$D$4:$D$4003,$A78,出库单!$K$4:$K$4003,"对外销售",出库单!$U$4:$U$4003,"正常",出库单!$C$4:$C$4003,"&gt;="&amp;账期起,出库单!$C$4:$C$4003,"&lt;="&amp;账期止),0))</f>
        <v/>
      </c>
      <c r="T78" s="27">
        <f>IF($A78="","",SUMIFS(出库单!$J$4:$J$4003,出库单!$D$4:$D$4003,$A78,出库单!$K$4:$K$4003,"盘亏",出库单!$U$4:$U$4003,"正常",出库单!$C$4:$C$4003,"&gt;="&amp;账期起,出库单!$C$4:$C$4003,"&lt;="&amp;账期止))</f>
        <v/>
      </c>
      <c r="U78" s="26">
        <f>IF($A78="","",ROUND(SUMIFS(出库单!$S$4:$S$4003,出库单!$D$4:$D$4003,$A78,出库单!$K$4:$K$4003,"盘亏",出库单!$U$4:$U$4003,"正常",出库单!$C$4:$C$4003,"&gt;="&amp;账期起,出库单!$C$4:$C$4003,"&lt;="&amp;账期止),0))</f>
        <v/>
      </c>
      <c r="V78" s="27">
        <f>IF($A78="","",SUMIFS(出库单!$J$4:$J$4003,出库单!$D$4:$D$4003,$A78,出库单!$K$4:$K$4003,"退货给供应商",出库单!$U$4:$U$4003,"正常",出库单!$C$4:$C$4003,"&gt;="&amp;账期起,出库单!$C$4:$C$4003,"&lt;="&amp;账期止))</f>
        <v/>
      </c>
      <c r="W78" s="26">
        <f>IF($A78="","",ROUND(SUMIFS(出库单!$S$4:$S$4003,出库单!$D$4:$D$4003,$A78,出库单!$K$4:$K$4003,"退货给供应商",出库单!$U$4:$U$4003,"正常",出库单!$C$4:$C$4003,"&gt;="&amp;账期起,出库单!$C$4:$C$4003,"&lt;="&amp;账期止),0))</f>
        <v/>
      </c>
      <c r="X78" s="27">
        <f>IF($A78="","",ROUND(N($G78)+$I78+$L78+$N78-$P78-$R78-$T78-$V78,3))</f>
        <v/>
      </c>
      <c r="Y78" s="26">
        <f>IF($A78="","",ROUND(N($H78)+$J78+$M78+$O78-$Q78-$S78-$U78-$W78,0))</f>
        <v/>
      </c>
      <c r="Z78" s="24">
        <f>IF($A78="","",IF(COUNTIFS(入库单!$G$4:$G$2503,$A78,入库单!$Y$4:$Y$2503,"待补价")+COUNTIFS(入库单!$G$4:$G$2503,$A78,入库单!$Y$4:$Y$2503,"暂估")&gt;0,"不可信","可信"))</f>
        <v/>
      </c>
      <c r="AA78" s="24">
        <f>IF($A78="","",IF($X78&lt;-0.001,"※账面负库存，查一下是不是漏记入库",IF(AND(ROUND($X78,3)=0,ABS($Y78)&gt;1),"※数量已经是 0，金额还挂着 "&amp;TEXT($Y78,"#,##0")&amp;" 先令",IF(AND($X78&gt;0,$Y78&lt;=0,$K78=0),"※有数量没金额（这个物料一直没填过进价）",IF($Z78="不可信","△成本含待补价/暂估，毛利仅供参考","")))))</f>
        <v/>
      </c>
    </row>
    <row r="79">
      <c r="A79" s="24">
        <f>IF(物料档案!$A78="","",物料档案!$A78)</f>
        <v/>
      </c>
      <c r="B79" s="24">
        <f>IF($A79="","",IFERROR(VLOOKUP($A79,物料档案!$A$4:$P$1203,3,0),""))</f>
        <v/>
      </c>
      <c r="C79" s="24">
        <f>IF($A79="","",IFERROR(VLOOKUP($A79,物料档案!$A$4:$P$1203,4,0),""))</f>
        <v/>
      </c>
      <c r="D79" s="24">
        <f>IF($A79="","",IFERROR(VLOOKUP($A79,物料档案!$A$4:$P$1203,5,0),""))</f>
        <v/>
      </c>
      <c r="E79" s="24">
        <f>IF($A79="","",IFERROR(VLOOKUP($A79,物料档案!$A$4:$P$1203,2,0),""))</f>
        <v/>
      </c>
      <c r="F79" s="24">
        <f>IF($A79="","",IFERROR(VLOOKUP($A79,物料档案!$A$4:$P$1203,6,0),""))</f>
        <v/>
      </c>
      <c r="G79" s="23" t="n"/>
      <c r="H79" s="32" t="n"/>
      <c r="I79" s="27">
        <f>IF($A79="","",SUMIFS(入库单!$K$4:$K$2503,入库单!$G$4:$G$2503,$A79,入库单!$X$4:$X$2503,"采购入库",入库单!$Z$4:$Z$2503,"正常",入库单!$C$4:$C$2503,"&gt;="&amp;账期起,入库单!$C$4:$C$2503,"&lt;="&amp;账期止))</f>
        <v/>
      </c>
      <c r="J79" s="26">
        <f>IF($A79="","",SUMIFS(入库单!$V$4:$V$2503,入库单!$G$4:$G$2503,$A79,入库单!$X$4:$X$2503,"采购入库",入库单!$Z$4:$Z$2503,"正常",入库单!$C$4:$C$2503,"&gt;="&amp;账期起,入库单!$C$4:$C$2503,"&lt;="&amp;账期止))</f>
        <v/>
      </c>
      <c r="K79" s="26">
        <f>IF($A79="","",IFERROR(ROUND((N($H79)+N($J79))/(N($G79)+N($I79)),2),0))</f>
        <v/>
      </c>
      <c r="L79" s="27">
        <f>IF($A79="","",SUMIFS(入库单!$K$4:$K$2503,入库单!$G$4:$G$2503,$A79,入库单!$X$4:$X$2503,"盘盈",入库单!$Z$4:$Z$2503,"正常",入库单!$C$4:$C$2503,"&gt;="&amp;账期起,入库单!$C$4:$C$2503,"&lt;="&amp;账期止))</f>
        <v/>
      </c>
      <c r="M79" s="26">
        <f>IF($A79="","",ROUND($L79*$K79,0))</f>
        <v/>
      </c>
      <c r="N79" s="27">
        <f>IF($A79="","",SUMIFS(入库单!$K$4:$K$2503,入库单!$G$4:$G$2503,$A79,入库单!$X$4:$X$2503,"矿区退库",入库单!$Z$4:$Z$2503,"正常",入库单!$C$4:$C$2503,"&gt;="&amp;账期起,入库单!$C$4:$C$2503,"&lt;="&amp;账期止))</f>
        <v/>
      </c>
      <c r="O79" s="26">
        <f>IF($A79="","",ROUND($N79*$K79,0))</f>
        <v/>
      </c>
      <c r="P79" s="27">
        <f>IF($A79="","",SUMIFS(出库单!$J$4:$J$4003,出库单!$D$4:$D$4003,$A79,出库单!$K$4:$K$4003,"自用消耗",出库单!$U$4:$U$4003,"正常",出库单!$C$4:$C$4003,"&gt;="&amp;账期起,出库单!$C$4:$C$4003,"&lt;="&amp;账期止))</f>
        <v/>
      </c>
      <c r="Q79" s="26">
        <f>IF($A79="","",ROUND(SUMIFS(出库单!$S$4:$S$4003,出库单!$D$4:$D$4003,$A79,出库单!$K$4:$K$4003,"自用消耗",出库单!$U$4:$U$4003,"正常",出库单!$C$4:$C$4003,"&gt;="&amp;账期起,出库单!$C$4:$C$4003,"&lt;="&amp;账期止),0))</f>
        <v/>
      </c>
      <c r="R79" s="27">
        <f>IF($A79="","",SUMIFS(出库单!$J$4:$J$4003,出库单!$D$4:$D$4003,$A79,出库单!$K$4:$K$4003,"对外销售",出库单!$U$4:$U$4003,"正常",出库单!$C$4:$C$4003,"&gt;="&amp;账期起,出库单!$C$4:$C$4003,"&lt;="&amp;账期止))</f>
        <v/>
      </c>
      <c r="S79" s="26">
        <f>IF($A79="","",ROUND(SUMIFS(出库单!$S$4:$S$4003,出库单!$D$4:$D$4003,$A79,出库单!$K$4:$K$4003,"对外销售",出库单!$U$4:$U$4003,"正常",出库单!$C$4:$C$4003,"&gt;="&amp;账期起,出库单!$C$4:$C$4003,"&lt;="&amp;账期止),0))</f>
        <v/>
      </c>
      <c r="T79" s="27">
        <f>IF($A79="","",SUMIFS(出库单!$J$4:$J$4003,出库单!$D$4:$D$4003,$A79,出库单!$K$4:$K$4003,"盘亏",出库单!$U$4:$U$4003,"正常",出库单!$C$4:$C$4003,"&gt;="&amp;账期起,出库单!$C$4:$C$4003,"&lt;="&amp;账期止))</f>
        <v/>
      </c>
      <c r="U79" s="26">
        <f>IF($A79="","",ROUND(SUMIFS(出库单!$S$4:$S$4003,出库单!$D$4:$D$4003,$A79,出库单!$K$4:$K$4003,"盘亏",出库单!$U$4:$U$4003,"正常",出库单!$C$4:$C$4003,"&gt;="&amp;账期起,出库单!$C$4:$C$4003,"&lt;="&amp;账期止),0))</f>
        <v/>
      </c>
      <c r="V79" s="27">
        <f>IF($A79="","",SUMIFS(出库单!$J$4:$J$4003,出库单!$D$4:$D$4003,$A79,出库单!$K$4:$K$4003,"退货给供应商",出库单!$U$4:$U$4003,"正常",出库单!$C$4:$C$4003,"&gt;="&amp;账期起,出库单!$C$4:$C$4003,"&lt;="&amp;账期止))</f>
        <v/>
      </c>
      <c r="W79" s="26">
        <f>IF($A79="","",ROUND(SUMIFS(出库单!$S$4:$S$4003,出库单!$D$4:$D$4003,$A79,出库单!$K$4:$K$4003,"退货给供应商",出库单!$U$4:$U$4003,"正常",出库单!$C$4:$C$4003,"&gt;="&amp;账期起,出库单!$C$4:$C$4003,"&lt;="&amp;账期止),0))</f>
        <v/>
      </c>
      <c r="X79" s="27">
        <f>IF($A79="","",ROUND(N($G79)+$I79+$L79+$N79-$P79-$R79-$T79-$V79,3))</f>
        <v/>
      </c>
      <c r="Y79" s="26">
        <f>IF($A79="","",ROUND(N($H79)+$J79+$M79+$O79-$Q79-$S79-$U79-$W79,0))</f>
        <v/>
      </c>
      <c r="Z79" s="24">
        <f>IF($A79="","",IF(COUNTIFS(入库单!$G$4:$G$2503,$A79,入库单!$Y$4:$Y$2503,"待补价")+COUNTIFS(入库单!$G$4:$G$2503,$A79,入库单!$Y$4:$Y$2503,"暂估")&gt;0,"不可信","可信"))</f>
        <v/>
      </c>
      <c r="AA79" s="24">
        <f>IF($A79="","",IF($X79&lt;-0.001,"※账面负库存，查一下是不是漏记入库",IF(AND(ROUND($X79,3)=0,ABS($Y79)&gt;1),"※数量已经是 0，金额还挂着 "&amp;TEXT($Y79,"#,##0")&amp;" 先令",IF(AND($X79&gt;0,$Y79&lt;=0,$K79=0),"※有数量没金额（这个物料一直没填过进价）",IF($Z79="不可信","△成本含待补价/暂估，毛利仅供参考","")))))</f>
        <v/>
      </c>
    </row>
    <row r="80">
      <c r="A80" s="24">
        <f>IF(物料档案!$A79="","",物料档案!$A79)</f>
        <v/>
      </c>
      <c r="B80" s="24">
        <f>IF($A80="","",IFERROR(VLOOKUP($A80,物料档案!$A$4:$P$1203,3,0),""))</f>
        <v/>
      </c>
      <c r="C80" s="24">
        <f>IF($A80="","",IFERROR(VLOOKUP($A80,物料档案!$A$4:$P$1203,4,0),""))</f>
        <v/>
      </c>
      <c r="D80" s="24">
        <f>IF($A80="","",IFERROR(VLOOKUP($A80,物料档案!$A$4:$P$1203,5,0),""))</f>
        <v/>
      </c>
      <c r="E80" s="24">
        <f>IF($A80="","",IFERROR(VLOOKUP($A80,物料档案!$A$4:$P$1203,2,0),""))</f>
        <v/>
      </c>
      <c r="F80" s="24">
        <f>IF($A80="","",IFERROR(VLOOKUP($A80,物料档案!$A$4:$P$1203,6,0),""))</f>
        <v/>
      </c>
      <c r="G80" s="23" t="n"/>
      <c r="H80" s="32" t="n"/>
      <c r="I80" s="27">
        <f>IF($A80="","",SUMIFS(入库单!$K$4:$K$2503,入库单!$G$4:$G$2503,$A80,入库单!$X$4:$X$2503,"采购入库",入库单!$Z$4:$Z$2503,"正常",入库单!$C$4:$C$2503,"&gt;="&amp;账期起,入库单!$C$4:$C$2503,"&lt;="&amp;账期止))</f>
        <v/>
      </c>
      <c r="J80" s="26">
        <f>IF($A80="","",SUMIFS(入库单!$V$4:$V$2503,入库单!$G$4:$G$2503,$A80,入库单!$X$4:$X$2503,"采购入库",入库单!$Z$4:$Z$2503,"正常",入库单!$C$4:$C$2503,"&gt;="&amp;账期起,入库单!$C$4:$C$2503,"&lt;="&amp;账期止))</f>
        <v/>
      </c>
      <c r="K80" s="26">
        <f>IF($A80="","",IFERROR(ROUND((N($H80)+N($J80))/(N($G80)+N($I80)),2),0))</f>
        <v/>
      </c>
      <c r="L80" s="27">
        <f>IF($A80="","",SUMIFS(入库单!$K$4:$K$2503,入库单!$G$4:$G$2503,$A80,入库单!$X$4:$X$2503,"盘盈",入库单!$Z$4:$Z$2503,"正常",入库单!$C$4:$C$2503,"&gt;="&amp;账期起,入库单!$C$4:$C$2503,"&lt;="&amp;账期止))</f>
        <v/>
      </c>
      <c r="M80" s="26">
        <f>IF($A80="","",ROUND($L80*$K80,0))</f>
        <v/>
      </c>
      <c r="N80" s="27">
        <f>IF($A80="","",SUMIFS(入库单!$K$4:$K$2503,入库单!$G$4:$G$2503,$A80,入库单!$X$4:$X$2503,"矿区退库",入库单!$Z$4:$Z$2503,"正常",入库单!$C$4:$C$2503,"&gt;="&amp;账期起,入库单!$C$4:$C$2503,"&lt;="&amp;账期止))</f>
        <v/>
      </c>
      <c r="O80" s="26">
        <f>IF($A80="","",ROUND($N80*$K80,0))</f>
        <v/>
      </c>
      <c r="P80" s="27">
        <f>IF($A80="","",SUMIFS(出库单!$J$4:$J$4003,出库单!$D$4:$D$4003,$A80,出库单!$K$4:$K$4003,"自用消耗",出库单!$U$4:$U$4003,"正常",出库单!$C$4:$C$4003,"&gt;="&amp;账期起,出库单!$C$4:$C$4003,"&lt;="&amp;账期止))</f>
        <v/>
      </c>
      <c r="Q80" s="26">
        <f>IF($A80="","",ROUND(SUMIFS(出库单!$S$4:$S$4003,出库单!$D$4:$D$4003,$A80,出库单!$K$4:$K$4003,"自用消耗",出库单!$U$4:$U$4003,"正常",出库单!$C$4:$C$4003,"&gt;="&amp;账期起,出库单!$C$4:$C$4003,"&lt;="&amp;账期止),0))</f>
        <v/>
      </c>
      <c r="R80" s="27">
        <f>IF($A80="","",SUMIFS(出库单!$J$4:$J$4003,出库单!$D$4:$D$4003,$A80,出库单!$K$4:$K$4003,"对外销售",出库单!$U$4:$U$4003,"正常",出库单!$C$4:$C$4003,"&gt;="&amp;账期起,出库单!$C$4:$C$4003,"&lt;="&amp;账期止))</f>
        <v/>
      </c>
      <c r="S80" s="26">
        <f>IF($A80="","",ROUND(SUMIFS(出库单!$S$4:$S$4003,出库单!$D$4:$D$4003,$A80,出库单!$K$4:$K$4003,"对外销售",出库单!$U$4:$U$4003,"正常",出库单!$C$4:$C$4003,"&gt;="&amp;账期起,出库单!$C$4:$C$4003,"&lt;="&amp;账期止),0))</f>
        <v/>
      </c>
      <c r="T80" s="27">
        <f>IF($A80="","",SUMIFS(出库单!$J$4:$J$4003,出库单!$D$4:$D$4003,$A80,出库单!$K$4:$K$4003,"盘亏",出库单!$U$4:$U$4003,"正常",出库单!$C$4:$C$4003,"&gt;="&amp;账期起,出库单!$C$4:$C$4003,"&lt;="&amp;账期止))</f>
        <v/>
      </c>
      <c r="U80" s="26">
        <f>IF($A80="","",ROUND(SUMIFS(出库单!$S$4:$S$4003,出库单!$D$4:$D$4003,$A80,出库单!$K$4:$K$4003,"盘亏",出库单!$U$4:$U$4003,"正常",出库单!$C$4:$C$4003,"&gt;="&amp;账期起,出库单!$C$4:$C$4003,"&lt;="&amp;账期止),0))</f>
        <v/>
      </c>
      <c r="V80" s="27">
        <f>IF($A80="","",SUMIFS(出库单!$J$4:$J$4003,出库单!$D$4:$D$4003,$A80,出库单!$K$4:$K$4003,"退货给供应商",出库单!$U$4:$U$4003,"正常",出库单!$C$4:$C$4003,"&gt;="&amp;账期起,出库单!$C$4:$C$4003,"&lt;="&amp;账期止))</f>
        <v/>
      </c>
      <c r="W80" s="26">
        <f>IF($A80="","",ROUND(SUMIFS(出库单!$S$4:$S$4003,出库单!$D$4:$D$4003,$A80,出库单!$K$4:$K$4003,"退货给供应商",出库单!$U$4:$U$4003,"正常",出库单!$C$4:$C$4003,"&gt;="&amp;账期起,出库单!$C$4:$C$4003,"&lt;="&amp;账期止),0))</f>
        <v/>
      </c>
      <c r="X80" s="27">
        <f>IF($A80="","",ROUND(N($G80)+$I80+$L80+$N80-$P80-$R80-$T80-$V80,3))</f>
        <v/>
      </c>
      <c r="Y80" s="26">
        <f>IF($A80="","",ROUND(N($H80)+$J80+$M80+$O80-$Q80-$S80-$U80-$W80,0))</f>
        <v/>
      </c>
      <c r="Z80" s="24">
        <f>IF($A80="","",IF(COUNTIFS(入库单!$G$4:$G$2503,$A80,入库单!$Y$4:$Y$2503,"待补价")+COUNTIFS(入库单!$G$4:$G$2503,$A80,入库单!$Y$4:$Y$2503,"暂估")&gt;0,"不可信","可信"))</f>
        <v/>
      </c>
      <c r="AA80" s="24">
        <f>IF($A80="","",IF($X80&lt;-0.001,"※账面负库存，查一下是不是漏记入库",IF(AND(ROUND($X80,3)=0,ABS($Y80)&gt;1),"※数量已经是 0，金额还挂着 "&amp;TEXT($Y80,"#,##0")&amp;" 先令",IF(AND($X80&gt;0,$Y80&lt;=0,$K80=0),"※有数量没金额（这个物料一直没填过进价）",IF($Z80="不可信","△成本含待补价/暂估，毛利仅供参考","")))))</f>
        <v/>
      </c>
    </row>
    <row r="81">
      <c r="A81" s="24">
        <f>IF(物料档案!$A80="","",物料档案!$A80)</f>
        <v/>
      </c>
      <c r="B81" s="24">
        <f>IF($A81="","",IFERROR(VLOOKUP($A81,物料档案!$A$4:$P$1203,3,0),""))</f>
        <v/>
      </c>
      <c r="C81" s="24">
        <f>IF($A81="","",IFERROR(VLOOKUP($A81,物料档案!$A$4:$P$1203,4,0),""))</f>
        <v/>
      </c>
      <c r="D81" s="24">
        <f>IF($A81="","",IFERROR(VLOOKUP($A81,物料档案!$A$4:$P$1203,5,0),""))</f>
        <v/>
      </c>
      <c r="E81" s="24">
        <f>IF($A81="","",IFERROR(VLOOKUP($A81,物料档案!$A$4:$P$1203,2,0),""))</f>
        <v/>
      </c>
      <c r="F81" s="24">
        <f>IF($A81="","",IFERROR(VLOOKUP($A81,物料档案!$A$4:$P$1203,6,0),""))</f>
        <v/>
      </c>
      <c r="G81" s="23" t="n"/>
      <c r="H81" s="32" t="n"/>
      <c r="I81" s="27">
        <f>IF($A81="","",SUMIFS(入库单!$K$4:$K$2503,入库单!$G$4:$G$2503,$A81,入库单!$X$4:$X$2503,"采购入库",入库单!$Z$4:$Z$2503,"正常",入库单!$C$4:$C$2503,"&gt;="&amp;账期起,入库单!$C$4:$C$2503,"&lt;="&amp;账期止))</f>
        <v/>
      </c>
      <c r="J81" s="26">
        <f>IF($A81="","",SUMIFS(入库单!$V$4:$V$2503,入库单!$G$4:$G$2503,$A81,入库单!$X$4:$X$2503,"采购入库",入库单!$Z$4:$Z$2503,"正常",入库单!$C$4:$C$2503,"&gt;="&amp;账期起,入库单!$C$4:$C$2503,"&lt;="&amp;账期止))</f>
        <v/>
      </c>
      <c r="K81" s="26">
        <f>IF($A81="","",IFERROR(ROUND((N($H81)+N($J81))/(N($G81)+N($I81)),2),0))</f>
        <v/>
      </c>
      <c r="L81" s="27">
        <f>IF($A81="","",SUMIFS(入库单!$K$4:$K$2503,入库单!$G$4:$G$2503,$A81,入库单!$X$4:$X$2503,"盘盈",入库单!$Z$4:$Z$2503,"正常",入库单!$C$4:$C$2503,"&gt;="&amp;账期起,入库单!$C$4:$C$2503,"&lt;="&amp;账期止))</f>
        <v/>
      </c>
      <c r="M81" s="26">
        <f>IF($A81="","",ROUND($L81*$K81,0))</f>
        <v/>
      </c>
      <c r="N81" s="27">
        <f>IF($A81="","",SUMIFS(入库单!$K$4:$K$2503,入库单!$G$4:$G$2503,$A81,入库单!$X$4:$X$2503,"矿区退库",入库单!$Z$4:$Z$2503,"正常",入库单!$C$4:$C$2503,"&gt;="&amp;账期起,入库单!$C$4:$C$2503,"&lt;="&amp;账期止))</f>
        <v/>
      </c>
      <c r="O81" s="26">
        <f>IF($A81="","",ROUND($N81*$K81,0))</f>
        <v/>
      </c>
      <c r="P81" s="27">
        <f>IF($A81="","",SUMIFS(出库单!$J$4:$J$4003,出库单!$D$4:$D$4003,$A81,出库单!$K$4:$K$4003,"自用消耗",出库单!$U$4:$U$4003,"正常",出库单!$C$4:$C$4003,"&gt;="&amp;账期起,出库单!$C$4:$C$4003,"&lt;="&amp;账期止))</f>
        <v/>
      </c>
      <c r="Q81" s="26">
        <f>IF($A81="","",ROUND(SUMIFS(出库单!$S$4:$S$4003,出库单!$D$4:$D$4003,$A81,出库单!$K$4:$K$4003,"自用消耗",出库单!$U$4:$U$4003,"正常",出库单!$C$4:$C$4003,"&gt;="&amp;账期起,出库单!$C$4:$C$4003,"&lt;="&amp;账期止),0))</f>
        <v/>
      </c>
      <c r="R81" s="27">
        <f>IF($A81="","",SUMIFS(出库单!$J$4:$J$4003,出库单!$D$4:$D$4003,$A81,出库单!$K$4:$K$4003,"对外销售",出库单!$U$4:$U$4003,"正常",出库单!$C$4:$C$4003,"&gt;="&amp;账期起,出库单!$C$4:$C$4003,"&lt;="&amp;账期止))</f>
        <v/>
      </c>
      <c r="S81" s="26">
        <f>IF($A81="","",ROUND(SUMIFS(出库单!$S$4:$S$4003,出库单!$D$4:$D$4003,$A81,出库单!$K$4:$K$4003,"对外销售",出库单!$U$4:$U$4003,"正常",出库单!$C$4:$C$4003,"&gt;="&amp;账期起,出库单!$C$4:$C$4003,"&lt;="&amp;账期止),0))</f>
        <v/>
      </c>
      <c r="T81" s="27">
        <f>IF($A81="","",SUMIFS(出库单!$J$4:$J$4003,出库单!$D$4:$D$4003,$A81,出库单!$K$4:$K$4003,"盘亏",出库单!$U$4:$U$4003,"正常",出库单!$C$4:$C$4003,"&gt;="&amp;账期起,出库单!$C$4:$C$4003,"&lt;="&amp;账期止))</f>
        <v/>
      </c>
      <c r="U81" s="26">
        <f>IF($A81="","",ROUND(SUMIFS(出库单!$S$4:$S$4003,出库单!$D$4:$D$4003,$A81,出库单!$K$4:$K$4003,"盘亏",出库单!$U$4:$U$4003,"正常",出库单!$C$4:$C$4003,"&gt;="&amp;账期起,出库单!$C$4:$C$4003,"&lt;="&amp;账期止),0))</f>
        <v/>
      </c>
      <c r="V81" s="27">
        <f>IF($A81="","",SUMIFS(出库单!$J$4:$J$4003,出库单!$D$4:$D$4003,$A81,出库单!$K$4:$K$4003,"退货给供应商",出库单!$U$4:$U$4003,"正常",出库单!$C$4:$C$4003,"&gt;="&amp;账期起,出库单!$C$4:$C$4003,"&lt;="&amp;账期止))</f>
        <v/>
      </c>
      <c r="W81" s="26">
        <f>IF($A81="","",ROUND(SUMIFS(出库单!$S$4:$S$4003,出库单!$D$4:$D$4003,$A81,出库单!$K$4:$K$4003,"退货给供应商",出库单!$U$4:$U$4003,"正常",出库单!$C$4:$C$4003,"&gt;="&amp;账期起,出库单!$C$4:$C$4003,"&lt;="&amp;账期止),0))</f>
        <v/>
      </c>
      <c r="X81" s="27">
        <f>IF($A81="","",ROUND(N($G81)+$I81+$L81+$N81-$P81-$R81-$T81-$V81,3))</f>
        <v/>
      </c>
      <c r="Y81" s="26">
        <f>IF($A81="","",ROUND(N($H81)+$J81+$M81+$O81-$Q81-$S81-$U81-$W81,0))</f>
        <v/>
      </c>
      <c r="Z81" s="24">
        <f>IF($A81="","",IF(COUNTIFS(入库单!$G$4:$G$2503,$A81,入库单!$Y$4:$Y$2503,"待补价")+COUNTIFS(入库单!$G$4:$G$2503,$A81,入库单!$Y$4:$Y$2503,"暂估")&gt;0,"不可信","可信"))</f>
        <v/>
      </c>
      <c r="AA81" s="24">
        <f>IF($A81="","",IF($X81&lt;-0.001,"※账面负库存，查一下是不是漏记入库",IF(AND(ROUND($X81,3)=0,ABS($Y81)&gt;1),"※数量已经是 0，金额还挂着 "&amp;TEXT($Y81,"#,##0")&amp;" 先令",IF(AND($X81&gt;0,$Y81&lt;=0,$K81=0),"※有数量没金额（这个物料一直没填过进价）",IF($Z81="不可信","△成本含待补价/暂估，毛利仅供参考","")))))</f>
        <v/>
      </c>
    </row>
    <row r="82">
      <c r="A82" s="24">
        <f>IF(物料档案!$A81="","",物料档案!$A81)</f>
        <v/>
      </c>
      <c r="B82" s="24">
        <f>IF($A82="","",IFERROR(VLOOKUP($A82,物料档案!$A$4:$P$1203,3,0),""))</f>
        <v/>
      </c>
      <c r="C82" s="24">
        <f>IF($A82="","",IFERROR(VLOOKUP($A82,物料档案!$A$4:$P$1203,4,0),""))</f>
        <v/>
      </c>
      <c r="D82" s="24">
        <f>IF($A82="","",IFERROR(VLOOKUP($A82,物料档案!$A$4:$P$1203,5,0),""))</f>
        <v/>
      </c>
      <c r="E82" s="24">
        <f>IF($A82="","",IFERROR(VLOOKUP($A82,物料档案!$A$4:$P$1203,2,0),""))</f>
        <v/>
      </c>
      <c r="F82" s="24">
        <f>IF($A82="","",IFERROR(VLOOKUP($A82,物料档案!$A$4:$P$1203,6,0),""))</f>
        <v/>
      </c>
      <c r="G82" s="23" t="n"/>
      <c r="H82" s="32" t="n"/>
      <c r="I82" s="27">
        <f>IF($A82="","",SUMIFS(入库单!$K$4:$K$2503,入库单!$G$4:$G$2503,$A82,入库单!$X$4:$X$2503,"采购入库",入库单!$Z$4:$Z$2503,"正常",入库单!$C$4:$C$2503,"&gt;="&amp;账期起,入库单!$C$4:$C$2503,"&lt;="&amp;账期止))</f>
        <v/>
      </c>
      <c r="J82" s="26">
        <f>IF($A82="","",SUMIFS(入库单!$V$4:$V$2503,入库单!$G$4:$G$2503,$A82,入库单!$X$4:$X$2503,"采购入库",入库单!$Z$4:$Z$2503,"正常",入库单!$C$4:$C$2503,"&gt;="&amp;账期起,入库单!$C$4:$C$2503,"&lt;="&amp;账期止))</f>
        <v/>
      </c>
      <c r="K82" s="26">
        <f>IF($A82="","",IFERROR(ROUND((N($H82)+N($J82))/(N($G82)+N($I82)),2),0))</f>
        <v/>
      </c>
      <c r="L82" s="27">
        <f>IF($A82="","",SUMIFS(入库单!$K$4:$K$2503,入库单!$G$4:$G$2503,$A82,入库单!$X$4:$X$2503,"盘盈",入库单!$Z$4:$Z$2503,"正常",入库单!$C$4:$C$2503,"&gt;="&amp;账期起,入库单!$C$4:$C$2503,"&lt;="&amp;账期止))</f>
        <v/>
      </c>
      <c r="M82" s="26">
        <f>IF($A82="","",ROUND($L82*$K82,0))</f>
        <v/>
      </c>
      <c r="N82" s="27">
        <f>IF($A82="","",SUMIFS(入库单!$K$4:$K$2503,入库单!$G$4:$G$2503,$A82,入库单!$X$4:$X$2503,"矿区退库",入库单!$Z$4:$Z$2503,"正常",入库单!$C$4:$C$2503,"&gt;="&amp;账期起,入库单!$C$4:$C$2503,"&lt;="&amp;账期止))</f>
        <v/>
      </c>
      <c r="O82" s="26">
        <f>IF($A82="","",ROUND($N82*$K82,0))</f>
        <v/>
      </c>
      <c r="P82" s="27">
        <f>IF($A82="","",SUMIFS(出库单!$J$4:$J$4003,出库单!$D$4:$D$4003,$A82,出库单!$K$4:$K$4003,"自用消耗",出库单!$U$4:$U$4003,"正常",出库单!$C$4:$C$4003,"&gt;="&amp;账期起,出库单!$C$4:$C$4003,"&lt;="&amp;账期止))</f>
        <v/>
      </c>
      <c r="Q82" s="26">
        <f>IF($A82="","",ROUND(SUMIFS(出库单!$S$4:$S$4003,出库单!$D$4:$D$4003,$A82,出库单!$K$4:$K$4003,"自用消耗",出库单!$U$4:$U$4003,"正常",出库单!$C$4:$C$4003,"&gt;="&amp;账期起,出库单!$C$4:$C$4003,"&lt;="&amp;账期止),0))</f>
        <v/>
      </c>
      <c r="R82" s="27">
        <f>IF($A82="","",SUMIFS(出库单!$J$4:$J$4003,出库单!$D$4:$D$4003,$A82,出库单!$K$4:$K$4003,"对外销售",出库单!$U$4:$U$4003,"正常",出库单!$C$4:$C$4003,"&gt;="&amp;账期起,出库单!$C$4:$C$4003,"&lt;="&amp;账期止))</f>
        <v/>
      </c>
      <c r="S82" s="26">
        <f>IF($A82="","",ROUND(SUMIFS(出库单!$S$4:$S$4003,出库单!$D$4:$D$4003,$A82,出库单!$K$4:$K$4003,"对外销售",出库单!$U$4:$U$4003,"正常",出库单!$C$4:$C$4003,"&gt;="&amp;账期起,出库单!$C$4:$C$4003,"&lt;="&amp;账期止),0))</f>
        <v/>
      </c>
      <c r="T82" s="27">
        <f>IF($A82="","",SUMIFS(出库单!$J$4:$J$4003,出库单!$D$4:$D$4003,$A82,出库单!$K$4:$K$4003,"盘亏",出库单!$U$4:$U$4003,"正常",出库单!$C$4:$C$4003,"&gt;="&amp;账期起,出库单!$C$4:$C$4003,"&lt;="&amp;账期止))</f>
        <v/>
      </c>
      <c r="U82" s="26">
        <f>IF($A82="","",ROUND(SUMIFS(出库单!$S$4:$S$4003,出库单!$D$4:$D$4003,$A82,出库单!$K$4:$K$4003,"盘亏",出库单!$U$4:$U$4003,"正常",出库单!$C$4:$C$4003,"&gt;="&amp;账期起,出库单!$C$4:$C$4003,"&lt;="&amp;账期止),0))</f>
        <v/>
      </c>
      <c r="V82" s="27">
        <f>IF($A82="","",SUMIFS(出库单!$J$4:$J$4003,出库单!$D$4:$D$4003,$A82,出库单!$K$4:$K$4003,"退货给供应商",出库单!$U$4:$U$4003,"正常",出库单!$C$4:$C$4003,"&gt;="&amp;账期起,出库单!$C$4:$C$4003,"&lt;="&amp;账期止))</f>
        <v/>
      </c>
      <c r="W82" s="26">
        <f>IF($A82="","",ROUND(SUMIFS(出库单!$S$4:$S$4003,出库单!$D$4:$D$4003,$A82,出库单!$K$4:$K$4003,"退货给供应商",出库单!$U$4:$U$4003,"正常",出库单!$C$4:$C$4003,"&gt;="&amp;账期起,出库单!$C$4:$C$4003,"&lt;="&amp;账期止),0))</f>
        <v/>
      </c>
      <c r="X82" s="27">
        <f>IF($A82="","",ROUND(N($G82)+$I82+$L82+$N82-$P82-$R82-$T82-$V82,3))</f>
        <v/>
      </c>
      <c r="Y82" s="26">
        <f>IF($A82="","",ROUND(N($H82)+$J82+$M82+$O82-$Q82-$S82-$U82-$W82,0))</f>
        <v/>
      </c>
      <c r="Z82" s="24">
        <f>IF($A82="","",IF(COUNTIFS(入库单!$G$4:$G$2503,$A82,入库单!$Y$4:$Y$2503,"待补价")+COUNTIFS(入库单!$G$4:$G$2503,$A82,入库单!$Y$4:$Y$2503,"暂估")&gt;0,"不可信","可信"))</f>
        <v/>
      </c>
      <c r="AA82" s="24">
        <f>IF($A82="","",IF($X82&lt;-0.001,"※账面负库存，查一下是不是漏记入库",IF(AND(ROUND($X82,3)=0,ABS($Y82)&gt;1),"※数量已经是 0，金额还挂着 "&amp;TEXT($Y82,"#,##0")&amp;" 先令",IF(AND($X82&gt;0,$Y82&lt;=0,$K82=0),"※有数量没金额（这个物料一直没填过进价）",IF($Z82="不可信","△成本含待补价/暂估，毛利仅供参考","")))))</f>
        <v/>
      </c>
    </row>
    <row r="83">
      <c r="A83" s="24">
        <f>IF(物料档案!$A82="","",物料档案!$A82)</f>
        <v/>
      </c>
      <c r="B83" s="24">
        <f>IF($A83="","",IFERROR(VLOOKUP($A83,物料档案!$A$4:$P$1203,3,0),""))</f>
        <v/>
      </c>
      <c r="C83" s="24">
        <f>IF($A83="","",IFERROR(VLOOKUP($A83,物料档案!$A$4:$P$1203,4,0),""))</f>
        <v/>
      </c>
      <c r="D83" s="24">
        <f>IF($A83="","",IFERROR(VLOOKUP($A83,物料档案!$A$4:$P$1203,5,0),""))</f>
        <v/>
      </c>
      <c r="E83" s="24">
        <f>IF($A83="","",IFERROR(VLOOKUP($A83,物料档案!$A$4:$P$1203,2,0),""))</f>
        <v/>
      </c>
      <c r="F83" s="24">
        <f>IF($A83="","",IFERROR(VLOOKUP($A83,物料档案!$A$4:$P$1203,6,0),""))</f>
        <v/>
      </c>
      <c r="G83" s="23" t="n"/>
      <c r="H83" s="32" t="n"/>
      <c r="I83" s="27">
        <f>IF($A83="","",SUMIFS(入库单!$K$4:$K$2503,入库单!$G$4:$G$2503,$A83,入库单!$X$4:$X$2503,"采购入库",入库单!$Z$4:$Z$2503,"正常",入库单!$C$4:$C$2503,"&gt;="&amp;账期起,入库单!$C$4:$C$2503,"&lt;="&amp;账期止))</f>
        <v/>
      </c>
      <c r="J83" s="26">
        <f>IF($A83="","",SUMIFS(入库单!$V$4:$V$2503,入库单!$G$4:$G$2503,$A83,入库单!$X$4:$X$2503,"采购入库",入库单!$Z$4:$Z$2503,"正常",入库单!$C$4:$C$2503,"&gt;="&amp;账期起,入库单!$C$4:$C$2503,"&lt;="&amp;账期止))</f>
        <v/>
      </c>
      <c r="K83" s="26">
        <f>IF($A83="","",IFERROR(ROUND((N($H83)+N($J83))/(N($G83)+N($I83)),2),0))</f>
        <v/>
      </c>
      <c r="L83" s="27">
        <f>IF($A83="","",SUMIFS(入库单!$K$4:$K$2503,入库单!$G$4:$G$2503,$A83,入库单!$X$4:$X$2503,"盘盈",入库单!$Z$4:$Z$2503,"正常",入库单!$C$4:$C$2503,"&gt;="&amp;账期起,入库单!$C$4:$C$2503,"&lt;="&amp;账期止))</f>
        <v/>
      </c>
      <c r="M83" s="26">
        <f>IF($A83="","",ROUND($L83*$K83,0))</f>
        <v/>
      </c>
      <c r="N83" s="27">
        <f>IF($A83="","",SUMIFS(入库单!$K$4:$K$2503,入库单!$G$4:$G$2503,$A83,入库单!$X$4:$X$2503,"矿区退库",入库单!$Z$4:$Z$2503,"正常",入库单!$C$4:$C$2503,"&gt;="&amp;账期起,入库单!$C$4:$C$2503,"&lt;="&amp;账期止))</f>
        <v/>
      </c>
      <c r="O83" s="26">
        <f>IF($A83="","",ROUND($N83*$K83,0))</f>
        <v/>
      </c>
      <c r="P83" s="27">
        <f>IF($A83="","",SUMIFS(出库单!$J$4:$J$4003,出库单!$D$4:$D$4003,$A83,出库单!$K$4:$K$4003,"自用消耗",出库单!$U$4:$U$4003,"正常",出库单!$C$4:$C$4003,"&gt;="&amp;账期起,出库单!$C$4:$C$4003,"&lt;="&amp;账期止))</f>
        <v/>
      </c>
      <c r="Q83" s="26">
        <f>IF($A83="","",ROUND(SUMIFS(出库单!$S$4:$S$4003,出库单!$D$4:$D$4003,$A83,出库单!$K$4:$K$4003,"自用消耗",出库单!$U$4:$U$4003,"正常",出库单!$C$4:$C$4003,"&gt;="&amp;账期起,出库单!$C$4:$C$4003,"&lt;="&amp;账期止),0))</f>
        <v/>
      </c>
      <c r="R83" s="27">
        <f>IF($A83="","",SUMIFS(出库单!$J$4:$J$4003,出库单!$D$4:$D$4003,$A83,出库单!$K$4:$K$4003,"对外销售",出库单!$U$4:$U$4003,"正常",出库单!$C$4:$C$4003,"&gt;="&amp;账期起,出库单!$C$4:$C$4003,"&lt;="&amp;账期止))</f>
        <v/>
      </c>
      <c r="S83" s="26">
        <f>IF($A83="","",ROUND(SUMIFS(出库单!$S$4:$S$4003,出库单!$D$4:$D$4003,$A83,出库单!$K$4:$K$4003,"对外销售",出库单!$U$4:$U$4003,"正常",出库单!$C$4:$C$4003,"&gt;="&amp;账期起,出库单!$C$4:$C$4003,"&lt;="&amp;账期止),0))</f>
        <v/>
      </c>
      <c r="T83" s="27">
        <f>IF($A83="","",SUMIFS(出库单!$J$4:$J$4003,出库单!$D$4:$D$4003,$A83,出库单!$K$4:$K$4003,"盘亏",出库单!$U$4:$U$4003,"正常",出库单!$C$4:$C$4003,"&gt;="&amp;账期起,出库单!$C$4:$C$4003,"&lt;="&amp;账期止))</f>
        <v/>
      </c>
      <c r="U83" s="26">
        <f>IF($A83="","",ROUND(SUMIFS(出库单!$S$4:$S$4003,出库单!$D$4:$D$4003,$A83,出库单!$K$4:$K$4003,"盘亏",出库单!$U$4:$U$4003,"正常",出库单!$C$4:$C$4003,"&gt;="&amp;账期起,出库单!$C$4:$C$4003,"&lt;="&amp;账期止),0))</f>
        <v/>
      </c>
      <c r="V83" s="27">
        <f>IF($A83="","",SUMIFS(出库单!$J$4:$J$4003,出库单!$D$4:$D$4003,$A83,出库单!$K$4:$K$4003,"退货给供应商",出库单!$U$4:$U$4003,"正常",出库单!$C$4:$C$4003,"&gt;="&amp;账期起,出库单!$C$4:$C$4003,"&lt;="&amp;账期止))</f>
        <v/>
      </c>
      <c r="W83" s="26">
        <f>IF($A83="","",ROUND(SUMIFS(出库单!$S$4:$S$4003,出库单!$D$4:$D$4003,$A83,出库单!$K$4:$K$4003,"退货给供应商",出库单!$U$4:$U$4003,"正常",出库单!$C$4:$C$4003,"&gt;="&amp;账期起,出库单!$C$4:$C$4003,"&lt;="&amp;账期止),0))</f>
        <v/>
      </c>
      <c r="X83" s="27">
        <f>IF($A83="","",ROUND(N($G83)+$I83+$L83+$N83-$P83-$R83-$T83-$V83,3))</f>
        <v/>
      </c>
      <c r="Y83" s="26">
        <f>IF($A83="","",ROUND(N($H83)+$J83+$M83+$O83-$Q83-$S83-$U83-$W83,0))</f>
        <v/>
      </c>
      <c r="Z83" s="24">
        <f>IF($A83="","",IF(COUNTIFS(入库单!$G$4:$G$2503,$A83,入库单!$Y$4:$Y$2503,"待补价")+COUNTIFS(入库单!$G$4:$G$2503,$A83,入库单!$Y$4:$Y$2503,"暂估")&gt;0,"不可信","可信"))</f>
        <v/>
      </c>
      <c r="AA83" s="24">
        <f>IF($A83="","",IF($X83&lt;-0.001,"※账面负库存，查一下是不是漏记入库",IF(AND(ROUND($X83,3)=0,ABS($Y83)&gt;1),"※数量已经是 0，金额还挂着 "&amp;TEXT($Y83,"#,##0")&amp;" 先令",IF(AND($X83&gt;0,$Y83&lt;=0,$K83=0),"※有数量没金额（这个物料一直没填过进价）",IF($Z83="不可信","△成本含待补价/暂估，毛利仅供参考","")))))</f>
        <v/>
      </c>
    </row>
    <row r="84">
      <c r="A84" s="24">
        <f>IF(物料档案!$A83="","",物料档案!$A83)</f>
        <v/>
      </c>
      <c r="B84" s="24">
        <f>IF($A84="","",IFERROR(VLOOKUP($A84,物料档案!$A$4:$P$1203,3,0),""))</f>
        <v/>
      </c>
      <c r="C84" s="24">
        <f>IF($A84="","",IFERROR(VLOOKUP($A84,物料档案!$A$4:$P$1203,4,0),""))</f>
        <v/>
      </c>
      <c r="D84" s="24">
        <f>IF($A84="","",IFERROR(VLOOKUP($A84,物料档案!$A$4:$P$1203,5,0),""))</f>
        <v/>
      </c>
      <c r="E84" s="24">
        <f>IF($A84="","",IFERROR(VLOOKUP($A84,物料档案!$A$4:$P$1203,2,0),""))</f>
        <v/>
      </c>
      <c r="F84" s="24">
        <f>IF($A84="","",IFERROR(VLOOKUP($A84,物料档案!$A$4:$P$1203,6,0),""))</f>
        <v/>
      </c>
      <c r="G84" s="23" t="n"/>
      <c r="H84" s="32" t="n"/>
      <c r="I84" s="27">
        <f>IF($A84="","",SUMIFS(入库单!$K$4:$K$2503,入库单!$G$4:$G$2503,$A84,入库单!$X$4:$X$2503,"采购入库",入库单!$Z$4:$Z$2503,"正常",入库单!$C$4:$C$2503,"&gt;="&amp;账期起,入库单!$C$4:$C$2503,"&lt;="&amp;账期止))</f>
        <v/>
      </c>
      <c r="J84" s="26">
        <f>IF($A84="","",SUMIFS(入库单!$V$4:$V$2503,入库单!$G$4:$G$2503,$A84,入库单!$X$4:$X$2503,"采购入库",入库单!$Z$4:$Z$2503,"正常",入库单!$C$4:$C$2503,"&gt;="&amp;账期起,入库单!$C$4:$C$2503,"&lt;="&amp;账期止))</f>
        <v/>
      </c>
      <c r="K84" s="26">
        <f>IF($A84="","",IFERROR(ROUND((N($H84)+N($J84))/(N($G84)+N($I84)),2),0))</f>
        <v/>
      </c>
      <c r="L84" s="27">
        <f>IF($A84="","",SUMIFS(入库单!$K$4:$K$2503,入库单!$G$4:$G$2503,$A84,入库单!$X$4:$X$2503,"盘盈",入库单!$Z$4:$Z$2503,"正常",入库单!$C$4:$C$2503,"&gt;="&amp;账期起,入库单!$C$4:$C$2503,"&lt;="&amp;账期止))</f>
        <v/>
      </c>
      <c r="M84" s="26">
        <f>IF($A84="","",ROUND($L84*$K84,0))</f>
        <v/>
      </c>
      <c r="N84" s="27">
        <f>IF($A84="","",SUMIFS(入库单!$K$4:$K$2503,入库单!$G$4:$G$2503,$A84,入库单!$X$4:$X$2503,"矿区退库",入库单!$Z$4:$Z$2503,"正常",入库单!$C$4:$C$2503,"&gt;="&amp;账期起,入库单!$C$4:$C$2503,"&lt;="&amp;账期止))</f>
        <v/>
      </c>
      <c r="O84" s="26">
        <f>IF($A84="","",ROUND($N84*$K84,0))</f>
        <v/>
      </c>
      <c r="P84" s="27">
        <f>IF($A84="","",SUMIFS(出库单!$J$4:$J$4003,出库单!$D$4:$D$4003,$A84,出库单!$K$4:$K$4003,"自用消耗",出库单!$U$4:$U$4003,"正常",出库单!$C$4:$C$4003,"&gt;="&amp;账期起,出库单!$C$4:$C$4003,"&lt;="&amp;账期止))</f>
        <v/>
      </c>
      <c r="Q84" s="26">
        <f>IF($A84="","",ROUND(SUMIFS(出库单!$S$4:$S$4003,出库单!$D$4:$D$4003,$A84,出库单!$K$4:$K$4003,"自用消耗",出库单!$U$4:$U$4003,"正常",出库单!$C$4:$C$4003,"&gt;="&amp;账期起,出库单!$C$4:$C$4003,"&lt;="&amp;账期止),0))</f>
        <v/>
      </c>
      <c r="R84" s="27">
        <f>IF($A84="","",SUMIFS(出库单!$J$4:$J$4003,出库单!$D$4:$D$4003,$A84,出库单!$K$4:$K$4003,"对外销售",出库单!$U$4:$U$4003,"正常",出库单!$C$4:$C$4003,"&gt;="&amp;账期起,出库单!$C$4:$C$4003,"&lt;="&amp;账期止))</f>
        <v/>
      </c>
      <c r="S84" s="26">
        <f>IF($A84="","",ROUND(SUMIFS(出库单!$S$4:$S$4003,出库单!$D$4:$D$4003,$A84,出库单!$K$4:$K$4003,"对外销售",出库单!$U$4:$U$4003,"正常",出库单!$C$4:$C$4003,"&gt;="&amp;账期起,出库单!$C$4:$C$4003,"&lt;="&amp;账期止),0))</f>
        <v/>
      </c>
      <c r="T84" s="27">
        <f>IF($A84="","",SUMIFS(出库单!$J$4:$J$4003,出库单!$D$4:$D$4003,$A84,出库单!$K$4:$K$4003,"盘亏",出库单!$U$4:$U$4003,"正常",出库单!$C$4:$C$4003,"&gt;="&amp;账期起,出库单!$C$4:$C$4003,"&lt;="&amp;账期止))</f>
        <v/>
      </c>
      <c r="U84" s="26">
        <f>IF($A84="","",ROUND(SUMIFS(出库单!$S$4:$S$4003,出库单!$D$4:$D$4003,$A84,出库单!$K$4:$K$4003,"盘亏",出库单!$U$4:$U$4003,"正常",出库单!$C$4:$C$4003,"&gt;="&amp;账期起,出库单!$C$4:$C$4003,"&lt;="&amp;账期止),0))</f>
        <v/>
      </c>
      <c r="V84" s="27">
        <f>IF($A84="","",SUMIFS(出库单!$J$4:$J$4003,出库单!$D$4:$D$4003,$A84,出库单!$K$4:$K$4003,"退货给供应商",出库单!$U$4:$U$4003,"正常",出库单!$C$4:$C$4003,"&gt;="&amp;账期起,出库单!$C$4:$C$4003,"&lt;="&amp;账期止))</f>
        <v/>
      </c>
      <c r="W84" s="26">
        <f>IF($A84="","",ROUND(SUMIFS(出库单!$S$4:$S$4003,出库单!$D$4:$D$4003,$A84,出库单!$K$4:$K$4003,"退货给供应商",出库单!$U$4:$U$4003,"正常",出库单!$C$4:$C$4003,"&gt;="&amp;账期起,出库单!$C$4:$C$4003,"&lt;="&amp;账期止),0))</f>
        <v/>
      </c>
      <c r="X84" s="27">
        <f>IF($A84="","",ROUND(N($G84)+$I84+$L84+$N84-$P84-$R84-$T84-$V84,3))</f>
        <v/>
      </c>
      <c r="Y84" s="26">
        <f>IF($A84="","",ROUND(N($H84)+$J84+$M84+$O84-$Q84-$S84-$U84-$W84,0))</f>
        <v/>
      </c>
      <c r="Z84" s="24">
        <f>IF($A84="","",IF(COUNTIFS(入库单!$G$4:$G$2503,$A84,入库单!$Y$4:$Y$2503,"待补价")+COUNTIFS(入库单!$G$4:$G$2503,$A84,入库单!$Y$4:$Y$2503,"暂估")&gt;0,"不可信","可信"))</f>
        <v/>
      </c>
      <c r="AA84" s="24">
        <f>IF($A84="","",IF($X84&lt;-0.001,"※账面负库存，查一下是不是漏记入库",IF(AND(ROUND($X84,3)=0,ABS($Y84)&gt;1),"※数量已经是 0，金额还挂着 "&amp;TEXT($Y84,"#,##0")&amp;" 先令",IF(AND($X84&gt;0,$Y84&lt;=0,$K84=0),"※有数量没金额（这个物料一直没填过进价）",IF($Z84="不可信","△成本含待补价/暂估，毛利仅供参考","")))))</f>
        <v/>
      </c>
    </row>
    <row r="85">
      <c r="A85" s="24">
        <f>IF(物料档案!$A84="","",物料档案!$A84)</f>
        <v/>
      </c>
      <c r="B85" s="24">
        <f>IF($A85="","",IFERROR(VLOOKUP($A85,物料档案!$A$4:$P$1203,3,0),""))</f>
        <v/>
      </c>
      <c r="C85" s="24">
        <f>IF($A85="","",IFERROR(VLOOKUP($A85,物料档案!$A$4:$P$1203,4,0),""))</f>
        <v/>
      </c>
      <c r="D85" s="24">
        <f>IF($A85="","",IFERROR(VLOOKUP($A85,物料档案!$A$4:$P$1203,5,0),""))</f>
        <v/>
      </c>
      <c r="E85" s="24">
        <f>IF($A85="","",IFERROR(VLOOKUP($A85,物料档案!$A$4:$P$1203,2,0),""))</f>
        <v/>
      </c>
      <c r="F85" s="24">
        <f>IF($A85="","",IFERROR(VLOOKUP($A85,物料档案!$A$4:$P$1203,6,0),""))</f>
        <v/>
      </c>
      <c r="G85" s="23" t="n"/>
      <c r="H85" s="32" t="n"/>
      <c r="I85" s="27">
        <f>IF($A85="","",SUMIFS(入库单!$K$4:$K$2503,入库单!$G$4:$G$2503,$A85,入库单!$X$4:$X$2503,"采购入库",入库单!$Z$4:$Z$2503,"正常",入库单!$C$4:$C$2503,"&gt;="&amp;账期起,入库单!$C$4:$C$2503,"&lt;="&amp;账期止))</f>
        <v/>
      </c>
      <c r="J85" s="26">
        <f>IF($A85="","",SUMIFS(入库单!$V$4:$V$2503,入库单!$G$4:$G$2503,$A85,入库单!$X$4:$X$2503,"采购入库",入库单!$Z$4:$Z$2503,"正常",入库单!$C$4:$C$2503,"&gt;="&amp;账期起,入库单!$C$4:$C$2503,"&lt;="&amp;账期止))</f>
        <v/>
      </c>
      <c r="K85" s="26">
        <f>IF($A85="","",IFERROR(ROUND((N($H85)+N($J85))/(N($G85)+N($I85)),2),0))</f>
        <v/>
      </c>
      <c r="L85" s="27">
        <f>IF($A85="","",SUMIFS(入库单!$K$4:$K$2503,入库单!$G$4:$G$2503,$A85,入库单!$X$4:$X$2503,"盘盈",入库单!$Z$4:$Z$2503,"正常",入库单!$C$4:$C$2503,"&gt;="&amp;账期起,入库单!$C$4:$C$2503,"&lt;="&amp;账期止))</f>
        <v/>
      </c>
      <c r="M85" s="26">
        <f>IF($A85="","",ROUND($L85*$K85,0))</f>
        <v/>
      </c>
      <c r="N85" s="27">
        <f>IF($A85="","",SUMIFS(入库单!$K$4:$K$2503,入库单!$G$4:$G$2503,$A85,入库单!$X$4:$X$2503,"矿区退库",入库单!$Z$4:$Z$2503,"正常",入库单!$C$4:$C$2503,"&gt;="&amp;账期起,入库单!$C$4:$C$2503,"&lt;="&amp;账期止))</f>
        <v/>
      </c>
      <c r="O85" s="26">
        <f>IF($A85="","",ROUND($N85*$K85,0))</f>
        <v/>
      </c>
      <c r="P85" s="27">
        <f>IF($A85="","",SUMIFS(出库单!$J$4:$J$4003,出库单!$D$4:$D$4003,$A85,出库单!$K$4:$K$4003,"自用消耗",出库单!$U$4:$U$4003,"正常",出库单!$C$4:$C$4003,"&gt;="&amp;账期起,出库单!$C$4:$C$4003,"&lt;="&amp;账期止))</f>
        <v/>
      </c>
      <c r="Q85" s="26">
        <f>IF($A85="","",ROUND(SUMIFS(出库单!$S$4:$S$4003,出库单!$D$4:$D$4003,$A85,出库单!$K$4:$K$4003,"自用消耗",出库单!$U$4:$U$4003,"正常",出库单!$C$4:$C$4003,"&gt;="&amp;账期起,出库单!$C$4:$C$4003,"&lt;="&amp;账期止),0))</f>
        <v/>
      </c>
      <c r="R85" s="27">
        <f>IF($A85="","",SUMIFS(出库单!$J$4:$J$4003,出库单!$D$4:$D$4003,$A85,出库单!$K$4:$K$4003,"对外销售",出库单!$U$4:$U$4003,"正常",出库单!$C$4:$C$4003,"&gt;="&amp;账期起,出库单!$C$4:$C$4003,"&lt;="&amp;账期止))</f>
        <v/>
      </c>
      <c r="S85" s="26">
        <f>IF($A85="","",ROUND(SUMIFS(出库单!$S$4:$S$4003,出库单!$D$4:$D$4003,$A85,出库单!$K$4:$K$4003,"对外销售",出库单!$U$4:$U$4003,"正常",出库单!$C$4:$C$4003,"&gt;="&amp;账期起,出库单!$C$4:$C$4003,"&lt;="&amp;账期止),0))</f>
        <v/>
      </c>
      <c r="T85" s="27">
        <f>IF($A85="","",SUMIFS(出库单!$J$4:$J$4003,出库单!$D$4:$D$4003,$A85,出库单!$K$4:$K$4003,"盘亏",出库单!$U$4:$U$4003,"正常",出库单!$C$4:$C$4003,"&gt;="&amp;账期起,出库单!$C$4:$C$4003,"&lt;="&amp;账期止))</f>
        <v/>
      </c>
      <c r="U85" s="26">
        <f>IF($A85="","",ROUND(SUMIFS(出库单!$S$4:$S$4003,出库单!$D$4:$D$4003,$A85,出库单!$K$4:$K$4003,"盘亏",出库单!$U$4:$U$4003,"正常",出库单!$C$4:$C$4003,"&gt;="&amp;账期起,出库单!$C$4:$C$4003,"&lt;="&amp;账期止),0))</f>
        <v/>
      </c>
      <c r="V85" s="27">
        <f>IF($A85="","",SUMIFS(出库单!$J$4:$J$4003,出库单!$D$4:$D$4003,$A85,出库单!$K$4:$K$4003,"退货给供应商",出库单!$U$4:$U$4003,"正常",出库单!$C$4:$C$4003,"&gt;="&amp;账期起,出库单!$C$4:$C$4003,"&lt;="&amp;账期止))</f>
        <v/>
      </c>
      <c r="W85" s="26">
        <f>IF($A85="","",ROUND(SUMIFS(出库单!$S$4:$S$4003,出库单!$D$4:$D$4003,$A85,出库单!$K$4:$K$4003,"退货给供应商",出库单!$U$4:$U$4003,"正常",出库单!$C$4:$C$4003,"&gt;="&amp;账期起,出库单!$C$4:$C$4003,"&lt;="&amp;账期止),0))</f>
        <v/>
      </c>
      <c r="X85" s="27">
        <f>IF($A85="","",ROUND(N($G85)+$I85+$L85+$N85-$P85-$R85-$T85-$V85,3))</f>
        <v/>
      </c>
      <c r="Y85" s="26">
        <f>IF($A85="","",ROUND(N($H85)+$J85+$M85+$O85-$Q85-$S85-$U85-$W85,0))</f>
        <v/>
      </c>
      <c r="Z85" s="24">
        <f>IF($A85="","",IF(COUNTIFS(入库单!$G$4:$G$2503,$A85,入库单!$Y$4:$Y$2503,"待补价")+COUNTIFS(入库单!$G$4:$G$2503,$A85,入库单!$Y$4:$Y$2503,"暂估")&gt;0,"不可信","可信"))</f>
        <v/>
      </c>
      <c r="AA85" s="24">
        <f>IF($A85="","",IF($X85&lt;-0.001,"※账面负库存，查一下是不是漏记入库",IF(AND(ROUND($X85,3)=0,ABS($Y85)&gt;1),"※数量已经是 0，金额还挂着 "&amp;TEXT($Y85,"#,##0")&amp;" 先令",IF(AND($X85&gt;0,$Y85&lt;=0,$K85=0),"※有数量没金额（这个物料一直没填过进价）",IF($Z85="不可信","△成本含待补价/暂估，毛利仅供参考","")))))</f>
        <v/>
      </c>
    </row>
    <row r="86">
      <c r="A86" s="24">
        <f>IF(物料档案!$A85="","",物料档案!$A85)</f>
        <v/>
      </c>
      <c r="B86" s="24">
        <f>IF($A86="","",IFERROR(VLOOKUP($A86,物料档案!$A$4:$P$1203,3,0),""))</f>
        <v/>
      </c>
      <c r="C86" s="24">
        <f>IF($A86="","",IFERROR(VLOOKUP($A86,物料档案!$A$4:$P$1203,4,0),""))</f>
        <v/>
      </c>
      <c r="D86" s="24">
        <f>IF($A86="","",IFERROR(VLOOKUP($A86,物料档案!$A$4:$P$1203,5,0),""))</f>
        <v/>
      </c>
      <c r="E86" s="24">
        <f>IF($A86="","",IFERROR(VLOOKUP($A86,物料档案!$A$4:$P$1203,2,0),""))</f>
        <v/>
      </c>
      <c r="F86" s="24">
        <f>IF($A86="","",IFERROR(VLOOKUP($A86,物料档案!$A$4:$P$1203,6,0),""))</f>
        <v/>
      </c>
      <c r="G86" s="23" t="n"/>
      <c r="H86" s="32" t="n"/>
      <c r="I86" s="27">
        <f>IF($A86="","",SUMIFS(入库单!$K$4:$K$2503,入库单!$G$4:$G$2503,$A86,入库单!$X$4:$X$2503,"采购入库",入库单!$Z$4:$Z$2503,"正常",入库单!$C$4:$C$2503,"&gt;="&amp;账期起,入库单!$C$4:$C$2503,"&lt;="&amp;账期止))</f>
        <v/>
      </c>
      <c r="J86" s="26">
        <f>IF($A86="","",SUMIFS(入库单!$V$4:$V$2503,入库单!$G$4:$G$2503,$A86,入库单!$X$4:$X$2503,"采购入库",入库单!$Z$4:$Z$2503,"正常",入库单!$C$4:$C$2503,"&gt;="&amp;账期起,入库单!$C$4:$C$2503,"&lt;="&amp;账期止))</f>
        <v/>
      </c>
      <c r="K86" s="26">
        <f>IF($A86="","",IFERROR(ROUND((N($H86)+N($J86))/(N($G86)+N($I86)),2),0))</f>
        <v/>
      </c>
      <c r="L86" s="27">
        <f>IF($A86="","",SUMIFS(入库单!$K$4:$K$2503,入库单!$G$4:$G$2503,$A86,入库单!$X$4:$X$2503,"盘盈",入库单!$Z$4:$Z$2503,"正常",入库单!$C$4:$C$2503,"&gt;="&amp;账期起,入库单!$C$4:$C$2503,"&lt;="&amp;账期止))</f>
        <v/>
      </c>
      <c r="M86" s="26">
        <f>IF($A86="","",ROUND($L86*$K86,0))</f>
        <v/>
      </c>
      <c r="N86" s="27">
        <f>IF($A86="","",SUMIFS(入库单!$K$4:$K$2503,入库单!$G$4:$G$2503,$A86,入库单!$X$4:$X$2503,"矿区退库",入库单!$Z$4:$Z$2503,"正常",入库单!$C$4:$C$2503,"&gt;="&amp;账期起,入库单!$C$4:$C$2503,"&lt;="&amp;账期止))</f>
        <v/>
      </c>
      <c r="O86" s="26">
        <f>IF($A86="","",ROUND($N86*$K86,0))</f>
        <v/>
      </c>
      <c r="P86" s="27">
        <f>IF($A86="","",SUMIFS(出库单!$J$4:$J$4003,出库单!$D$4:$D$4003,$A86,出库单!$K$4:$K$4003,"自用消耗",出库单!$U$4:$U$4003,"正常",出库单!$C$4:$C$4003,"&gt;="&amp;账期起,出库单!$C$4:$C$4003,"&lt;="&amp;账期止))</f>
        <v/>
      </c>
      <c r="Q86" s="26">
        <f>IF($A86="","",ROUND(SUMIFS(出库单!$S$4:$S$4003,出库单!$D$4:$D$4003,$A86,出库单!$K$4:$K$4003,"自用消耗",出库单!$U$4:$U$4003,"正常",出库单!$C$4:$C$4003,"&gt;="&amp;账期起,出库单!$C$4:$C$4003,"&lt;="&amp;账期止),0))</f>
        <v/>
      </c>
      <c r="R86" s="27">
        <f>IF($A86="","",SUMIFS(出库单!$J$4:$J$4003,出库单!$D$4:$D$4003,$A86,出库单!$K$4:$K$4003,"对外销售",出库单!$U$4:$U$4003,"正常",出库单!$C$4:$C$4003,"&gt;="&amp;账期起,出库单!$C$4:$C$4003,"&lt;="&amp;账期止))</f>
        <v/>
      </c>
      <c r="S86" s="26">
        <f>IF($A86="","",ROUND(SUMIFS(出库单!$S$4:$S$4003,出库单!$D$4:$D$4003,$A86,出库单!$K$4:$K$4003,"对外销售",出库单!$U$4:$U$4003,"正常",出库单!$C$4:$C$4003,"&gt;="&amp;账期起,出库单!$C$4:$C$4003,"&lt;="&amp;账期止),0))</f>
        <v/>
      </c>
      <c r="T86" s="27">
        <f>IF($A86="","",SUMIFS(出库单!$J$4:$J$4003,出库单!$D$4:$D$4003,$A86,出库单!$K$4:$K$4003,"盘亏",出库单!$U$4:$U$4003,"正常",出库单!$C$4:$C$4003,"&gt;="&amp;账期起,出库单!$C$4:$C$4003,"&lt;="&amp;账期止))</f>
        <v/>
      </c>
      <c r="U86" s="26">
        <f>IF($A86="","",ROUND(SUMIFS(出库单!$S$4:$S$4003,出库单!$D$4:$D$4003,$A86,出库单!$K$4:$K$4003,"盘亏",出库单!$U$4:$U$4003,"正常",出库单!$C$4:$C$4003,"&gt;="&amp;账期起,出库单!$C$4:$C$4003,"&lt;="&amp;账期止),0))</f>
        <v/>
      </c>
      <c r="V86" s="27">
        <f>IF($A86="","",SUMIFS(出库单!$J$4:$J$4003,出库单!$D$4:$D$4003,$A86,出库单!$K$4:$K$4003,"退货给供应商",出库单!$U$4:$U$4003,"正常",出库单!$C$4:$C$4003,"&gt;="&amp;账期起,出库单!$C$4:$C$4003,"&lt;="&amp;账期止))</f>
        <v/>
      </c>
      <c r="W86" s="26">
        <f>IF($A86="","",ROUND(SUMIFS(出库单!$S$4:$S$4003,出库单!$D$4:$D$4003,$A86,出库单!$K$4:$K$4003,"退货给供应商",出库单!$U$4:$U$4003,"正常",出库单!$C$4:$C$4003,"&gt;="&amp;账期起,出库单!$C$4:$C$4003,"&lt;="&amp;账期止),0))</f>
        <v/>
      </c>
      <c r="X86" s="27">
        <f>IF($A86="","",ROUND(N($G86)+$I86+$L86+$N86-$P86-$R86-$T86-$V86,3))</f>
        <v/>
      </c>
      <c r="Y86" s="26">
        <f>IF($A86="","",ROUND(N($H86)+$J86+$M86+$O86-$Q86-$S86-$U86-$W86,0))</f>
        <v/>
      </c>
      <c r="Z86" s="24">
        <f>IF($A86="","",IF(COUNTIFS(入库单!$G$4:$G$2503,$A86,入库单!$Y$4:$Y$2503,"待补价")+COUNTIFS(入库单!$G$4:$G$2503,$A86,入库单!$Y$4:$Y$2503,"暂估")&gt;0,"不可信","可信"))</f>
        <v/>
      </c>
      <c r="AA86" s="24">
        <f>IF($A86="","",IF($X86&lt;-0.001,"※账面负库存，查一下是不是漏记入库",IF(AND(ROUND($X86,3)=0,ABS($Y86)&gt;1),"※数量已经是 0，金额还挂着 "&amp;TEXT($Y86,"#,##0")&amp;" 先令",IF(AND($X86&gt;0,$Y86&lt;=0,$K86=0),"※有数量没金额（这个物料一直没填过进价）",IF($Z86="不可信","△成本含待补价/暂估，毛利仅供参考","")))))</f>
        <v/>
      </c>
    </row>
    <row r="87">
      <c r="A87" s="24">
        <f>IF(物料档案!$A86="","",物料档案!$A86)</f>
        <v/>
      </c>
      <c r="B87" s="24">
        <f>IF($A87="","",IFERROR(VLOOKUP($A87,物料档案!$A$4:$P$1203,3,0),""))</f>
        <v/>
      </c>
      <c r="C87" s="24">
        <f>IF($A87="","",IFERROR(VLOOKUP($A87,物料档案!$A$4:$P$1203,4,0),""))</f>
        <v/>
      </c>
      <c r="D87" s="24">
        <f>IF($A87="","",IFERROR(VLOOKUP($A87,物料档案!$A$4:$P$1203,5,0),""))</f>
        <v/>
      </c>
      <c r="E87" s="24">
        <f>IF($A87="","",IFERROR(VLOOKUP($A87,物料档案!$A$4:$P$1203,2,0),""))</f>
        <v/>
      </c>
      <c r="F87" s="24">
        <f>IF($A87="","",IFERROR(VLOOKUP($A87,物料档案!$A$4:$P$1203,6,0),""))</f>
        <v/>
      </c>
      <c r="G87" s="23" t="n"/>
      <c r="H87" s="32" t="n"/>
      <c r="I87" s="27">
        <f>IF($A87="","",SUMIFS(入库单!$K$4:$K$2503,入库单!$G$4:$G$2503,$A87,入库单!$X$4:$X$2503,"采购入库",入库单!$Z$4:$Z$2503,"正常",入库单!$C$4:$C$2503,"&gt;="&amp;账期起,入库单!$C$4:$C$2503,"&lt;="&amp;账期止))</f>
        <v/>
      </c>
      <c r="J87" s="26">
        <f>IF($A87="","",SUMIFS(入库单!$V$4:$V$2503,入库单!$G$4:$G$2503,$A87,入库单!$X$4:$X$2503,"采购入库",入库单!$Z$4:$Z$2503,"正常",入库单!$C$4:$C$2503,"&gt;="&amp;账期起,入库单!$C$4:$C$2503,"&lt;="&amp;账期止))</f>
        <v/>
      </c>
      <c r="K87" s="26">
        <f>IF($A87="","",IFERROR(ROUND((N($H87)+N($J87))/(N($G87)+N($I87)),2),0))</f>
        <v/>
      </c>
      <c r="L87" s="27">
        <f>IF($A87="","",SUMIFS(入库单!$K$4:$K$2503,入库单!$G$4:$G$2503,$A87,入库单!$X$4:$X$2503,"盘盈",入库单!$Z$4:$Z$2503,"正常",入库单!$C$4:$C$2503,"&gt;="&amp;账期起,入库单!$C$4:$C$2503,"&lt;="&amp;账期止))</f>
        <v/>
      </c>
      <c r="M87" s="26">
        <f>IF($A87="","",ROUND($L87*$K87,0))</f>
        <v/>
      </c>
      <c r="N87" s="27">
        <f>IF($A87="","",SUMIFS(入库单!$K$4:$K$2503,入库单!$G$4:$G$2503,$A87,入库单!$X$4:$X$2503,"矿区退库",入库单!$Z$4:$Z$2503,"正常",入库单!$C$4:$C$2503,"&gt;="&amp;账期起,入库单!$C$4:$C$2503,"&lt;="&amp;账期止))</f>
        <v/>
      </c>
      <c r="O87" s="26">
        <f>IF($A87="","",ROUND($N87*$K87,0))</f>
        <v/>
      </c>
      <c r="P87" s="27">
        <f>IF($A87="","",SUMIFS(出库单!$J$4:$J$4003,出库单!$D$4:$D$4003,$A87,出库单!$K$4:$K$4003,"自用消耗",出库单!$U$4:$U$4003,"正常",出库单!$C$4:$C$4003,"&gt;="&amp;账期起,出库单!$C$4:$C$4003,"&lt;="&amp;账期止))</f>
        <v/>
      </c>
      <c r="Q87" s="26">
        <f>IF($A87="","",ROUND(SUMIFS(出库单!$S$4:$S$4003,出库单!$D$4:$D$4003,$A87,出库单!$K$4:$K$4003,"自用消耗",出库单!$U$4:$U$4003,"正常",出库单!$C$4:$C$4003,"&gt;="&amp;账期起,出库单!$C$4:$C$4003,"&lt;="&amp;账期止),0))</f>
        <v/>
      </c>
      <c r="R87" s="27">
        <f>IF($A87="","",SUMIFS(出库单!$J$4:$J$4003,出库单!$D$4:$D$4003,$A87,出库单!$K$4:$K$4003,"对外销售",出库单!$U$4:$U$4003,"正常",出库单!$C$4:$C$4003,"&gt;="&amp;账期起,出库单!$C$4:$C$4003,"&lt;="&amp;账期止))</f>
        <v/>
      </c>
      <c r="S87" s="26">
        <f>IF($A87="","",ROUND(SUMIFS(出库单!$S$4:$S$4003,出库单!$D$4:$D$4003,$A87,出库单!$K$4:$K$4003,"对外销售",出库单!$U$4:$U$4003,"正常",出库单!$C$4:$C$4003,"&gt;="&amp;账期起,出库单!$C$4:$C$4003,"&lt;="&amp;账期止),0))</f>
        <v/>
      </c>
      <c r="T87" s="27">
        <f>IF($A87="","",SUMIFS(出库单!$J$4:$J$4003,出库单!$D$4:$D$4003,$A87,出库单!$K$4:$K$4003,"盘亏",出库单!$U$4:$U$4003,"正常",出库单!$C$4:$C$4003,"&gt;="&amp;账期起,出库单!$C$4:$C$4003,"&lt;="&amp;账期止))</f>
        <v/>
      </c>
      <c r="U87" s="26">
        <f>IF($A87="","",ROUND(SUMIFS(出库单!$S$4:$S$4003,出库单!$D$4:$D$4003,$A87,出库单!$K$4:$K$4003,"盘亏",出库单!$U$4:$U$4003,"正常",出库单!$C$4:$C$4003,"&gt;="&amp;账期起,出库单!$C$4:$C$4003,"&lt;="&amp;账期止),0))</f>
        <v/>
      </c>
      <c r="V87" s="27">
        <f>IF($A87="","",SUMIFS(出库单!$J$4:$J$4003,出库单!$D$4:$D$4003,$A87,出库单!$K$4:$K$4003,"退货给供应商",出库单!$U$4:$U$4003,"正常",出库单!$C$4:$C$4003,"&gt;="&amp;账期起,出库单!$C$4:$C$4003,"&lt;="&amp;账期止))</f>
        <v/>
      </c>
      <c r="W87" s="26">
        <f>IF($A87="","",ROUND(SUMIFS(出库单!$S$4:$S$4003,出库单!$D$4:$D$4003,$A87,出库单!$K$4:$K$4003,"退货给供应商",出库单!$U$4:$U$4003,"正常",出库单!$C$4:$C$4003,"&gt;="&amp;账期起,出库单!$C$4:$C$4003,"&lt;="&amp;账期止),0))</f>
        <v/>
      </c>
      <c r="X87" s="27">
        <f>IF($A87="","",ROUND(N($G87)+$I87+$L87+$N87-$P87-$R87-$T87-$V87,3))</f>
        <v/>
      </c>
      <c r="Y87" s="26">
        <f>IF($A87="","",ROUND(N($H87)+$J87+$M87+$O87-$Q87-$S87-$U87-$W87,0))</f>
        <v/>
      </c>
      <c r="Z87" s="24">
        <f>IF($A87="","",IF(COUNTIFS(入库单!$G$4:$G$2503,$A87,入库单!$Y$4:$Y$2503,"待补价")+COUNTIFS(入库单!$G$4:$G$2503,$A87,入库单!$Y$4:$Y$2503,"暂估")&gt;0,"不可信","可信"))</f>
        <v/>
      </c>
      <c r="AA87" s="24">
        <f>IF($A87="","",IF($X87&lt;-0.001,"※账面负库存，查一下是不是漏记入库",IF(AND(ROUND($X87,3)=0,ABS($Y87)&gt;1),"※数量已经是 0，金额还挂着 "&amp;TEXT($Y87,"#,##0")&amp;" 先令",IF(AND($X87&gt;0,$Y87&lt;=0,$K87=0),"※有数量没金额（这个物料一直没填过进价）",IF($Z87="不可信","△成本含待补价/暂估，毛利仅供参考","")))))</f>
        <v/>
      </c>
    </row>
    <row r="88">
      <c r="A88" s="24">
        <f>IF(物料档案!$A87="","",物料档案!$A87)</f>
        <v/>
      </c>
      <c r="B88" s="24">
        <f>IF($A88="","",IFERROR(VLOOKUP($A88,物料档案!$A$4:$P$1203,3,0),""))</f>
        <v/>
      </c>
      <c r="C88" s="24">
        <f>IF($A88="","",IFERROR(VLOOKUP($A88,物料档案!$A$4:$P$1203,4,0),""))</f>
        <v/>
      </c>
      <c r="D88" s="24">
        <f>IF($A88="","",IFERROR(VLOOKUP($A88,物料档案!$A$4:$P$1203,5,0),""))</f>
        <v/>
      </c>
      <c r="E88" s="24">
        <f>IF($A88="","",IFERROR(VLOOKUP($A88,物料档案!$A$4:$P$1203,2,0),""))</f>
        <v/>
      </c>
      <c r="F88" s="24">
        <f>IF($A88="","",IFERROR(VLOOKUP($A88,物料档案!$A$4:$P$1203,6,0),""))</f>
        <v/>
      </c>
      <c r="G88" s="23" t="n"/>
      <c r="H88" s="32" t="n"/>
      <c r="I88" s="27">
        <f>IF($A88="","",SUMIFS(入库单!$K$4:$K$2503,入库单!$G$4:$G$2503,$A88,入库单!$X$4:$X$2503,"采购入库",入库单!$Z$4:$Z$2503,"正常",入库单!$C$4:$C$2503,"&gt;="&amp;账期起,入库单!$C$4:$C$2503,"&lt;="&amp;账期止))</f>
        <v/>
      </c>
      <c r="J88" s="26">
        <f>IF($A88="","",SUMIFS(入库单!$V$4:$V$2503,入库单!$G$4:$G$2503,$A88,入库单!$X$4:$X$2503,"采购入库",入库单!$Z$4:$Z$2503,"正常",入库单!$C$4:$C$2503,"&gt;="&amp;账期起,入库单!$C$4:$C$2503,"&lt;="&amp;账期止))</f>
        <v/>
      </c>
      <c r="K88" s="26">
        <f>IF($A88="","",IFERROR(ROUND((N($H88)+N($J88))/(N($G88)+N($I88)),2),0))</f>
        <v/>
      </c>
      <c r="L88" s="27">
        <f>IF($A88="","",SUMIFS(入库单!$K$4:$K$2503,入库单!$G$4:$G$2503,$A88,入库单!$X$4:$X$2503,"盘盈",入库单!$Z$4:$Z$2503,"正常",入库单!$C$4:$C$2503,"&gt;="&amp;账期起,入库单!$C$4:$C$2503,"&lt;="&amp;账期止))</f>
        <v/>
      </c>
      <c r="M88" s="26">
        <f>IF($A88="","",ROUND($L88*$K88,0))</f>
        <v/>
      </c>
      <c r="N88" s="27">
        <f>IF($A88="","",SUMIFS(入库单!$K$4:$K$2503,入库单!$G$4:$G$2503,$A88,入库单!$X$4:$X$2503,"矿区退库",入库单!$Z$4:$Z$2503,"正常",入库单!$C$4:$C$2503,"&gt;="&amp;账期起,入库单!$C$4:$C$2503,"&lt;="&amp;账期止))</f>
        <v/>
      </c>
      <c r="O88" s="26">
        <f>IF($A88="","",ROUND($N88*$K88,0))</f>
        <v/>
      </c>
      <c r="P88" s="27">
        <f>IF($A88="","",SUMIFS(出库单!$J$4:$J$4003,出库单!$D$4:$D$4003,$A88,出库单!$K$4:$K$4003,"自用消耗",出库单!$U$4:$U$4003,"正常",出库单!$C$4:$C$4003,"&gt;="&amp;账期起,出库单!$C$4:$C$4003,"&lt;="&amp;账期止))</f>
        <v/>
      </c>
      <c r="Q88" s="26">
        <f>IF($A88="","",ROUND(SUMIFS(出库单!$S$4:$S$4003,出库单!$D$4:$D$4003,$A88,出库单!$K$4:$K$4003,"自用消耗",出库单!$U$4:$U$4003,"正常",出库单!$C$4:$C$4003,"&gt;="&amp;账期起,出库单!$C$4:$C$4003,"&lt;="&amp;账期止),0))</f>
        <v/>
      </c>
      <c r="R88" s="27">
        <f>IF($A88="","",SUMIFS(出库单!$J$4:$J$4003,出库单!$D$4:$D$4003,$A88,出库单!$K$4:$K$4003,"对外销售",出库单!$U$4:$U$4003,"正常",出库单!$C$4:$C$4003,"&gt;="&amp;账期起,出库单!$C$4:$C$4003,"&lt;="&amp;账期止))</f>
        <v/>
      </c>
      <c r="S88" s="26">
        <f>IF($A88="","",ROUND(SUMIFS(出库单!$S$4:$S$4003,出库单!$D$4:$D$4003,$A88,出库单!$K$4:$K$4003,"对外销售",出库单!$U$4:$U$4003,"正常",出库单!$C$4:$C$4003,"&gt;="&amp;账期起,出库单!$C$4:$C$4003,"&lt;="&amp;账期止),0))</f>
        <v/>
      </c>
      <c r="T88" s="27">
        <f>IF($A88="","",SUMIFS(出库单!$J$4:$J$4003,出库单!$D$4:$D$4003,$A88,出库单!$K$4:$K$4003,"盘亏",出库单!$U$4:$U$4003,"正常",出库单!$C$4:$C$4003,"&gt;="&amp;账期起,出库单!$C$4:$C$4003,"&lt;="&amp;账期止))</f>
        <v/>
      </c>
      <c r="U88" s="26">
        <f>IF($A88="","",ROUND(SUMIFS(出库单!$S$4:$S$4003,出库单!$D$4:$D$4003,$A88,出库单!$K$4:$K$4003,"盘亏",出库单!$U$4:$U$4003,"正常",出库单!$C$4:$C$4003,"&gt;="&amp;账期起,出库单!$C$4:$C$4003,"&lt;="&amp;账期止),0))</f>
        <v/>
      </c>
      <c r="V88" s="27">
        <f>IF($A88="","",SUMIFS(出库单!$J$4:$J$4003,出库单!$D$4:$D$4003,$A88,出库单!$K$4:$K$4003,"退货给供应商",出库单!$U$4:$U$4003,"正常",出库单!$C$4:$C$4003,"&gt;="&amp;账期起,出库单!$C$4:$C$4003,"&lt;="&amp;账期止))</f>
        <v/>
      </c>
      <c r="W88" s="26">
        <f>IF($A88="","",ROUND(SUMIFS(出库单!$S$4:$S$4003,出库单!$D$4:$D$4003,$A88,出库单!$K$4:$K$4003,"退货给供应商",出库单!$U$4:$U$4003,"正常",出库单!$C$4:$C$4003,"&gt;="&amp;账期起,出库单!$C$4:$C$4003,"&lt;="&amp;账期止),0))</f>
        <v/>
      </c>
      <c r="X88" s="27">
        <f>IF($A88="","",ROUND(N($G88)+$I88+$L88+$N88-$P88-$R88-$T88-$V88,3))</f>
        <v/>
      </c>
      <c r="Y88" s="26">
        <f>IF($A88="","",ROUND(N($H88)+$J88+$M88+$O88-$Q88-$S88-$U88-$W88,0))</f>
        <v/>
      </c>
      <c r="Z88" s="24">
        <f>IF($A88="","",IF(COUNTIFS(入库单!$G$4:$G$2503,$A88,入库单!$Y$4:$Y$2503,"待补价")+COUNTIFS(入库单!$G$4:$G$2503,$A88,入库单!$Y$4:$Y$2503,"暂估")&gt;0,"不可信","可信"))</f>
        <v/>
      </c>
      <c r="AA88" s="24">
        <f>IF($A88="","",IF($X88&lt;-0.001,"※账面负库存，查一下是不是漏记入库",IF(AND(ROUND($X88,3)=0,ABS($Y88)&gt;1),"※数量已经是 0，金额还挂着 "&amp;TEXT($Y88,"#,##0")&amp;" 先令",IF(AND($X88&gt;0,$Y88&lt;=0,$K88=0),"※有数量没金额（这个物料一直没填过进价）",IF($Z88="不可信","△成本含待补价/暂估，毛利仅供参考","")))))</f>
        <v/>
      </c>
    </row>
    <row r="89">
      <c r="A89" s="24">
        <f>IF(物料档案!$A88="","",物料档案!$A88)</f>
        <v/>
      </c>
      <c r="B89" s="24">
        <f>IF($A89="","",IFERROR(VLOOKUP($A89,物料档案!$A$4:$P$1203,3,0),""))</f>
        <v/>
      </c>
      <c r="C89" s="24">
        <f>IF($A89="","",IFERROR(VLOOKUP($A89,物料档案!$A$4:$P$1203,4,0),""))</f>
        <v/>
      </c>
      <c r="D89" s="24">
        <f>IF($A89="","",IFERROR(VLOOKUP($A89,物料档案!$A$4:$P$1203,5,0),""))</f>
        <v/>
      </c>
      <c r="E89" s="24">
        <f>IF($A89="","",IFERROR(VLOOKUP($A89,物料档案!$A$4:$P$1203,2,0),""))</f>
        <v/>
      </c>
      <c r="F89" s="24">
        <f>IF($A89="","",IFERROR(VLOOKUP($A89,物料档案!$A$4:$P$1203,6,0),""))</f>
        <v/>
      </c>
      <c r="G89" s="23" t="n"/>
      <c r="H89" s="32" t="n"/>
      <c r="I89" s="27">
        <f>IF($A89="","",SUMIFS(入库单!$K$4:$K$2503,入库单!$G$4:$G$2503,$A89,入库单!$X$4:$X$2503,"采购入库",入库单!$Z$4:$Z$2503,"正常",入库单!$C$4:$C$2503,"&gt;="&amp;账期起,入库单!$C$4:$C$2503,"&lt;="&amp;账期止))</f>
        <v/>
      </c>
      <c r="J89" s="26">
        <f>IF($A89="","",SUMIFS(入库单!$V$4:$V$2503,入库单!$G$4:$G$2503,$A89,入库单!$X$4:$X$2503,"采购入库",入库单!$Z$4:$Z$2503,"正常",入库单!$C$4:$C$2503,"&gt;="&amp;账期起,入库单!$C$4:$C$2503,"&lt;="&amp;账期止))</f>
        <v/>
      </c>
      <c r="K89" s="26">
        <f>IF($A89="","",IFERROR(ROUND((N($H89)+N($J89))/(N($G89)+N($I89)),2),0))</f>
        <v/>
      </c>
      <c r="L89" s="27">
        <f>IF($A89="","",SUMIFS(入库单!$K$4:$K$2503,入库单!$G$4:$G$2503,$A89,入库单!$X$4:$X$2503,"盘盈",入库单!$Z$4:$Z$2503,"正常",入库单!$C$4:$C$2503,"&gt;="&amp;账期起,入库单!$C$4:$C$2503,"&lt;="&amp;账期止))</f>
        <v/>
      </c>
      <c r="M89" s="26">
        <f>IF($A89="","",ROUND($L89*$K89,0))</f>
        <v/>
      </c>
      <c r="N89" s="27">
        <f>IF($A89="","",SUMIFS(入库单!$K$4:$K$2503,入库单!$G$4:$G$2503,$A89,入库单!$X$4:$X$2503,"矿区退库",入库单!$Z$4:$Z$2503,"正常",入库单!$C$4:$C$2503,"&gt;="&amp;账期起,入库单!$C$4:$C$2503,"&lt;="&amp;账期止))</f>
        <v/>
      </c>
      <c r="O89" s="26">
        <f>IF($A89="","",ROUND($N89*$K89,0))</f>
        <v/>
      </c>
      <c r="P89" s="27">
        <f>IF($A89="","",SUMIFS(出库单!$J$4:$J$4003,出库单!$D$4:$D$4003,$A89,出库单!$K$4:$K$4003,"自用消耗",出库单!$U$4:$U$4003,"正常",出库单!$C$4:$C$4003,"&gt;="&amp;账期起,出库单!$C$4:$C$4003,"&lt;="&amp;账期止))</f>
        <v/>
      </c>
      <c r="Q89" s="26">
        <f>IF($A89="","",ROUND(SUMIFS(出库单!$S$4:$S$4003,出库单!$D$4:$D$4003,$A89,出库单!$K$4:$K$4003,"自用消耗",出库单!$U$4:$U$4003,"正常",出库单!$C$4:$C$4003,"&gt;="&amp;账期起,出库单!$C$4:$C$4003,"&lt;="&amp;账期止),0))</f>
        <v/>
      </c>
      <c r="R89" s="27">
        <f>IF($A89="","",SUMIFS(出库单!$J$4:$J$4003,出库单!$D$4:$D$4003,$A89,出库单!$K$4:$K$4003,"对外销售",出库单!$U$4:$U$4003,"正常",出库单!$C$4:$C$4003,"&gt;="&amp;账期起,出库单!$C$4:$C$4003,"&lt;="&amp;账期止))</f>
        <v/>
      </c>
      <c r="S89" s="26">
        <f>IF($A89="","",ROUND(SUMIFS(出库单!$S$4:$S$4003,出库单!$D$4:$D$4003,$A89,出库单!$K$4:$K$4003,"对外销售",出库单!$U$4:$U$4003,"正常",出库单!$C$4:$C$4003,"&gt;="&amp;账期起,出库单!$C$4:$C$4003,"&lt;="&amp;账期止),0))</f>
        <v/>
      </c>
      <c r="T89" s="27">
        <f>IF($A89="","",SUMIFS(出库单!$J$4:$J$4003,出库单!$D$4:$D$4003,$A89,出库单!$K$4:$K$4003,"盘亏",出库单!$U$4:$U$4003,"正常",出库单!$C$4:$C$4003,"&gt;="&amp;账期起,出库单!$C$4:$C$4003,"&lt;="&amp;账期止))</f>
        <v/>
      </c>
      <c r="U89" s="26">
        <f>IF($A89="","",ROUND(SUMIFS(出库单!$S$4:$S$4003,出库单!$D$4:$D$4003,$A89,出库单!$K$4:$K$4003,"盘亏",出库单!$U$4:$U$4003,"正常",出库单!$C$4:$C$4003,"&gt;="&amp;账期起,出库单!$C$4:$C$4003,"&lt;="&amp;账期止),0))</f>
        <v/>
      </c>
      <c r="V89" s="27">
        <f>IF($A89="","",SUMIFS(出库单!$J$4:$J$4003,出库单!$D$4:$D$4003,$A89,出库单!$K$4:$K$4003,"退货给供应商",出库单!$U$4:$U$4003,"正常",出库单!$C$4:$C$4003,"&gt;="&amp;账期起,出库单!$C$4:$C$4003,"&lt;="&amp;账期止))</f>
        <v/>
      </c>
      <c r="W89" s="26">
        <f>IF($A89="","",ROUND(SUMIFS(出库单!$S$4:$S$4003,出库单!$D$4:$D$4003,$A89,出库单!$K$4:$K$4003,"退货给供应商",出库单!$U$4:$U$4003,"正常",出库单!$C$4:$C$4003,"&gt;="&amp;账期起,出库单!$C$4:$C$4003,"&lt;="&amp;账期止),0))</f>
        <v/>
      </c>
      <c r="X89" s="27">
        <f>IF($A89="","",ROUND(N($G89)+$I89+$L89+$N89-$P89-$R89-$T89-$V89,3))</f>
        <v/>
      </c>
      <c r="Y89" s="26">
        <f>IF($A89="","",ROUND(N($H89)+$J89+$M89+$O89-$Q89-$S89-$U89-$W89,0))</f>
        <v/>
      </c>
      <c r="Z89" s="24">
        <f>IF($A89="","",IF(COUNTIFS(入库单!$G$4:$G$2503,$A89,入库单!$Y$4:$Y$2503,"待补价")+COUNTIFS(入库单!$G$4:$G$2503,$A89,入库单!$Y$4:$Y$2503,"暂估")&gt;0,"不可信","可信"))</f>
        <v/>
      </c>
      <c r="AA89" s="24">
        <f>IF($A89="","",IF($X89&lt;-0.001,"※账面负库存，查一下是不是漏记入库",IF(AND(ROUND($X89,3)=0,ABS($Y89)&gt;1),"※数量已经是 0，金额还挂着 "&amp;TEXT($Y89,"#,##0")&amp;" 先令",IF(AND($X89&gt;0,$Y89&lt;=0,$K89=0),"※有数量没金额（这个物料一直没填过进价）",IF($Z89="不可信","△成本含待补价/暂估，毛利仅供参考","")))))</f>
        <v/>
      </c>
    </row>
    <row r="90">
      <c r="A90" s="24">
        <f>IF(物料档案!$A89="","",物料档案!$A89)</f>
        <v/>
      </c>
      <c r="B90" s="24">
        <f>IF($A90="","",IFERROR(VLOOKUP($A90,物料档案!$A$4:$P$1203,3,0),""))</f>
        <v/>
      </c>
      <c r="C90" s="24">
        <f>IF($A90="","",IFERROR(VLOOKUP($A90,物料档案!$A$4:$P$1203,4,0),""))</f>
        <v/>
      </c>
      <c r="D90" s="24">
        <f>IF($A90="","",IFERROR(VLOOKUP($A90,物料档案!$A$4:$P$1203,5,0),""))</f>
        <v/>
      </c>
      <c r="E90" s="24">
        <f>IF($A90="","",IFERROR(VLOOKUP($A90,物料档案!$A$4:$P$1203,2,0),""))</f>
        <v/>
      </c>
      <c r="F90" s="24">
        <f>IF($A90="","",IFERROR(VLOOKUP($A90,物料档案!$A$4:$P$1203,6,0),""))</f>
        <v/>
      </c>
      <c r="G90" s="23" t="n"/>
      <c r="H90" s="32" t="n"/>
      <c r="I90" s="27">
        <f>IF($A90="","",SUMIFS(入库单!$K$4:$K$2503,入库单!$G$4:$G$2503,$A90,入库单!$X$4:$X$2503,"采购入库",入库单!$Z$4:$Z$2503,"正常",入库单!$C$4:$C$2503,"&gt;="&amp;账期起,入库单!$C$4:$C$2503,"&lt;="&amp;账期止))</f>
        <v/>
      </c>
      <c r="J90" s="26">
        <f>IF($A90="","",SUMIFS(入库单!$V$4:$V$2503,入库单!$G$4:$G$2503,$A90,入库单!$X$4:$X$2503,"采购入库",入库单!$Z$4:$Z$2503,"正常",入库单!$C$4:$C$2503,"&gt;="&amp;账期起,入库单!$C$4:$C$2503,"&lt;="&amp;账期止))</f>
        <v/>
      </c>
      <c r="K90" s="26">
        <f>IF($A90="","",IFERROR(ROUND((N($H90)+N($J90))/(N($G90)+N($I90)),2),0))</f>
        <v/>
      </c>
      <c r="L90" s="27">
        <f>IF($A90="","",SUMIFS(入库单!$K$4:$K$2503,入库单!$G$4:$G$2503,$A90,入库单!$X$4:$X$2503,"盘盈",入库单!$Z$4:$Z$2503,"正常",入库单!$C$4:$C$2503,"&gt;="&amp;账期起,入库单!$C$4:$C$2503,"&lt;="&amp;账期止))</f>
        <v/>
      </c>
      <c r="M90" s="26">
        <f>IF($A90="","",ROUND($L90*$K90,0))</f>
        <v/>
      </c>
      <c r="N90" s="27">
        <f>IF($A90="","",SUMIFS(入库单!$K$4:$K$2503,入库单!$G$4:$G$2503,$A90,入库单!$X$4:$X$2503,"矿区退库",入库单!$Z$4:$Z$2503,"正常",入库单!$C$4:$C$2503,"&gt;="&amp;账期起,入库单!$C$4:$C$2503,"&lt;="&amp;账期止))</f>
        <v/>
      </c>
      <c r="O90" s="26">
        <f>IF($A90="","",ROUND($N90*$K90,0))</f>
        <v/>
      </c>
      <c r="P90" s="27">
        <f>IF($A90="","",SUMIFS(出库单!$J$4:$J$4003,出库单!$D$4:$D$4003,$A90,出库单!$K$4:$K$4003,"自用消耗",出库单!$U$4:$U$4003,"正常",出库单!$C$4:$C$4003,"&gt;="&amp;账期起,出库单!$C$4:$C$4003,"&lt;="&amp;账期止))</f>
        <v/>
      </c>
      <c r="Q90" s="26">
        <f>IF($A90="","",ROUND(SUMIFS(出库单!$S$4:$S$4003,出库单!$D$4:$D$4003,$A90,出库单!$K$4:$K$4003,"自用消耗",出库单!$U$4:$U$4003,"正常",出库单!$C$4:$C$4003,"&gt;="&amp;账期起,出库单!$C$4:$C$4003,"&lt;="&amp;账期止),0))</f>
        <v/>
      </c>
      <c r="R90" s="27">
        <f>IF($A90="","",SUMIFS(出库单!$J$4:$J$4003,出库单!$D$4:$D$4003,$A90,出库单!$K$4:$K$4003,"对外销售",出库单!$U$4:$U$4003,"正常",出库单!$C$4:$C$4003,"&gt;="&amp;账期起,出库单!$C$4:$C$4003,"&lt;="&amp;账期止))</f>
        <v/>
      </c>
      <c r="S90" s="26">
        <f>IF($A90="","",ROUND(SUMIFS(出库单!$S$4:$S$4003,出库单!$D$4:$D$4003,$A90,出库单!$K$4:$K$4003,"对外销售",出库单!$U$4:$U$4003,"正常",出库单!$C$4:$C$4003,"&gt;="&amp;账期起,出库单!$C$4:$C$4003,"&lt;="&amp;账期止),0))</f>
        <v/>
      </c>
      <c r="T90" s="27">
        <f>IF($A90="","",SUMIFS(出库单!$J$4:$J$4003,出库单!$D$4:$D$4003,$A90,出库单!$K$4:$K$4003,"盘亏",出库单!$U$4:$U$4003,"正常",出库单!$C$4:$C$4003,"&gt;="&amp;账期起,出库单!$C$4:$C$4003,"&lt;="&amp;账期止))</f>
        <v/>
      </c>
      <c r="U90" s="26">
        <f>IF($A90="","",ROUND(SUMIFS(出库单!$S$4:$S$4003,出库单!$D$4:$D$4003,$A90,出库单!$K$4:$K$4003,"盘亏",出库单!$U$4:$U$4003,"正常",出库单!$C$4:$C$4003,"&gt;="&amp;账期起,出库单!$C$4:$C$4003,"&lt;="&amp;账期止),0))</f>
        <v/>
      </c>
      <c r="V90" s="27">
        <f>IF($A90="","",SUMIFS(出库单!$J$4:$J$4003,出库单!$D$4:$D$4003,$A90,出库单!$K$4:$K$4003,"退货给供应商",出库单!$U$4:$U$4003,"正常",出库单!$C$4:$C$4003,"&gt;="&amp;账期起,出库单!$C$4:$C$4003,"&lt;="&amp;账期止))</f>
        <v/>
      </c>
      <c r="W90" s="26">
        <f>IF($A90="","",ROUND(SUMIFS(出库单!$S$4:$S$4003,出库单!$D$4:$D$4003,$A90,出库单!$K$4:$K$4003,"退货给供应商",出库单!$U$4:$U$4003,"正常",出库单!$C$4:$C$4003,"&gt;="&amp;账期起,出库单!$C$4:$C$4003,"&lt;="&amp;账期止),0))</f>
        <v/>
      </c>
      <c r="X90" s="27">
        <f>IF($A90="","",ROUND(N($G90)+$I90+$L90+$N90-$P90-$R90-$T90-$V90,3))</f>
        <v/>
      </c>
      <c r="Y90" s="26">
        <f>IF($A90="","",ROUND(N($H90)+$J90+$M90+$O90-$Q90-$S90-$U90-$W90,0))</f>
        <v/>
      </c>
      <c r="Z90" s="24">
        <f>IF($A90="","",IF(COUNTIFS(入库单!$G$4:$G$2503,$A90,入库单!$Y$4:$Y$2503,"待补价")+COUNTIFS(入库单!$G$4:$G$2503,$A90,入库单!$Y$4:$Y$2503,"暂估")&gt;0,"不可信","可信"))</f>
        <v/>
      </c>
      <c r="AA90" s="24">
        <f>IF($A90="","",IF($X90&lt;-0.001,"※账面负库存，查一下是不是漏记入库",IF(AND(ROUND($X90,3)=0,ABS($Y90)&gt;1),"※数量已经是 0，金额还挂着 "&amp;TEXT($Y90,"#,##0")&amp;" 先令",IF(AND($X90&gt;0,$Y90&lt;=0,$K90=0),"※有数量没金额（这个物料一直没填过进价）",IF($Z90="不可信","△成本含待补价/暂估，毛利仅供参考","")))))</f>
        <v/>
      </c>
    </row>
    <row r="91">
      <c r="A91" s="24">
        <f>IF(物料档案!$A90="","",物料档案!$A90)</f>
        <v/>
      </c>
      <c r="B91" s="24">
        <f>IF($A91="","",IFERROR(VLOOKUP($A91,物料档案!$A$4:$P$1203,3,0),""))</f>
        <v/>
      </c>
      <c r="C91" s="24">
        <f>IF($A91="","",IFERROR(VLOOKUP($A91,物料档案!$A$4:$P$1203,4,0),""))</f>
        <v/>
      </c>
      <c r="D91" s="24">
        <f>IF($A91="","",IFERROR(VLOOKUP($A91,物料档案!$A$4:$P$1203,5,0),""))</f>
        <v/>
      </c>
      <c r="E91" s="24">
        <f>IF($A91="","",IFERROR(VLOOKUP($A91,物料档案!$A$4:$P$1203,2,0),""))</f>
        <v/>
      </c>
      <c r="F91" s="24">
        <f>IF($A91="","",IFERROR(VLOOKUP($A91,物料档案!$A$4:$P$1203,6,0),""))</f>
        <v/>
      </c>
      <c r="G91" s="23" t="n"/>
      <c r="H91" s="32" t="n"/>
      <c r="I91" s="27">
        <f>IF($A91="","",SUMIFS(入库单!$K$4:$K$2503,入库单!$G$4:$G$2503,$A91,入库单!$X$4:$X$2503,"采购入库",入库单!$Z$4:$Z$2503,"正常",入库单!$C$4:$C$2503,"&gt;="&amp;账期起,入库单!$C$4:$C$2503,"&lt;="&amp;账期止))</f>
        <v/>
      </c>
      <c r="J91" s="26">
        <f>IF($A91="","",SUMIFS(入库单!$V$4:$V$2503,入库单!$G$4:$G$2503,$A91,入库单!$X$4:$X$2503,"采购入库",入库单!$Z$4:$Z$2503,"正常",入库单!$C$4:$C$2503,"&gt;="&amp;账期起,入库单!$C$4:$C$2503,"&lt;="&amp;账期止))</f>
        <v/>
      </c>
      <c r="K91" s="26">
        <f>IF($A91="","",IFERROR(ROUND((N($H91)+N($J91))/(N($G91)+N($I91)),2),0))</f>
        <v/>
      </c>
      <c r="L91" s="27">
        <f>IF($A91="","",SUMIFS(入库单!$K$4:$K$2503,入库单!$G$4:$G$2503,$A91,入库单!$X$4:$X$2503,"盘盈",入库单!$Z$4:$Z$2503,"正常",入库单!$C$4:$C$2503,"&gt;="&amp;账期起,入库单!$C$4:$C$2503,"&lt;="&amp;账期止))</f>
        <v/>
      </c>
      <c r="M91" s="26">
        <f>IF($A91="","",ROUND($L91*$K91,0))</f>
        <v/>
      </c>
      <c r="N91" s="27">
        <f>IF($A91="","",SUMIFS(入库单!$K$4:$K$2503,入库单!$G$4:$G$2503,$A91,入库单!$X$4:$X$2503,"矿区退库",入库单!$Z$4:$Z$2503,"正常",入库单!$C$4:$C$2503,"&gt;="&amp;账期起,入库单!$C$4:$C$2503,"&lt;="&amp;账期止))</f>
        <v/>
      </c>
      <c r="O91" s="26">
        <f>IF($A91="","",ROUND($N91*$K91,0))</f>
        <v/>
      </c>
      <c r="P91" s="27">
        <f>IF($A91="","",SUMIFS(出库单!$J$4:$J$4003,出库单!$D$4:$D$4003,$A91,出库单!$K$4:$K$4003,"自用消耗",出库单!$U$4:$U$4003,"正常",出库单!$C$4:$C$4003,"&gt;="&amp;账期起,出库单!$C$4:$C$4003,"&lt;="&amp;账期止))</f>
        <v/>
      </c>
      <c r="Q91" s="26">
        <f>IF($A91="","",ROUND(SUMIFS(出库单!$S$4:$S$4003,出库单!$D$4:$D$4003,$A91,出库单!$K$4:$K$4003,"自用消耗",出库单!$U$4:$U$4003,"正常",出库单!$C$4:$C$4003,"&gt;="&amp;账期起,出库单!$C$4:$C$4003,"&lt;="&amp;账期止),0))</f>
        <v/>
      </c>
      <c r="R91" s="27">
        <f>IF($A91="","",SUMIFS(出库单!$J$4:$J$4003,出库单!$D$4:$D$4003,$A91,出库单!$K$4:$K$4003,"对外销售",出库单!$U$4:$U$4003,"正常",出库单!$C$4:$C$4003,"&gt;="&amp;账期起,出库单!$C$4:$C$4003,"&lt;="&amp;账期止))</f>
        <v/>
      </c>
      <c r="S91" s="26">
        <f>IF($A91="","",ROUND(SUMIFS(出库单!$S$4:$S$4003,出库单!$D$4:$D$4003,$A91,出库单!$K$4:$K$4003,"对外销售",出库单!$U$4:$U$4003,"正常",出库单!$C$4:$C$4003,"&gt;="&amp;账期起,出库单!$C$4:$C$4003,"&lt;="&amp;账期止),0))</f>
        <v/>
      </c>
      <c r="T91" s="27">
        <f>IF($A91="","",SUMIFS(出库单!$J$4:$J$4003,出库单!$D$4:$D$4003,$A91,出库单!$K$4:$K$4003,"盘亏",出库单!$U$4:$U$4003,"正常",出库单!$C$4:$C$4003,"&gt;="&amp;账期起,出库单!$C$4:$C$4003,"&lt;="&amp;账期止))</f>
        <v/>
      </c>
      <c r="U91" s="26">
        <f>IF($A91="","",ROUND(SUMIFS(出库单!$S$4:$S$4003,出库单!$D$4:$D$4003,$A91,出库单!$K$4:$K$4003,"盘亏",出库单!$U$4:$U$4003,"正常",出库单!$C$4:$C$4003,"&gt;="&amp;账期起,出库单!$C$4:$C$4003,"&lt;="&amp;账期止),0))</f>
        <v/>
      </c>
      <c r="V91" s="27">
        <f>IF($A91="","",SUMIFS(出库单!$J$4:$J$4003,出库单!$D$4:$D$4003,$A91,出库单!$K$4:$K$4003,"退货给供应商",出库单!$U$4:$U$4003,"正常",出库单!$C$4:$C$4003,"&gt;="&amp;账期起,出库单!$C$4:$C$4003,"&lt;="&amp;账期止))</f>
        <v/>
      </c>
      <c r="W91" s="26">
        <f>IF($A91="","",ROUND(SUMIFS(出库单!$S$4:$S$4003,出库单!$D$4:$D$4003,$A91,出库单!$K$4:$K$4003,"退货给供应商",出库单!$U$4:$U$4003,"正常",出库单!$C$4:$C$4003,"&gt;="&amp;账期起,出库单!$C$4:$C$4003,"&lt;="&amp;账期止),0))</f>
        <v/>
      </c>
      <c r="X91" s="27">
        <f>IF($A91="","",ROUND(N($G91)+$I91+$L91+$N91-$P91-$R91-$T91-$V91,3))</f>
        <v/>
      </c>
      <c r="Y91" s="26">
        <f>IF($A91="","",ROUND(N($H91)+$J91+$M91+$O91-$Q91-$S91-$U91-$W91,0))</f>
        <v/>
      </c>
      <c r="Z91" s="24">
        <f>IF($A91="","",IF(COUNTIFS(入库单!$G$4:$G$2503,$A91,入库单!$Y$4:$Y$2503,"待补价")+COUNTIFS(入库单!$G$4:$G$2503,$A91,入库单!$Y$4:$Y$2503,"暂估")&gt;0,"不可信","可信"))</f>
        <v/>
      </c>
      <c r="AA91" s="24">
        <f>IF($A91="","",IF($X91&lt;-0.001,"※账面负库存，查一下是不是漏记入库",IF(AND(ROUND($X91,3)=0,ABS($Y91)&gt;1),"※数量已经是 0，金额还挂着 "&amp;TEXT($Y91,"#,##0")&amp;" 先令",IF(AND($X91&gt;0,$Y91&lt;=0,$K91=0),"※有数量没金额（这个物料一直没填过进价）",IF($Z91="不可信","△成本含待补价/暂估，毛利仅供参考","")))))</f>
        <v/>
      </c>
    </row>
    <row r="92">
      <c r="A92" s="24">
        <f>IF(物料档案!$A91="","",物料档案!$A91)</f>
        <v/>
      </c>
      <c r="B92" s="24">
        <f>IF($A92="","",IFERROR(VLOOKUP($A92,物料档案!$A$4:$P$1203,3,0),""))</f>
        <v/>
      </c>
      <c r="C92" s="24">
        <f>IF($A92="","",IFERROR(VLOOKUP($A92,物料档案!$A$4:$P$1203,4,0),""))</f>
        <v/>
      </c>
      <c r="D92" s="24">
        <f>IF($A92="","",IFERROR(VLOOKUP($A92,物料档案!$A$4:$P$1203,5,0),""))</f>
        <v/>
      </c>
      <c r="E92" s="24">
        <f>IF($A92="","",IFERROR(VLOOKUP($A92,物料档案!$A$4:$P$1203,2,0),""))</f>
        <v/>
      </c>
      <c r="F92" s="24">
        <f>IF($A92="","",IFERROR(VLOOKUP($A92,物料档案!$A$4:$P$1203,6,0),""))</f>
        <v/>
      </c>
      <c r="G92" s="23" t="n"/>
      <c r="H92" s="32" t="n"/>
      <c r="I92" s="27">
        <f>IF($A92="","",SUMIFS(入库单!$K$4:$K$2503,入库单!$G$4:$G$2503,$A92,入库单!$X$4:$X$2503,"采购入库",入库单!$Z$4:$Z$2503,"正常",入库单!$C$4:$C$2503,"&gt;="&amp;账期起,入库单!$C$4:$C$2503,"&lt;="&amp;账期止))</f>
        <v/>
      </c>
      <c r="J92" s="26">
        <f>IF($A92="","",SUMIFS(入库单!$V$4:$V$2503,入库单!$G$4:$G$2503,$A92,入库单!$X$4:$X$2503,"采购入库",入库单!$Z$4:$Z$2503,"正常",入库单!$C$4:$C$2503,"&gt;="&amp;账期起,入库单!$C$4:$C$2503,"&lt;="&amp;账期止))</f>
        <v/>
      </c>
      <c r="K92" s="26">
        <f>IF($A92="","",IFERROR(ROUND((N($H92)+N($J92))/(N($G92)+N($I92)),2),0))</f>
        <v/>
      </c>
      <c r="L92" s="27">
        <f>IF($A92="","",SUMIFS(入库单!$K$4:$K$2503,入库单!$G$4:$G$2503,$A92,入库单!$X$4:$X$2503,"盘盈",入库单!$Z$4:$Z$2503,"正常",入库单!$C$4:$C$2503,"&gt;="&amp;账期起,入库单!$C$4:$C$2503,"&lt;="&amp;账期止))</f>
        <v/>
      </c>
      <c r="M92" s="26">
        <f>IF($A92="","",ROUND($L92*$K92,0))</f>
        <v/>
      </c>
      <c r="N92" s="27">
        <f>IF($A92="","",SUMIFS(入库单!$K$4:$K$2503,入库单!$G$4:$G$2503,$A92,入库单!$X$4:$X$2503,"矿区退库",入库单!$Z$4:$Z$2503,"正常",入库单!$C$4:$C$2503,"&gt;="&amp;账期起,入库单!$C$4:$C$2503,"&lt;="&amp;账期止))</f>
        <v/>
      </c>
      <c r="O92" s="26">
        <f>IF($A92="","",ROUND($N92*$K92,0))</f>
        <v/>
      </c>
      <c r="P92" s="27">
        <f>IF($A92="","",SUMIFS(出库单!$J$4:$J$4003,出库单!$D$4:$D$4003,$A92,出库单!$K$4:$K$4003,"自用消耗",出库单!$U$4:$U$4003,"正常",出库单!$C$4:$C$4003,"&gt;="&amp;账期起,出库单!$C$4:$C$4003,"&lt;="&amp;账期止))</f>
        <v/>
      </c>
      <c r="Q92" s="26">
        <f>IF($A92="","",ROUND(SUMIFS(出库单!$S$4:$S$4003,出库单!$D$4:$D$4003,$A92,出库单!$K$4:$K$4003,"自用消耗",出库单!$U$4:$U$4003,"正常",出库单!$C$4:$C$4003,"&gt;="&amp;账期起,出库单!$C$4:$C$4003,"&lt;="&amp;账期止),0))</f>
        <v/>
      </c>
      <c r="R92" s="27">
        <f>IF($A92="","",SUMIFS(出库单!$J$4:$J$4003,出库单!$D$4:$D$4003,$A92,出库单!$K$4:$K$4003,"对外销售",出库单!$U$4:$U$4003,"正常",出库单!$C$4:$C$4003,"&gt;="&amp;账期起,出库单!$C$4:$C$4003,"&lt;="&amp;账期止))</f>
        <v/>
      </c>
      <c r="S92" s="26">
        <f>IF($A92="","",ROUND(SUMIFS(出库单!$S$4:$S$4003,出库单!$D$4:$D$4003,$A92,出库单!$K$4:$K$4003,"对外销售",出库单!$U$4:$U$4003,"正常",出库单!$C$4:$C$4003,"&gt;="&amp;账期起,出库单!$C$4:$C$4003,"&lt;="&amp;账期止),0))</f>
        <v/>
      </c>
      <c r="T92" s="27">
        <f>IF($A92="","",SUMIFS(出库单!$J$4:$J$4003,出库单!$D$4:$D$4003,$A92,出库单!$K$4:$K$4003,"盘亏",出库单!$U$4:$U$4003,"正常",出库单!$C$4:$C$4003,"&gt;="&amp;账期起,出库单!$C$4:$C$4003,"&lt;="&amp;账期止))</f>
        <v/>
      </c>
      <c r="U92" s="26">
        <f>IF($A92="","",ROUND(SUMIFS(出库单!$S$4:$S$4003,出库单!$D$4:$D$4003,$A92,出库单!$K$4:$K$4003,"盘亏",出库单!$U$4:$U$4003,"正常",出库单!$C$4:$C$4003,"&gt;="&amp;账期起,出库单!$C$4:$C$4003,"&lt;="&amp;账期止),0))</f>
        <v/>
      </c>
      <c r="V92" s="27">
        <f>IF($A92="","",SUMIFS(出库单!$J$4:$J$4003,出库单!$D$4:$D$4003,$A92,出库单!$K$4:$K$4003,"退货给供应商",出库单!$U$4:$U$4003,"正常",出库单!$C$4:$C$4003,"&gt;="&amp;账期起,出库单!$C$4:$C$4003,"&lt;="&amp;账期止))</f>
        <v/>
      </c>
      <c r="W92" s="26">
        <f>IF($A92="","",ROUND(SUMIFS(出库单!$S$4:$S$4003,出库单!$D$4:$D$4003,$A92,出库单!$K$4:$K$4003,"退货给供应商",出库单!$U$4:$U$4003,"正常",出库单!$C$4:$C$4003,"&gt;="&amp;账期起,出库单!$C$4:$C$4003,"&lt;="&amp;账期止),0))</f>
        <v/>
      </c>
      <c r="X92" s="27">
        <f>IF($A92="","",ROUND(N($G92)+$I92+$L92+$N92-$P92-$R92-$T92-$V92,3))</f>
        <v/>
      </c>
      <c r="Y92" s="26">
        <f>IF($A92="","",ROUND(N($H92)+$J92+$M92+$O92-$Q92-$S92-$U92-$W92,0))</f>
        <v/>
      </c>
      <c r="Z92" s="24">
        <f>IF($A92="","",IF(COUNTIFS(入库单!$G$4:$G$2503,$A92,入库单!$Y$4:$Y$2503,"待补价")+COUNTIFS(入库单!$G$4:$G$2503,$A92,入库单!$Y$4:$Y$2503,"暂估")&gt;0,"不可信","可信"))</f>
        <v/>
      </c>
      <c r="AA92" s="24">
        <f>IF($A92="","",IF($X92&lt;-0.001,"※账面负库存，查一下是不是漏记入库",IF(AND(ROUND($X92,3)=0,ABS($Y92)&gt;1),"※数量已经是 0，金额还挂着 "&amp;TEXT($Y92,"#,##0")&amp;" 先令",IF(AND($X92&gt;0,$Y92&lt;=0,$K92=0),"※有数量没金额（这个物料一直没填过进价）",IF($Z92="不可信","△成本含待补价/暂估，毛利仅供参考","")))))</f>
        <v/>
      </c>
    </row>
    <row r="93">
      <c r="A93" s="24">
        <f>IF(物料档案!$A92="","",物料档案!$A92)</f>
        <v/>
      </c>
      <c r="B93" s="24">
        <f>IF($A93="","",IFERROR(VLOOKUP($A93,物料档案!$A$4:$P$1203,3,0),""))</f>
        <v/>
      </c>
      <c r="C93" s="24">
        <f>IF($A93="","",IFERROR(VLOOKUP($A93,物料档案!$A$4:$P$1203,4,0),""))</f>
        <v/>
      </c>
      <c r="D93" s="24">
        <f>IF($A93="","",IFERROR(VLOOKUP($A93,物料档案!$A$4:$P$1203,5,0),""))</f>
        <v/>
      </c>
      <c r="E93" s="24">
        <f>IF($A93="","",IFERROR(VLOOKUP($A93,物料档案!$A$4:$P$1203,2,0),""))</f>
        <v/>
      </c>
      <c r="F93" s="24">
        <f>IF($A93="","",IFERROR(VLOOKUP($A93,物料档案!$A$4:$P$1203,6,0),""))</f>
        <v/>
      </c>
      <c r="G93" s="23" t="n"/>
      <c r="H93" s="32" t="n"/>
      <c r="I93" s="27">
        <f>IF($A93="","",SUMIFS(入库单!$K$4:$K$2503,入库单!$G$4:$G$2503,$A93,入库单!$X$4:$X$2503,"采购入库",入库单!$Z$4:$Z$2503,"正常",入库单!$C$4:$C$2503,"&gt;="&amp;账期起,入库单!$C$4:$C$2503,"&lt;="&amp;账期止))</f>
        <v/>
      </c>
      <c r="J93" s="26">
        <f>IF($A93="","",SUMIFS(入库单!$V$4:$V$2503,入库单!$G$4:$G$2503,$A93,入库单!$X$4:$X$2503,"采购入库",入库单!$Z$4:$Z$2503,"正常",入库单!$C$4:$C$2503,"&gt;="&amp;账期起,入库单!$C$4:$C$2503,"&lt;="&amp;账期止))</f>
        <v/>
      </c>
      <c r="K93" s="26">
        <f>IF($A93="","",IFERROR(ROUND((N($H93)+N($J93))/(N($G93)+N($I93)),2),0))</f>
        <v/>
      </c>
      <c r="L93" s="27">
        <f>IF($A93="","",SUMIFS(入库单!$K$4:$K$2503,入库单!$G$4:$G$2503,$A93,入库单!$X$4:$X$2503,"盘盈",入库单!$Z$4:$Z$2503,"正常",入库单!$C$4:$C$2503,"&gt;="&amp;账期起,入库单!$C$4:$C$2503,"&lt;="&amp;账期止))</f>
        <v/>
      </c>
      <c r="M93" s="26">
        <f>IF($A93="","",ROUND($L93*$K93,0))</f>
        <v/>
      </c>
      <c r="N93" s="27">
        <f>IF($A93="","",SUMIFS(入库单!$K$4:$K$2503,入库单!$G$4:$G$2503,$A93,入库单!$X$4:$X$2503,"矿区退库",入库单!$Z$4:$Z$2503,"正常",入库单!$C$4:$C$2503,"&gt;="&amp;账期起,入库单!$C$4:$C$2503,"&lt;="&amp;账期止))</f>
        <v/>
      </c>
      <c r="O93" s="26">
        <f>IF($A93="","",ROUND($N93*$K93,0))</f>
        <v/>
      </c>
      <c r="P93" s="27">
        <f>IF($A93="","",SUMIFS(出库单!$J$4:$J$4003,出库单!$D$4:$D$4003,$A93,出库单!$K$4:$K$4003,"自用消耗",出库单!$U$4:$U$4003,"正常",出库单!$C$4:$C$4003,"&gt;="&amp;账期起,出库单!$C$4:$C$4003,"&lt;="&amp;账期止))</f>
        <v/>
      </c>
      <c r="Q93" s="26">
        <f>IF($A93="","",ROUND(SUMIFS(出库单!$S$4:$S$4003,出库单!$D$4:$D$4003,$A93,出库单!$K$4:$K$4003,"自用消耗",出库单!$U$4:$U$4003,"正常",出库单!$C$4:$C$4003,"&gt;="&amp;账期起,出库单!$C$4:$C$4003,"&lt;="&amp;账期止),0))</f>
        <v/>
      </c>
      <c r="R93" s="27">
        <f>IF($A93="","",SUMIFS(出库单!$J$4:$J$4003,出库单!$D$4:$D$4003,$A93,出库单!$K$4:$K$4003,"对外销售",出库单!$U$4:$U$4003,"正常",出库单!$C$4:$C$4003,"&gt;="&amp;账期起,出库单!$C$4:$C$4003,"&lt;="&amp;账期止))</f>
        <v/>
      </c>
      <c r="S93" s="26">
        <f>IF($A93="","",ROUND(SUMIFS(出库单!$S$4:$S$4003,出库单!$D$4:$D$4003,$A93,出库单!$K$4:$K$4003,"对外销售",出库单!$U$4:$U$4003,"正常",出库单!$C$4:$C$4003,"&gt;="&amp;账期起,出库单!$C$4:$C$4003,"&lt;="&amp;账期止),0))</f>
        <v/>
      </c>
      <c r="T93" s="27">
        <f>IF($A93="","",SUMIFS(出库单!$J$4:$J$4003,出库单!$D$4:$D$4003,$A93,出库单!$K$4:$K$4003,"盘亏",出库单!$U$4:$U$4003,"正常",出库单!$C$4:$C$4003,"&gt;="&amp;账期起,出库单!$C$4:$C$4003,"&lt;="&amp;账期止))</f>
        <v/>
      </c>
      <c r="U93" s="26">
        <f>IF($A93="","",ROUND(SUMIFS(出库单!$S$4:$S$4003,出库单!$D$4:$D$4003,$A93,出库单!$K$4:$K$4003,"盘亏",出库单!$U$4:$U$4003,"正常",出库单!$C$4:$C$4003,"&gt;="&amp;账期起,出库单!$C$4:$C$4003,"&lt;="&amp;账期止),0))</f>
        <v/>
      </c>
      <c r="V93" s="27">
        <f>IF($A93="","",SUMIFS(出库单!$J$4:$J$4003,出库单!$D$4:$D$4003,$A93,出库单!$K$4:$K$4003,"退货给供应商",出库单!$U$4:$U$4003,"正常",出库单!$C$4:$C$4003,"&gt;="&amp;账期起,出库单!$C$4:$C$4003,"&lt;="&amp;账期止))</f>
        <v/>
      </c>
      <c r="W93" s="26">
        <f>IF($A93="","",ROUND(SUMIFS(出库单!$S$4:$S$4003,出库单!$D$4:$D$4003,$A93,出库单!$K$4:$K$4003,"退货给供应商",出库单!$U$4:$U$4003,"正常",出库单!$C$4:$C$4003,"&gt;="&amp;账期起,出库单!$C$4:$C$4003,"&lt;="&amp;账期止),0))</f>
        <v/>
      </c>
      <c r="X93" s="27">
        <f>IF($A93="","",ROUND(N($G93)+$I93+$L93+$N93-$P93-$R93-$T93-$V93,3))</f>
        <v/>
      </c>
      <c r="Y93" s="26">
        <f>IF($A93="","",ROUND(N($H93)+$J93+$M93+$O93-$Q93-$S93-$U93-$W93,0))</f>
        <v/>
      </c>
      <c r="Z93" s="24">
        <f>IF($A93="","",IF(COUNTIFS(入库单!$G$4:$G$2503,$A93,入库单!$Y$4:$Y$2503,"待补价")+COUNTIFS(入库单!$G$4:$G$2503,$A93,入库单!$Y$4:$Y$2503,"暂估")&gt;0,"不可信","可信"))</f>
        <v/>
      </c>
      <c r="AA93" s="24">
        <f>IF($A93="","",IF($X93&lt;-0.001,"※账面负库存，查一下是不是漏记入库",IF(AND(ROUND($X93,3)=0,ABS($Y93)&gt;1),"※数量已经是 0，金额还挂着 "&amp;TEXT($Y93,"#,##0")&amp;" 先令",IF(AND($X93&gt;0,$Y93&lt;=0,$K93=0),"※有数量没金额（这个物料一直没填过进价）",IF($Z93="不可信","△成本含待补价/暂估，毛利仅供参考","")))))</f>
        <v/>
      </c>
    </row>
    <row r="94">
      <c r="A94" s="24">
        <f>IF(物料档案!$A93="","",物料档案!$A93)</f>
        <v/>
      </c>
      <c r="B94" s="24">
        <f>IF($A94="","",IFERROR(VLOOKUP($A94,物料档案!$A$4:$P$1203,3,0),""))</f>
        <v/>
      </c>
      <c r="C94" s="24">
        <f>IF($A94="","",IFERROR(VLOOKUP($A94,物料档案!$A$4:$P$1203,4,0),""))</f>
        <v/>
      </c>
      <c r="D94" s="24">
        <f>IF($A94="","",IFERROR(VLOOKUP($A94,物料档案!$A$4:$P$1203,5,0),""))</f>
        <v/>
      </c>
      <c r="E94" s="24">
        <f>IF($A94="","",IFERROR(VLOOKUP($A94,物料档案!$A$4:$P$1203,2,0),""))</f>
        <v/>
      </c>
      <c r="F94" s="24">
        <f>IF($A94="","",IFERROR(VLOOKUP($A94,物料档案!$A$4:$P$1203,6,0),""))</f>
        <v/>
      </c>
      <c r="G94" s="23" t="n"/>
      <c r="H94" s="32" t="n"/>
      <c r="I94" s="27">
        <f>IF($A94="","",SUMIFS(入库单!$K$4:$K$2503,入库单!$G$4:$G$2503,$A94,入库单!$X$4:$X$2503,"采购入库",入库单!$Z$4:$Z$2503,"正常",入库单!$C$4:$C$2503,"&gt;="&amp;账期起,入库单!$C$4:$C$2503,"&lt;="&amp;账期止))</f>
        <v/>
      </c>
      <c r="J94" s="26">
        <f>IF($A94="","",SUMIFS(入库单!$V$4:$V$2503,入库单!$G$4:$G$2503,$A94,入库单!$X$4:$X$2503,"采购入库",入库单!$Z$4:$Z$2503,"正常",入库单!$C$4:$C$2503,"&gt;="&amp;账期起,入库单!$C$4:$C$2503,"&lt;="&amp;账期止))</f>
        <v/>
      </c>
      <c r="K94" s="26">
        <f>IF($A94="","",IFERROR(ROUND((N($H94)+N($J94))/(N($G94)+N($I94)),2),0))</f>
        <v/>
      </c>
      <c r="L94" s="27">
        <f>IF($A94="","",SUMIFS(入库单!$K$4:$K$2503,入库单!$G$4:$G$2503,$A94,入库单!$X$4:$X$2503,"盘盈",入库单!$Z$4:$Z$2503,"正常",入库单!$C$4:$C$2503,"&gt;="&amp;账期起,入库单!$C$4:$C$2503,"&lt;="&amp;账期止))</f>
        <v/>
      </c>
      <c r="M94" s="26">
        <f>IF($A94="","",ROUND($L94*$K94,0))</f>
        <v/>
      </c>
      <c r="N94" s="27">
        <f>IF($A94="","",SUMIFS(入库单!$K$4:$K$2503,入库单!$G$4:$G$2503,$A94,入库单!$X$4:$X$2503,"矿区退库",入库单!$Z$4:$Z$2503,"正常",入库单!$C$4:$C$2503,"&gt;="&amp;账期起,入库单!$C$4:$C$2503,"&lt;="&amp;账期止))</f>
        <v/>
      </c>
      <c r="O94" s="26">
        <f>IF($A94="","",ROUND($N94*$K94,0))</f>
        <v/>
      </c>
      <c r="P94" s="27">
        <f>IF($A94="","",SUMIFS(出库单!$J$4:$J$4003,出库单!$D$4:$D$4003,$A94,出库单!$K$4:$K$4003,"自用消耗",出库单!$U$4:$U$4003,"正常",出库单!$C$4:$C$4003,"&gt;="&amp;账期起,出库单!$C$4:$C$4003,"&lt;="&amp;账期止))</f>
        <v/>
      </c>
      <c r="Q94" s="26">
        <f>IF($A94="","",ROUND(SUMIFS(出库单!$S$4:$S$4003,出库单!$D$4:$D$4003,$A94,出库单!$K$4:$K$4003,"自用消耗",出库单!$U$4:$U$4003,"正常",出库单!$C$4:$C$4003,"&gt;="&amp;账期起,出库单!$C$4:$C$4003,"&lt;="&amp;账期止),0))</f>
        <v/>
      </c>
      <c r="R94" s="27">
        <f>IF($A94="","",SUMIFS(出库单!$J$4:$J$4003,出库单!$D$4:$D$4003,$A94,出库单!$K$4:$K$4003,"对外销售",出库单!$U$4:$U$4003,"正常",出库单!$C$4:$C$4003,"&gt;="&amp;账期起,出库单!$C$4:$C$4003,"&lt;="&amp;账期止))</f>
        <v/>
      </c>
      <c r="S94" s="26">
        <f>IF($A94="","",ROUND(SUMIFS(出库单!$S$4:$S$4003,出库单!$D$4:$D$4003,$A94,出库单!$K$4:$K$4003,"对外销售",出库单!$U$4:$U$4003,"正常",出库单!$C$4:$C$4003,"&gt;="&amp;账期起,出库单!$C$4:$C$4003,"&lt;="&amp;账期止),0))</f>
        <v/>
      </c>
      <c r="T94" s="27">
        <f>IF($A94="","",SUMIFS(出库单!$J$4:$J$4003,出库单!$D$4:$D$4003,$A94,出库单!$K$4:$K$4003,"盘亏",出库单!$U$4:$U$4003,"正常",出库单!$C$4:$C$4003,"&gt;="&amp;账期起,出库单!$C$4:$C$4003,"&lt;="&amp;账期止))</f>
        <v/>
      </c>
      <c r="U94" s="26">
        <f>IF($A94="","",ROUND(SUMIFS(出库单!$S$4:$S$4003,出库单!$D$4:$D$4003,$A94,出库单!$K$4:$K$4003,"盘亏",出库单!$U$4:$U$4003,"正常",出库单!$C$4:$C$4003,"&gt;="&amp;账期起,出库单!$C$4:$C$4003,"&lt;="&amp;账期止),0))</f>
        <v/>
      </c>
      <c r="V94" s="27">
        <f>IF($A94="","",SUMIFS(出库单!$J$4:$J$4003,出库单!$D$4:$D$4003,$A94,出库单!$K$4:$K$4003,"退货给供应商",出库单!$U$4:$U$4003,"正常",出库单!$C$4:$C$4003,"&gt;="&amp;账期起,出库单!$C$4:$C$4003,"&lt;="&amp;账期止))</f>
        <v/>
      </c>
      <c r="W94" s="26">
        <f>IF($A94="","",ROUND(SUMIFS(出库单!$S$4:$S$4003,出库单!$D$4:$D$4003,$A94,出库单!$K$4:$K$4003,"退货给供应商",出库单!$U$4:$U$4003,"正常",出库单!$C$4:$C$4003,"&gt;="&amp;账期起,出库单!$C$4:$C$4003,"&lt;="&amp;账期止),0))</f>
        <v/>
      </c>
      <c r="X94" s="27">
        <f>IF($A94="","",ROUND(N($G94)+$I94+$L94+$N94-$P94-$R94-$T94-$V94,3))</f>
        <v/>
      </c>
      <c r="Y94" s="26">
        <f>IF($A94="","",ROUND(N($H94)+$J94+$M94+$O94-$Q94-$S94-$U94-$W94,0))</f>
        <v/>
      </c>
      <c r="Z94" s="24">
        <f>IF($A94="","",IF(COUNTIFS(入库单!$G$4:$G$2503,$A94,入库单!$Y$4:$Y$2503,"待补价")+COUNTIFS(入库单!$G$4:$G$2503,$A94,入库单!$Y$4:$Y$2503,"暂估")&gt;0,"不可信","可信"))</f>
        <v/>
      </c>
      <c r="AA94" s="24">
        <f>IF($A94="","",IF($X94&lt;-0.001,"※账面负库存，查一下是不是漏记入库",IF(AND(ROUND($X94,3)=0,ABS($Y94)&gt;1),"※数量已经是 0，金额还挂着 "&amp;TEXT($Y94,"#,##0")&amp;" 先令",IF(AND($X94&gt;0,$Y94&lt;=0,$K94=0),"※有数量没金额（这个物料一直没填过进价）",IF($Z94="不可信","△成本含待补价/暂估，毛利仅供参考","")))))</f>
        <v/>
      </c>
    </row>
    <row r="95">
      <c r="A95" s="24">
        <f>IF(物料档案!$A94="","",物料档案!$A94)</f>
        <v/>
      </c>
      <c r="B95" s="24">
        <f>IF($A95="","",IFERROR(VLOOKUP($A95,物料档案!$A$4:$P$1203,3,0),""))</f>
        <v/>
      </c>
      <c r="C95" s="24">
        <f>IF($A95="","",IFERROR(VLOOKUP($A95,物料档案!$A$4:$P$1203,4,0),""))</f>
        <v/>
      </c>
      <c r="D95" s="24">
        <f>IF($A95="","",IFERROR(VLOOKUP($A95,物料档案!$A$4:$P$1203,5,0),""))</f>
        <v/>
      </c>
      <c r="E95" s="24">
        <f>IF($A95="","",IFERROR(VLOOKUP($A95,物料档案!$A$4:$P$1203,2,0),""))</f>
        <v/>
      </c>
      <c r="F95" s="24">
        <f>IF($A95="","",IFERROR(VLOOKUP($A95,物料档案!$A$4:$P$1203,6,0),""))</f>
        <v/>
      </c>
      <c r="G95" s="23" t="n"/>
      <c r="H95" s="32" t="n"/>
      <c r="I95" s="27">
        <f>IF($A95="","",SUMIFS(入库单!$K$4:$K$2503,入库单!$G$4:$G$2503,$A95,入库单!$X$4:$X$2503,"采购入库",入库单!$Z$4:$Z$2503,"正常",入库单!$C$4:$C$2503,"&gt;="&amp;账期起,入库单!$C$4:$C$2503,"&lt;="&amp;账期止))</f>
        <v/>
      </c>
      <c r="J95" s="26">
        <f>IF($A95="","",SUMIFS(入库单!$V$4:$V$2503,入库单!$G$4:$G$2503,$A95,入库单!$X$4:$X$2503,"采购入库",入库单!$Z$4:$Z$2503,"正常",入库单!$C$4:$C$2503,"&gt;="&amp;账期起,入库单!$C$4:$C$2503,"&lt;="&amp;账期止))</f>
        <v/>
      </c>
      <c r="K95" s="26">
        <f>IF($A95="","",IFERROR(ROUND((N($H95)+N($J95))/(N($G95)+N($I95)),2),0))</f>
        <v/>
      </c>
      <c r="L95" s="27">
        <f>IF($A95="","",SUMIFS(入库单!$K$4:$K$2503,入库单!$G$4:$G$2503,$A95,入库单!$X$4:$X$2503,"盘盈",入库单!$Z$4:$Z$2503,"正常",入库单!$C$4:$C$2503,"&gt;="&amp;账期起,入库单!$C$4:$C$2503,"&lt;="&amp;账期止))</f>
        <v/>
      </c>
      <c r="M95" s="26">
        <f>IF($A95="","",ROUND($L95*$K95,0))</f>
        <v/>
      </c>
      <c r="N95" s="27">
        <f>IF($A95="","",SUMIFS(入库单!$K$4:$K$2503,入库单!$G$4:$G$2503,$A95,入库单!$X$4:$X$2503,"矿区退库",入库单!$Z$4:$Z$2503,"正常",入库单!$C$4:$C$2503,"&gt;="&amp;账期起,入库单!$C$4:$C$2503,"&lt;="&amp;账期止))</f>
        <v/>
      </c>
      <c r="O95" s="26">
        <f>IF($A95="","",ROUND($N95*$K95,0))</f>
        <v/>
      </c>
      <c r="P95" s="27">
        <f>IF($A95="","",SUMIFS(出库单!$J$4:$J$4003,出库单!$D$4:$D$4003,$A95,出库单!$K$4:$K$4003,"自用消耗",出库单!$U$4:$U$4003,"正常",出库单!$C$4:$C$4003,"&gt;="&amp;账期起,出库单!$C$4:$C$4003,"&lt;="&amp;账期止))</f>
        <v/>
      </c>
      <c r="Q95" s="26">
        <f>IF($A95="","",ROUND(SUMIFS(出库单!$S$4:$S$4003,出库单!$D$4:$D$4003,$A95,出库单!$K$4:$K$4003,"自用消耗",出库单!$U$4:$U$4003,"正常",出库单!$C$4:$C$4003,"&gt;="&amp;账期起,出库单!$C$4:$C$4003,"&lt;="&amp;账期止),0))</f>
        <v/>
      </c>
      <c r="R95" s="27">
        <f>IF($A95="","",SUMIFS(出库单!$J$4:$J$4003,出库单!$D$4:$D$4003,$A95,出库单!$K$4:$K$4003,"对外销售",出库单!$U$4:$U$4003,"正常",出库单!$C$4:$C$4003,"&gt;="&amp;账期起,出库单!$C$4:$C$4003,"&lt;="&amp;账期止))</f>
        <v/>
      </c>
      <c r="S95" s="26">
        <f>IF($A95="","",ROUND(SUMIFS(出库单!$S$4:$S$4003,出库单!$D$4:$D$4003,$A95,出库单!$K$4:$K$4003,"对外销售",出库单!$U$4:$U$4003,"正常",出库单!$C$4:$C$4003,"&gt;="&amp;账期起,出库单!$C$4:$C$4003,"&lt;="&amp;账期止),0))</f>
        <v/>
      </c>
      <c r="T95" s="27">
        <f>IF($A95="","",SUMIFS(出库单!$J$4:$J$4003,出库单!$D$4:$D$4003,$A95,出库单!$K$4:$K$4003,"盘亏",出库单!$U$4:$U$4003,"正常",出库单!$C$4:$C$4003,"&gt;="&amp;账期起,出库单!$C$4:$C$4003,"&lt;="&amp;账期止))</f>
        <v/>
      </c>
      <c r="U95" s="26">
        <f>IF($A95="","",ROUND(SUMIFS(出库单!$S$4:$S$4003,出库单!$D$4:$D$4003,$A95,出库单!$K$4:$K$4003,"盘亏",出库单!$U$4:$U$4003,"正常",出库单!$C$4:$C$4003,"&gt;="&amp;账期起,出库单!$C$4:$C$4003,"&lt;="&amp;账期止),0))</f>
        <v/>
      </c>
      <c r="V95" s="27">
        <f>IF($A95="","",SUMIFS(出库单!$J$4:$J$4003,出库单!$D$4:$D$4003,$A95,出库单!$K$4:$K$4003,"退货给供应商",出库单!$U$4:$U$4003,"正常",出库单!$C$4:$C$4003,"&gt;="&amp;账期起,出库单!$C$4:$C$4003,"&lt;="&amp;账期止))</f>
        <v/>
      </c>
      <c r="W95" s="26">
        <f>IF($A95="","",ROUND(SUMIFS(出库单!$S$4:$S$4003,出库单!$D$4:$D$4003,$A95,出库单!$K$4:$K$4003,"退货给供应商",出库单!$U$4:$U$4003,"正常",出库单!$C$4:$C$4003,"&gt;="&amp;账期起,出库单!$C$4:$C$4003,"&lt;="&amp;账期止),0))</f>
        <v/>
      </c>
      <c r="X95" s="27">
        <f>IF($A95="","",ROUND(N($G95)+$I95+$L95+$N95-$P95-$R95-$T95-$V95,3))</f>
        <v/>
      </c>
      <c r="Y95" s="26">
        <f>IF($A95="","",ROUND(N($H95)+$J95+$M95+$O95-$Q95-$S95-$U95-$W95,0))</f>
        <v/>
      </c>
      <c r="Z95" s="24">
        <f>IF($A95="","",IF(COUNTIFS(入库单!$G$4:$G$2503,$A95,入库单!$Y$4:$Y$2503,"待补价")+COUNTIFS(入库单!$G$4:$G$2503,$A95,入库单!$Y$4:$Y$2503,"暂估")&gt;0,"不可信","可信"))</f>
        <v/>
      </c>
      <c r="AA95" s="24">
        <f>IF($A95="","",IF($X95&lt;-0.001,"※账面负库存，查一下是不是漏记入库",IF(AND(ROUND($X95,3)=0,ABS($Y95)&gt;1),"※数量已经是 0，金额还挂着 "&amp;TEXT($Y95,"#,##0")&amp;" 先令",IF(AND($X95&gt;0,$Y95&lt;=0,$K95=0),"※有数量没金额（这个物料一直没填过进价）",IF($Z95="不可信","△成本含待补价/暂估，毛利仅供参考","")))))</f>
        <v/>
      </c>
    </row>
    <row r="96">
      <c r="A96" s="24">
        <f>IF(物料档案!$A95="","",物料档案!$A95)</f>
        <v/>
      </c>
      <c r="B96" s="24">
        <f>IF($A96="","",IFERROR(VLOOKUP($A96,物料档案!$A$4:$P$1203,3,0),""))</f>
        <v/>
      </c>
      <c r="C96" s="24">
        <f>IF($A96="","",IFERROR(VLOOKUP($A96,物料档案!$A$4:$P$1203,4,0),""))</f>
        <v/>
      </c>
      <c r="D96" s="24">
        <f>IF($A96="","",IFERROR(VLOOKUP($A96,物料档案!$A$4:$P$1203,5,0),""))</f>
        <v/>
      </c>
      <c r="E96" s="24">
        <f>IF($A96="","",IFERROR(VLOOKUP($A96,物料档案!$A$4:$P$1203,2,0),""))</f>
        <v/>
      </c>
      <c r="F96" s="24">
        <f>IF($A96="","",IFERROR(VLOOKUP($A96,物料档案!$A$4:$P$1203,6,0),""))</f>
        <v/>
      </c>
      <c r="G96" s="23" t="n"/>
      <c r="H96" s="32" t="n"/>
      <c r="I96" s="27">
        <f>IF($A96="","",SUMIFS(入库单!$K$4:$K$2503,入库单!$G$4:$G$2503,$A96,入库单!$X$4:$X$2503,"采购入库",入库单!$Z$4:$Z$2503,"正常",入库单!$C$4:$C$2503,"&gt;="&amp;账期起,入库单!$C$4:$C$2503,"&lt;="&amp;账期止))</f>
        <v/>
      </c>
      <c r="J96" s="26">
        <f>IF($A96="","",SUMIFS(入库单!$V$4:$V$2503,入库单!$G$4:$G$2503,$A96,入库单!$X$4:$X$2503,"采购入库",入库单!$Z$4:$Z$2503,"正常",入库单!$C$4:$C$2503,"&gt;="&amp;账期起,入库单!$C$4:$C$2503,"&lt;="&amp;账期止))</f>
        <v/>
      </c>
      <c r="K96" s="26">
        <f>IF($A96="","",IFERROR(ROUND((N($H96)+N($J96))/(N($G96)+N($I96)),2),0))</f>
        <v/>
      </c>
      <c r="L96" s="27">
        <f>IF($A96="","",SUMIFS(入库单!$K$4:$K$2503,入库单!$G$4:$G$2503,$A96,入库单!$X$4:$X$2503,"盘盈",入库单!$Z$4:$Z$2503,"正常",入库单!$C$4:$C$2503,"&gt;="&amp;账期起,入库单!$C$4:$C$2503,"&lt;="&amp;账期止))</f>
        <v/>
      </c>
      <c r="M96" s="26">
        <f>IF($A96="","",ROUND($L96*$K96,0))</f>
        <v/>
      </c>
      <c r="N96" s="27">
        <f>IF($A96="","",SUMIFS(入库单!$K$4:$K$2503,入库单!$G$4:$G$2503,$A96,入库单!$X$4:$X$2503,"矿区退库",入库单!$Z$4:$Z$2503,"正常",入库单!$C$4:$C$2503,"&gt;="&amp;账期起,入库单!$C$4:$C$2503,"&lt;="&amp;账期止))</f>
        <v/>
      </c>
      <c r="O96" s="26">
        <f>IF($A96="","",ROUND($N96*$K96,0))</f>
        <v/>
      </c>
      <c r="P96" s="27">
        <f>IF($A96="","",SUMIFS(出库单!$J$4:$J$4003,出库单!$D$4:$D$4003,$A96,出库单!$K$4:$K$4003,"自用消耗",出库单!$U$4:$U$4003,"正常",出库单!$C$4:$C$4003,"&gt;="&amp;账期起,出库单!$C$4:$C$4003,"&lt;="&amp;账期止))</f>
        <v/>
      </c>
      <c r="Q96" s="26">
        <f>IF($A96="","",ROUND(SUMIFS(出库单!$S$4:$S$4003,出库单!$D$4:$D$4003,$A96,出库单!$K$4:$K$4003,"自用消耗",出库单!$U$4:$U$4003,"正常",出库单!$C$4:$C$4003,"&gt;="&amp;账期起,出库单!$C$4:$C$4003,"&lt;="&amp;账期止),0))</f>
        <v/>
      </c>
      <c r="R96" s="27">
        <f>IF($A96="","",SUMIFS(出库单!$J$4:$J$4003,出库单!$D$4:$D$4003,$A96,出库单!$K$4:$K$4003,"对外销售",出库单!$U$4:$U$4003,"正常",出库单!$C$4:$C$4003,"&gt;="&amp;账期起,出库单!$C$4:$C$4003,"&lt;="&amp;账期止))</f>
        <v/>
      </c>
      <c r="S96" s="26">
        <f>IF($A96="","",ROUND(SUMIFS(出库单!$S$4:$S$4003,出库单!$D$4:$D$4003,$A96,出库单!$K$4:$K$4003,"对外销售",出库单!$U$4:$U$4003,"正常",出库单!$C$4:$C$4003,"&gt;="&amp;账期起,出库单!$C$4:$C$4003,"&lt;="&amp;账期止),0))</f>
        <v/>
      </c>
      <c r="T96" s="27">
        <f>IF($A96="","",SUMIFS(出库单!$J$4:$J$4003,出库单!$D$4:$D$4003,$A96,出库单!$K$4:$K$4003,"盘亏",出库单!$U$4:$U$4003,"正常",出库单!$C$4:$C$4003,"&gt;="&amp;账期起,出库单!$C$4:$C$4003,"&lt;="&amp;账期止))</f>
        <v/>
      </c>
      <c r="U96" s="26">
        <f>IF($A96="","",ROUND(SUMIFS(出库单!$S$4:$S$4003,出库单!$D$4:$D$4003,$A96,出库单!$K$4:$K$4003,"盘亏",出库单!$U$4:$U$4003,"正常",出库单!$C$4:$C$4003,"&gt;="&amp;账期起,出库单!$C$4:$C$4003,"&lt;="&amp;账期止),0))</f>
        <v/>
      </c>
      <c r="V96" s="27">
        <f>IF($A96="","",SUMIFS(出库单!$J$4:$J$4003,出库单!$D$4:$D$4003,$A96,出库单!$K$4:$K$4003,"退货给供应商",出库单!$U$4:$U$4003,"正常",出库单!$C$4:$C$4003,"&gt;="&amp;账期起,出库单!$C$4:$C$4003,"&lt;="&amp;账期止))</f>
        <v/>
      </c>
      <c r="W96" s="26">
        <f>IF($A96="","",ROUND(SUMIFS(出库单!$S$4:$S$4003,出库单!$D$4:$D$4003,$A96,出库单!$K$4:$K$4003,"退货给供应商",出库单!$U$4:$U$4003,"正常",出库单!$C$4:$C$4003,"&gt;="&amp;账期起,出库单!$C$4:$C$4003,"&lt;="&amp;账期止),0))</f>
        <v/>
      </c>
      <c r="X96" s="27">
        <f>IF($A96="","",ROUND(N($G96)+$I96+$L96+$N96-$P96-$R96-$T96-$V96,3))</f>
        <v/>
      </c>
      <c r="Y96" s="26">
        <f>IF($A96="","",ROUND(N($H96)+$J96+$M96+$O96-$Q96-$S96-$U96-$W96,0))</f>
        <v/>
      </c>
      <c r="Z96" s="24">
        <f>IF($A96="","",IF(COUNTIFS(入库单!$G$4:$G$2503,$A96,入库单!$Y$4:$Y$2503,"待补价")+COUNTIFS(入库单!$G$4:$G$2503,$A96,入库单!$Y$4:$Y$2503,"暂估")&gt;0,"不可信","可信"))</f>
        <v/>
      </c>
      <c r="AA96" s="24">
        <f>IF($A96="","",IF($X96&lt;-0.001,"※账面负库存，查一下是不是漏记入库",IF(AND(ROUND($X96,3)=0,ABS($Y96)&gt;1),"※数量已经是 0，金额还挂着 "&amp;TEXT($Y96,"#,##0")&amp;" 先令",IF(AND($X96&gt;0,$Y96&lt;=0,$K96=0),"※有数量没金额（这个物料一直没填过进价）",IF($Z96="不可信","△成本含待补价/暂估，毛利仅供参考","")))))</f>
        <v/>
      </c>
    </row>
    <row r="97">
      <c r="A97" s="24">
        <f>IF(物料档案!$A96="","",物料档案!$A96)</f>
        <v/>
      </c>
      <c r="B97" s="24">
        <f>IF($A97="","",IFERROR(VLOOKUP($A97,物料档案!$A$4:$P$1203,3,0),""))</f>
        <v/>
      </c>
      <c r="C97" s="24">
        <f>IF($A97="","",IFERROR(VLOOKUP($A97,物料档案!$A$4:$P$1203,4,0),""))</f>
        <v/>
      </c>
      <c r="D97" s="24">
        <f>IF($A97="","",IFERROR(VLOOKUP($A97,物料档案!$A$4:$P$1203,5,0),""))</f>
        <v/>
      </c>
      <c r="E97" s="24">
        <f>IF($A97="","",IFERROR(VLOOKUP($A97,物料档案!$A$4:$P$1203,2,0),""))</f>
        <v/>
      </c>
      <c r="F97" s="24">
        <f>IF($A97="","",IFERROR(VLOOKUP($A97,物料档案!$A$4:$P$1203,6,0),""))</f>
        <v/>
      </c>
      <c r="G97" s="23" t="n"/>
      <c r="H97" s="32" t="n"/>
      <c r="I97" s="27">
        <f>IF($A97="","",SUMIFS(入库单!$K$4:$K$2503,入库单!$G$4:$G$2503,$A97,入库单!$X$4:$X$2503,"采购入库",入库单!$Z$4:$Z$2503,"正常",入库单!$C$4:$C$2503,"&gt;="&amp;账期起,入库单!$C$4:$C$2503,"&lt;="&amp;账期止))</f>
        <v/>
      </c>
      <c r="J97" s="26">
        <f>IF($A97="","",SUMIFS(入库单!$V$4:$V$2503,入库单!$G$4:$G$2503,$A97,入库单!$X$4:$X$2503,"采购入库",入库单!$Z$4:$Z$2503,"正常",入库单!$C$4:$C$2503,"&gt;="&amp;账期起,入库单!$C$4:$C$2503,"&lt;="&amp;账期止))</f>
        <v/>
      </c>
      <c r="K97" s="26">
        <f>IF($A97="","",IFERROR(ROUND((N($H97)+N($J97))/(N($G97)+N($I97)),2),0))</f>
        <v/>
      </c>
      <c r="L97" s="27">
        <f>IF($A97="","",SUMIFS(入库单!$K$4:$K$2503,入库单!$G$4:$G$2503,$A97,入库单!$X$4:$X$2503,"盘盈",入库单!$Z$4:$Z$2503,"正常",入库单!$C$4:$C$2503,"&gt;="&amp;账期起,入库单!$C$4:$C$2503,"&lt;="&amp;账期止))</f>
        <v/>
      </c>
      <c r="M97" s="26">
        <f>IF($A97="","",ROUND($L97*$K97,0))</f>
        <v/>
      </c>
      <c r="N97" s="27">
        <f>IF($A97="","",SUMIFS(入库单!$K$4:$K$2503,入库单!$G$4:$G$2503,$A97,入库单!$X$4:$X$2503,"矿区退库",入库单!$Z$4:$Z$2503,"正常",入库单!$C$4:$C$2503,"&gt;="&amp;账期起,入库单!$C$4:$C$2503,"&lt;="&amp;账期止))</f>
        <v/>
      </c>
      <c r="O97" s="26">
        <f>IF($A97="","",ROUND($N97*$K97,0))</f>
        <v/>
      </c>
      <c r="P97" s="27">
        <f>IF($A97="","",SUMIFS(出库单!$J$4:$J$4003,出库单!$D$4:$D$4003,$A97,出库单!$K$4:$K$4003,"自用消耗",出库单!$U$4:$U$4003,"正常",出库单!$C$4:$C$4003,"&gt;="&amp;账期起,出库单!$C$4:$C$4003,"&lt;="&amp;账期止))</f>
        <v/>
      </c>
      <c r="Q97" s="26">
        <f>IF($A97="","",ROUND(SUMIFS(出库单!$S$4:$S$4003,出库单!$D$4:$D$4003,$A97,出库单!$K$4:$K$4003,"自用消耗",出库单!$U$4:$U$4003,"正常",出库单!$C$4:$C$4003,"&gt;="&amp;账期起,出库单!$C$4:$C$4003,"&lt;="&amp;账期止),0))</f>
        <v/>
      </c>
      <c r="R97" s="27">
        <f>IF($A97="","",SUMIFS(出库单!$J$4:$J$4003,出库单!$D$4:$D$4003,$A97,出库单!$K$4:$K$4003,"对外销售",出库单!$U$4:$U$4003,"正常",出库单!$C$4:$C$4003,"&gt;="&amp;账期起,出库单!$C$4:$C$4003,"&lt;="&amp;账期止))</f>
        <v/>
      </c>
      <c r="S97" s="26">
        <f>IF($A97="","",ROUND(SUMIFS(出库单!$S$4:$S$4003,出库单!$D$4:$D$4003,$A97,出库单!$K$4:$K$4003,"对外销售",出库单!$U$4:$U$4003,"正常",出库单!$C$4:$C$4003,"&gt;="&amp;账期起,出库单!$C$4:$C$4003,"&lt;="&amp;账期止),0))</f>
        <v/>
      </c>
      <c r="T97" s="27">
        <f>IF($A97="","",SUMIFS(出库单!$J$4:$J$4003,出库单!$D$4:$D$4003,$A97,出库单!$K$4:$K$4003,"盘亏",出库单!$U$4:$U$4003,"正常",出库单!$C$4:$C$4003,"&gt;="&amp;账期起,出库单!$C$4:$C$4003,"&lt;="&amp;账期止))</f>
        <v/>
      </c>
      <c r="U97" s="26">
        <f>IF($A97="","",ROUND(SUMIFS(出库单!$S$4:$S$4003,出库单!$D$4:$D$4003,$A97,出库单!$K$4:$K$4003,"盘亏",出库单!$U$4:$U$4003,"正常",出库单!$C$4:$C$4003,"&gt;="&amp;账期起,出库单!$C$4:$C$4003,"&lt;="&amp;账期止),0))</f>
        <v/>
      </c>
      <c r="V97" s="27">
        <f>IF($A97="","",SUMIFS(出库单!$J$4:$J$4003,出库单!$D$4:$D$4003,$A97,出库单!$K$4:$K$4003,"退货给供应商",出库单!$U$4:$U$4003,"正常",出库单!$C$4:$C$4003,"&gt;="&amp;账期起,出库单!$C$4:$C$4003,"&lt;="&amp;账期止))</f>
        <v/>
      </c>
      <c r="W97" s="26">
        <f>IF($A97="","",ROUND(SUMIFS(出库单!$S$4:$S$4003,出库单!$D$4:$D$4003,$A97,出库单!$K$4:$K$4003,"退货给供应商",出库单!$U$4:$U$4003,"正常",出库单!$C$4:$C$4003,"&gt;="&amp;账期起,出库单!$C$4:$C$4003,"&lt;="&amp;账期止),0))</f>
        <v/>
      </c>
      <c r="X97" s="27">
        <f>IF($A97="","",ROUND(N($G97)+$I97+$L97+$N97-$P97-$R97-$T97-$V97,3))</f>
        <v/>
      </c>
      <c r="Y97" s="26">
        <f>IF($A97="","",ROUND(N($H97)+$J97+$M97+$O97-$Q97-$S97-$U97-$W97,0))</f>
        <v/>
      </c>
      <c r="Z97" s="24">
        <f>IF($A97="","",IF(COUNTIFS(入库单!$G$4:$G$2503,$A97,入库单!$Y$4:$Y$2503,"待补价")+COUNTIFS(入库单!$G$4:$G$2503,$A97,入库单!$Y$4:$Y$2503,"暂估")&gt;0,"不可信","可信"))</f>
        <v/>
      </c>
      <c r="AA97" s="24">
        <f>IF($A97="","",IF($X97&lt;-0.001,"※账面负库存，查一下是不是漏记入库",IF(AND(ROUND($X97,3)=0,ABS($Y97)&gt;1),"※数量已经是 0，金额还挂着 "&amp;TEXT($Y97,"#,##0")&amp;" 先令",IF(AND($X97&gt;0,$Y97&lt;=0,$K97=0),"※有数量没金额（这个物料一直没填过进价）",IF($Z97="不可信","△成本含待补价/暂估，毛利仅供参考","")))))</f>
        <v/>
      </c>
    </row>
    <row r="98">
      <c r="A98" s="24">
        <f>IF(物料档案!$A97="","",物料档案!$A97)</f>
        <v/>
      </c>
      <c r="B98" s="24">
        <f>IF($A98="","",IFERROR(VLOOKUP($A98,物料档案!$A$4:$P$1203,3,0),""))</f>
        <v/>
      </c>
      <c r="C98" s="24">
        <f>IF($A98="","",IFERROR(VLOOKUP($A98,物料档案!$A$4:$P$1203,4,0),""))</f>
        <v/>
      </c>
      <c r="D98" s="24">
        <f>IF($A98="","",IFERROR(VLOOKUP($A98,物料档案!$A$4:$P$1203,5,0),""))</f>
        <v/>
      </c>
      <c r="E98" s="24">
        <f>IF($A98="","",IFERROR(VLOOKUP($A98,物料档案!$A$4:$P$1203,2,0),""))</f>
        <v/>
      </c>
      <c r="F98" s="24">
        <f>IF($A98="","",IFERROR(VLOOKUP($A98,物料档案!$A$4:$P$1203,6,0),""))</f>
        <v/>
      </c>
      <c r="G98" s="23" t="n"/>
      <c r="H98" s="32" t="n"/>
      <c r="I98" s="27">
        <f>IF($A98="","",SUMIFS(入库单!$K$4:$K$2503,入库单!$G$4:$G$2503,$A98,入库单!$X$4:$X$2503,"采购入库",入库单!$Z$4:$Z$2503,"正常",入库单!$C$4:$C$2503,"&gt;="&amp;账期起,入库单!$C$4:$C$2503,"&lt;="&amp;账期止))</f>
        <v/>
      </c>
      <c r="J98" s="26">
        <f>IF($A98="","",SUMIFS(入库单!$V$4:$V$2503,入库单!$G$4:$G$2503,$A98,入库单!$X$4:$X$2503,"采购入库",入库单!$Z$4:$Z$2503,"正常",入库单!$C$4:$C$2503,"&gt;="&amp;账期起,入库单!$C$4:$C$2503,"&lt;="&amp;账期止))</f>
        <v/>
      </c>
      <c r="K98" s="26">
        <f>IF($A98="","",IFERROR(ROUND((N($H98)+N($J98))/(N($G98)+N($I98)),2),0))</f>
        <v/>
      </c>
      <c r="L98" s="27">
        <f>IF($A98="","",SUMIFS(入库单!$K$4:$K$2503,入库单!$G$4:$G$2503,$A98,入库单!$X$4:$X$2503,"盘盈",入库单!$Z$4:$Z$2503,"正常",入库单!$C$4:$C$2503,"&gt;="&amp;账期起,入库单!$C$4:$C$2503,"&lt;="&amp;账期止))</f>
        <v/>
      </c>
      <c r="M98" s="26">
        <f>IF($A98="","",ROUND($L98*$K98,0))</f>
        <v/>
      </c>
      <c r="N98" s="27">
        <f>IF($A98="","",SUMIFS(入库单!$K$4:$K$2503,入库单!$G$4:$G$2503,$A98,入库单!$X$4:$X$2503,"矿区退库",入库单!$Z$4:$Z$2503,"正常",入库单!$C$4:$C$2503,"&gt;="&amp;账期起,入库单!$C$4:$C$2503,"&lt;="&amp;账期止))</f>
        <v/>
      </c>
      <c r="O98" s="26">
        <f>IF($A98="","",ROUND($N98*$K98,0))</f>
        <v/>
      </c>
      <c r="P98" s="27">
        <f>IF($A98="","",SUMIFS(出库单!$J$4:$J$4003,出库单!$D$4:$D$4003,$A98,出库单!$K$4:$K$4003,"自用消耗",出库单!$U$4:$U$4003,"正常",出库单!$C$4:$C$4003,"&gt;="&amp;账期起,出库单!$C$4:$C$4003,"&lt;="&amp;账期止))</f>
        <v/>
      </c>
      <c r="Q98" s="26">
        <f>IF($A98="","",ROUND(SUMIFS(出库单!$S$4:$S$4003,出库单!$D$4:$D$4003,$A98,出库单!$K$4:$K$4003,"自用消耗",出库单!$U$4:$U$4003,"正常",出库单!$C$4:$C$4003,"&gt;="&amp;账期起,出库单!$C$4:$C$4003,"&lt;="&amp;账期止),0))</f>
        <v/>
      </c>
      <c r="R98" s="27">
        <f>IF($A98="","",SUMIFS(出库单!$J$4:$J$4003,出库单!$D$4:$D$4003,$A98,出库单!$K$4:$K$4003,"对外销售",出库单!$U$4:$U$4003,"正常",出库单!$C$4:$C$4003,"&gt;="&amp;账期起,出库单!$C$4:$C$4003,"&lt;="&amp;账期止))</f>
        <v/>
      </c>
      <c r="S98" s="26">
        <f>IF($A98="","",ROUND(SUMIFS(出库单!$S$4:$S$4003,出库单!$D$4:$D$4003,$A98,出库单!$K$4:$K$4003,"对外销售",出库单!$U$4:$U$4003,"正常",出库单!$C$4:$C$4003,"&gt;="&amp;账期起,出库单!$C$4:$C$4003,"&lt;="&amp;账期止),0))</f>
        <v/>
      </c>
      <c r="T98" s="27">
        <f>IF($A98="","",SUMIFS(出库单!$J$4:$J$4003,出库单!$D$4:$D$4003,$A98,出库单!$K$4:$K$4003,"盘亏",出库单!$U$4:$U$4003,"正常",出库单!$C$4:$C$4003,"&gt;="&amp;账期起,出库单!$C$4:$C$4003,"&lt;="&amp;账期止))</f>
        <v/>
      </c>
      <c r="U98" s="26">
        <f>IF($A98="","",ROUND(SUMIFS(出库单!$S$4:$S$4003,出库单!$D$4:$D$4003,$A98,出库单!$K$4:$K$4003,"盘亏",出库单!$U$4:$U$4003,"正常",出库单!$C$4:$C$4003,"&gt;="&amp;账期起,出库单!$C$4:$C$4003,"&lt;="&amp;账期止),0))</f>
        <v/>
      </c>
      <c r="V98" s="27">
        <f>IF($A98="","",SUMIFS(出库单!$J$4:$J$4003,出库单!$D$4:$D$4003,$A98,出库单!$K$4:$K$4003,"退货给供应商",出库单!$U$4:$U$4003,"正常",出库单!$C$4:$C$4003,"&gt;="&amp;账期起,出库单!$C$4:$C$4003,"&lt;="&amp;账期止))</f>
        <v/>
      </c>
      <c r="W98" s="26">
        <f>IF($A98="","",ROUND(SUMIFS(出库单!$S$4:$S$4003,出库单!$D$4:$D$4003,$A98,出库单!$K$4:$K$4003,"退货给供应商",出库单!$U$4:$U$4003,"正常",出库单!$C$4:$C$4003,"&gt;="&amp;账期起,出库单!$C$4:$C$4003,"&lt;="&amp;账期止),0))</f>
        <v/>
      </c>
      <c r="X98" s="27">
        <f>IF($A98="","",ROUND(N($G98)+$I98+$L98+$N98-$P98-$R98-$T98-$V98,3))</f>
        <v/>
      </c>
      <c r="Y98" s="26">
        <f>IF($A98="","",ROUND(N($H98)+$J98+$M98+$O98-$Q98-$S98-$U98-$W98,0))</f>
        <v/>
      </c>
      <c r="Z98" s="24">
        <f>IF($A98="","",IF(COUNTIFS(入库单!$G$4:$G$2503,$A98,入库单!$Y$4:$Y$2503,"待补价")+COUNTIFS(入库单!$G$4:$G$2503,$A98,入库单!$Y$4:$Y$2503,"暂估")&gt;0,"不可信","可信"))</f>
        <v/>
      </c>
      <c r="AA98" s="24">
        <f>IF($A98="","",IF($X98&lt;-0.001,"※账面负库存，查一下是不是漏记入库",IF(AND(ROUND($X98,3)=0,ABS($Y98)&gt;1),"※数量已经是 0，金额还挂着 "&amp;TEXT($Y98,"#,##0")&amp;" 先令",IF(AND($X98&gt;0,$Y98&lt;=0,$K98=0),"※有数量没金额（这个物料一直没填过进价）",IF($Z98="不可信","△成本含待补价/暂估，毛利仅供参考","")))))</f>
        <v/>
      </c>
    </row>
    <row r="99">
      <c r="A99" s="24">
        <f>IF(物料档案!$A98="","",物料档案!$A98)</f>
        <v/>
      </c>
      <c r="B99" s="24">
        <f>IF($A99="","",IFERROR(VLOOKUP($A99,物料档案!$A$4:$P$1203,3,0),""))</f>
        <v/>
      </c>
      <c r="C99" s="24">
        <f>IF($A99="","",IFERROR(VLOOKUP($A99,物料档案!$A$4:$P$1203,4,0),""))</f>
        <v/>
      </c>
      <c r="D99" s="24">
        <f>IF($A99="","",IFERROR(VLOOKUP($A99,物料档案!$A$4:$P$1203,5,0),""))</f>
        <v/>
      </c>
      <c r="E99" s="24">
        <f>IF($A99="","",IFERROR(VLOOKUP($A99,物料档案!$A$4:$P$1203,2,0),""))</f>
        <v/>
      </c>
      <c r="F99" s="24">
        <f>IF($A99="","",IFERROR(VLOOKUP($A99,物料档案!$A$4:$P$1203,6,0),""))</f>
        <v/>
      </c>
      <c r="G99" s="23" t="n"/>
      <c r="H99" s="32" t="n"/>
      <c r="I99" s="27">
        <f>IF($A99="","",SUMIFS(入库单!$K$4:$K$2503,入库单!$G$4:$G$2503,$A99,入库单!$X$4:$X$2503,"采购入库",入库单!$Z$4:$Z$2503,"正常",入库单!$C$4:$C$2503,"&gt;="&amp;账期起,入库单!$C$4:$C$2503,"&lt;="&amp;账期止))</f>
        <v/>
      </c>
      <c r="J99" s="26">
        <f>IF($A99="","",SUMIFS(入库单!$V$4:$V$2503,入库单!$G$4:$G$2503,$A99,入库单!$X$4:$X$2503,"采购入库",入库单!$Z$4:$Z$2503,"正常",入库单!$C$4:$C$2503,"&gt;="&amp;账期起,入库单!$C$4:$C$2503,"&lt;="&amp;账期止))</f>
        <v/>
      </c>
      <c r="K99" s="26">
        <f>IF($A99="","",IFERROR(ROUND((N($H99)+N($J99))/(N($G99)+N($I99)),2),0))</f>
        <v/>
      </c>
      <c r="L99" s="27">
        <f>IF($A99="","",SUMIFS(入库单!$K$4:$K$2503,入库单!$G$4:$G$2503,$A99,入库单!$X$4:$X$2503,"盘盈",入库单!$Z$4:$Z$2503,"正常",入库单!$C$4:$C$2503,"&gt;="&amp;账期起,入库单!$C$4:$C$2503,"&lt;="&amp;账期止))</f>
        <v/>
      </c>
      <c r="M99" s="26">
        <f>IF($A99="","",ROUND($L99*$K99,0))</f>
        <v/>
      </c>
      <c r="N99" s="27">
        <f>IF($A99="","",SUMIFS(入库单!$K$4:$K$2503,入库单!$G$4:$G$2503,$A99,入库单!$X$4:$X$2503,"矿区退库",入库单!$Z$4:$Z$2503,"正常",入库单!$C$4:$C$2503,"&gt;="&amp;账期起,入库单!$C$4:$C$2503,"&lt;="&amp;账期止))</f>
        <v/>
      </c>
      <c r="O99" s="26">
        <f>IF($A99="","",ROUND($N99*$K99,0))</f>
        <v/>
      </c>
      <c r="P99" s="27">
        <f>IF($A99="","",SUMIFS(出库单!$J$4:$J$4003,出库单!$D$4:$D$4003,$A99,出库单!$K$4:$K$4003,"自用消耗",出库单!$U$4:$U$4003,"正常",出库单!$C$4:$C$4003,"&gt;="&amp;账期起,出库单!$C$4:$C$4003,"&lt;="&amp;账期止))</f>
        <v/>
      </c>
      <c r="Q99" s="26">
        <f>IF($A99="","",ROUND(SUMIFS(出库单!$S$4:$S$4003,出库单!$D$4:$D$4003,$A99,出库单!$K$4:$K$4003,"自用消耗",出库单!$U$4:$U$4003,"正常",出库单!$C$4:$C$4003,"&gt;="&amp;账期起,出库单!$C$4:$C$4003,"&lt;="&amp;账期止),0))</f>
        <v/>
      </c>
      <c r="R99" s="27">
        <f>IF($A99="","",SUMIFS(出库单!$J$4:$J$4003,出库单!$D$4:$D$4003,$A99,出库单!$K$4:$K$4003,"对外销售",出库单!$U$4:$U$4003,"正常",出库单!$C$4:$C$4003,"&gt;="&amp;账期起,出库单!$C$4:$C$4003,"&lt;="&amp;账期止))</f>
        <v/>
      </c>
      <c r="S99" s="26">
        <f>IF($A99="","",ROUND(SUMIFS(出库单!$S$4:$S$4003,出库单!$D$4:$D$4003,$A99,出库单!$K$4:$K$4003,"对外销售",出库单!$U$4:$U$4003,"正常",出库单!$C$4:$C$4003,"&gt;="&amp;账期起,出库单!$C$4:$C$4003,"&lt;="&amp;账期止),0))</f>
        <v/>
      </c>
      <c r="T99" s="27">
        <f>IF($A99="","",SUMIFS(出库单!$J$4:$J$4003,出库单!$D$4:$D$4003,$A99,出库单!$K$4:$K$4003,"盘亏",出库单!$U$4:$U$4003,"正常",出库单!$C$4:$C$4003,"&gt;="&amp;账期起,出库单!$C$4:$C$4003,"&lt;="&amp;账期止))</f>
        <v/>
      </c>
      <c r="U99" s="26">
        <f>IF($A99="","",ROUND(SUMIFS(出库单!$S$4:$S$4003,出库单!$D$4:$D$4003,$A99,出库单!$K$4:$K$4003,"盘亏",出库单!$U$4:$U$4003,"正常",出库单!$C$4:$C$4003,"&gt;="&amp;账期起,出库单!$C$4:$C$4003,"&lt;="&amp;账期止),0))</f>
        <v/>
      </c>
      <c r="V99" s="27">
        <f>IF($A99="","",SUMIFS(出库单!$J$4:$J$4003,出库单!$D$4:$D$4003,$A99,出库单!$K$4:$K$4003,"退货给供应商",出库单!$U$4:$U$4003,"正常",出库单!$C$4:$C$4003,"&gt;="&amp;账期起,出库单!$C$4:$C$4003,"&lt;="&amp;账期止))</f>
        <v/>
      </c>
      <c r="W99" s="26">
        <f>IF($A99="","",ROUND(SUMIFS(出库单!$S$4:$S$4003,出库单!$D$4:$D$4003,$A99,出库单!$K$4:$K$4003,"退货给供应商",出库单!$U$4:$U$4003,"正常",出库单!$C$4:$C$4003,"&gt;="&amp;账期起,出库单!$C$4:$C$4003,"&lt;="&amp;账期止),0))</f>
        <v/>
      </c>
      <c r="X99" s="27">
        <f>IF($A99="","",ROUND(N($G99)+$I99+$L99+$N99-$P99-$R99-$T99-$V99,3))</f>
        <v/>
      </c>
      <c r="Y99" s="26">
        <f>IF($A99="","",ROUND(N($H99)+$J99+$M99+$O99-$Q99-$S99-$U99-$W99,0))</f>
        <v/>
      </c>
      <c r="Z99" s="24">
        <f>IF($A99="","",IF(COUNTIFS(入库单!$G$4:$G$2503,$A99,入库单!$Y$4:$Y$2503,"待补价")+COUNTIFS(入库单!$G$4:$G$2503,$A99,入库单!$Y$4:$Y$2503,"暂估")&gt;0,"不可信","可信"))</f>
        <v/>
      </c>
      <c r="AA99" s="24">
        <f>IF($A99="","",IF($X99&lt;-0.001,"※账面负库存，查一下是不是漏记入库",IF(AND(ROUND($X99,3)=0,ABS($Y99)&gt;1),"※数量已经是 0，金额还挂着 "&amp;TEXT($Y99,"#,##0")&amp;" 先令",IF(AND($X99&gt;0,$Y99&lt;=0,$K99=0),"※有数量没金额（这个物料一直没填过进价）",IF($Z99="不可信","△成本含待补价/暂估，毛利仅供参考","")))))</f>
        <v/>
      </c>
    </row>
    <row r="100">
      <c r="A100" s="24">
        <f>IF(物料档案!$A99="","",物料档案!$A99)</f>
        <v/>
      </c>
      <c r="B100" s="24">
        <f>IF($A100="","",IFERROR(VLOOKUP($A100,物料档案!$A$4:$P$1203,3,0),""))</f>
        <v/>
      </c>
      <c r="C100" s="24">
        <f>IF($A100="","",IFERROR(VLOOKUP($A100,物料档案!$A$4:$P$1203,4,0),""))</f>
        <v/>
      </c>
      <c r="D100" s="24">
        <f>IF($A100="","",IFERROR(VLOOKUP($A100,物料档案!$A$4:$P$1203,5,0),""))</f>
        <v/>
      </c>
      <c r="E100" s="24">
        <f>IF($A100="","",IFERROR(VLOOKUP($A100,物料档案!$A$4:$P$1203,2,0),""))</f>
        <v/>
      </c>
      <c r="F100" s="24">
        <f>IF($A100="","",IFERROR(VLOOKUP($A100,物料档案!$A$4:$P$1203,6,0),""))</f>
        <v/>
      </c>
      <c r="G100" s="23" t="n"/>
      <c r="H100" s="32" t="n"/>
      <c r="I100" s="27">
        <f>IF($A100="","",SUMIFS(入库单!$K$4:$K$2503,入库单!$G$4:$G$2503,$A100,入库单!$X$4:$X$2503,"采购入库",入库单!$Z$4:$Z$2503,"正常",入库单!$C$4:$C$2503,"&gt;="&amp;账期起,入库单!$C$4:$C$2503,"&lt;="&amp;账期止))</f>
        <v/>
      </c>
      <c r="J100" s="26">
        <f>IF($A100="","",SUMIFS(入库单!$V$4:$V$2503,入库单!$G$4:$G$2503,$A100,入库单!$X$4:$X$2503,"采购入库",入库单!$Z$4:$Z$2503,"正常",入库单!$C$4:$C$2503,"&gt;="&amp;账期起,入库单!$C$4:$C$2503,"&lt;="&amp;账期止))</f>
        <v/>
      </c>
      <c r="K100" s="26">
        <f>IF($A100="","",IFERROR(ROUND((N($H100)+N($J100))/(N($G100)+N($I100)),2),0))</f>
        <v/>
      </c>
      <c r="L100" s="27">
        <f>IF($A100="","",SUMIFS(入库单!$K$4:$K$2503,入库单!$G$4:$G$2503,$A100,入库单!$X$4:$X$2503,"盘盈",入库单!$Z$4:$Z$2503,"正常",入库单!$C$4:$C$2503,"&gt;="&amp;账期起,入库单!$C$4:$C$2503,"&lt;="&amp;账期止))</f>
        <v/>
      </c>
      <c r="M100" s="26">
        <f>IF($A100="","",ROUND($L100*$K100,0))</f>
        <v/>
      </c>
      <c r="N100" s="27">
        <f>IF($A100="","",SUMIFS(入库单!$K$4:$K$2503,入库单!$G$4:$G$2503,$A100,入库单!$X$4:$X$2503,"矿区退库",入库单!$Z$4:$Z$2503,"正常",入库单!$C$4:$C$2503,"&gt;="&amp;账期起,入库单!$C$4:$C$2503,"&lt;="&amp;账期止))</f>
        <v/>
      </c>
      <c r="O100" s="26">
        <f>IF($A100="","",ROUND($N100*$K100,0))</f>
        <v/>
      </c>
      <c r="P100" s="27">
        <f>IF($A100="","",SUMIFS(出库单!$J$4:$J$4003,出库单!$D$4:$D$4003,$A100,出库单!$K$4:$K$4003,"自用消耗",出库单!$U$4:$U$4003,"正常",出库单!$C$4:$C$4003,"&gt;="&amp;账期起,出库单!$C$4:$C$4003,"&lt;="&amp;账期止))</f>
        <v/>
      </c>
      <c r="Q100" s="26">
        <f>IF($A100="","",ROUND(SUMIFS(出库单!$S$4:$S$4003,出库单!$D$4:$D$4003,$A100,出库单!$K$4:$K$4003,"自用消耗",出库单!$U$4:$U$4003,"正常",出库单!$C$4:$C$4003,"&gt;="&amp;账期起,出库单!$C$4:$C$4003,"&lt;="&amp;账期止),0))</f>
        <v/>
      </c>
      <c r="R100" s="27">
        <f>IF($A100="","",SUMIFS(出库单!$J$4:$J$4003,出库单!$D$4:$D$4003,$A100,出库单!$K$4:$K$4003,"对外销售",出库单!$U$4:$U$4003,"正常",出库单!$C$4:$C$4003,"&gt;="&amp;账期起,出库单!$C$4:$C$4003,"&lt;="&amp;账期止))</f>
        <v/>
      </c>
      <c r="S100" s="26">
        <f>IF($A100="","",ROUND(SUMIFS(出库单!$S$4:$S$4003,出库单!$D$4:$D$4003,$A100,出库单!$K$4:$K$4003,"对外销售",出库单!$U$4:$U$4003,"正常",出库单!$C$4:$C$4003,"&gt;="&amp;账期起,出库单!$C$4:$C$4003,"&lt;="&amp;账期止),0))</f>
        <v/>
      </c>
      <c r="T100" s="27">
        <f>IF($A100="","",SUMIFS(出库单!$J$4:$J$4003,出库单!$D$4:$D$4003,$A100,出库单!$K$4:$K$4003,"盘亏",出库单!$U$4:$U$4003,"正常",出库单!$C$4:$C$4003,"&gt;="&amp;账期起,出库单!$C$4:$C$4003,"&lt;="&amp;账期止))</f>
        <v/>
      </c>
      <c r="U100" s="26">
        <f>IF($A100="","",ROUND(SUMIFS(出库单!$S$4:$S$4003,出库单!$D$4:$D$4003,$A100,出库单!$K$4:$K$4003,"盘亏",出库单!$U$4:$U$4003,"正常",出库单!$C$4:$C$4003,"&gt;="&amp;账期起,出库单!$C$4:$C$4003,"&lt;="&amp;账期止),0))</f>
        <v/>
      </c>
      <c r="V100" s="27">
        <f>IF($A100="","",SUMIFS(出库单!$J$4:$J$4003,出库单!$D$4:$D$4003,$A100,出库单!$K$4:$K$4003,"退货给供应商",出库单!$U$4:$U$4003,"正常",出库单!$C$4:$C$4003,"&gt;="&amp;账期起,出库单!$C$4:$C$4003,"&lt;="&amp;账期止))</f>
        <v/>
      </c>
      <c r="W100" s="26">
        <f>IF($A100="","",ROUND(SUMIFS(出库单!$S$4:$S$4003,出库单!$D$4:$D$4003,$A100,出库单!$K$4:$K$4003,"退货给供应商",出库单!$U$4:$U$4003,"正常",出库单!$C$4:$C$4003,"&gt;="&amp;账期起,出库单!$C$4:$C$4003,"&lt;="&amp;账期止),0))</f>
        <v/>
      </c>
      <c r="X100" s="27">
        <f>IF($A100="","",ROUND(N($G100)+$I100+$L100+$N100-$P100-$R100-$T100-$V100,3))</f>
        <v/>
      </c>
      <c r="Y100" s="26">
        <f>IF($A100="","",ROUND(N($H100)+$J100+$M100+$O100-$Q100-$S100-$U100-$W100,0))</f>
        <v/>
      </c>
      <c r="Z100" s="24">
        <f>IF($A100="","",IF(COUNTIFS(入库单!$G$4:$G$2503,$A100,入库单!$Y$4:$Y$2503,"待补价")+COUNTIFS(入库单!$G$4:$G$2503,$A100,入库单!$Y$4:$Y$2503,"暂估")&gt;0,"不可信","可信"))</f>
        <v/>
      </c>
      <c r="AA100" s="24">
        <f>IF($A100="","",IF($X100&lt;-0.001,"※账面负库存，查一下是不是漏记入库",IF(AND(ROUND($X100,3)=0,ABS($Y100)&gt;1),"※数量已经是 0，金额还挂着 "&amp;TEXT($Y100,"#,##0")&amp;" 先令",IF(AND($X100&gt;0,$Y100&lt;=0,$K100=0),"※有数量没金额（这个物料一直没填过进价）",IF($Z100="不可信","△成本含待补价/暂估，毛利仅供参考","")))))</f>
        <v/>
      </c>
    </row>
    <row r="101">
      <c r="A101" s="24">
        <f>IF(物料档案!$A100="","",物料档案!$A100)</f>
        <v/>
      </c>
      <c r="B101" s="24">
        <f>IF($A101="","",IFERROR(VLOOKUP($A101,物料档案!$A$4:$P$1203,3,0),""))</f>
        <v/>
      </c>
      <c r="C101" s="24">
        <f>IF($A101="","",IFERROR(VLOOKUP($A101,物料档案!$A$4:$P$1203,4,0),""))</f>
        <v/>
      </c>
      <c r="D101" s="24">
        <f>IF($A101="","",IFERROR(VLOOKUP($A101,物料档案!$A$4:$P$1203,5,0),""))</f>
        <v/>
      </c>
      <c r="E101" s="24">
        <f>IF($A101="","",IFERROR(VLOOKUP($A101,物料档案!$A$4:$P$1203,2,0),""))</f>
        <v/>
      </c>
      <c r="F101" s="24">
        <f>IF($A101="","",IFERROR(VLOOKUP($A101,物料档案!$A$4:$P$1203,6,0),""))</f>
        <v/>
      </c>
      <c r="G101" s="23" t="n"/>
      <c r="H101" s="32" t="n"/>
      <c r="I101" s="27">
        <f>IF($A101="","",SUMIFS(入库单!$K$4:$K$2503,入库单!$G$4:$G$2503,$A101,入库单!$X$4:$X$2503,"采购入库",入库单!$Z$4:$Z$2503,"正常",入库单!$C$4:$C$2503,"&gt;="&amp;账期起,入库单!$C$4:$C$2503,"&lt;="&amp;账期止))</f>
        <v/>
      </c>
      <c r="J101" s="26">
        <f>IF($A101="","",SUMIFS(入库单!$V$4:$V$2503,入库单!$G$4:$G$2503,$A101,入库单!$X$4:$X$2503,"采购入库",入库单!$Z$4:$Z$2503,"正常",入库单!$C$4:$C$2503,"&gt;="&amp;账期起,入库单!$C$4:$C$2503,"&lt;="&amp;账期止))</f>
        <v/>
      </c>
      <c r="K101" s="26">
        <f>IF($A101="","",IFERROR(ROUND((N($H101)+N($J101))/(N($G101)+N($I101)),2),0))</f>
        <v/>
      </c>
      <c r="L101" s="27">
        <f>IF($A101="","",SUMIFS(入库单!$K$4:$K$2503,入库单!$G$4:$G$2503,$A101,入库单!$X$4:$X$2503,"盘盈",入库单!$Z$4:$Z$2503,"正常",入库单!$C$4:$C$2503,"&gt;="&amp;账期起,入库单!$C$4:$C$2503,"&lt;="&amp;账期止))</f>
        <v/>
      </c>
      <c r="M101" s="26">
        <f>IF($A101="","",ROUND($L101*$K101,0))</f>
        <v/>
      </c>
      <c r="N101" s="27">
        <f>IF($A101="","",SUMIFS(入库单!$K$4:$K$2503,入库单!$G$4:$G$2503,$A101,入库单!$X$4:$X$2503,"矿区退库",入库单!$Z$4:$Z$2503,"正常",入库单!$C$4:$C$2503,"&gt;="&amp;账期起,入库单!$C$4:$C$2503,"&lt;="&amp;账期止))</f>
        <v/>
      </c>
      <c r="O101" s="26">
        <f>IF($A101="","",ROUND($N101*$K101,0))</f>
        <v/>
      </c>
      <c r="P101" s="27">
        <f>IF($A101="","",SUMIFS(出库单!$J$4:$J$4003,出库单!$D$4:$D$4003,$A101,出库单!$K$4:$K$4003,"自用消耗",出库单!$U$4:$U$4003,"正常",出库单!$C$4:$C$4003,"&gt;="&amp;账期起,出库单!$C$4:$C$4003,"&lt;="&amp;账期止))</f>
        <v/>
      </c>
      <c r="Q101" s="26">
        <f>IF($A101="","",ROUND(SUMIFS(出库单!$S$4:$S$4003,出库单!$D$4:$D$4003,$A101,出库单!$K$4:$K$4003,"自用消耗",出库单!$U$4:$U$4003,"正常",出库单!$C$4:$C$4003,"&gt;="&amp;账期起,出库单!$C$4:$C$4003,"&lt;="&amp;账期止),0))</f>
        <v/>
      </c>
      <c r="R101" s="27">
        <f>IF($A101="","",SUMIFS(出库单!$J$4:$J$4003,出库单!$D$4:$D$4003,$A101,出库单!$K$4:$K$4003,"对外销售",出库单!$U$4:$U$4003,"正常",出库单!$C$4:$C$4003,"&gt;="&amp;账期起,出库单!$C$4:$C$4003,"&lt;="&amp;账期止))</f>
        <v/>
      </c>
      <c r="S101" s="26">
        <f>IF($A101="","",ROUND(SUMIFS(出库单!$S$4:$S$4003,出库单!$D$4:$D$4003,$A101,出库单!$K$4:$K$4003,"对外销售",出库单!$U$4:$U$4003,"正常",出库单!$C$4:$C$4003,"&gt;="&amp;账期起,出库单!$C$4:$C$4003,"&lt;="&amp;账期止),0))</f>
        <v/>
      </c>
      <c r="T101" s="27">
        <f>IF($A101="","",SUMIFS(出库单!$J$4:$J$4003,出库单!$D$4:$D$4003,$A101,出库单!$K$4:$K$4003,"盘亏",出库单!$U$4:$U$4003,"正常",出库单!$C$4:$C$4003,"&gt;="&amp;账期起,出库单!$C$4:$C$4003,"&lt;="&amp;账期止))</f>
        <v/>
      </c>
      <c r="U101" s="26">
        <f>IF($A101="","",ROUND(SUMIFS(出库单!$S$4:$S$4003,出库单!$D$4:$D$4003,$A101,出库单!$K$4:$K$4003,"盘亏",出库单!$U$4:$U$4003,"正常",出库单!$C$4:$C$4003,"&gt;="&amp;账期起,出库单!$C$4:$C$4003,"&lt;="&amp;账期止),0))</f>
        <v/>
      </c>
      <c r="V101" s="27">
        <f>IF($A101="","",SUMIFS(出库单!$J$4:$J$4003,出库单!$D$4:$D$4003,$A101,出库单!$K$4:$K$4003,"退货给供应商",出库单!$U$4:$U$4003,"正常",出库单!$C$4:$C$4003,"&gt;="&amp;账期起,出库单!$C$4:$C$4003,"&lt;="&amp;账期止))</f>
        <v/>
      </c>
      <c r="W101" s="26">
        <f>IF($A101="","",ROUND(SUMIFS(出库单!$S$4:$S$4003,出库单!$D$4:$D$4003,$A101,出库单!$K$4:$K$4003,"退货给供应商",出库单!$U$4:$U$4003,"正常",出库单!$C$4:$C$4003,"&gt;="&amp;账期起,出库单!$C$4:$C$4003,"&lt;="&amp;账期止),0))</f>
        <v/>
      </c>
      <c r="X101" s="27">
        <f>IF($A101="","",ROUND(N($G101)+$I101+$L101+$N101-$P101-$R101-$T101-$V101,3))</f>
        <v/>
      </c>
      <c r="Y101" s="26">
        <f>IF($A101="","",ROUND(N($H101)+$J101+$M101+$O101-$Q101-$S101-$U101-$W101,0))</f>
        <v/>
      </c>
      <c r="Z101" s="24">
        <f>IF($A101="","",IF(COUNTIFS(入库单!$G$4:$G$2503,$A101,入库单!$Y$4:$Y$2503,"待补价")+COUNTIFS(入库单!$G$4:$G$2503,$A101,入库单!$Y$4:$Y$2503,"暂估")&gt;0,"不可信","可信"))</f>
        <v/>
      </c>
      <c r="AA101" s="24">
        <f>IF($A101="","",IF($X101&lt;-0.001,"※账面负库存，查一下是不是漏记入库",IF(AND(ROUND($X101,3)=0,ABS($Y101)&gt;1),"※数量已经是 0，金额还挂着 "&amp;TEXT($Y101,"#,##0")&amp;" 先令",IF(AND($X101&gt;0,$Y101&lt;=0,$K101=0),"※有数量没金额（这个物料一直没填过进价）",IF($Z101="不可信","△成本含待补价/暂估，毛利仅供参考","")))))</f>
        <v/>
      </c>
    </row>
    <row r="102">
      <c r="A102" s="24">
        <f>IF(物料档案!$A101="","",物料档案!$A101)</f>
        <v/>
      </c>
      <c r="B102" s="24">
        <f>IF($A102="","",IFERROR(VLOOKUP($A102,物料档案!$A$4:$P$1203,3,0),""))</f>
        <v/>
      </c>
      <c r="C102" s="24">
        <f>IF($A102="","",IFERROR(VLOOKUP($A102,物料档案!$A$4:$P$1203,4,0),""))</f>
        <v/>
      </c>
      <c r="D102" s="24">
        <f>IF($A102="","",IFERROR(VLOOKUP($A102,物料档案!$A$4:$P$1203,5,0),""))</f>
        <v/>
      </c>
      <c r="E102" s="24">
        <f>IF($A102="","",IFERROR(VLOOKUP($A102,物料档案!$A$4:$P$1203,2,0),""))</f>
        <v/>
      </c>
      <c r="F102" s="24">
        <f>IF($A102="","",IFERROR(VLOOKUP($A102,物料档案!$A$4:$P$1203,6,0),""))</f>
        <v/>
      </c>
      <c r="G102" s="23" t="n"/>
      <c r="H102" s="32" t="n"/>
      <c r="I102" s="27">
        <f>IF($A102="","",SUMIFS(入库单!$K$4:$K$2503,入库单!$G$4:$G$2503,$A102,入库单!$X$4:$X$2503,"采购入库",入库单!$Z$4:$Z$2503,"正常",入库单!$C$4:$C$2503,"&gt;="&amp;账期起,入库单!$C$4:$C$2503,"&lt;="&amp;账期止))</f>
        <v/>
      </c>
      <c r="J102" s="26">
        <f>IF($A102="","",SUMIFS(入库单!$V$4:$V$2503,入库单!$G$4:$G$2503,$A102,入库单!$X$4:$X$2503,"采购入库",入库单!$Z$4:$Z$2503,"正常",入库单!$C$4:$C$2503,"&gt;="&amp;账期起,入库单!$C$4:$C$2503,"&lt;="&amp;账期止))</f>
        <v/>
      </c>
      <c r="K102" s="26">
        <f>IF($A102="","",IFERROR(ROUND((N($H102)+N($J102))/(N($G102)+N($I102)),2),0))</f>
        <v/>
      </c>
      <c r="L102" s="27">
        <f>IF($A102="","",SUMIFS(入库单!$K$4:$K$2503,入库单!$G$4:$G$2503,$A102,入库单!$X$4:$X$2503,"盘盈",入库单!$Z$4:$Z$2503,"正常",入库单!$C$4:$C$2503,"&gt;="&amp;账期起,入库单!$C$4:$C$2503,"&lt;="&amp;账期止))</f>
        <v/>
      </c>
      <c r="M102" s="26">
        <f>IF($A102="","",ROUND($L102*$K102,0))</f>
        <v/>
      </c>
      <c r="N102" s="27">
        <f>IF($A102="","",SUMIFS(入库单!$K$4:$K$2503,入库单!$G$4:$G$2503,$A102,入库单!$X$4:$X$2503,"矿区退库",入库单!$Z$4:$Z$2503,"正常",入库单!$C$4:$C$2503,"&gt;="&amp;账期起,入库单!$C$4:$C$2503,"&lt;="&amp;账期止))</f>
        <v/>
      </c>
      <c r="O102" s="26">
        <f>IF($A102="","",ROUND($N102*$K102,0))</f>
        <v/>
      </c>
      <c r="P102" s="27">
        <f>IF($A102="","",SUMIFS(出库单!$J$4:$J$4003,出库单!$D$4:$D$4003,$A102,出库单!$K$4:$K$4003,"自用消耗",出库单!$U$4:$U$4003,"正常",出库单!$C$4:$C$4003,"&gt;="&amp;账期起,出库单!$C$4:$C$4003,"&lt;="&amp;账期止))</f>
        <v/>
      </c>
      <c r="Q102" s="26">
        <f>IF($A102="","",ROUND(SUMIFS(出库单!$S$4:$S$4003,出库单!$D$4:$D$4003,$A102,出库单!$K$4:$K$4003,"自用消耗",出库单!$U$4:$U$4003,"正常",出库单!$C$4:$C$4003,"&gt;="&amp;账期起,出库单!$C$4:$C$4003,"&lt;="&amp;账期止),0))</f>
        <v/>
      </c>
      <c r="R102" s="27">
        <f>IF($A102="","",SUMIFS(出库单!$J$4:$J$4003,出库单!$D$4:$D$4003,$A102,出库单!$K$4:$K$4003,"对外销售",出库单!$U$4:$U$4003,"正常",出库单!$C$4:$C$4003,"&gt;="&amp;账期起,出库单!$C$4:$C$4003,"&lt;="&amp;账期止))</f>
        <v/>
      </c>
      <c r="S102" s="26">
        <f>IF($A102="","",ROUND(SUMIFS(出库单!$S$4:$S$4003,出库单!$D$4:$D$4003,$A102,出库单!$K$4:$K$4003,"对外销售",出库单!$U$4:$U$4003,"正常",出库单!$C$4:$C$4003,"&gt;="&amp;账期起,出库单!$C$4:$C$4003,"&lt;="&amp;账期止),0))</f>
        <v/>
      </c>
      <c r="T102" s="27">
        <f>IF($A102="","",SUMIFS(出库单!$J$4:$J$4003,出库单!$D$4:$D$4003,$A102,出库单!$K$4:$K$4003,"盘亏",出库单!$U$4:$U$4003,"正常",出库单!$C$4:$C$4003,"&gt;="&amp;账期起,出库单!$C$4:$C$4003,"&lt;="&amp;账期止))</f>
        <v/>
      </c>
      <c r="U102" s="26">
        <f>IF($A102="","",ROUND(SUMIFS(出库单!$S$4:$S$4003,出库单!$D$4:$D$4003,$A102,出库单!$K$4:$K$4003,"盘亏",出库单!$U$4:$U$4003,"正常",出库单!$C$4:$C$4003,"&gt;="&amp;账期起,出库单!$C$4:$C$4003,"&lt;="&amp;账期止),0))</f>
        <v/>
      </c>
      <c r="V102" s="27">
        <f>IF($A102="","",SUMIFS(出库单!$J$4:$J$4003,出库单!$D$4:$D$4003,$A102,出库单!$K$4:$K$4003,"退货给供应商",出库单!$U$4:$U$4003,"正常",出库单!$C$4:$C$4003,"&gt;="&amp;账期起,出库单!$C$4:$C$4003,"&lt;="&amp;账期止))</f>
        <v/>
      </c>
      <c r="W102" s="26">
        <f>IF($A102="","",ROUND(SUMIFS(出库单!$S$4:$S$4003,出库单!$D$4:$D$4003,$A102,出库单!$K$4:$K$4003,"退货给供应商",出库单!$U$4:$U$4003,"正常",出库单!$C$4:$C$4003,"&gt;="&amp;账期起,出库单!$C$4:$C$4003,"&lt;="&amp;账期止),0))</f>
        <v/>
      </c>
      <c r="X102" s="27">
        <f>IF($A102="","",ROUND(N($G102)+$I102+$L102+$N102-$P102-$R102-$T102-$V102,3))</f>
        <v/>
      </c>
      <c r="Y102" s="26">
        <f>IF($A102="","",ROUND(N($H102)+$J102+$M102+$O102-$Q102-$S102-$U102-$W102,0))</f>
        <v/>
      </c>
      <c r="Z102" s="24">
        <f>IF($A102="","",IF(COUNTIFS(入库单!$G$4:$G$2503,$A102,入库单!$Y$4:$Y$2503,"待补价")+COUNTIFS(入库单!$G$4:$G$2503,$A102,入库单!$Y$4:$Y$2503,"暂估")&gt;0,"不可信","可信"))</f>
        <v/>
      </c>
      <c r="AA102" s="24">
        <f>IF($A102="","",IF($X102&lt;-0.001,"※账面负库存，查一下是不是漏记入库",IF(AND(ROUND($X102,3)=0,ABS($Y102)&gt;1),"※数量已经是 0，金额还挂着 "&amp;TEXT($Y102,"#,##0")&amp;" 先令",IF(AND($X102&gt;0,$Y102&lt;=0,$K102=0),"※有数量没金额（这个物料一直没填过进价）",IF($Z102="不可信","△成本含待补价/暂估，毛利仅供参考","")))))</f>
        <v/>
      </c>
    </row>
    <row r="103">
      <c r="A103" s="24">
        <f>IF(物料档案!$A102="","",物料档案!$A102)</f>
        <v/>
      </c>
      <c r="B103" s="24">
        <f>IF($A103="","",IFERROR(VLOOKUP($A103,物料档案!$A$4:$P$1203,3,0),""))</f>
        <v/>
      </c>
      <c r="C103" s="24">
        <f>IF($A103="","",IFERROR(VLOOKUP($A103,物料档案!$A$4:$P$1203,4,0),""))</f>
        <v/>
      </c>
      <c r="D103" s="24">
        <f>IF($A103="","",IFERROR(VLOOKUP($A103,物料档案!$A$4:$P$1203,5,0),""))</f>
        <v/>
      </c>
      <c r="E103" s="24">
        <f>IF($A103="","",IFERROR(VLOOKUP($A103,物料档案!$A$4:$P$1203,2,0),""))</f>
        <v/>
      </c>
      <c r="F103" s="24">
        <f>IF($A103="","",IFERROR(VLOOKUP($A103,物料档案!$A$4:$P$1203,6,0),""))</f>
        <v/>
      </c>
      <c r="G103" s="23" t="n"/>
      <c r="H103" s="32" t="n"/>
      <c r="I103" s="27">
        <f>IF($A103="","",SUMIFS(入库单!$K$4:$K$2503,入库单!$G$4:$G$2503,$A103,入库单!$X$4:$X$2503,"采购入库",入库单!$Z$4:$Z$2503,"正常",入库单!$C$4:$C$2503,"&gt;="&amp;账期起,入库单!$C$4:$C$2503,"&lt;="&amp;账期止))</f>
        <v/>
      </c>
      <c r="J103" s="26">
        <f>IF($A103="","",SUMIFS(入库单!$V$4:$V$2503,入库单!$G$4:$G$2503,$A103,入库单!$X$4:$X$2503,"采购入库",入库单!$Z$4:$Z$2503,"正常",入库单!$C$4:$C$2503,"&gt;="&amp;账期起,入库单!$C$4:$C$2503,"&lt;="&amp;账期止))</f>
        <v/>
      </c>
      <c r="K103" s="26">
        <f>IF($A103="","",IFERROR(ROUND((N($H103)+N($J103))/(N($G103)+N($I103)),2),0))</f>
        <v/>
      </c>
      <c r="L103" s="27">
        <f>IF($A103="","",SUMIFS(入库单!$K$4:$K$2503,入库单!$G$4:$G$2503,$A103,入库单!$X$4:$X$2503,"盘盈",入库单!$Z$4:$Z$2503,"正常",入库单!$C$4:$C$2503,"&gt;="&amp;账期起,入库单!$C$4:$C$2503,"&lt;="&amp;账期止))</f>
        <v/>
      </c>
      <c r="M103" s="26">
        <f>IF($A103="","",ROUND($L103*$K103,0))</f>
        <v/>
      </c>
      <c r="N103" s="27">
        <f>IF($A103="","",SUMIFS(入库单!$K$4:$K$2503,入库单!$G$4:$G$2503,$A103,入库单!$X$4:$X$2503,"矿区退库",入库单!$Z$4:$Z$2503,"正常",入库单!$C$4:$C$2503,"&gt;="&amp;账期起,入库单!$C$4:$C$2503,"&lt;="&amp;账期止))</f>
        <v/>
      </c>
      <c r="O103" s="26">
        <f>IF($A103="","",ROUND($N103*$K103,0))</f>
        <v/>
      </c>
      <c r="P103" s="27">
        <f>IF($A103="","",SUMIFS(出库单!$J$4:$J$4003,出库单!$D$4:$D$4003,$A103,出库单!$K$4:$K$4003,"自用消耗",出库单!$U$4:$U$4003,"正常",出库单!$C$4:$C$4003,"&gt;="&amp;账期起,出库单!$C$4:$C$4003,"&lt;="&amp;账期止))</f>
        <v/>
      </c>
      <c r="Q103" s="26">
        <f>IF($A103="","",ROUND(SUMIFS(出库单!$S$4:$S$4003,出库单!$D$4:$D$4003,$A103,出库单!$K$4:$K$4003,"自用消耗",出库单!$U$4:$U$4003,"正常",出库单!$C$4:$C$4003,"&gt;="&amp;账期起,出库单!$C$4:$C$4003,"&lt;="&amp;账期止),0))</f>
        <v/>
      </c>
      <c r="R103" s="27">
        <f>IF($A103="","",SUMIFS(出库单!$J$4:$J$4003,出库单!$D$4:$D$4003,$A103,出库单!$K$4:$K$4003,"对外销售",出库单!$U$4:$U$4003,"正常",出库单!$C$4:$C$4003,"&gt;="&amp;账期起,出库单!$C$4:$C$4003,"&lt;="&amp;账期止))</f>
        <v/>
      </c>
      <c r="S103" s="26">
        <f>IF($A103="","",ROUND(SUMIFS(出库单!$S$4:$S$4003,出库单!$D$4:$D$4003,$A103,出库单!$K$4:$K$4003,"对外销售",出库单!$U$4:$U$4003,"正常",出库单!$C$4:$C$4003,"&gt;="&amp;账期起,出库单!$C$4:$C$4003,"&lt;="&amp;账期止),0))</f>
        <v/>
      </c>
      <c r="T103" s="27">
        <f>IF($A103="","",SUMIFS(出库单!$J$4:$J$4003,出库单!$D$4:$D$4003,$A103,出库单!$K$4:$K$4003,"盘亏",出库单!$U$4:$U$4003,"正常",出库单!$C$4:$C$4003,"&gt;="&amp;账期起,出库单!$C$4:$C$4003,"&lt;="&amp;账期止))</f>
        <v/>
      </c>
      <c r="U103" s="26">
        <f>IF($A103="","",ROUND(SUMIFS(出库单!$S$4:$S$4003,出库单!$D$4:$D$4003,$A103,出库单!$K$4:$K$4003,"盘亏",出库单!$U$4:$U$4003,"正常",出库单!$C$4:$C$4003,"&gt;="&amp;账期起,出库单!$C$4:$C$4003,"&lt;="&amp;账期止),0))</f>
        <v/>
      </c>
      <c r="V103" s="27">
        <f>IF($A103="","",SUMIFS(出库单!$J$4:$J$4003,出库单!$D$4:$D$4003,$A103,出库单!$K$4:$K$4003,"退货给供应商",出库单!$U$4:$U$4003,"正常",出库单!$C$4:$C$4003,"&gt;="&amp;账期起,出库单!$C$4:$C$4003,"&lt;="&amp;账期止))</f>
        <v/>
      </c>
      <c r="W103" s="26">
        <f>IF($A103="","",ROUND(SUMIFS(出库单!$S$4:$S$4003,出库单!$D$4:$D$4003,$A103,出库单!$K$4:$K$4003,"退货给供应商",出库单!$U$4:$U$4003,"正常",出库单!$C$4:$C$4003,"&gt;="&amp;账期起,出库单!$C$4:$C$4003,"&lt;="&amp;账期止),0))</f>
        <v/>
      </c>
      <c r="X103" s="27">
        <f>IF($A103="","",ROUND(N($G103)+$I103+$L103+$N103-$P103-$R103-$T103-$V103,3))</f>
        <v/>
      </c>
      <c r="Y103" s="26">
        <f>IF($A103="","",ROUND(N($H103)+$J103+$M103+$O103-$Q103-$S103-$U103-$W103,0))</f>
        <v/>
      </c>
      <c r="Z103" s="24">
        <f>IF($A103="","",IF(COUNTIFS(入库单!$G$4:$G$2503,$A103,入库单!$Y$4:$Y$2503,"待补价")+COUNTIFS(入库单!$G$4:$G$2503,$A103,入库单!$Y$4:$Y$2503,"暂估")&gt;0,"不可信","可信"))</f>
        <v/>
      </c>
      <c r="AA103" s="24">
        <f>IF($A103="","",IF($X103&lt;-0.001,"※账面负库存，查一下是不是漏记入库",IF(AND(ROUND($X103,3)=0,ABS($Y103)&gt;1),"※数量已经是 0，金额还挂着 "&amp;TEXT($Y103,"#,##0")&amp;" 先令",IF(AND($X103&gt;0,$Y103&lt;=0,$K103=0),"※有数量没金额（这个物料一直没填过进价）",IF($Z103="不可信","△成本含待补价/暂估，毛利仅供参考","")))))</f>
        <v/>
      </c>
    </row>
    <row r="104">
      <c r="A104" s="24">
        <f>IF(物料档案!$A103="","",物料档案!$A103)</f>
        <v/>
      </c>
      <c r="B104" s="24">
        <f>IF($A104="","",IFERROR(VLOOKUP($A104,物料档案!$A$4:$P$1203,3,0),""))</f>
        <v/>
      </c>
      <c r="C104" s="24">
        <f>IF($A104="","",IFERROR(VLOOKUP($A104,物料档案!$A$4:$P$1203,4,0),""))</f>
        <v/>
      </c>
      <c r="D104" s="24">
        <f>IF($A104="","",IFERROR(VLOOKUP($A104,物料档案!$A$4:$P$1203,5,0),""))</f>
        <v/>
      </c>
      <c r="E104" s="24">
        <f>IF($A104="","",IFERROR(VLOOKUP($A104,物料档案!$A$4:$P$1203,2,0),""))</f>
        <v/>
      </c>
      <c r="F104" s="24">
        <f>IF($A104="","",IFERROR(VLOOKUP($A104,物料档案!$A$4:$P$1203,6,0),""))</f>
        <v/>
      </c>
      <c r="G104" s="23" t="n"/>
      <c r="H104" s="32" t="n"/>
      <c r="I104" s="27">
        <f>IF($A104="","",SUMIFS(入库单!$K$4:$K$2503,入库单!$G$4:$G$2503,$A104,入库单!$X$4:$X$2503,"采购入库",入库单!$Z$4:$Z$2503,"正常",入库单!$C$4:$C$2503,"&gt;="&amp;账期起,入库单!$C$4:$C$2503,"&lt;="&amp;账期止))</f>
        <v/>
      </c>
      <c r="J104" s="26">
        <f>IF($A104="","",SUMIFS(入库单!$V$4:$V$2503,入库单!$G$4:$G$2503,$A104,入库单!$X$4:$X$2503,"采购入库",入库单!$Z$4:$Z$2503,"正常",入库单!$C$4:$C$2503,"&gt;="&amp;账期起,入库单!$C$4:$C$2503,"&lt;="&amp;账期止))</f>
        <v/>
      </c>
      <c r="K104" s="26">
        <f>IF($A104="","",IFERROR(ROUND((N($H104)+N($J104))/(N($G104)+N($I104)),2),0))</f>
        <v/>
      </c>
      <c r="L104" s="27">
        <f>IF($A104="","",SUMIFS(入库单!$K$4:$K$2503,入库单!$G$4:$G$2503,$A104,入库单!$X$4:$X$2503,"盘盈",入库单!$Z$4:$Z$2503,"正常",入库单!$C$4:$C$2503,"&gt;="&amp;账期起,入库单!$C$4:$C$2503,"&lt;="&amp;账期止))</f>
        <v/>
      </c>
      <c r="M104" s="26">
        <f>IF($A104="","",ROUND($L104*$K104,0))</f>
        <v/>
      </c>
      <c r="N104" s="27">
        <f>IF($A104="","",SUMIFS(入库单!$K$4:$K$2503,入库单!$G$4:$G$2503,$A104,入库单!$X$4:$X$2503,"矿区退库",入库单!$Z$4:$Z$2503,"正常",入库单!$C$4:$C$2503,"&gt;="&amp;账期起,入库单!$C$4:$C$2503,"&lt;="&amp;账期止))</f>
        <v/>
      </c>
      <c r="O104" s="26">
        <f>IF($A104="","",ROUND($N104*$K104,0))</f>
        <v/>
      </c>
      <c r="P104" s="27">
        <f>IF($A104="","",SUMIFS(出库单!$J$4:$J$4003,出库单!$D$4:$D$4003,$A104,出库单!$K$4:$K$4003,"自用消耗",出库单!$U$4:$U$4003,"正常",出库单!$C$4:$C$4003,"&gt;="&amp;账期起,出库单!$C$4:$C$4003,"&lt;="&amp;账期止))</f>
        <v/>
      </c>
      <c r="Q104" s="26">
        <f>IF($A104="","",ROUND(SUMIFS(出库单!$S$4:$S$4003,出库单!$D$4:$D$4003,$A104,出库单!$K$4:$K$4003,"自用消耗",出库单!$U$4:$U$4003,"正常",出库单!$C$4:$C$4003,"&gt;="&amp;账期起,出库单!$C$4:$C$4003,"&lt;="&amp;账期止),0))</f>
        <v/>
      </c>
      <c r="R104" s="27">
        <f>IF($A104="","",SUMIFS(出库单!$J$4:$J$4003,出库单!$D$4:$D$4003,$A104,出库单!$K$4:$K$4003,"对外销售",出库单!$U$4:$U$4003,"正常",出库单!$C$4:$C$4003,"&gt;="&amp;账期起,出库单!$C$4:$C$4003,"&lt;="&amp;账期止))</f>
        <v/>
      </c>
      <c r="S104" s="26">
        <f>IF($A104="","",ROUND(SUMIFS(出库单!$S$4:$S$4003,出库单!$D$4:$D$4003,$A104,出库单!$K$4:$K$4003,"对外销售",出库单!$U$4:$U$4003,"正常",出库单!$C$4:$C$4003,"&gt;="&amp;账期起,出库单!$C$4:$C$4003,"&lt;="&amp;账期止),0))</f>
        <v/>
      </c>
      <c r="T104" s="27">
        <f>IF($A104="","",SUMIFS(出库单!$J$4:$J$4003,出库单!$D$4:$D$4003,$A104,出库单!$K$4:$K$4003,"盘亏",出库单!$U$4:$U$4003,"正常",出库单!$C$4:$C$4003,"&gt;="&amp;账期起,出库单!$C$4:$C$4003,"&lt;="&amp;账期止))</f>
        <v/>
      </c>
      <c r="U104" s="26">
        <f>IF($A104="","",ROUND(SUMIFS(出库单!$S$4:$S$4003,出库单!$D$4:$D$4003,$A104,出库单!$K$4:$K$4003,"盘亏",出库单!$U$4:$U$4003,"正常",出库单!$C$4:$C$4003,"&gt;="&amp;账期起,出库单!$C$4:$C$4003,"&lt;="&amp;账期止),0))</f>
        <v/>
      </c>
      <c r="V104" s="27">
        <f>IF($A104="","",SUMIFS(出库单!$J$4:$J$4003,出库单!$D$4:$D$4003,$A104,出库单!$K$4:$K$4003,"退货给供应商",出库单!$U$4:$U$4003,"正常",出库单!$C$4:$C$4003,"&gt;="&amp;账期起,出库单!$C$4:$C$4003,"&lt;="&amp;账期止))</f>
        <v/>
      </c>
      <c r="W104" s="26">
        <f>IF($A104="","",ROUND(SUMIFS(出库单!$S$4:$S$4003,出库单!$D$4:$D$4003,$A104,出库单!$K$4:$K$4003,"退货给供应商",出库单!$U$4:$U$4003,"正常",出库单!$C$4:$C$4003,"&gt;="&amp;账期起,出库单!$C$4:$C$4003,"&lt;="&amp;账期止),0))</f>
        <v/>
      </c>
      <c r="X104" s="27">
        <f>IF($A104="","",ROUND(N($G104)+$I104+$L104+$N104-$P104-$R104-$T104-$V104,3))</f>
        <v/>
      </c>
      <c r="Y104" s="26">
        <f>IF($A104="","",ROUND(N($H104)+$J104+$M104+$O104-$Q104-$S104-$U104-$W104,0))</f>
        <v/>
      </c>
      <c r="Z104" s="24">
        <f>IF($A104="","",IF(COUNTIFS(入库单!$G$4:$G$2503,$A104,入库单!$Y$4:$Y$2503,"待补价")+COUNTIFS(入库单!$G$4:$G$2503,$A104,入库单!$Y$4:$Y$2503,"暂估")&gt;0,"不可信","可信"))</f>
        <v/>
      </c>
      <c r="AA104" s="24">
        <f>IF($A104="","",IF($X104&lt;-0.001,"※账面负库存，查一下是不是漏记入库",IF(AND(ROUND($X104,3)=0,ABS($Y104)&gt;1),"※数量已经是 0，金额还挂着 "&amp;TEXT($Y104,"#,##0")&amp;" 先令",IF(AND($X104&gt;0,$Y104&lt;=0,$K104=0),"※有数量没金额（这个物料一直没填过进价）",IF($Z104="不可信","△成本含待补价/暂估，毛利仅供参考","")))))</f>
        <v/>
      </c>
    </row>
    <row r="105">
      <c r="A105" s="24">
        <f>IF(物料档案!$A104="","",物料档案!$A104)</f>
        <v/>
      </c>
      <c r="B105" s="24">
        <f>IF($A105="","",IFERROR(VLOOKUP($A105,物料档案!$A$4:$P$1203,3,0),""))</f>
        <v/>
      </c>
      <c r="C105" s="24">
        <f>IF($A105="","",IFERROR(VLOOKUP($A105,物料档案!$A$4:$P$1203,4,0),""))</f>
        <v/>
      </c>
      <c r="D105" s="24">
        <f>IF($A105="","",IFERROR(VLOOKUP($A105,物料档案!$A$4:$P$1203,5,0),""))</f>
        <v/>
      </c>
      <c r="E105" s="24">
        <f>IF($A105="","",IFERROR(VLOOKUP($A105,物料档案!$A$4:$P$1203,2,0),""))</f>
        <v/>
      </c>
      <c r="F105" s="24">
        <f>IF($A105="","",IFERROR(VLOOKUP($A105,物料档案!$A$4:$P$1203,6,0),""))</f>
        <v/>
      </c>
      <c r="G105" s="23" t="n"/>
      <c r="H105" s="32" t="n"/>
      <c r="I105" s="27">
        <f>IF($A105="","",SUMIFS(入库单!$K$4:$K$2503,入库单!$G$4:$G$2503,$A105,入库单!$X$4:$X$2503,"采购入库",入库单!$Z$4:$Z$2503,"正常",入库单!$C$4:$C$2503,"&gt;="&amp;账期起,入库单!$C$4:$C$2503,"&lt;="&amp;账期止))</f>
        <v/>
      </c>
      <c r="J105" s="26">
        <f>IF($A105="","",SUMIFS(入库单!$V$4:$V$2503,入库单!$G$4:$G$2503,$A105,入库单!$X$4:$X$2503,"采购入库",入库单!$Z$4:$Z$2503,"正常",入库单!$C$4:$C$2503,"&gt;="&amp;账期起,入库单!$C$4:$C$2503,"&lt;="&amp;账期止))</f>
        <v/>
      </c>
      <c r="K105" s="26">
        <f>IF($A105="","",IFERROR(ROUND((N($H105)+N($J105))/(N($G105)+N($I105)),2),0))</f>
        <v/>
      </c>
      <c r="L105" s="27">
        <f>IF($A105="","",SUMIFS(入库单!$K$4:$K$2503,入库单!$G$4:$G$2503,$A105,入库单!$X$4:$X$2503,"盘盈",入库单!$Z$4:$Z$2503,"正常",入库单!$C$4:$C$2503,"&gt;="&amp;账期起,入库单!$C$4:$C$2503,"&lt;="&amp;账期止))</f>
        <v/>
      </c>
      <c r="M105" s="26">
        <f>IF($A105="","",ROUND($L105*$K105,0))</f>
        <v/>
      </c>
      <c r="N105" s="27">
        <f>IF($A105="","",SUMIFS(入库单!$K$4:$K$2503,入库单!$G$4:$G$2503,$A105,入库单!$X$4:$X$2503,"矿区退库",入库单!$Z$4:$Z$2503,"正常",入库单!$C$4:$C$2503,"&gt;="&amp;账期起,入库单!$C$4:$C$2503,"&lt;="&amp;账期止))</f>
        <v/>
      </c>
      <c r="O105" s="26">
        <f>IF($A105="","",ROUND($N105*$K105,0))</f>
        <v/>
      </c>
      <c r="P105" s="27">
        <f>IF($A105="","",SUMIFS(出库单!$J$4:$J$4003,出库单!$D$4:$D$4003,$A105,出库单!$K$4:$K$4003,"自用消耗",出库单!$U$4:$U$4003,"正常",出库单!$C$4:$C$4003,"&gt;="&amp;账期起,出库单!$C$4:$C$4003,"&lt;="&amp;账期止))</f>
        <v/>
      </c>
      <c r="Q105" s="26">
        <f>IF($A105="","",ROUND(SUMIFS(出库单!$S$4:$S$4003,出库单!$D$4:$D$4003,$A105,出库单!$K$4:$K$4003,"自用消耗",出库单!$U$4:$U$4003,"正常",出库单!$C$4:$C$4003,"&gt;="&amp;账期起,出库单!$C$4:$C$4003,"&lt;="&amp;账期止),0))</f>
        <v/>
      </c>
      <c r="R105" s="27">
        <f>IF($A105="","",SUMIFS(出库单!$J$4:$J$4003,出库单!$D$4:$D$4003,$A105,出库单!$K$4:$K$4003,"对外销售",出库单!$U$4:$U$4003,"正常",出库单!$C$4:$C$4003,"&gt;="&amp;账期起,出库单!$C$4:$C$4003,"&lt;="&amp;账期止))</f>
        <v/>
      </c>
      <c r="S105" s="26">
        <f>IF($A105="","",ROUND(SUMIFS(出库单!$S$4:$S$4003,出库单!$D$4:$D$4003,$A105,出库单!$K$4:$K$4003,"对外销售",出库单!$U$4:$U$4003,"正常",出库单!$C$4:$C$4003,"&gt;="&amp;账期起,出库单!$C$4:$C$4003,"&lt;="&amp;账期止),0))</f>
        <v/>
      </c>
      <c r="T105" s="27">
        <f>IF($A105="","",SUMIFS(出库单!$J$4:$J$4003,出库单!$D$4:$D$4003,$A105,出库单!$K$4:$K$4003,"盘亏",出库单!$U$4:$U$4003,"正常",出库单!$C$4:$C$4003,"&gt;="&amp;账期起,出库单!$C$4:$C$4003,"&lt;="&amp;账期止))</f>
        <v/>
      </c>
      <c r="U105" s="26">
        <f>IF($A105="","",ROUND(SUMIFS(出库单!$S$4:$S$4003,出库单!$D$4:$D$4003,$A105,出库单!$K$4:$K$4003,"盘亏",出库单!$U$4:$U$4003,"正常",出库单!$C$4:$C$4003,"&gt;="&amp;账期起,出库单!$C$4:$C$4003,"&lt;="&amp;账期止),0))</f>
        <v/>
      </c>
      <c r="V105" s="27">
        <f>IF($A105="","",SUMIFS(出库单!$J$4:$J$4003,出库单!$D$4:$D$4003,$A105,出库单!$K$4:$K$4003,"退货给供应商",出库单!$U$4:$U$4003,"正常",出库单!$C$4:$C$4003,"&gt;="&amp;账期起,出库单!$C$4:$C$4003,"&lt;="&amp;账期止))</f>
        <v/>
      </c>
      <c r="W105" s="26">
        <f>IF($A105="","",ROUND(SUMIFS(出库单!$S$4:$S$4003,出库单!$D$4:$D$4003,$A105,出库单!$K$4:$K$4003,"退货给供应商",出库单!$U$4:$U$4003,"正常",出库单!$C$4:$C$4003,"&gt;="&amp;账期起,出库单!$C$4:$C$4003,"&lt;="&amp;账期止),0))</f>
        <v/>
      </c>
      <c r="X105" s="27">
        <f>IF($A105="","",ROUND(N($G105)+$I105+$L105+$N105-$P105-$R105-$T105-$V105,3))</f>
        <v/>
      </c>
      <c r="Y105" s="26">
        <f>IF($A105="","",ROUND(N($H105)+$J105+$M105+$O105-$Q105-$S105-$U105-$W105,0))</f>
        <v/>
      </c>
      <c r="Z105" s="24">
        <f>IF($A105="","",IF(COUNTIFS(入库单!$G$4:$G$2503,$A105,入库单!$Y$4:$Y$2503,"待补价")+COUNTIFS(入库单!$G$4:$G$2503,$A105,入库单!$Y$4:$Y$2503,"暂估")&gt;0,"不可信","可信"))</f>
        <v/>
      </c>
      <c r="AA105" s="24">
        <f>IF($A105="","",IF($X105&lt;-0.001,"※账面负库存，查一下是不是漏记入库",IF(AND(ROUND($X105,3)=0,ABS($Y105)&gt;1),"※数量已经是 0，金额还挂着 "&amp;TEXT($Y105,"#,##0")&amp;" 先令",IF(AND($X105&gt;0,$Y105&lt;=0,$K105=0),"※有数量没金额（这个物料一直没填过进价）",IF($Z105="不可信","△成本含待补价/暂估，毛利仅供参考","")))))</f>
        <v/>
      </c>
    </row>
    <row r="106">
      <c r="A106" s="24">
        <f>IF(物料档案!$A105="","",物料档案!$A105)</f>
        <v/>
      </c>
      <c r="B106" s="24">
        <f>IF($A106="","",IFERROR(VLOOKUP($A106,物料档案!$A$4:$P$1203,3,0),""))</f>
        <v/>
      </c>
      <c r="C106" s="24">
        <f>IF($A106="","",IFERROR(VLOOKUP($A106,物料档案!$A$4:$P$1203,4,0),""))</f>
        <v/>
      </c>
      <c r="D106" s="24">
        <f>IF($A106="","",IFERROR(VLOOKUP($A106,物料档案!$A$4:$P$1203,5,0),""))</f>
        <v/>
      </c>
      <c r="E106" s="24">
        <f>IF($A106="","",IFERROR(VLOOKUP($A106,物料档案!$A$4:$P$1203,2,0),""))</f>
        <v/>
      </c>
      <c r="F106" s="24">
        <f>IF($A106="","",IFERROR(VLOOKUP($A106,物料档案!$A$4:$P$1203,6,0),""))</f>
        <v/>
      </c>
      <c r="G106" s="23" t="n"/>
      <c r="H106" s="32" t="n"/>
      <c r="I106" s="27">
        <f>IF($A106="","",SUMIFS(入库单!$K$4:$K$2503,入库单!$G$4:$G$2503,$A106,入库单!$X$4:$X$2503,"采购入库",入库单!$Z$4:$Z$2503,"正常",入库单!$C$4:$C$2503,"&gt;="&amp;账期起,入库单!$C$4:$C$2503,"&lt;="&amp;账期止))</f>
        <v/>
      </c>
      <c r="J106" s="26">
        <f>IF($A106="","",SUMIFS(入库单!$V$4:$V$2503,入库单!$G$4:$G$2503,$A106,入库单!$X$4:$X$2503,"采购入库",入库单!$Z$4:$Z$2503,"正常",入库单!$C$4:$C$2503,"&gt;="&amp;账期起,入库单!$C$4:$C$2503,"&lt;="&amp;账期止))</f>
        <v/>
      </c>
      <c r="K106" s="26">
        <f>IF($A106="","",IFERROR(ROUND((N($H106)+N($J106))/(N($G106)+N($I106)),2),0))</f>
        <v/>
      </c>
      <c r="L106" s="27">
        <f>IF($A106="","",SUMIFS(入库单!$K$4:$K$2503,入库单!$G$4:$G$2503,$A106,入库单!$X$4:$X$2503,"盘盈",入库单!$Z$4:$Z$2503,"正常",入库单!$C$4:$C$2503,"&gt;="&amp;账期起,入库单!$C$4:$C$2503,"&lt;="&amp;账期止))</f>
        <v/>
      </c>
      <c r="M106" s="26">
        <f>IF($A106="","",ROUND($L106*$K106,0))</f>
        <v/>
      </c>
      <c r="N106" s="27">
        <f>IF($A106="","",SUMIFS(入库单!$K$4:$K$2503,入库单!$G$4:$G$2503,$A106,入库单!$X$4:$X$2503,"矿区退库",入库单!$Z$4:$Z$2503,"正常",入库单!$C$4:$C$2503,"&gt;="&amp;账期起,入库单!$C$4:$C$2503,"&lt;="&amp;账期止))</f>
        <v/>
      </c>
      <c r="O106" s="26">
        <f>IF($A106="","",ROUND($N106*$K106,0))</f>
        <v/>
      </c>
      <c r="P106" s="27">
        <f>IF($A106="","",SUMIFS(出库单!$J$4:$J$4003,出库单!$D$4:$D$4003,$A106,出库单!$K$4:$K$4003,"自用消耗",出库单!$U$4:$U$4003,"正常",出库单!$C$4:$C$4003,"&gt;="&amp;账期起,出库单!$C$4:$C$4003,"&lt;="&amp;账期止))</f>
        <v/>
      </c>
      <c r="Q106" s="26">
        <f>IF($A106="","",ROUND(SUMIFS(出库单!$S$4:$S$4003,出库单!$D$4:$D$4003,$A106,出库单!$K$4:$K$4003,"自用消耗",出库单!$U$4:$U$4003,"正常",出库单!$C$4:$C$4003,"&gt;="&amp;账期起,出库单!$C$4:$C$4003,"&lt;="&amp;账期止),0))</f>
        <v/>
      </c>
      <c r="R106" s="27">
        <f>IF($A106="","",SUMIFS(出库单!$J$4:$J$4003,出库单!$D$4:$D$4003,$A106,出库单!$K$4:$K$4003,"对外销售",出库单!$U$4:$U$4003,"正常",出库单!$C$4:$C$4003,"&gt;="&amp;账期起,出库单!$C$4:$C$4003,"&lt;="&amp;账期止))</f>
        <v/>
      </c>
      <c r="S106" s="26">
        <f>IF($A106="","",ROUND(SUMIFS(出库单!$S$4:$S$4003,出库单!$D$4:$D$4003,$A106,出库单!$K$4:$K$4003,"对外销售",出库单!$U$4:$U$4003,"正常",出库单!$C$4:$C$4003,"&gt;="&amp;账期起,出库单!$C$4:$C$4003,"&lt;="&amp;账期止),0))</f>
        <v/>
      </c>
      <c r="T106" s="27">
        <f>IF($A106="","",SUMIFS(出库单!$J$4:$J$4003,出库单!$D$4:$D$4003,$A106,出库单!$K$4:$K$4003,"盘亏",出库单!$U$4:$U$4003,"正常",出库单!$C$4:$C$4003,"&gt;="&amp;账期起,出库单!$C$4:$C$4003,"&lt;="&amp;账期止))</f>
        <v/>
      </c>
      <c r="U106" s="26">
        <f>IF($A106="","",ROUND(SUMIFS(出库单!$S$4:$S$4003,出库单!$D$4:$D$4003,$A106,出库单!$K$4:$K$4003,"盘亏",出库单!$U$4:$U$4003,"正常",出库单!$C$4:$C$4003,"&gt;="&amp;账期起,出库单!$C$4:$C$4003,"&lt;="&amp;账期止),0))</f>
        <v/>
      </c>
      <c r="V106" s="27">
        <f>IF($A106="","",SUMIFS(出库单!$J$4:$J$4003,出库单!$D$4:$D$4003,$A106,出库单!$K$4:$K$4003,"退货给供应商",出库单!$U$4:$U$4003,"正常",出库单!$C$4:$C$4003,"&gt;="&amp;账期起,出库单!$C$4:$C$4003,"&lt;="&amp;账期止))</f>
        <v/>
      </c>
      <c r="W106" s="26">
        <f>IF($A106="","",ROUND(SUMIFS(出库单!$S$4:$S$4003,出库单!$D$4:$D$4003,$A106,出库单!$K$4:$K$4003,"退货给供应商",出库单!$U$4:$U$4003,"正常",出库单!$C$4:$C$4003,"&gt;="&amp;账期起,出库单!$C$4:$C$4003,"&lt;="&amp;账期止),0))</f>
        <v/>
      </c>
      <c r="X106" s="27">
        <f>IF($A106="","",ROUND(N($G106)+$I106+$L106+$N106-$P106-$R106-$T106-$V106,3))</f>
        <v/>
      </c>
      <c r="Y106" s="26">
        <f>IF($A106="","",ROUND(N($H106)+$J106+$M106+$O106-$Q106-$S106-$U106-$W106,0))</f>
        <v/>
      </c>
      <c r="Z106" s="24">
        <f>IF($A106="","",IF(COUNTIFS(入库单!$G$4:$G$2503,$A106,入库单!$Y$4:$Y$2503,"待补价")+COUNTIFS(入库单!$G$4:$G$2503,$A106,入库单!$Y$4:$Y$2503,"暂估")&gt;0,"不可信","可信"))</f>
        <v/>
      </c>
      <c r="AA106" s="24">
        <f>IF($A106="","",IF($X106&lt;-0.001,"※账面负库存，查一下是不是漏记入库",IF(AND(ROUND($X106,3)=0,ABS($Y106)&gt;1),"※数量已经是 0，金额还挂着 "&amp;TEXT($Y106,"#,##0")&amp;" 先令",IF(AND($X106&gt;0,$Y106&lt;=0,$K106=0),"※有数量没金额（这个物料一直没填过进价）",IF($Z106="不可信","△成本含待补价/暂估，毛利仅供参考","")))))</f>
        <v/>
      </c>
    </row>
    <row r="107">
      <c r="A107" s="24">
        <f>IF(物料档案!$A106="","",物料档案!$A106)</f>
        <v/>
      </c>
      <c r="B107" s="24">
        <f>IF($A107="","",IFERROR(VLOOKUP($A107,物料档案!$A$4:$P$1203,3,0),""))</f>
        <v/>
      </c>
      <c r="C107" s="24">
        <f>IF($A107="","",IFERROR(VLOOKUP($A107,物料档案!$A$4:$P$1203,4,0),""))</f>
        <v/>
      </c>
      <c r="D107" s="24">
        <f>IF($A107="","",IFERROR(VLOOKUP($A107,物料档案!$A$4:$P$1203,5,0),""))</f>
        <v/>
      </c>
      <c r="E107" s="24">
        <f>IF($A107="","",IFERROR(VLOOKUP($A107,物料档案!$A$4:$P$1203,2,0),""))</f>
        <v/>
      </c>
      <c r="F107" s="24">
        <f>IF($A107="","",IFERROR(VLOOKUP($A107,物料档案!$A$4:$P$1203,6,0),""))</f>
        <v/>
      </c>
      <c r="G107" s="23" t="n"/>
      <c r="H107" s="32" t="n"/>
      <c r="I107" s="27">
        <f>IF($A107="","",SUMIFS(入库单!$K$4:$K$2503,入库单!$G$4:$G$2503,$A107,入库单!$X$4:$X$2503,"采购入库",入库单!$Z$4:$Z$2503,"正常",入库单!$C$4:$C$2503,"&gt;="&amp;账期起,入库单!$C$4:$C$2503,"&lt;="&amp;账期止))</f>
        <v/>
      </c>
      <c r="J107" s="26">
        <f>IF($A107="","",SUMIFS(入库单!$V$4:$V$2503,入库单!$G$4:$G$2503,$A107,入库单!$X$4:$X$2503,"采购入库",入库单!$Z$4:$Z$2503,"正常",入库单!$C$4:$C$2503,"&gt;="&amp;账期起,入库单!$C$4:$C$2503,"&lt;="&amp;账期止))</f>
        <v/>
      </c>
      <c r="K107" s="26">
        <f>IF($A107="","",IFERROR(ROUND((N($H107)+N($J107))/(N($G107)+N($I107)),2),0))</f>
        <v/>
      </c>
      <c r="L107" s="27">
        <f>IF($A107="","",SUMIFS(入库单!$K$4:$K$2503,入库单!$G$4:$G$2503,$A107,入库单!$X$4:$X$2503,"盘盈",入库单!$Z$4:$Z$2503,"正常",入库单!$C$4:$C$2503,"&gt;="&amp;账期起,入库单!$C$4:$C$2503,"&lt;="&amp;账期止))</f>
        <v/>
      </c>
      <c r="M107" s="26">
        <f>IF($A107="","",ROUND($L107*$K107,0))</f>
        <v/>
      </c>
      <c r="N107" s="27">
        <f>IF($A107="","",SUMIFS(入库单!$K$4:$K$2503,入库单!$G$4:$G$2503,$A107,入库单!$X$4:$X$2503,"矿区退库",入库单!$Z$4:$Z$2503,"正常",入库单!$C$4:$C$2503,"&gt;="&amp;账期起,入库单!$C$4:$C$2503,"&lt;="&amp;账期止))</f>
        <v/>
      </c>
      <c r="O107" s="26">
        <f>IF($A107="","",ROUND($N107*$K107,0))</f>
        <v/>
      </c>
      <c r="P107" s="27">
        <f>IF($A107="","",SUMIFS(出库单!$J$4:$J$4003,出库单!$D$4:$D$4003,$A107,出库单!$K$4:$K$4003,"自用消耗",出库单!$U$4:$U$4003,"正常",出库单!$C$4:$C$4003,"&gt;="&amp;账期起,出库单!$C$4:$C$4003,"&lt;="&amp;账期止))</f>
        <v/>
      </c>
      <c r="Q107" s="26">
        <f>IF($A107="","",ROUND(SUMIFS(出库单!$S$4:$S$4003,出库单!$D$4:$D$4003,$A107,出库单!$K$4:$K$4003,"自用消耗",出库单!$U$4:$U$4003,"正常",出库单!$C$4:$C$4003,"&gt;="&amp;账期起,出库单!$C$4:$C$4003,"&lt;="&amp;账期止),0))</f>
        <v/>
      </c>
      <c r="R107" s="27">
        <f>IF($A107="","",SUMIFS(出库单!$J$4:$J$4003,出库单!$D$4:$D$4003,$A107,出库单!$K$4:$K$4003,"对外销售",出库单!$U$4:$U$4003,"正常",出库单!$C$4:$C$4003,"&gt;="&amp;账期起,出库单!$C$4:$C$4003,"&lt;="&amp;账期止))</f>
        <v/>
      </c>
      <c r="S107" s="26">
        <f>IF($A107="","",ROUND(SUMIFS(出库单!$S$4:$S$4003,出库单!$D$4:$D$4003,$A107,出库单!$K$4:$K$4003,"对外销售",出库单!$U$4:$U$4003,"正常",出库单!$C$4:$C$4003,"&gt;="&amp;账期起,出库单!$C$4:$C$4003,"&lt;="&amp;账期止),0))</f>
        <v/>
      </c>
      <c r="T107" s="27">
        <f>IF($A107="","",SUMIFS(出库单!$J$4:$J$4003,出库单!$D$4:$D$4003,$A107,出库单!$K$4:$K$4003,"盘亏",出库单!$U$4:$U$4003,"正常",出库单!$C$4:$C$4003,"&gt;="&amp;账期起,出库单!$C$4:$C$4003,"&lt;="&amp;账期止))</f>
        <v/>
      </c>
      <c r="U107" s="26">
        <f>IF($A107="","",ROUND(SUMIFS(出库单!$S$4:$S$4003,出库单!$D$4:$D$4003,$A107,出库单!$K$4:$K$4003,"盘亏",出库单!$U$4:$U$4003,"正常",出库单!$C$4:$C$4003,"&gt;="&amp;账期起,出库单!$C$4:$C$4003,"&lt;="&amp;账期止),0))</f>
        <v/>
      </c>
      <c r="V107" s="27">
        <f>IF($A107="","",SUMIFS(出库单!$J$4:$J$4003,出库单!$D$4:$D$4003,$A107,出库单!$K$4:$K$4003,"退货给供应商",出库单!$U$4:$U$4003,"正常",出库单!$C$4:$C$4003,"&gt;="&amp;账期起,出库单!$C$4:$C$4003,"&lt;="&amp;账期止))</f>
        <v/>
      </c>
      <c r="W107" s="26">
        <f>IF($A107="","",ROUND(SUMIFS(出库单!$S$4:$S$4003,出库单!$D$4:$D$4003,$A107,出库单!$K$4:$K$4003,"退货给供应商",出库单!$U$4:$U$4003,"正常",出库单!$C$4:$C$4003,"&gt;="&amp;账期起,出库单!$C$4:$C$4003,"&lt;="&amp;账期止),0))</f>
        <v/>
      </c>
      <c r="X107" s="27">
        <f>IF($A107="","",ROUND(N($G107)+$I107+$L107+$N107-$P107-$R107-$T107-$V107,3))</f>
        <v/>
      </c>
      <c r="Y107" s="26">
        <f>IF($A107="","",ROUND(N($H107)+$J107+$M107+$O107-$Q107-$S107-$U107-$W107,0))</f>
        <v/>
      </c>
      <c r="Z107" s="24">
        <f>IF($A107="","",IF(COUNTIFS(入库单!$G$4:$G$2503,$A107,入库单!$Y$4:$Y$2503,"待补价")+COUNTIFS(入库单!$G$4:$G$2503,$A107,入库单!$Y$4:$Y$2503,"暂估")&gt;0,"不可信","可信"))</f>
        <v/>
      </c>
      <c r="AA107" s="24">
        <f>IF($A107="","",IF($X107&lt;-0.001,"※账面负库存，查一下是不是漏记入库",IF(AND(ROUND($X107,3)=0,ABS($Y107)&gt;1),"※数量已经是 0，金额还挂着 "&amp;TEXT($Y107,"#,##0")&amp;" 先令",IF(AND($X107&gt;0,$Y107&lt;=0,$K107=0),"※有数量没金额（这个物料一直没填过进价）",IF($Z107="不可信","△成本含待补价/暂估，毛利仅供参考","")))))</f>
        <v/>
      </c>
    </row>
    <row r="108">
      <c r="A108" s="24">
        <f>IF(物料档案!$A107="","",物料档案!$A107)</f>
        <v/>
      </c>
      <c r="B108" s="24">
        <f>IF($A108="","",IFERROR(VLOOKUP($A108,物料档案!$A$4:$P$1203,3,0),""))</f>
        <v/>
      </c>
      <c r="C108" s="24">
        <f>IF($A108="","",IFERROR(VLOOKUP($A108,物料档案!$A$4:$P$1203,4,0),""))</f>
        <v/>
      </c>
      <c r="D108" s="24">
        <f>IF($A108="","",IFERROR(VLOOKUP($A108,物料档案!$A$4:$P$1203,5,0),""))</f>
        <v/>
      </c>
      <c r="E108" s="24">
        <f>IF($A108="","",IFERROR(VLOOKUP($A108,物料档案!$A$4:$P$1203,2,0),""))</f>
        <v/>
      </c>
      <c r="F108" s="24">
        <f>IF($A108="","",IFERROR(VLOOKUP($A108,物料档案!$A$4:$P$1203,6,0),""))</f>
        <v/>
      </c>
      <c r="G108" s="23" t="n"/>
      <c r="H108" s="32" t="n"/>
      <c r="I108" s="27">
        <f>IF($A108="","",SUMIFS(入库单!$K$4:$K$2503,入库单!$G$4:$G$2503,$A108,入库单!$X$4:$X$2503,"采购入库",入库单!$Z$4:$Z$2503,"正常",入库单!$C$4:$C$2503,"&gt;="&amp;账期起,入库单!$C$4:$C$2503,"&lt;="&amp;账期止))</f>
        <v/>
      </c>
      <c r="J108" s="26">
        <f>IF($A108="","",SUMIFS(入库单!$V$4:$V$2503,入库单!$G$4:$G$2503,$A108,入库单!$X$4:$X$2503,"采购入库",入库单!$Z$4:$Z$2503,"正常",入库单!$C$4:$C$2503,"&gt;="&amp;账期起,入库单!$C$4:$C$2503,"&lt;="&amp;账期止))</f>
        <v/>
      </c>
      <c r="K108" s="26">
        <f>IF($A108="","",IFERROR(ROUND((N($H108)+N($J108))/(N($G108)+N($I108)),2),0))</f>
        <v/>
      </c>
      <c r="L108" s="27">
        <f>IF($A108="","",SUMIFS(入库单!$K$4:$K$2503,入库单!$G$4:$G$2503,$A108,入库单!$X$4:$X$2503,"盘盈",入库单!$Z$4:$Z$2503,"正常",入库单!$C$4:$C$2503,"&gt;="&amp;账期起,入库单!$C$4:$C$2503,"&lt;="&amp;账期止))</f>
        <v/>
      </c>
      <c r="M108" s="26">
        <f>IF($A108="","",ROUND($L108*$K108,0))</f>
        <v/>
      </c>
      <c r="N108" s="27">
        <f>IF($A108="","",SUMIFS(入库单!$K$4:$K$2503,入库单!$G$4:$G$2503,$A108,入库单!$X$4:$X$2503,"矿区退库",入库单!$Z$4:$Z$2503,"正常",入库单!$C$4:$C$2503,"&gt;="&amp;账期起,入库单!$C$4:$C$2503,"&lt;="&amp;账期止))</f>
        <v/>
      </c>
      <c r="O108" s="26">
        <f>IF($A108="","",ROUND($N108*$K108,0))</f>
        <v/>
      </c>
      <c r="P108" s="27">
        <f>IF($A108="","",SUMIFS(出库单!$J$4:$J$4003,出库单!$D$4:$D$4003,$A108,出库单!$K$4:$K$4003,"自用消耗",出库单!$U$4:$U$4003,"正常",出库单!$C$4:$C$4003,"&gt;="&amp;账期起,出库单!$C$4:$C$4003,"&lt;="&amp;账期止))</f>
        <v/>
      </c>
      <c r="Q108" s="26">
        <f>IF($A108="","",ROUND(SUMIFS(出库单!$S$4:$S$4003,出库单!$D$4:$D$4003,$A108,出库单!$K$4:$K$4003,"自用消耗",出库单!$U$4:$U$4003,"正常",出库单!$C$4:$C$4003,"&gt;="&amp;账期起,出库单!$C$4:$C$4003,"&lt;="&amp;账期止),0))</f>
        <v/>
      </c>
      <c r="R108" s="27">
        <f>IF($A108="","",SUMIFS(出库单!$J$4:$J$4003,出库单!$D$4:$D$4003,$A108,出库单!$K$4:$K$4003,"对外销售",出库单!$U$4:$U$4003,"正常",出库单!$C$4:$C$4003,"&gt;="&amp;账期起,出库单!$C$4:$C$4003,"&lt;="&amp;账期止))</f>
        <v/>
      </c>
      <c r="S108" s="26">
        <f>IF($A108="","",ROUND(SUMIFS(出库单!$S$4:$S$4003,出库单!$D$4:$D$4003,$A108,出库单!$K$4:$K$4003,"对外销售",出库单!$U$4:$U$4003,"正常",出库单!$C$4:$C$4003,"&gt;="&amp;账期起,出库单!$C$4:$C$4003,"&lt;="&amp;账期止),0))</f>
        <v/>
      </c>
      <c r="T108" s="27">
        <f>IF($A108="","",SUMIFS(出库单!$J$4:$J$4003,出库单!$D$4:$D$4003,$A108,出库单!$K$4:$K$4003,"盘亏",出库单!$U$4:$U$4003,"正常",出库单!$C$4:$C$4003,"&gt;="&amp;账期起,出库单!$C$4:$C$4003,"&lt;="&amp;账期止))</f>
        <v/>
      </c>
      <c r="U108" s="26">
        <f>IF($A108="","",ROUND(SUMIFS(出库单!$S$4:$S$4003,出库单!$D$4:$D$4003,$A108,出库单!$K$4:$K$4003,"盘亏",出库单!$U$4:$U$4003,"正常",出库单!$C$4:$C$4003,"&gt;="&amp;账期起,出库单!$C$4:$C$4003,"&lt;="&amp;账期止),0))</f>
        <v/>
      </c>
      <c r="V108" s="27">
        <f>IF($A108="","",SUMIFS(出库单!$J$4:$J$4003,出库单!$D$4:$D$4003,$A108,出库单!$K$4:$K$4003,"退货给供应商",出库单!$U$4:$U$4003,"正常",出库单!$C$4:$C$4003,"&gt;="&amp;账期起,出库单!$C$4:$C$4003,"&lt;="&amp;账期止))</f>
        <v/>
      </c>
      <c r="W108" s="26">
        <f>IF($A108="","",ROUND(SUMIFS(出库单!$S$4:$S$4003,出库单!$D$4:$D$4003,$A108,出库单!$K$4:$K$4003,"退货给供应商",出库单!$U$4:$U$4003,"正常",出库单!$C$4:$C$4003,"&gt;="&amp;账期起,出库单!$C$4:$C$4003,"&lt;="&amp;账期止),0))</f>
        <v/>
      </c>
      <c r="X108" s="27">
        <f>IF($A108="","",ROUND(N($G108)+$I108+$L108+$N108-$P108-$R108-$T108-$V108,3))</f>
        <v/>
      </c>
      <c r="Y108" s="26">
        <f>IF($A108="","",ROUND(N($H108)+$J108+$M108+$O108-$Q108-$S108-$U108-$W108,0))</f>
        <v/>
      </c>
      <c r="Z108" s="24">
        <f>IF($A108="","",IF(COUNTIFS(入库单!$G$4:$G$2503,$A108,入库单!$Y$4:$Y$2503,"待补价")+COUNTIFS(入库单!$G$4:$G$2503,$A108,入库单!$Y$4:$Y$2503,"暂估")&gt;0,"不可信","可信"))</f>
        <v/>
      </c>
      <c r="AA108" s="24">
        <f>IF($A108="","",IF($X108&lt;-0.001,"※账面负库存，查一下是不是漏记入库",IF(AND(ROUND($X108,3)=0,ABS($Y108)&gt;1),"※数量已经是 0，金额还挂着 "&amp;TEXT($Y108,"#,##0")&amp;" 先令",IF(AND($X108&gt;0,$Y108&lt;=0,$K108=0),"※有数量没金额（这个物料一直没填过进价）",IF($Z108="不可信","△成本含待补价/暂估，毛利仅供参考","")))))</f>
        <v/>
      </c>
    </row>
    <row r="109">
      <c r="A109" s="24">
        <f>IF(物料档案!$A108="","",物料档案!$A108)</f>
        <v/>
      </c>
      <c r="B109" s="24">
        <f>IF($A109="","",IFERROR(VLOOKUP($A109,物料档案!$A$4:$P$1203,3,0),""))</f>
        <v/>
      </c>
      <c r="C109" s="24">
        <f>IF($A109="","",IFERROR(VLOOKUP($A109,物料档案!$A$4:$P$1203,4,0),""))</f>
        <v/>
      </c>
      <c r="D109" s="24">
        <f>IF($A109="","",IFERROR(VLOOKUP($A109,物料档案!$A$4:$P$1203,5,0),""))</f>
        <v/>
      </c>
      <c r="E109" s="24">
        <f>IF($A109="","",IFERROR(VLOOKUP($A109,物料档案!$A$4:$P$1203,2,0),""))</f>
        <v/>
      </c>
      <c r="F109" s="24">
        <f>IF($A109="","",IFERROR(VLOOKUP($A109,物料档案!$A$4:$P$1203,6,0),""))</f>
        <v/>
      </c>
      <c r="G109" s="23" t="n"/>
      <c r="H109" s="32" t="n"/>
      <c r="I109" s="27">
        <f>IF($A109="","",SUMIFS(入库单!$K$4:$K$2503,入库单!$G$4:$G$2503,$A109,入库单!$X$4:$X$2503,"采购入库",入库单!$Z$4:$Z$2503,"正常",入库单!$C$4:$C$2503,"&gt;="&amp;账期起,入库单!$C$4:$C$2503,"&lt;="&amp;账期止))</f>
        <v/>
      </c>
      <c r="J109" s="26">
        <f>IF($A109="","",SUMIFS(入库单!$V$4:$V$2503,入库单!$G$4:$G$2503,$A109,入库单!$X$4:$X$2503,"采购入库",入库单!$Z$4:$Z$2503,"正常",入库单!$C$4:$C$2503,"&gt;="&amp;账期起,入库单!$C$4:$C$2503,"&lt;="&amp;账期止))</f>
        <v/>
      </c>
      <c r="K109" s="26">
        <f>IF($A109="","",IFERROR(ROUND((N($H109)+N($J109))/(N($G109)+N($I109)),2),0))</f>
        <v/>
      </c>
      <c r="L109" s="27">
        <f>IF($A109="","",SUMIFS(入库单!$K$4:$K$2503,入库单!$G$4:$G$2503,$A109,入库单!$X$4:$X$2503,"盘盈",入库单!$Z$4:$Z$2503,"正常",入库单!$C$4:$C$2503,"&gt;="&amp;账期起,入库单!$C$4:$C$2503,"&lt;="&amp;账期止))</f>
        <v/>
      </c>
      <c r="M109" s="26">
        <f>IF($A109="","",ROUND($L109*$K109,0))</f>
        <v/>
      </c>
      <c r="N109" s="27">
        <f>IF($A109="","",SUMIFS(入库单!$K$4:$K$2503,入库单!$G$4:$G$2503,$A109,入库单!$X$4:$X$2503,"矿区退库",入库单!$Z$4:$Z$2503,"正常",入库单!$C$4:$C$2503,"&gt;="&amp;账期起,入库单!$C$4:$C$2503,"&lt;="&amp;账期止))</f>
        <v/>
      </c>
      <c r="O109" s="26">
        <f>IF($A109="","",ROUND($N109*$K109,0))</f>
        <v/>
      </c>
      <c r="P109" s="27">
        <f>IF($A109="","",SUMIFS(出库单!$J$4:$J$4003,出库单!$D$4:$D$4003,$A109,出库单!$K$4:$K$4003,"自用消耗",出库单!$U$4:$U$4003,"正常",出库单!$C$4:$C$4003,"&gt;="&amp;账期起,出库单!$C$4:$C$4003,"&lt;="&amp;账期止))</f>
        <v/>
      </c>
      <c r="Q109" s="26">
        <f>IF($A109="","",ROUND(SUMIFS(出库单!$S$4:$S$4003,出库单!$D$4:$D$4003,$A109,出库单!$K$4:$K$4003,"自用消耗",出库单!$U$4:$U$4003,"正常",出库单!$C$4:$C$4003,"&gt;="&amp;账期起,出库单!$C$4:$C$4003,"&lt;="&amp;账期止),0))</f>
        <v/>
      </c>
      <c r="R109" s="27">
        <f>IF($A109="","",SUMIFS(出库单!$J$4:$J$4003,出库单!$D$4:$D$4003,$A109,出库单!$K$4:$K$4003,"对外销售",出库单!$U$4:$U$4003,"正常",出库单!$C$4:$C$4003,"&gt;="&amp;账期起,出库单!$C$4:$C$4003,"&lt;="&amp;账期止))</f>
        <v/>
      </c>
      <c r="S109" s="26">
        <f>IF($A109="","",ROUND(SUMIFS(出库单!$S$4:$S$4003,出库单!$D$4:$D$4003,$A109,出库单!$K$4:$K$4003,"对外销售",出库单!$U$4:$U$4003,"正常",出库单!$C$4:$C$4003,"&gt;="&amp;账期起,出库单!$C$4:$C$4003,"&lt;="&amp;账期止),0))</f>
        <v/>
      </c>
      <c r="T109" s="27">
        <f>IF($A109="","",SUMIFS(出库单!$J$4:$J$4003,出库单!$D$4:$D$4003,$A109,出库单!$K$4:$K$4003,"盘亏",出库单!$U$4:$U$4003,"正常",出库单!$C$4:$C$4003,"&gt;="&amp;账期起,出库单!$C$4:$C$4003,"&lt;="&amp;账期止))</f>
        <v/>
      </c>
      <c r="U109" s="26">
        <f>IF($A109="","",ROUND(SUMIFS(出库单!$S$4:$S$4003,出库单!$D$4:$D$4003,$A109,出库单!$K$4:$K$4003,"盘亏",出库单!$U$4:$U$4003,"正常",出库单!$C$4:$C$4003,"&gt;="&amp;账期起,出库单!$C$4:$C$4003,"&lt;="&amp;账期止),0))</f>
        <v/>
      </c>
      <c r="V109" s="27">
        <f>IF($A109="","",SUMIFS(出库单!$J$4:$J$4003,出库单!$D$4:$D$4003,$A109,出库单!$K$4:$K$4003,"退货给供应商",出库单!$U$4:$U$4003,"正常",出库单!$C$4:$C$4003,"&gt;="&amp;账期起,出库单!$C$4:$C$4003,"&lt;="&amp;账期止))</f>
        <v/>
      </c>
      <c r="W109" s="26">
        <f>IF($A109="","",ROUND(SUMIFS(出库单!$S$4:$S$4003,出库单!$D$4:$D$4003,$A109,出库单!$K$4:$K$4003,"退货给供应商",出库单!$U$4:$U$4003,"正常",出库单!$C$4:$C$4003,"&gt;="&amp;账期起,出库单!$C$4:$C$4003,"&lt;="&amp;账期止),0))</f>
        <v/>
      </c>
      <c r="X109" s="27">
        <f>IF($A109="","",ROUND(N($G109)+$I109+$L109+$N109-$P109-$R109-$T109-$V109,3))</f>
        <v/>
      </c>
      <c r="Y109" s="26">
        <f>IF($A109="","",ROUND(N($H109)+$J109+$M109+$O109-$Q109-$S109-$U109-$W109,0))</f>
        <v/>
      </c>
      <c r="Z109" s="24">
        <f>IF($A109="","",IF(COUNTIFS(入库单!$G$4:$G$2503,$A109,入库单!$Y$4:$Y$2503,"待补价")+COUNTIFS(入库单!$G$4:$G$2503,$A109,入库单!$Y$4:$Y$2503,"暂估")&gt;0,"不可信","可信"))</f>
        <v/>
      </c>
      <c r="AA109" s="24">
        <f>IF($A109="","",IF($X109&lt;-0.001,"※账面负库存，查一下是不是漏记入库",IF(AND(ROUND($X109,3)=0,ABS($Y109)&gt;1),"※数量已经是 0，金额还挂着 "&amp;TEXT($Y109,"#,##0")&amp;" 先令",IF(AND($X109&gt;0,$Y109&lt;=0,$K109=0),"※有数量没金额（这个物料一直没填过进价）",IF($Z109="不可信","△成本含待补价/暂估，毛利仅供参考","")))))</f>
        <v/>
      </c>
    </row>
    <row r="110">
      <c r="A110" s="24">
        <f>IF(物料档案!$A109="","",物料档案!$A109)</f>
        <v/>
      </c>
      <c r="B110" s="24">
        <f>IF($A110="","",IFERROR(VLOOKUP($A110,物料档案!$A$4:$P$1203,3,0),""))</f>
        <v/>
      </c>
      <c r="C110" s="24">
        <f>IF($A110="","",IFERROR(VLOOKUP($A110,物料档案!$A$4:$P$1203,4,0),""))</f>
        <v/>
      </c>
      <c r="D110" s="24">
        <f>IF($A110="","",IFERROR(VLOOKUP($A110,物料档案!$A$4:$P$1203,5,0),""))</f>
        <v/>
      </c>
      <c r="E110" s="24">
        <f>IF($A110="","",IFERROR(VLOOKUP($A110,物料档案!$A$4:$P$1203,2,0),""))</f>
        <v/>
      </c>
      <c r="F110" s="24">
        <f>IF($A110="","",IFERROR(VLOOKUP($A110,物料档案!$A$4:$P$1203,6,0),""))</f>
        <v/>
      </c>
      <c r="G110" s="23" t="n"/>
      <c r="H110" s="32" t="n"/>
      <c r="I110" s="27">
        <f>IF($A110="","",SUMIFS(入库单!$K$4:$K$2503,入库单!$G$4:$G$2503,$A110,入库单!$X$4:$X$2503,"采购入库",入库单!$Z$4:$Z$2503,"正常",入库单!$C$4:$C$2503,"&gt;="&amp;账期起,入库单!$C$4:$C$2503,"&lt;="&amp;账期止))</f>
        <v/>
      </c>
      <c r="J110" s="26">
        <f>IF($A110="","",SUMIFS(入库单!$V$4:$V$2503,入库单!$G$4:$G$2503,$A110,入库单!$X$4:$X$2503,"采购入库",入库单!$Z$4:$Z$2503,"正常",入库单!$C$4:$C$2503,"&gt;="&amp;账期起,入库单!$C$4:$C$2503,"&lt;="&amp;账期止))</f>
        <v/>
      </c>
      <c r="K110" s="26">
        <f>IF($A110="","",IFERROR(ROUND((N($H110)+N($J110))/(N($G110)+N($I110)),2),0))</f>
        <v/>
      </c>
      <c r="L110" s="27">
        <f>IF($A110="","",SUMIFS(入库单!$K$4:$K$2503,入库单!$G$4:$G$2503,$A110,入库单!$X$4:$X$2503,"盘盈",入库单!$Z$4:$Z$2503,"正常",入库单!$C$4:$C$2503,"&gt;="&amp;账期起,入库单!$C$4:$C$2503,"&lt;="&amp;账期止))</f>
        <v/>
      </c>
      <c r="M110" s="26">
        <f>IF($A110="","",ROUND($L110*$K110,0))</f>
        <v/>
      </c>
      <c r="N110" s="27">
        <f>IF($A110="","",SUMIFS(入库单!$K$4:$K$2503,入库单!$G$4:$G$2503,$A110,入库单!$X$4:$X$2503,"矿区退库",入库单!$Z$4:$Z$2503,"正常",入库单!$C$4:$C$2503,"&gt;="&amp;账期起,入库单!$C$4:$C$2503,"&lt;="&amp;账期止))</f>
        <v/>
      </c>
      <c r="O110" s="26">
        <f>IF($A110="","",ROUND($N110*$K110,0))</f>
        <v/>
      </c>
      <c r="P110" s="27">
        <f>IF($A110="","",SUMIFS(出库单!$J$4:$J$4003,出库单!$D$4:$D$4003,$A110,出库单!$K$4:$K$4003,"自用消耗",出库单!$U$4:$U$4003,"正常",出库单!$C$4:$C$4003,"&gt;="&amp;账期起,出库单!$C$4:$C$4003,"&lt;="&amp;账期止))</f>
        <v/>
      </c>
      <c r="Q110" s="26">
        <f>IF($A110="","",ROUND(SUMIFS(出库单!$S$4:$S$4003,出库单!$D$4:$D$4003,$A110,出库单!$K$4:$K$4003,"自用消耗",出库单!$U$4:$U$4003,"正常",出库单!$C$4:$C$4003,"&gt;="&amp;账期起,出库单!$C$4:$C$4003,"&lt;="&amp;账期止),0))</f>
        <v/>
      </c>
      <c r="R110" s="27">
        <f>IF($A110="","",SUMIFS(出库单!$J$4:$J$4003,出库单!$D$4:$D$4003,$A110,出库单!$K$4:$K$4003,"对外销售",出库单!$U$4:$U$4003,"正常",出库单!$C$4:$C$4003,"&gt;="&amp;账期起,出库单!$C$4:$C$4003,"&lt;="&amp;账期止))</f>
        <v/>
      </c>
      <c r="S110" s="26">
        <f>IF($A110="","",ROUND(SUMIFS(出库单!$S$4:$S$4003,出库单!$D$4:$D$4003,$A110,出库单!$K$4:$K$4003,"对外销售",出库单!$U$4:$U$4003,"正常",出库单!$C$4:$C$4003,"&gt;="&amp;账期起,出库单!$C$4:$C$4003,"&lt;="&amp;账期止),0))</f>
        <v/>
      </c>
      <c r="T110" s="27">
        <f>IF($A110="","",SUMIFS(出库单!$J$4:$J$4003,出库单!$D$4:$D$4003,$A110,出库单!$K$4:$K$4003,"盘亏",出库单!$U$4:$U$4003,"正常",出库单!$C$4:$C$4003,"&gt;="&amp;账期起,出库单!$C$4:$C$4003,"&lt;="&amp;账期止))</f>
        <v/>
      </c>
      <c r="U110" s="26">
        <f>IF($A110="","",ROUND(SUMIFS(出库单!$S$4:$S$4003,出库单!$D$4:$D$4003,$A110,出库单!$K$4:$K$4003,"盘亏",出库单!$U$4:$U$4003,"正常",出库单!$C$4:$C$4003,"&gt;="&amp;账期起,出库单!$C$4:$C$4003,"&lt;="&amp;账期止),0))</f>
        <v/>
      </c>
      <c r="V110" s="27">
        <f>IF($A110="","",SUMIFS(出库单!$J$4:$J$4003,出库单!$D$4:$D$4003,$A110,出库单!$K$4:$K$4003,"退货给供应商",出库单!$U$4:$U$4003,"正常",出库单!$C$4:$C$4003,"&gt;="&amp;账期起,出库单!$C$4:$C$4003,"&lt;="&amp;账期止))</f>
        <v/>
      </c>
      <c r="W110" s="26">
        <f>IF($A110="","",ROUND(SUMIFS(出库单!$S$4:$S$4003,出库单!$D$4:$D$4003,$A110,出库单!$K$4:$K$4003,"退货给供应商",出库单!$U$4:$U$4003,"正常",出库单!$C$4:$C$4003,"&gt;="&amp;账期起,出库单!$C$4:$C$4003,"&lt;="&amp;账期止),0))</f>
        <v/>
      </c>
      <c r="X110" s="27">
        <f>IF($A110="","",ROUND(N($G110)+$I110+$L110+$N110-$P110-$R110-$T110-$V110,3))</f>
        <v/>
      </c>
      <c r="Y110" s="26">
        <f>IF($A110="","",ROUND(N($H110)+$J110+$M110+$O110-$Q110-$S110-$U110-$W110,0))</f>
        <v/>
      </c>
      <c r="Z110" s="24">
        <f>IF($A110="","",IF(COUNTIFS(入库单!$G$4:$G$2503,$A110,入库单!$Y$4:$Y$2503,"待补价")+COUNTIFS(入库单!$G$4:$G$2503,$A110,入库单!$Y$4:$Y$2503,"暂估")&gt;0,"不可信","可信"))</f>
        <v/>
      </c>
      <c r="AA110" s="24">
        <f>IF($A110="","",IF($X110&lt;-0.001,"※账面负库存，查一下是不是漏记入库",IF(AND(ROUND($X110,3)=0,ABS($Y110)&gt;1),"※数量已经是 0，金额还挂着 "&amp;TEXT($Y110,"#,##0")&amp;" 先令",IF(AND($X110&gt;0,$Y110&lt;=0,$K110=0),"※有数量没金额（这个物料一直没填过进价）",IF($Z110="不可信","△成本含待补价/暂估，毛利仅供参考","")))))</f>
        <v/>
      </c>
    </row>
    <row r="111">
      <c r="A111" s="24">
        <f>IF(物料档案!$A110="","",物料档案!$A110)</f>
        <v/>
      </c>
      <c r="B111" s="24">
        <f>IF($A111="","",IFERROR(VLOOKUP($A111,物料档案!$A$4:$P$1203,3,0),""))</f>
        <v/>
      </c>
      <c r="C111" s="24">
        <f>IF($A111="","",IFERROR(VLOOKUP($A111,物料档案!$A$4:$P$1203,4,0),""))</f>
        <v/>
      </c>
      <c r="D111" s="24">
        <f>IF($A111="","",IFERROR(VLOOKUP($A111,物料档案!$A$4:$P$1203,5,0),""))</f>
        <v/>
      </c>
      <c r="E111" s="24">
        <f>IF($A111="","",IFERROR(VLOOKUP($A111,物料档案!$A$4:$P$1203,2,0),""))</f>
        <v/>
      </c>
      <c r="F111" s="24">
        <f>IF($A111="","",IFERROR(VLOOKUP($A111,物料档案!$A$4:$P$1203,6,0),""))</f>
        <v/>
      </c>
      <c r="G111" s="23" t="n"/>
      <c r="H111" s="32" t="n"/>
      <c r="I111" s="27">
        <f>IF($A111="","",SUMIFS(入库单!$K$4:$K$2503,入库单!$G$4:$G$2503,$A111,入库单!$X$4:$X$2503,"采购入库",入库单!$Z$4:$Z$2503,"正常",入库单!$C$4:$C$2503,"&gt;="&amp;账期起,入库单!$C$4:$C$2503,"&lt;="&amp;账期止))</f>
        <v/>
      </c>
      <c r="J111" s="26">
        <f>IF($A111="","",SUMIFS(入库单!$V$4:$V$2503,入库单!$G$4:$G$2503,$A111,入库单!$X$4:$X$2503,"采购入库",入库单!$Z$4:$Z$2503,"正常",入库单!$C$4:$C$2503,"&gt;="&amp;账期起,入库单!$C$4:$C$2503,"&lt;="&amp;账期止))</f>
        <v/>
      </c>
      <c r="K111" s="26">
        <f>IF($A111="","",IFERROR(ROUND((N($H111)+N($J111))/(N($G111)+N($I111)),2),0))</f>
        <v/>
      </c>
      <c r="L111" s="27">
        <f>IF($A111="","",SUMIFS(入库单!$K$4:$K$2503,入库单!$G$4:$G$2503,$A111,入库单!$X$4:$X$2503,"盘盈",入库单!$Z$4:$Z$2503,"正常",入库单!$C$4:$C$2503,"&gt;="&amp;账期起,入库单!$C$4:$C$2503,"&lt;="&amp;账期止))</f>
        <v/>
      </c>
      <c r="M111" s="26">
        <f>IF($A111="","",ROUND($L111*$K111,0))</f>
        <v/>
      </c>
      <c r="N111" s="27">
        <f>IF($A111="","",SUMIFS(入库单!$K$4:$K$2503,入库单!$G$4:$G$2503,$A111,入库单!$X$4:$X$2503,"矿区退库",入库单!$Z$4:$Z$2503,"正常",入库单!$C$4:$C$2503,"&gt;="&amp;账期起,入库单!$C$4:$C$2503,"&lt;="&amp;账期止))</f>
        <v/>
      </c>
      <c r="O111" s="26">
        <f>IF($A111="","",ROUND($N111*$K111,0))</f>
        <v/>
      </c>
      <c r="P111" s="27">
        <f>IF($A111="","",SUMIFS(出库单!$J$4:$J$4003,出库单!$D$4:$D$4003,$A111,出库单!$K$4:$K$4003,"自用消耗",出库单!$U$4:$U$4003,"正常",出库单!$C$4:$C$4003,"&gt;="&amp;账期起,出库单!$C$4:$C$4003,"&lt;="&amp;账期止))</f>
        <v/>
      </c>
      <c r="Q111" s="26">
        <f>IF($A111="","",ROUND(SUMIFS(出库单!$S$4:$S$4003,出库单!$D$4:$D$4003,$A111,出库单!$K$4:$K$4003,"自用消耗",出库单!$U$4:$U$4003,"正常",出库单!$C$4:$C$4003,"&gt;="&amp;账期起,出库单!$C$4:$C$4003,"&lt;="&amp;账期止),0))</f>
        <v/>
      </c>
      <c r="R111" s="27">
        <f>IF($A111="","",SUMIFS(出库单!$J$4:$J$4003,出库单!$D$4:$D$4003,$A111,出库单!$K$4:$K$4003,"对外销售",出库单!$U$4:$U$4003,"正常",出库单!$C$4:$C$4003,"&gt;="&amp;账期起,出库单!$C$4:$C$4003,"&lt;="&amp;账期止))</f>
        <v/>
      </c>
      <c r="S111" s="26">
        <f>IF($A111="","",ROUND(SUMIFS(出库单!$S$4:$S$4003,出库单!$D$4:$D$4003,$A111,出库单!$K$4:$K$4003,"对外销售",出库单!$U$4:$U$4003,"正常",出库单!$C$4:$C$4003,"&gt;="&amp;账期起,出库单!$C$4:$C$4003,"&lt;="&amp;账期止),0))</f>
        <v/>
      </c>
      <c r="T111" s="27">
        <f>IF($A111="","",SUMIFS(出库单!$J$4:$J$4003,出库单!$D$4:$D$4003,$A111,出库单!$K$4:$K$4003,"盘亏",出库单!$U$4:$U$4003,"正常",出库单!$C$4:$C$4003,"&gt;="&amp;账期起,出库单!$C$4:$C$4003,"&lt;="&amp;账期止))</f>
        <v/>
      </c>
      <c r="U111" s="26">
        <f>IF($A111="","",ROUND(SUMIFS(出库单!$S$4:$S$4003,出库单!$D$4:$D$4003,$A111,出库单!$K$4:$K$4003,"盘亏",出库单!$U$4:$U$4003,"正常",出库单!$C$4:$C$4003,"&gt;="&amp;账期起,出库单!$C$4:$C$4003,"&lt;="&amp;账期止),0))</f>
        <v/>
      </c>
      <c r="V111" s="27">
        <f>IF($A111="","",SUMIFS(出库单!$J$4:$J$4003,出库单!$D$4:$D$4003,$A111,出库单!$K$4:$K$4003,"退货给供应商",出库单!$U$4:$U$4003,"正常",出库单!$C$4:$C$4003,"&gt;="&amp;账期起,出库单!$C$4:$C$4003,"&lt;="&amp;账期止))</f>
        <v/>
      </c>
      <c r="W111" s="26">
        <f>IF($A111="","",ROUND(SUMIFS(出库单!$S$4:$S$4003,出库单!$D$4:$D$4003,$A111,出库单!$K$4:$K$4003,"退货给供应商",出库单!$U$4:$U$4003,"正常",出库单!$C$4:$C$4003,"&gt;="&amp;账期起,出库单!$C$4:$C$4003,"&lt;="&amp;账期止),0))</f>
        <v/>
      </c>
      <c r="X111" s="27">
        <f>IF($A111="","",ROUND(N($G111)+$I111+$L111+$N111-$P111-$R111-$T111-$V111,3))</f>
        <v/>
      </c>
      <c r="Y111" s="26">
        <f>IF($A111="","",ROUND(N($H111)+$J111+$M111+$O111-$Q111-$S111-$U111-$W111,0))</f>
        <v/>
      </c>
      <c r="Z111" s="24">
        <f>IF($A111="","",IF(COUNTIFS(入库单!$G$4:$G$2503,$A111,入库单!$Y$4:$Y$2503,"待补价")+COUNTIFS(入库单!$G$4:$G$2503,$A111,入库单!$Y$4:$Y$2503,"暂估")&gt;0,"不可信","可信"))</f>
        <v/>
      </c>
      <c r="AA111" s="24">
        <f>IF($A111="","",IF($X111&lt;-0.001,"※账面负库存，查一下是不是漏记入库",IF(AND(ROUND($X111,3)=0,ABS($Y111)&gt;1),"※数量已经是 0，金额还挂着 "&amp;TEXT($Y111,"#,##0")&amp;" 先令",IF(AND($X111&gt;0,$Y111&lt;=0,$K111=0),"※有数量没金额（这个物料一直没填过进价）",IF($Z111="不可信","△成本含待补价/暂估，毛利仅供参考","")))))</f>
        <v/>
      </c>
    </row>
    <row r="112">
      <c r="A112" s="24">
        <f>IF(物料档案!$A111="","",物料档案!$A111)</f>
        <v/>
      </c>
      <c r="B112" s="24">
        <f>IF($A112="","",IFERROR(VLOOKUP($A112,物料档案!$A$4:$P$1203,3,0),""))</f>
        <v/>
      </c>
      <c r="C112" s="24">
        <f>IF($A112="","",IFERROR(VLOOKUP($A112,物料档案!$A$4:$P$1203,4,0),""))</f>
        <v/>
      </c>
      <c r="D112" s="24">
        <f>IF($A112="","",IFERROR(VLOOKUP($A112,物料档案!$A$4:$P$1203,5,0),""))</f>
        <v/>
      </c>
      <c r="E112" s="24">
        <f>IF($A112="","",IFERROR(VLOOKUP($A112,物料档案!$A$4:$P$1203,2,0),""))</f>
        <v/>
      </c>
      <c r="F112" s="24">
        <f>IF($A112="","",IFERROR(VLOOKUP($A112,物料档案!$A$4:$P$1203,6,0),""))</f>
        <v/>
      </c>
      <c r="G112" s="23" t="n"/>
      <c r="H112" s="32" t="n"/>
      <c r="I112" s="27">
        <f>IF($A112="","",SUMIFS(入库单!$K$4:$K$2503,入库单!$G$4:$G$2503,$A112,入库单!$X$4:$X$2503,"采购入库",入库单!$Z$4:$Z$2503,"正常",入库单!$C$4:$C$2503,"&gt;="&amp;账期起,入库单!$C$4:$C$2503,"&lt;="&amp;账期止))</f>
        <v/>
      </c>
      <c r="J112" s="26">
        <f>IF($A112="","",SUMIFS(入库单!$V$4:$V$2503,入库单!$G$4:$G$2503,$A112,入库单!$X$4:$X$2503,"采购入库",入库单!$Z$4:$Z$2503,"正常",入库单!$C$4:$C$2503,"&gt;="&amp;账期起,入库单!$C$4:$C$2503,"&lt;="&amp;账期止))</f>
        <v/>
      </c>
      <c r="K112" s="26">
        <f>IF($A112="","",IFERROR(ROUND((N($H112)+N($J112))/(N($G112)+N($I112)),2),0))</f>
        <v/>
      </c>
      <c r="L112" s="27">
        <f>IF($A112="","",SUMIFS(入库单!$K$4:$K$2503,入库单!$G$4:$G$2503,$A112,入库单!$X$4:$X$2503,"盘盈",入库单!$Z$4:$Z$2503,"正常",入库单!$C$4:$C$2503,"&gt;="&amp;账期起,入库单!$C$4:$C$2503,"&lt;="&amp;账期止))</f>
        <v/>
      </c>
      <c r="M112" s="26">
        <f>IF($A112="","",ROUND($L112*$K112,0))</f>
        <v/>
      </c>
      <c r="N112" s="27">
        <f>IF($A112="","",SUMIFS(入库单!$K$4:$K$2503,入库单!$G$4:$G$2503,$A112,入库单!$X$4:$X$2503,"矿区退库",入库单!$Z$4:$Z$2503,"正常",入库单!$C$4:$C$2503,"&gt;="&amp;账期起,入库单!$C$4:$C$2503,"&lt;="&amp;账期止))</f>
        <v/>
      </c>
      <c r="O112" s="26">
        <f>IF($A112="","",ROUND($N112*$K112,0))</f>
        <v/>
      </c>
      <c r="P112" s="27">
        <f>IF($A112="","",SUMIFS(出库单!$J$4:$J$4003,出库单!$D$4:$D$4003,$A112,出库单!$K$4:$K$4003,"自用消耗",出库单!$U$4:$U$4003,"正常",出库单!$C$4:$C$4003,"&gt;="&amp;账期起,出库单!$C$4:$C$4003,"&lt;="&amp;账期止))</f>
        <v/>
      </c>
      <c r="Q112" s="26">
        <f>IF($A112="","",ROUND(SUMIFS(出库单!$S$4:$S$4003,出库单!$D$4:$D$4003,$A112,出库单!$K$4:$K$4003,"自用消耗",出库单!$U$4:$U$4003,"正常",出库单!$C$4:$C$4003,"&gt;="&amp;账期起,出库单!$C$4:$C$4003,"&lt;="&amp;账期止),0))</f>
        <v/>
      </c>
      <c r="R112" s="27">
        <f>IF($A112="","",SUMIFS(出库单!$J$4:$J$4003,出库单!$D$4:$D$4003,$A112,出库单!$K$4:$K$4003,"对外销售",出库单!$U$4:$U$4003,"正常",出库单!$C$4:$C$4003,"&gt;="&amp;账期起,出库单!$C$4:$C$4003,"&lt;="&amp;账期止))</f>
        <v/>
      </c>
      <c r="S112" s="26">
        <f>IF($A112="","",ROUND(SUMIFS(出库单!$S$4:$S$4003,出库单!$D$4:$D$4003,$A112,出库单!$K$4:$K$4003,"对外销售",出库单!$U$4:$U$4003,"正常",出库单!$C$4:$C$4003,"&gt;="&amp;账期起,出库单!$C$4:$C$4003,"&lt;="&amp;账期止),0))</f>
        <v/>
      </c>
      <c r="T112" s="27">
        <f>IF($A112="","",SUMIFS(出库单!$J$4:$J$4003,出库单!$D$4:$D$4003,$A112,出库单!$K$4:$K$4003,"盘亏",出库单!$U$4:$U$4003,"正常",出库单!$C$4:$C$4003,"&gt;="&amp;账期起,出库单!$C$4:$C$4003,"&lt;="&amp;账期止))</f>
        <v/>
      </c>
      <c r="U112" s="26">
        <f>IF($A112="","",ROUND(SUMIFS(出库单!$S$4:$S$4003,出库单!$D$4:$D$4003,$A112,出库单!$K$4:$K$4003,"盘亏",出库单!$U$4:$U$4003,"正常",出库单!$C$4:$C$4003,"&gt;="&amp;账期起,出库单!$C$4:$C$4003,"&lt;="&amp;账期止),0))</f>
        <v/>
      </c>
      <c r="V112" s="27">
        <f>IF($A112="","",SUMIFS(出库单!$J$4:$J$4003,出库单!$D$4:$D$4003,$A112,出库单!$K$4:$K$4003,"退货给供应商",出库单!$U$4:$U$4003,"正常",出库单!$C$4:$C$4003,"&gt;="&amp;账期起,出库单!$C$4:$C$4003,"&lt;="&amp;账期止))</f>
        <v/>
      </c>
      <c r="W112" s="26">
        <f>IF($A112="","",ROUND(SUMIFS(出库单!$S$4:$S$4003,出库单!$D$4:$D$4003,$A112,出库单!$K$4:$K$4003,"退货给供应商",出库单!$U$4:$U$4003,"正常",出库单!$C$4:$C$4003,"&gt;="&amp;账期起,出库单!$C$4:$C$4003,"&lt;="&amp;账期止),0))</f>
        <v/>
      </c>
      <c r="X112" s="27">
        <f>IF($A112="","",ROUND(N($G112)+$I112+$L112+$N112-$P112-$R112-$T112-$V112,3))</f>
        <v/>
      </c>
      <c r="Y112" s="26">
        <f>IF($A112="","",ROUND(N($H112)+$J112+$M112+$O112-$Q112-$S112-$U112-$W112,0))</f>
        <v/>
      </c>
      <c r="Z112" s="24">
        <f>IF($A112="","",IF(COUNTIFS(入库单!$G$4:$G$2503,$A112,入库单!$Y$4:$Y$2503,"待补价")+COUNTIFS(入库单!$G$4:$G$2503,$A112,入库单!$Y$4:$Y$2503,"暂估")&gt;0,"不可信","可信"))</f>
        <v/>
      </c>
      <c r="AA112" s="24">
        <f>IF($A112="","",IF($X112&lt;-0.001,"※账面负库存，查一下是不是漏记入库",IF(AND(ROUND($X112,3)=0,ABS($Y112)&gt;1),"※数量已经是 0，金额还挂着 "&amp;TEXT($Y112,"#,##0")&amp;" 先令",IF(AND($X112&gt;0,$Y112&lt;=0,$K112=0),"※有数量没金额（这个物料一直没填过进价）",IF($Z112="不可信","△成本含待补价/暂估，毛利仅供参考","")))))</f>
        <v/>
      </c>
    </row>
    <row r="113">
      <c r="A113" s="24">
        <f>IF(物料档案!$A112="","",物料档案!$A112)</f>
        <v/>
      </c>
      <c r="B113" s="24">
        <f>IF($A113="","",IFERROR(VLOOKUP($A113,物料档案!$A$4:$P$1203,3,0),""))</f>
        <v/>
      </c>
      <c r="C113" s="24">
        <f>IF($A113="","",IFERROR(VLOOKUP($A113,物料档案!$A$4:$P$1203,4,0),""))</f>
        <v/>
      </c>
      <c r="D113" s="24">
        <f>IF($A113="","",IFERROR(VLOOKUP($A113,物料档案!$A$4:$P$1203,5,0),""))</f>
        <v/>
      </c>
      <c r="E113" s="24">
        <f>IF($A113="","",IFERROR(VLOOKUP($A113,物料档案!$A$4:$P$1203,2,0),""))</f>
        <v/>
      </c>
      <c r="F113" s="24">
        <f>IF($A113="","",IFERROR(VLOOKUP($A113,物料档案!$A$4:$P$1203,6,0),""))</f>
        <v/>
      </c>
      <c r="G113" s="23" t="n"/>
      <c r="H113" s="32" t="n"/>
      <c r="I113" s="27">
        <f>IF($A113="","",SUMIFS(入库单!$K$4:$K$2503,入库单!$G$4:$G$2503,$A113,入库单!$X$4:$X$2503,"采购入库",入库单!$Z$4:$Z$2503,"正常",入库单!$C$4:$C$2503,"&gt;="&amp;账期起,入库单!$C$4:$C$2503,"&lt;="&amp;账期止))</f>
        <v/>
      </c>
      <c r="J113" s="26">
        <f>IF($A113="","",SUMIFS(入库单!$V$4:$V$2503,入库单!$G$4:$G$2503,$A113,入库单!$X$4:$X$2503,"采购入库",入库单!$Z$4:$Z$2503,"正常",入库单!$C$4:$C$2503,"&gt;="&amp;账期起,入库单!$C$4:$C$2503,"&lt;="&amp;账期止))</f>
        <v/>
      </c>
      <c r="K113" s="26">
        <f>IF($A113="","",IFERROR(ROUND((N($H113)+N($J113))/(N($G113)+N($I113)),2),0))</f>
        <v/>
      </c>
      <c r="L113" s="27">
        <f>IF($A113="","",SUMIFS(入库单!$K$4:$K$2503,入库单!$G$4:$G$2503,$A113,入库单!$X$4:$X$2503,"盘盈",入库单!$Z$4:$Z$2503,"正常",入库单!$C$4:$C$2503,"&gt;="&amp;账期起,入库单!$C$4:$C$2503,"&lt;="&amp;账期止))</f>
        <v/>
      </c>
      <c r="M113" s="26">
        <f>IF($A113="","",ROUND($L113*$K113,0))</f>
        <v/>
      </c>
      <c r="N113" s="27">
        <f>IF($A113="","",SUMIFS(入库单!$K$4:$K$2503,入库单!$G$4:$G$2503,$A113,入库单!$X$4:$X$2503,"矿区退库",入库单!$Z$4:$Z$2503,"正常",入库单!$C$4:$C$2503,"&gt;="&amp;账期起,入库单!$C$4:$C$2503,"&lt;="&amp;账期止))</f>
        <v/>
      </c>
      <c r="O113" s="26">
        <f>IF($A113="","",ROUND($N113*$K113,0))</f>
        <v/>
      </c>
      <c r="P113" s="27">
        <f>IF($A113="","",SUMIFS(出库单!$J$4:$J$4003,出库单!$D$4:$D$4003,$A113,出库单!$K$4:$K$4003,"自用消耗",出库单!$U$4:$U$4003,"正常",出库单!$C$4:$C$4003,"&gt;="&amp;账期起,出库单!$C$4:$C$4003,"&lt;="&amp;账期止))</f>
        <v/>
      </c>
      <c r="Q113" s="26">
        <f>IF($A113="","",ROUND(SUMIFS(出库单!$S$4:$S$4003,出库单!$D$4:$D$4003,$A113,出库单!$K$4:$K$4003,"自用消耗",出库单!$U$4:$U$4003,"正常",出库单!$C$4:$C$4003,"&gt;="&amp;账期起,出库单!$C$4:$C$4003,"&lt;="&amp;账期止),0))</f>
        <v/>
      </c>
      <c r="R113" s="27">
        <f>IF($A113="","",SUMIFS(出库单!$J$4:$J$4003,出库单!$D$4:$D$4003,$A113,出库单!$K$4:$K$4003,"对外销售",出库单!$U$4:$U$4003,"正常",出库单!$C$4:$C$4003,"&gt;="&amp;账期起,出库单!$C$4:$C$4003,"&lt;="&amp;账期止))</f>
        <v/>
      </c>
      <c r="S113" s="26">
        <f>IF($A113="","",ROUND(SUMIFS(出库单!$S$4:$S$4003,出库单!$D$4:$D$4003,$A113,出库单!$K$4:$K$4003,"对外销售",出库单!$U$4:$U$4003,"正常",出库单!$C$4:$C$4003,"&gt;="&amp;账期起,出库单!$C$4:$C$4003,"&lt;="&amp;账期止),0))</f>
        <v/>
      </c>
      <c r="T113" s="27">
        <f>IF($A113="","",SUMIFS(出库单!$J$4:$J$4003,出库单!$D$4:$D$4003,$A113,出库单!$K$4:$K$4003,"盘亏",出库单!$U$4:$U$4003,"正常",出库单!$C$4:$C$4003,"&gt;="&amp;账期起,出库单!$C$4:$C$4003,"&lt;="&amp;账期止))</f>
        <v/>
      </c>
      <c r="U113" s="26">
        <f>IF($A113="","",ROUND(SUMIFS(出库单!$S$4:$S$4003,出库单!$D$4:$D$4003,$A113,出库单!$K$4:$K$4003,"盘亏",出库单!$U$4:$U$4003,"正常",出库单!$C$4:$C$4003,"&gt;="&amp;账期起,出库单!$C$4:$C$4003,"&lt;="&amp;账期止),0))</f>
        <v/>
      </c>
      <c r="V113" s="27">
        <f>IF($A113="","",SUMIFS(出库单!$J$4:$J$4003,出库单!$D$4:$D$4003,$A113,出库单!$K$4:$K$4003,"退货给供应商",出库单!$U$4:$U$4003,"正常",出库单!$C$4:$C$4003,"&gt;="&amp;账期起,出库单!$C$4:$C$4003,"&lt;="&amp;账期止))</f>
        <v/>
      </c>
      <c r="W113" s="26">
        <f>IF($A113="","",ROUND(SUMIFS(出库单!$S$4:$S$4003,出库单!$D$4:$D$4003,$A113,出库单!$K$4:$K$4003,"退货给供应商",出库单!$U$4:$U$4003,"正常",出库单!$C$4:$C$4003,"&gt;="&amp;账期起,出库单!$C$4:$C$4003,"&lt;="&amp;账期止),0))</f>
        <v/>
      </c>
      <c r="X113" s="27">
        <f>IF($A113="","",ROUND(N($G113)+$I113+$L113+$N113-$P113-$R113-$T113-$V113,3))</f>
        <v/>
      </c>
      <c r="Y113" s="26">
        <f>IF($A113="","",ROUND(N($H113)+$J113+$M113+$O113-$Q113-$S113-$U113-$W113,0))</f>
        <v/>
      </c>
      <c r="Z113" s="24">
        <f>IF($A113="","",IF(COUNTIFS(入库单!$G$4:$G$2503,$A113,入库单!$Y$4:$Y$2503,"待补价")+COUNTIFS(入库单!$G$4:$G$2503,$A113,入库单!$Y$4:$Y$2503,"暂估")&gt;0,"不可信","可信"))</f>
        <v/>
      </c>
      <c r="AA113" s="24">
        <f>IF($A113="","",IF($X113&lt;-0.001,"※账面负库存，查一下是不是漏记入库",IF(AND(ROUND($X113,3)=0,ABS($Y113)&gt;1),"※数量已经是 0，金额还挂着 "&amp;TEXT($Y113,"#,##0")&amp;" 先令",IF(AND($X113&gt;0,$Y113&lt;=0,$K113=0),"※有数量没金额（这个物料一直没填过进价）",IF($Z113="不可信","△成本含待补价/暂估，毛利仅供参考","")))))</f>
        <v/>
      </c>
    </row>
    <row r="114">
      <c r="A114" s="24">
        <f>IF(物料档案!$A113="","",物料档案!$A113)</f>
        <v/>
      </c>
      <c r="B114" s="24">
        <f>IF($A114="","",IFERROR(VLOOKUP($A114,物料档案!$A$4:$P$1203,3,0),""))</f>
        <v/>
      </c>
      <c r="C114" s="24">
        <f>IF($A114="","",IFERROR(VLOOKUP($A114,物料档案!$A$4:$P$1203,4,0),""))</f>
        <v/>
      </c>
      <c r="D114" s="24">
        <f>IF($A114="","",IFERROR(VLOOKUP($A114,物料档案!$A$4:$P$1203,5,0),""))</f>
        <v/>
      </c>
      <c r="E114" s="24">
        <f>IF($A114="","",IFERROR(VLOOKUP($A114,物料档案!$A$4:$P$1203,2,0),""))</f>
        <v/>
      </c>
      <c r="F114" s="24">
        <f>IF($A114="","",IFERROR(VLOOKUP($A114,物料档案!$A$4:$P$1203,6,0),""))</f>
        <v/>
      </c>
      <c r="G114" s="23" t="n"/>
      <c r="H114" s="32" t="n"/>
      <c r="I114" s="27">
        <f>IF($A114="","",SUMIFS(入库单!$K$4:$K$2503,入库单!$G$4:$G$2503,$A114,入库单!$X$4:$X$2503,"采购入库",入库单!$Z$4:$Z$2503,"正常",入库单!$C$4:$C$2503,"&gt;="&amp;账期起,入库单!$C$4:$C$2503,"&lt;="&amp;账期止))</f>
        <v/>
      </c>
      <c r="J114" s="26">
        <f>IF($A114="","",SUMIFS(入库单!$V$4:$V$2503,入库单!$G$4:$G$2503,$A114,入库单!$X$4:$X$2503,"采购入库",入库单!$Z$4:$Z$2503,"正常",入库单!$C$4:$C$2503,"&gt;="&amp;账期起,入库单!$C$4:$C$2503,"&lt;="&amp;账期止))</f>
        <v/>
      </c>
      <c r="K114" s="26">
        <f>IF($A114="","",IFERROR(ROUND((N($H114)+N($J114))/(N($G114)+N($I114)),2),0))</f>
        <v/>
      </c>
      <c r="L114" s="27">
        <f>IF($A114="","",SUMIFS(入库单!$K$4:$K$2503,入库单!$G$4:$G$2503,$A114,入库单!$X$4:$X$2503,"盘盈",入库单!$Z$4:$Z$2503,"正常",入库单!$C$4:$C$2503,"&gt;="&amp;账期起,入库单!$C$4:$C$2503,"&lt;="&amp;账期止))</f>
        <v/>
      </c>
      <c r="M114" s="26">
        <f>IF($A114="","",ROUND($L114*$K114,0))</f>
        <v/>
      </c>
      <c r="N114" s="27">
        <f>IF($A114="","",SUMIFS(入库单!$K$4:$K$2503,入库单!$G$4:$G$2503,$A114,入库单!$X$4:$X$2503,"矿区退库",入库单!$Z$4:$Z$2503,"正常",入库单!$C$4:$C$2503,"&gt;="&amp;账期起,入库单!$C$4:$C$2503,"&lt;="&amp;账期止))</f>
        <v/>
      </c>
      <c r="O114" s="26">
        <f>IF($A114="","",ROUND($N114*$K114,0))</f>
        <v/>
      </c>
      <c r="P114" s="27">
        <f>IF($A114="","",SUMIFS(出库单!$J$4:$J$4003,出库单!$D$4:$D$4003,$A114,出库单!$K$4:$K$4003,"自用消耗",出库单!$U$4:$U$4003,"正常",出库单!$C$4:$C$4003,"&gt;="&amp;账期起,出库单!$C$4:$C$4003,"&lt;="&amp;账期止))</f>
        <v/>
      </c>
      <c r="Q114" s="26">
        <f>IF($A114="","",ROUND(SUMIFS(出库单!$S$4:$S$4003,出库单!$D$4:$D$4003,$A114,出库单!$K$4:$K$4003,"自用消耗",出库单!$U$4:$U$4003,"正常",出库单!$C$4:$C$4003,"&gt;="&amp;账期起,出库单!$C$4:$C$4003,"&lt;="&amp;账期止),0))</f>
        <v/>
      </c>
      <c r="R114" s="27">
        <f>IF($A114="","",SUMIFS(出库单!$J$4:$J$4003,出库单!$D$4:$D$4003,$A114,出库单!$K$4:$K$4003,"对外销售",出库单!$U$4:$U$4003,"正常",出库单!$C$4:$C$4003,"&gt;="&amp;账期起,出库单!$C$4:$C$4003,"&lt;="&amp;账期止))</f>
        <v/>
      </c>
      <c r="S114" s="26">
        <f>IF($A114="","",ROUND(SUMIFS(出库单!$S$4:$S$4003,出库单!$D$4:$D$4003,$A114,出库单!$K$4:$K$4003,"对外销售",出库单!$U$4:$U$4003,"正常",出库单!$C$4:$C$4003,"&gt;="&amp;账期起,出库单!$C$4:$C$4003,"&lt;="&amp;账期止),0))</f>
        <v/>
      </c>
      <c r="T114" s="27">
        <f>IF($A114="","",SUMIFS(出库单!$J$4:$J$4003,出库单!$D$4:$D$4003,$A114,出库单!$K$4:$K$4003,"盘亏",出库单!$U$4:$U$4003,"正常",出库单!$C$4:$C$4003,"&gt;="&amp;账期起,出库单!$C$4:$C$4003,"&lt;="&amp;账期止))</f>
        <v/>
      </c>
      <c r="U114" s="26">
        <f>IF($A114="","",ROUND(SUMIFS(出库单!$S$4:$S$4003,出库单!$D$4:$D$4003,$A114,出库单!$K$4:$K$4003,"盘亏",出库单!$U$4:$U$4003,"正常",出库单!$C$4:$C$4003,"&gt;="&amp;账期起,出库单!$C$4:$C$4003,"&lt;="&amp;账期止),0))</f>
        <v/>
      </c>
      <c r="V114" s="27">
        <f>IF($A114="","",SUMIFS(出库单!$J$4:$J$4003,出库单!$D$4:$D$4003,$A114,出库单!$K$4:$K$4003,"退货给供应商",出库单!$U$4:$U$4003,"正常",出库单!$C$4:$C$4003,"&gt;="&amp;账期起,出库单!$C$4:$C$4003,"&lt;="&amp;账期止))</f>
        <v/>
      </c>
      <c r="W114" s="26">
        <f>IF($A114="","",ROUND(SUMIFS(出库单!$S$4:$S$4003,出库单!$D$4:$D$4003,$A114,出库单!$K$4:$K$4003,"退货给供应商",出库单!$U$4:$U$4003,"正常",出库单!$C$4:$C$4003,"&gt;="&amp;账期起,出库单!$C$4:$C$4003,"&lt;="&amp;账期止),0))</f>
        <v/>
      </c>
      <c r="X114" s="27">
        <f>IF($A114="","",ROUND(N($G114)+$I114+$L114+$N114-$P114-$R114-$T114-$V114,3))</f>
        <v/>
      </c>
      <c r="Y114" s="26">
        <f>IF($A114="","",ROUND(N($H114)+$J114+$M114+$O114-$Q114-$S114-$U114-$W114,0))</f>
        <v/>
      </c>
      <c r="Z114" s="24">
        <f>IF($A114="","",IF(COUNTIFS(入库单!$G$4:$G$2503,$A114,入库单!$Y$4:$Y$2503,"待补价")+COUNTIFS(入库单!$G$4:$G$2503,$A114,入库单!$Y$4:$Y$2503,"暂估")&gt;0,"不可信","可信"))</f>
        <v/>
      </c>
      <c r="AA114" s="24">
        <f>IF($A114="","",IF($X114&lt;-0.001,"※账面负库存，查一下是不是漏记入库",IF(AND(ROUND($X114,3)=0,ABS($Y114)&gt;1),"※数量已经是 0，金额还挂着 "&amp;TEXT($Y114,"#,##0")&amp;" 先令",IF(AND($X114&gt;0,$Y114&lt;=0,$K114=0),"※有数量没金额（这个物料一直没填过进价）",IF($Z114="不可信","△成本含待补价/暂估，毛利仅供参考","")))))</f>
        <v/>
      </c>
    </row>
    <row r="115">
      <c r="A115" s="24">
        <f>IF(物料档案!$A114="","",物料档案!$A114)</f>
        <v/>
      </c>
      <c r="B115" s="24">
        <f>IF($A115="","",IFERROR(VLOOKUP($A115,物料档案!$A$4:$P$1203,3,0),""))</f>
        <v/>
      </c>
      <c r="C115" s="24">
        <f>IF($A115="","",IFERROR(VLOOKUP($A115,物料档案!$A$4:$P$1203,4,0),""))</f>
        <v/>
      </c>
      <c r="D115" s="24">
        <f>IF($A115="","",IFERROR(VLOOKUP($A115,物料档案!$A$4:$P$1203,5,0),""))</f>
        <v/>
      </c>
      <c r="E115" s="24">
        <f>IF($A115="","",IFERROR(VLOOKUP($A115,物料档案!$A$4:$P$1203,2,0),""))</f>
        <v/>
      </c>
      <c r="F115" s="24">
        <f>IF($A115="","",IFERROR(VLOOKUP($A115,物料档案!$A$4:$P$1203,6,0),""))</f>
        <v/>
      </c>
      <c r="G115" s="23" t="n"/>
      <c r="H115" s="32" t="n"/>
      <c r="I115" s="27">
        <f>IF($A115="","",SUMIFS(入库单!$K$4:$K$2503,入库单!$G$4:$G$2503,$A115,入库单!$X$4:$X$2503,"采购入库",入库单!$Z$4:$Z$2503,"正常",入库单!$C$4:$C$2503,"&gt;="&amp;账期起,入库单!$C$4:$C$2503,"&lt;="&amp;账期止))</f>
        <v/>
      </c>
      <c r="J115" s="26">
        <f>IF($A115="","",SUMIFS(入库单!$V$4:$V$2503,入库单!$G$4:$G$2503,$A115,入库单!$X$4:$X$2503,"采购入库",入库单!$Z$4:$Z$2503,"正常",入库单!$C$4:$C$2503,"&gt;="&amp;账期起,入库单!$C$4:$C$2503,"&lt;="&amp;账期止))</f>
        <v/>
      </c>
      <c r="K115" s="26">
        <f>IF($A115="","",IFERROR(ROUND((N($H115)+N($J115))/(N($G115)+N($I115)),2),0))</f>
        <v/>
      </c>
      <c r="L115" s="27">
        <f>IF($A115="","",SUMIFS(入库单!$K$4:$K$2503,入库单!$G$4:$G$2503,$A115,入库单!$X$4:$X$2503,"盘盈",入库单!$Z$4:$Z$2503,"正常",入库单!$C$4:$C$2503,"&gt;="&amp;账期起,入库单!$C$4:$C$2503,"&lt;="&amp;账期止))</f>
        <v/>
      </c>
      <c r="M115" s="26">
        <f>IF($A115="","",ROUND($L115*$K115,0))</f>
        <v/>
      </c>
      <c r="N115" s="27">
        <f>IF($A115="","",SUMIFS(入库单!$K$4:$K$2503,入库单!$G$4:$G$2503,$A115,入库单!$X$4:$X$2503,"矿区退库",入库单!$Z$4:$Z$2503,"正常",入库单!$C$4:$C$2503,"&gt;="&amp;账期起,入库单!$C$4:$C$2503,"&lt;="&amp;账期止))</f>
        <v/>
      </c>
      <c r="O115" s="26">
        <f>IF($A115="","",ROUND($N115*$K115,0))</f>
        <v/>
      </c>
      <c r="P115" s="27">
        <f>IF($A115="","",SUMIFS(出库单!$J$4:$J$4003,出库单!$D$4:$D$4003,$A115,出库单!$K$4:$K$4003,"自用消耗",出库单!$U$4:$U$4003,"正常",出库单!$C$4:$C$4003,"&gt;="&amp;账期起,出库单!$C$4:$C$4003,"&lt;="&amp;账期止))</f>
        <v/>
      </c>
      <c r="Q115" s="26">
        <f>IF($A115="","",ROUND(SUMIFS(出库单!$S$4:$S$4003,出库单!$D$4:$D$4003,$A115,出库单!$K$4:$K$4003,"自用消耗",出库单!$U$4:$U$4003,"正常",出库单!$C$4:$C$4003,"&gt;="&amp;账期起,出库单!$C$4:$C$4003,"&lt;="&amp;账期止),0))</f>
        <v/>
      </c>
      <c r="R115" s="27">
        <f>IF($A115="","",SUMIFS(出库单!$J$4:$J$4003,出库单!$D$4:$D$4003,$A115,出库单!$K$4:$K$4003,"对外销售",出库单!$U$4:$U$4003,"正常",出库单!$C$4:$C$4003,"&gt;="&amp;账期起,出库单!$C$4:$C$4003,"&lt;="&amp;账期止))</f>
        <v/>
      </c>
      <c r="S115" s="26">
        <f>IF($A115="","",ROUND(SUMIFS(出库单!$S$4:$S$4003,出库单!$D$4:$D$4003,$A115,出库单!$K$4:$K$4003,"对外销售",出库单!$U$4:$U$4003,"正常",出库单!$C$4:$C$4003,"&gt;="&amp;账期起,出库单!$C$4:$C$4003,"&lt;="&amp;账期止),0))</f>
        <v/>
      </c>
      <c r="T115" s="27">
        <f>IF($A115="","",SUMIFS(出库单!$J$4:$J$4003,出库单!$D$4:$D$4003,$A115,出库单!$K$4:$K$4003,"盘亏",出库单!$U$4:$U$4003,"正常",出库单!$C$4:$C$4003,"&gt;="&amp;账期起,出库单!$C$4:$C$4003,"&lt;="&amp;账期止))</f>
        <v/>
      </c>
      <c r="U115" s="26">
        <f>IF($A115="","",ROUND(SUMIFS(出库单!$S$4:$S$4003,出库单!$D$4:$D$4003,$A115,出库单!$K$4:$K$4003,"盘亏",出库单!$U$4:$U$4003,"正常",出库单!$C$4:$C$4003,"&gt;="&amp;账期起,出库单!$C$4:$C$4003,"&lt;="&amp;账期止),0))</f>
        <v/>
      </c>
      <c r="V115" s="27">
        <f>IF($A115="","",SUMIFS(出库单!$J$4:$J$4003,出库单!$D$4:$D$4003,$A115,出库单!$K$4:$K$4003,"退货给供应商",出库单!$U$4:$U$4003,"正常",出库单!$C$4:$C$4003,"&gt;="&amp;账期起,出库单!$C$4:$C$4003,"&lt;="&amp;账期止))</f>
        <v/>
      </c>
      <c r="W115" s="26">
        <f>IF($A115="","",ROUND(SUMIFS(出库单!$S$4:$S$4003,出库单!$D$4:$D$4003,$A115,出库单!$K$4:$K$4003,"退货给供应商",出库单!$U$4:$U$4003,"正常",出库单!$C$4:$C$4003,"&gt;="&amp;账期起,出库单!$C$4:$C$4003,"&lt;="&amp;账期止),0))</f>
        <v/>
      </c>
      <c r="X115" s="27">
        <f>IF($A115="","",ROUND(N($G115)+$I115+$L115+$N115-$P115-$R115-$T115-$V115,3))</f>
        <v/>
      </c>
      <c r="Y115" s="26">
        <f>IF($A115="","",ROUND(N($H115)+$J115+$M115+$O115-$Q115-$S115-$U115-$W115,0))</f>
        <v/>
      </c>
      <c r="Z115" s="24">
        <f>IF($A115="","",IF(COUNTIFS(入库单!$G$4:$G$2503,$A115,入库单!$Y$4:$Y$2503,"待补价")+COUNTIFS(入库单!$G$4:$G$2503,$A115,入库单!$Y$4:$Y$2503,"暂估")&gt;0,"不可信","可信"))</f>
        <v/>
      </c>
      <c r="AA115" s="24">
        <f>IF($A115="","",IF($X115&lt;-0.001,"※账面负库存，查一下是不是漏记入库",IF(AND(ROUND($X115,3)=0,ABS($Y115)&gt;1),"※数量已经是 0，金额还挂着 "&amp;TEXT($Y115,"#,##0")&amp;" 先令",IF(AND($X115&gt;0,$Y115&lt;=0,$K115=0),"※有数量没金额（这个物料一直没填过进价）",IF($Z115="不可信","△成本含待补价/暂估，毛利仅供参考","")))))</f>
        <v/>
      </c>
    </row>
    <row r="116">
      <c r="A116" s="24">
        <f>IF(物料档案!$A115="","",物料档案!$A115)</f>
        <v/>
      </c>
      <c r="B116" s="24">
        <f>IF($A116="","",IFERROR(VLOOKUP($A116,物料档案!$A$4:$P$1203,3,0),""))</f>
        <v/>
      </c>
      <c r="C116" s="24">
        <f>IF($A116="","",IFERROR(VLOOKUP($A116,物料档案!$A$4:$P$1203,4,0),""))</f>
        <v/>
      </c>
      <c r="D116" s="24">
        <f>IF($A116="","",IFERROR(VLOOKUP($A116,物料档案!$A$4:$P$1203,5,0),""))</f>
        <v/>
      </c>
      <c r="E116" s="24">
        <f>IF($A116="","",IFERROR(VLOOKUP($A116,物料档案!$A$4:$P$1203,2,0),""))</f>
        <v/>
      </c>
      <c r="F116" s="24">
        <f>IF($A116="","",IFERROR(VLOOKUP($A116,物料档案!$A$4:$P$1203,6,0),""))</f>
        <v/>
      </c>
      <c r="G116" s="23" t="n"/>
      <c r="H116" s="32" t="n"/>
      <c r="I116" s="27">
        <f>IF($A116="","",SUMIFS(入库单!$K$4:$K$2503,入库单!$G$4:$G$2503,$A116,入库单!$X$4:$X$2503,"采购入库",入库单!$Z$4:$Z$2503,"正常",入库单!$C$4:$C$2503,"&gt;="&amp;账期起,入库单!$C$4:$C$2503,"&lt;="&amp;账期止))</f>
        <v/>
      </c>
      <c r="J116" s="26">
        <f>IF($A116="","",SUMIFS(入库单!$V$4:$V$2503,入库单!$G$4:$G$2503,$A116,入库单!$X$4:$X$2503,"采购入库",入库单!$Z$4:$Z$2503,"正常",入库单!$C$4:$C$2503,"&gt;="&amp;账期起,入库单!$C$4:$C$2503,"&lt;="&amp;账期止))</f>
        <v/>
      </c>
      <c r="K116" s="26">
        <f>IF($A116="","",IFERROR(ROUND((N($H116)+N($J116))/(N($G116)+N($I116)),2),0))</f>
        <v/>
      </c>
      <c r="L116" s="27">
        <f>IF($A116="","",SUMIFS(入库单!$K$4:$K$2503,入库单!$G$4:$G$2503,$A116,入库单!$X$4:$X$2503,"盘盈",入库单!$Z$4:$Z$2503,"正常",入库单!$C$4:$C$2503,"&gt;="&amp;账期起,入库单!$C$4:$C$2503,"&lt;="&amp;账期止))</f>
        <v/>
      </c>
      <c r="M116" s="26">
        <f>IF($A116="","",ROUND($L116*$K116,0))</f>
        <v/>
      </c>
      <c r="N116" s="27">
        <f>IF($A116="","",SUMIFS(入库单!$K$4:$K$2503,入库单!$G$4:$G$2503,$A116,入库单!$X$4:$X$2503,"矿区退库",入库单!$Z$4:$Z$2503,"正常",入库单!$C$4:$C$2503,"&gt;="&amp;账期起,入库单!$C$4:$C$2503,"&lt;="&amp;账期止))</f>
        <v/>
      </c>
      <c r="O116" s="26">
        <f>IF($A116="","",ROUND($N116*$K116,0))</f>
        <v/>
      </c>
      <c r="P116" s="27">
        <f>IF($A116="","",SUMIFS(出库单!$J$4:$J$4003,出库单!$D$4:$D$4003,$A116,出库单!$K$4:$K$4003,"自用消耗",出库单!$U$4:$U$4003,"正常",出库单!$C$4:$C$4003,"&gt;="&amp;账期起,出库单!$C$4:$C$4003,"&lt;="&amp;账期止))</f>
        <v/>
      </c>
      <c r="Q116" s="26">
        <f>IF($A116="","",ROUND(SUMIFS(出库单!$S$4:$S$4003,出库单!$D$4:$D$4003,$A116,出库单!$K$4:$K$4003,"自用消耗",出库单!$U$4:$U$4003,"正常",出库单!$C$4:$C$4003,"&gt;="&amp;账期起,出库单!$C$4:$C$4003,"&lt;="&amp;账期止),0))</f>
        <v/>
      </c>
      <c r="R116" s="27">
        <f>IF($A116="","",SUMIFS(出库单!$J$4:$J$4003,出库单!$D$4:$D$4003,$A116,出库单!$K$4:$K$4003,"对外销售",出库单!$U$4:$U$4003,"正常",出库单!$C$4:$C$4003,"&gt;="&amp;账期起,出库单!$C$4:$C$4003,"&lt;="&amp;账期止))</f>
        <v/>
      </c>
      <c r="S116" s="26">
        <f>IF($A116="","",ROUND(SUMIFS(出库单!$S$4:$S$4003,出库单!$D$4:$D$4003,$A116,出库单!$K$4:$K$4003,"对外销售",出库单!$U$4:$U$4003,"正常",出库单!$C$4:$C$4003,"&gt;="&amp;账期起,出库单!$C$4:$C$4003,"&lt;="&amp;账期止),0))</f>
        <v/>
      </c>
      <c r="T116" s="27">
        <f>IF($A116="","",SUMIFS(出库单!$J$4:$J$4003,出库单!$D$4:$D$4003,$A116,出库单!$K$4:$K$4003,"盘亏",出库单!$U$4:$U$4003,"正常",出库单!$C$4:$C$4003,"&gt;="&amp;账期起,出库单!$C$4:$C$4003,"&lt;="&amp;账期止))</f>
        <v/>
      </c>
      <c r="U116" s="26">
        <f>IF($A116="","",ROUND(SUMIFS(出库单!$S$4:$S$4003,出库单!$D$4:$D$4003,$A116,出库单!$K$4:$K$4003,"盘亏",出库单!$U$4:$U$4003,"正常",出库单!$C$4:$C$4003,"&gt;="&amp;账期起,出库单!$C$4:$C$4003,"&lt;="&amp;账期止),0))</f>
        <v/>
      </c>
      <c r="V116" s="27">
        <f>IF($A116="","",SUMIFS(出库单!$J$4:$J$4003,出库单!$D$4:$D$4003,$A116,出库单!$K$4:$K$4003,"退货给供应商",出库单!$U$4:$U$4003,"正常",出库单!$C$4:$C$4003,"&gt;="&amp;账期起,出库单!$C$4:$C$4003,"&lt;="&amp;账期止))</f>
        <v/>
      </c>
      <c r="W116" s="26">
        <f>IF($A116="","",ROUND(SUMIFS(出库单!$S$4:$S$4003,出库单!$D$4:$D$4003,$A116,出库单!$K$4:$K$4003,"退货给供应商",出库单!$U$4:$U$4003,"正常",出库单!$C$4:$C$4003,"&gt;="&amp;账期起,出库单!$C$4:$C$4003,"&lt;="&amp;账期止),0))</f>
        <v/>
      </c>
      <c r="X116" s="27">
        <f>IF($A116="","",ROUND(N($G116)+$I116+$L116+$N116-$P116-$R116-$T116-$V116,3))</f>
        <v/>
      </c>
      <c r="Y116" s="26">
        <f>IF($A116="","",ROUND(N($H116)+$J116+$M116+$O116-$Q116-$S116-$U116-$W116,0))</f>
        <v/>
      </c>
      <c r="Z116" s="24">
        <f>IF($A116="","",IF(COUNTIFS(入库单!$G$4:$G$2503,$A116,入库单!$Y$4:$Y$2503,"待补价")+COUNTIFS(入库单!$G$4:$G$2503,$A116,入库单!$Y$4:$Y$2503,"暂估")&gt;0,"不可信","可信"))</f>
        <v/>
      </c>
      <c r="AA116" s="24">
        <f>IF($A116="","",IF($X116&lt;-0.001,"※账面负库存，查一下是不是漏记入库",IF(AND(ROUND($X116,3)=0,ABS($Y116)&gt;1),"※数量已经是 0，金额还挂着 "&amp;TEXT($Y116,"#,##0")&amp;" 先令",IF(AND($X116&gt;0,$Y116&lt;=0,$K116=0),"※有数量没金额（这个物料一直没填过进价）",IF($Z116="不可信","△成本含待补价/暂估，毛利仅供参考","")))))</f>
        <v/>
      </c>
    </row>
    <row r="117">
      <c r="A117" s="24">
        <f>IF(物料档案!$A116="","",物料档案!$A116)</f>
        <v/>
      </c>
      <c r="B117" s="24">
        <f>IF($A117="","",IFERROR(VLOOKUP($A117,物料档案!$A$4:$P$1203,3,0),""))</f>
        <v/>
      </c>
      <c r="C117" s="24">
        <f>IF($A117="","",IFERROR(VLOOKUP($A117,物料档案!$A$4:$P$1203,4,0),""))</f>
        <v/>
      </c>
      <c r="D117" s="24">
        <f>IF($A117="","",IFERROR(VLOOKUP($A117,物料档案!$A$4:$P$1203,5,0),""))</f>
        <v/>
      </c>
      <c r="E117" s="24">
        <f>IF($A117="","",IFERROR(VLOOKUP($A117,物料档案!$A$4:$P$1203,2,0),""))</f>
        <v/>
      </c>
      <c r="F117" s="24">
        <f>IF($A117="","",IFERROR(VLOOKUP($A117,物料档案!$A$4:$P$1203,6,0),""))</f>
        <v/>
      </c>
      <c r="G117" s="23" t="n"/>
      <c r="H117" s="32" t="n"/>
      <c r="I117" s="27">
        <f>IF($A117="","",SUMIFS(入库单!$K$4:$K$2503,入库单!$G$4:$G$2503,$A117,入库单!$X$4:$X$2503,"采购入库",入库单!$Z$4:$Z$2503,"正常",入库单!$C$4:$C$2503,"&gt;="&amp;账期起,入库单!$C$4:$C$2503,"&lt;="&amp;账期止))</f>
        <v/>
      </c>
      <c r="J117" s="26">
        <f>IF($A117="","",SUMIFS(入库单!$V$4:$V$2503,入库单!$G$4:$G$2503,$A117,入库单!$X$4:$X$2503,"采购入库",入库单!$Z$4:$Z$2503,"正常",入库单!$C$4:$C$2503,"&gt;="&amp;账期起,入库单!$C$4:$C$2503,"&lt;="&amp;账期止))</f>
        <v/>
      </c>
      <c r="K117" s="26">
        <f>IF($A117="","",IFERROR(ROUND((N($H117)+N($J117))/(N($G117)+N($I117)),2),0))</f>
        <v/>
      </c>
      <c r="L117" s="27">
        <f>IF($A117="","",SUMIFS(入库单!$K$4:$K$2503,入库单!$G$4:$G$2503,$A117,入库单!$X$4:$X$2503,"盘盈",入库单!$Z$4:$Z$2503,"正常",入库单!$C$4:$C$2503,"&gt;="&amp;账期起,入库单!$C$4:$C$2503,"&lt;="&amp;账期止))</f>
        <v/>
      </c>
      <c r="M117" s="26">
        <f>IF($A117="","",ROUND($L117*$K117,0))</f>
        <v/>
      </c>
      <c r="N117" s="27">
        <f>IF($A117="","",SUMIFS(入库单!$K$4:$K$2503,入库单!$G$4:$G$2503,$A117,入库单!$X$4:$X$2503,"矿区退库",入库单!$Z$4:$Z$2503,"正常",入库单!$C$4:$C$2503,"&gt;="&amp;账期起,入库单!$C$4:$C$2503,"&lt;="&amp;账期止))</f>
        <v/>
      </c>
      <c r="O117" s="26">
        <f>IF($A117="","",ROUND($N117*$K117,0))</f>
        <v/>
      </c>
      <c r="P117" s="27">
        <f>IF($A117="","",SUMIFS(出库单!$J$4:$J$4003,出库单!$D$4:$D$4003,$A117,出库单!$K$4:$K$4003,"自用消耗",出库单!$U$4:$U$4003,"正常",出库单!$C$4:$C$4003,"&gt;="&amp;账期起,出库单!$C$4:$C$4003,"&lt;="&amp;账期止))</f>
        <v/>
      </c>
      <c r="Q117" s="26">
        <f>IF($A117="","",ROUND(SUMIFS(出库单!$S$4:$S$4003,出库单!$D$4:$D$4003,$A117,出库单!$K$4:$K$4003,"自用消耗",出库单!$U$4:$U$4003,"正常",出库单!$C$4:$C$4003,"&gt;="&amp;账期起,出库单!$C$4:$C$4003,"&lt;="&amp;账期止),0))</f>
        <v/>
      </c>
      <c r="R117" s="27">
        <f>IF($A117="","",SUMIFS(出库单!$J$4:$J$4003,出库单!$D$4:$D$4003,$A117,出库单!$K$4:$K$4003,"对外销售",出库单!$U$4:$U$4003,"正常",出库单!$C$4:$C$4003,"&gt;="&amp;账期起,出库单!$C$4:$C$4003,"&lt;="&amp;账期止))</f>
        <v/>
      </c>
      <c r="S117" s="26">
        <f>IF($A117="","",ROUND(SUMIFS(出库单!$S$4:$S$4003,出库单!$D$4:$D$4003,$A117,出库单!$K$4:$K$4003,"对外销售",出库单!$U$4:$U$4003,"正常",出库单!$C$4:$C$4003,"&gt;="&amp;账期起,出库单!$C$4:$C$4003,"&lt;="&amp;账期止),0))</f>
        <v/>
      </c>
      <c r="T117" s="27">
        <f>IF($A117="","",SUMIFS(出库单!$J$4:$J$4003,出库单!$D$4:$D$4003,$A117,出库单!$K$4:$K$4003,"盘亏",出库单!$U$4:$U$4003,"正常",出库单!$C$4:$C$4003,"&gt;="&amp;账期起,出库单!$C$4:$C$4003,"&lt;="&amp;账期止))</f>
        <v/>
      </c>
      <c r="U117" s="26">
        <f>IF($A117="","",ROUND(SUMIFS(出库单!$S$4:$S$4003,出库单!$D$4:$D$4003,$A117,出库单!$K$4:$K$4003,"盘亏",出库单!$U$4:$U$4003,"正常",出库单!$C$4:$C$4003,"&gt;="&amp;账期起,出库单!$C$4:$C$4003,"&lt;="&amp;账期止),0))</f>
        <v/>
      </c>
      <c r="V117" s="27">
        <f>IF($A117="","",SUMIFS(出库单!$J$4:$J$4003,出库单!$D$4:$D$4003,$A117,出库单!$K$4:$K$4003,"退货给供应商",出库单!$U$4:$U$4003,"正常",出库单!$C$4:$C$4003,"&gt;="&amp;账期起,出库单!$C$4:$C$4003,"&lt;="&amp;账期止))</f>
        <v/>
      </c>
      <c r="W117" s="26">
        <f>IF($A117="","",ROUND(SUMIFS(出库单!$S$4:$S$4003,出库单!$D$4:$D$4003,$A117,出库单!$K$4:$K$4003,"退货给供应商",出库单!$U$4:$U$4003,"正常",出库单!$C$4:$C$4003,"&gt;="&amp;账期起,出库单!$C$4:$C$4003,"&lt;="&amp;账期止),0))</f>
        <v/>
      </c>
      <c r="X117" s="27">
        <f>IF($A117="","",ROUND(N($G117)+$I117+$L117+$N117-$P117-$R117-$T117-$V117,3))</f>
        <v/>
      </c>
      <c r="Y117" s="26">
        <f>IF($A117="","",ROUND(N($H117)+$J117+$M117+$O117-$Q117-$S117-$U117-$W117,0))</f>
        <v/>
      </c>
      <c r="Z117" s="24">
        <f>IF($A117="","",IF(COUNTIFS(入库单!$G$4:$G$2503,$A117,入库单!$Y$4:$Y$2503,"待补价")+COUNTIFS(入库单!$G$4:$G$2503,$A117,入库单!$Y$4:$Y$2503,"暂估")&gt;0,"不可信","可信"))</f>
        <v/>
      </c>
      <c r="AA117" s="24">
        <f>IF($A117="","",IF($X117&lt;-0.001,"※账面负库存，查一下是不是漏记入库",IF(AND(ROUND($X117,3)=0,ABS($Y117)&gt;1),"※数量已经是 0，金额还挂着 "&amp;TEXT($Y117,"#,##0")&amp;" 先令",IF(AND($X117&gt;0,$Y117&lt;=0,$K117=0),"※有数量没金额（这个物料一直没填过进价）",IF($Z117="不可信","△成本含待补价/暂估，毛利仅供参考","")))))</f>
        <v/>
      </c>
    </row>
    <row r="118">
      <c r="A118" s="24">
        <f>IF(物料档案!$A117="","",物料档案!$A117)</f>
        <v/>
      </c>
      <c r="B118" s="24">
        <f>IF($A118="","",IFERROR(VLOOKUP($A118,物料档案!$A$4:$P$1203,3,0),""))</f>
        <v/>
      </c>
      <c r="C118" s="24">
        <f>IF($A118="","",IFERROR(VLOOKUP($A118,物料档案!$A$4:$P$1203,4,0),""))</f>
        <v/>
      </c>
      <c r="D118" s="24">
        <f>IF($A118="","",IFERROR(VLOOKUP($A118,物料档案!$A$4:$P$1203,5,0),""))</f>
        <v/>
      </c>
      <c r="E118" s="24">
        <f>IF($A118="","",IFERROR(VLOOKUP($A118,物料档案!$A$4:$P$1203,2,0),""))</f>
        <v/>
      </c>
      <c r="F118" s="24">
        <f>IF($A118="","",IFERROR(VLOOKUP($A118,物料档案!$A$4:$P$1203,6,0),""))</f>
        <v/>
      </c>
      <c r="G118" s="23" t="n"/>
      <c r="H118" s="32" t="n"/>
      <c r="I118" s="27">
        <f>IF($A118="","",SUMIFS(入库单!$K$4:$K$2503,入库单!$G$4:$G$2503,$A118,入库单!$X$4:$X$2503,"采购入库",入库单!$Z$4:$Z$2503,"正常",入库单!$C$4:$C$2503,"&gt;="&amp;账期起,入库单!$C$4:$C$2503,"&lt;="&amp;账期止))</f>
        <v/>
      </c>
      <c r="J118" s="26">
        <f>IF($A118="","",SUMIFS(入库单!$V$4:$V$2503,入库单!$G$4:$G$2503,$A118,入库单!$X$4:$X$2503,"采购入库",入库单!$Z$4:$Z$2503,"正常",入库单!$C$4:$C$2503,"&gt;="&amp;账期起,入库单!$C$4:$C$2503,"&lt;="&amp;账期止))</f>
        <v/>
      </c>
      <c r="K118" s="26">
        <f>IF($A118="","",IFERROR(ROUND((N($H118)+N($J118))/(N($G118)+N($I118)),2),0))</f>
        <v/>
      </c>
      <c r="L118" s="27">
        <f>IF($A118="","",SUMIFS(入库单!$K$4:$K$2503,入库单!$G$4:$G$2503,$A118,入库单!$X$4:$X$2503,"盘盈",入库单!$Z$4:$Z$2503,"正常",入库单!$C$4:$C$2503,"&gt;="&amp;账期起,入库单!$C$4:$C$2503,"&lt;="&amp;账期止))</f>
        <v/>
      </c>
      <c r="M118" s="26">
        <f>IF($A118="","",ROUND($L118*$K118,0))</f>
        <v/>
      </c>
      <c r="N118" s="27">
        <f>IF($A118="","",SUMIFS(入库单!$K$4:$K$2503,入库单!$G$4:$G$2503,$A118,入库单!$X$4:$X$2503,"矿区退库",入库单!$Z$4:$Z$2503,"正常",入库单!$C$4:$C$2503,"&gt;="&amp;账期起,入库单!$C$4:$C$2503,"&lt;="&amp;账期止))</f>
        <v/>
      </c>
      <c r="O118" s="26">
        <f>IF($A118="","",ROUND($N118*$K118,0))</f>
        <v/>
      </c>
      <c r="P118" s="27">
        <f>IF($A118="","",SUMIFS(出库单!$J$4:$J$4003,出库单!$D$4:$D$4003,$A118,出库单!$K$4:$K$4003,"自用消耗",出库单!$U$4:$U$4003,"正常",出库单!$C$4:$C$4003,"&gt;="&amp;账期起,出库单!$C$4:$C$4003,"&lt;="&amp;账期止))</f>
        <v/>
      </c>
      <c r="Q118" s="26">
        <f>IF($A118="","",ROUND(SUMIFS(出库单!$S$4:$S$4003,出库单!$D$4:$D$4003,$A118,出库单!$K$4:$K$4003,"自用消耗",出库单!$U$4:$U$4003,"正常",出库单!$C$4:$C$4003,"&gt;="&amp;账期起,出库单!$C$4:$C$4003,"&lt;="&amp;账期止),0))</f>
        <v/>
      </c>
      <c r="R118" s="27">
        <f>IF($A118="","",SUMIFS(出库单!$J$4:$J$4003,出库单!$D$4:$D$4003,$A118,出库单!$K$4:$K$4003,"对外销售",出库单!$U$4:$U$4003,"正常",出库单!$C$4:$C$4003,"&gt;="&amp;账期起,出库单!$C$4:$C$4003,"&lt;="&amp;账期止))</f>
        <v/>
      </c>
      <c r="S118" s="26">
        <f>IF($A118="","",ROUND(SUMIFS(出库单!$S$4:$S$4003,出库单!$D$4:$D$4003,$A118,出库单!$K$4:$K$4003,"对外销售",出库单!$U$4:$U$4003,"正常",出库单!$C$4:$C$4003,"&gt;="&amp;账期起,出库单!$C$4:$C$4003,"&lt;="&amp;账期止),0))</f>
        <v/>
      </c>
      <c r="T118" s="27">
        <f>IF($A118="","",SUMIFS(出库单!$J$4:$J$4003,出库单!$D$4:$D$4003,$A118,出库单!$K$4:$K$4003,"盘亏",出库单!$U$4:$U$4003,"正常",出库单!$C$4:$C$4003,"&gt;="&amp;账期起,出库单!$C$4:$C$4003,"&lt;="&amp;账期止))</f>
        <v/>
      </c>
      <c r="U118" s="26">
        <f>IF($A118="","",ROUND(SUMIFS(出库单!$S$4:$S$4003,出库单!$D$4:$D$4003,$A118,出库单!$K$4:$K$4003,"盘亏",出库单!$U$4:$U$4003,"正常",出库单!$C$4:$C$4003,"&gt;="&amp;账期起,出库单!$C$4:$C$4003,"&lt;="&amp;账期止),0))</f>
        <v/>
      </c>
      <c r="V118" s="27">
        <f>IF($A118="","",SUMIFS(出库单!$J$4:$J$4003,出库单!$D$4:$D$4003,$A118,出库单!$K$4:$K$4003,"退货给供应商",出库单!$U$4:$U$4003,"正常",出库单!$C$4:$C$4003,"&gt;="&amp;账期起,出库单!$C$4:$C$4003,"&lt;="&amp;账期止))</f>
        <v/>
      </c>
      <c r="W118" s="26">
        <f>IF($A118="","",ROUND(SUMIFS(出库单!$S$4:$S$4003,出库单!$D$4:$D$4003,$A118,出库单!$K$4:$K$4003,"退货给供应商",出库单!$U$4:$U$4003,"正常",出库单!$C$4:$C$4003,"&gt;="&amp;账期起,出库单!$C$4:$C$4003,"&lt;="&amp;账期止),0))</f>
        <v/>
      </c>
      <c r="X118" s="27">
        <f>IF($A118="","",ROUND(N($G118)+$I118+$L118+$N118-$P118-$R118-$T118-$V118,3))</f>
        <v/>
      </c>
      <c r="Y118" s="26">
        <f>IF($A118="","",ROUND(N($H118)+$J118+$M118+$O118-$Q118-$S118-$U118-$W118,0))</f>
        <v/>
      </c>
      <c r="Z118" s="24">
        <f>IF($A118="","",IF(COUNTIFS(入库单!$G$4:$G$2503,$A118,入库单!$Y$4:$Y$2503,"待补价")+COUNTIFS(入库单!$G$4:$G$2503,$A118,入库单!$Y$4:$Y$2503,"暂估")&gt;0,"不可信","可信"))</f>
        <v/>
      </c>
      <c r="AA118" s="24">
        <f>IF($A118="","",IF($X118&lt;-0.001,"※账面负库存，查一下是不是漏记入库",IF(AND(ROUND($X118,3)=0,ABS($Y118)&gt;1),"※数量已经是 0，金额还挂着 "&amp;TEXT($Y118,"#,##0")&amp;" 先令",IF(AND($X118&gt;0,$Y118&lt;=0,$K118=0),"※有数量没金额（这个物料一直没填过进价）",IF($Z118="不可信","△成本含待补价/暂估，毛利仅供参考","")))))</f>
        <v/>
      </c>
    </row>
    <row r="119">
      <c r="A119" s="24">
        <f>IF(物料档案!$A118="","",物料档案!$A118)</f>
        <v/>
      </c>
      <c r="B119" s="24">
        <f>IF($A119="","",IFERROR(VLOOKUP($A119,物料档案!$A$4:$P$1203,3,0),""))</f>
        <v/>
      </c>
      <c r="C119" s="24">
        <f>IF($A119="","",IFERROR(VLOOKUP($A119,物料档案!$A$4:$P$1203,4,0),""))</f>
        <v/>
      </c>
      <c r="D119" s="24">
        <f>IF($A119="","",IFERROR(VLOOKUP($A119,物料档案!$A$4:$P$1203,5,0),""))</f>
        <v/>
      </c>
      <c r="E119" s="24">
        <f>IF($A119="","",IFERROR(VLOOKUP($A119,物料档案!$A$4:$P$1203,2,0),""))</f>
        <v/>
      </c>
      <c r="F119" s="24">
        <f>IF($A119="","",IFERROR(VLOOKUP($A119,物料档案!$A$4:$P$1203,6,0),""))</f>
        <v/>
      </c>
      <c r="G119" s="23" t="n"/>
      <c r="H119" s="32" t="n"/>
      <c r="I119" s="27">
        <f>IF($A119="","",SUMIFS(入库单!$K$4:$K$2503,入库单!$G$4:$G$2503,$A119,入库单!$X$4:$X$2503,"采购入库",入库单!$Z$4:$Z$2503,"正常",入库单!$C$4:$C$2503,"&gt;="&amp;账期起,入库单!$C$4:$C$2503,"&lt;="&amp;账期止))</f>
        <v/>
      </c>
      <c r="J119" s="26">
        <f>IF($A119="","",SUMIFS(入库单!$V$4:$V$2503,入库单!$G$4:$G$2503,$A119,入库单!$X$4:$X$2503,"采购入库",入库单!$Z$4:$Z$2503,"正常",入库单!$C$4:$C$2503,"&gt;="&amp;账期起,入库单!$C$4:$C$2503,"&lt;="&amp;账期止))</f>
        <v/>
      </c>
      <c r="K119" s="26">
        <f>IF($A119="","",IFERROR(ROUND((N($H119)+N($J119))/(N($G119)+N($I119)),2),0))</f>
        <v/>
      </c>
      <c r="L119" s="27">
        <f>IF($A119="","",SUMIFS(入库单!$K$4:$K$2503,入库单!$G$4:$G$2503,$A119,入库单!$X$4:$X$2503,"盘盈",入库单!$Z$4:$Z$2503,"正常",入库单!$C$4:$C$2503,"&gt;="&amp;账期起,入库单!$C$4:$C$2503,"&lt;="&amp;账期止))</f>
        <v/>
      </c>
      <c r="M119" s="26">
        <f>IF($A119="","",ROUND($L119*$K119,0))</f>
        <v/>
      </c>
      <c r="N119" s="27">
        <f>IF($A119="","",SUMIFS(入库单!$K$4:$K$2503,入库单!$G$4:$G$2503,$A119,入库单!$X$4:$X$2503,"矿区退库",入库单!$Z$4:$Z$2503,"正常",入库单!$C$4:$C$2503,"&gt;="&amp;账期起,入库单!$C$4:$C$2503,"&lt;="&amp;账期止))</f>
        <v/>
      </c>
      <c r="O119" s="26">
        <f>IF($A119="","",ROUND($N119*$K119,0))</f>
        <v/>
      </c>
      <c r="P119" s="27">
        <f>IF($A119="","",SUMIFS(出库单!$J$4:$J$4003,出库单!$D$4:$D$4003,$A119,出库单!$K$4:$K$4003,"自用消耗",出库单!$U$4:$U$4003,"正常",出库单!$C$4:$C$4003,"&gt;="&amp;账期起,出库单!$C$4:$C$4003,"&lt;="&amp;账期止))</f>
        <v/>
      </c>
      <c r="Q119" s="26">
        <f>IF($A119="","",ROUND(SUMIFS(出库单!$S$4:$S$4003,出库单!$D$4:$D$4003,$A119,出库单!$K$4:$K$4003,"自用消耗",出库单!$U$4:$U$4003,"正常",出库单!$C$4:$C$4003,"&gt;="&amp;账期起,出库单!$C$4:$C$4003,"&lt;="&amp;账期止),0))</f>
        <v/>
      </c>
      <c r="R119" s="27">
        <f>IF($A119="","",SUMIFS(出库单!$J$4:$J$4003,出库单!$D$4:$D$4003,$A119,出库单!$K$4:$K$4003,"对外销售",出库单!$U$4:$U$4003,"正常",出库单!$C$4:$C$4003,"&gt;="&amp;账期起,出库单!$C$4:$C$4003,"&lt;="&amp;账期止))</f>
        <v/>
      </c>
      <c r="S119" s="26">
        <f>IF($A119="","",ROUND(SUMIFS(出库单!$S$4:$S$4003,出库单!$D$4:$D$4003,$A119,出库单!$K$4:$K$4003,"对外销售",出库单!$U$4:$U$4003,"正常",出库单!$C$4:$C$4003,"&gt;="&amp;账期起,出库单!$C$4:$C$4003,"&lt;="&amp;账期止),0))</f>
        <v/>
      </c>
      <c r="T119" s="27">
        <f>IF($A119="","",SUMIFS(出库单!$J$4:$J$4003,出库单!$D$4:$D$4003,$A119,出库单!$K$4:$K$4003,"盘亏",出库单!$U$4:$U$4003,"正常",出库单!$C$4:$C$4003,"&gt;="&amp;账期起,出库单!$C$4:$C$4003,"&lt;="&amp;账期止))</f>
        <v/>
      </c>
      <c r="U119" s="26">
        <f>IF($A119="","",ROUND(SUMIFS(出库单!$S$4:$S$4003,出库单!$D$4:$D$4003,$A119,出库单!$K$4:$K$4003,"盘亏",出库单!$U$4:$U$4003,"正常",出库单!$C$4:$C$4003,"&gt;="&amp;账期起,出库单!$C$4:$C$4003,"&lt;="&amp;账期止),0))</f>
        <v/>
      </c>
      <c r="V119" s="27">
        <f>IF($A119="","",SUMIFS(出库单!$J$4:$J$4003,出库单!$D$4:$D$4003,$A119,出库单!$K$4:$K$4003,"退货给供应商",出库单!$U$4:$U$4003,"正常",出库单!$C$4:$C$4003,"&gt;="&amp;账期起,出库单!$C$4:$C$4003,"&lt;="&amp;账期止))</f>
        <v/>
      </c>
      <c r="W119" s="26">
        <f>IF($A119="","",ROUND(SUMIFS(出库单!$S$4:$S$4003,出库单!$D$4:$D$4003,$A119,出库单!$K$4:$K$4003,"退货给供应商",出库单!$U$4:$U$4003,"正常",出库单!$C$4:$C$4003,"&gt;="&amp;账期起,出库单!$C$4:$C$4003,"&lt;="&amp;账期止),0))</f>
        <v/>
      </c>
      <c r="X119" s="27">
        <f>IF($A119="","",ROUND(N($G119)+$I119+$L119+$N119-$P119-$R119-$T119-$V119,3))</f>
        <v/>
      </c>
      <c r="Y119" s="26">
        <f>IF($A119="","",ROUND(N($H119)+$J119+$M119+$O119-$Q119-$S119-$U119-$W119,0))</f>
        <v/>
      </c>
      <c r="Z119" s="24">
        <f>IF($A119="","",IF(COUNTIFS(入库单!$G$4:$G$2503,$A119,入库单!$Y$4:$Y$2503,"待补价")+COUNTIFS(入库单!$G$4:$G$2503,$A119,入库单!$Y$4:$Y$2503,"暂估")&gt;0,"不可信","可信"))</f>
        <v/>
      </c>
      <c r="AA119" s="24">
        <f>IF($A119="","",IF($X119&lt;-0.001,"※账面负库存，查一下是不是漏记入库",IF(AND(ROUND($X119,3)=0,ABS($Y119)&gt;1),"※数量已经是 0，金额还挂着 "&amp;TEXT($Y119,"#,##0")&amp;" 先令",IF(AND($X119&gt;0,$Y119&lt;=0,$K119=0),"※有数量没金额（这个物料一直没填过进价）",IF($Z119="不可信","△成本含待补价/暂估，毛利仅供参考","")))))</f>
        <v/>
      </c>
    </row>
    <row r="120">
      <c r="A120" s="24">
        <f>IF(物料档案!$A119="","",物料档案!$A119)</f>
        <v/>
      </c>
      <c r="B120" s="24">
        <f>IF($A120="","",IFERROR(VLOOKUP($A120,物料档案!$A$4:$P$1203,3,0),""))</f>
        <v/>
      </c>
      <c r="C120" s="24">
        <f>IF($A120="","",IFERROR(VLOOKUP($A120,物料档案!$A$4:$P$1203,4,0),""))</f>
        <v/>
      </c>
      <c r="D120" s="24">
        <f>IF($A120="","",IFERROR(VLOOKUP($A120,物料档案!$A$4:$P$1203,5,0),""))</f>
        <v/>
      </c>
      <c r="E120" s="24">
        <f>IF($A120="","",IFERROR(VLOOKUP($A120,物料档案!$A$4:$P$1203,2,0),""))</f>
        <v/>
      </c>
      <c r="F120" s="24">
        <f>IF($A120="","",IFERROR(VLOOKUP($A120,物料档案!$A$4:$P$1203,6,0),""))</f>
        <v/>
      </c>
      <c r="G120" s="23" t="n"/>
      <c r="H120" s="32" t="n"/>
      <c r="I120" s="27">
        <f>IF($A120="","",SUMIFS(入库单!$K$4:$K$2503,入库单!$G$4:$G$2503,$A120,入库单!$X$4:$X$2503,"采购入库",入库单!$Z$4:$Z$2503,"正常",入库单!$C$4:$C$2503,"&gt;="&amp;账期起,入库单!$C$4:$C$2503,"&lt;="&amp;账期止))</f>
        <v/>
      </c>
      <c r="J120" s="26">
        <f>IF($A120="","",SUMIFS(入库单!$V$4:$V$2503,入库单!$G$4:$G$2503,$A120,入库单!$X$4:$X$2503,"采购入库",入库单!$Z$4:$Z$2503,"正常",入库单!$C$4:$C$2503,"&gt;="&amp;账期起,入库单!$C$4:$C$2503,"&lt;="&amp;账期止))</f>
        <v/>
      </c>
      <c r="K120" s="26">
        <f>IF($A120="","",IFERROR(ROUND((N($H120)+N($J120))/(N($G120)+N($I120)),2),0))</f>
        <v/>
      </c>
      <c r="L120" s="27">
        <f>IF($A120="","",SUMIFS(入库单!$K$4:$K$2503,入库单!$G$4:$G$2503,$A120,入库单!$X$4:$X$2503,"盘盈",入库单!$Z$4:$Z$2503,"正常",入库单!$C$4:$C$2503,"&gt;="&amp;账期起,入库单!$C$4:$C$2503,"&lt;="&amp;账期止))</f>
        <v/>
      </c>
      <c r="M120" s="26">
        <f>IF($A120="","",ROUND($L120*$K120,0))</f>
        <v/>
      </c>
      <c r="N120" s="27">
        <f>IF($A120="","",SUMIFS(入库单!$K$4:$K$2503,入库单!$G$4:$G$2503,$A120,入库单!$X$4:$X$2503,"矿区退库",入库单!$Z$4:$Z$2503,"正常",入库单!$C$4:$C$2503,"&gt;="&amp;账期起,入库单!$C$4:$C$2503,"&lt;="&amp;账期止))</f>
        <v/>
      </c>
      <c r="O120" s="26">
        <f>IF($A120="","",ROUND($N120*$K120,0))</f>
        <v/>
      </c>
      <c r="P120" s="27">
        <f>IF($A120="","",SUMIFS(出库单!$J$4:$J$4003,出库单!$D$4:$D$4003,$A120,出库单!$K$4:$K$4003,"自用消耗",出库单!$U$4:$U$4003,"正常",出库单!$C$4:$C$4003,"&gt;="&amp;账期起,出库单!$C$4:$C$4003,"&lt;="&amp;账期止))</f>
        <v/>
      </c>
      <c r="Q120" s="26">
        <f>IF($A120="","",ROUND(SUMIFS(出库单!$S$4:$S$4003,出库单!$D$4:$D$4003,$A120,出库单!$K$4:$K$4003,"自用消耗",出库单!$U$4:$U$4003,"正常",出库单!$C$4:$C$4003,"&gt;="&amp;账期起,出库单!$C$4:$C$4003,"&lt;="&amp;账期止),0))</f>
        <v/>
      </c>
      <c r="R120" s="27">
        <f>IF($A120="","",SUMIFS(出库单!$J$4:$J$4003,出库单!$D$4:$D$4003,$A120,出库单!$K$4:$K$4003,"对外销售",出库单!$U$4:$U$4003,"正常",出库单!$C$4:$C$4003,"&gt;="&amp;账期起,出库单!$C$4:$C$4003,"&lt;="&amp;账期止))</f>
        <v/>
      </c>
      <c r="S120" s="26">
        <f>IF($A120="","",ROUND(SUMIFS(出库单!$S$4:$S$4003,出库单!$D$4:$D$4003,$A120,出库单!$K$4:$K$4003,"对外销售",出库单!$U$4:$U$4003,"正常",出库单!$C$4:$C$4003,"&gt;="&amp;账期起,出库单!$C$4:$C$4003,"&lt;="&amp;账期止),0))</f>
        <v/>
      </c>
      <c r="T120" s="27">
        <f>IF($A120="","",SUMIFS(出库单!$J$4:$J$4003,出库单!$D$4:$D$4003,$A120,出库单!$K$4:$K$4003,"盘亏",出库单!$U$4:$U$4003,"正常",出库单!$C$4:$C$4003,"&gt;="&amp;账期起,出库单!$C$4:$C$4003,"&lt;="&amp;账期止))</f>
        <v/>
      </c>
      <c r="U120" s="26">
        <f>IF($A120="","",ROUND(SUMIFS(出库单!$S$4:$S$4003,出库单!$D$4:$D$4003,$A120,出库单!$K$4:$K$4003,"盘亏",出库单!$U$4:$U$4003,"正常",出库单!$C$4:$C$4003,"&gt;="&amp;账期起,出库单!$C$4:$C$4003,"&lt;="&amp;账期止),0))</f>
        <v/>
      </c>
      <c r="V120" s="27">
        <f>IF($A120="","",SUMIFS(出库单!$J$4:$J$4003,出库单!$D$4:$D$4003,$A120,出库单!$K$4:$K$4003,"退货给供应商",出库单!$U$4:$U$4003,"正常",出库单!$C$4:$C$4003,"&gt;="&amp;账期起,出库单!$C$4:$C$4003,"&lt;="&amp;账期止))</f>
        <v/>
      </c>
      <c r="W120" s="26">
        <f>IF($A120="","",ROUND(SUMIFS(出库单!$S$4:$S$4003,出库单!$D$4:$D$4003,$A120,出库单!$K$4:$K$4003,"退货给供应商",出库单!$U$4:$U$4003,"正常",出库单!$C$4:$C$4003,"&gt;="&amp;账期起,出库单!$C$4:$C$4003,"&lt;="&amp;账期止),0))</f>
        <v/>
      </c>
      <c r="X120" s="27">
        <f>IF($A120="","",ROUND(N($G120)+$I120+$L120+$N120-$P120-$R120-$T120-$V120,3))</f>
        <v/>
      </c>
      <c r="Y120" s="26">
        <f>IF($A120="","",ROUND(N($H120)+$J120+$M120+$O120-$Q120-$S120-$U120-$W120,0))</f>
        <v/>
      </c>
      <c r="Z120" s="24">
        <f>IF($A120="","",IF(COUNTIFS(入库单!$G$4:$G$2503,$A120,入库单!$Y$4:$Y$2503,"待补价")+COUNTIFS(入库单!$G$4:$G$2503,$A120,入库单!$Y$4:$Y$2503,"暂估")&gt;0,"不可信","可信"))</f>
        <v/>
      </c>
      <c r="AA120" s="24">
        <f>IF($A120="","",IF($X120&lt;-0.001,"※账面负库存，查一下是不是漏记入库",IF(AND(ROUND($X120,3)=0,ABS($Y120)&gt;1),"※数量已经是 0，金额还挂着 "&amp;TEXT($Y120,"#,##0")&amp;" 先令",IF(AND($X120&gt;0,$Y120&lt;=0,$K120=0),"※有数量没金额（这个物料一直没填过进价）",IF($Z120="不可信","△成本含待补价/暂估，毛利仅供参考","")))))</f>
        <v/>
      </c>
    </row>
    <row r="121">
      <c r="A121" s="24">
        <f>IF(物料档案!$A120="","",物料档案!$A120)</f>
        <v/>
      </c>
      <c r="B121" s="24">
        <f>IF($A121="","",IFERROR(VLOOKUP($A121,物料档案!$A$4:$P$1203,3,0),""))</f>
        <v/>
      </c>
      <c r="C121" s="24">
        <f>IF($A121="","",IFERROR(VLOOKUP($A121,物料档案!$A$4:$P$1203,4,0),""))</f>
        <v/>
      </c>
      <c r="D121" s="24">
        <f>IF($A121="","",IFERROR(VLOOKUP($A121,物料档案!$A$4:$P$1203,5,0),""))</f>
        <v/>
      </c>
      <c r="E121" s="24">
        <f>IF($A121="","",IFERROR(VLOOKUP($A121,物料档案!$A$4:$P$1203,2,0),""))</f>
        <v/>
      </c>
      <c r="F121" s="24">
        <f>IF($A121="","",IFERROR(VLOOKUP($A121,物料档案!$A$4:$P$1203,6,0),""))</f>
        <v/>
      </c>
      <c r="G121" s="23" t="n"/>
      <c r="H121" s="32" t="n"/>
      <c r="I121" s="27">
        <f>IF($A121="","",SUMIFS(入库单!$K$4:$K$2503,入库单!$G$4:$G$2503,$A121,入库单!$X$4:$X$2503,"采购入库",入库单!$Z$4:$Z$2503,"正常",入库单!$C$4:$C$2503,"&gt;="&amp;账期起,入库单!$C$4:$C$2503,"&lt;="&amp;账期止))</f>
        <v/>
      </c>
      <c r="J121" s="26">
        <f>IF($A121="","",SUMIFS(入库单!$V$4:$V$2503,入库单!$G$4:$G$2503,$A121,入库单!$X$4:$X$2503,"采购入库",入库单!$Z$4:$Z$2503,"正常",入库单!$C$4:$C$2503,"&gt;="&amp;账期起,入库单!$C$4:$C$2503,"&lt;="&amp;账期止))</f>
        <v/>
      </c>
      <c r="K121" s="26">
        <f>IF($A121="","",IFERROR(ROUND((N($H121)+N($J121))/(N($G121)+N($I121)),2),0))</f>
        <v/>
      </c>
      <c r="L121" s="27">
        <f>IF($A121="","",SUMIFS(入库单!$K$4:$K$2503,入库单!$G$4:$G$2503,$A121,入库单!$X$4:$X$2503,"盘盈",入库单!$Z$4:$Z$2503,"正常",入库单!$C$4:$C$2503,"&gt;="&amp;账期起,入库单!$C$4:$C$2503,"&lt;="&amp;账期止))</f>
        <v/>
      </c>
      <c r="M121" s="26">
        <f>IF($A121="","",ROUND($L121*$K121,0))</f>
        <v/>
      </c>
      <c r="N121" s="27">
        <f>IF($A121="","",SUMIFS(入库单!$K$4:$K$2503,入库单!$G$4:$G$2503,$A121,入库单!$X$4:$X$2503,"矿区退库",入库单!$Z$4:$Z$2503,"正常",入库单!$C$4:$C$2503,"&gt;="&amp;账期起,入库单!$C$4:$C$2503,"&lt;="&amp;账期止))</f>
        <v/>
      </c>
      <c r="O121" s="26">
        <f>IF($A121="","",ROUND($N121*$K121,0))</f>
        <v/>
      </c>
      <c r="P121" s="27">
        <f>IF($A121="","",SUMIFS(出库单!$J$4:$J$4003,出库单!$D$4:$D$4003,$A121,出库单!$K$4:$K$4003,"自用消耗",出库单!$U$4:$U$4003,"正常",出库单!$C$4:$C$4003,"&gt;="&amp;账期起,出库单!$C$4:$C$4003,"&lt;="&amp;账期止))</f>
        <v/>
      </c>
      <c r="Q121" s="26">
        <f>IF($A121="","",ROUND(SUMIFS(出库单!$S$4:$S$4003,出库单!$D$4:$D$4003,$A121,出库单!$K$4:$K$4003,"自用消耗",出库单!$U$4:$U$4003,"正常",出库单!$C$4:$C$4003,"&gt;="&amp;账期起,出库单!$C$4:$C$4003,"&lt;="&amp;账期止),0))</f>
        <v/>
      </c>
      <c r="R121" s="27">
        <f>IF($A121="","",SUMIFS(出库单!$J$4:$J$4003,出库单!$D$4:$D$4003,$A121,出库单!$K$4:$K$4003,"对外销售",出库单!$U$4:$U$4003,"正常",出库单!$C$4:$C$4003,"&gt;="&amp;账期起,出库单!$C$4:$C$4003,"&lt;="&amp;账期止))</f>
        <v/>
      </c>
      <c r="S121" s="26">
        <f>IF($A121="","",ROUND(SUMIFS(出库单!$S$4:$S$4003,出库单!$D$4:$D$4003,$A121,出库单!$K$4:$K$4003,"对外销售",出库单!$U$4:$U$4003,"正常",出库单!$C$4:$C$4003,"&gt;="&amp;账期起,出库单!$C$4:$C$4003,"&lt;="&amp;账期止),0))</f>
        <v/>
      </c>
      <c r="T121" s="27">
        <f>IF($A121="","",SUMIFS(出库单!$J$4:$J$4003,出库单!$D$4:$D$4003,$A121,出库单!$K$4:$K$4003,"盘亏",出库单!$U$4:$U$4003,"正常",出库单!$C$4:$C$4003,"&gt;="&amp;账期起,出库单!$C$4:$C$4003,"&lt;="&amp;账期止))</f>
        <v/>
      </c>
      <c r="U121" s="26">
        <f>IF($A121="","",ROUND(SUMIFS(出库单!$S$4:$S$4003,出库单!$D$4:$D$4003,$A121,出库单!$K$4:$K$4003,"盘亏",出库单!$U$4:$U$4003,"正常",出库单!$C$4:$C$4003,"&gt;="&amp;账期起,出库单!$C$4:$C$4003,"&lt;="&amp;账期止),0))</f>
        <v/>
      </c>
      <c r="V121" s="27">
        <f>IF($A121="","",SUMIFS(出库单!$J$4:$J$4003,出库单!$D$4:$D$4003,$A121,出库单!$K$4:$K$4003,"退货给供应商",出库单!$U$4:$U$4003,"正常",出库单!$C$4:$C$4003,"&gt;="&amp;账期起,出库单!$C$4:$C$4003,"&lt;="&amp;账期止))</f>
        <v/>
      </c>
      <c r="W121" s="26">
        <f>IF($A121="","",ROUND(SUMIFS(出库单!$S$4:$S$4003,出库单!$D$4:$D$4003,$A121,出库单!$K$4:$K$4003,"退货给供应商",出库单!$U$4:$U$4003,"正常",出库单!$C$4:$C$4003,"&gt;="&amp;账期起,出库单!$C$4:$C$4003,"&lt;="&amp;账期止),0))</f>
        <v/>
      </c>
      <c r="X121" s="27">
        <f>IF($A121="","",ROUND(N($G121)+$I121+$L121+$N121-$P121-$R121-$T121-$V121,3))</f>
        <v/>
      </c>
      <c r="Y121" s="26">
        <f>IF($A121="","",ROUND(N($H121)+$J121+$M121+$O121-$Q121-$S121-$U121-$W121,0))</f>
        <v/>
      </c>
      <c r="Z121" s="24">
        <f>IF($A121="","",IF(COUNTIFS(入库单!$G$4:$G$2503,$A121,入库单!$Y$4:$Y$2503,"待补价")+COUNTIFS(入库单!$G$4:$G$2503,$A121,入库单!$Y$4:$Y$2503,"暂估")&gt;0,"不可信","可信"))</f>
        <v/>
      </c>
      <c r="AA121" s="24">
        <f>IF($A121="","",IF($X121&lt;-0.001,"※账面负库存，查一下是不是漏记入库",IF(AND(ROUND($X121,3)=0,ABS($Y121)&gt;1),"※数量已经是 0，金额还挂着 "&amp;TEXT($Y121,"#,##0")&amp;" 先令",IF(AND($X121&gt;0,$Y121&lt;=0,$K121=0),"※有数量没金额（这个物料一直没填过进价）",IF($Z121="不可信","△成本含待补价/暂估，毛利仅供参考","")))))</f>
        <v/>
      </c>
    </row>
    <row r="122">
      <c r="A122" s="24">
        <f>IF(物料档案!$A121="","",物料档案!$A121)</f>
        <v/>
      </c>
      <c r="B122" s="24">
        <f>IF($A122="","",IFERROR(VLOOKUP($A122,物料档案!$A$4:$P$1203,3,0),""))</f>
        <v/>
      </c>
      <c r="C122" s="24">
        <f>IF($A122="","",IFERROR(VLOOKUP($A122,物料档案!$A$4:$P$1203,4,0),""))</f>
        <v/>
      </c>
      <c r="D122" s="24">
        <f>IF($A122="","",IFERROR(VLOOKUP($A122,物料档案!$A$4:$P$1203,5,0),""))</f>
        <v/>
      </c>
      <c r="E122" s="24">
        <f>IF($A122="","",IFERROR(VLOOKUP($A122,物料档案!$A$4:$P$1203,2,0),""))</f>
        <v/>
      </c>
      <c r="F122" s="24">
        <f>IF($A122="","",IFERROR(VLOOKUP($A122,物料档案!$A$4:$P$1203,6,0),""))</f>
        <v/>
      </c>
      <c r="G122" s="23" t="n"/>
      <c r="H122" s="32" t="n"/>
      <c r="I122" s="27">
        <f>IF($A122="","",SUMIFS(入库单!$K$4:$K$2503,入库单!$G$4:$G$2503,$A122,入库单!$X$4:$X$2503,"采购入库",入库单!$Z$4:$Z$2503,"正常",入库单!$C$4:$C$2503,"&gt;="&amp;账期起,入库单!$C$4:$C$2503,"&lt;="&amp;账期止))</f>
        <v/>
      </c>
      <c r="J122" s="26">
        <f>IF($A122="","",SUMIFS(入库单!$V$4:$V$2503,入库单!$G$4:$G$2503,$A122,入库单!$X$4:$X$2503,"采购入库",入库单!$Z$4:$Z$2503,"正常",入库单!$C$4:$C$2503,"&gt;="&amp;账期起,入库单!$C$4:$C$2503,"&lt;="&amp;账期止))</f>
        <v/>
      </c>
      <c r="K122" s="26">
        <f>IF($A122="","",IFERROR(ROUND((N($H122)+N($J122))/(N($G122)+N($I122)),2),0))</f>
        <v/>
      </c>
      <c r="L122" s="27">
        <f>IF($A122="","",SUMIFS(入库单!$K$4:$K$2503,入库单!$G$4:$G$2503,$A122,入库单!$X$4:$X$2503,"盘盈",入库单!$Z$4:$Z$2503,"正常",入库单!$C$4:$C$2503,"&gt;="&amp;账期起,入库单!$C$4:$C$2503,"&lt;="&amp;账期止))</f>
        <v/>
      </c>
      <c r="M122" s="26">
        <f>IF($A122="","",ROUND($L122*$K122,0))</f>
        <v/>
      </c>
      <c r="N122" s="27">
        <f>IF($A122="","",SUMIFS(入库单!$K$4:$K$2503,入库单!$G$4:$G$2503,$A122,入库单!$X$4:$X$2503,"矿区退库",入库单!$Z$4:$Z$2503,"正常",入库单!$C$4:$C$2503,"&gt;="&amp;账期起,入库单!$C$4:$C$2503,"&lt;="&amp;账期止))</f>
        <v/>
      </c>
      <c r="O122" s="26">
        <f>IF($A122="","",ROUND($N122*$K122,0))</f>
        <v/>
      </c>
      <c r="P122" s="27">
        <f>IF($A122="","",SUMIFS(出库单!$J$4:$J$4003,出库单!$D$4:$D$4003,$A122,出库单!$K$4:$K$4003,"自用消耗",出库单!$U$4:$U$4003,"正常",出库单!$C$4:$C$4003,"&gt;="&amp;账期起,出库单!$C$4:$C$4003,"&lt;="&amp;账期止))</f>
        <v/>
      </c>
      <c r="Q122" s="26">
        <f>IF($A122="","",ROUND(SUMIFS(出库单!$S$4:$S$4003,出库单!$D$4:$D$4003,$A122,出库单!$K$4:$K$4003,"自用消耗",出库单!$U$4:$U$4003,"正常",出库单!$C$4:$C$4003,"&gt;="&amp;账期起,出库单!$C$4:$C$4003,"&lt;="&amp;账期止),0))</f>
        <v/>
      </c>
      <c r="R122" s="27">
        <f>IF($A122="","",SUMIFS(出库单!$J$4:$J$4003,出库单!$D$4:$D$4003,$A122,出库单!$K$4:$K$4003,"对外销售",出库单!$U$4:$U$4003,"正常",出库单!$C$4:$C$4003,"&gt;="&amp;账期起,出库单!$C$4:$C$4003,"&lt;="&amp;账期止))</f>
        <v/>
      </c>
      <c r="S122" s="26">
        <f>IF($A122="","",ROUND(SUMIFS(出库单!$S$4:$S$4003,出库单!$D$4:$D$4003,$A122,出库单!$K$4:$K$4003,"对外销售",出库单!$U$4:$U$4003,"正常",出库单!$C$4:$C$4003,"&gt;="&amp;账期起,出库单!$C$4:$C$4003,"&lt;="&amp;账期止),0))</f>
        <v/>
      </c>
      <c r="T122" s="27">
        <f>IF($A122="","",SUMIFS(出库单!$J$4:$J$4003,出库单!$D$4:$D$4003,$A122,出库单!$K$4:$K$4003,"盘亏",出库单!$U$4:$U$4003,"正常",出库单!$C$4:$C$4003,"&gt;="&amp;账期起,出库单!$C$4:$C$4003,"&lt;="&amp;账期止))</f>
        <v/>
      </c>
      <c r="U122" s="26">
        <f>IF($A122="","",ROUND(SUMIFS(出库单!$S$4:$S$4003,出库单!$D$4:$D$4003,$A122,出库单!$K$4:$K$4003,"盘亏",出库单!$U$4:$U$4003,"正常",出库单!$C$4:$C$4003,"&gt;="&amp;账期起,出库单!$C$4:$C$4003,"&lt;="&amp;账期止),0))</f>
        <v/>
      </c>
      <c r="V122" s="27">
        <f>IF($A122="","",SUMIFS(出库单!$J$4:$J$4003,出库单!$D$4:$D$4003,$A122,出库单!$K$4:$K$4003,"退货给供应商",出库单!$U$4:$U$4003,"正常",出库单!$C$4:$C$4003,"&gt;="&amp;账期起,出库单!$C$4:$C$4003,"&lt;="&amp;账期止))</f>
        <v/>
      </c>
      <c r="W122" s="26">
        <f>IF($A122="","",ROUND(SUMIFS(出库单!$S$4:$S$4003,出库单!$D$4:$D$4003,$A122,出库单!$K$4:$K$4003,"退货给供应商",出库单!$U$4:$U$4003,"正常",出库单!$C$4:$C$4003,"&gt;="&amp;账期起,出库单!$C$4:$C$4003,"&lt;="&amp;账期止),0))</f>
        <v/>
      </c>
      <c r="X122" s="27">
        <f>IF($A122="","",ROUND(N($G122)+$I122+$L122+$N122-$P122-$R122-$T122-$V122,3))</f>
        <v/>
      </c>
      <c r="Y122" s="26">
        <f>IF($A122="","",ROUND(N($H122)+$J122+$M122+$O122-$Q122-$S122-$U122-$W122,0))</f>
        <v/>
      </c>
      <c r="Z122" s="24">
        <f>IF($A122="","",IF(COUNTIFS(入库单!$G$4:$G$2503,$A122,入库单!$Y$4:$Y$2503,"待补价")+COUNTIFS(入库单!$G$4:$G$2503,$A122,入库单!$Y$4:$Y$2503,"暂估")&gt;0,"不可信","可信"))</f>
        <v/>
      </c>
      <c r="AA122" s="24">
        <f>IF($A122="","",IF($X122&lt;-0.001,"※账面负库存，查一下是不是漏记入库",IF(AND(ROUND($X122,3)=0,ABS($Y122)&gt;1),"※数量已经是 0，金额还挂着 "&amp;TEXT($Y122,"#,##0")&amp;" 先令",IF(AND($X122&gt;0,$Y122&lt;=0,$K122=0),"※有数量没金额（这个物料一直没填过进价）",IF($Z122="不可信","△成本含待补价/暂估，毛利仅供参考","")))))</f>
        <v/>
      </c>
    </row>
    <row r="123">
      <c r="A123" s="24">
        <f>IF(物料档案!$A122="","",物料档案!$A122)</f>
        <v/>
      </c>
      <c r="B123" s="24">
        <f>IF($A123="","",IFERROR(VLOOKUP($A123,物料档案!$A$4:$P$1203,3,0),""))</f>
        <v/>
      </c>
      <c r="C123" s="24">
        <f>IF($A123="","",IFERROR(VLOOKUP($A123,物料档案!$A$4:$P$1203,4,0),""))</f>
        <v/>
      </c>
      <c r="D123" s="24">
        <f>IF($A123="","",IFERROR(VLOOKUP($A123,物料档案!$A$4:$P$1203,5,0),""))</f>
        <v/>
      </c>
      <c r="E123" s="24">
        <f>IF($A123="","",IFERROR(VLOOKUP($A123,物料档案!$A$4:$P$1203,2,0),""))</f>
        <v/>
      </c>
      <c r="F123" s="24">
        <f>IF($A123="","",IFERROR(VLOOKUP($A123,物料档案!$A$4:$P$1203,6,0),""))</f>
        <v/>
      </c>
      <c r="G123" s="23" t="n"/>
      <c r="H123" s="32" t="n"/>
      <c r="I123" s="27">
        <f>IF($A123="","",SUMIFS(入库单!$K$4:$K$2503,入库单!$G$4:$G$2503,$A123,入库单!$X$4:$X$2503,"采购入库",入库单!$Z$4:$Z$2503,"正常",入库单!$C$4:$C$2503,"&gt;="&amp;账期起,入库单!$C$4:$C$2503,"&lt;="&amp;账期止))</f>
        <v/>
      </c>
      <c r="J123" s="26">
        <f>IF($A123="","",SUMIFS(入库单!$V$4:$V$2503,入库单!$G$4:$G$2503,$A123,入库单!$X$4:$X$2503,"采购入库",入库单!$Z$4:$Z$2503,"正常",入库单!$C$4:$C$2503,"&gt;="&amp;账期起,入库单!$C$4:$C$2503,"&lt;="&amp;账期止))</f>
        <v/>
      </c>
      <c r="K123" s="26">
        <f>IF($A123="","",IFERROR(ROUND((N($H123)+N($J123))/(N($G123)+N($I123)),2),0))</f>
        <v/>
      </c>
      <c r="L123" s="27">
        <f>IF($A123="","",SUMIFS(入库单!$K$4:$K$2503,入库单!$G$4:$G$2503,$A123,入库单!$X$4:$X$2503,"盘盈",入库单!$Z$4:$Z$2503,"正常",入库单!$C$4:$C$2503,"&gt;="&amp;账期起,入库单!$C$4:$C$2503,"&lt;="&amp;账期止))</f>
        <v/>
      </c>
      <c r="M123" s="26">
        <f>IF($A123="","",ROUND($L123*$K123,0))</f>
        <v/>
      </c>
      <c r="N123" s="27">
        <f>IF($A123="","",SUMIFS(入库单!$K$4:$K$2503,入库单!$G$4:$G$2503,$A123,入库单!$X$4:$X$2503,"矿区退库",入库单!$Z$4:$Z$2503,"正常",入库单!$C$4:$C$2503,"&gt;="&amp;账期起,入库单!$C$4:$C$2503,"&lt;="&amp;账期止))</f>
        <v/>
      </c>
      <c r="O123" s="26">
        <f>IF($A123="","",ROUND($N123*$K123,0))</f>
        <v/>
      </c>
      <c r="P123" s="27">
        <f>IF($A123="","",SUMIFS(出库单!$J$4:$J$4003,出库单!$D$4:$D$4003,$A123,出库单!$K$4:$K$4003,"自用消耗",出库单!$U$4:$U$4003,"正常",出库单!$C$4:$C$4003,"&gt;="&amp;账期起,出库单!$C$4:$C$4003,"&lt;="&amp;账期止))</f>
        <v/>
      </c>
      <c r="Q123" s="26">
        <f>IF($A123="","",ROUND(SUMIFS(出库单!$S$4:$S$4003,出库单!$D$4:$D$4003,$A123,出库单!$K$4:$K$4003,"自用消耗",出库单!$U$4:$U$4003,"正常",出库单!$C$4:$C$4003,"&gt;="&amp;账期起,出库单!$C$4:$C$4003,"&lt;="&amp;账期止),0))</f>
        <v/>
      </c>
      <c r="R123" s="27">
        <f>IF($A123="","",SUMIFS(出库单!$J$4:$J$4003,出库单!$D$4:$D$4003,$A123,出库单!$K$4:$K$4003,"对外销售",出库单!$U$4:$U$4003,"正常",出库单!$C$4:$C$4003,"&gt;="&amp;账期起,出库单!$C$4:$C$4003,"&lt;="&amp;账期止))</f>
        <v/>
      </c>
      <c r="S123" s="26">
        <f>IF($A123="","",ROUND(SUMIFS(出库单!$S$4:$S$4003,出库单!$D$4:$D$4003,$A123,出库单!$K$4:$K$4003,"对外销售",出库单!$U$4:$U$4003,"正常",出库单!$C$4:$C$4003,"&gt;="&amp;账期起,出库单!$C$4:$C$4003,"&lt;="&amp;账期止),0))</f>
        <v/>
      </c>
      <c r="T123" s="27">
        <f>IF($A123="","",SUMIFS(出库单!$J$4:$J$4003,出库单!$D$4:$D$4003,$A123,出库单!$K$4:$K$4003,"盘亏",出库单!$U$4:$U$4003,"正常",出库单!$C$4:$C$4003,"&gt;="&amp;账期起,出库单!$C$4:$C$4003,"&lt;="&amp;账期止))</f>
        <v/>
      </c>
      <c r="U123" s="26">
        <f>IF($A123="","",ROUND(SUMIFS(出库单!$S$4:$S$4003,出库单!$D$4:$D$4003,$A123,出库单!$K$4:$K$4003,"盘亏",出库单!$U$4:$U$4003,"正常",出库单!$C$4:$C$4003,"&gt;="&amp;账期起,出库单!$C$4:$C$4003,"&lt;="&amp;账期止),0))</f>
        <v/>
      </c>
      <c r="V123" s="27">
        <f>IF($A123="","",SUMIFS(出库单!$J$4:$J$4003,出库单!$D$4:$D$4003,$A123,出库单!$K$4:$K$4003,"退货给供应商",出库单!$U$4:$U$4003,"正常",出库单!$C$4:$C$4003,"&gt;="&amp;账期起,出库单!$C$4:$C$4003,"&lt;="&amp;账期止))</f>
        <v/>
      </c>
      <c r="W123" s="26">
        <f>IF($A123="","",ROUND(SUMIFS(出库单!$S$4:$S$4003,出库单!$D$4:$D$4003,$A123,出库单!$K$4:$K$4003,"退货给供应商",出库单!$U$4:$U$4003,"正常",出库单!$C$4:$C$4003,"&gt;="&amp;账期起,出库单!$C$4:$C$4003,"&lt;="&amp;账期止),0))</f>
        <v/>
      </c>
      <c r="X123" s="27">
        <f>IF($A123="","",ROUND(N($G123)+$I123+$L123+$N123-$P123-$R123-$T123-$V123,3))</f>
        <v/>
      </c>
      <c r="Y123" s="26">
        <f>IF($A123="","",ROUND(N($H123)+$J123+$M123+$O123-$Q123-$S123-$U123-$W123,0))</f>
        <v/>
      </c>
      <c r="Z123" s="24">
        <f>IF($A123="","",IF(COUNTIFS(入库单!$G$4:$G$2503,$A123,入库单!$Y$4:$Y$2503,"待补价")+COUNTIFS(入库单!$G$4:$G$2503,$A123,入库单!$Y$4:$Y$2503,"暂估")&gt;0,"不可信","可信"))</f>
        <v/>
      </c>
      <c r="AA123" s="24">
        <f>IF($A123="","",IF($X123&lt;-0.001,"※账面负库存，查一下是不是漏记入库",IF(AND(ROUND($X123,3)=0,ABS($Y123)&gt;1),"※数量已经是 0，金额还挂着 "&amp;TEXT($Y123,"#,##0")&amp;" 先令",IF(AND($X123&gt;0,$Y123&lt;=0,$K123=0),"※有数量没金额（这个物料一直没填过进价）",IF($Z123="不可信","△成本含待补价/暂估，毛利仅供参考","")))))</f>
        <v/>
      </c>
    </row>
    <row r="124">
      <c r="A124" s="24">
        <f>IF(物料档案!$A123="","",物料档案!$A123)</f>
        <v/>
      </c>
      <c r="B124" s="24">
        <f>IF($A124="","",IFERROR(VLOOKUP($A124,物料档案!$A$4:$P$1203,3,0),""))</f>
        <v/>
      </c>
      <c r="C124" s="24">
        <f>IF($A124="","",IFERROR(VLOOKUP($A124,物料档案!$A$4:$P$1203,4,0),""))</f>
        <v/>
      </c>
      <c r="D124" s="24">
        <f>IF($A124="","",IFERROR(VLOOKUP($A124,物料档案!$A$4:$P$1203,5,0),""))</f>
        <v/>
      </c>
      <c r="E124" s="24">
        <f>IF($A124="","",IFERROR(VLOOKUP($A124,物料档案!$A$4:$P$1203,2,0),""))</f>
        <v/>
      </c>
      <c r="F124" s="24">
        <f>IF($A124="","",IFERROR(VLOOKUP($A124,物料档案!$A$4:$P$1203,6,0),""))</f>
        <v/>
      </c>
      <c r="G124" s="23" t="n"/>
      <c r="H124" s="32" t="n"/>
      <c r="I124" s="27">
        <f>IF($A124="","",SUMIFS(入库单!$K$4:$K$2503,入库单!$G$4:$G$2503,$A124,入库单!$X$4:$X$2503,"采购入库",入库单!$Z$4:$Z$2503,"正常",入库单!$C$4:$C$2503,"&gt;="&amp;账期起,入库单!$C$4:$C$2503,"&lt;="&amp;账期止))</f>
        <v/>
      </c>
      <c r="J124" s="26">
        <f>IF($A124="","",SUMIFS(入库单!$V$4:$V$2503,入库单!$G$4:$G$2503,$A124,入库单!$X$4:$X$2503,"采购入库",入库单!$Z$4:$Z$2503,"正常",入库单!$C$4:$C$2503,"&gt;="&amp;账期起,入库单!$C$4:$C$2503,"&lt;="&amp;账期止))</f>
        <v/>
      </c>
      <c r="K124" s="26">
        <f>IF($A124="","",IFERROR(ROUND((N($H124)+N($J124))/(N($G124)+N($I124)),2),0))</f>
        <v/>
      </c>
      <c r="L124" s="27">
        <f>IF($A124="","",SUMIFS(入库单!$K$4:$K$2503,入库单!$G$4:$G$2503,$A124,入库单!$X$4:$X$2503,"盘盈",入库单!$Z$4:$Z$2503,"正常",入库单!$C$4:$C$2503,"&gt;="&amp;账期起,入库单!$C$4:$C$2503,"&lt;="&amp;账期止))</f>
        <v/>
      </c>
      <c r="M124" s="26">
        <f>IF($A124="","",ROUND($L124*$K124,0))</f>
        <v/>
      </c>
      <c r="N124" s="27">
        <f>IF($A124="","",SUMIFS(入库单!$K$4:$K$2503,入库单!$G$4:$G$2503,$A124,入库单!$X$4:$X$2503,"矿区退库",入库单!$Z$4:$Z$2503,"正常",入库单!$C$4:$C$2503,"&gt;="&amp;账期起,入库单!$C$4:$C$2503,"&lt;="&amp;账期止))</f>
        <v/>
      </c>
      <c r="O124" s="26">
        <f>IF($A124="","",ROUND($N124*$K124,0))</f>
        <v/>
      </c>
      <c r="P124" s="27">
        <f>IF($A124="","",SUMIFS(出库单!$J$4:$J$4003,出库单!$D$4:$D$4003,$A124,出库单!$K$4:$K$4003,"自用消耗",出库单!$U$4:$U$4003,"正常",出库单!$C$4:$C$4003,"&gt;="&amp;账期起,出库单!$C$4:$C$4003,"&lt;="&amp;账期止))</f>
        <v/>
      </c>
      <c r="Q124" s="26">
        <f>IF($A124="","",ROUND(SUMIFS(出库单!$S$4:$S$4003,出库单!$D$4:$D$4003,$A124,出库单!$K$4:$K$4003,"自用消耗",出库单!$U$4:$U$4003,"正常",出库单!$C$4:$C$4003,"&gt;="&amp;账期起,出库单!$C$4:$C$4003,"&lt;="&amp;账期止),0))</f>
        <v/>
      </c>
      <c r="R124" s="27">
        <f>IF($A124="","",SUMIFS(出库单!$J$4:$J$4003,出库单!$D$4:$D$4003,$A124,出库单!$K$4:$K$4003,"对外销售",出库单!$U$4:$U$4003,"正常",出库单!$C$4:$C$4003,"&gt;="&amp;账期起,出库单!$C$4:$C$4003,"&lt;="&amp;账期止))</f>
        <v/>
      </c>
      <c r="S124" s="26">
        <f>IF($A124="","",ROUND(SUMIFS(出库单!$S$4:$S$4003,出库单!$D$4:$D$4003,$A124,出库单!$K$4:$K$4003,"对外销售",出库单!$U$4:$U$4003,"正常",出库单!$C$4:$C$4003,"&gt;="&amp;账期起,出库单!$C$4:$C$4003,"&lt;="&amp;账期止),0))</f>
        <v/>
      </c>
      <c r="T124" s="27">
        <f>IF($A124="","",SUMIFS(出库单!$J$4:$J$4003,出库单!$D$4:$D$4003,$A124,出库单!$K$4:$K$4003,"盘亏",出库单!$U$4:$U$4003,"正常",出库单!$C$4:$C$4003,"&gt;="&amp;账期起,出库单!$C$4:$C$4003,"&lt;="&amp;账期止))</f>
        <v/>
      </c>
      <c r="U124" s="26">
        <f>IF($A124="","",ROUND(SUMIFS(出库单!$S$4:$S$4003,出库单!$D$4:$D$4003,$A124,出库单!$K$4:$K$4003,"盘亏",出库单!$U$4:$U$4003,"正常",出库单!$C$4:$C$4003,"&gt;="&amp;账期起,出库单!$C$4:$C$4003,"&lt;="&amp;账期止),0))</f>
        <v/>
      </c>
      <c r="V124" s="27">
        <f>IF($A124="","",SUMIFS(出库单!$J$4:$J$4003,出库单!$D$4:$D$4003,$A124,出库单!$K$4:$K$4003,"退货给供应商",出库单!$U$4:$U$4003,"正常",出库单!$C$4:$C$4003,"&gt;="&amp;账期起,出库单!$C$4:$C$4003,"&lt;="&amp;账期止))</f>
        <v/>
      </c>
      <c r="W124" s="26">
        <f>IF($A124="","",ROUND(SUMIFS(出库单!$S$4:$S$4003,出库单!$D$4:$D$4003,$A124,出库单!$K$4:$K$4003,"退货给供应商",出库单!$U$4:$U$4003,"正常",出库单!$C$4:$C$4003,"&gt;="&amp;账期起,出库单!$C$4:$C$4003,"&lt;="&amp;账期止),0))</f>
        <v/>
      </c>
      <c r="X124" s="27">
        <f>IF($A124="","",ROUND(N($G124)+$I124+$L124+$N124-$P124-$R124-$T124-$V124,3))</f>
        <v/>
      </c>
      <c r="Y124" s="26">
        <f>IF($A124="","",ROUND(N($H124)+$J124+$M124+$O124-$Q124-$S124-$U124-$W124,0))</f>
        <v/>
      </c>
      <c r="Z124" s="24">
        <f>IF($A124="","",IF(COUNTIFS(入库单!$G$4:$G$2503,$A124,入库单!$Y$4:$Y$2503,"待补价")+COUNTIFS(入库单!$G$4:$G$2503,$A124,入库单!$Y$4:$Y$2503,"暂估")&gt;0,"不可信","可信"))</f>
        <v/>
      </c>
      <c r="AA124" s="24">
        <f>IF($A124="","",IF($X124&lt;-0.001,"※账面负库存，查一下是不是漏记入库",IF(AND(ROUND($X124,3)=0,ABS($Y124)&gt;1),"※数量已经是 0，金额还挂着 "&amp;TEXT($Y124,"#,##0")&amp;" 先令",IF(AND($X124&gt;0,$Y124&lt;=0,$K124=0),"※有数量没金额（这个物料一直没填过进价）",IF($Z124="不可信","△成本含待补价/暂估，毛利仅供参考","")))))</f>
        <v/>
      </c>
    </row>
    <row r="125">
      <c r="A125" s="24">
        <f>IF(物料档案!$A124="","",物料档案!$A124)</f>
        <v/>
      </c>
      <c r="B125" s="24">
        <f>IF($A125="","",IFERROR(VLOOKUP($A125,物料档案!$A$4:$P$1203,3,0),""))</f>
        <v/>
      </c>
      <c r="C125" s="24">
        <f>IF($A125="","",IFERROR(VLOOKUP($A125,物料档案!$A$4:$P$1203,4,0),""))</f>
        <v/>
      </c>
      <c r="D125" s="24">
        <f>IF($A125="","",IFERROR(VLOOKUP($A125,物料档案!$A$4:$P$1203,5,0),""))</f>
        <v/>
      </c>
      <c r="E125" s="24">
        <f>IF($A125="","",IFERROR(VLOOKUP($A125,物料档案!$A$4:$P$1203,2,0),""))</f>
        <v/>
      </c>
      <c r="F125" s="24">
        <f>IF($A125="","",IFERROR(VLOOKUP($A125,物料档案!$A$4:$P$1203,6,0),""))</f>
        <v/>
      </c>
      <c r="G125" s="23" t="n"/>
      <c r="H125" s="32" t="n"/>
      <c r="I125" s="27">
        <f>IF($A125="","",SUMIFS(入库单!$K$4:$K$2503,入库单!$G$4:$G$2503,$A125,入库单!$X$4:$X$2503,"采购入库",入库单!$Z$4:$Z$2503,"正常",入库单!$C$4:$C$2503,"&gt;="&amp;账期起,入库单!$C$4:$C$2503,"&lt;="&amp;账期止))</f>
        <v/>
      </c>
      <c r="J125" s="26">
        <f>IF($A125="","",SUMIFS(入库单!$V$4:$V$2503,入库单!$G$4:$G$2503,$A125,入库单!$X$4:$X$2503,"采购入库",入库单!$Z$4:$Z$2503,"正常",入库单!$C$4:$C$2503,"&gt;="&amp;账期起,入库单!$C$4:$C$2503,"&lt;="&amp;账期止))</f>
        <v/>
      </c>
      <c r="K125" s="26">
        <f>IF($A125="","",IFERROR(ROUND((N($H125)+N($J125))/(N($G125)+N($I125)),2),0))</f>
        <v/>
      </c>
      <c r="L125" s="27">
        <f>IF($A125="","",SUMIFS(入库单!$K$4:$K$2503,入库单!$G$4:$G$2503,$A125,入库单!$X$4:$X$2503,"盘盈",入库单!$Z$4:$Z$2503,"正常",入库单!$C$4:$C$2503,"&gt;="&amp;账期起,入库单!$C$4:$C$2503,"&lt;="&amp;账期止))</f>
        <v/>
      </c>
      <c r="M125" s="26">
        <f>IF($A125="","",ROUND($L125*$K125,0))</f>
        <v/>
      </c>
      <c r="N125" s="27">
        <f>IF($A125="","",SUMIFS(入库单!$K$4:$K$2503,入库单!$G$4:$G$2503,$A125,入库单!$X$4:$X$2503,"矿区退库",入库单!$Z$4:$Z$2503,"正常",入库单!$C$4:$C$2503,"&gt;="&amp;账期起,入库单!$C$4:$C$2503,"&lt;="&amp;账期止))</f>
        <v/>
      </c>
      <c r="O125" s="26">
        <f>IF($A125="","",ROUND($N125*$K125,0))</f>
        <v/>
      </c>
      <c r="P125" s="27">
        <f>IF($A125="","",SUMIFS(出库单!$J$4:$J$4003,出库单!$D$4:$D$4003,$A125,出库单!$K$4:$K$4003,"自用消耗",出库单!$U$4:$U$4003,"正常",出库单!$C$4:$C$4003,"&gt;="&amp;账期起,出库单!$C$4:$C$4003,"&lt;="&amp;账期止))</f>
        <v/>
      </c>
      <c r="Q125" s="26">
        <f>IF($A125="","",ROUND(SUMIFS(出库单!$S$4:$S$4003,出库单!$D$4:$D$4003,$A125,出库单!$K$4:$K$4003,"自用消耗",出库单!$U$4:$U$4003,"正常",出库单!$C$4:$C$4003,"&gt;="&amp;账期起,出库单!$C$4:$C$4003,"&lt;="&amp;账期止),0))</f>
        <v/>
      </c>
      <c r="R125" s="27">
        <f>IF($A125="","",SUMIFS(出库单!$J$4:$J$4003,出库单!$D$4:$D$4003,$A125,出库单!$K$4:$K$4003,"对外销售",出库单!$U$4:$U$4003,"正常",出库单!$C$4:$C$4003,"&gt;="&amp;账期起,出库单!$C$4:$C$4003,"&lt;="&amp;账期止))</f>
        <v/>
      </c>
      <c r="S125" s="26">
        <f>IF($A125="","",ROUND(SUMIFS(出库单!$S$4:$S$4003,出库单!$D$4:$D$4003,$A125,出库单!$K$4:$K$4003,"对外销售",出库单!$U$4:$U$4003,"正常",出库单!$C$4:$C$4003,"&gt;="&amp;账期起,出库单!$C$4:$C$4003,"&lt;="&amp;账期止),0))</f>
        <v/>
      </c>
      <c r="T125" s="27">
        <f>IF($A125="","",SUMIFS(出库单!$J$4:$J$4003,出库单!$D$4:$D$4003,$A125,出库单!$K$4:$K$4003,"盘亏",出库单!$U$4:$U$4003,"正常",出库单!$C$4:$C$4003,"&gt;="&amp;账期起,出库单!$C$4:$C$4003,"&lt;="&amp;账期止))</f>
        <v/>
      </c>
      <c r="U125" s="26">
        <f>IF($A125="","",ROUND(SUMIFS(出库单!$S$4:$S$4003,出库单!$D$4:$D$4003,$A125,出库单!$K$4:$K$4003,"盘亏",出库单!$U$4:$U$4003,"正常",出库单!$C$4:$C$4003,"&gt;="&amp;账期起,出库单!$C$4:$C$4003,"&lt;="&amp;账期止),0))</f>
        <v/>
      </c>
      <c r="V125" s="27">
        <f>IF($A125="","",SUMIFS(出库单!$J$4:$J$4003,出库单!$D$4:$D$4003,$A125,出库单!$K$4:$K$4003,"退货给供应商",出库单!$U$4:$U$4003,"正常",出库单!$C$4:$C$4003,"&gt;="&amp;账期起,出库单!$C$4:$C$4003,"&lt;="&amp;账期止))</f>
        <v/>
      </c>
      <c r="W125" s="26">
        <f>IF($A125="","",ROUND(SUMIFS(出库单!$S$4:$S$4003,出库单!$D$4:$D$4003,$A125,出库单!$K$4:$K$4003,"退货给供应商",出库单!$U$4:$U$4003,"正常",出库单!$C$4:$C$4003,"&gt;="&amp;账期起,出库单!$C$4:$C$4003,"&lt;="&amp;账期止),0))</f>
        <v/>
      </c>
      <c r="X125" s="27">
        <f>IF($A125="","",ROUND(N($G125)+$I125+$L125+$N125-$P125-$R125-$T125-$V125,3))</f>
        <v/>
      </c>
      <c r="Y125" s="26">
        <f>IF($A125="","",ROUND(N($H125)+$J125+$M125+$O125-$Q125-$S125-$U125-$W125,0))</f>
        <v/>
      </c>
      <c r="Z125" s="24">
        <f>IF($A125="","",IF(COUNTIFS(入库单!$G$4:$G$2503,$A125,入库单!$Y$4:$Y$2503,"待补价")+COUNTIFS(入库单!$G$4:$G$2503,$A125,入库单!$Y$4:$Y$2503,"暂估")&gt;0,"不可信","可信"))</f>
        <v/>
      </c>
      <c r="AA125" s="24">
        <f>IF($A125="","",IF($X125&lt;-0.001,"※账面负库存，查一下是不是漏记入库",IF(AND(ROUND($X125,3)=0,ABS($Y125)&gt;1),"※数量已经是 0，金额还挂着 "&amp;TEXT($Y125,"#,##0")&amp;" 先令",IF(AND($X125&gt;0,$Y125&lt;=0,$K125=0),"※有数量没金额（这个物料一直没填过进价）",IF($Z125="不可信","△成本含待补价/暂估，毛利仅供参考","")))))</f>
        <v/>
      </c>
    </row>
    <row r="126">
      <c r="A126" s="24">
        <f>IF(物料档案!$A125="","",物料档案!$A125)</f>
        <v/>
      </c>
      <c r="B126" s="24">
        <f>IF($A126="","",IFERROR(VLOOKUP($A126,物料档案!$A$4:$P$1203,3,0),""))</f>
        <v/>
      </c>
      <c r="C126" s="24">
        <f>IF($A126="","",IFERROR(VLOOKUP($A126,物料档案!$A$4:$P$1203,4,0),""))</f>
        <v/>
      </c>
      <c r="D126" s="24">
        <f>IF($A126="","",IFERROR(VLOOKUP($A126,物料档案!$A$4:$P$1203,5,0),""))</f>
        <v/>
      </c>
      <c r="E126" s="24">
        <f>IF($A126="","",IFERROR(VLOOKUP($A126,物料档案!$A$4:$P$1203,2,0),""))</f>
        <v/>
      </c>
      <c r="F126" s="24">
        <f>IF($A126="","",IFERROR(VLOOKUP($A126,物料档案!$A$4:$P$1203,6,0),""))</f>
        <v/>
      </c>
      <c r="G126" s="23" t="n"/>
      <c r="H126" s="32" t="n"/>
      <c r="I126" s="27">
        <f>IF($A126="","",SUMIFS(入库单!$K$4:$K$2503,入库单!$G$4:$G$2503,$A126,入库单!$X$4:$X$2503,"采购入库",入库单!$Z$4:$Z$2503,"正常",入库单!$C$4:$C$2503,"&gt;="&amp;账期起,入库单!$C$4:$C$2503,"&lt;="&amp;账期止))</f>
        <v/>
      </c>
      <c r="J126" s="26">
        <f>IF($A126="","",SUMIFS(入库单!$V$4:$V$2503,入库单!$G$4:$G$2503,$A126,入库单!$X$4:$X$2503,"采购入库",入库单!$Z$4:$Z$2503,"正常",入库单!$C$4:$C$2503,"&gt;="&amp;账期起,入库单!$C$4:$C$2503,"&lt;="&amp;账期止))</f>
        <v/>
      </c>
      <c r="K126" s="26">
        <f>IF($A126="","",IFERROR(ROUND((N($H126)+N($J126))/(N($G126)+N($I126)),2),0))</f>
        <v/>
      </c>
      <c r="L126" s="27">
        <f>IF($A126="","",SUMIFS(入库单!$K$4:$K$2503,入库单!$G$4:$G$2503,$A126,入库单!$X$4:$X$2503,"盘盈",入库单!$Z$4:$Z$2503,"正常",入库单!$C$4:$C$2503,"&gt;="&amp;账期起,入库单!$C$4:$C$2503,"&lt;="&amp;账期止))</f>
        <v/>
      </c>
      <c r="M126" s="26">
        <f>IF($A126="","",ROUND($L126*$K126,0))</f>
        <v/>
      </c>
      <c r="N126" s="27">
        <f>IF($A126="","",SUMIFS(入库单!$K$4:$K$2503,入库单!$G$4:$G$2503,$A126,入库单!$X$4:$X$2503,"矿区退库",入库单!$Z$4:$Z$2503,"正常",入库单!$C$4:$C$2503,"&gt;="&amp;账期起,入库单!$C$4:$C$2503,"&lt;="&amp;账期止))</f>
        <v/>
      </c>
      <c r="O126" s="26">
        <f>IF($A126="","",ROUND($N126*$K126,0))</f>
        <v/>
      </c>
      <c r="P126" s="27">
        <f>IF($A126="","",SUMIFS(出库单!$J$4:$J$4003,出库单!$D$4:$D$4003,$A126,出库单!$K$4:$K$4003,"自用消耗",出库单!$U$4:$U$4003,"正常",出库单!$C$4:$C$4003,"&gt;="&amp;账期起,出库单!$C$4:$C$4003,"&lt;="&amp;账期止))</f>
        <v/>
      </c>
      <c r="Q126" s="26">
        <f>IF($A126="","",ROUND(SUMIFS(出库单!$S$4:$S$4003,出库单!$D$4:$D$4003,$A126,出库单!$K$4:$K$4003,"自用消耗",出库单!$U$4:$U$4003,"正常",出库单!$C$4:$C$4003,"&gt;="&amp;账期起,出库单!$C$4:$C$4003,"&lt;="&amp;账期止),0))</f>
        <v/>
      </c>
      <c r="R126" s="27">
        <f>IF($A126="","",SUMIFS(出库单!$J$4:$J$4003,出库单!$D$4:$D$4003,$A126,出库单!$K$4:$K$4003,"对外销售",出库单!$U$4:$U$4003,"正常",出库单!$C$4:$C$4003,"&gt;="&amp;账期起,出库单!$C$4:$C$4003,"&lt;="&amp;账期止))</f>
        <v/>
      </c>
      <c r="S126" s="26">
        <f>IF($A126="","",ROUND(SUMIFS(出库单!$S$4:$S$4003,出库单!$D$4:$D$4003,$A126,出库单!$K$4:$K$4003,"对外销售",出库单!$U$4:$U$4003,"正常",出库单!$C$4:$C$4003,"&gt;="&amp;账期起,出库单!$C$4:$C$4003,"&lt;="&amp;账期止),0))</f>
        <v/>
      </c>
      <c r="T126" s="27">
        <f>IF($A126="","",SUMIFS(出库单!$J$4:$J$4003,出库单!$D$4:$D$4003,$A126,出库单!$K$4:$K$4003,"盘亏",出库单!$U$4:$U$4003,"正常",出库单!$C$4:$C$4003,"&gt;="&amp;账期起,出库单!$C$4:$C$4003,"&lt;="&amp;账期止))</f>
        <v/>
      </c>
      <c r="U126" s="26">
        <f>IF($A126="","",ROUND(SUMIFS(出库单!$S$4:$S$4003,出库单!$D$4:$D$4003,$A126,出库单!$K$4:$K$4003,"盘亏",出库单!$U$4:$U$4003,"正常",出库单!$C$4:$C$4003,"&gt;="&amp;账期起,出库单!$C$4:$C$4003,"&lt;="&amp;账期止),0))</f>
        <v/>
      </c>
      <c r="V126" s="27">
        <f>IF($A126="","",SUMIFS(出库单!$J$4:$J$4003,出库单!$D$4:$D$4003,$A126,出库单!$K$4:$K$4003,"退货给供应商",出库单!$U$4:$U$4003,"正常",出库单!$C$4:$C$4003,"&gt;="&amp;账期起,出库单!$C$4:$C$4003,"&lt;="&amp;账期止))</f>
        <v/>
      </c>
      <c r="W126" s="26">
        <f>IF($A126="","",ROUND(SUMIFS(出库单!$S$4:$S$4003,出库单!$D$4:$D$4003,$A126,出库单!$K$4:$K$4003,"退货给供应商",出库单!$U$4:$U$4003,"正常",出库单!$C$4:$C$4003,"&gt;="&amp;账期起,出库单!$C$4:$C$4003,"&lt;="&amp;账期止),0))</f>
        <v/>
      </c>
      <c r="X126" s="27">
        <f>IF($A126="","",ROUND(N($G126)+$I126+$L126+$N126-$P126-$R126-$T126-$V126,3))</f>
        <v/>
      </c>
      <c r="Y126" s="26">
        <f>IF($A126="","",ROUND(N($H126)+$J126+$M126+$O126-$Q126-$S126-$U126-$W126,0))</f>
        <v/>
      </c>
      <c r="Z126" s="24">
        <f>IF($A126="","",IF(COUNTIFS(入库单!$G$4:$G$2503,$A126,入库单!$Y$4:$Y$2503,"待补价")+COUNTIFS(入库单!$G$4:$G$2503,$A126,入库单!$Y$4:$Y$2503,"暂估")&gt;0,"不可信","可信"))</f>
        <v/>
      </c>
      <c r="AA126" s="24">
        <f>IF($A126="","",IF($X126&lt;-0.001,"※账面负库存，查一下是不是漏记入库",IF(AND(ROUND($X126,3)=0,ABS($Y126)&gt;1),"※数量已经是 0，金额还挂着 "&amp;TEXT($Y126,"#,##0")&amp;" 先令",IF(AND($X126&gt;0,$Y126&lt;=0,$K126=0),"※有数量没金额（这个物料一直没填过进价）",IF($Z126="不可信","△成本含待补价/暂估，毛利仅供参考","")))))</f>
        <v/>
      </c>
    </row>
    <row r="127">
      <c r="A127" s="24">
        <f>IF(物料档案!$A126="","",物料档案!$A126)</f>
        <v/>
      </c>
      <c r="B127" s="24">
        <f>IF($A127="","",IFERROR(VLOOKUP($A127,物料档案!$A$4:$P$1203,3,0),""))</f>
        <v/>
      </c>
      <c r="C127" s="24">
        <f>IF($A127="","",IFERROR(VLOOKUP($A127,物料档案!$A$4:$P$1203,4,0),""))</f>
        <v/>
      </c>
      <c r="D127" s="24">
        <f>IF($A127="","",IFERROR(VLOOKUP($A127,物料档案!$A$4:$P$1203,5,0),""))</f>
        <v/>
      </c>
      <c r="E127" s="24">
        <f>IF($A127="","",IFERROR(VLOOKUP($A127,物料档案!$A$4:$P$1203,2,0),""))</f>
        <v/>
      </c>
      <c r="F127" s="24">
        <f>IF($A127="","",IFERROR(VLOOKUP($A127,物料档案!$A$4:$P$1203,6,0),""))</f>
        <v/>
      </c>
      <c r="G127" s="23" t="n"/>
      <c r="H127" s="32" t="n"/>
      <c r="I127" s="27">
        <f>IF($A127="","",SUMIFS(入库单!$K$4:$K$2503,入库单!$G$4:$G$2503,$A127,入库单!$X$4:$X$2503,"采购入库",入库单!$Z$4:$Z$2503,"正常",入库单!$C$4:$C$2503,"&gt;="&amp;账期起,入库单!$C$4:$C$2503,"&lt;="&amp;账期止))</f>
        <v/>
      </c>
      <c r="J127" s="26">
        <f>IF($A127="","",SUMIFS(入库单!$V$4:$V$2503,入库单!$G$4:$G$2503,$A127,入库单!$X$4:$X$2503,"采购入库",入库单!$Z$4:$Z$2503,"正常",入库单!$C$4:$C$2503,"&gt;="&amp;账期起,入库单!$C$4:$C$2503,"&lt;="&amp;账期止))</f>
        <v/>
      </c>
      <c r="K127" s="26">
        <f>IF($A127="","",IFERROR(ROUND((N($H127)+N($J127))/(N($G127)+N($I127)),2),0))</f>
        <v/>
      </c>
      <c r="L127" s="27">
        <f>IF($A127="","",SUMIFS(入库单!$K$4:$K$2503,入库单!$G$4:$G$2503,$A127,入库单!$X$4:$X$2503,"盘盈",入库单!$Z$4:$Z$2503,"正常",入库单!$C$4:$C$2503,"&gt;="&amp;账期起,入库单!$C$4:$C$2503,"&lt;="&amp;账期止))</f>
        <v/>
      </c>
      <c r="M127" s="26">
        <f>IF($A127="","",ROUND($L127*$K127,0))</f>
        <v/>
      </c>
      <c r="N127" s="27">
        <f>IF($A127="","",SUMIFS(入库单!$K$4:$K$2503,入库单!$G$4:$G$2503,$A127,入库单!$X$4:$X$2503,"矿区退库",入库单!$Z$4:$Z$2503,"正常",入库单!$C$4:$C$2503,"&gt;="&amp;账期起,入库单!$C$4:$C$2503,"&lt;="&amp;账期止))</f>
        <v/>
      </c>
      <c r="O127" s="26">
        <f>IF($A127="","",ROUND($N127*$K127,0))</f>
        <v/>
      </c>
      <c r="P127" s="27">
        <f>IF($A127="","",SUMIFS(出库单!$J$4:$J$4003,出库单!$D$4:$D$4003,$A127,出库单!$K$4:$K$4003,"自用消耗",出库单!$U$4:$U$4003,"正常",出库单!$C$4:$C$4003,"&gt;="&amp;账期起,出库单!$C$4:$C$4003,"&lt;="&amp;账期止))</f>
        <v/>
      </c>
      <c r="Q127" s="26">
        <f>IF($A127="","",ROUND(SUMIFS(出库单!$S$4:$S$4003,出库单!$D$4:$D$4003,$A127,出库单!$K$4:$K$4003,"自用消耗",出库单!$U$4:$U$4003,"正常",出库单!$C$4:$C$4003,"&gt;="&amp;账期起,出库单!$C$4:$C$4003,"&lt;="&amp;账期止),0))</f>
        <v/>
      </c>
      <c r="R127" s="27">
        <f>IF($A127="","",SUMIFS(出库单!$J$4:$J$4003,出库单!$D$4:$D$4003,$A127,出库单!$K$4:$K$4003,"对外销售",出库单!$U$4:$U$4003,"正常",出库单!$C$4:$C$4003,"&gt;="&amp;账期起,出库单!$C$4:$C$4003,"&lt;="&amp;账期止))</f>
        <v/>
      </c>
      <c r="S127" s="26">
        <f>IF($A127="","",ROUND(SUMIFS(出库单!$S$4:$S$4003,出库单!$D$4:$D$4003,$A127,出库单!$K$4:$K$4003,"对外销售",出库单!$U$4:$U$4003,"正常",出库单!$C$4:$C$4003,"&gt;="&amp;账期起,出库单!$C$4:$C$4003,"&lt;="&amp;账期止),0))</f>
        <v/>
      </c>
      <c r="T127" s="27">
        <f>IF($A127="","",SUMIFS(出库单!$J$4:$J$4003,出库单!$D$4:$D$4003,$A127,出库单!$K$4:$K$4003,"盘亏",出库单!$U$4:$U$4003,"正常",出库单!$C$4:$C$4003,"&gt;="&amp;账期起,出库单!$C$4:$C$4003,"&lt;="&amp;账期止))</f>
        <v/>
      </c>
      <c r="U127" s="26">
        <f>IF($A127="","",ROUND(SUMIFS(出库单!$S$4:$S$4003,出库单!$D$4:$D$4003,$A127,出库单!$K$4:$K$4003,"盘亏",出库单!$U$4:$U$4003,"正常",出库单!$C$4:$C$4003,"&gt;="&amp;账期起,出库单!$C$4:$C$4003,"&lt;="&amp;账期止),0))</f>
        <v/>
      </c>
      <c r="V127" s="27">
        <f>IF($A127="","",SUMIFS(出库单!$J$4:$J$4003,出库单!$D$4:$D$4003,$A127,出库单!$K$4:$K$4003,"退货给供应商",出库单!$U$4:$U$4003,"正常",出库单!$C$4:$C$4003,"&gt;="&amp;账期起,出库单!$C$4:$C$4003,"&lt;="&amp;账期止))</f>
        <v/>
      </c>
      <c r="W127" s="26">
        <f>IF($A127="","",ROUND(SUMIFS(出库单!$S$4:$S$4003,出库单!$D$4:$D$4003,$A127,出库单!$K$4:$K$4003,"退货给供应商",出库单!$U$4:$U$4003,"正常",出库单!$C$4:$C$4003,"&gt;="&amp;账期起,出库单!$C$4:$C$4003,"&lt;="&amp;账期止),0))</f>
        <v/>
      </c>
      <c r="X127" s="27">
        <f>IF($A127="","",ROUND(N($G127)+$I127+$L127+$N127-$P127-$R127-$T127-$V127,3))</f>
        <v/>
      </c>
      <c r="Y127" s="26">
        <f>IF($A127="","",ROUND(N($H127)+$J127+$M127+$O127-$Q127-$S127-$U127-$W127,0))</f>
        <v/>
      </c>
      <c r="Z127" s="24">
        <f>IF($A127="","",IF(COUNTIFS(入库单!$G$4:$G$2503,$A127,入库单!$Y$4:$Y$2503,"待补价")+COUNTIFS(入库单!$G$4:$G$2503,$A127,入库单!$Y$4:$Y$2503,"暂估")&gt;0,"不可信","可信"))</f>
        <v/>
      </c>
      <c r="AA127" s="24">
        <f>IF($A127="","",IF($X127&lt;-0.001,"※账面负库存，查一下是不是漏记入库",IF(AND(ROUND($X127,3)=0,ABS($Y127)&gt;1),"※数量已经是 0，金额还挂着 "&amp;TEXT($Y127,"#,##0")&amp;" 先令",IF(AND($X127&gt;0,$Y127&lt;=0,$K127=0),"※有数量没金额（这个物料一直没填过进价）",IF($Z127="不可信","△成本含待补价/暂估，毛利仅供参考","")))))</f>
        <v/>
      </c>
    </row>
    <row r="128">
      <c r="A128" s="24">
        <f>IF(物料档案!$A127="","",物料档案!$A127)</f>
        <v/>
      </c>
      <c r="B128" s="24">
        <f>IF($A128="","",IFERROR(VLOOKUP($A128,物料档案!$A$4:$P$1203,3,0),""))</f>
        <v/>
      </c>
      <c r="C128" s="24">
        <f>IF($A128="","",IFERROR(VLOOKUP($A128,物料档案!$A$4:$P$1203,4,0),""))</f>
        <v/>
      </c>
      <c r="D128" s="24">
        <f>IF($A128="","",IFERROR(VLOOKUP($A128,物料档案!$A$4:$P$1203,5,0),""))</f>
        <v/>
      </c>
      <c r="E128" s="24">
        <f>IF($A128="","",IFERROR(VLOOKUP($A128,物料档案!$A$4:$P$1203,2,0),""))</f>
        <v/>
      </c>
      <c r="F128" s="24">
        <f>IF($A128="","",IFERROR(VLOOKUP($A128,物料档案!$A$4:$P$1203,6,0),""))</f>
        <v/>
      </c>
      <c r="G128" s="23" t="n"/>
      <c r="H128" s="32" t="n"/>
      <c r="I128" s="27">
        <f>IF($A128="","",SUMIFS(入库单!$K$4:$K$2503,入库单!$G$4:$G$2503,$A128,入库单!$X$4:$X$2503,"采购入库",入库单!$Z$4:$Z$2503,"正常",入库单!$C$4:$C$2503,"&gt;="&amp;账期起,入库单!$C$4:$C$2503,"&lt;="&amp;账期止))</f>
        <v/>
      </c>
      <c r="J128" s="26">
        <f>IF($A128="","",SUMIFS(入库单!$V$4:$V$2503,入库单!$G$4:$G$2503,$A128,入库单!$X$4:$X$2503,"采购入库",入库单!$Z$4:$Z$2503,"正常",入库单!$C$4:$C$2503,"&gt;="&amp;账期起,入库单!$C$4:$C$2503,"&lt;="&amp;账期止))</f>
        <v/>
      </c>
      <c r="K128" s="26">
        <f>IF($A128="","",IFERROR(ROUND((N($H128)+N($J128))/(N($G128)+N($I128)),2),0))</f>
        <v/>
      </c>
      <c r="L128" s="27">
        <f>IF($A128="","",SUMIFS(入库单!$K$4:$K$2503,入库单!$G$4:$G$2503,$A128,入库单!$X$4:$X$2503,"盘盈",入库单!$Z$4:$Z$2503,"正常",入库单!$C$4:$C$2503,"&gt;="&amp;账期起,入库单!$C$4:$C$2503,"&lt;="&amp;账期止))</f>
        <v/>
      </c>
      <c r="M128" s="26">
        <f>IF($A128="","",ROUND($L128*$K128,0))</f>
        <v/>
      </c>
      <c r="N128" s="27">
        <f>IF($A128="","",SUMIFS(入库单!$K$4:$K$2503,入库单!$G$4:$G$2503,$A128,入库单!$X$4:$X$2503,"矿区退库",入库单!$Z$4:$Z$2503,"正常",入库单!$C$4:$C$2503,"&gt;="&amp;账期起,入库单!$C$4:$C$2503,"&lt;="&amp;账期止))</f>
        <v/>
      </c>
      <c r="O128" s="26">
        <f>IF($A128="","",ROUND($N128*$K128,0))</f>
        <v/>
      </c>
      <c r="P128" s="27">
        <f>IF($A128="","",SUMIFS(出库单!$J$4:$J$4003,出库单!$D$4:$D$4003,$A128,出库单!$K$4:$K$4003,"自用消耗",出库单!$U$4:$U$4003,"正常",出库单!$C$4:$C$4003,"&gt;="&amp;账期起,出库单!$C$4:$C$4003,"&lt;="&amp;账期止))</f>
        <v/>
      </c>
      <c r="Q128" s="26">
        <f>IF($A128="","",ROUND(SUMIFS(出库单!$S$4:$S$4003,出库单!$D$4:$D$4003,$A128,出库单!$K$4:$K$4003,"自用消耗",出库单!$U$4:$U$4003,"正常",出库单!$C$4:$C$4003,"&gt;="&amp;账期起,出库单!$C$4:$C$4003,"&lt;="&amp;账期止),0))</f>
        <v/>
      </c>
      <c r="R128" s="27">
        <f>IF($A128="","",SUMIFS(出库单!$J$4:$J$4003,出库单!$D$4:$D$4003,$A128,出库单!$K$4:$K$4003,"对外销售",出库单!$U$4:$U$4003,"正常",出库单!$C$4:$C$4003,"&gt;="&amp;账期起,出库单!$C$4:$C$4003,"&lt;="&amp;账期止))</f>
        <v/>
      </c>
      <c r="S128" s="26">
        <f>IF($A128="","",ROUND(SUMIFS(出库单!$S$4:$S$4003,出库单!$D$4:$D$4003,$A128,出库单!$K$4:$K$4003,"对外销售",出库单!$U$4:$U$4003,"正常",出库单!$C$4:$C$4003,"&gt;="&amp;账期起,出库单!$C$4:$C$4003,"&lt;="&amp;账期止),0))</f>
        <v/>
      </c>
      <c r="T128" s="27">
        <f>IF($A128="","",SUMIFS(出库单!$J$4:$J$4003,出库单!$D$4:$D$4003,$A128,出库单!$K$4:$K$4003,"盘亏",出库单!$U$4:$U$4003,"正常",出库单!$C$4:$C$4003,"&gt;="&amp;账期起,出库单!$C$4:$C$4003,"&lt;="&amp;账期止))</f>
        <v/>
      </c>
      <c r="U128" s="26">
        <f>IF($A128="","",ROUND(SUMIFS(出库单!$S$4:$S$4003,出库单!$D$4:$D$4003,$A128,出库单!$K$4:$K$4003,"盘亏",出库单!$U$4:$U$4003,"正常",出库单!$C$4:$C$4003,"&gt;="&amp;账期起,出库单!$C$4:$C$4003,"&lt;="&amp;账期止),0))</f>
        <v/>
      </c>
      <c r="V128" s="27">
        <f>IF($A128="","",SUMIFS(出库单!$J$4:$J$4003,出库单!$D$4:$D$4003,$A128,出库单!$K$4:$K$4003,"退货给供应商",出库单!$U$4:$U$4003,"正常",出库单!$C$4:$C$4003,"&gt;="&amp;账期起,出库单!$C$4:$C$4003,"&lt;="&amp;账期止))</f>
        <v/>
      </c>
      <c r="W128" s="26">
        <f>IF($A128="","",ROUND(SUMIFS(出库单!$S$4:$S$4003,出库单!$D$4:$D$4003,$A128,出库单!$K$4:$K$4003,"退货给供应商",出库单!$U$4:$U$4003,"正常",出库单!$C$4:$C$4003,"&gt;="&amp;账期起,出库单!$C$4:$C$4003,"&lt;="&amp;账期止),0))</f>
        <v/>
      </c>
      <c r="X128" s="27">
        <f>IF($A128="","",ROUND(N($G128)+$I128+$L128+$N128-$P128-$R128-$T128-$V128,3))</f>
        <v/>
      </c>
      <c r="Y128" s="26">
        <f>IF($A128="","",ROUND(N($H128)+$J128+$M128+$O128-$Q128-$S128-$U128-$W128,0))</f>
        <v/>
      </c>
      <c r="Z128" s="24">
        <f>IF($A128="","",IF(COUNTIFS(入库单!$G$4:$G$2503,$A128,入库单!$Y$4:$Y$2503,"待补价")+COUNTIFS(入库单!$G$4:$G$2503,$A128,入库单!$Y$4:$Y$2503,"暂估")&gt;0,"不可信","可信"))</f>
        <v/>
      </c>
      <c r="AA128" s="24">
        <f>IF($A128="","",IF($X128&lt;-0.001,"※账面负库存，查一下是不是漏记入库",IF(AND(ROUND($X128,3)=0,ABS($Y128)&gt;1),"※数量已经是 0，金额还挂着 "&amp;TEXT($Y128,"#,##0")&amp;" 先令",IF(AND($X128&gt;0,$Y128&lt;=0,$K128=0),"※有数量没金额（这个物料一直没填过进价）",IF($Z128="不可信","△成本含待补价/暂估，毛利仅供参考","")))))</f>
        <v/>
      </c>
    </row>
    <row r="129">
      <c r="A129" s="24">
        <f>IF(物料档案!$A128="","",物料档案!$A128)</f>
        <v/>
      </c>
      <c r="B129" s="24">
        <f>IF($A129="","",IFERROR(VLOOKUP($A129,物料档案!$A$4:$P$1203,3,0),""))</f>
        <v/>
      </c>
      <c r="C129" s="24">
        <f>IF($A129="","",IFERROR(VLOOKUP($A129,物料档案!$A$4:$P$1203,4,0),""))</f>
        <v/>
      </c>
      <c r="D129" s="24">
        <f>IF($A129="","",IFERROR(VLOOKUP($A129,物料档案!$A$4:$P$1203,5,0),""))</f>
        <v/>
      </c>
      <c r="E129" s="24">
        <f>IF($A129="","",IFERROR(VLOOKUP($A129,物料档案!$A$4:$P$1203,2,0),""))</f>
        <v/>
      </c>
      <c r="F129" s="24">
        <f>IF($A129="","",IFERROR(VLOOKUP($A129,物料档案!$A$4:$P$1203,6,0),""))</f>
        <v/>
      </c>
      <c r="G129" s="23" t="n"/>
      <c r="H129" s="32" t="n"/>
      <c r="I129" s="27">
        <f>IF($A129="","",SUMIFS(入库单!$K$4:$K$2503,入库单!$G$4:$G$2503,$A129,入库单!$X$4:$X$2503,"采购入库",入库单!$Z$4:$Z$2503,"正常",入库单!$C$4:$C$2503,"&gt;="&amp;账期起,入库单!$C$4:$C$2503,"&lt;="&amp;账期止))</f>
        <v/>
      </c>
      <c r="J129" s="26">
        <f>IF($A129="","",SUMIFS(入库单!$V$4:$V$2503,入库单!$G$4:$G$2503,$A129,入库单!$X$4:$X$2503,"采购入库",入库单!$Z$4:$Z$2503,"正常",入库单!$C$4:$C$2503,"&gt;="&amp;账期起,入库单!$C$4:$C$2503,"&lt;="&amp;账期止))</f>
        <v/>
      </c>
      <c r="K129" s="26">
        <f>IF($A129="","",IFERROR(ROUND((N($H129)+N($J129))/(N($G129)+N($I129)),2),0))</f>
        <v/>
      </c>
      <c r="L129" s="27">
        <f>IF($A129="","",SUMIFS(入库单!$K$4:$K$2503,入库单!$G$4:$G$2503,$A129,入库单!$X$4:$X$2503,"盘盈",入库单!$Z$4:$Z$2503,"正常",入库单!$C$4:$C$2503,"&gt;="&amp;账期起,入库单!$C$4:$C$2503,"&lt;="&amp;账期止))</f>
        <v/>
      </c>
      <c r="M129" s="26">
        <f>IF($A129="","",ROUND($L129*$K129,0))</f>
        <v/>
      </c>
      <c r="N129" s="27">
        <f>IF($A129="","",SUMIFS(入库单!$K$4:$K$2503,入库单!$G$4:$G$2503,$A129,入库单!$X$4:$X$2503,"矿区退库",入库单!$Z$4:$Z$2503,"正常",入库单!$C$4:$C$2503,"&gt;="&amp;账期起,入库单!$C$4:$C$2503,"&lt;="&amp;账期止))</f>
        <v/>
      </c>
      <c r="O129" s="26">
        <f>IF($A129="","",ROUND($N129*$K129,0))</f>
        <v/>
      </c>
      <c r="P129" s="27">
        <f>IF($A129="","",SUMIFS(出库单!$J$4:$J$4003,出库单!$D$4:$D$4003,$A129,出库单!$K$4:$K$4003,"自用消耗",出库单!$U$4:$U$4003,"正常",出库单!$C$4:$C$4003,"&gt;="&amp;账期起,出库单!$C$4:$C$4003,"&lt;="&amp;账期止))</f>
        <v/>
      </c>
      <c r="Q129" s="26">
        <f>IF($A129="","",ROUND(SUMIFS(出库单!$S$4:$S$4003,出库单!$D$4:$D$4003,$A129,出库单!$K$4:$K$4003,"自用消耗",出库单!$U$4:$U$4003,"正常",出库单!$C$4:$C$4003,"&gt;="&amp;账期起,出库单!$C$4:$C$4003,"&lt;="&amp;账期止),0))</f>
        <v/>
      </c>
      <c r="R129" s="27">
        <f>IF($A129="","",SUMIFS(出库单!$J$4:$J$4003,出库单!$D$4:$D$4003,$A129,出库单!$K$4:$K$4003,"对外销售",出库单!$U$4:$U$4003,"正常",出库单!$C$4:$C$4003,"&gt;="&amp;账期起,出库单!$C$4:$C$4003,"&lt;="&amp;账期止))</f>
        <v/>
      </c>
      <c r="S129" s="26">
        <f>IF($A129="","",ROUND(SUMIFS(出库单!$S$4:$S$4003,出库单!$D$4:$D$4003,$A129,出库单!$K$4:$K$4003,"对外销售",出库单!$U$4:$U$4003,"正常",出库单!$C$4:$C$4003,"&gt;="&amp;账期起,出库单!$C$4:$C$4003,"&lt;="&amp;账期止),0))</f>
        <v/>
      </c>
      <c r="T129" s="27">
        <f>IF($A129="","",SUMIFS(出库单!$J$4:$J$4003,出库单!$D$4:$D$4003,$A129,出库单!$K$4:$K$4003,"盘亏",出库单!$U$4:$U$4003,"正常",出库单!$C$4:$C$4003,"&gt;="&amp;账期起,出库单!$C$4:$C$4003,"&lt;="&amp;账期止))</f>
        <v/>
      </c>
      <c r="U129" s="26">
        <f>IF($A129="","",ROUND(SUMIFS(出库单!$S$4:$S$4003,出库单!$D$4:$D$4003,$A129,出库单!$K$4:$K$4003,"盘亏",出库单!$U$4:$U$4003,"正常",出库单!$C$4:$C$4003,"&gt;="&amp;账期起,出库单!$C$4:$C$4003,"&lt;="&amp;账期止),0))</f>
        <v/>
      </c>
      <c r="V129" s="27">
        <f>IF($A129="","",SUMIFS(出库单!$J$4:$J$4003,出库单!$D$4:$D$4003,$A129,出库单!$K$4:$K$4003,"退货给供应商",出库单!$U$4:$U$4003,"正常",出库单!$C$4:$C$4003,"&gt;="&amp;账期起,出库单!$C$4:$C$4003,"&lt;="&amp;账期止))</f>
        <v/>
      </c>
      <c r="W129" s="26">
        <f>IF($A129="","",ROUND(SUMIFS(出库单!$S$4:$S$4003,出库单!$D$4:$D$4003,$A129,出库单!$K$4:$K$4003,"退货给供应商",出库单!$U$4:$U$4003,"正常",出库单!$C$4:$C$4003,"&gt;="&amp;账期起,出库单!$C$4:$C$4003,"&lt;="&amp;账期止),0))</f>
        <v/>
      </c>
      <c r="X129" s="27">
        <f>IF($A129="","",ROUND(N($G129)+$I129+$L129+$N129-$P129-$R129-$T129-$V129,3))</f>
        <v/>
      </c>
      <c r="Y129" s="26">
        <f>IF($A129="","",ROUND(N($H129)+$J129+$M129+$O129-$Q129-$S129-$U129-$W129,0))</f>
        <v/>
      </c>
      <c r="Z129" s="24">
        <f>IF($A129="","",IF(COUNTIFS(入库单!$G$4:$G$2503,$A129,入库单!$Y$4:$Y$2503,"待补价")+COUNTIFS(入库单!$G$4:$G$2503,$A129,入库单!$Y$4:$Y$2503,"暂估")&gt;0,"不可信","可信"))</f>
        <v/>
      </c>
      <c r="AA129" s="24">
        <f>IF($A129="","",IF($X129&lt;-0.001,"※账面负库存，查一下是不是漏记入库",IF(AND(ROUND($X129,3)=0,ABS($Y129)&gt;1),"※数量已经是 0，金额还挂着 "&amp;TEXT($Y129,"#,##0")&amp;" 先令",IF(AND($X129&gt;0,$Y129&lt;=0,$K129=0),"※有数量没金额（这个物料一直没填过进价）",IF($Z129="不可信","△成本含待补价/暂估，毛利仅供参考","")))))</f>
        <v/>
      </c>
    </row>
    <row r="130">
      <c r="A130" s="24">
        <f>IF(物料档案!$A129="","",物料档案!$A129)</f>
        <v/>
      </c>
      <c r="B130" s="24">
        <f>IF($A130="","",IFERROR(VLOOKUP($A130,物料档案!$A$4:$P$1203,3,0),""))</f>
        <v/>
      </c>
      <c r="C130" s="24">
        <f>IF($A130="","",IFERROR(VLOOKUP($A130,物料档案!$A$4:$P$1203,4,0),""))</f>
        <v/>
      </c>
      <c r="D130" s="24">
        <f>IF($A130="","",IFERROR(VLOOKUP($A130,物料档案!$A$4:$P$1203,5,0),""))</f>
        <v/>
      </c>
      <c r="E130" s="24">
        <f>IF($A130="","",IFERROR(VLOOKUP($A130,物料档案!$A$4:$P$1203,2,0),""))</f>
        <v/>
      </c>
      <c r="F130" s="24">
        <f>IF($A130="","",IFERROR(VLOOKUP($A130,物料档案!$A$4:$P$1203,6,0),""))</f>
        <v/>
      </c>
      <c r="G130" s="23" t="n"/>
      <c r="H130" s="32" t="n"/>
      <c r="I130" s="27">
        <f>IF($A130="","",SUMIFS(入库单!$K$4:$K$2503,入库单!$G$4:$G$2503,$A130,入库单!$X$4:$X$2503,"采购入库",入库单!$Z$4:$Z$2503,"正常",入库单!$C$4:$C$2503,"&gt;="&amp;账期起,入库单!$C$4:$C$2503,"&lt;="&amp;账期止))</f>
        <v/>
      </c>
      <c r="J130" s="26">
        <f>IF($A130="","",SUMIFS(入库单!$V$4:$V$2503,入库单!$G$4:$G$2503,$A130,入库单!$X$4:$X$2503,"采购入库",入库单!$Z$4:$Z$2503,"正常",入库单!$C$4:$C$2503,"&gt;="&amp;账期起,入库单!$C$4:$C$2503,"&lt;="&amp;账期止))</f>
        <v/>
      </c>
      <c r="K130" s="26">
        <f>IF($A130="","",IFERROR(ROUND((N($H130)+N($J130))/(N($G130)+N($I130)),2),0))</f>
        <v/>
      </c>
      <c r="L130" s="27">
        <f>IF($A130="","",SUMIFS(入库单!$K$4:$K$2503,入库单!$G$4:$G$2503,$A130,入库单!$X$4:$X$2503,"盘盈",入库单!$Z$4:$Z$2503,"正常",入库单!$C$4:$C$2503,"&gt;="&amp;账期起,入库单!$C$4:$C$2503,"&lt;="&amp;账期止))</f>
        <v/>
      </c>
      <c r="M130" s="26">
        <f>IF($A130="","",ROUND($L130*$K130,0))</f>
        <v/>
      </c>
      <c r="N130" s="27">
        <f>IF($A130="","",SUMIFS(入库单!$K$4:$K$2503,入库单!$G$4:$G$2503,$A130,入库单!$X$4:$X$2503,"矿区退库",入库单!$Z$4:$Z$2503,"正常",入库单!$C$4:$C$2503,"&gt;="&amp;账期起,入库单!$C$4:$C$2503,"&lt;="&amp;账期止))</f>
        <v/>
      </c>
      <c r="O130" s="26">
        <f>IF($A130="","",ROUND($N130*$K130,0))</f>
        <v/>
      </c>
      <c r="P130" s="27">
        <f>IF($A130="","",SUMIFS(出库单!$J$4:$J$4003,出库单!$D$4:$D$4003,$A130,出库单!$K$4:$K$4003,"自用消耗",出库单!$U$4:$U$4003,"正常",出库单!$C$4:$C$4003,"&gt;="&amp;账期起,出库单!$C$4:$C$4003,"&lt;="&amp;账期止))</f>
        <v/>
      </c>
      <c r="Q130" s="26">
        <f>IF($A130="","",ROUND(SUMIFS(出库单!$S$4:$S$4003,出库单!$D$4:$D$4003,$A130,出库单!$K$4:$K$4003,"自用消耗",出库单!$U$4:$U$4003,"正常",出库单!$C$4:$C$4003,"&gt;="&amp;账期起,出库单!$C$4:$C$4003,"&lt;="&amp;账期止),0))</f>
        <v/>
      </c>
      <c r="R130" s="27">
        <f>IF($A130="","",SUMIFS(出库单!$J$4:$J$4003,出库单!$D$4:$D$4003,$A130,出库单!$K$4:$K$4003,"对外销售",出库单!$U$4:$U$4003,"正常",出库单!$C$4:$C$4003,"&gt;="&amp;账期起,出库单!$C$4:$C$4003,"&lt;="&amp;账期止))</f>
        <v/>
      </c>
      <c r="S130" s="26">
        <f>IF($A130="","",ROUND(SUMIFS(出库单!$S$4:$S$4003,出库单!$D$4:$D$4003,$A130,出库单!$K$4:$K$4003,"对外销售",出库单!$U$4:$U$4003,"正常",出库单!$C$4:$C$4003,"&gt;="&amp;账期起,出库单!$C$4:$C$4003,"&lt;="&amp;账期止),0))</f>
        <v/>
      </c>
      <c r="T130" s="27">
        <f>IF($A130="","",SUMIFS(出库单!$J$4:$J$4003,出库单!$D$4:$D$4003,$A130,出库单!$K$4:$K$4003,"盘亏",出库单!$U$4:$U$4003,"正常",出库单!$C$4:$C$4003,"&gt;="&amp;账期起,出库单!$C$4:$C$4003,"&lt;="&amp;账期止))</f>
        <v/>
      </c>
      <c r="U130" s="26">
        <f>IF($A130="","",ROUND(SUMIFS(出库单!$S$4:$S$4003,出库单!$D$4:$D$4003,$A130,出库单!$K$4:$K$4003,"盘亏",出库单!$U$4:$U$4003,"正常",出库单!$C$4:$C$4003,"&gt;="&amp;账期起,出库单!$C$4:$C$4003,"&lt;="&amp;账期止),0))</f>
        <v/>
      </c>
      <c r="V130" s="27">
        <f>IF($A130="","",SUMIFS(出库单!$J$4:$J$4003,出库单!$D$4:$D$4003,$A130,出库单!$K$4:$K$4003,"退货给供应商",出库单!$U$4:$U$4003,"正常",出库单!$C$4:$C$4003,"&gt;="&amp;账期起,出库单!$C$4:$C$4003,"&lt;="&amp;账期止))</f>
        <v/>
      </c>
      <c r="W130" s="26">
        <f>IF($A130="","",ROUND(SUMIFS(出库单!$S$4:$S$4003,出库单!$D$4:$D$4003,$A130,出库单!$K$4:$K$4003,"退货给供应商",出库单!$U$4:$U$4003,"正常",出库单!$C$4:$C$4003,"&gt;="&amp;账期起,出库单!$C$4:$C$4003,"&lt;="&amp;账期止),0))</f>
        <v/>
      </c>
      <c r="X130" s="27">
        <f>IF($A130="","",ROUND(N($G130)+$I130+$L130+$N130-$P130-$R130-$T130-$V130,3))</f>
        <v/>
      </c>
      <c r="Y130" s="26">
        <f>IF($A130="","",ROUND(N($H130)+$J130+$M130+$O130-$Q130-$S130-$U130-$W130,0))</f>
        <v/>
      </c>
      <c r="Z130" s="24">
        <f>IF($A130="","",IF(COUNTIFS(入库单!$G$4:$G$2503,$A130,入库单!$Y$4:$Y$2503,"待补价")+COUNTIFS(入库单!$G$4:$G$2503,$A130,入库单!$Y$4:$Y$2503,"暂估")&gt;0,"不可信","可信"))</f>
        <v/>
      </c>
      <c r="AA130" s="24">
        <f>IF($A130="","",IF($X130&lt;-0.001,"※账面负库存，查一下是不是漏记入库",IF(AND(ROUND($X130,3)=0,ABS($Y130)&gt;1),"※数量已经是 0，金额还挂着 "&amp;TEXT($Y130,"#,##0")&amp;" 先令",IF(AND($X130&gt;0,$Y130&lt;=0,$K130=0),"※有数量没金额（这个物料一直没填过进价）",IF($Z130="不可信","△成本含待补价/暂估，毛利仅供参考","")))))</f>
        <v/>
      </c>
    </row>
    <row r="131">
      <c r="A131" s="24">
        <f>IF(物料档案!$A130="","",物料档案!$A130)</f>
        <v/>
      </c>
      <c r="B131" s="24">
        <f>IF($A131="","",IFERROR(VLOOKUP($A131,物料档案!$A$4:$P$1203,3,0),""))</f>
        <v/>
      </c>
      <c r="C131" s="24">
        <f>IF($A131="","",IFERROR(VLOOKUP($A131,物料档案!$A$4:$P$1203,4,0),""))</f>
        <v/>
      </c>
      <c r="D131" s="24">
        <f>IF($A131="","",IFERROR(VLOOKUP($A131,物料档案!$A$4:$P$1203,5,0),""))</f>
        <v/>
      </c>
      <c r="E131" s="24">
        <f>IF($A131="","",IFERROR(VLOOKUP($A131,物料档案!$A$4:$P$1203,2,0),""))</f>
        <v/>
      </c>
      <c r="F131" s="24">
        <f>IF($A131="","",IFERROR(VLOOKUP($A131,物料档案!$A$4:$P$1203,6,0),""))</f>
        <v/>
      </c>
      <c r="G131" s="23" t="n"/>
      <c r="H131" s="32" t="n"/>
      <c r="I131" s="27">
        <f>IF($A131="","",SUMIFS(入库单!$K$4:$K$2503,入库单!$G$4:$G$2503,$A131,入库单!$X$4:$X$2503,"采购入库",入库单!$Z$4:$Z$2503,"正常",入库单!$C$4:$C$2503,"&gt;="&amp;账期起,入库单!$C$4:$C$2503,"&lt;="&amp;账期止))</f>
        <v/>
      </c>
      <c r="J131" s="26">
        <f>IF($A131="","",SUMIFS(入库单!$V$4:$V$2503,入库单!$G$4:$G$2503,$A131,入库单!$X$4:$X$2503,"采购入库",入库单!$Z$4:$Z$2503,"正常",入库单!$C$4:$C$2503,"&gt;="&amp;账期起,入库单!$C$4:$C$2503,"&lt;="&amp;账期止))</f>
        <v/>
      </c>
      <c r="K131" s="26">
        <f>IF($A131="","",IFERROR(ROUND((N($H131)+N($J131))/(N($G131)+N($I131)),2),0))</f>
        <v/>
      </c>
      <c r="L131" s="27">
        <f>IF($A131="","",SUMIFS(入库单!$K$4:$K$2503,入库单!$G$4:$G$2503,$A131,入库单!$X$4:$X$2503,"盘盈",入库单!$Z$4:$Z$2503,"正常",入库单!$C$4:$C$2503,"&gt;="&amp;账期起,入库单!$C$4:$C$2503,"&lt;="&amp;账期止))</f>
        <v/>
      </c>
      <c r="M131" s="26">
        <f>IF($A131="","",ROUND($L131*$K131,0))</f>
        <v/>
      </c>
      <c r="N131" s="27">
        <f>IF($A131="","",SUMIFS(入库单!$K$4:$K$2503,入库单!$G$4:$G$2503,$A131,入库单!$X$4:$X$2503,"矿区退库",入库单!$Z$4:$Z$2503,"正常",入库单!$C$4:$C$2503,"&gt;="&amp;账期起,入库单!$C$4:$C$2503,"&lt;="&amp;账期止))</f>
        <v/>
      </c>
      <c r="O131" s="26">
        <f>IF($A131="","",ROUND($N131*$K131,0))</f>
        <v/>
      </c>
      <c r="P131" s="27">
        <f>IF($A131="","",SUMIFS(出库单!$J$4:$J$4003,出库单!$D$4:$D$4003,$A131,出库单!$K$4:$K$4003,"自用消耗",出库单!$U$4:$U$4003,"正常",出库单!$C$4:$C$4003,"&gt;="&amp;账期起,出库单!$C$4:$C$4003,"&lt;="&amp;账期止))</f>
        <v/>
      </c>
      <c r="Q131" s="26">
        <f>IF($A131="","",ROUND(SUMIFS(出库单!$S$4:$S$4003,出库单!$D$4:$D$4003,$A131,出库单!$K$4:$K$4003,"自用消耗",出库单!$U$4:$U$4003,"正常",出库单!$C$4:$C$4003,"&gt;="&amp;账期起,出库单!$C$4:$C$4003,"&lt;="&amp;账期止),0))</f>
        <v/>
      </c>
      <c r="R131" s="27">
        <f>IF($A131="","",SUMIFS(出库单!$J$4:$J$4003,出库单!$D$4:$D$4003,$A131,出库单!$K$4:$K$4003,"对外销售",出库单!$U$4:$U$4003,"正常",出库单!$C$4:$C$4003,"&gt;="&amp;账期起,出库单!$C$4:$C$4003,"&lt;="&amp;账期止))</f>
        <v/>
      </c>
      <c r="S131" s="26">
        <f>IF($A131="","",ROUND(SUMIFS(出库单!$S$4:$S$4003,出库单!$D$4:$D$4003,$A131,出库单!$K$4:$K$4003,"对外销售",出库单!$U$4:$U$4003,"正常",出库单!$C$4:$C$4003,"&gt;="&amp;账期起,出库单!$C$4:$C$4003,"&lt;="&amp;账期止),0))</f>
        <v/>
      </c>
      <c r="T131" s="27">
        <f>IF($A131="","",SUMIFS(出库单!$J$4:$J$4003,出库单!$D$4:$D$4003,$A131,出库单!$K$4:$K$4003,"盘亏",出库单!$U$4:$U$4003,"正常",出库单!$C$4:$C$4003,"&gt;="&amp;账期起,出库单!$C$4:$C$4003,"&lt;="&amp;账期止))</f>
        <v/>
      </c>
      <c r="U131" s="26">
        <f>IF($A131="","",ROUND(SUMIFS(出库单!$S$4:$S$4003,出库单!$D$4:$D$4003,$A131,出库单!$K$4:$K$4003,"盘亏",出库单!$U$4:$U$4003,"正常",出库单!$C$4:$C$4003,"&gt;="&amp;账期起,出库单!$C$4:$C$4003,"&lt;="&amp;账期止),0))</f>
        <v/>
      </c>
      <c r="V131" s="27">
        <f>IF($A131="","",SUMIFS(出库单!$J$4:$J$4003,出库单!$D$4:$D$4003,$A131,出库单!$K$4:$K$4003,"退货给供应商",出库单!$U$4:$U$4003,"正常",出库单!$C$4:$C$4003,"&gt;="&amp;账期起,出库单!$C$4:$C$4003,"&lt;="&amp;账期止))</f>
        <v/>
      </c>
      <c r="W131" s="26">
        <f>IF($A131="","",ROUND(SUMIFS(出库单!$S$4:$S$4003,出库单!$D$4:$D$4003,$A131,出库单!$K$4:$K$4003,"退货给供应商",出库单!$U$4:$U$4003,"正常",出库单!$C$4:$C$4003,"&gt;="&amp;账期起,出库单!$C$4:$C$4003,"&lt;="&amp;账期止),0))</f>
        <v/>
      </c>
      <c r="X131" s="27">
        <f>IF($A131="","",ROUND(N($G131)+$I131+$L131+$N131-$P131-$R131-$T131-$V131,3))</f>
        <v/>
      </c>
      <c r="Y131" s="26">
        <f>IF($A131="","",ROUND(N($H131)+$J131+$M131+$O131-$Q131-$S131-$U131-$W131,0))</f>
        <v/>
      </c>
      <c r="Z131" s="24">
        <f>IF($A131="","",IF(COUNTIFS(入库单!$G$4:$G$2503,$A131,入库单!$Y$4:$Y$2503,"待补价")+COUNTIFS(入库单!$G$4:$G$2503,$A131,入库单!$Y$4:$Y$2503,"暂估")&gt;0,"不可信","可信"))</f>
        <v/>
      </c>
      <c r="AA131" s="24">
        <f>IF($A131="","",IF($X131&lt;-0.001,"※账面负库存，查一下是不是漏记入库",IF(AND(ROUND($X131,3)=0,ABS($Y131)&gt;1),"※数量已经是 0，金额还挂着 "&amp;TEXT($Y131,"#,##0")&amp;" 先令",IF(AND($X131&gt;0,$Y131&lt;=0,$K131=0),"※有数量没金额（这个物料一直没填过进价）",IF($Z131="不可信","△成本含待补价/暂估，毛利仅供参考","")))))</f>
        <v/>
      </c>
    </row>
    <row r="132">
      <c r="A132" s="24">
        <f>IF(物料档案!$A131="","",物料档案!$A131)</f>
        <v/>
      </c>
      <c r="B132" s="24">
        <f>IF($A132="","",IFERROR(VLOOKUP($A132,物料档案!$A$4:$P$1203,3,0),""))</f>
        <v/>
      </c>
      <c r="C132" s="24">
        <f>IF($A132="","",IFERROR(VLOOKUP($A132,物料档案!$A$4:$P$1203,4,0),""))</f>
        <v/>
      </c>
      <c r="D132" s="24">
        <f>IF($A132="","",IFERROR(VLOOKUP($A132,物料档案!$A$4:$P$1203,5,0),""))</f>
        <v/>
      </c>
      <c r="E132" s="24">
        <f>IF($A132="","",IFERROR(VLOOKUP($A132,物料档案!$A$4:$P$1203,2,0),""))</f>
        <v/>
      </c>
      <c r="F132" s="24">
        <f>IF($A132="","",IFERROR(VLOOKUP($A132,物料档案!$A$4:$P$1203,6,0),""))</f>
        <v/>
      </c>
      <c r="G132" s="23" t="n"/>
      <c r="H132" s="32" t="n"/>
      <c r="I132" s="27">
        <f>IF($A132="","",SUMIFS(入库单!$K$4:$K$2503,入库单!$G$4:$G$2503,$A132,入库单!$X$4:$X$2503,"采购入库",入库单!$Z$4:$Z$2503,"正常",入库单!$C$4:$C$2503,"&gt;="&amp;账期起,入库单!$C$4:$C$2503,"&lt;="&amp;账期止))</f>
        <v/>
      </c>
      <c r="J132" s="26">
        <f>IF($A132="","",SUMIFS(入库单!$V$4:$V$2503,入库单!$G$4:$G$2503,$A132,入库单!$X$4:$X$2503,"采购入库",入库单!$Z$4:$Z$2503,"正常",入库单!$C$4:$C$2503,"&gt;="&amp;账期起,入库单!$C$4:$C$2503,"&lt;="&amp;账期止))</f>
        <v/>
      </c>
      <c r="K132" s="26">
        <f>IF($A132="","",IFERROR(ROUND((N($H132)+N($J132))/(N($G132)+N($I132)),2),0))</f>
        <v/>
      </c>
      <c r="L132" s="27">
        <f>IF($A132="","",SUMIFS(入库单!$K$4:$K$2503,入库单!$G$4:$G$2503,$A132,入库单!$X$4:$X$2503,"盘盈",入库单!$Z$4:$Z$2503,"正常",入库单!$C$4:$C$2503,"&gt;="&amp;账期起,入库单!$C$4:$C$2503,"&lt;="&amp;账期止))</f>
        <v/>
      </c>
      <c r="M132" s="26">
        <f>IF($A132="","",ROUND($L132*$K132,0))</f>
        <v/>
      </c>
      <c r="N132" s="27">
        <f>IF($A132="","",SUMIFS(入库单!$K$4:$K$2503,入库单!$G$4:$G$2503,$A132,入库单!$X$4:$X$2503,"矿区退库",入库单!$Z$4:$Z$2503,"正常",入库单!$C$4:$C$2503,"&gt;="&amp;账期起,入库单!$C$4:$C$2503,"&lt;="&amp;账期止))</f>
        <v/>
      </c>
      <c r="O132" s="26">
        <f>IF($A132="","",ROUND($N132*$K132,0))</f>
        <v/>
      </c>
      <c r="P132" s="27">
        <f>IF($A132="","",SUMIFS(出库单!$J$4:$J$4003,出库单!$D$4:$D$4003,$A132,出库单!$K$4:$K$4003,"自用消耗",出库单!$U$4:$U$4003,"正常",出库单!$C$4:$C$4003,"&gt;="&amp;账期起,出库单!$C$4:$C$4003,"&lt;="&amp;账期止))</f>
        <v/>
      </c>
      <c r="Q132" s="26">
        <f>IF($A132="","",ROUND(SUMIFS(出库单!$S$4:$S$4003,出库单!$D$4:$D$4003,$A132,出库单!$K$4:$K$4003,"自用消耗",出库单!$U$4:$U$4003,"正常",出库单!$C$4:$C$4003,"&gt;="&amp;账期起,出库单!$C$4:$C$4003,"&lt;="&amp;账期止),0))</f>
        <v/>
      </c>
      <c r="R132" s="27">
        <f>IF($A132="","",SUMIFS(出库单!$J$4:$J$4003,出库单!$D$4:$D$4003,$A132,出库单!$K$4:$K$4003,"对外销售",出库单!$U$4:$U$4003,"正常",出库单!$C$4:$C$4003,"&gt;="&amp;账期起,出库单!$C$4:$C$4003,"&lt;="&amp;账期止))</f>
        <v/>
      </c>
      <c r="S132" s="26">
        <f>IF($A132="","",ROUND(SUMIFS(出库单!$S$4:$S$4003,出库单!$D$4:$D$4003,$A132,出库单!$K$4:$K$4003,"对外销售",出库单!$U$4:$U$4003,"正常",出库单!$C$4:$C$4003,"&gt;="&amp;账期起,出库单!$C$4:$C$4003,"&lt;="&amp;账期止),0))</f>
        <v/>
      </c>
      <c r="T132" s="27">
        <f>IF($A132="","",SUMIFS(出库单!$J$4:$J$4003,出库单!$D$4:$D$4003,$A132,出库单!$K$4:$K$4003,"盘亏",出库单!$U$4:$U$4003,"正常",出库单!$C$4:$C$4003,"&gt;="&amp;账期起,出库单!$C$4:$C$4003,"&lt;="&amp;账期止))</f>
        <v/>
      </c>
      <c r="U132" s="26">
        <f>IF($A132="","",ROUND(SUMIFS(出库单!$S$4:$S$4003,出库单!$D$4:$D$4003,$A132,出库单!$K$4:$K$4003,"盘亏",出库单!$U$4:$U$4003,"正常",出库单!$C$4:$C$4003,"&gt;="&amp;账期起,出库单!$C$4:$C$4003,"&lt;="&amp;账期止),0))</f>
        <v/>
      </c>
      <c r="V132" s="27">
        <f>IF($A132="","",SUMIFS(出库单!$J$4:$J$4003,出库单!$D$4:$D$4003,$A132,出库单!$K$4:$K$4003,"退货给供应商",出库单!$U$4:$U$4003,"正常",出库单!$C$4:$C$4003,"&gt;="&amp;账期起,出库单!$C$4:$C$4003,"&lt;="&amp;账期止))</f>
        <v/>
      </c>
      <c r="W132" s="26">
        <f>IF($A132="","",ROUND(SUMIFS(出库单!$S$4:$S$4003,出库单!$D$4:$D$4003,$A132,出库单!$K$4:$K$4003,"退货给供应商",出库单!$U$4:$U$4003,"正常",出库单!$C$4:$C$4003,"&gt;="&amp;账期起,出库单!$C$4:$C$4003,"&lt;="&amp;账期止),0))</f>
        <v/>
      </c>
      <c r="X132" s="27">
        <f>IF($A132="","",ROUND(N($G132)+$I132+$L132+$N132-$P132-$R132-$T132-$V132,3))</f>
        <v/>
      </c>
      <c r="Y132" s="26">
        <f>IF($A132="","",ROUND(N($H132)+$J132+$M132+$O132-$Q132-$S132-$U132-$W132,0))</f>
        <v/>
      </c>
      <c r="Z132" s="24">
        <f>IF($A132="","",IF(COUNTIFS(入库单!$G$4:$G$2503,$A132,入库单!$Y$4:$Y$2503,"待补价")+COUNTIFS(入库单!$G$4:$G$2503,$A132,入库单!$Y$4:$Y$2503,"暂估")&gt;0,"不可信","可信"))</f>
        <v/>
      </c>
      <c r="AA132" s="24">
        <f>IF($A132="","",IF($X132&lt;-0.001,"※账面负库存，查一下是不是漏记入库",IF(AND(ROUND($X132,3)=0,ABS($Y132)&gt;1),"※数量已经是 0，金额还挂着 "&amp;TEXT($Y132,"#,##0")&amp;" 先令",IF(AND($X132&gt;0,$Y132&lt;=0,$K132=0),"※有数量没金额（这个物料一直没填过进价）",IF($Z132="不可信","△成本含待补价/暂估，毛利仅供参考","")))))</f>
        <v/>
      </c>
    </row>
    <row r="133">
      <c r="A133" s="24">
        <f>IF(物料档案!$A132="","",物料档案!$A132)</f>
        <v/>
      </c>
      <c r="B133" s="24">
        <f>IF($A133="","",IFERROR(VLOOKUP($A133,物料档案!$A$4:$P$1203,3,0),""))</f>
        <v/>
      </c>
      <c r="C133" s="24">
        <f>IF($A133="","",IFERROR(VLOOKUP($A133,物料档案!$A$4:$P$1203,4,0),""))</f>
        <v/>
      </c>
      <c r="D133" s="24">
        <f>IF($A133="","",IFERROR(VLOOKUP($A133,物料档案!$A$4:$P$1203,5,0),""))</f>
        <v/>
      </c>
      <c r="E133" s="24">
        <f>IF($A133="","",IFERROR(VLOOKUP($A133,物料档案!$A$4:$P$1203,2,0),""))</f>
        <v/>
      </c>
      <c r="F133" s="24">
        <f>IF($A133="","",IFERROR(VLOOKUP($A133,物料档案!$A$4:$P$1203,6,0),""))</f>
        <v/>
      </c>
      <c r="G133" s="23" t="n"/>
      <c r="H133" s="32" t="n"/>
      <c r="I133" s="27">
        <f>IF($A133="","",SUMIFS(入库单!$K$4:$K$2503,入库单!$G$4:$G$2503,$A133,入库单!$X$4:$X$2503,"采购入库",入库单!$Z$4:$Z$2503,"正常",入库单!$C$4:$C$2503,"&gt;="&amp;账期起,入库单!$C$4:$C$2503,"&lt;="&amp;账期止))</f>
        <v/>
      </c>
      <c r="J133" s="26">
        <f>IF($A133="","",SUMIFS(入库单!$V$4:$V$2503,入库单!$G$4:$G$2503,$A133,入库单!$X$4:$X$2503,"采购入库",入库单!$Z$4:$Z$2503,"正常",入库单!$C$4:$C$2503,"&gt;="&amp;账期起,入库单!$C$4:$C$2503,"&lt;="&amp;账期止))</f>
        <v/>
      </c>
      <c r="K133" s="26">
        <f>IF($A133="","",IFERROR(ROUND((N($H133)+N($J133))/(N($G133)+N($I133)),2),0))</f>
        <v/>
      </c>
      <c r="L133" s="27">
        <f>IF($A133="","",SUMIFS(入库单!$K$4:$K$2503,入库单!$G$4:$G$2503,$A133,入库单!$X$4:$X$2503,"盘盈",入库单!$Z$4:$Z$2503,"正常",入库单!$C$4:$C$2503,"&gt;="&amp;账期起,入库单!$C$4:$C$2503,"&lt;="&amp;账期止))</f>
        <v/>
      </c>
      <c r="M133" s="26">
        <f>IF($A133="","",ROUND($L133*$K133,0))</f>
        <v/>
      </c>
      <c r="N133" s="27">
        <f>IF($A133="","",SUMIFS(入库单!$K$4:$K$2503,入库单!$G$4:$G$2503,$A133,入库单!$X$4:$X$2503,"矿区退库",入库单!$Z$4:$Z$2503,"正常",入库单!$C$4:$C$2503,"&gt;="&amp;账期起,入库单!$C$4:$C$2503,"&lt;="&amp;账期止))</f>
        <v/>
      </c>
      <c r="O133" s="26">
        <f>IF($A133="","",ROUND($N133*$K133,0))</f>
        <v/>
      </c>
      <c r="P133" s="27">
        <f>IF($A133="","",SUMIFS(出库单!$J$4:$J$4003,出库单!$D$4:$D$4003,$A133,出库单!$K$4:$K$4003,"自用消耗",出库单!$U$4:$U$4003,"正常",出库单!$C$4:$C$4003,"&gt;="&amp;账期起,出库单!$C$4:$C$4003,"&lt;="&amp;账期止))</f>
        <v/>
      </c>
      <c r="Q133" s="26">
        <f>IF($A133="","",ROUND(SUMIFS(出库单!$S$4:$S$4003,出库单!$D$4:$D$4003,$A133,出库单!$K$4:$K$4003,"自用消耗",出库单!$U$4:$U$4003,"正常",出库单!$C$4:$C$4003,"&gt;="&amp;账期起,出库单!$C$4:$C$4003,"&lt;="&amp;账期止),0))</f>
        <v/>
      </c>
      <c r="R133" s="27">
        <f>IF($A133="","",SUMIFS(出库单!$J$4:$J$4003,出库单!$D$4:$D$4003,$A133,出库单!$K$4:$K$4003,"对外销售",出库单!$U$4:$U$4003,"正常",出库单!$C$4:$C$4003,"&gt;="&amp;账期起,出库单!$C$4:$C$4003,"&lt;="&amp;账期止))</f>
        <v/>
      </c>
      <c r="S133" s="26">
        <f>IF($A133="","",ROUND(SUMIFS(出库单!$S$4:$S$4003,出库单!$D$4:$D$4003,$A133,出库单!$K$4:$K$4003,"对外销售",出库单!$U$4:$U$4003,"正常",出库单!$C$4:$C$4003,"&gt;="&amp;账期起,出库单!$C$4:$C$4003,"&lt;="&amp;账期止),0))</f>
        <v/>
      </c>
      <c r="T133" s="27">
        <f>IF($A133="","",SUMIFS(出库单!$J$4:$J$4003,出库单!$D$4:$D$4003,$A133,出库单!$K$4:$K$4003,"盘亏",出库单!$U$4:$U$4003,"正常",出库单!$C$4:$C$4003,"&gt;="&amp;账期起,出库单!$C$4:$C$4003,"&lt;="&amp;账期止))</f>
        <v/>
      </c>
      <c r="U133" s="26">
        <f>IF($A133="","",ROUND(SUMIFS(出库单!$S$4:$S$4003,出库单!$D$4:$D$4003,$A133,出库单!$K$4:$K$4003,"盘亏",出库单!$U$4:$U$4003,"正常",出库单!$C$4:$C$4003,"&gt;="&amp;账期起,出库单!$C$4:$C$4003,"&lt;="&amp;账期止),0))</f>
        <v/>
      </c>
      <c r="V133" s="27">
        <f>IF($A133="","",SUMIFS(出库单!$J$4:$J$4003,出库单!$D$4:$D$4003,$A133,出库单!$K$4:$K$4003,"退货给供应商",出库单!$U$4:$U$4003,"正常",出库单!$C$4:$C$4003,"&gt;="&amp;账期起,出库单!$C$4:$C$4003,"&lt;="&amp;账期止))</f>
        <v/>
      </c>
      <c r="W133" s="26">
        <f>IF($A133="","",ROUND(SUMIFS(出库单!$S$4:$S$4003,出库单!$D$4:$D$4003,$A133,出库单!$K$4:$K$4003,"退货给供应商",出库单!$U$4:$U$4003,"正常",出库单!$C$4:$C$4003,"&gt;="&amp;账期起,出库单!$C$4:$C$4003,"&lt;="&amp;账期止),0))</f>
        <v/>
      </c>
      <c r="X133" s="27">
        <f>IF($A133="","",ROUND(N($G133)+$I133+$L133+$N133-$P133-$R133-$T133-$V133,3))</f>
        <v/>
      </c>
      <c r="Y133" s="26">
        <f>IF($A133="","",ROUND(N($H133)+$J133+$M133+$O133-$Q133-$S133-$U133-$W133,0))</f>
        <v/>
      </c>
      <c r="Z133" s="24">
        <f>IF($A133="","",IF(COUNTIFS(入库单!$G$4:$G$2503,$A133,入库单!$Y$4:$Y$2503,"待补价")+COUNTIFS(入库单!$G$4:$G$2503,$A133,入库单!$Y$4:$Y$2503,"暂估")&gt;0,"不可信","可信"))</f>
        <v/>
      </c>
      <c r="AA133" s="24">
        <f>IF($A133="","",IF($X133&lt;-0.001,"※账面负库存，查一下是不是漏记入库",IF(AND(ROUND($X133,3)=0,ABS($Y133)&gt;1),"※数量已经是 0，金额还挂着 "&amp;TEXT($Y133,"#,##0")&amp;" 先令",IF(AND($X133&gt;0,$Y133&lt;=0,$K133=0),"※有数量没金额（这个物料一直没填过进价）",IF($Z133="不可信","△成本含待补价/暂估，毛利仅供参考","")))))</f>
        <v/>
      </c>
    </row>
    <row r="134">
      <c r="A134" s="24">
        <f>IF(物料档案!$A133="","",物料档案!$A133)</f>
        <v/>
      </c>
      <c r="B134" s="24">
        <f>IF($A134="","",IFERROR(VLOOKUP($A134,物料档案!$A$4:$P$1203,3,0),""))</f>
        <v/>
      </c>
      <c r="C134" s="24">
        <f>IF($A134="","",IFERROR(VLOOKUP($A134,物料档案!$A$4:$P$1203,4,0),""))</f>
        <v/>
      </c>
      <c r="D134" s="24">
        <f>IF($A134="","",IFERROR(VLOOKUP($A134,物料档案!$A$4:$P$1203,5,0),""))</f>
        <v/>
      </c>
      <c r="E134" s="24">
        <f>IF($A134="","",IFERROR(VLOOKUP($A134,物料档案!$A$4:$P$1203,2,0),""))</f>
        <v/>
      </c>
      <c r="F134" s="24">
        <f>IF($A134="","",IFERROR(VLOOKUP($A134,物料档案!$A$4:$P$1203,6,0),""))</f>
        <v/>
      </c>
      <c r="G134" s="23" t="n"/>
      <c r="H134" s="32" t="n"/>
      <c r="I134" s="27">
        <f>IF($A134="","",SUMIFS(入库单!$K$4:$K$2503,入库单!$G$4:$G$2503,$A134,入库单!$X$4:$X$2503,"采购入库",入库单!$Z$4:$Z$2503,"正常",入库单!$C$4:$C$2503,"&gt;="&amp;账期起,入库单!$C$4:$C$2503,"&lt;="&amp;账期止))</f>
        <v/>
      </c>
      <c r="J134" s="26">
        <f>IF($A134="","",SUMIFS(入库单!$V$4:$V$2503,入库单!$G$4:$G$2503,$A134,入库单!$X$4:$X$2503,"采购入库",入库单!$Z$4:$Z$2503,"正常",入库单!$C$4:$C$2503,"&gt;="&amp;账期起,入库单!$C$4:$C$2503,"&lt;="&amp;账期止))</f>
        <v/>
      </c>
      <c r="K134" s="26">
        <f>IF($A134="","",IFERROR(ROUND((N($H134)+N($J134))/(N($G134)+N($I134)),2),0))</f>
        <v/>
      </c>
      <c r="L134" s="27">
        <f>IF($A134="","",SUMIFS(入库单!$K$4:$K$2503,入库单!$G$4:$G$2503,$A134,入库单!$X$4:$X$2503,"盘盈",入库单!$Z$4:$Z$2503,"正常",入库单!$C$4:$C$2503,"&gt;="&amp;账期起,入库单!$C$4:$C$2503,"&lt;="&amp;账期止))</f>
        <v/>
      </c>
      <c r="M134" s="26">
        <f>IF($A134="","",ROUND($L134*$K134,0))</f>
        <v/>
      </c>
      <c r="N134" s="27">
        <f>IF($A134="","",SUMIFS(入库单!$K$4:$K$2503,入库单!$G$4:$G$2503,$A134,入库单!$X$4:$X$2503,"矿区退库",入库单!$Z$4:$Z$2503,"正常",入库单!$C$4:$C$2503,"&gt;="&amp;账期起,入库单!$C$4:$C$2503,"&lt;="&amp;账期止))</f>
        <v/>
      </c>
      <c r="O134" s="26">
        <f>IF($A134="","",ROUND($N134*$K134,0))</f>
        <v/>
      </c>
      <c r="P134" s="27">
        <f>IF($A134="","",SUMIFS(出库单!$J$4:$J$4003,出库单!$D$4:$D$4003,$A134,出库单!$K$4:$K$4003,"自用消耗",出库单!$U$4:$U$4003,"正常",出库单!$C$4:$C$4003,"&gt;="&amp;账期起,出库单!$C$4:$C$4003,"&lt;="&amp;账期止))</f>
        <v/>
      </c>
      <c r="Q134" s="26">
        <f>IF($A134="","",ROUND(SUMIFS(出库单!$S$4:$S$4003,出库单!$D$4:$D$4003,$A134,出库单!$K$4:$K$4003,"自用消耗",出库单!$U$4:$U$4003,"正常",出库单!$C$4:$C$4003,"&gt;="&amp;账期起,出库单!$C$4:$C$4003,"&lt;="&amp;账期止),0))</f>
        <v/>
      </c>
      <c r="R134" s="27">
        <f>IF($A134="","",SUMIFS(出库单!$J$4:$J$4003,出库单!$D$4:$D$4003,$A134,出库单!$K$4:$K$4003,"对外销售",出库单!$U$4:$U$4003,"正常",出库单!$C$4:$C$4003,"&gt;="&amp;账期起,出库单!$C$4:$C$4003,"&lt;="&amp;账期止))</f>
        <v/>
      </c>
      <c r="S134" s="26">
        <f>IF($A134="","",ROUND(SUMIFS(出库单!$S$4:$S$4003,出库单!$D$4:$D$4003,$A134,出库单!$K$4:$K$4003,"对外销售",出库单!$U$4:$U$4003,"正常",出库单!$C$4:$C$4003,"&gt;="&amp;账期起,出库单!$C$4:$C$4003,"&lt;="&amp;账期止),0))</f>
        <v/>
      </c>
      <c r="T134" s="27">
        <f>IF($A134="","",SUMIFS(出库单!$J$4:$J$4003,出库单!$D$4:$D$4003,$A134,出库单!$K$4:$K$4003,"盘亏",出库单!$U$4:$U$4003,"正常",出库单!$C$4:$C$4003,"&gt;="&amp;账期起,出库单!$C$4:$C$4003,"&lt;="&amp;账期止))</f>
        <v/>
      </c>
      <c r="U134" s="26">
        <f>IF($A134="","",ROUND(SUMIFS(出库单!$S$4:$S$4003,出库单!$D$4:$D$4003,$A134,出库单!$K$4:$K$4003,"盘亏",出库单!$U$4:$U$4003,"正常",出库单!$C$4:$C$4003,"&gt;="&amp;账期起,出库单!$C$4:$C$4003,"&lt;="&amp;账期止),0))</f>
        <v/>
      </c>
      <c r="V134" s="27">
        <f>IF($A134="","",SUMIFS(出库单!$J$4:$J$4003,出库单!$D$4:$D$4003,$A134,出库单!$K$4:$K$4003,"退货给供应商",出库单!$U$4:$U$4003,"正常",出库单!$C$4:$C$4003,"&gt;="&amp;账期起,出库单!$C$4:$C$4003,"&lt;="&amp;账期止))</f>
        <v/>
      </c>
      <c r="W134" s="26">
        <f>IF($A134="","",ROUND(SUMIFS(出库单!$S$4:$S$4003,出库单!$D$4:$D$4003,$A134,出库单!$K$4:$K$4003,"退货给供应商",出库单!$U$4:$U$4003,"正常",出库单!$C$4:$C$4003,"&gt;="&amp;账期起,出库单!$C$4:$C$4003,"&lt;="&amp;账期止),0))</f>
        <v/>
      </c>
      <c r="X134" s="27">
        <f>IF($A134="","",ROUND(N($G134)+$I134+$L134+$N134-$P134-$R134-$T134-$V134,3))</f>
        <v/>
      </c>
      <c r="Y134" s="26">
        <f>IF($A134="","",ROUND(N($H134)+$J134+$M134+$O134-$Q134-$S134-$U134-$W134,0))</f>
        <v/>
      </c>
      <c r="Z134" s="24">
        <f>IF($A134="","",IF(COUNTIFS(入库单!$G$4:$G$2503,$A134,入库单!$Y$4:$Y$2503,"待补价")+COUNTIFS(入库单!$G$4:$G$2503,$A134,入库单!$Y$4:$Y$2503,"暂估")&gt;0,"不可信","可信"))</f>
        <v/>
      </c>
      <c r="AA134" s="24">
        <f>IF($A134="","",IF($X134&lt;-0.001,"※账面负库存，查一下是不是漏记入库",IF(AND(ROUND($X134,3)=0,ABS($Y134)&gt;1),"※数量已经是 0，金额还挂着 "&amp;TEXT($Y134,"#,##0")&amp;" 先令",IF(AND($X134&gt;0,$Y134&lt;=0,$K134=0),"※有数量没金额（这个物料一直没填过进价）",IF($Z134="不可信","△成本含待补价/暂估，毛利仅供参考","")))))</f>
        <v/>
      </c>
    </row>
    <row r="135">
      <c r="A135" s="24">
        <f>IF(物料档案!$A134="","",物料档案!$A134)</f>
        <v/>
      </c>
      <c r="B135" s="24">
        <f>IF($A135="","",IFERROR(VLOOKUP($A135,物料档案!$A$4:$P$1203,3,0),""))</f>
        <v/>
      </c>
      <c r="C135" s="24">
        <f>IF($A135="","",IFERROR(VLOOKUP($A135,物料档案!$A$4:$P$1203,4,0),""))</f>
        <v/>
      </c>
      <c r="D135" s="24">
        <f>IF($A135="","",IFERROR(VLOOKUP($A135,物料档案!$A$4:$P$1203,5,0),""))</f>
        <v/>
      </c>
      <c r="E135" s="24">
        <f>IF($A135="","",IFERROR(VLOOKUP($A135,物料档案!$A$4:$P$1203,2,0),""))</f>
        <v/>
      </c>
      <c r="F135" s="24">
        <f>IF($A135="","",IFERROR(VLOOKUP($A135,物料档案!$A$4:$P$1203,6,0),""))</f>
        <v/>
      </c>
      <c r="G135" s="23" t="n"/>
      <c r="H135" s="32" t="n"/>
      <c r="I135" s="27">
        <f>IF($A135="","",SUMIFS(入库单!$K$4:$K$2503,入库单!$G$4:$G$2503,$A135,入库单!$X$4:$X$2503,"采购入库",入库单!$Z$4:$Z$2503,"正常",入库单!$C$4:$C$2503,"&gt;="&amp;账期起,入库单!$C$4:$C$2503,"&lt;="&amp;账期止))</f>
        <v/>
      </c>
      <c r="J135" s="26">
        <f>IF($A135="","",SUMIFS(入库单!$V$4:$V$2503,入库单!$G$4:$G$2503,$A135,入库单!$X$4:$X$2503,"采购入库",入库单!$Z$4:$Z$2503,"正常",入库单!$C$4:$C$2503,"&gt;="&amp;账期起,入库单!$C$4:$C$2503,"&lt;="&amp;账期止))</f>
        <v/>
      </c>
      <c r="K135" s="26">
        <f>IF($A135="","",IFERROR(ROUND((N($H135)+N($J135))/(N($G135)+N($I135)),2),0))</f>
        <v/>
      </c>
      <c r="L135" s="27">
        <f>IF($A135="","",SUMIFS(入库单!$K$4:$K$2503,入库单!$G$4:$G$2503,$A135,入库单!$X$4:$X$2503,"盘盈",入库单!$Z$4:$Z$2503,"正常",入库单!$C$4:$C$2503,"&gt;="&amp;账期起,入库单!$C$4:$C$2503,"&lt;="&amp;账期止))</f>
        <v/>
      </c>
      <c r="M135" s="26">
        <f>IF($A135="","",ROUND($L135*$K135,0))</f>
        <v/>
      </c>
      <c r="N135" s="27">
        <f>IF($A135="","",SUMIFS(入库单!$K$4:$K$2503,入库单!$G$4:$G$2503,$A135,入库单!$X$4:$X$2503,"矿区退库",入库单!$Z$4:$Z$2503,"正常",入库单!$C$4:$C$2503,"&gt;="&amp;账期起,入库单!$C$4:$C$2503,"&lt;="&amp;账期止))</f>
        <v/>
      </c>
      <c r="O135" s="26">
        <f>IF($A135="","",ROUND($N135*$K135,0))</f>
        <v/>
      </c>
      <c r="P135" s="27">
        <f>IF($A135="","",SUMIFS(出库单!$J$4:$J$4003,出库单!$D$4:$D$4003,$A135,出库单!$K$4:$K$4003,"自用消耗",出库单!$U$4:$U$4003,"正常",出库单!$C$4:$C$4003,"&gt;="&amp;账期起,出库单!$C$4:$C$4003,"&lt;="&amp;账期止))</f>
        <v/>
      </c>
      <c r="Q135" s="26">
        <f>IF($A135="","",ROUND(SUMIFS(出库单!$S$4:$S$4003,出库单!$D$4:$D$4003,$A135,出库单!$K$4:$K$4003,"自用消耗",出库单!$U$4:$U$4003,"正常",出库单!$C$4:$C$4003,"&gt;="&amp;账期起,出库单!$C$4:$C$4003,"&lt;="&amp;账期止),0))</f>
        <v/>
      </c>
      <c r="R135" s="27">
        <f>IF($A135="","",SUMIFS(出库单!$J$4:$J$4003,出库单!$D$4:$D$4003,$A135,出库单!$K$4:$K$4003,"对外销售",出库单!$U$4:$U$4003,"正常",出库单!$C$4:$C$4003,"&gt;="&amp;账期起,出库单!$C$4:$C$4003,"&lt;="&amp;账期止))</f>
        <v/>
      </c>
      <c r="S135" s="26">
        <f>IF($A135="","",ROUND(SUMIFS(出库单!$S$4:$S$4003,出库单!$D$4:$D$4003,$A135,出库单!$K$4:$K$4003,"对外销售",出库单!$U$4:$U$4003,"正常",出库单!$C$4:$C$4003,"&gt;="&amp;账期起,出库单!$C$4:$C$4003,"&lt;="&amp;账期止),0))</f>
        <v/>
      </c>
      <c r="T135" s="27">
        <f>IF($A135="","",SUMIFS(出库单!$J$4:$J$4003,出库单!$D$4:$D$4003,$A135,出库单!$K$4:$K$4003,"盘亏",出库单!$U$4:$U$4003,"正常",出库单!$C$4:$C$4003,"&gt;="&amp;账期起,出库单!$C$4:$C$4003,"&lt;="&amp;账期止))</f>
        <v/>
      </c>
      <c r="U135" s="26">
        <f>IF($A135="","",ROUND(SUMIFS(出库单!$S$4:$S$4003,出库单!$D$4:$D$4003,$A135,出库单!$K$4:$K$4003,"盘亏",出库单!$U$4:$U$4003,"正常",出库单!$C$4:$C$4003,"&gt;="&amp;账期起,出库单!$C$4:$C$4003,"&lt;="&amp;账期止),0))</f>
        <v/>
      </c>
      <c r="V135" s="27">
        <f>IF($A135="","",SUMIFS(出库单!$J$4:$J$4003,出库单!$D$4:$D$4003,$A135,出库单!$K$4:$K$4003,"退货给供应商",出库单!$U$4:$U$4003,"正常",出库单!$C$4:$C$4003,"&gt;="&amp;账期起,出库单!$C$4:$C$4003,"&lt;="&amp;账期止))</f>
        <v/>
      </c>
      <c r="W135" s="26">
        <f>IF($A135="","",ROUND(SUMIFS(出库单!$S$4:$S$4003,出库单!$D$4:$D$4003,$A135,出库单!$K$4:$K$4003,"退货给供应商",出库单!$U$4:$U$4003,"正常",出库单!$C$4:$C$4003,"&gt;="&amp;账期起,出库单!$C$4:$C$4003,"&lt;="&amp;账期止),0))</f>
        <v/>
      </c>
      <c r="X135" s="27">
        <f>IF($A135="","",ROUND(N($G135)+$I135+$L135+$N135-$P135-$R135-$T135-$V135,3))</f>
        <v/>
      </c>
      <c r="Y135" s="26">
        <f>IF($A135="","",ROUND(N($H135)+$J135+$M135+$O135-$Q135-$S135-$U135-$W135,0))</f>
        <v/>
      </c>
      <c r="Z135" s="24">
        <f>IF($A135="","",IF(COUNTIFS(入库单!$G$4:$G$2503,$A135,入库单!$Y$4:$Y$2503,"待补价")+COUNTIFS(入库单!$G$4:$G$2503,$A135,入库单!$Y$4:$Y$2503,"暂估")&gt;0,"不可信","可信"))</f>
        <v/>
      </c>
      <c r="AA135" s="24">
        <f>IF($A135="","",IF($X135&lt;-0.001,"※账面负库存，查一下是不是漏记入库",IF(AND(ROUND($X135,3)=0,ABS($Y135)&gt;1),"※数量已经是 0，金额还挂着 "&amp;TEXT($Y135,"#,##0")&amp;" 先令",IF(AND($X135&gt;0,$Y135&lt;=0,$K135=0),"※有数量没金额（这个物料一直没填过进价）",IF($Z135="不可信","△成本含待补价/暂估，毛利仅供参考","")))))</f>
        <v/>
      </c>
    </row>
    <row r="136">
      <c r="A136" s="24">
        <f>IF(物料档案!$A135="","",物料档案!$A135)</f>
        <v/>
      </c>
      <c r="B136" s="24">
        <f>IF($A136="","",IFERROR(VLOOKUP($A136,物料档案!$A$4:$P$1203,3,0),""))</f>
        <v/>
      </c>
      <c r="C136" s="24">
        <f>IF($A136="","",IFERROR(VLOOKUP($A136,物料档案!$A$4:$P$1203,4,0),""))</f>
        <v/>
      </c>
      <c r="D136" s="24">
        <f>IF($A136="","",IFERROR(VLOOKUP($A136,物料档案!$A$4:$P$1203,5,0),""))</f>
        <v/>
      </c>
      <c r="E136" s="24">
        <f>IF($A136="","",IFERROR(VLOOKUP($A136,物料档案!$A$4:$P$1203,2,0),""))</f>
        <v/>
      </c>
      <c r="F136" s="24">
        <f>IF($A136="","",IFERROR(VLOOKUP($A136,物料档案!$A$4:$P$1203,6,0),""))</f>
        <v/>
      </c>
      <c r="G136" s="23" t="n"/>
      <c r="H136" s="32" t="n"/>
      <c r="I136" s="27">
        <f>IF($A136="","",SUMIFS(入库单!$K$4:$K$2503,入库单!$G$4:$G$2503,$A136,入库单!$X$4:$X$2503,"采购入库",入库单!$Z$4:$Z$2503,"正常",入库单!$C$4:$C$2503,"&gt;="&amp;账期起,入库单!$C$4:$C$2503,"&lt;="&amp;账期止))</f>
        <v/>
      </c>
      <c r="J136" s="26">
        <f>IF($A136="","",SUMIFS(入库单!$V$4:$V$2503,入库单!$G$4:$G$2503,$A136,入库单!$X$4:$X$2503,"采购入库",入库单!$Z$4:$Z$2503,"正常",入库单!$C$4:$C$2503,"&gt;="&amp;账期起,入库单!$C$4:$C$2503,"&lt;="&amp;账期止))</f>
        <v/>
      </c>
      <c r="K136" s="26">
        <f>IF($A136="","",IFERROR(ROUND((N($H136)+N($J136))/(N($G136)+N($I136)),2),0))</f>
        <v/>
      </c>
      <c r="L136" s="27">
        <f>IF($A136="","",SUMIFS(入库单!$K$4:$K$2503,入库单!$G$4:$G$2503,$A136,入库单!$X$4:$X$2503,"盘盈",入库单!$Z$4:$Z$2503,"正常",入库单!$C$4:$C$2503,"&gt;="&amp;账期起,入库单!$C$4:$C$2503,"&lt;="&amp;账期止))</f>
        <v/>
      </c>
      <c r="M136" s="26">
        <f>IF($A136="","",ROUND($L136*$K136,0))</f>
        <v/>
      </c>
      <c r="N136" s="27">
        <f>IF($A136="","",SUMIFS(入库单!$K$4:$K$2503,入库单!$G$4:$G$2503,$A136,入库单!$X$4:$X$2503,"矿区退库",入库单!$Z$4:$Z$2503,"正常",入库单!$C$4:$C$2503,"&gt;="&amp;账期起,入库单!$C$4:$C$2503,"&lt;="&amp;账期止))</f>
        <v/>
      </c>
      <c r="O136" s="26">
        <f>IF($A136="","",ROUND($N136*$K136,0))</f>
        <v/>
      </c>
      <c r="P136" s="27">
        <f>IF($A136="","",SUMIFS(出库单!$J$4:$J$4003,出库单!$D$4:$D$4003,$A136,出库单!$K$4:$K$4003,"自用消耗",出库单!$U$4:$U$4003,"正常",出库单!$C$4:$C$4003,"&gt;="&amp;账期起,出库单!$C$4:$C$4003,"&lt;="&amp;账期止))</f>
        <v/>
      </c>
      <c r="Q136" s="26">
        <f>IF($A136="","",ROUND(SUMIFS(出库单!$S$4:$S$4003,出库单!$D$4:$D$4003,$A136,出库单!$K$4:$K$4003,"自用消耗",出库单!$U$4:$U$4003,"正常",出库单!$C$4:$C$4003,"&gt;="&amp;账期起,出库单!$C$4:$C$4003,"&lt;="&amp;账期止),0))</f>
        <v/>
      </c>
      <c r="R136" s="27">
        <f>IF($A136="","",SUMIFS(出库单!$J$4:$J$4003,出库单!$D$4:$D$4003,$A136,出库单!$K$4:$K$4003,"对外销售",出库单!$U$4:$U$4003,"正常",出库单!$C$4:$C$4003,"&gt;="&amp;账期起,出库单!$C$4:$C$4003,"&lt;="&amp;账期止))</f>
        <v/>
      </c>
      <c r="S136" s="26">
        <f>IF($A136="","",ROUND(SUMIFS(出库单!$S$4:$S$4003,出库单!$D$4:$D$4003,$A136,出库单!$K$4:$K$4003,"对外销售",出库单!$U$4:$U$4003,"正常",出库单!$C$4:$C$4003,"&gt;="&amp;账期起,出库单!$C$4:$C$4003,"&lt;="&amp;账期止),0))</f>
        <v/>
      </c>
      <c r="T136" s="27">
        <f>IF($A136="","",SUMIFS(出库单!$J$4:$J$4003,出库单!$D$4:$D$4003,$A136,出库单!$K$4:$K$4003,"盘亏",出库单!$U$4:$U$4003,"正常",出库单!$C$4:$C$4003,"&gt;="&amp;账期起,出库单!$C$4:$C$4003,"&lt;="&amp;账期止))</f>
        <v/>
      </c>
      <c r="U136" s="26">
        <f>IF($A136="","",ROUND(SUMIFS(出库单!$S$4:$S$4003,出库单!$D$4:$D$4003,$A136,出库单!$K$4:$K$4003,"盘亏",出库单!$U$4:$U$4003,"正常",出库单!$C$4:$C$4003,"&gt;="&amp;账期起,出库单!$C$4:$C$4003,"&lt;="&amp;账期止),0))</f>
        <v/>
      </c>
      <c r="V136" s="27">
        <f>IF($A136="","",SUMIFS(出库单!$J$4:$J$4003,出库单!$D$4:$D$4003,$A136,出库单!$K$4:$K$4003,"退货给供应商",出库单!$U$4:$U$4003,"正常",出库单!$C$4:$C$4003,"&gt;="&amp;账期起,出库单!$C$4:$C$4003,"&lt;="&amp;账期止))</f>
        <v/>
      </c>
      <c r="W136" s="26">
        <f>IF($A136="","",ROUND(SUMIFS(出库单!$S$4:$S$4003,出库单!$D$4:$D$4003,$A136,出库单!$K$4:$K$4003,"退货给供应商",出库单!$U$4:$U$4003,"正常",出库单!$C$4:$C$4003,"&gt;="&amp;账期起,出库单!$C$4:$C$4003,"&lt;="&amp;账期止),0))</f>
        <v/>
      </c>
      <c r="X136" s="27">
        <f>IF($A136="","",ROUND(N($G136)+$I136+$L136+$N136-$P136-$R136-$T136-$V136,3))</f>
        <v/>
      </c>
      <c r="Y136" s="26">
        <f>IF($A136="","",ROUND(N($H136)+$J136+$M136+$O136-$Q136-$S136-$U136-$W136,0))</f>
        <v/>
      </c>
      <c r="Z136" s="24">
        <f>IF($A136="","",IF(COUNTIFS(入库单!$G$4:$G$2503,$A136,入库单!$Y$4:$Y$2503,"待补价")+COUNTIFS(入库单!$G$4:$G$2503,$A136,入库单!$Y$4:$Y$2503,"暂估")&gt;0,"不可信","可信"))</f>
        <v/>
      </c>
      <c r="AA136" s="24">
        <f>IF($A136="","",IF($X136&lt;-0.001,"※账面负库存，查一下是不是漏记入库",IF(AND(ROUND($X136,3)=0,ABS($Y136)&gt;1),"※数量已经是 0，金额还挂着 "&amp;TEXT($Y136,"#,##0")&amp;" 先令",IF(AND($X136&gt;0,$Y136&lt;=0,$K136=0),"※有数量没金额（这个物料一直没填过进价）",IF($Z136="不可信","△成本含待补价/暂估，毛利仅供参考","")))))</f>
        <v/>
      </c>
    </row>
    <row r="137">
      <c r="A137" s="24">
        <f>IF(物料档案!$A136="","",物料档案!$A136)</f>
        <v/>
      </c>
      <c r="B137" s="24">
        <f>IF($A137="","",IFERROR(VLOOKUP($A137,物料档案!$A$4:$P$1203,3,0),""))</f>
        <v/>
      </c>
      <c r="C137" s="24">
        <f>IF($A137="","",IFERROR(VLOOKUP($A137,物料档案!$A$4:$P$1203,4,0),""))</f>
        <v/>
      </c>
      <c r="D137" s="24">
        <f>IF($A137="","",IFERROR(VLOOKUP($A137,物料档案!$A$4:$P$1203,5,0),""))</f>
        <v/>
      </c>
      <c r="E137" s="24">
        <f>IF($A137="","",IFERROR(VLOOKUP($A137,物料档案!$A$4:$P$1203,2,0),""))</f>
        <v/>
      </c>
      <c r="F137" s="24">
        <f>IF($A137="","",IFERROR(VLOOKUP($A137,物料档案!$A$4:$P$1203,6,0),""))</f>
        <v/>
      </c>
      <c r="G137" s="23" t="n"/>
      <c r="H137" s="32" t="n"/>
      <c r="I137" s="27">
        <f>IF($A137="","",SUMIFS(入库单!$K$4:$K$2503,入库单!$G$4:$G$2503,$A137,入库单!$X$4:$X$2503,"采购入库",入库单!$Z$4:$Z$2503,"正常",入库单!$C$4:$C$2503,"&gt;="&amp;账期起,入库单!$C$4:$C$2503,"&lt;="&amp;账期止))</f>
        <v/>
      </c>
      <c r="J137" s="26">
        <f>IF($A137="","",SUMIFS(入库单!$V$4:$V$2503,入库单!$G$4:$G$2503,$A137,入库单!$X$4:$X$2503,"采购入库",入库单!$Z$4:$Z$2503,"正常",入库单!$C$4:$C$2503,"&gt;="&amp;账期起,入库单!$C$4:$C$2503,"&lt;="&amp;账期止))</f>
        <v/>
      </c>
      <c r="K137" s="26">
        <f>IF($A137="","",IFERROR(ROUND((N($H137)+N($J137))/(N($G137)+N($I137)),2),0))</f>
        <v/>
      </c>
      <c r="L137" s="27">
        <f>IF($A137="","",SUMIFS(入库单!$K$4:$K$2503,入库单!$G$4:$G$2503,$A137,入库单!$X$4:$X$2503,"盘盈",入库单!$Z$4:$Z$2503,"正常",入库单!$C$4:$C$2503,"&gt;="&amp;账期起,入库单!$C$4:$C$2503,"&lt;="&amp;账期止))</f>
        <v/>
      </c>
      <c r="M137" s="26">
        <f>IF($A137="","",ROUND($L137*$K137,0))</f>
        <v/>
      </c>
      <c r="N137" s="27">
        <f>IF($A137="","",SUMIFS(入库单!$K$4:$K$2503,入库单!$G$4:$G$2503,$A137,入库单!$X$4:$X$2503,"矿区退库",入库单!$Z$4:$Z$2503,"正常",入库单!$C$4:$C$2503,"&gt;="&amp;账期起,入库单!$C$4:$C$2503,"&lt;="&amp;账期止))</f>
        <v/>
      </c>
      <c r="O137" s="26">
        <f>IF($A137="","",ROUND($N137*$K137,0))</f>
        <v/>
      </c>
      <c r="P137" s="27">
        <f>IF($A137="","",SUMIFS(出库单!$J$4:$J$4003,出库单!$D$4:$D$4003,$A137,出库单!$K$4:$K$4003,"自用消耗",出库单!$U$4:$U$4003,"正常",出库单!$C$4:$C$4003,"&gt;="&amp;账期起,出库单!$C$4:$C$4003,"&lt;="&amp;账期止))</f>
        <v/>
      </c>
      <c r="Q137" s="26">
        <f>IF($A137="","",ROUND(SUMIFS(出库单!$S$4:$S$4003,出库单!$D$4:$D$4003,$A137,出库单!$K$4:$K$4003,"自用消耗",出库单!$U$4:$U$4003,"正常",出库单!$C$4:$C$4003,"&gt;="&amp;账期起,出库单!$C$4:$C$4003,"&lt;="&amp;账期止),0))</f>
        <v/>
      </c>
      <c r="R137" s="27">
        <f>IF($A137="","",SUMIFS(出库单!$J$4:$J$4003,出库单!$D$4:$D$4003,$A137,出库单!$K$4:$K$4003,"对外销售",出库单!$U$4:$U$4003,"正常",出库单!$C$4:$C$4003,"&gt;="&amp;账期起,出库单!$C$4:$C$4003,"&lt;="&amp;账期止))</f>
        <v/>
      </c>
      <c r="S137" s="26">
        <f>IF($A137="","",ROUND(SUMIFS(出库单!$S$4:$S$4003,出库单!$D$4:$D$4003,$A137,出库单!$K$4:$K$4003,"对外销售",出库单!$U$4:$U$4003,"正常",出库单!$C$4:$C$4003,"&gt;="&amp;账期起,出库单!$C$4:$C$4003,"&lt;="&amp;账期止),0))</f>
        <v/>
      </c>
      <c r="T137" s="27">
        <f>IF($A137="","",SUMIFS(出库单!$J$4:$J$4003,出库单!$D$4:$D$4003,$A137,出库单!$K$4:$K$4003,"盘亏",出库单!$U$4:$U$4003,"正常",出库单!$C$4:$C$4003,"&gt;="&amp;账期起,出库单!$C$4:$C$4003,"&lt;="&amp;账期止))</f>
        <v/>
      </c>
      <c r="U137" s="26">
        <f>IF($A137="","",ROUND(SUMIFS(出库单!$S$4:$S$4003,出库单!$D$4:$D$4003,$A137,出库单!$K$4:$K$4003,"盘亏",出库单!$U$4:$U$4003,"正常",出库单!$C$4:$C$4003,"&gt;="&amp;账期起,出库单!$C$4:$C$4003,"&lt;="&amp;账期止),0))</f>
        <v/>
      </c>
      <c r="V137" s="27">
        <f>IF($A137="","",SUMIFS(出库单!$J$4:$J$4003,出库单!$D$4:$D$4003,$A137,出库单!$K$4:$K$4003,"退货给供应商",出库单!$U$4:$U$4003,"正常",出库单!$C$4:$C$4003,"&gt;="&amp;账期起,出库单!$C$4:$C$4003,"&lt;="&amp;账期止))</f>
        <v/>
      </c>
      <c r="W137" s="26">
        <f>IF($A137="","",ROUND(SUMIFS(出库单!$S$4:$S$4003,出库单!$D$4:$D$4003,$A137,出库单!$K$4:$K$4003,"退货给供应商",出库单!$U$4:$U$4003,"正常",出库单!$C$4:$C$4003,"&gt;="&amp;账期起,出库单!$C$4:$C$4003,"&lt;="&amp;账期止),0))</f>
        <v/>
      </c>
      <c r="X137" s="27">
        <f>IF($A137="","",ROUND(N($G137)+$I137+$L137+$N137-$P137-$R137-$T137-$V137,3))</f>
        <v/>
      </c>
      <c r="Y137" s="26">
        <f>IF($A137="","",ROUND(N($H137)+$J137+$M137+$O137-$Q137-$S137-$U137-$W137,0))</f>
        <v/>
      </c>
      <c r="Z137" s="24">
        <f>IF($A137="","",IF(COUNTIFS(入库单!$G$4:$G$2503,$A137,入库单!$Y$4:$Y$2503,"待补价")+COUNTIFS(入库单!$G$4:$G$2503,$A137,入库单!$Y$4:$Y$2503,"暂估")&gt;0,"不可信","可信"))</f>
        <v/>
      </c>
      <c r="AA137" s="24">
        <f>IF($A137="","",IF($X137&lt;-0.001,"※账面负库存，查一下是不是漏记入库",IF(AND(ROUND($X137,3)=0,ABS($Y137)&gt;1),"※数量已经是 0，金额还挂着 "&amp;TEXT($Y137,"#,##0")&amp;" 先令",IF(AND($X137&gt;0,$Y137&lt;=0,$K137=0),"※有数量没金额（这个物料一直没填过进价）",IF($Z137="不可信","△成本含待补价/暂估，毛利仅供参考","")))))</f>
        <v/>
      </c>
    </row>
    <row r="138">
      <c r="A138" s="24">
        <f>IF(物料档案!$A137="","",物料档案!$A137)</f>
        <v/>
      </c>
      <c r="B138" s="24">
        <f>IF($A138="","",IFERROR(VLOOKUP($A138,物料档案!$A$4:$P$1203,3,0),""))</f>
        <v/>
      </c>
      <c r="C138" s="24">
        <f>IF($A138="","",IFERROR(VLOOKUP($A138,物料档案!$A$4:$P$1203,4,0),""))</f>
        <v/>
      </c>
      <c r="D138" s="24">
        <f>IF($A138="","",IFERROR(VLOOKUP($A138,物料档案!$A$4:$P$1203,5,0),""))</f>
        <v/>
      </c>
      <c r="E138" s="24">
        <f>IF($A138="","",IFERROR(VLOOKUP($A138,物料档案!$A$4:$P$1203,2,0),""))</f>
        <v/>
      </c>
      <c r="F138" s="24">
        <f>IF($A138="","",IFERROR(VLOOKUP($A138,物料档案!$A$4:$P$1203,6,0),""))</f>
        <v/>
      </c>
      <c r="G138" s="23" t="n"/>
      <c r="H138" s="32" t="n"/>
      <c r="I138" s="27">
        <f>IF($A138="","",SUMIFS(入库单!$K$4:$K$2503,入库单!$G$4:$G$2503,$A138,入库单!$X$4:$X$2503,"采购入库",入库单!$Z$4:$Z$2503,"正常",入库单!$C$4:$C$2503,"&gt;="&amp;账期起,入库单!$C$4:$C$2503,"&lt;="&amp;账期止))</f>
        <v/>
      </c>
      <c r="J138" s="26">
        <f>IF($A138="","",SUMIFS(入库单!$V$4:$V$2503,入库单!$G$4:$G$2503,$A138,入库单!$X$4:$X$2503,"采购入库",入库单!$Z$4:$Z$2503,"正常",入库单!$C$4:$C$2503,"&gt;="&amp;账期起,入库单!$C$4:$C$2503,"&lt;="&amp;账期止))</f>
        <v/>
      </c>
      <c r="K138" s="26">
        <f>IF($A138="","",IFERROR(ROUND((N($H138)+N($J138))/(N($G138)+N($I138)),2),0))</f>
        <v/>
      </c>
      <c r="L138" s="27">
        <f>IF($A138="","",SUMIFS(入库单!$K$4:$K$2503,入库单!$G$4:$G$2503,$A138,入库单!$X$4:$X$2503,"盘盈",入库单!$Z$4:$Z$2503,"正常",入库单!$C$4:$C$2503,"&gt;="&amp;账期起,入库单!$C$4:$C$2503,"&lt;="&amp;账期止))</f>
        <v/>
      </c>
      <c r="M138" s="26">
        <f>IF($A138="","",ROUND($L138*$K138,0))</f>
        <v/>
      </c>
      <c r="N138" s="27">
        <f>IF($A138="","",SUMIFS(入库单!$K$4:$K$2503,入库单!$G$4:$G$2503,$A138,入库单!$X$4:$X$2503,"矿区退库",入库单!$Z$4:$Z$2503,"正常",入库单!$C$4:$C$2503,"&gt;="&amp;账期起,入库单!$C$4:$C$2503,"&lt;="&amp;账期止))</f>
        <v/>
      </c>
      <c r="O138" s="26">
        <f>IF($A138="","",ROUND($N138*$K138,0))</f>
        <v/>
      </c>
      <c r="P138" s="27">
        <f>IF($A138="","",SUMIFS(出库单!$J$4:$J$4003,出库单!$D$4:$D$4003,$A138,出库单!$K$4:$K$4003,"自用消耗",出库单!$U$4:$U$4003,"正常",出库单!$C$4:$C$4003,"&gt;="&amp;账期起,出库单!$C$4:$C$4003,"&lt;="&amp;账期止))</f>
        <v/>
      </c>
      <c r="Q138" s="26">
        <f>IF($A138="","",ROUND(SUMIFS(出库单!$S$4:$S$4003,出库单!$D$4:$D$4003,$A138,出库单!$K$4:$K$4003,"自用消耗",出库单!$U$4:$U$4003,"正常",出库单!$C$4:$C$4003,"&gt;="&amp;账期起,出库单!$C$4:$C$4003,"&lt;="&amp;账期止),0))</f>
        <v/>
      </c>
      <c r="R138" s="27">
        <f>IF($A138="","",SUMIFS(出库单!$J$4:$J$4003,出库单!$D$4:$D$4003,$A138,出库单!$K$4:$K$4003,"对外销售",出库单!$U$4:$U$4003,"正常",出库单!$C$4:$C$4003,"&gt;="&amp;账期起,出库单!$C$4:$C$4003,"&lt;="&amp;账期止))</f>
        <v/>
      </c>
      <c r="S138" s="26">
        <f>IF($A138="","",ROUND(SUMIFS(出库单!$S$4:$S$4003,出库单!$D$4:$D$4003,$A138,出库单!$K$4:$K$4003,"对外销售",出库单!$U$4:$U$4003,"正常",出库单!$C$4:$C$4003,"&gt;="&amp;账期起,出库单!$C$4:$C$4003,"&lt;="&amp;账期止),0))</f>
        <v/>
      </c>
      <c r="T138" s="27">
        <f>IF($A138="","",SUMIFS(出库单!$J$4:$J$4003,出库单!$D$4:$D$4003,$A138,出库单!$K$4:$K$4003,"盘亏",出库单!$U$4:$U$4003,"正常",出库单!$C$4:$C$4003,"&gt;="&amp;账期起,出库单!$C$4:$C$4003,"&lt;="&amp;账期止))</f>
        <v/>
      </c>
      <c r="U138" s="26">
        <f>IF($A138="","",ROUND(SUMIFS(出库单!$S$4:$S$4003,出库单!$D$4:$D$4003,$A138,出库单!$K$4:$K$4003,"盘亏",出库单!$U$4:$U$4003,"正常",出库单!$C$4:$C$4003,"&gt;="&amp;账期起,出库单!$C$4:$C$4003,"&lt;="&amp;账期止),0))</f>
        <v/>
      </c>
      <c r="V138" s="27">
        <f>IF($A138="","",SUMIFS(出库单!$J$4:$J$4003,出库单!$D$4:$D$4003,$A138,出库单!$K$4:$K$4003,"退货给供应商",出库单!$U$4:$U$4003,"正常",出库单!$C$4:$C$4003,"&gt;="&amp;账期起,出库单!$C$4:$C$4003,"&lt;="&amp;账期止))</f>
        <v/>
      </c>
      <c r="W138" s="26">
        <f>IF($A138="","",ROUND(SUMIFS(出库单!$S$4:$S$4003,出库单!$D$4:$D$4003,$A138,出库单!$K$4:$K$4003,"退货给供应商",出库单!$U$4:$U$4003,"正常",出库单!$C$4:$C$4003,"&gt;="&amp;账期起,出库单!$C$4:$C$4003,"&lt;="&amp;账期止),0))</f>
        <v/>
      </c>
      <c r="X138" s="27">
        <f>IF($A138="","",ROUND(N($G138)+$I138+$L138+$N138-$P138-$R138-$T138-$V138,3))</f>
        <v/>
      </c>
      <c r="Y138" s="26">
        <f>IF($A138="","",ROUND(N($H138)+$J138+$M138+$O138-$Q138-$S138-$U138-$W138,0))</f>
        <v/>
      </c>
      <c r="Z138" s="24">
        <f>IF($A138="","",IF(COUNTIFS(入库单!$G$4:$G$2503,$A138,入库单!$Y$4:$Y$2503,"待补价")+COUNTIFS(入库单!$G$4:$G$2503,$A138,入库单!$Y$4:$Y$2503,"暂估")&gt;0,"不可信","可信"))</f>
        <v/>
      </c>
      <c r="AA138" s="24">
        <f>IF($A138="","",IF($X138&lt;-0.001,"※账面负库存，查一下是不是漏记入库",IF(AND(ROUND($X138,3)=0,ABS($Y138)&gt;1),"※数量已经是 0，金额还挂着 "&amp;TEXT($Y138,"#,##0")&amp;" 先令",IF(AND($X138&gt;0,$Y138&lt;=0,$K138=0),"※有数量没金额（这个物料一直没填过进价）",IF($Z138="不可信","△成本含待补价/暂估，毛利仅供参考","")))))</f>
        <v/>
      </c>
    </row>
    <row r="139">
      <c r="A139" s="24">
        <f>IF(物料档案!$A138="","",物料档案!$A138)</f>
        <v/>
      </c>
      <c r="B139" s="24">
        <f>IF($A139="","",IFERROR(VLOOKUP($A139,物料档案!$A$4:$P$1203,3,0),""))</f>
        <v/>
      </c>
      <c r="C139" s="24">
        <f>IF($A139="","",IFERROR(VLOOKUP($A139,物料档案!$A$4:$P$1203,4,0),""))</f>
        <v/>
      </c>
      <c r="D139" s="24">
        <f>IF($A139="","",IFERROR(VLOOKUP($A139,物料档案!$A$4:$P$1203,5,0),""))</f>
        <v/>
      </c>
      <c r="E139" s="24">
        <f>IF($A139="","",IFERROR(VLOOKUP($A139,物料档案!$A$4:$P$1203,2,0),""))</f>
        <v/>
      </c>
      <c r="F139" s="24">
        <f>IF($A139="","",IFERROR(VLOOKUP($A139,物料档案!$A$4:$P$1203,6,0),""))</f>
        <v/>
      </c>
      <c r="G139" s="23" t="n"/>
      <c r="H139" s="32" t="n"/>
      <c r="I139" s="27">
        <f>IF($A139="","",SUMIFS(入库单!$K$4:$K$2503,入库单!$G$4:$G$2503,$A139,入库单!$X$4:$X$2503,"采购入库",入库单!$Z$4:$Z$2503,"正常",入库单!$C$4:$C$2503,"&gt;="&amp;账期起,入库单!$C$4:$C$2503,"&lt;="&amp;账期止))</f>
        <v/>
      </c>
      <c r="J139" s="26">
        <f>IF($A139="","",SUMIFS(入库单!$V$4:$V$2503,入库单!$G$4:$G$2503,$A139,入库单!$X$4:$X$2503,"采购入库",入库单!$Z$4:$Z$2503,"正常",入库单!$C$4:$C$2503,"&gt;="&amp;账期起,入库单!$C$4:$C$2503,"&lt;="&amp;账期止))</f>
        <v/>
      </c>
      <c r="K139" s="26">
        <f>IF($A139="","",IFERROR(ROUND((N($H139)+N($J139))/(N($G139)+N($I139)),2),0))</f>
        <v/>
      </c>
      <c r="L139" s="27">
        <f>IF($A139="","",SUMIFS(入库单!$K$4:$K$2503,入库单!$G$4:$G$2503,$A139,入库单!$X$4:$X$2503,"盘盈",入库单!$Z$4:$Z$2503,"正常",入库单!$C$4:$C$2503,"&gt;="&amp;账期起,入库单!$C$4:$C$2503,"&lt;="&amp;账期止))</f>
        <v/>
      </c>
      <c r="M139" s="26">
        <f>IF($A139="","",ROUND($L139*$K139,0))</f>
        <v/>
      </c>
      <c r="N139" s="27">
        <f>IF($A139="","",SUMIFS(入库单!$K$4:$K$2503,入库单!$G$4:$G$2503,$A139,入库单!$X$4:$X$2503,"矿区退库",入库单!$Z$4:$Z$2503,"正常",入库单!$C$4:$C$2503,"&gt;="&amp;账期起,入库单!$C$4:$C$2503,"&lt;="&amp;账期止))</f>
        <v/>
      </c>
      <c r="O139" s="26">
        <f>IF($A139="","",ROUND($N139*$K139,0))</f>
        <v/>
      </c>
      <c r="P139" s="27">
        <f>IF($A139="","",SUMIFS(出库单!$J$4:$J$4003,出库单!$D$4:$D$4003,$A139,出库单!$K$4:$K$4003,"自用消耗",出库单!$U$4:$U$4003,"正常",出库单!$C$4:$C$4003,"&gt;="&amp;账期起,出库单!$C$4:$C$4003,"&lt;="&amp;账期止))</f>
        <v/>
      </c>
      <c r="Q139" s="26">
        <f>IF($A139="","",ROUND(SUMIFS(出库单!$S$4:$S$4003,出库单!$D$4:$D$4003,$A139,出库单!$K$4:$K$4003,"自用消耗",出库单!$U$4:$U$4003,"正常",出库单!$C$4:$C$4003,"&gt;="&amp;账期起,出库单!$C$4:$C$4003,"&lt;="&amp;账期止),0))</f>
        <v/>
      </c>
      <c r="R139" s="27">
        <f>IF($A139="","",SUMIFS(出库单!$J$4:$J$4003,出库单!$D$4:$D$4003,$A139,出库单!$K$4:$K$4003,"对外销售",出库单!$U$4:$U$4003,"正常",出库单!$C$4:$C$4003,"&gt;="&amp;账期起,出库单!$C$4:$C$4003,"&lt;="&amp;账期止))</f>
        <v/>
      </c>
      <c r="S139" s="26">
        <f>IF($A139="","",ROUND(SUMIFS(出库单!$S$4:$S$4003,出库单!$D$4:$D$4003,$A139,出库单!$K$4:$K$4003,"对外销售",出库单!$U$4:$U$4003,"正常",出库单!$C$4:$C$4003,"&gt;="&amp;账期起,出库单!$C$4:$C$4003,"&lt;="&amp;账期止),0))</f>
        <v/>
      </c>
      <c r="T139" s="27">
        <f>IF($A139="","",SUMIFS(出库单!$J$4:$J$4003,出库单!$D$4:$D$4003,$A139,出库单!$K$4:$K$4003,"盘亏",出库单!$U$4:$U$4003,"正常",出库单!$C$4:$C$4003,"&gt;="&amp;账期起,出库单!$C$4:$C$4003,"&lt;="&amp;账期止))</f>
        <v/>
      </c>
      <c r="U139" s="26">
        <f>IF($A139="","",ROUND(SUMIFS(出库单!$S$4:$S$4003,出库单!$D$4:$D$4003,$A139,出库单!$K$4:$K$4003,"盘亏",出库单!$U$4:$U$4003,"正常",出库单!$C$4:$C$4003,"&gt;="&amp;账期起,出库单!$C$4:$C$4003,"&lt;="&amp;账期止),0))</f>
        <v/>
      </c>
      <c r="V139" s="27">
        <f>IF($A139="","",SUMIFS(出库单!$J$4:$J$4003,出库单!$D$4:$D$4003,$A139,出库单!$K$4:$K$4003,"退货给供应商",出库单!$U$4:$U$4003,"正常",出库单!$C$4:$C$4003,"&gt;="&amp;账期起,出库单!$C$4:$C$4003,"&lt;="&amp;账期止))</f>
        <v/>
      </c>
      <c r="W139" s="26">
        <f>IF($A139="","",ROUND(SUMIFS(出库单!$S$4:$S$4003,出库单!$D$4:$D$4003,$A139,出库单!$K$4:$K$4003,"退货给供应商",出库单!$U$4:$U$4003,"正常",出库单!$C$4:$C$4003,"&gt;="&amp;账期起,出库单!$C$4:$C$4003,"&lt;="&amp;账期止),0))</f>
        <v/>
      </c>
      <c r="X139" s="27">
        <f>IF($A139="","",ROUND(N($G139)+$I139+$L139+$N139-$P139-$R139-$T139-$V139,3))</f>
        <v/>
      </c>
      <c r="Y139" s="26">
        <f>IF($A139="","",ROUND(N($H139)+$J139+$M139+$O139-$Q139-$S139-$U139-$W139,0))</f>
        <v/>
      </c>
      <c r="Z139" s="24">
        <f>IF($A139="","",IF(COUNTIFS(入库单!$G$4:$G$2503,$A139,入库单!$Y$4:$Y$2503,"待补价")+COUNTIFS(入库单!$G$4:$G$2503,$A139,入库单!$Y$4:$Y$2503,"暂估")&gt;0,"不可信","可信"))</f>
        <v/>
      </c>
      <c r="AA139" s="24">
        <f>IF($A139="","",IF($X139&lt;-0.001,"※账面负库存，查一下是不是漏记入库",IF(AND(ROUND($X139,3)=0,ABS($Y139)&gt;1),"※数量已经是 0，金额还挂着 "&amp;TEXT($Y139,"#,##0")&amp;" 先令",IF(AND($X139&gt;0,$Y139&lt;=0,$K139=0),"※有数量没金额（这个物料一直没填过进价）",IF($Z139="不可信","△成本含待补价/暂估，毛利仅供参考","")))))</f>
        <v/>
      </c>
    </row>
    <row r="140">
      <c r="A140" s="24">
        <f>IF(物料档案!$A139="","",物料档案!$A139)</f>
        <v/>
      </c>
      <c r="B140" s="24">
        <f>IF($A140="","",IFERROR(VLOOKUP($A140,物料档案!$A$4:$P$1203,3,0),""))</f>
        <v/>
      </c>
      <c r="C140" s="24">
        <f>IF($A140="","",IFERROR(VLOOKUP($A140,物料档案!$A$4:$P$1203,4,0),""))</f>
        <v/>
      </c>
      <c r="D140" s="24">
        <f>IF($A140="","",IFERROR(VLOOKUP($A140,物料档案!$A$4:$P$1203,5,0),""))</f>
        <v/>
      </c>
      <c r="E140" s="24">
        <f>IF($A140="","",IFERROR(VLOOKUP($A140,物料档案!$A$4:$P$1203,2,0),""))</f>
        <v/>
      </c>
      <c r="F140" s="24">
        <f>IF($A140="","",IFERROR(VLOOKUP($A140,物料档案!$A$4:$P$1203,6,0),""))</f>
        <v/>
      </c>
      <c r="G140" s="23" t="n"/>
      <c r="H140" s="32" t="n"/>
      <c r="I140" s="27">
        <f>IF($A140="","",SUMIFS(入库单!$K$4:$K$2503,入库单!$G$4:$G$2503,$A140,入库单!$X$4:$X$2503,"采购入库",入库单!$Z$4:$Z$2503,"正常",入库单!$C$4:$C$2503,"&gt;="&amp;账期起,入库单!$C$4:$C$2503,"&lt;="&amp;账期止))</f>
        <v/>
      </c>
      <c r="J140" s="26">
        <f>IF($A140="","",SUMIFS(入库单!$V$4:$V$2503,入库单!$G$4:$G$2503,$A140,入库单!$X$4:$X$2503,"采购入库",入库单!$Z$4:$Z$2503,"正常",入库单!$C$4:$C$2503,"&gt;="&amp;账期起,入库单!$C$4:$C$2503,"&lt;="&amp;账期止))</f>
        <v/>
      </c>
      <c r="K140" s="26">
        <f>IF($A140="","",IFERROR(ROUND((N($H140)+N($J140))/(N($G140)+N($I140)),2),0))</f>
        <v/>
      </c>
      <c r="L140" s="27">
        <f>IF($A140="","",SUMIFS(入库单!$K$4:$K$2503,入库单!$G$4:$G$2503,$A140,入库单!$X$4:$X$2503,"盘盈",入库单!$Z$4:$Z$2503,"正常",入库单!$C$4:$C$2503,"&gt;="&amp;账期起,入库单!$C$4:$C$2503,"&lt;="&amp;账期止))</f>
        <v/>
      </c>
      <c r="M140" s="26">
        <f>IF($A140="","",ROUND($L140*$K140,0))</f>
        <v/>
      </c>
      <c r="N140" s="27">
        <f>IF($A140="","",SUMIFS(入库单!$K$4:$K$2503,入库单!$G$4:$G$2503,$A140,入库单!$X$4:$X$2503,"矿区退库",入库单!$Z$4:$Z$2503,"正常",入库单!$C$4:$C$2503,"&gt;="&amp;账期起,入库单!$C$4:$C$2503,"&lt;="&amp;账期止))</f>
        <v/>
      </c>
      <c r="O140" s="26">
        <f>IF($A140="","",ROUND($N140*$K140,0))</f>
        <v/>
      </c>
      <c r="P140" s="27">
        <f>IF($A140="","",SUMIFS(出库单!$J$4:$J$4003,出库单!$D$4:$D$4003,$A140,出库单!$K$4:$K$4003,"自用消耗",出库单!$U$4:$U$4003,"正常",出库单!$C$4:$C$4003,"&gt;="&amp;账期起,出库单!$C$4:$C$4003,"&lt;="&amp;账期止))</f>
        <v/>
      </c>
      <c r="Q140" s="26">
        <f>IF($A140="","",ROUND(SUMIFS(出库单!$S$4:$S$4003,出库单!$D$4:$D$4003,$A140,出库单!$K$4:$K$4003,"自用消耗",出库单!$U$4:$U$4003,"正常",出库单!$C$4:$C$4003,"&gt;="&amp;账期起,出库单!$C$4:$C$4003,"&lt;="&amp;账期止),0))</f>
        <v/>
      </c>
      <c r="R140" s="27">
        <f>IF($A140="","",SUMIFS(出库单!$J$4:$J$4003,出库单!$D$4:$D$4003,$A140,出库单!$K$4:$K$4003,"对外销售",出库单!$U$4:$U$4003,"正常",出库单!$C$4:$C$4003,"&gt;="&amp;账期起,出库单!$C$4:$C$4003,"&lt;="&amp;账期止))</f>
        <v/>
      </c>
      <c r="S140" s="26">
        <f>IF($A140="","",ROUND(SUMIFS(出库单!$S$4:$S$4003,出库单!$D$4:$D$4003,$A140,出库单!$K$4:$K$4003,"对外销售",出库单!$U$4:$U$4003,"正常",出库单!$C$4:$C$4003,"&gt;="&amp;账期起,出库单!$C$4:$C$4003,"&lt;="&amp;账期止),0))</f>
        <v/>
      </c>
      <c r="T140" s="27">
        <f>IF($A140="","",SUMIFS(出库单!$J$4:$J$4003,出库单!$D$4:$D$4003,$A140,出库单!$K$4:$K$4003,"盘亏",出库单!$U$4:$U$4003,"正常",出库单!$C$4:$C$4003,"&gt;="&amp;账期起,出库单!$C$4:$C$4003,"&lt;="&amp;账期止))</f>
        <v/>
      </c>
      <c r="U140" s="26">
        <f>IF($A140="","",ROUND(SUMIFS(出库单!$S$4:$S$4003,出库单!$D$4:$D$4003,$A140,出库单!$K$4:$K$4003,"盘亏",出库单!$U$4:$U$4003,"正常",出库单!$C$4:$C$4003,"&gt;="&amp;账期起,出库单!$C$4:$C$4003,"&lt;="&amp;账期止),0))</f>
        <v/>
      </c>
      <c r="V140" s="27">
        <f>IF($A140="","",SUMIFS(出库单!$J$4:$J$4003,出库单!$D$4:$D$4003,$A140,出库单!$K$4:$K$4003,"退货给供应商",出库单!$U$4:$U$4003,"正常",出库单!$C$4:$C$4003,"&gt;="&amp;账期起,出库单!$C$4:$C$4003,"&lt;="&amp;账期止))</f>
        <v/>
      </c>
      <c r="W140" s="26">
        <f>IF($A140="","",ROUND(SUMIFS(出库单!$S$4:$S$4003,出库单!$D$4:$D$4003,$A140,出库单!$K$4:$K$4003,"退货给供应商",出库单!$U$4:$U$4003,"正常",出库单!$C$4:$C$4003,"&gt;="&amp;账期起,出库单!$C$4:$C$4003,"&lt;="&amp;账期止),0))</f>
        <v/>
      </c>
      <c r="X140" s="27">
        <f>IF($A140="","",ROUND(N($G140)+$I140+$L140+$N140-$P140-$R140-$T140-$V140,3))</f>
        <v/>
      </c>
      <c r="Y140" s="26">
        <f>IF($A140="","",ROUND(N($H140)+$J140+$M140+$O140-$Q140-$S140-$U140-$W140,0))</f>
        <v/>
      </c>
      <c r="Z140" s="24">
        <f>IF($A140="","",IF(COUNTIFS(入库单!$G$4:$G$2503,$A140,入库单!$Y$4:$Y$2503,"待补价")+COUNTIFS(入库单!$G$4:$G$2503,$A140,入库单!$Y$4:$Y$2503,"暂估")&gt;0,"不可信","可信"))</f>
        <v/>
      </c>
      <c r="AA140" s="24">
        <f>IF($A140="","",IF($X140&lt;-0.001,"※账面负库存，查一下是不是漏记入库",IF(AND(ROUND($X140,3)=0,ABS($Y140)&gt;1),"※数量已经是 0，金额还挂着 "&amp;TEXT($Y140,"#,##0")&amp;" 先令",IF(AND($X140&gt;0,$Y140&lt;=0,$K140=0),"※有数量没金额（这个物料一直没填过进价）",IF($Z140="不可信","△成本含待补价/暂估，毛利仅供参考","")))))</f>
        <v/>
      </c>
    </row>
    <row r="141">
      <c r="A141" s="24">
        <f>IF(物料档案!$A140="","",物料档案!$A140)</f>
        <v/>
      </c>
      <c r="B141" s="24">
        <f>IF($A141="","",IFERROR(VLOOKUP($A141,物料档案!$A$4:$P$1203,3,0),""))</f>
        <v/>
      </c>
      <c r="C141" s="24">
        <f>IF($A141="","",IFERROR(VLOOKUP($A141,物料档案!$A$4:$P$1203,4,0),""))</f>
        <v/>
      </c>
      <c r="D141" s="24">
        <f>IF($A141="","",IFERROR(VLOOKUP($A141,物料档案!$A$4:$P$1203,5,0),""))</f>
        <v/>
      </c>
      <c r="E141" s="24">
        <f>IF($A141="","",IFERROR(VLOOKUP($A141,物料档案!$A$4:$P$1203,2,0),""))</f>
        <v/>
      </c>
      <c r="F141" s="24">
        <f>IF($A141="","",IFERROR(VLOOKUP($A141,物料档案!$A$4:$P$1203,6,0),""))</f>
        <v/>
      </c>
      <c r="G141" s="23" t="n"/>
      <c r="H141" s="32" t="n"/>
      <c r="I141" s="27">
        <f>IF($A141="","",SUMIFS(入库单!$K$4:$K$2503,入库单!$G$4:$G$2503,$A141,入库单!$X$4:$X$2503,"采购入库",入库单!$Z$4:$Z$2503,"正常",入库单!$C$4:$C$2503,"&gt;="&amp;账期起,入库单!$C$4:$C$2503,"&lt;="&amp;账期止))</f>
        <v/>
      </c>
      <c r="J141" s="26">
        <f>IF($A141="","",SUMIFS(入库单!$V$4:$V$2503,入库单!$G$4:$G$2503,$A141,入库单!$X$4:$X$2503,"采购入库",入库单!$Z$4:$Z$2503,"正常",入库单!$C$4:$C$2503,"&gt;="&amp;账期起,入库单!$C$4:$C$2503,"&lt;="&amp;账期止))</f>
        <v/>
      </c>
      <c r="K141" s="26">
        <f>IF($A141="","",IFERROR(ROUND((N($H141)+N($J141))/(N($G141)+N($I141)),2),0))</f>
        <v/>
      </c>
      <c r="L141" s="27">
        <f>IF($A141="","",SUMIFS(入库单!$K$4:$K$2503,入库单!$G$4:$G$2503,$A141,入库单!$X$4:$X$2503,"盘盈",入库单!$Z$4:$Z$2503,"正常",入库单!$C$4:$C$2503,"&gt;="&amp;账期起,入库单!$C$4:$C$2503,"&lt;="&amp;账期止))</f>
        <v/>
      </c>
      <c r="M141" s="26">
        <f>IF($A141="","",ROUND($L141*$K141,0))</f>
        <v/>
      </c>
      <c r="N141" s="27">
        <f>IF($A141="","",SUMIFS(入库单!$K$4:$K$2503,入库单!$G$4:$G$2503,$A141,入库单!$X$4:$X$2503,"矿区退库",入库单!$Z$4:$Z$2503,"正常",入库单!$C$4:$C$2503,"&gt;="&amp;账期起,入库单!$C$4:$C$2503,"&lt;="&amp;账期止))</f>
        <v/>
      </c>
      <c r="O141" s="26">
        <f>IF($A141="","",ROUND($N141*$K141,0))</f>
        <v/>
      </c>
      <c r="P141" s="27">
        <f>IF($A141="","",SUMIFS(出库单!$J$4:$J$4003,出库单!$D$4:$D$4003,$A141,出库单!$K$4:$K$4003,"自用消耗",出库单!$U$4:$U$4003,"正常",出库单!$C$4:$C$4003,"&gt;="&amp;账期起,出库单!$C$4:$C$4003,"&lt;="&amp;账期止))</f>
        <v/>
      </c>
      <c r="Q141" s="26">
        <f>IF($A141="","",ROUND(SUMIFS(出库单!$S$4:$S$4003,出库单!$D$4:$D$4003,$A141,出库单!$K$4:$K$4003,"自用消耗",出库单!$U$4:$U$4003,"正常",出库单!$C$4:$C$4003,"&gt;="&amp;账期起,出库单!$C$4:$C$4003,"&lt;="&amp;账期止),0))</f>
        <v/>
      </c>
      <c r="R141" s="27">
        <f>IF($A141="","",SUMIFS(出库单!$J$4:$J$4003,出库单!$D$4:$D$4003,$A141,出库单!$K$4:$K$4003,"对外销售",出库单!$U$4:$U$4003,"正常",出库单!$C$4:$C$4003,"&gt;="&amp;账期起,出库单!$C$4:$C$4003,"&lt;="&amp;账期止))</f>
        <v/>
      </c>
      <c r="S141" s="26">
        <f>IF($A141="","",ROUND(SUMIFS(出库单!$S$4:$S$4003,出库单!$D$4:$D$4003,$A141,出库单!$K$4:$K$4003,"对外销售",出库单!$U$4:$U$4003,"正常",出库单!$C$4:$C$4003,"&gt;="&amp;账期起,出库单!$C$4:$C$4003,"&lt;="&amp;账期止),0))</f>
        <v/>
      </c>
      <c r="T141" s="27">
        <f>IF($A141="","",SUMIFS(出库单!$J$4:$J$4003,出库单!$D$4:$D$4003,$A141,出库单!$K$4:$K$4003,"盘亏",出库单!$U$4:$U$4003,"正常",出库单!$C$4:$C$4003,"&gt;="&amp;账期起,出库单!$C$4:$C$4003,"&lt;="&amp;账期止))</f>
        <v/>
      </c>
      <c r="U141" s="26">
        <f>IF($A141="","",ROUND(SUMIFS(出库单!$S$4:$S$4003,出库单!$D$4:$D$4003,$A141,出库单!$K$4:$K$4003,"盘亏",出库单!$U$4:$U$4003,"正常",出库单!$C$4:$C$4003,"&gt;="&amp;账期起,出库单!$C$4:$C$4003,"&lt;="&amp;账期止),0))</f>
        <v/>
      </c>
      <c r="V141" s="27">
        <f>IF($A141="","",SUMIFS(出库单!$J$4:$J$4003,出库单!$D$4:$D$4003,$A141,出库单!$K$4:$K$4003,"退货给供应商",出库单!$U$4:$U$4003,"正常",出库单!$C$4:$C$4003,"&gt;="&amp;账期起,出库单!$C$4:$C$4003,"&lt;="&amp;账期止))</f>
        <v/>
      </c>
      <c r="W141" s="26">
        <f>IF($A141="","",ROUND(SUMIFS(出库单!$S$4:$S$4003,出库单!$D$4:$D$4003,$A141,出库单!$K$4:$K$4003,"退货给供应商",出库单!$U$4:$U$4003,"正常",出库单!$C$4:$C$4003,"&gt;="&amp;账期起,出库单!$C$4:$C$4003,"&lt;="&amp;账期止),0))</f>
        <v/>
      </c>
      <c r="X141" s="27">
        <f>IF($A141="","",ROUND(N($G141)+$I141+$L141+$N141-$P141-$R141-$T141-$V141,3))</f>
        <v/>
      </c>
      <c r="Y141" s="26">
        <f>IF($A141="","",ROUND(N($H141)+$J141+$M141+$O141-$Q141-$S141-$U141-$W141,0))</f>
        <v/>
      </c>
      <c r="Z141" s="24">
        <f>IF($A141="","",IF(COUNTIFS(入库单!$G$4:$G$2503,$A141,入库单!$Y$4:$Y$2503,"待补价")+COUNTIFS(入库单!$G$4:$G$2503,$A141,入库单!$Y$4:$Y$2503,"暂估")&gt;0,"不可信","可信"))</f>
        <v/>
      </c>
      <c r="AA141" s="24">
        <f>IF($A141="","",IF($X141&lt;-0.001,"※账面负库存，查一下是不是漏记入库",IF(AND(ROUND($X141,3)=0,ABS($Y141)&gt;1),"※数量已经是 0，金额还挂着 "&amp;TEXT($Y141,"#,##0")&amp;" 先令",IF(AND($X141&gt;0,$Y141&lt;=0,$K141=0),"※有数量没金额（这个物料一直没填过进价）",IF($Z141="不可信","△成本含待补价/暂估，毛利仅供参考","")))))</f>
        <v/>
      </c>
    </row>
    <row r="142">
      <c r="A142" s="24">
        <f>IF(物料档案!$A141="","",物料档案!$A141)</f>
        <v/>
      </c>
      <c r="B142" s="24">
        <f>IF($A142="","",IFERROR(VLOOKUP($A142,物料档案!$A$4:$P$1203,3,0),""))</f>
        <v/>
      </c>
      <c r="C142" s="24">
        <f>IF($A142="","",IFERROR(VLOOKUP($A142,物料档案!$A$4:$P$1203,4,0),""))</f>
        <v/>
      </c>
      <c r="D142" s="24">
        <f>IF($A142="","",IFERROR(VLOOKUP($A142,物料档案!$A$4:$P$1203,5,0),""))</f>
        <v/>
      </c>
      <c r="E142" s="24">
        <f>IF($A142="","",IFERROR(VLOOKUP($A142,物料档案!$A$4:$P$1203,2,0),""))</f>
        <v/>
      </c>
      <c r="F142" s="24">
        <f>IF($A142="","",IFERROR(VLOOKUP($A142,物料档案!$A$4:$P$1203,6,0),""))</f>
        <v/>
      </c>
      <c r="G142" s="23" t="n"/>
      <c r="H142" s="32" t="n"/>
      <c r="I142" s="27">
        <f>IF($A142="","",SUMIFS(入库单!$K$4:$K$2503,入库单!$G$4:$G$2503,$A142,入库单!$X$4:$X$2503,"采购入库",入库单!$Z$4:$Z$2503,"正常",入库单!$C$4:$C$2503,"&gt;="&amp;账期起,入库单!$C$4:$C$2503,"&lt;="&amp;账期止))</f>
        <v/>
      </c>
      <c r="J142" s="26">
        <f>IF($A142="","",SUMIFS(入库单!$V$4:$V$2503,入库单!$G$4:$G$2503,$A142,入库单!$X$4:$X$2503,"采购入库",入库单!$Z$4:$Z$2503,"正常",入库单!$C$4:$C$2503,"&gt;="&amp;账期起,入库单!$C$4:$C$2503,"&lt;="&amp;账期止))</f>
        <v/>
      </c>
      <c r="K142" s="26">
        <f>IF($A142="","",IFERROR(ROUND((N($H142)+N($J142))/(N($G142)+N($I142)),2),0))</f>
        <v/>
      </c>
      <c r="L142" s="27">
        <f>IF($A142="","",SUMIFS(入库单!$K$4:$K$2503,入库单!$G$4:$G$2503,$A142,入库单!$X$4:$X$2503,"盘盈",入库单!$Z$4:$Z$2503,"正常",入库单!$C$4:$C$2503,"&gt;="&amp;账期起,入库单!$C$4:$C$2503,"&lt;="&amp;账期止))</f>
        <v/>
      </c>
      <c r="M142" s="26">
        <f>IF($A142="","",ROUND($L142*$K142,0))</f>
        <v/>
      </c>
      <c r="N142" s="27">
        <f>IF($A142="","",SUMIFS(入库单!$K$4:$K$2503,入库单!$G$4:$G$2503,$A142,入库单!$X$4:$X$2503,"矿区退库",入库单!$Z$4:$Z$2503,"正常",入库单!$C$4:$C$2503,"&gt;="&amp;账期起,入库单!$C$4:$C$2503,"&lt;="&amp;账期止))</f>
        <v/>
      </c>
      <c r="O142" s="26">
        <f>IF($A142="","",ROUND($N142*$K142,0))</f>
        <v/>
      </c>
      <c r="P142" s="27">
        <f>IF($A142="","",SUMIFS(出库单!$J$4:$J$4003,出库单!$D$4:$D$4003,$A142,出库单!$K$4:$K$4003,"自用消耗",出库单!$U$4:$U$4003,"正常",出库单!$C$4:$C$4003,"&gt;="&amp;账期起,出库单!$C$4:$C$4003,"&lt;="&amp;账期止))</f>
        <v/>
      </c>
      <c r="Q142" s="26">
        <f>IF($A142="","",ROUND(SUMIFS(出库单!$S$4:$S$4003,出库单!$D$4:$D$4003,$A142,出库单!$K$4:$K$4003,"自用消耗",出库单!$U$4:$U$4003,"正常",出库单!$C$4:$C$4003,"&gt;="&amp;账期起,出库单!$C$4:$C$4003,"&lt;="&amp;账期止),0))</f>
        <v/>
      </c>
      <c r="R142" s="27">
        <f>IF($A142="","",SUMIFS(出库单!$J$4:$J$4003,出库单!$D$4:$D$4003,$A142,出库单!$K$4:$K$4003,"对外销售",出库单!$U$4:$U$4003,"正常",出库单!$C$4:$C$4003,"&gt;="&amp;账期起,出库单!$C$4:$C$4003,"&lt;="&amp;账期止))</f>
        <v/>
      </c>
      <c r="S142" s="26">
        <f>IF($A142="","",ROUND(SUMIFS(出库单!$S$4:$S$4003,出库单!$D$4:$D$4003,$A142,出库单!$K$4:$K$4003,"对外销售",出库单!$U$4:$U$4003,"正常",出库单!$C$4:$C$4003,"&gt;="&amp;账期起,出库单!$C$4:$C$4003,"&lt;="&amp;账期止),0))</f>
        <v/>
      </c>
      <c r="T142" s="27">
        <f>IF($A142="","",SUMIFS(出库单!$J$4:$J$4003,出库单!$D$4:$D$4003,$A142,出库单!$K$4:$K$4003,"盘亏",出库单!$U$4:$U$4003,"正常",出库单!$C$4:$C$4003,"&gt;="&amp;账期起,出库单!$C$4:$C$4003,"&lt;="&amp;账期止))</f>
        <v/>
      </c>
      <c r="U142" s="26">
        <f>IF($A142="","",ROUND(SUMIFS(出库单!$S$4:$S$4003,出库单!$D$4:$D$4003,$A142,出库单!$K$4:$K$4003,"盘亏",出库单!$U$4:$U$4003,"正常",出库单!$C$4:$C$4003,"&gt;="&amp;账期起,出库单!$C$4:$C$4003,"&lt;="&amp;账期止),0))</f>
        <v/>
      </c>
      <c r="V142" s="27">
        <f>IF($A142="","",SUMIFS(出库单!$J$4:$J$4003,出库单!$D$4:$D$4003,$A142,出库单!$K$4:$K$4003,"退货给供应商",出库单!$U$4:$U$4003,"正常",出库单!$C$4:$C$4003,"&gt;="&amp;账期起,出库单!$C$4:$C$4003,"&lt;="&amp;账期止))</f>
        <v/>
      </c>
      <c r="W142" s="26">
        <f>IF($A142="","",ROUND(SUMIFS(出库单!$S$4:$S$4003,出库单!$D$4:$D$4003,$A142,出库单!$K$4:$K$4003,"退货给供应商",出库单!$U$4:$U$4003,"正常",出库单!$C$4:$C$4003,"&gt;="&amp;账期起,出库单!$C$4:$C$4003,"&lt;="&amp;账期止),0))</f>
        <v/>
      </c>
      <c r="X142" s="27">
        <f>IF($A142="","",ROUND(N($G142)+$I142+$L142+$N142-$P142-$R142-$T142-$V142,3))</f>
        <v/>
      </c>
      <c r="Y142" s="26">
        <f>IF($A142="","",ROUND(N($H142)+$J142+$M142+$O142-$Q142-$S142-$U142-$W142,0))</f>
        <v/>
      </c>
      <c r="Z142" s="24">
        <f>IF($A142="","",IF(COUNTIFS(入库单!$G$4:$G$2503,$A142,入库单!$Y$4:$Y$2503,"待补价")+COUNTIFS(入库单!$G$4:$G$2503,$A142,入库单!$Y$4:$Y$2503,"暂估")&gt;0,"不可信","可信"))</f>
        <v/>
      </c>
      <c r="AA142" s="24">
        <f>IF($A142="","",IF($X142&lt;-0.001,"※账面负库存，查一下是不是漏记入库",IF(AND(ROUND($X142,3)=0,ABS($Y142)&gt;1),"※数量已经是 0，金额还挂着 "&amp;TEXT($Y142,"#,##0")&amp;" 先令",IF(AND($X142&gt;0,$Y142&lt;=0,$K142=0),"※有数量没金额（这个物料一直没填过进价）",IF($Z142="不可信","△成本含待补价/暂估，毛利仅供参考","")))))</f>
        <v/>
      </c>
    </row>
    <row r="143">
      <c r="A143" s="24">
        <f>IF(物料档案!$A142="","",物料档案!$A142)</f>
        <v/>
      </c>
      <c r="B143" s="24">
        <f>IF($A143="","",IFERROR(VLOOKUP($A143,物料档案!$A$4:$P$1203,3,0),""))</f>
        <v/>
      </c>
      <c r="C143" s="24">
        <f>IF($A143="","",IFERROR(VLOOKUP($A143,物料档案!$A$4:$P$1203,4,0),""))</f>
        <v/>
      </c>
      <c r="D143" s="24">
        <f>IF($A143="","",IFERROR(VLOOKUP($A143,物料档案!$A$4:$P$1203,5,0),""))</f>
        <v/>
      </c>
      <c r="E143" s="24">
        <f>IF($A143="","",IFERROR(VLOOKUP($A143,物料档案!$A$4:$P$1203,2,0),""))</f>
        <v/>
      </c>
      <c r="F143" s="24">
        <f>IF($A143="","",IFERROR(VLOOKUP($A143,物料档案!$A$4:$P$1203,6,0),""))</f>
        <v/>
      </c>
      <c r="G143" s="23" t="n"/>
      <c r="H143" s="32" t="n"/>
      <c r="I143" s="27">
        <f>IF($A143="","",SUMIFS(入库单!$K$4:$K$2503,入库单!$G$4:$G$2503,$A143,入库单!$X$4:$X$2503,"采购入库",入库单!$Z$4:$Z$2503,"正常",入库单!$C$4:$C$2503,"&gt;="&amp;账期起,入库单!$C$4:$C$2503,"&lt;="&amp;账期止))</f>
        <v/>
      </c>
      <c r="J143" s="26">
        <f>IF($A143="","",SUMIFS(入库单!$V$4:$V$2503,入库单!$G$4:$G$2503,$A143,入库单!$X$4:$X$2503,"采购入库",入库单!$Z$4:$Z$2503,"正常",入库单!$C$4:$C$2503,"&gt;="&amp;账期起,入库单!$C$4:$C$2503,"&lt;="&amp;账期止))</f>
        <v/>
      </c>
      <c r="K143" s="26">
        <f>IF($A143="","",IFERROR(ROUND((N($H143)+N($J143))/(N($G143)+N($I143)),2),0))</f>
        <v/>
      </c>
      <c r="L143" s="27">
        <f>IF($A143="","",SUMIFS(入库单!$K$4:$K$2503,入库单!$G$4:$G$2503,$A143,入库单!$X$4:$X$2503,"盘盈",入库单!$Z$4:$Z$2503,"正常",入库单!$C$4:$C$2503,"&gt;="&amp;账期起,入库单!$C$4:$C$2503,"&lt;="&amp;账期止))</f>
        <v/>
      </c>
      <c r="M143" s="26">
        <f>IF($A143="","",ROUND($L143*$K143,0))</f>
        <v/>
      </c>
      <c r="N143" s="27">
        <f>IF($A143="","",SUMIFS(入库单!$K$4:$K$2503,入库单!$G$4:$G$2503,$A143,入库单!$X$4:$X$2503,"矿区退库",入库单!$Z$4:$Z$2503,"正常",入库单!$C$4:$C$2503,"&gt;="&amp;账期起,入库单!$C$4:$C$2503,"&lt;="&amp;账期止))</f>
        <v/>
      </c>
      <c r="O143" s="26">
        <f>IF($A143="","",ROUND($N143*$K143,0))</f>
        <v/>
      </c>
      <c r="P143" s="27">
        <f>IF($A143="","",SUMIFS(出库单!$J$4:$J$4003,出库单!$D$4:$D$4003,$A143,出库单!$K$4:$K$4003,"自用消耗",出库单!$U$4:$U$4003,"正常",出库单!$C$4:$C$4003,"&gt;="&amp;账期起,出库单!$C$4:$C$4003,"&lt;="&amp;账期止))</f>
        <v/>
      </c>
      <c r="Q143" s="26">
        <f>IF($A143="","",ROUND(SUMIFS(出库单!$S$4:$S$4003,出库单!$D$4:$D$4003,$A143,出库单!$K$4:$K$4003,"自用消耗",出库单!$U$4:$U$4003,"正常",出库单!$C$4:$C$4003,"&gt;="&amp;账期起,出库单!$C$4:$C$4003,"&lt;="&amp;账期止),0))</f>
        <v/>
      </c>
      <c r="R143" s="27">
        <f>IF($A143="","",SUMIFS(出库单!$J$4:$J$4003,出库单!$D$4:$D$4003,$A143,出库单!$K$4:$K$4003,"对外销售",出库单!$U$4:$U$4003,"正常",出库单!$C$4:$C$4003,"&gt;="&amp;账期起,出库单!$C$4:$C$4003,"&lt;="&amp;账期止))</f>
        <v/>
      </c>
      <c r="S143" s="26">
        <f>IF($A143="","",ROUND(SUMIFS(出库单!$S$4:$S$4003,出库单!$D$4:$D$4003,$A143,出库单!$K$4:$K$4003,"对外销售",出库单!$U$4:$U$4003,"正常",出库单!$C$4:$C$4003,"&gt;="&amp;账期起,出库单!$C$4:$C$4003,"&lt;="&amp;账期止),0))</f>
        <v/>
      </c>
      <c r="T143" s="27">
        <f>IF($A143="","",SUMIFS(出库单!$J$4:$J$4003,出库单!$D$4:$D$4003,$A143,出库单!$K$4:$K$4003,"盘亏",出库单!$U$4:$U$4003,"正常",出库单!$C$4:$C$4003,"&gt;="&amp;账期起,出库单!$C$4:$C$4003,"&lt;="&amp;账期止))</f>
        <v/>
      </c>
      <c r="U143" s="26">
        <f>IF($A143="","",ROUND(SUMIFS(出库单!$S$4:$S$4003,出库单!$D$4:$D$4003,$A143,出库单!$K$4:$K$4003,"盘亏",出库单!$U$4:$U$4003,"正常",出库单!$C$4:$C$4003,"&gt;="&amp;账期起,出库单!$C$4:$C$4003,"&lt;="&amp;账期止),0))</f>
        <v/>
      </c>
      <c r="V143" s="27">
        <f>IF($A143="","",SUMIFS(出库单!$J$4:$J$4003,出库单!$D$4:$D$4003,$A143,出库单!$K$4:$K$4003,"退货给供应商",出库单!$U$4:$U$4003,"正常",出库单!$C$4:$C$4003,"&gt;="&amp;账期起,出库单!$C$4:$C$4003,"&lt;="&amp;账期止))</f>
        <v/>
      </c>
      <c r="W143" s="26">
        <f>IF($A143="","",ROUND(SUMIFS(出库单!$S$4:$S$4003,出库单!$D$4:$D$4003,$A143,出库单!$K$4:$K$4003,"退货给供应商",出库单!$U$4:$U$4003,"正常",出库单!$C$4:$C$4003,"&gt;="&amp;账期起,出库单!$C$4:$C$4003,"&lt;="&amp;账期止),0))</f>
        <v/>
      </c>
      <c r="X143" s="27">
        <f>IF($A143="","",ROUND(N($G143)+$I143+$L143+$N143-$P143-$R143-$T143-$V143,3))</f>
        <v/>
      </c>
      <c r="Y143" s="26">
        <f>IF($A143="","",ROUND(N($H143)+$J143+$M143+$O143-$Q143-$S143-$U143-$W143,0))</f>
        <v/>
      </c>
      <c r="Z143" s="24">
        <f>IF($A143="","",IF(COUNTIFS(入库单!$G$4:$G$2503,$A143,入库单!$Y$4:$Y$2503,"待补价")+COUNTIFS(入库单!$G$4:$G$2503,$A143,入库单!$Y$4:$Y$2503,"暂估")&gt;0,"不可信","可信"))</f>
        <v/>
      </c>
      <c r="AA143" s="24">
        <f>IF($A143="","",IF($X143&lt;-0.001,"※账面负库存，查一下是不是漏记入库",IF(AND(ROUND($X143,3)=0,ABS($Y143)&gt;1),"※数量已经是 0，金额还挂着 "&amp;TEXT($Y143,"#,##0")&amp;" 先令",IF(AND($X143&gt;0,$Y143&lt;=0,$K143=0),"※有数量没金额（这个物料一直没填过进价）",IF($Z143="不可信","△成本含待补价/暂估，毛利仅供参考","")))))</f>
        <v/>
      </c>
    </row>
    <row r="144">
      <c r="A144" s="24">
        <f>IF(物料档案!$A143="","",物料档案!$A143)</f>
        <v/>
      </c>
      <c r="B144" s="24">
        <f>IF($A144="","",IFERROR(VLOOKUP($A144,物料档案!$A$4:$P$1203,3,0),""))</f>
        <v/>
      </c>
      <c r="C144" s="24">
        <f>IF($A144="","",IFERROR(VLOOKUP($A144,物料档案!$A$4:$P$1203,4,0),""))</f>
        <v/>
      </c>
      <c r="D144" s="24">
        <f>IF($A144="","",IFERROR(VLOOKUP($A144,物料档案!$A$4:$P$1203,5,0),""))</f>
        <v/>
      </c>
      <c r="E144" s="24">
        <f>IF($A144="","",IFERROR(VLOOKUP($A144,物料档案!$A$4:$P$1203,2,0),""))</f>
        <v/>
      </c>
      <c r="F144" s="24">
        <f>IF($A144="","",IFERROR(VLOOKUP($A144,物料档案!$A$4:$P$1203,6,0),""))</f>
        <v/>
      </c>
      <c r="G144" s="23" t="n"/>
      <c r="H144" s="32" t="n"/>
      <c r="I144" s="27">
        <f>IF($A144="","",SUMIFS(入库单!$K$4:$K$2503,入库单!$G$4:$G$2503,$A144,入库单!$X$4:$X$2503,"采购入库",入库单!$Z$4:$Z$2503,"正常",入库单!$C$4:$C$2503,"&gt;="&amp;账期起,入库单!$C$4:$C$2503,"&lt;="&amp;账期止))</f>
        <v/>
      </c>
      <c r="J144" s="26">
        <f>IF($A144="","",SUMIFS(入库单!$V$4:$V$2503,入库单!$G$4:$G$2503,$A144,入库单!$X$4:$X$2503,"采购入库",入库单!$Z$4:$Z$2503,"正常",入库单!$C$4:$C$2503,"&gt;="&amp;账期起,入库单!$C$4:$C$2503,"&lt;="&amp;账期止))</f>
        <v/>
      </c>
      <c r="K144" s="26">
        <f>IF($A144="","",IFERROR(ROUND((N($H144)+N($J144))/(N($G144)+N($I144)),2),0))</f>
        <v/>
      </c>
      <c r="L144" s="27">
        <f>IF($A144="","",SUMIFS(入库单!$K$4:$K$2503,入库单!$G$4:$G$2503,$A144,入库单!$X$4:$X$2503,"盘盈",入库单!$Z$4:$Z$2503,"正常",入库单!$C$4:$C$2503,"&gt;="&amp;账期起,入库单!$C$4:$C$2503,"&lt;="&amp;账期止))</f>
        <v/>
      </c>
      <c r="M144" s="26">
        <f>IF($A144="","",ROUND($L144*$K144,0))</f>
        <v/>
      </c>
      <c r="N144" s="27">
        <f>IF($A144="","",SUMIFS(入库单!$K$4:$K$2503,入库单!$G$4:$G$2503,$A144,入库单!$X$4:$X$2503,"矿区退库",入库单!$Z$4:$Z$2503,"正常",入库单!$C$4:$C$2503,"&gt;="&amp;账期起,入库单!$C$4:$C$2503,"&lt;="&amp;账期止))</f>
        <v/>
      </c>
      <c r="O144" s="26">
        <f>IF($A144="","",ROUND($N144*$K144,0))</f>
        <v/>
      </c>
      <c r="P144" s="27">
        <f>IF($A144="","",SUMIFS(出库单!$J$4:$J$4003,出库单!$D$4:$D$4003,$A144,出库单!$K$4:$K$4003,"自用消耗",出库单!$U$4:$U$4003,"正常",出库单!$C$4:$C$4003,"&gt;="&amp;账期起,出库单!$C$4:$C$4003,"&lt;="&amp;账期止))</f>
        <v/>
      </c>
      <c r="Q144" s="26">
        <f>IF($A144="","",ROUND(SUMIFS(出库单!$S$4:$S$4003,出库单!$D$4:$D$4003,$A144,出库单!$K$4:$K$4003,"自用消耗",出库单!$U$4:$U$4003,"正常",出库单!$C$4:$C$4003,"&gt;="&amp;账期起,出库单!$C$4:$C$4003,"&lt;="&amp;账期止),0))</f>
        <v/>
      </c>
      <c r="R144" s="27">
        <f>IF($A144="","",SUMIFS(出库单!$J$4:$J$4003,出库单!$D$4:$D$4003,$A144,出库单!$K$4:$K$4003,"对外销售",出库单!$U$4:$U$4003,"正常",出库单!$C$4:$C$4003,"&gt;="&amp;账期起,出库单!$C$4:$C$4003,"&lt;="&amp;账期止))</f>
        <v/>
      </c>
      <c r="S144" s="26">
        <f>IF($A144="","",ROUND(SUMIFS(出库单!$S$4:$S$4003,出库单!$D$4:$D$4003,$A144,出库单!$K$4:$K$4003,"对外销售",出库单!$U$4:$U$4003,"正常",出库单!$C$4:$C$4003,"&gt;="&amp;账期起,出库单!$C$4:$C$4003,"&lt;="&amp;账期止),0))</f>
        <v/>
      </c>
      <c r="T144" s="27">
        <f>IF($A144="","",SUMIFS(出库单!$J$4:$J$4003,出库单!$D$4:$D$4003,$A144,出库单!$K$4:$K$4003,"盘亏",出库单!$U$4:$U$4003,"正常",出库单!$C$4:$C$4003,"&gt;="&amp;账期起,出库单!$C$4:$C$4003,"&lt;="&amp;账期止))</f>
        <v/>
      </c>
      <c r="U144" s="26">
        <f>IF($A144="","",ROUND(SUMIFS(出库单!$S$4:$S$4003,出库单!$D$4:$D$4003,$A144,出库单!$K$4:$K$4003,"盘亏",出库单!$U$4:$U$4003,"正常",出库单!$C$4:$C$4003,"&gt;="&amp;账期起,出库单!$C$4:$C$4003,"&lt;="&amp;账期止),0))</f>
        <v/>
      </c>
      <c r="V144" s="27">
        <f>IF($A144="","",SUMIFS(出库单!$J$4:$J$4003,出库单!$D$4:$D$4003,$A144,出库单!$K$4:$K$4003,"退货给供应商",出库单!$U$4:$U$4003,"正常",出库单!$C$4:$C$4003,"&gt;="&amp;账期起,出库单!$C$4:$C$4003,"&lt;="&amp;账期止))</f>
        <v/>
      </c>
      <c r="W144" s="26">
        <f>IF($A144="","",ROUND(SUMIFS(出库单!$S$4:$S$4003,出库单!$D$4:$D$4003,$A144,出库单!$K$4:$K$4003,"退货给供应商",出库单!$U$4:$U$4003,"正常",出库单!$C$4:$C$4003,"&gt;="&amp;账期起,出库单!$C$4:$C$4003,"&lt;="&amp;账期止),0))</f>
        <v/>
      </c>
      <c r="X144" s="27">
        <f>IF($A144="","",ROUND(N($G144)+$I144+$L144+$N144-$P144-$R144-$T144-$V144,3))</f>
        <v/>
      </c>
      <c r="Y144" s="26">
        <f>IF($A144="","",ROUND(N($H144)+$J144+$M144+$O144-$Q144-$S144-$U144-$W144,0))</f>
        <v/>
      </c>
      <c r="Z144" s="24">
        <f>IF($A144="","",IF(COUNTIFS(入库单!$G$4:$G$2503,$A144,入库单!$Y$4:$Y$2503,"待补价")+COUNTIFS(入库单!$G$4:$G$2503,$A144,入库单!$Y$4:$Y$2503,"暂估")&gt;0,"不可信","可信"))</f>
        <v/>
      </c>
      <c r="AA144" s="24">
        <f>IF($A144="","",IF($X144&lt;-0.001,"※账面负库存，查一下是不是漏记入库",IF(AND(ROUND($X144,3)=0,ABS($Y144)&gt;1),"※数量已经是 0，金额还挂着 "&amp;TEXT($Y144,"#,##0")&amp;" 先令",IF(AND($X144&gt;0,$Y144&lt;=0,$K144=0),"※有数量没金额（这个物料一直没填过进价）",IF($Z144="不可信","△成本含待补价/暂估，毛利仅供参考","")))))</f>
        <v/>
      </c>
    </row>
    <row r="145">
      <c r="A145" s="24">
        <f>IF(物料档案!$A144="","",物料档案!$A144)</f>
        <v/>
      </c>
      <c r="B145" s="24">
        <f>IF($A145="","",IFERROR(VLOOKUP($A145,物料档案!$A$4:$P$1203,3,0),""))</f>
        <v/>
      </c>
      <c r="C145" s="24">
        <f>IF($A145="","",IFERROR(VLOOKUP($A145,物料档案!$A$4:$P$1203,4,0),""))</f>
        <v/>
      </c>
      <c r="D145" s="24">
        <f>IF($A145="","",IFERROR(VLOOKUP($A145,物料档案!$A$4:$P$1203,5,0),""))</f>
        <v/>
      </c>
      <c r="E145" s="24">
        <f>IF($A145="","",IFERROR(VLOOKUP($A145,物料档案!$A$4:$P$1203,2,0),""))</f>
        <v/>
      </c>
      <c r="F145" s="24">
        <f>IF($A145="","",IFERROR(VLOOKUP($A145,物料档案!$A$4:$P$1203,6,0),""))</f>
        <v/>
      </c>
      <c r="G145" s="23" t="n"/>
      <c r="H145" s="32" t="n"/>
      <c r="I145" s="27">
        <f>IF($A145="","",SUMIFS(入库单!$K$4:$K$2503,入库单!$G$4:$G$2503,$A145,入库单!$X$4:$X$2503,"采购入库",入库单!$Z$4:$Z$2503,"正常",入库单!$C$4:$C$2503,"&gt;="&amp;账期起,入库单!$C$4:$C$2503,"&lt;="&amp;账期止))</f>
        <v/>
      </c>
      <c r="J145" s="26">
        <f>IF($A145="","",SUMIFS(入库单!$V$4:$V$2503,入库单!$G$4:$G$2503,$A145,入库单!$X$4:$X$2503,"采购入库",入库单!$Z$4:$Z$2503,"正常",入库单!$C$4:$C$2503,"&gt;="&amp;账期起,入库单!$C$4:$C$2503,"&lt;="&amp;账期止))</f>
        <v/>
      </c>
      <c r="K145" s="26">
        <f>IF($A145="","",IFERROR(ROUND((N($H145)+N($J145))/(N($G145)+N($I145)),2),0))</f>
        <v/>
      </c>
      <c r="L145" s="27">
        <f>IF($A145="","",SUMIFS(入库单!$K$4:$K$2503,入库单!$G$4:$G$2503,$A145,入库单!$X$4:$X$2503,"盘盈",入库单!$Z$4:$Z$2503,"正常",入库单!$C$4:$C$2503,"&gt;="&amp;账期起,入库单!$C$4:$C$2503,"&lt;="&amp;账期止))</f>
        <v/>
      </c>
      <c r="M145" s="26">
        <f>IF($A145="","",ROUND($L145*$K145,0))</f>
        <v/>
      </c>
      <c r="N145" s="27">
        <f>IF($A145="","",SUMIFS(入库单!$K$4:$K$2503,入库单!$G$4:$G$2503,$A145,入库单!$X$4:$X$2503,"矿区退库",入库单!$Z$4:$Z$2503,"正常",入库单!$C$4:$C$2503,"&gt;="&amp;账期起,入库单!$C$4:$C$2503,"&lt;="&amp;账期止))</f>
        <v/>
      </c>
      <c r="O145" s="26">
        <f>IF($A145="","",ROUND($N145*$K145,0))</f>
        <v/>
      </c>
      <c r="P145" s="27">
        <f>IF($A145="","",SUMIFS(出库单!$J$4:$J$4003,出库单!$D$4:$D$4003,$A145,出库单!$K$4:$K$4003,"自用消耗",出库单!$U$4:$U$4003,"正常",出库单!$C$4:$C$4003,"&gt;="&amp;账期起,出库单!$C$4:$C$4003,"&lt;="&amp;账期止))</f>
        <v/>
      </c>
      <c r="Q145" s="26">
        <f>IF($A145="","",ROUND(SUMIFS(出库单!$S$4:$S$4003,出库单!$D$4:$D$4003,$A145,出库单!$K$4:$K$4003,"自用消耗",出库单!$U$4:$U$4003,"正常",出库单!$C$4:$C$4003,"&gt;="&amp;账期起,出库单!$C$4:$C$4003,"&lt;="&amp;账期止),0))</f>
        <v/>
      </c>
      <c r="R145" s="27">
        <f>IF($A145="","",SUMIFS(出库单!$J$4:$J$4003,出库单!$D$4:$D$4003,$A145,出库单!$K$4:$K$4003,"对外销售",出库单!$U$4:$U$4003,"正常",出库单!$C$4:$C$4003,"&gt;="&amp;账期起,出库单!$C$4:$C$4003,"&lt;="&amp;账期止))</f>
        <v/>
      </c>
      <c r="S145" s="26">
        <f>IF($A145="","",ROUND(SUMIFS(出库单!$S$4:$S$4003,出库单!$D$4:$D$4003,$A145,出库单!$K$4:$K$4003,"对外销售",出库单!$U$4:$U$4003,"正常",出库单!$C$4:$C$4003,"&gt;="&amp;账期起,出库单!$C$4:$C$4003,"&lt;="&amp;账期止),0))</f>
        <v/>
      </c>
      <c r="T145" s="27">
        <f>IF($A145="","",SUMIFS(出库单!$J$4:$J$4003,出库单!$D$4:$D$4003,$A145,出库单!$K$4:$K$4003,"盘亏",出库单!$U$4:$U$4003,"正常",出库单!$C$4:$C$4003,"&gt;="&amp;账期起,出库单!$C$4:$C$4003,"&lt;="&amp;账期止))</f>
        <v/>
      </c>
      <c r="U145" s="26">
        <f>IF($A145="","",ROUND(SUMIFS(出库单!$S$4:$S$4003,出库单!$D$4:$D$4003,$A145,出库单!$K$4:$K$4003,"盘亏",出库单!$U$4:$U$4003,"正常",出库单!$C$4:$C$4003,"&gt;="&amp;账期起,出库单!$C$4:$C$4003,"&lt;="&amp;账期止),0))</f>
        <v/>
      </c>
      <c r="V145" s="27">
        <f>IF($A145="","",SUMIFS(出库单!$J$4:$J$4003,出库单!$D$4:$D$4003,$A145,出库单!$K$4:$K$4003,"退货给供应商",出库单!$U$4:$U$4003,"正常",出库单!$C$4:$C$4003,"&gt;="&amp;账期起,出库单!$C$4:$C$4003,"&lt;="&amp;账期止))</f>
        <v/>
      </c>
      <c r="W145" s="26">
        <f>IF($A145="","",ROUND(SUMIFS(出库单!$S$4:$S$4003,出库单!$D$4:$D$4003,$A145,出库单!$K$4:$K$4003,"退货给供应商",出库单!$U$4:$U$4003,"正常",出库单!$C$4:$C$4003,"&gt;="&amp;账期起,出库单!$C$4:$C$4003,"&lt;="&amp;账期止),0))</f>
        <v/>
      </c>
      <c r="X145" s="27">
        <f>IF($A145="","",ROUND(N($G145)+$I145+$L145+$N145-$P145-$R145-$T145-$V145,3))</f>
        <v/>
      </c>
      <c r="Y145" s="26">
        <f>IF($A145="","",ROUND(N($H145)+$J145+$M145+$O145-$Q145-$S145-$U145-$W145,0))</f>
        <v/>
      </c>
      <c r="Z145" s="24">
        <f>IF($A145="","",IF(COUNTIFS(入库单!$G$4:$G$2503,$A145,入库单!$Y$4:$Y$2503,"待补价")+COUNTIFS(入库单!$G$4:$G$2503,$A145,入库单!$Y$4:$Y$2503,"暂估")&gt;0,"不可信","可信"))</f>
        <v/>
      </c>
      <c r="AA145" s="24">
        <f>IF($A145="","",IF($X145&lt;-0.001,"※账面负库存，查一下是不是漏记入库",IF(AND(ROUND($X145,3)=0,ABS($Y145)&gt;1),"※数量已经是 0，金额还挂着 "&amp;TEXT($Y145,"#,##0")&amp;" 先令",IF(AND($X145&gt;0,$Y145&lt;=0,$K145=0),"※有数量没金额（这个物料一直没填过进价）",IF($Z145="不可信","△成本含待补价/暂估，毛利仅供参考","")))))</f>
        <v/>
      </c>
    </row>
    <row r="146">
      <c r="A146" s="24">
        <f>IF(物料档案!$A145="","",物料档案!$A145)</f>
        <v/>
      </c>
      <c r="B146" s="24">
        <f>IF($A146="","",IFERROR(VLOOKUP($A146,物料档案!$A$4:$P$1203,3,0),""))</f>
        <v/>
      </c>
      <c r="C146" s="24">
        <f>IF($A146="","",IFERROR(VLOOKUP($A146,物料档案!$A$4:$P$1203,4,0),""))</f>
        <v/>
      </c>
      <c r="D146" s="24">
        <f>IF($A146="","",IFERROR(VLOOKUP($A146,物料档案!$A$4:$P$1203,5,0),""))</f>
        <v/>
      </c>
      <c r="E146" s="24">
        <f>IF($A146="","",IFERROR(VLOOKUP($A146,物料档案!$A$4:$P$1203,2,0),""))</f>
        <v/>
      </c>
      <c r="F146" s="24">
        <f>IF($A146="","",IFERROR(VLOOKUP($A146,物料档案!$A$4:$P$1203,6,0),""))</f>
        <v/>
      </c>
      <c r="G146" s="23" t="n"/>
      <c r="H146" s="32" t="n"/>
      <c r="I146" s="27">
        <f>IF($A146="","",SUMIFS(入库单!$K$4:$K$2503,入库单!$G$4:$G$2503,$A146,入库单!$X$4:$X$2503,"采购入库",入库单!$Z$4:$Z$2503,"正常",入库单!$C$4:$C$2503,"&gt;="&amp;账期起,入库单!$C$4:$C$2503,"&lt;="&amp;账期止))</f>
        <v/>
      </c>
      <c r="J146" s="26">
        <f>IF($A146="","",SUMIFS(入库单!$V$4:$V$2503,入库单!$G$4:$G$2503,$A146,入库单!$X$4:$X$2503,"采购入库",入库单!$Z$4:$Z$2503,"正常",入库单!$C$4:$C$2503,"&gt;="&amp;账期起,入库单!$C$4:$C$2503,"&lt;="&amp;账期止))</f>
        <v/>
      </c>
      <c r="K146" s="26">
        <f>IF($A146="","",IFERROR(ROUND((N($H146)+N($J146))/(N($G146)+N($I146)),2),0))</f>
        <v/>
      </c>
      <c r="L146" s="27">
        <f>IF($A146="","",SUMIFS(入库单!$K$4:$K$2503,入库单!$G$4:$G$2503,$A146,入库单!$X$4:$X$2503,"盘盈",入库单!$Z$4:$Z$2503,"正常",入库单!$C$4:$C$2503,"&gt;="&amp;账期起,入库单!$C$4:$C$2503,"&lt;="&amp;账期止))</f>
        <v/>
      </c>
      <c r="M146" s="26">
        <f>IF($A146="","",ROUND($L146*$K146,0))</f>
        <v/>
      </c>
      <c r="N146" s="27">
        <f>IF($A146="","",SUMIFS(入库单!$K$4:$K$2503,入库单!$G$4:$G$2503,$A146,入库单!$X$4:$X$2503,"矿区退库",入库单!$Z$4:$Z$2503,"正常",入库单!$C$4:$C$2503,"&gt;="&amp;账期起,入库单!$C$4:$C$2503,"&lt;="&amp;账期止))</f>
        <v/>
      </c>
      <c r="O146" s="26">
        <f>IF($A146="","",ROUND($N146*$K146,0))</f>
        <v/>
      </c>
      <c r="P146" s="27">
        <f>IF($A146="","",SUMIFS(出库单!$J$4:$J$4003,出库单!$D$4:$D$4003,$A146,出库单!$K$4:$K$4003,"自用消耗",出库单!$U$4:$U$4003,"正常",出库单!$C$4:$C$4003,"&gt;="&amp;账期起,出库单!$C$4:$C$4003,"&lt;="&amp;账期止))</f>
        <v/>
      </c>
      <c r="Q146" s="26">
        <f>IF($A146="","",ROUND(SUMIFS(出库单!$S$4:$S$4003,出库单!$D$4:$D$4003,$A146,出库单!$K$4:$K$4003,"自用消耗",出库单!$U$4:$U$4003,"正常",出库单!$C$4:$C$4003,"&gt;="&amp;账期起,出库单!$C$4:$C$4003,"&lt;="&amp;账期止),0))</f>
        <v/>
      </c>
      <c r="R146" s="27">
        <f>IF($A146="","",SUMIFS(出库单!$J$4:$J$4003,出库单!$D$4:$D$4003,$A146,出库单!$K$4:$K$4003,"对外销售",出库单!$U$4:$U$4003,"正常",出库单!$C$4:$C$4003,"&gt;="&amp;账期起,出库单!$C$4:$C$4003,"&lt;="&amp;账期止))</f>
        <v/>
      </c>
      <c r="S146" s="26">
        <f>IF($A146="","",ROUND(SUMIFS(出库单!$S$4:$S$4003,出库单!$D$4:$D$4003,$A146,出库单!$K$4:$K$4003,"对外销售",出库单!$U$4:$U$4003,"正常",出库单!$C$4:$C$4003,"&gt;="&amp;账期起,出库单!$C$4:$C$4003,"&lt;="&amp;账期止),0))</f>
        <v/>
      </c>
      <c r="T146" s="27">
        <f>IF($A146="","",SUMIFS(出库单!$J$4:$J$4003,出库单!$D$4:$D$4003,$A146,出库单!$K$4:$K$4003,"盘亏",出库单!$U$4:$U$4003,"正常",出库单!$C$4:$C$4003,"&gt;="&amp;账期起,出库单!$C$4:$C$4003,"&lt;="&amp;账期止))</f>
        <v/>
      </c>
      <c r="U146" s="26">
        <f>IF($A146="","",ROUND(SUMIFS(出库单!$S$4:$S$4003,出库单!$D$4:$D$4003,$A146,出库单!$K$4:$K$4003,"盘亏",出库单!$U$4:$U$4003,"正常",出库单!$C$4:$C$4003,"&gt;="&amp;账期起,出库单!$C$4:$C$4003,"&lt;="&amp;账期止),0))</f>
        <v/>
      </c>
      <c r="V146" s="27">
        <f>IF($A146="","",SUMIFS(出库单!$J$4:$J$4003,出库单!$D$4:$D$4003,$A146,出库单!$K$4:$K$4003,"退货给供应商",出库单!$U$4:$U$4003,"正常",出库单!$C$4:$C$4003,"&gt;="&amp;账期起,出库单!$C$4:$C$4003,"&lt;="&amp;账期止))</f>
        <v/>
      </c>
      <c r="W146" s="26">
        <f>IF($A146="","",ROUND(SUMIFS(出库单!$S$4:$S$4003,出库单!$D$4:$D$4003,$A146,出库单!$K$4:$K$4003,"退货给供应商",出库单!$U$4:$U$4003,"正常",出库单!$C$4:$C$4003,"&gt;="&amp;账期起,出库单!$C$4:$C$4003,"&lt;="&amp;账期止),0))</f>
        <v/>
      </c>
      <c r="X146" s="27">
        <f>IF($A146="","",ROUND(N($G146)+$I146+$L146+$N146-$P146-$R146-$T146-$V146,3))</f>
        <v/>
      </c>
      <c r="Y146" s="26">
        <f>IF($A146="","",ROUND(N($H146)+$J146+$M146+$O146-$Q146-$S146-$U146-$W146,0))</f>
        <v/>
      </c>
      <c r="Z146" s="24">
        <f>IF($A146="","",IF(COUNTIFS(入库单!$G$4:$G$2503,$A146,入库单!$Y$4:$Y$2503,"待补价")+COUNTIFS(入库单!$G$4:$G$2503,$A146,入库单!$Y$4:$Y$2503,"暂估")&gt;0,"不可信","可信"))</f>
        <v/>
      </c>
      <c r="AA146" s="24">
        <f>IF($A146="","",IF($X146&lt;-0.001,"※账面负库存，查一下是不是漏记入库",IF(AND(ROUND($X146,3)=0,ABS($Y146)&gt;1),"※数量已经是 0，金额还挂着 "&amp;TEXT($Y146,"#,##0")&amp;" 先令",IF(AND($X146&gt;0,$Y146&lt;=0,$K146=0),"※有数量没金额（这个物料一直没填过进价）",IF($Z146="不可信","△成本含待补价/暂估，毛利仅供参考","")))))</f>
        <v/>
      </c>
    </row>
    <row r="147">
      <c r="A147" s="24">
        <f>IF(物料档案!$A146="","",物料档案!$A146)</f>
        <v/>
      </c>
      <c r="B147" s="24">
        <f>IF($A147="","",IFERROR(VLOOKUP($A147,物料档案!$A$4:$P$1203,3,0),""))</f>
        <v/>
      </c>
      <c r="C147" s="24">
        <f>IF($A147="","",IFERROR(VLOOKUP($A147,物料档案!$A$4:$P$1203,4,0),""))</f>
        <v/>
      </c>
      <c r="D147" s="24">
        <f>IF($A147="","",IFERROR(VLOOKUP($A147,物料档案!$A$4:$P$1203,5,0),""))</f>
        <v/>
      </c>
      <c r="E147" s="24">
        <f>IF($A147="","",IFERROR(VLOOKUP($A147,物料档案!$A$4:$P$1203,2,0),""))</f>
        <v/>
      </c>
      <c r="F147" s="24">
        <f>IF($A147="","",IFERROR(VLOOKUP($A147,物料档案!$A$4:$P$1203,6,0),""))</f>
        <v/>
      </c>
      <c r="G147" s="23" t="n"/>
      <c r="H147" s="32" t="n"/>
      <c r="I147" s="27">
        <f>IF($A147="","",SUMIFS(入库单!$K$4:$K$2503,入库单!$G$4:$G$2503,$A147,入库单!$X$4:$X$2503,"采购入库",入库单!$Z$4:$Z$2503,"正常",入库单!$C$4:$C$2503,"&gt;="&amp;账期起,入库单!$C$4:$C$2503,"&lt;="&amp;账期止))</f>
        <v/>
      </c>
      <c r="J147" s="26">
        <f>IF($A147="","",SUMIFS(入库单!$V$4:$V$2503,入库单!$G$4:$G$2503,$A147,入库单!$X$4:$X$2503,"采购入库",入库单!$Z$4:$Z$2503,"正常",入库单!$C$4:$C$2503,"&gt;="&amp;账期起,入库单!$C$4:$C$2503,"&lt;="&amp;账期止))</f>
        <v/>
      </c>
      <c r="K147" s="26">
        <f>IF($A147="","",IFERROR(ROUND((N($H147)+N($J147))/(N($G147)+N($I147)),2),0))</f>
        <v/>
      </c>
      <c r="L147" s="27">
        <f>IF($A147="","",SUMIFS(入库单!$K$4:$K$2503,入库单!$G$4:$G$2503,$A147,入库单!$X$4:$X$2503,"盘盈",入库单!$Z$4:$Z$2503,"正常",入库单!$C$4:$C$2503,"&gt;="&amp;账期起,入库单!$C$4:$C$2503,"&lt;="&amp;账期止))</f>
        <v/>
      </c>
      <c r="M147" s="26">
        <f>IF($A147="","",ROUND($L147*$K147,0))</f>
        <v/>
      </c>
      <c r="N147" s="27">
        <f>IF($A147="","",SUMIFS(入库单!$K$4:$K$2503,入库单!$G$4:$G$2503,$A147,入库单!$X$4:$X$2503,"矿区退库",入库单!$Z$4:$Z$2503,"正常",入库单!$C$4:$C$2503,"&gt;="&amp;账期起,入库单!$C$4:$C$2503,"&lt;="&amp;账期止))</f>
        <v/>
      </c>
      <c r="O147" s="26">
        <f>IF($A147="","",ROUND($N147*$K147,0))</f>
        <v/>
      </c>
      <c r="P147" s="27">
        <f>IF($A147="","",SUMIFS(出库单!$J$4:$J$4003,出库单!$D$4:$D$4003,$A147,出库单!$K$4:$K$4003,"自用消耗",出库单!$U$4:$U$4003,"正常",出库单!$C$4:$C$4003,"&gt;="&amp;账期起,出库单!$C$4:$C$4003,"&lt;="&amp;账期止))</f>
        <v/>
      </c>
      <c r="Q147" s="26">
        <f>IF($A147="","",ROUND(SUMIFS(出库单!$S$4:$S$4003,出库单!$D$4:$D$4003,$A147,出库单!$K$4:$K$4003,"自用消耗",出库单!$U$4:$U$4003,"正常",出库单!$C$4:$C$4003,"&gt;="&amp;账期起,出库单!$C$4:$C$4003,"&lt;="&amp;账期止),0))</f>
        <v/>
      </c>
      <c r="R147" s="27">
        <f>IF($A147="","",SUMIFS(出库单!$J$4:$J$4003,出库单!$D$4:$D$4003,$A147,出库单!$K$4:$K$4003,"对外销售",出库单!$U$4:$U$4003,"正常",出库单!$C$4:$C$4003,"&gt;="&amp;账期起,出库单!$C$4:$C$4003,"&lt;="&amp;账期止))</f>
        <v/>
      </c>
      <c r="S147" s="26">
        <f>IF($A147="","",ROUND(SUMIFS(出库单!$S$4:$S$4003,出库单!$D$4:$D$4003,$A147,出库单!$K$4:$K$4003,"对外销售",出库单!$U$4:$U$4003,"正常",出库单!$C$4:$C$4003,"&gt;="&amp;账期起,出库单!$C$4:$C$4003,"&lt;="&amp;账期止),0))</f>
        <v/>
      </c>
      <c r="T147" s="27">
        <f>IF($A147="","",SUMIFS(出库单!$J$4:$J$4003,出库单!$D$4:$D$4003,$A147,出库单!$K$4:$K$4003,"盘亏",出库单!$U$4:$U$4003,"正常",出库单!$C$4:$C$4003,"&gt;="&amp;账期起,出库单!$C$4:$C$4003,"&lt;="&amp;账期止))</f>
        <v/>
      </c>
      <c r="U147" s="26">
        <f>IF($A147="","",ROUND(SUMIFS(出库单!$S$4:$S$4003,出库单!$D$4:$D$4003,$A147,出库单!$K$4:$K$4003,"盘亏",出库单!$U$4:$U$4003,"正常",出库单!$C$4:$C$4003,"&gt;="&amp;账期起,出库单!$C$4:$C$4003,"&lt;="&amp;账期止),0))</f>
        <v/>
      </c>
      <c r="V147" s="27">
        <f>IF($A147="","",SUMIFS(出库单!$J$4:$J$4003,出库单!$D$4:$D$4003,$A147,出库单!$K$4:$K$4003,"退货给供应商",出库单!$U$4:$U$4003,"正常",出库单!$C$4:$C$4003,"&gt;="&amp;账期起,出库单!$C$4:$C$4003,"&lt;="&amp;账期止))</f>
        <v/>
      </c>
      <c r="W147" s="26">
        <f>IF($A147="","",ROUND(SUMIFS(出库单!$S$4:$S$4003,出库单!$D$4:$D$4003,$A147,出库单!$K$4:$K$4003,"退货给供应商",出库单!$U$4:$U$4003,"正常",出库单!$C$4:$C$4003,"&gt;="&amp;账期起,出库单!$C$4:$C$4003,"&lt;="&amp;账期止),0))</f>
        <v/>
      </c>
      <c r="X147" s="27">
        <f>IF($A147="","",ROUND(N($G147)+$I147+$L147+$N147-$P147-$R147-$T147-$V147,3))</f>
        <v/>
      </c>
      <c r="Y147" s="26">
        <f>IF($A147="","",ROUND(N($H147)+$J147+$M147+$O147-$Q147-$S147-$U147-$W147,0))</f>
        <v/>
      </c>
      <c r="Z147" s="24">
        <f>IF($A147="","",IF(COUNTIFS(入库单!$G$4:$G$2503,$A147,入库单!$Y$4:$Y$2503,"待补价")+COUNTIFS(入库单!$G$4:$G$2503,$A147,入库单!$Y$4:$Y$2503,"暂估")&gt;0,"不可信","可信"))</f>
        <v/>
      </c>
      <c r="AA147" s="24">
        <f>IF($A147="","",IF($X147&lt;-0.001,"※账面负库存，查一下是不是漏记入库",IF(AND(ROUND($X147,3)=0,ABS($Y147)&gt;1),"※数量已经是 0，金额还挂着 "&amp;TEXT($Y147,"#,##0")&amp;" 先令",IF(AND($X147&gt;0,$Y147&lt;=0,$K147=0),"※有数量没金额（这个物料一直没填过进价）",IF($Z147="不可信","△成本含待补价/暂估，毛利仅供参考","")))))</f>
        <v/>
      </c>
    </row>
    <row r="148">
      <c r="A148" s="24">
        <f>IF(物料档案!$A147="","",物料档案!$A147)</f>
        <v/>
      </c>
      <c r="B148" s="24">
        <f>IF($A148="","",IFERROR(VLOOKUP($A148,物料档案!$A$4:$P$1203,3,0),""))</f>
        <v/>
      </c>
      <c r="C148" s="24">
        <f>IF($A148="","",IFERROR(VLOOKUP($A148,物料档案!$A$4:$P$1203,4,0),""))</f>
        <v/>
      </c>
      <c r="D148" s="24">
        <f>IF($A148="","",IFERROR(VLOOKUP($A148,物料档案!$A$4:$P$1203,5,0),""))</f>
        <v/>
      </c>
      <c r="E148" s="24">
        <f>IF($A148="","",IFERROR(VLOOKUP($A148,物料档案!$A$4:$P$1203,2,0),""))</f>
        <v/>
      </c>
      <c r="F148" s="24">
        <f>IF($A148="","",IFERROR(VLOOKUP($A148,物料档案!$A$4:$P$1203,6,0),""))</f>
        <v/>
      </c>
      <c r="G148" s="23" t="n"/>
      <c r="H148" s="32" t="n"/>
      <c r="I148" s="27">
        <f>IF($A148="","",SUMIFS(入库单!$K$4:$K$2503,入库单!$G$4:$G$2503,$A148,入库单!$X$4:$X$2503,"采购入库",入库单!$Z$4:$Z$2503,"正常",入库单!$C$4:$C$2503,"&gt;="&amp;账期起,入库单!$C$4:$C$2503,"&lt;="&amp;账期止))</f>
        <v/>
      </c>
      <c r="J148" s="26">
        <f>IF($A148="","",SUMIFS(入库单!$V$4:$V$2503,入库单!$G$4:$G$2503,$A148,入库单!$X$4:$X$2503,"采购入库",入库单!$Z$4:$Z$2503,"正常",入库单!$C$4:$C$2503,"&gt;="&amp;账期起,入库单!$C$4:$C$2503,"&lt;="&amp;账期止))</f>
        <v/>
      </c>
      <c r="K148" s="26">
        <f>IF($A148="","",IFERROR(ROUND((N($H148)+N($J148))/(N($G148)+N($I148)),2),0))</f>
        <v/>
      </c>
      <c r="L148" s="27">
        <f>IF($A148="","",SUMIFS(入库单!$K$4:$K$2503,入库单!$G$4:$G$2503,$A148,入库单!$X$4:$X$2503,"盘盈",入库单!$Z$4:$Z$2503,"正常",入库单!$C$4:$C$2503,"&gt;="&amp;账期起,入库单!$C$4:$C$2503,"&lt;="&amp;账期止))</f>
        <v/>
      </c>
      <c r="M148" s="26">
        <f>IF($A148="","",ROUND($L148*$K148,0))</f>
        <v/>
      </c>
      <c r="N148" s="27">
        <f>IF($A148="","",SUMIFS(入库单!$K$4:$K$2503,入库单!$G$4:$G$2503,$A148,入库单!$X$4:$X$2503,"矿区退库",入库单!$Z$4:$Z$2503,"正常",入库单!$C$4:$C$2503,"&gt;="&amp;账期起,入库单!$C$4:$C$2503,"&lt;="&amp;账期止))</f>
        <v/>
      </c>
      <c r="O148" s="26">
        <f>IF($A148="","",ROUND($N148*$K148,0))</f>
        <v/>
      </c>
      <c r="P148" s="27">
        <f>IF($A148="","",SUMIFS(出库单!$J$4:$J$4003,出库单!$D$4:$D$4003,$A148,出库单!$K$4:$K$4003,"自用消耗",出库单!$U$4:$U$4003,"正常",出库单!$C$4:$C$4003,"&gt;="&amp;账期起,出库单!$C$4:$C$4003,"&lt;="&amp;账期止))</f>
        <v/>
      </c>
      <c r="Q148" s="26">
        <f>IF($A148="","",ROUND(SUMIFS(出库单!$S$4:$S$4003,出库单!$D$4:$D$4003,$A148,出库单!$K$4:$K$4003,"自用消耗",出库单!$U$4:$U$4003,"正常",出库单!$C$4:$C$4003,"&gt;="&amp;账期起,出库单!$C$4:$C$4003,"&lt;="&amp;账期止),0))</f>
        <v/>
      </c>
      <c r="R148" s="27">
        <f>IF($A148="","",SUMIFS(出库单!$J$4:$J$4003,出库单!$D$4:$D$4003,$A148,出库单!$K$4:$K$4003,"对外销售",出库单!$U$4:$U$4003,"正常",出库单!$C$4:$C$4003,"&gt;="&amp;账期起,出库单!$C$4:$C$4003,"&lt;="&amp;账期止))</f>
        <v/>
      </c>
      <c r="S148" s="26">
        <f>IF($A148="","",ROUND(SUMIFS(出库单!$S$4:$S$4003,出库单!$D$4:$D$4003,$A148,出库单!$K$4:$K$4003,"对外销售",出库单!$U$4:$U$4003,"正常",出库单!$C$4:$C$4003,"&gt;="&amp;账期起,出库单!$C$4:$C$4003,"&lt;="&amp;账期止),0))</f>
        <v/>
      </c>
      <c r="T148" s="27">
        <f>IF($A148="","",SUMIFS(出库单!$J$4:$J$4003,出库单!$D$4:$D$4003,$A148,出库单!$K$4:$K$4003,"盘亏",出库单!$U$4:$U$4003,"正常",出库单!$C$4:$C$4003,"&gt;="&amp;账期起,出库单!$C$4:$C$4003,"&lt;="&amp;账期止))</f>
        <v/>
      </c>
      <c r="U148" s="26">
        <f>IF($A148="","",ROUND(SUMIFS(出库单!$S$4:$S$4003,出库单!$D$4:$D$4003,$A148,出库单!$K$4:$K$4003,"盘亏",出库单!$U$4:$U$4003,"正常",出库单!$C$4:$C$4003,"&gt;="&amp;账期起,出库单!$C$4:$C$4003,"&lt;="&amp;账期止),0))</f>
        <v/>
      </c>
      <c r="V148" s="27">
        <f>IF($A148="","",SUMIFS(出库单!$J$4:$J$4003,出库单!$D$4:$D$4003,$A148,出库单!$K$4:$K$4003,"退货给供应商",出库单!$U$4:$U$4003,"正常",出库单!$C$4:$C$4003,"&gt;="&amp;账期起,出库单!$C$4:$C$4003,"&lt;="&amp;账期止))</f>
        <v/>
      </c>
      <c r="W148" s="26">
        <f>IF($A148="","",ROUND(SUMIFS(出库单!$S$4:$S$4003,出库单!$D$4:$D$4003,$A148,出库单!$K$4:$K$4003,"退货给供应商",出库单!$U$4:$U$4003,"正常",出库单!$C$4:$C$4003,"&gt;="&amp;账期起,出库单!$C$4:$C$4003,"&lt;="&amp;账期止),0))</f>
        <v/>
      </c>
      <c r="X148" s="27">
        <f>IF($A148="","",ROUND(N($G148)+$I148+$L148+$N148-$P148-$R148-$T148-$V148,3))</f>
        <v/>
      </c>
      <c r="Y148" s="26">
        <f>IF($A148="","",ROUND(N($H148)+$J148+$M148+$O148-$Q148-$S148-$U148-$W148,0))</f>
        <v/>
      </c>
      <c r="Z148" s="24">
        <f>IF($A148="","",IF(COUNTIFS(入库单!$G$4:$G$2503,$A148,入库单!$Y$4:$Y$2503,"待补价")+COUNTIFS(入库单!$G$4:$G$2503,$A148,入库单!$Y$4:$Y$2503,"暂估")&gt;0,"不可信","可信"))</f>
        <v/>
      </c>
      <c r="AA148" s="24">
        <f>IF($A148="","",IF($X148&lt;-0.001,"※账面负库存，查一下是不是漏记入库",IF(AND(ROUND($X148,3)=0,ABS($Y148)&gt;1),"※数量已经是 0，金额还挂着 "&amp;TEXT($Y148,"#,##0")&amp;" 先令",IF(AND($X148&gt;0,$Y148&lt;=0,$K148=0),"※有数量没金额（这个物料一直没填过进价）",IF($Z148="不可信","△成本含待补价/暂估，毛利仅供参考","")))))</f>
        <v/>
      </c>
    </row>
    <row r="149">
      <c r="A149" s="24">
        <f>IF(物料档案!$A148="","",物料档案!$A148)</f>
        <v/>
      </c>
      <c r="B149" s="24">
        <f>IF($A149="","",IFERROR(VLOOKUP($A149,物料档案!$A$4:$P$1203,3,0),""))</f>
        <v/>
      </c>
      <c r="C149" s="24">
        <f>IF($A149="","",IFERROR(VLOOKUP($A149,物料档案!$A$4:$P$1203,4,0),""))</f>
        <v/>
      </c>
      <c r="D149" s="24">
        <f>IF($A149="","",IFERROR(VLOOKUP($A149,物料档案!$A$4:$P$1203,5,0),""))</f>
        <v/>
      </c>
      <c r="E149" s="24">
        <f>IF($A149="","",IFERROR(VLOOKUP($A149,物料档案!$A$4:$P$1203,2,0),""))</f>
        <v/>
      </c>
      <c r="F149" s="24">
        <f>IF($A149="","",IFERROR(VLOOKUP($A149,物料档案!$A$4:$P$1203,6,0),""))</f>
        <v/>
      </c>
      <c r="G149" s="23" t="n"/>
      <c r="H149" s="32" t="n"/>
      <c r="I149" s="27">
        <f>IF($A149="","",SUMIFS(入库单!$K$4:$K$2503,入库单!$G$4:$G$2503,$A149,入库单!$X$4:$X$2503,"采购入库",入库单!$Z$4:$Z$2503,"正常",入库单!$C$4:$C$2503,"&gt;="&amp;账期起,入库单!$C$4:$C$2503,"&lt;="&amp;账期止))</f>
        <v/>
      </c>
      <c r="J149" s="26">
        <f>IF($A149="","",SUMIFS(入库单!$V$4:$V$2503,入库单!$G$4:$G$2503,$A149,入库单!$X$4:$X$2503,"采购入库",入库单!$Z$4:$Z$2503,"正常",入库单!$C$4:$C$2503,"&gt;="&amp;账期起,入库单!$C$4:$C$2503,"&lt;="&amp;账期止))</f>
        <v/>
      </c>
      <c r="K149" s="26">
        <f>IF($A149="","",IFERROR(ROUND((N($H149)+N($J149))/(N($G149)+N($I149)),2),0))</f>
        <v/>
      </c>
      <c r="L149" s="27">
        <f>IF($A149="","",SUMIFS(入库单!$K$4:$K$2503,入库单!$G$4:$G$2503,$A149,入库单!$X$4:$X$2503,"盘盈",入库单!$Z$4:$Z$2503,"正常",入库单!$C$4:$C$2503,"&gt;="&amp;账期起,入库单!$C$4:$C$2503,"&lt;="&amp;账期止))</f>
        <v/>
      </c>
      <c r="M149" s="26">
        <f>IF($A149="","",ROUND($L149*$K149,0))</f>
        <v/>
      </c>
      <c r="N149" s="27">
        <f>IF($A149="","",SUMIFS(入库单!$K$4:$K$2503,入库单!$G$4:$G$2503,$A149,入库单!$X$4:$X$2503,"矿区退库",入库单!$Z$4:$Z$2503,"正常",入库单!$C$4:$C$2503,"&gt;="&amp;账期起,入库单!$C$4:$C$2503,"&lt;="&amp;账期止))</f>
        <v/>
      </c>
      <c r="O149" s="26">
        <f>IF($A149="","",ROUND($N149*$K149,0))</f>
        <v/>
      </c>
      <c r="P149" s="27">
        <f>IF($A149="","",SUMIFS(出库单!$J$4:$J$4003,出库单!$D$4:$D$4003,$A149,出库单!$K$4:$K$4003,"自用消耗",出库单!$U$4:$U$4003,"正常",出库单!$C$4:$C$4003,"&gt;="&amp;账期起,出库单!$C$4:$C$4003,"&lt;="&amp;账期止))</f>
        <v/>
      </c>
      <c r="Q149" s="26">
        <f>IF($A149="","",ROUND(SUMIFS(出库单!$S$4:$S$4003,出库单!$D$4:$D$4003,$A149,出库单!$K$4:$K$4003,"自用消耗",出库单!$U$4:$U$4003,"正常",出库单!$C$4:$C$4003,"&gt;="&amp;账期起,出库单!$C$4:$C$4003,"&lt;="&amp;账期止),0))</f>
        <v/>
      </c>
      <c r="R149" s="27">
        <f>IF($A149="","",SUMIFS(出库单!$J$4:$J$4003,出库单!$D$4:$D$4003,$A149,出库单!$K$4:$K$4003,"对外销售",出库单!$U$4:$U$4003,"正常",出库单!$C$4:$C$4003,"&gt;="&amp;账期起,出库单!$C$4:$C$4003,"&lt;="&amp;账期止))</f>
        <v/>
      </c>
      <c r="S149" s="26">
        <f>IF($A149="","",ROUND(SUMIFS(出库单!$S$4:$S$4003,出库单!$D$4:$D$4003,$A149,出库单!$K$4:$K$4003,"对外销售",出库单!$U$4:$U$4003,"正常",出库单!$C$4:$C$4003,"&gt;="&amp;账期起,出库单!$C$4:$C$4003,"&lt;="&amp;账期止),0))</f>
        <v/>
      </c>
      <c r="T149" s="27">
        <f>IF($A149="","",SUMIFS(出库单!$J$4:$J$4003,出库单!$D$4:$D$4003,$A149,出库单!$K$4:$K$4003,"盘亏",出库单!$U$4:$U$4003,"正常",出库单!$C$4:$C$4003,"&gt;="&amp;账期起,出库单!$C$4:$C$4003,"&lt;="&amp;账期止))</f>
        <v/>
      </c>
      <c r="U149" s="26">
        <f>IF($A149="","",ROUND(SUMIFS(出库单!$S$4:$S$4003,出库单!$D$4:$D$4003,$A149,出库单!$K$4:$K$4003,"盘亏",出库单!$U$4:$U$4003,"正常",出库单!$C$4:$C$4003,"&gt;="&amp;账期起,出库单!$C$4:$C$4003,"&lt;="&amp;账期止),0))</f>
        <v/>
      </c>
      <c r="V149" s="27">
        <f>IF($A149="","",SUMIFS(出库单!$J$4:$J$4003,出库单!$D$4:$D$4003,$A149,出库单!$K$4:$K$4003,"退货给供应商",出库单!$U$4:$U$4003,"正常",出库单!$C$4:$C$4003,"&gt;="&amp;账期起,出库单!$C$4:$C$4003,"&lt;="&amp;账期止))</f>
        <v/>
      </c>
      <c r="W149" s="26">
        <f>IF($A149="","",ROUND(SUMIFS(出库单!$S$4:$S$4003,出库单!$D$4:$D$4003,$A149,出库单!$K$4:$K$4003,"退货给供应商",出库单!$U$4:$U$4003,"正常",出库单!$C$4:$C$4003,"&gt;="&amp;账期起,出库单!$C$4:$C$4003,"&lt;="&amp;账期止),0))</f>
        <v/>
      </c>
      <c r="X149" s="27">
        <f>IF($A149="","",ROUND(N($G149)+$I149+$L149+$N149-$P149-$R149-$T149-$V149,3))</f>
        <v/>
      </c>
      <c r="Y149" s="26">
        <f>IF($A149="","",ROUND(N($H149)+$J149+$M149+$O149-$Q149-$S149-$U149-$W149,0))</f>
        <v/>
      </c>
      <c r="Z149" s="24">
        <f>IF($A149="","",IF(COUNTIFS(入库单!$G$4:$G$2503,$A149,入库单!$Y$4:$Y$2503,"待补价")+COUNTIFS(入库单!$G$4:$G$2503,$A149,入库单!$Y$4:$Y$2503,"暂估")&gt;0,"不可信","可信"))</f>
        <v/>
      </c>
      <c r="AA149" s="24">
        <f>IF($A149="","",IF($X149&lt;-0.001,"※账面负库存，查一下是不是漏记入库",IF(AND(ROUND($X149,3)=0,ABS($Y149)&gt;1),"※数量已经是 0，金额还挂着 "&amp;TEXT($Y149,"#,##0")&amp;" 先令",IF(AND($X149&gt;0,$Y149&lt;=0,$K149=0),"※有数量没金额（这个物料一直没填过进价）",IF($Z149="不可信","△成本含待补价/暂估，毛利仅供参考","")))))</f>
        <v/>
      </c>
    </row>
    <row r="150">
      <c r="A150" s="24">
        <f>IF(物料档案!$A149="","",物料档案!$A149)</f>
        <v/>
      </c>
      <c r="B150" s="24">
        <f>IF($A150="","",IFERROR(VLOOKUP($A150,物料档案!$A$4:$P$1203,3,0),""))</f>
        <v/>
      </c>
      <c r="C150" s="24">
        <f>IF($A150="","",IFERROR(VLOOKUP($A150,物料档案!$A$4:$P$1203,4,0),""))</f>
        <v/>
      </c>
      <c r="D150" s="24">
        <f>IF($A150="","",IFERROR(VLOOKUP($A150,物料档案!$A$4:$P$1203,5,0),""))</f>
        <v/>
      </c>
      <c r="E150" s="24">
        <f>IF($A150="","",IFERROR(VLOOKUP($A150,物料档案!$A$4:$P$1203,2,0),""))</f>
        <v/>
      </c>
      <c r="F150" s="24">
        <f>IF($A150="","",IFERROR(VLOOKUP($A150,物料档案!$A$4:$P$1203,6,0),""))</f>
        <v/>
      </c>
      <c r="G150" s="23" t="n"/>
      <c r="H150" s="32" t="n"/>
      <c r="I150" s="27">
        <f>IF($A150="","",SUMIFS(入库单!$K$4:$K$2503,入库单!$G$4:$G$2503,$A150,入库单!$X$4:$X$2503,"采购入库",入库单!$Z$4:$Z$2503,"正常",入库单!$C$4:$C$2503,"&gt;="&amp;账期起,入库单!$C$4:$C$2503,"&lt;="&amp;账期止))</f>
        <v/>
      </c>
      <c r="J150" s="26">
        <f>IF($A150="","",SUMIFS(入库单!$V$4:$V$2503,入库单!$G$4:$G$2503,$A150,入库单!$X$4:$X$2503,"采购入库",入库单!$Z$4:$Z$2503,"正常",入库单!$C$4:$C$2503,"&gt;="&amp;账期起,入库单!$C$4:$C$2503,"&lt;="&amp;账期止))</f>
        <v/>
      </c>
      <c r="K150" s="26">
        <f>IF($A150="","",IFERROR(ROUND((N($H150)+N($J150))/(N($G150)+N($I150)),2),0))</f>
        <v/>
      </c>
      <c r="L150" s="27">
        <f>IF($A150="","",SUMIFS(入库单!$K$4:$K$2503,入库单!$G$4:$G$2503,$A150,入库单!$X$4:$X$2503,"盘盈",入库单!$Z$4:$Z$2503,"正常",入库单!$C$4:$C$2503,"&gt;="&amp;账期起,入库单!$C$4:$C$2503,"&lt;="&amp;账期止))</f>
        <v/>
      </c>
      <c r="M150" s="26">
        <f>IF($A150="","",ROUND($L150*$K150,0))</f>
        <v/>
      </c>
      <c r="N150" s="27">
        <f>IF($A150="","",SUMIFS(入库单!$K$4:$K$2503,入库单!$G$4:$G$2503,$A150,入库单!$X$4:$X$2503,"矿区退库",入库单!$Z$4:$Z$2503,"正常",入库单!$C$4:$C$2503,"&gt;="&amp;账期起,入库单!$C$4:$C$2503,"&lt;="&amp;账期止))</f>
        <v/>
      </c>
      <c r="O150" s="26">
        <f>IF($A150="","",ROUND($N150*$K150,0))</f>
        <v/>
      </c>
      <c r="P150" s="27">
        <f>IF($A150="","",SUMIFS(出库单!$J$4:$J$4003,出库单!$D$4:$D$4003,$A150,出库单!$K$4:$K$4003,"自用消耗",出库单!$U$4:$U$4003,"正常",出库单!$C$4:$C$4003,"&gt;="&amp;账期起,出库单!$C$4:$C$4003,"&lt;="&amp;账期止))</f>
        <v/>
      </c>
      <c r="Q150" s="26">
        <f>IF($A150="","",ROUND(SUMIFS(出库单!$S$4:$S$4003,出库单!$D$4:$D$4003,$A150,出库单!$K$4:$K$4003,"自用消耗",出库单!$U$4:$U$4003,"正常",出库单!$C$4:$C$4003,"&gt;="&amp;账期起,出库单!$C$4:$C$4003,"&lt;="&amp;账期止),0))</f>
        <v/>
      </c>
      <c r="R150" s="27">
        <f>IF($A150="","",SUMIFS(出库单!$J$4:$J$4003,出库单!$D$4:$D$4003,$A150,出库单!$K$4:$K$4003,"对外销售",出库单!$U$4:$U$4003,"正常",出库单!$C$4:$C$4003,"&gt;="&amp;账期起,出库单!$C$4:$C$4003,"&lt;="&amp;账期止))</f>
        <v/>
      </c>
      <c r="S150" s="26">
        <f>IF($A150="","",ROUND(SUMIFS(出库单!$S$4:$S$4003,出库单!$D$4:$D$4003,$A150,出库单!$K$4:$K$4003,"对外销售",出库单!$U$4:$U$4003,"正常",出库单!$C$4:$C$4003,"&gt;="&amp;账期起,出库单!$C$4:$C$4003,"&lt;="&amp;账期止),0))</f>
        <v/>
      </c>
      <c r="T150" s="27">
        <f>IF($A150="","",SUMIFS(出库单!$J$4:$J$4003,出库单!$D$4:$D$4003,$A150,出库单!$K$4:$K$4003,"盘亏",出库单!$U$4:$U$4003,"正常",出库单!$C$4:$C$4003,"&gt;="&amp;账期起,出库单!$C$4:$C$4003,"&lt;="&amp;账期止))</f>
        <v/>
      </c>
      <c r="U150" s="26">
        <f>IF($A150="","",ROUND(SUMIFS(出库单!$S$4:$S$4003,出库单!$D$4:$D$4003,$A150,出库单!$K$4:$K$4003,"盘亏",出库单!$U$4:$U$4003,"正常",出库单!$C$4:$C$4003,"&gt;="&amp;账期起,出库单!$C$4:$C$4003,"&lt;="&amp;账期止),0))</f>
        <v/>
      </c>
      <c r="V150" s="27">
        <f>IF($A150="","",SUMIFS(出库单!$J$4:$J$4003,出库单!$D$4:$D$4003,$A150,出库单!$K$4:$K$4003,"退货给供应商",出库单!$U$4:$U$4003,"正常",出库单!$C$4:$C$4003,"&gt;="&amp;账期起,出库单!$C$4:$C$4003,"&lt;="&amp;账期止))</f>
        <v/>
      </c>
      <c r="W150" s="26">
        <f>IF($A150="","",ROUND(SUMIFS(出库单!$S$4:$S$4003,出库单!$D$4:$D$4003,$A150,出库单!$K$4:$K$4003,"退货给供应商",出库单!$U$4:$U$4003,"正常",出库单!$C$4:$C$4003,"&gt;="&amp;账期起,出库单!$C$4:$C$4003,"&lt;="&amp;账期止),0))</f>
        <v/>
      </c>
      <c r="X150" s="27">
        <f>IF($A150="","",ROUND(N($G150)+$I150+$L150+$N150-$P150-$R150-$T150-$V150,3))</f>
        <v/>
      </c>
      <c r="Y150" s="26">
        <f>IF($A150="","",ROUND(N($H150)+$J150+$M150+$O150-$Q150-$S150-$U150-$W150,0))</f>
        <v/>
      </c>
      <c r="Z150" s="24">
        <f>IF($A150="","",IF(COUNTIFS(入库单!$G$4:$G$2503,$A150,入库单!$Y$4:$Y$2503,"待补价")+COUNTIFS(入库单!$G$4:$G$2503,$A150,入库单!$Y$4:$Y$2503,"暂估")&gt;0,"不可信","可信"))</f>
        <v/>
      </c>
      <c r="AA150" s="24">
        <f>IF($A150="","",IF($X150&lt;-0.001,"※账面负库存，查一下是不是漏记入库",IF(AND(ROUND($X150,3)=0,ABS($Y150)&gt;1),"※数量已经是 0，金额还挂着 "&amp;TEXT($Y150,"#,##0")&amp;" 先令",IF(AND($X150&gt;0,$Y150&lt;=0,$K150=0),"※有数量没金额（这个物料一直没填过进价）",IF($Z150="不可信","△成本含待补价/暂估，毛利仅供参考","")))))</f>
        <v/>
      </c>
    </row>
    <row r="151">
      <c r="A151" s="24">
        <f>IF(物料档案!$A150="","",物料档案!$A150)</f>
        <v/>
      </c>
      <c r="B151" s="24">
        <f>IF($A151="","",IFERROR(VLOOKUP($A151,物料档案!$A$4:$P$1203,3,0),""))</f>
        <v/>
      </c>
      <c r="C151" s="24">
        <f>IF($A151="","",IFERROR(VLOOKUP($A151,物料档案!$A$4:$P$1203,4,0),""))</f>
        <v/>
      </c>
      <c r="D151" s="24">
        <f>IF($A151="","",IFERROR(VLOOKUP($A151,物料档案!$A$4:$P$1203,5,0),""))</f>
        <v/>
      </c>
      <c r="E151" s="24">
        <f>IF($A151="","",IFERROR(VLOOKUP($A151,物料档案!$A$4:$P$1203,2,0),""))</f>
        <v/>
      </c>
      <c r="F151" s="24">
        <f>IF($A151="","",IFERROR(VLOOKUP($A151,物料档案!$A$4:$P$1203,6,0),""))</f>
        <v/>
      </c>
      <c r="G151" s="23" t="n"/>
      <c r="H151" s="32" t="n"/>
      <c r="I151" s="27">
        <f>IF($A151="","",SUMIFS(入库单!$K$4:$K$2503,入库单!$G$4:$G$2503,$A151,入库单!$X$4:$X$2503,"采购入库",入库单!$Z$4:$Z$2503,"正常",入库单!$C$4:$C$2503,"&gt;="&amp;账期起,入库单!$C$4:$C$2503,"&lt;="&amp;账期止))</f>
        <v/>
      </c>
      <c r="J151" s="26">
        <f>IF($A151="","",SUMIFS(入库单!$V$4:$V$2503,入库单!$G$4:$G$2503,$A151,入库单!$X$4:$X$2503,"采购入库",入库单!$Z$4:$Z$2503,"正常",入库单!$C$4:$C$2503,"&gt;="&amp;账期起,入库单!$C$4:$C$2503,"&lt;="&amp;账期止))</f>
        <v/>
      </c>
      <c r="K151" s="26">
        <f>IF($A151="","",IFERROR(ROUND((N($H151)+N($J151))/(N($G151)+N($I151)),2),0))</f>
        <v/>
      </c>
      <c r="L151" s="27">
        <f>IF($A151="","",SUMIFS(入库单!$K$4:$K$2503,入库单!$G$4:$G$2503,$A151,入库单!$X$4:$X$2503,"盘盈",入库单!$Z$4:$Z$2503,"正常",入库单!$C$4:$C$2503,"&gt;="&amp;账期起,入库单!$C$4:$C$2503,"&lt;="&amp;账期止))</f>
        <v/>
      </c>
      <c r="M151" s="26">
        <f>IF($A151="","",ROUND($L151*$K151,0))</f>
        <v/>
      </c>
      <c r="N151" s="27">
        <f>IF($A151="","",SUMIFS(入库单!$K$4:$K$2503,入库单!$G$4:$G$2503,$A151,入库单!$X$4:$X$2503,"矿区退库",入库单!$Z$4:$Z$2503,"正常",入库单!$C$4:$C$2503,"&gt;="&amp;账期起,入库单!$C$4:$C$2503,"&lt;="&amp;账期止))</f>
        <v/>
      </c>
      <c r="O151" s="26">
        <f>IF($A151="","",ROUND($N151*$K151,0))</f>
        <v/>
      </c>
      <c r="P151" s="27">
        <f>IF($A151="","",SUMIFS(出库单!$J$4:$J$4003,出库单!$D$4:$D$4003,$A151,出库单!$K$4:$K$4003,"自用消耗",出库单!$U$4:$U$4003,"正常",出库单!$C$4:$C$4003,"&gt;="&amp;账期起,出库单!$C$4:$C$4003,"&lt;="&amp;账期止))</f>
        <v/>
      </c>
      <c r="Q151" s="26">
        <f>IF($A151="","",ROUND(SUMIFS(出库单!$S$4:$S$4003,出库单!$D$4:$D$4003,$A151,出库单!$K$4:$K$4003,"自用消耗",出库单!$U$4:$U$4003,"正常",出库单!$C$4:$C$4003,"&gt;="&amp;账期起,出库单!$C$4:$C$4003,"&lt;="&amp;账期止),0))</f>
        <v/>
      </c>
      <c r="R151" s="27">
        <f>IF($A151="","",SUMIFS(出库单!$J$4:$J$4003,出库单!$D$4:$D$4003,$A151,出库单!$K$4:$K$4003,"对外销售",出库单!$U$4:$U$4003,"正常",出库单!$C$4:$C$4003,"&gt;="&amp;账期起,出库单!$C$4:$C$4003,"&lt;="&amp;账期止))</f>
        <v/>
      </c>
      <c r="S151" s="26">
        <f>IF($A151="","",ROUND(SUMIFS(出库单!$S$4:$S$4003,出库单!$D$4:$D$4003,$A151,出库单!$K$4:$K$4003,"对外销售",出库单!$U$4:$U$4003,"正常",出库单!$C$4:$C$4003,"&gt;="&amp;账期起,出库单!$C$4:$C$4003,"&lt;="&amp;账期止),0))</f>
        <v/>
      </c>
      <c r="T151" s="27">
        <f>IF($A151="","",SUMIFS(出库单!$J$4:$J$4003,出库单!$D$4:$D$4003,$A151,出库单!$K$4:$K$4003,"盘亏",出库单!$U$4:$U$4003,"正常",出库单!$C$4:$C$4003,"&gt;="&amp;账期起,出库单!$C$4:$C$4003,"&lt;="&amp;账期止))</f>
        <v/>
      </c>
      <c r="U151" s="26">
        <f>IF($A151="","",ROUND(SUMIFS(出库单!$S$4:$S$4003,出库单!$D$4:$D$4003,$A151,出库单!$K$4:$K$4003,"盘亏",出库单!$U$4:$U$4003,"正常",出库单!$C$4:$C$4003,"&gt;="&amp;账期起,出库单!$C$4:$C$4003,"&lt;="&amp;账期止),0))</f>
        <v/>
      </c>
      <c r="V151" s="27">
        <f>IF($A151="","",SUMIFS(出库单!$J$4:$J$4003,出库单!$D$4:$D$4003,$A151,出库单!$K$4:$K$4003,"退货给供应商",出库单!$U$4:$U$4003,"正常",出库单!$C$4:$C$4003,"&gt;="&amp;账期起,出库单!$C$4:$C$4003,"&lt;="&amp;账期止))</f>
        <v/>
      </c>
      <c r="W151" s="26">
        <f>IF($A151="","",ROUND(SUMIFS(出库单!$S$4:$S$4003,出库单!$D$4:$D$4003,$A151,出库单!$K$4:$K$4003,"退货给供应商",出库单!$U$4:$U$4003,"正常",出库单!$C$4:$C$4003,"&gt;="&amp;账期起,出库单!$C$4:$C$4003,"&lt;="&amp;账期止),0))</f>
        <v/>
      </c>
      <c r="X151" s="27">
        <f>IF($A151="","",ROUND(N($G151)+$I151+$L151+$N151-$P151-$R151-$T151-$V151,3))</f>
        <v/>
      </c>
      <c r="Y151" s="26">
        <f>IF($A151="","",ROUND(N($H151)+$J151+$M151+$O151-$Q151-$S151-$U151-$W151,0))</f>
        <v/>
      </c>
      <c r="Z151" s="24">
        <f>IF($A151="","",IF(COUNTIFS(入库单!$G$4:$G$2503,$A151,入库单!$Y$4:$Y$2503,"待补价")+COUNTIFS(入库单!$G$4:$G$2503,$A151,入库单!$Y$4:$Y$2503,"暂估")&gt;0,"不可信","可信"))</f>
        <v/>
      </c>
      <c r="AA151" s="24">
        <f>IF($A151="","",IF($X151&lt;-0.001,"※账面负库存，查一下是不是漏记入库",IF(AND(ROUND($X151,3)=0,ABS($Y151)&gt;1),"※数量已经是 0，金额还挂着 "&amp;TEXT($Y151,"#,##0")&amp;" 先令",IF(AND($X151&gt;0,$Y151&lt;=0,$K151=0),"※有数量没金额（这个物料一直没填过进价）",IF($Z151="不可信","△成本含待补价/暂估，毛利仅供参考","")))))</f>
        <v/>
      </c>
    </row>
    <row r="152">
      <c r="A152" s="24">
        <f>IF(物料档案!$A151="","",物料档案!$A151)</f>
        <v/>
      </c>
      <c r="B152" s="24">
        <f>IF($A152="","",IFERROR(VLOOKUP($A152,物料档案!$A$4:$P$1203,3,0),""))</f>
        <v/>
      </c>
      <c r="C152" s="24">
        <f>IF($A152="","",IFERROR(VLOOKUP($A152,物料档案!$A$4:$P$1203,4,0),""))</f>
        <v/>
      </c>
      <c r="D152" s="24">
        <f>IF($A152="","",IFERROR(VLOOKUP($A152,物料档案!$A$4:$P$1203,5,0),""))</f>
        <v/>
      </c>
      <c r="E152" s="24">
        <f>IF($A152="","",IFERROR(VLOOKUP($A152,物料档案!$A$4:$P$1203,2,0),""))</f>
        <v/>
      </c>
      <c r="F152" s="24">
        <f>IF($A152="","",IFERROR(VLOOKUP($A152,物料档案!$A$4:$P$1203,6,0),""))</f>
        <v/>
      </c>
      <c r="G152" s="23" t="n"/>
      <c r="H152" s="32" t="n"/>
      <c r="I152" s="27">
        <f>IF($A152="","",SUMIFS(入库单!$K$4:$K$2503,入库单!$G$4:$G$2503,$A152,入库单!$X$4:$X$2503,"采购入库",入库单!$Z$4:$Z$2503,"正常",入库单!$C$4:$C$2503,"&gt;="&amp;账期起,入库单!$C$4:$C$2503,"&lt;="&amp;账期止))</f>
        <v/>
      </c>
      <c r="J152" s="26">
        <f>IF($A152="","",SUMIFS(入库单!$V$4:$V$2503,入库单!$G$4:$G$2503,$A152,入库单!$X$4:$X$2503,"采购入库",入库单!$Z$4:$Z$2503,"正常",入库单!$C$4:$C$2503,"&gt;="&amp;账期起,入库单!$C$4:$C$2503,"&lt;="&amp;账期止))</f>
        <v/>
      </c>
      <c r="K152" s="26">
        <f>IF($A152="","",IFERROR(ROUND((N($H152)+N($J152))/(N($G152)+N($I152)),2),0))</f>
        <v/>
      </c>
      <c r="L152" s="27">
        <f>IF($A152="","",SUMIFS(入库单!$K$4:$K$2503,入库单!$G$4:$G$2503,$A152,入库单!$X$4:$X$2503,"盘盈",入库单!$Z$4:$Z$2503,"正常",入库单!$C$4:$C$2503,"&gt;="&amp;账期起,入库单!$C$4:$C$2503,"&lt;="&amp;账期止))</f>
        <v/>
      </c>
      <c r="M152" s="26">
        <f>IF($A152="","",ROUND($L152*$K152,0))</f>
        <v/>
      </c>
      <c r="N152" s="27">
        <f>IF($A152="","",SUMIFS(入库单!$K$4:$K$2503,入库单!$G$4:$G$2503,$A152,入库单!$X$4:$X$2503,"矿区退库",入库单!$Z$4:$Z$2503,"正常",入库单!$C$4:$C$2503,"&gt;="&amp;账期起,入库单!$C$4:$C$2503,"&lt;="&amp;账期止))</f>
        <v/>
      </c>
      <c r="O152" s="26">
        <f>IF($A152="","",ROUND($N152*$K152,0))</f>
        <v/>
      </c>
      <c r="P152" s="27">
        <f>IF($A152="","",SUMIFS(出库单!$J$4:$J$4003,出库单!$D$4:$D$4003,$A152,出库单!$K$4:$K$4003,"自用消耗",出库单!$U$4:$U$4003,"正常",出库单!$C$4:$C$4003,"&gt;="&amp;账期起,出库单!$C$4:$C$4003,"&lt;="&amp;账期止))</f>
        <v/>
      </c>
      <c r="Q152" s="26">
        <f>IF($A152="","",ROUND(SUMIFS(出库单!$S$4:$S$4003,出库单!$D$4:$D$4003,$A152,出库单!$K$4:$K$4003,"自用消耗",出库单!$U$4:$U$4003,"正常",出库单!$C$4:$C$4003,"&gt;="&amp;账期起,出库单!$C$4:$C$4003,"&lt;="&amp;账期止),0))</f>
        <v/>
      </c>
      <c r="R152" s="27">
        <f>IF($A152="","",SUMIFS(出库单!$J$4:$J$4003,出库单!$D$4:$D$4003,$A152,出库单!$K$4:$K$4003,"对外销售",出库单!$U$4:$U$4003,"正常",出库单!$C$4:$C$4003,"&gt;="&amp;账期起,出库单!$C$4:$C$4003,"&lt;="&amp;账期止))</f>
        <v/>
      </c>
      <c r="S152" s="26">
        <f>IF($A152="","",ROUND(SUMIFS(出库单!$S$4:$S$4003,出库单!$D$4:$D$4003,$A152,出库单!$K$4:$K$4003,"对外销售",出库单!$U$4:$U$4003,"正常",出库单!$C$4:$C$4003,"&gt;="&amp;账期起,出库单!$C$4:$C$4003,"&lt;="&amp;账期止),0))</f>
        <v/>
      </c>
      <c r="T152" s="27">
        <f>IF($A152="","",SUMIFS(出库单!$J$4:$J$4003,出库单!$D$4:$D$4003,$A152,出库单!$K$4:$K$4003,"盘亏",出库单!$U$4:$U$4003,"正常",出库单!$C$4:$C$4003,"&gt;="&amp;账期起,出库单!$C$4:$C$4003,"&lt;="&amp;账期止))</f>
        <v/>
      </c>
      <c r="U152" s="26">
        <f>IF($A152="","",ROUND(SUMIFS(出库单!$S$4:$S$4003,出库单!$D$4:$D$4003,$A152,出库单!$K$4:$K$4003,"盘亏",出库单!$U$4:$U$4003,"正常",出库单!$C$4:$C$4003,"&gt;="&amp;账期起,出库单!$C$4:$C$4003,"&lt;="&amp;账期止),0))</f>
        <v/>
      </c>
      <c r="V152" s="27">
        <f>IF($A152="","",SUMIFS(出库单!$J$4:$J$4003,出库单!$D$4:$D$4003,$A152,出库单!$K$4:$K$4003,"退货给供应商",出库单!$U$4:$U$4003,"正常",出库单!$C$4:$C$4003,"&gt;="&amp;账期起,出库单!$C$4:$C$4003,"&lt;="&amp;账期止))</f>
        <v/>
      </c>
      <c r="W152" s="26">
        <f>IF($A152="","",ROUND(SUMIFS(出库单!$S$4:$S$4003,出库单!$D$4:$D$4003,$A152,出库单!$K$4:$K$4003,"退货给供应商",出库单!$U$4:$U$4003,"正常",出库单!$C$4:$C$4003,"&gt;="&amp;账期起,出库单!$C$4:$C$4003,"&lt;="&amp;账期止),0))</f>
        <v/>
      </c>
      <c r="X152" s="27">
        <f>IF($A152="","",ROUND(N($G152)+$I152+$L152+$N152-$P152-$R152-$T152-$V152,3))</f>
        <v/>
      </c>
      <c r="Y152" s="26">
        <f>IF($A152="","",ROUND(N($H152)+$J152+$M152+$O152-$Q152-$S152-$U152-$W152,0))</f>
        <v/>
      </c>
      <c r="Z152" s="24">
        <f>IF($A152="","",IF(COUNTIFS(入库单!$G$4:$G$2503,$A152,入库单!$Y$4:$Y$2503,"待补价")+COUNTIFS(入库单!$G$4:$G$2503,$A152,入库单!$Y$4:$Y$2503,"暂估")&gt;0,"不可信","可信"))</f>
        <v/>
      </c>
      <c r="AA152" s="24">
        <f>IF($A152="","",IF($X152&lt;-0.001,"※账面负库存，查一下是不是漏记入库",IF(AND(ROUND($X152,3)=0,ABS($Y152)&gt;1),"※数量已经是 0，金额还挂着 "&amp;TEXT($Y152,"#,##0")&amp;" 先令",IF(AND($X152&gt;0,$Y152&lt;=0,$K152=0),"※有数量没金额（这个物料一直没填过进价）",IF($Z152="不可信","△成本含待补价/暂估，毛利仅供参考","")))))</f>
        <v/>
      </c>
    </row>
    <row r="153">
      <c r="A153" s="24">
        <f>IF(物料档案!$A152="","",物料档案!$A152)</f>
        <v/>
      </c>
      <c r="B153" s="24">
        <f>IF($A153="","",IFERROR(VLOOKUP($A153,物料档案!$A$4:$P$1203,3,0),""))</f>
        <v/>
      </c>
      <c r="C153" s="24">
        <f>IF($A153="","",IFERROR(VLOOKUP($A153,物料档案!$A$4:$P$1203,4,0),""))</f>
        <v/>
      </c>
      <c r="D153" s="24">
        <f>IF($A153="","",IFERROR(VLOOKUP($A153,物料档案!$A$4:$P$1203,5,0),""))</f>
        <v/>
      </c>
      <c r="E153" s="24">
        <f>IF($A153="","",IFERROR(VLOOKUP($A153,物料档案!$A$4:$P$1203,2,0),""))</f>
        <v/>
      </c>
      <c r="F153" s="24">
        <f>IF($A153="","",IFERROR(VLOOKUP($A153,物料档案!$A$4:$P$1203,6,0),""))</f>
        <v/>
      </c>
      <c r="G153" s="23" t="n"/>
      <c r="H153" s="32" t="n"/>
      <c r="I153" s="27">
        <f>IF($A153="","",SUMIFS(入库单!$K$4:$K$2503,入库单!$G$4:$G$2503,$A153,入库单!$X$4:$X$2503,"采购入库",入库单!$Z$4:$Z$2503,"正常",入库单!$C$4:$C$2503,"&gt;="&amp;账期起,入库单!$C$4:$C$2503,"&lt;="&amp;账期止))</f>
        <v/>
      </c>
      <c r="J153" s="26">
        <f>IF($A153="","",SUMIFS(入库单!$V$4:$V$2503,入库单!$G$4:$G$2503,$A153,入库单!$X$4:$X$2503,"采购入库",入库单!$Z$4:$Z$2503,"正常",入库单!$C$4:$C$2503,"&gt;="&amp;账期起,入库单!$C$4:$C$2503,"&lt;="&amp;账期止))</f>
        <v/>
      </c>
      <c r="K153" s="26">
        <f>IF($A153="","",IFERROR(ROUND((N($H153)+N($J153))/(N($G153)+N($I153)),2),0))</f>
        <v/>
      </c>
      <c r="L153" s="27">
        <f>IF($A153="","",SUMIFS(入库单!$K$4:$K$2503,入库单!$G$4:$G$2503,$A153,入库单!$X$4:$X$2503,"盘盈",入库单!$Z$4:$Z$2503,"正常",入库单!$C$4:$C$2503,"&gt;="&amp;账期起,入库单!$C$4:$C$2503,"&lt;="&amp;账期止))</f>
        <v/>
      </c>
      <c r="M153" s="26">
        <f>IF($A153="","",ROUND($L153*$K153,0))</f>
        <v/>
      </c>
      <c r="N153" s="27">
        <f>IF($A153="","",SUMIFS(入库单!$K$4:$K$2503,入库单!$G$4:$G$2503,$A153,入库单!$X$4:$X$2503,"矿区退库",入库单!$Z$4:$Z$2503,"正常",入库单!$C$4:$C$2503,"&gt;="&amp;账期起,入库单!$C$4:$C$2503,"&lt;="&amp;账期止))</f>
        <v/>
      </c>
      <c r="O153" s="26">
        <f>IF($A153="","",ROUND($N153*$K153,0))</f>
        <v/>
      </c>
      <c r="P153" s="27">
        <f>IF($A153="","",SUMIFS(出库单!$J$4:$J$4003,出库单!$D$4:$D$4003,$A153,出库单!$K$4:$K$4003,"自用消耗",出库单!$U$4:$U$4003,"正常",出库单!$C$4:$C$4003,"&gt;="&amp;账期起,出库单!$C$4:$C$4003,"&lt;="&amp;账期止))</f>
        <v/>
      </c>
      <c r="Q153" s="26">
        <f>IF($A153="","",ROUND(SUMIFS(出库单!$S$4:$S$4003,出库单!$D$4:$D$4003,$A153,出库单!$K$4:$K$4003,"自用消耗",出库单!$U$4:$U$4003,"正常",出库单!$C$4:$C$4003,"&gt;="&amp;账期起,出库单!$C$4:$C$4003,"&lt;="&amp;账期止),0))</f>
        <v/>
      </c>
      <c r="R153" s="27">
        <f>IF($A153="","",SUMIFS(出库单!$J$4:$J$4003,出库单!$D$4:$D$4003,$A153,出库单!$K$4:$K$4003,"对外销售",出库单!$U$4:$U$4003,"正常",出库单!$C$4:$C$4003,"&gt;="&amp;账期起,出库单!$C$4:$C$4003,"&lt;="&amp;账期止))</f>
        <v/>
      </c>
      <c r="S153" s="26">
        <f>IF($A153="","",ROUND(SUMIFS(出库单!$S$4:$S$4003,出库单!$D$4:$D$4003,$A153,出库单!$K$4:$K$4003,"对外销售",出库单!$U$4:$U$4003,"正常",出库单!$C$4:$C$4003,"&gt;="&amp;账期起,出库单!$C$4:$C$4003,"&lt;="&amp;账期止),0))</f>
        <v/>
      </c>
      <c r="T153" s="27">
        <f>IF($A153="","",SUMIFS(出库单!$J$4:$J$4003,出库单!$D$4:$D$4003,$A153,出库单!$K$4:$K$4003,"盘亏",出库单!$U$4:$U$4003,"正常",出库单!$C$4:$C$4003,"&gt;="&amp;账期起,出库单!$C$4:$C$4003,"&lt;="&amp;账期止))</f>
        <v/>
      </c>
      <c r="U153" s="26">
        <f>IF($A153="","",ROUND(SUMIFS(出库单!$S$4:$S$4003,出库单!$D$4:$D$4003,$A153,出库单!$K$4:$K$4003,"盘亏",出库单!$U$4:$U$4003,"正常",出库单!$C$4:$C$4003,"&gt;="&amp;账期起,出库单!$C$4:$C$4003,"&lt;="&amp;账期止),0))</f>
        <v/>
      </c>
      <c r="V153" s="27">
        <f>IF($A153="","",SUMIFS(出库单!$J$4:$J$4003,出库单!$D$4:$D$4003,$A153,出库单!$K$4:$K$4003,"退货给供应商",出库单!$U$4:$U$4003,"正常",出库单!$C$4:$C$4003,"&gt;="&amp;账期起,出库单!$C$4:$C$4003,"&lt;="&amp;账期止))</f>
        <v/>
      </c>
      <c r="W153" s="26">
        <f>IF($A153="","",ROUND(SUMIFS(出库单!$S$4:$S$4003,出库单!$D$4:$D$4003,$A153,出库单!$K$4:$K$4003,"退货给供应商",出库单!$U$4:$U$4003,"正常",出库单!$C$4:$C$4003,"&gt;="&amp;账期起,出库单!$C$4:$C$4003,"&lt;="&amp;账期止),0))</f>
        <v/>
      </c>
      <c r="X153" s="27">
        <f>IF($A153="","",ROUND(N($G153)+$I153+$L153+$N153-$P153-$R153-$T153-$V153,3))</f>
        <v/>
      </c>
      <c r="Y153" s="26">
        <f>IF($A153="","",ROUND(N($H153)+$J153+$M153+$O153-$Q153-$S153-$U153-$W153,0))</f>
        <v/>
      </c>
      <c r="Z153" s="24">
        <f>IF($A153="","",IF(COUNTIFS(入库单!$G$4:$G$2503,$A153,入库单!$Y$4:$Y$2503,"待补价")+COUNTIFS(入库单!$G$4:$G$2503,$A153,入库单!$Y$4:$Y$2503,"暂估")&gt;0,"不可信","可信"))</f>
        <v/>
      </c>
      <c r="AA153" s="24">
        <f>IF($A153="","",IF($X153&lt;-0.001,"※账面负库存，查一下是不是漏记入库",IF(AND(ROUND($X153,3)=0,ABS($Y153)&gt;1),"※数量已经是 0，金额还挂着 "&amp;TEXT($Y153,"#,##0")&amp;" 先令",IF(AND($X153&gt;0,$Y153&lt;=0,$K153=0),"※有数量没金额（这个物料一直没填过进价）",IF($Z153="不可信","△成本含待补价/暂估，毛利仅供参考","")))))</f>
        <v/>
      </c>
    </row>
    <row r="154">
      <c r="A154" s="24">
        <f>IF(物料档案!$A153="","",物料档案!$A153)</f>
        <v/>
      </c>
      <c r="B154" s="24">
        <f>IF($A154="","",IFERROR(VLOOKUP($A154,物料档案!$A$4:$P$1203,3,0),""))</f>
        <v/>
      </c>
      <c r="C154" s="24">
        <f>IF($A154="","",IFERROR(VLOOKUP($A154,物料档案!$A$4:$P$1203,4,0),""))</f>
        <v/>
      </c>
      <c r="D154" s="24">
        <f>IF($A154="","",IFERROR(VLOOKUP($A154,物料档案!$A$4:$P$1203,5,0),""))</f>
        <v/>
      </c>
      <c r="E154" s="24">
        <f>IF($A154="","",IFERROR(VLOOKUP($A154,物料档案!$A$4:$P$1203,2,0),""))</f>
        <v/>
      </c>
      <c r="F154" s="24">
        <f>IF($A154="","",IFERROR(VLOOKUP($A154,物料档案!$A$4:$P$1203,6,0),""))</f>
        <v/>
      </c>
      <c r="G154" s="23" t="n"/>
      <c r="H154" s="32" t="n"/>
      <c r="I154" s="27">
        <f>IF($A154="","",SUMIFS(入库单!$K$4:$K$2503,入库单!$G$4:$G$2503,$A154,入库单!$X$4:$X$2503,"采购入库",入库单!$Z$4:$Z$2503,"正常",入库单!$C$4:$C$2503,"&gt;="&amp;账期起,入库单!$C$4:$C$2503,"&lt;="&amp;账期止))</f>
        <v/>
      </c>
      <c r="J154" s="26">
        <f>IF($A154="","",SUMIFS(入库单!$V$4:$V$2503,入库单!$G$4:$G$2503,$A154,入库单!$X$4:$X$2503,"采购入库",入库单!$Z$4:$Z$2503,"正常",入库单!$C$4:$C$2503,"&gt;="&amp;账期起,入库单!$C$4:$C$2503,"&lt;="&amp;账期止))</f>
        <v/>
      </c>
      <c r="K154" s="26">
        <f>IF($A154="","",IFERROR(ROUND((N($H154)+N($J154))/(N($G154)+N($I154)),2),0))</f>
        <v/>
      </c>
      <c r="L154" s="27">
        <f>IF($A154="","",SUMIFS(入库单!$K$4:$K$2503,入库单!$G$4:$G$2503,$A154,入库单!$X$4:$X$2503,"盘盈",入库单!$Z$4:$Z$2503,"正常",入库单!$C$4:$C$2503,"&gt;="&amp;账期起,入库单!$C$4:$C$2503,"&lt;="&amp;账期止))</f>
        <v/>
      </c>
      <c r="M154" s="26">
        <f>IF($A154="","",ROUND($L154*$K154,0))</f>
        <v/>
      </c>
      <c r="N154" s="27">
        <f>IF($A154="","",SUMIFS(入库单!$K$4:$K$2503,入库单!$G$4:$G$2503,$A154,入库单!$X$4:$X$2503,"矿区退库",入库单!$Z$4:$Z$2503,"正常",入库单!$C$4:$C$2503,"&gt;="&amp;账期起,入库单!$C$4:$C$2503,"&lt;="&amp;账期止))</f>
        <v/>
      </c>
      <c r="O154" s="26">
        <f>IF($A154="","",ROUND($N154*$K154,0))</f>
        <v/>
      </c>
      <c r="P154" s="27">
        <f>IF($A154="","",SUMIFS(出库单!$J$4:$J$4003,出库单!$D$4:$D$4003,$A154,出库单!$K$4:$K$4003,"自用消耗",出库单!$U$4:$U$4003,"正常",出库单!$C$4:$C$4003,"&gt;="&amp;账期起,出库单!$C$4:$C$4003,"&lt;="&amp;账期止))</f>
        <v/>
      </c>
      <c r="Q154" s="26">
        <f>IF($A154="","",ROUND(SUMIFS(出库单!$S$4:$S$4003,出库单!$D$4:$D$4003,$A154,出库单!$K$4:$K$4003,"自用消耗",出库单!$U$4:$U$4003,"正常",出库单!$C$4:$C$4003,"&gt;="&amp;账期起,出库单!$C$4:$C$4003,"&lt;="&amp;账期止),0))</f>
        <v/>
      </c>
      <c r="R154" s="27">
        <f>IF($A154="","",SUMIFS(出库单!$J$4:$J$4003,出库单!$D$4:$D$4003,$A154,出库单!$K$4:$K$4003,"对外销售",出库单!$U$4:$U$4003,"正常",出库单!$C$4:$C$4003,"&gt;="&amp;账期起,出库单!$C$4:$C$4003,"&lt;="&amp;账期止))</f>
        <v/>
      </c>
      <c r="S154" s="26">
        <f>IF($A154="","",ROUND(SUMIFS(出库单!$S$4:$S$4003,出库单!$D$4:$D$4003,$A154,出库单!$K$4:$K$4003,"对外销售",出库单!$U$4:$U$4003,"正常",出库单!$C$4:$C$4003,"&gt;="&amp;账期起,出库单!$C$4:$C$4003,"&lt;="&amp;账期止),0))</f>
        <v/>
      </c>
      <c r="T154" s="27">
        <f>IF($A154="","",SUMIFS(出库单!$J$4:$J$4003,出库单!$D$4:$D$4003,$A154,出库单!$K$4:$K$4003,"盘亏",出库单!$U$4:$U$4003,"正常",出库单!$C$4:$C$4003,"&gt;="&amp;账期起,出库单!$C$4:$C$4003,"&lt;="&amp;账期止))</f>
        <v/>
      </c>
      <c r="U154" s="26">
        <f>IF($A154="","",ROUND(SUMIFS(出库单!$S$4:$S$4003,出库单!$D$4:$D$4003,$A154,出库单!$K$4:$K$4003,"盘亏",出库单!$U$4:$U$4003,"正常",出库单!$C$4:$C$4003,"&gt;="&amp;账期起,出库单!$C$4:$C$4003,"&lt;="&amp;账期止),0))</f>
        <v/>
      </c>
      <c r="V154" s="27">
        <f>IF($A154="","",SUMIFS(出库单!$J$4:$J$4003,出库单!$D$4:$D$4003,$A154,出库单!$K$4:$K$4003,"退货给供应商",出库单!$U$4:$U$4003,"正常",出库单!$C$4:$C$4003,"&gt;="&amp;账期起,出库单!$C$4:$C$4003,"&lt;="&amp;账期止))</f>
        <v/>
      </c>
      <c r="W154" s="26">
        <f>IF($A154="","",ROUND(SUMIFS(出库单!$S$4:$S$4003,出库单!$D$4:$D$4003,$A154,出库单!$K$4:$K$4003,"退货给供应商",出库单!$U$4:$U$4003,"正常",出库单!$C$4:$C$4003,"&gt;="&amp;账期起,出库单!$C$4:$C$4003,"&lt;="&amp;账期止),0))</f>
        <v/>
      </c>
      <c r="X154" s="27">
        <f>IF($A154="","",ROUND(N($G154)+$I154+$L154+$N154-$P154-$R154-$T154-$V154,3))</f>
        <v/>
      </c>
      <c r="Y154" s="26">
        <f>IF($A154="","",ROUND(N($H154)+$J154+$M154+$O154-$Q154-$S154-$U154-$W154,0))</f>
        <v/>
      </c>
      <c r="Z154" s="24">
        <f>IF($A154="","",IF(COUNTIFS(入库单!$G$4:$G$2503,$A154,入库单!$Y$4:$Y$2503,"待补价")+COUNTIFS(入库单!$G$4:$G$2503,$A154,入库单!$Y$4:$Y$2503,"暂估")&gt;0,"不可信","可信"))</f>
        <v/>
      </c>
      <c r="AA154" s="24">
        <f>IF($A154="","",IF($X154&lt;-0.001,"※账面负库存，查一下是不是漏记入库",IF(AND(ROUND($X154,3)=0,ABS($Y154)&gt;1),"※数量已经是 0，金额还挂着 "&amp;TEXT($Y154,"#,##0")&amp;" 先令",IF(AND($X154&gt;0,$Y154&lt;=0,$K154=0),"※有数量没金额（这个物料一直没填过进价）",IF($Z154="不可信","△成本含待补价/暂估，毛利仅供参考","")))))</f>
        <v/>
      </c>
    </row>
    <row r="155">
      <c r="A155" s="24">
        <f>IF(物料档案!$A154="","",物料档案!$A154)</f>
        <v/>
      </c>
      <c r="B155" s="24">
        <f>IF($A155="","",IFERROR(VLOOKUP($A155,物料档案!$A$4:$P$1203,3,0),""))</f>
        <v/>
      </c>
      <c r="C155" s="24">
        <f>IF($A155="","",IFERROR(VLOOKUP($A155,物料档案!$A$4:$P$1203,4,0),""))</f>
        <v/>
      </c>
      <c r="D155" s="24">
        <f>IF($A155="","",IFERROR(VLOOKUP($A155,物料档案!$A$4:$P$1203,5,0),""))</f>
        <v/>
      </c>
      <c r="E155" s="24">
        <f>IF($A155="","",IFERROR(VLOOKUP($A155,物料档案!$A$4:$P$1203,2,0),""))</f>
        <v/>
      </c>
      <c r="F155" s="24">
        <f>IF($A155="","",IFERROR(VLOOKUP($A155,物料档案!$A$4:$P$1203,6,0),""))</f>
        <v/>
      </c>
      <c r="G155" s="23" t="n"/>
      <c r="H155" s="32" t="n"/>
      <c r="I155" s="27">
        <f>IF($A155="","",SUMIFS(入库单!$K$4:$K$2503,入库单!$G$4:$G$2503,$A155,入库单!$X$4:$X$2503,"采购入库",入库单!$Z$4:$Z$2503,"正常",入库单!$C$4:$C$2503,"&gt;="&amp;账期起,入库单!$C$4:$C$2503,"&lt;="&amp;账期止))</f>
        <v/>
      </c>
      <c r="J155" s="26">
        <f>IF($A155="","",SUMIFS(入库单!$V$4:$V$2503,入库单!$G$4:$G$2503,$A155,入库单!$X$4:$X$2503,"采购入库",入库单!$Z$4:$Z$2503,"正常",入库单!$C$4:$C$2503,"&gt;="&amp;账期起,入库单!$C$4:$C$2503,"&lt;="&amp;账期止))</f>
        <v/>
      </c>
      <c r="K155" s="26">
        <f>IF($A155="","",IFERROR(ROUND((N($H155)+N($J155))/(N($G155)+N($I155)),2),0))</f>
        <v/>
      </c>
      <c r="L155" s="27">
        <f>IF($A155="","",SUMIFS(入库单!$K$4:$K$2503,入库单!$G$4:$G$2503,$A155,入库单!$X$4:$X$2503,"盘盈",入库单!$Z$4:$Z$2503,"正常",入库单!$C$4:$C$2503,"&gt;="&amp;账期起,入库单!$C$4:$C$2503,"&lt;="&amp;账期止))</f>
        <v/>
      </c>
      <c r="M155" s="26">
        <f>IF($A155="","",ROUND($L155*$K155,0))</f>
        <v/>
      </c>
      <c r="N155" s="27">
        <f>IF($A155="","",SUMIFS(入库单!$K$4:$K$2503,入库单!$G$4:$G$2503,$A155,入库单!$X$4:$X$2503,"矿区退库",入库单!$Z$4:$Z$2503,"正常",入库单!$C$4:$C$2503,"&gt;="&amp;账期起,入库单!$C$4:$C$2503,"&lt;="&amp;账期止))</f>
        <v/>
      </c>
      <c r="O155" s="26">
        <f>IF($A155="","",ROUND($N155*$K155,0))</f>
        <v/>
      </c>
      <c r="P155" s="27">
        <f>IF($A155="","",SUMIFS(出库单!$J$4:$J$4003,出库单!$D$4:$D$4003,$A155,出库单!$K$4:$K$4003,"自用消耗",出库单!$U$4:$U$4003,"正常",出库单!$C$4:$C$4003,"&gt;="&amp;账期起,出库单!$C$4:$C$4003,"&lt;="&amp;账期止))</f>
        <v/>
      </c>
      <c r="Q155" s="26">
        <f>IF($A155="","",ROUND(SUMIFS(出库单!$S$4:$S$4003,出库单!$D$4:$D$4003,$A155,出库单!$K$4:$K$4003,"自用消耗",出库单!$U$4:$U$4003,"正常",出库单!$C$4:$C$4003,"&gt;="&amp;账期起,出库单!$C$4:$C$4003,"&lt;="&amp;账期止),0))</f>
        <v/>
      </c>
      <c r="R155" s="27">
        <f>IF($A155="","",SUMIFS(出库单!$J$4:$J$4003,出库单!$D$4:$D$4003,$A155,出库单!$K$4:$K$4003,"对外销售",出库单!$U$4:$U$4003,"正常",出库单!$C$4:$C$4003,"&gt;="&amp;账期起,出库单!$C$4:$C$4003,"&lt;="&amp;账期止))</f>
        <v/>
      </c>
      <c r="S155" s="26">
        <f>IF($A155="","",ROUND(SUMIFS(出库单!$S$4:$S$4003,出库单!$D$4:$D$4003,$A155,出库单!$K$4:$K$4003,"对外销售",出库单!$U$4:$U$4003,"正常",出库单!$C$4:$C$4003,"&gt;="&amp;账期起,出库单!$C$4:$C$4003,"&lt;="&amp;账期止),0))</f>
        <v/>
      </c>
      <c r="T155" s="27">
        <f>IF($A155="","",SUMIFS(出库单!$J$4:$J$4003,出库单!$D$4:$D$4003,$A155,出库单!$K$4:$K$4003,"盘亏",出库单!$U$4:$U$4003,"正常",出库单!$C$4:$C$4003,"&gt;="&amp;账期起,出库单!$C$4:$C$4003,"&lt;="&amp;账期止))</f>
        <v/>
      </c>
      <c r="U155" s="26">
        <f>IF($A155="","",ROUND(SUMIFS(出库单!$S$4:$S$4003,出库单!$D$4:$D$4003,$A155,出库单!$K$4:$K$4003,"盘亏",出库单!$U$4:$U$4003,"正常",出库单!$C$4:$C$4003,"&gt;="&amp;账期起,出库单!$C$4:$C$4003,"&lt;="&amp;账期止),0))</f>
        <v/>
      </c>
      <c r="V155" s="27">
        <f>IF($A155="","",SUMIFS(出库单!$J$4:$J$4003,出库单!$D$4:$D$4003,$A155,出库单!$K$4:$K$4003,"退货给供应商",出库单!$U$4:$U$4003,"正常",出库单!$C$4:$C$4003,"&gt;="&amp;账期起,出库单!$C$4:$C$4003,"&lt;="&amp;账期止))</f>
        <v/>
      </c>
      <c r="W155" s="26">
        <f>IF($A155="","",ROUND(SUMIFS(出库单!$S$4:$S$4003,出库单!$D$4:$D$4003,$A155,出库单!$K$4:$K$4003,"退货给供应商",出库单!$U$4:$U$4003,"正常",出库单!$C$4:$C$4003,"&gt;="&amp;账期起,出库单!$C$4:$C$4003,"&lt;="&amp;账期止),0))</f>
        <v/>
      </c>
      <c r="X155" s="27">
        <f>IF($A155="","",ROUND(N($G155)+$I155+$L155+$N155-$P155-$R155-$T155-$V155,3))</f>
        <v/>
      </c>
      <c r="Y155" s="26">
        <f>IF($A155="","",ROUND(N($H155)+$J155+$M155+$O155-$Q155-$S155-$U155-$W155,0))</f>
        <v/>
      </c>
      <c r="Z155" s="24">
        <f>IF($A155="","",IF(COUNTIFS(入库单!$G$4:$G$2503,$A155,入库单!$Y$4:$Y$2503,"待补价")+COUNTIFS(入库单!$G$4:$G$2503,$A155,入库单!$Y$4:$Y$2503,"暂估")&gt;0,"不可信","可信"))</f>
        <v/>
      </c>
      <c r="AA155" s="24">
        <f>IF($A155="","",IF($X155&lt;-0.001,"※账面负库存，查一下是不是漏记入库",IF(AND(ROUND($X155,3)=0,ABS($Y155)&gt;1),"※数量已经是 0，金额还挂着 "&amp;TEXT($Y155,"#,##0")&amp;" 先令",IF(AND($X155&gt;0,$Y155&lt;=0,$K155=0),"※有数量没金额（这个物料一直没填过进价）",IF($Z155="不可信","△成本含待补价/暂估，毛利仅供参考","")))))</f>
        <v/>
      </c>
    </row>
    <row r="156">
      <c r="A156" s="24">
        <f>IF(物料档案!$A155="","",物料档案!$A155)</f>
        <v/>
      </c>
      <c r="B156" s="24">
        <f>IF($A156="","",IFERROR(VLOOKUP($A156,物料档案!$A$4:$P$1203,3,0),""))</f>
        <v/>
      </c>
      <c r="C156" s="24">
        <f>IF($A156="","",IFERROR(VLOOKUP($A156,物料档案!$A$4:$P$1203,4,0),""))</f>
        <v/>
      </c>
      <c r="D156" s="24">
        <f>IF($A156="","",IFERROR(VLOOKUP($A156,物料档案!$A$4:$P$1203,5,0),""))</f>
        <v/>
      </c>
      <c r="E156" s="24">
        <f>IF($A156="","",IFERROR(VLOOKUP($A156,物料档案!$A$4:$P$1203,2,0),""))</f>
        <v/>
      </c>
      <c r="F156" s="24">
        <f>IF($A156="","",IFERROR(VLOOKUP($A156,物料档案!$A$4:$P$1203,6,0),""))</f>
        <v/>
      </c>
      <c r="G156" s="23" t="n"/>
      <c r="H156" s="32" t="n"/>
      <c r="I156" s="27">
        <f>IF($A156="","",SUMIFS(入库单!$K$4:$K$2503,入库单!$G$4:$G$2503,$A156,入库单!$X$4:$X$2503,"采购入库",入库单!$Z$4:$Z$2503,"正常",入库单!$C$4:$C$2503,"&gt;="&amp;账期起,入库单!$C$4:$C$2503,"&lt;="&amp;账期止))</f>
        <v/>
      </c>
      <c r="J156" s="26">
        <f>IF($A156="","",SUMIFS(入库单!$V$4:$V$2503,入库单!$G$4:$G$2503,$A156,入库单!$X$4:$X$2503,"采购入库",入库单!$Z$4:$Z$2503,"正常",入库单!$C$4:$C$2503,"&gt;="&amp;账期起,入库单!$C$4:$C$2503,"&lt;="&amp;账期止))</f>
        <v/>
      </c>
      <c r="K156" s="26">
        <f>IF($A156="","",IFERROR(ROUND((N($H156)+N($J156))/(N($G156)+N($I156)),2),0))</f>
        <v/>
      </c>
      <c r="L156" s="27">
        <f>IF($A156="","",SUMIFS(入库单!$K$4:$K$2503,入库单!$G$4:$G$2503,$A156,入库单!$X$4:$X$2503,"盘盈",入库单!$Z$4:$Z$2503,"正常",入库单!$C$4:$C$2503,"&gt;="&amp;账期起,入库单!$C$4:$C$2503,"&lt;="&amp;账期止))</f>
        <v/>
      </c>
      <c r="M156" s="26">
        <f>IF($A156="","",ROUND($L156*$K156,0))</f>
        <v/>
      </c>
      <c r="N156" s="27">
        <f>IF($A156="","",SUMIFS(入库单!$K$4:$K$2503,入库单!$G$4:$G$2503,$A156,入库单!$X$4:$X$2503,"矿区退库",入库单!$Z$4:$Z$2503,"正常",入库单!$C$4:$C$2503,"&gt;="&amp;账期起,入库单!$C$4:$C$2503,"&lt;="&amp;账期止))</f>
        <v/>
      </c>
      <c r="O156" s="26">
        <f>IF($A156="","",ROUND($N156*$K156,0))</f>
        <v/>
      </c>
      <c r="P156" s="27">
        <f>IF($A156="","",SUMIFS(出库单!$J$4:$J$4003,出库单!$D$4:$D$4003,$A156,出库单!$K$4:$K$4003,"自用消耗",出库单!$U$4:$U$4003,"正常",出库单!$C$4:$C$4003,"&gt;="&amp;账期起,出库单!$C$4:$C$4003,"&lt;="&amp;账期止))</f>
        <v/>
      </c>
      <c r="Q156" s="26">
        <f>IF($A156="","",ROUND(SUMIFS(出库单!$S$4:$S$4003,出库单!$D$4:$D$4003,$A156,出库单!$K$4:$K$4003,"自用消耗",出库单!$U$4:$U$4003,"正常",出库单!$C$4:$C$4003,"&gt;="&amp;账期起,出库单!$C$4:$C$4003,"&lt;="&amp;账期止),0))</f>
        <v/>
      </c>
      <c r="R156" s="27">
        <f>IF($A156="","",SUMIFS(出库单!$J$4:$J$4003,出库单!$D$4:$D$4003,$A156,出库单!$K$4:$K$4003,"对外销售",出库单!$U$4:$U$4003,"正常",出库单!$C$4:$C$4003,"&gt;="&amp;账期起,出库单!$C$4:$C$4003,"&lt;="&amp;账期止))</f>
        <v/>
      </c>
      <c r="S156" s="26">
        <f>IF($A156="","",ROUND(SUMIFS(出库单!$S$4:$S$4003,出库单!$D$4:$D$4003,$A156,出库单!$K$4:$K$4003,"对外销售",出库单!$U$4:$U$4003,"正常",出库单!$C$4:$C$4003,"&gt;="&amp;账期起,出库单!$C$4:$C$4003,"&lt;="&amp;账期止),0))</f>
        <v/>
      </c>
      <c r="T156" s="27">
        <f>IF($A156="","",SUMIFS(出库单!$J$4:$J$4003,出库单!$D$4:$D$4003,$A156,出库单!$K$4:$K$4003,"盘亏",出库单!$U$4:$U$4003,"正常",出库单!$C$4:$C$4003,"&gt;="&amp;账期起,出库单!$C$4:$C$4003,"&lt;="&amp;账期止))</f>
        <v/>
      </c>
      <c r="U156" s="26">
        <f>IF($A156="","",ROUND(SUMIFS(出库单!$S$4:$S$4003,出库单!$D$4:$D$4003,$A156,出库单!$K$4:$K$4003,"盘亏",出库单!$U$4:$U$4003,"正常",出库单!$C$4:$C$4003,"&gt;="&amp;账期起,出库单!$C$4:$C$4003,"&lt;="&amp;账期止),0))</f>
        <v/>
      </c>
      <c r="V156" s="27">
        <f>IF($A156="","",SUMIFS(出库单!$J$4:$J$4003,出库单!$D$4:$D$4003,$A156,出库单!$K$4:$K$4003,"退货给供应商",出库单!$U$4:$U$4003,"正常",出库单!$C$4:$C$4003,"&gt;="&amp;账期起,出库单!$C$4:$C$4003,"&lt;="&amp;账期止))</f>
        <v/>
      </c>
      <c r="W156" s="26">
        <f>IF($A156="","",ROUND(SUMIFS(出库单!$S$4:$S$4003,出库单!$D$4:$D$4003,$A156,出库单!$K$4:$K$4003,"退货给供应商",出库单!$U$4:$U$4003,"正常",出库单!$C$4:$C$4003,"&gt;="&amp;账期起,出库单!$C$4:$C$4003,"&lt;="&amp;账期止),0))</f>
        <v/>
      </c>
      <c r="X156" s="27">
        <f>IF($A156="","",ROUND(N($G156)+$I156+$L156+$N156-$P156-$R156-$T156-$V156,3))</f>
        <v/>
      </c>
      <c r="Y156" s="26">
        <f>IF($A156="","",ROUND(N($H156)+$J156+$M156+$O156-$Q156-$S156-$U156-$W156,0))</f>
        <v/>
      </c>
      <c r="Z156" s="24">
        <f>IF($A156="","",IF(COUNTIFS(入库单!$G$4:$G$2503,$A156,入库单!$Y$4:$Y$2503,"待补价")+COUNTIFS(入库单!$G$4:$G$2503,$A156,入库单!$Y$4:$Y$2503,"暂估")&gt;0,"不可信","可信"))</f>
        <v/>
      </c>
      <c r="AA156" s="24">
        <f>IF($A156="","",IF($X156&lt;-0.001,"※账面负库存，查一下是不是漏记入库",IF(AND(ROUND($X156,3)=0,ABS($Y156)&gt;1),"※数量已经是 0，金额还挂着 "&amp;TEXT($Y156,"#,##0")&amp;" 先令",IF(AND($X156&gt;0,$Y156&lt;=0,$K156=0),"※有数量没金额（这个物料一直没填过进价）",IF($Z156="不可信","△成本含待补价/暂估，毛利仅供参考","")))))</f>
        <v/>
      </c>
    </row>
    <row r="157">
      <c r="A157" s="24">
        <f>IF(物料档案!$A156="","",物料档案!$A156)</f>
        <v/>
      </c>
      <c r="B157" s="24">
        <f>IF($A157="","",IFERROR(VLOOKUP($A157,物料档案!$A$4:$P$1203,3,0),""))</f>
        <v/>
      </c>
      <c r="C157" s="24">
        <f>IF($A157="","",IFERROR(VLOOKUP($A157,物料档案!$A$4:$P$1203,4,0),""))</f>
        <v/>
      </c>
      <c r="D157" s="24">
        <f>IF($A157="","",IFERROR(VLOOKUP($A157,物料档案!$A$4:$P$1203,5,0),""))</f>
        <v/>
      </c>
      <c r="E157" s="24">
        <f>IF($A157="","",IFERROR(VLOOKUP($A157,物料档案!$A$4:$P$1203,2,0),""))</f>
        <v/>
      </c>
      <c r="F157" s="24">
        <f>IF($A157="","",IFERROR(VLOOKUP($A157,物料档案!$A$4:$P$1203,6,0),""))</f>
        <v/>
      </c>
      <c r="G157" s="23" t="n"/>
      <c r="H157" s="32" t="n"/>
      <c r="I157" s="27">
        <f>IF($A157="","",SUMIFS(入库单!$K$4:$K$2503,入库单!$G$4:$G$2503,$A157,入库单!$X$4:$X$2503,"采购入库",入库单!$Z$4:$Z$2503,"正常",入库单!$C$4:$C$2503,"&gt;="&amp;账期起,入库单!$C$4:$C$2503,"&lt;="&amp;账期止))</f>
        <v/>
      </c>
      <c r="J157" s="26">
        <f>IF($A157="","",SUMIFS(入库单!$V$4:$V$2503,入库单!$G$4:$G$2503,$A157,入库单!$X$4:$X$2503,"采购入库",入库单!$Z$4:$Z$2503,"正常",入库单!$C$4:$C$2503,"&gt;="&amp;账期起,入库单!$C$4:$C$2503,"&lt;="&amp;账期止))</f>
        <v/>
      </c>
      <c r="K157" s="26">
        <f>IF($A157="","",IFERROR(ROUND((N($H157)+N($J157))/(N($G157)+N($I157)),2),0))</f>
        <v/>
      </c>
      <c r="L157" s="27">
        <f>IF($A157="","",SUMIFS(入库单!$K$4:$K$2503,入库单!$G$4:$G$2503,$A157,入库单!$X$4:$X$2503,"盘盈",入库单!$Z$4:$Z$2503,"正常",入库单!$C$4:$C$2503,"&gt;="&amp;账期起,入库单!$C$4:$C$2503,"&lt;="&amp;账期止))</f>
        <v/>
      </c>
      <c r="M157" s="26">
        <f>IF($A157="","",ROUND($L157*$K157,0))</f>
        <v/>
      </c>
      <c r="N157" s="27">
        <f>IF($A157="","",SUMIFS(入库单!$K$4:$K$2503,入库单!$G$4:$G$2503,$A157,入库单!$X$4:$X$2503,"矿区退库",入库单!$Z$4:$Z$2503,"正常",入库单!$C$4:$C$2503,"&gt;="&amp;账期起,入库单!$C$4:$C$2503,"&lt;="&amp;账期止))</f>
        <v/>
      </c>
      <c r="O157" s="26">
        <f>IF($A157="","",ROUND($N157*$K157,0))</f>
        <v/>
      </c>
      <c r="P157" s="27">
        <f>IF($A157="","",SUMIFS(出库单!$J$4:$J$4003,出库单!$D$4:$D$4003,$A157,出库单!$K$4:$K$4003,"自用消耗",出库单!$U$4:$U$4003,"正常",出库单!$C$4:$C$4003,"&gt;="&amp;账期起,出库单!$C$4:$C$4003,"&lt;="&amp;账期止))</f>
        <v/>
      </c>
      <c r="Q157" s="26">
        <f>IF($A157="","",ROUND(SUMIFS(出库单!$S$4:$S$4003,出库单!$D$4:$D$4003,$A157,出库单!$K$4:$K$4003,"自用消耗",出库单!$U$4:$U$4003,"正常",出库单!$C$4:$C$4003,"&gt;="&amp;账期起,出库单!$C$4:$C$4003,"&lt;="&amp;账期止),0))</f>
        <v/>
      </c>
      <c r="R157" s="27">
        <f>IF($A157="","",SUMIFS(出库单!$J$4:$J$4003,出库单!$D$4:$D$4003,$A157,出库单!$K$4:$K$4003,"对外销售",出库单!$U$4:$U$4003,"正常",出库单!$C$4:$C$4003,"&gt;="&amp;账期起,出库单!$C$4:$C$4003,"&lt;="&amp;账期止))</f>
        <v/>
      </c>
      <c r="S157" s="26">
        <f>IF($A157="","",ROUND(SUMIFS(出库单!$S$4:$S$4003,出库单!$D$4:$D$4003,$A157,出库单!$K$4:$K$4003,"对外销售",出库单!$U$4:$U$4003,"正常",出库单!$C$4:$C$4003,"&gt;="&amp;账期起,出库单!$C$4:$C$4003,"&lt;="&amp;账期止),0))</f>
        <v/>
      </c>
      <c r="T157" s="27">
        <f>IF($A157="","",SUMIFS(出库单!$J$4:$J$4003,出库单!$D$4:$D$4003,$A157,出库单!$K$4:$K$4003,"盘亏",出库单!$U$4:$U$4003,"正常",出库单!$C$4:$C$4003,"&gt;="&amp;账期起,出库单!$C$4:$C$4003,"&lt;="&amp;账期止))</f>
        <v/>
      </c>
      <c r="U157" s="26">
        <f>IF($A157="","",ROUND(SUMIFS(出库单!$S$4:$S$4003,出库单!$D$4:$D$4003,$A157,出库单!$K$4:$K$4003,"盘亏",出库单!$U$4:$U$4003,"正常",出库单!$C$4:$C$4003,"&gt;="&amp;账期起,出库单!$C$4:$C$4003,"&lt;="&amp;账期止),0))</f>
        <v/>
      </c>
      <c r="V157" s="27">
        <f>IF($A157="","",SUMIFS(出库单!$J$4:$J$4003,出库单!$D$4:$D$4003,$A157,出库单!$K$4:$K$4003,"退货给供应商",出库单!$U$4:$U$4003,"正常",出库单!$C$4:$C$4003,"&gt;="&amp;账期起,出库单!$C$4:$C$4003,"&lt;="&amp;账期止))</f>
        <v/>
      </c>
      <c r="W157" s="26">
        <f>IF($A157="","",ROUND(SUMIFS(出库单!$S$4:$S$4003,出库单!$D$4:$D$4003,$A157,出库单!$K$4:$K$4003,"退货给供应商",出库单!$U$4:$U$4003,"正常",出库单!$C$4:$C$4003,"&gt;="&amp;账期起,出库单!$C$4:$C$4003,"&lt;="&amp;账期止),0))</f>
        <v/>
      </c>
      <c r="X157" s="27">
        <f>IF($A157="","",ROUND(N($G157)+$I157+$L157+$N157-$P157-$R157-$T157-$V157,3))</f>
        <v/>
      </c>
      <c r="Y157" s="26">
        <f>IF($A157="","",ROUND(N($H157)+$J157+$M157+$O157-$Q157-$S157-$U157-$W157,0))</f>
        <v/>
      </c>
      <c r="Z157" s="24">
        <f>IF($A157="","",IF(COUNTIFS(入库单!$G$4:$G$2503,$A157,入库单!$Y$4:$Y$2503,"待补价")+COUNTIFS(入库单!$G$4:$G$2503,$A157,入库单!$Y$4:$Y$2503,"暂估")&gt;0,"不可信","可信"))</f>
        <v/>
      </c>
      <c r="AA157" s="24">
        <f>IF($A157="","",IF($X157&lt;-0.001,"※账面负库存，查一下是不是漏记入库",IF(AND(ROUND($X157,3)=0,ABS($Y157)&gt;1),"※数量已经是 0，金额还挂着 "&amp;TEXT($Y157,"#,##0")&amp;" 先令",IF(AND($X157&gt;0,$Y157&lt;=0,$K157=0),"※有数量没金额（这个物料一直没填过进价）",IF($Z157="不可信","△成本含待补价/暂估，毛利仅供参考","")))))</f>
        <v/>
      </c>
    </row>
    <row r="158">
      <c r="A158" s="24">
        <f>IF(物料档案!$A157="","",物料档案!$A157)</f>
        <v/>
      </c>
      <c r="B158" s="24">
        <f>IF($A158="","",IFERROR(VLOOKUP($A158,物料档案!$A$4:$P$1203,3,0),""))</f>
        <v/>
      </c>
      <c r="C158" s="24">
        <f>IF($A158="","",IFERROR(VLOOKUP($A158,物料档案!$A$4:$P$1203,4,0),""))</f>
        <v/>
      </c>
      <c r="D158" s="24">
        <f>IF($A158="","",IFERROR(VLOOKUP($A158,物料档案!$A$4:$P$1203,5,0),""))</f>
        <v/>
      </c>
      <c r="E158" s="24">
        <f>IF($A158="","",IFERROR(VLOOKUP($A158,物料档案!$A$4:$P$1203,2,0),""))</f>
        <v/>
      </c>
      <c r="F158" s="24">
        <f>IF($A158="","",IFERROR(VLOOKUP($A158,物料档案!$A$4:$P$1203,6,0),""))</f>
        <v/>
      </c>
      <c r="G158" s="23" t="n"/>
      <c r="H158" s="32" t="n"/>
      <c r="I158" s="27">
        <f>IF($A158="","",SUMIFS(入库单!$K$4:$K$2503,入库单!$G$4:$G$2503,$A158,入库单!$X$4:$X$2503,"采购入库",入库单!$Z$4:$Z$2503,"正常",入库单!$C$4:$C$2503,"&gt;="&amp;账期起,入库单!$C$4:$C$2503,"&lt;="&amp;账期止))</f>
        <v/>
      </c>
      <c r="J158" s="26">
        <f>IF($A158="","",SUMIFS(入库单!$V$4:$V$2503,入库单!$G$4:$G$2503,$A158,入库单!$X$4:$X$2503,"采购入库",入库单!$Z$4:$Z$2503,"正常",入库单!$C$4:$C$2503,"&gt;="&amp;账期起,入库单!$C$4:$C$2503,"&lt;="&amp;账期止))</f>
        <v/>
      </c>
      <c r="K158" s="26">
        <f>IF($A158="","",IFERROR(ROUND((N($H158)+N($J158))/(N($G158)+N($I158)),2),0))</f>
        <v/>
      </c>
      <c r="L158" s="27">
        <f>IF($A158="","",SUMIFS(入库单!$K$4:$K$2503,入库单!$G$4:$G$2503,$A158,入库单!$X$4:$X$2503,"盘盈",入库单!$Z$4:$Z$2503,"正常",入库单!$C$4:$C$2503,"&gt;="&amp;账期起,入库单!$C$4:$C$2503,"&lt;="&amp;账期止))</f>
        <v/>
      </c>
      <c r="M158" s="26">
        <f>IF($A158="","",ROUND($L158*$K158,0))</f>
        <v/>
      </c>
      <c r="N158" s="27">
        <f>IF($A158="","",SUMIFS(入库单!$K$4:$K$2503,入库单!$G$4:$G$2503,$A158,入库单!$X$4:$X$2503,"矿区退库",入库单!$Z$4:$Z$2503,"正常",入库单!$C$4:$C$2503,"&gt;="&amp;账期起,入库单!$C$4:$C$2503,"&lt;="&amp;账期止))</f>
        <v/>
      </c>
      <c r="O158" s="26">
        <f>IF($A158="","",ROUND($N158*$K158,0))</f>
        <v/>
      </c>
      <c r="P158" s="27">
        <f>IF($A158="","",SUMIFS(出库单!$J$4:$J$4003,出库单!$D$4:$D$4003,$A158,出库单!$K$4:$K$4003,"自用消耗",出库单!$U$4:$U$4003,"正常",出库单!$C$4:$C$4003,"&gt;="&amp;账期起,出库单!$C$4:$C$4003,"&lt;="&amp;账期止))</f>
        <v/>
      </c>
      <c r="Q158" s="26">
        <f>IF($A158="","",ROUND(SUMIFS(出库单!$S$4:$S$4003,出库单!$D$4:$D$4003,$A158,出库单!$K$4:$K$4003,"自用消耗",出库单!$U$4:$U$4003,"正常",出库单!$C$4:$C$4003,"&gt;="&amp;账期起,出库单!$C$4:$C$4003,"&lt;="&amp;账期止),0))</f>
        <v/>
      </c>
      <c r="R158" s="27">
        <f>IF($A158="","",SUMIFS(出库单!$J$4:$J$4003,出库单!$D$4:$D$4003,$A158,出库单!$K$4:$K$4003,"对外销售",出库单!$U$4:$U$4003,"正常",出库单!$C$4:$C$4003,"&gt;="&amp;账期起,出库单!$C$4:$C$4003,"&lt;="&amp;账期止))</f>
        <v/>
      </c>
      <c r="S158" s="26">
        <f>IF($A158="","",ROUND(SUMIFS(出库单!$S$4:$S$4003,出库单!$D$4:$D$4003,$A158,出库单!$K$4:$K$4003,"对外销售",出库单!$U$4:$U$4003,"正常",出库单!$C$4:$C$4003,"&gt;="&amp;账期起,出库单!$C$4:$C$4003,"&lt;="&amp;账期止),0))</f>
        <v/>
      </c>
      <c r="T158" s="27">
        <f>IF($A158="","",SUMIFS(出库单!$J$4:$J$4003,出库单!$D$4:$D$4003,$A158,出库单!$K$4:$K$4003,"盘亏",出库单!$U$4:$U$4003,"正常",出库单!$C$4:$C$4003,"&gt;="&amp;账期起,出库单!$C$4:$C$4003,"&lt;="&amp;账期止))</f>
        <v/>
      </c>
      <c r="U158" s="26">
        <f>IF($A158="","",ROUND(SUMIFS(出库单!$S$4:$S$4003,出库单!$D$4:$D$4003,$A158,出库单!$K$4:$K$4003,"盘亏",出库单!$U$4:$U$4003,"正常",出库单!$C$4:$C$4003,"&gt;="&amp;账期起,出库单!$C$4:$C$4003,"&lt;="&amp;账期止),0))</f>
        <v/>
      </c>
      <c r="V158" s="27">
        <f>IF($A158="","",SUMIFS(出库单!$J$4:$J$4003,出库单!$D$4:$D$4003,$A158,出库单!$K$4:$K$4003,"退货给供应商",出库单!$U$4:$U$4003,"正常",出库单!$C$4:$C$4003,"&gt;="&amp;账期起,出库单!$C$4:$C$4003,"&lt;="&amp;账期止))</f>
        <v/>
      </c>
      <c r="W158" s="26">
        <f>IF($A158="","",ROUND(SUMIFS(出库单!$S$4:$S$4003,出库单!$D$4:$D$4003,$A158,出库单!$K$4:$K$4003,"退货给供应商",出库单!$U$4:$U$4003,"正常",出库单!$C$4:$C$4003,"&gt;="&amp;账期起,出库单!$C$4:$C$4003,"&lt;="&amp;账期止),0))</f>
        <v/>
      </c>
      <c r="X158" s="27">
        <f>IF($A158="","",ROUND(N($G158)+$I158+$L158+$N158-$P158-$R158-$T158-$V158,3))</f>
        <v/>
      </c>
      <c r="Y158" s="26">
        <f>IF($A158="","",ROUND(N($H158)+$J158+$M158+$O158-$Q158-$S158-$U158-$W158,0))</f>
        <v/>
      </c>
      <c r="Z158" s="24">
        <f>IF($A158="","",IF(COUNTIFS(入库单!$G$4:$G$2503,$A158,入库单!$Y$4:$Y$2503,"待补价")+COUNTIFS(入库单!$G$4:$G$2503,$A158,入库单!$Y$4:$Y$2503,"暂估")&gt;0,"不可信","可信"))</f>
        <v/>
      </c>
      <c r="AA158" s="24">
        <f>IF($A158="","",IF($X158&lt;-0.001,"※账面负库存，查一下是不是漏记入库",IF(AND(ROUND($X158,3)=0,ABS($Y158)&gt;1),"※数量已经是 0，金额还挂着 "&amp;TEXT($Y158,"#,##0")&amp;" 先令",IF(AND($X158&gt;0,$Y158&lt;=0,$K158=0),"※有数量没金额（这个物料一直没填过进价）",IF($Z158="不可信","△成本含待补价/暂估，毛利仅供参考","")))))</f>
        <v/>
      </c>
    </row>
    <row r="159">
      <c r="A159" s="24">
        <f>IF(物料档案!$A158="","",物料档案!$A158)</f>
        <v/>
      </c>
      <c r="B159" s="24">
        <f>IF($A159="","",IFERROR(VLOOKUP($A159,物料档案!$A$4:$P$1203,3,0),""))</f>
        <v/>
      </c>
      <c r="C159" s="24">
        <f>IF($A159="","",IFERROR(VLOOKUP($A159,物料档案!$A$4:$P$1203,4,0),""))</f>
        <v/>
      </c>
      <c r="D159" s="24">
        <f>IF($A159="","",IFERROR(VLOOKUP($A159,物料档案!$A$4:$P$1203,5,0),""))</f>
        <v/>
      </c>
      <c r="E159" s="24">
        <f>IF($A159="","",IFERROR(VLOOKUP($A159,物料档案!$A$4:$P$1203,2,0),""))</f>
        <v/>
      </c>
      <c r="F159" s="24">
        <f>IF($A159="","",IFERROR(VLOOKUP($A159,物料档案!$A$4:$P$1203,6,0),""))</f>
        <v/>
      </c>
      <c r="G159" s="23" t="n"/>
      <c r="H159" s="32" t="n"/>
      <c r="I159" s="27">
        <f>IF($A159="","",SUMIFS(入库单!$K$4:$K$2503,入库单!$G$4:$G$2503,$A159,入库单!$X$4:$X$2503,"采购入库",入库单!$Z$4:$Z$2503,"正常",入库单!$C$4:$C$2503,"&gt;="&amp;账期起,入库单!$C$4:$C$2503,"&lt;="&amp;账期止))</f>
        <v/>
      </c>
      <c r="J159" s="26">
        <f>IF($A159="","",SUMIFS(入库单!$V$4:$V$2503,入库单!$G$4:$G$2503,$A159,入库单!$X$4:$X$2503,"采购入库",入库单!$Z$4:$Z$2503,"正常",入库单!$C$4:$C$2503,"&gt;="&amp;账期起,入库单!$C$4:$C$2503,"&lt;="&amp;账期止))</f>
        <v/>
      </c>
      <c r="K159" s="26">
        <f>IF($A159="","",IFERROR(ROUND((N($H159)+N($J159))/(N($G159)+N($I159)),2),0))</f>
        <v/>
      </c>
      <c r="L159" s="27">
        <f>IF($A159="","",SUMIFS(入库单!$K$4:$K$2503,入库单!$G$4:$G$2503,$A159,入库单!$X$4:$X$2503,"盘盈",入库单!$Z$4:$Z$2503,"正常",入库单!$C$4:$C$2503,"&gt;="&amp;账期起,入库单!$C$4:$C$2503,"&lt;="&amp;账期止))</f>
        <v/>
      </c>
      <c r="M159" s="26">
        <f>IF($A159="","",ROUND($L159*$K159,0))</f>
        <v/>
      </c>
      <c r="N159" s="27">
        <f>IF($A159="","",SUMIFS(入库单!$K$4:$K$2503,入库单!$G$4:$G$2503,$A159,入库单!$X$4:$X$2503,"矿区退库",入库单!$Z$4:$Z$2503,"正常",入库单!$C$4:$C$2503,"&gt;="&amp;账期起,入库单!$C$4:$C$2503,"&lt;="&amp;账期止))</f>
        <v/>
      </c>
      <c r="O159" s="26">
        <f>IF($A159="","",ROUND($N159*$K159,0))</f>
        <v/>
      </c>
      <c r="P159" s="27">
        <f>IF($A159="","",SUMIFS(出库单!$J$4:$J$4003,出库单!$D$4:$D$4003,$A159,出库单!$K$4:$K$4003,"自用消耗",出库单!$U$4:$U$4003,"正常",出库单!$C$4:$C$4003,"&gt;="&amp;账期起,出库单!$C$4:$C$4003,"&lt;="&amp;账期止))</f>
        <v/>
      </c>
      <c r="Q159" s="26">
        <f>IF($A159="","",ROUND(SUMIFS(出库单!$S$4:$S$4003,出库单!$D$4:$D$4003,$A159,出库单!$K$4:$K$4003,"自用消耗",出库单!$U$4:$U$4003,"正常",出库单!$C$4:$C$4003,"&gt;="&amp;账期起,出库单!$C$4:$C$4003,"&lt;="&amp;账期止),0))</f>
        <v/>
      </c>
      <c r="R159" s="27">
        <f>IF($A159="","",SUMIFS(出库单!$J$4:$J$4003,出库单!$D$4:$D$4003,$A159,出库单!$K$4:$K$4003,"对外销售",出库单!$U$4:$U$4003,"正常",出库单!$C$4:$C$4003,"&gt;="&amp;账期起,出库单!$C$4:$C$4003,"&lt;="&amp;账期止))</f>
        <v/>
      </c>
      <c r="S159" s="26">
        <f>IF($A159="","",ROUND(SUMIFS(出库单!$S$4:$S$4003,出库单!$D$4:$D$4003,$A159,出库单!$K$4:$K$4003,"对外销售",出库单!$U$4:$U$4003,"正常",出库单!$C$4:$C$4003,"&gt;="&amp;账期起,出库单!$C$4:$C$4003,"&lt;="&amp;账期止),0))</f>
        <v/>
      </c>
      <c r="T159" s="27">
        <f>IF($A159="","",SUMIFS(出库单!$J$4:$J$4003,出库单!$D$4:$D$4003,$A159,出库单!$K$4:$K$4003,"盘亏",出库单!$U$4:$U$4003,"正常",出库单!$C$4:$C$4003,"&gt;="&amp;账期起,出库单!$C$4:$C$4003,"&lt;="&amp;账期止))</f>
        <v/>
      </c>
      <c r="U159" s="26">
        <f>IF($A159="","",ROUND(SUMIFS(出库单!$S$4:$S$4003,出库单!$D$4:$D$4003,$A159,出库单!$K$4:$K$4003,"盘亏",出库单!$U$4:$U$4003,"正常",出库单!$C$4:$C$4003,"&gt;="&amp;账期起,出库单!$C$4:$C$4003,"&lt;="&amp;账期止),0))</f>
        <v/>
      </c>
      <c r="V159" s="27">
        <f>IF($A159="","",SUMIFS(出库单!$J$4:$J$4003,出库单!$D$4:$D$4003,$A159,出库单!$K$4:$K$4003,"退货给供应商",出库单!$U$4:$U$4003,"正常",出库单!$C$4:$C$4003,"&gt;="&amp;账期起,出库单!$C$4:$C$4003,"&lt;="&amp;账期止))</f>
        <v/>
      </c>
      <c r="W159" s="26">
        <f>IF($A159="","",ROUND(SUMIFS(出库单!$S$4:$S$4003,出库单!$D$4:$D$4003,$A159,出库单!$K$4:$K$4003,"退货给供应商",出库单!$U$4:$U$4003,"正常",出库单!$C$4:$C$4003,"&gt;="&amp;账期起,出库单!$C$4:$C$4003,"&lt;="&amp;账期止),0))</f>
        <v/>
      </c>
      <c r="X159" s="27">
        <f>IF($A159="","",ROUND(N($G159)+$I159+$L159+$N159-$P159-$R159-$T159-$V159,3))</f>
        <v/>
      </c>
      <c r="Y159" s="26">
        <f>IF($A159="","",ROUND(N($H159)+$J159+$M159+$O159-$Q159-$S159-$U159-$W159,0))</f>
        <v/>
      </c>
      <c r="Z159" s="24">
        <f>IF($A159="","",IF(COUNTIFS(入库单!$G$4:$G$2503,$A159,入库单!$Y$4:$Y$2503,"待补价")+COUNTIFS(入库单!$G$4:$G$2503,$A159,入库单!$Y$4:$Y$2503,"暂估")&gt;0,"不可信","可信"))</f>
        <v/>
      </c>
      <c r="AA159" s="24">
        <f>IF($A159="","",IF($X159&lt;-0.001,"※账面负库存，查一下是不是漏记入库",IF(AND(ROUND($X159,3)=0,ABS($Y159)&gt;1),"※数量已经是 0，金额还挂着 "&amp;TEXT($Y159,"#,##0")&amp;" 先令",IF(AND($X159&gt;0,$Y159&lt;=0,$K159=0),"※有数量没金额（这个物料一直没填过进价）",IF($Z159="不可信","△成本含待补价/暂估，毛利仅供参考","")))))</f>
        <v/>
      </c>
    </row>
    <row r="160">
      <c r="A160" s="24">
        <f>IF(物料档案!$A159="","",物料档案!$A159)</f>
        <v/>
      </c>
      <c r="B160" s="24">
        <f>IF($A160="","",IFERROR(VLOOKUP($A160,物料档案!$A$4:$P$1203,3,0),""))</f>
        <v/>
      </c>
      <c r="C160" s="24">
        <f>IF($A160="","",IFERROR(VLOOKUP($A160,物料档案!$A$4:$P$1203,4,0),""))</f>
        <v/>
      </c>
      <c r="D160" s="24">
        <f>IF($A160="","",IFERROR(VLOOKUP($A160,物料档案!$A$4:$P$1203,5,0),""))</f>
        <v/>
      </c>
      <c r="E160" s="24">
        <f>IF($A160="","",IFERROR(VLOOKUP($A160,物料档案!$A$4:$P$1203,2,0),""))</f>
        <v/>
      </c>
      <c r="F160" s="24">
        <f>IF($A160="","",IFERROR(VLOOKUP($A160,物料档案!$A$4:$P$1203,6,0),""))</f>
        <v/>
      </c>
      <c r="G160" s="23" t="n"/>
      <c r="H160" s="32" t="n"/>
      <c r="I160" s="27">
        <f>IF($A160="","",SUMIFS(入库单!$K$4:$K$2503,入库单!$G$4:$G$2503,$A160,入库单!$X$4:$X$2503,"采购入库",入库单!$Z$4:$Z$2503,"正常",入库单!$C$4:$C$2503,"&gt;="&amp;账期起,入库单!$C$4:$C$2503,"&lt;="&amp;账期止))</f>
        <v/>
      </c>
      <c r="J160" s="26">
        <f>IF($A160="","",SUMIFS(入库单!$V$4:$V$2503,入库单!$G$4:$G$2503,$A160,入库单!$X$4:$X$2503,"采购入库",入库单!$Z$4:$Z$2503,"正常",入库单!$C$4:$C$2503,"&gt;="&amp;账期起,入库单!$C$4:$C$2503,"&lt;="&amp;账期止))</f>
        <v/>
      </c>
      <c r="K160" s="26">
        <f>IF($A160="","",IFERROR(ROUND((N($H160)+N($J160))/(N($G160)+N($I160)),2),0))</f>
        <v/>
      </c>
      <c r="L160" s="27">
        <f>IF($A160="","",SUMIFS(入库单!$K$4:$K$2503,入库单!$G$4:$G$2503,$A160,入库单!$X$4:$X$2503,"盘盈",入库单!$Z$4:$Z$2503,"正常",入库单!$C$4:$C$2503,"&gt;="&amp;账期起,入库单!$C$4:$C$2503,"&lt;="&amp;账期止))</f>
        <v/>
      </c>
      <c r="M160" s="26">
        <f>IF($A160="","",ROUND($L160*$K160,0))</f>
        <v/>
      </c>
      <c r="N160" s="27">
        <f>IF($A160="","",SUMIFS(入库单!$K$4:$K$2503,入库单!$G$4:$G$2503,$A160,入库单!$X$4:$X$2503,"矿区退库",入库单!$Z$4:$Z$2503,"正常",入库单!$C$4:$C$2503,"&gt;="&amp;账期起,入库单!$C$4:$C$2503,"&lt;="&amp;账期止))</f>
        <v/>
      </c>
      <c r="O160" s="26">
        <f>IF($A160="","",ROUND($N160*$K160,0))</f>
        <v/>
      </c>
      <c r="P160" s="27">
        <f>IF($A160="","",SUMIFS(出库单!$J$4:$J$4003,出库单!$D$4:$D$4003,$A160,出库单!$K$4:$K$4003,"自用消耗",出库单!$U$4:$U$4003,"正常",出库单!$C$4:$C$4003,"&gt;="&amp;账期起,出库单!$C$4:$C$4003,"&lt;="&amp;账期止))</f>
        <v/>
      </c>
      <c r="Q160" s="26">
        <f>IF($A160="","",ROUND(SUMIFS(出库单!$S$4:$S$4003,出库单!$D$4:$D$4003,$A160,出库单!$K$4:$K$4003,"自用消耗",出库单!$U$4:$U$4003,"正常",出库单!$C$4:$C$4003,"&gt;="&amp;账期起,出库单!$C$4:$C$4003,"&lt;="&amp;账期止),0))</f>
        <v/>
      </c>
      <c r="R160" s="27">
        <f>IF($A160="","",SUMIFS(出库单!$J$4:$J$4003,出库单!$D$4:$D$4003,$A160,出库单!$K$4:$K$4003,"对外销售",出库单!$U$4:$U$4003,"正常",出库单!$C$4:$C$4003,"&gt;="&amp;账期起,出库单!$C$4:$C$4003,"&lt;="&amp;账期止))</f>
        <v/>
      </c>
      <c r="S160" s="26">
        <f>IF($A160="","",ROUND(SUMIFS(出库单!$S$4:$S$4003,出库单!$D$4:$D$4003,$A160,出库单!$K$4:$K$4003,"对外销售",出库单!$U$4:$U$4003,"正常",出库单!$C$4:$C$4003,"&gt;="&amp;账期起,出库单!$C$4:$C$4003,"&lt;="&amp;账期止),0))</f>
        <v/>
      </c>
      <c r="T160" s="27">
        <f>IF($A160="","",SUMIFS(出库单!$J$4:$J$4003,出库单!$D$4:$D$4003,$A160,出库单!$K$4:$K$4003,"盘亏",出库单!$U$4:$U$4003,"正常",出库单!$C$4:$C$4003,"&gt;="&amp;账期起,出库单!$C$4:$C$4003,"&lt;="&amp;账期止))</f>
        <v/>
      </c>
      <c r="U160" s="26">
        <f>IF($A160="","",ROUND(SUMIFS(出库单!$S$4:$S$4003,出库单!$D$4:$D$4003,$A160,出库单!$K$4:$K$4003,"盘亏",出库单!$U$4:$U$4003,"正常",出库单!$C$4:$C$4003,"&gt;="&amp;账期起,出库单!$C$4:$C$4003,"&lt;="&amp;账期止),0))</f>
        <v/>
      </c>
      <c r="V160" s="27">
        <f>IF($A160="","",SUMIFS(出库单!$J$4:$J$4003,出库单!$D$4:$D$4003,$A160,出库单!$K$4:$K$4003,"退货给供应商",出库单!$U$4:$U$4003,"正常",出库单!$C$4:$C$4003,"&gt;="&amp;账期起,出库单!$C$4:$C$4003,"&lt;="&amp;账期止))</f>
        <v/>
      </c>
      <c r="W160" s="26">
        <f>IF($A160="","",ROUND(SUMIFS(出库单!$S$4:$S$4003,出库单!$D$4:$D$4003,$A160,出库单!$K$4:$K$4003,"退货给供应商",出库单!$U$4:$U$4003,"正常",出库单!$C$4:$C$4003,"&gt;="&amp;账期起,出库单!$C$4:$C$4003,"&lt;="&amp;账期止),0))</f>
        <v/>
      </c>
      <c r="X160" s="27">
        <f>IF($A160="","",ROUND(N($G160)+$I160+$L160+$N160-$P160-$R160-$T160-$V160,3))</f>
        <v/>
      </c>
      <c r="Y160" s="26">
        <f>IF($A160="","",ROUND(N($H160)+$J160+$M160+$O160-$Q160-$S160-$U160-$W160,0))</f>
        <v/>
      </c>
      <c r="Z160" s="24">
        <f>IF($A160="","",IF(COUNTIFS(入库单!$G$4:$G$2503,$A160,入库单!$Y$4:$Y$2503,"待补价")+COUNTIFS(入库单!$G$4:$G$2503,$A160,入库单!$Y$4:$Y$2503,"暂估")&gt;0,"不可信","可信"))</f>
        <v/>
      </c>
      <c r="AA160" s="24">
        <f>IF($A160="","",IF($X160&lt;-0.001,"※账面负库存，查一下是不是漏记入库",IF(AND(ROUND($X160,3)=0,ABS($Y160)&gt;1),"※数量已经是 0，金额还挂着 "&amp;TEXT($Y160,"#,##0")&amp;" 先令",IF(AND($X160&gt;0,$Y160&lt;=0,$K160=0),"※有数量没金额（这个物料一直没填过进价）",IF($Z160="不可信","△成本含待补价/暂估，毛利仅供参考","")))))</f>
        <v/>
      </c>
    </row>
    <row r="161">
      <c r="A161" s="24">
        <f>IF(物料档案!$A160="","",物料档案!$A160)</f>
        <v/>
      </c>
      <c r="B161" s="24">
        <f>IF($A161="","",IFERROR(VLOOKUP($A161,物料档案!$A$4:$P$1203,3,0),""))</f>
        <v/>
      </c>
      <c r="C161" s="24">
        <f>IF($A161="","",IFERROR(VLOOKUP($A161,物料档案!$A$4:$P$1203,4,0),""))</f>
        <v/>
      </c>
      <c r="D161" s="24">
        <f>IF($A161="","",IFERROR(VLOOKUP($A161,物料档案!$A$4:$P$1203,5,0),""))</f>
        <v/>
      </c>
      <c r="E161" s="24">
        <f>IF($A161="","",IFERROR(VLOOKUP($A161,物料档案!$A$4:$P$1203,2,0),""))</f>
        <v/>
      </c>
      <c r="F161" s="24">
        <f>IF($A161="","",IFERROR(VLOOKUP($A161,物料档案!$A$4:$P$1203,6,0),""))</f>
        <v/>
      </c>
      <c r="G161" s="23" t="n"/>
      <c r="H161" s="32" t="n"/>
      <c r="I161" s="27">
        <f>IF($A161="","",SUMIFS(入库单!$K$4:$K$2503,入库单!$G$4:$G$2503,$A161,入库单!$X$4:$X$2503,"采购入库",入库单!$Z$4:$Z$2503,"正常",入库单!$C$4:$C$2503,"&gt;="&amp;账期起,入库单!$C$4:$C$2503,"&lt;="&amp;账期止))</f>
        <v/>
      </c>
      <c r="J161" s="26">
        <f>IF($A161="","",SUMIFS(入库单!$V$4:$V$2503,入库单!$G$4:$G$2503,$A161,入库单!$X$4:$X$2503,"采购入库",入库单!$Z$4:$Z$2503,"正常",入库单!$C$4:$C$2503,"&gt;="&amp;账期起,入库单!$C$4:$C$2503,"&lt;="&amp;账期止))</f>
        <v/>
      </c>
      <c r="K161" s="26">
        <f>IF($A161="","",IFERROR(ROUND((N($H161)+N($J161))/(N($G161)+N($I161)),2),0))</f>
        <v/>
      </c>
      <c r="L161" s="27">
        <f>IF($A161="","",SUMIFS(入库单!$K$4:$K$2503,入库单!$G$4:$G$2503,$A161,入库单!$X$4:$X$2503,"盘盈",入库单!$Z$4:$Z$2503,"正常",入库单!$C$4:$C$2503,"&gt;="&amp;账期起,入库单!$C$4:$C$2503,"&lt;="&amp;账期止))</f>
        <v/>
      </c>
      <c r="M161" s="26">
        <f>IF($A161="","",ROUND($L161*$K161,0))</f>
        <v/>
      </c>
      <c r="N161" s="27">
        <f>IF($A161="","",SUMIFS(入库单!$K$4:$K$2503,入库单!$G$4:$G$2503,$A161,入库单!$X$4:$X$2503,"矿区退库",入库单!$Z$4:$Z$2503,"正常",入库单!$C$4:$C$2503,"&gt;="&amp;账期起,入库单!$C$4:$C$2503,"&lt;="&amp;账期止))</f>
        <v/>
      </c>
      <c r="O161" s="26">
        <f>IF($A161="","",ROUND($N161*$K161,0))</f>
        <v/>
      </c>
      <c r="P161" s="27">
        <f>IF($A161="","",SUMIFS(出库单!$J$4:$J$4003,出库单!$D$4:$D$4003,$A161,出库单!$K$4:$K$4003,"自用消耗",出库单!$U$4:$U$4003,"正常",出库单!$C$4:$C$4003,"&gt;="&amp;账期起,出库单!$C$4:$C$4003,"&lt;="&amp;账期止))</f>
        <v/>
      </c>
      <c r="Q161" s="26">
        <f>IF($A161="","",ROUND(SUMIFS(出库单!$S$4:$S$4003,出库单!$D$4:$D$4003,$A161,出库单!$K$4:$K$4003,"自用消耗",出库单!$U$4:$U$4003,"正常",出库单!$C$4:$C$4003,"&gt;="&amp;账期起,出库单!$C$4:$C$4003,"&lt;="&amp;账期止),0))</f>
        <v/>
      </c>
      <c r="R161" s="27">
        <f>IF($A161="","",SUMIFS(出库单!$J$4:$J$4003,出库单!$D$4:$D$4003,$A161,出库单!$K$4:$K$4003,"对外销售",出库单!$U$4:$U$4003,"正常",出库单!$C$4:$C$4003,"&gt;="&amp;账期起,出库单!$C$4:$C$4003,"&lt;="&amp;账期止))</f>
        <v/>
      </c>
      <c r="S161" s="26">
        <f>IF($A161="","",ROUND(SUMIFS(出库单!$S$4:$S$4003,出库单!$D$4:$D$4003,$A161,出库单!$K$4:$K$4003,"对外销售",出库单!$U$4:$U$4003,"正常",出库单!$C$4:$C$4003,"&gt;="&amp;账期起,出库单!$C$4:$C$4003,"&lt;="&amp;账期止),0))</f>
        <v/>
      </c>
      <c r="T161" s="27">
        <f>IF($A161="","",SUMIFS(出库单!$J$4:$J$4003,出库单!$D$4:$D$4003,$A161,出库单!$K$4:$K$4003,"盘亏",出库单!$U$4:$U$4003,"正常",出库单!$C$4:$C$4003,"&gt;="&amp;账期起,出库单!$C$4:$C$4003,"&lt;="&amp;账期止))</f>
        <v/>
      </c>
      <c r="U161" s="26">
        <f>IF($A161="","",ROUND(SUMIFS(出库单!$S$4:$S$4003,出库单!$D$4:$D$4003,$A161,出库单!$K$4:$K$4003,"盘亏",出库单!$U$4:$U$4003,"正常",出库单!$C$4:$C$4003,"&gt;="&amp;账期起,出库单!$C$4:$C$4003,"&lt;="&amp;账期止),0))</f>
        <v/>
      </c>
      <c r="V161" s="27">
        <f>IF($A161="","",SUMIFS(出库单!$J$4:$J$4003,出库单!$D$4:$D$4003,$A161,出库单!$K$4:$K$4003,"退货给供应商",出库单!$U$4:$U$4003,"正常",出库单!$C$4:$C$4003,"&gt;="&amp;账期起,出库单!$C$4:$C$4003,"&lt;="&amp;账期止))</f>
        <v/>
      </c>
      <c r="W161" s="26">
        <f>IF($A161="","",ROUND(SUMIFS(出库单!$S$4:$S$4003,出库单!$D$4:$D$4003,$A161,出库单!$K$4:$K$4003,"退货给供应商",出库单!$U$4:$U$4003,"正常",出库单!$C$4:$C$4003,"&gt;="&amp;账期起,出库单!$C$4:$C$4003,"&lt;="&amp;账期止),0))</f>
        <v/>
      </c>
      <c r="X161" s="27">
        <f>IF($A161="","",ROUND(N($G161)+$I161+$L161+$N161-$P161-$R161-$T161-$V161,3))</f>
        <v/>
      </c>
      <c r="Y161" s="26">
        <f>IF($A161="","",ROUND(N($H161)+$J161+$M161+$O161-$Q161-$S161-$U161-$W161,0))</f>
        <v/>
      </c>
      <c r="Z161" s="24">
        <f>IF($A161="","",IF(COUNTIFS(入库单!$G$4:$G$2503,$A161,入库单!$Y$4:$Y$2503,"待补价")+COUNTIFS(入库单!$G$4:$G$2503,$A161,入库单!$Y$4:$Y$2503,"暂估")&gt;0,"不可信","可信"))</f>
        <v/>
      </c>
      <c r="AA161" s="24">
        <f>IF($A161="","",IF($X161&lt;-0.001,"※账面负库存，查一下是不是漏记入库",IF(AND(ROUND($X161,3)=0,ABS($Y161)&gt;1),"※数量已经是 0，金额还挂着 "&amp;TEXT($Y161,"#,##0")&amp;" 先令",IF(AND($X161&gt;0,$Y161&lt;=0,$K161=0),"※有数量没金额（这个物料一直没填过进价）",IF($Z161="不可信","△成本含待补价/暂估，毛利仅供参考","")))))</f>
        <v/>
      </c>
    </row>
    <row r="162">
      <c r="A162" s="24">
        <f>IF(物料档案!$A161="","",物料档案!$A161)</f>
        <v/>
      </c>
      <c r="B162" s="24">
        <f>IF($A162="","",IFERROR(VLOOKUP($A162,物料档案!$A$4:$P$1203,3,0),""))</f>
        <v/>
      </c>
      <c r="C162" s="24">
        <f>IF($A162="","",IFERROR(VLOOKUP($A162,物料档案!$A$4:$P$1203,4,0),""))</f>
        <v/>
      </c>
      <c r="D162" s="24">
        <f>IF($A162="","",IFERROR(VLOOKUP($A162,物料档案!$A$4:$P$1203,5,0),""))</f>
        <v/>
      </c>
      <c r="E162" s="24">
        <f>IF($A162="","",IFERROR(VLOOKUP($A162,物料档案!$A$4:$P$1203,2,0),""))</f>
        <v/>
      </c>
      <c r="F162" s="24">
        <f>IF($A162="","",IFERROR(VLOOKUP($A162,物料档案!$A$4:$P$1203,6,0),""))</f>
        <v/>
      </c>
      <c r="G162" s="23" t="n"/>
      <c r="H162" s="32" t="n"/>
      <c r="I162" s="27">
        <f>IF($A162="","",SUMIFS(入库单!$K$4:$K$2503,入库单!$G$4:$G$2503,$A162,入库单!$X$4:$X$2503,"采购入库",入库单!$Z$4:$Z$2503,"正常",入库单!$C$4:$C$2503,"&gt;="&amp;账期起,入库单!$C$4:$C$2503,"&lt;="&amp;账期止))</f>
        <v/>
      </c>
      <c r="J162" s="26">
        <f>IF($A162="","",SUMIFS(入库单!$V$4:$V$2503,入库单!$G$4:$G$2503,$A162,入库单!$X$4:$X$2503,"采购入库",入库单!$Z$4:$Z$2503,"正常",入库单!$C$4:$C$2503,"&gt;="&amp;账期起,入库单!$C$4:$C$2503,"&lt;="&amp;账期止))</f>
        <v/>
      </c>
      <c r="K162" s="26">
        <f>IF($A162="","",IFERROR(ROUND((N($H162)+N($J162))/(N($G162)+N($I162)),2),0))</f>
        <v/>
      </c>
      <c r="L162" s="27">
        <f>IF($A162="","",SUMIFS(入库单!$K$4:$K$2503,入库单!$G$4:$G$2503,$A162,入库单!$X$4:$X$2503,"盘盈",入库单!$Z$4:$Z$2503,"正常",入库单!$C$4:$C$2503,"&gt;="&amp;账期起,入库单!$C$4:$C$2503,"&lt;="&amp;账期止))</f>
        <v/>
      </c>
      <c r="M162" s="26">
        <f>IF($A162="","",ROUND($L162*$K162,0))</f>
        <v/>
      </c>
      <c r="N162" s="27">
        <f>IF($A162="","",SUMIFS(入库单!$K$4:$K$2503,入库单!$G$4:$G$2503,$A162,入库单!$X$4:$X$2503,"矿区退库",入库单!$Z$4:$Z$2503,"正常",入库单!$C$4:$C$2503,"&gt;="&amp;账期起,入库单!$C$4:$C$2503,"&lt;="&amp;账期止))</f>
        <v/>
      </c>
      <c r="O162" s="26">
        <f>IF($A162="","",ROUND($N162*$K162,0))</f>
        <v/>
      </c>
      <c r="P162" s="27">
        <f>IF($A162="","",SUMIFS(出库单!$J$4:$J$4003,出库单!$D$4:$D$4003,$A162,出库单!$K$4:$K$4003,"自用消耗",出库单!$U$4:$U$4003,"正常",出库单!$C$4:$C$4003,"&gt;="&amp;账期起,出库单!$C$4:$C$4003,"&lt;="&amp;账期止))</f>
        <v/>
      </c>
      <c r="Q162" s="26">
        <f>IF($A162="","",ROUND(SUMIFS(出库单!$S$4:$S$4003,出库单!$D$4:$D$4003,$A162,出库单!$K$4:$K$4003,"自用消耗",出库单!$U$4:$U$4003,"正常",出库单!$C$4:$C$4003,"&gt;="&amp;账期起,出库单!$C$4:$C$4003,"&lt;="&amp;账期止),0))</f>
        <v/>
      </c>
      <c r="R162" s="27">
        <f>IF($A162="","",SUMIFS(出库单!$J$4:$J$4003,出库单!$D$4:$D$4003,$A162,出库单!$K$4:$K$4003,"对外销售",出库单!$U$4:$U$4003,"正常",出库单!$C$4:$C$4003,"&gt;="&amp;账期起,出库单!$C$4:$C$4003,"&lt;="&amp;账期止))</f>
        <v/>
      </c>
      <c r="S162" s="26">
        <f>IF($A162="","",ROUND(SUMIFS(出库单!$S$4:$S$4003,出库单!$D$4:$D$4003,$A162,出库单!$K$4:$K$4003,"对外销售",出库单!$U$4:$U$4003,"正常",出库单!$C$4:$C$4003,"&gt;="&amp;账期起,出库单!$C$4:$C$4003,"&lt;="&amp;账期止),0))</f>
        <v/>
      </c>
      <c r="T162" s="27">
        <f>IF($A162="","",SUMIFS(出库单!$J$4:$J$4003,出库单!$D$4:$D$4003,$A162,出库单!$K$4:$K$4003,"盘亏",出库单!$U$4:$U$4003,"正常",出库单!$C$4:$C$4003,"&gt;="&amp;账期起,出库单!$C$4:$C$4003,"&lt;="&amp;账期止))</f>
        <v/>
      </c>
      <c r="U162" s="26">
        <f>IF($A162="","",ROUND(SUMIFS(出库单!$S$4:$S$4003,出库单!$D$4:$D$4003,$A162,出库单!$K$4:$K$4003,"盘亏",出库单!$U$4:$U$4003,"正常",出库单!$C$4:$C$4003,"&gt;="&amp;账期起,出库单!$C$4:$C$4003,"&lt;="&amp;账期止),0))</f>
        <v/>
      </c>
      <c r="V162" s="27">
        <f>IF($A162="","",SUMIFS(出库单!$J$4:$J$4003,出库单!$D$4:$D$4003,$A162,出库单!$K$4:$K$4003,"退货给供应商",出库单!$U$4:$U$4003,"正常",出库单!$C$4:$C$4003,"&gt;="&amp;账期起,出库单!$C$4:$C$4003,"&lt;="&amp;账期止))</f>
        <v/>
      </c>
      <c r="W162" s="26">
        <f>IF($A162="","",ROUND(SUMIFS(出库单!$S$4:$S$4003,出库单!$D$4:$D$4003,$A162,出库单!$K$4:$K$4003,"退货给供应商",出库单!$U$4:$U$4003,"正常",出库单!$C$4:$C$4003,"&gt;="&amp;账期起,出库单!$C$4:$C$4003,"&lt;="&amp;账期止),0))</f>
        <v/>
      </c>
      <c r="X162" s="27">
        <f>IF($A162="","",ROUND(N($G162)+$I162+$L162+$N162-$P162-$R162-$T162-$V162,3))</f>
        <v/>
      </c>
      <c r="Y162" s="26">
        <f>IF($A162="","",ROUND(N($H162)+$J162+$M162+$O162-$Q162-$S162-$U162-$W162,0))</f>
        <v/>
      </c>
      <c r="Z162" s="24">
        <f>IF($A162="","",IF(COUNTIFS(入库单!$G$4:$G$2503,$A162,入库单!$Y$4:$Y$2503,"待补价")+COUNTIFS(入库单!$G$4:$G$2503,$A162,入库单!$Y$4:$Y$2503,"暂估")&gt;0,"不可信","可信"))</f>
        <v/>
      </c>
      <c r="AA162" s="24">
        <f>IF($A162="","",IF($X162&lt;-0.001,"※账面负库存，查一下是不是漏记入库",IF(AND(ROUND($X162,3)=0,ABS($Y162)&gt;1),"※数量已经是 0，金额还挂着 "&amp;TEXT($Y162,"#,##0")&amp;" 先令",IF(AND($X162&gt;0,$Y162&lt;=0,$K162=0),"※有数量没金额（这个物料一直没填过进价）",IF($Z162="不可信","△成本含待补价/暂估，毛利仅供参考","")))))</f>
        <v/>
      </c>
    </row>
    <row r="163">
      <c r="A163" s="24">
        <f>IF(物料档案!$A162="","",物料档案!$A162)</f>
        <v/>
      </c>
      <c r="B163" s="24">
        <f>IF($A163="","",IFERROR(VLOOKUP($A163,物料档案!$A$4:$P$1203,3,0),""))</f>
        <v/>
      </c>
      <c r="C163" s="24">
        <f>IF($A163="","",IFERROR(VLOOKUP($A163,物料档案!$A$4:$P$1203,4,0),""))</f>
        <v/>
      </c>
      <c r="D163" s="24">
        <f>IF($A163="","",IFERROR(VLOOKUP($A163,物料档案!$A$4:$P$1203,5,0),""))</f>
        <v/>
      </c>
      <c r="E163" s="24">
        <f>IF($A163="","",IFERROR(VLOOKUP($A163,物料档案!$A$4:$P$1203,2,0),""))</f>
        <v/>
      </c>
      <c r="F163" s="24">
        <f>IF($A163="","",IFERROR(VLOOKUP($A163,物料档案!$A$4:$P$1203,6,0),""))</f>
        <v/>
      </c>
      <c r="G163" s="23" t="n"/>
      <c r="H163" s="32" t="n"/>
      <c r="I163" s="27">
        <f>IF($A163="","",SUMIFS(入库单!$K$4:$K$2503,入库单!$G$4:$G$2503,$A163,入库单!$X$4:$X$2503,"采购入库",入库单!$Z$4:$Z$2503,"正常",入库单!$C$4:$C$2503,"&gt;="&amp;账期起,入库单!$C$4:$C$2503,"&lt;="&amp;账期止))</f>
        <v/>
      </c>
      <c r="J163" s="26">
        <f>IF($A163="","",SUMIFS(入库单!$V$4:$V$2503,入库单!$G$4:$G$2503,$A163,入库单!$X$4:$X$2503,"采购入库",入库单!$Z$4:$Z$2503,"正常",入库单!$C$4:$C$2503,"&gt;="&amp;账期起,入库单!$C$4:$C$2503,"&lt;="&amp;账期止))</f>
        <v/>
      </c>
      <c r="K163" s="26">
        <f>IF($A163="","",IFERROR(ROUND((N($H163)+N($J163))/(N($G163)+N($I163)),2),0))</f>
        <v/>
      </c>
      <c r="L163" s="27">
        <f>IF($A163="","",SUMIFS(入库单!$K$4:$K$2503,入库单!$G$4:$G$2503,$A163,入库单!$X$4:$X$2503,"盘盈",入库单!$Z$4:$Z$2503,"正常",入库单!$C$4:$C$2503,"&gt;="&amp;账期起,入库单!$C$4:$C$2503,"&lt;="&amp;账期止))</f>
        <v/>
      </c>
      <c r="M163" s="26">
        <f>IF($A163="","",ROUND($L163*$K163,0))</f>
        <v/>
      </c>
      <c r="N163" s="27">
        <f>IF($A163="","",SUMIFS(入库单!$K$4:$K$2503,入库单!$G$4:$G$2503,$A163,入库单!$X$4:$X$2503,"矿区退库",入库单!$Z$4:$Z$2503,"正常",入库单!$C$4:$C$2503,"&gt;="&amp;账期起,入库单!$C$4:$C$2503,"&lt;="&amp;账期止))</f>
        <v/>
      </c>
      <c r="O163" s="26">
        <f>IF($A163="","",ROUND($N163*$K163,0))</f>
        <v/>
      </c>
      <c r="P163" s="27">
        <f>IF($A163="","",SUMIFS(出库单!$J$4:$J$4003,出库单!$D$4:$D$4003,$A163,出库单!$K$4:$K$4003,"自用消耗",出库单!$U$4:$U$4003,"正常",出库单!$C$4:$C$4003,"&gt;="&amp;账期起,出库单!$C$4:$C$4003,"&lt;="&amp;账期止))</f>
        <v/>
      </c>
      <c r="Q163" s="26">
        <f>IF($A163="","",ROUND(SUMIFS(出库单!$S$4:$S$4003,出库单!$D$4:$D$4003,$A163,出库单!$K$4:$K$4003,"自用消耗",出库单!$U$4:$U$4003,"正常",出库单!$C$4:$C$4003,"&gt;="&amp;账期起,出库单!$C$4:$C$4003,"&lt;="&amp;账期止),0))</f>
        <v/>
      </c>
      <c r="R163" s="27">
        <f>IF($A163="","",SUMIFS(出库单!$J$4:$J$4003,出库单!$D$4:$D$4003,$A163,出库单!$K$4:$K$4003,"对外销售",出库单!$U$4:$U$4003,"正常",出库单!$C$4:$C$4003,"&gt;="&amp;账期起,出库单!$C$4:$C$4003,"&lt;="&amp;账期止))</f>
        <v/>
      </c>
      <c r="S163" s="26">
        <f>IF($A163="","",ROUND(SUMIFS(出库单!$S$4:$S$4003,出库单!$D$4:$D$4003,$A163,出库单!$K$4:$K$4003,"对外销售",出库单!$U$4:$U$4003,"正常",出库单!$C$4:$C$4003,"&gt;="&amp;账期起,出库单!$C$4:$C$4003,"&lt;="&amp;账期止),0))</f>
        <v/>
      </c>
      <c r="T163" s="27">
        <f>IF($A163="","",SUMIFS(出库单!$J$4:$J$4003,出库单!$D$4:$D$4003,$A163,出库单!$K$4:$K$4003,"盘亏",出库单!$U$4:$U$4003,"正常",出库单!$C$4:$C$4003,"&gt;="&amp;账期起,出库单!$C$4:$C$4003,"&lt;="&amp;账期止))</f>
        <v/>
      </c>
      <c r="U163" s="26">
        <f>IF($A163="","",ROUND(SUMIFS(出库单!$S$4:$S$4003,出库单!$D$4:$D$4003,$A163,出库单!$K$4:$K$4003,"盘亏",出库单!$U$4:$U$4003,"正常",出库单!$C$4:$C$4003,"&gt;="&amp;账期起,出库单!$C$4:$C$4003,"&lt;="&amp;账期止),0))</f>
        <v/>
      </c>
      <c r="V163" s="27">
        <f>IF($A163="","",SUMIFS(出库单!$J$4:$J$4003,出库单!$D$4:$D$4003,$A163,出库单!$K$4:$K$4003,"退货给供应商",出库单!$U$4:$U$4003,"正常",出库单!$C$4:$C$4003,"&gt;="&amp;账期起,出库单!$C$4:$C$4003,"&lt;="&amp;账期止))</f>
        <v/>
      </c>
      <c r="W163" s="26">
        <f>IF($A163="","",ROUND(SUMIFS(出库单!$S$4:$S$4003,出库单!$D$4:$D$4003,$A163,出库单!$K$4:$K$4003,"退货给供应商",出库单!$U$4:$U$4003,"正常",出库单!$C$4:$C$4003,"&gt;="&amp;账期起,出库单!$C$4:$C$4003,"&lt;="&amp;账期止),0))</f>
        <v/>
      </c>
      <c r="X163" s="27">
        <f>IF($A163="","",ROUND(N($G163)+$I163+$L163+$N163-$P163-$R163-$T163-$V163,3))</f>
        <v/>
      </c>
      <c r="Y163" s="26">
        <f>IF($A163="","",ROUND(N($H163)+$J163+$M163+$O163-$Q163-$S163-$U163-$W163,0))</f>
        <v/>
      </c>
      <c r="Z163" s="24">
        <f>IF($A163="","",IF(COUNTIFS(入库单!$G$4:$G$2503,$A163,入库单!$Y$4:$Y$2503,"待补价")+COUNTIFS(入库单!$G$4:$G$2503,$A163,入库单!$Y$4:$Y$2503,"暂估")&gt;0,"不可信","可信"))</f>
        <v/>
      </c>
      <c r="AA163" s="24">
        <f>IF($A163="","",IF($X163&lt;-0.001,"※账面负库存，查一下是不是漏记入库",IF(AND(ROUND($X163,3)=0,ABS($Y163)&gt;1),"※数量已经是 0，金额还挂着 "&amp;TEXT($Y163,"#,##0")&amp;" 先令",IF(AND($X163&gt;0,$Y163&lt;=0,$K163=0),"※有数量没金额（这个物料一直没填过进价）",IF($Z163="不可信","△成本含待补价/暂估，毛利仅供参考","")))))</f>
        <v/>
      </c>
    </row>
    <row r="164">
      <c r="A164" s="24">
        <f>IF(物料档案!$A163="","",物料档案!$A163)</f>
        <v/>
      </c>
      <c r="B164" s="24">
        <f>IF($A164="","",IFERROR(VLOOKUP($A164,物料档案!$A$4:$P$1203,3,0),""))</f>
        <v/>
      </c>
      <c r="C164" s="24">
        <f>IF($A164="","",IFERROR(VLOOKUP($A164,物料档案!$A$4:$P$1203,4,0),""))</f>
        <v/>
      </c>
      <c r="D164" s="24">
        <f>IF($A164="","",IFERROR(VLOOKUP($A164,物料档案!$A$4:$P$1203,5,0),""))</f>
        <v/>
      </c>
      <c r="E164" s="24">
        <f>IF($A164="","",IFERROR(VLOOKUP($A164,物料档案!$A$4:$P$1203,2,0),""))</f>
        <v/>
      </c>
      <c r="F164" s="24">
        <f>IF($A164="","",IFERROR(VLOOKUP($A164,物料档案!$A$4:$P$1203,6,0),""))</f>
        <v/>
      </c>
      <c r="G164" s="23" t="n"/>
      <c r="H164" s="32" t="n"/>
      <c r="I164" s="27">
        <f>IF($A164="","",SUMIFS(入库单!$K$4:$K$2503,入库单!$G$4:$G$2503,$A164,入库单!$X$4:$X$2503,"采购入库",入库单!$Z$4:$Z$2503,"正常",入库单!$C$4:$C$2503,"&gt;="&amp;账期起,入库单!$C$4:$C$2503,"&lt;="&amp;账期止))</f>
        <v/>
      </c>
      <c r="J164" s="26">
        <f>IF($A164="","",SUMIFS(入库单!$V$4:$V$2503,入库单!$G$4:$G$2503,$A164,入库单!$X$4:$X$2503,"采购入库",入库单!$Z$4:$Z$2503,"正常",入库单!$C$4:$C$2503,"&gt;="&amp;账期起,入库单!$C$4:$C$2503,"&lt;="&amp;账期止))</f>
        <v/>
      </c>
      <c r="K164" s="26">
        <f>IF($A164="","",IFERROR(ROUND((N($H164)+N($J164))/(N($G164)+N($I164)),2),0))</f>
        <v/>
      </c>
      <c r="L164" s="27">
        <f>IF($A164="","",SUMIFS(入库单!$K$4:$K$2503,入库单!$G$4:$G$2503,$A164,入库单!$X$4:$X$2503,"盘盈",入库单!$Z$4:$Z$2503,"正常",入库单!$C$4:$C$2503,"&gt;="&amp;账期起,入库单!$C$4:$C$2503,"&lt;="&amp;账期止))</f>
        <v/>
      </c>
      <c r="M164" s="26">
        <f>IF($A164="","",ROUND($L164*$K164,0))</f>
        <v/>
      </c>
      <c r="N164" s="27">
        <f>IF($A164="","",SUMIFS(入库单!$K$4:$K$2503,入库单!$G$4:$G$2503,$A164,入库单!$X$4:$X$2503,"矿区退库",入库单!$Z$4:$Z$2503,"正常",入库单!$C$4:$C$2503,"&gt;="&amp;账期起,入库单!$C$4:$C$2503,"&lt;="&amp;账期止))</f>
        <v/>
      </c>
      <c r="O164" s="26">
        <f>IF($A164="","",ROUND($N164*$K164,0))</f>
        <v/>
      </c>
      <c r="P164" s="27">
        <f>IF($A164="","",SUMIFS(出库单!$J$4:$J$4003,出库单!$D$4:$D$4003,$A164,出库单!$K$4:$K$4003,"自用消耗",出库单!$U$4:$U$4003,"正常",出库单!$C$4:$C$4003,"&gt;="&amp;账期起,出库单!$C$4:$C$4003,"&lt;="&amp;账期止))</f>
        <v/>
      </c>
      <c r="Q164" s="26">
        <f>IF($A164="","",ROUND(SUMIFS(出库单!$S$4:$S$4003,出库单!$D$4:$D$4003,$A164,出库单!$K$4:$K$4003,"自用消耗",出库单!$U$4:$U$4003,"正常",出库单!$C$4:$C$4003,"&gt;="&amp;账期起,出库单!$C$4:$C$4003,"&lt;="&amp;账期止),0))</f>
        <v/>
      </c>
      <c r="R164" s="27">
        <f>IF($A164="","",SUMIFS(出库单!$J$4:$J$4003,出库单!$D$4:$D$4003,$A164,出库单!$K$4:$K$4003,"对外销售",出库单!$U$4:$U$4003,"正常",出库单!$C$4:$C$4003,"&gt;="&amp;账期起,出库单!$C$4:$C$4003,"&lt;="&amp;账期止))</f>
        <v/>
      </c>
      <c r="S164" s="26">
        <f>IF($A164="","",ROUND(SUMIFS(出库单!$S$4:$S$4003,出库单!$D$4:$D$4003,$A164,出库单!$K$4:$K$4003,"对外销售",出库单!$U$4:$U$4003,"正常",出库单!$C$4:$C$4003,"&gt;="&amp;账期起,出库单!$C$4:$C$4003,"&lt;="&amp;账期止),0))</f>
        <v/>
      </c>
      <c r="T164" s="27">
        <f>IF($A164="","",SUMIFS(出库单!$J$4:$J$4003,出库单!$D$4:$D$4003,$A164,出库单!$K$4:$K$4003,"盘亏",出库单!$U$4:$U$4003,"正常",出库单!$C$4:$C$4003,"&gt;="&amp;账期起,出库单!$C$4:$C$4003,"&lt;="&amp;账期止))</f>
        <v/>
      </c>
      <c r="U164" s="26">
        <f>IF($A164="","",ROUND(SUMIFS(出库单!$S$4:$S$4003,出库单!$D$4:$D$4003,$A164,出库单!$K$4:$K$4003,"盘亏",出库单!$U$4:$U$4003,"正常",出库单!$C$4:$C$4003,"&gt;="&amp;账期起,出库单!$C$4:$C$4003,"&lt;="&amp;账期止),0))</f>
        <v/>
      </c>
      <c r="V164" s="27">
        <f>IF($A164="","",SUMIFS(出库单!$J$4:$J$4003,出库单!$D$4:$D$4003,$A164,出库单!$K$4:$K$4003,"退货给供应商",出库单!$U$4:$U$4003,"正常",出库单!$C$4:$C$4003,"&gt;="&amp;账期起,出库单!$C$4:$C$4003,"&lt;="&amp;账期止))</f>
        <v/>
      </c>
      <c r="W164" s="26">
        <f>IF($A164="","",ROUND(SUMIFS(出库单!$S$4:$S$4003,出库单!$D$4:$D$4003,$A164,出库单!$K$4:$K$4003,"退货给供应商",出库单!$U$4:$U$4003,"正常",出库单!$C$4:$C$4003,"&gt;="&amp;账期起,出库单!$C$4:$C$4003,"&lt;="&amp;账期止),0))</f>
        <v/>
      </c>
      <c r="X164" s="27">
        <f>IF($A164="","",ROUND(N($G164)+$I164+$L164+$N164-$P164-$R164-$T164-$V164,3))</f>
        <v/>
      </c>
      <c r="Y164" s="26">
        <f>IF($A164="","",ROUND(N($H164)+$J164+$M164+$O164-$Q164-$S164-$U164-$W164,0))</f>
        <v/>
      </c>
      <c r="Z164" s="24">
        <f>IF($A164="","",IF(COUNTIFS(入库单!$G$4:$G$2503,$A164,入库单!$Y$4:$Y$2503,"待补价")+COUNTIFS(入库单!$G$4:$G$2503,$A164,入库单!$Y$4:$Y$2503,"暂估")&gt;0,"不可信","可信"))</f>
        <v/>
      </c>
      <c r="AA164" s="24">
        <f>IF($A164="","",IF($X164&lt;-0.001,"※账面负库存，查一下是不是漏记入库",IF(AND(ROUND($X164,3)=0,ABS($Y164)&gt;1),"※数量已经是 0，金额还挂着 "&amp;TEXT($Y164,"#,##0")&amp;" 先令",IF(AND($X164&gt;0,$Y164&lt;=0,$K164=0),"※有数量没金额（这个物料一直没填过进价）",IF($Z164="不可信","△成本含待补价/暂估，毛利仅供参考","")))))</f>
        <v/>
      </c>
    </row>
    <row r="165">
      <c r="A165" s="24">
        <f>IF(物料档案!$A164="","",物料档案!$A164)</f>
        <v/>
      </c>
      <c r="B165" s="24">
        <f>IF($A165="","",IFERROR(VLOOKUP($A165,物料档案!$A$4:$P$1203,3,0),""))</f>
        <v/>
      </c>
      <c r="C165" s="24">
        <f>IF($A165="","",IFERROR(VLOOKUP($A165,物料档案!$A$4:$P$1203,4,0),""))</f>
        <v/>
      </c>
      <c r="D165" s="24">
        <f>IF($A165="","",IFERROR(VLOOKUP($A165,物料档案!$A$4:$P$1203,5,0),""))</f>
        <v/>
      </c>
      <c r="E165" s="24">
        <f>IF($A165="","",IFERROR(VLOOKUP($A165,物料档案!$A$4:$P$1203,2,0),""))</f>
        <v/>
      </c>
      <c r="F165" s="24">
        <f>IF($A165="","",IFERROR(VLOOKUP($A165,物料档案!$A$4:$P$1203,6,0),""))</f>
        <v/>
      </c>
      <c r="G165" s="23" t="n"/>
      <c r="H165" s="32" t="n"/>
      <c r="I165" s="27">
        <f>IF($A165="","",SUMIFS(入库单!$K$4:$K$2503,入库单!$G$4:$G$2503,$A165,入库单!$X$4:$X$2503,"采购入库",入库单!$Z$4:$Z$2503,"正常",入库单!$C$4:$C$2503,"&gt;="&amp;账期起,入库单!$C$4:$C$2503,"&lt;="&amp;账期止))</f>
        <v/>
      </c>
      <c r="J165" s="26">
        <f>IF($A165="","",SUMIFS(入库单!$V$4:$V$2503,入库单!$G$4:$G$2503,$A165,入库单!$X$4:$X$2503,"采购入库",入库单!$Z$4:$Z$2503,"正常",入库单!$C$4:$C$2503,"&gt;="&amp;账期起,入库单!$C$4:$C$2503,"&lt;="&amp;账期止))</f>
        <v/>
      </c>
      <c r="K165" s="26">
        <f>IF($A165="","",IFERROR(ROUND((N($H165)+N($J165))/(N($G165)+N($I165)),2),0))</f>
        <v/>
      </c>
      <c r="L165" s="27">
        <f>IF($A165="","",SUMIFS(入库单!$K$4:$K$2503,入库单!$G$4:$G$2503,$A165,入库单!$X$4:$X$2503,"盘盈",入库单!$Z$4:$Z$2503,"正常",入库单!$C$4:$C$2503,"&gt;="&amp;账期起,入库单!$C$4:$C$2503,"&lt;="&amp;账期止))</f>
        <v/>
      </c>
      <c r="M165" s="26">
        <f>IF($A165="","",ROUND($L165*$K165,0))</f>
        <v/>
      </c>
      <c r="N165" s="27">
        <f>IF($A165="","",SUMIFS(入库单!$K$4:$K$2503,入库单!$G$4:$G$2503,$A165,入库单!$X$4:$X$2503,"矿区退库",入库单!$Z$4:$Z$2503,"正常",入库单!$C$4:$C$2503,"&gt;="&amp;账期起,入库单!$C$4:$C$2503,"&lt;="&amp;账期止))</f>
        <v/>
      </c>
      <c r="O165" s="26">
        <f>IF($A165="","",ROUND($N165*$K165,0))</f>
        <v/>
      </c>
      <c r="P165" s="27">
        <f>IF($A165="","",SUMIFS(出库单!$J$4:$J$4003,出库单!$D$4:$D$4003,$A165,出库单!$K$4:$K$4003,"自用消耗",出库单!$U$4:$U$4003,"正常",出库单!$C$4:$C$4003,"&gt;="&amp;账期起,出库单!$C$4:$C$4003,"&lt;="&amp;账期止))</f>
        <v/>
      </c>
      <c r="Q165" s="26">
        <f>IF($A165="","",ROUND(SUMIFS(出库单!$S$4:$S$4003,出库单!$D$4:$D$4003,$A165,出库单!$K$4:$K$4003,"自用消耗",出库单!$U$4:$U$4003,"正常",出库单!$C$4:$C$4003,"&gt;="&amp;账期起,出库单!$C$4:$C$4003,"&lt;="&amp;账期止),0))</f>
        <v/>
      </c>
      <c r="R165" s="27">
        <f>IF($A165="","",SUMIFS(出库单!$J$4:$J$4003,出库单!$D$4:$D$4003,$A165,出库单!$K$4:$K$4003,"对外销售",出库单!$U$4:$U$4003,"正常",出库单!$C$4:$C$4003,"&gt;="&amp;账期起,出库单!$C$4:$C$4003,"&lt;="&amp;账期止))</f>
        <v/>
      </c>
      <c r="S165" s="26">
        <f>IF($A165="","",ROUND(SUMIFS(出库单!$S$4:$S$4003,出库单!$D$4:$D$4003,$A165,出库单!$K$4:$K$4003,"对外销售",出库单!$U$4:$U$4003,"正常",出库单!$C$4:$C$4003,"&gt;="&amp;账期起,出库单!$C$4:$C$4003,"&lt;="&amp;账期止),0))</f>
        <v/>
      </c>
      <c r="T165" s="27">
        <f>IF($A165="","",SUMIFS(出库单!$J$4:$J$4003,出库单!$D$4:$D$4003,$A165,出库单!$K$4:$K$4003,"盘亏",出库单!$U$4:$U$4003,"正常",出库单!$C$4:$C$4003,"&gt;="&amp;账期起,出库单!$C$4:$C$4003,"&lt;="&amp;账期止))</f>
        <v/>
      </c>
      <c r="U165" s="26">
        <f>IF($A165="","",ROUND(SUMIFS(出库单!$S$4:$S$4003,出库单!$D$4:$D$4003,$A165,出库单!$K$4:$K$4003,"盘亏",出库单!$U$4:$U$4003,"正常",出库单!$C$4:$C$4003,"&gt;="&amp;账期起,出库单!$C$4:$C$4003,"&lt;="&amp;账期止),0))</f>
        <v/>
      </c>
      <c r="V165" s="27">
        <f>IF($A165="","",SUMIFS(出库单!$J$4:$J$4003,出库单!$D$4:$D$4003,$A165,出库单!$K$4:$K$4003,"退货给供应商",出库单!$U$4:$U$4003,"正常",出库单!$C$4:$C$4003,"&gt;="&amp;账期起,出库单!$C$4:$C$4003,"&lt;="&amp;账期止))</f>
        <v/>
      </c>
      <c r="W165" s="26">
        <f>IF($A165="","",ROUND(SUMIFS(出库单!$S$4:$S$4003,出库单!$D$4:$D$4003,$A165,出库单!$K$4:$K$4003,"退货给供应商",出库单!$U$4:$U$4003,"正常",出库单!$C$4:$C$4003,"&gt;="&amp;账期起,出库单!$C$4:$C$4003,"&lt;="&amp;账期止),0))</f>
        <v/>
      </c>
      <c r="X165" s="27">
        <f>IF($A165="","",ROUND(N($G165)+$I165+$L165+$N165-$P165-$R165-$T165-$V165,3))</f>
        <v/>
      </c>
      <c r="Y165" s="26">
        <f>IF($A165="","",ROUND(N($H165)+$J165+$M165+$O165-$Q165-$S165-$U165-$W165,0))</f>
        <v/>
      </c>
      <c r="Z165" s="24">
        <f>IF($A165="","",IF(COUNTIFS(入库单!$G$4:$G$2503,$A165,入库单!$Y$4:$Y$2503,"待补价")+COUNTIFS(入库单!$G$4:$G$2503,$A165,入库单!$Y$4:$Y$2503,"暂估")&gt;0,"不可信","可信"))</f>
        <v/>
      </c>
      <c r="AA165" s="24">
        <f>IF($A165="","",IF($X165&lt;-0.001,"※账面负库存，查一下是不是漏记入库",IF(AND(ROUND($X165,3)=0,ABS($Y165)&gt;1),"※数量已经是 0，金额还挂着 "&amp;TEXT($Y165,"#,##0")&amp;" 先令",IF(AND($X165&gt;0,$Y165&lt;=0,$K165=0),"※有数量没金额（这个物料一直没填过进价）",IF($Z165="不可信","△成本含待补价/暂估，毛利仅供参考","")))))</f>
        <v/>
      </c>
    </row>
    <row r="166">
      <c r="A166" s="24">
        <f>IF(物料档案!$A165="","",物料档案!$A165)</f>
        <v/>
      </c>
      <c r="B166" s="24">
        <f>IF($A166="","",IFERROR(VLOOKUP($A166,物料档案!$A$4:$P$1203,3,0),""))</f>
        <v/>
      </c>
      <c r="C166" s="24">
        <f>IF($A166="","",IFERROR(VLOOKUP($A166,物料档案!$A$4:$P$1203,4,0),""))</f>
        <v/>
      </c>
      <c r="D166" s="24">
        <f>IF($A166="","",IFERROR(VLOOKUP($A166,物料档案!$A$4:$P$1203,5,0),""))</f>
        <v/>
      </c>
      <c r="E166" s="24">
        <f>IF($A166="","",IFERROR(VLOOKUP($A166,物料档案!$A$4:$P$1203,2,0),""))</f>
        <v/>
      </c>
      <c r="F166" s="24">
        <f>IF($A166="","",IFERROR(VLOOKUP($A166,物料档案!$A$4:$P$1203,6,0),""))</f>
        <v/>
      </c>
      <c r="G166" s="23" t="n"/>
      <c r="H166" s="32" t="n"/>
      <c r="I166" s="27">
        <f>IF($A166="","",SUMIFS(入库单!$K$4:$K$2503,入库单!$G$4:$G$2503,$A166,入库单!$X$4:$X$2503,"采购入库",入库单!$Z$4:$Z$2503,"正常",入库单!$C$4:$C$2503,"&gt;="&amp;账期起,入库单!$C$4:$C$2503,"&lt;="&amp;账期止))</f>
        <v/>
      </c>
      <c r="J166" s="26">
        <f>IF($A166="","",SUMIFS(入库单!$V$4:$V$2503,入库单!$G$4:$G$2503,$A166,入库单!$X$4:$X$2503,"采购入库",入库单!$Z$4:$Z$2503,"正常",入库单!$C$4:$C$2503,"&gt;="&amp;账期起,入库单!$C$4:$C$2503,"&lt;="&amp;账期止))</f>
        <v/>
      </c>
      <c r="K166" s="26">
        <f>IF($A166="","",IFERROR(ROUND((N($H166)+N($J166))/(N($G166)+N($I166)),2),0))</f>
        <v/>
      </c>
      <c r="L166" s="27">
        <f>IF($A166="","",SUMIFS(入库单!$K$4:$K$2503,入库单!$G$4:$G$2503,$A166,入库单!$X$4:$X$2503,"盘盈",入库单!$Z$4:$Z$2503,"正常",入库单!$C$4:$C$2503,"&gt;="&amp;账期起,入库单!$C$4:$C$2503,"&lt;="&amp;账期止))</f>
        <v/>
      </c>
      <c r="M166" s="26">
        <f>IF($A166="","",ROUND($L166*$K166,0))</f>
        <v/>
      </c>
      <c r="N166" s="27">
        <f>IF($A166="","",SUMIFS(入库单!$K$4:$K$2503,入库单!$G$4:$G$2503,$A166,入库单!$X$4:$X$2503,"矿区退库",入库单!$Z$4:$Z$2503,"正常",入库单!$C$4:$C$2503,"&gt;="&amp;账期起,入库单!$C$4:$C$2503,"&lt;="&amp;账期止))</f>
        <v/>
      </c>
      <c r="O166" s="26">
        <f>IF($A166="","",ROUND($N166*$K166,0))</f>
        <v/>
      </c>
      <c r="P166" s="27">
        <f>IF($A166="","",SUMIFS(出库单!$J$4:$J$4003,出库单!$D$4:$D$4003,$A166,出库单!$K$4:$K$4003,"自用消耗",出库单!$U$4:$U$4003,"正常",出库单!$C$4:$C$4003,"&gt;="&amp;账期起,出库单!$C$4:$C$4003,"&lt;="&amp;账期止))</f>
        <v/>
      </c>
      <c r="Q166" s="26">
        <f>IF($A166="","",ROUND(SUMIFS(出库单!$S$4:$S$4003,出库单!$D$4:$D$4003,$A166,出库单!$K$4:$K$4003,"自用消耗",出库单!$U$4:$U$4003,"正常",出库单!$C$4:$C$4003,"&gt;="&amp;账期起,出库单!$C$4:$C$4003,"&lt;="&amp;账期止),0))</f>
        <v/>
      </c>
      <c r="R166" s="27">
        <f>IF($A166="","",SUMIFS(出库单!$J$4:$J$4003,出库单!$D$4:$D$4003,$A166,出库单!$K$4:$K$4003,"对外销售",出库单!$U$4:$U$4003,"正常",出库单!$C$4:$C$4003,"&gt;="&amp;账期起,出库单!$C$4:$C$4003,"&lt;="&amp;账期止))</f>
        <v/>
      </c>
      <c r="S166" s="26">
        <f>IF($A166="","",ROUND(SUMIFS(出库单!$S$4:$S$4003,出库单!$D$4:$D$4003,$A166,出库单!$K$4:$K$4003,"对外销售",出库单!$U$4:$U$4003,"正常",出库单!$C$4:$C$4003,"&gt;="&amp;账期起,出库单!$C$4:$C$4003,"&lt;="&amp;账期止),0))</f>
        <v/>
      </c>
      <c r="T166" s="27">
        <f>IF($A166="","",SUMIFS(出库单!$J$4:$J$4003,出库单!$D$4:$D$4003,$A166,出库单!$K$4:$K$4003,"盘亏",出库单!$U$4:$U$4003,"正常",出库单!$C$4:$C$4003,"&gt;="&amp;账期起,出库单!$C$4:$C$4003,"&lt;="&amp;账期止))</f>
        <v/>
      </c>
      <c r="U166" s="26">
        <f>IF($A166="","",ROUND(SUMIFS(出库单!$S$4:$S$4003,出库单!$D$4:$D$4003,$A166,出库单!$K$4:$K$4003,"盘亏",出库单!$U$4:$U$4003,"正常",出库单!$C$4:$C$4003,"&gt;="&amp;账期起,出库单!$C$4:$C$4003,"&lt;="&amp;账期止),0))</f>
        <v/>
      </c>
      <c r="V166" s="27">
        <f>IF($A166="","",SUMIFS(出库单!$J$4:$J$4003,出库单!$D$4:$D$4003,$A166,出库单!$K$4:$K$4003,"退货给供应商",出库单!$U$4:$U$4003,"正常",出库单!$C$4:$C$4003,"&gt;="&amp;账期起,出库单!$C$4:$C$4003,"&lt;="&amp;账期止))</f>
        <v/>
      </c>
      <c r="W166" s="26">
        <f>IF($A166="","",ROUND(SUMIFS(出库单!$S$4:$S$4003,出库单!$D$4:$D$4003,$A166,出库单!$K$4:$K$4003,"退货给供应商",出库单!$U$4:$U$4003,"正常",出库单!$C$4:$C$4003,"&gt;="&amp;账期起,出库单!$C$4:$C$4003,"&lt;="&amp;账期止),0))</f>
        <v/>
      </c>
      <c r="X166" s="27">
        <f>IF($A166="","",ROUND(N($G166)+$I166+$L166+$N166-$P166-$R166-$T166-$V166,3))</f>
        <v/>
      </c>
      <c r="Y166" s="26">
        <f>IF($A166="","",ROUND(N($H166)+$J166+$M166+$O166-$Q166-$S166-$U166-$W166,0))</f>
        <v/>
      </c>
      <c r="Z166" s="24">
        <f>IF($A166="","",IF(COUNTIFS(入库单!$G$4:$G$2503,$A166,入库单!$Y$4:$Y$2503,"待补价")+COUNTIFS(入库单!$G$4:$G$2503,$A166,入库单!$Y$4:$Y$2503,"暂估")&gt;0,"不可信","可信"))</f>
        <v/>
      </c>
      <c r="AA166" s="24">
        <f>IF($A166="","",IF($X166&lt;-0.001,"※账面负库存，查一下是不是漏记入库",IF(AND(ROUND($X166,3)=0,ABS($Y166)&gt;1),"※数量已经是 0，金额还挂着 "&amp;TEXT($Y166,"#,##0")&amp;" 先令",IF(AND($X166&gt;0,$Y166&lt;=0,$K166=0),"※有数量没金额（这个物料一直没填过进价）",IF($Z166="不可信","△成本含待补价/暂估，毛利仅供参考","")))))</f>
        <v/>
      </c>
    </row>
    <row r="167">
      <c r="A167" s="24">
        <f>IF(物料档案!$A166="","",物料档案!$A166)</f>
        <v/>
      </c>
      <c r="B167" s="24">
        <f>IF($A167="","",IFERROR(VLOOKUP($A167,物料档案!$A$4:$P$1203,3,0),""))</f>
        <v/>
      </c>
      <c r="C167" s="24">
        <f>IF($A167="","",IFERROR(VLOOKUP($A167,物料档案!$A$4:$P$1203,4,0),""))</f>
        <v/>
      </c>
      <c r="D167" s="24">
        <f>IF($A167="","",IFERROR(VLOOKUP($A167,物料档案!$A$4:$P$1203,5,0),""))</f>
        <v/>
      </c>
      <c r="E167" s="24">
        <f>IF($A167="","",IFERROR(VLOOKUP($A167,物料档案!$A$4:$P$1203,2,0),""))</f>
        <v/>
      </c>
      <c r="F167" s="24">
        <f>IF($A167="","",IFERROR(VLOOKUP($A167,物料档案!$A$4:$P$1203,6,0),""))</f>
        <v/>
      </c>
      <c r="G167" s="23" t="n"/>
      <c r="H167" s="32" t="n"/>
      <c r="I167" s="27">
        <f>IF($A167="","",SUMIFS(入库单!$K$4:$K$2503,入库单!$G$4:$G$2503,$A167,入库单!$X$4:$X$2503,"采购入库",入库单!$Z$4:$Z$2503,"正常",入库单!$C$4:$C$2503,"&gt;="&amp;账期起,入库单!$C$4:$C$2503,"&lt;="&amp;账期止))</f>
        <v/>
      </c>
      <c r="J167" s="26">
        <f>IF($A167="","",SUMIFS(入库单!$V$4:$V$2503,入库单!$G$4:$G$2503,$A167,入库单!$X$4:$X$2503,"采购入库",入库单!$Z$4:$Z$2503,"正常",入库单!$C$4:$C$2503,"&gt;="&amp;账期起,入库单!$C$4:$C$2503,"&lt;="&amp;账期止))</f>
        <v/>
      </c>
      <c r="K167" s="26">
        <f>IF($A167="","",IFERROR(ROUND((N($H167)+N($J167))/(N($G167)+N($I167)),2),0))</f>
        <v/>
      </c>
      <c r="L167" s="27">
        <f>IF($A167="","",SUMIFS(入库单!$K$4:$K$2503,入库单!$G$4:$G$2503,$A167,入库单!$X$4:$X$2503,"盘盈",入库单!$Z$4:$Z$2503,"正常",入库单!$C$4:$C$2503,"&gt;="&amp;账期起,入库单!$C$4:$C$2503,"&lt;="&amp;账期止))</f>
        <v/>
      </c>
      <c r="M167" s="26">
        <f>IF($A167="","",ROUND($L167*$K167,0))</f>
        <v/>
      </c>
      <c r="N167" s="27">
        <f>IF($A167="","",SUMIFS(入库单!$K$4:$K$2503,入库单!$G$4:$G$2503,$A167,入库单!$X$4:$X$2503,"矿区退库",入库单!$Z$4:$Z$2503,"正常",入库单!$C$4:$C$2503,"&gt;="&amp;账期起,入库单!$C$4:$C$2503,"&lt;="&amp;账期止))</f>
        <v/>
      </c>
      <c r="O167" s="26">
        <f>IF($A167="","",ROUND($N167*$K167,0))</f>
        <v/>
      </c>
      <c r="P167" s="27">
        <f>IF($A167="","",SUMIFS(出库单!$J$4:$J$4003,出库单!$D$4:$D$4003,$A167,出库单!$K$4:$K$4003,"自用消耗",出库单!$U$4:$U$4003,"正常",出库单!$C$4:$C$4003,"&gt;="&amp;账期起,出库单!$C$4:$C$4003,"&lt;="&amp;账期止))</f>
        <v/>
      </c>
      <c r="Q167" s="26">
        <f>IF($A167="","",ROUND(SUMIFS(出库单!$S$4:$S$4003,出库单!$D$4:$D$4003,$A167,出库单!$K$4:$K$4003,"自用消耗",出库单!$U$4:$U$4003,"正常",出库单!$C$4:$C$4003,"&gt;="&amp;账期起,出库单!$C$4:$C$4003,"&lt;="&amp;账期止),0))</f>
        <v/>
      </c>
      <c r="R167" s="27">
        <f>IF($A167="","",SUMIFS(出库单!$J$4:$J$4003,出库单!$D$4:$D$4003,$A167,出库单!$K$4:$K$4003,"对外销售",出库单!$U$4:$U$4003,"正常",出库单!$C$4:$C$4003,"&gt;="&amp;账期起,出库单!$C$4:$C$4003,"&lt;="&amp;账期止))</f>
        <v/>
      </c>
      <c r="S167" s="26">
        <f>IF($A167="","",ROUND(SUMIFS(出库单!$S$4:$S$4003,出库单!$D$4:$D$4003,$A167,出库单!$K$4:$K$4003,"对外销售",出库单!$U$4:$U$4003,"正常",出库单!$C$4:$C$4003,"&gt;="&amp;账期起,出库单!$C$4:$C$4003,"&lt;="&amp;账期止),0))</f>
        <v/>
      </c>
      <c r="T167" s="27">
        <f>IF($A167="","",SUMIFS(出库单!$J$4:$J$4003,出库单!$D$4:$D$4003,$A167,出库单!$K$4:$K$4003,"盘亏",出库单!$U$4:$U$4003,"正常",出库单!$C$4:$C$4003,"&gt;="&amp;账期起,出库单!$C$4:$C$4003,"&lt;="&amp;账期止))</f>
        <v/>
      </c>
      <c r="U167" s="26">
        <f>IF($A167="","",ROUND(SUMIFS(出库单!$S$4:$S$4003,出库单!$D$4:$D$4003,$A167,出库单!$K$4:$K$4003,"盘亏",出库单!$U$4:$U$4003,"正常",出库单!$C$4:$C$4003,"&gt;="&amp;账期起,出库单!$C$4:$C$4003,"&lt;="&amp;账期止),0))</f>
        <v/>
      </c>
      <c r="V167" s="27">
        <f>IF($A167="","",SUMIFS(出库单!$J$4:$J$4003,出库单!$D$4:$D$4003,$A167,出库单!$K$4:$K$4003,"退货给供应商",出库单!$U$4:$U$4003,"正常",出库单!$C$4:$C$4003,"&gt;="&amp;账期起,出库单!$C$4:$C$4003,"&lt;="&amp;账期止))</f>
        <v/>
      </c>
      <c r="W167" s="26">
        <f>IF($A167="","",ROUND(SUMIFS(出库单!$S$4:$S$4003,出库单!$D$4:$D$4003,$A167,出库单!$K$4:$K$4003,"退货给供应商",出库单!$U$4:$U$4003,"正常",出库单!$C$4:$C$4003,"&gt;="&amp;账期起,出库单!$C$4:$C$4003,"&lt;="&amp;账期止),0))</f>
        <v/>
      </c>
      <c r="X167" s="27">
        <f>IF($A167="","",ROUND(N($G167)+$I167+$L167+$N167-$P167-$R167-$T167-$V167,3))</f>
        <v/>
      </c>
      <c r="Y167" s="26">
        <f>IF($A167="","",ROUND(N($H167)+$J167+$M167+$O167-$Q167-$S167-$U167-$W167,0))</f>
        <v/>
      </c>
      <c r="Z167" s="24">
        <f>IF($A167="","",IF(COUNTIFS(入库单!$G$4:$G$2503,$A167,入库单!$Y$4:$Y$2503,"待补价")+COUNTIFS(入库单!$G$4:$G$2503,$A167,入库单!$Y$4:$Y$2503,"暂估")&gt;0,"不可信","可信"))</f>
        <v/>
      </c>
      <c r="AA167" s="24">
        <f>IF($A167="","",IF($X167&lt;-0.001,"※账面负库存，查一下是不是漏记入库",IF(AND(ROUND($X167,3)=0,ABS($Y167)&gt;1),"※数量已经是 0，金额还挂着 "&amp;TEXT($Y167,"#,##0")&amp;" 先令",IF(AND($X167&gt;0,$Y167&lt;=0,$K167=0),"※有数量没金额（这个物料一直没填过进价）",IF($Z167="不可信","△成本含待补价/暂估，毛利仅供参考","")))))</f>
        <v/>
      </c>
    </row>
    <row r="168">
      <c r="A168" s="24">
        <f>IF(物料档案!$A167="","",物料档案!$A167)</f>
        <v/>
      </c>
      <c r="B168" s="24">
        <f>IF($A168="","",IFERROR(VLOOKUP($A168,物料档案!$A$4:$P$1203,3,0),""))</f>
        <v/>
      </c>
      <c r="C168" s="24">
        <f>IF($A168="","",IFERROR(VLOOKUP($A168,物料档案!$A$4:$P$1203,4,0),""))</f>
        <v/>
      </c>
      <c r="D168" s="24">
        <f>IF($A168="","",IFERROR(VLOOKUP($A168,物料档案!$A$4:$P$1203,5,0),""))</f>
        <v/>
      </c>
      <c r="E168" s="24">
        <f>IF($A168="","",IFERROR(VLOOKUP($A168,物料档案!$A$4:$P$1203,2,0),""))</f>
        <v/>
      </c>
      <c r="F168" s="24">
        <f>IF($A168="","",IFERROR(VLOOKUP($A168,物料档案!$A$4:$P$1203,6,0),""))</f>
        <v/>
      </c>
      <c r="G168" s="23" t="n"/>
      <c r="H168" s="32" t="n"/>
      <c r="I168" s="27">
        <f>IF($A168="","",SUMIFS(入库单!$K$4:$K$2503,入库单!$G$4:$G$2503,$A168,入库单!$X$4:$X$2503,"采购入库",入库单!$Z$4:$Z$2503,"正常",入库单!$C$4:$C$2503,"&gt;="&amp;账期起,入库单!$C$4:$C$2503,"&lt;="&amp;账期止))</f>
        <v/>
      </c>
      <c r="J168" s="26">
        <f>IF($A168="","",SUMIFS(入库单!$V$4:$V$2503,入库单!$G$4:$G$2503,$A168,入库单!$X$4:$X$2503,"采购入库",入库单!$Z$4:$Z$2503,"正常",入库单!$C$4:$C$2503,"&gt;="&amp;账期起,入库单!$C$4:$C$2503,"&lt;="&amp;账期止))</f>
        <v/>
      </c>
      <c r="K168" s="26">
        <f>IF($A168="","",IFERROR(ROUND((N($H168)+N($J168))/(N($G168)+N($I168)),2),0))</f>
        <v/>
      </c>
      <c r="L168" s="27">
        <f>IF($A168="","",SUMIFS(入库单!$K$4:$K$2503,入库单!$G$4:$G$2503,$A168,入库单!$X$4:$X$2503,"盘盈",入库单!$Z$4:$Z$2503,"正常",入库单!$C$4:$C$2503,"&gt;="&amp;账期起,入库单!$C$4:$C$2503,"&lt;="&amp;账期止))</f>
        <v/>
      </c>
      <c r="M168" s="26">
        <f>IF($A168="","",ROUND($L168*$K168,0))</f>
        <v/>
      </c>
      <c r="N168" s="27">
        <f>IF($A168="","",SUMIFS(入库单!$K$4:$K$2503,入库单!$G$4:$G$2503,$A168,入库单!$X$4:$X$2503,"矿区退库",入库单!$Z$4:$Z$2503,"正常",入库单!$C$4:$C$2503,"&gt;="&amp;账期起,入库单!$C$4:$C$2503,"&lt;="&amp;账期止))</f>
        <v/>
      </c>
      <c r="O168" s="26">
        <f>IF($A168="","",ROUND($N168*$K168,0))</f>
        <v/>
      </c>
      <c r="P168" s="27">
        <f>IF($A168="","",SUMIFS(出库单!$J$4:$J$4003,出库单!$D$4:$D$4003,$A168,出库单!$K$4:$K$4003,"自用消耗",出库单!$U$4:$U$4003,"正常",出库单!$C$4:$C$4003,"&gt;="&amp;账期起,出库单!$C$4:$C$4003,"&lt;="&amp;账期止))</f>
        <v/>
      </c>
      <c r="Q168" s="26">
        <f>IF($A168="","",ROUND(SUMIFS(出库单!$S$4:$S$4003,出库单!$D$4:$D$4003,$A168,出库单!$K$4:$K$4003,"自用消耗",出库单!$U$4:$U$4003,"正常",出库单!$C$4:$C$4003,"&gt;="&amp;账期起,出库单!$C$4:$C$4003,"&lt;="&amp;账期止),0))</f>
        <v/>
      </c>
      <c r="R168" s="27">
        <f>IF($A168="","",SUMIFS(出库单!$J$4:$J$4003,出库单!$D$4:$D$4003,$A168,出库单!$K$4:$K$4003,"对外销售",出库单!$U$4:$U$4003,"正常",出库单!$C$4:$C$4003,"&gt;="&amp;账期起,出库单!$C$4:$C$4003,"&lt;="&amp;账期止))</f>
        <v/>
      </c>
      <c r="S168" s="26">
        <f>IF($A168="","",ROUND(SUMIFS(出库单!$S$4:$S$4003,出库单!$D$4:$D$4003,$A168,出库单!$K$4:$K$4003,"对外销售",出库单!$U$4:$U$4003,"正常",出库单!$C$4:$C$4003,"&gt;="&amp;账期起,出库单!$C$4:$C$4003,"&lt;="&amp;账期止),0))</f>
        <v/>
      </c>
      <c r="T168" s="27">
        <f>IF($A168="","",SUMIFS(出库单!$J$4:$J$4003,出库单!$D$4:$D$4003,$A168,出库单!$K$4:$K$4003,"盘亏",出库单!$U$4:$U$4003,"正常",出库单!$C$4:$C$4003,"&gt;="&amp;账期起,出库单!$C$4:$C$4003,"&lt;="&amp;账期止))</f>
        <v/>
      </c>
      <c r="U168" s="26">
        <f>IF($A168="","",ROUND(SUMIFS(出库单!$S$4:$S$4003,出库单!$D$4:$D$4003,$A168,出库单!$K$4:$K$4003,"盘亏",出库单!$U$4:$U$4003,"正常",出库单!$C$4:$C$4003,"&gt;="&amp;账期起,出库单!$C$4:$C$4003,"&lt;="&amp;账期止),0))</f>
        <v/>
      </c>
      <c r="V168" s="27">
        <f>IF($A168="","",SUMIFS(出库单!$J$4:$J$4003,出库单!$D$4:$D$4003,$A168,出库单!$K$4:$K$4003,"退货给供应商",出库单!$U$4:$U$4003,"正常",出库单!$C$4:$C$4003,"&gt;="&amp;账期起,出库单!$C$4:$C$4003,"&lt;="&amp;账期止))</f>
        <v/>
      </c>
      <c r="W168" s="26">
        <f>IF($A168="","",ROUND(SUMIFS(出库单!$S$4:$S$4003,出库单!$D$4:$D$4003,$A168,出库单!$K$4:$K$4003,"退货给供应商",出库单!$U$4:$U$4003,"正常",出库单!$C$4:$C$4003,"&gt;="&amp;账期起,出库单!$C$4:$C$4003,"&lt;="&amp;账期止),0))</f>
        <v/>
      </c>
      <c r="X168" s="27">
        <f>IF($A168="","",ROUND(N($G168)+$I168+$L168+$N168-$P168-$R168-$T168-$V168,3))</f>
        <v/>
      </c>
      <c r="Y168" s="26">
        <f>IF($A168="","",ROUND(N($H168)+$J168+$M168+$O168-$Q168-$S168-$U168-$W168,0))</f>
        <v/>
      </c>
      <c r="Z168" s="24">
        <f>IF($A168="","",IF(COUNTIFS(入库单!$G$4:$G$2503,$A168,入库单!$Y$4:$Y$2503,"待补价")+COUNTIFS(入库单!$G$4:$G$2503,$A168,入库单!$Y$4:$Y$2503,"暂估")&gt;0,"不可信","可信"))</f>
        <v/>
      </c>
      <c r="AA168" s="24">
        <f>IF($A168="","",IF($X168&lt;-0.001,"※账面负库存，查一下是不是漏记入库",IF(AND(ROUND($X168,3)=0,ABS($Y168)&gt;1),"※数量已经是 0，金额还挂着 "&amp;TEXT($Y168,"#,##0")&amp;" 先令",IF(AND($X168&gt;0,$Y168&lt;=0,$K168=0),"※有数量没金额（这个物料一直没填过进价）",IF($Z168="不可信","△成本含待补价/暂估，毛利仅供参考","")))))</f>
        <v/>
      </c>
    </row>
    <row r="169">
      <c r="A169" s="24">
        <f>IF(物料档案!$A168="","",物料档案!$A168)</f>
        <v/>
      </c>
      <c r="B169" s="24">
        <f>IF($A169="","",IFERROR(VLOOKUP($A169,物料档案!$A$4:$P$1203,3,0),""))</f>
        <v/>
      </c>
      <c r="C169" s="24">
        <f>IF($A169="","",IFERROR(VLOOKUP($A169,物料档案!$A$4:$P$1203,4,0),""))</f>
        <v/>
      </c>
      <c r="D169" s="24">
        <f>IF($A169="","",IFERROR(VLOOKUP($A169,物料档案!$A$4:$P$1203,5,0),""))</f>
        <v/>
      </c>
      <c r="E169" s="24">
        <f>IF($A169="","",IFERROR(VLOOKUP($A169,物料档案!$A$4:$P$1203,2,0),""))</f>
        <v/>
      </c>
      <c r="F169" s="24">
        <f>IF($A169="","",IFERROR(VLOOKUP($A169,物料档案!$A$4:$P$1203,6,0),""))</f>
        <v/>
      </c>
      <c r="G169" s="23" t="n"/>
      <c r="H169" s="32" t="n"/>
      <c r="I169" s="27">
        <f>IF($A169="","",SUMIFS(入库单!$K$4:$K$2503,入库单!$G$4:$G$2503,$A169,入库单!$X$4:$X$2503,"采购入库",入库单!$Z$4:$Z$2503,"正常",入库单!$C$4:$C$2503,"&gt;="&amp;账期起,入库单!$C$4:$C$2503,"&lt;="&amp;账期止))</f>
        <v/>
      </c>
      <c r="J169" s="26">
        <f>IF($A169="","",SUMIFS(入库单!$V$4:$V$2503,入库单!$G$4:$G$2503,$A169,入库单!$X$4:$X$2503,"采购入库",入库单!$Z$4:$Z$2503,"正常",入库单!$C$4:$C$2503,"&gt;="&amp;账期起,入库单!$C$4:$C$2503,"&lt;="&amp;账期止))</f>
        <v/>
      </c>
      <c r="K169" s="26">
        <f>IF($A169="","",IFERROR(ROUND((N($H169)+N($J169))/(N($G169)+N($I169)),2),0))</f>
        <v/>
      </c>
      <c r="L169" s="27">
        <f>IF($A169="","",SUMIFS(入库单!$K$4:$K$2503,入库单!$G$4:$G$2503,$A169,入库单!$X$4:$X$2503,"盘盈",入库单!$Z$4:$Z$2503,"正常",入库单!$C$4:$C$2503,"&gt;="&amp;账期起,入库单!$C$4:$C$2503,"&lt;="&amp;账期止))</f>
        <v/>
      </c>
      <c r="M169" s="26">
        <f>IF($A169="","",ROUND($L169*$K169,0))</f>
        <v/>
      </c>
      <c r="N169" s="27">
        <f>IF($A169="","",SUMIFS(入库单!$K$4:$K$2503,入库单!$G$4:$G$2503,$A169,入库单!$X$4:$X$2503,"矿区退库",入库单!$Z$4:$Z$2503,"正常",入库单!$C$4:$C$2503,"&gt;="&amp;账期起,入库单!$C$4:$C$2503,"&lt;="&amp;账期止))</f>
        <v/>
      </c>
      <c r="O169" s="26">
        <f>IF($A169="","",ROUND($N169*$K169,0))</f>
        <v/>
      </c>
      <c r="P169" s="27">
        <f>IF($A169="","",SUMIFS(出库单!$J$4:$J$4003,出库单!$D$4:$D$4003,$A169,出库单!$K$4:$K$4003,"自用消耗",出库单!$U$4:$U$4003,"正常",出库单!$C$4:$C$4003,"&gt;="&amp;账期起,出库单!$C$4:$C$4003,"&lt;="&amp;账期止))</f>
        <v/>
      </c>
      <c r="Q169" s="26">
        <f>IF($A169="","",ROUND(SUMIFS(出库单!$S$4:$S$4003,出库单!$D$4:$D$4003,$A169,出库单!$K$4:$K$4003,"自用消耗",出库单!$U$4:$U$4003,"正常",出库单!$C$4:$C$4003,"&gt;="&amp;账期起,出库单!$C$4:$C$4003,"&lt;="&amp;账期止),0))</f>
        <v/>
      </c>
      <c r="R169" s="27">
        <f>IF($A169="","",SUMIFS(出库单!$J$4:$J$4003,出库单!$D$4:$D$4003,$A169,出库单!$K$4:$K$4003,"对外销售",出库单!$U$4:$U$4003,"正常",出库单!$C$4:$C$4003,"&gt;="&amp;账期起,出库单!$C$4:$C$4003,"&lt;="&amp;账期止))</f>
        <v/>
      </c>
      <c r="S169" s="26">
        <f>IF($A169="","",ROUND(SUMIFS(出库单!$S$4:$S$4003,出库单!$D$4:$D$4003,$A169,出库单!$K$4:$K$4003,"对外销售",出库单!$U$4:$U$4003,"正常",出库单!$C$4:$C$4003,"&gt;="&amp;账期起,出库单!$C$4:$C$4003,"&lt;="&amp;账期止),0))</f>
        <v/>
      </c>
      <c r="T169" s="27">
        <f>IF($A169="","",SUMIFS(出库单!$J$4:$J$4003,出库单!$D$4:$D$4003,$A169,出库单!$K$4:$K$4003,"盘亏",出库单!$U$4:$U$4003,"正常",出库单!$C$4:$C$4003,"&gt;="&amp;账期起,出库单!$C$4:$C$4003,"&lt;="&amp;账期止))</f>
        <v/>
      </c>
      <c r="U169" s="26">
        <f>IF($A169="","",ROUND(SUMIFS(出库单!$S$4:$S$4003,出库单!$D$4:$D$4003,$A169,出库单!$K$4:$K$4003,"盘亏",出库单!$U$4:$U$4003,"正常",出库单!$C$4:$C$4003,"&gt;="&amp;账期起,出库单!$C$4:$C$4003,"&lt;="&amp;账期止),0))</f>
        <v/>
      </c>
      <c r="V169" s="27">
        <f>IF($A169="","",SUMIFS(出库单!$J$4:$J$4003,出库单!$D$4:$D$4003,$A169,出库单!$K$4:$K$4003,"退货给供应商",出库单!$U$4:$U$4003,"正常",出库单!$C$4:$C$4003,"&gt;="&amp;账期起,出库单!$C$4:$C$4003,"&lt;="&amp;账期止))</f>
        <v/>
      </c>
      <c r="W169" s="26">
        <f>IF($A169="","",ROUND(SUMIFS(出库单!$S$4:$S$4003,出库单!$D$4:$D$4003,$A169,出库单!$K$4:$K$4003,"退货给供应商",出库单!$U$4:$U$4003,"正常",出库单!$C$4:$C$4003,"&gt;="&amp;账期起,出库单!$C$4:$C$4003,"&lt;="&amp;账期止),0))</f>
        <v/>
      </c>
      <c r="X169" s="27">
        <f>IF($A169="","",ROUND(N($G169)+$I169+$L169+$N169-$P169-$R169-$T169-$V169,3))</f>
        <v/>
      </c>
      <c r="Y169" s="26">
        <f>IF($A169="","",ROUND(N($H169)+$J169+$M169+$O169-$Q169-$S169-$U169-$W169,0))</f>
        <v/>
      </c>
      <c r="Z169" s="24">
        <f>IF($A169="","",IF(COUNTIFS(入库单!$G$4:$G$2503,$A169,入库单!$Y$4:$Y$2503,"待补价")+COUNTIFS(入库单!$G$4:$G$2503,$A169,入库单!$Y$4:$Y$2503,"暂估")&gt;0,"不可信","可信"))</f>
        <v/>
      </c>
      <c r="AA169" s="24">
        <f>IF($A169="","",IF($X169&lt;-0.001,"※账面负库存，查一下是不是漏记入库",IF(AND(ROUND($X169,3)=0,ABS($Y169)&gt;1),"※数量已经是 0，金额还挂着 "&amp;TEXT($Y169,"#,##0")&amp;" 先令",IF(AND($X169&gt;0,$Y169&lt;=0,$K169=0),"※有数量没金额（这个物料一直没填过进价）",IF($Z169="不可信","△成本含待补价/暂估，毛利仅供参考","")))))</f>
        <v/>
      </c>
    </row>
    <row r="170">
      <c r="A170" s="24">
        <f>IF(物料档案!$A169="","",物料档案!$A169)</f>
        <v/>
      </c>
      <c r="B170" s="24">
        <f>IF($A170="","",IFERROR(VLOOKUP($A170,物料档案!$A$4:$P$1203,3,0),""))</f>
        <v/>
      </c>
      <c r="C170" s="24">
        <f>IF($A170="","",IFERROR(VLOOKUP($A170,物料档案!$A$4:$P$1203,4,0),""))</f>
        <v/>
      </c>
      <c r="D170" s="24">
        <f>IF($A170="","",IFERROR(VLOOKUP($A170,物料档案!$A$4:$P$1203,5,0),""))</f>
        <v/>
      </c>
      <c r="E170" s="24">
        <f>IF($A170="","",IFERROR(VLOOKUP($A170,物料档案!$A$4:$P$1203,2,0),""))</f>
        <v/>
      </c>
      <c r="F170" s="24">
        <f>IF($A170="","",IFERROR(VLOOKUP($A170,物料档案!$A$4:$P$1203,6,0),""))</f>
        <v/>
      </c>
      <c r="G170" s="23" t="n"/>
      <c r="H170" s="32" t="n"/>
      <c r="I170" s="27">
        <f>IF($A170="","",SUMIFS(入库单!$K$4:$K$2503,入库单!$G$4:$G$2503,$A170,入库单!$X$4:$X$2503,"采购入库",入库单!$Z$4:$Z$2503,"正常",入库单!$C$4:$C$2503,"&gt;="&amp;账期起,入库单!$C$4:$C$2503,"&lt;="&amp;账期止))</f>
        <v/>
      </c>
      <c r="J170" s="26">
        <f>IF($A170="","",SUMIFS(入库单!$V$4:$V$2503,入库单!$G$4:$G$2503,$A170,入库单!$X$4:$X$2503,"采购入库",入库单!$Z$4:$Z$2503,"正常",入库单!$C$4:$C$2503,"&gt;="&amp;账期起,入库单!$C$4:$C$2503,"&lt;="&amp;账期止))</f>
        <v/>
      </c>
      <c r="K170" s="26">
        <f>IF($A170="","",IFERROR(ROUND((N($H170)+N($J170))/(N($G170)+N($I170)),2),0))</f>
        <v/>
      </c>
      <c r="L170" s="27">
        <f>IF($A170="","",SUMIFS(入库单!$K$4:$K$2503,入库单!$G$4:$G$2503,$A170,入库单!$X$4:$X$2503,"盘盈",入库单!$Z$4:$Z$2503,"正常",入库单!$C$4:$C$2503,"&gt;="&amp;账期起,入库单!$C$4:$C$2503,"&lt;="&amp;账期止))</f>
        <v/>
      </c>
      <c r="M170" s="26">
        <f>IF($A170="","",ROUND($L170*$K170,0))</f>
        <v/>
      </c>
      <c r="N170" s="27">
        <f>IF($A170="","",SUMIFS(入库单!$K$4:$K$2503,入库单!$G$4:$G$2503,$A170,入库单!$X$4:$X$2503,"矿区退库",入库单!$Z$4:$Z$2503,"正常",入库单!$C$4:$C$2503,"&gt;="&amp;账期起,入库单!$C$4:$C$2503,"&lt;="&amp;账期止))</f>
        <v/>
      </c>
      <c r="O170" s="26">
        <f>IF($A170="","",ROUND($N170*$K170,0))</f>
        <v/>
      </c>
      <c r="P170" s="27">
        <f>IF($A170="","",SUMIFS(出库单!$J$4:$J$4003,出库单!$D$4:$D$4003,$A170,出库单!$K$4:$K$4003,"自用消耗",出库单!$U$4:$U$4003,"正常",出库单!$C$4:$C$4003,"&gt;="&amp;账期起,出库单!$C$4:$C$4003,"&lt;="&amp;账期止))</f>
        <v/>
      </c>
      <c r="Q170" s="26">
        <f>IF($A170="","",ROUND(SUMIFS(出库单!$S$4:$S$4003,出库单!$D$4:$D$4003,$A170,出库单!$K$4:$K$4003,"自用消耗",出库单!$U$4:$U$4003,"正常",出库单!$C$4:$C$4003,"&gt;="&amp;账期起,出库单!$C$4:$C$4003,"&lt;="&amp;账期止),0))</f>
        <v/>
      </c>
      <c r="R170" s="27">
        <f>IF($A170="","",SUMIFS(出库单!$J$4:$J$4003,出库单!$D$4:$D$4003,$A170,出库单!$K$4:$K$4003,"对外销售",出库单!$U$4:$U$4003,"正常",出库单!$C$4:$C$4003,"&gt;="&amp;账期起,出库单!$C$4:$C$4003,"&lt;="&amp;账期止))</f>
        <v/>
      </c>
      <c r="S170" s="26">
        <f>IF($A170="","",ROUND(SUMIFS(出库单!$S$4:$S$4003,出库单!$D$4:$D$4003,$A170,出库单!$K$4:$K$4003,"对外销售",出库单!$U$4:$U$4003,"正常",出库单!$C$4:$C$4003,"&gt;="&amp;账期起,出库单!$C$4:$C$4003,"&lt;="&amp;账期止),0))</f>
        <v/>
      </c>
      <c r="T170" s="27">
        <f>IF($A170="","",SUMIFS(出库单!$J$4:$J$4003,出库单!$D$4:$D$4003,$A170,出库单!$K$4:$K$4003,"盘亏",出库单!$U$4:$U$4003,"正常",出库单!$C$4:$C$4003,"&gt;="&amp;账期起,出库单!$C$4:$C$4003,"&lt;="&amp;账期止))</f>
        <v/>
      </c>
      <c r="U170" s="26">
        <f>IF($A170="","",ROUND(SUMIFS(出库单!$S$4:$S$4003,出库单!$D$4:$D$4003,$A170,出库单!$K$4:$K$4003,"盘亏",出库单!$U$4:$U$4003,"正常",出库单!$C$4:$C$4003,"&gt;="&amp;账期起,出库单!$C$4:$C$4003,"&lt;="&amp;账期止),0))</f>
        <v/>
      </c>
      <c r="V170" s="27">
        <f>IF($A170="","",SUMIFS(出库单!$J$4:$J$4003,出库单!$D$4:$D$4003,$A170,出库单!$K$4:$K$4003,"退货给供应商",出库单!$U$4:$U$4003,"正常",出库单!$C$4:$C$4003,"&gt;="&amp;账期起,出库单!$C$4:$C$4003,"&lt;="&amp;账期止))</f>
        <v/>
      </c>
      <c r="W170" s="26">
        <f>IF($A170="","",ROUND(SUMIFS(出库单!$S$4:$S$4003,出库单!$D$4:$D$4003,$A170,出库单!$K$4:$K$4003,"退货给供应商",出库单!$U$4:$U$4003,"正常",出库单!$C$4:$C$4003,"&gt;="&amp;账期起,出库单!$C$4:$C$4003,"&lt;="&amp;账期止),0))</f>
        <v/>
      </c>
      <c r="X170" s="27">
        <f>IF($A170="","",ROUND(N($G170)+$I170+$L170+$N170-$P170-$R170-$T170-$V170,3))</f>
        <v/>
      </c>
      <c r="Y170" s="26">
        <f>IF($A170="","",ROUND(N($H170)+$J170+$M170+$O170-$Q170-$S170-$U170-$W170,0))</f>
        <v/>
      </c>
      <c r="Z170" s="24">
        <f>IF($A170="","",IF(COUNTIFS(入库单!$G$4:$G$2503,$A170,入库单!$Y$4:$Y$2503,"待补价")+COUNTIFS(入库单!$G$4:$G$2503,$A170,入库单!$Y$4:$Y$2503,"暂估")&gt;0,"不可信","可信"))</f>
        <v/>
      </c>
      <c r="AA170" s="24">
        <f>IF($A170="","",IF($X170&lt;-0.001,"※账面负库存，查一下是不是漏记入库",IF(AND(ROUND($X170,3)=0,ABS($Y170)&gt;1),"※数量已经是 0，金额还挂着 "&amp;TEXT($Y170,"#,##0")&amp;" 先令",IF(AND($X170&gt;0,$Y170&lt;=0,$K170=0),"※有数量没金额（这个物料一直没填过进价）",IF($Z170="不可信","△成本含待补价/暂估，毛利仅供参考","")))))</f>
        <v/>
      </c>
    </row>
    <row r="171">
      <c r="A171" s="24">
        <f>IF(物料档案!$A170="","",物料档案!$A170)</f>
        <v/>
      </c>
      <c r="B171" s="24">
        <f>IF($A171="","",IFERROR(VLOOKUP($A171,物料档案!$A$4:$P$1203,3,0),""))</f>
        <v/>
      </c>
      <c r="C171" s="24">
        <f>IF($A171="","",IFERROR(VLOOKUP($A171,物料档案!$A$4:$P$1203,4,0),""))</f>
        <v/>
      </c>
      <c r="D171" s="24">
        <f>IF($A171="","",IFERROR(VLOOKUP($A171,物料档案!$A$4:$P$1203,5,0),""))</f>
        <v/>
      </c>
      <c r="E171" s="24">
        <f>IF($A171="","",IFERROR(VLOOKUP($A171,物料档案!$A$4:$P$1203,2,0),""))</f>
        <v/>
      </c>
      <c r="F171" s="24">
        <f>IF($A171="","",IFERROR(VLOOKUP($A171,物料档案!$A$4:$P$1203,6,0),""))</f>
        <v/>
      </c>
      <c r="G171" s="23" t="n"/>
      <c r="H171" s="32" t="n"/>
      <c r="I171" s="27">
        <f>IF($A171="","",SUMIFS(入库单!$K$4:$K$2503,入库单!$G$4:$G$2503,$A171,入库单!$X$4:$X$2503,"采购入库",入库单!$Z$4:$Z$2503,"正常",入库单!$C$4:$C$2503,"&gt;="&amp;账期起,入库单!$C$4:$C$2503,"&lt;="&amp;账期止))</f>
        <v/>
      </c>
      <c r="J171" s="26">
        <f>IF($A171="","",SUMIFS(入库单!$V$4:$V$2503,入库单!$G$4:$G$2503,$A171,入库单!$X$4:$X$2503,"采购入库",入库单!$Z$4:$Z$2503,"正常",入库单!$C$4:$C$2503,"&gt;="&amp;账期起,入库单!$C$4:$C$2503,"&lt;="&amp;账期止))</f>
        <v/>
      </c>
      <c r="K171" s="26">
        <f>IF($A171="","",IFERROR(ROUND((N($H171)+N($J171))/(N($G171)+N($I171)),2),0))</f>
        <v/>
      </c>
      <c r="L171" s="27">
        <f>IF($A171="","",SUMIFS(入库单!$K$4:$K$2503,入库单!$G$4:$G$2503,$A171,入库单!$X$4:$X$2503,"盘盈",入库单!$Z$4:$Z$2503,"正常",入库单!$C$4:$C$2503,"&gt;="&amp;账期起,入库单!$C$4:$C$2503,"&lt;="&amp;账期止))</f>
        <v/>
      </c>
      <c r="M171" s="26">
        <f>IF($A171="","",ROUND($L171*$K171,0))</f>
        <v/>
      </c>
      <c r="N171" s="27">
        <f>IF($A171="","",SUMIFS(入库单!$K$4:$K$2503,入库单!$G$4:$G$2503,$A171,入库单!$X$4:$X$2503,"矿区退库",入库单!$Z$4:$Z$2503,"正常",入库单!$C$4:$C$2503,"&gt;="&amp;账期起,入库单!$C$4:$C$2503,"&lt;="&amp;账期止))</f>
        <v/>
      </c>
      <c r="O171" s="26">
        <f>IF($A171="","",ROUND($N171*$K171,0))</f>
        <v/>
      </c>
      <c r="P171" s="27">
        <f>IF($A171="","",SUMIFS(出库单!$J$4:$J$4003,出库单!$D$4:$D$4003,$A171,出库单!$K$4:$K$4003,"自用消耗",出库单!$U$4:$U$4003,"正常",出库单!$C$4:$C$4003,"&gt;="&amp;账期起,出库单!$C$4:$C$4003,"&lt;="&amp;账期止))</f>
        <v/>
      </c>
      <c r="Q171" s="26">
        <f>IF($A171="","",ROUND(SUMIFS(出库单!$S$4:$S$4003,出库单!$D$4:$D$4003,$A171,出库单!$K$4:$K$4003,"自用消耗",出库单!$U$4:$U$4003,"正常",出库单!$C$4:$C$4003,"&gt;="&amp;账期起,出库单!$C$4:$C$4003,"&lt;="&amp;账期止),0))</f>
        <v/>
      </c>
      <c r="R171" s="27">
        <f>IF($A171="","",SUMIFS(出库单!$J$4:$J$4003,出库单!$D$4:$D$4003,$A171,出库单!$K$4:$K$4003,"对外销售",出库单!$U$4:$U$4003,"正常",出库单!$C$4:$C$4003,"&gt;="&amp;账期起,出库单!$C$4:$C$4003,"&lt;="&amp;账期止))</f>
        <v/>
      </c>
      <c r="S171" s="26">
        <f>IF($A171="","",ROUND(SUMIFS(出库单!$S$4:$S$4003,出库单!$D$4:$D$4003,$A171,出库单!$K$4:$K$4003,"对外销售",出库单!$U$4:$U$4003,"正常",出库单!$C$4:$C$4003,"&gt;="&amp;账期起,出库单!$C$4:$C$4003,"&lt;="&amp;账期止),0))</f>
        <v/>
      </c>
      <c r="T171" s="27">
        <f>IF($A171="","",SUMIFS(出库单!$J$4:$J$4003,出库单!$D$4:$D$4003,$A171,出库单!$K$4:$K$4003,"盘亏",出库单!$U$4:$U$4003,"正常",出库单!$C$4:$C$4003,"&gt;="&amp;账期起,出库单!$C$4:$C$4003,"&lt;="&amp;账期止))</f>
        <v/>
      </c>
      <c r="U171" s="26">
        <f>IF($A171="","",ROUND(SUMIFS(出库单!$S$4:$S$4003,出库单!$D$4:$D$4003,$A171,出库单!$K$4:$K$4003,"盘亏",出库单!$U$4:$U$4003,"正常",出库单!$C$4:$C$4003,"&gt;="&amp;账期起,出库单!$C$4:$C$4003,"&lt;="&amp;账期止),0))</f>
        <v/>
      </c>
      <c r="V171" s="27">
        <f>IF($A171="","",SUMIFS(出库单!$J$4:$J$4003,出库单!$D$4:$D$4003,$A171,出库单!$K$4:$K$4003,"退货给供应商",出库单!$U$4:$U$4003,"正常",出库单!$C$4:$C$4003,"&gt;="&amp;账期起,出库单!$C$4:$C$4003,"&lt;="&amp;账期止))</f>
        <v/>
      </c>
      <c r="W171" s="26">
        <f>IF($A171="","",ROUND(SUMIFS(出库单!$S$4:$S$4003,出库单!$D$4:$D$4003,$A171,出库单!$K$4:$K$4003,"退货给供应商",出库单!$U$4:$U$4003,"正常",出库单!$C$4:$C$4003,"&gt;="&amp;账期起,出库单!$C$4:$C$4003,"&lt;="&amp;账期止),0))</f>
        <v/>
      </c>
      <c r="X171" s="27">
        <f>IF($A171="","",ROUND(N($G171)+$I171+$L171+$N171-$P171-$R171-$T171-$V171,3))</f>
        <v/>
      </c>
      <c r="Y171" s="26">
        <f>IF($A171="","",ROUND(N($H171)+$J171+$M171+$O171-$Q171-$S171-$U171-$W171,0))</f>
        <v/>
      </c>
      <c r="Z171" s="24">
        <f>IF($A171="","",IF(COUNTIFS(入库单!$G$4:$G$2503,$A171,入库单!$Y$4:$Y$2503,"待补价")+COUNTIFS(入库单!$G$4:$G$2503,$A171,入库单!$Y$4:$Y$2503,"暂估")&gt;0,"不可信","可信"))</f>
        <v/>
      </c>
      <c r="AA171" s="24">
        <f>IF($A171="","",IF($X171&lt;-0.001,"※账面负库存，查一下是不是漏记入库",IF(AND(ROUND($X171,3)=0,ABS($Y171)&gt;1),"※数量已经是 0，金额还挂着 "&amp;TEXT($Y171,"#,##0")&amp;" 先令",IF(AND($X171&gt;0,$Y171&lt;=0,$K171=0),"※有数量没金额（这个物料一直没填过进价）",IF($Z171="不可信","△成本含待补价/暂估，毛利仅供参考","")))))</f>
        <v/>
      </c>
    </row>
    <row r="172">
      <c r="A172" s="24">
        <f>IF(物料档案!$A171="","",物料档案!$A171)</f>
        <v/>
      </c>
      <c r="B172" s="24">
        <f>IF($A172="","",IFERROR(VLOOKUP($A172,物料档案!$A$4:$P$1203,3,0),""))</f>
        <v/>
      </c>
      <c r="C172" s="24">
        <f>IF($A172="","",IFERROR(VLOOKUP($A172,物料档案!$A$4:$P$1203,4,0),""))</f>
        <v/>
      </c>
      <c r="D172" s="24">
        <f>IF($A172="","",IFERROR(VLOOKUP($A172,物料档案!$A$4:$P$1203,5,0),""))</f>
        <v/>
      </c>
      <c r="E172" s="24">
        <f>IF($A172="","",IFERROR(VLOOKUP($A172,物料档案!$A$4:$P$1203,2,0),""))</f>
        <v/>
      </c>
      <c r="F172" s="24">
        <f>IF($A172="","",IFERROR(VLOOKUP($A172,物料档案!$A$4:$P$1203,6,0),""))</f>
        <v/>
      </c>
      <c r="G172" s="23" t="n"/>
      <c r="H172" s="32" t="n"/>
      <c r="I172" s="27">
        <f>IF($A172="","",SUMIFS(入库单!$K$4:$K$2503,入库单!$G$4:$G$2503,$A172,入库单!$X$4:$X$2503,"采购入库",入库单!$Z$4:$Z$2503,"正常",入库单!$C$4:$C$2503,"&gt;="&amp;账期起,入库单!$C$4:$C$2503,"&lt;="&amp;账期止))</f>
        <v/>
      </c>
      <c r="J172" s="26">
        <f>IF($A172="","",SUMIFS(入库单!$V$4:$V$2503,入库单!$G$4:$G$2503,$A172,入库单!$X$4:$X$2503,"采购入库",入库单!$Z$4:$Z$2503,"正常",入库单!$C$4:$C$2503,"&gt;="&amp;账期起,入库单!$C$4:$C$2503,"&lt;="&amp;账期止))</f>
        <v/>
      </c>
      <c r="K172" s="26">
        <f>IF($A172="","",IFERROR(ROUND((N($H172)+N($J172))/(N($G172)+N($I172)),2),0))</f>
        <v/>
      </c>
      <c r="L172" s="27">
        <f>IF($A172="","",SUMIFS(入库单!$K$4:$K$2503,入库单!$G$4:$G$2503,$A172,入库单!$X$4:$X$2503,"盘盈",入库单!$Z$4:$Z$2503,"正常",入库单!$C$4:$C$2503,"&gt;="&amp;账期起,入库单!$C$4:$C$2503,"&lt;="&amp;账期止))</f>
        <v/>
      </c>
      <c r="M172" s="26">
        <f>IF($A172="","",ROUND($L172*$K172,0))</f>
        <v/>
      </c>
      <c r="N172" s="27">
        <f>IF($A172="","",SUMIFS(入库单!$K$4:$K$2503,入库单!$G$4:$G$2503,$A172,入库单!$X$4:$X$2503,"矿区退库",入库单!$Z$4:$Z$2503,"正常",入库单!$C$4:$C$2503,"&gt;="&amp;账期起,入库单!$C$4:$C$2503,"&lt;="&amp;账期止))</f>
        <v/>
      </c>
      <c r="O172" s="26">
        <f>IF($A172="","",ROUND($N172*$K172,0))</f>
        <v/>
      </c>
      <c r="P172" s="27">
        <f>IF($A172="","",SUMIFS(出库单!$J$4:$J$4003,出库单!$D$4:$D$4003,$A172,出库单!$K$4:$K$4003,"自用消耗",出库单!$U$4:$U$4003,"正常",出库单!$C$4:$C$4003,"&gt;="&amp;账期起,出库单!$C$4:$C$4003,"&lt;="&amp;账期止))</f>
        <v/>
      </c>
      <c r="Q172" s="26">
        <f>IF($A172="","",ROUND(SUMIFS(出库单!$S$4:$S$4003,出库单!$D$4:$D$4003,$A172,出库单!$K$4:$K$4003,"自用消耗",出库单!$U$4:$U$4003,"正常",出库单!$C$4:$C$4003,"&gt;="&amp;账期起,出库单!$C$4:$C$4003,"&lt;="&amp;账期止),0))</f>
        <v/>
      </c>
      <c r="R172" s="27">
        <f>IF($A172="","",SUMIFS(出库单!$J$4:$J$4003,出库单!$D$4:$D$4003,$A172,出库单!$K$4:$K$4003,"对外销售",出库单!$U$4:$U$4003,"正常",出库单!$C$4:$C$4003,"&gt;="&amp;账期起,出库单!$C$4:$C$4003,"&lt;="&amp;账期止))</f>
        <v/>
      </c>
      <c r="S172" s="26">
        <f>IF($A172="","",ROUND(SUMIFS(出库单!$S$4:$S$4003,出库单!$D$4:$D$4003,$A172,出库单!$K$4:$K$4003,"对外销售",出库单!$U$4:$U$4003,"正常",出库单!$C$4:$C$4003,"&gt;="&amp;账期起,出库单!$C$4:$C$4003,"&lt;="&amp;账期止),0))</f>
        <v/>
      </c>
      <c r="T172" s="27">
        <f>IF($A172="","",SUMIFS(出库单!$J$4:$J$4003,出库单!$D$4:$D$4003,$A172,出库单!$K$4:$K$4003,"盘亏",出库单!$U$4:$U$4003,"正常",出库单!$C$4:$C$4003,"&gt;="&amp;账期起,出库单!$C$4:$C$4003,"&lt;="&amp;账期止))</f>
        <v/>
      </c>
      <c r="U172" s="26">
        <f>IF($A172="","",ROUND(SUMIFS(出库单!$S$4:$S$4003,出库单!$D$4:$D$4003,$A172,出库单!$K$4:$K$4003,"盘亏",出库单!$U$4:$U$4003,"正常",出库单!$C$4:$C$4003,"&gt;="&amp;账期起,出库单!$C$4:$C$4003,"&lt;="&amp;账期止),0))</f>
        <v/>
      </c>
      <c r="V172" s="27">
        <f>IF($A172="","",SUMIFS(出库单!$J$4:$J$4003,出库单!$D$4:$D$4003,$A172,出库单!$K$4:$K$4003,"退货给供应商",出库单!$U$4:$U$4003,"正常",出库单!$C$4:$C$4003,"&gt;="&amp;账期起,出库单!$C$4:$C$4003,"&lt;="&amp;账期止))</f>
        <v/>
      </c>
      <c r="W172" s="26">
        <f>IF($A172="","",ROUND(SUMIFS(出库单!$S$4:$S$4003,出库单!$D$4:$D$4003,$A172,出库单!$K$4:$K$4003,"退货给供应商",出库单!$U$4:$U$4003,"正常",出库单!$C$4:$C$4003,"&gt;="&amp;账期起,出库单!$C$4:$C$4003,"&lt;="&amp;账期止),0))</f>
        <v/>
      </c>
      <c r="X172" s="27">
        <f>IF($A172="","",ROUND(N($G172)+$I172+$L172+$N172-$P172-$R172-$T172-$V172,3))</f>
        <v/>
      </c>
      <c r="Y172" s="26">
        <f>IF($A172="","",ROUND(N($H172)+$J172+$M172+$O172-$Q172-$S172-$U172-$W172,0))</f>
        <v/>
      </c>
      <c r="Z172" s="24">
        <f>IF($A172="","",IF(COUNTIFS(入库单!$G$4:$G$2503,$A172,入库单!$Y$4:$Y$2503,"待补价")+COUNTIFS(入库单!$G$4:$G$2503,$A172,入库单!$Y$4:$Y$2503,"暂估")&gt;0,"不可信","可信"))</f>
        <v/>
      </c>
      <c r="AA172" s="24">
        <f>IF($A172="","",IF($X172&lt;-0.001,"※账面负库存，查一下是不是漏记入库",IF(AND(ROUND($X172,3)=0,ABS($Y172)&gt;1),"※数量已经是 0，金额还挂着 "&amp;TEXT($Y172,"#,##0")&amp;" 先令",IF(AND($X172&gt;0,$Y172&lt;=0,$K172=0),"※有数量没金额（这个物料一直没填过进价）",IF($Z172="不可信","△成本含待补价/暂估，毛利仅供参考","")))))</f>
        <v/>
      </c>
    </row>
    <row r="173">
      <c r="A173" s="24">
        <f>IF(物料档案!$A172="","",物料档案!$A172)</f>
        <v/>
      </c>
      <c r="B173" s="24">
        <f>IF($A173="","",IFERROR(VLOOKUP($A173,物料档案!$A$4:$P$1203,3,0),""))</f>
        <v/>
      </c>
      <c r="C173" s="24">
        <f>IF($A173="","",IFERROR(VLOOKUP($A173,物料档案!$A$4:$P$1203,4,0),""))</f>
        <v/>
      </c>
      <c r="D173" s="24">
        <f>IF($A173="","",IFERROR(VLOOKUP($A173,物料档案!$A$4:$P$1203,5,0),""))</f>
        <v/>
      </c>
      <c r="E173" s="24">
        <f>IF($A173="","",IFERROR(VLOOKUP($A173,物料档案!$A$4:$P$1203,2,0),""))</f>
        <v/>
      </c>
      <c r="F173" s="24">
        <f>IF($A173="","",IFERROR(VLOOKUP($A173,物料档案!$A$4:$P$1203,6,0),""))</f>
        <v/>
      </c>
      <c r="G173" s="23" t="n"/>
      <c r="H173" s="32" t="n"/>
      <c r="I173" s="27">
        <f>IF($A173="","",SUMIFS(入库单!$K$4:$K$2503,入库单!$G$4:$G$2503,$A173,入库单!$X$4:$X$2503,"采购入库",入库单!$Z$4:$Z$2503,"正常",入库单!$C$4:$C$2503,"&gt;="&amp;账期起,入库单!$C$4:$C$2503,"&lt;="&amp;账期止))</f>
        <v/>
      </c>
      <c r="J173" s="26">
        <f>IF($A173="","",SUMIFS(入库单!$V$4:$V$2503,入库单!$G$4:$G$2503,$A173,入库单!$X$4:$X$2503,"采购入库",入库单!$Z$4:$Z$2503,"正常",入库单!$C$4:$C$2503,"&gt;="&amp;账期起,入库单!$C$4:$C$2503,"&lt;="&amp;账期止))</f>
        <v/>
      </c>
      <c r="K173" s="26">
        <f>IF($A173="","",IFERROR(ROUND((N($H173)+N($J173))/(N($G173)+N($I173)),2),0))</f>
        <v/>
      </c>
      <c r="L173" s="27">
        <f>IF($A173="","",SUMIFS(入库单!$K$4:$K$2503,入库单!$G$4:$G$2503,$A173,入库单!$X$4:$X$2503,"盘盈",入库单!$Z$4:$Z$2503,"正常",入库单!$C$4:$C$2503,"&gt;="&amp;账期起,入库单!$C$4:$C$2503,"&lt;="&amp;账期止))</f>
        <v/>
      </c>
      <c r="M173" s="26">
        <f>IF($A173="","",ROUND($L173*$K173,0))</f>
        <v/>
      </c>
      <c r="N173" s="27">
        <f>IF($A173="","",SUMIFS(入库单!$K$4:$K$2503,入库单!$G$4:$G$2503,$A173,入库单!$X$4:$X$2503,"矿区退库",入库单!$Z$4:$Z$2503,"正常",入库单!$C$4:$C$2503,"&gt;="&amp;账期起,入库单!$C$4:$C$2503,"&lt;="&amp;账期止))</f>
        <v/>
      </c>
      <c r="O173" s="26">
        <f>IF($A173="","",ROUND($N173*$K173,0))</f>
        <v/>
      </c>
      <c r="P173" s="27">
        <f>IF($A173="","",SUMIFS(出库单!$J$4:$J$4003,出库单!$D$4:$D$4003,$A173,出库单!$K$4:$K$4003,"自用消耗",出库单!$U$4:$U$4003,"正常",出库单!$C$4:$C$4003,"&gt;="&amp;账期起,出库单!$C$4:$C$4003,"&lt;="&amp;账期止))</f>
        <v/>
      </c>
      <c r="Q173" s="26">
        <f>IF($A173="","",ROUND(SUMIFS(出库单!$S$4:$S$4003,出库单!$D$4:$D$4003,$A173,出库单!$K$4:$K$4003,"自用消耗",出库单!$U$4:$U$4003,"正常",出库单!$C$4:$C$4003,"&gt;="&amp;账期起,出库单!$C$4:$C$4003,"&lt;="&amp;账期止),0))</f>
        <v/>
      </c>
      <c r="R173" s="27">
        <f>IF($A173="","",SUMIFS(出库单!$J$4:$J$4003,出库单!$D$4:$D$4003,$A173,出库单!$K$4:$K$4003,"对外销售",出库单!$U$4:$U$4003,"正常",出库单!$C$4:$C$4003,"&gt;="&amp;账期起,出库单!$C$4:$C$4003,"&lt;="&amp;账期止))</f>
        <v/>
      </c>
      <c r="S173" s="26">
        <f>IF($A173="","",ROUND(SUMIFS(出库单!$S$4:$S$4003,出库单!$D$4:$D$4003,$A173,出库单!$K$4:$K$4003,"对外销售",出库单!$U$4:$U$4003,"正常",出库单!$C$4:$C$4003,"&gt;="&amp;账期起,出库单!$C$4:$C$4003,"&lt;="&amp;账期止),0))</f>
        <v/>
      </c>
      <c r="T173" s="27">
        <f>IF($A173="","",SUMIFS(出库单!$J$4:$J$4003,出库单!$D$4:$D$4003,$A173,出库单!$K$4:$K$4003,"盘亏",出库单!$U$4:$U$4003,"正常",出库单!$C$4:$C$4003,"&gt;="&amp;账期起,出库单!$C$4:$C$4003,"&lt;="&amp;账期止))</f>
        <v/>
      </c>
      <c r="U173" s="26">
        <f>IF($A173="","",ROUND(SUMIFS(出库单!$S$4:$S$4003,出库单!$D$4:$D$4003,$A173,出库单!$K$4:$K$4003,"盘亏",出库单!$U$4:$U$4003,"正常",出库单!$C$4:$C$4003,"&gt;="&amp;账期起,出库单!$C$4:$C$4003,"&lt;="&amp;账期止),0))</f>
        <v/>
      </c>
      <c r="V173" s="27">
        <f>IF($A173="","",SUMIFS(出库单!$J$4:$J$4003,出库单!$D$4:$D$4003,$A173,出库单!$K$4:$K$4003,"退货给供应商",出库单!$U$4:$U$4003,"正常",出库单!$C$4:$C$4003,"&gt;="&amp;账期起,出库单!$C$4:$C$4003,"&lt;="&amp;账期止))</f>
        <v/>
      </c>
      <c r="W173" s="26">
        <f>IF($A173="","",ROUND(SUMIFS(出库单!$S$4:$S$4003,出库单!$D$4:$D$4003,$A173,出库单!$K$4:$K$4003,"退货给供应商",出库单!$U$4:$U$4003,"正常",出库单!$C$4:$C$4003,"&gt;="&amp;账期起,出库单!$C$4:$C$4003,"&lt;="&amp;账期止),0))</f>
        <v/>
      </c>
      <c r="X173" s="27">
        <f>IF($A173="","",ROUND(N($G173)+$I173+$L173+$N173-$P173-$R173-$T173-$V173,3))</f>
        <v/>
      </c>
      <c r="Y173" s="26">
        <f>IF($A173="","",ROUND(N($H173)+$J173+$M173+$O173-$Q173-$S173-$U173-$W173,0))</f>
        <v/>
      </c>
      <c r="Z173" s="24">
        <f>IF($A173="","",IF(COUNTIFS(入库单!$G$4:$G$2503,$A173,入库单!$Y$4:$Y$2503,"待补价")+COUNTIFS(入库单!$G$4:$G$2503,$A173,入库单!$Y$4:$Y$2503,"暂估")&gt;0,"不可信","可信"))</f>
        <v/>
      </c>
      <c r="AA173" s="24">
        <f>IF($A173="","",IF($X173&lt;-0.001,"※账面负库存，查一下是不是漏记入库",IF(AND(ROUND($X173,3)=0,ABS($Y173)&gt;1),"※数量已经是 0，金额还挂着 "&amp;TEXT($Y173,"#,##0")&amp;" 先令",IF(AND($X173&gt;0,$Y173&lt;=0,$K173=0),"※有数量没金额（这个物料一直没填过进价）",IF($Z173="不可信","△成本含待补价/暂估，毛利仅供参考","")))))</f>
        <v/>
      </c>
    </row>
    <row r="174">
      <c r="A174" s="24">
        <f>IF(物料档案!$A173="","",物料档案!$A173)</f>
        <v/>
      </c>
      <c r="B174" s="24">
        <f>IF($A174="","",IFERROR(VLOOKUP($A174,物料档案!$A$4:$P$1203,3,0),""))</f>
        <v/>
      </c>
      <c r="C174" s="24">
        <f>IF($A174="","",IFERROR(VLOOKUP($A174,物料档案!$A$4:$P$1203,4,0),""))</f>
        <v/>
      </c>
      <c r="D174" s="24">
        <f>IF($A174="","",IFERROR(VLOOKUP($A174,物料档案!$A$4:$P$1203,5,0),""))</f>
        <v/>
      </c>
      <c r="E174" s="24">
        <f>IF($A174="","",IFERROR(VLOOKUP($A174,物料档案!$A$4:$P$1203,2,0),""))</f>
        <v/>
      </c>
      <c r="F174" s="24">
        <f>IF($A174="","",IFERROR(VLOOKUP($A174,物料档案!$A$4:$P$1203,6,0),""))</f>
        <v/>
      </c>
      <c r="G174" s="23" t="n"/>
      <c r="H174" s="32" t="n"/>
      <c r="I174" s="27">
        <f>IF($A174="","",SUMIFS(入库单!$K$4:$K$2503,入库单!$G$4:$G$2503,$A174,入库单!$X$4:$X$2503,"采购入库",入库单!$Z$4:$Z$2503,"正常",入库单!$C$4:$C$2503,"&gt;="&amp;账期起,入库单!$C$4:$C$2503,"&lt;="&amp;账期止))</f>
        <v/>
      </c>
      <c r="J174" s="26">
        <f>IF($A174="","",SUMIFS(入库单!$V$4:$V$2503,入库单!$G$4:$G$2503,$A174,入库单!$X$4:$X$2503,"采购入库",入库单!$Z$4:$Z$2503,"正常",入库单!$C$4:$C$2503,"&gt;="&amp;账期起,入库单!$C$4:$C$2503,"&lt;="&amp;账期止))</f>
        <v/>
      </c>
      <c r="K174" s="26">
        <f>IF($A174="","",IFERROR(ROUND((N($H174)+N($J174))/(N($G174)+N($I174)),2),0))</f>
        <v/>
      </c>
      <c r="L174" s="27">
        <f>IF($A174="","",SUMIFS(入库单!$K$4:$K$2503,入库单!$G$4:$G$2503,$A174,入库单!$X$4:$X$2503,"盘盈",入库单!$Z$4:$Z$2503,"正常",入库单!$C$4:$C$2503,"&gt;="&amp;账期起,入库单!$C$4:$C$2503,"&lt;="&amp;账期止))</f>
        <v/>
      </c>
      <c r="M174" s="26">
        <f>IF($A174="","",ROUND($L174*$K174,0))</f>
        <v/>
      </c>
      <c r="N174" s="27">
        <f>IF($A174="","",SUMIFS(入库单!$K$4:$K$2503,入库单!$G$4:$G$2503,$A174,入库单!$X$4:$X$2503,"矿区退库",入库单!$Z$4:$Z$2503,"正常",入库单!$C$4:$C$2503,"&gt;="&amp;账期起,入库单!$C$4:$C$2503,"&lt;="&amp;账期止))</f>
        <v/>
      </c>
      <c r="O174" s="26">
        <f>IF($A174="","",ROUND($N174*$K174,0))</f>
        <v/>
      </c>
      <c r="P174" s="27">
        <f>IF($A174="","",SUMIFS(出库单!$J$4:$J$4003,出库单!$D$4:$D$4003,$A174,出库单!$K$4:$K$4003,"自用消耗",出库单!$U$4:$U$4003,"正常",出库单!$C$4:$C$4003,"&gt;="&amp;账期起,出库单!$C$4:$C$4003,"&lt;="&amp;账期止))</f>
        <v/>
      </c>
      <c r="Q174" s="26">
        <f>IF($A174="","",ROUND(SUMIFS(出库单!$S$4:$S$4003,出库单!$D$4:$D$4003,$A174,出库单!$K$4:$K$4003,"自用消耗",出库单!$U$4:$U$4003,"正常",出库单!$C$4:$C$4003,"&gt;="&amp;账期起,出库单!$C$4:$C$4003,"&lt;="&amp;账期止),0))</f>
        <v/>
      </c>
      <c r="R174" s="27">
        <f>IF($A174="","",SUMIFS(出库单!$J$4:$J$4003,出库单!$D$4:$D$4003,$A174,出库单!$K$4:$K$4003,"对外销售",出库单!$U$4:$U$4003,"正常",出库单!$C$4:$C$4003,"&gt;="&amp;账期起,出库单!$C$4:$C$4003,"&lt;="&amp;账期止))</f>
        <v/>
      </c>
      <c r="S174" s="26">
        <f>IF($A174="","",ROUND(SUMIFS(出库单!$S$4:$S$4003,出库单!$D$4:$D$4003,$A174,出库单!$K$4:$K$4003,"对外销售",出库单!$U$4:$U$4003,"正常",出库单!$C$4:$C$4003,"&gt;="&amp;账期起,出库单!$C$4:$C$4003,"&lt;="&amp;账期止),0))</f>
        <v/>
      </c>
      <c r="T174" s="27">
        <f>IF($A174="","",SUMIFS(出库单!$J$4:$J$4003,出库单!$D$4:$D$4003,$A174,出库单!$K$4:$K$4003,"盘亏",出库单!$U$4:$U$4003,"正常",出库单!$C$4:$C$4003,"&gt;="&amp;账期起,出库单!$C$4:$C$4003,"&lt;="&amp;账期止))</f>
        <v/>
      </c>
      <c r="U174" s="26">
        <f>IF($A174="","",ROUND(SUMIFS(出库单!$S$4:$S$4003,出库单!$D$4:$D$4003,$A174,出库单!$K$4:$K$4003,"盘亏",出库单!$U$4:$U$4003,"正常",出库单!$C$4:$C$4003,"&gt;="&amp;账期起,出库单!$C$4:$C$4003,"&lt;="&amp;账期止),0))</f>
        <v/>
      </c>
      <c r="V174" s="27">
        <f>IF($A174="","",SUMIFS(出库单!$J$4:$J$4003,出库单!$D$4:$D$4003,$A174,出库单!$K$4:$K$4003,"退货给供应商",出库单!$U$4:$U$4003,"正常",出库单!$C$4:$C$4003,"&gt;="&amp;账期起,出库单!$C$4:$C$4003,"&lt;="&amp;账期止))</f>
        <v/>
      </c>
      <c r="W174" s="26">
        <f>IF($A174="","",ROUND(SUMIFS(出库单!$S$4:$S$4003,出库单!$D$4:$D$4003,$A174,出库单!$K$4:$K$4003,"退货给供应商",出库单!$U$4:$U$4003,"正常",出库单!$C$4:$C$4003,"&gt;="&amp;账期起,出库单!$C$4:$C$4003,"&lt;="&amp;账期止),0))</f>
        <v/>
      </c>
      <c r="X174" s="27">
        <f>IF($A174="","",ROUND(N($G174)+$I174+$L174+$N174-$P174-$R174-$T174-$V174,3))</f>
        <v/>
      </c>
      <c r="Y174" s="26">
        <f>IF($A174="","",ROUND(N($H174)+$J174+$M174+$O174-$Q174-$S174-$U174-$W174,0))</f>
        <v/>
      </c>
      <c r="Z174" s="24">
        <f>IF($A174="","",IF(COUNTIFS(入库单!$G$4:$G$2503,$A174,入库单!$Y$4:$Y$2503,"待补价")+COUNTIFS(入库单!$G$4:$G$2503,$A174,入库单!$Y$4:$Y$2503,"暂估")&gt;0,"不可信","可信"))</f>
        <v/>
      </c>
      <c r="AA174" s="24">
        <f>IF($A174="","",IF($X174&lt;-0.001,"※账面负库存，查一下是不是漏记入库",IF(AND(ROUND($X174,3)=0,ABS($Y174)&gt;1),"※数量已经是 0，金额还挂着 "&amp;TEXT($Y174,"#,##0")&amp;" 先令",IF(AND($X174&gt;0,$Y174&lt;=0,$K174=0),"※有数量没金额（这个物料一直没填过进价）",IF($Z174="不可信","△成本含待补价/暂估，毛利仅供参考","")))))</f>
        <v/>
      </c>
    </row>
    <row r="175">
      <c r="A175" s="24">
        <f>IF(物料档案!$A174="","",物料档案!$A174)</f>
        <v/>
      </c>
      <c r="B175" s="24">
        <f>IF($A175="","",IFERROR(VLOOKUP($A175,物料档案!$A$4:$P$1203,3,0),""))</f>
        <v/>
      </c>
      <c r="C175" s="24">
        <f>IF($A175="","",IFERROR(VLOOKUP($A175,物料档案!$A$4:$P$1203,4,0),""))</f>
        <v/>
      </c>
      <c r="D175" s="24">
        <f>IF($A175="","",IFERROR(VLOOKUP($A175,物料档案!$A$4:$P$1203,5,0),""))</f>
        <v/>
      </c>
      <c r="E175" s="24">
        <f>IF($A175="","",IFERROR(VLOOKUP($A175,物料档案!$A$4:$P$1203,2,0),""))</f>
        <v/>
      </c>
      <c r="F175" s="24">
        <f>IF($A175="","",IFERROR(VLOOKUP($A175,物料档案!$A$4:$P$1203,6,0),""))</f>
        <v/>
      </c>
      <c r="G175" s="23" t="n"/>
      <c r="H175" s="32" t="n"/>
      <c r="I175" s="27">
        <f>IF($A175="","",SUMIFS(入库单!$K$4:$K$2503,入库单!$G$4:$G$2503,$A175,入库单!$X$4:$X$2503,"采购入库",入库单!$Z$4:$Z$2503,"正常",入库单!$C$4:$C$2503,"&gt;="&amp;账期起,入库单!$C$4:$C$2503,"&lt;="&amp;账期止))</f>
        <v/>
      </c>
      <c r="J175" s="26">
        <f>IF($A175="","",SUMIFS(入库单!$V$4:$V$2503,入库单!$G$4:$G$2503,$A175,入库单!$X$4:$X$2503,"采购入库",入库单!$Z$4:$Z$2503,"正常",入库单!$C$4:$C$2503,"&gt;="&amp;账期起,入库单!$C$4:$C$2503,"&lt;="&amp;账期止))</f>
        <v/>
      </c>
      <c r="K175" s="26">
        <f>IF($A175="","",IFERROR(ROUND((N($H175)+N($J175))/(N($G175)+N($I175)),2),0))</f>
        <v/>
      </c>
      <c r="L175" s="27">
        <f>IF($A175="","",SUMIFS(入库单!$K$4:$K$2503,入库单!$G$4:$G$2503,$A175,入库单!$X$4:$X$2503,"盘盈",入库单!$Z$4:$Z$2503,"正常",入库单!$C$4:$C$2503,"&gt;="&amp;账期起,入库单!$C$4:$C$2503,"&lt;="&amp;账期止))</f>
        <v/>
      </c>
      <c r="M175" s="26">
        <f>IF($A175="","",ROUND($L175*$K175,0))</f>
        <v/>
      </c>
      <c r="N175" s="27">
        <f>IF($A175="","",SUMIFS(入库单!$K$4:$K$2503,入库单!$G$4:$G$2503,$A175,入库单!$X$4:$X$2503,"矿区退库",入库单!$Z$4:$Z$2503,"正常",入库单!$C$4:$C$2503,"&gt;="&amp;账期起,入库单!$C$4:$C$2503,"&lt;="&amp;账期止))</f>
        <v/>
      </c>
      <c r="O175" s="26">
        <f>IF($A175="","",ROUND($N175*$K175,0))</f>
        <v/>
      </c>
      <c r="P175" s="27">
        <f>IF($A175="","",SUMIFS(出库单!$J$4:$J$4003,出库单!$D$4:$D$4003,$A175,出库单!$K$4:$K$4003,"自用消耗",出库单!$U$4:$U$4003,"正常",出库单!$C$4:$C$4003,"&gt;="&amp;账期起,出库单!$C$4:$C$4003,"&lt;="&amp;账期止))</f>
        <v/>
      </c>
      <c r="Q175" s="26">
        <f>IF($A175="","",ROUND(SUMIFS(出库单!$S$4:$S$4003,出库单!$D$4:$D$4003,$A175,出库单!$K$4:$K$4003,"自用消耗",出库单!$U$4:$U$4003,"正常",出库单!$C$4:$C$4003,"&gt;="&amp;账期起,出库单!$C$4:$C$4003,"&lt;="&amp;账期止),0))</f>
        <v/>
      </c>
      <c r="R175" s="27">
        <f>IF($A175="","",SUMIFS(出库单!$J$4:$J$4003,出库单!$D$4:$D$4003,$A175,出库单!$K$4:$K$4003,"对外销售",出库单!$U$4:$U$4003,"正常",出库单!$C$4:$C$4003,"&gt;="&amp;账期起,出库单!$C$4:$C$4003,"&lt;="&amp;账期止))</f>
        <v/>
      </c>
      <c r="S175" s="26">
        <f>IF($A175="","",ROUND(SUMIFS(出库单!$S$4:$S$4003,出库单!$D$4:$D$4003,$A175,出库单!$K$4:$K$4003,"对外销售",出库单!$U$4:$U$4003,"正常",出库单!$C$4:$C$4003,"&gt;="&amp;账期起,出库单!$C$4:$C$4003,"&lt;="&amp;账期止),0))</f>
        <v/>
      </c>
      <c r="T175" s="27">
        <f>IF($A175="","",SUMIFS(出库单!$J$4:$J$4003,出库单!$D$4:$D$4003,$A175,出库单!$K$4:$K$4003,"盘亏",出库单!$U$4:$U$4003,"正常",出库单!$C$4:$C$4003,"&gt;="&amp;账期起,出库单!$C$4:$C$4003,"&lt;="&amp;账期止))</f>
        <v/>
      </c>
      <c r="U175" s="26">
        <f>IF($A175="","",ROUND(SUMIFS(出库单!$S$4:$S$4003,出库单!$D$4:$D$4003,$A175,出库单!$K$4:$K$4003,"盘亏",出库单!$U$4:$U$4003,"正常",出库单!$C$4:$C$4003,"&gt;="&amp;账期起,出库单!$C$4:$C$4003,"&lt;="&amp;账期止),0))</f>
        <v/>
      </c>
      <c r="V175" s="27">
        <f>IF($A175="","",SUMIFS(出库单!$J$4:$J$4003,出库单!$D$4:$D$4003,$A175,出库单!$K$4:$K$4003,"退货给供应商",出库单!$U$4:$U$4003,"正常",出库单!$C$4:$C$4003,"&gt;="&amp;账期起,出库单!$C$4:$C$4003,"&lt;="&amp;账期止))</f>
        <v/>
      </c>
      <c r="W175" s="26">
        <f>IF($A175="","",ROUND(SUMIFS(出库单!$S$4:$S$4003,出库单!$D$4:$D$4003,$A175,出库单!$K$4:$K$4003,"退货给供应商",出库单!$U$4:$U$4003,"正常",出库单!$C$4:$C$4003,"&gt;="&amp;账期起,出库单!$C$4:$C$4003,"&lt;="&amp;账期止),0))</f>
        <v/>
      </c>
      <c r="X175" s="27">
        <f>IF($A175="","",ROUND(N($G175)+$I175+$L175+$N175-$P175-$R175-$T175-$V175,3))</f>
        <v/>
      </c>
      <c r="Y175" s="26">
        <f>IF($A175="","",ROUND(N($H175)+$J175+$M175+$O175-$Q175-$S175-$U175-$W175,0))</f>
        <v/>
      </c>
      <c r="Z175" s="24">
        <f>IF($A175="","",IF(COUNTIFS(入库单!$G$4:$G$2503,$A175,入库单!$Y$4:$Y$2503,"待补价")+COUNTIFS(入库单!$G$4:$G$2503,$A175,入库单!$Y$4:$Y$2503,"暂估")&gt;0,"不可信","可信"))</f>
        <v/>
      </c>
      <c r="AA175" s="24">
        <f>IF($A175="","",IF($X175&lt;-0.001,"※账面负库存，查一下是不是漏记入库",IF(AND(ROUND($X175,3)=0,ABS($Y175)&gt;1),"※数量已经是 0，金额还挂着 "&amp;TEXT($Y175,"#,##0")&amp;" 先令",IF(AND($X175&gt;0,$Y175&lt;=0,$K175=0),"※有数量没金额（这个物料一直没填过进价）",IF($Z175="不可信","△成本含待补价/暂估，毛利仅供参考","")))))</f>
        <v/>
      </c>
    </row>
    <row r="176">
      <c r="A176" s="24">
        <f>IF(物料档案!$A175="","",物料档案!$A175)</f>
        <v/>
      </c>
      <c r="B176" s="24">
        <f>IF($A176="","",IFERROR(VLOOKUP($A176,物料档案!$A$4:$P$1203,3,0),""))</f>
        <v/>
      </c>
      <c r="C176" s="24">
        <f>IF($A176="","",IFERROR(VLOOKUP($A176,物料档案!$A$4:$P$1203,4,0),""))</f>
        <v/>
      </c>
      <c r="D176" s="24">
        <f>IF($A176="","",IFERROR(VLOOKUP($A176,物料档案!$A$4:$P$1203,5,0),""))</f>
        <v/>
      </c>
      <c r="E176" s="24">
        <f>IF($A176="","",IFERROR(VLOOKUP($A176,物料档案!$A$4:$P$1203,2,0),""))</f>
        <v/>
      </c>
      <c r="F176" s="24">
        <f>IF($A176="","",IFERROR(VLOOKUP($A176,物料档案!$A$4:$P$1203,6,0),""))</f>
        <v/>
      </c>
      <c r="G176" s="23" t="n"/>
      <c r="H176" s="32" t="n"/>
      <c r="I176" s="27">
        <f>IF($A176="","",SUMIFS(入库单!$K$4:$K$2503,入库单!$G$4:$G$2503,$A176,入库单!$X$4:$X$2503,"采购入库",入库单!$Z$4:$Z$2503,"正常",入库单!$C$4:$C$2503,"&gt;="&amp;账期起,入库单!$C$4:$C$2503,"&lt;="&amp;账期止))</f>
        <v/>
      </c>
      <c r="J176" s="26">
        <f>IF($A176="","",SUMIFS(入库单!$V$4:$V$2503,入库单!$G$4:$G$2503,$A176,入库单!$X$4:$X$2503,"采购入库",入库单!$Z$4:$Z$2503,"正常",入库单!$C$4:$C$2503,"&gt;="&amp;账期起,入库单!$C$4:$C$2503,"&lt;="&amp;账期止))</f>
        <v/>
      </c>
      <c r="K176" s="26">
        <f>IF($A176="","",IFERROR(ROUND((N($H176)+N($J176))/(N($G176)+N($I176)),2),0))</f>
        <v/>
      </c>
      <c r="L176" s="27">
        <f>IF($A176="","",SUMIFS(入库单!$K$4:$K$2503,入库单!$G$4:$G$2503,$A176,入库单!$X$4:$X$2503,"盘盈",入库单!$Z$4:$Z$2503,"正常",入库单!$C$4:$C$2503,"&gt;="&amp;账期起,入库单!$C$4:$C$2503,"&lt;="&amp;账期止))</f>
        <v/>
      </c>
      <c r="M176" s="26">
        <f>IF($A176="","",ROUND($L176*$K176,0))</f>
        <v/>
      </c>
      <c r="N176" s="27">
        <f>IF($A176="","",SUMIFS(入库单!$K$4:$K$2503,入库单!$G$4:$G$2503,$A176,入库单!$X$4:$X$2503,"矿区退库",入库单!$Z$4:$Z$2503,"正常",入库单!$C$4:$C$2503,"&gt;="&amp;账期起,入库单!$C$4:$C$2503,"&lt;="&amp;账期止))</f>
        <v/>
      </c>
      <c r="O176" s="26">
        <f>IF($A176="","",ROUND($N176*$K176,0))</f>
        <v/>
      </c>
      <c r="P176" s="27">
        <f>IF($A176="","",SUMIFS(出库单!$J$4:$J$4003,出库单!$D$4:$D$4003,$A176,出库单!$K$4:$K$4003,"自用消耗",出库单!$U$4:$U$4003,"正常",出库单!$C$4:$C$4003,"&gt;="&amp;账期起,出库单!$C$4:$C$4003,"&lt;="&amp;账期止))</f>
        <v/>
      </c>
      <c r="Q176" s="26">
        <f>IF($A176="","",ROUND(SUMIFS(出库单!$S$4:$S$4003,出库单!$D$4:$D$4003,$A176,出库单!$K$4:$K$4003,"自用消耗",出库单!$U$4:$U$4003,"正常",出库单!$C$4:$C$4003,"&gt;="&amp;账期起,出库单!$C$4:$C$4003,"&lt;="&amp;账期止),0))</f>
        <v/>
      </c>
      <c r="R176" s="27">
        <f>IF($A176="","",SUMIFS(出库单!$J$4:$J$4003,出库单!$D$4:$D$4003,$A176,出库单!$K$4:$K$4003,"对外销售",出库单!$U$4:$U$4003,"正常",出库单!$C$4:$C$4003,"&gt;="&amp;账期起,出库单!$C$4:$C$4003,"&lt;="&amp;账期止))</f>
        <v/>
      </c>
      <c r="S176" s="26">
        <f>IF($A176="","",ROUND(SUMIFS(出库单!$S$4:$S$4003,出库单!$D$4:$D$4003,$A176,出库单!$K$4:$K$4003,"对外销售",出库单!$U$4:$U$4003,"正常",出库单!$C$4:$C$4003,"&gt;="&amp;账期起,出库单!$C$4:$C$4003,"&lt;="&amp;账期止),0))</f>
        <v/>
      </c>
      <c r="T176" s="27">
        <f>IF($A176="","",SUMIFS(出库单!$J$4:$J$4003,出库单!$D$4:$D$4003,$A176,出库单!$K$4:$K$4003,"盘亏",出库单!$U$4:$U$4003,"正常",出库单!$C$4:$C$4003,"&gt;="&amp;账期起,出库单!$C$4:$C$4003,"&lt;="&amp;账期止))</f>
        <v/>
      </c>
      <c r="U176" s="26">
        <f>IF($A176="","",ROUND(SUMIFS(出库单!$S$4:$S$4003,出库单!$D$4:$D$4003,$A176,出库单!$K$4:$K$4003,"盘亏",出库单!$U$4:$U$4003,"正常",出库单!$C$4:$C$4003,"&gt;="&amp;账期起,出库单!$C$4:$C$4003,"&lt;="&amp;账期止),0))</f>
        <v/>
      </c>
      <c r="V176" s="27">
        <f>IF($A176="","",SUMIFS(出库单!$J$4:$J$4003,出库单!$D$4:$D$4003,$A176,出库单!$K$4:$K$4003,"退货给供应商",出库单!$U$4:$U$4003,"正常",出库单!$C$4:$C$4003,"&gt;="&amp;账期起,出库单!$C$4:$C$4003,"&lt;="&amp;账期止))</f>
        <v/>
      </c>
      <c r="W176" s="26">
        <f>IF($A176="","",ROUND(SUMIFS(出库单!$S$4:$S$4003,出库单!$D$4:$D$4003,$A176,出库单!$K$4:$K$4003,"退货给供应商",出库单!$U$4:$U$4003,"正常",出库单!$C$4:$C$4003,"&gt;="&amp;账期起,出库单!$C$4:$C$4003,"&lt;="&amp;账期止),0))</f>
        <v/>
      </c>
      <c r="X176" s="27">
        <f>IF($A176="","",ROUND(N($G176)+$I176+$L176+$N176-$P176-$R176-$T176-$V176,3))</f>
        <v/>
      </c>
      <c r="Y176" s="26">
        <f>IF($A176="","",ROUND(N($H176)+$J176+$M176+$O176-$Q176-$S176-$U176-$W176,0))</f>
        <v/>
      </c>
      <c r="Z176" s="24">
        <f>IF($A176="","",IF(COUNTIFS(入库单!$G$4:$G$2503,$A176,入库单!$Y$4:$Y$2503,"待补价")+COUNTIFS(入库单!$G$4:$G$2503,$A176,入库单!$Y$4:$Y$2503,"暂估")&gt;0,"不可信","可信"))</f>
        <v/>
      </c>
      <c r="AA176" s="24">
        <f>IF($A176="","",IF($X176&lt;-0.001,"※账面负库存，查一下是不是漏记入库",IF(AND(ROUND($X176,3)=0,ABS($Y176)&gt;1),"※数量已经是 0，金额还挂着 "&amp;TEXT($Y176,"#,##0")&amp;" 先令",IF(AND($X176&gt;0,$Y176&lt;=0,$K176=0),"※有数量没金额（这个物料一直没填过进价）",IF($Z176="不可信","△成本含待补价/暂估，毛利仅供参考","")))))</f>
        <v/>
      </c>
    </row>
    <row r="177">
      <c r="A177" s="24">
        <f>IF(物料档案!$A176="","",物料档案!$A176)</f>
        <v/>
      </c>
      <c r="B177" s="24">
        <f>IF($A177="","",IFERROR(VLOOKUP($A177,物料档案!$A$4:$P$1203,3,0),""))</f>
        <v/>
      </c>
      <c r="C177" s="24">
        <f>IF($A177="","",IFERROR(VLOOKUP($A177,物料档案!$A$4:$P$1203,4,0),""))</f>
        <v/>
      </c>
      <c r="D177" s="24">
        <f>IF($A177="","",IFERROR(VLOOKUP($A177,物料档案!$A$4:$P$1203,5,0),""))</f>
        <v/>
      </c>
      <c r="E177" s="24">
        <f>IF($A177="","",IFERROR(VLOOKUP($A177,物料档案!$A$4:$P$1203,2,0),""))</f>
        <v/>
      </c>
      <c r="F177" s="24">
        <f>IF($A177="","",IFERROR(VLOOKUP($A177,物料档案!$A$4:$P$1203,6,0),""))</f>
        <v/>
      </c>
      <c r="G177" s="23" t="n"/>
      <c r="H177" s="32" t="n"/>
      <c r="I177" s="27">
        <f>IF($A177="","",SUMIFS(入库单!$K$4:$K$2503,入库单!$G$4:$G$2503,$A177,入库单!$X$4:$X$2503,"采购入库",入库单!$Z$4:$Z$2503,"正常",入库单!$C$4:$C$2503,"&gt;="&amp;账期起,入库单!$C$4:$C$2503,"&lt;="&amp;账期止))</f>
        <v/>
      </c>
      <c r="J177" s="26">
        <f>IF($A177="","",SUMIFS(入库单!$V$4:$V$2503,入库单!$G$4:$G$2503,$A177,入库单!$X$4:$X$2503,"采购入库",入库单!$Z$4:$Z$2503,"正常",入库单!$C$4:$C$2503,"&gt;="&amp;账期起,入库单!$C$4:$C$2503,"&lt;="&amp;账期止))</f>
        <v/>
      </c>
      <c r="K177" s="26">
        <f>IF($A177="","",IFERROR(ROUND((N($H177)+N($J177))/(N($G177)+N($I177)),2),0))</f>
        <v/>
      </c>
      <c r="L177" s="27">
        <f>IF($A177="","",SUMIFS(入库单!$K$4:$K$2503,入库单!$G$4:$G$2503,$A177,入库单!$X$4:$X$2503,"盘盈",入库单!$Z$4:$Z$2503,"正常",入库单!$C$4:$C$2503,"&gt;="&amp;账期起,入库单!$C$4:$C$2503,"&lt;="&amp;账期止))</f>
        <v/>
      </c>
      <c r="M177" s="26">
        <f>IF($A177="","",ROUND($L177*$K177,0))</f>
        <v/>
      </c>
      <c r="N177" s="27">
        <f>IF($A177="","",SUMIFS(入库单!$K$4:$K$2503,入库单!$G$4:$G$2503,$A177,入库单!$X$4:$X$2503,"矿区退库",入库单!$Z$4:$Z$2503,"正常",入库单!$C$4:$C$2503,"&gt;="&amp;账期起,入库单!$C$4:$C$2503,"&lt;="&amp;账期止))</f>
        <v/>
      </c>
      <c r="O177" s="26">
        <f>IF($A177="","",ROUND($N177*$K177,0))</f>
        <v/>
      </c>
      <c r="P177" s="27">
        <f>IF($A177="","",SUMIFS(出库单!$J$4:$J$4003,出库单!$D$4:$D$4003,$A177,出库单!$K$4:$K$4003,"自用消耗",出库单!$U$4:$U$4003,"正常",出库单!$C$4:$C$4003,"&gt;="&amp;账期起,出库单!$C$4:$C$4003,"&lt;="&amp;账期止))</f>
        <v/>
      </c>
      <c r="Q177" s="26">
        <f>IF($A177="","",ROUND(SUMIFS(出库单!$S$4:$S$4003,出库单!$D$4:$D$4003,$A177,出库单!$K$4:$K$4003,"自用消耗",出库单!$U$4:$U$4003,"正常",出库单!$C$4:$C$4003,"&gt;="&amp;账期起,出库单!$C$4:$C$4003,"&lt;="&amp;账期止),0))</f>
        <v/>
      </c>
      <c r="R177" s="27">
        <f>IF($A177="","",SUMIFS(出库单!$J$4:$J$4003,出库单!$D$4:$D$4003,$A177,出库单!$K$4:$K$4003,"对外销售",出库单!$U$4:$U$4003,"正常",出库单!$C$4:$C$4003,"&gt;="&amp;账期起,出库单!$C$4:$C$4003,"&lt;="&amp;账期止))</f>
        <v/>
      </c>
      <c r="S177" s="26">
        <f>IF($A177="","",ROUND(SUMIFS(出库单!$S$4:$S$4003,出库单!$D$4:$D$4003,$A177,出库单!$K$4:$K$4003,"对外销售",出库单!$U$4:$U$4003,"正常",出库单!$C$4:$C$4003,"&gt;="&amp;账期起,出库单!$C$4:$C$4003,"&lt;="&amp;账期止),0))</f>
        <v/>
      </c>
      <c r="T177" s="27">
        <f>IF($A177="","",SUMIFS(出库单!$J$4:$J$4003,出库单!$D$4:$D$4003,$A177,出库单!$K$4:$K$4003,"盘亏",出库单!$U$4:$U$4003,"正常",出库单!$C$4:$C$4003,"&gt;="&amp;账期起,出库单!$C$4:$C$4003,"&lt;="&amp;账期止))</f>
        <v/>
      </c>
      <c r="U177" s="26">
        <f>IF($A177="","",ROUND(SUMIFS(出库单!$S$4:$S$4003,出库单!$D$4:$D$4003,$A177,出库单!$K$4:$K$4003,"盘亏",出库单!$U$4:$U$4003,"正常",出库单!$C$4:$C$4003,"&gt;="&amp;账期起,出库单!$C$4:$C$4003,"&lt;="&amp;账期止),0))</f>
        <v/>
      </c>
      <c r="V177" s="27">
        <f>IF($A177="","",SUMIFS(出库单!$J$4:$J$4003,出库单!$D$4:$D$4003,$A177,出库单!$K$4:$K$4003,"退货给供应商",出库单!$U$4:$U$4003,"正常",出库单!$C$4:$C$4003,"&gt;="&amp;账期起,出库单!$C$4:$C$4003,"&lt;="&amp;账期止))</f>
        <v/>
      </c>
      <c r="W177" s="26">
        <f>IF($A177="","",ROUND(SUMIFS(出库单!$S$4:$S$4003,出库单!$D$4:$D$4003,$A177,出库单!$K$4:$K$4003,"退货给供应商",出库单!$U$4:$U$4003,"正常",出库单!$C$4:$C$4003,"&gt;="&amp;账期起,出库单!$C$4:$C$4003,"&lt;="&amp;账期止),0))</f>
        <v/>
      </c>
      <c r="X177" s="27">
        <f>IF($A177="","",ROUND(N($G177)+$I177+$L177+$N177-$P177-$R177-$T177-$V177,3))</f>
        <v/>
      </c>
      <c r="Y177" s="26">
        <f>IF($A177="","",ROUND(N($H177)+$J177+$M177+$O177-$Q177-$S177-$U177-$W177,0))</f>
        <v/>
      </c>
      <c r="Z177" s="24">
        <f>IF($A177="","",IF(COUNTIFS(入库单!$G$4:$G$2503,$A177,入库单!$Y$4:$Y$2503,"待补价")+COUNTIFS(入库单!$G$4:$G$2503,$A177,入库单!$Y$4:$Y$2503,"暂估")&gt;0,"不可信","可信"))</f>
        <v/>
      </c>
      <c r="AA177" s="24">
        <f>IF($A177="","",IF($X177&lt;-0.001,"※账面负库存，查一下是不是漏记入库",IF(AND(ROUND($X177,3)=0,ABS($Y177)&gt;1),"※数量已经是 0，金额还挂着 "&amp;TEXT($Y177,"#,##0")&amp;" 先令",IF(AND($X177&gt;0,$Y177&lt;=0,$K177=0),"※有数量没金额（这个物料一直没填过进价）",IF($Z177="不可信","△成本含待补价/暂估，毛利仅供参考","")))))</f>
        <v/>
      </c>
    </row>
    <row r="178">
      <c r="A178" s="24">
        <f>IF(物料档案!$A177="","",物料档案!$A177)</f>
        <v/>
      </c>
      <c r="B178" s="24">
        <f>IF($A178="","",IFERROR(VLOOKUP($A178,物料档案!$A$4:$P$1203,3,0),""))</f>
        <v/>
      </c>
      <c r="C178" s="24">
        <f>IF($A178="","",IFERROR(VLOOKUP($A178,物料档案!$A$4:$P$1203,4,0),""))</f>
        <v/>
      </c>
      <c r="D178" s="24">
        <f>IF($A178="","",IFERROR(VLOOKUP($A178,物料档案!$A$4:$P$1203,5,0),""))</f>
        <v/>
      </c>
      <c r="E178" s="24">
        <f>IF($A178="","",IFERROR(VLOOKUP($A178,物料档案!$A$4:$P$1203,2,0),""))</f>
        <v/>
      </c>
      <c r="F178" s="24">
        <f>IF($A178="","",IFERROR(VLOOKUP($A178,物料档案!$A$4:$P$1203,6,0),""))</f>
        <v/>
      </c>
      <c r="G178" s="23" t="n"/>
      <c r="H178" s="32" t="n"/>
      <c r="I178" s="27">
        <f>IF($A178="","",SUMIFS(入库单!$K$4:$K$2503,入库单!$G$4:$G$2503,$A178,入库单!$X$4:$X$2503,"采购入库",入库单!$Z$4:$Z$2503,"正常",入库单!$C$4:$C$2503,"&gt;="&amp;账期起,入库单!$C$4:$C$2503,"&lt;="&amp;账期止))</f>
        <v/>
      </c>
      <c r="J178" s="26">
        <f>IF($A178="","",SUMIFS(入库单!$V$4:$V$2503,入库单!$G$4:$G$2503,$A178,入库单!$X$4:$X$2503,"采购入库",入库单!$Z$4:$Z$2503,"正常",入库单!$C$4:$C$2503,"&gt;="&amp;账期起,入库单!$C$4:$C$2503,"&lt;="&amp;账期止))</f>
        <v/>
      </c>
      <c r="K178" s="26">
        <f>IF($A178="","",IFERROR(ROUND((N($H178)+N($J178))/(N($G178)+N($I178)),2),0))</f>
        <v/>
      </c>
      <c r="L178" s="27">
        <f>IF($A178="","",SUMIFS(入库单!$K$4:$K$2503,入库单!$G$4:$G$2503,$A178,入库单!$X$4:$X$2503,"盘盈",入库单!$Z$4:$Z$2503,"正常",入库单!$C$4:$C$2503,"&gt;="&amp;账期起,入库单!$C$4:$C$2503,"&lt;="&amp;账期止))</f>
        <v/>
      </c>
      <c r="M178" s="26">
        <f>IF($A178="","",ROUND($L178*$K178,0))</f>
        <v/>
      </c>
      <c r="N178" s="27">
        <f>IF($A178="","",SUMIFS(入库单!$K$4:$K$2503,入库单!$G$4:$G$2503,$A178,入库单!$X$4:$X$2503,"矿区退库",入库单!$Z$4:$Z$2503,"正常",入库单!$C$4:$C$2503,"&gt;="&amp;账期起,入库单!$C$4:$C$2503,"&lt;="&amp;账期止))</f>
        <v/>
      </c>
      <c r="O178" s="26">
        <f>IF($A178="","",ROUND($N178*$K178,0))</f>
        <v/>
      </c>
      <c r="P178" s="27">
        <f>IF($A178="","",SUMIFS(出库单!$J$4:$J$4003,出库单!$D$4:$D$4003,$A178,出库单!$K$4:$K$4003,"自用消耗",出库单!$U$4:$U$4003,"正常",出库单!$C$4:$C$4003,"&gt;="&amp;账期起,出库单!$C$4:$C$4003,"&lt;="&amp;账期止))</f>
        <v/>
      </c>
      <c r="Q178" s="26">
        <f>IF($A178="","",ROUND(SUMIFS(出库单!$S$4:$S$4003,出库单!$D$4:$D$4003,$A178,出库单!$K$4:$K$4003,"自用消耗",出库单!$U$4:$U$4003,"正常",出库单!$C$4:$C$4003,"&gt;="&amp;账期起,出库单!$C$4:$C$4003,"&lt;="&amp;账期止),0))</f>
        <v/>
      </c>
      <c r="R178" s="27">
        <f>IF($A178="","",SUMIFS(出库单!$J$4:$J$4003,出库单!$D$4:$D$4003,$A178,出库单!$K$4:$K$4003,"对外销售",出库单!$U$4:$U$4003,"正常",出库单!$C$4:$C$4003,"&gt;="&amp;账期起,出库单!$C$4:$C$4003,"&lt;="&amp;账期止))</f>
        <v/>
      </c>
      <c r="S178" s="26">
        <f>IF($A178="","",ROUND(SUMIFS(出库单!$S$4:$S$4003,出库单!$D$4:$D$4003,$A178,出库单!$K$4:$K$4003,"对外销售",出库单!$U$4:$U$4003,"正常",出库单!$C$4:$C$4003,"&gt;="&amp;账期起,出库单!$C$4:$C$4003,"&lt;="&amp;账期止),0))</f>
        <v/>
      </c>
      <c r="T178" s="27">
        <f>IF($A178="","",SUMIFS(出库单!$J$4:$J$4003,出库单!$D$4:$D$4003,$A178,出库单!$K$4:$K$4003,"盘亏",出库单!$U$4:$U$4003,"正常",出库单!$C$4:$C$4003,"&gt;="&amp;账期起,出库单!$C$4:$C$4003,"&lt;="&amp;账期止))</f>
        <v/>
      </c>
      <c r="U178" s="26">
        <f>IF($A178="","",ROUND(SUMIFS(出库单!$S$4:$S$4003,出库单!$D$4:$D$4003,$A178,出库单!$K$4:$K$4003,"盘亏",出库单!$U$4:$U$4003,"正常",出库单!$C$4:$C$4003,"&gt;="&amp;账期起,出库单!$C$4:$C$4003,"&lt;="&amp;账期止),0))</f>
        <v/>
      </c>
      <c r="V178" s="27">
        <f>IF($A178="","",SUMIFS(出库单!$J$4:$J$4003,出库单!$D$4:$D$4003,$A178,出库单!$K$4:$K$4003,"退货给供应商",出库单!$U$4:$U$4003,"正常",出库单!$C$4:$C$4003,"&gt;="&amp;账期起,出库单!$C$4:$C$4003,"&lt;="&amp;账期止))</f>
        <v/>
      </c>
      <c r="W178" s="26">
        <f>IF($A178="","",ROUND(SUMIFS(出库单!$S$4:$S$4003,出库单!$D$4:$D$4003,$A178,出库单!$K$4:$K$4003,"退货给供应商",出库单!$U$4:$U$4003,"正常",出库单!$C$4:$C$4003,"&gt;="&amp;账期起,出库单!$C$4:$C$4003,"&lt;="&amp;账期止),0))</f>
        <v/>
      </c>
      <c r="X178" s="27">
        <f>IF($A178="","",ROUND(N($G178)+$I178+$L178+$N178-$P178-$R178-$T178-$V178,3))</f>
        <v/>
      </c>
      <c r="Y178" s="26">
        <f>IF($A178="","",ROUND(N($H178)+$J178+$M178+$O178-$Q178-$S178-$U178-$W178,0))</f>
        <v/>
      </c>
      <c r="Z178" s="24">
        <f>IF($A178="","",IF(COUNTIFS(入库单!$G$4:$G$2503,$A178,入库单!$Y$4:$Y$2503,"待补价")+COUNTIFS(入库单!$G$4:$G$2503,$A178,入库单!$Y$4:$Y$2503,"暂估")&gt;0,"不可信","可信"))</f>
        <v/>
      </c>
      <c r="AA178" s="24">
        <f>IF($A178="","",IF($X178&lt;-0.001,"※账面负库存，查一下是不是漏记入库",IF(AND(ROUND($X178,3)=0,ABS($Y178)&gt;1),"※数量已经是 0，金额还挂着 "&amp;TEXT($Y178,"#,##0")&amp;" 先令",IF(AND($X178&gt;0,$Y178&lt;=0,$K178=0),"※有数量没金额（这个物料一直没填过进价）",IF($Z178="不可信","△成本含待补价/暂估，毛利仅供参考","")))))</f>
        <v/>
      </c>
    </row>
    <row r="179">
      <c r="A179" s="24">
        <f>IF(物料档案!$A178="","",物料档案!$A178)</f>
        <v/>
      </c>
      <c r="B179" s="24">
        <f>IF($A179="","",IFERROR(VLOOKUP($A179,物料档案!$A$4:$P$1203,3,0),""))</f>
        <v/>
      </c>
      <c r="C179" s="24">
        <f>IF($A179="","",IFERROR(VLOOKUP($A179,物料档案!$A$4:$P$1203,4,0),""))</f>
        <v/>
      </c>
      <c r="D179" s="24">
        <f>IF($A179="","",IFERROR(VLOOKUP($A179,物料档案!$A$4:$P$1203,5,0),""))</f>
        <v/>
      </c>
      <c r="E179" s="24">
        <f>IF($A179="","",IFERROR(VLOOKUP($A179,物料档案!$A$4:$P$1203,2,0),""))</f>
        <v/>
      </c>
      <c r="F179" s="24">
        <f>IF($A179="","",IFERROR(VLOOKUP($A179,物料档案!$A$4:$P$1203,6,0),""))</f>
        <v/>
      </c>
      <c r="G179" s="23" t="n"/>
      <c r="H179" s="32" t="n"/>
      <c r="I179" s="27">
        <f>IF($A179="","",SUMIFS(入库单!$K$4:$K$2503,入库单!$G$4:$G$2503,$A179,入库单!$X$4:$X$2503,"采购入库",入库单!$Z$4:$Z$2503,"正常",入库单!$C$4:$C$2503,"&gt;="&amp;账期起,入库单!$C$4:$C$2503,"&lt;="&amp;账期止))</f>
        <v/>
      </c>
      <c r="J179" s="26">
        <f>IF($A179="","",SUMIFS(入库单!$V$4:$V$2503,入库单!$G$4:$G$2503,$A179,入库单!$X$4:$X$2503,"采购入库",入库单!$Z$4:$Z$2503,"正常",入库单!$C$4:$C$2503,"&gt;="&amp;账期起,入库单!$C$4:$C$2503,"&lt;="&amp;账期止))</f>
        <v/>
      </c>
      <c r="K179" s="26">
        <f>IF($A179="","",IFERROR(ROUND((N($H179)+N($J179))/(N($G179)+N($I179)),2),0))</f>
        <v/>
      </c>
      <c r="L179" s="27">
        <f>IF($A179="","",SUMIFS(入库单!$K$4:$K$2503,入库单!$G$4:$G$2503,$A179,入库单!$X$4:$X$2503,"盘盈",入库单!$Z$4:$Z$2503,"正常",入库单!$C$4:$C$2503,"&gt;="&amp;账期起,入库单!$C$4:$C$2503,"&lt;="&amp;账期止))</f>
        <v/>
      </c>
      <c r="M179" s="26">
        <f>IF($A179="","",ROUND($L179*$K179,0))</f>
        <v/>
      </c>
      <c r="N179" s="27">
        <f>IF($A179="","",SUMIFS(入库单!$K$4:$K$2503,入库单!$G$4:$G$2503,$A179,入库单!$X$4:$X$2503,"矿区退库",入库单!$Z$4:$Z$2503,"正常",入库单!$C$4:$C$2503,"&gt;="&amp;账期起,入库单!$C$4:$C$2503,"&lt;="&amp;账期止))</f>
        <v/>
      </c>
      <c r="O179" s="26">
        <f>IF($A179="","",ROUND($N179*$K179,0))</f>
        <v/>
      </c>
      <c r="P179" s="27">
        <f>IF($A179="","",SUMIFS(出库单!$J$4:$J$4003,出库单!$D$4:$D$4003,$A179,出库单!$K$4:$K$4003,"自用消耗",出库单!$U$4:$U$4003,"正常",出库单!$C$4:$C$4003,"&gt;="&amp;账期起,出库单!$C$4:$C$4003,"&lt;="&amp;账期止))</f>
        <v/>
      </c>
      <c r="Q179" s="26">
        <f>IF($A179="","",ROUND(SUMIFS(出库单!$S$4:$S$4003,出库单!$D$4:$D$4003,$A179,出库单!$K$4:$K$4003,"自用消耗",出库单!$U$4:$U$4003,"正常",出库单!$C$4:$C$4003,"&gt;="&amp;账期起,出库单!$C$4:$C$4003,"&lt;="&amp;账期止),0))</f>
        <v/>
      </c>
      <c r="R179" s="27">
        <f>IF($A179="","",SUMIFS(出库单!$J$4:$J$4003,出库单!$D$4:$D$4003,$A179,出库单!$K$4:$K$4003,"对外销售",出库单!$U$4:$U$4003,"正常",出库单!$C$4:$C$4003,"&gt;="&amp;账期起,出库单!$C$4:$C$4003,"&lt;="&amp;账期止))</f>
        <v/>
      </c>
      <c r="S179" s="26">
        <f>IF($A179="","",ROUND(SUMIFS(出库单!$S$4:$S$4003,出库单!$D$4:$D$4003,$A179,出库单!$K$4:$K$4003,"对外销售",出库单!$U$4:$U$4003,"正常",出库单!$C$4:$C$4003,"&gt;="&amp;账期起,出库单!$C$4:$C$4003,"&lt;="&amp;账期止),0))</f>
        <v/>
      </c>
      <c r="T179" s="27">
        <f>IF($A179="","",SUMIFS(出库单!$J$4:$J$4003,出库单!$D$4:$D$4003,$A179,出库单!$K$4:$K$4003,"盘亏",出库单!$U$4:$U$4003,"正常",出库单!$C$4:$C$4003,"&gt;="&amp;账期起,出库单!$C$4:$C$4003,"&lt;="&amp;账期止))</f>
        <v/>
      </c>
      <c r="U179" s="26">
        <f>IF($A179="","",ROUND(SUMIFS(出库单!$S$4:$S$4003,出库单!$D$4:$D$4003,$A179,出库单!$K$4:$K$4003,"盘亏",出库单!$U$4:$U$4003,"正常",出库单!$C$4:$C$4003,"&gt;="&amp;账期起,出库单!$C$4:$C$4003,"&lt;="&amp;账期止),0))</f>
        <v/>
      </c>
      <c r="V179" s="27">
        <f>IF($A179="","",SUMIFS(出库单!$J$4:$J$4003,出库单!$D$4:$D$4003,$A179,出库单!$K$4:$K$4003,"退货给供应商",出库单!$U$4:$U$4003,"正常",出库单!$C$4:$C$4003,"&gt;="&amp;账期起,出库单!$C$4:$C$4003,"&lt;="&amp;账期止))</f>
        <v/>
      </c>
      <c r="W179" s="26">
        <f>IF($A179="","",ROUND(SUMIFS(出库单!$S$4:$S$4003,出库单!$D$4:$D$4003,$A179,出库单!$K$4:$K$4003,"退货给供应商",出库单!$U$4:$U$4003,"正常",出库单!$C$4:$C$4003,"&gt;="&amp;账期起,出库单!$C$4:$C$4003,"&lt;="&amp;账期止),0))</f>
        <v/>
      </c>
      <c r="X179" s="27">
        <f>IF($A179="","",ROUND(N($G179)+$I179+$L179+$N179-$P179-$R179-$T179-$V179,3))</f>
        <v/>
      </c>
      <c r="Y179" s="26">
        <f>IF($A179="","",ROUND(N($H179)+$J179+$M179+$O179-$Q179-$S179-$U179-$W179,0))</f>
        <v/>
      </c>
      <c r="Z179" s="24">
        <f>IF($A179="","",IF(COUNTIFS(入库单!$G$4:$G$2503,$A179,入库单!$Y$4:$Y$2503,"待补价")+COUNTIFS(入库单!$G$4:$G$2503,$A179,入库单!$Y$4:$Y$2503,"暂估")&gt;0,"不可信","可信"))</f>
        <v/>
      </c>
      <c r="AA179" s="24">
        <f>IF($A179="","",IF($X179&lt;-0.001,"※账面负库存，查一下是不是漏记入库",IF(AND(ROUND($X179,3)=0,ABS($Y179)&gt;1),"※数量已经是 0，金额还挂着 "&amp;TEXT($Y179,"#,##0")&amp;" 先令",IF(AND($X179&gt;0,$Y179&lt;=0,$K179=0),"※有数量没金额（这个物料一直没填过进价）",IF($Z179="不可信","△成本含待补价/暂估，毛利仅供参考","")))))</f>
        <v/>
      </c>
    </row>
    <row r="180">
      <c r="A180" s="24">
        <f>IF(物料档案!$A179="","",物料档案!$A179)</f>
        <v/>
      </c>
      <c r="B180" s="24">
        <f>IF($A180="","",IFERROR(VLOOKUP($A180,物料档案!$A$4:$P$1203,3,0),""))</f>
        <v/>
      </c>
      <c r="C180" s="24">
        <f>IF($A180="","",IFERROR(VLOOKUP($A180,物料档案!$A$4:$P$1203,4,0),""))</f>
        <v/>
      </c>
      <c r="D180" s="24">
        <f>IF($A180="","",IFERROR(VLOOKUP($A180,物料档案!$A$4:$P$1203,5,0),""))</f>
        <v/>
      </c>
      <c r="E180" s="24">
        <f>IF($A180="","",IFERROR(VLOOKUP($A180,物料档案!$A$4:$P$1203,2,0),""))</f>
        <v/>
      </c>
      <c r="F180" s="24">
        <f>IF($A180="","",IFERROR(VLOOKUP($A180,物料档案!$A$4:$P$1203,6,0),""))</f>
        <v/>
      </c>
      <c r="G180" s="23" t="n"/>
      <c r="H180" s="32" t="n"/>
      <c r="I180" s="27">
        <f>IF($A180="","",SUMIFS(入库单!$K$4:$K$2503,入库单!$G$4:$G$2503,$A180,入库单!$X$4:$X$2503,"采购入库",入库单!$Z$4:$Z$2503,"正常",入库单!$C$4:$C$2503,"&gt;="&amp;账期起,入库单!$C$4:$C$2503,"&lt;="&amp;账期止))</f>
        <v/>
      </c>
      <c r="J180" s="26">
        <f>IF($A180="","",SUMIFS(入库单!$V$4:$V$2503,入库单!$G$4:$G$2503,$A180,入库单!$X$4:$X$2503,"采购入库",入库单!$Z$4:$Z$2503,"正常",入库单!$C$4:$C$2503,"&gt;="&amp;账期起,入库单!$C$4:$C$2503,"&lt;="&amp;账期止))</f>
        <v/>
      </c>
      <c r="K180" s="26">
        <f>IF($A180="","",IFERROR(ROUND((N($H180)+N($J180))/(N($G180)+N($I180)),2),0))</f>
        <v/>
      </c>
      <c r="L180" s="27">
        <f>IF($A180="","",SUMIFS(入库单!$K$4:$K$2503,入库单!$G$4:$G$2503,$A180,入库单!$X$4:$X$2503,"盘盈",入库单!$Z$4:$Z$2503,"正常",入库单!$C$4:$C$2503,"&gt;="&amp;账期起,入库单!$C$4:$C$2503,"&lt;="&amp;账期止))</f>
        <v/>
      </c>
      <c r="M180" s="26">
        <f>IF($A180="","",ROUND($L180*$K180,0))</f>
        <v/>
      </c>
      <c r="N180" s="27">
        <f>IF($A180="","",SUMIFS(入库单!$K$4:$K$2503,入库单!$G$4:$G$2503,$A180,入库单!$X$4:$X$2503,"矿区退库",入库单!$Z$4:$Z$2503,"正常",入库单!$C$4:$C$2503,"&gt;="&amp;账期起,入库单!$C$4:$C$2503,"&lt;="&amp;账期止))</f>
        <v/>
      </c>
      <c r="O180" s="26">
        <f>IF($A180="","",ROUND($N180*$K180,0))</f>
        <v/>
      </c>
      <c r="P180" s="27">
        <f>IF($A180="","",SUMIFS(出库单!$J$4:$J$4003,出库单!$D$4:$D$4003,$A180,出库单!$K$4:$K$4003,"自用消耗",出库单!$U$4:$U$4003,"正常",出库单!$C$4:$C$4003,"&gt;="&amp;账期起,出库单!$C$4:$C$4003,"&lt;="&amp;账期止))</f>
        <v/>
      </c>
      <c r="Q180" s="26">
        <f>IF($A180="","",ROUND(SUMIFS(出库单!$S$4:$S$4003,出库单!$D$4:$D$4003,$A180,出库单!$K$4:$K$4003,"自用消耗",出库单!$U$4:$U$4003,"正常",出库单!$C$4:$C$4003,"&gt;="&amp;账期起,出库单!$C$4:$C$4003,"&lt;="&amp;账期止),0))</f>
        <v/>
      </c>
      <c r="R180" s="27">
        <f>IF($A180="","",SUMIFS(出库单!$J$4:$J$4003,出库单!$D$4:$D$4003,$A180,出库单!$K$4:$K$4003,"对外销售",出库单!$U$4:$U$4003,"正常",出库单!$C$4:$C$4003,"&gt;="&amp;账期起,出库单!$C$4:$C$4003,"&lt;="&amp;账期止))</f>
        <v/>
      </c>
      <c r="S180" s="26">
        <f>IF($A180="","",ROUND(SUMIFS(出库单!$S$4:$S$4003,出库单!$D$4:$D$4003,$A180,出库单!$K$4:$K$4003,"对外销售",出库单!$U$4:$U$4003,"正常",出库单!$C$4:$C$4003,"&gt;="&amp;账期起,出库单!$C$4:$C$4003,"&lt;="&amp;账期止),0))</f>
        <v/>
      </c>
      <c r="T180" s="27">
        <f>IF($A180="","",SUMIFS(出库单!$J$4:$J$4003,出库单!$D$4:$D$4003,$A180,出库单!$K$4:$K$4003,"盘亏",出库单!$U$4:$U$4003,"正常",出库单!$C$4:$C$4003,"&gt;="&amp;账期起,出库单!$C$4:$C$4003,"&lt;="&amp;账期止))</f>
        <v/>
      </c>
      <c r="U180" s="26">
        <f>IF($A180="","",ROUND(SUMIFS(出库单!$S$4:$S$4003,出库单!$D$4:$D$4003,$A180,出库单!$K$4:$K$4003,"盘亏",出库单!$U$4:$U$4003,"正常",出库单!$C$4:$C$4003,"&gt;="&amp;账期起,出库单!$C$4:$C$4003,"&lt;="&amp;账期止),0))</f>
        <v/>
      </c>
      <c r="V180" s="27">
        <f>IF($A180="","",SUMIFS(出库单!$J$4:$J$4003,出库单!$D$4:$D$4003,$A180,出库单!$K$4:$K$4003,"退货给供应商",出库单!$U$4:$U$4003,"正常",出库单!$C$4:$C$4003,"&gt;="&amp;账期起,出库单!$C$4:$C$4003,"&lt;="&amp;账期止))</f>
        <v/>
      </c>
      <c r="W180" s="26">
        <f>IF($A180="","",ROUND(SUMIFS(出库单!$S$4:$S$4003,出库单!$D$4:$D$4003,$A180,出库单!$K$4:$K$4003,"退货给供应商",出库单!$U$4:$U$4003,"正常",出库单!$C$4:$C$4003,"&gt;="&amp;账期起,出库单!$C$4:$C$4003,"&lt;="&amp;账期止),0))</f>
        <v/>
      </c>
      <c r="X180" s="27">
        <f>IF($A180="","",ROUND(N($G180)+$I180+$L180+$N180-$P180-$R180-$T180-$V180,3))</f>
        <v/>
      </c>
      <c r="Y180" s="26">
        <f>IF($A180="","",ROUND(N($H180)+$J180+$M180+$O180-$Q180-$S180-$U180-$W180,0))</f>
        <v/>
      </c>
      <c r="Z180" s="24">
        <f>IF($A180="","",IF(COUNTIFS(入库单!$G$4:$G$2503,$A180,入库单!$Y$4:$Y$2503,"待补价")+COUNTIFS(入库单!$G$4:$G$2503,$A180,入库单!$Y$4:$Y$2503,"暂估")&gt;0,"不可信","可信"))</f>
        <v/>
      </c>
      <c r="AA180" s="24">
        <f>IF($A180="","",IF($X180&lt;-0.001,"※账面负库存，查一下是不是漏记入库",IF(AND(ROUND($X180,3)=0,ABS($Y180)&gt;1),"※数量已经是 0，金额还挂着 "&amp;TEXT($Y180,"#,##0")&amp;" 先令",IF(AND($X180&gt;0,$Y180&lt;=0,$K180=0),"※有数量没金额（这个物料一直没填过进价）",IF($Z180="不可信","△成本含待补价/暂估，毛利仅供参考","")))))</f>
        <v/>
      </c>
    </row>
    <row r="181">
      <c r="A181" s="24">
        <f>IF(物料档案!$A180="","",物料档案!$A180)</f>
        <v/>
      </c>
      <c r="B181" s="24">
        <f>IF($A181="","",IFERROR(VLOOKUP($A181,物料档案!$A$4:$P$1203,3,0),""))</f>
        <v/>
      </c>
      <c r="C181" s="24">
        <f>IF($A181="","",IFERROR(VLOOKUP($A181,物料档案!$A$4:$P$1203,4,0),""))</f>
        <v/>
      </c>
      <c r="D181" s="24">
        <f>IF($A181="","",IFERROR(VLOOKUP($A181,物料档案!$A$4:$P$1203,5,0),""))</f>
        <v/>
      </c>
      <c r="E181" s="24">
        <f>IF($A181="","",IFERROR(VLOOKUP($A181,物料档案!$A$4:$P$1203,2,0),""))</f>
        <v/>
      </c>
      <c r="F181" s="24">
        <f>IF($A181="","",IFERROR(VLOOKUP($A181,物料档案!$A$4:$P$1203,6,0),""))</f>
        <v/>
      </c>
      <c r="G181" s="23" t="n"/>
      <c r="H181" s="32" t="n"/>
      <c r="I181" s="27">
        <f>IF($A181="","",SUMIFS(入库单!$K$4:$K$2503,入库单!$G$4:$G$2503,$A181,入库单!$X$4:$X$2503,"采购入库",入库单!$Z$4:$Z$2503,"正常",入库单!$C$4:$C$2503,"&gt;="&amp;账期起,入库单!$C$4:$C$2503,"&lt;="&amp;账期止))</f>
        <v/>
      </c>
      <c r="J181" s="26">
        <f>IF($A181="","",SUMIFS(入库单!$V$4:$V$2503,入库单!$G$4:$G$2503,$A181,入库单!$X$4:$X$2503,"采购入库",入库单!$Z$4:$Z$2503,"正常",入库单!$C$4:$C$2503,"&gt;="&amp;账期起,入库单!$C$4:$C$2503,"&lt;="&amp;账期止))</f>
        <v/>
      </c>
      <c r="K181" s="26">
        <f>IF($A181="","",IFERROR(ROUND((N($H181)+N($J181))/(N($G181)+N($I181)),2),0))</f>
        <v/>
      </c>
      <c r="L181" s="27">
        <f>IF($A181="","",SUMIFS(入库单!$K$4:$K$2503,入库单!$G$4:$G$2503,$A181,入库单!$X$4:$X$2503,"盘盈",入库单!$Z$4:$Z$2503,"正常",入库单!$C$4:$C$2503,"&gt;="&amp;账期起,入库单!$C$4:$C$2503,"&lt;="&amp;账期止))</f>
        <v/>
      </c>
      <c r="M181" s="26">
        <f>IF($A181="","",ROUND($L181*$K181,0))</f>
        <v/>
      </c>
      <c r="N181" s="27">
        <f>IF($A181="","",SUMIFS(入库单!$K$4:$K$2503,入库单!$G$4:$G$2503,$A181,入库单!$X$4:$X$2503,"矿区退库",入库单!$Z$4:$Z$2503,"正常",入库单!$C$4:$C$2503,"&gt;="&amp;账期起,入库单!$C$4:$C$2503,"&lt;="&amp;账期止))</f>
        <v/>
      </c>
      <c r="O181" s="26">
        <f>IF($A181="","",ROUND($N181*$K181,0))</f>
        <v/>
      </c>
      <c r="P181" s="27">
        <f>IF($A181="","",SUMIFS(出库单!$J$4:$J$4003,出库单!$D$4:$D$4003,$A181,出库单!$K$4:$K$4003,"自用消耗",出库单!$U$4:$U$4003,"正常",出库单!$C$4:$C$4003,"&gt;="&amp;账期起,出库单!$C$4:$C$4003,"&lt;="&amp;账期止))</f>
        <v/>
      </c>
      <c r="Q181" s="26">
        <f>IF($A181="","",ROUND(SUMIFS(出库单!$S$4:$S$4003,出库单!$D$4:$D$4003,$A181,出库单!$K$4:$K$4003,"自用消耗",出库单!$U$4:$U$4003,"正常",出库单!$C$4:$C$4003,"&gt;="&amp;账期起,出库单!$C$4:$C$4003,"&lt;="&amp;账期止),0))</f>
        <v/>
      </c>
      <c r="R181" s="27">
        <f>IF($A181="","",SUMIFS(出库单!$J$4:$J$4003,出库单!$D$4:$D$4003,$A181,出库单!$K$4:$K$4003,"对外销售",出库单!$U$4:$U$4003,"正常",出库单!$C$4:$C$4003,"&gt;="&amp;账期起,出库单!$C$4:$C$4003,"&lt;="&amp;账期止))</f>
        <v/>
      </c>
      <c r="S181" s="26">
        <f>IF($A181="","",ROUND(SUMIFS(出库单!$S$4:$S$4003,出库单!$D$4:$D$4003,$A181,出库单!$K$4:$K$4003,"对外销售",出库单!$U$4:$U$4003,"正常",出库单!$C$4:$C$4003,"&gt;="&amp;账期起,出库单!$C$4:$C$4003,"&lt;="&amp;账期止),0))</f>
        <v/>
      </c>
      <c r="T181" s="27">
        <f>IF($A181="","",SUMIFS(出库单!$J$4:$J$4003,出库单!$D$4:$D$4003,$A181,出库单!$K$4:$K$4003,"盘亏",出库单!$U$4:$U$4003,"正常",出库单!$C$4:$C$4003,"&gt;="&amp;账期起,出库单!$C$4:$C$4003,"&lt;="&amp;账期止))</f>
        <v/>
      </c>
      <c r="U181" s="26">
        <f>IF($A181="","",ROUND(SUMIFS(出库单!$S$4:$S$4003,出库单!$D$4:$D$4003,$A181,出库单!$K$4:$K$4003,"盘亏",出库单!$U$4:$U$4003,"正常",出库单!$C$4:$C$4003,"&gt;="&amp;账期起,出库单!$C$4:$C$4003,"&lt;="&amp;账期止),0))</f>
        <v/>
      </c>
      <c r="V181" s="27">
        <f>IF($A181="","",SUMIFS(出库单!$J$4:$J$4003,出库单!$D$4:$D$4003,$A181,出库单!$K$4:$K$4003,"退货给供应商",出库单!$U$4:$U$4003,"正常",出库单!$C$4:$C$4003,"&gt;="&amp;账期起,出库单!$C$4:$C$4003,"&lt;="&amp;账期止))</f>
        <v/>
      </c>
      <c r="W181" s="26">
        <f>IF($A181="","",ROUND(SUMIFS(出库单!$S$4:$S$4003,出库单!$D$4:$D$4003,$A181,出库单!$K$4:$K$4003,"退货给供应商",出库单!$U$4:$U$4003,"正常",出库单!$C$4:$C$4003,"&gt;="&amp;账期起,出库单!$C$4:$C$4003,"&lt;="&amp;账期止),0))</f>
        <v/>
      </c>
      <c r="X181" s="27">
        <f>IF($A181="","",ROUND(N($G181)+$I181+$L181+$N181-$P181-$R181-$T181-$V181,3))</f>
        <v/>
      </c>
      <c r="Y181" s="26">
        <f>IF($A181="","",ROUND(N($H181)+$J181+$M181+$O181-$Q181-$S181-$U181-$W181,0))</f>
        <v/>
      </c>
      <c r="Z181" s="24">
        <f>IF($A181="","",IF(COUNTIFS(入库单!$G$4:$G$2503,$A181,入库单!$Y$4:$Y$2503,"待补价")+COUNTIFS(入库单!$G$4:$G$2503,$A181,入库单!$Y$4:$Y$2503,"暂估")&gt;0,"不可信","可信"))</f>
        <v/>
      </c>
      <c r="AA181" s="24">
        <f>IF($A181="","",IF($X181&lt;-0.001,"※账面负库存，查一下是不是漏记入库",IF(AND(ROUND($X181,3)=0,ABS($Y181)&gt;1),"※数量已经是 0，金额还挂着 "&amp;TEXT($Y181,"#,##0")&amp;" 先令",IF(AND($X181&gt;0,$Y181&lt;=0,$K181=0),"※有数量没金额（这个物料一直没填过进价）",IF($Z181="不可信","△成本含待补价/暂估，毛利仅供参考","")))))</f>
        <v/>
      </c>
    </row>
    <row r="182">
      <c r="A182" s="24">
        <f>IF(物料档案!$A181="","",物料档案!$A181)</f>
        <v/>
      </c>
      <c r="B182" s="24">
        <f>IF($A182="","",IFERROR(VLOOKUP($A182,物料档案!$A$4:$P$1203,3,0),""))</f>
        <v/>
      </c>
      <c r="C182" s="24">
        <f>IF($A182="","",IFERROR(VLOOKUP($A182,物料档案!$A$4:$P$1203,4,0),""))</f>
        <v/>
      </c>
      <c r="D182" s="24">
        <f>IF($A182="","",IFERROR(VLOOKUP($A182,物料档案!$A$4:$P$1203,5,0),""))</f>
        <v/>
      </c>
      <c r="E182" s="24">
        <f>IF($A182="","",IFERROR(VLOOKUP($A182,物料档案!$A$4:$P$1203,2,0),""))</f>
        <v/>
      </c>
      <c r="F182" s="24">
        <f>IF($A182="","",IFERROR(VLOOKUP($A182,物料档案!$A$4:$P$1203,6,0),""))</f>
        <v/>
      </c>
      <c r="G182" s="23" t="n"/>
      <c r="H182" s="32" t="n"/>
      <c r="I182" s="27">
        <f>IF($A182="","",SUMIFS(入库单!$K$4:$K$2503,入库单!$G$4:$G$2503,$A182,入库单!$X$4:$X$2503,"采购入库",入库单!$Z$4:$Z$2503,"正常",入库单!$C$4:$C$2503,"&gt;="&amp;账期起,入库单!$C$4:$C$2503,"&lt;="&amp;账期止))</f>
        <v/>
      </c>
      <c r="J182" s="26">
        <f>IF($A182="","",SUMIFS(入库单!$V$4:$V$2503,入库单!$G$4:$G$2503,$A182,入库单!$X$4:$X$2503,"采购入库",入库单!$Z$4:$Z$2503,"正常",入库单!$C$4:$C$2503,"&gt;="&amp;账期起,入库单!$C$4:$C$2503,"&lt;="&amp;账期止))</f>
        <v/>
      </c>
      <c r="K182" s="26">
        <f>IF($A182="","",IFERROR(ROUND((N($H182)+N($J182))/(N($G182)+N($I182)),2),0))</f>
        <v/>
      </c>
      <c r="L182" s="27">
        <f>IF($A182="","",SUMIFS(入库单!$K$4:$K$2503,入库单!$G$4:$G$2503,$A182,入库单!$X$4:$X$2503,"盘盈",入库单!$Z$4:$Z$2503,"正常",入库单!$C$4:$C$2503,"&gt;="&amp;账期起,入库单!$C$4:$C$2503,"&lt;="&amp;账期止))</f>
        <v/>
      </c>
      <c r="M182" s="26">
        <f>IF($A182="","",ROUND($L182*$K182,0))</f>
        <v/>
      </c>
      <c r="N182" s="27">
        <f>IF($A182="","",SUMIFS(入库单!$K$4:$K$2503,入库单!$G$4:$G$2503,$A182,入库单!$X$4:$X$2503,"矿区退库",入库单!$Z$4:$Z$2503,"正常",入库单!$C$4:$C$2503,"&gt;="&amp;账期起,入库单!$C$4:$C$2503,"&lt;="&amp;账期止))</f>
        <v/>
      </c>
      <c r="O182" s="26">
        <f>IF($A182="","",ROUND($N182*$K182,0))</f>
        <v/>
      </c>
      <c r="P182" s="27">
        <f>IF($A182="","",SUMIFS(出库单!$J$4:$J$4003,出库单!$D$4:$D$4003,$A182,出库单!$K$4:$K$4003,"自用消耗",出库单!$U$4:$U$4003,"正常",出库单!$C$4:$C$4003,"&gt;="&amp;账期起,出库单!$C$4:$C$4003,"&lt;="&amp;账期止))</f>
        <v/>
      </c>
      <c r="Q182" s="26">
        <f>IF($A182="","",ROUND(SUMIFS(出库单!$S$4:$S$4003,出库单!$D$4:$D$4003,$A182,出库单!$K$4:$K$4003,"自用消耗",出库单!$U$4:$U$4003,"正常",出库单!$C$4:$C$4003,"&gt;="&amp;账期起,出库单!$C$4:$C$4003,"&lt;="&amp;账期止),0))</f>
        <v/>
      </c>
      <c r="R182" s="27">
        <f>IF($A182="","",SUMIFS(出库单!$J$4:$J$4003,出库单!$D$4:$D$4003,$A182,出库单!$K$4:$K$4003,"对外销售",出库单!$U$4:$U$4003,"正常",出库单!$C$4:$C$4003,"&gt;="&amp;账期起,出库单!$C$4:$C$4003,"&lt;="&amp;账期止))</f>
        <v/>
      </c>
      <c r="S182" s="26">
        <f>IF($A182="","",ROUND(SUMIFS(出库单!$S$4:$S$4003,出库单!$D$4:$D$4003,$A182,出库单!$K$4:$K$4003,"对外销售",出库单!$U$4:$U$4003,"正常",出库单!$C$4:$C$4003,"&gt;="&amp;账期起,出库单!$C$4:$C$4003,"&lt;="&amp;账期止),0))</f>
        <v/>
      </c>
      <c r="T182" s="27">
        <f>IF($A182="","",SUMIFS(出库单!$J$4:$J$4003,出库单!$D$4:$D$4003,$A182,出库单!$K$4:$K$4003,"盘亏",出库单!$U$4:$U$4003,"正常",出库单!$C$4:$C$4003,"&gt;="&amp;账期起,出库单!$C$4:$C$4003,"&lt;="&amp;账期止))</f>
        <v/>
      </c>
      <c r="U182" s="26">
        <f>IF($A182="","",ROUND(SUMIFS(出库单!$S$4:$S$4003,出库单!$D$4:$D$4003,$A182,出库单!$K$4:$K$4003,"盘亏",出库单!$U$4:$U$4003,"正常",出库单!$C$4:$C$4003,"&gt;="&amp;账期起,出库单!$C$4:$C$4003,"&lt;="&amp;账期止),0))</f>
        <v/>
      </c>
      <c r="V182" s="27">
        <f>IF($A182="","",SUMIFS(出库单!$J$4:$J$4003,出库单!$D$4:$D$4003,$A182,出库单!$K$4:$K$4003,"退货给供应商",出库单!$U$4:$U$4003,"正常",出库单!$C$4:$C$4003,"&gt;="&amp;账期起,出库单!$C$4:$C$4003,"&lt;="&amp;账期止))</f>
        <v/>
      </c>
      <c r="W182" s="26">
        <f>IF($A182="","",ROUND(SUMIFS(出库单!$S$4:$S$4003,出库单!$D$4:$D$4003,$A182,出库单!$K$4:$K$4003,"退货给供应商",出库单!$U$4:$U$4003,"正常",出库单!$C$4:$C$4003,"&gt;="&amp;账期起,出库单!$C$4:$C$4003,"&lt;="&amp;账期止),0))</f>
        <v/>
      </c>
      <c r="X182" s="27">
        <f>IF($A182="","",ROUND(N($G182)+$I182+$L182+$N182-$P182-$R182-$T182-$V182,3))</f>
        <v/>
      </c>
      <c r="Y182" s="26">
        <f>IF($A182="","",ROUND(N($H182)+$J182+$M182+$O182-$Q182-$S182-$U182-$W182,0))</f>
        <v/>
      </c>
      <c r="Z182" s="24">
        <f>IF($A182="","",IF(COUNTIFS(入库单!$G$4:$G$2503,$A182,入库单!$Y$4:$Y$2503,"待补价")+COUNTIFS(入库单!$G$4:$G$2503,$A182,入库单!$Y$4:$Y$2503,"暂估")&gt;0,"不可信","可信"))</f>
        <v/>
      </c>
      <c r="AA182" s="24">
        <f>IF($A182="","",IF($X182&lt;-0.001,"※账面负库存，查一下是不是漏记入库",IF(AND(ROUND($X182,3)=0,ABS($Y182)&gt;1),"※数量已经是 0，金额还挂着 "&amp;TEXT($Y182,"#,##0")&amp;" 先令",IF(AND($X182&gt;0,$Y182&lt;=0,$K182=0),"※有数量没金额（这个物料一直没填过进价）",IF($Z182="不可信","△成本含待补价/暂估，毛利仅供参考","")))))</f>
        <v/>
      </c>
    </row>
    <row r="183">
      <c r="A183" s="24">
        <f>IF(物料档案!$A182="","",物料档案!$A182)</f>
        <v/>
      </c>
      <c r="B183" s="24">
        <f>IF($A183="","",IFERROR(VLOOKUP($A183,物料档案!$A$4:$P$1203,3,0),""))</f>
        <v/>
      </c>
      <c r="C183" s="24">
        <f>IF($A183="","",IFERROR(VLOOKUP($A183,物料档案!$A$4:$P$1203,4,0),""))</f>
        <v/>
      </c>
      <c r="D183" s="24">
        <f>IF($A183="","",IFERROR(VLOOKUP($A183,物料档案!$A$4:$P$1203,5,0),""))</f>
        <v/>
      </c>
      <c r="E183" s="24">
        <f>IF($A183="","",IFERROR(VLOOKUP($A183,物料档案!$A$4:$P$1203,2,0),""))</f>
        <v/>
      </c>
      <c r="F183" s="24">
        <f>IF($A183="","",IFERROR(VLOOKUP($A183,物料档案!$A$4:$P$1203,6,0),""))</f>
        <v/>
      </c>
      <c r="G183" s="23" t="n"/>
      <c r="H183" s="32" t="n"/>
      <c r="I183" s="27">
        <f>IF($A183="","",SUMIFS(入库单!$K$4:$K$2503,入库单!$G$4:$G$2503,$A183,入库单!$X$4:$X$2503,"采购入库",入库单!$Z$4:$Z$2503,"正常",入库单!$C$4:$C$2503,"&gt;="&amp;账期起,入库单!$C$4:$C$2503,"&lt;="&amp;账期止))</f>
        <v/>
      </c>
      <c r="J183" s="26">
        <f>IF($A183="","",SUMIFS(入库单!$V$4:$V$2503,入库单!$G$4:$G$2503,$A183,入库单!$X$4:$X$2503,"采购入库",入库单!$Z$4:$Z$2503,"正常",入库单!$C$4:$C$2503,"&gt;="&amp;账期起,入库单!$C$4:$C$2503,"&lt;="&amp;账期止))</f>
        <v/>
      </c>
      <c r="K183" s="26">
        <f>IF($A183="","",IFERROR(ROUND((N($H183)+N($J183))/(N($G183)+N($I183)),2),0))</f>
        <v/>
      </c>
      <c r="L183" s="27">
        <f>IF($A183="","",SUMIFS(入库单!$K$4:$K$2503,入库单!$G$4:$G$2503,$A183,入库单!$X$4:$X$2503,"盘盈",入库单!$Z$4:$Z$2503,"正常",入库单!$C$4:$C$2503,"&gt;="&amp;账期起,入库单!$C$4:$C$2503,"&lt;="&amp;账期止))</f>
        <v/>
      </c>
      <c r="M183" s="26">
        <f>IF($A183="","",ROUND($L183*$K183,0))</f>
        <v/>
      </c>
      <c r="N183" s="27">
        <f>IF($A183="","",SUMIFS(入库单!$K$4:$K$2503,入库单!$G$4:$G$2503,$A183,入库单!$X$4:$X$2503,"矿区退库",入库单!$Z$4:$Z$2503,"正常",入库单!$C$4:$C$2503,"&gt;="&amp;账期起,入库单!$C$4:$C$2503,"&lt;="&amp;账期止))</f>
        <v/>
      </c>
      <c r="O183" s="26">
        <f>IF($A183="","",ROUND($N183*$K183,0))</f>
        <v/>
      </c>
      <c r="P183" s="27">
        <f>IF($A183="","",SUMIFS(出库单!$J$4:$J$4003,出库单!$D$4:$D$4003,$A183,出库单!$K$4:$K$4003,"自用消耗",出库单!$U$4:$U$4003,"正常",出库单!$C$4:$C$4003,"&gt;="&amp;账期起,出库单!$C$4:$C$4003,"&lt;="&amp;账期止))</f>
        <v/>
      </c>
      <c r="Q183" s="26">
        <f>IF($A183="","",ROUND(SUMIFS(出库单!$S$4:$S$4003,出库单!$D$4:$D$4003,$A183,出库单!$K$4:$K$4003,"自用消耗",出库单!$U$4:$U$4003,"正常",出库单!$C$4:$C$4003,"&gt;="&amp;账期起,出库单!$C$4:$C$4003,"&lt;="&amp;账期止),0))</f>
        <v/>
      </c>
      <c r="R183" s="27">
        <f>IF($A183="","",SUMIFS(出库单!$J$4:$J$4003,出库单!$D$4:$D$4003,$A183,出库单!$K$4:$K$4003,"对外销售",出库单!$U$4:$U$4003,"正常",出库单!$C$4:$C$4003,"&gt;="&amp;账期起,出库单!$C$4:$C$4003,"&lt;="&amp;账期止))</f>
        <v/>
      </c>
      <c r="S183" s="26">
        <f>IF($A183="","",ROUND(SUMIFS(出库单!$S$4:$S$4003,出库单!$D$4:$D$4003,$A183,出库单!$K$4:$K$4003,"对外销售",出库单!$U$4:$U$4003,"正常",出库单!$C$4:$C$4003,"&gt;="&amp;账期起,出库单!$C$4:$C$4003,"&lt;="&amp;账期止),0))</f>
        <v/>
      </c>
      <c r="T183" s="27">
        <f>IF($A183="","",SUMIFS(出库单!$J$4:$J$4003,出库单!$D$4:$D$4003,$A183,出库单!$K$4:$K$4003,"盘亏",出库单!$U$4:$U$4003,"正常",出库单!$C$4:$C$4003,"&gt;="&amp;账期起,出库单!$C$4:$C$4003,"&lt;="&amp;账期止))</f>
        <v/>
      </c>
      <c r="U183" s="26">
        <f>IF($A183="","",ROUND(SUMIFS(出库单!$S$4:$S$4003,出库单!$D$4:$D$4003,$A183,出库单!$K$4:$K$4003,"盘亏",出库单!$U$4:$U$4003,"正常",出库单!$C$4:$C$4003,"&gt;="&amp;账期起,出库单!$C$4:$C$4003,"&lt;="&amp;账期止),0))</f>
        <v/>
      </c>
      <c r="V183" s="27">
        <f>IF($A183="","",SUMIFS(出库单!$J$4:$J$4003,出库单!$D$4:$D$4003,$A183,出库单!$K$4:$K$4003,"退货给供应商",出库单!$U$4:$U$4003,"正常",出库单!$C$4:$C$4003,"&gt;="&amp;账期起,出库单!$C$4:$C$4003,"&lt;="&amp;账期止))</f>
        <v/>
      </c>
      <c r="W183" s="26">
        <f>IF($A183="","",ROUND(SUMIFS(出库单!$S$4:$S$4003,出库单!$D$4:$D$4003,$A183,出库单!$K$4:$K$4003,"退货给供应商",出库单!$U$4:$U$4003,"正常",出库单!$C$4:$C$4003,"&gt;="&amp;账期起,出库单!$C$4:$C$4003,"&lt;="&amp;账期止),0))</f>
        <v/>
      </c>
      <c r="X183" s="27">
        <f>IF($A183="","",ROUND(N($G183)+$I183+$L183+$N183-$P183-$R183-$T183-$V183,3))</f>
        <v/>
      </c>
      <c r="Y183" s="26">
        <f>IF($A183="","",ROUND(N($H183)+$J183+$M183+$O183-$Q183-$S183-$U183-$W183,0))</f>
        <v/>
      </c>
      <c r="Z183" s="24">
        <f>IF($A183="","",IF(COUNTIFS(入库单!$G$4:$G$2503,$A183,入库单!$Y$4:$Y$2503,"待补价")+COUNTIFS(入库单!$G$4:$G$2503,$A183,入库单!$Y$4:$Y$2503,"暂估")&gt;0,"不可信","可信"))</f>
        <v/>
      </c>
      <c r="AA183" s="24">
        <f>IF($A183="","",IF($X183&lt;-0.001,"※账面负库存，查一下是不是漏记入库",IF(AND(ROUND($X183,3)=0,ABS($Y183)&gt;1),"※数量已经是 0，金额还挂着 "&amp;TEXT($Y183,"#,##0")&amp;" 先令",IF(AND($X183&gt;0,$Y183&lt;=0,$K183=0),"※有数量没金额（这个物料一直没填过进价）",IF($Z183="不可信","△成本含待补价/暂估，毛利仅供参考","")))))</f>
        <v/>
      </c>
    </row>
    <row r="184">
      <c r="A184" s="24">
        <f>IF(物料档案!$A183="","",物料档案!$A183)</f>
        <v/>
      </c>
      <c r="B184" s="24">
        <f>IF($A184="","",IFERROR(VLOOKUP($A184,物料档案!$A$4:$P$1203,3,0),""))</f>
        <v/>
      </c>
      <c r="C184" s="24">
        <f>IF($A184="","",IFERROR(VLOOKUP($A184,物料档案!$A$4:$P$1203,4,0),""))</f>
        <v/>
      </c>
      <c r="D184" s="24">
        <f>IF($A184="","",IFERROR(VLOOKUP($A184,物料档案!$A$4:$P$1203,5,0),""))</f>
        <v/>
      </c>
      <c r="E184" s="24">
        <f>IF($A184="","",IFERROR(VLOOKUP($A184,物料档案!$A$4:$P$1203,2,0),""))</f>
        <v/>
      </c>
      <c r="F184" s="24">
        <f>IF($A184="","",IFERROR(VLOOKUP($A184,物料档案!$A$4:$P$1203,6,0),""))</f>
        <v/>
      </c>
      <c r="G184" s="23" t="n"/>
      <c r="H184" s="32" t="n"/>
      <c r="I184" s="27">
        <f>IF($A184="","",SUMIFS(入库单!$K$4:$K$2503,入库单!$G$4:$G$2503,$A184,入库单!$X$4:$X$2503,"采购入库",入库单!$Z$4:$Z$2503,"正常",入库单!$C$4:$C$2503,"&gt;="&amp;账期起,入库单!$C$4:$C$2503,"&lt;="&amp;账期止))</f>
        <v/>
      </c>
      <c r="J184" s="26">
        <f>IF($A184="","",SUMIFS(入库单!$V$4:$V$2503,入库单!$G$4:$G$2503,$A184,入库单!$X$4:$X$2503,"采购入库",入库单!$Z$4:$Z$2503,"正常",入库单!$C$4:$C$2503,"&gt;="&amp;账期起,入库单!$C$4:$C$2503,"&lt;="&amp;账期止))</f>
        <v/>
      </c>
      <c r="K184" s="26">
        <f>IF($A184="","",IFERROR(ROUND((N($H184)+N($J184))/(N($G184)+N($I184)),2),0))</f>
        <v/>
      </c>
      <c r="L184" s="27">
        <f>IF($A184="","",SUMIFS(入库单!$K$4:$K$2503,入库单!$G$4:$G$2503,$A184,入库单!$X$4:$X$2503,"盘盈",入库单!$Z$4:$Z$2503,"正常",入库单!$C$4:$C$2503,"&gt;="&amp;账期起,入库单!$C$4:$C$2503,"&lt;="&amp;账期止))</f>
        <v/>
      </c>
      <c r="M184" s="26">
        <f>IF($A184="","",ROUND($L184*$K184,0))</f>
        <v/>
      </c>
      <c r="N184" s="27">
        <f>IF($A184="","",SUMIFS(入库单!$K$4:$K$2503,入库单!$G$4:$G$2503,$A184,入库单!$X$4:$X$2503,"矿区退库",入库单!$Z$4:$Z$2503,"正常",入库单!$C$4:$C$2503,"&gt;="&amp;账期起,入库单!$C$4:$C$2503,"&lt;="&amp;账期止))</f>
        <v/>
      </c>
      <c r="O184" s="26">
        <f>IF($A184="","",ROUND($N184*$K184,0))</f>
        <v/>
      </c>
      <c r="P184" s="27">
        <f>IF($A184="","",SUMIFS(出库单!$J$4:$J$4003,出库单!$D$4:$D$4003,$A184,出库单!$K$4:$K$4003,"自用消耗",出库单!$U$4:$U$4003,"正常",出库单!$C$4:$C$4003,"&gt;="&amp;账期起,出库单!$C$4:$C$4003,"&lt;="&amp;账期止))</f>
        <v/>
      </c>
      <c r="Q184" s="26">
        <f>IF($A184="","",ROUND(SUMIFS(出库单!$S$4:$S$4003,出库单!$D$4:$D$4003,$A184,出库单!$K$4:$K$4003,"自用消耗",出库单!$U$4:$U$4003,"正常",出库单!$C$4:$C$4003,"&gt;="&amp;账期起,出库单!$C$4:$C$4003,"&lt;="&amp;账期止),0))</f>
        <v/>
      </c>
      <c r="R184" s="27">
        <f>IF($A184="","",SUMIFS(出库单!$J$4:$J$4003,出库单!$D$4:$D$4003,$A184,出库单!$K$4:$K$4003,"对外销售",出库单!$U$4:$U$4003,"正常",出库单!$C$4:$C$4003,"&gt;="&amp;账期起,出库单!$C$4:$C$4003,"&lt;="&amp;账期止))</f>
        <v/>
      </c>
      <c r="S184" s="26">
        <f>IF($A184="","",ROUND(SUMIFS(出库单!$S$4:$S$4003,出库单!$D$4:$D$4003,$A184,出库单!$K$4:$K$4003,"对外销售",出库单!$U$4:$U$4003,"正常",出库单!$C$4:$C$4003,"&gt;="&amp;账期起,出库单!$C$4:$C$4003,"&lt;="&amp;账期止),0))</f>
        <v/>
      </c>
      <c r="T184" s="27">
        <f>IF($A184="","",SUMIFS(出库单!$J$4:$J$4003,出库单!$D$4:$D$4003,$A184,出库单!$K$4:$K$4003,"盘亏",出库单!$U$4:$U$4003,"正常",出库单!$C$4:$C$4003,"&gt;="&amp;账期起,出库单!$C$4:$C$4003,"&lt;="&amp;账期止))</f>
        <v/>
      </c>
      <c r="U184" s="26">
        <f>IF($A184="","",ROUND(SUMIFS(出库单!$S$4:$S$4003,出库单!$D$4:$D$4003,$A184,出库单!$K$4:$K$4003,"盘亏",出库单!$U$4:$U$4003,"正常",出库单!$C$4:$C$4003,"&gt;="&amp;账期起,出库单!$C$4:$C$4003,"&lt;="&amp;账期止),0))</f>
        <v/>
      </c>
      <c r="V184" s="27">
        <f>IF($A184="","",SUMIFS(出库单!$J$4:$J$4003,出库单!$D$4:$D$4003,$A184,出库单!$K$4:$K$4003,"退货给供应商",出库单!$U$4:$U$4003,"正常",出库单!$C$4:$C$4003,"&gt;="&amp;账期起,出库单!$C$4:$C$4003,"&lt;="&amp;账期止))</f>
        <v/>
      </c>
      <c r="W184" s="26">
        <f>IF($A184="","",ROUND(SUMIFS(出库单!$S$4:$S$4003,出库单!$D$4:$D$4003,$A184,出库单!$K$4:$K$4003,"退货给供应商",出库单!$U$4:$U$4003,"正常",出库单!$C$4:$C$4003,"&gt;="&amp;账期起,出库单!$C$4:$C$4003,"&lt;="&amp;账期止),0))</f>
        <v/>
      </c>
      <c r="X184" s="27">
        <f>IF($A184="","",ROUND(N($G184)+$I184+$L184+$N184-$P184-$R184-$T184-$V184,3))</f>
        <v/>
      </c>
      <c r="Y184" s="26">
        <f>IF($A184="","",ROUND(N($H184)+$J184+$M184+$O184-$Q184-$S184-$U184-$W184,0))</f>
        <v/>
      </c>
      <c r="Z184" s="24">
        <f>IF($A184="","",IF(COUNTIFS(入库单!$G$4:$G$2503,$A184,入库单!$Y$4:$Y$2503,"待补价")+COUNTIFS(入库单!$G$4:$G$2503,$A184,入库单!$Y$4:$Y$2503,"暂估")&gt;0,"不可信","可信"))</f>
        <v/>
      </c>
      <c r="AA184" s="24">
        <f>IF($A184="","",IF($X184&lt;-0.001,"※账面负库存，查一下是不是漏记入库",IF(AND(ROUND($X184,3)=0,ABS($Y184)&gt;1),"※数量已经是 0，金额还挂着 "&amp;TEXT($Y184,"#,##0")&amp;" 先令",IF(AND($X184&gt;0,$Y184&lt;=0,$K184=0),"※有数量没金额（这个物料一直没填过进价）",IF($Z184="不可信","△成本含待补价/暂估，毛利仅供参考","")))))</f>
        <v/>
      </c>
    </row>
    <row r="185">
      <c r="A185" s="24">
        <f>IF(物料档案!$A184="","",物料档案!$A184)</f>
        <v/>
      </c>
      <c r="B185" s="24">
        <f>IF($A185="","",IFERROR(VLOOKUP($A185,物料档案!$A$4:$P$1203,3,0),""))</f>
        <v/>
      </c>
      <c r="C185" s="24">
        <f>IF($A185="","",IFERROR(VLOOKUP($A185,物料档案!$A$4:$P$1203,4,0),""))</f>
        <v/>
      </c>
      <c r="D185" s="24">
        <f>IF($A185="","",IFERROR(VLOOKUP($A185,物料档案!$A$4:$P$1203,5,0),""))</f>
        <v/>
      </c>
      <c r="E185" s="24">
        <f>IF($A185="","",IFERROR(VLOOKUP($A185,物料档案!$A$4:$P$1203,2,0),""))</f>
        <v/>
      </c>
      <c r="F185" s="24">
        <f>IF($A185="","",IFERROR(VLOOKUP($A185,物料档案!$A$4:$P$1203,6,0),""))</f>
        <v/>
      </c>
      <c r="G185" s="23" t="n"/>
      <c r="H185" s="32" t="n"/>
      <c r="I185" s="27">
        <f>IF($A185="","",SUMIFS(入库单!$K$4:$K$2503,入库单!$G$4:$G$2503,$A185,入库单!$X$4:$X$2503,"采购入库",入库单!$Z$4:$Z$2503,"正常",入库单!$C$4:$C$2503,"&gt;="&amp;账期起,入库单!$C$4:$C$2503,"&lt;="&amp;账期止))</f>
        <v/>
      </c>
      <c r="J185" s="26">
        <f>IF($A185="","",SUMIFS(入库单!$V$4:$V$2503,入库单!$G$4:$G$2503,$A185,入库单!$X$4:$X$2503,"采购入库",入库单!$Z$4:$Z$2503,"正常",入库单!$C$4:$C$2503,"&gt;="&amp;账期起,入库单!$C$4:$C$2503,"&lt;="&amp;账期止))</f>
        <v/>
      </c>
      <c r="K185" s="26">
        <f>IF($A185="","",IFERROR(ROUND((N($H185)+N($J185))/(N($G185)+N($I185)),2),0))</f>
        <v/>
      </c>
      <c r="L185" s="27">
        <f>IF($A185="","",SUMIFS(入库单!$K$4:$K$2503,入库单!$G$4:$G$2503,$A185,入库单!$X$4:$X$2503,"盘盈",入库单!$Z$4:$Z$2503,"正常",入库单!$C$4:$C$2503,"&gt;="&amp;账期起,入库单!$C$4:$C$2503,"&lt;="&amp;账期止))</f>
        <v/>
      </c>
      <c r="M185" s="26">
        <f>IF($A185="","",ROUND($L185*$K185,0))</f>
        <v/>
      </c>
      <c r="N185" s="27">
        <f>IF($A185="","",SUMIFS(入库单!$K$4:$K$2503,入库单!$G$4:$G$2503,$A185,入库单!$X$4:$X$2503,"矿区退库",入库单!$Z$4:$Z$2503,"正常",入库单!$C$4:$C$2503,"&gt;="&amp;账期起,入库单!$C$4:$C$2503,"&lt;="&amp;账期止))</f>
        <v/>
      </c>
      <c r="O185" s="26">
        <f>IF($A185="","",ROUND($N185*$K185,0))</f>
        <v/>
      </c>
      <c r="P185" s="27">
        <f>IF($A185="","",SUMIFS(出库单!$J$4:$J$4003,出库单!$D$4:$D$4003,$A185,出库单!$K$4:$K$4003,"自用消耗",出库单!$U$4:$U$4003,"正常",出库单!$C$4:$C$4003,"&gt;="&amp;账期起,出库单!$C$4:$C$4003,"&lt;="&amp;账期止))</f>
        <v/>
      </c>
      <c r="Q185" s="26">
        <f>IF($A185="","",ROUND(SUMIFS(出库单!$S$4:$S$4003,出库单!$D$4:$D$4003,$A185,出库单!$K$4:$K$4003,"自用消耗",出库单!$U$4:$U$4003,"正常",出库单!$C$4:$C$4003,"&gt;="&amp;账期起,出库单!$C$4:$C$4003,"&lt;="&amp;账期止),0))</f>
        <v/>
      </c>
      <c r="R185" s="27">
        <f>IF($A185="","",SUMIFS(出库单!$J$4:$J$4003,出库单!$D$4:$D$4003,$A185,出库单!$K$4:$K$4003,"对外销售",出库单!$U$4:$U$4003,"正常",出库单!$C$4:$C$4003,"&gt;="&amp;账期起,出库单!$C$4:$C$4003,"&lt;="&amp;账期止))</f>
        <v/>
      </c>
      <c r="S185" s="26">
        <f>IF($A185="","",ROUND(SUMIFS(出库单!$S$4:$S$4003,出库单!$D$4:$D$4003,$A185,出库单!$K$4:$K$4003,"对外销售",出库单!$U$4:$U$4003,"正常",出库单!$C$4:$C$4003,"&gt;="&amp;账期起,出库单!$C$4:$C$4003,"&lt;="&amp;账期止),0))</f>
        <v/>
      </c>
      <c r="T185" s="27">
        <f>IF($A185="","",SUMIFS(出库单!$J$4:$J$4003,出库单!$D$4:$D$4003,$A185,出库单!$K$4:$K$4003,"盘亏",出库单!$U$4:$U$4003,"正常",出库单!$C$4:$C$4003,"&gt;="&amp;账期起,出库单!$C$4:$C$4003,"&lt;="&amp;账期止))</f>
        <v/>
      </c>
      <c r="U185" s="26">
        <f>IF($A185="","",ROUND(SUMIFS(出库单!$S$4:$S$4003,出库单!$D$4:$D$4003,$A185,出库单!$K$4:$K$4003,"盘亏",出库单!$U$4:$U$4003,"正常",出库单!$C$4:$C$4003,"&gt;="&amp;账期起,出库单!$C$4:$C$4003,"&lt;="&amp;账期止),0))</f>
        <v/>
      </c>
      <c r="V185" s="27">
        <f>IF($A185="","",SUMIFS(出库单!$J$4:$J$4003,出库单!$D$4:$D$4003,$A185,出库单!$K$4:$K$4003,"退货给供应商",出库单!$U$4:$U$4003,"正常",出库单!$C$4:$C$4003,"&gt;="&amp;账期起,出库单!$C$4:$C$4003,"&lt;="&amp;账期止))</f>
        <v/>
      </c>
      <c r="W185" s="26">
        <f>IF($A185="","",ROUND(SUMIFS(出库单!$S$4:$S$4003,出库单!$D$4:$D$4003,$A185,出库单!$K$4:$K$4003,"退货给供应商",出库单!$U$4:$U$4003,"正常",出库单!$C$4:$C$4003,"&gt;="&amp;账期起,出库单!$C$4:$C$4003,"&lt;="&amp;账期止),0))</f>
        <v/>
      </c>
      <c r="X185" s="27">
        <f>IF($A185="","",ROUND(N($G185)+$I185+$L185+$N185-$P185-$R185-$T185-$V185,3))</f>
        <v/>
      </c>
      <c r="Y185" s="26">
        <f>IF($A185="","",ROUND(N($H185)+$J185+$M185+$O185-$Q185-$S185-$U185-$W185,0))</f>
        <v/>
      </c>
      <c r="Z185" s="24">
        <f>IF($A185="","",IF(COUNTIFS(入库单!$G$4:$G$2503,$A185,入库单!$Y$4:$Y$2503,"待补价")+COUNTIFS(入库单!$G$4:$G$2503,$A185,入库单!$Y$4:$Y$2503,"暂估")&gt;0,"不可信","可信"))</f>
        <v/>
      </c>
      <c r="AA185" s="24">
        <f>IF($A185="","",IF($X185&lt;-0.001,"※账面负库存，查一下是不是漏记入库",IF(AND(ROUND($X185,3)=0,ABS($Y185)&gt;1),"※数量已经是 0，金额还挂着 "&amp;TEXT($Y185,"#,##0")&amp;" 先令",IF(AND($X185&gt;0,$Y185&lt;=0,$K185=0),"※有数量没金额（这个物料一直没填过进价）",IF($Z185="不可信","△成本含待补价/暂估，毛利仅供参考","")))))</f>
        <v/>
      </c>
    </row>
    <row r="186">
      <c r="A186" s="24">
        <f>IF(物料档案!$A185="","",物料档案!$A185)</f>
        <v/>
      </c>
      <c r="B186" s="24">
        <f>IF($A186="","",IFERROR(VLOOKUP($A186,物料档案!$A$4:$P$1203,3,0),""))</f>
        <v/>
      </c>
      <c r="C186" s="24">
        <f>IF($A186="","",IFERROR(VLOOKUP($A186,物料档案!$A$4:$P$1203,4,0),""))</f>
        <v/>
      </c>
      <c r="D186" s="24">
        <f>IF($A186="","",IFERROR(VLOOKUP($A186,物料档案!$A$4:$P$1203,5,0),""))</f>
        <v/>
      </c>
      <c r="E186" s="24">
        <f>IF($A186="","",IFERROR(VLOOKUP($A186,物料档案!$A$4:$P$1203,2,0),""))</f>
        <v/>
      </c>
      <c r="F186" s="24">
        <f>IF($A186="","",IFERROR(VLOOKUP($A186,物料档案!$A$4:$P$1203,6,0),""))</f>
        <v/>
      </c>
      <c r="G186" s="23" t="n"/>
      <c r="H186" s="32" t="n"/>
      <c r="I186" s="27">
        <f>IF($A186="","",SUMIFS(入库单!$K$4:$K$2503,入库单!$G$4:$G$2503,$A186,入库单!$X$4:$X$2503,"采购入库",入库单!$Z$4:$Z$2503,"正常",入库单!$C$4:$C$2503,"&gt;="&amp;账期起,入库单!$C$4:$C$2503,"&lt;="&amp;账期止))</f>
        <v/>
      </c>
      <c r="J186" s="26">
        <f>IF($A186="","",SUMIFS(入库单!$V$4:$V$2503,入库单!$G$4:$G$2503,$A186,入库单!$X$4:$X$2503,"采购入库",入库单!$Z$4:$Z$2503,"正常",入库单!$C$4:$C$2503,"&gt;="&amp;账期起,入库单!$C$4:$C$2503,"&lt;="&amp;账期止))</f>
        <v/>
      </c>
      <c r="K186" s="26">
        <f>IF($A186="","",IFERROR(ROUND((N($H186)+N($J186))/(N($G186)+N($I186)),2),0))</f>
        <v/>
      </c>
      <c r="L186" s="27">
        <f>IF($A186="","",SUMIFS(入库单!$K$4:$K$2503,入库单!$G$4:$G$2503,$A186,入库单!$X$4:$X$2503,"盘盈",入库单!$Z$4:$Z$2503,"正常",入库单!$C$4:$C$2503,"&gt;="&amp;账期起,入库单!$C$4:$C$2503,"&lt;="&amp;账期止))</f>
        <v/>
      </c>
      <c r="M186" s="26">
        <f>IF($A186="","",ROUND($L186*$K186,0))</f>
        <v/>
      </c>
      <c r="N186" s="27">
        <f>IF($A186="","",SUMIFS(入库单!$K$4:$K$2503,入库单!$G$4:$G$2503,$A186,入库单!$X$4:$X$2503,"矿区退库",入库单!$Z$4:$Z$2503,"正常",入库单!$C$4:$C$2503,"&gt;="&amp;账期起,入库单!$C$4:$C$2503,"&lt;="&amp;账期止))</f>
        <v/>
      </c>
      <c r="O186" s="26">
        <f>IF($A186="","",ROUND($N186*$K186,0))</f>
        <v/>
      </c>
      <c r="P186" s="27">
        <f>IF($A186="","",SUMIFS(出库单!$J$4:$J$4003,出库单!$D$4:$D$4003,$A186,出库单!$K$4:$K$4003,"自用消耗",出库单!$U$4:$U$4003,"正常",出库单!$C$4:$C$4003,"&gt;="&amp;账期起,出库单!$C$4:$C$4003,"&lt;="&amp;账期止))</f>
        <v/>
      </c>
      <c r="Q186" s="26">
        <f>IF($A186="","",ROUND(SUMIFS(出库单!$S$4:$S$4003,出库单!$D$4:$D$4003,$A186,出库单!$K$4:$K$4003,"自用消耗",出库单!$U$4:$U$4003,"正常",出库单!$C$4:$C$4003,"&gt;="&amp;账期起,出库单!$C$4:$C$4003,"&lt;="&amp;账期止),0))</f>
        <v/>
      </c>
      <c r="R186" s="27">
        <f>IF($A186="","",SUMIFS(出库单!$J$4:$J$4003,出库单!$D$4:$D$4003,$A186,出库单!$K$4:$K$4003,"对外销售",出库单!$U$4:$U$4003,"正常",出库单!$C$4:$C$4003,"&gt;="&amp;账期起,出库单!$C$4:$C$4003,"&lt;="&amp;账期止))</f>
        <v/>
      </c>
      <c r="S186" s="26">
        <f>IF($A186="","",ROUND(SUMIFS(出库单!$S$4:$S$4003,出库单!$D$4:$D$4003,$A186,出库单!$K$4:$K$4003,"对外销售",出库单!$U$4:$U$4003,"正常",出库单!$C$4:$C$4003,"&gt;="&amp;账期起,出库单!$C$4:$C$4003,"&lt;="&amp;账期止),0))</f>
        <v/>
      </c>
      <c r="T186" s="27">
        <f>IF($A186="","",SUMIFS(出库单!$J$4:$J$4003,出库单!$D$4:$D$4003,$A186,出库单!$K$4:$K$4003,"盘亏",出库单!$U$4:$U$4003,"正常",出库单!$C$4:$C$4003,"&gt;="&amp;账期起,出库单!$C$4:$C$4003,"&lt;="&amp;账期止))</f>
        <v/>
      </c>
      <c r="U186" s="26">
        <f>IF($A186="","",ROUND(SUMIFS(出库单!$S$4:$S$4003,出库单!$D$4:$D$4003,$A186,出库单!$K$4:$K$4003,"盘亏",出库单!$U$4:$U$4003,"正常",出库单!$C$4:$C$4003,"&gt;="&amp;账期起,出库单!$C$4:$C$4003,"&lt;="&amp;账期止),0))</f>
        <v/>
      </c>
      <c r="V186" s="27">
        <f>IF($A186="","",SUMIFS(出库单!$J$4:$J$4003,出库单!$D$4:$D$4003,$A186,出库单!$K$4:$K$4003,"退货给供应商",出库单!$U$4:$U$4003,"正常",出库单!$C$4:$C$4003,"&gt;="&amp;账期起,出库单!$C$4:$C$4003,"&lt;="&amp;账期止))</f>
        <v/>
      </c>
      <c r="W186" s="26">
        <f>IF($A186="","",ROUND(SUMIFS(出库单!$S$4:$S$4003,出库单!$D$4:$D$4003,$A186,出库单!$K$4:$K$4003,"退货给供应商",出库单!$U$4:$U$4003,"正常",出库单!$C$4:$C$4003,"&gt;="&amp;账期起,出库单!$C$4:$C$4003,"&lt;="&amp;账期止),0))</f>
        <v/>
      </c>
      <c r="X186" s="27">
        <f>IF($A186="","",ROUND(N($G186)+$I186+$L186+$N186-$P186-$R186-$T186-$V186,3))</f>
        <v/>
      </c>
      <c r="Y186" s="26">
        <f>IF($A186="","",ROUND(N($H186)+$J186+$M186+$O186-$Q186-$S186-$U186-$W186,0))</f>
        <v/>
      </c>
      <c r="Z186" s="24">
        <f>IF($A186="","",IF(COUNTIFS(入库单!$G$4:$G$2503,$A186,入库单!$Y$4:$Y$2503,"待补价")+COUNTIFS(入库单!$G$4:$G$2503,$A186,入库单!$Y$4:$Y$2503,"暂估")&gt;0,"不可信","可信"))</f>
        <v/>
      </c>
      <c r="AA186" s="24">
        <f>IF($A186="","",IF($X186&lt;-0.001,"※账面负库存，查一下是不是漏记入库",IF(AND(ROUND($X186,3)=0,ABS($Y186)&gt;1),"※数量已经是 0，金额还挂着 "&amp;TEXT($Y186,"#,##0")&amp;" 先令",IF(AND($X186&gt;0,$Y186&lt;=0,$K186=0),"※有数量没金额（这个物料一直没填过进价）",IF($Z186="不可信","△成本含待补价/暂估，毛利仅供参考","")))))</f>
        <v/>
      </c>
    </row>
    <row r="187">
      <c r="A187" s="24">
        <f>IF(物料档案!$A186="","",物料档案!$A186)</f>
        <v/>
      </c>
      <c r="B187" s="24">
        <f>IF($A187="","",IFERROR(VLOOKUP($A187,物料档案!$A$4:$P$1203,3,0),""))</f>
        <v/>
      </c>
      <c r="C187" s="24">
        <f>IF($A187="","",IFERROR(VLOOKUP($A187,物料档案!$A$4:$P$1203,4,0),""))</f>
        <v/>
      </c>
      <c r="D187" s="24">
        <f>IF($A187="","",IFERROR(VLOOKUP($A187,物料档案!$A$4:$P$1203,5,0),""))</f>
        <v/>
      </c>
      <c r="E187" s="24">
        <f>IF($A187="","",IFERROR(VLOOKUP($A187,物料档案!$A$4:$P$1203,2,0),""))</f>
        <v/>
      </c>
      <c r="F187" s="24">
        <f>IF($A187="","",IFERROR(VLOOKUP($A187,物料档案!$A$4:$P$1203,6,0),""))</f>
        <v/>
      </c>
      <c r="G187" s="23" t="n"/>
      <c r="H187" s="32" t="n"/>
      <c r="I187" s="27">
        <f>IF($A187="","",SUMIFS(入库单!$K$4:$K$2503,入库单!$G$4:$G$2503,$A187,入库单!$X$4:$X$2503,"采购入库",入库单!$Z$4:$Z$2503,"正常",入库单!$C$4:$C$2503,"&gt;="&amp;账期起,入库单!$C$4:$C$2503,"&lt;="&amp;账期止))</f>
        <v/>
      </c>
      <c r="J187" s="26">
        <f>IF($A187="","",SUMIFS(入库单!$V$4:$V$2503,入库单!$G$4:$G$2503,$A187,入库单!$X$4:$X$2503,"采购入库",入库单!$Z$4:$Z$2503,"正常",入库单!$C$4:$C$2503,"&gt;="&amp;账期起,入库单!$C$4:$C$2503,"&lt;="&amp;账期止))</f>
        <v/>
      </c>
      <c r="K187" s="26">
        <f>IF($A187="","",IFERROR(ROUND((N($H187)+N($J187))/(N($G187)+N($I187)),2),0))</f>
        <v/>
      </c>
      <c r="L187" s="27">
        <f>IF($A187="","",SUMIFS(入库单!$K$4:$K$2503,入库单!$G$4:$G$2503,$A187,入库单!$X$4:$X$2503,"盘盈",入库单!$Z$4:$Z$2503,"正常",入库单!$C$4:$C$2503,"&gt;="&amp;账期起,入库单!$C$4:$C$2503,"&lt;="&amp;账期止))</f>
        <v/>
      </c>
      <c r="M187" s="26">
        <f>IF($A187="","",ROUND($L187*$K187,0))</f>
        <v/>
      </c>
      <c r="N187" s="27">
        <f>IF($A187="","",SUMIFS(入库单!$K$4:$K$2503,入库单!$G$4:$G$2503,$A187,入库单!$X$4:$X$2503,"矿区退库",入库单!$Z$4:$Z$2503,"正常",入库单!$C$4:$C$2503,"&gt;="&amp;账期起,入库单!$C$4:$C$2503,"&lt;="&amp;账期止))</f>
        <v/>
      </c>
      <c r="O187" s="26">
        <f>IF($A187="","",ROUND($N187*$K187,0))</f>
        <v/>
      </c>
      <c r="P187" s="27">
        <f>IF($A187="","",SUMIFS(出库单!$J$4:$J$4003,出库单!$D$4:$D$4003,$A187,出库单!$K$4:$K$4003,"自用消耗",出库单!$U$4:$U$4003,"正常",出库单!$C$4:$C$4003,"&gt;="&amp;账期起,出库单!$C$4:$C$4003,"&lt;="&amp;账期止))</f>
        <v/>
      </c>
      <c r="Q187" s="26">
        <f>IF($A187="","",ROUND(SUMIFS(出库单!$S$4:$S$4003,出库单!$D$4:$D$4003,$A187,出库单!$K$4:$K$4003,"自用消耗",出库单!$U$4:$U$4003,"正常",出库单!$C$4:$C$4003,"&gt;="&amp;账期起,出库单!$C$4:$C$4003,"&lt;="&amp;账期止),0))</f>
        <v/>
      </c>
      <c r="R187" s="27">
        <f>IF($A187="","",SUMIFS(出库单!$J$4:$J$4003,出库单!$D$4:$D$4003,$A187,出库单!$K$4:$K$4003,"对外销售",出库单!$U$4:$U$4003,"正常",出库单!$C$4:$C$4003,"&gt;="&amp;账期起,出库单!$C$4:$C$4003,"&lt;="&amp;账期止))</f>
        <v/>
      </c>
      <c r="S187" s="26">
        <f>IF($A187="","",ROUND(SUMIFS(出库单!$S$4:$S$4003,出库单!$D$4:$D$4003,$A187,出库单!$K$4:$K$4003,"对外销售",出库单!$U$4:$U$4003,"正常",出库单!$C$4:$C$4003,"&gt;="&amp;账期起,出库单!$C$4:$C$4003,"&lt;="&amp;账期止),0))</f>
        <v/>
      </c>
      <c r="T187" s="27">
        <f>IF($A187="","",SUMIFS(出库单!$J$4:$J$4003,出库单!$D$4:$D$4003,$A187,出库单!$K$4:$K$4003,"盘亏",出库单!$U$4:$U$4003,"正常",出库单!$C$4:$C$4003,"&gt;="&amp;账期起,出库单!$C$4:$C$4003,"&lt;="&amp;账期止))</f>
        <v/>
      </c>
      <c r="U187" s="26">
        <f>IF($A187="","",ROUND(SUMIFS(出库单!$S$4:$S$4003,出库单!$D$4:$D$4003,$A187,出库单!$K$4:$K$4003,"盘亏",出库单!$U$4:$U$4003,"正常",出库单!$C$4:$C$4003,"&gt;="&amp;账期起,出库单!$C$4:$C$4003,"&lt;="&amp;账期止),0))</f>
        <v/>
      </c>
      <c r="V187" s="27">
        <f>IF($A187="","",SUMIFS(出库单!$J$4:$J$4003,出库单!$D$4:$D$4003,$A187,出库单!$K$4:$K$4003,"退货给供应商",出库单!$U$4:$U$4003,"正常",出库单!$C$4:$C$4003,"&gt;="&amp;账期起,出库单!$C$4:$C$4003,"&lt;="&amp;账期止))</f>
        <v/>
      </c>
      <c r="W187" s="26">
        <f>IF($A187="","",ROUND(SUMIFS(出库单!$S$4:$S$4003,出库单!$D$4:$D$4003,$A187,出库单!$K$4:$K$4003,"退货给供应商",出库单!$U$4:$U$4003,"正常",出库单!$C$4:$C$4003,"&gt;="&amp;账期起,出库单!$C$4:$C$4003,"&lt;="&amp;账期止),0))</f>
        <v/>
      </c>
      <c r="X187" s="27">
        <f>IF($A187="","",ROUND(N($G187)+$I187+$L187+$N187-$P187-$R187-$T187-$V187,3))</f>
        <v/>
      </c>
      <c r="Y187" s="26">
        <f>IF($A187="","",ROUND(N($H187)+$J187+$M187+$O187-$Q187-$S187-$U187-$W187,0))</f>
        <v/>
      </c>
      <c r="Z187" s="24">
        <f>IF($A187="","",IF(COUNTIFS(入库单!$G$4:$G$2503,$A187,入库单!$Y$4:$Y$2503,"待补价")+COUNTIFS(入库单!$G$4:$G$2503,$A187,入库单!$Y$4:$Y$2503,"暂估")&gt;0,"不可信","可信"))</f>
        <v/>
      </c>
      <c r="AA187" s="24">
        <f>IF($A187="","",IF($X187&lt;-0.001,"※账面负库存，查一下是不是漏记入库",IF(AND(ROUND($X187,3)=0,ABS($Y187)&gt;1),"※数量已经是 0，金额还挂着 "&amp;TEXT($Y187,"#,##0")&amp;" 先令",IF(AND($X187&gt;0,$Y187&lt;=0,$K187=0),"※有数量没金额（这个物料一直没填过进价）",IF($Z187="不可信","△成本含待补价/暂估，毛利仅供参考","")))))</f>
        <v/>
      </c>
    </row>
    <row r="188">
      <c r="A188" s="24">
        <f>IF(物料档案!$A187="","",物料档案!$A187)</f>
        <v/>
      </c>
      <c r="B188" s="24">
        <f>IF($A188="","",IFERROR(VLOOKUP($A188,物料档案!$A$4:$P$1203,3,0),""))</f>
        <v/>
      </c>
      <c r="C188" s="24">
        <f>IF($A188="","",IFERROR(VLOOKUP($A188,物料档案!$A$4:$P$1203,4,0),""))</f>
        <v/>
      </c>
      <c r="D188" s="24">
        <f>IF($A188="","",IFERROR(VLOOKUP($A188,物料档案!$A$4:$P$1203,5,0),""))</f>
        <v/>
      </c>
      <c r="E188" s="24">
        <f>IF($A188="","",IFERROR(VLOOKUP($A188,物料档案!$A$4:$P$1203,2,0),""))</f>
        <v/>
      </c>
      <c r="F188" s="24">
        <f>IF($A188="","",IFERROR(VLOOKUP($A188,物料档案!$A$4:$P$1203,6,0),""))</f>
        <v/>
      </c>
      <c r="G188" s="23" t="n"/>
      <c r="H188" s="32" t="n"/>
      <c r="I188" s="27">
        <f>IF($A188="","",SUMIFS(入库单!$K$4:$K$2503,入库单!$G$4:$G$2503,$A188,入库单!$X$4:$X$2503,"采购入库",入库单!$Z$4:$Z$2503,"正常",入库单!$C$4:$C$2503,"&gt;="&amp;账期起,入库单!$C$4:$C$2503,"&lt;="&amp;账期止))</f>
        <v/>
      </c>
      <c r="J188" s="26">
        <f>IF($A188="","",SUMIFS(入库单!$V$4:$V$2503,入库单!$G$4:$G$2503,$A188,入库单!$X$4:$X$2503,"采购入库",入库单!$Z$4:$Z$2503,"正常",入库单!$C$4:$C$2503,"&gt;="&amp;账期起,入库单!$C$4:$C$2503,"&lt;="&amp;账期止))</f>
        <v/>
      </c>
      <c r="K188" s="26">
        <f>IF($A188="","",IFERROR(ROUND((N($H188)+N($J188))/(N($G188)+N($I188)),2),0))</f>
        <v/>
      </c>
      <c r="L188" s="27">
        <f>IF($A188="","",SUMIFS(入库单!$K$4:$K$2503,入库单!$G$4:$G$2503,$A188,入库单!$X$4:$X$2503,"盘盈",入库单!$Z$4:$Z$2503,"正常",入库单!$C$4:$C$2503,"&gt;="&amp;账期起,入库单!$C$4:$C$2503,"&lt;="&amp;账期止))</f>
        <v/>
      </c>
      <c r="M188" s="26">
        <f>IF($A188="","",ROUND($L188*$K188,0))</f>
        <v/>
      </c>
      <c r="N188" s="27">
        <f>IF($A188="","",SUMIFS(入库单!$K$4:$K$2503,入库单!$G$4:$G$2503,$A188,入库单!$X$4:$X$2503,"矿区退库",入库单!$Z$4:$Z$2503,"正常",入库单!$C$4:$C$2503,"&gt;="&amp;账期起,入库单!$C$4:$C$2503,"&lt;="&amp;账期止))</f>
        <v/>
      </c>
      <c r="O188" s="26">
        <f>IF($A188="","",ROUND($N188*$K188,0))</f>
        <v/>
      </c>
      <c r="P188" s="27">
        <f>IF($A188="","",SUMIFS(出库单!$J$4:$J$4003,出库单!$D$4:$D$4003,$A188,出库单!$K$4:$K$4003,"自用消耗",出库单!$U$4:$U$4003,"正常",出库单!$C$4:$C$4003,"&gt;="&amp;账期起,出库单!$C$4:$C$4003,"&lt;="&amp;账期止))</f>
        <v/>
      </c>
      <c r="Q188" s="26">
        <f>IF($A188="","",ROUND(SUMIFS(出库单!$S$4:$S$4003,出库单!$D$4:$D$4003,$A188,出库单!$K$4:$K$4003,"自用消耗",出库单!$U$4:$U$4003,"正常",出库单!$C$4:$C$4003,"&gt;="&amp;账期起,出库单!$C$4:$C$4003,"&lt;="&amp;账期止),0))</f>
        <v/>
      </c>
      <c r="R188" s="27">
        <f>IF($A188="","",SUMIFS(出库单!$J$4:$J$4003,出库单!$D$4:$D$4003,$A188,出库单!$K$4:$K$4003,"对外销售",出库单!$U$4:$U$4003,"正常",出库单!$C$4:$C$4003,"&gt;="&amp;账期起,出库单!$C$4:$C$4003,"&lt;="&amp;账期止))</f>
        <v/>
      </c>
      <c r="S188" s="26">
        <f>IF($A188="","",ROUND(SUMIFS(出库单!$S$4:$S$4003,出库单!$D$4:$D$4003,$A188,出库单!$K$4:$K$4003,"对外销售",出库单!$U$4:$U$4003,"正常",出库单!$C$4:$C$4003,"&gt;="&amp;账期起,出库单!$C$4:$C$4003,"&lt;="&amp;账期止),0))</f>
        <v/>
      </c>
      <c r="T188" s="27">
        <f>IF($A188="","",SUMIFS(出库单!$J$4:$J$4003,出库单!$D$4:$D$4003,$A188,出库单!$K$4:$K$4003,"盘亏",出库单!$U$4:$U$4003,"正常",出库单!$C$4:$C$4003,"&gt;="&amp;账期起,出库单!$C$4:$C$4003,"&lt;="&amp;账期止))</f>
        <v/>
      </c>
      <c r="U188" s="26">
        <f>IF($A188="","",ROUND(SUMIFS(出库单!$S$4:$S$4003,出库单!$D$4:$D$4003,$A188,出库单!$K$4:$K$4003,"盘亏",出库单!$U$4:$U$4003,"正常",出库单!$C$4:$C$4003,"&gt;="&amp;账期起,出库单!$C$4:$C$4003,"&lt;="&amp;账期止),0))</f>
        <v/>
      </c>
      <c r="V188" s="27">
        <f>IF($A188="","",SUMIFS(出库单!$J$4:$J$4003,出库单!$D$4:$D$4003,$A188,出库单!$K$4:$K$4003,"退货给供应商",出库单!$U$4:$U$4003,"正常",出库单!$C$4:$C$4003,"&gt;="&amp;账期起,出库单!$C$4:$C$4003,"&lt;="&amp;账期止))</f>
        <v/>
      </c>
      <c r="W188" s="26">
        <f>IF($A188="","",ROUND(SUMIFS(出库单!$S$4:$S$4003,出库单!$D$4:$D$4003,$A188,出库单!$K$4:$K$4003,"退货给供应商",出库单!$U$4:$U$4003,"正常",出库单!$C$4:$C$4003,"&gt;="&amp;账期起,出库单!$C$4:$C$4003,"&lt;="&amp;账期止),0))</f>
        <v/>
      </c>
      <c r="X188" s="27">
        <f>IF($A188="","",ROUND(N($G188)+$I188+$L188+$N188-$P188-$R188-$T188-$V188,3))</f>
        <v/>
      </c>
      <c r="Y188" s="26">
        <f>IF($A188="","",ROUND(N($H188)+$J188+$M188+$O188-$Q188-$S188-$U188-$W188,0))</f>
        <v/>
      </c>
      <c r="Z188" s="24">
        <f>IF($A188="","",IF(COUNTIFS(入库单!$G$4:$G$2503,$A188,入库单!$Y$4:$Y$2503,"待补价")+COUNTIFS(入库单!$G$4:$G$2503,$A188,入库单!$Y$4:$Y$2503,"暂估")&gt;0,"不可信","可信"))</f>
        <v/>
      </c>
      <c r="AA188" s="24">
        <f>IF($A188="","",IF($X188&lt;-0.001,"※账面负库存，查一下是不是漏记入库",IF(AND(ROUND($X188,3)=0,ABS($Y188)&gt;1),"※数量已经是 0，金额还挂着 "&amp;TEXT($Y188,"#,##0")&amp;" 先令",IF(AND($X188&gt;0,$Y188&lt;=0,$K188=0),"※有数量没金额（这个物料一直没填过进价）",IF($Z188="不可信","△成本含待补价/暂估，毛利仅供参考","")))))</f>
        <v/>
      </c>
    </row>
    <row r="189">
      <c r="A189" s="24">
        <f>IF(物料档案!$A188="","",物料档案!$A188)</f>
        <v/>
      </c>
      <c r="B189" s="24">
        <f>IF($A189="","",IFERROR(VLOOKUP($A189,物料档案!$A$4:$P$1203,3,0),""))</f>
        <v/>
      </c>
      <c r="C189" s="24">
        <f>IF($A189="","",IFERROR(VLOOKUP($A189,物料档案!$A$4:$P$1203,4,0),""))</f>
        <v/>
      </c>
      <c r="D189" s="24">
        <f>IF($A189="","",IFERROR(VLOOKUP($A189,物料档案!$A$4:$P$1203,5,0),""))</f>
        <v/>
      </c>
      <c r="E189" s="24">
        <f>IF($A189="","",IFERROR(VLOOKUP($A189,物料档案!$A$4:$P$1203,2,0),""))</f>
        <v/>
      </c>
      <c r="F189" s="24">
        <f>IF($A189="","",IFERROR(VLOOKUP($A189,物料档案!$A$4:$P$1203,6,0),""))</f>
        <v/>
      </c>
      <c r="G189" s="23" t="n"/>
      <c r="H189" s="32" t="n"/>
      <c r="I189" s="27">
        <f>IF($A189="","",SUMIFS(入库单!$K$4:$K$2503,入库单!$G$4:$G$2503,$A189,入库单!$X$4:$X$2503,"采购入库",入库单!$Z$4:$Z$2503,"正常",入库单!$C$4:$C$2503,"&gt;="&amp;账期起,入库单!$C$4:$C$2503,"&lt;="&amp;账期止))</f>
        <v/>
      </c>
      <c r="J189" s="26">
        <f>IF($A189="","",SUMIFS(入库单!$V$4:$V$2503,入库单!$G$4:$G$2503,$A189,入库单!$X$4:$X$2503,"采购入库",入库单!$Z$4:$Z$2503,"正常",入库单!$C$4:$C$2503,"&gt;="&amp;账期起,入库单!$C$4:$C$2503,"&lt;="&amp;账期止))</f>
        <v/>
      </c>
      <c r="K189" s="26">
        <f>IF($A189="","",IFERROR(ROUND((N($H189)+N($J189))/(N($G189)+N($I189)),2),0))</f>
        <v/>
      </c>
      <c r="L189" s="27">
        <f>IF($A189="","",SUMIFS(入库单!$K$4:$K$2503,入库单!$G$4:$G$2503,$A189,入库单!$X$4:$X$2503,"盘盈",入库单!$Z$4:$Z$2503,"正常",入库单!$C$4:$C$2503,"&gt;="&amp;账期起,入库单!$C$4:$C$2503,"&lt;="&amp;账期止))</f>
        <v/>
      </c>
      <c r="M189" s="26">
        <f>IF($A189="","",ROUND($L189*$K189,0))</f>
        <v/>
      </c>
      <c r="N189" s="27">
        <f>IF($A189="","",SUMIFS(入库单!$K$4:$K$2503,入库单!$G$4:$G$2503,$A189,入库单!$X$4:$X$2503,"矿区退库",入库单!$Z$4:$Z$2503,"正常",入库单!$C$4:$C$2503,"&gt;="&amp;账期起,入库单!$C$4:$C$2503,"&lt;="&amp;账期止))</f>
        <v/>
      </c>
      <c r="O189" s="26">
        <f>IF($A189="","",ROUND($N189*$K189,0))</f>
        <v/>
      </c>
      <c r="P189" s="27">
        <f>IF($A189="","",SUMIFS(出库单!$J$4:$J$4003,出库单!$D$4:$D$4003,$A189,出库单!$K$4:$K$4003,"自用消耗",出库单!$U$4:$U$4003,"正常",出库单!$C$4:$C$4003,"&gt;="&amp;账期起,出库单!$C$4:$C$4003,"&lt;="&amp;账期止))</f>
        <v/>
      </c>
      <c r="Q189" s="26">
        <f>IF($A189="","",ROUND(SUMIFS(出库单!$S$4:$S$4003,出库单!$D$4:$D$4003,$A189,出库单!$K$4:$K$4003,"自用消耗",出库单!$U$4:$U$4003,"正常",出库单!$C$4:$C$4003,"&gt;="&amp;账期起,出库单!$C$4:$C$4003,"&lt;="&amp;账期止),0))</f>
        <v/>
      </c>
      <c r="R189" s="27">
        <f>IF($A189="","",SUMIFS(出库单!$J$4:$J$4003,出库单!$D$4:$D$4003,$A189,出库单!$K$4:$K$4003,"对外销售",出库单!$U$4:$U$4003,"正常",出库单!$C$4:$C$4003,"&gt;="&amp;账期起,出库单!$C$4:$C$4003,"&lt;="&amp;账期止))</f>
        <v/>
      </c>
      <c r="S189" s="26">
        <f>IF($A189="","",ROUND(SUMIFS(出库单!$S$4:$S$4003,出库单!$D$4:$D$4003,$A189,出库单!$K$4:$K$4003,"对外销售",出库单!$U$4:$U$4003,"正常",出库单!$C$4:$C$4003,"&gt;="&amp;账期起,出库单!$C$4:$C$4003,"&lt;="&amp;账期止),0))</f>
        <v/>
      </c>
      <c r="T189" s="27">
        <f>IF($A189="","",SUMIFS(出库单!$J$4:$J$4003,出库单!$D$4:$D$4003,$A189,出库单!$K$4:$K$4003,"盘亏",出库单!$U$4:$U$4003,"正常",出库单!$C$4:$C$4003,"&gt;="&amp;账期起,出库单!$C$4:$C$4003,"&lt;="&amp;账期止))</f>
        <v/>
      </c>
      <c r="U189" s="26">
        <f>IF($A189="","",ROUND(SUMIFS(出库单!$S$4:$S$4003,出库单!$D$4:$D$4003,$A189,出库单!$K$4:$K$4003,"盘亏",出库单!$U$4:$U$4003,"正常",出库单!$C$4:$C$4003,"&gt;="&amp;账期起,出库单!$C$4:$C$4003,"&lt;="&amp;账期止),0))</f>
        <v/>
      </c>
      <c r="V189" s="27">
        <f>IF($A189="","",SUMIFS(出库单!$J$4:$J$4003,出库单!$D$4:$D$4003,$A189,出库单!$K$4:$K$4003,"退货给供应商",出库单!$U$4:$U$4003,"正常",出库单!$C$4:$C$4003,"&gt;="&amp;账期起,出库单!$C$4:$C$4003,"&lt;="&amp;账期止))</f>
        <v/>
      </c>
      <c r="W189" s="26">
        <f>IF($A189="","",ROUND(SUMIFS(出库单!$S$4:$S$4003,出库单!$D$4:$D$4003,$A189,出库单!$K$4:$K$4003,"退货给供应商",出库单!$U$4:$U$4003,"正常",出库单!$C$4:$C$4003,"&gt;="&amp;账期起,出库单!$C$4:$C$4003,"&lt;="&amp;账期止),0))</f>
        <v/>
      </c>
      <c r="X189" s="27">
        <f>IF($A189="","",ROUND(N($G189)+$I189+$L189+$N189-$P189-$R189-$T189-$V189,3))</f>
        <v/>
      </c>
      <c r="Y189" s="26">
        <f>IF($A189="","",ROUND(N($H189)+$J189+$M189+$O189-$Q189-$S189-$U189-$W189,0))</f>
        <v/>
      </c>
      <c r="Z189" s="24">
        <f>IF($A189="","",IF(COUNTIFS(入库单!$G$4:$G$2503,$A189,入库单!$Y$4:$Y$2503,"待补价")+COUNTIFS(入库单!$G$4:$G$2503,$A189,入库单!$Y$4:$Y$2503,"暂估")&gt;0,"不可信","可信"))</f>
        <v/>
      </c>
      <c r="AA189" s="24">
        <f>IF($A189="","",IF($X189&lt;-0.001,"※账面负库存，查一下是不是漏记入库",IF(AND(ROUND($X189,3)=0,ABS($Y189)&gt;1),"※数量已经是 0，金额还挂着 "&amp;TEXT($Y189,"#,##0")&amp;" 先令",IF(AND($X189&gt;0,$Y189&lt;=0,$K189=0),"※有数量没金额（这个物料一直没填过进价）",IF($Z189="不可信","△成本含待补价/暂估，毛利仅供参考","")))))</f>
        <v/>
      </c>
    </row>
    <row r="190">
      <c r="A190" s="24">
        <f>IF(物料档案!$A189="","",物料档案!$A189)</f>
        <v/>
      </c>
      <c r="B190" s="24">
        <f>IF($A190="","",IFERROR(VLOOKUP($A190,物料档案!$A$4:$P$1203,3,0),""))</f>
        <v/>
      </c>
      <c r="C190" s="24">
        <f>IF($A190="","",IFERROR(VLOOKUP($A190,物料档案!$A$4:$P$1203,4,0),""))</f>
        <v/>
      </c>
      <c r="D190" s="24">
        <f>IF($A190="","",IFERROR(VLOOKUP($A190,物料档案!$A$4:$P$1203,5,0),""))</f>
        <v/>
      </c>
      <c r="E190" s="24">
        <f>IF($A190="","",IFERROR(VLOOKUP($A190,物料档案!$A$4:$P$1203,2,0),""))</f>
        <v/>
      </c>
      <c r="F190" s="24">
        <f>IF($A190="","",IFERROR(VLOOKUP($A190,物料档案!$A$4:$P$1203,6,0),""))</f>
        <v/>
      </c>
      <c r="G190" s="23" t="n"/>
      <c r="H190" s="32" t="n"/>
      <c r="I190" s="27">
        <f>IF($A190="","",SUMIFS(入库单!$K$4:$K$2503,入库单!$G$4:$G$2503,$A190,入库单!$X$4:$X$2503,"采购入库",入库单!$Z$4:$Z$2503,"正常",入库单!$C$4:$C$2503,"&gt;="&amp;账期起,入库单!$C$4:$C$2503,"&lt;="&amp;账期止))</f>
        <v/>
      </c>
      <c r="J190" s="26">
        <f>IF($A190="","",SUMIFS(入库单!$V$4:$V$2503,入库单!$G$4:$G$2503,$A190,入库单!$X$4:$X$2503,"采购入库",入库单!$Z$4:$Z$2503,"正常",入库单!$C$4:$C$2503,"&gt;="&amp;账期起,入库单!$C$4:$C$2503,"&lt;="&amp;账期止))</f>
        <v/>
      </c>
      <c r="K190" s="26">
        <f>IF($A190="","",IFERROR(ROUND((N($H190)+N($J190))/(N($G190)+N($I190)),2),0))</f>
        <v/>
      </c>
      <c r="L190" s="27">
        <f>IF($A190="","",SUMIFS(入库单!$K$4:$K$2503,入库单!$G$4:$G$2503,$A190,入库单!$X$4:$X$2503,"盘盈",入库单!$Z$4:$Z$2503,"正常",入库单!$C$4:$C$2503,"&gt;="&amp;账期起,入库单!$C$4:$C$2503,"&lt;="&amp;账期止))</f>
        <v/>
      </c>
      <c r="M190" s="26">
        <f>IF($A190="","",ROUND($L190*$K190,0))</f>
        <v/>
      </c>
      <c r="N190" s="27">
        <f>IF($A190="","",SUMIFS(入库单!$K$4:$K$2503,入库单!$G$4:$G$2503,$A190,入库单!$X$4:$X$2503,"矿区退库",入库单!$Z$4:$Z$2503,"正常",入库单!$C$4:$C$2503,"&gt;="&amp;账期起,入库单!$C$4:$C$2503,"&lt;="&amp;账期止))</f>
        <v/>
      </c>
      <c r="O190" s="26">
        <f>IF($A190="","",ROUND($N190*$K190,0))</f>
        <v/>
      </c>
      <c r="P190" s="27">
        <f>IF($A190="","",SUMIFS(出库单!$J$4:$J$4003,出库单!$D$4:$D$4003,$A190,出库单!$K$4:$K$4003,"自用消耗",出库单!$U$4:$U$4003,"正常",出库单!$C$4:$C$4003,"&gt;="&amp;账期起,出库单!$C$4:$C$4003,"&lt;="&amp;账期止))</f>
        <v/>
      </c>
      <c r="Q190" s="26">
        <f>IF($A190="","",ROUND(SUMIFS(出库单!$S$4:$S$4003,出库单!$D$4:$D$4003,$A190,出库单!$K$4:$K$4003,"自用消耗",出库单!$U$4:$U$4003,"正常",出库单!$C$4:$C$4003,"&gt;="&amp;账期起,出库单!$C$4:$C$4003,"&lt;="&amp;账期止),0))</f>
        <v/>
      </c>
      <c r="R190" s="27">
        <f>IF($A190="","",SUMIFS(出库单!$J$4:$J$4003,出库单!$D$4:$D$4003,$A190,出库单!$K$4:$K$4003,"对外销售",出库单!$U$4:$U$4003,"正常",出库单!$C$4:$C$4003,"&gt;="&amp;账期起,出库单!$C$4:$C$4003,"&lt;="&amp;账期止))</f>
        <v/>
      </c>
      <c r="S190" s="26">
        <f>IF($A190="","",ROUND(SUMIFS(出库单!$S$4:$S$4003,出库单!$D$4:$D$4003,$A190,出库单!$K$4:$K$4003,"对外销售",出库单!$U$4:$U$4003,"正常",出库单!$C$4:$C$4003,"&gt;="&amp;账期起,出库单!$C$4:$C$4003,"&lt;="&amp;账期止),0))</f>
        <v/>
      </c>
      <c r="T190" s="27">
        <f>IF($A190="","",SUMIFS(出库单!$J$4:$J$4003,出库单!$D$4:$D$4003,$A190,出库单!$K$4:$K$4003,"盘亏",出库单!$U$4:$U$4003,"正常",出库单!$C$4:$C$4003,"&gt;="&amp;账期起,出库单!$C$4:$C$4003,"&lt;="&amp;账期止))</f>
        <v/>
      </c>
      <c r="U190" s="26">
        <f>IF($A190="","",ROUND(SUMIFS(出库单!$S$4:$S$4003,出库单!$D$4:$D$4003,$A190,出库单!$K$4:$K$4003,"盘亏",出库单!$U$4:$U$4003,"正常",出库单!$C$4:$C$4003,"&gt;="&amp;账期起,出库单!$C$4:$C$4003,"&lt;="&amp;账期止),0))</f>
        <v/>
      </c>
      <c r="V190" s="27">
        <f>IF($A190="","",SUMIFS(出库单!$J$4:$J$4003,出库单!$D$4:$D$4003,$A190,出库单!$K$4:$K$4003,"退货给供应商",出库单!$U$4:$U$4003,"正常",出库单!$C$4:$C$4003,"&gt;="&amp;账期起,出库单!$C$4:$C$4003,"&lt;="&amp;账期止))</f>
        <v/>
      </c>
      <c r="W190" s="26">
        <f>IF($A190="","",ROUND(SUMIFS(出库单!$S$4:$S$4003,出库单!$D$4:$D$4003,$A190,出库单!$K$4:$K$4003,"退货给供应商",出库单!$U$4:$U$4003,"正常",出库单!$C$4:$C$4003,"&gt;="&amp;账期起,出库单!$C$4:$C$4003,"&lt;="&amp;账期止),0))</f>
        <v/>
      </c>
      <c r="X190" s="27">
        <f>IF($A190="","",ROUND(N($G190)+$I190+$L190+$N190-$P190-$R190-$T190-$V190,3))</f>
        <v/>
      </c>
      <c r="Y190" s="26">
        <f>IF($A190="","",ROUND(N($H190)+$J190+$M190+$O190-$Q190-$S190-$U190-$W190,0))</f>
        <v/>
      </c>
      <c r="Z190" s="24">
        <f>IF($A190="","",IF(COUNTIFS(入库单!$G$4:$G$2503,$A190,入库单!$Y$4:$Y$2503,"待补价")+COUNTIFS(入库单!$G$4:$G$2503,$A190,入库单!$Y$4:$Y$2503,"暂估")&gt;0,"不可信","可信"))</f>
        <v/>
      </c>
      <c r="AA190" s="24">
        <f>IF($A190="","",IF($X190&lt;-0.001,"※账面负库存，查一下是不是漏记入库",IF(AND(ROUND($X190,3)=0,ABS($Y190)&gt;1),"※数量已经是 0，金额还挂着 "&amp;TEXT($Y190,"#,##0")&amp;" 先令",IF(AND($X190&gt;0,$Y190&lt;=0,$K190=0),"※有数量没金额（这个物料一直没填过进价）",IF($Z190="不可信","△成本含待补价/暂估，毛利仅供参考","")))))</f>
        <v/>
      </c>
    </row>
    <row r="191">
      <c r="A191" s="24">
        <f>IF(物料档案!$A190="","",物料档案!$A190)</f>
        <v/>
      </c>
      <c r="B191" s="24">
        <f>IF($A191="","",IFERROR(VLOOKUP($A191,物料档案!$A$4:$P$1203,3,0),""))</f>
        <v/>
      </c>
      <c r="C191" s="24">
        <f>IF($A191="","",IFERROR(VLOOKUP($A191,物料档案!$A$4:$P$1203,4,0),""))</f>
        <v/>
      </c>
      <c r="D191" s="24">
        <f>IF($A191="","",IFERROR(VLOOKUP($A191,物料档案!$A$4:$P$1203,5,0),""))</f>
        <v/>
      </c>
      <c r="E191" s="24">
        <f>IF($A191="","",IFERROR(VLOOKUP($A191,物料档案!$A$4:$P$1203,2,0),""))</f>
        <v/>
      </c>
      <c r="F191" s="24">
        <f>IF($A191="","",IFERROR(VLOOKUP($A191,物料档案!$A$4:$P$1203,6,0),""))</f>
        <v/>
      </c>
      <c r="G191" s="23" t="n"/>
      <c r="H191" s="32" t="n"/>
      <c r="I191" s="27">
        <f>IF($A191="","",SUMIFS(入库单!$K$4:$K$2503,入库单!$G$4:$G$2503,$A191,入库单!$X$4:$X$2503,"采购入库",入库单!$Z$4:$Z$2503,"正常",入库单!$C$4:$C$2503,"&gt;="&amp;账期起,入库单!$C$4:$C$2503,"&lt;="&amp;账期止))</f>
        <v/>
      </c>
      <c r="J191" s="26">
        <f>IF($A191="","",SUMIFS(入库单!$V$4:$V$2503,入库单!$G$4:$G$2503,$A191,入库单!$X$4:$X$2503,"采购入库",入库单!$Z$4:$Z$2503,"正常",入库单!$C$4:$C$2503,"&gt;="&amp;账期起,入库单!$C$4:$C$2503,"&lt;="&amp;账期止))</f>
        <v/>
      </c>
      <c r="K191" s="26">
        <f>IF($A191="","",IFERROR(ROUND((N($H191)+N($J191))/(N($G191)+N($I191)),2),0))</f>
        <v/>
      </c>
      <c r="L191" s="27">
        <f>IF($A191="","",SUMIFS(入库单!$K$4:$K$2503,入库单!$G$4:$G$2503,$A191,入库单!$X$4:$X$2503,"盘盈",入库单!$Z$4:$Z$2503,"正常",入库单!$C$4:$C$2503,"&gt;="&amp;账期起,入库单!$C$4:$C$2503,"&lt;="&amp;账期止))</f>
        <v/>
      </c>
      <c r="M191" s="26">
        <f>IF($A191="","",ROUND($L191*$K191,0))</f>
        <v/>
      </c>
      <c r="N191" s="27">
        <f>IF($A191="","",SUMIFS(入库单!$K$4:$K$2503,入库单!$G$4:$G$2503,$A191,入库单!$X$4:$X$2503,"矿区退库",入库单!$Z$4:$Z$2503,"正常",入库单!$C$4:$C$2503,"&gt;="&amp;账期起,入库单!$C$4:$C$2503,"&lt;="&amp;账期止))</f>
        <v/>
      </c>
      <c r="O191" s="26">
        <f>IF($A191="","",ROUND($N191*$K191,0))</f>
        <v/>
      </c>
      <c r="P191" s="27">
        <f>IF($A191="","",SUMIFS(出库单!$J$4:$J$4003,出库单!$D$4:$D$4003,$A191,出库单!$K$4:$K$4003,"自用消耗",出库单!$U$4:$U$4003,"正常",出库单!$C$4:$C$4003,"&gt;="&amp;账期起,出库单!$C$4:$C$4003,"&lt;="&amp;账期止))</f>
        <v/>
      </c>
      <c r="Q191" s="26">
        <f>IF($A191="","",ROUND(SUMIFS(出库单!$S$4:$S$4003,出库单!$D$4:$D$4003,$A191,出库单!$K$4:$K$4003,"自用消耗",出库单!$U$4:$U$4003,"正常",出库单!$C$4:$C$4003,"&gt;="&amp;账期起,出库单!$C$4:$C$4003,"&lt;="&amp;账期止),0))</f>
        <v/>
      </c>
      <c r="R191" s="27">
        <f>IF($A191="","",SUMIFS(出库单!$J$4:$J$4003,出库单!$D$4:$D$4003,$A191,出库单!$K$4:$K$4003,"对外销售",出库单!$U$4:$U$4003,"正常",出库单!$C$4:$C$4003,"&gt;="&amp;账期起,出库单!$C$4:$C$4003,"&lt;="&amp;账期止))</f>
        <v/>
      </c>
      <c r="S191" s="26">
        <f>IF($A191="","",ROUND(SUMIFS(出库单!$S$4:$S$4003,出库单!$D$4:$D$4003,$A191,出库单!$K$4:$K$4003,"对外销售",出库单!$U$4:$U$4003,"正常",出库单!$C$4:$C$4003,"&gt;="&amp;账期起,出库单!$C$4:$C$4003,"&lt;="&amp;账期止),0))</f>
        <v/>
      </c>
      <c r="T191" s="27">
        <f>IF($A191="","",SUMIFS(出库单!$J$4:$J$4003,出库单!$D$4:$D$4003,$A191,出库单!$K$4:$K$4003,"盘亏",出库单!$U$4:$U$4003,"正常",出库单!$C$4:$C$4003,"&gt;="&amp;账期起,出库单!$C$4:$C$4003,"&lt;="&amp;账期止))</f>
        <v/>
      </c>
      <c r="U191" s="26">
        <f>IF($A191="","",ROUND(SUMIFS(出库单!$S$4:$S$4003,出库单!$D$4:$D$4003,$A191,出库单!$K$4:$K$4003,"盘亏",出库单!$U$4:$U$4003,"正常",出库单!$C$4:$C$4003,"&gt;="&amp;账期起,出库单!$C$4:$C$4003,"&lt;="&amp;账期止),0))</f>
        <v/>
      </c>
      <c r="V191" s="27">
        <f>IF($A191="","",SUMIFS(出库单!$J$4:$J$4003,出库单!$D$4:$D$4003,$A191,出库单!$K$4:$K$4003,"退货给供应商",出库单!$U$4:$U$4003,"正常",出库单!$C$4:$C$4003,"&gt;="&amp;账期起,出库单!$C$4:$C$4003,"&lt;="&amp;账期止))</f>
        <v/>
      </c>
      <c r="W191" s="26">
        <f>IF($A191="","",ROUND(SUMIFS(出库单!$S$4:$S$4003,出库单!$D$4:$D$4003,$A191,出库单!$K$4:$K$4003,"退货给供应商",出库单!$U$4:$U$4003,"正常",出库单!$C$4:$C$4003,"&gt;="&amp;账期起,出库单!$C$4:$C$4003,"&lt;="&amp;账期止),0))</f>
        <v/>
      </c>
      <c r="X191" s="27">
        <f>IF($A191="","",ROUND(N($G191)+$I191+$L191+$N191-$P191-$R191-$T191-$V191,3))</f>
        <v/>
      </c>
      <c r="Y191" s="26">
        <f>IF($A191="","",ROUND(N($H191)+$J191+$M191+$O191-$Q191-$S191-$U191-$W191,0))</f>
        <v/>
      </c>
      <c r="Z191" s="24">
        <f>IF($A191="","",IF(COUNTIFS(入库单!$G$4:$G$2503,$A191,入库单!$Y$4:$Y$2503,"待补价")+COUNTIFS(入库单!$G$4:$G$2503,$A191,入库单!$Y$4:$Y$2503,"暂估")&gt;0,"不可信","可信"))</f>
        <v/>
      </c>
      <c r="AA191" s="24">
        <f>IF($A191="","",IF($X191&lt;-0.001,"※账面负库存，查一下是不是漏记入库",IF(AND(ROUND($X191,3)=0,ABS($Y191)&gt;1),"※数量已经是 0，金额还挂着 "&amp;TEXT($Y191,"#,##0")&amp;" 先令",IF(AND($X191&gt;0,$Y191&lt;=0,$K191=0),"※有数量没金额（这个物料一直没填过进价）",IF($Z191="不可信","△成本含待补价/暂估，毛利仅供参考","")))))</f>
        <v/>
      </c>
    </row>
    <row r="192">
      <c r="A192" s="24">
        <f>IF(物料档案!$A191="","",物料档案!$A191)</f>
        <v/>
      </c>
      <c r="B192" s="24">
        <f>IF($A192="","",IFERROR(VLOOKUP($A192,物料档案!$A$4:$P$1203,3,0),""))</f>
        <v/>
      </c>
      <c r="C192" s="24">
        <f>IF($A192="","",IFERROR(VLOOKUP($A192,物料档案!$A$4:$P$1203,4,0),""))</f>
        <v/>
      </c>
      <c r="D192" s="24">
        <f>IF($A192="","",IFERROR(VLOOKUP($A192,物料档案!$A$4:$P$1203,5,0),""))</f>
        <v/>
      </c>
      <c r="E192" s="24">
        <f>IF($A192="","",IFERROR(VLOOKUP($A192,物料档案!$A$4:$P$1203,2,0),""))</f>
        <v/>
      </c>
      <c r="F192" s="24">
        <f>IF($A192="","",IFERROR(VLOOKUP($A192,物料档案!$A$4:$P$1203,6,0),""))</f>
        <v/>
      </c>
      <c r="G192" s="23" t="n"/>
      <c r="H192" s="32" t="n"/>
      <c r="I192" s="27">
        <f>IF($A192="","",SUMIFS(入库单!$K$4:$K$2503,入库单!$G$4:$G$2503,$A192,入库单!$X$4:$X$2503,"采购入库",入库单!$Z$4:$Z$2503,"正常",入库单!$C$4:$C$2503,"&gt;="&amp;账期起,入库单!$C$4:$C$2503,"&lt;="&amp;账期止))</f>
        <v/>
      </c>
      <c r="J192" s="26">
        <f>IF($A192="","",SUMIFS(入库单!$V$4:$V$2503,入库单!$G$4:$G$2503,$A192,入库单!$X$4:$X$2503,"采购入库",入库单!$Z$4:$Z$2503,"正常",入库单!$C$4:$C$2503,"&gt;="&amp;账期起,入库单!$C$4:$C$2503,"&lt;="&amp;账期止))</f>
        <v/>
      </c>
      <c r="K192" s="26">
        <f>IF($A192="","",IFERROR(ROUND((N($H192)+N($J192))/(N($G192)+N($I192)),2),0))</f>
        <v/>
      </c>
      <c r="L192" s="27">
        <f>IF($A192="","",SUMIFS(入库单!$K$4:$K$2503,入库单!$G$4:$G$2503,$A192,入库单!$X$4:$X$2503,"盘盈",入库单!$Z$4:$Z$2503,"正常",入库单!$C$4:$C$2503,"&gt;="&amp;账期起,入库单!$C$4:$C$2503,"&lt;="&amp;账期止))</f>
        <v/>
      </c>
      <c r="M192" s="26">
        <f>IF($A192="","",ROUND($L192*$K192,0))</f>
        <v/>
      </c>
      <c r="N192" s="27">
        <f>IF($A192="","",SUMIFS(入库单!$K$4:$K$2503,入库单!$G$4:$G$2503,$A192,入库单!$X$4:$X$2503,"矿区退库",入库单!$Z$4:$Z$2503,"正常",入库单!$C$4:$C$2503,"&gt;="&amp;账期起,入库单!$C$4:$C$2503,"&lt;="&amp;账期止))</f>
        <v/>
      </c>
      <c r="O192" s="26">
        <f>IF($A192="","",ROUND($N192*$K192,0))</f>
        <v/>
      </c>
      <c r="P192" s="27">
        <f>IF($A192="","",SUMIFS(出库单!$J$4:$J$4003,出库单!$D$4:$D$4003,$A192,出库单!$K$4:$K$4003,"自用消耗",出库单!$U$4:$U$4003,"正常",出库单!$C$4:$C$4003,"&gt;="&amp;账期起,出库单!$C$4:$C$4003,"&lt;="&amp;账期止))</f>
        <v/>
      </c>
      <c r="Q192" s="26">
        <f>IF($A192="","",ROUND(SUMIFS(出库单!$S$4:$S$4003,出库单!$D$4:$D$4003,$A192,出库单!$K$4:$K$4003,"自用消耗",出库单!$U$4:$U$4003,"正常",出库单!$C$4:$C$4003,"&gt;="&amp;账期起,出库单!$C$4:$C$4003,"&lt;="&amp;账期止),0))</f>
        <v/>
      </c>
      <c r="R192" s="27">
        <f>IF($A192="","",SUMIFS(出库单!$J$4:$J$4003,出库单!$D$4:$D$4003,$A192,出库单!$K$4:$K$4003,"对外销售",出库单!$U$4:$U$4003,"正常",出库单!$C$4:$C$4003,"&gt;="&amp;账期起,出库单!$C$4:$C$4003,"&lt;="&amp;账期止))</f>
        <v/>
      </c>
      <c r="S192" s="26">
        <f>IF($A192="","",ROUND(SUMIFS(出库单!$S$4:$S$4003,出库单!$D$4:$D$4003,$A192,出库单!$K$4:$K$4003,"对外销售",出库单!$U$4:$U$4003,"正常",出库单!$C$4:$C$4003,"&gt;="&amp;账期起,出库单!$C$4:$C$4003,"&lt;="&amp;账期止),0))</f>
        <v/>
      </c>
      <c r="T192" s="27">
        <f>IF($A192="","",SUMIFS(出库单!$J$4:$J$4003,出库单!$D$4:$D$4003,$A192,出库单!$K$4:$K$4003,"盘亏",出库单!$U$4:$U$4003,"正常",出库单!$C$4:$C$4003,"&gt;="&amp;账期起,出库单!$C$4:$C$4003,"&lt;="&amp;账期止))</f>
        <v/>
      </c>
      <c r="U192" s="26">
        <f>IF($A192="","",ROUND(SUMIFS(出库单!$S$4:$S$4003,出库单!$D$4:$D$4003,$A192,出库单!$K$4:$K$4003,"盘亏",出库单!$U$4:$U$4003,"正常",出库单!$C$4:$C$4003,"&gt;="&amp;账期起,出库单!$C$4:$C$4003,"&lt;="&amp;账期止),0))</f>
        <v/>
      </c>
      <c r="V192" s="27">
        <f>IF($A192="","",SUMIFS(出库单!$J$4:$J$4003,出库单!$D$4:$D$4003,$A192,出库单!$K$4:$K$4003,"退货给供应商",出库单!$U$4:$U$4003,"正常",出库单!$C$4:$C$4003,"&gt;="&amp;账期起,出库单!$C$4:$C$4003,"&lt;="&amp;账期止))</f>
        <v/>
      </c>
      <c r="W192" s="26">
        <f>IF($A192="","",ROUND(SUMIFS(出库单!$S$4:$S$4003,出库单!$D$4:$D$4003,$A192,出库单!$K$4:$K$4003,"退货给供应商",出库单!$U$4:$U$4003,"正常",出库单!$C$4:$C$4003,"&gt;="&amp;账期起,出库单!$C$4:$C$4003,"&lt;="&amp;账期止),0))</f>
        <v/>
      </c>
      <c r="X192" s="27">
        <f>IF($A192="","",ROUND(N($G192)+$I192+$L192+$N192-$P192-$R192-$T192-$V192,3))</f>
        <v/>
      </c>
      <c r="Y192" s="26">
        <f>IF($A192="","",ROUND(N($H192)+$J192+$M192+$O192-$Q192-$S192-$U192-$W192,0))</f>
        <v/>
      </c>
      <c r="Z192" s="24">
        <f>IF($A192="","",IF(COUNTIFS(入库单!$G$4:$G$2503,$A192,入库单!$Y$4:$Y$2503,"待补价")+COUNTIFS(入库单!$G$4:$G$2503,$A192,入库单!$Y$4:$Y$2503,"暂估")&gt;0,"不可信","可信"))</f>
        <v/>
      </c>
      <c r="AA192" s="24">
        <f>IF($A192="","",IF($X192&lt;-0.001,"※账面负库存，查一下是不是漏记入库",IF(AND(ROUND($X192,3)=0,ABS($Y192)&gt;1),"※数量已经是 0，金额还挂着 "&amp;TEXT($Y192,"#,##0")&amp;" 先令",IF(AND($X192&gt;0,$Y192&lt;=0,$K192=0),"※有数量没金额（这个物料一直没填过进价）",IF($Z192="不可信","△成本含待补价/暂估，毛利仅供参考","")))))</f>
        <v/>
      </c>
    </row>
    <row r="193">
      <c r="A193" s="24">
        <f>IF(物料档案!$A192="","",物料档案!$A192)</f>
        <v/>
      </c>
      <c r="B193" s="24">
        <f>IF($A193="","",IFERROR(VLOOKUP($A193,物料档案!$A$4:$P$1203,3,0),""))</f>
        <v/>
      </c>
      <c r="C193" s="24">
        <f>IF($A193="","",IFERROR(VLOOKUP($A193,物料档案!$A$4:$P$1203,4,0),""))</f>
        <v/>
      </c>
      <c r="D193" s="24">
        <f>IF($A193="","",IFERROR(VLOOKUP($A193,物料档案!$A$4:$P$1203,5,0),""))</f>
        <v/>
      </c>
      <c r="E193" s="24">
        <f>IF($A193="","",IFERROR(VLOOKUP($A193,物料档案!$A$4:$P$1203,2,0),""))</f>
        <v/>
      </c>
      <c r="F193" s="24">
        <f>IF($A193="","",IFERROR(VLOOKUP($A193,物料档案!$A$4:$P$1203,6,0),""))</f>
        <v/>
      </c>
      <c r="G193" s="23" t="n"/>
      <c r="H193" s="32" t="n"/>
      <c r="I193" s="27">
        <f>IF($A193="","",SUMIFS(入库单!$K$4:$K$2503,入库单!$G$4:$G$2503,$A193,入库单!$X$4:$X$2503,"采购入库",入库单!$Z$4:$Z$2503,"正常",入库单!$C$4:$C$2503,"&gt;="&amp;账期起,入库单!$C$4:$C$2503,"&lt;="&amp;账期止))</f>
        <v/>
      </c>
      <c r="J193" s="26">
        <f>IF($A193="","",SUMIFS(入库单!$V$4:$V$2503,入库单!$G$4:$G$2503,$A193,入库单!$X$4:$X$2503,"采购入库",入库单!$Z$4:$Z$2503,"正常",入库单!$C$4:$C$2503,"&gt;="&amp;账期起,入库单!$C$4:$C$2503,"&lt;="&amp;账期止))</f>
        <v/>
      </c>
      <c r="K193" s="26">
        <f>IF($A193="","",IFERROR(ROUND((N($H193)+N($J193))/(N($G193)+N($I193)),2),0))</f>
        <v/>
      </c>
      <c r="L193" s="27">
        <f>IF($A193="","",SUMIFS(入库单!$K$4:$K$2503,入库单!$G$4:$G$2503,$A193,入库单!$X$4:$X$2503,"盘盈",入库单!$Z$4:$Z$2503,"正常",入库单!$C$4:$C$2503,"&gt;="&amp;账期起,入库单!$C$4:$C$2503,"&lt;="&amp;账期止))</f>
        <v/>
      </c>
      <c r="M193" s="26">
        <f>IF($A193="","",ROUND($L193*$K193,0))</f>
        <v/>
      </c>
      <c r="N193" s="27">
        <f>IF($A193="","",SUMIFS(入库单!$K$4:$K$2503,入库单!$G$4:$G$2503,$A193,入库单!$X$4:$X$2503,"矿区退库",入库单!$Z$4:$Z$2503,"正常",入库单!$C$4:$C$2503,"&gt;="&amp;账期起,入库单!$C$4:$C$2503,"&lt;="&amp;账期止))</f>
        <v/>
      </c>
      <c r="O193" s="26">
        <f>IF($A193="","",ROUND($N193*$K193,0))</f>
        <v/>
      </c>
      <c r="P193" s="27">
        <f>IF($A193="","",SUMIFS(出库单!$J$4:$J$4003,出库单!$D$4:$D$4003,$A193,出库单!$K$4:$K$4003,"自用消耗",出库单!$U$4:$U$4003,"正常",出库单!$C$4:$C$4003,"&gt;="&amp;账期起,出库单!$C$4:$C$4003,"&lt;="&amp;账期止))</f>
        <v/>
      </c>
      <c r="Q193" s="26">
        <f>IF($A193="","",ROUND(SUMIFS(出库单!$S$4:$S$4003,出库单!$D$4:$D$4003,$A193,出库单!$K$4:$K$4003,"自用消耗",出库单!$U$4:$U$4003,"正常",出库单!$C$4:$C$4003,"&gt;="&amp;账期起,出库单!$C$4:$C$4003,"&lt;="&amp;账期止),0))</f>
        <v/>
      </c>
      <c r="R193" s="27">
        <f>IF($A193="","",SUMIFS(出库单!$J$4:$J$4003,出库单!$D$4:$D$4003,$A193,出库单!$K$4:$K$4003,"对外销售",出库单!$U$4:$U$4003,"正常",出库单!$C$4:$C$4003,"&gt;="&amp;账期起,出库单!$C$4:$C$4003,"&lt;="&amp;账期止))</f>
        <v/>
      </c>
      <c r="S193" s="26">
        <f>IF($A193="","",ROUND(SUMIFS(出库单!$S$4:$S$4003,出库单!$D$4:$D$4003,$A193,出库单!$K$4:$K$4003,"对外销售",出库单!$U$4:$U$4003,"正常",出库单!$C$4:$C$4003,"&gt;="&amp;账期起,出库单!$C$4:$C$4003,"&lt;="&amp;账期止),0))</f>
        <v/>
      </c>
      <c r="T193" s="27">
        <f>IF($A193="","",SUMIFS(出库单!$J$4:$J$4003,出库单!$D$4:$D$4003,$A193,出库单!$K$4:$K$4003,"盘亏",出库单!$U$4:$U$4003,"正常",出库单!$C$4:$C$4003,"&gt;="&amp;账期起,出库单!$C$4:$C$4003,"&lt;="&amp;账期止))</f>
        <v/>
      </c>
      <c r="U193" s="26">
        <f>IF($A193="","",ROUND(SUMIFS(出库单!$S$4:$S$4003,出库单!$D$4:$D$4003,$A193,出库单!$K$4:$K$4003,"盘亏",出库单!$U$4:$U$4003,"正常",出库单!$C$4:$C$4003,"&gt;="&amp;账期起,出库单!$C$4:$C$4003,"&lt;="&amp;账期止),0))</f>
        <v/>
      </c>
      <c r="V193" s="27">
        <f>IF($A193="","",SUMIFS(出库单!$J$4:$J$4003,出库单!$D$4:$D$4003,$A193,出库单!$K$4:$K$4003,"退货给供应商",出库单!$U$4:$U$4003,"正常",出库单!$C$4:$C$4003,"&gt;="&amp;账期起,出库单!$C$4:$C$4003,"&lt;="&amp;账期止))</f>
        <v/>
      </c>
      <c r="W193" s="26">
        <f>IF($A193="","",ROUND(SUMIFS(出库单!$S$4:$S$4003,出库单!$D$4:$D$4003,$A193,出库单!$K$4:$K$4003,"退货给供应商",出库单!$U$4:$U$4003,"正常",出库单!$C$4:$C$4003,"&gt;="&amp;账期起,出库单!$C$4:$C$4003,"&lt;="&amp;账期止),0))</f>
        <v/>
      </c>
      <c r="X193" s="27">
        <f>IF($A193="","",ROUND(N($G193)+$I193+$L193+$N193-$P193-$R193-$T193-$V193,3))</f>
        <v/>
      </c>
      <c r="Y193" s="26">
        <f>IF($A193="","",ROUND(N($H193)+$J193+$M193+$O193-$Q193-$S193-$U193-$W193,0))</f>
        <v/>
      </c>
      <c r="Z193" s="24">
        <f>IF($A193="","",IF(COUNTIFS(入库单!$G$4:$G$2503,$A193,入库单!$Y$4:$Y$2503,"待补价")+COUNTIFS(入库单!$G$4:$G$2503,$A193,入库单!$Y$4:$Y$2503,"暂估")&gt;0,"不可信","可信"))</f>
        <v/>
      </c>
      <c r="AA193" s="24">
        <f>IF($A193="","",IF($X193&lt;-0.001,"※账面负库存，查一下是不是漏记入库",IF(AND(ROUND($X193,3)=0,ABS($Y193)&gt;1),"※数量已经是 0，金额还挂着 "&amp;TEXT($Y193,"#,##0")&amp;" 先令",IF(AND($X193&gt;0,$Y193&lt;=0,$K193=0),"※有数量没金额（这个物料一直没填过进价）",IF($Z193="不可信","△成本含待补价/暂估，毛利仅供参考","")))))</f>
        <v/>
      </c>
    </row>
    <row r="194">
      <c r="A194" s="24">
        <f>IF(物料档案!$A193="","",物料档案!$A193)</f>
        <v/>
      </c>
      <c r="B194" s="24">
        <f>IF($A194="","",IFERROR(VLOOKUP($A194,物料档案!$A$4:$P$1203,3,0),""))</f>
        <v/>
      </c>
      <c r="C194" s="24">
        <f>IF($A194="","",IFERROR(VLOOKUP($A194,物料档案!$A$4:$P$1203,4,0),""))</f>
        <v/>
      </c>
      <c r="D194" s="24">
        <f>IF($A194="","",IFERROR(VLOOKUP($A194,物料档案!$A$4:$P$1203,5,0),""))</f>
        <v/>
      </c>
      <c r="E194" s="24">
        <f>IF($A194="","",IFERROR(VLOOKUP($A194,物料档案!$A$4:$P$1203,2,0),""))</f>
        <v/>
      </c>
      <c r="F194" s="24">
        <f>IF($A194="","",IFERROR(VLOOKUP($A194,物料档案!$A$4:$P$1203,6,0),""))</f>
        <v/>
      </c>
      <c r="G194" s="23" t="n"/>
      <c r="H194" s="32" t="n"/>
      <c r="I194" s="27">
        <f>IF($A194="","",SUMIFS(入库单!$K$4:$K$2503,入库单!$G$4:$G$2503,$A194,入库单!$X$4:$X$2503,"采购入库",入库单!$Z$4:$Z$2503,"正常",入库单!$C$4:$C$2503,"&gt;="&amp;账期起,入库单!$C$4:$C$2503,"&lt;="&amp;账期止))</f>
        <v/>
      </c>
      <c r="J194" s="26">
        <f>IF($A194="","",SUMIFS(入库单!$V$4:$V$2503,入库单!$G$4:$G$2503,$A194,入库单!$X$4:$X$2503,"采购入库",入库单!$Z$4:$Z$2503,"正常",入库单!$C$4:$C$2503,"&gt;="&amp;账期起,入库单!$C$4:$C$2503,"&lt;="&amp;账期止))</f>
        <v/>
      </c>
      <c r="K194" s="26">
        <f>IF($A194="","",IFERROR(ROUND((N($H194)+N($J194))/(N($G194)+N($I194)),2),0))</f>
        <v/>
      </c>
      <c r="L194" s="27">
        <f>IF($A194="","",SUMIFS(入库单!$K$4:$K$2503,入库单!$G$4:$G$2503,$A194,入库单!$X$4:$X$2503,"盘盈",入库单!$Z$4:$Z$2503,"正常",入库单!$C$4:$C$2503,"&gt;="&amp;账期起,入库单!$C$4:$C$2503,"&lt;="&amp;账期止))</f>
        <v/>
      </c>
      <c r="M194" s="26">
        <f>IF($A194="","",ROUND($L194*$K194,0))</f>
        <v/>
      </c>
      <c r="N194" s="27">
        <f>IF($A194="","",SUMIFS(入库单!$K$4:$K$2503,入库单!$G$4:$G$2503,$A194,入库单!$X$4:$X$2503,"矿区退库",入库单!$Z$4:$Z$2503,"正常",入库单!$C$4:$C$2503,"&gt;="&amp;账期起,入库单!$C$4:$C$2503,"&lt;="&amp;账期止))</f>
        <v/>
      </c>
      <c r="O194" s="26">
        <f>IF($A194="","",ROUND($N194*$K194,0))</f>
        <v/>
      </c>
      <c r="P194" s="27">
        <f>IF($A194="","",SUMIFS(出库单!$J$4:$J$4003,出库单!$D$4:$D$4003,$A194,出库单!$K$4:$K$4003,"自用消耗",出库单!$U$4:$U$4003,"正常",出库单!$C$4:$C$4003,"&gt;="&amp;账期起,出库单!$C$4:$C$4003,"&lt;="&amp;账期止))</f>
        <v/>
      </c>
      <c r="Q194" s="26">
        <f>IF($A194="","",ROUND(SUMIFS(出库单!$S$4:$S$4003,出库单!$D$4:$D$4003,$A194,出库单!$K$4:$K$4003,"自用消耗",出库单!$U$4:$U$4003,"正常",出库单!$C$4:$C$4003,"&gt;="&amp;账期起,出库单!$C$4:$C$4003,"&lt;="&amp;账期止),0))</f>
        <v/>
      </c>
      <c r="R194" s="27">
        <f>IF($A194="","",SUMIFS(出库单!$J$4:$J$4003,出库单!$D$4:$D$4003,$A194,出库单!$K$4:$K$4003,"对外销售",出库单!$U$4:$U$4003,"正常",出库单!$C$4:$C$4003,"&gt;="&amp;账期起,出库单!$C$4:$C$4003,"&lt;="&amp;账期止))</f>
        <v/>
      </c>
      <c r="S194" s="26">
        <f>IF($A194="","",ROUND(SUMIFS(出库单!$S$4:$S$4003,出库单!$D$4:$D$4003,$A194,出库单!$K$4:$K$4003,"对外销售",出库单!$U$4:$U$4003,"正常",出库单!$C$4:$C$4003,"&gt;="&amp;账期起,出库单!$C$4:$C$4003,"&lt;="&amp;账期止),0))</f>
        <v/>
      </c>
      <c r="T194" s="27">
        <f>IF($A194="","",SUMIFS(出库单!$J$4:$J$4003,出库单!$D$4:$D$4003,$A194,出库单!$K$4:$K$4003,"盘亏",出库单!$U$4:$U$4003,"正常",出库单!$C$4:$C$4003,"&gt;="&amp;账期起,出库单!$C$4:$C$4003,"&lt;="&amp;账期止))</f>
        <v/>
      </c>
      <c r="U194" s="26">
        <f>IF($A194="","",ROUND(SUMIFS(出库单!$S$4:$S$4003,出库单!$D$4:$D$4003,$A194,出库单!$K$4:$K$4003,"盘亏",出库单!$U$4:$U$4003,"正常",出库单!$C$4:$C$4003,"&gt;="&amp;账期起,出库单!$C$4:$C$4003,"&lt;="&amp;账期止),0))</f>
        <v/>
      </c>
      <c r="V194" s="27">
        <f>IF($A194="","",SUMIFS(出库单!$J$4:$J$4003,出库单!$D$4:$D$4003,$A194,出库单!$K$4:$K$4003,"退货给供应商",出库单!$U$4:$U$4003,"正常",出库单!$C$4:$C$4003,"&gt;="&amp;账期起,出库单!$C$4:$C$4003,"&lt;="&amp;账期止))</f>
        <v/>
      </c>
      <c r="W194" s="26">
        <f>IF($A194="","",ROUND(SUMIFS(出库单!$S$4:$S$4003,出库单!$D$4:$D$4003,$A194,出库单!$K$4:$K$4003,"退货给供应商",出库单!$U$4:$U$4003,"正常",出库单!$C$4:$C$4003,"&gt;="&amp;账期起,出库单!$C$4:$C$4003,"&lt;="&amp;账期止),0))</f>
        <v/>
      </c>
      <c r="X194" s="27">
        <f>IF($A194="","",ROUND(N($G194)+$I194+$L194+$N194-$P194-$R194-$T194-$V194,3))</f>
        <v/>
      </c>
      <c r="Y194" s="26">
        <f>IF($A194="","",ROUND(N($H194)+$J194+$M194+$O194-$Q194-$S194-$U194-$W194,0))</f>
        <v/>
      </c>
      <c r="Z194" s="24">
        <f>IF($A194="","",IF(COUNTIFS(入库单!$G$4:$G$2503,$A194,入库单!$Y$4:$Y$2503,"待补价")+COUNTIFS(入库单!$G$4:$G$2503,$A194,入库单!$Y$4:$Y$2503,"暂估")&gt;0,"不可信","可信"))</f>
        <v/>
      </c>
      <c r="AA194" s="24">
        <f>IF($A194="","",IF($X194&lt;-0.001,"※账面负库存，查一下是不是漏记入库",IF(AND(ROUND($X194,3)=0,ABS($Y194)&gt;1),"※数量已经是 0，金额还挂着 "&amp;TEXT($Y194,"#,##0")&amp;" 先令",IF(AND($X194&gt;0,$Y194&lt;=0,$K194=0),"※有数量没金额（这个物料一直没填过进价）",IF($Z194="不可信","△成本含待补价/暂估，毛利仅供参考","")))))</f>
        <v/>
      </c>
    </row>
    <row r="195">
      <c r="A195" s="24">
        <f>IF(物料档案!$A194="","",物料档案!$A194)</f>
        <v/>
      </c>
      <c r="B195" s="24">
        <f>IF($A195="","",IFERROR(VLOOKUP($A195,物料档案!$A$4:$P$1203,3,0),""))</f>
        <v/>
      </c>
      <c r="C195" s="24">
        <f>IF($A195="","",IFERROR(VLOOKUP($A195,物料档案!$A$4:$P$1203,4,0),""))</f>
        <v/>
      </c>
      <c r="D195" s="24">
        <f>IF($A195="","",IFERROR(VLOOKUP($A195,物料档案!$A$4:$P$1203,5,0),""))</f>
        <v/>
      </c>
      <c r="E195" s="24">
        <f>IF($A195="","",IFERROR(VLOOKUP($A195,物料档案!$A$4:$P$1203,2,0),""))</f>
        <v/>
      </c>
      <c r="F195" s="24">
        <f>IF($A195="","",IFERROR(VLOOKUP($A195,物料档案!$A$4:$P$1203,6,0),""))</f>
        <v/>
      </c>
      <c r="G195" s="23" t="n"/>
      <c r="H195" s="32" t="n"/>
      <c r="I195" s="27">
        <f>IF($A195="","",SUMIFS(入库单!$K$4:$K$2503,入库单!$G$4:$G$2503,$A195,入库单!$X$4:$X$2503,"采购入库",入库单!$Z$4:$Z$2503,"正常",入库单!$C$4:$C$2503,"&gt;="&amp;账期起,入库单!$C$4:$C$2503,"&lt;="&amp;账期止))</f>
        <v/>
      </c>
      <c r="J195" s="26">
        <f>IF($A195="","",SUMIFS(入库单!$V$4:$V$2503,入库单!$G$4:$G$2503,$A195,入库单!$X$4:$X$2503,"采购入库",入库单!$Z$4:$Z$2503,"正常",入库单!$C$4:$C$2503,"&gt;="&amp;账期起,入库单!$C$4:$C$2503,"&lt;="&amp;账期止))</f>
        <v/>
      </c>
      <c r="K195" s="26">
        <f>IF($A195="","",IFERROR(ROUND((N($H195)+N($J195))/(N($G195)+N($I195)),2),0))</f>
        <v/>
      </c>
      <c r="L195" s="27">
        <f>IF($A195="","",SUMIFS(入库单!$K$4:$K$2503,入库单!$G$4:$G$2503,$A195,入库单!$X$4:$X$2503,"盘盈",入库单!$Z$4:$Z$2503,"正常",入库单!$C$4:$C$2503,"&gt;="&amp;账期起,入库单!$C$4:$C$2503,"&lt;="&amp;账期止))</f>
        <v/>
      </c>
      <c r="M195" s="26">
        <f>IF($A195="","",ROUND($L195*$K195,0))</f>
        <v/>
      </c>
      <c r="N195" s="27">
        <f>IF($A195="","",SUMIFS(入库单!$K$4:$K$2503,入库单!$G$4:$G$2503,$A195,入库单!$X$4:$X$2503,"矿区退库",入库单!$Z$4:$Z$2503,"正常",入库单!$C$4:$C$2503,"&gt;="&amp;账期起,入库单!$C$4:$C$2503,"&lt;="&amp;账期止))</f>
        <v/>
      </c>
      <c r="O195" s="26">
        <f>IF($A195="","",ROUND($N195*$K195,0))</f>
        <v/>
      </c>
      <c r="P195" s="27">
        <f>IF($A195="","",SUMIFS(出库单!$J$4:$J$4003,出库单!$D$4:$D$4003,$A195,出库单!$K$4:$K$4003,"自用消耗",出库单!$U$4:$U$4003,"正常",出库单!$C$4:$C$4003,"&gt;="&amp;账期起,出库单!$C$4:$C$4003,"&lt;="&amp;账期止))</f>
        <v/>
      </c>
      <c r="Q195" s="26">
        <f>IF($A195="","",ROUND(SUMIFS(出库单!$S$4:$S$4003,出库单!$D$4:$D$4003,$A195,出库单!$K$4:$K$4003,"自用消耗",出库单!$U$4:$U$4003,"正常",出库单!$C$4:$C$4003,"&gt;="&amp;账期起,出库单!$C$4:$C$4003,"&lt;="&amp;账期止),0))</f>
        <v/>
      </c>
      <c r="R195" s="27">
        <f>IF($A195="","",SUMIFS(出库单!$J$4:$J$4003,出库单!$D$4:$D$4003,$A195,出库单!$K$4:$K$4003,"对外销售",出库单!$U$4:$U$4003,"正常",出库单!$C$4:$C$4003,"&gt;="&amp;账期起,出库单!$C$4:$C$4003,"&lt;="&amp;账期止))</f>
        <v/>
      </c>
      <c r="S195" s="26">
        <f>IF($A195="","",ROUND(SUMIFS(出库单!$S$4:$S$4003,出库单!$D$4:$D$4003,$A195,出库单!$K$4:$K$4003,"对外销售",出库单!$U$4:$U$4003,"正常",出库单!$C$4:$C$4003,"&gt;="&amp;账期起,出库单!$C$4:$C$4003,"&lt;="&amp;账期止),0))</f>
        <v/>
      </c>
      <c r="T195" s="27">
        <f>IF($A195="","",SUMIFS(出库单!$J$4:$J$4003,出库单!$D$4:$D$4003,$A195,出库单!$K$4:$K$4003,"盘亏",出库单!$U$4:$U$4003,"正常",出库单!$C$4:$C$4003,"&gt;="&amp;账期起,出库单!$C$4:$C$4003,"&lt;="&amp;账期止))</f>
        <v/>
      </c>
      <c r="U195" s="26">
        <f>IF($A195="","",ROUND(SUMIFS(出库单!$S$4:$S$4003,出库单!$D$4:$D$4003,$A195,出库单!$K$4:$K$4003,"盘亏",出库单!$U$4:$U$4003,"正常",出库单!$C$4:$C$4003,"&gt;="&amp;账期起,出库单!$C$4:$C$4003,"&lt;="&amp;账期止),0))</f>
        <v/>
      </c>
      <c r="V195" s="27">
        <f>IF($A195="","",SUMIFS(出库单!$J$4:$J$4003,出库单!$D$4:$D$4003,$A195,出库单!$K$4:$K$4003,"退货给供应商",出库单!$U$4:$U$4003,"正常",出库单!$C$4:$C$4003,"&gt;="&amp;账期起,出库单!$C$4:$C$4003,"&lt;="&amp;账期止))</f>
        <v/>
      </c>
      <c r="W195" s="26">
        <f>IF($A195="","",ROUND(SUMIFS(出库单!$S$4:$S$4003,出库单!$D$4:$D$4003,$A195,出库单!$K$4:$K$4003,"退货给供应商",出库单!$U$4:$U$4003,"正常",出库单!$C$4:$C$4003,"&gt;="&amp;账期起,出库单!$C$4:$C$4003,"&lt;="&amp;账期止),0))</f>
        <v/>
      </c>
      <c r="X195" s="27">
        <f>IF($A195="","",ROUND(N($G195)+$I195+$L195+$N195-$P195-$R195-$T195-$V195,3))</f>
        <v/>
      </c>
      <c r="Y195" s="26">
        <f>IF($A195="","",ROUND(N($H195)+$J195+$M195+$O195-$Q195-$S195-$U195-$W195,0))</f>
        <v/>
      </c>
      <c r="Z195" s="24">
        <f>IF($A195="","",IF(COUNTIFS(入库单!$G$4:$G$2503,$A195,入库单!$Y$4:$Y$2503,"待补价")+COUNTIFS(入库单!$G$4:$G$2503,$A195,入库单!$Y$4:$Y$2503,"暂估")&gt;0,"不可信","可信"))</f>
        <v/>
      </c>
      <c r="AA195" s="24">
        <f>IF($A195="","",IF($X195&lt;-0.001,"※账面负库存，查一下是不是漏记入库",IF(AND(ROUND($X195,3)=0,ABS($Y195)&gt;1),"※数量已经是 0，金额还挂着 "&amp;TEXT($Y195,"#,##0")&amp;" 先令",IF(AND($X195&gt;0,$Y195&lt;=0,$K195=0),"※有数量没金额（这个物料一直没填过进价）",IF($Z195="不可信","△成本含待补价/暂估，毛利仅供参考","")))))</f>
        <v/>
      </c>
    </row>
    <row r="196">
      <c r="A196" s="24">
        <f>IF(物料档案!$A195="","",物料档案!$A195)</f>
        <v/>
      </c>
      <c r="B196" s="24">
        <f>IF($A196="","",IFERROR(VLOOKUP($A196,物料档案!$A$4:$P$1203,3,0),""))</f>
        <v/>
      </c>
      <c r="C196" s="24">
        <f>IF($A196="","",IFERROR(VLOOKUP($A196,物料档案!$A$4:$P$1203,4,0),""))</f>
        <v/>
      </c>
      <c r="D196" s="24">
        <f>IF($A196="","",IFERROR(VLOOKUP($A196,物料档案!$A$4:$P$1203,5,0),""))</f>
        <v/>
      </c>
      <c r="E196" s="24">
        <f>IF($A196="","",IFERROR(VLOOKUP($A196,物料档案!$A$4:$P$1203,2,0),""))</f>
        <v/>
      </c>
      <c r="F196" s="24">
        <f>IF($A196="","",IFERROR(VLOOKUP($A196,物料档案!$A$4:$P$1203,6,0),""))</f>
        <v/>
      </c>
      <c r="G196" s="23" t="n"/>
      <c r="H196" s="32" t="n"/>
      <c r="I196" s="27">
        <f>IF($A196="","",SUMIFS(入库单!$K$4:$K$2503,入库单!$G$4:$G$2503,$A196,入库单!$X$4:$X$2503,"采购入库",入库单!$Z$4:$Z$2503,"正常",入库单!$C$4:$C$2503,"&gt;="&amp;账期起,入库单!$C$4:$C$2503,"&lt;="&amp;账期止))</f>
        <v/>
      </c>
      <c r="J196" s="26">
        <f>IF($A196="","",SUMIFS(入库单!$V$4:$V$2503,入库单!$G$4:$G$2503,$A196,入库单!$X$4:$X$2503,"采购入库",入库单!$Z$4:$Z$2503,"正常",入库单!$C$4:$C$2503,"&gt;="&amp;账期起,入库单!$C$4:$C$2503,"&lt;="&amp;账期止))</f>
        <v/>
      </c>
      <c r="K196" s="26">
        <f>IF($A196="","",IFERROR(ROUND((N($H196)+N($J196))/(N($G196)+N($I196)),2),0))</f>
        <v/>
      </c>
      <c r="L196" s="27">
        <f>IF($A196="","",SUMIFS(入库单!$K$4:$K$2503,入库单!$G$4:$G$2503,$A196,入库单!$X$4:$X$2503,"盘盈",入库单!$Z$4:$Z$2503,"正常",入库单!$C$4:$C$2503,"&gt;="&amp;账期起,入库单!$C$4:$C$2503,"&lt;="&amp;账期止))</f>
        <v/>
      </c>
      <c r="M196" s="26">
        <f>IF($A196="","",ROUND($L196*$K196,0))</f>
        <v/>
      </c>
      <c r="N196" s="27">
        <f>IF($A196="","",SUMIFS(入库单!$K$4:$K$2503,入库单!$G$4:$G$2503,$A196,入库单!$X$4:$X$2503,"矿区退库",入库单!$Z$4:$Z$2503,"正常",入库单!$C$4:$C$2503,"&gt;="&amp;账期起,入库单!$C$4:$C$2503,"&lt;="&amp;账期止))</f>
        <v/>
      </c>
      <c r="O196" s="26">
        <f>IF($A196="","",ROUND($N196*$K196,0))</f>
        <v/>
      </c>
      <c r="P196" s="27">
        <f>IF($A196="","",SUMIFS(出库单!$J$4:$J$4003,出库单!$D$4:$D$4003,$A196,出库单!$K$4:$K$4003,"自用消耗",出库单!$U$4:$U$4003,"正常",出库单!$C$4:$C$4003,"&gt;="&amp;账期起,出库单!$C$4:$C$4003,"&lt;="&amp;账期止))</f>
        <v/>
      </c>
      <c r="Q196" s="26">
        <f>IF($A196="","",ROUND(SUMIFS(出库单!$S$4:$S$4003,出库单!$D$4:$D$4003,$A196,出库单!$K$4:$K$4003,"自用消耗",出库单!$U$4:$U$4003,"正常",出库单!$C$4:$C$4003,"&gt;="&amp;账期起,出库单!$C$4:$C$4003,"&lt;="&amp;账期止),0))</f>
        <v/>
      </c>
      <c r="R196" s="27">
        <f>IF($A196="","",SUMIFS(出库单!$J$4:$J$4003,出库单!$D$4:$D$4003,$A196,出库单!$K$4:$K$4003,"对外销售",出库单!$U$4:$U$4003,"正常",出库单!$C$4:$C$4003,"&gt;="&amp;账期起,出库单!$C$4:$C$4003,"&lt;="&amp;账期止))</f>
        <v/>
      </c>
      <c r="S196" s="26">
        <f>IF($A196="","",ROUND(SUMIFS(出库单!$S$4:$S$4003,出库单!$D$4:$D$4003,$A196,出库单!$K$4:$K$4003,"对外销售",出库单!$U$4:$U$4003,"正常",出库单!$C$4:$C$4003,"&gt;="&amp;账期起,出库单!$C$4:$C$4003,"&lt;="&amp;账期止),0))</f>
        <v/>
      </c>
      <c r="T196" s="27">
        <f>IF($A196="","",SUMIFS(出库单!$J$4:$J$4003,出库单!$D$4:$D$4003,$A196,出库单!$K$4:$K$4003,"盘亏",出库单!$U$4:$U$4003,"正常",出库单!$C$4:$C$4003,"&gt;="&amp;账期起,出库单!$C$4:$C$4003,"&lt;="&amp;账期止))</f>
        <v/>
      </c>
      <c r="U196" s="26">
        <f>IF($A196="","",ROUND(SUMIFS(出库单!$S$4:$S$4003,出库单!$D$4:$D$4003,$A196,出库单!$K$4:$K$4003,"盘亏",出库单!$U$4:$U$4003,"正常",出库单!$C$4:$C$4003,"&gt;="&amp;账期起,出库单!$C$4:$C$4003,"&lt;="&amp;账期止),0))</f>
        <v/>
      </c>
      <c r="V196" s="27">
        <f>IF($A196="","",SUMIFS(出库单!$J$4:$J$4003,出库单!$D$4:$D$4003,$A196,出库单!$K$4:$K$4003,"退货给供应商",出库单!$U$4:$U$4003,"正常",出库单!$C$4:$C$4003,"&gt;="&amp;账期起,出库单!$C$4:$C$4003,"&lt;="&amp;账期止))</f>
        <v/>
      </c>
      <c r="W196" s="26">
        <f>IF($A196="","",ROUND(SUMIFS(出库单!$S$4:$S$4003,出库单!$D$4:$D$4003,$A196,出库单!$K$4:$K$4003,"退货给供应商",出库单!$U$4:$U$4003,"正常",出库单!$C$4:$C$4003,"&gt;="&amp;账期起,出库单!$C$4:$C$4003,"&lt;="&amp;账期止),0))</f>
        <v/>
      </c>
      <c r="X196" s="27">
        <f>IF($A196="","",ROUND(N($G196)+$I196+$L196+$N196-$P196-$R196-$T196-$V196,3))</f>
        <v/>
      </c>
      <c r="Y196" s="26">
        <f>IF($A196="","",ROUND(N($H196)+$J196+$M196+$O196-$Q196-$S196-$U196-$W196,0))</f>
        <v/>
      </c>
      <c r="Z196" s="24">
        <f>IF($A196="","",IF(COUNTIFS(入库单!$G$4:$G$2503,$A196,入库单!$Y$4:$Y$2503,"待补价")+COUNTIFS(入库单!$G$4:$G$2503,$A196,入库单!$Y$4:$Y$2503,"暂估")&gt;0,"不可信","可信"))</f>
        <v/>
      </c>
      <c r="AA196" s="24">
        <f>IF($A196="","",IF($X196&lt;-0.001,"※账面负库存，查一下是不是漏记入库",IF(AND(ROUND($X196,3)=0,ABS($Y196)&gt;1),"※数量已经是 0，金额还挂着 "&amp;TEXT($Y196,"#,##0")&amp;" 先令",IF(AND($X196&gt;0,$Y196&lt;=0,$K196=0),"※有数量没金额（这个物料一直没填过进价）",IF($Z196="不可信","△成本含待补价/暂估，毛利仅供参考","")))))</f>
        <v/>
      </c>
    </row>
    <row r="197">
      <c r="A197" s="24">
        <f>IF(物料档案!$A196="","",物料档案!$A196)</f>
        <v/>
      </c>
      <c r="B197" s="24">
        <f>IF($A197="","",IFERROR(VLOOKUP($A197,物料档案!$A$4:$P$1203,3,0),""))</f>
        <v/>
      </c>
      <c r="C197" s="24">
        <f>IF($A197="","",IFERROR(VLOOKUP($A197,物料档案!$A$4:$P$1203,4,0),""))</f>
        <v/>
      </c>
      <c r="D197" s="24">
        <f>IF($A197="","",IFERROR(VLOOKUP($A197,物料档案!$A$4:$P$1203,5,0),""))</f>
        <v/>
      </c>
      <c r="E197" s="24">
        <f>IF($A197="","",IFERROR(VLOOKUP($A197,物料档案!$A$4:$P$1203,2,0),""))</f>
        <v/>
      </c>
      <c r="F197" s="24">
        <f>IF($A197="","",IFERROR(VLOOKUP($A197,物料档案!$A$4:$P$1203,6,0),""))</f>
        <v/>
      </c>
      <c r="G197" s="23" t="n"/>
      <c r="H197" s="32" t="n"/>
      <c r="I197" s="27">
        <f>IF($A197="","",SUMIFS(入库单!$K$4:$K$2503,入库单!$G$4:$G$2503,$A197,入库单!$X$4:$X$2503,"采购入库",入库单!$Z$4:$Z$2503,"正常",入库单!$C$4:$C$2503,"&gt;="&amp;账期起,入库单!$C$4:$C$2503,"&lt;="&amp;账期止))</f>
        <v/>
      </c>
      <c r="J197" s="26">
        <f>IF($A197="","",SUMIFS(入库单!$V$4:$V$2503,入库单!$G$4:$G$2503,$A197,入库单!$X$4:$X$2503,"采购入库",入库单!$Z$4:$Z$2503,"正常",入库单!$C$4:$C$2503,"&gt;="&amp;账期起,入库单!$C$4:$C$2503,"&lt;="&amp;账期止))</f>
        <v/>
      </c>
      <c r="K197" s="26">
        <f>IF($A197="","",IFERROR(ROUND((N($H197)+N($J197))/(N($G197)+N($I197)),2),0))</f>
        <v/>
      </c>
      <c r="L197" s="27">
        <f>IF($A197="","",SUMIFS(入库单!$K$4:$K$2503,入库单!$G$4:$G$2503,$A197,入库单!$X$4:$X$2503,"盘盈",入库单!$Z$4:$Z$2503,"正常",入库单!$C$4:$C$2503,"&gt;="&amp;账期起,入库单!$C$4:$C$2503,"&lt;="&amp;账期止))</f>
        <v/>
      </c>
      <c r="M197" s="26">
        <f>IF($A197="","",ROUND($L197*$K197,0))</f>
        <v/>
      </c>
      <c r="N197" s="27">
        <f>IF($A197="","",SUMIFS(入库单!$K$4:$K$2503,入库单!$G$4:$G$2503,$A197,入库单!$X$4:$X$2503,"矿区退库",入库单!$Z$4:$Z$2503,"正常",入库单!$C$4:$C$2503,"&gt;="&amp;账期起,入库单!$C$4:$C$2503,"&lt;="&amp;账期止))</f>
        <v/>
      </c>
      <c r="O197" s="26">
        <f>IF($A197="","",ROUND($N197*$K197,0))</f>
        <v/>
      </c>
      <c r="P197" s="27">
        <f>IF($A197="","",SUMIFS(出库单!$J$4:$J$4003,出库单!$D$4:$D$4003,$A197,出库单!$K$4:$K$4003,"自用消耗",出库单!$U$4:$U$4003,"正常",出库单!$C$4:$C$4003,"&gt;="&amp;账期起,出库单!$C$4:$C$4003,"&lt;="&amp;账期止))</f>
        <v/>
      </c>
      <c r="Q197" s="26">
        <f>IF($A197="","",ROUND(SUMIFS(出库单!$S$4:$S$4003,出库单!$D$4:$D$4003,$A197,出库单!$K$4:$K$4003,"自用消耗",出库单!$U$4:$U$4003,"正常",出库单!$C$4:$C$4003,"&gt;="&amp;账期起,出库单!$C$4:$C$4003,"&lt;="&amp;账期止),0))</f>
        <v/>
      </c>
      <c r="R197" s="27">
        <f>IF($A197="","",SUMIFS(出库单!$J$4:$J$4003,出库单!$D$4:$D$4003,$A197,出库单!$K$4:$K$4003,"对外销售",出库单!$U$4:$U$4003,"正常",出库单!$C$4:$C$4003,"&gt;="&amp;账期起,出库单!$C$4:$C$4003,"&lt;="&amp;账期止))</f>
        <v/>
      </c>
      <c r="S197" s="26">
        <f>IF($A197="","",ROUND(SUMIFS(出库单!$S$4:$S$4003,出库单!$D$4:$D$4003,$A197,出库单!$K$4:$K$4003,"对外销售",出库单!$U$4:$U$4003,"正常",出库单!$C$4:$C$4003,"&gt;="&amp;账期起,出库单!$C$4:$C$4003,"&lt;="&amp;账期止),0))</f>
        <v/>
      </c>
      <c r="T197" s="27">
        <f>IF($A197="","",SUMIFS(出库单!$J$4:$J$4003,出库单!$D$4:$D$4003,$A197,出库单!$K$4:$K$4003,"盘亏",出库单!$U$4:$U$4003,"正常",出库单!$C$4:$C$4003,"&gt;="&amp;账期起,出库单!$C$4:$C$4003,"&lt;="&amp;账期止))</f>
        <v/>
      </c>
      <c r="U197" s="26">
        <f>IF($A197="","",ROUND(SUMIFS(出库单!$S$4:$S$4003,出库单!$D$4:$D$4003,$A197,出库单!$K$4:$K$4003,"盘亏",出库单!$U$4:$U$4003,"正常",出库单!$C$4:$C$4003,"&gt;="&amp;账期起,出库单!$C$4:$C$4003,"&lt;="&amp;账期止),0))</f>
        <v/>
      </c>
      <c r="V197" s="27">
        <f>IF($A197="","",SUMIFS(出库单!$J$4:$J$4003,出库单!$D$4:$D$4003,$A197,出库单!$K$4:$K$4003,"退货给供应商",出库单!$U$4:$U$4003,"正常",出库单!$C$4:$C$4003,"&gt;="&amp;账期起,出库单!$C$4:$C$4003,"&lt;="&amp;账期止))</f>
        <v/>
      </c>
      <c r="W197" s="26">
        <f>IF($A197="","",ROUND(SUMIFS(出库单!$S$4:$S$4003,出库单!$D$4:$D$4003,$A197,出库单!$K$4:$K$4003,"退货给供应商",出库单!$U$4:$U$4003,"正常",出库单!$C$4:$C$4003,"&gt;="&amp;账期起,出库单!$C$4:$C$4003,"&lt;="&amp;账期止),0))</f>
        <v/>
      </c>
      <c r="X197" s="27">
        <f>IF($A197="","",ROUND(N($G197)+$I197+$L197+$N197-$P197-$R197-$T197-$V197,3))</f>
        <v/>
      </c>
      <c r="Y197" s="26">
        <f>IF($A197="","",ROUND(N($H197)+$J197+$M197+$O197-$Q197-$S197-$U197-$W197,0))</f>
        <v/>
      </c>
      <c r="Z197" s="24">
        <f>IF($A197="","",IF(COUNTIFS(入库单!$G$4:$G$2503,$A197,入库单!$Y$4:$Y$2503,"待补价")+COUNTIFS(入库单!$G$4:$G$2503,$A197,入库单!$Y$4:$Y$2503,"暂估")&gt;0,"不可信","可信"))</f>
        <v/>
      </c>
      <c r="AA197" s="24">
        <f>IF($A197="","",IF($X197&lt;-0.001,"※账面负库存，查一下是不是漏记入库",IF(AND(ROUND($X197,3)=0,ABS($Y197)&gt;1),"※数量已经是 0，金额还挂着 "&amp;TEXT($Y197,"#,##0")&amp;" 先令",IF(AND($X197&gt;0,$Y197&lt;=0,$K197=0),"※有数量没金额（这个物料一直没填过进价）",IF($Z197="不可信","△成本含待补价/暂估，毛利仅供参考","")))))</f>
        <v/>
      </c>
    </row>
    <row r="198">
      <c r="A198" s="24">
        <f>IF(物料档案!$A197="","",物料档案!$A197)</f>
        <v/>
      </c>
      <c r="B198" s="24">
        <f>IF($A198="","",IFERROR(VLOOKUP($A198,物料档案!$A$4:$P$1203,3,0),""))</f>
        <v/>
      </c>
      <c r="C198" s="24">
        <f>IF($A198="","",IFERROR(VLOOKUP($A198,物料档案!$A$4:$P$1203,4,0),""))</f>
        <v/>
      </c>
      <c r="D198" s="24">
        <f>IF($A198="","",IFERROR(VLOOKUP($A198,物料档案!$A$4:$P$1203,5,0),""))</f>
        <v/>
      </c>
      <c r="E198" s="24">
        <f>IF($A198="","",IFERROR(VLOOKUP($A198,物料档案!$A$4:$P$1203,2,0),""))</f>
        <v/>
      </c>
      <c r="F198" s="24">
        <f>IF($A198="","",IFERROR(VLOOKUP($A198,物料档案!$A$4:$P$1203,6,0),""))</f>
        <v/>
      </c>
      <c r="G198" s="23" t="n"/>
      <c r="H198" s="32" t="n"/>
      <c r="I198" s="27">
        <f>IF($A198="","",SUMIFS(入库单!$K$4:$K$2503,入库单!$G$4:$G$2503,$A198,入库单!$X$4:$X$2503,"采购入库",入库单!$Z$4:$Z$2503,"正常",入库单!$C$4:$C$2503,"&gt;="&amp;账期起,入库单!$C$4:$C$2503,"&lt;="&amp;账期止))</f>
        <v/>
      </c>
      <c r="J198" s="26">
        <f>IF($A198="","",SUMIFS(入库单!$V$4:$V$2503,入库单!$G$4:$G$2503,$A198,入库单!$X$4:$X$2503,"采购入库",入库单!$Z$4:$Z$2503,"正常",入库单!$C$4:$C$2503,"&gt;="&amp;账期起,入库单!$C$4:$C$2503,"&lt;="&amp;账期止))</f>
        <v/>
      </c>
      <c r="K198" s="26">
        <f>IF($A198="","",IFERROR(ROUND((N($H198)+N($J198))/(N($G198)+N($I198)),2),0))</f>
        <v/>
      </c>
      <c r="L198" s="27">
        <f>IF($A198="","",SUMIFS(入库单!$K$4:$K$2503,入库单!$G$4:$G$2503,$A198,入库单!$X$4:$X$2503,"盘盈",入库单!$Z$4:$Z$2503,"正常",入库单!$C$4:$C$2503,"&gt;="&amp;账期起,入库单!$C$4:$C$2503,"&lt;="&amp;账期止))</f>
        <v/>
      </c>
      <c r="M198" s="26">
        <f>IF($A198="","",ROUND($L198*$K198,0))</f>
        <v/>
      </c>
      <c r="N198" s="27">
        <f>IF($A198="","",SUMIFS(入库单!$K$4:$K$2503,入库单!$G$4:$G$2503,$A198,入库单!$X$4:$X$2503,"矿区退库",入库单!$Z$4:$Z$2503,"正常",入库单!$C$4:$C$2503,"&gt;="&amp;账期起,入库单!$C$4:$C$2503,"&lt;="&amp;账期止))</f>
        <v/>
      </c>
      <c r="O198" s="26">
        <f>IF($A198="","",ROUND($N198*$K198,0))</f>
        <v/>
      </c>
      <c r="P198" s="27">
        <f>IF($A198="","",SUMIFS(出库单!$J$4:$J$4003,出库单!$D$4:$D$4003,$A198,出库单!$K$4:$K$4003,"自用消耗",出库单!$U$4:$U$4003,"正常",出库单!$C$4:$C$4003,"&gt;="&amp;账期起,出库单!$C$4:$C$4003,"&lt;="&amp;账期止))</f>
        <v/>
      </c>
      <c r="Q198" s="26">
        <f>IF($A198="","",ROUND(SUMIFS(出库单!$S$4:$S$4003,出库单!$D$4:$D$4003,$A198,出库单!$K$4:$K$4003,"自用消耗",出库单!$U$4:$U$4003,"正常",出库单!$C$4:$C$4003,"&gt;="&amp;账期起,出库单!$C$4:$C$4003,"&lt;="&amp;账期止),0))</f>
        <v/>
      </c>
      <c r="R198" s="27">
        <f>IF($A198="","",SUMIFS(出库单!$J$4:$J$4003,出库单!$D$4:$D$4003,$A198,出库单!$K$4:$K$4003,"对外销售",出库单!$U$4:$U$4003,"正常",出库单!$C$4:$C$4003,"&gt;="&amp;账期起,出库单!$C$4:$C$4003,"&lt;="&amp;账期止))</f>
        <v/>
      </c>
      <c r="S198" s="26">
        <f>IF($A198="","",ROUND(SUMIFS(出库单!$S$4:$S$4003,出库单!$D$4:$D$4003,$A198,出库单!$K$4:$K$4003,"对外销售",出库单!$U$4:$U$4003,"正常",出库单!$C$4:$C$4003,"&gt;="&amp;账期起,出库单!$C$4:$C$4003,"&lt;="&amp;账期止),0))</f>
        <v/>
      </c>
      <c r="T198" s="27">
        <f>IF($A198="","",SUMIFS(出库单!$J$4:$J$4003,出库单!$D$4:$D$4003,$A198,出库单!$K$4:$K$4003,"盘亏",出库单!$U$4:$U$4003,"正常",出库单!$C$4:$C$4003,"&gt;="&amp;账期起,出库单!$C$4:$C$4003,"&lt;="&amp;账期止))</f>
        <v/>
      </c>
      <c r="U198" s="26">
        <f>IF($A198="","",ROUND(SUMIFS(出库单!$S$4:$S$4003,出库单!$D$4:$D$4003,$A198,出库单!$K$4:$K$4003,"盘亏",出库单!$U$4:$U$4003,"正常",出库单!$C$4:$C$4003,"&gt;="&amp;账期起,出库单!$C$4:$C$4003,"&lt;="&amp;账期止),0))</f>
        <v/>
      </c>
      <c r="V198" s="27">
        <f>IF($A198="","",SUMIFS(出库单!$J$4:$J$4003,出库单!$D$4:$D$4003,$A198,出库单!$K$4:$K$4003,"退货给供应商",出库单!$U$4:$U$4003,"正常",出库单!$C$4:$C$4003,"&gt;="&amp;账期起,出库单!$C$4:$C$4003,"&lt;="&amp;账期止))</f>
        <v/>
      </c>
      <c r="W198" s="26">
        <f>IF($A198="","",ROUND(SUMIFS(出库单!$S$4:$S$4003,出库单!$D$4:$D$4003,$A198,出库单!$K$4:$K$4003,"退货给供应商",出库单!$U$4:$U$4003,"正常",出库单!$C$4:$C$4003,"&gt;="&amp;账期起,出库单!$C$4:$C$4003,"&lt;="&amp;账期止),0))</f>
        <v/>
      </c>
      <c r="X198" s="27">
        <f>IF($A198="","",ROUND(N($G198)+$I198+$L198+$N198-$P198-$R198-$T198-$V198,3))</f>
        <v/>
      </c>
      <c r="Y198" s="26">
        <f>IF($A198="","",ROUND(N($H198)+$J198+$M198+$O198-$Q198-$S198-$U198-$W198,0))</f>
        <v/>
      </c>
      <c r="Z198" s="24">
        <f>IF($A198="","",IF(COUNTIFS(入库单!$G$4:$G$2503,$A198,入库单!$Y$4:$Y$2503,"待补价")+COUNTIFS(入库单!$G$4:$G$2503,$A198,入库单!$Y$4:$Y$2503,"暂估")&gt;0,"不可信","可信"))</f>
        <v/>
      </c>
      <c r="AA198" s="24">
        <f>IF($A198="","",IF($X198&lt;-0.001,"※账面负库存，查一下是不是漏记入库",IF(AND(ROUND($X198,3)=0,ABS($Y198)&gt;1),"※数量已经是 0，金额还挂着 "&amp;TEXT($Y198,"#,##0")&amp;" 先令",IF(AND($X198&gt;0,$Y198&lt;=0,$K198=0),"※有数量没金额（这个物料一直没填过进价）",IF($Z198="不可信","△成本含待补价/暂估，毛利仅供参考","")))))</f>
        <v/>
      </c>
    </row>
    <row r="199">
      <c r="A199" s="24">
        <f>IF(物料档案!$A198="","",物料档案!$A198)</f>
        <v/>
      </c>
      <c r="B199" s="24">
        <f>IF($A199="","",IFERROR(VLOOKUP($A199,物料档案!$A$4:$P$1203,3,0),""))</f>
        <v/>
      </c>
      <c r="C199" s="24">
        <f>IF($A199="","",IFERROR(VLOOKUP($A199,物料档案!$A$4:$P$1203,4,0),""))</f>
        <v/>
      </c>
      <c r="D199" s="24">
        <f>IF($A199="","",IFERROR(VLOOKUP($A199,物料档案!$A$4:$P$1203,5,0),""))</f>
        <v/>
      </c>
      <c r="E199" s="24">
        <f>IF($A199="","",IFERROR(VLOOKUP($A199,物料档案!$A$4:$P$1203,2,0),""))</f>
        <v/>
      </c>
      <c r="F199" s="24">
        <f>IF($A199="","",IFERROR(VLOOKUP($A199,物料档案!$A$4:$P$1203,6,0),""))</f>
        <v/>
      </c>
      <c r="G199" s="23" t="n"/>
      <c r="H199" s="32" t="n"/>
      <c r="I199" s="27">
        <f>IF($A199="","",SUMIFS(入库单!$K$4:$K$2503,入库单!$G$4:$G$2503,$A199,入库单!$X$4:$X$2503,"采购入库",入库单!$Z$4:$Z$2503,"正常",入库单!$C$4:$C$2503,"&gt;="&amp;账期起,入库单!$C$4:$C$2503,"&lt;="&amp;账期止))</f>
        <v/>
      </c>
      <c r="J199" s="26">
        <f>IF($A199="","",SUMIFS(入库单!$V$4:$V$2503,入库单!$G$4:$G$2503,$A199,入库单!$X$4:$X$2503,"采购入库",入库单!$Z$4:$Z$2503,"正常",入库单!$C$4:$C$2503,"&gt;="&amp;账期起,入库单!$C$4:$C$2503,"&lt;="&amp;账期止))</f>
        <v/>
      </c>
      <c r="K199" s="26">
        <f>IF($A199="","",IFERROR(ROUND((N($H199)+N($J199))/(N($G199)+N($I199)),2),0))</f>
        <v/>
      </c>
      <c r="L199" s="27">
        <f>IF($A199="","",SUMIFS(入库单!$K$4:$K$2503,入库单!$G$4:$G$2503,$A199,入库单!$X$4:$X$2503,"盘盈",入库单!$Z$4:$Z$2503,"正常",入库单!$C$4:$C$2503,"&gt;="&amp;账期起,入库单!$C$4:$C$2503,"&lt;="&amp;账期止))</f>
        <v/>
      </c>
      <c r="M199" s="26">
        <f>IF($A199="","",ROUND($L199*$K199,0))</f>
        <v/>
      </c>
      <c r="N199" s="27">
        <f>IF($A199="","",SUMIFS(入库单!$K$4:$K$2503,入库单!$G$4:$G$2503,$A199,入库单!$X$4:$X$2503,"矿区退库",入库单!$Z$4:$Z$2503,"正常",入库单!$C$4:$C$2503,"&gt;="&amp;账期起,入库单!$C$4:$C$2503,"&lt;="&amp;账期止))</f>
        <v/>
      </c>
      <c r="O199" s="26">
        <f>IF($A199="","",ROUND($N199*$K199,0))</f>
        <v/>
      </c>
      <c r="P199" s="27">
        <f>IF($A199="","",SUMIFS(出库单!$J$4:$J$4003,出库单!$D$4:$D$4003,$A199,出库单!$K$4:$K$4003,"自用消耗",出库单!$U$4:$U$4003,"正常",出库单!$C$4:$C$4003,"&gt;="&amp;账期起,出库单!$C$4:$C$4003,"&lt;="&amp;账期止))</f>
        <v/>
      </c>
      <c r="Q199" s="26">
        <f>IF($A199="","",ROUND(SUMIFS(出库单!$S$4:$S$4003,出库单!$D$4:$D$4003,$A199,出库单!$K$4:$K$4003,"自用消耗",出库单!$U$4:$U$4003,"正常",出库单!$C$4:$C$4003,"&gt;="&amp;账期起,出库单!$C$4:$C$4003,"&lt;="&amp;账期止),0))</f>
        <v/>
      </c>
      <c r="R199" s="27">
        <f>IF($A199="","",SUMIFS(出库单!$J$4:$J$4003,出库单!$D$4:$D$4003,$A199,出库单!$K$4:$K$4003,"对外销售",出库单!$U$4:$U$4003,"正常",出库单!$C$4:$C$4003,"&gt;="&amp;账期起,出库单!$C$4:$C$4003,"&lt;="&amp;账期止))</f>
        <v/>
      </c>
      <c r="S199" s="26">
        <f>IF($A199="","",ROUND(SUMIFS(出库单!$S$4:$S$4003,出库单!$D$4:$D$4003,$A199,出库单!$K$4:$K$4003,"对外销售",出库单!$U$4:$U$4003,"正常",出库单!$C$4:$C$4003,"&gt;="&amp;账期起,出库单!$C$4:$C$4003,"&lt;="&amp;账期止),0))</f>
        <v/>
      </c>
      <c r="T199" s="27">
        <f>IF($A199="","",SUMIFS(出库单!$J$4:$J$4003,出库单!$D$4:$D$4003,$A199,出库单!$K$4:$K$4003,"盘亏",出库单!$U$4:$U$4003,"正常",出库单!$C$4:$C$4003,"&gt;="&amp;账期起,出库单!$C$4:$C$4003,"&lt;="&amp;账期止))</f>
        <v/>
      </c>
      <c r="U199" s="26">
        <f>IF($A199="","",ROUND(SUMIFS(出库单!$S$4:$S$4003,出库单!$D$4:$D$4003,$A199,出库单!$K$4:$K$4003,"盘亏",出库单!$U$4:$U$4003,"正常",出库单!$C$4:$C$4003,"&gt;="&amp;账期起,出库单!$C$4:$C$4003,"&lt;="&amp;账期止),0))</f>
        <v/>
      </c>
      <c r="V199" s="27">
        <f>IF($A199="","",SUMIFS(出库单!$J$4:$J$4003,出库单!$D$4:$D$4003,$A199,出库单!$K$4:$K$4003,"退货给供应商",出库单!$U$4:$U$4003,"正常",出库单!$C$4:$C$4003,"&gt;="&amp;账期起,出库单!$C$4:$C$4003,"&lt;="&amp;账期止))</f>
        <v/>
      </c>
      <c r="W199" s="26">
        <f>IF($A199="","",ROUND(SUMIFS(出库单!$S$4:$S$4003,出库单!$D$4:$D$4003,$A199,出库单!$K$4:$K$4003,"退货给供应商",出库单!$U$4:$U$4003,"正常",出库单!$C$4:$C$4003,"&gt;="&amp;账期起,出库单!$C$4:$C$4003,"&lt;="&amp;账期止),0))</f>
        <v/>
      </c>
      <c r="X199" s="27">
        <f>IF($A199="","",ROUND(N($G199)+$I199+$L199+$N199-$P199-$R199-$T199-$V199,3))</f>
        <v/>
      </c>
      <c r="Y199" s="26">
        <f>IF($A199="","",ROUND(N($H199)+$J199+$M199+$O199-$Q199-$S199-$U199-$W199,0))</f>
        <v/>
      </c>
      <c r="Z199" s="24">
        <f>IF($A199="","",IF(COUNTIFS(入库单!$G$4:$G$2503,$A199,入库单!$Y$4:$Y$2503,"待补价")+COUNTIFS(入库单!$G$4:$G$2503,$A199,入库单!$Y$4:$Y$2503,"暂估")&gt;0,"不可信","可信"))</f>
        <v/>
      </c>
      <c r="AA199" s="24">
        <f>IF($A199="","",IF($X199&lt;-0.001,"※账面负库存，查一下是不是漏记入库",IF(AND(ROUND($X199,3)=0,ABS($Y199)&gt;1),"※数量已经是 0，金额还挂着 "&amp;TEXT($Y199,"#,##0")&amp;" 先令",IF(AND($X199&gt;0,$Y199&lt;=0,$K199=0),"※有数量没金额（这个物料一直没填过进价）",IF($Z199="不可信","△成本含待补价/暂估，毛利仅供参考","")))))</f>
        <v/>
      </c>
    </row>
    <row r="200">
      <c r="A200" s="24">
        <f>IF(物料档案!$A199="","",物料档案!$A199)</f>
        <v/>
      </c>
      <c r="B200" s="24">
        <f>IF($A200="","",IFERROR(VLOOKUP($A200,物料档案!$A$4:$P$1203,3,0),""))</f>
        <v/>
      </c>
      <c r="C200" s="24">
        <f>IF($A200="","",IFERROR(VLOOKUP($A200,物料档案!$A$4:$P$1203,4,0),""))</f>
        <v/>
      </c>
      <c r="D200" s="24">
        <f>IF($A200="","",IFERROR(VLOOKUP($A200,物料档案!$A$4:$P$1203,5,0),""))</f>
        <v/>
      </c>
      <c r="E200" s="24">
        <f>IF($A200="","",IFERROR(VLOOKUP($A200,物料档案!$A$4:$P$1203,2,0),""))</f>
        <v/>
      </c>
      <c r="F200" s="24">
        <f>IF($A200="","",IFERROR(VLOOKUP($A200,物料档案!$A$4:$P$1203,6,0),""))</f>
        <v/>
      </c>
      <c r="G200" s="23" t="n"/>
      <c r="H200" s="32" t="n"/>
      <c r="I200" s="27">
        <f>IF($A200="","",SUMIFS(入库单!$K$4:$K$2503,入库单!$G$4:$G$2503,$A200,入库单!$X$4:$X$2503,"采购入库",入库单!$Z$4:$Z$2503,"正常",入库单!$C$4:$C$2503,"&gt;="&amp;账期起,入库单!$C$4:$C$2503,"&lt;="&amp;账期止))</f>
        <v/>
      </c>
      <c r="J200" s="26">
        <f>IF($A200="","",SUMIFS(入库单!$V$4:$V$2503,入库单!$G$4:$G$2503,$A200,入库单!$X$4:$X$2503,"采购入库",入库单!$Z$4:$Z$2503,"正常",入库单!$C$4:$C$2503,"&gt;="&amp;账期起,入库单!$C$4:$C$2503,"&lt;="&amp;账期止))</f>
        <v/>
      </c>
      <c r="K200" s="26">
        <f>IF($A200="","",IFERROR(ROUND((N($H200)+N($J200))/(N($G200)+N($I200)),2),0))</f>
        <v/>
      </c>
      <c r="L200" s="27">
        <f>IF($A200="","",SUMIFS(入库单!$K$4:$K$2503,入库单!$G$4:$G$2503,$A200,入库单!$X$4:$X$2503,"盘盈",入库单!$Z$4:$Z$2503,"正常",入库单!$C$4:$C$2503,"&gt;="&amp;账期起,入库单!$C$4:$C$2503,"&lt;="&amp;账期止))</f>
        <v/>
      </c>
      <c r="M200" s="26">
        <f>IF($A200="","",ROUND($L200*$K200,0))</f>
        <v/>
      </c>
      <c r="N200" s="27">
        <f>IF($A200="","",SUMIFS(入库单!$K$4:$K$2503,入库单!$G$4:$G$2503,$A200,入库单!$X$4:$X$2503,"矿区退库",入库单!$Z$4:$Z$2503,"正常",入库单!$C$4:$C$2503,"&gt;="&amp;账期起,入库单!$C$4:$C$2503,"&lt;="&amp;账期止))</f>
        <v/>
      </c>
      <c r="O200" s="26">
        <f>IF($A200="","",ROUND($N200*$K200,0))</f>
        <v/>
      </c>
      <c r="P200" s="27">
        <f>IF($A200="","",SUMIFS(出库单!$J$4:$J$4003,出库单!$D$4:$D$4003,$A200,出库单!$K$4:$K$4003,"自用消耗",出库单!$U$4:$U$4003,"正常",出库单!$C$4:$C$4003,"&gt;="&amp;账期起,出库单!$C$4:$C$4003,"&lt;="&amp;账期止))</f>
        <v/>
      </c>
      <c r="Q200" s="26">
        <f>IF($A200="","",ROUND(SUMIFS(出库单!$S$4:$S$4003,出库单!$D$4:$D$4003,$A200,出库单!$K$4:$K$4003,"自用消耗",出库单!$U$4:$U$4003,"正常",出库单!$C$4:$C$4003,"&gt;="&amp;账期起,出库单!$C$4:$C$4003,"&lt;="&amp;账期止),0))</f>
        <v/>
      </c>
      <c r="R200" s="27">
        <f>IF($A200="","",SUMIFS(出库单!$J$4:$J$4003,出库单!$D$4:$D$4003,$A200,出库单!$K$4:$K$4003,"对外销售",出库单!$U$4:$U$4003,"正常",出库单!$C$4:$C$4003,"&gt;="&amp;账期起,出库单!$C$4:$C$4003,"&lt;="&amp;账期止))</f>
        <v/>
      </c>
      <c r="S200" s="26">
        <f>IF($A200="","",ROUND(SUMIFS(出库单!$S$4:$S$4003,出库单!$D$4:$D$4003,$A200,出库单!$K$4:$K$4003,"对外销售",出库单!$U$4:$U$4003,"正常",出库单!$C$4:$C$4003,"&gt;="&amp;账期起,出库单!$C$4:$C$4003,"&lt;="&amp;账期止),0))</f>
        <v/>
      </c>
      <c r="T200" s="27">
        <f>IF($A200="","",SUMIFS(出库单!$J$4:$J$4003,出库单!$D$4:$D$4003,$A200,出库单!$K$4:$K$4003,"盘亏",出库单!$U$4:$U$4003,"正常",出库单!$C$4:$C$4003,"&gt;="&amp;账期起,出库单!$C$4:$C$4003,"&lt;="&amp;账期止))</f>
        <v/>
      </c>
      <c r="U200" s="26">
        <f>IF($A200="","",ROUND(SUMIFS(出库单!$S$4:$S$4003,出库单!$D$4:$D$4003,$A200,出库单!$K$4:$K$4003,"盘亏",出库单!$U$4:$U$4003,"正常",出库单!$C$4:$C$4003,"&gt;="&amp;账期起,出库单!$C$4:$C$4003,"&lt;="&amp;账期止),0))</f>
        <v/>
      </c>
      <c r="V200" s="27">
        <f>IF($A200="","",SUMIFS(出库单!$J$4:$J$4003,出库单!$D$4:$D$4003,$A200,出库单!$K$4:$K$4003,"退货给供应商",出库单!$U$4:$U$4003,"正常",出库单!$C$4:$C$4003,"&gt;="&amp;账期起,出库单!$C$4:$C$4003,"&lt;="&amp;账期止))</f>
        <v/>
      </c>
      <c r="W200" s="26">
        <f>IF($A200="","",ROUND(SUMIFS(出库单!$S$4:$S$4003,出库单!$D$4:$D$4003,$A200,出库单!$K$4:$K$4003,"退货给供应商",出库单!$U$4:$U$4003,"正常",出库单!$C$4:$C$4003,"&gt;="&amp;账期起,出库单!$C$4:$C$4003,"&lt;="&amp;账期止),0))</f>
        <v/>
      </c>
      <c r="X200" s="27">
        <f>IF($A200="","",ROUND(N($G200)+$I200+$L200+$N200-$P200-$R200-$T200-$V200,3))</f>
        <v/>
      </c>
      <c r="Y200" s="26">
        <f>IF($A200="","",ROUND(N($H200)+$J200+$M200+$O200-$Q200-$S200-$U200-$W200,0))</f>
        <v/>
      </c>
      <c r="Z200" s="24">
        <f>IF($A200="","",IF(COUNTIFS(入库单!$G$4:$G$2503,$A200,入库单!$Y$4:$Y$2503,"待补价")+COUNTIFS(入库单!$G$4:$G$2503,$A200,入库单!$Y$4:$Y$2503,"暂估")&gt;0,"不可信","可信"))</f>
        <v/>
      </c>
      <c r="AA200" s="24">
        <f>IF($A200="","",IF($X200&lt;-0.001,"※账面负库存，查一下是不是漏记入库",IF(AND(ROUND($X200,3)=0,ABS($Y200)&gt;1),"※数量已经是 0，金额还挂着 "&amp;TEXT($Y200,"#,##0")&amp;" 先令",IF(AND($X200&gt;0,$Y200&lt;=0,$K200=0),"※有数量没金额（这个物料一直没填过进价）",IF($Z200="不可信","△成本含待补价/暂估，毛利仅供参考","")))))</f>
        <v/>
      </c>
    </row>
    <row r="201">
      <c r="A201" s="24">
        <f>IF(物料档案!$A200="","",物料档案!$A200)</f>
        <v/>
      </c>
      <c r="B201" s="24">
        <f>IF($A201="","",IFERROR(VLOOKUP($A201,物料档案!$A$4:$P$1203,3,0),""))</f>
        <v/>
      </c>
      <c r="C201" s="24">
        <f>IF($A201="","",IFERROR(VLOOKUP($A201,物料档案!$A$4:$P$1203,4,0),""))</f>
        <v/>
      </c>
      <c r="D201" s="24">
        <f>IF($A201="","",IFERROR(VLOOKUP($A201,物料档案!$A$4:$P$1203,5,0),""))</f>
        <v/>
      </c>
      <c r="E201" s="24">
        <f>IF($A201="","",IFERROR(VLOOKUP($A201,物料档案!$A$4:$P$1203,2,0),""))</f>
        <v/>
      </c>
      <c r="F201" s="24">
        <f>IF($A201="","",IFERROR(VLOOKUP($A201,物料档案!$A$4:$P$1203,6,0),""))</f>
        <v/>
      </c>
      <c r="G201" s="23" t="n"/>
      <c r="H201" s="32" t="n"/>
      <c r="I201" s="27">
        <f>IF($A201="","",SUMIFS(入库单!$K$4:$K$2503,入库单!$G$4:$G$2503,$A201,入库单!$X$4:$X$2503,"采购入库",入库单!$Z$4:$Z$2503,"正常",入库单!$C$4:$C$2503,"&gt;="&amp;账期起,入库单!$C$4:$C$2503,"&lt;="&amp;账期止))</f>
        <v/>
      </c>
      <c r="J201" s="26">
        <f>IF($A201="","",SUMIFS(入库单!$V$4:$V$2503,入库单!$G$4:$G$2503,$A201,入库单!$X$4:$X$2503,"采购入库",入库单!$Z$4:$Z$2503,"正常",入库单!$C$4:$C$2503,"&gt;="&amp;账期起,入库单!$C$4:$C$2503,"&lt;="&amp;账期止))</f>
        <v/>
      </c>
      <c r="K201" s="26">
        <f>IF($A201="","",IFERROR(ROUND((N($H201)+N($J201))/(N($G201)+N($I201)),2),0))</f>
        <v/>
      </c>
      <c r="L201" s="27">
        <f>IF($A201="","",SUMIFS(入库单!$K$4:$K$2503,入库单!$G$4:$G$2503,$A201,入库单!$X$4:$X$2503,"盘盈",入库单!$Z$4:$Z$2503,"正常",入库单!$C$4:$C$2503,"&gt;="&amp;账期起,入库单!$C$4:$C$2503,"&lt;="&amp;账期止))</f>
        <v/>
      </c>
      <c r="M201" s="26">
        <f>IF($A201="","",ROUND($L201*$K201,0))</f>
        <v/>
      </c>
      <c r="N201" s="27">
        <f>IF($A201="","",SUMIFS(入库单!$K$4:$K$2503,入库单!$G$4:$G$2503,$A201,入库单!$X$4:$X$2503,"矿区退库",入库单!$Z$4:$Z$2503,"正常",入库单!$C$4:$C$2503,"&gt;="&amp;账期起,入库单!$C$4:$C$2503,"&lt;="&amp;账期止))</f>
        <v/>
      </c>
      <c r="O201" s="26">
        <f>IF($A201="","",ROUND($N201*$K201,0))</f>
        <v/>
      </c>
      <c r="P201" s="27">
        <f>IF($A201="","",SUMIFS(出库单!$J$4:$J$4003,出库单!$D$4:$D$4003,$A201,出库单!$K$4:$K$4003,"自用消耗",出库单!$U$4:$U$4003,"正常",出库单!$C$4:$C$4003,"&gt;="&amp;账期起,出库单!$C$4:$C$4003,"&lt;="&amp;账期止))</f>
        <v/>
      </c>
      <c r="Q201" s="26">
        <f>IF($A201="","",ROUND(SUMIFS(出库单!$S$4:$S$4003,出库单!$D$4:$D$4003,$A201,出库单!$K$4:$K$4003,"自用消耗",出库单!$U$4:$U$4003,"正常",出库单!$C$4:$C$4003,"&gt;="&amp;账期起,出库单!$C$4:$C$4003,"&lt;="&amp;账期止),0))</f>
        <v/>
      </c>
      <c r="R201" s="27">
        <f>IF($A201="","",SUMIFS(出库单!$J$4:$J$4003,出库单!$D$4:$D$4003,$A201,出库单!$K$4:$K$4003,"对外销售",出库单!$U$4:$U$4003,"正常",出库单!$C$4:$C$4003,"&gt;="&amp;账期起,出库单!$C$4:$C$4003,"&lt;="&amp;账期止))</f>
        <v/>
      </c>
      <c r="S201" s="26">
        <f>IF($A201="","",ROUND(SUMIFS(出库单!$S$4:$S$4003,出库单!$D$4:$D$4003,$A201,出库单!$K$4:$K$4003,"对外销售",出库单!$U$4:$U$4003,"正常",出库单!$C$4:$C$4003,"&gt;="&amp;账期起,出库单!$C$4:$C$4003,"&lt;="&amp;账期止),0))</f>
        <v/>
      </c>
      <c r="T201" s="27">
        <f>IF($A201="","",SUMIFS(出库单!$J$4:$J$4003,出库单!$D$4:$D$4003,$A201,出库单!$K$4:$K$4003,"盘亏",出库单!$U$4:$U$4003,"正常",出库单!$C$4:$C$4003,"&gt;="&amp;账期起,出库单!$C$4:$C$4003,"&lt;="&amp;账期止))</f>
        <v/>
      </c>
      <c r="U201" s="26">
        <f>IF($A201="","",ROUND(SUMIFS(出库单!$S$4:$S$4003,出库单!$D$4:$D$4003,$A201,出库单!$K$4:$K$4003,"盘亏",出库单!$U$4:$U$4003,"正常",出库单!$C$4:$C$4003,"&gt;="&amp;账期起,出库单!$C$4:$C$4003,"&lt;="&amp;账期止),0))</f>
        <v/>
      </c>
      <c r="V201" s="27">
        <f>IF($A201="","",SUMIFS(出库单!$J$4:$J$4003,出库单!$D$4:$D$4003,$A201,出库单!$K$4:$K$4003,"退货给供应商",出库单!$U$4:$U$4003,"正常",出库单!$C$4:$C$4003,"&gt;="&amp;账期起,出库单!$C$4:$C$4003,"&lt;="&amp;账期止))</f>
        <v/>
      </c>
      <c r="W201" s="26">
        <f>IF($A201="","",ROUND(SUMIFS(出库单!$S$4:$S$4003,出库单!$D$4:$D$4003,$A201,出库单!$K$4:$K$4003,"退货给供应商",出库单!$U$4:$U$4003,"正常",出库单!$C$4:$C$4003,"&gt;="&amp;账期起,出库单!$C$4:$C$4003,"&lt;="&amp;账期止),0))</f>
        <v/>
      </c>
      <c r="X201" s="27">
        <f>IF($A201="","",ROUND(N($G201)+$I201+$L201+$N201-$P201-$R201-$T201-$V201,3))</f>
        <v/>
      </c>
      <c r="Y201" s="26">
        <f>IF($A201="","",ROUND(N($H201)+$J201+$M201+$O201-$Q201-$S201-$U201-$W201,0))</f>
        <v/>
      </c>
      <c r="Z201" s="24">
        <f>IF($A201="","",IF(COUNTIFS(入库单!$G$4:$G$2503,$A201,入库单!$Y$4:$Y$2503,"待补价")+COUNTIFS(入库单!$G$4:$G$2503,$A201,入库单!$Y$4:$Y$2503,"暂估")&gt;0,"不可信","可信"))</f>
        <v/>
      </c>
      <c r="AA201" s="24">
        <f>IF($A201="","",IF($X201&lt;-0.001,"※账面负库存，查一下是不是漏记入库",IF(AND(ROUND($X201,3)=0,ABS($Y201)&gt;1),"※数量已经是 0，金额还挂着 "&amp;TEXT($Y201,"#,##0")&amp;" 先令",IF(AND($X201&gt;0,$Y201&lt;=0,$K201=0),"※有数量没金额（这个物料一直没填过进价）",IF($Z201="不可信","△成本含待补价/暂估，毛利仅供参考","")))))</f>
        <v/>
      </c>
    </row>
    <row r="202">
      <c r="A202" s="24">
        <f>IF(物料档案!$A201="","",物料档案!$A201)</f>
        <v/>
      </c>
      <c r="B202" s="24">
        <f>IF($A202="","",IFERROR(VLOOKUP($A202,物料档案!$A$4:$P$1203,3,0),""))</f>
        <v/>
      </c>
      <c r="C202" s="24">
        <f>IF($A202="","",IFERROR(VLOOKUP($A202,物料档案!$A$4:$P$1203,4,0),""))</f>
        <v/>
      </c>
      <c r="D202" s="24">
        <f>IF($A202="","",IFERROR(VLOOKUP($A202,物料档案!$A$4:$P$1203,5,0),""))</f>
        <v/>
      </c>
      <c r="E202" s="24">
        <f>IF($A202="","",IFERROR(VLOOKUP($A202,物料档案!$A$4:$P$1203,2,0),""))</f>
        <v/>
      </c>
      <c r="F202" s="24">
        <f>IF($A202="","",IFERROR(VLOOKUP($A202,物料档案!$A$4:$P$1203,6,0),""))</f>
        <v/>
      </c>
      <c r="G202" s="23" t="n"/>
      <c r="H202" s="32" t="n"/>
      <c r="I202" s="27">
        <f>IF($A202="","",SUMIFS(入库单!$K$4:$K$2503,入库单!$G$4:$G$2503,$A202,入库单!$X$4:$X$2503,"采购入库",入库单!$Z$4:$Z$2503,"正常",入库单!$C$4:$C$2503,"&gt;="&amp;账期起,入库单!$C$4:$C$2503,"&lt;="&amp;账期止))</f>
        <v/>
      </c>
      <c r="J202" s="26">
        <f>IF($A202="","",SUMIFS(入库单!$V$4:$V$2503,入库单!$G$4:$G$2503,$A202,入库单!$X$4:$X$2503,"采购入库",入库单!$Z$4:$Z$2503,"正常",入库单!$C$4:$C$2503,"&gt;="&amp;账期起,入库单!$C$4:$C$2503,"&lt;="&amp;账期止))</f>
        <v/>
      </c>
      <c r="K202" s="26">
        <f>IF($A202="","",IFERROR(ROUND((N($H202)+N($J202))/(N($G202)+N($I202)),2),0))</f>
        <v/>
      </c>
      <c r="L202" s="27">
        <f>IF($A202="","",SUMIFS(入库单!$K$4:$K$2503,入库单!$G$4:$G$2503,$A202,入库单!$X$4:$X$2503,"盘盈",入库单!$Z$4:$Z$2503,"正常",入库单!$C$4:$C$2503,"&gt;="&amp;账期起,入库单!$C$4:$C$2503,"&lt;="&amp;账期止))</f>
        <v/>
      </c>
      <c r="M202" s="26">
        <f>IF($A202="","",ROUND($L202*$K202,0))</f>
        <v/>
      </c>
      <c r="N202" s="27">
        <f>IF($A202="","",SUMIFS(入库单!$K$4:$K$2503,入库单!$G$4:$G$2503,$A202,入库单!$X$4:$X$2503,"矿区退库",入库单!$Z$4:$Z$2503,"正常",入库单!$C$4:$C$2503,"&gt;="&amp;账期起,入库单!$C$4:$C$2503,"&lt;="&amp;账期止))</f>
        <v/>
      </c>
      <c r="O202" s="26">
        <f>IF($A202="","",ROUND($N202*$K202,0))</f>
        <v/>
      </c>
      <c r="P202" s="27">
        <f>IF($A202="","",SUMIFS(出库单!$J$4:$J$4003,出库单!$D$4:$D$4003,$A202,出库单!$K$4:$K$4003,"自用消耗",出库单!$U$4:$U$4003,"正常",出库单!$C$4:$C$4003,"&gt;="&amp;账期起,出库单!$C$4:$C$4003,"&lt;="&amp;账期止))</f>
        <v/>
      </c>
      <c r="Q202" s="26">
        <f>IF($A202="","",ROUND(SUMIFS(出库单!$S$4:$S$4003,出库单!$D$4:$D$4003,$A202,出库单!$K$4:$K$4003,"自用消耗",出库单!$U$4:$U$4003,"正常",出库单!$C$4:$C$4003,"&gt;="&amp;账期起,出库单!$C$4:$C$4003,"&lt;="&amp;账期止),0))</f>
        <v/>
      </c>
      <c r="R202" s="27">
        <f>IF($A202="","",SUMIFS(出库单!$J$4:$J$4003,出库单!$D$4:$D$4003,$A202,出库单!$K$4:$K$4003,"对外销售",出库单!$U$4:$U$4003,"正常",出库单!$C$4:$C$4003,"&gt;="&amp;账期起,出库单!$C$4:$C$4003,"&lt;="&amp;账期止))</f>
        <v/>
      </c>
      <c r="S202" s="26">
        <f>IF($A202="","",ROUND(SUMIFS(出库单!$S$4:$S$4003,出库单!$D$4:$D$4003,$A202,出库单!$K$4:$K$4003,"对外销售",出库单!$U$4:$U$4003,"正常",出库单!$C$4:$C$4003,"&gt;="&amp;账期起,出库单!$C$4:$C$4003,"&lt;="&amp;账期止),0))</f>
        <v/>
      </c>
      <c r="T202" s="27">
        <f>IF($A202="","",SUMIFS(出库单!$J$4:$J$4003,出库单!$D$4:$D$4003,$A202,出库单!$K$4:$K$4003,"盘亏",出库单!$U$4:$U$4003,"正常",出库单!$C$4:$C$4003,"&gt;="&amp;账期起,出库单!$C$4:$C$4003,"&lt;="&amp;账期止))</f>
        <v/>
      </c>
      <c r="U202" s="26">
        <f>IF($A202="","",ROUND(SUMIFS(出库单!$S$4:$S$4003,出库单!$D$4:$D$4003,$A202,出库单!$K$4:$K$4003,"盘亏",出库单!$U$4:$U$4003,"正常",出库单!$C$4:$C$4003,"&gt;="&amp;账期起,出库单!$C$4:$C$4003,"&lt;="&amp;账期止),0))</f>
        <v/>
      </c>
      <c r="V202" s="27">
        <f>IF($A202="","",SUMIFS(出库单!$J$4:$J$4003,出库单!$D$4:$D$4003,$A202,出库单!$K$4:$K$4003,"退货给供应商",出库单!$U$4:$U$4003,"正常",出库单!$C$4:$C$4003,"&gt;="&amp;账期起,出库单!$C$4:$C$4003,"&lt;="&amp;账期止))</f>
        <v/>
      </c>
      <c r="W202" s="26">
        <f>IF($A202="","",ROUND(SUMIFS(出库单!$S$4:$S$4003,出库单!$D$4:$D$4003,$A202,出库单!$K$4:$K$4003,"退货给供应商",出库单!$U$4:$U$4003,"正常",出库单!$C$4:$C$4003,"&gt;="&amp;账期起,出库单!$C$4:$C$4003,"&lt;="&amp;账期止),0))</f>
        <v/>
      </c>
      <c r="X202" s="27">
        <f>IF($A202="","",ROUND(N($G202)+$I202+$L202+$N202-$P202-$R202-$T202-$V202,3))</f>
        <v/>
      </c>
      <c r="Y202" s="26">
        <f>IF($A202="","",ROUND(N($H202)+$J202+$M202+$O202-$Q202-$S202-$U202-$W202,0))</f>
        <v/>
      </c>
      <c r="Z202" s="24">
        <f>IF($A202="","",IF(COUNTIFS(入库单!$G$4:$G$2503,$A202,入库单!$Y$4:$Y$2503,"待补价")+COUNTIFS(入库单!$G$4:$G$2503,$A202,入库单!$Y$4:$Y$2503,"暂估")&gt;0,"不可信","可信"))</f>
        <v/>
      </c>
      <c r="AA202" s="24">
        <f>IF($A202="","",IF($X202&lt;-0.001,"※账面负库存，查一下是不是漏记入库",IF(AND(ROUND($X202,3)=0,ABS($Y202)&gt;1),"※数量已经是 0，金额还挂着 "&amp;TEXT($Y202,"#,##0")&amp;" 先令",IF(AND($X202&gt;0,$Y202&lt;=0,$K202=0),"※有数量没金额（这个物料一直没填过进价）",IF($Z202="不可信","△成本含待补价/暂估，毛利仅供参考","")))))</f>
        <v/>
      </c>
    </row>
    <row r="203">
      <c r="A203" s="24">
        <f>IF(物料档案!$A202="","",物料档案!$A202)</f>
        <v/>
      </c>
      <c r="B203" s="24">
        <f>IF($A203="","",IFERROR(VLOOKUP($A203,物料档案!$A$4:$P$1203,3,0),""))</f>
        <v/>
      </c>
      <c r="C203" s="24">
        <f>IF($A203="","",IFERROR(VLOOKUP($A203,物料档案!$A$4:$P$1203,4,0),""))</f>
        <v/>
      </c>
      <c r="D203" s="24">
        <f>IF($A203="","",IFERROR(VLOOKUP($A203,物料档案!$A$4:$P$1203,5,0),""))</f>
        <v/>
      </c>
      <c r="E203" s="24">
        <f>IF($A203="","",IFERROR(VLOOKUP($A203,物料档案!$A$4:$P$1203,2,0),""))</f>
        <v/>
      </c>
      <c r="F203" s="24">
        <f>IF($A203="","",IFERROR(VLOOKUP($A203,物料档案!$A$4:$P$1203,6,0),""))</f>
        <v/>
      </c>
      <c r="G203" s="23" t="n"/>
      <c r="H203" s="32" t="n"/>
      <c r="I203" s="27">
        <f>IF($A203="","",SUMIFS(入库单!$K$4:$K$2503,入库单!$G$4:$G$2503,$A203,入库单!$X$4:$X$2503,"采购入库",入库单!$Z$4:$Z$2503,"正常",入库单!$C$4:$C$2503,"&gt;="&amp;账期起,入库单!$C$4:$C$2503,"&lt;="&amp;账期止))</f>
        <v/>
      </c>
      <c r="J203" s="26">
        <f>IF($A203="","",SUMIFS(入库单!$V$4:$V$2503,入库单!$G$4:$G$2503,$A203,入库单!$X$4:$X$2503,"采购入库",入库单!$Z$4:$Z$2503,"正常",入库单!$C$4:$C$2503,"&gt;="&amp;账期起,入库单!$C$4:$C$2503,"&lt;="&amp;账期止))</f>
        <v/>
      </c>
      <c r="K203" s="26">
        <f>IF($A203="","",IFERROR(ROUND((N($H203)+N($J203))/(N($G203)+N($I203)),2),0))</f>
        <v/>
      </c>
      <c r="L203" s="27">
        <f>IF($A203="","",SUMIFS(入库单!$K$4:$K$2503,入库单!$G$4:$G$2503,$A203,入库单!$X$4:$X$2503,"盘盈",入库单!$Z$4:$Z$2503,"正常",入库单!$C$4:$C$2503,"&gt;="&amp;账期起,入库单!$C$4:$C$2503,"&lt;="&amp;账期止))</f>
        <v/>
      </c>
      <c r="M203" s="26">
        <f>IF($A203="","",ROUND($L203*$K203,0))</f>
        <v/>
      </c>
      <c r="N203" s="27">
        <f>IF($A203="","",SUMIFS(入库单!$K$4:$K$2503,入库单!$G$4:$G$2503,$A203,入库单!$X$4:$X$2503,"矿区退库",入库单!$Z$4:$Z$2503,"正常",入库单!$C$4:$C$2503,"&gt;="&amp;账期起,入库单!$C$4:$C$2503,"&lt;="&amp;账期止))</f>
        <v/>
      </c>
      <c r="O203" s="26">
        <f>IF($A203="","",ROUND($N203*$K203,0))</f>
        <v/>
      </c>
      <c r="P203" s="27">
        <f>IF($A203="","",SUMIFS(出库单!$J$4:$J$4003,出库单!$D$4:$D$4003,$A203,出库单!$K$4:$K$4003,"自用消耗",出库单!$U$4:$U$4003,"正常",出库单!$C$4:$C$4003,"&gt;="&amp;账期起,出库单!$C$4:$C$4003,"&lt;="&amp;账期止))</f>
        <v/>
      </c>
      <c r="Q203" s="26">
        <f>IF($A203="","",ROUND(SUMIFS(出库单!$S$4:$S$4003,出库单!$D$4:$D$4003,$A203,出库单!$K$4:$K$4003,"自用消耗",出库单!$U$4:$U$4003,"正常",出库单!$C$4:$C$4003,"&gt;="&amp;账期起,出库单!$C$4:$C$4003,"&lt;="&amp;账期止),0))</f>
        <v/>
      </c>
      <c r="R203" s="27">
        <f>IF($A203="","",SUMIFS(出库单!$J$4:$J$4003,出库单!$D$4:$D$4003,$A203,出库单!$K$4:$K$4003,"对外销售",出库单!$U$4:$U$4003,"正常",出库单!$C$4:$C$4003,"&gt;="&amp;账期起,出库单!$C$4:$C$4003,"&lt;="&amp;账期止))</f>
        <v/>
      </c>
      <c r="S203" s="26">
        <f>IF($A203="","",ROUND(SUMIFS(出库单!$S$4:$S$4003,出库单!$D$4:$D$4003,$A203,出库单!$K$4:$K$4003,"对外销售",出库单!$U$4:$U$4003,"正常",出库单!$C$4:$C$4003,"&gt;="&amp;账期起,出库单!$C$4:$C$4003,"&lt;="&amp;账期止),0))</f>
        <v/>
      </c>
      <c r="T203" s="27">
        <f>IF($A203="","",SUMIFS(出库单!$J$4:$J$4003,出库单!$D$4:$D$4003,$A203,出库单!$K$4:$K$4003,"盘亏",出库单!$U$4:$U$4003,"正常",出库单!$C$4:$C$4003,"&gt;="&amp;账期起,出库单!$C$4:$C$4003,"&lt;="&amp;账期止))</f>
        <v/>
      </c>
      <c r="U203" s="26">
        <f>IF($A203="","",ROUND(SUMIFS(出库单!$S$4:$S$4003,出库单!$D$4:$D$4003,$A203,出库单!$K$4:$K$4003,"盘亏",出库单!$U$4:$U$4003,"正常",出库单!$C$4:$C$4003,"&gt;="&amp;账期起,出库单!$C$4:$C$4003,"&lt;="&amp;账期止),0))</f>
        <v/>
      </c>
      <c r="V203" s="27">
        <f>IF($A203="","",SUMIFS(出库单!$J$4:$J$4003,出库单!$D$4:$D$4003,$A203,出库单!$K$4:$K$4003,"退货给供应商",出库单!$U$4:$U$4003,"正常",出库单!$C$4:$C$4003,"&gt;="&amp;账期起,出库单!$C$4:$C$4003,"&lt;="&amp;账期止))</f>
        <v/>
      </c>
      <c r="W203" s="26">
        <f>IF($A203="","",ROUND(SUMIFS(出库单!$S$4:$S$4003,出库单!$D$4:$D$4003,$A203,出库单!$K$4:$K$4003,"退货给供应商",出库单!$U$4:$U$4003,"正常",出库单!$C$4:$C$4003,"&gt;="&amp;账期起,出库单!$C$4:$C$4003,"&lt;="&amp;账期止),0))</f>
        <v/>
      </c>
      <c r="X203" s="27">
        <f>IF($A203="","",ROUND(N($G203)+$I203+$L203+$N203-$P203-$R203-$T203-$V203,3))</f>
        <v/>
      </c>
      <c r="Y203" s="26">
        <f>IF($A203="","",ROUND(N($H203)+$J203+$M203+$O203-$Q203-$S203-$U203-$W203,0))</f>
        <v/>
      </c>
      <c r="Z203" s="24">
        <f>IF($A203="","",IF(COUNTIFS(入库单!$G$4:$G$2503,$A203,入库单!$Y$4:$Y$2503,"待补价")+COUNTIFS(入库单!$G$4:$G$2503,$A203,入库单!$Y$4:$Y$2503,"暂估")&gt;0,"不可信","可信"))</f>
        <v/>
      </c>
      <c r="AA203" s="24">
        <f>IF($A203="","",IF($X203&lt;-0.001,"※账面负库存，查一下是不是漏记入库",IF(AND(ROUND($X203,3)=0,ABS($Y203)&gt;1),"※数量已经是 0，金额还挂着 "&amp;TEXT($Y203,"#,##0")&amp;" 先令",IF(AND($X203&gt;0,$Y203&lt;=0,$K203=0),"※有数量没金额（这个物料一直没填过进价）",IF($Z203="不可信","△成本含待补价/暂估，毛利仅供参考","")))))</f>
        <v/>
      </c>
    </row>
    <row r="204">
      <c r="A204" s="24">
        <f>IF(物料档案!$A203="","",物料档案!$A203)</f>
        <v/>
      </c>
      <c r="B204" s="24">
        <f>IF($A204="","",IFERROR(VLOOKUP($A204,物料档案!$A$4:$P$1203,3,0),""))</f>
        <v/>
      </c>
      <c r="C204" s="24">
        <f>IF($A204="","",IFERROR(VLOOKUP($A204,物料档案!$A$4:$P$1203,4,0),""))</f>
        <v/>
      </c>
      <c r="D204" s="24">
        <f>IF($A204="","",IFERROR(VLOOKUP($A204,物料档案!$A$4:$P$1203,5,0),""))</f>
        <v/>
      </c>
      <c r="E204" s="24">
        <f>IF($A204="","",IFERROR(VLOOKUP($A204,物料档案!$A$4:$P$1203,2,0),""))</f>
        <v/>
      </c>
      <c r="F204" s="24">
        <f>IF($A204="","",IFERROR(VLOOKUP($A204,物料档案!$A$4:$P$1203,6,0),""))</f>
        <v/>
      </c>
      <c r="G204" s="23" t="n"/>
      <c r="H204" s="32" t="n"/>
      <c r="I204" s="27">
        <f>IF($A204="","",SUMIFS(入库单!$K$4:$K$2503,入库单!$G$4:$G$2503,$A204,入库单!$X$4:$X$2503,"采购入库",入库单!$Z$4:$Z$2503,"正常",入库单!$C$4:$C$2503,"&gt;="&amp;账期起,入库单!$C$4:$C$2503,"&lt;="&amp;账期止))</f>
        <v/>
      </c>
      <c r="J204" s="26">
        <f>IF($A204="","",SUMIFS(入库单!$V$4:$V$2503,入库单!$G$4:$G$2503,$A204,入库单!$X$4:$X$2503,"采购入库",入库单!$Z$4:$Z$2503,"正常",入库单!$C$4:$C$2503,"&gt;="&amp;账期起,入库单!$C$4:$C$2503,"&lt;="&amp;账期止))</f>
        <v/>
      </c>
      <c r="K204" s="26">
        <f>IF($A204="","",IFERROR(ROUND((N($H204)+N($J204))/(N($G204)+N($I204)),2),0))</f>
        <v/>
      </c>
      <c r="L204" s="27">
        <f>IF($A204="","",SUMIFS(入库单!$K$4:$K$2503,入库单!$G$4:$G$2503,$A204,入库单!$X$4:$X$2503,"盘盈",入库单!$Z$4:$Z$2503,"正常",入库单!$C$4:$C$2503,"&gt;="&amp;账期起,入库单!$C$4:$C$2503,"&lt;="&amp;账期止))</f>
        <v/>
      </c>
      <c r="M204" s="26">
        <f>IF($A204="","",ROUND($L204*$K204,0))</f>
        <v/>
      </c>
      <c r="N204" s="27">
        <f>IF($A204="","",SUMIFS(入库单!$K$4:$K$2503,入库单!$G$4:$G$2503,$A204,入库单!$X$4:$X$2503,"矿区退库",入库单!$Z$4:$Z$2503,"正常",入库单!$C$4:$C$2503,"&gt;="&amp;账期起,入库单!$C$4:$C$2503,"&lt;="&amp;账期止))</f>
        <v/>
      </c>
      <c r="O204" s="26">
        <f>IF($A204="","",ROUND($N204*$K204,0))</f>
        <v/>
      </c>
      <c r="P204" s="27">
        <f>IF($A204="","",SUMIFS(出库单!$J$4:$J$4003,出库单!$D$4:$D$4003,$A204,出库单!$K$4:$K$4003,"自用消耗",出库单!$U$4:$U$4003,"正常",出库单!$C$4:$C$4003,"&gt;="&amp;账期起,出库单!$C$4:$C$4003,"&lt;="&amp;账期止))</f>
        <v/>
      </c>
      <c r="Q204" s="26">
        <f>IF($A204="","",ROUND(SUMIFS(出库单!$S$4:$S$4003,出库单!$D$4:$D$4003,$A204,出库单!$K$4:$K$4003,"自用消耗",出库单!$U$4:$U$4003,"正常",出库单!$C$4:$C$4003,"&gt;="&amp;账期起,出库单!$C$4:$C$4003,"&lt;="&amp;账期止),0))</f>
        <v/>
      </c>
      <c r="R204" s="27">
        <f>IF($A204="","",SUMIFS(出库单!$J$4:$J$4003,出库单!$D$4:$D$4003,$A204,出库单!$K$4:$K$4003,"对外销售",出库单!$U$4:$U$4003,"正常",出库单!$C$4:$C$4003,"&gt;="&amp;账期起,出库单!$C$4:$C$4003,"&lt;="&amp;账期止))</f>
        <v/>
      </c>
      <c r="S204" s="26">
        <f>IF($A204="","",ROUND(SUMIFS(出库单!$S$4:$S$4003,出库单!$D$4:$D$4003,$A204,出库单!$K$4:$K$4003,"对外销售",出库单!$U$4:$U$4003,"正常",出库单!$C$4:$C$4003,"&gt;="&amp;账期起,出库单!$C$4:$C$4003,"&lt;="&amp;账期止),0))</f>
        <v/>
      </c>
      <c r="T204" s="27">
        <f>IF($A204="","",SUMIFS(出库单!$J$4:$J$4003,出库单!$D$4:$D$4003,$A204,出库单!$K$4:$K$4003,"盘亏",出库单!$U$4:$U$4003,"正常",出库单!$C$4:$C$4003,"&gt;="&amp;账期起,出库单!$C$4:$C$4003,"&lt;="&amp;账期止))</f>
        <v/>
      </c>
      <c r="U204" s="26">
        <f>IF($A204="","",ROUND(SUMIFS(出库单!$S$4:$S$4003,出库单!$D$4:$D$4003,$A204,出库单!$K$4:$K$4003,"盘亏",出库单!$U$4:$U$4003,"正常",出库单!$C$4:$C$4003,"&gt;="&amp;账期起,出库单!$C$4:$C$4003,"&lt;="&amp;账期止),0))</f>
        <v/>
      </c>
      <c r="V204" s="27">
        <f>IF($A204="","",SUMIFS(出库单!$J$4:$J$4003,出库单!$D$4:$D$4003,$A204,出库单!$K$4:$K$4003,"退货给供应商",出库单!$U$4:$U$4003,"正常",出库单!$C$4:$C$4003,"&gt;="&amp;账期起,出库单!$C$4:$C$4003,"&lt;="&amp;账期止))</f>
        <v/>
      </c>
      <c r="W204" s="26">
        <f>IF($A204="","",ROUND(SUMIFS(出库单!$S$4:$S$4003,出库单!$D$4:$D$4003,$A204,出库单!$K$4:$K$4003,"退货给供应商",出库单!$U$4:$U$4003,"正常",出库单!$C$4:$C$4003,"&gt;="&amp;账期起,出库单!$C$4:$C$4003,"&lt;="&amp;账期止),0))</f>
        <v/>
      </c>
      <c r="X204" s="27">
        <f>IF($A204="","",ROUND(N($G204)+$I204+$L204+$N204-$P204-$R204-$T204-$V204,3))</f>
        <v/>
      </c>
      <c r="Y204" s="26">
        <f>IF($A204="","",ROUND(N($H204)+$J204+$M204+$O204-$Q204-$S204-$U204-$W204,0))</f>
        <v/>
      </c>
      <c r="Z204" s="24">
        <f>IF($A204="","",IF(COUNTIFS(入库单!$G$4:$G$2503,$A204,入库单!$Y$4:$Y$2503,"待补价")+COUNTIFS(入库单!$G$4:$G$2503,$A204,入库单!$Y$4:$Y$2503,"暂估")&gt;0,"不可信","可信"))</f>
        <v/>
      </c>
      <c r="AA204" s="24">
        <f>IF($A204="","",IF($X204&lt;-0.001,"※账面负库存，查一下是不是漏记入库",IF(AND(ROUND($X204,3)=0,ABS($Y204)&gt;1),"※数量已经是 0，金额还挂着 "&amp;TEXT($Y204,"#,##0")&amp;" 先令",IF(AND($X204&gt;0,$Y204&lt;=0,$K204=0),"※有数量没金额（这个物料一直没填过进价）",IF($Z204="不可信","△成本含待补价/暂估，毛利仅供参考","")))))</f>
        <v/>
      </c>
    </row>
    <row r="205">
      <c r="A205" s="24">
        <f>IF(物料档案!$A204="","",物料档案!$A204)</f>
        <v/>
      </c>
      <c r="B205" s="24">
        <f>IF($A205="","",IFERROR(VLOOKUP($A205,物料档案!$A$4:$P$1203,3,0),""))</f>
        <v/>
      </c>
      <c r="C205" s="24">
        <f>IF($A205="","",IFERROR(VLOOKUP($A205,物料档案!$A$4:$P$1203,4,0),""))</f>
        <v/>
      </c>
      <c r="D205" s="24">
        <f>IF($A205="","",IFERROR(VLOOKUP($A205,物料档案!$A$4:$P$1203,5,0),""))</f>
        <v/>
      </c>
      <c r="E205" s="24">
        <f>IF($A205="","",IFERROR(VLOOKUP($A205,物料档案!$A$4:$P$1203,2,0),""))</f>
        <v/>
      </c>
      <c r="F205" s="24">
        <f>IF($A205="","",IFERROR(VLOOKUP($A205,物料档案!$A$4:$P$1203,6,0),""))</f>
        <v/>
      </c>
      <c r="G205" s="23" t="n"/>
      <c r="H205" s="32" t="n"/>
      <c r="I205" s="27">
        <f>IF($A205="","",SUMIFS(入库单!$K$4:$K$2503,入库单!$G$4:$G$2503,$A205,入库单!$X$4:$X$2503,"采购入库",入库单!$Z$4:$Z$2503,"正常",入库单!$C$4:$C$2503,"&gt;="&amp;账期起,入库单!$C$4:$C$2503,"&lt;="&amp;账期止))</f>
        <v/>
      </c>
      <c r="J205" s="26">
        <f>IF($A205="","",SUMIFS(入库单!$V$4:$V$2503,入库单!$G$4:$G$2503,$A205,入库单!$X$4:$X$2503,"采购入库",入库单!$Z$4:$Z$2503,"正常",入库单!$C$4:$C$2503,"&gt;="&amp;账期起,入库单!$C$4:$C$2503,"&lt;="&amp;账期止))</f>
        <v/>
      </c>
      <c r="K205" s="26">
        <f>IF($A205="","",IFERROR(ROUND((N($H205)+N($J205))/(N($G205)+N($I205)),2),0))</f>
        <v/>
      </c>
      <c r="L205" s="27">
        <f>IF($A205="","",SUMIFS(入库单!$K$4:$K$2503,入库单!$G$4:$G$2503,$A205,入库单!$X$4:$X$2503,"盘盈",入库单!$Z$4:$Z$2503,"正常",入库单!$C$4:$C$2503,"&gt;="&amp;账期起,入库单!$C$4:$C$2503,"&lt;="&amp;账期止))</f>
        <v/>
      </c>
      <c r="M205" s="26">
        <f>IF($A205="","",ROUND($L205*$K205,0))</f>
        <v/>
      </c>
      <c r="N205" s="27">
        <f>IF($A205="","",SUMIFS(入库单!$K$4:$K$2503,入库单!$G$4:$G$2503,$A205,入库单!$X$4:$X$2503,"矿区退库",入库单!$Z$4:$Z$2503,"正常",入库单!$C$4:$C$2503,"&gt;="&amp;账期起,入库单!$C$4:$C$2503,"&lt;="&amp;账期止))</f>
        <v/>
      </c>
      <c r="O205" s="26">
        <f>IF($A205="","",ROUND($N205*$K205,0))</f>
        <v/>
      </c>
      <c r="P205" s="27">
        <f>IF($A205="","",SUMIFS(出库单!$J$4:$J$4003,出库单!$D$4:$D$4003,$A205,出库单!$K$4:$K$4003,"自用消耗",出库单!$U$4:$U$4003,"正常",出库单!$C$4:$C$4003,"&gt;="&amp;账期起,出库单!$C$4:$C$4003,"&lt;="&amp;账期止))</f>
        <v/>
      </c>
      <c r="Q205" s="26">
        <f>IF($A205="","",ROUND(SUMIFS(出库单!$S$4:$S$4003,出库单!$D$4:$D$4003,$A205,出库单!$K$4:$K$4003,"自用消耗",出库单!$U$4:$U$4003,"正常",出库单!$C$4:$C$4003,"&gt;="&amp;账期起,出库单!$C$4:$C$4003,"&lt;="&amp;账期止),0))</f>
        <v/>
      </c>
      <c r="R205" s="27">
        <f>IF($A205="","",SUMIFS(出库单!$J$4:$J$4003,出库单!$D$4:$D$4003,$A205,出库单!$K$4:$K$4003,"对外销售",出库单!$U$4:$U$4003,"正常",出库单!$C$4:$C$4003,"&gt;="&amp;账期起,出库单!$C$4:$C$4003,"&lt;="&amp;账期止))</f>
        <v/>
      </c>
      <c r="S205" s="26">
        <f>IF($A205="","",ROUND(SUMIFS(出库单!$S$4:$S$4003,出库单!$D$4:$D$4003,$A205,出库单!$K$4:$K$4003,"对外销售",出库单!$U$4:$U$4003,"正常",出库单!$C$4:$C$4003,"&gt;="&amp;账期起,出库单!$C$4:$C$4003,"&lt;="&amp;账期止),0))</f>
        <v/>
      </c>
      <c r="T205" s="27">
        <f>IF($A205="","",SUMIFS(出库单!$J$4:$J$4003,出库单!$D$4:$D$4003,$A205,出库单!$K$4:$K$4003,"盘亏",出库单!$U$4:$U$4003,"正常",出库单!$C$4:$C$4003,"&gt;="&amp;账期起,出库单!$C$4:$C$4003,"&lt;="&amp;账期止))</f>
        <v/>
      </c>
      <c r="U205" s="26">
        <f>IF($A205="","",ROUND(SUMIFS(出库单!$S$4:$S$4003,出库单!$D$4:$D$4003,$A205,出库单!$K$4:$K$4003,"盘亏",出库单!$U$4:$U$4003,"正常",出库单!$C$4:$C$4003,"&gt;="&amp;账期起,出库单!$C$4:$C$4003,"&lt;="&amp;账期止),0))</f>
        <v/>
      </c>
      <c r="V205" s="27">
        <f>IF($A205="","",SUMIFS(出库单!$J$4:$J$4003,出库单!$D$4:$D$4003,$A205,出库单!$K$4:$K$4003,"退货给供应商",出库单!$U$4:$U$4003,"正常",出库单!$C$4:$C$4003,"&gt;="&amp;账期起,出库单!$C$4:$C$4003,"&lt;="&amp;账期止))</f>
        <v/>
      </c>
      <c r="W205" s="26">
        <f>IF($A205="","",ROUND(SUMIFS(出库单!$S$4:$S$4003,出库单!$D$4:$D$4003,$A205,出库单!$K$4:$K$4003,"退货给供应商",出库单!$U$4:$U$4003,"正常",出库单!$C$4:$C$4003,"&gt;="&amp;账期起,出库单!$C$4:$C$4003,"&lt;="&amp;账期止),0))</f>
        <v/>
      </c>
      <c r="X205" s="27">
        <f>IF($A205="","",ROUND(N($G205)+$I205+$L205+$N205-$P205-$R205-$T205-$V205,3))</f>
        <v/>
      </c>
      <c r="Y205" s="26">
        <f>IF($A205="","",ROUND(N($H205)+$J205+$M205+$O205-$Q205-$S205-$U205-$W205,0))</f>
        <v/>
      </c>
      <c r="Z205" s="24">
        <f>IF($A205="","",IF(COUNTIFS(入库单!$G$4:$G$2503,$A205,入库单!$Y$4:$Y$2503,"待补价")+COUNTIFS(入库单!$G$4:$G$2503,$A205,入库单!$Y$4:$Y$2503,"暂估")&gt;0,"不可信","可信"))</f>
        <v/>
      </c>
      <c r="AA205" s="24">
        <f>IF($A205="","",IF($X205&lt;-0.001,"※账面负库存，查一下是不是漏记入库",IF(AND(ROUND($X205,3)=0,ABS($Y205)&gt;1),"※数量已经是 0，金额还挂着 "&amp;TEXT($Y205,"#,##0")&amp;" 先令",IF(AND($X205&gt;0,$Y205&lt;=0,$K205=0),"※有数量没金额（这个物料一直没填过进价）",IF($Z205="不可信","△成本含待补价/暂估，毛利仅供参考","")))))</f>
        <v/>
      </c>
    </row>
    <row r="206">
      <c r="A206" s="24">
        <f>IF(物料档案!$A205="","",物料档案!$A205)</f>
        <v/>
      </c>
      <c r="B206" s="24">
        <f>IF($A206="","",IFERROR(VLOOKUP($A206,物料档案!$A$4:$P$1203,3,0),""))</f>
        <v/>
      </c>
      <c r="C206" s="24">
        <f>IF($A206="","",IFERROR(VLOOKUP($A206,物料档案!$A$4:$P$1203,4,0),""))</f>
        <v/>
      </c>
      <c r="D206" s="24">
        <f>IF($A206="","",IFERROR(VLOOKUP($A206,物料档案!$A$4:$P$1203,5,0),""))</f>
        <v/>
      </c>
      <c r="E206" s="24">
        <f>IF($A206="","",IFERROR(VLOOKUP($A206,物料档案!$A$4:$P$1203,2,0),""))</f>
        <v/>
      </c>
      <c r="F206" s="24">
        <f>IF($A206="","",IFERROR(VLOOKUP($A206,物料档案!$A$4:$P$1203,6,0),""))</f>
        <v/>
      </c>
      <c r="G206" s="23" t="n"/>
      <c r="H206" s="32" t="n"/>
      <c r="I206" s="27">
        <f>IF($A206="","",SUMIFS(入库单!$K$4:$K$2503,入库单!$G$4:$G$2503,$A206,入库单!$X$4:$X$2503,"采购入库",入库单!$Z$4:$Z$2503,"正常",入库单!$C$4:$C$2503,"&gt;="&amp;账期起,入库单!$C$4:$C$2503,"&lt;="&amp;账期止))</f>
        <v/>
      </c>
      <c r="J206" s="26">
        <f>IF($A206="","",SUMIFS(入库单!$V$4:$V$2503,入库单!$G$4:$G$2503,$A206,入库单!$X$4:$X$2503,"采购入库",入库单!$Z$4:$Z$2503,"正常",入库单!$C$4:$C$2503,"&gt;="&amp;账期起,入库单!$C$4:$C$2503,"&lt;="&amp;账期止))</f>
        <v/>
      </c>
      <c r="K206" s="26">
        <f>IF($A206="","",IFERROR(ROUND((N($H206)+N($J206))/(N($G206)+N($I206)),2),0))</f>
        <v/>
      </c>
      <c r="L206" s="27">
        <f>IF($A206="","",SUMIFS(入库单!$K$4:$K$2503,入库单!$G$4:$G$2503,$A206,入库单!$X$4:$X$2503,"盘盈",入库单!$Z$4:$Z$2503,"正常",入库单!$C$4:$C$2503,"&gt;="&amp;账期起,入库单!$C$4:$C$2503,"&lt;="&amp;账期止))</f>
        <v/>
      </c>
      <c r="M206" s="26">
        <f>IF($A206="","",ROUND($L206*$K206,0))</f>
        <v/>
      </c>
      <c r="N206" s="27">
        <f>IF($A206="","",SUMIFS(入库单!$K$4:$K$2503,入库单!$G$4:$G$2503,$A206,入库单!$X$4:$X$2503,"矿区退库",入库单!$Z$4:$Z$2503,"正常",入库单!$C$4:$C$2503,"&gt;="&amp;账期起,入库单!$C$4:$C$2503,"&lt;="&amp;账期止))</f>
        <v/>
      </c>
      <c r="O206" s="26">
        <f>IF($A206="","",ROUND($N206*$K206,0))</f>
        <v/>
      </c>
      <c r="P206" s="27">
        <f>IF($A206="","",SUMIFS(出库单!$J$4:$J$4003,出库单!$D$4:$D$4003,$A206,出库单!$K$4:$K$4003,"自用消耗",出库单!$U$4:$U$4003,"正常",出库单!$C$4:$C$4003,"&gt;="&amp;账期起,出库单!$C$4:$C$4003,"&lt;="&amp;账期止))</f>
        <v/>
      </c>
      <c r="Q206" s="26">
        <f>IF($A206="","",ROUND(SUMIFS(出库单!$S$4:$S$4003,出库单!$D$4:$D$4003,$A206,出库单!$K$4:$K$4003,"自用消耗",出库单!$U$4:$U$4003,"正常",出库单!$C$4:$C$4003,"&gt;="&amp;账期起,出库单!$C$4:$C$4003,"&lt;="&amp;账期止),0))</f>
        <v/>
      </c>
      <c r="R206" s="27">
        <f>IF($A206="","",SUMIFS(出库单!$J$4:$J$4003,出库单!$D$4:$D$4003,$A206,出库单!$K$4:$K$4003,"对外销售",出库单!$U$4:$U$4003,"正常",出库单!$C$4:$C$4003,"&gt;="&amp;账期起,出库单!$C$4:$C$4003,"&lt;="&amp;账期止))</f>
        <v/>
      </c>
      <c r="S206" s="26">
        <f>IF($A206="","",ROUND(SUMIFS(出库单!$S$4:$S$4003,出库单!$D$4:$D$4003,$A206,出库单!$K$4:$K$4003,"对外销售",出库单!$U$4:$U$4003,"正常",出库单!$C$4:$C$4003,"&gt;="&amp;账期起,出库单!$C$4:$C$4003,"&lt;="&amp;账期止),0))</f>
        <v/>
      </c>
      <c r="T206" s="27">
        <f>IF($A206="","",SUMIFS(出库单!$J$4:$J$4003,出库单!$D$4:$D$4003,$A206,出库单!$K$4:$K$4003,"盘亏",出库单!$U$4:$U$4003,"正常",出库单!$C$4:$C$4003,"&gt;="&amp;账期起,出库单!$C$4:$C$4003,"&lt;="&amp;账期止))</f>
        <v/>
      </c>
      <c r="U206" s="26">
        <f>IF($A206="","",ROUND(SUMIFS(出库单!$S$4:$S$4003,出库单!$D$4:$D$4003,$A206,出库单!$K$4:$K$4003,"盘亏",出库单!$U$4:$U$4003,"正常",出库单!$C$4:$C$4003,"&gt;="&amp;账期起,出库单!$C$4:$C$4003,"&lt;="&amp;账期止),0))</f>
        <v/>
      </c>
      <c r="V206" s="27">
        <f>IF($A206="","",SUMIFS(出库单!$J$4:$J$4003,出库单!$D$4:$D$4003,$A206,出库单!$K$4:$K$4003,"退货给供应商",出库单!$U$4:$U$4003,"正常",出库单!$C$4:$C$4003,"&gt;="&amp;账期起,出库单!$C$4:$C$4003,"&lt;="&amp;账期止))</f>
        <v/>
      </c>
      <c r="W206" s="26">
        <f>IF($A206="","",ROUND(SUMIFS(出库单!$S$4:$S$4003,出库单!$D$4:$D$4003,$A206,出库单!$K$4:$K$4003,"退货给供应商",出库单!$U$4:$U$4003,"正常",出库单!$C$4:$C$4003,"&gt;="&amp;账期起,出库单!$C$4:$C$4003,"&lt;="&amp;账期止),0))</f>
        <v/>
      </c>
      <c r="X206" s="27">
        <f>IF($A206="","",ROUND(N($G206)+$I206+$L206+$N206-$P206-$R206-$T206-$V206,3))</f>
        <v/>
      </c>
      <c r="Y206" s="26">
        <f>IF($A206="","",ROUND(N($H206)+$J206+$M206+$O206-$Q206-$S206-$U206-$W206,0))</f>
        <v/>
      </c>
      <c r="Z206" s="24">
        <f>IF($A206="","",IF(COUNTIFS(入库单!$G$4:$G$2503,$A206,入库单!$Y$4:$Y$2503,"待补价")+COUNTIFS(入库单!$G$4:$G$2503,$A206,入库单!$Y$4:$Y$2503,"暂估")&gt;0,"不可信","可信"))</f>
        <v/>
      </c>
      <c r="AA206" s="24">
        <f>IF($A206="","",IF($X206&lt;-0.001,"※账面负库存，查一下是不是漏记入库",IF(AND(ROUND($X206,3)=0,ABS($Y206)&gt;1),"※数量已经是 0，金额还挂着 "&amp;TEXT($Y206,"#,##0")&amp;" 先令",IF(AND($X206&gt;0,$Y206&lt;=0,$K206=0),"※有数量没金额（这个物料一直没填过进价）",IF($Z206="不可信","△成本含待补价/暂估，毛利仅供参考","")))))</f>
        <v/>
      </c>
    </row>
    <row r="207">
      <c r="A207" s="24">
        <f>IF(物料档案!$A206="","",物料档案!$A206)</f>
        <v/>
      </c>
      <c r="B207" s="24">
        <f>IF($A207="","",IFERROR(VLOOKUP($A207,物料档案!$A$4:$P$1203,3,0),""))</f>
        <v/>
      </c>
      <c r="C207" s="24">
        <f>IF($A207="","",IFERROR(VLOOKUP($A207,物料档案!$A$4:$P$1203,4,0),""))</f>
        <v/>
      </c>
      <c r="D207" s="24">
        <f>IF($A207="","",IFERROR(VLOOKUP($A207,物料档案!$A$4:$P$1203,5,0),""))</f>
        <v/>
      </c>
      <c r="E207" s="24">
        <f>IF($A207="","",IFERROR(VLOOKUP($A207,物料档案!$A$4:$P$1203,2,0),""))</f>
        <v/>
      </c>
      <c r="F207" s="24">
        <f>IF($A207="","",IFERROR(VLOOKUP($A207,物料档案!$A$4:$P$1203,6,0),""))</f>
        <v/>
      </c>
      <c r="G207" s="23" t="n"/>
      <c r="H207" s="32" t="n"/>
      <c r="I207" s="27">
        <f>IF($A207="","",SUMIFS(入库单!$K$4:$K$2503,入库单!$G$4:$G$2503,$A207,入库单!$X$4:$X$2503,"采购入库",入库单!$Z$4:$Z$2503,"正常",入库单!$C$4:$C$2503,"&gt;="&amp;账期起,入库单!$C$4:$C$2503,"&lt;="&amp;账期止))</f>
        <v/>
      </c>
      <c r="J207" s="26">
        <f>IF($A207="","",SUMIFS(入库单!$V$4:$V$2503,入库单!$G$4:$G$2503,$A207,入库单!$X$4:$X$2503,"采购入库",入库单!$Z$4:$Z$2503,"正常",入库单!$C$4:$C$2503,"&gt;="&amp;账期起,入库单!$C$4:$C$2503,"&lt;="&amp;账期止))</f>
        <v/>
      </c>
      <c r="K207" s="26">
        <f>IF($A207="","",IFERROR(ROUND((N($H207)+N($J207))/(N($G207)+N($I207)),2),0))</f>
        <v/>
      </c>
      <c r="L207" s="27">
        <f>IF($A207="","",SUMIFS(入库单!$K$4:$K$2503,入库单!$G$4:$G$2503,$A207,入库单!$X$4:$X$2503,"盘盈",入库单!$Z$4:$Z$2503,"正常",入库单!$C$4:$C$2503,"&gt;="&amp;账期起,入库单!$C$4:$C$2503,"&lt;="&amp;账期止))</f>
        <v/>
      </c>
      <c r="M207" s="26">
        <f>IF($A207="","",ROUND($L207*$K207,0))</f>
        <v/>
      </c>
      <c r="N207" s="27">
        <f>IF($A207="","",SUMIFS(入库单!$K$4:$K$2503,入库单!$G$4:$G$2503,$A207,入库单!$X$4:$X$2503,"矿区退库",入库单!$Z$4:$Z$2503,"正常",入库单!$C$4:$C$2503,"&gt;="&amp;账期起,入库单!$C$4:$C$2503,"&lt;="&amp;账期止))</f>
        <v/>
      </c>
      <c r="O207" s="26">
        <f>IF($A207="","",ROUND($N207*$K207,0))</f>
        <v/>
      </c>
      <c r="P207" s="27">
        <f>IF($A207="","",SUMIFS(出库单!$J$4:$J$4003,出库单!$D$4:$D$4003,$A207,出库单!$K$4:$K$4003,"自用消耗",出库单!$U$4:$U$4003,"正常",出库单!$C$4:$C$4003,"&gt;="&amp;账期起,出库单!$C$4:$C$4003,"&lt;="&amp;账期止))</f>
        <v/>
      </c>
      <c r="Q207" s="26">
        <f>IF($A207="","",ROUND(SUMIFS(出库单!$S$4:$S$4003,出库单!$D$4:$D$4003,$A207,出库单!$K$4:$K$4003,"自用消耗",出库单!$U$4:$U$4003,"正常",出库单!$C$4:$C$4003,"&gt;="&amp;账期起,出库单!$C$4:$C$4003,"&lt;="&amp;账期止),0))</f>
        <v/>
      </c>
      <c r="R207" s="27">
        <f>IF($A207="","",SUMIFS(出库单!$J$4:$J$4003,出库单!$D$4:$D$4003,$A207,出库单!$K$4:$K$4003,"对外销售",出库单!$U$4:$U$4003,"正常",出库单!$C$4:$C$4003,"&gt;="&amp;账期起,出库单!$C$4:$C$4003,"&lt;="&amp;账期止))</f>
        <v/>
      </c>
      <c r="S207" s="26">
        <f>IF($A207="","",ROUND(SUMIFS(出库单!$S$4:$S$4003,出库单!$D$4:$D$4003,$A207,出库单!$K$4:$K$4003,"对外销售",出库单!$U$4:$U$4003,"正常",出库单!$C$4:$C$4003,"&gt;="&amp;账期起,出库单!$C$4:$C$4003,"&lt;="&amp;账期止),0))</f>
        <v/>
      </c>
      <c r="T207" s="27">
        <f>IF($A207="","",SUMIFS(出库单!$J$4:$J$4003,出库单!$D$4:$D$4003,$A207,出库单!$K$4:$K$4003,"盘亏",出库单!$U$4:$U$4003,"正常",出库单!$C$4:$C$4003,"&gt;="&amp;账期起,出库单!$C$4:$C$4003,"&lt;="&amp;账期止))</f>
        <v/>
      </c>
      <c r="U207" s="26">
        <f>IF($A207="","",ROUND(SUMIFS(出库单!$S$4:$S$4003,出库单!$D$4:$D$4003,$A207,出库单!$K$4:$K$4003,"盘亏",出库单!$U$4:$U$4003,"正常",出库单!$C$4:$C$4003,"&gt;="&amp;账期起,出库单!$C$4:$C$4003,"&lt;="&amp;账期止),0))</f>
        <v/>
      </c>
      <c r="V207" s="27">
        <f>IF($A207="","",SUMIFS(出库单!$J$4:$J$4003,出库单!$D$4:$D$4003,$A207,出库单!$K$4:$K$4003,"退货给供应商",出库单!$U$4:$U$4003,"正常",出库单!$C$4:$C$4003,"&gt;="&amp;账期起,出库单!$C$4:$C$4003,"&lt;="&amp;账期止))</f>
        <v/>
      </c>
      <c r="W207" s="26">
        <f>IF($A207="","",ROUND(SUMIFS(出库单!$S$4:$S$4003,出库单!$D$4:$D$4003,$A207,出库单!$K$4:$K$4003,"退货给供应商",出库单!$U$4:$U$4003,"正常",出库单!$C$4:$C$4003,"&gt;="&amp;账期起,出库单!$C$4:$C$4003,"&lt;="&amp;账期止),0))</f>
        <v/>
      </c>
      <c r="X207" s="27">
        <f>IF($A207="","",ROUND(N($G207)+$I207+$L207+$N207-$P207-$R207-$T207-$V207,3))</f>
        <v/>
      </c>
      <c r="Y207" s="26">
        <f>IF($A207="","",ROUND(N($H207)+$J207+$M207+$O207-$Q207-$S207-$U207-$W207,0))</f>
        <v/>
      </c>
      <c r="Z207" s="24">
        <f>IF($A207="","",IF(COUNTIFS(入库单!$G$4:$G$2503,$A207,入库单!$Y$4:$Y$2503,"待补价")+COUNTIFS(入库单!$G$4:$G$2503,$A207,入库单!$Y$4:$Y$2503,"暂估")&gt;0,"不可信","可信"))</f>
        <v/>
      </c>
      <c r="AA207" s="24">
        <f>IF($A207="","",IF($X207&lt;-0.001,"※账面负库存，查一下是不是漏记入库",IF(AND(ROUND($X207,3)=0,ABS($Y207)&gt;1),"※数量已经是 0，金额还挂着 "&amp;TEXT($Y207,"#,##0")&amp;" 先令",IF(AND($X207&gt;0,$Y207&lt;=0,$K207=0),"※有数量没金额（这个物料一直没填过进价）",IF($Z207="不可信","△成本含待补价/暂估，毛利仅供参考","")))))</f>
        <v/>
      </c>
    </row>
    <row r="208">
      <c r="A208" s="24">
        <f>IF(物料档案!$A207="","",物料档案!$A207)</f>
        <v/>
      </c>
      <c r="B208" s="24">
        <f>IF($A208="","",IFERROR(VLOOKUP($A208,物料档案!$A$4:$P$1203,3,0),""))</f>
        <v/>
      </c>
      <c r="C208" s="24">
        <f>IF($A208="","",IFERROR(VLOOKUP($A208,物料档案!$A$4:$P$1203,4,0),""))</f>
        <v/>
      </c>
      <c r="D208" s="24">
        <f>IF($A208="","",IFERROR(VLOOKUP($A208,物料档案!$A$4:$P$1203,5,0),""))</f>
        <v/>
      </c>
      <c r="E208" s="24">
        <f>IF($A208="","",IFERROR(VLOOKUP($A208,物料档案!$A$4:$P$1203,2,0),""))</f>
        <v/>
      </c>
      <c r="F208" s="24">
        <f>IF($A208="","",IFERROR(VLOOKUP($A208,物料档案!$A$4:$P$1203,6,0),""))</f>
        <v/>
      </c>
      <c r="G208" s="23" t="n"/>
      <c r="H208" s="32" t="n"/>
      <c r="I208" s="27">
        <f>IF($A208="","",SUMIFS(入库单!$K$4:$K$2503,入库单!$G$4:$G$2503,$A208,入库单!$X$4:$X$2503,"采购入库",入库单!$Z$4:$Z$2503,"正常",入库单!$C$4:$C$2503,"&gt;="&amp;账期起,入库单!$C$4:$C$2503,"&lt;="&amp;账期止))</f>
        <v/>
      </c>
      <c r="J208" s="26">
        <f>IF($A208="","",SUMIFS(入库单!$V$4:$V$2503,入库单!$G$4:$G$2503,$A208,入库单!$X$4:$X$2503,"采购入库",入库单!$Z$4:$Z$2503,"正常",入库单!$C$4:$C$2503,"&gt;="&amp;账期起,入库单!$C$4:$C$2503,"&lt;="&amp;账期止))</f>
        <v/>
      </c>
      <c r="K208" s="26">
        <f>IF($A208="","",IFERROR(ROUND((N($H208)+N($J208))/(N($G208)+N($I208)),2),0))</f>
        <v/>
      </c>
      <c r="L208" s="27">
        <f>IF($A208="","",SUMIFS(入库单!$K$4:$K$2503,入库单!$G$4:$G$2503,$A208,入库单!$X$4:$X$2503,"盘盈",入库单!$Z$4:$Z$2503,"正常",入库单!$C$4:$C$2503,"&gt;="&amp;账期起,入库单!$C$4:$C$2503,"&lt;="&amp;账期止))</f>
        <v/>
      </c>
      <c r="M208" s="26">
        <f>IF($A208="","",ROUND($L208*$K208,0))</f>
        <v/>
      </c>
      <c r="N208" s="27">
        <f>IF($A208="","",SUMIFS(入库单!$K$4:$K$2503,入库单!$G$4:$G$2503,$A208,入库单!$X$4:$X$2503,"矿区退库",入库单!$Z$4:$Z$2503,"正常",入库单!$C$4:$C$2503,"&gt;="&amp;账期起,入库单!$C$4:$C$2503,"&lt;="&amp;账期止))</f>
        <v/>
      </c>
      <c r="O208" s="26">
        <f>IF($A208="","",ROUND($N208*$K208,0))</f>
        <v/>
      </c>
      <c r="P208" s="27">
        <f>IF($A208="","",SUMIFS(出库单!$J$4:$J$4003,出库单!$D$4:$D$4003,$A208,出库单!$K$4:$K$4003,"自用消耗",出库单!$U$4:$U$4003,"正常",出库单!$C$4:$C$4003,"&gt;="&amp;账期起,出库单!$C$4:$C$4003,"&lt;="&amp;账期止))</f>
        <v/>
      </c>
      <c r="Q208" s="26">
        <f>IF($A208="","",ROUND(SUMIFS(出库单!$S$4:$S$4003,出库单!$D$4:$D$4003,$A208,出库单!$K$4:$K$4003,"自用消耗",出库单!$U$4:$U$4003,"正常",出库单!$C$4:$C$4003,"&gt;="&amp;账期起,出库单!$C$4:$C$4003,"&lt;="&amp;账期止),0))</f>
        <v/>
      </c>
      <c r="R208" s="27">
        <f>IF($A208="","",SUMIFS(出库单!$J$4:$J$4003,出库单!$D$4:$D$4003,$A208,出库单!$K$4:$K$4003,"对外销售",出库单!$U$4:$U$4003,"正常",出库单!$C$4:$C$4003,"&gt;="&amp;账期起,出库单!$C$4:$C$4003,"&lt;="&amp;账期止))</f>
        <v/>
      </c>
      <c r="S208" s="26">
        <f>IF($A208="","",ROUND(SUMIFS(出库单!$S$4:$S$4003,出库单!$D$4:$D$4003,$A208,出库单!$K$4:$K$4003,"对外销售",出库单!$U$4:$U$4003,"正常",出库单!$C$4:$C$4003,"&gt;="&amp;账期起,出库单!$C$4:$C$4003,"&lt;="&amp;账期止),0))</f>
        <v/>
      </c>
      <c r="T208" s="27">
        <f>IF($A208="","",SUMIFS(出库单!$J$4:$J$4003,出库单!$D$4:$D$4003,$A208,出库单!$K$4:$K$4003,"盘亏",出库单!$U$4:$U$4003,"正常",出库单!$C$4:$C$4003,"&gt;="&amp;账期起,出库单!$C$4:$C$4003,"&lt;="&amp;账期止))</f>
        <v/>
      </c>
      <c r="U208" s="26">
        <f>IF($A208="","",ROUND(SUMIFS(出库单!$S$4:$S$4003,出库单!$D$4:$D$4003,$A208,出库单!$K$4:$K$4003,"盘亏",出库单!$U$4:$U$4003,"正常",出库单!$C$4:$C$4003,"&gt;="&amp;账期起,出库单!$C$4:$C$4003,"&lt;="&amp;账期止),0))</f>
        <v/>
      </c>
      <c r="V208" s="27">
        <f>IF($A208="","",SUMIFS(出库单!$J$4:$J$4003,出库单!$D$4:$D$4003,$A208,出库单!$K$4:$K$4003,"退货给供应商",出库单!$U$4:$U$4003,"正常",出库单!$C$4:$C$4003,"&gt;="&amp;账期起,出库单!$C$4:$C$4003,"&lt;="&amp;账期止))</f>
        <v/>
      </c>
      <c r="W208" s="26">
        <f>IF($A208="","",ROUND(SUMIFS(出库单!$S$4:$S$4003,出库单!$D$4:$D$4003,$A208,出库单!$K$4:$K$4003,"退货给供应商",出库单!$U$4:$U$4003,"正常",出库单!$C$4:$C$4003,"&gt;="&amp;账期起,出库单!$C$4:$C$4003,"&lt;="&amp;账期止),0))</f>
        <v/>
      </c>
      <c r="X208" s="27">
        <f>IF($A208="","",ROUND(N($G208)+$I208+$L208+$N208-$P208-$R208-$T208-$V208,3))</f>
        <v/>
      </c>
      <c r="Y208" s="26">
        <f>IF($A208="","",ROUND(N($H208)+$J208+$M208+$O208-$Q208-$S208-$U208-$W208,0))</f>
        <v/>
      </c>
      <c r="Z208" s="24">
        <f>IF($A208="","",IF(COUNTIFS(入库单!$G$4:$G$2503,$A208,入库单!$Y$4:$Y$2503,"待补价")+COUNTIFS(入库单!$G$4:$G$2503,$A208,入库单!$Y$4:$Y$2503,"暂估")&gt;0,"不可信","可信"))</f>
        <v/>
      </c>
      <c r="AA208" s="24">
        <f>IF($A208="","",IF($X208&lt;-0.001,"※账面负库存，查一下是不是漏记入库",IF(AND(ROUND($X208,3)=0,ABS($Y208)&gt;1),"※数量已经是 0，金额还挂着 "&amp;TEXT($Y208,"#,##0")&amp;" 先令",IF(AND($X208&gt;0,$Y208&lt;=0,$K208=0),"※有数量没金额（这个物料一直没填过进价）",IF($Z208="不可信","△成本含待补价/暂估，毛利仅供参考","")))))</f>
        <v/>
      </c>
    </row>
    <row r="209">
      <c r="A209" s="24">
        <f>IF(物料档案!$A208="","",物料档案!$A208)</f>
        <v/>
      </c>
      <c r="B209" s="24">
        <f>IF($A209="","",IFERROR(VLOOKUP($A209,物料档案!$A$4:$P$1203,3,0),""))</f>
        <v/>
      </c>
      <c r="C209" s="24">
        <f>IF($A209="","",IFERROR(VLOOKUP($A209,物料档案!$A$4:$P$1203,4,0),""))</f>
        <v/>
      </c>
      <c r="D209" s="24">
        <f>IF($A209="","",IFERROR(VLOOKUP($A209,物料档案!$A$4:$P$1203,5,0),""))</f>
        <v/>
      </c>
      <c r="E209" s="24">
        <f>IF($A209="","",IFERROR(VLOOKUP($A209,物料档案!$A$4:$P$1203,2,0),""))</f>
        <v/>
      </c>
      <c r="F209" s="24">
        <f>IF($A209="","",IFERROR(VLOOKUP($A209,物料档案!$A$4:$P$1203,6,0),""))</f>
        <v/>
      </c>
      <c r="G209" s="23" t="n"/>
      <c r="H209" s="32" t="n"/>
      <c r="I209" s="27">
        <f>IF($A209="","",SUMIFS(入库单!$K$4:$K$2503,入库单!$G$4:$G$2503,$A209,入库单!$X$4:$X$2503,"采购入库",入库单!$Z$4:$Z$2503,"正常",入库单!$C$4:$C$2503,"&gt;="&amp;账期起,入库单!$C$4:$C$2503,"&lt;="&amp;账期止))</f>
        <v/>
      </c>
      <c r="J209" s="26">
        <f>IF($A209="","",SUMIFS(入库单!$V$4:$V$2503,入库单!$G$4:$G$2503,$A209,入库单!$X$4:$X$2503,"采购入库",入库单!$Z$4:$Z$2503,"正常",入库单!$C$4:$C$2503,"&gt;="&amp;账期起,入库单!$C$4:$C$2503,"&lt;="&amp;账期止))</f>
        <v/>
      </c>
      <c r="K209" s="26">
        <f>IF($A209="","",IFERROR(ROUND((N($H209)+N($J209))/(N($G209)+N($I209)),2),0))</f>
        <v/>
      </c>
      <c r="L209" s="27">
        <f>IF($A209="","",SUMIFS(入库单!$K$4:$K$2503,入库单!$G$4:$G$2503,$A209,入库单!$X$4:$X$2503,"盘盈",入库单!$Z$4:$Z$2503,"正常",入库单!$C$4:$C$2503,"&gt;="&amp;账期起,入库单!$C$4:$C$2503,"&lt;="&amp;账期止))</f>
        <v/>
      </c>
      <c r="M209" s="26">
        <f>IF($A209="","",ROUND($L209*$K209,0))</f>
        <v/>
      </c>
      <c r="N209" s="27">
        <f>IF($A209="","",SUMIFS(入库单!$K$4:$K$2503,入库单!$G$4:$G$2503,$A209,入库单!$X$4:$X$2503,"矿区退库",入库单!$Z$4:$Z$2503,"正常",入库单!$C$4:$C$2503,"&gt;="&amp;账期起,入库单!$C$4:$C$2503,"&lt;="&amp;账期止))</f>
        <v/>
      </c>
      <c r="O209" s="26">
        <f>IF($A209="","",ROUND($N209*$K209,0))</f>
        <v/>
      </c>
      <c r="P209" s="27">
        <f>IF($A209="","",SUMIFS(出库单!$J$4:$J$4003,出库单!$D$4:$D$4003,$A209,出库单!$K$4:$K$4003,"自用消耗",出库单!$U$4:$U$4003,"正常",出库单!$C$4:$C$4003,"&gt;="&amp;账期起,出库单!$C$4:$C$4003,"&lt;="&amp;账期止))</f>
        <v/>
      </c>
      <c r="Q209" s="26">
        <f>IF($A209="","",ROUND(SUMIFS(出库单!$S$4:$S$4003,出库单!$D$4:$D$4003,$A209,出库单!$K$4:$K$4003,"自用消耗",出库单!$U$4:$U$4003,"正常",出库单!$C$4:$C$4003,"&gt;="&amp;账期起,出库单!$C$4:$C$4003,"&lt;="&amp;账期止),0))</f>
        <v/>
      </c>
      <c r="R209" s="27">
        <f>IF($A209="","",SUMIFS(出库单!$J$4:$J$4003,出库单!$D$4:$D$4003,$A209,出库单!$K$4:$K$4003,"对外销售",出库单!$U$4:$U$4003,"正常",出库单!$C$4:$C$4003,"&gt;="&amp;账期起,出库单!$C$4:$C$4003,"&lt;="&amp;账期止))</f>
        <v/>
      </c>
      <c r="S209" s="26">
        <f>IF($A209="","",ROUND(SUMIFS(出库单!$S$4:$S$4003,出库单!$D$4:$D$4003,$A209,出库单!$K$4:$K$4003,"对外销售",出库单!$U$4:$U$4003,"正常",出库单!$C$4:$C$4003,"&gt;="&amp;账期起,出库单!$C$4:$C$4003,"&lt;="&amp;账期止),0))</f>
        <v/>
      </c>
      <c r="T209" s="27">
        <f>IF($A209="","",SUMIFS(出库单!$J$4:$J$4003,出库单!$D$4:$D$4003,$A209,出库单!$K$4:$K$4003,"盘亏",出库单!$U$4:$U$4003,"正常",出库单!$C$4:$C$4003,"&gt;="&amp;账期起,出库单!$C$4:$C$4003,"&lt;="&amp;账期止))</f>
        <v/>
      </c>
      <c r="U209" s="26">
        <f>IF($A209="","",ROUND(SUMIFS(出库单!$S$4:$S$4003,出库单!$D$4:$D$4003,$A209,出库单!$K$4:$K$4003,"盘亏",出库单!$U$4:$U$4003,"正常",出库单!$C$4:$C$4003,"&gt;="&amp;账期起,出库单!$C$4:$C$4003,"&lt;="&amp;账期止),0))</f>
        <v/>
      </c>
      <c r="V209" s="27">
        <f>IF($A209="","",SUMIFS(出库单!$J$4:$J$4003,出库单!$D$4:$D$4003,$A209,出库单!$K$4:$K$4003,"退货给供应商",出库单!$U$4:$U$4003,"正常",出库单!$C$4:$C$4003,"&gt;="&amp;账期起,出库单!$C$4:$C$4003,"&lt;="&amp;账期止))</f>
        <v/>
      </c>
      <c r="W209" s="26">
        <f>IF($A209="","",ROUND(SUMIFS(出库单!$S$4:$S$4003,出库单!$D$4:$D$4003,$A209,出库单!$K$4:$K$4003,"退货给供应商",出库单!$U$4:$U$4003,"正常",出库单!$C$4:$C$4003,"&gt;="&amp;账期起,出库单!$C$4:$C$4003,"&lt;="&amp;账期止),0))</f>
        <v/>
      </c>
      <c r="X209" s="27">
        <f>IF($A209="","",ROUND(N($G209)+$I209+$L209+$N209-$P209-$R209-$T209-$V209,3))</f>
        <v/>
      </c>
      <c r="Y209" s="26">
        <f>IF($A209="","",ROUND(N($H209)+$J209+$M209+$O209-$Q209-$S209-$U209-$W209,0))</f>
        <v/>
      </c>
      <c r="Z209" s="24">
        <f>IF($A209="","",IF(COUNTIFS(入库单!$G$4:$G$2503,$A209,入库单!$Y$4:$Y$2503,"待补价")+COUNTIFS(入库单!$G$4:$G$2503,$A209,入库单!$Y$4:$Y$2503,"暂估")&gt;0,"不可信","可信"))</f>
        <v/>
      </c>
      <c r="AA209" s="24">
        <f>IF($A209="","",IF($X209&lt;-0.001,"※账面负库存，查一下是不是漏记入库",IF(AND(ROUND($X209,3)=0,ABS($Y209)&gt;1),"※数量已经是 0，金额还挂着 "&amp;TEXT($Y209,"#,##0")&amp;" 先令",IF(AND($X209&gt;0,$Y209&lt;=0,$K209=0),"※有数量没金额（这个物料一直没填过进价）",IF($Z209="不可信","△成本含待补价/暂估，毛利仅供参考","")))))</f>
        <v/>
      </c>
    </row>
    <row r="210">
      <c r="A210" s="24">
        <f>IF(物料档案!$A209="","",物料档案!$A209)</f>
        <v/>
      </c>
      <c r="B210" s="24">
        <f>IF($A210="","",IFERROR(VLOOKUP($A210,物料档案!$A$4:$P$1203,3,0),""))</f>
        <v/>
      </c>
      <c r="C210" s="24">
        <f>IF($A210="","",IFERROR(VLOOKUP($A210,物料档案!$A$4:$P$1203,4,0),""))</f>
        <v/>
      </c>
      <c r="D210" s="24">
        <f>IF($A210="","",IFERROR(VLOOKUP($A210,物料档案!$A$4:$P$1203,5,0),""))</f>
        <v/>
      </c>
      <c r="E210" s="24">
        <f>IF($A210="","",IFERROR(VLOOKUP($A210,物料档案!$A$4:$P$1203,2,0),""))</f>
        <v/>
      </c>
      <c r="F210" s="24">
        <f>IF($A210="","",IFERROR(VLOOKUP($A210,物料档案!$A$4:$P$1203,6,0),""))</f>
        <v/>
      </c>
      <c r="G210" s="23" t="n"/>
      <c r="H210" s="32" t="n"/>
      <c r="I210" s="27">
        <f>IF($A210="","",SUMIFS(入库单!$K$4:$K$2503,入库单!$G$4:$G$2503,$A210,入库单!$X$4:$X$2503,"采购入库",入库单!$Z$4:$Z$2503,"正常",入库单!$C$4:$C$2503,"&gt;="&amp;账期起,入库单!$C$4:$C$2503,"&lt;="&amp;账期止))</f>
        <v/>
      </c>
      <c r="J210" s="26">
        <f>IF($A210="","",SUMIFS(入库单!$V$4:$V$2503,入库单!$G$4:$G$2503,$A210,入库单!$X$4:$X$2503,"采购入库",入库单!$Z$4:$Z$2503,"正常",入库单!$C$4:$C$2503,"&gt;="&amp;账期起,入库单!$C$4:$C$2503,"&lt;="&amp;账期止))</f>
        <v/>
      </c>
      <c r="K210" s="26">
        <f>IF($A210="","",IFERROR(ROUND((N($H210)+N($J210))/(N($G210)+N($I210)),2),0))</f>
        <v/>
      </c>
      <c r="L210" s="27">
        <f>IF($A210="","",SUMIFS(入库单!$K$4:$K$2503,入库单!$G$4:$G$2503,$A210,入库单!$X$4:$X$2503,"盘盈",入库单!$Z$4:$Z$2503,"正常",入库单!$C$4:$C$2503,"&gt;="&amp;账期起,入库单!$C$4:$C$2503,"&lt;="&amp;账期止))</f>
        <v/>
      </c>
      <c r="M210" s="26">
        <f>IF($A210="","",ROUND($L210*$K210,0))</f>
        <v/>
      </c>
      <c r="N210" s="27">
        <f>IF($A210="","",SUMIFS(入库单!$K$4:$K$2503,入库单!$G$4:$G$2503,$A210,入库单!$X$4:$X$2503,"矿区退库",入库单!$Z$4:$Z$2503,"正常",入库单!$C$4:$C$2503,"&gt;="&amp;账期起,入库单!$C$4:$C$2503,"&lt;="&amp;账期止))</f>
        <v/>
      </c>
      <c r="O210" s="26">
        <f>IF($A210="","",ROUND($N210*$K210,0))</f>
        <v/>
      </c>
      <c r="P210" s="27">
        <f>IF($A210="","",SUMIFS(出库单!$J$4:$J$4003,出库单!$D$4:$D$4003,$A210,出库单!$K$4:$K$4003,"自用消耗",出库单!$U$4:$U$4003,"正常",出库单!$C$4:$C$4003,"&gt;="&amp;账期起,出库单!$C$4:$C$4003,"&lt;="&amp;账期止))</f>
        <v/>
      </c>
      <c r="Q210" s="26">
        <f>IF($A210="","",ROUND(SUMIFS(出库单!$S$4:$S$4003,出库单!$D$4:$D$4003,$A210,出库单!$K$4:$K$4003,"自用消耗",出库单!$U$4:$U$4003,"正常",出库单!$C$4:$C$4003,"&gt;="&amp;账期起,出库单!$C$4:$C$4003,"&lt;="&amp;账期止),0))</f>
        <v/>
      </c>
      <c r="R210" s="27">
        <f>IF($A210="","",SUMIFS(出库单!$J$4:$J$4003,出库单!$D$4:$D$4003,$A210,出库单!$K$4:$K$4003,"对外销售",出库单!$U$4:$U$4003,"正常",出库单!$C$4:$C$4003,"&gt;="&amp;账期起,出库单!$C$4:$C$4003,"&lt;="&amp;账期止))</f>
        <v/>
      </c>
      <c r="S210" s="26">
        <f>IF($A210="","",ROUND(SUMIFS(出库单!$S$4:$S$4003,出库单!$D$4:$D$4003,$A210,出库单!$K$4:$K$4003,"对外销售",出库单!$U$4:$U$4003,"正常",出库单!$C$4:$C$4003,"&gt;="&amp;账期起,出库单!$C$4:$C$4003,"&lt;="&amp;账期止),0))</f>
        <v/>
      </c>
      <c r="T210" s="27">
        <f>IF($A210="","",SUMIFS(出库单!$J$4:$J$4003,出库单!$D$4:$D$4003,$A210,出库单!$K$4:$K$4003,"盘亏",出库单!$U$4:$U$4003,"正常",出库单!$C$4:$C$4003,"&gt;="&amp;账期起,出库单!$C$4:$C$4003,"&lt;="&amp;账期止))</f>
        <v/>
      </c>
      <c r="U210" s="26">
        <f>IF($A210="","",ROUND(SUMIFS(出库单!$S$4:$S$4003,出库单!$D$4:$D$4003,$A210,出库单!$K$4:$K$4003,"盘亏",出库单!$U$4:$U$4003,"正常",出库单!$C$4:$C$4003,"&gt;="&amp;账期起,出库单!$C$4:$C$4003,"&lt;="&amp;账期止),0))</f>
        <v/>
      </c>
      <c r="V210" s="27">
        <f>IF($A210="","",SUMIFS(出库单!$J$4:$J$4003,出库单!$D$4:$D$4003,$A210,出库单!$K$4:$K$4003,"退货给供应商",出库单!$U$4:$U$4003,"正常",出库单!$C$4:$C$4003,"&gt;="&amp;账期起,出库单!$C$4:$C$4003,"&lt;="&amp;账期止))</f>
        <v/>
      </c>
      <c r="W210" s="26">
        <f>IF($A210="","",ROUND(SUMIFS(出库单!$S$4:$S$4003,出库单!$D$4:$D$4003,$A210,出库单!$K$4:$K$4003,"退货给供应商",出库单!$U$4:$U$4003,"正常",出库单!$C$4:$C$4003,"&gt;="&amp;账期起,出库单!$C$4:$C$4003,"&lt;="&amp;账期止),0))</f>
        <v/>
      </c>
      <c r="X210" s="27">
        <f>IF($A210="","",ROUND(N($G210)+$I210+$L210+$N210-$P210-$R210-$T210-$V210,3))</f>
        <v/>
      </c>
      <c r="Y210" s="26">
        <f>IF($A210="","",ROUND(N($H210)+$J210+$M210+$O210-$Q210-$S210-$U210-$W210,0))</f>
        <v/>
      </c>
      <c r="Z210" s="24">
        <f>IF($A210="","",IF(COUNTIFS(入库单!$G$4:$G$2503,$A210,入库单!$Y$4:$Y$2503,"待补价")+COUNTIFS(入库单!$G$4:$G$2503,$A210,入库单!$Y$4:$Y$2503,"暂估")&gt;0,"不可信","可信"))</f>
        <v/>
      </c>
      <c r="AA210" s="24">
        <f>IF($A210="","",IF($X210&lt;-0.001,"※账面负库存，查一下是不是漏记入库",IF(AND(ROUND($X210,3)=0,ABS($Y210)&gt;1),"※数量已经是 0，金额还挂着 "&amp;TEXT($Y210,"#,##0")&amp;" 先令",IF(AND($X210&gt;0,$Y210&lt;=0,$K210=0),"※有数量没金额（这个物料一直没填过进价）",IF($Z210="不可信","△成本含待补价/暂估，毛利仅供参考","")))))</f>
        <v/>
      </c>
    </row>
    <row r="211">
      <c r="A211" s="24">
        <f>IF(物料档案!$A210="","",物料档案!$A210)</f>
        <v/>
      </c>
      <c r="B211" s="24">
        <f>IF($A211="","",IFERROR(VLOOKUP($A211,物料档案!$A$4:$P$1203,3,0),""))</f>
        <v/>
      </c>
      <c r="C211" s="24">
        <f>IF($A211="","",IFERROR(VLOOKUP($A211,物料档案!$A$4:$P$1203,4,0),""))</f>
        <v/>
      </c>
      <c r="D211" s="24">
        <f>IF($A211="","",IFERROR(VLOOKUP($A211,物料档案!$A$4:$P$1203,5,0),""))</f>
        <v/>
      </c>
      <c r="E211" s="24">
        <f>IF($A211="","",IFERROR(VLOOKUP($A211,物料档案!$A$4:$P$1203,2,0),""))</f>
        <v/>
      </c>
      <c r="F211" s="24">
        <f>IF($A211="","",IFERROR(VLOOKUP($A211,物料档案!$A$4:$P$1203,6,0),""))</f>
        <v/>
      </c>
      <c r="G211" s="23" t="n"/>
      <c r="H211" s="32" t="n"/>
      <c r="I211" s="27">
        <f>IF($A211="","",SUMIFS(入库单!$K$4:$K$2503,入库单!$G$4:$G$2503,$A211,入库单!$X$4:$X$2503,"采购入库",入库单!$Z$4:$Z$2503,"正常",入库单!$C$4:$C$2503,"&gt;="&amp;账期起,入库单!$C$4:$C$2503,"&lt;="&amp;账期止))</f>
        <v/>
      </c>
      <c r="J211" s="26">
        <f>IF($A211="","",SUMIFS(入库单!$V$4:$V$2503,入库单!$G$4:$G$2503,$A211,入库单!$X$4:$X$2503,"采购入库",入库单!$Z$4:$Z$2503,"正常",入库单!$C$4:$C$2503,"&gt;="&amp;账期起,入库单!$C$4:$C$2503,"&lt;="&amp;账期止))</f>
        <v/>
      </c>
      <c r="K211" s="26">
        <f>IF($A211="","",IFERROR(ROUND((N($H211)+N($J211))/(N($G211)+N($I211)),2),0))</f>
        <v/>
      </c>
      <c r="L211" s="27">
        <f>IF($A211="","",SUMIFS(入库单!$K$4:$K$2503,入库单!$G$4:$G$2503,$A211,入库单!$X$4:$X$2503,"盘盈",入库单!$Z$4:$Z$2503,"正常",入库单!$C$4:$C$2503,"&gt;="&amp;账期起,入库单!$C$4:$C$2503,"&lt;="&amp;账期止))</f>
        <v/>
      </c>
      <c r="M211" s="26">
        <f>IF($A211="","",ROUND($L211*$K211,0))</f>
        <v/>
      </c>
      <c r="N211" s="27">
        <f>IF($A211="","",SUMIFS(入库单!$K$4:$K$2503,入库单!$G$4:$G$2503,$A211,入库单!$X$4:$X$2503,"矿区退库",入库单!$Z$4:$Z$2503,"正常",入库单!$C$4:$C$2503,"&gt;="&amp;账期起,入库单!$C$4:$C$2503,"&lt;="&amp;账期止))</f>
        <v/>
      </c>
      <c r="O211" s="26">
        <f>IF($A211="","",ROUND($N211*$K211,0))</f>
        <v/>
      </c>
      <c r="P211" s="27">
        <f>IF($A211="","",SUMIFS(出库单!$J$4:$J$4003,出库单!$D$4:$D$4003,$A211,出库单!$K$4:$K$4003,"自用消耗",出库单!$U$4:$U$4003,"正常",出库单!$C$4:$C$4003,"&gt;="&amp;账期起,出库单!$C$4:$C$4003,"&lt;="&amp;账期止))</f>
        <v/>
      </c>
      <c r="Q211" s="26">
        <f>IF($A211="","",ROUND(SUMIFS(出库单!$S$4:$S$4003,出库单!$D$4:$D$4003,$A211,出库单!$K$4:$K$4003,"自用消耗",出库单!$U$4:$U$4003,"正常",出库单!$C$4:$C$4003,"&gt;="&amp;账期起,出库单!$C$4:$C$4003,"&lt;="&amp;账期止),0))</f>
        <v/>
      </c>
      <c r="R211" s="27">
        <f>IF($A211="","",SUMIFS(出库单!$J$4:$J$4003,出库单!$D$4:$D$4003,$A211,出库单!$K$4:$K$4003,"对外销售",出库单!$U$4:$U$4003,"正常",出库单!$C$4:$C$4003,"&gt;="&amp;账期起,出库单!$C$4:$C$4003,"&lt;="&amp;账期止))</f>
        <v/>
      </c>
      <c r="S211" s="26">
        <f>IF($A211="","",ROUND(SUMIFS(出库单!$S$4:$S$4003,出库单!$D$4:$D$4003,$A211,出库单!$K$4:$K$4003,"对外销售",出库单!$U$4:$U$4003,"正常",出库单!$C$4:$C$4003,"&gt;="&amp;账期起,出库单!$C$4:$C$4003,"&lt;="&amp;账期止),0))</f>
        <v/>
      </c>
      <c r="T211" s="27">
        <f>IF($A211="","",SUMIFS(出库单!$J$4:$J$4003,出库单!$D$4:$D$4003,$A211,出库单!$K$4:$K$4003,"盘亏",出库单!$U$4:$U$4003,"正常",出库单!$C$4:$C$4003,"&gt;="&amp;账期起,出库单!$C$4:$C$4003,"&lt;="&amp;账期止))</f>
        <v/>
      </c>
      <c r="U211" s="26">
        <f>IF($A211="","",ROUND(SUMIFS(出库单!$S$4:$S$4003,出库单!$D$4:$D$4003,$A211,出库单!$K$4:$K$4003,"盘亏",出库单!$U$4:$U$4003,"正常",出库单!$C$4:$C$4003,"&gt;="&amp;账期起,出库单!$C$4:$C$4003,"&lt;="&amp;账期止),0))</f>
        <v/>
      </c>
      <c r="V211" s="27">
        <f>IF($A211="","",SUMIFS(出库单!$J$4:$J$4003,出库单!$D$4:$D$4003,$A211,出库单!$K$4:$K$4003,"退货给供应商",出库单!$U$4:$U$4003,"正常",出库单!$C$4:$C$4003,"&gt;="&amp;账期起,出库单!$C$4:$C$4003,"&lt;="&amp;账期止))</f>
        <v/>
      </c>
      <c r="W211" s="26">
        <f>IF($A211="","",ROUND(SUMIFS(出库单!$S$4:$S$4003,出库单!$D$4:$D$4003,$A211,出库单!$K$4:$K$4003,"退货给供应商",出库单!$U$4:$U$4003,"正常",出库单!$C$4:$C$4003,"&gt;="&amp;账期起,出库单!$C$4:$C$4003,"&lt;="&amp;账期止),0))</f>
        <v/>
      </c>
      <c r="X211" s="27">
        <f>IF($A211="","",ROUND(N($G211)+$I211+$L211+$N211-$P211-$R211-$T211-$V211,3))</f>
        <v/>
      </c>
      <c r="Y211" s="26">
        <f>IF($A211="","",ROUND(N($H211)+$J211+$M211+$O211-$Q211-$S211-$U211-$W211,0))</f>
        <v/>
      </c>
      <c r="Z211" s="24">
        <f>IF($A211="","",IF(COUNTIFS(入库单!$G$4:$G$2503,$A211,入库单!$Y$4:$Y$2503,"待补价")+COUNTIFS(入库单!$G$4:$G$2503,$A211,入库单!$Y$4:$Y$2503,"暂估")&gt;0,"不可信","可信"))</f>
        <v/>
      </c>
      <c r="AA211" s="24">
        <f>IF($A211="","",IF($X211&lt;-0.001,"※账面负库存，查一下是不是漏记入库",IF(AND(ROUND($X211,3)=0,ABS($Y211)&gt;1),"※数量已经是 0，金额还挂着 "&amp;TEXT($Y211,"#,##0")&amp;" 先令",IF(AND($X211&gt;0,$Y211&lt;=0,$K211=0),"※有数量没金额（这个物料一直没填过进价）",IF($Z211="不可信","△成本含待补价/暂估，毛利仅供参考","")))))</f>
        <v/>
      </c>
    </row>
    <row r="212">
      <c r="A212" s="24">
        <f>IF(物料档案!$A211="","",物料档案!$A211)</f>
        <v/>
      </c>
      <c r="B212" s="24">
        <f>IF($A212="","",IFERROR(VLOOKUP($A212,物料档案!$A$4:$P$1203,3,0),""))</f>
        <v/>
      </c>
      <c r="C212" s="24">
        <f>IF($A212="","",IFERROR(VLOOKUP($A212,物料档案!$A$4:$P$1203,4,0),""))</f>
        <v/>
      </c>
      <c r="D212" s="24">
        <f>IF($A212="","",IFERROR(VLOOKUP($A212,物料档案!$A$4:$P$1203,5,0),""))</f>
        <v/>
      </c>
      <c r="E212" s="24">
        <f>IF($A212="","",IFERROR(VLOOKUP($A212,物料档案!$A$4:$P$1203,2,0),""))</f>
        <v/>
      </c>
      <c r="F212" s="24">
        <f>IF($A212="","",IFERROR(VLOOKUP($A212,物料档案!$A$4:$P$1203,6,0),""))</f>
        <v/>
      </c>
      <c r="G212" s="23" t="n"/>
      <c r="H212" s="32" t="n"/>
      <c r="I212" s="27">
        <f>IF($A212="","",SUMIFS(入库单!$K$4:$K$2503,入库单!$G$4:$G$2503,$A212,入库单!$X$4:$X$2503,"采购入库",入库单!$Z$4:$Z$2503,"正常",入库单!$C$4:$C$2503,"&gt;="&amp;账期起,入库单!$C$4:$C$2503,"&lt;="&amp;账期止))</f>
        <v/>
      </c>
      <c r="J212" s="26">
        <f>IF($A212="","",SUMIFS(入库单!$V$4:$V$2503,入库单!$G$4:$G$2503,$A212,入库单!$X$4:$X$2503,"采购入库",入库单!$Z$4:$Z$2503,"正常",入库单!$C$4:$C$2503,"&gt;="&amp;账期起,入库单!$C$4:$C$2503,"&lt;="&amp;账期止))</f>
        <v/>
      </c>
      <c r="K212" s="26">
        <f>IF($A212="","",IFERROR(ROUND((N($H212)+N($J212))/(N($G212)+N($I212)),2),0))</f>
        <v/>
      </c>
      <c r="L212" s="27">
        <f>IF($A212="","",SUMIFS(入库单!$K$4:$K$2503,入库单!$G$4:$G$2503,$A212,入库单!$X$4:$X$2503,"盘盈",入库单!$Z$4:$Z$2503,"正常",入库单!$C$4:$C$2503,"&gt;="&amp;账期起,入库单!$C$4:$C$2503,"&lt;="&amp;账期止))</f>
        <v/>
      </c>
      <c r="M212" s="26">
        <f>IF($A212="","",ROUND($L212*$K212,0))</f>
        <v/>
      </c>
      <c r="N212" s="27">
        <f>IF($A212="","",SUMIFS(入库单!$K$4:$K$2503,入库单!$G$4:$G$2503,$A212,入库单!$X$4:$X$2503,"矿区退库",入库单!$Z$4:$Z$2503,"正常",入库单!$C$4:$C$2503,"&gt;="&amp;账期起,入库单!$C$4:$C$2503,"&lt;="&amp;账期止))</f>
        <v/>
      </c>
      <c r="O212" s="26">
        <f>IF($A212="","",ROUND($N212*$K212,0))</f>
        <v/>
      </c>
      <c r="P212" s="27">
        <f>IF($A212="","",SUMIFS(出库单!$J$4:$J$4003,出库单!$D$4:$D$4003,$A212,出库单!$K$4:$K$4003,"自用消耗",出库单!$U$4:$U$4003,"正常",出库单!$C$4:$C$4003,"&gt;="&amp;账期起,出库单!$C$4:$C$4003,"&lt;="&amp;账期止))</f>
        <v/>
      </c>
      <c r="Q212" s="26">
        <f>IF($A212="","",ROUND(SUMIFS(出库单!$S$4:$S$4003,出库单!$D$4:$D$4003,$A212,出库单!$K$4:$K$4003,"自用消耗",出库单!$U$4:$U$4003,"正常",出库单!$C$4:$C$4003,"&gt;="&amp;账期起,出库单!$C$4:$C$4003,"&lt;="&amp;账期止),0))</f>
        <v/>
      </c>
      <c r="R212" s="27">
        <f>IF($A212="","",SUMIFS(出库单!$J$4:$J$4003,出库单!$D$4:$D$4003,$A212,出库单!$K$4:$K$4003,"对外销售",出库单!$U$4:$U$4003,"正常",出库单!$C$4:$C$4003,"&gt;="&amp;账期起,出库单!$C$4:$C$4003,"&lt;="&amp;账期止))</f>
        <v/>
      </c>
      <c r="S212" s="26">
        <f>IF($A212="","",ROUND(SUMIFS(出库单!$S$4:$S$4003,出库单!$D$4:$D$4003,$A212,出库单!$K$4:$K$4003,"对外销售",出库单!$U$4:$U$4003,"正常",出库单!$C$4:$C$4003,"&gt;="&amp;账期起,出库单!$C$4:$C$4003,"&lt;="&amp;账期止),0))</f>
        <v/>
      </c>
      <c r="T212" s="27">
        <f>IF($A212="","",SUMIFS(出库单!$J$4:$J$4003,出库单!$D$4:$D$4003,$A212,出库单!$K$4:$K$4003,"盘亏",出库单!$U$4:$U$4003,"正常",出库单!$C$4:$C$4003,"&gt;="&amp;账期起,出库单!$C$4:$C$4003,"&lt;="&amp;账期止))</f>
        <v/>
      </c>
      <c r="U212" s="26">
        <f>IF($A212="","",ROUND(SUMIFS(出库单!$S$4:$S$4003,出库单!$D$4:$D$4003,$A212,出库单!$K$4:$K$4003,"盘亏",出库单!$U$4:$U$4003,"正常",出库单!$C$4:$C$4003,"&gt;="&amp;账期起,出库单!$C$4:$C$4003,"&lt;="&amp;账期止),0))</f>
        <v/>
      </c>
      <c r="V212" s="27">
        <f>IF($A212="","",SUMIFS(出库单!$J$4:$J$4003,出库单!$D$4:$D$4003,$A212,出库单!$K$4:$K$4003,"退货给供应商",出库单!$U$4:$U$4003,"正常",出库单!$C$4:$C$4003,"&gt;="&amp;账期起,出库单!$C$4:$C$4003,"&lt;="&amp;账期止))</f>
        <v/>
      </c>
      <c r="W212" s="26">
        <f>IF($A212="","",ROUND(SUMIFS(出库单!$S$4:$S$4003,出库单!$D$4:$D$4003,$A212,出库单!$K$4:$K$4003,"退货给供应商",出库单!$U$4:$U$4003,"正常",出库单!$C$4:$C$4003,"&gt;="&amp;账期起,出库单!$C$4:$C$4003,"&lt;="&amp;账期止),0))</f>
        <v/>
      </c>
      <c r="X212" s="27">
        <f>IF($A212="","",ROUND(N($G212)+$I212+$L212+$N212-$P212-$R212-$T212-$V212,3))</f>
        <v/>
      </c>
      <c r="Y212" s="26">
        <f>IF($A212="","",ROUND(N($H212)+$J212+$M212+$O212-$Q212-$S212-$U212-$W212,0))</f>
        <v/>
      </c>
      <c r="Z212" s="24">
        <f>IF($A212="","",IF(COUNTIFS(入库单!$G$4:$G$2503,$A212,入库单!$Y$4:$Y$2503,"待补价")+COUNTIFS(入库单!$G$4:$G$2503,$A212,入库单!$Y$4:$Y$2503,"暂估")&gt;0,"不可信","可信"))</f>
        <v/>
      </c>
      <c r="AA212" s="24">
        <f>IF($A212="","",IF($X212&lt;-0.001,"※账面负库存，查一下是不是漏记入库",IF(AND(ROUND($X212,3)=0,ABS($Y212)&gt;1),"※数量已经是 0，金额还挂着 "&amp;TEXT($Y212,"#,##0")&amp;" 先令",IF(AND($X212&gt;0,$Y212&lt;=0,$K212=0),"※有数量没金额（这个物料一直没填过进价）",IF($Z212="不可信","△成本含待补价/暂估，毛利仅供参考","")))))</f>
        <v/>
      </c>
    </row>
    <row r="213">
      <c r="A213" s="24">
        <f>IF(物料档案!$A212="","",物料档案!$A212)</f>
        <v/>
      </c>
      <c r="B213" s="24">
        <f>IF($A213="","",IFERROR(VLOOKUP($A213,物料档案!$A$4:$P$1203,3,0),""))</f>
        <v/>
      </c>
      <c r="C213" s="24">
        <f>IF($A213="","",IFERROR(VLOOKUP($A213,物料档案!$A$4:$P$1203,4,0),""))</f>
        <v/>
      </c>
      <c r="D213" s="24">
        <f>IF($A213="","",IFERROR(VLOOKUP($A213,物料档案!$A$4:$P$1203,5,0),""))</f>
        <v/>
      </c>
      <c r="E213" s="24">
        <f>IF($A213="","",IFERROR(VLOOKUP($A213,物料档案!$A$4:$P$1203,2,0),""))</f>
        <v/>
      </c>
      <c r="F213" s="24">
        <f>IF($A213="","",IFERROR(VLOOKUP($A213,物料档案!$A$4:$P$1203,6,0),""))</f>
        <v/>
      </c>
      <c r="G213" s="23" t="n"/>
      <c r="H213" s="32" t="n"/>
      <c r="I213" s="27">
        <f>IF($A213="","",SUMIFS(入库单!$K$4:$K$2503,入库单!$G$4:$G$2503,$A213,入库单!$X$4:$X$2503,"采购入库",入库单!$Z$4:$Z$2503,"正常",入库单!$C$4:$C$2503,"&gt;="&amp;账期起,入库单!$C$4:$C$2503,"&lt;="&amp;账期止))</f>
        <v/>
      </c>
      <c r="J213" s="26">
        <f>IF($A213="","",SUMIFS(入库单!$V$4:$V$2503,入库单!$G$4:$G$2503,$A213,入库单!$X$4:$X$2503,"采购入库",入库单!$Z$4:$Z$2503,"正常",入库单!$C$4:$C$2503,"&gt;="&amp;账期起,入库单!$C$4:$C$2503,"&lt;="&amp;账期止))</f>
        <v/>
      </c>
      <c r="K213" s="26">
        <f>IF($A213="","",IFERROR(ROUND((N($H213)+N($J213))/(N($G213)+N($I213)),2),0))</f>
        <v/>
      </c>
      <c r="L213" s="27">
        <f>IF($A213="","",SUMIFS(入库单!$K$4:$K$2503,入库单!$G$4:$G$2503,$A213,入库单!$X$4:$X$2503,"盘盈",入库单!$Z$4:$Z$2503,"正常",入库单!$C$4:$C$2503,"&gt;="&amp;账期起,入库单!$C$4:$C$2503,"&lt;="&amp;账期止))</f>
        <v/>
      </c>
      <c r="M213" s="26">
        <f>IF($A213="","",ROUND($L213*$K213,0))</f>
        <v/>
      </c>
      <c r="N213" s="27">
        <f>IF($A213="","",SUMIFS(入库单!$K$4:$K$2503,入库单!$G$4:$G$2503,$A213,入库单!$X$4:$X$2503,"矿区退库",入库单!$Z$4:$Z$2503,"正常",入库单!$C$4:$C$2503,"&gt;="&amp;账期起,入库单!$C$4:$C$2503,"&lt;="&amp;账期止))</f>
        <v/>
      </c>
      <c r="O213" s="26">
        <f>IF($A213="","",ROUND($N213*$K213,0))</f>
        <v/>
      </c>
      <c r="P213" s="27">
        <f>IF($A213="","",SUMIFS(出库单!$J$4:$J$4003,出库单!$D$4:$D$4003,$A213,出库单!$K$4:$K$4003,"自用消耗",出库单!$U$4:$U$4003,"正常",出库单!$C$4:$C$4003,"&gt;="&amp;账期起,出库单!$C$4:$C$4003,"&lt;="&amp;账期止))</f>
        <v/>
      </c>
      <c r="Q213" s="26">
        <f>IF($A213="","",ROUND(SUMIFS(出库单!$S$4:$S$4003,出库单!$D$4:$D$4003,$A213,出库单!$K$4:$K$4003,"自用消耗",出库单!$U$4:$U$4003,"正常",出库单!$C$4:$C$4003,"&gt;="&amp;账期起,出库单!$C$4:$C$4003,"&lt;="&amp;账期止),0))</f>
        <v/>
      </c>
      <c r="R213" s="27">
        <f>IF($A213="","",SUMIFS(出库单!$J$4:$J$4003,出库单!$D$4:$D$4003,$A213,出库单!$K$4:$K$4003,"对外销售",出库单!$U$4:$U$4003,"正常",出库单!$C$4:$C$4003,"&gt;="&amp;账期起,出库单!$C$4:$C$4003,"&lt;="&amp;账期止))</f>
        <v/>
      </c>
      <c r="S213" s="26">
        <f>IF($A213="","",ROUND(SUMIFS(出库单!$S$4:$S$4003,出库单!$D$4:$D$4003,$A213,出库单!$K$4:$K$4003,"对外销售",出库单!$U$4:$U$4003,"正常",出库单!$C$4:$C$4003,"&gt;="&amp;账期起,出库单!$C$4:$C$4003,"&lt;="&amp;账期止),0))</f>
        <v/>
      </c>
      <c r="T213" s="27">
        <f>IF($A213="","",SUMIFS(出库单!$J$4:$J$4003,出库单!$D$4:$D$4003,$A213,出库单!$K$4:$K$4003,"盘亏",出库单!$U$4:$U$4003,"正常",出库单!$C$4:$C$4003,"&gt;="&amp;账期起,出库单!$C$4:$C$4003,"&lt;="&amp;账期止))</f>
        <v/>
      </c>
      <c r="U213" s="26">
        <f>IF($A213="","",ROUND(SUMIFS(出库单!$S$4:$S$4003,出库单!$D$4:$D$4003,$A213,出库单!$K$4:$K$4003,"盘亏",出库单!$U$4:$U$4003,"正常",出库单!$C$4:$C$4003,"&gt;="&amp;账期起,出库单!$C$4:$C$4003,"&lt;="&amp;账期止),0))</f>
        <v/>
      </c>
      <c r="V213" s="27">
        <f>IF($A213="","",SUMIFS(出库单!$J$4:$J$4003,出库单!$D$4:$D$4003,$A213,出库单!$K$4:$K$4003,"退货给供应商",出库单!$U$4:$U$4003,"正常",出库单!$C$4:$C$4003,"&gt;="&amp;账期起,出库单!$C$4:$C$4003,"&lt;="&amp;账期止))</f>
        <v/>
      </c>
      <c r="W213" s="26">
        <f>IF($A213="","",ROUND(SUMIFS(出库单!$S$4:$S$4003,出库单!$D$4:$D$4003,$A213,出库单!$K$4:$K$4003,"退货给供应商",出库单!$U$4:$U$4003,"正常",出库单!$C$4:$C$4003,"&gt;="&amp;账期起,出库单!$C$4:$C$4003,"&lt;="&amp;账期止),0))</f>
        <v/>
      </c>
      <c r="X213" s="27">
        <f>IF($A213="","",ROUND(N($G213)+$I213+$L213+$N213-$P213-$R213-$T213-$V213,3))</f>
        <v/>
      </c>
      <c r="Y213" s="26">
        <f>IF($A213="","",ROUND(N($H213)+$J213+$M213+$O213-$Q213-$S213-$U213-$W213,0))</f>
        <v/>
      </c>
      <c r="Z213" s="24">
        <f>IF($A213="","",IF(COUNTIFS(入库单!$G$4:$G$2503,$A213,入库单!$Y$4:$Y$2503,"待补价")+COUNTIFS(入库单!$G$4:$G$2503,$A213,入库单!$Y$4:$Y$2503,"暂估")&gt;0,"不可信","可信"))</f>
        <v/>
      </c>
      <c r="AA213" s="24">
        <f>IF($A213="","",IF($X213&lt;-0.001,"※账面负库存，查一下是不是漏记入库",IF(AND(ROUND($X213,3)=0,ABS($Y213)&gt;1),"※数量已经是 0，金额还挂着 "&amp;TEXT($Y213,"#,##0")&amp;" 先令",IF(AND($X213&gt;0,$Y213&lt;=0,$K213=0),"※有数量没金额（这个物料一直没填过进价）",IF($Z213="不可信","△成本含待补价/暂估，毛利仅供参考","")))))</f>
        <v/>
      </c>
    </row>
    <row r="214">
      <c r="A214" s="24">
        <f>IF(物料档案!$A213="","",物料档案!$A213)</f>
        <v/>
      </c>
      <c r="B214" s="24">
        <f>IF($A214="","",IFERROR(VLOOKUP($A214,物料档案!$A$4:$P$1203,3,0),""))</f>
        <v/>
      </c>
      <c r="C214" s="24">
        <f>IF($A214="","",IFERROR(VLOOKUP($A214,物料档案!$A$4:$P$1203,4,0),""))</f>
        <v/>
      </c>
      <c r="D214" s="24">
        <f>IF($A214="","",IFERROR(VLOOKUP($A214,物料档案!$A$4:$P$1203,5,0),""))</f>
        <v/>
      </c>
      <c r="E214" s="24">
        <f>IF($A214="","",IFERROR(VLOOKUP($A214,物料档案!$A$4:$P$1203,2,0),""))</f>
        <v/>
      </c>
      <c r="F214" s="24">
        <f>IF($A214="","",IFERROR(VLOOKUP($A214,物料档案!$A$4:$P$1203,6,0),""))</f>
        <v/>
      </c>
      <c r="G214" s="23" t="n"/>
      <c r="H214" s="32" t="n"/>
      <c r="I214" s="27">
        <f>IF($A214="","",SUMIFS(入库单!$K$4:$K$2503,入库单!$G$4:$G$2503,$A214,入库单!$X$4:$X$2503,"采购入库",入库单!$Z$4:$Z$2503,"正常",入库单!$C$4:$C$2503,"&gt;="&amp;账期起,入库单!$C$4:$C$2503,"&lt;="&amp;账期止))</f>
        <v/>
      </c>
      <c r="J214" s="26">
        <f>IF($A214="","",SUMIFS(入库单!$V$4:$V$2503,入库单!$G$4:$G$2503,$A214,入库单!$X$4:$X$2503,"采购入库",入库单!$Z$4:$Z$2503,"正常",入库单!$C$4:$C$2503,"&gt;="&amp;账期起,入库单!$C$4:$C$2503,"&lt;="&amp;账期止))</f>
        <v/>
      </c>
      <c r="K214" s="26">
        <f>IF($A214="","",IFERROR(ROUND((N($H214)+N($J214))/(N($G214)+N($I214)),2),0))</f>
        <v/>
      </c>
      <c r="L214" s="27">
        <f>IF($A214="","",SUMIFS(入库单!$K$4:$K$2503,入库单!$G$4:$G$2503,$A214,入库单!$X$4:$X$2503,"盘盈",入库单!$Z$4:$Z$2503,"正常",入库单!$C$4:$C$2503,"&gt;="&amp;账期起,入库单!$C$4:$C$2503,"&lt;="&amp;账期止))</f>
        <v/>
      </c>
      <c r="M214" s="26">
        <f>IF($A214="","",ROUND($L214*$K214,0))</f>
        <v/>
      </c>
      <c r="N214" s="27">
        <f>IF($A214="","",SUMIFS(入库单!$K$4:$K$2503,入库单!$G$4:$G$2503,$A214,入库单!$X$4:$X$2503,"矿区退库",入库单!$Z$4:$Z$2503,"正常",入库单!$C$4:$C$2503,"&gt;="&amp;账期起,入库单!$C$4:$C$2503,"&lt;="&amp;账期止))</f>
        <v/>
      </c>
      <c r="O214" s="26">
        <f>IF($A214="","",ROUND($N214*$K214,0))</f>
        <v/>
      </c>
      <c r="P214" s="27">
        <f>IF($A214="","",SUMIFS(出库单!$J$4:$J$4003,出库单!$D$4:$D$4003,$A214,出库单!$K$4:$K$4003,"自用消耗",出库单!$U$4:$U$4003,"正常",出库单!$C$4:$C$4003,"&gt;="&amp;账期起,出库单!$C$4:$C$4003,"&lt;="&amp;账期止))</f>
        <v/>
      </c>
      <c r="Q214" s="26">
        <f>IF($A214="","",ROUND(SUMIFS(出库单!$S$4:$S$4003,出库单!$D$4:$D$4003,$A214,出库单!$K$4:$K$4003,"自用消耗",出库单!$U$4:$U$4003,"正常",出库单!$C$4:$C$4003,"&gt;="&amp;账期起,出库单!$C$4:$C$4003,"&lt;="&amp;账期止),0))</f>
        <v/>
      </c>
      <c r="R214" s="27">
        <f>IF($A214="","",SUMIFS(出库单!$J$4:$J$4003,出库单!$D$4:$D$4003,$A214,出库单!$K$4:$K$4003,"对外销售",出库单!$U$4:$U$4003,"正常",出库单!$C$4:$C$4003,"&gt;="&amp;账期起,出库单!$C$4:$C$4003,"&lt;="&amp;账期止))</f>
        <v/>
      </c>
      <c r="S214" s="26">
        <f>IF($A214="","",ROUND(SUMIFS(出库单!$S$4:$S$4003,出库单!$D$4:$D$4003,$A214,出库单!$K$4:$K$4003,"对外销售",出库单!$U$4:$U$4003,"正常",出库单!$C$4:$C$4003,"&gt;="&amp;账期起,出库单!$C$4:$C$4003,"&lt;="&amp;账期止),0))</f>
        <v/>
      </c>
      <c r="T214" s="27">
        <f>IF($A214="","",SUMIFS(出库单!$J$4:$J$4003,出库单!$D$4:$D$4003,$A214,出库单!$K$4:$K$4003,"盘亏",出库单!$U$4:$U$4003,"正常",出库单!$C$4:$C$4003,"&gt;="&amp;账期起,出库单!$C$4:$C$4003,"&lt;="&amp;账期止))</f>
        <v/>
      </c>
      <c r="U214" s="26">
        <f>IF($A214="","",ROUND(SUMIFS(出库单!$S$4:$S$4003,出库单!$D$4:$D$4003,$A214,出库单!$K$4:$K$4003,"盘亏",出库单!$U$4:$U$4003,"正常",出库单!$C$4:$C$4003,"&gt;="&amp;账期起,出库单!$C$4:$C$4003,"&lt;="&amp;账期止),0))</f>
        <v/>
      </c>
      <c r="V214" s="27">
        <f>IF($A214="","",SUMIFS(出库单!$J$4:$J$4003,出库单!$D$4:$D$4003,$A214,出库单!$K$4:$K$4003,"退货给供应商",出库单!$U$4:$U$4003,"正常",出库单!$C$4:$C$4003,"&gt;="&amp;账期起,出库单!$C$4:$C$4003,"&lt;="&amp;账期止))</f>
        <v/>
      </c>
      <c r="W214" s="26">
        <f>IF($A214="","",ROUND(SUMIFS(出库单!$S$4:$S$4003,出库单!$D$4:$D$4003,$A214,出库单!$K$4:$K$4003,"退货给供应商",出库单!$U$4:$U$4003,"正常",出库单!$C$4:$C$4003,"&gt;="&amp;账期起,出库单!$C$4:$C$4003,"&lt;="&amp;账期止),0))</f>
        <v/>
      </c>
      <c r="X214" s="27">
        <f>IF($A214="","",ROUND(N($G214)+$I214+$L214+$N214-$P214-$R214-$T214-$V214,3))</f>
        <v/>
      </c>
      <c r="Y214" s="26">
        <f>IF($A214="","",ROUND(N($H214)+$J214+$M214+$O214-$Q214-$S214-$U214-$W214,0))</f>
        <v/>
      </c>
      <c r="Z214" s="24">
        <f>IF($A214="","",IF(COUNTIFS(入库单!$G$4:$G$2503,$A214,入库单!$Y$4:$Y$2503,"待补价")+COUNTIFS(入库单!$G$4:$G$2503,$A214,入库单!$Y$4:$Y$2503,"暂估")&gt;0,"不可信","可信"))</f>
        <v/>
      </c>
      <c r="AA214" s="24">
        <f>IF($A214="","",IF($X214&lt;-0.001,"※账面负库存，查一下是不是漏记入库",IF(AND(ROUND($X214,3)=0,ABS($Y214)&gt;1),"※数量已经是 0，金额还挂着 "&amp;TEXT($Y214,"#,##0")&amp;" 先令",IF(AND($X214&gt;0,$Y214&lt;=0,$K214=0),"※有数量没金额（这个物料一直没填过进价）",IF($Z214="不可信","△成本含待补价/暂估，毛利仅供参考","")))))</f>
        <v/>
      </c>
    </row>
    <row r="215">
      <c r="A215" s="24">
        <f>IF(物料档案!$A214="","",物料档案!$A214)</f>
        <v/>
      </c>
      <c r="B215" s="24">
        <f>IF($A215="","",IFERROR(VLOOKUP($A215,物料档案!$A$4:$P$1203,3,0),""))</f>
        <v/>
      </c>
      <c r="C215" s="24">
        <f>IF($A215="","",IFERROR(VLOOKUP($A215,物料档案!$A$4:$P$1203,4,0),""))</f>
        <v/>
      </c>
      <c r="D215" s="24">
        <f>IF($A215="","",IFERROR(VLOOKUP($A215,物料档案!$A$4:$P$1203,5,0),""))</f>
        <v/>
      </c>
      <c r="E215" s="24">
        <f>IF($A215="","",IFERROR(VLOOKUP($A215,物料档案!$A$4:$P$1203,2,0),""))</f>
        <v/>
      </c>
      <c r="F215" s="24">
        <f>IF($A215="","",IFERROR(VLOOKUP($A215,物料档案!$A$4:$P$1203,6,0),""))</f>
        <v/>
      </c>
      <c r="G215" s="23" t="n"/>
      <c r="H215" s="32" t="n"/>
      <c r="I215" s="27">
        <f>IF($A215="","",SUMIFS(入库单!$K$4:$K$2503,入库单!$G$4:$G$2503,$A215,入库单!$X$4:$X$2503,"采购入库",入库单!$Z$4:$Z$2503,"正常",入库单!$C$4:$C$2503,"&gt;="&amp;账期起,入库单!$C$4:$C$2503,"&lt;="&amp;账期止))</f>
        <v/>
      </c>
      <c r="J215" s="26">
        <f>IF($A215="","",SUMIFS(入库单!$V$4:$V$2503,入库单!$G$4:$G$2503,$A215,入库单!$X$4:$X$2503,"采购入库",入库单!$Z$4:$Z$2503,"正常",入库单!$C$4:$C$2503,"&gt;="&amp;账期起,入库单!$C$4:$C$2503,"&lt;="&amp;账期止))</f>
        <v/>
      </c>
      <c r="K215" s="26">
        <f>IF($A215="","",IFERROR(ROUND((N($H215)+N($J215))/(N($G215)+N($I215)),2),0))</f>
        <v/>
      </c>
      <c r="L215" s="27">
        <f>IF($A215="","",SUMIFS(入库单!$K$4:$K$2503,入库单!$G$4:$G$2503,$A215,入库单!$X$4:$X$2503,"盘盈",入库单!$Z$4:$Z$2503,"正常",入库单!$C$4:$C$2503,"&gt;="&amp;账期起,入库单!$C$4:$C$2503,"&lt;="&amp;账期止))</f>
        <v/>
      </c>
      <c r="M215" s="26">
        <f>IF($A215="","",ROUND($L215*$K215,0))</f>
        <v/>
      </c>
      <c r="N215" s="27">
        <f>IF($A215="","",SUMIFS(入库单!$K$4:$K$2503,入库单!$G$4:$G$2503,$A215,入库单!$X$4:$X$2503,"矿区退库",入库单!$Z$4:$Z$2503,"正常",入库单!$C$4:$C$2503,"&gt;="&amp;账期起,入库单!$C$4:$C$2503,"&lt;="&amp;账期止))</f>
        <v/>
      </c>
      <c r="O215" s="26">
        <f>IF($A215="","",ROUND($N215*$K215,0))</f>
        <v/>
      </c>
      <c r="P215" s="27">
        <f>IF($A215="","",SUMIFS(出库单!$J$4:$J$4003,出库单!$D$4:$D$4003,$A215,出库单!$K$4:$K$4003,"自用消耗",出库单!$U$4:$U$4003,"正常",出库单!$C$4:$C$4003,"&gt;="&amp;账期起,出库单!$C$4:$C$4003,"&lt;="&amp;账期止))</f>
        <v/>
      </c>
      <c r="Q215" s="26">
        <f>IF($A215="","",ROUND(SUMIFS(出库单!$S$4:$S$4003,出库单!$D$4:$D$4003,$A215,出库单!$K$4:$K$4003,"自用消耗",出库单!$U$4:$U$4003,"正常",出库单!$C$4:$C$4003,"&gt;="&amp;账期起,出库单!$C$4:$C$4003,"&lt;="&amp;账期止),0))</f>
        <v/>
      </c>
      <c r="R215" s="27">
        <f>IF($A215="","",SUMIFS(出库单!$J$4:$J$4003,出库单!$D$4:$D$4003,$A215,出库单!$K$4:$K$4003,"对外销售",出库单!$U$4:$U$4003,"正常",出库单!$C$4:$C$4003,"&gt;="&amp;账期起,出库单!$C$4:$C$4003,"&lt;="&amp;账期止))</f>
        <v/>
      </c>
      <c r="S215" s="26">
        <f>IF($A215="","",ROUND(SUMIFS(出库单!$S$4:$S$4003,出库单!$D$4:$D$4003,$A215,出库单!$K$4:$K$4003,"对外销售",出库单!$U$4:$U$4003,"正常",出库单!$C$4:$C$4003,"&gt;="&amp;账期起,出库单!$C$4:$C$4003,"&lt;="&amp;账期止),0))</f>
        <v/>
      </c>
      <c r="T215" s="27">
        <f>IF($A215="","",SUMIFS(出库单!$J$4:$J$4003,出库单!$D$4:$D$4003,$A215,出库单!$K$4:$K$4003,"盘亏",出库单!$U$4:$U$4003,"正常",出库单!$C$4:$C$4003,"&gt;="&amp;账期起,出库单!$C$4:$C$4003,"&lt;="&amp;账期止))</f>
        <v/>
      </c>
      <c r="U215" s="26">
        <f>IF($A215="","",ROUND(SUMIFS(出库单!$S$4:$S$4003,出库单!$D$4:$D$4003,$A215,出库单!$K$4:$K$4003,"盘亏",出库单!$U$4:$U$4003,"正常",出库单!$C$4:$C$4003,"&gt;="&amp;账期起,出库单!$C$4:$C$4003,"&lt;="&amp;账期止),0))</f>
        <v/>
      </c>
      <c r="V215" s="27">
        <f>IF($A215="","",SUMIFS(出库单!$J$4:$J$4003,出库单!$D$4:$D$4003,$A215,出库单!$K$4:$K$4003,"退货给供应商",出库单!$U$4:$U$4003,"正常",出库单!$C$4:$C$4003,"&gt;="&amp;账期起,出库单!$C$4:$C$4003,"&lt;="&amp;账期止))</f>
        <v/>
      </c>
      <c r="W215" s="26">
        <f>IF($A215="","",ROUND(SUMIFS(出库单!$S$4:$S$4003,出库单!$D$4:$D$4003,$A215,出库单!$K$4:$K$4003,"退货给供应商",出库单!$U$4:$U$4003,"正常",出库单!$C$4:$C$4003,"&gt;="&amp;账期起,出库单!$C$4:$C$4003,"&lt;="&amp;账期止),0))</f>
        <v/>
      </c>
      <c r="X215" s="27">
        <f>IF($A215="","",ROUND(N($G215)+$I215+$L215+$N215-$P215-$R215-$T215-$V215,3))</f>
        <v/>
      </c>
      <c r="Y215" s="26">
        <f>IF($A215="","",ROUND(N($H215)+$J215+$M215+$O215-$Q215-$S215-$U215-$W215,0))</f>
        <v/>
      </c>
      <c r="Z215" s="24">
        <f>IF($A215="","",IF(COUNTIFS(入库单!$G$4:$G$2503,$A215,入库单!$Y$4:$Y$2503,"待补价")+COUNTIFS(入库单!$G$4:$G$2503,$A215,入库单!$Y$4:$Y$2503,"暂估")&gt;0,"不可信","可信"))</f>
        <v/>
      </c>
      <c r="AA215" s="24">
        <f>IF($A215="","",IF($X215&lt;-0.001,"※账面负库存，查一下是不是漏记入库",IF(AND(ROUND($X215,3)=0,ABS($Y215)&gt;1),"※数量已经是 0，金额还挂着 "&amp;TEXT($Y215,"#,##0")&amp;" 先令",IF(AND($X215&gt;0,$Y215&lt;=0,$K215=0),"※有数量没金额（这个物料一直没填过进价）",IF($Z215="不可信","△成本含待补价/暂估，毛利仅供参考","")))))</f>
        <v/>
      </c>
    </row>
    <row r="216">
      <c r="A216" s="24">
        <f>IF(物料档案!$A215="","",物料档案!$A215)</f>
        <v/>
      </c>
      <c r="B216" s="24">
        <f>IF($A216="","",IFERROR(VLOOKUP($A216,物料档案!$A$4:$P$1203,3,0),""))</f>
        <v/>
      </c>
      <c r="C216" s="24">
        <f>IF($A216="","",IFERROR(VLOOKUP($A216,物料档案!$A$4:$P$1203,4,0),""))</f>
        <v/>
      </c>
      <c r="D216" s="24">
        <f>IF($A216="","",IFERROR(VLOOKUP($A216,物料档案!$A$4:$P$1203,5,0),""))</f>
        <v/>
      </c>
      <c r="E216" s="24">
        <f>IF($A216="","",IFERROR(VLOOKUP($A216,物料档案!$A$4:$P$1203,2,0),""))</f>
        <v/>
      </c>
      <c r="F216" s="24">
        <f>IF($A216="","",IFERROR(VLOOKUP($A216,物料档案!$A$4:$P$1203,6,0),""))</f>
        <v/>
      </c>
      <c r="G216" s="23" t="n"/>
      <c r="H216" s="32" t="n"/>
      <c r="I216" s="27">
        <f>IF($A216="","",SUMIFS(入库单!$K$4:$K$2503,入库单!$G$4:$G$2503,$A216,入库单!$X$4:$X$2503,"采购入库",入库单!$Z$4:$Z$2503,"正常",入库单!$C$4:$C$2503,"&gt;="&amp;账期起,入库单!$C$4:$C$2503,"&lt;="&amp;账期止))</f>
        <v/>
      </c>
      <c r="J216" s="26">
        <f>IF($A216="","",SUMIFS(入库单!$V$4:$V$2503,入库单!$G$4:$G$2503,$A216,入库单!$X$4:$X$2503,"采购入库",入库单!$Z$4:$Z$2503,"正常",入库单!$C$4:$C$2503,"&gt;="&amp;账期起,入库单!$C$4:$C$2503,"&lt;="&amp;账期止))</f>
        <v/>
      </c>
      <c r="K216" s="26">
        <f>IF($A216="","",IFERROR(ROUND((N($H216)+N($J216))/(N($G216)+N($I216)),2),0))</f>
        <v/>
      </c>
      <c r="L216" s="27">
        <f>IF($A216="","",SUMIFS(入库单!$K$4:$K$2503,入库单!$G$4:$G$2503,$A216,入库单!$X$4:$X$2503,"盘盈",入库单!$Z$4:$Z$2503,"正常",入库单!$C$4:$C$2503,"&gt;="&amp;账期起,入库单!$C$4:$C$2503,"&lt;="&amp;账期止))</f>
        <v/>
      </c>
      <c r="M216" s="26">
        <f>IF($A216="","",ROUND($L216*$K216,0))</f>
        <v/>
      </c>
      <c r="N216" s="27">
        <f>IF($A216="","",SUMIFS(入库单!$K$4:$K$2503,入库单!$G$4:$G$2503,$A216,入库单!$X$4:$X$2503,"矿区退库",入库单!$Z$4:$Z$2503,"正常",入库单!$C$4:$C$2503,"&gt;="&amp;账期起,入库单!$C$4:$C$2503,"&lt;="&amp;账期止))</f>
        <v/>
      </c>
      <c r="O216" s="26">
        <f>IF($A216="","",ROUND($N216*$K216,0))</f>
        <v/>
      </c>
      <c r="P216" s="27">
        <f>IF($A216="","",SUMIFS(出库单!$J$4:$J$4003,出库单!$D$4:$D$4003,$A216,出库单!$K$4:$K$4003,"自用消耗",出库单!$U$4:$U$4003,"正常",出库单!$C$4:$C$4003,"&gt;="&amp;账期起,出库单!$C$4:$C$4003,"&lt;="&amp;账期止))</f>
        <v/>
      </c>
      <c r="Q216" s="26">
        <f>IF($A216="","",ROUND(SUMIFS(出库单!$S$4:$S$4003,出库单!$D$4:$D$4003,$A216,出库单!$K$4:$K$4003,"自用消耗",出库单!$U$4:$U$4003,"正常",出库单!$C$4:$C$4003,"&gt;="&amp;账期起,出库单!$C$4:$C$4003,"&lt;="&amp;账期止),0))</f>
        <v/>
      </c>
      <c r="R216" s="27">
        <f>IF($A216="","",SUMIFS(出库单!$J$4:$J$4003,出库单!$D$4:$D$4003,$A216,出库单!$K$4:$K$4003,"对外销售",出库单!$U$4:$U$4003,"正常",出库单!$C$4:$C$4003,"&gt;="&amp;账期起,出库单!$C$4:$C$4003,"&lt;="&amp;账期止))</f>
        <v/>
      </c>
      <c r="S216" s="26">
        <f>IF($A216="","",ROUND(SUMIFS(出库单!$S$4:$S$4003,出库单!$D$4:$D$4003,$A216,出库单!$K$4:$K$4003,"对外销售",出库单!$U$4:$U$4003,"正常",出库单!$C$4:$C$4003,"&gt;="&amp;账期起,出库单!$C$4:$C$4003,"&lt;="&amp;账期止),0))</f>
        <v/>
      </c>
      <c r="T216" s="27">
        <f>IF($A216="","",SUMIFS(出库单!$J$4:$J$4003,出库单!$D$4:$D$4003,$A216,出库单!$K$4:$K$4003,"盘亏",出库单!$U$4:$U$4003,"正常",出库单!$C$4:$C$4003,"&gt;="&amp;账期起,出库单!$C$4:$C$4003,"&lt;="&amp;账期止))</f>
        <v/>
      </c>
      <c r="U216" s="26">
        <f>IF($A216="","",ROUND(SUMIFS(出库单!$S$4:$S$4003,出库单!$D$4:$D$4003,$A216,出库单!$K$4:$K$4003,"盘亏",出库单!$U$4:$U$4003,"正常",出库单!$C$4:$C$4003,"&gt;="&amp;账期起,出库单!$C$4:$C$4003,"&lt;="&amp;账期止),0))</f>
        <v/>
      </c>
      <c r="V216" s="27">
        <f>IF($A216="","",SUMIFS(出库单!$J$4:$J$4003,出库单!$D$4:$D$4003,$A216,出库单!$K$4:$K$4003,"退货给供应商",出库单!$U$4:$U$4003,"正常",出库单!$C$4:$C$4003,"&gt;="&amp;账期起,出库单!$C$4:$C$4003,"&lt;="&amp;账期止))</f>
        <v/>
      </c>
      <c r="W216" s="26">
        <f>IF($A216="","",ROUND(SUMIFS(出库单!$S$4:$S$4003,出库单!$D$4:$D$4003,$A216,出库单!$K$4:$K$4003,"退货给供应商",出库单!$U$4:$U$4003,"正常",出库单!$C$4:$C$4003,"&gt;="&amp;账期起,出库单!$C$4:$C$4003,"&lt;="&amp;账期止),0))</f>
        <v/>
      </c>
      <c r="X216" s="27">
        <f>IF($A216="","",ROUND(N($G216)+$I216+$L216+$N216-$P216-$R216-$T216-$V216,3))</f>
        <v/>
      </c>
      <c r="Y216" s="26">
        <f>IF($A216="","",ROUND(N($H216)+$J216+$M216+$O216-$Q216-$S216-$U216-$W216,0))</f>
        <v/>
      </c>
      <c r="Z216" s="24">
        <f>IF($A216="","",IF(COUNTIFS(入库单!$G$4:$G$2503,$A216,入库单!$Y$4:$Y$2503,"待补价")+COUNTIFS(入库单!$G$4:$G$2503,$A216,入库单!$Y$4:$Y$2503,"暂估")&gt;0,"不可信","可信"))</f>
        <v/>
      </c>
      <c r="AA216" s="24">
        <f>IF($A216="","",IF($X216&lt;-0.001,"※账面负库存，查一下是不是漏记入库",IF(AND(ROUND($X216,3)=0,ABS($Y216)&gt;1),"※数量已经是 0，金额还挂着 "&amp;TEXT($Y216,"#,##0")&amp;" 先令",IF(AND($X216&gt;0,$Y216&lt;=0,$K216=0),"※有数量没金额（这个物料一直没填过进价）",IF($Z216="不可信","△成本含待补价/暂估，毛利仅供参考","")))))</f>
        <v/>
      </c>
    </row>
    <row r="217">
      <c r="A217" s="24">
        <f>IF(物料档案!$A216="","",物料档案!$A216)</f>
        <v/>
      </c>
      <c r="B217" s="24">
        <f>IF($A217="","",IFERROR(VLOOKUP($A217,物料档案!$A$4:$P$1203,3,0),""))</f>
        <v/>
      </c>
      <c r="C217" s="24">
        <f>IF($A217="","",IFERROR(VLOOKUP($A217,物料档案!$A$4:$P$1203,4,0),""))</f>
        <v/>
      </c>
      <c r="D217" s="24">
        <f>IF($A217="","",IFERROR(VLOOKUP($A217,物料档案!$A$4:$P$1203,5,0),""))</f>
        <v/>
      </c>
      <c r="E217" s="24">
        <f>IF($A217="","",IFERROR(VLOOKUP($A217,物料档案!$A$4:$P$1203,2,0),""))</f>
        <v/>
      </c>
      <c r="F217" s="24">
        <f>IF($A217="","",IFERROR(VLOOKUP($A217,物料档案!$A$4:$P$1203,6,0),""))</f>
        <v/>
      </c>
      <c r="G217" s="23" t="n"/>
      <c r="H217" s="32" t="n"/>
      <c r="I217" s="27">
        <f>IF($A217="","",SUMIFS(入库单!$K$4:$K$2503,入库单!$G$4:$G$2503,$A217,入库单!$X$4:$X$2503,"采购入库",入库单!$Z$4:$Z$2503,"正常",入库单!$C$4:$C$2503,"&gt;="&amp;账期起,入库单!$C$4:$C$2503,"&lt;="&amp;账期止))</f>
        <v/>
      </c>
      <c r="J217" s="26">
        <f>IF($A217="","",SUMIFS(入库单!$V$4:$V$2503,入库单!$G$4:$G$2503,$A217,入库单!$X$4:$X$2503,"采购入库",入库单!$Z$4:$Z$2503,"正常",入库单!$C$4:$C$2503,"&gt;="&amp;账期起,入库单!$C$4:$C$2503,"&lt;="&amp;账期止))</f>
        <v/>
      </c>
      <c r="K217" s="26">
        <f>IF($A217="","",IFERROR(ROUND((N($H217)+N($J217))/(N($G217)+N($I217)),2),0))</f>
        <v/>
      </c>
      <c r="L217" s="27">
        <f>IF($A217="","",SUMIFS(入库单!$K$4:$K$2503,入库单!$G$4:$G$2503,$A217,入库单!$X$4:$X$2503,"盘盈",入库单!$Z$4:$Z$2503,"正常",入库单!$C$4:$C$2503,"&gt;="&amp;账期起,入库单!$C$4:$C$2503,"&lt;="&amp;账期止))</f>
        <v/>
      </c>
      <c r="M217" s="26">
        <f>IF($A217="","",ROUND($L217*$K217,0))</f>
        <v/>
      </c>
      <c r="N217" s="27">
        <f>IF($A217="","",SUMIFS(入库单!$K$4:$K$2503,入库单!$G$4:$G$2503,$A217,入库单!$X$4:$X$2503,"矿区退库",入库单!$Z$4:$Z$2503,"正常",入库单!$C$4:$C$2503,"&gt;="&amp;账期起,入库单!$C$4:$C$2503,"&lt;="&amp;账期止))</f>
        <v/>
      </c>
      <c r="O217" s="26">
        <f>IF($A217="","",ROUND($N217*$K217,0))</f>
        <v/>
      </c>
      <c r="P217" s="27">
        <f>IF($A217="","",SUMIFS(出库单!$J$4:$J$4003,出库单!$D$4:$D$4003,$A217,出库单!$K$4:$K$4003,"自用消耗",出库单!$U$4:$U$4003,"正常",出库单!$C$4:$C$4003,"&gt;="&amp;账期起,出库单!$C$4:$C$4003,"&lt;="&amp;账期止))</f>
        <v/>
      </c>
      <c r="Q217" s="26">
        <f>IF($A217="","",ROUND(SUMIFS(出库单!$S$4:$S$4003,出库单!$D$4:$D$4003,$A217,出库单!$K$4:$K$4003,"自用消耗",出库单!$U$4:$U$4003,"正常",出库单!$C$4:$C$4003,"&gt;="&amp;账期起,出库单!$C$4:$C$4003,"&lt;="&amp;账期止),0))</f>
        <v/>
      </c>
      <c r="R217" s="27">
        <f>IF($A217="","",SUMIFS(出库单!$J$4:$J$4003,出库单!$D$4:$D$4003,$A217,出库单!$K$4:$K$4003,"对外销售",出库单!$U$4:$U$4003,"正常",出库单!$C$4:$C$4003,"&gt;="&amp;账期起,出库单!$C$4:$C$4003,"&lt;="&amp;账期止))</f>
        <v/>
      </c>
      <c r="S217" s="26">
        <f>IF($A217="","",ROUND(SUMIFS(出库单!$S$4:$S$4003,出库单!$D$4:$D$4003,$A217,出库单!$K$4:$K$4003,"对外销售",出库单!$U$4:$U$4003,"正常",出库单!$C$4:$C$4003,"&gt;="&amp;账期起,出库单!$C$4:$C$4003,"&lt;="&amp;账期止),0))</f>
        <v/>
      </c>
      <c r="T217" s="27">
        <f>IF($A217="","",SUMIFS(出库单!$J$4:$J$4003,出库单!$D$4:$D$4003,$A217,出库单!$K$4:$K$4003,"盘亏",出库单!$U$4:$U$4003,"正常",出库单!$C$4:$C$4003,"&gt;="&amp;账期起,出库单!$C$4:$C$4003,"&lt;="&amp;账期止))</f>
        <v/>
      </c>
      <c r="U217" s="26">
        <f>IF($A217="","",ROUND(SUMIFS(出库单!$S$4:$S$4003,出库单!$D$4:$D$4003,$A217,出库单!$K$4:$K$4003,"盘亏",出库单!$U$4:$U$4003,"正常",出库单!$C$4:$C$4003,"&gt;="&amp;账期起,出库单!$C$4:$C$4003,"&lt;="&amp;账期止),0))</f>
        <v/>
      </c>
      <c r="V217" s="27">
        <f>IF($A217="","",SUMIFS(出库单!$J$4:$J$4003,出库单!$D$4:$D$4003,$A217,出库单!$K$4:$K$4003,"退货给供应商",出库单!$U$4:$U$4003,"正常",出库单!$C$4:$C$4003,"&gt;="&amp;账期起,出库单!$C$4:$C$4003,"&lt;="&amp;账期止))</f>
        <v/>
      </c>
      <c r="W217" s="26">
        <f>IF($A217="","",ROUND(SUMIFS(出库单!$S$4:$S$4003,出库单!$D$4:$D$4003,$A217,出库单!$K$4:$K$4003,"退货给供应商",出库单!$U$4:$U$4003,"正常",出库单!$C$4:$C$4003,"&gt;="&amp;账期起,出库单!$C$4:$C$4003,"&lt;="&amp;账期止),0))</f>
        <v/>
      </c>
      <c r="X217" s="27">
        <f>IF($A217="","",ROUND(N($G217)+$I217+$L217+$N217-$P217-$R217-$T217-$V217,3))</f>
        <v/>
      </c>
      <c r="Y217" s="26">
        <f>IF($A217="","",ROUND(N($H217)+$J217+$M217+$O217-$Q217-$S217-$U217-$W217,0))</f>
        <v/>
      </c>
      <c r="Z217" s="24">
        <f>IF($A217="","",IF(COUNTIFS(入库单!$G$4:$G$2503,$A217,入库单!$Y$4:$Y$2503,"待补价")+COUNTIFS(入库单!$G$4:$G$2503,$A217,入库单!$Y$4:$Y$2503,"暂估")&gt;0,"不可信","可信"))</f>
        <v/>
      </c>
      <c r="AA217" s="24">
        <f>IF($A217="","",IF($X217&lt;-0.001,"※账面负库存，查一下是不是漏记入库",IF(AND(ROUND($X217,3)=0,ABS($Y217)&gt;1),"※数量已经是 0，金额还挂着 "&amp;TEXT($Y217,"#,##0")&amp;" 先令",IF(AND($X217&gt;0,$Y217&lt;=0,$K217=0),"※有数量没金额（这个物料一直没填过进价）",IF($Z217="不可信","△成本含待补价/暂估，毛利仅供参考","")))))</f>
        <v/>
      </c>
    </row>
    <row r="218">
      <c r="A218" s="24">
        <f>IF(物料档案!$A217="","",物料档案!$A217)</f>
        <v/>
      </c>
      <c r="B218" s="24">
        <f>IF($A218="","",IFERROR(VLOOKUP($A218,物料档案!$A$4:$P$1203,3,0),""))</f>
        <v/>
      </c>
      <c r="C218" s="24">
        <f>IF($A218="","",IFERROR(VLOOKUP($A218,物料档案!$A$4:$P$1203,4,0),""))</f>
        <v/>
      </c>
      <c r="D218" s="24">
        <f>IF($A218="","",IFERROR(VLOOKUP($A218,物料档案!$A$4:$P$1203,5,0),""))</f>
        <v/>
      </c>
      <c r="E218" s="24">
        <f>IF($A218="","",IFERROR(VLOOKUP($A218,物料档案!$A$4:$P$1203,2,0),""))</f>
        <v/>
      </c>
      <c r="F218" s="24">
        <f>IF($A218="","",IFERROR(VLOOKUP($A218,物料档案!$A$4:$P$1203,6,0),""))</f>
        <v/>
      </c>
      <c r="G218" s="23" t="n"/>
      <c r="H218" s="32" t="n"/>
      <c r="I218" s="27">
        <f>IF($A218="","",SUMIFS(入库单!$K$4:$K$2503,入库单!$G$4:$G$2503,$A218,入库单!$X$4:$X$2503,"采购入库",入库单!$Z$4:$Z$2503,"正常",入库单!$C$4:$C$2503,"&gt;="&amp;账期起,入库单!$C$4:$C$2503,"&lt;="&amp;账期止))</f>
        <v/>
      </c>
      <c r="J218" s="26">
        <f>IF($A218="","",SUMIFS(入库单!$V$4:$V$2503,入库单!$G$4:$G$2503,$A218,入库单!$X$4:$X$2503,"采购入库",入库单!$Z$4:$Z$2503,"正常",入库单!$C$4:$C$2503,"&gt;="&amp;账期起,入库单!$C$4:$C$2503,"&lt;="&amp;账期止))</f>
        <v/>
      </c>
      <c r="K218" s="26">
        <f>IF($A218="","",IFERROR(ROUND((N($H218)+N($J218))/(N($G218)+N($I218)),2),0))</f>
        <v/>
      </c>
      <c r="L218" s="27">
        <f>IF($A218="","",SUMIFS(入库单!$K$4:$K$2503,入库单!$G$4:$G$2503,$A218,入库单!$X$4:$X$2503,"盘盈",入库单!$Z$4:$Z$2503,"正常",入库单!$C$4:$C$2503,"&gt;="&amp;账期起,入库单!$C$4:$C$2503,"&lt;="&amp;账期止))</f>
        <v/>
      </c>
      <c r="M218" s="26">
        <f>IF($A218="","",ROUND($L218*$K218,0))</f>
        <v/>
      </c>
      <c r="N218" s="27">
        <f>IF($A218="","",SUMIFS(入库单!$K$4:$K$2503,入库单!$G$4:$G$2503,$A218,入库单!$X$4:$X$2503,"矿区退库",入库单!$Z$4:$Z$2503,"正常",入库单!$C$4:$C$2503,"&gt;="&amp;账期起,入库单!$C$4:$C$2503,"&lt;="&amp;账期止))</f>
        <v/>
      </c>
      <c r="O218" s="26">
        <f>IF($A218="","",ROUND($N218*$K218,0))</f>
        <v/>
      </c>
      <c r="P218" s="27">
        <f>IF($A218="","",SUMIFS(出库单!$J$4:$J$4003,出库单!$D$4:$D$4003,$A218,出库单!$K$4:$K$4003,"自用消耗",出库单!$U$4:$U$4003,"正常",出库单!$C$4:$C$4003,"&gt;="&amp;账期起,出库单!$C$4:$C$4003,"&lt;="&amp;账期止))</f>
        <v/>
      </c>
      <c r="Q218" s="26">
        <f>IF($A218="","",ROUND(SUMIFS(出库单!$S$4:$S$4003,出库单!$D$4:$D$4003,$A218,出库单!$K$4:$K$4003,"自用消耗",出库单!$U$4:$U$4003,"正常",出库单!$C$4:$C$4003,"&gt;="&amp;账期起,出库单!$C$4:$C$4003,"&lt;="&amp;账期止),0))</f>
        <v/>
      </c>
      <c r="R218" s="27">
        <f>IF($A218="","",SUMIFS(出库单!$J$4:$J$4003,出库单!$D$4:$D$4003,$A218,出库单!$K$4:$K$4003,"对外销售",出库单!$U$4:$U$4003,"正常",出库单!$C$4:$C$4003,"&gt;="&amp;账期起,出库单!$C$4:$C$4003,"&lt;="&amp;账期止))</f>
        <v/>
      </c>
      <c r="S218" s="26">
        <f>IF($A218="","",ROUND(SUMIFS(出库单!$S$4:$S$4003,出库单!$D$4:$D$4003,$A218,出库单!$K$4:$K$4003,"对外销售",出库单!$U$4:$U$4003,"正常",出库单!$C$4:$C$4003,"&gt;="&amp;账期起,出库单!$C$4:$C$4003,"&lt;="&amp;账期止),0))</f>
        <v/>
      </c>
      <c r="T218" s="27">
        <f>IF($A218="","",SUMIFS(出库单!$J$4:$J$4003,出库单!$D$4:$D$4003,$A218,出库单!$K$4:$K$4003,"盘亏",出库单!$U$4:$U$4003,"正常",出库单!$C$4:$C$4003,"&gt;="&amp;账期起,出库单!$C$4:$C$4003,"&lt;="&amp;账期止))</f>
        <v/>
      </c>
      <c r="U218" s="26">
        <f>IF($A218="","",ROUND(SUMIFS(出库单!$S$4:$S$4003,出库单!$D$4:$D$4003,$A218,出库单!$K$4:$K$4003,"盘亏",出库单!$U$4:$U$4003,"正常",出库单!$C$4:$C$4003,"&gt;="&amp;账期起,出库单!$C$4:$C$4003,"&lt;="&amp;账期止),0))</f>
        <v/>
      </c>
      <c r="V218" s="27">
        <f>IF($A218="","",SUMIFS(出库单!$J$4:$J$4003,出库单!$D$4:$D$4003,$A218,出库单!$K$4:$K$4003,"退货给供应商",出库单!$U$4:$U$4003,"正常",出库单!$C$4:$C$4003,"&gt;="&amp;账期起,出库单!$C$4:$C$4003,"&lt;="&amp;账期止))</f>
        <v/>
      </c>
      <c r="W218" s="26">
        <f>IF($A218="","",ROUND(SUMIFS(出库单!$S$4:$S$4003,出库单!$D$4:$D$4003,$A218,出库单!$K$4:$K$4003,"退货给供应商",出库单!$U$4:$U$4003,"正常",出库单!$C$4:$C$4003,"&gt;="&amp;账期起,出库单!$C$4:$C$4003,"&lt;="&amp;账期止),0))</f>
        <v/>
      </c>
      <c r="X218" s="27">
        <f>IF($A218="","",ROUND(N($G218)+$I218+$L218+$N218-$P218-$R218-$T218-$V218,3))</f>
        <v/>
      </c>
      <c r="Y218" s="26">
        <f>IF($A218="","",ROUND(N($H218)+$J218+$M218+$O218-$Q218-$S218-$U218-$W218,0))</f>
        <v/>
      </c>
      <c r="Z218" s="24">
        <f>IF($A218="","",IF(COUNTIFS(入库单!$G$4:$G$2503,$A218,入库单!$Y$4:$Y$2503,"待补价")+COUNTIFS(入库单!$G$4:$G$2503,$A218,入库单!$Y$4:$Y$2503,"暂估")&gt;0,"不可信","可信"))</f>
        <v/>
      </c>
      <c r="AA218" s="24">
        <f>IF($A218="","",IF($X218&lt;-0.001,"※账面负库存，查一下是不是漏记入库",IF(AND(ROUND($X218,3)=0,ABS($Y218)&gt;1),"※数量已经是 0，金额还挂着 "&amp;TEXT($Y218,"#,##0")&amp;" 先令",IF(AND($X218&gt;0,$Y218&lt;=0,$K218=0),"※有数量没金额（这个物料一直没填过进价）",IF($Z218="不可信","△成本含待补价/暂估，毛利仅供参考","")))))</f>
        <v/>
      </c>
    </row>
    <row r="219">
      <c r="A219" s="24">
        <f>IF(物料档案!$A218="","",物料档案!$A218)</f>
        <v/>
      </c>
      <c r="B219" s="24">
        <f>IF($A219="","",IFERROR(VLOOKUP($A219,物料档案!$A$4:$P$1203,3,0),""))</f>
        <v/>
      </c>
      <c r="C219" s="24">
        <f>IF($A219="","",IFERROR(VLOOKUP($A219,物料档案!$A$4:$P$1203,4,0),""))</f>
        <v/>
      </c>
      <c r="D219" s="24">
        <f>IF($A219="","",IFERROR(VLOOKUP($A219,物料档案!$A$4:$P$1203,5,0),""))</f>
        <v/>
      </c>
      <c r="E219" s="24">
        <f>IF($A219="","",IFERROR(VLOOKUP($A219,物料档案!$A$4:$P$1203,2,0),""))</f>
        <v/>
      </c>
      <c r="F219" s="24">
        <f>IF($A219="","",IFERROR(VLOOKUP($A219,物料档案!$A$4:$P$1203,6,0),""))</f>
        <v/>
      </c>
      <c r="G219" s="23" t="n"/>
      <c r="H219" s="32" t="n"/>
      <c r="I219" s="27">
        <f>IF($A219="","",SUMIFS(入库单!$K$4:$K$2503,入库单!$G$4:$G$2503,$A219,入库单!$X$4:$X$2503,"采购入库",入库单!$Z$4:$Z$2503,"正常",入库单!$C$4:$C$2503,"&gt;="&amp;账期起,入库单!$C$4:$C$2503,"&lt;="&amp;账期止))</f>
        <v/>
      </c>
      <c r="J219" s="26">
        <f>IF($A219="","",SUMIFS(入库单!$V$4:$V$2503,入库单!$G$4:$G$2503,$A219,入库单!$X$4:$X$2503,"采购入库",入库单!$Z$4:$Z$2503,"正常",入库单!$C$4:$C$2503,"&gt;="&amp;账期起,入库单!$C$4:$C$2503,"&lt;="&amp;账期止))</f>
        <v/>
      </c>
      <c r="K219" s="26">
        <f>IF($A219="","",IFERROR(ROUND((N($H219)+N($J219))/(N($G219)+N($I219)),2),0))</f>
        <v/>
      </c>
      <c r="L219" s="27">
        <f>IF($A219="","",SUMIFS(入库单!$K$4:$K$2503,入库单!$G$4:$G$2503,$A219,入库单!$X$4:$X$2503,"盘盈",入库单!$Z$4:$Z$2503,"正常",入库单!$C$4:$C$2503,"&gt;="&amp;账期起,入库单!$C$4:$C$2503,"&lt;="&amp;账期止))</f>
        <v/>
      </c>
      <c r="M219" s="26">
        <f>IF($A219="","",ROUND($L219*$K219,0))</f>
        <v/>
      </c>
      <c r="N219" s="27">
        <f>IF($A219="","",SUMIFS(入库单!$K$4:$K$2503,入库单!$G$4:$G$2503,$A219,入库单!$X$4:$X$2503,"矿区退库",入库单!$Z$4:$Z$2503,"正常",入库单!$C$4:$C$2503,"&gt;="&amp;账期起,入库单!$C$4:$C$2503,"&lt;="&amp;账期止))</f>
        <v/>
      </c>
      <c r="O219" s="26">
        <f>IF($A219="","",ROUND($N219*$K219,0))</f>
        <v/>
      </c>
      <c r="P219" s="27">
        <f>IF($A219="","",SUMIFS(出库单!$J$4:$J$4003,出库单!$D$4:$D$4003,$A219,出库单!$K$4:$K$4003,"自用消耗",出库单!$U$4:$U$4003,"正常",出库单!$C$4:$C$4003,"&gt;="&amp;账期起,出库单!$C$4:$C$4003,"&lt;="&amp;账期止))</f>
        <v/>
      </c>
      <c r="Q219" s="26">
        <f>IF($A219="","",ROUND(SUMIFS(出库单!$S$4:$S$4003,出库单!$D$4:$D$4003,$A219,出库单!$K$4:$K$4003,"自用消耗",出库单!$U$4:$U$4003,"正常",出库单!$C$4:$C$4003,"&gt;="&amp;账期起,出库单!$C$4:$C$4003,"&lt;="&amp;账期止),0))</f>
        <v/>
      </c>
      <c r="R219" s="27">
        <f>IF($A219="","",SUMIFS(出库单!$J$4:$J$4003,出库单!$D$4:$D$4003,$A219,出库单!$K$4:$K$4003,"对外销售",出库单!$U$4:$U$4003,"正常",出库单!$C$4:$C$4003,"&gt;="&amp;账期起,出库单!$C$4:$C$4003,"&lt;="&amp;账期止))</f>
        <v/>
      </c>
      <c r="S219" s="26">
        <f>IF($A219="","",ROUND(SUMIFS(出库单!$S$4:$S$4003,出库单!$D$4:$D$4003,$A219,出库单!$K$4:$K$4003,"对外销售",出库单!$U$4:$U$4003,"正常",出库单!$C$4:$C$4003,"&gt;="&amp;账期起,出库单!$C$4:$C$4003,"&lt;="&amp;账期止),0))</f>
        <v/>
      </c>
      <c r="T219" s="27">
        <f>IF($A219="","",SUMIFS(出库单!$J$4:$J$4003,出库单!$D$4:$D$4003,$A219,出库单!$K$4:$K$4003,"盘亏",出库单!$U$4:$U$4003,"正常",出库单!$C$4:$C$4003,"&gt;="&amp;账期起,出库单!$C$4:$C$4003,"&lt;="&amp;账期止))</f>
        <v/>
      </c>
      <c r="U219" s="26">
        <f>IF($A219="","",ROUND(SUMIFS(出库单!$S$4:$S$4003,出库单!$D$4:$D$4003,$A219,出库单!$K$4:$K$4003,"盘亏",出库单!$U$4:$U$4003,"正常",出库单!$C$4:$C$4003,"&gt;="&amp;账期起,出库单!$C$4:$C$4003,"&lt;="&amp;账期止),0))</f>
        <v/>
      </c>
      <c r="V219" s="27">
        <f>IF($A219="","",SUMIFS(出库单!$J$4:$J$4003,出库单!$D$4:$D$4003,$A219,出库单!$K$4:$K$4003,"退货给供应商",出库单!$U$4:$U$4003,"正常",出库单!$C$4:$C$4003,"&gt;="&amp;账期起,出库单!$C$4:$C$4003,"&lt;="&amp;账期止))</f>
        <v/>
      </c>
      <c r="W219" s="26">
        <f>IF($A219="","",ROUND(SUMIFS(出库单!$S$4:$S$4003,出库单!$D$4:$D$4003,$A219,出库单!$K$4:$K$4003,"退货给供应商",出库单!$U$4:$U$4003,"正常",出库单!$C$4:$C$4003,"&gt;="&amp;账期起,出库单!$C$4:$C$4003,"&lt;="&amp;账期止),0))</f>
        <v/>
      </c>
      <c r="X219" s="27">
        <f>IF($A219="","",ROUND(N($G219)+$I219+$L219+$N219-$P219-$R219-$T219-$V219,3))</f>
        <v/>
      </c>
      <c r="Y219" s="26">
        <f>IF($A219="","",ROUND(N($H219)+$J219+$M219+$O219-$Q219-$S219-$U219-$W219,0))</f>
        <v/>
      </c>
      <c r="Z219" s="24">
        <f>IF($A219="","",IF(COUNTIFS(入库单!$G$4:$G$2503,$A219,入库单!$Y$4:$Y$2503,"待补价")+COUNTIFS(入库单!$G$4:$G$2503,$A219,入库单!$Y$4:$Y$2503,"暂估")&gt;0,"不可信","可信"))</f>
        <v/>
      </c>
      <c r="AA219" s="24">
        <f>IF($A219="","",IF($X219&lt;-0.001,"※账面负库存，查一下是不是漏记入库",IF(AND(ROUND($X219,3)=0,ABS($Y219)&gt;1),"※数量已经是 0，金额还挂着 "&amp;TEXT($Y219,"#,##0")&amp;" 先令",IF(AND($X219&gt;0,$Y219&lt;=0,$K219=0),"※有数量没金额（这个物料一直没填过进价）",IF($Z219="不可信","△成本含待补价/暂估，毛利仅供参考","")))))</f>
        <v/>
      </c>
    </row>
    <row r="220">
      <c r="A220" s="24">
        <f>IF(物料档案!$A219="","",物料档案!$A219)</f>
        <v/>
      </c>
      <c r="B220" s="24">
        <f>IF($A220="","",IFERROR(VLOOKUP($A220,物料档案!$A$4:$P$1203,3,0),""))</f>
        <v/>
      </c>
      <c r="C220" s="24">
        <f>IF($A220="","",IFERROR(VLOOKUP($A220,物料档案!$A$4:$P$1203,4,0),""))</f>
        <v/>
      </c>
      <c r="D220" s="24">
        <f>IF($A220="","",IFERROR(VLOOKUP($A220,物料档案!$A$4:$P$1203,5,0),""))</f>
        <v/>
      </c>
      <c r="E220" s="24">
        <f>IF($A220="","",IFERROR(VLOOKUP($A220,物料档案!$A$4:$P$1203,2,0),""))</f>
        <v/>
      </c>
      <c r="F220" s="24">
        <f>IF($A220="","",IFERROR(VLOOKUP($A220,物料档案!$A$4:$P$1203,6,0),""))</f>
        <v/>
      </c>
      <c r="G220" s="23" t="n"/>
      <c r="H220" s="32" t="n"/>
      <c r="I220" s="27">
        <f>IF($A220="","",SUMIFS(入库单!$K$4:$K$2503,入库单!$G$4:$G$2503,$A220,入库单!$X$4:$X$2503,"采购入库",入库单!$Z$4:$Z$2503,"正常",入库单!$C$4:$C$2503,"&gt;="&amp;账期起,入库单!$C$4:$C$2503,"&lt;="&amp;账期止))</f>
        <v/>
      </c>
      <c r="J220" s="26">
        <f>IF($A220="","",SUMIFS(入库单!$V$4:$V$2503,入库单!$G$4:$G$2503,$A220,入库单!$X$4:$X$2503,"采购入库",入库单!$Z$4:$Z$2503,"正常",入库单!$C$4:$C$2503,"&gt;="&amp;账期起,入库单!$C$4:$C$2503,"&lt;="&amp;账期止))</f>
        <v/>
      </c>
      <c r="K220" s="26">
        <f>IF($A220="","",IFERROR(ROUND((N($H220)+N($J220))/(N($G220)+N($I220)),2),0))</f>
        <v/>
      </c>
      <c r="L220" s="27">
        <f>IF($A220="","",SUMIFS(入库单!$K$4:$K$2503,入库单!$G$4:$G$2503,$A220,入库单!$X$4:$X$2503,"盘盈",入库单!$Z$4:$Z$2503,"正常",入库单!$C$4:$C$2503,"&gt;="&amp;账期起,入库单!$C$4:$C$2503,"&lt;="&amp;账期止))</f>
        <v/>
      </c>
      <c r="M220" s="26">
        <f>IF($A220="","",ROUND($L220*$K220,0))</f>
        <v/>
      </c>
      <c r="N220" s="27">
        <f>IF($A220="","",SUMIFS(入库单!$K$4:$K$2503,入库单!$G$4:$G$2503,$A220,入库单!$X$4:$X$2503,"矿区退库",入库单!$Z$4:$Z$2503,"正常",入库单!$C$4:$C$2503,"&gt;="&amp;账期起,入库单!$C$4:$C$2503,"&lt;="&amp;账期止))</f>
        <v/>
      </c>
      <c r="O220" s="26">
        <f>IF($A220="","",ROUND($N220*$K220,0))</f>
        <v/>
      </c>
      <c r="P220" s="27">
        <f>IF($A220="","",SUMIFS(出库单!$J$4:$J$4003,出库单!$D$4:$D$4003,$A220,出库单!$K$4:$K$4003,"自用消耗",出库单!$U$4:$U$4003,"正常",出库单!$C$4:$C$4003,"&gt;="&amp;账期起,出库单!$C$4:$C$4003,"&lt;="&amp;账期止))</f>
        <v/>
      </c>
      <c r="Q220" s="26">
        <f>IF($A220="","",ROUND(SUMIFS(出库单!$S$4:$S$4003,出库单!$D$4:$D$4003,$A220,出库单!$K$4:$K$4003,"自用消耗",出库单!$U$4:$U$4003,"正常",出库单!$C$4:$C$4003,"&gt;="&amp;账期起,出库单!$C$4:$C$4003,"&lt;="&amp;账期止),0))</f>
        <v/>
      </c>
      <c r="R220" s="27">
        <f>IF($A220="","",SUMIFS(出库单!$J$4:$J$4003,出库单!$D$4:$D$4003,$A220,出库单!$K$4:$K$4003,"对外销售",出库单!$U$4:$U$4003,"正常",出库单!$C$4:$C$4003,"&gt;="&amp;账期起,出库单!$C$4:$C$4003,"&lt;="&amp;账期止))</f>
        <v/>
      </c>
      <c r="S220" s="26">
        <f>IF($A220="","",ROUND(SUMIFS(出库单!$S$4:$S$4003,出库单!$D$4:$D$4003,$A220,出库单!$K$4:$K$4003,"对外销售",出库单!$U$4:$U$4003,"正常",出库单!$C$4:$C$4003,"&gt;="&amp;账期起,出库单!$C$4:$C$4003,"&lt;="&amp;账期止),0))</f>
        <v/>
      </c>
      <c r="T220" s="27">
        <f>IF($A220="","",SUMIFS(出库单!$J$4:$J$4003,出库单!$D$4:$D$4003,$A220,出库单!$K$4:$K$4003,"盘亏",出库单!$U$4:$U$4003,"正常",出库单!$C$4:$C$4003,"&gt;="&amp;账期起,出库单!$C$4:$C$4003,"&lt;="&amp;账期止))</f>
        <v/>
      </c>
      <c r="U220" s="26">
        <f>IF($A220="","",ROUND(SUMIFS(出库单!$S$4:$S$4003,出库单!$D$4:$D$4003,$A220,出库单!$K$4:$K$4003,"盘亏",出库单!$U$4:$U$4003,"正常",出库单!$C$4:$C$4003,"&gt;="&amp;账期起,出库单!$C$4:$C$4003,"&lt;="&amp;账期止),0))</f>
        <v/>
      </c>
      <c r="V220" s="27">
        <f>IF($A220="","",SUMIFS(出库单!$J$4:$J$4003,出库单!$D$4:$D$4003,$A220,出库单!$K$4:$K$4003,"退货给供应商",出库单!$U$4:$U$4003,"正常",出库单!$C$4:$C$4003,"&gt;="&amp;账期起,出库单!$C$4:$C$4003,"&lt;="&amp;账期止))</f>
        <v/>
      </c>
      <c r="W220" s="26">
        <f>IF($A220="","",ROUND(SUMIFS(出库单!$S$4:$S$4003,出库单!$D$4:$D$4003,$A220,出库单!$K$4:$K$4003,"退货给供应商",出库单!$U$4:$U$4003,"正常",出库单!$C$4:$C$4003,"&gt;="&amp;账期起,出库单!$C$4:$C$4003,"&lt;="&amp;账期止),0))</f>
        <v/>
      </c>
      <c r="X220" s="27">
        <f>IF($A220="","",ROUND(N($G220)+$I220+$L220+$N220-$P220-$R220-$T220-$V220,3))</f>
        <v/>
      </c>
      <c r="Y220" s="26">
        <f>IF($A220="","",ROUND(N($H220)+$J220+$M220+$O220-$Q220-$S220-$U220-$W220,0))</f>
        <v/>
      </c>
      <c r="Z220" s="24">
        <f>IF($A220="","",IF(COUNTIFS(入库单!$G$4:$G$2503,$A220,入库单!$Y$4:$Y$2503,"待补价")+COUNTIFS(入库单!$G$4:$G$2503,$A220,入库单!$Y$4:$Y$2503,"暂估")&gt;0,"不可信","可信"))</f>
        <v/>
      </c>
      <c r="AA220" s="24">
        <f>IF($A220="","",IF($X220&lt;-0.001,"※账面负库存，查一下是不是漏记入库",IF(AND(ROUND($X220,3)=0,ABS($Y220)&gt;1),"※数量已经是 0，金额还挂着 "&amp;TEXT($Y220,"#,##0")&amp;" 先令",IF(AND($X220&gt;0,$Y220&lt;=0,$K220=0),"※有数量没金额（这个物料一直没填过进价）",IF($Z220="不可信","△成本含待补价/暂估，毛利仅供参考","")))))</f>
        <v/>
      </c>
    </row>
    <row r="221">
      <c r="A221" s="24">
        <f>IF(物料档案!$A220="","",物料档案!$A220)</f>
        <v/>
      </c>
      <c r="B221" s="24">
        <f>IF($A221="","",IFERROR(VLOOKUP($A221,物料档案!$A$4:$P$1203,3,0),""))</f>
        <v/>
      </c>
      <c r="C221" s="24">
        <f>IF($A221="","",IFERROR(VLOOKUP($A221,物料档案!$A$4:$P$1203,4,0),""))</f>
        <v/>
      </c>
      <c r="D221" s="24">
        <f>IF($A221="","",IFERROR(VLOOKUP($A221,物料档案!$A$4:$P$1203,5,0),""))</f>
        <v/>
      </c>
      <c r="E221" s="24">
        <f>IF($A221="","",IFERROR(VLOOKUP($A221,物料档案!$A$4:$P$1203,2,0),""))</f>
        <v/>
      </c>
      <c r="F221" s="24">
        <f>IF($A221="","",IFERROR(VLOOKUP($A221,物料档案!$A$4:$P$1203,6,0),""))</f>
        <v/>
      </c>
      <c r="G221" s="23" t="n"/>
      <c r="H221" s="32" t="n"/>
      <c r="I221" s="27">
        <f>IF($A221="","",SUMIFS(入库单!$K$4:$K$2503,入库单!$G$4:$G$2503,$A221,入库单!$X$4:$X$2503,"采购入库",入库单!$Z$4:$Z$2503,"正常",入库单!$C$4:$C$2503,"&gt;="&amp;账期起,入库单!$C$4:$C$2503,"&lt;="&amp;账期止))</f>
        <v/>
      </c>
      <c r="J221" s="26">
        <f>IF($A221="","",SUMIFS(入库单!$V$4:$V$2503,入库单!$G$4:$G$2503,$A221,入库单!$X$4:$X$2503,"采购入库",入库单!$Z$4:$Z$2503,"正常",入库单!$C$4:$C$2503,"&gt;="&amp;账期起,入库单!$C$4:$C$2503,"&lt;="&amp;账期止))</f>
        <v/>
      </c>
      <c r="K221" s="26">
        <f>IF($A221="","",IFERROR(ROUND((N($H221)+N($J221))/(N($G221)+N($I221)),2),0))</f>
        <v/>
      </c>
      <c r="L221" s="27">
        <f>IF($A221="","",SUMIFS(入库单!$K$4:$K$2503,入库单!$G$4:$G$2503,$A221,入库单!$X$4:$X$2503,"盘盈",入库单!$Z$4:$Z$2503,"正常",入库单!$C$4:$C$2503,"&gt;="&amp;账期起,入库单!$C$4:$C$2503,"&lt;="&amp;账期止))</f>
        <v/>
      </c>
      <c r="M221" s="26">
        <f>IF($A221="","",ROUND($L221*$K221,0))</f>
        <v/>
      </c>
      <c r="N221" s="27">
        <f>IF($A221="","",SUMIFS(入库单!$K$4:$K$2503,入库单!$G$4:$G$2503,$A221,入库单!$X$4:$X$2503,"矿区退库",入库单!$Z$4:$Z$2503,"正常",入库单!$C$4:$C$2503,"&gt;="&amp;账期起,入库单!$C$4:$C$2503,"&lt;="&amp;账期止))</f>
        <v/>
      </c>
      <c r="O221" s="26">
        <f>IF($A221="","",ROUND($N221*$K221,0))</f>
        <v/>
      </c>
      <c r="P221" s="27">
        <f>IF($A221="","",SUMIFS(出库单!$J$4:$J$4003,出库单!$D$4:$D$4003,$A221,出库单!$K$4:$K$4003,"自用消耗",出库单!$U$4:$U$4003,"正常",出库单!$C$4:$C$4003,"&gt;="&amp;账期起,出库单!$C$4:$C$4003,"&lt;="&amp;账期止))</f>
        <v/>
      </c>
      <c r="Q221" s="26">
        <f>IF($A221="","",ROUND(SUMIFS(出库单!$S$4:$S$4003,出库单!$D$4:$D$4003,$A221,出库单!$K$4:$K$4003,"自用消耗",出库单!$U$4:$U$4003,"正常",出库单!$C$4:$C$4003,"&gt;="&amp;账期起,出库单!$C$4:$C$4003,"&lt;="&amp;账期止),0))</f>
        <v/>
      </c>
      <c r="R221" s="27">
        <f>IF($A221="","",SUMIFS(出库单!$J$4:$J$4003,出库单!$D$4:$D$4003,$A221,出库单!$K$4:$K$4003,"对外销售",出库单!$U$4:$U$4003,"正常",出库单!$C$4:$C$4003,"&gt;="&amp;账期起,出库单!$C$4:$C$4003,"&lt;="&amp;账期止))</f>
        <v/>
      </c>
      <c r="S221" s="26">
        <f>IF($A221="","",ROUND(SUMIFS(出库单!$S$4:$S$4003,出库单!$D$4:$D$4003,$A221,出库单!$K$4:$K$4003,"对外销售",出库单!$U$4:$U$4003,"正常",出库单!$C$4:$C$4003,"&gt;="&amp;账期起,出库单!$C$4:$C$4003,"&lt;="&amp;账期止),0))</f>
        <v/>
      </c>
      <c r="T221" s="27">
        <f>IF($A221="","",SUMIFS(出库单!$J$4:$J$4003,出库单!$D$4:$D$4003,$A221,出库单!$K$4:$K$4003,"盘亏",出库单!$U$4:$U$4003,"正常",出库单!$C$4:$C$4003,"&gt;="&amp;账期起,出库单!$C$4:$C$4003,"&lt;="&amp;账期止))</f>
        <v/>
      </c>
      <c r="U221" s="26">
        <f>IF($A221="","",ROUND(SUMIFS(出库单!$S$4:$S$4003,出库单!$D$4:$D$4003,$A221,出库单!$K$4:$K$4003,"盘亏",出库单!$U$4:$U$4003,"正常",出库单!$C$4:$C$4003,"&gt;="&amp;账期起,出库单!$C$4:$C$4003,"&lt;="&amp;账期止),0))</f>
        <v/>
      </c>
      <c r="V221" s="27">
        <f>IF($A221="","",SUMIFS(出库单!$J$4:$J$4003,出库单!$D$4:$D$4003,$A221,出库单!$K$4:$K$4003,"退货给供应商",出库单!$U$4:$U$4003,"正常",出库单!$C$4:$C$4003,"&gt;="&amp;账期起,出库单!$C$4:$C$4003,"&lt;="&amp;账期止))</f>
        <v/>
      </c>
      <c r="W221" s="26">
        <f>IF($A221="","",ROUND(SUMIFS(出库单!$S$4:$S$4003,出库单!$D$4:$D$4003,$A221,出库单!$K$4:$K$4003,"退货给供应商",出库单!$U$4:$U$4003,"正常",出库单!$C$4:$C$4003,"&gt;="&amp;账期起,出库单!$C$4:$C$4003,"&lt;="&amp;账期止),0))</f>
        <v/>
      </c>
      <c r="X221" s="27">
        <f>IF($A221="","",ROUND(N($G221)+$I221+$L221+$N221-$P221-$R221-$T221-$V221,3))</f>
        <v/>
      </c>
      <c r="Y221" s="26">
        <f>IF($A221="","",ROUND(N($H221)+$J221+$M221+$O221-$Q221-$S221-$U221-$W221,0))</f>
        <v/>
      </c>
      <c r="Z221" s="24">
        <f>IF($A221="","",IF(COUNTIFS(入库单!$G$4:$G$2503,$A221,入库单!$Y$4:$Y$2503,"待补价")+COUNTIFS(入库单!$G$4:$G$2503,$A221,入库单!$Y$4:$Y$2503,"暂估")&gt;0,"不可信","可信"))</f>
        <v/>
      </c>
      <c r="AA221" s="24">
        <f>IF($A221="","",IF($X221&lt;-0.001,"※账面负库存，查一下是不是漏记入库",IF(AND(ROUND($X221,3)=0,ABS($Y221)&gt;1),"※数量已经是 0，金额还挂着 "&amp;TEXT($Y221,"#,##0")&amp;" 先令",IF(AND($X221&gt;0,$Y221&lt;=0,$K221=0),"※有数量没金额（这个物料一直没填过进价）",IF($Z221="不可信","△成本含待补价/暂估，毛利仅供参考","")))))</f>
        <v/>
      </c>
    </row>
    <row r="222">
      <c r="A222" s="24">
        <f>IF(物料档案!$A221="","",物料档案!$A221)</f>
        <v/>
      </c>
      <c r="B222" s="24">
        <f>IF($A222="","",IFERROR(VLOOKUP($A222,物料档案!$A$4:$P$1203,3,0),""))</f>
        <v/>
      </c>
      <c r="C222" s="24">
        <f>IF($A222="","",IFERROR(VLOOKUP($A222,物料档案!$A$4:$P$1203,4,0),""))</f>
        <v/>
      </c>
      <c r="D222" s="24">
        <f>IF($A222="","",IFERROR(VLOOKUP($A222,物料档案!$A$4:$P$1203,5,0),""))</f>
        <v/>
      </c>
      <c r="E222" s="24">
        <f>IF($A222="","",IFERROR(VLOOKUP($A222,物料档案!$A$4:$P$1203,2,0),""))</f>
        <v/>
      </c>
      <c r="F222" s="24">
        <f>IF($A222="","",IFERROR(VLOOKUP($A222,物料档案!$A$4:$P$1203,6,0),""))</f>
        <v/>
      </c>
      <c r="G222" s="23" t="n"/>
      <c r="H222" s="32" t="n"/>
      <c r="I222" s="27">
        <f>IF($A222="","",SUMIFS(入库单!$K$4:$K$2503,入库单!$G$4:$G$2503,$A222,入库单!$X$4:$X$2503,"采购入库",入库单!$Z$4:$Z$2503,"正常",入库单!$C$4:$C$2503,"&gt;="&amp;账期起,入库单!$C$4:$C$2503,"&lt;="&amp;账期止))</f>
        <v/>
      </c>
      <c r="J222" s="26">
        <f>IF($A222="","",SUMIFS(入库单!$V$4:$V$2503,入库单!$G$4:$G$2503,$A222,入库单!$X$4:$X$2503,"采购入库",入库单!$Z$4:$Z$2503,"正常",入库单!$C$4:$C$2503,"&gt;="&amp;账期起,入库单!$C$4:$C$2503,"&lt;="&amp;账期止))</f>
        <v/>
      </c>
      <c r="K222" s="26">
        <f>IF($A222="","",IFERROR(ROUND((N($H222)+N($J222))/(N($G222)+N($I222)),2),0))</f>
        <v/>
      </c>
      <c r="L222" s="27">
        <f>IF($A222="","",SUMIFS(入库单!$K$4:$K$2503,入库单!$G$4:$G$2503,$A222,入库单!$X$4:$X$2503,"盘盈",入库单!$Z$4:$Z$2503,"正常",入库单!$C$4:$C$2503,"&gt;="&amp;账期起,入库单!$C$4:$C$2503,"&lt;="&amp;账期止))</f>
        <v/>
      </c>
      <c r="M222" s="26">
        <f>IF($A222="","",ROUND($L222*$K222,0))</f>
        <v/>
      </c>
      <c r="N222" s="27">
        <f>IF($A222="","",SUMIFS(入库单!$K$4:$K$2503,入库单!$G$4:$G$2503,$A222,入库单!$X$4:$X$2503,"矿区退库",入库单!$Z$4:$Z$2503,"正常",入库单!$C$4:$C$2503,"&gt;="&amp;账期起,入库单!$C$4:$C$2503,"&lt;="&amp;账期止))</f>
        <v/>
      </c>
      <c r="O222" s="26">
        <f>IF($A222="","",ROUND($N222*$K222,0))</f>
        <v/>
      </c>
      <c r="P222" s="27">
        <f>IF($A222="","",SUMIFS(出库单!$J$4:$J$4003,出库单!$D$4:$D$4003,$A222,出库单!$K$4:$K$4003,"自用消耗",出库单!$U$4:$U$4003,"正常",出库单!$C$4:$C$4003,"&gt;="&amp;账期起,出库单!$C$4:$C$4003,"&lt;="&amp;账期止))</f>
        <v/>
      </c>
      <c r="Q222" s="26">
        <f>IF($A222="","",ROUND(SUMIFS(出库单!$S$4:$S$4003,出库单!$D$4:$D$4003,$A222,出库单!$K$4:$K$4003,"自用消耗",出库单!$U$4:$U$4003,"正常",出库单!$C$4:$C$4003,"&gt;="&amp;账期起,出库单!$C$4:$C$4003,"&lt;="&amp;账期止),0))</f>
        <v/>
      </c>
      <c r="R222" s="27">
        <f>IF($A222="","",SUMIFS(出库单!$J$4:$J$4003,出库单!$D$4:$D$4003,$A222,出库单!$K$4:$K$4003,"对外销售",出库单!$U$4:$U$4003,"正常",出库单!$C$4:$C$4003,"&gt;="&amp;账期起,出库单!$C$4:$C$4003,"&lt;="&amp;账期止))</f>
        <v/>
      </c>
      <c r="S222" s="26">
        <f>IF($A222="","",ROUND(SUMIFS(出库单!$S$4:$S$4003,出库单!$D$4:$D$4003,$A222,出库单!$K$4:$K$4003,"对外销售",出库单!$U$4:$U$4003,"正常",出库单!$C$4:$C$4003,"&gt;="&amp;账期起,出库单!$C$4:$C$4003,"&lt;="&amp;账期止),0))</f>
        <v/>
      </c>
      <c r="T222" s="27">
        <f>IF($A222="","",SUMIFS(出库单!$J$4:$J$4003,出库单!$D$4:$D$4003,$A222,出库单!$K$4:$K$4003,"盘亏",出库单!$U$4:$U$4003,"正常",出库单!$C$4:$C$4003,"&gt;="&amp;账期起,出库单!$C$4:$C$4003,"&lt;="&amp;账期止))</f>
        <v/>
      </c>
      <c r="U222" s="26">
        <f>IF($A222="","",ROUND(SUMIFS(出库单!$S$4:$S$4003,出库单!$D$4:$D$4003,$A222,出库单!$K$4:$K$4003,"盘亏",出库单!$U$4:$U$4003,"正常",出库单!$C$4:$C$4003,"&gt;="&amp;账期起,出库单!$C$4:$C$4003,"&lt;="&amp;账期止),0))</f>
        <v/>
      </c>
      <c r="V222" s="27">
        <f>IF($A222="","",SUMIFS(出库单!$J$4:$J$4003,出库单!$D$4:$D$4003,$A222,出库单!$K$4:$K$4003,"退货给供应商",出库单!$U$4:$U$4003,"正常",出库单!$C$4:$C$4003,"&gt;="&amp;账期起,出库单!$C$4:$C$4003,"&lt;="&amp;账期止))</f>
        <v/>
      </c>
      <c r="W222" s="26">
        <f>IF($A222="","",ROUND(SUMIFS(出库单!$S$4:$S$4003,出库单!$D$4:$D$4003,$A222,出库单!$K$4:$K$4003,"退货给供应商",出库单!$U$4:$U$4003,"正常",出库单!$C$4:$C$4003,"&gt;="&amp;账期起,出库单!$C$4:$C$4003,"&lt;="&amp;账期止),0))</f>
        <v/>
      </c>
      <c r="X222" s="27">
        <f>IF($A222="","",ROUND(N($G222)+$I222+$L222+$N222-$P222-$R222-$T222-$V222,3))</f>
        <v/>
      </c>
      <c r="Y222" s="26">
        <f>IF($A222="","",ROUND(N($H222)+$J222+$M222+$O222-$Q222-$S222-$U222-$W222,0))</f>
        <v/>
      </c>
      <c r="Z222" s="24">
        <f>IF($A222="","",IF(COUNTIFS(入库单!$G$4:$G$2503,$A222,入库单!$Y$4:$Y$2503,"待补价")+COUNTIFS(入库单!$G$4:$G$2503,$A222,入库单!$Y$4:$Y$2503,"暂估")&gt;0,"不可信","可信"))</f>
        <v/>
      </c>
      <c r="AA222" s="24">
        <f>IF($A222="","",IF($X222&lt;-0.001,"※账面负库存，查一下是不是漏记入库",IF(AND(ROUND($X222,3)=0,ABS($Y222)&gt;1),"※数量已经是 0，金额还挂着 "&amp;TEXT($Y222,"#,##0")&amp;" 先令",IF(AND($X222&gt;0,$Y222&lt;=0,$K222=0),"※有数量没金额（这个物料一直没填过进价）",IF($Z222="不可信","△成本含待补价/暂估，毛利仅供参考","")))))</f>
        <v/>
      </c>
    </row>
    <row r="223">
      <c r="A223" s="24">
        <f>IF(物料档案!$A222="","",物料档案!$A222)</f>
        <v/>
      </c>
      <c r="B223" s="24">
        <f>IF($A223="","",IFERROR(VLOOKUP($A223,物料档案!$A$4:$P$1203,3,0),""))</f>
        <v/>
      </c>
      <c r="C223" s="24">
        <f>IF($A223="","",IFERROR(VLOOKUP($A223,物料档案!$A$4:$P$1203,4,0),""))</f>
        <v/>
      </c>
      <c r="D223" s="24">
        <f>IF($A223="","",IFERROR(VLOOKUP($A223,物料档案!$A$4:$P$1203,5,0),""))</f>
        <v/>
      </c>
      <c r="E223" s="24">
        <f>IF($A223="","",IFERROR(VLOOKUP($A223,物料档案!$A$4:$P$1203,2,0),""))</f>
        <v/>
      </c>
      <c r="F223" s="24">
        <f>IF($A223="","",IFERROR(VLOOKUP($A223,物料档案!$A$4:$P$1203,6,0),""))</f>
        <v/>
      </c>
      <c r="G223" s="23" t="n"/>
      <c r="H223" s="32" t="n"/>
      <c r="I223" s="27">
        <f>IF($A223="","",SUMIFS(入库单!$K$4:$K$2503,入库单!$G$4:$G$2503,$A223,入库单!$X$4:$X$2503,"采购入库",入库单!$Z$4:$Z$2503,"正常",入库单!$C$4:$C$2503,"&gt;="&amp;账期起,入库单!$C$4:$C$2503,"&lt;="&amp;账期止))</f>
        <v/>
      </c>
      <c r="J223" s="26">
        <f>IF($A223="","",SUMIFS(入库单!$V$4:$V$2503,入库单!$G$4:$G$2503,$A223,入库单!$X$4:$X$2503,"采购入库",入库单!$Z$4:$Z$2503,"正常",入库单!$C$4:$C$2503,"&gt;="&amp;账期起,入库单!$C$4:$C$2503,"&lt;="&amp;账期止))</f>
        <v/>
      </c>
      <c r="K223" s="26">
        <f>IF($A223="","",IFERROR(ROUND((N($H223)+N($J223))/(N($G223)+N($I223)),2),0))</f>
        <v/>
      </c>
      <c r="L223" s="27">
        <f>IF($A223="","",SUMIFS(入库单!$K$4:$K$2503,入库单!$G$4:$G$2503,$A223,入库单!$X$4:$X$2503,"盘盈",入库单!$Z$4:$Z$2503,"正常",入库单!$C$4:$C$2503,"&gt;="&amp;账期起,入库单!$C$4:$C$2503,"&lt;="&amp;账期止))</f>
        <v/>
      </c>
      <c r="M223" s="26">
        <f>IF($A223="","",ROUND($L223*$K223,0))</f>
        <v/>
      </c>
      <c r="N223" s="27">
        <f>IF($A223="","",SUMIFS(入库单!$K$4:$K$2503,入库单!$G$4:$G$2503,$A223,入库单!$X$4:$X$2503,"矿区退库",入库单!$Z$4:$Z$2503,"正常",入库单!$C$4:$C$2503,"&gt;="&amp;账期起,入库单!$C$4:$C$2503,"&lt;="&amp;账期止))</f>
        <v/>
      </c>
      <c r="O223" s="26">
        <f>IF($A223="","",ROUND($N223*$K223,0))</f>
        <v/>
      </c>
      <c r="P223" s="27">
        <f>IF($A223="","",SUMIFS(出库单!$J$4:$J$4003,出库单!$D$4:$D$4003,$A223,出库单!$K$4:$K$4003,"自用消耗",出库单!$U$4:$U$4003,"正常",出库单!$C$4:$C$4003,"&gt;="&amp;账期起,出库单!$C$4:$C$4003,"&lt;="&amp;账期止))</f>
        <v/>
      </c>
      <c r="Q223" s="26">
        <f>IF($A223="","",ROUND(SUMIFS(出库单!$S$4:$S$4003,出库单!$D$4:$D$4003,$A223,出库单!$K$4:$K$4003,"自用消耗",出库单!$U$4:$U$4003,"正常",出库单!$C$4:$C$4003,"&gt;="&amp;账期起,出库单!$C$4:$C$4003,"&lt;="&amp;账期止),0))</f>
        <v/>
      </c>
      <c r="R223" s="27">
        <f>IF($A223="","",SUMIFS(出库单!$J$4:$J$4003,出库单!$D$4:$D$4003,$A223,出库单!$K$4:$K$4003,"对外销售",出库单!$U$4:$U$4003,"正常",出库单!$C$4:$C$4003,"&gt;="&amp;账期起,出库单!$C$4:$C$4003,"&lt;="&amp;账期止))</f>
        <v/>
      </c>
      <c r="S223" s="26">
        <f>IF($A223="","",ROUND(SUMIFS(出库单!$S$4:$S$4003,出库单!$D$4:$D$4003,$A223,出库单!$K$4:$K$4003,"对外销售",出库单!$U$4:$U$4003,"正常",出库单!$C$4:$C$4003,"&gt;="&amp;账期起,出库单!$C$4:$C$4003,"&lt;="&amp;账期止),0))</f>
        <v/>
      </c>
      <c r="T223" s="27">
        <f>IF($A223="","",SUMIFS(出库单!$J$4:$J$4003,出库单!$D$4:$D$4003,$A223,出库单!$K$4:$K$4003,"盘亏",出库单!$U$4:$U$4003,"正常",出库单!$C$4:$C$4003,"&gt;="&amp;账期起,出库单!$C$4:$C$4003,"&lt;="&amp;账期止))</f>
        <v/>
      </c>
      <c r="U223" s="26">
        <f>IF($A223="","",ROUND(SUMIFS(出库单!$S$4:$S$4003,出库单!$D$4:$D$4003,$A223,出库单!$K$4:$K$4003,"盘亏",出库单!$U$4:$U$4003,"正常",出库单!$C$4:$C$4003,"&gt;="&amp;账期起,出库单!$C$4:$C$4003,"&lt;="&amp;账期止),0))</f>
        <v/>
      </c>
      <c r="V223" s="27">
        <f>IF($A223="","",SUMIFS(出库单!$J$4:$J$4003,出库单!$D$4:$D$4003,$A223,出库单!$K$4:$K$4003,"退货给供应商",出库单!$U$4:$U$4003,"正常",出库单!$C$4:$C$4003,"&gt;="&amp;账期起,出库单!$C$4:$C$4003,"&lt;="&amp;账期止))</f>
        <v/>
      </c>
      <c r="W223" s="26">
        <f>IF($A223="","",ROUND(SUMIFS(出库单!$S$4:$S$4003,出库单!$D$4:$D$4003,$A223,出库单!$K$4:$K$4003,"退货给供应商",出库单!$U$4:$U$4003,"正常",出库单!$C$4:$C$4003,"&gt;="&amp;账期起,出库单!$C$4:$C$4003,"&lt;="&amp;账期止),0))</f>
        <v/>
      </c>
      <c r="X223" s="27">
        <f>IF($A223="","",ROUND(N($G223)+$I223+$L223+$N223-$P223-$R223-$T223-$V223,3))</f>
        <v/>
      </c>
      <c r="Y223" s="26">
        <f>IF($A223="","",ROUND(N($H223)+$J223+$M223+$O223-$Q223-$S223-$U223-$W223,0))</f>
        <v/>
      </c>
      <c r="Z223" s="24">
        <f>IF($A223="","",IF(COUNTIFS(入库单!$G$4:$G$2503,$A223,入库单!$Y$4:$Y$2503,"待补价")+COUNTIFS(入库单!$G$4:$G$2503,$A223,入库单!$Y$4:$Y$2503,"暂估")&gt;0,"不可信","可信"))</f>
        <v/>
      </c>
      <c r="AA223" s="24">
        <f>IF($A223="","",IF($X223&lt;-0.001,"※账面负库存，查一下是不是漏记入库",IF(AND(ROUND($X223,3)=0,ABS($Y223)&gt;1),"※数量已经是 0，金额还挂着 "&amp;TEXT($Y223,"#,##0")&amp;" 先令",IF(AND($X223&gt;0,$Y223&lt;=0,$K223=0),"※有数量没金额（这个物料一直没填过进价）",IF($Z223="不可信","△成本含待补价/暂估，毛利仅供参考","")))))</f>
        <v/>
      </c>
    </row>
    <row r="224">
      <c r="A224" s="24">
        <f>IF(物料档案!$A223="","",物料档案!$A223)</f>
        <v/>
      </c>
      <c r="B224" s="24">
        <f>IF($A224="","",IFERROR(VLOOKUP($A224,物料档案!$A$4:$P$1203,3,0),""))</f>
        <v/>
      </c>
      <c r="C224" s="24">
        <f>IF($A224="","",IFERROR(VLOOKUP($A224,物料档案!$A$4:$P$1203,4,0),""))</f>
        <v/>
      </c>
      <c r="D224" s="24">
        <f>IF($A224="","",IFERROR(VLOOKUP($A224,物料档案!$A$4:$P$1203,5,0),""))</f>
        <v/>
      </c>
      <c r="E224" s="24">
        <f>IF($A224="","",IFERROR(VLOOKUP($A224,物料档案!$A$4:$P$1203,2,0),""))</f>
        <v/>
      </c>
      <c r="F224" s="24">
        <f>IF($A224="","",IFERROR(VLOOKUP($A224,物料档案!$A$4:$P$1203,6,0),""))</f>
        <v/>
      </c>
      <c r="G224" s="23" t="n"/>
      <c r="H224" s="32" t="n"/>
      <c r="I224" s="27">
        <f>IF($A224="","",SUMIFS(入库单!$K$4:$K$2503,入库单!$G$4:$G$2503,$A224,入库单!$X$4:$X$2503,"采购入库",入库单!$Z$4:$Z$2503,"正常",入库单!$C$4:$C$2503,"&gt;="&amp;账期起,入库单!$C$4:$C$2503,"&lt;="&amp;账期止))</f>
        <v/>
      </c>
      <c r="J224" s="26">
        <f>IF($A224="","",SUMIFS(入库单!$V$4:$V$2503,入库单!$G$4:$G$2503,$A224,入库单!$X$4:$X$2503,"采购入库",入库单!$Z$4:$Z$2503,"正常",入库单!$C$4:$C$2503,"&gt;="&amp;账期起,入库单!$C$4:$C$2503,"&lt;="&amp;账期止))</f>
        <v/>
      </c>
      <c r="K224" s="26">
        <f>IF($A224="","",IFERROR(ROUND((N($H224)+N($J224))/(N($G224)+N($I224)),2),0))</f>
        <v/>
      </c>
      <c r="L224" s="27">
        <f>IF($A224="","",SUMIFS(入库单!$K$4:$K$2503,入库单!$G$4:$G$2503,$A224,入库单!$X$4:$X$2503,"盘盈",入库单!$Z$4:$Z$2503,"正常",入库单!$C$4:$C$2503,"&gt;="&amp;账期起,入库单!$C$4:$C$2503,"&lt;="&amp;账期止))</f>
        <v/>
      </c>
      <c r="M224" s="26">
        <f>IF($A224="","",ROUND($L224*$K224,0))</f>
        <v/>
      </c>
      <c r="N224" s="27">
        <f>IF($A224="","",SUMIFS(入库单!$K$4:$K$2503,入库单!$G$4:$G$2503,$A224,入库单!$X$4:$X$2503,"矿区退库",入库单!$Z$4:$Z$2503,"正常",入库单!$C$4:$C$2503,"&gt;="&amp;账期起,入库单!$C$4:$C$2503,"&lt;="&amp;账期止))</f>
        <v/>
      </c>
      <c r="O224" s="26">
        <f>IF($A224="","",ROUND($N224*$K224,0))</f>
        <v/>
      </c>
      <c r="P224" s="27">
        <f>IF($A224="","",SUMIFS(出库单!$J$4:$J$4003,出库单!$D$4:$D$4003,$A224,出库单!$K$4:$K$4003,"自用消耗",出库单!$U$4:$U$4003,"正常",出库单!$C$4:$C$4003,"&gt;="&amp;账期起,出库单!$C$4:$C$4003,"&lt;="&amp;账期止))</f>
        <v/>
      </c>
      <c r="Q224" s="26">
        <f>IF($A224="","",ROUND(SUMIFS(出库单!$S$4:$S$4003,出库单!$D$4:$D$4003,$A224,出库单!$K$4:$K$4003,"自用消耗",出库单!$U$4:$U$4003,"正常",出库单!$C$4:$C$4003,"&gt;="&amp;账期起,出库单!$C$4:$C$4003,"&lt;="&amp;账期止),0))</f>
        <v/>
      </c>
      <c r="R224" s="27">
        <f>IF($A224="","",SUMIFS(出库单!$J$4:$J$4003,出库单!$D$4:$D$4003,$A224,出库单!$K$4:$K$4003,"对外销售",出库单!$U$4:$U$4003,"正常",出库单!$C$4:$C$4003,"&gt;="&amp;账期起,出库单!$C$4:$C$4003,"&lt;="&amp;账期止))</f>
        <v/>
      </c>
      <c r="S224" s="26">
        <f>IF($A224="","",ROUND(SUMIFS(出库单!$S$4:$S$4003,出库单!$D$4:$D$4003,$A224,出库单!$K$4:$K$4003,"对外销售",出库单!$U$4:$U$4003,"正常",出库单!$C$4:$C$4003,"&gt;="&amp;账期起,出库单!$C$4:$C$4003,"&lt;="&amp;账期止),0))</f>
        <v/>
      </c>
      <c r="T224" s="27">
        <f>IF($A224="","",SUMIFS(出库单!$J$4:$J$4003,出库单!$D$4:$D$4003,$A224,出库单!$K$4:$K$4003,"盘亏",出库单!$U$4:$U$4003,"正常",出库单!$C$4:$C$4003,"&gt;="&amp;账期起,出库单!$C$4:$C$4003,"&lt;="&amp;账期止))</f>
        <v/>
      </c>
      <c r="U224" s="26">
        <f>IF($A224="","",ROUND(SUMIFS(出库单!$S$4:$S$4003,出库单!$D$4:$D$4003,$A224,出库单!$K$4:$K$4003,"盘亏",出库单!$U$4:$U$4003,"正常",出库单!$C$4:$C$4003,"&gt;="&amp;账期起,出库单!$C$4:$C$4003,"&lt;="&amp;账期止),0))</f>
        <v/>
      </c>
      <c r="V224" s="27">
        <f>IF($A224="","",SUMIFS(出库单!$J$4:$J$4003,出库单!$D$4:$D$4003,$A224,出库单!$K$4:$K$4003,"退货给供应商",出库单!$U$4:$U$4003,"正常",出库单!$C$4:$C$4003,"&gt;="&amp;账期起,出库单!$C$4:$C$4003,"&lt;="&amp;账期止))</f>
        <v/>
      </c>
      <c r="W224" s="26">
        <f>IF($A224="","",ROUND(SUMIFS(出库单!$S$4:$S$4003,出库单!$D$4:$D$4003,$A224,出库单!$K$4:$K$4003,"退货给供应商",出库单!$U$4:$U$4003,"正常",出库单!$C$4:$C$4003,"&gt;="&amp;账期起,出库单!$C$4:$C$4003,"&lt;="&amp;账期止),0))</f>
        <v/>
      </c>
      <c r="X224" s="27">
        <f>IF($A224="","",ROUND(N($G224)+$I224+$L224+$N224-$P224-$R224-$T224-$V224,3))</f>
        <v/>
      </c>
      <c r="Y224" s="26">
        <f>IF($A224="","",ROUND(N($H224)+$J224+$M224+$O224-$Q224-$S224-$U224-$W224,0))</f>
        <v/>
      </c>
      <c r="Z224" s="24">
        <f>IF($A224="","",IF(COUNTIFS(入库单!$G$4:$G$2503,$A224,入库单!$Y$4:$Y$2503,"待补价")+COUNTIFS(入库单!$G$4:$G$2503,$A224,入库单!$Y$4:$Y$2503,"暂估")&gt;0,"不可信","可信"))</f>
        <v/>
      </c>
      <c r="AA224" s="24">
        <f>IF($A224="","",IF($X224&lt;-0.001,"※账面负库存，查一下是不是漏记入库",IF(AND(ROUND($X224,3)=0,ABS($Y224)&gt;1),"※数量已经是 0，金额还挂着 "&amp;TEXT($Y224,"#,##0")&amp;" 先令",IF(AND($X224&gt;0,$Y224&lt;=0,$K224=0),"※有数量没金额（这个物料一直没填过进价）",IF($Z224="不可信","△成本含待补价/暂估，毛利仅供参考","")))))</f>
        <v/>
      </c>
    </row>
    <row r="225">
      <c r="A225" s="24">
        <f>IF(物料档案!$A224="","",物料档案!$A224)</f>
        <v/>
      </c>
      <c r="B225" s="24">
        <f>IF($A225="","",IFERROR(VLOOKUP($A225,物料档案!$A$4:$P$1203,3,0),""))</f>
        <v/>
      </c>
      <c r="C225" s="24">
        <f>IF($A225="","",IFERROR(VLOOKUP($A225,物料档案!$A$4:$P$1203,4,0),""))</f>
        <v/>
      </c>
      <c r="D225" s="24">
        <f>IF($A225="","",IFERROR(VLOOKUP($A225,物料档案!$A$4:$P$1203,5,0),""))</f>
        <v/>
      </c>
      <c r="E225" s="24">
        <f>IF($A225="","",IFERROR(VLOOKUP($A225,物料档案!$A$4:$P$1203,2,0),""))</f>
        <v/>
      </c>
      <c r="F225" s="24">
        <f>IF($A225="","",IFERROR(VLOOKUP($A225,物料档案!$A$4:$P$1203,6,0),""))</f>
        <v/>
      </c>
      <c r="G225" s="23" t="n"/>
      <c r="H225" s="32" t="n"/>
      <c r="I225" s="27">
        <f>IF($A225="","",SUMIFS(入库单!$K$4:$K$2503,入库单!$G$4:$G$2503,$A225,入库单!$X$4:$X$2503,"采购入库",入库单!$Z$4:$Z$2503,"正常",入库单!$C$4:$C$2503,"&gt;="&amp;账期起,入库单!$C$4:$C$2503,"&lt;="&amp;账期止))</f>
        <v/>
      </c>
      <c r="J225" s="26">
        <f>IF($A225="","",SUMIFS(入库单!$V$4:$V$2503,入库单!$G$4:$G$2503,$A225,入库单!$X$4:$X$2503,"采购入库",入库单!$Z$4:$Z$2503,"正常",入库单!$C$4:$C$2503,"&gt;="&amp;账期起,入库单!$C$4:$C$2503,"&lt;="&amp;账期止))</f>
        <v/>
      </c>
      <c r="K225" s="26">
        <f>IF($A225="","",IFERROR(ROUND((N($H225)+N($J225))/(N($G225)+N($I225)),2),0))</f>
        <v/>
      </c>
      <c r="L225" s="27">
        <f>IF($A225="","",SUMIFS(入库单!$K$4:$K$2503,入库单!$G$4:$G$2503,$A225,入库单!$X$4:$X$2503,"盘盈",入库单!$Z$4:$Z$2503,"正常",入库单!$C$4:$C$2503,"&gt;="&amp;账期起,入库单!$C$4:$C$2503,"&lt;="&amp;账期止))</f>
        <v/>
      </c>
      <c r="M225" s="26">
        <f>IF($A225="","",ROUND($L225*$K225,0))</f>
        <v/>
      </c>
      <c r="N225" s="27">
        <f>IF($A225="","",SUMIFS(入库单!$K$4:$K$2503,入库单!$G$4:$G$2503,$A225,入库单!$X$4:$X$2503,"矿区退库",入库单!$Z$4:$Z$2503,"正常",入库单!$C$4:$C$2503,"&gt;="&amp;账期起,入库单!$C$4:$C$2503,"&lt;="&amp;账期止))</f>
        <v/>
      </c>
      <c r="O225" s="26">
        <f>IF($A225="","",ROUND($N225*$K225,0))</f>
        <v/>
      </c>
      <c r="P225" s="27">
        <f>IF($A225="","",SUMIFS(出库单!$J$4:$J$4003,出库单!$D$4:$D$4003,$A225,出库单!$K$4:$K$4003,"自用消耗",出库单!$U$4:$U$4003,"正常",出库单!$C$4:$C$4003,"&gt;="&amp;账期起,出库单!$C$4:$C$4003,"&lt;="&amp;账期止))</f>
        <v/>
      </c>
      <c r="Q225" s="26">
        <f>IF($A225="","",ROUND(SUMIFS(出库单!$S$4:$S$4003,出库单!$D$4:$D$4003,$A225,出库单!$K$4:$K$4003,"自用消耗",出库单!$U$4:$U$4003,"正常",出库单!$C$4:$C$4003,"&gt;="&amp;账期起,出库单!$C$4:$C$4003,"&lt;="&amp;账期止),0))</f>
        <v/>
      </c>
      <c r="R225" s="27">
        <f>IF($A225="","",SUMIFS(出库单!$J$4:$J$4003,出库单!$D$4:$D$4003,$A225,出库单!$K$4:$K$4003,"对外销售",出库单!$U$4:$U$4003,"正常",出库单!$C$4:$C$4003,"&gt;="&amp;账期起,出库单!$C$4:$C$4003,"&lt;="&amp;账期止))</f>
        <v/>
      </c>
      <c r="S225" s="26">
        <f>IF($A225="","",ROUND(SUMIFS(出库单!$S$4:$S$4003,出库单!$D$4:$D$4003,$A225,出库单!$K$4:$K$4003,"对外销售",出库单!$U$4:$U$4003,"正常",出库单!$C$4:$C$4003,"&gt;="&amp;账期起,出库单!$C$4:$C$4003,"&lt;="&amp;账期止),0))</f>
        <v/>
      </c>
      <c r="T225" s="27">
        <f>IF($A225="","",SUMIFS(出库单!$J$4:$J$4003,出库单!$D$4:$D$4003,$A225,出库单!$K$4:$K$4003,"盘亏",出库单!$U$4:$U$4003,"正常",出库单!$C$4:$C$4003,"&gt;="&amp;账期起,出库单!$C$4:$C$4003,"&lt;="&amp;账期止))</f>
        <v/>
      </c>
      <c r="U225" s="26">
        <f>IF($A225="","",ROUND(SUMIFS(出库单!$S$4:$S$4003,出库单!$D$4:$D$4003,$A225,出库单!$K$4:$K$4003,"盘亏",出库单!$U$4:$U$4003,"正常",出库单!$C$4:$C$4003,"&gt;="&amp;账期起,出库单!$C$4:$C$4003,"&lt;="&amp;账期止),0))</f>
        <v/>
      </c>
      <c r="V225" s="27">
        <f>IF($A225="","",SUMIFS(出库单!$J$4:$J$4003,出库单!$D$4:$D$4003,$A225,出库单!$K$4:$K$4003,"退货给供应商",出库单!$U$4:$U$4003,"正常",出库单!$C$4:$C$4003,"&gt;="&amp;账期起,出库单!$C$4:$C$4003,"&lt;="&amp;账期止))</f>
        <v/>
      </c>
      <c r="W225" s="26">
        <f>IF($A225="","",ROUND(SUMIFS(出库单!$S$4:$S$4003,出库单!$D$4:$D$4003,$A225,出库单!$K$4:$K$4003,"退货给供应商",出库单!$U$4:$U$4003,"正常",出库单!$C$4:$C$4003,"&gt;="&amp;账期起,出库单!$C$4:$C$4003,"&lt;="&amp;账期止),0))</f>
        <v/>
      </c>
      <c r="X225" s="27">
        <f>IF($A225="","",ROUND(N($G225)+$I225+$L225+$N225-$P225-$R225-$T225-$V225,3))</f>
        <v/>
      </c>
      <c r="Y225" s="26">
        <f>IF($A225="","",ROUND(N($H225)+$J225+$M225+$O225-$Q225-$S225-$U225-$W225,0))</f>
        <v/>
      </c>
      <c r="Z225" s="24">
        <f>IF($A225="","",IF(COUNTIFS(入库单!$G$4:$G$2503,$A225,入库单!$Y$4:$Y$2503,"待补价")+COUNTIFS(入库单!$G$4:$G$2503,$A225,入库单!$Y$4:$Y$2503,"暂估")&gt;0,"不可信","可信"))</f>
        <v/>
      </c>
      <c r="AA225" s="24">
        <f>IF($A225="","",IF($X225&lt;-0.001,"※账面负库存，查一下是不是漏记入库",IF(AND(ROUND($X225,3)=0,ABS($Y225)&gt;1),"※数量已经是 0，金额还挂着 "&amp;TEXT($Y225,"#,##0")&amp;" 先令",IF(AND($X225&gt;0,$Y225&lt;=0,$K225=0),"※有数量没金额（这个物料一直没填过进价）",IF($Z225="不可信","△成本含待补价/暂估，毛利仅供参考","")))))</f>
        <v/>
      </c>
    </row>
    <row r="226">
      <c r="A226" s="24">
        <f>IF(物料档案!$A225="","",物料档案!$A225)</f>
        <v/>
      </c>
      <c r="B226" s="24">
        <f>IF($A226="","",IFERROR(VLOOKUP($A226,物料档案!$A$4:$P$1203,3,0),""))</f>
        <v/>
      </c>
      <c r="C226" s="24">
        <f>IF($A226="","",IFERROR(VLOOKUP($A226,物料档案!$A$4:$P$1203,4,0),""))</f>
        <v/>
      </c>
      <c r="D226" s="24">
        <f>IF($A226="","",IFERROR(VLOOKUP($A226,物料档案!$A$4:$P$1203,5,0),""))</f>
        <v/>
      </c>
      <c r="E226" s="24">
        <f>IF($A226="","",IFERROR(VLOOKUP($A226,物料档案!$A$4:$P$1203,2,0),""))</f>
        <v/>
      </c>
      <c r="F226" s="24">
        <f>IF($A226="","",IFERROR(VLOOKUP($A226,物料档案!$A$4:$P$1203,6,0),""))</f>
        <v/>
      </c>
      <c r="G226" s="23" t="n"/>
      <c r="H226" s="32" t="n"/>
      <c r="I226" s="27">
        <f>IF($A226="","",SUMIFS(入库单!$K$4:$K$2503,入库单!$G$4:$G$2503,$A226,入库单!$X$4:$X$2503,"采购入库",入库单!$Z$4:$Z$2503,"正常",入库单!$C$4:$C$2503,"&gt;="&amp;账期起,入库单!$C$4:$C$2503,"&lt;="&amp;账期止))</f>
        <v/>
      </c>
      <c r="J226" s="26">
        <f>IF($A226="","",SUMIFS(入库单!$V$4:$V$2503,入库单!$G$4:$G$2503,$A226,入库单!$X$4:$X$2503,"采购入库",入库单!$Z$4:$Z$2503,"正常",入库单!$C$4:$C$2503,"&gt;="&amp;账期起,入库单!$C$4:$C$2503,"&lt;="&amp;账期止))</f>
        <v/>
      </c>
      <c r="K226" s="26">
        <f>IF($A226="","",IFERROR(ROUND((N($H226)+N($J226))/(N($G226)+N($I226)),2),0))</f>
        <v/>
      </c>
      <c r="L226" s="27">
        <f>IF($A226="","",SUMIFS(入库单!$K$4:$K$2503,入库单!$G$4:$G$2503,$A226,入库单!$X$4:$X$2503,"盘盈",入库单!$Z$4:$Z$2503,"正常",入库单!$C$4:$C$2503,"&gt;="&amp;账期起,入库单!$C$4:$C$2503,"&lt;="&amp;账期止))</f>
        <v/>
      </c>
      <c r="M226" s="26">
        <f>IF($A226="","",ROUND($L226*$K226,0))</f>
        <v/>
      </c>
      <c r="N226" s="27">
        <f>IF($A226="","",SUMIFS(入库单!$K$4:$K$2503,入库单!$G$4:$G$2503,$A226,入库单!$X$4:$X$2503,"矿区退库",入库单!$Z$4:$Z$2503,"正常",入库单!$C$4:$C$2503,"&gt;="&amp;账期起,入库单!$C$4:$C$2503,"&lt;="&amp;账期止))</f>
        <v/>
      </c>
      <c r="O226" s="26">
        <f>IF($A226="","",ROUND($N226*$K226,0))</f>
        <v/>
      </c>
      <c r="P226" s="27">
        <f>IF($A226="","",SUMIFS(出库单!$J$4:$J$4003,出库单!$D$4:$D$4003,$A226,出库单!$K$4:$K$4003,"自用消耗",出库单!$U$4:$U$4003,"正常",出库单!$C$4:$C$4003,"&gt;="&amp;账期起,出库单!$C$4:$C$4003,"&lt;="&amp;账期止))</f>
        <v/>
      </c>
      <c r="Q226" s="26">
        <f>IF($A226="","",ROUND(SUMIFS(出库单!$S$4:$S$4003,出库单!$D$4:$D$4003,$A226,出库单!$K$4:$K$4003,"自用消耗",出库单!$U$4:$U$4003,"正常",出库单!$C$4:$C$4003,"&gt;="&amp;账期起,出库单!$C$4:$C$4003,"&lt;="&amp;账期止),0))</f>
        <v/>
      </c>
      <c r="R226" s="27">
        <f>IF($A226="","",SUMIFS(出库单!$J$4:$J$4003,出库单!$D$4:$D$4003,$A226,出库单!$K$4:$K$4003,"对外销售",出库单!$U$4:$U$4003,"正常",出库单!$C$4:$C$4003,"&gt;="&amp;账期起,出库单!$C$4:$C$4003,"&lt;="&amp;账期止))</f>
        <v/>
      </c>
      <c r="S226" s="26">
        <f>IF($A226="","",ROUND(SUMIFS(出库单!$S$4:$S$4003,出库单!$D$4:$D$4003,$A226,出库单!$K$4:$K$4003,"对外销售",出库单!$U$4:$U$4003,"正常",出库单!$C$4:$C$4003,"&gt;="&amp;账期起,出库单!$C$4:$C$4003,"&lt;="&amp;账期止),0))</f>
        <v/>
      </c>
      <c r="T226" s="27">
        <f>IF($A226="","",SUMIFS(出库单!$J$4:$J$4003,出库单!$D$4:$D$4003,$A226,出库单!$K$4:$K$4003,"盘亏",出库单!$U$4:$U$4003,"正常",出库单!$C$4:$C$4003,"&gt;="&amp;账期起,出库单!$C$4:$C$4003,"&lt;="&amp;账期止))</f>
        <v/>
      </c>
      <c r="U226" s="26">
        <f>IF($A226="","",ROUND(SUMIFS(出库单!$S$4:$S$4003,出库单!$D$4:$D$4003,$A226,出库单!$K$4:$K$4003,"盘亏",出库单!$U$4:$U$4003,"正常",出库单!$C$4:$C$4003,"&gt;="&amp;账期起,出库单!$C$4:$C$4003,"&lt;="&amp;账期止),0))</f>
        <v/>
      </c>
      <c r="V226" s="27">
        <f>IF($A226="","",SUMIFS(出库单!$J$4:$J$4003,出库单!$D$4:$D$4003,$A226,出库单!$K$4:$K$4003,"退货给供应商",出库单!$U$4:$U$4003,"正常",出库单!$C$4:$C$4003,"&gt;="&amp;账期起,出库单!$C$4:$C$4003,"&lt;="&amp;账期止))</f>
        <v/>
      </c>
      <c r="W226" s="26">
        <f>IF($A226="","",ROUND(SUMIFS(出库单!$S$4:$S$4003,出库单!$D$4:$D$4003,$A226,出库单!$K$4:$K$4003,"退货给供应商",出库单!$U$4:$U$4003,"正常",出库单!$C$4:$C$4003,"&gt;="&amp;账期起,出库单!$C$4:$C$4003,"&lt;="&amp;账期止),0))</f>
        <v/>
      </c>
      <c r="X226" s="27">
        <f>IF($A226="","",ROUND(N($G226)+$I226+$L226+$N226-$P226-$R226-$T226-$V226,3))</f>
        <v/>
      </c>
      <c r="Y226" s="26">
        <f>IF($A226="","",ROUND(N($H226)+$J226+$M226+$O226-$Q226-$S226-$U226-$W226,0))</f>
        <v/>
      </c>
      <c r="Z226" s="24">
        <f>IF($A226="","",IF(COUNTIFS(入库单!$G$4:$G$2503,$A226,入库单!$Y$4:$Y$2503,"待补价")+COUNTIFS(入库单!$G$4:$G$2503,$A226,入库单!$Y$4:$Y$2503,"暂估")&gt;0,"不可信","可信"))</f>
        <v/>
      </c>
      <c r="AA226" s="24">
        <f>IF($A226="","",IF($X226&lt;-0.001,"※账面负库存，查一下是不是漏记入库",IF(AND(ROUND($X226,3)=0,ABS($Y226)&gt;1),"※数量已经是 0，金额还挂着 "&amp;TEXT($Y226,"#,##0")&amp;" 先令",IF(AND($X226&gt;0,$Y226&lt;=0,$K226=0),"※有数量没金额（这个物料一直没填过进价）",IF($Z226="不可信","△成本含待补价/暂估，毛利仅供参考","")))))</f>
        <v/>
      </c>
    </row>
    <row r="227">
      <c r="A227" s="24">
        <f>IF(物料档案!$A226="","",物料档案!$A226)</f>
        <v/>
      </c>
      <c r="B227" s="24">
        <f>IF($A227="","",IFERROR(VLOOKUP($A227,物料档案!$A$4:$P$1203,3,0),""))</f>
        <v/>
      </c>
      <c r="C227" s="24">
        <f>IF($A227="","",IFERROR(VLOOKUP($A227,物料档案!$A$4:$P$1203,4,0),""))</f>
        <v/>
      </c>
      <c r="D227" s="24">
        <f>IF($A227="","",IFERROR(VLOOKUP($A227,物料档案!$A$4:$P$1203,5,0),""))</f>
        <v/>
      </c>
      <c r="E227" s="24">
        <f>IF($A227="","",IFERROR(VLOOKUP($A227,物料档案!$A$4:$P$1203,2,0),""))</f>
        <v/>
      </c>
      <c r="F227" s="24">
        <f>IF($A227="","",IFERROR(VLOOKUP($A227,物料档案!$A$4:$P$1203,6,0),""))</f>
        <v/>
      </c>
      <c r="G227" s="23" t="n"/>
      <c r="H227" s="32" t="n"/>
      <c r="I227" s="27">
        <f>IF($A227="","",SUMIFS(入库单!$K$4:$K$2503,入库单!$G$4:$G$2503,$A227,入库单!$X$4:$X$2503,"采购入库",入库单!$Z$4:$Z$2503,"正常",入库单!$C$4:$C$2503,"&gt;="&amp;账期起,入库单!$C$4:$C$2503,"&lt;="&amp;账期止))</f>
        <v/>
      </c>
      <c r="J227" s="26">
        <f>IF($A227="","",SUMIFS(入库单!$V$4:$V$2503,入库单!$G$4:$G$2503,$A227,入库单!$X$4:$X$2503,"采购入库",入库单!$Z$4:$Z$2503,"正常",入库单!$C$4:$C$2503,"&gt;="&amp;账期起,入库单!$C$4:$C$2503,"&lt;="&amp;账期止))</f>
        <v/>
      </c>
      <c r="K227" s="26">
        <f>IF($A227="","",IFERROR(ROUND((N($H227)+N($J227))/(N($G227)+N($I227)),2),0))</f>
        <v/>
      </c>
      <c r="L227" s="27">
        <f>IF($A227="","",SUMIFS(入库单!$K$4:$K$2503,入库单!$G$4:$G$2503,$A227,入库单!$X$4:$X$2503,"盘盈",入库单!$Z$4:$Z$2503,"正常",入库单!$C$4:$C$2503,"&gt;="&amp;账期起,入库单!$C$4:$C$2503,"&lt;="&amp;账期止))</f>
        <v/>
      </c>
      <c r="M227" s="26">
        <f>IF($A227="","",ROUND($L227*$K227,0))</f>
        <v/>
      </c>
      <c r="N227" s="27">
        <f>IF($A227="","",SUMIFS(入库单!$K$4:$K$2503,入库单!$G$4:$G$2503,$A227,入库单!$X$4:$X$2503,"矿区退库",入库单!$Z$4:$Z$2503,"正常",入库单!$C$4:$C$2503,"&gt;="&amp;账期起,入库单!$C$4:$C$2503,"&lt;="&amp;账期止))</f>
        <v/>
      </c>
      <c r="O227" s="26">
        <f>IF($A227="","",ROUND($N227*$K227,0))</f>
        <v/>
      </c>
      <c r="P227" s="27">
        <f>IF($A227="","",SUMIFS(出库单!$J$4:$J$4003,出库单!$D$4:$D$4003,$A227,出库单!$K$4:$K$4003,"自用消耗",出库单!$U$4:$U$4003,"正常",出库单!$C$4:$C$4003,"&gt;="&amp;账期起,出库单!$C$4:$C$4003,"&lt;="&amp;账期止))</f>
        <v/>
      </c>
      <c r="Q227" s="26">
        <f>IF($A227="","",ROUND(SUMIFS(出库单!$S$4:$S$4003,出库单!$D$4:$D$4003,$A227,出库单!$K$4:$K$4003,"自用消耗",出库单!$U$4:$U$4003,"正常",出库单!$C$4:$C$4003,"&gt;="&amp;账期起,出库单!$C$4:$C$4003,"&lt;="&amp;账期止),0))</f>
        <v/>
      </c>
      <c r="R227" s="27">
        <f>IF($A227="","",SUMIFS(出库单!$J$4:$J$4003,出库单!$D$4:$D$4003,$A227,出库单!$K$4:$K$4003,"对外销售",出库单!$U$4:$U$4003,"正常",出库单!$C$4:$C$4003,"&gt;="&amp;账期起,出库单!$C$4:$C$4003,"&lt;="&amp;账期止))</f>
        <v/>
      </c>
      <c r="S227" s="26">
        <f>IF($A227="","",ROUND(SUMIFS(出库单!$S$4:$S$4003,出库单!$D$4:$D$4003,$A227,出库单!$K$4:$K$4003,"对外销售",出库单!$U$4:$U$4003,"正常",出库单!$C$4:$C$4003,"&gt;="&amp;账期起,出库单!$C$4:$C$4003,"&lt;="&amp;账期止),0))</f>
        <v/>
      </c>
      <c r="T227" s="27">
        <f>IF($A227="","",SUMIFS(出库单!$J$4:$J$4003,出库单!$D$4:$D$4003,$A227,出库单!$K$4:$K$4003,"盘亏",出库单!$U$4:$U$4003,"正常",出库单!$C$4:$C$4003,"&gt;="&amp;账期起,出库单!$C$4:$C$4003,"&lt;="&amp;账期止))</f>
        <v/>
      </c>
      <c r="U227" s="26">
        <f>IF($A227="","",ROUND(SUMIFS(出库单!$S$4:$S$4003,出库单!$D$4:$D$4003,$A227,出库单!$K$4:$K$4003,"盘亏",出库单!$U$4:$U$4003,"正常",出库单!$C$4:$C$4003,"&gt;="&amp;账期起,出库单!$C$4:$C$4003,"&lt;="&amp;账期止),0))</f>
        <v/>
      </c>
      <c r="V227" s="27">
        <f>IF($A227="","",SUMIFS(出库单!$J$4:$J$4003,出库单!$D$4:$D$4003,$A227,出库单!$K$4:$K$4003,"退货给供应商",出库单!$U$4:$U$4003,"正常",出库单!$C$4:$C$4003,"&gt;="&amp;账期起,出库单!$C$4:$C$4003,"&lt;="&amp;账期止))</f>
        <v/>
      </c>
      <c r="W227" s="26">
        <f>IF($A227="","",ROUND(SUMIFS(出库单!$S$4:$S$4003,出库单!$D$4:$D$4003,$A227,出库单!$K$4:$K$4003,"退货给供应商",出库单!$U$4:$U$4003,"正常",出库单!$C$4:$C$4003,"&gt;="&amp;账期起,出库单!$C$4:$C$4003,"&lt;="&amp;账期止),0))</f>
        <v/>
      </c>
      <c r="X227" s="27">
        <f>IF($A227="","",ROUND(N($G227)+$I227+$L227+$N227-$P227-$R227-$T227-$V227,3))</f>
        <v/>
      </c>
      <c r="Y227" s="26">
        <f>IF($A227="","",ROUND(N($H227)+$J227+$M227+$O227-$Q227-$S227-$U227-$W227,0))</f>
        <v/>
      </c>
      <c r="Z227" s="24">
        <f>IF($A227="","",IF(COUNTIFS(入库单!$G$4:$G$2503,$A227,入库单!$Y$4:$Y$2503,"待补价")+COUNTIFS(入库单!$G$4:$G$2503,$A227,入库单!$Y$4:$Y$2503,"暂估")&gt;0,"不可信","可信"))</f>
        <v/>
      </c>
      <c r="AA227" s="24">
        <f>IF($A227="","",IF($X227&lt;-0.001,"※账面负库存，查一下是不是漏记入库",IF(AND(ROUND($X227,3)=0,ABS($Y227)&gt;1),"※数量已经是 0，金额还挂着 "&amp;TEXT($Y227,"#,##0")&amp;" 先令",IF(AND($X227&gt;0,$Y227&lt;=0,$K227=0),"※有数量没金额（这个物料一直没填过进价）",IF($Z227="不可信","△成本含待补价/暂估，毛利仅供参考","")))))</f>
        <v/>
      </c>
    </row>
    <row r="228">
      <c r="A228" s="24">
        <f>IF(物料档案!$A227="","",物料档案!$A227)</f>
        <v/>
      </c>
      <c r="B228" s="24">
        <f>IF($A228="","",IFERROR(VLOOKUP($A228,物料档案!$A$4:$P$1203,3,0),""))</f>
        <v/>
      </c>
      <c r="C228" s="24">
        <f>IF($A228="","",IFERROR(VLOOKUP($A228,物料档案!$A$4:$P$1203,4,0),""))</f>
        <v/>
      </c>
      <c r="D228" s="24">
        <f>IF($A228="","",IFERROR(VLOOKUP($A228,物料档案!$A$4:$P$1203,5,0),""))</f>
        <v/>
      </c>
      <c r="E228" s="24">
        <f>IF($A228="","",IFERROR(VLOOKUP($A228,物料档案!$A$4:$P$1203,2,0),""))</f>
        <v/>
      </c>
      <c r="F228" s="24">
        <f>IF($A228="","",IFERROR(VLOOKUP($A228,物料档案!$A$4:$P$1203,6,0),""))</f>
        <v/>
      </c>
      <c r="G228" s="23" t="n"/>
      <c r="H228" s="32" t="n"/>
      <c r="I228" s="27">
        <f>IF($A228="","",SUMIFS(入库单!$K$4:$K$2503,入库单!$G$4:$G$2503,$A228,入库单!$X$4:$X$2503,"采购入库",入库单!$Z$4:$Z$2503,"正常",入库单!$C$4:$C$2503,"&gt;="&amp;账期起,入库单!$C$4:$C$2503,"&lt;="&amp;账期止))</f>
        <v/>
      </c>
      <c r="J228" s="26">
        <f>IF($A228="","",SUMIFS(入库单!$V$4:$V$2503,入库单!$G$4:$G$2503,$A228,入库单!$X$4:$X$2503,"采购入库",入库单!$Z$4:$Z$2503,"正常",入库单!$C$4:$C$2503,"&gt;="&amp;账期起,入库单!$C$4:$C$2503,"&lt;="&amp;账期止))</f>
        <v/>
      </c>
      <c r="K228" s="26">
        <f>IF($A228="","",IFERROR(ROUND((N($H228)+N($J228))/(N($G228)+N($I228)),2),0))</f>
        <v/>
      </c>
      <c r="L228" s="27">
        <f>IF($A228="","",SUMIFS(入库单!$K$4:$K$2503,入库单!$G$4:$G$2503,$A228,入库单!$X$4:$X$2503,"盘盈",入库单!$Z$4:$Z$2503,"正常",入库单!$C$4:$C$2503,"&gt;="&amp;账期起,入库单!$C$4:$C$2503,"&lt;="&amp;账期止))</f>
        <v/>
      </c>
      <c r="M228" s="26">
        <f>IF($A228="","",ROUND($L228*$K228,0))</f>
        <v/>
      </c>
      <c r="N228" s="27">
        <f>IF($A228="","",SUMIFS(入库单!$K$4:$K$2503,入库单!$G$4:$G$2503,$A228,入库单!$X$4:$X$2503,"矿区退库",入库单!$Z$4:$Z$2503,"正常",入库单!$C$4:$C$2503,"&gt;="&amp;账期起,入库单!$C$4:$C$2503,"&lt;="&amp;账期止))</f>
        <v/>
      </c>
      <c r="O228" s="26">
        <f>IF($A228="","",ROUND($N228*$K228,0))</f>
        <v/>
      </c>
      <c r="P228" s="27">
        <f>IF($A228="","",SUMIFS(出库单!$J$4:$J$4003,出库单!$D$4:$D$4003,$A228,出库单!$K$4:$K$4003,"自用消耗",出库单!$U$4:$U$4003,"正常",出库单!$C$4:$C$4003,"&gt;="&amp;账期起,出库单!$C$4:$C$4003,"&lt;="&amp;账期止))</f>
        <v/>
      </c>
      <c r="Q228" s="26">
        <f>IF($A228="","",ROUND(SUMIFS(出库单!$S$4:$S$4003,出库单!$D$4:$D$4003,$A228,出库单!$K$4:$K$4003,"自用消耗",出库单!$U$4:$U$4003,"正常",出库单!$C$4:$C$4003,"&gt;="&amp;账期起,出库单!$C$4:$C$4003,"&lt;="&amp;账期止),0))</f>
        <v/>
      </c>
      <c r="R228" s="27">
        <f>IF($A228="","",SUMIFS(出库单!$J$4:$J$4003,出库单!$D$4:$D$4003,$A228,出库单!$K$4:$K$4003,"对外销售",出库单!$U$4:$U$4003,"正常",出库单!$C$4:$C$4003,"&gt;="&amp;账期起,出库单!$C$4:$C$4003,"&lt;="&amp;账期止))</f>
        <v/>
      </c>
      <c r="S228" s="26">
        <f>IF($A228="","",ROUND(SUMIFS(出库单!$S$4:$S$4003,出库单!$D$4:$D$4003,$A228,出库单!$K$4:$K$4003,"对外销售",出库单!$U$4:$U$4003,"正常",出库单!$C$4:$C$4003,"&gt;="&amp;账期起,出库单!$C$4:$C$4003,"&lt;="&amp;账期止),0))</f>
        <v/>
      </c>
      <c r="T228" s="27">
        <f>IF($A228="","",SUMIFS(出库单!$J$4:$J$4003,出库单!$D$4:$D$4003,$A228,出库单!$K$4:$K$4003,"盘亏",出库单!$U$4:$U$4003,"正常",出库单!$C$4:$C$4003,"&gt;="&amp;账期起,出库单!$C$4:$C$4003,"&lt;="&amp;账期止))</f>
        <v/>
      </c>
      <c r="U228" s="26">
        <f>IF($A228="","",ROUND(SUMIFS(出库单!$S$4:$S$4003,出库单!$D$4:$D$4003,$A228,出库单!$K$4:$K$4003,"盘亏",出库单!$U$4:$U$4003,"正常",出库单!$C$4:$C$4003,"&gt;="&amp;账期起,出库单!$C$4:$C$4003,"&lt;="&amp;账期止),0))</f>
        <v/>
      </c>
      <c r="V228" s="27">
        <f>IF($A228="","",SUMIFS(出库单!$J$4:$J$4003,出库单!$D$4:$D$4003,$A228,出库单!$K$4:$K$4003,"退货给供应商",出库单!$U$4:$U$4003,"正常",出库单!$C$4:$C$4003,"&gt;="&amp;账期起,出库单!$C$4:$C$4003,"&lt;="&amp;账期止))</f>
        <v/>
      </c>
      <c r="W228" s="26">
        <f>IF($A228="","",ROUND(SUMIFS(出库单!$S$4:$S$4003,出库单!$D$4:$D$4003,$A228,出库单!$K$4:$K$4003,"退货给供应商",出库单!$U$4:$U$4003,"正常",出库单!$C$4:$C$4003,"&gt;="&amp;账期起,出库单!$C$4:$C$4003,"&lt;="&amp;账期止),0))</f>
        <v/>
      </c>
      <c r="X228" s="27">
        <f>IF($A228="","",ROUND(N($G228)+$I228+$L228+$N228-$P228-$R228-$T228-$V228,3))</f>
        <v/>
      </c>
      <c r="Y228" s="26">
        <f>IF($A228="","",ROUND(N($H228)+$J228+$M228+$O228-$Q228-$S228-$U228-$W228,0))</f>
        <v/>
      </c>
      <c r="Z228" s="24">
        <f>IF($A228="","",IF(COUNTIFS(入库单!$G$4:$G$2503,$A228,入库单!$Y$4:$Y$2503,"待补价")+COUNTIFS(入库单!$G$4:$G$2503,$A228,入库单!$Y$4:$Y$2503,"暂估")&gt;0,"不可信","可信"))</f>
        <v/>
      </c>
      <c r="AA228" s="24">
        <f>IF($A228="","",IF($X228&lt;-0.001,"※账面负库存，查一下是不是漏记入库",IF(AND(ROUND($X228,3)=0,ABS($Y228)&gt;1),"※数量已经是 0，金额还挂着 "&amp;TEXT($Y228,"#,##0")&amp;" 先令",IF(AND($X228&gt;0,$Y228&lt;=0,$K228=0),"※有数量没金额（这个物料一直没填过进价）",IF($Z228="不可信","△成本含待补价/暂估，毛利仅供参考","")))))</f>
        <v/>
      </c>
    </row>
    <row r="229">
      <c r="A229" s="24">
        <f>IF(物料档案!$A228="","",物料档案!$A228)</f>
        <v/>
      </c>
      <c r="B229" s="24">
        <f>IF($A229="","",IFERROR(VLOOKUP($A229,物料档案!$A$4:$P$1203,3,0),""))</f>
        <v/>
      </c>
      <c r="C229" s="24">
        <f>IF($A229="","",IFERROR(VLOOKUP($A229,物料档案!$A$4:$P$1203,4,0),""))</f>
        <v/>
      </c>
      <c r="D229" s="24">
        <f>IF($A229="","",IFERROR(VLOOKUP($A229,物料档案!$A$4:$P$1203,5,0),""))</f>
        <v/>
      </c>
      <c r="E229" s="24">
        <f>IF($A229="","",IFERROR(VLOOKUP($A229,物料档案!$A$4:$P$1203,2,0),""))</f>
        <v/>
      </c>
      <c r="F229" s="24">
        <f>IF($A229="","",IFERROR(VLOOKUP($A229,物料档案!$A$4:$P$1203,6,0),""))</f>
        <v/>
      </c>
      <c r="G229" s="23" t="n"/>
      <c r="H229" s="32" t="n"/>
      <c r="I229" s="27">
        <f>IF($A229="","",SUMIFS(入库单!$K$4:$K$2503,入库单!$G$4:$G$2503,$A229,入库单!$X$4:$X$2503,"采购入库",入库单!$Z$4:$Z$2503,"正常",入库单!$C$4:$C$2503,"&gt;="&amp;账期起,入库单!$C$4:$C$2503,"&lt;="&amp;账期止))</f>
        <v/>
      </c>
      <c r="J229" s="26">
        <f>IF($A229="","",SUMIFS(入库单!$V$4:$V$2503,入库单!$G$4:$G$2503,$A229,入库单!$X$4:$X$2503,"采购入库",入库单!$Z$4:$Z$2503,"正常",入库单!$C$4:$C$2503,"&gt;="&amp;账期起,入库单!$C$4:$C$2503,"&lt;="&amp;账期止))</f>
        <v/>
      </c>
      <c r="K229" s="26">
        <f>IF($A229="","",IFERROR(ROUND((N($H229)+N($J229))/(N($G229)+N($I229)),2),0))</f>
        <v/>
      </c>
      <c r="L229" s="27">
        <f>IF($A229="","",SUMIFS(入库单!$K$4:$K$2503,入库单!$G$4:$G$2503,$A229,入库单!$X$4:$X$2503,"盘盈",入库单!$Z$4:$Z$2503,"正常",入库单!$C$4:$C$2503,"&gt;="&amp;账期起,入库单!$C$4:$C$2503,"&lt;="&amp;账期止))</f>
        <v/>
      </c>
      <c r="M229" s="26">
        <f>IF($A229="","",ROUND($L229*$K229,0))</f>
        <v/>
      </c>
      <c r="N229" s="27">
        <f>IF($A229="","",SUMIFS(入库单!$K$4:$K$2503,入库单!$G$4:$G$2503,$A229,入库单!$X$4:$X$2503,"矿区退库",入库单!$Z$4:$Z$2503,"正常",入库单!$C$4:$C$2503,"&gt;="&amp;账期起,入库单!$C$4:$C$2503,"&lt;="&amp;账期止))</f>
        <v/>
      </c>
      <c r="O229" s="26">
        <f>IF($A229="","",ROUND($N229*$K229,0))</f>
        <v/>
      </c>
      <c r="P229" s="27">
        <f>IF($A229="","",SUMIFS(出库单!$J$4:$J$4003,出库单!$D$4:$D$4003,$A229,出库单!$K$4:$K$4003,"自用消耗",出库单!$U$4:$U$4003,"正常",出库单!$C$4:$C$4003,"&gt;="&amp;账期起,出库单!$C$4:$C$4003,"&lt;="&amp;账期止))</f>
        <v/>
      </c>
      <c r="Q229" s="26">
        <f>IF($A229="","",ROUND(SUMIFS(出库单!$S$4:$S$4003,出库单!$D$4:$D$4003,$A229,出库单!$K$4:$K$4003,"自用消耗",出库单!$U$4:$U$4003,"正常",出库单!$C$4:$C$4003,"&gt;="&amp;账期起,出库单!$C$4:$C$4003,"&lt;="&amp;账期止),0))</f>
        <v/>
      </c>
      <c r="R229" s="27">
        <f>IF($A229="","",SUMIFS(出库单!$J$4:$J$4003,出库单!$D$4:$D$4003,$A229,出库单!$K$4:$K$4003,"对外销售",出库单!$U$4:$U$4003,"正常",出库单!$C$4:$C$4003,"&gt;="&amp;账期起,出库单!$C$4:$C$4003,"&lt;="&amp;账期止))</f>
        <v/>
      </c>
      <c r="S229" s="26">
        <f>IF($A229="","",ROUND(SUMIFS(出库单!$S$4:$S$4003,出库单!$D$4:$D$4003,$A229,出库单!$K$4:$K$4003,"对外销售",出库单!$U$4:$U$4003,"正常",出库单!$C$4:$C$4003,"&gt;="&amp;账期起,出库单!$C$4:$C$4003,"&lt;="&amp;账期止),0))</f>
        <v/>
      </c>
      <c r="T229" s="27">
        <f>IF($A229="","",SUMIFS(出库单!$J$4:$J$4003,出库单!$D$4:$D$4003,$A229,出库单!$K$4:$K$4003,"盘亏",出库单!$U$4:$U$4003,"正常",出库单!$C$4:$C$4003,"&gt;="&amp;账期起,出库单!$C$4:$C$4003,"&lt;="&amp;账期止))</f>
        <v/>
      </c>
      <c r="U229" s="26">
        <f>IF($A229="","",ROUND(SUMIFS(出库单!$S$4:$S$4003,出库单!$D$4:$D$4003,$A229,出库单!$K$4:$K$4003,"盘亏",出库单!$U$4:$U$4003,"正常",出库单!$C$4:$C$4003,"&gt;="&amp;账期起,出库单!$C$4:$C$4003,"&lt;="&amp;账期止),0))</f>
        <v/>
      </c>
      <c r="V229" s="27">
        <f>IF($A229="","",SUMIFS(出库单!$J$4:$J$4003,出库单!$D$4:$D$4003,$A229,出库单!$K$4:$K$4003,"退货给供应商",出库单!$U$4:$U$4003,"正常",出库单!$C$4:$C$4003,"&gt;="&amp;账期起,出库单!$C$4:$C$4003,"&lt;="&amp;账期止))</f>
        <v/>
      </c>
      <c r="W229" s="26">
        <f>IF($A229="","",ROUND(SUMIFS(出库单!$S$4:$S$4003,出库单!$D$4:$D$4003,$A229,出库单!$K$4:$K$4003,"退货给供应商",出库单!$U$4:$U$4003,"正常",出库单!$C$4:$C$4003,"&gt;="&amp;账期起,出库单!$C$4:$C$4003,"&lt;="&amp;账期止),0))</f>
        <v/>
      </c>
      <c r="X229" s="27">
        <f>IF($A229="","",ROUND(N($G229)+$I229+$L229+$N229-$P229-$R229-$T229-$V229,3))</f>
        <v/>
      </c>
      <c r="Y229" s="26">
        <f>IF($A229="","",ROUND(N($H229)+$J229+$M229+$O229-$Q229-$S229-$U229-$W229,0))</f>
        <v/>
      </c>
      <c r="Z229" s="24">
        <f>IF($A229="","",IF(COUNTIFS(入库单!$G$4:$G$2503,$A229,入库单!$Y$4:$Y$2503,"待补价")+COUNTIFS(入库单!$G$4:$G$2503,$A229,入库单!$Y$4:$Y$2503,"暂估")&gt;0,"不可信","可信"))</f>
        <v/>
      </c>
      <c r="AA229" s="24">
        <f>IF($A229="","",IF($X229&lt;-0.001,"※账面负库存，查一下是不是漏记入库",IF(AND(ROUND($X229,3)=0,ABS($Y229)&gt;1),"※数量已经是 0，金额还挂着 "&amp;TEXT($Y229,"#,##0")&amp;" 先令",IF(AND($X229&gt;0,$Y229&lt;=0,$K229=0),"※有数量没金额（这个物料一直没填过进价）",IF($Z229="不可信","△成本含待补价/暂估，毛利仅供参考","")))))</f>
        <v/>
      </c>
    </row>
    <row r="230">
      <c r="A230" s="24">
        <f>IF(物料档案!$A229="","",物料档案!$A229)</f>
        <v/>
      </c>
      <c r="B230" s="24">
        <f>IF($A230="","",IFERROR(VLOOKUP($A230,物料档案!$A$4:$P$1203,3,0),""))</f>
        <v/>
      </c>
      <c r="C230" s="24">
        <f>IF($A230="","",IFERROR(VLOOKUP($A230,物料档案!$A$4:$P$1203,4,0),""))</f>
        <v/>
      </c>
      <c r="D230" s="24">
        <f>IF($A230="","",IFERROR(VLOOKUP($A230,物料档案!$A$4:$P$1203,5,0),""))</f>
        <v/>
      </c>
      <c r="E230" s="24">
        <f>IF($A230="","",IFERROR(VLOOKUP($A230,物料档案!$A$4:$P$1203,2,0),""))</f>
        <v/>
      </c>
      <c r="F230" s="24">
        <f>IF($A230="","",IFERROR(VLOOKUP($A230,物料档案!$A$4:$P$1203,6,0),""))</f>
        <v/>
      </c>
      <c r="G230" s="23" t="n"/>
      <c r="H230" s="32" t="n"/>
      <c r="I230" s="27">
        <f>IF($A230="","",SUMIFS(入库单!$K$4:$K$2503,入库单!$G$4:$G$2503,$A230,入库单!$X$4:$X$2503,"采购入库",入库单!$Z$4:$Z$2503,"正常",入库单!$C$4:$C$2503,"&gt;="&amp;账期起,入库单!$C$4:$C$2503,"&lt;="&amp;账期止))</f>
        <v/>
      </c>
      <c r="J230" s="26">
        <f>IF($A230="","",SUMIFS(入库单!$V$4:$V$2503,入库单!$G$4:$G$2503,$A230,入库单!$X$4:$X$2503,"采购入库",入库单!$Z$4:$Z$2503,"正常",入库单!$C$4:$C$2503,"&gt;="&amp;账期起,入库单!$C$4:$C$2503,"&lt;="&amp;账期止))</f>
        <v/>
      </c>
      <c r="K230" s="26">
        <f>IF($A230="","",IFERROR(ROUND((N($H230)+N($J230))/(N($G230)+N($I230)),2),0))</f>
        <v/>
      </c>
      <c r="L230" s="27">
        <f>IF($A230="","",SUMIFS(入库单!$K$4:$K$2503,入库单!$G$4:$G$2503,$A230,入库单!$X$4:$X$2503,"盘盈",入库单!$Z$4:$Z$2503,"正常",入库单!$C$4:$C$2503,"&gt;="&amp;账期起,入库单!$C$4:$C$2503,"&lt;="&amp;账期止))</f>
        <v/>
      </c>
      <c r="M230" s="26">
        <f>IF($A230="","",ROUND($L230*$K230,0))</f>
        <v/>
      </c>
      <c r="N230" s="27">
        <f>IF($A230="","",SUMIFS(入库单!$K$4:$K$2503,入库单!$G$4:$G$2503,$A230,入库单!$X$4:$X$2503,"矿区退库",入库单!$Z$4:$Z$2503,"正常",入库单!$C$4:$C$2503,"&gt;="&amp;账期起,入库单!$C$4:$C$2503,"&lt;="&amp;账期止))</f>
        <v/>
      </c>
      <c r="O230" s="26">
        <f>IF($A230="","",ROUND($N230*$K230,0))</f>
        <v/>
      </c>
      <c r="P230" s="27">
        <f>IF($A230="","",SUMIFS(出库单!$J$4:$J$4003,出库单!$D$4:$D$4003,$A230,出库单!$K$4:$K$4003,"自用消耗",出库单!$U$4:$U$4003,"正常",出库单!$C$4:$C$4003,"&gt;="&amp;账期起,出库单!$C$4:$C$4003,"&lt;="&amp;账期止))</f>
        <v/>
      </c>
      <c r="Q230" s="26">
        <f>IF($A230="","",ROUND(SUMIFS(出库单!$S$4:$S$4003,出库单!$D$4:$D$4003,$A230,出库单!$K$4:$K$4003,"自用消耗",出库单!$U$4:$U$4003,"正常",出库单!$C$4:$C$4003,"&gt;="&amp;账期起,出库单!$C$4:$C$4003,"&lt;="&amp;账期止),0))</f>
        <v/>
      </c>
      <c r="R230" s="27">
        <f>IF($A230="","",SUMIFS(出库单!$J$4:$J$4003,出库单!$D$4:$D$4003,$A230,出库单!$K$4:$K$4003,"对外销售",出库单!$U$4:$U$4003,"正常",出库单!$C$4:$C$4003,"&gt;="&amp;账期起,出库单!$C$4:$C$4003,"&lt;="&amp;账期止))</f>
        <v/>
      </c>
      <c r="S230" s="26">
        <f>IF($A230="","",ROUND(SUMIFS(出库单!$S$4:$S$4003,出库单!$D$4:$D$4003,$A230,出库单!$K$4:$K$4003,"对外销售",出库单!$U$4:$U$4003,"正常",出库单!$C$4:$C$4003,"&gt;="&amp;账期起,出库单!$C$4:$C$4003,"&lt;="&amp;账期止),0))</f>
        <v/>
      </c>
      <c r="T230" s="27">
        <f>IF($A230="","",SUMIFS(出库单!$J$4:$J$4003,出库单!$D$4:$D$4003,$A230,出库单!$K$4:$K$4003,"盘亏",出库单!$U$4:$U$4003,"正常",出库单!$C$4:$C$4003,"&gt;="&amp;账期起,出库单!$C$4:$C$4003,"&lt;="&amp;账期止))</f>
        <v/>
      </c>
      <c r="U230" s="26">
        <f>IF($A230="","",ROUND(SUMIFS(出库单!$S$4:$S$4003,出库单!$D$4:$D$4003,$A230,出库单!$K$4:$K$4003,"盘亏",出库单!$U$4:$U$4003,"正常",出库单!$C$4:$C$4003,"&gt;="&amp;账期起,出库单!$C$4:$C$4003,"&lt;="&amp;账期止),0))</f>
        <v/>
      </c>
      <c r="V230" s="27">
        <f>IF($A230="","",SUMIFS(出库单!$J$4:$J$4003,出库单!$D$4:$D$4003,$A230,出库单!$K$4:$K$4003,"退货给供应商",出库单!$U$4:$U$4003,"正常",出库单!$C$4:$C$4003,"&gt;="&amp;账期起,出库单!$C$4:$C$4003,"&lt;="&amp;账期止))</f>
        <v/>
      </c>
      <c r="W230" s="26">
        <f>IF($A230="","",ROUND(SUMIFS(出库单!$S$4:$S$4003,出库单!$D$4:$D$4003,$A230,出库单!$K$4:$K$4003,"退货给供应商",出库单!$U$4:$U$4003,"正常",出库单!$C$4:$C$4003,"&gt;="&amp;账期起,出库单!$C$4:$C$4003,"&lt;="&amp;账期止),0))</f>
        <v/>
      </c>
      <c r="X230" s="27">
        <f>IF($A230="","",ROUND(N($G230)+$I230+$L230+$N230-$P230-$R230-$T230-$V230,3))</f>
        <v/>
      </c>
      <c r="Y230" s="26">
        <f>IF($A230="","",ROUND(N($H230)+$J230+$M230+$O230-$Q230-$S230-$U230-$W230,0))</f>
        <v/>
      </c>
      <c r="Z230" s="24">
        <f>IF($A230="","",IF(COUNTIFS(入库单!$G$4:$G$2503,$A230,入库单!$Y$4:$Y$2503,"待补价")+COUNTIFS(入库单!$G$4:$G$2503,$A230,入库单!$Y$4:$Y$2503,"暂估")&gt;0,"不可信","可信"))</f>
        <v/>
      </c>
      <c r="AA230" s="24">
        <f>IF($A230="","",IF($X230&lt;-0.001,"※账面负库存，查一下是不是漏记入库",IF(AND(ROUND($X230,3)=0,ABS($Y230)&gt;1),"※数量已经是 0，金额还挂着 "&amp;TEXT($Y230,"#,##0")&amp;" 先令",IF(AND($X230&gt;0,$Y230&lt;=0,$K230=0),"※有数量没金额（这个物料一直没填过进价）",IF($Z230="不可信","△成本含待补价/暂估，毛利仅供参考","")))))</f>
        <v/>
      </c>
    </row>
    <row r="231">
      <c r="A231" s="24">
        <f>IF(物料档案!$A230="","",物料档案!$A230)</f>
        <v/>
      </c>
      <c r="B231" s="24">
        <f>IF($A231="","",IFERROR(VLOOKUP($A231,物料档案!$A$4:$P$1203,3,0),""))</f>
        <v/>
      </c>
      <c r="C231" s="24">
        <f>IF($A231="","",IFERROR(VLOOKUP($A231,物料档案!$A$4:$P$1203,4,0),""))</f>
        <v/>
      </c>
      <c r="D231" s="24">
        <f>IF($A231="","",IFERROR(VLOOKUP($A231,物料档案!$A$4:$P$1203,5,0),""))</f>
        <v/>
      </c>
      <c r="E231" s="24">
        <f>IF($A231="","",IFERROR(VLOOKUP($A231,物料档案!$A$4:$P$1203,2,0),""))</f>
        <v/>
      </c>
      <c r="F231" s="24">
        <f>IF($A231="","",IFERROR(VLOOKUP($A231,物料档案!$A$4:$P$1203,6,0),""))</f>
        <v/>
      </c>
      <c r="G231" s="23" t="n"/>
      <c r="H231" s="32" t="n"/>
      <c r="I231" s="27">
        <f>IF($A231="","",SUMIFS(入库单!$K$4:$K$2503,入库单!$G$4:$G$2503,$A231,入库单!$X$4:$X$2503,"采购入库",入库单!$Z$4:$Z$2503,"正常",入库单!$C$4:$C$2503,"&gt;="&amp;账期起,入库单!$C$4:$C$2503,"&lt;="&amp;账期止))</f>
        <v/>
      </c>
      <c r="J231" s="26">
        <f>IF($A231="","",SUMIFS(入库单!$V$4:$V$2503,入库单!$G$4:$G$2503,$A231,入库单!$X$4:$X$2503,"采购入库",入库单!$Z$4:$Z$2503,"正常",入库单!$C$4:$C$2503,"&gt;="&amp;账期起,入库单!$C$4:$C$2503,"&lt;="&amp;账期止))</f>
        <v/>
      </c>
      <c r="K231" s="26">
        <f>IF($A231="","",IFERROR(ROUND((N($H231)+N($J231))/(N($G231)+N($I231)),2),0))</f>
        <v/>
      </c>
      <c r="L231" s="27">
        <f>IF($A231="","",SUMIFS(入库单!$K$4:$K$2503,入库单!$G$4:$G$2503,$A231,入库单!$X$4:$X$2503,"盘盈",入库单!$Z$4:$Z$2503,"正常",入库单!$C$4:$C$2503,"&gt;="&amp;账期起,入库单!$C$4:$C$2503,"&lt;="&amp;账期止))</f>
        <v/>
      </c>
      <c r="M231" s="26">
        <f>IF($A231="","",ROUND($L231*$K231,0))</f>
        <v/>
      </c>
      <c r="N231" s="27">
        <f>IF($A231="","",SUMIFS(入库单!$K$4:$K$2503,入库单!$G$4:$G$2503,$A231,入库单!$X$4:$X$2503,"矿区退库",入库单!$Z$4:$Z$2503,"正常",入库单!$C$4:$C$2503,"&gt;="&amp;账期起,入库单!$C$4:$C$2503,"&lt;="&amp;账期止))</f>
        <v/>
      </c>
      <c r="O231" s="26">
        <f>IF($A231="","",ROUND($N231*$K231,0))</f>
        <v/>
      </c>
      <c r="P231" s="27">
        <f>IF($A231="","",SUMIFS(出库单!$J$4:$J$4003,出库单!$D$4:$D$4003,$A231,出库单!$K$4:$K$4003,"自用消耗",出库单!$U$4:$U$4003,"正常",出库单!$C$4:$C$4003,"&gt;="&amp;账期起,出库单!$C$4:$C$4003,"&lt;="&amp;账期止))</f>
        <v/>
      </c>
      <c r="Q231" s="26">
        <f>IF($A231="","",ROUND(SUMIFS(出库单!$S$4:$S$4003,出库单!$D$4:$D$4003,$A231,出库单!$K$4:$K$4003,"自用消耗",出库单!$U$4:$U$4003,"正常",出库单!$C$4:$C$4003,"&gt;="&amp;账期起,出库单!$C$4:$C$4003,"&lt;="&amp;账期止),0))</f>
        <v/>
      </c>
      <c r="R231" s="27">
        <f>IF($A231="","",SUMIFS(出库单!$J$4:$J$4003,出库单!$D$4:$D$4003,$A231,出库单!$K$4:$K$4003,"对外销售",出库单!$U$4:$U$4003,"正常",出库单!$C$4:$C$4003,"&gt;="&amp;账期起,出库单!$C$4:$C$4003,"&lt;="&amp;账期止))</f>
        <v/>
      </c>
      <c r="S231" s="26">
        <f>IF($A231="","",ROUND(SUMIFS(出库单!$S$4:$S$4003,出库单!$D$4:$D$4003,$A231,出库单!$K$4:$K$4003,"对外销售",出库单!$U$4:$U$4003,"正常",出库单!$C$4:$C$4003,"&gt;="&amp;账期起,出库单!$C$4:$C$4003,"&lt;="&amp;账期止),0))</f>
        <v/>
      </c>
      <c r="T231" s="27">
        <f>IF($A231="","",SUMIFS(出库单!$J$4:$J$4003,出库单!$D$4:$D$4003,$A231,出库单!$K$4:$K$4003,"盘亏",出库单!$U$4:$U$4003,"正常",出库单!$C$4:$C$4003,"&gt;="&amp;账期起,出库单!$C$4:$C$4003,"&lt;="&amp;账期止))</f>
        <v/>
      </c>
      <c r="U231" s="26">
        <f>IF($A231="","",ROUND(SUMIFS(出库单!$S$4:$S$4003,出库单!$D$4:$D$4003,$A231,出库单!$K$4:$K$4003,"盘亏",出库单!$U$4:$U$4003,"正常",出库单!$C$4:$C$4003,"&gt;="&amp;账期起,出库单!$C$4:$C$4003,"&lt;="&amp;账期止),0))</f>
        <v/>
      </c>
      <c r="V231" s="27">
        <f>IF($A231="","",SUMIFS(出库单!$J$4:$J$4003,出库单!$D$4:$D$4003,$A231,出库单!$K$4:$K$4003,"退货给供应商",出库单!$U$4:$U$4003,"正常",出库单!$C$4:$C$4003,"&gt;="&amp;账期起,出库单!$C$4:$C$4003,"&lt;="&amp;账期止))</f>
        <v/>
      </c>
      <c r="W231" s="26">
        <f>IF($A231="","",ROUND(SUMIFS(出库单!$S$4:$S$4003,出库单!$D$4:$D$4003,$A231,出库单!$K$4:$K$4003,"退货给供应商",出库单!$U$4:$U$4003,"正常",出库单!$C$4:$C$4003,"&gt;="&amp;账期起,出库单!$C$4:$C$4003,"&lt;="&amp;账期止),0))</f>
        <v/>
      </c>
      <c r="X231" s="27">
        <f>IF($A231="","",ROUND(N($G231)+$I231+$L231+$N231-$P231-$R231-$T231-$V231,3))</f>
        <v/>
      </c>
      <c r="Y231" s="26">
        <f>IF($A231="","",ROUND(N($H231)+$J231+$M231+$O231-$Q231-$S231-$U231-$W231,0))</f>
        <v/>
      </c>
      <c r="Z231" s="24">
        <f>IF($A231="","",IF(COUNTIFS(入库单!$G$4:$G$2503,$A231,入库单!$Y$4:$Y$2503,"待补价")+COUNTIFS(入库单!$G$4:$G$2503,$A231,入库单!$Y$4:$Y$2503,"暂估")&gt;0,"不可信","可信"))</f>
        <v/>
      </c>
      <c r="AA231" s="24">
        <f>IF($A231="","",IF($X231&lt;-0.001,"※账面负库存，查一下是不是漏记入库",IF(AND(ROUND($X231,3)=0,ABS($Y231)&gt;1),"※数量已经是 0，金额还挂着 "&amp;TEXT($Y231,"#,##0")&amp;" 先令",IF(AND($X231&gt;0,$Y231&lt;=0,$K231=0),"※有数量没金额（这个物料一直没填过进价）",IF($Z231="不可信","△成本含待补价/暂估，毛利仅供参考","")))))</f>
        <v/>
      </c>
    </row>
    <row r="232">
      <c r="A232" s="24">
        <f>IF(物料档案!$A231="","",物料档案!$A231)</f>
        <v/>
      </c>
      <c r="B232" s="24">
        <f>IF($A232="","",IFERROR(VLOOKUP($A232,物料档案!$A$4:$P$1203,3,0),""))</f>
        <v/>
      </c>
      <c r="C232" s="24">
        <f>IF($A232="","",IFERROR(VLOOKUP($A232,物料档案!$A$4:$P$1203,4,0),""))</f>
        <v/>
      </c>
      <c r="D232" s="24">
        <f>IF($A232="","",IFERROR(VLOOKUP($A232,物料档案!$A$4:$P$1203,5,0),""))</f>
        <v/>
      </c>
      <c r="E232" s="24">
        <f>IF($A232="","",IFERROR(VLOOKUP($A232,物料档案!$A$4:$P$1203,2,0),""))</f>
        <v/>
      </c>
      <c r="F232" s="24">
        <f>IF($A232="","",IFERROR(VLOOKUP($A232,物料档案!$A$4:$P$1203,6,0),""))</f>
        <v/>
      </c>
      <c r="G232" s="23" t="n"/>
      <c r="H232" s="32" t="n"/>
      <c r="I232" s="27">
        <f>IF($A232="","",SUMIFS(入库单!$K$4:$K$2503,入库单!$G$4:$G$2503,$A232,入库单!$X$4:$X$2503,"采购入库",入库单!$Z$4:$Z$2503,"正常",入库单!$C$4:$C$2503,"&gt;="&amp;账期起,入库单!$C$4:$C$2503,"&lt;="&amp;账期止))</f>
        <v/>
      </c>
      <c r="J232" s="26">
        <f>IF($A232="","",SUMIFS(入库单!$V$4:$V$2503,入库单!$G$4:$G$2503,$A232,入库单!$X$4:$X$2503,"采购入库",入库单!$Z$4:$Z$2503,"正常",入库单!$C$4:$C$2503,"&gt;="&amp;账期起,入库单!$C$4:$C$2503,"&lt;="&amp;账期止))</f>
        <v/>
      </c>
      <c r="K232" s="26">
        <f>IF($A232="","",IFERROR(ROUND((N($H232)+N($J232))/(N($G232)+N($I232)),2),0))</f>
        <v/>
      </c>
      <c r="L232" s="27">
        <f>IF($A232="","",SUMIFS(入库单!$K$4:$K$2503,入库单!$G$4:$G$2503,$A232,入库单!$X$4:$X$2503,"盘盈",入库单!$Z$4:$Z$2503,"正常",入库单!$C$4:$C$2503,"&gt;="&amp;账期起,入库单!$C$4:$C$2503,"&lt;="&amp;账期止))</f>
        <v/>
      </c>
      <c r="M232" s="26">
        <f>IF($A232="","",ROUND($L232*$K232,0))</f>
        <v/>
      </c>
      <c r="N232" s="27">
        <f>IF($A232="","",SUMIFS(入库单!$K$4:$K$2503,入库单!$G$4:$G$2503,$A232,入库单!$X$4:$X$2503,"矿区退库",入库单!$Z$4:$Z$2503,"正常",入库单!$C$4:$C$2503,"&gt;="&amp;账期起,入库单!$C$4:$C$2503,"&lt;="&amp;账期止))</f>
        <v/>
      </c>
      <c r="O232" s="26">
        <f>IF($A232="","",ROUND($N232*$K232,0))</f>
        <v/>
      </c>
      <c r="P232" s="27">
        <f>IF($A232="","",SUMIFS(出库单!$J$4:$J$4003,出库单!$D$4:$D$4003,$A232,出库单!$K$4:$K$4003,"自用消耗",出库单!$U$4:$U$4003,"正常",出库单!$C$4:$C$4003,"&gt;="&amp;账期起,出库单!$C$4:$C$4003,"&lt;="&amp;账期止))</f>
        <v/>
      </c>
      <c r="Q232" s="26">
        <f>IF($A232="","",ROUND(SUMIFS(出库单!$S$4:$S$4003,出库单!$D$4:$D$4003,$A232,出库单!$K$4:$K$4003,"自用消耗",出库单!$U$4:$U$4003,"正常",出库单!$C$4:$C$4003,"&gt;="&amp;账期起,出库单!$C$4:$C$4003,"&lt;="&amp;账期止),0))</f>
        <v/>
      </c>
      <c r="R232" s="27">
        <f>IF($A232="","",SUMIFS(出库单!$J$4:$J$4003,出库单!$D$4:$D$4003,$A232,出库单!$K$4:$K$4003,"对外销售",出库单!$U$4:$U$4003,"正常",出库单!$C$4:$C$4003,"&gt;="&amp;账期起,出库单!$C$4:$C$4003,"&lt;="&amp;账期止))</f>
        <v/>
      </c>
      <c r="S232" s="26">
        <f>IF($A232="","",ROUND(SUMIFS(出库单!$S$4:$S$4003,出库单!$D$4:$D$4003,$A232,出库单!$K$4:$K$4003,"对外销售",出库单!$U$4:$U$4003,"正常",出库单!$C$4:$C$4003,"&gt;="&amp;账期起,出库单!$C$4:$C$4003,"&lt;="&amp;账期止),0))</f>
        <v/>
      </c>
      <c r="T232" s="27">
        <f>IF($A232="","",SUMIFS(出库单!$J$4:$J$4003,出库单!$D$4:$D$4003,$A232,出库单!$K$4:$K$4003,"盘亏",出库单!$U$4:$U$4003,"正常",出库单!$C$4:$C$4003,"&gt;="&amp;账期起,出库单!$C$4:$C$4003,"&lt;="&amp;账期止))</f>
        <v/>
      </c>
      <c r="U232" s="26">
        <f>IF($A232="","",ROUND(SUMIFS(出库单!$S$4:$S$4003,出库单!$D$4:$D$4003,$A232,出库单!$K$4:$K$4003,"盘亏",出库单!$U$4:$U$4003,"正常",出库单!$C$4:$C$4003,"&gt;="&amp;账期起,出库单!$C$4:$C$4003,"&lt;="&amp;账期止),0))</f>
        <v/>
      </c>
      <c r="V232" s="27">
        <f>IF($A232="","",SUMIFS(出库单!$J$4:$J$4003,出库单!$D$4:$D$4003,$A232,出库单!$K$4:$K$4003,"退货给供应商",出库单!$U$4:$U$4003,"正常",出库单!$C$4:$C$4003,"&gt;="&amp;账期起,出库单!$C$4:$C$4003,"&lt;="&amp;账期止))</f>
        <v/>
      </c>
      <c r="W232" s="26">
        <f>IF($A232="","",ROUND(SUMIFS(出库单!$S$4:$S$4003,出库单!$D$4:$D$4003,$A232,出库单!$K$4:$K$4003,"退货给供应商",出库单!$U$4:$U$4003,"正常",出库单!$C$4:$C$4003,"&gt;="&amp;账期起,出库单!$C$4:$C$4003,"&lt;="&amp;账期止),0))</f>
        <v/>
      </c>
      <c r="X232" s="27">
        <f>IF($A232="","",ROUND(N($G232)+$I232+$L232+$N232-$P232-$R232-$T232-$V232,3))</f>
        <v/>
      </c>
      <c r="Y232" s="26">
        <f>IF($A232="","",ROUND(N($H232)+$J232+$M232+$O232-$Q232-$S232-$U232-$W232,0))</f>
        <v/>
      </c>
      <c r="Z232" s="24">
        <f>IF($A232="","",IF(COUNTIFS(入库单!$G$4:$G$2503,$A232,入库单!$Y$4:$Y$2503,"待补价")+COUNTIFS(入库单!$G$4:$G$2503,$A232,入库单!$Y$4:$Y$2503,"暂估")&gt;0,"不可信","可信"))</f>
        <v/>
      </c>
      <c r="AA232" s="24">
        <f>IF($A232="","",IF($X232&lt;-0.001,"※账面负库存，查一下是不是漏记入库",IF(AND(ROUND($X232,3)=0,ABS($Y232)&gt;1),"※数量已经是 0，金额还挂着 "&amp;TEXT($Y232,"#,##0")&amp;" 先令",IF(AND($X232&gt;0,$Y232&lt;=0,$K232=0),"※有数量没金额（这个物料一直没填过进价）",IF($Z232="不可信","△成本含待补价/暂估，毛利仅供参考","")))))</f>
        <v/>
      </c>
    </row>
    <row r="233">
      <c r="A233" s="24">
        <f>IF(物料档案!$A232="","",物料档案!$A232)</f>
        <v/>
      </c>
      <c r="B233" s="24">
        <f>IF($A233="","",IFERROR(VLOOKUP($A233,物料档案!$A$4:$P$1203,3,0),""))</f>
        <v/>
      </c>
      <c r="C233" s="24">
        <f>IF($A233="","",IFERROR(VLOOKUP($A233,物料档案!$A$4:$P$1203,4,0),""))</f>
        <v/>
      </c>
      <c r="D233" s="24">
        <f>IF($A233="","",IFERROR(VLOOKUP($A233,物料档案!$A$4:$P$1203,5,0),""))</f>
        <v/>
      </c>
      <c r="E233" s="24">
        <f>IF($A233="","",IFERROR(VLOOKUP($A233,物料档案!$A$4:$P$1203,2,0),""))</f>
        <v/>
      </c>
      <c r="F233" s="24">
        <f>IF($A233="","",IFERROR(VLOOKUP($A233,物料档案!$A$4:$P$1203,6,0),""))</f>
        <v/>
      </c>
      <c r="G233" s="23" t="n"/>
      <c r="H233" s="32" t="n"/>
      <c r="I233" s="27">
        <f>IF($A233="","",SUMIFS(入库单!$K$4:$K$2503,入库单!$G$4:$G$2503,$A233,入库单!$X$4:$X$2503,"采购入库",入库单!$Z$4:$Z$2503,"正常",入库单!$C$4:$C$2503,"&gt;="&amp;账期起,入库单!$C$4:$C$2503,"&lt;="&amp;账期止))</f>
        <v/>
      </c>
      <c r="J233" s="26">
        <f>IF($A233="","",SUMIFS(入库单!$V$4:$V$2503,入库单!$G$4:$G$2503,$A233,入库单!$X$4:$X$2503,"采购入库",入库单!$Z$4:$Z$2503,"正常",入库单!$C$4:$C$2503,"&gt;="&amp;账期起,入库单!$C$4:$C$2503,"&lt;="&amp;账期止))</f>
        <v/>
      </c>
      <c r="K233" s="26">
        <f>IF($A233="","",IFERROR(ROUND((N($H233)+N($J233))/(N($G233)+N($I233)),2),0))</f>
        <v/>
      </c>
      <c r="L233" s="27">
        <f>IF($A233="","",SUMIFS(入库单!$K$4:$K$2503,入库单!$G$4:$G$2503,$A233,入库单!$X$4:$X$2503,"盘盈",入库单!$Z$4:$Z$2503,"正常",入库单!$C$4:$C$2503,"&gt;="&amp;账期起,入库单!$C$4:$C$2503,"&lt;="&amp;账期止))</f>
        <v/>
      </c>
      <c r="M233" s="26">
        <f>IF($A233="","",ROUND($L233*$K233,0))</f>
        <v/>
      </c>
      <c r="N233" s="27">
        <f>IF($A233="","",SUMIFS(入库单!$K$4:$K$2503,入库单!$G$4:$G$2503,$A233,入库单!$X$4:$X$2503,"矿区退库",入库单!$Z$4:$Z$2503,"正常",入库单!$C$4:$C$2503,"&gt;="&amp;账期起,入库单!$C$4:$C$2503,"&lt;="&amp;账期止))</f>
        <v/>
      </c>
      <c r="O233" s="26">
        <f>IF($A233="","",ROUND($N233*$K233,0))</f>
        <v/>
      </c>
      <c r="P233" s="27">
        <f>IF($A233="","",SUMIFS(出库单!$J$4:$J$4003,出库单!$D$4:$D$4003,$A233,出库单!$K$4:$K$4003,"自用消耗",出库单!$U$4:$U$4003,"正常",出库单!$C$4:$C$4003,"&gt;="&amp;账期起,出库单!$C$4:$C$4003,"&lt;="&amp;账期止))</f>
        <v/>
      </c>
      <c r="Q233" s="26">
        <f>IF($A233="","",ROUND(SUMIFS(出库单!$S$4:$S$4003,出库单!$D$4:$D$4003,$A233,出库单!$K$4:$K$4003,"自用消耗",出库单!$U$4:$U$4003,"正常",出库单!$C$4:$C$4003,"&gt;="&amp;账期起,出库单!$C$4:$C$4003,"&lt;="&amp;账期止),0))</f>
        <v/>
      </c>
      <c r="R233" s="27">
        <f>IF($A233="","",SUMIFS(出库单!$J$4:$J$4003,出库单!$D$4:$D$4003,$A233,出库单!$K$4:$K$4003,"对外销售",出库单!$U$4:$U$4003,"正常",出库单!$C$4:$C$4003,"&gt;="&amp;账期起,出库单!$C$4:$C$4003,"&lt;="&amp;账期止))</f>
        <v/>
      </c>
      <c r="S233" s="26">
        <f>IF($A233="","",ROUND(SUMIFS(出库单!$S$4:$S$4003,出库单!$D$4:$D$4003,$A233,出库单!$K$4:$K$4003,"对外销售",出库单!$U$4:$U$4003,"正常",出库单!$C$4:$C$4003,"&gt;="&amp;账期起,出库单!$C$4:$C$4003,"&lt;="&amp;账期止),0))</f>
        <v/>
      </c>
      <c r="T233" s="27">
        <f>IF($A233="","",SUMIFS(出库单!$J$4:$J$4003,出库单!$D$4:$D$4003,$A233,出库单!$K$4:$K$4003,"盘亏",出库单!$U$4:$U$4003,"正常",出库单!$C$4:$C$4003,"&gt;="&amp;账期起,出库单!$C$4:$C$4003,"&lt;="&amp;账期止))</f>
        <v/>
      </c>
      <c r="U233" s="26">
        <f>IF($A233="","",ROUND(SUMIFS(出库单!$S$4:$S$4003,出库单!$D$4:$D$4003,$A233,出库单!$K$4:$K$4003,"盘亏",出库单!$U$4:$U$4003,"正常",出库单!$C$4:$C$4003,"&gt;="&amp;账期起,出库单!$C$4:$C$4003,"&lt;="&amp;账期止),0))</f>
        <v/>
      </c>
      <c r="V233" s="27">
        <f>IF($A233="","",SUMIFS(出库单!$J$4:$J$4003,出库单!$D$4:$D$4003,$A233,出库单!$K$4:$K$4003,"退货给供应商",出库单!$U$4:$U$4003,"正常",出库单!$C$4:$C$4003,"&gt;="&amp;账期起,出库单!$C$4:$C$4003,"&lt;="&amp;账期止))</f>
        <v/>
      </c>
      <c r="W233" s="26">
        <f>IF($A233="","",ROUND(SUMIFS(出库单!$S$4:$S$4003,出库单!$D$4:$D$4003,$A233,出库单!$K$4:$K$4003,"退货给供应商",出库单!$U$4:$U$4003,"正常",出库单!$C$4:$C$4003,"&gt;="&amp;账期起,出库单!$C$4:$C$4003,"&lt;="&amp;账期止),0))</f>
        <v/>
      </c>
      <c r="X233" s="27">
        <f>IF($A233="","",ROUND(N($G233)+$I233+$L233+$N233-$P233-$R233-$T233-$V233,3))</f>
        <v/>
      </c>
      <c r="Y233" s="26">
        <f>IF($A233="","",ROUND(N($H233)+$J233+$M233+$O233-$Q233-$S233-$U233-$W233,0))</f>
        <v/>
      </c>
      <c r="Z233" s="24">
        <f>IF($A233="","",IF(COUNTIFS(入库单!$G$4:$G$2503,$A233,入库单!$Y$4:$Y$2503,"待补价")+COUNTIFS(入库单!$G$4:$G$2503,$A233,入库单!$Y$4:$Y$2503,"暂估")&gt;0,"不可信","可信"))</f>
        <v/>
      </c>
      <c r="AA233" s="24">
        <f>IF($A233="","",IF($X233&lt;-0.001,"※账面负库存，查一下是不是漏记入库",IF(AND(ROUND($X233,3)=0,ABS($Y233)&gt;1),"※数量已经是 0，金额还挂着 "&amp;TEXT($Y233,"#,##0")&amp;" 先令",IF(AND($X233&gt;0,$Y233&lt;=0,$K233=0),"※有数量没金额（这个物料一直没填过进价）",IF($Z233="不可信","△成本含待补价/暂估，毛利仅供参考","")))))</f>
        <v/>
      </c>
    </row>
    <row r="234">
      <c r="A234" s="24">
        <f>IF(物料档案!$A233="","",物料档案!$A233)</f>
        <v/>
      </c>
      <c r="B234" s="24">
        <f>IF($A234="","",IFERROR(VLOOKUP($A234,物料档案!$A$4:$P$1203,3,0),""))</f>
        <v/>
      </c>
      <c r="C234" s="24">
        <f>IF($A234="","",IFERROR(VLOOKUP($A234,物料档案!$A$4:$P$1203,4,0),""))</f>
        <v/>
      </c>
      <c r="D234" s="24">
        <f>IF($A234="","",IFERROR(VLOOKUP($A234,物料档案!$A$4:$P$1203,5,0),""))</f>
        <v/>
      </c>
      <c r="E234" s="24">
        <f>IF($A234="","",IFERROR(VLOOKUP($A234,物料档案!$A$4:$P$1203,2,0),""))</f>
        <v/>
      </c>
      <c r="F234" s="24">
        <f>IF($A234="","",IFERROR(VLOOKUP($A234,物料档案!$A$4:$P$1203,6,0),""))</f>
        <v/>
      </c>
      <c r="G234" s="23" t="n"/>
      <c r="H234" s="32" t="n"/>
      <c r="I234" s="27">
        <f>IF($A234="","",SUMIFS(入库单!$K$4:$K$2503,入库单!$G$4:$G$2503,$A234,入库单!$X$4:$X$2503,"采购入库",入库单!$Z$4:$Z$2503,"正常",入库单!$C$4:$C$2503,"&gt;="&amp;账期起,入库单!$C$4:$C$2503,"&lt;="&amp;账期止))</f>
        <v/>
      </c>
      <c r="J234" s="26">
        <f>IF($A234="","",SUMIFS(入库单!$V$4:$V$2503,入库单!$G$4:$G$2503,$A234,入库单!$X$4:$X$2503,"采购入库",入库单!$Z$4:$Z$2503,"正常",入库单!$C$4:$C$2503,"&gt;="&amp;账期起,入库单!$C$4:$C$2503,"&lt;="&amp;账期止))</f>
        <v/>
      </c>
      <c r="K234" s="26">
        <f>IF($A234="","",IFERROR(ROUND((N($H234)+N($J234))/(N($G234)+N($I234)),2),0))</f>
        <v/>
      </c>
      <c r="L234" s="27">
        <f>IF($A234="","",SUMIFS(入库单!$K$4:$K$2503,入库单!$G$4:$G$2503,$A234,入库单!$X$4:$X$2503,"盘盈",入库单!$Z$4:$Z$2503,"正常",入库单!$C$4:$C$2503,"&gt;="&amp;账期起,入库单!$C$4:$C$2503,"&lt;="&amp;账期止))</f>
        <v/>
      </c>
      <c r="M234" s="26">
        <f>IF($A234="","",ROUND($L234*$K234,0))</f>
        <v/>
      </c>
      <c r="N234" s="27">
        <f>IF($A234="","",SUMIFS(入库单!$K$4:$K$2503,入库单!$G$4:$G$2503,$A234,入库单!$X$4:$X$2503,"矿区退库",入库单!$Z$4:$Z$2503,"正常",入库单!$C$4:$C$2503,"&gt;="&amp;账期起,入库单!$C$4:$C$2503,"&lt;="&amp;账期止))</f>
        <v/>
      </c>
      <c r="O234" s="26">
        <f>IF($A234="","",ROUND($N234*$K234,0))</f>
        <v/>
      </c>
      <c r="P234" s="27">
        <f>IF($A234="","",SUMIFS(出库单!$J$4:$J$4003,出库单!$D$4:$D$4003,$A234,出库单!$K$4:$K$4003,"自用消耗",出库单!$U$4:$U$4003,"正常",出库单!$C$4:$C$4003,"&gt;="&amp;账期起,出库单!$C$4:$C$4003,"&lt;="&amp;账期止))</f>
        <v/>
      </c>
      <c r="Q234" s="26">
        <f>IF($A234="","",ROUND(SUMIFS(出库单!$S$4:$S$4003,出库单!$D$4:$D$4003,$A234,出库单!$K$4:$K$4003,"自用消耗",出库单!$U$4:$U$4003,"正常",出库单!$C$4:$C$4003,"&gt;="&amp;账期起,出库单!$C$4:$C$4003,"&lt;="&amp;账期止),0))</f>
        <v/>
      </c>
      <c r="R234" s="27">
        <f>IF($A234="","",SUMIFS(出库单!$J$4:$J$4003,出库单!$D$4:$D$4003,$A234,出库单!$K$4:$K$4003,"对外销售",出库单!$U$4:$U$4003,"正常",出库单!$C$4:$C$4003,"&gt;="&amp;账期起,出库单!$C$4:$C$4003,"&lt;="&amp;账期止))</f>
        <v/>
      </c>
      <c r="S234" s="26">
        <f>IF($A234="","",ROUND(SUMIFS(出库单!$S$4:$S$4003,出库单!$D$4:$D$4003,$A234,出库单!$K$4:$K$4003,"对外销售",出库单!$U$4:$U$4003,"正常",出库单!$C$4:$C$4003,"&gt;="&amp;账期起,出库单!$C$4:$C$4003,"&lt;="&amp;账期止),0))</f>
        <v/>
      </c>
      <c r="T234" s="27">
        <f>IF($A234="","",SUMIFS(出库单!$J$4:$J$4003,出库单!$D$4:$D$4003,$A234,出库单!$K$4:$K$4003,"盘亏",出库单!$U$4:$U$4003,"正常",出库单!$C$4:$C$4003,"&gt;="&amp;账期起,出库单!$C$4:$C$4003,"&lt;="&amp;账期止))</f>
        <v/>
      </c>
      <c r="U234" s="26">
        <f>IF($A234="","",ROUND(SUMIFS(出库单!$S$4:$S$4003,出库单!$D$4:$D$4003,$A234,出库单!$K$4:$K$4003,"盘亏",出库单!$U$4:$U$4003,"正常",出库单!$C$4:$C$4003,"&gt;="&amp;账期起,出库单!$C$4:$C$4003,"&lt;="&amp;账期止),0))</f>
        <v/>
      </c>
      <c r="V234" s="27">
        <f>IF($A234="","",SUMIFS(出库单!$J$4:$J$4003,出库单!$D$4:$D$4003,$A234,出库单!$K$4:$K$4003,"退货给供应商",出库单!$U$4:$U$4003,"正常",出库单!$C$4:$C$4003,"&gt;="&amp;账期起,出库单!$C$4:$C$4003,"&lt;="&amp;账期止))</f>
        <v/>
      </c>
      <c r="W234" s="26">
        <f>IF($A234="","",ROUND(SUMIFS(出库单!$S$4:$S$4003,出库单!$D$4:$D$4003,$A234,出库单!$K$4:$K$4003,"退货给供应商",出库单!$U$4:$U$4003,"正常",出库单!$C$4:$C$4003,"&gt;="&amp;账期起,出库单!$C$4:$C$4003,"&lt;="&amp;账期止),0))</f>
        <v/>
      </c>
      <c r="X234" s="27">
        <f>IF($A234="","",ROUND(N($G234)+$I234+$L234+$N234-$P234-$R234-$T234-$V234,3))</f>
        <v/>
      </c>
      <c r="Y234" s="26">
        <f>IF($A234="","",ROUND(N($H234)+$J234+$M234+$O234-$Q234-$S234-$U234-$W234,0))</f>
        <v/>
      </c>
      <c r="Z234" s="24">
        <f>IF($A234="","",IF(COUNTIFS(入库单!$G$4:$G$2503,$A234,入库单!$Y$4:$Y$2503,"待补价")+COUNTIFS(入库单!$G$4:$G$2503,$A234,入库单!$Y$4:$Y$2503,"暂估")&gt;0,"不可信","可信"))</f>
        <v/>
      </c>
      <c r="AA234" s="24">
        <f>IF($A234="","",IF($X234&lt;-0.001,"※账面负库存，查一下是不是漏记入库",IF(AND(ROUND($X234,3)=0,ABS($Y234)&gt;1),"※数量已经是 0，金额还挂着 "&amp;TEXT($Y234,"#,##0")&amp;" 先令",IF(AND($X234&gt;0,$Y234&lt;=0,$K234=0),"※有数量没金额（这个物料一直没填过进价）",IF($Z234="不可信","△成本含待补价/暂估，毛利仅供参考","")))))</f>
        <v/>
      </c>
    </row>
    <row r="235">
      <c r="A235" s="24">
        <f>IF(物料档案!$A234="","",物料档案!$A234)</f>
        <v/>
      </c>
      <c r="B235" s="24">
        <f>IF($A235="","",IFERROR(VLOOKUP($A235,物料档案!$A$4:$P$1203,3,0),""))</f>
        <v/>
      </c>
      <c r="C235" s="24">
        <f>IF($A235="","",IFERROR(VLOOKUP($A235,物料档案!$A$4:$P$1203,4,0),""))</f>
        <v/>
      </c>
      <c r="D235" s="24">
        <f>IF($A235="","",IFERROR(VLOOKUP($A235,物料档案!$A$4:$P$1203,5,0),""))</f>
        <v/>
      </c>
      <c r="E235" s="24">
        <f>IF($A235="","",IFERROR(VLOOKUP($A235,物料档案!$A$4:$P$1203,2,0),""))</f>
        <v/>
      </c>
      <c r="F235" s="24">
        <f>IF($A235="","",IFERROR(VLOOKUP($A235,物料档案!$A$4:$P$1203,6,0),""))</f>
        <v/>
      </c>
      <c r="G235" s="23" t="n"/>
      <c r="H235" s="32" t="n"/>
      <c r="I235" s="27">
        <f>IF($A235="","",SUMIFS(入库单!$K$4:$K$2503,入库单!$G$4:$G$2503,$A235,入库单!$X$4:$X$2503,"采购入库",入库单!$Z$4:$Z$2503,"正常",入库单!$C$4:$C$2503,"&gt;="&amp;账期起,入库单!$C$4:$C$2503,"&lt;="&amp;账期止))</f>
        <v/>
      </c>
      <c r="J235" s="26">
        <f>IF($A235="","",SUMIFS(入库单!$V$4:$V$2503,入库单!$G$4:$G$2503,$A235,入库单!$X$4:$X$2503,"采购入库",入库单!$Z$4:$Z$2503,"正常",入库单!$C$4:$C$2503,"&gt;="&amp;账期起,入库单!$C$4:$C$2503,"&lt;="&amp;账期止))</f>
        <v/>
      </c>
      <c r="K235" s="26">
        <f>IF($A235="","",IFERROR(ROUND((N($H235)+N($J235))/(N($G235)+N($I235)),2),0))</f>
        <v/>
      </c>
      <c r="L235" s="27">
        <f>IF($A235="","",SUMIFS(入库单!$K$4:$K$2503,入库单!$G$4:$G$2503,$A235,入库单!$X$4:$X$2503,"盘盈",入库单!$Z$4:$Z$2503,"正常",入库单!$C$4:$C$2503,"&gt;="&amp;账期起,入库单!$C$4:$C$2503,"&lt;="&amp;账期止))</f>
        <v/>
      </c>
      <c r="M235" s="26">
        <f>IF($A235="","",ROUND($L235*$K235,0))</f>
        <v/>
      </c>
      <c r="N235" s="27">
        <f>IF($A235="","",SUMIFS(入库单!$K$4:$K$2503,入库单!$G$4:$G$2503,$A235,入库单!$X$4:$X$2503,"矿区退库",入库单!$Z$4:$Z$2503,"正常",入库单!$C$4:$C$2503,"&gt;="&amp;账期起,入库单!$C$4:$C$2503,"&lt;="&amp;账期止))</f>
        <v/>
      </c>
      <c r="O235" s="26">
        <f>IF($A235="","",ROUND($N235*$K235,0))</f>
        <v/>
      </c>
      <c r="P235" s="27">
        <f>IF($A235="","",SUMIFS(出库单!$J$4:$J$4003,出库单!$D$4:$D$4003,$A235,出库单!$K$4:$K$4003,"自用消耗",出库单!$U$4:$U$4003,"正常",出库单!$C$4:$C$4003,"&gt;="&amp;账期起,出库单!$C$4:$C$4003,"&lt;="&amp;账期止))</f>
        <v/>
      </c>
      <c r="Q235" s="26">
        <f>IF($A235="","",ROUND(SUMIFS(出库单!$S$4:$S$4003,出库单!$D$4:$D$4003,$A235,出库单!$K$4:$K$4003,"自用消耗",出库单!$U$4:$U$4003,"正常",出库单!$C$4:$C$4003,"&gt;="&amp;账期起,出库单!$C$4:$C$4003,"&lt;="&amp;账期止),0))</f>
        <v/>
      </c>
      <c r="R235" s="27">
        <f>IF($A235="","",SUMIFS(出库单!$J$4:$J$4003,出库单!$D$4:$D$4003,$A235,出库单!$K$4:$K$4003,"对外销售",出库单!$U$4:$U$4003,"正常",出库单!$C$4:$C$4003,"&gt;="&amp;账期起,出库单!$C$4:$C$4003,"&lt;="&amp;账期止))</f>
        <v/>
      </c>
      <c r="S235" s="26">
        <f>IF($A235="","",ROUND(SUMIFS(出库单!$S$4:$S$4003,出库单!$D$4:$D$4003,$A235,出库单!$K$4:$K$4003,"对外销售",出库单!$U$4:$U$4003,"正常",出库单!$C$4:$C$4003,"&gt;="&amp;账期起,出库单!$C$4:$C$4003,"&lt;="&amp;账期止),0))</f>
        <v/>
      </c>
      <c r="T235" s="27">
        <f>IF($A235="","",SUMIFS(出库单!$J$4:$J$4003,出库单!$D$4:$D$4003,$A235,出库单!$K$4:$K$4003,"盘亏",出库单!$U$4:$U$4003,"正常",出库单!$C$4:$C$4003,"&gt;="&amp;账期起,出库单!$C$4:$C$4003,"&lt;="&amp;账期止))</f>
        <v/>
      </c>
      <c r="U235" s="26">
        <f>IF($A235="","",ROUND(SUMIFS(出库单!$S$4:$S$4003,出库单!$D$4:$D$4003,$A235,出库单!$K$4:$K$4003,"盘亏",出库单!$U$4:$U$4003,"正常",出库单!$C$4:$C$4003,"&gt;="&amp;账期起,出库单!$C$4:$C$4003,"&lt;="&amp;账期止),0))</f>
        <v/>
      </c>
      <c r="V235" s="27">
        <f>IF($A235="","",SUMIFS(出库单!$J$4:$J$4003,出库单!$D$4:$D$4003,$A235,出库单!$K$4:$K$4003,"退货给供应商",出库单!$U$4:$U$4003,"正常",出库单!$C$4:$C$4003,"&gt;="&amp;账期起,出库单!$C$4:$C$4003,"&lt;="&amp;账期止))</f>
        <v/>
      </c>
      <c r="W235" s="26">
        <f>IF($A235="","",ROUND(SUMIFS(出库单!$S$4:$S$4003,出库单!$D$4:$D$4003,$A235,出库单!$K$4:$K$4003,"退货给供应商",出库单!$U$4:$U$4003,"正常",出库单!$C$4:$C$4003,"&gt;="&amp;账期起,出库单!$C$4:$C$4003,"&lt;="&amp;账期止),0))</f>
        <v/>
      </c>
      <c r="X235" s="27">
        <f>IF($A235="","",ROUND(N($G235)+$I235+$L235+$N235-$P235-$R235-$T235-$V235,3))</f>
        <v/>
      </c>
      <c r="Y235" s="26">
        <f>IF($A235="","",ROUND(N($H235)+$J235+$M235+$O235-$Q235-$S235-$U235-$W235,0))</f>
        <v/>
      </c>
      <c r="Z235" s="24">
        <f>IF($A235="","",IF(COUNTIFS(入库单!$G$4:$G$2503,$A235,入库单!$Y$4:$Y$2503,"待补价")+COUNTIFS(入库单!$G$4:$G$2503,$A235,入库单!$Y$4:$Y$2503,"暂估")&gt;0,"不可信","可信"))</f>
        <v/>
      </c>
      <c r="AA235" s="24">
        <f>IF($A235="","",IF($X235&lt;-0.001,"※账面负库存，查一下是不是漏记入库",IF(AND(ROUND($X235,3)=0,ABS($Y235)&gt;1),"※数量已经是 0，金额还挂着 "&amp;TEXT($Y235,"#,##0")&amp;" 先令",IF(AND($X235&gt;0,$Y235&lt;=0,$K235=0),"※有数量没金额（这个物料一直没填过进价）",IF($Z235="不可信","△成本含待补价/暂估，毛利仅供参考","")))))</f>
        <v/>
      </c>
    </row>
    <row r="236">
      <c r="A236" s="24">
        <f>IF(物料档案!$A235="","",物料档案!$A235)</f>
        <v/>
      </c>
      <c r="B236" s="24">
        <f>IF($A236="","",IFERROR(VLOOKUP($A236,物料档案!$A$4:$P$1203,3,0),""))</f>
        <v/>
      </c>
      <c r="C236" s="24">
        <f>IF($A236="","",IFERROR(VLOOKUP($A236,物料档案!$A$4:$P$1203,4,0),""))</f>
        <v/>
      </c>
      <c r="D236" s="24">
        <f>IF($A236="","",IFERROR(VLOOKUP($A236,物料档案!$A$4:$P$1203,5,0),""))</f>
        <v/>
      </c>
      <c r="E236" s="24">
        <f>IF($A236="","",IFERROR(VLOOKUP($A236,物料档案!$A$4:$P$1203,2,0),""))</f>
        <v/>
      </c>
      <c r="F236" s="24">
        <f>IF($A236="","",IFERROR(VLOOKUP($A236,物料档案!$A$4:$P$1203,6,0),""))</f>
        <v/>
      </c>
      <c r="G236" s="23" t="n"/>
      <c r="H236" s="32" t="n"/>
      <c r="I236" s="27">
        <f>IF($A236="","",SUMIFS(入库单!$K$4:$K$2503,入库单!$G$4:$G$2503,$A236,入库单!$X$4:$X$2503,"采购入库",入库单!$Z$4:$Z$2503,"正常",入库单!$C$4:$C$2503,"&gt;="&amp;账期起,入库单!$C$4:$C$2503,"&lt;="&amp;账期止))</f>
        <v/>
      </c>
      <c r="J236" s="26">
        <f>IF($A236="","",SUMIFS(入库单!$V$4:$V$2503,入库单!$G$4:$G$2503,$A236,入库单!$X$4:$X$2503,"采购入库",入库单!$Z$4:$Z$2503,"正常",入库单!$C$4:$C$2503,"&gt;="&amp;账期起,入库单!$C$4:$C$2503,"&lt;="&amp;账期止))</f>
        <v/>
      </c>
      <c r="K236" s="26">
        <f>IF($A236="","",IFERROR(ROUND((N($H236)+N($J236))/(N($G236)+N($I236)),2),0))</f>
        <v/>
      </c>
      <c r="L236" s="27">
        <f>IF($A236="","",SUMIFS(入库单!$K$4:$K$2503,入库单!$G$4:$G$2503,$A236,入库单!$X$4:$X$2503,"盘盈",入库单!$Z$4:$Z$2503,"正常",入库单!$C$4:$C$2503,"&gt;="&amp;账期起,入库单!$C$4:$C$2503,"&lt;="&amp;账期止))</f>
        <v/>
      </c>
      <c r="M236" s="26">
        <f>IF($A236="","",ROUND($L236*$K236,0))</f>
        <v/>
      </c>
      <c r="N236" s="27">
        <f>IF($A236="","",SUMIFS(入库单!$K$4:$K$2503,入库单!$G$4:$G$2503,$A236,入库单!$X$4:$X$2503,"矿区退库",入库单!$Z$4:$Z$2503,"正常",入库单!$C$4:$C$2503,"&gt;="&amp;账期起,入库单!$C$4:$C$2503,"&lt;="&amp;账期止))</f>
        <v/>
      </c>
      <c r="O236" s="26">
        <f>IF($A236="","",ROUND($N236*$K236,0))</f>
        <v/>
      </c>
      <c r="P236" s="27">
        <f>IF($A236="","",SUMIFS(出库单!$J$4:$J$4003,出库单!$D$4:$D$4003,$A236,出库单!$K$4:$K$4003,"自用消耗",出库单!$U$4:$U$4003,"正常",出库单!$C$4:$C$4003,"&gt;="&amp;账期起,出库单!$C$4:$C$4003,"&lt;="&amp;账期止))</f>
        <v/>
      </c>
      <c r="Q236" s="26">
        <f>IF($A236="","",ROUND(SUMIFS(出库单!$S$4:$S$4003,出库单!$D$4:$D$4003,$A236,出库单!$K$4:$K$4003,"自用消耗",出库单!$U$4:$U$4003,"正常",出库单!$C$4:$C$4003,"&gt;="&amp;账期起,出库单!$C$4:$C$4003,"&lt;="&amp;账期止),0))</f>
        <v/>
      </c>
      <c r="R236" s="27">
        <f>IF($A236="","",SUMIFS(出库单!$J$4:$J$4003,出库单!$D$4:$D$4003,$A236,出库单!$K$4:$K$4003,"对外销售",出库单!$U$4:$U$4003,"正常",出库单!$C$4:$C$4003,"&gt;="&amp;账期起,出库单!$C$4:$C$4003,"&lt;="&amp;账期止))</f>
        <v/>
      </c>
      <c r="S236" s="26">
        <f>IF($A236="","",ROUND(SUMIFS(出库单!$S$4:$S$4003,出库单!$D$4:$D$4003,$A236,出库单!$K$4:$K$4003,"对外销售",出库单!$U$4:$U$4003,"正常",出库单!$C$4:$C$4003,"&gt;="&amp;账期起,出库单!$C$4:$C$4003,"&lt;="&amp;账期止),0))</f>
        <v/>
      </c>
      <c r="T236" s="27">
        <f>IF($A236="","",SUMIFS(出库单!$J$4:$J$4003,出库单!$D$4:$D$4003,$A236,出库单!$K$4:$K$4003,"盘亏",出库单!$U$4:$U$4003,"正常",出库单!$C$4:$C$4003,"&gt;="&amp;账期起,出库单!$C$4:$C$4003,"&lt;="&amp;账期止))</f>
        <v/>
      </c>
      <c r="U236" s="26">
        <f>IF($A236="","",ROUND(SUMIFS(出库单!$S$4:$S$4003,出库单!$D$4:$D$4003,$A236,出库单!$K$4:$K$4003,"盘亏",出库单!$U$4:$U$4003,"正常",出库单!$C$4:$C$4003,"&gt;="&amp;账期起,出库单!$C$4:$C$4003,"&lt;="&amp;账期止),0))</f>
        <v/>
      </c>
      <c r="V236" s="27">
        <f>IF($A236="","",SUMIFS(出库单!$J$4:$J$4003,出库单!$D$4:$D$4003,$A236,出库单!$K$4:$K$4003,"退货给供应商",出库单!$U$4:$U$4003,"正常",出库单!$C$4:$C$4003,"&gt;="&amp;账期起,出库单!$C$4:$C$4003,"&lt;="&amp;账期止))</f>
        <v/>
      </c>
      <c r="W236" s="26">
        <f>IF($A236="","",ROUND(SUMIFS(出库单!$S$4:$S$4003,出库单!$D$4:$D$4003,$A236,出库单!$K$4:$K$4003,"退货给供应商",出库单!$U$4:$U$4003,"正常",出库单!$C$4:$C$4003,"&gt;="&amp;账期起,出库单!$C$4:$C$4003,"&lt;="&amp;账期止),0))</f>
        <v/>
      </c>
      <c r="X236" s="27">
        <f>IF($A236="","",ROUND(N($G236)+$I236+$L236+$N236-$P236-$R236-$T236-$V236,3))</f>
        <v/>
      </c>
      <c r="Y236" s="26">
        <f>IF($A236="","",ROUND(N($H236)+$J236+$M236+$O236-$Q236-$S236-$U236-$W236,0))</f>
        <v/>
      </c>
      <c r="Z236" s="24">
        <f>IF($A236="","",IF(COUNTIFS(入库单!$G$4:$G$2503,$A236,入库单!$Y$4:$Y$2503,"待补价")+COUNTIFS(入库单!$G$4:$G$2503,$A236,入库单!$Y$4:$Y$2503,"暂估")&gt;0,"不可信","可信"))</f>
        <v/>
      </c>
      <c r="AA236" s="24">
        <f>IF($A236="","",IF($X236&lt;-0.001,"※账面负库存，查一下是不是漏记入库",IF(AND(ROUND($X236,3)=0,ABS($Y236)&gt;1),"※数量已经是 0，金额还挂着 "&amp;TEXT($Y236,"#,##0")&amp;" 先令",IF(AND($X236&gt;0,$Y236&lt;=0,$K236=0),"※有数量没金额（这个物料一直没填过进价）",IF($Z236="不可信","△成本含待补价/暂估，毛利仅供参考","")))))</f>
        <v/>
      </c>
    </row>
    <row r="237">
      <c r="A237" s="24">
        <f>IF(物料档案!$A236="","",物料档案!$A236)</f>
        <v/>
      </c>
      <c r="B237" s="24">
        <f>IF($A237="","",IFERROR(VLOOKUP($A237,物料档案!$A$4:$P$1203,3,0),""))</f>
        <v/>
      </c>
      <c r="C237" s="24">
        <f>IF($A237="","",IFERROR(VLOOKUP($A237,物料档案!$A$4:$P$1203,4,0),""))</f>
        <v/>
      </c>
      <c r="D237" s="24">
        <f>IF($A237="","",IFERROR(VLOOKUP($A237,物料档案!$A$4:$P$1203,5,0),""))</f>
        <v/>
      </c>
      <c r="E237" s="24">
        <f>IF($A237="","",IFERROR(VLOOKUP($A237,物料档案!$A$4:$P$1203,2,0),""))</f>
        <v/>
      </c>
      <c r="F237" s="24">
        <f>IF($A237="","",IFERROR(VLOOKUP($A237,物料档案!$A$4:$P$1203,6,0),""))</f>
        <v/>
      </c>
      <c r="G237" s="23" t="n"/>
      <c r="H237" s="32" t="n"/>
      <c r="I237" s="27">
        <f>IF($A237="","",SUMIFS(入库单!$K$4:$K$2503,入库单!$G$4:$G$2503,$A237,入库单!$X$4:$X$2503,"采购入库",入库单!$Z$4:$Z$2503,"正常",入库单!$C$4:$C$2503,"&gt;="&amp;账期起,入库单!$C$4:$C$2503,"&lt;="&amp;账期止))</f>
        <v/>
      </c>
      <c r="J237" s="26">
        <f>IF($A237="","",SUMIFS(入库单!$V$4:$V$2503,入库单!$G$4:$G$2503,$A237,入库单!$X$4:$X$2503,"采购入库",入库单!$Z$4:$Z$2503,"正常",入库单!$C$4:$C$2503,"&gt;="&amp;账期起,入库单!$C$4:$C$2503,"&lt;="&amp;账期止))</f>
        <v/>
      </c>
      <c r="K237" s="26">
        <f>IF($A237="","",IFERROR(ROUND((N($H237)+N($J237))/(N($G237)+N($I237)),2),0))</f>
        <v/>
      </c>
      <c r="L237" s="27">
        <f>IF($A237="","",SUMIFS(入库单!$K$4:$K$2503,入库单!$G$4:$G$2503,$A237,入库单!$X$4:$X$2503,"盘盈",入库单!$Z$4:$Z$2503,"正常",入库单!$C$4:$C$2503,"&gt;="&amp;账期起,入库单!$C$4:$C$2503,"&lt;="&amp;账期止))</f>
        <v/>
      </c>
      <c r="M237" s="26">
        <f>IF($A237="","",ROUND($L237*$K237,0))</f>
        <v/>
      </c>
      <c r="N237" s="27">
        <f>IF($A237="","",SUMIFS(入库单!$K$4:$K$2503,入库单!$G$4:$G$2503,$A237,入库单!$X$4:$X$2503,"矿区退库",入库单!$Z$4:$Z$2503,"正常",入库单!$C$4:$C$2503,"&gt;="&amp;账期起,入库单!$C$4:$C$2503,"&lt;="&amp;账期止))</f>
        <v/>
      </c>
      <c r="O237" s="26">
        <f>IF($A237="","",ROUND($N237*$K237,0))</f>
        <v/>
      </c>
      <c r="P237" s="27">
        <f>IF($A237="","",SUMIFS(出库单!$J$4:$J$4003,出库单!$D$4:$D$4003,$A237,出库单!$K$4:$K$4003,"自用消耗",出库单!$U$4:$U$4003,"正常",出库单!$C$4:$C$4003,"&gt;="&amp;账期起,出库单!$C$4:$C$4003,"&lt;="&amp;账期止))</f>
        <v/>
      </c>
      <c r="Q237" s="26">
        <f>IF($A237="","",ROUND(SUMIFS(出库单!$S$4:$S$4003,出库单!$D$4:$D$4003,$A237,出库单!$K$4:$K$4003,"自用消耗",出库单!$U$4:$U$4003,"正常",出库单!$C$4:$C$4003,"&gt;="&amp;账期起,出库单!$C$4:$C$4003,"&lt;="&amp;账期止),0))</f>
        <v/>
      </c>
      <c r="R237" s="27">
        <f>IF($A237="","",SUMIFS(出库单!$J$4:$J$4003,出库单!$D$4:$D$4003,$A237,出库单!$K$4:$K$4003,"对外销售",出库单!$U$4:$U$4003,"正常",出库单!$C$4:$C$4003,"&gt;="&amp;账期起,出库单!$C$4:$C$4003,"&lt;="&amp;账期止))</f>
        <v/>
      </c>
      <c r="S237" s="26">
        <f>IF($A237="","",ROUND(SUMIFS(出库单!$S$4:$S$4003,出库单!$D$4:$D$4003,$A237,出库单!$K$4:$K$4003,"对外销售",出库单!$U$4:$U$4003,"正常",出库单!$C$4:$C$4003,"&gt;="&amp;账期起,出库单!$C$4:$C$4003,"&lt;="&amp;账期止),0))</f>
        <v/>
      </c>
      <c r="T237" s="27">
        <f>IF($A237="","",SUMIFS(出库单!$J$4:$J$4003,出库单!$D$4:$D$4003,$A237,出库单!$K$4:$K$4003,"盘亏",出库单!$U$4:$U$4003,"正常",出库单!$C$4:$C$4003,"&gt;="&amp;账期起,出库单!$C$4:$C$4003,"&lt;="&amp;账期止))</f>
        <v/>
      </c>
      <c r="U237" s="26">
        <f>IF($A237="","",ROUND(SUMIFS(出库单!$S$4:$S$4003,出库单!$D$4:$D$4003,$A237,出库单!$K$4:$K$4003,"盘亏",出库单!$U$4:$U$4003,"正常",出库单!$C$4:$C$4003,"&gt;="&amp;账期起,出库单!$C$4:$C$4003,"&lt;="&amp;账期止),0))</f>
        <v/>
      </c>
      <c r="V237" s="27">
        <f>IF($A237="","",SUMIFS(出库单!$J$4:$J$4003,出库单!$D$4:$D$4003,$A237,出库单!$K$4:$K$4003,"退货给供应商",出库单!$U$4:$U$4003,"正常",出库单!$C$4:$C$4003,"&gt;="&amp;账期起,出库单!$C$4:$C$4003,"&lt;="&amp;账期止))</f>
        <v/>
      </c>
      <c r="W237" s="26">
        <f>IF($A237="","",ROUND(SUMIFS(出库单!$S$4:$S$4003,出库单!$D$4:$D$4003,$A237,出库单!$K$4:$K$4003,"退货给供应商",出库单!$U$4:$U$4003,"正常",出库单!$C$4:$C$4003,"&gt;="&amp;账期起,出库单!$C$4:$C$4003,"&lt;="&amp;账期止),0))</f>
        <v/>
      </c>
      <c r="X237" s="27">
        <f>IF($A237="","",ROUND(N($G237)+$I237+$L237+$N237-$P237-$R237-$T237-$V237,3))</f>
        <v/>
      </c>
      <c r="Y237" s="26">
        <f>IF($A237="","",ROUND(N($H237)+$J237+$M237+$O237-$Q237-$S237-$U237-$W237,0))</f>
        <v/>
      </c>
      <c r="Z237" s="24">
        <f>IF($A237="","",IF(COUNTIFS(入库单!$G$4:$G$2503,$A237,入库单!$Y$4:$Y$2503,"待补价")+COUNTIFS(入库单!$G$4:$G$2503,$A237,入库单!$Y$4:$Y$2503,"暂估")&gt;0,"不可信","可信"))</f>
        <v/>
      </c>
      <c r="AA237" s="24">
        <f>IF($A237="","",IF($X237&lt;-0.001,"※账面负库存，查一下是不是漏记入库",IF(AND(ROUND($X237,3)=0,ABS($Y237)&gt;1),"※数量已经是 0，金额还挂着 "&amp;TEXT($Y237,"#,##0")&amp;" 先令",IF(AND($X237&gt;0,$Y237&lt;=0,$K237=0),"※有数量没金额（这个物料一直没填过进价）",IF($Z237="不可信","△成本含待补价/暂估，毛利仅供参考","")))))</f>
        <v/>
      </c>
    </row>
    <row r="238">
      <c r="A238" s="24">
        <f>IF(物料档案!$A237="","",物料档案!$A237)</f>
        <v/>
      </c>
      <c r="B238" s="24">
        <f>IF($A238="","",IFERROR(VLOOKUP($A238,物料档案!$A$4:$P$1203,3,0),""))</f>
        <v/>
      </c>
      <c r="C238" s="24">
        <f>IF($A238="","",IFERROR(VLOOKUP($A238,物料档案!$A$4:$P$1203,4,0),""))</f>
        <v/>
      </c>
      <c r="D238" s="24">
        <f>IF($A238="","",IFERROR(VLOOKUP($A238,物料档案!$A$4:$P$1203,5,0),""))</f>
        <v/>
      </c>
      <c r="E238" s="24">
        <f>IF($A238="","",IFERROR(VLOOKUP($A238,物料档案!$A$4:$P$1203,2,0),""))</f>
        <v/>
      </c>
      <c r="F238" s="24">
        <f>IF($A238="","",IFERROR(VLOOKUP($A238,物料档案!$A$4:$P$1203,6,0),""))</f>
        <v/>
      </c>
      <c r="G238" s="23" t="n"/>
      <c r="H238" s="32" t="n"/>
      <c r="I238" s="27">
        <f>IF($A238="","",SUMIFS(入库单!$K$4:$K$2503,入库单!$G$4:$G$2503,$A238,入库单!$X$4:$X$2503,"采购入库",入库单!$Z$4:$Z$2503,"正常",入库单!$C$4:$C$2503,"&gt;="&amp;账期起,入库单!$C$4:$C$2503,"&lt;="&amp;账期止))</f>
        <v/>
      </c>
      <c r="J238" s="26">
        <f>IF($A238="","",SUMIFS(入库单!$V$4:$V$2503,入库单!$G$4:$G$2503,$A238,入库单!$X$4:$X$2503,"采购入库",入库单!$Z$4:$Z$2503,"正常",入库单!$C$4:$C$2503,"&gt;="&amp;账期起,入库单!$C$4:$C$2503,"&lt;="&amp;账期止))</f>
        <v/>
      </c>
      <c r="K238" s="26">
        <f>IF($A238="","",IFERROR(ROUND((N($H238)+N($J238))/(N($G238)+N($I238)),2),0))</f>
        <v/>
      </c>
      <c r="L238" s="27">
        <f>IF($A238="","",SUMIFS(入库单!$K$4:$K$2503,入库单!$G$4:$G$2503,$A238,入库单!$X$4:$X$2503,"盘盈",入库单!$Z$4:$Z$2503,"正常",入库单!$C$4:$C$2503,"&gt;="&amp;账期起,入库单!$C$4:$C$2503,"&lt;="&amp;账期止))</f>
        <v/>
      </c>
      <c r="M238" s="26">
        <f>IF($A238="","",ROUND($L238*$K238,0))</f>
        <v/>
      </c>
      <c r="N238" s="27">
        <f>IF($A238="","",SUMIFS(入库单!$K$4:$K$2503,入库单!$G$4:$G$2503,$A238,入库单!$X$4:$X$2503,"矿区退库",入库单!$Z$4:$Z$2503,"正常",入库单!$C$4:$C$2503,"&gt;="&amp;账期起,入库单!$C$4:$C$2503,"&lt;="&amp;账期止))</f>
        <v/>
      </c>
      <c r="O238" s="26">
        <f>IF($A238="","",ROUND($N238*$K238,0))</f>
        <v/>
      </c>
      <c r="P238" s="27">
        <f>IF($A238="","",SUMIFS(出库单!$J$4:$J$4003,出库单!$D$4:$D$4003,$A238,出库单!$K$4:$K$4003,"自用消耗",出库单!$U$4:$U$4003,"正常",出库单!$C$4:$C$4003,"&gt;="&amp;账期起,出库单!$C$4:$C$4003,"&lt;="&amp;账期止))</f>
        <v/>
      </c>
      <c r="Q238" s="26">
        <f>IF($A238="","",ROUND(SUMIFS(出库单!$S$4:$S$4003,出库单!$D$4:$D$4003,$A238,出库单!$K$4:$K$4003,"自用消耗",出库单!$U$4:$U$4003,"正常",出库单!$C$4:$C$4003,"&gt;="&amp;账期起,出库单!$C$4:$C$4003,"&lt;="&amp;账期止),0))</f>
        <v/>
      </c>
      <c r="R238" s="27">
        <f>IF($A238="","",SUMIFS(出库单!$J$4:$J$4003,出库单!$D$4:$D$4003,$A238,出库单!$K$4:$K$4003,"对外销售",出库单!$U$4:$U$4003,"正常",出库单!$C$4:$C$4003,"&gt;="&amp;账期起,出库单!$C$4:$C$4003,"&lt;="&amp;账期止))</f>
        <v/>
      </c>
      <c r="S238" s="26">
        <f>IF($A238="","",ROUND(SUMIFS(出库单!$S$4:$S$4003,出库单!$D$4:$D$4003,$A238,出库单!$K$4:$K$4003,"对外销售",出库单!$U$4:$U$4003,"正常",出库单!$C$4:$C$4003,"&gt;="&amp;账期起,出库单!$C$4:$C$4003,"&lt;="&amp;账期止),0))</f>
        <v/>
      </c>
      <c r="T238" s="27">
        <f>IF($A238="","",SUMIFS(出库单!$J$4:$J$4003,出库单!$D$4:$D$4003,$A238,出库单!$K$4:$K$4003,"盘亏",出库单!$U$4:$U$4003,"正常",出库单!$C$4:$C$4003,"&gt;="&amp;账期起,出库单!$C$4:$C$4003,"&lt;="&amp;账期止))</f>
        <v/>
      </c>
      <c r="U238" s="26">
        <f>IF($A238="","",ROUND(SUMIFS(出库单!$S$4:$S$4003,出库单!$D$4:$D$4003,$A238,出库单!$K$4:$K$4003,"盘亏",出库单!$U$4:$U$4003,"正常",出库单!$C$4:$C$4003,"&gt;="&amp;账期起,出库单!$C$4:$C$4003,"&lt;="&amp;账期止),0))</f>
        <v/>
      </c>
      <c r="V238" s="27">
        <f>IF($A238="","",SUMIFS(出库单!$J$4:$J$4003,出库单!$D$4:$D$4003,$A238,出库单!$K$4:$K$4003,"退货给供应商",出库单!$U$4:$U$4003,"正常",出库单!$C$4:$C$4003,"&gt;="&amp;账期起,出库单!$C$4:$C$4003,"&lt;="&amp;账期止))</f>
        <v/>
      </c>
      <c r="W238" s="26">
        <f>IF($A238="","",ROUND(SUMIFS(出库单!$S$4:$S$4003,出库单!$D$4:$D$4003,$A238,出库单!$K$4:$K$4003,"退货给供应商",出库单!$U$4:$U$4003,"正常",出库单!$C$4:$C$4003,"&gt;="&amp;账期起,出库单!$C$4:$C$4003,"&lt;="&amp;账期止),0))</f>
        <v/>
      </c>
      <c r="X238" s="27">
        <f>IF($A238="","",ROUND(N($G238)+$I238+$L238+$N238-$P238-$R238-$T238-$V238,3))</f>
        <v/>
      </c>
      <c r="Y238" s="26">
        <f>IF($A238="","",ROUND(N($H238)+$J238+$M238+$O238-$Q238-$S238-$U238-$W238,0))</f>
        <v/>
      </c>
      <c r="Z238" s="24">
        <f>IF($A238="","",IF(COUNTIFS(入库单!$G$4:$G$2503,$A238,入库单!$Y$4:$Y$2503,"待补价")+COUNTIFS(入库单!$G$4:$G$2503,$A238,入库单!$Y$4:$Y$2503,"暂估")&gt;0,"不可信","可信"))</f>
        <v/>
      </c>
      <c r="AA238" s="24">
        <f>IF($A238="","",IF($X238&lt;-0.001,"※账面负库存，查一下是不是漏记入库",IF(AND(ROUND($X238,3)=0,ABS($Y238)&gt;1),"※数量已经是 0，金额还挂着 "&amp;TEXT($Y238,"#,##0")&amp;" 先令",IF(AND($X238&gt;0,$Y238&lt;=0,$K238=0),"※有数量没金额（这个物料一直没填过进价）",IF($Z238="不可信","△成本含待补价/暂估，毛利仅供参考","")))))</f>
        <v/>
      </c>
    </row>
    <row r="239">
      <c r="A239" s="24">
        <f>IF(物料档案!$A238="","",物料档案!$A238)</f>
        <v/>
      </c>
      <c r="B239" s="24">
        <f>IF($A239="","",IFERROR(VLOOKUP($A239,物料档案!$A$4:$P$1203,3,0),""))</f>
        <v/>
      </c>
      <c r="C239" s="24">
        <f>IF($A239="","",IFERROR(VLOOKUP($A239,物料档案!$A$4:$P$1203,4,0),""))</f>
        <v/>
      </c>
      <c r="D239" s="24">
        <f>IF($A239="","",IFERROR(VLOOKUP($A239,物料档案!$A$4:$P$1203,5,0),""))</f>
        <v/>
      </c>
      <c r="E239" s="24">
        <f>IF($A239="","",IFERROR(VLOOKUP($A239,物料档案!$A$4:$P$1203,2,0),""))</f>
        <v/>
      </c>
      <c r="F239" s="24">
        <f>IF($A239="","",IFERROR(VLOOKUP($A239,物料档案!$A$4:$P$1203,6,0),""))</f>
        <v/>
      </c>
      <c r="G239" s="23" t="n"/>
      <c r="H239" s="32" t="n"/>
      <c r="I239" s="27">
        <f>IF($A239="","",SUMIFS(入库单!$K$4:$K$2503,入库单!$G$4:$G$2503,$A239,入库单!$X$4:$X$2503,"采购入库",入库单!$Z$4:$Z$2503,"正常",入库单!$C$4:$C$2503,"&gt;="&amp;账期起,入库单!$C$4:$C$2503,"&lt;="&amp;账期止))</f>
        <v/>
      </c>
      <c r="J239" s="26">
        <f>IF($A239="","",SUMIFS(入库单!$V$4:$V$2503,入库单!$G$4:$G$2503,$A239,入库单!$X$4:$X$2503,"采购入库",入库单!$Z$4:$Z$2503,"正常",入库单!$C$4:$C$2503,"&gt;="&amp;账期起,入库单!$C$4:$C$2503,"&lt;="&amp;账期止))</f>
        <v/>
      </c>
      <c r="K239" s="26">
        <f>IF($A239="","",IFERROR(ROUND((N($H239)+N($J239))/(N($G239)+N($I239)),2),0))</f>
        <v/>
      </c>
      <c r="L239" s="27">
        <f>IF($A239="","",SUMIFS(入库单!$K$4:$K$2503,入库单!$G$4:$G$2503,$A239,入库单!$X$4:$X$2503,"盘盈",入库单!$Z$4:$Z$2503,"正常",入库单!$C$4:$C$2503,"&gt;="&amp;账期起,入库单!$C$4:$C$2503,"&lt;="&amp;账期止))</f>
        <v/>
      </c>
      <c r="M239" s="26">
        <f>IF($A239="","",ROUND($L239*$K239,0))</f>
        <v/>
      </c>
      <c r="N239" s="27">
        <f>IF($A239="","",SUMIFS(入库单!$K$4:$K$2503,入库单!$G$4:$G$2503,$A239,入库单!$X$4:$X$2503,"矿区退库",入库单!$Z$4:$Z$2503,"正常",入库单!$C$4:$C$2503,"&gt;="&amp;账期起,入库单!$C$4:$C$2503,"&lt;="&amp;账期止))</f>
        <v/>
      </c>
      <c r="O239" s="26">
        <f>IF($A239="","",ROUND($N239*$K239,0))</f>
        <v/>
      </c>
      <c r="P239" s="27">
        <f>IF($A239="","",SUMIFS(出库单!$J$4:$J$4003,出库单!$D$4:$D$4003,$A239,出库单!$K$4:$K$4003,"自用消耗",出库单!$U$4:$U$4003,"正常",出库单!$C$4:$C$4003,"&gt;="&amp;账期起,出库单!$C$4:$C$4003,"&lt;="&amp;账期止))</f>
        <v/>
      </c>
      <c r="Q239" s="26">
        <f>IF($A239="","",ROUND(SUMIFS(出库单!$S$4:$S$4003,出库单!$D$4:$D$4003,$A239,出库单!$K$4:$K$4003,"自用消耗",出库单!$U$4:$U$4003,"正常",出库单!$C$4:$C$4003,"&gt;="&amp;账期起,出库单!$C$4:$C$4003,"&lt;="&amp;账期止),0))</f>
        <v/>
      </c>
      <c r="R239" s="27">
        <f>IF($A239="","",SUMIFS(出库单!$J$4:$J$4003,出库单!$D$4:$D$4003,$A239,出库单!$K$4:$K$4003,"对外销售",出库单!$U$4:$U$4003,"正常",出库单!$C$4:$C$4003,"&gt;="&amp;账期起,出库单!$C$4:$C$4003,"&lt;="&amp;账期止))</f>
        <v/>
      </c>
      <c r="S239" s="26">
        <f>IF($A239="","",ROUND(SUMIFS(出库单!$S$4:$S$4003,出库单!$D$4:$D$4003,$A239,出库单!$K$4:$K$4003,"对外销售",出库单!$U$4:$U$4003,"正常",出库单!$C$4:$C$4003,"&gt;="&amp;账期起,出库单!$C$4:$C$4003,"&lt;="&amp;账期止),0))</f>
        <v/>
      </c>
      <c r="T239" s="27">
        <f>IF($A239="","",SUMIFS(出库单!$J$4:$J$4003,出库单!$D$4:$D$4003,$A239,出库单!$K$4:$K$4003,"盘亏",出库单!$U$4:$U$4003,"正常",出库单!$C$4:$C$4003,"&gt;="&amp;账期起,出库单!$C$4:$C$4003,"&lt;="&amp;账期止))</f>
        <v/>
      </c>
      <c r="U239" s="26">
        <f>IF($A239="","",ROUND(SUMIFS(出库单!$S$4:$S$4003,出库单!$D$4:$D$4003,$A239,出库单!$K$4:$K$4003,"盘亏",出库单!$U$4:$U$4003,"正常",出库单!$C$4:$C$4003,"&gt;="&amp;账期起,出库单!$C$4:$C$4003,"&lt;="&amp;账期止),0))</f>
        <v/>
      </c>
      <c r="V239" s="27">
        <f>IF($A239="","",SUMIFS(出库单!$J$4:$J$4003,出库单!$D$4:$D$4003,$A239,出库单!$K$4:$K$4003,"退货给供应商",出库单!$U$4:$U$4003,"正常",出库单!$C$4:$C$4003,"&gt;="&amp;账期起,出库单!$C$4:$C$4003,"&lt;="&amp;账期止))</f>
        <v/>
      </c>
      <c r="W239" s="26">
        <f>IF($A239="","",ROUND(SUMIFS(出库单!$S$4:$S$4003,出库单!$D$4:$D$4003,$A239,出库单!$K$4:$K$4003,"退货给供应商",出库单!$U$4:$U$4003,"正常",出库单!$C$4:$C$4003,"&gt;="&amp;账期起,出库单!$C$4:$C$4003,"&lt;="&amp;账期止),0))</f>
        <v/>
      </c>
      <c r="X239" s="27">
        <f>IF($A239="","",ROUND(N($G239)+$I239+$L239+$N239-$P239-$R239-$T239-$V239,3))</f>
        <v/>
      </c>
      <c r="Y239" s="26">
        <f>IF($A239="","",ROUND(N($H239)+$J239+$M239+$O239-$Q239-$S239-$U239-$W239,0))</f>
        <v/>
      </c>
      <c r="Z239" s="24">
        <f>IF($A239="","",IF(COUNTIFS(入库单!$G$4:$G$2503,$A239,入库单!$Y$4:$Y$2503,"待补价")+COUNTIFS(入库单!$G$4:$G$2503,$A239,入库单!$Y$4:$Y$2503,"暂估")&gt;0,"不可信","可信"))</f>
        <v/>
      </c>
      <c r="AA239" s="24">
        <f>IF($A239="","",IF($X239&lt;-0.001,"※账面负库存，查一下是不是漏记入库",IF(AND(ROUND($X239,3)=0,ABS($Y239)&gt;1),"※数量已经是 0，金额还挂着 "&amp;TEXT($Y239,"#,##0")&amp;" 先令",IF(AND($X239&gt;0,$Y239&lt;=0,$K239=0),"※有数量没金额（这个物料一直没填过进价）",IF($Z239="不可信","△成本含待补价/暂估，毛利仅供参考","")))))</f>
        <v/>
      </c>
    </row>
    <row r="240">
      <c r="A240" s="24">
        <f>IF(物料档案!$A239="","",物料档案!$A239)</f>
        <v/>
      </c>
      <c r="B240" s="24">
        <f>IF($A240="","",IFERROR(VLOOKUP($A240,物料档案!$A$4:$P$1203,3,0),""))</f>
        <v/>
      </c>
      <c r="C240" s="24">
        <f>IF($A240="","",IFERROR(VLOOKUP($A240,物料档案!$A$4:$P$1203,4,0),""))</f>
        <v/>
      </c>
      <c r="D240" s="24">
        <f>IF($A240="","",IFERROR(VLOOKUP($A240,物料档案!$A$4:$P$1203,5,0),""))</f>
        <v/>
      </c>
      <c r="E240" s="24">
        <f>IF($A240="","",IFERROR(VLOOKUP($A240,物料档案!$A$4:$P$1203,2,0),""))</f>
        <v/>
      </c>
      <c r="F240" s="24">
        <f>IF($A240="","",IFERROR(VLOOKUP($A240,物料档案!$A$4:$P$1203,6,0),""))</f>
        <v/>
      </c>
      <c r="G240" s="23" t="n"/>
      <c r="H240" s="32" t="n"/>
      <c r="I240" s="27">
        <f>IF($A240="","",SUMIFS(入库单!$K$4:$K$2503,入库单!$G$4:$G$2503,$A240,入库单!$X$4:$X$2503,"采购入库",入库单!$Z$4:$Z$2503,"正常",入库单!$C$4:$C$2503,"&gt;="&amp;账期起,入库单!$C$4:$C$2503,"&lt;="&amp;账期止))</f>
        <v/>
      </c>
      <c r="J240" s="26">
        <f>IF($A240="","",SUMIFS(入库单!$V$4:$V$2503,入库单!$G$4:$G$2503,$A240,入库单!$X$4:$X$2503,"采购入库",入库单!$Z$4:$Z$2503,"正常",入库单!$C$4:$C$2503,"&gt;="&amp;账期起,入库单!$C$4:$C$2503,"&lt;="&amp;账期止))</f>
        <v/>
      </c>
      <c r="K240" s="26">
        <f>IF($A240="","",IFERROR(ROUND((N($H240)+N($J240))/(N($G240)+N($I240)),2),0))</f>
        <v/>
      </c>
      <c r="L240" s="27">
        <f>IF($A240="","",SUMIFS(入库单!$K$4:$K$2503,入库单!$G$4:$G$2503,$A240,入库单!$X$4:$X$2503,"盘盈",入库单!$Z$4:$Z$2503,"正常",入库单!$C$4:$C$2503,"&gt;="&amp;账期起,入库单!$C$4:$C$2503,"&lt;="&amp;账期止))</f>
        <v/>
      </c>
      <c r="M240" s="26">
        <f>IF($A240="","",ROUND($L240*$K240,0))</f>
        <v/>
      </c>
      <c r="N240" s="27">
        <f>IF($A240="","",SUMIFS(入库单!$K$4:$K$2503,入库单!$G$4:$G$2503,$A240,入库单!$X$4:$X$2503,"矿区退库",入库单!$Z$4:$Z$2503,"正常",入库单!$C$4:$C$2503,"&gt;="&amp;账期起,入库单!$C$4:$C$2503,"&lt;="&amp;账期止))</f>
        <v/>
      </c>
      <c r="O240" s="26">
        <f>IF($A240="","",ROUND($N240*$K240,0))</f>
        <v/>
      </c>
      <c r="P240" s="27">
        <f>IF($A240="","",SUMIFS(出库单!$J$4:$J$4003,出库单!$D$4:$D$4003,$A240,出库单!$K$4:$K$4003,"自用消耗",出库单!$U$4:$U$4003,"正常",出库单!$C$4:$C$4003,"&gt;="&amp;账期起,出库单!$C$4:$C$4003,"&lt;="&amp;账期止))</f>
        <v/>
      </c>
      <c r="Q240" s="26">
        <f>IF($A240="","",ROUND(SUMIFS(出库单!$S$4:$S$4003,出库单!$D$4:$D$4003,$A240,出库单!$K$4:$K$4003,"自用消耗",出库单!$U$4:$U$4003,"正常",出库单!$C$4:$C$4003,"&gt;="&amp;账期起,出库单!$C$4:$C$4003,"&lt;="&amp;账期止),0))</f>
        <v/>
      </c>
      <c r="R240" s="27">
        <f>IF($A240="","",SUMIFS(出库单!$J$4:$J$4003,出库单!$D$4:$D$4003,$A240,出库单!$K$4:$K$4003,"对外销售",出库单!$U$4:$U$4003,"正常",出库单!$C$4:$C$4003,"&gt;="&amp;账期起,出库单!$C$4:$C$4003,"&lt;="&amp;账期止))</f>
        <v/>
      </c>
      <c r="S240" s="26">
        <f>IF($A240="","",ROUND(SUMIFS(出库单!$S$4:$S$4003,出库单!$D$4:$D$4003,$A240,出库单!$K$4:$K$4003,"对外销售",出库单!$U$4:$U$4003,"正常",出库单!$C$4:$C$4003,"&gt;="&amp;账期起,出库单!$C$4:$C$4003,"&lt;="&amp;账期止),0))</f>
        <v/>
      </c>
      <c r="T240" s="27">
        <f>IF($A240="","",SUMIFS(出库单!$J$4:$J$4003,出库单!$D$4:$D$4003,$A240,出库单!$K$4:$K$4003,"盘亏",出库单!$U$4:$U$4003,"正常",出库单!$C$4:$C$4003,"&gt;="&amp;账期起,出库单!$C$4:$C$4003,"&lt;="&amp;账期止))</f>
        <v/>
      </c>
      <c r="U240" s="26">
        <f>IF($A240="","",ROUND(SUMIFS(出库单!$S$4:$S$4003,出库单!$D$4:$D$4003,$A240,出库单!$K$4:$K$4003,"盘亏",出库单!$U$4:$U$4003,"正常",出库单!$C$4:$C$4003,"&gt;="&amp;账期起,出库单!$C$4:$C$4003,"&lt;="&amp;账期止),0))</f>
        <v/>
      </c>
      <c r="V240" s="27">
        <f>IF($A240="","",SUMIFS(出库单!$J$4:$J$4003,出库单!$D$4:$D$4003,$A240,出库单!$K$4:$K$4003,"退货给供应商",出库单!$U$4:$U$4003,"正常",出库单!$C$4:$C$4003,"&gt;="&amp;账期起,出库单!$C$4:$C$4003,"&lt;="&amp;账期止))</f>
        <v/>
      </c>
      <c r="W240" s="26">
        <f>IF($A240="","",ROUND(SUMIFS(出库单!$S$4:$S$4003,出库单!$D$4:$D$4003,$A240,出库单!$K$4:$K$4003,"退货给供应商",出库单!$U$4:$U$4003,"正常",出库单!$C$4:$C$4003,"&gt;="&amp;账期起,出库单!$C$4:$C$4003,"&lt;="&amp;账期止),0))</f>
        <v/>
      </c>
      <c r="X240" s="27">
        <f>IF($A240="","",ROUND(N($G240)+$I240+$L240+$N240-$P240-$R240-$T240-$V240,3))</f>
        <v/>
      </c>
      <c r="Y240" s="26">
        <f>IF($A240="","",ROUND(N($H240)+$J240+$M240+$O240-$Q240-$S240-$U240-$W240,0))</f>
        <v/>
      </c>
      <c r="Z240" s="24">
        <f>IF($A240="","",IF(COUNTIFS(入库单!$G$4:$G$2503,$A240,入库单!$Y$4:$Y$2503,"待补价")+COUNTIFS(入库单!$G$4:$G$2503,$A240,入库单!$Y$4:$Y$2503,"暂估")&gt;0,"不可信","可信"))</f>
        <v/>
      </c>
      <c r="AA240" s="24">
        <f>IF($A240="","",IF($X240&lt;-0.001,"※账面负库存，查一下是不是漏记入库",IF(AND(ROUND($X240,3)=0,ABS($Y240)&gt;1),"※数量已经是 0，金额还挂着 "&amp;TEXT($Y240,"#,##0")&amp;" 先令",IF(AND($X240&gt;0,$Y240&lt;=0,$K240=0),"※有数量没金额（这个物料一直没填过进价）",IF($Z240="不可信","△成本含待补价/暂估，毛利仅供参考","")))))</f>
        <v/>
      </c>
    </row>
    <row r="241">
      <c r="A241" s="24">
        <f>IF(物料档案!$A240="","",物料档案!$A240)</f>
        <v/>
      </c>
      <c r="B241" s="24">
        <f>IF($A241="","",IFERROR(VLOOKUP($A241,物料档案!$A$4:$P$1203,3,0),""))</f>
        <v/>
      </c>
      <c r="C241" s="24">
        <f>IF($A241="","",IFERROR(VLOOKUP($A241,物料档案!$A$4:$P$1203,4,0),""))</f>
        <v/>
      </c>
      <c r="D241" s="24">
        <f>IF($A241="","",IFERROR(VLOOKUP($A241,物料档案!$A$4:$P$1203,5,0),""))</f>
        <v/>
      </c>
      <c r="E241" s="24">
        <f>IF($A241="","",IFERROR(VLOOKUP($A241,物料档案!$A$4:$P$1203,2,0),""))</f>
        <v/>
      </c>
      <c r="F241" s="24">
        <f>IF($A241="","",IFERROR(VLOOKUP($A241,物料档案!$A$4:$P$1203,6,0),""))</f>
        <v/>
      </c>
      <c r="G241" s="23" t="n"/>
      <c r="H241" s="32" t="n"/>
      <c r="I241" s="27">
        <f>IF($A241="","",SUMIFS(入库单!$K$4:$K$2503,入库单!$G$4:$G$2503,$A241,入库单!$X$4:$X$2503,"采购入库",入库单!$Z$4:$Z$2503,"正常",入库单!$C$4:$C$2503,"&gt;="&amp;账期起,入库单!$C$4:$C$2503,"&lt;="&amp;账期止))</f>
        <v/>
      </c>
      <c r="J241" s="26">
        <f>IF($A241="","",SUMIFS(入库单!$V$4:$V$2503,入库单!$G$4:$G$2503,$A241,入库单!$X$4:$X$2503,"采购入库",入库单!$Z$4:$Z$2503,"正常",入库单!$C$4:$C$2503,"&gt;="&amp;账期起,入库单!$C$4:$C$2503,"&lt;="&amp;账期止))</f>
        <v/>
      </c>
      <c r="K241" s="26">
        <f>IF($A241="","",IFERROR(ROUND((N($H241)+N($J241))/(N($G241)+N($I241)),2),0))</f>
        <v/>
      </c>
      <c r="L241" s="27">
        <f>IF($A241="","",SUMIFS(入库单!$K$4:$K$2503,入库单!$G$4:$G$2503,$A241,入库单!$X$4:$X$2503,"盘盈",入库单!$Z$4:$Z$2503,"正常",入库单!$C$4:$C$2503,"&gt;="&amp;账期起,入库单!$C$4:$C$2503,"&lt;="&amp;账期止))</f>
        <v/>
      </c>
      <c r="M241" s="26">
        <f>IF($A241="","",ROUND($L241*$K241,0))</f>
        <v/>
      </c>
      <c r="N241" s="27">
        <f>IF($A241="","",SUMIFS(入库单!$K$4:$K$2503,入库单!$G$4:$G$2503,$A241,入库单!$X$4:$X$2503,"矿区退库",入库单!$Z$4:$Z$2503,"正常",入库单!$C$4:$C$2503,"&gt;="&amp;账期起,入库单!$C$4:$C$2503,"&lt;="&amp;账期止))</f>
        <v/>
      </c>
      <c r="O241" s="26">
        <f>IF($A241="","",ROUND($N241*$K241,0))</f>
        <v/>
      </c>
      <c r="P241" s="27">
        <f>IF($A241="","",SUMIFS(出库单!$J$4:$J$4003,出库单!$D$4:$D$4003,$A241,出库单!$K$4:$K$4003,"自用消耗",出库单!$U$4:$U$4003,"正常",出库单!$C$4:$C$4003,"&gt;="&amp;账期起,出库单!$C$4:$C$4003,"&lt;="&amp;账期止))</f>
        <v/>
      </c>
      <c r="Q241" s="26">
        <f>IF($A241="","",ROUND(SUMIFS(出库单!$S$4:$S$4003,出库单!$D$4:$D$4003,$A241,出库单!$K$4:$K$4003,"自用消耗",出库单!$U$4:$U$4003,"正常",出库单!$C$4:$C$4003,"&gt;="&amp;账期起,出库单!$C$4:$C$4003,"&lt;="&amp;账期止),0))</f>
        <v/>
      </c>
      <c r="R241" s="27">
        <f>IF($A241="","",SUMIFS(出库单!$J$4:$J$4003,出库单!$D$4:$D$4003,$A241,出库单!$K$4:$K$4003,"对外销售",出库单!$U$4:$U$4003,"正常",出库单!$C$4:$C$4003,"&gt;="&amp;账期起,出库单!$C$4:$C$4003,"&lt;="&amp;账期止))</f>
        <v/>
      </c>
      <c r="S241" s="26">
        <f>IF($A241="","",ROUND(SUMIFS(出库单!$S$4:$S$4003,出库单!$D$4:$D$4003,$A241,出库单!$K$4:$K$4003,"对外销售",出库单!$U$4:$U$4003,"正常",出库单!$C$4:$C$4003,"&gt;="&amp;账期起,出库单!$C$4:$C$4003,"&lt;="&amp;账期止),0))</f>
        <v/>
      </c>
      <c r="T241" s="27">
        <f>IF($A241="","",SUMIFS(出库单!$J$4:$J$4003,出库单!$D$4:$D$4003,$A241,出库单!$K$4:$K$4003,"盘亏",出库单!$U$4:$U$4003,"正常",出库单!$C$4:$C$4003,"&gt;="&amp;账期起,出库单!$C$4:$C$4003,"&lt;="&amp;账期止))</f>
        <v/>
      </c>
      <c r="U241" s="26">
        <f>IF($A241="","",ROUND(SUMIFS(出库单!$S$4:$S$4003,出库单!$D$4:$D$4003,$A241,出库单!$K$4:$K$4003,"盘亏",出库单!$U$4:$U$4003,"正常",出库单!$C$4:$C$4003,"&gt;="&amp;账期起,出库单!$C$4:$C$4003,"&lt;="&amp;账期止),0))</f>
        <v/>
      </c>
      <c r="V241" s="27">
        <f>IF($A241="","",SUMIFS(出库单!$J$4:$J$4003,出库单!$D$4:$D$4003,$A241,出库单!$K$4:$K$4003,"退货给供应商",出库单!$U$4:$U$4003,"正常",出库单!$C$4:$C$4003,"&gt;="&amp;账期起,出库单!$C$4:$C$4003,"&lt;="&amp;账期止))</f>
        <v/>
      </c>
      <c r="W241" s="26">
        <f>IF($A241="","",ROUND(SUMIFS(出库单!$S$4:$S$4003,出库单!$D$4:$D$4003,$A241,出库单!$K$4:$K$4003,"退货给供应商",出库单!$U$4:$U$4003,"正常",出库单!$C$4:$C$4003,"&gt;="&amp;账期起,出库单!$C$4:$C$4003,"&lt;="&amp;账期止),0))</f>
        <v/>
      </c>
      <c r="X241" s="27">
        <f>IF($A241="","",ROUND(N($G241)+$I241+$L241+$N241-$P241-$R241-$T241-$V241,3))</f>
        <v/>
      </c>
      <c r="Y241" s="26">
        <f>IF($A241="","",ROUND(N($H241)+$J241+$M241+$O241-$Q241-$S241-$U241-$W241,0))</f>
        <v/>
      </c>
      <c r="Z241" s="24">
        <f>IF($A241="","",IF(COUNTIFS(入库单!$G$4:$G$2503,$A241,入库单!$Y$4:$Y$2503,"待补价")+COUNTIFS(入库单!$G$4:$G$2503,$A241,入库单!$Y$4:$Y$2503,"暂估")&gt;0,"不可信","可信"))</f>
        <v/>
      </c>
      <c r="AA241" s="24">
        <f>IF($A241="","",IF($X241&lt;-0.001,"※账面负库存，查一下是不是漏记入库",IF(AND(ROUND($X241,3)=0,ABS($Y241)&gt;1),"※数量已经是 0，金额还挂着 "&amp;TEXT($Y241,"#,##0")&amp;" 先令",IF(AND($X241&gt;0,$Y241&lt;=0,$K241=0),"※有数量没金额（这个物料一直没填过进价）",IF($Z241="不可信","△成本含待补价/暂估，毛利仅供参考","")))))</f>
        <v/>
      </c>
    </row>
    <row r="242">
      <c r="A242" s="24">
        <f>IF(物料档案!$A241="","",物料档案!$A241)</f>
        <v/>
      </c>
      <c r="B242" s="24">
        <f>IF($A242="","",IFERROR(VLOOKUP($A242,物料档案!$A$4:$P$1203,3,0),""))</f>
        <v/>
      </c>
      <c r="C242" s="24">
        <f>IF($A242="","",IFERROR(VLOOKUP($A242,物料档案!$A$4:$P$1203,4,0),""))</f>
        <v/>
      </c>
      <c r="D242" s="24">
        <f>IF($A242="","",IFERROR(VLOOKUP($A242,物料档案!$A$4:$P$1203,5,0),""))</f>
        <v/>
      </c>
      <c r="E242" s="24">
        <f>IF($A242="","",IFERROR(VLOOKUP($A242,物料档案!$A$4:$P$1203,2,0),""))</f>
        <v/>
      </c>
      <c r="F242" s="24">
        <f>IF($A242="","",IFERROR(VLOOKUP($A242,物料档案!$A$4:$P$1203,6,0),""))</f>
        <v/>
      </c>
      <c r="G242" s="23" t="n"/>
      <c r="H242" s="32" t="n"/>
      <c r="I242" s="27">
        <f>IF($A242="","",SUMIFS(入库单!$K$4:$K$2503,入库单!$G$4:$G$2503,$A242,入库单!$X$4:$X$2503,"采购入库",入库单!$Z$4:$Z$2503,"正常",入库单!$C$4:$C$2503,"&gt;="&amp;账期起,入库单!$C$4:$C$2503,"&lt;="&amp;账期止))</f>
        <v/>
      </c>
      <c r="J242" s="26">
        <f>IF($A242="","",SUMIFS(入库单!$V$4:$V$2503,入库单!$G$4:$G$2503,$A242,入库单!$X$4:$X$2503,"采购入库",入库单!$Z$4:$Z$2503,"正常",入库单!$C$4:$C$2503,"&gt;="&amp;账期起,入库单!$C$4:$C$2503,"&lt;="&amp;账期止))</f>
        <v/>
      </c>
      <c r="K242" s="26">
        <f>IF($A242="","",IFERROR(ROUND((N($H242)+N($J242))/(N($G242)+N($I242)),2),0))</f>
        <v/>
      </c>
      <c r="L242" s="27">
        <f>IF($A242="","",SUMIFS(入库单!$K$4:$K$2503,入库单!$G$4:$G$2503,$A242,入库单!$X$4:$X$2503,"盘盈",入库单!$Z$4:$Z$2503,"正常",入库单!$C$4:$C$2503,"&gt;="&amp;账期起,入库单!$C$4:$C$2503,"&lt;="&amp;账期止))</f>
        <v/>
      </c>
      <c r="M242" s="26">
        <f>IF($A242="","",ROUND($L242*$K242,0))</f>
        <v/>
      </c>
      <c r="N242" s="27">
        <f>IF($A242="","",SUMIFS(入库单!$K$4:$K$2503,入库单!$G$4:$G$2503,$A242,入库单!$X$4:$X$2503,"矿区退库",入库单!$Z$4:$Z$2503,"正常",入库单!$C$4:$C$2503,"&gt;="&amp;账期起,入库单!$C$4:$C$2503,"&lt;="&amp;账期止))</f>
        <v/>
      </c>
      <c r="O242" s="26">
        <f>IF($A242="","",ROUND($N242*$K242,0))</f>
        <v/>
      </c>
      <c r="P242" s="27">
        <f>IF($A242="","",SUMIFS(出库单!$J$4:$J$4003,出库单!$D$4:$D$4003,$A242,出库单!$K$4:$K$4003,"自用消耗",出库单!$U$4:$U$4003,"正常",出库单!$C$4:$C$4003,"&gt;="&amp;账期起,出库单!$C$4:$C$4003,"&lt;="&amp;账期止))</f>
        <v/>
      </c>
      <c r="Q242" s="26">
        <f>IF($A242="","",ROUND(SUMIFS(出库单!$S$4:$S$4003,出库单!$D$4:$D$4003,$A242,出库单!$K$4:$K$4003,"自用消耗",出库单!$U$4:$U$4003,"正常",出库单!$C$4:$C$4003,"&gt;="&amp;账期起,出库单!$C$4:$C$4003,"&lt;="&amp;账期止),0))</f>
        <v/>
      </c>
      <c r="R242" s="27">
        <f>IF($A242="","",SUMIFS(出库单!$J$4:$J$4003,出库单!$D$4:$D$4003,$A242,出库单!$K$4:$K$4003,"对外销售",出库单!$U$4:$U$4003,"正常",出库单!$C$4:$C$4003,"&gt;="&amp;账期起,出库单!$C$4:$C$4003,"&lt;="&amp;账期止))</f>
        <v/>
      </c>
      <c r="S242" s="26">
        <f>IF($A242="","",ROUND(SUMIFS(出库单!$S$4:$S$4003,出库单!$D$4:$D$4003,$A242,出库单!$K$4:$K$4003,"对外销售",出库单!$U$4:$U$4003,"正常",出库单!$C$4:$C$4003,"&gt;="&amp;账期起,出库单!$C$4:$C$4003,"&lt;="&amp;账期止),0))</f>
        <v/>
      </c>
      <c r="T242" s="27">
        <f>IF($A242="","",SUMIFS(出库单!$J$4:$J$4003,出库单!$D$4:$D$4003,$A242,出库单!$K$4:$K$4003,"盘亏",出库单!$U$4:$U$4003,"正常",出库单!$C$4:$C$4003,"&gt;="&amp;账期起,出库单!$C$4:$C$4003,"&lt;="&amp;账期止))</f>
        <v/>
      </c>
      <c r="U242" s="26">
        <f>IF($A242="","",ROUND(SUMIFS(出库单!$S$4:$S$4003,出库单!$D$4:$D$4003,$A242,出库单!$K$4:$K$4003,"盘亏",出库单!$U$4:$U$4003,"正常",出库单!$C$4:$C$4003,"&gt;="&amp;账期起,出库单!$C$4:$C$4003,"&lt;="&amp;账期止),0))</f>
        <v/>
      </c>
      <c r="V242" s="27">
        <f>IF($A242="","",SUMIFS(出库单!$J$4:$J$4003,出库单!$D$4:$D$4003,$A242,出库单!$K$4:$K$4003,"退货给供应商",出库单!$U$4:$U$4003,"正常",出库单!$C$4:$C$4003,"&gt;="&amp;账期起,出库单!$C$4:$C$4003,"&lt;="&amp;账期止))</f>
        <v/>
      </c>
      <c r="W242" s="26">
        <f>IF($A242="","",ROUND(SUMIFS(出库单!$S$4:$S$4003,出库单!$D$4:$D$4003,$A242,出库单!$K$4:$K$4003,"退货给供应商",出库单!$U$4:$U$4003,"正常",出库单!$C$4:$C$4003,"&gt;="&amp;账期起,出库单!$C$4:$C$4003,"&lt;="&amp;账期止),0))</f>
        <v/>
      </c>
      <c r="X242" s="27">
        <f>IF($A242="","",ROUND(N($G242)+$I242+$L242+$N242-$P242-$R242-$T242-$V242,3))</f>
        <v/>
      </c>
      <c r="Y242" s="26">
        <f>IF($A242="","",ROUND(N($H242)+$J242+$M242+$O242-$Q242-$S242-$U242-$W242,0))</f>
        <v/>
      </c>
      <c r="Z242" s="24">
        <f>IF($A242="","",IF(COUNTIFS(入库单!$G$4:$G$2503,$A242,入库单!$Y$4:$Y$2503,"待补价")+COUNTIFS(入库单!$G$4:$G$2503,$A242,入库单!$Y$4:$Y$2503,"暂估")&gt;0,"不可信","可信"))</f>
        <v/>
      </c>
      <c r="AA242" s="24">
        <f>IF($A242="","",IF($X242&lt;-0.001,"※账面负库存，查一下是不是漏记入库",IF(AND(ROUND($X242,3)=0,ABS($Y242)&gt;1),"※数量已经是 0，金额还挂着 "&amp;TEXT($Y242,"#,##0")&amp;" 先令",IF(AND($X242&gt;0,$Y242&lt;=0,$K242=0),"※有数量没金额（这个物料一直没填过进价）",IF($Z242="不可信","△成本含待补价/暂估，毛利仅供参考","")))))</f>
        <v/>
      </c>
    </row>
    <row r="243">
      <c r="A243" s="24">
        <f>IF(物料档案!$A242="","",物料档案!$A242)</f>
        <v/>
      </c>
      <c r="B243" s="24">
        <f>IF($A243="","",IFERROR(VLOOKUP($A243,物料档案!$A$4:$P$1203,3,0),""))</f>
        <v/>
      </c>
      <c r="C243" s="24">
        <f>IF($A243="","",IFERROR(VLOOKUP($A243,物料档案!$A$4:$P$1203,4,0),""))</f>
        <v/>
      </c>
      <c r="D243" s="24">
        <f>IF($A243="","",IFERROR(VLOOKUP($A243,物料档案!$A$4:$P$1203,5,0),""))</f>
        <v/>
      </c>
      <c r="E243" s="24">
        <f>IF($A243="","",IFERROR(VLOOKUP($A243,物料档案!$A$4:$P$1203,2,0),""))</f>
        <v/>
      </c>
      <c r="F243" s="24">
        <f>IF($A243="","",IFERROR(VLOOKUP($A243,物料档案!$A$4:$P$1203,6,0),""))</f>
        <v/>
      </c>
      <c r="G243" s="23" t="n"/>
      <c r="H243" s="32" t="n"/>
      <c r="I243" s="27">
        <f>IF($A243="","",SUMIFS(入库单!$K$4:$K$2503,入库单!$G$4:$G$2503,$A243,入库单!$X$4:$X$2503,"采购入库",入库单!$Z$4:$Z$2503,"正常",入库单!$C$4:$C$2503,"&gt;="&amp;账期起,入库单!$C$4:$C$2503,"&lt;="&amp;账期止))</f>
        <v/>
      </c>
      <c r="J243" s="26">
        <f>IF($A243="","",SUMIFS(入库单!$V$4:$V$2503,入库单!$G$4:$G$2503,$A243,入库单!$X$4:$X$2503,"采购入库",入库单!$Z$4:$Z$2503,"正常",入库单!$C$4:$C$2503,"&gt;="&amp;账期起,入库单!$C$4:$C$2503,"&lt;="&amp;账期止))</f>
        <v/>
      </c>
      <c r="K243" s="26">
        <f>IF($A243="","",IFERROR(ROUND((N($H243)+N($J243))/(N($G243)+N($I243)),2),0))</f>
        <v/>
      </c>
      <c r="L243" s="27">
        <f>IF($A243="","",SUMIFS(入库单!$K$4:$K$2503,入库单!$G$4:$G$2503,$A243,入库单!$X$4:$X$2503,"盘盈",入库单!$Z$4:$Z$2503,"正常",入库单!$C$4:$C$2503,"&gt;="&amp;账期起,入库单!$C$4:$C$2503,"&lt;="&amp;账期止))</f>
        <v/>
      </c>
      <c r="M243" s="26">
        <f>IF($A243="","",ROUND($L243*$K243,0))</f>
        <v/>
      </c>
      <c r="N243" s="27">
        <f>IF($A243="","",SUMIFS(入库单!$K$4:$K$2503,入库单!$G$4:$G$2503,$A243,入库单!$X$4:$X$2503,"矿区退库",入库单!$Z$4:$Z$2503,"正常",入库单!$C$4:$C$2503,"&gt;="&amp;账期起,入库单!$C$4:$C$2503,"&lt;="&amp;账期止))</f>
        <v/>
      </c>
      <c r="O243" s="26">
        <f>IF($A243="","",ROUND($N243*$K243,0))</f>
        <v/>
      </c>
      <c r="P243" s="27">
        <f>IF($A243="","",SUMIFS(出库单!$J$4:$J$4003,出库单!$D$4:$D$4003,$A243,出库单!$K$4:$K$4003,"自用消耗",出库单!$U$4:$U$4003,"正常",出库单!$C$4:$C$4003,"&gt;="&amp;账期起,出库单!$C$4:$C$4003,"&lt;="&amp;账期止))</f>
        <v/>
      </c>
      <c r="Q243" s="26">
        <f>IF($A243="","",ROUND(SUMIFS(出库单!$S$4:$S$4003,出库单!$D$4:$D$4003,$A243,出库单!$K$4:$K$4003,"自用消耗",出库单!$U$4:$U$4003,"正常",出库单!$C$4:$C$4003,"&gt;="&amp;账期起,出库单!$C$4:$C$4003,"&lt;="&amp;账期止),0))</f>
        <v/>
      </c>
      <c r="R243" s="27">
        <f>IF($A243="","",SUMIFS(出库单!$J$4:$J$4003,出库单!$D$4:$D$4003,$A243,出库单!$K$4:$K$4003,"对外销售",出库单!$U$4:$U$4003,"正常",出库单!$C$4:$C$4003,"&gt;="&amp;账期起,出库单!$C$4:$C$4003,"&lt;="&amp;账期止))</f>
        <v/>
      </c>
      <c r="S243" s="26">
        <f>IF($A243="","",ROUND(SUMIFS(出库单!$S$4:$S$4003,出库单!$D$4:$D$4003,$A243,出库单!$K$4:$K$4003,"对外销售",出库单!$U$4:$U$4003,"正常",出库单!$C$4:$C$4003,"&gt;="&amp;账期起,出库单!$C$4:$C$4003,"&lt;="&amp;账期止),0))</f>
        <v/>
      </c>
      <c r="T243" s="27">
        <f>IF($A243="","",SUMIFS(出库单!$J$4:$J$4003,出库单!$D$4:$D$4003,$A243,出库单!$K$4:$K$4003,"盘亏",出库单!$U$4:$U$4003,"正常",出库单!$C$4:$C$4003,"&gt;="&amp;账期起,出库单!$C$4:$C$4003,"&lt;="&amp;账期止))</f>
        <v/>
      </c>
      <c r="U243" s="26">
        <f>IF($A243="","",ROUND(SUMIFS(出库单!$S$4:$S$4003,出库单!$D$4:$D$4003,$A243,出库单!$K$4:$K$4003,"盘亏",出库单!$U$4:$U$4003,"正常",出库单!$C$4:$C$4003,"&gt;="&amp;账期起,出库单!$C$4:$C$4003,"&lt;="&amp;账期止),0))</f>
        <v/>
      </c>
      <c r="V243" s="27">
        <f>IF($A243="","",SUMIFS(出库单!$J$4:$J$4003,出库单!$D$4:$D$4003,$A243,出库单!$K$4:$K$4003,"退货给供应商",出库单!$U$4:$U$4003,"正常",出库单!$C$4:$C$4003,"&gt;="&amp;账期起,出库单!$C$4:$C$4003,"&lt;="&amp;账期止))</f>
        <v/>
      </c>
      <c r="W243" s="26">
        <f>IF($A243="","",ROUND(SUMIFS(出库单!$S$4:$S$4003,出库单!$D$4:$D$4003,$A243,出库单!$K$4:$K$4003,"退货给供应商",出库单!$U$4:$U$4003,"正常",出库单!$C$4:$C$4003,"&gt;="&amp;账期起,出库单!$C$4:$C$4003,"&lt;="&amp;账期止),0))</f>
        <v/>
      </c>
      <c r="X243" s="27">
        <f>IF($A243="","",ROUND(N($G243)+$I243+$L243+$N243-$P243-$R243-$T243-$V243,3))</f>
        <v/>
      </c>
      <c r="Y243" s="26">
        <f>IF($A243="","",ROUND(N($H243)+$J243+$M243+$O243-$Q243-$S243-$U243-$W243,0))</f>
        <v/>
      </c>
      <c r="Z243" s="24">
        <f>IF($A243="","",IF(COUNTIFS(入库单!$G$4:$G$2503,$A243,入库单!$Y$4:$Y$2503,"待补价")+COUNTIFS(入库单!$G$4:$G$2503,$A243,入库单!$Y$4:$Y$2503,"暂估")&gt;0,"不可信","可信"))</f>
        <v/>
      </c>
      <c r="AA243" s="24">
        <f>IF($A243="","",IF($X243&lt;-0.001,"※账面负库存，查一下是不是漏记入库",IF(AND(ROUND($X243,3)=0,ABS($Y243)&gt;1),"※数量已经是 0，金额还挂着 "&amp;TEXT($Y243,"#,##0")&amp;" 先令",IF(AND($X243&gt;0,$Y243&lt;=0,$K243=0),"※有数量没金额（这个物料一直没填过进价）",IF($Z243="不可信","△成本含待补价/暂估，毛利仅供参考","")))))</f>
        <v/>
      </c>
    </row>
    <row r="244">
      <c r="A244" s="24">
        <f>IF(物料档案!$A243="","",物料档案!$A243)</f>
        <v/>
      </c>
      <c r="B244" s="24">
        <f>IF($A244="","",IFERROR(VLOOKUP($A244,物料档案!$A$4:$P$1203,3,0),""))</f>
        <v/>
      </c>
      <c r="C244" s="24">
        <f>IF($A244="","",IFERROR(VLOOKUP($A244,物料档案!$A$4:$P$1203,4,0),""))</f>
        <v/>
      </c>
      <c r="D244" s="24">
        <f>IF($A244="","",IFERROR(VLOOKUP($A244,物料档案!$A$4:$P$1203,5,0),""))</f>
        <v/>
      </c>
      <c r="E244" s="24">
        <f>IF($A244="","",IFERROR(VLOOKUP($A244,物料档案!$A$4:$P$1203,2,0),""))</f>
        <v/>
      </c>
      <c r="F244" s="24">
        <f>IF($A244="","",IFERROR(VLOOKUP($A244,物料档案!$A$4:$P$1203,6,0),""))</f>
        <v/>
      </c>
      <c r="G244" s="23" t="n"/>
      <c r="H244" s="32" t="n"/>
      <c r="I244" s="27">
        <f>IF($A244="","",SUMIFS(入库单!$K$4:$K$2503,入库单!$G$4:$G$2503,$A244,入库单!$X$4:$X$2503,"采购入库",入库单!$Z$4:$Z$2503,"正常",入库单!$C$4:$C$2503,"&gt;="&amp;账期起,入库单!$C$4:$C$2503,"&lt;="&amp;账期止))</f>
        <v/>
      </c>
      <c r="J244" s="26">
        <f>IF($A244="","",SUMIFS(入库单!$V$4:$V$2503,入库单!$G$4:$G$2503,$A244,入库单!$X$4:$X$2503,"采购入库",入库单!$Z$4:$Z$2503,"正常",入库单!$C$4:$C$2503,"&gt;="&amp;账期起,入库单!$C$4:$C$2503,"&lt;="&amp;账期止))</f>
        <v/>
      </c>
      <c r="K244" s="26">
        <f>IF($A244="","",IFERROR(ROUND((N($H244)+N($J244))/(N($G244)+N($I244)),2),0))</f>
        <v/>
      </c>
      <c r="L244" s="27">
        <f>IF($A244="","",SUMIFS(入库单!$K$4:$K$2503,入库单!$G$4:$G$2503,$A244,入库单!$X$4:$X$2503,"盘盈",入库单!$Z$4:$Z$2503,"正常",入库单!$C$4:$C$2503,"&gt;="&amp;账期起,入库单!$C$4:$C$2503,"&lt;="&amp;账期止))</f>
        <v/>
      </c>
      <c r="M244" s="26">
        <f>IF($A244="","",ROUND($L244*$K244,0))</f>
        <v/>
      </c>
      <c r="N244" s="27">
        <f>IF($A244="","",SUMIFS(入库单!$K$4:$K$2503,入库单!$G$4:$G$2503,$A244,入库单!$X$4:$X$2503,"矿区退库",入库单!$Z$4:$Z$2503,"正常",入库单!$C$4:$C$2503,"&gt;="&amp;账期起,入库单!$C$4:$C$2503,"&lt;="&amp;账期止))</f>
        <v/>
      </c>
      <c r="O244" s="26">
        <f>IF($A244="","",ROUND($N244*$K244,0))</f>
        <v/>
      </c>
      <c r="P244" s="27">
        <f>IF($A244="","",SUMIFS(出库单!$J$4:$J$4003,出库单!$D$4:$D$4003,$A244,出库单!$K$4:$K$4003,"自用消耗",出库单!$U$4:$U$4003,"正常",出库单!$C$4:$C$4003,"&gt;="&amp;账期起,出库单!$C$4:$C$4003,"&lt;="&amp;账期止))</f>
        <v/>
      </c>
      <c r="Q244" s="26">
        <f>IF($A244="","",ROUND(SUMIFS(出库单!$S$4:$S$4003,出库单!$D$4:$D$4003,$A244,出库单!$K$4:$K$4003,"自用消耗",出库单!$U$4:$U$4003,"正常",出库单!$C$4:$C$4003,"&gt;="&amp;账期起,出库单!$C$4:$C$4003,"&lt;="&amp;账期止),0))</f>
        <v/>
      </c>
      <c r="R244" s="27">
        <f>IF($A244="","",SUMIFS(出库单!$J$4:$J$4003,出库单!$D$4:$D$4003,$A244,出库单!$K$4:$K$4003,"对外销售",出库单!$U$4:$U$4003,"正常",出库单!$C$4:$C$4003,"&gt;="&amp;账期起,出库单!$C$4:$C$4003,"&lt;="&amp;账期止))</f>
        <v/>
      </c>
      <c r="S244" s="26">
        <f>IF($A244="","",ROUND(SUMIFS(出库单!$S$4:$S$4003,出库单!$D$4:$D$4003,$A244,出库单!$K$4:$K$4003,"对外销售",出库单!$U$4:$U$4003,"正常",出库单!$C$4:$C$4003,"&gt;="&amp;账期起,出库单!$C$4:$C$4003,"&lt;="&amp;账期止),0))</f>
        <v/>
      </c>
      <c r="T244" s="27">
        <f>IF($A244="","",SUMIFS(出库单!$J$4:$J$4003,出库单!$D$4:$D$4003,$A244,出库单!$K$4:$K$4003,"盘亏",出库单!$U$4:$U$4003,"正常",出库单!$C$4:$C$4003,"&gt;="&amp;账期起,出库单!$C$4:$C$4003,"&lt;="&amp;账期止))</f>
        <v/>
      </c>
      <c r="U244" s="26">
        <f>IF($A244="","",ROUND(SUMIFS(出库单!$S$4:$S$4003,出库单!$D$4:$D$4003,$A244,出库单!$K$4:$K$4003,"盘亏",出库单!$U$4:$U$4003,"正常",出库单!$C$4:$C$4003,"&gt;="&amp;账期起,出库单!$C$4:$C$4003,"&lt;="&amp;账期止),0))</f>
        <v/>
      </c>
      <c r="V244" s="27">
        <f>IF($A244="","",SUMIFS(出库单!$J$4:$J$4003,出库单!$D$4:$D$4003,$A244,出库单!$K$4:$K$4003,"退货给供应商",出库单!$U$4:$U$4003,"正常",出库单!$C$4:$C$4003,"&gt;="&amp;账期起,出库单!$C$4:$C$4003,"&lt;="&amp;账期止))</f>
        <v/>
      </c>
      <c r="W244" s="26">
        <f>IF($A244="","",ROUND(SUMIFS(出库单!$S$4:$S$4003,出库单!$D$4:$D$4003,$A244,出库单!$K$4:$K$4003,"退货给供应商",出库单!$U$4:$U$4003,"正常",出库单!$C$4:$C$4003,"&gt;="&amp;账期起,出库单!$C$4:$C$4003,"&lt;="&amp;账期止),0))</f>
        <v/>
      </c>
      <c r="X244" s="27">
        <f>IF($A244="","",ROUND(N($G244)+$I244+$L244+$N244-$P244-$R244-$T244-$V244,3))</f>
        <v/>
      </c>
      <c r="Y244" s="26">
        <f>IF($A244="","",ROUND(N($H244)+$J244+$M244+$O244-$Q244-$S244-$U244-$W244,0))</f>
        <v/>
      </c>
      <c r="Z244" s="24">
        <f>IF($A244="","",IF(COUNTIFS(入库单!$G$4:$G$2503,$A244,入库单!$Y$4:$Y$2503,"待补价")+COUNTIFS(入库单!$G$4:$G$2503,$A244,入库单!$Y$4:$Y$2503,"暂估")&gt;0,"不可信","可信"))</f>
        <v/>
      </c>
      <c r="AA244" s="24">
        <f>IF($A244="","",IF($X244&lt;-0.001,"※账面负库存，查一下是不是漏记入库",IF(AND(ROUND($X244,3)=0,ABS($Y244)&gt;1),"※数量已经是 0，金额还挂着 "&amp;TEXT($Y244,"#,##0")&amp;" 先令",IF(AND($X244&gt;0,$Y244&lt;=0,$K244=0),"※有数量没金额（这个物料一直没填过进价）",IF($Z244="不可信","△成本含待补价/暂估，毛利仅供参考","")))))</f>
        <v/>
      </c>
    </row>
    <row r="245">
      <c r="A245" s="24">
        <f>IF(物料档案!$A244="","",物料档案!$A244)</f>
        <v/>
      </c>
      <c r="B245" s="24">
        <f>IF($A245="","",IFERROR(VLOOKUP($A245,物料档案!$A$4:$P$1203,3,0),""))</f>
        <v/>
      </c>
      <c r="C245" s="24">
        <f>IF($A245="","",IFERROR(VLOOKUP($A245,物料档案!$A$4:$P$1203,4,0),""))</f>
        <v/>
      </c>
      <c r="D245" s="24">
        <f>IF($A245="","",IFERROR(VLOOKUP($A245,物料档案!$A$4:$P$1203,5,0),""))</f>
        <v/>
      </c>
      <c r="E245" s="24">
        <f>IF($A245="","",IFERROR(VLOOKUP($A245,物料档案!$A$4:$P$1203,2,0),""))</f>
        <v/>
      </c>
      <c r="F245" s="24">
        <f>IF($A245="","",IFERROR(VLOOKUP($A245,物料档案!$A$4:$P$1203,6,0),""))</f>
        <v/>
      </c>
      <c r="G245" s="23" t="n"/>
      <c r="H245" s="32" t="n"/>
      <c r="I245" s="27">
        <f>IF($A245="","",SUMIFS(入库单!$K$4:$K$2503,入库单!$G$4:$G$2503,$A245,入库单!$X$4:$X$2503,"采购入库",入库单!$Z$4:$Z$2503,"正常",入库单!$C$4:$C$2503,"&gt;="&amp;账期起,入库单!$C$4:$C$2503,"&lt;="&amp;账期止))</f>
        <v/>
      </c>
      <c r="J245" s="26">
        <f>IF($A245="","",SUMIFS(入库单!$V$4:$V$2503,入库单!$G$4:$G$2503,$A245,入库单!$X$4:$X$2503,"采购入库",入库单!$Z$4:$Z$2503,"正常",入库单!$C$4:$C$2503,"&gt;="&amp;账期起,入库单!$C$4:$C$2503,"&lt;="&amp;账期止))</f>
        <v/>
      </c>
      <c r="K245" s="26">
        <f>IF($A245="","",IFERROR(ROUND((N($H245)+N($J245))/(N($G245)+N($I245)),2),0))</f>
        <v/>
      </c>
      <c r="L245" s="27">
        <f>IF($A245="","",SUMIFS(入库单!$K$4:$K$2503,入库单!$G$4:$G$2503,$A245,入库单!$X$4:$X$2503,"盘盈",入库单!$Z$4:$Z$2503,"正常",入库单!$C$4:$C$2503,"&gt;="&amp;账期起,入库单!$C$4:$C$2503,"&lt;="&amp;账期止))</f>
        <v/>
      </c>
      <c r="M245" s="26">
        <f>IF($A245="","",ROUND($L245*$K245,0))</f>
        <v/>
      </c>
      <c r="N245" s="27">
        <f>IF($A245="","",SUMIFS(入库单!$K$4:$K$2503,入库单!$G$4:$G$2503,$A245,入库单!$X$4:$X$2503,"矿区退库",入库单!$Z$4:$Z$2503,"正常",入库单!$C$4:$C$2503,"&gt;="&amp;账期起,入库单!$C$4:$C$2503,"&lt;="&amp;账期止))</f>
        <v/>
      </c>
      <c r="O245" s="26">
        <f>IF($A245="","",ROUND($N245*$K245,0))</f>
        <v/>
      </c>
      <c r="P245" s="27">
        <f>IF($A245="","",SUMIFS(出库单!$J$4:$J$4003,出库单!$D$4:$D$4003,$A245,出库单!$K$4:$K$4003,"自用消耗",出库单!$U$4:$U$4003,"正常",出库单!$C$4:$C$4003,"&gt;="&amp;账期起,出库单!$C$4:$C$4003,"&lt;="&amp;账期止))</f>
        <v/>
      </c>
      <c r="Q245" s="26">
        <f>IF($A245="","",ROUND(SUMIFS(出库单!$S$4:$S$4003,出库单!$D$4:$D$4003,$A245,出库单!$K$4:$K$4003,"自用消耗",出库单!$U$4:$U$4003,"正常",出库单!$C$4:$C$4003,"&gt;="&amp;账期起,出库单!$C$4:$C$4003,"&lt;="&amp;账期止),0))</f>
        <v/>
      </c>
      <c r="R245" s="27">
        <f>IF($A245="","",SUMIFS(出库单!$J$4:$J$4003,出库单!$D$4:$D$4003,$A245,出库单!$K$4:$K$4003,"对外销售",出库单!$U$4:$U$4003,"正常",出库单!$C$4:$C$4003,"&gt;="&amp;账期起,出库单!$C$4:$C$4003,"&lt;="&amp;账期止))</f>
        <v/>
      </c>
      <c r="S245" s="26">
        <f>IF($A245="","",ROUND(SUMIFS(出库单!$S$4:$S$4003,出库单!$D$4:$D$4003,$A245,出库单!$K$4:$K$4003,"对外销售",出库单!$U$4:$U$4003,"正常",出库单!$C$4:$C$4003,"&gt;="&amp;账期起,出库单!$C$4:$C$4003,"&lt;="&amp;账期止),0))</f>
        <v/>
      </c>
      <c r="T245" s="27">
        <f>IF($A245="","",SUMIFS(出库单!$J$4:$J$4003,出库单!$D$4:$D$4003,$A245,出库单!$K$4:$K$4003,"盘亏",出库单!$U$4:$U$4003,"正常",出库单!$C$4:$C$4003,"&gt;="&amp;账期起,出库单!$C$4:$C$4003,"&lt;="&amp;账期止))</f>
        <v/>
      </c>
      <c r="U245" s="26">
        <f>IF($A245="","",ROUND(SUMIFS(出库单!$S$4:$S$4003,出库单!$D$4:$D$4003,$A245,出库单!$K$4:$K$4003,"盘亏",出库单!$U$4:$U$4003,"正常",出库单!$C$4:$C$4003,"&gt;="&amp;账期起,出库单!$C$4:$C$4003,"&lt;="&amp;账期止),0))</f>
        <v/>
      </c>
      <c r="V245" s="27">
        <f>IF($A245="","",SUMIFS(出库单!$J$4:$J$4003,出库单!$D$4:$D$4003,$A245,出库单!$K$4:$K$4003,"退货给供应商",出库单!$U$4:$U$4003,"正常",出库单!$C$4:$C$4003,"&gt;="&amp;账期起,出库单!$C$4:$C$4003,"&lt;="&amp;账期止))</f>
        <v/>
      </c>
      <c r="W245" s="26">
        <f>IF($A245="","",ROUND(SUMIFS(出库单!$S$4:$S$4003,出库单!$D$4:$D$4003,$A245,出库单!$K$4:$K$4003,"退货给供应商",出库单!$U$4:$U$4003,"正常",出库单!$C$4:$C$4003,"&gt;="&amp;账期起,出库单!$C$4:$C$4003,"&lt;="&amp;账期止),0))</f>
        <v/>
      </c>
      <c r="X245" s="27">
        <f>IF($A245="","",ROUND(N($G245)+$I245+$L245+$N245-$P245-$R245-$T245-$V245,3))</f>
        <v/>
      </c>
      <c r="Y245" s="26">
        <f>IF($A245="","",ROUND(N($H245)+$J245+$M245+$O245-$Q245-$S245-$U245-$W245,0))</f>
        <v/>
      </c>
      <c r="Z245" s="24">
        <f>IF($A245="","",IF(COUNTIFS(入库单!$G$4:$G$2503,$A245,入库单!$Y$4:$Y$2503,"待补价")+COUNTIFS(入库单!$G$4:$G$2503,$A245,入库单!$Y$4:$Y$2503,"暂估")&gt;0,"不可信","可信"))</f>
        <v/>
      </c>
      <c r="AA245" s="24">
        <f>IF($A245="","",IF($X245&lt;-0.001,"※账面负库存，查一下是不是漏记入库",IF(AND(ROUND($X245,3)=0,ABS($Y245)&gt;1),"※数量已经是 0，金额还挂着 "&amp;TEXT($Y245,"#,##0")&amp;" 先令",IF(AND($X245&gt;0,$Y245&lt;=0,$K245=0),"※有数量没金额（这个物料一直没填过进价）",IF($Z245="不可信","△成本含待补价/暂估，毛利仅供参考","")))))</f>
        <v/>
      </c>
    </row>
    <row r="246">
      <c r="A246" s="24">
        <f>IF(物料档案!$A245="","",物料档案!$A245)</f>
        <v/>
      </c>
      <c r="B246" s="24">
        <f>IF($A246="","",IFERROR(VLOOKUP($A246,物料档案!$A$4:$P$1203,3,0),""))</f>
        <v/>
      </c>
      <c r="C246" s="24">
        <f>IF($A246="","",IFERROR(VLOOKUP($A246,物料档案!$A$4:$P$1203,4,0),""))</f>
        <v/>
      </c>
      <c r="D246" s="24">
        <f>IF($A246="","",IFERROR(VLOOKUP($A246,物料档案!$A$4:$P$1203,5,0),""))</f>
        <v/>
      </c>
      <c r="E246" s="24">
        <f>IF($A246="","",IFERROR(VLOOKUP($A246,物料档案!$A$4:$P$1203,2,0),""))</f>
        <v/>
      </c>
      <c r="F246" s="24">
        <f>IF($A246="","",IFERROR(VLOOKUP($A246,物料档案!$A$4:$P$1203,6,0),""))</f>
        <v/>
      </c>
      <c r="G246" s="23" t="n"/>
      <c r="H246" s="32" t="n"/>
      <c r="I246" s="27">
        <f>IF($A246="","",SUMIFS(入库单!$K$4:$K$2503,入库单!$G$4:$G$2503,$A246,入库单!$X$4:$X$2503,"采购入库",入库单!$Z$4:$Z$2503,"正常",入库单!$C$4:$C$2503,"&gt;="&amp;账期起,入库单!$C$4:$C$2503,"&lt;="&amp;账期止))</f>
        <v/>
      </c>
      <c r="J246" s="26">
        <f>IF($A246="","",SUMIFS(入库单!$V$4:$V$2503,入库单!$G$4:$G$2503,$A246,入库单!$X$4:$X$2503,"采购入库",入库单!$Z$4:$Z$2503,"正常",入库单!$C$4:$C$2503,"&gt;="&amp;账期起,入库单!$C$4:$C$2503,"&lt;="&amp;账期止))</f>
        <v/>
      </c>
      <c r="K246" s="26">
        <f>IF($A246="","",IFERROR(ROUND((N($H246)+N($J246))/(N($G246)+N($I246)),2),0))</f>
        <v/>
      </c>
      <c r="L246" s="27">
        <f>IF($A246="","",SUMIFS(入库单!$K$4:$K$2503,入库单!$G$4:$G$2503,$A246,入库单!$X$4:$X$2503,"盘盈",入库单!$Z$4:$Z$2503,"正常",入库单!$C$4:$C$2503,"&gt;="&amp;账期起,入库单!$C$4:$C$2503,"&lt;="&amp;账期止))</f>
        <v/>
      </c>
      <c r="M246" s="26">
        <f>IF($A246="","",ROUND($L246*$K246,0))</f>
        <v/>
      </c>
      <c r="N246" s="27">
        <f>IF($A246="","",SUMIFS(入库单!$K$4:$K$2503,入库单!$G$4:$G$2503,$A246,入库单!$X$4:$X$2503,"矿区退库",入库单!$Z$4:$Z$2503,"正常",入库单!$C$4:$C$2503,"&gt;="&amp;账期起,入库单!$C$4:$C$2503,"&lt;="&amp;账期止))</f>
        <v/>
      </c>
      <c r="O246" s="26">
        <f>IF($A246="","",ROUND($N246*$K246,0))</f>
        <v/>
      </c>
      <c r="P246" s="27">
        <f>IF($A246="","",SUMIFS(出库单!$J$4:$J$4003,出库单!$D$4:$D$4003,$A246,出库单!$K$4:$K$4003,"自用消耗",出库单!$U$4:$U$4003,"正常",出库单!$C$4:$C$4003,"&gt;="&amp;账期起,出库单!$C$4:$C$4003,"&lt;="&amp;账期止))</f>
        <v/>
      </c>
      <c r="Q246" s="26">
        <f>IF($A246="","",ROUND(SUMIFS(出库单!$S$4:$S$4003,出库单!$D$4:$D$4003,$A246,出库单!$K$4:$K$4003,"自用消耗",出库单!$U$4:$U$4003,"正常",出库单!$C$4:$C$4003,"&gt;="&amp;账期起,出库单!$C$4:$C$4003,"&lt;="&amp;账期止),0))</f>
        <v/>
      </c>
      <c r="R246" s="27">
        <f>IF($A246="","",SUMIFS(出库单!$J$4:$J$4003,出库单!$D$4:$D$4003,$A246,出库单!$K$4:$K$4003,"对外销售",出库单!$U$4:$U$4003,"正常",出库单!$C$4:$C$4003,"&gt;="&amp;账期起,出库单!$C$4:$C$4003,"&lt;="&amp;账期止))</f>
        <v/>
      </c>
      <c r="S246" s="26">
        <f>IF($A246="","",ROUND(SUMIFS(出库单!$S$4:$S$4003,出库单!$D$4:$D$4003,$A246,出库单!$K$4:$K$4003,"对外销售",出库单!$U$4:$U$4003,"正常",出库单!$C$4:$C$4003,"&gt;="&amp;账期起,出库单!$C$4:$C$4003,"&lt;="&amp;账期止),0))</f>
        <v/>
      </c>
      <c r="T246" s="27">
        <f>IF($A246="","",SUMIFS(出库单!$J$4:$J$4003,出库单!$D$4:$D$4003,$A246,出库单!$K$4:$K$4003,"盘亏",出库单!$U$4:$U$4003,"正常",出库单!$C$4:$C$4003,"&gt;="&amp;账期起,出库单!$C$4:$C$4003,"&lt;="&amp;账期止))</f>
        <v/>
      </c>
      <c r="U246" s="26">
        <f>IF($A246="","",ROUND(SUMIFS(出库单!$S$4:$S$4003,出库单!$D$4:$D$4003,$A246,出库单!$K$4:$K$4003,"盘亏",出库单!$U$4:$U$4003,"正常",出库单!$C$4:$C$4003,"&gt;="&amp;账期起,出库单!$C$4:$C$4003,"&lt;="&amp;账期止),0))</f>
        <v/>
      </c>
      <c r="V246" s="27">
        <f>IF($A246="","",SUMIFS(出库单!$J$4:$J$4003,出库单!$D$4:$D$4003,$A246,出库单!$K$4:$K$4003,"退货给供应商",出库单!$U$4:$U$4003,"正常",出库单!$C$4:$C$4003,"&gt;="&amp;账期起,出库单!$C$4:$C$4003,"&lt;="&amp;账期止))</f>
        <v/>
      </c>
      <c r="W246" s="26">
        <f>IF($A246="","",ROUND(SUMIFS(出库单!$S$4:$S$4003,出库单!$D$4:$D$4003,$A246,出库单!$K$4:$K$4003,"退货给供应商",出库单!$U$4:$U$4003,"正常",出库单!$C$4:$C$4003,"&gt;="&amp;账期起,出库单!$C$4:$C$4003,"&lt;="&amp;账期止),0))</f>
        <v/>
      </c>
      <c r="X246" s="27">
        <f>IF($A246="","",ROUND(N($G246)+$I246+$L246+$N246-$P246-$R246-$T246-$V246,3))</f>
        <v/>
      </c>
      <c r="Y246" s="26">
        <f>IF($A246="","",ROUND(N($H246)+$J246+$M246+$O246-$Q246-$S246-$U246-$W246,0))</f>
        <v/>
      </c>
      <c r="Z246" s="24">
        <f>IF($A246="","",IF(COUNTIFS(入库单!$G$4:$G$2503,$A246,入库单!$Y$4:$Y$2503,"待补价")+COUNTIFS(入库单!$G$4:$G$2503,$A246,入库单!$Y$4:$Y$2503,"暂估")&gt;0,"不可信","可信"))</f>
        <v/>
      </c>
      <c r="AA246" s="24">
        <f>IF($A246="","",IF($X246&lt;-0.001,"※账面负库存，查一下是不是漏记入库",IF(AND(ROUND($X246,3)=0,ABS($Y246)&gt;1),"※数量已经是 0，金额还挂着 "&amp;TEXT($Y246,"#,##0")&amp;" 先令",IF(AND($X246&gt;0,$Y246&lt;=0,$K246=0),"※有数量没金额（这个物料一直没填过进价）",IF($Z246="不可信","△成本含待补价/暂估，毛利仅供参考","")))))</f>
        <v/>
      </c>
    </row>
    <row r="247">
      <c r="A247" s="24">
        <f>IF(物料档案!$A246="","",物料档案!$A246)</f>
        <v/>
      </c>
      <c r="B247" s="24">
        <f>IF($A247="","",IFERROR(VLOOKUP($A247,物料档案!$A$4:$P$1203,3,0),""))</f>
        <v/>
      </c>
      <c r="C247" s="24">
        <f>IF($A247="","",IFERROR(VLOOKUP($A247,物料档案!$A$4:$P$1203,4,0),""))</f>
        <v/>
      </c>
      <c r="D247" s="24">
        <f>IF($A247="","",IFERROR(VLOOKUP($A247,物料档案!$A$4:$P$1203,5,0),""))</f>
        <v/>
      </c>
      <c r="E247" s="24">
        <f>IF($A247="","",IFERROR(VLOOKUP($A247,物料档案!$A$4:$P$1203,2,0),""))</f>
        <v/>
      </c>
      <c r="F247" s="24">
        <f>IF($A247="","",IFERROR(VLOOKUP($A247,物料档案!$A$4:$P$1203,6,0),""))</f>
        <v/>
      </c>
      <c r="G247" s="23" t="n"/>
      <c r="H247" s="32" t="n"/>
      <c r="I247" s="27">
        <f>IF($A247="","",SUMIFS(入库单!$K$4:$K$2503,入库单!$G$4:$G$2503,$A247,入库单!$X$4:$X$2503,"采购入库",入库单!$Z$4:$Z$2503,"正常",入库单!$C$4:$C$2503,"&gt;="&amp;账期起,入库单!$C$4:$C$2503,"&lt;="&amp;账期止))</f>
        <v/>
      </c>
      <c r="J247" s="26">
        <f>IF($A247="","",SUMIFS(入库单!$V$4:$V$2503,入库单!$G$4:$G$2503,$A247,入库单!$X$4:$X$2503,"采购入库",入库单!$Z$4:$Z$2503,"正常",入库单!$C$4:$C$2503,"&gt;="&amp;账期起,入库单!$C$4:$C$2503,"&lt;="&amp;账期止))</f>
        <v/>
      </c>
      <c r="K247" s="26">
        <f>IF($A247="","",IFERROR(ROUND((N($H247)+N($J247))/(N($G247)+N($I247)),2),0))</f>
        <v/>
      </c>
      <c r="L247" s="27">
        <f>IF($A247="","",SUMIFS(入库单!$K$4:$K$2503,入库单!$G$4:$G$2503,$A247,入库单!$X$4:$X$2503,"盘盈",入库单!$Z$4:$Z$2503,"正常",入库单!$C$4:$C$2503,"&gt;="&amp;账期起,入库单!$C$4:$C$2503,"&lt;="&amp;账期止))</f>
        <v/>
      </c>
      <c r="M247" s="26">
        <f>IF($A247="","",ROUND($L247*$K247,0))</f>
        <v/>
      </c>
      <c r="N247" s="27">
        <f>IF($A247="","",SUMIFS(入库单!$K$4:$K$2503,入库单!$G$4:$G$2503,$A247,入库单!$X$4:$X$2503,"矿区退库",入库单!$Z$4:$Z$2503,"正常",入库单!$C$4:$C$2503,"&gt;="&amp;账期起,入库单!$C$4:$C$2503,"&lt;="&amp;账期止))</f>
        <v/>
      </c>
      <c r="O247" s="26">
        <f>IF($A247="","",ROUND($N247*$K247,0))</f>
        <v/>
      </c>
      <c r="P247" s="27">
        <f>IF($A247="","",SUMIFS(出库单!$J$4:$J$4003,出库单!$D$4:$D$4003,$A247,出库单!$K$4:$K$4003,"自用消耗",出库单!$U$4:$U$4003,"正常",出库单!$C$4:$C$4003,"&gt;="&amp;账期起,出库单!$C$4:$C$4003,"&lt;="&amp;账期止))</f>
        <v/>
      </c>
      <c r="Q247" s="26">
        <f>IF($A247="","",ROUND(SUMIFS(出库单!$S$4:$S$4003,出库单!$D$4:$D$4003,$A247,出库单!$K$4:$K$4003,"自用消耗",出库单!$U$4:$U$4003,"正常",出库单!$C$4:$C$4003,"&gt;="&amp;账期起,出库单!$C$4:$C$4003,"&lt;="&amp;账期止),0))</f>
        <v/>
      </c>
      <c r="R247" s="27">
        <f>IF($A247="","",SUMIFS(出库单!$J$4:$J$4003,出库单!$D$4:$D$4003,$A247,出库单!$K$4:$K$4003,"对外销售",出库单!$U$4:$U$4003,"正常",出库单!$C$4:$C$4003,"&gt;="&amp;账期起,出库单!$C$4:$C$4003,"&lt;="&amp;账期止))</f>
        <v/>
      </c>
      <c r="S247" s="26">
        <f>IF($A247="","",ROUND(SUMIFS(出库单!$S$4:$S$4003,出库单!$D$4:$D$4003,$A247,出库单!$K$4:$K$4003,"对外销售",出库单!$U$4:$U$4003,"正常",出库单!$C$4:$C$4003,"&gt;="&amp;账期起,出库单!$C$4:$C$4003,"&lt;="&amp;账期止),0))</f>
        <v/>
      </c>
      <c r="T247" s="27">
        <f>IF($A247="","",SUMIFS(出库单!$J$4:$J$4003,出库单!$D$4:$D$4003,$A247,出库单!$K$4:$K$4003,"盘亏",出库单!$U$4:$U$4003,"正常",出库单!$C$4:$C$4003,"&gt;="&amp;账期起,出库单!$C$4:$C$4003,"&lt;="&amp;账期止))</f>
        <v/>
      </c>
      <c r="U247" s="26">
        <f>IF($A247="","",ROUND(SUMIFS(出库单!$S$4:$S$4003,出库单!$D$4:$D$4003,$A247,出库单!$K$4:$K$4003,"盘亏",出库单!$U$4:$U$4003,"正常",出库单!$C$4:$C$4003,"&gt;="&amp;账期起,出库单!$C$4:$C$4003,"&lt;="&amp;账期止),0))</f>
        <v/>
      </c>
      <c r="V247" s="27">
        <f>IF($A247="","",SUMIFS(出库单!$J$4:$J$4003,出库单!$D$4:$D$4003,$A247,出库单!$K$4:$K$4003,"退货给供应商",出库单!$U$4:$U$4003,"正常",出库单!$C$4:$C$4003,"&gt;="&amp;账期起,出库单!$C$4:$C$4003,"&lt;="&amp;账期止))</f>
        <v/>
      </c>
      <c r="W247" s="26">
        <f>IF($A247="","",ROUND(SUMIFS(出库单!$S$4:$S$4003,出库单!$D$4:$D$4003,$A247,出库单!$K$4:$K$4003,"退货给供应商",出库单!$U$4:$U$4003,"正常",出库单!$C$4:$C$4003,"&gt;="&amp;账期起,出库单!$C$4:$C$4003,"&lt;="&amp;账期止),0))</f>
        <v/>
      </c>
      <c r="X247" s="27">
        <f>IF($A247="","",ROUND(N($G247)+$I247+$L247+$N247-$P247-$R247-$T247-$V247,3))</f>
        <v/>
      </c>
      <c r="Y247" s="26">
        <f>IF($A247="","",ROUND(N($H247)+$J247+$M247+$O247-$Q247-$S247-$U247-$W247,0))</f>
        <v/>
      </c>
      <c r="Z247" s="24">
        <f>IF($A247="","",IF(COUNTIFS(入库单!$G$4:$G$2503,$A247,入库单!$Y$4:$Y$2503,"待补价")+COUNTIFS(入库单!$G$4:$G$2503,$A247,入库单!$Y$4:$Y$2503,"暂估")&gt;0,"不可信","可信"))</f>
        <v/>
      </c>
      <c r="AA247" s="24">
        <f>IF($A247="","",IF($X247&lt;-0.001,"※账面负库存，查一下是不是漏记入库",IF(AND(ROUND($X247,3)=0,ABS($Y247)&gt;1),"※数量已经是 0，金额还挂着 "&amp;TEXT($Y247,"#,##0")&amp;" 先令",IF(AND($X247&gt;0,$Y247&lt;=0,$K247=0),"※有数量没金额（这个物料一直没填过进价）",IF($Z247="不可信","△成本含待补价/暂估，毛利仅供参考","")))))</f>
        <v/>
      </c>
    </row>
    <row r="248">
      <c r="A248" s="24">
        <f>IF(物料档案!$A247="","",物料档案!$A247)</f>
        <v/>
      </c>
      <c r="B248" s="24">
        <f>IF($A248="","",IFERROR(VLOOKUP($A248,物料档案!$A$4:$P$1203,3,0),""))</f>
        <v/>
      </c>
      <c r="C248" s="24">
        <f>IF($A248="","",IFERROR(VLOOKUP($A248,物料档案!$A$4:$P$1203,4,0),""))</f>
        <v/>
      </c>
      <c r="D248" s="24">
        <f>IF($A248="","",IFERROR(VLOOKUP($A248,物料档案!$A$4:$P$1203,5,0),""))</f>
        <v/>
      </c>
      <c r="E248" s="24">
        <f>IF($A248="","",IFERROR(VLOOKUP($A248,物料档案!$A$4:$P$1203,2,0),""))</f>
        <v/>
      </c>
      <c r="F248" s="24">
        <f>IF($A248="","",IFERROR(VLOOKUP($A248,物料档案!$A$4:$P$1203,6,0),""))</f>
        <v/>
      </c>
      <c r="G248" s="23" t="n"/>
      <c r="H248" s="32" t="n"/>
      <c r="I248" s="27">
        <f>IF($A248="","",SUMIFS(入库单!$K$4:$K$2503,入库单!$G$4:$G$2503,$A248,入库单!$X$4:$X$2503,"采购入库",入库单!$Z$4:$Z$2503,"正常",入库单!$C$4:$C$2503,"&gt;="&amp;账期起,入库单!$C$4:$C$2503,"&lt;="&amp;账期止))</f>
        <v/>
      </c>
      <c r="J248" s="26">
        <f>IF($A248="","",SUMIFS(入库单!$V$4:$V$2503,入库单!$G$4:$G$2503,$A248,入库单!$X$4:$X$2503,"采购入库",入库单!$Z$4:$Z$2503,"正常",入库单!$C$4:$C$2503,"&gt;="&amp;账期起,入库单!$C$4:$C$2503,"&lt;="&amp;账期止))</f>
        <v/>
      </c>
      <c r="K248" s="26">
        <f>IF($A248="","",IFERROR(ROUND((N($H248)+N($J248))/(N($G248)+N($I248)),2),0))</f>
        <v/>
      </c>
      <c r="L248" s="27">
        <f>IF($A248="","",SUMIFS(入库单!$K$4:$K$2503,入库单!$G$4:$G$2503,$A248,入库单!$X$4:$X$2503,"盘盈",入库单!$Z$4:$Z$2503,"正常",入库单!$C$4:$C$2503,"&gt;="&amp;账期起,入库单!$C$4:$C$2503,"&lt;="&amp;账期止))</f>
        <v/>
      </c>
      <c r="M248" s="26">
        <f>IF($A248="","",ROUND($L248*$K248,0))</f>
        <v/>
      </c>
      <c r="N248" s="27">
        <f>IF($A248="","",SUMIFS(入库单!$K$4:$K$2503,入库单!$G$4:$G$2503,$A248,入库单!$X$4:$X$2503,"矿区退库",入库单!$Z$4:$Z$2503,"正常",入库单!$C$4:$C$2503,"&gt;="&amp;账期起,入库单!$C$4:$C$2503,"&lt;="&amp;账期止))</f>
        <v/>
      </c>
      <c r="O248" s="26">
        <f>IF($A248="","",ROUND($N248*$K248,0))</f>
        <v/>
      </c>
      <c r="P248" s="27">
        <f>IF($A248="","",SUMIFS(出库单!$J$4:$J$4003,出库单!$D$4:$D$4003,$A248,出库单!$K$4:$K$4003,"自用消耗",出库单!$U$4:$U$4003,"正常",出库单!$C$4:$C$4003,"&gt;="&amp;账期起,出库单!$C$4:$C$4003,"&lt;="&amp;账期止))</f>
        <v/>
      </c>
      <c r="Q248" s="26">
        <f>IF($A248="","",ROUND(SUMIFS(出库单!$S$4:$S$4003,出库单!$D$4:$D$4003,$A248,出库单!$K$4:$K$4003,"自用消耗",出库单!$U$4:$U$4003,"正常",出库单!$C$4:$C$4003,"&gt;="&amp;账期起,出库单!$C$4:$C$4003,"&lt;="&amp;账期止),0))</f>
        <v/>
      </c>
      <c r="R248" s="27">
        <f>IF($A248="","",SUMIFS(出库单!$J$4:$J$4003,出库单!$D$4:$D$4003,$A248,出库单!$K$4:$K$4003,"对外销售",出库单!$U$4:$U$4003,"正常",出库单!$C$4:$C$4003,"&gt;="&amp;账期起,出库单!$C$4:$C$4003,"&lt;="&amp;账期止))</f>
        <v/>
      </c>
      <c r="S248" s="26">
        <f>IF($A248="","",ROUND(SUMIFS(出库单!$S$4:$S$4003,出库单!$D$4:$D$4003,$A248,出库单!$K$4:$K$4003,"对外销售",出库单!$U$4:$U$4003,"正常",出库单!$C$4:$C$4003,"&gt;="&amp;账期起,出库单!$C$4:$C$4003,"&lt;="&amp;账期止),0))</f>
        <v/>
      </c>
      <c r="T248" s="27">
        <f>IF($A248="","",SUMIFS(出库单!$J$4:$J$4003,出库单!$D$4:$D$4003,$A248,出库单!$K$4:$K$4003,"盘亏",出库单!$U$4:$U$4003,"正常",出库单!$C$4:$C$4003,"&gt;="&amp;账期起,出库单!$C$4:$C$4003,"&lt;="&amp;账期止))</f>
        <v/>
      </c>
      <c r="U248" s="26">
        <f>IF($A248="","",ROUND(SUMIFS(出库单!$S$4:$S$4003,出库单!$D$4:$D$4003,$A248,出库单!$K$4:$K$4003,"盘亏",出库单!$U$4:$U$4003,"正常",出库单!$C$4:$C$4003,"&gt;="&amp;账期起,出库单!$C$4:$C$4003,"&lt;="&amp;账期止),0))</f>
        <v/>
      </c>
      <c r="V248" s="27">
        <f>IF($A248="","",SUMIFS(出库单!$J$4:$J$4003,出库单!$D$4:$D$4003,$A248,出库单!$K$4:$K$4003,"退货给供应商",出库单!$U$4:$U$4003,"正常",出库单!$C$4:$C$4003,"&gt;="&amp;账期起,出库单!$C$4:$C$4003,"&lt;="&amp;账期止))</f>
        <v/>
      </c>
      <c r="W248" s="26">
        <f>IF($A248="","",ROUND(SUMIFS(出库单!$S$4:$S$4003,出库单!$D$4:$D$4003,$A248,出库单!$K$4:$K$4003,"退货给供应商",出库单!$U$4:$U$4003,"正常",出库单!$C$4:$C$4003,"&gt;="&amp;账期起,出库单!$C$4:$C$4003,"&lt;="&amp;账期止),0))</f>
        <v/>
      </c>
      <c r="X248" s="27">
        <f>IF($A248="","",ROUND(N($G248)+$I248+$L248+$N248-$P248-$R248-$T248-$V248,3))</f>
        <v/>
      </c>
      <c r="Y248" s="26">
        <f>IF($A248="","",ROUND(N($H248)+$J248+$M248+$O248-$Q248-$S248-$U248-$W248,0))</f>
        <v/>
      </c>
      <c r="Z248" s="24">
        <f>IF($A248="","",IF(COUNTIFS(入库单!$G$4:$G$2503,$A248,入库单!$Y$4:$Y$2503,"待补价")+COUNTIFS(入库单!$G$4:$G$2503,$A248,入库单!$Y$4:$Y$2503,"暂估")&gt;0,"不可信","可信"))</f>
        <v/>
      </c>
      <c r="AA248" s="24">
        <f>IF($A248="","",IF($X248&lt;-0.001,"※账面负库存，查一下是不是漏记入库",IF(AND(ROUND($X248,3)=0,ABS($Y248)&gt;1),"※数量已经是 0，金额还挂着 "&amp;TEXT($Y248,"#,##0")&amp;" 先令",IF(AND($X248&gt;0,$Y248&lt;=0,$K248=0),"※有数量没金额（这个物料一直没填过进价）",IF($Z248="不可信","△成本含待补价/暂估，毛利仅供参考","")))))</f>
        <v/>
      </c>
    </row>
    <row r="249">
      <c r="A249" s="24">
        <f>IF(物料档案!$A248="","",物料档案!$A248)</f>
        <v/>
      </c>
      <c r="B249" s="24">
        <f>IF($A249="","",IFERROR(VLOOKUP($A249,物料档案!$A$4:$P$1203,3,0),""))</f>
        <v/>
      </c>
      <c r="C249" s="24">
        <f>IF($A249="","",IFERROR(VLOOKUP($A249,物料档案!$A$4:$P$1203,4,0),""))</f>
        <v/>
      </c>
      <c r="D249" s="24">
        <f>IF($A249="","",IFERROR(VLOOKUP($A249,物料档案!$A$4:$P$1203,5,0),""))</f>
        <v/>
      </c>
      <c r="E249" s="24">
        <f>IF($A249="","",IFERROR(VLOOKUP($A249,物料档案!$A$4:$P$1203,2,0),""))</f>
        <v/>
      </c>
      <c r="F249" s="24">
        <f>IF($A249="","",IFERROR(VLOOKUP($A249,物料档案!$A$4:$P$1203,6,0),""))</f>
        <v/>
      </c>
      <c r="G249" s="23" t="n"/>
      <c r="H249" s="32" t="n"/>
      <c r="I249" s="27">
        <f>IF($A249="","",SUMIFS(入库单!$K$4:$K$2503,入库单!$G$4:$G$2503,$A249,入库单!$X$4:$X$2503,"采购入库",入库单!$Z$4:$Z$2503,"正常",入库单!$C$4:$C$2503,"&gt;="&amp;账期起,入库单!$C$4:$C$2503,"&lt;="&amp;账期止))</f>
        <v/>
      </c>
      <c r="J249" s="26">
        <f>IF($A249="","",SUMIFS(入库单!$V$4:$V$2503,入库单!$G$4:$G$2503,$A249,入库单!$X$4:$X$2503,"采购入库",入库单!$Z$4:$Z$2503,"正常",入库单!$C$4:$C$2503,"&gt;="&amp;账期起,入库单!$C$4:$C$2503,"&lt;="&amp;账期止))</f>
        <v/>
      </c>
      <c r="K249" s="26">
        <f>IF($A249="","",IFERROR(ROUND((N($H249)+N($J249))/(N($G249)+N($I249)),2),0))</f>
        <v/>
      </c>
      <c r="L249" s="27">
        <f>IF($A249="","",SUMIFS(入库单!$K$4:$K$2503,入库单!$G$4:$G$2503,$A249,入库单!$X$4:$X$2503,"盘盈",入库单!$Z$4:$Z$2503,"正常",入库单!$C$4:$C$2503,"&gt;="&amp;账期起,入库单!$C$4:$C$2503,"&lt;="&amp;账期止))</f>
        <v/>
      </c>
      <c r="M249" s="26">
        <f>IF($A249="","",ROUND($L249*$K249,0))</f>
        <v/>
      </c>
      <c r="N249" s="27">
        <f>IF($A249="","",SUMIFS(入库单!$K$4:$K$2503,入库单!$G$4:$G$2503,$A249,入库单!$X$4:$X$2503,"矿区退库",入库单!$Z$4:$Z$2503,"正常",入库单!$C$4:$C$2503,"&gt;="&amp;账期起,入库单!$C$4:$C$2503,"&lt;="&amp;账期止))</f>
        <v/>
      </c>
      <c r="O249" s="26">
        <f>IF($A249="","",ROUND($N249*$K249,0))</f>
        <v/>
      </c>
      <c r="P249" s="27">
        <f>IF($A249="","",SUMIFS(出库单!$J$4:$J$4003,出库单!$D$4:$D$4003,$A249,出库单!$K$4:$K$4003,"自用消耗",出库单!$U$4:$U$4003,"正常",出库单!$C$4:$C$4003,"&gt;="&amp;账期起,出库单!$C$4:$C$4003,"&lt;="&amp;账期止))</f>
        <v/>
      </c>
      <c r="Q249" s="26">
        <f>IF($A249="","",ROUND(SUMIFS(出库单!$S$4:$S$4003,出库单!$D$4:$D$4003,$A249,出库单!$K$4:$K$4003,"自用消耗",出库单!$U$4:$U$4003,"正常",出库单!$C$4:$C$4003,"&gt;="&amp;账期起,出库单!$C$4:$C$4003,"&lt;="&amp;账期止),0))</f>
        <v/>
      </c>
      <c r="R249" s="27">
        <f>IF($A249="","",SUMIFS(出库单!$J$4:$J$4003,出库单!$D$4:$D$4003,$A249,出库单!$K$4:$K$4003,"对外销售",出库单!$U$4:$U$4003,"正常",出库单!$C$4:$C$4003,"&gt;="&amp;账期起,出库单!$C$4:$C$4003,"&lt;="&amp;账期止))</f>
        <v/>
      </c>
      <c r="S249" s="26">
        <f>IF($A249="","",ROUND(SUMIFS(出库单!$S$4:$S$4003,出库单!$D$4:$D$4003,$A249,出库单!$K$4:$K$4003,"对外销售",出库单!$U$4:$U$4003,"正常",出库单!$C$4:$C$4003,"&gt;="&amp;账期起,出库单!$C$4:$C$4003,"&lt;="&amp;账期止),0))</f>
        <v/>
      </c>
      <c r="T249" s="27">
        <f>IF($A249="","",SUMIFS(出库单!$J$4:$J$4003,出库单!$D$4:$D$4003,$A249,出库单!$K$4:$K$4003,"盘亏",出库单!$U$4:$U$4003,"正常",出库单!$C$4:$C$4003,"&gt;="&amp;账期起,出库单!$C$4:$C$4003,"&lt;="&amp;账期止))</f>
        <v/>
      </c>
      <c r="U249" s="26">
        <f>IF($A249="","",ROUND(SUMIFS(出库单!$S$4:$S$4003,出库单!$D$4:$D$4003,$A249,出库单!$K$4:$K$4003,"盘亏",出库单!$U$4:$U$4003,"正常",出库单!$C$4:$C$4003,"&gt;="&amp;账期起,出库单!$C$4:$C$4003,"&lt;="&amp;账期止),0))</f>
        <v/>
      </c>
      <c r="V249" s="27">
        <f>IF($A249="","",SUMIFS(出库单!$J$4:$J$4003,出库单!$D$4:$D$4003,$A249,出库单!$K$4:$K$4003,"退货给供应商",出库单!$U$4:$U$4003,"正常",出库单!$C$4:$C$4003,"&gt;="&amp;账期起,出库单!$C$4:$C$4003,"&lt;="&amp;账期止))</f>
        <v/>
      </c>
      <c r="W249" s="26">
        <f>IF($A249="","",ROUND(SUMIFS(出库单!$S$4:$S$4003,出库单!$D$4:$D$4003,$A249,出库单!$K$4:$K$4003,"退货给供应商",出库单!$U$4:$U$4003,"正常",出库单!$C$4:$C$4003,"&gt;="&amp;账期起,出库单!$C$4:$C$4003,"&lt;="&amp;账期止),0))</f>
        <v/>
      </c>
      <c r="X249" s="27">
        <f>IF($A249="","",ROUND(N($G249)+$I249+$L249+$N249-$P249-$R249-$T249-$V249,3))</f>
        <v/>
      </c>
      <c r="Y249" s="26">
        <f>IF($A249="","",ROUND(N($H249)+$J249+$M249+$O249-$Q249-$S249-$U249-$W249,0))</f>
        <v/>
      </c>
      <c r="Z249" s="24">
        <f>IF($A249="","",IF(COUNTIFS(入库单!$G$4:$G$2503,$A249,入库单!$Y$4:$Y$2503,"待补价")+COUNTIFS(入库单!$G$4:$G$2503,$A249,入库单!$Y$4:$Y$2503,"暂估")&gt;0,"不可信","可信"))</f>
        <v/>
      </c>
      <c r="AA249" s="24">
        <f>IF($A249="","",IF($X249&lt;-0.001,"※账面负库存，查一下是不是漏记入库",IF(AND(ROUND($X249,3)=0,ABS($Y249)&gt;1),"※数量已经是 0，金额还挂着 "&amp;TEXT($Y249,"#,##0")&amp;" 先令",IF(AND($X249&gt;0,$Y249&lt;=0,$K249=0),"※有数量没金额（这个物料一直没填过进价）",IF($Z249="不可信","△成本含待补价/暂估，毛利仅供参考","")))))</f>
        <v/>
      </c>
    </row>
    <row r="250">
      <c r="A250" s="24">
        <f>IF(物料档案!$A249="","",物料档案!$A249)</f>
        <v/>
      </c>
      <c r="B250" s="24">
        <f>IF($A250="","",IFERROR(VLOOKUP($A250,物料档案!$A$4:$P$1203,3,0),""))</f>
        <v/>
      </c>
      <c r="C250" s="24">
        <f>IF($A250="","",IFERROR(VLOOKUP($A250,物料档案!$A$4:$P$1203,4,0),""))</f>
        <v/>
      </c>
      <c r="D250" s="24">
        <f>IF($A250="","",IFERROR(VLOOKUP($A250,物料档案!$A$4:$P$1203,5,0),""))</f>
        <v/>
      </c>
      <c r="E250" s="24">
        <f>IF($A250="","",IFERROR(VLOOKUP($A250,物料档案!$A$4:$P$1203,2,0),""))</f>
        <v/>
      </c>
      <c r="F250" s="24">
        <f>IF($A250="","",IFERROR(VLOOKUP($A250,物料档案!$A$4:$P$1203,6,0),""))</f>
        <v/>
      </c>
      <c r="G250" s="23" t="n"/>
      <c r="H250" s="32" t="n"/>
      <c r="I250" s="27">
        <f>IF($A250="","",SUMIFS(入库单!$K$4:$K$2503,入库单!$G$4:$G$2503,$A250,入库单!$X$4:$X$2503,"采购入库",入库单!$Z$4:$Z$2503,"正常",入库单!$C$4:$C$2503,"&gt;="&amp;账期起,入库单!$C$4:$C$2503,"&lt;="&amp;账期止))</f>
        <v/>
      </c>
      <c r="J250" s="26">
        <f>IF($A250="","",SUMIFS(入库单!$V$4:$V$2503,入库单!$G$4:$G$2503,$A250,入库单!$X$4:$X$2503,"采购入库",入库单!$Z$4:$Z$2503,"正常",入库单!$C$4:$C$2503,"&gt;="&amp;账期起,入库单!$C$4:$C$2503,"&lt;="&amp;账期止))</f>
        <v/>
      </c>
      <c r="K250" s="26">
        <f>IF($A250="","",IFERROR(ROUND((N($H250)+N($J250))/(N($G250)+N($I250)),2),0))</f>
        <v/>
      </c>
      <c r="L250" s="27">
        <f>IF($A250="","",SUMIFS(入库单!$K$4:$K$2503,入库单!$G$4:$G$2503,$A250,入库单!$X$4:$X$2503,"盘盈",入库单!$Z$4:$Z$2503,"正常",入库单!$C$4:$C$2503,"&gt;="&amp;账期起,入库单!$C$4:$C$2503,"&lt;="&amp;账期止))</f>
        <v/>
      </c>
      <c r="M250" s="26">
        <f>IF($A250="","",ROUND($L250*$K250,0))</f>
        <v/>
      </c>
      <c r="N250" s="27">
        <f>IF($A250="","",SUMIFS(入库单!$K$4:$K$2503,入库单!$G$4:$G$2503,$A250,入库单!$X$4:$X$2503,"矿区退库",入库单!$Z$4:$Z$2503,"正常",入库单!$C$4:$C$2503,"&gt;="&amp;账期起,入库单!$C$4:$C$2503,"&lt;="&amp;账期止))</f>
        <v/>
      </c>
      <c r="O250" s="26">
        <f>IF($A250="","",ROUND($N250*$K250,0))</f>
        <v/>
      </c>
      <c r="P250" s="27">
        <f>IF($A250="","",SUMIFS(出库单!$J$4:$J$4003,出库单!$D$4:$D$4003,$A250,出库单!$K$4:$K$4003,"自用消耗",出库单!$U$4:$U$4003,"正常",出库单!$C$4:$C$4003,"&gt;="&amp;账期起,出库单!$C$4:$C$4003,"&lt;="&amp;账期止))</f>
        <v/>
      </c>
      <c r="Q250" s="26">
        <f>IF($A250="","",ROUND(SUMIFS(出库单!$S$4:$S$4003,出库单!$D$4:$D$4003,$A250,出库单!$K$4:$K$4003,"自用消耗",出库单!$U$4:$U$4003,"正常",出库单!$C$4:$C$4003,"&gt;="&amp;账期起,出库单!$C$4:$C$4003,"&lt;="&amp;账期止),0))</f>
        <v/>
      </c>
      <c r="R250" s="27">
        <f>IF($A250="","",SUMIFS(出库单!$J$4:$J$4003,出库单!$D$4:$D$4003,$A250,出库单!$K$4:$K$4003,"对外销售",出库单!$U$4:$U$4003,"正常",出库单!$C$4:$C$4003,"&gt;="&amp;账期起,出库单!$C$4:$C$4003,"&lt;="&amp;账期止))</f>
        <v/>
      </c>
      <c r="S250" s="26">
        <f>IF($A250="","",ROUND(SUMIFS(出库单!$S$4:$S$4003,出库单!$D$4:$D$4003,$A250,出库单!$K$4:$K$4003,"对外销售",出库单!$U$4:$U$4003,"正常",出库单!$C$4:$C$4003,"&gt;="&amp;账期起,出库单!$C$4:$C$4003,"&lt;="&amp;账期止),0))</f>
        <v/>
      </c>
      <c r="T250" s="27">
        <f>IF($A250="","",SUMIFS(出库单!$J$4:$J$4003,出库单!$D$4:$D$4003,$A250,出库单!$K$4:$K$4003,"盘亏",出库单!$U$4:$U$4003,"正常",出库单!$C$4:$C$4003,"&gt;="&amp;账期起,出库单!$C$4:$C$4003,"&lt;="&amp;账期止))</f>
        <v/>
      </c>
      <c r="U250" s="26">
        <f>IF($A250="","",ROUND(SUMIFS(出库单!$S$4:$S$4003,出库单!$D$4:$D$4003,$A250,出库单!$K$4:$K$4003,"盘亏",出库单!$U$4:$U$4003,"正常",出库单!$C$4:$C$4003,"&gt;="&amp;账期起,出库单!$C$4:$C$4003,"&lt;="&amp;账期止),0))</f>
        <v/>
      </c>
      <c r="V250" s="27">
        <f>IF($A250="","",SUMIFS(出库单!$J$4:$J$4003,出库单!$D$4:$D$4003,$A250,出库单!$K$4:$K$4003,"退货给供应商",出库单!$U$4:$U$4003,"正常",出库单!$C$4:$C$4003,"&gt;="&amp;账期起,出库单!$C$4:$C$4003,"&lt;="&amp;账期止))</f>
        <v/>
      </c>
      <c r="W250" s="26">
        <f>IF($A250="","",ROUND(SUMIFS(出库单!$S$4:$S$4003,出库单!$D$4:$D$4003,$A250,出库单!$K$4:$K$4003,"退货给供应商",出库单!$U$4:$U$4003,"正常",出库单!$C$4:$C$4003,"&gt;="&amp;账期起,出库单!$C$4:$C$4003,"&lt;="&amp;账期止),0))</f>
        <v/>
      </c>
      <c r="X250" s="27">
        <f>IF($A250="","",ROUND(N($G250)+$I250+$L250+$N250-$P250-$R250-$T250-$V250,3))</f>
        <v/>
      </c>
      <c r="Y250" s="26">
        <f>IF($A250="","",ROUND(N($H250)+$J250+$M250+$O250-$Q250-$S250-$U250-$W250,0))</f>
        <v/>
      </c>
      <c r="Z250" s="24">
        <f>IF($A250="","",IF(COUNTIFS(入库单!$G$4:$G$2503,$A250,入库单!$Y$4:$Y$2503,"待补价")+COUNTIFS(入库单!$G$4:$G$2503,$A250,入库单!$Y$4:$Y$2503,"暂估")&gt;0,"不可信","可信"))</f>
        <v/>
      </c>
      <c r="AA250" s="24">
        <f>IF($A250="","",IF($X250&lt;-0.001,"※账面负库存，查一下是不是漏记入库",IF(AND(ROUND($X250,3)=0,ABS($Y250)&gt;1),"※数量已经是 0，金额还挂着 "&amp;TEXT($Y250,"#,##0")&amp;" 先令",IF(AND($X250&gt;0,$Y250&lt;=0,$K250=0),"※有数量没金额（这个物料一直没填过进价）",IF($Z250="不可信","△成本含待补价/暂估，毛利仅供参考","")))))</f>
        <v/>
      </c>
    </row>
    <row r="251">
      <c r="A251" s="24">
        <f>IF(物料档案!$A250="","",物料档案!$A250)</f>
        <v/>
      </c>
      <c r="B251" s="24">
        <f>IF($A251="","",IFERROR(VLOOKUP($A251,物料档案!$A$4:$P$1203,3,0),""))</f>
        <v/>
      </c>
      <c r="C251" s="24">
        <f>IF($A251="","",IFERROR(VLOOKUP($A251,物料档案!$A$4:$P$1203,4,0),""))</f>
        <v/>
      </c>
      <c r="D251" s="24">
        <f>IF($A251="","",IFERROR(VLOOKUP($A251,物料档案!$A$4:$P$1203,5,0),""))</f>
        <v/>
      </c>
      <c r="E251" s="24">
        <f>IF($A251="","",IFERROR(VLOOKUP($A251,物料档案!$A$4:$P$1203,2,0),""))</f>
        <v/>
      </c>
      <c r="F251" s="24">
        <f>IF($A251="","",IFERROR(VLOOKUP($A251,物料档案!$A$4:$P$1203,6,0),""))</f>
        <v/>
      </c>
      <c r="G251" s="23" t="n"/>
      <c r="H251" s="32" t="n"/>
      <c r="I251" s="27">
        <f>IF($A251="","",SUMIFS(入库单!$K$4:$K$2503,入库单!$G$4:$G$2503,$A251,入库单!$X$4:$X$2503,"采购入库",入库单!$Z$4:$Z$2503,"正常",入库单!$C$4:$C$2503,"&gt;="&amp;账期起,入库单!$C$4:$C$2503,"&lt;="&amp;账期止))</f>
        <v/>
      </c>
      <c r="J251" s="26">
        <f>IF($A251="","",SUMIFS(入库单!$V$4:$V$2503,入库单!$G$4:$G$2503,$A251,入库单!$X$4:$X$2503,"采购入库",入库单!$Z$4:$Z$2503,"正常",入库单!$C$4:$C$2503,"&gt;="&amp;账期起,入库单!$C$4:$C$2503,"&lt;="&amp;账期止))</f>
        <v/>
      </c>
      <c r="K251" s="26">
        <f>IF($A251="","",IFERROR(ROUND((N($H251)+N($J251))/(N($G251)+N($I251)),2),0))</f>
        <v/>
      </c>
      <c r="L251" s="27">
        <f>IF($A251="","",SUMIFS(入库单!$K$4:$K$2503,入库单!$G$4:$G$2503,$A251,入库单!$X$4:$X$2503,"盘盈",入库单!$Z$4:$Z$2503,"正常",入库单!$C$4:$C$2503,"&gt;="&amp;账期起,入库单!$C$4:$C$2503,"&lt;="&amp;账期止))</f>
        <v/>
      </c>
      <c r="M251" s="26">
        <f>IF($A251="","",ROUND($L251*$K251,0))</f>
        <v/>
      </c>
      <c r="N251" s="27">
        <f>IF($A251="","",SUMIFS(入库单!$K$4:$K$2503,入库单!$G$4:$G$2503,$A251,入库单!$X$4:$X$2503,"矿区退库",入库单!$Z$4:$Z$2503,"正常",入库单!$C$4:$C$2503,"&gt;="&amp;账期起,入库单!$C$4:$C$2503,"&lt;="&amp;账期止))</f>
        <v/>
      </c>
      <c r="O251" s="26">
        <f>IF($A251="","",ROUND($N251*$K251,0))</f>
        <v/>
      </c>
      <c r="P251" s="27">
        <f>IF($A251="","",SUMIFS(出库单!$J$4:$J$4003,出库单!$D$4:$D$4003,$A251,出库单!$K$4:$K$4003,"自用消耗",出库单!$U$4:$U$4003,"正常",出库单!$C$4:$C$4003,"&gt;="&amp;账期起,出库单!$C$4:$C$4003,"&lt;="&amp;账期止))</f>
        <v/>
      </c>
      <c r="Q251" s="26">
        <f>IF($A251="","",ROUND(SUMIFS(出库单!$S$4:$S$4003,出库单!$D$4:$D$4003,$A251,出库单!$K$4:$K$4003,"自用消耗",出库单!$U$4:$U$4003,"正常",出库单!$C$4:$C$4003,"&gt;="&amp;账期起,出库单!$C$4:$C$4003,"&lt;="&amp;账期止),0))</f>
        <v/>
      </c>
      <c r="R251" s="27">
        <f>IF($A251="","",SUMIFS(出库单!$J$4:$J$4003,出库单!$D$4:$D$4003,$A251,出库单!$K$4:$K$4003,"对外销售",出库单!$U$4:$U$4003,"正常",出库单!$C$4:$C$4003,"&gt;="&amp;账期起,出库单!$C$4:$C$4003,"&lt;="&amp;账期止))</f>
        <v/>
      </c>
      <c r="S251" s="26">
        <f>IF($A251="","",ROUND(SUMIFS(出库单!$S$4:$S$4003,出库单!$D$4:$D$4003,$A251,出库单!$K$4:$K$4003,"对外销售",出库单!$U$4:$U$4003,"正常",出库单!$C$4:$C$4003,"&gt;="&amp;账期起,出库单!$C$4:$C$4003,"&lt;="&amp;账期止),0))</f>
        <v/>
      </c>
      <c r="T251" s="27">
        <f>IF($A251="","",SUMIFS(出库单!$J$4:$J$4003,出库单!$D$4:$D$4003,$A251,出库单!$K$4:$K$4003,"盘亏",出库单!$U$4:$U$4003,"正常",出库单!$C$4:$C$4003,"&gt;="&amp;账期起,出库单!$C$4:$C$4003,"&lt;="&amp;账期止))</f>
        <v/>
      </c>
      <c r="U251" s="26">
        <f>IF($A251="","",ROUND(SUMIFS(出库单!$S$4:$S$4003,出库单!$D$4:$D$4003,$A251,出库单!$K$4:$K$4003,"盘亏",出库单!$U$4:$U$4003,"正常",出库单!$C$4:$C$4003,"&gt;="&amp;账期起,出库单!$C$4:$C$4003,"&lt;="&amp;账期止),0))</f>
        <v/>
      </c>
      <c r="V251" s="27">
        <f>IF($A251="","",SUMIFS(出库单!$J$4:$J$4003,出库单!$D$4:$D$4003,$A251,出库单!$K$4:$K$4003,"退货给供应商",出库单!$U$4:$U$4003,"正常",出库单!$C$4:$C$4003,"&gt;="&amp;账期起,出库单!$C$4:$C$4003,"&lt;="&amp;账期止))</f>
        <v/>
      </c>
      <c r="W251" s="26">
        <f>IF($A251="","",ROUND(SUMIFS(出库单!$S$4:$S$4003,出库单!$D$4:$D$4003,$A251,出库单!$K$4:$K$4003,"退货给供应商",出库单!$U$4:$U$4003,"正常",出库单!$C$4:$C$4003,"&gt;="&amp;账期起,出库单!$C$4:$C$4003,"&lt;="&amp;账期止),0))</f>
        <v/>
      </c>
      <c r="X251" s="27">
        <f>IF($A251="","",ROUND(N($G251)+$I251+$L251+$N251-$P251-$R251-$T251-$V251,3))</f>
        <v/>
      </c>
      <c r="Y251" s="26">
        <f>IF($A251="","",ROUND(N($H251)+$J251+$M251+$O251-$Q251-$S251-$U251-$W251,0))</f>
        <v/>
      </c>
      <c r="Z251" s="24">
        <f>IF($A251="","",IF(COUNTIFS(入库单!$G$4:$G$2503,$A251,入库单!$Y$4:$Y$2503,"待补价")+COUNTIFS(入库单!$G$4:$G$2503,$A251,入库单!$Y$4:$Y$2503,"暂估")&gt;0,"不可信","可信"))</f>
        <v/>
      </c>
      <c r="AA251" s="24">
        <f>IF($A251="","",IF($X251&lt;-0.001,"※账面负库存，查一下是不是漏记入库",IF(AND(ROUND($X251,3)=0,ABS($Y251)&gt;1),"※数量已经是 0，金额还挂着 "&amp;TEXT($Y251,"#,##0")&amp;" 先令",IF(AND($X251&gt;0,$Y251&lt;=0,$K251=0),"※有数量没金额（这个物料一直没填过进价）",IF($Z251="不可信","△成本含待补价/暂估，毛利仅供参考","")))))</f>
        <v/>
      </c>
    </row>
    <row r="252">
      <c r="A252" s="24">
        <f>IF(物料档案!$A251="","",物料档案!$A251)</f>
        <v/>
      </c>
      <c r="B252" s="24">
        <f>IF($A252="","",IFERROR(VLOOKUP($A252,物料档案!$A$4:$P$1203,3,0),""))</f>
        <v/>
      </c>
      <c r="C252" s="24">
        <f>IF($A252="","",IFERROR(VLOOKUP($A252,物料档案!$A$4:$P$1203,4,0),""))</f>
        <v/>
      </c>
      <c r="D252" s="24">
        <f>IF($A252="","",IFERROR(VLOOKUP($A252,物料档案!$A$4:$P$1203,5,0),""))</f>
        <v/>
      </c>
      <c r="E252" s="24">
        <f>IF($A252="","",IFERROR(VLOOKUP($A252,物料档案!$A$4:$P$1203,2,0),""))</f>
        <v/>
      </c>
      <c r="F252" s="24">
        <f>IF($A252="","",IFERROR(VLOOKUP($A252,物料档案!$A$4:$P$1203,6,0),""))</f>
        <v/>
      </c>
      <c r="G252" s="23" t="n"/>
      <c r="H252" s="32" t="n"/>
      <c r="I252" s="27">
        <f>IF($A252="","",SUMIFS(入库单!$K$4:$K$2503,入库单!$G$4:$G$2503,$A252,入库单!$X$4:$X$2503,"采购入库",入库单!$Z$4:$Z$2503,"正常",入库单!$C$4:$C$2503,"&gt;="&amp;账期起,入库单!$C$4:$C$2503,"&lt;="&amp;账期止))</f>
        <v/>
      </c>
      <c r="J252" s="26">
        <f>IF($A252="","",SUMIFS(入库单!$V$4:$V$2503,入库单!$G$4:$G$2503,$A252,入库单!$X$4:$X$2503,"采购入库",入库单!$Z$4:$Z$2503,"正常",入库单!$C$4:$C$2503,"&gt;="&amp;账期起,入库单!$C$4:$C$2503,"&lt;="&amp;账期止))</f>
        <v/>
      </c>
      <c r="K252" s="26">
        <f>IF($A252="","",IFERROR(ROUND((N($H252)+N($J252))/(N($G252)+N($I252)),2),0))</f>
        <v/>
      </c>
      <c r="L252" s="27">
        <f>IF($A252="","",SUMIFS(入库单!$K$4:$K$2503,入库单!$G$4:$G$2503,$A252,入库单!$X$4:$X$2503,"盘盈",入库单!$Z$4:$Z$2503,"正常",入库单!$C$4:$C$2503,"&gt;="&amp;账期起,入库单!$C$4:$C$2503,"&lt;="&amp;账期止))</f>
        <v/>
      </c>
      <c r="M252" s="26">
        <f>IF($A252="","",ROUND($L252*$K252,0))</f>
        <v/>
      </c>
      <c r="N252" s="27">
        <f>IF($A252="","",SUMIFS(入库单!$K$4:$K$2503,入库单!$G$4:$G$2503,$A252,入库单!$X$4:$X$2503,"矿区退库",入库单!$Z$4:$Z$2503,"正常",入库单!$C$4:$C$2503,"&gt;="&amp;账期起,入库单!$C$4:$C$2503,"&lt;="&amp;账期止))</f>
        <v/>
      </c>
      <c r="O252" s="26">
        <f>IF($A252="","",ROUND($N252*$K252,0))</f>
        <v/>
      </c>
      <c r="P252" s="27">
        <f>IF($A252="","",SUMIFS(出库单!$J$4:$J$4003,出库单!$D$4:$D$4003,$A252,出库单!$K$4:$K$4003,"自用消耗",出库单!$U$4:$U$4003,"正常",出库单!$C$4:$C$4003,"&gt;="&amp;账期起,出库单!$C$4:$C$4003,"&lt;="&amp;账期止))</f>
        <v/>
      </c>
      <c r="Q252" s="26">
        <f>IF($A252="","",ROUND(SUMIFS(出库单!$S$4:$S$4003,出库单!$D$4:$D$4003,$A252,出库单!$K$4:$K$4003,"自用消耗",出库单!$U$4:$U$4003,"正常",出库单!$C$4:$C$4003,"&gt;="&amp;账期起,出库单!$C$4:$C$4003,"&lt;="&amp;账期止),0))</f>
        <v/>
      </c>
      <c r="R252" s="27">
        <f>IF($A252="","",SUMIFS(出库单!$J$4:$J$4003,出库单!$D$4:$D$4003,$A252,出库单!$K$4:$K$4003,"对外销售",出库单!$U$4:$U$4003,"正常",出库单!$C$4:$C$4003,"&gt;="&amp;账期起,出库单!$C$4:$C$4003,"&lt;="&amp;账期止))</f>
        <v/>
      </c>
      <c r="S252" s="26">
        <f>IF($A252="","",ROUND(SUMIFS(出库单!$S$4:$S$4003,出库单!$D$4:$D$4003,$A252,出库单!$K$4:$K$4003,"对外销售",出库单!$U$4:$U$4003,"正常",出库单!$C$4:$C$4003,"&gt;="&amp;账期起,出库单!$C$4:$C$4003,"&lt;="&amp;账期止),0))</f>
        <v/>
      </c>
      <c r="T252" s="27">
        <f>IF($A252="","",SUMIFS(出库单!$J$4:$J$4003,出库单!$D$4:$D$4003,$A252,出库单!$K$4:$K$4003,"盘亏",出库单!$U$4:$U$4003,"正常",出库单!$C$4:$C$4003,"&gt;="&amp;账期起,出库单!$C$4:$C$4003,"&lt;="&amp;账期止))</f>
        <v/>
      </c>
      <c r="U252" s="26">
        <f>IF($A252="","",ROUND(SUMIFS(出库单!$S$4:$S$4003,出库单!$D$4:$D$4003,$A252,出库单!$K$4:$K$4003,"盘亏",出库单!$U$4:$U$4003,"正常",出库单!$C$4:$C$4003,"&gt;="&amp;账期起,出库单!$C$4:$C$4003,"&lt;="&amp;账期止),0))</f>
        <v/>
      </c>
      <c r="V252" s="27">
        <f>IF($A252="","",SUMIFS(出库单!$J$4:$J$4003,出库单!$D$4:$D$4003,$A252,出库单!$K$4:$K$4003,"退货给供应商",出库单!$U$4:$U$4003,"正常",出库单!$C$4:$C$4003,"&gt;="&amp;账期起,出库单!$C$4:$C$4003,"&lt;="&amp;账期止))</f>
        <v/>
      </c>
      <c r="W252" s="26">
        <f>IF($A252="","",ROUND(SUMIFS(出库单!$S$4:$S$4003,出库单!$D$4:$D$4003,$A252,出库单!$K$4:$K$4003,"退货给供应商",出库单!$U$4:$U$4003,"正常",出库单!$C$4:$C$4003,"&gt;="&amp;账期起,出库单!$C$4:$C$4003,"&lt;="&amp;账期止),0))</f>
        <v/>
      </c>
      <c r="X252" s="27">
        <f>IF($A252="","",ROUND(N($G252)+$I252+$L252+$N252-$P252-$R252-$T252-$V252,3))</f>
        <v/>
      </c>
      <c r="Y252" s="26">
        <f>IF($A252="","",ROUND(N($H252)+$J252+$M252+$O252-$Q252-$S252-$U252-$W252,0))</f>
        <v/>
      </c>
      <c r="Z252" s="24">
        <f>IF($A252="","",IF(COUNTIFS(入库单!$G$4:$G$2503,$A252,入库单!$Y$4:$Y$2503,"待补价")+COUNTIFS(入库单!$G$4:$G$2503,$A252,入库单!$Y$4:$Y$2503,"暂估")&gt;0,"不可信","可信"))</f>
        <v/>
      </c>
      <c r="AA252" s="24">
        <f>IF($A252="","",IF($X252&lt;-0.001,"※账面负库存，查一下是不是漏记入库",IF(AND(ROUND($X252,3)=0,ABS($Y252)&gt;1),"※数量已经是 0，金额还挂着 "&amp;TEXT($Y252,"#,##0")&amp;" 先令",IF(AND($X252&gt;0,$Y252&lt;=0,$K252=0),"※有数量没金额（这个物料一直没填过进价）",IF($Z252="不可信","△成本含待补价/暂估，毛利仅供参考","")))))</f>
        <v/>
      </c>
    </row>
    <row r="253">
      <c r="A253" s="24">
        <f>IF(物料档案!$A252="","",物料档案!$A252)</f>
        <v/>
      </c>
      <c r="B253" s="24">
        <f>IF($A253="","",IFERROR(VLOOKUP($A253,物料档案!$A$4:$P$1203,3,0),""))</f>
        <v/>
      </c>
      <c r="C253" s="24">
        <f>IF($A253="","",IFERROR(VLOOKUP($A253,物料档案!$A$4:$P$1203,4,0),""))</f>
        <v/>
      </c>
      <c r="D253" s="24">
        <f>IF($A253="","",IFERROR(VLOOKUP($A253,物料档案!$A$4:$P$1203,5,0),""))</f>
        <v/>
      </c>
      <c r="E253" s="24">
        <f>IF($A253="","",IFERROR(VLOOKUP($A253,物料档案!$A$4:$P$1203,2,0),""))</f>
        <v/>
      </c>
      <c r="F253" s="24">
        <f>IF($A253="","",IFERROR(VLOOKUP($A253,物料档案!$A$4:$P$1203,6,0),""))</f>
        <v/>
      </c>
      <c r="G253" s="23" t="n"/>
      <c r="H253" s="32" t="n"/>
      <c r="I253" s="27">
        <f>IF($A253="","",SUMIFS(入库单!$K$4:$K$2503,入库单!$G$4:$G$2503,$A253,入库单!$X$4:$X$2503,"采购入库",入库单!$Z$4:$Z$2503,"正常",入库单!$C$4:$C$2503,"&gt;="&amp;账期起,入库单!$C$4:$C$2503,"&lt;="&amp;账期止))</f>
        <v/>
      </c>
      <c r="J253" s="26">
        <f>IF($A253="","",SUMIFS(入库单!$V$4:$V$2503,入库单!$G$4:$G$2503,$A253,入库单!$X$4:$X$2503,"采购入库",入库单!$Z$4:$Z$2503,"正常",入库单!$C$4:$C$2503,"&gt;="&amp;账期起,入库单!$C$4:$C$2503,"&lt;="&amp;账期止))</f>
        <v/>
      </c>
      <c r="K253" s="26">
        <f>IF($A253="","",IFERROR(ROUND((N($H253)+N($J253))/(N($G253)+N($I253)),2),0))</f>
        <v/>
      </c>
      <c r="L253" s="27">
        <f>IF($A253="","",SUMIFS(入库单!$K$4:$K$2503,入库单!$G$4:$G$2503,$A253,入库单!$X$4:$X$2503,"盘盈",入库单!$Z$4:$Z$2503,"正常",入库单!$C$4:$C$2503,"&gt;="&amp;账期起,入库单!$C$4:$C$2503,"&lt;="&amp;账期止))</f>
        <v/>
      </c>
      <c r="M253" s="26">
        <f>IF($A253="","",ROUND($L253*$K253,0))</f>
        <v/>
      </c>
      <c r="N253" s="27">
        <f>IF($A253="","",SUMIFS(入库单!$K$4:$K$2503,入库单!$G$4:$G$2503,$A253,入库单!$X$4:$X$2503,"矿区退库",入库单!$Z$4:$Z$2503,"正常",入库单!$C$4:$C$2503,"&gt;="&amp;账期起,入库单!$C$4:$C$2503,"&lt;="&amp;账期止))</f>
        <v/>
      </c>
      <c r="O253" s="26">
        <f>IF($A253="","",ROUND($N253*$K253,0))</f>
        <v/>
      </c>
      <c r="P253" s="27">
        <f>IF($A253="","",SUMIFS(出库单!$J$4:$J$4003,出库单!$D$4:$D$4003,$A253,出库单!$K$4:$K$4003,"自用消耗",出库单!$U$4:$U$4003,"正常",出库单!$C$4:$C$4003,"&gt;="&amp;账期起,出库单!$C$4:$C$4003,"&lt;="&amp;账期止))</f>
        <v/>
      </c>
      <c r="Q253" s="26">
        <f>IF($A253="","",ROUND(SUMIFS(出库单!$S$4:$S$4003,出库单!$D$4:$D$4003,$A253,出库单!$K$4:$K$4003,"自用消耗",出库单!$U$4:$U$4003,"正常",出库单!$C$4:$C$4003,"&gt;="&amp;账期起,出库单!$C$4:$C$4003,"&lt;="&amp;账期止),0))</f>
        <v/>
      </c>
      <c r="R253" s="27">
        <f>IF($A253="","",SUMIFS(出库单!$J$4:$J$4003,出库单!$D$4:$D$4003,$A253,出库单!$K$4:$K$4003,"对外销售",出库单!$U$4:$U$4003,"正常",出库单!$C$4:$C$4003,"&gt;="&amp;账期起,出库单!$C$4:$C$4003,"&lt;="&amp;账期止))</f>
        <v/>
      </c>
      <c r="S253" s="26">
        <f>IF($A253="","",ROUND(SUMIFS(出库单!$S$4:$S$4003,出库单!$D$4:$D$4003,$A253,出库单!$K$4:$K$4003,"对外销售",出库单!$U$4:$U$4003,"正常",出库单!$C$4:$C$4003,"&gt;="&amp;账期起,出库单!$C$4:$C$4003,"&lt;="&amp;账期止),0))</f>
        <v/>
      </c>
      <c r="T253" s="27">
        <f>IF($A253="","",SUMIFS(出库单!$J$4:$J$4003,出库单!$D$4:$D$4003,$A253,出库单!$K$4:$K$4003,"盘亏",出库单!$U$4:$U$4003,"正常",出库单!$C$4:$C$4003,"&gt;="&amp;账期起,出库单!$C$4:$C$4003,"&lt;="&amp;账期止))</f>
        <v/>
      </c>
      <c r="U253" s="26">
        <f>IF($A253="","",ROUND(SUMIFS(出库单!$S$4:$S$4003,出库单!$D$4:$D$4003,$A253,出库单!$K$4:$K$4003,"盘亏",出库单!$U$4:$U$4003,"正常",出库单!$C$4:$C$4003,"&gt;="&amp;账期起,出库单!$C$4:$C$4003,"&lt;="&amp;账期止),0))</f>
        <v/>
      </c>
      <c r="V253" s="27">
        <f>IF($A253="","",SUMIFS(出库单!$J$4:$J$4003,出库单!$D$4:$D$4003,$A253,出库单!$K$4:$K$4003,"退货给供应商",出库单!$U$4:$U$4003,"正常",出库单!$C$4:$C$4003,"&gt;="&amp;账期起,出库单!$C$4:$C$4003,"&lt;="&amp;账期止))</f>
        <v/>
      </c>
      <c r="W253" s="26">
        <f>IF($A253="","",ROUND(SUMIFS(出库单!$S$4:$S$4003,出库单!$D$4:$D$4003,$A253,出库单!$K$4:$K$4003,"退货给供应商",出库单!$U$4:$U$4003,"正常",出库单!$C$4:$C$4003,"&gt;="&amp;账期起,出库单!$C$4:$C$4003,"&lt;="&amp;账期止),0))</f>
        <v/>
      </c>
      <c r="X253" s="27">
        <f>IF($A253="","",ROUND(N($G253)+$I253+$L253+$N253-$P253-$R253-$T253-$V253,3))</f>
        <v/>
      </c>
      <c r="Y253" s="26">
        <f>IF($A253="","",ROUND(N($H253)+$J253+$M253+$O253-$Q253-$S253-$U253-$W253,0))</f>
        <v/>
      </c>
      <c r="Z253" s="24">
        <f>IF($A253="","",IF(COUNTIFS(入库单!$G$4:$G$2503,$A253,入库单!$Y$4:$Y$2503,"待补价")+COUNTIFS(入库单!$G$4:$G$2503,$A253,入库单!$Y$4:$Y$2503,"暂估")&gt;0,"不可信","可信"))</f>
        <v/>
      </c>
      <c r="AA253" s="24">
        <f>IF($A253="","",IF($X253&lt;-0.001,"※账面负库存，查一下是不是漏记入库",IF(AND(ROUND($X253,3)=0,ABS($Y253)&gt;1),"※数量已经是 0，金额还挂着 "&amp;TEXT($Y253,"#,##0")&amp;" 先令",IF(AND($X253&gt;0,$Y253&lt;=0,$K253=0),"※有数量没金额（这个物料一直没填过进价）",IF($Z253="不可信","△成本含待补价/暂估，毛利仅供参考","")))))</f>
        <v/>
      </c>
    </row>
    <row r="254">
      <c r="A254" s="24">
        <f>IF(物料档案!$A253="","",物料档案!$A253)</f>
        <v/>
      </c>
      <c r="B254" s="24">
        <f>IF($A254="","",IFERROR(VLOOKUP($A254,物料档案!$A$4:$P$1203,3,0),""))</f>
        <v/>
      </c>
      <c r="C254" s="24">
        <f>IF($A254="","",IFERROR(VLOOKUP($A254,物料档案!$A$4:$P$1203,4,0),""))</f>
        <v/>
      </c>
      <c r="D254" s="24">
        <f>IF($A254="","",IFERROR(VLOOKUP($A254,物料档案!$A$4:$P$1203,5,0),""))</f>
        <v/>
      </c>
      <c r="E254" s="24">
        <f>IF($A254="","",IFERROR(VLOOKUP($A254,物料档案!$A$4:$P$1203,2,0),""))</f>
        <v/>
      </c>
      <c r="F254" s="24">
        <f>IF($A254="","",IFERROR(VLOOKUP($A254,物料档案!$A$4:$P$1203,6,0),""))</f>
        <v/>
      </c>
      <c r="G254" s="23" t="n"/>
      <c r="H254" s="32" t="n"/>
      <c r="I254" s="27">
        <f>IF($A254="","",SUMIFS(入库单!$K$4:$K$2503,入库单!$G$4:$G$2503,$A254,入库单!$X$4:$X$2503,"采购入库",入库单!$Z$4:$Z$2503,"正常",入库单!$C$4:$C$2503,"&gt;="&amp;账期起,入库单!$C$4:$C$2503,"&lt;="&amp;账期止))</f>
        <v/>
      </c>
      <c r="J254" s="26">
        <f>IF($A254="","",SUMIFS(入库单!$V$4:$V$2503,入库单!$G$4:$G$2503,$A254,入库单!$X$4:$X$2503,"采购入库",入库单!$Z$4:$Z$2503,"正常",入库单!$C$4:$C$2503,"&gt;="&amp;账期起,入库单!$C$4:$C$2503,"&lt;="&amp;账期止))</f>
        <v/>
      </c>
      <c r="K254" s="26">
        <f>IF($A254="","",IFERROR(ROUND((N($H254)+N($J254))/(N($G254)+N($I254)),2),0))</f>
        <v/>
      </c>
      <c r="L254" s="27">
        <f>IF($A254="","",SUMIFS(入库单!$K$4:$K$2503,入库单!$G$4:$G$2503,$A254,入库单!$X$4:$X$2503,"盘盈",入库单!$Z$4:$Z$2503,"正常",入库单!$C$4:$C$2503,"&gt;="&amp;账期起,入库单!$C$4:$C$2503,"&lt;="&amp;账期止))</f>
        <v/>
      </c>
      <c r="M254" s="26">
        <f>IF($A254="","",ROUND($L254*$K254,0))</f>
        <v/>
      </c>
      <c r="N254" s="27">
        <f>IF($A254="","",SUMIFS(入库单!$K$4:$K$2503,入库单!$G$4:$G$2503,$A254,入库单!$X$4:$X$2503,"矿区退库",入库单!$Z$4:$Z$2503,"正常",入库单!$C$4:$C$2503,"&gt;="&amp;账期起,入库单!$C$4:$C$2503,"&lt;="&amp;账期止))</f>
        <v/>
      </c>
      <c r="O254" s="26">
        <f>IF($A254="","",ROUND($N254*$K254,0))</f>
        <v/>
      </c>
      <c r="P254" s="27">
        <f>IF($A254="","",SUMIFS(出库单!$J$4:$J$4003,出库单!$D$4:$D$4003,$A254,出库单!$K$4:$K$4003,"自用消耗",出库单!$U$4:$U$4003,"正常",出库单!$C$4:$C$4003,"&gt;="&amp;账期起,出库单!$C$4:$C$4003,"&lt;="&amp;账期止))</f>
        <v/>
      </c>
      <c r="Q254" s="26">
        <f>IF($A254="","",ROUND(SUMIFS(出库单!$S$4:$S$4003,出库单!$D$4:$D$4003,$A254,出库单!$K$4:$K$4003,"自用消耗",出库单!$U$4:$U$4003,"正常",出库单!$C$4:$C$4003,"&gt;="&amp;账期起,出库单!$C$4:$C$4003,"&lt;="&amp;账期止),0))</f>
        <v/>
      </c>
      <c r="R254" s="27">
        <f>IF($A254="","",SUMIFS(出库单!$J$4:$J$4003,出库单!$D$4:$D$4003,$A254,出库单!$K$4:$K$4003,"对外销售",出库单!$U$4:$U$4003,"正常",出库单!$C$4:$C$4003,"&gt;="&amp;账期起,出库单!$C$4:$C$4003,"&lt;="&amp;账期止))</f>
        <v/>
      </c>
      <c r="S254" s="26">
        <f>IF($A254="","",ROUND(SUMIFS(出库单!$S$4:$S$4003,出库单!$D$4:$D$4003,$A254,出库单!$K$4:$K$4003,"对外销售",出库单!$U$4:$U$4003,"正常",出库单!$C$4:$C$4003,"&gt;="&amp;账期起,出库单!$C$4:$C$4003,"&lt;="&amp;账期止),0))</f>
        <v/>
      </c>
      <c r="T254" s="27">
        <f>IF($A254="","",SUMIFS(出库单!$J$4:$J$4003,出库单!$D$4:$D$4003,$A254,出库单!$K$4:$K$4003,"盘亏",出库单!$U$4:$U$4003,"正常",出库单!$C$4:$C$4003,"&gt;="&amp;账期起,出库单!$C$4:$C$4003,"&lt;="&amp;账期止))</f>
        <v/>
      </c>
      <c r="U254" s="26">
        <f>IF($A254="","",ROUND(SUMIFS(出库单!$S$4:$S$4003,出库单!$D$4:$D$4003,$A254,出库单!$K$4:$K$4003,"盘亏",出库单!$U$4:$U$4003,"正常",出库单!$C$4:$C$4003,"&gt;="&amp;账期起,出库单!$C$4:$C$4003,"&lt;="&amp;账期止),0))</f>
        <v/>
      </c>
      <c r="V254" s="27">
        <f>IF($A254="","",SUMIFS(出库单!$J$4:$J$4003,出库单!$D$4:$D$4003,$A254,出库单!$K$4:$K$4003,"退货给供应商",出库单!$U$4:$U$4003,"正常",出库单!$C$4:$C$4003,"&gt;="&amp;账期起,出库单!$C$4:$C$4003,"&lt;="&amp;账期止))</f>
        <v/>
      </c>
      <c r="W254" s="26">
        <f>IF($A254="","",ROUND(SUMIFS(出库单!$S$4:$S$4003,出库单!$D$4:$D$4003,$A254,出库单!$K$4:$K$4003,"退货给供应商",出库单!$U$4:$U$4003,"正常",出库单!$C$4:$C$4003,"&gt;="&amp;账期起,出库单!$C$4:$C$4003,"&lt;="&amp;账期止),0))</f>
        <v/>
      </c>
      <c r="X254" s="27">
        <f>IF($A254="","",ROUND(N($G254)+$I254+$L254+$N254-$P254-$R254-$T254-$V254,3))</f>
        <v/>
      </c>
      <c r="Y254" s="26">
        <f>IF($A254="","",ROUND(N($H254)+$J254+$M254+$O254-$Q254-$S254-$U254-$W254,0))</f>
        <v/>
      </c>
      <c r="Z254" s="24">
        <f>IF($A254="","",IF(COUNTIFS(入库单!$G$4:$G$2503,$A254,入库单!$Y$4:$Y$2503,"待补价")+COUNTIFS(入库单!$G$4:$G$2503,$A254,入库单!$Y$4:$Y$2503,"暂估")&gt;0,"不可信","可信"))</f>
        <v/>
      </c>
      <c r="AA254" s="24">
        <f>IF($A254="","",IF($X254&lt;-0.001,"※账面负库存，查一下是不是漏记入库",IF(AND(ROUND($X254,3)=0,ABS($Y254)&gt;1),"※数量已经是 0，金额还挂着 "&amp;TEXT($Y254,"#,##0")&amp;" 先令",IF(AND($X254&gt;0,$Y254&lt;=0,$K254=0),"※有数量没金额（这个物料一直没填过进价）",IF($Z254="不可信","△成本含待补价/暂估，毛利仅供参考","")))))</f>
        <v/>
      </c>
    </row>
    <row r="255">
      <c r="A255" s="24">
        <f>IF(物料档案!$A254="","",物料档案!$A254)</f>
        <v/>
      </c>
      <c r="B255" s="24">
        <f>IF($A255="","",IFERROR(VLOOKUP($A255,物料档案!$A$4:$P$1203,3,0),""))</f>
        <v/>
      </c>
      <c r="C255" s="24">
        <f>IF($A255="","",IFERROR(VLOOKUP($A255,物料档案!$A$4:$P$1203,4,0),""))</f>
        <v/>
      </c>
      <c r="D255" s="24">
        <f>IF($A255="","",IFERROR(VLOOKUP($A255,物料档案!$A$4:$P$1203,5,0),""))</f>
        <v/>
      </c>
      <c r="E255" s="24">
        <f>IF($A255="","",IFERROR(VLOOKUP($A255,物料档案!$A$4:$P$1203,2,0),""))</f>
        <v/>
      </c>
      <c r="F255" s="24">
        <f>IF($A255="","",IFERROR(VLOOKUP($A255,物料档案!$A$4:$P$1203,6,0),""))</f>
        <v/>
      </c>
      <c r="G255" s="23" t="n"/>
      <c r="H255" s="32" t="n"/>
      <c r="I255" s="27">
        <f>IF($A255="","",SUMIFS(入库单!$K$4:$K$2503,入库单!$G$4:$G$2503,$A255,入库单!$X$4:$X$2503,"采购入库",入库单!$Z$4:$Z$2503,"正常",入库单!$C$4:$C$2503,"&gt;="&amp;账期起,入库单!$C$4:$C$2503,"&lt;="&amp;账期止))</f>
        <v/>
      </c>
      <c r="J255" s="26">
        <f>IF($A255="","",SUMIFS(入库单!$V$4:$V$2503,入库单!$G$4:$G$2503,$A255,入库单!$X$4:$X$2503,"采购入库",入库单!$Z$4:$Z$2503,"正常",入库单!$C$4:$C$2503,"&gt;="&amp;账期起,入库单!$C$4:$C$2503,"&lt;="&amp;账期止))</f>
        <v/>
      </c>
      <c r="K255" s="26">
        <f>IF($A255="","",IFERROR(ROUND((N($H255)+N($J255))/(N($G255)+N($I255)),2),0))</f>
        <v/>
      </c>
      <c r="L255" s="27">
        <f>IF($A255="","",SUMIFS(入库单!$K$4:$K$2503,入库单!$G$4:$G$2503,$A255,入库单!$X$4:$X$2503,"盘盈",入库单!$Z$4:$Z$2503,"正常",入库单!$C$4:$C$2503,"&gt;="&amp;账期起,入库单!$C$4:$C$2503,"&lt;="&amp;账期止))</f>
        <v/>
      </c>
      <c r="M255" s="26">
        <f>IF($A255="","",ROUND($L255*$K255,0))</f>
        <v/>
      </c>
      <c r="N255" s="27">
        <f>IF($A255="","",SUMIFS(入库单!$K$4:$K$2503,入库单!$G$4:$G$2503,$A255,入库单!$X$4:$X$2503,"矿区退库",入库单!$Z$4:$Z$2503,"正常",入库单!$C$4:$C$2503,"&gt;="&amp;账期起,入库单!$C$4:$C$2503,"&lt;="&amp;账期止))</f>
        <v/>
      </c>
      <c r="O255" s="26">
        <f>IF($A255="","",ROUND($N255*$K255,0))</f>
        <v/>
      </c>
      <c r="P255" s="27">
        <f>IF($A255="","",SUMIFS(出库单!$J$4:$J$4003,出库单!$D$4:$D$4003,$A255,出库单!$K$4:$K$4003,"自用消耗",出库单!$U$4:$U$4003,"正常",出库单!$C$4:$C$4003,"&gt;="&amp;账期起,出库单!$C$4:$C$4003,"&lt;="&amp;账期止))</f>
        <v/>
      </c>
      <c r="Q255" s="26">
        <f>IF($A255="","",ROUND(SUMIFS(出库单!$S$4:$S$4003,出库单!$D$4:$D$4003,$A255,出库单!$K$4:$K$4003,"自用消耗",出库单!$U$4:$U$4003,"正常",出库单!$C$4:$C$4003,"&gt;="&amp;账期起,出库单!$C$4:$C$4003,"&lt;="&amp;账期止),0))</f>
        <v/>
      </c>
      <c r="R255" s="27">
        <f>IF($A255="","",SUMIFS(出库单!$J$4:$J$4003,出库单!$D$4:$D$4003,$A255,出库单!$K$4:$K$4003,"对外销售",出库单!$U$4:$U$4003,"正常",出库单!$C$4:$C$4003,"&gt;="&amp;账期起,出库单!$C$4:$C$4003,"&lt;="&amp;账期止))</f>
        <v/>
      </c>
      <c r="S255" s="26">
        <f>IF($A255="","",ROUND(SUMIFS(出库单!$S$4:$S$4003,出库单!$D$4:$D$4003,$A255,出库单!$K$4:$K$4003,"对外销售",出库单!$U$4:$U$4003,"正常",出库单!$C$4:$C$4003,"&gt;="&amp;账期起,出库单!$C$4:$C$4003,"&lt;="&amp;账期止),0))</f>
        <v/>
      </c>
      <c r="T255" s="27">
        <f>IF($A255="","",SUMIFS(出库单!$J$4:$J$4003,出库单!$D$4:$D$4003,$A255,出库单!$K$4:$K$4003,"盘亏",出库单!$U$4:$U$4003,"正常",出库单!$C$4:$C$4003,"&gt;="&amp;账期起,出库单!$C$4:$C$4003,"&lt;="&amp;账期止))</f>
        <v/>
      </c>
      <c r="U255" s="26">
        <f>IF($A255="","",ROUND(SUMIFS(出库单!$S$4:$S$4003,出库单!$D$4:$D$4003,$A255,出库单!$K$4:$K$4003,"盘亏",出库单!$U$4:$U$4003,"正常",出库单!$C$4:$C$4003,"&gt;="&amp;账期起,出库单!$C$4:$C$4003,"&lt;="&amp;账期止),0))</f>
        <v/>
      </c>
      <c r="V255" s="27">
        <f>IF($A255="","",SUMIFS(出库单!$J$4:$J$4003,出库单!$D$4:$D$4003,$A255,出库单!$K$4:$K$4003,"退货给供应商",出库单!$U$4:$U$4003,"正常",出库单!$C$4:$C$4003,"&gt;="&amp;账期起,出库单!$C$4:$C$4003,"&lt;="&amp;账期止))</f>
        <v/>
      </c>
      <c r="W255" s="26">
        <f>IF($A255="","",ROUND(SUMIFS(出库单!$S$4:$S$4003,出库单!$D$4:$D$4003,$A255,出库单!$K$4:$K$4003,"退货给供应商",出库单!$U$4:$U$4003,"正常",出库单!$C$4:$C$4003,"&gt;="&amp;账期起,出库单!$C$4:$C$4003,"&lt;="&amp;账期止),0))</f>
        <v/>
      </c>
      <c r="X255" s="27">
        <f>IF($A255="","",ROUND(N($G255)+$I255+$L255+$N255-$P255-$R255-$T255-$V255,3))</f>
        <v/>
      </c>
      <c r="Y255" s="26">
        <f>IF($A255="","",ROUND(N($H255)+$J255+$M255+$O255-$Q255-$S255-$U255-$W255,0))</f>
        <v/>
      </c>
      <c r="Z255" s="24">
        <f>IF($A255="","",IF(COUNTIFS(入库单!$G$4:$G$2503,$A255,入库单!$Y$4:$Y$2503,"待补价")+COUNTIFS(入库单!$G$4:$G$2503,$A255,入库单!$Y$4:$Y$2503,"暂估")&gt;0,"不可信","可信"))</f>
        <v/>
      </c>
      <c r="AA255" s="24">
        <f>IF($A255="","",IF($X255&lt;-0.001,"※账面负库存，查一下是不是漏记入库",IF(AND(ROUND($X255,3)=0,ABS($Y255)&gt;1),"※数量已经是 0，金额还挂着 "&amp;TEXT($Y255,"#,##0")&amp;" 先令",IF(AND($X255&gt;0,$Y255&lt;=0,$K255=0),"※有数量没金额（这个物料一直没填过进价）",IF($Z255="不可信","△成本含待补价/暂估，毛利仅供参考","")))))</f>
        <v/>
      </c>
    </row>
    <row r="256">
      <c r="A256" s="24">
        <f>IF(物料档案!$A255="","",物料档案!$A255)</f>
        <v/>
      </c>
      <c r="B256" s="24">
        <f>IF($A256="","",IFERROR(VLOOKUP($A256,物料档案!$A$4:$P$1203,3,0),""))</f>
        <v/>
      </c>
      <c r="C256" s="24">
        <f>IF($A256="","",IFERROR(VLOOKUP($A256,物料档案!$A$4:$P$1203,4,0),""))</f>
        <v/>
      </c>
      <c r="D256" s="24">
        <f>IF($A256="","",IFERROR(VLOOKUP($A256,物料档案!$A$4:$P$1203,5,0),""))</f>
        <v/>
      </c>
      <c r="E256" s="24">
        <f>IF($A256="","",IFERROR(VLOOKUP($A256,物料档案!$A$4:$P$1203,2,0),""))</f>
        <v/>
      </c>
      <c r="F256" s="24">
        <f>IF($A256="","",IFERROR(VLOOKUP($A256,物料档案!$A$4:$P$1203,6,0),""))</f>
        <v/>
      </c>
      <c r="G256" s="23" t="n"/>
      <c r="H256" s="32" t="n"/>
      <c r="I256" s="27">
        <f>IF($A256="","",SUMIFS(入库单!$K$4:$K$2503,入库单!$G$4:$G$2503,$A256,入库单!$X$4:$X$2503,"采购入库",入库单!$Z$4:$Z$2503,"正常",入库单!$C$4:$C$2503,"&gt;="&amp;账期起,入库单!$C$4:$C$2503,"&lt;="&amp;账期止))</f>
        <v/>
      </c>
      <c r="J256" s="26">
        <f>IF($A256="","",SUMIFS(入库单!$V$4:$V$2503,入库单!$G$4:$G$2503,$A256,入库单!$X$4:$X$2503,"采购入库",入库单!$Z$4:$Z$2503,"正常",入库单!$C$4:$C$2503,"&gt;="&amp;账期起,入库单!$C$4:$C$2503,"&lt;="&amp;账期止))</f>
        <v/>
      </c>
      <c r="K256" s="26">
        <f>IF($A256="","",IFERROR(ROUND((N($H256)+N($J256))/(N($G256)+N($I256)),2),0))</f>
        <v/>
      </c>
      <c r="L256" s="27">
        <f>IF($A256="","",SUMIFS(入库单!$K$4:$K$2503,入库单!$G$4:$G$2503,$A256,入库单!$X$4:$X$2503,"盘盈",入库单!$Z$4:$Z$2503,"正常",入库单!$C$4:$C$2503,"&gt;="&amp;账期起,入库单!$C$4:$C$2503,"&lt;="&amp;账期止))</f>
        <v/>
      </c>
      <c r="M256" s="26">
        <f>IF($A256="","",ROUND($L256*$K256,0))</f>
        <v/>
      </c>
      <c r="N256" s="27">
        <f>IF($A256="","",SUMIFS(入库单!$K$4:$K$2503,入库单!$G$4:$G$2503,$A256,入库单!$X$4:$X$2503,"矿区退库",入库单!$Z$4:$Z$2503,"正常",入库单!$C$4:$C$2503,"&gt;="&amp;账期起,入库单!$C$4:$C$2503,"&lt;="&amp;账期止))</f>
        <v/>
      </c>
      <c r="O256" s="26">
        <f>IF($A256="","",ROUND($N256*$K256,0))</f>
        <v/>
      </c>
      <c r="P256" s="27">
        <f>IF($A256="","",SUMIFS(出库单!$J$4:$J$4003,出库单!$D$4:$D$4003,$A256,出库单!$K$4:$K$4003,"自用消耗",出库单!$U$4:$U$4003,"正常",出库单!$C$4:$C$4003,"&gt;="&amp;账期起,出库单!$C$4:$C$4003,"&lt;="&amp;账期止))</f>
        <v/>
      </c>
      <c r="Q256" s="26">
        <f>IF($A256="","",ROUND(SUMIFS(出库单!$S$4:$S$4003,出库单!$D$4:$D$4003,$A256,出库单!$K$4:$K$4003,"自用消耗",出库单!$U$4:$U$4003,"正常",出库单!$C$4:$C$4003,"&gt;="&amp;账期起,出库单!$C$4:$C$4003,"&lt;="&amp;账期止),0))</f>
        <v/>
      </c>
      <c r="R256" s="27">
        <f>IF($A256="","",SUMIFS(出库单!$J$4:$J$4003,出库单!$D$4:$D$4003,$A256,出库单!$K$4:$K$4003,"对外销售",出库单!$U$4:$U$4003,"正常",出库单!$C$4:$C$4003,"&gt;="&amp;账期起,出库单!$C$4:$C$4003,"&lt;="&amp;账期止))</f>
        <v/>
      </c>
      <c r="S256" s="26">
        <f>IF($A256="","",ROUND(SUMIFS(出库单!$S$4:$S$4003,出库单!$D$4:$D$4003,$A256,出库单!$K$4:$K$4003,"对外销售",出库单!$U$4:$U$4003,"正常",出库单!$C$4:$C$4003,"&gt;="&amp;账期起,出库单!$C$4:$C$4003,"&lt;="&amp;账期止),0))</f>
        <v/>
      </c>
      <c r="T256" s="27">
        <f>IF($A256="","",SUMIFS(出库单!$J$4:$J$4003,出库单!$D$4:$D$4003,$A256,出库单!$K$4:$K$4003,"盘亏",出库单!$U$4:$U$4003,"正常",出库单!$C$4:$C$4003,"&gt;="&amp;账期起,出库单!$C$4:$C$4003,"&lt;="&amp;账期止))</f>
        <v/>
      </c>
      <c r="U256" s="26">
        <f>IF($A256="","",ROUND(SUMIFS(出库单!$S$4:$S$4003,出库单!$D$4:$D$4003,$A256,出库单!$K$4:$K$4003,"盘亏",出库单!$U$4:$U$4003,"正常",出库单!$C$4:$C$4003,"&gt;="&amp;账期起,出库单!$C$4:$C$4003,"&lt;="&amp;账期止),0))</f>
        <v/>
      </c>
      <c r="V256" s="27">
        <f>IF($A256="","",SUMIFS(出库单!$J$4:$J$4003,出库单!$D$4:$D$4003,$A256,出库单!$K$4:$K$4003,"退货给供应商",出库单!$U$4:$U$4003,"正常",出库单!$C$4:$C$4003,"&gt;="&amp;账期起,出库单!$C$4:$C$4003,"&lt;="&amp;账期止))</f>
        <v/>
      </c>
      <c r="W256" s="26">
        <f>IF($A256="","",ROUND(SUMIFS(出库单!$S$4:$S$4003,出库单!$D$4:$D$4003,$A256,出库单!$K$4:$K$4003,"退货给供应商",出库单!$U$4:$U$4003,"正常",出库单!$C$4:$C$4003,"&gt;="&amp;账期起,出库单!$C$4:$C$4003,"&lt;="&amp;账期止),0))</f>
        <v/>
      </c>
      <c r="X256" s="27">
        <f>IF($A256="","",ROUND(N($G256)+$I256+$L256+$N256-$P256-$R256-$T256-$V256,3))</f>
        <v/>
      </c>
      <c r="Y256" s="26">
        <f>IF($A256="","",ROUND(N($H256)+$J256+$M256+$O256-$Q256-$S256-$U256-$W256,0))</f>
        <v/>
      </c>
      <c r="Z256" s="24">
        <f>IF($A256="","",IF(COUNTIFS(入库单!$G$4:$G$2503,$A256,入库单!$Y$4:$Y$2503,"待补价")+COUNTIFS(入库单!$G$4:$G$2503,$A256,入库单!$Y$4:$Y$2503,"暂估")&gt;0,"不可信","可信"))</f>
        <v/>
      </c>
      <c r="AA256" s="24">
        <f>IF($A256="","",IF($X256&lt;-0.001,"※账面负库存，查一下是不是漏记入库",IF(AND(ROUND($X256,3)=0,ABS($Y256)&gt;1),"※数量已经是 0，金额还挂着 "&amp;TEXT($Y256,"#,##0")&amp;" 先令",IF(AND($X256&gt;0,$Y256&lt;=0,$K256=0),"※有数量没金额（这个物料一直没填过进价）",IF($Z256="不可信","△成本含待补价/暂估，毛利仅供参考","")))))</f>
        <v/>
      </c>
    </row>
    <row r="257">
      <c r="A257" s="24">
        <f>IF(物料档案!$A256="","",物料档案!$A256)</f>
        <v/>
      </c>
      <c r="B257" s="24">
        <f>IF($A257="","",IFERROR(VLOOKUP($A257,物料档案!$A$4:$P$1203,3,0),""))</f>
        <v/>
      </c>
      <c r="C257" s="24">
        <f>IF($A257="","",IFERROR(VLOOKUP($A257,物料档案!$A$4:$P$1203,4,0),""))</f>
        <v/>
      </c>
      <c r="D257" s="24">
        <f>IF($A257="","",IFERROR(VLOOKUP($A257,物料档案!$A$4:$P$1203,5,0),""))</f>
        <v/>
      </c>
      <c r="E257" s="24">
        <f>IF($A257="","",IFERROR(VLOOKUP($A257,物料档案!$A$4:$P$1203,2,0),""))</f>
        <v/>
      </c>
      <c r="F257" s="24">
        <f>IF($A257="","",IFERROR(VLOOKUP($A257,物料档案!$A$4:$P$1203,6,0),""))</f>
        <v/>
      </c>
      <c r="G257" s="23" t="n"/>
      <c r="H257" s="32" t="n"/>
      <c r="I257" s="27">
        <f>IF($A257="","",SUMIFS(入库单!$K$4:$K$2503,入库单!$G$4:$G$2503,$A257,入库单!$X$4:$X$2503,"采购入库",入库单!$Z$4:$Z$2503,"正常",入库单!$C$4:$C$2503,"&gt;="&amp;账期起,入库单!$C$4:$C$2503,"&lt;="&amp;账期止))</f>
        <v/>
      </c>
      <c r="J257" s="26">
        <f>IF($A257="","",SUMIFS(入库单!$V$4:$V$2503,入库单!$G$4:$G$2503,$A257,入库单!$X$4:$X$2503,"采购入库",入库单!$Z$4:$Z$2503,"正常",入库单!$C$4:$C$2503,"&gt;="&amp;账期起,入库单!$C$4:$C$2503,"&lt;="&amp;账期止))</f>
        <v/>
      </c>
      <c r="K257" s="26">
        <f>IF($A257="","",IFERROR(ROUND((N($H257)+N($J257))/(N($G257)+N($I257)),2),0))</f>
        <v/>
      </c>
      <c r="L257" s="27">
        <f>IF($A257="","",SUMIFS(入库单!$K$4:$K$2503,入库单!$G$4:$G$2503,$A257,入库单!$X$4:$X$2503,"盘盈",入库单!$Z$4:$Z$2503,"正常",入库单!$C$4:$C$2503,"&gt;="&amp;账期起,入库单!$C$4:$C$2503,"&lt;="&amp;账期止))</f>
        <v/>
      </c>
      <c r="M257" s="26">
        <f>IF($A257="","",ROUND($L257*$K257,0))</f>
        <v/>
      </c>
      <c r="N257" s="27">
        <f>IF($A257="","",SUMIFS(入库单!$K$4:$K$2503,入库单!$G$4:$G$2503,$A257,入库单!$X$4:$X$2503,"矿区退库",入库单!$Z$4:$Z$2503,"正常",入库单!$C$4:$C$2503,"&gt;="&amp;账期起,入库单!$C$4:$C$2503,"&lt;="&amp;账期止))</f>
        <v/>
      </c>
      <c r="O257" s="26">
        <f>IF($A257="","",ROUND($N257*$K257,0))</f>
        <v/>
      </c>
      <c r="P257" s="27">
        <f>IF($A257="","",SUMIFS(出库单!$J$4:$J$4003,出库单!$D$4:$D$4003,$A257,出库单!$K$4:$K$4003,"自用消耗",出库单!$U$4:$U$4003,"正常",出库单!$C$4:$C$4003,"&gt;="&amp;账期起,出库单!$C$4:$C$4003,"&lt;="&amp;账期止))</f>
        <v/>
      </c>
      <c r="Q257" s="26">
        <f>IF($A257="","",ROUND(SUMIFS(出库单!$S$4:$S$4003,出库单!$D$4:$D$4003,$A257,出库单!$K$4:$K$4003,"自用消耗",出库单!$U$4:$U$4003,"正常",出库单!$C$4:$C$4003,"&gt;="&amp;账期起,出库单!$C$4:$C$4003,"&lt;="&amp;账期止),0))</f>
        <v/>
      </c>
      <c r="R257" s="27">
        <f>IF($A257="","",SUMIFS(出库单!$J$4:$J$4003,出库单!$D$4:$D$4003,$A257,出库单!$K$4:$K$4003,"对外销售",出库单!$U$4:$U$4003,"正常",出库单!$C$4:$C$4003,"&gt;="&amp;账期起,出库单!$C$4:$C$4003,"&lt;="&amp;账期止))</f>
        <v/>
      </c>
      <c r="S257" s="26">
        <f>IF($A257="","",ROUND(SUMIFS(出库单!$S$4:$S$4003,出库单!$D$4:$D$4003,$A257,出库单!$K$4:$K$4003,"对外销售",出库单!$U$4:$U$4003,"正常",出库单!$C$4:$C$4003,"&gt;="&amp;账期起,出库单!$C$4:$C$4003,"&lt;="&amp;账期止),0))</f>
        <v/>
      </c>
      <c r="T257" s="27">
        <f>IF($A257="","",SUMIFS(出库单!$J$4:$J$4003,出库单!$D$4:$D$4003,$A257,出库单!$K$4:$K$4003,"盘亏",出库单!$U$4:$U$4003,"正常",出库单!$C$4:$C$4003,"&gt;="&amp;账期起,出库单!$C$4:$C$4003,"&lt;="&amp;账期止))</f>
        <v/>
      </c>
      <c r="U257" s="26">
        <f>IF($A257="","",ROUND(SUMIFS(出库单!$S$4:$S$4003,出库单!$D$4:$D$4003,$A257,出库单!$K$4:$K$4003,"盘亏",出库单!$U$4:$U$4003,"正常",出库单!$C$4:$C$4003,"&gt;="&amp;账期起,出库单!$C$4:$C$4003,"&lt;="&amp;账期止),0))</f>
        <v/>
      </c>
      <c r="V257" s="27">
        <f>IF($A257="","",SUMIFS(出库单!$J$4:$J$4003,出库单!$D$4:$D$4003,$A257,出库单!$K$4:$K$4003,"退货给供应商",出库单!$U$4:$U$4003,"正常",出库单!$C$4:$C$4003,"&gt;="&amp;账期起,出库单!$C$4:$C$4003,"&lt;="&amp;账期止))</f>
        <v/>
      </c>
      <c r="W257" s="26">
        <f>IF($A257="","",ROUND(SUMIFS(出库单!$S$4:$S$4003,出库单!$D$4:$D$4003,$A257,出库单!$K$4:$K$4003,"退货给供应商",出库单!$U$4:$U$4003,"正常",出库单!$C$4:$C$4003,"&gt;="&amp;账期起,出库单!$C$4:$C$4003,"&lt;="&amp;账期止),0))</f>
        <v/>
      </c>
      <c r="X257" s="27">
        <f>IF($A257="","",ROUND(N($G257)+$I257+$L257+$N257-$P257-$R257-$T257-$V257,3))</f>
        <v/>
      </c>
      <c r="Y257" s="26">
        <f>IF($A257="","",ROUND(N($H257)+$J257+$M257+$O257-$Q257-$S257-$U257-$W257,0))</f>
        <v/>
      </c>
      <c r="Z257" s="24">
        <f>IF($A257="","",IF(COUNTIFS(入库单!$G$4:$G$2503,$A257,入库单!$Y$4:$Y$2503,"待补价")+COUNTIFS(入库单!$G$4:$G$2503,$A257,入库单!$Y$4:$Y$2503,"暂估")&gt;0,"不可信","可信"))</f>
        <v/>
      </c>
      <c r="AA257" s="24">
        <f>IF($A257="","",IF($X257&lt;-0.001,"※账面负库存，查一下是不是漏记入库",IF(AND(ROUND($X257,3)=0,ABS($Y257)&gt;1),"※数量已经是 0，金额还挂着 "&amp;TEXT($Y257,"#,##0")&amp;" 先令",IF(AND($X257&gt;0,$Y257&lt;=0,$K257=0),"※有数量没金额（这个物料一直没填过进价）",IF($Z257="不可信","△成本含待补价/暂估，毛利仅供参考","")))))</f>
        <v/>
      </c>
    </row>
    <row r="258">
      <c r="A258" s="24">
        <f>IF(物料档案!$A257="","",物料档案!$A257)</f>
        <v/>
      </c>
      <c r="B258" s="24">
        <f>IF($A258="","",IFERROR(VLOOKUP($A258,物料档案!$A$4:$P$1203,3,0),""))</f>
        <v/>
      </c>
      <c r="C258" s="24">
        <f>IF($A258="","",IFERROR(VLOOKUP($A258,物料档案!$A$4:$P$1203,4,0),""))</f>
        <v/>
      </c>
      <c r="D258" s="24">
        <f>IF($A258="","",IFERROR(VLOOKUP($A258,物料档案!$A$4:$P$1203,5,0),""))</f>
        <v/>
      </c>
      <c r="E258" s="24">
        <f>IF($A258="","",IFERROR(VLOOKUP($A258,物料档案!$A$4:$P$1203,2,0),""))</f>
        <v/>
      </c>
      <c r="F258" s="24">
        <f>IF($A258="","",IFERROR(VLOOKUP($A258,物料档案!$A$4:$P$1203,6,0),""))</f>
        <v/>
      </c>
      <c r="G258" s="23" t="n"/>
      <c r="H258" s="32" t="n"/>
      <c r="I258" s="27">
        <f>IF($A258="","",SUMIFS(入库单!$K$4:$K$2503,入库单!$G$4:$G$2503,$A258,入库单!$X$4:$X$2503,"采购入库",入库单!$Z$4:$Z$2503,"正常",入库单!$C$4:$C$2503,"&gt;="&amp;账期起,入库单!$C$4:$C$2503,"&lt;="&amp;账期止))</f>
        <v/>
      </c>
      <c r="J258" s="26">
        <f>IF($A258="","",SUMIFS(入库单!$V$4:$V$2503,入库单!$G$4:$G$2503,$A258,入库单!$X$4:$X$2503,"采购入库",入库单!$Z$4:$Z$2503,"正常",入库单!$C$4:$C$2503,"&gt;="&amp;账期起,入库单!$C$4:$C$2503,"&lt;="&amp;账期止))</f>
        <v/>
      </c>
      <c r="K258" s="26">
        <f>IF($A258="","",IFERROR(ROUND((N($H258)+N($J258))/(N($G258)+N($I258)),2),0))</f>
        <v/>
      </c>
      <c r="L258" s="27">
        <f>IF($A258="","",SUMIFS(入库单!$K$4:$K$2503,入库单!$G$4:$G$2503,$A258,入库单!$X$4:$X$2503,"盘盈",入库单!$Z$4:$Z$2503,"正常",入库单!$C$4:$C$2503,"&gt;="&amp;账期起,入库单!$C$4:$C$2503,"&lt;="&amp;账期止))</f>
        <v/>
      </c>
      <c r="M258" s="26">
        <f>IF($A258="","",ROUND($L258*$K258,0))</f>
        <v/>
      </c>
      <c r="N258" s="27">
        <f>IF($A258="","",SUMIFS(入库单!$K$4:$K$2503,入库单!$G$4:$G$2503,$A258,入库单!$X$4:$X$2503,"矿区退库",入库单!$Z$4:$Z$2503,"正常",入库单!$C$4:$C$2503,"&gt;="&amp;账期起,入库单!$C$4:$C$2503,"&lt;="&amp;账期止))</f>
        <v/>
      </c>
      <c r="O258" s="26">
        <f>IF($A258="","",ROUND($N258*$K258,0))</f>
        <v/>
      </c>
      <c r="P258" s="27">
        <f>IF($A258="","",SUMIFS(出库单!$J$4:$J$4003,出库单!$D$4:$D$4003,$A258,出库单!$K$4:$K$4003,"自用消耗",出库单!$U$4:$U$4003,"正常",出库单!$C$4:$C$4003,"&gt;="&amp;账期起,出库单!$C$4:$C$4003,"&lt;="&amp;账期止))</f>
        <v/>
      </c>
      <c r="Q258" s="26">
        <f>IF($A258="","",ROUND(SUMIFS(出库单!$S$4:$S$4003,出库单!$D$4:$D$4003,$A258,出库单!$K$4:$K$4003,"自用消耗",出库单!$U$4:$U$4003,"正常",出库单!$C$4:$C$4003,"&gt;="&amp;账期起,出库单!$C$4:$C$4003,"&lt;="&amp;账期止),0))</f>
        <v/>
      </c>
      <c r="R258" s="27">
        <f>IF($A258="","",SUMIFS(出库单!$J$4:$J$4003,出库单!$D$4:$D$4003,$A258,出库单!$K$4:$K$4003,"对外销售",出库单!$U$4:$U$4003,"正常",出库单!$C$4:$C$4003,"&gt;="&amp;账期起,出库单!$C$4:$C$4003,"&lt;="&amp;账期止))</f>
        <v/>
      </c>
      <c r="S258" s="26">
        <f>IF($A258="","",ROUND(SUMIFS(出库单!$S$4:$S$4003,出库单!$D$4:$D$4003,$A258,出库单!$K$4:$K$4003,"对外销售",出库单!$U$4:$U$4003,"正常",出库单!$C$4:$C$4003,"&gt;="&amp;账期起,出库单!$C$4:$C$4003,"&lt;="&amp;账期止),0))</f>
        <v/>
      </c>
      <c r="T258" s="27">
        <f>IF($A258="","",SUMIFS(出库单!$J$4:$J$4003,出库单!$D$4:$D$4003,$A258,出库单!$K$4:$K$4003,"盘亏",出库单!$U$4:$U$4003,"正常",出库单!$C$4:$C$4003,"&gt;="&amp;账期起,出库单!$C$4:$C$4003,"&lt;="&amp;账期止))</f>
        <v/>
      </c>
      <c r="U258" s="26">
        <f>IF($A258="","",ROUND(SUMIFS(出库单!$S$4:$S$4003,出库单!$D$4:$D$4003,$A258,出库单!$K$4:$K$4003,"盘亏",出库单!$U$4:$U$4003,"正常",出库单!$C$4:$C$4003,"&gt;="&amp;账期起,出库单!$C$4:$C$4003,"&lt;="&amp;账期止),0))</f>
        <v/>
      </c>
      <c r="V258" s="27">
        <f>IF($A258="","",SUMIFS(出库单!$J$4:$J$4003,出库单!$D$4:$D$4003,$A258,出库单!$K$4:$K$4003,"退货给供应商",出库单!$U$4:$U$4003,"正常",出库单!$C$4:$C$4003,"&gt;="&amp;账期起,出库单!$C$4:$C$4003,"&lt;="&amp;账期止))</f>
        <v/>
      </c>
      <c r="W258" s="26">
        <f>IF($A258="","",ROUND(SUMIFS(出库单!$S$4:$S$4003,出库单!$D$4:$D$4003,$A258,出库单!$K$4:$K$4003,"退货给供应商",出库单!$U$4:$U$4003,"正常",出库单!$C$4:$C$4003,"&gt;="&amp;账期起,出库单!$C$4:$C$4003,"&lt;="&amp;账期止),0))</f>
        <v/>
      </c>
      <c r="X258" s="27">
        <f>IF($A258="","",ROUND(N($G258)+$I258+$L258+$N258-$P258-$R258-$T258-$V258,3))</f>
        <v/>
      </c>
      <c r="Y258" s="26">
        <f>IF($A258="","",ROUND(N($H258)+$J258+$M258+$O258-$Q258-$S258-$U258-$W258,0))</f>
        <v/>
      </c>
      <c r="Z258" s="24">
        <f>IF($A258="","",IF(COUNTIFS(入库单!$G$4:$G$2503,$A258,入库单!$Y$4:$Y$2503,"待补价")+COUNTIFS(入库单!$G$4:$G$2503,$A258,入库单!$Y$4:$Y$2503,"暂估")&gt;0,"不可信","可信"))</f>
        <v/>
      </c>
      <c r="AA258" s="24">
        <f>IF($A258="","",IF($X258&lt;-0.001,"※账面负库存，查一下是不是漏记入库",IF(AND(ROUND($X258,3)=0,ABS($Y258)&gt;1),"※数量已经是 0，金额还挂着 "&amp;TEXT($Y258,"#,##0")&amp;" 先令",IF(AND($X258&gt;0,$Y258&lt;=0,$K258=0),"※有数量没金额（这个物料一直没填过进价）",IF($Z258="不可信","△成本含待补价/暂估，毛利仅供参考","")))))</f>
        <v/>
      </c>
    </row>
    <row r="259">
      <c r="A259" s="24">
        <f>IF(物料档案!$A258="","",物料档案!$A258)</f>
        <v/>
      </c>
      <c r="B259" s="24">
        <f>IF($A259="","",IFERROR(VLOOKUP($A259,物料档案!$A$4:$P$1203,3,0),""))</f>
        <v/>
      </c>
      <c r="C259" s="24">
        <f>IF($A259="","",IFERROR(VLOOKUP($A259,物料档案!$A$4:$P$1203,4,0),""))</f>
        <v/>
      </c>
      <c r="D259" s="24">
        <f>IF($A259="","",IFERROR(VLOOKUP($A259,物料档案!$A$4:$P$1203,5,0),""))</f>
        <v/>
      </c>
      <c r="E259" s="24">
        <f>IF($A259="","",IFERROR(VLOOKUP($A259,物料档案!$A$4:$P$1203,2,0),""))</f>
        <v/>
      </c>
      <c r="F259" s="24">
        <f>IF($A259="","",IFERROR(VLOOKUP($A259,物料档案!$A$4:$P$1203,6,0),""))</f>
        <v/>
      </c>
      <c r="G259" s="23" t="n"/>
      <c r="H259" s="32" t="n"/>
      <c r="I259" s="27">
        <f>IF($A259="","",SUMIFS(入库单!$K$4:$K$2503,入库单!$G$4:$G$2503,$A259,入库单!$X$4:$X$2503,"采购入库",入库单!$Z$4:$Z$2503,"正常",入库单!$C$4:$C$2503,"&gt;="&amp;账期起,入库单!$C$4:$C$2503,"&lt;="&amp;账期止))</f>
        <v/>
      </c>
      <c r="J259" s="26">
        <f>IF($A259="","",SUMIFS(入库单!$V$4:$V$2503,入库单!$G$4:$G$2503,$A259,入库单!$X$4:$X$2503,"采购入库",入库单!$Z$4:$Z$2503,"正常",入库单!$C$4:$C$2503,"&gt;="&amp;账期起,入库单!$C$4:$C$2503,"&lt;="&amp;账期止))</f>
        <v/>
      </c>
      <c r="K259" s="26">
        <f>IF($A259="","",IFERROR(ROUND((N($H259)+N($J259))/(N($G259)+N($I259)),2),0))</f>
        <v/>
      </c>
      <c r="L259" s="27">
        <f>IF($A259="","",SUMIFS(入库单!$K$4:$K$2503,入库单!$G$4:$G$2503,$A259,入库单!$X$4:$X$2503,"盘盈",入库单!$Z$4:$Z$2503,"正常",入库单!$C$4:$C$2503,"&gt;="&amp;账期起,入库单!$C$4:$C$2503,"&lt;="&amp;账期止))</f>
        <v/>
      </c>
      <c r="M259" s="26">
        <f>IF($A259="","",ROUND($L259*$K259,0))</f>
        <v/>
      </c>
      <c r="N259" s="27">
        <f>IF($A259="","",SUMIFS(入库单!$K$4:$K$2503,入库单!$G$4:$G$2503,$A259,入库单!$X$4:$X$2503,"矿区退库",入库单!$Z$4:$Z$2503,"正常",入库单!$C$4:$C$2503,"&gt;="&amp;账期起,入库单!$C$4:$C$2503,"&lt;="&amp;账期止))</f>
        <v/>
      </c>
      <c r="O259" s="26">
        <f>IF($A259="","",ROUND($N259*$K259,0))</f>
        <v/>
      </c>
      <c r="P259" s="27">
        <f>IF($A259="","",SUMIFS(出库单!$J$4:$J$4003,出库单!$D$4:$D$4003,$A259,出库单!$K$4:$K$4003,"自用消耗",出库单!$U$4:$U$4003,"正常",出库单!$C$4:$C$4003,"&gt;="&amp;账期起,出库单!$C$4:$C$4003,"&lt;="&amp;账期止))</f>
        <v/>
      </c>
      <c r="Q259" s="26">
        <f>IF($A259="","",ROUND(SUMIFS(出库单!$S$4:$S$4003,出库单!$D$4:$D$4003,$A259,出库单!$K$4:$K$4003,"自用消耗",出库单!$U$4:$U$4003,"正常",出库单!$C$4:$C$4003,"&gt;="&amp;账期起,出库单!$C$4:$C$4003,"&lt;="&amp;账期止),0))</f>
        <v/>
      </c>
      <c r="R259" s="27">
        <f>IF($A259="","",SUMIFS(出库单!$J$4:$J$4003,出库单!$D$4:$D$4003,$A259,出库单!$K$4:$K$4003,"对外销售",出库单!$U$4:$U$4003,"正常",出库单!$C$4:$C$4003,"&gt;="&amp;账期起,出库单!$C$4:$C$4003,"&lt;="&amp;账期止))</f>
        <v/>
      </c>
      <c r="S259" s="26">
        <f>IF($A259="","",ROUND(SUMIFS(出库单!$S$4:$S$4003,出库单!$D$4:$D$4003,$A259,出库单!$K$4:$K$4003,"对外销售",出库单!$U$4:$U$4003,"正常",出库单!$C$4:$C$4003,"&gt;="&amp;账期起,出库单!$C$4:$C$4003,"&lt;="&amp;账期止),0))</f>
        <v/>
      </c>
      <c r="T259" s="27">
        <f>IF($A259="","",SUMIFS(出库单!$J$4:$J$4003,出库单!$D$4:$D$4003,$A259,出库单!$K$4:$K$4003,"盘亏",出库单!$U$4:$U$4003,"正常",出库单!$C$4:$C$4003,"&gt;="&amp;账期起,出库单!$C$4:$C$4003,"&lt;="&amp;账期止))</f>
        <v/>
      </c>
      <c r="U259" s="26">
        <f>IF($A259="","",ROUND(SUMIFS(出库单!$S$4:$S$4003,出库单!$D$4:$D$4003,$A259,出库单!$K$4:$K$4003,"盘亏",出库单!$U$4:$U$4003,"正常",出库单!$C$4:$C$4003,"&gt;="&amp;账期起,出库单!$C$4:$C$4003,"&lt;="&amp;账期止),0))</f>
        <v/>
      </c>
      <c r="V259" s="27">
        <f>IF($A259="","",SUMIFS(出库单!$J$4:$J$4003,出库单!$D$4:$D$4003,$A259,出库单!$K$4:$K$4003,"退货给供应商",出库单!$U$4:$U$4003,"正常",出库单!$C$4:$C$4003,"&gt;="&amp;账期起,出库单!$C$4:$C$4003,"&lt;="&amp;账期止))</f>
        <v/>
      </c>
      <c r="W259" s="26">
        <f>IF($A259="","",ROUND(SUMIFS(出库单!$S$4:$S$4003,出库单!$D$4:$D$4003,$A259,出库单!$K$4:$K$4003,"退货给供应商",出库单!$U$4:$U$4003,"正常",出库单!$C$4:$C$4003,"&gt;="&amp;账期起,出库单!$C$4:$C$4003,"&lt;="&amp;账期止),0))</f>
        <v/>
      </c>
      <c r="X259" s="27">
        <f>IF($A259="","",ROUND(N($G259)+$I259+$L259+$N259-$P259-$R259-$T259-$V259,3))</f>
        <v/>
      </c>
      <c r="Y259" s="26">
        <f>IF($A259="","",ROUND(N($H259)+$J259+$M259+$O259-$Q259-$S259-$U259-$W259,0))</f>
        <v/>
      </c>
      <c r="Z259" s="24">
        <f>IF($A259="","",IF(COUNTIFS(入库单!$G$4:$G$2503,$A259,入库单!$Y$4:$Y$2503,"待补价")+COUNTIFS(入库单!$G$4:$G$2503,$A259,入库单!$Y$4:$Y$2503,"暂估")&gt;0,"不可信","可信"))</f>
        <v/>
      </c>
      <c r="AA259" s="24">
        <f>IF($A259="","",IF($X259&lt;-0.001,"※账面负库存，查一下是不是漏记入库",IF(AND(ROUND($X259,3)=0,ABS($Y259)&gt;1),"※数量已经是 0，金额还挂着 "&amp;TEXT($Y259,"#,##0")&amp;" 先令",IF(AND($X259&gt;0,$Y259&lt;=0,$K259=0),"※有数量没金额（这个物料一直没填过进价）",IF($Z259="不可信","△成本含待补价/暂估，毛利仅供参考","")))))</f>
        <v/>
      </c>
    </row>
    <row r="260">
      <c r="A260" s="24">
        <f>IF(物料档案!$A259="","",物料档案!$A259)</f>
        <v/>
      </c>
      <c r="B260" s="24">
        <f>IF($A260="","",IFERROR(VLOOKUP($A260,物料档案!$A$4:$P$1203,3,0),""))</f>
        <v/>
      </c>
      <c r="C260" s="24">
        <f>IF($A260="","",IFERROR(VLOOKUP($A260,物料档案!$A$4:$P$1203,4,0),""))</f>
        <v/>
      </c>
      <c r="D260" s="24">
        <f>IF($A260="","",IFERROR(VLOOKUP($A260,物料档案!$A$4:$P$1203,5,0),""))</f>
        <v/>
      </c>
      <c r="E260" s="24">
        <f>IF($A260="","",IFERROR(VLOOKUP($A260,物料档案!$A$4:$P$1203,2,0),""))</f>
        <v/>
      </c>
      <c r="F260" s="24">
        <f>IF($A260="","",IFERROR(VLOOKUP($A260,物料档案!$A$4:$P$1203,6,0),""))</f>
        <v/>
      </c>
      <c r="G260" s="23" t="n"/>
      <c r="H260" s="32" t="n"/>
      <c r="I260" s="27">
        <f>IF($A260="","",SUMIFS(入库单!$K$4:$K$2503,入库单!$G$4:$G$2503,$A260,入库单!$X$4:$X$2503,"采购入库",入库单!$Z$4:$Z$2503,"正常",入库单!$C$4:$C$2503,"&gt;="&amp;账期起,入库单!$C$4:$C$2503,"&lt;="&amp;账期止))</f>
        <v/>
      </c>
      <c r="J260" s="26">
        <f>IF($A260="","",SUMIFS(入库单!$V$4:$V$2503,入库单!$G$4:$G$2503,$A260,入库单!$X$4:$X$2503,"采购入库",入库单!$Z$4:$Z$2503,"正常",入库单!$C$4:$C$2503,"&gt;="&amp;账期起,入库单!$C$4:$C$2503,"&lt;="&amp;账期止))</f>
        <v/>
      </c>
      <c r="K260" s="26">
        <f>IF($A260="","",IFERROR(ROUND((N($H260)+N($J260))/(N($G260)+N($I260)),2),0))</f>
        <v/>
      </c>
      <c r="L260" s="27">
        <f>IF($A260="","",SUMIFS(入库单!$K$4:$K$2503,入库单!$G$4:$G$2503,$A260,入库单!$X$4:$X$2503,"盘盈",入库单!$Z$4:$Z$2503,"正常",入库单!$C$4:$C$2503,"&gt;="&amp;账期起,入库单!$C$4:$C$2503,"&lt;="&amp;账期止))</f>
        <v/>
      </c>
      <c r="M260" s="26">
        <f>IF($A260="","",ROUND($L260*$K260,0))</f>
        <v/>
      </c>
      <c r="N260" s="27">
        <f>IF($A260="","",SUMIFS(入库单!$K$4:$K$2503,入库单!$G$4:$G$2503,$A260,入库单!$X$4:$X$2503,"矿区退库",入库单!$Z$4:$Z$2503,"正常",入库单!$C$4:$C$2503,"&gt;="&amp;账期起,入库单!$C$4:$C$2503,"&lt;="&amp;账期止))</f>
        <v/>
      </c>
      <c r="O260" s="26">
        <f>IF($A260="","",ROUND($N260*$K260,0))</f>
        <v/>
      </c>
      <c r="P260" s="27">
        <f>IF($A260="","",SUMIFS(出库单!$J$4:$J$4003,出库单!$D$4:$D$4003,$A260,出库单!$K$4:$K$4003,"自用消耗",出库单!$U$4:$U$4003,"正常",出库单!$C$4:$C$4003,"&gt;="&amp;账期起,出库单!$C$4:$C$4003,"&lt;="&amp;账期止))</f>
        <v/>
      </c>
      <c r="Q260" s="26">
        <f>IF($A260="","",ROUND(SUMIFS(出库单!$S$4:$S$4003,出库单!$D$4:$D$4003,$A260,出库单!$K$4:$K$4003,"自用消耗",出库单!$U$4:$U$4003,"正常",出库单!$C$4:$C$4003,"&gt;="&amp;账期起,出库单!$C$4:$C$4003,"&lt;="&amp;账期止),0))</f>
        <v/>
      </c>
      <c r="R260" s="27">
        <f>IF($A260="","",SUMIFS(出库单!$J$4:$J$4003,出库单!$D$4:$D$4003,$A260,出库单!$K$4:$K$4003,"对外销售",出库单!$U$4:$U$4003,"正常",出库单!$C$4:$C$4003,"&gt;="&amp;账期起,出库单!$C$4:$C$4003,"&lt;="&amp;账期止))</f>
        <v/>
      </c>
      <c r="S260" s="26">
        <f>IF($A260="","",ROUND(SUMIFS(出库单!$S$4:$S$4003,出库单!$D$4:$D$4003,$A260,出库单!$K$4:$K$4003,"对外销售",出库单!$U$4:$U$4003,"正常",出库单!$C$4:$C$4003,"&gt;="&amp;账期起,出库单!$C$4:$C$4003,"&lt;="&amp;账期止),0))</f>
        <v/>
      </c>
      <c r="T260" s="27">
        <f>IF($A260="","",SUMIFS(出库单!$J$4:$J$4003,出库单!$D$4:$D$4003,$A260,出库单!$K$4:$K$4003,"盘亏",出库单!$U$4:$U$4003,"正常",出库单!$C$4:$C$4003,"&gt;="&amp;账期起,出库单!$C$4:$C$4003,"&lt;="&amp;账期止))</f>
        <v/>
      </c>
      <c r="U260" s="26">
        <f>IF($A260="","",ROUND(SUMIFS(出库单!$S$4:$S$4003,出库单!$D$4:$D$4003,$A260,出库单!$K$4:$K$4003,"盘亏",出库单!$U$4:$U$4003,"正常",出库单!$C$4:$C$4003,"&gt;="&amp;账期起,出库单!$C$4:$C$4003,"&lt;="&amp;账期止),0))</f>
        <v/>
      </c>
      <c r="V260" s="27">
        <f>IF($A260="","",SUMIFS(出库单!$J$4:$J$4003,出库单!$D$4:$D$4003,$A260,出库单!$K$4:$K$4003,"退货给供应商",出库单!$U$4:$U$4003,"正常",出库单!$C$4:$C$4003,"&gt;="&amp;账期起,出库单!$C$4:$C$4003,"&lt;="&amp;账期止))</f>
        <v/>
      </c>
      <c r="W260" s="26">
        <f>IF($A260="","",ROUND(SUMIFS(出库单!$S$4:$S$4003,出库单!$D$4:$D$4003,$A260,出库单!$K$4:$K$4003,"退货给供应商",出库单!$U$4:$U$4003,"正常",出库单!$C$4:$C$4003,"&gt;="&amp;账期起,出库单!$C$4:$C$4003,"&lt;="&amp;账期止),0))</f>
        <v/>
      </c>
      <c r="X260" s="27">
        <f>IF($A260="","",ROUND(N($G260)+$I260+$L260+$N260-$P260-$R260-$T260-$V260,3))</f>
        <v/>
      </c>
      <c r="Y260" s="26">
        <f>IF($A260="","",ROUND(N($H260)+$J260+$M260+$O260-$Q260-$S260-$U260-$W260,0))</f>
        <v/>
      </c>
      <c r="Z260" s="24">
        <f>IF($A260="","",IF(COUNTIFS(入库单!$G$4:$G$2503,$A260,入库单!$Y$4:$Y$2503,"待补价")+COUNTIFS(入库单!$G$4:$G$2503,$A260,入库单!$Y$4:$Y$2503,"暂估")&gt;0,"不可信","可信"))</f>
        <v/>
      </c>
      <c r="AA260" s="24">
        <f>IF($A260="","",IF($X260&lt;-0.001,"※账面负库存，查一下是不是漏记入库",IF(AND(ROUND($X260,3)=0,ABS($Y260)&gt;1),"※数量已经是 0，金额还挂着 "&amp;TEXT($Y260,"#,##0")&amp;" 先令",IF(AND($X260&gt;0,$Y260&lt;=0,$K260=0),"※有数量没金额（这个物料一直没填过进价）",IF($Z260="不可信","△成本含待补价/暂估，毛利仅供参考","")))))</f>
        <v/>
      </c>
    </row>
    <row r="261">
      <c r="A261" s="24">
        <f>IF(物料档案!$A260="","",物料档案!$A260)</f>
        <v/>
      </c>
      <c r="B261" s="24">
        <f>IF($A261="","",IFERROR(VLOOKUP($A261,物料档案!$A$4:$P$1203,3,0),""))</f>
        <v/>
      </c>
      <c r="C261" s="24">
        <f>IF($A261="","",IFERROR(VLOOKUP($A261,物料档案!$A$4:$P$1203,4,0),""))</f>
        <v/>
      </c>
      <c r="D261" s="24">
        <f>IF($A261="","",IFERROR(VLOOKUP($A261,物料档案!$A$4:$P$1203,5,0),""))</f>
        <v/>
      </c>
      <c r="E261" s="24">
        <f>IF($A261="","",IFERROR(VLOOKUP($A261,物料档案!$A$4:$P$1203,2,0),""))</f>
        <v/>
      </c>
      <c r="F261" s="24">
        <f>IF($A261="","",IFERROR(VLOOKUP($A261,物料档案!$A$4:$P$1203,6,0),""))</f>
        <v/>
      </c>
      <c r="G261" s="23" t="n"/>
      <c r="H261" s="32" t="n"/>
      <c r="I261" s="27">
        <f>IF($A261="","",SUMIFS(入库单!$K$4:$K$2503,入库单!$G$4:$G$2503,$A261,入库单!$X$4:$X$2503,"采购入库",入库单!$Z$4:$Z$2503,"正常",入库单!$C$4:$C$2503,"&gt;="&amp;账期起,入库单!$C$4:$C$2503,"&lt;="&amp;账期止))</f>
        <v/>
      </c>
      <c r="J261" s="26">
        <f>IF($A261="","",SUMIFS(入库单!$V$4:$V$2503,入库单!$G$4:$G$2503,$A261,入库单!$X$4:$X$2503,"采购入库",入库单!$Z$4:$Z$2503,"正常",入库单!$C$4:$C$2503,"&gt;="&amp;账期起,入库单!$C$4:$C$2503,"&lt;="&amp;账期止))</f>
        <v/>
      </c>
      <c r="K261" s="26">
        <f>IF($A261="","",IFERROR(ROUND((N($H261)+N($J261))/(N($G261)+N($I261)),2),0))</f>
        <v/>
      </c>
      <c r="L261" s="27">
        <f>IF($A261="","",SUMIFS(入库单!$K$4:$K$2503,入库单!$G$4:$G$2503,$A261,入库单!$X$4:$X$2503,"盘盈",入库单!$Z$4:$Z$2503,"正常",入库单!$C$4:$C$2503,"&gt;="&amp;账期起,入库单!$C$4:$C$2503,"&lt;="&amp;账期止))</f>
        <v/>
      </c>
      <c r="M261" s="26">
        <f>IF($A261="","",ROUND($L261*$K261,0))</f>
        <v/>
      </c>
      <c r="N261" s="27">
        <f>IF($A261="","",SUMIFS(入库单!$K$4:$K$2503,入库单!$G$4:$G$2503,$A261,入库单!$X$4:$X$2503,"矿区退库",入库单!$Z$4:$Z$2503,"正常",入库单!$C$4:$C$2503,"&gt;="&amp;账期起,入库单!$C$4:$C$2503,"&lt;="&amp;账期止))</f>
        <v/>
      </c>
      <c r="O261" s="26">
        <f>IF($A261="","",ROUND($N261*$K261,0))</f>
        <v/>
      </c>
      <c r="P261" s="27">
        <f>IF($A261="","",SUMIFS(出库单!$J$4:$J$4003,出库单!$D$4:$D$4003,$A261,出库单!$K$4:$K$4003,"自用消耗",出库单!$U$4:$U$4003,"正常",出库单!$C$4:$C$4003,"&gt;="&amp;账期起,出库单!$C$4:$C$4003,"&lt;="&amp;账期止))</f>
        <v/>
      </c>
      <c r="Q261" s="26">
        <f>IF($A261="","",ROUND(SUMIFS(出库单!$S$4:$S$4003,出库单!$D$4:$D$4003,$A261,出库单!$K$4:$K$4003,"自用消耗",出库单!$U$4:$U$4003,"正常",出库单!$C$4:$C$4003,"&gt;="&amp;账期起,出库单!$C$4:$C$4003,"&lt;="&amp;账期止),0))</f>
        <v/>
      </c>
      <c r="R261" s="27">
        <f>IF($A261="","",SUMIFS(出库单!$J$4:$J$4003,出库单!$D$4:$D$4003,$A261,出库单!$K$4:$K$4003,"对外销售",出库单!$U$4:$U$4003,"正常",出库单!$C$4:$C$4003,"&gt;="&amp;账期起,出库单!$C$4:$C$4003,"&lt;="&amp;账期止))</f>
        <v/>
      </c>
      <c r="S261" s="26">
        <f>IF($A261="","",ROUND(SUMIFS(出库单!$S$4:$S$4003,出库单!$D$4:$D$4003,$A261,出库单!$K$4:$K$4003,"对外销售",出库单!$U$4:$U$4003,"正常",出库单!$C$4:$C$4003,"&gt;="&amp;账期起,出库单!$C$4:$C$4003,"&lt;="&amp;账期止),0))</f>
        <v/>
      </c>
      <c r="T261" s="27">
        <f>IF($A261="","",SUMIFS(出库单!$J$4:$J$4003,出库单!$D$4:$D$4003,$A261,出库单!$K$4:$K$4003,"盘亏",出库单!$U$4:$U$4003,"正常",出库单!$C$4:$C$4003,"&gt;="&amp;账期起,出库单!$C$4:$C$4003,"&lt;="&amp;账期止))</f>
        <v/>
      </c>
      <c r="U261" s="26">
        <f>IF($A261="","",ROUND(SUMIFS(出库单!$S$4:$S$4003,出库单!$D$4:$D$4003,$A261,出库单!$K$4:$K$4003,"盘亏",出库单!$U$4:$U$4003,"正常",出库单!$C$4:$C$4003,"&gt;="&amp;账期起,出库单!$C$4:$C$4003,"&lt;="&amp;账期止),0))</f>
        <v/>
      </c>
      <c r="V261" s="27">
        <f>IF($A261="","",SUMIFS(出库单!$J$4:$J$4003,出库单!$D$4:$D$4003,$A261,出库单!$K$4:$K$4003,"退货给供应商",出库单!$U$4:$U$4003,"正常",出库单!$C$4:$C$4003,"&gt;="&amp;账期起,出库单!$C$4:$C$4003,"&lt;="&amp;账期止))</f>
        <v/>
      </c>
      <c r="W261" s="26">
        <f>IF($A261="","",ROUND(SUMIFS(出库单!$S$4:$S$4003,出库单!$D$4:$D$4003,$A261,出库单!$K$4:$K$4003,"退货给供应商",出库单!$U$4:$U$4003,"正常",出库单!$C$4:$C$4003,"&gt;="&amp;账期起,出库单!$C$4:$C$4003,"&lt;="&amp;账期止),0))</f>
        <v/>
      </c>
      <c r="X261" s="27">
        <f>IF($A261="","",ROUND(N($G261)+$I261+$L261+$N261-$P261-$R261-$T261-$V261,3))</f>
        <v/>
      </c>
      <c r="Y261" s="26">
        <f>IF($A261="","",ROUND(N($H261)+$J261+$M261+$O261-$Q261-$S261-$U261-$W261,0))</f>
        <v/>
      </c>
      <c r="Z261" s="24">
        <f>IF($A261="","",IF(COUNTIFS(入库单!$G$4:$G$2503,$A261,入库单!$Y$4:$Y$2503,"待补价")+COUNTIFS(入库单!$G$4:$G$2503,$A261,入库单!$Y$4:$Y$2503,"暂估")&gt;0,"不可信","可信"))</f>
        <v/>
      </c>
      <c r="AA261" s="24">
        <f>IF($A261="","",IF($X261&lt;-0.001,"※账面负库存，查一下是不是漏记入库",IF(AND(ROUND($X261,3)=0,ABS($Y261)&gt;1),"※数量已经是 0，金额还挂着 "&amp;TEXT($Y261,"#,##0")&amp;" 先令",IF(AND($X261&gt;0,$Y261&lt;=0,$K261=0),"※有数量没金额（这个物料一直没填过进价）",IF($Z261="不可信","△成本含待补价/暂估，毛利仅供参考","")))))</f>
        <v/>
      </c>
    </row>
    <row r="262">
      <c r="A262" s="24">
        <f>IF(物料档案!$A261="","",物料档案!$A261)</f>
        <v/>
      </c>
      <c r="B262" s="24">
        <f>IF($A262="","",IFERROR(VLOOKUP($A262,物料档案!$A$4:$P$1203,3,0),""))</f>
        <v/>
      </c>
      <c r="C262" s="24">
        <f>IF($A262="","",IFERROR(VLOOKUP($A262,物料档案!$A$4:$P$1203,4,0),""))</f>
        <v/>
      </c>
      <c r="D262" s="24">
        <f>IF($A262="","",IFERROR(VLOOKUP($A262,物料档案!$A$4:$P$1203,5,0),""))</f>
        <v/>
      </c>
      <c r="E262" s="24">
        <f>IF($A262="","",IFERROR(VLOOKUP($A262,物料档案!$A$4:$P$1203,2,0),""))</f>
        <v/>
      </c>
      <c r="F262" s="24">
        <f>IF($A262="","",IFERROR(VLOOKUP($A262,物料档案!$A$4:$P$1203,6,0),""))</f>
        <v/>
      </c>
      <c r="G262" s="23" t="n"/>
      <c r="H262" s="32" t="n"/>
      <c r="I262" s="27">
        <f>IF($A262="","",SUMIFS(入库单!$K$4:$K$2503,入库单!$G$4:$G$2503,$A262,入库单!$X$4:$X$2503,"采购入库",入库单!$Z$4:$Z$2503,"正常",入库单!$C$4:$C$2503,"&gt;="&amp;账期起,入库单!$C$4:$C$2503,"&lt;="&amp;账期止))</f>
        <v/>
      </c>
      <c r="J262" s="26">
        <f>IF($A262="","",SUMIFS(入库单!$V$4:$V$2503,入库单!$G$4:$G$2503,$A262,入库单!$X$4:$X$2503,"采购入库",入库单!$Z$4:$Z$2503,"正常",入库单!$C$4:$C$2503,"&gt;="&amp;账期起,入库单!$C$4:$C$2503,"&lt;="&amp;账期止))</f>
        <v/>
      </c>
      <c r="K262" s="26">
        <f>IF($A262="","",IFERROR(ROUND((N($H262)+N($J262))/(N($G262)+N($I262)),2),0))</f>
        <v/>
      </c>
      <c r="L262" s="27">
        <f>IF($A262="","",SUMIFS(入库单!$K$4:$K$2503,入库单!$G$4:$G$2503,$A262,入库单!$X$4:$X$2503,"盘盈",入库单!$Z$4:$Z$2503,"正常",入库单!$C$4:$C$2503,"&gt;="&amp;账期起,入库单!$C$4:$C$2503,"&lt;="&amp;账期止))</f>
        <v/>
      </c>
      <c r="M262" s="26">
        <f>IF($A262="","",ROUND($L262*$K262,0))</f>
        <v/>
      </c>
      <c r="N262" s="27">
        <f>IF($A262="","",SUMIFS(入库单!$K$4:$K$2503,入库单!$G$4:$G$2503,$A262,入库单!$X$4:$X$2503,"矿区退库",入库单!$Z$4:$Z$2503,"正常",入库单!$C$4:$C$2503,"&gt;="&amp;账期起,入库单!$C$4:$C$2503,"&lt;="&amp;账期止))</f>
        <v/>
      </c>
      <c r="O262" s="26">
        <f>IF($A262="","",ROUND($N262*$K262,0))</f>
        <v/>
      </c>
      <c r="P262" s="27">
        <f>IF($A262="","",SUMIFS(出库单!$J$4:$J$4003,出库单!$D$4:$D$4003,$A262,出库单!$K$4:$K$4003,"自用消耗",出库单!$U$4:$U$4003,"正常",出库单!$C$4:$C$4003,"&gt;="&amp;账期起,出库单!$C$4:$C$4003,"&lt;="&amp;账期止))</f>
        <v/>
      </c>
      <c r="Q262" s="26">
        <f>IF($A262="","",ROUND(SUMIFS(出库单!$S$4:$S$4003,出库单!$D$4:$D$4003,$A262,出库单!$K$4:$K$4003,"自用消耗",出库单!$U$4:$U$4003,"正常",出库单!$C$4:$C$4003,"&gt;="&amp;账期起,出库单!$C$4:$C$4003,"&lt;="&amp;账期止),0))</f>
        <v/>
      </c>
      <c r="R262" s="27">
        <f>IF($A262="","",SUMIFS(出库单!$J$4:$J$4003,出库单!$D$4:$D$4003,$A262,出库单!$K$4:$K$4003,"对外销售",出库单!$U$4:$U$4003,"正常",出库单!$C$4:$C$4003,"&gt;="&amp;账期起,出库单!$C$4:$C$4003,"&lt;="&amp;账期止))</f>
        <v/>
      </c>
      <c r="S262" s="26">
        <f>IF($A262="","",ROUND(SUMIFS(出库单!$S$4:$S$4003,出库单!$D$4:$D$4003,$A262,出库单!$K$4:$K$4003,"对外销售",出库单!$U$4:$U$4003,"正常",出库单!$C$4:$C$4003,"&gt;="&amp;账期起,出库单!$C$4:$C$4003,"&lt;="&amp;账期止),0))</f>
        <v/>
      </c>
      <c r="T262" s="27">
        <f>IF($A262="","",SUMIFS(出库单!$J$4:$J$4003,出库单!$D$4:$D$4003,$A262,出库单!$K$4:$K$4003,"盘亏",出库单!$U$4:$U$4003,"正常",出库单!$C$4:$C$4003,"&gt;="&amp;账期起,出库单!$C$4:$C$4003,"&lt;="&amp;账期止))</f>
        <v/>
      </c>
      <c r="U262" s="26">
        <f>IF($A262="","",ROUND(SUMIFS(出库单!$S$4:$S$4003,出库单!$D$4:$D$4003,$A262,出库单!$K$4:$K$4003,"盘亏",出库单!$U$4:$U$4003,"正常",出库单!$C$4:$C$4003,"&gt;="&amp;账期起,出库单!$C$4:$C$4003,"&lt;="&amp;账期止),0))</f>
        <v/>
      </c>
      <c r="V262" s="27">
        <f>IF($A262="","",SUMIFS(出库单!$J$4:$J$4003,出库单!$D$4:$D$4003,$A262,出库单!$K$4:$K$4003,"退货给供应商",出库单!$U$4:$U$4003,"正常",出库单!$C$4:$C$4003,"&gt;="&amp;账期起,出库单!$C$4:$C$4003,"&lt;="&amp;账期止))</f>
        <v/>
      </c>
      <c r="W262" s="26">
        <f>IF($A262="","",ROUND(SUMIFS(出库单!$S$4:$S$4003,出库单!$D$4:$D$4003,$A262,出库单!$K$4:$K$4003,"退货给供应商",出库单!$U$4:$U$4003,"正常",出库单!$C$4:$C$4003,"&gt;="&amp;账期起,出库单!$C$4:$C$4003,"&lt;="&amp;账期止),0))</f>
        <v/>
      </c>
      <c r="X262" s="27">
        <f>IF($A262="","",ROUND(N($G262)+$I262+$L262+$N262-$P262-$R262-$T262-$V262,3))</f>
        <v/>
      </c>
      <c r="Y262" s="26">
        <f>IF($A262="","",ROUND(N($H262)+$J262+$M262+$O262-$Q262-$S262-$U262-$W262,0))</f>
        <v/>
      </c>
      <c r="Z262" s="24">
        <f>IF($A262="","",IF(COUNTIFS(入库单!$G$4:$G$2503,$A262,入库单!$Y$4:$Y$2503,"待补价")+COUNTIFS(入库单!$G$4:$G$2503,$A262,入库单!$Y$4:$Y$2503,"暂估")&gt;0,"不可信","可信"))</f>
        <v/>
      </c>
      <c r="AA262" s="24">
        <f>IF($A262="","",IF($X262&lt;-0.001,"※账面负库存，查一下是不是漏记入库",IF(AND(ROUND($X262,3)=0,ABS($Y262)&gt;1),"※数量已经是 0，金额还挂着 "&amp;TEXT($Y262,"#,##0")&amp;" 先令",IF(AND($X262&gt;0,$Y262&lt;=0,$K262=0),"※有数量没金额（这个物料一直没填过进价）",IF($Z262="不可信","△成本含待补价/暂估，毛利仅供参考","")))))</f>
        <v/>
      </c>
    </row>
    <row r="263">
      <c r="A263" s="24">
        <f>IF(物料档案!$A262="","",物料档案!$A262)</f>
        <v/>
      </c>
      <c r="B263" s="24">
        <f>IF($A263="","",IFERROR(VLOOKUP($A263,物料档案!$A$4:$P$1203,3,0),""))</f>
        <v/>
      </c>
      <c r="C263" s="24">
        <f>IF($A263="","",IFERROR(VLOOKUP($A263,物料档案!$A$4:$P$1203,4,0),""))</f>
        <v/>
      </c>
      <c r="D263" s="24">
        <f>IF($A263="","",IFERROR(VLOOKUP($A263,物料档案!$A$4:$P$1203,5,0),""))</f>
        <v/>
      </c>
      <c r="E263" s="24">
        <f>IF($A263="","",IFERROR(VLOOKUP($A263,物料档案!$A$4:$P$1203,2,0),""))</f>
        <v/>
      </c>
      <c r="F263" s="24">
        <f>IF($A263="","",IFERROR(VLOOKUP($A263,物料档案!$A$4:$P$1203,6,0),""))</f>
        <v/>
      </c>
      <c r="G263" s="23" t="n"/>
      <c r="H263" s="32" t="n"/>
      <c r="I263" s="27">
        <f>IF($A263="","",SUMIFS(入库单!$K$4:$K$2503,入库单!$G$4:$G$2503,$A263,入库单!$X$4:$X$2503,"采购入库",入库单!$Z$4:$Z$2503,"正常",入库单!$C$4:$C$2503,"&gt;="&amp;账期起,入库单!$C$4:$C$2503,"&lt;="&amp;账期止))</f>
        <v/>
      </c>
      <c r="J263" s="26">
        <f>IF($A263="","",SUMIFS(入库单!$V$4:$V$2503,入库单!$G$4:$G$2503,$A263,入库单!$X$4:$X$2503,"采购入库",入库单!$Z$4:$Z$2503,"正常",入库单!$C$4:$C$2503,"&gt;="&amp;账期起,入库单!$C$4:$C$2503,"&lt;="&amp;账期止))</f>
        <v/>
      </c>
      <c r="K263" s="26">
        <f>IF($A263="","",IFERROR(ROUND((N($H263)+N($J263))/(N($G263)+N($I263)),2),0))</f>
        <v/>
      </c>
      <c r="L263" s="27">
        <f>IF($A263="","",SUMIFS(入库单!$K$4:$K$2503,入库单!$G$4:$G$2503,$A263,入库单!$X$4:$X$2503,"盘盈",入库单!$Z$4:$Z$2503,"正常",入库单!$C$4:$C$2503,"&gt;="&amp;账期起,入库单!$C$4:$C$2503,"&lt;="&amp;账期止))</f>
        <v/>
      </c>
      <c r="M263" s="26">
        <f>IF($A263="","",ROUND($L263*$K263,0))</f>
        <v/>
      </c>
      <c r="N263" s="27">
        <f>IF($A263="","",SUMIFS(入库单!$K$4:$K$2503,入库单!$G$4:$G$2503,$A263,入库单!$X$4:$X$2503,"矿区退库",入库单!$Z$4:$Z$2503,"正常",入库单!$C$4:$C$2503,"&gt;="&amp;账期起,入库单!$C$4:$C$2503,"&lt;="&amp;账期止))</f>
        <v/>
      </c>
      <c r="O263" s="26">
        <f>IF($A263="","",ROUND($N263*$K263,0))</f>
        <v/>
      </c>
      <c r="P263" s="27">
        <f>IF($A263="","",SUMIFS(出库单!$J$4:$J$4003,出库单!$D$4:$D$4003,$A263,出库单!$K$4:$K$4003,"自用消耗",出库单!$U$4:$U$4003,"正常",出库单!$C$4:$C$4003,"&gt;="&amp;账期起,出库单!$C$4:$C$4003,"&lt;="&amp;账期止))</f>
        <v/>
      </c>
      <c r="Q263" s="26">
        <f>IF($A263="","",ROUND(SUMIFS(出库单!$S$4:$S$4003,出库单!$D$4:$D$4003,$A263,出库单!$K$4:$K$4003,"自用消耗",出库单!$U$4:$U$4003,"正常",出库单!$C$4:$C$4003,"&gt;="&amp;账期起,出库单!$C$4:$C$4003,"&lt;="&amp;账期止),0))</f>
        <v/>
      </c>
      <c r="R263" s="27">
        <f>IF($A263="","",SUMIFS(出库单!$J$4:$J$4003,出库单!$D$4:$D$4003,$A263,出库单!$K$4:$K$4003,"对外销售",出库单!$U$4:$U$4003,"正常",出库单!$C$4:$C$4003,"&gt;="&amp;账期起,出库单!$C$4:$C$4003,"&lt;="&amp;账期止))</f>
        <v/>
      </c>
      <c r="S263" s="26">
        <f>IF($A263="","",ROUND(SUMIFS(出库单!$S$4:$S$4003,出库单!$D$4:$D$4003,$A263,出库单!$K$4:$K$4003,"对外销售",出库单!$U$4:$U$4003,"正常",出库单!$C$4:$C$4003,"&gt;="&amp;账期起,出库单!$C$4:$C$4003,"&lt;="&amp;账期止),0))</f>
        <v/>
      </c>
      <c r="T263" s="27">
        <f>IF($A263="","",SUMIFS(出库单!$J$4:$J$4003,出库单!$D$4:$D$4003,$A263,出库单!$K$4:$K$4003,"盘亏",出库单!$U$4:$U$4003,"正常",出库单!$C$4:$C$4003,"&gt;="&amp;账期起,出库单!$C$4:$C$4003,"&lt;="&amp;账期止))</f>
        <v/>
      </c>
      <c r="U263" s="26">
        <f>IF($A263="","",ROUND(SUMIFS(出库单!$S$4:$S$4003,出库单!$D$4:$D$4003,$A263,出库单!$K$4:$K$4003,"盘亏",出库单!$U$4:$U$4003,"正常",出库单!$C$4:$C$4003,"&gt;="&amp;账期起,出库单!$C$4:$C$4003,"&lt;="&amp;账期止),0))</f>
        <v/>
      </c>
      <c r="V263" s="27">
        <f>IF($A263="","",SUMIFS(出库单!$J$4:$J$4003,出库单!$D$4:$D$4003,$A263,出库单!$K$4:$K$4003,"退货给供应商",出库单!$U$4:$U$4003,"正常",出库单!$C$4:$C$4003,"&gt;="&amp;账期起,出库单!$C$4:$C$4003,"&lt;="&amp;账期止))</f>
        <v/>
      </c>
      <c r="W263" s="26">
        <f>IF($A263="","",ROUND(SUMIFS(出库单!$S$4:$S$4003,出库单!$D$4:$D$4003,$A263,出库单!$K$4:$K$4003,"退货给供应商",出库单!$U$4:$U$4003,"正常",出库单!$C$4:$C$4003,"&gt;="&amp;账期起,出库单!$C$4:$C$4003,"&lt;="&amp;账期止),0))</f>
        <v/>
      </c>
      <c r="X263" s="27">
        <f>IF($A263="","",ROUND(N($G263)+$I263+$L263+$N263-$P263-$R263-$T263-$V263,3))</f>
        <v/>
      </c>
      <c r="Y263" s="26">
        <f>IF($A263="","",ROUND(N($H263)+$J263+$M263+$O263-$Q263-$S263-$U263-$W263,0))</f>
        <v/>
      </c>
      <c r="Z263" s="24">
        <f>IF($A263="","",IF(COUNTIFS(入库单!$G$4:$G$2503,$A263,入库单!$Y$4:$Y$2503,"待补价")+COUNTIFS(入库单!$G$4:$G$2503,$A263,入库单!$Y$4:$Y$2503,"暂估")&gt;0,"不可信","可信"))</f>
        <v/>
      </c>
      <c r="AA263" s="24">
        <f>IF($A263="","",IF($X263&lt;-0.001,"※账面负库存，查一下是不是漏记入库",IF(AND(ROUND($X263,3)=0,ABS($Y263)&gt;1),"※数量已经是 0，金额还挂着 "&amp;TEXT($Y263,"#,##0")&amp;" 先令",IF(AND($X263&gt;0,$Y263&lt;=0,$K263=0),"※有数量没金额（这个物料一直没填过进价）",IF($Z263="不可信","△成本含待补价/暂估，毛利仅供参考","")))))</f>
        <v/>
      </c>
    </row>
    <row r="264">
      <c r="A264" s="24">
        <f>IF(物料档案!$A263="","",物料档案!$A263)</f>
        <v/>
      </c>
      <c r="B264" s="24">
        <f>IF($A264="","",IFERROR(VLOOKUP($A264,物料档案!$A$4:$P$1203,3,0),""))</f>
        <v/>
      </c>
      <c r="C264" s="24">
        <f>IF($A264="","",IFERROR(VLOOKUP($A264,物料档案!$A$4:$P$1203,4,0),""))</f>
        <v/>
      </c>
      <c r="D264" s="24">
        <f>IF($A264="","",IFERROR(VLOOKUP($A264,物料档案!$A$4:$P$1203,5,0),""))</f>
        <v/>
      </c>
      <c r="E264" s="24">
        <f>IF($A264="","",IFERROR(VLOOKUP($A264,物料档案!$A$4:$P$1203,2,0),""))</f>
        <v/>
      </c>
      <c r="F264" s="24">
        <f>IF($A264="","",IFERROR(VLOOKUP($A264,物料档案!$A$4:$P$1203,6,0),""))</f>
        <v/>
      </c>
      <c r="G264" s="23" t="n"/>
      <c r="H264" s="32" t="n"/>
      <c r="I264" s="27">
        <f>IF($A264="","",SUMIFS(入库单!$K$4:$K$2503,入库单!$G$4:$G$2503,$A264,入库单!$X$4:$X$2503,"采购入库",入库单!$Z$4:$Z$2503,"正常",入库单!$C$4:$C$2503,"&gt;="&amp;账期起,入库单!$C$4:$C$2503,"&lt;="&amp;账期止))</f>
        <v/>
      </c>
      <c r="J264" s="26">
        <f>IF($A264="","",SUMIFS(入库单!$V$4:$V$2503,入库单!$G$4:$G$2503,$A264,入库单!$X$4:$X$2503,"采购入库",入库单!$Z$4:$Z$2503,"正常",入库单!$C$4:$C$2503,"&gt;="&amp;账期起,入库单!$C$4:$C$2503,"&lt;="&amp;账期止))</f>
        <v/>
      </c>
      <c r="K264" s="26">
        <f>IF($A264="","",IFERROR(ROUND((N($H264)+N($J264))/(N($G264)+N($I264)),2),0))</f>
        <v/>
      </c>
      <c r="L264" s="27">
        <f>IF($A264="","",SUMIFS(入库单!$K$4:$K$2503,入库单!$G$4:$G$2503,$A264,入库单!$X$4:$X$2503,"盘盈",入库单!$Z$4:$Z$2503,"正常",入库单!$C$4:$C$2503,"&gt;="&amp;账期起,入库单!$C$4:$C$2503,"&lt;="&amp;账期止))</f>
        <v/>
      </c>
      <c r="M264" s="26">
        <f>IF($A264="","",ROUND($L264*$K264,0))</f>
        <v/>
      </c>
      <c r="N264" s="27">
        <f>IF($A264="","",SUMIFS(入库单!$K$4:$K$2503,入库单!$G$4:$G$2503,$A264,入库单!$X$4:$X$2503,"矿区退库",入库单!$Z$4:$Z$2503,"正常",入库单!$C$4:$C$2503,"&gt;="&amp;账期起,入库单!$C$4:$C$2503,"&lt;="&amp;账期止))</f>
        <v/>
      </c>
      <c r="O264" s="26">
        <f>IF($A264="","",ROUND($N264*$K264,0))</f>
        <v/>
      </c>
      <c r="P264" s="27">
        <f>IF($A264="","",SUMIFS(出库单!$J$4:$J$4003,出库单!$D$4:$D$4003,$A264,出库单!$K$4:$K$4003,"自用消耗",出库单!$U$4:$U$4003,"正常",出库单!$C$4:$C$4003,"&gt;="&amp;账期起,出库单!$C$4:$C$4003,"&lt;="&amp;账期止))</f>
        <v/>
      </c>
      <c r="Q264" s="26">
        <f>IF($A264="","",ROUND(SUMIFS(出库单!$S$4:$S$4003,出库单!$D$4:$D$4003,$A264,出库单!$K$4:$K$4003,"自用消耗",出库单!$U$4:$U$4003,"正常",出库单!$C$4:$C$4003,"&gt;="&amp;账期起,出库单!$C$4:$C$4003,"&lt;="&amp;账期止),0))</f>
        <v/>
      </c>
      <c r="R264" s="27">
        <f>IF($A264="","",SUMIFS(出库单!$J$4:$J$4003,出库单!$D$4:$D$4003,$A264,出库单!$K$4:$K$4003,"对外销售",出库单!$U$4:$U$4003,"正常",出库单!$C$4:$C$4003,"&gt;="&amp;账期起,出库单!$C$4:$C$4003,"&lt;="&amp;账期止))</f>
        <v/>
      </c>
      <c r="S264" s="26">
        <f>IF($A264="","",ROUND(SUMIFS(出库单!$S$4:$S$4003,出库单!$D$4:$D$4003,$A264,出库单!$K$4:$K$4003,"对外销售",出库单!$U$4:$U$4003,"正常",出库单!$C$4:$C$4003,"&gt;="&amp;账期起,出库单!$C$4:$C$4003,"&lt;="&amp;账期止),0))</f>
        <v/>
      </c>
      <c r="T264" s="27">
        <f>IF($A264="","",SUMIFS(出库单!$J$4:$J$4003,出库单!$D$4:$D$4003,$A264,出库单!$K$4:$K$4003,"盘亏",出库单!$U$4:$U$4003,"正常",出库单!$C$4:$C$4003,"&gt;="&amp;账期起,出库单!$C$4:$C$4003,"&lt;="&amp;账期止))</f>
        <v/>
      </c>
      <c r="U264" s="26">
        <f>IF($A264="","",ROUND(SUMIFS(出库单!$S$4:$S$4003,出库单!$D$4:$D$4003,$A264,出库单!$K$4:$K$4003,"盘亏",出库单!$U$4:$U$4003,"正常",出库单!$C$4:$C$4003,"&gt;="&amp;账期起,出库单!$C$4:$C$4003,"&lt;="&amp;账期止),0))</f>
        <v/>
      </c>
      <c r="V264" s="27">
        <f>IF($A264="","",SUMIFS(出库单!$J$4:$J$4003,出库单!$D$4:$D$4003,$A264,出库单!$K$4:$K$4003,"退货给供应商",出库单!$U$4:$U$4003,"正常",出库单!$C$4:$C$4003,"&gt;="&amp;账期起,出库单!$C$4:$C$4003,"&lt;="&amp;账期止))</f>
        <v/>
      </c>
      <c r="W264" s="26">
        <f>IF($A264="","",ROUND(SUMIFS(出库单!$S$4:$S$4003,出库单!$D$4:$D$4003,$A264,出库单!$K$4:$K$4003,"退货给供应商",出库单!$U$4:$U$4003,"正常",出库单!$C$4:$C$4003,"&gt;="&amp;账期起,出库单!$C$4:$C$4003,"&lt;="&amp;账期止),0))</f>
        <v/>
      </c>
      <c r="X264" s="27">
        <f>IF($A264="","",ROUND(N($G264)+$I264+$L264+$N264-$P264-$R264-$T264-$V264,3))</f>
        <v/>
      </c>
      <c r="Y264" s="26">
        <f>IF($A264="","",ROUND(N($H264)+$J264+$M264+$O264-$Q264-$S264-$U264-$W264,0))</f>
        <v/>
      </c>
      <c r="Z264" s="24">
        <f>IF($A264="","",IF(COUNTIFS(入库单!$G$4:$G$2503,$A264,入库单!$Y$4:$Y$2503,"待补价")+COUNTIFS(入库单!$G$4:$G$2503,$A264,入库单!$Y$4:$Y$2503,"暂估")&gt;0,"不可信","可信"))</f>
        <v/>
      </c>
      <c r="AA264" s="24">
        <f>IF($A264="","",IF($X264&lt;-0.001,"※账面负库存，查一下是不是漏记入库",IF(AND(ROUND($X264,3)=0,ABS($Y264)&gt;1),"※数量已经是 0，金额还挂着 "&amp;TEXT($Y264,"#,##0")&amp;" 先令",IF(AND($X264&gt;0,$Y264&lt;=0,$K264=0),"※有数量没金额（这个物料一直没填过进价）",IF($Z264="不可信","△成本含待补价/暂估，毛利仅供参考","")))))</f>
        <v/>
      </c>
    </row>
    <row r="265">
      <c r="A265" s="24">
        <f>IF(物料档案!$A264="","",物料档案!$A264)</f>
        <v/>
      </c>
      <c r="B265" s="24">
        <f>IF($A265="","",IFERROR(VLOOKUP($A265,物料档案!$A$4:$P$1203,3,0),""))</f>
        <v/>
      </c>
      <c r="C265" s="24">
        <f>IF($A265="","",IFERROR(VLOOKUP($A265,物料档案!$A$4:$P$1203,4,0),""))</f>
        <v/>
      </c>
      <c r="D265" s="24">
        <f>IF($A265="","",IFERROR(VLOOKUP($A265,物料档案!$A$4:$P$1203,5,0),""))</f>
        <v/>
      </c>
      <c r="E265" s="24">
        <f>IF($A265="","",IFERROR(VLOOKUP($A265,物料档案!$A$4:$P$1203,2,0),""))</f>
        <v/>
      </c>
      <c r="F265" s="24">
        <f>IF($A265="","",IFERROR(VLOOKUP($A265,物料档案!$A$4:$P$1203,6,0),""))</f>
        <v/>
      </c>
      <c r="G265" s="23" t="n"/>
      <c r="H265" s="32" t="n"/>
      <c r="I265" s="27">
        <f>IF($A265="","",SUMIFS(入库单!$K$4:$K$2503,入库单!$G$4:$G$2503,$A265,入库单!$X$4:$X$2503,"采购入库",入库单!$Z$4:$Z$2503,"正常",入库单!$C$4:$C$2503,"&gt;="&amp;账期起,入库单!$C$4:$C$2503,"&lt;="&amp;账期止))</f>
        <v/>
      </c>
      <c r="J265" s="26">
        <f>IF($A265="","",SUMIFS(入库单!$V$4:$V$2503,入库单!$G$4:$G$2503,$A265,入库单!$X$4:$X$2503,"采购入库",入库单!$Z$4:$Z$2503,"正常",入库单!$C$4:$C$2503,"&gt;="&amp;账期起,入库单!$C$4:$C$2503,"&lt;="&amp;账期止))</f>
        <v/>
      </c>
      <c r="K265" s="26">
        <f>IF($A265="","",IFERROR(ROUND((N($H265)+N($J265))/(N($G265)+N($I265)),2),0))</f>
        <v/>
      </c>
      <c r="L265" s="27">
        <f>IF($A265="","",SUMIFS(入库单!$K$4:$K$2503,入库单!$G$4:$G$2503,$A265,入库单!$X$4:$X$2503,"盘盈",入库单!$Z$4:$Z$2503,"正常",入库单!$C$4:$C$2503,"&gt;="&amp;账期起,入库单!$C$4:$C$2503,"&lt;="&amp;账期止))</f>
        <v/>
      </c>
      <c r="M265" s="26">
        <f>IF($A265="","",ROUND($L265*$K265,0))</f>
        <v/>
      </c>
      <c r="N265" s="27">
        <f>IF($A265="","",SUMIFS(入库单!$K$4:$K$2503,入库单!$G$4:$G$2503,$A265,入库单!$X$4:$X$2503,"矿区退库",入库单!$Z$4:$Z$2503,"正常",入库单!$C$4:$C$2503,"&gt;="&amp;账期起,入库单!$C$4:$C$2503,"&lt;="&amp;账期止))</f>
        <v/>
      </c>
      <c r="O265" s="26">
        <f>IF($A265="","",ROUND($N265*$K265,0))</f>
        <v/>
      </c>
      <c r="P265" s="27">
        <f>IF($A265="","",SUMIFS(出库单!$J$4:$J$4003,出库单!$D$4:$D$4003,$A265,出库单!$K$4:$K$4003,"自用消耗",出库单!$U$4:$U$4003,"正常",出库单!$C$4:$C$4003,"&gt;="&amp;账期起,出库单!$C$4:$C$4003,"&lt;="&amp;账期止))</f>
        <v/>
      </c>
      <c r="Q265" s="26">
        <f>IF($A265="","",ROUND(SUMIFS(出库单!$S$4:$S$4003,出库单!$D$4:$D$4003,$A265,出库单!$K$4:$K$4003,"自用消耗",出库单!$U$4:$U$4003,"正常",出库单!$C$4:$C$4003,"&gt;="&amp;账期起,出库单!$C$4:$C$4003,"&lt;="&amp;账期止),0))</f>
        <v/>
      </c>
      <c r="R265" s="27">
        <f>IF($A265="","",SUMIFS(出库单!$J$4:$J$4003,出库单!$D$4:$D$4003,$A265,出库单!$K$4:$K$4003,"对外销售",出库单!$U$4:$U$4003,"正常",出库单!$C$4:$C$4003,"&gt;="&amp;账期起,出库单!$C$4:$C$4003,"&lt;="&amp;账期止))</f>
        <v/>
      </c>
      <c r="S265" s="26">
        <f>IF($A265="","",ROUND(SUMIFS(出库单!$S$4:$S$4003,出库单!$D$4:$D$4003,$A265,出库单!$K$4:$K$4003,"对外销售",出库单!$U$4:$U$4003,"正常",出库单!$C$4:$C$4003,"&gt;="&amp;账期起,出库单!$C$4:$C$4003,"&lt;="&amp;账期止),0))</f>
        <v/>
      </c>
      <c r="T265" s="27">
        <f>IF($A265="","",SUMIFS(出库单!$J$4:$J$4003,出库单!$D$4:$D$4003,$A265,出库单!$K$4:$K$4003,"盘亏",出库单!$U$4:$U$4003,"正常",出库单!$C$4:$C$4003,"&gt;="&amp;账期起,出库单!$C$4:$C$4003,"&lt;="&amp;账期止))</f>
        <v/>
      </c>
      <c r="U265" s="26">
        <f>IF($A265="","",ROUND(SUMIFS(出库单!$S$4:$S$4003,出库单!$D$4:$D$4003,$A265,出库单!$K$4:$K$4003,"盘亏",出库单!$U$4:$U$4003,"正常",出库单!$C$4:$C$4003,"&gt;="&amp;账期起,出库单!$C$4:$C$4003,"&lt;="&amp;账期止),0))</f>
        <v/>
      </c>
      <c r="V265" s="27">
        <f>IF($A265="","",SUMIFS(出库单!$J$4:$J$4003,出库单!$D$4:$D$4003,$A265,出库单!$K$4:$K$4003,"退货给供应商",出库单!$U$4:$U$4003,"正常",出库单!$C$4:$C$4003,"&gt;="&amp;账期起,出库单!$C$4:$C$4003,"&lt;="&amp;账期止))</f>
        <v/>
      </c>
      <c r="W265" s="26">
        <f>IF($A265="","",ROUND(SUMIFS(出库单!$S$4:$S$4003,出库单!$D$4:$D$4003,$A265,出库单!$K$4:$K$4003,"退货给供应商",出库单!$U$4:$U$4003,"正常",出库单!$C$4:$C$4003,"&gt;="&amp;账期起,出库单!$C$4:$C$4003,"&lt;="&amp;账期止),0))</f>
        <v/>
      </c>
      <c r="X265" s="27">
        <f>IF($A265="","",ROUND(N($G265)+$I265+$L265+$N265-$P265-$R265-$T265-$V265,3))</f>
        <v/>
      </c>
      <c r="Y265" s="26">
        <f>IF($A265="","",ROUND(N($H265)+$J265+$M265+$O265-$Q265-$S265-$U265-$W265,0))</f>
        <v/>
      </c>
      <c r="Z265" s="24">
        <f>IF($A265="","",IF(COUNTIFS(入库单!$G$4:$G$2503,$A265,入库单!$Y$4:$Y$2503,"待补价")+COUNTIFS(入库单!$G$4:$G$2503,$A265,入库单!$Y$4:$Y$2503,"暂估")&gt;0,"不可信","可信"))</f>
        <v/>
      </c>
      <c r="AA265" s="24">
        <f>IF($A265="","",IF($X265&lt;-0.001,"※账面负库存，查一下是不是漏记入库",IF(AND(ROUND($X265,3)=0,ABS($Y265)&gt;1),"※数量已经是 0，金额还挂着 "&amp;TEXT($Y265,"#,##0")&amp;" 先令",IF(AND($X265&gt;0,$Y265&lt;=0,$K265=0),"※有数量没金额（这个物料一直没填过进价）",IF($Z265="不可信","△成本含待补价/暂估，毛利仅供参考","")))))</f>
        <v/>
      </c>
    </row>
    <row r="266">
      <c r="A266" s="24">
        <f>IF(物料档案!$A265="","",物料档案!$A265)</f>
        <v/>
      </c>
      <c r="B266" s="24">
        <f>IF($A266="","",IFERROR(VLOOKUP($A266,物料档案!$A$4:$P$1203,3,0),""))</f>
        <v/>
      </c>
      <c r="C266" s="24">
        <f>IF($A266="","",IFERROR(VLOOKUP($A266,物料档案!$A$4:$P$1203,4,0),""))</f>
        <v/>
      </c>
      <c r="D266" s="24">
        <f>IF($A266="","",IFERROR(VLOOKUP($A266,物料档案!$A$4:$P$1203,5,0),""))</f>
        <v/>
      </c>
      <c r="E266" s="24">
        <f>IF($A266="","",IFERROR(VLOOKUP($A266,物料档案!$A$4:$P$1203,2,0),""))</f>
        <v/>
      </c>
      <c r="F266" s="24">
        <f>IF($A266="","",IFERROR(VLOOKUP($A266,物料档案!$A$4:$P$1203,6,0),""))</f>
        <v/>
      </c>
      <c r="G266" s="23" t="n"/>
      <c r="H266" s="32" t="n"/>
      <c r="I266" s="27">
        <f>IF($A266="","",SUMIFS(入库单!$K$4:$K$2503,入库单!$G$4:$G$2503,$A266,入库单!$X$4:$X$2503,"采购入库",入库单!$Z$4:$Z$2503,"正常",入库单!$C$4:$C$2503,"&gt;="&amp;账期起,入库单!$C$4:$C$2503,"&lt;="&amp;账期止))</f>
        <v/>
      </c>
      <c r="J266" s="26">
        <f>IF($A266="","",SUMIFS(入库单!$V$4:$V$2503,入库单!$G$4:$G$2503,$A266,入库单!$X$4:$X$2503,"采购入库",入库单!$Z$4:$Z$2503,"正常",入库单!$C$4:$C$2503,"&gt;="&amp;账期起,入库单!$C$4:$C$2503,"&lt;="&amp;账期止))</f>
        <v/>
      </c>
      <c r="K266" s="26">
        <f>IF($A266="","",IFERROR(ROUND((N($H266)+N($J266))/(N($G266)+N($I266)),2),0))</f>
        <v/>
      </c>
      <c r="L266" s="27">
        <f>IF($A266="","",SUMIFS(入库单!$K$4:$K$2503,入库单!$G$4:$G$2503,$A266,入库单!$X$4:$X$2503,"盘盈",入库单!$Z$4:$Z$2503,"正常",入库单!$C$4:$C$2503,"&gt;="&amp;账期起,入库单!$C$4:$C$2503,"&lt;="&amp;账期止))</f>
        <v/>
      </c>
      <c r="M266" s="26">
        <f>IF($A266="","",ROUND($L266*$K266,0))</f>
        <v/>
      </c>
      <c r="N266" s="27">
        <f>IF($A266="","",SUMIFS(入库单!$K$4:$K$2503,入库单!$G$4:$G$2503,$A266,入库单!$X$4:$X$2503,"矿区退库",入库单!$Z$4:$Z$2503,"正常",入库单!$C$4:$C$2503,"&gt;="&amp;账期起,入库单!$C$4:$C$2503,"&lt;="&amp;账期止))</f>
        <v/>
      </c>
      <c r="O266" s="26">
        <f>IF($A266="","",ROUND($N266*$K266,0))</f>
        <v/>
      </c>
      <c r="P266" s="27">
        <f>IF($A266="","",SUMIFS(出库单!$J$4:$J$4003,出库单!$D$4:$D$4003,$A266,出库单!$K$4:$K$4003,"自用消耗",出库单!$U$4:$U$4003,"正常",出库单!$C$4:$C$4003,"&gt;="&amp;账期起,出库单!$C$4:$C$4003,"&lt;="&amp;账期止))</f>
        <v/>
      </c>
      <c r="Q266" s="26">
        <f>IF($A266="","",ROUND(SUMIFS(出库单!$S$4:$S$4003,出库单!$D$4:$D$4003,$A266,出库单!$K$4:$K$4003,"自用消耗",出库单!$U$4:$U$4003,"正常",出库单!$C$4:$C$4003,"&gt;="&amp;账期起,出库单!$C$4:$C$4003,"&lt;="&amp;账期止),0))</f>
        <v/>
      </c>
      <c r="R266" s="27">
        <f>IF($A266="","",SUMIFS(出库单!$J$4:$J$4003,出库单!$D$4:$D$4003,$A266,出库单!$K$4:$K$4003,"对外销售",出库单!$U$4:$U$4003,"正常",出库单!$C$4:$C$4003,"&gt;="&amp;账期起,出库单!$C$4:$C$4003,"&lt;="&amp;账期止))</f>
        <v/>
      </c>
      <c r="S266" s="26">
        <f>IF($A266="","",ROUND(SUMIFS(出库单!$S$4:$S$4003,出库单!$D$4:$D$4003,$A266,出库单!$K$4:$K$4003,"对外销售",出库单!$U$4:$U$4003,"正常",出库单!$C$4:$C$4003,"&gt;="&amp;账期起,出库单!$C$4:$C$4003,"&lt;="&amp;账期止),0))</f>
        <v/>
      </c>
      <c r="T266" s="27">
        <f>IF($A266="","",SUMIFS(出库单!$J$4:$J$4003,出库单!$D$4:$D$4003,$A266,出库单!$K$4:$K$4003,"盘亏",出库单!$U$4:$U$4003,"正常",出库单!$C$4:$C$4003,"&gt;="&amp;账期起,出库单!$C$4:$C$4003,"&lt;="&amp;账期止))</f>
        <v/>
      </c>
      <c r="U266" s="26">
        <f>IF($A266="","",ROUND(SUMIFS(出库单!$S$4:$S$4003,出库单!$D$4:$D$4003,$A266,出库单!$K$4:$K$4003,"盘亏",出库单!$U$4:$U$4003,"正常",出库单!$C$4:$C$4003,"&gt;="&amp;账期起,出库单!$C$4:$C$4003,"&lt;="&amp;账期止),0))</f>
        <v/>
      </c>
      <c r="V266" s="27">
        <f>IF($A266="","",SUMIFS(出库单!$J$4:$J$4003,出库单!$D$4:$D$4003,$A266,出库单!$K$4:$K$4003,"退货给供应商",出库单!$U$4:$U$4003,"正常",出库单!$C$4:$C$4003,"&gt;="&amp;账期起,出库单!$C$4:$C$4003,"&lt;="&amp;账期止))</f>
        <v/>
      </c>
      <c r="W266" s="26">
        <f>IF($A266="","",ROUND(SUMIFS(出库单!$S$4:$S$4003,出库单!$D$4:$D$4003,$A266,出库单!$K$4:$K$4003,"退货给供应商",出库单!$U$4:$U$4003,"正常",出库单!$C$4:$C$4003,"&gt;="&amp;账期起,出库单!$C$4:$C$4003,"&lt;="&amp;账期止),0))</f>
        <v/>
      </c>
      <c r="X266" s="27">
        <f>IF($A266="","",ROUND(N($G266)+$I266+$L266+$N266-$P266-$R266-$T266-$V266,3))</f>
        <v/>
      </c>
      <c r="Y266" s="26">
        <f>IF($A266="","",ROUND(N($H266)+$J266+$M266+$O266-$Q266-$S266-$U266-$W266,0))</f>
        <v/>
      </c>
      <c r="Z266" s="24">
        <f>IF($A266="","",IF(COUNTIFS(入库单!$G$4:$G$2503,$A266,入库单!$Y$4:$Y$2503,"待补价")+COUNTIFS(入库单!$G$4:$G$2503,$A266,入库单!$Y$4:$Y$2503,"暂估")&gt;0,"不可信","可信"))</f>
        <v/>
      </c>
      <c r="AA266" s="24">
        <f>IF($A266="","",IF($X266&lt;-0.001,"※账面负库存，查一下是不是漏记入库",IF(AND(ROUND($X266,3)=0,ABS($Y266)&gt;1),"※数量已经是 0，金额还挂着 "&amp;TEXT($Y266,"#,##0")&amp;" 先令",IF(AND($X266&gt;0,$Y266&lt;=0,$K266=0),"※有数量没金额（这个物料一直没填过进价）",IF($Z266="不可信","△成本含待补价/暂估，毛利仅供参考","")))))</f>
        <v/>
      </c>
    </row>
    <row r="267">
      <c r="A267" s="24">
        <f>IF(物料档案!$A266="","",物料档案!$A266)</f>
        <v/>
      </c>
      <c r="B267" s="24">
        <f>IF($A267="","",IFERROR(VLOOKUP($A267,物料档案!$A$4:$P$1203,3,0),""))</f>
        <v/>
      </c>
      <c r="C267" s="24">
        <f>IF($A267="","",IFERROR(VLOOKUP($A267,物料档案!$A$4:$P$1203,4,0),""))</f>
        <v/>
      </c>
      <c r="D267" s="24">
        <f>IF($A267="","",IFERROR(VLOOKUP($A267,物料档案!$A$4:$P$1203,5,0),""))</f>
        <v/>
      </c>
      <c r="E267" s="24">
        <f>IF($A267="","",IFERROR(VLOOKUP($A267,物料档案!$A$4:$P$1203,2,0),""))</f>
        <v/>
      </c>
      <c r="F267" s="24">
        <f>IF($A267="","",IFERROR(VLOOKUP($A267,物料档案!$A$4:$P$1203,6,0),""))</f>
        <v/>
      </c>
      <c r="G267" s="23" t="n"/>
      <c r="H267" s="32" t="n"/>
      <c r="I267" s="27">
        <f>IF($A267="","",SUMIFS(入库单!$K$4:$K$2503,入库单!$G$4:$G$2503,$A267,入库单!$X$4:$X$2503,"采购入库",入库单!$Z$4:$Z$2503,"正常",入库单!$C$4:$C$2503,"&gt;="&amp;账期起,入库单!$C$4:$C$2503,"&lt;="&amp;账期止))</f>
        <v/>
      </c>
      <c r="J267" s="26">
        <f>IF($A267="","",SUMIFS(入库单!$V$4:$V$2503,入库单!$G$4:$G$2503,$A267,入库单!$X$4:$X$2503,"采购入库",入库单!$Z$4:$Z$2503,"正常",入库单!$C$4:$C$2503,"&gt;="&amp;账期起,入库单!$C$4:$C$2503,"&lt;="&amp;账期止))</f>
        <v/>
      </c>
      <c r="K267" s="26">
        <f>IF($A267="","",IFERROR(ROUND((N($H267)+N($J267))/(N($G267)+N($I267)),2),0))</f>
        <v/>
      </c>
      <c r="L267" s="27">
        <f>IF($A267="","",SUMIFS(入库单!$K$4:$K$2503,入库单!$G$4:$G$2503,$A267,入库单!$X$4:$X$2503,"盘盈",入库单!$Z$4:$Z$2503,"正常",入库单!$C$4:$C$2503,"&gt;="&amp;账期起,入库单!$C$4:$C$2503,"&lt;="&amp;账期止))</f>
        <v/>
      </c>
      <c r="M267" s="26">
        <f>IF($A267="","",ROUND($L267*$K267,0))</f>
        <v/>
      </c>
      <c r="N267" s="27">
        <f>IF($A267="","",SUMIFS(入库单!$K$4:$K$2503,入库单!$G$4:$G$2503,$A267,入库单!$X$4:$X$2503,"矿区退库",入库单!$Z$4:$Z$2503,"正常",入库单!$C$4:$C$2503,"&gt;="&amp;账期起,入库单!$C$4:$C$2503,"&lt;="&amp;账期止))</f>
        <v/>
      </c>
      <c r="O267" s="26">
        <f>IF($A267="","",ROUND($N267*$K267,0))</f>
        <v/>
      </c>
      <c r="P267" s="27">
        <f>IF($A267="","",SUMIFS(出库单!$J$4:$J$4003,出库单!$D$4:$D$4003,$A267,出库单!$K$4:$K$4003,"自用消耗",出库单!$U$4:$U$4003,"正常",出库单!$C$4:$C$4003,"&gt;="&amp;账期起,出库单!$C$4:$C$4003,"&lt;="&amp;账期止))</f>
        <v/>
      </c>
      <c r="Q267" s="26">
        <f>IF($A267="","",ROUND(SUMIFS(出库单!$S$4:$S$4003,出库单!$D$4:$D$4003,$A267,出库单!$K$4:$K$4003,"自用消耗",出库单!$U$4:$U$4003,"正常",出库单!$C$4:$C$4003,"&gt;="&amp;账期起,出库单!$C$4:$C$4003,"&lt;="&amp;账期止),0))</f>
        <v/>
      </c>
      <c r="R267" s="27">
        <f>IF($A267="","",SUMIFS(出库单!$J$4:$J$4003,出库单!$D$4:$D$4003,$A267,出库单!$K$4:$K$4003,"对外销售",出库单!$U$4:$U$4003,"正常",出库单!$C$4:$C$4003,"&gt;="&amp;账期起,出库单!$C$4:$C$4003,"&lt;="&amp;账期止))</f>
        <v/>
      </c>
      <c r="S267" s="26">
        <f>IF($A267="","",ROUND(SUMIFS(出库单!$S$4:$S$4003,出库单!$D$4:$D$4003,$A267,出库单!$K$4:$K$4003,"对外销售",出库单!$U$4:$U$4003,"正常",出库单!$C$4:$C$4003,"&gt;="&amp;账期起,出库单!$C$4:$C$4003,"&lt;="&amp;账期止),0))</f>
        <v/>
      </c>
      <c r="T267" s="27">
        <f>IF($A267="","",SUMIFS(出库单!$J$4:$J$4003,出库单!$D$4:$D$4003,$A267,出库单!$K$4:$K$4003,"盘亏",出库单!$U$4:$U$4003,"正常",出库单!$C$4:$C$4003,"&gt;="&amp;账期起,出库单!$C$4:$C$4003,"&lt;="&amp;账期止))</f>
        <v/>
      </c>
      <c r="U267" s="26">
        <f>IF($A267="","",ROUND(SUMIFS(出库单!$S$4:$S$4003,出库单!$D$4:$D$4003,$A267,出库单!$K$4:$K$4003,"盘亏",出库单!$U$4:$U$4003,"正常",出库单!$C$4:$C$4003,"&gt;="&amp;账期起,出库单!$C$4:$C$4003,"&lt;="&amp;账期止),0))</f>
        <v/>
      </c>
      <c r="V267" s="27">
        <f>IF($A267="","",SUMIFS(出库单!$J$4:$J$4003,出库单!$D$4:$D$4003,$A267,出库单!$K$4:$K$4003,"退货给供应商",出库单!$U$4:$U$4003,"正常",出库单!$C$4:$C$4003,"&gt;="&amp;账期起,出库单!$C$4:$C$4003,"&lt;="&amp;账期止))</f>
        <v/>
      </c>
      <c r="W267" s="26">
        <f>IF($A267="","",ROUND(SUMIFS(出库单!$S$4:$S$4003,出库单!$D$4:$D$4003,$A267,出库单!$K$4:$K$4003,"退货给供应商",出库单!$U$4:$U$4003,"正常",出库单!$C$4:$C$4003,"&gt;="&amp;账期起,出库单!$C$4:$C$4003,"&lt;="&amp;账期止),0))</f>
        <v/>
      </c>
      <c r="X267" s="27">
        <f>IF($A267="","",ROUND(N($G267)+$I267+$L267+$N267-$P267-$R267-$T267-$V267,3))</f>
        <v/>
      </c>
      <c r="Y267" s="26">
        <f>IF($A267="","",ROUND(N($H267)+$J267+$M267+$O267-$Q267-$S267-$U267-$W267,0))</f>
        <v/>
      </c>
      <c r="Z267" s="24">
        <f>IF($A267="","",IF(COUNTIFS(入库单!$G$4:$G$2503,$A267,入库单!$Y$4:$Y$2503,"待补价")+COUNTIFS(入库单!$G$4:$G$2503,$A267,入库单!$Y$4:$Y$2503,"暂估")&gt;0,"不可信","可信"))</f>
        <v/>
      </c>
      <c r="AA267" s="24">
        <f>IF($A267="","",IF($X267&lt;-0.001,"※账面负库存，查一下是不是漏记入库",IF(AND(ROUND($X267,3)=0,ABS($Y267)&gt;1),"※数量已经是 0，金额还挂着 "&amp;TEXT($Y267,"#,##0")&amp;" 先令",IF(AND($X267&gt;0,$Y267&lt;=0,$K267=0),"※有数量没金额（这个物料一直没填过进价）",IF($Z267="不可信","△成本含待补价/暂估，毛利仅供参考","")))))</f>
        <v/>
      </c>
    </row>
    <row r="268">
      <c r="A268" s="24">
        <f>IF(物料档案!$A267="","",物料档案!$A267)</f>
        <v/>
      </c>
      <c r="B268" s="24">
        <f>IF($A268="","",IFERROR(VLOOKUP($A268,物料档案!$A$4:$P$1203,3,0),""))</f>
        <v/>
      </c>
      <c r="C268" s="24">
        <f>IF($A268="","",IFERROR(VLOOKUP($A268,物料档案!$A$4:$P$1203,4,0),""))</f>
        <v/>
      </c>
      <c r="D268" s="24">
        <f>IF($A268="","",IFERROR(VLOOKUP($A268,物料档案!$A$4:$P$1203,5,0),""))</f>
        <v/>
      </c>
      <c r="E268" s="24">
        <f>IF($A268="","",IFERROR(VLOOKUP($A268,物料档案!$A$4:$P$1203,2,0),""))</f>
        <v/>
      </c>
      <c r="F268" s="24">
        <f>IF($A268="","",IFERROR(VLOOKUP($A268,物料档案!$A$4:$P$1203,6,0),""))</f>
        <v/>
      </c>
      <c r="G268" s="23" t="n"/>
      <c r="H268" s="32" t="n"/>
      <c r="I268" s="27">
        <f>IF($A268="","",SUMIFS(入库单!$K$4:$K$2503,入库单!$G$4:$G$2503,$A268,入库单!$X$4:$X$2503,"采购入库",入库单!$Z$4:$Z$2503,"正常",入库单!$C$4:$C$2503,"&gt;="&amp;账期起,入库单!$C$4:$C$2503,"&lt;="&amp;账期止))</f>
        <v/>
      </c>
      <c r="J268" s="26">
        <f>IF($A268="","",SUMIFS(入库单!$V$4:$V$2503,入库单!$G$4:$G$2503,$A268,入库单!$X$4:$X$2503,"采购入库",入库单!$Z$4:$Z$2503,"正常",入库单!$C$4:$C$2503,"&gt;="&amp;账期起,入库单!$C$4:$C$2503,"&lt;="&amp;账期止))</f>
        <v/>
      </c>
      <c r="K268" s="26">
        <f>IF($A268="","",IFERROR(ROUND((N($H268)+N($J268))/(N($G268)+N($I268)),2),0))</f>
        <v/>
      </c>
      <c r="L268" s="27">
        <f>IF($A268="","",SUMIFS(入库单!$K$4:$K$2503,入库单!$G$4:$G$2503,$A268,入库单!$X$4:$X$2503,"盘盈",入库单!$Z$4:$Z$2503,"正常",入库单!$C$4:$C$2503,"&gt;="&amp;账期起,入库单!$C$4:$C$2503,"&lt;="&amp;账期止))</f>
        <v/>
      </c>
      <c r="M268" s="26">
        <f>IF($A268="","",ROUND($L268*$K268,0))</f>
        <v/>
      </c>
      <c r="N268" s="27">
        <f>IF($A268="","",SUMIFS(入库单!$K$4:$K$2503,入库单!$G$4:$G$2503,$A268,入库单!$X$4:$X$2503,"矿区退库",入库单!$Z$4:$Z$2503,"正常",入库单!$C$4:$C$2503,"&gt;="&amp;账期起,入库单!$C$4:$C$2503,"&lt;="&amp;账期止))</f>
        <v/>
      </c>
      <c r="O268" s="26">
        <f>IF($A268="","",ROUND($N268*$K268,0))</f>
        <v/>
      </c>
      <c r="P268" s="27">
        <f>IF($A268="","",SUMIFS(出库单!$J$4:$J$4003,出库单!$D$4:$D$4003,$A268,出库单!$K$4:$K$4003,"自用消耗",出库单!$U$4:$U$4003,"正常",出库单!$C$4:$C$4003,"&gt;="&amp;账期起,出库单!$C$4:$C$4003,"&lt;="&amp;账期止))</f>
        <v/>
      </c>
      <c r="Q268" s="26">
        <f>IF($A268="","",ROUND(SUMIFS(出库单!$S$4:$S$4003,出库单!$D$4:$D$4003,$A268,出库单!$K$4:$K$4003,"自用消耗",出库单!$U$4:$U$4003,"正常",出库单!$C$4:$C$4003,"&gt;="&amp;账期起,出库单!$C$4:$C$4003,"&lt;="&amp;账期止),0))</f>
        <v/>
      </c>
      <c r="R268" s="27">
        <f>IF($A268="","",SUMIFS(出库单!$J$4:$J$4003,出库单!$D$4:$D$4003,$A268,出库单!$K$4:$K$4003,"对外销售",出库单!$U$4:$U$4003,"正常",出库单!$C$4:$C$4003,"&gt;="&amp;账期起,出库单!$C$4:$C$4003,"&lt;="&amp;账期止))</f>
        <v/>
      </c>
      <c r="S268" s="26">
        <f>IF($A268="","",ROUND(SUMIFS(出库单!$S$4:$S$4003,出库单!$D$4:$D$4003,$A268,出库单!$K$4:$K$4003,"对外销售",出库单!$U$4:$U$4003,"正常",出库单!$C$4:$C$4003,"&gt;="&amp;账期起,出库单!$C$4:$C$4003,"&lt;="&amp;账期止),0))</f>
        <v/>
      </c>
      <c r="T268" s="27">
        <f>IF($A268="","",SUMIFS(出库单!$J$4:$J$4003,出库单!$D$4:$D$4003,$A268,出库单!$K$4:$K$4003,"盘亏",出库单!$U$4:$U$4003,"正常",出库单!$C$4:$C$4003,"&gt;="&amp;账期起,出库单!$C$4:$C$4003,"&lt;="&amp;账期止))</f>
        <v/>
      </c>
      <c r="U268" s="26">
        <f>IF($A268="","",ROUND(SUMIFS(出库单!$S$4:$S$4003,出库单!$D$4:$D$4003,$A268,出库单!$K$4:$K$4003,"盘亏",出库单!$U$4:$U$4003,"正常",出库单!$C$4:$C$4003,"&gt;="&amp;账期起,出库单!$C$4:$C$4003,"&lt;="&amp;账期止),0))</f>
        <v/>
      </c>
      <c r="V268" s="27">
        <f>IF($A268="","",SUMIFS(出库单!$J$4:$J$4003,出库单!$D$4:$D$4003,$A268,出库单!$K$4:$K$4003,"退货给供应商",出库单!$U$4:$U$4003,"正常",出库单!$C$4:$C$4003,"&gt;="&amp;账期起,出库单!$C$4:$C$4003,"&lt;="&amp;账期止))</f>
        <v/>
      </c>
      <c r="W268" s="26">
        <f>IF($A268="","",ROUND(SUMIFS(出库单!$S$4:$S$4003,出库单!$D$4:$D$4003,$A268,出库单!$K$4:$K$4003,"退货给供应商",出库单!$U$4:$U$4003,"正常",出库单!$C$4:$C$4003,"&gt;="&amp;账期起,出库单!$C$4:$C$4003,"&lt;="&amp;账期止),0))</f>
        <v/>
      </c>
      <c r="X268" s="27">
        <f>IF($A268="","",ROUND(N($G268)+$I268+$L268+$N268-$P268-$R268-$T268-$V268,3))</f>
        <v/>
      </c>
      <c r="Y268" s="26">
        <f>IF($A268="","",ROUND(N($H268)+$J268+$M268+$O268-$Q268-$S268-$U268-$W268,0))</f>
        <v/>
      </c>
      <c r="Z268" s="24">
        <f>IF($A268="","",IF(COUNTIFS(入库单!$G$4:$G$2503,$A268,入库单!$Y$4:$Y$2503,"待补价")+COUNTIFS(入库单!$G$4:$G$2503,$A268,入库单!$Y$4:$Y$2503,"暂估")&gt;0,"不可信","可信"))</f>
        <v/>
      </c>
      <c r="AA268" s="24">
        <f>IF($A268="","",IF($X268&lt;-0.001,"※账面负库存，查一下是不是漏记入库",IF(AND(ROUND($X268,3)=0,ABS($Y268)&gt;1),"※数量已经是 0，金额还挂着 "&amp;TEXT($Y268,"#,##0")&amp;" 先令",IF(AND($X268&gt;0,$Y268&lt;=0,$K268=0),"※有数量没金额（这个物料一直没填过进价）",IF($Z268="不可信","△成本含待补价/暂估，毛利仅供参考","")))))</f>
        <v/>
      </c>
    </row>
    <row r="269">
      <c r="A269" s="24">
        <f>IF(物料档案!$A268="","",物料档案!$A268)</f>
        <v/>
      </c>
      <c r="B269" s="24">
        <f>IF($A269="","",IFERROR(VLOOKUP($A269,物料档案!$A$4:$P$1203,3,0),""))</f>
        <v/>
      </c>
      <c r="C269" s="24">
        <f>IF($A269="","",IFERROR(VLOOKUP($A269,物料档案!$A$4:$P$1203,4,0),""))</f>
        <v/>
      </c>
      <c r="D269" s="24">
        <f>IF($A269="","",IFERROR(VLOOKUP($A269,物料档案!$A$4:$P$1203,5,0),""))</f>
        <v/>
      </c>
      <c r="E269" s="24">
        <f>IF($A269="","",IFERROR(VLOOKUP($A269,物料档案!$A$4:$P$1203,2,0),""))</f>
        <v/>
      </c>
      <c r="F269" s="24">
        <f>IF($A269="","",IFERROR(VLOOKUP($A269,物料档案!$A$4:$P$1203,6,0),""))</f>
        <v/>
      </c>
      <c r="G269" s="23" t="n"/>
      <c r="H269" s="32" t="n"/>
      <c r="I269" s="27">
        <f>IF($A269="","",SUMIFS(入库单!$K$4:$K$2503,入库单!$G$4:$G$2503,$A269,入库单!$X$4:$X$2503,"采购入库",入库单!$Z$4:$Z$2503,"正常",入库单!$C$4:$C$2503,"&gt;="&amp;账期起,入库单!$C$4:$C$2503,"&lt;="&amp;账期止))</f>
        <v/>
      </c>
      <c r="J269" s="26">
        <f>IF($A269="","",SUMIFS(入库单!$V$4:$V$2503,入库单!$G$4:$G$2503,$A269,入库单!$X$4:$X$2503,"采购入库",入库单!$Z$4:$Z$2503,"正常",入库单!$C$4:$C$2503,"&gt;="&amp;账期起,入库单!$C$4:$C$2503,"&lt;="&amp;账期止))</f>
        <v/>
      </c>
      <c r="K269" s="26">
        <f>IF($A269="","",IFERROR(ROUND((N($H269)+N($J269))/(N($G269)+N($I269)),2),0))</f>
        <v/>
      </c>
      <c r="L269" s="27">
        <f>IF($A269="","",SUMIFS(入库单!$K$4:$K$2503,入库单!$G$4:$G$2503,$A269,入库单!$X$4:$X$2503,"盘盈",入库单!$Z$4:$Z$2503,"正常",入库单!$C$4:$C$2503,"&gt;="&amp;账期起,入库单!$C$4:$C$2503,"&lt;="&amp;账期止))</f>
        <v/>
      </c>
      <c r="M269" s="26">
        <f>IF($A269="","",ROUND($L269*$K269,0))</f>
        <v/>
      </c>
      <c r="N269" s="27">
        <f>IF($A269="","",SUMIFS(入库单!$K$4:$K$2503,入库单!$G$4:$G$2503,$A269,入库单!$X$4:$X$2503,"矿区退库",入库单!$Z$4:$Z$2503,"正常",入库单!$C$4:$C$2503,"&gt;="&amp;账期起,入库单!$C$4:$C$2503,"&lt;="&amp;账期止))</f>
        <v/>
      </c>
      <c r="O269" s="26">
        <f>IF($A269="","",ROUND($N269*$K269,0))</f>
        <v/>
      </c>
      <c r="P269" s="27">
        <f>IF($A269="","",SUMIFS(出库单!$J$4:$J$4003,出库单!$D$4:$D$4003,$A269,出库单!$K$4:$K$4003,"自用消耗",出库单!$U$4:$U$4003,"正常",出库单!$C$4:$C$4003,"&gt;="&amp;账期起,出库单!$C$4:$C$4003,"&lt;="&amp;账期止))</f>
        <v/>
      </c>
      <c r="Q269" s="26">
        <f>IF($A269="","",ROUND(SUMIFS(出库单!$S$4:$S$4003,出库单!$D$4:$D$4003,$A269,出库单!$K$4:$K$4003,"自用消耗",出库单!$U$4:$U$4003,"正常",出库单!$C$4:$C$4003,"&gt;="&amp;账期起,出库单!$C$4:$C$4003,"&lt;="&amp;账期止),0))</f>
        <v/>
      </c>
      <c r="R269" s="27">
        <f>IF($A269="","",SUMIFS(出库单!$J$4:$J$4003,出库单!$D$4:$D$4003,$A269,出库单!$K$4:$K$4003,"对外销售",出库单!$U$4:$U$4003,"正常",出库单!$C$4:$C$4003,"&gt;="&amp;账期起,出库单!$C$4:$C$4003,"&lt;="&amp;账期止))</f>
        <v/>
      </c>
      <c r="S269" s="26">
        <f>IF($A269="","",ROUND(SUMIFS(出库单!$S$4:$S$4003,出库单!$D$4:$D$4003,$A269,出库单!$K$4:$K$4003,"对外销售",出库单!$U$4:$U$4003,"正常",出库单!$C$4:$C$4003,"&gt;="&amp;账期起,出库单!$C$4:$C$4003,"&lt;="&amp;账期止),0))</f>
        <v/>
      </c>
      <c r="T269" s="27">
        <f>IF($A269="","",SUMIFS(出库单!$J$4:$J$4003,出库单!$D$4:$D$4003,$A269,出库单!$K$4:$K$4003,"盘亏",出库单!$U$4:$U$4003,"正常",出库单!$C$4:$C$4003,"&gt;="&amp;账期起,出库单!$C$4:$C$4003,"&lt;="&amp;账期止))</f>
        <v/>
      </c>
      <c r="U269" s="26">
        <f>IF($A269="","",ROUND(SUMIFS(出库单!$S$4:$S$4003,出库单!$D$4:$D$4003,$A269,出库单!$K$4:$K$4003,"盘亏",出库单!$U$4:$U$4003,"正常",出库单!$C$4:$C$4003,"&gt;="&amp;账期起,出库单!$C$4:$C$4003,"&lt;="&amp;账期止),0))</f>
        <v/>
      </c>
      <c r="V269" s="27">
        <f>IF($A269="","",SUMIFS(出库单!$J$4:$J$4003,出库单!$D$4:$D$4003,$A269,出库单!$K$4:$K$4003,"退货给供应商",出库单!$U$4:$U$4003,"正常",出库单!$C$4:$C$4003,"&gt;="&amp;账期起,出库单!$C$4:$C$4003,"&lt;="&amp;账期止))</f>
        <v/>
      </c>
      <c r="W269" s="26">
        <f>IF($A269="","",ROUND(SUMIFS(出库单!$S$4:$S$4003,出库单!$D$4:$D$4003,$A269,出库单!$K$4:$K$4003,"退货给供应商",出库单!$U$4:$U$4003,"正常",出库单!$C$4:$C$4003,"&gt;="&amp;账期起,出库单!$C$4:$C$4003,"&lt;="&amp;账期止),0))</f>
        <v/>
      </c>
      <c r="X269" s="27">
        <f>IF($A269="","",ROUND(N($G269)+$I269+$L269+$N269-$P269-$R269-$T269-$V269,3))</f>
        <v/>
      </c>
      <c r="Y269" s="26">
        <f>IF($A269="","",ROUND(N($H269)+$J269+$M269+$O269-$Q269-$S269-$U269-$W269,0))</f>
        <v/>
      </c>
      <c r="Z269" s="24">
        <f>IF($A269="","",IF(COUNTIFS(入库单!$G$4:$G$2503,$A269,入库单!$Y$4:$Y$2503,"待补价")+COUNTIFS(入库单!$G$4:$G$2503,$A269,入库单!$Y$4:$Y$2503,"暂估")&gt;0,"不可信","可信"))</f>
        <v/>
      </c>
      <c r="AA269" s="24">
        <f>IF($A269="","",IF($X269&lt;-0.001,"※账面负库存，查一下是不是漏记入库",IF(AND(ROUND($X269,3)=0,ABS($Y269)&gt;1),"※数量已经是 0，金额还挂着 "&amp;TEXT($Y269,"#,##0")&amp;" 先令",IF(AND($X269&gt;0,$Y269&lt;=0,$K269=0),"※有数量没金额（这个物料一直没填过进价）",IF($Z269="不可信","△成本含待补价/暂估，毛利仅供参考","")))))</f>
        <v/>
      </c>
    </row>
    <row r="270">
      <c r="A270" s="24">
        <f>IF(物料档案!$A269="","",物料档案!$A269)</f>
        <v/>
      </c>
      <c r="B270" s="24">
        <f>IF($A270="","",IFERROR(VLOOKUP($A270,物料档案!$A$4:$P$1203,3,0),""))</f>
        <v/>
      </c>
      <c r="C270" s="24">
        <f>IF($A270="","",IFERROR(VLOOKUP($A270,物料档案!$A$4:$P$1203,4,0),""))</f>
        <v/>
      </c>
      <c r="D270" s="24">
        <f>IF($A270="","",IFERROR(VLOOKUP($A270,物料档案!$A$4:$P$1203,5,0),""))</f>
        <v/>
      </c>
      <c r="E270" s="24">
        <f>IF($A270="","",IFERROR(VLOOKUP($A270,物料档案!$A$4:$P$1203,2,0),""))</f>
        <v/>
      </c>
      <c r="F270" s="24">
        <f>IF($A270="","",IFERROR(VLOOKUP($A270,物料档案!$A$4:$P$1203,6,0),""))</f>
        <v/>
      </c>
      <c r="G270" s="23" t="n"/>
      <c r="H270" s="32" t="n"/>
      <c r="I270" s="27">
        <f>IF($A270="","",SUMIFS(入库单!$K$4:$K$2503,入库单!$G$4:$G$2503,$A270,入库单!$X$4:$X$2503,"采购入库",入库单!$Z$4:$Z$2503,"正常",入库单!$C$4:$C$2503,"&gt;="&amp;账期起,入库单!$C$4:$C$2503,"&lt;="&amp;账期止))</f>
        <v/>
      </c>
      <c r="J270" s="26">
        <f>IF($A270="","",SUMIFS(入库单!$V$4:$V$2503,入库单!$G$4:$G$2503,$A270,入库单!$X$4:$X$2503,"采购入库",入库单!$Z$4:$Z$2503,"正常",入库单!$C$4:$C$2503,"&gt;="&amp;账期起,入库单!$C$4:$C$2503,"&lt;="&amp;账期止))</f>
        <v/>
      </c>
      <c r="K270" s="26">
        <f>IF($A270="","",IFERROR(ROUND((N($H270)+N($J270))/(N($G270)+N($I270)),2),0))</f>
        <v/>
      </c>
      <c r="L270" s="27">
        <f>IF($A270="","",SUMIFS(入库单!$K$4:$K$2503,入库单!$G$4:$G$2503,$A270,入库单!$X$4:$X$2503,"盘盈",入库单!$Z$4:$Z$2503,"正常",入库单!$C$4:$C$2503,"&gt;="&amp;账期起,入库单!$C$4:$C$2503,"&lt;="&amp;账期止))</f>
        <v/>
      </c>
      <c r="M270" s="26">
        <f>IF($A270="","",ROUND($L270*$K270,0))</f>
        <v/>
      </c>
      <c r="N270" s="27">
        <f>IF($A270="","",SUMIFS(入库单!$K$4:$K$2503,入库单!$G$4:$G$2503,$A270,入库单!$X$4:$X$2503,"矿区退库",入库单!$Z$4:$Z$2503,"正常",入库单!$C$4:$C$2503,"&gt;="&amp;账期起,入库单!$C$4:$C$2503,"&lt;="&amp;账期止))</f>
        <v/>
      </c>
      <c r="O270" s="26">
        <f>IF($A270="","",ROUND($N270*$K270,0))</f>
        <v/>
      </c>
      <c r="P270" s="27">
        <f>IF($A270="","",SUMIFS(出库单!$J$4:$J$4003,出库单!$D$4:$D$4003,$A270,出库单!$K$4:$K$4003,"自用消耗",出库单!$U$4:$U$4003,"正常",出库单!$C$4:$C$4003,"&gt;="&amp;账期起,出库单!$C$4:$C$4003,"&lt;="&amp;账期止))</f>
        <v/>
      </c>
      <c r="Q270" s="26">
        <f>IF($A270="","",ROUND(SUMIFS(出库单!$S$4:$S$4003,出库单!$D$4:$D$4003,$A270,出库单!$K$4:$K$4003,"自用消耗",出库单!$U$4:$U$4003,"正常",出库单!$C$4:$C$4003,"&gt;="&amp;账期起,出库单!$C$4:$C$4003,"&lt;="&amp;账期止),0))</f>
        <v/>
      </c>
      <c r="R270" s="27">
        <f>IF($A270="","",SUMIFS(出库单!$J$4:$J$4003,出库单!$D$4:$D$4003,$A270,出库单!$K$4:$K$4003,"对外销售",出库单!$U$4:$U$4003,"正常",出库单!$C$4:$C$4003,"&gt;="&amp;账期起,出库单!$C$4:$C$4003,"&lt;="&amp;账期止))</f>
        <v/>
      </c>
      <c r="S270" s="26">
        <f>IF($A270="","",ROUND(SUMIFS(出库单!$S$4:$S$4003,出库单!$D$4:$D$4003,$A270,出库单!$K$4:$K$4003,"对外销售",出库单!$U$4:$U$4003,"正常",出库单!$C$4:$C$4003,"&gt;="&amp;账期起,出库单!$C$4:$C$4003,"&lt;="&amp;账期止),0))</f>
        <v/>
      </c>
      <c r="T270" s="27">
        <f>IF($A270="","",SUMIFS(出库单!$J$4:$J$4003,出库单!$D$4:$D$4003,$A270,出库单!$K$4:$K$4003,"盘亏",出库单!$U$4:$U$4003,"正常",出库单!$C$4:$C$4003,"&gt;="&amp;账期起,出库单!$C$4:$C$4003,"&lt;="&amp;账期止))</f>
        <v/>
      </c>
      <c r="U270" s="26">
        <f>IF($A270="","",ROUND(SUMIFS(出库单!$S$4:$S$4003,出库单!$D$4:$D$4003,$A270,出库单!$K$4:$K$4003,"盘亏",出库单!$U$4:$U$4003,"正常",出库单!$C$4:$C$4003,"&gt;="&amp;账期起,出库单!$C$4:$C$4003,"&lt;="&amp;账期止),0))</f>
        <v/>
      </c>
      <c r="V270" s="27">
        <f>IF($A270="","",SUMIFS(出库单!$J$4:$J$4003,出库单!$D$4:$D$4003,$A270,出库单!$K$4:$K$4003,"退货给供应商",出库单!$U$4:$U$4003,"正常",出库单!$C$4:$C$4003,"&gt;="&amp;账期起,出库单!$C$4:$C$4003,"&lt;="&amp;账期止))</f>
        <v/>
      </c>
      <c r="W270" s="26">
        <f>IF($A270="","",ROUND(SUMIFS(出库单!$S$4:$S$4003,出库单!$D$4:$D$4003,$A270,出库单!$K$4:$K$4003,"退货给供应商",出库单!$U$4:$U$4003,"正常",出库单!$C$4:$C$4003,"&gt;="&amp;账期起,出库单!$C$4:$C$4003,"&lt;="&amp;账期止),0))</f>
        <v/>
      </c>
      <c r="X270" s="27">
        <f>IF($A270="","",ROUND(N($G270)+$I270+$L270+$N270-$P270-$R270-$T270-$V270,3))</f>
        <v/>
      </c>
      <c r="Y270" s="26">
        <f>IF($A270="","",ROUND(N($H270)+$J270+$M270+$O270-$Q270-$S270-$U270-$W270,0))</f>
        <v/>
      </c>
      <c r="Z270" s="24">
        <f>IF($A270="","",IF(COUNTIFS(入库单!$G$4:$G$2503,$A270,入库单!$Y$4:$Y$2503,"待补价")+COUNTIFS(入库单!$G$4:$G$2503,$A270,入库单!$Y$4:$Y$2503,"暂估")&gt;0,"不可信","可信"))</f>
        <v/>
      </c>
      <c r="AA270" s="24">
        <f>IF($A270="","",IF($X270&lt;-0.001,"※账面负库存，查一下是不是漏记入库",IF(AND(ROUND($X270,3)=0,ABS($Y270)&gt;1),"※数量已经是 0，金额还挂着 "&amp;TEXT($Y270,"#,##0")&amp;" 先令",IF(AND($X270&gt;0,$Y270&lt;=0,$K270=0),"※有数量没金额（这个物料一直没填过进价）",IF($Z270="不可信","△成本含待补价/暂估，毛利仅供参考","")))))</f>
        <v/>
      </c>
    </row>
    <row r="271">
      <c r="A271" s="24">
        <f>IF(物料档案!$A270="","",物料档案!$A270)</f>
        <v/>
      </c>
      <c r="B271" s="24">
        <f>IF($A271="","",IFERROR(VLOOKUP($A271,物料档案!$A$4:$P$1203,3,0),""))</f>
        <v/>
      </c>
      <c r="C271" s="24">
        <f>IF($A271="","",IFERROR(VLOOKUP($A271,物料档案!$A$4:$P$1203,4,0),""))</f>
        <v/>
      </c>
      <c r="D271" s="24">
        <f>IF($A271="","",IFERROR(VLOOKUP($A271,物料档案!$A$4:$P$1203,5,0),""))</f>
        <v/>
      </c>
      <c r="E271" s="24">
        <f>IF($A271="","",IFERROR(VLOOKUP($A271,物料档案!$A$4:$P$1203,2,0),""))</f>
        <v/>
      </c>
      <c r="F271" s="24">
        <f>IF($A271="","",IFERROR(VLOOKUP($A271,物料档案!$A$4:$P$1203,6,0),""))</f>
        <v/>
      </c>
      <c r="G271" s="23" t="n"/>
      <c r="H271" s="32" t="n"/>
      <c r="I271" s="27">
        <f>IF($A271="","",SUMIFS(入库单!$K$4:$K$2503,入库单!$G$4:$G$2503,$A271,入库单!$X$4:$X$2503,"采购入库",入库单!$Z$4:$Z$2503,"正常",入库单!$C$4:$C$2503,"&gt;="&amp;账期起,入库单!$C$4:$C$2503,"&lt;="&amp;账期止))</f>
        <v/>
      </c>
      <c r="J271" s="26">
        <f>IF($A271="","",SUMIFS(入库单!$V$4:$V$2503,入库单!$G$4:$G$2503,$A271,入库单!$X$4:$X$2503,"采购入库",入库单!$Z$4:$Z$2503,"正常",入库单!$C$4:$C$2503,"&gt;="&amp;账期起,入库单!$C$4:$C$2503,"&lt;="&amp;账期止))</f>
        <v/>
      </c>
      <c r="K271" s="26">
        <f>IF($A271="","",IFERROR(ROUND((N($H271)+N($J271))/(N($G271)+N($I271)),2),0))</f>
        <v/>
      </c>
      <c r="L271" s="27">
        <f>IF($A271="","",SUMIFS(入库单!$K$4:$K$2503,入库单!$G$4:$G$2503,$A271,入库单!$X$4:$X$2503,"盘盈",入库单!$Z$4:$Z$2503,"正常",入库单!$C$4:$C$2503,"&gt;="&amp;账期起,入库单!$C$4:$C$2503,"&lt;="&amp;账期止))</f>
        <v/>
      </c>
      <c r="M271" s="26">
        <f>IF($A271="","",ROUND($L271*$K271,0))</f>
        <v/>
      </c>
      <c r="N271" s="27">
        <f>IF($A271="","",SUMIFS(入库单!$K$4:$K$2503,入库单!$G$4:$G$2503,$A271,入库单!$X$4:$X$2503,"矿区退库",入库单!$Z$4:$Z$2503,"正常",入库单!$C$4:$C$2503,"&gt;="&amp;账期起,入库单!$C$4:$C$2503,"&lt;="&amp;账期止))</f>
        <v/>
      </c>
      <c r="O271" s="26">
        <f>IF($A271="","",ROUND($N271*$K271,0))</f>
        <v/>
      </c>
      <c r="P271" s="27">
        <f>IF($A271="","",SUMIFS(出库单!$J$4:$J$4003,出库单!$D$4:$D$4003,$A271,出库单!$K$4:$K$4003,"自用消耗",出库单!$U$4:$U$4003,"正常",出库单!$C$4:$C$4003,"&gt;="&amp;账期起,出库单!$C$4:$C$4003,"&lt;="&amp;账期止))</f>
        <v/>
      </c>
      <c r="Q271" s="26">
        <f>IF($A271="","",ROUND(SUMIFS(出库单!$S$4:$S$4003,出库单!$D$4:$D$4003,$A271,出库单!$K$4:$K$4003,"自用消耗",出库单!$U$4:$U$4003,"正常",出库单!$C$4:$C$4003,"&gt;="&amp;账期起,出库单!$C$4:$C$4003,"&lt;="&amp;账期止),0))</f>
        <v/>
      </c>
      <c r="R271" s="27">
        <f>IF($A271="","",SUMIFS(出库单!$J$4:$J$4003,出库单!$D$4:$D$4003,$A271,出库单!$K$4:$K$4003,"对外销售",出库单!$U$4:$U$4003,"正常",出库单!$C$4:$C$4003,"&gt;="&amp;账期起,出库单!$C$4:$C$4003,"&lt;="&amp;账期止))</f>
        <v/>
      </c>
      <c r="S271" s="26">
        <f>IF($A271="","",ROUND(SUMIFS(出库单!$S$4:$S$4003,出库单!$D$4:$D$4003,$A271,出库单!$K$4:$K$4003,"对外销售",出库单!$U$4:$U$4003,"正常",出库单!$C$4:$C$4003,"&gt;="&amp;账期起,出库单!$C$4:$C$4003,"&lt;="&amp;账期止),0))</f>
        <v/>
      </c>
      <c r="T271" s="27">
        <f>IF($A271="","",SUMIFS(出库单!$J$4:$J$4003,出库单!$D$4:$D$4003,$A271,出库单!$K$4:$K$4003,"盘亏",出库单!$U$4:$U$4003,"正常",出库单!$C$4:$C$4003,"&gt;="&amp;账期起,出库单!$C$4:$C$4003,"&lt;="&amp;账期止))</f>
        <v/>
      </c>
      <c r="U271" s="26">
        <f>IF($A271="","",ROUND(SUMIFS(出库单!$S$4:$S$4003,出库单!$D$4:$D$4003,$A271,出库单!$K$4:$K$4003,"盘亏",出库单!$U$4:$U$4003,"正常",出库单!$C$4:$C$4003,"&gt;="&amp;账期起,出库单!$C$4:$C$4003,"&lt;="&amp;账期止),0))</f>
        <v/>
      </c>
      <c r="V271" s="27">
        <f>IF($A271="","",SUMIFS(出库单!$J$4:$J$4003,出库单!$D$4:$D$4003,$A271,出库单!$K$4:$K$4003,"退货给供应商",出库单!$U$4:$U$4003,"正常",出库单!$C$4:$C$4003,"&gt;="&amp;账期起,出库单!$C$4:$C$4003,"&lt;="&amp;账期止))</f>
        <v/>
      </c>
      <c r="W271" s="26">
        <f>IF($A271="","",ROUND(SUMIFS(出库单!$S$4:$S$4003,出库单!$D$4:$D$4003,$A271,出库单!$K$4:$K$4003,"退货给供应商",出库单!$U$4:$U$4003,"正常",出库单!$C$4:$C$4003,"&gt;="&amp;账期起,出库单!$C$4:$C$4003,"&lt;="&amp;账期止),0))</f>
        <v/>
      </c>
      <c r="X271" s="27">
        <f>IF($A271="","",ROUND(N($G271)+$I271+$L271+$N271-$P271-$R271-$T271-$V271,3))</f>
        <v/>
      </c>
      <c r="Y271" s="26">
        <f>IF($A271="","",ROUND(N($H271)+$J271+$M271+$O271-$Q271-$S271-$U271-$W271,0))</f>
        <v/>
      </c>
      <c r="Z271" s="24">
        <f>IF($A271="","",IF(COUNTIFS(入库单!$G$4:$G$2503,$A271,入库单!$Y$4:$Y$2503,"待补价")+COUNTIFS(入库单!$G$4:$G$2503,$A271,入库单!$Y$4:$Y$2503,"暂估")&gt;0,"不可信","可信"))</f>
        <v/>
      </c>
      <c r="AA271" s="24">
        <f>IF($A271="","",IF($X271&lt;-0.001,"※账面负库存，查一下是不是漏记入库",IF(AND(ROUND($X271,3)=0,ABS($Y271)&gt;1),"※数量已经是 0，金额还挂着 "&amp;TEXT($Y271,"#,##0")&amp;" 先令",IF(AND($X271&gt;0,$Y271&lt;=0,$K271=0),"※有数量没金额（这个物料一直没填过进价）",IF($Z271="不可信","△成本含待补价/暂估，毛利仅供参考","")))))</f>
        <v/>
      </c>
    </row>
    <row r="272">
      <c r="A272" s="24">
        <f>IF(物料档案!$A271="","",物料档案!$A271)</f>
        <v/>
      </c>
      <c r="B272" s="24">
        <f>IF($A272="","",IFERROR(VLOOKUP($A272,物料档案!$A$4:$P$1203,3,0),""))</f>
        <v/>
      </c>
      <c r="C272" s="24">
        <f>IF($A272="","",IFERROR(VLOOKUP($A272,物料档案!$A$4:$P$1203,4,0),""))</f>
        <v/>
      </c>
      <c r="D272" s="24">
        <f>IF($A272="","",IFERROR(VLOOKUP($A272,物料档案!$A$4:$P$1203,5,0),""))</f>
        <v/>
      </c>
      <c r="E272" s="24">
        <f>IF($A272="","",IFERROR(VLOOKUP($A272,物料档案!$A$4:$P$1203,2,0),""))</f>
        <v/>
      </c>
      <c r="F272" s="24">
        <f>IF($A272="","",IFERROR(VLOOKUP($A272,物料档案!$A$4:$P$1203,6,0),""))</f>
        <v/>
      </c>
      <c r="G272" s="23" t="n"/>
      <c r="H272" s="32" t="n"/>
      <c r="I272" s="27">
        <f>IF($A272="","",SUMIFS(入库单!$K$4:$K$2503,入库单!$G$4:$G$2503,$A272,入库单!$X$4:$X$2503,"采购入库",入库单!$Z$4:$Z$2503,"正常",入库单!$C$4:$C$2503,"&gt;="&amp;账期起,入库单!$C$4:$C$2503,"&lt;="&amp;账期止))</f>
        <v/>
      </c>
      <c r="J272" s="26">
        <f>IF($A272="","",SUMIFS(入库单!$V$4:$V$2503,入库单!$G$4:$G$2503,$A272,入库单!$X$4:$X$2503,"采购入库",入库单!$Z$4:$Z$2503,"正常",入库单!$C$4:$C$2503,"&gt;="&amp;账期起,入库单!$C$4:$C$2503,"&lt;="&amp;账期止))</f>
        <v/>
      </c>
      <c r="K272" s="26">
        <f>IF($A272="","",IFERROR(ROUND((N($H272)+N($J272))/(N($G272)+N($I272)),2),0))</f>
        <v/>
      </c>
      <c r="L272" s="27">
        <f>IF($A272="","",SUMIFS(入库单!$K$4:$K$2503,入库单!$G$4:$G$2503,$A272,入库单!$X$4:$X$2503,"盘盈",入库单!$Z$4:$Z$2503,"正常",入库单!$C$4:$C$2503,"&gt;="&amp;账期起,入库单!$C$4:$C$2503,"&lt;="&amp;账期止))</f>
        <v/>
      </c>
      <c r="M272" s="26">
        <f>IF($A272="","",ROUND($L272*$K272,0))</f>
        <v/>
      </c>
      <c r="N272" s="27">
        <f>IF($A272="","",SUMIFS(入库单!$K$4:$K$2503,入库单!$G$4:$G$2503,$A272,入库单!$X$4:$X$2503,"矿区退库",入库单!$Z$4:$Z$2503,"正常",入库单!$C$4:$C$2503,"&gt;="&amp;账期起,入库单!$C$4:$C$2503,"&lt;="&amp;账期止))</f>
        <v/>
      </c>
      <c r="O272" s="26">
        <f>IF($A272="","",ROUND($N272*$K272,0))</f>
        <v/>
      </c>
      <c r="P272" s="27">
        <f>IF($A272="","",SUMIFS(出库单!$J$4:$J$4003,出库单!$D$4:$D$4003,$A272,出库单!$K$4:$K$4003,"自用消耗",出库单!$U$4:$U$4003,"正常",出库单!$C$4:$C$4003,"&gt;="&amp;账期起,出库单!$C$4:$C$4003,"&lt;="&amp;账期止))</f>
        <v/>
      </c>
      <c r="Q272" s="26">
        <f>IF($A272="","",ROUND(SUMIFS(出库单!$S$4:$S$4003,出库单!$D$4:$D$4003,$A272,出库单!$K$4:$K$4003,"自用消耗",出库单!$U$4:$U$4003,"正常",出库单!$C$4:$C$4003,"&gt;="&amp;账期起,出库单!$C$4:$C$4003,"&lt;="&amp;账期止),0))</f>
        <v/>
      </c>
      <c r="R272" s="27">
        <f>IF($A272="","",SUMIFS(出库单!$J$4:$J$4003,出库单!$D$4:$D$4003,$A272,出库单!$K$4:$K$4003,"对外销售",出库单!$U$4:$U$4003,"正常",出库单!$C$4:$C$4003,"&gt;="&amp;账期起,出库单!$C$4:$C$4003,"&lt;="&amp;账期止))</f>
        <v/>
      </c>
      <c r="S272" s="26">
        <f>IF($A272="","",ROUND(SUMIFS(出库单!$S$4:$S$4003,出库单!$D$4:$D$4003,$A272,出库单!$K$4:$K$4003,"对外销售",出库单!$U$4:$U$4003,"正常",出库单!$C$4:$C$4003,"&gt;="&amp;账期起,出库单!$C$4:$C$4003,"&lt;="&amp;账期止),0))</f>
        <v/>
      </c>
      <c r="T272" s="27">
        <f>IF($A272="","",SUMIFS(出库单!$J$4:$J$4003,出库单!$D$4:$D$4003,$A272,出库单!$K$4:$K$4003,"盘亏",出库单!$U$4:$U$4003,"正常",出库单!$C$4:$C$4003,"&gt;="&amp;账期起,出库单!$C$4:$C$4003,"&lt;="&amp;账期止))</f>
        <v/>
      </c>
      <c r="U272" s="26">
        <f>IF($A272="","",ROUND(SUMIFS(出库单!$S$4:$S$4003,出库单!$D$4:$D$4003,$A272,出库单!$K$4:$K$4003,"盘亏",出库单!$U$4:$U$4003,"正常",出库单!$C$4:$C$4003,"&gt;="&amp;账期起,出库单!$C$4:$C$4003,"&lt;="&amp;账期止),0))</f>
        <v/>
      </c>
      <c r="V272" s="27">
        <f>IF($A272="","",SUMIFS(出库单!$J$4:$J$4003,出库单!$D$4:$D$4003,$A272,出库单!$K$4:$K$4003,"退货给供应商",出库单!$U$4:$U$4003,"正常",出库单!$C$4:$C$4003,"&gt;="&amp;账期起,出库单!$C$4:$C$4003,"&lt;="&amp;账期止))</f>
        <v/>
      </c>
      <c r="W272" s="26">
        <f>IF($A272="","",ROUND(SUMIFS(出库单!$S$4:$S$4003,出库单!$D$4:$D$4003,$A272,出库单!$K$4:$K$4003,"退货给供应商",出库单!$U$4:$U$4003,"正常",出库单!$C$4:$C$4003,"&gt;="&amp;账期起,出库单!$C$4:$C$4003,"&lt;="&amp;账期止),0))</f>
        <v/>
      </c>
      <c r="X272" s="27">
        <f>IF($A272="","",ROUND(N($G272)+$I272+$L272+$N272-$P272-$R272-$T272-$V272,3))</f>
        <v/>
      </c>
      <c r="Y272" s="26">
        <f>IF($A272="","",ROUND(N($H272)+$J272+$M272+$O272-$Q272-$S272-$U272-$W272,0))</f>
        <v/>
      </c>
      <c r="Z272" s="24">
        <f>IF($A272="","",IF(COUNTIFS(入库单!$G$4:$G$2503,$A272,入库单!$Y$4:$Y$2503,"待补价")+COUNTIFS(入库单!$G$4:$G$2503,$A272,入库单!$Y$4:$Y$2503,"暂估")&gt;0,"不可信","可信"))</f>
        <v/>
      </c>
      <c r="AA272" s="24">
        <f>IF($A272="","",IF($X272&lt;-0.001,"※账面负库存，查一下是不是漏记入库",IF(AND(ROUND($X272,3)=0,ABS($Y272)&gt;1),"※数量已经是 0，金额还挂着 "&amp;TEXT($Y272,"#,##0")&amp;" 先令",IF(AND($X272&gt;0,$Y272&lt;=0,$K272=0),"※有数量没金额（这个物料一直没填过进价）",IF($Z272="不可信","△成本含待补价/暂估，毛利仅供参考","")))))</f>
        <v/>
      </c>
    </row>
    <row r="273">
      <c r="A273" s="24">
        <f>IF(物料档案!$A272="","",物料档案!$A272)</f>
        <v/>
      </c>
      <c r="B273" s="24">
        <f>IF($A273="","",IFERROR(VLOOKUP($A273,物料档案!$A$4:$P$1203,3,0),""))</f>
        <v/>
      </c>
      <c r="C273" s="24">
        <f>IF($A273="","",IFERROR(VLOOKUP($A273,物料档案!$A$4:$P$1203,4,0),""))</f>
        <v/>
      </c>
      <c r="D273" s="24">
        <f>IF($A273="","",IFERROR(VLOOKUP($A273,物料档案!$A$4:$P$1203,5,0),""))</f>
        <v/>
      </c>
      <c r="E273" s="24">
        <f>IF($A273="","",IFERROR(VLOOKUP($A273,物料档案!$A$4:$P$1203,2,0),""))</f>
        <v/>
      </c>
      <c r="F273" s="24">
        <f>IF($A273="","",IFERROR(VLOOKUP($A273,物料档案!$A$4:$P$1203,6,0),""))</f>
        <v/>
      </c>
      <c r="G273" s="23" t="n"/>
      <c r="H273" s="32" t="n"/>
      <c r="I273" s="27">
        <f>IF($A273="","",SUMIFS(入库单!$K$4:$K$2503,入库单!$G$4:$G$2503,$A273,入库单!$X$4:$X$2503,"采购入库",入库单!$Z$4:$Z$2503,"正常",入库单!$C$4:$C$2503,"&gt;="&amp;账期起,入库单!$C$4:$C$2503,"&lt;="&amp;账期止))</f>
        <v/>
      </c>
      <c r="J273" s="26">
        <f>IF($A273="","",SUMIFS(入库单!$V$4:$V$2503,入库单!$G$4:$G$2503,$A273,入库单!$X$4:$X$2503,"采购入库",入库单!$Z$4:$Z$2503,"正常",入库单!$C$4:$C$2503,"&gt;="&amp;账期起,入库单!$C$4:$C$2503,"&lt;="&amp;账期止))</f>
        <v/>
      </c>
      <c r="K273" s="26">
        <f>IF($A273="","",IFERROR(ROUND((N($H273)+N($J273))/(N($G273)+N($I273)),2),0))</f>
        <v/>
      </c>
      <c r="L273" s="27">
        <f>IF($A273="","",SUMIFS(入库单!$K$4:$K$2503,入库单!$G$4:$G$2503,$A273,入库单!$X$4:$X$2503,"盘盈",入库单!$Z$4:$Z$2503,"正常",入库单!$C$4:$C$2503,"&gt;="&amp;账期起,入库单!$C$4:$C$2503,"&lt;="&amp;账期止))</f>
        <v/>
      </c>
      <c r="M273" s="26">
        <f>IF($A273="","",ROUND($L273*$K273,0))</f>
        <v/>
      </c>
      <c r="N273" s="27">
        <f>IF($A273="","",SUMIFS(入库单!$K$4:$K$2503,入库单!$G$4:$G$2503,$A273,入库单!$X$4:$X$2503,"矿区退库",入库单!$Z$4:$Z$2503,"正常",入库单!$C$4:$C$2503,"&gt;="&amp;账期起,入库单!$C$4:$C$2503,"&lt;="&amp;账期止))</f>
        <v/>
      </c>
      <c r="O273" s="26">
        <f>IF($A273="","",ROUND($N273*$K273,0))</f>
        <v/>
      </c>
      <c r="P273" s="27">
        <f>IF($A273="","",SUMIFS(出库单!$J$4:$J$4003,出库单!$D$4:$D$4003,$A273,出库单!$K$4:$K$4003,"自用消耗",出库单!$U$4:$U$4003,"正常",出库单!$C$4:$C$4003,"&gt;="&amp;账期起,出库单!$C$4:$C$4003,"&lt;="&amp;账期止))</f>
        <v/>
      </c>
      <c r="Q273" s="26">
        <f>IF($A273="","",ROUND(SUMIFS(出库单!$S$4:$S$4003,出库单!$D$4:$D$4003,$A273,出库单!$K$4:$K$4003,"自用消耗",出库单!$U$4:$U$4003,"正常",出库单!$C$4:$C$4003,"&gt;="&amp;账期起,出库单!$C$4:$C$4003,"&lt;="&amp;账期止),0))</f>
        <v/>
      </c>
      <c r="R273" s="27">
        <f>IF($A273="","",SUMIFS(出库单!$J$4:$J$4003,出库单!$D$4:$D$4003,$A273,出库单!$K$4:$K$4003,"对外销售",出库单!$U$4:$U$4003,"正常",出库单!$C$4:$C$4003,"&gt;="&amp;账期起,出库单!$C$4:$C$4003,"&lt;="&amp;账期止))</f>
        <v/>
      </c>
      <c r="S273" s="26">
        <f>IF($A273="","",ROUND(SUMIFS(出库单!$S$4:$S$4003,出库单!$D$4:$D$4003,$A273,出库单!$K$4:$K$4003,"对外销售",出库单!$U$4:$U$4003,"正常",出库单!$C$4:$C$4003,"&gt;="&amp;账期起,出库单!$C$4:$C$4003,"&lt;="&amp;账期止),0))</f>
        <v/>
      </c>
      <c r="T273" s="27">
        <f>IF($A273="","",SUMIFS(出库单!$J$4:$J$4003,出库单!$D$4:$D$4003,$A273,出库单!$K$4:$K$4003,"盘亏",出库单!$U$4:$U$4003,"正常",出库单!$C$4:$C$4003,"&gt;="&amp;账期起,出库单!$C$4:$C$4003,"&lt;="&amp;账期止))</f>
        <v/>
      </c>
      <c r="U273" s="26">
        <f>IF($A273="","",ROUND(SUMIFS(出库单!$S$4:$S$4003,出库单!$D$4:$D$4003,$A273,出库单!$K$4:$K$4003,"盘亏",出库单!$U$4:$U$4003,"正常",出库单!$C$4:$C$4003,"&gt;="&amp;账期起,出库单!$C$4:$C$4003,"&lt;="&amp;账期止),0))</f>
        <v/>
      </c>
      <c r="V273" s="27">
        <f>IF($A273="","",SUMIFS(出库单!$J$4:$J$4003,出库单!$D$4:$D$4003,$A273,出库单!$K$4:$K$4003,"退货给供应商",出库单!$U$4:$U$4003,"正常",出库单!$C$4:$C$4003,"&gt;="&amp;账期起,出库单!$C$4:$C$4003,"&lt;="&amp;账期止))</f>
        <v/>
      </c>
      <c r="W273" s="26">
        <f>IF($A273="","",ROUND(SUMIFS(出库单!$S$4:$S$4003,出库单!$D$4:$D$4003,$A273,出库单!$K$4:$K$4003,"退货给供应商",出库单!$U$4:$U$4003,"正常",出库单!$C$4:$C$4003,"&gt;="&amp;账期起,出库单!$C$4:$C$4003,"&lt;="&amp;账期止),0))</f>
        <v/>
      </c>
      <c r="X273" s="27">
        <f>IF($A273="","",ROUND(N($G273)+$I273+$L273+$N273-$P273-$R273-$T273-$V273,3))</f>
        <v/>
      </c>
      <c r="Y273" s="26">
        <f>IF($A273="","",ROUND(N($H273)+$J273+$M273+$O273-$Q273-$S273-$U273-$W273,0))</f>
        <v/>
      </c>
      <c r="Z273" s="24">
        <f>IF($A273="","",IF(COUNTIFS(入库单!$G$4:$G$2503,$A273,入库单!$Y$4:$Y$2503,"待补价")+COUNTIFS(入库单!$G$4:$G$2503,$A273,入库单!$Y$4:$Y$2503,"暂估")&gt;0,"不可信","可信"))</f>
        <v/>
      </c>
      <c r="AA273" s="24">
        <f>IF($A273="","",IF($X273&lt;-0.001,"※账面负库存，查一下是不是漏记入库",IF(AND(ROUND($X273,3)=0,ABS($Y273)&gt;1),"※数量已经是 0，金额还挂着 "&amp;TEXT($Y273,"#,##0")&amp;" 先令",IF(AND($X273&gt;0,$Y273&lt;=0,$K273=0),"※有数量没金额（这个物料一直没填过进价）",IF($Z273="不可信","△成本含待补价/暂估，毛利仅供参考","")))))</f>
        <v/>
      </c>
    </row>
    <row r="274">
      <c r="A274" s="24">
        <f>IF(物料档案!$A273="","",物料档案!$A273)</f>
        <v/>
      </c>
      <c r="B274" s="24">
        <f>IF($A274="","",IFERROR(VLOOKUP($A274,物料档案!$A$4:$P$1203,3,0),""))</f>
        <v/>
      </c>
      <c r="C274" s="24">
        <f>IF($A274="","",IFERROR(VLOOKUP($A274,物料档案!$A$4:$P$1203,4,0),""))</f>
        <v/>
      </c>
      <c r="D274" s="24">
        <f>IF($A274="","",IFERROR(VLOOKUP($A274,物料档案!$A$4:$P$1203,5,0),""))</f>
        <v/>
      </c>
      <c r="E274" s="24">
        <f>IF($A274="","",IFERROR(VLOOKUP($A274,物料档案!$A$4:$P$1203,2,0),""))</f>
        <v/>
      </c>
      <c r="F274" s="24">
        <f>IF($A274="","",IFERROR(VLOOKUP($A274,物料档案!$A$4:$P$1203,6,0),""))</f>
        <v/>
      </c>
      <c r="G274" s="23" t="n"/>
      <c r="H274" s="32" t="n"/>
      <c r="I274" s="27">
        <f>IF($A274="","",SUMIFS(入库单!$K$4:$K$2503,入库单!$G$4:$G$2503,$A274,入库单!$X$4:$X$2503,"采购入库",入库单!$Z$4:$Z$2503,"正常",入库单!$C$4:$C$2503,"&gt;="&amp;账期起,入库单!$C$4:$C$2503,"&lt;="&amp;账期止))</f>
        <v/>
      </c>
      <c r="J274" s="26">
        <f>IF($A274="","",SUMIFS(入库单!$V$4:$V$2503,入库单!$G$4:$G$2503,$A274,入库单!$X$4:$X$2503,"采购入库",入库单!$Z$4:$Z$2503,"正常",入库单!$C$4:$C$2503,"&gt;="&amp;账期起,入库单!$C$4:$C$2503,"&lt;="&amp;账期止))</f>
        <v/>
      </c>
      <c r="K274" s="26">
        <f>IF($A274="","",IFERROR(ROUND((N($H274)+N($J274))/(N($G274)+N($I274)),2),0))</f>
        <v/>
      </c>
      <c r="L274" s="27">
        <f>IF($A274="","",SUMIFS(入库单!$K$4:$K$2503,入库单!$G$4:$G$2503,$A274,入库单!$X$4:$X$2503,"盘盈",入库单!$Z$4:$Z$2503,"正常",入库单!$C$4:$C$2503,"&gt;="&amp;账期起,入库单!$C$4:$C$2503,"&lt;="&amp;账期止))</f>
        <v/>
      </c>
      <c r="M274" s="26">
        <f>IF($A274="","",ROUND($L274*$K274,0))</f>
        <v/>
      </c>
      <c r="N274" s="27">
        <f>IF($A274="","",SUMIFS(入库单!$K$4:$K$2503,入库单!$G$4:$G$2503,$A274,入库单!$X$4:$X$2503,"矿区退库",入库单!$Z$4:$Z$2503,"正常",入库单!$C$4:$C$2503,"&gt;="&amp;账期起,入库单!$C$4:$C$2503,"&lt;="&amp;账期止))</f>
        <v/>
      </c>
      <c r="O274" s="26">
        <f>IF($A274="","",ROUND($N274*$K274,0))</f>
        <v/>
      </c>
      <c r="P274" s="27">
        <f>IF($A274="","",SUMIFS(出库单!$J$4:$J$4003,出库单!$D$4:$D$4003,$A274,出库单!$K$4:$K$4003,"自用消耗",出库单!$U$4:$U$4003,"正常",出库单!$C$4:$C$4003,"&gt;="&amp;账期起,出库单!$C$4:$C$4003,"&lt;="&amp;账期止))</f>
        <v/>
      </c>
      <c r="Q274" s="26">
        <f>IF($A274="","",ROUND(SUMIFS(出库单!$S$4:$S$4003,出库单!$D$4:$D$4003,$A274,出库单!$K$4:$K$4003,"自用消耗",出库单!$U$4:$U$4003,"正常",出库单!$C$4:$C$4003,"&gt;="&amp;账期起,出库单!$C$4:$C$4003,"&lt;="&amp;账期止),0))</f>
        <v/>
      </c>
      <c r="R274" s="27">
        <f>IF($A274="","",SUMIFS(出库单!$J$4:$J$4003,出库单!$D$4:$D$4003,$A274,出库单!$K$4:$K$4003,"对外销售",出库单!$U$4:$U$4003,"正常",出库单!$C$4:$C$4003,"&gt;="&amp;账期起,出库单!$C$4:$C$4003,"&lt;="&amp;账期止))</f>
        <v/>
      </c>
      <c r="S274" s="26">
        <f>IF($A274="","",ROUND(SUMIFS(出库单!$S$4:$S$4003,出库单!$D$4:$D$4003,$A274,出库单!$K$4:$K$4003,"对外销售",出库单!$U$4:$U$4003,"正常",出库单!$C$4:$C$4003,"&gt;="&amp;账期起,出库单!$C$4:$C$4003,"&lt;="&amp;账期止),0))</f>
        <v/>
      </c>
      <c r="T274" s="27">
        <f>IF($A274="","",SUMIFS(出库单!$J$4:$J$4003,出库单!$D$4:$D$4003,$A274,出库单!$K$4:$K$4003,"盘亏",出库单!$U$4:$U$4003,"正常",出库单!$C$4:$C$4003,"&gt;="&amp;账期起,出库单!$C$4:$C$4003,"&lt;="&amp;账期止))</f>
        <v/>
      </c>
      <c r="U274" s="26">
        <f>IF($A274="","",ROUND(SUMIFS(出库单!$S$4:$S$4003,出库单!$D$4:$D$4003,$A274,出库单!$K$4:$K$4003,"盘亏",出库单!$U$4:$U$4003,"正常",出库单!$C$4:$C$4003,"&gt;="&amp;账期起,出库单!$C$4:$C$4003,"&lt;="&amp;账期止),0))</f>
        <v/>
      </c>
      <c r="V274" s="27">
        <f>IF($A274="","",SUMIFS(出库单!$J$4:$J$4003,出库单!$D$4:$D$4003,$A274,出库单!$K$4:$K$4003,"退货给供应商",出库单!$U$4:$U$4003,"正常",出库单!$C$4:$C$4003,"&gt;="&amp;账期起,出库单!$C$4:$C$4003,"&lt;="&amp;账期止))</f>
        <v/>
      </c>
      <c r="W274" s="26">
        <f>IF($A274="","",ROUND(SUMIFS(出库单!$S$4:$S$4003,出库单!$D$4:$D$4003,$A274,出库单!$K$4:$K$4003,"退货给供应商",出库单!$U$4:$U$4003,"正常",出库单!$C$4:$C$4003,"&gt;="&amp;账期起,出库单!$C$4:$C$4003,"&lt;="&amp;账期止),0))</f>
        <v/>
      </c>
      <c r="X274" s="27">
        <f>IF($A274="","",ROUND(N($G274)+$I274+$L274+$N274-$P274-$R274-$T274-$V274,3))</f>
        <v/>
      </c>
      <c r="Y274" s="26">
        <f>IF($A274="","",ROUND(N($H274)+$J274+$M274+$O274-$Q274-$S274-$U274-$W274,0))</f>
        <v/>
      </c>
      <c r="Z274" s="24">
        <f>IF($A274="","",IF(COUNTIFS(入库单!$G$4:$G$2503,$A274,入库单!$Y$4:$Y$2503,"待补价")+COUNTIFS(入库单!$G$4:$G$2503,$A274,入库单!$Y$4:$Y$2503,"暂估")&gt;0,"不可信","可信"))</f>
        <v/>
      </c>
      <c r="AA274" s="24">
        <f>IF($A274="","",IF($X274&lt;-0.001,"※账面负库存，查一下是不是漏记入库",IF(AND(ROUND($X274,3)=0,ABS($Y274)&gt;1),"※数量已经是 0，金额还挂着 "&amp;TEXT($Y274,"#,##0")&amp;" 先令",IF(AND($X274&gt;0,$Y274&lt;=0,$K274=0),"※有数量没金额（这个物料一直没填过进价）",IF($Z274="不可信","△成本含待补价/暂估，毛利仅供参考","")))))</f>
        <v/>
      </c>
    </row>
    <row r="275">
      <c r="A275" s="24">
        <f>IF(物料档案!$A274="","",物料档案!$A274)</f>
        <v/>
      </c>
      <c r="B275" s="24">
        <f>IF($A275="","",IFERROR(VLOOKUP($A275,物料档案!$A$4:$P$1203,3,0),""))</f>
        <v/>
      </c>
      <c r="C275" s="24">
        <f>IF($A275="","",IFERROR(VLOOKUP($A275,物料档案!$A$4:$P$1203,4,0),""))</f>
        <v/>
      </c>
      <c r="D275" s="24">
        <f>IF($A275="","",IFERROR(VLOOKUP($A275,物料档案!$A$4:$P$1203,5,0),""))</f>
        <v/>
      </c>
      <c r="E275" s="24">
        <f>IF($A275="","",IFERROR(VLOOKUP($A275,物料档案!$A$4:$P$1203,2,0),""))</f>
        <v/>
      </c>
      <c r="F275" s="24">
        <f>IF($A275="","",IFERROR(VLOOKUP($A275,物料档案!$A$4:$P$1203,6,0),""))</f>
        <v/>
      </c>
      <c r="G275" s="23" t="n"/>
      <c r="H275" s="32" t="n"/>
      <c r="I275" s="27">
        <f>IF($A275="","",SUMIFS(入库单!$K$4:$K$2503,入库单!$G$4:$G$2503,$A275,入库单!$X$4:$X$2503,"采购入库",入库单!$Z$4:$Z$2503,"正常",入库单!$C$4:$C$2503,"&gt;="&amp;账期起,入库单!$C$4:$C$2503,"&lt;="&amp;账期止))</f>
        <v/>
      </c>
      <c r="J275" s="26">
        <f>IF($A275="","",SUMIFS(入库单!$V$4:$V$2503,入库单!$G$4:$G$2503,$A275,入库单!$X$4:$X$2503,"采购入库",入库单!$Z$4:$Z$2503,"正常",入库单!$C$4:$C$2503,"&gt;="&amp;账期起,入库单!$C$4:$C$2503,"&lt;="&amp;账期止))</f>
        <v/>
      </c>
      <c r="K275" s="26">
        <f>IF($A275="","",IFERROR(ROUND((N($H275)+N($J275))/(N($G275)+N($I275)),2),0))</f>
        <v/>
      </c>
      <c r="L275" s="27">
        <f>IF($A275="","",SUMIFS(入库单!$K$4:$K$2503,入库单!$G$4:$G$2503,$A275,入库单!$X$4:$X$2503,"盘盈",入库单!$Z$4:$Z$2503,"正常",入库单!$C$4:$C$2503,"&gt;="&amp;账期起,入库单!$C$4:$C$2503,"&lt;="&amp;账期止))</f>
        <v/>
      </c>
      <c r="M275" s="26">
        <f>IF($A275="","",ROUND($L275*$K275,0))</f>
        <v/>
      </c>
      <c r="N275" s="27">
        <f>IF($A275="","",SUMIFS(入库单!$K$4:$K$2503,入库单!$G$4:$G$2503,$A275,入库单!$X$4:$X$2503,"矿区退库",入库单!$Z$4:$Z$2503,"正常",入库单!$C$4:$C$2503,"&gt;="&amp;账期起,入库单!$C$4:$C$2503,"&lt;="&amp;账期止))</f>
        <v/>
      </c>
      <c r="O275" s="26">
        <f>IF($A275="","",ROUND($N275*$K275,0))</f>
        <v/>
      </c>
      <c r="P275" s="27">
        <f>IF($A275="","",SUMIFS(出库单!$J$4:$J$4003,出库单!$D$4:$D$4003,$A275,出库单!$K$4:$K$4003,"自用消耗",出库单!$U$4:$U$4003,"正常",出库单!$C$4:$C$4003,"&gt;="&amp;账期起,出库单!$C$4:$C$4003,"&lt;="&amp;账期止))</f>
        <v/>
      </c>
      <c r="Q275" s="26">
        <f>IF($A275="","",ROUND(SUMIFS(出库单!$S$4:$S$4003,出库单!$D$4:$D$4003,$A275,出库单!$K$4:$K$4003,"自用消耗",出库单!$U$4:$U$4003,"正常",出库单!$C$4:$C$4003,"&gt;="&amp;账期起,出库单!$C$4:$C$4003,"&lt;="&amp;账期止),0))</f>
        <v/>
      </c>
      <c r="R275" s="27">
        <f>IF($A275="","",SUMIFS(出库单!$J$4:$J$4003,出库单!$D$4:$D$4003,$A275,出库单!$K$4:$K$4003,"对外销售",出库单!$U$4:$U$4003,"正常",出库单!$C$4:$C$4003,"&gt;="&amp;账期起,出库单!$C$4:$C$4003,"&lt;="&amp;账期止))</f>
        <v/>
      </c>
      <c r="S275" s="26">
        <f>IF($A275="","",ROUND(SUMIFS(出库单!$S$4:$S$4003,出库单!$D$4:$D$4003,$A275,出库单!$K$4:$K$4003,"对外销售",出库单!$U$4:$U$4003,"正常",出库单!$C$4:$C$4003,"&gt;="&amp;账期起,出库单!$C$4:$C$4003,"&lt;="&amp;账期止),0))</f>
        <v/>
      </c>
      <c r="T275" s="27">
        <f>IF($A275="","",SUMIFS(出库单!$J$4:$J$4003,出库单!$D$4:$D$4003,$A275,出库单!$K$4:$K$4003,"盘亏",出库单!$U$4:$U$4003,"正常",出库单!$C$4:$C$4003,"&gt;="&amp;账期起,出库单!$C$4:$C$4003,"&lt;="&amp;账期止))</f>
        <v/>
      </c>
      <c r="U275" s="26">
        <f>IF($A275="","",ROUND(SUMIFS(出库单!$S$4:$S$4003,出库单!$D$4:$D$4003,$A275,出库单!$K$4:$K$4003,"盘亏",出库单!$U$4:$U$4003,"正常",出库单!$C$4:$C$4003,"&gt;="&amp;账期起,出库单!$C$4:$C$4003,"&lt;="&amp;账期止),0))</f>
        <v/>
      </c>
      <c r="V275" s="27">
        <f>IF($A275="","",SUMIFS(出库单!$J$4:$J$4003,出库单!$D$4:$D$4003,$A275,出库单!$K$4:$K$4003,"退货给供应商",出库单!$U$4:$U$4003,"正常",出库单!$C$4:$C$4003,"&gt;="&amp;账期起,出库单!$C$4:$C$4003,"&lt;="&amp;账期止))</f>
        <v/>
      </c>
      <c r="W275" s="26">
        <f>IF($A275="","",ROUND(SUMIFS(出库单!$S$4:$S$4003,出库单!$D$4:$D$4003,$A275,出库单!$K$4:$K$4003,"退货给供应商",出库单!$U$4:$U$4003,"正常",出库单!$C$4:$C$4003,"&gt;="&amp;账期起,出库单!$C$4:$C$4003,"&lt;="&amp;账期止),0))</f>
        <v/>
      </c>
      <c r="X275" s="27">
        <f>IF($A275="","",ROUND(N($G275)+$I275+$L275+$N275-$P275-$R275-$T275-$V275,3))</f>
        <v/>
      </c>
      <c r="Y275" s="26">
        <f>IF($A275="","",ROUND(N($H275)+$J275+$M275+$O275-$Q275-$S275-$U275-$W275,0))</f>
        <v/>
      </c>
      <c r="Z275" s="24">
        <f>IF($A275="","",IF(COUNTIFS(入库单!$G$4:$G$2503,$A275,入库单!$Y$4:$Y$2503,"待补价")+COUNTIFS(入库单!$G$4:$G$2503,$A275,入库单!$Y$4:$Y$2503,"暂估")&gt;0,"不可信","可信"))</f>
        <v/>
      </c>
      <c r="AA275" s="24">
        <f>IF($A275="","",IF($X275&lt;-0.001,"※账面负库存，查一下是不是漏记入库",IF(AND(ROUND($X275,3)=0,ABS($Y275)&gt;1),"※数量已经是 0，金额还挂着 "&amp;TEXT($Y275,"#,##0")&amp;" 先令",IF(AND($X275&gt;0,$Y275&lt;=0,$K275=0),"※有数量没金额（这个物料一直没填过进价）",IF($Z275="不可信","△成本含待补价/暂估，毛利仅供参考","")))))</f>
        <v/>
      </c>
    </row>
    <row r="276">
      <c r="A276" s="24">
        <f>IF(物料档案!$A275="","",物料档案!$A275)</f>
        <v/>
      </c>
      <c r="B276" s="24">
        <f>IF($A276="","",IFERROR(VLOOKUP($A276,物料档案!$A$4:$P$1203,3,0),""))</f>
        <v/>
      </c>
      <c r="C276" s="24">
        <f>IF($A276="","",IFERROR(VLOOKUP($A276,物料档案!$A$4:$P$1203,4,0),""))</f>
        <v/>
      </c>
      <c r="D276" s="24">
        <f>IF($A276="","",IFERROR(VLOOKUP($A276,物料档案!$A$4:$P$1203,5,0),""))</f>
        <v/>
      </c>
      <c r="E276" s="24">
        <f>IF($A276="","",IFERROR(VLOOKUP($A276,物料档案!$A$4:$P$1203,2,0),""))</f>
        <v/>
      </c>
      <c r="F276" s="24">
        <f>IF($A276="","",IFERROR(VLOOKUP($A276,物料档案!$A$4:$P$1203,6,0),""))</f>
        <v/>
      </c>
      <c r="G276" s="23" t="n"/>
      <c r="H276" s="32" t="n"/>
      <c r="I276" s="27">
        <f>IF($A276="","",SUMIFS(入库单!$K$4:$K$2503,入库单!$G$4:$G$2503,$A276,入库单!$X$4:$X$2503,"采购入库",入库单!$Z$4:$Z$2503,"正常",入库单!$C$4:$C$2503,"&gt;="&amp;账期起,入库单!$C$4:$C$2503,"&lt;="&amp;账期止))</f>
        <v/>
      </c>
      <c r="J276" s="26">
        <f>IF($A276="","",SUMIFS(入库单!$V$4:$V$2503,入库单!$G$4:$G$2503,$A276,入库单!$X$4:$X$2503,"采购入库",入库单!$Z$4:$Z$2503,"正常",入库单!$C$4:$C$2503,"&gt;="&amp;账期起,入库单!$C$4:$C$2503,"&lt;="&amp;账期止))</f>
        <v/>
      </c>
      <c r="K276" s="26">
        <f>IF($A276="","",IFERROR(ROUND((N($H276)+N($J276))/(N($G276)+N($I276)),2),0))</f>
        <v/>
      </c>
      <c r="L276" s="27">
        <f>IF($A276="","",SUMIFS(入库单!$K$4:$K$2503,入库单!$G$4:$G$2503,$A276,入库单!$X$4:$X$2503,"盘盈",入库单!$Z$4:$Z$2503,"正常",入库单!$C$4:$C$2503,"&gt;="&amp;账期起,入库单!$C$4:$C$2503,"&lt;="&amp;账期止))</f>
        <v/>
      </c>
      <c r="M276" s="26">
        <f>IF($A276="","",ROUND($L276*$K276,0))</f>
        <v/>
      </c>
      <c r="N276" s="27">
        <f>IF($A276="","",SUMIFS(入库单!$K$4:$K$2503,入库单!$G$4:$G$2503,$A276,入库单!$X$4:$X$2503,"矿区退库",入库单!$Z$4:$Z$2503,"正常",入库单!$C$4:$C$2503,"&gt;="&amp;账期起,入库单!$C$4:$C$2503,"&lt;="&amp;账期止))</f>
        <v/>
      </c>
      <c r="O276" s="26">
        <f>IF($A276="","",ROUND($N276*$K276,0))</f>
        <v/>
      </c>
      <c r="P276" s="27">
        <f>IF($A276="","",SUMIFS(出库单!$J$4:$J$4003,出库单!$D$4:$D$4003,$A276,出库单!$K$4:$K$4003,"自用消耗",出库单!$U$4:$U$4003,"正常",出库单!$C$4:$C$4003,"&gt;="&amp;账期起,出库单!$C$4:$C$4003,"&lt;="&amp;账期止))</f>
        <v/>
      </c>
      <c r="Q276" s="26">
        <f>IF($A276="","",ROUND(SUMIFS(出库单!$S$4:$S$4003,出库单!$D$4:$D$4003,$A276,出库单!$K$4:$K$4003,"自用消耗",出库单!$U$4:$U$4003,"正常",出库单!$C$4:$C$4003,"&gt;="&amp;账期起,出库单!$C$4:$C$4003,"&lt;="&amp;账期止),0))</f>
        <v/>
      </c>
      <c r="R276" s="27">
        <f>IF($A276="","",SUMIFS(出库单!$J$4:$J$4003,出库单!$D$4:$D$4003,$A276,出库单!$K$4:$K$4003,"对外销售",出库单!$U$4:$U$4003,"正常",出库单!$C$4:$C$4003,"&gt;="&amp;账期起,出库单!$C$4:$C$4003,"&lt;="&amp;账期止))</f>
        <v/>
      </c>
      <c r="S276" s="26">
        <f>IF($A276="","",ROUND(SUMIFS(出库单!$S$4:$S$4003,出库单!$D$4:$D$4003,$A276,出库单!$K$4:$K$4003,"对外销售",出库单!$U$4:$U$4003,"正常",出库单!$C$4:$C$4003,"&gt;="&amp;账期起,出库单!$C$4:$C$4003,"&lt;="&amp;账期止),0))</f>
        <v/>
      </c>
      <c r="T276" s="27">
        <f>IF($A276="","",SUMIFS(出库单!$J$4:$J$4003,出库单!$D$4:$D$4003,$A276,出库单!$K$4:$K$4003,"盘亏",出库单!$U$4:$U$4003,"正常",出库单!$C$4:$C$4003,"&gt;="&amp;账期起,出库单!$C$4:$C$4003,"&lt;="&amp;账期止))</f>
        <v/>
      </c>
      <c r="U276" s="26">
        <f>IF($A276="","",ROUND(SUMIFS(出库单!$S$4:$S$4003,出库单!$D$4:$D$4003,$A276,出库单!$K$4:$K$4003,"盘亏",出库单!$U$4:$U$4003,"正常",出库单!$C$4:$C$4003,"&gt;="&amp;账期起,出库单!$C$4:$C$4003,"&lt;="&amp;账期止),0))</f>
        <v/>
      </c>
      <c r="V276" s="27">
        <f>IF($A276="","",SUMIFS(出库单!$J$4:$J$4003,出库单!$D$4:$D$4003,$A276,出库单!$K$4:$K$4003,"退货给供应商",出库单!$U$4:$U$4003,"正常",出库单!$C$4:$C$4003,"&gt;="&amp;账期起,出库单!$C$4:$C$4003,"&lt;="&amp;账期止))</f>
        <v/>
      </c>
      <c r="W276" s="26">
        <f>IF($A276="","",ROUND(SUMIFS(出库单!$S$4:$S$4003,出库单!$D$4:$D$4003,$A276,出库单!$K$4:$K$4003,"退货给供应商",出库单!$U$4:$U$4003,"正常",出库单!$C$4:$C$4003,"&gt;="&amp;账期起,出库单!$C$4:$C$4003,"&lt;="&amp;账期止),0))</f>
        <v/>
      </c>
      <c r="X276" s="27">
        <f>IF($A276="","",ROUND(N($G276)+$I276+$L276+$N276-$P276-$R276-$T276-$V276,3))</f>
        <v/>
      </c>
      <c r="Y276" s="26">
        <f>IF($A276="","",ROUND(N($H276)+$J276+$M276+$O276-$Q276-$S276-$U276-$W276,0))</f>
        <v/>
      </c>
      <c r="Z276" s="24">
        <f>IF($A276="","",IF(COUNTIFS(入库单!$G$4:$G$2503,$A276,入库单!$Y$4:$Y$2503,"待补价")+COUNTIFS(入库单!$G$4:$G$2503,$A276,入库单!$Y$4:$Y$2503,"暂估")&gt;0,"不可信","可信"))</f>
        <v/>
      </c>
      <c r="AA276" s="24">
        <f>IF($A276="","",IF($X276&lt;-0.001,"※账面负库存，查一下是不是漏记入库",IF(AND(ROUND($X276,3)=0,ABS($Y276)&gt;1),"※数量已经是 0，金额还挂着 "&amp;TEXT($Y276,"#,##0")&amp;" 先令",IF(AND($X276&gt;0,$Y276&lt;=0,$K276=0),"※有数量没金额（这个物料一直没填过进价）",IF($Z276="不可信","△成本含待补价/暂估，毛利仅供参考","")))))</f>
        <v/>
      </c>
    </row>
    <row r="277">
      <c r="A277" s="24">
        <f>IF(物料档案!$A276="","",物料档案!$A276)</f>
        <v/>
      </c>
      <c r="B277" s="24">
        <f>IF($A277="","",IFERROR(VLOOKUP($A277,物料档案!$A$4:$P$1203,3,0),""))</f>
        <v/>
      </c>
      <c r="C277" s="24">
        <f>IF($A277="","",IFERROR(VLOOKUP($A277,物料档案!$A$4:$P$1203,4,0),""))</f>
        <v/>
      </c>
      <c r="D277" s="24">
        <f>IF($A277="","",IFERROR(VLOOKUP($A277,物料档案!$A$4:$P$1203,5,0),""))</f>
        <v/>
      </c>
      <c r="E277" s="24">
        <f>IF($A277="","",IFERROR(VLOOKUP($A277,物料档案!$A$4:$P$1203,2,0),""))</f>
        <v/>
      </c>
      <c r="F277" s="24">
        <f>IF($A277="","",IFERROR(VLOOKUP($A277,物料档案!$A$4:$P$1203,6,0),""))</f>
        <v/>
      </c>
      <c r="G277" s="23" t="n"/>
      <c r="H277" s="32" t="n"/>
      <c r="I277" s="27">
        <f>IF($A277="","",SUMIFS(入库单!$K$4:$K$2503,入库单!$G$4:$G$2503,$A277,入库单!$X$4:$X$2503,"采购入库",入库单!$Z$4:$Z$2503,"正常",入库单!$C$4:$C$2503,"&gt;="&amp;账期起,入库单!$C$4:$C$2503,"&lt;="&amp;账期止))</f>
        <v/>
      </c>
      <c r="J277" s="26">
        <f>IF($A277="","",SUMIFS(入库单!$V$4:$V$2503,入库单!$G$4:$G$2503,$A277,入库单!$X$4:$X$2503,"采购入库",入库单!$Z$4:$Z$2503,"正常",入库单!$C$4:$C$2503,"&gt;="&amp;账期起,入库单!$C$4:$C$2503,"&lt;="&amp;账期止))</f>
        <v/>
      </c>
      <c r="K277" s="26">
        <f>IF($A277="","",IFERROR(ROUND((N($H277)+N($J277))/(N($G277)+N($I277)),2),0))</f>
        <v/>
      </c>
      <c r="L277" s="27">
        <f>IF($A277="","",SUMIFS(入库单!$K$4:$K$2503,入库单!$G$4:$G$2503,$A277,入库单!$X$4:$X$2503,"盘盈",入库单!$Z$4:$Z$2503,"正常",入库单!$C$4:$C$2503,"&gt;="&amp;账期起,入库单!$C$4:$C$2503,"&lt;="&amp;账期止))</f>
        <v/>
      </c>
      <c r="M277" s="26">
        <f>IF($A277="","",ROUND($L277*$K277,0))</f>
        <v/>
      </c>
      <c r="N277" s="27">
        <f>IF($A277="","",SUMIFS(入库单!$K$4:$K$2503,入库单!$G$4:$G$2503,$A277,入库单!$X$4:$X$2503,"矿区退库",入库单!$Z$4:$Z$2503,"正常",入库单!$C$4:$C$2503,"&gt;="&amp;账期起,入库单!$C$4:$C$2503,"&lt;="&amp;账期止))</f>
        <v/>
      </c>
      <c r="O277" s="26">
        <f>IF($A277="","",ROUND($N277*$K277,0))</f>
        <v/>
      </c>
      <c r="P277" s="27">
        <f>IF($A277="","",SUMIFS(出库单!$J$4:$J$4003,出库单!$D$4:$D$4003,$A277,出库单!$K$4:$K$4003,"自用消耗",出库单!$U$4:$U$4003,"正常",出库单!$C$4:$C$4003,"&gt;="&amp;账期起,出库单!$C$4:$C$4003,"&lt;="&amp;账期止))</f>
        <v/>
      </c>
      <c r="Q277" s="26">
        <f>IF($A277="","",ROUND(SUMIFS(出库单!$S$4:$S$4003,出库单!$D$4:$D$4003,$A277,出库单!$K$4:$K$4003,"自用消耗",出库单!$U$4:$U$4003,"正常",出库单!$C$4:$C$4003,"&gt;="&amp;账期起,出库单!$C$4:$C$4003,"&lt;="&amp;账期止),0))</f>
        <v/>
      </c>
      <c r="R277" s="27">
        <f>IF($A277="","",SUMIFS(出库单!$J$4:$J$4003,出库单!$D$4:$D$4003,$A277,出库单!$K$4:$K$4003,"对外销售",出库单!$U$4:$U$4003,"正常",出库单!$C$4:$C$4003,"&gt;="&amp;账期起,出库单!$C$4:$C$4003,"&lt;="&amp;账期止))</f>
        <v/>
      </c>
      <c r="S277" s="26">
        <f>IF($A277="","",ROUND(SUMIFS(出库单!$S$4:$S$4003,出库单!$D$4:$D$4003,$A277,出库单!$K$4:$K$4003,"对外销售",出库单!$U$4:$U$4003,"正常",出库单!$C$4:$C$4003,"&gt;="&amp;账期起,出库单!$C$4:$C$4003,"&lt;="&amp;账期止),0))</f>
        <v/>
      </c>
      <c r="T277" s="27">
        <f>IF($A277="","",SUMIFS(出库单!$J$4:$J$4003,出库单!$D$4:$D$4003,$A277,出库单!$K$4:$K$4003,"盘亏",出库单!$U$4:$U$4003,"正常",出库单!$C$4:$C$4003,"&gt;="&amp;账期起,出库单!$C$4:$C$4003,"&lt;="&amp;账期止))</f>
        <v/>
      </c>
      <c r="U277" s="26">
        <f>IF($A277="","",ROUND(SUMIFS(出库单!$S$4:$S$4003,出库单!$D$4:$D$4003,$A277,出库单!$K$4:$K$4003,"盘亏",出库单!$U$4:$U$4003,"正常",出库单!$C$4:$C$4003,"&gt;="&amp;账期起,出库单!$C$4:$C$4003,"&lt;="&amp;账期止),0))</f>
        <v/>
      </c>
      <c r="V277" s="27">
        <f>IF($A277="","",SUMIFS(出库单!$J$4:$J$4003,出库单!$D$4:$D$4003,$A277,出库单!$K$4:$K$4003,"退货给供应商",出库单!$U$4:$U$4003,"正常",出库单!$C$4:$C$4003,"&gt;="&amp;账期起,出库单!$C$4:$C$4003,"&lt;="&amp;账期止))</f>
        <v/>
      </c>
      <c r="W277" s="26">
        <f>IF($A277="","",ROUND(SUMIFS(出库单!$S$4:$S$4003,出库单!$D$4:$D$4003,$A277,出库单!$K$4:$K$4003,"退货给供应商",出库单!$U$4:$U$4003,"正常",出库单!$C$4:$C$4003,"&gt;="&amp;账期起,出库单!$C$4:$C$4003,"&lt;="&amp;账期止),0))</f>
        <v/>
      </c>
      <c r="X277" s="27">
        <f>IF($A277="","",ROUND(N($G277)+$I277+$L277+$N277-$P277-$R277-$T277-$V277,3))</f>
        <v/>
      </c>
      <c r="Y277" s="26">
        <f>IF($A277="","",ROUND(N($H277)+$J277+$M277+$O277-$Q277-$S277-$U277-$W277,0))</f>
        <v/>
      </c>
      <c r="Z277" s="24">
        <f>IF($A277="","",IF(COUNTIFS(入库单!$G$4:$G$2503,$A277,入库单!$Y$4:$Y$2503,"待补价")+COUNTIFS(入库单!$G$4:$G$2503,$A277,入库单!$Y$4:$Y$2503,"暂估")&gt;0,"不可信","可信"))</f>
        <v/>
      </c>
      <c r="AA277" s="24">
        <f>IF($A277="","",IF($X277&lt;-0.001,"※账面负库存，查一下是不是漏记入库",IF(AND(ROUND($X277,3)=0,ABS($Y277)&gt;1),"※数量已经是 0，金额还挂着 "&amp;TEXT($Y277,"#,##0")&amp;" 先令",IF(AND($X277&gt;0,$Y277&lt;=0,$K277=0),"※有数量没金额（这个物料一直没填过进价）",IF($Z277="不可信","△成本含待补价/暂估，毛利仅供参考","")))))</f>
        <v/>
      </c>
    </row>
    <row r="278">
      <c r="A278" s="24">
        <f>IF(物料档案!$A277="","",物料档案!$A277)</f>
        <v/>
      </c>
      <c r="B278" s="24">
        <f>IF($A278="","",IFERROR(VLOOKUP($A278,物料档案!$A$4:$P$1203,3,0),""))</f>
        <v/>
      </c>
      <c r="C278" s="24">
        <f>IF($A278="","",IFERROR(VLOOKUP($A278,物料档案!$A$4:$P$1203,4,0),""))</f>
        <v/>
      </c>
      <c r="D278" s="24">
        <f>IF($A278="","",IFERROR(VLOOKUP($A278,物料档案!$A$4:$P$1203,5,0),""))</f>
        <v/>
      </c>
      <c r="E278" s="24">
        <f>IF($A278="","",IFERROR(VLOOKUP($A278,物料档案!$A$4:$P$1203,2,0),""))</f>
        <v/>
      </c>
      <c r="F278" s="24">
        <f>IF($A278="","",IFERROR(VLOOKUP($A278,物料档案!$A$4:$P$1203,6,0),""))</f>
        <v/>
      </c>
      <c r="G278" s="23" t="n"/>
      <c r="H278" s="32" t="n"/>
      <c r="I278" s="27">
        <f>IF($A278="","",SUMIFS(入库单!$K$4:$K$2503,入库单!$G$4:$G$2503,$A278,入库单!$X$4:$X$2503,"采购入库",入库单!$Z$4:$Z$2503,"正常",入库单!$C$4:$C$2503,"&gt;="&amp;账期起,入库单!$C$4:$C$2503,"&lt;="&amp;账期止))</f>
        <v/>
      </c>
      <c r="J278" s="26">
        <f>IF($A278="","",SUMIFS(入库单!$V$4:$V$2503,入库单!$G$4:$G$2503,$A278,入库单!$X$4:$X$2503,"采购入库",入库单!$Z$4:$Z$2503,"正常",入库单!$C$4:$C$2503,"&gt;="&amp;账期起,入库单!$C$4:$C$2503,"&lt;="&amp;账期止))</f>
        <v/>
      </c>
      <c r="K278" s="26">
        <f>IF($A278="","",IFERROR(ROUND((N($H278)+N($J278))/(N($G278)+N($I278)),2),0))</f>
        <v/>
      </c>
      <c r="L278" s="27">
        <f>IF($A278="","",SUMIFS(入库单!$K$4:$K$2503,入库单!$G$4:$G$2503,$A278,入库单!$X$4:$X$2503,"盘盈",入库单!$Z$4:$Z$2503,"正常",入库单!$C$4:$C$2503,"&gt;="&amp;账期起,入库单!$C$4:$C$2503,"&lt;="&amp;账期止))</f>
        <v/>
      </c>
      <c r="M278" s="26">
        <f>IF($A278="","",ROUND($L278*$K278,0))</f>
        <v/>
      </c>
      <c r="N278" s="27">
        <f>IF($A278="","",SUMIFS(入库单!$K$4:$K$2503,入库单!$G$4:$G$2503,$A278,入库单!$X$4:$X$2503,"矿区退库",入库单!$Z$4:$Z$2503,"正常",入库单!$C$4:$C$2503,"&gt;="&amp;账期起,入库单!$C$4:$C$2503,"&lt;="&amp;账期止))</f>
        <v/>
      </c>
      <c r="O278" s="26">
        <f>IF($A278="","",ROUND($N278*$K278,0))</f>
        <v/>
      </c>
      <c r="P278" s="27">
        <f>IF($A278="","",SUMIFS(出库单!$J$4:$J$4003,出库单!$D$4:$D$4003,$A278,出库单!$K$4:$K$4003,"自用消耗",出库单!$U$4:$U$4003,"正常",出库单!$C$4:$C$4003,"&gt;="&amp;账期起,出库单!$C$4:$C$4003,"&lt;="&amp;账期止))</f>
        <v/>
      </c>
      <c r="Q278" s="26">
        <f>IF($A278="","",ROUND(SUMIFS(出库单!$S$4:$S$4003,出库单!$D$4:$D$4003,$A278,出库单!$K$4:$K$4003,"自用消耗",出库单!$U$4:$U$4003,"正常",出库单!$C$4:$C$4003,"&gt;="&amp;账期起,出库单!$C$4:$C$4003,"&lt;="&amp;账期止),0))</f>
        <v/>
      </c>
      <c r="R278" s="27">
        <f>IF($A278="","",SUMIFS(出库单!$J$4:$J$4003,出库单!$D$4:$D$4003,$A278,出库单!$K$4:$K$4003,"对外销售",出库单!$U$4:$U$4003,"正常",出库单!$C$4:$C$4003,"&gt;="&amp;账期起,出库单!$C$4:$C$4003,"&lt;="&amp;账期止))</f>
        <v/>
      </c>
      <c r="S278" s="26">
        <f>IF($A278="","",ROUND(SUMIFS(出库单!$S$4:$S$4003,出库单!$D$4:$D$4003,$A278,出库单!$K$4:$K$4003,"对外销售",出库单!$U$4:$U$4003,"正常",出库单!$C$4:$C$4003,"&gt;="&amp;账期起,出库单!$C$4:$C$4003,"&lt;="&amp;账期止),0))</f>
        <v/>
      </c>
      <c r="T278" s="27">
        <f>IF($A278="","",SUMIFS(出库单!$J$4:$J$4003,出库单!$D$4:$D$4003,$A278,出库单!$K$4:$K$4003,"盘亏",出库单!$U$4:$U$4003,"正常",出库单!$C$4:$C$4003,"&gt;="&amp;账期起,出库单!$C$4:$C$4003,"&lt;="&amp;账期止))</f>
        <v/>
      </c>
      <c r="U278" s="26">
        <f>IF($A278="","",ROUND(SUMIFS(出库单!$S$4:$S$4003,出库单!$D$4:$D$4003,$A278,出库单!$K$4:$K$4003,"盘亏",出库单!$U$4:$U$4003,"正常",出库单!$C$4:$C$4003,"&gt;="&amp;账期起,出库单!$C$4:$C$4003,"&lt;="&amp;账期止),0))</f>
        <v/>
      </c>
      <c r="V278" s="27">
        <f>IF($A278="","",SUMIFS(出库单!$J$4:$J$4003,出库单!$D$4:$D$4003,$A278,出库单!$K$4:$K$4003,"退货给供应商",出库单!$U$4:$U$4003,"正常",出库单!$C$4:$C$4003,"&gt;="&amp;账期起,出库单!$C$4:$C$4003,"&lt;="&amp;账期止))</f>
        <v/>
      </c>
      <c r="W278" s="26">
        <f>IF($A278="","",ROUND(SUMIFS(出库单!$S$4:$S$4003,出库单!$D$4:$D$4003,$A278,出库单!$K$4:$K$4003,"退货给供应商",出库单!$U$4:$U$4003,"正常",出库单!$C$4:$C$4003,"&gt;="&amp;账期起,出库单!$C$4:$C$4003,"&lt;="&amp;账期止),0))</f>
        <v/>
      </c>
      <c r="X278" s="27">
        <f>IF($A278="","",ROUND(N($G278)+$I278+$L278+$N278-$P278-$R278-$T278-$V278,3))</f>
        <v/>
      </c>
      <c r="Y278" s="26">
        <f>IF($A278="","",ROUND(N($H278)+$J278+$M278+$O278-$Q278-$S278-$U278-$W278,0))</f>
        <v/>
      </c>
      <c r="Z278" s="24">
        <f>IF($A278="","",IF(COUNTIFS(入库单!$G$4:$G$2503,$A278,入库单!$Y$4:$Y$2503,"待补价")+COUNTIFS(入库单!$G$4:$G$2503,$A278,入库单!$Y$4:$Y$2503,"暂估")&gt;0,"不可信","可信"))</f>
        <v/>
      </c>
      <c r="AA278" s="24">
        <f>IF($A278="","",IF($X278&lt;-0.001,"※账面负库存，查一下是不是漏记入库",IF(AND(ROUND($X278,3)=0,ABS($Y278)&gt;1),"※数量已经是 0，金额还挂着 "&amp;TEXT($Y278,"#,##0")&amp;" 先令",IF(AND($X278&gt;0,$Y278&lt;=0,$K278=0),"※有数量没金额（这个物料一直没填过进价）",IF($Z278="不可信","△成本含待补价/暂估，毛利仅供参考","")))))</f>
        <v/>
      </c>
    </row>
    <row r="279">
      <c r="A279" s="24">
        <f>IF(物料档案!$A278="","",物料档案!$A278)</f>
        <v/>
      </c>
      <c r="B279" s="24">
        <f>IF($A279="","",IFERROR(VLOOKUP($A279,物料档案!$A$4:$P$1203,3,0),""))</f>
        <v/>
      </c>
      <c r="C279" s="24">
        <f>IF($A279="","",IFERROR(VLOOKUP($A279,物料档案!$A$4:$P$1203,4,0),""))</f>
        <v/>
      </c>
      <c r="D279" s="24">
        <f>IF($A279="","",IFERROR(VLOOKUP($A279,物料档案!$A$4:$P$1203,5,0),""))</f>
        <v/>
      </c>
      <c r="E279" s="24">
        <f>IF($A279="","",IFERROR(VLOOKUP($A279,物料档案!$A$4:$P$1203,2,0),""))</f>
        <v/>
      </c>
      <c r="F279" s="24">
        <f>IF($A279="","",IFERROR(VLOOKUP($A279,物料档案!$A$4:$P$1203,6,0),""))</f>
        <v/>
      </c>
      <c r="G279" s="23" t="n"/>
      <c r="H279" s="32" t="n"/>
      <c r="I279" s="27">
        <f>IF($A279="","",SUMIFS(入库单!$K$4:$K$2503,入库单!$G$4:$G$2503,$A279,入库单!$X$4:$X$2503,"采购入库",入库单!$Z$4:$Z$2503,"正常",入库单!$C$4:$C$2503,"&gt;="&amp;账期起,入库单!$C$4:$C$2503,"&lt;="&amp;账期止))</f>
        <v/>
      </c>
      <c r="J279" s="26">
        <f>IF($A279="","",SUMIFS(入库单!$V$4:$V$2503,入库单!$G$4:$G$2503,$A279,入库单!$X$4:$X$2503,"采购入库",入库单!$Z$4:$Z$2503,"正常",入库单!$C$4:$C$2503,"&gt;="&amp;账期起,入库单!$C$4:$C$2503,"&lt;="&amp;账期止))</f>
        <v/>
      </c>
      <c r="K279" s="26">
        <f>IF($A279="","",IFERROR(ROUND((N($H279)+N($J279))/(N($G279)+N($I279)),2),0))</f>
        <v/>
      </c>
      <c r="L279" s="27">
        <f>IF($A279="","",SUMIFS(入库单!$K$4:$K$2503,入库单!$G$4:$G$2503,$A279,入库单!$X$4:$X$2503,"盘盈",入库单!$Z$4:$Z$2503,"正常",入库单!$C$4:$C$2503,"&gt;="&amp;账期起,入库单!$C$4:$C$2503,"&lt;="&amp;账期止))</f>
        <v/>
      </c>
      <c r="M279" s="26">
        <f>IF($A279="","",ROUND($L279*$K279,0))</f>
        <v/>
      </c>
      <c r="N279" s="27">
        <f>IF($A279="","",SUMIFS(入库单!$K$4:$K$2503,入库单!$G$4:$G$2503,$A279,入库单!$X$4:$X$2503,"矿区退库",入库单!$Z$4:$Z$2503,"正常",入库单!$C$4:$C$2503,"&gt;="&amp;账期起,入库单!$C$4:$C$2503,"&lt;="&amp;账期止))</f>
        <v/>
      </c>
      <c r="O279" s="26">
        <f>IF($A279="","",ROUND($N279*$K279,0))</f>
        <v/>
      </c>
      <c r="P279" s="27">
        <f>IF($A279="","",SUMIFS(出库单!$J$4:$J$4003,出库单!$D$4:$D$4003,$A279,出库单!$K$4:$K$4003,"自用消耗",出库单!$U$4:$U$4003,"正常",出库单!$C$4:$C$4003,"&gt;="&amp;账期起,出库单!$C$4:$C$4003,"&lt;="&amp;账期止))</f>
        <v/>
      </c>
      <c r="Q279" s="26">
        <f>IF($A279="","",ROUND(SUMIFS(出库单!$S$4:$S$4003,出库单!$D$4:$D$4003,$A279,出库单!$K$4:$K$4003,"自用消耗",出库单!$U$4:$U$4003,"正常",出库单!$C$4:$C$4003,"&gt;="&amp;账期起,出库单!$C$4:$C$4003,"&lt;="&amp;账期止),0))</f>
        <v/>
      </c>
      <c r="R279" s="27">
        <f>IF($A279="","",SUMIFS(出库单!$J$4:$J$4003,出库单!$D$4:$D$4003,$A279,出库单!$K$4:$K$4003,"对外销售",出库单!$U$4:$U$4003,"正常",出库单!$C$4:$C$4003,"&gt;="&amp;账期起,出库单!$C$4:$C$4003,"&lt;="&amp;账期止))</f>
        <v/>
      </c>
      <c r="S279" s="26">
        <f>IF($A279="","",ROUND(SUMIFS(出库单!$S$4:$S$4003,出库单!$D$4:$D$4003,$A279,出库单!$K$4:$K$4003,"对外销售",出库单!$U$4:$U$4003,"正常",出库单!$C$4:$C$4003,"&gt;="&amp;账期起,出库单!$C$4:$C$4003,"&lt;="&amp;账期止),0))</f>
        <v/>
      </c>
      <c r="T279" s="27">
        <f>IF($A279="","",SUMIFS(出库单!$J$4:$J$4003,出库单!$D$4:$D$4003,$A279,出库单!$K$4:$K$4003,"盘亏",出库单!$U$4:$U$4003,"正常",出库单!$C$4:$C$4003,"&gt;="&amp;账期起,出库单!$C$4:$C$4003,"&lt;="&amp;账期止))</f>
        <v/>
      </c>
      <c r="U279" s="26">
        <f>IF($A279="","",ROUND(SUMIFS(出库单!$S$4:$S$4003,出库单!$D$4:$D$4003,$A279,出库单!$K$4:$K$4003,"盘亏",出库单!$U$4:$U$4003,"正常",出库单!$C$4:$C$4003,"&gt;="&amp;账期起,出库单!$C$4:$C$4003,"&lt;="&amp;账期止),0))</f>
        <v/>
      </c>
      <c r="V279" s="27">
        <f>IF($A279="","",SUMIFS(出库单!$J$4:$J$4003,出库单!$D$4:$D$4003,$A279,出库单!$K$4:$K$4003,"退货给供应商",出库单!$U$4:$U$4003,"正常",出库单!$C$4:$C$4003,"&gt;="&amp;账期起,出库单!$C$4:$C$4003,"&lt;="&amp;账期止))</f>
        <v/>
      </c>
      <c r="W279" s="26">
        <f>IF($A279="","",ROUND(SUMIFS(出库单!$S$4:$S$4003,出库单!$D$4:$D$4003,$A279,出库单!$K$4:$K$4003,"退货给供应商",出库单!$U$4:$U$4003,"正常",出库单!$C$4:$C$4003,"&gt;="&amp;账期起,出库单!$C$4:$C$4003,"&lt;="&amp;账期止),0))</f>
        <v/>
      </c>
      <c r="X279" s="27">
        <f>IF($A279="","",ROUND(N($G279)+$I279+$L279+$N279-$P279-$R279-$T279-$V279,3))</f>
        <v/>
      </c>
      <c r="Y279" s="26">
        <f>IF($A279="","",ROUND(N($H279)+$J279+$M279+$O279-$Q279-$S279-$U279-$W279,0))</f>
        <v/>
      </c>
      <c r="Z279" s="24">
        <f>IF($A279="","",IF(COUNTIFS(入库单!$G$4:$G$2503,$A279,入库单!$Y$4:$Y$2503,"待补价")+COUNTIFS(入库单!$G$4:$G$2503,$A279,入库单!$Y$4:$Y$2503,"暂估")&gt;0,"不可信","可信"))</f>
        <v/>
      </c>
      <c r="AA279" s="24">
        <f>IF($A279="","",IF($X279&lt;-0.001,"※账面负库存，查一下是不是漏记入库",IF(AND(ROUND($X279,3)=0,ABS($Y279)&gt;1),"※数量已经是 0，金额还挂着 "&amp;TEXT($Y279,"#,##0")&amp;" 先令",IF(AND($X279&gt;0,$Y279&lt;=0,$K279=0),"※有数量没金额（这个物料一直没填过进价）",IF($Z279="不可信","△成本含待补价/暂估，毛利仅供参考","")))))</f>
        <v/>
      </c>
    </row>
    <row r="280">
      <c r="A280" s="24">
        <f>IF(物料档案!$A279="","",物料档案!$A279)</f>
        <v/>
      </c>
      <c r="B280" s="24">
        <f>IF($A280="","",IFERROR(VLOOKUP($A280,物料档案!$A$4:$P$1203,3,0),""))</f>
        <v/>
      </c>
      <c r="C280" s="24">
        <f>IF($A280="","",IFERROR(VLOOKUP($A280,物料档案!$A$4:$P$1203,4,0),""))</f>
        <v/>
      </c>
      <c r="D280" s="24">
        <f>IF($A280="","",IFERROR(VLOOKUP($A280,物料档案!$A$4:$P$1203,5,0),""))</f>
        <v/>
      </c>
      <c r="E280" s="24">
        <f>IF($A280="","",IFERROR(VLOOKUP($A280,物料档案!$A$4:$P$1203,2,0),""))</f>
        <v/>
      </c>
      <c r="F280" s="24">
        <f>IF($A280="","",IFERROR(VLOOKUP($A280,物料档案!$A$4:$P$1203,6,0),""))</f>
        <v/>
      </c>
      <c r="G280" s="23" t="n"/>
      <c r="H280" s="32" t="n"/>
      <c r="I280" s="27">
        <f>IF($A280="","",SUMIFS(入库单!$K$4:$K$2503,入库单!$G$4:$G$2503,$A280,入库单!$X$4:$X$2503,"采购入库",入库单!$Z$4:$Z$2503,"正常",入库单!$C$4:$C$2503,"&gt;="&amp;账期起,入库单!$C$4:$C$2503,"&lt;="&amp;账期止))</f>
        <v/>
      </c>
      <c r="J280" s="26">
        <f>IF($A280="","",SUMIFS(入库单!$V$4:$V$2503,入库单!$G$4:$G$2503,$A280,入库单!$X$4:$X$2503,"采购入库",入库单!$Z$4:$Z$2503,"正常",入库单!$C$4:$C$2503,"&gt;="&amp;账期起,入库单!$C$4:$C$2503,"&lt;="&amp;账期止))</f>
        <v/>
      </c>
      <c r="K280" s="26">
        <f>IF($A280="","",IFERROR(ROUND((N($H280)+N($J280))/(N($G280)+N($I280)),2),0))</f>
        <v/>
      </c>
      <c r="L280" s="27">
        <f>IF($A280="","",SUMIFS(入库单!$K$4:$K$2503,入库单!$G$4:$G$2503,$A280,入库单!$X$4:$X$2503,"盘盈",入库单!$Z$4:$Z$2503,"正常",入库单!$C$4:$C$2503,"&gt;="&amp;账期起,入库单!$C$4:$C$2503,"&lt;="&amp;账期止))</f>
        <v/>
      </c>
      <c r="M280" s="26">
        <f>IF($A280="","",ROUND($L280*$K280,0))</f>
        <v/>
      </c>
      <c r="N280" s="27">
        <f>IF($A280="","",SUMIFS(入库单!$K$4:$K$2503,入库单!$G$4:$G$2503,$A280,入库单!$X$4:$X$2503,"矿区退库",入库单!$Z$4:$Z$2503,"正常",入库单!$C$4:$C$2503,"&gt;="&amp;账期起,入库单!$C$4:$C$2503,"&lt;="&amp;账期止))</f>
        <v/>
      </c>
      <c r="O280" s="26">
        <f>IF($A280="","",ROUND($N280*$K280,0))</f>
        <v/>
      </c>
      <c r="P280" s="27">
        <f>IF($A280="","",SUMIFS(出库单!$J$4:$J$4003,出库单!$D$4:$D$4003,$A280,出库单!$K$4:$K$4003,"自用消耗",出库单!$U$4:$U$4003,"正常",出库单!$C$4:$C$4003,"&gt;="&amp;账期起,出库单!$C$4:$C$4003,"&lt;="&amp;账期止))</f>
        <v/>
      </c>
      <c r="Q280" s="26">
        <f>IF($A280="","",ROUND(SUMIFS(出库单!$S$4:$S$4003,出库单!$D$4:$D$4003,$A280,出库单!$K$4:$K$4003,"自用消耗",出库单!$U$4:$U$4003,"正常",出库单!$C$4:$C$4003,"&gt;="&amp;账期起,出库单!$C$4:$C$4003,"&lt;="&amp;账期止),0))</f>
        <v/>
      </c>
      <c r="R280" s="27">
        <f>IF($A280="","",SUMIFS(出库单!$J$4:$J$4003,出库单!$D$4:$D$4003,$A280,出库单!$K$4:$K$4003,"对外销售",出库单!$U$4:$U$4003,"正常",出库单!$C$4:$C$4003,"&gt;="&amp;账期起,出库单!$C$4:$C$4003,"&lt;="&amp;账期止))</f>
        <v/>
      </c>
      <c r="S280" s="26">
        <f>IF($A280="","",ROUND(SUMIFS(出库单!$S$4:$S$4003,出库单!$D$4:$D$4003,$A280,出库单!$K$4:$K$4003,"对外销售",出库单!$U$4:$U$4003,"正常",出库单!$C$4:$C$4003,"&gt;="&amp;账期起,出库单!$C$4:$C$4003,"&lt;="&amp;账期止),0))</f>
        <v/>
      </c>
      <c r="T280" s="27">
        <f>IF($A280="","",SUMIFS(出库单!$J$4:$J$4003,出库单!$D$4:$D$4003,$A280,出库单!$K$4:$K$4003,"盘亏",出库单!$U$4:$U$4003,"正常",出库单!$C$4:$C$4003,"&gt;="&amp;账期起,出库单!$C$4:$C$4003,"&lt;="&amp;账期止))</f>
        <v/>
      </c>
      <c r="U280" s="26">
        <f>IF($A280="","",ROUND(SUMIFS(出库单!$S$4:$S$4003,出库单!$D$4:$D$4003,$A280,出库单!$K$4:$K$4003,"盘亏",出库单!$U$4:$U$4003,"正常",出库单!$C$4:$C$4003,"&gt;="&amp;账期起,出库单!$C$4:$C$4003,"&lt;="&amp;账期止),0))</f>
        <v/>
      </c>
      <c r="V280" s="27">
        <f>IF($A280="","",SUMIFS(出库单!$J$4:$J$4003,出库单!$D$4:$D$4003,$A280,出库单!$K$4:$K$4003,"退货给供应商",出库单!$U$4:$U$4003,"正常",出库单!$C$4:$C$4003,"&gt;="&amp;账期起,出库单!$C$4:$C$4003,"&lt;="&amp;账期止))</f>
        <v/>
      </c>
      <c r="W280" s="26">
        <f>IF($A280="","",ROUND(SUMIFS(出库单!$S$4:$S$4003,出库单!$D$4:$D$4003,$A280,出库单!$K$4:$K$4003,"退货给供应商",出库单!$U$4:$U$4003,"正常",出库单!$C$4:$C$4003,"&gt;="&amp;账期起,出库单!$C$4:$C$4003,"&lt;="&amp;账期止),0))</f>
        <v/>
      </c>
      <c r="X280" s="27">
        <f>IF($A280="","",ROUND(N($G280)+$I280+$L280+$N280-$P280-$R280-$T280-$V280,3))</f>
        <v/>
      </c>
      <c r="Y280" s="26">
        <f>IF($A280="","",ROUND(N($H280)+$J280+$M280+$O280-$Q280-$S280-$U280-$W280,0))</f>
        <v/>
      </c>
      <c r="Z280" s="24">
        <f>IF($A280="","",IF(COUNTIFS(入库单!$G$4:$G$2503,$A280,入库单!$Y$4:$Y$2503,"待补价")+COUNTIFS(入库单!$G$4:$G$2503,$A280,入库单!$Y$4:$Y$2503,"暂估")&gt;0,"不可信","可信"))</f>
        <v/>
      </c>
      <c r="AA280" s="24">
        <f>IF($A280="","",IF($X280&lt;-0.001,"※账面负库存，查一下是不是漏记入库",IF(AND(ROUND($X280,3)=0,ABS($Y280)&gt;1),"※数量已经是 0，金额还挂着 "&amp;TEXT($Y280,"#,##0")&amp;" 先令",IF(AND($X280&gt;0,$Y280&lt;=0,$K280=0),"※有数量没金额（这个物料一直没填过进价）",IF($Z280="不可信","△成本含待补价/暂估，毛利仅供参考","")))))</f>
        <v/>
      </c>
    </row>
    <row r="281">
      <c r="A281" s="24">
        <f>IF(物料档案!$A280="","",物料档案!$A280)</f>
        <v/>
      </c>
      <c r="B281" s="24">
        <f>IF($A281="","",IFERROR(VLOOKUP($A281,物料档案!$A$4:$P$1203,3,0),""))</f>
        <v/>
      </c>
      <c r="C281" s="24">
        <f>IF($A281="","",IFERROR(VLOOKUP($A281,物料档案!$A$4:$P$1203,4,0),""))</f>
        <v/>
      </c>
      <c r="D281" s="24">
        <f>IF($A281="","",IFERROR(VLOOKUP($A281,物料档案!$A$4:$P$1203,5,0),""))</f>
        <v/>
      </c>
      <c r="E281" s="24">
        <f>IF($A281="","",IFERROR(VLOOKUP($A281,物料档案!$A$4:$P$1203,2,0),""))</f>
        <v/>
      </c>
      <c r="F281" s="24">
        <f>IF($A281="","",IFERROR(VLOOKUP($A281,物料档案!$A$4:$P$1203,6,0),""))</f>
        <v/>
      </c>
      <c r="G281" s="23" t="n"/>
      <c r="H281" s="32" t="n"/>
      <c r="I281" s="27">
        <f>IF($A281="","",SUMIFS(入库单!$K$4:$K$2503,入库单!$G$4:$G$2503,$A281,入库单!$X$4:$X$2503,"采购入库",入库单!$Z$4:$Z$2503,"正常",入库单!$C$4:$C$2503,"&gt;="&amp;账期起,入库单!$C$4:$C$2503,"&lt;="&amp;账期止))</f>
        <v/>
      </c>
      <c r="J281" s="26">
        <f>IF($A281="","",SUMIFS(入库单!$V$4:$V$2503,入库单!$G$4:$G$2503,$A281,入库单!$X$4:$X$2503,"采购入库",入库单!$Z$4:$Z$2503,"正常",入库单!$C$4:$C$2503,"&gt;="&amp;账期起,入库单!$C$4:$C$2503,"&lt;="&amp;账期止))</f>
        <v/>
      </c>
      <c r="K281" s="26">
        <f>IF($A281="","",IFERROR(ROUND((N($H281)+N($J281))/(N($G281)+N($I281)),2),0))</f>
        <v/>
      </c>
      <c r="L281" s="27">
        <f>IF($A281="","",SUMIFS(入库单!$K$4:$K$2503,入库单!$G$4:$G$2503,$A281,入库单!$X$4:$X$2503,"盘盈",入库单!$Z$4:$Z$2503,"正常",入库单!$C$4:$C$2503,"&gt;="&amp;账期起,入库单!$C$4:$C$2503,"&lt;="&amp;账期止))</f>
        <v/>
      </c>
      <c r="M281" s="26">
        <f>IF($A281="","",ROUND($L281*$K281,0))</f>
        <v/>
      </c>
      <c r="N281" s="27">
        <f>IF($A281="","",SUMIFS(入库单!$K$4:$K$2503,入库单!$G$4:$G$2503,$A281,入库单!$X$4:$X$2503,"矿区退库",入库单!$Z$4:$Z$2503,"正常",入库单!$C$4:$C$2503,"&gt;="&amp;账期起,入库单!$C$4:$C$2503,"&lt;="&amp;账期止))</f>
        <v/>
      </c>
      <c r="O281" s="26">
        <f>IF($A281="","",ROUND($N281*$K281,0))</f>
        <v/>
      </c>
      <c r="P281" s="27">
        <f>IF($A281="","",SUMIFS(出库单!$J$4:$J$4003,出库单!$D$4:$D$4003,$A281,出库单!$K$4:$K$4003,"自用消耗",出库单!$U$4:$U$4003,"正常",出库单!$C$4:$C$4003,"&gt;="&amp;账期起,出库单!$C$4:$C$4003,"&lt;="&amp;账期止))</f>
        <v/>
      </c>
      <c r="Q281" s="26">
        <f>IF($A281="","",ROUND(SUMIFS(出库单!$S$4:$S$4003,出库单!$D$4:$D$4003,$A281,出库单!$K$4:$K$4003,"自用消耗",出库单!$U$4:$U$4003,"正常",出库单!$C$4:$C$4003,"&gt;="&amp;账期起,出库单!$C$4:$C$4003,"&lt;="&amp;账期止),0))</f>
        <v/>
      </c>
      <c r="R281" s="27">
        <f>IF($A281="","",SUMIFS(出库单!$J$4:$J$4003,出库单!$D$4:$D$4003,$A281,出库单!$K$4:$K$4003,"对外销售",出库单!$U$4:$U$4003,"正常",出库单!$C$4:$C$4003,"&gt;="&amp;账期起,出库单!$C$4:$C$4003,"&lt;="&amp;账期止))</f>
        <v/>
      </c>
      <c r="S281" s="26">
        <f>IF($A281="","",ROUND(SUMIFS(出库单!$S$4:$S$4003,出库单!$D$4:$D$4003,$A281,出库单!$K$4:$K$4003,"对外销售",出库单!$U$4:$U$4003,"正常",出库单!$C$4:$C$4003,"&gt;="&amp;账期起,出库单!$C$4:$C$4003,"&lt;="&amp;账期止),0))</f>
        <v/>
      </c>
      <c r="T281" s="27">
        <f>IF($A281="","",SUMIFS(出库单!$J$4:$J$4003,出库单!$D$4:$D$4003,$A281,出库单!$K$4:$K$4003,"盘亏",出库单!$U$4:$U$4003,"正常",出库单!$C$4:$C$4003,"&gt;="&amp;账期起,出库单!$C$4:$C$4003,"&lt;="&amp;账期止))</f>
        <v/>
      </c>
      <c r="U281" s="26">
        <f>IF($A281="","",ROUND(SUMIFS(出库单!$S$4:$S$4003,出库单!$D$4:$D$4003,$A281,出库单!$K$4:$K$4003,"盘亏",出库单!$U$4:$U$4003,"正常",出库单!$C$4:$C$4003,"&gt;="&amp;账期起,出库单!$C$4:$C$4003,"&lt;="&amp;账期止),0))</f>
        <v/>
      </c>
      <c r="V281" s="27">
        <f>IF($A281="","",SUMIFS(出库单!$J$4:$J$4003,出库单!$D$4:$D$4003,$A281,出库单!$K$4:$K$4003,"退货给供应商",出库单!$U$4:$U$4003,"正常",出库单!$C$4:$C$4003,"&gt;="&amp;账期起,出库单!$C$4:$C$4003,"&lt;="&amp;账期止))</f>
        <v/>
      </c>
      <c r="W281" s="26">
        <f>IF($A281="","",ROUND(SUMIFS(出库单!$S$4:$S$4003,出库单!$D$4:$D$4003,$A281,出库单!$K$4:$K$4003,"退货给供应商",出库单!$U$4:$U$4003,"正常",出库单!$C$4:$C$4003,"&gt;="&amp;账期起,出库单!$C$4:$C$4003,"&lt;="&amp;账期止),0))</f>
        <v/>
      </c>
      <c r="X281" s="27">
        <f>IF($A281="","",ROUND(N($G281)+$I281+$L281+$N281-$P281-$R281-$T281-$V281,3))</f>
        <v/>
      </c>
      <c r="Y281" s="26">
        <f>IF($A281="","",ROUND(N($H281)+$J281+$M281+$O281-$Q281-$S281-$U281-$W281,0))</f>
        <v/>
      </c>
      <c r="Z281" s="24">
        <f>IF($A281="","",IF(COUNTIFS(入库单!$G$4:$G$2503,$A281,入库单!$Y$4:$Y$2503,"待补价")+COUNTIFS(入库单!$G$4:$G$2503,$A281,入库单!$Y$4:$Y$2503,"暂估")&gt;0,"不可信","可信"))</f>
        <v/>
      </c>
      <c r="AA281" s="24">
        <f>IF($A281="","",IF($X281&lt;-0.001,"※账面负库存，查一下是不是漏记入库",IF(AND(ROUND($X281,3)=0,ABS($Y281)&gt;1),"※数量已经是 0，金额还挂着 "&amp;TEXT($Y281,"#,##0")&amp;" 先令",IF(AND($X281&gt;0,$Y281&lt;=0,$K281=0),"※有数量没金额（这个物料一直没填过进价）",IF($Z281="不可信","△成本含待补价/暂估，毛利仅供参考","")))))</f>
        <v/>
      </c>
    </row>
    <row r="282">
      <c r="A282" s="24">
        <f>IF(物料档案!$A281="","",物料档案!$A281)</f>
        <v/>
      </c>
      <c r="B282" s="24">
        <f>IF($A282="","",IFERROR(VLOOKUP($A282,物料档案!$A$4:$P$1203,3,0),""))</f>
        <v/>
      </c>
      <c r="C282" s="24">
        <f>IF($A282="","",IFERROR(VLOOKUP($A282,物料档案!$A$4:$P$1203,4,0),""))</f>
        <v/>
      </c>
      <c r="D282" s="24">
        <f>IF($A282="","",IFERROR(VLOOKUP($A282,物料档案!$A$4:$P$1203,5,0),""))</f>
        <v/>
      </c>
      <c r="E282" s="24">
        <f>IF($A282="","",IFERROR(VLOOKUP($A282,物料档案!$A$4:$P$1203,2,0),""))</f>
        <v/>
      </c>
      <c r="F282" s="24">
        <f>IF($A282="","",IFERROR(VLOOKUP($A282,物料档案!$A$4:$P$1203,6,0),""))</f>
        <v/>
      </c>
      <c r="G282" s="23" t="n"/>
      <c r="H282" s="32" t="n"/>
      <c r="I282" s="27">
        <f>IF($A282="","",SUMIFS(入库单!$K$4:$K$2503,入库单!$G$4:$G$2503,$A282,入库单!$X$4:$X$2503,"采购入库",入库单!$Z$4:$Z$2503,"正常",入库单!$C$4:$C$2503,"&gt;="&amp;账期起,入库单!$C$4:$C$2503,"&lt;="&amp;账期止))</f>
        <v/>
      </c>
      <c r="J282" s="26">
        <f>IF($A282="","",SUMIFS(入库单!$V$4:$V$2503,入库单!$G$4:$G$2503,$A282,入库单!$X$4:$X$2503,"采购入库",入库单!$Z$4:$Z$2503,"正常",入库单!$C$4:$C$2503,"&gt;="&amp;账期起,入库单!$C$4:$C$2503,"&lt;="&amp;账期止))</f>
        <v/>
      </c>
      <c r="K282" s="26">
        <f>IF($A282="","",IFERROR(ROUND((N($H282)+N($J282))/(N($G282)+N($I282)),2),0))</f>
        <v/>
      </c>
      <c r="L282" s="27">
        <f>IF($A282="","",SUMIFS(入库单!$K$4:$K$2503,入库单!$G$4:$G$2503,$A282,入库单!$X$4:$X$2503,"盘盈",入库单!$Z$4:$Z$2503,"正常",入库单!$C$4:$C$2503,"&gt;="&amp;账期起,入库单!$C$4:$C$2503,"&lt;="&amp;账期止))</f>
        <v/>
      </c>
      <c r="M282" s="26">
        <f>IF($A282="","",ROUND($L282*$K282,0))</f>
        <v/>
      </c>
      <c r="N282" s="27">
        <f>IF($A282="","",SUMIFS(入库单!$K$4:$K$2503,入库单!$G$4:$G$2503,$A282,入库单!$X$4:$X$2503,"矿区退库",入库单!$Z$4:$Z$2503,"正常",入库单!$C$4:$C$2503,"&gt;="&amp;账期起,入库单!$C$4:$C$2503,"&lt;="&amp;账期止))</f>
        <v/>
      </c>
      <c r="O282" s="26">
        <f>IF($A282="","",ROUND($N282*$K282,0))</f>
        <v/>
      </c>
      <c r="P282" s="27">
        <f>IF($A282="","",SUMIFS(出库单!$J$4:$J$4003,出库单!$D$4:$D$4003,$A282,出库单!$K$4:$K$4003,"自用消耗",出库单!$U$4:$U$4003,"正常",出库单!$C$4:$C$4003,"&gt;="&amp;账期起,出库单!$C$4:$C$4003,"&lt;="&amp;账期止))</f>
        <v/>
      </c>
      <c r="Q282" s="26">
        <f>IF($A282="","",ROUND(SUMIFS(出库单!$S$4:$S$4003,出库单!$D$4:$D$4003,$A282,出库单!$K$4:$K$4003,"自用消耗",出库单!$U$4:$U$4003,"正常",出库单!$C$4:$C$4003,"&gt;="&amp;账期起,出库单!$C$4:$C$4003,"&lt;="&amp;账期止),0))</f>
        <v/>
      </c>
      <c r="R282" s="27">
        <f>IF($A282="","",SUMIFS(出库单!$J$4:$J$4003,出库单!$D$4:$D$4003,$A282,出库单!$K$4:$K$4003,"对外销售",出库单!$U$4:$U$4003,"正常",出库单!$C$4:$C$4003,"&gt;="&amp;账期起,出库单!$C$4:$C$4003,"&lt;="&amp;账期止))</f>
        <v/>
      </c>
      <c r="S282" s="26">
        <f>IF($A282="","",ROUND(SUMIFS(出库单!$S$4:$S$4003,出库单!$D$4:$D$4003,$A282,出库单!$K$4:$K$4003,"对外销售",出库单!$U$4:$U$4003,"正常",出库单!$C$4:$C$4003,"&gt;="&amp;账期起,出库单!$C$4:$C$4003,"&lt;="&amp;账期止),0))</f>
        <v/>
      </c>
      <c r="T282" s="27">
        <f>IF($A282="","",SUMIFS(出库单!$J$4:$J$4003,出库单!$D$4:$D$4003,$A282,出库单!$K$4:$K$4003,"盘亏",出库单!$U$4:$U$4003,"正常",出库单!$C$4:$C$4003,"&gt;="&amp;账期起,出库单!$C$4:$C$4003,"&lt;="&amp;账期止))</f>
        <v/>
      </c>
      <c r="U282" s="26">
        <f>IF($A282="","",ROUND(SUMIFS(出库单!$S$4:$S$4003,出库单!$D$4:$D$4003,$A282,出库单!$K$4:$K$4003,"盘亏",出库单!$U$4:$U$4003,"正常",出库单!$C$4:$C$4003,"&gt;="&amp;账期起,出库单!$C$4:$C$4003,"&lt;="&amp;账期止),0))</f>
        <v/>
      </c>
      <c r="V282" s="27">
        <f>IF($A282="","",SUMIFS(出库单!$J$4:$J$4003,出库单!$D$4:$D$4003,$A282,出库单!$K$4:$K$4003,"退货给供应商",出库单!$U$4:$U$4003,"正常",出库单!$C$4:$C$4003,"&gt;="&amp;账期起,出库单!$C$4:$C$4003,"&lt;="&amp;账期止))</f>
        <v/>
      </c>
      <c r="W282" s="26">
        <f>IF($A282="","",ROUND(SUMIFS(出库单!$S$4:$S$4003,出库单!$D$4:$D$4003,$A282,出库单!$K$4:$K$4003,"退货给供应商",出库单!$U$4:$U$4003,"正常",出库单!$C$4:$C$4003,"&gt;="&amp;账期起,出库单!$C$4:$C$4003,"&lt;="&amp;账期止),0))</f>
        <v/>
      </c>
      <c r="X282" s="27">
        <f>IF($A282="","",ROUND(N($G282)+$I282+$L282+$N282-$P282-$R282-$T282-$V282,3))</f>
        <v/>
      </c>
      <c r="Y282" s="26">
        <f>IF($A282="","",ROUND(N($H282)+$J282+$M282+$O282-$Q282-$S282-$U282-$W282,0))</f>
        <v/>
      </c>
      <c r="Z282" s="24">
        <f>IF($A282="","",IF(COUNTIFS(入库单!$G$4:$G$2503,$A282,入库单!$Y$4:$Y$2503,"待补价")+COUNTIFS(入库单!$G$4:$G$2503,$A282,入库单!$Y$4:$Y$2503,"暂估")&gt;0,"不可信","可信"))</f>
        <v/>
      </c>
      <c r="AA282" s="24">
        <f>IF($A282="","",IF($X282&lt;-0.001,"※账面负库存，查一下是不是漏记入库",IF(AND(ROUND($X282,3)=0,ABS($Y282)&gt;1),"※数量已经是 0，金额还挂着 "&amp;TEXT($Y282,"#,##0")&amp;" 先令",IF(AND($X282&gt;0,$Y282&lt;=0,$K282=0),"※有数量没金额（这个物料一直没填过进价）",IF($Z282="不可信","△成本含待补价/暂估，毛利仅供参考","")))))</f>
        <v/>
      </c>
    </row>
    <row r="283">
      <c r="A283" s="24">
        <f>IF(物料档案!$A282="","",物料档案!$A282)</f>
        <v/>
      </c>
      <c r="B283" s="24">
        <f>IF($A283="","",IFERROR(VLOOKUP($A283,物料档案!$A$4:$P$1203,3,0),""))</f>
        <v/>
      </c>
      <c r="C283" s="24">
        <f>IF($A283="","",IFERROR(VLOOKUP($A283,物料档案!$A$4:$P$1203,4,0),""))</f>
        <v/>
      </c>
      <c r="D283" s="24">
        <f>IF($A283="","",IFERROR(VLOOKUP($A283,物料档案!$A$4:$P$1203,5,0),""))</f>
        <v/>
      </c>
      <c r="E283" s="24">
        <f>IF($A283="","",IFERROR(VLOOKUP($A283,物料档案!$A$4:$P$1203,2,0),""))</f>
        <v/>
      </c>
      <c r="F283" s="24">
        <f>IF($A283="","",IFERROR(VLOOKUP($A283,物料档案!$A$4:$P$1203,6,0),""))</f>
        <v/>
      </c>
      <c r="G283" s="23" t="n"/>
      <c r="H283" s="32" t="n"/>
      <c r="I283" s="27">
        <f>IF($A283="","",SUMIFS(入库单!$K$4:$K$2503,入库单!$G$4:$G$2503,$A283,入库单!$X$4:$X$2503,"采购入库",入库单!$Z$4:$Z$2503,"正常",入库单!$C$4:$C$2503,"&gt;="&amp;账期起,入库单!$C$4:$C$2503,"&lt;="&amp;账期止))</f>
        <v/>
      </c>
      <c r="J283" s="26">
        <f>IF($A283="","",SUMIFS(入库单!$V$4:$V$2503,入库单!$G$4:$G$2503,$A283,入库单!$X$4:$X$2503,"采购入库",入库单!$Z$4:$Z$2503,"正常",入库单!$C$4:$C$2503,"&gt;="&amp;账期起,入库单!$C$4:$C$2503,"&lt;="&amp;账期止))</f>
        <v/>
      </c>
      <c r="K283" s="26">
        <f>IF($A283="","",IFERROR(ROUND((N($H283)+N($J283))/(N($G283)+N($I283)),2),0))</f>
        <v/>
      </c>
      <c r="L283" s="27">
        <f>IF($A283="","",SUMIFS(入库单!$K$4:$K$2503,入库单!$G$4:$G$2503,$A283,入库单!$X$4:$X$2503,"盘盈",入库单!$Z$4:$Z$2503,"正常",入库单!$C$4:$C$2503,"&gt;="&amp;账期起,入库单!$C$4:$C$2503,"&lt;="&amp;账期止))</f>
        <v/>
      </c>
      <c r="M283" s="26">
        <f>IF($A283="","",ROUND($L283*$K283,0))</f>
        <v/>
      </c>
      <c r="N283" s="27">
        <f>IF($A283="","",SUMIFS(入库单!$K$4:$K$2503,入库单!$G$4:$G$2503,$A283,入库单!$X$4:$X$2503,"矿区退库",入库单!$Z$4:$Z$2503,"正常",入库单!$C$4:$C$2503,"&gt;="&amp;账期起,入库单!$C$4:$C$2503,"&lt;="&amp;账期止))</f>
        <v/>
      </c>
      <c r="O283" s="26">
        <f>IF($A283="","",ROUND($N283*$K283,0))</f>
        <v/>
      </c>
      <c r="P283" s="27">
        <f>IF($A283="","",SUMIFS(出库单!$J$4:$J$4003,出库单!$D$4:$D$4003,$A283,出库单!$K$4:$K$4003,"自用消耗",出库单!$U$4:$U$4003,"正常",出库单!$C$4:$C$4003,"&gt;="&amp;账期起,出库单!$C$4:$C$4003,"&lt;="&amp;账期止))</f>
        <v/>
      </c>
      <c r="Q283" s="26">
        <f>IF($A283="","",ROUND(SUMIFS(出库单!$S$4:$S$4003,出库单!$D$4:$D$4003,$A283,出库单!$K$4:$K$4003,"自用消耗",出库单!$U$4:$U$4003,"正常",出库单!$C$4:$C$4003,"&gt;="&amp;账期起,出库单!$C$4:$C$4003,"&lt;="&amp;账期止),0))</f>
        <v/>
      </c>
      <c r="R283" s="27">
        <f>IF($A283="","",SUMIFS(出库单!$J$4:$J$4003,出库单!$D$4:$D$4003,$A283,出库单!$K$4:$K$4003,"对外销售",出库单!$U$4:$U$4003,"正常",出库单!$C$4:$C$4003,"&gt;="&amp;账期起,出库单!$C$4:$C$4003,"&lt;="&amp;账期止))</f>
        <v/>
      </c>
      <c r="S283" s="26">
        <f>IF($A283="","",ROUND(SUMIFS(出库单!$S$4:$S$4003,出库单!$D$4:$D$4003,$A283,出库单!$K$4:$K$4003,"对外销售",出库单!$U$4:$U$4003,"正常",出库单!$C$4:$C$4003,"&gt;="&amp;账期起,出库单!$C$4:$C$4003,"&lt;="&amp;账期止),0))</f>
        <v/>
      </c>
      <c r="T283" s="27">
        <f>IF($A283="","",SUMIFS(出库单!$J$4:$J$4003,出库单!$D$4:$D$4003,$A283,出库单!$K$4:$K$4003,"盘亏",出库单!$U$4:$U$4003,"正常",出库单!$C$4:$C$4003,"&gt;="&amp;账期起,出库单!$C$4:$C$4003,"&lt;="&amp;账期止))</f>
        <v/>
      </c>
      <c r="U283" s="26">
        <f>IF($A283="","",ROUND(SUMIFS(出库单!$S$4:$S$4003,出库单!$D$4:$D$4003,$A283,出库单!$K$4:$K$4003,"盘亏",出库单!$U$4:$U$4003,"正常",出库单!$C$4:$C$4003,"&gt;="&amp;账期起,出库单!$C$4:$C$4003,"&lt;="&amp;账期止),0))</f>
        <v/>
      </c>
      <c r="V283" s="27">
        <f>IF($A283="","",SUMIFS(出库单!$J$4:$J$4003,出库单!$D$4:$D$4003,$A283,出库单!$K$4:$K$4003,"退货给供应商",出库单!$U$4:$U$4003,"正常",出库单!$C$4:$C$4003,"&gt;="&amp;账期起,出库单!$C$4:$C$4003,"&lt;="&amp;账期止))</f>
        <v/>
      </c>
      <c r="W283" s="26">
        <f>IF($A283="","",ROUND(SUMIFS(出库单!$S$4:$S$4003,出库单!$D$4:$D$4003,$A283,出库单!$K$4:$K$4003,"退货给供应商",出库单!$U$4:$U$4003,"正常",出库单!$C$4:$C$4003,"&gt;="&amp;账期起,出库单!$C$4:$C$4003,"&lt;="&amp;账期止),0))</f>
        <v/>
      </c>
      <c r="X283" s="27">
        <f>IF($A283="","",ROUND(N($G283)+$I283+$L283+$N283-$P283-$R283-$T283-$V283,3))</f>
        <v/>
      </c>
      <c r="Y283" s="26">
        <f>IF($A283="","",ROUND(N($H283)+$J283+$M283+$O283-$Q283-$S283-$U283-$W283,0))</f>
        <v/>
      </c>
      <c r="Z283" s="24">
        <f>IF($A283="","",IF(COUNTIFS(入库单!$G$4:$G$2503,$A283,入库单!$Y$4:$Y$2503,"待补价")+COUNTIFS(入库单!$G$4:$G$2503,$A283,入库单!$Y$4:$Y$2503,"暂估")&gt;0,"不可信","可信"))</f>
        <v/>
      </c>
      <c r="AA283" s="24">
        <f>IF($A283="","",IF($X283&lt;-0.001,"※账面负库存，查一下是不是漏记入库",IF(AND(ROUND($X283,3)=0,ABS($Y283)&gt;1),"※数量已经是 0，金额还挂着 "&amp;TEXT($Y283,"#,##0")&amp;" 先令",IF(AND($X283&gt;0,$Y283&lt;=0,$K283=0),"※有数量没金额（这个物料一直没填过进价）",IF($Z283="不可信","△成本含待补价/暂估，毛利仅供参考","")))))</f>
        <v/>
      </c>
    </row>
    <row r="284">
      <c r="A284" s="24">
        <f>IF(物料档案!$A283="","",物料档案!$A283)</f>
        <v/>
      </c>
      <c r="B284" s="24">
        <f>IF($A284="","",IFERROR(VLOOKUP($A284,物料档案!$A$4:$P$1203,3,0),""))</f>
        <v/>
      </c>
      <c r="C284" s="24">
        <f>IF($A284="","",IFERROR(VLOOKUP($A284,物料档案!$A$4:$P$1203,4,0),""))</f>
        <v/>
      </c>
      <c r="D284" s="24">
        <f>IF($A284="","",IFERROR(VLOOKUP($A284,物料档案!$A$4:$P$1203,5,0),""))</f>
        <v/>
      </c>
      <c r="E284" s="24">
        <f>IF($A284="","",IFERROR(VLOOKUP($A284,物料档案!$A$4:$P$1203,2,0),""))</f>
        <v/>
      </c>
      <c r="F284" s="24">
        <f>IF($A284="","",IFERROR(VLOOKUP($A284,物料档案!$A$4:$P$1203,6,0),""))</f>
        <v/>
      </c>
      <c r="G284" s="23" t="n"/>
      <c r="H284" s="32" t="n"/>
      <c r="I284" s="27">
        <f>IF($A284="","",SUMIFS(入库单!$K$4:$K$2503,入库单!$G$4:$G$2503,$A284,入库单!$X$4:$X$2503,"采购入库",入库单!$Z$4:$Z$2503,"正常",入库单!$C$4:$C$2503,"&gt;="&amp;账期起,入库单!$C$4:$C$2503,"&lt;="&amp;账期止))</f>
        <v/>
      </c>
      <c r="J284" s="26">
        <f>IF($A284="","",SUMIFS(入库单!$V$4:$V$2503,入库单!$G$4:$G$2503,$A284,入库单!$X$4:$X$2503,"采购入库",入库单!$Z$4:$Z$2503,"正常",入库单!$C$4:$C$2503,"&gt;="&amp;账期起,入库单!$C$4:$C$2503,"&lt;="&amp;账期止))</f>
        <v/>
      </c>
      <c r="K284" s="26">
        <f>IF($A284="","",IFERROR(ROUND((N($H284)+N($J284))/(N($G284)+N($I284)),2),0))</f>
        <v/>
      </c>
      <c r="L284" s="27">
        <f>IF($A284="","",SUMIFS(入库单!$K$4:$K$2503,入库单!$G$4:$G$2503,$A284,入库单!$X$4:$X$2503,"盘盈",入库单!$Z$4:$Z$2503,"正常",入库单!$C$4:$C$2503,"&gt;="&amp;账期起,入库单!$C$4:$C$2503,"&lt;="&amp;账期止))</f>
        <v/>
      </c>
      <c r="M284" s="26">
        <f>IF($A284="","",ROUND($L284*$K284,0))</f>
        <v/>
      </c>
      <c r="N284" s="27">
        <f>IF($A284="","",SUMIFS(入库单!$K$4:$K$2503,入库单!$G$4:$G$2503,$A284,入库单!$X$4:$X$2503,"矿区退库",入库单!$Z$4:$Z$2503,"正常",入库单!$C$4:$C$2503,"&gt;="&amp;账期起,入库单!$C$4:$C$2503,"&lt;="&amp;账期止))</f>
        <v/>
      </c>
      <c r="O284" s="26">
        <f>IF($A284="","",ROUND($N284*$K284,0))</f>
        <v/>
      </c>
      <c r="P284" s="27">
        <f>IF($A284="","",SUMIFS(出库单!$J$4:$J$4003,出库单!$D$4:$D$4003,$A284,出库单!$K$4:$K$4003,"自用消耗",出库单!$U$4:$U$4003,"正常",出库单!$C$4:$C$4003,"&gt;="&amp;账期起,出库单!$C$4:$C$4003,"&lt;="&amp;账期止))</f>
        <v/>
      </c>
      <c r="Q284" s="26">
        <f>IF($A284="","",ROUND(SUMIFS(出库单!$S$4:$S$4003,出库单!$D$4:$D$4003,$A284,出库单!$K$4:$K$4003,"自用消耗",出库单!$U$4:$U$4003,"正常",出库单!$C$4:$C$4003,"&gt;="&amp;账期起,出库单!$C$4:$C$4003,"&lt;="&amp;账期止),0))</f>
        <v/>
      </c>
      <c r="R284" s="27">
        <f>IF($A284="","",SUMIFS(出库单!$J$4:$J$4003,出库单!$D$4:$D$4003,$A284,出库单!$K$4:$K$4003,"对外销售",出库单!$U$4:$U$4003,"正常",出库单!$C$4:$C$4003,"&gt;="&amp;账期起,出库单!$C$4:$C$4003,"&lt;="&amp;账期止))</f>
        <v/>
      </c>
      <c r="S284" s="26">
        <f>IF($A284="","",ROUND(SUMIFS(出库单!$S$4:$S$4003,出库单!$D$4:$D$4003,$A284,出库单!$K$4:$K$4003,"对外销售",出库单!$U$4:$U$4003,"正常",出库单!$C$4:$C$4003,"&gt;="&amp;账期起,出库单!$C$4:$C$4003,"&lt;="&amp;账期止),0))</f>
        <v/>
      </c>
      <c r="T284" s="27">
        <f>IF($A284="","",SUMIFS(出库单!$J$4:$J$4003,出库单!$D$4:$D$4003,$A284,出库单!$K$4:$K$4003,"盘亏",出库单!$U$4:$U$4003,"正常",出库单!$C$4:$C$4003,"&gt;="&amp;账期起,出库单!$C$4:$C$4003,"&lt;="&amp;账期止))</f>
        <v/>
      </c>
      <c r="U284" s="26">
        <f>IF($A284="","",ROUND(SUMIFS(出库单!$S$4:$S$4003,出库单!$D$4:$D$4003,$A284,出库单!$K$4:$K$4003,"盘亏",出库单!$U$4:$U$4003,"正常",出库单!$C$4:$C$4003,"&gt;="&amp;账期起,出库单!$C$4:$C$4003,"&lt;="&amp;账期止),0))</f>
        <v/>
      </c>
      <c r="V284" s="27">
        <f>IF($A284="","",SUMIFS(出库单!$J$4:$J$4003,出库单!$D$4:$D$4003,$A284,出库单!$K$4:$K$4003,"退货给供应商",出库单!$U$4:$U$4003,"正常",出库单!$C$4:$C$4003,"&gt;="&amp;账期起,出库单!$C$4:$C$4003,"&lt;="&amp;账期止))</f>
        <v/>
      </c>
      <c r="W284" s="26">
        <f>IF($A284="","",ROUND(SUMIFS(出库单!$S$4:$S$4003,出库单!$D$4:$D$4003,$A284,出库单!$K$4:$K$4003,"退货给供应商",出库单!$U$4:$U$4003,"正常",出库单!$C$4:$C$4003,"&gt;="&amp;账期起,出库单!$C$4:$C$4003,"&lt;="&amp;账期止),0))</f>
        <v/>
      </c>
      <c r="X284" s="27">
        <f>IF($A284="","",ROUND(N($G284)+$I284+$L284+$N284-$P284-$R284-$T284-$V284,3))</f>
        <v/>
      </c>
      <c r="Y284" s="26">
        <f>IF($A284="","",ROUND(N($H284)+$J284+$M284+$O284-$Q284-$S284-$U284-$W284,0))</f>
        <v/>
      </c>
      <c r="Z284" s="24">
        <f>IF($A284="","",IF(COUNTIFS(入库单!$G$4:$G$2503,$A284,入库单!$Y$4:$Y$2503,"待补价")+COUNTIFS(入库单!$G$4:$G$2503,$A284,入库单!$Y$4:$Y$2503,"暂估")&gt;0,"不可信","可信"))</f>
        <v/>
      </c>
      <c r="AA284" s="24">
        <f>IF($A284="","",IF($X284&lt;-0.001,"※账面负库存，查一下是不是漏记入库",IF(AND(ROUND($X284,3)=0,ABS($Y284)&gt;1),"※数量已经是 0，金额还挂着 "&amp;TEXT($Y284,"#,##0")&amp;" 先令",IF(AND($X284&gt;0,$Y284&lt;=0,$K284=0),"※有数量没金额（这个物料一直没填过进价）",IF($Z284="不可信","△成本含待补价/暂估，毛利仅供参考","")))))</f>
        <v/>
      </c>
    </row>
    <row r="285">
      <c r="A285" s="24">
        <f>IF(物料档案!$A284="","",物料档案!$A284)</f>
        <v/>
      </c>
      <c r="B285" s="24">
        <f>IF($A285="","",IFERROR(VLOOKUP($A285,物料档案!$A$4:$P$1203,3,0),""))</f>
        <v/>
      </c>
      <c r="C285" s="24">
        <f>IF($A285="","",IFERROR(VLOOKUP($A285,物料档案!$A$4:$P$1203,4,0),""))</f>
        <v/>
      </c>
      <c r="D285" s="24">
        <f>IF($A285="","",IFERROR(VLOOKUP($A285,物料档案!$A$4:$P$1203,5,0),""))</f>
        <v/>
      </c>
      <c r="E285" s="24">
        <f>IF($A285="","",IFERROR(VLOOKUP($A285,物料档案!$A$4:$P$1203,2,0),""))</f>
        <v/>
      </c>
      <c r="F285" s="24">
        <f>IF($A285="","",IFERROR(VLOOKUP($A285,物料档案!$A$4:$P$1203,6,0),""))</f>
        <v/>
      </c>
      <c r="G285" s="23" t="n"/>
      <c r="H285" s="32" t="n"/>
      <c r="I285" s="27">
        <f>IF($A285="","",SUMIFS(入库单!$K$4:$K$2503,入库单!$G$4:$G$2503,$A285,入库单!$X$4:$X$2503,"采购入库",入库单!$Z$4:$Z$2503,"正常",入库单!$C$4:$C$2503,"&gt;="&amp;账期起,入库单!$C$4:$C$2503,"&lt;="&amp;账期止))</f>
        <v/>
      </c>
      <c r="J285" s="26">
        <f>IF($A285="","",SUMIFS(入库单!$V$4:$V$2503,入库单!$G$4:$G$2503,$A285,入库单!$X$4:$X$2503,"采购入库",入库单!$Z$4:$Z$2503,"正常",入库单!$C$4:$C$2503,"&gt;="&amp;账期起,入库单!$C$4:$C$2503,"&lt;="&amp;账期止))</f>
        <v/>
      </c>
      <c r="K285" s="26">
        <f>IF($A285="","",IFERROR(ROUND((N($H285)+N($J285))/(N($G285)+N($I285)),2),0))</f>
        <v/>
      </c>
      <c r="L285" s="27">
        <f>IF($A285="","",SUMIFS(入库单!$K$4:$K$2503,入库单!$G$4:$G$2503,$A285,入库单!$X$4:$X$2503,"盘盈",入库单!$Z$4:$Z$2503,"正常",入库单!$C$4:$C$2503,"&gt;="&amp;账期起,入库单!$C$4:$C$2503,"&lt;="&amp;账期止))</f>
        <v/>
      </c>
      <c r="M285" s="26">
        <f>IF($A285="","",ROUND($L285*$K285,0))</f>
        <v/>
      </c>
      <c r="N285" s="27">
        <f>IF($A285="","",SUMIFS(入库单!$K$4:$K$2503,入库单!$G$4:$G$2503,$A285,入库单!$X$4:$X$2503,"矿区退库",入库单!$Z$4:$Z$2503,"正常",入库单!$C$4:$C$2503,"&gt;="&amp;账期起,入库单!$C$4:$C$2503,"&lt;="&amp;账期止))</f>
        <v/>
      </c>
      <c r="O285" s="26">
        <f>IF($A285="","",ROUND($N285*$K285,0))</f>
        <v/>
      </c>
      <c r="P285" s="27">
        <f>IF($A285="","",SUMIFS(出库单!$J$4:$J$4003,出库单!$D$4:$D$4003,$A285,出库单!$K$4:$K$4003,"自用消耗",出库单!$U$4:$U$4003,"正常",出库单!$C$4:$C$4003,"&gt;="&amp;账期起,出库单!$C$4:$C$4003,"&lt;="&amp;账期止))</f>
        <v/>
      </c>
      <c r="Q285" s="26">
        <f>IF($A285="","",ROUND(SUMIFS(出库单!$S$4:$S$4003,出库单!$D$4:$D$4003,$A285,出库单!$K$4:$K$4003,"自用消耗",出库单!$U$4:$U$4003,"正常",出库单!$C$4:$C$4003,"&gt;="&amp;账期起,出库单!$C$4:$C$4003,"&lt;="&amp;账期止),0))</f>
        <v/>
      </c>
      <c r="R285" s="27">
        <f>IF($A285="","",SUMIFS(出库单!$J$4:$J$4003,出库单!$D$4:$D$4003,$A285,出库单!$K$4:$K$4003,"对外销售",出库单!$U$4:$U$4003,"正常",出库单!$C$4:$C$4003,"&gt;="&amp;账期起,出库单!$C$4:$C$4003,"&lt;="&amp;账期止))</f>
        <v/>
      </c>
      <c r="S285" s="26">
        <f>IF($A285="","",ROUND(SUMIFS(出库单!$S$4:$S$4003,出库单!$D$4:$D$4003,$A285,出库单!$K$4:$K$4003,"对外销售",出库单!$U$4:$U$4003,"正常",出库单!$C$4:$C$4003,"&gt;="&amp;账期起,出库单!$C$4:$C$4003,"&lt;="&amp;账期止),0))</f>
        <v/>
      </c>
      <c r="T285" s="27">
        <f>IF($A285="","",SUMIFS(出库单!$J$4:$J$4003,出库单!$D$4:$D$4003,$A285,出库单!$K$4:$K$4003,"盘亏",出库单!$U$4:$U$4003,"正常",出库单!$C$4:$C$4003,"&gt;="&amp;账期起,出库单!$C$4:$C$4003,"&lt;="&amp;账期止))</f>
        <v/>
      </c>
      <c r="U285" s="26">
        <f>IF($A285="","",ROUND(SUMIFS(出库单!$S$4:$S$4003,出库单!$D$4:$D$4003,$A285,出库单!$K$4:$K$4003,"盘亏",出库单!$U$4:$U$4003,"正常",出库单!$C$4:$C$4003,"&gt;="&amp;账期起,出库单!$C$4:$C$4003,"&lt;="&amp;账期止),0))</f>
        <v/>
      </c>
      <c r="V285" s="27">
        <f>IF($A285="","",SUMIFS(出库单!$J$4:$J$4003,出库单!$D$4:$D$4003,$A285,出库单!$K$4:$K$4003,"退货给供应商",出库单!$U$4:$U$4003,"正常",出库单!$C$4:$C$4003,"&gt;="&amp;账期起,出库单!$C$4:$C$4003,"&lt;="&amp;账期止))</f>
        <v/>
      </c>
      <c r="W285" s="26">
        <f>IF($A285="","",ROUND(SUMIFS(出库单!$S$4:$S$4003,出库单!$D$4:$D$4003,$A285,出库单!$K$4:$K$4003,"退货给供应商",出库单!$U$4:$U$4003,"正常",出库单!$C$4:$C$4003,"&gt;="&amp;账期起,出库单!$C$4:$C$4003,"&lt;="&amp;账期止),0))</f>
        <v/>
      </c>
      <c r="X285" s="27">
        <f>IF($A285="","",ROUND(N($G285)+$I285+$L285+$N285-$P285-$R285-$T285-$V285,3))</f>
        <v/>
      </c>
      <c r="Y285" s="26">
        <f>IF($A285="","",ROUND(N($H285)+$J285+$M285+$O285-$Q285-$S285-$U285-$W285,0))</f>
        <v/>
      </c>
      <c r="Z285" s="24">
        <f>IF($A285="","",IF(COUNTIFS(入库单!$G$4:$G$2503,$A285,入库单!$Y$4:$Y$2503,"待补价")+COUNTIFS(入库单!$G$4:$G$2503,$A285,入库单!$Y$4:$Y$2503,"暂估")&gt;0,"不可信","可信"))</f>
        <v/>
      </c>
      <c r="AA285" s="24">
        <f>IF($A285="","",IF($X285&lt;-0.001,"※账面负库存，查一下是不是漏记入库",IF(AND(ROUND($X285,3)=0,ABS($Y285)&gt;1),"※数量已经是 0，金额还挂着 "&amp;TEXT($Y285,"#,##0")&amp;" 先令",IF(AND($X285&gt;0,$Y285&lt;=0,$K285=0),"※有数量没金额（这个物料一直没填过进价）",IF($Z285="不可信","△成本含待补价/暂估，毛利仅供参考","")))))</f>
        <v/>
      </c>
    </row>
    <row r="286">
      <c r="A286" s="24">
        <f>IF(物料档案!$A285="","",物料档案!$A285)</f>
        <v/>
      </c>
      <c r="B286" s="24">
        <f>IF($A286="","",IFERROR(VLOOKUP($A286,物料档案!$A$4:$P$1203,3,0),""))</f>
        <v/>
      </c>
      <c r="C286" s="24">
        <f>IF($A286="","",IFERROR(VLOOKUP($A286,物料档案!$A$4:$P$1203,4,0),""))</f>
        <v/>
      </c>
      <c r="D286" s="24">
        <f>IF($A286="","",IFERROR(VLOOKUP($A286,物料档案!$A$4:$P$1203,5,0),""))</f>
        <v/>
      </c>
      <c r="E286" s="24">
        <f>IF($A286="","",IFERROR(VLOOKUP($A286,物料档案!$A$4:$P$1203,2,0),""))</f>
        <v/>
      </c>
      <c r="F286" s="24">
        <f>IF($A286="","",IFERROR(VLOOKUP($A286,物料档案!$A$4:$P$1203,6,0),""))</f>
        <v/>
      </c>
      <c r="G286" s="23" t="n"/>
      <c r="H286" s="32" t="n"/>
      <c r="I286" s="27">
        <f>IF($A286="","",SUMIFS(入库单!$K$4:$K$2503,入库单!$G$4:$G$2503,$A286,入库单!$X$4:$X$2503,"采购入库",入库单!$Z$4:$Z$2503,"正常",入库单!$C$4:$C$2503,"&gt;="&amp;账期起,入库单!$C$4:$C$2503,"&lt;="&amp;账期止))</f>
        <v/>
      </c>
      <c r="J286" s="26">
        <f>IF($A286="","",SUMIFS(入库单!$V$4:$V$2503,入库单!$G$4:$G$2503,$A286,入库单!$X$4:$X$2503,"采购入库",入库单!$Z$4:$Z$2503,"正常",入库单!$C$4:$C$2503,"&gt;="&amp;账期起,入库单!$C$4:$C$2503,"&lt;="&amp;账期止))</f>
        <v/>
      </c>
      <c r="K286" s="26">
        <f>IF($A286="","",IFERROR(ROUND((N($H286)+N($J286))/(N($G286)+N($I286)),2),0))</f>
        <v/>
      </c>
      <c r="L286" s="27">
        <f>IF($A286="","",SUMIFS(入库单!$K$4:$K$2503,入库单!$G$4:$G$2503,$A286,入库单!$X$4:$X$2503,"盘盈",入库单!$Z$4:$Z$2503,"正常",入库单!$C$4:$C$2503,"&gt;="&amp;账期起,入库单!$C$4:$C$2503,"&lt;="&amp;账期止))</f>
        <v/>
      </c>
      <c r="M286" s="26">
        <f>IF($A286="","",ROUND($L286*$K286,0))</f>
        <v/>
      </c>
      <c r="N286" s="27">
        <f>IF($A286="","",SUMIFS(入库单!$K$4:$K$2503,入库单!$G$4:$G$2503,$A286,入库单!$X$4:$X$2503,"矿区退库",入库单!$Z$4:$Z$2503,"正常",入库单!$C$4:$C$2503,"&gt;="&amp;账期起,入库单!$C$4:$C$2503,"&lt;="&amp;账期止))</f>
        <v/>
      </c>
      <c r="O286" s="26">
        <f>IF($A286="","",ROUND($N286*$K286,0))</f>
        <v/>
      </c>
      <c r="P286" s="27">
        <f>IF($A286="","",SUMIFS(出库单!$J$4:$J$4003,出库单!$D$4:$D$4003,$A286,出库单!$K$4:$K$4003,"自用消耗",出库单!$U$4:$U$4003,"正常",出库单!$C$4:$C$4003,"&gt;="&amp;账期起,出库单!$C$4:$C$4003,"&lt;="&amp;账期止))</f>
        <v/>
      </c>
      <c r="Q286" s="26">
        <f>IF($A286="","",ROUND(SUMIFS(出库单!$S$4:$S$4003,出库单!$D$4:$D$4003,$A286,出库单!$K$4:$K$4003,"自用消耗",出库单!$U$4:$U$4003,"正常",出库单!$C$4:$C$4003,"&gt;="&amp;账期起,出库单!$C$4:$C$4003,"&lt;="&amp;账期止),0))</f>
        <v/>
      </c>
      <c r="R286" s="27">
        <f>IF($A286="","",SUMIFS(出库单!$J$4:$J$4003,出库单!$D$4:$D$4003,$A286,出库单!$K$4:$K$4003,"对外销售",出库单!$U$4:$U$4003,"正常",出库单!$C$4:$C$4003,"&gt;="&amp;账期起,出库单!$C$4:$C$4003,"&lt;="&amp;账期止))</f>
        <v/>
      </c>
      <c r="S286" s="26">
        <f>IF($A286="","",ROUND(SUMIFS(出库单!$S$4:$S$4003,出库单!$D$4:$D$4003,$A286,出库单!$K$4:$K$4003,"对外销售",出库单!$U$4:$U$4003,"正常",出库单!$C$4:$C$4003,"&gt;="&amp;账期起,出库单!$C$4:$C$4003,"&lt;="&amp;账期止),0))</f>
        <v/>
      </c>
      <c r="T286" s="27">
        <f>IF($A286="","",SUMIFS(出库单!$J$4:$J$4003,出库单!$D$4:$D$4003,$A286,出库单!$K$4:$K$4003,"盘亏",出库单!$U$4:$U$4003,"正常",出库单!$C$4:$C$4003,"&gt;="&amp;账期起,出库单!$C$4:$C$4003,"&lt;="&amp;账期止))</f>
        <v/>
      </c>
      <c r="U286" s="26">
        <f>IF($A286="","",ROUND(SUMIFS(出库单!$S$4:$S$4003,出库单!$D$4:$D$4003,$A286,出库单!$K$4:$K$4003,"盘亏",出库单!$U$4:$U$4003,"正常",出库单!$C$4:$C$4003,"&gt;="&amp;账期起,出库单!$C$4:$C$4003,"&lt;="&amp;账期止),0))</f>
        <v/>
      </c>
      <c r="V286" s="27">
        <f>IF($A286="","",SUMIFS(出库单!$J$4:$J$4003,出库单!$D$4:$D$4003,$A286,出库单!$K$4:$K$4003,"退货给供应商",出库单!$U$4:$U$4003,"正常",出库单!$C$4:$C$4003,"&gt;="&amp;账期起,出库单!$C$4:$C$4003,"&lt;="&amp;账期止))</f>
        <v/>
      </c>
      <c r="W286" s="26">
        <f>IF($A286="","",ROUND(SUMIFS(出库单!$S$4:$S$4003,出库单!$D$4:$D$4003,$A286,出库单!$K$4:$K$4003,"退货给供应商",出库单!$U$4:$U$4003,"正常",出库单!$C$4:$C$4003,"&gt;="&amp;账期起,出库单!$C$4:$C$4003,"&lt;="&amp;账期止),0))</f>
        <v/>
      </c>
      <c r="X286" s="27">
        <f>IF($A286="","",ROUND(N($G286)+$I286+$L286+$N286-$P286-$R286-$T286-$V286,3))</f>
        <v/>
      </c>
      <c r="Y286" s="26">
        <f>IF($A286="","",ROUND(N($H286)+$J286+$M286+$O286-$Q286-$S286-$U286-$W286,0))</f>
        <v/>
      </c>
      <c r="Z286" s="24">
        <f>IF($A286="","",IF(COUNTIFS(入库单!$G$4:$G$2503,$A286,入库单!$Y$4:$Y$2503,"待补价")+COUNTIFS(入库单!$G$4:$G$2503,$A286,入库单!$Y$4:$Y$2503,"暂估")&gt;0,"不可信","可信"))</f>
        <v/>
      </c>
      <c r="AA286" s="24">
        <f>IF($A286="","",IF($X286&lt;-0.001,"※账面负库存，查一下是不是漏记入库",IF(AND(ROUND($X286,3)=0,ABS($Y286)&gt;1),"※数量已经是 0，金额还挂着 "&amp;TEXT($Y286,"#,##0")&amp;" 先令",IF(AND($X286&gt;0,$Y286&lt;=0,$K286=0),"※有数量没金额（这个物料一直没填过进价）",IF($Z286="不可信","△成本含待补价/暂估，毛利仅供参考","")))))</f>
        <v/>
      </c>
    </row>
    <row r="287">
      <c r="A287" s="24">
        <f>IF(物料档案!$A286="","",物料档案!$A286)</f>
        <v/>
      </c>
      <c r="B287" s="24">
        <f>IF($A287="","",IFERROR(VLOOKUP($A287,物料档案!$A$4:$P$1203,3,0),""))</f>
        <v/>
      </c>
      <c r="C287" s="24">
        <f>IF($A287="","",IFERROR(VLOOKUP($A287,物料档案!$A$4:$P$1203,4,0),""))</f>
        <v/>
      </c>
      <c r="D287" s="24">
        <f>IF($A287="","",IFERROR(VLOOKUP($A287,物料档案!$A$4:$P$1203,5,0),""))</f>
        <v/>
      </c>
      <c r="E287" s="24">
        <f>IF($A287="","",IFERROR(VLOOKUP($A287,物料档案!$A$4:$P$1203,2,0),""))</f>
        <v/>
      </c>
      <c r="F287" s="24">
        <f>IF($A287="","",IFERROR(VLOOKUP($A287,物料档案!$A$4:$P$1203,6,0),""))</f>
        <v/>
      </c>
      <c r="G287" s="23" t="n"/>
      <c r="H287" s="32" t="n"/>
      <c r="I287" s="27">
        <f>IF($A287="","",SUMIFS(入库单!$K$4:$K$2503,入库单!$G$4:$G$2503,$A287,入库单!$X$4:$X$2503,"采购入库",入库单!$Z$4:$Z$2503,"正常",入库单!$C$4:$C$2503,"&gt;="&amp;账期起,入库单!$C$4:$C$2503,"&lt;="&amp;账期止))</f>
        <v/>
      </c>
      <c r="J287" s="26">
        <f>IF($A287="","",SUMIFS(入库单!$V$4:$V$2503,入库单!$G$4:$G$2503,$A287,入库单!$X$4:$X$2503,"采购入库",入库单!$Z$4:$Z$2503,"正常",入库单!$C$4:$C$2503,"&gt;="&amp;账期起,入库单!$C$4:$C$2503,"&lt;="&amp;账期止))</f>
        <v/>
      </c>
      <c r="K287" s="26">
        <f>IF($A287="","",IFERROR(ROUND((N($H287)+N($J287))/(N($G287)+N($I287)),2),0))</f>
        <v/>
      </c>
      <c r="L287" s="27">
        <f>IF($A287="","",SUMIFS(入库单!$K$4:$K$2503,入库单!$G$4:$G$2503,$A287,入库单!$X$4:$X$2503,"盘盈",入库单!$Z$4:$Z$2503,"正常",入库单!$C$4:$C$2503,"&gt;="&amp;账期起,入库单!$C$4:$C$2503,"&lt;="&amp;账期止))</f>
        <v/>
      </c>
      <c r="M287" s="26">
        <f>IF($A287="","",ROUND($L287*$K287,0))</f>
        <v/>
      </c>
      <c r="N287" s="27">
        <f>IF($A287="","",SUMIFS(入库单!$K$4:$K$2503,入库单!$G$4:$G$2503,$A287,入库单!$X$4:$X$2503,"矿区退库",入库单!$Z$4:$Z$2503,"正常",入库单!$C$4:$C$2503,"&gt;="&amp;账期起,入库单!$C$4:$C$2503,"&lt;="&amp;账期止))</f>
        <v/>
      </c>
      <c r="O287" s="26">
        <f>IF($A287="","",ROUND($N287*$K287,0))</f>
        <v/>
      </c>
      <c r="P287" s="27">
        <f>IF($A287="","",SUMIFS(出库单!$J$4:$J$4003,出库单!$D$4:$D$4003,$A287,出库单!$K$4:$K$4003,"自用消耗",出库单!$U$4:$U$4003,"正常",出库单!$C$4:$C$4003,"&gt;="&amp;账期起,出库单!$C$4:$C$4003,"&lt;="&amp;账期止))</f>
        <v/>
      </c>
      <c r="Q287" s="26">
        <f>IF($A287="","",ROUND(SUMIFS(出库单!$S$4:$S$4003,出库单!$D$4:$D$4003,$A287,出库单!$K$4:$K$4003,"自用消耗",出库单!$U$4:$U$4003,"正常",出库单!$C$4:$C$4003,"&gt;="&amp;账期起,出库单!$C$4:$C$4003,"&lt;="&amp;账期止),0))</f>
        <v/>
      </c>
      <c r="R287" s="27">
        <f>IF($A287="","",SUMIFS(出库单!$J$4:$J$4003,出库单!$D$4:$D$4003,$A287,出库单!$K$4:$K$4003,"对外销售",出库单!$U$4:$U$4003,"正常",出库单!$C$4:$C$4003,"&gt;="&amp;账期起,出库单!$C$4:$C$4003,"&lt;="&amp;账期止))</f>
        <v/>
      </c>
      <c r="S287" s="26">
        <f>IF($A287="","",ROUND(SUMIFS(出库单!$S$4:$S$4003,出库单!$D$4:$D$4003,$A287,出库单!$K$4:$K$4003,"对外销售",出库单!$U$4:$U$4003,"正常",出库单!$C$4:$C$4003,"&gt;="&amp;账期起,出库单!$C$4:$C$4003,"&lt;="&amp;账期止),0))</f>
        <v/>
      </c>
      <c r="T287" s="27">
        <f>IF($A287="","",SUMIFS(出库单!$J$4:$J$4003,出库单!$D$4:$D$4003,$A287,出库单!$K$4:$K$4003,"盘亏",出库单!$U$4:$U$4003,"正常",出库单!$C$4:$C$4003,"&gt;="&amp;账期起,出库单!$C$4:$C$4003,"&lt;="&amp;账期止))</f>
        <v/>
      </c>
      <c r="U287" s="26">
        <f>IF($A287="","",ROUND(SUMIFS(出库单!$S$4:$S$4003,出库单!$D$4:$D$4003,$A287,出库单!$K$4:$K$4003,"盘亏",出库单!$U$4:$U$4003,"正常",出库单!$C$4:$C$4003,"&gt;="&amp;账期起,出库单!$C$4:$C$4003,"&lt;="&amp;账期止),0))</f>
        <v/>
      </c>
      <c r="V287" s="27">
        <f>IF($A287="","",SUMIFS(出库单!$J$4:$J$4003,出库单!$D$4:$D$4003,$A287,出库单!$K$4:$K$4003,"退货给供应商",出库单!$U$4:$U$4003,"正常",出库单!$C$4:$C$4003,"&gt;="&amp;账期起,出库单!$C$4:$C$4003,"&lt;="&amp;账期止))</f>
        <v/>
      </c>
      <c r="W287" s="26">
        <f>IF($A287="","",ROUND(SUMIFS(出库单!$S$4:$S$4003,出库单!$D$4:$D$4003,$A287,出库单!$K$4:$K$4003,"退货给供应商",出库单!$U$4:$U$4003,"正常",出库单!$C$4:$C$4003,"&gt;="&amp;账期起,出库单!$C$4:$C$4003,"&lt;="&amp;账期止),0))</f>
        <v/>
      </c>
      <c r="X287" s="27">
        <f>IF($A287="","",ROUND(N($G287)+$I287+$L287+$N287-$P287-$R287-$T287-$V287,3))</f>
        <v/>
      </c>
      <c r="Y287" s="26">
        <f>IF($A287="","",ROUND(N($H287)+$J287+$M287+$O287-$Q287-$S287-$U287-$W287,0))</f>
        <v/>
      </c>
      <c r="Z287" s="24">
        <f>IF($A287="","",IF(COUNTIFS(入库单!$G$4:$G$2503,$A287,入库单!$Y$4:$Y$2503,"待补价")+COUNTIFS(入库单!$G$4:$G$2503,$A287,入库单!$Y$4:$Y$2503,"暂估")&gt;0,"不可信","可信"))</f>
        <v/>
      </c>
      <c r="AA287" s="24">
        <f>IF($A287="","",IF($X287&lt;-0.001,"※账面负库存，查一下是不是漏记入库",IF(AND(ROUND($X287,3)=0,ABS($Y287)&gt;1),"※数量已经是 0，金额还挂着 "&amp;TEXT($Y287,"#,##0")&amp;" 先令",IF(AND($X287&gt;0,$Y287&lt;=0,$K287=0),"※有数量没金额（这个物料一直没填过进价）",IF($Z287="不可信","△成本含待补价/暂估，毛利仅供参考","")))))</f>
        <v/>
      </c>
    </row>
    <row r="288">
      <c r="A288" s="24">
        <f>IF(物料档案!$A287="","",物料档案!$A287)</f>
        <v/>
      </c>
      <c r="B288" s="24">
        <f>IF($A288="","",IFERROR(VLOOKUP($A288,物料档案!$A$4:$P$1203,3,0),""))</f>
        <v/>
      </c>
      <c r="C288" s="24">
        <f>IF($A288="","",IFERROR(VLOOKUP($A288,物料档案!$A$4:$P$1203,4,0),""))</f>
        <v/>
      </c>
      <c r="D288" s="24">
        <f>IF($A288="","",IFERROR(VLOOKUP($A288,物料档案!$A$4:$P$1203,5,0),""))</f>
        <v/>
      </c>
      <c r="E288" s="24">
        <f>IF($A288="","",IFERROR(VLOOKUP($A288,物料档案!$A$4:$P$1203,2,0),""))</f>
        <v/>
      </c>
      <c r="F288" s="24">
        <f>IF($A288="","",IFERROR(VLOOKUP($A288,物料档案!$A$4:$P$1203,6,0),""))</f>
        <v/>
      </c>
      <c r="G288" s="23" t="n"/>
      <c r="H288" s="32" t="n"/>
      <c r="I288" s="27">
        <f>IF($A288="","",SUMIFS(入库单!$K$4:$K$2503,入库单!$G$4:$G$2503,$A288,入库单!$X$4:$X$2503,"采购入库",入库单!$Z$4:$Z$2503,"正常",入库单!$C$4:$C$2503,"&gt;="&amp;账期起,入库单!$C$4:$C$2503,"&lt;="&amp;账期止))</f>
        <v/>
      </c>
      <c r="J288" s="26">
        <f>IF($A288="","",SUMIFS(入库单!$V$4:$V$2503,入库单!$G$4:$G$2503,$A288,入库单!$X$4:$X$2503,"采购入库",入库单!$Z$4:$Z$2503,"正常",入库单!$C$4:$C$2503,"&gt;="&amp;账期起,入库单!$C$4:$C$2503,"&lt;="&amp;账期止))</f>
        <v/>
      </c>
      <c r="K288" s="26">
        <f>IF($A288="","",IFERROR(ROUND((N($H288)+N($J288))/(N($G288)+N($I288)),2),0))</f>
        <v/>
      </c>
      <c r="L288" s="27">
        <f>IF($A288="","",SUMIFS(入库单!$K$4:$K$2503,入库单!$G$4:$G$2503,$A288,入库单!$X$4:$X$2503,"盘盈",入库单!$Z$4:$Z$2503,"正常",入库单!$C$4:$C$2503,"&gt;="&amp;账期起,入库单!$C$4:$C$2503,"&lt;="&amp;账期止))</f>
        <v/>
      </c>
      <c r="M288" s="26">
        <f>IF($A288="","",ROUND($L288*$K288,0))</f>
        <v/>
      </c>
      <c r="N288" s="27">
        <f>IF($A288="","",SUMIFS(入库单!$K$4:$K$2503,入库单!$G$4:$G$2503,$A288,入库单!$X$4:$X$2503,"矿区退库",入库单!$Z$4:$Z$2503,"正常",入库单!$C$4:$C$2503,"&gt;="&amp;账期起,入库单!$C$4:$C$2503,"&lt;="&amp;账期止))</f>
        <v/>
      </c>
      <c r="O288" s="26">
        <f>IF($A288="","",ROUND($N288*$K288,0))</f>
        <v/>
      </c>
      <c r="P288" s="27">
        <f>IF($A288="","",SUMIFS(出库单!$J$4:$J$4003,出库单!$D$4:$D$4003,$A288,出库单!$K$4:$K$4003,"自用消耗",出库单!$U$4:$U$4003,"正常",出库单!$C$4:$C$4003,"&gt;="&amp;账期起,出库单!$C$4:$C$4003,"&lt;="&amp;账期止))</f>
        <v/>
      </c>
      <c r="Q288" s="26">
        <f>IF($A288="","",ROUND(SUMIFS(出库单!$S$4:$S$4003,出库单!$D$4:$D$4003,$A288,出库单!$K$4:$K$4003,"自用消耗",出库单!$U$4:$U$4003,"正常",出库单!$C$4:$C$4003,"&gt;="&amp;账期起,出库单!$C$4:$C$4003,"&lt;="&amp;账期止),0))</f>
        <v/>
      </c>
      <c r="R288" s="27">
        <f>IF($A288="","",SUMIFS(出库单!$J$4:$J$4003,出库单!$D$4:$D$4003,$A288,出库单!$K$4:$K$4003,"对外销售",出库单!$U$4:$U$4003,"正常",出库单!$C$4:$C$4003,"&gt;="&amp;账期起,出库单!$C$4:$C$4003,"&lt;="&amp;账期止))</f>
        <v/>
      </c>
      <c r="S288" s="26">
        <f>IF($A288="","",ROUND(SUMIFS(出库单!$S$4:$S$4003,出库单!$D$4:$D$4003,$A288,出库单!$K$4:$K$4003,"对外销售",出库单!$U$4:$U$4003,"正常",出库单!$C$4:$C$4003,"&gt;="&amp;账期起,出库单!$C$4:$C$4003,"&lt;="&amp;账期止),0))</f>
        <v/>
      </c>
      <c r="T288" s="27">
        <f>IF($A288="","",SUMIFS(出库单!$J$4:$J$4003,出库单!$D$4:$D$4003,$A288,出库单!$K$4:$K$4003,"盘亏",出库单!$U$4:$U$4003,"正常",出库单!$C$4:$C$4003,"&gt;="&amp;账期起,出库单!$C$4:$C$4003,"&lt;="&amp;账期止))</f>
        <v/>
      </c>
      <c r="U288" s="26">
        <f>IF($A288="","",ROUND(SUMIFS(出库单!$S$4:$S$4003,出库单!$D$4:$D$4003,$A288,出库单!$K$4:$K$4003,"盘亏",出库单!$U$4:$U$4003,"正常",出库单!$C$4:$C$4003,"&gt;="&amp;账期起,出库单!$C$4:$C$4003,"&lt;="&amp;账期止),0))</f>
        <v/>
      </c>
      <c r="V288" s="27">
        <f>IF($A288="","",SUMIFS(出库单!$J$4:$J$4003,出库单!$D$4:$D$4003,$A288,出库单!$K$4:$K$4003,"退货给供应商",出库单!$U$4:$U$4003,"正常",出库单!$C$4:$C$4003,"&gt;="&amp;账期起,出库单!$C$4:$C$4003,"&lt;="&amp;账期止))</f>
        <v/>
      </c>
      <c r="W288" s="26">
        <f>IF($A288="","",ROUND(SUMIFS(出库单!$S$4:$S$4003,出库单!$D$4:$D$4003,$A288,出库单!$K$4:$K$4003,"退货给供应商",出库单!$U$4:$U$4003,"正常",出库单!$C$4:$C$4003,"&gt;="&amp;账期起,出库单!$C$4:$C$4003,"&lt;="&amp;账期止),0))</f>
        <v/>
      </c>
      <c r="X288" s="27">
        <f>IF($A288="","",ROUND(N($G288)+$I288+$L288+$N288-$P288-$R288-$T288-$V288,3))</f>
        <v/>
      </c>
      <c r="Y288" s="26">
        <f>IF($A288="","",ROUND(N($H288)+$J288+$M288+$O288-$Q288-$S288-$U288-$W288,0))</f>
        <v/>
      </c>
      <c r="Z288" s="24">
        <f>IF($A288="","",IF(COUNTIFS(入库单!$G$4:$G$2503,$A288,入库单!$Y$4:$Y$2503,"待补价")+COUNTIFS(入库单!$G$4:$G$2503,$A288,入库单!$Y$4:$Y$2503,"暂估")&gt;0,"不可信","可信"))</f>
        <v/>
      </c>
      <c r="AA288" s="24">
        <f>IF($A288="","",IF($X288&lt;-0.001,"※账面负库存，查一下是不是漏记入库",IF(AND(ROUND($X288,3)=0,ABS($Y288)&gt;1),"※数量已经是 0，金额还挂着 "&amp;TEXT($Y288,"#,##0")&amp;" 先令",IF(AND($X288&gt;0,$Y288&lt;=0,$K288=0),"※有数量没金额（这个物料一直没填过进价）",IF($Z288="不可信","△成本含待补价/暂估，毛利仅供参考","")))))</f>
        <v/>
      </c>
    </row>
    <row r="289">
      <c r="A289" s="24">
        <f>IF(物料档案!$A288="","",物料档案!$A288)</f>
        <v/>
      </c>
      <c r="B289" s="24">
        <f>IF($A289="","",IFERROR(VLOOKUP($A289,物料档案!$A$4:$P$1203,3,0),""))</f>
        <v/>
      </c>
      <c r="C289" s="24">
        <f>IF($A289="","",IFERROR(VLOOKUP($A289,物料档案!$A$4:$P$1203,4,0),""))</f>
        <v/>
      </c>
      <c r="D289" s="24">
        <f>IF($A289="","",IFERROR(VLOOKUP($A289,物料档案!$A$4:$P$1203,5,0),""))</f>
        <v/>
      </c>
      <c r="E289" s="24">
        <f>IF($A289="","",IFERROR(VLOOKUP($A289,物料档案!$A$4:$P$1203,2,0),""))</f>
        <v/>
      </c>
      <c r="F289" s="24">
        <f>IF($A289="","",IFERROR(VLOOKUP($A289,物料档案!$A$4:$P$1203,6,0),""))</f>
        <v/>
      </c>
      <c r="G289" s="23" t="n"/>
      <c r="H289" s="32" t="n"/>
      <c r="I289" s="27">
        <f>IF($A289="","",SUMIFS(入库单!$K$4:$K$2503,入库单!$G$4:$G$2503,$A289,入库单!$X$4:$X$2503,"采购入库",入库单!$Z$4:$Z$2503,"正常",入库单!$C$4:$C$2503,"&gt;="&amp;账期起,入库单!$C$4:$C$2503,"&lt;="&amp;账期止))</f>
        <v/>
      </c>
      <c r="J289" s="26">
        <f>IF($A289="","",SUMIFS(入库单!$V$4:$V$2503,入库单!$G$4:$G$2503,$A289,入库单!$X$4:$X$2503,"采购入库",入库单!$Z$4:$Z$2503,"正常",入库单!$C$4:$C$2503,"&gt;="&amp;账期起,入库单!$C$4:$C$2503,"&lt;="&amp;账期止))</f>
        <v/>
      </c>
      <c r="K289" s="26">
        <f>IF($A289="","",IFERROR(ROUND((N($H289)+N($J289))/(N($G289)+N($I289)),2),0))</f>
        <v/>
      </c>
      <c r="L289" s="27">
        <f>IF($A289="","",SUMIFS(入库单!$K$4:$K$2503,入库单!$G$4:$G$2503,$A289,入库单!$X$4:$X$2503,"盘盈",入库单!$Z$4:$Z$2503,"正常",入库单!$C$4:$C$2503,"&gt;="&amp;账期起,入库单!$C$4:$C$2503,"&lt;="&amp;账期止))</f>
        <v/>
      </c>
      <c r="M289" s="26">
        <f>IF($A289="","",ROUND($L289*$K289,0))</f>
        <v/>
      </c>
      <c r="N289" s="27">
        <f>IF($A289="","",SUMIFS(入库单!$K$4:$K$2503,入库单!$G$4:$G$2503,$A289,入库单!$X$4:$X$2503,"矿区退库",入库单!$Z$4:$Z$2503,"正常",入库单!$C$4:$C$2503,"&gt;="&amp;账期起,入库单!$C$4:$C$2503,"&lt;="&amp;账期止))</f>
        <v/>
      </c>
      <c r="O289" s="26">
        <f>IF($A289="","",ROUND($N289*$K289,0))</f>
        <v/>
      </c>
      <c r="P289" s="27">
        <f>IF($A289="","",SUMIFS(出库单!$J$4:$J$4003,出库单!$D$4:$D$4003,$A289,出库单!$K$4:$K$4003,"自用消耗",出库单!$U$4:$U$4003,"正常",出库单!$C$4:$C$4003,"&gt;="&amp;账期起,出库单!$C$4:$C$4003,"&lt;="&amp;账期止))</f>
        <v/>
      </c>
      <c r="Q289" s="26">
        <f>IF($A289="","",ROUND(SUMIFS(出库单!$S$4:$S$4003,出库单!$D$4:$D$4003,$A289,出库单!$K$4:$K$4003,"自用消耗",出库单!$U$4:$U$4003,"正常",出库单!$C$4:$C$4003,"&gt;="&amp;账期起,出库单!$C$4:$C$4003,"&lt;="&amp;账期止),0))</f>
        <v/>
      </c>
      <c r="R289" s="27">
        <f>IF($A289="","",SUMIFS(出库单!$J$4:$J$4003,出库单!$D$4:$D$4003,$A289,出库单!$K$4:$K$4003,"对外销售",出库单!$U$4:$U$4003,"正常",出库单!$C$4:$C$4003,"&gt;="&amp;账期起,出库单!$C$4:$C$4003,"&lt;="&amp;账期止))</f>
        <v/>
      </c>
      <c r="S289" s="26">
        <f>IF($A289="","",ROUND(SUMIFS(出库单!$S$4:$S$4003,出库单!$D$4:$D$4003,$A289,出库单!$K$4:$K$4003,"对外销售",出库单!$U$4:$U$4003,"正常",出库单!$C$4:$C$4003,"&gt;="&amp;账期起,出库单!$C$4:$C$4003,"&lt;="&amp;账期止),0))</f>
        <v/>
      </c>
      <c r="T289" s="27">
        <f>IF($A289="","",SUMIFS(出库单!$J$4:$J$4003,出库单!$D$4:$D$4003,$A289,出库单!$K$4:$K$4003,"盘亏",出库单!$U$4:$U$4003,"正常",出库单!$C$4:$C$4003,"&gt;="&amp;账期起,出库单!$C$4:$C$4003,"&lt;="&amp;账期止))</f>
        <v/>
      </c>
      <c r="U289" s="26">
        <f>IF($A289="","",ROUND(SUMIFS(出库单!$S$4:$S$4003,出库单!$D$4:$D$4003,$A289,出库单!$K$4:$K$4003,"盘亏",出库单!$U$4:$U$4003,"正常",出库单!$C$4:$C$4003,"&gt;="&amp;账期起,出库单!$C$4:$C$4003,"&lt;="&amp;账期止),0))</f>
        <v/>
      </c>
      <c r="V289" s="27">
        <f>IF($A289="","",SUMIFS(出库单!$J$4:$J$4003,出库单!$D$4:$D$4003,$A289,出库单!$K$4:$K$4003,"退货给供应商",出库单!$U$4:$U$4003,"正常",出库单!$C$4:$C$4003,"&gt;="&amp;账期起,出库单!$C$4:$C$4003,"&lt;="&amp;账期止))</f>
        <v/>
      </c>
      <c r="W289" s="26">
        <f>IF($A289="","",ROUND(SUMIFS(出库单!$S$4:$S$4003,出库单!$D$4:$D$4003,$A289,出库单!$K$4:$K$4003,"退货给供应商",出库单!$U$4:$U$4003,"正常",出库单!$C$4:$C$4003,"&gt;="&amp;账期起,出库单!$C$4:$C$4003,"&lt;="&amp;账期止),0))</f>
        <v/>
      </c>
      <c r="X289" s="27">
        <f>IF($A289="","",ROUND(N($G289)+$I289+$L289+$N289-$P289-$R289-$T289-$V289,3))</f>
        <v/>
      </c>
      <c r="Y289" s="26">
        <f>IF($A289="","",ROUND(N($H289)+$J289+$M289+$O289-$Q289-$S289-$U289-$W289,0))</f>
        <v/>
      </c>
      <c r="Z289" s="24">
        <f>IF($A289="","",IF(COUNTIFS(入库单!$G$4:$G$2503,$A289,入库单!$Y$4:$Y$2503,"待补价")+COUNTIFS(入库单!$G$4:$G$2503,$A289,入库单!$Y$4:$Y$2503,"暂估")&gt;0,"不可信","可信"))</f>
        <v/>
      </c>
      <c r="AA289" s="24">
        <f>IF($A289="","",IF($X289&lt;-0.001,"※账面负库存，查一下是不是漏记入库",IF(AND(ROUND($X289,3)=0,ABS($Y289)&gt;1),"※数量已经是 0，金额还挂着 "&amp;TEXT($Y289,"#,##0")&amp;" 先令",IF(AND($X289&gt;0,$Y289&lt;=0,$K289=0),"※有数量没金额（这个物料一直没填过进价）",IF($Z289="不可信","△成本含待补价/暂估，毛利仅供参考","")))))</f>
        <v/>
      </c>
    </row>
    <row r="290">
      <c r="A290" s="24">
        <f>IF(物料档案!$A289="","",物料档案!$A289)</f>
        <v/>
      </c>
      <c r="B290" s="24">
        <f>IF($A290="","",IFERROR(VLOOKUP($A290,物料档案!$A$4:$P$1203,3,0),""))</f>
        <v/>
      </c>
      <c r="C290" s="24">
        <f>IF($A290="","",IFERROR(VLOOKUP($A290,物料档案!$A$4:$P$1203,4,0),""))</f>
        <v/>
      </c>
      <c r="D290" s="24">
        <f>IF($A290="","",IFERROR(VLOOKUP($A290,物料档案!$A$4:$P$1203,5,0),""))</f>
        <v/>
      </c>
      <c r="E290" s="24">
        <f>IF($A290="","",IFERROR(VLOOKUP($A290,物料档案!$A$4:$P$1203,2,0),""))</f>
        <v/>
      </c>
      <c r="F290" s="24">
        <f>IF($A290="","",IFERROR(VLOOKUP($A290,物料档案!$A$4:$P$1203,6,0),""))</f>
        <v/>
      </c>
      <c r="G290" s="23" t="n"/>
      <c r="H290" s="32" t="n"/>
      <c r="I290" s="27">
        <f>IF($A290="","",SUMIFS(入库单!$K$4:$K$2503,入库单!$G$4:$G$2503,$A290,入库单!$X$4:$X$2503,"采购入库",入库单!$Z$4:$Z$2503,"正常",入库单!$C$4:$C$2503,"&gt;="&amp;账期起,入库单!$C$4:$C$2503,"&lt;="&amp;账期止))</f>
        <v/>
      </c>
      <c r="J290" s="26">
        <f>IF($A290="","",SUMIFS(入库单!$V$4:$V$2503,入库单!$G$4:$G$2503,$A290,入库单!$X$4:$X$2503,"采购入库",入库单!$Z$4:$Z$2503,"正常",入库单!$C$4:$C$2503,"&gt;="&amp;账期起,入库单!$C$4:$C$2503,"&lt;="&amp;账期止))</f>
        <v/>
      </c>
      <c r="K290" s="26">
        <f>IF($A290="","",IFERROR(ROUND((N($H290)+N($J290))/(N($G290)+N($I290)),2),0))</f>
        <v/>
      </c>
      <c r="L290" s="27">
        <f>IF($A290="","",SUMIFS(入库单!$K$4:$K$2503,入库单!$G$4:$G$2503,$A290,入库单!$X$4:$X$2503,"盘盈",入库单!$Z$4:$Z$2503,"正常",入库单!$C$4:$C$2503,"&gt;="&amp;账期起,入库单!$C$4:$C$2503,"&lt;="&amp;账期止))</f>
        <v/>
      </c>
      <c r="M290" s="26">
        <f>IF($A290="","",ROUND($L290*$K290,0))</f>
        <v/>
      </c>
      <c r="N290" s="27">
        <f>IF($A290="","",SUMIFS(入库单!$K$4:$K$2503,入库单!$G$4:$G$2503,$A290,入库单!$X$4:$X$2503,"矿区退库",入库单!$Z$4:$Z$2503,"正常",入库单!$C$4:$C$2503,"&gt;="&amp;账期起,入库单!$C$4:$C$2503,"&lt;="&amp;账期止))</f>
        <v/>
      </c>
      <c r="O290" s="26">
        <f>IF($A290="","",ROUND($N290*$K290,0))</f>
        <v/>
      </c>
      <c r="P290" s="27">
        <f>IF($A290="","",SUMIFS(出库单!$J$4:$J$4003,出库单!$D$4:$D$4003,$A290,出库单!$K$4:$K$4003,"自用消耗",出库单!$U$4:$U$4003,"正常",出库单!$C$4:$C$4003,"&gt;="&amp;账期起,出库单!$C$4:$C$4003,"&lt;="&amp;账期止))</f>
        <v/>
      </c>
      <c r="Q290" s="26">
        <f>IF($A290="","",ROUND(SUMIFS(出库单!$S$4:$S$4003,出库单!$D$4:$D$4003,$A290,出库单!$K$4:$K$4003,"自用消耗",出库单!$U$4:$U$4003,"正常",出库单!$C$4:$C$4003,"&gt;="&amp;账期起,出库单!$C$4:$C$4003,"&lt;="&amp;账期止),0))</f>
        <v/>
      </c>
      <c r="R290" s="27">
        <f>IF($A290="","",SUMIFS(出库单!$J$4:$J$4003,出库单!$D$4:$D$4003,$A290,出库单!$K$4:$K$4003,"对外销售",出库单!$U$4:$U$4003,"正常",出库单!$C$4:$C$4003,"&gt;="&amp;账期起,出库单!$C$4:$C$4003,"&lt;="&amp;账期止))</f>
        <v/>
      </c>
      <c r="S290" s="26">
        <f>IF($A290="","",ROUND(SUMIFS(出库单!$S$4:$S$4003,出库单!$D$4:$D$4003,$A290,出库单!$K$4:$K$4003,"对外销售",出库单!$U$4:$U$4003,"正常",出库单!$C$4:$C$4003,"&gt;="&amp;账期起,出库单!$C$4:$C$4003,"&lt;="&amp;账期止),0))</f>
        <v/>
      </c>
      <c r="T290" s="27">
        <f>IF($A290="","",SUMIFS(出库单!$J$4:$J$4003,出库单!$D$4:$D$4003,$A290,出库单!$K$4:$K$4003,"盘亏",出库单!$U$4:$U$4003,"正常",出库单!$C$4:$C$4003,"&gt;="&amp;账期起,出库单!$C$4:$C$4003,"&lt;="&amp;账期止))</f>
        <v/>
      </c>
      <c r="U290" s="26">
        <f>IF($A290="","",ROUND(SUMIFS(出库单!$S$4:$S$4003,出库单!$D$4:$D$4003,$A290,出库单!$K$4:$K$4003,"盘亏",出库单!$U$4:$U$4003,"正常",出库单!$C$4:$C$4003,"&gt;="&amp;账期起,出库单!$C$4:$C$4003,"&lt;="&amp;账期止),0))</f>
        <v/>
      </c>
      <c r="V290" s="27">
        <f>IF($A290="","",SUMIFS(出库单!$J$4:$J$4003,出库单!$D$4:$D$4003,$A290,出库单!$K$4:$K$4003,"退货给供应商",出库单!$U$4:$U$4003,"正常",出库单!$C$4:$C$4003,"&gt;="&amp;账期起,出库单!$C$4:$C$4003,"&lt;="&amp;账期止))</f>
        <v/>
      </c>
      <c r="W290" s="26">
        <f>IF($A290="","",ROUND(SUMIFS(出库单!$S$4:$S$4003,出库单!$D$4:$D$4003,$A290,出库单!$K$4:$K$4003,"退货给供应商",出库单!$U$4:$U$4003,"正常",出库单!$C$4:$C$4003,"&gt;="&amp;账期起,出库单!$C$4:$C$4003,"&lt;="&amp;账期止),0))</f>
        <v/>
      </c>
      <c r="X290" s="27">
        <f>IF($A290="","",ROUND(N($G290)+$I290+$L290+$N290-$P290-$R290-$T290-$V290,3))</f>
        <v/>
      </c>
      <c r="Y290" s="26">
        <f>IF($A290="","",ROUND(N($H290)+$J290+$M290+$O290-$Q290-$S290-$U290-$W290,0))</f>
        <v/>
      </c>
      <c r="Z290" s="24">
        <f>IF($A290="","",IF(COUNTIFS(入库单!$G$4:$G$2503,$A290,入库单!$Y$4:$Y$2503,"待补价")+COUNTIFS(入库单!$G$4:$G$2503,$A290,入库单!$Y$4:$Y$2503,"暂估")&gt;0,"不可信","可信"))</f>
        <v/>
      </c>
      <c r="AA290" s="24">
        <f>IF($A290="","",IF($X290&lt;-0.001,"※账面负库存，查一下是不是漏记入库",IF(AND(ROUND($X290,3)=0,ABS($Y290)&gt;1),"※数量已经是 0，金额还挂着 "&amp;TEXT($Y290,"#,##0")&amp;" 先令",IF(AND($X290&gt;0,$Y290&lt;=0,$K290=0),"※有数量没金额（这个物料一直没填过进价）",IF($Z290="不可信","△成本含待补价/暂估，毛利仅供参考","")))))</f>
        <v/>
      </c>
    </row>
    <row r="291">
      <c r="A291" s="24">
        <f>IF(物料档案!$A290="","",物料档案!$A290)</f>
        <v/>
      </c>
      <c r="B291" s="24">
        <f>IF($A291="","",IFERROR(VLOOKUP($A291,物料档案!$A$4:$P$1203,3,0),""))</f>
        <v/>
      </c>
      <c r="C291" s="24">
        <f>IF($A291="","",IFERROR(VLOOKUP($A291,物料档案!$A$4:$P$1203,4,0),""))</f>
        <v/>
      </c>
      <c r="D291" s="24">
        <f>IF($A291="","",IFERROR(VLOOKUP($A291,物料档案!$A$4:$P$1203,5,0),""))</f>
        <v/>
      </c>
      <c r="E291" s="24">
        <f>IF($A291="","",IFERROR(VLOOKUP($A291,物料档案!$A$4:$P$1203,2,0),""))</f>
        <v/>
      </c>
      <c r="F291" s="24">
        <f>IF($A291="","",IFERROR(VLOOKUP($A291,物料档案!$A$4:$P$1203,6,0),""))</f>
        <v/>
      </c>
      <c r="G291" s="23" t="n"/>
      <c r="H291" s="32" t="n"/>
      <c r="I291" s="27">
        <f>IF($A291="","",SUMIFS(入库单!$K$4:$K$2503,入库单!$G$4:$G$2503,$A291,入库单!$X$4:$X$2503,"采购入库",入库单!$Z$4:$Z$2503,"正常",入库单!$C$4:$C$2503,"&gt;="&amp;账期起,入库单!$C$4:$C$2503,"&lt;="&amp;账期止))</f>
        <v/>
      </c>
      <c r="J291" s="26">
        <f>IF($A291="","",SUMIFS(入库单!$V$4:$V$2503,入库单!$G$4:$G$2503,$A291,入库单!$X$4:$X$2503,"采购入库",入库单!$Z$4:$Z$2503,"正常",入库单!$C$4:$C$2503,"&gt;="&amp;账期起,入库单!$C$4:$C$2503,"&lt;="&amp;账期止))</f>
        <v/>
      </c>
      <c r="K291" s="26">
        <f>IF($A291="","",IFERROR(ROUND((N($H291)+N($J291))/(N($G291)+N($I291)),2),0))</f>
        <v/>
      </c>
      <c r="L291" s="27">
        <f>IF($A291="","",SUMIFS(入库单!$K$4:$K$2503,入库单!$G$4:$G$2503,$A291,入库单!$X$4:$X$2503,"盘盈",入库单!$Z$4:$Z$2503,"正常",入库单!$C$4:$C$2503,"&gt;="&amp;账期起,入库单!$C$4:$C$2503,"&lt;="&amp;账期止))</f>
        <v/>
      </c>
      <c r="M291" s="26">
        <f>IF($A291="","",ROUND($L291*$K291,0))</f>
        <v/>
      </c>
      <c r="N291" s="27">
        <f>IF($A291="","",SUMIFS(入库单!$K$4:$K$2503,入库单!$G$4:$G$2503,$A291,入库单!$X$4:$X$2503,"矿区退库",入库单!$Z$4:$Z$2503,"正常",入库单!$C$4:$C$2503,"&gt;="&amp;账期起,入库单!$C$4:$C$2503,"&lt;="&amp;账期止))</f>
        <v/>
      </c>
      <c r="O291" s="26">
        <f>IF($A291="","",ROUND($N291*$K291,0))</f>
        <v/>
      </c>
      <c r="P291" s="27">
        <f>IF($A291="","",SUMIFS(出库单!$J$4:$J$4003,出库单!$D$4:$D$4003,$A291,出库单!$K$4:$K$4003,"自用消耗",出库单!$U$4:$U$4003,"正常",出库单!$C$4:$C$4003,"&gt;="&amp;账期起,出库单!$C$4:$C$4003,"&lt;="&amp;账期止))</f>
        <v/>
      </c>
      <c r="Q291" s="26">
        <f>IF($A291="","",ROUND(SUMIFS(出库单!$S$4:$S$4003,出库单!$D$4:$D$4003,$A291,出库单!$K$4:$K$4003,"自用消耗",出库单!$U$4:$U$4003,"正常",出库单!$C$4:$C$4003,"&gt;="&amp;账期起,出库单!$C$4:$C$4003,"&lt;="&amp;账期止),0))</f>
        <v/>
      </c>
      <c r="R291" s="27">
        <f>IF($A291="","",SUMIFS(出库单!$J$4:$J$4003,出库单!$D$4:$D$4003,$A291,出库单!$K$4:$K$4003,"对外销售",出库单!$U$4:$U$4003,"正常",出库单!$C$4:$C$4003,"&gt;="&amp;账期起,出库单!$C$4:$C$4003,"&lt;="&amp;账期止))</f>
        <v/>
      </c>
      <c r="S291" s="26">
        <f>IF($A291="","",ROUND(SUMIFS(出库单!$S$4:$S$4003,出库单!$D$4:$D$4003,$A291,出库单!$K$4:$K$4003,"对外销售",出库单!$U$4:$U$4003,"正常",出库单!$C$4:$C$4003,"&gt;="&amp;账期起,出库单!$C$4:$C$4003,"&lt;="&amp;账期止),0))</f>
        <v/>
      </c>
      <c r="T291" s="27">
        <f>IF($A291="","",SUMIFS(出库单!$J$4:$J$4003,出库单!$D$4:$D$4003,$A291,出库单!$K$4:$K$4003,"盘亏",出库单!$U$4:$U$4003,"正常",出库单!$C$4:$C$4003,"&gt;="&amp;账期起,出库单!$C$4:$C$4003,"&lt;="&amp;账期止))</f>
        <v/>
      </c>
      <c r="U291" s="26">
        <f>IF($A291="","",ROUND(SUMIFS(出库单!$S$4:$S$4003,出库单!$D$4:$D$4003,$A291,出库单!$K$4:$K$4003,"盘亏",出库单!$U$4:$U$4003,"正常",出库单!$C$4:$C$4003,"&gt;="&amp;账期起,出库单!$C$4:$C$4003,"&lt;="&amp;账期止),0))</f>
        <v/>
      </c>
      <c r="V291" s="27">
        <f>IF($A291="","",SUMIFS(出库单!$J$4:$J$4003,出库单!$D$4:$D$4003,$A291,出库单!$K$4:$K$4003,"退货给供应商",出库单!$U$4:$U$4003,"正常",出库单!$C$4:$C$4003,"&gt;="&amp;账期起,出库单!$C$4:$C$4003,"&lt;="&amp;账期止))</f>
        <v/>
      </c>
      <c r="W291" s="26">
        <f>IF($A291="","",ROUND(SUMIFS(出库单!$S$4:$S$4003,出库单!$D$4:$D$4003,$A291,出库单!$K$4:$K$4003,"退货给供应商",出库单!$U$4:$U$4003,"正常",出库单!$C$4:$C$4003,"&gt;="&amp;账期起,出库单!$C$4:$C$4003,"&lt;="&amp;账期止),0))</f>
        <v/>
      </c>
      <c r="X291" s="27">
        <f>IF($A291="","",ROUND(N($G291)+$I291+$L291+$N291-$P291-$R291-$T291-$V291,3))</f>
        <v/>
      </c>
      <c r="Y291" s="26">
        <f>IF($A291="","",ROUND(N($H291)+$J291+$M291+$O291-$Q291-$S291-$U291-$W291,0))</f>
        <v/>
      </c>
      <c r="Z291" s="24">
        <f>IF($A291="","",IF(COUNTIFS(入库单!$G$4:$G$2503,$A291,入库单!$Y$4:$Y$2503,"待补价")+COUNTIFS(入库单!$G$4:$G$2503,$A291,入库单!$Y$4:$Y$2503,"暂估")&gt;0,"不可信","可信"))</f>
        <v/>
      </c>
      <c r="AA291" s="24">
        <f>IF($A291="","",IF($X291&lt;-0.001,"※账面负库存，查一下是不是漏记入库",IF(AND(ROUND($X291,3)=0,ABS($Y291)&gt;1),"※数量已经是 0，金额还挂着 "&amp;TEXT($Y291,"#,##0")&amp;" 先令",IF(AND($X291&gt;0,$Y291&lt;=0,$K291=0),"※有数量没金额（这个物料一直没填过进价）",IF($Z291="不可信","△成本含待补价/暂估，毛利仅供参考","")))))</f>
        <v/>
      </c>
    </row>
    <row r="292">
      <c r="A292" s="24">
        <f>IF(物料档案!$A291="","",物料档案!$A291)</f>
        <v/>
      </c>
      <c r="B292" s="24">
        <f>IF($A292="","",IFERROR(VLOOKUP($A292,物料档案!$A$4:$P$1203,3,0),""))</f>
        <v/>
      </c>
      <c r="C292" s="24">
        <f>IF($A292="","",IFERROR(VLOOKUP($A292,物料档案!$A$4:$P$1203,4,0),""))</f>
        <v/>
      </c>
      <c r="D292" s="24">
        <f>IF($A292="","",IFERROR(VLOOKUP($A292,物料档案!$A$4:$P$1203,5,0),""))</f>
        <v/>
      </c>
      <c r="E292" s="24">
        <f>IF($A292="","",IFERROR(VLOOKUP($A292,物料档案!$A$4:$P$1203,2,0),""))</f>
        <v/>
      </c>
      <c r="F292" s="24">
        <f>IF($A292="","",IFERROR(VLOOKUP($A292,物料档案!$A$4:$P$1203,6,0),""))</f>
        <v/>
      </c>
      <c r="G292" s="23" t="n"/>
      <c r="H292" s="32" t="n"/>
      <c r="I292" s="27">
        <f>IF($A292="","",SUMIFS(入库单!$K$4:$K$2503,入库单!$G$4:$G$2503,$A292,入库单!$X$4:$X$2503,"采购入库",入库单!$Z$4:$Z$2503,"正常",入库单!$C$4:$C$2503,"&gt;="&amp;账期起,入库单!$C$4:$C$2503,"&lt;="&amp;账期止))</f>
        <v/>
      </c>
      <c r="J292" s="26">
        <f>IF($A292="","",SUMIFS(入库单!$V$4:$V$2503,入库单!$G$4:$G$2503,$A292,入库单!$X$4:$X$2503,"采购入库",入库单!$Z$4:$Z$2503,"正常",入库单!$C$4:$C$2503,"&gt;="&amp;账期起,入库单!$C$4:$C$2503,"&lt;="&amp;账期止))</f>
        <v/>
      </c>
      <c r="K292" s="26">
        <f>IF($A292="","",IFERROR(ROUND((N($H292)+N($J292))/(N($G292)+N($I292)),2),0))</f>
        <v/>
      </c>
      <c r="L292" s="27">
        <f>IF($A292="","",SUMIFS(入库单!$K$4:$K$2503,入库单!$G$4:$G$2503,$A292,入库单!$X$4:$X$2503,"盘盈",入库单!$Z$4:$Z$2503,"正常",入库单!$C$4:$C$2503,"&gt;="&amp;账期起,入库单!$C$4:$C$2503,"&lt;="&amp;账期止))</f>
        <v/>
      </c>
      <c r="M292" s="26">
        <f>IF($A292="","",ROUND($L292*$K292,0))</f>
        <v/>
      </c>
      <c r="N292" s="27">
        <f>IF($A292="","",SUMIFS(入库单!$K$4:$K$2503,入库单!$G$4:$G$2503,$A292,入库单!$X$4:$X$2503,"矿区退库",入库单!$Z$4:$Z$2503,"正常",入库单!$C$4:$C$2503,"&gt;="&amp;账期起,入库单!$C$4:$C$2503,"&lt;="&amp;账期止))</f>
        <v/>
      </c>
      <c r="O292" s="26">
        <f>IF($A292="","",ROUND($N292*$K292,0))</f>
        <v/>
      </c>
      <c r="P292" s="27">
        <f>IF($A292="","",SUMIFS(出库单!$J$4:$J$4003,出库单!$D$4:$D$4003,$A292,出库单!$K$4:$K$4003,"自用消耗",出库单!$U$4:$U$4003,"正常",出库单!$C$4:$C$4003,"&gt;="&amp;账期起,出库单!$C$4:$C$4003,"&lt;="&amp;账期止))</f>
        <v/>
      </c>
      <c r="Q292" s="26">
        <f>IF($A292="","",ROUND(SUMIFS(出库单!$S$4:$S$4003,出库单!$D$4:$D$4003,$A292,出库单!$K$4:$K$4003,"自用消耗",出库单!$U$4:$U$4003,"正常",出库单!$C$4:$C$4003,"&gt;="&amp;账期起,出库单!$C$4:$C$4003,"&lt;="&amp;账期止),0))</f>
        <v/>
      </c>
      <c r="R292" s="27">
        <f>IF($A292="","",SUMIFS(出库单!$J$4:$J$4003,出库单!$D$4:$D$4003,$A292,出库单!$K$4:$K$4003,"对外销售",出库单!$U$4:$U$4003,"正常",出库单!$C$4:$C$4003,"&gt;="&amp;账期起,出库单!$C$4:$C$4003,"&lt;="&amp;账期止))</f>
        <v/>
      </c>
      <c r="S292" s="26">
        <f>IF($A292="","",ROUND(SUMIFS(出库单!$S$4:$S$4003,出库单!$D$4:$D$4003,$A292,出库单!$K$4:$K$4003,"对外销售",出库单!$U$4:$U$4003,"正常",出库单!$C$4:$C$4003,"&gt;="&amp;账期起,出库单!$C$4:$C$4003,"&lt;="&amp;账期止),0))</f>
        <v/>
      </c>
      <c r="T292" s="27">
        <f>IF($A292="","",SUMIFS(出库单!$J$4:$J$4003,出库单!$D$4:$D$4003,$A292,出库单!$K$4:$K$4003,"盘亏",出库单!$U$4:$U$4003,"正常",出库单!$C$4:$C$4003,"&gt;="&amp;账期起,出库单!$C$4:$C$4003,"&lt;="&amp;账期止))</f>
        <v/>
      </c>
      <c r="U292" s="26">
        <f>IF($A292="","",ROUND(SUMIFS(出库单!$S$4:$S$4003,出库单!$D$4:$D$4003,$A292,出库单!$K$4:$K$4003,"盘亏",出库单!$U$4:$U$4003,"正常",出库单!$C$4:$C$4003,"&gt;="&amp;账期起,出库单!$C$4:$C$4003,"&lt;="&amp;账期止),0))</f>
        <v/>
      </c>
      <c r="V292" s="27">
        <f>IF($A292="","",SUMIFS(出库单!$J$4:$J$4003,出库单!$D$4:$D$4003,$A292,出库单!$K$4:$K$4003,"退货给供应商",出库单!$U$4:$U$4003,"正常",出库单!$C$4:$C$4003,"&gt;="&amp;账期起,出库单!$C$4:$C$4003,"&lt;="&amp;账期止))</f>
        <v/>
      </c>
      <c r="W292" s="26">
        <f>IF($A292="","",ROUND(SUMIFS(出库单!$S$4:$S$4003,出库单!$D$4:$D$4003,$A292,出库单!$K$4:$K$4003,"退货给供应商",出库单!$U$4:$U$4003,"正常",出库单!$C$4:$C$4003,"&gt;="&amp;账期起,出库单!$C$4:$C$4003,"&lt;="&amp;账期止),0))</f>
        <v/>
      </c>
      <c r="X292" s="27">
        <f>IF($A292="","",ROUND(N($G292)+$I292+$L292+$N292-$P292-$R292-$T292-$V292,3))</f>
        <v/>
      </c>
      <c r="Y292" s="26">
        <f>IF($A292="","",ROUND(N($H292)+$J292+$M292+$O292-$Q292-$S292-$U292-$W292,0))</f>
        <v/>
      </c>
      <c r="Z292" s="24">
        <f>IF($A292="","",IF(COUNTIFS(入库单!$G$4:$G$2503,$A292,入库单!$Y$4:$Y$2503,"待补价")+COUNTIFS(入库单!$G$4:$G$2503,$A292,入库单!$Y$4:$Y$2503,"暂估")&gt;0,"不可信","可信"))</f>
        <v/>
      </c>
      <c r="AA292" s="24">
        <f>IF($A292="","",IF($X292&lt;-0.001,"※账面负库存，查一下是不是漏记入库",IF(AND(ROUND($X292,3)=0,ABS($Y292)&gt;1),"※数量已经是 0，金额还挂着 "&amp;TEXT($Y292,"#,##0")&amp;" 先令",IF(AND($X292&gt;0,$Y292&lt;=0,$K292=0),"※有数量没金额（这个物料一直没填过进价）",IF($Z292="不可信","△成本含待补价/暂估，毛利仅供参考","")))))</f>
        <v/>
      </c>
    </row>
    <row r="293">
      <c r="A293" s="24">
        <f>IF(物料档案!$A292="","",物料档案!$A292)</f>
        <v/>
      </c>
      <c r="B293" s="24">
        <f>IF($A293="","",IFERROR(VLOOKUP($A293,物料档案!$A$4:$P$1203,3,0),""))</f>
        <v/>
      </c>
      <c r="C293" s="24">
        <f>IF($A293="","",IFERROR(VLOOKUP($A293,物料档案!$A$4:$P$1203,4,0),""))</f>
        <v/>
      </c>
      <c r="D293" s="24">
        <f>IF($A293="","",IFERROR(VLOOKUP($A293,物料档案!$A$4:$P$1203,5,0),""))</f>
        <v/>
      </c>
      <c r="E293" s="24">
        <f>IF($A293="","",IFERROR(VLOOKUP($A293,物料档案!$A$4:$P$1203,2,0),""))</f>
        <v/>
      </c>
      <c r="F293" s="24">
        <f>IF($A293="","",IFERROR(VLOOKUP($A293,物料档案!$A$4:$P$1203,6,0),""))</f>
        <v/>
      </c>
      <c r="G293" s="23" t="n"/>
      <c r="H293" s="32" t="n"/>
      <c r="I293" s="27">
        <f>IF($A293="","",SUMIFS(入库单!$K$4:$K$2503,入库单!$G$4:$G$2503,$A293,入库单!$X$4:$X$2503,"采购入库",入库单!$Z$4:$Z$2503,"正常",入库单!$C$4:$C$2503,"&gt;="&amp;账期起,入库单!$C$4:$C$2503,"&lt;="&amp;账期止))</f>
        <v/>
      </c>
      <c r="J293" s="26">
        <f>IF($A293="","",SUMIFS(入库单!$V$4:$V$2503,入库单!$G$4:$G$2503,$A293,入库单!$X$4:$X$2503,"采购入库",入库单!$Z$4:$Z$2503,"正常",入库单!$C$4:$C$2503,"&gt;="&amp;账期起,入库单!$C$4:$C$2503,"&lt;="&amp;账期止))</f>
        <v/>
      </c>
      <c r="K293" s="26">
        <f>IF($A293="","",IFERROR(ROUND((N($H293)+N($J293))/(N($G293)+N($I293)),2),0))</f>
        <v/>
      </c>
      <c r="L293" s="27">
        <f>IF($A293="","",SUMIFS(入库单!$K$4:$K$2503,入库单!$G$4:$G$2503,$A293,入库单!$X$4:$X$2503,"盘盈",入库单!$Z$4:$Z$2503,"正常",入库单!$C$4:$C$2503,"&gt;="&amp;账期起,入库单!$C$4:$C$2503,"&lt;="&amp;账期止))</f>
        <v/>
      </c>
      <c r="M293" s="26">
        <f>IF($A293="","",ROUND($L293*$K293,0))</f>
        <v/>
      </c>
      <c r="N293" s="27">
        <f>IF($A293="","",SUMIFS(入库单!$K$4:$K$2503,入库单!$G$4:$G$2503,$A293,入库单!$X$4:$X$2503,"矿区退库",入库单!$Z$4:$Z$2503,"正常",入库单!$C$4:$C$2503,"&gt;="&amp;账期起,入库单!$C$4:$C$2503,"&lt;="&amp;账期止))</f>
        <v/>
      </c>
      <c r="O293" s="26">
        <f>IF($A293="","",ROUND($N293*$K293,0))</f>
        <v/>
      </c>
      <c r="P293" s="27">
        <f>IF($A293="","",SUMIFS(出库单!$J$4:$J$4003,出库单!$D$4:$D$4003,$A293,出库单!$K$4:$K$4003,"自用消耗",出库单!$U$4:$U$4003,"正常",出库单!$C$4:$C$4003,"&gt;="&amp;账期起,出库单!$C$4:$C$4003,"&lt;="&amp;账期止))</f>
        <v/>
      </c>
      <c r="Q293" s="26">
        <f>IF($A293="","",ROUND(SUMIFS(出库单!$S$4:$S$4003,出库单!$D$4:$D$4003,$A293,出库单!$K$4:$K$4003,"自用消耗",出库单!$U$4:$U$4003,"正常",出库单!$C$4:$C$4003,"&gt;="&amp;账期起,出库单!$C$4:$C$4003,"&lt;="&amp;账期止),0))</f>
        <v/>
      </c>
      <c r="R293" s="27">
        <f>IF($A293="","",SUMIFS(出库单!$J$4:$J$4003,出库单!$D$4:$D$4003,$A293,出库单!$K$4:$K$4003,"对外销售",出库单!$U$4:$U$4003,"正常",出库单!$C$4:$C$4003,"&gt;="&amp;账期起,出库单!$C$4:$C$4003,"&lt;="&amp;账期止))</f>
        <v/>
      </c>
      <c r="S293" s="26">
        <f>IF($A293="","",ROUND(SUMIFS(出库单!$S$4:$S$4003,出库单!$D$4:$D$4003,$A293,出库单!$K$4:$K$4003,"对外销售",出库单!$U$4:$U$4003,"正常",出库单!$C$4:$C$4003,"&gt;="&amp;账期起,出库单!$C$4:$C$4003,"&lt;="&amp;账期止),0))</f>
        <v/>
      </c>
      <c r="T293" s="27">
        <f>IF($A293="","",SUMIFS(出库单!$J$4:$J$4003,出库单!$D$4:$D$4003,$A293,出库单!$K$4:$K$4003,"盘亏",出库单!$U$4:$U$4003,"正常",出库单!$C$4:$C$4003,"&gt;="&amp;账期起,出库单!$C$4:$C$4003,"&lt;="&amp;账期止))</f>
        <v/>
      </c>
      <c r="U293" s="26">
        <f>IF($A293="","",ROUND(SUMIFS(出库单!$S$4:$S$4003,出库单!$D$4:$D$4003,$A293,出库单!$K$4:$K$4003,"盘亏",出库单!$U$4:$U$4003,"正常",出库单!$C$4:$C$4003,"&gt;="&amp;账期起,出库单!$C$4:$C$4003,"&lt;="&amp;账期止),0))</f>
        <v/>
      </c>
      <c r="V293" s="27">
        <f>IF($A293="","",SUMIFS(出库单!$J$4:$J$4003,出库单!$D$4:$D$4003,$A293,出库单!$K$4:$K$4003,"退货给供应商",出库单!$U$4:$U$4003,"正常",出库单!$C$4:$C$4003,"&gt;="&amp;账期起,出库单!$C$4:$C$4003,"&lt;="&amp;账期止))</f>
        <v/>
      </c>
      <c r="W293" s="26">
        <f>IF($A293="","",ROUND(SUMIFS(出库单!$S$4:$S$4003,出库单!$D$4:$D$4003,$A293,出库单!$K$4:$K$4003,"退货给供应商",出库单!$U$4:$U$4003,"正常",出库单!$C$4:$C$4003,"&gt;="&amp;账期起,出库单!$C$4:$C$4003,"&lt;="&amp;账期止),0))</f>
        <v/>
      </c>
      <c r="X293" s="27">
        <f>IF($A293="","",ROUND(N($G293)+$I293+$L293+$N293-$P293-$R293-$T293-$V293,3))</f>
        <v/>
      </c>
      <c r="Y293" s="26">
        <f>IF($A293="","",ROUND(N($H293)+$J293+$M293+$O293-$Q293-$S293-$U293-$W293,0))</f>
        <v/>
      </c>
      <c r="Z293" s="24">
        <f>IF($A293="","",IF(COUNTIFS(入库单!$G$4:$G$2503,$A293,入库单!$Y$4:$Y$2503,"待补价")+COUNTIFS(入库单!$G$4:$G$2503,$A293,入库单!$Y$4:$Y$2503,"暂估")&gt;0,"不可信","可信"))</f>
        <v/>
      </c>
      <c r="AA293" s="24">
        <f>IF($A293="","",IF($X293&lt;-0.001,"※账面负库存，查一下是不是漏记入库",IF(AND(ROUND($X293,3)=0,ABS($Y293)&gt;1),"※数量已经是 0，金额还挂着 "&amp;TEXT($Y293,"#,##0")&amp;" 先令",IF(AND($X293&gt;0,$Y293&lt;=0,$K293=0),"※有数量没金额（这个物料一直没填过进价）",IF($Z293="不可信","△成本含待补价/暂估，毛利仅供参考","")))))</f>
        <v/>
      </c>
    </row>
    <row r="294">
      <c r="A294" s="24">
        <f>IF(物料档案!$A293="","",物料档案!$A293)</f>
        <v/>
      </c>
      <c r="B294" s="24">
        <f>IF($A294="","",IFERROR(VLOOKUP($A294,物料档案!$A$4:$P$1203,3,0),""))</f>
        <v/>
      </c>
      <c r="C294" s="24">
        <f>IF($A294="","",IFERROR(VLOOKUP($A294,物料档案!$A$4:$P$1203,4,0),""))</f>
        <v/>
      </c>
      <c r="D294" s="24">
        <f>IF($A294="","",IFERROR(VLOOKUP($A294,物料档案!$A$4:$P$1203,5,0),""))</f>
        <v/>
      </c>
      <c r="E294" s="24">
        <f>IF($A294="","",IFERROR(VLOOKUP($A294,物料档案!$A$4:$P$1203,2,0),""))</f>
        <v/>
      </c>
      <c r="F294" s="24">
        <f>IF($A294="","",IFERROR(VLOOKUP($A294,物料档案!$A$4:$P$1203,6,0),""))</f>
        <v/>
      </c>
      <c r="G294" s="23" t="n"/>
      <c r="H294" s="32" t="n"/>
      <c r="I294" s="27">
        <f>IF($A294="","",SUMIFS(入库单!$K$4:$K$2503,入库单!$G$4:$G$2503,$A294,入库单!$X$4:$X$2503,"采购入库",入库单!$Z$4:$Z$2503,"正常",入库单!$C$4:$C$2503,"&gt;="&amp;账期起,入库单!$C$4:$C$2503,"&lt;="&amp;账期止))</f>
        <v/>
      </c>
      <c r="J294" s="26">
        <f>IF($A294="","",SUMIFS(入库单!$V$4:$V$2503,入库单!$G$4:$G$2503,$A294,入库单!$X$4:$X$2503,"采购入库",入库单!$Z$4:$Z$2503,"正常",入库单!$C$4:$C$2503,"&gt;="&amp;账期起,入库单!$C$4:$C$2503,"&lt;="&amp;账期止))</f>
        <v/>
      </c>
      <c r="K294" s="26">
        <f>IF($A294="","",IFERROR(ROUND((N($H294)+N($J294))/(N($G294)+N($I294)),2),0))</f>
        <v/>
      </c>
      <c r="L294" s="27">
        <f>IF($A294="","",SUMIFS(入库单!$K$4:$K$2503,入库单!$G$4:$G$2503,$A294,入库单!$X$4:$X$2503,"盘盈",入库单!$Z$4:$Z$2503,"正常",入库单!$C$4:$C$2503,"&gt;="&amp;账期起,入库单!$C$4:$C$2503,"&lt;="&amp;账期止))</f>
        <v/>
      </c>
      <c r="M294" s="26">
        <f>IF($A294="","",ROUND($L294*$K294,0))</f>
        <v/>
      </c>
      <c r="N294" s="27">
        <f>IF($A294="","",SUMIFS(入库单!$K$4:$K$2503,入库单!$G$4:$G$2503,$A294,入库单!$X$4:$X$2503,"矿区退库",入库单!$Z$4:$Z$2503,"正常",入库单!$C$4:$C$2503,"&gt;="&amp;账期起,入库单!$C$4:$C$2503,"&lt;="&amp;账期止))</f>
        <v/>
      </c>
      <c r="O294" s="26">
        <f>IF($A294="","",ROUND($N294*$K294,0))</f>
        <v/>
      </c>
      <c r="P294" s="27">
        <f>IF($A294="","",SUMIFS(出库单!$J$4:$J$4003,出库单!$D$4:$D$4003,$A294,出库单!$K$4:$K$4003,"自用消耗",出库单!$U$4:$U$4003,"正常",出库单!$C$4:$C$4003,"&gt;="&amp;账期起,出库单!$C$4:$C$4003,"&lt;="&amp;账期止))</f>
        <v/>
      </c>
      <c r="Q294" s="26">
        <f>IF($A294="","",ROUND(SUMIFS(出库单!$S$4:$S$4003,出库单!$D$4:$D$4003,$A294,出库单!$K$4:$K$4003,"自用消耗",出库单!$U$4:$U$4003,"正常",出库单!$C$4:$C$4003,"&gt;="&amp;账期起,出库单!$C$4:$C$4003,"&lt;="&amp;账期止),0))</f>
        <v/>
      </c>
      <c r="R294" s="27">
        <f>IF($A294="","",SUMIFS(出库单!$J$4:$J$4003,出库单!$D$4:$D$4003,$A294,出库单!$K$4:$K$4003,"对外销售",出库单!$U$4:$U$4003,"正常",出库单!$C$4:$C$4003,"&gt;="&amp;账期起,出库单!$C$4:$C$4003,"&lt;="&amp;账期止))</f>
        <v/>
      </c>
      <c r="S294" s="26">
        <f>IF($A294="","",ROUND(SUMIFS(出库单!$S$4:$S$4003,出库单!$D$4:$D$4003,$A294,出库单!$K$4:$K$4003,"对外销售",出库单!$U$4:$U$4003,"正常",出库单!$C$4:$C$4003,"&gt;="&amp;账期起,出库单!$C$4:$C$4003,"&lt;="&amp;账期止),0))</f>
        <v/>
      </c>
      <c r="T294" s="27">
        <f>IF($A294="","",SUMIFS(出库单!$J$4:$J$4003,出库单!$D$4:$D$4003,$A294,出库单!$K$4:$K$4003,"盘亏",出库单!$U$4:$U$4003,"正常",出库单!$C$4:$C$4003,"&gt;="&amp;账期起,出库单!$C$4:$C$4003,"&lt;="&amp;账期止))</f>
        <v/>
      </c>
      <c r="U294" s="26">
        <f>IF($A294="","",ROUND(SUMIFS(出库单!$S$4:$S$4003,出库单!$D$4:$D$4003,$A294,出库单!$K$4:$K$4003,"盘亏",出库单!$U$4:$U$4003,"正常",出库单!$C$4:$C$4003,"&gt;="&amp;账期起,出库单!$C$4:$C$4003,"&lt;="&amp;账期止),0))</f>
        <v/>
      </c>
      <c r="V294" s="27">
        <f>IF($A294="","",SUMIFS(出库单!$J$4:$J$4003,出库单!$D$4:$D$4003,$A294,出库单!$K$4:$K$4003,"退货给供应商",出库单!$U$4:$U$4003,"正常",出库单!$C$4:$C$4003,"&gt;="&amp;账期起,出库单!$C$4:$C$4003,"&lt;="&amp;账期止))</f>
        <v/>
      </c>
      <c r="W294" s="26">
        <f>IF($A294="","",ROUND(SUMIFS(出库单!$S$4:$S$4003,出库单!$D$4:$D$4003,$A294,出库单!$K$4:$K$4003,"退货给供应商",出库单!$U$4:$U$4003,"正常",出库单!$C$4:$C$4003,"&gt;="&amp;账期起,出库单!$C$4:$C$4003,"&lt;="&amp;账期止),0))</f>
        <v/>
      </c>
      <c r="X294" s="27">
        <f>IF($A294="","",ROUND(N($G294)+$I294+$L294+$N294-$P294-$R294-$T294-$V294,3))</f>
        <v/>
      </c>
      <c r="Y294" s="26">
        <f>IF($A294="","",ROUND(N($H294)+$J294+$M294+$O294-$Q294-$S294-$U294-$W294,0))</f>
        <v/>
      </c>
      <c r="Z294" s="24">
        <f>IF($A294="","",IF(COUNTIFS(入库单!$G$4:$G$2503,$A294,入库单!$Y$4:$Y$2503,"待补价")+COUNTIFS(入库单!$G$4:$G$2503,$A294,入库单!$Y$4:$Y$2503,"暂估")&gt;0,"不可信","可信"))</f>
        <v/>
      </c>
      <c r="AA294" s="24">
        <f>IF($A294="","",IF($X294&lt;-0.001,"※账面负库存，查一下是不是漏记入库",IF(AND(ROUND($X294,3)=0,ABS($Y294)&gt;1),"※数量已经是 0，金额还挂着 "&amp;TEXT($Y294,"#,##0")&amp;" 先令",IF(AND($X294&gt;0,$Y294&lt;=0,$K294=0),"※有数量没金额（这个物料一直没填过进价）",IF($Z294="不可信","△成本含待补价/暂估，毛利仅供参考","")))))</f>
        <v/>
      </c>
    </row>
    <row r="295">
      <c r="A295" s="24">
        <f>IF(物料档案!$A294="","",物料档案!$A294)</f>
        <v/>
      </c>
      <c r="B295" s="24">
        <f>IF($A295="","",IFERROR(VLOOKUP($A295,物料档案!$A$4:$P$1203,3,0),""))</f>
        <v/>
      </c>
      <c r="C295" s="24">
        <f>IF($A295="","",IFERROR(VLOOKUP($A295,物料档案!$A$4:$P$1203,4,0),""))</f>
        <v/>
      </c>
      <c r="D295" s="24">
        <f>IF($A295="","",IFERROR(VLOOKUP($A295,物料档案!$A$4:$P$1203,5,0),""))</f>
        <v/>
      </c>
      <c r="E295" s="24">
        <f>IF($A295="","",IFERROR(VLOOKUP($A295,物料档案!$A$4:$P$1203,2,0),""))</f>
        <v/>
      </c>
      <c r="F295" s="24">
        <f>IF($A295="","",IFERROR(VLOOKUP($A295,物料档案!$A$4:$P$1203,6,0),""))</f>
        <v/>
      </c>
      <c r="G295" s="23" t="n"/>
      <c r="H295" s="32" t="n"/>
      <c r="I295" s="27">
        <f>IF($A295="","",SUMIFS(入库单!$K$4:$K$2503,入库单!$G$4:$G$2503,$A295,入库单!$X$4:$X$2503,"采购入库",入库单!$Z$4:$Z$2503,"正常",入库单!$C$4:$C$2503,"&gt;="&amp;账期起,入库单!$C$4:$C$2503,"&lt;="&amp;账期止))</f>
        <v/>
      </c>
      <c r="J295" s="26">
        <f>IF($A295="","",SUMIFS(入库单!$V$4:$V$2503,入库单!$G$4:$G$2503,$A295,入库单!$X$4:$X$2503,"采购入库",入库单!$Z$4:$Z$2503,"正常",入库单!$C$4:$C$2503,"&gt;="&amp;账期起,入库单!$C$4:$C$2503,"&lt;="&amp;账期止))</f>
        <v/>
      </c>
      <c r="K295" s="26">
        <f>IF($A295="","",IFERROR(ROUND((N($H295)+N($J295))/(N($G295)+N($I295)),2),0))</f>
        <v/>
      </c>
      <c r="L295" s="27">
        <f>IF($A295="","",SUMIFS(入库单!$K$4:$K$2503,入库单!$G$4:$G$2503,$A295,入库单!$X$4:$X$2503,"盘盈",入库单!$Z$4:$Z$2503,"正常",入库单!$C$4:$C$2503,"&gt;="&amp;账期起,入库单!$C$4:$C$2503,"&lt;="&amp;账期止))</f>
        <v/>
      </c>
      <c r="M295" s="26">
        <f>IF($A295="","",ROUND($L295*$K295,0))</f>
        <v/>
      </c>
      <c r="N295" s="27">
        <f>IF($A295="","",SUMIFS(入库单!$K$4:$K$2503,入库单!$G$4:$G$2503,$A295,入库单!$X$4:$X$2503,"矿区退库",入库单!$Z$4:$Z$2503,"正常",入库单!$C$4:$C$2503,"&gt;="&amp;账期起,入库单!$C$4:$C$2503,"&lt;="&amp;账期止))</f>
        <v/>
      </c>
      <c r="O295" s="26">
        <f>IF($A295="","",ROUND($N295*$K295,0))</f>
        <v/>
      </c>
      <c r="P295" s="27">
        <f>IF($A295="","",SUMIFS(出库单!$J$4:$J$4003,出库单!$D$4:$D$4003,$A295,出库单!$K$4:$K$4003,"自用消耗",出库单!$U$4:$U$4003,"正常",出库单!$C$4:$C$4003,"&gt;="&amp;账期起,出库单!$C$4:$C$4003,"&lt;="&amp;账期止))</f>
        <v/>
      </c>
      <c r="Q295" s="26">
        <f>IF($A295="","",ROUND(SUMIFS(出库单!$S$4:$S$4003,出库单!$D$4:$D$4003,$A295,出库单!$K$4:$K$4003,"自用消耗",出库单!$U$4:$U$4003,"正常",出库单!$C$4:$C$4003,"&gt;="&amp;账期起,出库单!$C$4:$C$4003,"&lt;="&amp;账期止),0))</f>
        <v/>
      </c>
      <c r="R295" s="27">
        <f>IF($A295="","",SUMIFS(出库单!$J$4:$J$4003,出库单!$D$4:$D$4003,$A295,出库单!$K$4:$K$4003,"对外销售",出库单!$U$4:$U$4003,"正常",出库单!$C$4:$C$4003,"&gt;="&amp;账期起,出库单!$C$4:$C$4003,"&lt;="&amp;账期止))</f>
        <v/>
      </c>
      <c r="S295" s="26">
        <f>IF($A295="","",ROUND(SUMIFS(出库单!$S$4:$S$4003,出库单!$D$4:$D$4003,$A295,出库单!$K$4:$K$4003,"对外销售",出库单!$U$4:$U$4003,"正常",出库单!$C$4:$C$4003,"&gt;="&amp;账期起,出库单!$C$4:$C$4003,"&lt;="&amp;账期止),0))</f>
        <v/>
      </c>
      <c r="T295" s="27">
        <f>IF($A295="","",SUMIFS(出库单!$J$4:$J$4003,出库单!$D$4:$D$4003,$A295,出库单!$K$4:$K$4003,"盘亏",出库单!$U$4:$U$4003,"正常",出库单!$C$4:$C$4003,"&gt;="&amp;账期起,出库单!$C$4:$C$4003,"&lt;="&amp;账期止))</f>
        <v/>
      </c>
      <c r="U295" s="26">
        <f>IF($A295="","",ROUND(SUMIFS(出库单!$S$4:$S$4003,出库单!$D$4:$D$4003,$A295,出库单!$K$4:$K$4003,"盘亏",出库单!$U$4:$U$4003,"正常",出库单!$C$4:$C$4003,"&gt;="&amp;账期起,出库单!$C$4:$C$4003,"&lt;="&amp;账期止),0))</f>
        <v/>
      </c>
      <c r="V295" s="27">
        <f>IF($A295="","",SUMIFS(出库单!$J$4:$J$4003,出库单!$D$4:$D$4003,$A295,出库单!$K$4:$K$4003,"退货给供应商",出库单!$U$4:$U$4003,"正常",出库单!$C$4:$C$4003,"&gt;="&amp;账期起,出库单!$C$4:$C$4003,"&lt;="&amp;账期止))</f>
        <v/>
      </c>
      <c r="W295" s="26">
        <f>IF($A295="","",ROUND(SUMIFS(出库单!$S$4:$S$4003,出库单!$D$4:$D$4003,$A295,出库单!$K$4:$K$4003,"退货给供应商",出库单!$U$4:$U$4003,"正常",出库单!$C$4:$C$4003,"&gt;="&amp;账期起,出库单!$C$4:$C$4003,"&lt;="&amp;账期止),0))</f>
        <v/>
      </c>
      <c r="X295" s="27">
        <f>IF($A295="","",ROUND(N($G295)+$I295+$L295+$N295-$P295-$R295-$T295-$V295,3))</f>
        <v/>
      </c>
      <c r="Y295" s="26">
        <f>IF($A295="","",ROUND(N($H295)+$J295+$M295+$O295-$Q295-$S295-$U295-$W295,0))</f>
        <v/>
      </c>
      <c r="Z295" s="24">
        <f>IF($A295="","",IF(COUNTIFS(入库单!$G$4:$G$2503,$A295,入库单!$Y$4:$Y$2503,"待补价")+COUNTIFS(入库单!$G$4:$G$2503,$A295,入库单!$Y$4:$Y$2503,"暂估")&gt;0,"不可信","可信"))</f>
        <v/>
      </c>
      <c r="AA295" s="24">
        <f>IF($A295="","",IF($X295&lt;-0.001,"※账面负库存，查一下是不是漏记入库",IF(AND(ROUND($X295,3)=0,ABS($Y295)&gt;1),"※数量已经是 0，金额还挂着 "&amp;TEXT($Y295,"#,##0")&amp;" 先令",IF(AND($X295&gt;0,$Y295&lt;=0,$K295=0),"※有数量没金额（这个物料一直没填过进价）",IF($Z295="不可信","△成本含待补价/暂估，毛利仅供参考","")))))</f>
        <v/>
      </c>
    </row>
    <row r="296">
      <c r="A296" s="24">
        <f>IF(物料档案!$A295="","",物料档案!$A295)</f>
        <v/>
      </c>
      <c r="B296" s="24">
        <f>IF($A296="","",IFERROR(VLOOKUP($A296,物料档案!$A$4:$P$1203,3,0),""))</f>
        <v/>
      </c>
      <c r="C296" s="24">
        <f>IF($A296="","",IFERROR(VLOOKUP($A296,物料档案!$A$4:$P$1203,4,0),""))</f>
        <v/>
      </c>
      <c r="D296" s="24">
        <f>IF($A296="","",IFERROR(VLOOKUP($A296,物料档案!$A$4:$P$1203,5,0),""))</f>
        <v/>
      </c>
      <c r="E296" s="24">
        <f>IF($A296="","",IFERROR(VLOOKUP($A296,物料档案!$A$4:$P$1203,2,0),""))</f>
        <v/>
      </c>
      <c r="F296" s="24">
        <f>IF($A296="","",IFERROR(VLOOKUP($A296,物料档案!$A$4:$P$1203,6,0),""))</f>
        <v/>
      </c>
      <c r="G296" s="23" t="n"/>
      <c r="H296" s="32" t="n"/>
      <c r="I296" s="27">
        <f>IF($A296="","",SUMIFS(入库单!$K$4:$K$2503,入库单!$G$4:$G$2503,$A296,入库单!$X$4:$X$2503,"采购入库",入库单!$Z$4:$Z$2503,"正常",入库单!$C$4:$C$2503,"&gt;="&amp;账期起,入库单!$C$4:$C$2503,"&lt;="&amp;账期止))</f>
        <v/>
      </c>
      <c r="J296" s="26">
        <f>IF($A296="","",SUMIFS(入库单!$V$4:$V$2503,入库单!$G$4:$G$2503,$A296,入库单!$X$4:$X$2503,"采购入库",入库单!$Z$4:$Z$2503,"正常",入库单!$C$4:$C$2503,"&gt;="&amp;账期起,入库单!$C$4:$C$2503,"&lt;="&amp;账期止))</f>
        <v/>
      </c>
      <c r="K296" s="26">
        <f>IF($A296="","",IFERROR(ROUND((N($H296)+N($J296))/(N($G296)+N($I296)),2),0))</f>
        <v/>
      </c>
      <c r="L296" s="27">
        <f>IF($A296="","",SUMIFS(入库单!$K$4:$K$2503,入库单!$G$4:$G$2503,$A296,入库单!$X$4:$X$2503,"盘盈",入库单!$Z$4:$Z$2503,"正常",入库单!$C$4:$C$2503,"&gt;="&amp;账期起,入库单!$C$4:$C$2503,"&lt;="&amp;账期止))</f>
        <v/>
      </c>
      <c r="M296" s="26">
        <f>IF($A296="","",ROUND($L296*$K296,0))</f>
        <v/>
      </c>
      <c r="N296" s="27">
        <f>IF($A296="","",SUMIFS(入库单!$K$4:$K$2503,入库单!$G$4:$G$2503,$A296,入库单!$X$4:$X$2503,"矿区退库",入库单!$Z$4:$Z$2503,"正常",入库单!$C$4:$C$2503,"&gt;="&amp;账期起,入库单!$C$4:$C$2503,"&lt;="&amp;账期止))</f>
        <v/>
      </c>
      <c r="O296" s="26">
        <f>IF($A296="","",ROUND($N296*$K296,0))</f>
        <v/>
      </c>
      <c r="P296" s="27">
        <f>IF($A296="","",SUMIFS(出库单!$J$4:$J$4003,出库单!$D$4:$D$4003,$A296,出库单!$K$4:$K$4003,"自用消耗",出库单!$U$4:$U$4003,"正常",出库单!$C$4:$C$4003,"&gt;="&amp;账期起,出库单!$C$4:$C$4003,"&lt;="&amp;账期止))</f>
        <v/>
      </c>
      <c r="Q296" s="26">
        <f>IF($A296="","",ROUND(SUMIFS(出库单!$S$4:$S$4003,出库单!$D$4:$D$4003,$A296,出库单!$K$4:$K$4003,"自用消耗",出库单!$U$4:$U$4003,"正常",出库单!$C$4:$C$4003,"&gt;="&amp;账期起,出库单!$C$4:$C$4003,"&lt;="&amp;账期止),0))</f>
        <v/>
      </c>
      <c r="R296" s="27">
        <f>IF($A296="","",SUMIFS(出库单!$J$4:$J$4003,出库单!$D$4:$D$4003,$A296,出库单!$K$4:$K$4003,"对外销售",出库单!$U$4:$U$4003,"正常",出库单!$C$4:$C$4003,"&gt;="&amp;账期起,出库单!$C$4:$C$4003,"&lt;="&amp;账期止))</f>
        <v/>
      </c>
      <c r="S296" s="26">
        <f>IF($A296="","",ROUND(SUMIFS(出库单!$S$4:$S$4003,出库单!$D$4:$D$4003,$A296,出库单!$K$4:$K$4003,"对外销售",出库单!$U$4:$U$4003,"正常",出库单!$C$4:$C$4003,"&gt;="&amp;账期起,出库单!$C$4:$C$4003,"&lt;="&amp;账期止),0))</f>
        <v/>
      </c>
      <c r="T296" s="27">
        <f>IF($A296="","",SUMIFS(出库单!$J$4:$J$4003,出库单!$D$4:$D$4003,$A296,出库单!$K$4:$K$4003,"盘亏",出库单!$U$4:$U$4003,"正常",出库单!$C$4:$C$4003,"&gt;="&amp;账期起,出库单!$C$4:$C$4003,"&lt;="&amp;账期止))</f>
        <v/>
      </c>
      <c r="U296" s="26">
        <f>IF($A296="","",ROUND(SUMIFS(出库单!$S$4:$S$4003,出库单!$D$4:$D$4003,$A296,出库单!$K$4:$K$4003,"盘亏",出库单!$U$4:$U$4003,"正常",出库单!$C$4:$C$4003,"&gt;="&amp;账期起,出库单!$C$4:$C$4003,"&lt;="&amp;账期止),0))</f>
        <v/>
      </c>
      <c r="V296" s="27">
        <f>IF($A296="","",SUMIFS(出库单!$J$4:$J$4003,出库单!$D$4:$D$4003,$A296,出库单!$K$4:$K$4003,"退货给供应商",出库单!$U$4:$U$4003,"正常",出库单!$C$4:$C$4003,"&gt;="&amp;账期起,出库单!$C$4:$C$4003,"&lt;="&amp;账期止))</f>
        <v/>
      </c>
      <c r="W296" s="26">
        <f>IF($A296="","",ROUND(SUMIFS(出库单!$S$4:$S$4003,出库单!$D$4:$D$4003,$A296,出库单!$K$4:$K$4003,"退货给供应商",出库单!$U$4:$U$4003,"正常",出库单!$C$4:$C$4003,"&gt;="&amp;账期起,出库单!$C$4:$C$4003,"&lt;="&amp;账期止),0))</f>
        <v/>
      </c>
      <c r="X296" s="27">
        <f>IF($A296="","",ROUND(N($G296)+$I296+$L296+$N296-$P296-$R296-$T296-$V296,3))</f>
        <v/>
      </c>
      <c r="Y296" s="26">
        <f>IF($A296="","",ROUND(N($H296)+$J296+$M296+$O296-$Q296-$S296-$U296-$W296,0))</f>
        <v/>
      </c>
      <c r="Z296" s="24">
        <f>IF($A296="","",IF(COUNTIFS(入库单!$G$4:$G$2503,$A296,入库单!$Y$4:$Y$2503,"待补价")+COUNTIFS(入库单!$G$4:$G$2503,$A296,入库单!$Y$4:$Y$2503,"暂估")&gt;0,"不可信","可信"))</f>
        <v/>
      </c>
      <c r="AA296" s="24">
        <f>IF($A296="","",IF($X296&lt;-0.001,"※账面负库存，查一下是不是漏记入库",IF(AND(ROUND($X296,3)=0,ABS($Y296)&gt;1),"※数量已经是 0，金额还挂着 "&amp;TEXT($Y296,"#,##0")&amp;" 先令",IF(AND($X296&gt;0,$Y296&lt;=0,$K296=0),"※有数量没金额（这个物料一直没填过进价）",IF($Z296="不可信","△成本含待补价/暂估，毛利仅供参考","")))))</f>
        <v/>
      </c>
    </row>
    <row r="297">
      <c r="A297" s="24">
        <f>IF(物料档案!$A296="","",物料档案!$A296)</f>
        <v/>
      </c>
      <c r="B297" s="24">
        <f>IF($A297="","",IFERROR(VLOOKUP($A297,物料档案!$A$4:$P$1203,3,0),""))</f>
        <v/>
      </c>
      <c r="C297" s="24">
        <f>IF($A297="","",IFERROR(VLOOKUP($A297,物料档案!$A$4:$P$1203,4,0),""))</f>
        <v/>
      </c>
      <c r="D297" s="24">
        <f>IF($A297="","",IFERROR(VLOOKUP($A297,物料档案!$A$4:$P$1203,5,0),""))</f>
        <v/>
      </c>
      <c r="E297" s="24">
        <f>IF($A297="","",IFERROR(VLOOKUP($A297,物料档案!$A$4:$P$1203,2,0),""))</f>
        <v/>
      </c>
      <c r="F297" s="24">
        <f>IF($A297="","",IFERROR(VLOOKUP($A297,物料档案!$A$4:$P$1203,6,0),""))</f>
        <v/>
      </c>
      <c r="G297" s="23" t="n"/>
      <c r="H297" s="32" t="n"/>
      <c r="I297" s="27">
        <f>IF($A297="","",SUMIFS(入库单!$K$4:$K$2503,入库单!$G$4:$G$2503,$A297,入库单!$X$4:$X$2503,"采购入库",入库单!$Z$4:$Z$2503,"正常",入库单!$C$4:$C$2503,"&gt;="&amp;账期起,入库单!$C$4:$C$2503,"&lt;="&amp;账期止))</f>
        <v/>
      </c>
      <c r="J297" s="26">
        <f>IF($A297="","",SUMIFS(入库单!$V$4:$V$2503,入库单!$G$4:$G$2503,$A297,入库单!$X$4:$X$2503,"采购入库",入库单!$Z$4:$Z$2503,"正常",入库单!$C$4:$C$2503,"&gt;="&amp;账期起,入库单!$C$4:$C$2503,"&lt;="&amp;账期止))</f>
        <v/>
      </c>
      <c r="K297" s="26">
        <f>IF($A297="","",IFERROR(ROUND((N($H297)+N($J297))/(N($G297)+N($I297)),2),0))</f>
        <v/>
      </c>
      <c r="L297" s="27">
        <f>IF($A297="","",SUMIFS(入库单!$K$4:$K$2503,入库单!$G$4:$G$2503,$A297,入库单!$X$4:$X$2503,"盘盈",入库单!$Z$4:$Z$2503,"正常",入库单!$C$4:$C$2503,"&gt;="&amp;账期起,入库单!$C$4:$C$2503,"&lt;="&amp;账期止))</f>
        <v/>
      </c>
      <c r="M297" s="26">
        <f>IF($A297="","",ROUND($L297*$K297,0))</f>
        <v/>
      </c>
      <c r="N297" s="27">
        <f>IF($A297="","",SUMIFS(入库单!$K$4:$K$2503,入库单!$G$4:$G$2503,$A297,入库单!$X$4:$X$2503,"矿区退库",入库单!$Z$4:$Z$2503,"正常",入库单!$C$4:$C$2503,"&gt;="&amp;账期起,入库单!$C$4:$C$2503,"&lt;="&amp;账期止))</f>
        <v/>
      </c>
      <c r="O297" s="26">
        <f>IF($A297="","",ROUND($N297*$K297,0))</f>
        <v/>
      </c>
      <c r="P297" s="27">
        <f>IF($A297="","",SUMIFS(出库单!$J$4:$J$4003,出库单!$D$4:$D$4003,$A297,出库单!$K$4:$K$4003,"自用消耗",出库单!$U$4:$U$4003,"正常",出库单!$C$4:$C$4003,"&gt;="&amp;账期起,出库单!$C$4:$C$4003,"&lt;="&amp;账期止))</f>
        <v/>
      </c>
      <c r="Q297" s="26">
        <f>IF($A297="","",ROUND(SUMIFS(出库单!$S$4:$S$4003,出库单!$D$4:$D$4003,$A297,出库单!$K$4:$K$4003,"自用消耗",出库单!$U$4:$U$4003,"正常",出库单!$C$4:$C$4003,"&gt;="&amp;账期起,出库单!$C$4:$C$4003,"&lt;="&amp;账期止),0))</f>
        <v/>
      </c>
      <c r="R297" s="27">
        <f>IF($A297="","",SUMIFS(出库单!$J$4:$J$4003,出库单!$D$4:$D$4003,$A297,出库单!$K$4:$K$4003,"对外销售",出库单!$U$4:$U$4003,"正常",出库单!$C$4:$C$4003,"&gt;="&amp;账期起,出库单!$C$4:$C$4003,"&lt;="&amp;账期止))</f>
        <v/>
      </c>
      <c r="S297" s="26">
        <f>IF($A297="","",ROUND(SUMIFS(出库单!$S$4:$S$4003,出库单!$D$4:$D$4003,$A297,出库单!$K$4:$K$4003,"对外销售",出库单!$U$4:$U$4003,"正常",出库单!$C$4:$C$4003,"&gt;="&amp;账期起,出库单!$C$4:$C$4003,"&lt;="&amp;账期止),0))</f>
        <v/>
      </c>
      <c r="T297" s="27">
        <f>IF($A297="","",SUMIFS(出库单!$J$4:$J$4003,出库单!$D$4:$D$4003,$A297,出库单!$K$4:$K$4003,"盘亏",出库单!$U$4:$U$4003,"正常",出库单!$C$4:$C$4003,"&gt;="&amp;账期起,出库单!$C$4:$C$4003,"&lt;="&amp;账期止))</f>
        <v/>
      </c>
      <c r="U297" s="26">
        <f>IF($A297="","",ROUND(SUMIFS(出库单!$S$4:$S$4003,出库单!$D$4:$D$4003,$A297,出库单!$K$4:$K$4003,"盘亏",出库单!$U$4:$U$4003,"正常",出库单!$C$4:$C$4003,"&gt;="&amp;账期起,出库单!$C$4:$C$4003,"&lt;="&amp;账期止),0))</f>
        <v/>
      </c>
      <c r="V297" s="27">
        <f>IF($A297="","",SUMIFS(出库单!$J$4:$J$4003,出库单!$D$4:$D$4003,$A297,出库单!$K$4:$K$4003,"退货给供应商",出库单!$U$4:$U$4003,"正常",出库单!$C$4:$C$4003,"&gt;="&amp;账期起,出库单!$C$4:$C$4003,"&lt;="&amp;账期止))</f>
        <v/>
      </c>
      <c r="W297" s="26">
        <f>IF($A297="","",ROUND(SUMIFS(出库单!$S$4:$S$4003,出库单!$D$4:$D$4003,$A297,出库单!$K$4:$K$4003,"退货给供应商",出库单!$U$4:$U$4003,"正常",出库单!$C$4:$C$4003,"&gt;="&amp;账期起,出库单!$C$4:$C$4003,"&lt;="&amp;账期止),0))</f>
        <v/>
      </c>
      <c r="X297" s="27">
        <f>IF($A297="","",ROUND(N($G297)+$I297+$L297+$N297-$P297-$R297-$T297-$V297,3))</f>
        <v/>
      </c>
      <c r="Y297" s="26">
        <f>IF($A297="","",ROUND(N($H297)+$J297+$M297+$O297-$Q297-$S297-$U297-$W297,0))</f>
        <v/>
      </c>
      <c r="Z297" s="24">
        <f>IF($A297="","",IF(COUNTIFS(入库单!$G$4:$G$2503,$A297,入库单!$Y$4:$Y$2503,"待补价")+COUNTIFS(入库单!$G$4:$G$2503,$A297,入库单!$Y$4:$Y$2503,"暂估")&gt;0,"不可信","可信"))</f>
        <v/>
      </c>
      <c r="AA297" s="24">
        <f>IF($A297="","",IF($X297&lt;-0.001,"※账面负库存，查一下是不是漏记入库",IF(AND(ROUND($X297,3)=0,ABS($Y297)&gt;1),"※数量已经是 0，金额还挂着 "&amp;TEXT($Y297,"#,##0")&amp;" 先令",IF(AND($X297&gt;0,$Y297&lt;=0,$K297=0),"※有数量没金额（这个物料一直没填过进价）",IF($Z297="不可信","△成本含待补价/暂估，毛利仅供参考","")))))</f>
        <v/>
      </c>
    </row>
    <row r="298">
      <c r="A298" s="24">
        <f>IF(物料档案!$A297="","",物料档案!$A297)</f>
        <v/>
      </c>
      <c r="B298" s="24">
        <f>IF($A298="","",IFERROR(VLOOKUP($A298,物料档案!$A$4:$P$1203,3,0),""))</f>
        <v/>
      </c>
      <c r="C298" s="24">
        <f>IF($A298="","",IFERROR(VLOOKUP($A298,物料档案!$A$4:$P$1203,4,0),""))</f>
        <v/>
      </c>
      <c r="D298" s="24">
        <f>IF($A298="","",IFERROR(VLOOKUP($A298,物料档案!$A$4:$P$1203,5,0),""))</f>
        <v/>
      </c>
      <c r="E298" s="24">
        <f>IF($A298="","",IFERROR(VLOOKUP($A298,物料档案!$A$4:$P$1203,2,0),""))</f>
        <v/>
      </c>
      <c r="F298" s="24">
        <f>IF($A298="","",IFERROR(VLOOKUP($A298,物料档案!$A$4:$P$1203,6,0),""))</f>
        <v/>
      </c>
      <c r="G298" s="23" t="n"/>
      <c r="H298" s="32" t="n"/>
      <c r="I298" s="27">
        <f>IF($A298="","",SUMIFS(入库单!$K$4:$K$2503,入库单!$G$4:$G$2503,$A298,入库单!$X$4:$X$2503,"采购入库",入库单!$Z$4:$Z$2503,"正常",入库单!$C$4:$C$2503,"&gt;="&amp;账期起,入库单!$C$4:$C$2503,"&lt;="&amp;账期止))</f>
        <v/>
      </c>
      <c r="J298" s="26">
        <f>IF($A298="","",SUMIFS(入库单!$V$4:$V$2503,入库单!$G$4:$G$2503,$A298,入库单!$X$4:$X$2503,"采购入库",入库单!$Z$4:$Z$2503,"正常",入库单!$C$4:$C$2503,"&gt;="&amp;账期起,入库单!$C$4:$C$2503,"&lt;="&amp;账期止))</f>
        <v/>
      </c>
      <c r="K298" s="26">
        <f>IF($A298="","",IFERROR(ROUND((N($H298)+N($J298))/(N($G298)+N($I298)),2),0))</f>
        <v/>
      </c>
      <c r="L298" s="27">
        <f>IF($A298="","",SUMIFS(入库单!$K$4:$K$2503,入库单!$G$4:$G$2503,$A298,入库单!$X$4:$X$2503,"盘盈",入库单!$Z$4:$Z$2503,"正常",入库单!$C$4:$C$2503,"&gt;="&amp;账期起,入库单!$C$4:$C$2503,"&lt;="&amp;账期止))</f>
        <v/>
      </c>
      <c r="M298" s="26">
        <f>IF($A298="","",ROUND($L298*$K298,0))</f>
        <v/>
      </c>
      <c r="N298" s="27">
        <f>IF($A298="","",SUMIFS(入库单!$K$4:$K$2503,入库单!$G$4:$G$2503,$A298,入库单!$X$4:$X$2503,"矿区退库",入库单!$Z$4:$Z$2503,"正常",入库单!$C$4:$C$2503,"&gt;="&amp;账期起,入库单!$C$4:$C$2503,"&lt;="&amp;账期止))</f>
        <v/>
      </c>
      <c r="O298" s="26">
        <f>IF($A298="","",ROUND($N298*$K298,0))</f>
        <v/>
      </c>
      <c r="P298" s="27">
        <f>IF($A298="","",SUMIFS(出库单!$J$4:$J$4003,出库单!$D$4:$D$4003,$A298,出库单!$K$4:$K$4003,"自用消耗",出库单!$U$4:$U$4003,"正常",出库单!$C$4:$C$4003,"&gt;="&amp;账期起,出库单!$C$4:$C$4003,"&lt;="&amp;账期止))</f>
        <v/>
      </c>
      <c r="Q298" s="26">
        <f>IF($A298="","",ROUND(SUMIFS(出库单!$S$4:$S$4003,出库单!$D$4:$D$4003,$A298,出库单!$K$4:$K$4003,"自用消耗",出库单!$U$4:$U$4003,"正常",出库单!$C$4:$C$4003,"&gt;="&amp;账期起,出库单!$C$4:$C$4003,"&lt;="&amp;账期止),0))</f>
        <v/>
      </c>
      <c r="R298" s="27">
        <f>IF($A298="","",SUMIFS(出库单!$J$4:$J$4003,出库单!$D$4:$D$4003,$A298,出库单!$K$4:$K$4003,"对外销售",出库单!$U$4:$U$4003,"正常",出库单!$C$4:$C$4003,"&gt;="&amp;账期起,出库单!$C$4:$C$4003,"&lt;="&amp;账期止))</f>
        <v/>
      </c>
      <c r="S298" s="26">
        <f>IF($A298="","",ROUND(SUMIFS(出库单!$S$4:$S$4003,出库单!$D$4:$D$4003,$A298,出库单!$K$4:$K$4003,"对外销售",出库单!$U$4:$U$4003,"正常",出库单!$C$4:$C$4003,"&gt;="&amp;账期起,出库单!$C$4:$C$4003,"&lt;="&amp;账期止),0))</f>
        <v/>
      </c>
      <c r="T298" s="27">
        <f>IF($A298="","",SUMIFS(出库单!$J$4:$J$4003,出库单!$D$4:$D$4003,$A298,出库单!$K$4:$K$4003,"盘亏",出库单!$U$4:$U$4003,"正常",出库单!$C$4:$C$4003,"&gt;="&amp;账期起,出库单!$C$4:$C$4003,"&lt;="&amp;账期止))</f>
        <v/>
      </c>
      <c r="U298" s="26">
        <f>IF($A298="","",ROUND(SUMIFS(出库单!$S$4:$S$4003,出库单!$D$4:$D$4003,$A298,出库单!$K$4:$K$4003,"盘亏",出库单!$U$4:$U$4003,"正常",出库单!$C$4:$C$4003,"&gt;="&amp;账期起,出库单!$C$4:$C$4003,"&lt;="&amp;账期止),0))</f>
        <v/>
      </c>
      <c r="V298" s="27">
        <f>IF($A298="","",SUMIFS(出库单!$J$4:$J$4003,出库单!$D$4:$D$4003,$A298,出库单!$K$4:$K$4003,"退货给供应商",出库单!$U$4:$U$4003,"正常",出库单!$C$4:$C$4003,"&gt;="&amp;账期起,出库单!$C$4:$C$4003,"&lt;="&amp;账期止))</f>
        <v/>
      </c>
      <c r="W298" s="26">
        <f>IF($A298="","",ROUND(SUMIFS(出库单!$S$4:$S$4003,出库单!$D$4:$D$4003,$A298,出库单!$K$4:$K$4003,"退货给供应商",出库单!$U$4:$U$4003,"正常",出库单!$C$4:$C$4003,"&gt;="&amp;账期起,出库单!$C$4:$C$4003,"&lt;="&amp;账期止),0))</f>
        <v/>
      </c>
      <c r="X298" s="27">
        <f>IF($A298="","",ROUND(N($G298)+$I298+$L298+$N298-$P298-$R298-$T298-$V298,3))</f>
        <v/>
      </c>
      <c r="Y298" s="26">
        <f>IF($A298="","",ROUND(N($H298)+$J298+$M298+$O298-$Q298-$S298-$U298-$W298,0))</f>
        <v/>
      </c>
      <c r="Z298" s="24">
        <f>IF($A298="","",IF(COUNTIFS(入库单!$G$4:$G$2503,$A298,入库单!$Y$4:$Y$2503,"待补价")+COUNTIFS(入库单!$G$4:$G$2503,$A298,入库单!$Y$4:$Y$2503,"暂估")&gt;0,"不可信","可信"))</f>
        <v/>
      </c>
      <c r="AA298" s="24">
        <f>IF($A298="","",IF($X298&lt;-0.001,"※账面负库存，查一下是不是漏记入库",IF(AND(ROUND($X298,3)=0,ABS($Y298)&gt;1),"※数量已经是 0，金额还挂着 "&amp;TEXT($Y298,"#,##0")&amp;" 先令",IF(AND($X298&gt;0,$Y298&lt;=0,$K298=0),"※有数量没金额（这个物料一直没填过进价）",IF($Z298="不可信","△成本含待补价/暂估，毛利仅供参考","")))))</f>
        <v/>
      </c>
    </row>
    <row r="299">
      <c r="A299" s="24">
        <f>IF(物料档案!$A298="","",物料档案!$A298)</f>
        <v/>
      </c>
      <c r="B299" s="24">
        <f>IF($A299="","",IFERROR(VLOOKUP($A299,物料档案!$A$4:$P$1203,3,0),""))</f>
        <v/>
      </c>
      <c r="C299" s="24">
        <f>IF($A299="","",IFERROR(VLOOKUP($A299,物料档案!$A$4:$P$1203,4,0),""))</f>
        <v/>
      </c>
      <c r="D299" s="24">
        <f>IF($A299="","",IFERROR(VLOOKUP($A299,物料档案!$A$4:$P$1203,5,0),""))</f>
        <v/>
      </c>
      <c r="E299" s="24">
        <f>IF($A299="","",IFERROR(VLOOKUP($A299,物料档案!$A$4:$P$1203,2,0),""))</f>
        <v/>
      </c>
      <c r="F299" s="24">
        <f>IF($A299="","",IFERROR(VLOOKUP($A299,物料档案!$A$4:$P$1203,6,0),""))</f>
        <v/>
      </c>
      <c r="G299" s="23" t="n"/>
      <c r="H299" s="32" t="n"/>
      <c r="I299" s="27">
        <f>IF($A299="","",SUMIFS(入库单!$K$4:$K$2503,入库单!$G$4:$G$2503,$A299,入库单!$X$4:$X$2503,"采购入库",入库单!$Z$4:$Z$2503,"正常",入库单!$C$4:$C$2503,"&gt;="&amp;账期起,入库单!$C$4:$C$2503,"&lt;="&amp;账期止))</f>
        <v/>
      </c>
      <c r="J299" s="26">
        <f>IF($A299="","",SUMIFS(入库单!$V$4:$V$2503,入库单!$G$4:$G$2503,$A299,入库单!$X$4:$X$2503,"采购入库",入库单!$Z$4:$Z$2503,"正常",入库单!$C$4:$C$2503,"&gt;="&amp;账期起,入库单!$C$4:$C$2503,"&lt;="&amp;账期止))</f>
        <v/>
      </c>
      <c r="K299" s="26">
        <f>IF($A299="","",IFERROR(ROUND((N($H299)+N($J299))/(N($G299)+N($I299)),2),0))</f>
        <v/>
      </c>
      <c r="L299" s="27">
        <f>IF($A299="","",SUMIFS(入库单!$K$4:$K$2503,入库单!$G$4:$G$2503,$A299,入库单!$X$4:$X$2503,"盘盈",入库单!$Z$4:$Z$2503,"正常",入库单!$C$4:$C$2503,"&gt;="&amp;账期起,入库单!$C$4:$C$2503,"&lt;="&amp;账期止))</f>
        <v/>
      </c>
      <c r="M299" s="26">
        <f>IF($A299="","",ROUND($L299*$K299,0))</f>
        <v/>
      </c>
      <c r="N299" s="27">
        <f>IF($A299="","",SUMIFS(入库单!$K$4:$K$2503,入库单!$G$4:$G$2503,$A299,入库单!$X$4:$X$2503,"矿区退库",入库单!$Z$4:$Z$2503,"正常",入库单!$C$4:$C$2503,"&gt;="&amp;账期起,入库单!$C$4:$C$2503,"&lt;="&amp;账期止))</f>
        <v/>
      </c>
      <c r="O299" s="26">
        <f>IF($A299="","",ROUND($N299*$K299,0))</f>
        <v/>
      </c>
      <c r="P299" s="27">
        <f>IF($A299="","",SUMIFS(出库单!$J$4:$J$4003,出库单!$D$4:$D$4003,$A299,出库单!$K$4:$K$4003,"自用消耗",出库单!$U$4:$U$4003,"正常",出库单!$C$4:$C$4003,"&gt;="&amp;账期起,出库单!$C$4:$C$4003,"&lt;="&amp;账期止))</f>
        <v/>
      </c>
      <c r="Q299" s="26">
        <f>IF($A299="","",ROUND(SUMIFS(出库单!$S$4:$S$4003,出库单!$D$4:$D$4003,$A299,出库单!$K$4:$K$4003,"自用消耗",出库单!$U$4:$U$4003,"正常",出库单!$C$4:$C$4003,"&gt;="&amp;账期起,出库单!$C$4:$C$4003,"&lt;="&amp;账期止),0))</f>
        <v/>
      </c>
      <c r="R299" s="27">
        <f>IF($A299="","",SUMIFS(出库单!$J$4:$J$4003,出库单!$D$4:$D$4003,$A299,出库单!$K$4:$K$4003,"对外销售",出库单!$U$4:$U$4003,"正常",出库单!$C$4:$C$4003,"&gt;="&amp;账期起,出库单!$C$4:$C$4003,"&lt;="&amp;账期止))</f>
        <v/>
      </c>
      <c r="S299" s="26">
        <f>IF($A299="","",ROUND(SUMIFS(出库单!$S$4:$S$4003,出库单!$D$4:$D$4003,$A299,出库单!$K$4:$K$4003,"对外销售",出库单!$U$4:$U$4003,"正常",出库单!$C$4:$C$4003,"&gt;="&amp;账期起,出库单!$C$4:$C$4003,"&lt;="&amp;账期止),0))</f>
        <v/>
      </c>
      <c r="T299" s="27">
        <f>IF($A299="","",SUMIFS(出库单!$J$4:$J$4003,出库单!$D$4:$D$4003,$A299,出库单!$K$4:$K$4003,"盘亏",出库单!$U$4:$U$4003,"正常",出库单!$C$4:$C$4003,"&gt;="&amp;账期起,出库单!$C$4:$C$4003,"&lt;="&amp;账期止))</f>
        <v/>
      </c>
      <c r="U299" s="26">
        <f>IF($A299="","",ROUND(SUMIFS(出库单!$S$4:$S$4003,出库单!$D$4:$D$4003,$A299,出库单!$K$4:$K$4003,"盘亏",出库单!$U$4:$U$4003,"正常",出库单!$C$4:$C$4003,"&gt;="&amp;账期起,出库单!$C$4:$C$4003,"&lt;="&amp;账期止),0))</f>
        <v/>
      </c>
      <c r="V299" s="27">
        <f>IF($A299="","",SUMIFS(出库单!$J$4:$J$4003,出库单!$D$4:$D$4003,$A299,出库单!$K$4:$K$4003,"退货给供应商",出库单!$U$4:$U$4003,"正常",出库单!$C$4:$C$4003,"&gt;="&amp;账期起,出库单!$C$4:$C$4003,"&lt;="&amp;账期止))</f>
        <v/>
      </c>
      <c r="W299" s="26">
        <f>IF($A299="","",ROUND(SUMIFS(出库单!$S$4:$S$4003,出库单!$D$4:$D$4003,$A299,出库单!$K$4:$K$4003,"退货给供应商",出库单!$U$4:$U$4003,"正常",出库单!$C$4:$C$4003,"&gt;="&amp;账期起,出库单!$C$4:$C$4003,"&lt;="&amp;账期止),0))</f>
        <v/>
      </c>
      <c r="X299" s="27">
        <f>IF($A299="","",ROUND(N($G299)+$I299+$L299+$N299-$P299-$R299-$T299-$V299,3))</f>
        <v/>
      </c>
      <c r="Y299" s="26">
        <f>IF($A299="","",ROUND(N($H299)+$J299+$M299+$O299-$Q299-$S299-$U299-$W299,0))</f>
        <v/>
      </c>
      <c r="Z299" s="24">
        <f>IF($A299="","",IF(COUNTIFS(入库单!$G$4:$G$2503,$A299,入库单!$Y$4:$Y$2503,"待补价")+COUNTIFS(入库单!$G$4:$G$2503,$A299,入库单!$Y$4:$Y$2503,"暂估")&gt;0,"不可信","可信"))</f>
        <v/>
      </c>
      <c r="AA299" s="24">
        <f>IF($A299="","",IF($X299&lt;-0.001,"※账面负库存，查一下是不是漏记入库",IF(AND(ROUND($X299,3)=0,ABS($Y299)&gt;1),"※数量已经是 0，金额还挂着 "&amp;TEXT($Y299,"#,##0")&amp;" 先令",IF(AND($X299&gt;0,$Y299&lt;=0,$K299=0),"※有数量没金额（这个物料一直没填过进价）",IF($Z299="不可信","△成本含待补价/暂估，毛利仅供参考","")))))</f>
        <v/>
      </c>
    </row>
    <row r="300">
      <c r="A300" s="24">
        <f>IF(物料档案!$A299="","",物料档案!$A299)</f>
        <v/>
      </c>
      <c r="B300" s="24">
        <f>IF($A300="","",IFERROR(VLOOKUP($A300,物料档案!$A$4:$P$1203,3,0),""))</f>
        <v/>
      </c>
      <c r="C300" s="24">
        <f>IF($A300="","",IFERROR(VLOOKUP($A300,物料档案!$A$4:$P$1203,4,0),""))</f>
        <v/>
      </c>
      <c r="D300" s="24">
        <f>IF($A300="","",IFERROR(VLOOKUP($A300,物料档案!$A$4:$P$1203,5,0),""))</f>
        <v/>
      </c>
      <c r="E300" s="24">
        <f>IF($A300="","",IFERROR(VLOOKUP($A300,物料档案!$A$4:$P$1203,2,0),""))</f>
        <v/>
      </c>
      <c r="F300" s="24">
        <f>IF($A300="","",IFERROR(VLOOKUP($A300,物料档案!$A$4:$P$1203,6,0),""))</f>
        <v/>
      </c>
      <c r="G300" s="23" t="n"/>
      <c r="H300" s="32" t="n"/>
      <c r="I300" s="27">
        <f>IF($A300="","",SUMIFS(入库单!$K$4:$K$2503,入库单!$G$4:$G$2503,$A300,入库单!$X$4:$X$2503,"采购入库",入库单!$Z$4:$Z$2503,"正常",入库单!$C$4:$C$2503,"&gt;="&amp;账期起,入库单!$C$4:$C$2503,"&lt;="&amp;账期止))</f>
        <v/>
      </c>
      <c r="J300" s="26">
        <f>IF($A300="","",SUMIFS(入库单!$V$4:$V$2503,入库单!$G$4:$G$2503,$A300,入库单!$X$4:$X$2503,"采购入库",入库单!$Z$4:$Z$2503,"正常",入库单!$C$4:$C$2503,"&gt;="&amp;账期起,入库单!$C$4:$C$2503,"&lt;="&amp;账期止))</f>
        <v/>
      </c>
      <c r="K300" s="26">
        <f>IF($A300="","",IFERROR(ROUND((N($H300)+N($J300))/(N($G300)+N($I300)),2),0))</f>
        <v/>
      </c>
      <c r="L300" s="27">
        <f>IF($A300="","",SUMIFS(入库单!$K$4:$K$2503,入库单!$G$4:$G$2503,$A300,入库单!$X$4:$X$2503,"盘盈",入库单!$Z$4:$Z$2503,"正常",入库单!$C$4:$C$2503,"&gt;="&amp;账期起,入库单!$C$4:$C$2503,"&lt;="&amp;账期止))</f>
        <v/>
      </c>
      <c r="M300" s="26">
        <f>IF($A300="","",ROUND($L300*$K300,0))</f>
        <v/>
      </c>
      <c r="N300" s="27">
        <f>IF($A300="","",SUMIFS(入库单!$K$4:$K$2503,入库单!$G$4:$G$2503,$A300,入库单!$X$4:$X$2503,"矿区退库",入库单!$Z$4:$Z$2503,"正常",入库单!$C$4:$C$2503,"&gt;="&amp;账期起,入库单!$C$4:$C$2503,"&lt;="&amp;账期止))</f>
        <v/>
      </c>
      <c r="O300" s="26">
        <f>IF($A300="","",ROUND($N300*$K300,0))</f>
        <v/>
      </c>
      <c r="P300" s="27">
        <f>IF($A300="","",SUMIFS(出库单!$J$4:$J$4003,出库单!$D$4:$D$4003,$A300,出库单!$K$4:$K$4003,"自用消耗",出库单!$U$4:$U$4003,"正常",出库单!$C$4:$C$4003,"&gt;="&amp;账期起,出库单!$C$4:$C$4003,"&lt;="&amp;账期止))</f>
        <v/>
      </c>
      <c r="Q300" s="26">
        <f>IF($A300="","",ROUND(SUMIFS(出库单!$S$4:$S$4003,出库单!$D$4:$D$4003,$A300,出库单!$K$4:$K$4003,"自用消耗",出库单!$U$4:$U$4003,"正常",出库单!$C$4:$C$4003,"&gt;="&amp;账期起,出库单!$C$4:$C$4003,"&lt;="&amp;账期止),0))</f>
        <v/>
      </c>
      <c r="R300" s="27">
        <f>IF($A300="","",SUMIFS(出库单!$J$4:$J$4003,出库单!$D$4:$D$4003,$A300,出库单!$K$4:$K$4003,"对外销售",出库单!$U$4:$U$4003,"正常",出库单!$C$4:$C$4003,"&gt;="&amp;账期起,出库单!$C$4:$C$4003,"&lt;="&amp;账期止))</f>
        <v/>
      </c>
      <c r="S300" s="26">
        <f>IF($A300="","",ROUND(SUMIFS(出库单!$S$4:$S$4003,出库单!$D$4:$D$4003,$A300,出库单!$K$4:$K$4003,"对外销售",出库单!$U$4:$U$4003,"正常",出库单!$C$4:$C$4003,"&gt;="&amp;账期起,出库单!$C$4:$C$4003,"&lt;="&amp;账期止),0))</f>
        <v/>
      </c>
      <c r="T300" s="27">
        <f>IF($A300="","",SUMIFS(出库单!$J$4:$J$4003,出库单!$D$4:$D$4003,$A300,出库单!$K$4:$K$4003,"盘亏",出库单!$U$4:$U$4003,"正常",出库单!$C$4:$C$4003,"&gt;="&amp;账期起,出库单!$C$4:$C$4003,"&lt;="&amp;账期止))</f>
        <v/>
      </c>
      <c r="U300" s="26">
        <f>IF($A300="","",ROUND(SUMIFS(出库单!$S$4:$S$4003,出库单!$D$4:$D$4003,$A300,出库单!$K$4:$K$4003,"盘亏",出库单!$U$4:$U$4003,"正常",出库单!$C$4:$C$4003,"&gt;="&amp;账期起,出库单!$C$4:$C$4003,"&lt;="&amp;账期止),0))</f>
        <v/>
      </c>
      <c r="V300" s="27">
        <f>IF($A300="","",SUMIFS(出库单!$J$4:$J$4003,出库单!$D$4:$D$4003,$A300,出库单!$K$4:$K$4003,"退货给供应商",出库单!$U$4:$U$4003,"正常",出库单!$C$4:$C$4003,"&gt;="&amp;账期起,出库单!$C$4:$C$4003,"&lt;="&amp;账期止))</f>
        <v/>
      </c>
      <c r="W300" s="26">
        <f>IF($A300="","",ROUND(SUMIFS(出库单!$S$4:$S$4003,出库单!$D$4:$D$4003,$A300,出库单!$K$4:$K$4003,"退货给供应商",出库单!$U$4:$U$4003,"正常",出库单!$C$4:$C$4003,"&gt;="&amp;账期起,出库单!$C$4:$C$4003,"&lt;="&amp;账期止),0))</f>
        <v/>
      </c>
      <c r="X300" s="27">
        <f>IF($A300="","",ROUND(N($G300)+$I300+$L300+$N300-$P300-$R300-$T300-$V300,3))</f>
        <v/>
      </c>
      <c r="Y300" s="26">
        <f>IF($A300="","",ROUND(N($H300)+$J300+$M300+$O300-$Q300-$S300-$U300-$W300,0))</f>
        <v/>
      </c>
      <c r="Z300" s="24">
        <f>IF($A300="","",IF(COUNTIFS(入库单!$G$4:$G$2503,$A300,入库单!$Y$4:$Y$2503,"待补价")+COUNTIFS(入库单!$G$4:$G$2503,$A300,入库单!$Y$4:$Y$2503,"暂估")&gt;0,"不可信","可信"))</f>
        <v/>
      </c>
      <c r="AA300" s="24">
        <f>IF($A300="","",IF($X300&lt;-0.001,"※账面负库存，查一下是不是漏记入库",IF(AND(ROUND($X300,3)=0,ABS($Y300)&gt;1),"※数量已经是 0，金额还挂着 "&amp;TEXT($Y300,"#,##0")&amp;" 先令",IF(AND($X300&gt;0,$Y300&lt;=0,$K300=0),"※有数量没金额（这个物料一直没填过进价）",IF($Z300="不可信","△成本含待补价/暂估，毛利仅供参考","")))))</f>
        <v/>
      </c>
    </row>
    <row r="301">
      <c r="A301" s="24">
        <f>IF(物料档案!$A300="","",物料档案!$A300)</f>
        <v/>
      </c>
      <c r="B301" s="24">
        <f>IF($A301="","",IFERROR(VLOOKUP($A301,物料档案!$A$4:$P$1203,3,0),""))</f>
        <v/>
      </c>
      <c r="C301" s="24">
        <f>IF($A301="","",IFERROR(VLOOKUP($A301,物料档案!$A$4:$P$1203,4,0),""))</f>
        <v/>
      </c>
      <c r="D301" s="24">
        <f>IF($A301="","",IFERROR(VLOOKUP($A301,物料档案!$A$4:$P$1203,5,0),""))</f>
        <v/>
      </c>
      <c r="E301" s="24">
        <f>IF($A301="","",IFERROR(VLOOKUP($A301,物料档案!$A$4:$P$1203,2,0),""))</f>
        <v/>
      </c>
      <c r="F301" s="24">
        <f>IF($A301="","",IFERROR(VLOOKUP($A301,物料档案!$A$4:$P$1203,6,0),""))</f>
        <v/>
      </c>
      <c r="G301" s="23" t="n"/>
      <c r="H301" s="32" t="n"/>
      <c r="I301" s="27">
        <f>IF($A301="","",SUMIFS(入库单!$K$4:$K$2503,入库单!$G$4:$G$2503,$A301,入库单!$X$4:$X$2503,"采购入库",入库单!$Z$4:$Z$2503,"正常",入库单!$C$4:$C$2503,"&gt;="&amp;账期起,入库单!$C$4:$C$2503,"&lt;="&amp;账期止))</f>
        <v/>
      </c>
      <c r="J301" s="26">
        <f>IF($A301="","",SUMIFS(入库单!$V$4:$V$2503,入库单!$G$4:$G$2503,$A301,入库单!$X$4:$X$2503,"采购入库",入库单!$Z$4:$Z$2503,"正常",入库单!$C$4:$C$2503,"&gt;="&amp;账期起,入库单!$C$4:$C$2503,"&lt;="&amp;账期止))</f>
        <v/>
      </c>
      <c r="K301" s="26">
        <f>IF($A301="","",IFERROR(ROUND((N($H301)+N($J301))/(N($G301)+N($I301)),2),0))</f>
        <v/>
      </c>
      <c r="L301" s="27">
        <f>IF($A301="","",SUMIFS(入库单!$K$4:$K$2503,入库单!$G$4:$G$2503,$A301,入库单!$X$4:$X$2503,"盘盈",入库单!$Z$4:$Z$2503,"正常",入库单!$C$4:$C$2503,"&gt;="&amp;账期起,入库单!$C$4:$C$2503,"&lt;="&amp;账期止))</f>
        <v/>
      </c>
      <c r="M301" s="26">
        <f>IF($A301="","",ROUND($L301*$K301,0))</f>
        <v/>
      </c>
      <c r="N301" s="27">
        <f>IF($A301="","",SUMIFS(入库单!$K$4:$K$2503,入库单!$G$4:$G$2503,$A301,入库单!$X$4:$X$2503,"矿区退库",入库单!$Z$4:$Z$2503,"正常",入库单!$C$4:$C$2503,"&gt;="&amp;账期起,入库单!$C$4:$C$2503,"&lt;="&amp;账期止))</f>
        <v/>
      </c>
      <c r="O301" s="26">
        <f>IF($A301="","",ROUND($N301*$K301,0))</f>
        <v/>
      </c>
      <c r="P301" s="27">
        <f>IF($A301="","",SUMIFS(出库单!$J$4:$J$4003,出库单!$D$4:$D$4003,$A301,出库单!$K$4:$K$4003,"自用消耗",出库单!$U$4:$U$4003,"正常",出库单!$C$4:$C$4003,"&gt;="&amp;账期起,出库单!$C$4:$C$4003,"&lt;="&amp;账期止))</f>
        <v/>
      </c>
      <c r="Q301" s="26">
        <f>IF($A301="","",ROUND(SUMIFS(出库单!$S$4:$S$4003,出库单!$D$4:$D$4003,$A301,出库单!$K$4:$K$4003,"自用消耗",出库单!$U$4:$U$4003,"正常",出库单!$C$4:$C$4003,"&gt;="&amp;账期起,出库单!$C$4:$C$4003,"&lt;="&amp;账期止),0))</f>
        <v/>
      </c>
      <c r="R301" s="27">
        <f>IF($A301="","",SUMIFS(出库单!$J$4:$J$4003,出库单!$D$4:$D$4003,$A301,出库单!$K$4:$K$4003,"对外销售",出库单!$U$4:$U$4003,"正常",出库单!$C$4:$C$4003,"&gt;="&amp;账期起,出库单!$C$4:$C$4003,"&lt;="&amp;账期止))</f>
        <v/>
      </c>
      <c r="S301" s="26">
        <f>IF($A301="","",ROUND(SUMIFS(出库单!$S$4:$S$4003,出库单!$D$4:$D$4003,$A301,出库单!$K$4:$K$4003,"对外销售",出库单!$U$4:$U$4003,"正常",出库单!$C$4:$C$4003,"&gt;="&amp;账期起,出库单!$C$4:$C$4003,"&lt;="&amp;账期止),0))</f>
        <v/>
      </c>
      <c r="T301" s="27">
        <f>IF($A301="","",SUMIFS(出库单!$J$4:$J$4003,出库单!$D$4:$D$4003,$A301,出库单!$K$4:$K$4003,"盘亏",出库单!$U$4:$U$4003,"正常",出库单!$C$4:$C$4003,"&gt;="&amp;账期起,出库单!$C$4:$C$4003,"&lt;="&amp;账期止))</f>
        <v/>
      </c>
      <c r="U301" s="26">
        <f>IF($A301="","",ROUND(SUMIFS(出库单!$S$4:$S$4003,出库单!$D$4:$D$4003,$A301,出库单!$K$4:$K$4003,"盘亏",出库单!$U$4:$U$4003,"正常",出库单!$C$4:$C$4003,"&gt;="&amp;账期起,出库单!$C$4:$C$4003,"&lt;="&amp;账期止),0))</f>
        <v/>
      </c>
      <c r="V301" s="27">
        <f>IF($A301="","",SUMIFS(出库单!$J$4:$J$4003,出库单!$D$4:$D$4003,$A301,出库单!$K$4:$K$4003,"退货给供应商",出库单!$U$4:$U$4003,"正常",出库单!$C$4:$C$4003,"&gt;="&amp;账期起,出库单!$C$4:$C$4003,"&lt;="&amp;账期止))</f>
        <v/>
      </c>
      <c r="W301" s="26">
        <f>IF($A301="","",ROUND(SUMIFS(出库单!$S$4:$S$4003,出库单!$D$4:$D$4003,$A301,出库单!$K$4:$K$4003,"退货给供应商",出库单!$U$4:$U$4003,"正常",出库单!$C$4:$C$4003,"&gt;="&amp;账期起,出库单!$C$4:$C$4003,"&lt;="&amp;账期止),0))</f>
        <v/>
      </c>
      <c r="X301" s="27">
        <f>IF($A301="","",ROUND(N($G301)+$I301+$L301+$N301-$P301-$R301-$T301-$V301,3))</f>
        <v/>
      </c>
      <c r="Y301" s="26">
        <f>IF($A301="","",ROUND(N($H301)+$J301+$M301+$O301-$Q301-$S301-$U301-$W301,0))</f>
        <v/>
      </c>
      <c r="Z301" s="24">
        <f>IF($A301="","",IF(COUNTIFS(入库单!$G$4:$G$2503,$A301,入库单!$Y$4:$Y$2503,"待补价")+COUNTIFS(入库单!$G$4:$G$2503,$A301,入库单!$Y$4:$Y$2503,"暂估")&gt;0,"不可信","可信"))</f>
        <v/>
      </c>
      <c r="AA301" s="24">
        <f>IF($A301="","",IF($X301&lt;-0.001,"※账面负库存，查一下是不是漏记入库",IF(AND(ROUND($X301,3)=0,ABS($Y301)&gt;1),"※数量已经是 0，金额还挂着 "&amp;TEXT($Y301,"#,##0")&amp;" 先令",IF(AND($X301&gt;0,$Y301&lt;=0,$K301=0),"※有数量没金额（这个物料一直没填过进价）",IF($Z301="不可信","△成本含待补价/暂估，毛利仅供参考","")))))</f>
        <v/>
      </c>
    </row>
    <row r="302">
      <c r="A302" s="24">
        <f>IF(物料档案!$A301="","",物料档案!$A301)</f>
        <v/>
      </c>
      <c r="B302" s="24">
        <f>IF($A302="","",IFERROR(VLOOKUP($A302,物料档案!$A$4:$P$1203,3,0),""))</f>
        <v/>
      </c>
      <c r="C302" s="24">
        <f>IF($A302="","",IFERROR(VLOOKUP($A302,物料档案!$A$4:$P$1203,4,0),""))</f>
        <v/>
      </c>
      <c r="D302" s="24">
        <f>IF($A302="","",IFERROR(VLOOKUP($A302,物料档案!$A$4:$P$1203,5,0),""))</f>
        <v/>
      </c>
      <c r="E302" s="24">
        <f>IF($A302="","",IFERROR(VLOOKUP($A302,物料档案!$A$4:$P$1203,2,0),""))</f>
        <v/>
      </c>
      <c r="F302" s="24">
        <f>IF($A302="","",IFERROR(VLOOKUP($A302,物料档案!$A$4:$P$1203,6,0),""))</f>
        <v/>
      </c>
      <c r="G302" s="23" t="n"/>
      <c r="H302" s="32" t="n"/>
      <c r="I302" s="27">
        <f>IF($A302="","",SUMIFS(入库单!$K$4:$K$2503,入库单!$G$4:$G$2503,$A302,入库单!$X$4:$X$2503,"采购入库",入库单!$Z$4:$Z$2503,"正常",入库单!$C$4:$C$2503,"&gt;="&amp;账期起,入库单!$C$4:$C$2503,"&lt;="&amp;账期止))</f>
        <v/>
      </c>
      <c r="J302" s="26">
        <f>IF($A302="","",SUMIFS(入库单!$V$4:$V$2503,入库单!$G$4:$G$2503,$A302,入库单!$X$4:$X$2503,"采购入库",入库单!$Z$4:$Z$2503,"正常",入库单!$C$4:$C$2503,"&gt;="&amp;账期起,入库单!$C$4:$C$2503,"&lt;="&amp;账期止))</f>
        <v/>
      </c>
      <c r="K302" s="26">
        <f>IF($A302="","",IFERROR(ROUND((N($H302)+N($J302))/(N($G302)+N($I302)),2),0))</f>
        <v/>
      </c>
      <c r="L302" s="27">
        <f>IF($A302="","",SUMIFS(入库单!$K$4:$K$2503,入库单!$G$4:$G$2503,$A302,入库单!$X$4:$X$2503,"盘盈",入库单!$Z$4:$Z$2503,"正常",入库单!$C$4:$C$2503,"&gt;="&amp;账期起,入库单!$C$4:$C$2503,"&lt;="&amp;账期止))</f>
        <v/>
      </c>
      <c r="M302" s="26">
        <f>IF($A302="","",ROUND($L302*$K302,0))</f>
        <v/>
      </c>
      <c r="N302" s="27">
        <f>IF($A302="","",SUMIFS(入库单!$K$4:$K$2503,入库单!$G$4:$G$2503,$A302,入库单!$X$4:$X$2503,"矿区退库",入库单!$Z$4:$Z$2503,"正常",入库单!$C$4:$C$2503,"&gt;="&amp;账期起,入库单!$C$4:$C$2503,"&lt;="&amp;账期止))</f>
        <v/>
      </c>
      <c r="O302" s="26">
        <f>IF($A302="","",ROUND($N302*$K302,0))</f>
        <v/>
      </c>
      <c r="P302" s="27">
        <f>IF($A302="","",SUMIFS(出库单!$J$4:$J$4003,出库单!$D$4:$D$4003,$A302,出库单!$K$4:$K$4003,"自用消耗",出库单!$U$4:$U$4003,"正常",出库单!$C$4:$C$4003,"&gt;="&amp;账期起,出库单!$C$4:$C$4003,"&lt;="&amp;账期止))</f>
        <v/>
      </c>
      <c r="Q302" s="26">
        <f>IF($A302="","",ROUND(SUMIFS(出库单!$S$4:$S$4003,出库单!$D$4:$D$4003,$A302,出库单!$K$4:$K$4003,"自用消耗",出库单!$U$4:$U$4003,"正常",出库单!$C$4:$C$4003,"&gt;="&amp;账期起,出库单!$C$4:$C$4003,"&lt;="&amp;账期止),0))</f>
        <v/>
      </c>
      <c r="R302" s="27">
        <f>IF($A302="","",SUMIFS(出库单!$J$4:$J$4003,出库单!$D$4:$D$4003,$A302,出库单!$K$4:$K$4003,"对外销售",出库单!$U$4:$U$4003,"正常",出库单!$C$4:$C$4003,"&gt;="&amp;账期起,出库单!$C$4:$C$4003,"&lt;="&amp;账期止))</f>
        <v/>
      </c>
      <c r="S302" s="26">
        <f>IF($A302="","",ROUND(SUMIFS(出库单!$S$4:$S$4003,出库单!$D$4:$D$4003,$A302,出库单!$K$4:$K$4003,"对外销售",出库单!$U$4:$U$4003,"正常",出库单!$C$4:$C$4003,"&gt;="&amp;账期起,出库单!$C$4:$C$4003,"&lt;="&amp;账期止),0))</f>
        <v/>
      </c>
      <c r="T302" s="27">
        <f>IF($A302="","",SUMIFS(出库单!$J$4:$J$4003,出库单!$D$4:$D$4003,$A302,出库单!$K$4:$K$4003,"盘亏",出库单!$U$4:$U$4003,"正常",出库单!$C$4:$C$4003,"&gt;="&amp;账期起,出库单!$C$4:$C$4003,"&lt;="&amp;账期止))</f>
        <v/>
      </c>
      <c r="U302" s="26">
        <f>IF($A302="","",ROUND(SUMIFS(出库单!$S$4:$S$4003,出库单!$D$4:$D$4003,$A302,出库单!$K$4:$K$4003,"盘亏",出库单!$U$4:$U$4003,"正常",出库单!$C$4:$C$4003,"&gt;="&amp;账期起,出库单!$C$4:$C$4003,"&lt;="&amp;账期止),0))</f>
        <v/>
      </c>
      <c r="V302" s="27">
        <f>IF($A302="","",SUMIFS(出库单!$J$4:$J$4003,出库单!$D$4:$D$4003,$A302,出库单!$K$4:$K$4003,"退货给供应商",出库单!$U$4:$U$4003,"正常",出库单!$C$4:$C$4003,"&gt;="&amp;账期起,出库单!$C$4:$C$4003,"&lt;="&amp;账期止))</f>
        <v/>
      </c>
      <c r="W302" s="26">
        <f>IF($A302="","",ROUND(SUMIFS(出库单!$S$4:$S$4003,出库单!$D$4:$D$4003,$A302,出库单!$K$4:$K$4003,"退货给供应商",出库单!$U$4:$U$4003,"正常",出库单!$C$4:$C$4003,"&gt;="&amp;账期起,出库单!$C$4:$C$4003,"&lt;="&amp;账期止),0))</f>
        <v/>
      </c>
      <c r="X302" s="27">
        <f>IF($A302="","",ROUND(N($G302)+$I302+$L302+$N302-$P302-$R302-$T302-$V302,3))</f>
        <v/>
      </c>
      <c r="Y302" s="26">
        <f>IF($A302="","",ROUND(N($H302)+$J302+$M302+$O302-$Q302-$S302-$U302-$W302,0))</f>
        <v/>
      </c>
      <c r="Z302" s="24">
        <f>IF($A302="","",IF(COUNTIFS(入库单!$G$4:$G$2503,$A302,入库单!$Y$4:$Y$2503,"待补价")+COUNTIFS(入库单!$G$4:$G$2503,$A302,入库单!$Y$4:$Y$2503,"暂估")&gt;0,"不可信","可信"))</f>
        <v/>
      </c>
      <c r="AA302" s="24">
        <f>IF($A302="","",IF($X302&lt;-0.001,"※账面负库存，查一下是不是漏记入库",IF(AND(ROUND($X302,3)=0,ABS($Y302)&gt;1),"※数量已经是 0，金额还挂着 "&amp;TEXT($Y302,"#,##0")&amp;" 先令",IF(AND($X302&gt;0,$Y302&lt;=0,$K302=0),"※有数量没金额（这个物料一直没填过进价）",IF($Z302="不可信","△成本含待补价/暂估，毛利仅供参考","")))))</f>
        <v/>
      </c>
    </row>
    <row r="303">
      <c r="A303" s="24">
        <f>IF(物料档案!$A302="","",物料档案!$A302)</f>
        <v/>
      </c>
      <c r="B303" s="24">
        <f>IF($A303="","",IFERROR(VLOOKUP($A303,物料档案!$A$4:$P$1203,3,0),""))</f>
        <v/>
      </c>
      <c r="C303" s="24">
        <f>IF($A303="","",IFERROR(VLOOKUP($A303,物料档案!$A$4:$P$1203,4,0),""))</f>
        <v/>
      </c>
      <c r="D303" s="24">
        <f>IF($A303="","",IFERROR(VLOOKUP($A303,物料档案!$A$4:$P$1203,5,0),""))</f>
        <v/>
      </c>
      <c r="E303" s="24">
        <f>IF($A303="","",IFERROR(VLOOKUP($A303,物料档案!$A$4:$P$1203,2,0),""))</f>
        <v/>
      </c>
      <c r="F303" s="24">
        <f>IF($A303="","",IFERROR(VLOOKUP($A303,物料档案!$A$4:$P$1203,6,0),""))</f>
        <v/>
      </c>
      <c r="G303" s="23" t="n"/>
      <c r="H303" s="32" t="n"/>
      <c r="I303" s="27">
        <f>IF($A303="","",SUMIFS(入库单!$K$4:$K$2503,入库单!$G$4:$G$2503,$A303,入库单!$X$4:$X$2503,"采购入库",入库单!$Z$4:$Z$2503,"正常",入库单!$C$4:$C$2503,"&gt;="&amp;账期起,入库单!$C$4:$C$2503,"&lt;="&amp;账期止))</f>
        <v/>
      </c>
      <c r="J303" s="26">
        <f>IF($A303="","",SUMIFS(入库单!$V$4:$V$2503,入库单!$G$4:$G$2503,$A303,入库单!$X$4:$X$2503,"采购入库",入库单!$Z$4:$Z$2503,"正常",入库单!$C$4:$C$2503,"&gt;="&amp;账期起,入库单!$C$4:$C$2503,"&lt;="&amp;账期止))</f>
        <v/>
      </c>
      <c r="K303" s="26">
        <f>IF($A303="","",IFERROR(ROUND((N($H303)+N($J303))/(N($G303)+N($I303)),2),0))</f>
        <v/>
      </c>
      <c r="L303" s="27">
        <f>IF($A303="","",SUMIFS(入库单!$K$4:$K$2503,入库单!$G$4:$G$2503,$A303,入库单!$X$4:$X$2503,"盘盈",入库单!$Z$4:$Z$2503,"正常",入库单!$C$4:$C$2503,"&gt;="&amp;账期起,入库单!$C$4:$C$2503,"&lt;="&amp;账期止))</f>
        <v/>
      </c>
      <c r="M303" s="26">
        <f>IF($A303="","",ROUND($L303*$K303,0))</f>
        <v/>
      </c>
      <c r="N303" s="27">
        <f>IF($A303="","",SUMIFS(入库单!$K$4:$K$2503,入库单!$G$4:$G$2503,$A303,入库单!$X$4:$X$2503,"矿区退库",入库单!$Z$4:$Z$2503,"正常",入库单!$C$4:$C$2503,"&gt;="&amp;账期起,入库单!$C$4:$C$2503,"&lt;="&amp;账期止))</f>
        <v/>
      </c>
      <c r="O303" s="26">
        <f>IF($A303="","",ROUND($N303*$K303,0))</f>
        <v/>
      </c>
      <c r="P303" s="27">
        <f>IF($A303="","",SUMIFS(出库单!$J$4:$J$4003,出库单!$D$4:$D$4003,$A303,出库单!$K$4:$K$4003,"自用消耗",出库单!$U$4:$U$4003,"正常",出库单!$C$4:$C$4003,"&gt;="&amp;账期起,出库单!$C$4:$C$4003,"&lt;="&amp;账期止))</f>
        <v/>
      </c>
      <c r="Q303" s="26">
        <f>IF($A303="","",ROUND(SUMIFS(出库单!$S$4:$S$4003,出库单!$D$4:$D$4003,$A303,出库单!$K$4:$K$4003,"自用消耗",出库单!$U$4:$U$4003,"正常",出库单!$C$4:$C$4003,"&gt;="&amp;账期起,出库单!$C$4:$C$4003,"&lt;="&amp;账期止),0))</f>
        <v/>
      </c>
      <c r="R303" s="27">
        <f>IF($A303="","",SUMIFS(出库单!$J$4:$J$4003,出库单!$D$4:$D$4003,$A303,出库单!$K$4:$K$4003,"对外销售",出库单!$U$4:$U$4003,"正常",出库单!$C$4:$C$4003,"&gt;="&amp;账期起,出库单!$C$4:$C$4003,"&lt;="&amp;账期止))</f>
        <v/>
      </c>
      <c r="S303" s="26">
        <f>IF($A303="","",ROUND(SUMIFS(出库单!$S$4:$S$4003,出库单!$D$4:$D$4003,$A303,出库单!$K$4:$K$4003,"对外销售",出库单!$U$4:$U$4003,"正常",出库单!$C$4:$C$4003,"&gt;="&amp;账期起,出库单!$C$4:$C$4003,"&lt;="&amp;账期止),0))</f>
        <v/>
      </c>
      <c r="T303" s="27">
        <f>IF($A303="","",SUMIFS(出库单!$J$4:$J$4003,出库单!$D$4:$D$4003,$A303,出库单!$K$4:$K$4003,"盘亏",出库单!$U$4:$U$4003,"正常",出库单!$C$4:$C$4003,"&gt;="&amp;账期起,出库单!$C$4:$C$4003,"&lt;="&amp;账期止))</f>
        <v/>
      </c>
      <c r="U303" s="26">
        <f>IF($A303="","",ROUND(SUMIFS(出库单!$S$4:$S$4003,出库单!$D$4:$D$4003,$A303,出库单!$K$4:$K$4003,"盘亏",出库单!$U$4:$U$4003,"正常",出库单!$C$4:$C$4003,"&gt;="&amp;账期起,出库单!$C$4:$C$4003,"&lt;="&amp;账期止),0))</f>
        <v/>
      </c>
      <c r="V303" s="27">
        <f>IF($A303="","",SUMIFS(出库单!$J$4:$J$4003,出库单!$D$4:$D$4003,$A303,出库单!$K$4:$K$4003,"退货给供应商",出库单!$U$4:$U$4003,"正常",出库单!$C$4:$C$4003,"&gt;="&amp;账期起,出库单!$C$4:$C$4003,"&lt;="&amp;账期止))</f>
        <v/>
      </c>
      <c r="W303" s="26">
        <f>IF($A303="","",ROUND(SUMIFS(出库单!$S$4:$S$4003,出库单!$D$4:$D$4003,$A303,出库单!$K$4:$K$4003,"退货给供应商",出库单!$U$4:$U$4003,"正常",出库单!$C$4:$C$4003,"&gt;="&amp;账期起,出库单!$C$4:$C$4003,"&lt;="&amp;账期止),0))</f>
        <v/>
      </c>
      <c r="X303" s="27">
        <f>IF($A303="","",ROUND(N($G303)+$I303+$L303+$N303-$P303-$R303-$T303-$V303,3))</f>
        <v/>
      </c>
      <c r="Y303" s="26">
        <f>IF($A303="","",ROUND(N($H303)+$J303+$M303+$O303-$Q303-$S303-$U303-$W303,0))</f>
        <v/>
      </c>
      <c r="Z303" s="24">
        <f>IF($A303="","",IF(COUNTIFS(入库单!$G$4:$G$2503,$A303,入库单!$Y$4:$Y$2503,"待补价")+COUNTIFS(入库单!$G$4:$G$2503,$A303,入库单!$Y$4:$Y$2503,"暂估")&gt;0,"不可信","可信"))</f>
        <v/>
      </c>
      <c r="AA303" s="24">
        <f>IF($A303="","",IF($X303&lt;-0.001,"※账面负库存，查一下是不是漏记入库",IF(AND(ROUND($X303,3)=0,ABS($Y303)&gt;1),"※数量已经是 0，金额还挂着 "&amp;TEXT($Y303,"#,##0")&amp;" 先令",IF(AND($X303&gt;0,$Y303&lt;=0,$K303=0),"※有数量没金额（这个物料一直没填过进价）",IF($Z303="不可信","△成本含待补价/暂估，毛利仅供参考","")))))</f>
        <v/>
      </c>
    </row>
    <row r="304">
      <c r="A304" s="24">
        <f>IF(物料档案!$A303="","",物料档案!$A303)</f>
        <v/>
      </c>
      <c r="B304" s="24">
        <f>IF($A304="","",IFERROR(VLOOKUP($A304,物料档案!$A$4:$P$1203,3,0),""))</f>
        <v/>
      </c>
      <c r="C304" s="24">
        <f>IF($A304="","",IFERROR(VLOOKUP($A304,物料档案!$A$4:$P$1203,4,0),""))</f>
        <v/>
      </c>
      <c r="D304" s="24">
        <f>IF($A304="","",IFERROR(VLOOKUP($A304,物料档案!$A$4:$P$1203,5,0),""))</f>
        <v/>
      </c>
      <c r="E304" s="24">
        <f>IF($A304="","",IFERROR(VLOOKUP($A304,物料档案!$A$4:$P$1203,2,0),""))</f>
        <v/>
      </c>
      <c r="F304" s="24">
        <f>IF($A304="","",IFERROR(VLOOKUP($A304,物料档案!$A$4:$P$1203,6,0),""))</f>
        <v/>
      </c>
      <c r="G304" s="23" t="n"/>
      <c r="H304" s="32" t="n"/>
      <c r="I304" s="27">
        <f>IF($A304="","",SUMIFS(入库单!$K$4:$K$2503,入库单!$G$4:$G$2503,$A304,入库单!$X$4:$X$2503,"采购入库",入库单!$Z$4:$Z$2503,"正常",入库单!$C$4:$C$2503,"&gt;="&amp;账期起,入库单!$C$4:$C$2503,"&lt;="&amp;账期止))</f>
        <v/>
      </c>
      <c r="J304" s="26">
        <f>IF($A304="","",SUMIFS(入库单!$V$4:$V$2503,入库单!$G$4:$G$2503,$A304,入库单!$X$4:$X$2503,"采购入库",入库单!$Z$4:$Z$2503,"正常",入库单!$C$4:$C$2503,"&gt;="&amp;账期起,入库单!$C$4:$C$2503,"&lt;="&amp;账期止))</f>
        <v/>
      </c>
      <c r="K304" s="26">
        <f>IF($A304="","",IFERROR(ROUND((N($H304)+N($J304))/(N($G304)+N($I304)),2),0))</f>
        <v/>
      </c>
      <c r="L304" s="27">
        <f>IF($A304="","",SUMIFS(入库单!$K$4:$K$2503,入库单!$G$4:$G$2503,$A304,入库单!$X$4:$X$2503,"盘盈",入库单!$Z$4:$Z$2503,"正常",入库单!$C$4:$C$2503,"&gt;="&amp;账期起,入库单!$C$4:$C$2503,"&lt;="&amp;账期止))</f>
        <v/>
      </c>
      <c r="M304" s="26">
        <f>IF($A304="","",ROUND($L304*$K304,0))</f>
        <v/>
      </c>
      <c r="N304" s="27">
        <f>IF($A304="","",SUMIFS(入库单!$K$4:$K$2503,入库单!$G$4:$G$2503,$A304,入库单!$X$4:$X$2503,"矿区退库",入库单!$Z$4:$Z$2503,"正常",入库单!$C$4:$C$2503,"&gt;="&amp;账期起,入库单!$C$4:$C$2503,"&lt;="&amp;账期止))</f>
        <v/>
      </c>
      <c r="O304" s="26">
        <f>IF($A304="","",ROUND($N304*$K304,0))</f>
        <v/>
      </c>
      <c r="P304" s="27">
        <f>IF($A304="","",SUMIFS(出库单!$J$4:$J$4003,出库单!$D$4:$D$4003,$A304,出库单!$K$4:$K$4003,"自用消耗",出库单!$U$4:$U$4003,"正常",出库单!$C$4:$C$4003,"&gt;="&amp;账期起,出库单!$C$4:$C$4003,"&lt;="&amp;账期止))</f>
        <v/>
      </c>
      <c r="Q304" s="26">
        <f>IF($A304="","",ROUND(SUMIFS(出库单!$S$4:$S$4003,出库单!$D$4:$D$4003,$A304,出库单!$K$4:$K$4003,"自用消耗",出库单!$U$4:$U$4003,"正常",出库单!$C$4:$C$4003,"&gt;="&amp;账期起,出库单!$C$4:$C$4003,"&lt;="&amp;账期止),0))</f>
        <v/>
      </c>
      <c r="R304" s="27">
        <f>IF($A304="","",SUMIFS(出库单!$J$4:$J$4003,出库单!$D$4:$D$4003,$A304,出库单!$K$4:$K$4003,"对外销售",出库单!$U$4:$U$4003,"正常",出库单!$C$4:$C$4003,"&gt;="&amp;账期起,出库单!$C$4:$C$4003,"&lt;="&amp;账期止))</f>
        <v/>
      </c>
      <c r="S304" s="26">
        <f>IF($A304="","",ROUND(SUMIFS(出库单!$S$4:$S$4003,出库单!$D$4:$D$4003,$A304,出库单!$K$4:$K$4003,"对外销售",出库单!$U$4:$U$4003,"正常",出库单!$C$4:$C$4003,"&gt;="&amp;账期起,出库单!$C$4:$C$4003,"&lt;="&amp;账期止),0))</f>
        <v/>
      </c>
      <c r="T304" s="27">
        <f>IF($A304="","",SUMIFS(出库单!$J$4:$J$4003,出库单!$D$4:$D$4003,$A304,出库单!$K$4:$K$4003,"盘亏",出库单!$U$4:$U$4003,"正常",出库单!$C$4:$C$4003,"&gt;="&amp;账期起,出库单!$C$4:$C$4003,"&lt;="&amp;账期止))</f>
        <v/>
      </c>
      <c r="U304" s="26">
        <f>IF($A304="","",ROUND(SUMIFS(出库单!$S$4:$S$4003,出库单!$D$4:$D$4003,$A304,出库单!$K$4:$K$4003,"盘亏",出库单!$U$4:$U$4003,"正常",出库单!$C$4:$C$4003,"&gt;="&amp;账期起,出库单!$C$4:$C$4003,"&lt;="&amp;账期止),0))</f>
        <v/>
      </c>
      <c r="V304" s="27">
        <f>IF($A304="","",SUMIFS(出库单!$J$4:$J$4003,出库单!$D$4:$D$4003,$A304,出库单!$K$4:$K$4003,"退货给供应商",出库单!$U$4:$U$4003,"正常",出库单!$C$4:$C$4003,"&gt;="&amp;账期起,出库单!$C$4:$C$4003,"&lt;="&amp;账期止))</f>
        <v/>
      </c>
      <c r="W304" s="26">
        <f>IF($A304="","",ROUND(SUMIFS(出库单!$S$4:$S$4003,出库单!$D$4:$D$4003,$A304,出库单!$K$4:$K$4003,"退货给供应商",出库单!$U$4:$U$4003,"正常",出库单!$C$4:$C$4003,"&gt;="&amp;账期起,出库单!$C$4:$C$4003,"&lt;="&amp;账期止),0))</f>
        <v/>
      </c>
      <c r="X304" s="27">
        <f>IF($A304="","",ROUND(N($G304)+$I304+$L304+$N304-$P304-$R304-$T304-$V304,3))</f>
        <v/>
      </c>
      <c r="Y304" s="26">
        <f>IF($A304="","",ROUND(N($H304)+$J304+$M304+$O304-$Q304-$S304-$U304-$W304,0))</f>
        <v/>
      </c>
      <c r="Z304" s="24">
        <f>IF($A304="","",IF(COUNTIFS(入库单!$G$4:$G$2503,$A304,入库单!$Y$4:$Y$2503,"待补价")+COUNTIFS(入库单!$G$4:$G$2503,$A304,入库单!$Y$4:$Y$2503,"暂估")&gt;0,"不可信","可信"))</f>
        <v/>
      </c>
      <c r="AA304" s="24">
        <f>IF($A304="","",IF($X304&lt;-0.001,"※账面负库存，查一下是不是漏记入库",IF(AND(ROUND($X304,3)=0,ABS($Y304)&gt;1),"※数量已经是 0，金额还挂着 "&amp;TEXT($Y304,"#,##0")&amp;" 先令",IF(AND($X304&gt;0,$Y304&lt;=0,$K304=0),"※有数量没金额（这个物料一直没填过进价）",IF($Z304="不可信","△成本含待补价/暂估，毛利仅供参考","")))))</f>
        <v/>
      </c>
    </row>
    <row r="305">
      <c r="A305" s="24">
        <f>IF(物料档案!$A304="","",物料档案!$A304)</f>
        <v/>
      </c>
      <c r="B305" s="24">
        <f>IF($A305="","",IFERROR(VLOOKUP($A305,物料档案!$A$4:$P$1203,3,0),""))</f>
        <v/>
      </c>
      <c r="C305" s="24">
        <f>IF($A305="","",IFERROR(VLOOKUP($A305,物料档案!$A$4:$P$1203,4,0),""))</f>
        <v/>
      </c>
      <c r="D305" s="24">
        <f>IF($A305="","",IFERROR(VLOOKUP($A305,物料档案!$A$4:$P$1203,5,0),""))</f>
        <v/>
      </c>
      <c r="E305" s="24">
        <f>IF($A305="","",IFERROR(VLOOKUP($A305,物料档案!$A$4:$P$1203,2,0),""))</f>
        <v/>
      </c>
      <c r="F305" s="24">
        <f>IF($A305="","",IFERROR(VLOOKUP($A305,物料档案!$A$4:$P$1203,6,0),""))</f>
        <v/>
      </c>
      <c r="G305" s="23" t="n"/>
      <c r="H305" s="32" t="n"/>
      <c r="I305" s="27">
        <f>IF($A305="","",SUMIFS(入库单!$K$4:$K$2503,入库单!$G$4:$G$2503,$A305,入库单!$X$4:$X$2503,"采购入库",入库单!$Z$4:$Z$2503,"正常",入库单!$C$4:$C$2503,"&gt;="&amp;账期起,入库单!$C$4:$C$2503,"&lt;="&amp;账期止))</f>
        <v/>
      </c>
      <c r="J305" s="26">
        <f>IF($A305="","",SUMIFS(入库单!$V$4:$V$2503,入库单!$G$4:$G$2503,$A305,入库单!$X$4:$X$2503,"采购入库",入库单!$Z$4:$Z$2503,"正常",入库单!$C$4:$C$2503,"&gt;="&amp;账期起,入库单!$C$4:$C$2503,"&lt;="&amp;账期止))</f>
        <v/>
      </c>
      <c r="K305" s="26">
        <f>IF($A305="","",IFERROR(ROUND((N($H305)+N($J305))/(N($G305)+N($I305)),2),0))</f>
        <v/>
      </c>
      <c r="L305" s="27">
        <f>IF($A305="","",SUMIFS(入库单!$K$4:$K$2503,入库单!$G$4:$G$2503,$A305,入库单!$X$4:$X$2503,"盘盈",入库单!$Z$4:$Z$2503,"正常",入库单!$C$4:$C$2503,"&gt;="&amp;账期起,入库单!$C$4:$C$2503,"&lt;="&amp;账期止))</f>
        <v/>
      </c>
      <c r="M305" s="26">
        <f>IF($A305="","",ROUND($L305*$K305,0))</f>
        <v/>
      </c>
      <c r="N305" s="27">
        <f>IF($A305="","",SUMIFS(入库单!$K$4:$K$2503,入库单!$G$4:$G$2503,$A305,入库单!$X$4:$X$2503,"矿区退库",入库单!$Z$4:$Z$2503,"正常",入库单!$C$4:$C$2503,"&gt;="&amp;账期起,入库单!$C$4:$C$2503,"&lt;="&amp;账期止))</f>
        <v/>
      </c>
      <c r="O305" s="26">
        <f>IF($A305="","",ROUND($N305*$K305,0))</f>
        <v/>
      </c>
      <c r="P305" s="27">
        <f>IF($A305="","",SUMIFS(出库单!$J$4:$J$4003,出库单!$D$4:$D$4003,$A305,出库单!$K$4:$K$4003,"自用消耗",出库单!$U$4:$U$4003,"正常",出库单!$C$4:$C$4003,"&gt;="&amp;账期起,出库单!$C$4:$C$4003,"&lt;="&amp;账期止))</f>
        <v/>
      </c>
      <c r="Q305" s="26">
        <f>IF($A305="","",ROUND(SUMIFS(出库单!$S$4:$S$4003,出库单!$D$4:$D$4003,$A305,出库单!$K$4:$K$4003,"自用消耗",出库单!$U$4:$U$4003,"正常",出库单!$C$4:$C$4003,"&gt;="&amp;账期起,出库单!$C$4:$C$4003,"&lt;="&amp;账期止),0))</f>
        <v/>
      </c>
      <c r="R305" s="27">
        <f>IF($A305="","",SUMIFS(出库单!$J$4:$J$4003,出库单!$D$4:$D$4003,$A305,出库单!$K$4:$K$4003,"对外销售",出库单!$U$4:$U$4003,"正常",出库单!$C$4:$C$4003,"&gt;="&amp;账期起,出库单!$C$4:$C$4003,"&lt;="&amp;账期止))</f>
        <v/>
      </c>
      <c r="S305" s="26">
        <f>IF($A305="","",ROUND(SUMIFS(出库单!$S$4:$S$4003,出库单!$D$4:$D$4003,$A305,出库单!$K$4:$K$4003,"对外销售",出库单!$U$4:$U$4003,"正常",出库单!$C$4:$C$4003,"&gt;="&amp;账期起,出库单!$C$4:$C$4003,"&lt;="&amp;账期止),0))</f>
        <v/>
      </c>
      <c r="T305" s="27">
        <f>IF($A305="","",SUMIFS(出库单!$J$4:$J$4003,出库单!$D$4:$D$4003,$A305,出库单!$K$4:$K$4003,"盘亏",出库单!$U$4:$U$4003,"正常",出库单!$C$4:$C$4003,"&gt;="&amp;账期起,出库单!$C$4:$C$4003,"&lt;="&amp;账期止))</f>
        <v/>
      </c>
      <c r="U305" s="26">
        <f>IF($A305="","",ROUND(SUMIFS(出库单!$S$4:$S$4003,出库单!$D$4:$D$4003,$A305,出库单!$K$4:$K$4003,"盘亏",出库单!$U$4:$U$4003,"正常",出库单!$C$4:$C$4003,"&gt;="&amp;账期起,出库单!$C$4:$C$4003,"&lt;="&amp;账期止),0))</f>
        <v/>
      </c>
      <c r="V305" s="27">
        <f>IF($A305="","",SUMIFS(出库单!$J$4:$J$4003,出库单!$D$4:$D$4003,$A305,出库单!$K$4:$K$4003,"退货给供应商",出库单!$U$4:$U$4003,"正常",出库单!$C$4:$C$4003,"&gt;="&amp;账期起,出库单!$C$4:$C$4003,"&lt;="&amp;账期止))</f>
        <v/>
      </c>
      <c r="W305" s="26">
        <f>IF($A305="","",ROUND(SUMIFS(出库单!$S$4:$S$4003,出库单!$D$4:$D$4003,$A305,出库单!$K$4:$K$4003,"退货给供应商",出库单!$U$4:$U$4003,"正常",出库单!$C$4:$C$4003,"&gt;="&amp;账期起,出库单!$C$4:$C$4003,"&lt;="&amp;账期止),0))</f>
        <v/>
      </c>
      <c r="X305" s="27">
        <f>IF($A305="","",ROUND(N($G305)+$I305+$L305+$N305-$P305-$R305-$T305-$V305,3))</f>
        <v/>
      </c>
      <c r="Y305" s="26">
        <f>IF($A305="","",ROUND(N($H305)+$J305+$M305+$O305-$Q305-$S305-$U305-$W305,0))</f>
        <v/>
      </c>
      <c r="Z305" s="24">
        <f>IF($A305="","",IF(COUNTIFS(入库单!$G$4:$G$2503,$A305,入库单!$Y$4:$Y$2503,"待补价")+COUNTIFS(入库单!$G$4:$G$2503,$A305,入库单!$Y$4:$Y$2503,"暂估")&gt;0,"不可信","可信"))</f>
        <v/>
      </c>
      <c r="AA305" s="24">
        <f>IF($A305="","",IF($X305&lt;-0.001,"※账面负库存，查一下是不是漏记入库",IF(AND(ROUND($X305,3)=0,ABS($Y305)&gt;1),"※数量已经是 0，金额还挂着 "&amp;TEXT($Y305,"#,##0")&amp;" 先令",IF(AND($X305&gt;0,$Y305&lt;=0,$K305=0),"※有数量没金额（这个物料一直没填过进价）",IF($Z305="不可信","△成本含待补价/暂估，毛利仅供参考","")))))</f>
        <v/>
      </c>
    </row>
    <row r="306">
      <c r="A306" s="24">
        <f>IF(物料档案!$A305="","",物料档案!$A305)</f>
        <v/>
      </c>
      <c r="B306" s="24">
        <f>IF($A306="","",IFERROR(VLOOKUP($A306,物料档案!$A$4:$P$1203,3,0),""))</f>
        <v/>
      </c>
      <c r="C306" s="24">
        <f>IF($A306="","",IFERROR(VLOOKUP($A306,物料档案!$A$4:$P$1203,4,0),""))</f>
        <v/>
      </c>
      <c r="D306" s="24">
        <f>IF($A306="","",IFERROR(VLOOKUP($A306,物料档案!$A$4:$P$1203,5,0),""))</f>
        <v/>
      </c>
      <c r="E306" s="24">
        <f>IF($A306="","",IFERROR(VLOOKUP($A306,物料档案!$A$4:$P$1203,2,0),""))</f>
        <v/>
      </c>
      <c r="F306" s="24">
        <f>IF($A306="","",IFERROR(VLOOKUP($A306,物料档案!$A$4:$P$1203,6,0),""))</f>
        <v/>
      </c>
      <c r="G306" s="23" t="n"/>
      <c r="H306" s="32" t="n"/>
      <c r="I306" s="27">
        <f>IF($A306="","",SUMIFS(入库单!$K$4:$K$2503,入库单!$G$4:$G$2503,$A306,入库单!$X$4:$X$2503,"采购入库",入库单!$Z$4:$Z$2503,"正常",入库单!$C$4:$C$2503,"&gt;="&amp;账期起,入库单!$C$4:$C$2503,"&lt;="&amp;账期止))</f>
        <v/>
      </c>
      <c r="J306" s="26">
        <f>IF($A306="","",SUMIFS(入库单!$V$4:$V$2503,入库单!$G$4:$G$2503,$A306,入库单!$X$4:$X$2503,"采购入库",入库单!$Z$4:$Z$2503,"正常",入库单!$C$4:$C$2503,"&gt;="&amp;账期起,入库单!$C$4:$C$2503,"&lt;="&amp;账期止))</f>
        <v/>
      </c>
      <c r="K306" s="26">
        <f>IF($A306="","",IFERROR(ROUND((N($H306)+N($J306))/(N($G306)+N($I306)),2),0))</f>
        <v/>
      </c>
      <c r="L306" s="27">
        <f>IF($A306="","",SUMIFS(入库单!$K$4:$K$2503,入库单!$G$4:$G$2503,$A306,入库单!$X$4:$X$2503,"盘盈",入库单!$Z$4:$Z$2503,"正常",入库单!$C$4:$C$2503,"&gt;="&amp;账期起,入库单!$C$4:$C$2503,"&lt;="&amp;账期止))</f>
        <v/>
      </c>
      <c r="M306" s="26">
        <f>IF($A306="","",ROUND($L306*$K306,0))</f>
        <v/>
      </c>
      <c r="N306" s="27">
        <f>IF($A306="","",SUMIFS(入库单!$K$4:$K$2503,入库单!$G$4:$G$2503,$A306,入库单!$X$4:$X$2503,"矿区退库",入库单!$Z$4:$Z$2503,"正常",入库单!$C$4:$C$2503,"&gt;="&amp;账期起,入库单!$C$4:$C$2503,"&lt;="&amp;账期止))</f>
        <v/>
      </c>
      <c r="O306" s="26">
        <f>IF($A306="","",ROUND($N306*$K306,0))</f>
        <v/>
      </c>
      <c r="P306" s="27">
        <f>IF($A306="","",SUMIFS(出库单!$J$4:$J$4003,出库单!$D$4:$D$4003,$A306,出库单!$K$4:$K$4003,"自用消耗",出库单!$U$4:$U$4003,"正常",出库单!$C$4:$C$4003,"&gt;="&amp;账期起,出库单!$C$4:$C$4003,"&lt;="&amp;账期止))</f>
        <v/>
      </c>
      <c r="Q306" s="26">
        <f>IF($A306="","",ROUND(SUMIFS(出库单!$S$4:$S$4003,出库单!$D$4:$D$4003,$A306,出库单!$K$4:$K$4003,"自用消耗",出库单!$U$4:$U$4003,"正常",出库单!$C$4:$C$4003,"&gt;="&amp;账期起,出库单!$C$4:$C$4003,"&lt;="&amp;账期止),0))</f>
        <v/>
      </c>
      <c r="R306" s="27">
        <f>IF($A306="","",SUMIFS(出库单!$J$4:$J$4003,出库单!$D$4:$D$4003,$A306,出库单!$K$4:$K$4003,"对外销售",出库单!$U$4:$U$4003,"正常",出库单!$C$4:$C$4003,"&gt;="&amp;账期起,出库单!$C$4:$C$4003,"&lt;="&amp;账期止))</f>
        <v/>
      </c>
      <c r="S306" s="26">
        <f>IF($A306="","",ROUND(SUMIFS(出库单!$S$4:$S$4003,出库单!$D$4:$D$4003,$A306,出库单!$K$4:$K$4003,"对外销售",出库单!$U$4:$U$4003,"正常",出库单!$C$4:$C$4003,"&gt;="&amp;账期起,出库单!$C$4:$C$4003,"&lt;="&amp;账期止),0))</f>
        <v/>
      </c>
      <c r="T306" s="27">
        <f>IF($A306="","",SUMIFS(出库单!$J$4:$J$4003,出库单!$D$4:$D$4003,$A306,出库单!$K$4:$K$4003,"盘亏",出库单!$U$4:$U$4003,"正常",出库单!$C$4:$C$4003,"&gt;="&amp;账期起,出库单!$C$4:$C$4003,"&lt;="&amp;账期止))</f>
        <v/>
      </c>
      <c r="U306" s="26">
        <f>IF($A306="","",ROUND(SUMIFS(出库单!$S$4:$S$4003,出库单!$D$4:$D$4003,$A306,出库单!$K$4:$K$4003,"盘亏",出库单!$U$4:$U$4003,"正常",出库单!$C$4:$C$4003,"&gt;="&amp;账期起,出库单!$C$4:$C$4003,"&lt;="&amp;账期止),0))</f>
        <v/>
      </c>
      <c r="V306" s="27">
        <f>IF($A306="","",SUMIFS(出库单!$J$4:$J$4003,出库单!$D$4:$D$4003,$A306,出库单!$K$4:$K$4003,"退货给供应商",出库单!$U$4:$U$4003,"正常",出库单!$C$4:$C$4003,"&gt;="&amp;账期起,出库单!$C$4:$C$4003,"&lt;="&amp;账期止))</f>
        <v/>
      </c>
      <c r="W306" s="26">
        <f>IF($A306="","",ROUND(SUMIFS(出库单!$S$4:$S$4003,出库单!$D$4:$D$4003,$A306,出库单!$K$4:$K$4003,"退货给供应商",出库单!$U$4:$U$4003,"正常",出库单!$C$4:$C$4003,"&gt;="&amp;账期起,出库单!$C$4:$C$4003,"&lt;="&amp;账期止),0))</f>
        <v/>
      </c>
      <c r="X306" s="27">
        <f>IF($A306="","",ROUND(N($G306)+$I306+$L306+$N306-$P306-$R306-$T306-$V306,3))</f>
        <v/>
      </c>
      <c r="Y306" s="26">
        <f>IF($A306="","",ROUND(N($H306)+$J306+$M306+$O306-$Q306-$S306-$U306-$W306,0))</f>
        <v/>
      </c>
      <c r="Z306" s="24">
        <f>IF($A306="","",IF(COUNTIFS(入库单!$G$4:$G$2503,$A306,入库单!$Y$4:$Y$2503,"待补价")+COUNTIFS(入库单!$G$4:$G$2503,$A306,入库单!$Y$4:$Y$2503,"暂估")&gt;0,"不可信","可信"))</f>
        <v/>
      </c>
      <c r="AA306" s="24">
        <f>IF($A306="","",IF($X306&lt;-0.001,"※账面负库存，查一下是不是漏记入库",IF(AND(ROUND($X306,3)=0,ABS($Y306)&gt;1),"※数量已经是 0，金额还挂着 "&amp;TEXT($Y306,"#,##0")&amp;" 先令",IF(AND($X306&gt;0,$Y306&lt;=0,$K306=0),"※有数量没金额（这个物料一直没填过进价）",IF($Z306="不可信","△成本含待补价/暂估，毛利仅供参考","")))))</f>
        <v/>
      </c>
    </row>
    <row r="307">
      <c r="A307" s="24">
        <f>IF(物料档案!$A306="","",物料档案!$A306)</f>
        <v/>
      </c>
      <c r="B307" s="24">
        <f>IF($A307="","",IFERROR(VLOOKUP($A307,物料档案!$A$4:$P$1203,3,0),""))</f>
        <v/>
      </c>
      <c r="C307" s="24">
        <f>IF($A307="","",IFERROR(VLOOKUP($A307,物料档案!$A$4:$P$1203,4,0),""))</f>
        <v/>
      </c>
      <c r="D307" s="24">
        <f>IF($A307="","",IFERROR(VLOOKUP($A307,物料档案!$A$4:$P$1203,5,0),""))</f>
        <v/>
      </c>
      <c r="E307" s="24">
        <f>IF($A307="","",IFERROR(VLOOKUP($A307,物料档案!$A$4:$P$1203,2,0),""))</f>
        <v/>
      </c>
      <c r="F307" s="24">
        <f>IF($A307="","",IFERROR(VLOOKUP($A307,物料档案!$A$4:$P$1203,6,0),""))</f>
        <v/>
      </c>
      <c r="G307" s="23" t="n"/>
      <c r="H307" s="32" t="n"/>
      <c r="I307" s="27">
        <f>IF($A307="","",SUMIFS(入库单!$K$4:$K$2503,入库单!$G$4:$G$2503,$A307,入库单!$X$4:$X$2503,"采购入库",入库单!$Z$4:$Z$2503,"正常",入库单!$C$4:$C$2503,"&gt;="&amp;账期起,入库单!$C$4:$C$2503,"&lt;="&amp;账期止))</f>
        <v/>
      </c>
      <c r="J307" s="26">
        <f>IF($A307="","",SUMIFS(入库单!$V$4:$V$2503,入库单!$G$4:$G$2503,$A307,入库单!$X$4:$X$2503,"采购入库",入库单!$Z$4:$Z$2503,"正常",入库单!$C$4:$C$2503,"&gt;="&amp;账期起,入库单!$C$4:$C$2503,"&lt;="&amp;账期止))</f>
        <v/>
      </c>
      <c r="K307" s="26">
        <f>IF($A307="","",IFERROR(ROUND((N($H307)+N($J307))/(N($G307)+N($I307)),2),0))</f>
        <v/>
      </c>
      <c r="L307" s="27">
        <f>IF($A307="","",SUMIFS(入库单!$K$4:$K$2503,入库单!$G$4:$G$2503,$A307,入库单!$X$4:$X$2503,"盘盈",入库单!$Z$4:$Z$2503,"正常",入库单!$C$4:$C$2503,"&gt;="&amp;账期起,入库单!$C$4:$C$2503,"&lt;="&amp;账期止))</f>
        <v/>
      </c>
      <c r="M307" s="26">
        <f>IF($A307="","",ROUND($L307*$K307,0))</f>
        <v/>
      </c>
      <c r="N307" s="27">
        <f>IF($A307="","",SUMIFS(入库单!$K$4:$K$2503,入库单!$G$4:$G$2503,$A307,入库单!$X$4:$X$2503,"矿区退库",入库单!$Z$4:$Z$2503,"正常",入库单!$C$4:$C$2503,"&gt;="&amp;账期起,入库单!$C$4:$C$2503,"&lt;="&amp;账期止))</f>
        <v/>
      </c>
      <c r="O307" s="26">
        <f>IF($A307="","",ROUND($N307*$K307,0))</f>
        <v/>
      </c>
      <c r="P307" s="27">
        <f>IF($A307="","",SUMIFS(出库单!$J$4:$J$4003,出库单!$D$4:$D$4003,$A307,出库单!$K$4:$K$4003,"自用消耗",出库单!$U$4:$U$4003,"正常",出库单!$C$4:$C$4003,"&gt;="&amp;账期起,出库单!$C$4:$C$4003,"&lt;="&amp;账期止))</f>
        <v/>
      </c>
      <c r="Q307" s="26">
        <f>IF($A307="","",ROUND(SUMIFS(出库单!$S$4:$S$4003,出库单!$D$4:$D$4003,$A307,出库单!$K$4:$K$4003,"自用消耗",出库单!$U$4:$U$4003,"正常",出库单!$C$4:$C$4003,"&gt;="&amp;账期起,出库单!$C$4:$C$4003,"&lt;="&amp;账期止),0))</f>
        <v/>
      </c>
      <c r="R307" s="27">
        <f>IF($A307="","",SUMIFS(出库单!$J$4:$J$4003,出库单!$D$4:$D$4003,$A307,出库单!$K$4:$K$4003,"对外销售",出库单!$U$4:$U$4003,"正常",出库单!$C$4:$C$4003,"&gt;="&amp;账期起,出库单!$C$4:$C$4003,"&lt;="&amp;账期止))</f>
        <v/>
      </c>
      <c r="S307" s="26">
        <f>IF($A307="","",ROUND(SUMIFS(出库单!$S$4:$S$4003,出库单!$D$4:$D$4003,$A307,出库单!$K$4:$K$4003,"对外销售",出库单!$U$4:$U$4003,"正常",出库单!$C$4:$C$4003,"&gt;="&amp;账期起,出库单!$C$4:$C$4003,"&lt;="&amp;账期止),0))</f>
        <v/>
      </c>
      <c r="T307" s="27">
        <f>IF($A307="","",SUMIFS(出库单!$J$4:$J$4003,出库单!$D$4:$D$4003,$A307,出库单!$K$4:$K$4003,"盘亏",出库单!$U$4:$U$4003,"正常",出库单!$C$4:$C$4003,"&gt;="&amp;账期起,出库单!$C$4:$C$4003,"&lt;="&amp;账期止))</f>
        <v/>
      </c>
      <c r="U307" s="26">
        <f>IF($A307="","",ROUND(SUMIFS(出库单!$S$4:$S$4003,出库单!$D$4:$D$4003,$A307,出库单!$K$4:$K$4003,"盘亏",出库单!$U$4:$U$4003,"正常",出库单!$C$4:$C$4003,"&gt;="&amp;账期起,出库单!$C$4:$C$4003,"&lt;="&amp;账期止),0))</f>
        <v/>
      </c>
      <c r="V307" s="27">
        <f>IF($A307="","",SUMIFS(出库单!$J$4:$J$4003,出库单!$D$4:$D$4003,$A307,出库单!$K$4:$K$4003,"退货给供应商",出库单!$U$4:$U$4003,"正常",出库单!$C$4:$C$4003,"&gt;="&amp;账期起,出库单!$C$4:$C$4003,"&lt;="&amp;账期止))</f>
        <v/>
      </c>
      <c r="W307" s="26">
        <f>IF($A307="","",ROUND(SUMIFS(出库单!$S$4:$S$4003,出库单!$D$4:$D$4003,$A307,出库单!$K$4:$K$4003,"退货给供应商",出库单!$U$4:$U$4003,"正常",出库单!$C$4:$C$4003,"&gt;="&amp;账期起,出库单!$C$4:$C$4003,"&lt;="&amp;账期止),0))</f>
        <v/>
      </c>
      <c r="X307" s="27">
        <f>IF($A307="","",ROUND(N($G307)+$I307+$L307+$N307-$P307-$R307-$T307-$V307,3))</f>
        <v/>
      </c>
      <c r="Y307" s="26">
        <f>IF($A307="","",ROUND(N($H307)+$J307+$M307+$O307-$Q307-$S307-$U307-$W307,0))</f>
        <v/>
      </c>
      <c r="Z307" s="24">
        <f>IF($A307="","",IF(COUNTIFS(入库单!$G$4:$G$2503,$A307,入库单!$Y$4:$Y$2503,"待补价")+COUNTIFS(入库单!$G$4:$G$2503,$A307,入库单!$Y$4:$Y$2503,"暂估")&gt;0,"不可信","可信"))</f>
        <v/>
      </c>
      <c r="AA307" s="24">
        <f>IF($A307="","",IF($X307&lt;-0.001,"※账面负库存，查一下是不是漏记入库",IF(AND(ROUND($X307,3)=0,ABS($Y307)&gt;1),"※数量已经是 0，金额还挂着 "&amp;TEXT($Y307,"#,##0")&amp;" 先令",IF(AND($X307&gt;0,$Y307&lt;=0,$K307=0),"※有数量没金额（这个物料一直没填过进价）",IF($Z307="不可信","△成本含待补价/暂估，毛利仅供参考","")))))</f>
        <v/>
      </c>
    </row>
    <row r="308">
      <c r="A308" s="24">
        <f>IF(物料档案!$A307="","",物料档案!$A307)</f>
        <v/>
      </c>
      <c r="B308" s="24">
        <f>IF($A308="","",IFERROR(VLOOKUP($A308,物料档案!$A$4:$P$1203,3,0),""))</f>
        <v/>
      </c>
      <c r="C308" s="24">
        <f>IF($A308="","",IFERROR(VLOOKUP($A308,物料档案!$A$4:$P$1203,4,0),""))</f>
        <v/>
      </c>
      <c r="D308" s="24">
        <f>IF($A308="","",IFERROR(VLOOKUP($A308,物料档案!$A$4:$P$1203,5,0),""))</f>
        <v/>
      </c>
      <c r="E308" s="24">
        <f>IF($A308="","",IFERROR(VLOOKUP($A308,物料档案!$A$4:$P$1203,2,0),""))</f>
        <v/>
      </c>
      <c r="F308" s="24">
        <f>IF($A308="","",IFERROR(VLOOKUP($A308,物料档案!$A$4:$P$1203,6,0),""))</f>
        <v/>
      </c>
      <c r="G308" s="23" t="n"/>
      <c r="H308" s="32" t="n"/>
      <c r="I308" s="27">
        <f>IF($A308="","",SUMIFS(入库单!$K$4:$K$2503,入库单!$G$4:$G$2503,$A308,入库单!$X$4:$X$2503,"采购入库",入库单!$Z$4:$Z$2503,"正常",入库单!$C$4:$C$2503,"&gt;="&amp;账期起,入库单!$C$4:$C$2503,"&lt;="&amp;账期止))</f>
        <v/>
      </c>
      <c r="J308" s="26">
        <f>IF($A308="","",SUMIFS(入库单!$V$4:$V$2503,入库单!$G$4:$G$2503,$A308,入库单!$X$4:$X$2503,"采购入库",入库单!$Z$4:$Z$2503,"正常",入库单!$C$4:$C$2503,"&gt;="&amp;账期起,入库单!$C$4:$C$2503,"&lt;="&amp;账期止))</f>
        <v/>
      </c>
      <c r="K308" s="26">
        <f>IF($A308="","",IFERROR(ROUND((N($H308)+N($J308))/(N($G308)+N($I308)),2),0))</f>
        <v/>
      </c>
      <c r="L308" s="27">
        <f>IF($A308="","",SUMIFS(入库单!$K$4:$K$2503,入库单!$G$4:$G$2503,$A308,入库单!$X$4:$X$2503,"盘盈",入库单!$Z$4:$Z$2503,"正常",入库单!$C$4:$C$2503,"&gt;="&amp;账期起,入库单!$C$4:$C$2503,"&lt;="&amp;账期止))</f>
        <v/>
      </c>
      <c r="M308" s="26">
        <f>IF($A308="","",ROUND($L308*$K308,0))</f>
        <v/>
      </c>
      <c r="N308" s="27">
        <f>IF($A308="","",SUMIFS(入库单!$K$4:$K$2503,入库单!$G$4:$G$2503,$A308,入库单!$X$4:$X$2503,"矿区退库",入库单!$Z$4:$Z$2503,"正常",入库单!$C$4:$C$2503,"&gt;="&amp;账期起,入库单!$C$4:$C$2503,"&lt;="&amp;账期止))</f>
        <v/>
      </c>
      <c r="O308" s="26">
        <f>IF($A308="","",ROUND($N308*$K308,0))</f>
        <v/>
      </c>
      <c r="P308" s="27">
        <f>IF($A308="","",SUMIFS(出库单!$J$4:$J$4003,出库单!$D$4:$D$4003,$A308,出库单!$K$4:$K$4003,"自用消耗",出库单!$U$4:$U$4003,"正常",出库单!$C$4:$C$4003,"&gt;="&amp;账期起,出库单!$C$4:$C$4003,"&lt;="&amp;账期止))</f>
        <v/>
      </c>
      <c r="Q308" s="26">
        <f>IF($A308="","",ROUND(SUMIFS(出库单!$S$4:$S$4003,出库单!$D$4:$D$4003,$A308,出库单!$K$4:$K$4003,"自用消耗",出库单!$U$4:$U$4003,"正常",出库单!$C$4:$C$4003,"&gt;="&amp;账期起,出库单!$C$4:$C$4003,"&lt;="&amp;账期止),0))</f>
        <v/>
      </c>
      <c r="R308" s="27">
        <f>IF($A308="","",SUMIFS(出库单!$J$4:$J$4003,出库单!$D$4:$D$4003,$A308,出库单!$K$4:$K$4003,"对外销售",出库单!$U$4:$U$4003,"正常",出库单!$C$4:$C$4003,"&gt;="&amp;账期起,出库单!$C$4:$C$4003,"&lt;="&amp;账期止))</f>
        <v/>
      </c>
      <c r="S308" s="26">
        <f>IF($A308="","",ROUND(SUMIFS(出库单!$S$4:$S$4003,出库单!$D$4:$D$4003,$A308,出库单!$K$4:$K$4003,"对外销售",出库单!$U$4:$U$4003,"正常",出库单!$C$4:$C$4003,"&gt;="&amp;账期起,出库单!$C$4:$C$4003,"&lt;="&amp;账期止),0))</f>
        <v/>
      </c>
      <c r="T308" s="27">
        <f>IF($A308="","",SUMIFS(出库单!$J$4:$J$4003,出库单!$D$4:$D$4003,$A308,出库单!$K$4:$K$4003,"盘亏",出库单!$U$4:$U$4003,"正常",出库单!$C$4:$C$4003,"&gt;="&amp;账期起,出库单!$C$4:$C$4003,"&lt;="&amp;账期止))</f>
        <v/>
      </c>
      <c r="U308" s="26">
        <f>IF($A308="","",ROUND(SUMIFS(出库单!$S$4:$S$4003,出库单!$D$4:$D$4003,$A308,出库单!$K$4:$K$4003,"盘亏",出库单!$U$4:$U$4003,"正常",出库单!$C$4:$C$4003,"&gt;="&amp;账期起,出库单!$C$4:$C$4003,"&lt;="&amp;账期止),0))</f>
        <v/>
      </c>
      <c r="V308" s="27">
        <f>IF($A308="","",SUMIFS(出库单!$J$4:$J$4003,出库单!$D$4:$D$4003,$A308,出库单!$K$4:$K$4003,"退货给供应商",出库单!$U$4:$U$4003,"正常",出库单!$C$4:$C$4003,"&gt;="&amp;账期起,出库单!$C$4:$C$4003,"&lt;="&amp;账期止))</f>
        <v/>
      </c>
      <c r="W308" s="26">
        <f>IF($A308="","",ROUND(SUMIFS(出库单!$S$4:$S$4003,出库单!$D$4:$D$4003,$A308,出库单!$K$4:$K$4003,"退货给供应商",出库单!$U$4:$U$4003,"正常",出库单!$C$4:$C$4003,"&gt;="&amp;账期起,出库单!$C$4:$C$4003,"&lt;="&amp;账期止),0))</f>
        <v/>
      </c>
      <c r="X308" s="27">
        <f>IF($A308="","",ROUND(N($G308)+$I308+$L308+$N308-$P308-$R308-$T308-$V308,3))</f>
        <v/>
      </c>
      <c r="Y308" s="26">
        <f>IF($A308="","",ROUND(N($H308)+$J308+$M308+$O308-$Q308-$S308-$U308-$W308,0))</f>
        <v/>
      </c>
      <c r="Z308" s="24">
        <f>IF($A308="","",IF(COUNTIFS(入库单!$G$4:$G$2503,$A308,入库单!$Y$4:$Y$2503,"待补价")+COUNTIFS(入库单!$G$4:$G$2503,$A308,入库单!$Y$4:$Y$2503,"暂估")&gt;0,"不可信","可信"))</f>
        <v/>
      </c>
      <c r="AA308" s="24">
        <f>IF($A308="","",IF($X308&lt;-0.001,"※账面负库存，查一下是不是漏记入库",IF(AND(ROUND($X308,3)=0,ABS($Y308)&gt;1),"※数量已经是 0，金额还挂着 "&amp;TEXT($Y308,"#,##0")&amp;" 先令",IF(AND($X308&gt;0,$Y308&lt;=0,$K308=0),"※有数量没金额（这个物料一直没填过进价）",IF($Z308="不可信","△成本含待补价/暂估，毛利仅供参考","")))))</f>
        <v/>
      </c>
    </row>
    <row r="309">
      <c r="A309" s="24">
        <f>IF(物料档案!$A308="","",物料档案!$A308)</f>
        <v/>
      </c>
      <c r="B309" s="24">
        <f>IF($A309="","",IFERROR(VLOOKUP($A309,物料档案!$A$4:$P$1203,3,0),""))</f>
        <v/>
      </c>
      <c r="C309" s="24">
        <f>IF($A309="","",IFERROR(VLOOKUP($A309,物料档案!$A$4:$P$1203,4,0),""))</f>
        <v/>
      </c>
      <c r="D309" s="24">
        <f>IF($A309="","",IFERROR(VLOOKUP($A309,物料档案!$A$4:$P$1203,5,0),""))</f>
        <v/>
      </c>
      <c r="E309" s="24">
        <f>IF($A309="","",IFERROR(VLOOKUP($A309,物料档案!$A$4:$P$1203,2,0),""))</f>
        <v/>
      </c>
      <c r="F309" s="24">
        <f>IF($A309="","",IFERROR(VLOOKUP($A309,物料档案!$A$4:$P$1203,6,0),""))</f>
        <v/>
      </c>
      <c r="G309" s="23" t="n"/>
      <c r="H309" s="32" t="n"/>
      <c r="I309" s="27">
        <f>IF($A309="","",SUMIFS(入库单!$K$4:$K$2503,入库单!$G$4:$G$2503,$A309,入库单!$X$4:$X$2503,"采购入库",入库单!$Z$4:$Z$2503,"正常",入库单!$C$4:$C$2503,"&gt;="&amp;账期起,入库单!$C$4:$C$2503,"&lt;="&amp;账期止))</f>
        <v/>
      </c>
      <c r="J309" s="26">
        <f>IF($A309="","",SUMIFS(入库单!$V$4:$V$2503,入库单!$G$4:$G$2503,$A309,入库单!$X$4:$X$2503,"采购入库",入库单!$Z$4:$Z$2503,"正常",入库单!$C$4:$C$2503,"&gt;="&amp;账期起,入库单!$C$4:$C$2503,"&lt;="&amp;账期止))</f>
        <v/>
      </c>
      <c r="K309" s="26">
        <f>IF($A309="","",IFERROR(ROUND((N($H309)+N($J309))/(N($G309)+N($I309)),2),0))</f>
        <v/>
      </c>
      <c r="L309" s="27">
        <f>IF($A309="","",SUMIFS(入库单!$K$4:$K$2503,入库单!$G$4:$G$2503,$A309,入库单!$X$4:$X$2503,"盘盈",入库单!$Z$4:$Z$2503,"正常",入库单!$C$4:$C$2503,"&gt;="&amp;账期起,入库单!$C$4:$C$2503,"&lt;="&amp;账期止))</f>
        <v/>
      </c>
      <c r="M309" s="26">
        <f>IF($A309="","",ROUND($L309*$K309,0))</f>
        <v/>
      </c>
      <c r="N309" s="27">
        <f>IF($A309="","",SUMIFS(入库单!$K$4:$K$2503,入库单!$G$4:$G$2503,$A309,入库单!$X$4:$X$2503,"矿区退库",入库单!$Z$4:$Z$2503,"正常",入库单!$C$4:$C$2503,"&gt;="&amp;账期起,入库单!$C$4:$C$2503,"&lt;="&amp;账期止))</f>
        <v/>
      </c>
      <c r="O309" s="26">
        <f>IF($A309="","",ROUND($N309*$K309,0))</f>
        <v/>
      </c>
      <c r="P309" s="27">
        <f>IF($A309="","",SUMIFS(出库单!$J$4:$J$4003,出库单!$D$4:$D$4003,$A309,出库单!$K$4:$K$4003,"自用消耗",出库单!$U$4:$U$4003,"正常",出库单!$C$4:$C$4003,"&gt;="&amp;账期起,出库单!$C$4:$C$4003,"&lt;="&amp;账期止))</f>
        <v/>
      </c>
      <c r="Q309" s="26">
        <f>IF($A309="","",ROUND(SUMIFS(出库单!$S$4:$S$4003,出库单!$D$4:$D$4003,$A309,出库单!$K$4:$K$4003,"自用消耗",出库单!$U$4:$U$4003,"正常",出库单!$C$4:$C$4003,"&gt;="&amp;账期起,出库单!$C$4:$C$4003,"&lt;="&amp;账期止),0))</f>
        <v/>
      </c>
      <c r="R309" s="27">
        <f>IF($A309="","",SUMIFS(出库单!$J$4:$J$4003,出库单!$D$4:$D$4003,$A309,出库单!$K$4:$K$4003,"对外销售",出库单!$U$4:$U$4003,"正常",出库单!$C$4:$C$4003,"&gt;="&amp;账期起,出库单!$C$4:$C$4003,"&lt;="&amp;账期止))</f>
        <v/>
      </c>
      <c r="S309" s="26">
        <f>IF($A309="","",ROUND(SUMIFS(出库单!$S$4:$S$4003,出库单!$D$4:$D$4003,$A309,出库单!$K$4:$K$4003,"对外销售",出库单!$U$4:$U$4003,"正常",出库单!$C$4:$C$4003,"&gt;="&amp;账期起,出库单!$C$4:$C$4003,"&lt;="&amp;账期止),0))</f>
        <v/>
      </c>
      <c r="T309" s="27">
        <f>IF($A309="","",SUMIFS(出库单!$J$4:$J$4003,出库单!$D$4:$D$4003,$A309,出库单!$K$4:$K$4003,"盘亏",出库单!$U$4:$U$4003,"正常",出库单!$C$4:$C$4003,"&gt;="&amp;账期起,出库单!$C$4:$C$4003,"&lt;="&amp;账期止))</f>
        <v/>
      </c>
      <c r="U309" s="26">
        <f>IF($A309="","",ROUND(SUMIFS(出库单!$S$4:$S$4003,出库单!$D$4:$D$4003,$A309,出库单!$K$4:$K$4003,"盘亏",出库单!$U$4:$U$4003,"正常",出库单!$C$4:$C$4003,"&gt;="&amp;账期起,出库单!$C$4:$C$4003,"&lt;="&amp;账期止),0))</f>
        <v/>
      </c>
      <c r="V309" s="27">
        <f>IF($A309="","",SUMIFS(出库单!$J$4:$J$4003,出库单!$D$4:$D$4003,$A309,出库单!$K$4:$K$4003,"退货给供应商",出库单!$U$4:$U$4003,"正常",出库单!$C$4:$C$4003,"&gt;="&amp;账期起,出库单!$C$4:$C$4003,"&lt;="&amp;账期止))</f>
        <v/>
      </c>
      <c r="W309" s="26">
        <f>IF($A309="","",ROUND(SUMIFS(出库单!$S$4:$S$4003,出库单!$D$4:$D$4003,$A309,出库单!$K$4:$K$4003,"退货给供应商",出库单!$U$4:$U$4003,"正常",出库单!$C$4:$C$4003,"&gt;="&amp;账期起,出库单!$C$4:$C$4003,"&lt;="&amp;账期止),0))</f>
        <v/>
      </c>
      <c r="X309" s="27">
        <f>IF($A309="","",ROUND(N($G309)+$I309+$L309+$N309-$P309-$R309-$T309-$V309,3))</f>
        <v/>
      </c>
      <c r="Y309" s="26">
        <f>IF($A309="","",ROUND(N($H309)+$J309+$M309+$O309-$Q309-$S309-$U309-$W309,0))</f>
        <v/>
      </c>
      <c r="Z309" s="24">
        <f>IF($A309="","",IF(COUNTIFS(入库单!$G$4:$G$2503,$A309,入库单!$Y$4:$Y$2503,"待补价")+COUNTIFS(入库单!$G$4:$G$2503,$A309,入库单!$Y$4:$Y$2503,"暂估")&gt;0,"不可信","可信"))</f>
        <v/>
      </c>
      <c r="AA309" s="24">
        <f>IF($A309="","",IF($X309&lt;-0.001,"※账面负库存，查一下是不是漏记入库",IF(AND(ROUND($X309,3)=0,ABS($Y309)&gt;1),"※数量已经是 0，金额还挂着 "&amp;TEXT($Y309,"#,##0")&amp;" 先令",IF(AND($X309&gt;0,$Y309&lt;=0,$K309=0),"※有数量没金额（这个物料一直没填过进价）",IF($Z309="不可信","△成本含待补价/暂估，毛利仅供参考","")))))</f>
        <v/>
      </c>
    </row>
    <row r="310">
      <c r="A310" s="24">
        <f>IF(物料档案!$A309="","",物料档案!$A309)</f>
        <v/>
      </c>
      <c r="B310" s="24">
        <f>IF($A310="","",IFERROR(VLOOKUP($A310,物料档案!$A$4:$P$1203,3,0),""))</f>
        <v/>
      </c>
      <c r="C310" s="24">
        <f>IF($A310="","",IFERROR(VLOOKUP($A310,物料档案!$A$4:$P$1203,4,0),""))</f>
        <v/>
      </c>
      <c r="D310" s="24">
        <f>IF($A310="","",IFERROR(VLOOKUP($A310,物料档案!$A$4:$P$1203,5,0),""))</f>
        <v/>
      </c>
      <c r="E310" s="24">
        <f>IF($A310="","",IFERROR(VLOOKUP($A310,物料档案!$A$4:$P$1203,2,0),""))</f>
        <v/>
      </c>
      <c r="F310" s="24">
        <f>IF($A310="","",IFERROR(VLOOKUP($A310,物料档案!$A$4:$P$1203,6,0),""))</f>
        <v/>
      </c>
      <c r="G310" s="23" t="n"/>
      <c r="H310" s="32" t="n"/>
      <c r="I310" s="27">
        <f>IF($A310="","",SUMIFS(入库单!$K$4:$K$2503,入库单!$G$4:$G$2503,$A310,入库单!$X$4:$X$2503,"采购入库",入库单!$Z$4:$Z$2503,"正常",入库单!$C$4:$C$2503,"&gt;="&amp;账期起,入库单!$C$4:$C$2503,"&lt;="&amp;账期止))</f>
        <v/>
      </c>
      <c r="J310" s="26">
        <f>IF($A310="","",SUMIFS(入库单!$V$4:$V$2503,入库单!$G$4:$G$2503,$A310,入库单!$X$4:$X$2503,"采购入库",入库单!$Z$4:$Z$2503,"正常",入库单!$C$4:$C$2503,"&gt;="&amp;账期起,入库单!$C$4:$C$2503,"&lt;="&amp;账期止))</f>
        <v/>
      </c>
      <c r="K310" s="26">
        <f>IF($A310="","",IFERROR(ROUND((N($H310)+N($J310))/(N($G310)+N($I310)),2),0))</f>
        <v/>
      </c>
      <c r="L310" s="27">
        <f>IF($A310="","",SUMIFS(入库单!$K$4:$K$2503,入库单!$G$4:$G$2503,$A310,入库单!$X$4:$X$2503,"盘盈",入库单!$Z$4:$Z$2503,"正常",入库单!$C$4:$C$2503,"&gt;="&amp;账期起,入库单!$C$4:$C$2503,"&lt;="&amp;账期止))</f>
        <v/>
      </c>
      <c r="M310" s="26">
        <f>IF($A310="","",ROUND($L310*$K310,0))</f>
        <v/>
      </c>
      <c r="N310" s="27">
        <f>IF($A310="","",SUMIFS(入库单!$K$4:$K$2503,入库单!$G$4:$G$2503,$A310,入库单!$X$4:$X$2503,"矿区退库",入库单!$Z$4:$Z$2503,"正常",入库单!$C$4:$C$2503,"&gt;="&amp;账期起,入库单!$C$4:$C$2503,"&lt;="&amp;账期止))</f>
        <v/>
      </c>
      <c r="O310" s="26">
        <f>IF($A310="","",ROUND($N310*$K310,0))</f>
        <v/>
      </c>
      <c r="P310" s="27">
        <f>IF($A310="","",SUMIFS(出库单!$J$4:$J$4003,出库单!$D$4:$D$4003,$A310,出库单!$K$4:$K$4003,"自用消耗",出库单!$U$4:$U$4003,"正常",出库单!$C$4:$C$4003,"&gt;="&amp;账期起,出库单!$C$4:$C$4003,"&lt;="&amp;账期止))</f>
        <v/>
      </c>
      <c r="Q310" s="26">
        <f>IF($A310="","",ROUND(SUMIFS(出库单!$S$4:$S$4003,出库单!$D$4:$D$4003,$A310,出库单!$K$4:$K$4003,"自用消耗",出库单!$U$4:$U$4003,"正常",出库单!$C$4:$C$4003,"&gt;="&amp;账期起,出库单!$C$4:$C$4003,"&lt;="&amp;账期止),0))</f>
        <v/>
      </c>
      <c r="R310" s="27">
        <f>IF($A310="","",SUMIFS(出库单!$J$4:$J$4003,出库单!$D$4:$D$4003,$A310,出库单!$K$4:$K$4003,"对外销售",出库单!$U$4:$U$4003,"正常",出库单!$C$4:$C$4003,"&gt;="&amp;账期起,出库单!$C$4:$C$4003,"&lt;="&amp;账期止))</f>
        <v/>
      </c>
      <c r="S310" s="26">
        <f>IF($A310="","",ROUND(SUMIFS(出库单!$S$4:$S$4003,出库单!$D$4:$D$4003,$A310,出库单!$K$4:$K$4003,"对外销售",出库单!$U$4:$U$4003,"正常",出库单!$C$4:$C$4003,"&gt;="&amp;账期起,出库单!$C$4:$C$4003,"&lt;="&amp;账期止),0))</f>
        <v/>
      </c>
      <c r="T310" s="27">
        <f>IF($A310="","",SUMIFS(出库单!$J$4:$J$4003,出库单!$D$4:$D$4003,$A310,出库单!$K$4:$K$4003,"盘亏",出库单!$U$4:$U$4003,"正常",出库单!$C$4:$C$4003,"&gt;="&amp;账期起,出库单!$C$4:$C$4003,"&lt;="&amp;账期止))</f>
        <v/>
      </c>
      <c r="U310" s="26">
        <f>IF($A310="","",ROUND(SUMIFS(出库单!$S$4:$S$4003,出库单!$D$4:$D$4003,$A310,出库单!$K$4:$K$4003,"盘亏",出库单!$U$4:$U$4003,"正常",出库单!$C$4:$C$4003,"&gt;="&amp;账期起,出库单!$C$4:$C$4003,"&lt;="&amp;账期止),0))</f>
        <v/>
      </c>
      <c r="V310" s="27">
        <f>IF($A310="","",SUMIFS(出库单!$J$4:$J$4003,出库单!$D$4:$D$4003,$A310,出库单!$K$4:$K$4003,"退货给供应商",出库单!$U$4:$U$4003,"正常",出库单!$C$4:$C$4003,"&gt;="&amp;账期起,出库单!$C$4:$C$4003,"&lt;="&amp;账期止))</f>
        <v/>
      </c>
      <c r="W310" s="26">
        <f>IF($A310="","",ROUND(SUMIFS(出库单!$S$4:$S$4003,出库单!$D$4:$D$4003,$A310,出库单!$K$4:$K$4003,"退货给供应商",出库单!$U$4:$U$4003,"正常",出库单!$C$4:$C$4003,"&gt;="&amp;账期起,出库单!$C$4:$C$4003,"&lt;="&amp;账期止),0))</f>
        <v/>
      </c>
      <c r="X310" s="27">
        <f>IF($A310="","",ROUND(N($G310)+$I310+$L310+$N310-$P310-$R310-$T310-$V310,3))</f>
        <v/>
      </c>
      <c r="Y310" s="26">
        <f>IF($A310="","",ROUND(N($H310)+$J310+$M310+$O310-$Q310-$S310-$U310-$W310,0))</f>
        <v/>
      </c>
      <c r="Z310" s="24">
        <f>IF($A310="","",IF(COUNTIFS(入库单!$G$4:$G$2503,$A310,入库单!$Y$4:$Y$2503,"待补价")+COUNTIFS(入库单!$G$4:$G$2503,$A310,入库单!$Y$4:$Y$2503,"暂估")&gt;0,"不可信","可信"))</f>
        <v/>
      </c>
      <c r="AA310" s="24">
        <f>IF($A310="","",IF($X310&lt;-0.001,"※账面负库存，查一下是不是漏记入库",IF(AND(ROUND($X310,3)=0,ABS($Y310)&gt;1),"※数量已经是 0，金额还挂着 "&amp;TEXT($Y310,"#,##0")&amp;" 先令",IF(AND($X310&gt;0,$Y310&lt;=0,$K310=0),"※有数量没金额（这个物料一直没填过进价）",IF($Z310="不可信","△成本含待补价/暂估，毛利仅供参考","")))))</f>
        <v/>
      </c>
    </row>
    <row r="311">
      <c r="A311" s="24">
        <f>IF(物料档案!$A310="","",物料档案!$A310)</f>
        <v/>
      </c>
      <c r="B311" s="24">
        <f>IF($A311="","",IFERROR(VLOOKUP($A311,物料档案!$A$4:$P$1203,3,0),""))</f>
        <v/>
      </c>
      <c r="C311" s="24">
        <f>IF($A311="","",IFERROR(VLOOKUP($A311,物料档案!$A$4:$P$1203,4,0),""))</f>
        <v/>
      </c>
      <c r="D311" s="24">
        <f>IF($A311="","",IFERROR(VLOOKUP($A311,物料档案!$A$4:$P$1203,5,0),""))</f>
        <v/>
      </c>
      <c r="E311" s="24">
        <f>IF($A311="","",IFERROR(VLOOKUP($A311,物料档案!$A$4:$P$1203,2,0),""))</f>
        <v/>
      </c>
      <c r="F311" s="24">
        <f>IF($A311="","",IFERROR(VLOOKUP($A311,物料档案!$A$4:$P$1203,6,0),""))</f>
        <v/>
      </c>
      <c r="G311" s="23" t="n"/>
      <c r="H311" s="32" t="n"/>
      <c r="I311" s="27">
        <f>IF($A311="","",SUMIFS(入库单!$K$4:$K$2503,入库单!$G$4:$G$2503,$A311,入库单!$X$4:$X$2503,"采购入库",入库单!$Z$4:$Z$2503,"正常",入库单!$C$4:$C$2503,"&gt;="&amp;账期起,入库单!$C$4:$C$2503,"&lt;="&amp;账期止))</f>
        <v/>
      </c>
      <c r="J311" s="26">
        <f>IF($A311="","",SUMIFS(入库单!$V$4:$V$2503,入库单!$G$4:$G$2503,$A311,入库单!$X$4:$X$2503,"采购入库",入库单!$Z$4:$Z$2503,"正常",入库单!$C$4:$C$2503,"&gt;="&amp;账期起,入库单!$C$4:$C$2503,"&lt;="&amp;账期止))</f>
        <v/>
      </c>
      <c r="K311" s="26">
        <f>IF($A311="","",IFERROR(ROUND((N($H311)+N($J311))/(N($G311)+N($I311)),2),0))</f>
        <v/>
      </c>
      <c r="L311" s="27">
        <f>IF($A311="","",SUMIFS(入库单!$K$4:$K$2503,入库单!$G$4:$G$2503,$A311,入库单!$X$4:$X$2503,"盘盈",入库单!$Z$4:$Z$2503,"正常",入库单!$C$4:$C$2503,"&gt;="&amp;账期起,入库单!$C$4:$C$2503,"&lt;="&amp;账期止))</f>
        <v/>
      </c>
      <c r="M311" s="26">
        <f>IF($A311="","",ROUND($L311*$K311,0))</f>
        <v/>
      </c>
      <c r="N311" s="27">
        <f>IF($A311="","",SUMIFS(入库单!$K$4:$K$2503,入库单!$G$4:$G$2503,$A311,入库单!$X$4:$X$2503,"矿区退库",入库单!$Z$4:$Z$2503,"正常",入库单!$C$4:$C$2503,"&gt;="&amp;账期起,入库单!$C$4:$C$2503,"&lt;="&amp;账期止))</f>
        <v/>
      </c>
      <c r="O311" s="26">
        <f>IF($A311="","",ROUND($N311*$K311,0))</f>
        <v/>
      </c>
      <c r="P311" s="27">
        <f>IF($A311="","",SUMIFS(出库单!$J$4:$J$4003,出库单!$D$4:$D$4003,$A311,出库单!$K$4:$K$4003,"自用消耗",出库单!$U$4:$U$4003,"正常",出库单!$C$4:$C$4003,"&gt;="&amp;账期起,出库单!$C$4:$C$4003,"&lt;="&amp;账期止))</f>
        <v/>
      </c>
      <c r="Q311" s="26">
        <f>IF($A311="","",ROUND(SUMIFS(出库单!$S$4:$S$4003,出库单!$D$4:$D$4003,$A311,出库单!$K$4:$K$4003,"自用消耗",出库单!$U$4:$U$4003,"正常",出库单!$C$4:$C$4003,"&gt;="&amp;账期起,出库单!$C$4:$C$4003,"&lt;="&amp;账期止),0))</f>
        <v/>
      </c>
      <c r="R311" s="27">
        <f>IF($A311="","",SUMIFS(出库单!$J$4:$J$4003,出库单!$D$4:$D$4003,$A311,出库单!$K$4:$K$4003,"对外销售",出库单!$U$4:$U$4003,"正常",出库单!$C$4:$C$4003,"&gt;="&amp;账期起,出库单!$C$4:$C$4003,"&lt;="&amp;账期止))</f>
        <v/>
      </c>
      <c r="S311" s="26">
        <f>IF($A311="","",ROUND(SUMIFS(出库单!$S$4:$S$4003,出库单!$D$4:$D$4003,$A311,出库单!$K$4:$K$4003,"对外销售",出库单!$U$4:$U$4003,"正常",出库单!$C$4:$C$4003,"&gt;="&amp;账期起,出库单!$C$4:$C$4003,"&lt;="&amp;账期止),0))</f>
        <v/>
      </c>
      <c r="T311" s="27">
        <f>IF($A311="","",SUMIFS(出库单!$J$4:$J$4003,出库单!$D$4:$D$4003,$A311,出库单!$K$4:$K$4003,"盘亏",出库单!$U$4:$U$4003,"正常",出库单!$C$4:$C$4003,"&gt;="&amp;账期起,出库单!$C$4:$C$4003,"&lt;="&amp;账期止))</f>
        <v/>
      </c>
      <c r="U311" s="26">
        <f>IF($A311="","",ROUND(SUMIFS(出库单!$S$4:$S$4003,出库单!$D$4:$D$4003,$A311,出库单!$K$4:$K$4003,"盘亏",出库单!$U$4:$U$4003,"正常",出库单!$C$4:$C$4003,"&gt;="&amp;账期起,出库单!$C$4:$C$4003,"&lt;="&amp;账期止),0))</f>
        <v/>
      </c>
      <c r="V311" s="27">
        <f>IF($A311="","",SUMIFS(出库单!$J$4:$J$4003,出库单!$D$4:$D$4003,$A311,出库单!$K$4:$K$4003,"退货给供应商",出库单!$U$4:$U$4003,"正常",出库单!$C$4:$C$4003,"&gt;="&amp;账期起,出库单!$C$4:$C$4003,"&lt;="&amp;账期止))</f>
        <v/>
      </c>
      <c r="W311" s="26">
        <f>IF($A311="","",ROUND(SUMIFS(出库单!$S$4:$S$4003,出库单!$D$4:$D$4003,$A311,出库单!$K$4:$K$4003,"退货给供应商",出库单!$U$4:$U$4003,"正常",出库单!$C$4:$C$4003,"&gt;="&amp;账期起,出库单!$C$4:$C$4003,"&lt;="&amp;账期止),0))</f>
        <v/>
      </c>
      <c r="X311" s="27">
        <f>IF($A311="","",ROUND(N($G311)+$I311+$L311+$N311-$P311-$R311-$T311-$V311,3))</f>
        <v/>
      </c>
      <c r="Y311" s="26">
        <f>IF($A311="","",ROUND(N($H311)+$J311+$M311+$O311-$Q311-$S311-$U311-$W311,0))</f>
        <v/>
      </c>
      <c r="Z311" s="24">
        <f>IF($A311="","",IF(COUNTIFS(入库单!$G$4:$G$2503,$A311,入库单!$Y$4:$Y$2503,"待补价")+COUNTIFS(入库单!$G$4:$G$2503,$A311,入库单!$Y$4:$Y$2503,"暂估")&gt;0,"不可信","可信"))</f>
        <v/>
      </c>
      <c r="AA311" s="24">
        <f>IF($A311="","",IF($X311&lt;-0.001,"※账面负库存，查一下是不是漏记入库",IF(AND(ROUND($X311,3)=0,ABS($Y311)&gt;1),"※数量已经是 0，金额还挂着 "&amp;TEXT($Y311,"#,##0")&amp;" 先令",IF(AND($X311&gt;0,$Y311&lt;=0,$K311=0),"※有数量没金额（这个物料一直没填过进价）",IF($Z311="不可信","△成本含待补价/暂估，毛利仅供参考","")))))</f>
        <v/>
      </c>
    </row>
    <row r="312">
      <c r="A312" s="24">
        <f>IF(物料档案!$A311="","",物料档案!$A311)</f>
        <v/>
      </c>
      <c r="B312" s="24">
        <f>IF($A312="","",IFERROR(VLOOKUP($A312,物料档案!$A$4:$P$1203,3,0),""))</f>
        <v/>
      </c>
      <c r="C312" s="24">
        <f>IF($A312="","",IFERROR(VLOOKUP($A312,物料档案!$A$4:$P$1203,4,0),""))</f>
        <v/>
      </c>
      <c r="D312" s="24">
        <f>IF($A312="","",IFERROR(VLOOKUP($A312,物料档案!$A$4:$P$1203,5,0),""))</f>
        <v/>
      </c>
      <c r="E312" s="24">
        <f>IF($A312="","",IFERROR(VLOOKUP($A312,物料档案!$A$4:$P$1203,2,0),""))</f>
        <v/>
      </c>
      <c r="F312" s="24">
        <f>IF($A312="","",IFERROR(VLOOKUP($A312,物料档案!$A$4:$P$1203,6,0),""))</f>
        <v/>
      </c>
      <c r="G312" s="23" t="n"/>
      <c r="H312" s="32" t="n"/>
      <c r="I312" s="27">
        <f>IF($A312="","",SUMIFS(入库单!$K$4:$K$2503,入库单!$G$4:$G$2503,$A312,入库单!$X$4:$X$2503,"采购入库",入库单!$Z$4:$Z$2503,"正常",入库单!$C$4:$C$2503,"&gt;="&amp;账期起,入库单!$C$4:$C$2503,"&lt;="&amp;账期止))</f>
        <v/>
      </c>
      <c r="J312" s="26">
        <f>IF($A312="","",SUMIFS(入库单!$V$4:$V$2503,入库单!$G$4:$G$2503,$A312,入库单!$X$4:$X$2503,"采购入库",入库单!$Z$4:$Z$2503,"正常",入库单!$C$4:$C$2503,"&gt;="&amp;账期起,入库单!$C$4:$C$2503,"&lt;="&amp;账期止))</f>
        <v/>
      </c>
      <c r="K312" s="26">
        <f>IF($A312="","",IFERROR(ROUND((N($H312)+N($J312))/(N($G312)+N($I312)),2),0))</f>
        <v/>
      </c>
      <c r="L312" s="27">
        <f>IF($A312="","",SUMIFS(入库单!$K$4:$K$2503,入库单!$G$4:$G$2503,$A312,入库单!$X$4:$X$2503,"盘盈",入库单!$Z$4:$Z$2503,"正常",入库单!$C$4:$C$2503,"&gt;="&amp;账期起,入库单!$C$4:$C$2503,"&lt;="&amp;账期止))</f>
        <v/>
      </c>
      <c r="M312" s="26">
        <f>IF($A312="","",ROUND($L312*$K312,0))</f>
        <v/>
      </c>
      <c r="N312" s="27">
        <f>IF($A312="","",SUMIFS(入库单!$K$4:$K$2503,入库单!$G$4:$G$2503,$A312,入库单!$X$4:$X$2503,"矿区退库",入库单!$Z$4:$Z$2503,"正常",入库单!$C$4:$C$2503,"&gt;="&amp;账期起,入库单!$C$4:$C$2503,"&lt;="&amp;账期止))</f>
        <v/>
      </c>
      <c r="O312" s="26">
        <f>IF($A312="","",ROUND($N312*$K312,0))</f>
        <v/>
      </c>
      <c r="P312" s="27">
        <f>IF($A312="","",SUMIFS(出库单!$J$4:$J$4003,出库单!$D$4:$D$4003,$A312,出库单!$K$4:$K$4003,"自用消耗",出库单!$U$4:$U$4003,"正常",出库单!$C$4:$C$4003,"&gt;="&amp;账期起,出库单!$C$4:$C$4003,"&lt;="&amp;账期止))</f>
        <v/>
      </c>
      <c r="Q312" s="26">
        <f>IF($A312="","",ROUND(SUMIFS(出库单!$S$4:$S$4003,出库单!$D$4:$D$4003,$A312,出库单!$K$4:$K$4003,"自用消耗",出库单!$U$4:$U$4003,"正常",出库单!$C$4:$C$4003,"&gt;="&amp;账期起,出库单!$C$4:$C$4003,"&lt;="&amp;账期止),0))</f>
        <v/>
      </c>
      <c r="R312" s="27">
        <f>IF($A312="","",SUMIFS(出库单!$J$4:$J$4003,出库单!$D$4:$D$4003,$A312,出库单!$K$4:$K$4003,"对外销售",出库单!$U$4:$U$4003,"正常",出库单!$C$4:$C$4003,"&gt;="&amp;账期起,出库单!$C$4:$C$4003,"&lt;="&amp;账期止))</f>
        <v/>
      </c>
      <c r="S312" s="26">
        <f>IF($A312="","",ROUND(SUMIFS(出库单!$S$4:$S$4003,出库单!$D$4:$D$4003,$A312,出库单!$K$4:$K$4003,"对外销售",出库单!$U$4:$U$4003,"正常",出库单!$C$4:$C$4003,"&gt;="&amp;账期起,出库单!$C$4:$C$4003,"&lt;="&amp;账期止),0))</f>
        <v/>
      </c>
      <c r="T312" s="27">
        <f>IF($A312="","",SUMIFS(出库单!$J$4:$J$4003,出库单!$D$4:$D$4003,$A312,出库单!$K$4:$K$4003,"盘亏",出库单!$U$4:$U$4003,"正常",出库单!$C$4:$C$4003,"&gt;="&amp;账期起,出库单!$C$4:$C$4003,"&lt;="&amp;账期止))</f>
        <v/>
      </c>
      <c r="U312" s="26">
        <f>IF($A312="","",ROUND(SUMIFS(出库单!$S$4:$S$4003,出库单!$D$4:$D$4003,$A312,出库单!$K$4:$K$4003,"盘亏",出库单!$U$4:$U$4003,"正常",出库单!$C$4:$C$4003,"&gt;="&amp;账期起,出库单!$C$4:$C$4003,"&lt;="&amp;账期止),0))</f>
        <v/>
      </c>
      <c r="V312" s="27">
        <f>IF($A312="","",SUMIFS(出库单!$J$4:$J$4003,出库单!$D$4:$D$4003,$A312,出库单!$K$4:$K$4003,"退货给供应商",出库单!$U$4:$U$4003,"正常",出库单!$C$4:$C$4003,"&gt;="&amp;账期起,出库单!$C$4:$C$4003,"&lt;="&amp;账期止))</f>
        <v/>
      </c>
      <c r="W312" s="26">
        <f>IF($A312="","",ROUND(SUMIFS(出库单!$S$4:$S$4003,出库单!$D$4:$D$4003,$A312,出库单!$K$4:$K$4003,"退货给供应商",出库单!$U$4:$U$4003,"正常",出库单!$C$4:$C$4003,"&gt;="&amp;账期起,出库单!$C$4:$C$4003,"&lt;="&amp;账期止),0))</f>
        <v/>
      </c>
      <c r="X312" s="27">
        <f>IF($A312="","",ROUND(N($G312)+$I312+$L312+$N312-$P312-$R312-$T312-$V312,3))</f>
        <v/>
      </c>
      <c r="Y312" s="26">
        <f>IF($A312="","",ROUND(N($H312)+$J312+$M312+$O312-$Q312-$S312-$U312-$W312,0))</f>
        <v/>
      </c>
      <c r="Z312" s="24">
        <f>IF($A312="","",IF(COUNTIFS(入库单!$G$4:$G$2503,$A312,入库单!$Y$4:$Y$2503,"待补价")+COUNTIFS(入库单!$G$4:$G$2503,$A312,入库单!$Y$4:$Y$2503,"暂估")&gt;0,"不可信","可信"))</f>
        <v/>
      </c>
      <c r="AA312" s="24">
        <f>IF($A312="","",IF($X312&lt;-0.001,"※账面负库存，查一下是不是漏记入库",IF(AND(ROUND($X312,3)=0,ABS($Y312)&gt;1),"※数量已经是 0，金额还挂着 "&amp;TEXT($Y312,"#,##0")&amp;" 先令",IF(AND($X312&gt;0,$Y312&lt;=0,$K312=0),"※有数量没金额（这个物料一直没填过进价）",IF($Z312="不可信","△成本含待补价/暂估，毛利仅供参考","")))))</f>
        <v/>
      </c>
    </row>
    <row r="313">
      <c r="A313" s="24">
        <f>IF(物料档案!$A312="","",物料档案!$A312)</f>
        <v/>
      </c>
      <c r="B313" s="24">
        <f>IF($A313="","",IFERROR(VLOOKUP($A313,物料档案!$A$4:$P$1203,3,0),""))</f>
        <v/>
      </c>
      <c r="C313" s="24">
        <f>IF($A313="","",IFERROR(VLOOKUP($A313,物料档案!$A$4:$P$1203,4,0),""))</f>
        <v/>
      </c>
      <c r="D313" s="24">
        <f>IF($A313="","",IFERROR(VLOOKUP($A313,物料档案!$A$4:$P$1203,5,0),""))</f>
        <v/>
      </c>
      <c r="E313" s="24">
        <f>IF($A313="","",IFERROR(VLOOKUP($A313,物料档案!$A$4:$P$1203,2,0),""))</f>
        <v/>
      </c>
      <c r="F313" s="24">
        <f>IF($A313="","",IFERROR(VLOOKUP($A313,物料档案!$A$4:$P$1203,6,0),""))</f>
        <v/>
      </c>
      <c r="G313" s="23" t="n"/>
      <c r="H313" s="32" t="n"/>
      <c r="I313" s="27">
        <f>IF($A313="","",SUMIFS(入库单!$K$4:$K$2503,入库单!$G$4:$G$2503,$A313,入库单!$X$4:$X$2503,"采购入库",入库单!$Z$4:$Z$2503,"正常",入库单!$C$4:$C$2503,"&gt;="&amp;账期起,入库单!$C$4:$C$2503,"&lt;="&amp;账期止))</f>
        <v/>
      </c>
      <c r="J313" s="26">
        <f>IF($A313="","",SUMIFS(入库单!$V$4:$V$2503,入库单!$G$4:$G$2503,$A313,入库单!$X$4:$X$2503,"采购入库",入库单!$Z$4:$Z$2503,"正常",入库单!$C$4:$C$2503,"&gt;="&amp;账期起,入库单!$C$4:$C$2503,"&lt;="&amp;账期止))</f>
        <v/>
      </c>
      <c r="K313" s="26">
        <f>IF($A313="","",IFERROR(ROUND((N($H313)+N($J313))/(N($G313)+N($I313)),2),0))</f>
        <v/>
      </c>
      <c r="L313" s="27">
        <f>IF($A313="","",SUMIFS(入库单!$K$4:$K$2503,入库单!$G$4:$G$2503,$A313,入库单!$X$4:$X$2503,"盘盈",入库单!$Z$4:$Z$2503,"正常",入库单!$C$4:$C$2503,"&gt;="&amp;账期起,入库单!$C$4:$C$2503,"&lt;="&amp;账期止))</f>
        <v/>
      </c>
      <c r="M313" s="26">
        <f>IF($A313="","",ROUND($L313*$K313,0))</f>
        <v/>
      </c>
      <c r="N313" s="27">
        <f>IF($A313="","",SUMIFS(入库单!$K$4:$K$2503,入库单!$G$4:$G$2503,$A313,入库单!$X$4:$X$2503,"矿区退库",入库单!$Z$4:$Z$2503,"正常",入库单!$C$4:$C$2503,"&gt;="&amp;账期起,入库单!$C$4:$C$2503,"&lt;="&amp;账期止))</f>
        <v/>
      </c>
      <c r="O313" s="26">
        <f>IF($A313="","",ROUND($N313*$K313,0))</f>
        <v/>
      </c>
      <c r="P313" s="27">
        <f>IF($A313="","",SUMIFS(出库单!$J$4:$J$4003,出库单!$D$4:$D$4003,$A313,出库单!$K$4:$K$4003,"自用消耗",出库单!$U$4:$U$4003,"正常",出库单!$C$4:$C$4003,"&gt;="&amp;账期起,出库单!$C$4:$C$4003,"&lt;="&amp;账期止))</f>
        <v/>
      </c>
      <c r="Q313" s="26">
        <f>IF($A313="","",ROUND(SUMIFS(出库单!$S$4:$S$4003,出库单!$D$4:$D$4003,$A313,出库单!$K$4:$K$4003,"自用消耗",出库单!$U$4:$U$4003,"正常",出库单!$C$4:$C$4003,"&gt;="&amp;账期起,出库单!$C$4:$C$4003,"&lt;="&amp;账期止),0))</f>
        <v/>
      </c>
      <c r="R313" s="27">
        <f>IF($A313="","",SUMIFS(出库单!$J$4:$J$4003,出库单!$D$4:$D$4003,$A313,出库单!$K$4:$K$4003,"对外销售",出库单!$U$4:$U$4003,"正常",出库单!$C$4:$C$4003,"&gt;="&amp;账期起,出库单!$C$4:$C$4003,"&lt;="&amp;账期止))</f>
        <v/>
      </c>
      <c r="S313" s="26">
        <f>IF($A313="","",ROUND(SUMIFS(出库单!$S$4:$S$4003,出库单!$D$4:$D$4003,$A313,出库单!$K$4:$K$4003,"对外销售",出库单!$U$4:$U$4003,"正常",出库单!$C$4:$C$4003,"&gt;="&amp;账期起,出库单!$C$4:$C$4003,"&lt;="&amp;账期止),0))</f>
        <v/>
      </c>
      <c r="T313" s="27">
        <f>IF($A313="","",SUMIFS(出库单!$J$4:$J$4003,出库单!$D$4:$D$4003,$A313,出库单!$K$4:$K$4003,"盘亏",出库单!$U$4:$U$4003,"正常",出库单!$C$4:$C$4003,"&gt;="&amp;账期起,出库单!$C$4:$C$4003,"&lt;="&amp;账期止))</f>
        <v/>
      </c>
      <c r="U313" s="26">
        <f>IF($A313="","",ROUND(SUMIFS(出库单!$S$4:$S$4003,出库单!$D$4:$D$4003,$A313,出库单!$K$4:$K$4003,"盘亏",出库单!$U$4:$U$4003,"正常",出库单!$C$4:$C$4003,"&gt;="&amp;账期起,出库单!$C$4:$C$4003,"&lt;="&amp;账期止),0))</f>
        <v/>
      </c>
      <c r="V313" s="27">
        <f>IF($A313="","",SUMIFS(出库单!$J$4:$J$4003,出库单!$D$4:$D$4003,$A313,出库单!$K$4:$K$4003,"退货给供应商",出库单!$U$4:$U$4003,"正常",出库单!$C$4:$C$4003,"&gt;="&amp;账期起,出库单!$C$4:$C$4003,"&lt;="&amp;账期止))</f>
        <v/>
      </c>
      <c r="W313" s="26">
        <f>IF($A313="","",ROUND(SUMIFS(出库单!$S$4:$S$4003,出库单!$D$4:$D$4003,$A313,出库单!$K$4:$K$4003,"退货给供应商",出库单!$U$4:$U$4003,"正常",出库单!$C$4:$C$4003,"&gt;="&amp;账期起,出库单!$C$4:$C$4003,"&lt;="&amp;账期止),0))</f>
        <v/>
      </c>
      <c r="X313" s="27">
        <f>IF($A313="","",ROUND(N($G313)+$I313+$L313+$N313-$P313-$R313-$T313-$V313,3))</f>
        <v/>
      </c>
      <c r="Y313" s="26">
        <f>IF($A313="","",ROUND(N($H313)+$J313+$M313+$O313-$Q313-$S313-$U313-$W313,0))</f>
        <v/>
      </c>
      <c r="Z313" s="24">
        <f>IF($A313="","",IF(COUNTIFS(入库单!$G$4:$G$2503,$A313,入库单!$Y$4:$Y$2503,"待补价")+COUNTIFS(入库单!$G$4:$G$2503,$A313,入库单!$Y$4:$Y$2503,"暂估")&gt;0,"不可信","可信"))</f>
        <v/>
      </c>
      <c r="AA313" s="24">
        <f>IF($A313="","",IF($X313&lt;-0.001,"※账面负库存，查一下是不是漏记入库",IF(AND(ROUND($X313,3)=0,ABS($Y313)&gt;1),"※数量已经是 0，金额还挂着 "&amp;TEXT($Y313,"#,##0")&amp;" 先令",IF(AND($X313&gt;0,$Y313&lt;=0,$K313=0),"※有数量没金额（这个物料一直没填过进价）",IF($Z313="不可信","△成本含待补价/暂估，毛利仅供参考","")))))</f>
        <v/>
      </c>
    </row>
    <row r="314">
      <c r="A314" s="24">
        <f>IF(物料档案!$A313="","",物料档案!$A313)</f>
        <v/>
      </c>
      <c r="B314" s="24">
        <f>IF($A314="","",IFERROR(VLOOKUP($A314,物料档案!$A$4:$P$1203,3,0),""))</f>
        <v/>
      </c>
      <c r="C314" s="24">
        <f>IF($A314="","",IFERROR(VLOOKUP($A314,物料档案!$A$4:$P$1203,4,0),""))</f>
        <v/>
      </c>
      <c r="D314" s="24">
        <f>IF($A314="","",IFERROR(VLOOKUP($A314,物料档案!$A$4:$P$1203,5,0),""))</f>
        <v/>
      </c>
      <c r="E314" s="24">
        <f>IF($A314="","",IFERROR(VLOOKUP($A314,物料档案!$A$4:$P$1203,2,0),""))</f>
        <v/>
      </c>
      <c r="F314" s="24">
        <f>IF($A314="","",IFERROR(VLOOKUP($A314,物料档案!$A$4:$P$1203,6,0),""))</f>
        <v/>
      </c>
      <c r="G314" s="23" t="n"/>
      <c r="H314" s="32" t="n"/>
      <c r="I314" s="27">
        <f>IF($A314="","",SUMIFS(入库单!$K$4:$K$2503,入库单!$G$4:$G$2503,$A314,入库单!$X$4:$X$2503,"采购入库",入库单!$Z$4:$Z$2503,"正常",入库单!$C$4:$C$2503,"&gt;="&amp;账期起,入库单!$C$4:$C$2503,"&lt;="&amp;账期止))</f>
        <v/>
      </c>
      <c r="J314" s="26">
        <f>IF($A314="","",SUMIFS(入库单!$V$4:$V$2503,入库单!$G$4:$G$2503,$A314,入库单!$X$4:$X$2503,"采购入库",入库单!$Z$4:$Z$2503,"正常",入库单!$C$4:$C$2503,"&gt;="&amp;账期起,入库单!$C$4:$C$2503,"&lt;="&amp;账期止))</f>
        <v/>
      </c>
      <c r="K314" s="26">
        <f>IF($A314="","",IFERROR(ROUND((N($H314)+N($J314))/(N($G314)+N($I314)),2),0))</f>
        <v/>
      </c>
      <c r="L314" s="27">
        <f>IF($A314="","",SUMIFS(入库单!$K$4:$K$2503,入库单!$G$4:$G$2503,$A314,入库单!$X$4:$X$2503,"盘盈",入库单!$Z$4:$Z$2503,"正常",入库单!$C$4:$C$2503,"&gt;="&amp;账期起,入库单!$C$4:$C$2503,"&lt;="&amp;账期止))</f>
        <v/>
      </c>
      <c r="M314" s="26">
        <f>IF($A314="","",ROUND($L314*$K314,0))</f>
        <v/>
      </c>
      <c r="N314" s="27">
        <f>IF($A314="","",SUMIFS(入库单!$K$4:$K$2503,入库单!$G$4:$G$2503,$A314,入库单!$X$4:$X$2503,"矿区退库",入库单!$Z$4:$Z$2503,"正常",入库单!$C$4:$C$2503,"&gt;="&amp;账期起,入库单!$C$4:$C$2503,"&lt;="&amp;账期止))</f>
        <v/>
      </c>
      <c r="O314" s="26">
        <f>IF($A314="","",ROUND($N314*$K314,0))</f>
        <v/>
      </c>
      <c r="P314" s="27">
        <f>IF($A314="","",SUMIFS(出库单!$J$4:$J$4003,出库单!$D$4:$D$4003,$A314,出库单!$K$4:$K$4003,"自用消耗",出库单!$U$4:$U$4003,"正常",出库单!$C$4:$C$4003,"&gt;="&amp;账期起,出库单!$C$4:$C$4003,"&lt;="&amp;账期止))</f>
        <v/>
      </c>
      <c r="Q314" s="26">
        <f>IF($A314="","",ROUND(SUMIFS(出库单!$S$4:$S$4003,出库单!$D$4:$D$4003,$A314,出库单!$K$4:$K$4003,"自用消耗",出库单!$U$4:$U$4003,"正常",出库单!$C$4:$C$4003,"&gt;="&amp;账期起,出库单!$C$4:$C$4003,"&lt;="&amp;账期止),0))</f>
        <v/>
      </c>
      <c r="R314" s="27">
        <f>IF($A314="","",SUMIFS(出库单!$J$4:$J$4003,出库单!$D$4:$D$4003,$A314,出库单!$K$4:$K$4003,"对外销售",出库单!$U$4:$U$4003,"正常",出库单!$C$4:$C$4003,"&gt;="&amp;账期起,出库单!$C$4:$C$4003,"&lt;="&amp;账期止))</f>
        <v/>
      </c>
      <c r="S314" s="26">
        <f>IF($A314="","",ROUND(SUMIFS(出库单!$S$4:$S$4003,出库单!$D$4:$D$4003,$A314,出库单!$K$4:$K$4003,"对外销售",出库单!$U$4:$U$4003,"正常",出库单!$C$4:$C$4003,"&gt;="&amp;账期起,出库单!$C$4:$C$4003,"&lt;="&amp;账期止),0))</f>
        <v/>
      </c>
      <c r="T314" s="27">
        <f>IF($A314="","",SUMIFS(出库单!$J$4:$J$4003,出库单!$D$4:$D$4003,$A314,出库单!$K$4:$K$4003,"盘亏",出库单!$U$4:$U$4003,"正常",出库单!$C$4:$C$4003,"&gt;="&amp;账期起,出库单!$C$4:$C$4003,"&lt;="&amp;账期止))</f>
        <v/>
      </c>
      <c r="U314" s="26">
        <f>IF($A314="","",ROUND(SUMIFS(出库单!$S$4:$S$4003,出库单!$D$4:$D$4003,$A314,出库单!$K$4:$K$4003,"盘亏",出库单!$U$4:$U$4003,"正常",出库单!$C$4:$C$4003,"&gt;="&amp;账期起,出库单!$C$4:$C$4003,"&lt;="&amp;账期止),0))</f>
        <v/>
      </c>
      <c r="V314" s="27">
        <f>IF($A314="","",SUMIFS(出库单!$J$4:$J$4003,出库单!$D$4:$D$4003,$A314,出库单!$K$4:$K$4003,"退货给供应商",出库单!$U$4:$U$4003,"正常",出库单!$C$4:$C$4003,"&gt;="&amp;账期起,出库单!$C$4:$C$4003,"&lt;="&amp;账期止))</f>
        <v/>
      </c>
      <c r="W314" s="26">
        <f>IF($A314="","",ROUND(SUMIFS(出库单!$S$4:$S$4003,出库单!$D$4:$D$4003,$A314,出库单!$K$4:$K$4003,"退货给供应商",出库单!$U$4:$U$4003,"正常",出库单!$C$4:$C$4003,"&gt;="&amp;账期起,出库单!$C$4:$C$4003,"&lt;="&amp;账期止),0))</f>
        <v/>
      </c>
      <c r="X314" s="27">
        <f>IF($A314="","",ROUND(N($G314)+$I314+$L314+$N314-$P314-$R314-$T314-$V314,3))</f>
        <v/>
      </c>
      <c r="Y314" s="26">
        <f>IF($A314="","",ROUND(N($H314)+$J314+$M314+$O314-$Q314-$S314-$U314-$W314,0))</f>
        <v/>
      </c>
      <c r="Z314" s="24">
        <f>IF($A314="","",IF(COUNTIFS(入库单!$G$4:$G$2503,$A314,入库单!$Y$4:$Y$2503,"待补价")+COUNTIFS(入库单!$G$4:$G$2503,$A314,入库单!$Y$4:$Y$2503,"暂估")&gt;0,"不可信","可信"))</f>
        <v/>
      </c>
      <c r="AA314" s="24">
        <f>IF($A314="","",IF($X314&lt;-0.001,"※账面负库存，查一下是不是漏记入库",IF(AND(ROUND($X314,3)=0,ABS($Y314)&gt;1),"※数量已经是 0，金额还挂着 "&amp;TEXT($Y314,"#,##0")&amp;" 先令",IF(AND($X314&gt;0,$Y314&lt;=0,$K314=0),"※有数量没金额（这个物料一直没填过进价）",IF($Z314="不可信","△成本含待补价/暂估，毛利仅供参考","")))))</f>
        <v/>
      </c>
    </row>
    <row r="315">
      <c r="A315" s="24">
        <f>IF(物料档案!$A314="","",物料档案!$A314)</f>
        <v/>
      </c>
      <c r="B315" s="24">
        <f>IF($A315="","",IFERROR(VLOOKUP($A315,物料档案!$A$4:$P$1203,3,0),""))</f>
        <v/>
      </c>
      <c r="C315" s="24">
        <f>IF($A315="","",IFERROR(VLOOKUP($A315,物料档案!$A$4:$P$1203,4,0),""))</f>
        <v/>
      </c>
      <c r="D315" s="24">
        <f>IF($A315="","",IFERROR(VLOOKUP($A315,物料档案!$A$4:$P$1203,5,0),""))</f>
        <v/>
      </c>
      <c r="E315" s="24">
        <f>IF($A315="","",IFERROR(VLOOKUP($A315,物料档案!$A$4:$P$1203,2,0),""))</f>
        <v/>
      </c>
      <c r="F315" s="24">
        <f>IF($A315="","",IFERROR(VLOOKUP($A315,物料档案!$A$4:$P$1203,6,0),""))</f>
        <v/>
      </c>
      <c r="G315" s="23" t="n"/>
      <c r="H315" s="32" t="n"/>
      <c r="I315" s="27">
        <f>IF($A315="","",SUMIFS(入库单!$K$4:$K$2503,入库单!$G$4:$G$2503,$A315,入库单!$X$4:$X$2503,"采购入库",入库单!$Z$4:$Z$2503,"正常",入库单!$C$4:$C$2503,"&gt;="&amp;账期起,入库单!$C$4:$C$2503,"&lt;="&amp;账期止))</f>
        <v/>
      </c>
      <c r="J315" s="26">
        <f>IF($A315="","",SUMIFS(入库单!$V$4:$V$2503,入库单!$G$4:$G$2503,$A315,入库单!$X$4:$X$2503,"采购入库",入库单!$Z$4:$Z$2503,"正常",入库单!$C$4:$C$2503,"&gt;="&amp;账期起,入库单!$C$4:$C$2503,"&lt;="&amp;账期止))</f>
        <v/>
      </c>
      <c r="K315" s="26">
        <f>IF($A315="","",IFERROR(ROUND((N($H315)+N($J315))/(N($G315)+N($I315)),2),0))</f>
        <v/>
      </c>
      <c r="L315" s="27">
        <f>IF($A315="","",SUMIFS(入库单!$K$4:$K$2503,入库单!$G$4:$G$2503,$A315,入库单!$X$4:$X$2503,"盘盈",入库单!$Z$4:$Z$2503,"正常",入库单!$C$4:$C$2503,"&gt;="&amp;账期起,入库单!$C$4:$C$2503,"&lt;="&amp;账期止))</f>
        <v/>
      </c>
      <c r="M315" s="26">
        <f>IF($A315="","",ROUND($L315*$K315,0))</f>
        <v/>
      </c>
      <c r="N315" s="27">
        <f>IF($A315="","",SUMIFS(入库单!$K$4:$K$2503,入库单!$G$4:$G$2503,$A315,入库单!$X$4:$X$2503,"矿区退库",入库单!$Z$4:$Z$2503,"正常",入库单!$C$4:$C$2503,"&gt;="&amp;账期起,入库单!$C$4:$C$2503,"&lt;="&amp;账期止))</f>
        <v/>
      </c>
      <c r="O315" s="26">
        <f>IF($A315="","",ROUND($N315*$K315,0))</f>
        <v/>
      </c>
      <c r="P315" s="27">
        <f>IF($A315="","",SUMIFS(出库单!$J$4:$J$4003,出库单!$D$4:$D$4003,$A315,出库单!$K$4:$K$4003,"自用消耗",出库单!$U$4:$U$4003,"正常",出库单!$C$4:$C$4003,"&gt;="&amp;账期起,出库单!$C$4:$C$4003,"&lt;="&amp;账期止))</f>
        <v/>
      </c>
      <c r="Q315" s="26">
        <f>IF($A315="","",ROUND(SUMIFS(出库单!$S$4:$S$4003,出库单!$D$4:$D$4003,$A315,出库单!$K$4:$K$4003,"自用消耗",出库单!$U$4:$U$4003,"正常",出库单!$C$4:$C$4003,"&gt;="&amp;账期起,出库单!$C$4:$C$4003,"&lt;="&amp;账期止),0))</f>
        <v/>
      </c>
      <c r="R315" s="27">
        <f>IF($A315="","",SUMIFS(出库单!$J$4:$J$4003,出库单!$D$4:$D$4003,$A315,出库单!$K$4:$K$4003,"对外销售",出库单!$U$4:$U$4003,"正常",出库单!$C$4:$C$4003,"&gt;="&amp;账期起,出库单!$C$4:$C$4003,"&lt;="&amp;账期止))</f>
        <v/>
      </c>
      <c r="S315" s="26">
        <f>IF($A315="","",ROUND(SUMIFS(出库单!$S$4:$S$4003,出库单!$D$4:$D$4003,$A315,出库单!$K$4:$K$4003,"对外销售",出库单!$U$4:$U$4003,"正常",出库单!$C$4:$C$4003,"&gt;="&amp;账期起,出库单!$C$4:$C$4003,"&lt;="&amp;账期止),0))</f>
        <v/>
      </c>
      <c r="T315" s="27">
        <f>IF($A315="","",SUMIFS(出库单!$J$4:$J$4003,出库单!$D$4:$D$4003,$A315,出库单!$K$4:$K$4003,"盘亏",出库单!$U$4:$U$4003,"正常",出库单!$C$4:$C$4003,"&gt;="&amp;账期起,出库单!$C$4:$C$4003,"&lt;="&amp;账期止))</f>
        <v/>
      </c>
      <c r="U315" s="26">
        <f>IF($A315="","",ROUND(SUMIFS(出库单!$S$4:$S$4003,出库单!$D$4:$D$4003,$A315,出库单!$K$4:$K$4003,"盘亏",出库单!$U$4:$U$4003,"正常",出库单!$C$4:$C$4003,"&gt;="&amp;账期起,出库单!$C$4:$C$4003,"&lt;="&amp;账期止),0))</f>
        <v/>
      </c>
      <c r="V315" s="27">
        <f>IF($A315="","",SUMIFS(出库单!$J$4:$J$4003,出库单!$D$4:$D$4003,$A315,出库单!$K$4:$K$4003,"退货给供应商",出库单!$U$4:$U$4003,"正常",出库单!$C$4:$C$4003,"&gt;="&amp;账期起,出库单!$C$4:$C$4003,"&lt;="&amp;账期止))</f>
        <v/>
      </c>
      <c r="W315" s="26">
        <f>IF($A315="","",ROUND(SUMIFS(出库单!$S$4:$S$4003,出库单!$D$4:$D$4003,$A315,出库单!$K$4:$K$4003,"退货给供应商",出库单!$U$4:$U$4003,"正常",出库单!$C$4:$C$4003,"&gt;="&amp;账期起,出库单!$C$4:$C$4003,"&lt;="&amp;账期止),0))</f>
        <v/>
      </c>
      <c r="X315" s="27">
        <f>IF($A315="","",ROUND(N($G315)+$I315+$L315+$N315-$P315-$R315-$T315-$V315,3))</f>
        <v/>
      </c>
      <c r="Y315" s="26">
        <f>IF($A315="","",ROUND(N($H315)+$J315+$M315+$O315-$Q315-$S315-$U315-$W315,0))</f>
        <v/>
      </c>
      <c r="Z315" s="24">
        <f>IF($A315="","",IF(COUNTIFS(入库单!$G$4:$G$2503,$A315,入库单!$Y$4:$Y$2503,"待补价")+COUNTIFS(入库单!$G$4:$G$2503,$A315,入库单!$Y$4:$Y$2503,"暂估")&gt;0,"不可信","可信"))</f>
        <v/>
      </c>
      <c r="AA315" s="24">
        <f>IF($A315="","",IF($X315&lt;-0.001,"※账面负库存，查一下是不是漏记入库",IF(AND(ROUND($X315,3)=0,ABS($Y315)&gt;1),"※数量已经是 0，金额还挂着 "&amp;TEXT($Y315,"#,##0")&amp;" 先令",IF(AND($X315&gt;0,$Y315&lt;=0,$K315=0),"※有数量没金额（这个物料一直没填过进价）",IF($Z315="不可信","△成本含待补价/暂估，毛利仅供参考","")))))</f>
        <v/>
      </c>
    </row>
    <row r="316">
      <c r="A316" s="24">
        <f>IF(物料档案!$A315="","",物料档案!$A315)</f>
        <v/>
      </c>
      <c r="B316" s="24">
        <f>IF($A316="","",IFERROR(VLOOKUP($A316,物料档案!$A$4:$P$1203,3,0),""))</f>
        <v/>
      </c>
      <c r="C316" s="24">
        <f>IF($A316="","",IFERROR(VLOOKUP($A316,物料档案!$A$4:$P$1203,4,0),""))</f>
        <v/>
      </c>
      <c r="D316" s="24">
        <f>IF($A316="","",IFERROR(VLOOKUP($A316,物料档案!$A$4:$P$1203,5,0),""))</f>
        <v/>
      </c>
      <c r="E316" s="24">
        <f>IF($A316="","",IFERROR(VLOOKUP($A316,物料档案!$A$4:$P$1203,2,0),""))</f>
        <v/>
      </c>
      <c r="F316" s="24">
        <f>IF($A316="","",IFERROR(VLOOKUP($A316,物料档案!$A$4:$P$1203,6,0),""))</f>
        <v/>
      </c>
      <c r="G316" s="23" t="n"/>
      <c r="H316" s="32" t="n"/>
      <c r="I316" s="27">
        <f>IF($A316="","",SUMIFS(入库单!$K$4:$K$2503,入库单!$G$4:$G$2503,$A316,入库单!$X$4:$X$2503,"采购入库",入库单!$Z$4:$Z$2503,"正常",入库单!$C$4:$C$2503,"&gt;="&amp;账期起,入库单!$C$4:$C$2503,"&lt;="&amp;账期止))</f>
        <v/>
      </c>
      <c r="J316" s="26">
        <f>IF($A316="","",SUMIFS(入库单!$V$4:$V$2503,入库单!$G$4:$G$2503,$A316,入库单!$X$4:$X$2503,"采购入库",入库单!$Z$4:$Z$2503,"正常",入库单!$C$4:$C$2503,"&gt;="&amp;账期起,入库单!$C$4:$C$2503,"&lt;="&amp;账期止))</f>
        <v/>
      </c>
      <c r="K316" s="26">
        <f>IF($A316="","",IFERROR(ROUND((N($H316)+N($J316))/(N($G316)+N($I316)),2),0))</f>
        <v/>
      </c>
      <c r="L316" s="27">
        <f>IF($A316="","",SUMIFS(入库单!$K$4:$K$2503,入库单!$G$4:$G$2503,$A316,入库单!$X$4:$X$2503,"盘盈",入库单!$Z$4:$Z$2503,"正常",入库单!$C$4:$C$2503,"&gt;="&amp;账期起,入库单!$C$4:$C$2503,"&lt;="&amp;账期止))</f>
        <v/>
      </c>
      <c r="M316" s="26">
        <f>IF($A316="","",ROUND($L316*$K316,0))</f>
        <v/>
      </c>
      <c r="N316" s="27">
        <f>IF($A316="","",SUMIFS(入库单!$K$4:$K$2503,入库单!$G$4:$G$2503,$A316,入库单!$X$4:$X$2503,"矿区退库",入库单!$Z$4:$Z$2503,"正常",入库单!$C$4:$C$2503,"&gt;="&amp;账期起,入库单!$C$4:$C$2503,"&lt;="&amp;账期止))</f>
        <v/>
      </c>
      <c r="O316" s="26">
        <f>IF($A316="","",ROUND($N316*$K316,0))</f>
        <v/>
      </c>
      <c r="P316" s="27">
        <f>IF($A316="","",SUMIFS(出库单!$J$4:$J$4003,出库单!$D$4:$D$4003,$A316,出库单!$K$4:$K$4003,"自用消耗",出库单!$U$4:$U$4003,"正常",出库单!$C$4:$C$4003,"&gt;="&amp;账期起,出库单!$C$4:$C$4003,"&lt;="&amp;账期止))</f>
        <v/>
      </c>
      <c r="Q316" s="26">
        <f>IF($A316="","",ROUND(SUMIFS(出库单!$S$4:$S$4003,出库单!$D$4:$D$4003,$A316,出库单!$K$4:$K$4003,"自用消耗",出库单!$U$4:$U$4003,"正常",出库单!$C$4:$C$4003,"&gt;="&amp;账期起,出库单!$C$4:$C$4003,"&lt;="&amp;账期止),0))</f>
        <v/>
      </c>
      <c r="R316" s="27">
        <f>IF($A316="","",SUMIFS(出库单!$J$4:$J$4003,出库单!$D$4:$D$4003,$A316,出库单!$K$4:$K$4003,"对外销售",出库单!$U$4:$U$4003,"正常",出库单!$C$4:$C$4003,"&gt;="&amp;账期起,出库单!$C$4:$C$4003,"&lt;="&amp;账期止))</f>
        <v/>
      </c>
      <c r="S316" s="26">
        <f>IF($A316="","",ROUND(SUMIFS(出库单!$S$4:$S$4003,出库单!$D$4:$D$4003,$A316,出库单!$K$4:$K$4003,"对外销售",出库单!$U$4:$U$4003,"正常",出库单!$C$4:$C$4003,"&gt;="&amp;账期起,出库单!$C$4:$C$4003,"&lt;="&amp;账期止),0))</f>
        <v/>
      </c>
      <c r="T316" s="27">
        <f>IF($A316="","",SUMIFS(出库单!$J$4:$J$4003,出库单!$D$4:$D$4003,$A316,出库单!$K$4:$K$4003,"盘亏",出库单!$U$4:$U$4003,"正常",出库单!$C$4:$C$4003,"&gt;="&amp;账期起,出库单!$C$4:$C$4003,"&lt;="&amp;账期止))</f>
        <v/>
      </c>
      <c r="U316" s="26">
        <f>IF($A316="","",ROUND(SUMIFS(出库单!$S$4:$S$4003,出库单!$D$4:$D$4003,$A316,出库单!$K$4:$K$4003,"盘亏",出库单!$U$4:$U$4003,"正常",出库单!$C$4:$C$4003,"&gt;="&amp;账期起,出库单!$C$4:$C$4003,"&lt;="&amp;账期止),0))</f>
        <v/>
      </c>
      <c r="V316" s="27">
        <f>IF($A316="","",SUMIFS(出库单!$J$4:$J$4003,出库单!$D$4:$D$4003,$A316,出库单!$K$4:$K$4003,"退货给供应商",出库单!$U$4:$U$4003,"正常",出库单!$C$4:$C$4003,"&gt;="&amp;账期起,出库单!$C$4:$C$4003,"&lt;="&amp;账期止))</f>
        <v/>
      </c>
      <c r="W316" s="26">
        <f>IF($A316="","",ROUND(SUMIFS(出库单!$S$4:$S$4003,出库单!$D$4:$D$4003,$A316,出库单!$K$4:$K$4003,"退货给供应商",出库单!$U$4:$U$4003,"正常",出库单!$C$4:$C$4003,"&gt;="&amp;账期起,出库单!$C$4:$C$4003,"&lt;="&amp;账期止),0))</f>
        <v/>
      </c>
      <c r="X316" s="27">
        <f>IF($A316="","",ROUND(N($G316)+$I316+$L316+$N316-$P316-$R316-$T316-$V316,3))</f>
        <v/>
      </c>
      <c r="Y316" s="26">
        <f>IF($A316="","",ROUND(N($H316)+$J316+$M316+$O316-$Q316-$S316-$U316-$W316,0))</f>
        <v/>
      </c>
      <c r="Z316" s="24">
        <f>IF($A316="","",IF(COUNTIFS(入库单!$G$4:$G$2503,$A316,入库单!$Y$4:$Y$2503,"待补价")+COUNTIFS(入库单!$G$4:$G$2503,$A316,入库单!$Y$4:$Y$2503,"暂估")&gt;0,"不可信","可信"))</f>
        <v/>
      </c>
      <c r="AA316" s="24">
        <f>IF($A316="","",IF($X316&lt;-0.001,"※账面负库存，查一下是不是漏记入库",IF(AND(ROUND($X316,3)=0,ABS($Y316)&gt;1),"※数量已经是 0，金额还挂着 "&amp;TEXT($Y316,"#,##0")&amp;" 先令",IF(AND($X316&gt;0,$Y316&lt;=0,$K316=0),"※有数量没金额（这个物料一直没填过进价）",IF($Z316="不可信","△成本含待补价/暂估，毛利仅供参考","")))))</f>
        <v/>
      </c>
    </row>
    <row r="317">
      <c r="A317" s="24">
        <f>IF(物料档案!$A316="","",物料档案!$A316)</f>
        <v/>
      </c>
      <c r="B317" s="24">
        <f>IF($A317="","",IFERROR(VLOOKUP($A317,物料档案!$A$4:$P$1203,3,0),""))</f>
        <v/>
      </c>
      <c r="C317" s="24">
        <f>IF($A317="","",IFERROR(VLOOKUP($A317,物料档案!$A$4:$P$1203,4,0),""))</f>
        <v/>
      </c>
      <c r="D317" s="24">
        <f>IF($A317="","",IFERROR(VLOOKUP($A317,物料档案!$A$4:$P$1203,5,0),""))</f>
        <v/>
      </c>
      <c r="E317" s="24">
        <f>IF($A317="","",IFERROR(VLOOKUP($A317,物料档案!$A$4:$P$1203,2,0),""))</f>
        <v/>
      </c>
      <c r="F317" s="24">
        <f>IF($A317="","",IFERROR(VLOOKUP($A317,物料档案!$A$4:$P$1203,6,0),""))</f>
        <v/>
      </c>
      <c r="G317" s="23" t="n"/>
      <c r="H317" s="32" t="n"/>
      <c r="I317" s="27">
        <f>IF($A317="","",SUMIFS(入库单!$K$4:$K$2503,入库单!$G$4:$G$2503,$A317,入库单!$X$4:$X$2503,"采购入库",入库单!$Z$4:$Z$2503,"正常",入库单!$C$4:$C$2503,"&gt;="&amp;账期起,入库单!$C$4:$C$2503,"&lt;="&amp;账期止))</f>
        <v/>
      </c>
      <c r="J317" s="26">
        <f>IF($A317="","",SUMIFS(入库单!$V$4:$V$2503,入库单!$G$4:$G$2503,$A317,入库单!$X$4:$X$2503,"采购入库",入库单!$Z$4:$Z$2503,"正常",入库单!$C$4:$C$2503,"&gt;="&amp;账期起,入库单!$C$4:$C$2503,"&lt;="&amp;账期止))</f>
        <v/>
      </c>
      <c r="K317" s="26">
        <f>IF($A317="","",IFERROR(ROUND((N($H317)+N($J317))/(N($G317)+N($I317)),2),0))</f>
        <v/>
      </c>
      <c r="L317" s="27">
        <f>IF($A317="","",SUMIFS(入库单!$K$4:$K$2503,入库单!$G$4:$G$2503,$A317,入库单!$X$4:$X$2503,"盘盈",入库单!$Z$4:$Z$2503,"正常",入库单!$C$4:$C$2503,"&gt;="&amp;账期起,入库单!$C$4:$C$2503,"&lt;="&amp;账期止))</f>
        <v/>
      </c>
      <c r="M317" s="26">
        <f>IF($A317="","",ROUND($L317*$K317,0))</f>
        <v/>
      </c>
      <c r="N317" s="27">
        <f>IF($A317="","",SUMIFS(入库单!$K$4:$K$2503,入库单!$G$4:$G$2503,$A317,入库单!$X$4:$X$2503,"矿区退库",入库单!$Z$4:$Z$2503,"正常",入库单!$C$4:$C$2503,"&gt;="&amp;账期起,入库单!$C$4:$C$2503,"&lt;="&amp;账期止))</f>
        <v/>
      </c>
      <c r="O317" s="26">
        <f>IF($A317="","",ROUND($N317*$K317,0))</f>
        <v/>
      </c>
      <c r="P317" s="27">
        <f>IF($A317="","",SUMIFS(出库单!$J$4:$J$4003,出库单!$D$4:$D$4003,$A317,出库单!$K$4:$K$4003,"自用消耗",出库单!$U$4:$U$4003,"正常",出库单!$C$4:$C$4003,"&gt;="&amp;账期起,出库单!$C$4:$C$4003,"&lt;="&amp;账期止))</f>
        <v/>
      </c>
      <c r="Q317" s="26">
        <f>IF($A317="","",ROUND(SUMIFS(出库单!$S$4:$S$4003,出库单!$D$4:$D$4003,$A317,出库单!$K$4:$K$4003,"自用消耗",出库单!$U$4:$U$4003,"正常",出库单!$C$4:$C$4003,"&gt;="&amp;账期起,出库单!$C$4:$C$4003,"&lt;="&amp;账期止),0))</f>
        <v/>
      </c>
      <c r="R317" s="27">
        <f>IF($A317="","",SUMIFS(出库单!$J$4:$J$4003,出库单!$D$4:$D$4003,$A317,出库单!$K$4:$K$4003,"对外销售",出库单!$U$4:$U$4003,"正常",出库单!$C$4:$C$4003,"&gt;="&amp;账期起,出库单!$C$4:$C$4003,"&lt;="&amp;账期止))</f>
        <v/>
      </c>
      <c r="S317" s="26">
        <f>IF($A317="","",ROUND(SUMIFS(出库单!$S$4:$S$4003,出库单!$D$4:$D$4003,$A317,出库单!$K$4:$K$4003,"对外销售",出库单!$U$4:$U$4003,"正常",出库单!$C$4:$C$4003,"&gt;="&amp;账期起,出库单!$C$4:$C$4003,"&lt;="&amp;账期止),0))</f>
        <v/>
      </c>
      <c r="T317" s="27">
        <f>IF($A317="","",SUMIFS(出库单!$J$4:$J$4003,出库单!$D$4:$D$4003,$A317,出库单!$K$4:$K$4003,"盘亏",出库单!$U$4:$U$4003,"正常",出库单!$C$4:$C$4003,"&gt;="&amp;账期起,出库单!$C$4:$C$4003,"&lt;="&amp;账期止))</f>
        <v/>
      </c>
      <c r="U317" s="26">
        <f>IF($A317="","",ROUND(SUMIFS(出库单!$S$4:$S$4003,出库单!$D$4:$D$4003,$A317,出库单!$K$4:$K$4003,"盘亏",出库单!$U$4:$U$4003,"正常",出库单!$C$4:$C$4003,"&gt;="&amp;账期起,出库单!$C$4:$C$4003,"&lt;="&amp;账期止),0))</f>
        <v/>
      </c>
      <c r="V317" s="27">
        <f>IF($A317="","",SUMIFS(出库单!$J$4:$J$4003,出库单!$D$4:$D$4003,$A317,出库单!$K$4:$K$4003,"退货给供应商",出库单!$U$4:$U$4003,"正常",出库单!$C$4:$C$4003,"&gt;="&amp;账期起,出库单!$C$4:$C$4003,"&lt;="&amp;账期止))</f>
        <v/>
      </c>
      <c r="W317" s="26">
        <f>IF($A317="","",ROUND(SUMIFS(出库单!$S$4:$S$4003,出库单!$D$4:$D$4003,$A317,出库单!$K$4:$K$4003,"退货给供应商",出库单!$U$4:$U$4003,"正常",出库单!$C$4:$C$4003,"&gt;="&amp;账期起,出库单!$C$4:$C$4003,"&lt;="&amp;账期止),0))</f>
        <v/>
      </c>
      <c r="X317" s="27">
        <f>IF($A317="","",ROUND(N($G317)+$I317+$L317+$N317-$P317-$R317-$T317-$V317,3))</f>
        <v/>
      </c>
      <c r="Y317" s="26">
        <f>IF($A317="","",ROUND(N($H317)+$J317+$M317+$O317-$Q317-$S317-$U317-$W317,0))</f>
        <v/>
      </c>
      <c r="Z317" s="24">
        <f>IF($A317="","",IF(COUNTIFS(入库单!$G$4:$G$2503,$A317,入库单!$Y$4:$Y$2503,"待补价")+COUNTIFS(入库单!$G$4:$G$2503,$A317,入库单!$Y$4:$Y$2503,"暂估")&gt;0,"不可信","可信"))</f>
        <v/>
      </c>
      <c r="AA317" s="24">
        <f>IF($A317="","",IF($X317&lt;-0.001,"※账面负库存，查一下是不是漏记入库",IF(AND(ROUND($X317,3)=0,ABS($Y317)&gt;1),"※数量已经是 0，金额还挂着 "&amp;TEXT($Y317,"#,##0")&amp;" 先令",IF(AND($X317&gt;0,$Y317&lt;=0,$K317=0),"※有数量没金额（这个物料一直没填过进价）",IF($Z317="不可信","△成本含待补价/暂估，毛利仅供参考","")))))</f>
        <v/>
      </c>
    </row>
    <row r="318">
      <c r="A318" s="24">
        <f>IF(物料档案!$A317="","",物料档案!$A317)</f>
        <v/>
      </c>
      <c r="B318" s="24">
        <f>IF($A318="","",IFERROR(VLOOKUP($A318,物料档案!$A$4:$P$1203,3,0),""))</f>
        <v/>
      </c>
      <c r="C318" s="24">
        <f>IF($A318="","",IFERROR(VLOOKUP($A318,物料档案!$A$4:$P$1203,4,0),""))</f>
        <v/>
      </c>
      <c r="D318" s="24">
        <f>IF($A318="","",IFERROR(VLOOKUP($A318,物料档案!$A$4:$P$1203,5,0),""))</f>
        <v/>
      </c>
      <c r="E318" s="24">
        <f>IF($A318="","",IFERROR(VLOOKUP($A318,物料档案!$A$4:$P$1203,2,0),""))</f>
        <v/>
      </c>
      <c r="F318" s="24">
        <f>IF($A318="","",IFERROR(VLOOKUP($A318,物料档案!$A$4:$P$1203,6,0),""))</f>
        <v/>
      </c>
      <c r="G318" s="23" t="n"/>
      <c r="H318" s="32" t="n"/>
      <c r="I318" s="27">
        <f>IF($A318="","",SUMIFS(入库单!$K$4:$K$2503,入库单!$G$4:$G$2503,$A318,入库单!$X$4:$X$2503,"采购入库",入库单!$Z$4:$Z$2503,"正常",入库单!$C$4:$C$2503,"&gt;="&amp;账期起,入库单!$C$4:$C$2503,"&lt;="&amp;账期止))</f>
        <v/>
      </c>
      <c r="J318" s="26">
        <f>IF($A318="","",SUMIFS(入库单!$V$4:$V$2503,入库单!$G$4:$G$2503,$A318,入库单!$X$4:$X$2503,"采购入库",入库单!$Z$4:$Z$2503,"正常",入库单!$C$4:$C$2503,"&gt;="&amp;账期起,入库单!$C$4:$C$2503,"&lt;="&amp;账期止))</f>
        <v/>
      </c>
      <c r="K318" s="26">
        <f>IF($A318="","",IFERROR(ROUND((N($H318)+N($J318))/(N($G318)+N($I318)),2),0))</f>
        <v/>
      </c>
      <c r="L318" s="27">
        <f>IF($A318="","",SUMIFS(入库单!$K$4:$K$2503,入库单!$G$4:$G$2503,$A318,入库单!$X$4:$X$2503,"盘盈",入库单!$Z$4:$Z$2503,"正常",入库单!$C$4:$C$2503,"&gt;="&amp;账期起,入库单!$C$4:$C$2503,"&lt;="&amp;账期止))</f>
        <v/>
      </c>
      <c r="M318" s="26">
        <f>IF($A318="","",ROUND($L318*$K318,0))</f>
        <v/>
      </c>
      <c r="N318" s="27">
        <f>IF($A318="","",SUMIFS(入库单!$K$4:$K$2503,入库单!$G$4:$G$2503,$A318,入库单!$X$4:$X$2503,"矿区退库",入库单!$Z$4:$Z$2503,"正常",入库单!$C$4:$C$2503,"&gt;="&amp;账期起,入库单!$C$4:$C$2503,"&lt;="&amp;账期止))</f>
        <v/>
      </c>
      <c r="O318" s="26">
        <f>IF($A318="","",ROUND($N318*$K318,0))</f>
        <v/>
      </c>
      <c r="P318" s="27">
        <f>IF($A318="","",SUMIFS(出库单!$J$4:$J$4003,出库单!$D$4:$D$4003,$A318,出库单!$K$4:$K$4003,"自用消耗",出库单!$U$4:$U$4003,"正常",出库单!$C$4:$C$4003,"&gt;="&amp;账期起,出库单!$C$4:$C$4003,"&lt;="&amp;账期止))</f>
        <v/>
      </c>
      <c r="Q318" s="26">
        <f>IF($A318="","",ROUND(SUMIFS(出库单!$S$4:$S$4003,出库单!$D$4:$D$4003,$A318,出库单!$K$4:$K$4003,"自用消耗",出库单!$U$4:$U$4003,"正常",出库单!$C$4:$C$4003,"&gt;="&amp;账期起,出库单!$C$4:$C$4003,"&lt;="&amp;账期止),0))</f>
        <v/>
      </c>
      <c r="R318" s="27">
        <f>IF($A318="","",SUMIFS(出库单!$J$4:$J$4003,出库单!$D$4:$D$4003,$A318,出库单!$K$4:$K$4003,"对外销售",出库单!$U$4:$U$4003,"正常",出库单!$C$4:$C$4003,"&gt;="&amp;账期起,出库单!$C$4:$C$4003,"&lt;="&amp;账期止))</f>
        <v/>
      </c>
      <c r="S318" s="26">
        <f>IF($A318="","",ROUND(SUMIFS(出库单!$S$4:$S$4003,出库单!$D$4:$D$4003,$A318,出库单!$K$4:$K$4003,"对外销售",出库单!$U$4:$U$4003,"正常",出库单!$C$4:$C$4003,"&gt;="&amp;账期起,出库单!$C$4:$C$4003,"&lt;="&amp;账期止),0))</f>
        <v/>
      </c>
      <c r="T318" s="27">
        <f>IF($A318="","",SUMIFS(出库单!$J$4:$J$4003,出库单!$D$4:$D$4003,$A318,出库单!$K$4:$K$4003,"盘亏",出库单!$U$4:$U$4003,"正常",出库单!$C$4:$C$4003,"&gt;="&amp;账期起,出库单!$C$4:$C$4003,"&lt;="&amp;账期止))</f>
        <v/>
      </c>
      <c r="U318" s="26">
        <f>IF($A318="","",ROUND(SUMIFS(出库单!$S$4:$S$4003,出库单!$D$4:$D$4003,$A318,出库单!$K$4:$K$4003,"盘亏",出库单!$U$4:$U$4003,"正常",出库单!$C$4:$C$4003,"&gt;="&amp;账期起,出库单!$C$4:$C$4003,"&lt;="&amp;账期止),0))</f>
        <v/>
      </c>
      <c r="V318" s="27">
        <f>IF($A318="","",SUMIFS(出库单!$J$4:$J$4003,出库单!$D$4:$D$4003,$A318,出库单!$K$4:$K$4003,"退货给供应商",出库单!$U$4:$U$4003,"正常",出库单!$C$4:$C$4003,"&gt;="&amp;账期起,出库单!$C$4:$C$4003,"&lt;="&amp;账期止))</f>
        <v/>
      </c>
      <c r="W318" s="26">
        <f>IF($A318="","",ROUND(SUMIFS(出库单!$S$4:$S$4003,出库单!$D$4:$D$4003,$A318,出库单!$K$4:$K$4003,"退货给供应商",出库单!$U$4:$U$4003,"正常",出库单!$C$4:$C$4003,"&gt;="&amp;账期起,出库单!$C$4:$C$4003,"&lt;="&amp;账期止),0))</f>
        <v/>
      </c>
      <c r="X318" s="27">
        <f>IF($A318="","",ROUND(N($G318)+$I318+$L318+$N318-$P318-$R318-$T318-$V318,3))</f>
        <v/>
      </c>
      <c r="Y318" s="26">
        <f>IF($A318="","",ROUND(N($H318)+$J318+$M318+$O318-$Q318-$S318-$U318-$W318,0))</f>
        <v/>
      </c>
      <c r="Z318" s="24">
        <f>IF($A318="","",IF(COUNTIFS(入库单!$G$4:$G$2503,$A318,入库单!$Y$4:$Y$2503,"待补价")+COUNTIFS(入库单!$G$4:$G$2503,$A318,入库单!$Y$4:$Y$2503,"暂估")&gt;0,"不可信","可信"))</f>
        <v/>
      </c>
      <c r="AA318" s="24">
        <f>IF($A318="","",IF($X318&lt;-0.001,"※账面负库存，查一下是不是漏记入库",IF(AND(ROUND($X318,3)=0,ABS($Y318)&gt;1),"※数量已经是 0，金额还挂着 "&amp;TEXT($Y318,"#,##0")&amp;" 先令",IF(AND($X318&gt;0,$Y318&lt;=0,$K318=0),"※有数量没金额（这个物料一直没填过进价）",IF($Z318="不可信","△成本含待补价/暂估，毛利仅供参考","")))))</f>
        <v/>
      </c>
    </row>
    <row r="319">
      <c r="A319" s="24">
        <f>IF(物料档案!$A318="","",物料档案!$A318)</f>
        <v/>
      </c>
      <c r="B319" s="24">
        <f>IF($A319="","",IFERROR(VLOOKUP($A319,物料档案!$A$4:$P$1203,3,0),""))</f>
        <v/>
      </c>
      <c r="C319" s="24">
        <f>IF($A319="","",IFERROR(VLOOKUP($A319,物料档案!$A$4:$P$1203,4,0),""))</f>
        <v/>
      </c>
      <c r="D319" s="24">
        <f>IF($A319="","",IFERROR(VLOOKUP($A319,物料档案!$A$4:$P$1203,5,0),""))</f>
        <v/>
      </c>
      <c r="E319" s="24">
        <f>IF($A319="","",IFERROR(VLOOKUP($A319,物料档案!$A$4:$P$1203,2,0),""))</f>
        <v/>
      </c>
      <c r="F319" s="24">
        <f>IF($A319="","",IFERROR(VLOOKUP($A319,物料档案!$A$4:$P$1203,6,0),""))</f>
        <v/>
      </c>
      <c r="G319" s="23" t="n"/>
      <c r="H319" s="32" t="n"/>
      <c r="I319" s="27">
        <f>IF($A319="","",SUMIFS(入库单!$K$4:$K$2503,入库单!$G$4:$G$2503,$A319,入库单!$X$4:$X$2503,"采购入库",入库单!$Z$4:$Z$2503,"正常",入库单!$C$4:$C$2503,"&gt;="&amp;账期起,入库单!$C$4:$C$2503,"&lt;="&amp;账期止))</f>
        <v/>
      </c>
      <c r="J319" s="26">
        <f>IF($A319="","",SUMIFS(入库单!$V$4:$V$2503,入库单!$G$4:$G$2503,$A319,入库单!$X$4:$X$2503,"采购入库",入库单!$Z$4:$Z$2503,"正常",入库单!$C$4:$C$2503,"&gt;="&amp;账期起,入库单!$C$4:$C$2503,"&lt;="&amp;账期止))</f>
        <v/>
      </c>
      <c r="K319" s="26">
        <f>IF($A319="","",IFERROR(ROUND((N($H319)+N($J319))/(N($G319)+N($I319)),2),0))</f>
        <v/>
      </c>
      <c r="L319" s="27">
        <f>IF($A319="","",SUMIFS(入库单!$K$4:$K$2503,入库单!$G$4:$G$2503,$A319,入库单!$X$4:$X$2503,"盘盈",入库单!$Z$4:$Z$2503,"正常",入库单!$C$4:$C$2503,"&gt;="&amp;账期起,入库单!$C$4:$C$2503,"&lt;="&amp;账期止))</f>
        <v/>
      </c>
      <c r="M319" s="26">
        <f>IF($A319="","",ROUND($L319*$K319,0))</f>
        <v/>
      </c>
      <c r="N319" s="27">
        <f>IF($A319="","",SUMIFS(入库单!$K$4:$K$2503,入库单!$G$4:$G$2503,$A319,入库单!$X$4:$X$2503,"矿区退库",入库单!$Z$4:$Z$2503,"正常",入库单!$C$4:$C$2503,"&gt;="&amp;账期起,入库单!$C$4:$C$2503,"&lt;="&amp;账期止))</f>
        <v/>
      </c>
      <c r="O319" s="26">
        <f>IF($A319="","",ROUND($N319*$K319,0))</f>
        <v/>
      </c>
      <c r="P319" s="27">
        <f>IF($A319="","",SUMIFS(出库单!$J$4:$J$4003,出库单!$D$4:$D$4003,$A319,出库单!$K$4:$K$4003,"自用消耗",出库单!$U$4:$U$4003,"正常",出库单!$C$4:$C$4003,"&gt;="&amp;账期起,出库单!$C$4:$C$4003,"&lt;="&amp;账期止))</f>
        <v/>
      </c>
      <c r="Q319" s="26">
        <f>IF($A319="","",ROUND(SUMIFS(出库单!$S$4:$S$4003,出库单!$D$4:$D$4003,$A319,出库单!$K$4:$K$4003,"自用消耗",出库单!$U$4:$U$4003,"正常",出库单!$C$4:$C$4003,"&gt;="&amp;账期起,出库单!$C$4:$C$4003,"&lt;="&amp;账期止),0))</f>
        <v/>
      </c>
      <c r="R319" s="27">
        <f>IF($A319="","",SUMIFS(出库单!$J$4:$J$4003,出库单!$D$4:$D$4003,$A319,出库单!$K$4:$K$4003,"对外销售",出库单!$U$4:$U$4003,"正常",出库单!$C$4:$C$4003,"&gt;="&amp;账期起,出库单!$C$4:$C$4003,"&lt;="&amp;账期止))</f>
        <v/>
      </c>
      <c r="S319" s="26">
        <f>IF($A319="","",ROUND(SUMIFS(出库单!$S$4:$S$4003,出库单!$D$4:$D$4003,$A319,出库单!$K$4:$K$4003,"对外销售",出库单!$U$4:$U$4003,"正常",出库单!$C$4:$C$4003,"&gt;="&amp;账期起,出库单!$C$4:$C$4003,"&lt;="&amp;账期止),0))</f>
        <v/>
      </c>
      <c r="T319" s="27">
        <f>IF($A319="","",SUMIFS(出库单!$J$4:$J$4003,出库单!$D$4:$D$4003,$A319,出库单!$K$4:$K$4003,"盘亏",出库单!$U$4:$U$4003,"正常",出库单!$C$4:$C$4003,"&gt;="&amp;账期起,出库单!$C$4:$C$4003,"&lt;="&amp;账期止))</f>
        <v/>
      </c>
      <c r="U319" s="26">
        <f>IF($A319="","",ROUND(SUMIFS(出库单!$S$4:$S$4003,出库单!$D$4:$D$4003,$A319,出库单!$K$4:$K$4003,"盘亏",出库单!$U$4:$U$4003,"正常",出库单!$C$4:$C$4003,"&gt;="&amp;账期起,出库单!$C$4:$C$4003,"&lt;="&amp;账期止),0))</f>
        <v/>
      </c>
      <c r="V319" s="27">
        <f>IF($A319="","",SUMIFS(出库单!$J$4:$J$4003,出库单!$D$4:$D$4003,$A319,出库单!$K$4:$K$4003,"退货给供应商",出库单!$U$4:$U$4003,"正常",出库单!$C$4:$C$4003,"&gt;="&amp;账期起,出库单!$C$4:$C$4003,"&lt;="&amp;账期止))</f>
        <v/>
      </c>
      <c r="W319" s="26">
        <f>IF($A319="","",ROUND(SUMIFS(出库单!$S$4:$S$4003,出库单!$D$4:$D$4003,$A319,出库单!$K$4:$K$4003,"退货给供应商",出库单!$U$4:$U$4003,"正常",出库单!$C$4:$C$4003,"&gt;="&amp;账期起,出库单!$C$4:$C$4003,"&lt;="&amp;账期止),0))</f>
        <v/>
      </c>
      <c r="X319" s="27">
        <f>IF($A319="","",ROUND(N($G319)+$I319+$L319+$N319-$P319-$R319-$T319-$V319,3))</f>
        <v/>
      </c>
      <c r="Y319" s="26">
        <f>IF($A319="","",ROUND(N($H319)+$J319+$M319+$O319-$Q319-$S319-$U319-$W319,0))</f>
        <v/>
      </c>
      <c r="Z319" s="24">
        <f>IF($A319="","",IF(COUNTIFS(入库单!$G$4:$G$2503,$A319,入库单!$Y$4:$Y$2503,"待补价")+COUNTIFS(入库单!$G$4:$G$2503,$A319,入库单!$Y$4:$Y$2503,"暂估")&gt;0,"不可信","可信"))</f>
        <v/>
      </c>
      <c r="AA319" s="24">
        <f>IF($A319="","",IF($X319&lt;-0.001,"※账面负库存，查一下是不是漏记入库",IF(AND(ROUND($X319,3)=0,ABS($Y319)&gt;1),"※数量已经是 0，金额还挂着 "&amp;TEXT($Y319,"#,##0")&amp;" 先令",IF(AND($X319&gt;0,$Y319&lt;=0,$K319=0),"※有数量没金额（这个物料一直没填过进价）",IF($Z319="不可信","△成本含待补价/暂估，毛利仅供参考","")))))</f>
        <v/>
      </c>
    </row>
    <row r="320">
      <c r="A320" s="24">
        <f>IF(物料档案!$A319="","",物料档案!$A319)</f>
        <v/>
      </c>
      <c r="B320" s="24">
        <f>IF($A320="","",IFERROR(VLOOKUP($A320,物料档案!$A$4:$P$1203,3,0),""))</f>
        <v/>
      </c>
      <c r="C320" s="24">
        <f>IF($A320="","",IFERROR(VLOOKUP($A320,物料档案!$A$4:$P$1203,4,0),""))</f>
        <v/>
      </c>
      <c r="D320" s="24">
        <f>IF($A320="","",IFERROR(VLOOKUP($A320,物料档案!$A$4:$P$1203,5,0),""))</f>
        <v/>
      </c>
      <c r="E320" s="24">
        <f>IF($A320="","",IFERROR(VLOOKUP($A320,物料档案!$A$4:$P$1203,2,0),""))</f>
        <v/>
      </c>
      <c r="F320" s="24">
        <f>IF($A320="","",IFERROR(VLOOKUP($A320,物料档案!$A$4:$P$1203,6,0),""))</f>
        <v/>
      </c>
      <c r="G320" s="23" t="n"/>
      <c r="H320" s="32" t="n"/>
      <c r="I320" s="27">
        <f>IF($A320="","",SUMIFS(入库单!$K$4:$K$2503,入库单!$G$4:$G$2503,$A320,入库单!$X$4:$X$2503,"采购入库",入库单!$Z$4:$Z$2503,"正常",入库单!$C$4:$C$2503,"&gt;="&amp;账期起,入库单!$C$4:$C$2503,"&lt;="&amp;账期止))</f>
        <v/>
      </c>
      <c r="J320" s="26">
        <f>IF($A320="","",SUMIFS(入库单!$V$4:$V$2503,入库单!$G$4:$G$2503,$A320,入库单!$X$4:$X$2503,"采购入库",入库单!$Z$4:$Z$2503,"正常",入库单!$C$4:$C$2503,"&gt;="&amp;账期起,入库单!$C$4:$C$2503,"&lt;="&amp;账期止))</f>
        <v/>
      </c>
      <c r="K320" s="26">
        <f>IF($A320="","",IFERROR(ROUND((N($H320)+N($J320))/(N($G320)+N($I320)),2),0))</f>
        <v/>
      </c>
      <c r="L320" s="27">
        <f>IF($A320="","",SUMIFS(入库单!$K$4:$K$2503,入库单!$G$4:$G$2503,$A320,入库单!$X$4:$X$2503,"盘盈",入库单!$Z$4:$Z$2503,"正常",入库单!$C$4:$C$2503,"&gt;="&amp;账期起,入库单!$C$4:$C$2503,"&lt;="&amp;账期止))</f>
        <v/>
      </c>
      <c r="M320" s="26">
        <f>IF($A320="","",ROUND($L320*$K320,0))</f>
        <v/>
      </c>
      <c r="N320" s="27">
        <f>IF($A320="","",SUMIFS(入库单!$K$4:$K$2503,入库单!$G$4:$G$2503,$A320,入库单!$X$4:$X$2503,"矿区退库",入库单!$Z$4:$Z$2503,"正常",入库单!$C$4:$C$2503,"&gt;="&amp;账期起,入库单!$C$4:$C$2503,"&lt;="&amp;账期止))</f>
        <v/>
      </c>
      <c r="O320" s="26">
        <f>IF($A320="","",ROUND($N320*$K320,0))</f>
        <v/>
      </c>
      <c r="P320" s="27">
        <f>IF($A320="","",SUMIFS(出库单!$J$4:$J$4003,出库单!$D$4:$D$4003,$A320,出库单!$K$4:$K$4003,"自用消耗",出库单!$U$4:$U$4003,"正常",出库单!$C$4:$C$4003,"&gt;="&amp;账期起,出库单!$C$4:$C$4003,"&lt;="&amp;账期止))</f>
        <v/>
      </c>
      <c r="Q320" s="26">
        <f>IF($A320="","",ROUND(SUMIFS(出库单!$S$4:$S$4003,出库单!$D$4:$D$4003,$A320,出库单!$K$4:$K$4003,"自用消耗",出库单!$U$4:$U$4003,"正常",出库单!$C$4:$C$4003,"&gt;="&amp;账期起,出库单!$C$4:$C$4003,"&lt;="&amp;账期止),0))</f>
        <v/>
      </c>
      <c r="R320" s="27">
        <f>IF($A320="","",SUMIFS(出库单!$J$4:$J$4003,出库单!$D$4:$D$4003,$A320,出库单!$K$4:$K$4003,"对外销售",出库单!$U$4:$U$4003,"正常",出库单!$C$4:$C$4003,"&gt;="&amp;账期起,出库单!$C$4:$C$4003,"&lt;="&amp;账期止))</f>
        <v/>
      </c>
      <c r="S320" s="26">
        <f>IF($A320="","",ROUND(SUMIFS(出库单!$S$4:$S$4003,出库单!$D$4:$D$4003,$A320,出库单!$K$4:$K$4003,"对外销售",出库单!$U$4:$U$4003,"正常",出库单!$C$4:$C$4003,"&gt;="&amp;账期起,出库单!$C$4:$C$4003,"&lt;="&amp;账期止),0))</f>
        <v/>
      </c>
      <c r="T320" s="27">
        <f>IF($A320="","",SUMIFS(出库单!$J$4:$J$4003,出库单!$D$4:$D$4003,$A320,出库单!$K$4:$K$4003,"盘亏",出库单!$U$4:$U$4003,"正常",出库单!$C$4:$C$4003,"&gt;="&amp;账期起,出库单!$C$4:$C$4003,"&lt;="&amp;账期止))</f>
        <v/>
      </c>
      <c r="U320" s="26">
        <f>IF($A320="","",ROUND(SUMIFS(出库单!$S$4:$S$4003,出库单!$D$4:$D$4003,$A320,出库单!$K$4:$K$4003,"盘亏",出库单!$U$4:$U$4003,"正常",出库单!$C$4:$C$4003,"&gt;="&amp;账期起,出库单!$C$4:$C$4003,"&lt;="&amp;账期止),0))</f>
        <v/>
      </c>
      <c r="V320" s="27">
        <f>IF($A320="","",SUMIFS(出库单!$J$4:$J$4003,出库单!$D$4:$D$4003,$A320,出库单!$K$4:$K$4003,"退货给供应商",出库单!$U$4:$U$4003,"正常",出库单!$C$4:$C$4003,"&gt;="&amp;账期起,出库单!$C$4:$C$4003,"&lt;="&amp;账期止))</f>
        <v/>
      </c>
      <c r="W320" s="26">
        <f>IF($A320="","",ROUND(SUMIFS(出库单!$S$4:$S$4003,出库单!$D$4:$D$4003,$A320,出库单!$K$4:$K$4003,"退货给供应商",出库单!$U$4:$U$4003,"正常",出库单!$C$4:$C$4003,"&gt;="&amp;账期起,出库单!$C$4:$C$4003,"&lt;="&amp;账期止),0))</f>
        <v/>
      </c>
      <c r="X320" s="27">
        <f>IF($A320="","",ROUND(N($G320)+$I320+$L320+$N320-$P320-$R320-$T320-$V320,3))</f>
        <v/>
      </c>
      <c r="Y320" s="26">
        <f>IF($A320="","",ROUND(N($H320)+$J320+$M320+$O320-$Q320-$S320-$U320-$W320,0))</f>
        <v/>
      </c>
      <c r="Z320" s="24">
        <f>IF($A320="","",IF(COUNTIFS(入库单!$G$4:$G$2503,$A320,入库单!$Y$4:$Y$2503,"待补价")+COUNTIFS(入库单!$G$4:$G$2503,$A320,入库单!$Y$4:$Y$2503,"暂估")&gt;0,"不可信","可信"))</f>
        <v/>
      </c>
      <c r="AA320" s="24">
        <f>IF($A320="","",IF($X320&lt;-0.001,"※账面负库存，查一下是不是漏记入库",IF(AND(ROUND($X320,3)=0,ABS($Y320)&gt;1),"※数量已经是 0，金额还挂着 "&amp;TEXT($Y320,"#,##0")&amp;" 先令",IF(AND($X320&gt;0,$Y320&lt;=0,$K320=0),"※有数量没金额（这个物料一直没填过进价）",IF($Z320="不可信","△成本含待补价/暂估，毛利仅供参考","")))))</f>
        <v/>
      </c>
    </row>
    <row r="321">
      <c r="A321" s="24">
        <f>IF(物料档案!$A320="","",物料档案!$A320)</f>
        <v/>
      </c>
      <c r="B321" s="24">
        <f>IF($A321="","",IFERROR(VLOOKUP($A321,物料档案!$A$4:$P$1203,3,0),""))</f>
        <v/>
      </c>
      <c r="C321" s="24">
        <f>IF($A321="","",IFERROR(VLOOKUP($A321,物料档案!$A$4:$P$1203,4,0),""))</f>
        <v/>
      </c>
      <c r="D321" s="24">
        <f>IF($A321="","",IFERROR(VLOOKUP($A321,物料档案!$A$4:$P$1203,5,0),""))</f>
        <v/>
      </c>
      <c r="E321" s="24">
        <f>IF($A321="","",IFERROR(VLOOKUP($A321,物料档案!$A$4:$P$1203,2,0),""))</f>
        <v/>
      </c>
      <c r="F321" s="24">
        <f>IF($A321="","",IFERROR(VLOOKUP($A321,物料档案!$A$4:$P$1203,6,0),""))</f>
        <v/>
      </c>
      <c r="G321" s="23" t="n"/>
      <c r="H321" s="32" t="n"/>
      <c r="I321" s="27">
        <f>IF($A321="","",SUMIFS(入库单!$K$4:$K$2503,入库单!$G$4:$G$2503,$A321,入库单!$X$4:$X$2503,"采购入库",入库单!$Z$4:$Z$2503,"正常",入库单!$C$4:$C$2503,"&gt;="&amp;账期起,入库单!$C$4:$C$2503,"&lt;="&amp;账期止))</f>
        <v/>
      </c>
      <c r="J321" s="26">
        <f>IF($A321="","",SUMIFS(入库单!$V$4:$V$2503,入库单!$G$4:$G$2503,$A321,入库单!$X$4:$X$2503,"采购入库",入库单!$Z$4:$Z$2503,"正常",入库单!$C$4:$C$2503,"&gt;="&amp;账期起,入库单!$C$4:$C$2503,"&lt;="&amp;账期止))</f>
        <v/>
      </c>
      <c r="K321" s="26">
        <f>IF($A321="","",IFERROR(ROUND((N($H321)+N($J321))/(N($G321)+N($I321)),2),0))</f>
        <v/>
      </c>
      <c r="L321" s="27">
        <f>IF($A321="","",SUMIFS(入库单!$K$4:$K$2503,入库单!$G$4:$G$2503,$A321,入库单!$X$4:$X$2503,"盘盈",入库单!$Z$4:$Z$2503,"正常",入库单!$C$4:$C$2503,"&gt;="&amp;账期起,入库单!$C$4:$C$2503,"&lt;="&amp;账期止))</f>
        <v/>
      </c>
      <c r="M321" s="26">
        <f>IF($A321="","",ROUND($L321*$K321,0))</f>
        <v/>
      </c>
      <c r="N321" s="27">
        <f>IF($A321="","",SUMIFS(入库单!$K$4:$K$2503,入库单!$G$4:$G$2503,$A321,入库单!$X$4:$X$2503,"矿区退库",入库单!$Z$4:$Z$2503,"正常",入库单!$C$4:$C$2503,"&gt;="&amp;账期起,入库单!$C$4:$C$2503,"&lt;="&amp;账期止))</f>
        <v/>
      </c>
      <c r="O321" s="26">
        <f>IF($A321="","",ROUND($N321*$K321,0))</f>
        <v/>
      </c>
      <c r="P321" s="27">
        <f>IF($A321="","",SUMIFS(出库单!$J$4:$J$4003,出库单!$D$4:$D$4003,$A321,出库单!$K$4:$K$4003,"自用消耗",出库单!$U$4:$U$4003,"正常",出库单!$C$4:$C$4003,"&gt;="&amp;账期起,出库单!$C$4:$C$4003,"&lt;="&amp;账期止))</f>
        <v/>
      </c>
      <c r="Q321" s="26">
        <f>IF($A321="","",ROUND(SUMIFS(出库单!$S$4:$S$4003,出库单!$D$4:$D$4003,$A321,出库单!$K$4:$K$4003,"自用消耗",出库单!$U$4:$U$4003,"正常",出库单!$C$4:$C$4003,"&gt;="&amp;账期起,出库单!$C$4:$C$4003,"&lt;="&amp;账期止),0))</f>
        <v/>
      </c>
      <c r="R321" s="27">
        <f>IF($A321="","",SUMIFS(出库单!$J$4:$J$4003,出库单!$D$4:$D$4003,$A321,出库单!$K$4:$K$4003,"对外销售",出库单!$U$4:$U$4003,"正常",出库单!$C$4:$C$4003,"&gt;="&amp;账期起,出库单!$C$4:$C$4003,"&lt;="&amp;账期止))</f>
        <v/>
      </c>
      <c r="S321" s="26">
        <f>IF($A321="","",ROUND(SUMIFS(出库单!$S$4:$S$4003,出库单!$D$4:$D$4003,$A321,出库单!$K$4:$K$4003,"对外销售",出库单!$U$4:$U$4003,"正常",出库单!$C$4:$C$4003,"&gt;="&amp;账期起,出库单!$C$4:$C$4003,"&lt;="&amp;账期止),0))</f>
        <v/>
      </c>
      <c r="T321" s="27">
        <f>IF($A321="","",SUMIFS(出库单!$J$4:$J$4003,出库单!$D$4:$D$4003,$A321,出库单!$K$4:$K$4003,"盘亏",出库单!$U$4:$U$4003,"正常",出库单!$C$4:$C$4003,"&gt;="&amp;账期起,出库单!$C$4:$C$4003,"&lt;="&amp;账期止))</f>
        <v/>
      </c>
      <c r="U321" s="26">
        <f>IF($A321="","",ROUND(SUMIFS(出库单!$S$4:$S$4003,出库单!$D$4:$D$4003,$A321,出库单!$K$4:$K$4003,"盘亏",出库单!$U$4:$U$4003,"正常",出库单!$C$4:$C$4003,"&gt;="&amp;账期起,出库单!$C$4:$C$4003,"&lt;="&amp;账期止),0))</f>
        <v/>
      </c>
      <c r="V321" s="27">
        <f>IF($A321="","",SUMIFS(出库单!$J$4:$J$4003,出库单!$D$4:$D$4003,$A321,出库单!$K$4:$K$4003,"退货给供应商",出库单!$U$4:$U$4003,"正常",出库单!$C$4:$C$4003,"&gt;="&amp;账期起,出库单!$C$4:$C$4003,"&lt;="&amp;账期止))</f>
        <v/>
      </c>
      <c r="W321" s="26">
        <f>IF($A321="","",ROUND(SUMIFS(出库单!$S$4:$S$4003,出库单!$D$4:$D$4003,$A321,出库单!$K$4:$K$4003,"退货给供应商",出库单!$U$4:$U$4003,"正常",出库单!$C$4:$C$4003,"&gt;="&amp;账期起,出库单!$C$4:$C$4003,"&lt;="&amp;账期止),0))</f>
        <v/>
      </c>
      <c r="X321" s="27">
        <f>IF($A321="","",ROUND(N($G321)+$I321+$L321+$N321-$P321-$R321-$T321-$V321,3))</f>
        <v/>
      </c>
      <c r="Y321" s="26">
        <f>IF($A321="","",ROUND(N($H321)+$J321+$M321+$O321-$Q321-$S321-$U321-$W321,0))</f>
        <v/>
      </c>
      <c r="Z321" s="24">
        <f>IF($A321="","",IF(COUNTIFS(入库单!$G$4:$G$2503,$A321,入库单!$Y$4:$Y$2503,"待补价")+COUNTIFS(入库单!$G$4:$G$2503,$A321,入库单!$Y$4:$Y$2503,"暂估")&gt;0,"不可信","可信"))</f>
        <v/>
      </c>
      <c r="AA321" s="24">
        <f>IF($A321="","",IF($X321&lt;-0.001,"※账面负库存，查一下是不是漏记入库",IF(AND(ROUND($X321,3)=0,ABS($Y321)&gt;1),"※数量已经是 0，金额还挂着 "&amp;TEXT($Y321,"#,##0")&amp;" 先令",IF(AND($X321&gt;0,$Y321&lt;=0,$K321=0),"※有数量没金额（这个物料一直没填过进价）",IF($Z321="不可信","△成本含待补价/暂估，毛利仅供参考","")))))</f>
        <v/>
      </c>
    </row>
    <row r="322">
      <c r="A322" s="24">
        <f>IF(物料档案!$A321="","",物料档案!$A321)</f>
        <v/>
      </c>
      <c r="B322" s="24">
        <f>IF($A322="","",IFERROR(VLOOKUP($A322,物料档案!$A$4:$P$1203,3,0),""))</f>
        <v/>
      </c>
      <c r="C322" s="24">
        <f>IF($A322="","",IFERROR(VLOOKUP($A322,物料档案!$A$4:$P$1203,4,0),""))</f>
        <v/>
      </c>
      <c r="D322" s="24">
        <f>IF($A322="","",IFERROR(VLOOKUP($A322,物料档案!$A$4:$P$1203,5,0),""))</f>
        <v/>
      </c>
      <c r="E322" s="24">
        <f>IF($A322="","",IFERROR(VLOOKUP($A322,物料档案!$A$4:$P$1203,2,0),""))</f>
        <v/>
      </c>
      <c r="F322" s="24">
        <f>IF($A322="","",IFERROR(VLOOKUP($A322,物料档案!$A$4:$P$1203,6,0),""))</f>
        <v/>
      </c>
      <c r="G322" s="23" t="n"/>
      <c r="H322" s="32" t="n"/>
      <c r="I322" s="27">
        <f>IF($A322="","",SUMIFS(入库单!$K$4:$K$2503,入库单!$G$4:$G$2503,$A322,入库单!$X$4:$X$2503,"采购入库",入库单!$Z$4:$Z$2503,"正常",入库单!$C$4:$C$2503,"&gt;="&amp;账期起,入库单!$C$4:$C$2503,"&lt;="&amp;账期止))</f>
        <v/>
      </c>
      <c r="J322" s="26">
        <f>IF($A322="","",SUMIFS(入库单!$V$4:$V$2503,入库单!$G$4:$G$2503,$A322,入库单!$X$4:$X$2503,"采购入库",入库单!$Z$4:$Z$2503,"正常",入库单!$C$4:$C$2503,"&gt;="&amp;账期起,入库单!$C$4:$C$2503,"&lt;="&amp;账期止))</f>
        <v/>
      </c>
      <c r="K322" s="26">
        <f>IF($A322="","",IFERROR(ROUND((N($H322)+N($J322))/(N($G322)+N($I322)),2),0))</f>
        <v/>
      </c>
      <c r="L322" s="27">
        <f>IF($A322="","",SUMIFS(入库单!$K$4:$K$2503,入库单!$G$4:$G$2503,$A322,入库单!$X$4:$X$2503,"盘盈",入库单!$Z$4:$Z$2503,"正常",入库单!$C$4:$C$2503,"&gt;="&amp;账期起,入库单!$C$4:$C$2503,"&lt;="&amp;账期止))</f>
        <v/>
      </c>
      <c r="M322" s="26">
        <f>IF($A322="","",ROUND($L322*$K322,0))</f>
        <v/>
      </c>
      <c r="N322" s="27">
        <f>IF($A322="","",SUMIFS(入库单!$K$4:$K$2503,入库单!$G$4:$G$2503,$A322,入库单!$X$4:$X$2503,"矿区退库",入库单!$Z$4:$Z$2503,"正常",入库单!$C$4:$C$2503,"&gt;="&amp;账期起,入库单!$C$4:$C$2503,"&lt;="&amp;账期止))</f>
        <v/>
      </c>
      <c r="O322" s="26">
        <f>IF($A322="","",ROUND($N322*$K322,0))</f>
        <v/>
      </c>
      <c r="P322" s="27">
        <f>IF($A322="","",SUMIFS(出库单!$J$4:$J$4003,出库单!$D$4:$D$4003,$A322,出库单!$K$4:$K$4003,"自用消耗",出库单!$U$4:$U$4003,"正常",出库单!$C$4:$C$4003,"&gt;="&amp;账期起,出库单!$C$4:$C$4003,"&lt;="&amp;账期止))</f>
        <v/>
      </c>
      <c r="Q322" s="26">
        <f>IF($A322="","",ROUND(SUMIFS(出库单!$S$4:$S$4003,出库单!$D$4:$D$4003,$A322,出库单!$K$4:$K$4003,"自用消耗",出库单!$U$4:$U$4003,"正常",出库单!$C$4:$C$4003,"&gt;="&amp;账期起,出库单!$C$4:$C$4003,"&lt;="&amp;账期止),0))</f>
        <v/>
      </c>
      <c r="R322" s="27">
        <f>IF($A322="","",SUMIFS(出库单!$J$4:$J$4003,出库单!$D$4:$D$4003,$A322,出库单!$K$4:$K$4003,"对外销售",出库单!$U$4:$U$4003,"正常",出库单!$C$4:$C$4003,"&gt;="&amp;账期起,出库单!$C$4:$C$4003,"&lt;="&amp;账期止))</f>
        <v/>
      </c>
      <c r="S322" s="26">
        <f>IF($A322="","",ROUND(SUMIFS(出库单!$S$4:$S$4003,出库单!$D$4:$D$4003,$A322,出库单!$K$4:$K$4003,"对外销售",出库单!$U$4:$U$4003,"正常",出库单!$C$4:$C$4003,"&gt;="&amp;账期起,出库单!$C$4:$C$4003,"&lt;="&amp;账期止),0))</f>
        <v/>
      </c>
      <c r="T322" s="27">
        <f>IF($A322="","",SUMIFS(出库单!$J$4:$J$4003,出库单!$D$4:$D$4003,$A322,出库单!$K$4:$K$4003,"盘亏",出库单!$U$4:$U$4003,"正常",出库单!$C$4:$C$4003,"&gt;="&amp;账期起,出库单!$C$4:$C$4003,"&lt;="&amp;账期止))</f>
        <v/>
      </c>
      <c r="U322" s="26">
        <f>IF($A322="","",ROUND(SUMIFS(出库单!$S$4:$S$4003,出库单!$D$4:$D$4003,$A322,出库单!$K$4:$K$4003,"盘亏",出库单!$U$4:$U$4003,"正常",出库单!$C$4:$C$4003,"&gt;="&amp;账期起,出库单!$C$4:$C$4003,"&lt;="&amp;账期止),0))</f>
        <v/>
      </c>
      <c r="V322" s="27">
        <f>IF($A322="","",SUMIFS(出库单!$J$4:$J$4003,出库单!$D$4:$D$4003,$A322,出库单!$K$4:$K$4003,"退货给供应商",出库单!$U$4:$U$4003,"正常",出库单!$C$4:$C$4003,"&gt;="&amp;账期起,出库单!$C$4:$C$4003,"&lt;="&amp;账期止))</f>
        <v/>
      </c>
      <c r="W322" s="26">
        <f>IF($A322="","",ROUND(SUMIFS(出库单!$S$4:$S$4003,出库单!$D$4:$D$4003,$A322,出库单!$K$4:$K$4003,"退货给供应商",出库单!$U$4:$U$4003,"正常",出库单!$C$4:$C$4003,"&gt;="&amp;账期起,出库单!$C$4:$C$4003,"&lt;="&amp;账期止),0))</f>
        <v/>
      </c>
      <c r="X322" s="27">
        <f>IF($A322="","",ROUND(N($G322)+$I322+$L322+$N322-$P322-$R322-$T322-$V322,3))</f>
        <v/>
      </c>
      <c r="Y322" s="26">
        <f>IF($A322="","",ROUND(N($H322)+$J322+$M322+$O322-$Q322-$S322-$U322-$W322,0))</f>
        <v/>
      </c>
      <c r="Z322" s="24">
        <f>IF($A322="","",IF(COUNTIFS(入库单!$G$4:$G$2503,$A322,入库单!$Y$4:$Y$2503,"待补价")+COUNTIFS(入库单!$G$4:$G$2503,$A322,入库单!$Y$4:$Y$2503,"暂估")&gt;0,"不可信","可信"))</f>
        <v/>
      </c>
      <c r="AA322" s="24">
        <f>IF($A322="","",IF($X322&lt;-0.001,"※账面负库存，查一下是不是漏记入库",IF(AND(ROUND($X322,3)=0,ABS($Y322)&gt;1),"※数量已经是 0，金额还挂着 "&amp;TEXT($Y322,"#,##0")&amp;" 先令",IF(AND($X322&gt;0,$Y322&lt;=0,$K322=0),"※有数量没金额（这个物料一直没填过进价）",IF($Z322="不可信","△成本含待补价/暂估，毛利仅供参考","")))))</f>
        <v/>
      </c>
    </row>
    <row r="323">
      <c r="A323" s="24">
        <f>IF(物料档案!$A322="","",物料档案!$A322)</f>
        <v/>
      </c>
      <c r="B323" s="24">
        <f>IF($A323="","",IFERROR(VLOOKUP($A323,物料档案!$A$4:$P$1203,3,0),""))</f>
        <v/>
      </c>
      <c r="C323" s="24">
        <f>IF($A323="","",IFERROR(VLOOKUP($A323,物料档案!$A$4:$P$1203,4,0),""))</f>
        <v/>
      </c>
      <c r="D323" s="24">
        <f>IF($A323="","",IFERROR(VLOOKUP($A323,物料档案!$A$4:$P$1203,5,0),""))</f>
        <v/>
      </c>
      <c r="E323" s="24">
        <f>IF($A323="","",IFERROR(VLOOKUP($A323,物料档案!$A$4:$P$1203,2,0),""))</f>
        <v/>
      </c>
      <c r="F323" s="24">
        <f>IF($A323="","",IFERROR(VLOOKUP($A323,物料档案!$A$4:$P$1203,6,0),""))</f>
        <v/>
      </c>
      <c r="G323" s="23" t="n"/>
      <c r="H323" s="32" t="n"/>
      <c r="I323" s="27">
        <f>IF($A323="","",SUMIFS(入库单!$K$4:$K$2503,入库单!$G$4:$G$2503,$A323,入库单!$X$4:$X$2503,"采购入库",入库单!$Z$4:$Z$2503,"正常",入库单!$C$4:$C$2503,"&gt;="&amp;账期起,入库单!$C$4:$C$2503,"&lt;="&amp;账期止))</f>
        <v/>
      </c>
      <c r="J323" s="26">
        <f>IF($A323="","",SUMIFS(入库单!$V$4:$V$2503,入库单!$G$4:$G$2503,$A323,入库单!$X$4:$X$2503,"采购入库",入库单!$Z$4:$Z$2503,"正常",入库单!$C$4:$C$2503,"&gt;="&amp;账期起,入库单!$C$4:$C$2503,"&lt;="&amp;账期止))</f>
        <v/>
      </c>
      <c r="K323" s="26">
        <f>IF($A323="","",IFERROR(ROUND((N($H323)+N($J323))/(N($G323)+N($I323)),2),0))</f>
        <v/>
      </c>
      <c r="L323" s="27">
        <f>IF($A323="","",SUMIFS(入库单!$K$4:$K$2503,入库单!$G$4:$G$2503,$A323,入库单!$X$4:$X$2503,"盘盈",入库单!$Z$4:$Z$2503,"正常",入库单!$C$4:$C$2503,"&gt;="&amp;账期起,入库单!$C$4:$C$2503,"&lt;="&amp;账期止))</f>
        <v/>
      </c>
      <c r="M323" s="26">
        <f>IF($A323="","",ROUND($L323*$K323,0))</f>
        <v/>
      </c>
      <c r="N323" s="27">
        <f>IF($A323="","",SUMIFS(入库单!$K$4:$K$2503,入库单!$G$4:$G$2503,$A323,入库单!$X$4:$X$2503,"矿区退库",入库单!$Z$4:$Z$2503,"正常",入库单!$C$4:$C$2503,"&gt;="&amp;账期起,入库单!$C$4:$C$2503,"&lt;="&amp;账期止))</f>
        <v/>
      </c>
      <c r="O323" s="26">
        <f>IF($A323="","",ROUND($N323*$K323,0))</f>
        <v/>
      </c>
      <c r="P323" s="27">
        <f>IF($A323="","",SUMIFS(出库单!$J$4:$J$4003,出库单!$D$4:$D$4003,$A323,出库单!$K$4:$K$4003,"自用消耗",出库单!$U$4:$U$4003,"正常",出库单!$C$4:$C$4003,"&gt;="&amp;账期起,出库单!$C$4:$C$4003,"&lt;="&amp;账期止))</f>
        <v/>
      </c>
      <c r="Q323" s="26">
        <f>IF($A323="","",ROUND(SUMIFS(出库单!$S$4:$S$4003,出库单!$D$4:$D$4003,$A323,出库单!$K$4:$K$4003,"自用消耗",出库单!$U$4:$U$4003,"正常",出库单!$C$4:$C$4003,"&gt;="&amp;账期起,出库单!$C$4:$C$4003,"&lt;="&amp;账期止),0))</f>
        <v/>
      </c>
      <c r="R323" s="27">
        <f>IF($A323="","",SUMIFS(出库单!$J$4:$J$4003,出库单!$D$4:$D$4003,$A323,出库单!$K$4:$K$4003,"对外销售",出库单!$U$4:$U$4003,"正常",出库单!$C$4:$C$4003,"&gt;="&amp;账期起,出库单!$C$4:$C$4003,"&lt;="&amp;账期止))</f>
        <v/>
      </c>
      <c r="S323" s="26">
        <f>IF($A323="","",ROUND(SUMIFS(出库单!$S$4:$S$4003,出库单!$D$4:$D$4003,$A323,出库单!$K$4:$K$4003,"对外销售",出库单!$U$4:$U$4003,"正常",出库单!$C$4:$C$4003,"&gt;="&amp;账期起,出库单!$C$4:$C$4003,"&lt;="&amp;账期止),0))</f>
        <v/>
      </c>
      <c r="T323" s="27">
        <f>IF($A323="","",SUMIFS(出库单!$J$4:$J$4003,出库单!$D$4:$D$4003,$A323,出库单!$K$4:$K$4003,"盘亏",出库单!$U$4:$U$4003,"正常",出库单!$C$4:$C$4003,"&gt;="&amp;账期起,出库单!$C$4:$C$4003,"&lt;="&amp;账期止))</f>
        <v/>
      </c>
      <c r="U323" s="26">
        <f>IF($A323="","",ROUND(SUMIFS(出库单!$S$4:$S$4003,出库单!$D$4:$D$4003,$A323,出库单!$K$4:$K$4003,"盘亏",出库单!$U$4:$U$4003,"正常",出库单!$C$4:$C$4003,"&gt;="&amp;账期起,出库单!$C$4:$C$4003,"&lt;="&amp;账期止),0))</f>
        <v/>
      </c>
      <c r="V323" s="27">
        <f>IF($A323="","",SUMIFS(出库单!$J$4:$J$4003,出库单!$D$4:$D$4003,$A323,出库单!$K$4:$K$4003,"退货给供应商",出库单!$U$4:$U$4003,"正常",出库单!$C$4:$C$4003,"&gt;="&amp;账期起,出库单!$C$4:$C$4003,"&lt;="&amp;账期止))</f>
        <v/>
      </c>
      <c r="W323" s="26">
        <f>IF($A323="","",ROUND(SUMIFS(出库单!$S$4:$S$4003,出库单!$D$4:$D$4003,$A323,出库单!$K$4:$K$4003,"退货给供应商",出库单!$U$4:$U$4003,"正常",出库单!$C$4:$C$4003,"&gt;="&amp;账期起,出库单!$C$4:$C$4003,"&lt;="&amp;账期止),0))</f>
        <v/>
      </c>
      <c r="X323" s="27">
        <f>IF($A323="","",ROUND(N($G323)+$I323+$L323+$N323-$P323-$R323-$T323-$V323,3))</f>
        <v/>
      </c>
      <c r="Y323" s="26">
        <f>IF($A323="","",ROUND(N($H323)+$J323+$M323+$O323-$Q323-$S323-$U323-$W323,0))</f>
        <v/>
      </c>
      <c r="Z323" s="24">
        <f>IF($A323="","",IF(COUNTIFS(入库单!$G$4:$G$2503,$A323,入库单!$Y$4:$Y$2503,"待补价")+COUNTIFS(入库单!$G$4:$G$2503,$A323,入库单!$Y$4:$Y$2503,"暂估")&gt;0,"不可信","可信"))</f>
        <v/>
      </c>
      <c r="AA323" s="24">
        <f>IF($A323="","",IF($X323&lt;-0.001,"※账面负库存，查一下是不是漏记入库",IF(AND(ROUND($X323,3)=0,ABS($Y323)&gt;1),"※数量已经是 0，金额还挂着 "&amp;TEXT($Y323,"#,##0")&amp;" 先令",IF(AND($X323&gt;0,$Y323&lt;=0,$K323=0),"※有数量没金额（这个物料一直没填过进价）",IF($Z323="不可信","△成本含待补价/暂估，毛利仅供参考","")))))</f>
        <v/>
      </c>
    </row>
    <row r="324">
      <c r="A324" s="24">
        <f>IF(物料档案!$A323="","",物料档案!$A323)</f>
        <v/>
      </c>
      <c r="B324" s="24">
        <f>IF($A324="","",IFERROR(VLOOKUP($A324,物料档案!$A$4:$P$1203,3,0),""))</f>
        <v/>
      </c>
      <c r="C324" s="24">
        <f>IF($A324="","",IFERROR(VLOOKUP($A324,物料档案!$A$4:$P$1203,4,0),""))</f>
        <v/>
      </c>
      <c r="D324" s="24">
        <f>IF($A324="","",IFERROR(VLOOKUP($A324,物料档案!$A$4:$P$1203,5,0),""))</f>
        <v/>
      </c>
      <c r="E324" s="24">
        <f>IF($A324="","",IFERROR(VLOOKUP($A324,物料档案!$A$4:$P$1203,2,0),""))</f>
        <v/>
      </c>
      <c r="F324" s="24">
        <f>IF($A324="","",IFERROR(VLOOKUP($A324,物料档案!$A$4:$P$1203,6,0),""))</f>
        <v/>
      </c>
      <c r="G324" s="23" t="n"/>
      <c r="H324" s="32" t="n"/>
      <c r="I324" s="27">
        <f>IF($A324="","",SUMIFS(入库单!$K$4:$K$2503,入库单!$G$4:$G$2503,$A324,入库单!$X$4:$X$2503,"采购入库",入库单!$Z$4:$Z$2503,"正常",入库单!$C$4:$C$2503,"&gt;="&amp;账期起,入库单!$C$4:$C$2503,"&lt;="&amp;账期止))</f>
        <v/>
      </c>
      <c r="J324" s="26">
        <f>IF($A324="","",SUMIFS(入库单!$V$4:$V$2503,入库单!$G$4:$G$2503,$A324,入库单!$X$4:$X$2503,"采购入库",入库单!$Z$4:$Z$2503,"正常",入库单!$C$4:$C$2503,"&gt;="&amp;账期起,入库单!$C$4:$C$2503,"&lt;="&amp;账期止))</f>
        <v/>
      </c>
      <c r="K324" s="26">
        <f>IF($A324="","",IFERROR(ROUND((N($H324)+N($J324))/(N($G324)+N($I324)),2),0))</f>
        <v/>
      </c>
      <c r="L324" s="27">
        <f>IF($A324="","",SUMIFS(入库单!$K$4:$K$2503,入库单!$G$4:$G$2503,$A324,入库单!$X$4:$X$2503,"盘盈",入库单!$Z$4:$Z$2503,"正常",入库单!$C$4:$C$2503,"&gt;="&amp;账期起,入库单!$C$4:$C$2503,"&lt;="&amp;账期止))</f>
        <v/>
      </c>
      <c r="M324" s="26">
        <f>IF($A324="","",ROUND($L324*$K324,0))</f>
        <v/>
      </c>
      <c r="N324" s="27">
        <f>IF($A324="","",SUMIFS(入库单!$K$4:$K$2503,入库单!$G$4:$G$2503,$A324,入库单!$X$4:$X$2503,"矿区退库",入库单!$Z$4:$Z$2503,"正常",入库单!$C$4:$C$2503,"&gt;="&amp;账期起,入库单!$C$4:$C$2503,"&lt;="&amp;账期止))</f>
        <v/>
      </c>
      <c r="O324" s="26">
        <f>IF($A324="","",ROUND($N324*$K324,0))</f>
        <v/>
      </c>
      <c r="P324" s="27">
        <f>IF($A324="","",SUMIFS(出库单!$J$4:$J$4003,出库单!$D$4:$D$4003,$A324,出库单!$K$4:$K$4003,"自用消耗",出库单!$U$4:$U$4003,"正常",出库单!$C$4:$C$4003,"&gt;="&amp;账期起,出库单!$C$4:$C$4003,"&lt;="&amp;账期止))</f>
        <v/>
      </c>
      <c r="Q324" s="26">
        <f>IF($A324="","",ROUND(SUMIFS(出库单!$S$4:$S$4003,出库单!$D$4:$D$4003,$A324,出库单!$K$4:$K$4003,"自用消耗",出库单!$U$4:$U$4003,"正常",出库单!$C$4:$C$4003,"&gt;="&amp;账期起,出库单!$C$4:$C$4003,"&lt;="&amp;账期止),0))</f>
        <v/>
      </c>
      <c r="R324" s="27">
        <f>IF($A324="","",SUMIFS(出库单!$J$4:$J$4003,出库单!$D$4:$D$4003,$A324,出库单!$K$4:$K$4003,"对外销售",出库单!$U$4:$U$4003,"正常",出库单!$C$4:$C$4003,"&gt;="&amp;账期起,出库单!$C$4:$C$4003,"&lt;="&amp;账期止))</f>
        <v/>
      </c>
      <c r="S324" s="26">
        <f>IF($A324="","",ROUND(SUMIFS(出库单!$S$4:$S$4003,出库单!$D$4:$D$4003,$A324,出库单!$K$4:$K$4003,"对外销售",出库单!$U$4:$U$4003,"正常",出库单!$C$4:$C$4003,"&gt;="&amp;账期起,出库单!$C$4:$C$4003,"&lt;="&amp;账期止),0))</f>
        <v/>
      </c>
      <c r="T324" s="27">
        <f>IF($A324="","",SUMIFS(出库单!$J$4:$J$4003,出库单!$D$4:$D$4003,$A324,出库单!$K$4:$K$4003,"盘亏",出库单!$U$4:$U$4003,"正常",出库单!$C$4:$C$4003,"&gt;="&amp;账期起,出库单!$C$4:$C$4003,"&lt;="&amp;账期止))</f>
        <v/>
      </c>
      <c r="U324" s="26">
        <f>IF($A324="","",ROUND(SUMIFS(出库单!$S$4:$S$4003,出库单!$D$4:$D$4003,$A324,出库单!$K$4:$K$4003,"盘亏",出库单!$U$4:$U$4003,"正常",出库单!$C$4:$C$4003,"&gt;="&amp;账期起,出库单!$C$4:$C$4003,"&lt;="&amp;账期止),0))</f>
        <v/>
      </c>
      <c r="V324" s="27">
        <f>IF($A324="","",SUMIFS(出库单!$J$4:$J$4003,出库单!$D$4:$D$4003,$A324,出库单!$K$4:$K$4003,"退货给供应商",出库单!$U$4:$U$4003,"正常",出库单!$C$4:$C$4003,"&gt;="&amp;账期起,出库单!$C$4:$C$4003,"&lt;="&amp;账期止))</f>
        <v/>
      </c>
      <c r="W324" s="26">
        <f>IF($A324="","",ROUND(SUMIFS(出库单!$S$4:$S$4003,出库单!$D$4:$D$4003,$A324,出库单!$K$4:$K$4003,"退货给供应商",出库单!$U$4:$U$4003,"正常",出库单!$C$4:$C$4003,"&gt;="&amp;账期起,出库单!$C$4:$C$4003,"&lt;="&amp;账期止),0))</f>
        <v/>
      </c>
      <c r="X324" s="27">
        <f>IF($A324="","",ROUND(N($G324)+$I324+$L324+$N324-$P324-$R324-$T324-$V324,3))</f>
        <v/>
      </c>
      <c r="Y324" s="26">
        <f>IF($A324="","",ROUND(N($H324)+$J324+$M324+$O324-$Q324-$S324-$U324-$W324,0))</f>
        <v/>
      </c>
      <c r="Z324" s="24">
        <f>IF($A324="","",IF(COUNTIFS(入库单!$G$4:$G$2503,$A324,入库单!$Y$4:$Y$2503,"待补价")+COUNTIFS(入库单!$G$4:$G$2503,$A324,入库单!$Y$4:$Y$2503,"暂估")&gt;0,"不可信","可信"))</f>
        <v/>
      </c>
      <c r="AA324" s="24">
        <f>IF($A324="","",IF($X324&lt;-0.001,"※账面负库存，查一下是不是漏记入库",IF(AND(ROUND($X324,3)=0,ABS($Y324)&gt;1),"※数量已经是 0，金额还挂着 "&amp;TEXT($Y324,"#,##0")&amp;" 先令",IF(AND($X324&gt;0,$Y324&lt;=0,$K324=0),"※有数量没金额（这个物料一直没填过进价）",IF($Z324="不可信","△成本含待补价/暂估，毛利仅供参考","")))))</f>
        <v/>
      </c>
    </row>
    <row r="325">
      <c r="A325" s="24">
        <f>IF(物料档案!$A324="","",物料档案!$A324)</f>
        <v/>
      </c>
      <c r="B325" s="24">
        <f>IF($A325="","",IFERROR(VLOOKUP($A325,物料档案!$A$4:$P$1203,3,0),""))</f>
        <v/>
      </c>
      <c r="C325" s="24">
        <f>IF($A325="","",IFERROR(VLOOKUP($A325,物料档案!$A$4:$P$1203,4,0),""))</f>
        <v/>
      </c>
      <c r="D325" s="24">
        <f>IF($A325="","",IFERROR(VLOOKUP($A325,物料档案!$A$4:$P$1203,5,0),""))</f>
        <v/>
      </c>
      <c r="E325" s="24">
        <f>IF($A325="","",IFERROR(VLOOKUP($A325,物料档案!$A$4:$P$1203,2,0),""))</f>
        <v/>
      </c>
      <c r="F325" s="24">
        <f>IF($A325="","",IFERROR(VLOOKUP($A325,物料档案!$A$4:$P$1203,6,0),""))</f>
        <v/>
      </c>
      <c r="G325" s="23" t="n"/>
      <c r="H325" s="32" t="n"/>
      <c r="I325" s="27">
        <f>IF($A325="","",SUMIFS(入库单!$K$4:$K$2503,入库单!$G$4:$G$2503,$A325,入库单!$X$4:$X$2503,"采购入库",入库单!$Z$4:$Z$2503,"正常",入库单!$C$4:$C$2503,"&gt;="&amp;账期起,入库单!$C$4:$C$2503,"&lt;="&amp;账期止))</f>
        <v/>
      </c>
      <c r="J325" s="26">
        <f>IF($A325="","",SUMIFS(入库单!$V$4:$V$2503,入库单!$G$4:$G$2503,$A325,入库单!$X$4:$X$2503,"采购入库",入库单!$Z$4:$Z$2503,"正常",入库单!$C$4:$C$2503,"&gt;="&amp;账期起,入库单!$C$4:$C$2503,"&lt;="&amp;账期止))</f>
        <v/>
      </c>
      <c r="K325" s="26">
        <f>IF($A325="","",IFERROR(ROUND((N($H325)+N($J325))/(N($G325)+N($I325)),2),0))</f>
        <v/>
      </c>
      <c r="L325" s="27">
        <f>IF($A325="","",SUMIFS(入库单!$K$4:$K$2503,入库单!$G$4:$G$2503,$A325,入库单!$X$4:$X$2503,"盘盈",入库单!$Z$4:$Z$2503,"正常",入库单!$C$4:$C$2503,"&gt;="&amp;账期起,入库单!$C$4:$C$2503,"&lt;="&amp;账期止))</f>
        <v/>
      </c>
      <c r="M325" s="26">
        <f>IF($A325="","",ROUND($L325*$K325,0))</f>
        <v/>
      </c>
      <c r="N325" s="27">
        <f>IF($A325="","",SUMIFS(入库单!$K$4:$K$2503,入库单!$G$4:$G$2503,$A325,入库单!$X$4:$X$2503,"矿区退库",入库单!$Z$4:$Z$2503,"正常",入库单!$C$4:$C$2503,"&gt;="&amp;账期起,入库单!$C$4:$C$2503,"&lt;="&amp;账期止))</f>
        <v/>
      </c>
      <c r="O325" s="26">
        <f>IF($A325="","",ROUND($N325*$K325,0))</f>
        <v/>
      </c>
      <c r="P325" s="27">
        <f>IF($A325="","",SUMIFS(出库单!$J$4:$J$4003,出库单!$D$4:$D$4003,$A325,出库单!$K$4:$K$4003,"自用消耗",出库单!$U$4:$U$4003,"正常",出库单!$C$4:$C$4003,"&gt;="&amp;账期起,出库单!$C$4:$C$4003,"&lt;="&amp;账期止))</f>
        <v/>
      </c>
      <c r="Q325" s="26">
        <f>IF($A325="","",ROUND(SUMIFS(出库单!$S$4:$S$4003,出库单!$D$4:$D$4003,$A325,出库单!$K$4:$K$4003,"自用消耗",出库单!$U$4:$U$4003,"正常",出库单!$C$4:$C$4003,"&gt;="&amp;账期起,出库单!$C$4:$C$4003,"&lt;="&amp;账期止),0))</f>
        <v/>
      </c>
      <c r="R325" s="27">
        <f>IF($A325="","",SUMIFS(出库单!$J$4:$J$4003,出库单!$D$4:$D$4003,$A325,出库单!$K$4:$K$4003,"对外销售",出库单!$U$4:$U$4003,"正常",出库单!$C$4:$C$4003,"&gt;="&amp;账期起,出库单!$C$4:$C$4003,"&lt;="&amp;账期止))</f>
        <v/>
      </c>
      <c r="S325" s="26">
        <f>IF($A325="","",ROUND(SUMIFS(出库单!$S$4:$S$4003,出库单!$D$4:$D$4003,$A325,出库单!$K$4:$K$4003,"对外销售",出库单!$U$4:$U$4003,"正常",出库单!$C$4:$C$4003,"&gt;="&amp;账期起,出库单!$C$4:$C$4003,"&lt;="&amp;账期止),0))</f>
        <v/>
      </c>
      <c r="T325" s="27">
        <f>IF($A325="","",SUMIFS(出库单!$J$4:$J$4003,出库单!$D$4:$D$4003,$A325,出库单!$K$4:$K$4003,"盘亏",出库单!$U$4:$U$4003,"正常",出库单!$C$4:$C$4003,"&gt;="&amp;账期起,出库单!$C$4:$C$4003,"&lt;="&amp;账期止))</f>
        <v/>
      </c>
      <c r="U325" s="26">
        <f>IF($A325="","",ROUND(SUMIFS(出库单!$S$4:$S$4003,出库单!$D$4:$D$4003,$A325,出库单!$K$4:$K$4003,"盘亏",出库单!$U$4:$U$4003,"正常",出库单!$C$4:$C$4003,"&gt;="&amp;账期起,出库单!$C$4:$C$4003,"&lt;="&amp;账期止),0))</f>
        <v/>
      </c>
      <c r="V325" s="27">
        <f>IF($A325="","",SUMIFS(出库单!$J$4:$J$4003,出库单!$D$4:$D$4003,$A325,出库单!$K$4:$K$4003,"退货给供应商",出库单!$U$4:$U$4003,"正常",出库单!$C$4:$C$4003,"&gt;="&amp;账期起,出库单!$C$4:$C$4003,"&lt;="&amp;账期止))</f>
        <v/>
      </c>
      <c r="W325" s="26">
        <f>IF($A325="","",ROUND(SUMIFS(出库单!$S$4:$S$4003,出库单!$D$4:$D$4003,$A325,出库单!$K$4:$K$4003,"退货给供应商",出库单!$U$4:$U$4003,"正常",出库单!$C$4:$C$4003,"&gt;="&amp;账期起,出库单!$C$4:$C$4003,"&lt;="&amp;账期止),0))</f>
        <v/>
      </c>
      <c r="X325" s="27">
        <f>IF($A325="","",ROUND(N($G325)+$I325+$L325+$N325-$P325-$R325-$T325-$V325,3))</f>
        <v/>
      </c>
      <c r="Y325" s="26">
        <f>IF($A325="","",ROUND(N($H325)+$J325+$M325+$O325-$Q325-$S325-$U325-$W325,0))</f>
        <v/>
      </c>
      <c r="Z325" s="24">
        <f>IF($A325="","",IF(COUNTIFS(入库单!$G$4:$G$2503,$A325,入库单!$Y$4:$Y$2503,"待补价")+COUNTIFS(入库单!$G$4:$G$2503,$A325,入库单!$Y$4:$Y$2503,"暂估")&gt;0,"不可信","可信"))</f>
        <v/>
      </c>
      <c r="AA325" s="24">
        <f>IF($A325="","",IF($X325&lt;-0.001,"※账面负库存，查一下是不是漏记入库",IF(AND(ROUND($X325,3)=0,ABS($Y325)&gt;1),"※数量已经是 0，金额还挂着 "&amp;TEXT($Y325,"#,##0")&amp;" 先令",IF(AND($X325&gt;0,$Y325&lt;=0,$K325=0),"※有数量没金额（这个物料一直没填过进价）",IF($Z325="不可信","△成本含待补价/暂估，毛利仅供参考","")))))</f>
        <v/>
      </c>
    </row>
    <row r="326">
      <c r="A326" s="24">
        <f>IF(物料档案!$A325="","",物料档案!$A325)</f>
        <v/>
      </c>
      <c r="B326" s="24">
        <f>IF($A326="","",IFERROR(VLOOKUP($A326,物料档案!$A$4:$P$1203,3,0),""))</f>
        <v/>
      </c>
      <c r="C326" s="24">
        <f>IF($A326="","",IFERROR(VLOOKUP($A326,物料档案!$A$4:$P$1203,4,0),""))</f>
        <v/>
      </c>
      <c r="D326" s="24">
        <f>IF($A326="","",IFERROR(VLOOKUP($A326,物料档案!$A$4:$P$1203,5,0),""))</f>
        <v/>
      </c>
      <c r="E326" s="24">
        <f>IF($A326="","",IFERROR(VLOOKUP($A326,物料档案!$A$4:$P$1203,2,0),""))</f>
        <v/>
      </c>
      <c r="F326" s="24">
        <f>IF($A326="","",IFERROR(VLOOKUP($A326,物料档案!$A$4:$P$1203,6,0),""))</f>
        <v/>
      </c>
      <c r="G326" s="23" t="n"/>
      <c r="H326" s="32" t="n"/>
      <c r="I326" s="27">
        <f>IF($A326="","",SUMIFS(入库单!$K$4:$K$2503,入库单!$G$4:$G$2503,$A326,入库单!$X$4:$X$2503,"采购入库",入库单!$Z$4:$Z$2503,"正常",入库单!$C$4:$C$2503,"&gt;="&amp;账期起,入库单!$C$4:$C$2503,"&lt;="&amp;账期止))</f>
        <v/>
      </c>
      <c r="J326" s="26">
        <f>IF($A326="","",SUMIFS(入库单!$V$4:$V$2503,入库单!$G$4:$G$2503,$A326,入库单!$X$4:$X$2503,"采购入库",入库单!$Z$4:$Z$2503,"正常",入库单!$C$4:$C$2503,"&gt;="&amp;账期起,入库单!$C$4:$C$2503,"&lt;="&amp;账期止))</f>
        <v/>
      </c>
      <c r="K326" s="26">
        <f>IF($A326="","",IFERROR(ROUND((N($H326)+N($J326))/(N($G326)+N($I326)),2),0))</f>
        <v/>
      </c>
      <c r="L326" s="27">
        <f>IF($A326="","",SUMIFS(入库单!$K$4:$K$2503,入库单!$G$4:$G$2503,$A326,入库单!$X$4:$X$2503,"盘盈",入库单!$Z$4:$Z$2503,"正常",入库单!$C$4:$C$2503,"&gt;="&amp;账期起,入库单!$C$4:$C$2503,"&lt;="&amp;账期止))</f>
        <v/>
      </c>
      <c r="M326" s="26">
        <f>IF($A326="","",ROUND($L326*$K326,0))</f>
        <v/>
      </c>
      <c r="N326" s="27">
        <f>IF($A326="","",SUMIFS(入库单!$K$4:$K$2503,入库单!$G$4:$G$2503,$A326,入库单!$X$4:$X$2503,"矿区退库",入库单!$Z$4:$Z$2503,"正常",入库单!$C$4:$C$2503,"&gt;="&amp;账期起,入库单!$C$4:$C$2503,"&lt;="&amp;账期止))</f>
        <v/>
      </c>
      <c r="O326" s="26">
        <f>IF($A326="","",ROUND($N326*$K326,0))</f>
        <v/>
      </c>
      <c r="P326" s="27">
        <f>IF($A326="","",SUMIFS(出库单!$J$4:$J$4003,出库单!$D$4:$D$4003,$A326,出库单!$K$4:$K$4003,"自用消耗",出库单!$U$4:$U$4003,"正常",出库单!$C$4:$C$4003,"&gt;="&amp;账期起,出库单!$C$4:$C$4003,"&lt;="&amp;账期止))</f>
        <v/>
      </c>
      <c r="Q326" s="26">
        <f>IF($A326="","",ROUND(SUMIFS(出库单!$S$4:$S$4003,出库单!$D$4:$D$4003,$A326,出库单!$K$4:$K$4003,"自用消耗",出库单!$U$4:$U$4003,"正常",出库单!$C$4:$C$4003,"&gt;="&amp;账期起,出库单!$C$4:$C$4003,"&lt;="&amp;账期止),0))</f>
        <v/>
      </c>
      <c r="R326" s="27">
        <f>IF($A326="","",SUMIFS(出库单!$J$4:$J$4003,出库单!$D$4:$D$4003,$A326,出库单!$K$4:$K$4003,"对外销售",出库单!$U$4:$U$4003,"正常",出库单!$C$4:$C$4003,"&gt;="&amp;账期起,出库单!$C$4:$C$4003,"&lt;="&amp;账期止))</f>
        <v/>
      </c>
      <c r="S326" s="26">
        <f>IF($A326="","",ROUND(SUMIFS(出库单!$S$4:$S$4003,出库单!$D$4:$D$4003,$A326,出库单!$K$4:$K$4003,"对外销售",出库单!$U$4:$U$4003,"正常",出库单!$C$4:$C$4003,"&gt;="&amp;账期起,出库单!$C$4:$C$4003,"&lt;="&amp;账期止),0))</f>
        <v/>
      </c>
      <c r="T326" s="27">
        <f>IF($A326="","",SUMIFS(出库单!$J$4:$J$4003,出库单!$D$4:$D$4003,$A326,出库单!$K$4:$K$4003,"盘亏",出库单!$U$4:$U$4003,"正常",出库单!$C$4:$C$4003,"&gt;="&amp;账期起,出库单!$C$4:$C$4003,"&lt;="&amp;账期止))</f>
        <v/>
      </c>
      <c r="U326" s="26">
        <f>IF($A326="","",ROUND(SUMIFS(出库单!$S$4:$S$4003,出库单!$D$4:$D$4003,$A326,出库单!$K$4:$K$4003,"盘亏",出库单!$U$4:$U$4003,"正常",出库单!$C$4:$C$4003,"&gt;="&amp;账期起,出库单!$C$4:$C$4003,"&lt;="&amp;账期止),0))</f>
        <v/>
      </c>
      <c r="V326" s="27">
        <f>IF($A326="","",SUMIFS(出库单!$J$4:$J$4003,出库单!$D$4:$D$4003,$A326,出库单!$K$4:$K$4003,"退货给供应商",出库单!$U$4:$U$4003,"正常",出库单!$C$4:$C$4003,"&gt;="&amp;账期起,出库单!$C$4:$C$4003,"&lt;="&amp;账期止))</f>
        <v/>
      </c>
      <c r="W326" s="26">
        <f>IF($A326="","",ROUND(SUMIFS(出库单!$S$4:$S$4003,出库单!$D$4:$D$4003,$A326,出库单!$K$4:$K$4003,"退货给供应商",出库单!$U$4:$U$4003,"正常",出库单!$C$4:$C$4003,"&gt;="&amp;账期起,出库单!$C$4:$C$4003,"&lt;="&amp;账期止),0))</f>
        <v/>
      </c>
      <c r="X326" s="27">
        <f>IF($A326="","",ROUND(N($G326)+$I326+$L326+$N326-$P326-$R326-$T326-$V326,3))</f>
        <v/>
      </c>
      <c r="Y326" s="26">
        <f>IF($A326="","",ROUND(N($H326)+$J326+$M326+$O326-$Q326-$S326-$U326-$W326,0))</f>
        <v/>
      </c>
      <c r="Z326" s="24">
        <f>IF($A326="","",IF(COUNTIFS(入库单!$G$4:$G$2503,$A326,入库单!$Y$4:$Y$2503,"待补价")+COUNTIFS(入库单!$G$4:$G$2503,$A326,入库单!$Y$4:$Y$2503,"暂估")&gt;0,"不可信","可信"))</f>
        <v/>
      </c>
      <c r="AA326" s="24">
        <f>IF($A326="","",IF($X326&lt;-0.001,"※账面负库存，查一下是不是漏记入库",IF(AND(ROUND($X326,3)=0,ABS($Y326)&gt;1),"※数量已经是 0，金额还挂着 "&amp;TEXT($Y326,"#,##0")&amp;" 先令",IF(AND($X326&gt;0,$Y326&lt;=0,$K326=0),"※有数量没金额（这个物料一直没填过进价）",IF($Z326="不可信","△成本含待补价/暂估，毛利仅供参考","")))))</f>
        <v/>
      </c>
    </row>
    <row r="327">
      <c r="A327" s="24">
        <f>IF(物料档案!$A326="","",物料档案!$A326)</f>
        <v/>
      </c>
      <c r="B327" s="24">
        <f>IF($A327="","",IFERROR(VLOOKUP($A327,物料档案!$A$4:$P$1203,3,0),""))</f>
        <v/>
      </c>
      <c r="C327" s="24">
        <f>IF($A327="","",IFERROR(VLOOKUP($A327,物料档案!$A$4:$P$1203,4,0),""))</f>
        <v/>
      </c>
      <c r="D327" s="24">
        <f>IF($A327="","",IFERROR(VLOOKUP($A327,物料档案!$A$4:$P$1203,5,0),""))</f>
        <v/>
      </c>
      <c r="E327" s="24">
        <f>IF($A327="","",IFERROR(VLOOKUP($A327,物料档案!$A$4:$P$1203,2,0),""))</f>
        <v/>
      </c>
      <c r="F327" s="24">
        <f>IF($A327="","",IFERROR(VLOOKUP($A327,物料档案!$A$4:$P$1203,6,0),""))</f>
        <v/>
      </c>
      <c r="G327" s="23" t="n"/>
      <c r="H327" s="32" t="n"/>
      <c r="I327" s="27">
        <f>IF($A327="","",SUMIFS(入库单!$K$4:$K$2503,入库单!$G$4:$G$2503,$A327,入库单!$X$4:$X$2503,"采购入库",入库单!$Z$4:$Z$2503,"正常",入库单!$C$4:$C$2503,"&gt;="&amp;账期起,入库单!$C$4:$C$2503,"&lt;="&amp;账期止))</f>
        <v/>
      </c>
      <c r="J327" s="26">
        <f>IF($A327="","",SUMIFS(入库单!$V$4:$V$2503,入库单!$G$4:$G$2503,$A327,入库单!$X$4:$X$2503,"采购入库",入库单!$Z$4:$Z$2503,"正常",入库单!$C$4:$C$2503,"&gt;="&amp;账期起,入库单!$C$4:$C$2503,"&lt;="&amp;账期止))</f>
        <v/>
      </c>
      <c r="K327" s="26">
        <f>IF($A327="","",IFERROR(ROUND((N($H327)+N($J327))/(N($G327)+N($I327)),2),0))</f>
        <v/>
      </c>
      <c r="L327" s="27">
        <f>IF($A327="","",SUMIFS(入库单!$K$4:$K$2503,入库单!$G$4:$G$2503,$A327,入库单!$X$4:$X$2503,"盘盈",入库单!$Z$4:$Z$2503,"正常",入库单!$C$4:$C$2503,"&gt;="&amp;账期起,入库单!$C$4:$C$2503,"&lt;="&amp;账期止))</f>
        <v/>
      </c>
      <c r="M327" s="26">
        <f>IF($A327="","",ROUND($L327*$K327,0))</f>
        <v/>
      </c>
      <c r="N327" s="27">
        <f>IF($A327="","",SUMIFS(入库单!$K$4:$K$2503,入库单!$G$4:$G$2503,$A327,入库单!$X$4:$X$2503,"矿区退库",入库单!$Z$4:$Z$2503,"正常",入库单!$C$4:$C$2503,"&gt;="&amp;账期起,入库单!$C$4:$C$2503,"&lt;="&amp;账期止))</f>
        <v/>
      </c>
      <c r="O327" s="26">
        <f>IF($A327="","",ROUND($N327*$K327,0))</f>
        <v/>
      </c>
      <c r="P327" s="27">
        <f>IF($A327="","",SUMIFS(出库单!$J$4:$J$4003,出库单!$D$4:$D$4003,$A327,出库单!$K$4:$K$4003,"自用消耗",出库单!$U$4:$U$4003,"正常",出库单!$C$4:$C$4003,"&gt;="&amp;账期起,出库单!$C$4:$C$4003,"&lt;="&amp;账期止))</f>
        <v/>
      </c>
      <c r="Q327" s="26">
        <f>IF($A327="","",ROUND(SUMIFS(出库单!$S$4:$S$4003,出库单!$D$4:$D$4003,$A327,出库单!$K$4:$K$4003,"自用消耗",出库单!$U$4:$U$4003,"正常",出库单!$C$4:$C$4003,"&gt;="&amp;账期起,出库单!$C$4:$C$4003,"&lt;="&amp;账期止),0))</f>
        <v/>
      </c>
      <c r="R327" s="27">
        <f>IF($A327="","",SUMIFS(出库单!$J$4:$J$4003,出库单!$D$4:$D$4003,$A327,出库单!$K$4:$K$4003,"对外销售",出库单!$U$4:$U$4003,"正常",出库单!$C$4:$C$4003,"&gt;="&amp;账期起,出库单!$C$4:$C$4003,"&lt;="&amp;账期止))</f>
        <v/>
      </c>
      <c r="S327" s="26">
        <f>IF($A327="","",ROUND(SUMIFS(出库单!$S$4:$S$4003,出库单!$D$4:$D$4003,$A327,出库单!$K$4:$K$4003,"对外销售",出库单!$U$4:$U$4003,"正常",出库单!$C$4:$C$4003,"&gt;="&amp;账期起,出库单!$C$4:$C$4003,"&lt;="&amp;账期止),0))</f>
        <v/>
      </c>
      <c r="T327" s="27">
        <f>IF($A327="","",SUMIFS(出库单!$J$4:$J$4003,出库单!$D$4:$D$4003,$A327,出库单!$K$4:$K$4003,"盘亏",出库单!$U$4:$U$4003,"正常",出库单!$C$4:$C$4003,"&gt;="&amp;账期起,出库单!$C$4:$C$4003,"&lt;="&amp;账期止))</f>
        <v/>
      </c>
      <c r="U327" s="26">
        <f>IF($A327="","",ROUND(SUMIFS(出库单!$S$4:$S$4003,出库单!$D$4:$D$4003,$A327,出库单!$K$4:$K$4003,"盘亏",出库单!$U$4:$U$4003,"正常",出库单!$C$4:$C$4003,"&gt;="&amp;账期起,出库单!$C$4:$C$4003,"&lt;="&amp;账期止),0))</f>
        <v/>
      </c>
      <c r="V327" s="27">
        <f>IF($A327="","",SUMIFS(出库单!$J$4:$J$4003,出库单!$D$4:$D$4003,$A327,出库单!$K$4:$K$4003,"退货给供应商",出库单!$U$4:$U$4003,"正常",出库单!$C$4:$C$4003,"&gt;="&amp;账期起,出库单!$C$4:$C$4003,"&lt;="&amp;账期止))</f>
        <v/>
      </c>
      <c r="W327" s="26">
        <f>IF($A327="","",ROUND(SUMIFS(出库单!$S$4:$S$4003,出库单!$D$4:$D$4003,$A327,出库单!$K$4:$K$4003,"退货给供应商",出库单!$U$4:$U$4003,"正常",出库单!$C$4:$C$4003,"&gt;="&amp;账期起,出库单!$C$4:$C$4003,"&lt;="&amp;账期止),0))</f>
        <v/>
      </c>
      <c r="X327" s="27">
        <f>IF($A327="","",ROUND(N($G327)+$I327+$L327+$N327-$P327-$R327-$T327-$V327,3))</f>
        <v/>
      </c>
      <c r="Y327" s="26">
        <f>IF($A327="","",ROUND(N($H327)+$J327+$M327+$O327-$Q327-$S327-$U327-$W327,0))</f>
        <v/>
      </c>
      <c r="Z327" s="24">
        <f>IF($A327="","",IF(COUNTIFS(入库单!$G$4:$G$2503,$A327,入库单!$Y$4:$Y$2503,"待补价")+COUNTIFS(入库单!$G$4:$G$2503,$A327,入库单!$Y$4:$Y$2503,"暂估")&gt;0,"不可信","可信"))</f>
        <v/>
      </c>
      <c r="AA327" s="24">
        <f>IF($A327="","",IF($X327&lt;-0.001,"※账面负库存，查一下是不是漏记入库",IF(AND(ROUND($X327,3)=0,ABS($Y327)&gt;1),"※数量已经是 0，金额还挂着 "&amp;TEXT($Y327,"#,##0")&amp;" 先令",IF(AND($X327&gt;0,$Y327&lt;=0,$K327=0),"※有数量没金额（这个物料一直没填过进价）",IF($Z327="不可信","△成本含待补价/暂估，毛利仅供参考","")))))</f>
        <v/>
      </c>
    </row>
    <row r="328">
      <c r="A328" s="24">
        <f>IF(物料档案!$A327="","",物料档案!$A327)</f>
        <v/>
      </c>
      <c r="B328" s="24">
        <f>IF($A328="","",IFERROR(VLOOKUP($A328,物料档案!$A$4:$P$1203,3,0),""))</f>
        <v/>
      </c>
      <c r="C328" s="24">
        <f>IF($A328="","",IFERROR(VLOOKUP($A328,物料档案!$A$4:$P$1203,4,0),""))</f>
        <v/>
      </c>
      <c r="D328" s="24">
        <f>IF($A328="","",IFERROR(VLOOKUP($A328,物料档案!$A$4:$P$1203,5,0),""))</f>
        <v/>
      </c>
      <c r="E328" s="24">
        <f>IF($A328="","",IFERROR(VLOOKUP($A328,物料档案!$A$4:$P$1203,2,0),""))</f>
        <v/>
      </c>
      <c r="F328" s="24">
        <f>IF($A328="","",IFERROR(VLOOKUP($A328,物料档案!$A$4:$P$1203,6,0),""))</f>
        <v/>
      </c>
      <c r="G328" s="23" t="n"/>
      <c r="H328" s="32" t="n"/>
      <c r="I328" s="27">
        <f>IF($A328="","",SUMIFS(入库单!$K$4:$K$2503,入库单!$G$4:$G$2503,$A328,入库单!$X$4:$X$2503,"采购入库",入库单!$Z$4:$Z$2503,"正常",入库单!$C$4:$C$2503,"&gt;="&amp;账期起,入库单!$C$4:$C$2503,"&lt;="&amp;账期止))</f>
        <v/>
      </c>
      <c r="J328" s="26">
        <f>IF($A328="","",SUMIFS(入库单!$V$4:$V$2503,入库单!$G$4:$G$2503,$A328,入库单!$X$4:$X$2503,"采购入库",入库单!$Z$4:$Z$2503,"正常",入库单!$C$4:$C$2503,"&gt;="&amp;账期起,入库单!$C$4:$C$2503,"&lt;="&amp;账期止))</f>
        <v/>
      </c>
      <c r="K328" s="26">
        <f>IF($A328="","",IFERROR(ROUND((N($H328)+N($J328))/(N($G328)+N($I328)),2),0))</f>
        <v/>
      </c>
      <c r="L328" s="27">
        <f>IF($A328="","",SUMIFS(入库单!$K$4:$K$2503,入库单!$G$4:$G$2503,$A328,入库单!$X$4:$X$2503,"盘盈",入库单!$Z$4:$Z$2503,"正常",入库单!$C$4:$C$2503,"&gt;="&amp;账期起,入库单!$C$4:$C$2503,"&lt;="&amp;账期止))</f>
        <v/>
      </c>
      <c r="M328" s="26">
        <f>IF($A328="","",ROUND($L328*$K328,0))</f>
        <v/>
      </c>
      <c r="N328" s="27">
        <f>IF($A328="","",SUMIFS(入库单!$K$4:$K$2503,入库单!$G$4:$G$2503,$A328,入库单!$X$4:$X$2503,"矿区退库",入库单!$Z$4:$Z$2503,"正常",入库单!$C$4:$C$2503,"&gt;="&amp;账期起,入库单!$C$4:$C$2503,"&lt;="&amp;账期止))</f>
        <v/>
      </c>
      <c r="O328" s="26">
        <f>IF($A328="","",ROUND($N328*$K328,0))</f>
        <v/>
      </c>
      <c r="P328" s="27">
        <f>IF($A328="","",SUMIFS(出库单!$J$4:$J$4003,出库单!$D$4:$D$4003,$A328,出库单!$K$4:$K$4003,"自用消耗",出库单!$U$4:$U$4003,"正常",出库单!$C$4:$C$4003,"&gt;="&amp;账期起,出库单!$C$4:$C$4003,"&lt;="&amp;账期止))</f>
        <v/>
      </c>
      <c r="Q328" s="26">
        <f>IF($A328="","",ROUND(SUMIFS(出库单!$S$4:$S$4003,出库单!$D$4:$D$4003,$A328,出库单!$K$4:$K$4003,"自用消耗",出库单!$U$4:$U$4003,"正常",出库单!$C$4:$C$4003,"&gt;="&amp;账期起,出库单!$C$4:$C$4003,"&lt;="&amp;账期止),0))</f>
        <v/>
      </c>
      <c r="R328" s="27">
        <f>IF($A328="","",SUMIFS(出库单!$J$4:$J$4003,出库单!$D$4:$D$4003,$A328,出库单!$K$4:$K$4003,"对外销售",出库单!$U$4:$U$4003,"正常",出库单!$C$4:$C$4003,"&gt;="&amp;账期起,出库单!$C$4:$C$4003,"&lt;="&amp;账期止))</f>
        <v/>
      </c>
      <c r="S328" s="26">
        <f>IF($A328="","",ROUND(SUMIFS(出库单!$S$4:$S$4003,出库单!$D$4:$D$4003,$A328,出库单!$K$4:$K$4003,"对外销售",出库单!$U$4:$U$4003,"正常",出库单!$C$4:$C$4003,"&gt;="&amp;账期起,出库单!$C$4:$C$4003,"&lt;="&amp;账期止),0))</f>
        <v/>
      </c>
      <c r="T328" s="27">
        <f>IF($A328="","",SUMIFS(出库单!$J$4:$J$4003,出库单!$D$4:$D$4003,$A328,出库单!$K$4:$K$4003,"盘亏",出库单!$U$4:$U$4003,"正常",出库单!$C$4:$C$4003,"&gt;="&amp;账期起,出库单!$C$4:$C$4003,"&lt;="&amp;账期止))</f>
        <v/>
      </c>
      <c r="U328" s="26">
        <f>IF($A328="","",ROUND(SUMIFS(出库单!$S$4:$S$4003,出库单!$D$4:$D$4003,$A328,出库单!$K$4:$K$4003,"盘亏",出库单!$U$4:$U$4003,"正常",出库单!$C$4:$C$4003,"&gt;="&amp;账期起,出库单!$C$4:$C$4003,"&lt;="&amp;账期止),0))</f>
        <v/>
      </c>
      <c r="V328" s="27">
        <f>IF($A328="","",SUMIFS(出库单!$J$4:$J$4003,出库单!$D$4:$D$4003,$A328,出库单!$K$4:$K$4003,"退货给供应商",出库单!$U$4:$U$4003,"正常",出库单!$C$4:$C$4003,"&gt;="&amp;账期起,出库单!$C$4:$C$4003,"&lt;="&amp;账期止))</f>
        <v/>
      </c>
      <c r="W328" s="26">
        <f>IF($A328="","",ROUND(SUMIFS(出库单!$S$4:$S$4003,出库单!$D$4:$D$4003,$A328,出库单!$K$4:$K$4003,"退货给供应商",出库单!$U$4:$U$4003,"正常",出库单!$C$4:$C$4003,"&gt;="&amp;账期起,出库单!$C$4:$C$4003,"&lt;="&amp;账期止),0))</f>
        <v/>
      </c>
      <c r="X328" s="27">
        <f>IF($A328="","",ROUND(N($G328)+$I328+$L328+$N328-$P328-$R328-$T328-$V328,3))</f>
        <v/>
      </c>
      <c r="Y328" s="26">
        <f>IF($A328="","",ROUND(N($H328)+$J328+$M328+$O328-$Q328-$S328-$U328-$W328,0))</f>
        <v/>
      </c>
      <c r="Z328" s="24">
        <f>IF($A328="","",IF(COUNTIFS(入库单!$G$4:$G$2503,$A328,入库单!$Y$4:$Y$2503,"待补价")+COUNTIFS(入库单!$G$4:$G$2503,$A328,入库单!$Y$4:$Y$2503,"暂估")&gt;0,"不可信","可信"))</f>
        <v/>
      </c>
      <c r="AA328" s="24">
        <f>IF($A328="","",IF($X328&lt;-0.001,"※账面负库存，查一下是不是漏记入库",IF(AND(ROUND($X328,3)=0,ABS($Y328)&gt;1),"※数量已经是 0，金额还挂着 "&amp;TEXT($Y328,"#,##0")&amp;" 先令",IF(AND($X328&gt;0,$Y328&lt;=0,$K328=0),"※有数量没金额（这个物料一直没填过进价）",IF($Z328="不可信","△成本含待补价/暂估，毛利仅供参考","")))))</f>
        <v/>
      </c>
    </row>
    <row r="329">
      <c r="A329" s="24">
        <f>IF(物料档案!$A328="","",物料档案!$A328)</f>
        <v/>
      </c>
      <c r="B329" s="24">
        <f>IF($A329="","",IFERROR(VLOOKUP($A329,物料档案!$A$4:$P$1203,3,0),""))</f>
        <v/>
      </c>
      <c r="C329" s="24">
        <f>IF($A329="","",IFERROR(VLOOKUP($A329,物料档案!$A$4:$P$1203,4,0),""))</f>
        <v/>
      </c>
      <c r="D329" s="24">
        <f>IF($A329="","",IFERROR(VLOOKUP($A329,物料档案!$A$4:$P$1203,5,0),""))</f>
        <v/>
      </c>
      <c r="E329" s="24">
        <f>IF($A329="","",IFERROR(VLOOKUP($A329,物料档案!$A$4:$P$1203,2,0),""))</f>
        <v/>
      </c>
      <c r="F329" s="24">
        <f>IF($A329="","",IFERROR(VLOOKUP($A329,物料档案!$A$4:$P$1203,6,0),""))</f>
        <v/>
      </c>
      <c r="G329" s="23" t="n"/>
      <c r="H329" s="32" t="n"/>
      <c r="I329" s="27">
        <f>IF($A329="","",SUMIFS(入库单!$K$4:$K$2503,入库单!$G$4:$G$2503,$A329,入库单!$X$4:$X$2503,"采购入库",入库单!$Z$4:$Z$2503,"正常",入库单!$C$4:$C$2503,"&gt;="&amp;账期起,入库单!$C$4:$C$2503,"&lt;="&amp;账期止))</f>
        <v/>
      </c>
      <c r="J329" s="26">
        <f>IF($A329="","",SUMIFS(入库单!$V$4:$V$2503,入库单!$G$4:$G$2503,$A329,入库单!$X$4:$X$2503,"采购入库",入库单!$Z$4:$Z$2503,"正常",入库单!$C$4:$C$2503,"&gt;="&amp;账期起,入库单!$C$4:$C$2503,"&lt;="&amp;账期止))</f>
        <v/>
      </c>
      <c r="K329" s="26">
        <f>IF($A329="","",IFERROR(ROUND((N($H329)+N($J329))/(N($G329)+N($I329)),2),0))</f>
        <v/>
      </c>
      <c r="L329" s="27">
        <f>IF($A329="","",SUMIFS(入库单!$K$4:$K$2503,入库单!$G$4:$G$2503,$A329,入库单!$X$4:$X$2503,"盘盈",入库单!$Z$4:$Z$2503,"正常",入库单!$C$4:$C$2503,"&gt;="&amp;账期起,入库单!$C$4:$C$2503,"&lt;="&amp;账期止))</f>
        <v/>
      </c>
      <c r="M329" s="26">
        <f>IF($A329="","",ROUND($L329*$K329,0))</f>
        <v/>
      </c>
      <c r="N329" s="27">
        <f>IF($A329="","",SUMIFS(入库单!$K$4:$K$2503,入库单!$G$4:$G$2503,$A329,入库单!$X$4:$X$2503,"矿区退库",入库单!$Z$4:$Z$2503,"正常",入库单!$C$4:$C$2503,"&gt;="&amp;账期起,入库单!$C$4:$C$2503,"&lt;="&amp;账期止))</f>
        <v/>
      </c>
      <c r="O329" s="26">
        <f>IF($A329="","",ROUND($N329*$K329,0))</f>
        <v/>
      </c>
      <c r="P329" s="27">
        <f>IF($A329="","",SUMIFS(出库单!$J$4:$J$4003,出库单!$D$4:$D$4003,$A329,出库单!$K$4:$K$4003,"自用消耗",出库单!$U$4:$U$4003,"正常",出库单!$C$4:$C$4003,"&gt;="&amp;账期起,出库单!$C$4:$C$4003,"&lt;="&amp;账期止))</f>
        <v/>
      </c>
      <c r="Q329" s="26">
        <f>IF($A329="","",ROUND(SUMIFS(出库单!$S$4:$S$4003,出库单!$D$4:$D$4003,$A329,出库单!$K$4:$K$4003,"自用消耗",出库单!$U$4:$U$4003,"正常",出库单!$C$4:$C$4003,"&gt;="&amp;账期起,出库单!$C$4:$C$4003,"&lt;="&amp;账期止),0))</f>
        <v/>
      </c>
      <c r="R329" s="27">
        <f>IF($A329="","",SUMIFS(出库单!$J$4:$J$4003,出库单!$D$4:$D$4003,$A329,出库单!$K$4:$K$4003,"对外销售",出库单!$U$4:$U$4003,"正常",出库单!$C$4:$C$4003,"&gt;="&amp;账期起,出库单!$C$4:$C$4003,"&lt;="&amp;账期止))</f>
        <v/>
      </c>
      <c r="S329" s="26">
        <f>IF($A329="","",ROUND(SUMIFS(出库单!$S$4:$S$4003,出库单!$D$4:$D$4003,$A329,出库单!$K$4:$K$4003,"对外销售",出库单!$U$4:$U$4003,"正常",出库单!$C$4:$C$4003,"&gt;="&amp;账期起,出库单!$C$4:$C$4003,"&lt;="&amp;账期止),0))</f>
        <v/>
      </c>
      <c r="T329" s="27">
        <f>IF($A329="","",SUMIFS(出库单!$J$4:$J$4003,出库单!$D$4:$D$4003,$A329,出库单!$K$4:$K$4003,"盘亏",出库单!$U$4:$U$4003,"正常",出库单!$C$4:$C$4003,"&gt;="&amp;账期起,出库单!$C$4:$C$4003,"&lt;="&amp;账期止))</f>
        <v/>
      </c>
      <c r="U329" s="26">
        <f>IF($A329="","",ROUND(SUMIFS(出库单!$S$4:$S$4003,出库单!$D$4:$D$4003,$A329,出库单!$K$4:$K$4003,"盘亏",出库单!$U$4:$U$4003,"正常",出库单!$C$4:$C$4003,"&gt;="&amp;账期起,出库单!$C$4:$C$4003,"&lt;="&amp;账期止),0))</f>
        <v/>
      </c>
      <c r="V329" s="27">
        <f>IF($A329="","",SUMIFS(出库单!$J$4:$J$4003,出库单!$D$4:$D$4003,$A329,出库单!$K$4:$K$4003,"退货给供应商",出库单!$U$4:$U$4003,"正常",出库单!$C$4:$C$4003,"&gt;="&amp;账期起,出库单!$C$4:$C$4003,"&lt;="&amp;账期止))</f>
        <v/>
      </c>
      <c r="W329" s="26">
        <f>IF($A329="","",ROUND(SUMIFS(出库单!$S$4:$S$4003,出库单!$D$4:$D$4003,$A329,出库单!$K$4:$K$4003,"退货给供应商",出库单!$U$4:$U$4003,"正常",出库单!$C$4:$C$4003,"&gt;="&amp;账期起,出库单!$C$4:$C$4003,"&lt;="&amp;账期止),0))</f>
        <v/>
      </c>
      <c r="X329" s="27">
        <f>IF($A329="","",ROUND(N($G329)+$I329+$L329+$N329-$P329-$R329-$T329-$V329,3))</f>
        <v/>
      </c>
      <c r="Y329" s="26">
        <f>IF($A329="","",ROUND(N($H329)+$J329+$M329+$O329-$Q329-$S329-$U329-$W329,0))</f>
        <v/>
      </c>
      <c r="Z329" s="24">
        <f>IF($A329="","",IF(COUNTIFS(入库单!$G$4:$G$2503,$A329,入库单!$Y$4:$Y$2503,"待补价")+COUNTIFS(入库单!$G$4:$G$2503,$A329,入库单!$Y$4:$Y$2503,"暂估")&gt;0,"不可信","可信"))</f>
        <v/>
      </c>
      <c r="AA329" s="24">
        <f>IF($A329="","",IF($X329&lt;-0.001,"※账面负库存，查一下是不是漏记入库",IF(AND(ROUND($X329,3)=0,ABS($Y329)&gt;1),"※数量已经是 0，金额还挂着 "&amp;TEXT($Y329,"#,##0")&amp;" 先令",IF(AND($X329&gt;0,$Y329&lt;=0,$K329=0),"※有数量没金额（这个物料一直没填过进价）",IF($Z329="不可信","△成本含待补价/暂估，毛利仅供参考","")))))</f>
        <v/>
      </c>
    </row>
    <row r="330">
      <c r="A330" s="24">
        <f>IF(物料档案!$A329="","",物料档案!$A329)</f>
        <v/>
      </c>
      <c r="B330" s="24">
        <f>IF($A330="","",IFERROR(VLOOKUP($A330,物料档案!$A$4:$P$1203,3,0),""))</f>
        <v/>
      </c>
      <c r="C330" s="24">
        <f>IF($A330="","",IFERROR(VLOOKUP($A330,物料档案!$A$4:$P$1203,4,0),""))</f>
        <v/>
      </c>
      <c r="D330" s="24">
        <f>IF($A330="","",IFERROR(VLOOKUP($A330,物料档案!$A$4:$P$1203,5,0),""))</f>
        <v/>
      </c>
      <c r="E330" s="24">
        <f>IF($A330="","",IFERROR(VLOOKUP($A330,物料档案!$A$4:$P$1203,2,0),""))</f>
        <v/>
      </c>
      <c r="F330" s="24">
        <f>IF($A330="","",IFERROR(VLOOKUP($A330,物料档案!$A$4:$P$1203,6,0),""))</f>
        <v/>
      </c>
      <c r="G330" s="23" t="n"/>
      <c r="H330" s="32" t="n"/>
      <c r="I330" s="27">
        <f>IF($A330="","",SUMIFS(入库单!$K$4:$K$2503,入库单!$G$4:$G$2503,$A330,入库单!$X$4:$X$2503,"采购入库",入库单!$Z$4:$Z$2503,"正常",入库单!$C$4:$C$2503,"&gt;="&amp;账期起,入库单!$C$4:$C$2503,"&lt;="&amp;账期止))</f>
        <v/>
      </c>
      <c r="J330" s="26">
        <f>IF($A330="","",SUMIFS(入库单!$V$4:$V$2503,入库单!$G$4:$G$2503,$A330,入库单!$X$4:$X$2503,"采购入库",入库单!$Z$4:$Z$2503,"正常",入库单!$C$4:$C$2503,"&gt;="&amp;账期起,入库单!$C$4:$C$2503,"&lt;="&amp;账期止))</f>
        <v/>
      </c>
      <c r="K330" s="26">
        <f>IF($A330="","",IFERROR(ROUND((N($H330)+N($J330))/(N($G330)+N($I330)),2),0))</f>
        <v/>
      </c>
      <c r="L330" s="27">
        <f>IF($A330="","",SUMIFS(入库单!$K$4:$K$2503,入库单!$G$4:$G$2503,$A330,入库单!$X$4:$X$2503,"盘盈",入库单!$Z$4:$Z$2503,"正常",入库单!$C$4:$C$2503,"&gt;="&amp;账期起,入库单!$C$4:$C$2503,"&lt;="&amp;账期止))</f>
        <v/>
      </c>
      <c r="M330" s="26">
        <f>IF($A330="","",ROUND($L330*$K330,0))</f>
        <v/>
      </c>
      <c r="N330" s="27">
        <f>IF($A330="","",SUMIFS(入库单!$K$4:$K$2503,入库单!$G$4:$G$2503,$A330,入库单!$X$4:$X$2503,"矿区退库",入库单!$Z$4:$Z$2503,"正常",入库单!$C$4:$C$2503,"&gt;="&amp;账期起,入库单!$C$4:$C$2503,"&lt;="&amp;账期止))</f>
        <v/>
      </c>
      <c r="O330" s="26">
        <f>IF($A330="","",ROUND($N330*$K330,0))</f>
        <v/>
      </c>
      <c r="P330" s="27">
        <f>IF($A330="","",SUMIFS(出库单!$J$4:$J$4003,出库单!$D$4:$D$4003,$A330,出库单!$K$4:$K$4003,"自用消耗",出库单!$U$4:$U$4003,"正常",出库单!$C$4:$C$4003,"&gt;="&amp;账期起,出库单!$C$4:$C$4003,"&lt;="&amp;账期止))</f>
        <v/>
      </c>
      <c r="Q330" s="26">
        <f>IF($A330="","",ROUND(SUMIFS(出库单!$S$4:$S$4003,出库单!$D$4:$D$4003,$A330,出库单!$K$4:$K$4003,"自用消耗",出库单!$U$4:$U$4003,"正常",出库单!$C$4:$C$4003,"&gt;="&amp;账期起,出库单!$C$4:$C$4003,"&lt;="&amp;账期止),0))</f>
        <v/>
      </c>
      <c r="R330" s="27">
        <f>IF($A330="","",SUMIFS(出库单!$J$4:$J$4003,出库单!$D$4:$D$4003,$A330,出库单!$K$4:$K$4003,"对外销售",出库单!$U$4:$U$4003,"正常",出库单!$C$4:$C$4003,"&gt;="&amp;账期起,出库单!$C$4:$C$4003,"&lt;="&amp;账期止))</f>
        <v/>
      </c>
      <c r="S330" s="26">
        <f>IF($A330="","",ROUND(SUMIFS(出库单!$S$4:$S$4003,出库单!$D$4:$D$4003,$A330,出库单!$K$4:$K$4003,"对外销售",出库单!$U$4:$U$4003,"正常",出库单!$C$4:$C$4003,"&gt;="&amp;账期起,出库单!$C$4:$C$4003,"&lt;="&amp;账期止),0))</f>
        <v/>
      </c>
      <c r="T330" s="27">
        <f>IF($A330="","",SUMIFS(出库单!$J$4:$J$4003,出库单!$D$4:$D$4003,$A330,出库单!$K$4:$K$4003,"盘亏",出库单!$U$4:$U$4003,"正常",出库单!$C$4:$C$4003,"&gt;="&amp;账期起,出库单!$C$4:$C$4003,"&lt;="&amp;账期止))</f>
        <v/>
      </c>
      <c r="U330" s="26">
        <f>IF($A330="","",ROUND(SUMIFS(出库单!$S$4:$S$4003,出库单!$D$4:$D$4003,$A330,出库单!$K$4:$K$4003,"盘亏",出库单!$U$4:$U$4003,"正常",出库单!$C$4:$C$4003,"&gt;="&amp;账期起,出库单!$C$4:$C$4003,"&lt;="&amp;账期止),0))</f>
        <v/>
      </c>
      <c r="V330" s="27">
        <f>IF($A330="","",SUMIFS(出库单!$J$4:$J$4003,出库单!$D$4:$D$4003,$A330,出库单!$K$4:$K$4003,"退货给供应商",出库单!$U$4:$U$4003,"正常",出库单!$C$4:$C$4003,"&gt;="&amp;账期起,出库单!$C$4:$C$4003,"&lt;="&amp;账期止))</f>
        <v/>
      </c>
      <c r="W330" s="26">
        <f>IF($A330="","",ROUND(SUMIFS(出库单!$S$4:$S$4003,出库单!$D$4:$D$4003,$A330,出库单!$K$4:$K$4003,"退货给供应商",出库单!$U$4:$U$4003,"正常",出库单!$C$4:$C$4003,"&gt;="&amp;账期起,出库单!$C$4:$C$4003,"&lt;="&amp;账期止),0))</f>
        <v/>
      </c>
      <c r="X330" s="27">
        <f>IF($A330="","",ROUND(N($G330)+$I330+$L330+$N330-$P330-$R330-$T330-$V330,3))</f>
        <v/>
      </c>
      <c r="Y330" s="26">
        <f>IF($A330="","",ROUND(N($H330)+$J330+$M330+$O330-$Q330-$S330-$U330-$W330,0))</f>
        <v/>
      </c>
      <c r="Z330" s="24">
        <f>IF($A330="","",IF(COUNTIFS(入库单!$G$4:$G$2503,$A330,入库单!$Y$4:$Y$2503,"待补价")+COUNTIFS(入库单!$G$4:$G$2503,$A330,入库单!$Y$4:$Y$2503,"暂估")&gt;0,"不可信","可信"))</f>
        <v/>
      </c>
      <c r="AA330" s="24">
        <f>IF($A330="","",IF($X330&lt;-0.001,"※账面负库存，查一下是不是漏记入库",IF(AND(ROUND($X330,3)=0,ABS($Y330)&gt;1),"※数量已经是 0，金额还挂着 "&amp;TEXT($Y330,"#,##0")&amp;" 先令",IF(AND($X330&gt;0,$Y330&lt;=0,$K330=0),"※有数量没金额（这个物料一直没填过进价）",IF($Z330="不可信","△成本含待补价/暂估，毛利仅供参考","")))))</f>
        <v/>
      </c>
    </row>
    <row r="331">
      <c r="A331" s="24">
        <f>IF(物料档案!$A330="","",物料档案!$A330)</f>
        <v/>
      </c>
      <c r="B331" s="24">
        <f>IF($A331="","",IFERROR(VLOOKUP($A331,物料档案!$A$4:$P$1203,3,0),""))</f>
        <v/>
      </c>
      <c r="C331" s="24">
        <f>IF($A331="","",IFERROR(VLOOKUP($A331,物料档案!$A$4:$P$1203,4,0),""))</f>
        <v/>
      </c>
      <c r="D331" s="24">
        <f>IF($A331="","",IFERROR(VLOOKUP($A331,物料档案!$A$4:$P$1203,5,0),""))</f>
        <v/>
      </c>
      <c r="E331" s="24">
        <f>IF($A331="","",IFERROR(VLOOKUP($A331,物料档案!$A$4:$P$1203,2,0),""))</f>
        <v/>
      </c>
      <c r="F331" s="24">
        <f>IF($A331="","",IFERROR(VLOOKUP($A331,物料档案!$A$4:$P$1203,6,0),""))</f>
        <v/>
      </c>
      <c r="G331" s="23" t="n"/>
      <c r="H331" s="32" t="n"/>
      <c r="I331" s="27">
        <f>IF($A331="","",SUMIFS(入库单!$K$4:$K$2503,入库单!$G$4:$G$2503,$A331,入库单!$X$4:$X$2503,"采购入库",入库单!$Z$4:$Z$2503,"正常",入库单!$C$4:$C$2503,"&gt;="&amp;账期起,入库单!$C$4:$C$2503,"&lt;="&amp;账期止))</f>
        <v/>
      </c>
      <c r="J331" s="26">
        <f>IF($A331="","",SUMIFS(入库单!$V$4:$V$2503,入库单!$G$4:$G$2503,$A331,入库单!$X$4:$X$2503,"采购入库",入库单!$Z$4:$Z$2503,"正常",入库单!$C$4:$C$2503,"&gt;="&amp;账期起,入库单!$C$4:$C$2503,"&lt;="&amp;账期止))</f>
        <v/>
      </c>
      <c r="K331" s="26">
        <f>IF($A331="","",IFERROR(ROUND((N($H331)+N($J331))/(N($G331)+N($I331)),2),0))</f>
        <v/>
      </c>
      <c r="L331" s="27">
        <f>IF($A331="","",SUMIFS(入库单!$K$4:$K$2503,入库单!$G$4:$G$2503,$A331,入库单!$X$4:$X$2503,"盘盈",入库单!$Z$4:$Z$2503,"正常",入库单!$C$4:$C$2503,"&gt;="&amp;账期起,入库单!$C$4:$C$2503,"&lt;="&amp;账期止))</f>
        <v/>
      </c>
      <c r="M331" s="26">
        <f>IF($A331="","",ROUND($L331*$K331,0))</f>
        <v/>
      </c>
      <c r="N331" s="27">
        <f>IF($A331="","",SUMIFS(入库单!$K$4:$K$2503,入库单!$G$4:$G$2503,$A331,入库单!$X$4:$X$2503,"矿区退库",入库单!$Z$4:$Z$2503,"正常",入库单!$C$4:$C$2503,"&gt;="&amp;账期起,入库单!$C$4:$C$2503,"&lt;="&amp;账期止))</f>
        <v/>
      </c>
      <c r="O331" s="26">
        <f>IF($A331="","",ROUND($N331*$K331,0))</f>
        <v/>
      </c>
      <c r="P331" s="27">
        <f>IF($A331="","",SUMIFS(出库单!$J$4:$J$4003,出库单!$D$4:$D$4003,$A331,出库单!$K$4:$K$4003,"自用消耗",出库单!$U$4:$U$4003,"正常",出库单!$C$4:$C$4003,"&gt;="&amp;账期起,出库单!$C$4:$C$4003,"&lt;="&amp;账期止))</f>
        <v/>
      </c>
      <c r="Q331" s="26">
        <f>IF($A331="","",ROUND(SUMIFS(出库单!$S$4:$S$4003,出库单!$D$4:$D$4003,$A331,出库单!$K$4:$K$4003,"自用消耗",出库单!$U$4:$U$4003,"正常",出库单!$C$4:$C$4003,"&gt;="&amp;账期起,出库单!$C$4:$C$4003,"&lt;="&amp;账期止),0))</f>
        <v/>
      </c>
      <c r="R331" s="27">
        <f>IF($A331="","",SUMIFS(出库单!$J$4:$J$4003,出库单!$D$4:$D$4003,$A331,出库单!$K$4:$K$4003,"对外销售",出库单!$U$4:$U$4003,"正常",出库单!$C$4:$C$4003,"&gt;="&amp;账期起,出库单!$C$4:$C$4003,"&lt;="&amp;账期止))</f>
        <v/>
      </c>
      <c r="S331" s="26">
        <f>IF($A331="","",ROUND(SUMIFS(出库单!$S$4:$S$4003,出库单!$D$4:$D$4003,$A331,出库单!$K$4:$K$4003,"对外销售",出库单!$U$4:$U$4003,"正常",出库单!$C$4:$C$4003,"&gt;="&amp;账期起,出库单!$C$4:$C$4003,"&lt;="&amp;账期止),0))</f>
        <v/>
      </c>
      <c r="T331" s="27">
        <f>IF($A331="","",SUMIFS(出库单!$J$4:$J$4003,出库单!$D$4:$D$4003,$A331,出库单!$K$4:$K$4003,"盘亏",出库单!$U$4:$U$4003,"正常",出库单!$C$4:$C$4003,"&gt;="&amp;账期起,出库单!$C$4:$C$4003,"&lt;="&amp;账期止))</f>
        <v/>
      </c>
      <c r="U331" s="26">
        <f>IF($A331="","",ROUND(SUMIFS(出库单!$S$4:$S$4003,出库单!$D$4:$D$4003,$A331,出库单!$K$4:$K$4003,"盘亏",出库单!$U$4:$U$4003,"正常",出库单!$C$4:$C$4003,"&gt;="&amp;账期起,出库单!$C$4:$C$4003,"&lt;="&amp;账期止),0))</f>
        <v/>
      </c>
      <c r="V331" s="27">
        <f>IF($A331="","",SUMIFS(出库单!$J$4:$J$4003,出库单!$D$4:$D$4003,$A331,出库单!$K$4:$K$4003,"退货给供应商",出库单!$U$4:$U$4003,"正常",出库单!$C$4:$C$4003,"&gt;="&amp;账期起,出库单!$C$4:$C$4003,"&lt;="&amp;账期止))</f>
        <v/>
      </c>
      <c r="W331" s="26">
        <f>IF($A331="","",ROUND(SUMIFS(出库单!$S$4:$S$4003,出库单!$D$4:$D$4003,$A331,出库单!$K$4:$K$4003,"退货给供应商",出库单!$U$4:$U$4003,"正常",出库单!$C$4:$C$4003,"&gt;="&amp;账期起,出库单!$C$4:$C$4003,"&lt;="&amp;账期止),0))</f>
        <v/>
      </c>
      <c r="X331" s="27">
        <f>IF($A331="","",ROUND(N($G331)+$I331+$L331+$N331-$P331-$R331-$T331-$V331,3))</f>
        <v/>
      </c>
      <c r="Y331" s="26">
        <f>IF($A331="","",ROUND(N($H331)+$J331+$M331+$O331-$Q331-$S331-$U331-$W331,0))</f>
        <v/>
      </c>
      <c r="Z331" s="24">
        <f>IF($A331="","",IF(COUNTIFS(入库单!$G$4:$G$2503,$A331,入库单!$Y$4:$Y$2503,"待补价")+COUNTIFS(入库单!$G$4:$G$2503,$A331,入库单!$Y$4:$Y$2503,"暂估")&gt;0,"不可信","可信"))</f>
        <v/>
      </c>
      <c r="AA331" s="24">
        <f>IF($A331="","",IF($X331&lt;-0.001,"※账面负库存，查一下是不是漏记入库",IF(AND(ROUND($X331,3)=0,ABS($Y331)&gt;1),"※数量已经是 0，金额还挂着 "&amp;TEXT($Y331,"#,##0")&amp;" 先令",IF(AND($X331&gt;0,$Y331&lt;=0,$K331=0),"※有数量没金额（这个物料一直没填过进价）",IF($Z331="不可信","△成本含待补价/暂估，毛利仅供参考","")))))</f>
        <v/>
      </c>
    </row>
    <row r="332">
      <c r="A332" s="24">
        <f>IF(物料档案!$A331="","",物料档案!$A331)</f>
        <v/>
      </c>
      <c r="B332" s="24">
        <f>IF($A332="","",IFERROR(VLOOKUP($A332,物料档案!$A$4:$P$1203,3,0),""))</f>
        <v/>
      </c>
      <c r="C332" s="24">
        <f>IF($A332="","",IFERROR(VLOOKUP($A332,物料档案!$A$4:$P$1203,4,0),""))</f>
        <v/>
      </c>
      <c r="D332" s="24">
        <f>IF($A332="","",IFERROR(VLOOKUP($A332,物料档案!$A$4:$P$1203,5,0),""))</f>
        <v/>
      </c>
      <c r="E332" s="24">
        <f>IF($A332="","",IFERROR(VLOOKUP($A332,物料档案!$A$4:$P$1203,2,0),""))</f>
        <v/>
      </c>
      <c r="F332" s="24">
        <f>IF($A332="","",IFERROR(VLOOKUP($A332,物料档案!$A$4:$P$1203,6,0),""))</f>
        <v/>
      </c>
      <c r="G332" s="23" t="n"/>
      <c r="H332" s="32" t="n"/>
      <c r="I332" s="27">
        <f>IF($A332="","",SUMIFS(入库单!$K$4:$K$2503,入库单!$G$4:$G$2503,$A332,入库单!$X$4:$X$2503,"采购入库",入库单!$Z$4:$Z$2503,"正常",入库单!$C$4:$C$2503,"&gt;="&amp;账期起,入库单!$C$4:$C$2503,"&lt;="&amp;账期止))</f>
        <v/>
      </c>
      <c r="J332" s="26">
        <f>IF($A332="","",SUMIFS(入库单!$V$4:$V$2503,入库单!$G$4:$G$2503,$A332,入库单!$X$4:$X$2503,"采购入库",入库单!$Z$4:$Z$2503,"正常",入库单!$C$4:$C$2503,"&gt;="&amp;账期起,入库单!$C$4:$C$2503,"&lt;="&amp;账期止))</f>
        <v/>
      </c>
      <c r="K332" s="26">
        <f>IF($A332="","",IFERROR(ROUND((N($H332)+N($J332))/(N($G332)+N($I332)),2),0))</f>
        <v/>
      </c>
      <c r="L332" s="27">
        <f>IF($A332="","",SUMIFS(入库单!$K$4:$K$2503,入库单!$G$4:$G$2503,$A332,入库单!$X$4:$X$2503,"盘盈",入库单!$Z$4:$Z$2503,"正常",入库单!$C$4:$C$2503,"&gt;="&amp;账期起,入库单!$C$4:$C$2503,"&lt;="&amp;账期止))</f>
        <v/>
      </c>
      <c r="M332" s="26">
        <f>IF($A332="","",ROUND($L332*$K332,0))</f>
        <v/>
      </c>
      <c r="N332" s="27">
        <f>IF($A332="","",SUMIFS(入库单!$K$4:$K$2503,入库单!$G$4:$G$2503,$A332,入库单!$X$4:$X$2503,"矿区退库",入库单!$Z$4:$Z$2503,"正常",入库单!$C$4:$C$2503,"&gt;="&amp;账期起,入库单!$C$4:$C$2503,"&lt;="&amp;账期止))</f>
        <v/>
      </c>
      <c r="O332" s="26">
        <f>IF($A332="","",ROUND($N332*$K332,0))</f>
        <v/>
      </c>
      <c r="P332" s="27">
        <f>IF($A332="","",SUMIFS(出库单!$J$4:$J$4003,出库单!$D$4:$D$4003,$A332,出库单!$K$4:$K$4003,"自用消耗",出库单!$U$4:$U$4003,"正常",出库单!$C$4:$C$4003,"&gt;="&amp;账期起,出库单!$C$4:$C$4003,"&lt;="&amp;账期止))</f>
        <v/>
      </c>
      <c r="Q332" s="26">
        <f>IF($A332="","",ROUND(SUMIFS(出库单!$S$4:$S$4003,出库单!$D$4:$D$4003,$A332,出库单!$K$4:$K$4003,"自用消耗",出库单!$U$4:$U$4003,"正常",出库单!$C$4:$C$4003,"&gt;="&amp;账期起,出库单!$C$4:$C$4003,"&lt;="&amp;账期止),0))</f>
        <v/>
      </c>
      <c r="R332" s="27">
        <f>IF($A332="","",SUMIFS(出库单!$J$4:$J$4003,出库单!$D$4:$D$4003,$A332,出库单!$K$4:$K$4003,"对外销售",出库单!$U$4:$U$4003,"正常",出库单!$C$4:$C$4003,"&gt;="&amp;账期起,出库单!$C$4:$C$4003,"&lt;="&amp;账期止))</f>
        <v/>
      </c>
      <c r="S332" s="26">
        <f>IF($A332="","",ROUND(SUMIFS(出库单!$S$4:$S$4003,出库单!$D$4:$D$4003,$A332,出库单!$K$4:$K$4003,"对外销售",出库单!$U$4:$U$4003,"正常",出库单!$C$4:$C$4003,"&gt;="&amp;账期起,出库单!$C$4:$C$4003,"&lt;="&amp;账期止),0))</f>
        <v/>
      </c>
      <c r="T332" s="27">
        <f>IF($A332="","",SUMIFS(出库单!$J$4:$J$4003,出库单!$D$4:$D$4003,$A332,出库单!$K$4:$K$4003,"盘亏",出库单!$U$4:$U$4003,"正常",出库单!$C$4:$C$4003,"&gt;="&amp;账期起,出库单!$C$4:$C$4003,"&lt;="&amp;账期止))</f>
        <v/>
      </c>
      <c r="U332" s="26">
        <f>IF($A332="","",ROUND(SUMIFS(出库单!$S$4:$S$4003,出库单!$D$4:$D$4003,$A332,出库单!$K$4:$K$4003,"盘亏",出库单!$U$4:$U$4003,"正常",出库单!$C$4:$C$4003,"&gt;="&amp;账期起,出库单!$C$4:$C$4003,"&lt;="&amp;账期止),0))</f>
        <v/>
      </c>
      <c r="V332" s="27">
        <f>IF($A332="","",SUMIFS(出库单!$J$4:$J$4003,出库单!$D$4:$D$4003,$A332,出库单!$K$4:$K$4003,"退货给供应商",出库单!$U$4:$U$4003,"正常",出库单!$C$4:$C$4003,"&gt;="&amp;账期起,出库单!$C$4:$C$4003,"&lt;="&amp;账期止))</f>
        <v/>
      </c>
      <c r="W332" s="26">
        <f>IF($A332="","",ROUND(SUMIFS(出库单!$S$4:$S$4003,出库单!$D$4:$D$4003,$A332,出库单!$K$4:$K$4003,"退货给供应商",出库单!$U$4:$U$4003,"正常",出库单!$C$4:$C$4003,"&gt;="&amp;账期起,出库单!$C$4:$C$4003,"&lt;="&amp;账期止),0))</f>
        <v/>
      </c>
      <c r="X332" s="27">
        <f>IF($A332="","",ROUND(N($G332)+$I332+$L332+$N332-$P332-$R332-$T332-$V332,3))</f>
        <v/>
      </c>
      <c r="Y332" s="26">
        <f>IF($A332="","",ROUND(N($H332)+$J332+$M332+$O332-$Q332-$S332-$U332-$W332,0))</f>
        <v/>
      </c>
      <c r="Z332" s="24">
        <f>IF($A332="","",IF(COUNTIFS(入库单!$G$4:$G$2503,$A332,入库单!$Y$4:$Y$2503,"待补价")+COUNTIFS(入库单!$G$4:$G$2503,$A332,入库单!$Y$4:$Y$2503,"暂估")&gt;0,"不可信","可信"))</f>
        <v/>
      </c>
      <c r="AA332" s="24">
        <f>IF($A332="","",IF($X332&lt;-0.001,"※账面负库存，查一下是不是漏记入库",IF(AND(ROUND($X332,3)=0,ABS($Y332)&gt;1),"※数量已经是 0，金额还挂着 "&amp;TEXT($Y332,"#,##0")&amp;" 先令",IF(AND($X332&gt;0,$Y332&lt;=0,$K332=0),"※有数量没金额（这个物料一直没填过进价）",IF($Z332="不可信","△成本含待补价/暂估，毛利仅供参考","")))))</f>
        <v/>
      </c>
    </row>
    <row r="333">
      <c r="A333" s="24">
        <f>IF(物料档案!$A332="","",物料档案!$A332)</f>
        <v/>
      </c>
      <c r="B333" s="24">
        <f>IF($A333="","",IFERROR(VLOOKUP($A333,物料档案!$A$4:$P$1203,3,0),""))</f>
        <v/>
      </c>
      <c r="C333" s="24">
        <f>IF($A333="","",IFERROR(VLOOKUP($A333,物料档案!$A$4:$P$1203,4,0),""))</f>
        <v/>
      </c>
      <c r="D333" s="24">
        <f>IF($A333="","",IFERROR(VLOOKUP($A333,物料档案!$A$4:$P$1203,5,0),""))</f>
        <v/>
      </c>
      <c r="E333" s="24">
        <f>IF($A333="","",IFERROR(VLOOKUP($A333,物料档案!$A$4:$P$1203,2,0),""))</f>
        <v/>
      </c>
      <c r="F333" s="24">
        <f>IF($A333="","",IFERROR(VLOOKUP($A333,物料档案!$A$4:$P$1203,6,0),""))</f>
        <v/>
      </c>
      <c r="G333" s="23" t="n"/>
      <c r="H333" s="32" t="n"/>
      <c r="I333" s="27">
        <f>IF($A333="","",SUMIFS(入库单!$K$4:$K$2503,入库单!$G$4:$G$2503,$A333,入库单!$X$4:$X$2503,"采购入库",入库单!$Z$4:$Z$2503,"正常",入库单!$C$4:$C$2503,"&gt;="&amp;账期起,入库单!$C$4:$C$2503,"&lt;="&amp;账期止))</f>
        <v/>
      </c>
      <c r="J333" s="26">
        <f>IF($A333="","",SUMIFS(入库单!$V$4:$V$2503,入库单!$G$4:$G$2503,$A333,入库单!$X$4:$X$2503,"采购入库",入库单!$Z$4:$Z$2503,"正常",入库单!$C$4:$C$2503,"&gt;="&amp;账期起,入库单!$C$4:$C$2503,"&lt;="&amp;账期止))</f>
        <v/>
      </c>
      <c r="K333" s="26">
        <f>IF($A333="","",IFERROR(ROUND((N($H333)+N($J333))/(N($G333)+N($I333)),2),0))</f>
        <v/>
      </c>
      <c r="L333" s="27">
        <f>IF($A333="","",SUMIFS(入库单!$K$4:$K$2503,入库单!$G$4:$G$2503,$A333,入库单!$X$4:$X$2503,"盘盈",入库单!$Z$4:$Z$2503,"正常",入库单!$C$4:$C$2503,"&gt;="&amp;账期起,入库单!$C$4:$C$2503,"&lt;="&amp;账期止))</f>
        <v/>
      </c>
      <c r="M333" s="26">
        <f>IF($A333="","",ROUND($L333*$K333,0))</f>
        <v/>
      </c>
      <c r="N333" s="27">
        <f>IF($A333="","",SUMIFS(入库单!$K$4:$K$2503,入库单!$G$4:$G$2503,$A333,入库单!$X$4:$X$2503,"矿区退库",入库单!$Z$4:$Z$2503,"正常",入库单!$C$4:$C$2503,"&gt;="&amp;账期起,入库单!$C$4:$C$2503,"&lt;="&amp;账期止))</f>
        <v/>
      </c>
      <c r="O333" s="26">
        <f>IF($A333="","",ROUND($N333*$K333,0))</f>
        <v/>
      </c>
      <c r="P333" s="27">
        <f>IF($A333="","",SUMIFS(出库单!$J$4:$J$4003,出库单!$D$4:$D$4003,$A333,出库单!$K$4:$K$4003,"自用消耗",出库单!$U$4:$U$4003,"正常",出库单!$C$4:$C$4003,"&gt;="&amp;账期起,出库单!$C$4:$C$4003,"&lt;="&amp;账期止))</f>
        <v/>
      </c>
      <c r="Q333" s="26">
        <f>IF($A333="","",ROUND(SUMIFS(出库单!$S$4:$S$4003,出库单!$D$4:$D$4003,$A333,出库单!$K$4:$K$4003,"自用消耗",出库单!$U$4:$U$4003,"正常",出库单!$C$4:$C$4003,"&gt;="&amp;账期起,出库单!$C$4:$C$4003,"&lt;="&amp;账期止),0))</f>
        <v/>
      </c>
      <c r="R333" s="27">
        <f>IF($A333="","",SUMIFS(出库单!$J$4:$J$4003,出库单!$D$4:$D$4003,$A333,出库单!$K$4:$K$4003,"对外销售",出库单!$U$4:$U$4003,"正常",出库单!$C$4:$C$4003,"&gt;="&amp;账期起,出库单!$C$4:$C$4003,"&lt;="&amp;账期止))</f>
        <v/>
      </c>
      <c r="S333" s="26">
        <f>IF($A333="","",ROUND(SUMIFS(出库单!$S$4:$S$4003,出库单!$D$4:$D$4003,$A333,出库单!$K$4:$K$4003,"对外销售",出库单!$U$4:$U$4003,"正常",出库单!$C$4:$C$4003,"&gt;="&amp;账期起,出库单!$C$4:$C$4003,"&lt;="&amp;账期止),0))</f>
        <v/>
      </c>
      <c r="T333" s="27">
        <f>IF($A333="","",SUMIFS(出库单!$J$4:$J$4003,出库单!$D$4:$D$4003,$A333,出库单!$K$4:$K$4003,"盘亏",出库单!$U$4:$U$4003,"正常",出库单!$C$4:$C$4003,"&gt;="&amp;账期起,出库单!$C$4:$C$4003,"&lt;="&amp;账期止))</f>
        <v/>
      </c>
      <c r="U333" s="26">
        <f>IF($A333="","",ROUND(SUMIFS(出库单!$S$4:$S$4003,出库单!$D$4:$D$4003,$A333,出库单!$K$4:$K$4003,"盘亏",出库单!$U$4:$U$4003,"正常",出库单!$C$4:$C$4003,"&gt;="&amp;账期起,出库单!$C$4:$C$4003,"&lt;="&amp;账期止),0))</f>
        <v/>
      </c>
      <c r="V333" s="27">
        <f>IF($A333="","",SUMIFS(出库单!$J$4:$J$4003,出库单!$D$4:$D$4003,$A333,出库单!$K$4:$K$4003,"退货给供应商",出库单!$U$4:$U$4003,"正常",出库单!$C$4:$C$4003,"&gt;="&amp;账期起,出库单!$C$4:$C$4003,"&lt;="&amp;账期止))</f>
        <v/>
      </c>
      <c r="W333" s="26">
        <f>IF($A333="","",ROUND(SUMIFS(出库单!$S$4:$S$4003,出库单!$D$4:$D$4003,$A333,出库单!$K$4:$K$4003,"退货给供应商",出库单!$U$4:$U$4003,"正常",出库单!$C$4:$C$4003,"&gt;="&amp;账期起,出库单!$C$4:$C$4003,"&lt;="&amp;账期止),0))</f>
        <v/>
      </c>
      <c r="X333" s="27">
        <f>IF($A333="","",ROUND(N($G333)+$I333+$L333+$N333-$P333-$R333-$T333-$V333,3))</f>
        <v/>
      </c>
      <c r="Y333" s="26">
        <f>IF($A333="","",ROUND(N($H333)+$J333+$M333+$O333-$Q333-$S333-$U333-$W333,0))</f>
        <v/>
      </c>
      <c r="Z333" s="24">
        <f>IF($A333="","",IF(COUNTIFS(入库单!$G$4:$G$2503,$A333,入库单!$Y$4:$Y$2503,"待补价")+COUNTIFS(入库单!$G$4:$G$2503,$A333,入库单!$Y$4:$Y$2503,"暂估")&gt;0,"不可信","可信"))</f>
        <v/>
      </c>
      <c r="AA333" s="24">
        <f>IF($A333="","",IF($X333&lt;-0.001,"※账面负库存，查一下是不是漏记入库",IF(AND(ROUND($X333,3)=0,ABS($Y333)&gt;1),"※数量已经是 0，金额还挂着 "&amp;TEXT($Y333,"#,##0")&amp;" 先令",IF(AND($X333&gt;0,$Y333&lt;=0,$K333=0),"※有数量没金额（这个物料一直没填过进价）",IF($Z333="不可信","△成本含待补价/暂估，毛利仅供参考","")))))</f>
        <v/>
      </c>
    </row>
    <row r="334">
      <c r="A334" s="24">
        <f>IF(物料档案!$A333="","",物料档案!$A333)</f>
        <v/>
      </c>
      <c r="B334" s="24">
        <f>IF($A334="","",IFERROR(VLOOKUP($A334,物料档案!$A$4:$P$1203,3,0),""))</f>
        <v/>
      </c>
      <c r="C334" s="24">
        <f>IF($A334="","",IFERROR(VLOOKUP($A334,物料档案!$A$4:$P$1203,4,0),""))</f>
        <v/>
      </c>
      <c r="D334" s="24">
        <f>IF($A334="","",IFERROR(VLOOKUP($A334,物料档案!$A$4:$P$1203,5,0),""))</f>
        <v/>
      </c>
      <c r="E334" s="24">
        <f>IF($A334="","",IFERROR(VLOOKUP($A334,物料档案!$A$4:$P$1203,2,0),""))</f>
        <v/>
      </c>
      <c r="F334" s="24">
        <f>IF($A334="","",IFERROR(VLOOKUP($A334,物料档案!$A$4:$P$1203,6,0),""))</f>
        <v/>
      </c>
      <c r="G334" s="23" t="n"/>
      <c r="H334" s="32" t="n"/>
      <c r="I334" s="27">
        <f>IF($A334="","",SUMIFS(入库单!$K$4:$K$2503,入库单!$G$4:$G$2503,$A334,入库单!$X$4:$X$2503,"采购入库",入库单!$Z$4:$Z$2503,"正常",入库单!$C$4:$C$2503,"&gt;="&amp;账期起,入库单!$C$4:$C$2503,"&lt;="&amp;账期止))</f>
        <v/>
      </c>
      <c r="J334" s="26">
        <f>IF($A334="","",SUMIFS(入库单!$V$4:$V$2503,入库单!$G$4:$G$2503,$A334,入库单!$X$4:$X$2503,"采购入库",入库单!$Z$4:$Z$2503,"正常",入库单!$C$4:$C$2503,"&gt;="&amp;账期起,入库单!$C$4:$C$2503,"&lt;="&amp;账期止))</f>
        <v/>
      </c>
      <c r="K334" s="26">
        <f>IF($A334="","",IFERROR(ROUND((N($H334)+N($J334))/(N($G334)+N($I334)),2),0))</f>
        <v/>
      </c>
      <c r="L334" s="27">
        <f>IF($A334="","",SUMIFS(入库单!$K$4:$K$2503,入库单!$G$4:$G$2503,$A334,入库单!$X$4:$X$2503,"盘盈",入库单!$Z$4:$Z$2503,"正常",入库单!$C$4:$C$2503,"&gt;="&amp;账期起,入库单!$C$4:$C$2503,"&lt;="&amp;账期止))</f>
        <v/>
      </c>
      <c r="M334" s="26">
        <f>IF($A334="","",ROUND($L334*$K334,0))</f>
        <v/>
      </c>
      <c r="N334" s="27">
        <f>IF($A334="","",SUMIFS(入库单!$K$4:$K$2503,入库单!$G$4:$G$2503,$A334,入库单!$X$4:$X$2503,"矿区退库",入库单!$Z$4:$Z$2503,"正常",入库单!$C$4:$C$2503,"&gt;="&amp;账期起,入库单!$C$4:$C$2503,"&lt;="&amp;账期止))</f>
        <v/>
      </c>
      <c r="O334" s="26">
        <f>IF($A334="","",ROUND($N334*$K334,0))</f>
        <v/>
      </c>
      <c r="P334" s="27">
        <f>IF($A334="","",SUMIFS(出库单!$J$4:$J$4003,出库单!$D$4:$D$4003,$A334,出库单!$K$4:$K$4003,"自用消耗",出库单!$U$4:$U$4003,"正常",出库单!$C$4:$C$4003,"&gt;="&amp;账期起,出库单!$C$4:$C$4003,"&lt;="&amp;账期止))</f>
        <v/>
      </c>
      <c r="Q334" s="26">
        <f>IF($A334="","",ROUND(SUMIFS(出库单!$S$4:$S$4003,出库单!$D$4:$D$4003,$A334,出库单!$K$4:$K$4003,"自用消耗",出库单!$U$4:$U$4003,"正常",出库单!$C$4:$C$4003,"&gt;="&amp;账期起,出库单!$C$4:$C$4003,"&lt;="&amp;账期止),0))</f>
        <v/>
      </c>
      <c r="R334" s="27">
        <f>IF($A334="","",SUMIFS(出库单!$J$4:$J$4003,出库单!$D$4:$D$4003,$A334,出库单!$K$4:$K$4003,"对外销售",出库单!$U$4:$U$4003,"正常",出库单!$C$4:$C$4003,"&gt;="&amp;账期起,出库单!$C$4:$C$4003,"&lt;="&amp;账期止))</f>
        <v/>
      </c>
      <c r="S334" s="26">
        <f>IF($A334="","",ROUND(SUMIFS(出库单!$S$4:$S$4003,出库单!$D$4:$D$4003,$A334,出库单!$K$4:$K$4003,"对外销售",出库单!$U$4:$U$4003,"正常",出库单!$C$4:$C$4003,"&gt;="&amp;账期起,出库单!$C$4:$C$4003,"&lt;="&amp;账期止),0))</f>
        <v/>
      </c>
      <c r="T334" s="27">
        <f>IF($A334="","",SUMIFS(出库单!$J$4:$J$4003,出库单!$D$4:$D$4003,$A334,出库单!$K$4:$K$4003,"盘亏",出库单!$U$4:$U$4003,"正常",出库单!$C$4:$C$4003,"&gt;="&amp;账期起,出库单!$C$4:$C$4003,"&lt;="&amp;账期止))</f>
        <v/>
      </c>
      <c r="U334" s="26">
        <f>IF($A334="","",ROUND(SUMIFS(出库单!$S$4:$S$4003,出库单!$D$4:$D$4003,$A334,出库单!$K$4:$K$4003,"盘亏",出库单!$U$4:$U$4003,"正常",出库单!$C$4:$C$4003,"&gt;="&amp;账期起,出库单!$C$4:$C$4003,"&lt;="&amp;账期止),0))</f>
        <v/>
      </c>
      <c r="V334" s="27">
        <f>IF($A334="","",SUMIFS(出库单!$J$4:$J$4003,出库单!$D$4:$D$4003,$A334,出库单!$K$4:$K$4003,"退货给供应商",出库单!$U$4:$U$4003,"正常",出库单!$C$4:$C$4003,"&gt;="&amp;账期起,出库单!$C$4:$C$4003,"&lt;="&amp;账期止))</f>
        <v/>
      </c>
      <c r="W334" s="26">
        <f>IF($A334="","",ROUND(SUMIFS(出库单!$S$4:$S$4003,出库单!$D$4:$D$4003,$A334,出库单!$K$4:$K$4003,"退货给供应商",出库单!$U$4:$U$4003,"正常",出库单!$C$4:$C$4003,"&gt;="&amp;账期起,出库单!$C$4:$C$4003,"&lt;="&amp;账期止),0))</f>
        <v/>
      </c>
      <c r="X334" s="27">
        <f>IF($A334="","",ROUND(N($G334)+$I334+$L334+$N334-$P334-$R334-$T334-$V334,3))</f>
        <v/>
      </c>
      <c r="Y334" s="26">
        <f>IF($A334="","",ROUND(N($H334)+$J334+$M334+$O334-$Q334-$S334-$U334-$W334,0))</f>
        <v/>
      </c>
      <c r="Z334" s="24">
        <f>IF($A334="","",IF(COUNTIFS(入库单!$G$4:$G$2503,$A334,入库单!$Y$4:$Y$2503,"待补价")+COUNTIFS(入库单!$G$4:$G$2503,$A334,入库单!$Y$4:$Y$2503,"暂估")&gt;0,"不可信","可信"))</f>
        <v/>
      </c>
      <c r="AA334" s="24">
        <f>IF($A334="","",IF($X334&lt;-0.001,"※账面负库存，查一下是不是漏记入库",IF(AND(ROUND($X334,3)=0,ABS($Y334)&gt;1),"※数量已经是 0，金额还挂着 "&amp;TEXT($Y334,"#,##0")&amp;" 先令",IF(AND($X334&gt;0,$Y334&lt;=0,$K334=0),"※有数量没金额（这个物料一直没填过进价）",IF($Z334="不可信","△成本含待补价/暂估，毛利仅供参考","")))))</f>
        <v/>
      </c>
    </row>
    <row r="335">
      <c r="A335" s="24">
        <f>IF(物料档案!$A334="","",物料档案!$A334)</f>
        <v/>
      </c>
      <c r="B335" s="24">
        <f>IF($A335="","",IFERROR(VLOOKUP($A335,物料档案!$A$4:$P$1203,3,0),""))</f>
        <v/>
      </c>
      <c r="C335" s="24">
        <f>IF($A335="","",IFERROR(VLOOKUP($A335,物料档案!$A$4:$P$1203,4,0),""))</f>
        <v/>
      </c>
      <c r="D335" s="24">
        <f>IF($A335="","",IFERROR(VLOOKUP($A335,物料档案!$A$4:$P$1203,5,0),""))</f>
        <v/>
      </c>
      <c r="E335" s="24">
        <f>IF($A335="","",IFERROR(VLOOKUP($A335,物料档案!$A$4:$P$1203,2,0),""))</f>
        <v/>
      </c>
      <c r="F335" s="24">
        <f>IF($A335="","",IFERROR(VLOOKUP($A335,物料档案!$A$4:$P$1203,6,0),""))</f>
        <v/>
      </c>
      <c r="G335" s="23" t="n"/>
      <c r="H335" s="32" t="n"/>
      <c r="I335" s="27">
        <f>IF($A335="","",SUMIFS(入库单!$K$4:$K$2503,入库单!$G$4:$G$2503,$A335,入库单!$X$4:$X$2503,"采购入库",入库单!$Z$4:$Z$2503,"正常",入库单!$C$4:$C$2503,"&gt;="&amp;账期起,入库单!$C$4:$C$2503,"&lt;="&amp;账期止))</f>
        <v/>
      </c>
      <c r="J335" s="26">
        <f>IF($A335="","",SUMIFS(入库单!$V$4:$V$2503,入库单!$G$4:$G$2503,$A335,入库单!$X$4:$X$2503,"采购入库",入库单!$Z$4:$Z$2503,"正常",入库单!$C$4:$C$2503,"&gt;="&amp;账期起,入库单!$C$4:$C$2503,"&lt;="&amp;账期止))</f>
        <v/>
      </c>
      <c r="K335" s="26">
        <f>IF($A335="","",IFERROR(ROUND((N($H335)+N($J335))/(N($G335)+N($I335)),2),0))</f>
        <v/>
      </c>
      <c r="L335" s="27">
        <f>IF($A335="","",SUMIFS(入库单!$K$4:$K$2503,入库单!$G$4:$G$2503,$A335,入库单!$X$4:$X$2503,"盘盈",入库单!$Z$4:$Z$2503,"正常",入库单!$C$4:$C$2503,"&gt;="&amp;账期起,入库单!$C$4:$C$2503,"&lt;="&amp;账期止))</f>
        <v/>
      </c>
      <c r="M335" s="26">
        <f>IF($A335="","",ROUND($L335*$K335,0))</f>
        <v/>
      </c>
      <c r="N335" s="27">
        <f>IF($A335="","",SUMIFS(入库单!$K$4:$K$2503,入库单!$G$4:$G$2503,$A335,入库单!$X$4:$X$2503,"矿区退库",入库单!$Z$4:$Z$2503,"正常",入库单!$C$4:$C$2503,"&gt;="&amp;账期起,入库单!$C$4:$C$2503,"&lt;="&amp;账期止))</f>
        <v/>
      </c>
      <c r="O335" s="26">
        <f>IF($A335="","",ROUND($N335*$K335,0))</f>
        <v/>
      </c>
      <c r="P335" s="27">
        <f>IF($A335="","",SUMIFS(出库单!$J$4:$J$4003,出库单!$D$4:$D$4003,$A335,出库单!$K$4:$K$4003,"自用消耗",出库单!$U$4:$U$4003,"正常",出库单!$C$4:$C$4003,"&gt;="&amp;账期起,出库单!$C$4:$C$4003,"&lt;="&amp;账期止))</f>
        <v/>
      </c>
      <c r="Q335" s="26">
        <f>IF($A335="","",ROUND(SUMIFS(出库单!$S$4:$S$4003,出库单!$D$4:$D$4003,$A335,出库单!$K$4:$K$4003,"自用消耗",出库单!$U$4:$U$4003,"正常",出库单!$C$4:$C$4003,"&gt;="&amp;账期起,出库单!$C$4:$C$4003,"&lt;="&amp;账期止),0))</f>
        <v/>
      </c>
      <c r="R335" s="27">
        <f>IF($A335="","",SUMIFS(出库单!$J$4:$J$4003,出库单!$D$4:$D$4003,$A335,出库单!$K$4:$K$4003,"对外销售",出库单!$U$4:$U$4003,"正常",出库单!$C$4:$C$4003,"&gt;="&amp;账期起,出库单!$C$4:$C$4003,"&lt;="&amp;账期止))</f>
        <v/>
      </c>
      <c r="S335" s="26">
        <f>IF($A335="","",ROUND(SUMIFS(出库单!$S$4:$S$4003,出库单!$D$4:$D$4003,$A335,出库单!$K$4:$K$4003,"对外销售",出库单!$U$4:$U$4003,"正常",出库单!$C$4:$C$4003,"&gt;="&amp;账期起,出库单!$C$4:$C$4003,"&lt;="&amp;账期止),0))</f>
        <v/>
      </c>
      <c r="T335" s="27">
        <f>IF($A335="","",SUMIFS(出库单!$J$4:$J$4003,出库单!$D$4:$D$4003,$A335,出库单!$K$4:$K$4003,"盘亏",出库单!$U$4:$U$4003,"正常",出库单!$C$4:$C$4003,"&gt;="&amp;账期起,出库单!$C$4:$C$4003,"&lt;="&amp;账期止))</f>
        <v/>
      </c>
      <c r="U335" s="26">
        <f>IF($A335="","",ROUND(SUMIFS(出库单!$S$4:$S$4003,出库单!$D$4:$D$4003,$A335,出库单!$K$4:$K$4003,"盘亏",出库单!$U$4:$U$4003,"正常",出库单!$C$4:$C$4003,"&gt;="&amp;账期起,出库单!$C$4:$C$4003,"&lt;="&amp;账期止),0))</f>
        <v/>
      </c>
      <c r="V335" s="27">
        <f>IF($A335="","",SUMIFS(出库单!$J$4:$J$4003,出库单!$D$4:$D$4003,$A335,出库单!$K$4:$K$4003,"退货给供应商",出库单!$U$4:$U$4003,"正常",出库单!$C$4:$C$4003,"&gt;="&amp;账期起,出库单!$C$4:$C$4003,"&lt;="&amp;账期止))</f>
        <v/>
      </c>
      <c r="W335" s="26">
        <f>IF($A335="","",ROUND(SUMIFS(出库单!$S$4:$S$4003,出库单!$D$4:$D$4003,$A335,出库单!$K$4:$K$4003,"退货给供应商",出库单!$U$4:$U$4003,"正常",出库单!$C$4:$C$4003,"&gt;="&amp;账期起,出库单!$C$4:$C$4003,"&lt;="&amp;账期止),0))</f>
        <v/>
      </c>
      <c r="X335" s="27">
        <f>IF($A335="","",ROUND(N($G335)+$I335+$L335+$N335-$P335-$R335-$T335-$V335,3))</f>
        <v/>
      </c>
      <c r="Y335" s="26">
        <f>IF($A335="","",ROUND(N($H335)+$J335+$M335+$O335-$Q335-$S335-$U335-$W335,0))</f>
        <v/>
      </c>
      <c r="Z335" s="24">
        <f>IF($A335="","",IF(COUNTIFS(入库单!$G$4:$G$2503,$A335,入库单!$Y$4:$Y$2503,"待补价")+COUNTIFS(入库单!$G$4:$G$2503,$A335,入库单!$Y$4:$Y$2503,"暂估")&gt;0,"不可信","可信"))</f>
        <v/>
      </c>
      <c r="AA335" s="24">
        <f>IF($A335="","",IF($X335&lt;-0.001,"※账面负库存，查一下是不是漏记入库",IF(AND(ROUND($X335,3)=0,ABS($Y335)&gt;1),"※数量已经是 0，金额还挂着 "&amp;TEXT($Y335,"#,##0")&amp;" 先令",IF(AND($X335&gt;0,$Y335&lt;=0,$K335=0),"※有数量没金额（这个物料一直没填过进价）",IF($Z335="不可信","△成本含待补价/暂估，毛利仅供参考","")))))</f>
        <v/>
      </c>
    </row>
    <row r="336">
      <c r="A336" s="24">
        <f>IF(物料档案!$A335="","",物料档案!$A335)</f>
        <v/>
      </c>
      <c r="B336" s="24">
        <f>IF($A336="","",IFERROR(VLOOKUP($A336,物料档案!$A$4:$P$1203,3,0),""))</f>
        <v/>
      </c>
      <c r="C336" s="24">
        <f>IF($A336="","",IFERROR(VLOOKUP($A336,物料档案!$A$4:$P$1203,4,0),""))</f>
        <v/>
      </c>
      <c r="D336" s="24">
        <f>IF($A336="","",IFERROR(VLOOKUP($A336,物料档案!$A$4:$P$1203,5,0),""))</f>
        <v/>
      </c>
      <c r="E336" s="24">
        <f>IF($A336="","",IFERROR(VLOOKUP($A336,物料档案!$A$4:$P$1203,2,0),""))</f>
        <v/>
      </c>
      <c r="F336" s="24">
        <f>IF($A336="","",IFERROR(VLOOKUP($A336,物料档案!$A$4:$P$1203,6,0),""))</f>
        <v/>
      </c>
      <c r="G336" s="23" t="n"/>
      <c r="H336" s="32" t="n"/>
      <c r="I336" s="27">
        <f>IF($A336="","",SUMIFS(入库单!$K$4:$K$2503,入库单!$G$4:$G$2503,$A336,入库单!$X$4:$X$2503,"采购入库",入库单!$Z$4:$Z$2503,"正常",入库单!$C$4:$C$2503,"&gt;="&amp;账期起,入库单!$C$4:$C$2503,"&lt;="&amp;账期止))</f>
        <v/>
      </c>
      <c r="J336" s="26">
        <f>IF($A336="","",SUMIFS(入库单!$V$4:$V$2503,入库单!$G$4:$G$2503,$A336,入库单!$X$4:$X$2503,"采购入库",入库单!$Z$4:$Z$2503,"正常",入库单!$C$4:$C$2503,"&gt;="&amp;账期起,入库单!$C$4:$C$2503,"&lt;="&amp;账期止))</f>
        <v/>
      </c>
      <c r="K336" s="26">
        <f>IF($A336="","",IFERROR(ROUND((N($H336)+N($J336))/(N($G336)+N($I336)),2),0))</f>
        <v/>
      </c>
      <c r="L336" s="27">
        <f>IF($A336="","",SUMIFS(入库单!$K$4:$K$2503,入库单!$G$4:$G$2503,$A336,入库单!$X$4:$X$2503,"盘盈",入库单!$Z$4:$Z$2503,"正常",入库单!$C$4:$C$2503,"&gt;="&amp;账期起,入库单!$C$4:$C$2503,"&lt;="&amp;账期止))</f>
        <v/>
      </c>
      <c r="M336" s="26">
        <f>IF($A336="","",ROUND($L336*$K336,0))</f>
        <v/>
      </c>
      <c r="N336" s="27">
        <f>IF($A336="","",SUMIFS(入库单!$K$4:$K$2503,入库单!$G$4:$G$2503,$A336,入库单!$X$4:$X$2503,"矿区退库",入库单!$Z$4:$Z$2503,"正常",入库单!$C$4:$C$2503,"&gt;="&amp;账期起,入库单!$C$4:$C$2503,"&lt;="&amp;账期止))</f>
        <v/>
      </c>
      <c r="O336" s="26">
        <f>IF($A336="","",ROUND($N336*$K336,0))</f>
        <v/>
      </c>
      <c r="P336" s="27">
        <f>IF($A336="","",SUMIFS(出库单!$J$4:$J$4003,出库单!$D$4:$D$4003,$A336,出库单!$K$4:$K$4003,"自用消耗",出库单!$U$4:$U$4003,"正常",出库单!$C$4:$C$4003,"&gt;="&amp;账期起,出库单!$C$4:$C$4003,"&lt;="&amp;账期止))</f>
        <v/>
      </c>
      <c r="Q336" s="26">
        <f>IF($A336="","",ROUND(SUMIFS(出库单!$S$4:$S$4003,出库单!$D$4:$D$4003,$A336,出库单!$K$4:$K$4003,"自用消耗",出库单!$U$4:$U$4003,"正常",出库单!$C$4:$C$4003,"&gt;="&amp;账期起,出库单!$C$4:$C$4003,"&lt;="&amp;账期止),0))</f>
        <v/>
      </c>
      <c r="R336" s="27">
        <f>IF($A336="","",SUMIFS(出库单!$J$4:$J$4003,出库单!$D$4:$D$4003,$A336,出库单!$K$4:$K$4003,"对外销售",出库单!$U$4:$U$4003,"正常",出库单!$C$4:$C$4003,"&gt;="&amp;账期起,出库单!$C$4:$C$4003,"&lt;="&amp;账期止))</f>
        <v/>
      </c>
      <c r="S336" s="26">
        <f>IF($A336="","",ROUND(SUMIFS(出库单!$S$4:$S$4003,出库单!$D$4:$D$4003,$A336,出库单!$K$4:$K$4003,"对外销售",出库单!$U$4:$U$4003,"正常",出库单!$C$4:$C$4003,"&gt;="&amp;账期起,出库单!$C$4:$C$4003,"&lt;="&amp;账期止),0))</f>
        <v/>
      </c>
      <c r="T336" s="27">
        <f>IF($A336="","",SUMIFS(出库单!$J$4:$J$4003,出库单!$D$4:$D$4003,$A336,出库单!$K$4:$K$4003,"盘亏",出库单!$U$4:$U$4003,"正常",出库单!$C$4:$C$4003,"&gt;="&amp;账期起,出库单!$C$4:$C$4003,"&lt;="&amp;账期止))</f>
        <v/>
      </c>
      <c r="U336" s="26">
        <f>IF($A336="","",ROUND(SUMIFS(出库单!$S$4:$S$4003,出库单!$D$4:$D$4003,$A336,出库单!$K$4:$K$4003,"盘亏",出库单!$U$4:$U$4003,"正常",出库单!$C$4:$C$4003,"&gt;="&amp;账期起,出库单!$C$4:$C$4003,"&lt;="&amp;账期止),0))</f>
        <v/>
      </c>
      <c r="V336" s="27">
        <f>IF($A336="","",SUMIFS(出库单!$J$4:$J$4003,出库单!$D$4:$D$4003,$A336,出库单!$K$4:$K$4003,"退货给供应商",出库单!$U$4:$U$4003,"正常",出库单!$C$4:$C$4003,"&gt;="&amp;账期起,出库单!$C$4:$C$4003,"&lt;="&amp;账期止))</f>
        <v/>
      </c>
      <c r="W336" s="26">
        <f>IF($A336="","",ROUND(SUMIFS(出库单!$S$4:$S$4003,出库单!$D$4:$D$4003,$A336,出库单!$K$4:$K$4003,"退货给供应商",出库单!$U$4:$U$4003,"正常",出库单!$C$4:$C$4003,"&gt;="&amp;账期起,出库单!$C$4:$C$4003,"&lt;="&amp;账期止),0))</f>
        <v/>
      </c>
      <c r="X336" s="27">
        <f>IF($A336="","",ROUND(N($G336)+$I336+$L336+$N336-$P336-$R336-$T336-$V336,3))</f>
        <v/>
      </c>
      <c r="Y336" s="26">
        <f>IF($A336="","",ROUND(N($H336)+$J336+$M336+$O336-$Q336-$S336-$U336-$W336,0))</f>
        <v/>
      </c>
      <c r="Z336" s="24">
        <f>IF($A336="","",IF(COUNTIFS(入库单!$G$4:$G$2503,$A336,入库单!$Y$4:$Y$2503,"待补价")+COUNTIFS(入库单!$G$4:$G$2503,$A336,入库单!$Y$4:$Y$2503,"暂估")&gt;0,"不可信","可信"))</f>
        <v/>
      </c>
      <c r="AA336" s="24">
        <f>IF($A336="","",IF($X336&lt;-0.001,"※账面负库存，查一下是不是漏记入库",IF(AND(ROUND($X336,3)=0,ABS($Y336)&gt;1),"※数量已经是 0，金额还挂着 "&amp;TEXT($Y336,"#,##0")&amp;" 先令",IF(AND($X336&gt;0,$Y336&lt;=0,$K336=0),"※有数量没金额（这个物料一直没填过进价）",IF($Z336="不可信","△成本含待补价/暂估，毛利仅供参考","")))))</f>
        <v/>
      </c>
    </row>
    <row r="337">
      <c r="A337" s="24">
        <f>IF(物料档案!$A336="","",物料档案!$A336)</f>
        <v/>
      </c>
      <c r="B337" s="24">
        <f>IF($A337="","",IFERROR(VLOOKUP($A337,物料档案!$A$4:$P$1203,3,0),""))</f>
        <v/>
      </c>
      <c r="C337" s="24">
        <f>IF($A337="","",IFERROR(VLOOKUP($A337,物料档案!$A$4:$P$1203,4,0),""))</f>
        <v/>
      </c>
      <c r="D337" s="24">
        <f>IF($A337="","",IFERROR(VLOOKUP($A337,物料档案!$A$4:$P$1203,5,0),""))</f>
        <v/>
      </c>
      <c r="E337" s="24">
        <f>IF($A337="","",IFERROR(VLOOKUP($A337,物料档案!$A$4:$P$1203,2,0),""))</f>
        <v/>
      </c>
      <c r="F337" s="24">
        <f>IF($A337="","",IFERROR(VLOOKUP($A337,物料档案!$A$4:$P$1203,6,0),""))</f>
        <v/>
      </c>
      <c r="G337" s="23" t="n"/>
      <c r="H337" s="32" t="n"/>
      <c r="I337" s="27">
        <f>IF($A337="","",SUMIFS(入库单!$K$4:$K$2503,入库单!$G$4:$G$2503,$A337,入库单!$X$4:$X$2503,"采购入库",入库单!$Z$4:$Z$2503,"正常",入库单!$C$4:$C$2503,"&gt;="&amp;账期起,入库单!$C$4:$C$2503,"&lt;="&amp;账期止))</f>
        <v/>
      </c>
      <c r="J337" s="26">
        <f>IF($A337="","",SUMIFS(入库单!$V$4:$V$2503,入库单!$G$4:$G$2503,$A337,入库单!$X$4:$X$2503,"采购入库",入库单!$Z$4:$Z$2503,"正常",入库单!$C$4:$C$2503,"&gt;="&amp;账期起,入库单!$C$4:$C$2503,"&lt;="&amp;账期止))</f>
        <v/>
      </c>
      <c r="K337" s="26">
        <f>IF($A337="","",IFERROR(ROUND((N($H337)+N($J337))/(N($G337)+N($I337)),2),0))</f>
        <v/>
      </c>
      <c r="L337" s="27">
        <f>IF($A337="","",SUMIFS(入库单!$K$4:$K$2503,入库单!$G$4:$G$2503,$A337,入库单!$X$4:$X$2503,"盘盈",入库单!$Z$4:$Z$2503,"正常",入库单!$C$4:$C$2503,"&gt;="&amp;账期起,入库单!$C$4:$C$2503,"&lt;="&amp;账期止))</f>
        <v/>
      </c>
      <c r="M337" s="26">
        <f>IF($A337="","",ROUND($L337*$K337,0))</f>
        <v/>
      </c>
      <c r="N337" s="27">
        <f>IF($A337="","",SUMIFS(入库单!$K$4:$K$2503,入库单!$G$4:$G$2503,$A337,入库单!$X$4:$X$2503,"矿区退库",入库单!$Z$4:$Z$2503,"正常",入库单!$C$4:$C$2503,"&gt;="&amp;账期起,入库单!$C$4:$C$2503,"&lt;="&amp;账期止))</f>
        <v/>
      </c>
      <c r="O337" s="26">
        <f>IF($A337="","",ROUND($N337*$K337,0))</f>
        <v/>
      </c>
      <c r="P337" s="27">
        <f>IF($A337="","",SUMIFS(出库单!$J$4:$J$4003,出库单!$D$4:$D$4003,$A337,出库单!$K$4:$K$4003,"自用消耗",出库单!$U$4:$U$4003,"正常",出库单!$C$4:$C$4003,"&gt;="&amp;账期起,出库单!$C$4:$C$4003,"&lt;="&amp;账期止))</f>
        <v/>
      </c>
      <c r="Q337" s="26">
        <f>IF($A337="","",ROUND(SUMIFS(出库单!$S$4:$S$4003,出库单!$D$4:$D$4003,$A337,出库单!$K$4:$K$4003,"自用消耗",出库单!$U$4:$U$4003,"正常",出库单!$C$4:$C$4003,"&gt;="&amp;账期起,出库单!$C$4:$C$4003,"&lt;="&amp;账期止),0))</f>
        <v/>
      </c>
      <c r="R337" s="27">
        <f>IF($A337="","",SUMIFS(出库单!$J$4:$J$4003,出库单!$D$4:$D$4003,$A337,出库单!$K$4:$K$4003,"对外销售",出库单!$U$4:$U$4003,"正常",出库单!$C$4:$C$4003,"&gt;="&amp;账期起,出库单!$C$4:$C$4003,"&lt;="&amp;账期止))</f>
        <v/>
      </c>
      <c r="S337" s="26">
        <f>IF($A337="","",ROUND(SUMIFS(出库单!$S$4:$S$4003,出库单!$D$4:$D$4003,$A337,出库单!$K$4:$K$4003,"对外销售",出库单!$U$4:$U$4003,"正常",出库单!$C$4:$C$4003,"&gt;="&amp;账期起,出库单!$C$4:$C$4003,"&lt;="&amp;账期止),0))</f>
        <v/>
      </c>
      <c r="T337" s="27">
        <f>IF($A337="","",SUMIFS(出库单!$J$4:$J$4003,出库单!$D$4:$D$4003,$A337,出库单!$K$4:$K$4003,"盘亏",出库单!$U$4:$U$4003,"正常",出库单!$C$4:$C$4003,"&gt;="&amp;账期起,出库单!$C$4:$C$4003,"&lt;="&amp;账期止))</f>
        <v/>
      </c>
      <c r="U337" s="26">
        <f>IF($A337="","",ROUND(SUMIFS(出库单!$S$4:$S$4003,出库单!$D$4:$D$4003,$A337,出库单!$K$4:$K$4003,"盘亏",出库单!$U$4:$U$4003,"正常",出库单!$C$4:$C$4003,"&gt;="&amp;账期起,出库单!$C$4:$C$4003,"&lt;="&amp;账期止),0))</f>
        <v/>
      </c>
      <c r="V337" s="27">
        <f>IF($A337="","",SUMIFS(出库单!$J$4:$J$4003,出库单!$D$4:$D$4003,$A337,出库单!$K$4:$K$4003,"退货给供应商",出库单!$U$4:$U$4003,"正常",出库单!$C$4:$C$4003,"&gt;="&amp;账期起,出库单!$C$4:$C$4003,"&lt;="&amp;账期止))</f>
        <v/>
      </c>
      <c r="W337" s="26">
        <f>IF($A337="","",ROUND(SUMIFS(出库单!$S$4:$S$4003,出库单!$D$4:$D$4003,$A337,出库单!$K$4:$K$4003,"退货给供应商",出库单!$U$4:$U$4003,"正常",出库单!$C$4:$C$4003,"&gt;="&amp;账期起,出库单!$C$4:$C$4003,"&lt;="&amp;账期止),0))</f>
        <v/>
      </c>
      <c r="X337" s="27">
        <f>IF($A337="","",ROUND(N($G337)+$I337+$L337+$N337-$P337-$R337-$T337-$V337,3))</f>
        <v/>
      </c>
      <c r="Y337" s="26">
        <f>IF($A337="","",ROUND(N($H337)+$J337+$M337+$O337-$Q337-$S337-$U337-$W337,0))</f>
        <v/>
      </c>
      <c r="Z337" s="24">
        <f>IF($A337="","",IF(COUNTIFS(入库单!$G$4:$G$2503,$A337,入库单!$Y$4:$Y$2503,"待补价")+COUNTIFS(入库单!$G$4:$G$2503,$A337,入库单!$Y$4:$Y$2503,"暂估")&gt;0,"不可信","可信"))</f>
        <v/>
      </c>
      <c r="AA337" s="24">
        <f>IF($A337="","",IF($X337&lt;-0.001,"※账面负库存，查一下是不是漏记入库",IF(AND(ROUND($X337,3)=0,ABS($Y337)&gt;1),"※数量已经是 0，金额还挂着 "&amp;TEXT($Y337,"#,##0")&amp;" 先令",IF(AND($X337&gt;0,$Y337&lt;=0,$K337=0),"※有数量没金额（这个物料一直没填过进价）",IF($Z337="不可信","△成本含待补价/暂估，毛利仅供参考","")))))</f>
        <v/>
      </c>
    </row>
    <row r="338">
      <c r="A338" s="24">
        <f>IF(物料档案!$A337="","",物料档案!$A337)</f>
        <v/>
      </c>
      <c r="B338" s="24">
        <f>IF($A338="","",IFERROR(VLOOKUP($A338,物料档案!$A$4:$P$1203,3,0),""))</f>
        <v/>
      </c>
      <c r="C338" s="24">
        <f>IF($A338="","",IFERROR(VLOOKUP($A338,物料档案!$A$4:$P$1203,4,0),""))</f>
        <v/>
      </c>
      <c r="D338" s="24">
        <f>IF($A338="","",IFERROR(VLOOKUP($A338,物料档案!$A$4:$P$1203,5,0),""))</f>
        <v/>
      </c>
      <c r="E338" s="24">
        <f>IF($A338="","",IFERROR(VLOOKUP($A338,物料档案!$A$4:$P$1203,2,0),""))</f>
        <v/>
      </c>
      <c r="F338" s="24">
        <f>IF($A338="","",IFERROR(VLOOKUP($A338,物料档案!$A$4:$P$1203,6,0),""))</f>
        <v/>
      </c>
      <c r="G338" s="23" t="n"/>
      <c r="H338" s="32" t="n"/>
      <c r="I338" s="27">
        <f>IF($A338="","",SUMIFS(入库单!$K$4:$K$2503,入库单!$G$4:$G$2503,$A338,入库单!$X$4:$X$2503,"采购入库",入库单!$Z$4:$Z$2503,"正常",入库单!$C$4:$C$2503,"&gt;="&amp;账期起,入库单!$C$4:$C$2503,"&lt;="&amp;账期止))</f>
        <v/>
      </c>
      <c r="J338" s="26">
        <f>IF($A338="","",SUMIFS(入库单!$V$4:$V$2503,入库单!$G$4:$G$2503,$A338,入库单!$X$4:$X$2503,"采购入库",入库单!$Z$4:$Z$2503,"正常",入库单!$C$4:$C$2503,"&gt;="&amp;账期起,入库单!$C$4:$C$2503,"&lt;="&amp;账期止))</f>
        <v/>
      </c>
      <c r="K338" s="26">
        <f>IF($A338="","",IFERROR(ROUND((N($H338)+N($J338))/(N($G338)+N($I338)),2),0))</f>
        <v/>
      </c>
      <c r="L338" s="27">
        <f>IF($A338="","",SUMIFS(入库单!$K$4:$K$2503,入库单!$G$4:$G$2503,$A338,入库单!$X$4:$X$2503,"盘盈",入库单!$Z$4:$Z$2503,"正常",入库单!$C$4:$C$2503,"&gt;="&amp;账期起,入库单!$C$4:$C$2503,"&lt;="&amp;账期止))</f>
        <v/>
      </c>
      <c r="M338" s="26">
        <f>IF($A338="","",ROUND($L338*$K338,0))</f>
        <v/>
      </c>
      <c r="N338" s="27">
        <f>IF($A338="","",SUMIFS(入库单!$K$4:$K$2503,入库单!$G$4:$G$2503,$A338,入库单!$X$4:$X$2503,"矿区退库",入库单!$Z$4:$Z$2503,"正常",入库单!$C$4:$C$2503,"&gt;="&amp;账期起,入库单!$C$4:$C$2503,"&lt;="&amp;账期止))</f>
        <v/>
      </c>
      <c r="O338" s="26">
        <f>IF($A338="","",ROUND($N338*$K338,0))</f>
        <v/>
      </c>
      <c r="P338" s="27">
        <f>IF($A338="","",SUMIFS(出库单!$J$4:$J$4003,出库单!$D$4:$D$4003,$A338,出库单!$K$4:$K$4003,"自用消耗",出库单!$U$4:$U$4003,"正常",出库单!$C$4:$C$4003,"&gt;="&amp;账期起,出库单!$C$4:$C$4003,"&lt;="&amp;账期止))</f>
        <v/>
      </c>
      <c r="Q338" s="26">
        <f>IF($A338="","",ROUND(SUMIFS(出库单!$S$4:$S$4003,出库单!$D$4:$D$4003,$A338,出库单!$K$4:$K$4003,"自用消耗",出库单!$U$4:$U$4003,"正常",出库单!$C$4:$C$4003,"&gt;="&amp;账期起,出库单!$C$4:$C$4003,"&lt;="&amp;账期止),0))</f>
        <v/>
      </c>
      <c r="R338" s="27">
        <f>IF($A338="","",SUMIFS(出库单!$J$4:$J$4003,出库单!$D$4:$D$4003,$A338,出库单!$K$4:$K$4003,"对外销售",出库单!$U$4:$U$4003,"正常",出库单!$C$4:$C$4003,"&gt;="&amp;账期起,出库单!$C$4:$C$4003,"&lt;="&amp;账期止))</f>
        <v/>
      </c>
      <c r="S338" s="26">
        <f>IF($A338="","",ROUND(SUMIFS(出库单!$S$4:$S$4003,出库单!$D$4:$D$4003,$A338,出库单!$K$4:$K$4003,"对外销售",出库单!$U$4:$U$4003,"正常",出库单!$C$4:$C$4003,"&gt;="&amp;账期起,出库单!$C$4:$C$4003,"&lt;="&amp;账期止),0))</f>
        <v/>
      </c>
      <c r="T338" s="27">
        <f>IF($A338="","",SUMIFS(出库单!$J$4:$J$4003,出库单!$D$4:$D$4003,$A338,出库单!$K$4:$K$4003,"盘亏",出库单!$U$4:$U$4003,"正常",出库单!$C$4:$C$4003,"&gt;="&amp;账期起,出库单!$C$4:$C$4003,"&lt;="&amp;账期止))</f>
        <v/>
      </c>
      <c r="U338" s="26">
        <f>IF($A338="","",ROUND(SUMIFS(出库单!$S$4:$S$4003,出库单!$D$4:$D$4003,$A338,出库单!$K$4:$K$4003,"盘亏",出库单!$U$4:$U$4003,"正常",出库单!$C$4:$C$4003,"&gt;="&amp;账期起,出库单!$C$4:$C$4003,"&lt;="&amp;账期止),0))</f>
        <v/>
      </c>
      <c r="V338" s="27">
        <f>IF($A338="","",SUMIFS(出库单!$J$4:$J$4003,出库单!$D$4:$D$4003,$A338,出库单!$K$4:$K$4003,"退货给供应商",出库单!$U$4:$U$4003,"正常",出库单!$C$4:$C$4003,"&gt;="&amp;账期起,出库单!$C$4:$C$4003,"&lt;="&amp;账期止))</f>
        <v/>
      </c>
      <c r="W338" s="26">
        <f>IF($A338="","",ROUND(SUMIFS(出库单!$S$4:$S$4003,出库单!$D$4:$D$4003,$A338,出库单!$K$4:$K$4003,"退货给供应商",出库单!$U$4:$U$4003,"正常",出库单!$C$4:$C$4003,"&gt;="&amp;账期起,出库单!$C$4:$C$4003,"&lt;="&amp;账期止),0))</f>
        <v/>
      </c>
      <c r="X338" s="27">
        <f>IF($A338="","",ROUND(N($G338)+$I338+$L338+$N338-$P338-$R338-$T338-$V338,3))</f>
        <v/>
      </c>
      <c r="Y338" s="26">
        <f>IF($A338="","",ROUND(N($H338)+$J338+$M338+$O338-$Q338-$S338-$U338-$W338,0))</f>
        <v/>
      </c>
      <c r="Z338" s="24">
        <f>IF($A338="","",IF(COUNTIFS(入库单!$G$4:$G$2503,$A338,入库单!$Y$4:$Y$2503,"待补价")+COUNTIFS(入库单!$G$4:$G$2503,$A338,入库单!$Y$4:$Y$2503,"暂估")&gt;0,"不可信","可信"))</f>
        <v/>
      </c>
      <c r="AA338" s="24">
        <f>IF($A338="","",IF($X338&lt;-0.001,"※账面负库存，查一下是不是漏记入库",IF(AND(ROUND($X338,3)=0,ABS($Y338)&gt;1),"※数量已经是 0，金额还挂着 "&amp;TEXT($Y338,"#,##0")&amp;" 先令",IF(AND($X338&gt;0,$Y338&lt;=0,$K338=0),"※有数量没金额（这个物料一直没填过进价）",IF($Z338="不可信","△成本含待补价/暂估，毛利仅供参考","")))))</f>
        <v/>
      </c>
    </row>
    <row r="339">
      <c r="A339" s="24">
        <f>IF(物料档案!$A338="","",物料档案!$A338)</f>
        <v/>
      </c>
      <c r="B339" s="24">
        <f>IF($A339="","",IFERROR(VLOOKUP($A339,物料档案!$A$4:$P$1203,3,0),""))</f>
        <v/>
      </c>
      <c r="C339" s="24">
        <f>IF($A339="","",IFERROR(VLOOKUP($A339,物料档案!$A$4:$P$1203,4,0),""))</f>
        <v/>
      </c>
      <c r="D339" s="24">
        <f>IF($A339="","",IFERROR(VLOOKUP($A339,物料档案!$A$4:$P$1203,5,0),""))</f>
        <v/>
      </c>
      <c r="E339" s="24">
        <f>IF($A339="","",IFERROR(VLOOKUP($A339,物料档案!$A$4:$P$1203,2,0),""))</f>
        <v/>
      </c>
      <c r="F339" s="24">
        <f>IF($A339="","",IFERROR(VLOOKUP($A339,物料档案!$A$4:$P$1203,6,0),""))</f>
        <v/>
      </c>
      <c r="G339" s="23" t="n"/>
      <c r="H339" s="32" t="n"/>
      <c r="I339" s="27">
        <f>IF($A339="","",SUMIFS(入库单!$K$4:$K$2503,入库单!$G$4:$G$2503,$A339,入库单!$X$4:$X$2503,"采购入库",入库单!$Z$4:$Z$2503,"正常",入库单!$C$4:$C$2503,"&gt;="&amp;账期起,入库单!$C$4:$C$2503,"&lt;="&amp;账期止))</f>
        <v/>
      </c>
      <c r="J339" s="26">
        <f>IF($A339="","",SUMIFS(入库单!$V$4:$V$2503,入库单!$G$4:$G$2503,$A339,入库单!$X$4:$X$2503,"采购入库",入库单!$Z$4:$Z$2503,"正常",入库单!$C$4:$C$2503,"&gt;="&amp;账期起,入库单!$C$4:$C$2503,"&lt;="&amp;账期止))</f>
        <v/>
      </c>
      <c r="K339" s="26">
        <f>IF($A339="","",IFERROR(ROUND((N($H339)+N($J339))/(N($G339)+N($I339)),2),0))</f>
        <v/>
      </c>
      <c r="L339" s="27">
        <f>IF($A339="","",SUMIFS(入库单!$K$4:$K$2503,入库单!$G$4:$G$2503,$A339,入库单!$X$4:$X$2503,"盘盈",入库单!$Z$4:$Z$2503,"正常",入库单!$C$4:$C$2503,"&gt;="&amp;账期起,入库单!$C$4:$C$2503,"&lt;="&amp;账期止))</f>
        <v/>
      </c>
      <c r="M339" s="26">
        <f>IF($A339="","",ROUND($L339*$K339,0))</f>
        <v/>
      </c>
      <c r="N339" s="27">
        <f>IF($A339="","",SUMIFS(入库单!$K$4:$K$2503,入库单!$G$4:$G$2503,$A339,入库单!$X$4:$X$2503,"矿区退库",入库单!$Z$4:$Z$2503,"正常",入库单!$C$4:$C$2503,"&gt;="&amp;账期起,入库单!$C$4:$C$2503,"&lt;="&amp;账期止))</f>
        <v/>
      </c>
      <c r="O339" s="26">
        <f>IF($A339="","",ROUND($N339*$K339,0))</f>
        <v/>
      </c>
      <c r="P339" s="27">
        <f>IF($A339="","",SUMIFS(出库单!$J$4:$J$4003,出库单!$D$4:$D$4003,$A339,出库单!$K$4:$K$4003,"自用消耗",出库单!$U$4:$U$4003,"正常",出库单!$C$4:$C$4003,"&gt;="&amp;账期起,出库单!$C$4:$C$4003,"&lt;="&amp;账期止))</f>
        <v/>
      </c>
      <c r="Q339" s="26">
        <f>IF($A339="","",ROUND(SUMIFS(出库单!$S$4:$S$4003,出库单!$D$4:$D$4003,$A339,出库单!$K$4:$K$4003,"自用消耗",出库单!$U$4:$U$4003,"正常",出库单!$C$4:$C$4003,"&gt;="&amp;账期起,出库单!$C$4:$C$4003,"&lt;="&amp;账期止),0))</f>
        <v/>
      </c>
      <c r="R339" s="27">
        <f>IF($A339="","",SUMIFS(出库单!$J$4:$J$4003,出库单!$D$4:$D$4003,$A339,出库单!$K$4:$K$4003,"对外销售",出库单!$U$4:$U$4003,"正常",出库单!$C$4:$C$4003,"&gt;="&amp;账期起,出库单!$C$4:$C$4003,"&lt;="&amp;账期止))</f>
        <v/>
      </c>
      <c r="S339" s="26">
        <f>IF($A339="","",ROUND(SUMIFS(出库单!$S$4:$S$4003,出库单!$D$4:$D$4003,$A339,出库单!$K$4:$K$4003,"对外销售",出库单!$U$4:$U$4003,"正常",出库单!$C$4:$C$4003,"&gt;="&amp;账期起,出库单!$C$4:$C$4003,"&lt;="&amp;账期止),0))</f>
        <v/>
      </c>
      <c r="T339" s="27">
        <f>IF($A339="","",SUMIFS(出库单!$J$4:$J$4003,出库单!$D$4:$D$4003,$A339,出库单!$K$4:$K$4003,"盘亏",出库单!$U$4:$U$4003,"正常",出库单!$C$4:$C$4003,"&gt;="&amp;账期起,出库单!$C$4:$C$4003,"&lt;="&amp;账期止))</f>
        <v/>
      </c>
      <c r="U339" s="26">
        <f>IF($A339="","",ROUND(SUMIFS(出库单!$S$4:$S$4003,出库单!$D$4:$D$4003,$A339,出库单!$K$4:$K$4003,"盘亏",出库单!$U$4:$U$4003,"正常",出库单!$C$4:$C$4003,"&gt;="&amp;账期起,出库单!$C$4:$C$4003,"&lt;="&amp;账期止),0))</f>
        <v/>
      </c>
      <c r="V339" s="27">
        <f>IF($A339="","",SUMIFS(出库单!$J$4:$J$4003,出库单!$D$4:$D$4003,$A339,出库单!$K$4:$K$4003,"退货给供应商",出库单!$U$4:$U$4003,"正常",出库单!$C$4:$C$4003,"&gt;="&amp;账期起,出库单!$C$4:$C$4003,"&lt;="&amp;账期止))</f>
        <v/>
      </c>
      <c r="W339" s="26">
        <f>IF($A339="","",ROUND(SUMIFS(出库单!$S$4:$S$4003,出库单!$D$4:$D$4003,$A339,出库单!$K$4:$K$4003,"退货给供应商",出库单!$U$4:$U$4003,"正常",出库单!$C$4:$C$4003,"&gt;="&amp;账期起,出库单!$C$4:$C$4003,"&lt;="&amp;账期止),0))</f>
        <v/>
      </c>
      <c r="X339" s="27">
        <f>IF($A339="","",ROUND(N($G339)+$I339+$L339+$N339-$P339-$R339-$T339-$V339,3))</f>
        <v/>
      </c>
      <c r="Y339" s="26">
        <f>IF($A339="","",ROUND(N($H339)+$J339+$M339+$O339-$Q339-$S339-$U339-$W339,0))</f>
        <v/>
      </c>
      <c r="Z339" s="24">
        <f>IF($A339="","",IF(COUNTIFS(入库单!$G$4:$G$2503,$A339,入库单!$Y$4:$Y$2503,"待补价")+COUNTIFS(入库单!$G$4:$G$2503,$A339,入库单!$Y$4:$Y$2503,"暂估")&gt;0,"不可信","可信"))</f>
        <v/>
      </c>
      <c r="AA339" s="24">
        <f>IF($A339="","",IF($X339&lt;-0.001,"※账面负库存，查一下是不是漏记入库",IF(AND(ROUND($X339,3)=0,ABS($Y339)&gt;1),"※数量已经是 0，金额还挂着 "&amp;TEXT($Y339,"#,##0")&amp;" 先令",IF(AND($X339&gt;0,$Y339&lt;=0,$K339=0),"※有数量没金额（这个物料一直没填过进价）",IF($Z339="不可信","△成本含待补价/暂估，毛利仅供参考","")))))</f>
        <v/>
      </c>
    </row>
    <row r="340">
      <c r="A340" s="24">
        <f>IF(物料档案!$A339="","",物料档案!$A339)</f>
        <v/>
      </c>
      <c r="B340" s="24">
        <f>IF($A340="","",IFERROR(VLOOKUP($A340,物料档案!$A$4:$P$1203,3,0),""))</f>
        <v/>
      </c>
      <c r="C340" s="24">
        <f>IF($A340="","",IFERROR(VLOOKUP($A340,物料档案!$A$4:$P$1203,4,0),""))</f>
        <v/>
      </c>
      <c r="D340" s="24">
        <f>IF($A340="","",IFERROR(VLOOKUP($A340,物料档案!$A$4:$P$1203,5,0),""))</f>
        <v/>
      </c>
      <c r="E340" s="24">
        <f>IF($A340="","",IFERROR(VLOOKUP($A340,物料档案!$A$4:$P$1203,2,0),""))</f>
        <v/>
      </c>
      <c r="F340" s="24">
        <f>IF($A340="","",IFERROR(VLOOKUP($A340,物料档案!$A$4:$P$1203,6,0),""))</f>
        <v/>
      </c>
      <c r="G340" s="23" t="n"/>
      <c r="H340" s="32" t="n"/>
      <c r="I340" s="27">
        <f>IF($A340="","",SUMIFS(入库单!$K$4:$K$2503,入库单!$G$4:$G$2503,$A340,入库单!$X$4:$X$2503,"采购入库",入库单!$Z$4:$Z$2503,"正常",入库单!$C$4:$C$2503,"&gt;="&amp;账期起,入库单!$C$4:$C$2503,"&lt;="&amp;账期止))</f>
        <v/>
      </c>
      <c r="J340" s="26">
        <f>IF($A340="","",SUMIFS(入库单!$V$4:$V$2503,入库单!$G$4:$G$2503,$A340,入库单!$X$4:$X$2503,"采购入库",入库单!$Z$4:$Z$2503,"正常",入库单!$C$4:$C$2503,"&gt;="&amp;账期起,入库单!$C$4:$C$2503,"&lt;="&amp;账期止))</f>
        <v/>
      </c>
      <c r="K340" s="26">
        <f>IF($A340="","",IFERROR(ROUND((N($H340)+N($J340))/(N($G340)+N($I340)),2),0))</f>
        <v/>
      </c>
      <c r="L340" s="27">
        <f>IF($A340="","",SUMIFS(入库单!$K$4:$K$2503,入库单!$G$4:$G$2503,$A340,入库单!$X$4:$X$2503,"盘盈",入库单!$Z$4:$Z$2503,"正常",入库单!$C$4:$C$2503,"&gt;="&amp;账期起,入库单!$C$4:$C$2503,"&lt;="&amp;账期止))</f>
        <v/>
      </c>
      <c r="M340" s="26">
        <f>IF($A340="","",ROUND($L340*$K340,0))</f>
        <v/>
      </c>
      <c r="N340" s="27">
        <f>IF($A340="","",SUMIFS(入库单!$K$4:$K$2503,入库单!$G$4:$G$2503,$A340,入库单!$X$4:$X$2503,"矿区退库",入库单!$Z$4:$Z$2503,"正常",入库单!$C$4:$C$2503,"&gt;="&amp;账期起,入库单!$C$4:$C$2503,"&lt;="&amp;账期止))</f>
        <v/>
      </c>
      <c r="O340" s="26">
        <f>IF($A340="","",ROUND($N340*$K340,0))</f>
        <v/>
      </c>
      <c r="P340" s="27">
        <f>IF($A340="","",SUMIFS(出库单!$J$4:$J$4003,出库单!$D$4:$D$4003,$A340,出库单!$K$4:$K$4003,"自用消耗",出库单!$U$4:$U$4003,"正常",出库单!$C$4:$C$4003,"&gt;="&amp;账期起,出库单!$C$4:$C$4003,"&lt;="&amp;账期止))</f>
        <v/>
      </c>
      <c r="Q340" s="26">
        <f>IF($A340="","",ROUND(SUMIFS(出库单!$S$4:$S$4003,出库单!$D$4:$D$4003,$A340,出库单!$K$4:$K$4003,"自用消耗",出库单!$U$4:$U$4003,"正常",出库单!$C$4:$C$4003,"&gt;="&amp;账期起,出库单!$C$4:$C$4003,"&lt;="&amp;账期止),0))</f>
        <v/>
      </c>
      <c r="R340" s="27">
        <f>IF($A340="","",SUMIFS(出库单!$J$4:$J$4003,出库单!$D$4:$D$4003,$A340,出库单!$K$4:$K$4003,"对外销售",出库单!$U$4:$U$4003,"正常",出库单!$C$4:$C$4003,"&gt;="&amp;账期起,出库单!$C$4:$C$4003,"&lt;="&amp;账期止))</f>
        <v/>
      </c>
      <c r="S340" s="26">
        <f>IF($A340="","",ROUND(SUMIFS(出库单!$S$4:$S$4003,出库单!$D$4:$D$4003,$A340,出库单!$K$4:$K$4003,"对外销售",出库单!$U$4:$U$4003,"正常",出库单!$C$4:$C$4003,"&gt;="&amp;账期起,出库单!$C$4:$C$4003,"&lt;="&amp;账期止),0))</f>
        <v/>
      </c>
      <c r="T340" s="27">
        <f>IF($A340="","",SUMIFS(出库单!$J$4:$J$4003,出库单!$D$4:$D$4003,$A340,出库单!$K$4:$K$4003,"盘亏",出库单!$U$4:$U$4003,"正常",出库单!$C$4:$C$4003,"&gt;="&amp;账期起,出库单!$C$4:$C$4003,"&lt;="&amp;账期止))</f>
        <v/>
      </c>
      <c r="U340" s="26">
        <f>IF($A340="","",ROUND(SUMIFS(出库单!$S$4:$S$4003,出库单!$D$4:$D$4003,$A340,出库单!$K$4:$K$4003,"盘亏",出库单!$U$4:$U$4003,"正常",出库单!$C$4:$C$4003,"&gt;="&amp;账期起,出库单!$C$4:$C$4003,"&lt;="&amp;账期止),0))</f>
        <v/>
      </c>
      <c r="V340" s="27">
        <f>IF($A340="","",SUMIFS(出库单!$J$4:$J$4003,出库单!$D$4:$D$4003,$A340,出库单!$K$4:$K$4003,"退货给供应商",出库单!$U$4:$U$4003,"正常",出库单!$C$4:$C$4003,"&gt;="&amp;账期起,出库单!$C$4:$C$4003,"&lt;="&amp;账期止))</f>
        <v/>
      </c>
      <c r="W340" s="26">
        <f>IF($A340="","",ROUND(SUMIFS(出库单!$S$4:$S$4003,出库单!$D$4:$D$4003,$A340,出库单!$K$4:$K$4003,"退货给供应商",出库单!$U$4:$U$4003,"正常",出库单!$C$4:$C$4003,"&gt;="&amp;账期起,出库单!$C$4:$C$4003,"&lt;="&amp;账期止),0))</f>
        <v/>
      </c>
      <c r="X340" s="27">
        <f>IF($A340="","",ROUND(N($G340)+$I340+$L340+$N340-$P340-$R340-$T340-$V340,3))</f>
        <v/>
      </c>
      <c r="Y340" s="26">
        <f>IF($A340="","",ROUND(N($H340)+$J340+$M340+$O340-$Q340-$S340-$U340-$W340,0))</f>
        <v/>
      </c>
      <c r="Z340" s="24">
        <f>IF($A340="","",IF(COUNTIFS(入库单!$G$4:$G$2503,$A340,入库单!$Y$4:$Y$2503,"待补价")+COUNTIFS(入库单!$G$4:$G$2503,$A340,入库单!$Y$4:$Y$2503,"暂估")&gt;0,"不可信","可信"))</f>
        <v/>
      </c>
      <c r="AA340" s="24">
        <f>IF($A340="","",IF($X340&lt;-0.001,"※账面负库存，查一下是不是漏记入库",IF(AND(ROUND($X340,3)=0,ABS($Y340)&gt;1),"※数量已经是 0，金额还挂着 "&amp;TEXT($Y340,"#,##0")&amp;" 先令",IF(AND($X340&gt;0,$Y340&lt;=0,$K340=0),"※有数量没金额（这个物料一直没填过进价）",IF($Z340="不可信","△成本含待补价/暂估，毛利仅供参考","")))))</f>
        <v/>
      </c>
    </row>
    <row r="341">
      <c r="A341" s="24">
        <f>IF(物料档案!$A340="","",物料档案!$A340)</f>
        <v/>
      </c>
      <c r="B341" s="24">
        <f>IF($A341="","",IFERROR(VLOOKUP($A341,物料档案!$A$4:$P$1203,3,0),""))</f>
        <v/>
      </c>
      <c r="C341" s="24">
        <f>IF($A341="","",IFERROR(VLOOKUP($A341,物料档案!$A$4:$P$1203,4,0),""))</f>
        <v/>
      </c>
      <c r="D341" s="24">
        <f>IF($A341="","",IFERROR(VLOOKUP($A341,物料档案!$A$4:$P$1203,5,0),""))</f>
        <v/>
      </c>
      <c r="E341" s="24">
        <f>IF($A341="","",IFERROR(VLOOKUP($A341,物料档案!$A$4:$P$1203,2,0),""))</f>
        <v/>
      </c>
      <c r="F341" s="24">
        <f>IF($A341="","",IFERROR(VLOOKUP($A341,物料档案!$A$4:$P$1203,6,0),""))</f>
        <v/>
      </c>
      <c r="G341" s="23" t="n"/>
      <c r="H341" s="32" t="n"/>
      <c r="I341" s="27">
        <f>IF($A341="","",SUMIFS(入库单!$K$4:$K$2503,入库单!$G$4:$G$2503,$A341,入库单!$X$4:$X$2503,"采购入库",入库单!$Z$4:$Z$2503,"正常",入库单!$C$4:$C$2503,"&gt;="&amp;账期起,入库单!$C$4:$C$2503,"&lt;="&amp;账期止))</f>
        <v/>
      </c>
      <c r="J341" s="26">
        <f>IF($A341="","",SUMIFS(入库单!$V$4:$V$2503,入库单!$G$4:$G$2503,$A341,入库单!$X$4:$X$2503,"采购入库",入库单!$Z$4:$Z$2503,"正常",入库单!$C$4:$C$2503,"&gt;="&amp;账期起,入库单!$C$4:$C$2503,"&lt;="&amp;账期止))</f>
        <v/>
      </c>
      <c r="K341" s="26">
        <f>IF($A341="","",IFERROR(ROUND((N($H341)+N($J341))/(N($G341)+N($I341)),2),0))</f>
        <v/>
      </c>
      <c r="L341" s="27">
        <f>IF($A341="","",SUMIFS(入库单!$K$4:$K$2503,入库单!$G$4:$G$2503,$A341,入库单!$X$4:$X$2503,"盘盈",入库单!$Z$4:$Z$2503,"正常",入库单!$C$4:$C$2503,"&gt;="&amp;账期起,入库单!$C$4:$C$2503,"&lt;="&amp;账期止))</f>
        <v/>
      </c>
      <c r="M341" s="26">
        <f>IF($A341="","",ROUND($L341*$K341,0))</f>
        <v/>
      </c>
      <c r="N341" s="27">
        <f>IF($A341="","",SUMIFS(入库单!$K$4:$K$2503,入库单!$G$4:$G$2503,$A341,入库单!$X$4:$X$2503,"矿区退库",入库单!$Z$4:$Z$2503,"正常",入库单!$C$4:$C$2503,"&gt;="&amp;账期起,入库单!$C$4:$C$2503,"&lt;="&amp;账期止))</f>
        <v/>
      </c>
      <c r="O341" s="26">
        <f>IF($A341="","",ROUND($N341*$K341,0))</f>
        <v/>
      </c>
      <c r="P341" s="27">
        <f>IF($A341="","",SUMIFS(出库单!$J$4:$J$4003,出库单!$D$4:$D$4003,$A341,出库单!$K$4:$K$4003,"自用消耗",出库单!$U$4:$U$4003,"正常",出库单!$C$4:$C$4003,"&gt;="&amp;账期起,出库单!$C$4:$C$4003,"&lt;="&amp;账期止))</f>
        <v/>
      </c>
      <c r="Q341" s="26">
        <f>IF($A341="","",ROUND(SUMIFS(出库单!$S$4:$S$4003,出库单!$D$4:$D$4003,$A341,出库单!$K$4:$K$4003,"自用消耗",出库单!$U$4:$U$4003,"正常",出库单!$C$4:$C$4003,"&gt;="&amp;账期起,出库单!$C$4:$C$4003,"&lt;="&amp;账期止),0))</f>
        <v/>
      </c>
      <c r="R341" s="27">
        <f>IF($A341="","",SUMIFS(出库单!$J$4:$J$4003,出库单!$D$4:$D$4003,$A341,出库单!$K$4:$K$4003,"对外销售",出库单!$U$4:$U$4003,"正常",出库单!$C$4:$C$4003,"&gt;="&amp;账期起,出库单!$C$4:$C$4003,"&lt;="&amp;账期止))</f>
        <v/>
      </c>
      <c r="S341" s="26">
        <f>IF($A341="","",ROUND(SUMIFS(出库单!$S$4:$S$4003,出库单!$D$4:$D$4003,$A341,出库单!$K$4:$K$4003,"对外销售",出库单!$U$4:$U$4003,"正常",出库单!$C$4:$C$4003,"&gt;="&amp;账期起,出库单!$C$4:$C$4003,"&lt;="&amp;账期止),0))</f>
        <v/>
      </c>
      <c r="T341" s="27">
        <f>IF($A341="","",SUMIFS(出库单!$J$4:$J$4003,出库单!$D$4:$D$4003,$A341,出库单!$K$4:$K$4003,"盘亏",出库单!$U$4:$U$4003,"正常",出库单!$C$4:$C$4003,"&gt;="&amp;账期起,出库单!$C$4:$C$4003,"&lt;="&amp;账期止))</f>
        <v/>
      </c>
      <c r="U341" s="26">
        <f>IF($A341="","",ROUND(SUMIFS(出库单!$S$4:$S$4003,出库单!$D$4:$D$4003,$A341,出库单!$K$4:$K$4003,"盘亏",出库单!$U$4:$U$4003,"正常",出库单!$C$4:$C$4003,"&gt;="&amp;账期起,出库单!$C$4:$C$4003,"&lt;="&amp;账期止),0))</f>
        <v/>
      </c>
      <c r="V341" s="27">
        <f>IF($A341="","",SUMIFS(出库单!$J$4:$J$4003,出库单!$D$4:$D$4003,$A341,出库单!$K$4:$K$4003,"退货给供应商",出库单!$U$4:$U$4003,"正常",出库单!$C$4:$C$4003,"&gt;="&amp;账期起,出库单!$C$4:$C$4003,"&lt;="&amp;账期止))</f>
        <v/>
      </c>
      <c r="W341" s="26">
        <f>IF($A341="","",ROUND(SUMIFS(出库单!$S$4:$S$4003,出库单!$D$4:$D$4003,$A341,出库单!$K$4:$K$4003,"退货给供应商",出库单!$U$4:$U$4003,"正常",出库单!$C$4:$C$4003,"&gt;="&amp;账期起,出库单!$C$4:$C$4003,"&lt;="&amp;账期止),0))</f>
        <v/>
      </c>
      <c r="X341" s="27">
        <f>IF($A341="","",ROUND(N($G341)+$I341+$L341+$N341-$P341-$R341-$T341-$V341,3))</f>
        <v/>
      </c>
      <c r="Y341" s="26">
        <f>IF($A341="","",ROUND(N($H341)+$J341+$M341+$O341-$Q341-$S341-$U341-$W341,0))</f>
        <v/>
      </c>
      <c r="Z341" s="24">
        <f>IF($A341="","",IF(COUNTIFS(入库单!$G$4:$G$2503,$A341,入库单!$Y$4:$Y$2503,"待补价")+COUNTIFS(入库单!$G$4:$G$2503,$A341,入库单!$Y$4:$Y$2503,"暂估")&gt;0,"不可信","可信"))</f>
        <v/>
      </c>
      <c r="AA341" s="24">
        <f>IF($A341="","",IF($X341&lt;-0.001,"※账面负库存，查一下是不是漏记入库",IF(AND(ROUND($X341,3)=0,ABS($Y341)&gt;1),"※数量已经是 0，金额还挂着 "&amp;TEXT($Y341,"#,##0")&amp;" 先令",IF(AND($X341&gt;0,$Y341&lt;=0,$K341=0),"※有数量没金额（这个物料一直没填过进价）",IF($Z341="不可信","△成本含待补价/暂估，毛利仅供参考","")))))</f>
        <v/>
      </c>
    </row>
    <row r="342">
      <c r="A342" s="24">
        <f>IF(物料档案!$A341="","",物料档案!$A341)</f>
        <v/>
      </c>
      <c r="B342" s="24">
        <f>IF($A342="","",IFERROR(VLOOKUP($A342,物料档案!$A$4:$P$1203,3,0),""))</f>
        <v/>
      </c>
      <c r="C342" s="24">
        <f>IF($A342="","",IFERROR(VLOOKUP($A342,物料档案!$A$4:$P$1203,4,0),""))</f>
        <v/>
      </c>
      <c r="D342" s="24">
        <f>IF($A342="","",IFERROR(VLOOKUP($A342,物料档案!$A$4:$P$1203,5,0),""))</f>
        <v/>
      </c>
      <c r="E342" s="24">
        <f>IF($A342="","",IFERROR(VLOOKUP($A342,物料档案!$A$4:$P$1203,2,0),""))</f>
        <v/>
      </c>
      <c r="F342" s="24">
        <f>IF($A342="","",IFERROR(VLOOKUP($A342,物料档案!$A$4:$P$1203,6,0),""))</f>
        <v/>
      </c>
      <c r="G342" s="23" t="n"/>
      <c r="H342" s="32" t="n"/>
      <c r="I342" s="27">
        <f>IF($A342="","",SUMIFS(入库单!$K$4:$K$2503,入库单!$G$4:$G$2503,$A342,入库单!$X$4:$X$2503,"采购入库",入库单!$Z$4:$Z$2503,"正常",入库单!$C$4:$C$2503,"&gt;="&amp;账期起,入库单!$C$4:$C$2503,"&lt;="&amp;账期止))</f>
        <v/>
      </c>
      <c r="J342" s="26">
        <f>IF($A342="","",SUMIFS(入库单!$V$4:$V$2503,入库单!$G$4:$G$2503,$A342,入库单!$X$4:$X$2503,"采购入库",入库单!$Z$4:$Z$2503,"正常",入库单!$C$4:$C$2503,"&gt;="&amp;账期起,入库单!$C$4:$C$2503,"&lt;="&amp;账期止))</f>
        <v/>
      </c>
      <c r="K342" s="26">
        <f>IF($A342="","",IFERROR(ROUND((N($H342)+N($J342))/(N($G342)+N($I342)),2),0))</f>
        <v/>
      </c>
      <c r="L342" s="27">
        <f>IF($A342="","",SUMIFS(入库单!$K$4:$K$2503,入库单!$G$4:$G$2503,$A342,入库单!$X$4:$X$2503,"盘盈",入库单!$Z$4:$Z$2503,"正常",入库单!$C$4:$C$2503,"&gt;="&amp;账期起,入库单!$C$4:$C$2503,"&lt;="&amp;账期止))</f>
        <v/>
      </c>
      <c r="M342" s="26">
        <f>IF($A342="","",ROUND($L342*$K342,0))</f>
        <v/>
      </c>
      <c r="N342" s="27">
        <f>IF($A342="","",SUMIFS(入库单!$K$4:$K$2503,入库单!$G$4:$G$2503,$A342,入库单!$X$4:$X$2503,"矿区退库",入库单!$Z$4:$Z$2503,"正常",入库单!$C$4:$C$2503,"&gt;="&amp;账期起,入库单!$C$4:$C$2503,"&lt;="&amp;账期止))</f>
        <v/>
      </c>
      <c r="O342" s="26">
        <f>IF($A342="","",ROUND($N342*$K342,0))</f>
        <v/>
      </c>
      <c r="P342" s="27">
        <f>IF($A342="","",SUMIFS(出库单!$J$4:$J$4003,出库单!$D$4:$D$4003,$A342,出库单!$K$4:$K$4003,"自用消耗",出库单!$U$4:$U$4003,"正常",出库单!$C$4:$C$4003,"&gt;="&amp;账期起,出库单!$C$4:$C$4003,"&lt;="&amp;账期止))</f>
        <v/>
      </c>
      <c r="Q342" s="26">
        <f>IF($A342="","",ROUND(SUMIFS(出库单!$S$4:$S$4003,出库单!$D$4:$D$4003,$A342,出库单!$K$4:$K$4003,"自用消耗",出库单!$U$4:$U$4003,"正常",出库单!$C$4:$C$4003,"&gt;="&amp;账期起,出库单!$C$4:$C$4003,"&lt;="&amp;账期止),0))</f>
        <v/>
      </c>
      <c r="R342" s="27">
        <f>IF($A342="","",SUMIFS(出库单!$J$4:$J$4003,出库单!$D$4:$D$4003,$A342,出库单!$K$4:$K$4003,"对外销售",出库单!$U$4:$U$4003,"正常",出库单!$C$4:$C$4003,"&gt;="&amp;账期起,出库单!$C$4:$C$4003,"&lt;="&amp;账期止))</f>
        <v/>
      </c>
      <c r="S342" s="26">
        <f>IF($A342="","",ROUND(SUMIFS(出库单!$S$4:$S$4003,出库单!$D$4:$D$4003,$A342,出库单!$K$4:$K$4003,"对外销售",出库单!$U$4:$U$4003,"正常",出库单!$C$4:$C$4003,"&gt;="&amp;账期起,出库单!$C$4:$C$4003,"&lt;="&amp;账期止),0))</f>
        <v/>
      </c>
      <c r="T342" s="27">
        <f>IF($A342="","",SUMIFS(出库单!$J$4:$J$4003,出库单!$D$4:$D$4003,$A342,出库单!$K$4:$K$4003,"盘亏",出库单!$U$4:$U$4003,"正常",出库单!$C$4:$C$4003,"&gt;="&amp;账期起,出库单!$C$4:$C$4003,"&lt;="&amp;账期止))</f>
        <v/>
      </c>
      <c r="U342" s="26">
        <f>IF($A342="","",ROUND(SUMIFS(出库单!$S$4:$S$4003,出库单!$D$4:$D$4003,$A342,出库单!$K$4:$K$4003,"盘亏",出库单!$U$4:$U$4003,"正常",出库单!$C$4:$C$4003,"&gt;="&amp;账期起,出库单!$C$4:$C$4003,"&lt;="&amp;账期止),0))</f>
        <v/>
      </c>
      <c r="V342" s="27">
        <f>IF($A342="","",SUMIFS(出库单!$J$4:$J$4003,出库单!$D$4:$D$4003,$A342,出库单!$K$4:$K$4003,"退货给供应商",出库单!$U$4:$U$4003,"正常",出库单!$C$4:$C$4003,"&gt;="&amp;账期起,出库单!$C$4:$C$4003,"&lt;="&amp;账期止))</f>
        <v/>
      </c>
      <c r="W342" s="26">
        <f>IF($A342="","",ROUND(SUMIFS(出库单!$S$4:$S$4003,出库单!$D$4:$D$4003,$A342,出库单!$K$4:$K$4003,"退货给供应商",出库单!$U$4:$U$4003,"正常",出库单!$C$4:$C$4003,"&gt;="&amp;账期起,出库单!$C$4:$C$4003,"&lt;="&amp;账期止),0))</f>
        <v/>
      </c>
      <c r="X342" s="27">
        <f>IF($A342="","",ROUND(N($G342)+$I342+$L342+$N342-$P342-$R342-$T342-$V342,3))</f>
        <v/>
      </c>
      <c r="Y342" s="26">
        <f>IF($A342="","",ROUND(N($H342)+$J342+$M342+$O342-$Q342-$S342-$U342-$W342,0))</f>
        <v/>
      </c>
      <c r="Z342" s="24">
        <f>IF($A342="","",IF(COUNTIFS(入库单!$G$4:$G$2503,$A342,入库单!$Y$4:$Y$2503,"待补价")+COUNTIFS(入库单!$G$4:$G$2503,$A342,入库单!$Y$4:$Y$2503,"暂估")&gt;0,"不可信","可信"))</f>
        <v/>
      </c>
      <c r="AA342" s="24">
        <f>IF($A342="","",IF($X342&lt;-0.001,"※账面负库存，查一下是不是漏记入库",IF(AND(ROUND($X342,3)=0,ABS($Y342)&gt;1),"※数量已经是 0，金额还挂着 "&amp;TEXT($Y342,"#,##0")&amp;" 先令",IF(AND($X342&gt;0,$Y342&lt;=0,$K342=0),"※有数量没金额（这个物料一直没填过进价）",IF($Z342="不可信","△成本含待补价/暂估，毛利仅供参考","")))))</f>
        <v/>
      </c>
    </row>
    <row r="343">
      <c r="A343" s="24">
        <f>IF(物料档案!$A342="","",物料档案!$A342)</f>
        <v/>
      </c>
      <c r="B343" s="24">
        <f>IF($A343="","",IFERROR(VLOOKUP($A343,物料档案!$A$4:$P$1203,3,0),""))</f>
        <v/>
      </c>
      <c r="C343" s="24">
        <f>IF($A343="","",IFERROR(VLOOKUP($A343,物料档案!$A$4:$P$1203,4,0),""))</f>
        <v/>
      </c>
      <c r="D343" s="24">
        <f>IF($A343="","",IFERROR(VLOOKUP($A343,物料档案!$A$4:$P$1203,5,0),""))</f>
        <v/>
      </c>
      <c r="E343" s="24">
        <f>IF($A343="","",IFERROR(VLOOKUP($A343,物料档案!$A$4:$P$1203,2,0),""))</f>
        <v/>
      </c>
      <c r="F343" s="24">
        <f>IF($A343="","",IFERROR(VLOOKUP($A343,物料档案!$A$4:$P$1203,6,0),""))</f>
        <v/>
      </c>
      <c r="G343" s="23" t="n"/>
      <c r="H343" s="32" t="n"/>
      <c r="I343" s="27">
        <f>IF($A343="","",SUMIFS(入库单!$K$4:$K$2503,入库单!$G$4:$G$2503,$A343,入库单!$X$4:$X$2503,"采购入库",入库单!$Z$4:$Z$2503,"正常",入库单!$C$4:$C$2503,"&gt;="&amp;账期起,入库单!$C$4:$C$2503,"&lt;="&amp;账期止))</f>
        <v/>
      </c>
      <c r="J343" s="26">
        <f>IF($A343="","",SUMIFS(入库单!$V$4:$V$2503,入库单!$G$4:$G$2503,$A343,入库单!$X$4:$X$2503,"采购入库",入库单!$Z$4:$Z$2503,"正常",入库单!$C$4:$C$2503,"&gt;="&amp;账期起,入库单!$C$4:$C$2503,"&lt;="&amp;账期止))</f>
        <v/>
      </c>
      <c r="K343" s="26">
        <f>IF($A343="","",IFERROR(ROUND((N($H343)+N($J343))/(N($G343)+N($I343)),2),0))</f>
        <v/>
      </c>
      <c r="L343" s="27">
        <f>IF($A343="","",SUMIFS(入库单!$K$4:$K$2503,入库单!$G$4:$G$2503,$A343,入库单!$X$4:$X$2503,"盘盈",入库单!$Z$4:$Z$2503,"正常",入库单!$C$4:$C$2503,"&gt;="&amp;账期起,入库单!$C$4:$C$2503,"&lt;="&amp;账期止))</f>
        <v/>
      </c>
      <c r="M343" s="26">
        <f>IF($A343="","",ROUND($L343*$K343,0))</f>
        <v/>
      </c>
      <c r="N343" s="27">
        <f>IF($A343="","",SUMIFS(入库单!$K$4:$K$2503,入库单!$G$4:$G$2503,$A343,入库单!$X$4:$X$2503,"矿区退库",入库单!$Z$4:$Z$2503,"正常",入库单!$C$4:$C$2503,"&gt;="&amp;账期起,入库单!$C$4:$C$2503,"&lt;="&amp;账期止))</f>
        <v/>
      </c>
      <c r="O343" s="26">
        <f>IF($A343="","",ROUND($N343*$K343,0))</f>
        <v/>
      </c>
      <c r="P343" s="27">
        <f>IF($A343="","",SUMIFS(出库单!$J$4:$J$4003,出库单!$D$4:$D$4003,$A343,出库单!$K$4:$K$4003,"自用消耗",出库单!$U$4:$U$4003,"正常",出库单!$C$4:$C$4003,"&gt;="&amp;账期起,出库单!$C$4:$C$4003,"&lt;="&amp;账期止))</f>
        <v/>
      </c>
      <c r="Q343" s="26">
        <f>IF($A343="","",ROUND(SUMIFS(出库单!$S$4:$S$4003,出库单!$D$4:$D$4003,$A343,出库单!$K$4:$K$4003,"自用消耗",出库单!$U$4:$U$4003,"正常",出库单!$C$4:$C$4003,"&gt;="&amp;账期起,出库单!$C$4:$C$4003,"&lt;="&amp;账期止),0))</f>
        <v/>
      </c>
      <c r="R343" s="27">
        <f>IF($A343="","",SUMIFS(出库单!$J$4:$J$4003,出库单!$D$4:$D$4003,$A343,出库单!$K$4:$K$4003,"对外销售",出库单!$U$4:$U$4003,"正常",出库单!$C$4:$C$4003,"&gt;="&amp;账期起,出库单!$C$4:$C$4003,"&lt;="&amp;账期止))</f>
        <v/>
      </c>
      <c r="S343" s="26">
        <f>IF($A343="","",ROUND(SUMIFS(出库单!$S$4:$S$4003,出库单!$D$4:$D$4003,$A343,出库单!$K$4:$K$4003,"对外销售",出库单!$U$4:$U$4003,"正常",出库单!$C$4:$C$4003,"&gt;="&amp;账期起,出库单!$C$4:$C$4003,"&lt;="&amp;账期止),0))</f>
        <v/>
      </c>
      <c r="T343" s="27">
        <f>IF($A343="","",SUMIFS(出库单!$J$4:$J$4003,出库单!$D$4:$D$4003,$A343,出库单!$K$4:$K$4003,"盘亏",出库单!$U$4:$U$4003,"正常",出库单!$C$4:$C$4003,"&gt;="&amp;账期起,出库单!$C$4:$C$4003,"&lt;="&amp;账期止))</f>
        <v/>
      </c>
      <c r="U343" s="26">
        <f>IF($A343="","",ROUND(SUMIFS(出库单!$S$4:$S$4003,出库单!$D$4:$D$4003,$A343,出库单!$K$4:$K$4003,"盘亏",出库单!$U$4:$U$4003,"正常",出库单!$C$4:$C$4003,"&gt;="&amp;账期起,出库单!$C$4:$C$4003,"&lt;="&amp;账期止),0))</f>
        <v/>
      </c>
      <c r="V343" s="27">
        <f>IF($A343="","",SUMIFS(出库单!$J$4:$J$4003,出库单!$D$4:$D$4003,$A343,出库单!$K$4:$K$4003,"退货给供应商",出库单!$U$4:$U$4003,"正常",出库单!$C$4:$C$4003,"&gt;="&amp;账期起,出库单!$C$4:$C$4003,"&lt;="&amp;账期止))</f>
        <v/>
      </c>
      <c r="W343" s="26">
        <f>IF($A343="","",ROUND(SUMIFS(出库单!$S$4:$S$4003,出库单!$D$4:$D$4003,$A343,出库单!$K$4:$K$4003,"退货给供应商",出库单!$U$4:$U$4003,"正常",出库单!$C$4:$C$4003,"&gt;="&amp;账期起,出库单!$C$4:$C$4003,"&lt;="&amp;账期止),0))</f>
        <v/>
      </c>
      <c r="X343" s="27">
        <f>IF($A343="","",ROUND(N($G343)+$I343+$L343+$N343-$P343-$R343-$T343-$V343,3))</f>
        <v/>
      </c>
      <c r="Y343" s="26">
        <f>IF($A343="","",ROUND(N($H343)+$J343+$M343+$O343-$Q343-$S343-$U343-$W343,0))</f>
        <v/>
      </c>
      <c r="Z343" s="24">
        <f>IF($A343="","",IF(COUNTIFS(入库单!$G$4:$G$2503,$A343,入库单!$Y$4:$Y$2503,"待补价")+COUNTIFS(入库单!$G$4:$G$2503,$A343,入库单!$Y$4:$Y$2503,"暂估")&gt;0,"不可信","可信"))</f>
        <v/>
      </c>
      <c r="AA343" s="24">
        <f>IF($A343="","",IF($X343&lt;-0.001,"※账面负库存，查一下是不是漏记入库",IF(AND(ROUND($X343,3)=0,ABS($Y343)&gt;1),"※数量已经是 0，金额还挂着 "&amp;TEXT($Y343,"#,##0")&amp;" 先令",IF(AND($X343&gt;0,$Y343&lt;=0,$K343=0),"※有数量没金额（这个物料一直没填过进价）",IF($Z343="不可信","△成本含待补价/暂估，毛利仅供参考","")))))</f>
        <v/>
      </c>
    </row>
    <row r="344">
      <c r="A344" s="24">
        <f>IF(物料档案!$A343="","",物料档案!$A343)</f>
        <v/>
      </c>
      <c r="B344" s="24">
        <f>IF($A344="","",IFERROR(VLOOKUP($A344,物料档案!$A$4:$P$1203,3,0),""))</f>
        <v/>
      </c>
      <c r="C344" s="24">
        <f>IF($A344="","",IFERROR(VLOOKUP($A344,物料档案!$A$4:$P$1203,4,0),""))</f>
        <v/>
      </c>
      <c r="D344" s="24">
        <f>IF($A344="","",IFERROR(VLOOKUP($A344,物料档案!$A$4:$P$1203,5,0),""))</f>
        <v/>
      </c>
      <c r="E344" s="24">
        <f>IF($A344="","",IFERROR(VLOOKUP($A344,物料档案!$A$4:$P$1203,2,0),""))</f>
        <v/>
      </c>
      <c r="F344" s="24">
        <f>IF($A344="","",IFERROR(VLOOKUP($A344,物料档案!$A$4:$P$1203,6,0),""))</f>
        <v/>
      </c>
      <c r="G344" s="23" t="n"/>
      <c r="H344" s="32" t="n"/>
      <c r="I344" s="27">
        <f>IF($A344="","",SUMIFS(入库单!$K$4:$K$2503,入库单!$G$4:$G$2503,$A344,入库单!$X$4:$X$2503,"采购入库",入库单!$Z$4:$Z$2503,"正常",入库单!$C$4:$C$2503,"&gt;="&amp;账期起,入库单!$C$4:$C$2503,"&lt;="&amp;账期止))</f>
        <v/>
      </c>
      <c r="J344" s="26">
        <f>IF($A344="","",SUMIFS(入库单!$V$4:$V$2503,入库单!$G$4:$G$2503,$A344,入库单!$X$4:$X$2503,"采购入库",入库单!$Z$4:$Z$2503,"正常",入库单!$C$4:$C$2503,"&gt;="&amp;账期起,入库单!$C$4:$C$2503,"&lt;="&amp;账期止))</f>
        <v/>
      </c>
      <c r="K344" s="26">
        <f>IF($A344="","",IFERROR(ROUND((N($H344)+N($J344))/(N($G344)+N($I344)),2),0))</f>
        <v/>
      </c>
      <c r="L344" s="27">
        <f>IF($A344="","",SUMIFS(入库单!$K$4:$K$2503,入库单!$G$4:$G$2503,$A344,入库单!$X$4:$X$2503,"盘盈",入库单!$Z$4:$Z$2503,"正常",入库单!$C$4:$C$2503,"&gt;="&amp;账期起,入库单!$C$4:$C$2503,"&lt;="&amp;账期止))</f>
        <v/>
      </c>
      <c r="M344" s="26">
        <f>IF($A344="","",ROUND($L344*$K344,0))</f>
        <v/>
      </c>
      <c r="N344" s="27">
        <f>IF($A344="","",SUMIFS(入库单!$K$4:$K$2503,入库单!$G$4:$G$2503,$A344,入库单!$X$4:$X$2503,"矿区退库",入库单!$Z$4:$Z$2503,"正常",入库单!$C$4:$C$2503,"&gt;="&amp;账期起,入库单!$C$4:$C$2503,"&lt;="&amp;账期止))</f>
        <v/>
      </c>
      <c r="O344" s="26">
        <f>IF($A344="","",ROUND($N344*$K344,0))</f>
        <v/>
      </c>
      <c r="P344" s="27">
        <f>IF($A344="","",SUMIFS(出库单!$J$4:$J$4003,出库单!$D$4:$D$4003,$A344,出库单!$K$4:$K$4003,"自用消耗",出库单!$U$4:$U$4003,"正常",出库单!$C$4:$C$4003,"&gt;="&amp;账期起,出库单!$C$4:$C$4003,"&lt;="&amp;账期止))</f>
        <v/>
      </c>
      <c r="Q344" s="26">
        <f>IF($A344="","",ROUND(SUMIFS(出库单!$S$4:$S$4003,出库单!$D$4:$D$4003,$A344,出库单!$K$4:$K$4003,"自用消耗",出库单!$U$4:$U$4003,"正常",出库单!$C$4:$C$4003,"&gt;="&amp;账期起,出库单!$C$4:$C$4003,"&lt;="&amp;账期止),0))</f>
        <v/>
      </c>
      <c r="R344" s="27">
        <f>IF($A344="","",SUMIFS(出库单!$J$4:$J$4003,出库单!$D$4:$D$4003,$A344,出库单!$K$4:$K$4003,"对外销售",出库单!$U$4:$U$4003,"正常",出库单!$C$4:$C$4003,"&gt;="&amp;账期起,出库单!$C$4:$C$4003,"&lt;="&amp;账期止))</f>
        <v/>
      </c>
      <c r="S344" s="26">
        <f>IF($A344="","",ROUND(SUMIFS(出库单!$S$4:$S$4003,出库单!$D$4:$D$4003,$A344,出库单!$K$4:$K$4003,"对外销售",出库单!$U$4:$U$4003,"正常",出库单!$C$4:$C$4003,"&gt;="&amp;账期起,出库单!$C$4:$C$4003,"&lt;="&amp;账期止),0))</f>
        <v/>
      </c>
      <c r="T344" s="27">
        <f>IF($A344="","",SUMIFS(出库单!$J$4:$J$4003,出库单!$D$4:$D$4003,$A344,出库单!$K$4:$K$4003,"盘亏",出库单!$U$4:$U$4003,"正常",出库单!$C$4:$C$4003,"&gt;="&amp;账期起,出库单!$C$4:$C$4003,"&lt;="&amp;账期止))</f>
        <v/>
      </c>
      <c r="U344" s="26">
        <f>IF($A344="","",ROUND(SUMIFS(出库单!$S$4:$S$4003,出库单!$D$4:$D$4003,$A344,出库单!$K$4:$K$4003,"盘亏",出库单!$U$4:$U$4003,"正常",出库单!$C$4:$C$4003,"&gt;="&amp;账期起,出库单!$C$4:$C$4003,"&lt;="&amp;账期止),0))</f>
        <v/>
      </c>
      <c r="V344" s="27">
        <f>IF($A344="","",SUMIFS(出库单!$J$4:$J$4003,出库单!$D$4:$D$4003,$A344,出库单!$K$4:$K$4003,"退货给供应商",出库单!$U$4:$U$4003,"正常",出库单!$C$4:$C$4003,"&gt;="&amp;账期起,出库单!$C$4:$C$4003,"&lt;="&amp;账期止))</f>
        <v/>
      </c>
      <c r="W344" s="26">
        <f>IF($A344="","",ROUND(SUMIFS(出库单!$S$4:$S$4003,出库单!$D$4:$D$4003,$A344,出库单!$K$4:$K$4003,"退货给供应商",出库单!$U$4:$U$4003,"正常",出库单!$C$4:$C$4003,"&gt;="&amp;账期起,出库单!$C$4:$C$4003,"&lt;="&amp;账期止),0))</f>
        <v/>
      </c>
      <c r="X344" s="27">
        <f>IF($A344="","",ROUND(N($G344)+$I344+$L344+$N344-$P344-$R344-$T344-$V344,3))</f>
        <v/>
      </c>
      <c r="Y344" s="26">
        <f>IF($A344="","",ROUND(N($H344)+$J344+$M344+$O344-$Q344-$S344-$U344-$W344,0))</f>
        <v/>
      </c>
      <c r="Z344" s="24">
        <f>IF($A344="","",IF(COUNTIFS(入库单!$G$4:$G$2503,$A344,入库单!$Y$4:$Y$2503,"待补价")+COUNTIFS(入库单!$G$4:$G$2503,$A344,入库单!$Y$4:$Y$2503,"暂估")&gt;0,"不可信","可信"))</f>
        <v/>
      </c>
      <c r="AA344" s="24">
        <f>IF($A344="","",IF($X344&lt;-0.001,"※账面负库存，查一下是不是漏记入库",IF(AND(ROUND($X344,3)=0,ABS($Y344)&gt;1),"※数量已经是 0，金额还挂着 "&amp;TEXT($Y344,"#,##0")&amp;" 先令",IF(AND($X344&gt;0,$Y344&lt;=0,$K344=0),"※有数量没金额（这个物料一直没填过进价）",IF($Z344="不可信","△成本含待补价/暂估，毛利仅供参考","")))))</f>
        <v/>
      </c>
    </row>
    <row r="345">
      <c r="A345" s="24">
        <f>IF(物料档案!$A344="","",物料档案!$A344)</f>
        <v/>
      </c>
      <c r="B345" s="24">
        <f>IF($A345="","",IFERROR(VLOOKUP($A345,物料档案!$A$4:$P$1203,3,0),""))</f>
        <v/>
      </c>
      <c r="C345" s="24">
        <f>IF($A345="","",IFERROR(VLOOKUP($A345,物料档案!$A$4:$P$1203,4,0),""))</f>
        <v/>
      </c>
      <c r="D345" s="24">
        <f>IF($A345="","",IFERROR(VLOOKUP($A345,物料档案!$A$4:$P$1203,5,0),""))</f>
        <v/>
      </c>
      <c r="E345" s="24">
        <f>IF($A345="","",IFERROR(VLOOKUP($A345,物料档案!$A$4:$P$1203,2,0),""))</f>
        <v/>
      </c>
      <c r="F345" s="24">
        <f>IF($A345="","",IFERROR(VLOOKUP($A345,物料档案!$A$4:$P$1203,6,0),""))</f>
        <v/>
      </c>
      <c r="G345" s="23" t="n"/>
      <c r="H345" s="32" t="n"/>
      <c r="I345" s="27">
        <f>IF($A345="","",SUMIFS(入库单!$K$4:$K$2503,入库单!$G$4:$G$2503,$A345,入库单!$X$4:$X$2503,"采购入库",入库单!$Z$4:$Z$2503,"正常",入库单!$C$4:$C$2503,"&gt;="&amp;账期起,入库单!$C$4:$C$2503,"&lt;="&amp;账期止))</f>
        <v/>
      </c>
      <c r="J345" s="26">
        <f>IF($A345="","",SUMIFS(入库单!$V$4:$V$2503,入库单!$G$4:$G$2503,$A345,入库单!$X$4:$X$2503,"采购入库",入库单!$Z$4:$Z$2503,"正常",入库单!$C$4:$C$2503,"&gt;="&amp;账期起,入库单!$C$4:$C$2503,"&lt;="&amp;账期止))</f>
        <v/>
      </c>
      <c r="K345" s="26">
        <f>IF($A345="","",IFERROR(ROUND((N($H345)+N($J345))/(N($G345)+N($I345)),2),0))</f>
        <v/>
      </c>
      <c r="L345" s="27">
        <f>IF($A345="","",SUMIFS(入库单!$K$4:$K$2503,入库单!$G$4:$G$2503,$A345,入库单!$X$4:$X$2503,"盘盈",入库单!$Z$4:$Z$2503,"正常",入库单!$C$4:$C$2503,"&gt;="&amp;账期起,入库单!$C$4:$C$2503,"&lt;="&amp;账期止))</f>
        <v/>
      </c>
      <c r="M345" s="26">
        <f>IF($A345="","",ROUND($L345*$K345,0))</f>
        <v/>
      </c>
      <c r="N345" s="27">
        <f>IF($A345="","",SUMIFS(入库单!$K$4:$K$2503,入库单!$G$4:$G$2503,$A345,入库单!$X$4:$X$2503,"矿区退库",入库单!$Z$4:$Z$2503,"正常",入库单!$C$4:$C$2503,"&gt;="&amp;账期起,入库单!$C$4:$C$2503,"&lt;="&amp;账期止))</f>
        <v/>
      </c>
      <c r="O345" s="26">
        <f>IF($A345="","",ROUND($N345*$K345,0))</f>
        <v/>
      </c>
      <c r="P345" s="27">
        <f>IF($A345="","",SUMIFS(出库单!$J$4:$J$4003,出库单!$D$4:$D$4003,$A345,出库单!$K$4:$K$4003,"自用消耗",出库单!$U$4:$U$4003,"正常",出库单!$C$4:$C$4003,"&gt;="&amp;账期起,出库单!$C$4:$C$4003,"&lt;="&amp;账期止))</f>
        <v/>
      </c>
      <c r="Q345" s="26">
        <f>IF($A345="","",ROUND(SUMIFS(出库单!$S$4:$S$4003,出库单!$D$4:$D$4003,$A345,出库单!$K$4:$K$4003,"自用消耗",出库单!$U$4:$U$4003,"正常",出库单!$C$4:$C$4003,"&gt;="&amp;账期起,出库单!$C$4:$C$4003,"&lt;="&amp;账期止),0))</f>
        <v/>
      </c>
      <c r="R345" s="27">
        <f>IF($A345="","",SUMIFS(出库单!$J$4:$J$4003,出库单!$D$4:$D$4003,$A345,出库单!$K$4:$K$4003,"对外销售",出库单!$U$4:$U$4003,"正常",出库单!$C$4:$C$4003,"&gt;="&amp;账期起,出库单!$C$4:$C$4003,"&lt;="&amp;账期止))</f>
        <v/>
      </c>
      <c r="S345" s="26">
        <f>IF($A345="","",ROUND(SUMIFS(出库单!$S$4:$S$4003,出库单!$D$4:$D$4003,$A345,出库单!$K$4:$K$4003,"对外销售",出库单!$U$4:$U$4003,"正常",出库单!$C$4:$C$4003,"&gt;="&amp;账期起,出库单!$C$4:$C$4003,"&lt;="&amp;账期止),0))</f>
        <v/>
      </c>
      <c r="T345" s="27">
        <f>IF($A345="","",SUMIFS(出库单!$J$4:$J$4003,出库单!$D$4:$D$4003,$A345,出库单!$K$4:$K$4003,"盘亏",出库单!$U$4:$U$4003,"正常",出库单!$C$4:$C$4003,"&gt;="&amp;账期起,出库单!$C$4:$C$4003,"&lt;="&amp;账期止))</f>
        <v/>
      </c>
      <c r="U345" s="26">
        <f>IF($A345="","",ROUND(SUMIFS(出库单!$S$4:$S$4003,出库单!$D$4:$D$4003,$A345,出库单!$K$4:$K$4003,"盘亏",出库单!$U$4:$U$4003,"正常",出库单!$C$4:$C$4003,"&gt;="&amp;账期起,出库单!$C$4:$C$4003,"&lt;="&amp;账期止),0))</f>
        <v/>
      </c>
      <c r="V345" s="27">
        <f>IF($A345="","",SUMIFS(出库单!$J$4:$J$4003,出库单!$D$4:$D$4003,$A345,出库单!$K$4:$K$4003,"退货给供应商",出库单!$U$4:$U$4003,"正常",出库单!$C$4:$C$4003,"&gt;="&amp;账期起,出库单!$C$4:$C$4003,"&lt;="&amp;账期止))</f>
        <v/>
      </c>
      <c r="W345" s="26">
        <f>IF($A345="","",ROUND(SUMIFS(出库单!$S$4:$S$4003,出库单!$D$4:$D$4003,$A345,出库单!$K$4:$K$4003,"退货给供应商",出库单!$U$4:$U$4003,"正常",出库单!$C$4:$C$4003,"&gt;="&amp;账期起,出库单!$C$4:$C$4003,"&lt;="&amp;账期止),0))</f>
        <v/>
      </c>
      <c r="X345" s="27">
        <f>IF($A345="","",ROUND(N($G345)+$I345+$L345+$N345-$P345-$R345-$T345-$V345,3))</f>
        <v/>
      </c>
      <c r="Y345" s="26">
        <f>IF($A345="","",ROUND(N($H345)+$J345+$M345+$O345-$Q345-$S345-$U345-$W345,0))</f>
        <v/>
      </c>
      <c r="Z345" s="24">
        <f>IF($A345="","",IF(COUNTIFS(入库单!$G$4:$G$2503,$A345,入库单!$Y$4:$Y$2503,"待补价")+COUNTIFS(入库单!$G$4:$G$2503,$A345,入库单!$Y$4:$Y$2503,"暂估")&gt;0,"不可信","可信"))</f>
        <v/>
      </c>
      <c r="AA345" s="24">
        <f>IF($A345="","",IF($X345&lt;-0.001,"※账面负库存，查一下是不是漏记入库",IF(AND(ROUND($X345,3)=0,ABS($Y345)&gt;1),"※数量已经是 0，金额还挂着 "&amp;TEXT($Y345,"#,##0")&amp;" 先令",IF(AND($X345&gt;0,$Y345&lt;=0,$K345=0),"※有数量没金额（这个物料一直没填过进价）",IF($Z345="不可信","△成本含待补价/暂估，毛利仅供参考","")))))</f>
        <v/>
      </c>
    </row>
    <row r="346">
      <c r="A346" s="24">
        <f>IF(物料档案!$A345="","",物料档案!$A345)</f>
        <v/>
      </c>
      <c r="B346" s="24">
        <f>IF($A346="","",IFERROR(VLOOKUP($A346,物料档案!$A$4:$P$1203,3,0),""))</f>
        <v/>
      </c>
      <c r="C346" s="24">
        <f>IF($A346="","",IFERROR(VLOOKUP($A346,物料档案!$A$4:$P$1203,4,0),""))</f>
        <v/>
      </c>
      <c r="D346" s="24">
        <f>IF($A346="","",IFERROR(VLOOKUP($A346,物料档案!$A$4:$P$1203,5,0),""))</f>
        <v/>
      </c>
      <c r="E346" s="24">
        <f>IF($A346="","",IFERROR(VLOOKUP($A346,物料档案!$A$4:$P$1203,2,0),""))</f>
        <v/>
      </c>
      <c r="F346" s="24">
        <f>IF($A346="","",IFERROR(VLOOKUP($A346,物料档案!$A$4:$P$1203,6,0),""))</f>
        <v/>
      </c>
      <c r="G346" s="23" t="n"/>
      <c r="H346" s="32" t="n"/>
      <c r="I346" s="27">
        <f>IF($A346="","",SUMIFS(入库单!$K$4:$K$2503,入库单!$G$4:$G$2503,$A346,入库单!$X$4:$X$2503,"采购入库",入库单!$Z$4:$Z$2503,"正常",入库单!$C$4:$C$2503,"&gt;="&amp;账期起,入库单!$C$4:$C$2503,"&lt;="&amp;账期止))</f>
        <v/>
      </c>
      <c r="J346" s="26">
        <f>IF($A346="","",SUMIFS(入库单!$V$4:$V$2503,入库单!$G$4:$G$2503,$A346,入库单!$X$4:$X$2503,"采购入库",入库单!$Z$4:$Z$2503,"正常",入库单!$C$4:$C$2503,"&gt;="&amp;账期起,入库单!$C$4:$C$2503,"&lt;="&amp;账期止))</f>
        <v/>
      </c>
      <c r="K346" s="26">
        <f>IF($A346="","",IFERROR(ROUND((N($H346)+N($J346))/(N($G346)+N($I346)),2),0))</f>
        <v/>
      </c>
      <c r="L346" s="27">
        <f>IF($A346="","",SUMIFS(入库单!$K$4:$K$2503,入库单!$G$4:$G$2503,$A346,入库单!$X$4:$X$2503,"盘盈",入库单!$Z$4:$Z$2503,"正常",入库单!$C$4:$C$2503,"&gt;="&amp;账期起,入库单!$C$4:$C$2503,"&lt;="&amp;账期止))</f>
        <v/>
      </c>
      <c r="M346" s="26">
        <f>IF($A346="","",ROUND($L346*$K346,0))</f>
        <v/>
      </c>
      <c r="N346" s="27">
        <f>IF($A346="","",SUMIFS(入库单!$K$4:$K$2503,入库单!$G$4:$G$2503,$A346,入库单!$X$4:$X$2503,"矿区退库",入库单!$Z$4:$Z$2503,"正常",入库单!$C$4:$C$2503,"&gt;="&amp;账期起,入库单!$C$4:$C$2503,"&lt;="&amp;账期止))</f>
        <v/>
      </c>
      <c r="O346" s="26">
        <f>IF($A346="","",ROUND($N346*$K346,0))</f>
        <v/>
      </c>
      <c r="P346" s="27">
        <f>IF($A346="","",SUMIFS(出库单!$J$4:$J$4003,出库单!$D$4:$D$4003,$A346,出库单!$K$4:$K$4003,"自用消耗",出库单!$U$4:$U$4003,"正常",出库单!$C$4:$C$4003,"&gt;="&amp;账期起,出库单!$C$4:$C$4003,"&lt;="&amp;账期止))</f>
        <v/>
      </c>
      <c r="Q346" s="26">
        <f>IF($A346="","",ROUND(SUMIFS(出库单!$S$4:$S$4003,出库单!$D$4:$D$4003,$A346,出库单!$K$4:$K$4003,"自用消耗",出库单!$U$4:$U$4003,"正常",出库单!$C$4:$C$4003,"&gt;="&amp;账期起,出库单!$C$4:$C$4003,"&lt;="&amp;账期止),0))</f>
        <v/>
      </c>
      <c r="R346" s="27">
        <f>IF($A346="","",SUMIFS(出库单!$J$4:$J$4003,出库单!$D$4:$D$4003,$A346,出库单!$K$4:$K$4003,"对外销售",出库单!$U$4:$U$4003,"正常",出库单!$C$4:$C$4003,"&gt;="&amp;账期起,出库单!$C$4:$C$4003,"&lt;="&amp;账期止))</f>
        <v/>
      </c>
      <c r="S346" s="26">
        <f>IF($A346="","",ROUND(SUMIFS(出库单!$S$4:$S$4003,出库单!$D$4:$D$4003,$A346,出库单!$K$4:$K$4003,"对外销售",出库单!$U$4:$U$4003,"正常",出库单!$C$4:$C$4003,"&gt;="&amp;账期起,出库单!$C$4:$C$4003,"&lt;="&amp;账期止),0))</f>
        <v/>
      </c>
      <c r="T346" s="27">
        <f>IF($A346="","",SUMIFS(出库单!$J$4:$J$4003,出库单!$D$4:$D$4003,$A346,出库单!$K$4:$K$4003,"盘亏",出库单!$U$4:$U$4003,"正常",出库单!$C$4:$C$4003,"&gt;="&amp;账期起,出库单!$C$4:$C$4003,"&lt;="&amp;账期止))</f>
        <v/>
      </c>
      <c r="U346" s="26">
        <f>IF($A346="","",ROUND(SUMIFS(出库单!$S$4:$S$4003,出库单!$D$4:$D$4003,$A346,出库单!$K$4:$K$4003,"盘亏",出库单!$U$4:$U$4003,"正常",出库单!$C$4:$C$4003,"&gt;="&amp;账期起,出库单!$C$4:$C$4003,"&lt;="&amp;账期止),0))</f>
        <v/>
      </c>
      <c r="V346" s="27">
        <f>IF($A346="","",SUMIFS(出库单!$J$4:$J$4003,出库单!$D$4:$D$4003,$A346,出库单!$K$4:$K$4003,"退货给供应商",出库单!$U$4:$U$4003,"正常",出库单!$C$4:$C$4003,"&gt;="&amp;账期起,出库单!$C$4:$C$4003,"&lt;="&amp;账期止))</f>
        <v/>
      </c>
      <c r="W346" s="26">
        <f>IF($A346="","",ROUND(SUMIFS(出库单!$S$4:$S$4003,出库单!$D$4:$D$4003,$A346,出库单!$K$4:$K$4003,"退货给供应商",出库单!$U$4:$U$4003,"正常",出库单!$C$4:$C$4003,"&gt;="&amp;账期起,出库单!$C$4:$C$4003,"&lt;="&amp;账期止),0))</f>
        <v/>
      </c>
      <c r="X346" s="27">
        <f>IF($A346="","",ROUND(N($G346)+$I346+$L346+$N346-$P346-$R346-$T346-$V346,3))</f>
        <v/>
      </c>
      <c r="Y346" s="26">
        <f>IF($A346="","",ROUND(N($H346)+$J346+$M346+$O346-$Q346-$S346-$U346-$W346,0))</f>
        <v/>
      </c>
      <c r="Z346" s="24">
        <f>IF($A346="","",IF(COUNTIFS(入库单!$G$4:$G$2503,$A346,入库单!$Y$4:$Y$2503,"待补价")+COUNTIFS(入库单!$G$4:$G$2503,$A346,入库单!$Y$4:$Y$2503,"暂估")&gt;0,"不可信","可信"))</f>
        <v/>
      </c>
      <c r="AA346" s="24">
        <f>IF($A346="","",IF($X346&lt;-0.001,"※账面负库存，查一下是不是漏记入库",IF(AND(ROUND($X346,3)=0,ABS($Y346)&gt;1),"※数量已经是 0，金额还挂着 "&amp;TEXT($Y346,"#,##0")&amp;" 先令",IF(AND($X346&gt;0,$Y346&lt;=0,$K346=0),"※有数量没金额（这个物料一直没填过进价）",IF($Z346="不可信","△成本含待补价/暂估，毛利仅供参考","")))))</f>
        <v/>
      </c>
    </row>
    <row r="347">
      <c r="A347" s="24">
        <f>IF(物料档案!$A346="","",物料档案!$A346)</f>
        <v/>
      </c>
      <c r="B347" s="24">
        <f>IF($A347="","",IFERROR(VLOOKUP($A347,物料档案!$A$4:$P$1203,3,0),""))</f>
        <v/>
      </c>
      <c r="C347" s="24">
        <f>IF($A347="","",IFERROR(VLOOKUP($A347,物料档案!$A$4:$P$1203,4,0),""))</f>
        <v/>
      </c>
      <c r="D347" s="24">
        <f>IF($A347="","",IFERROR(VLOOKUP($A347,物料档案!$A$4:$P$1203,5,0),""))</f>
        <v/>
      </c>
      <c r="E347" s="24">
        <f>IF($A347="","",IFERROR(VLOOKUP($A347,物料档案!$A$4:$P$1203,2,0),""))</f>
        <v/>
      </c>
      <c r="F347" s="24">
        <f>IF($A347="","",IFERROR(VLOOKUP($A347,物料档案!$A$4:$P$1203,6,0),""))</f>
        <v/>
      </c>
      <c r="G347" s="23" t="n"/>
      <c r="H347" s="32" t="n"/>
      <c r="I347" s="27">
        <f>IF($A347="","",SUMIFS(入库单!$K$4:$K$2503,入库单!$G$4:$G$2503,$A347,入库单!$X$4:$X$2503,"采购入库",入库单!$Z$4:$Z$2503,"正常",入库单!$C$4:$C$2503,"&gt;="&amp;账期起,入库单!$C$4:$C$2503,"&lt;="&amp;账期止))</f>
        <v/>
      </c>
      <c r="J347" s="26">
        <f>IF($A347="","",SUMIFS(入库单!$V$4:$V$2503,入库单!$G$4:$G$2503,$A347,入库单!$X$4:$X$2503,"采购入库",入库单!$Z$4:$Z$2503,"正常",入库单!$C$4:$C$2503,"&gt;="&amp;账期起,入库单!$C$4:$C$2503,"&lt;="&amp;账期止))</f>
        <v/>
      </c>
      <c r="K347" s="26">
        <f>IF($A347="","",IFERROR(ROUND((N($H347)+N($J347))/(N($G347)+N($I347)),2),0))</f>
        <v/>
      </c>
      <c r="L347" s="27">
        <f>IF($A347="","",SUMIFS(入库单!$K$4:$K$2503,入库单!$G$4:$G$2503,$A347,入库单!$X$4:$X$2503,"盘盈",入库单!$Z$4:$Z$2503,"正常",入库单!$C$4:$C$2503,"&gt;="&amp;账期起,入库单!$C$4:$C$2503,"&lt;="&amp;账期止))</f>
        <v/>
      </c>
      <c r="M347" s="26">
        <f>IF($A347="","",ROUND($L347*$K347,0))</f>
        <v/>
      </c>
      <c r="N347" s="27">
        <f>IF($A347="","",SUMIFS(入库单!$K$4:$K$2503,入库单!$G$4:$G$2503,$A347,入库单!$X$4:$X$2503,"矿区退库",入库单!$Z$4:$Z$2503,"正常",入库单!$C$4:$C$2503,"&gt;="&amp;账期起,入库单!$C$4:$C$2503,"&lt;="&amp;账期止))</f>
        <v/>
      </c>
      <c r="O347" s="26">
        <f>IF($A347="","",ROUND($N347*$K347,0))</f>
        <v/>
      </c>
      <c r="P347" s="27">
        <f>IF($A347="","",SUMIFS(出库单!$J$4:$J$4003,出库单!$D$4:$D$4003,$A347,出库单!$K$4:$K$4003,"自用消耗",出库单!$U$4:$U$4003,"正常",出库单!$C$4:$C$4003,"&gt;="&amp;账期起,出库单!$C$4:$C$4003,"&lt;="&amp;账期止))</f>
        <v/>
      </c>
      <c r="Q347" s="26">
        <f>IF($A347="","",ROUND(SUMIFS(出库单!$S$4:$S$4003,出库单!$D$4:$D$4003,$A347,出库单!$K$4:$K$4003,"自用消耗",出库单!$U$4:$U$4003,"正常",出库单!$C$4:$C$4003,"&gt;="&amp;账期起,出库单!$C$4:$C$4003,"&lt;="&amp;账期止),0))</f>
        <v/>
      </c>
      <c r="R347" s="27">
        <f>IF($A347="","",SUMIFS(出库单!$J$4:$J$4003,出库单!$D$4:$D$4003,$A347,出库单!$K$4:$K$4003,"对外销售",出库单!$U$4:$U$4003,"正常",出库单!$C$4:$C$4003,"&gt;="&amp;账期起,出库单!$C$4:$C$4003,"&lt;="&amp;账期止))</f>
        <v/>
      </c>
      <c r="S347" s="26">
        <f>IF($A347="","",ROUND(SUMIFS(出库单!$S$4:$S$4003,出库单!$D$4:$D$4003,$A347,出库单!$K$4:$K$4003,"对外销售",出库单!$U$4:$U$4003,"正常",出库单!$C$4:$C$4003,"&gt;="&amp;账期起,出库单!$C$4:$C$4003,"&lt;="&amp;账期止),0))</f>
        <v/>
      </c>
      <c r="T347" s="27">
        <f>IF($A347="","",SUMIFS(出库单!$J$4:$J$4003,出库单!$D$4:$D$4003,$A347,出库单!$K$4:$K$4003,"盘亏",出库单!$U$4:$U$4003,"正常",出库单!$C$4:$C$4003,"&gt;="&amp;账期起,出库单!$C$4:$C$4003,"&lt;="&amp;账期止))</f>
        <v/>
      </c>
      <c r="U347" s="26">
        <f>IF($A347="","",ROUND(SUMIFS(出库单!$S$4:$S$4003,出库单!$D$4:$D$4003,$A347,出库单!$K$4:$K$4003,"盘亏",出库单!$U$4:$U$4003,"正常",出库单!$C$4:$C$4003,"&gt;="&amp;账期起,出库单!$C$4:$C$4003,"&lt;="&amp;账期止),0))</f>
        <v/>
      </c>
      <c r="V347" s="27">
        <f>IF($A347="","",SUMIFS(出库单!$J$4:$J$4003,出库单!$D$4:$D$4003,$A347,出库单!$K$4:$K$4003,"退货给供应商",出库单!$U$4:$U$4003,"正常",出库单!$C$4:$C$4003,"&gt;="&amp;账期起,出库单!$C$4:$C$4003,"&lt;="&amp;账期止))</f>
        <v/>
      </c>
      <c r="W347" s="26">
        <f>IF($A347="","",ROUND(SUMIFS(出库单!$S$4:$S$4003,出库单!$D$4:$D$4003,$A347,出库单!$K$4:$K$4003,"退货给供应商",出库单!$U$4:$U$4003,"正常",出库单!$C$4:$C$4003,"&gt;="&amp;账期起,出库单!$C$4:$C$4003,"&lt;="&amp;账期止),0))</f>
        <v/>
      </c>
      <c r="X347" s="27">
        <f>IF($A347="","",ROUND(N($G347)+$I347+$L347+$N347-$P347-$R347-$T347-$V347,3))</f>
        <v/>
      </c>
      <c r="Y347" s="26">
        <f>IF($A347="","",ROUND(N($H347)+$J347+$M347+$O347-$Q347-$S347-$U347-$W347,0))</f>
        <v/>
      </c>
      <c r="Z347" s="24">
        <f>IF($A347="","",IF(COUNTIFS(入库单!$G$4:$G$2503,$A347,入库单!$Y$4:$Y$2503,"待补价")+COUNTIFS(入库单!$G$4:$G$2503,$A347,入库单!$Y$4:$Y$2503,"暂估")&gt;0,"不可信","可信"))</f>
        <v/>
      </c>
      <c r="AA347" s="24">
        <f>IF($A347="","",IF($X347&lt;-0.001,"※账面负库存，查一下是不是漏记入库",IF(AND(ROUND($X347,3)=0,ABS($Y347)&gt;1),"※数量已经是 0，金额还挂着 "&amp;TEXT($Y347,"#,##0")&amp;" 先令",IF(AND($X347&gt;0,$Y347&lt;=0,$K347=0),"※有数量没金额（这个物料一直没填过进价）",IF($Z347="不可信","△成本含待补价/暂估，毛利仅供参考","")))))</f>
        <v/>
      </c>
    </row>
    <row r="348">
      <c r="A348" s="24">
        <f>IF(物料档案!$A347="","",物料档案!$A347)</f>
        <v/>
      </c>
      <c r="B348" s="24">
        <f>IF($A348="","",IFERROR(VLOOKUP($A348,物料档案!$A$4:$P$1203,3,0),""))</f>
        <v/>
      </c>
      <c r="C348" s="24">
        <f>IF($A348="","",IFERROR(VLOOKUP($A348,物料档案!$A$4:$P$1203,4,0),""))</f>
        <v/>
      </c>
      <c r="D348" s="24">
        <f>IF($A348="","",IFERROR(VLOOKUP($A348,物料档案!$A$4:$P$1203,5,0),""))</f>
        <v/>
      </c>
      <c r="E348" s="24">
        <f>IF($A348="","",IFERROR(VLOOKUP($A348,物料档案!$A$4:$P$1203,2,0),""))</f>
        <v/>
      </c>
      <c r="F348" s="24">
        <f>IF($A348="","",IFERROR(VLOOKUP($A348,物料档案!$A$4:$P$1203,6,0),""))</f>
        <v/>
      </c>
      <c r="G348" s="23" t="n"/>
      <c r="H348" s="32" t="n"/>
      <c r="I348" s="27">
        <f>IF($A348="","",SUMIFS(入库单!$K$4:$K$2503,入库单!$G$4:$G$2503,$A348,入库单!$X$4:$X$2503,"采购入库",入库单!$Z$4:$Z$2503,"正常",入库单!$C$4:$C$2503,"&gt;="&amp;账期起,入库单!$C$4:$C$2503,"&lt;="&amp;账期止))</f>
        <v/>
      </c>
      <c r="J348" s="26">
        <f>IF($A348="","",SUMIFS(入库单!$V$4:$V$2503,入库单!$G$4:$G$2503,$A348,入库单!$X$4:$X$2503,"采购入库",入库单!$Z$4:$Z$2503,"正常",入库单!$C$4:$C$2503,"&gt;="&amp;账期起,入库单!$C$4:$C$2503,"&lt;="&amp;账期止))</f>
        <v/>
      </c>
      <c r="K348" s="26">
        <f>IF($A348="","",IFERROR(ROUND((N($H348)+N($J348))/(N($G348)+N($I348)),2),0))</f>
        <v/>
      </c>
      <c r="L348" s="27">
        <f>IF($A348="","",SUMIFS(入库单!$K$4:$K$2503,入库单!$G$4:$G$2503,$A348,入库单!$X$4:$X$2503,"盘盈",入库单!$Z$4:$Z$2503,"正常",入库单!$C$4:$C$2503,"&gt;="&amp;账期起,入库单!$C$4:$C$2503,"&lt;="&amp;账期止))</f>
        <v/>
      </c>
      <c r="M348" s="26">
        <f>IF($A348="","",ROUND($L348*$K348,0))</f>
        <v/>
      </c>
      <c r="N348" s="27">
        <f>IF($A348="","",SUMIFS(入库单!$K$4:$K$2503,入库单!$G$4:$G$2503,$A348,入库单!$X$4:$X$2503,"矿区退库",入库单!$Z$4:$Z$2503,"正常",入库单!$C$4:$C$2503,"&gt;="&amp;账期起,入库单!$C$4:$C$2503,"&lt;="&amp;账期止))</f>
        <v/>
      </c>
      <c r="O348" s="26">
        <f>IF($A348="","",ROUND($N348*$K348,0))</f>
        <v/>
      </c>
      <c r="P348" s="27">
        <f>IF($A348="","",SUMIFS(出库单!$J$4:$J$4003,出库单!$D$4:$D$4003,$A348,出库单!$K$4:$K$4003,"自用消耗",出库单!$U$4:$U$4003,"正常",出库单!$C$4:$C$4003,"&gt;="&amp;账期起,出库单!$C$4:$C$4003,"&lt;="&amp;账期止))</f>
        <v/>
      </c>
      <c r="Q348" s="26">
        <f>IF($A348="","",ROUND(SUMIFS(出库单!$S$4:$S$4003,出库单!$D$4:$D$4003,$A348,出库单!$K$4:$K$4003,"自用消耗",出库单!$U$4:$U$4003,"正常",出库单!$C$4:$C$4003,"&gt;="&amp;账期起,出库单!$C$4:$C$4003,"&lt;="&amp;账期止),0))</f>
        <v/>
      </c>
      <c r="R348" s="27">
        <f>IF($A348="","",SUMIFS(出库单!$J$4:$J$4003,出库单!$D$4:$D$4003,$A348,出库单!$K$4:$K$4003,"对外销售",出库单!$U$4:$U$4003,"正常",出库单!$C$4:$C$4003,"&gt;="&amp;账期起,出库单!$C$4:$C$4003,"&lt;="&amp;账期止))</f>
        <v/>
      </c>
      <c r="S348" s="26">
        <f>IF($A348="","",ROUND(SUMIFS(出库单!$S$4:$S$4003,出库单!$D$4:$D$4003,$A348,出库单!$K$4:$K$4003,"对外销售",出库单!$U$4:$U$4003,"正常",出库单!$C$4:$C$4003,"&gt;="&amp;账期起,出库单!$C$4:$C$4003,"&lt;="&amp;账期止),0))</f>
        <v/>
      </c>
      <c r="T348" s="27">
        <f>IF($A348="","",SUMIFS(出库单!$J$4:$J$4003,出库单!$D$4:$D$4003,$A348,出库单!$K$4:$K$4003,"盘亏",出库单!$U$4:$U$4003,"正常",出库单!$C$4:$C$4003,"&gt;="&amp;账期起,出库单!$C$4:$C$4003,"&lt;="&amp;账期止))</f>
        <v/>
      </c>
      <c r="U348" s="26">
        <f>IF($A348="","",ROUND(SUMIFS(出库单!$S$4:$S$4003,出库单!$D$4:$D$4003,$A348,出库单!$K$4:$K$4003,"盘亏",出库单!$U$4:$U$4003,"正常",出库单!$C$4:$C$4003,"&gt;="&amp;账期起,出库单!$C$4:$C$4003,"&lt;="&amp;账期止),0))</f>
        <v/>
      </c>
      <c r="V348" s="27">
        <f>IF($A348="","",SUMIFS(出库单!$J$4:$J$4003,出库单!$D$4:$D$4003,$A348,出库单!$K$4:$K$4003,"退货给供应商",出库单!$U$4:$U$4003,"正常",出库单!$C$4:$C$4003,"&gt;="&amp;账期起,出库单!$C$4:$C$4003,"&lt;="&amp;账期止))</f>
        <v/>
      </c>
      <c r="W348" s="26">
        <f>IF($A348="","",ROUND(SUMIFS(出库单!$S$4:$S$4003,出库单!$D$4:$D$4003,$A348,出库单!$K$4:$K$4003,"退货给供应商",出库单!$U$4:$U$4003,"正常",出库单!$C$4:$C$4003,"&gt;="&amp;账期起,出库单!$C$4:$C$4003,"&lt;="&amp;账期止),0))</f>
        <v/>
      </c>
      <c r="X348" s="27">
        <f>IF($A348="","",ROUND(N($G348)+$I348+$L348+$N348-$P348-$R348-$T348-$V348,3))</f>
        <v/>
      </c>
      <c r="Y348" s="26">
        <f>IF($A348="","",ROUND(N($H348)+$J348+$M348+$O348-$Q348-$S348-$U348-$W348,0))</f>
        <v/>
      </c>
      <c r="Z348" s="24">
        <f>IF($A348="","",IF(COUNTIFS(入库单!$G$4:$G$2503,$A348,入库单!$Y$4:$Y$2503,"待补价")+COUNTIFS(入库单!$G$4:$G$2503,$A348,入库单!$Y$4:$Y$2503,"暂估")&gt;0,"不可信","可信"))</f>
        <v/>
      </c>
      <c r="AA348" s="24">
        <f>IF($A348="","",IF($X348&lt;-0.001,"※账面负库存，查一下是不是漏记入库",IF(AND(ROUND($X348,3)=0,ABS($Y348)&gt;1),"※数量已经是 0，金额还挂着 "&amp;TEXT($Y348,"#,##0")&amp;" 先令",IF(AND($X348&gt;0,$Y348&lt;=0,$K348=0),"※有数量没金额（这个物料一直没填过进价）",IF($Z348="不可信","△成本含待补价/暂估，毛利仅供参考","")))))</f>
        <v/>
      </c>
    </row>
    <row r="349">
      <c r="A349" s="24">
        <f>IF(物料档案!$A348="","",物料档案!$A348)</f>
        <v/>
      </c>
      <c r="B349" s="24">
        <f>IF($A349="","",IFERROR(VLOOKUP($A349,物料档案!$A$4:$P$1203,3,0),""))</f>
        <v/>
      </c>
      <c r="C349" s="24">
        <f>IF($A349="","",IFERROR(VLOOKUP($A349,物料档案!$A$4:$P$1203,4,0),""))</f>
        <v/>
      </c>
      <c r="D349" s="24">
        <f>IF($A349="","",IFERROR(VLOOKUP($A349,物料档案!$A$4:$P$1203,5,0),""))</f>
        <v/>
      </c>
      <c r="E349" s="24">
        <f>IF($A349="","",IFERROR(VLOOKUP($A349,物料档案!$A$4:$P$1203,2,0),""))</f>
        <v/>
      </c>
      <c r="F349" s="24">
        <f>IF($A349="","",IFERROR(VLOOKUP($A349,物料档案!$A$4:$P$1203,6,0),""))</f>
        <v/>
      </c>
      <c r="G349" s="23" t="n"/>
      <c r="H349" s="32" t="n"/>
      <c r="I349" s="27">
        <f>IF($A349="","",SUMIFS(入库单!$K$4:$K$2503,入库单!$G$4:$G$2503,$A349,入库单!$X$4:$X$2503,"采购入库",入库单!$Z$4:$Z$2503,"正常",入库单!$C$4:$C$2503,"&gt;="&amp;账期起,入库单!$C$4:$C$2503,"&lt;="&amp;账期止))</f>
        <v/>
      </c>
      <c r="J349" s="26">
        <f>IF($A349="","",SUMIFS(入库单!$V$4:$V$2503,入库单!$G$4:$G$2503,$A349,入库单!$X$4:$X$2503,"采购入库",入库单!$Z$4:$Z$2503,"正常",入库单!$C$4:$C$2503,"&gt;="&amp;账期起,入库单!$C$4:$C$2503,"&lt;="&amp;账期止))</f>
        <v/>
      </c>
      <c r="K349" s="26">
        <f>IF($A349="","",IFERROR(ROUND((N($H349)+N($J349))/(N($G349)+N($I349)),2),0))</f>
        <v/>
      </c>
      <c r="L349" s="27">
        <f>IF($A349="","",SUMIFS(入库单!$K$4:$K$2503,入库单!$G$4:$G$2503,$A349,入库单!$X$4:$X$2503,"盘盈",入库单!$Z$4:$Z$2503,"正常",入库单!$C$4:$C$2503,"&gt;="&amp;账期起,入库单!$C$4:$C$2503,"&lt;="&amp;账期止))</f>
        <v/>
      </c>
      <c r="M349" s="26">
        <f>IF($A349="","",ROUND($L349*$K349,0))</f>
        <v/>
      </c>
      <c r="N349" s="27">
        <f>IF($A349="","",SUMIFS(入库单!$K$4:$K$2503,入库单!$G$4:$G$2503,$A349,入库单!$X$4:$X$2503,"矿区退库",入库单!$Z$4:$Z$2503,"正常",入库单!$C$4:$C$2503,"&gt;="&amp;账期起,入库单!$C$4:$C$2503,"&lt;="&amp;账期止))</f>
        <v/>
      </c>
      <c r="O349" s="26">
        <f>IF($A349="","",ROUND($N349*$K349,0))</f>
        <v/>
      </c>
      <c r="P349" s="27">
        <f>IF($A349="","",SUMIFS(出库单!$J$4:$J$4003,出库单!$D$4:$D$4003,$A349,出库单!$K$4:$K$4003,"自用消耗",出库单!$U$4:$U$4003,"正常",出库单!$C$4:$C$4003,"&gt;="&amp;账期起,出库单!$C$4:$C$4003,"&lt;="&amp;账期止))</f>
        <v/>
      </c>
      <c r="Q349" s="26">
        <f>IF($A349="","",ROUND(SUMIFS(出库单!$S$4:$S$4003,出库单!$D$4:$D$4003,$A349,出库单!$K$4:$K$4003,"自用消耗",出库单!$U$4:$U$4003,"正常",出库单!$C$4:$C$4003,"&gt;="&amp;账期起,出库单!$C$4:$C$4003,"&lt;="&amp;账期止),0))</f>
        <v/>
      </c>
      <c r="R349" s="27">
        <f>IF($A349="","",SUMIFS(出库单!$J$4:$J$4003,出库单!$D$4:$D$4003,$A349,出库单!$K$4:$K$4003,"对外销售",出库单!$U$4:$U$4003,"正常",出库单!$C$4:$C$4003,"&gt;="&amp;账期起,出库单!$C$4:$C$4003,"&lt;="&amp;账期止))</f>
        <v/>
      </c>
      <c r="S349" s="26">
        <f>IF($A349="","",ROUND(SUMIFS(出库单!$S$4:$S$4003,出库单!$D$4:$D$4003,$A349,出库单!$K$4:$K$4003,"对外销售",出库单!$U$4:$U$4003,"正常",出库单!$C$4:$C$4003,"&gt;="&amp;账期起,出库单!$C$4:$C$4003,"&lt;="&amp;账期止),0))</f>
        <v/>
      </c>
      <c r="T349" s="27">
        <f>IF($A349="","",SUMIFS(出库单!$J$4:$J$4003,出库单!$D$4:$D$4003,$A349,出库单!$K$4:$K$4003,"盘亏",出库单!$U$4:$U$4003,"正常",出库单!$C$4:$C$4003,"&gt;="&amp;账期起,出库单!$C$4:$C$4003,"&lt;="&amp;账期止))</f>
        <v/>
      </c>
      <c r="U349" s="26">
        <f>IF($A349="","",ROUND(SUMIFS(出库单!$S$4:$S$4003,出库单!$D$4:$D$4003,$A349,出库单!$K$4:$K$4003,"盘亏",出库单!$U$4:$U$4003,"正常",出库单!$C$4:$C$4003,"&gt;="&amp;账期起,出库单!$C$4:$C$4003,"&lt;="&amp;账期止),0))</f>
        <v/>
      </c>
      <c r="V349" s="27">
        <f>IF($A349="","",SUMIFS(出库单!$J$4:$J$4003,出库单!$D$4:$D$4003,$A349,出库单!$K$4:$K$4003,"退货给供应商",出库单!$U$4:$U$4003,"正常",出库单!$C$4:$C$4003,"&gt;="&amp;账期起,出库单!$C$4:$C$4003,"&lt;="&amp;账期止))</f>
        <v/>
      </c>
      <c r="W349" s="26">
        <f>IF($A349="","",ROUND(SUMIFS(出库单!$S$4:$S$4003,出库单!$D$4:$D$4003,$A349,出库单!$K$4:$K$4003,"退货给供应商",出库单!$U$4:$U$4003,"正常",出库单!$C$4:$C$4003,"&gt;="&amp;账期起,出库单!$C$4:$C$4003,"&lt;="&amp;账期止),0))</f>
        <v/>
      </c>
      <c r="X349" s="27">
        <f>IF($A349="","",ROUND(N($G349)+$I349+$L349+$N349-$P349-$R349-$T349-$V349,3))</f>
        <v/>
      </c>
      <c r="Y349" s="26">
        <f>IF($A349="","",ROUND(N($H349)+$J349+$M349+$O349-$Q349-$S349-$U349-$W349,0))</f>
        <v/>
      </c>
      <c r="Z349" s="24">
        <f>IF($A349="","",IF(COUNTIFS(入库单!$G$4:$G$2503,$A349,入库单!$Y$4:$Y$2503,"待补价")+COUNTIFS(入库单!$G$4:$G$2503,$A349,入库单!$Y$4:$Y$2503,"暂估")&gt;0,"不可信","可信"))</f>
        <v/>
      </c>
      <c r="AA349" s="24">
        <f>IF($A349="","",IF($X349&lt;-0.001,"※账面负库存，查一下是不是漏记入库",IF(AND(ROUND($X349,3)=0,ABS($Y349)&gt;1),"※数量已经是 0，金额还挂着 "&amp;TEXT($Y349,"#,##0")&amp;" 先令",IF(AND($X349&gt;0,$Y349&lt;=0,$K349=0),"※有数量没金额（这个物料一直没填过进价）",IF($Z349="不可信","△成本含待补价/暂估，毛利仅供参考","")))))</f>
        <v/>
      </c>
    </row>
    <row r="350">
      <c r="A350" s="24">
        <f>IF(物料档案!$A349="","",物料档案!$A349)</f>
        <v/>
      </c>
      <c r="B350" s="24">
        <f>IF($A350="","",IFERROR(VLOOKUP($A350,物料档案!$A$4:$P$1203,3,0),""))</f>
        <v/>
      </c>
      <c r="C350" s="24">
        <f>IF($A350="","",IFERROR(VLOOKUP($A350,物料档案!$A$4:$P$1203,4,0),""))</f>
        <v/>
      </c>
      <c r="D350" s="24">
        <f>IF($A350="","",IFERROR(VLOOKUP($A350,物料档案!$A$4:$P$1203,5,0),""))</f>
        <v/>
      </c>
      <c r="E350" s="24">
        <f>IF($A350="","",IFERROR(VLOOKUP($A350,物料档案!$A$4:$P$1203,2,0),""))</f>
        <v/>
      </c>
      <c r="F350" s="24">
        <f>IF($A350="","",IFERROR(VLOOKUP($A350,物料档案!$A$4:$P$1203,6,0),""))</f>
        <v/>
      </c>
      <c r="G350" s="23" t="n"/>
      <c r="H350" s="32" t="n"/>
      <c r="I350" s="27">
        <f>IF($A350="","",SUMIFS(入库单!$K$4:$K$2503,入库单!$G$4:$G$2503,$A350,入库单!$X$4:$X$2503,"采购入库",入库单!$Z$4:$Z$2503,"正常",入库单!$C$4:$C$2503,"&gt;="&amp;账期起,入库单!$C$4:$C$2503,"&lt;="&amp;账期止))</f>
        <v/>
      </c>
      <c r="J350" s="26">
        <f>IF($A350="","",SUMIFS(入库单!$V$4:$V$2503,入库单!$G$4:$G$2503,$A350,入库单!$X$4:$X$2503,"采购入库",入库单!$Z$4:$Z$2503,"正常",入库单!$C$4:$C$2503,"&gt;="&amp;账期起,入库单!$C$4:$C$2503,"&lt;="&amp;账期止))</f>
        <v/>
      </c>
      <c r="K350" s="26">
        <f>IF($A350="","",IFERROR(ROUND((N($H350)+N($J350))/(N($G350)+N($I350)),2),0))</f>
        <v/>
      </c>
      <c r="L350" s="27">
        <f>IF($A350="","",SUMIFS(入库单!$K$4:$K$2503,入库单!$G$4:$G$2503,$A350,入库单!$X$4:$X$2503,"盘盈",入库单!$Z$4:$Z$2503,"正常",入库单!$C$4:$C$2503,"&gt;="&amp;账期起,入库单!$C$4:$C$2503,"&lt;="&amp;账期止))</f>
        <v/>
      </c>
      <c r="M350" s="26">
        <f>IF($A350="","",ROUND($L350*$K350,0))</f>
        <v/>
      </c>
      <c r="N350" s="27">
        <f>IF($A350="","",SUMIFS(入库单!$K$4:$K$2503,入库单!$G$4:$G$2503,$A350,入库单!$X$4:$X$2503,"矿区退库",入库单!$Z$4:$Z$2503,"正常",入库单!$C$4:$C$2503,"&gt;="&amp;账期起,入库单!$C$4:$C$2503,"&lt;="&amp;账期止))</f>
        <v/>
      </c>
      <c r="O350" s="26">
        <f>IF($A350="","",ROUND($N350*$K350,0))</f>
        <v/>
      </c>
      <c r="P350" s="27">
        <f>IF($A350="","",SUMIFS(出库单!$J$4:$J$4003,出库单!$D$4:$D$4003,$A350,出库单!$K$4:$K$4003,"自用消耗",出库单!$U$4:$U$4003,"正常",出库单!$C$4:$C$4003,"&gt;="&amp;账期起,出库单!$C$4:$C$4003,"&lt;="&amp;账期止))</f>
        <v/>
      </c>
      <c r="Q350" s="26">
        <f>IF($A350="","",ROUND(SUMIFS(出库单!$S$4:$S$4003,出库单!$D$4:$D$4003,$A350,出库单!$K$4:$K$4003,"自用消耗",出库单!$U$4:$U$4003,"正常",出库单!$C$4:$C$4003,"&gt;="&amp;账期起,出库单!$C$4:$C$4003,"&lt;="&amp;账期止),0))</f>
        <v/>
      </c>
      <c r="R350" s="27">
        <f>IF($A350="","",SUMIFS(出库单!$J$4:$J$4003,出库单!$D$4:$D$4003,$A350,出库单!$K$4:$K$4003,"对外销售",出库单!$U$4:$U$4003,"正常",出库单!$C$4:$C$4003,"&gt;="&amp;账期起,出库单!$C$4:$C$4003,"&lt;="&amp;账期止))</f>
        <v/>
      </c>
      <c r="S350" s="26">
        <f>IF($A350="","",ROUND(SUMIFS(出库单!$S$4:$S$4003,出库单!$D$4:$D$4003,$A350,出库单!$K$4:$K$4003,"对外销售",出库单!$U$4:$U$4003,"正常",出库单!$C$4:$C$4003,"&gt;="&amp;账期起,出库单!$C$4:$C$4003,"&lt;="&amp;账期止),0))</f>
        <v/>
      </c>
      <c r="T350" s="27">
        <f>IF($A350="","",SUMIFS(出库单!$J$4:$J$4003,出库单!$D$4:$D$4003,$A350,出库单!$K$4:$K$4003,"盘亏",出库单!$U$4:$U$4003,"正常",出库单!$C$4:$C$4003,"&gt;="&amp;账期起,出库单!$C$4:$C$4003,"&lt;="&amp;账期止))</f>
        <v/>
      </c>
      <c r="U350" s="26">
        <f>IF($A350="","",ROUND(SUMIFS(出库单!$S$4:$S$4003,出库单!$D$4:$D$4003,$A350,出库单!$K$4:$K$4003,"盘亏",出库单!$U$4:$U$4003,"正常",出库单!$C$4:$C$4003,"&gt;="&amp;账期起,出库单!$C$4:$C$4003,"&lt;="&amp;账期止),0))</f>
        <v/>
      </c>
      <c r="V350" s="27">
        <f>IF($A350="","",SUMIFS(出库单!$J$4:$J$4003,出库单!$D$4:$D$4003,$A350,出库单!$K$4:$K$4003,"退货给供应商",出库单!$U$4:$U$4003,"正常",出库单!$C$4:$C$4003,"&gt;="&amp;账期起,出库单!$C$4:$C$4003,"&lt;="&amp;账期止))</f>
        <v/>
      </c>
      <c r="W350" s="26">
        <f>IF($A350="","",ROUND(SUMIFS(出库单!$S$4:$S$4003,出库单!$D$4:$D$4003,$A350,出库单!$K$4:$K$4003,"退货给供应商",出库单!$U$4:$U$4003,"正常",出库单!$C$4:$C$4003,"&gt;="&amp;账期起,出库单!$C$4:$C$4003,"&lt;="&amp;账期止),0))</f>
        <v/>
      </c>
      <c r="X350" s="27">
        <f>IF($A350="","",ROUND(N($G350)+$I350+$L350+$N350-$P350-$R350-$T350-$V350,3))</f>
        <v/>
      </c>
      <c r="Y350" s="26">
        <f>IF($A350="","",ROUND(N($H350)+$J350+$M350+$O350-$Q350-$S350-$U350-$W350,0))</f>
        <v/>
      </c>
      <c r="Z350" s="24">
        <f>IF($A350="","",IF(COUNTIFS(入库单!$G$4:$G$2503,$A350,入库单!$Y$4:$Y$2503,"待补价")+COUNTIFS(入库单!$G$4:$G$2503,$A350,入库单!$Y$4:$Y$2503,"暂估")&gt;0,"不可信","可信"))</f>
        <v/>
      </c>
      <c r="AA350" s="24">
        <f>IF($A350="","",IF($X350&lt;-0.001,"※账面负库存，查一下是不是漏记入库",IF(AND(ROUND($X350,3)=0,ABS($Y350)&gt;1),"※数量已经是 0，金额还挂着 "&amp;TEXT($Y350,"#,##0")&amp;" 先令",IF(AND($X350&gt;0,$Y350&lt;=0,$K350=0),"※有数量没金额（这个物料一直没填过进价）",IF($Z350="不可信","△成本含待补价/暂估，毛利仅供参考","")))))</f>
        <v/>
      </c>
    </row>
    <row r="351">
      <c r="A351" s="24">
        <f>IF(物料档案!$A350="","",物料档案!$A350)</f>
        <v/>
      </c>
      <c r="B351" s="24">
        <f>IF($A351="","",IFERROR(VLOOKUP($A351,物料档案!$A$4:$P$1203,3,0),""))</f>
        <v/>
      </c>
      <c r="C351" s="24">
        <f>IF($A351="","",IFERROR(VLOOKUP($A351,物料档案!$A$4:$P$1203,4,0),""))</f>
        <v/>
      </c>
      <c r="D351" s="24">
        <f>IF($A351="","",IFERROR(VLOOKUP($A351,物料档案!$A$4:$P$1203,5,0),""))</f>
        <v/>
      </c>
      <c r="E351" s="24">
        <f>IF($A351="","",IFERROR(VLOOKUP($A351,物料档案!$A$4:$P$1203,2,0),""))</f>
        <v/>
      </c>
      <c r="F351" s="24">
        <f>IF($A351="","",IFERROR(VLOOKUP($A351,物料档案!$A$4:$P$1203,6,0),""))</f>
        <v/>
      </c>
      <c r="G351" s="23" t="n"/>
      <c r="H351" s="32" t="n"/>
      <c r="I351" s="27">
        <f>IF($A351="","",SUMIFS(入库单!$K$4:$K$2503,入库单!$G$4:$G$2503,$A351,入库单!$X$4:$X$2503,"采购入库",入库单!$Z$4:$Z$2503,"正常",入库单!$C$4:$C$2503,"&gt;="&amp;账期起,入库单!$C$4:$C$2503,"&lt;="&amp;账期止))</f>
        <v/>
      </c>
      <c r="J351" s="26">
        <f>IF($A351="","",SUMIFS(入库单!$V$4:$V$2503,入库单!$G$4:$G$2503,$A351,入库单!$X$4:$X$2503,"采购入库",入库单!$Z$4:$Z$2503,"正常",入库单!$C$4:$C$2503,"&gt;="&amp;账期起,入库单!$C$4:$C$2503,"&lt;="&amp;账期止))</f>
        <v/>
      </c>
      <c r="K351" s="26">
        <f>IF($A351="","",IFERROR(ROUND((N($H351)+N($J351))/(N($G351)+N($I351)),2),0))</f>
        <v/>
      </c>
      <c r="L351" s="27">
        <f>IF($A351="","",SUMIFS(入库单!$K$4:$K$2503,入库单!$G$4:$G$2503,$A351,入库单!$X$4:$X$2503,"盘盈",入库单!$Z$4:$Z$2503,"正常",入库单!$C$4:$C$2503,"&gt;="&amp;账期起,入库单!$C$4:$C$2503,"&lt;="&amp;账期止))</f>
        <v/>
      </c>
      <c r="M351" s="26">
        <f>IF($A351="","",ROUND($L351*$K351,0))</f>
        <v/>
      </c>
      <c r="N351" s="27">
        <f>IF($A351="","",SUMIFS(入库单!$K$4:$K$2503,入库单!$G$4:$G$2503,$A351,入库单!$X$4:$X$2503,"矿区退库",入库单!$Z$4:$Z$2503,"正常",入库单!$C$4:$C$2503,"&gt;="&amp;账期起,入库单!$C$4:$C$2503,"&lt;="&amp;账期止))</f>
        <v/>
      </c>
      <c r="O351" s="26">
        <f>IF($A351="","",ROUND($N351*$K351,0))</f>
        <v/>
      </c>
      <c r="P351" s="27">
        <f>IF($A351="","",SUMIFS(出库单!$J$4:$J$4003,出库单!$D$4:$D$4003,$A351,出库单!$K$4:$K$4003,"自用消耗",出库单!$U$4:$U$4003,"正常",出库单!$C$4:$C$4003,"&gt;="&amp;账期起,出库单!$C$4:$C$4003,"&lt;="&amp;账期止))</f>
        <v/>
      </c>
      <c r="Q351" s="26">
        <f>IF($A351="","",ROUND(SUMIFS(出库单!$S$4:$S$4003,出库单!$D$4:$D$4003,$A351,出库单!$K$4:$K$4003,"自用消耗",出库单!$U$4:$U$4003,"正常",出库单!$C$4:$C$4003,"&gt;="&amp;账期起,出库单!$C$4:$C$4003,"&lt;="&amp;账期止),0))</f>
        <v/>
      </c>
      <c r="R351" s="27">
        <f>IF($A351="","",SUMIFS(出库单!$J$4:$J$4003,出库单!$D$4:$D$4003,$A351,出库单!$K$4:$K$4003,"对外销售",出库单!$U$4:$U$4003,"正常",出库单!$C$4:$C$4003,"&gt;="&amp;账期起,出库单!$C$4:$C$4003,"&lt;="&amp;账期止))</f>
        <v/>
      </c>
      <c r="S351" s="26">
        <f>IF($A351="","",ROUND(SUMIFS(出库单!$S$4:$S$4003,出库单!$D$4:$D$4003,$A351,出库单!$K$4:$K$4003,"对外销售",出库单!$U$4:$U$4003,"正常",出库单!$C$4:$C$4003,"&gt;="&amp;账期起,出库单!$C$4:$C$4003,"&lt;="&amp;账期止),0))</f>
        <v/>
      </c>
      <c r="T351" s="27">
        <f>IF($A351="","",SUMIFS(出库单!$J$4:$J$4003,出库单!$D$4:$D$4003,$A351,出库单!$K$4:$K$4003,"盘亏",出库单!$U$4:$U$4003,"正常",出库单!$C$4:$C$4003,"&gt;="&amp;账期起,出库单!$C$4:$C$4003,"&lt;="&amp;账期止))</f>
        <v/>
      </c>
      <c r="U351" s="26">
        <f>IF($A351="","",ROUND(SUMIFS(出库单!$S$4:$S$4003,出库单!$D$4:$D$4003,$A351,出库单!$K$4:$K$4003,"盘亏",出库单!$U$4:$U$4003,"正常",出库单!$C$4:$C$4003,"&gt;="&amp;账期起,出库单!$C$4:$C$4003,"&lt;="&amp;账期止),0))</f>
        <v/>
      </c>
      <c r="V351" s="27">
        <f>IF($A351="","",SUMIFS(出库单!$J$4:$J$4003,出库单!$D$4:$D$4003,$A351,出库单!$K$4:$K$4003,"退货给供应商",出库单!$U$4:$U$4003,"正常",出库单!$C$4:$C$4003,"&gt;="&amp;账期起,出库单!$C$4:$C$4003,"&lt;="&amp;账期止))</f>
        <v/>
      </c>
      <c r="W351" s="26">
        <f>IF($A351="","",ROUND(SUMIFS(出库单!$S$4:$S$4003,出库单!$D$4:$D$4003,$A351,出库单!$K$4:$K$4003,"退货给供应商",出库单!$U$4:$U$4003,"正常",出库单!$C$4:$C$4003,"&gt;="&amp;账期起,出库单!$C$4:$C$4003,"&lt;="&amp;账期止),0))</f>
        <v/>
      </c>
      <c r="X351" s="27">
        <f>IF($A351="","",ROUND(N($G351)+$I351+$L351+$N351-$P351-$R351-$T351-$V351,3))</f>
        <v/>
      </c>
      <c r="Y351" s="26">
        <f>IF($A351="","",ROUND(N($H351)+$J351+$M351+$O351-$Q351-$S351-$U351-$W351,0))</f>
        <v/>
      </c>
      <c r="Z351" s="24">
        <f>IF($A351="","",IF(COUNTIFS(入库单!$G$4:$G$2503,$A351,入库单!$Y$4:$Y$2503,"待补价")+COUNTIFS(入库单!$G$4:$G$2503,$A351,入库单!$Y$4:$Y$2503,"暂估")&gt;0,"不可信","可信"))</f>
        <v/>
      </c>
      <c r="AA351" s="24">
        <f>IF($A351="","",IF($X351&lt;-0.001,"※账面负库存，查一下是不是漏记入库",IF(AND(ROUND($X351,3)=0,ABS($Y351)&gt;1),"※数量已经是 0，金额还挂着 "&amp;TEXT($Y351,"#,##0")&amp;" 先令",IF(AND($X351&gt;0,$Y351&lt;=0,$K351=0),"※有数量没金额（这个物料一直没填过进价）",IF($Z351="不可信","△成本含待补价/暂估，毛利仅供参考","")))))</f>
        <v/>
      </c>
    </row>
    <row r="352">
      <c r="A352" s="24">
        <f>IF(物料档案!$A351="","",物料档案!$A351)</f>
        <v/>
      </c>
      <c r="B352" s="24">
        <f>IF($A352="","",IFERROR(VLOOKUP($A352,物料档案!$A$4:$P$1203,3,0),""))</f>
        <v/>
      </c>
      <c r="C352" s="24">
        <f>IF($A352="","",IFERROR(VLOOKUP($A352,物料档案!$A$4:$P$1203,4,0),""))</f>
        <v/>
      </c>
      <c r="D352" s="24">
        <f>IF($A352="","",IFERROR(VLOOKUP($A352,物料档案!$A$4:$P$1203,5,0),""))</f>
        <v/>
      </c>
      <c r="E352" s="24">
        <f>IF($A352="","",IFERROR(VLOOKUP($A352,物料档案!$A$4:$P$1203,2,0),""))</f>
        <v/>
      </c>
      <c r="F352" s="24">
        <f>IF($A352="","",IFERROR(VLOOKUP($A352,物料档案!$A$4:$P$1203,6,0),""))</f>
        <v/>
      </c>
      <c r="G352" s="23" t="n"/>
      <c r="H352" s="32" t="n"/>
      <c r="I352" s="27">
        <f>IF($A352="","",SUMIFS(入库单!$K$4:$K$2503,入库单!$G$4:$G$2503,$A352,入库单!$X$4:$X$2503,"采购入库",入库单!$Z$4:$Z$2503,"正常",入库单!$C$4:$C$2503,"&gt;="&amp;账期起,入库单!$C$4:$C$2503,"&lt;="&amp;账期止))</f>
        <v/>
      </c>
      <c r="J352" s="26">
        <f>IF($A352="","",SUMIFS(入库单!$V$4:$V$2503,入库单!$G$4:$G$2503,$A352,入库单!$X$4:$X$2503,"采购入库",入库单!$Z$4:$Z$2503,"正常",入库单!$C$4:$C$2503,"&gt;="&amp;账期起,入库单!$C$4:$C$2503,"&lt;="&amp;账期止))</f>
        <v/>
      </c>
      <c r="K352" s="26">
        <f>IF($A352="","",IFERROR(ROUND((N($H352)+N($J352))/(N($G352)+N($I352)),2),0))</f>
        <v/>
      </c>
      <c r="L352" s="27">
        <f>IF($A352="","",SUMIFS(入库单!$K$4:$K$2503,入库单!$G$4:$G$2503,$A352,入库单!$X$4:$X$2503,"盘盈",入库单!$Z$4:$Z$2503,"正常",入库单!$C$4:$C$2503,"&gt;="&amp;账期起,入库单!$C$4:$C$2503,"&lt;="&amp;账期止))</f>
        <v/>
      </c>
      <c r="M352" s="26">
        <f>IF($A352="","",ROUND($L352*$K352,0))</f>
        <v/>
      </c>
      <c r="N352" s="27">
        <f>IF($A352="","",SUMIFS(入库单!$K$4:$K$2503,入库单!$G$4:$G$2503,$A352,入库单!$X$4:$X$2503,"矿区退库",入库单!$Z$4:$Z$2503,"正常",入库单!$C$4:$C$2503,"&gt;="&amp;账期起,入库单!$C$4:$C$2503,"&lt;="&amp;账期止))</f>
        <v/>
      </c>
      <c r="O352" s="26">
        <f>IF($A352="","",ROUND($N352*$K352,0))</f>
        <v/>
      </c>
      <c r="P352" s="27">
        <f>IF($A352="","",SUMIFS(出库单!$J$4:$J$4003,出库单!$D$4:$D$4003,$A352,出库单!$K$4:$K$4003,"自用消耗",出库单!$U$4:$U$4003,"正常",出库单!$C$4:$C$4003,"&gt;="&amp;账期起,出库单!$C$4:$C$4003,"&lt;="&amp;账期止))</f>
        <v/>
      </c>
      <c r="Q352" s="26">
        <f>IF($A352="","",ROUND(SUMIFS(出库单!$S$4:$S$4003,出库单!$D$4:$D$4003,$A352,出库单!$K$4:$K$4003,"自用消耗",出库单!$U$4:$U$4003,"正常",出库单!$C$4:$C$4003,"&gt;="&amp;账期起,出库单!$C$4:$C$4003,"&lt;="&amp;账期止),0))</f>
        <v/>
      </c>
      <c r="R352" s="27">
        <f>IF($A352="","",SUMIFS(出库单!$J$4:$J$4003,出库单!$D$4:$D$4003,$A352,出库单!$K$4:$K$4003,"对外销售",出库单!$U$4:$U$4003,"正常",出库单!$C$4:$C$4003,"&gt;="&amp;账期起,出库单!$C$4:$C$4003,"&lt;="&amp;账期止))</f>
        <v/>
      </c>
      <c r="S352" s="26">
        <f>IF($A352="","",ROUND(SUMIFS(出库单!$S$4:$S$4003,出库单!$D$4:$D$4003,$A352,出库单!$K$4:$K$4003,"对外销售",出库单!$U$4:$U$4003,"正常",出库单!$C$4:$C$4003,"&gt;="&amp;账期起,出库单!$C$4:$C$4003,"&lt;="&amp;账期止),0))</f>
        <v/>
      </c>
      <c r="T352" s="27">
        <f>IF($A352="","",SUMIFS(出库单!$J$4:$J$4003,出库单!$D$4:$D$4003,$A352,出库单!$K$4:$K$4003,"盘亏",出库单!$U$4:$U$4003,"正常",出库单!$C$4:$C$4003,"&gt;="&amp;账期起,出库单!$C$4:$C$4003,"&lt;="&amp;账期止))</f>
        <v/>
      </c>
      <c r="U352" s="26">
        <f>IF($A352="","",ROUND(SUMIFS(出库单!$S$4:$S$4003,出库单!$D$4:$D$4003,$A352,出库单!$K$4:$K$4003,"盘亏",出库单!$U$4:$U$4003,"正常",出库单!$C$4:$C$4003,"&gt;="&amp;账期起,出库单!$C$4:$C$4003,"&lt;="&amp;账期止),0))</f>
        <v/>
      </c>
      <c r="V352" s="27">
        <f>IF($A352="","",SUMIFS(出库单!$J$4:$J$4003,出库单!$D$4:$D$4003,$A352,出库单!$K$4:$K$4003,"退货给供应商",出库单!$U$4:$U$4003,"正常",出库单!$C$4:$C$4003,"&gt;="&amp;账期起,出库单!$C$4:$C$4003,"&lt;="&amp;账期止))</f>
        <v/>
      </c>
      <c r="W352" s="26">
        <f>IF($A352="","",ROUND(SUMIFS(出库单!$S$4:$S$4003,出库单!$D$4:$D$4003,$A352,出库单!$K$4:$K$4003,"退货给供应商",出库单!$U$4:$U$4003,"正常",出库单!$C$4:$C$4003,"&gt;="&amp;账期起,出库单!$C$4:$C$4003,"&lt;="&amp;账期止),0))</f>
        <v/>
      </c>
      <c r="X352" s="27">
        <f>IF($A352="","",ROUND(N($G352)+$I352+$L352+$N352-$P352-$R352-$T352-$V352,3))</f>
        <v/>
      </c>
      <c r="Y352" s="26">
        <f>IF($A352="","",ROUND(N($H352)+$J352+$M352+$O352-$Q352-$S352-$U352-$W352,0))</f>
        <v/>
      </c>
      <c r="Z352" s="24">
        <f>IF($A352="","",IF(COUNTIFS(入库单!$G$4:$G$2503,$A352,入库单!$Y$4:$Y$2503,"待补价")+COUNTIFS(入库单!$G$4:$G$2503,$A352,入库单!$Y$4:$Y$2503,"暂估")&gt;0,"不可信","可信"))</f>
        <v/>
      </c>
      <c r="AA352" s="24">
        <f>IF($A352="","",IF($X352&lt;-0.001,"※账面负库存，查一下是不是漏记入库",IF(AND(ROUND($X352,3)=0,ABS($Y352)&gt;1),"※数量已经是 0，金额还挂着 "&amp;TEXT($Y352,"#,##0")&amp;" 先令",IF(AND($X352&gt;0,$Y352&lt;=0,$K352=0),"※有数量没金额（这个物料一直没填过进价）",IF($Z352="不可信","△成本含待补价/暂估，毛利仅供参考","")))))</f>
        <v/>
      </c>
    </row>
    <row r="353">
      <c r="A353" s="24">
        <f>IF(物料档案!$A352="","",物料档案!$A352)</f>
        <v/>
      </c>
      <c r="B353" s="24">
        <f>IF($A353="","",IFERROR(VLOOKUP($A353,物料档案!$A$4:$P$1203,3,0),""))</f>
        <v/>
      </c>
      <c r="C353" s="24">
        <f>IF($A353="","",IFERROR(VLOOKUP($A353,物料档案!$A$4:$P$1203,4,0),""))</f>
        <v/>
      </c>
      <c r="D353" s="24">
        <f>IF($A353="","",IFERROR(VLOOKUP($A353,物料档案!$A$4:$P$1203,5,0),""))</f>
        <v/>
      </c>
      <c r="E353" s="24">
        <f>IF($A353="","",IFERROR(VLOOKUP($A353,物料档案!$A$4:$P$1203,2,0),""))</f>
        <v/>
      </c>
      <c r="F353" s="24">
        <f>IF($A353="","",IFERROR(VLOOKUP($A353,物料档案!$A$4:$P$1203,6,0),""))</f>
        <v/>
      </c>
      <c r="G353" s="23" t="n"/>
      <c r="H353" s="32" t="n"/>
      <c r="I353" s="27">
        <f>IF($A353="","",SUMIFS(入库单!$K$4:$K$2503,入库单!$G$4:$G$2503,$A353,入库单!$X$4:$X$2503,"采购入库",入库单!$Z$4:$Z$2503,"正常",入库单!$C$4:$C$2503,"&gt;="&amp;账期起,入库单!$C$4:$C$2503,"&lt;="&amp;账期止))</f>
        <v/>
      </c>
      <c r="J353" s="26">
        <f>IF($A353="","",SUMIFS(入库单!$V$4:$V$2503,入库单!$G$4:$G$2503,$A353,入库单!$X$4:$X$2503,"采购入库",入库单!$Z$4:$Z$2503,"正常",入库单!$C$4:$C$2503,"&gt;="&amp;账期起,入库单!$C$4:$C$2503,"&lt;="&amp;账期止))</f>
        <v/>
      </c>
      <c r="K353" s="26">
        <f>IF($A353="","",IFERROR(ROUND((N($H353)+N($J353))/(N($G353)+N($I353)),2),0))</f>
        <v/>
      </c>
      <c r="L353" s="27">
        <f>IF($A353="","",SUMIFS(入库单!$K$4:$K$2503,入库单!$G$4:$G$2503,$A353,入库单!$X$4:$X$2503,"盘盈",入库单!$Z$4:$Z$2503,"正常",入库单!$C$4:$C$2503,"&gt;="&amp;账期起,入库单!$C$4:$C$2503,"&lt;="&amp;账期止))</f>
        <v/>
      </c>
      <c r="M353" s="26">
        <f>IF($A353="","",ROUND($L353*$K353,0))</f>
        <v/>
      </c>
      <c r="N353" s="27">
        <f>IF($A353="","",SUMIFS(入库单!$K$4:$K$2503,入库单!$G$4:$G$2503,$A353,入库单!$X$4:$X$2503,"矿区退库",入库单!$Z$4:$Z$2503,"正常",入库单!$C$4:$C$2503,"&gt;="&amp;账期起,入库单!$C$4:$C$2503,"&lt;="&amp;账期止))</f>
        <v/>
      </c>
      <c r="O353" s="26">
        <f>IF($A353="","",ROUND($N353*$K353,0))</f>
        <v/>
      </c>
      <c r="P353" s="27">
        <f>IF($A353="","",SUMIFS(出库单!$J$4:$J$4003,出库单!$D$4:$D$4003,$A353,出库单!$K$4:$K$4003,"自用消耗",出库单!$U$4:$U$4003,"正常",出库单!$C$4:$C$4003,"&gt;="&amp;账期起,出库单!$C$4:$C$4003,"&lt;="&amp;账期止))</f>
        <v/>
      </c>
      <c r="Q353" s="26">
        <f>IF($A353="","",ROUND(SUMIFS(出库单!$S$4:$S$4003,出库单!$D$4:$D$4003,$A353,出库单!$K$4:$K$4003,"自用消耗",出库单!$U$4:$U$4003,"正常",出库单!$C$4:$C$4003,"&gt;="&amp;账期起,出库单!$C$4:$C$4003,"&lt;="&amp;账期止),0))</f>
        <v/>
      </c>
      <c r="R353" s="27">
        <f>IF($A353="","",SUMIFS(出库单!$J$4:$J$4003,出库单!$D$4:$D$4003,$A353,出库单!$K$4:$K$4003,"对外销售",出库单!$U$4:$U$4003,"正常",出库单!$C$4:$C$4003,"&gt;="&amp;账期起,出库单!$C$4:$C$4003,"&lt;="&amp;账期止))</f>
        <v/>
      </c>
      <c r="S353" s="26">
        <f>IF($A353="","",ROUND(SUMIFS(出库单!$S$4:$S$4003,出库单!$D$4:$D$4003,$A353,出库单!$K$4:$K$4003,"对外销售",出库单!$U$4:$U$4003,"正常",出库单!$C$4:$C$4003,"&gt;="&amp;账期起,出库单!$C$4:$C$4003,"&lt;="&amp;账期止),0))</f>
        <v/>
      </c>
      <c r="T353" s="27">
        <f>IF($A353="","",SUMIFS(出库单!$J$4:$J$4003,出库单!$D$4:$D$4003,$A353,出库单!$K$4:$K$4003,"盘亏",出库单!$U$4:$U$4003,"正常",出库单!$C$4:$C$4003,"&gt;="&amp;账期起,出库单!$C$4:$C$4003,"&lt;="&amp;账期止))</f>
        <v/>
      </c>
      <c r="U353" s="26">
        <f>IF($A353="","",ROUND(SUMIFS(出库单!$S$4:$S$4003,出库单!$D$4:$D$4003,$A353,出库单!$K$4:$K$4003,"盘亏",出库单!$U$4:$U$4003,"正常",出库单!$C$4:$C$4003,"&gt;="&amp;账期起,出库单!$C$4:$C$4003,"&lt;="&amp;账期止),0))</f>
        <v/>
      </c>
      <c r="V353" s="27">
        <f>IF($A353="","",SUMIFS(出库单!$J$4:$J$4003,出库单!$D$4:$D$4003,$A353,出库单!$K$4:$K$4003,"退货给供应商",出库单!$U$4:$U$4003,"正常",出库单!$C$4:$C$4003,"&gt;="&amp;账期起,出库单!$C$4:$C$4003,"&lt;="&amp;账期止))</f>
        <v/>
      </c>
      <c r="W353" s="26">
        <f>IF($A353="","",ROUND(SUMIFS(出库单!$S$4:$S$4003,出库单!$D$4:$D$4003,$A353,出库单!$K$4:$K$4003,"退货给供应商",出库单!$U$4:$U$4003,"正常",出库单!$C$4:$C$4003,"&gt;="&amp;账期起,出库单!$C$4:$C$4003,"&lt;="&amp;账期止),0))</f>
        <v/>
      </c>
      <c r="X353" s="27">
        <f>IF($A353="","",ROUND(N($G353)+$I353+$L353+$N353-$P353-$R353-$T353-$V353,3))</f>
        <v/>
      </c>
      <c r="Y353" s="26">
        <f>IF($A353="","",ROUND(N($H353)+$J353+$M353+$O353-$Q353-$S353-$U353-$W353,0))</f>
        <v/>
      </c>
      <c r="Z353" s="24">
        <f>IF($A353="","",IF(COUNTIFS(入库单!$G$4:$G$2503,$A353,入库单!$Y$4:$Y$2503,"待补价")+COUNTIFS(入库单!$G$4:$G$2503,$A353,入库单!$Y$4:$Y$2503,"暂估")&gt;0,"不可信","可信"))</f>
        <v/>
      </c>
      <c r="AA353" s="24">
        <f>IF($A353="","",IF($X353&lt;-0.001,"※账面负库存，查一下是不是漏记入库",IF(AND(ROUND($X353,3)=0,ABS($Y353)&gt;1),"※数量已经是 0，金额还挂着 "&amp;TEXT($Y353,"#,##0")&amp;" 先令",IF(AND($X353&gt;0,$Y353&lt;=0,$K353=0),"※有数量没金额（这个物料一直没填过进价）",IF($Z353="不可信","△成本含待补价/暂估，毛利仅供参考","")))))</f>
        <v/>
      </c>
    </row>
    <row r="354">
      <c r="A354" s="24">
        <f>IF(物料档案!$A353="","",物料档案!$A353)</f>
        <v/>
      </c>
      <c r="B354" s="24">
        <f>IF($A354="","",IFERROR(VLOOKUP($A354,物料档案!$A$4:$P$1203,3,0),""))</f>
        <v/>
      </c>
      <c r="C354" s="24">
        <f>IF($A354="","",IFERROR(VLOOKUP($A354,物料档案!$A$4:$P$1203,4,0),""))</f>
        <v/>
      </c>
      <c r="D354" s="24">
        <f>IF($A354="","",IFERROR(VLOOKUP($A354,物料档案!$A$4:$P$1203,5,0),""))</f>
        <v/>
      </c>
      <c r="E354" s="24">
        <f>IF($A354="","",IFERROR(VLOOKUP($A354,物料档案!$A$4:$P$1203,2,0),""))</f>
        <v/>
      </c>
      <c r="F354" s="24">
        <f>IF($A354="","",IFERROR(VLOOKUP($A354,物料档案!$A$4:$P$1203,6,0),""))</f>
        <v/>
      </c>
      <c r="G354" s="23" t="n"/>
      <c r="H354" s="32" t="n"/>
      <c r="I354" s="27">
        <f>IF($A354="","",SUMIFS(入库单!$K$4:$K$2503,入库单!$G$4:$G$2503,$A354,入库单!$X$4:$X$2503,"采购入库",入库单!$Z$4:$Z$2503,"正常",入库单!$C$4:$C$2503,"&gt;="&amp;账期起,入库单!$C$4:$C$2503,"&lt;="&amp;账期止))</f>
        <v/>
      </c>
      <c r="J354" s="26">
        <f>IF($A354="","",SUMIFS(入库单!$V$4:$V$2503,入库单!$G$4:$G$2503,$A354,入库单!$X$4:$X$2503,"采购入库",入库单!$Z$4:$Z$2503,"正常",入库单!$C$4:$C$2503,"&gt;="&amp;账期起,入库单!$C$4:$C$2503,"&lt;="&amp;账期止))</f>
        <v/>
      </c>
      <c r="K354" s="26">
        <f>IF($A354="","",IFERROR(ROUND((N($H354)+N($J354))/(N($G354)+N($I354)),2),0))</f>
        <v/>
      </c>
      <c r="L354" s="27">
        <f>IF($A354="","",SUMIFS(入库单!$K$4:$K$2503,入库单!$G$4:$G$2503,$A354,入库单!$X$4:$X$2503,"盘盈",入库单!$Z$4:$Z$2503,"正常",入库单!$C$4:$C$2503,"&gt;="&amp;账期起,入库单!$C$4:$C$2503,"&lt;="&amp;账期止))</f>
        <v/>
      </c>
      <c r="M354" s="26">
        <f>IF($A354="","",ROUND($L354*$K354,0))</f>
        <v/>
      </c>
      <c r="N354" s="27">
        <f>IF($A354="","",SUMIFS(入库单!$K$4:$K$2503,入库单!$G$4:$G$2503,$A354,入库单!$X$4:$X$2503,"矿区退库",入库单!$Z$4:$Z$2503,"正常",入库单!$C$4:$C$2503,"&gt;="&amp;账期起,入库单!$C$4:$C$2503,"&lt;="&amp;账期止))</f>
        <v/>
      </c>
      <c r="O354" s="26">
        <f>IF($A354="","",ROUND($N354*$K354,0))</f>
        <v/>
      </c>
      <c r="P354" s="27">
        <f>IF($A354="","",SUMIFS(出库单!$J$4:$J$4003,出库单!$D$4:$D$4003,$A354,出库单!$K$4:$K$4003,"自用消耗",出库单!$U$4:$U$4003,"正常",出库单!$C$4:$C$4003,"&gt;="&amp;账期起,出库单!$C$4:$C$4003,"&lt;="&amp;账期止))</f>
        <v/>
      </c>
      <c r="Q354" s="26">
        <f>IF($A354="","",ROUND(SUMIFS(出库单!$S$4:$S$4003,出库单!$D$4:$D$4003,$A354,出库单!$K$4:$K$4003,"自用消耗",出库单!$U$4:$U$4003,"正常",出库单!$C$4:$C$4003,"&gt;="&amp;账期起,出库单!$C$4:$C$4003,"&lt;="&amp;账期止),0))</f>
        <v/>
      </c>
      <c r="R354" s="27">
        <f>IF($A354="","",SUMIFS(出库单!$J$4:$J$4003,出库单!$D$4:$D$4003,$A354,出库单!$K$4:$K$4003,"对外销售",出库单!$U$4:$U$4003,"正常",出库单!$C$4:$C$4003,"&gt;="&amp;账期起,出库单!$C$4:$C$4003,"&lt;="&amp;账期止))</f>
        <v/>
      </c>
      <c r="S354" s="26">
        <f>IF($A354="","",ROUND(SUMIFS(出库单!$S$4:$S$4003,出库单!$D$4:$D$4003,$A354,出库单!$K$4:$K$4003,"对外销售",出库单!$U$4:$U$4003,"正常",出库单!$C$4:$C$4003,"&gt;="&amp;账期起,出库单!$C$4:$C$4003,"&lt;="&amp;账期止),0))</f>
        <v/>
      </c>
      <c r="T354" s="27">
        <f>IF($A354="","",SUMIFS(出库单!$J$4:$J$4003,出库单!$D$4:$D$4003,$A354,出库单!$K$4:$K$4003,"盘亏",出库单!$U$4:$U$4003,"正常",出库单!$C$4:$C$4003,"&gt;="&amp;账期起,出库单!$C$4:$C$4003,"&lt;="&amp;账期止))</f>
        <v/>
      </c>
      <c r="U354" s="26">
        <f>IF($A354="","",ROUND(SUMIFS(出库单!$S$4:$S$4003,出库单!$D$4:$D$4003,$A354,出库单!$K$4:$K$4003,"盘亏",出库单!$U$4:$U$4003,"正常",出库单!$C$4:$C$4003,"&gt;="&amp;账期起,出库单!$C$4:$C$4003,"&lt;="&amp;账期止),0))</f>
        <v/>
      </c>
      <c r="V354" s="27">
        <f>IF($A354="","",SUMIFS(出库单!$J$4:$J$4003,出库单!$D$4:$D$4003,$A354,出库单!$K$4:$K$4003,"退货给供应商",出库单!$U$4:$U$4003,"正常",出库单!$C$4:$C$4003,"&gt;="&amp;账期起,出库单!$C$4:$C$4003,"&lt;="&amp;账期止))</f>
        <v/>
      </c>
      <c r="W354" s="26">
        <f>IF($A354="","",ROUND(SUMIFS(出库单!$S$4:$S$4003,出库单!$D$4:$D$4003,$A354,出库单!$K$4:$K$4003,"退货给供应商",出库单!$U$4:$U$4003,"正常",出库单!$C$4:$C$4003,"&gt;="&amp;账期起,出库单!$C$4:$C$4003,"&lt;="&amp;账期止),0))</f>
        <v/>
      </c>
      <c r="X354" s="27">
        <f>IF($A354="","",ROUND(N($G354)+$I354+$L354+$N354-$P354-$R354-$T354-$V354,3))</f>
        <v/>
      </c>
      <c r="Y354" s="26">
        <f>IF($A354="","",ROUND(N($H354)+$J354+$M354+$O354-$Q354-$S354-$U354-$W354,0))</f>
        <v/>
      </c>
      <c r="Z354" s="24">
        <f>IF($A354="","",IF(COUNTIFS(入库单!$G$4:$G$2503,$A354,入库单!$Y$4:$Y$2503,"待补价")+COUNTIFS(入库单!$G$4:$G$2503,$A354,入库单!$Y$4:$Y$2503,"暂估")&gt;0,"不可信","可信"))</f>
        <v/>
      </c>
      <c r="AA354" s="24">
        <f>IF($A354="","",IF($X354&lt;-0.001,"※账面负库存，查一下是不是漏记入库",IF(AND(ROUND($X354,3)=0,ABS($Y354)&gt;1),"※数量已经是 0，金额还挂着 "&amp;TEXT($Y354,"#,##0")&amp;" 先令",IF(AND($X354&gt;0,$Y354&lt;=0,$K354=0),"※有数量没金额（这个物料一直没填过进价）",IF($Z354="不可信","△成本含待补价/暂估，毛利仅供参考","")))))</f>
        <v/>
      </c>
    </row>
    <row r="355">
      <c r="A355" s="24">
        <f>IF(物料档案!$A354="","",物料档案!$A354)</f>
        <v/>
      </c>
      <c r="B355" s="24">
        <f>IF($A355="","",IFERROR(VLOOKUP($A355,物料档案!$A$4:$P$1203,3,0),""))</f>
        <v/>
      </c>
      <c r="C355" s="24">
        <f>IF($A355="","",IFERROR(VLOOKUP($A355,物料档案!$A$4:$P$1203,4,0),""))</f>
        <v/>
      </c>
      <c r="D355" s="24">
        <f>IF($A355="","",IFERROR(VLOOKUP($A355,物料档案!$A$4:$P$1203,5,0),""))</f>
        <v/>
      </c>
      <c r="E355" s="24">
        <f>IF($A355="","",IFERROR(VLOOKUP($A355,物料档案!$A$4:$P$1203,2,0),""))</f>
        <v/>
      </c>
      <c r="F355" s="24">
        <f>IF($A355="","",IFERROR(VLOOKUP($A355,物料档案!$A$4:$P$1203,6,0),""))</f>
        <v/>
      </c>
      <c r="G355" s="23" t="n"/>
      <c r="H355" s="32" t="n"/>
      <c r="I355" s="27">
        <f>IF($A355="","",SUMIFS(入库单!$K$4:$K$2503,入库单!$G$4:$G$2503,$A355,入库单!$X$4:$X$2503,"采购入库",入库单!$Z$4:$Z$2503,"正常",入库单!$C$4:$C$2503,"&gt;="&amp;账期起,入库单!$C$4:$C$2503,"&lt;="&amp;账期止))</f>
        <v/>
      </c>
      <c r="J355" s="26">
        <f>IF($A355="","",SUMIFS(入库单!$V$4:$V$2503,入库单!$G$4:$G$2503,$A355,入库单!$X$4:$X$2503,"采购入库",入库单!$Z$4:$Z$2503,"正常",入库单!$C$4:$C$2503,"&gt;="&amp;账期起,入库单!$C$4:$C$2503,"&lt;="&amp;账期止))</f>
        <v/>
      </c>
      <c r="K355" s="26">
        <f>IF($A355="","",IFERROR(ROUND((N($H355)+N($J355))/(N($G355)+N($I355)),2),0))</f>
        <v/>
      </c>
      <c r="L355" s="27">
        <f>IF($A355="","",SUMIFS(入库单!$K$4:$K$2503,入库单!$G$4:$G$2503,$A355,入库单!$X$4:$X$2503,"盘盈",入库单!$Z$4:$Z$2503,"正常",入库单!$C$4:$C$2503,"&gt;="&amp;账期起,入库单!$C$4:$C$2503,"&lt;="&amp;账期止))</f>
        <v/>
      </c>
      <c r="M355" s="26">
        <f>IF($A355="","",ROUND($L355*$K355,0))</f>
        <v/>
      </c>
      <c r="N355" s="27">
        <f>IF($A355="","",SUMIFS(入库单!$K$4:$K$2503,入库单!$G$4:$G$2503,$A355,入库单!$X$4:$X$2503,"矿区退库",入库单!$Z$4:$Z$2503,"正常",入库单!$C$4:$C$2503,"&gt;="&amp;账期起,入库单!$C$4:$C$2503,"&lt;="&amp;账期止))</f>
        <v/>
      </c>
      <c r="O355" s="26">
        <f>IF($A355="","",ROUND($N355*$K355,0))</f>
        <v/>
      </c>
      <c r="P355" s="27">
        <f>IF($A355="","",SUMIFS(出库单!$J$4:$J$4003,出库单!$D$4:$D$4003,$A355,出库单!$K$4:$K$4003,"自用消耗",出库单!$U$4:$U$4003,"正常",出库单!$C$4:$C$4003,"&gt;="&amp;账期起,出库单!$C$4:$C$4003,"&lt;="&amp;账期止))</f>
        <v/>
      </c>
      <c r="Q355" s="26">
        <f>IF($A355="","",ROUND(SUMIFS(出库单!$S$4:$S$4003,出库单!$D$4:$D$4003,$A355,出库单!$K$4:$K$4003,"自用消耗",出库单!$U$4:$U$4003,"正常",出库单!$C$4:$C$4003,"&gt;="&amp;账期起,出库单!$C$4:$C$4003,"&lt;="&amp;账期止),0))</f>
        <v/>
      </c>
      <c r="R355" s="27">
        <f>IF($A355="","",SUMIFS(出库单!$J$4:$J$4003,出库单!$D$4:$D$4003,$A355,出库单!$K$4:$K$4003,"对外销售",出库单!$U$4:$U$4003,"正常",出库单!$C$4:$C$4003,"&gt;="&amp;账期起,出库单!$C$4:$C$4003,"&lt;="&amp;账期止))</f>
        <v/>
      </c>
      <c r="S355" s="26">
        <f>IF($A355="","",ROUND(SUMIFS(出库单!$S$4:$S$4003,出库单!$D$4:$D$4003,$A355,出库单!$K$4:$K$4003,"对外销售",出库单!$U$4:$U$4003,"正常",出库单!$C$4:$C$4003,"&gt;="&amp;账期起,出库单!$C$4:$C$4003,"&lt;="&amp;账期止),0))</f>
        <v/>
      </c>
      <c r="T355" s="27">
        <f>IF($A355="","",SUMIFS(出库单!$J$4:$J$4003,出库单!$D$4:$D$4003,$A355,出库单!$K$4:$K$4003,"盘亏",出库单!$U$4:$U$4003,"正常",出库单!$C$4:$C$4003,"&gt;="&amp;账期起,出库单!$C$4:$C$4003,"&lt;="&amp;账期止))</f>
        <v/>
      </c>
      <c r="U355" s="26">
        <f>IF($A355="","",ROUND(SUMIFS(出库单!$S$4:$S$4003,出库单!$D$4:$D$4003,$A355,出库单!$K$4:$K$4003,"盘亏",出库单!$U$4:$U$4003,"正常",出库单!$C$4:$C$4003,"&gt;="&amp;账期起,出库单!$C$4:$C$4003,"&lt;="&amp;账期止),0))</f>
        <v/>
      </c>
      <c r="V355" s="27">
        <f>IF($A355="","",SUMIFS(出库单!$J$4:$J$4003,出库单!$D$4:$D$4003,$A355,出库单!$K$4:$K$4003,"退货给供应商",出库单!$U$4:$U$4003,"正常",出库单!$C$4:$C$4003,"&gt;="&amp;账期起,出库单!$C$4:$C$4003,"&lt;="&amp;账期止))</f>
        <v/>
      </c>
      <c r="W355" s="26">
        <f>IF($A355="","",ROUND(SUMIFS(出库单!$S$4:$S$4003,出库单!$D$4:$D$4003,$A355,出库单!$K$4:$K$4003,"退货给供应商",出库单!$U$4:$U$4003,"正常",出库单!$C$4:$C$4003,"&gt;="&amp;账期起,出库单!$C$4:$C$4003,"&lt;="&amp;账期止),0))</f>
        <v/>
      </c>
      <c r="X355" s="27">
        <f>IF($A355="","",ROUND(N($G355)+$I355+$L355+$N355-$P355-$R355-$T355-$V355,3))</f>
        <v/>
      </c>
      <c r="Y355" s="26">
        <f>IF($A355="","",ROUND(N($H355)+$J355+$M355+$O355-$Q355-$S355-$U355-$W355,0))</f>
        <v/>
      </c>
      <c r="Z355" s="24">
        <f>IF($A355="","",IF(COUNTIFS(入库单!$G$4:$G$2503,$A355,入库单!$Y$4:$Y$2503,"待补价")+COUNTIFS(入库单!$G$4:$G$2503,$A355,入库单!$Y$4:$Y$2503,"暂估")&gt;0,"不可信","可信"))</f>
        <v/>
      </c>
      <c r="AA355" s="24">
        <f>IF($A355="","",IF($X355&lt;-0.001,"※账面负库存，查一下是不是漏记入库",IF(AND(ROUND($X355,3)=0,ABS($Y355)&gt;1),"※数量已经是 0，金额还挂着 "&amp;TEXT($Y355,"#,##0")&amp;" 先令",IF(AND($X355&gt;0,$Y355&lt;=0,$K355=0),"※有数量没金额（这个物料一直没填过进价）",IF($Z355="不可信","△成本含待补价/暂估，毛利仅供参考","")))))</f>
        <v/>
      </c>
    </row>
    <row r="356">
      <c r="A356" s="24">
        <f>IF(物料档案!$A355="","",物料档案!$A355)</f>
        <v/>
      </c>
      <c r="B356" s="24">
        <f>IF($A356="","",IFERROR(VLOOKUP($A356,物料档案!$A$4:$P$1203,3,0),""))</f>
        <v/>
      </c>
      <c r="C356" s="24">
        <f>IF($A356="","",IFERROR(VLOOKUP($A356,物料档案!$A$4:$P$1203,4,0),""))</f>
        <v/>
      </c>
      <c r="D356" s="24">
        <f>IF($A356="","",IFERROR(VLOOKUP($A356,物料档案!$A$4:$P$1203,5,0),""))</f>
        <v/>
      </c>
      <c r="E356" s="24">
        <f>IF($A356="","",IFERROR(VLOOKUP($A356,物料档案!$A$4:$P$1203,2,0),""))</f>
        <v/>
      </c>
      <c r="F356" s="24">
        <f>IF($A356="","",IFERROR(VLOOKUP($A356,物料档案!$A$4:$P$1203,6,0),""))</f>
        <v/>
      </c>
      <c r="G356" s="23" t="n"/>
      <c r="H356" s="32" t="n"/>
      <c r="I356" s="27">
        <f>IF($A356="","",SUMIFS(入库单!$K$4:$K$2503,入库单!$G$4:$G$2503,$A356,入库单!$X$4:$X$2503,"采购入库",入库单!$Z$4:$Z$2503,"正常",入库单!$C$4:$C$2503,"&gt;="&amp;账期起,入库单!$C$4:$C$2503,"&lt;="&amp;账期止))</f>
        <v/>
      </c>
      <c r="J356" s="26">
        <f>IF($A356="","",SUMIFS(入库单!$V$4:$V$2503,入库单!$G$4:$G$2503,$A356,入库单!$X$4:$X$2503,"采购入库",入库单!$Z$4:$Z$2503,"正常",入库单!$C$4:$C$2503,"&gt;="&amp;账期起,入库单!$C$4:$C$2503,"&lt;="&amp;账期止))</f>
        <v/>
      </c>
      <c r="K356" s="26">
        <f>IF($A356="","",IFERROR(ROUND((N($H356)+N($J356))/(N($G356)+N($I356)),2),0))</f>
        <v/>
      </c>
      <c r="L356" s="27">
        <f>IF($A356="","",SUMIFS(入库单!$K$4:$K$2503,入库单!$G$4:$G$2503,$A356,入库单!$X$4:$X$2503,"盘盈",入库单!$Z$4:$Z$2503,"正常",入库单!$C$4:$C$2503,"&gt;="&amp;账期起,入库单!$C$4:$C$2503,"&lt;="&amp;账期止))</f>
        <v/>
      </c>
      <c r="M356" s="26">
        <f>IF($A356="","",ROUND($L356*$K356,0))</f>
        <v/>
      </c>
      <c r="N356" s="27">
        <f>IF($A356="","",SUMIFS(入库单!$K$4:$K$2503,入库单!$G$4:$G$2503,$A356,入库单!$X$4:$X$2503,"矿区退库",入库单!$Z$4:$Z$2503,"正常",入库单!$C$4:$C$2503,"&gt;="&amp;账期起,入库单!$C$4:$C$2503,"&lt;="&amp;账期止))</f>
        <v/>
      </c>
      <c r="O356" s="26">
        <f>IF($A356="","",ROUND($N356*$K356,0))</f>
        <v/>
      </c>
      <c r="P356" s="27">
        <f>IF($A356="","",SUMIFS(出库单!$J$4:$J$4003,出库单!$D$4:$D$4003,$A356,出库单!$K$4:$K$4003,"自用消耗",出库单!$U$4:$U$4003,"正常",出库单!$C$4:$C$4003,"&gt;="&amp;账期起,出库单!$C$4:$C$4003,"&lt;="&amp;账期止))</f>
        <v/>
      </c>
      <c r="Q356" s="26">
        <f>IF($A356="","",ROUND(SUMIFS(出库单!$S$4:$S$4003,出库单!$D$4:$D$4003,$A356,出库单!$K$4:$K$4003,"自用消耗",出库单!$U$4:$U$4003,"正常",出库单!$C$4:$C$4003,"&gt;="&amp;账期起,出库单!$C$4:$C$4003,"&lt;="&amp;账期止),0))</f>
        <v/>
      </c>
      <c r="R356" s="27">
        <f>IF($A356="","",SUMIFS(出库单!$J$4:$J$4003,出库单!$D$4:$D$4003,$A356,出库单!$K$4:$K$4003,"对外销售",出库单!$U$4:$U$4003,"正常",出库单!$C$4:$C$4003,"&gt;="&amp;账期起,出库单!$C$4:$C$4003,"&lt;="&amp;账期止))</f>
        <v/>
      </c>
      <c r="S356" s="26">
        <f>IF($A356="","",ROUND(SUMIFS(出库单!$S$4:$S$4003,出库单!$D$4:$D$4003,$A356,出库单!$K$4:$K$4003,"对外销售",出库单!$U$4:$U$4003,"正常",出库单!$C$4:$C$4003,"&gt;="&amp;账期起,出库单!$C$4:$C$4003,"&lt;="&amp;账期止),0))</f>
        <v/>
      </c>
      <c r="T356" s="27">
        <f>IF($A356="","",SUMIFS(出库单!$J$4:$J$4003,出库单!$D$4:$D$4003,$A356,出库单!$K$4:$K$4003,"盘亏",出库单!$U$4:$U$4003,"正常",出库单!$C$4:$C$4003,"&gt;="&amp;账期起,出库单!$C$4:$C$4003,"&lt;="&amp;账期止))</f>
        <v/>
      </c>
      <c r="U356" s="26">
        <f>IF($A356="","",ROUND(SUMIFS(出库单!$S$4:$S$4003,出库单!$D$4:$D$4003,$A356,出库单!$K$4:$K$4003,"盘亏",出库单!$U$4:$U$4003,"正常",出库单!$C$4:$C$4003,"&gt;="&amp;账期起,出库单!$C$4:$C$4003,"&lt;="&amp;账期止),0))</f>
        <v/>
      </c>
      <c r="V356" s="27">
        <f>IF($A356="","",SUMIFS(出库单!$J$4:$J$4003,出库单!$D$4:$D$4003,$A356,出库单!$K$4:$K$4003,"退货给供应商",出库单!$U$4:$U$4003,"正常",出库单!$C$4:$C$4003,"&gt;="&amp;账期起,出库单!$C$4:$C$4003,"&lt;="&amp;账期止))</f>
        <v/>
      </c>
      <c r="W356" s="26">
        <f>IF($A356="","",ROUND(SUMIFS(出库单!$S$4:$S$4003,出库单!$D$4:$D$4003,$A356,出库单!$K$4:$K$4003,"退货给供应商",出库单!$U$4:$U$4003,"正常",出库单!$C$4:$C$4003,"&gt;="&amp;账期起,出库单!$C$4:$C$4003,"&lt;="&amp;账期止),0))</f>
        <v/>
      </c>
      <c r="X356" s="27">
        <f>IF($A356="","",ROUND(N($G356)+$I356+$L356+$N356-$P356-$R356-$T356-$V356,3))</f>
        <v/>
      </c>
      <c r="Y356" s="26">
        <f>IF($A356="","",ROUND(N($H356)+$J356+$M356+$O356-$Q356-$S356-$U356-$W356,0))</f>
        <v/>
      </c>
      <c r="Z356" s="24">
        <f>IF($A356="","",IF(COUNTIFS(入库单!$G$4:$G$2503,$A356,入库单!$Y$4:$Y$2503,"待补价")+COUNTIFS(入库单!$G$4:$G$2503,$A356,入库单!$Y$4:$Y$2503,"暂估")&gt;0,"不可信","可信"))</f>
        <v/>
      </c>
      <c r="AA356" s="24">
        <f>IF($A356="","",IF($X356&lt;-0.001,"※账面负库存，查一下是不是漏记入库",IF(AND(ROUND($X356,3)=0,ABS($Y356)&gt;1),"※数量已经是 0，金额还挂着 "&amp;TEXT($Y356,"#,##0")&amp;" 先令",IF(AND($X356&gt;0,$Y356&lt;=0,$K356=0),"※有数量没金额（这个物料一直没填过进价）",IF($Z356="不可信","△成本含待补价/暂估，毛利仅供参考","")))))</f>
        <v/>
      </c>
    </row>
    <row r="357">
      <c r="A357" s="24">
        <f>IF(物料档案!$A356="","",物料档案!$A356)</f>
        <v/>
      </c>
      <c r="B357" s="24">
        <f>IF($A357="","",IFERROR(VLOOKUP($A357,物料档案!$A$4:$P$1203,3,0),""))</f>
        <v/>
      </c>
      <c r="C357" s="24">
        <f>IF($A357="","",IFERROR(VLOOKUP($A357,物料档案!$A$4:$P$1203,4,0),""))</f>
        <v/>
      </c>
      <c r="D357" s="24">
        <f>IF($A357="","",IFERROR(VLOOKUP($A357,物料档案!$A$4:$P$1203,5,0),""))</f>
        <v/>
      </c>
      <c r="E357" s="24">
        <f>IF($A357="","",IFERROR(VLOOKUP($A357,物料档案!$A$4:$P$1203,2,0),""))</f>
        <v/>
      </c>
      <c r="F357" s="24">
        <f>IF($A357="","",IFERROR(VLOOKUP($A357,物料档案!$A$4:$P$1203,6,0),""))</f>
        <v/>
      </c>
      <c r="G357" s="23" t="n"/>
      <c r="H357" s="32" t="n"/>
      <c r="I357" s="27">
        <f>IF($A357="","",SUMIFS(入库单!$K$4:$K$2503,入库单!$G$4:$G$2503,$A357,入库单!$X$4:$X$2503,"采购入库",入库单!$Z$4:$Z$2503,"正常",入库单!$C$4:$C$2503,"&gt;="&amp;账期起,入库单!$C$4:$C$2503,"&lt;="&amp;账期止))</f>
        <v/>
      </c>
      <c r="J357" s="26">
        <f>IF($A357="","",SUMIFS(入库单!$V$4:$V$2503,入库单!$G$4:$G$2503,$A357,入库单!$X$4:$X$2503,"采购入库",入库单!$Z$4:$Z$2503,"正常",入库单!$C$4:$C$2503,"&gt;="&amp;账期起,入库单!$C$4:$C$2503,"&lt;="&amp;账期止))</f>
        <v/>
      </c>
      <c r="K357" s="26">
        <f>IF($A357="","",IFERROR(ROUND((N($H357)+N($J357))/(N($G357)+N($I357)),2),0))</f>
        <v/>
      </c>
      <c r="L357" s="27">
        <f>IF($A357="","",SUMIFS(入库单!$K$4:$K$2503,入库单!$G$4:$G$2503,$A357,入库单!$X$4:$X$2503,"盘盈",入库单!$Z$4:$Z$2503,"正常",入库单!$C$4:$C$2503,"&gt;="&amp;账期起,入库单!$C$4:$C$2503,"&lt;="&amp;账期止))</f>
        <v/>
      </c>
      <c r="M357" s="26">
        <f>IF($A357="","",ROUND($L357*$K357,0))</f>
        <v/>
      </c>
      <c r="N357" s="27">
        <f>IF($A357="","",SUMIFS(入库单!$K$4:$K$2503,入库单!$G$4:$G$2503,$A357,入库单!$X$4:$X$2503,"矿区退库",入库单!$Z$4:$Z$2503,"正常",入库单!$C$4:$C$2503,"&gt;="&amp;账期起,入库单!$C$4:$C$2503,"&lt;="&amp;账期止))</f>
        <v/>
      </c>
      <c r="O357" s="26">
        <f>IF($A357="","",ROUND($N357*$K357,0))</f>
        <v/>
      </c>
      <c r="P357" s="27">
        <f>IF($A357="","",SUMIFS(出库单!$J$4:$J$4003,出库单!$D$4:$D$4003,$A357,出库单!$K$4:$K$4003,"自用消耗",出库单!$U$4:$U$4003,"正常",出库单!$C$4:$C$4003,"&gt;="&amp;账期起,出库单!$C$4:$C$4003,"&lt;="&amp;账期止))</f>
        <v/>
      </c>
      <c r="Q357" s="26">
        <f>IF($A357="","",ROUND(SUMIFS(出库单!$S$4:$S$4003,出库单!$D$4:$D$4003,$A357,出库单!$K$4:$K$4003,"自用消耗",出库单!$U$4:$U$4003,"正常",出库单!$C$4:$C$4003,"&gt;="&amp;账期起,出库单!$C$4:$C$4003,"&lt;="&amp;账期止),0))</f>
        <v/>
      </c>
      <c r="R357" s="27">
        <f>IF($A357="","",SUMIFS(出库单!$J$4:$J$4003,出库单!$D$4:$D$4003,$A357,出库单!$K$4:$K$4003,"对外销售",出库单!$U$4:$U$4003,"正常",出库单!$C$4:$C$4003,"&gt;="&amp;账期起,出库单!$C$4:$C$4003,"&lt;="&amp;账期止))</f>
        <v/>
      </c>
      <c r="S357" s="26">
        <f>IF($A357="","",ROUND(SUMIFS(出库单!$S$4:$S$4003,出库单!$D$4:$D$4003,$A357,出库单!$K$4:$K$4003,"对外销售",出库单!$U$4:$U$4003,"正常",出库单!$C$4:$C$4003,"&gt;="&amp;账期起,出库单!$C$4:$C$4003,"&lt;="&amp;账期止),0))</f>
        <v/>
      </c>
      <c r="T357" s="27">
        <f>IF($A357="","",SUMIFS(出库单!$J$4:$J$4003,出库单!$D$4:$D$4003,$A357,出库单!$K$4:$K$4003,"盘亏",出库单!$U$4:$U$4003,"正常",出库单!$C$4:$C$4003,"&gt;="&amp;账期起,出库单!$C$4:$C$4003,"&lt;="&amp;账期止))</f>
        <v/>
      </c>
      <c r="U357" s="26">
        <f>IF($A357="","",ROUND(SUMIFS(出库单!$S$4:$S$4003,出库单!$D$4:$D$4003,$A357,出库单!$K$4:$K$4003,"盘亏",出库单!$U$4:$U$4003,"正常",出库单!$C$4:$C$4003,"&gt;="&amp;账期起,出库单!$C$4:$C$4003,"&lt;="&amp;账期止),0))</f>
        <v/>
      </c>
      <c r="V357" s="27">
        <f>IF($A357="","",SUMIFS(出库单!$J$4:$J$4003,出库单!$D$4:$D$4003,$A357,出库单!$K$4:$K$4003,"退货给供应商",出库单!$U$4:$U$4003,"正常",出库单!$C$4:$C$4003,"&gt;="&amp;账期起,出库单!$C$4:$C$4003,"&lt;="&amp;账期止))</f>
        <v/>
      </c>
      <c r="W357" s="26">
        <f>IF($A357="","",ROUND(SUMIFS(出库单!$S$4:$S$4003,出库单!$D$4:$D$4003,$A357,出库单!$K$4:$K$4003,"退货给供应商",出库单!$U$4:$U$4003,"正常",出库单!$C$4:$C$4003,"&gt;="&amp;账期起,出库单!$C$4:$C$4003,"&lt;="&amp;账期止),0))</f>
        <v/>
      </c>
      <c r="X357" s="27">
        <f>IF($A357="","",ROUND(N($G357)+$I357+$L357+$N357-$P357-$R357-$T357-$V357,3))</f>
        <v/>
      </c>
      <c r="Y357" s="26">
        <f>IF($A357="","",ROUND(N($H357)+$J357+$M357+$O357-$Q357-$S357-$U357-$W357,0))</f>
        <v/>
      </c>
      <c r="Z357" s="24">
        <f>IF($A357="","",IF(COUNTIFS(入库单!$G$4:$G$2503,$A357,入库单!$Y$4:$Y$2503,"待补价")+COUNTIFS(入库单!$G$4:$G$2503,$A357,入库单!$Y$4:$Y$2503,"暂估")&gt;0,"不可信","可信"))</f>
        <v/>
      </c>
      <c r="AA357" s="24">
        <f>IF($A357="","",IF($X357&lt;-0.001,"※账面负库存，查一下是不是漏记入库",IF(AND(ROUND($X357,3)=0,ABS($Y357)&gt;1),"※数量已经是 0，金额还挂着 "&amp;TEXT($Y357,"#,##0")&amp;" 先令",IF(AND($X357&gt;0,$Y357&lt;=0,$K357=0),"※有数量没金额（这个物料一直没填过进价）",IF($Z357="不可信","△成本含待补价/暂估，毛利仅供参考","")))))</f>
        <v/>
      </c>
    </row>
    <row r="358">
      <c r="A358" s="24">
        <f>IF(物料档案!$A357="","",物料档案!$A357)</f>
        <v/>
      </c>
      <c r="B358" s="24">
        <f>IF($A358="","",IFERROR(VLOOKUP($A358,物料档案!$A$4:$P$1203,3,0),""))</f>
        <v/>
      </c>
      <c r="C358" s="24">
        <f>IF($A358="","",IFERROR(VLOOKUP($A358,物料档案!$A$4:$P$1203,4,0),""))</f>
        <v/>
      </c>
      <c r="D358" s="24">
        <f>IF($A358="","",IFERROR(VLOOKUP($A358,物料档案!$A$4:$P$1203,5,0),""))</f>
        <v/>
      </c>
      <c r="E358" s="24">
        <f>IF($A358="","",IFERROR(VLOOKUP($A358,物料档案!$A$4:$P$1203,2,0),""))</f>
        <v/>
      </c>
      <c r="F358" s="24">
        <f>IF($A358="","",IFERROR(VLOOKUP($A358,物料档案!$A$4:$P$1203,6,0),""))</f>
        <v/>
      </c>
      <c r="G358" s="23" t="n"/>
      <c r="H358" s="32" t="n"/>
      <c r="I358" s="27">
        <f>IF($A358="","",SUMIFS(入库单!$K$4:$K$2503,入库单!$G$4:$G$2503,$A358,入库单!$X$4:$X$2503,"采购入库",入库单!$Z$4:$Z$2503,"正常",入库单!$C$4:$C$2503,"&gt;="&amp;账期起,入库单!$C$4:$C$2503,"&lt;="&amp;账期止))</f>
        <v/>
      </c>
      <c r="J358" s="26">
        <f>IF($A358="","",SUMIFS(入库单!$V$4:$V$2503,入库单!$G$4:$G$2503,$A358,入库单!$X$4:$X$2503,"采购入库",入库单!$Z$4:$Z$2503,"正常",入库单!$C$4:$C$2503,"&gt;="&amp;账期起,入库单!$C$4:$C$2503,"&lt;="&amp;账期止))</f>
        <v/>
      </c>
      <c r="K358" s="26">
        <f>IF($A358="","",IFERROR(ROUND((N($H358)+N($J358))/(N($G358)+N($I358)),2),0))</f>
        <v/>
      </c>
      <c r="L358" s="27">
        <f>IF($A358="","",SUMIFS(入库单!$K$4:$K$2503,入库单!$G$4:$G$2503,$A358,入库单!$X$4:$X$2503,"盘盈",入库单!$Z$4:$Z$2503,"正常",入库单!$C$4:$C$2503,"&gt;="&amp;账期起,入库单!$C$4:$C$2503,"&lt;="&amp;账期止))</f>
        <v/>
      </c>
      <c r="M358" s="26">
        <f>IF($A358="","",ROUND($L358*$K358,0))</f>
        <v/>
      </c>
      <c r="N358" s="27">
        <f>IF($A358="","",SUMIFS(入库单!$K$4:$K$2503,入库单!$G$4:$G$2503,$A358,入库单!$X$4:$X$2503,"矿区退库",入库单!$Z$4:$Z$2503,"正常",入库单!$C$4:$C$2503,"&gt;="&amp;账期起,入库单!$C$4:$C$2503,"&lt;="&amp;账期止))</f>
        <v/>
      </c>
      <c r="O358" s="26">
        <f>IF($A358="","",ROUND($N358*$K358,0))</f>
        <v/>
      </c>
      <c r="P358" s="27">
        <f>IF($A358="","",SUMIFS(出库单!$J$4:$J$4003,出库单!$D$4:$D$4003,$A358,出库单!$K$4:$K$4003,"自用消耗",出库单!$U$4:$U$4003,"正常",出库单!$C$4:$C$4003,"&gt;="&amp;账期起,出库单!$C$4:$C$4003,"&lt;="&amp;账期止))</f>
        <v/>
      </c>
      <c r="Q358" s="26">
        <f>IF($A358="","",ROUND(SUMIFS(出库单!$S$4:$S$4003,出库单!$D$4:$D$4003,$A358,出库单!$K$4:$K$4003,"自用消耗",出库单!$U$4:$U$4003,"正常",出库单!$C$4:$C$4003,"&gt;="&amp;账期起,出库单!$C$4:$C$4003,"&lt;="&amp;账期止),0))</f>
        <v/>
      </c>
      <c r="R358" s="27">
        <f>IF($A358="","",SUMIFS(出库单!$J$4:$J$4003,出库单!$D$4:$D$4003,$A358,出库单!$K$4:$K$4003,"对外销售",出库单!$U$4:$U$4003,"正常",出库单!$C$4:$C$4003,"&gt;="&amp;账期起,出库单!$C$4:$C$4003,"&lt;="&amp;账期止))</f>
        <v/>
      </c>
      <c r="S358" s="26">
        <f>IF($A358="","",ROUND(SUMIFS(出库单!$S$4:$S$4003,出库单!$D$4:$D$4003,$A358,出库单!$K$4:$K$4003,"对外销售",出库单!$U$4:$U$4003,"正常",出库单!$C$4:$C$4003,"&gt;="&amp;账期起,出库单!$C$4:$C$4003,"&lt;="&amp;账期止),0))</f>
        <v/>
      </c>
      <c r="T358" s="27">
        <f>IF($A358="","",SUMIFS(出库单!$J$4:$J$4003,出库单!$D$4:$D$4003,$A358,出库单!$K$4:$K$4003,"盘亏",出库单!$U$4:$U$4003,"正常",出库单!$C$4:$C$4003,"&gt;="&amp;账期起,出库单!$C$4:$C$4003,"&lt;="&amp;账期止))</f>
        <v/>
      </c>
      <c r="U358" s="26">
        <f>IF($A358="","",ROUND(SUMIFS(出库单!$S$4:$S$4003,出库单!$D$4:$D$4003,$A358,出库单!$K$4:$K$4003,"盘亏",出库单!$U$4:$U$4003,"正常",出库单!$C$4:$C$4003,"&gt;="&amp;账期起,出库单!$C$4:$C$4003,"&lt;="&amp;账期止),0))</f>
        <v/>
      </c>
      <c r="V358" s="27">
        <f>IF($A358="","",SUMIFS(出库单!$J$4:$J$4003,出库单!$D$4:$D$4003,$A358,出库单!$K$4:$K$4003,"退货给供应商",出库单!$U$4:$U$4003,"正常",出库单!$C$4:$C$4003,"&gt;="&amp;账期起,出库单!$C$4:$C$4003,"&lt;="&amp;账期止))</f>
        <v/>
      </c>
      <c r="W358" s="26">
        <f>IF($A358="","",ROUND(SUMIFS(出库单!$S$4:$S$4003,出库单!$D$4:$D$4003,$A358,出库单!$K$4:$K$4003,"退货给供应商",出库单!$U$4:$U$4003,"正常",出库单!$C$4:$C$4003,"&gt;="&amp;账期起,出库单!$C$4:$C$4003,"&lt;="&amp;账期止),0))</f>
        <v/>
      </c>
      <c r="X358" s="27">
        <f>IF($A358="","",ROUND(N($G358)+$I358+$L358+$N358-$P358-$R358-$T358-$V358,3))</f>
        <v/>
      </c>
      <c r="Y358" s="26">
        <f>IF($A358="","",ROUND(N($H358)+$J358+$M358+$O358-$Q358-$S358-$U358-$W358,0))</f>
        <v/>
      </c>
      <c r="Z358" s="24">
        <f>IF($A358="","",IF(COUNTIFS(入库单!$G$4:$G$2503,$A358,入库单!$Y$4:$Y$2503,"待补价")+COUNTIFS(入库单!$G$4:$G$2503,$A358,入库单!$Y$4:$Y$2503,"暂估")&gt;0,"不可信","可信"))</f>
        <v/>
      </c>
      <c r="AA358" s="24">
        <f>IF($A358="","",IF($X358&lt;-0.001,"※账面负库存，查一下是不是漏记入库",IF(AND(ROUND($X358,3)=0,ABS($Y358)&gt;1),"※数量已经是 0，金额还挂着 "&amp;TEXT($Y358,"#,##0")&amp;" 先令",IF(AND($X358&gt;0,$Y358&lt;=0,$K358=0),"※有数量没金额（这个物料一直没填过进价）",IF($Z358="不可信","△成本含待补价/暂估，毛利仅供参考","")))))</f>
        <v/>
      </c>
    </row>
    <row r="359">
      <c r="A359" s="24">
        <f>IF(物料档案!$A358="","",物料档案!$A358)</f>
        <v/>
      </c>
      <c r="B359" s="24">
        <f>IF($A359="","",IFERROR(VLOOKUP($A359,物料档案!$A$4:$P$1203,3,0),""))</f>
        <v/>
      </c>
      <c r="C359" s="24">
        <f>IF($A359="","",IFERROR(VLOOKUP($A359,物料档案!$A$4:$P$1203,4,0),""))</f>
        <v/>
      </c>
      <c r="D359" s="24">
        <f>IF($A359="","",IFERROR(VLOOKUP($A359,物料档案!$A$4:$P$1203,5,0),""))</f>
        <v/>
      </c>
      <c r="E359" s="24">
        <f>IF($A359="","",IFERROR(VLOOKUP($A359,物料档案!$A$4:$P$1203,2,0),""))</f>
        <v/>
      </c>
      <c r="F359" s="24">
        <f>IF($A359="","",IFERROR(VLOOKUP($A359,物料档案!$A$4:$P$1203,6,0),""))</f>
        <v/>
      </c>
      <c r="G359" s="23" t="n"/>
      <c r="H359" s="32" t="n"/>
      <c r="I359" s="27">
        <f>IF($A359="","",SUMIFS(入库单!$K$4:$K$2503,入库单!$G$4:$G$2503,$A359,入库单!$X$4:$X$2503,"采购入库",入库单!$Z$4:$Z$2503,"正常",入库单!$C$4:$C$2503,"&gt;="&amp;账期起,入库单!$C$4:$C$2503,"&lt;="&amp;账期止))</f>
        <v/>
      </c>
      <c r="J359" s="26">
        <f>IF($A359="","",SUMIFS(入库单!$V$4:$V$2503,入库单!$G$4:$G$2503,$A359,入库单!$X$4:$X$2503,"采购入库",入库单!$Z$4:$Z$2503,"正常",入库单!$C$4:$C$2503,"&gt;="&amp;账期起,入库单!$C$4:$C$2503,"&lt;="&amp;账期止))</f>
        <v/>
      </c>
      <c r="K359" s="26">
        <f>IF($A359="","",IFERROR(ROUND((N($H359)+N($J359))/(N($G359)+N($I359)),2),0))</f>
        <v/>
      </c>
      <c r="L359" s="27">
        <f>IF($A359="","",SUMIFS(入库单!$K$4:$K$2503,入库单!$G$4:$G$2503,$A359,入库单!$X$4:$X$2503,"盘盈",入库单!$Z$4:$Z$2503,"正常",入库单!$C$4:$C$2503,"&gt;="&amp;账期起,入库单!$C$4:$C$2503,"&lt;="&amp;账期止))</f>
        <v/>
      </c>
      <c r="M359" s="26">
        <f>IF($A359="","",ROUND($L359*$K359,0))</f>
        <v/>
      </c>
      <c r="N359" s="27">
        <f>IF($A359="","",SUMIFS(入库单!$K$4:$K$2503,入库单!$G$4:$G$2503,$A359,入库单!$X$4:$X$2503,"矿区退库",入库单!$Z$4:$Z$2503,"正常",入库单!$C$4:$C$2503,"&gt;="&amp;账期起,入库单!$C$4:$C$2503,"&lt;="&amp;账期止))</f>
        <v/>
      </c>
      <c r="O359" s="26">
        <f>IF($A359="","",ROUND($N359*$K359,0))</f>
        <v/>
      </c>
      <c r="P359" s="27">
        <f>IF($A359="","",SUMIFS(出库单!$J$4:$J$4003,出库单!$D$4:$D$4003,$A359,出库单!$K$4:$K$4003,"自用消耗",出库单!$U$4:$U$4003,"正常",出库单!$C$4:$C$4003,"&gt;="&amp;账期起,出库单!$C$4:$C$4003,"&lt;="&amp;账期止))</f>
        <v/>
      </c>
      <c r="Q359" s="26">
        <f>IF($A359="","",ROUND(SUMIFS(出库单!$S$4:$S$4003,出库单!$D$4:$D$4003,$A359,出库单!$K$4:$K$4003,"自用消耗",出库单!$U$4:$U$4003,"正常",出库单!$C$4:$C$4003,"&gt;="&amp;账期起,出库单!$C$4:$C$4003,"&lt;="&amp;账期止),0))</f>
        <v/>
      </c>
      <c r="R359" s="27">
        <f>IF($A359="","",SUMIFS(出库单!$J$4:$J$4003,出库单!$D$4:$D$4003,$A359,出库单!$K$4:$K$4003,"对外销售",出库单!$U$4:$U$4003,"正常",出库单!$C$4:$C$4003,"&gt;="&amp;账期起,出库单!$C$4:$C$4003,"&lt;="&amp;账期止))</f>
        <v/>
      </c>
      <c r="S359" s="26">
        <f>IF($A359="","",ROUND(SUMIFS(出库单!$S$4:$S$4003,出库单!$D$4:$D$4003,$A359,出库单!$K$4:$K$4003,"对外销售",出库单!$U$4:$U$4003,"正常",出库单!$C$4:$C$4003,"&gt;="&amp;账期起,出库单!$C$4:$C$4003,"&lt;="&amp;账期止),0))</f>
        <v/>
      </c>
      <c r="T359" s="27">
        <f>IF($A359="","",SUMIFS(出库单!$J$4:$J$4003,出库单!$D$4:$D$4003,$A359,出库单!$K$4:$K$4003,"盘亏",出库单!$U$4:$U$4003,"正常",出库单!$C$4:$C$4003,"&gt;="&amp;账期起,出库单!$C$4:$C$4003,"&lt;="&amp;账期止))</f>
        <v/>
      </c>
      <c r="U359" s="26">
        <f>IF($A359="","",ROUND(SUMIFS(出库单!$S$4:$S$4003,出库单!$D$4:$D$4003,$A359,出库单!$K$4:$K$4003,"盘亏",出库单!$U$4:$U$4003,"正常",出库单!$C$4:$C$4003,"&gt;="&amp;账期起,出库单!$C$4:$C$4003,"&lt;="&amp;账期止),0))</f>
        <v/>
      </c>
      <c r="V359" s="27">
        <f>IF($A359="","",SUMIFS(出库单!$J$4:$J$4003,出库单!$D$4:$D$4003,$A359,出库单!$K$4:$K$4003,"退货给供应商",出库单!$U$4:$U$4003,"正常",出库单!$C$4:$C$4003,"&gt;="&amp;账期起,出库单!$C$4:$C$4003,"&lt;="&amp;账期止))</f>
        <v/>
      </c>
      <c r="W359" s="26">
        <f>IF($A359="","",ROUND(SUMIFS(出库单!$S$4:$S$4003,出库单!$D$4:$D$4003,$A359,出库单!$K$4:$K$4003,"退货给供应商",出库单!$U$4:$U$4003,"正常",出库单!$C$4:$C$4003,"&gt;="&amp;账期起,出库单!$C$4:$C$4003,"&lt;="&amp;账期止),0))</f>
        <v/>
      </c>
      <c r="X359" s="27">
        <f>IF($A359="","",ROUND(N($G359)+$I359+$L359+$N359-$P359-$R359-$T359-$V359,3))</f>
        <v/>
      </c>
      <c r="Y359" s="26">
        <f>IF($A359="","",ROUND(N($H359)+$J359+$M359+$O359-$Q359-$S359-$U359-$W359,0))</f>
        <v/>
      </c>
      <c r="Z359" s="24">
        <f>IF($A359="","",IF(COUNTIFS(入库单!$G$4:$G$2503,$A359,入库单!$Y$4:$Y$2503,"待补价")+COUNTIFS(入库单!$G$4:$G$2503,$A359,入库单!$Y$4:$Y$2503,"暂估")&gt;0,"不可信","可信"))</f>
        <v/>
      </c>
      <c r="AA359" s="24">
        <f>IF($A359="","",IF($X359&lt;-0.001,"※账面负库存，查一下是不是漏记入库",IF(AND(ROUND($X359,3)=0,ABS($Y359)&gt;1),"※数量已经是 0，金额还挂着 "&amp;TEXT($Y359,"#,##0")&amp;" 先令",IF(AND($X359&gt;0,$Y359&lt;=0,$K359=0),"※有数量没金额（这个物料一直没填过进价）",IF($Z359="不可信","△成本含待补价/暂估，毛利仅供参考","")))))</f>
        <v/>
      </c>
    </row>
    <row r="360">
      <c r="A360" s="24">
        <f>IF(物料档案!$A359="","",物料档案!$A359)</f>
        <v/>
      </c>
      <c r="B360" s="24">
        <f>IF($A360="","",IFERROR(VLOOKUP($A360,物料档案!$A$4:$P$1203,3,0),""))</f>
        <v/>
      </c>
      <c r="C360" s="24">
        <f>IF($A360="","",IFERROR(VLOOKUP($A360,物料档案!$A$4:$P$1203,4,0),""))</f>
        <v/>
      </c>
      <c r="D360" s="24">
        <f>IF($A360="","",IFERROR(VLOOKUP($A360,物料档案!$A$4:$P$1203,5,0),""))</f>
        <v/>
      </c>
      <c r="E360" s="24">
        <f>IF($A360="","",IFERROR(VLOOKUP($A360,物料档案!$A$4:$P$1203,2,0),""))</f>
        <v/>
      </c>
      <c r="F360" s="24">
        <f>IF($A360="","",IFERROR(VLOOKUP($A360,物料档案!$A$4:$P$1203,6,0),""))</f>
        <v/>
      </c>
      <c r="G360" s="23" t="n"/>
      <c r="H360" s="32" t="n"/>
      <c r="I360" s="27">
        <f>IF($A360="","",SUMIFS(入库单!$K$4:$K$2503,入库单!$G$4:$G$2503,$A360,入库单!$X$4:$X$2503,"采购入库",入库单!$Z$4:$Z$2503,"正常",入库单!$C$4:$C$2503,"&gt;="&amp;账期起,入库单!$C$4:$C$2503,"&lt;="&amp;账期止))</f>
        <v/>
      </c>
      <c r="J360" s="26">
        <f>IF($A360="","",SUMIFS(入库单!$V$4:$V$2503,入库单!$G$4:$G$2503,$A360,入库单!$X$4:$X$2503,"采购入库",入库单!$Z$4:$Z$2503,"正常",入库单!$C$4:$C$2503,"&gt;="&amp;账期起,入库单!$C$4:$C$2503,"&lt;="&amp;账期止))</f>
        <v/>
      </c>
      <c r="K360" s="26">
        <f>IF($A360="","",IFERROR(ROUND((N($H360)+N($J360))/(N($G360)+N($I360)),2),0))</f>
        <v/>
      </c>
      <c r="L360" s="27">
        <f>IF($A360="","",SUMIFS(入库单!$K$4:$K$2503,入库单!$G$4:$G$2503,$A360,入库单!$X$4:$X$2503,"盘盈",入库单!$Z$4:$Z$2503,"正常",入库单!$C$4:$C$2503,"&gt;="&amp;账期起,入库单!$C$4:$C$2503,"&lt;="&amp;账期止))</f>
        <v/>
      </c>
      <c r="M360" s="26">
        <f>IF($A360="","",ROUND($L360*$K360,0))</f>
        <v/>
      </c>
      <c r="N360" s="27">
        <f>IF($A360="","",SUMIFS(入库单!$K$4:$K$2503,入库单!$G$4:$G$2503,$A360,入库单!$X$4:$X$2503,"矿区退库",入库单!$Z$4:$Z$2503,"正常",入库单!$C$4:$C$2503,"&gt;="&amp;账期起,入库单!$C$4:$C$2503,"&lt;="&amp;账期止))</f>
        <v/>
      </c>
      <c r="O360" s="26">
        <f>IF($A360="","",ROUND($N360*$K360,0))</f>
        <v/>
      </c>
      <c r="P360" s="27">
        <f>IF($A360="","",SUMIFS(出库单!$J$4:$J$4003,出库单!$D$4:$D$4003,$A360,出库单!$K$4:$K$4003,"自用消耗",出库单!$U$4:$U$4003,"正常",出库单!$C$4:$C$4003,"&gt;="&amp;账期起,出库单!$C$4:$C$4003,"&lt;="&amp;账期止))</f>
        <v/>
      </c>
      <c r="Q360" s="26">
        <f>IF($A360="","",ROUND(SUMIFS(出库单!$S$4:$S$4003,出库单!$D$4:$D$4003,$A360,出库单!$K$4:$K$4003,"自用消耗",出库单!$U$4:$U$4003,"正常",出库单!$C$4:$C$4003,"&gt;="&amp;账期起,出库单!$C$4:$C$4003,"&lt;="&amp;账期止),0))</f>
        <v/>
      </c>
      <c r="R360" s="27">
        <f>IF($A360="","",SUMIFS(出库单!$J$4:$J$4003,出库单!$D$4:$D$4003,$A360,出库单!$K$4:$K$4003,"对外销售",出库单!$U$4:$U$4003,"正常",出库单!$C$4:$C$4003,"&gt;="&amp;账期起,出库单!$C$4:$C$4003,"&lt;="&amp;账期止))</f>
        <v/>
      </c>
      <c r="S360" s="26">
        <f>IF($A360="","",ROUND(SUMIFS(出库单!$S$4:$S$4003,出库单!$D$4:$D$4003,$A360,出库单!$K$4:$K$4003,"对外销售",出库单!$U$4:$U$4003,"正常",出库单!$C$4:$C$4003,"&gt;="&amp;账期起,出库单!$C$4:$C$4003,"&lt;="&amp;账期止),0))</f>
        <v/>
      </c>
      <c r="T360" s="27">
        <f>IF($A360="","",SUMIFS(出库单!$J$4:$J$4003,出库单!$D$4:$D$4003,$A360,出库单!$K$4:$K$4003,"盘亏",出库单!$U$4:$U$4003,"正常",出库单!$C$4:$C$4003,"&gt;="&amp;账期起,出库单!$C$4:$C$4003,"&lt;="&amp;账期止))</f>
        <v/>
      </c>
      <c r="U360" s="26">
        <f>IF($A360="","",ROUND(SUMIFS(出库单!$S$4:$S$4003,出库单!$D$4:$D$4003,$A360,出库单!$K$4:$K$4003,"盘亏",出库单!$U$4:$U$4003,"正常",出库单!$C$4:$C$4003,"&gt;="&amp;账期起,出库单!$C$4:$C$4003,"&lt;="&amp;账期止),0))</f>
        <v/>
      </c>
      <c r="V360" s="27">
        <f>IF($A360="","",SUMIFS(出库单!$J$4:$J$4003,出库单!$D$4:$D$4003,$A360,出库单!$K$4:$K$4003,"退货给供应商",出库单!$U$4:$U$4003,"正常",出库单!$C$4:$C$4003,"&gt;="&amp;账期起,出库单!$C$4:$C$4003,"&lt;="&amp;账期止))</f>
        <v/>
      </c>
      <c r="W360" s="26">
        <f>IF($A360="","",ROUND(SUMIFS(出库单!$S$4:$S$4003,出库单!$D$4:$D$4003,$A360,出库单!$K$4:$K$4003,"退货给供应商",出库单!$U$4:$U$4003,"正常",出库单!$C$4:$C$4003,"&gt;="&amp;账期起,出库单!$C$4:$C$4003,"&lt;="&amp;账期止),0))</f>
        <v/>
      </c>
      <c r="X360" s="27">
        <f>IF($A360="","",ROUND(N($G360)+$I360+$L360+$N360-$P360-$R360-$T360-$V360,3))</f>
        <v/>
      </c>
      <c r="Y360" s="26">
        <f>IF($A360="","",ROUND(N($H360)+$J360+$M360+$O360-$Q360-$S360-$U360-$W360,0))</f>
        <v/>
      </c>
      <c r="Z360" s="24">
        <f>IF($A360="","",IF(COUNTIFS(入库单!$G$4:$G$2503,$A360,入库单!$Y$4:$Y$2503,"待补价")+COUNTIFS(入库单!$G$4:$G$2503,$A360,入库单!$Y$4:$Y$2503,"暂估")&gt;0,"不可信","可信"))</f>
        <v/>
      </c>
      <c r="AA360" s="24">
        <f>IF($A360="","",IF($X360&lt;-0.001,"※账面负库存，查一下是不是漏记入库",IF(AND(ROUND($X360,3)=0,ABS($Y360)&gt;1),"※数量已经是 0，金额还挂着 "&amp;TEXT($Y360,"#,##0")&amp;" 先令",IF(AND($X360&gt;0,$Y360&lt;=0,$K360=0),"※有数量没金额（这个物料一直没填过进价）",IF($Z360="不可信","△成本含待补价/暂估，毛利仅供参考","")))))</f>
        <v/>
      </c>
    </row>
    <row r="361">
      <c r="A361" s="24">
        <f>IF(物料档案!$A360="","",物料档案!$A360)</f>
        <v/>
      </c>
      <c r="B361" s="24">
        <f>IF($A361="","",IFERROR(VLOOKUP($A361,物料档案!$A$4:$P$1203,3,0),""))</f>
        <v/>
      </c>
      <c r="C361" s="24">
        <f>IF($A361="","",IFERROR(VLOOKUP($A361,物料档案!$A$4:$P$1203,4,0),""))</f>
        <v/>
      </c>
      <c r="D361" s="24">
        <f>IF($A361="","",IFERROR(VLOOKUP($A361,物料档案!$A$4:$P$1203,5,0),""))</f>
        <v/>
      </c>
      <c r="E361" s="24">
        <f>IF($A361="","",IFERROR(VLOOKUP($A361,物料档案!$A$4:$P$1203,2,0),""))</f>
        <v/>
      </c>
      <c r="F361" s="24">
        <f>IF($A361="","",IFERROR(VLOOKUP($A361,物料档案!$A$4:$P$1203,6,0),""))</f>
        <v/>
      </c>
      <c r="G361" s="23" t="n"/>
      <c r="H361" s="32" t="n"/>
      <c r="I361" s="27">
        <f>IF($A361="","",SUMIFS(入库单!$K$4:$K$2503,入库单!$G$4:$G$2503,$A361,入库单!$X$4:$X$2503,"采购入库",入库单!$Z$4:$Z$2503,"正常",入库单!$C$4:$C$2503,"&gt;="&amp;账期起,入库单!$C$4:$C$2503,"&lt;="&amp;账期止))</f>
        <v/>
      </c>
      <c r="J361" s="26">
        <f>IF($A361="","",SUMIFS(入库单!$V$4:$V$2503,入库单!$G$4:$G$2503,$A361,入库单!$X$4:$X$2503,"采购入库",入库单!$Z$4:$Z$2503,"正常",入库单!$C$4:$C$2503,"&gt;="&amp;账期起,入库单!$C$4:$C$2503,"&lt;="&amp;账期止))</f>
        <v/>
      </c>
      <c r="K361" s="26">
        <f>IF($A361="","",IFERROR(ROUND((N($H361)+N($J361))/(N($G361)+N($I361)),2),0))</f>
        <v/>
      </c>
      <c r="L361" s="27">
        <f>IF($A361="","",SUMIFS(入库单!$K$4:$K$2503,入库单!$G$4:$G$2503,$A361,入库单!$X$4:$X$2503,"盘盈",入库单!$Z$4:$Z$2503,"正常",入库单!$C$4:$C$2503,"&gt;="&amp;账期起,入库单!$C$4:$C$2503,"&lt;="&amp;账期止))</f>
        <v/>
      </c>
      <c r="M361" s="26">
        <f>IF($A361="","",ROUND($L361*$K361,0))</f>
        <v/>
      </c>
      <c r="N361" s="27">
        <f>IF($A361="","",SUMIFS(入库单!$K$4:$K$2503,入库单!$G$4:$G$2503,$A361,入库单!$X$4:$X$2503,"矿区退库",入库单!$Z$4:$Z$2503,"正常",入库单!$C$4:$C$2503,"&gt;="&amp;账期起,入库单!$C$4:$C$2503,"&lt;="&amp;账期止))</f>
        <v/>
      </c>
      <c r="O361" s="26">
        <f>IF($A361="","",ROUND($N361*$K361,0))</f>
        <v/>
      </c>
      <c r="P361" s="27">
        <f>IF($A361="","",SUMIFS(出库单!$J$4:$J$4003,出库单!$D$4:$D$4003,$A361,出库单!$K$4:$K$4003,"自用消耗",出库单!$U$4:$U$4003,"正常",出库单!$C$4:$C$4003,"&gt;="&amp;账期起,出库单!$C$4:$C$4003,"&lt;="&amp;账期止))</f>
        <v/>
      </c>
      <c r="Q361" s="26">
        <f>IF($A361="","",ROUND(SUMIFS(出库单!$S$4:$S$4003,出库单!$D$4:$D$4003,$A361,出库单!$K$4:$K$4003,"自用消耗",出库单!$U$4:$U$4003,"正常",出库单!$C$4:$C$4003,"&gt;="&amp;账期起,出库单!$C$4:$C$4003,"&lt;="&amp;账期止),0))</f>
        <v/>
      </c>
      <c r="R361" s="27">
        <f>IF($A361="","",SUMIFS(出库单!$J$4:$J$4003,出库单!$D$4:$D$4003,$A361,出库单!$K$4:$K$4003,"对外销售",出库单!$U$4:$U$4003,"正常",出库单!$C$4:$C$4003,"&gt;="&amp;账期起,出库单!$C$4:$C$4003,"&lt;="&amp;账期止))</f>
        <v/>
      </c>
      <c r="S361" s="26">
        <f>IF($A361="","",ROUND(SUMIFS(出库单!$S$4:$S$4003,出库单!$D$4:$D$4003,$A361,出库单!$K$4:$K$4003,"对外销售",出库单!$U$4:$U$4003,"正常",出库单!$C$4:$C$4003,"&gt;="&amp;账期起,出库单!$C$4:$C$4003,"&lt;="&amp;账期止),0))</f>
        <v/>
      </c>
      <c r="T361" s="27">
        <f>IF($A361="","",SUMIFS(出库单!$J$4:$J$4003,出库单!$D$4:$D$4003,$A361,出库单!$K$4:$K$4003,"盘亏",出库单!$U$4:$U$4003,"正常",出库单!$C$4:$C$4003,"&gt;="&amp;账期起,出库单!$C$4:$C$4003,"&lt;="&amp;账期止))</f>
        <v/>
      </c>
      <c r="U361" s="26">
        <f>IF($A361="","",ROUND(SUMIFS(出库单!$S$4:$S$4003,出库单!$D$4:$D$4003,$A361,出库单!$K$4:$K$4003,"盘亏",出库单!$U$4:$U$4003,"正常",出库单!$C$4:$C$4003,"&gt;="&amp;账期起,出库单!$C$4:$C$4003,"&lt;="&amp;账期止),0))</f>
        <v/>
      </c>
      <c r="V361" s="27">
        <f>IF($A361="","",SUMIFS(出库单!$J$4:$J$4003,出库单!$D$4:$D$4003,$A361,出库单!$K$4:$K$4003,"退货给供应商",出库单!$U$4:$U$4003,"正常",出库单!$C$4:$C$4003,"&gt;="&amp;账期起,出库单!$C$4:$C$4003,"&lt;="&amp;账期止))</f>
        <v/>
      </c>
      <c r="W361" s="26">
        <f>IF($A361="","",ROUND(SUMIFS(出库单!$S$4:$S$4003,出库单!$D$4:$D$4003,$A361,出库单!$K$4:$K$4003,"退货给供应商",出库单!$U$4:$U$4003,"正常",出库单!$C$4:$C$4003,"&gt;="&amp;账期起,出库单!$C$4:$C$4003,"&lt;="&amp;账期止),0))</f>
        <v/>
      </c>
      <c r="X361" s="27">
        <f>IF($A361="","",ROUND(N($G361)+$I361+$L361+$N361-$P361-$R361-$T361-$V361,3))</f>
        <v/>
      </c>
      <c r="Y361" s="26">
        <f>IF($A361="","",ROUND(N($H361)+$J361+$M361+$O361-$Q361-$S361-$U361-$W361,0))</f>
        <v/>
      </c>
      <c r="Z361" s="24">
        <f>IF($A361="","",IF(COUNTIFS(入库单!$G$4:$G$2503,$A361,入库单!$Y$4:$Y$2503,"待补价")+COUNTIFS(入库单!$G$4:$G$2503,$A361,入库单!$Y$4:$Y$2503,"暂估")&gt;0,"不可信","可信"))</f>
        <v/>
      </c>
      <c r="AA361" s="24">
        <f>IF($A361="","",IF($X361&lt;-0.001,"※账面负库存，查一下是不是漏记入库",IF(AND(ROUND($X361,3)=0,ABS($Y361)&gt;1),"※数量已经是 0，金额还挂着 "&amp;TEXT($Y361,"#,##0")&amp;" 先令",IF(AND($X361&gt;0,$Y361&lt;=0,$K361=0),"※有数量没金额（这个物料一直没填过进价）",IF($Z361="不可信","△成本含待补价/暂估，毛利仅供参考","")))))</f>
        <v/>
      </c>
    </row>
    <row r="362">
      <c r="A362" s="24">
        <f>IF(物料档案!$A361="","",物料档案!$A361)</f>
        <v/>
      </c>
      <c r="B362" s="24">
        <f>IF($A362="","",IFERROR(VLOOKUP($A362,物料档案!$A$4:$P$1203,3,0),""))</f>
        <v/>
      </c>
      <c r="C362" s="24">
        <f>IF($A362="","",IFERROR(VLOOKUP($A362,物料档案!$A$4:$P$1203,4,0),""))</f>
        <v/>
      </c>
      <c r="D362" s="24">
        <f>IF($A362="","",IFERROR(VLOOKUP($A362,物料档案!$A$4:$P$1203,5,0),""))</f>
        <v/>
      </c>
      <c r="E362" s="24">
        <f>IF($A362="","",IFERROR(VLOOKUP($A362,物料档案!$A$4:$P$1203,2,0),""))</f>
        <v/>
      </c>
      <c r="F362" s="24">
        <f>IF($A362="","",IFERROR(VLOOKUP($A362,物料档案!$A$4:$P$1203,6,0),""))</f>
        <v/>
      </c>
      <c r="G362" s="23" t="n"/>
      <c r="H362" s="32" t="n"/>
      <c r="I362" s="27">
        <f>IF($A362="","",SUMIFS(入库单!$K$4:$K$2503,入库单!$G$4:$G$2503,$A362,入库单!$X$4:$X$2503,"采购入库",入库单!$Z$4:$Z$2503,"正常",入库单!$C$4:$C$2503,"&gt;="&amp;账期起,入库单!$C$4:$C$2503,"&lt;="&amp;账期止))</f>
        <v/>
      </c>
      <c r="J362" s="26">
        <f>IF($A362="","",SUMIFS(入库单!$V$4:$V$2503,入库单!$G$4:$G$2503,$A362,入库单!$X$4:$X$2503,"采购入库",入库单!$Z$4:$Z$2503,"正常",入库单!$C$4:$C$2503,"&gt;="&amp;账期起,入库单!$C$4:$C$2503,"&lt;="&amp;账期止))</f>
        <v/>
      </c>
      <c r="K362" s="26">
        <f>IF($A362="","",IFERROR(ROUND((N($H362)+N($J362))/(N($G362)+N($I362)),2),0))</f>
        <v/>
      </c>
      <c r="L362" s="27">
        <f>IF($A362="","",SUMIFS(入库单!$K$4:$K$2503,入库单!$G$4:$G$2503,$A362,入库单!$X$4:$X$2503,"盘盈",入库单!$Z$4:$Z$2503,"正常",入库单!$C$4:$C$2503,"&gt;="&amp;账期起,入库单!$C$4:$C$2503,"&lt;="&amp;账期止))</f>
        <v/>
      </c>
      <c r="M362" s="26">
        <f>IF($A362="","",ROUND($L362*$K362,0))</f>
        <v/>
      </c>
      <c r="N362" s="27">
        <f>IF($A362="","",SUMIFS(入库单!$K$4:$K$2503,入库单!$G$4:$G$2503,$A362,入库单!$X$4:$X$2503,"矿区退库",入库单!$Z$4:$Z$2503,"正常",入库单!$C$4:$C$2503,"&gt;="&amp;账期起,入库单!$C$4:$C$2503,"&lt;="&amp;账期止))</f>
        <v/>
      </c>
      <c r="O362" s="26">
        <f>IF($A362="","",ROUND($N362*$K362,0))</f>
        <v/>
      </c>
      <c r="P362" s="27">
        <f>IF($A362="","",SUMIFS(出库单!$J$4:$J$4003,出库单!$D$4:$D$4003,$A362,出库单!$K$4:$K$4003,"自用消耗",出库单!$U$4:$U$4003,"正常",出库单!$C$4:$C$4003,"&gt;="&amp;账期起,出库单!$C$4:$C$4003,"&lt;="&amp;账期止))</f>
        <v/>
      </c>
      <c r="Q362" s="26">
        <f>IF($A362="","",ROUND(SUMIFS(出库单!$S$4:$S$4003,出库单!$D$4:$D$4003,$A362,出库单!$K$4:$K$4003,"自用消耗",出库单!$U$4:$U$4003,"正常",出库单!$C$4:$C$4003,"&gt;="&amp;账期起,出库单!$C$4:$C$4003,"&lt;="&amp;账期止),0))</f>
        <v/>
      </c>
      <c r="R362" s="27">
        <f>IF($A362="","",SUMIFS(出库单!$J$4:$J$4003,出库单!$D$4:$D$4003,$A362,出库单!$K$4:$K$4003,"对外销售",出库单!$U$4:$U$4003,"正常",出库单!$C$4:$C$4003,"&gt;="&amp;账期起,出库单!$C$4:$C$4003,"&lt;="&amp;账期止))</f>
        <v/>
      </c>
      <c r="S362" s="26">
        <f>IF($A362="","",ROUND(SUMIFS(出库单!$S$4:$S$4003,出库单!$D$4:$D$4003,$A362,出库单!$K$4:$K$4003,"对外销售",出库单!$U$4:$U$4003,"正常",出库单!$C$4:$C$4003,"&gt;="&amp;账期起,出库单!$C$4:$C$4003,"&lt;="&amp;账期止),0))</f>
        <v/>
      </c>
      <c r="T362" s="27">
        <f>IF($A362="","",SUMIFS(出库单!$J$4:$J$4003,出库单!$D$4:$D$4003,$A362,出库单!$K$4:$K$4003,"盘亏",出库单!$U$4:$U$4003,"正常",出库单!$C$4:$C$4003,"&gt;="&amp;账期起,出库单!$C$4:$C$4003,"&lt;="&amp;账期止))</f>
        <v/>
      </c>
      <c r="U362" s="26">
        <f>IF($A362="","",ROUND(SUMIFS(出库单!$S$4:$S$4003,出库单!$D$4:$D$4003,$A362,出库单!$K$4:$K$4003,"盘亏",出库单!$U$4:$U$4003,"正常",出库单!$C$4:$C$4003,"&gt;="&amp;账期起,出库单!$C$4:$C$4003,"&lt;="&amp;账期止),0))</f>
        <v/>
      </c>
      <c r="V362" s="27">
        <f>IF($A362="","",SUMIFS(出库单!$J$4:$J$4003,出库单!$D$4:$D$4003,$A362,出库单!$K$4:$K$4003,"退货给供应商",出库单!$U$4:$U$4003,"正常",出库单!$C$4:$C$4003,"&gt;="&amp;账期起,出库单!$C$4:$C$4003,"&lt;="&amp;账期止))</f>
        <v/>
      </c>
      <c r="W362" s="26">
        <f>IF($A362="","",ROUND(SUMIFS(出库单!$S$4:$S$4003,出库单!$D$4:$D$4003,$A362,出库单!$K$4:$K$4003,"退货给供应商",出库单!$U$4:$U$4003,"正常",出库单!$C$4:$C$4003,"&gt;="&amp;账期起,出库单!$C$4:$C$4003,"&lt;="&amp;账期止),0))</f>
        <v/>
      </c>
      <c r="X362" s="27">
        <f>IF($A362="","",ROUND(N($G362)+$I362+$L362+$N362-$P362-$R362-$T362-$V362,3))</f>
        <v/>
      </c>
      <c r="Y362" s="26">
        <f>IF($A362="","",ROUND(N($H362)+$J362+$M362+$O362-$Q362-$S362-$U362-$W362,0))</f>
        <v/>
      </c>
      <c r="Z362" s="24">
        <f>IF($A362="","",IF(COUNTIFS(入库单!$G$4:$G$2503,$A362,入库单!$Y$4:$Y$2503,"待补价")+COUNTIFS(入库单!$G$4:$G$2503,$A362,入库单!$Y$4:$Y$2503,"暂估")&gt;0,"不可信","可信"))</f>
        <v/>
      </c>
      <c r="AA362" s="24">
        <f>IF($A362="","",IF($X362&lt;-0.001,"※账面负库存，查一下是不是漏记入库",IF(AND(ROUND($X362,3)=0,ABS($Y362)&gt;1),"※数量已经是 0，金额还挂着 "&amp;TEXT($Y362,"#,##0")&amp;" 先令",IF(AND($X362&gt;0,$Y362&lt;=0,$K362=0),"※有数量没金额（这个物料一直没填过进价）",IF($Z362="不可信","△成本含待补价/暂估，毛利仅供参考","")))))</f>
        <v/>
      </c>
    </row>
    <row r="363">
      <c r="A363" s="24">
        <f>IF(物料档案!$A362="","",物料档案!$A362)</f>
        <v/>
      </c>
      <c r="B363" s="24">
        <f>IF($A363="","",IFERROR(VLOOKUP($A363,物料档案!$A$4:$P$1203,3,0),""))</f>
        <v/>
      </c>
      <c r="C363" s="24">
        <f>IF($A363="","",IFERROR(VLOOKUP($A363,物料档案!$A$4:$P$1203,4,0),""))</f>
        <v/>
      </c>
      <c r="D363" s="24">
        <f>IF($A363="","",IFERROR(VLOOKUP($A363,物料档案!$A$4:$P$1203,5,0),""))</f>
        <v/>
      </c>
      <c r="E363" s="24">
        <f>IF($A363="","",IFERROR(VLOOKUP($A363,物料档案!$A$4:$P$1203,2,0),""))</f>
        <v/>
      </c>
      <c r="F363" s="24">
        <f>IF($A363="","",IFERROR(VLOOKUP($A363,物料档案!$A$4:$P$1203,6,0),""))</f>
        <v/>
      </c>
      <c r="G363" s="23" t="n"/>
      <c r="H363" s="32" t="n"/>
      <c r="I363" s="27">
        <f>IF($A363="","",SUMIFS(入库单!$K$4:$K$2503,入库单!$G$4:$G$2503,$A363,入库单!$X$4:$X$2503,"采购入库",入库单!$Z$4:$Z$2503,"正常",入库单!$C$4:$C$2503,"&gt;="&amp;账期起,入库单!$C$4:$C$2503,"&lt;="&amp;账期止))</f>
        <v/>
      </c>
      <c r="J363" s="26">
        <f>IF($A363="","",SUMIFS(入库单!$V$4:$V$2503,入库单!$G$4:$G$2503,$A363,入库单!$X$4:$X$2503,"采购入库",入库单!$Z$4:$Z$2503,"正常",入库单!$C$4:$C$2503,"&gt;="&amp;账期起,入库单!$C$4:$C$2503,"&lt;="&amp;账期止))</f>
        <v/>
      </c>
      <c r="K363" s="26">
        <f>IF($A363="","",IFERROR(ROUND((N($H363)+N($J363))/(N($G363)+N($I363)),2),0))</f>
        <v/>
      </c>
      <c r="L363" s="27">
        <f>IF($A363="","",SUMIFS(入库单!$K$4:$K$2503,入库单!$G$4:$G$2503,$A363,入库单!$X$4:$X$2503,"盘盈",入库单!$Z$4:$Z$2503,"正常",入库单!$C$4:$C$2503,"&gt;="&amp;账期起,入库单!$C$4:$C$2503,"&lt;="&amp;账期止))</f>
        <v/>
      </c>
      <c r="M363" s="26">
        <f>IF($A363="","",ROUND($L363*$K363,0))</f>
        <v/>
      </c>
      <c r="N363" s="27">
        <f>IF($A363="","",SUMIFS(入库单!$K$4:$K$2503,入库单!$G$4:$G$2503,$A363,入库单!$X$4:$X$2503,"矿区退库",入库单!$Z$4:$Z$2503,"正常",入库单!$C$4:$C$2503,"&gt;="&amp;账期起,入库单!$C$4:$C$2503,"&lt;="&amp;账期止))</f>
        <v/>
      </c>
      <c r="O363" s="26">
        <f>IF($A363="","",ROUND($N363*$K363,0))</f>
        <v/>
      </c>
      <c r="P363" s="27">
        <f>IF($A363="","",SUMIFS(出库单!$J$4:$J$4003,出库单!$D$4:$D$4003,$A363,出库单!$K$4:$K$4003,"自用消耗",出库单!$U$4:$U$4003,"正常",出库单!$C$4:$C$4003,"&gt;="&amp;账期起,出库单!$C$4:$C$4003,"&lt;="&amp;账期止))</f>
        <v/>
      </c>
      <c r="Q363" s="26">
        <f>IF($A363="","",ROUND(SUMIFS(出库单!$S$4:$S$4003,出库单!$D$4:$D$4003,$A363,出库单!$K$4:$K$4003,"自用消耗",出库单!$U$4:$U$4003,"正常",出库单!$C$4:$C$4003,"&gt;="&amp;账期起,出库单!$C$4:$C$4003,"&lt;="&amp;账期止),0))</f>
        <v/>
      </c>
      <c r="R363" s="27">
        <f>IF($A363="","",SUMIFS(出库单!$J$4:$J$4003,出库单!$D$4:$D$4003,$A363,出库单!$K$4:$K$4003,"对外销售",出库单!$U$4:$U$4003,"正常",出库单!$C$4:$C$4003,"&gt;="&amp;账期起,出库单!$C$4:$C$4003,"&lt;="&amp;账期止))</f>
        <v/>
      </c>
      <c r="S363" s="26">
        <f>IF($A363="","",ROUND(SUMIFS(出库单!$S$4:$S$4003,出库单!$D$4:$D$4003,$A363,出库单!$K$4:$K$4003,"对外销售",出库单!$U$4:$U$4003,"正常",出库单!$C$4:$C$4003,"&gt;="&amp;账期起,出库单!$C$4:$C$4003,"&lt;="&amp;账期止),0))</f>
        <v/>
      </c>
      <c r="T363" s="27">
        <f>IF($A363="","",SUMIFS(出库单!$J$4:$J$4003,出库单!$D$4:$D$4003,$A363,出库单!$K$4:$K$4003,"盘亏",出库单!$U$4:$U$4003,"正常",出库单!$C$4:$C$4003,"&gt;="&amp;账期起,出库单!$C$4:$C$4003,"&lt;="&amp;账期止))</f>
        <v/>
      </c>
      <c r="U363" s="26">
        <f>IF($A363="","",ROUND(SUMIFS(出库单!$S$4:$S$4003,出库单!$D$4:$D$4003,$A363,出库单!$K$4:$K$4003,"盘亏",出库单!$U$4:$U$4003,"正常",出库单!$C$4:$C$4003,"&gt;="&amp;账期起,出库单!$C$4:$C$4003,"&lt;="&amp;账期止),0))</f>
        <v/>
      </c>
      <c r="V363" s="27">
        <f>IF($A363="","",SUMIFS(出库单!$J$4:$J$4003,出库单!$D$4:$D$4003,$A363,出库单!$K$4:$K$4003,"退货给供应商",出库单!$U$4:$U$4003,"正常",出库单!$C$4:$C$4003,"&gt;="&amp;账期起,出库单!$C$4:$C$4003,"&lt;="&amp;账期止))</f>
        <v/>
      </c>
      <c r="W363" s="26">
        <f>IF($A363="","",ROUND(SUMIFS(出库单!$S$4:$S$4003,出库单!$D$4:$D$4003,$A363,出库单!$K$4:$K$4003,"退货给供应商",出库单!$U$4:$U$4003,"正常",出库单!$C$4:$C$4003,"&gt;="&amp;账期起,出库单!$C$4:$C$4003,"&lt;="&amp;账期止),0))</f>
        <v/>
      </c>
      <c r="X363" s="27">
        <f>IF($A363="","",ROUND(N($G363)+$I363+$L363+$N363-$P363-$R363-$T363-$V363,3))</f>
        <v/>
      </c>
      <c r="Y363" s="26">
        <f>IF($A363="","",ROUND(N($H363)+$J363+$M363+$O363-$Q363-$S363-$U363-$W363,0))</f>
        <v/>
      </c>
      <c r="Z363" s="24">
        <f>IF($A363="","",IF(COUNTIFS(入库单!$G$4:$G$2503,$A363,入库单!$Y$4:$Y$2503,"待补价")+COUNTIFS(入库单!$G$4:$G$2503,$A363,入库单!$Y$4:$Y$2503,"暂估")&gt;0,"不可信","可信"))</f>
        <v/>
      </c>
      <c r="AA363" s="24">
        <f>IF($A363="","",IF($X363&lt;-0.001,"※账面负库存，查一下是不是漏记入库",IF(AND(ROUND($X363,3)=0,ABS($Y363)&gt;1),"※数量已经是 0，金额还挂着 "&amp;TEXT($Y363,"#,##0")&amp;" 先令",IF(AND($X363&gt;0,$Y363&lt;=0,$K363=0),"※有数量没金额（这个物料一直没填过进价）",IF($Z363="不可信","△成本含待补价/暂估，毛利仅供参考","")))))</f>
        <v/>
      </c>
    </row>
    <row r="364">
      <c r="A364" s="24">
        <f>IF(物料档案!$A363="","",物料档案!$A363)</f>
        <v/>
      </c>
      <c r="B364" s="24">
        <f>IF($A364="","",IFERROR(VLOOKUP($A364,物料档案!$A$4:$P$1203,3,0),""))</f>
        <v/>
      </c>
      <c r="C364" s="24">
        <f>IF($A364="","",IFERROR(VLOOKUP($A364,物料档案!$A$4:$P$1203,4,0),""))</f>
        <v/>
      </c>
      <c r="D364" s="24">
        <f>IF($A364="","",IFERROR(VLOOKUP($A364,物料档案!$A$4:$P$1203,5,0),""))</f>
        <v/>
      </c>
      <c r="E364" s="24">
        <f>IF($A364="","",IFERROR(VLOOKUP($A364,物料档案!$A$4:$P$1203,2,0),""))</f>
        <v/>
      </c>
      <c r="F364" s="24">
        <f>IF($A364="","",IFERROR(VLOOKUP($A364,物料档案!$A$4:$P$1203,6,0),""))</f>
        <v/>
      </c>
      <c r="G364" s="23" t="n"/>
      <c r="H364" s="32" t="n"/>
      <c r="I364" s="27">
        <f>IF($A364="","",SUMIFS(入库单!$K$4:$K$2503,入库单!$G$4:$G$2503,$A364,入库单!$X$4:$X$2503,"采购入库",入库单!$Z$4:$Z$2503,"正常",入库单!$C$4:$C$2503,"&gt;="&amp;账期起,入库单!$C$4:$C$2503,"&lt;="&amp;账期止))</f>
        <v/>
      </c>
      <c r="J364" s="26">
        <f>IF($A364="","",SUMIFS(入库单!$V$4:$V$2503,入库单!$G$4:$G$2503,$A364,入库单!$X$4:$X$2503,"采购入库",入库单!$Z$4:$Z$2503,"正常",入库单!$C$4:$C$2503,"&gt;="&amp;账期起,入库单!$C$4:$C$2503,"&lt;="&amp;账期止))</f>
        <v/>
      </c>
      <c r="K364" s="26">
        <f>IF($A364="","",IFERROR(ROUND((N($H364)+N($J364))/(N($G364)+N($I364)),2),0))</f>
        <v/>
      </c>
      <c r="L364" s="27">
        <f>IF($A364="","",SUMIFS(入库单!$K$4:$K$2503,入库单!$G$4:$G$2503,$A364,入库单!$X$4:$X$2503,"盘盈",入库单!$Z$4:$Z$2503,"正常",入库单!$C$4:$C$2503,"&gt;="&amp;账期起,入库单!$C$4:$C$2503,"&lt;="&amp;账期止))</f>
        <v/>
      </c>
      <c r="M364" s="26">
        <f>IF($A364="","",ROUND($L364*$K364,0))</f>
        <v/>
      </c>
      <c r="N364" s="27">
        <f>IF($A364="","",SUMIFS(入库单!$K$4:$K$2503,入库单!$G$4:$G$2503,$A364,入库单!$X$4:$X$2503,"矿区退库",入库单!$Z$4:$Z$2503,"正常",入库单!$C$4:$C$2503,"&gt;="&amp;账期起,入库单!$C$4:$C$2503,"&lt;="&amp;账期止))</f>
        <v/>
      </c>
      <c r="O364" s="26">
        <f>IF($A364="","",ROUND($N364*$K364,0))</f>
        <v/>
      </c>
      <c r="P364" s="27">
        <f>IF($A364="","",SUMIFS(出库单!$J$4:$J$4003,出库单!$D$4:$D$4003,$A364,出库单!$K$4:$K$4003,"自用消耗",出库单!$U$4:$U$4003,"正常",出库单!$C$4:$C$4003,"&gt;="&amp;账期起,出库单!$C$4:$C$4003,"&lt;="&amp;账期止))</f>
        <v/>
      </c>
      <c r="Q364" s="26">
        <f>IF($A364="","",ROUND(SUMIFS(出库单!$S$4:$S$4003,出库单!$D$4:$D$4003,$A364,出库单!$K$4:$K$4003,"自用消耗",出库单!$U$4:$U$4003,"正常",出库单!$C$4:$C$4003,"&gt;="&amp;账期起,出库单!$C$4:$C$4003,"&lt;="&amp;账期止),0))</f>
        <v/>
      </c>
      <c r="R364" s="27">
        <f>IF($A364="","",SUMIFS(出库单!$J$4:$J$4003,出库单!$D$4:$D$4003,$A364,出库单!$K$4:$K$4003,"对外销售",出库单!$U$4:$U$4003,"正常",出库单!$C$4:$C$4003,"&gt;="&amp;账期起,出库单!$C$4:$C$4003,"&lt;="&amp;账期止))</f>
        <v/>
      </c>
      <c r="S364" s="26">
        <f>IF($A364="","",ROUND(SUMIFS(出库单!$S$4:$S$4003,出库单!$D$4:$D$4003,$A364,出库单!$K$4:$K$4003,"对外销售",出库单!$U$4:$U$4003,"正常",出库单!$C$4:$C$4003,"&gt;="&amp;账期起,出库单!$C$4:$C$4003,"&lt;="&amp;账期止),0))</f>
        <v/>
      </c>
      <c r="T364" s="27">
        <f>IF($A364="","",SUMIFS(出库单!$J$4:$J$4003,出库单!$D$4:$D$4003,$A364,出库单!$K$4:$K$4003,"盘亏",出库单!$U$4:$U$4003,"正常",出库单!$C$4:$C$4003,"&gt;="&amp;账期起,出库单!$C$4:$C$4003,"&lt;="&amp;账期止))</f>
        <v/>
      </c>
      <c r="U364" s="26">
        <f>IF($A364="","",ROUND(SUMIFS(出库单!$S$4:$S$4003,出库单!$D$4:$D$4003,$A364,出库单!$K$4:$K$4003,"盘亏",出库单!$U$4:$U$4003,"正常",出库单!$C$4:$C$4003,"&gt;="&amp;账期起,出库单!$C$4:$C$4003,"&lt;="&amp;账期止),0))</f>
        <v/>
      </c>
      <c r="V364" s="27">
        <f>IF($A364="","",SUMIFS(出库单!$J$4:$J$4003,出库单!$D$4:$D$4003,$A364,出库单!$K$4:$K$4003,"退货给供应商",出库单!$U$4:$U$4003,"正常",出库单!$C$4:$C$4003,"&gt;="&amp;账期起,出库单!$C$4:$C$4003,"&lt;="&amp;账期止))</f>
        <v/>
      </c>
      <c r="W364" s="26">
        <f>IF($A364="","",ROUND(SUMIFS(出库单!$S$4:$S$4003,出库单!$D$4:$D$4003,$A364,出库单!$K$4:$K$4003,"退货给供应商",出库单!$U$4:$U$4003,"正常",出库单!$C$4:$C$4003,"&gt;="&amp;账期起,出库单!$C$4:$C$4003,"&lt;="&amp;账期止),0))</f>
        <v/>
      </c>
      <c r="X364" s="27">
        <f>IF($A364="","",ROUND(N($G364)+$I364+$L364+$N364-$P364-$R364-$T364-$V364,3))</f>
        <v/>
      </c>
      <c r="Y364" s="26">
        <f>IF($A364="","",ROUND(N($H364)+$J364+$M364+$O364-$Q364-$S364-$U364-$W364,0))</f>
        <v/>
      </c>
      <c r="Z364" s="24">
        <f>IF($A364="","",IF(COUNTIFS(入库单!$G$4:$G$2503,$A364,入库单!$Y$4:$Y$2503,"待补价")+COUNTIFS(入库单!$G$4:$G$2503,$A364,入库单!$Y$4:$Y$2503,"暂估")&gt;0,"不可信","可信"))</f>
        <v/>
      </c>
      <c r="AA364" s="24">
        <f>IF($A364="","",IF($X364&lt;-0.001,"※账面负库存，查一下是不是漏记入库",IF(AND(ROUND($X364,3)=0,ABS($Y364)&gt;1),"※数量已经是 0，金额还挂着 "&amp;TEXT($Y364,"#,##0")&amp;" 先令",IF(AND($X364&gt;0,$Y364&lt;=0,$K364=0),"※有数量没金额（这个物料一直没填过进价）",IF($Z364="不可信","△成本含待补价/暂估，毛利仅供参考","")))))</f>
        <v/>
      </c>
    </row>
    <row r="365">
      <c r="A365" s="24">
        <f>IF(物料档案!$A364="","",物料档案!$A364)</f>
        <v/>
      </c>
      <c r="B365" s="24">
        <f>IF($A365="","",IFERROR(VLOOKUP($A365,物料档案!$A$4:$P$1203,3,0),""))</f>
        <v/>
      </c>
      <c r="C365" s="24">
        <f>IF($A365="","",IFERROR(VLOOKUP($A365,物料档案!$A$4:$P$1203,4,0),""))</f>
        <v/>
      </c>
      <c r="D365" s="24">
        <f>IF($A365="","",IFERROR(VLOOKUP($A365,物料档案!$A$4:$P$1203,5,0),""))</f>
        <v/>
      </c>
      <c r="E365" s="24">
        <f>IF($A365="","",IFERROR(VLOOKUP($A365,物料档案!$A$4:$P$1203,2,0),""))</f>
        <v/>
      </c>
      <c r="F365" s="24">
        <f>IF($A365="","",IFERROR(VLOOKUP($A365,物料档案!$A$4:$P$1203,6,0),""))</f>
        <v/>
      </c>
      <c r="G365" s="23" t="n"/>
      <c r="H365" s="32" t="n"/>
      <c r="I365" s="27">
        <f>IF($A365="","",SUMIFS(入库单!$K$4:$K$2503,入库单!$G$4:$G$2503,$A365,入库单!$X$4:$X$2503,"采购入库",入库单!$Z$4:$Z$2503,"正常",入库单!$C$4:$C$2503,"&gt;="&amp;账期起,入库单!$C$4:$C$2503,"&lt;="&amp;账期止))</f>
        <v/>
      </c>
      <c r="J365" s="26">
        <f>IF($A365="","",SUMIFS(入库单!$V$4:$V$2503,入库单!$G$4:$G$2503,$A365,入库单!$X$4:$X$2503,"采购入库",入库单!$Z$4:$Z$2503,"正常",入库单!$C$4:$C$2503,"&gt;="&amp;账期起,入库单!$C$4:$C$2503,"&lt;="&amp;账期止))</f>
        <v/>
      </c>
      <c r="K365" s="26">
        <f>IF($A365="","",IFERROR(ROUND((N($H365)+N($J365))/(N($G365)+N($I365)),2),0))</f>
        <v/>
      </c>
      <c r="L365" s="27">
        <f>IF($A365="","",SUMIFS(入库单!$K$4:$K$2503,入库单!$G$4:$G$2503,$A365,入库单!$X$4:$X$2503,"盘盈",入库单!$Z$4:$Z$2503,"正常",入库单!$C$4:$C$2503,"&gt;="&amp;账期起,入库单!$C$4:$C$2503,"&lt;="&amp;账期止))</f>
        <v/>
      </c>
      <c r="M365" s="26">
        <f>IF($A365="","",ROUND($L365*$K365,0))</f>
        <v/>
      </c>
      <c r="N365" s="27">
        <f>IF($A365="","",SUMIFS(入库单!$K$4:$K$2503,入库单!$G$4:$G$2503,$A365,入库单!$X$4:$X$2503,"矿区退库",入库单!$Z$4:$Z$2503,"正常",入库单!$C$4:$C$2503,"&gt;="&amp;账期起,入库单!$C$4:$C$2503,"&lt;="&amp;账期止))</f>
        <v/>
      </c>
      <c r="O365" s="26">
        <f>IF($A365="","",ROUND($N365*$K365,0))</f>
        <v/>
      </c>
      <c r="P365" s="27">
        <f>IF($A365="","",SUMIFS(出库单!$J$4:$J$4003,出库单!$D$4:$D$4003,$A365,出库单!$K$4:$K$4003,"自用消耗",出库单!$U$4:$U$4003,"正常",出库单!$C$4:$C$4003,"&gt;="&amp;账期起,出库单!$C$4:$C$4003,"&lt;="&amp;账期止))</f>
        <v/>
      </c>
      <c r="Q365" s="26">
        <f>IF($A365="","",ROUND(SUMIFS(出库单!$S$4:$S$4003,出库单!$D$4:$D$4003,$A365,出库单!$K$4:$K$4003,"自用消耗",出库单!$U$4:$U$4003,"正常",出库单!$C$4:$C$4003,"&gt;="&amp;账期起,出库单!$C$4:$C$4003,"&lt;="&amp;账期止),0))</f>
        <v/>
      </c>
      <c r="R365" s="27">
        <f>IF($A365="","",SUMIFS(出库单!$J$4:$J$4003,出库单!$D$4:$D$4003,$A365,出库单!$K$4:$K$4003,"对外销售",出库单!$U$4:$U$4003,"正常",出库单!$C$4:$C$4003,"&gt;="&amp;账期起,出库单!$C$4:$C$4003,"&lt;="&amp;账期止))</f>
        <v/>
      </c>
      <c r="S365" s="26">
        <f>IF($A365="","",ROUND(SUMIFS(出库单!$S$4:$S$4003,出库单!$D$4:$D$4003,$A365,出库单!$K$4:$K$4003,"对外销售",出库单!$U$4:$U$4003,"正常",出库单!$C$4:$C$4003,"&gt;="&amp;账期起,出库单!$C$4:$C$4003,"&lt;="&amp;账期止),0))</f>
        <v/>
      </c>
      <c r="T365" s="27">
        <f>IF($A365="","",SUMIFS(出库单!$J$4:$J$4003,出库单!$D$4:$D$4003,$A365,出库单!$K$4:$K$4003,"盘亏",出库单!$U$4:$U$4003,"正常",出库单!$C$4:$C$4003,"&gt;="&amp;账期起,出库单!$C$4:$C$4003,"&lt;="&amp;账期止))</f>
        <v/>
      </c>
      <c r="U365" s="26">
        <f>IF($A365="","",ROUND(SUMIFS(出库单!$S$4:$S$4003,出库单!$D$4:$D$4003,$A365,出库单!$K$4:$K$4003,"盘亏",出库单!$U$4:$U$4003,"正常",出库单!$C$4:$C$4003,"&gt;="&amp;账期起,出库单!$C$4:$C$4003,"&lt;="&amp;账期止),0))</f>
        <v/>
      </c>
      <c r="V365" s="27">
        <f>IF($A365="","",SUMIFS(出库单!$J$4:$J$4003,出库单!$D$4:$D$4003,$A365,出库单!$K$4:$K$4003,"退货给供应商",出库单!$U$4:$U$4003,"正常",出库单!$C$4:$C$4003,"&gt;="&amp;账期起,出库单!$C$4:$C$4003,"&lt;="&amp;账期止))</f>
        <v/>
      </c>
      <c r="W365" s="26">
        <f>IF($A365="","",ROUND(SUMIFS(出库单!$S$4:$S$4003,出库单!$D$4:$D$4003,$A365,出库单!$K$4:$K$4003,"退货给供应商",出库单!$U$4:$U$4003,"正常",出库单!$C$4:$C$4003,"&gt;="&amp;账期起,出库单!$C$4:$C$4003,"&lt;="&amp;账期止),0))</f>
        <v/>
      </c>
      <c r="X365" s="27">
        <f>IF($A365="","",ROUND(N($G365)+$I365+$L365+$N365-$P365-$R365-$T365-$V365,3))</f>
        <v/>
      </c>
      <c r="Y365" s="26">
        <f>IF($A365="","",ROUND(N($H365)+$J365+$M365+$O365-$Q365-$S365-$U365-$W365,0))</f>
        <v/>
      </c>
      <c r="Z365" s="24">
        <f>IF($A365="","",IF(COUNTIFS(入库单!$G$4:$G$2503,$A365,入库单!$Y$4:$Y$2503,"待补价")+COUNTIFS(入库单!$G$4:$G$2503,$A365,入库单!$Y$4:$Y$2503,"暂估")&gt;0,"不可信","可信"))</f>
        <v/>
      </c>
      <c r="AA365" s="24">
        <f>IF($A365="","",IF($X365&lt;-0.001,"※账面负库存，查一下是不是漏记入库",IF(AND(ROUND($X365,3)=0,ABS($Y365)&gt;1),"※数量已经是 0，金额还挂着 "&amp;TEXT($Y365,"#,##0")&amp;" 先令",IF(AND($X365&gt;0,$Y365&lt;=0,$K365=0),"※有数量没金额（这个物料一直没填过进价）",IF($Z365="不可信","△成本含待补价/暂估，毛利仅供参考","")))))</f>
        <v/>
      </c>
    </row>
    <row r="366">
      <c r="A366" s="24">
        <f>IF(物料档案!$A365="","",物料档案!$A365)</f>
        <v/>
      </c>
      <c r="B366" s="24">
        <f>IF($A366="","",IFERROR(VLOOKUP($A366,物料档案!$A$4:$P$1203,3,0),""))</f>
        <v/>
      </c>
      <c r="C366" s="24">
        <f>IF($A366="","",IFERROR(VLOOKUP($A366,物料档案!$A$4:$P$1203,4,0),""))</f>
        <v/>
      </c>
      <c r="D366" s="24">
        <f>IF($A366="","",IFERROR(VLOOKUP($A366,物料档案!$A$4:$P$1203,5,0),""))</f>
        <v/>
      </c>
      <c r="E366" s="24">
        <f>IF($A366="","",IFERROR(VLOOKUP($A366,物料档案!$A$4:$P$1203,2,0),""))</f>
        <v/>
      </c>
      <c r="F366" s="24">
        <f>IF($A366="","",IFERROR(VLOOKUP($A366,物料档案!$A$4:$P$1203,6,0),""))</f>
        <v/>
      </c>
      <c r="G366" s="23" t="n"/>
      <c r="H366" s="32" t="n"/>
      <c r="I366" s="27">
        <f>IF($A366="","",SUMIFS(入库单!$K$4:$K$2503,入库单!$G$4:$G$2503,$A366,入库单!$X$4:$X$2503,"采购入库",入库单!$Z$4:$Z$2503,"正常",入库单!$C$4:$C$2503,"&gt;="&amp;账期起,入库单!$C$4:$C$2503,"&lt;="&amp;账期止))</f>
        <v/>
      </c>
      <c r="J366" s="26">
        <f>IF($A366="","",SUMIFS(入库单!$V$4:$V$2503,入库单!$G$4:$G$2503,$A366,入库单!$X$4:$X$2503,"采购入库",入库单!$Z$4:$Z$2503,"正常",入库单!$C$4:$C$2503,"&gt;="&amp;账期起,入库单!$C$4:$C$2503,"&lt;="&amp;账期止))</f>
        <v/>
      </c>
      <c r="K366" s="26">
        <f>IF($A366="","",IFERROR(ROUND((N($H366)+N($J366))/(N($G366)+N($I366)),2),0))</f>
        <v/>
      </c>
      <c r="L366" s="27">
        <f>IF($A366="","",SUMIFS(入库单!$K$4:$K$2503,入库单!$G$4:$G$2503,$A366,入库单!$X$4:$X$2503,"盘盈",入库单!$Z$4:$Z$2503,"正常",入库单!$C$4:$C$2503,"&gt;="&amp;账期起,入库单!$C$4:$C$2503,"&lt;="&amp;账期止))</f>
        <v/>
      </c>
      <c r="M366" s="26">
        <f>IF($A366="","",ROUND($L366*$K366,0))</f>
        <v/>
      </c>
      <c r="N366" s="27">
        <f>IF($A366="","",SUMIFS(入库单!$K$4:$K$2503,入库单!$G$4:$G$2503,$A366,入库单!$X$4:$X$2503,"矿区退库",入库单!$Z$4:$Z$2503,"正常",入库单!$C$4:$C$2503,"&gt;="&amp;账期起,入库单!$C$4:$C$2503,"&lt;="&amp;账期止))</f>
        <v/>
      </c>
      <c r="O366" s="26">
        <f>IF($A366="","",ROUND($N366*$K366,0))</f>
        <v/>
      </c>
      <c r="P366" s="27">
        <f>IF($A366="","",SUMIFS(出库单!$J$4:$J$4003,出库单!$D$4:$D$4003,$A366,出库单!$K$4:$K$4003,"自用消耗",出库单!$U$4:$U$4003,"正常",出库单!$C$4:$C$4003,"&gt;="&amp;账期起,出库单!$C$4:$C$4003,"&lt;="&amp;账期止))</f>
        <v/>
      </c>
      <c r="Q366" s="26">
        <f>IF($A366="","",ROUND(SUMIFS(出库单!$S$4:$S$4003,出库单!$D$4:$D$4003,$A366,出库单!$K$4:$K$4003,"自用消耗",出库单!$U$4:$U$4003,"正常",出库单!$C$4:$C$4003,"&gt;="&amp;账期起,出库单!$C$4:$C$4003,"&lt;="&amp;账期止),0))</f>
        <v/>
      </c>
      <c r="R366" s="27">
        <f>IF($A366="","",SUMIFS(出库单!$J$4:$J$4003,出库单!$D$4:$D$4003,$A366,出库单!$K$4:$K$4003,"对外销售",出库单!$U$4:$U$4003,"正常",出库单!$C$4:$C$4003,"&gt;="&amp;账期起,出库单!$C$4:$C$4003,"&lt;="&amp;账期止))</f>
        <v/>
      </c>
      <c r="S366" s="26">
        <f>IF($A366="","",ROUND(SUMIFS(出库单!$S$4:$S$4003,出库单!$D$4:$D$4003,$A366,出库单!$K$4:$K$4003,"对外销售",出库单!$U$4:$U$4003,"正常",出库单!$C$4:$C$4003,"&gt;="&amp;账期起,出库单!$C$4:$C$4003,"&lt;="&amp;账期止),0))</f>
        <v/>
      </c>
      <c r="T366" s="27">
        <f>IF($A366="","",SUMIFS(出库单!$J$4:$J$4003,出库单!$D$4:$D$4003,$A366,出库单!$K$4:$K$4003,"盘亏",出库单!$U$4:$U$4003,"正常",出库单!$C$4:$C$4003,"&gt;="&amp;账期起,出库单!$C$4:$C$4003,"&lt;="&amp;账期止))</f>
        <v/>
      </c>
      <c r="U366" s="26">
        <f>IF($A366="","",ROUND(SUMIFS(出库单!$S$4:$S$4003,出库单!$D$4:$D$4003,$A366,出库单!$K$4:$K$4003,"盘亏",出库单!$U$4:$U$4003,"正常",出库单!$C$4:$C$4003,"&gt;="&amp;账期起,出库单!$C$4:$C$4003,"&lt;="&amp;账期止),0))</f>
        <v/>
      </c>
      <c r="V366" s="27">
        <f>IF($A366="","",SUMIFS(出库单!$J$4:$J$4003,出库单!$D$4:$D$4003,$A366,出库单!$K$4:$K$4003,"退货给供应商",出库单!$U$4:$U$4003,"正常",出库单!$C$4:$C$4003,"&gt;="&amp;账期起,出库单!$C$4:$C$4003,"&lt;="&amp;账期止))</f>
        <v/>
      </c>
      <c r="W366" s="26">
        <f>IF($A366="","",ROUND(SUMIFS(出库单!$S$4:$S$4003,出库单!$D$4:$D$4003,$A366,出库单!$K$4:$K$4003,"退货给供应商",出库单!$U$4:$U$4003,"正常",出库单!$C$4:$C$4003,"&gt;="&amp;账期起,出库单!$C$4:$C$4003,"&lt;="&amp;账期止),0))</f>
        <v/>
      </c>
      <c r="X366" s="27">
        <f>IF($A366="","",ROUND(N($G366)+$I366+$L366+$N366-$P366-$R366-$T366-$V366,3))</f>
        <v/>
      </c>
      <c r="Y366" s="26">
        <f>IF($A366="","",ROUND(N($H366)+$J366+$M366+$O366-$Q366-$S366-$U366-$W366,0))</f>
        <v/>
      </c>
      <c r="Z366" s="24">
        <f>IF($A366="","",IF(COUNTIFS(入库单!$G$4:$G$2503,$A366,入库单!$Y$4:$Y$2503,"待补价")+COUNTIFS(入库单!$G$4:$G$2503,$A366,入库单!$Y$4:$Y$2503,"暂估")&gt;0,"不可信","可信"))</f>
        <v/>
      </c>
      <c r="AA366" s="24">
        <f>IF($A366="","",IF($X366&lt;-0.001,"※账面负库存，查一下是不是漏记入库",IF(AND(ROUND($X366,3)=0,ABS($Y366)&gt;1),"※数量已经是 0，金额还挂着 "&amp;TEXT($Y366,"#,##0")&amp;" 先令",IF(AND($X366&gt;0,$Y366&lt;=0,$K366=0),"※有数量没金额（这个物料一直没填过进价）",IF($Z366="不可信","△成本含待补价/暂估，毛利仅供参考","")))))</f>
        <v/>
      </c>
    </row>
    <row r="367">
      <c r="A367" s="24">
        <f>IF(物料档案!$A366="","",物料档案!$A366)</f>
        <v/>
      </c>
      <c r="B367" s="24">
        <f>IF($A367="","",IFERROR(VLOOKUP($A367,物料档案!$A$4:$P$1203,3,0),""))</f>
        <v/>
      </c>
      <c r="C367" s="24">
        <f>IF($A367="","",IFERROR(VLOOKUP($A367,物料档案!$A$4:$P$1203,4,0),""))</f>
        <v/>
      </c>
      <c r="D367" s="24">
        <f>IF($A367="","",IFERROR(VLOOKUP($A367,物料档案!$A$4:$P$1203,5,0),""))</f>
        <v/>
      </c>
      <c r="E367" s="24">
        <f>IF($A367="","",IFERROR(VLOOKUP($A367,物料档案!$A$4:$P$1203,2,0),""))</f>
        <v/>
      </c>
      <c r="F367" s="24">
        <f>IF($A367="","",IFERROR(VLOOKUP($A367,物料档案!$A$4:$P$1203,6,0),""))</f>
        <v/>
      </c>
      <c r="G367" s="23" t="n"/>
      <c r="H367" s="32" t="n"/>
      <c r="I367" s="27">
        <f>IF($A367="","",SUMIFS(入库单!$K$4:$K$2503,入库单!$G$4:$G$2503,$A367,入库单!$X$4:$X$2503,"采购入库",入库单!$Z$4:$Z$2503,"正常",入库单!$C$4:$C$2503,"&gt;="&amp;账期起,入库单!$C$4:$C$2503,"&lt;="&amp;账期止))</f>
        <v/>
      </c>
      <c r="J367" s="26">
        <f>IF($A367="","",SUMIFS(入库单!$V$4:$V$2503,入库单!$G$4:$G$2503,$A367,入库单!$X$4:$X$2503,"采购入库",入库单!$Z$4:$Z$2503,"正常",入库单!$C$4:$C$2503,"&gt;="&amp;账期起,入库单!$C$4:$C$2503,"&lt;="&amp;账期止))</f>
        <v/>
      </c>
      <c r="K367" s="26">
        <f>IF($A367="","",IFERROR(ROUND((N($H367)+N($J367))/(N($G367)+N($I367)),2),0))</f>
        <v/>
      </c>
      <c r="L367" s="27">
        <f>IF($A367="","",SUMIFS(入库单!$K$4:$K$2503,入库单!$G$4:$G$2503,$A367,入库单!$X$4:$X$2503,"盘盈",入库单!$Z$4:$Z$2503,"正常",入库单!$C$4:$C$2503,"&gt;="&amp;账期起,入库单!$C$4:$C$2503,"&lt;="&amp;账期止))</f>
        <v/>
      </c>
      <c r="M367" s="26">
        <f>IF($A367="","",ROUND($L367*$K367,0))</f>
        <v/>
      </c>
      <c r="N367" s="27">
        <f>IF($A367="","",SUMIFS(入库单!$K$4:$K$2503,入库单!$G$4:$G$2503,$A367,入库单!$X$4:$X$2503,"矿区退库",入库单!$Z$4:$Z$2503,"正常",入库单!$C$4:$C$2503,"&gt;="&amp;账期起,入库单!$C$4:$C$2503,"&lt;="&amp;账期止))</f>
        <v/>
      </c>
      <c r="O367" s="26">
        <f>IF($A367="","",ROUND($N367*$K367,0))</f>
        <v/>
      </c>
      <c r="P367" s="27">
        <f>IF($A367="","",SUMIFS(出库单!$J$4:$J$4003,出库单!$D$4:$D$4003,$A367,出库单!$K$4:$K$4003,"自用消耗",出库单!$U$4:$U$4003,"正常",出库单!$C$4:$C$4003,"&gt;="&amp;账期起,出库单!$C$4:$C$4003,"&lt;="&amp;账期止))</f>
        <v/>
      </c>
      <c r="Q367" s="26">
        <f>IF($A367="","",ROUND(SUMIFS(出库单!$S$4:$S$4003,出库单!$D$4:$D$4003,$A367,出库单!$K$4:$K$4003,"自用消耗",出库单!$U$4:$U$4003,"正常",出库单!$C$4:$C$4003,"&gt;="&amp;账期起,出库单!$C$4:$C$4003,"&lt;="&amp;账期止),0))</f>
        <v/>
      </c>
      <c r="R367" s="27">
        <f>IF($A367="","",SUMIFS(出库单!$J$4:$J$4003,出库单!$D$4:$D$4003,$A367,出库单!$K$4:$K$4003,"对外销售",出库单!$U$4:$U$4003,"正常",出库单!$C$4:$C$4003,"&gt;="&amp;账期起,出库单!$C$4:$C$4003,"&lt;="&amp;账期止))</f>
        <v/>
      </c>
      <c r="S367" s="26">
        <f>IF($A367="","",ROUND(SUMIFS(出库单!$S$4:$S$4003,出库单!$D$4:$D$4003,$A367,出库单!$K$4:$K$4003,"对外销售",出库单!$U$4:$U$4003,"正常",出库单!$C$4:$C$4003,"&gt;="&amp;账期起,出库单!$C$4:$C$4003,"&lt;="&amp;账期止),0))</f>
        <v/>
      </c>
      <c r="T367" s="27">
        <f>IF($A367="","",SUMIFS(出库单!$J$4:$J$4003,出库单!$D$4:$D$4003,$A367,出库单!$K$4:$K$4003,"盘亏",出库单!$U$4:$U$4003,"正常",出库单!$C$4:$C$4003,"&gt;="&amp;账期起,出库单!$C$4:$C$4003,"&lt;="&amp;账期止))</f>
        <v/>
      </c>
      <c r="U367" s="26">
        <f>IF($A367="","",ROUND(SUMIFS(出库单!$S$4:$S$4003,出库单!$D$4:$D$4003,$A367,出库单!$K$4:$K$4003,"盘亏",出库单!$U$4:$U$4003,"正常",出库单!$C$4:$C$4003,"&gt;="&amp;账期起,出库单!$C$4:$C$4003,"&lt;="&amp;账期止),0))</f>
        <v/>
      </c>
      <c r="V367" s="27">
        <f>IF($A367="","",SUMIFS(出库单!$J$4:$J$4003,出库单!$D$4:$D$4003,$A367,出库单!$K$4:$K$4003,"退货给供应商",出库单!$U$4:$U$4003,"正常",出库单!$C$4:$C$4003,"&gt;="&amp;账期起,出库单!$C$4:$C$4003,"&lt;="&amp;账期止))</f>
        <v/>
      </c>
      <c r="W367" s="26">
        <f>IF($A367="","",ROUND(SUMIFS(出库单!$S$4:$S$4003,出库单!$D$4:$D$4003,$A367,出库单!$K$4:$K$4003,"退货给供应商",出库单!$U$4:$U$4003,"正常",出库单!$C$4:$C$4003,"&gt;="&amp;账期起,出库单!$C$4:$C$4003,"&lt;="&amp;账期止),0))</f>
        <v/>
      </c>
      <c r="X367" s="27">
        <f>IF($A367="","",ROUND(N($G367)+$I367+$L367+$N367-$P367-$R367-$T367-$V367,3))</f>
        <v/>
      </c>
      <c r="Y367" s="26">
        <f>IF($A367="","",ROUND(N($H367)+$J367+$M367+$O367-$Q367-$S367-$U367-$W367,0))</f>
        <v/>
      </c>
      <c r="Z367" s="24">
        <f>IF($A367="","",IF(COUNTIFS(入库单!$G$4:$G$2503,$A367,入库单!$Y$4:$Y$2503,"待补价")+COUNTIFS(入库单!$G$4:$G$2503,$A367,入库单!$Y$4:$Y$2503,"暂估")&gt;0,"不可信","可信"))</f>
        <v/>
      </c>
      <c r="AA367" s="24">
        <f>IF($A367="","",IF($X367&lt;-0.001,"※账面负库存，查一下是不是漏记入库",IF(AND(ROUND($X367,3)=0,ABS($Y367)&gt;1),"※数量已经是 0，金额还挂着 "&amp;TEXT($Y367,"#,##0")&amp;" 先令",IF(AND($X367&gt;0,$Y367&lt;=0,$K367=0),"※有数量没金额（这个物料一直没填过进价）",IF($Z367="不可信","△成本含待补价/暂估，毛利仅供参考","")))))</f>
        <v/>
      </c>
    </row>
    <row r="368">
      <c r="A368" s="24">
        <f>IF(物料档案!$A367="","",物料档案!$A367)</f>
        <v/>
      </c>
      <c r="B368" s="24">
        <f>IF($A368="","",IFERROR(VLOOKUP($A368,物料档案!$A$4:$P$1203,3,0),""))</f>
        <v/>
      </c>
      <c r="C368" s="24">
        <f>IF($A368="","",IFERROR(VLOOKUP($A368,物料档案!$A$4:$P$1203,4,0),""))</f>
        <v/>
      </c>
      <c r="D368" s="24">
        <f>IF($A368="","",IFERROR(VLOOKUP($A368,物料档案!$A$4:$P$1203,5,0),""))</f>
        <v/>
      </c>
      <c r="E368" s="24">
        <f>IF($A368="","",IFERROR(VLOOKUP($A368,物料档案!$A$4:$P$1203,2,0),""))</f>
        <v/>
      </c>
      <c r="F368" s="24">
        <f>IF($A368="","",IFERROR(VLOOKUP($A368,物料档案!$A$4:$P$1203,6,0),""))</f>
        <v/>
      </c>
      <c r="G368" s="23" t="n"/>
      <c r="H368" s="32" t="n"/>
      <c r="I368" s="27">
        <f>IF($A368="","",SUMIFS(入库单!$K$4:$K$2503,入库单!$G$4:$G$2503,$A368,入库单!$X$4:$X$2503,"采购入库",入库单!$Z$4:$Z$2503,"正常",入库单!$C$4:$C$2503,"&gt;="&amp;账期起,入库单!$C$4:$C$2503,"&lt;="&amp;账期止))</f>
        <v/>
      </c>
      <c r="J368" s="26">
        <f>IF($A368="","",SUMIFS(入库单!$V$4:$V$2503,入库单!$G$4:$G$2503,$A368,入库单!$X$4:$X$2503,"采购入库",入库单!$Z$4:$Z$2503,"正常",入库单!$C$4:$C$2503,"&gt;="&amp;账期起,入库单!$C$4:$C$2503,"&lt;="&amp;账期止))</f>
        <v/>
      </c>
      <c r="K368" s="26">
        <f>IF($A368="","",IFERROR(ROUND((N($H368)+N($J368))/(N($G368)+N($I368)),2),0))</f>
        <v/>
      </c>
      <c r="L368" s="27">
        <f>IF($A368="","",SUMIFS(入库单!$K$4:$K$2503,入库单!$G$4:$G$2503,$A368,入库单!$X$4:$X$2503,"盘盈",入库单!$Z$4:$Z$2503,"正常",入库单!$C$4:$C$2503,"&gt;="&amp;账期起,入库单!$C$4:$C$2503,"&lt;="&amp;账期止))</f>
        <v/>
      </c>
      <c r="M368" s="26">
        <f>IF($A368="","",ROUND($L368*$K368,0))</f>
        <v/>
      </c>
      <c r="N368" s="27">
        <f>IF($A368="","",SUMIFS(入库单!$K$4:$K$2503,入库单!$G$4:$G$2503,$A368,入库单!$X$4:$X$2503,"矿区退库",入库单!$Z$4:$Z$2503,"正常",入库单!$C$4:$C$2503,"&gt;="&amp;账期起,入库单!$C$4:$C$2503,"&lt;="&amp;账期止))</f>
        <v/>
      </c>
      <c r="O368" s="26">
        <f>IF($A368="","",ROUND($N368*$K368,0))</f>
        <v/>
      </c>
      <c r="P368" s="27">
        <f>IF($A368="","",SUMIFS(出库单!$J$4:$J$4003,出库单!$D$4:$D$4003,$A368,出库单!$K$4:$K$4003,"自用消耗",出库单!$U$4:$U$4003,"正常",出库单!$C$4:$C$4003,"&gt;="&amp;账期起,出库单!$C$4:$C$4003,"&lt;="&amp;账期止))</f>
        <v/>
      </c>
      <c r="Q368" s="26">
        <f>IF($A368="","",ROUND(SUMIFS(出库单!$S$4:$S$4003,出库单!$D$4:$D$4003,$A368,出库单!$K$4:$K$4003,"自用消耗",出库单!$U$4:$U$4003,"正常",出库单!$C$4:$C$4003,"&gt;="&amp;账期起,出库单!$C$4:$C$4003,"&lt;="&amp;账期止),0))</f>
        <v/>
      </c>
      <c r="R368" s="27">
        <f>IF($A368="","",SUMIFS(出库单!$J$4:$J$4003,出库单!$D$4:$D$4003,$A368,出库单!$K$4:$K$4003,"对外销售",出库单!$U$4:$U$4003,"正常",出库单!$C$4:$C$4003,"&gt;="&amp;账期起,出库单!$C$4:$C$4003,"&lt;="&amp;账期止))</f>
        <v/>
      </c>
      <c r="S368" s="26">
        <f>IF($A368="","",ROUND(SUMIFS(出库单!$S$4:$S$4003,出库单!$D$4:$D$4003,$A368,出库单!$K$4:$K$4003,"对外销售",出库单!$U$4:$U$4003,"正常",出库单!$C$4:$C$4003,"&gt;="&amp;账期起,出库单!$C$4:$C$4003,"&lt;="&amp;账期止),0))</f>
        <v/>
      </c>
      <c r="T368" s="27">
        <f>IF($A368="","",SUMIFS(出库单!$J$4:$J$4003,出库单!$D$4:$D$4003,$A368,出库单!$K$4:$K$4003,"盘亏",出库单!$U$4:$U$4003,"正常",出库单!$C$4:$C$4003,"&gt;="&amp;账期起,出库单!$C$4:$C$4003,"&lt;="&amp;账期止))</f>
        <v/>
      </c>
      <c r="U368" s="26">
        <f>IF($A368="","",ROUND(SUMIFS(出库单!$S$4:$S$4003,出库单!$D$4:$D$4003,$A368,出库单!$K$4:$K$4003,"盘亏",出库单!$U$4:$U$4003,"正常",出库单!$C$4:$C$4003,"&gt;="&amp;账期起,出库单!$C$4:$C$4003,"&lt;="&amp;账期止),0))</f>
        <v/>
      </c>
      <c r="V368" s="27">
        <f>IF($A368="","",SUMIFS(出库单!$J$4:$J$4003,出库单!$D$4:$D$4003,$A368,出库单!$K$4:$K$4003,"退货给供应商",出库单!$U$4:$U$4003,"正常",出库单!$C$4:$C$4003,"&gt;="&amp;账期起,出库单!$C$4:$C$4003,"&lt;="&amp;账期止))</f>
        <v/>
      </c>
      <c r="W368" s="26">
        <f>IF($A368="","",ROUND(SUMIFS(出库单!$S$4:$S$4003,出库单!$D$4:$D$4003,$A368,出库单!$K$4:$K$4003,"退货给供应商",出库单!$U$4:$U$4003,"正常",出库单!$C$4:$C$4003,"&gt;="&amp;账期起,出库单!$C$4:$C$4003,"&lt;="&amp;账期止),0))</f>
        <v/>
      </c>
      <c r="X368" s="27">
        <f>IF($A368="","",ROUND(N($G368)+$I368+$L368+$N368-$P368-$R368-$T368-$V368,3))</f>
        <v/>
      </c>
      <c r="Y368" s="26">
        <f>IF($A368="","",ROUND(N($H368)+$J368+$M368+$O368-$Q368-$S368-$U368-$W368,0))</f>
        <v/>
      </c>
      <c r="Z368" s="24">
        <f>IF($A368="","",IF(COUNTIFS(入库单!$G$4:$G$2503,$A368,入库单!$Y$4:$Y$2503,"待补价")+COUNTIFS(入库单!$G$4:$G$2503,$A368,入库单!$Y$4:$Y$2503,"暂估")&gt;0,"不可信","可信"))</f>
        <v/>
      </c>
      <c r="AA368" s="24">
        <f>IF($A368="","",IF($X368&lt;-0.001,"※账面负库存，查一下是不是漏记入库",IF(AND(ROUND($X368,3)=0,ABS($Y368)&gt;1),"※数量已经是 0，金额还挂着 "&amp;TEXT($Y368,"#,##0")&amp;" 先令",IF(AND($X368&gt;0,$Y368&lt;=0,$K368=0),"※有数量没金额（这个物料一直没填过进价）",IF($Z368="不可信","△成本含待补价/暂估，毛利仅供参考","")))))</f>
        <v/>
      </c>
    </row>
    <row r="369">
      <c r="A369" s="24">
        <f>IF(物料档案!$A368="","",物料档案!$A368)</f>
        <v/>
      </c>
      <c r="B369" s="24">
        <f>IF($A369="","",IFERROR(VLOOKUP($A369,物料档案!$A$4:$P$1203,3,0),""))</f>
        <v/>
      </c>
      <c r="C369" s="24">
        <f>IF($A369="","",IFERROR(VLOOKUP($A369,物料档案!$A$4:$P$1203,4,0),""))</f>
        <v/>
      </c>
      <c r="D369" s="24">
        <f>IF($A369="","",IFERROR(VLOOKUP($A369,物料档案!$A$4:$P$1203,5,0),""))</f>
        <v/>
      </c>
      <c r="E369" s="24">
        <f>IF($A369="","",IFERROR(VLOOKUP($A369,物料档案!$A$4:$P$1203,2,0),""))</f>
        <v/>
      </c>
      <c r="F369" s="24">
        <f>IF($A369="","",IFERROR(VLOOKUP($A369,物料档案!$A$4:$P$1203,6,0),""))</f>
        <v/>
      </c>
      <c r="G369" s="23" t="n"/>
      <c r="H369" s="32" t="n"/>
      <c r="I369" s="27">
        <f>IF($A369="","",SUMIFS(入库单!$K$4:$K$2503,入库单!$G$4:$G$2503,$A369,入库单!$X$4:$X$2503,"采购入库",入库单!$Z$4:$Z$2503,"正常",入库单!$C$4:$C$2503,"&gt;="&amp;账期起,入库单!$C$4:$C$2503,"&lt;="&amp;账期止))</f>
        <v/>
      </c>
      <c r="J369" s="26">
        <f>IF($A369="","",SUMIFS(入库单!$V$4:$V$2503,入库单!$G$4:$G$2503,$A369,入库单!$X$4:$X$2503,"采购入库",入库单!$Z$4:$Z$2503,"正常",入库单!$C$4:$C$2503,"&gt;="&amp;账期起,入库单!$C$4:$C$2503,"&lt;="&amp;账期止))</f>
        <v/>
      </c>
      <c r="K369" s="26">
        <f>IF($A369="","",IFERROR(ROUND((N($H369)+N($J369))/(N($G369)+N($I369)),2),0))</f>
        <v/>
      </c>
      <c r="L369" s="27">
        <f>IF($A369="","",SUMIFS(入库单!$K$4:$K$2503,入库单!$G$4:$G$2503,$A369,入库单!$X$4:$X$2503,"盘盈",入库单!$Z$4:$Z$2503,"正常",入库单!$C$4:$C$2503,"&gt;="&amp;账期起,入库单!$C$4:$C$2503,"&lt;="&amp;账期止))</f>
        <v/>
      </c>
      <c r="M369" s="26">
        <f>IF($A369="","",ROUND($L369*$K369,0))</f>
        <v/>
      </c>
      <c r="N369" s="27">
        <f>IF($A369="","",SUMIFS(入库单!$K$4:$K$2503,入库单!$G$4:$G$2503,$A369,入库单!$X$4:$X$2503,"矿区退库",入库单!$Z$4:$Z$2503,"正常",入库单!$C$4:$C$2503,"&gt;="&amp;账期起,入库单!$C$4:$C$2503,"&lt;="&amp;账期止))</f>
        <v/>
      </c>
      <c r="O369" s="26">
        <f>IF($A369="","",ROUND($N369*$K369,0))</f>
        <v/>
      </c>
      <c r="P369" s="27">
        <f>IF($A369="","",SUMIFS(出库单!$J$4:$J$4003,出库单!$D$4:$D$4003,$A369,出库单!$K$4:$K$4003,"自用消耗",出库单!$U$4:$U$4003,"正常",出库单!$C$4:$C$4003,"&gt;="&amp;账期起,出库单!$C$4:$C$4003,"&lt;="&amp;账期止))</f>
        <v/>
      </c>
      <c r="Q369" s="26">
        <f>IF($A369="","",ROUND(SUMIFS(出库单!$S$4:$S$4003,出库单!$D$4:$D$4003,$A369,出库单!$K$4:$K$4003,"自用消耗",出库单!$U$4:$U$4003,"正常",出库单!$C$4:$C$4003,"&gt;="&amp;账期起,出库单!$C$4:$C$4003,"&lt;="&amp;账期止),0))</f>
        <v/>
      </c>
      <c r="R369" s="27">
        <f>IF($A369="","",SUMIFS(出库单!$J$4:$J$4003,出库单!$D$4:$D$4003,$A369,出库单!$K$4:$K$4003,"对外销售",出库单!$U$4:$U$4003,"正常",出库单!$C$4:$C$4003,"&gt;="&amp;账期起,出库单!$C$4:$C$4003,"&lt;="&amp;账期止))</f>
        <v/>
      </c>
      <c r="S369" s="26">
        <f>IF($A369="","",ROUND(SUMIFS(出库单!$S$4:$S$4003,出库单!$D$4:$D$4003,$A369,出库单!$K$4:$K$4003,"对外销售",出库单!$U$4:$U$4003,"正常",出库单!$C$4:$C$4003,"&gt;="&amp;账期起,出库单!$C$4:$C$4003,"&lt;="&amp;账期止),0))</f>
        <v/>
      </c>
      <c r="T369" s="27">
        <f>IF($A369="","",SUMIFS(出库单!$J$4:$J$4003,出库单!$D$4:$D$4003,$A369,出库单!$K$4:$K$4003,"盘亏",出库单!$U$4:$U$4003,"正常",出库单!$C$4:$C$4003,"&gt;="&amp;账期起,出库单!$C$4:$C$4003,"&lt;="&amp;账期止))</f>
        <v/>
      </c>
      <c r="U369" s="26">
        <f>IF($A369="","",ROUND(SUMIFS(出库单!$S$4:$S$4003,出库单!$D$4:$D$4003,$A369,出库单!$K$4:$K$4003,"盘亏",出库单!$U$4:$U$4003,"正常",出库单!$C$4:$C$4003,"&gt;="&amp;账期起,出库单!$C$4:$C$4003,"&lt;="&amp;账期止),0))</f>
        <v/>
      </c>
      <c r="V369" s="27">
        <f>IF($A369="","",SUMIFS(出库单!$J$4:$J$4003,出库单!$D$4:$D$4003,$A369,出库单!$K$4:$K$4003,"退货给供应商",出库单!$U$4:$U$4003,"正常",出库单!$C$4:$C$4003,"&gt;="&amp;账期起,出库单!$C$4:$C$4003,"&lt;="&amp;账期止))</f>
        <v/>
      </c>
      <c r="W369" s="26">
        <f>IF($A369="","",ROUND(SUMIFS(出库单!$S$4:$S$4003,出库单!$D$4:$D$4003,$A369,出库单!$K$4:$K$4003,"退货给供应商",出库单!$U$4:$U$4003,"正常",出库单!$C$4:$C$4003,"&gt;="&amp;账期起,出库单!$C$4:$C$4003,"&lt;="&amp;账期止),0))</f>
        <v/>
      </c>
      <c r="X369" s="27">
        <f>IF($A369="","",ROUND(N($G369)+$I369+$L369+$N369-$P369-$R369-$T369-$V369,3))</f>
        <v/>
      </c>
      <c r="Y369" s="26">
        <f>IF($A369="","",ROUND(N($H369)+$J369+$M369+$O369-$Q369-$S369-$U369-$W369,0))</f>
        <v/>
      </c>
      <c r="Z369" s="24">
        <f>IF($A369="","",IF(COUNTIFS(入库单!$G$4:$G$2503,$A369,入库单!$Y$4:$Y$2503,"待补价")+COUNTIFS(入库单!$G$4:$G$2503,$A369,入库单!$Y$4:$Y$2503,"暂估")&gt;0,"不可信","可信"))</f>
        <v/>
      </c>
      <c r="AA369" s="24">
        <f>IF($A369="","",IF($X369&lt;-0.001,"※账面负库存，查一下是不是漏记入库",IF(AND(ROUND($X369,3)=0,ABS($Y369)&gt;1),"※数量已经是 0，金额还挂着 "&amp;TEXT($Y369,"#,##0")&amp;" 先令",IF(AND($X369&gt;0,$Y369&lt;=0,$K369=0),"※有数量没金额（这个物料一直没填过进价）",IF($Z369="不可信","△成本含待补价/暂估，毛利仅供参考","")))))</f>
        <v/>
      </c>
    </row>
    <row r="370">
      <c r="A370" s="24">
        <f>IF(物料档案!$A369="","",物料档案!$A369)</f>
        <v/>
      </c>
      <c r="B370" s="24">
        <f>IF($A370="","",IFERROR(VLOOKUP($A370,物料档案!$A$4:$P$1203,3,0),""))</f>
        <v/>
      </c>
      <c r="C370" s="24">
        <f>IF($A370="","",IFERROR(VLOOKUP($A370,物料档案!$A$4:$P$1203,4,0),""))</f>
        <v/>
      </c>
      <c r="D370" s="24">
        <f>IF($A370="","",IFERROR(VLOOKUP($A370,物料档案!$A$4:$P$1203,5,0),""))</f>
        <v/>
      </c>
      <c r="E370" s="24">
        <f>IF($A370="","",IFERROR(VLOOKUP($A370,物料档案!$A$4:$P$1203,2,0),""))</f>
        <v/>
      </c>
      <c r="F370" s="24">
        <f>IF($A370="","",IFERROR(VLOOKUP($A370,物料档案!$A$4:$P$1203,6,0),""))</f>
        <v/>
      </c>
      <c r="G370" s="23" t="n"/>
      <c r="H370" s="32" t="n"/>
      <c r="I370" s="27">
        <f>IF($A370="","",SUMIFS(入库单!$K$4:$K$2503,入库单!$G$4:$G$2503,$A370,入库单!$X$4:$X$2503,"采购入库",入库单!$Z$4:$Z$2503,"正常",入库单!$C$4:$C$2503,"&gt;="&amp;账期起,入库单!$C$4:$C$2503,"&lt;="&amp;账期止))</f>
        <v/>
      </c>
      <c r="J370" s="26">
        <f>IF($A370="","",SUMIFS(入库单!$V$4:$V$2503,入库单!$G$4:$G$2503,$A370,入库单!$X$4:$X$2503,"采购入库",入库单!$Z$4:$Z$2503,"正常",入库单!$C$4:$C$2503,"&gt;="&amp;账期起,入库单!$C$4:$C$2503,"&lt;="&amp;账期止))</f>
        <v/>
      </c>
      <c r="K370" s="26">
        <f>IF($A370="","",IFERROR(ROUND((N($H370)+N($J370))/(N($G370)+N($I370)),2),0))</f>
        <v/>
      </c>
      <c r="L370" s="27">
        <f>IF($A370="","",SUMIFS(入库单!$K$4:$K$2503,入库单!$G$4:$G$2503,$A370,入库单!$X$4:$X$2503,"盘盈",入库单!$Z$4:$Z$2503,"正常",入库单!$C$4:$C$2503,"&gt;="&amp;账期起,入库单!$C$4:$C$2503,"&lt;="&amp;账期止))</f>
        <v/>
      </c>
      <c r="M370" s="26">
        <f>IF($A370="","",ROUND($L370*$K370,0))</f>
        <v/>
      </c>
      <c r="N370" s="27">
        <f>IF($A370="","",SUMIFS(入库单!$K$4:$K$2503,入库单!$G$4:$G$2503,$A370,入库单!$X$4:$X$2503,"矿区退库",入库单!$Z$4:$Z$2503,"正常",入库单!$C$4:$C$2503,"&gt;="&amp;账期起,入库单!$C$4:$C$2503,"&lt;="&amp;账期止))</f>
        <v/>
      </c>
      <c r="O370" s="26">
        <f>IF($A370="","",ROUND($N370*$K370,0))</f>
        <v/>
      </c>
      <c r="P370" s="27">
        <f>IF($A370="","",SUMIFS(出库单!$J$4:$J$4003,出库单!$D$4:$D$4003,$A370,出库单!$K$4:$K$4003,"自用消耗",出库单!$U$4:$U$4003,"正常",出库单!$C$4:$C$4003,"&gt;="&amp;账期起,出库单!$C$4:$C$4003,"&lt;="&amp;账期止))</f>
        <v/>
      </c>
      <c r="Q370" s="26">
        <f>IF($A370="","",ROUND(SUMIFS(出库单!$S$4:$S$4003,出库单!$D$4:$D$4003,$A370,出库单!$K$4:$K$4003,"自用消耗",出库单!$U$4:$U$4003,"正常",出库单!$C$4:$C$4003,"&gt;="&amp;账期起,出库单!$C$4:$C$4003,"&lt;="&amp;账期止),0))</f>
        <v/>
      </c>
      <c r="R370" s="27">
        <f>IF($A370="","",SUMIFS(出库单!$J$4:$J$4003,出库单!$D$4:$D$4003,$A370,出库单!$K$4:$K$4003,"对外销售",出库单!$U$4:$U$4003,"正常",出库单!$C$4:$C$4003,"&gt;="&amp;账期起,出库单!$C$4:$C$4003,"&lt;="&amp;账期止))</f>
        <v/>
      </c>
      <c r="S370" s="26">
        <f>IF($A370="","",ROUND(SUMIFS(出库单!$S$4:$S$4003,出库单!$D$4:$D$4003,$A370,出库单!$K$4:$K$4003,"对外销售",出库单!$U$4:$U$4003,"正常",出库单!$C$4:$C$4003,"&gt;="&amp;账期起,出库单!$C$4:$C$4003,"&lt;="&amp;账期止),0))</f>
        <v/>
      </c>
      <c r="T370" s="27">
        <f>IF($A370="","",SUMIFS(出库单!$J$4:$J$4003,出库单!$D$4:$D$4003,$A370,出库单!$K$4:$K$4003,"盘亏",出库单!$U$4:$U$4003,"正常",出库单!$C$4:$C$4003,"&gt;="&amp;账期起,出库单!$C$4:$C$4003,"&lt;="&amp;账期止))</f>
        <v/>
      </c>
      <c r="U370" s="26">
        <f>IF($A370="","",ROUND(SUMIFS(出库单!$S$4:$S$4003,出库单!$D$4:$D$4003,$A370,出库单!$K$4:$K$4003,"盘亏",出库单!$U$4:$U$4003,"正常",出库单!$C$4:$C$4003,"&gt;="&amp;账期起,出库单!$C$4:$C$4003,"&lt;="&amp;账期止),0))</f>
        <v/>
      </c>
      <c r="V370" s="27">
        <f>IF($A370="","",SUMIFS(出库单!$J$4:$J$4003,出库单!$D$4:$D$4003,$A370,出库单!$K$4:$K$4003,"退货给供应商",出库单!$U$4:$U$4003,"正常",出库单!$C$4:$C$4003,"&gt;="&amp;账期起,出库单!$C$4:$C$4003,"&lt;="&amp;账期止))</f>
        <v/>
      </c>
      <c r="W370" s="26">
        <f>IF($A370="","",ROUND(SUMIFS(出库单!$S$4:$S$4003,出库单!$D$4:$D$4003,$A370,出库单!$K$4:$K$4003,"退货给供应商",出库单!$U$4:$U$4003,"正常",出库单!$C$4:$C$4003,"&gt;="&amp;账期起,出库单!$C$4:$C$4003,"&lt;="&amp;账期止),0))</f>
        <v/>
      </c>
      <c r="X370" s="27">
        <f>IF($A370="","",ROUND(N($G370)+$I370+$L370+$N370-$P370-$R370-$T370-$V370,3))</f>
        <v/>
      </c>
      <c r="Y370" s="26">
        <f>IF($A370="","",ROUND(N($H370)+$J370+$M370+$O370-$Q370-$S370-$U370-$W370,0))</f>
        <v/>
      </c>
      <c r="Z370" s="24">
        <f>IF($A370="","",IF(COUNTIFS(入库单!$G$4:$G$2503,$A370,入库单!$Y$4:$Y$2503,"待补价")+COUNTIFS(入库单!$G$4:$G$2503,$A370,入库单!$Y$4:$Y$2503,"暂估")&gt;0,"不可信","可信"))</f>
        <v/>
      </c>
      <c r="AA370" s="24">
        <f>IF($A370="","",IF($X370&lt;-0.001,"※账面负库存，查一下是不是漏记入库",IF(AND(ROUND($X370,3)=0,ABS($Y370)&gt;1),"※数量已经是 0，金额还挂着 "&amp;TEXT($Y370,"#,##0")&amp;" 先令",IF(AND($X370&gt;0,$Y370&lt;=0,$K370=0),"※有数量没金额（这个物料一直没填过进价）",IF($Z370="不可信","△成本含待补价/暂估，毛利仅供参考","")))))</f>
        <v/>
      </c>
    </row>
    <row r="371">
      <c r="A371" s="24">
        <f>IF(物料档案!$A370="","",物料档案!$A370)</f>
        <v/>
      </c>
      <c r="B371" s="24">
        <f>IF($A371="","",IFERROR(VLOOKUP($A371,物料档案!$A$4:$P$1203,3,0),""))</f>
        <v/>
      </c>
      <c r="C371" s="24">
        <f>IF($A371="","",IFERROR(VLOOKUP($A371,物料档案!$A$4:$P$1203,4,0),""))</f>
        <v/>
      </c>
      <c r="D371" s="24">
        <f>IF($A371="","",IFERROR(VLOOKUP($A371,物料档案!$A$4:$P$1203,5,0),""))</f>
        <v/>
      </c>
      <c r="E371" s="24">
        <f>IF($A371="","",IFERROR(VLOOKUP($A371,物料档案!$A$4:$P$1203,2,0),""))</f>
        <v/>
      </c>
      <c r="F371" s="24">
        <f>IF($A371="","",IFERROR(VLOOKUP($A371,物料档案!$A$4:$P$1203,6,0),""))</f>
        <v/>
      </c>
      <c r="G371" s="23" t="n"/>
      <c r="H371" s="32" t="n"/>
      <c r="I371" s="27">
        <f>IF($A371="","",SUMIFS(入库单!$K$4:$K$2503,入库单!$G$4:$G$2503,$A371,入库单!$X$4:$X$2503,"采购入库",入库单!$Z$4:$Z$2503,"正常",入库单!$C$4:$C$2503,"&gt;="&amp;账期起,入库单!$C$4:$C$2503,"&lt;="&amp;账期止))</f>
        <v/>
      </c>
      <c r="J371" s="26">
        <f>IF($A371="","",SUMIFS(入库单!$V$4:$V$2503,入库单!$G$4:$G$2503,$A371,入库单!$X$4:$X$2503,"采购入库",入库单!$Z$4:$Z$2503,"正常",入库单!$C$4:$C$2503,"&gt;="&amp;账期起,入库单!$C$4:$C$2503,"&lt;="&amp;账期止))</f>
        <v/>
      </c>
      <c r="K371" s="26">
        <f>IF($A371="","",IFERROR(ROUND((N($H371)+N($J371))/(N($G371)+N($I371)),2),0))</f>
        <v/>
      </c>
      <c r="L371" s="27">
        <f>IF($A371="","",SUMIFS(入库单!$K$4:$K$2503,入库单!$G$4:$G$2503,$A371,入库单!$X$4:$X$2503,"盘盈",入库单!$Z$4:$Z$2503,"正常",入库单!$C$4:$C$2503,"&gt;="&amp;账期起,入库单!$C$4:$C$2503,"&lt;="&amp;账期止))</f>
        <v/>
      </c>
      <c r="M371" s="26">
        <f>IF($A371="","",ROUND($L371*$K371,0))</f>
        <v/>
      </c>
      <c r="N371" s="27">
        <f>IF($A371="","",SUMIFS(入库单!$K$4:$K$2503,入库单!$G$4:$G$2503,$A371,入库单!$X$4:$X$2503,"矿区退库",入库单!$Z$4:$Z$2503,"正常",入库单!$C$4:$C$2503,"&gt;="&amp;账期起,入库单!$C$4:$C$2503,"&lt;="&amp;账期止))</f>
        <v/>
      </c>
      <c r="O371" s="26">
        <f>IF($A371="","",ROUND($N371*$K371,0))</f>
        <v/>
      </c>
      <c r="P371" s="27">
        <f>IF($A371="","",SUMIFS(出库单!$J$4:$J$4003,出库单!$D$4:$D$4003,$A371,出库单!$K$4:$K$4003,"自用消耗",出库单!$U$4:$U$4003,"正常",出库单!$C$4:$C$4003,"&gt;="&amp;账期起,出库单!$C$4:$C$4003,"&lt;="&amp;账期止))</f>
        <v/>
      </c>
      <c r="Q371" s="26">
        <f>IF($A371="","",ROUND(SUMIFS(出库单!$S$4:$S$4003,出库单!$D$4:$D$4003,$A371,出库单!$K$4:$K$4003,"自用消耗",出库单!$U$4:$U$4003,"正常",出库单!$C$4:$C$4003,"&gt;="&amp;账期起,出库单!$C$4:$C$4003,"&lt;="&amp;账期止),0))</f>
        <v/>
      </c>
      <c r="R371" s="27">
        <f>IF($A371="","",SUMIFS(出库单!$J$4:$J$4003,出库单!$D$4:$D$4003,$A371,出库单!$K$4:$K$4003,"对外销售",出库单!$U$4:$U$4003,"正常",出库单!$C$4:$C$4003,"&gt;="&amp;账期起,出库单!$C$4:$C$4003,"&lt;="&amp;账期止))</f>
        <v/>
      </c>
      <c r="S371" s="26">
        <f>IF($A371="","",ROUND(SUMIFS(出库单!$S$4:$S$4003,出库单!$D$4:$D$4003,$A371,出库单!$K$4:$K$4003,"对外销售",出库单!$U$4:$U$4003,"正常",出库单!$C$4:$C$4003,"&gt;="&amp;账期起,出库单!$C$4:$C$4003,"&lt;="&amp;账期止),0))</f>
        <v/>
      </c>
      <c r="T371" s="27">
        <f>IF($A371="","",SUMIFS(出库单!$J$4:$J$4003,出库单!$D$4:$D$4003,$A371,出库单!$K$4:$K$4003,"盘亏",出库单!$U$4:$U$4003,"正常",出库单!$C$4:$C$4003,"&gt;="&amp;账期起,出库单!$C$4:$C$4003,"&lt;="&amp;账期止))</f>
        <v/>
      </c>
      <c r="U371" s="26">
        <f>IF($A371="","",ROUND(SUMIFS(出库单!$S$4:$S$4003,出库单!$D$4:$D$4003,$A371,出库单!$K$4:$K$4003,"盘亏",出库单!$U$4:$U$4003,"正常",出库单!$C$4:$C$4003,"&gt;="&amp;账期起,出库单!$C$4:$C$4003,"&lt;="&amp;账期止),0))</f>
        <v/>
      </c>
      <c r="V371" s="27">
        <f>IF($A371="","",SUMIFS(出库单!$J$4:$J$4003,出库单!$D$4:$D$4003,$A371,出库单!$K$4:$K$4003,"退货给供应商",出库单!$U$4:$U$4003,"正常",出库单!$C$4:$C$4003,"&gt;="&amp;账期起,出库单!$C$4:$C$4003,"&lt;="&amp;账期止))</f>
        <v/>
      </c>
      <c r="W371" s="26">
        <f>IF($A371="","",ROUND(SUMIFS(出库单!$S$4:$S$4003,出库单!$D$4:$D$4003,$A371,出库单!$K$4:$K$4003,"退货给供应商",出库单!$U$4:$U$4003,"正常",出库单!$C$4:$C$4003,"&gt;="&amp;账期起,出库单!$C$4:$C$4003,"&lt;="&amp;账期止),0))</f>
        <v/>
      </c>
      <c r="X371" s="27">
        <f>IF($A371="","",ROUND(N($G371)+$I371+$L371+$N371-$P371-$R371-$T371-$V371,3))</f>
        <v/>
      </c>
      <c r="Y371" s="26">
        <f>IF($A371="","",ROUND(N($H371)+$J371+$M371+$O371-$Q371-$S371-$U371-$W371,0))</f>
        <v/>
      </c>
      <c r="Z371" s="24">
        <f>IF($A371="","",IF(COUNTIFS(入库单!$G$4:$G$2503,$A371,入库单!$Y$4:$Y$2503,"待补价")+COUNTIFS(入库单!$G$4:$G$2503,$A371,入库单!$Y$4:$Y$2503,"暂估")&gt;0,"不可信","可信"))</f>
        <v/>
      </c>
      <c r="AA371" s="24">
        <f>IF($A371="","",IF($X371&lt;-0.001,"※账面负库存，查一下是不是漏记入库",IF(AND(ROUND($X371,3)=0,ABS($Y371)&gt;1),"※数量已经是 0，金额还挂着 "&amp;TEXT($Y371,"#,##0")&amp;" 先令",IF(AND($X371&gt;0,$Y371&lt;=0,$K371=0),"※有数量没金额（这个物料一直没填过进价）",IF($Z371="不可信","△成本含待补价/暂估，毛利仅供参考","")))))</f>
        <v/>
      </c>
    </row>
    <row r="372">
      <c r="A372" s="24">
        <f>IF(物料档案!$A371="","",物料档案!$A371)</f>
        <v/>
      </c>
      <c r="B372" s="24">
        <f>IF($A372="","",IFERROR(VLOOKUP($A372,物料档案!$A$4:$P$1203,3,0),""))</f>
        <v/>
      </c>
      <c r="C372" s="24">
        <f>IF($A372="","",IFERROR(VLOOKUP($A372,物料档案!$A$4:$P$1203,4,0),""))</f>
        <v/>
      </c>
      <c r="D372" s="24">
        <f>IF($A372="","",IFERROR(VLOOKUP($A372,物料档案!$A$4:$P$1203,5,0),""))</f>
        <v/>
      </c>
      <c r="E372" s="24">
        <f>IF($A372="","",IFERROR(VLOOKUP($A372,物料档案!$A$4:$P$1203,2,0),""))</f>
        <v/>
      </c>
      <c r="F372" s="24">
        <f>IF($A372="","",IFERROR(VLOOKUP($A372,物料档案!$A$4:$P$1203,6,0),""))</f>
        <v/>
      </c>
      <c r="G372" s="23" t="n"/>
      <c r="H372" s="32" t="n"/>
      <c r="I372" s="27">
        <f>IF($A372="","",SUMIFS(入库单!$K$4:$K$2503,入库单!$G$4:$G$2503,$A372,入库单!$X$4:$X$2503,"采购入库",入库单!$Z$4:$Z$2503,"正常",入库单!$C$4:$C$2503,"&gt;="&amp;账期起,入库单!$C$4:$C$2503,"&lt;="&amp;账期止))</f>
        <v/>
      </c>
      <c r="J372" s="26">
        <f>IF($A372="","",SUMIFS(入库单!$V$4:$V$2503,入库单!$G$4:$G$2503,$A372,入库单!$X$4:$X$2503,"采购入库",入库单!$Z$4:$Z$2503,"正常",入库单!$C$4:$C$2503,"&gt;="&amp;账期起,入库单!$C$4:$C$2503,"&lt;="&amp;账期止))</f>
        <v/>
      </c>
      <c r="K372" s="26">
        <f>IF($A372="","",IFERROR(ROUND((N($H372)+N($J372))/(N($G372)+N($I372)),2),0))</f>
        <v/>
      </c>
      <c r="L372" s="27">
        <f>IF($A372="","",SUMIFS(入库单!$K$4:$K$2503,入库单!$G$4:$G$2503,$A372,入库单!$X$4:$X$2503,"盘盈",入库单!$Z$4:$Z$2503,"正常",入库单!$C$4:$C$2503,"&gt;="&amp;账期起,入库单!$C$4:$C$2503,"&lt;="&amp;账期止))</f>
        <v/>
      </c>
      <c r="M372" s="26">
        <f>IF($A372="","",ROUND($L372*$K372,0))</f>
        <v/>
      </c>
      <c r="N372" s="27">
        <f>IF($A372="","",SUMIFS(入库单!$K$4:$K$2503,入库单!$G$4:$G$2503,$A372,入库单!$X$4:$X$2503,"矿区退库",入库单!$Z$4:$Z$2503,"正常",入库单!$C$4:$C$2503,"&gt;="&amp;账期起,入库单!$C$4:$C$2503,"&lt;="&amp;账期止))</f>
        <v/>
      </c>
      <c r="O372" s="26">
        <f>IF($A372="","",ROUND($N372*$K372,0))</f>
        <v/>
      </c>
      <c r="P372" s="27">
        <f>IF($A372="","",SUMIFS(出库单!$J$4:$J$4003,出库单!$D$4:$D$4003,$A372,出库单!$K$4:$K$4003,"自用消耗",出库单!$U$4:$U$4003,"正常",出库单!$C$4:$C$4003,"&gt;="&amp;账期起,出库单!$C$4:$C$4003,"&lt;="&amp;账期止))</f>
        <v/>
      </c>
      <c r="Q372" s="26">
        <f>IF($A372="","",ROUND(SUMIFS(出库单!$S$4:$S$4003,出库单!$D$4:$D$4003,$A372,出库单!$K$4:$K$4003,"自用消耗",出库单!$U$4:$U$4003,"正常",出库单!$C$4:$C$4003,"&gt;="&amp;账期起,出库单!$C$4:$C$4003,"&lt;="&amp;账期止),0))</f>
        <v/>
      </c>
      <c r="R372" s="27">
        <f>IF($A372="","",SUMIFS(出库单!$J$4:$J$4003,出库单!$D$4:$D$4003,$A372,出库单!$K$4:$K$4003,"对外销售",出库单!$U$4:$U$4003,"正常",出库单!$C$4:$C$4003,"&gt;="&amp;账期起,出库单!$C$4:$C$4003,"&lt;="&amp;账期止))</f>
        <v/>
      </c>
      <c r="S372" s="26">
        <f>IF($A372="","",ROUND(SUMIFS(出库单!$S$4:$S$4003,出库单!$D$4:$D$4003,$A372,出库单!$K$4:$K$4003,"对外销售",出库单!$U$4:$U$4003,"正常",出库单!$C$4:$C$4003,"&gt;="&amp;账期起,出库单!$C$4:$C$4003,"&lt;="&amp;账期止),0))</f>
        <v/>
      </c>
      <c r="T372" s="27">
        <f>IF($A372="","",SUMIFS(出库单!$J$4:$J$4003,出库单!$D$4:$D$4003,$A372,出库单!$K$4:$K$4003,"盘亏",出库单!$U$4:$U$4003,"正常",出库单!$C$4:$C$4003,"&gt;="&amp;账期起,出库单!$C$4:$C$4003,"&lt;="&amp;账期止))</f>
        <v/>
      </c>
      <c r="U372" s="26">
        <f>IF($A372="","",ROUND(SUMIFS(出库单!$S$4:$S$4003,出库单!$D$4:$D$4003,$A372,出库单!$K$4:$K$4003,"盘亏",出库单!$U$4:$U$4003,"正常",出库单!$C$4:$C$4003,"&gt;="&amp;账期起,出库单!$C$4:$C$4003,"&lt;="&amp;账期止),0))</f>
        <v/>
      </c>
      <c r="V372" s="27">
        <f>IF($A372="","",SUMIFS(出库单!$J$4:$J$4003,出库单!$D$4:$D$4003,$A372,出库单!$K$4:$K$4003,"退货给供应商",出库单!$U$4:$U$4003,"正常",出库单!$C$4:$C$4003,"&gt;="&amp;账期起,出库单!$C$4:$C$4003,"&lt;="&amp;账期止))</f>
        <v/>
      </c>
      <c r="W372" s="26">
        <f>IF($A372="","",ROUND(SUMIFS(出库单!$S$4:$S$4003,出库单!$D$4:$D$4003,$A372,出库单!$K$4:$K$4003,"退货给供应商",出库单!$U$4:$U$4003,"正常",出库单!$C$4:$C$4003,"&gt;="&amp;账期起,出库单!$C$4:$C$4003,"&lt;="&amp;账期止),0))</f>
        <v/>
      </c>
      <c r="X372" s="27">
        <f>IF($A372="","",ROUND(N($G372)+$I372+$L372+$N372-$P372-$R372-$T372-$V372,3))</f>
        <v/>
      </c>
      <c r="Y372" s="26">
        <f>IF($A372="","",ROUND(N($H372)+$J372+$M372+$O372-$Q372-$S372-$U372-$W372,0))</f>
        <v/>
      </c>
      <c r="Z372" s="24">
        <f>IF($A372="","",IF(COUNTIFS(入库单!$G$4:$G$2503,$A372,入库单!$Y$4:$Y$2503,"待补价")+COUNTIFS(入库单!$G$4:$G$2503,$A372,入库单!$Y$4:$Y$2503,"暂估")&gt;0,"不可信","可信"))</f>
        <v/>
      </c>
      <c r="AA372" s="24">
        <f>IF($A372="","",IF($X372&lt;-0.001,"※账面负库存，查一下是不是漏记入库",IF(AND(ROUND($X372,3)=0,ABS($Y372)&gt;1),"※数量已经是 0，金额还挂着 "&amp;TEXT($Y372,"#,##0")&amp;" 先令",IF(AND($X372&gt;0,$Y372&lt;=0,$K372=0),"※有数量没金额（这个物料一直没填过进价）",IF($Z372="不可信","△成本含待补价/暂估，毛利仅供参考","")))))</f>
        <v/>
      </c>
    </row>
    <row r="373">
      <c r="A373" s="24">
        <f>IF(物料档案!$A372="","",物料档案!$A372)</f>
        <v/>
      </c>
      <c r="B373" s="24">
        <f>IF($A373="","",IFERROR(VLOOKUP($A373,物料档案!$A$4:$P$1203,3,0),""))</f>
        <v/>
      </c>
      <c r="C373" s="24">
        <f>IF($A373="","",IFERROR(VLOOKUP($A373,物料档案!$A$4:$P$1203,4,0),""))</f>
        <v/>
      </c>
      <c r="D373" s="24">
        <f>IF($A373="","",IFERROR(VLOOKUP($A373,物料档案!$A$4:$P$1203,5,0),""))</f>
        <v/>
      </c>
      <c r="E373" s="24">
        <f>IF($A373="","",IFERROR(VLOOKUP($A373,物料档案!$A$4:$P$1203,2,0),""))</f>
        <v/>
      </c>
      <c r="F373" s="24">
        <f>IF($A373="","",IFERROR(VLOOKUP($A373,物料档案!$A$4:$P$1203,6,0),""))</f>
        <v/>
      </c>
      <c r="G373" s="23" t="n"/>
      <c r="H373" s="32" t="n"/>
      <c r="I373" s="27">
        <f>IF($A373="","",SUMIFS(入库单!$K$4:$K$2503,入库单!$G$4:$G$2503,$A373,入库单!$X$4:$X$2503,"采购入库",入库单!$Z$4:$Z$2503,"正常",入库单!$C$4:$C$2503,"&gt;="&amp;账期起,入库单!$C$4:$C$2503,"&lt;="&amp;账期止))</f>
        <v/>
      </c>
      <c r="J373" s="26">
        <f>IF($A373="","",SUMIFS(入库单!$V$4:$V$2503,入库单!$G$4:$G$2503,$A373,入库单!$X$4:$X$2503,"采购入库",入库单!$Z$4:$Z$2503,"正常",入库单!$C$4:$C$2503,"&gt;="&amp;账期起,入库单!$C$4:$C$2503,"&lt;="&amp;账期止))</f>
        <v/>
      </c>
      <c r="K373" s="26">
        <f>IF($A373="","",IFERROR(ROUND((N($H373)+N($J373))/(N($G373)+N($I373)),2),0))</f>
        <v/>
      </c>
      <c r="L373" s="27">
        <f>IF($A373="","",SUMIFS(入库单!$K$4:$K$2503,入库单!$G$4:$G$2503,$A373,入库单!$X$4:$X$2503,"盘盈",入库单!$Z$4:$Z$2503,"正常",入库单!$C$4:$C$2503,"&gt;="&amp;账期起,入库单!$C$4:$C$2503,"&lt;="&amp;账期止))</f>
        <v/>
      </c>
      <c r="M373" s="26">
        <f>IF($A373="","",ROUND($L373*$K373,0))</f>
        <v/>
      </c>
      <c r="N373" s="27">
        <f>IF($A373="","",SUMIFS(入库单!$K$4:$K$2503,入库单!$G$4:$G$2503,$A373,入库单!$X$4:$X$2503,"矿区退库",入库单!$Z$4:$Z$2503,"正常",入库单!$C$4:$C$2503,"&gt;="&amp;账期起,入库单!$C$4:$C$2503,"&lt;="&amp;账期止))</f>
        <v/>
      </c>
      <c r="O373" s="26">
        <f>IF($A373="","",ROUND($N373*$K373,0))</f>
        <v/>
      </c>
      <c r="P373" s="27">
        <f>IF($A373="","",SUMIFS(出库单!$J$4:$J$4003,出库单!$D$4:$D$4003,$A373,出库单!$K$4:$K$4003,"自用消耗",出库单!$U$4:$U$4003,"正常",出库单!$C$4:$C$4003,"&gt;="&amp;账期起,出库单!$C$4:$C$4003,"&lt;="&amp;账期止))</f>
        <v/>
      </c>
      <c r="Q373" s="26">
        <f>IF($A373="","",ROUND(SUMIFS(出库单!$S$4:$S$4003,出库单!$D$4:$D$4003,$A373,出库单!$K$4:$K$4003,"自用消耗",出库单!$U$4:$U$4003,"正常",出库单!$C$4:$C$4003,"&gt;="&amp;账期起,出库单!$C$4:$C$4003,"&lt;="&amp;账期止),0))</f>
        <v/>
      </c>
      <c r="R373" s="27">
        <f>IF($A373="","",SUMIFS(出库单!$J$4:$J$4003,出库单!$D$4:$D$4003,$A373,出库单!$K$4:$K$4003,"对外销售",出库单!$U$4:$U$4003,"正常",出库单!$C$4:$C$4003,"&gt;="&amp;账期起,出库单!$C$4:$C$4003,"&lt;="&amp;账期止))</f>
        <v/>
      </c>
      <c r="S373" s="26">
        <f>IF($A373="","",ROUND(SUMIFS(出库单!$S$4:$S$4003,出库单!$D$4:$D$4003,$A373,出库单!$K$4:$K$4003,"对外销售",出库单!$U$4:$U$4003,"正常",出库单!$C$4:$C$4003,"&gt;="&amp;账期起,出库单!$C$4:$C$4003,"&lt;="&amp;账期止),0))</f>
        <v/>
      </c>
      <c r="T373" s="27">
        <f>IF($A373="","",SUMIFS(出库单!$J$4:$J$4003,出库单!$D$4:$D$4003,$A373,出库单!$K$4:$K$4003,"盘亏",出库单!$U$4:$U$4003,"正常",出库单!$C$4:$C$4003,"&gt;="&amp;账期起,出库单!$C$4:$C$4003,"&lt;="&amp;账期止))</f>
        <v/>
      </c>
      <c r="U373" s="26">
        <f>IF($A373="","",ROUND(SUMIFS(出库单!$S$4:$S$4003,出库单!$D$4:$D$4003,$A373,出库单!$K$4:$K$4003,"盘亏",出库单!$U$4:$U$4003,"正常",出库单!$C$4:$C$4003,"&gt;="&amp;账期起,出库单!$C$4:$C$4003,"&lt;="&amp;账期止),0))</f>
        <v/>
      </c>
      <c r="V373" s="27">
        <f>IF($A373="","",SUMIFS(出库单!$J$4:$J$4003,出库单!$D$4:$D$4003,$A373,出库单!$K$4:$K$4003,"退货给供应商",出库单!$U$4:$U$4003,"正常",出库单!$C$4:$C$4003,"&gt;="&amp;账期起,出库单!$C$4:$C$4003,"&lt;="&amp;账期止))</f>
        <v/>
      </c>
      <c r="W373" s="26">
        <f>IF($A373="","",ROUND(SUMIFS(出库单!$S$4:$S$4003,出库单!$D$4:$D$4003,$A373,出库单!$K$4:$K$4003,"退货给供应商",出库单!$U$4:$U$4003,"正常",出库单!$C$4:$C$4003,"&gt;="&amp;账期起,出库单!$C$4:$C$4003,"&lt;="&amp;账期止),0))</f>
        <v/>
      </c>
      <c r="X373" s="27">
        <f>IF($A373="","",ROUND(N($G373)+$I373+$L373+$N373-$P373-$R373-$T373-$V373,3))</f>
        <v/>
      </c>
      <c r="Y373" s="26">
        <f>IF($A373="","",ROUND(N($H373)+$J373+$M373+$O373-$Q373-$S373-$U373-$W373,0))</f>
        <v/>
      </c>
      <c r="Z373" s="24">
        <f>IF($A373="","",IF(COUNTIFS(入库单!$G$4:$G$2503,$A373,入库单!$Y$4:$Y$2503,"待补价")+COUNTIFS(入库单!$G$4:$G$2503,$A373,入库单!$Y$4:$Y$2503,"暂估")&gt;0,"不可信","可信"))</f>
        <v/>
      </c>
      <c r="AA373" s="24">
        <f>IF($A373="","",IF($X373&lt;-0.001,"※账面负库存，查一下是不是漏记入库",IF(AND(ROUND($X373,3)=0,ABS($Y373)&gt;1),"※数量已经是 0，金额还挂着 "&amp;TEXT($Y373,"#,##0")&amp;" 先令",IF(AND($X373&gt;0,$Y373&lt;=0,$K373=0),"※有数量没金额（这个物料一直没填过进价）",IF($Z373="不可信","△成本含待补价/暂估，毛利仅供参考","")))))</f>
        <v/>
      </c>
    </row>
    <row r="374">
      <c r="A374" s="24">
        <f>IF(物料档案!$A373="","",物料档案!$A373)</f>
        <v/>
      </c>
      <c r="B374" s="24">
        <f>IF($A374="","",IFERROR(VLOOKUP($A374,物料档案!$A$4:$P$1203,3,0),""))</f>
        <v/>
      </c>
      <c r="C374" s="24">
        <f>IF($A374="","",IFERROR(VLOOKUP($A374,物料档案!$A$4:$P$1203,4,0),""))</f>
        <v/>
      </c>
      <c r="D374" s="24">
        <f>IF($A374="","",IFERROR(VLOOKUP($A374,物料档案!$A$4:$P$1203,5,0),""))</f>
        <v/>
      </c>
      <c r="E374" s="24">
        <f>IF($A374="","",IFERROR(VLOOKUP($A374,物料档案!$A$4:$P$1203,2,0),""))</f>
        <v/>
      </c>
      <c r="F374" s="24">
        <f>IF($A374="","",IFERROR(VLOOKUP($A374,物料档案!$A$4:$P$1203,6,0),""))</f>
        <v/>
      </c>
      <c r="G374" s="23" t="n"/>
      <c r="H374" s="32" t="n"/>
      <c r="I374" s="27">
        <f>IF($A374="","",SUMIFS(入库单!$K$4:$K$2503,入库单!$G$4:$G$2503,$A374,入库单!$X$4:$X$2503,"采购入库",入库单!$Z$4:$Z$2503,"正常",入库单!$C$4:$C$2503,"&gt;="&amp;账期起,入库单!$C$4:$C$2503,"&lt;="&amp;账期止))</f>
        <v/>
      </c>
      <c r="J374" s="26">
        <f>IF($A374="","",SUMIFS(入库单!$V$4:$V$2503,入库单!$G$4:$G$2503,$A374,入库单!$X$4:$X$2503,"采购入库",入库单!$Z$4:$Z$2503,"正常",入库单!$C$4:$C$2503,"&gt;="&amp;账期起,入库单!$C$4:$C$2503,"&lt;="&amp;账期止))</f>
        <v/>
      </c>
      <c r="K374" s="26">
        <f>IF($A374="","",IFERROR(ROUND((N($H374)+N($J374))/(N($G374)+N($I374)),2),0))</f>
        <v/>
      </c>
      <c r="L374" s="27">
        <f>IF($A374="","",SUMIFS(入库单!$K$4:$K$2503,入库单!$G$4:$G$2503,$A374,入库单!$X$4:$X$2503,"盘盈",入库单!$Z$4:$Z$2503,"正常",入库单!$C$4:$C$2503,"&gt;="&amp;账期起,入库单!$C$4:$C$2503,"&lt;="&amp;账期止))</f>
        <v/>
      </c>
      <c r="M374" s="26">
        <f>IF($A374="","",ROUND($L374*$K374,0))</f>
        <v/>
      </c>
      <c r="N374" s="27">
        <f>IF($A374="","",SUMIFS(入库单!$K$4:$K$2503,入库单!$G$4:$G$2503,$A374,入库单!$X$4:$X$2503,"矿区退库",入库单!$Z$4:$Z$2503,"正常",入库单!$C$4:$C$2503,"&gt;="&amp;账期起,入库单!$C$4:$C$2503,"&lt;="&amp;账期止))</f>
        <v/>
      </c>
      <c r="O374" s="26">
        <f>IF($A374="","",ROUND($N374*$K374,0))</f>
        <v/>
      </c>
      <c r="P374" s="27">
        <f>IF($A374="","",SUMIFS(出库单!$J$4:$J$4003,出库单!$D$4:$D$4003,$A374,出库单!$K$4:$K$4003,"自用消耗",出库单!$U$4:$U$4003,"正常",出库单!$C$4:$C$4003,"&gt;="&amp;账期起,出库单!$C$4:$C$4003,"&lt;="&amp;账期止))</f>
        <v/>
      </c>
      <c r="Q374" s="26">
        <f>IF($A374="","",ROUND(SUMIFS(出库单!$S$4:$S$4003,出库单!$D$4:$D$4003,$A374,出库单!$K$4:$K$4003,"自用消耗",出库单!$U$4:$U$4003,"正常",出库单!$C$4:$C$4003,"&gt;="&amp;账期起,出库单!$C$4:$C$4003,"&lt;="&amp;账期止),0))</f>
        <v/>
      </c>
      <c r="R374" s="27">
        <f>IF($A374="","",SUMIFS(出库单!$J$4:$J$4003,出库单!$D$4:$D$4003,$A374,出库单!$K$4:$K$4003,"对外销售",出库单!$U$4:$U$4003,"正常",出库单!$C$4:$C$4003,"&gt;="&amp;账期起,出库单!$C$4:$C$4003,"&lt;="&amp;账期止))</f>
        <v/>
      </c>
      <c r="S374" s="26">
        <f>IF($A374="","",ROUND(SUMIFS(出库单!$S$4:$S$4003,出库单!$D$4:$D$4003,$A374,出库单!$K$4:$K$4003,"对外销售",出库单!$U$4:$U$4003,"正常",出库单!$C$4:$C$4003,"&gt;="&amp;账期起,出库单!$C$4:$C$4003,"&lt;="&amp;账期止),0))</f>
        <v/>
      </c>
      <c r="T374" s="27">
        <f>IF($A374="","",SUMIFS(出库单!$J$4:$J$4003,出库单!$D$4:$D$4003,$A374,出库单!$K$4:$K$4003,"盘亏",出库单!$U$4:$U$4003,"正常",出库单!$C$4:$C$4003,"&gt;="&amp;账期起,出库单!$C$4:$C$4003,"&lt;="&amp;账期止))</f>
        <v/>
      </c>
      <c r="U374" s="26">
        <f>IF($A374="","",ROUND(SUMIFS(出库单!$S$4:$S$4003,出库单!$D$4:$D$4003,$A374,出库单!$K$4:$K$4003,"盘亏",出库单!$U$4:$U$4003,"正常",出库单!$C$4:$C$4003,"&gt;="&amp;账期起,出库单!$C$4:$C$4003,"&lt;="&amp;账期止),0))</f>
        <v/>
      </c>
      <c r="V374" s="27">
        <f>IF($A374="","",SUMIFS(出库单!$J$4:$J$4003,出库单!$D$4:$D$4003,$A374,出库单!$K$4:$K$4003,"退货给供应商",出库单!$U$4:$U$4003,"正常",出库单!$C$4:$C$4003,"&gt;="&amp;账期起,出库单!$C$4:$C$4003,"&lt;="&amp;账期止))</f>
        <v/>
      </c>
      <c r="W374" s="26">
        <f>IF($A374="","",ROUND(SUMIFS(出库单!$S$4:$S$4003,出库单!$D$4:$D$4003,$A374,出库单!$K$4:$K$4003,"退货给供应商",出库单!$U$4:$U$4003,"正常",出库单!$C$4:$C$4003,"&gt;="&amp;账期起,出库单!$C$4:$C$4003,"&lt;="&amp;账期止),0))</f>
        <v/>
      </c>
      <c r="X374" s="27">
        <f>IF($A374="","",ROUND(N($G374)+$I374+$L374+$N374-$P374-$R374-$T374-$V374,3))</f>
        <v/>
      </c>
      <c r="Y374" s="26">
        <f>IF($A374="","",ROUND(N($H374)+$J374+$M374+$O374-$Q374-$S374-$U374-$W374,0))</f>
        <v/>
      </c>
      <c r="Z374" s="24">
        <f>IF($A374="","",IF(COUNTIFS(入库单!$G$4:$G$2503,$A374,入库单!$Y$4:$Y$2503,"待补价")+COUNTIFS(入库单!$G$4:$G$2503,$A374,入库单!$Y$4:$Y$2503,"暂估")&gt;0,"不可信","可信"))</f>
        <v/>
      </c>
      <c r="AA374" s="24">
        <f>IF($A374="","",IF($X374&lt;-0.001,"※账面负库存，查一下是不是漏记入库",IF(AND(ROUND($X374,3)=0,ABS($Y374)&gt;1),"※数量已经是 0，金额还挂着 "&amp;TEXT($Y374,"#,##0")&amp;" 先令",IF(AND($X374&gt;0,$Y374&lt;=0,$K374=0),"※有数量没金额（这个物料一直没填过进价）",IF($Z374="不可信","△成本含待补价/暂估，毛利仅供参考","")))))</f>
        <v/>
      </c>
    </row>
    <row r="375">
      <c r="A375" s="24">
        <f>IF(物料档案!$A374="","",物料档案!$A374)</f>
        <v/>
      </c>
      <c r="B375" s="24">
        <f>IF($A375="","",IFERROR(VLOOKUP($A375,物料档案!$A$4:$P$1203,3,0),""))</f>
        <v/>
      </c>
      <c r="C375" s="24">
        <f>IF($A375="","",IFERROR(VLOOKUP($A375,物料档案!$A$4:$P$1203,4,0),""))</f>
        <v/>
      </c>
      <c r="D375" s="24">
        <f>IF($A375="","",IFERROR(VLOOKUP($A375,物料档案!$A$4:$P$1203,5,0),""))</f>
        <v/>
      </c>
      <c r="E375" s="24">
        <f>IF($A375="","",IFERROR(VLOOKUP($A375,物料档案!$A$4:$P$1203,2,0),""))</f>
        <v/>
      </c>
      <c r="F375" s="24">
        <f>IF($A375="","",IFERROR(VLOOKUP($A375,物料档案!$A$4:$P$1203,6,0),""))</f>
        <v/>
      </c>
      <c r="G375" s="23" t="n"/>
      <c r="H375" s="32" t="n"/>
      <c r="I375" s="27">
        <f>IF($A375="","",SUMIFS(入库单!$K$4:$K$2503,入库单!$G$4:$G$2503,$A375,入库单!$X$4:$X$2503,"采购入库",入库单!$Z$4:$Z$2503,"正常",入库单!$C$4:$C$2503,"&gt;="&amp;账期起,入库单!$C$4:$C$2503,"&lt;="&amp;账期止))</f>
        <v/>
      </c>
      <c r="J375" s="26">
        <f>IF($A375="","",SUMIFS(入库单!$V$4:$V$2503,入库单!$G$4:$G$2503,$A375,入库单!$X$4:$X$2503,"采购入库",入库单!$Z$4:$Z$2503,"正常",入库单!$C$4:$C$2503,"&gt;="&amp;账期起,入库单!$C$4:$C$2503,"&lt;="&amp;账期止))</f>
        <v/>
      </c>
      <c r="K375" s="26">
        <f>IF($A375="","",IFERROR(ROUND((N($H375)+N($J375))/(N($G375)+N($I375)),2),0))</f>
        <v/>
      </c>
      <c r="L375" s="27">
        <f>IF($A375="","",SUMIFS(入库单!$K$4:$K$2503,入库单!$G$4:$G$2503,$A375,入库单!$X$4:$X$2503,"盘盈",入库单!$Z$4:$Z$2503,"正常",入库单!$C$4:$C$2503,"&gt;="&amp;账期起,入库单!$C$4:$C$2503,"&lt;="&amp;账期止))</f>
        <v/>
      </c>
      <c r="M375" s="26">
        <f>IF($A375="","",ROUND($L375*$K375,0))</f>
        <v/>
      </c>
      <c r="N375" s="27">
        <f>IF($A375="","",SUMIFS(入库单!$K$4:$K$2503,入库单!$G$4:$G$2503,$A375,入库单!$X$4:$X$2503,"矿区退库",入库单!$Z$4:$Z$2503,"正常",入库单!$C$4:$C$2503,"&gt;="&amp;账期起,入库单!$C$4:$C$2503,"&lt;="&amp;账期止))</f>
        <v/>
      </c>
      <c r="O375" s="26">
        <f>IF($A375="","",ROUND($N375*$K375,0))</f>
        <v/>
      </c>
      <c r="P375" s="27">
        <f>IF($A375="","",SUMIFS(出库单!$J$4:$J$4003,出库单!$D$4:$D$4003,$A375,出库单!$K$4:$K$4003,"自用消耗",出库单!$U$4:$U$4003,"正常",出库单!$C$4:$C$4003,"&gt;="&amp;账期起,出库单!$C$4:$C$4003,"&lt;="&amp;账期止))</f>
        <v/>
      </c>
      <c r="Q375" s="26">
        <f>IF($A375="","",ROUND(SUMIFS(出库单!$S$4:$S$4003,出库单!$D$4:$D$4003,$A375,出库单!$K$4:$K$4003,"自用消耗",出库单!$U$4:$U$4003,"正常",出库单!$C$4:$C$4003,"&gt;="&amp;账期起,出库单!$C$4:$C$4003,"&lt;="&amp;账期止),0))</f>
        <v/>
      </c>
      <c r="R375" s="27">
        <f>IF($A375="","",SUMIFS(出库单!$J$4:$J$4003,出库单!$D$4:$D$4003,$A375,出库单!$K$4:$K$4003,"对外销售",出库单!$U$4:$U$4003,"正常",出库单!$C$4:$C$4003,"&gt;="&amp;账期起,出库单!$C$4:$C$4003,"&lt;="&amp;账期止))</f>
        <v/>
      </c>
      <c r="S375" s="26">
        <f>IF($A375="","",ROUND(SUMIFS(出库单!$S$4:$S$4003,出库单!$D$4:$D$4003,$A375,出库单!$K$4:$K$4003,"对外销售",出库单!$U$4:$U$4003,"正常",出库单!$C$4:$C$4003,"&gt;="&amp;账期起,出库单!$C$4:$C$4003,"&lt;="&amp;账期止),0))</f>
        <v/>
      </c>
      <c r="T375" s="27">
        <f>IF($A375="","",SUMIFS(出库单!$J$4:$J$4003,出库单!$D$4:$D$4003,$A375,出库单!$K$4:$K$4003,"盘亏",出库单!$U$4:$U$4003,"正常",出库单!$C$4:$C$4003,"&gt;="&amp;账期起,出库单!$C$4:$C$4003,"&lt;="&amp;账期止))</f>
        <v/>
      </c>
      <c r="U375" s="26">
        <f>IF($A375="","",ROUND(SUMIFS(出库单!$S$4:$S$4003,出库单!$D$4:$D$4003,$A375,出库单!$K$4:$K$4003,"盘亏",出库单!$U$4:$U$4003,"正常",出库单!$C$4:$C$4003,"&gt;="&amp;账期起,出库单!$C$4:$C$4003,"&lt;="&amp;账期止),0))</f>
        <v/>
      </c>
      <c r="V375" s="27">
        <f>IF($A375="","",SUMIFS(出库单!$J$4:$J$4003,出库单!$D$4:$D$4003,$A375,出库单!$K$4:$K$4003,"退货给供应商",出库单!$U$4:$U$4003,"正常",出库单!$C$4:$C$4003,"&gt;="&amp;账期起,出库单!$C$4:$C$4003,"&lt;="&amp;账期止))</f>
        <v/>
      </c>
      <c r="W375" s="26">
        <f>IF($A375="","",ROUND(SUMIFS(出库单!$S$4:$S$4003,出库单!$D$4:$D$4003,$A375,出库单!$K$4:$K$4003,"退货给供应商",出库单!$U$4:$U$4003,"正常",出库单!$C$4:$C$4003,"&gt;="&amp;账期起,出库单!$C$4:$C$4003,"&lt;="&amp;账期止),0))</f>
        <v/>
      </c>
      <c r="X375" s="27">
        <f>IF($A375="","",ROUND(N($G375)+$I375+$L375+$N375-$P375-$R375-$T375-$V375,3))</f>
        <v/>
      </c>
      <c r="Y375" s="26">
        <f>IF($A375="","",ROUND(N($H375)+$J375+$M375+$O375-$Q375-$S375-$U375-$W375,0))</f>
        <v/>
      </c>
      <c r="Z375" s="24">
        <f>IF($A375="","",IF(COUNTIFS(入库单!$G$4:$G$2503,$A375,入库单!$Y$4:$Y$2503,"待补价")+COUNTIFS(入库单!$G$4:$G$2503,$A375,入库单!$Y$4:$Y$2503,"暂估")&gt;0,"不可信","可信"))</f>
        <v/>
      </c>
      <c r="AA375" s="24">
        <f>IF($A375="","",IF($X375&lt;-0.001,"※账面负库存，查一下是不是漏记入库",IF(AND(ROUND($X375,3)=0,ABS($Y375)&gt;1),"※数量已经是 0，金额还挂着 "&amp;TEXT($Y375,"#,##0")&amp;" 先令",IF(AND($X375&gt;0,$Y375&lt;=0,$K375=0),"※有数量没金额（这个物料一直没填过进价）",IF($Z375="不可信","△成本含待补价/暂估，毛利仅供参考","")))))</f>
        <v/>
      </c>
    </row>
    <row r="376">
      <c r="A376" s="24">
        <f>IF(物料档案!$A375="","",物料档案!$A375)</f>
        <v/>
      </c>
      <c r="B376" s="24">
        <f>IF($A376="","",IFERROR(VLOOKUP($A376,物料档案!$A$4:$P$1203,3,0),""))</f>
        <v/>
      </c>
      <c r="C376" s="24">
        <f>IF($A376="","",IFERROR(VLOOKUP($A376,物料档案!$A$4:$P$1203,4,0),""))</f>
        <v/>
      </c>
      <c r="D376" s="24">
        <f>IF($A376="","",IFERROR(VLOOKUP($A376,物料档案!$A$4:$P$1203,5,0),""))</f>
        <v/>
      </c>
      <c r="E376" s="24">
        <f>IF($A376="","",IFERROR(VLOOKUP($A376,物料档案!$A$4:$P$1203,2,0),""))</f>
        <v/>
      </c>
      <c r="F376" s="24">
        <f>IF($A376="","",IFERROR(VLOOKUP($A376,物料档案!$A$4:$P$1203,6,0),""))</f>
        <v/>
      </c>
      <c r="G376" s="23" t="n"/>
      <c r="H376" s="32" t="n"/>
      <c r="I376" s="27">
        <f>IF($A376="","",SUMIFS(入库单!$K$4:$K$2503,入库单!$G$4:$G$2503,$A376,入库单!$X$4:$X$2503,"采购入库",入库单!$Z$4:$Z$2503,"正常",入库单!$C$4:$C$2503,"&gt;="&amp;账期起,入库单!$C$4:$C$2503,"&lt;="&amp;账期止))</f>
        <v/>
      </c>
      <c r="J376" s="26">
        <f>IF($A376="","",SUMIFS(入库单!$V$4:$V$2503,入库单!$G$4:$G$2503,$A376,入库单!$X$4:$X$2503,"采购入库",入库单!$Z$4:$Z$2503,"正常",入库单!$C$4:$C$2503,"&gt;="&amp;账期起,入库单!$C$4:$C$2503,"&lt;="&amp;账期止))</f>
        <v/>
      </c>
      <c r="K376" s="26">
        <f>IF($A376="","",IFERROR(ROUND((N($H376)+N($J376))/(N($G376)+N($I376)),2),0))</f>
        <v/>
      </c>
      <c r="L376" s="27">
        <f>IF($A376="","",SUMIFS(入库单!$K$4:$K$2503,入库单!$G$4:$G$2503,$A376,入库单!$X$4:$X$2503,"盘盈",入库单!$Z$4:$Z$2503,"正常",入库单!$C$4:$C$2503,"&gt;="&amp;账期起,入库单!$C$4:$C$2503,"&lt;="&amp;账期止))</f>
        <v/>
      </c>
      <c r="M376" s="26">
        <f>IF($A376="","",ROUND($L376*$K376,0))</f>
        <v/>
      </c>
      <c r="N376" s="27">
        <f>IF($A376="","",SUMIFS(入库单!$K$4:$K$2503,入库单!$G$4:$G$2503,$A376,入库单!$X$4:$X$2503,"矿区退库",入库单!$Z$4:$Z$2503,"正常",入库单!$C$4:$C$2503,"&gt;="&amp;账期起,入库单!$C$4:$C$2503,"&lt;="&amp;账期止))</f>
        <v/>
      </c>
      <c r="O376" s="26">
        <f>IF($A376="","",ROUND($N376*$K376,0))</f>
        <v/>
      </c>
      <c r="P376" s="27">
        <f>IF($A376="","",SUMIFS(出库单!$J$4:$J$4003,出库单!$D$4:$D$4003,$A376,出库单!$K$4:$K$4003,"自用消耗",出库单!$U$4:$U$4003,"正常",出库单!$C$4:$C$4003,"&gt;="&amp;账期起,出库单!$C$4:$C$4003,"&lt;="&amp;账期止))</f>
        <v/>
      </c>
      <c r="Q376" s="26">
        <f>IF($A376="","",ROUND(SUMIFS(出库单!$S$4:$S$4003,出库单!$D$4:$D$4003,$A376,出库单!$K$4:$K$4003,"自用消耗",出库单!$U$4:$U$4003,"正常",出库单!$C$4:$C$4003,"&gt;="&amp;账期起,出库单!$C$4:$C$4003,"&lt;="&amp;账期止),0))</f>
        <v/>
      </c>
      <c r="R376" s="27">
        <f>IF($A376="","",SUMIFS(出库单!$J$4:$J$4003,出库单!$D$4:$D$4003,$A376,出库单!$K$4:$K$4003,"对外销售",出库单!$U$4:$U$4003,"正常",出库单!$C$4:$C$4003,"&gt;="&amp;账期起,出库单!$C$4:$C$4003,"&lt;="&amp;账期止))</f>
        <v/>
      </c>
      <c r="S376" s="26">
        <f>IF($A376="","",ROUND(SUMIFS(出库单!$S$4:$S$4003,出库单!$D$4:$D$4003,$A376,出库单!$K$4:$K$4003,"对外销售",出库单!$U$4:$U$4003,"正常",出库单!$C$4:$C$4003,"&gt;="&amp;账期起,出库单!$C$4:$C$4003,"&lt;="&amp;账期止),0))</f>
        <v/>
      </c>
      <c r="T376" s="27">
        <f>IF($A376="","",SUMIFS(出库单!$J$4:$J$4003,出库单!$D$4:$D$4003,$A376,出库单!$K$4:$K$4003,"盘亏",出库单!$U$4:$U$4003,"正常",出库单!$C$4:$C$4003,"&gt;="&amp;账期起,出库单!$C$4:$C$4003,"&lt;="&amp;账期止))</f>
        <v/>
      </c>
      <c r="U376" s="26">
        <f>IF($A376="","",ROUND(SUMIFS(出库单!$S$4:$S$4003,出库单!$D$4:$D$4003,$A376,出库单!$K$4:$K$4003,"盘亏",出库单!$U$4:$U$4003,"正常",出库单!$C$4:$C$4003,"&gt;="&amp;账期起,出库单!$C$4:$C$4003,"&lt;="&amp;账期止),0))</f>
        <v/>
      </c>
      <c r="V376" s="27">
        <f>IF($A376="","",SUMIFS(出库单!$J$4:$J$4003,出库单!$D$4:$D$4003,$A376,出库单!$K$4:$K$4003,"退货给供应商",出库单!$U$4:$U$4003,"正常",出库单!$C$4:$C$4003,"&gt;="&amp;账期起,出库单!$C$4:$C$4003,"&lt;="&amp;账期止))</f>
        <v/>
      </c>
      <c r="W376" s="26">
        <f>IF($A376="","",ROUND(SUMIFS(出库单!$S$4:$S$4003,出库单!$D$4:$D$4003,$A376,出库单!$K$4:$K$4003,"退货给供应商",出库单!$U$4:$U$4003,"正常",出库单!$C$4:$C$4003,"&gt;="&amp;账期起,出库单!$C$4:$C$4003,"&lt;="&amp;账期止),0))</f>
        <v/>
      </c>
      <c r="X376" s="27">
        <f>IF($A376="","",ROUND(N($G376)+$I376+$L376+$N376-$P376-$R376-$T376-$V376,3))</f>
        <v/>
      </c>
      <c r="Y376" s="26">
        <f>IF($A376="","",ROUND(N($H376)+$J376+$M376+$O376-$Q376-$S376-$U376-$W376,0))</f>
        <v/>
      </c>
      <c r="Z376" s="24">
        <f>IF($A376="","",IF(COUNTIFS(入库单!$G$4:$G$2503,$A376,入库单!$Y$4:$Y$2503,"待补价")+COUNTIFS(入库单!$G$4:$G$2503,$A376,入库单!$Y$4:$Y$2503,"暂估")&gt;0,"不可信","可信"))</f>
        <v/>
      </c>
      <c r="AA376" s="24">
        <f>IF($A376="","",IF($X376&lt;-0.001,"※账面负库存，查一下是不是漏记入库",IF(AND(ROUND($X376,3)=0,ABS($Y376)&gt;1),"※数量已经是 0，金额还挂着 "&amp;TEXT($Y376,"#,##0")&amp;" 先令",IF(AND($X376&gt;0,$Y376&lt;=0,$K376=0),"※有数量没金额（这个物料一直没填过进价）",IF($Z376="不可信","△成本含待补价/暂估，毛利仅供参考","")))))</f>
        <v/>
      </c>
    </row>
    <row r="377">
      <c r="A377" s="24">
        <f>IF(物料档案!$A376="","",物料档案!$A376)</f>
        <v/>
      </c>
      <c r="B377" s="24">
        <f>IF($A377="","",IFERROR(VLOOKUP($A377,物料档案!$A$4:$P$1203,3,0),""))</f>
        <v/>
      </c>
      <c r="C377" s="24">
        <f>IF($A377="","",IFERROR(VLOOKUP($A377,物料档案!$A$4:$P$1203,4,0),""))</f>
        <v/>
      </c>
      <c r="D377" s="24">
        <f>IF($A377="","",IFERROR(VLOOKUP($A377,物料档案!$A$4:$P$1203,5,0),""))</f>
        <v/>
      </c>
      <c r="E377" s="24">
        <f>IF($A377="","",IFERROR(VLOOKUP($A377,物料档案!$A$4:$P$1203,2,0),""))</f>
        <v/>
      </c>
      <c r="F377" s="24">
        <f>IF($A377="","",IFERROR(VLOOKUP($A377,物料档案!$A$4:$P$1203,6,0),""))</f>
        <v/>
      </c>
      <c r="G377" s="23" t="n"/>
      <c r="H377" s="32" t="n"/>
      <c r="I377" s="27">
        <f>IF($A377="","",SUMIFS(入库单!$K$4:$K$2503,入库单!$G$4:$G$2503,$A377,入库单!$X$4:$X$2503,"采购入库",入库单!$Z$4:$Z$2503,"正常",入库单!$C$4:$C$2503,"&gt;="&amp;账期起,入库单!$C$4:$C$2503,"&lt;="&amp;账期止))</f>
        <v/>
      </c>
      <c r="J377" s="26">
        <f>IF($A377="","",SUMIFS(入库单!$V$4:$V$2503,入库单!$G$4:$G$2503,$A377,入库单!$X$4:$X$2503,"采购入库",入库单!$Z$4:$Z$2503,"正常",入库单!$C$4:$C$2503,"&gt;="&amp;账期起,入库单!$C$4:$C$2503,"&lt;="&amp;账期止))</f>
        <v/>
      </c>
      <c r="K377" s="26">
        <f>IF($A377="","",IFERROR(ROUND((N($H377)+N($J377))/(N($G377)+N($I377)),2),0))</f>
        <v/>
      </c>
      <c r="L377" s="27">
        <f>IF($A377="","",SUMIFS(入库单!$K$4:$K$2503,入库单!$G$4:$G$2503,$A377,入库单!$X$4:$X$2503,"盘盈",入库单!$Z$4:$Z$2503,"正常",入库单!$C$4:$C$2503,"&gt;="&amp;账期起,入库单!$C$4:$C$2503,"&lt;="&amp;账期止))</f>
        <v/>
      </c>
      <c r="M377" s="26">
        <f>IF($A377="","",ROUND($L377*$K377,0))</f>
        <v/>
      </c>
      <c r="N377" s="27">
        <f>IF($A377="","",SUMIFS(入库单!$K$4:$K$2503,入库单!$G$4:$G$2503,$A377,入库单!$X$4:$X$2503,"矿区退库",入库单!$Z$4:$Z$2503,"正常",入库单!$C$4:$C$2503,"&gt;="&amp;账期起,入库单!$C$4:$C$2503,"&lt;="&amp;账期止))</f>
        <v/>
      </c>
      <c r="O377" s="26">
        <f>IF($A377="","",ROUND($N377*$K377,0))</f>
        <v/>
      </c>
      <c r="P377" s="27">
        <f>IF($A377="","",SUMIFS(出库单!$J$4:$J$4003,出库单!$D$4:$D$4003,$A377,出库单!$K$4:$K$4003,"自用消耗",出库单!$U$4:$U$4003,"正常",出库单!$C$4:$C$4003,"&gt;="&amp;账期起,出库单!$C$4:$C$4003,"&lt;="&amp;账期止))</f>
        <v/>
      </c>
      <c r="Q377" s="26">
        <f>IF($A377="","",ROUND(SUMIFS(出库单!$S$4:$S$4003,出库单!$D$4:$D$4003,$A377,出库单!$K$4:$K$4003,"自用消耗",出库单!$U$4:$U$4003,"正常",出库单!$C$4:$C$4003,"&gt;="&amp;账期起,出库单!$C$4:$C$4003,"&lt;="&amp;账期止),0))</f>
        <v/>
      </c>
      <c r="R377" s="27">
        <f>IF($A377="","",SUMIFS(出库单!$J$4:$J$4003,出库单!$D$4:$D$4003,$A377,出库单!$K$4:$K$4003,"对外销售",出库单!$U$4:$U$4003,"正常",出库单!$C$4:$C$4003,"&gt;="&amp;账期起,出库单!$C$4:$C$4003,"&lt;="&amp;账期止))</f>
        <v/>
      </c>
      <c r="S377" s="26">
        <f>IF($A377="","",ROUND(SUMIFS(出库单!$S$4:$S$4003,出库单!$D$4:$D$4003,$A377,出库单!$K$4:$K$4003,"对外销售",出库单!$U$4:$U$4003,"正常",出库单!$C$4:$C$4003,"&gt;="&amp;账期起,出库单!$C$4:$C$4003,"&lt;="&amp;账期止),0))</f>
        <v/>
      </c>
      <c r="T377" s="27">
        <f>IF($A377="","",SUMIFS(出库单!$J$4:$J$4003,出库单!$D$4:$D$4003,$A377,出库单!$K$4:$K$4003,"盘亏",出库单!$U$4:$U$4003,"正常",出库单!$C$4:$C$4003,"&gt;="&amp;账期起,出库单!$C$4:$C$4003,"&lt;="&amp;账期止))</f>
        <v/>
      </c>
      <c r="U377" s="26">
        <f>IF($A377="","",ROUND(SUMIFS(出库单!$S$4:$S$4003,出库单!$D$4:$D$4003,$A377,出库单!$K$4:$K$4003,"盘亏",出库单!$U$4:$U$4003,"正常",出库单!$C$4:$C$4003,"&gt;="&amp;账期起,出库单!$C$4:$C$4003,"&lt;="&amp;账期止),0))</f>
        <v/>
      </c>
      <c r="V377" s="27">
        <f>IF($A377="","",SUMIFS(出库单!$J$4:$J$4003,出库单!$D$4:$D$4003,$A377,出库单!$K$4:$K$4003,"退货给供应商",出库单!$U$4:$U$4003,"正常",出库单!$C$4:$C$4003,"&gt;="&amp;账期起,出库单!$C$4:$C$4003,"&lt;="&amp;账期止))</f>
        <v/>
      </c>
      <c r="W377" s="26">
        <f>IF($A377="","",ROUND(SUMIFS(出库单!$S$4:$S$4003,出库单!$D$4:$D$4003,$A377,出库单!$K$4:$K$4003,"退货给供应商",出库单!$U$4:$U$4003,"正常",出库单!$C$4:$C$4003,"&gt;="&amp;账期起,出库单!$C$4:$C$4003,"&lt;="&amp;账期止),0))</f>
        <v/>
      </c>
      <c r="X377" s="27">
        <f>IF($A377="","",ROUND(N($G377)+$I377+$L377+$N377-$P377-$R377-$T377-$V377,3))</f>
        <v/>
      </c>
      <c r="Y377" s="26">
        <f>IF($A377="","",ROUND(N($H377)+$J377+$M377+$O377-$Q377-$S377-$U377-$W377,0))</f>
        <v/>
      </c>
      <c r="Z377" s="24">
        <f>IF($A377="","",IF(COUNTIFS(入库单!$G$4:$G$2503,$A377,入库单!$Y$4:$Y$2503,"待补价")+COUNTIFS(入库单!$G$4:$G$2503,$A377,入库单!$Y$4:$Y$2503,"暂估")&gt;0,"不可信","可信"))</f>
        <v/>
      </c>
      <c r="AA377" s="24">
        <f>IF($A377="","",IF($X377&lt;-0.001,"※账面负库存，查一下是不是漏记入库",IF(AND(ROUND($X377,3)=0,ABS($Y377)&gt;1),"※数量已经是 0，金额还挂着 "&amp;TEXT($Y377,"#,##0")&amp;" 先令",IF(AND($X377&gt;0,$Y377&lt;=0,$K377=0),"※有数量没金额（这个物料一直没填过进价）",IF($Z377="不可信","△成本含待补价/暂估，毛利仅供参考","")))))</f>
        <v/>
      </c>
    </row>
    <row r="378">
      <c r="A378" s="24">
        <f>IF(物料档案!$A377="","",物料档案!$A377)</f>
        <v/>
      </c>
      <c r="B378" s="24">
        <f>IF($A378="","",IFERROR(VLOOKUP($A378,物料档案!$A$4:$P$1203,3,0),""))</f>
        <v/>
      </c>
      <c r="C378" s="24">
        <f>IF($A378="","",IFERROR(VLOOKUP($A378,物料档案!$A$4:$P$1203,4,0),""))</f>
        <v/>
      </c>
      <c r="D378" s="24">
        <f>IF($A378="","",IFERROR(VLOOKUP($A378,物料档案!$A$4:$P$1203,5,0),""))</f>
        <v/>
      </c>
      <c r="E378" s="24">
        <f>IF($A378="","",IFERROR(VLOOKUP($A378,物料档案!$A$4:$P$1203,2,0),""))</f>
        <v/>
      </c>
      <c r="F378" s="24">
        <f>IF($A378="","",IFERROR(VLOOKUP($A378,物料档案!$A$4:$P$1203,6,0),""))</f>
        <v/>
      </c>
      <c r="G378" s="23" t="n"/>
      <c r="H378" s="32" t="n"/>
      <c r="I378" s="27">
        <f>IF($A378="","",SUMIFS(入库单!$K$4:$K$2503,入库单!$G$4:$G$2503,$A378,入库单!$X$4:$X$2503,"采购入库",入库单!$Z$4:$Z$2503,"正常",入库单!$C$4:$C$2503,"&gt;="&amp;账期起,入库单!$C$4:$C$2503,"&lt;="&amp;账期止))</f>
        <v/>
      </c>
      <c r="J378" s="26">
        <f>IF($A378="","",SUMIFS(入库单!$V$4:$V$2503,入库单!$G$4:$G$2503,$A378,入库单!$X$4:$X$2503,"采购入库",入库单!$Z$4:$Z$2503,"正常",入库单!$C$4:$C$2503,"&gt;="&amp;账期起,入库单!$C$4:$C$2503,"&lt;="&amp;账期止))</f>
        <v/>
      </c>
      <c r="K378" s="26">
        <f>IF($A378="","",IFERROR(ROUND((N($H378)+N($J378))/(N($G378)+N($I378)),2),0))</f>
        <v/>
      </c>
      <c r="L378" s="27">
        <f>IF($A378="","",SUMIFS(入库单!$K$4:$K$2503,入库单!$G$4:$G$2503,$A378,入库单!$X$4:$X$2503,"盘盈",入库单!$Z$4:$Z$2503,"正常",入库单!$C$4:$C$2503,"&gt;="&amp;账期起,入库单!$C$4:$C$2503,"&lt;="&amp;账期止))</f>
        <v/>
      </c>
      <c r="M378" s="26">
        <f>IF($A378="","",ROUND($L378*$K378,0))</f>
        <v/>
      </c>
      <c r="N378" s="27">
        <f>IF($A378="","",SUMIFS(入库单!$K$4:$K$2503,入库单!$G$4:$G$2503,$A378,入库单!$X$4:$X$2503,"矿区退库",入库单!$Z$4:$Z$2503,"正常",入库单!$C$4:$C$2503,"&gt;="&amp;账期起,入库单!$C$4:$C$2503,"&lt;="&amp;账期止))</f>
        <v/>
      </c>
      <c r="O378" s="26">
        <f>IF($A378="","",ROUND($N378*$K378,0))</f>
        <v/>
      </c>
      <c r="P378" s="27">
        <f>IF($A378="","",SUMIFS(出库单!$J$4:$J$4003,出库单!$D$4:$D$4003,$A378,出库单!$K$4:$K$4003,"自用消耗",出库单!$U$4:$U$4003,"正常",出库单!$C$4:$C$4003,"&gt;="&amp;账期起,出库单!$C$4:$C$4003,"&lt;="&amp;账期止))</f>
        <v/>
      </c>
      <c r="Q378" s="26">
        <f>IF($A378="","",ROUND(SUMIFS(出库单!$S$4:$S$4003,出库单!$D$4:$D$4003,$A378,出库单!$K$4:$K$4003,"自用消耗",出库单!$U$4:$U$4003,"正常",出库单!$C$4:$C$4003,"&gt;="&amp;账期起,出库单!$C$4:$C$4003,"&lt;="&amp;账期止),0))</f>
        <v/>
      </c>
      <c r="R378" s="27">
        <f>IF($A378="","",SUMIFS(出库单!$J$4:$J$4003,出库单!$D$4:$D$4003,$A378,出库单!$K$4:$K$4003,"对外销售",出库单!$U$4:$U$4003,"正常",出库单!$C$4:$C$4003,"&gt;="&amp;账期起,出库单!$C$4:$C$4003,"&lt;="&amp;账期止))</f>
        <v/>
      </c>
      <c r="S378" s="26">
        <f>IF($A378="","",ROUND(SUMIFS(出库单!$S$4:$S$4003,出库单!$D$4:$D$4003,$A378,出库单!$K$4:$K$4003,"对外销售",出库单!$U$4:$U$4003,"正常",出库单!$C$4:$C$4003,"&gt;="&amp;账期起,出库单!$C$4:$C$4003,"&lt;="&amp;账期止),0))</f>
        <v/>
      </c>
      <c r="T378" s="27">
        <f>IF($A378="","",SUMIFS(出库单!$J$4:$J$4003,出库单!$D$4:$D$4003,$A378,出库单!$K$4:$K$4003,"盘亏",出库单!$U$4:$U$4003,"正常",出库单!$C$4:$C$4003,"&gt;="&amp;账期起,出库单!$C$4:$C$4003,"&lt;="&amp;账期止))</f>
        <v/>
      </c>
      <c r="U378" s="26">
        <f>IF($A378="","",ROUND(SUMIFS(出库单!$S$4:$S$4003,出库单!$D$4:$D$4003,$A378,出库单!$K$4:$K$4003,"盘亏",出库单!$U$4:$U$4003,"正常",出库单!$C$4:$C$4003,"&gt;="&amp;账期起,出库单!$C$4:$C$4003,"&lt;="&amp;账期止),0))</f>
        <v/>
      </c>
      <c r="V378" s="27">
        <f>IF($A378="","",SUMIFS(出库单!$J$4:$J$4003,出库单!$D$4:$D$4003,$A378,出库单!$K$4:$K$4003,"退货给供应商",出库单!$U$4:$U$4003,"正常",出库单!$C$4:$C$4003,"&gt;="&amp;账期起,出库单!$C$4:$C$4003,"&lt;="&amp;账期止))</f>
        <v/>
      </c>
      <c r="W378" s="26">
        <f>IF($A378="","",ROUND(SUMIFS(出库单!$S$4:$S$4003,出库单!$D$4:$D$4003,$A378,出库单!$K$4:$K$4003,"退货给供应商",出库单!$U$4:$U$4003,"正常",出库单!$C$4:$C$4003,"&gt;="&amp;账期起,出库单!$C$4:$C$4003,"&lt;="&amp;账期止),0))</f>
        <v/>
      </c>
      <c r="X378" s="27">
        <f>IF($A378="","",ROUND(N($G378)+$I378+$L378+$N378-$P378-$R378-$T378-$V378,3))</f>
        <v/>
      </c>
      <c r="Y378" s="26">
        <f>IF($A378="","",ROUND(N($H378)+$J378+$M378+$O378-$Q378-$S378-$U378-$W378,0))</f>
        <v/>
      </c>
      <c r="Z378" s="24">
        <f>IF($A378="","",IF(COUNTIFS(入库单!$G$4:$G$2503,$A378,入库单!$Y$4:$Y$2503,"待补价")+COUNTIFS(入库单!$G$4:$G$2503,$A378,入库单!$Y$4:$Y$2503,"暂估")&gt;0,"不可信","可信"))</f>
        <v/>
      </c>
      <c r="AA378" s="24">
        <f>IF($A378="","",IF($X378&lt;-0.001,"※账面负库存，查一下是不是漏记入库",IF(AND(ROUND($X378,3)=0,ABS($Y378)&gt;1),"※数量已经是 0，金额还挂着 "&amp;TEXT($Y378,"#,##0")&amp;" 先令",IF(AND($X378&gt;0,$Y378&lt;=0,$K378=0),"※有数量没金额（这个物料一直没填过进价）",IF($Z378="不可信","△成本含待补价/暂估，毛利仅供参考","")))))</f>
        <v/>
      </c>
    </row>
    <row r="379">
      <c r="A379" s="24">
        <f>IF(物料档案!$A378="","",物料档案!$A378)</f>
        <v/>
      </c>
      <c r="B379" s="24">
        <f>IF($A379="","",IFERROR(VLOOKUP($A379,物料档案!$A$4:$P$1203,3,0),""))</f>
        <v/>
      </c>
      <c r="C379" s="24">
        <f>IF($A379="","",IFERROR(VLOOKUP($A379,物料档案!$A$4:$P$1203,4,0),""))</f>
        <v/>
      </c>
      <c r="D379" s="24">
        <f>IF($A379="","",IFERROR(VLOOKUP($A379,物料档案!$A$4:$P$1203,5,0),""))</f>
        <v/>
      </c>
      <c r="E379" s="24">
        <f>IF($A379="","",IFERROR(VLOOKUP($A379,物料档案!$A$4:$P$1203,2,0),""))</f>
        <v/>
      </c>
      <c r="F379" s="24">
        <f>IF($A379="","",IFERROR(VLOOKUP($A379,物料档案!$A$4:$P$1203,6,0),""))</f>
        <v/>
      </c>
      <c r="G379" s="23" t="n"/>
      <c r="H379" s="32" t="n"/>
      <c r="I379" s="27">
        <f>IF($A379="","",SUMIFS(入库单!$K$4:$K$2503,入库单!$G$4:$G$2503,$A379,入库单!$X$4:$X$2503,"采购入库",入库单!$Z$4:$Z$2503,"正常",入库单!$C$4:$C$2503,"&gt;="&amp;账期起,入库单!$C$4:$C$2503,"&lt;="&amp;账期止))</f>
        <v/>
      </c>
      <c r="J379" s="26">
        <f>IF($A379="","",SUMIFS(入库单!$V$4:$V$2503,入库单!$G$4:$G$2503,$A379,入库单!$X$4:$X$2503,"采购入库",入库单!$Z$4:$Z$2503,"正常",入库单!$C$4:$C$2503,"&gt;="&amp;账期起,入库单!$C$4:$C$2503,"&lt;="&amp;账期止))</f>
        <v/>
      </c>
      <c r="K379" s="26">
        <f>IF($A379="","",IFERROR(ROUND((N($H379)+N($J379))/(N($G379)+N($I379)),2),0))</f>
        <v/>
      </c>
      <c r="L379" s="27">
        <f>IF($A379="","",SUMIFS(入库单!$K$4:$K$2503,入库单!$G$4:$G$2503,$A379,入库单!$X$4:$X$2503,"盘盈",入库单!$Z$4:$Z$2503,"正常",入库单!$C$4:$C$2503,"&gt;="&amp;账期起,入库单!$C$4:$C$2503,"&lt;="&amp;账期止))</f>
        <v/>
      </c>
      <c r="M379" s="26">
        <f>IF($A379="","",ROUND($L379*$K379,0))</f>
        <v/>
      </c>
      <c r="N379" s="27">
        <f>IF($A379="","",SUMIFS(入库单!$K$4:$K$2503,入库单!$G$4:$G$2503,$A379,入库单!$X$4:$X$2503,"矿区退库",入库单!$Z$4:$Z$2503,"正常",入库单!$C$4:$C$2503,"&gt;="&amp;账期起,入库单!$C$4:$C$2503,"&lt;="&amp;账期止))</f>
        <v/>
      </c>
      <c r="O379" s="26">
        <f>IF($A379="","",ROUND($N379*$K379,0))</f>
        <v/>
      </c>
      <c r="P379" s="27">
        <f>IF($A379="","",SUMIFS(出库单!$J$4:$J$4003,出库单!$D$4:$D$4003,$A379,出库单!$K$4:$K$4003,"自用消耗",出库单!$U$4:$U$4003,"正常",出库单!$C$4:$C$4003,"&gt;="&amp;账期起,出库单!$C$4:$C$4003,"&lt;="&amp;账期止))</f>
        <v/>
      </c>
      <c r="Q379" s="26">
        <f>IF($A379="","",ROUND(SUMIFS(出库单!$S$4:$S$4003,出库单!$D$4:$D$4003,$A379,出库单!$K$4:$K$4003,"自用消耗",出库单!$U$4:$U$4003,"正常",出库单!$C$4:$C$4003,"&gt;="&amp;账期起,出库单!$C$4:$C$4003,"&lt;="&amp;账期止),0))</f>
        <v/>
      </c>
      <c r="R379" s="27">
        <f>IF($A379="","",SUMIFS(出库单!$J$4:$J$4003,出库单!$D$4:$D$4003,$A379,出库单!$K$4:$K$4003,"对外销售",出库单!$U$4:$U$4003,"正常",出库单!$C$4:$C$4003,"&gt;="&amp;账期起,出库单!$C$4:$C$4003,"&lt;="&amp;账期止))</f>
        <v/>
      </c>
      <c r="S379" s="26">
        <f>IF($A379="","",ROUND(SUMIFS(出库单!$S$4:$S$4003,出库单!$D$4:$D$4003,$A379,出库单!$K$4:$K$4003,"对外销售",出库单!$U$4:$U$4003,"正常",出库单!$C$4:$C$4003,"&gt;="&amp;账期起,出库单!$C$4:$C$4003,"&lt;="&amp;账期止),0))</f>
        <v/>
      </c>
      <c r="T379" s="27">
        <f>IF($A379="","",SUMIFS(出库单!$J$4:$J$4003,出库单!$D$4:$D$4003,$A379,出库单!$K$4:$K$4003,"盘亏",出库单!$U$4:$U$4003,"正常",出库单!$C$4:$C$4003,"&gt;="&amp;账期起,出库单!$C$4:$C$4003,"&lt;="&amp;账期止))</f>
        <v/>
      </c>
      <c r="U379" s="26">
        <f>IF($A379="","",ROUND(SUMIFS(出库单!$S$4:$S$4003,出库单!$D$4:$D$4003,$A379,出库单!$K$4:$K$4003,"盘亏",出库单!$U$4:$U$4003,"正常",出库单!$C$4:$C$4003,"&gt;="&amp;账期起,出库单!$C$4:$C$4003,"&lt;="&amp;账期止),0))</f>
        <v/>
      </c>
      <c r="V379" s="27">
        <f>IF($A379="","",SUMIFS(出库单!$J$4:$J$4003,出库单!$D$4:$D$4003,$A379,出库单!$K$4:$K$4003,"退货给供应商",出库单!$U$4:$U$4003,"正常",出库单!$C$4:$C$4003,"&gt;="&amp;账期起,出库单!$C$4:$C$4003,"&lt;="&amp;账期止))</f>
        <v/>
      </c>
      <c r="W379" s="26">
        <f>IF($A379="","",ROUND(SUMIFS(出库单!$S$4:$S$4003,出库单!$D$4:$D$4003,$A379,出库单!$K$4:$K$4003,"退货给供应商",出库单!$U$4:$U$4003,"正常",出库单!$C$4:$C$4003,"&gt;="&amp;账期起,出库单!$C$4:$C$4003,"&lt;="&amp;账期止),0))</f>
        <v/>
      </c>
      <c r="X379" s="27">
        <f>IF($A379="","",ROUND(N($G379)+$I379+$L379+$N379-$P379-$R379-$T379-$V379,3))</f>
        <v/>
      </c>
      <c r="Y379" s="26">
        <f>IF($A379="","",ROUND(N($H379)+$J379+$M379+$O379-$Q379-$S379-$U379-$W379,0))</f>
        <v/>
      </c>
      <c r="Z379" s="24">
        <f>IF($A379="","",IF(COUNTIFS(入库单!$G$4:$G$2503,$A379,入库单!$Y$4:$Y$2503,"待补价")+COUNTIFS(入库单!$G$4:$G$2503,$A379,入库单!$Y$4:$Y$2503,"暂估")&gt;0,"不可信","可信"))</f>
        <v/>
      </c>
      <c r="AA379" s="24">
        <f>IF($A379="","",IF($X379&lt;-0.001,"※账面负库存，查一下是不是漏记入库",IF(AND(ROUND($X379,3)=0,ABS($Y379)&gt;1),"※数量已经是 0，金额还挂着 "&amp;TEXT($Y379,"#,##0")&amp;" 先令",IF(AND($X379&gt;0,$Y379&lt;=0,$K379=0),"※有数量没金额（这个物料一直没填过进价）",IF($Z379="不可信","△成本含待补价/暂估，毛利仅供参考","")))))</f>
        <v/>
      </c>
    </row>
    <row r="380">
      <c r="A380" s="24">
        <f>IF(物料档案!$A379="","",物料档案!$A379)</f>
        <v/>
      </c>
      <c r="B380" s="24">
        <f>IF($A380="","",IFERROR(VLOOKUP($A380,物料档案!$A$4:$P$1203,3,0),""))</f>
        <v/>
      </c>
      <c r="C380" s="24">
        <f>IF($A380="","",IFERROR(VLOOKUP($A380,物料档案!$A$4:$P$1203,4,0),""))</f>
        <v/>
      </c>
      <c r="D380" s="24">
        <f>IF($A380="","",IFERROR(VLOOKUP($A380,物料档案!$A$4:$P$1203,5,0),""))</f>
        <v/>
      </c>
      <c r="E380" s="24">
        <f>IF($A380="","",IFERROR(VLOOKUP($A380,物料档案!$A$4:$P$1203,2,0),""))</f>
        <v/>
      </c>
      <c r="F380" s="24">
        <f>IF($A380="","",IFERROR(VLOOKUP($A380,物料档案!$A$4:$P$1203,6,0),""))</f>
        <v/>
      </c>
      <c r="G380" s="23" t="n"/>
      <c r="H380" s="32" t="n"/>
      <c r="I380" s="27">
        <f>IF($A380="","",SUMIFS(入库单!$K$4:$K$2503,入库单!$G$4:$G$2503,$A380,入库单!$X$4:$X$2503,"采购入库",入库单!$Z$4:$Z$2503,"正常",入库单!$C$4:$C$2503,"&gt;="&amp;账期起,入库单!$C$4:$C$2503,"&lt;="&amp;账期止))</f>
        <v/>
      </c>
      <c r="J380" s="26">
        <f>IF($A380="","",SUMIFS(入库单!$V$4:$V$2503,入库单!$G$4:$G$2503,$A380,入库单!$X$4:$X$2503,"采购入库",入库单!$Z$4:$Z$2503,"正常",入库单!$C$4:$C$2503,"&gt;="&amp;账期起,入库单!$C$4:$C$2503,"&lt;="&amp;账期止))</f>
        <v/>
      </c>
      <c r="K380" s="26">
        <f>IF($A380="","",IFERROR(ROUND((N($H380)+N($J380))/(N($G380)+N($I380)),2),0))</f>
        <v/>
      </c>
      <c r="L380" s="27">
        <f>IF($A380="","",SUMIFS(入库单!$K$4:$K$2503,入库单!$G$4:$G$2503,$A380,入库单!$X$4:$X$2503,"盘盈",入库单!$Z$4:$Z$2503,"正常",入库单!$C$4:$C$2503,"&gt;="&amp;账期起,入库单!$C$4:$C$2503,"&lt;="&amp;账期止))</f>
        <v/>
      </c>
      <c r="M380" s="26">
        <f>IF($A380="","",ROUND($L380*$K380,0))</f>
        <v/>
      </c>
      <c r="N380" s="27">
        <f>IF($A380="","",SUMIFS(入库单!$K$4:$K$2503,入库单!$G$4:$G$2503,$A380,入库单!$X$4:$X$2503,"矿区退库",入库单!$Z$4:$Z$2503,"正常",入库单!$C$4:$C$2503,"&gt;="&amp;账期起,入库单!$C$4:$C$2503,"&lt;="&amp;账期止))</f>
        <v/>
      </c>
      <c r="O380" s="26">
        <f>IF($A380="","",ROUND($N380*$K380,0))</f>
        <v/>
      </c>
      <c r="P380" s="27">
        <f>IF($A380="","",SUMIFS(出库单!$J$4:$J$4003,出库单!$D$4:$D$4003,$A380,出库单!$K$4:$K$4003,"自用消耗",出库单!$U$4:$U$4003,"正常",出库单!$C$4:$C$4003,"&gt;="&amp;账期起,出库单!$C$4:$C$4003,"&lt;="&amp;账期止))</f>
        <v/>
      </c>
      <c r="Q380" s="26">
        <f>IF($A380="","",ROUND(SUMIFS(出库单!$S$4:$S$4003,出库单!$D$4:$D$4003,$A380,出库单!$K$4:$K$4003,"自用消耗",出库单!$U$4:$U$4003,"正常",出库单!$C$4:$C$4003,"&gt;="&amp;账期起,出库单!$C$4:$C$4003,"&lt;="&amp;账期止),0))</f>
        <v/>
      </c>
      <c r="R380" s="27">
        <f>IF($A380="","",SUMIFS(出库单!$J$4:$J$4003,出库单!$D$4:$D$4003,$A380,出库单!$K$4:$K$4003,"对外销售",出库单!$U$4:$U$4003,"正常",出库单!$C$4:$C$4003,"&gt;="&amp;账期起,出库单!$C$4:$C$4003,"&lt;="&amp;账期止))</f>
        <v/>
      </c>
      <c r="S380" s="26">
        <f>IF($A380="","",ROUND(SUMIFS(出库单!$S$4:$S$4003,出库单!$D$4:$D$4003,$A380,出库单!$K$4:$K$4003,"对外销售",出库单!$U$4:$U$4003,"正常",出库单!$C$4:$C$4003,"&gt;="&amp;账期起,出库单!$C$4:$C$4003,"&lt;="&amp;账期止),0))</f>
        <v/>
      </c>
      <c r="T380" s="27">
        <f>IF($A380="","",SUMIFS(出库单!$J$4:$J$4003,出库单!$D$4:$D$4003,$A380,出库单!$K$4:$K$4003,"盘亏",出库单!$U$4:$U$4003,"正常",出库单!$C$4:$C$4003,"&gt;="&amp;账期起,出库单!$C$4:$C$4003,"&lt;="&amp;账期止))</f>
        <v/>
      </c>
      <c r="U380" s="26">
        <f>IF($A380="","",ROUND(SUMIFS(出库单!$S$4:$S$4003,出库单!$D$4:$D$4003,$A380,出库单!$K$4:$K$4003,"盘亏",出库单!$U$4:$U$4003,"正常",出库单!$C$4:$C$4003,"&gt;="&amp;账期起,出库单!$C$4:$C$4003,"&lt;="&amp;账期止),0))</f>
        <v/>
      </c>
      <c r="V380" s="27">
        <f>IF($A380="","",SUMIFS(出库单!$J$4:$J$4003,出库单!$D$4:$D$4003,$A380,出库单!$K$4:$K$4003,"退货给供应商",出库单!$U$4:$U$4003,"正常",出库单!$C$4:$C$4003,"&gt;="&amp;账期起,出库单!$C$4:$C$4003,"&lt;="&amp;账期止))</f>
        <v/>
      </c>
      <c r="W380" s="26">
        <f>IF($A380="","",ROUND(SUMIFS(出库单!$S$4:$S$4003,出库单!$D$4:$D$4003,$A380,出库单!$K$4:$K$4003,"退货给供应商",出库单!$U$4:$U$4003,"正常",出库单!$C$4:$C$4003,"&gt;="&amp;账期起,出库单!$C$4:$C$4003,"&lt;="&amp;账期止),0))</f>
        <v/>
      </c>
      <c r="X380" s="27">
        <f>IF($A380="","",ROUND(N($G380)+$I380+$L380+$N380-$P380-$R380-$T380-$V380,3))</f>
        <v/>
      </c>
      <c r="Y380" s="26">
        <f>IF($A380="","",ROUND(N($H380)+$J380+$M380+$O380-$Q380-$S380-$U380-$W380,0))</f>
        <v/>
      </c>
      <c r="Z380" s="24">
        <f>IF($A380="","",IF(COUNTIFS(入库单!$G$4:$G$2503,$A380,入库单!$Y$4:$Y$2503,"待补价")+COUNTIFS(入库单!$G$4:$G$2503,$A380,入库单!$Y$4:$Y$2503,"暂估")&gt;0,"不可信","可信"))</f>
        <v/>
      </c>
      <c r="AA380" s="24">
        <f>IF($A380="","",IF($X380&lt;-0.001,"※账面负库存，查一下是不是漏记入库",IF(AND(ROUND($X380,3)=0,ABS($Y380)&gt;1),"※数量已经是 0，金额还挂着 "&amp;TEXT($Y380,"#,##0")&amp;" 先令",IF(AND($X380&gt;0,$Y380&lt;=0,$K380=0),"※有数量没金额（这个物料一直没填过进价）",IF($Z380="不可信","△成本含待补价/暂估，毛利仅供参考","")))))</f>
        <v/>
      </c>
    </row>
    <row r="381">
      <c r="A381" s="24">
        <f>IF(物料档案!$A380="","",物料档案!$A380)</f>
        <v/>
      </c>
      <c r="B381" s="24">
        <f>IF($A381="","",IFERROR(VLOOKUP($A381,物料档案!$A$4:$P$1203,3,0),""))</f>
        <v/>
      </c>
      <c r="C381" s="24">
        <f>IF($A381="","",IFERROR(VLOOKUP($A381,物料档案!$A$4:$P$1203,4,0),""))</f>
        <v/>
      </c>
      <c r="D381" s="24">
        <f>IF($A381="","",IFERROR(VLOOKUP($A381,物料档案!$A$4:$P$1203,5,0),""))</f>
        <v/>
      </c>
      <c r="E381" s="24">
        <f>IF($A381="","",IFERROR(VLOOKUP($A381,物料档案!$A$4:$P$1203,2,0),""))</f>
        <v/>
      </c>
      <c r="F381" s="24">
        <f>IF($A381="","",IFERROR(VLOOKUP($A381,物料档案!$A$4:$P$1203,6,0),""))</f>
        <v/>
      </c>
      <c r="G381" s="23" t="n"/>
      <c r="H381" s="32" t="n"/>
      <c r="I381" s="27">
        <f>IF($A381="","",SUMIFS(入库单!$K$4:$K$2503,入库单!$G$4:$G$2503,$A381,入库单!$X$4:$X$2503,"采购入库",入库单!$Z$4:$Z$2503,"正常",入库单!$C$4:$C$2503,"&gt;="&amp;账期起,入库单!$C$4:$C$2503,"&lt;="&amp;账期止))</f>
        <v/>
      </c>
      <c r="J381" s="26">
        <f>IF($A381="","",SUMIFS(入库单!$V$4:$V$2503,入库单!$G$4:$G$2503,$A381,入库单!$X$4:$X$2503,"采购入库",入库单!$Z$4:$Z$2503,"正常",入库单!$C$4:$C$2503,"&gt;="&amp;账期起,入库单!$C$4:$C$2503,"&lt;="&amp;账期止))</f>
        <v/>
      </c>
      <c r="K381" s="26">
        <f>IF($A381="","",IFERROR(ROUND((N($H381)+N($J381))/(N($G381)+N($I381)),2),0))</f>
        <v/>
      </c>
      <c r="L381" s="27">
        <f>IF($A381="","",SUMIFS(入库单!$K$4:$K$2503,入库单!$G$4:$G$2503,$A381,入库单!$X$4:$X$2503,"盘盈",入库单!$Z$4:$Z$2503,"正常",入库单!$C$4:$C$2503,"&gt;="&amp;账期起,入库单!$C$4:$C$2503,"&lt;="&amp;账期止))</f>
        <v/>
      </c>
      <c r="M381" s="26">
        <f>IF($A381="","",ROUND($L381*$K381,0))</f>
        <v/>
      </c>
      <c r="N381" s="27">
        <f>IF($A381="","",SUMIFS(入库单!$K$4:$K$2503,入库单!$G$4:$G$2503,$A381,入库单!$X$4:$X$2503,"矿区退库",入库单!$Z$4:$Z$2503,"正常",入库单!$C$4:$C$2503,"&gt;="&amp;账期起,入库单!$C$4:$C$2503,"&lt;="&amp;账期止))</f>
        <v/>
      </c>
      <c r="O381" s="26">
        <f>IF($A381="","",ROUND($N381*$K381,0))</f>
        <v/>
      </c>
      <c r="P381" s="27">
        <f>IF($A381="","",SUMIFS(出库单!$J$4:$J$4003,出库单!$D$4:$D$4003,$A381,出库单!$K$4:$K$4003,"自用消耗",出库单!$U$4:$U$4003,"正常",出库单!$C$4:$C$4003,"&gt;="&amp;账期起,出库单!$C$4:$C$4003,"&lt;="&amp;账期止))</f>
        <v/>
      </c>
      <c r="Q381" s="26">
        <f>IF($A381="","",ROUND(SUMIFS(出库单!$S$4:$S$4003,出库单!$D$4:$D$4003,$A381,出库单!$K$4:$K$4003,"自用消耗",出库单!$U$4:$U$4003,"正常",出库单!$C$4:$C$4003,"&gt;="&amp;账期起,出库单!$C$4:$C$4003,"&lt;="&amp;账期止),0))</f>
        <v/>
      </c>
      <c r="R381" s="27">
        <f>IF($A381="","",SUMIFS(出库单!$J$4:$J$4003,出库单!$D$4:$D$4003,$A381,出库单!$K$4:$K$4003,"对外销售",出库单!$U$4:$U$4003,"正常",出库单!$C$4:$C$4003,"&gt;="&amp;账期起,出库单!$C$4:$C$4003,"&lt;="&amp;账期止))</f>
        <v/>
      </c>
      <c r="S381" s="26">
        <f>IF($A381="","",ROUND(SUMIFS(出库单!$S$4:$S$4003,出库单!$D$4:$D$4003,$A381,出库单!$K$4:$K$4003,"对外销售",出库单!$U$4:$U$4003,"正常",出库单!$C$4:$C$4003,"&gt;="&amp;账期起,出库单!$C$4:$C$4003,"&lt;="&amp;账期止),0))</f>
        <v/>
      </c>
      <c r="T381" s="27">
        <f>IF($A381="","",SUMIFS(出库单!$J$4:$J$4003,出库单!$D$4:$D$4003,$A381,出库单!$K$4:$K$4003,"盘亏",出库单!$U$4:$U$4003,"正常",出库单!$C$4:$C$4003,"&gt;="&amp;账期起,出库单!$C$4:$C$4003,"&lt;="&amp;账期止))</f>
        <v/>
      </c>
      <c r="U381" s="26">
        <f>IF($A381="","",ROUND(SUMIFS(出库单!$S$4:$S$4003,出库单!$D$4:$D$4003,$A381,出库单!$K$4:$K$4003,"盘亏",出库单!$U$4:$U$4003,"正常",出库单!$C$4:$C$4003,"&gt;="&amp;账期起,出库单!$C$4:$C$4003,"&lt;="&amp;账期止),0))</f>
        <v/>
      </c>
      <c r="V381" s="27">
        <f>IF($A381="","",SUMIFS(出库单!$J$4:$J$4003,出库单!$D$4:$D$4003,$A381,出库单!$K$4:$K$4003,"退货给供应商",出库单!$U$4:$U$4003,"正常",出库单!$C$4:$C$4003,"&gt;="&amp;账期起,出库单!$C$4:$C$4003,"&lt;="&amp;账期止))</f>
        <v/>
      </c>
      <c r="W381" s="26">
        <f>IF($A381="","",ROUND(SUMIFS(出库单!$S$4:$S$4003,出库单!$D$4:$D$4003,$A381,出库单!$K$4:$K$4003,"退货给供应商",出库单!$U$4:$U$4003,"正常",出库单!$C$4:$C$4003,"&gt;="&amp;账期起,出库单!$C$4:$C$4003,"&lt;="&amp;账期止),0))</f>
        <v/>
      </c>
      <c r="X381" s="27">
        <f>IF($A381="","",ROUND(N($G381)+$I381+$L381+$N381-$P381-$R381-$T381-$V381,3))</f>
        <v/>
      </c>
      <c r="Y381" s="26">
        <f>IF($A381="","",ROUND(N($H381)+$J381+$M381+$O381-$Q381-$S381-$U381-$W381,0))</f>
        <v/>
      </c>
      <c r="Z381" s="24">
        <f>IF($A381="","",IF(COUNTIFS(入库单!$G$4:$G$2503,$A381,入库单!$Y$4:$Y$2503,"待补价")+COUNTIFS(入库单!$G$4:$G$2503,$A381,入库单!$Y$4:$Y$2503,"暂估")&gt;0,"不可信","可信"))</f>
        <v/>
      </c>
      <c r="AA381" s="24">
        <f>IF($A381="","",IF($X381&lt;-0.001,"※账面负库存，查一下是不是漏记入库",IF(AND(ROUND($X381,3)=0,ABS($Y381)&gt;1),"※数量已经是 0，金额还挂着 "&amp;TEXT($Y381,"#,##0")&amp;" 先令",IF(AND($X381&gt;0,$Y381&lt;=0,$K381=0),"※有数量没金额（这个物料一直没填过进价）",IF($Z381="不可信","△成本含待补价/暂估，毛利仅供参考","")))))</f>
        <v/>
      </c>
    </row>
    <row r="382">
      <c r="A382" s="24">
        <f>IF(物料档案!$A381="","",物料档案!$A381)</f>
        <v/>
      </c>
      <c r="B382" s="24">
        <f>IF($A382="","",IFERROR(VLOOKUP($A382,物料档案!$A$4:$P$1203,3,0),""))</f>
        <v/>
      </c>
      <c r="C382" s="24">
        <f>IF($A382="","",IFERROR(VLOOKUP($A382,物料档案!$A$4:$P$1203,4,0),""))</f>
        <v/>
      </c>
      <c r="D382" s="24">
        <f>IF($A382="","",IFERROR(VLOOKUP($A382,物料档案!$A$4:$P$1203,5,0),""))</f>
        <v/>
      </c>
      <c r="E382" s="24">
        <f>IF($A382="","",IFERROR(VLOOKUP($A382,物料档案!$A$4:$P$1203,2,0),""))</f>
        <v/>
      </c>
      <c r="F382" s="24">
        <f>IF($A382="","",IFERROR(VLOOKUP($A382,物料档案!$A$4:$P$1203,6,0),""))</f>
        <v/>
      </c>
      <c r="G382" s="23" t="n"/>
      <c r="H382" s="32" t="n"/>
      <c r="I382" s="27">
        <f>IF($A382="","",SUMIFS(入库单!$K$4:$K$2503,入库单!$G$4:$G$2503,$A382,入库单!$X$4:$X$2503,"采购入库",入库单!$Z$4:$Z$2503,"正常",入库单!$C$4:$C$2503,"&gt;="&amp;账期起,入库单!$C$4:$C$2503,"&lt;="&amp;账期止))</f>
        <v/>
      </c>
      <c r="J382" s="26">
        <f>IF($A382="","",SUMIFS(入库单!$V$4:$V$2503,入库单!$G$4:$G$2503,$A382,入库单!$X$4:$X$2503,"采购入库",入库单!$Z$4:$Z$2503,"正常",入库单!$C$4:$C$2503,"&gt;="&amp;账期起,入库单!$C$4:$C$2503,"&lt;="&amp;账期止))</f>
        <v/>
      </c>
      <c r="K382" s="26">
        <f>IF($A382="","",IFERROR(ROUND((N($H382)+N($J382))/(N($G382)+N($I382)),2),0))</f>
        <v/>
      </c>
      <c r="L382" s="27">
        <f>IF($A382="","",SUMIFS(入库单!$K$4:$K$2503,入库单!$G$4:$G$2503,$A382,入库单!$X$4:$X$2503,"盘盈",入库单!$Z$4:$Z$2503,"正常",入库单!$C$4:$C$2503,"&gt;="&amp;账期起,入库单!$C$4:$C$2503,"&lt;="&amp;账期止))</f>
        <v/>
      </c>
      <c r="M382" s="26">
        <f>IF($A382="","",ROUND($L382*$K382,0))</f>
        <v/>
      </c>
      <c r="N382" s="27">
        <f>IF($A382="","",SUMIFS(入库单!$K$4:$K$2503,入库单!$G$4:$G$2503,$A382,入库单!$X$4:$X$2503,"矿区退库",入库单!$Z$4:$Z$2503,"正常",入库单!$C$4:$C$2503,"&gt;="&amp;账期起,入库单!$C$4:$C$2503,"&lt;="&amp;账期止))</f>
        <v/>
      </c>
      <c r="O382" s="26">
        <f>IF($A382="","",ROUND($N382*$K382,0))</f>
        <v/>
      </c>
      <c r="P382" s="27">
        <f>IF($A382="","",SUMIFS(出库单!$J$4:$J$4003,出库单!$D$4:$D$4003,$A382,出库单!$K$4:$K$4003,"自用消耗",出库单!$U$4:$U$4003,"正常",出库单!$C$4:$C$4003,"&gt;="&amp;账期起,出库单!$C$4:$C$4003,"&lt;="&amp;账期止))</f>
        <v/>
      </c>
      <c r="Q382" s="26">
        <f>IF($A382="","",ROUND(SUMIFS(出库单!$S$4:$S$4003,出库单!$D$4:$D$4003,$A382,出库单!$K$4:$K$4003,"自用消耗",出库单!$U$4:$U$4003,"正常",出库单!$C$4:$C$4003,"&gt;="&amp;账期起,出库单!$C$4:$C$4003,"&lt;="&amp;账期止),0))</f>
        <v/>
      </c>
      <c r="R382" s="27">
        <f>IF($A382="","",SUMIFS(出库单!$J$4:$J$4003,出库单!$D$4:$D$4003,$A382,出库单!$K$4:$K$4003,"对外销售",出库单!$U$4:$U$4003,"正常",出库单!$C$4:$C$4003,"&gt;="&amp;账期起,出库单!$C$4:$C$4003,"&lt;="&amp;账期止))</f>
        <v/>
      </c>
      <c r="S382" s="26">
        <f>IF($A382="","",ROUND(SUMIFS(出库单!$S$4:$S$4003,出库单!$D$4:$D$4003,$A382,出库单!$K$4:$K$4003,"对外销售",出库单!$U$4:$U$4003,"正常",出库单!$C$4:$C$4003,"&gt;="&amp;账期起,出库单!$C$4:$C$4003,"&lt;="&amp;账期止),0))</f>
        <v/>
      </c>
      <c r="T382" s="27">
        <f>IF($A382="","",SUMIFS(出库单!$J$4:$J$4003,出库单!$D$4:$D$4003,$A382,出库单!$K$4:$K$4003,"盘亏",出库单!$U$4:$U$4003,"正常",出库单!$C$4:$C$4003,"&gt;="&amp;账期起,出库单!$C$4:$C$4003,"&lt;="&amp;账期止))</f>
        <v/>
      </c>
      <c r="U382" s="26">
        <f>IF($A382="","",ROUND(SUMIFS(出库单!$S$4:$S$4003,出库单!$D$4:$D$4003,$A382,出库单!$K$4:$K$4003,"盘亏",出库单!$U$4:$U$4003,"正常",出库单!$C$4:$C$4003,"&gt;="&amp;账期起,出库单!$C$4:$C$4003,"&lt;="&amp;账期止),0))</f>
        <v/>
      </c>
      <c r="V382" s="27">
        <f>IF($A382="","",SUMIFS(出库单!$J$4:$J$4003,出库单!$D$4:$D$4003,$A382,出库单!$K$4:$K$4003,"退货给供应商",出库单!$U$4:$U$4003,"正常",出库单!$C$4:$C$4003,"&gt;="&amp;账期起,出库单!$C$4:$C$4003,"&lt;="&amp;账期止))</f>
        <v/>
      </c>
      <c r="W382" s="26">
        <f>IF($A382="","",ROUND(SUMIFS(出库单!$S$4:$S$4003,出库单!$D$4:$D$4003,$A382,出库单!$K$4:$K$4003,"退货给供应商",出库单!$U$4:$U$4003,"正常",出库单!$C$4:$C$4003,"&gt;="&amp;账期起,出库单!$C$4:$C$4003,"&lt;="&amp;账期止),0))</f>
        <v/>
      </c>
      <c r="X382" s="27">
        <f>IF($A382="","",ROUND(N($G382)+$I382+$L382+$N382-$P382-$R382-$T382-$V382,3))</f>
        <v/>
      </c>
      <c r="Y382" s="26">
        <f>IF($A382="","",ROUND(N($H382)+$J382+$M382+$O382-$Q382-$S382-$U382-$W382,0))</f>
        <v/>
      </c>
      <c r="Z382" s="24">
        <f>IF($A382="","",IF(COUNTIFS(入库单!$G$4:$G$2503,$A382,入库单!$Y$4:$Y$2503,"待补价")+COUNTIFS(入库单!$G$4:$G$2503,$A382,入库单!$Y$4:$Y$2503,"暂估")&gt;0,"不可信","可信"))</f>
        <v/>
      </c>
      <c r="AA382" s="24">
        <f>IF($A382="","",IF($X382&lt;-0.001,"※账面负库存，查一下是不是漏记入库",IF(AND(ROUND($X382,3)=0,ABS($Y382)&gt;1),"※数量已经是 0，金额还挂着 "&amp;TEXT($Y382,"#,##0")&amp;" 先令",IF(AND($X382&gt;0,$Y382&lt;=0,$K382=0),"※有数量没金额（这个物料一直没填过进价）",IF($Z382="不可信","△成本含待补价/暂估，毛利仅供参考","")))))</f>
        <v/>
      </c>
    </row>
    <row r="383">
      <c r="A383" s="24">
        <f>IF(物料档案!$A382="","",物料档案!$A382)</f>
        <v/>
      </c>
      <c r="B383" s="24">
        <f>IF($A383="","",IFERROR(VLOOKUP($A383,物料档案!$A$4:$P$1203,3,0),""))</f>
        <v/>
      </c>
      <c r="C383" s="24">
        <f>IF($A383="","",IFERROR(VLOOKUP($A383,物料档案!$A$4:$P$1203,4,0),""))</f>
        <v/>
      </c>
      <c r="D383" s="24">
        <f>IF($A383="","",IFERROR(VLOOKUP($A383,物料档案!$A$4:$P$1203,5,0),""))</f>
        <v/>
      </c>
      <c r="E383" s="24">
        <f>IF($A383="","",IFERROR(VLOOKUP($A383,物料档案!$A$4:$P$1203,2,0),""))</f>
        <v/>
      </c>
      <c r="F383" s="24">
        <f>IF($A383="","",IFERROR(VLOOKUP($A383,物料档案!$A$4:$P$1203,6,0),""))</f>
        <v/>
      </c>
      <c r="G383" s="23" t="n"/>
      <c r="H383" s="32" t="n"/>
      <c r="I383" s="27">
        <f>IF($A383="","",SUMIFS(入库单!$K$4:$K$2503,入库单!$G$4:$G$2503,$A383,入库单!$X$4:$X$2503,"采购入库",入库单!$Z$4:$Z$2503,"正常",入库单!$C$4:$C$2503,"&gt;="&amp;账期起,入库单!$C$4:$C$2503,"&lt;="&amp;账期止))</f>
        <v/>
      </c>
      <c r="J383" s="26">
        <f>IF($A383="","",SUMIFS(入库单!$V$4:$V$2503,入库单!$G$4:$G$2503,$A383,入库单!$X$4:$X$2503,"采购入库",入库单!$Z$4:$Z$2503,"正常",入库单!$C$4:$C$2503,"&gt;="&amp;账期起,入库单!$C$4:$C$2503,"&lt;="&amp;账期止))</f>
        <v/>
      </c>
      <c r="K383" s="26">
        <f>IF($A383="","",IFERROR(ROUND((N($H383)+N($J383))/(N($G383)+N($I383)),2),0))</f>
        <v/>
      </c>
      <c r="L383" s="27">
        <f>IF($A383="","",SUMIFS(入库单!$K$4:$K$2503,入库单!$G$4:$G$2503,$A383,入库单!$X$4:$X$2503,"盘盈",入库单!$Z$4:$Z$2503,"正常",入库单!$C$4:$C$2503,"&gt;="&amp;账期起,入库单!$C$4:$C$2503,"&lt;="&amp;账期止))</f>
        <v/>
      </c>
      <c r="M383" s="26">
        <f>IF($A383="","",ROUND($L383*$K383,0))</f>
        <v/>
      </c>
      <c r="N383" s="27">
        <f>IF($A383="","",SUMIFS(入库单!$K$4:$K$2503,入库单!$G$4:$G$2503,$A383,入库单!$X$4:$X$2503,"矿区退库",入库单!$Z$4:$Z$2503,"正常",入库单!$C$4:$C$2503,"&gt;="&amp;账期起,入库单!$C$4:$C$2503,"&lt;="&amp;账期止))</f>
        <v/>
      </c>
      <c r="O383" s="26">
        <f>IF($A383="","",ROUND($N383*$K383,0))</f>
        <v/>
      </c>
      <c r="P383" s="27">
        <f>IF($A383="","",SUMIFS(出库单!$J$4:$J$4003,出库单!$D$4:$D$4003,$A383,出库单!$K$4:$K$4003,"自用消耗",出库单!$U$4:$U$4003,"正常",出库单!$C$4:$C$4003,"&gt;="&amp;账期起,出库单!$C$4:$C$4003,"&lt;="&amp;账期止))</f>
        <v/>
      </c>
      <c r="Q383" s="26">
        <f>IF($A383="","",ROUND(SUMIFS(出库单!$S$4:$S$4003,出库单!$D$4:$D$4003,$A383,出库单!$K$4:$K$4003,"自用消耗",出库单!$U$4:$U$4003,"正常",出库单!$C$4:$C$4003,"&gt;="&amp;账期起,出库单!$C$4:$C$4003,"&lt;="&amp;账期止),0))</f>
        <v/>
      </c>
      <c r="R383" s="27">
        <f>IF($A383="","",SUMIFS(出库单!$J$4:$J$4003,出库单!$D$4:$D$4003,$A383,出库单!$K$4:$K$4003,"对外销售",出库单!$U$4:$U$4003,"正常",出库单!$C$4:$C$4003,"&gt;="&amp;账期起,出库单!$C$4:$C$4003,"&lt;="&amp;账期止))</f>
        <v/>
      </c>
      <c r="S383" s="26">
        <f>IF($A383="","",ROUND(SUMIFS(出库单!$S$4:$S$4003,出库单!$D$4:$D$4003,$A383,出库单!$K$4:$K$4003,"对外销售",出库单!$U$4:$U$4003,"正常",出库单!$C$4:$C$4003,"&gt;="&amp;账期起,出库单!$C$4:$C$4003,"&lt;="&amp;账期止),0))</f>
        <v/>
      </c>
      <c r="T383" s="27">
        <f>IF($A383="","",SUMIFS(出库单!$J$4:$J$4003,出库单!$D$4:$D$4003,$A383,出库单!$K$4:$K$4003,"盘亏",出库单!$U$4:$U$4003,"正常",出库单!$C$4:$C$4003,"&gt;="&amp;账期起,出库单!$C$4:$C$4003,"&lt;="&amp;账期止))</f>
        <v/>
      </c>
      <c r="U383" s="26">
        <f>IF($A383="","",ROUND(SUMIFS(出库单!$S$4:$S$4003,出库单!$D$4:$D$4003,$A383,出库单!$K$4:$K$4003,"盘亏",出库单!$U$4:$U$4003,"正常",出库单!$C$4:$C$4003,"&gt;="&amp;账期起,出库单!$C$4:$C$4003,"&lt;="&amp;账期止),0))</f>
        <v/>
      </c>
      <c r="V383" s="27">
        <f>IF($A383="","",SUMIFS(出库单!$J$4:$J$4003,出库单!$D$4:$D$4003,$A383,出库单!$K$4:$K$4003,"退货给供应商",出库单!$U$4:$U$4003,"正常",出库单!$C$4:$C$4003,"&gt;="&amp;账期起,出库单!$C$4:$C$4003,"&lt;="&amp;账期止))</f>
        <v/>
      </c>
      <c r="W383" s="26">
        <f>IF($A383="","",ROUND(SUMIFS(出库单!$S$4:$S$4003,出库单!$D$4:$D$4003,$A383,出库单!$K$4:$K$4003,"退货给供应商",出库单!$U$4:$U$4003,"正常",出库单!$C$4:$C$4003,"&gt;="&amp;账期起,出库单!$C$4:$C$4003,"&lt;="&amp;账期止),0))</f>
        <v/>
      </c>
      <c r="X383" s="27">
        <f>IF($A383="","",ROUND(N($G383)+$I383+$L383+$N383-$P383-$R383-$T383-$V383,3))</f>
        <v/>
      </c>
      <c r="Y383" s="26">
        <f>IF($A383="","",ROUND(N($H383)+$J383+$M383+$O383-$Q383-$S383-$U383-$W383,0))</f>
        <v/>
      </c>
      <c r="Z383" s="24">
        <f>IF($A383="","",IF(COUNTIFS(入库单!$G$4:$G$2503,$A383,入库单!$Y$4:$Y$2503,"待补价")+COUNTIFS(入库单!$G$4:$G$2503,$A383,入库单!$Y$4:$Y$2503,"暂估")&gt;0,"不可信","可信"))</f>
        <v/>
      </c>
      <c r="AA383" s="24">
        <f>IF($A383="","",IF($X383&lt;-0.001,"※账面负库存，查一下是不是漏记入库",IF(AND(ROUND($X383,3)=0,ABS($Y383)&gt;1),"※数量已经是 0，金额还挂着 "&amp;TEXT($Y383,"#,##0")&amp;" 先令",IF(AND($X383&gt;0,$Y383&lt;=0,$K383=0),"※有数量没金额（这个物料一直没填过进价）",IF($Z383="不可信","△成本含待补价/暂估，毛利仅供参考","")))))</f>
        <v/>
      </c>
    </row>
    <row r="384">
      <c r="A384" s="24">
        <f>IF(物料档案!$A383="","",物料档案!$A383)</f>
        <v/>
      </c>
      <c r="B384" s="24">
        <f>IF($A384="","",IFERROR(VLOOKUP($A384,物料档案!$A$4:$P$1203,3,0),""))</f>
        <v/>
      </c>
      <c r="C384" s="24">
        <f>IF($A384="","",IFERROR(VLOOKUP($A384,物料档案!$A$4:$P$1203,4,0),""))</f>
        <v/>
      </c>
      <c r="D384" s="24">
        <f>IF($A384="","",IFERROR(VLOOKUP($A384,物料档案!$A$4:$P$1203,5,0),""))</f>
        <v/>
      </c>
      <c r="E384" s="24">
        <f>IF($A384="","",IFERROR(VLOOKUP($A384,物料档案!$A$4:$P$1203,2,0),""))</f>
        <v/>
      </c>
      <c r="F384" s="24">
        <f>IF($A384="","",IFERROR(VLOOKUP($A384,物料档案!$A$4:$P$1203,6,0),""))</f>
        <v/>
      </c>
      <c r="G384" s="23" t="n"/>
      <c r="H384" s="32" t="n"/>
      <c r="I384" s="27">
        <f>IF($A384="","",SUMIFS(入库单!$K$4:$K$2503,入库单!$G$4:$G$2503,$A384,入库单!$X$4:$X$2503,"采购入库",入库单!$Z$4:$Z$2503,"正常",入库单!$C$4:$C$2503,"&gt;="&amp;账期起,入库单!$C$4:$C$2503,"&lt;="&amp;账期止))</f>
        <v/>
      </c>
      <c r="J384" s="26">
        <f>IF($A384="","",SUMIFS(入库单!$V$4:$V$2503,入库单!$G$4:$G$2503,$A384,入库单!$X$4:$X$2503,"采购入库",入库单!$Z$4:$Z$2503,"正常",入库单!$C$4:$C$2503,"&gt;="&amp;账期起,入库单!$C$4:$C$2503,"&lt;="&amp;账期止))</f>
        <v/>
      </c>
      <c r="K384" s="26">
        <f>IF($A384="","",IFERROR(ROUND((N($H384)+N($J384))/(N($G384)+N($I384)),2),0))</f>
        <v/>
      </c>
      <c r="L384" s="27">
        <f>IF($A384="","",SUMIFS(入库单!$K$4:$K$2503,入库单!$G$4:$G$2503,$A384,入库单!$X$4:$X$2503,"盘盈",入库单!$Z$4:$Z$2503,"正常",入库单!$C$4:$C$2503,"&gt;="&amp;账期起,入库单!$C$4:$C$2503,"&lt;="&amp;账期止))</f>
        <v/>
      </c>
      <c r="M384" s="26">
        <f>IF($A384="","",ROUND($L384*$K384,0))</f>
        <v/>
      </c>
      <c r="N384" s="27">
        <f>IF($A384="","",SUMIFS(入库单!$K$4:$K$2503,入库单!$G$4:$G$2503,$A384,入库单!$X$4:$X$2503,"矿区退库",入库单!$Z$4:$Z$2503,"正常",入库单!$C$4:$C$2503,"&gt;="&amp;账期起,入库单!$C$4:$C$2503,"&lt;="&amp;账期止))</f>
        <v/>
      </c>
      <c r="O384" s="26">
        <f>IF($A384="","",ROUND($N384*$K384,0))</f>
        <v/>
      </c>
      <c r="P384" s="27">
        <f>IF($A384="","",SUMIFS(出库单!$J$4:$J$4003,出库单!$D$4:$D$4003,$A384,出库单!$K$4:$K$4003,"自用消耗",出库单!$U$4:$U$4003,"正常",出库单!$C$4:$C$4003,"&gt;="&amp;账期起,出库单!$C$4:$C$4003,"&lt;="&amp;账期止))</f>
        <v/>
      </c>
      <c r="Q384" s="26">
        <f>IF($A384="","",ROUND(SUMIFS(出库单!$S$4:$S$4003,出库单!$D$4:$D$4003,$A384,出库单!$K$4:$K$4003,"自用消耗",出库单!$U$4:$U$4003,"正常",出库单!$C$4:$C$4003,"&gt;="&amp;账期起,出库单!$C$4:$C$4003,"&lt;="&amp;账期止),0))</f>
        <v/>
      </c>
      <c r="R384" s="27">
        <f>IF($A384="","",SUMIFS(出库单!$J$4:$J$4003,出库单!$D$4:$D$4003,$A384,出库单!$K$4:$K$4003,"对外销售",出库单!$U$4:$U$4003,"正常",出库单!$C$4:$C$4003,"&gt;="&amp;账期起,出库单!$C$4:$C$4003,"&lt;="&amp;账期止))</f>
        <v/>
      </c>
      <c r="S384" s="26">
        <f>IF($A384="","",ROUND(SUMIFS(出库单!$S$4:$S$4003,出库单!$D$4:$D$4003,$A384,出库单!$K$4:$K$4003,"对外销售",出库单!$U$4:$U$4003,"正常",出库单!$C$4:$C$4003,"&gt;="&amp;账期起,出库单!$C$4:$C$4003,"&lt;="&amp;账期止),0))</f>
        <v/>
      </c>
      <c r="T384" s="27">
        <f>IF($A384="","",SUMIFS(出库单!$J$4:$J$4003,出库单!$D$4:$D$4003,$A384,出库单!$K$4:$K$4003,"盘亏",出库单!$U$4:$U$4003,"正常",出库单!$C$4:$C$4003,"&gt;="&amp;账期起,出库单!$C$4:$C$4003,"&lt;="&amp;账期止))</f>
        <v/>
      </c>
      <c r="U384" s="26">
        <f>IF($A384="","",ROUND(SUMIFS(出库单!$S$4:$S$4003,出库单!$D$4:$D$4003,$A384,出库单!$K$4:$K$4003,"盘亏",出库单!$U$4:$U$4003,"正常",出库单!$C$4:$C$4003,"&gt;="&amp;账期起,出库单!$C$4:$C$4003,"&lt;="&amp;账期止),0))</f>
        <v/>
      </c>
      <c r="V384" s="27">
        <f>IF($A384="","",SUMIFS(出库单!$J$4:$J$4003,出库单!$D$4:$D$4003,$A384,出库单!$K$4:$K$4003,"退货给供应商",出库单!$U$4:$U$4003,"正常",出库单!$C$4:$C$4003,"&gt;="&amp;账期起,出库单!$C$4:$C$4003,"&lt;="&amp;账期止))</f>
        <v/>
      </c>
      <c r="W384" s="26">
        <f>IF($A384="","",ROUND(SUMIFS(出库单!$S$4:$S$4003,出库单!$D$4:$D$4003,$A384,出库单!$K$4:$K$4003,"退货给供应商",出库单!$U$4:$U$4003,"正常",出库单!$C$4:$C$4003,"&gt;="&amp;账期起,出库单!$C$4:$C$4003,"&lt;="&amp;账期止),0))</f>
        <v/>
      </c>
      <c r="X384" s="27">
        <f>IF($A384="","",ROUND(N($G384)+$I384+$L384+$N384-$P384-$R384-$T384-$V384,3))</f>
        <v/>
      </c>
      <c r="Y384" s="26">
        <f>IF($A384="","",ROUND(N($H384)+$J384+$M384+$O384-$Q384-$S384-$U384-$W384,0))</f>
        <v/>
      </c>
      <c r="Z384" s="24">
        <f>IF($A384="","",IF(COUNTIFS(入库单!$G$4:$G$2503,$A384,入库单!$Y$4:$Y$2503,"待补价")+COUNTIFS(入库单!$G$4:$G$2503,$A384,入库单!$Y$4:$Y$2503,"暂估")&gt;0,"不可信","可信"))</f>
        <v/>
      </c>
      <c r="AA384" s="24">
        <f>IF($A384="","",IF($X384&lt;-0.001,"※账面负库存，查一下是不是漏记入库",IF(AND(ROUND($X384,3)=0,ABS($Y384)&gt;1),"※数量已经是 0，金额还挂着 "&amp;TEXT($Y384,"#,##0")&amp;" 先令",IF(AND($X384&gt;0,$Y384&lt;=0,$K384=0),"※有数量没金额（这个物料一直没填过进价）",IF($Z384="不可信","△成本含待补价/暂估，毛利仅供参考","")))))</f>
        <v/>
      </c>
    </row>
    <row r="385">
      <c r="A385" s="24">
        <f>IF(物料档案!$A384="","",物料档案!$A384)</f>
        <v/>
      </c>
      <c r="B385" s="24">
        <f>IF($A385="","",IFERROR(VLOOKUP($A385,物料档案!$A$4:$P$1203,3,0),""))</f>
        <v/>
      </c>
      <c r="C385" s="24">
        <f>IF($A385="","",IFERROR(VLOOKUP($A385,物料档案!$A$4:$P$1203,4,0),""))</f>
        <v/>
      </c>
      <c r="D385" s="24">
        <f>IF($A385="","",IFERROR(VLOOKUP($A385,物料档案!$A$4:$P$1203,5,0),""))</f>
        <v/>
      </c>
      <c r="E385" s="24">
        <f>IF($A385="","",IFERROR(VLOOKUP($A385,物料档案!$A$4:$P$1203,2,0),""))</f>
        <v/>
      </c>
      <c r="F385" s="24">
        <f>IF($A385="","",IFERROR(VLOOKUP($A385,物料档案!$A$4:$P$1203,6,0),""))</f>
        <v/>
      </c>
      <c r="G385" s="23" t="n"/>
      <c r="H385" s="32" t="n"/>
      <c r="I385" s="27">
        <f>IF($A385="","",SUMIFS(入库单!$K$4:$K$2503,入库单!$G$4:$G$2503,$A385,入库单!$X$4:$X$2503,"采购入库",入库单!$Z$4:$Z$2503,"正常",入库单!$C$4:$C$2503,"&gt;="&amp;账期起,入库单!$C$4:$C$2503,"&lt;="&amp;账期止))</f>
        <v/>
      </c>
      <c r="J385" s="26">
        <f>IF($A385="","",SUMIFS(入库单!$V$4:$V$2503,入库单!$G$4:$G$2503,$A385,入库单!$X$4:$X$2503,"采购入库",入库单!$Z$4:$Z$2503,"正常",入库单!$C$4:$C$2503,"&gt;="&amp;账期起,入库单!$C$4:$C$2503,"&lt;="&amp;账期止))</f>
        <v/>
      </c>
      <c r="K385" s="26">
        <f>IF($A385="","",IFERROR(ROUND((N($H385)+N($J385))/(N($G385)+N($I385)),2),0))</f>
        <v/>
      </c>
      <c r="L385" s="27">
        <f>IF($A385="","",SUMIFS(入库单!$K$4:$K$2503,入库单!$G$4:$G$2503,$A385,入库单!$X$4:$X$2503,"盘盈",入库单!$Z$4:$Z$2503,"正常",入库单!$C$4:$C$2503,"&gt;="&amp;账期起,入库单!$C$4:$C$2503,"&lt;="&amp;账期止))</f>
        <v/>
      </c>
      <c r="M385" s="26">
        <f>IF($A385="","",ROUND($L385*$K385,0))</f>
        <v/>
      </c>
      <c r="N385" s="27">
        <f>IF($A385="","",SUMIFS(入库单!$K$4:$K$2503,入库单!$G$4:$G$2503,$A385,入库单!$X$4:$X$2503,"矿区退库",入库单!$Z$4:$Z$2503,"正常",入库单!$C$4:$C$2503,"&gt;="&amp;账期起,入库单!$C$4:$C$2503,"&lt;="&amp;账期止))</f>
        <v/>
      </c>
      <c r="O385" s="26">
        <f>IF($A385="","",ROUND($N385*$K385,0))</f>
        <v/>
      </c>
      <c r="P385" s="27">
        <f>IF($A385="","",SUMIFS(出库单!$J$4:$J$4003,出库单!$D$4:$D$4003,$A385,出库单!$K$4:$K$4003,"自用消耗",出库单!$U$4:$U$4003,"正常",出库单!$C$4:$C$4003,"&gt;="&amp;账期起,出库单!$C$4:$C$4003,"&lt;="&amp;账期止))</f>
        <v/>
      </c>
      <c r="Q385" s="26">
        <f>IF($A385="","",ROUND(SUMIFS(出库单!$S$4:$S$4003,出库单!$D$4:$D$4003,$A385,出库单!$K$4:$K$4003,"自用消耗",出库单!$U$4:$U$4003,"正常",出库单!$C$4:$C$4003,"&gt;="&amp;账期起,出库单!$C$4:$C$4003,"&lt;="&amp;账期止),0))</f>
        <v/>
      </c>
      <c r="R385" s="27">
        <f>IF($A385="","",SUMIFS(出库单!$J$4:$J$4003,出库单!$D$4:$D$4003,$A385,出库单!$K$4:$K$4003,"对外销售",出库单!$U$4:$U$4003,"正常",出库单!$C$4:$C$4003,"&gt;="&amp;账期起,出库单!$C$4:$C$4003,"&lt;="&amp;账期止))</f>
        <v/>
      </c>
      <c r="S385" s="26">
        <f>IF($A385="","",ROUND(SUMIFS(出库单!$S$4:$S$4003,出库单!$D$4:$D$4003,$A385,出库单!$K$4:$K$4003,"对外销售",出库单!$U$4:$U$4003,"正常",出库单!$C$4:$C$4003,"&gt;="&amp;账期起,出库单!$C$4:$C$4003,"&lt;="&amp;账期止),0))</f>
        <v/>
      </c>
      <c r="T385" s="27">
        <f>IF($A385="","",SUMIFS(出库单!$J$4:$J$4003,出库单!$D$4:$D$4003,$A385,出库单!$K$4:$K$4003,"盘亏",出库单!$U$4:$U$4003,"正常",出库单!$C$4:$C$4003,"&gt;="&amp;账期起,出库单!$C$4:$C$4003,"&lt;="&amp;账期止))</f>
        <v/>
      </c>
      <c r="U385" s="26">
        <f>IF($A385="","",ROUND(SUMIFS(出库单!$S$4:$S$4003,出库单!$D$4:$D$4003,$A385,出库单!$K$4:$K$4003,"盘亏",出库单!$U$4:$U$4003,"正常",出库单!$C$4:$C$4003,"&gt;="&amp;账期起,出库单!$C$4:$C$4003,"&lt;="&amp;账期止),0))</f>
        <v/>
      </c>
      <c r="V385" s="27">
        <f>IF($A385="","",SUMIFS(出库单!$J$4:$J$4003,出库单!$D$4:$D$4003,$A385,出库单!$K$4:$K$4003,"退货给供应商",出库单!$U$4:$U$4003,"正常",出库单!$C$4:$C$4003,"&gt;="&amp;账期起,出库单!$C$4:$C$4003,"&lt;="&amp;账期止))</f>
        <v/>
      </c>
      <c r="W385" s="26">
        <f>IF($A385="","",ROUND(SUMIFS(出库单!$S$4:$S$4003,出库单!$D$4:$D$4003,$A385,出库单!$K$4:$K$4003,"退货给供应商",出库单!$U$4:$U$4003,"正常",出库单!$C$4:$C$4003,"&gt;="&amp;账期起,出库单!$C$4:$C$4003,"&lt;="&amp;账期止),0))</f>
        <v/>
      </c>
      <c r="X385" s="27">
        <f>IF($A385="","",ROUND(N($G385)+$I385+$L385+$N385-$P385-$R385-$T385-$V385,3))</f>
        <v/>
      </c>
      <c r="Y385" s="26">
        <f>IF($A385="","",ROUND(N($H385)+$J385+$M385+$O385-$Q385-$S385-$U385-$W385,0))</f>
        <v/>
      </c>
      <c r="Z385" s="24">
        <f>IF($A385="","",IF(COUNTIFS(入库单!$G$4:$G$2503,$A385,入库单!$Y$4:$Y$2503,"待补价")+COUNTIFS(入库单!$G$4:$G$2503,$A385,入库单!$Y$4:$Y$2503,"暂估")&gt;0,"不可信","可信"))</f>
        <v/>
      </c>
      <c r="AA385" s="24">
        <f>IF($A385="","",IF($X385&lt;-0.001,"※账面负库存，查一下是不是漏记入库",IF(AND(ROUND($X385,3)=0,ABS($Y385)&gt;1),"※数量已经是 0，金额还挂着 "&amp;TEXT($Y385,"#,##0")&amp;" 先令",IF(AND($X385&gt;0,$Y385&lt;=0,$K385=0),"※有数量没金额（这个物料一直没填过进价）",IF($Z385="不可信","△成本含待补价/暂估，毛利仅供参考","")))))</f>
        <v/>
      </c>
    </row>
    <row r="386">
      <c r="A386" s="24">
        <f>IF(物料档案!$A385="","",物料档案!$A385)</f>
        <v/>
      </c>
      <c r="B386" s="24">
        <f>IF($A386="","",IFERROR(VLOOKUP($A386,物料档案!$A$4:$P$1203,3,0),""))</f>
        <v/>
      </c>
      <c r="C386" s="24">
        <f>IF($A386="","",IFERROR(VLOOKUP($A386,物料档案!$A$4:$P$1203,4,0),""))</f>
        <v/>
      </c>
      <c r="D386" s="24">
        <f>IF($A386="","",IFERROR(VLOOKUP($A386,物料档案!$A$4:$P$1203,5,0),""))</f>
        <v/>
      </c>
      <c r="E386" s="24">
        <f>IF($A386="","",IFERROR(VLOOKUP($A386,物料档案!$A$4:$P$1203,2,0),""))</f>
        <v/>
      </c>
      <c r="F386" s="24">
        <f>IF($A386="","",IFERROR(VLOOKUP($A386,物料档案!$A$4:$P$1203,6,0),""))</f>
        <v/>
      </c>
      <c r="G386" s="23" t="n"/>
      <c r="H386" s="32" t="n"/>
      <c r="I386" s="27">
        <f>IF($A386="","",SUMIFS(入库单!$K$4:$K$2503,入库单!$G$4:$G$2503,$A386,入库单!$X$4:$X$2503,"采购入库",入库单!$Z$4:$Z$2503,"正常",入库单!$C$4:$C$2503,"&gt;="&amp;账期起,入库单!$C$4:$C$2503,"&lt;="&amp;账期止))</f>
        <v/>
      </c>
      <c r="J386" s="26">
        <f>IF($A386="","",SUMIFS(入库单!$V$4:$V$2503,入库单!$G$4:$G$2503,$A386,入库单!$X$4:$X$2503,"采购入库",入库单!$Z$4:$Z$2503,"正常",入库单!$C$4:$C$2503,"&gt;="&amp;账期起,入库单!$C$4:$C$2503,"&lt;="&amp;账期止))</f>
        <v/>
      </c>
      <c r="K386" s="26">
        <f>IF($A386="","",IFERROR(ROUND((N($H386)+N($J386))/(N($G386)+N($I386)),2),0))</f>
        <v/>
      </c>
      <c r="L386" s="27">
        <f>IF($A386="","",SUMIFS(入库单!$K$4:$K$2503,入库单!$G$4:$G$2503,$A386,入库单!$X$4:$X$2503,"盘盈",入库单!$Z$4:$Z$2503,"正常",入库单!$C$4:$C$2503,"&gt;="&amp;账期起,入库单!$C$4:$C$2503,"&lt;="&amp;账期止))</f>
        <v/>
      </c>
      <c r="M386" s="26">
        <f>IF($A386="","",ROUND($L386*$K386,0))</f>
        <v/>
      </c>
      <c r="N386" s="27">
        <f>IF($A386="","",SUMIFS(入库单!$K$4:$K$2503,入库单!$G$4:$G$2503,$A386,入库单!$X$4:$X$2503,"矿区退库",入库单!$Z$4:$Z$2503,"正常",入库单!$C$4:$C$2503,"&gt;="&amp;账期起,入库单!$C$4:$C$2503,"&lt;="&amp;账期止))</f>
        <v/>
      </c>
      <c r="O386" s="26">
        <f>IF($A386="","",ROUND($N386*$K386,0))</f>
        <v/>
      </c>
      <c r="P386" s="27">
        <f>IF($A386="","",SUMIFS(出库单!$J$4:$J$4003,出库单!$D$4:$D$4003,$A386,出库单!$K$4:$K$4003,"自用消耗",出库单!$U$4:$U$4003,"正常",出库单!$C$4:$C$4003,"&gt;="&amp;账期起,出库单!$C$4:$C$4003,"&lt;="&amp;账期止))</f>
        <v/>
      </c>
      <c r="Q386" s="26">
        <f>IF($A386="","",ROUND(SUMIFS(出库单!$S$4:$S$4003,出库单!$D$4:$D$4003,$A386,出库单!$K$4:$K$4003,"自用消耗",出库单!$U$4:$U$4003,"正常",出库单!$C$4:$C$4003,"&gt;="&amp;账期起,出库单!$C$4:$C$4003,"&lt;="&amp;账期止),0))</f>
        <v/>
      </c>
      <c r="R386" s="27">
        <f>IF($A386="","",SUMIFS(出库单!$J$4:$J$4003,出库单!$D$4:$D$4003,$A386,出库单!$K$4:$K$4003,"对外销售",出库单!$U$4:$U$4003,"正常",出库单!$C$4:$C$4003,"&gt;="&amp;账期起,出库单!$C$4:$C$4003,"&lt;="&amp;账期止))</f>
        <v/>
      </c>
      <c r="S386" s="26">
        <f>IF($A386="","",ROUND(SUMIFS(出库单!$S$4:$S$4003,出库单!$D$4:$D$4003,$A386,出库单!$K$4:$K$4003,"对外销售",出库单!$U$4:$U$4003,"正常",出库单!$C$4:$C$4003,"&gt;="&amp;账期起,出库单!$C$4:$C$4003,"&lt;="&amp;账期止),0))</f>
        <v/>
      </c>
      <c r="T386" s="27">
        <f>IF($A386="","",SUMIFS(出库单!$J$4:$J$4003,出库单!$D$4:$D$4003,$A386,出库单!$K$4:$K$4003,"盘亏",出库单!$U$4:$U$4003,"正常",出库单!$C$4:$C$4003,"&gt;="&amp;账期起,出库单!$C$4:$C$4003,"&lt;="&amp;账期止))</f>
        <v/>
      </c>
      <c r="U386" s="26">
        <f>IF($A386="","",ROUND(SUMIFS(出库单!$S$4:$S$4003,出库单!$D$4:$D$4003,$A386,出库单!$K$4:$K$4003,"盘亏",出库单!$U$4:$U$4003,"正常",出库单!$C$4:$C$4003,"&gt;="&amp;账期起,出库单!$C$4:$C$4003,"&lt;="&amp;账期止),0))</f>
        <v/>
      </c>
      <c r="V386" s="27">
        <f>IF($A386="","",SUMIFS(出库单!$J$4:$J$4003,出库单!$D$4:$D$4003,$A386,出库单!$K$4:$K$4003,"退货给供应商",出库单!$U$4:$U$4003,"正常",出库单!$C$4:$C$4003,"&gt;="&amp;账期起,出库单!$C$4:$C$4003,"&lt;="&amp;账期止))</f>
        <v/>
      </c>
      <c r="W386" s="26">
        <f>IF($A386="","",ROUND(SUMIFS(出库单!$S$4:$S$4003,出库单!$D$4:$D$4003,$A386,出库单!$K$4:$K$4003,"退货给供应商",出库单!$U$4:$U$4003,"正常",出库单!$C$4:$C$4003,"&gt;="&amp;账期起,出库单!$C$4:$C$4003,"&lt;="&amp;账期止),0))</f>
        <v/>
      </c>
      <c r="X386" s="27">
        <f>IF($A386="","",ROUND(N($G386)+$I386+$L386+$N386-$P386-$R386-$T386-$V386,3))</f>
        <v/>
      </c>
      <c r="Y386" s="26">
        <f>IF($A386="","",ROUND(N($H386)+$J386+$M386+$O386-$Q386-$S386-$U386-$W386,0))</f>
        <v/>
      </c>
      <c r="Z386" s="24">
        <f>IF($A386="","",IF(COUNTIFS(入库单!$G$4:$G$2503,$A386,入库单!$Y$4:$Y$2503,"待补价")+COUNTIFS(入库单!$G$4:$G$2503,$A386,入库单!$Y$4:$Y$2503,"暂估")&gt;0,"不可信","可信"))</f>
        <v/>
      </c>
      <c r="AA386" s="24">
        <f>IF($A386="","",IF($X386&lt;-0.001,"※账面负库存，查一下是不是漏记入库",IF(AND(ROUND($X386,3)=0,ABS($Y386)&gt;1),"※数量已经是 0，金额还挂着 "&amp;TEXT($Y386,"#,##0")&amp;" 先令",IF(AND($X386&gt;0,$Y386&lt;=0,$K386=0),"※有数量没金额（这个物料一直没填过进价）",IF($Z386="不可信","△成本含待补价/暂估，毛利仅供参考","")))))</f>
        <v/>
      </c>
    </row>
    <row r="387">
      <c r="A387" s="24">
        <f>IF(物料档案!$A386="","",物料档案!$A386)</f>
        <v/>
      </c>
      <c r="B387" s="24">
        <f>IF($A387="","",IFERROR(VLOOKUP($A387,物料档案!$A$4:$P$1203,3,0),""))</f>
        <v/>
      </c>
      <c r="C387" s="24">
        <f>IF($A387="","",IFERROR(VLOOKUP($A387,物料档案!$A$4:$P$1203,4,0),""))</f>
        <v/>
      </c>
      <c r="D387" s="24">
        <f>IF($A387="","",IFERROR(VLOOKUP($A387,物料档案!$A$4:$P$1203,5,0),""))</f>
        <v/>
      </c>
      <c r="E387" s="24">
        <f>IF($A387="","",IFERROR(VLOOKUP($A387,物料档案!$A$4:$P$1203,2,0),""))</f>
        <v/>
      </c>
      <c r="F387" s="24">
        <f>IF($A387="","",IFERROR(VLOOKUP($A387,物料档案!$A$4:$P$1203,6,0),""))</f>
        <v/>
      </c>
      <c r="G387" s="23" t="n"/>
      <c r="H387" s="32" t="n"/>
      <c r="I387" s="27">
        <f>IF($A387="","",SUMIFS(入库单!$K$4:$K$2503,入库单!$G$4:$G$2503,$A387,入库单!$X$4:$X$2503,"采购入库",入库单!$Z$4:$Z$2503,"正常",入库单!$C$4:$C$2503,"&gt;="&amp;账期起,入库单!$C$4:$C$2503,"&lt;="&amp;账期止))</f>
        <v/>
      </c>
      <c r="J387" s="26">
        <f>IF($A387="","",SUMIFS(入库单!$V$4:$V$2503,入库单!$G$4:$G$2503,$A387,入库单!$X$4:$X$2503,"采购入库",入库单!$Z$4:$Z$2503,"正常",入库单!$C$4:$C$2503,"&gt;="&amp;账期起,入库单!$C$4:$C$2503,"&lt;="&amp;账期止))</f>
        <v/>
      </c>
      <c r="K387" s="26">
        <f>IF($A387="","",IFERROR(ROUND((N($H387)+N($J387))/(N($G387)+N($I387)),2),0))</f>
        <v/>
      </c>
      <c r="L387" s="27">
        <f>IF($A387="","",SUMIFS(入库单!$K$4:$K$2503,入库单!$G$4:$G$2503,$A387,入库单!$X$4:$X$2503,"盘盈",入库单!$Z$4:$Z$2503,"正常",入库单!$C$4:$C$2503,"&gt;="&amp;账期起,入库单!$C$4:$C$2503,"&lt;="&amp;账期止))</f>
        <v/>
      </c>
      <c r="M387" s="26">
        <f>IF($A387="","",ROUND($L387*$K387,0))</f>
        <v/>
      </c>
      <c r="N387" s="27">
        <f>IF($A387="","",SUMIFS(入库单!$K$4:$K$2503,入库单!$G$4:$G$2503,$A387,入库单!$X$4:$X$2503,"矿区退库",入库单!$Z$4:$Z$2503,"正常",入库单!$C$4:$C$2503,"&gt;="&amp;账期起,入库单!$C$4:$C$2503,"&lt;="&amp;账期止))</f>
        <v/>
      </c>
      <c r="O387" s="26">
        <f>IF($A387="","",ROUND($N387*$K387,0))</f>
        <v/>
      </c>
      <c r="P387" s="27">
        <f>IF($A387="","",SUMIFS(出库单!$J$4:$J$4003,出库单!$D$4:$D$4003,$A387,出库单!$K$4:$K$4003,"自用消耗",出库单!$U$4:$U$4003,"正常",出库单!$C$4:$C$4003,"&gt;="&amp;账期起,出库单!$C$4:$C$4003,"&lt;="&amp;账期止))</f>
        <v/>
      </c>
      <c r="Q387" s="26">
        <f>IF($A387="","",ROUND(SUMIFS(出库单!$S$4:$S$4003,出库单!$D$4:$D$4003,$A387,出库单!$K$4:$K$4003,"自用消耗",出库单!$U$4:$U$4003,"正常",出库单!$C$4:$C$4003,"&gt;="&amp;账期起,出库单!$C$4:$C$4003,"&lt;="&amp;账期止),0))</f>
        <v/>
      </c>
      <c r="R387" s="27">
        <f>IF($A387="","",SUMIFS(出库单!$J$4:$J$4003,出库单!$D$4:$D$4003,$A387,出库单!$K$4:$K$4003,"对外销售",出库单!$U$4:$U$4003,"正常",出库单!$C$4:$C$4003,"&gt;="&amp;账期起,出库单!$C$4:$C$4003,"&lt;="&amp;账期止))</f>
        <v/>
      </c>
      <c r="S387" s="26">
        <f>IF($A387="","",ROUND(SUMIFS(出库单!$S$4:$S$4003,出库单!$D$4:$D$4003,$A387,出库单!$K$4:$K$4003,"对外销售",出库单!$U$4:$U$4003,"正常",出库单!$C$4:$C$4003,"&gt;="&amp;账期起,出库单!$C$4:$C$4003,"&lt;="&amp;账期止),0))</f>
        <v/>
      </c>
      <c r="T387" s="27">
        <f>IF($A387="","",SUMIFS(出库单!$J$4:$J$4003,出库单!$D$4:$D$4003,$A387,出库单!$K$4:$K$4003,"盘亏",出库单!$U$4:$U$4003,"正常",出库单!$C$4:$C$4003,"&gt;="&amp;账期起,出库单!$C$4:$C$4003,"&lt;="&amp;账期止))</f>
        <v/>
      </c>
      <c r="U387" s="26">
        <f>IF($A387="","",ROUND(SUMIFS(出库单!$S$4:$S$4003,出库单!$D$4:$D$4003,$A387,出库单!$K$4:$K$4003,"盘亏",出库单!$U$4:$U$4003,"正常",出库单!$C$4:$C$4003,"&gt;="&amp;账期起,出库单!$C$4:$C$4003,"&lt;="&amp;账期止),0))</f>
        <v/>
      </c>
      <c r="V387" s="27">
        <f>IF($A387="","",SUMIFS(出库单!$J$4:$J$4003,出库单!$D$4:$D$4003,$A387,出库单!$K$4:$K$4003,"退货给供应商",出库单!$U$4:$U$4003,"正常",出库单!$C$4:$C$4003,"&gt;="&amp;账期起,出库单!$C$4:$C$4003,"&lt;="&amp;账期止))</f>
        <v/>
      </c>
      <c r="W387" s="26">
        <f>IF($A387="","",ROUND(SUMIFS(出库单!$S$4:$S$4003,出库单!$D$4:$D$4003,$A387,出库单!$K$4:$K$4003,"退货给供应商",出库单!$U$4:$U$4003,"正常",出库单!$C$4:$C$4003,"&gt;="&amp;账期起,出库单!$C$4:$C$4003,"&lt;="&amp;账期止),0))</f>
        <v/>
      </c>
      <c r="X387" s="27">
        <f>IF($A387="","",ROUND(N($G387)+$I387+$L387+$N387-$P387-$R387-$T387-$V387,3))</f>
        <v/>
      </c>
      <c r="Y387" s="26">
        <f>IF($A387="","",ROUND(N($H387)+$J387+$M387+$O387-$Q387-$S387-$U387-$W387,0))</f>
        <v/>
      </c>
      <c r="Z387" s="24">
        <f>IF($A387="","",IF(COUNTIFS(入库单!$G$4:$G$2503,$A387,入库单!$Y$4:$Y$2503,"待补价")+COUNTIFS(入库单!$G$4:$G$2503,$A387,入库单!$Y$4:$Y$2503,"暂估")&gt;0,"不可信","可信"))</f>
        <v/>
      </c>
      <c r="AA387" s="24">
        <f>IF($A387="","",IF($X387&lt;-0.001,"※账面负库存，查一下是不是漏记入库",IF(AND(ROUND($X387,3)=0,ABS($Y387)&gt;1),"※数量已经是 0，金额还挂着 "&amp;TEXT($Y387,"#,##0")&amp;" 先令",IF(AND($X387&gt;0,$Y387&lt;=0,$K387=0),"※有数量没金额（这个物料一直没填过进价）",IF($Z387="不可信","△成本含待补价/暂估，毛利仅供参考","")))))</f>
        <v/>
      </c>
    </row>
    <row r="388">
      <c r="A388" s="24">
        <f>IF(物料档案!$A387="","",物料档案!$A387)</f>
        <v/>
      </c>
      <c r="B388" s="24">
        <f>IF($A388="","",IFERROR(VLOOKUP($A388,物料档案!$A$4:$P$1203,3,0),""))</f>
        <v/>
      </c>
      <c r="C388" s="24">
        <f>IF($A388="","",IFERROR(VLOOKUP($A388,物料档案!$A$4:$P$1203,4,0),""))</f>
        <v/>
      </c>
      <c r="D388" s="24">
        <f>IF($A388="","",IFERROR(VLOOKUP($A388,物料档案!$A$4:$P$1203,5,0),""))</f>
        <v/>
      </c>
      <c r="E388" s="24">
        <f>IF($A388="","",IFERROR(VLOOKUP($A388,物料档案!$A$4:$P$1203,2,0),""))</f>
        <v/>
      </c>
      <c r="F388" s="24">
        <f>IF($A388="","",IFERROR(VLOOKUP($A388,物料档案!$A$4:$P$1203,6,0),""))</f>
        <v/>
      </c>
      <c r="G388" s="23" t="n"/>
      <c r="H388" s="32" t="n"/>
      <c r="I388" s="27">
        <f>IF($A388="","",SUMIFS(入库单!$K$4:$K$2503,入库单!$G$4:$G$2503,$A388,入库单!$X$4:$X$2503,"采购入库",入库单!$Z$4:$Z$2503,"正常",入库单!$C$4:$C$2503,"&gt;="&amp;账期起,入库单!$C$4:$C$2503,"&lt;="&amp;账期止))</f>
        <v/>
      </c>
      <c r="J388" s="26">
        <f>IF($A388="","",SUMIFS(入库单!$V$4:$V$2503,入库单!$G$4:$G$2503,$A388,入库单!$X$4:$X$2503,"采购入库",入库单!$Z$4:$Z$2503,"正常",入库单!$C$4:$C$2503,"&gt;="&amp;账期起,入库单!$C$4:$C$2503,"&lt;="&amp;账期止))</f>
        <v/>
      </c>
      <c r="K388" s="26">
        <f>IF($A388="","",IFERROR(ROUND((N($H388)+N($J388))/(N($G388)+N($I388)),2),0))</f>
        <v/>
      </c>
      <c r="L388" s="27">
        <f>IF($A388="","",SUMIFS(入库单!$K$4:$K$2503,入库单!$G$4:$G$2503,$A388,入库单!$X$4:$X$2503,"盘盈",入库单!$Z$4:$Z$2503,"正常",入库单!$C$4:$C$2503,"&gt;="&amp;账期起,入库单!$C$4:$C$2503,"&lt;="&amp;账期止))</f>
        <v/>
      </c>
      <c r="M388" s="26">
        <f>IF($A388="","",ROUND($L388*$K388,0))</f>
        <v/>
      </c>
      <c r="N388" s="27">
        <f>IF($A388="","",SUMIFS(入库单!$K$4:$K$2503,入库单!$G$4:$G$2503,$A388,入库单!$X$4:$X$2503,"矿区退库",入库单!$Z$4:$Z$2503,"正常",入库单!$C$4:$C$2503,"&gt;="&amp;账期起,入库单!$C$4:$C$2503,"&lt;="&amp;账期止))</f>
        <v/>
      </c>
      <c r="O388" s="26">
        <f>IF($A388="","",ROUND($N388*$K388,0))</f>
        <v/>
      </c>
      <c r="P388" s="27">
        <f>IF($A388="","",SUMIFS(出库单!$J$4:$J$4003,出库单!$D$4:$D$4003,$A388,出库单!$K$4:$K$4003,"自用消耗",出库单!$U$4:$U$4003,"正常",出库单!$C$4:$C$4003,"&gt;="&amp;账期起,出库单!$C$4:$C$4003,"&lt;="&amp;账期止))</f>
        <v/>
      </c>
      <c r="Q388" s="26">
        <f>IF($A388="","",ROUND(SUMIFS(出库单!$S$4:$S$4003,出库单!$D$4:$D$4003,$A388,出库单!$K$4:$K$4003,"自用消耗",出库单!$U$4:$U$4003,"正常",出库单!$C$4:$C$4003,"&gt;="&amp;账期起,出库单!$C$4:$C$4003,"&lt;="&amp;账期止),0))</f>
        <v/>
      </c>
      <c r="R388" s="27">
        <f>IF($A388="","",SUMIFS(出库单!$J$4:$J$4003,出库单!$D$4:$D$4003,$A388,出库单!$K$4:$K$4003,"对外销售",出库单!$U$4:$U$4003,"正常",出库单!$C$4:$C$4003,"&gt;="&amp;账期起,出库单!$C$4:$C$4003,"&lt;="&amp;账期止))</f>
        <v/>
      </c>
      <c r="S388" s="26">
        <f>IF($A388="","",ROUND(SUMIFS(出库单!$S$4:$S$4003,出库单!$D$4:$D$4003,$A388,出库单!$K$4:$K$4003,"对外销售",出库单!$U$4:$U$4003,"正常",出库单!$C$4:$C$4003,"&gt;="&amp;账期起,出库单!$C$4:$C$4003,"&lt;="&amp;账期止),0))</f>
        <v/>
      </c>
      <c r="T388" s="27">
        <f>IF($A388="","",SUMIFS(出库单!$J$4:$J$4003,出库单!$D$4:$D$4003,$A388,出库单!$K$4:$K$4003,"盘亏",出库单!$U$4:$U$4003,"正常",出库单!$C$4:$C$4003,"&gt;="&amp;账期起,出库单!$C$4:$C$4003,"&lt;="&amp;账期止))</f>
        <v/>
      </c>
      <c r="U388" s="26">
        <f>IF($A388="","",ROUND(SUMIFS(出库单!$S$4:$S$4003,出库单!$D$4:$D$4003,$A388,出库单!$K$4:$K$4003,"盘亏",出库单!$U$4:$U$4003,"正常",出库单!$C$4:$C$4003,"&gt;="&amp;账期起,出库单!$C$4:$C$4003,"&lt;="&amp;账期止),0))</f>
        <v/>
      </c>
      <c r="V388" s="27">
        <f>IF($A388="","",SUMIFS(出库单!$J$4:$J$4003,出库单!$D$4:$D$4003,$A388,出库单!$K$4:$K$4003,"退货给供应商",出库单!$U$4:$U$4003,"正常",出库单!$C$4:$C$4003,"&gt;="&amp;账期起,出库单!$C$4:$C$4003,"&lt;="&amp;账期止))</f>
        <v/>
      </c>
      <c r="W388" s="26">
        <f>IF($A388="","",ROUND(SUMIFS(出库单!$S$4:$S$4003,出库单!$D$4:$D$4003,$A388,出库单!$K$4:$K$4003,"退货给供应商",出库单!$U$4:$U$4003,"正常",出库单!$C$4:$C$4003,"&gt;="&amp;账期起,出库单!$C$4:$C$4003,"&lt;="&amp;账期止),0))</f>
        <v/>
      </c>
      <c r="X388" s="27">
        <f>IF($A388="","",ROUND(N($G388)+$I388+$L388+$N388-$P388-$R388-$T388-$V388,3))</f>
        <v/>
      </c>
      <c r="Y388" s="26">
        <f>IF($A388="","",ROUND(N($H388)+$J388+$M388+$O388-$Q388-$S388-$U388-$W388,0))</f>
        <v/>
      </c>
      <c r="Z388" s="24">
        <f>IF($A388="","",IF(COUNTIFS(入库单!$G$4:$G$2503,$A388,入库单!$Y$4:$Y$2503,"待补价")+COUNTIFS(入库单!$G$4:$G$2503,$A388,入库单!$Y$4:$Y$2503,"暂估")&gt;0,"不可信","可信"))</f>
        <v/>
      </c>
      <c r="AA388" s="24">
        <f>IF($A388="","",IF($X388&lt;-0.001,"※账面负库存，查一下是不是漏记入库",IF(AND(ROUND($X388,3)=0,ABS($Y388)&gt;1),"※数量已经是 0，金额还挂着 "&amp;TEXT($Y388,"#,##0")&amp;" 先令",IF(AND($X388&gt;0,$Y388&lt;=0,$K388=0),"※有数量没金额（这个物料一直没填过进价）",IF($Z388="不可信","△成本含待补价/暂估，毛利仅供参考","")))))</f>
        <v/>
      </c>
    </row>
    <row r="389">
      <c r="A389" s="24">
        <f>IF(物料档案!$A388="","",物料档案!$A388)</f>
        <v/>
      </c>
      <c r="B389" s="24">
        <f>IF($A389="","",IFERROR(VLOOKUP($A389,物料档案!$A$4:$P$1203,3,0),""))</f>
        <v/>
      </c>
      <c r="C389" s="24">
        <f>IF($A389="","",IFERROR(VLOOKUP($A389,物料档案!$A$4:$P$1203,4,0),""))</f>
        <v/>
      </c>
      <c r="D389" s="24">
        <f>IF($A389="","",IFERROR(VLOOKUP($A389,物料档案!$A$4:$P$1203,5,0),""))</f>
        <v/>
      </c>
      <c r="E389" s="24">
        <f>IF($A389="","",IFERROR(VLOOKUP($A389,物料档案!$A$4:$P$1203,2,0),""))</f>
        <v/>
      </c>
      <c r="F389" s="24">
        <f>IF($A389="","",IFERROR(VLOOKUP($A389,物料档案!$A$4:$P$1203,6,0),""))</f>
        <v/>
      </c>
      <c r="G389" s="23" t="n"/>
      <c r="H389" s="32" t="n"/>
      <c r="I389" s="27">
        <f>IF($A389="","",SUMIFS(入库单!$K$4:$K$2503,入库单!$G$4:$G$2503,$A389,入库单!$X$4:$X$2503,"采购入库",入库单!$Z$4:$Z$2503,"正常",入库单!$C$4:$C$2503,"&gt;="&amp;账期起,入库单!$C$4:$C$2503,"&lt;="&amp;账期止))</f>
        <v/>
      </c>
      <c r="J389" s="26">
        <f>IF($A389="","",SUMIFS(入库单!$V$4:$V$2503,入库单!$G$4:$G$2503,$A389,入库单!$X$4:$X$2503,"采购入库",入库单!$Z$4:$Z$2503,"正常",入库单!$C$4:$C$2503,"&gt;="&amp;账期起,入库单!$C$4:$C$2503,"&lt;="&amp;账期止))</f>
        <v/>
      </c>
      <c r="K389" s="26">
        <f>IF($A389="","",IFERROR(ROUND((N($H389)+N($J389))/(N($G389)+N($I389)),2),0))</f>
        <v/>
      </c>
      <c r="L389" s="27">
        <f>IF($A389="","",SUMIFS(入库单!$K$4:$K$2503,入库单!$G$4:$G$2503,$A389,入库单!$X$4:$X$2503,"盘盈",入库单!$Z$4:$Z$2503,"正常",入库单!$C$4:$C$2503,"&gt;="&amp;账期起,入库单!$C$4:$C$2503,"&lt;="&amp;账期止))</f>
        <v/>
      </c>
      <c r="M389" s="26">
        <f>IF($A389="","",ROUND($L389*$K389,0))</f>
        <v/>
      </c>
      <c r="N389" s="27">
        <f>IF($A389="","",SUMIFS(入库单!$K$4:$K$2503,入库单!$G$4:$G$2503,$A389,入库单!$X$4:$X$2503,"矿区退库",入库单!$Z$4:$Z$2503,"正常",入库单!$C$4:$C$2503,"&gt;="&amp;账期起,入库单!$C$4:$C$2503,"&lt;="&amp;账期止))</f>
        <v/>
      </c>
      <c r="O389" s="26">
        <f>IF($A389="","",ROUND($N389*$K389,0))</f>
        <v/>
      </c>
      <c r="P389" s="27">
        <f>IF($A389="","",SUMIFS(出库单!$J$4:$J$4003,出库单!$D$4:$D$4003,$A389,出库单!$K$4:$K$4003,"自用消耗",出库单!$U$4:$U$4003,"正常",出库单!$C$4:$C$4003,"&gt;="&amp;账期起,出库单!$C$4:$C$4003,"&lt;="&amp;账期止))</f>
        <v/>
      </c>
      <c r="Q389" s="26">
        <f>IF($A389="","",ROUND(SUMIFS(出库单!$S$4:$S$4003,出库单!$D$4:$D$4003,$A389,出库单!$K$4:$K$4003,"自用消耗",出库单!$U$4:$U$4003,"正常",出库单!$C$4:$C$4003,"&gt;="&amp;账期起,出库单!$C$4:$C$4003,"&lt;="&amp;账期止),0))</f>
        <v/>
      </c>
      <c r="R389" s="27">
        <f>IF($A389="","",SUMIFS(出库单!$J$4:$J$4003,出库单!$D$4:$D$4003,$A389,出库单!$K$4:$K$4003,"对外销售",出库单!$U$4:$U$4003,"正常",出库单!$C$4:$C$4003,"&gt;="&amp;账期起,出库单!$C$4:$C$4003,"&lt;="&amp;账期止))</f>
        <v/>
      </c>
      <c r="S389" s="26">
        <f>IF($A389="","",ROUND(SUMIFS(出库单!$S$4:$S$4003,出库单!$D$4:$D$4003,$A389,出库单!$K$4:$K$4003,"对外销售",出库单!$U$4:$U$4003,"正常",出库单!$C$4:$C$4003,"&gt;="&amp;账期起,出库单!$C$4:$C$4003,"&lt;="&amp;账期止),0))</f>
        <v/>
      </c>
      <c r="T389" s="27">
        <f>IF($A389="","",SUMIFS(出库单!$J$4:$J$4003,出库单!$D$4:$D$4003,$A389,出库单!$K$4:$K$4003,"盘亏",出库单!$U$4:$U$4003,"正常",出库单!$C$4:$C$4003,"&gt;="&amp;账期起,出库单!$C$4:$C$4003,"&lt;="&amp;账期止))</f>
        <v/>
      </c>
      <c r="U389" s="26">
        <f>IF($A389="","",ROUND(SUMIFS(出库单!$S$4:$S$4003,出库单!$D$4:$D$4003,$A389,出库单!$K$4:$K$4003,"盘亏",出库单!$U$4:$U$4003,"正常",出库单!$C$4:$C$4003,"&gt;="&amp;账期起,出库单!$C$4:$C$4003,"&lt;="&amp;账期止),0))</f>
        <v/>
      </c>
      <c r="V389" s="27">
        <f>IF($A389="","",SUMIFS(出库单!$J$4:$J$4003,出库单!$D$4:$D$4003,$A389,出库单!$K$4:$K$4003,"退货给供应商",出库单!$U$4:$U$4003,"正常",出库单!$C$4:$C$4003,"&gt;="&amp;账期起,出库单!$C$4:$C$4003,"&lt;="&amp;账期止))</f>
        <v/>
      </c>
      <c r="W389" s="26">
        <f>IF($A389="","",ROUND(SUMIFS(出库单!$S$4:$S$4003,出库单!$D$4:$D$4003,$A389,出库单!$K$4:$K$4003,"退货给供应商",出库单!$U$4:$U$4003,"正常",出库单!$C$4:$C$4003,"&gt;="&amp;账期起,出库单!$C$4:$C$4003,"&lt;="&amp;账期止),0))</f>
        <v/>
      </c>
      <c r="X389" s="27">
        <f>IF($A389="","",ROUND(N($G389)+$I389+$L389+$N389-$P389-$R389-$T389-$V389,3))</f>
        <v/>
      </c>
      <c r="Y389" s="26">
        <f>IF($A389="","",ROUND(N($H389)+$J389+$M389+$O389-$Q389-$S389-$U389-$W389,0))</f>
        <v/>
      </c>
      <c r="Z389" s="24">
        <f>IF($A389="","",IF(COUNTIFS(入库单!$G$4:$G$2503,$A389,入库单!$Y$4:$Y$2503,"待补价")+COUNTIFS(入库单!$G$4:$G$2503,$A389,入库单!$Y$4:$Y$2503,"暂估")&gt;0,"不可信","可信"))</f>
        <v/>
      </c>
      <c r="AA389" s="24">
        <f>IF($A389="","",IF($X389&lt;-0.001,"※账面负库存，查一下是不是漏记入库",IF(AND(ROUND($X389,3)=0,ABS($Y389)&gt;1),"※数量已经是 0，金额还挂着 "&amp;TEXT($Y389,"#,##0")&amp;" 先令",IF(AND($X389&gt;0,$Y389&lt;=0,$K389=0),"※有数量没金额（这个物料一直没填过进价）",IF($Z389="不可信","△成本含待补价/暂估，毛利仅供参考","")))))</f>
        <v/>
      </c>
    </row>
    <row r="390">
      <c r="A390" s="24">
        <f>IF(物料档案!$A389="","",物料档案!$A389)</f>
        <v/>
      </c>
      <c r="B390" s="24">
        <f>IF($A390="","",IFERROR(VLOOKUP($A390,物料档案!$A$4:$P$1203,3,0),""))</f>
        <v/>
      </c>
      <c r="C390" s="24">
        <f>IF($A390="","",IFERROR(VLOOKUP($A390,物料档案!$A$4:$P$1203,4,0),""))</f>
        <v/>
      </c>
      <c r="D390" s="24">
        <f>IF($A390="","",IFERROR(VLOOKUP($A390,物料档案!$A$4:$P$1203,5,0),""))</f>
        <v/>
      </c>
      <c r="E390" s="24">
        <f>IF($A390="","",IFERROR(VLOOKUP($A390,物料档案!$A$4:$P$1203,2,0),""))</f>
        <v/>
      </c>
      <c r="F390" s="24">
        <f>IF($A390="","",IFERROR(VLOOKUP($A390,物料档案!$A$4:$P$1203,6,0),""))</f>
        <v/>
      </c>
      <c r="G390" s="23" t="n"/>
      <c r="H390" s="32" t="n"/>
      <c r="I390" s="27">
        <f>IF($A390="","",SUMIFS(入库单!$K$4:$K$2503,入库单!$G$4:$G$2503,$A390,入库单!$X$4:$X$2503,"采购入库",入库单!$Z$4:$Z$2503,"正常",入库单!$C$4:$C$2503,"&gt;="&amp;账期起,入库单!$C$4:$C$2503,"&lt;="&amp;账期止))</f>
        <v/>
      </c>
      <c r="J390" s="26">
        <f>IF($A390="","",SUMIFS(入库单!$V$4:$V$2503,入库单!$G$4:$G$2503,$A390,入库单!$X$4:$X$2503,"采购入库",入库单!$Z$4:$Z$2503,"正常",入库单!$C$4:$C$2503,"&gt;="&amp;账期起,入库单!$C$4:$C$2503,"&lt;="&amp;账期止))</f>
        <v/>
      </c>
      <c r="K390" s="26">
        <f>IF($A390="","",IFERROR(ROUND((N($H390)+N($J390))/(N($G390)+N($I390)),2),0))</f>
        <v/>
      </c>
      <c r="L390" s="27">
        <f>IF($A390="","",SUMIFS(入库单!$K$4:$K$2503,入库单!$G$4:$G$2503,$A390,入库单!$X$4:$X$2503,"盘盈",入库单!$Z$4:$Z$2503,"正常",入库单!$C$4:$C$2503,"&gt;="&amp;账期起,入库单!$C$4:$C$2503,"&lt;="&amp;账期止))</f>
        <v/>
      </c>
      <c r="M390" s="26">
        <f>IF($A390="","",ROUND($L390*$K390,0))</f>
        <v/>
      </c>
      <c r="N390" s="27">
        <f>IF($A390="","",SUMIFS(入库单!$K$4:$K$2503,入库单!$G$4:$G$2503,$A390,入库单!$X$4:$X$2503,"矿区退库",入库单!$Z$4:$Z$2503,"正常",入库单!$C$4:$C$2503,"&gt;="&amp;账期起,入库单!$C$4:$C$2503,"&lt;="&amp;账期止))</f>
        <v/>
      </c>
      <c r="O390" s="26">
        <f>IF($A390="","",ROUND($N390*$K390,0))</f>
        <v/>
      </c>
      <c r="P390" s="27">
        <f>IF($A390="","",SUMIFS(出库单!$J$4:$J$4003,出库单!$D$4:$D$4003,$A390,出库单!$K$4:$K$4003,"自用消耗",出库单!$U$4:$U$4003,"正常",出库单!$C$4:$C$4003,"&gt;="&amp;账期起,出库单!$C$4:$C$4003,"&lt;="&amp;账期止))</f>
        <v/>
      </c>
      <c r="Q390" s="26">
        <f>IF($A390="","",ROUND(SUMIFS(出库单!$S$4:$S$4003,出库单!$D$4:$D$4003,$A390,出库单!$K$4:$K$4003,"自用消耗",出库单!$U$4:$U$4003,"正常",出库单!$C$4:$C$4003,"&gt;="&amp;账期起,出库单!$C$4:$C$4003,"&lt;="&amp;账期止),0))</f>
        <v/>
      </c>
      <c r="R390" s="27">
        <f>IF($A390="","",SUMIFS(出库单!$J$4:$J$4003,出库单!$D$4:$D$4003,$A390,出库单!$K$4:$K$4003,"对外销售",出库单!$U$4:$U$4003,"正常",出库单!$C$4:$C$4003,"&gt;="&amp;账期起,出库单!$C$4:$C$4003,"&lt;="&amp;账期止))</f>
        <v/>
      </c>
      <c r="S390" s="26">
        <f>IF($A390="","",ROUND(SUMIFS(出库单!$S$4:$S$4003,出库单!$D$4:$D$4003,$A390,出库单!$K$4:$K$4003,"对外销售",出库单!$U$4:$U$4003,"正常",出库单!$C$4:$C$4003,"&gt;="&amp;账期起,出库单!$C$4:$C$4003,"&lt;="&amp;账期止),0))</f>
        <v/>
      </c>
      <c r="T390" s="27">
        <f>IF($A390="","",SUMIFS(出库单!$J$4:$J$4003,出库单!$D$4:$D$4003,$A390,出库单!$K$4:$K$4003,"盘亏",出库单!$U$4:$U$4003,"正常",出库单!$C$4:$C$4003,"&gt;="&amp;账期起,出库单!$C$4:$C$4003,"&lt;="&amp;账期止))</f>
        <v/>
      </c>
      <c r="U390" s="26">
        <f>IF($A390="","",ROUND(SUMIFS(出库单!$S$4:$S$4003,出库单!$D$4:$D$4003,$A390,出库单!$K$4:$K$4003,"盘亏",出库单!$U$4:$U$4003,"正常",出库单!$C$4:$C$4003,"&gt;="&amp;账期起,出库单!$C$4:$C$4003,"&lt;="&amp;账期止),0))</f>
        <v/>
      </c>
      <c r="V390" s="27">
        <f>IF($A390="","",SUMIFS(出库单!$J$4:$J$4003,出库单!$D$4:$D$4003,$A390,出库单!$K$4:$K$4003,"退货给供应商",出库单!$U$4:$U$4003,"正常",出库单!$C$4:$C$4003,"&gt;="&amp;账期起,出库单!$C$4:$C$4003,"&lt;="&amp;账期止))</f>
        <v/>
      </c>
      <c r="W390" s="26">
        <f>IF($A390="","",ROUND(SUMIFS(出库单!$S$4:$S$4003,出库单!$D$4:$D$4003,$A390,出库单!$K$4:$K$4003,"退货给供应商",出库单!$U$4:$U$4003,"正常",出库单!$C$4:$C$4003,"&gt;="&amp;账期起,出库单!$C$4:$C$4003,"&lt;="&amp;账期止),0))</f>
        <v/>
      </c>
      <c r="X390" s="27">
        <f>IF($A390="","",ROUND(N($G390)+$I390+$L390+$N390-$P390-$R390-$T390-$V390,3))</f>
        <v/>
      </c>
      <c r="Y390" s="26">
        <f>IF($A390="","",ROUND(N($H390)+$J390+$M390+$O390-$Q390-$S390-$U390-$W390,0))</f>
        <v/>
      </c>
      <c r="Z390" s="24">
        <f>IF($A390="","",IF(COUNTIFS(入库单!$G$4:$G$2503,$A390,入库单!$Y$4:$Y$2503,"待补价")+COUNTIFS(入库单!$G$4:$G$2503,$A390,入库单!$Y$4:$Y$2503,"暂估")&gt;0,"不可信","可信"))</f>
        <v/>
      </c>
      <c r="AA390" s="24">
        <f>IF($A390="","",IF($X390&lt;-0.001,"※账面负库存，查一下是不是漏记入库",IF(AND(ROUND($X390,3)=0,ABS($Y390)&gt;1),"※数量已经是 0，金额还挂着 "&amp;TEXT($Y390,"#,##0")&amp;" 先令",IF(AND($X390&gt;0,$Y390&lt;=0,$K390=0),"※有数量没金额（这个物料一直没填过进价）",IF($Z390="不可信","△成本含待补价/暂估，毛利仅供参考","")))))</f>
        <v/>
      </c>
    </row>
    <row r="391">
      <c r="A391" s="24">
        <f>IF(物料档案!$A390="","",物料档案!$A390)</f>
        <v/>
      </c>
      <c r="B391" s="24">
        <f>IF($A391="","",IFERROR(VLOOKUP($A391,物料档案!$A$4:$P$1203,3,0),""))</f>
        <v/>
      </c>
      <c r="C391" s="24">
        <f>IF($A391="","",IFERROR(VLOOKUP($A391,物料档案!$A$4:$P$1203,4,0),""))</f>
        <v/>
      </c>
      <c r="D391" s="24">
        <f>IF($A391="","",IFERROR(VLOOKUP($A391,物料档案!$A$4:$P$1203,5,0),""))</f>
        <v/>
      </c>
      <c r="E391" s="24">
        <f>IF($A391="","",IFERROR(VLOOKUP($A391,物料档案!$A$4:$P$1203,2,0),""))</f>
        <v/>
      </c>
      <c r="F391" s="24">
        <f>IF($A391="","",IFERROR(VLOOKUP($A391,物料档案!$A$4:$P$1203,6,0),""))</f>
        <v/>
      </c>
      <c r="G391" s="23" t="n"/>
      <c r="H391" s="32" t="n"/>
      <c r="I391" s="27">
        <f>IF($A391="","",SUMIFS(入库单!$K$4:$K$2503,入库单!$G$4:$G$2503,$A391,入库单!$X$4:$X$2503,"采购入库",入库单!$Z$4:$Z$2503,"正常",入库单!$C$4:$C$2503,"&gt;="&amp;账期起,入库单!$C$4:$C$2503,"&lt;="&amp;账期止))</f>
        <v/>
      </c>
      <c r="J391" s="26">
        <f>IF($A391="","",SUMIFS(入库单!$V$4:$V$2503,入库单!$G$4:$G$2503,$A391,入库单!$X$4:$X$2503,"采购入库",入库单!$Z$4:$Z$2503,"正常",入库单!$C$4:$C$2503,"&gt;="&amp;账期起,入库单!$C$4:$C$2503,"&lt;="&amp;账期止))</f>
        <v/>
      </c>
      <c r="K391" s="26">
        <f>IF($A391="","",IFERROR(ROUND((N($H391)+N($J391))/(N($G391)+N($I391)),2),0))</f>
        <v/>
      </c>
      <c r="L391" s="27">
        <f>IF($A391="","",SUMIFS(入库单!$K$4:$K$2503,入库单!$G$4:$G$2503,$A391,入库单!$X$4:$X$2503,"盘盈",入库单!$Z$4:$Z$2503,"正常",入库单!$C$4:$C$2503,"&gt;="&amp;账期起,入库单!$C$4:$C$2503,"&lt;="&amp;账期止))</f>
        <v/>
      </c>
      <c r="M391" s="26">
        <f>IF($A391="","",ROUND($L391*$K391,0))</f>
        <v/>
      </c>
      <c r="N391" s="27">
        <f>IF($A391="","",SUMIFS(入库单!$K$4:$K$2503,入库单!$G$4:$G$2503,$A391,入库单!$X$4:$X$2503,"矿区退库",入库单!$Z$4:$Z$2503,"正常",入库单!$C$4:$C$2503,"&gt;="&amp;账期起,入库单!$C$4:$C$2503,"&lt;="&amp;账期止))</f>
        <v/>
      </c>
      <c r="O391" s="26">
        <f>IF($A391="","",ROUND($N391*$K391,0))</f>
        <v/>
      </c>
      <c r="P391" s="27">
        <f>IF($A391="","",SUMIFS(出库单!$J$4:$J$4003,出库单!$D$4:$D$4003,$A391,出库单!$K$4:$K$4003,"自用消耗",出库单!$U$4:$U$4003,"正常",出库单!$C$4:$C$4003,"&gt;="&amp;账期起,出库单!$C$4:$C$4003,"&lt;="&amp;账期止))</f>
        <v/>
      </c>
      <c r="Q391" s="26">
        <f>IF($A391="","",ROUND(SUMIFS(出库单!$S$4:$S$4003,出库单!$D$4:$D$4003,$A391,出库单!$K$4:$K$4003,"自用消耗",出库单!$U$4:$U$4003,"正常",出库单!$C$4:$C$4003,"&gt;="&amp;账期起,出库单!$C$4:$C$4003,"&lt;="&amp;账期止),0))</f>
        <v/>
      </c>
      <c r="R391" s="27">
        <f>IF($A391="","",SUMIFS(出库单!$J$4:$J$4003,出库单!$D$4:$D$4003,$A391,出库单!$K$4:$K$4003,"对外销售",出库单!$U$4:$U$4003,"正常",出库单!$C$4:$C$4003,"&gt;="&amp;账期起,出库单!$C$4:$C$4003,"&lt;="&amp;账期止))</f>
        <v/>
      </c>
      <c r="S391" s="26">
        <f>IF($A391="","",ROUND(SUMIFS(出库单!$S$4:$S$4003,出库单!$D$4:$D$4003,$A391,出库单!$K$4:$K$4003,"对外销售",出库单!$U$4:$U$4003,"正常",出库单!$C$4:$C$4003,"&gt;="&amp;账期起,出库单!$C$4:$C$4003,"&lt;="&amp;账期止),0))</f>
        <v/>
      </c>
      <c r="T391" s="27">
        <f>IF($A391="","",SUMIFS(出库单!$J$4:$J$4003,出库单!$D$4:$D$4003,$A391,出库单!$K$4:$K$4003,"盘亏",出库单!$U$4:$U$4003,"正常",出库单!$C$4:$C$4003,"&gt;="&amp;账期起,出库单!$C$4:$C$4003,"&lt;="&amp;账期止))</f>
        <v/>
      </c>
      <c r="U391" s="26">
        <f>IF($A391="","",ROUND(SUMIFS(出库单!$S$4:$S$4003,出库单!$D$4:$D$4003,$A391,出库单!$K$4:$K$4003,"盘亏",出库单!$U$4:$U$4003,"正常",出库单!$C$4:$C$4003,"&gt;="&amp;账期起,出库单!$C$4:$C$4003,"&lt;="&amp;账期止),0))</f>
        <v/>
      </c>
      <c r="V391" s="27">
        <f>IF($A391="","",SUMIFS(出库单!$J$4:$J$4003,出库单!$D$4:$D$4003,$A391,出库单!$K$4:$K$4003,"退货给供应商",出库单!$U$4:$U$4003,"正常",出库单!$C$4:$C$4003,"&gt;="&amp;账期起,出库单!$C$4:$C$4003,"&lt;="&amp;账期止))</f>
        <v/>
      </c>
      <c r="W391" s="26">
        <f>IF($A391="","",ROUND(SUMIFS(出库单!$S$4:$S$4003,出库单!$D$4:$D$4003,$A391,出库单!$K$4:$K$4003,"退货给供应商",出库单!$U$4:$U$4003,"正常",出库单!$C$4:$C$4003,"&gt;="&amp;账期起,出库单!$C$4:$C$4003,"&lt;="&amp;账期止),0))</f>
        <v/>
      </c>
      <c r="X391" s="27">
        <f>IF($A391="","",ROUND(N($G391)+$I391+$L391+$N391-$P391-$R391-$T391-$V391,3))</f>
        <v/>
      </c>
      <c r="Y391" s="26">
        <f>IF($A391="","",ROUND(N($H391)+$J391+$M391+$O391-$Q391-$S391-$U391-$W391,0))</f>
        <v/>
      </c>
      <c r="Z391" s="24">
        <f>IF($A391="","",IF(COUNTIFS(入库单!$G$4:$G$2503,$A391,入库单!$Y$4:$Y$2503,"待补价")+COUNTIFS(入库单!$G$4:$G$2503,$A391,入库单!$Y$4:$Y$2503,"暂估")&gt;0,"不可信","可信"))</f>
        <v/>
      </c>
      <c r="AA391" s="24">
        <f>IF($A391="","",IF($X391&lt;-0.001,"※账面负库存，查一下是不是漏记入库",IF(AND(ROUND($X391,3)=0,ABS($Y391)&gt;1),"※数量已经是 0，金额还挂着 "&amp;TEXT($Y391,"#,##0")&amp;" 先令",IF(AND($X391&gt;0,$Y391&lt;=0,$K391=0),"※有数量没金额（这个物料一直没填过进价）",IF($Z391="不可信","△成本含待补价/暂估，毛利仅供参考","")))))</f>
        <v/>
      </c>
    </row>
    <row r="392">
      <c r="A392" s="24">
        <f>IF(物料档案!$A391="","",物料档案!$A391)</f>
        <v/>
      </c>
      <c r="B392" s="24">
        <f>IF($A392="","",IFERROR(VLOOKUP($A392,物料档案!$A$4:$P$1203,3,0),""))</f>
        <v/>
      </c>
      <c r="C392" s="24">
        <f>IF($A392="","",IFERROR(VLOOKUP($A392,物料档案!$A$4:$P$1203,4,0),""))</f>
        <v/>
      </c>
      <c r="D392" s="24">
        <f>IF($A392="","",IFERROR(VLOOKUP($A392,物料档案!$A$4:$P$1203,5,0),""))</f>
        <v/>
      </c>
      <c r="E392" s="24">
        <f>IF($A392="","",IFERROR(VLOOKUP($A392,物料档案!$A$4:$P$1203,2,0),""))</f>
        <v/>
      </c>
      <c r="F392" s="24">
        <f>IF($A392="","",IFERROR(VLOOKUP($A392,物料档案!$A$4:$P$1203,6,0),""))</f>
        <v/>
      </c>
      <c r="G392" s="23" t="n"/>
      <c r="H392" s="32" t="n"/>
      <c r="I392" s="27">
        <f>IF($A392="","",SUMIFS(入库单!$K$4:$K$2503,入库单!$G$4:$G$2503,$A392,入库单!$X$4:$X$2503,"采购入库",入库单!$Z$4:$Z$2503,"正常",入库单!$C$4:$C$2503,"&gt;="&amp;账期起,入库单!$C$4:$C$2503,"&lt;="&amp;账期止))</f>
        <v/>
      </c>
      <c r="J392" s="26">
        <f>IF($A392="","",SUMIFS(入库单!$V$4:$V$2503,入库单!$G$4:$G$2503,$A392,入库单!$X$4:$X$2503,"采购入库",入库单!$Z$4:$Z$2503,"正常",入库单!$C$4:$C$2503,"&gt;="&amp;账期起,入库单!$C$4:$C$2503,"&lt;="&amp;账期止))</f>
        <v/>
      </c>
      <c r="K392" s="26">
        <f>IF($A392="","",IFERROR(ROUND((N($H392)+N($J392))/(N($G392)+N($I392)),2),0))</f>
        <v/>
      </c>
      <c r="L392" s="27">
        <f>IF($A392="","",SUMIFS(入库单!$K$4:$K$2503,入库单!$G$4:$G$2503,$A392,入库单!$X$4:$X$2503,"盘盈",入库单!$Z$4:$Z$2503,"正常",入库单!$C$4:$C$2503,"&gt;="&amp;账期起,入库单!$C$4:$C$2503,"&lt;="&amp;账期止))</f>
        <v/>
      </c>
      <c r="M392" s="26">
        <f>IF($A392="","",ROUND($L392*$K392,0))</f>
        <v/>
      </c>
      <c r="N392" s="27">
        <f>IF($A392="","",SUMIFS(入库单!$K$4:$K$2503,入库单!$G$4:$G$2503,$A392,入库单!$X$4:$X$2503,"矿区退库",入库单!$Z$4:$Z$2503,"正常",入库单!$C$4:$C$2503,"&gt;="&amp;账期起,入库单!$C$4:$C$2503,"&lt;="&amp;账期止))</f>
        <v/>
      </c>
      <c r="O392" s="26">
        <f>IF($A392="","",ROUND($N392*$K392,0))</f>
        <v/>
      </c>
      <c r="P392" s="27">
        <f>IF($A392="","",SUMIFS(出库单!$J$4:$J$4003,出库单!$D$4:$D$4003,$A392,出库单!$K$4:$K$4003,"自用消耗",出库单!$U$4:$U$4003,"正常",出库单!$C$4:$C$4003,"&gt;="&amp;账期起,出库单!$C$4:$C$4003,"&lt;="&amp;账期止))</f>
        <v/>
      </c>
      <c r="Q392" s="26">
        <f>IF($A392="","",ROUND(SUMIFS(出库单!$S$4:$S$4003,出库单!$D$4:$D$4003,$A392,出库单!$K$4:$K$4003,"自用消耗",出库单!$U$4:$U$4003,"正常",出库单!$C$4:$C$4003,"&gt;="&amp;账期起,出库单!$C$4:$C$4003,"&lt;="&amp;账期止),0))</f>
        <v/>
      </c>
      <c r="R392" s="27">
        <f>IF($A392="","",SUMIFS(出库单!$J$4:$J$4003,出库单!$D$4:$D$4003,$A392,出库单!$K$4:$K$4003,"对外销售",出库单!$U$4:$U$4003,"正常",出库单!$C$4:$C$4003,"&gt;="&amp;账期起,出库单!$C$4:$C$4003,"&lt;="&amp;账期止))</f>
        <v/>
      </c>
      <c r="S392" s="26">
        <f>IF($A392="","",ROUND(SUMIFS(出库单!$S$4:$S$4003,出库单!$D$4:$D$4003,$A392,出库单!$K$4:$K$4003,"对外销售",出库单!$U$4:$U$4003,"正常",出库单!$C$4:$C$4003,"&gt;="&amp;账期起,出库单!$C$4:$C$4003,"&lt;="&amp;账期止),0))</f>
        <v/>
      </c>
      <c r="T392" s="27">
        <f>IF($A392="","",SUMIFS(出库单!$J$4:$J$4003,出库单!$D$4:$D$4003,$A392,出库单!$K$4:$K$4003,"盘亏",出库单!$U$4:$U$4003,"正常",出库单!$C$4:$C$4003,"&gt;="&amp;账期起,出库单!$C$4:$C$4003,"&lt;="&amp;账期止))</f>
        <v/>
      </c>
      <c r="U392" s="26">
        <f>IF($A392="","",ROUND(SUMIFS(出库单!$S$4:$S$4003,出库单!$D$4:$D$4003,$A392,出库单!$K$4:$K$4003,"盘亏",出库单!$U$4:$U$4003,"正常",出库单!$C$4:$C$4003,"&gt;="&amp;账期起,出库单!$C$4:$C$4003,"&lt;="&amp;账期止),0))</f>
        <v/>
      </c>
      <c r="V392" s="27">
        <f>IF($A392="","",SUMIFS(出库单!$J$4:$J$4003,出库单!$D$4:$D$4003,$A392,出库单!$K$4:$K$4003,"退货给供应商",出库单!$U$4:$U$4003,"正常",出库单!$C$4:$C$4003,"&gt;="&amp;账期起,出库单!$C$4:$C$4003,"&lt;="&amp;账期止))</f>
        <v/>
      </c>
      <c r="W392" s="26">
        <f>IF($A392="","",ROUND(SUMIFS(出库单!$S$4:$S$4003,出库单!$D$4:$D$4003,$A392,出库单!$K$4:$K$4003,"退货给供应商",出库单!$U$4:$U$4003,"正常",出库单!$C$4:$C$4003,"&gt;="&amp;账期起,出库单!$C$4:$C$4003,"&lt;="&amp;账期止),0))</f>
        <v/>
      </c>
      <c r="X392" s="27">
        <f>IF($A392="","",ROUND(N($G392)+$I392+$L392+$N392-$P392-$R392-$T392-$V392,3))</f>
        <v/>
      </c>
      <c r="Y392" s="26">
        <f>IF($A392="","",ROUND(N($H392)+$J392+$M392+$O392-$Q392-$S392-$U392-$W392,0))</f>
        <v/>
      </c>
      <c r="Z392" s="24">
        <f>IF($A392="","",IF(COUNTIFS(入库单!$G$4:$G$2503,$A392,入库单!$Y$4:$Y$2503,"待补价")+COUNTIFS(入库单!$G$4:$G$2503,$A392,入库单!$Y$4:$Y$2503,"暂估")&gt;0,"不可信","可信"))</f>
        <v/>
      </c>
      <c r="AA392" s="24">
        <f>IF($A392="","",IF($X392&lt;-0.001,"※账面负库存，查一下是不是漏记入库",IF(AND(ROUND($X392,3)=0,ABS($Y392)&gt;1),"※数量已经是 0，金额还挂着 "&amp;TEXT($Y392,"#,##0")&amp;" 先令",IF(AND($X392&gt;0,$Y392&lt;=0,$K392=0),"※有数量没金额（这个物料一直没填过进价）",IF($Z392="不可信","△成本含待补价/暂估，毛利仅供参考","")))))</f>
        <v/>
      </c>
    </row>
    <row r="393">
      <c r="A393" s="24">
        <f>IF(物料档案!$A392="","",物料档案!$A392)</f>
        <v/>
      </c>
      <c r="B393" s="24">
        <f>IF($A393="","",IFERROR(VLOOKUP($A393,物料档案!$A$4:$P$1203,3,0),""))</f>
        <v/>
      </c>
      <c r="C393" s="24">
        <f>IF($A393="","",IFERROR(VLOOKUP($A393,物料档案!$A$4:$P$1203,4,0),""))</f>
        <v/>
      </c>
      <c r="D393" s="24">
        <f>IF($A393="","",IFERROR(VLOOKUP($A393,物料档案!$A$4:$P$1203,5,0),""))</f>
        <v/>
      </c>
      <c r="E393" s="24">
        <f>IF($A393="","",IFERROR(VLOOKUP($A393,物料档案!$A$4:$P$1203,2,0),""))</f>
        <v/>
      </c>
      <c r="F393" s="24">
        <f>IF($A393="","",IFERROR(VLOOKUP($A393,物料档案!$A$4:$P$1203,6,0),""))</f>
        <v/>
      </c>
      <c r="G393" s="23" t="n"/>
      <c r="H393" s="32" t="n"/>
      <c r="I393" s="27">
        <f>IF($A393="","",SUMIFS(入库单!$K$4:$K$2503,入库单!$G$4:$G$2503,$A393,入库单!$X$4:$X$2503,"采购入库",入库单!$Z$4:$Z$2503,"正常",入库单!$C$4:$C$2503,"&gt;="&amp;账期起,入库单!$C$4:$C$2503,"&lt;="&amp;账期止))</f>
        <v/>
      </c>
      <c r="J393" s="26">
        <f>IF($A393="","",SUMIFS(入库单!$V$4:$V$2503,入库单!$G$4:$G$2503,$A393,入库单!$X$4:$X$2503,"采购入库",入库单!$Z$4:$Z$2503,"正常",入库单!$C$4:$C$2503,"&gt;="&amp;账期起,入库单!$C$4:$C$2503,"&lt;="&amp;账期止))</f>
        <v/>
      </c>
      <c r="K393" s="26">
        <f>IF($A393="","",IFERROR(ROUND((N($H393)+N($J393))/(N($G393)+N($I393)),2),0))</f>
        <v/>
      </c>
      <c r="L393" s="27">
        <f>IF($A393="","",SUMIFS(入库单!$K$4:$K$2503,入库单!$G$4:$G$2503,$A393,入库单!$X$4:$X$2503,"盘盈",入库单!$Z$4:$Z$2503,"正常",入库单!$C$4:$C$2503,"&gt;="&amp;账期起,入库单!$C$4:$C$2503,"&lt;="&amp;账期止))</f>
        <v/>
      </c>
      <c r="M393" s="26">
        <f>IF($A393="","",ROUND($L393*$K393,0))</f>
        <v/>
      </c>
      <c r="N393" s="27">
        <f>IF($A393="","",SUMIFS(入库单!$K$4:$K$2503,入库单!$G$4:$G$2503,$A393,入库单!$X$4:$X$2503,"矿区退库",入库单!$Z$4:$Z$2503,"正常",入库单!$C$4:$C$2503,"&gt;="&amp;账期起,入库单!$C$4:$C$2503,"&lt;="&amp;账期止))</f>
        <v/>
      </c>
      <c r="O393" s="26">
        <f>IF($A393="","",ROUND($N393*$K393,0))</f>
        <v/>
      </c>
      <c r="P393" s="27">
        <f>IF($A393="","",SUMIFS(出库单!$J$4:$J$4003,出库单!$D$4:$D$4003,$A393,出库单!$K$4:$K$4003,"自用消耗",出库单!$U$4:$U$4003,"正常",出库单!$C$4:$C$4003,"&gt;="&amp;账期起,出库单!$C$4:$C$4003,"&lt;="&amp;账期止))</f>
        <v/>
      </c>
      <c r="Q393" s="26">
        <f>IF($A393="","",ROUND(SUMIFS(出库单!$S$4:$S$4003,出库单!$D$4:$D$4003,$A393,出库单!$K$4:$K$4003,"自用消耗",出库单!$U$4:$U$4003,"正常",出库单!$C$4:$C$4003,"&gt;="&amp;账期起,出库单!$C$4:$C$4003,"&lt;="&amp;账期止),0))</f>
        <v/>
      </c>
      <c r="R393" s="27">
        <f>IF($A393="","",SUMIFS(出库单!$J$4:$J$4003,出库单!$D$4:$D$4003,$A393,出库单!$K$4:$K$4003,"对外销售",出库单!$U$4:$U$4003,"正常",出库单!$C$4:$C$4003,"&gt;="&amp;账期起,出库单!$C$4:$C$4003,"&lt;="&amp;账期止))</f>
        <v/>
      </c>
      <c r="S393" s="26">
        <f>IF($A393="","",ROUND(SUMIFS(出库单!$S$4:$S$4003,出库单!$D$4:$D$4003,$A393,出库单!$K$4:$K$4003,"对外销售",出库单!$U$4:$U$4003,"正常",出库单!$C$4:$C$4003,"&gt;="&amp;账期起,出库单!$C$4:$C$4003,"&lt;="&amp;账期止),0))</f>
        <v/>
      </c>
      <c r="T393" s="27">
        <f>IF($A393="","",SUMIFS(出库单!$J$4:$J$4003,出库单!$D$4:$D$4003,$A393,出库单!$K$4:$K$4003,"盘亏",出库单!$U$4:$U$4003,"正常",出库单!$C$4:$C$4003,"&gt;="&amp;账期起,出库单!$C$4:$C$4003,"&lt;="&amp;账期止))</f>
        <v/>
      </c>
      <c r="U393" s="26">
        <f>IF($A393="","",ROUND(SUMIFS(出库单!$S$4:$S$4003,出库单!$D$4:$D$4003,$A393,出库单!$K$4:$K$4003,"盘亏",出库单!$U$4:$U$4003,"正常",出库单!$C$4:$C$4003,"&gt;="&amp;账期起,出库单!$C$4:$C$4003,"&lt;="&amp;账期止),0))</f>
        <v/>
      </c>
      <c r="V393" s="27">
        <f>IF($A393="","",SUMIFS(出库单!$J$4:$J$4003,出库单!$D$4:$D$4003,$A393,出库单!$K$4:$K$4003,"退货给供应商",出库单!$U$4:$U$4003,"正常",出库单!$C$4:$C$4003,"&gt;="&amp;账期起,出库单!$C$4:$C$4003,"&lt;="&amp;账期止))</f>
        <v/>
      </c>
      <c r="W393" s="26">
        <f>IF($A393="","",ROUND(SUMIFS(出库单!$S$4:$S$4003,出库单!$D$4:$D$4003,$A393,出库单!$K$4:$K$4003,"退货给供应商",出库单!$U$4:$U$4003,"正常",出库单!$C$4:$C$4003,"&gt;="&amp;账期起,出库单!$C$4:$C$4003,"&lt;="&amp;账期止),0))</f>
        <v/>
      </c>
      <c r="X393" s="27">
        <f>IF($A393="","",ROUND(N($G393)+$I393+$L393+$N393-$P393-$R393-$T393-$V393,3))</f>
        <v/>
      </c>
      <c r="Y393" s="26">
        <f>IF($A393="","",ROUND(N($H393)+$J393+$M393+$O393-$Q393-$S393-$U393-$W393,0))</f>
        <v/>
      </c>
      <c r="Z393" s="24">
        <f>IF($A393="","",IF(COUNTIFS(入库单!$G$4:$G$2503,$A393,入库单!$Y$4:$Y$2503,"待补价")+COUNTIFS(入库单!$G$4:$G$2503,$A393,入库单!$Y$4:$Y$2503,"暂估")&gt;0,"不可信","可信"))</f>
        <v/>
      </c>
      <c r="AA393" s="24">
        <f>IF($A393="","",IF($X393&lt;-0.001,"※账面负库存，查一下是不是漏记入库",IF(AND(ROUND($X393,3)=0,ABS($Y393)&gt;1),"※数量已经是 0，金额还挂着 "&amp;TEXT($Y393,"#,##0")&amp;" 先令",IF(AND($X393&gt;0,$Y393&lt;=0,$K393=0),"※有数量没金额（这个物料一直没填过进价）",IF($Z393="不可信","△成本含待补价/暂估，毛利仅供参考","")))))</f>
        <v/>
      </c>
    </row>
    <row r="394">
      <c r="A394" s="24">
        <f>IF(物料档案!$A393="","",物料档案!$A393)</f>
        <v/>
      </c>
      <c r="B394" s="24">
        <f>IF($A394="","",IFERROR(VLOOKUP($A394,物料档案!$A$4:$P$1203,3,0),""))</f>
        <v/>
      </c>
      <c r="C394" s="24">
        <f>IF($A394="","",IFERROR(VLOOKUP($A394,物料档案!$A$4:$P$1203,4,0),""))</f>
        <v/>
      </c>
      <c r="D394" s="24">
        <f>IF($A394="","",IFERROR(VLOOKUP($A394,物料档案!$A$4:$P$1203,5,0),""))</f>
        <v/>
      </c>
      <c r="E394" s="24">
        <f>IF($A394="","",IFERROR(VLOOKUP($A394,物料档案!$A$4:$P$1203,2,0),""))</f>
        <v/>
      </c>
      <c r="F394" s="24">
        <f>IF($A394="","",IFERROR(VLOOKUP($A394,物料档案!$A$4:$P$1203,6,0),""))</f>
        <v/>
      </c>
      <c r="G394" s="23" t="n"/>
      <c r="H394" s="32" t="n"/>
      <c r="I394" s="27">
        <f>IF($A394="","",SUMIFS(入库单!$K$4:$K$2503,入库单!$G$4:$G$2503,$A394,入库单!$X$4:$X$2503,"采购入库",入库单!$Z$4:$Z$2503,"正常",入库单!$C$4:$C$2503,"&gt;="&amp;账期起,入库单!$C$4:$C$2503,"&lt;="&amp;账期止))</f>
        <v/>
      </c>
      <c r="J394" s="26">
        <f>IF($A394="","",SUMIFS(入库单!$V$4:$V$2503,入库单!$G$4:$G$2503,$A394,入库单!$X$4:$X$2503,"采购入库",入库单!$Z$4:$Z$2503,"正常",入库单!$C$4:$C$2503,"&gt;="&amp;账期起,入库单!$C$4:$C$2503,"&lt;="&amp;账期止))</f>
        <v/>
      </c>
      <c r="K394" s="26">
        <f>IF($A394="","",IFERROR(ROUND((N($H394)+N($J394))/(N($G394)+N($I394)),2),0))</f>
        <v/>
      </c>
      <c r="L394" s="27">
        <f>IF($A394="","",SUMIFS(入库单!$K$4:$K$2503,入库单!$G$4:$G$2503,$A394,入库单!$X$4:$X$2503,"盘盈",入库单!$Z$4:$Z$2503,"正常",入库单!$C$4:$C$2503,"&gt;="&amp;账期起,入库单!$C$4:$C$2503,"&lt;="&amp;账期止))</f>
        <v/>
      </c>
      <c r="M394" s="26">
        <f>IF($A394="","",ROUND($L394*$K394,0))</f>
        <v/>
      </c>
      <c r="N394" s="27">
        <f>IF($A394="","",SUMIFS(入库单!$K$4:$K$2503,入库单!$G$4:$G$2503,$A394,入库单!$X$4:$X$2503,"矿区退库",入库单!$Z$4:$Z$2503,"正常",入库单!$C$4:$C$2503,"&gt;="&amp;账期起,入库单!$C$4:$C$2503,"&lt;="&amp;账期止))</f>
        <v/>
      </c>
      <c r="O394" s="26">
        <f>IF($A394="","",ROUND($N394*$K394,0))</f>
        <v/>
      </c>
      <c r="P394" s="27">
        <f>IF($A394="","",SUMIFS(出库单!$J$4:$J$4003,出库单!$D$4:$D$4003,$A394,出库单!$K$4:$K$4003,"自用消耗",出库单!$U$4:$U$4003,"正常",出库单!$C$4:$C$4003,"&gt;="&amp;账期起,出库单!$C$4:$C$4003,"&lt;="&amp;账期止))</f>
        <v/>
      </c>
      <c r="Q394" s="26">
        <f>IF($A394="","",ROUND(SUMIFS(出库单!$S$4:$S$4003,出库单!$D$4:$D$4003,$A394,出库单!$K$4:$K$4003,"自用消耗",出库单!$U$4:$U$4003,"正常",出库单!$C$4:$C$4003,"&gt;="&amp;账期起,出库单!$C$4:$C$4003,"&lt;="&amp;账期止),0))</f>
        <v/>
      </c>
      <c r="R394" s="27">
        <f>IF($A394="","",SUMIFS(出库单!$J$4:$J$4003,出库单!$D$4:$D$4003,$A394,出库单!$K$4:$K$4003,"对外销售",出库单!$U$4:$U$4003,"正常",出库单!$C$4:$C$4003,"&gt;="&amp;账期起,出库单!$C$4:$C$4003,"&lt;="&amp;账期止))</f>
        <v/>
      </c>
      <c r="S394" s="26">
        <f>IF($A394="","",ROUND(SUMIFS(出库单!$S$4:$S$4003,出库单!$D$4:$D$4003,$A394,出库单!$K$4:$K$4003,"对外销售",出库单!$U$4:$U$4003,"正常",出库单!$C$4:$C$4003,"&gt;="&amp;账期起,出库单!$C$4:$C$4003,"&lt;="&amp;账期止),0))</f>
        <v/>
      </c>
      <c r="T394" s="27">
        <f>IF($A394="","",SUMIFS(出库单!$J$4:$J$4003,出库单!$D$4:$D$4003,$A394,出库单!$K$4:$K$4003,"盘亏",出库单!$U$4:$U$4003,"正常",出库单!$C$4:$C$4003,"&gt;="&amp;账期起,出库单!$C$4:$C$4003,"&lt;="&amp;账期止))</f>
        <v/>
      </c>
      <c r="U394" s="26">
        <f>IF($A394="","",ROUND(SUMIFS(出库单!$S$4:$S$4003,出库单!$D$4:$D$4003,$A394,出库单!$K$4:$K$4003,"盘亏",出库单!$U$4:$U$4003,"正常",出库单!$C$4:$C$4003,"&gt;="&amp;账期起,出库单!$C$4:$C$4003,"&lt;="&amp;账期止),0))</f>
        <v/>
      </c>
      <c r="V394" s="27">
        <f>IF($A394="","",SUMIFS(出库单!$J$4:$J$4003,出库单!$D$4:$D$4003,$A394,出库单!$K$4:$K$4003,"退货给供应商",出库单!$U$4:$U$4003,"正常",出库单!$C$4:$C$4003,"&gt;="&amp;账期起,出库单!$C$4:$C$4003,"&lt;="&amp;账期止))</f>
        <v/>
      </c>
      <c r="W394" s="26">
        <f>IF($A394="","",ROUND(SUMIFS(出库单!$S$4:$S$4003,出库单!$D$4:$D$4003,$A394,出库单!$K$4:$K$4003,"退货给供应商",出库单!$U$4:$U$4003,"正常",出库单!$C$4:$C$4003,"&gt;="&amp;账期起,出库单!$C$4:$C$4003,"&lt;="&amp;账期止),0))</f>
        <v/>
      </c>
      <c r="X394" s="27">
        <f>IF($A394="","",ROUND(N($G394)+$I394+$L394+$N394-$P394-$R394-$T394-$V394,3))</f>
        <v/>
      </c>
      <c r="Y394" s="26">
        <f>IF($A394="","",ROUND(N($H394)+$J394+$M394+$O394-$Q394-$S394-$U394-$W394,0))</f>
        <v/>
      </c>
      <c r="Z394" s="24">
        <f>IF($A394="","",IF(COUNTIFS(入库单!$G$4:$G$2503,$A394,入库单!$Y$4:$Y$2503,"待补价")+COUNTIFS(入库单!$G$4:$G$2503,$A394,入库单!$Y$4:$Y$2503,"暂估")&gt;0,"不可信","可信"))</f>
        <v/>
      </c>
      <c r="AA394" s="24">
        <f>IF($A394="","",IF($X394&lt;-0.001,"※账面负库存，查一下是不是漏记入库",IF(AND(ROUND($X394,3)=0,ABS($Y394)&gt;1),"※数量已经是 0，金额还挂着 "&amp;TEXT($Y394,"#,##0")&amp;" 先令",IF(AND($X394&gt;0,$Y394&lt;=0,$K394=0),"※有数量没金额（这个物料一直没填过进价）",IF($Z394="不可信","△成本含待补价/暂估，毛利仅供参考","")))))</f>
        <v/>
      </c>
    </row>
    <row r="395">
      <c r="A395" s="24">
        <f>IF(物料档案!$A394="","",物料档案!$A394)</f>
        <v/>
      </c>
      <c r="B395" s="24">
        <f>IF($A395="","",IFERROR(VLOOKUP($A395,物料档案!$A$4:$P$1203,3,0),""))</f>
        <v/>
      </c>
      <c r="C395" s="24">
        <f>IF($A395="","",IFERROR(VLOOKUP($A395,物料档案!$A$4:$P$1203,4,0),""))</f>
        <v/>
      </c>
      <c r="D395" s="24">
        <f>IF($A395="","",IFERROR(VLOOKUP($A395,物料档案!$A$4:$P$1203,5,0),""))</f>
        <v/>
      </c>
      <c r="E395" s="24">
        <f>IF($A395="","",IFERROR(VLOOKUP($A395,物料档案!$A$4:$P$1203,2,0),""))</f>
        <v/>
      </c>
      <c r="F395" s="24">
        <f>IF($A395="","",IFERROR(VLOOKUP($A395,物料档案!$A$4:$P$1203,6,0),""))</f>
        <v/>
      </c>
      <c r="G395" s="23" t="n"/>
      <c r="H395" s="32" t="n"/>
      <c r="I395" s="27">
        <f>IF($A395="","",SUMIFS(入库单!$K$4:$K$2503,入库单!$G$4:$G$2503,$A395,入库单!$X$4:$X$2503,"采购入库",入库单!$Z$4:$Z$2503,"正常",入库单!$C$4:$C$2503,"&gt;="&amp;账期起,入库单!$C$4:$C$2503,"&lt;="&amp;账期止))</f>
        <v/>
      </c>
      <c r="J395" s="26">
        <f>IF($A395="","",SUMIFS(入库单!$V$4:$V$2503,入库单!$G$4:$G$2503,$A395,入库单!$X$4:$X$2503,"采购入库",入库单!$Z$4:$Z$2503,"正常",入库单!$C$4:$C$2503,"&gt;="&amp;账期起,入库单!$C$4:$C$2503,"&lt;="&amp;账期止))</f>
        <v/>
      </c>
      <c r="K395" s="26">
        <f>IF($A395="","",IFERROR(ROUND((N($H395)+N($J395))/(N($G395)+N($I395)),2),0))</f>
        <v/>
      </c>
      <c r="L395" s="27">
        <f>IF($A395="","",SUMIFS(入库单!$K$4:$K$2503,入库单!$G$4:$G$2503,$A395,入库单!$X$4:$X$2503,"盘盈",入库单!$Z$4:$Z$2503,"正常",入库单!$C$4:$C$2503,"&gt;="&amp;账期起,入库单!$C$4:$C$2503,"&lt;="&amp;账期止))</f>
        <v/>
      </c>
      <c r="M395" s="26">
        <f>IF($A395="","",ROUND($L395*$K395,0))</f>
        <v/>
      </c>
      <c r="N395" s="27">
        <f>IF($A395="","",SUMIFS(入库单!$K$4:$K$2503,入库单!$G$4:$G$2503,$A395,入库单!$X$4:$X$2503,"矿区退库",入库单!$Z$4:$Z$2503,"正常",入库单!$C$4:$C$2503,"&gt;="&amp;账期起,入库单!$C$4:$C$2503,"&lt;="&amp;账期止))</f>
        <v/>
      </c>
      <c r="O395" s="26">
        <f>IF($A395="","",ROUND($N395*$K395,0))</f>
        <v/>
      </c>
      <c r="P395" s="27">
        <f>IF($A395="","",SUMIFS(出库单!$J$4:$J$4003,出库单!$D$4:$D$4003,$A395,出库单!$K$4:$K$4003,"自用消耗",出库单!$U$4:$U$4003,"正常",出库单!$C$4:$C$4003,"&gt;="&amp;账期起,出库单!$C$4:$C$4003,"&lt;="&amp;账期止))</f>
        <v/>
      </c>
      <c r="Q395" s="26">
        <f>IF($A395="","",ROUND(SUMIFS(出库单!$S$4:$S$4003,出库单!$D$4:$D$4003,$A395,出库单!$K$4:$K$4003,"自用消耗",出库单!$U$4:$U$4003,"正常",出库单!$C$4:$C$4003,"&gt;="&amp;账期起,出库单!$C$4:$C$4003,"&lt;="&amp;账期止),0))</f>
        <v/>
      </c>
      <c r="R395" s="27">
        <f>IF($A395="","",SUMIFS(出库单!$J$4:$J$4003,出库单!$D$4:$D$4003,$A395,出库单!$K$4:$K$4003,"对外销售",出库单!$U$4:$U$4003,"正常",出库单!$C$4:$C$4003,"&gt;="&amp;账期起,出库单!$C$4:$C$4003,"&lt;="&amp;账期止))</f>
        <v/>
      </c>
      <c r="S395" s="26">
        <f>IF($A395="","",ROUND(SUMIFS(出库单!$S$4:$S$4003,出库单!$D$4:$D$4003,$A395,出库单!$K$4:$K$4003,"对外销售",出库单!$U$4:$U$4003,"正常",出库单!$C$4:$C$4003,"&gt;="&amp;账期起,出库单!$C$4:$C$4003,"&lt;="&amp;账期止),0))</f>
        <v/>
      </c>
      <c r="T395" s="27">
        <f>IF($A395="","",SUMIFS(出库单!$J$4:$J$4003,出库单!$D$4:$D$4003,$A395,出库单!$K$4:$K$4003,"盘亏",出库单!$U$4:$U$4003,"正常",出库单!$C$4:$C$4003,"&gt;="&amp;账期起,出库单!$C$4:$C$4003,"&lt;="&amp;账期止))</f>
        <v/>
      </c>
      <c r="U395" s="26">
        <f>IF($A395="","",ROUND(SUMIFS(出库单!$S$4:$S$4003,出库单!$D$4:$D$4003,$A395,出库单!$K$4:$K$4003,"盘亏",出库单!$U$4:$U$4003,"正常",出库单!$C$4:$C$4003,"&gt;="&amp;账期起,出库单!$C$4:$C$4003,"&lt;="&amp;账期止),0))</f>
        <v/>
      </c>
      <c r="V395" s="27">
        <f>IF($A395="","",SUMIFS(出库单!$J$4:$J$4003,出库单!$D$4:$D$4003,$A395,出库单!$K$4:$K$4003,"退货给供应商",出库单!$U$4:$U$4003,"正常",出库单!$C$4:$C$4003,"&gt;="&amp;账期起,出库单!$C$4:$C$4003,"&lt;="&amp;账期止))</f>
        <v/>
      </c>
      <c r="W395" s="26">
        <f>IF($A395="","",ROUND(SUMIFS(出库单!$S$4:$S$4003,出库单!$D$4:$D$4003,$A395,出库单!$K$4:$K$4003,"退货给供应商",出库单!$U$4:$U$4003,"正常",出库单!$C$4:$C$4003,"&gt;="&amp;账期起,出库单!$C$4:$C$4003,"&lt;="&amp;账期止),0))</f>
        <v/>
      </c>
      <c r="X395" s="27">
        <f>IF($A395="","",ROUND(N($G395)+$I395+$L395+$N395-$P395-$R395-$T395-$V395,3))</f>
        <v/>
      </c>
      <c r="Y395" s="26">
        <f>IF($A395="","",ROUND(N($H395)+$J395+$M395+$O395-$Q395-$S395-$U395-$W395,0))</f>
        <v/>
      </c>
      <c r="Z395" s="24">
        <f>IF($A395="","",IF(COUNTIFS(入库单!$G$4:$G$2503,$A395,入库单!$Y$4:$Y$2503,"待补价")+COUNTIFS(入库单!$G$4:$G$2503,$A395,入库单!$Y$4:$Y$2503,"暂估")&gt;0,"不可信","可信"))</f>
        <v/>
      </c>
      <c r="AA395" s="24">
        <f>IF($A395="","",IF($X395&lt;-0.001,"※账面负库存，查一下是不是漏记入库",IF(AND(ROUND($X395,3)=0,ABS($Y395)&gt;1),"※数量已经是 0，金额还挂着 "&amp;TEXT($Y395,"#,##0")&amp;" 先令",IF(AND($X395&gt;0,$Y395&lt;=0,$K395=0),"※有数量没金额（这个物料一直没填过进价）",IF($Z395="不可信","△成本含待补价/暂估，毛利仅供参考","")))))</f>
        <v/>
      </c>
    </row>
    <row r="396">
      <c r="A396" s="24">
        <f>IF(物料档案!$A395="","",物料档案!$A395)</f>
        <v/>
      </c>
      <c r="B396" s="24">
        <f>IF($A396="","",IFERROR(VLOOKUP($A396,物料档案!$A$4:$P$1203,3,0),""))</f>
        <v/>
      </c>
      <c r="C396" s="24">
        <f>IF($A396="","",IFERROR(VLOOKUP($A396,物料档案!$A$4:$P$1203,4,0),""))</f>
        <v/>
      </c>
      <c r="D396" s="24">
        <f>IF($A396="","",IFERROR(VLOOKUP($A396,物料档案!$A$4:$P$1203,5,0),""))</f>
        <v/>
      </c>
      <c r="E396" s="24">
        <f>IF($A396="","",IFERROR(VLOOKUP($A396,物料档案!$A$4:$P$1203,2,0),""))</f>
        <v/>
      </c>
      <c r="F396" s="24">
        <f>IF($A396="","",IFERROR(VLOOKUP($A396,物料档案!$A$4:$P$1203,6,0),""))</f>
        <v/>
      </c>
      <c r="G396" s="23" t="n"/>
      <c r="H396" s="32" t="n"/>
      <c r="I396" s="27">
        <f>IF($A396="","",SUMIFS(入库单!$K$4:$K$2503,入库单!$G$4:$G$2503,$A396,入库单!$X$4:$X$2503,"采购入库",入库单!$Z$4:$Z$2503,"正常",入库单!$C$4:$C$2503,"&gt;="&amp;账期起,入库单!$C$4:$C$2503,"&lt;="&amp;账期止))</f>
        <v/>
      </c>
      <c r="J396" s="26">
        <f>IF($A396="","",SUMIFS(入库单!$V$4:$V$2503,入库单!$G$4:$G$2503,$A396,入库单!$X$4:$X$2503,"采购入库",入库单!$Z$4:$Z$2503,"正常",入库单!$C$4:$C$2503,"&gt;="&amp;账期起,入库单!$C$4:$C$2503,"&lt;="&amp;账期止))</f>
        <v/>
      </c>
      <c r="K396" s="26">
        <f>IF($A396="","",IFERROR(ROUND((N($H396)+N($J396))/(N($G396)+N($I396)),2),0))</f>
        <v/>
      </c>
      <c r="L396" s="27">
        <f>IF($A396="","",SUMIFS(入库单!$K$4:$K$2503,入库单!$G$4:$G$2503,$A396,入库单!$X$4:$X$2503,"盘盈",入库单!$Z$4:$Z$2503,"正常",入库单!$C$4:$C$2503,"&gt;="&amp;账期起,入库单!$C$4:$C$2503,"&lt;="&amp;账期止))</f>
        <v/>
      </c>
      <c r="M396" s="26">
        <f>IF($A396="","",ROUND($L396*$K396,0))</f>
        <v/>
      </c>
      <c r="N396" s="27">
        <f>IF($A396="","",SUMIFS(入库单!$K$4:$K$2503,入库单!$G$4:$G$2503,$A396,入库单!$X$4:$X$2503,"矿区退库",入库单!$Z$4:$Z$2503,"正常",入库单!$C$4:$C$2503,"&gt;="&amp;账期起,入库单!$C$4:$C$2503,"&lt;="&amp;账期止))</f>
        <v/>
      </c>
      <c r="O396" s="26">
        <f>IF($A396="","",ROUND($N396*$K396,0))</f>
        <v/>
      </c>
      <c r="P396" s="27">
        <f>IF($A396="","",SUMIFS(出库单!$J$4:$J$4003,出库单!$D$4:$D$4003,$A396,出库单!$K$4:$K$4003,"自用消耗",出库单!$U$4:$U$4003,"正常",出库单!$C$4:$C$4003,"&gt;="&amp;账期起,出库单!$C$4:$C$4003,"&lt;="&amp;账期止))</f>
        <v/>
      </c>
      <c r="Q396" s="26">
        <f>IF($A396="","",ROUND(SUMIFS(出库单!$S$4:$S$4003,出库单!$D$4:$D$4003,$A396,出库单!$K$4:$K$4003,"自用消耗",出库单!$U$4:$U$4003,"正常",出库单!$C$4:$C$4003,"&gt;="&amp;账期起,出库单!$C$4:$C$4003,"&lt;="&amp;账期止),0))</f>
        <v/>
      </c>
      <c r="R396" s="27">
        <f>IF($A396="","",SUMIFS(出库单!$J$4:$J$4003,出库单!$D$4:$D$4003,$A396,出库单!$K$4:$K$4003,"对外销售",出库单!$U$4:$U$4003,"正常",出库单!$C$4:$C$4003,"&gt;="&amp;账期起,出库单!$C$4:$C$4003,"&lt;="&amp;账期止))</f>
        <v/>
      </c>
      <c r="S396" s="26">
        <f>IF($A396="","",ROUND(SUMIFS(出库单!$S$4:$S$4003,出库单!$D$4:$D$4003,$A396,出库单!$K$4:$K$4003,"对外销售",出库单!$U$4:$U$4003,"正常",出库单!$C$4:$C$4003,"&gt;="&amp;账期起,出库单!$C$4:$C$4003,"&lt;="&amp;账期止),0))</f>
        <v/>
      </c>
      <c r="T396" s="27">
        <f>IF($A396="","",SUMIFS(出库单!$J$4:$J$4003,出库单!$D$4:$D$4003,$A396,出库单!$K$4:$K$4003,"盘亏",出库单!$U$4:$U$4003,"正常",出库单!$C$4:$C$4003,"&gt;="&amp;账期起,出库单!$C$4:$C$4003,"&lt;="&amp;账期止))</f>
        <v/>
      </c>
      <c r="U396" s="26">
        <f>IF($A396="","",ROUND(SUMIFS(出库单!$S$4:$S$4003,出库单!$D$4:$D$4003,$A396,出库单!$K$4:$K$4003,"盘亏",出库单!$U$4:$U$4003,"正常",出库单!$C$4:$C$4003,"&gt;="&amp;账期起,出库单!$C$4:$C$4003,"&lt;="&amp;账期止),0))</f>
        <v/>
      </c>
      <c r="V396" s="27">
        <f>IF($A396="","",SUMIFS(出库单!$J$4:$J$4003,出库单!$D$4:$D$4003,$A396,出库单!$K$4:$K$4003,"退货给供应商",出库单!$U$4:$U$4003,"正常",出库单!$C$4:$C$4003,"&gt;="&amp;账期起,出库单!$C$4:$C$4003,"&lt;="&amp;账期止))</f>
        <v/>
      </c>
      <c r="W396" s="26">
        <f>IF($A396="","",ROUND(SUMIFS(出库单!$S$4:$S$4003,出库单!$D$4:$D$4003,$A396,出库单!$K$4:$K$4003,"退货给供应商",出库单!$U$4:$U$4003,"正常",出库单!$C$4:$C$4003,"&gt;="&amp;账期起,出库单!$C$4:$C$4003,"&lt;="&amp;账期止),0))</f>
        <v/>
      </c>
      <c r="X396" s="27">
        <f>IF($A396="","",ROUND(N($G396)+$I396+$L396+$N396-$P396-$R396-$T396-$V396,3))</f>
        <v/>
      </c>
      <c r="Y396" s="26">
        <f>IF($A396="","",ROUND(N($H396)+$J396+$M396+$O396-$Q396-$S396-$U396-$W396,0))</f>
        <v/>
      </c>
      <c r="Z396" s="24">
        <f>IF($A396="","",IF(COUNTIFS(入库单!$G$4:$G$2503,$A396,入库单!$Y$4:$Y$2503,"待补价")+COUNTIFS(入库单!$G$4:$G$2503,$A396,入库单!$Y$4:$Y$2503,"暂估")&gt;0,"不可信","可信"))</f>
        <v/>
      </c>
      <c r="AA396" s="24">
        <f>IF($A396="","",IF($X396&lt;-0.001,"※账面负库存，查一下是不是漏记入库",IF(AND(ROUND($X396,3)=0,ABS($Y396)&gt;1),"※数量已经是 0，金额还挂着 "&amp;TEXT($Y396,"#,##0")&amp;" 先令",IF(AND($X396&gt;0,$Y396&lt;=0,$K396=0),"※有数量没金额（这个物料一直没填过进价）",IF($Z396="不可信","△成本含待补价/暂估，毛利仅供参考","")))))</f>
        <v/>
      </c>
    </row>
    <row r="397">
      <c r="A397" s="24">
        <f>IF(物料档案!$A396="","",物料档案!$A396)</f>
        <v/>
      </c>
      <c r="B397" s="24">
        <f>IF($A397="","",IFERROR(VLOOKUP($A397,物料档案!$A$4:$P$1203,3,0),""))</f>
        <v/>
      </c>
      <c r="C397" s="24">
        <f>IF($A397="","",IFERROR(VLOOKUP($A397,物料档案!$A$4:$P$1203,4,0),""))</f>
        <v/>
      </c>
      <c r="D397" s="24">
        <f>IF($A397="","",IFERROR(VLOOKUP($A397,物料档案!$A$4:$P$1203,5,0),""))</f>
        <v/>
      </c>
      <c r="E397" s="24">
        <f>IF($A397="","",IFERROR(VLOOKUP($A397,物料档案!$A$4:$P$1203,2,0),""))</f>
        <v/>
      </c>
      <c r="F397" s="24">
        <f>IF($A397="","",IFERROR(VLOOKUP($A397,物料档案!$A$4:$P$1203,6,0),""))</f>
        <v/>
      </c>
      <c r="G397" s="23" t="n"/>
      <c r="H397" s="32" t="n"/>
      <c r="I397" s="27">
        <f>IF($A397="","",SUMIFS(入库单!$K$4:$K$2503,入库单!$G$4:$G$2503,$A397,入库单!$X$4:$X$2503,"采购入库",入库单!$Z$4:$Z$2503,"正常",入库单!$C$4:$C$2503,"&gt;="&amp;账期起,入库单!$C$4:$C$2503,"&lt;="&amp;账期止))</f>
        <v/>
      </c>
      <c r="J397" s="26">
        <f>IF($A397="","",SUMIFS(入库单!$V$4:$V$2503,入库单!$G$4:$G$2503,$A397,入库单!$X$4:$X$2503,"采购入库",入库单!$Z$4:$Z$2503,"正常",入库单!$C$4:$C$2503,"&gt;="&amp;账期起,入库单!$C$4:$C$2503,"&lt;="&amp;账期止))</f>
        <v/>
      </c>
      <c r="K397" s="26">
        <f>IF($A397="","",IFERROR(ROUND((N($H397)+N($J397))/(N($G397)+N($I397)),2),0))</f>
        <v/>
      </c>
      <c r="L397" s="27">
        <f>IF($A397="","",SUMIFS(入库单!$K$4:$K$2503,入库单!$G$4:$G$2503,$A397,入库单!$X$4:$X$2503,"盘盈",入库单!$Z$4:$Z$2503,"正常",入库单!$C$4:$C$2503,"&gt;="&amp;账期起,入库单!$C$4:$C$2503,"&lt;="&amp;账期止))</f>
        <v/>
      </c>
      <c r="M397" s="26">
        <f>IF($A397="","",ROUND($L397*$K397,0))</f>
        <v/>
      </c>
      <c r="N397" s="27">
        <f>IF($A397="","",SUMIFS(入库单!$K$4:$K$2503,入库单!$G$4:$G$2503,$A397,入库单!$X$4:$X$2503,"矿区退库",入库单!$Z$4:$Z$2503,"正常",入库单!$C$4:$C$2503,"&gt;="&amp;账期起,入库单!$C$4:$C$2503,"&lt;="&amp;账期止))</f>
        <v/>
      </c>
      <c r="O397" s="26">
        <f>IF($A397="","",ROUND($N397*$K397,0))</f>
        <v/>
      </c>
      <c r="P397" s="27">
        <f>IF($A397="","",SUMIFS(出库单!$J$4:$J$4003,出库单!$D$4:$D$4003,$A397,出库单!$K$4:$K$4003,"自用消耗",出库单!$U$4:$U$4003,"正常",出库单!$C$4:$C$4003,"&gt;="&amp;账期起,出库单!$C$4:$C$4003,"&lt;="&amp;账期止))</f>
        <v/>
      </c>
      <c r="Q397" s="26">
        <f>IF($A397="","",ROUND(SUMIFS(出库单!$S$4:$S$4003,出库单!$D$4:$D$4003,$A397,出库单!$K$4:$K$4003,"自用消耗",出库单!$U$4:$U$4003,"正常",出库单!$C$4:$C$4003,"&gt;="&amp;账期起,出库单!$C$4:$C$4003,"&lt;="&amp;账期止),0))</f>
        <v/>
      </c>
      <c r="R397" s="27">
        <f>IF($A397="","",SUMIFS(出库单!$J$4:$J$4003,出库单!$D$4:$D$4003,$A397,出库单!$K$4:$K$4003,"对外销售",出库单!$U$4:$U$4003,"正常",出库单!$C$4:$C$4003,"&gt;="&amp;账期起,出库单!$C$4:$C$4003,"&lt;="&amp;账期止))</f>
        <v/>
      </c>
      <c r="S397" s="26">
        <f>IF($A397="","",ROUND(SUMIFS(出库单!$S$4:$S$4003,出库单!$D$4:$D$4003,$A397,出库单!$K$4:$K$4003,"对外销售",出库单!$U$4:$U$4003,"正常",出库单!$C$4:$C$4003,"&gt;="&amp;账期起,出库单!$C$4:$C$4003,"&lt;="&amp;账期止),0))</f>
        <v/>
      </c>
      <c r="T397" s="27">
        <f>IF($A397="","",SUMIFS(出库单!$J$4:$J$4003,出库单!$D$4:$D$4003,$A397,出库单!$K$4:$K$4003,"盘亏",出库单!$U$4:$U$4003,"正常",出库单!$C$4:$C$4003,"&gt;="&amp;账期起,出库单!$C$4:$C$4003,"&lt;="&amp;账期止))</f>
        <v/>
      </c>
      <c r="U397" s="26">
        <f>IF($A397="","",ROUND(SUMIFS(出库单!$S$4:$S$4003,出库单!$D$4:$D$4003,$A397,出库单!$K$4:$K$4003,"盘亏",出库单!$U$4:$U$4003,"正常",出库单!$C$4:$C$4003,"&gt;="&amp;账期起,出库单!$C$4:$C$4003,"&lt;="&amp;账期止),0))</f>
        <v/>
      </c>
      <c r="V397" s="27">
        <f>IF($A397="","",SUMIFS(出库单!$J$4:$J$4003,出库单!$D$4:$D$4003,$A397,出库单!$K$4:$K$4003,"退货给供应商",出库单!$U$4:$U$4003,"正常",出库单!$C$4:$C$4003,"&gt;="&amp;账期起,出库单!$C$4:$C$4003,"&lt;="&amp;账期止))</f>
        <v/>
      </c>
      <c r="W397" s="26">
        <f>IF($A397="","",ROUND(SUMIFS(出库单!$S$4:$S$4003,出库单!$D$4:$D$4003,$A397,出库单!$K$4:$K$4003,"退货给供应商",出库单!$U$4:$U$4003,"正常",出库单!$C$4:$C$4003,"&gt;="&amp;账期起,出库单!$C$4:$C$4003,"&lt;="&amp;账期止),0))</f>
        <v/>
      </c>
      <c r="X397" s="27">
        <f>IF($A397="","",ROUND(N($G397)+$I397+$L397+$N397-$P397-$R397-$T397-$V397,3))</f>
        <v/>
      </c>
      <c r="Y397" s="26">
        <f>IF($A397="","",ROUND(N($H397)+$J397+$M397+$O397-$Q397-$S397-$U397-$W397,0))</f>
        <v/>
      </c>
      <c r="Z397" s="24">
        <f>IF($A397="","",IF(COUNTIFS(入库单!$G$4:$G$2503,$A397,入库单!$Y$4:$Y$2503,"待补价")+COUNTIFS(入库单!$G$4:$G$2503,$A397,入库单!$Y$4:$Y$2503,"暂估")&gt;0,"不可信","可信"))</f>
        <v/>
      </c>
      <c r="AA397" s="24">
        <f>IF($A397="","",IF($X397&lt;-0.001,"※账面负库存，查一下是不是漏记入库",IF(AND(ROUND($X397,3)=0,ABS($Y397)&gt;1),"※数量已经是 0，金额还挂着 "&amp;TEXT($Y397,"#,##0")&amp;" 先令",IF(AND($X397&gt;0,$Y397&lt;=0,$K397=0),"※有数量没金额（这个物料一直没填过进价）",IF($Z397="不可信","△成本含待补价/暂估，毛利仅供参考","")))))</f>
        <v/>
      </c>
    </row>
    <row r="398">
      <c r="A398" s="24">
        <f>IF(物料档案!$A397="","",物料档案!$A397)</f>
        <v/>
      </c>
      <c r="B398" s="24">
        <f>IF($A398="","",IFERROR(VLOOKUP($A398,物料档案!$A$4:$P$1203,3,0),""))</f>
        <v/>
      </c>
      <c r="C398" s="24">
        <f>IF($A398="","",IFERROR(VLOOKUP($A398,物料档案!$A$4:$P$1203,4,0),""))</f>
        <v/>
      </c>
      <c r="D398" s="24">
        <f>IF($A398="","",IFERROR(VLOOKUP($A398,物料档案!$A$4:$P$1203,5,0),""))</f>
        <v/>
      </c>
      <c r="E398" s="24">
        <f>IF($A398="","",IFERROR(VLOOKUP($A398,物料档案!$A$4:$P$1203,2,0),""))</f>
        <v/>
      </c>
      <c r="F398" s="24">
        <f>IF($A398="","",IFERROR(VLOOKUP($A398,物料档案!$A$4:$P$1203,6,0),""))</f>
        <v/>
      </c>
      <c r="G398" s="23" t="n"/>
      <c r="H398" s="32" t="n"/>
      <c r="I398" s="27">
        <f>IF($A398="","",SUMIFS(入库单!$K$4:$K$2503,入库单!$G$4:$G$2503,$A398,入库单!$X$4:$X$2503,"采购入库",入库单!$Z$4:$Z$2503,"正常",入库单!$C$4:$C$2503,"&gt;="&amp;账期起,入库单!$C$4:$C$2503,"&lt;="&amp;账期止))</f>
        <v/>
      </c>
      <c r="J398" s="26">
        <f>IF($A398="","",SUMIFS(入库单!$V$4:$V$2503,入库单!$G$4:$G$2503,$A398,入库单!$X$4:$X$2503,"采购入库",入库单!$Z$4:$Z$2503,"正常",入库单!$C$4:$C$2503,"&gt;="&amp;账期起,入库单!$C$4:$C$2503,"&lt;="&amp;账期止))</f>
        <v/>
      </c>
      <c r="K398" s="26">
        <f>IF($A398="","",IFERROR(ROUND((N($H398)+N($J398))/(N($G398)+N($I398)),2),0))</f>
        <v/>
      </c>
      <c r="L398" s="27">
        <f>IF($A398="","",SUMIFS(入库单!$K$4:$K$2503,入库单!$G$4:$G$2503,$A398,入库单!$X$4:$X$2503,"盘盈",入库单!$Z$4:$Z$2503,"正常",入库单!$C$4:$C$2503,"&gt;="&amp;账期起,入库单!$C$4:$C$2503,"&lt;="&amp;账期止))</f>
        <v/>
      </c>
      <c r="M398" s="26">
        <f>IF($A398="","",ROUND($L398*$K398,0))</f>
        <v/>
      </c>
      <c r="N398" s="27">
        <f>IF($A398="","",SUMIFS(入库单!$K$4:$K$2503,入库单!$G$4:$G$2503,$A398,入库单!$X$4:$X$2503,"矿区退库",入库单!$Z$4:$Z$2503,"正常",入库单!$C$4:$C$2503,"&gt;="&amp;账期起,入库单!$C$4:$C$2503,"&lt;="&amp;账期止))</f>
        <v/>
      </c>
      <c r="O398" s="26">
        <f>IF($A398="","",ROUND($N398*$K398,0))</f>
        <v/>
      </c>
      <c r="P398" s="27">
        <f>IF($A398="","",SUMIFS(出库单!$J$4:$J$4003,出库单!$D$4:$D$4003,$A398,出库单!$K$4:$K$4003,"自用消耗",出库单!$U$4:$U$4003,"正常",出库单!$C$4:$C$4003,"&gt;="&amp;账期起,出库单!$C$4:$C$4003,"&lt;="&amp;账期止))</f>
        <v/>
      </c>
      <c r="Q398" s="26">
        <f>IF($A398="","",ROUND(SUMIFS(出库单!$S$4:$S$4003,出库单!$D$4:$D$4003,$A398,出库单!$K$4:$K$4003,"自用消耗",出库单!$U$4:$U$4003,"正常",出库单!$C$4:$C$4003,"&gt;="&amp;账期起,出库单!$C$4:$C$4003,"&lt;="&amp;账期止),0))</f>
        <v/>
      </c>
      <c r="R398" s="27">
        <f>IF($A398="","",SUMIFS(出库单!$J$4:$J$4003,出库单!$D$4:$D$4003,$A398,出库单!$K$4:$K$4003,"对外销售",出库单!$U$4:$U$4003,"正常",出库单!$C$4:$C$4003,"&gt;="&amp;账期起,出库单!$C$4:$C$4003,"&lt;="&amp;账期止))</f>
        <v/>
      </c>
      <c r="S398" s="26">
        <f>IF($A398="","",ROUND(SUMIFS(出库单!$S$4:$S$4003,出库单!$D$4:$D$4003,$A398,出库单!$K$4:$K$4003,"对外销售",出库单!$U$4:$U$4003,"正常",出库单!$C$4:$C$4003,"&gt;="&amp;账期起,出库单!$C$4:$C$4003,"&lt;="&amp;账期止),0))</f>
        <v/>
      </c>
      <c r="T398" s="27">
        <f>IF($A398="","",SUMIFS(出库单!$J$4:$J$4003,出库单!$D$4:$D$4003,$A398,出库单!$K$4:$K$4003,"盘亏",出库单!$U$4:$U$4003,"正常",出库单!$C$4:$C$4003,"&gt;="&amp;账期起,出库单!$C$4:$C$4003,"&lt;="&amp;账期止))</f>
        <v/>
      </c>
      <c r="U398" s="26">
        <f>IF($A398="","",ROUND(SUMIFS(出库单!$S$4:$S$4003,出库单!$D$4:$D$4003,$A398,出库单!$K$4:$K$4003,"盘亏",出库单!$U$4:$U$4003,"正常",出库单!$C$4:$C$4003,"&gt;="&amp;账期起,出库单!$C$4:$C$4003,"&lt;="&amp;账期止),0))</f>
        <v/>
      </c>
      <c r="V398" s="27">
        <f>IF($A398="","",SUMIFS(出库单!$J$4:$J$4003,出库单!$D$4:$D$4003,$A398,出库单!$K$4:$K$4003,"退货给供应商",出库单!$U$4:$U$4003,"正常",出库单!$C$4:$C$4003,"&gt;="&amp;账期起,出库单!$C$4:$C$4003,"&lt;="&amp;账期止))</f>
        <v/>
      </c>
      <c r="W398" s="26">
        <f>IF($A398="","",ROUND(SUMIFS(出库单!$S$4:$S$4003,出库单!$D$4:$D$4003,$A398,出库单!$K$4:$K$4003,"退货给供应商",出库单!$U$4:$U$4003,"正常",出库单!$C$4:$C$4003,"&gt;="&amp;账期起,出库单!$C$4:$C$4003,"&lt;="&amp;账期止),0))</f>
        <v/>
      </c>
      <c r="X398" s="27">
        <f>IF($A398="","",ROUND(N($G398)+$I398+$L398+$N398-$P398-$R398-$T398-$V398,3))</f>
        <v/>
      </c>
      <c r="Y398" s="26">
        <f>IF($A398="","",ROUND(N($H398)+$J398+$M398+$O398-$Q398-$S398-$U398-$W398,0))</f>
        <v/>
      </c>
      <c r="Z398" s="24">
        <f>IF($A398="","",IF(COUNTIFS(入库单!$G$4:$G$2503,$A398,入库单!$Y$4:$Y$2503,"待补价")+COUNTIFS(入库单!$G$4:$G$2503,$A398,入库单!$Y$4:$Y$2503,"暂估")&gt;0,"不可信","可信"))</f>
        <v/>
      </c>
      <c r="AA398" s="24">
        <f>IF($A398="","",IF($X398&lt;-0.001,"※账面负库存，查一下是不是漏记入库",IF(AND(ROUND($X398,3)=0,ABS($Y398)&gt;1),"※数量已经是 0，金额还挂着 "&amp;TEXT($Y398,"#,##0")&amp;" 先令",IF(AND($X398&gt;0,$Y398&lt;=0,$K398=0),"※有数量没金额（这个物料一直没填过进价）",IF($Z398="不可信","△成本含待补价/暂估，毛利仅供参考","")))))</f>
        <v/>
      </c>
    </row>
    <row r="399">
      <c r="A399" s="24">
        <f>IF(物料档案!$A398="","",物料档案!$A398)</f>
        <v/>
      </c>
      <c r="B399" s="24">
        <f>IF($A399="","",IFERROR(VLOOKUP($A399,物料档案!$A$4:$P$1203,3,0),""))</f>
        <v/>
      </c>
      <c r="C399" s="24">
        <f>IF($A399="","",IFERROR(VLOOKUP($A399,物料档案!$A$4:$P$1203,4,0),""))</f>
        <v/>
      </c>
      <c r="D399" s="24">
        <f>IF($A399="","",IFERROR(VLOOKUP($A399,物料档案!$A$4:$P$1203,5,0),""))</f>
        <v/>
      </c>
      <c r="E399" s="24">
        <f>IF($A399="","",IFERROR(VLOOKUP($A399,物料档案!$A$4:$P$1203,2,0),""))</f>
        <v/>
      </c>
      <c r="F399" s="24">
        <f>IF($A399="","",IFERROR(VLOOKUP($A399,物料档案!$A$4:$P$1203,6,0),""))</f>
        <v/>
      </c>
      <c r="G399" s="23" t="n"/>
      <c r="H399" s="32" t="n"/>
      <c r="I399" s="27">
        <f>IF($A399="","",SUMIFS(入库单!$K$4:$K$2503,入库单!$G$4:$G$2503,$A399,入库单!$X$4:$X$2503,"采购入库",入库单!$Z$4:$Z$2503,"正常",入库单!$C$4:$C$2503,"&gt;="&amp;账期起,入库单!$C$4:$C$2503,"&lt;="&amp;账期止))</f>
        <v/>
      </c>
      <c r="J399" s="26">
        <f>IF($A399="","",SUMIFS(入库单!$V$4:$V$2503,入库单!$G$4:$G$2503,$A399,入库单!$X$4:$X$2503,"采购入库",入库单!$Z$4:$Z$2503,"正常",入库单!$C$4:$C$2503,"&gt;="&amp;账期起,入库单!$C$4:$C$2503,"&lt;="&amp;账期止))</f>
        <v/>
      </c>
      <c r="K399" s="26">
        <f>IF($A399="","",IFERROR(ROUND((N($H399)+N($J399))/(N($G399)+N($I399)),2),0))</f>
        <v/>
      </c>
      <c r="L399" s="27">
        <f>IF($A399="","",SUMIFS(入库单!$K$4:$K$2503,入库单!$G$4:$G$2503,$A399,入库单!$X$4:$X$2503,"盘盈",入库单!$Z$4:$Z$2503,"正常",入库单!$C$4:$C$2503,"&gt;="&amp;账期起,入库单!$C$4:$C$2503,"&lt;="&amp;账期止))</f>
        <v/>
      </c>
      <c r="M399" s="26">
        <f>IF($A399="","",ROUND($L399*$K399,0))</f>
        <v/>
      </c>
      <c r="N399" s="27">
        <f>IF($A399="","",SUMIFS(入库单!$K$4:$K$2503,入库单!$G$4:$G$2503,$A399,入库单!$X$4:$X$2503,"矿区退库",入库单!$Z$4:$Z$2503,"正常",入库单!$C$4:$C$2503,"&gt;="&amp;账期起,入库单!$C$4:$C$2503,"&lt;="&amp;账期止))</f>
        <v/>
      </c>
      <c r="O399" s="26">
        <f>IF($A399="","",ROUND($N399*$K399,0))</f>
        <v/>
      </c>
      <c r="P399" s="27">
        <f>IF($A399="","",SUMIFS(出库单!$J$4:$J$4003,出库单!$D$4:$D$4003,$A399,出库单!$K$4:$K$4003,"自用消耗",出库单!$U$4:$U$4003,"正常",出库单!$C$4:$C$4003,"&gt;="&amp;账期起,出库单!$C$4:$C$4003,"&lt;="&amp;账期止))</f>
        <v/>
      </c>
      <c r="Q399" s="26">
        <f>IF($A399="","",ROUND(SUMIFS(出库单!$S$4:$S$4003,出库单!$D$4:$D$4003,$A399,出库单!$K$4:$K$4003,"自用消耗",出库单!$U$4:$U$4003,"正常",出库单!$C$4:$C$4003,"&gt;="&amp;账期起,出库单!$C$4:$C$4003,"&lt;="&amp;账期止),0))</f>
        <v/>
      </c>
      <c r="R399" s="27">
        <f>IF($A399="","",SUMIFS(出库单!$J$4:$J$4003,出库单!$D$4:$D$4003,$A399,出库单!$K$4:$K$4003,"对外销售",出库单!$U$4:$U$4003,"正常",出库单!$C$4:$C$4003,"&gt;="&amp;账期起,出库单!$C$4:$C$4003,"&lt;="&amp;账期止))</f>
        <v/>
      </c>
      <c r="S399" s="26">
        <f>IF($A399="","",ROUND(SUMIFS(出库单!$S$4:$S$4003,出库单!$D$4:$D$4003,$A399,出库单!$K$4:$K$4003,"对外销售",出库单!$U$4:$U$4003,"正常",出库单!$C$4:$C$4003,"&gt;="&amp;账期起,出库单!$C$4:$C$4003,"&lt;="&amp;账期止),0))</f>
        <v/>
      </c>
      <c r="T399" s="27">
        <f>IF($A399="","",SUMIFS(出库单!$J$4:$J$4003,出库单!$D$4:$D$4003,$A399,出库单!$K$4:$K$4003,"盘亏",出库单!$U$4:$U$4003,"正常",出库单!$C$4:$C$4003,"&gt;="&amp;账期起,出库单!$C$4:$C$4003,"&lt;="&amp;账期止))</f>
        <v/>
      </c>
      <c r="U399" s="26">
        <f>IF($A399="","",ROUND(SUMIFS(出库单!$S$4:$S$4003,出库单!$D$4:$D$4003,$A399,出库单!$K$4:$K$4003,"盘亏",出库单!$U$4:$U$4003,"正常",出库单!$C$4:$C$4003,"&gt;="&amp;账期起,出库单!$C$4:$C$4003,"&lt;="&amp;账期止),0))</f>
        <v/>
      </c>
      <c r="V399" s="27">
        <f>IF($A399="","",SUMIFS(出库单!$J$4:$J$4003,出库单!$D$4:$D$4003,$A399,出库单!$K$4:$K$4003,"退货给供应商",出库单!$U$4:$U$4003,"正常",出库单!$C$4:$C$4003,"&gt;="&amp;账期起,出库单!$C$4:$C$4003,"&lt;="&amp;账期止))</f>
        <v/>
      </c>
      <c r="W399" s="26">
        <f>IF($A399="","",ROUND(SUMIFS(出库单!$S$4:$S$4003,出库单!$D$4:$D$4003,$A399,出库单!$K$4:$K$4003,"退货给供应商",出库单!$U$4:$U$4003,"正常",出库单!$C$4:$C$4003,"&gt;="&amp;账期起,出库单!$C$4:$C$4003,"&lt;="&amp;账期止),0))</f>
        <v/>
      </c>
      <c r="X399" s="27">
        <f>IF($A399="","",ROUND(N($G399)+$I399+$L399+$N399-$P399-$R399-$T399-$V399,3))</f>
        <v/>
      </c>
      <c r="Y399" s="26">
        <f>IF($A399="","",ROUND(N($H399)+$J399+$M399+$O399-$Q399-$S399-$U399-$W399,0))</f>
        <v/>
      </c>
      <c r="Z399" s="24">
        <f>IF($A399="","",IF(COUNTIFS(入库单!$G$4:$G$2503,$A399,入库单!$Y$4:$Y$2503,"待补价")+COUNTIFS(入库单!$G$4:$G$2503,$A399,入库单!$Y$4:$Y$2503,"暂估")&gt;0,"不可信","可信"))</f>
        <v/>
      </c>
      <c r="AA399" s="24">
        <f>IF($A399="","",IF($X399&lt;-0.001,"※账面负库存，查一下是不是漏记入库",IF(AND(ROUND($X399,3)=0,ABS($Y399)&gt;1),"※数量已经是 0，金额还挂着 "&amp;TEXT($Y399,"#,##0")&amp;" 先令",IF(AND($X399&gt;0,$Y399&lt;=0,$K399=0),"※有数量没金额（这个物料一直没填过进价）",IF($Z399="不可信","△成本含待补价/暂估，毛利仅供参考","")))))</f>
        <v/>
      </c>
    </row>
    <row r="400">
      <c r="A400" s="24">
        <f>IF(物料档案!$A399="","",物料档案!$A399)</f>
        <v/>
      </c>
      <c r="B400" s="24">
        <f>IF($A400="","",IFERROR(VLOOKUP($A400,物料档案!$A$4:$P$1203,3,0),""))</f>
        <v/>
      </c>
      <c r="C400" s="24">
        <f>IF($A400="","",IFERROR(VLOOKUP($A400,物料档案!$A$4:$P$1203,4,0),""))</f>
        <v/>
      </c>
      <c r="D400" s="24">
        <f>IF($A400="","",IFERROR(VLOOKUP($A400,物料档案!$A$4:$P$1203,5,0),""))</f>
        <v/>
      </c>
      <c r="E400" s="24">
        <f>IF($A400="","",IFERROR(VLOOKUP($A400,物料档案!$A$4:$P$1203,2,0),""))</f>
        <v/>
      </c>
      <c r="F400" s="24">
        <f>IF($A400="","",IFERROR(VLOOKUP($A400,物料档案!$A$4:$P$1203,6,0),""))</f>
        <v/>
      </c>
      <c r="G400" s="23" t="n"/>
      <c r="H400" s="32" t="n"/>
      <c r="I400" s="27">
        <f>IF($A400="","",SUMIFS(入库单!$K$4:$K$2503,入库单!$G$4:$G$2503,$A400,入库单!$X$4:$X$2503,"采购入库",入库单!$Z$4:$Z$2503,"正常",入库单!$C$4:$C$2503,"&gt;="&amp;账期起,入库单!$C$4:$C$2503,"&lt;="&amp;账期止))</f>
        <v/>
      </c>
      <c r="J400" s="26">
        <f>IF($A400="","",SUMIFS(入库单!$V$4:$V$2503,入库单!$G$4:$G$2503,$A400,入库单!$X$4:$X$2503,"采购入库",入库单!$Z$4:$Z$2503,"正常",入库单!$C$4:$C$2503,"&gt;="&amp;账期起,入库单!$C$4:$C$2503,"&lt;="&amp;账期止))</f>
        <v/>
      </c>
      <c r="K400" s="26">
        <f>IF($A400="","",IFERROR(ROUND((N($H400)+N($J400))/(N($G400)+N($I400)),2),0))</f>
        <v/>
      </c>
      <c r="L400" s="27">
        <f>IF($A400="","",SUMIFS(入库单!$K$4:$K$2503,入库单!$G$4:$G$2503,$A400,入库单!$X$4:$X$2503,"盘盈",入库单!$Z$4:$Z$2503,"正常",入库单!$C$4:$C$2503,"&gt;="&amp;账期起,入库单!$C$4:$C$2503,"&lt;="&amp;账期止))</f>
        <v/>
      </c>
      <c r="M400" s="26">
        <f>IF($A400="","",ROUND($L400*$K400,0))</f>
        <v/>
      </c>
      <c r="N400" s="27">
        <f>IF($A400="","",SUMIFS(入库单!$K$4:$K$2503,入库单!$G$4:$G$2503,$A400,入库单!$X$4:$X$2503,"矿区退库",入库单!$Z$4:$Z$2503,"正常",入库单!$C$4:$C$2503,"&gt;="&amp;账期起,入库单!$C$4:$C$2503,"&lt;="&amp;账期止))</f>
        <v/>
      </c>
      <c r="O400" s="26">
        <f>IF($A400="","",ROUND($N400*$K400,0))</f>
        <v/>
      </c>
      <c r="P400" s="27">
        <f>IF($A400="","",SUMIFS(出库单!$J$4:$J$4003,出库单!$D$4:$D$4003,$A400,出库单!$K$4:$K$4003,"自用消耗",出库单!$U$4:$U$4003,"正常",出库单!$C$4:$C$4003,"&gt;="&amp;账期起,出库单!$C$4:$C$4003,"&lt;="&amp;账期止))</f>
        <v/>
      </c>
      <c r="Q400" s="26">
        <f>IF($A400="","",ROUND(SUMIFS(出库单!$S$4:$S$4003,出库单!$D$4:$D$4003,$A400,出库单!$K$4:$K$4003,"自用消耗",出库单!$U$4:$U$4003,"正常",出库单!$C$4:$C$4003,"&gt;="&amp;账期起,出库单!$C$4:$C$4003,"&lt;="&amp;账期止),0))</f>
        <v/>
      </c>
      <c r="R400" s="27">
        <f>IF($A400="","",SUMIFS(出库单!$J$4:$J$4003,出库单!$D$4:$D$4003,$A400,出库单!$K$4:$K$4003,"对外销售",出库单!$U$4:$U$4003,"正常",出库单!$C$4:$C$4003,"&gt;="&amp;账期起,出库单!$C$4:$C$4003,"&lt;="&amp;账期止))</f>
        <v/>
      </c>
      <c r="S400" s="26">
        <f>IF($A400="","",ROUND(SUMIFS(出库单!$S$4:$S$4003,出库单!$D$4:$D$4003,$A400,出库单!$K$4:$K$4003,"对外销售",出库单!$U$4:$U$4003,"正常",出库单!$C$4:$C$4003,"&gt;="&amp;账期起,出库单!$C$4:$C$4003,"&lt;="&amp;账期止),0))</f>
        <v/>
      </c>
      <c r="T400" s="27">
        <f>IF($A400="","",SUMIFS(出库单!$J$4:$J$4003,出库单!$D$4:$D$4003,$A400,出库单!$K$4:$K$4003,"盘亏",出库单!$U$4:$U$4003,"正常",出库单!$C$4:$C$4003,"&gt;="&amp;账期起,出库单!$C$4:$C$4003,"&lt;="&amp;账期止))</f>
        <v/>
      </c>
      <c r="U400" s="26">
        <f>IF($A400="","",ROUND(SUMIFS(出库单!$S$4:$S$4003,出库单!$D$4:$D$4003,$A400,出库单!$K$4:$K$4003,"盘亏",出库单!$U$4:$U$4003,"正常",出库单!$C$4:$C$4003,"&gt;="&amp;账期起,出库单!$C$4:$C$4003,"&lt;="&amp;账期止),0))</f>
        <v/>
      </c>
      <c r="V400" s="27">
        <f>IF($A400="","",SUMIFS(出库单!$J$4:$J$4003,出库单!$D$4:$D$4003,$A400,出库单!$K$4:$K$4003,"退货给供应商",出库单!$U$4:$U$4003,"正常",出库单!$C$4:$C$4003,"&gt;="&amp;账期起,出库单!$C$4:$C$4003,"&lt;="&amp;账期止))</f>
        <v/>
      </c>
      <c r="W400" s="26">
        <f>IF($A400="","",ROUND(SUMIFS(出库单!$S$4:$S$4003,出库单!$D$4:$D$4003,$A400,出库单!$K$4:$K$4003,"退货给供应商",出库单!$U$4:$U$4003,"正常",出库单!$C$4:$C$4003,"&gt;="&amp;账期起,出库单!$C$4:$C$4003,"&lt;="&amp;账期止),0))</f>
        <v/>
      </c>
      <c r="X400" s="27">
        <f>IF($A400="","",ROUND(N($G400)+$I400+$L400+$N400-$P400-$R400-$T400-$V400,3))</f>
        <v/>
      </c>
      <c r="Y400" s="26">
        <f>IF($A400="","",ROUND(N($H400)+$J400+$M400+$O400-$Q400-$S400-$U400-$W400,0))</f>
        <v/>
      </c>
      <c r="Z400" s="24">
        <f>IF($A400="","",IF(COUNTIFS(入库单!$G$4:$G$2503,$A400,入库单!$Y$4:$Y$2503,"待补价")+COUNTIFS(入库单!$G$4:$G$2503,$A400,入库单!$Y$4:$Y$2503,"暂估")&gt;0,"不可信","可信"))</f>
        <v/>
      </c>
      <c r="AA400" s="24">
        <f>IF($A400="","",IF($X400&lt;-0.001,"※账面负库存，查一下是不是漏记入库",IF(AND(ROUND($X400,3)=0,ABS($Y400)&gt;1),"※数量已经是 0，金额还挂着 "&amp;TEXT($Y400,"#,##0")&amp;" 先令",IF(AND($X400&gt;0,$Y400&lt;=0,$K400=0),"※有数量没金额（这个物料一直没填过进价）",IF($Z400="不可信","△成本含待补价/暂估，毛利仅供参考","")))))</f>
        <v/>
      </c>
    </row>
    <row r="401">
      <c r="A401" s="24">
        <f>IF(物料档案!$A400="","",物料档案!$A400)</f>
        <v/>
      </c>
      <c r="B401" s="24">
        <f>IF($A401="","",IFERROR(VLOOKUP($A401,物料档案!$A$4:$P$1203,3,0),""))</f>
        <v/>
      </c>
      <c r="C401" s="24">
        <f>IF($A401="","",IFERROR(VLOOKUP($A401,物料档案!$A$4:$P$1203,4,0),""))</f>
        <v/>
      </c>
      <c r="D401" s="24">
        <f>IF($A401="","",IFERROR(VLOOKUP($A401,物料档案!$A$4:$P$1203,5,0),""))</f>
        <v/>
      </c>
      <c r="E401" s="24">
        <f>IF($A401="","",IFERROR(VLOOKUP($A401,物料档案!$A$4:$P$1203,2,0),""))</f>
        <v/>
      </c>
      <c r="F401" s="24">
        <f>IF($A401="","",IFERROR(VLOOKUP($A401,物料档案!$A$4:$P$1203,6,0),""))</f>
        <v/>
      </c>
      <c r="G401" s="23" t="n"/>
      <c r="H401" s="32" t="n"/>
      <c r="I401" s="27">
        <f>IF($A401="","",SUMIFS(入库单!$K$4:$K$2503,入库单!$G$4:$G$2503,$A401,入库单!$X$4:$X$2503,"采购入库",入库单!$Z$4:$Z$2503,"正常",入库单!$C$4:$C$2503,"&gt;="&amp;账期起,入库单!$C$4:$C$2503,"&lt;="&amp;账期止))</f>
        <v/>
      </c>
      <c r="J401" s="26">
        <f>IF($A401="","",SUMIFS(入库单!$V$4:$V$2503,入库单!$G$4:$G$2503,$A401,入库单!$X$4:$X$2503,"采购入库",入库单!$Z$4:$Z$2503,"正常",入库单!$C$4:$C$2503,"&gt;="&amp;账期起,入库单!$C$4:$C$2503,"&lt;="&amp;账期止))</f>
        <v/>
      </c>
      <c r="K401" s="26">
        <f>IF($A401="","",IFERROR(ROUND((N($H401)+N($J401))/(N($G401)+N($I401)),2),0))</f>
        <v/>
      </c>
      <c r="L401" s="27">
        <f>IF($A401="","",SUMIFS(入库单!$K$4:$K$2503,入库单!$G$4:$G$2503,$A401,入库单!$X$4:$X$2503,"盘盈",入库单!$Z$4:$Z$2503,"正常",入库单!$C$4:$C$2503,"&gt;="&amp;账期起,入库单!$C$4:$C$2503,"&lt;="&amp;账期止))</f>
        <v/>
      </c>
      <c r="M401" s="26">
        <f>IF($A401="","",ROUND($L401*$K401,0))</f>
        <v/>
      </c>
      <c r="N401" s="27">
        <f>IF($A401="","",SUMIFS(入库单!$K$4:$K$2503,入库单!$G$4:$G$2503,$A401,入库单!$X$4:$X$2503,"矿区退库",入库单!$Z$4:$Z$2503,"正常",入库单!$C$4:$C$2503,"&gt;="&amp;账期起,入库单!$C$4:$C$2503,"&lt;="&amp;账期止))</f>
        <v/>
      </c>
      <c r="O401" s="26">
        <f>IF($A401="","",ROUND($N401*$K401,0))</f>
        <v/>
      </c>
      <c r="P401" s="27">
        <f>IF($A401="","",SUMIFS(出库单!$J$4:$J$4003,出库单!$D$4:$D$4003,$A401,出库单!$K$4:$K$4003,"自用消耗",出库单!$U$4:$U$4003,"正常",出库单!$C$4:$C$4003,"&gt;="&amp;账期起,出库单!$C$4:$C$4003,"&lt;="&amp;账期止))</f>
        <v/>
      </c>
      <c r="Q401" s="26">
        <f>IF($A401="","",ROUND(SUMIFS(出库单!$S$4:$S$4003,出库单!$D$4:$D$4003,$A401,出库单!$K$4:$K$4003,"自用消耗",出库单!$U$4:$U$4003,"正常",出库单!$C$4:$C$4003,"&gt;="&amp;账期起,出库单!$C$4:$C$4003,"&lt;="&amp;账期止),0))</f>
        <v/>
      </c>
      <c r="R401" s="27">
        <f>IF($A401="","",SUMIFS(出库单!$J$4:$J$4003,出库单!$D$4:$D$4003,$A401,出库单!$K$4:$K$4003,"对外销售",出库单!$U$4:$U$4003,"正常",出库单!$C$4:$C$4003,"&gt;="&amp;账期起,出库单!$C$4:$C$4003,"&lt;="&amp;账期止))</f>
        <v/>
      </c>
      <c r="S401" s="26">
        <f>IF($A401="","",ROUND(SUMIFS(出库单!$S$4:$S$4003,出库单!$D$4:$D$4003,$A401,出库单!$K$4:$K$4003,"对外销售",出库单!$U$4:$U$4003,"正常",出库单!$C$4:$C$4003,"&gt;="&amp;账期起,出库单!$C$4:$C$4003,"&lt;="&amp;账期止),0))</f>
        <v/>
      </c>
      <c r="T401" s="27">
        <f>IF($A401="","",SUMIFS(出库单!$J$4:$J$4003,出库单!$D$4:$D$4003,$A401,出库单!$K$4:$K$4003,"盘亏",出库单!$U$4:$U$4003,"正常",出库单!$C$4:$C$4003,"&gt;="&amp;账期起,出库单!$C$4:$C$4003,"&lt;="&amp;账期止))</f>
        <v/>
      </c>
      <c r="U401" s="26">
        <f>IF($A401="","",ROUND(SUMIFS(出库单!$S$4:$S$4003,出库单!$D$4:$D$4003,$A401,出库单!$K$4:$K$4003,"盘亏",出库单!$U$4:$U$4003,"正常",出库单!$C$4:$C$4003,"&gt;="&amp;账期起,出库单!$C$4:$C$4003,"&lt;="&amp;账期止),0))</f>
        <v/>
      </c>
      <c r="V401" s="27">
        <f>IF($A401="","",SUMIFS(出库单!$J$4:$J$4003,出库单!$D$4:$D$4003,$A401,出库单!$K$4:$K$4003,"退货给供应商",出库单!$U$4:$U$4003,"正常",出库单!$C$4:$C$4003,"&gt;="&amp;账期起,出库单!$C$4:$C$4003,"&lt;="&amp;账期止))</f>
        <v/>
      </c>
      <c r="W401" s="26">
        <f>IF($A401="","",ROUND(SUMIFS(出库单!$S$4:$S$4003,出库单!$D$4:$D$4003,$A401,出库单!$K$4:$K$4003,"退货给供应商",出库单!$U$4:$U$4003,"正常",出库单!$C$4:$C$4003,"&gt;="&amp;账期起,出库单!$C$4:$C$4003,"&lt;="&amp;账期止),0))</f>
        <v/>
      </c>
      <c r="X401" s="27">
        <f>IF($A401="","",ROUND(N($G401)+$I401+$L401+$N401-$P401-$R401-$T401-$V401,3))</f>
        <v/>
      </c>
      <c r="Y401" s="26">
        <f>IF($A401="","",ROUND(N($H401)+$J401+$M401+$O401-$Q401-$S401-$U401-$W401,0))</f>
        <v/>
      </c>
      <c r="Z401" s="24">
        <f>IF($A401="","",IF(COUNTIFS(入库单!$G$4:$G$2503,$A401,入库单!$Y$4:$Y$2503,"待补价")+COUNTIFS(入库单!$G$4:$G$2503,$A401,入库单!$Y$4:$Y$2503,"暂估")&gt;0,"不可信","可信"))</f>
        <v/>
      </c>
      <c r="AA401" s="24">
        <f>IF($A401="","",IF($X401&lt;-0.001,"※账面负库存，查一下是不是漏记入库",IF(AND(ROUND($X401,3)=0,ABS($Y401)&gt;1),"※数量已经是 0，金额还挂着 "&amp;TEXT($Y401,"#,##0")&amp;" 先令",IF(AND($X401&gt;0,$Y401&lt;=0,$K401=0),"※有数量没金额（这个物料一直没填过进价）",IF($Z401="不可信","△成本含待补价/暂估，毛利仅供参考","")))))</f>
        <v/>
      </c>
    </row>
    <row r="402">
      <c r="A402" s="24">
        <f>IF(物料档案!$A401="","",物料档案!$A401)</f>
        <v/>
      </c>
      <c r="B402" s="24">
        <f>IF($A402="","",IFERROR(VLOOKUP($A402,物料档案!$A$4:$P$1203,3,0),""))</f>
        <v/>
      </c>
      <c r="C402" s="24">
        <f>IF($A402="","",IFERROR(VLOOKUP($A402,物料档案!$A$4:$P$1203,4,0),""))</f>
        <v/>
      </c>
      <c r="D402" s="24">
        <f>IF($A402="","",IFERROR(VLOOKUP($A402,物料档案!$A$4:$P$1203,5,0),""))</f>
        <v/>
      </c>
      <c r="E402" s="24">
        <f>IF($A402="","",IFERROR(VLOOKUP($A402,物料档案!$A$4:$P$1203,2,0),""))</f>
        <v/>
      </c>
      <c r="F402" s="24">
        <f>IF($A402="","",IFERROR(VLOOKUP($A402,物料档案!$A$4:$P$1203,6,0),""))</f>
        <v/>
      </c>
      <c r="G402" s="23" t="n"/>
      <c r="H402" s="32" t="n"/>
      <c r="I402" s="27">
        <f>IF($A402="","",SUMIFS(入库单!$K$4:$K$2503,入库单!$G$4:$G$2503,$A402,入库单!$X$4:$X$2503,"采购入库",入库单!$Z$4:$Z$2503,"正常",入库单!$C$4:$C$2503,"&gt;="&amp;账期起,入库单!$C$4:$C$2503,"&lt;="&amp;账期止))</f>
        <v/>
      </c>
      <c r="J402" s="26">
        <f>IF($A402="","",SUMIFS(入库单!$V$4:$V$2503,入库单!$G$4:$G$2503,$A402,入库单!$X$4:$X$2503,"采购入库",入库单!$Z$4:$Z$2503,"正常",入库单!$C$4:$C$2503,"&gt;="&amp;账期起,入库单!$C$4:$C$2503,"&lt;="&amp;账期止))</f>
        <v/>
      </c>
      <c r="K402" s="26">
        <f>IF($A402="","",IFERROR(ROUND((N($H402)+N($J402))/(N($G402)+N($I402)),2),0))</f>
        <v/>
      </c>
      <c r="L402" s="27">
        <f>IF($A402="","",SUMIFS(入库单!$K$4:$K$2503,入库单!$G$4:$G$2503,$A402,入库单!$X$4:$X$2503,"盘盈",入库单!$Z$4:$Z$2503,"正常",入库单!$C$4:$C$2503,"&gt;="&amp;账期起,入库单!$C$4:$C$2503,"&lt;="&amp;账期止))</f>
        <v/>
      </c>
      <c r="M402" s="26">
        <f>IF($A402="","",ROUND($L402*$K402,0))</f>
        <v/>
      </c>
      <c r="N402" s="27">
        <f>IF($A402="","",SUMIFS(入库单!$K$4:$K$2503,入库单!$G$4:$G$2503,$A402,入库单!$X$4:$X$2503,"矿区退库",入库单!$Z$4:$Z$2503,"正常",入库单!$C$4:$C$2503,"&gt;="&amp;账期起,入库单!$C$4:$C$2503,"&lt;="&amp;账期止))</f>
        <v/>
      </c>
      <c r="O402" s="26">
        <f>IF($A402="","",ROUND($N402*$K402,0))</f>
        <v/>
      </c>
      <c r="P402" s="27">
        <f>IF($A402="","",SUMIFS(出库单!$J$4:$J$4003,出库单!$D$4:$D$4003,$A402,出库单!$K$4:$K$4003,"自用消耗",出库单!$U$4:$U$4003,"正常",出库单!$C$4:$C$4003,"&gt;="&amp;账期起,出库单!$C$4:$C$4003,"&lt;="&amp;账期止))</f>
        <v/>
      </c>
      <c r="Q402" s="26">
        <f>IF($A402="","",ROUND(SUMIFS(出库单!$S$4:$S$4003,出库单!$D$4:$D$4003,$A402,出库单!$K$4:$K$4003,"自用消耗",出库单!$U$4:$U$4003,"正常",出库单!$C$4:$C$4003,"&gt;="&amp;账期起,出库单!$C$4:$C$4003,"&lt;="&amp;账期止),0))</f>
        <v/>
      </c>
      <c r="R402" s="27">
        <f>IF($A402="","",SUMIFS(出库单!$J$4:$J$4003,出库单!$D$4:$D$4003,$A402,出库单!$K$4:$K$4003,"对外销售",出库单!$U$4:$U$4003,"正常",出库单!$C$4:$C$4003,"&gt;="&amp;账期起,出库单!$C$4:$C$4003,"&lt;="&amp;账期止))</f>
        <v/>
      </c>
      <c r="S402" s="26">
        <f>IF($A402="","",ROUND(SUMIFS(出库单!$S$4:$S$4003,出库单!$D$4:$D$4003,$A402,出库单!$K$4:$K$4003,"对外销售",出库单!$U$4:$U$4003,"正常",出库单!$C$4:$C$4003,"&gt;="&amp;账期起,出库单!$C$4:$C$4003,"&lt;="&amp;账期止),0))</f>
        <v/>
      </c>
      <c r="T402" s="27">
        <f>IF($A402="","",SUMIFS(出库单!$J$4:$J$4003,出库单!$D$4:$D$4003,$A402,出库单!$K$4:$K$4003,"盘亏",出库单!$U$4:$U$4003,"正常",出库单!$C$4:$C$4003,"&gt;="&amp;账期起,出库单!$C$4:$C$4003,"&lt;="&amp;账期止))</f>
        <v/>
      </c>
      <c r="U402" s="26">
        <f>IF($A402="","",ROUND(SUMIFS(出库单!$S$4:$S$4003,出库单!$D$4:$D$4003,$A402,出库单!$K$4:$K$4003,"盘亏",出库单!$U$4:$U$4003,"正常",出库单!$C$4:$C$4003,"&gt;="&amp;账期起,出库单!$C$4:$C$4003,"&lt;="&amp;账期止),0))</f>
        <v/>
      </c>
      <c r="V402" s="27">
        <f>IF($A402="","",SUMIFS(出库单!$J$4:$J$4003,出库单!$D$4:$D$4003,$A402,出库单!$K$4:$K$4003,"退货给供应商",出库单!$U$4:$U$4003,"正常",出库单!$C$4:$C$4003,"&gt;="&amp;账期起,出库单!$C$4:$C$4003,"&lt;="&amp;账期止))</f>
        <v/>
      </c>
      <c r="W402" s="26">
        <f>IF($A402="","",ROUND(SUMIFS(出库单!$S$4:$S$4003,出库单!$D$4:$D$4003,$A402,出库单!$K$4:$K$4003,"退货给供应商",出库单!$U$4:$U$4003,"正常",出库单!$C$4:$C$4003,"&gt;="&amp;账期起,出库单!$C$4:$C$4003,"&lt;="&amp;账期止),0))</f>
        <v/>
      </c>
      <c r="X402" s="27">
        <f>IF($A402="","",ROUND(N($G402)+$I402+$L402+$N402-$P402-$R402-$T402-$V402,3))</f>
        <v/>
      </c>
      <c r="Y402" s="26">
        <f>IF($A402="","",ROUND(N($H402)+$J402+$M402+$O402-$Q402-$S402-$U402-$W402,0))</f>
        <v/>
      </c>
      <c r="Z402" s="24">
        <f>IF($A402="","",IF(COUNTIFS(入库单!$G$4:$G$2503,$A402,入库单!$Y$4:$Y$2503,"待补价")+COUNTIFS(入库单!$G$4:$G$2503,$A402,入库单!$Y$4:$Y$2503,"暂估")&gt;0,"不可信","可信"))</f>
        <v/>
      </c>
      <c r="AA402" s="24">
        <f>IF($A402="","",IF($X402&lt;-0.001,"※账面负库存，查一下是不是漏记入库",IF(AND(ROUND($X402,3)=0,ABS($Y402)&gt;1),"※数量已经是 0，金额还挂着 "&amp;TEXT($Y402,"#,##0")&amp;" 先令",IF(AND($X402&gt;0,$Y402&lt;=0,$K402=0),"※有数量没金额（这个物料一直没填过进价）",IF($Z402="不可信","△成本含待补价/暂估，毛利仅供参考","")))))</f>
        <v/>
      </c>
    </row>
    <row r="403">
      <c r="A403" s="24">
        <f>IF(物料档案!$A402="","",物料档案!$A402)</f>
        <v/>
      </c>
      <c r="B403" s="24">
        <f>IF($A403="","",IFERROR(VLOOKUP($A403,物料档案!$A$4:$P$1203,3,0),""))</f>
        <v/>
      </c>
      <c r="C403" s="24">
        <f>IF($A403="","",IFERROR(VLOOKUP($A403,物料档案!$A$4:$P$1203,4,0),""))</f>
        <v/>
      </c>
      <c r="D403" s="24">
        <f>IF($A403="","",IFERROR(VLOOKUP($A403,物料档案!$A$4:$P$1203,5,0),""))</f>
        <v/>
      </c>
      <c r="E403" s="24">
        <f>IF($A403="","",IFERROR(VLOOKUP($A403,物料档案!$A$4:$P$1203,2,0),""))</f>
        <v/>
      </c>
      <c r="F403" s="24">
        <f>IF($A403="","",IFERROR(VLOOKUP($A403,物料档案!$A$4:$P$1203,6,0),""))</f>
        <v/>
      </c>
      <c r="G403" s="23" t="n"/>
      <c r="H403" s="32" t="n"/>
      <c r="I403" s="27">
        <f>IF($A403="","",SUMIFS(入库单!$K$4:$K$2503,入库单!$G$4:$G$2503,$A403,入库单!$X$4:$X$2503,"采购入库",入库单!$Z$4:$Z$2503,"正常",入库单!$C$4:$C$2503,"&gt;="&amp;账期起,入库单!$C$4:$C$2503,"&lt;="&amp;账期止))</f>
        <v/>
      </c>
      <c r="J403" s="26">
        <f>IF($A403="","",SUMIFS(入库单!$V$4:$V$2503,入库单!$G$4:$G$2503,$A403,入库单!$X$4:$X$2503,"采购入库",入库单!$Z$4:$Z$2503,"正常",入库单!$C$4:$C$2503,"&gt;="&amp;账期起,入库单!$C$4:$C$2503,"&lt;="&amp;账期止))</f>
        <v/>
      </c>
      <c r="K403" s="26">
        <f>IF($A403="","",IFERROR(ROUND((N($H403)+N($J403))/(N($G403)+N($I403)),2),0))</f>
        <v/>
      </c>
      <c r="L403" s="27">
        <f>IF($A403="","",SUMIFS(入库单!$K$4:$K$2503,入库单!$G$4:$G$2503,$A403,入库单!$X$4:$X$2503,"盘盈",入库单!$Z$4:$Z$2503,"正常",入库单!$C$4:$C$2503,"&gt;="&amp;账期起,入库单!$C$4:$C$2503,"&lt;="&amp;账期止))</f>
        <v/>
      </c>
      <c r="M403" s="26">
        <f>IF($A403="","",ROUND($L403*$K403,0))</f>
        <v/>
      </c>
      <c r="N403" s="27">
        <f>IF($A403="","",SUMIFS(入库单!$K$4:$K$2503,入库单!$G$4:$G$2503,$A403,入库单!$X$4:$X$2503,"矿区退库",入库单!$Z$4:$Z$2503,"正常",入库单!$C$4:$C$2503,"&gt;="&amp;账期起,入库单!$C$4:$C$2503,"&lt;="&amp;账期止))</f>
        <v/>
      </c>
      <c r="O403" s="26">
        <f>IF($A403="","",ROUND($N403*$K403,0))</f>
        <v/>
      </c>
      <c r="P403" s="27">
        <f>IF($A403="","",SUMIFS(出库单!$J$4:$J$4003,出库单!$D$4:$D$4003,$A403,出库单!$K$4:$K$4003,"自用消耗",出库单!$U$4:$U$4003,"正常",出库单!$C$4:$C$4003,"&gt;="&amp;账期起,出库单!$C$4:$C$4003,"&lt;="&amp;账期止))</f>
        <v/>
      </c>
      <c r="Q403" s="26">
        <f>IF($A403="","",ROUND(SUMIFS(出库单!$S$4:$S$4003,出库单!$D$4:$D$4003,$A403,出库单!$K$4:$K$4003,"自用消耗",出库单!$U$4:$U$4003,"正常",出库单!$C$4:$C$4003,"&gt;="&amp;账期起,出库单!$C$4:$C$4003,"&lt;="&amp;账期止),0))</f>
        <v/>
      </c>
      <c r="R403" s="27">
        <f>IF($A403="","",SUMIFS(出库单!$J$4:$J$4003,出库单!$D$4:$D$4003,$A403,出库单!$K$4:$K$4003,"对外销售",出库单!$U$4:$U$4003,"正常",出库单!$C$4:$C$4003,"&gt;="&amp;账期起,出库单!$C$4:$C$4003,"&lt;="&amp;账期止))</f>
        <v/>
      </c>
      <c r="S403" s="26">
        <f>IF($A403="","",ROUND(SUMIFS(出库单!$S$4:$S$4003,出库单!$D$4:$D$4003,$A403,出库单!$K$4:$K$4003,"对外销售",出库单!$U$4:$U$4003,"正常",出库单!$C$4:$C$4003,"&gt;="&amp;账期起,出库单!$C$4:$C$4003,"&lt;="&amp;账期止),0))</f>
        <v/>
      </c>
      <c r="T403" s="27">
        <f>IF($A403="","",SUMIFS(出库单!$J$4:$J$4003,出库单!$D$4:$D$4003,$A403,出库单!$K$4:$K$4003,"盘亏",出库单!$U$4:$U$4003,"正常",出库单!$C$4:$C$4003,"&gt;="&amp;账期起,出库单!$C$4:$C$4003,"&lt;="&amp;账期止))</f>
        <v/>
      </c>
      <c r="U403" s="26">
        <f>IF($A403="","",ROUND(SUMIFS(出库单!$S$4:$S$4003,出库单!$D$4:$D$4003,$A403,出库单!$K$4:$K$4003,"盘亏",出库单!$U$4:$U$4003,"正常",出库单!$C$4:$C$4003,"&gt;="&amp;账期起,出库单!$C$4:$C$4003,"&lt;="&amp;账期止),0))</f>
        <v/>
      </c>
      <c r="V403" s="27">
        <f>IF($A403="","",SUMIFS(出库单!$J$4:$J$4003,出库单!$D$4:$D$4003,$A403,出库单!$K$4:$K$4003,"退货给供应商",出库单!$U$4:$U$4003,"正常",出库单!$C$4:$C$4003,"&gt;="&amp;账期起,出库单!$C$4:$C$4003,"&lt;="&amp;账期止))</f>
        <v/>
      </c>
      <c r="W403" s="26">
        <f>IF($A403="","",ROUND(SUMIFS(出库单!$S$4:$S$4003,出库单!$D$4:$D$4003,$A403,出库单!$K$4:$K$4003,"退货给供应商",出库单!$U$4:$U$4003,"正常",出库单!$C$4:$C$4003,"&gt;="&amp;账期起,出库单!$C$4:$C$4003,"&lt;="&amp;账期止),0))</f>
        <v/>
      </c>
      <c r="X403" s="27">
        <f>IF($A403="","",ROUND(N($G403)+$I403+$L403+$N403-$P403-$R403-$T403-$V403,3))</f>
        <v/>
      </c>
      <c r="Y403" s="26">
        <f>IF($A403="","",ROUND(N($H403)+$J403+$M403+$O403-$Q403-$S403-$U403-$W403,0))</f>
        <v/>
      </c>
      <c r="Z403" s="24">
        <f>IF($A403="","",IF(COUNTIFS(入库单!$G$4:$G$2503,$A403,入库单!$Y$4:$Y$2503,"待补价")+COUNTIFS(入库单!$G$4:$G$2503,$A403,入库单!$Y$4:$Y$2503,"暂估")&gt;0,"不可信","可信"))</f>
        <v/>
      </c>
      <c r="AA403" s="24">
        <f>IF($A403="","",IF($X403&lt;-0.001,"※账面负库存，查一下是不是漏记入库",IF(AND(ROUND($X403,3)=0,ABS($Y403)&gt;1),"※数量已经是 0，金额还挂着 "&amp;TEXT($Y403,"#,##0")&amp;" 先令",IF(AND($X403&gt;0,$Y403&lt;=0,$K403=0),"※有数量没金额（这个物料一直没填过进价）",IF($Z403="不可信","△成本含待补价/暂估，毛利仅供参考","")))))</f>
        <v/>
      </c>
    </row>
    <row r="404">
      <c r="A404" s="24">
        <f>IF(物料档案!$A403="","",物料档案!$A403)</f>
        <v/>
      </c>
      <c r="B404" s="24">
        <f>IF($A404="","",IFERROR(VLOOKUP($A404,物料档案!$A$4:$P$1203,3,0),""))</f>
        <v/>
      </c>
      <c r="C404" s="24">
        <f>IF($A404="","",IFERROR(VLOOKUP($A404,物料档案!$A$4:$P$1203,4,0),""))</f>
        <v/>
      </c>
      <c r="D404" s="24">
        <f>IF($A404="","",IFERROR(VLOOKUP($A404,物料档案!$A$4:$P$1203,5,0),""))</f>
        <v/>
      </c>
      <c r="E404" s="24">
        <f>IF($A404="","",IFERROR(VLOOKUP($A404,物料档案!$A$4:$P$1203,2,0),""))</f>
        <v/>
      </c>
      <c r="F404" s="24">
        <f>IF($A404="","",IFERROR(VLOOKUP($A404,物料档案!$A$4:$P$1203,6,0),""))</f>
        <v/>
      </c>
      <c r="G404" s="23" t="n"/>
      <c r="H404" s="32" t="n"/>
      <c r="I404" s="27">
        <f>IF($A404="","",SUMIFS(入库单!$K$4:$K$2503,入库单!$G$4:$G$2503,$A404,入库单!$X$4:$X$2503,"采购入库",入库单!$Z$4:$Z$2503,"正常",入库单!$C$4:$C$2503,"&gt;="&amp;账期起,入库单!$C$4:$C$2503,"&lt;="&amp;账期止))</f>
        <v/>
      </c>
      <c r="J404" s="26">
        <f>IF($A404="","",SUMIFS(入库单!$V$4:$V$2503,入库单!$G$4:$G$2503,$A404,入库单!$X$4:$X$2503,"采购入库",入库单!$Z$4:$Z$2503,"正常",入库单!$C$4:$C$2503,"&gt;="&amp;账期起,入库单!$C$4:$C$2503,"&lt;="&amp;账期止))</f>
        <v/>
      </c>
      <c r="K404" s="26">
        <f>IF($A404="","",IFERROR(ROUND((N($H404)+N($J404))/(N($G404)+N($I404)),2),0))</f>
        <v/>
      </c>
      <c r="L404" s="27">
        <f>IF($A404="","",SUMIFS(入库单!$K$4:$K$2503,入库单!$G$4:$G$2503,$A404,入库单!$X$4:$X$2503,"盘盈",入库单!$Z$4:$Z$2503,"正常",入库单!$C$4:$C$2503,"&gt;="&amp;账期起,入库单!$C$4:$C$2503,"&lt;="&amp;账期止))</f>
        <v/>
      </c>
      <c r="M404" s="26">
        <f>IF($A404="","",ROUND($L404*$K404,0))</f>
        <v/>
      </c>
      <c r="N404" s="27">
        <f>IF($A404="","",SUMIFS(入库单!$K$4:$K$2503,入库单!$G$4:$G$2503,$A404,入库单!$X$4:$X$2503,"矿区退库",入库单!$Z$4:$Z$2503,"正常",入库单!$C$4:$C$2503,"&gt;="&amp;账期起,入库单!$C$4:$C$2503,"&lt;="&amp;账期止))</f>
        <v/>
      </c>
      <c r="O404" s="26">
        <f>IF($A404="","",ROUND($N404*$K404,0))</f>
        <v/>
      </c>
      <c r="P404" s="27">
        <f>IF($A404="","",SUMIFS(出库单!$J$4:$J$4003,出库单!$D$4:$D$4003,$A404,出库单!$K$4:$K$4003,"自用消耗",出库单!$U$4:$U$4003,"正常",出库单!$C$4:$C$4003,"&gt;="&amp;账期起,出库单!$C$4:$C$4003,"&lt;="&amp;账期止))</f>
        <v/>
      </c>
      <c r="Q404" s="26">
        <f>IF($A404="","",ROUND(SUMIFS(出库单!$S$4:$S$4003,出库单!$D$4:$D$4003,$A404,出库单!$K$4:$K$4003,"自用消耗",出库单!$U$4:$U$4003,"正常",出库单!$C$4:$C$4003,"&gt;="&amp;账期起,出库单!$C$4:$C$4003,"&lt;="&amp;账期止),0))</f>
        <v/>
      </c>
      <c r="R404" s="27">
        <f>IF($A404="","",SUMIFS(出库单!$J$4:$J$4003,出库单!$D$4:$D$4003,$A404,出库单!$K$4:$K$4003,"对外销售",出库单!$U$4:$U$4003,"正常",出库单!$C$4:$C$4003,"&gt;="&amp;账期起,出库单!$C$4:$C$4003,"&lt;="&amp;账期止))</f>
        <v/>
      </c>
      <c r="S404" s="26">
        <f>IF($A404="","",ROUND(SUMIFS(出库单!$S$4:$S$4003,出库单!$D$4:$D$4003,$A404,出库单!$K$4:$K$4003,"对外销售",出库单!$U$4:$U$4003,"正常",出库单!$C$4:$C$4003,"&gt;="&amp;账期起,出库单!$C$4:$C$4003,"&lt;="&amp;账期止),0))</f>
        <v/>
      </c>
      <c r="T404" s="27">
        <f>IF($A404="","",SUMIFS(出库单!$J$4:$J$4003,出库单!$D$4:$D$4003,$A404,出库单!$K$4:$K$4003,"盘亏",出库单!$U$4:$U$4003,"正常",出库单!$C$4:$C$4003,"&gt;="&amp;账期起,出库单!$C$4:$C$4003,"&lt;="&amp;账期止))</f>
        <v/>
      </c>
      <c r="U404" s="26">
        <f>IF($A404="","",ROUND(SUMIFS(出库单!$S$4:$S$4003,出库单!$D$4:$D$4003,$A404,出库单!$K$4:$K$4003,"盘亏",出库单!$U$4:$U$4003,"正常",出库单!$C$4:$C$4003,"&gt;="&amp;账期起,出库单!$C$4:$C$4003,"&lt;="&amp;账期止),0))</f>
        <v/>
      </c>
      <c r="V404" s="27">
        <f>IF($A404="","",SUMIFS(出库单!$J$4:$J$4003,出库单!$D$4:$D$4003,$A404,出库单!$K$4:$K$4003,"退货给供应商",出库单!$U$4:$U$4003,"正常",出库单!$C$4:$C$4003,"&gt;="&amp;账期起,出库单!$C$4:$C$4003,"&lt;="&amp;账期止))</f>
        <v/>
      </c>
      <c r="W404" s="26">
        <f>IF($A404="","",ROUND(SUMIFS(出库单!$S$4:$S$4003,出库单!$D$4:$D$4003,$A404,出库单!$K$4:$K$4003,"退货给供应商",出库单!$U$4:$U$4003,"正常",出库单!$C$4:$C$4003,"&gt;="&amp;账期起,出库单!$C$4:$C$4003,"&lt;="&amp;账期止),0))</f>
        <v/>
      </c>
      <c r="X404" s="27">
        <f>IF($A404="","",ROUND(N($G404)+$I404+$L404+$N404-$P404-$R404-$T404-$V404,3))</f>
        <v/>
      </c>
      <c r="Y404" s="26">
        <f>IF($A404="","",ROUND(N($H404)+$J404+$M404+$O404-$Q404-$S404-$U404-$W404,0))</f>
        <v/>
      </c>
      <c r="Z404" s="24">
        <f>IF($A404="","",IF(COUNTIFS(入库单!$G$4:$G$2503,$A404,入库单!$Y$4:$Y$2503,"待补价")+COUNTIFS(入库单!$G$4:$G$2503,$A404,入库单!$Y$4:$Y$2503,"暂估")&gt;0,"不可信","可信"))</f>
        <v/>
      </c>
      <c r="AA404" s="24">
        <f>IF($A404="","",IF($X404&lt;-0.001,"※账面负库存，查一下是不是漏记入库",IF(AND(ROUND($X404,3)=0,ABS($Y404)&gt;1),"※数量已经是 0，金额还挂着 "&amp;TEXT($Y404,"#,##0")&amp;" 先令",IF(AND($X404&gt;0,$Y404&lt;=0,$K404=0),"※有数量没金额（这个物料一直没填过进价）",IF($Z404="不可信","△成本含待补价/暂估，毛利仅供参考","")))))</f>
        <v/>
      </c>
    </row>
    <row r="405">
      <c r="A405" s="24">
        <f>IF(物料档案!$A404="","",物料档案!$A404)</f>
        <v/>
      </c>
      <c r="B405" s="24">
        <f>IF($A405="","",IFERROR(VLOOKUP($A405,物料档案!$A$4:$P$1203,3,0),""))</f>
        <v/>
      </c>
      <c r="C405" s="24">
        <f>IF($A405="","",IFERROR(VLOOKUP($A405,物料档案!$A$4:$P$1203,4,0),""))</f>
        <v/>
      </c>
      <c r="D405" s="24">
        <f>IF($A405="","",IFERROR(VLOOKUP($A405,物料档案!$A$4:$P$1203,5,0),""))</f>
        <v/>
      </c>
      <c r="E405" s="24">
        <f>IF($A405="","",IFERROR(VLOOKUP($A405,物料档案!$A$4:$P$1203,2,0),""))</f>
        <v/>
      </c>
      <c r="F405" s="24">
        <f>IF($A405="","",IFERROR(VLOOKUP($A405,物料档案!$A$4:$P$1203,6,0),""))</f>
        <v/>
      </c>
      <c r="G405" s="23" t="n"/>
      <c r="H405" s="32" t="n"/>
      <c r="I405" s="27">
        <f>IF($A405="","",SUMIFS(入库单!$K$4:$K$2503,入库单!$G$4:$G$2503,$A405,入库单!$X$4:$X$2503,"采购入库",入库单!$Z$4:$Z$2503,"正常",入库单!$C$4:$C$2503,"&gt;="&amp;账期起,入库单!$C$4:$C$2503,"&lt;="&amp;账期止))</f>
        <v/>
      </c>
      <c r="J405" s="26">
        <f>IF($A405="","",SUMIFS(入库单!$V$4:$V$2503,入库单!$G$4:$G$2503,$A405,入库单!$X$4:$X$2503,"采购入库",入库单!$Z$4:$Z$2503,"正常",入库单!$C$4:$C$2503,"&gt;="&amp;账期起,入库单!$C$4:$C$2503,"&lt;="&amp;账期止))</f>
        <v/>
      </c>
      <c r="K405" s="26">
        <f>IF($A405="","",IFERROR(ROUND((N($H405)+N($J405))/(N($G405)+N($I405)),2),0))</f>
        <v/>
      </c>
      <c r="L405" s="27">
        <f>IF($A405="","",SUMIFS(入库单!$K$4:$K$2503,入库单!$G$4:$G$2503,$A405,入库单!$X$4:$X$2503,"盘盈",入库单!$Z$4:$Z$2503,"正常",入库单!$C$4:$C$2503,"&gt;="&amp;账期起,入库单!$C$4:$C$2503,"&lt;="&amp;账期止))</f>
        <v/>
      </c>
      <c r="M405" s="26">
        <f>IF($A405="","",ROUND($L405*$K405,0))</f>
        <v/>
      </c>
      <c r="N405" s="27">
        <f>IF($A405="","",SUMIFS(入库单!$K$4:$K$2503,入库单!$G$4:$G$2503,$A405,入库单!$X$4:$X$2503,"矿区退库",入库单!$Z$4:$Z$2503,"正常",入库单!$C$4:$C$2503,"&gt;="&amp;账期起,入库单!$C$4:$C$2503,"&lt;="&amp;账期止))</f>
        <v/>
      </c>
      <c r="O405" s="26">
        <f>IF($A405="","",ROUND($N405*$K405,0))</f>
        <v/>
      </c>
      <c r="P405" s="27">
        <f>IF($A405="","",SUMIFS(出库单!$J$4:$J$4003,出库单!$D$4:$D$4003,$A405,出库单!$K$4:$K$4003,"自用消耗",出库单!$U$4:$U$4003,"正常",出库单!$C$4:$C$4003,"&gt;="&amp;账期起,出库单!$C$4:$C$4003,"&lt;="&amp;账期止))</f>
        <v/>
      </c>
      <c r="Q405" s="26">
        <f>IF($A405="","",ROUND(SUMIFS(出库单!$S$4:$S$4003,出库单!$D$4:$D$4003,$A405,出库单!$K$4:$K$4003,"自用消耗",出库单!$U$4:$U$4003,"正常",出库单!$C$4:$C$4003,"&gt;="&amp;账期起,出库单!$C$4:$C$4003,"&lt;="&amp;账期止),0))</f>
        <v/>
      </c>
      <c r="R405" s="27">
        <f>IF($A405="","",SUMIFS(出库单!$J$4:$J$4003,出库单!$D$4:$D$4003,$A405,出库单!$K$4:$K$4003,"对外销售",出库单!$U$4:$U$4003,"正常",出库单!$C$4:$C$4003,"&gt;="&amp;账期起,出库单!$C$4:$C$4003,"&lt;="&amp;账期止))</f>
        <v/>
      </c>
      <c r="S405" s="26">
        <f>IF($A405="","",ROUND(SUMIFS(出库单!$S$4:$S$4003,出库单!$D$4:$D$4003,$A405,出库单!$K$4:$K$4003,"对外销售",出库单!$U$4:$U$4003,"正常",出库单!$C$4:$C$4003,"&gt;="&amp;账期起,出库单!$C$4:$C$4003,"&lt;="&amp;账期止),0))</f>
        <v/>
      </c>
      <c r="T405" s="27">
        <f>IF($A405="","",SUMIFS(出库单!$J$4:$J$4003,出库单!$D$4:$D$4003,$A405,出库单!$K$4:$K$4003,"盘亏",出库单!$U$4:$U$4003,"正常",出库单!$C$4:$C$4003,"&gt;="&amp;账期起,出库单!$C$4:$C$4003,"&lt;="&amp;账期止))</f>
        <v/>
      </c>
      <c r="U405" s="26">
        <f>IF($A405="","",ROUND(SUMIFS(出库单!$S$4:$S$4003,出库单!$D$4:$D$4003,$A405,出库单!$K$4:$K$4003,"盘亏",出库单!$U$4:$U$4003,"正常",出库单!$C$4:$C$4003,"&gt;="&amp;账期起,出库单!$C$4:$C$4003,"&lt;="&amp;账期止),0))</f>
        <v/>
      </c>
      <c r="V405" s="27">
        <f>IF($A405="","",SUMIFS(出库单!$J$4:$J$4003,出库单!$D$4:$D$4003,$A405,出库单!$K$4:$K$4003,"退货给供应商",出库单!$U$4:$U$4003,"正常",出库单!$C$4:$C$4003,"&gt;="&amp;账期起,出库单!$C$4:$C$4003,"&lt;="&amp;账期止))</f>
        <v/>
      </c>
      <c r="W405" s="26">
        <f>IF($A405="","",ROUND(SUMIFS(出库单!$S$4:$S$4003,出库单!$D$4:$D$4003,$A405,出库单!$K$4:$K$4003,"退货给供应商",出库单!$U$4:$U$4003,"正常",出库单!$C$4:$C$4003,"&gt;="&amp;账期起,出库单!$C$4:$C$4003,"&lt;="&amp;账期止),0))</f>
        <v/>
      </c>
      <c r="X405" s="27">
        <f>IF($A405="","",ROUND(N($G405)+$I405+$L405+$N405-$P405-$R405-$T405-$V405,3))</f>
        <v/>
      </c>
      <c r="Y405" s="26">
        <f>IF($A405="","",ROUND(N($H405)+$J405+$M405+$O405-$Q405-$S405-$U405-$W405,0))</f>
        <v/>
      </c>
      <c r="Z405" s="24">
        <f>IF($A405="","",IF(COUNTIFS(入库单!$G$4:$G$2503,$A405,入库单!$Y$4:$Y$2503,"待补价")+COUNTIFS(入库单!$G$4:$G$2503,$A405,入库单!$Y$4:$Y$2503,"暂估")&gt;0,"不可信","可信"))</f>
        <v/>
      </c>
      <c r="AA405" s="24">
        <f>IF($A405="","",IF($X405&lt;-0.001,"※账面负库存，查一下是不是漏记入库",IF(AND(ROUND($X405,3)=0,ABS($Y405)&gt;1),"※数量已经是 0，金额还挂着 "&amp;TEXT($Y405,"#,##0")&amp;" 先令",IF(AND($X405&gt;0,$Y405&lt;=0,$K405=0),"※有数量没金额（这个物料一直没填过进价）",IF($Z405="不可信","△成本含待补价/暂估，毛利仅供参考","")))))</f>
        <v/>
      </c>
    </row>
    <row r="406">
      <c r="A406" s="24">
        <f>IF(物料档案!$A405="","",物料档案!$A405)</f>
        <v/>
      </c>
      <c r="B406" s="24">
        <f>IF($A406="","",IFERROR(VLOOKUP($A406,物料档案!$A$4:$P$1203,3,0),""))</f>
        <v/>
      </c>
      <c r="C406" s="24">
        <f>IF($A406="","",IFERROR(VLOOKUP($A406,物料档案!$A$4:$P$1203,4,0),""))</f>
        <v/>
      </c>
      <c r="D406" s="24">
        <f>IF($A406="","",IFERROR(VLOOKUP($A406,物料档案!$A$4:$P$1203,5,0),""))</f>
        <v/>
      </c>
      <c r="E406" s="24">
        <f>IF($A406="","",IFERROR(VLOOKUP($A406,物料档案!$A$4:$P$1203,2,0),""))</f>
        <v/>
      </c>
      <c r="F406" s="24">
        <f>IF($A406="","",IFERROR(VLOOKUP($A406,物料档案!$A$4:$P$1203,6,0),""))</f>
        <v/>
      </c>
      <c r="G406" s="23" t="n"/>
      <c r="H406" s="32" t="n"/>
      <c r="I406" s="27">
        <f>IF($A406="","",SUMIFS(入库单!$K$4:$K$2503,入库单!$G$4:$G$2503,$A406,入库单!$X$4:$X$2503,"采购入库",入库单!$Z$4:$Z$2503,"正常",入库单!$C$4:$C$2503,"&gt;="&amp;账期起,入库单!$C$4:$C$2503,"&lt;="&amp;账期止))</f>
        <v/>
      </c>
      <c r="J406" s="26">
        <f>IF($A406="","",SUMIFS(入库单!$V$4:$V$2503,入库单!$G$4:$G$2503,$A406,入库单!$X$4:$X$2503,"采购入库",入库单!$Z$4:$Z$2503,"正常",入库单!$C$4:$C$2503,"&gt;="&amp;账期起,入库单!$C$4:$C$2503,"&lt;="&amp;账期止))</f>
        <v/>
      </c>
      <c r="K406" s="26">
        <f>IF($A406="","",IFERROR(ROUND((N($H406)+N($J406))/(N($G406)+N($I406)),2),0))</f>
        <v/>
      </c>
      <c r="L406" s="27">
        <f>IF($A406="","",SUMIFS(入库单!$K$4:$K$2503,入库单!$G$4:$G$2503,$A406,入库单!$X$4:$X$2503,"盘盈",入库单!$Z$4:$Z$2503,"正常",入库单!$C$4:$C$2503,"&gt;="&amp;账期起,入库单!$C$4:$C$2503,"&lt;="&amp;账期止))</f>
        <v/>
      </c>
      <c r="M406" s="26">
        <f>IF($A406="","",ROUND($L406*$K406,0))</f>
        <v/>
      </c>
      <c r="N406" s="27">
        <f>IF($A406="","",SUMIFS(入库单!$K$4:$K$2503,入库单!$G$4:$G$2503,$A406,入库单!$X$4:$X$2503,"矿区退库",入库单!$Z$4:$Z$2503,"正常",入库单!$C$4:$C$2503,"&gt;="&amp;账期起,入库单!$C$4:$C$2503,"&lt;="&amp;账期止))</f>
        <v/>
      </c>
      <c r="O406" s="26">
        <f>IF($A406="","",ROUND($N406*$K406,0))</f>
        <v/>
      </c>
      <c r="P406" s="27">
        <f>IF($A406="","",SUMIFS(出库单!$J$4:$J$4003,出库单!$D$4:$D$4003,$A406,出库单!$K$4:$K$4003,"自用消耗",出库单!$U$4:$U$4003,"正常",出库单!$C$4:$C$4003,"&gt;="&amp;账期起,出库单!$C$4:$C$4003,"&lt;="&amp;账期止))</f>
        <v/>
      </c>
      <c r="Q406" s="26">
        <f>IF($A406="","",ROUND(SUMIFS(出库单!$S$4:$S$4003,出库单!$D$4:$D$4003,$A406,出库单!$K$4:$K$4003,"自用消耗",出库单!$U$4:$U$4003,"正常",出库单!$C$4:$C$4003,"&gt;="&amp;账期起,出库单!$C$4:$C$4003,"&lt;="&amp;账期止),0))</f>
        <v/>
      </c>
      <c r="R406" s="27">
        <f>IF($A406="","",SUMIFS(出库单!$J$4:$J$4003,出库单!$D$4:$D$4003,$A406,出库单!$K$4:$K$4003,"对外销售",出库单!$U$4:$U$4003,"正常",出库单!$C$4:$C$4003,"&gt;="&amp;账期起,出库单!$C$4:$C$4003,"&lt;="&amp;账期止))</f>
        <v/>
      </c>
      <c r="S406" s="26">
        <f>IF($A406="","",ROUND(SUMIFS(出库单!$S$4:$S$4003,出库单!$D$4:$D$4003,$A406,出库单!$K$4:$K$4003,"对外销售",出库单!$U$4:$U$4003,"正常",出库单!$C$4:$C$4003,"&gt;="&amp;账期起,出库单!$C$4:$C$4003,"&lt;="&amp;账期止),0))</f>
        <v/>
      </c>
      <c r="T406" s="27">
        <f>IF($A406="","",SUMIFS(出库单!$J$4:$J$4003,出库单!$D$4:$D$4003,$A406,出库单!$K$4:$K$4003,"盘亏",出库单!$U$4:$U$4003,"正常",出库单!$C$4:$C$4003,"&gt;="&amp;账期起,出库单!$C$4:$C$4003,"&lt;="&amp;账期止))</f>
        <v/>
      </c>
      <c r="U406" s="26">
        <f>IF($A406="","",ROUND(SUMIFS(出库单!$S$4:$S$4003,出库单!$D$4:$D$4003,$A406,出库单!$K$4:$K$4003,"盘亏",出库单!$U$4:$U$4003,"正常",出库单!$C$4:$C$4003,"&gt;="&amp;账期起,出库单!$C$4:$C$4003,"&lt;="&amp;账期止),0))</f>
        <v/>
      </c>
      <c r="V406" s="27">
        <f>IF($A406="","",SUMIFS(出库单!$J$4:$J$4003,出库单!$D$4:$D$4003,$A406,出库单!$K$4:$K$4003,"退货给供应商",出库单!$U$4:$U$4003,"正常",出库单!$C$4:$C$4003,"&gt;="&amp;账期起,出库单!$C$4:$C$4003,"&lt;="&amp;账期止))</f>
        <v/>
      </c>
      <c r="W406" s="26">
        <f>IF($A406="","",ROUND(SUMIFS(出库单!$S$4:$S$4003,出库单!$D$4:$D$4003,$A406,出库单!$K$4:$K$4003,"退货给供应商",出库单!$U$4:$U$4003,"正常",出库单!$C$4:$C$4003,"&gt;="&amp;账期起,出库单!$C$4:$C$4003,"&lt;="&amp;账期止),0))</f>
        <v/>
      </c>
      <c r="X406" s="27">
        <f>IF($A406="","",ROUND(N($G406)+$I406+$L406+$N406-$P406-$R406-$T406-$V406,3))</f>
        <v/>
      </c>
      <c r="Y406" s="26">
        <f>IF($A406="","",ROUND(N($H406)+$J406+$M406+$O406-$Q406-$S406-$U406-$W406,0))</f>
        <v/>
      </c>
      <c r="Z406" s="24">
        <f>IF($A406="","",IF(COUNTIFS(入库单!$G$4:$G$2503,$A406,入库单!$Y$4:$Y$2503,"待补价")+COUNTIFS(入库单!$G$4:$G$2503,$A406,入库单!$Y$4:$Y$2503,"暂估")&gt;0,"不可信","可信"))</f>
        <v/>
      </c>
      <c r="AA406" s="24">
        <f>IF($A406="","",IF($X406&lt;-0.001,"※账面负库存，查一下是不是漏记入库",IF(AND(ROUND($X406,3)=0,ABS($Y406)&gt;1),"※数量已经是 0，金额还挂着 "&amp;TEXT($Y406,"#,##0")&amp;" 先令",IF(AND($X406&gt;0,$Y406&lt;=0,$K406=0),"※有数量没金额（这个物料一直没填过进价）",IF($Z406="不可信","△成本含待补价/暂估，毛利仅供参考","")))))</f>
        <v/>
      </c>
    </row>
    <row r="407">
      <c r="A407" s="24">
        <f>IF(物料档案!$A406="","",物料档案!$A406)</f>
        <v/>
      </c>
      <c r="B407" s="24">
        <f>IF($A407="","",IFERROR(VLOOKUP($A407,物料档案!$A$4:$P$1203,3,0),""))</f>
        <v/>
      </c>
      <c r="C407" s="24">
        <f>IF($A407="","",IFERROR(VLOOKUP($A407,物料档案!$A$4:$P$1203,4,0),""))</f>
        <v/>
      </c>
      <c r="D407" s="24">
        <f>IF($A407="","",IFERROR(VLOOKUP($A407,物料档案!$A$4:$P$1203,5,0),""))</f>
        <v/>
      </c>
      <c r="E407" s="24">
        <f>IF($A407="","",IFERROR(VLOOKUP($A407,物料档案!$A$4:$P$1203,2,0),""))</f>
        <v/>
      </c>
      <c r="F407" s="24">
        <f>IF($A407="","",IFERROR(VLOOKUP($A407,物料档案!$A$4:$P$1203,6,0),""))</f>
        <v/>
      </c>
      <c r="G407" s="23" t="n"/>
      <c r="H407" s="32" t="n"/>
      <c r="I407" s="27">
        <f>IF($A407="","",SUMIFS(入库单!$K$4:$K$2503,入库单!$G$4:$G$2503,$A407,入库单!$X$4:$X$2503,"采购入库",入库单!$Z$4:$Z$2503,"正常",入库单!$C$4:$C$2503,"&gt;="&amp;账期起,入库单!$C$4:$C$2503,"&lt;="&amp;账期止))</f>
        <v/>
      </c>
      <c r="J407" s="26">
        <f>IF($A407="","",SUMIFS(入库单!$V$4:$V$2503,入库单!$G$4:$G$2503,$A407,入库单!$X$4:$X$2503,"采购入库",入库单!$Z$4:$Z$2503,"正常",入库单!$C$4:$C$2503,"&gt;="&amp;账期起,入库单!$C$4:$C$2503,"&lt;="&amp;账期止))</f>
        <v/>
      </c>
      <c r="K407" s="26">
        <f>IF($A407="","",IFERROR(ROUND((N($H407)+N($J407))/(N($G407)+N($I407)),2),0))</f>
        <v/>
      </c>
      <c r="L407" s="27">
        <f>IF($A407="","",SUMIFS(入库单!$K$4:$K$2503,入库单!$G$4:$G$2503,$A407,入库单!$X$4:$X$2503,"盘盈",入库单!$Z$4:$Z$2503,"正常",入库单!$C$4:$C$2503,"&gt;="&amp;账期起,入库单!$C$4:$C$2503,"&lt;="&amp;账期止))</f>
        <v/>
      </c>
      <c r="M407" s="26">
        <f>IF($A407="","",ROUND($L407*$K407,0))</f>
        <v/>
      </c>
      <c r="N407" s="27">
        <f>IF($A407="","",SUMIFS(入库单!$K$4:$K$2503,入库单!$G$4:$G$2503,$A407,入库单!$X$4:$X$2503,"矿区退库",入库单!$Z$4:$Z$2503,"正常",入库单!$C$4:$C$2503,"&gt;="&amp;账期起,入库单!$C$4:$C$2503,"&lt;="&amp;账期止))</f>
        <v/>
      </c>
      <c r="O407" s="26">
        <f>IF($A407="","",ROUND($N407*$K407,0))</f>
        <v/>
      </c>
      <c r="P407" s="27">
        <f>IF($A407="","",SUMIFS(出库单!$J$4:$J$4003,出库单!$D$4:$D$4003,$A407,出库单!$K$4:$K$4003,"自用消耗",出库单!$U$4:$U$4003,"正常",出库单!$C$4:$C$4003,"&gt;="&amp;账期起,出库单!$C$4:$C$4003,"&lt;="&amp;账期止))</f>
        <v/>
      </c>
      <c r="Q407" s="26">
        <f>IF($A407="","",ROUND(SUMIFS(出库单!$S$4:$S$4003,出库单!$D$4:$D$4003,$A407,出库单!$K$4:$K$4003,"自用消耗",出库单!$U$4:$U$4003,"正常",出库单!$C$4:$C$4003,"&gt;="&amp;账期起,出库单!$C$4:$C$4003,"&lt;="&amp;账期止),0))</f>
        <v/>
      </c>
      <c r="R407" s="27">
        <f>IF($A407="","",SUMIFS(出库单!$J$4:$J$4003,出库单!$D$4:$D$4003,$A407,出库单!$K$4:$K$4003,"对外销售",出库单!$U$4:$U$4003,"正常",出库单!$C$4:$C$4003,"&gt;="&amp;账期起,出库单!$C$4:$C$4003,"&lt;="&amp;账期止))</f>
        <v/>
      </c>
      <c r="S407" s="26">
        <f>IF($A407="","",ROUND(SUMIFS(出库单!$S$4:$S$4003,出库单!$D$4:$D$4003,$A407,出库单!$K$4:$K$4003,"对外销售",出库单!$U$4:$U$4003,"正常",出库单!$C$4:$C$4003,"&gt;="&amp;账期起,出库单!$C$4:$C$4003,"&lt;="&amp;账期止),0))</f>
        <v/>
      </c>
      <c r="T407" s="27">
        <f>IF($A407="","",SUMIFS(出库单!$J$4:$J$4003,出库单!$D$4:$D$4003,$A407,出库单!$K$4:$K$4003,"盘亏",出库单!$U$4:$U$4003,"正常",出库单!$C$4:$C$4003,"&gt;="&amp;账期起,出库单!$C$4:$C$4003,"&lt;="&amp;账期止))</f>
        <v/>
      </c>
      <c r="U407" s="26">
        <f>IF($A407="","",ROUND(SUMIFS(出库单!$S$4:$S$4003,出库单!$D$4:$D$4003,$A407,出库单!$K$4:$K$4003,"盘亏",出库单!$U$4:$U$4003,"正常",出库单!$C$4:$C$4003,"&gt;="&amp;账期起,出库单!$C$4:$C$4003,"&lt;="&amp;账期止),0))</f>
        <v/>
      </c>
      <c r="V407" s="27">
        <f>IF($A407="","",SUMIFS(出库单!$J$4:$J$4003,出库单!$D$4:$D$4003,$A407,出库单!$K$4:$K$4003,"退货给供应商",出库单!$U$4:$U$4003,"正常",出库单!$C$4:$C$4003,"&gt;="&amp;账期起,出库单!$C$4:$C$4003,"&lt;="&amp;账期止))</f>
        <v/>
      </c>
      <c r="W407" s="26">
        <f>IF($A407="","",ROUND(SUMIFS(出库单!$S$4:$S$4003,出库单!$D$4:$D$4003,$A407,出库单!$K$4:$K$4003,"退货给供应商",出库单!$U$4:$U$4003,"正常",出库单!$C$4:$C$4003,"&gt;="&amp;账期起,出库单!$C$4:$C$4003,"&lt;="&amp;账期止),0))</f>
        <v/>
      </c>
      <c r="X407" s="27">
        <f>IF($A407="","",ROUND(N($G407)+$I407+$L407+$N407-$P407-$R407-$T407-$V407,3))</f>
        <v/>
      </c>
      <c r="Y407" s="26">
        <f>IF($A407="","",ROUND(N($H407)+$J407+$M407+$O407-$Q407-$S407-$U407-$W407,0))</f>
        <v/>
      </c>
      <c r="Z407" s="24">
        <f>IF($A407="","",IF(COUNTIFS(入库单!$G$4:$G$2503,$A407,入库单!$Y$4:$Y$2503,"待补价")+COUNTIFS(入库单!$G$4:$G$2503,$A407,入库单!$Y$4:$Y$2503,"暂估")&gt;0,"不可信","可信"))</f>
        <v/>
      </c>
      <c r="AA407" s="24">
        <f>IF($A407="","",IF($X407&lt;-0.001,"※账面负库存，查一下是不是漏记入库",IF(AND(ROUND($X407,3)=0,ABS($Y407)&gt;1),"※数量已经是 0，金额还挂着 "&amp;TEXT($Y407,"#,##0")&amp;" 先令",IF(AND($X407&gt;0,$Y407&lt;=0,$K407=0),"※有数量没金额（这个物料一直没填过进价）",IF($Z407="不可信","△成本含待补价/暂估，毛利仅供参考","")))))</f>
        <v/>
      </c>
    </row>
    <row r="408">
      <c r="A408" s="24">
        <f>IF(物料档案!$A407="","",物料档案!$A407)</f>
        <v/>
      </c>
      <c r="B408" s="24">
        <f>IF($A408="","",IFERROR(VLOOKUP($A408,物料档案!$A$4:$P$1203,3,0),""))</f>
        <v/>
      </c>
      <c r="C408" s="24">
        <f>IF($A408="","",IFERROR(VLOOKUP($A408,物料档案!$A$4:$P$1203,4,0),""))</f>
        <v/>
      </c>
      <c r="D408" s="24">
        <f>IF($A408="","",IFERROR(VLOOKUP($A408,物料档案!$A$4:$P$1203,5,0),""))</f>
        <v/>
      </c>
      <c r="E408" s="24">
        <f>IF($A408="","",IFERROR(VLOOKUP($A408,物料档案!$A$4:$P$1203,2,0),""))</f>
        <v/>
      </c>
      <c r="F408" s="24">
        <f>IF($A408="","",IFERROR(VLOOKUP($A408,物料档案!$A$4:$P$1203,6,0),""))</f>
        <v/>
      </c>
      <c r="G408" s="23" t="n"/>
      <c r="H408" s="32" t="n"/>
      <c r="I408" s="27">
        <f>IF($A408="","",SUMIFS(入库单!$K$4:$K$2503,入库单!$G$4:$G$2503,$A408,入库单!$X$4:$X$2503,"采购入库",入库单!$Z$4:$Z$2503,"正常",入库单!$C$4:$C$2503,"&gt;="&amp;账期起,入库单!$C$4:$C$2503,"&lt;="&amp;账期止))</f>
        <v/>
      </c>
      <c r="J408" s="26">
        <f>IF($A408="","",SUMIFS(入库单!$V$4:$V$2503,入库单!$G$4:$G$2503,$A408,入库单!$X$4:$X$2503,"采购入库",入库单!$Z$4:$Z$2503,"正常",入库单!$C$4:$C$2503,"&gt;="&amp;账期起,入库单!$C$4:$C$2503,"&lt;="&amp;账期止))</f>
        <v/>
      </c>
      <c r="K408" s="26">
        <f>IF($A408="","",IFERROR(ROUND((N($H408)+N($J408))/(N($G408)+N($I408)),2),0))</f>
        <v/>
      </c>
      <c r="L408" s="27">
        <f>IF($A408="","",SUMIFS(入库单!$K$4:$K$2503,入库单!$G$4:$G$2503,$A408,入库单!$X$4:$X$2503,"盘盈",入库单!$Z$4:$Z$2503,"正常",入库单!$C$4:$C$2503,"&gt;="&amp;账期起,入库单!$C$4:$C$2503,"&lt;="&amp;账期止))</f>
        <v/>
      </c>
      <c r="M408" s="26">
        <f>IF($A408="","",ROUND($L408*$K408,0))</f>
        <v/>
      </c>
      <c r="N408" s="27">
        <f>IF($A408="","",SUMIFS(入库单!$K$4:$K$2503,入库单!$G$4:$G$2503,$A408,入库单!$X$4:$X$2503,"矿区退库",入库单!$Z$4:$Z$2503,"正常",入库单!$C$4:$C$2503,"&gt;="&amp;账期起,入库单!$C$4:$C$2503,"&lt;="&amp;账期止))</f>
        <v/>
      </c>
      <c r="O408" s="26">
        <f>IF($A408="","",ROUND($N408*$K408,0))</f>
        <v/>
      </c>
      <c r="P408" s="27">
        <f>IF($A408="","",SUMIFS(出库单!$J$4:$J$4003,出库单!$D$4:$D$4003,$A408,出库单!$K$4:$K$4003,"自用消耗",出库单!$U$4:$U$4003,"正常",出库单!$C$4:$C$4003,"&gt;="&amp;账期起,出库单!$C$4:$C$4003,"&lt;="&amp;账期止))</f>
        <v/>
      </c>
      <c r="Q408" s="26">
        <f>IF($A408="","",ROUND(SUMIFS(出库单!$S$4:$S$4003,出库单!$D$4:$D$4003,$A408,出库单!$K$4:$K$4003,"自用消耗",出库单!$U$4:$U$4003,"正常",出库单!$C$4:$C$4003,"&gt;="&amp;账期起,出库单!$C$4:$C$4003,"&lt;="&amp;账期止),0))</f>
        <v/>
      </c>
      <c r="R408" s="27">
        <f>IF($A408="","",SUMIFS(出库单!$J$4:$J$4003,出库单!$D$4:$D$4003,$A408,出库单!$K$4:$K$4003,"对外销售",出库单!$U$4:$U$4003,"正常",出库单!$C$4:$C$4003,"&gt;="&amp;账期起,出库单!$C$4:$C$4003,"&lt;="&amp;账期止))</f>
        <v/>
      </c>
      <c r="S408" s="26">
        <f>IF($A408="","",ROUND(SUMIFS(出库单!$S$4:$S$4003,出库单!$D$4:$D$4003,$A408,出库单!$K$4:$K$4003,"对外销售",出库单!$U$4:$U$4003,"正常",出库单!$C$4:$C$4003,"&gt;="&amp;账期起,出库单!$C$4:$C$4003,"&lt;="&amp;账期止),0))</f>
        <v/>
      </c>
      <c r="T408" s="27">
        <f>IF($A408="","",SUMIFS(出库单!$J$4:$J$4003,出库单!$D$4:$D$4003,$A408,出库单!$K$4:$K$4003,"盘亏",出库单!$U$4:$U$4003,"正常",出库单!$C$4:$C$4003,"&gt;="&amp;账期起,出库单!$C$4:$C$4003,"&lt;="&amp;账期止))</f>
        <v/>
      </c>
      <c r="U408" s="26">
        <f>IF($A408="","",ROUND(SUMIFS(出库单!$S$4:$S$4003,出库单!$D$4:$D$4003,$A408,出库单!$K$4:$K$4003,"盘亏",出库单!$U$4:$U$4003,"正常",出库单!$C$4:$C$4003,"&gt;="&amp;账期起,出库单!$C$4:$C$4003,"&lt;="&amp;账期止),0))</f>
        <v/>
      </c>
      <c r="V408" s="27">
        <f>IF($A408="","",SUMIFS(出库单!$J$4:$J$4003,出库单!$D$4:$D$4003,$A408,出库单!$K$4:$K$4003,"退货给供应商",出库单!$U$4:$U$4003,"正常",出库单!$C$4:$C$4003,"&gt;="&amp;账期起,出库单!$C$4:$C$4003,"&lt;="&amp;账期止))</f>
        <v/>
      </c>
      <c r="W408" s="26">
        <f>IF($A408="","",ROUND(SUMIFS(出库单!$S$4:$S$4003,出库单!$D$4:$D$4003,$A408,出库单!$K$4:$K$4003,"退货给供应商",出库单!$U$4:$U$4003,"正常",出库单!$C$4:$C$4003,"&gt;="&amp;账期起,出库单!$C$4:$C$4003,"&lt;="&amp;账期止),0))</f>
        <v/>
      </c>
      <c r="X408" s="27">
        <f>IF($A408="","",ROUND(N($G408)+$I408+$L408+$N408-$P408-$R408-$T408-$V408,3))</f>
        <v/>
      </c>
      <c r="Y408" s="26">
        <f>IF($A408="","",ROUND(N($H408)+$J408+$M408+$O408-$Q408-$S408-$U408-$W408,0))</f>
        <v/>
      </c>
      <c r="Z408" s="24">
        <f>IF($A408="","",IF(COUNTIFS(入库单!$G$4:$G$2503,$A408,入库单!$Y$4:$Y$2503,"待补价")+COUNTIFS(入库单!$G$4:$G$2503,$A408,入库单!$Y$4:$Y$2503,"暂估")&gt;0,"不可信","可信"))</f>
        <v/>
      </c>
      <c r="AA408" s="24">
        <f>IF($A408="","",IF($X408&lt;-0.001,"※账面负库存，查一下是不是漏记入库",IF(AND(ROUND($X408,3)=0,ABS($Y408)&gt;1),"※数量已经是 0，金额还挂着 "&amp;TEXT($Y408,"#,##0")&amp;" 先令",IF(AND($X408&gt;0,$Y408&lt;=0,$K408=0),"※有数量没金额（这个物料一直没填过进价）",IF($Z408="不可信","△成本含待补价/暂估，毛利仅供参考","")))))</f>
        <v/>
      </c>
    </row>
    <row r="409">
      <c r="A409" s="24">
        <f>IF(物料档案!$A408="","",物料档案!$A408)</f>
        <v/>
      </c>
      <c r="B409" s="24">
        <f>IF($A409="","",IFERROR(VLOOKUP($A409,物料档案!$A$4:$P$1203,3,0),""))</f>
        <v/>
      </c>
      <c r="C409" s="24">
        <f>IF($A409="","",IFERROR(VLOOKUP($A409,物料档案!$A$4:$P$1203,4,0),""))</f>
        <v/>
      </c>
      <c r="D409" s="24">
        <f>IF($A409="","",IFERROR(VLOOKUP($A409,物料档案!$A$4:$P$1203,5,0),""))</f>
        <v/>
      </c>
      <c r="E409" s="24">
        <f>IF($A409="","",IFERROR(VLOOKUP($A409,物料档案!$A$4:$P$1203,2,0),""))</f>
        <v/>
      </c>
      <c r="F409" s="24">
        <f>IF($A409="","",IFERROR(VLOOKUP($A409,物料档案!$A$4:$P$1203,6,0),""))</f>
        <v/>
      </c>
      <c r="G409" s="23" t="n"/>
      <c r="H409" s="32" t="n"/>
      <c r="I409" s="27">
        <f>IF($A409="","",SUMIFS(入库单!$K$4:$K$2503,入库单!$G$4:$G$2503,$A409,入库单!$X$4:$X$2503,"采购入库",入库单!$Z$4:$Z$2503,"正常",入库单!$C$4:$C$2503,"&gt;="&amp;账期起,入库单!$C$4:$C$2503,"&lt;="&amp;账期止))</f>
        <v/>
      </c>
      <c r="J409" s="26">
        <f>IF($A409="","",SUMIFS(入库单!$V$4:$V$2503,入库单!$G$4:$G$2503,$A409,入库单!$X$4:$X$2503,"采购入库",入库单!$Z$4:$Z$2503,"正常",入库单!$C$4:$C$2503,"&gt;="&amp;账期起,入库单!$C$4:$C$2503,"&lt;="&amp;账期止))</f>
        <v/>
      </c>
      <c r="K409" s="26">
        <f>IF($A409="","",IFERROR(ROUND((N($H409)+N($J409))/(N($G409)+N($I409)),2),0))</f>
        <v/>
      </c>
      <c r="L409" s="27">
        <f>IF($A409="","",SUMIFS(入库单!$K$4:$K$2503,入库单!$G$4:$G$2503,$A409,入库单!$X$4:$X$2503,"盘盈",入库单!$Z$4:$Z$2503,"正常",入库单!$C$4:$C$2503,"&gt;="&amp;账期起,入库单!$C$4:$C$2503,"&lt;="&amp;账期止))</f>
        <v/>
      </c>
      <c r="M409" s="26">
        <f>IF($A409="","",ROUND($L409*$K409,0))</f>
        <v/>
      </c>
      <c r="N409" s="27">
        <f>IF($A409="","",SUMIFS(入库单!$K$4:$K$2503,入库单!$G$4:$G$2503,$A409,入库单!$X$4:$X$2503,"矿区退库",入库单!$Z$4:$Z$2503,"正常",入库单!$C$4:$C$2503,"&gt;="&amp;账期起,入库单!$C$4:$C$2503,"&lt;="&amp;账期止))</f>
        <v/>
      </c>
      <c r="O409" s="26">
        <f>IF($A409="","",ROUND($N409*$K409,0))</f>
        <v/>
      </c>
      <c r="P409" s="27">
        <f>IF($A409="","",SUMIFS(出库单!$J$4:$J$4003,出库单!$D$4:$D$4003,$A409,出库单!$K$4:$K$4003,"自用消耗",出库单!$U$4:$U$4003,"正常",出库单!$C$4:$C$4003,"&gt;="&amp;账期起,出库单!$C$4:$C$4003,"&lt;="&amp;账期止))</f>
        <v/>
      </c>
      <c r="Q409" s="26">
        <f>IF($A409="","",ROUND(SUMIFS(出库单!$S$4:$S$4003,出库单!$D$4:$D$4003,$A409,出库单!$K$4:$K$4003,"自用消耗",出库单!$U$4:$U$4003,"正常",出库单!$C$4:$C$4003,"&gt;="&amp;账期起,出库单!$C$4:$C$4003,"&lt;="&amp;账期止),0))</f>
        <v/>
      </c>
      <c r="R409" s="27">
        <f>IF($A409="","",SUMIFS(出库单!$J$4:$J$4003,出库单!$D$4:$D$4003,$A409,出库单!$K$4:$K$4003,"对外销售",出库单!$U$4:$U$4003,"正常",出库单!$C$4:$C$4003,"&gt;="&amp;账期起,出库单!$C$4:$C$4003,"&lt;="&amp;账期止))</f>
        <v/>
      </c>
      <c r="S409" s="26">
        <f>IF($A409="","",ROUND(SUMIFS(出库单!$S$4:$S$4003,出库单!$D$4:$D$4003,$A409,出库单!$K$4:$K$4003,"对外销售",出库单!$U$4:$U$4003,"正常",出库单!$C$4:$C$4003,"&gt;="&amp;账期起,出库单!$C$4:$C$4003,"&lt;="&amp;账期止),0))</f>
        <v/>
      </c>
      <c r="T409" s="27">
        <f>IF($A409="","",SUMIFS(出库单!$J$4:$J$4003,出库单!$D$4:$D$4003,$A409,出库单!$K$4:$K$4003,"盘亏",出库单!$U$4:$U$4003,"正常",出库单!$C$4:$C$4003,"&gt;="&amp;账期起,出库单!$C$4:$C$4003,"&lt;="&amp;账期止))</f>
        <v/>
      </c>
      <c r="U409" s="26">
        <f>IF($A409="","",ROUND(SUMIFS(出库单!$S$4:$S$4003,出库单!$D$4:$D$4003,$A409,出库单!$K$4:$K$4003,"盘亏",出库单!$U$4:$U$4003,"正常",出库单!$C$4:$C$4003,"&gt;="&amp;账期起,出库单!$C$4:$C$4003,"&lt;="&amp;账期止),0))</f>
        <v/>
      </c>
      <c r="V409" s="27">
        <f>IF($A409="","",SUMIFS(出库单!$J$4:$J$4003,出库单!$D$4:$D$4003,$A409,出库单!$K$4:$K$4003,"退货给供应商",出库单!$U$4:$U$4003,"正常",出库单!$C$4:$C$4003,"&gt;="&amp;账期起,出库单!$C$4:$C$4003,"&lt;="&amp;账期止))</f>
        <v/>
      </c>
      <c r="W409" s="26">
        <f>IF($A409="","",ROUND(SUMIFS(出库单!$S$4:$S$4003,出库单!$D$4:$D$4003,$A409,出库单!$K$4:$K$4003,"退货给供应商",出库单!$U$4:$U$4003,"正常",出库单!$C$4:$C$4003,"&gt;="&amp;账期起,出库单!$C$4:$C$4003,"&lt;="&amp;账期止),0))</f>
        <v/>
      </c>
      <c r="X409" s="27">
        <f>IF($A409="","",ROUND(N($G409)+$I409+$L409+$N409-$P409-$R409-$T409-$V409,3))</f>
        <v/>
      </c>
      <c r="Y409" s="26">
        <f>IF($A409="","",ROUND(N($H409)+$J409+$M409+$O409-$Q409-$S409-$U409-$W409,0))</f>
        <v/>
      </c>
      <c r="Z409" s="24">
        <f>IF($A409="","",IF(COUNTIFS(入库单!$G$4:$G$2503,$A409,入库单!$Y$4:$Y$2503,"待补价")+COUNTIFS(入库单!$G$4:$G$2503,$A409,入库单!$Y$4:$Y$2503,"暂估")&gt;0,"不可信","可信"))</f>
        <v/>
      </c>
      <c r="AA409" s="24">
        <f>IF($A409="","",IF($X409&lt;-0.001,"※账面负库存，查一下是不是漏记入库",IF(AND(ROUND($X409,3)=0,ABS($Y409)&gt;1),"※数量已经是 0，金额还挂着 "&amp;TEXT($Y409,"#,##0")&amp;" 先令",IF(AND($X409&gt;0,$Y409&lt;=0,$K409=0),"※有数量没金额（这个物料一直没填过进价）",IF($Z409="不可信","△成本含待补价/暂估，毛利仅供参考","")))))</f>
        <v/>
      </c>
    </row>
    <row r="410">
      <c r="A410" s="24">
        <f>IF(物料档案!$A409="","",物料档案!$A409)</f>
        <v/>
      </c>
      <c r="B410" s="24">
        <f>IF($A410="","",IFERROR(VLOOKUP($A410,物料档案!$A$4:$P$1203,3,0),""))</f>
        <v/>
      </c>
      <c r="C410" s="24">
        <f>IF($A410="","",IFERROR(VLOOKUP($A410,物料档案!$A$4:$P$1203,4,0),""))</f>
        <v/>
      </c>
      <c r="D410" s="24">
        <f>IF($A410="","",IFERROR(VLOOKUP($A410,物料档案!$A$4:$P$1203,5,0),""))</f>
        <v/>
      </c>
      <c r="E410" s="24">
        <f>IF($A410="","",IFERROR(VLOOKUP($A410,物料档案!$A$4:$P$1203,2,0),""))</f>
        <v/>
      </c>
      <c r="F410" s="24">
        <f>IF($A410="","",IFERROR(VLOOKUP($A410,物料档案!$A$4:$P$1203,6,0),""))</f>
        <v/>
      </c>
      <c r="G410" s="23" t="n"/>
      <c r="H410" s="32" t="n"/>
      <c r="I410" s="27">
        <f>IF($A410="","",SUMIFS(入库单!$K$4:$K$2503,入库单!$G$4:$G$2503,$A410,入库单!$X$4:$X$2503,"采购入库",入库单!$Z$4:$Z$2503,"正常",入库单!$C$4:$C$2503,"&gt;="&amp;账期起,入库单!$C$4:$C$2503,"&lt;="&amp;账期止))</f>
        <v/>
      </c>
      <c r="J410" s="26">
        <f>IF($A410="","",SUMIFS(入库单!$V$4:$V$2503,入库单!$G$4:$G$2503,$A410,入库单!$X$4:$X$2503,"采购入库",入库单!$Z$4:$Z$2503,"正常",入库单!$C$4:$C$2503,"&gt;="&amp;账期起,入库单!$C$4:$C$2503,"&lt;="&amp;账期止))</f>
        <v/>
      </c>
      <c r="K410" s="26">
        <f>IF($A410="","",IFERROR(ROUND((N($H410)+N($J410))/(N($G410)+N($I410)),2),0))</f>
        <v/>
      </c>
      <c r="L410" s="27">
        <f>IF($A410="","",SUMIFS(入库单!$K$4:$K$2503,入库单!$G$4:$G$2503,$A410,入库单!$X$4:$X$2503,"盘盈",入库单!$Z$4:$Z$2503,"正常",入库单!$C$4:$C$2503,"&gt;="&amp;账期起,入库单!$C$4:$C$2503,"&lt;="&amp;账期止))</f>
        <v/>
      </c>
      <c r="M410" s="26">
        <f>IF($A410="","",ROUND($L410*$K410,0))</f>
        <v/>
      </c>
      <c r="N410" s="27">
        <f>IF($A410="","",SUMIFS(入库单!$K$4:$K$2503,入库单!$G$4:$G$2503,$A410,入库单!$X$4:$X$2503,"矿区退库",入库单!$Z$4:$Z$2503,"正常",入库单!$C$4:$C$2503,"&gt;="&amp;账期起,入库单!$C$4:$C$2503,"&lt;="&amp;账期止))</f>
        <v/>
      </c>
      <c r="O410" s="26">
        <f>IF($A410="","",ROUND($N410*$K410,0))</f>
        <v/>
      </c>
      <c r="P410" s="27">
        <f>IF($A410="","",SUMIFS(出库单!$J$4:$J$4003,出库单!$D$4:$D$4003,$A410,出库单!$K$4:$K$4003,"自用消耗",出库单!$U$4:$U$4003,"正常",出库单!$C$4:$C$4003,"&gt;="&amp;账期起,出库单!$C$4:$C$4003,"&lt;="&amp;账期止))</f>
        <v/>
      </c>
      <c r="Q410" s="26">
        <f>IF($A410="","",ROUND(SUMIFS(出库单!$S$4:$S$4003,出库单!$D$4:$D$4003,$A410,出库单!$K$4:$K$4003,"自用消耗",出库单!$U$4:$U$4003,"正常",出库单!$C$4:$C$4003,"&gt;="&amp;账期起,出库单!$C$4:$C$4003,"&lt;="&amp;账期止),0))</f>
        <v/>
      </c>
      <c r="R410" s="27">
        <f>IF($A410="","",SUMIFS(出库单!$J$4:$J$4003,出库单!$D$4:$D$4003,$A410,出库单!$K$4:$K$4003,"对外销售",出库单!$U$4:$U$4003,"正常",出库单!$C$4:$C$4003,"&gt;="&amp;账期起,出库单!$C$4:$C$4003,"&lt;="&amp;账期止))</f>
        <v/>
      </c>
      <c r="S410" s="26">
        <f>IF($A410="","",ROUND(SUMIFS(出库单!$S$4:$S$4003,出库单!$D$4:$D$4003,$A410,出库单!$K$4:$K$4003,"对外销售",出库单!$U$4:$U$4003,"正常",出库单!$C$4:$C$4003,"&gt;="&amp;账期起,出库单!$C$4:$C$4003,"&lt;="&amp;账期止),0))</f>
        <v/>
      </c>
      <c r="T410" s="27">
        <f>IF($A410="","",SUMIFS(出库单!$J$4:$J$4003,出库单!$D$4:$D$4003,$A410,出库单!$K$4:$K$4003,"盘亏",出库单!$U$4:$U$4003,"正常",出库单!$C$4:$C$4003,"&gt;="&amp;账期起,出库单!$C$4:$C$4003,"&lt;="&amp;账期止))</f>
        <v/>
      </c>
      <c r="U410" s="26">
        <f>IF($A410="","",ROUND(SUMIFS(出库单!$S$4:$S$4003,出库单!$D$4:$D$4003,$A410,出库单!$K$4:$K$4003,"盘亏",出库单!$U$4:$U$4003,"正常",出库单!$C$4:$C$4003,"&gt;="&amp;账期起,出库单!$C$4:$C$4003,"&lt;="&amp;账期止),0))</f>
        <v/>
      </c>
      <c r="V410" s="27">
        <f>IF($A410="","",SUMIFS(出库单!$J$4:$J$4003,出库单!$D$4:$D$4003,$A410,出库单!$K$4:$K$4003,"退货给供应商",出库单!$U$4:$U$4003,"正常",出库单!$C$4:$C$4003,"&gt;="&amp;账期起,出库单!$C$4:$C$4003,"&lt;="&amp;账期止))</f>
        <v/>
      </c>
      <c r="W410" s="26">
        <f>IF($A410="","",ROUND(SUMIFS(出库单!$S$4:$S$4003,出库单!$D$4:$D$4003,$A410,出库单!$K$4:$K$4003,"退货给供应商",出库单!$U$4:$U$4003,"正常",出库单!$C$4:$C$4003,"&gt;="&amp;账期起,出库单!$C$4:$C$4003,"&lt;="&amp;账期止),0))</f>
        <v/>
      </c>
      <c r="X410" s="27">
        <f>IF($A410="","",ROUND(N($G410)+$I410+$L410+$N410-$P410-$R410-$T410-$V410,3))</f>
        <v/>
      </c>
      <c r="Y410" s="26">
        <f>IF($A410="","",ROUND(N($H410)+$J410+$M410+$O410-$Q410-$S410-$U410-$W410,0))</f>
        <v/>
      </c>
      <c r="Z410" s="24">
        <f>IF($A410="","",IF(COUNTIFS(入库单!$G$4:$G$2503,$A410,入库单!$Y$4:$Y$2503,"待补价")+COUNTIFS(入库单!$G$4:$G$2503,$A410,入库单!$Y$4:$Y$2503,"暂估")&gt;0,"不可信","可信"))</f>
        <v/>
      </c>
      <c r="AA410" s="24">
        <f>IF($A410="","",IF($X410&lt;-0.001,"※账面负库存，查一下是不是漏记入库",IF(AND(ROUND($X410,3)=0,ABS($Y410)&gt;1),"※数量已经是 0，金额还挂着 "&amp;TEXT($Y410,"#,##0")&amp;" 先令",IF(AND($X410&gt;0,$Y410&lt;=0,$K410=0),"※有数量没金额（这个物料一直没填过进价）",IF($Z410="不可信","△成本含待补价/暂估，毛利仅供参考","")))))</f>
        <v/>
      </c>
    </row>
    <row r="411">
      <c r="A411" s="24">
        <f>IF(物料档案!$A410="","",物料档案!$A410)</f>
        <v/>
      </c>
      <c r="B411" s="24">
        <f>IF($A411="","",IFERROR(VLOOKUP($A411,物料档案!$A$4:$P$1203,3,0),""))</f>
        <v/>
      </c>
      <c r="C411" s="24">
        <f>IF($A411="","",IFERROR(VLOOKUP($A411,物料档案!$A$4:$P$1203,4,0),""))</f>
        <v/>
      </c>
      <c r="D411" s="24">
        <f>IF($A411="","",IFERROR(VLOOKUP($A411,物料档案!$A$4:$P$1203,5,0),""))</f>
        <v/>
      </c>
      <c r="E411" s="24">
        <f>IF($A411="","",IFERROR(VLOOKUP($A411,物料档案!$A$4:$P$1203,2,0),""))</f>
        <v/>
      </c>
      <c r="F411" s="24">
        <f>IF($A411="","",IFERROR(VLOOKUP($A411,物料档案!$A$4:$P$1203,6,0),""))</f>
        <v/>
      </c>
      <c r="G411" s="23" t="n"/>
      <c r="H411" s="32" t="n"/>
      <c r="I411" s="27">
        <f>IF($A411="","",SUMIFS(入库单!$K$4:$K$2503,入库单!$G$4:$G$2503,$A411,入库单!$X$4:$X$2503,"采购入库",入库单!$Z$4:$Z$2503,"正常",入库单!$C$4:$C$2503,"&gt;="&amp;账期起,入库单!$C$4:$C$2503,"&lt;="&amp;账期止))</f>
        <v/>
      </c>
      <c r="J411" s="26">
        <f>IF($A411="","",SUMIFS(入库单!$V$4:$V$2503,入库单!$G$4:$G$2503,$A411,入库单!$X$4:$X$2503,"采购入库",入库单!$Z$4:$Z$2503,"正常",入库单!$C$4:$C$2503,"&gt;="&amp;账期起,入库单!$C$4:$C$2503,"&lt;="&amp;账期止))</f>
        <v/>
      </c>
      <c r="K411" s="26">
        <f>IF($A411="","",IFERROR(ROUND((N($H411)+N($J411))/(N($G411)+N($I411)),2),0))</f>
        <v/>
      </c>
      <c r="L411" s="27">
        <f>IF($A411="","",SUMIFS(入库单!$K$4:$K$2503,入库单!$G$4:$G$2503,$A411,入库单!$X$4:$X$2503,"盘盈",入库单!$Z$4:$Z$2503,"正常",入库单!$C$4:$C$2503,"&gt;="&amp;账期起,入库单!$C$4:$C$2503,"&lt;="&amp;账期止))</f>
        <v/>
      </c>
      <c r="M411" s="26">
        <f>IF($A411="","",ROUND($L411*$K411,0))</f>
        <v/>
      </c>
      <c r="N411" s="27">
        <f>IF($A411="","",SUMIFS(入库单!$K$4:$K$2503,入库单!$G$4:$G$2503,$A411,入库单!$X$4:$X$2503,"矿区退库",入库单!$Z$4:$Z$2503,"正常",入库单!$C$4:$C$2503,"&gt;="&amp;账期起,入库单!$C$4:$C$2503,"&lt;="&amp;账期止))</f>
        <v/>
      </c>
      <c r="O411" s="26">
        <f>IF($A411="","",ROUND($N411*$K411,0))</f>
        <v/>
      </c>
      <c r="P411" s="27">
        <f>IF($A411="","",SUMIFS(出库单!$J$4:$J$4003,出库单!$D$4:$D$4003,$A411,出库单!$K$4:$K$4003,"自用消耗",出库单!$U$4:$U$4003,"正常",出库单!$C$4:$C$4003,"&gt;="&amp;账期起,出库单!$C$4:$C$4003,"&lt;="&amp;账期止))</f>
        <v/>
      </c>
      <c r="Q411" s="26">
        <f>IF($A411="","",ROUND(SUMIFS(出库单!$S$4:$S$4003,出库单!$D$4:$D$4003,$A411,出库单!$K$4:$K$4003,"自用消耗",出库单!$U$4:$U$4003,"正常",出库单!$C$4:$C$4003,"&gt;="&amp;账期起,出库单!$C$4:$C$4003,"&lt;="&amp;账期止),0))</f>
        <v/>
      </c>
      <c r="R411" s="27">
        <f>IF($A411="","",SUMIFS(出库单!$J$4:$J$4003,出库单!$D$4:$D$4003,$A411,出库单!$K$4:$K$4003,"对外销售",出库单!$U$4:$U$4003,"正常",出库单!$C$4:$C$4003,"&gt;="&amp;账期起,出库单!$C$4:$C$4003,"&lt;="&amp;账期止))</f>
        <v/>
      </c>
      <c r="S411" s="26">
        <f>IF($A411="","",ROUND(SUMIFS(出库单!$S$4:$S$4003,出库单!$D$4:$D$4003,$A411,出库单!$K$4:$K$4003,"对外销售",出库单!$U$4:$U$4003,"正常",出库单!$C$4:$C$4003,"&gt;="&amp;账期起,出库单!$C$4:$C$4003,"&lt;="&amp;账期止),0))</f>
        <v/>
      </c>
      <c r="T411" s="27">
        <f>IF($A411="","",SUMIFS(出库单!$J$4:$J$4003,出库单!$D$4:$D$4003,$A411,出库单!$K$4:$K$4003,"盘亏",出库单!$U$4:$U$4003,"正常",出库单!$C$4:$C$4003,"&gt;="&amp;账期起,出库单!$C$4:$C$4003,"&lt;="&amp;账期止))</f>
        <v/>
      </c>
      <c r="U411" s="26">
        <f>IF($A411="","",ROUND(SUMIFS(出库单!$S$4:$S$4003,出库单!$D$4:$D$4003,$A411,出库单!$K$4:$K$4003,"盘亏",出库单!$U$4:$U$4003,"正常",出库单!$C$4:$C$4003,"&gt;="&amp;账期起,出库单!$C$4:$C$4003,"&lt;="&amp;账期止),0))</f>
        <v/>
      </c>
      <c r="V411" s="27">
        <f>IF($A411="","",SUMIFS(出库单!$J$4:$J$4003,出库单!$D$4:$D$4003,$A411,出库单!$K$4:$K$4003,"退货给供应商",出库单!$U$4:$U$4003,"正常",出库单!$C$4:$C$4003,"&gt;="&amp;账期起,出库单!$C$4:$C$4003,"&lt;="&amp;账期止))</f>
        <v/>
      </c>
      <c r="W411" s="26">
        <f>IF($A411="","",ROUND(SUMIFS(出库单!$S$4:$S$4003,出库单!$D$4:$D$4003,$A411,出库单!$K$4:$K$4003,"退货给供应商",出库单!$U$4:$U$4003,"正常",出库单!$C$4:$C$4003,"&gt;="&amp;账期起,出库单!$C$4:$C$4003,"&lt;="&amp;账期止),0))</f>
        <v/>
      </c>
      <c r="X411" s="27">
        <f>IF($A411="","",ROUND(N($G411)+$I411+$L411+$N411-$P411-$R411-$T411-$V411,3))</f>
        <v/>
      </c>
      <c r="Y411" s="26">
        <f>IF($A411="","",ROUND(N($H411)+$J411+$M411+$O411-$Q411-$S411-$U411-$W411,0))</f>
        <v/>
      </c>
      <c r="Z411" s="24">
        <f>IF($A411="","",IF(COUNTIFS(入库单!$G$4:$G$2503,$A411,入库单!$Y$4:$Y$2503,"待补价")+COUNTIFS(入库单!$G$4:$G$2503,$A411,入库单!$Y$4:$Y$2503,"暂估")&gt;0,"不可信","可信"))</f>
        <v/>
      </c>
      <c r="AA411" s="24">
        <f>IF($A411="","",IF($X411&lt;-0.001,"※账面负库存，查一下是不是漏记入库",IF(AND(ROUND($X411,3)=0,ABS($Y411)&gt;1),"※数量已经是 0，金额还挂着 "&amp;TEXT($Y411,"#,##0")&amp;" 先令",IF(AND($X411&gt;0,$Y411&lt;=0,$K411=0),"※有数量没金额（这个物料一直没填过进价）",IF($Z411="不可信","△成本含待补价/暂估，毛利仅供参考","")))))</f>
        <v/>
      </c>
    </row>
    <row r="412">
      <c r="A412" s="24">
        <f>IF(物料档案!$A411="","",物料档案!$A411)</f>
        <v/>
      </c>
      <c r="B412" s="24">
        <f>IF($A412="","",IFERROR(VLOOKUP($A412,物料档案!$A$4:$P$1203,3,0),""))</f>
        <v/>
      </c>
      <c r="C412" s="24">
        <f>IF($A412="","",IFERROR(VLOOKUP($A412,物料档案!$A$4:$P$1203,4,0),""))</f>
        <v/>
      </c>
      <c r="D412" s="24">
        <f>IF($A412="","",IFERROR(VLOOKUP($A412,物料档案!$A$4:$P$1203,5,0),""))</f>
        <v/>
      </c>
      <c r="E412" s="24">
        <f>IF($A412="","",IFERROR(VLOOKUP($A412,物料档案!$A$4:$P$1203,2,0),""))</f>
        <v/>
      </c>
      <c r="F412" s="24">
        <f>IF($A412="","",IFERROR(VLOOKUP($A412,物料档案!$A$4:$P$1203,6,0),""))</f>
        <v/>
      </c>
      <c r="G412" s="23" t="n"/>
      <c r="H412" s="32" t="n"/>
      <c r="I412" s="27">
        <f>IF($A412="","",SUMIFS(入库单!$K$4:$K$2503,入库单!$G$4:$G$2503,$A412,入库单!$X$4:$X$2503,"采购入库",入库单!$Z$4:$Z$2503,"正常",入库单!$C$4:$C$2503,"&gt;="&amp;账期起,入库单!$C$4:$C$2503,"&lt;="&amp;账期止))</f>
        <v/>
      </c>
      <c r="J412" s="26">
        <f>IF($A412="","",SUMIFS(入库单!$V$4:$V$2503,入库单!$G$4:$G$2503,$A412,入库单!$X$4:$X$2503,"采购入库",入库单!$Z$4:$Z$2503,"正常",入库单!$C$4:$C$2503,"&gt;="&amp;账期起,入库单!$C$4:$C$2503,"&lt;="&amp;账期止))</f>
        <v/>
      </c>
      <c r="K412" s="26">
        <f>IF($A412="","",IFERROR(ROUND((N($H412)+N($J412))/(N($G412)+N($I412)),2),0))</f>
        <v/>
      </c>
      <c r="L412" s="27">
        <f>IF($A412="","",SUMIFS(入库单!$K$4:$K$2503,入库单!$G$4:$G$2503,$A412,入库单!$X$4:$X$2503,"盘盈",入库单!$Z$4:$Z$2503,"正常",入库单!$C$4:$C$2503,"&gt;="&amp;账期起,入库单!$C$4:$C$2503,"&lt;="&amp;账期止))</f>
        <v/>
      </c>
      <c r="M412" s="26">
        <f>IF($A412="","",ROUND($L412*$K412,0))</f>
        <v/>
      </c>
      <c r="N412" s="27">
        <f>IF($A412="","",SUMIFS(入库单!$K$4:$K$2503,入库单!$G$4:$G$2503,$A412,入库单!$X$4:$X$2503,"矿区退库",入库单!$Z$4:$Z$2503,"正常",入库单!$C$4:$C$2503,"&gt;="&amp;账期起,入库单!$C$4:$C$2503,"&lt;="&amp;账期止))</f>
        <v/>
      </c>
      <c r="O412" s="26">
        <f>IF($A412="","",ROUND($N412*$K412,0))</f>
        <v/>
      </c>
      <c r="P412" s="27">
        <f>IF($A412="","",SUMIFS(出库单!$J$4:$J$4003,出库单!$D$4:$D$4003,$A412,出库单!$K$4:$K$4003,"自用消耗",出库单!$U$4:$U$4003,"正常",出库单!$C$4:$C$4003,"&gt;="&amp;账期起,出库单!$C$4:$C$4003,"&lt;="&amp;账期止))</f>
        <v/>
      </c>
      <c r="Q412" s="26">
        <f>IF($A412="","",ROUND(SUMIFS(出库单!$S$4:$S$4003,出库单!$D$4:$D$4003,$A412,出库单!$K$4:$K$4003,"自用消耗",出库单!$U$4:$U$4003,"正常",出库单!$C$4:$C$4003,"&gt;="&amp;账期起,出库单!$C$4:$C$4003,"&lt;="&amp;账期止),0))</f>
        <v/>
      </c>
      <c r="R412" s="27">
        <f>IF($A412="","",SUMIFS(出库单!$J$4:$J$4003,出库单!$D$4:$D$4003,$A412,出库单!$K$4:$K$4003,"对外销售",出库单!$U$4:$U$4003,"正常",出库单!$C$4:$C$4003,"&gt;="&amp;账期起,出库单!$C$4:$C$4003,"&lt;="&amp;账期止))</f>
        <v/>
      </c>
      <c r="S412" s="26">
        <f>IF($A412="","",ROUND(SUMIFS(出库单!$S$4:$S$4003,出库单!$D$4:$D$4003,$A412,出库单!$K$4:$K$4003,"对外销售",出库单!$U$4:$U$4003,"正常",出库单!$C$4:$C$4003,"&gt;="&amp;账期起,出库单!$C$4:$C$4003,"&lt;="&amp;账期止),0))</f>
        <v/>
      </c>
      <c r="T412" s="27">
        <f>IF($A412="","",SUMIFS(出库单!$J$4:$J$4003,出库单!$D$4:$D$4003,$A412,出库单!$K$4:$K$4003,"盘亏",出库单!$U$4:$U$4003,"正常",出库单!$C$4:$C$4003,"&gt;="&amp;账期起,出库单!$C$4:$C$4003,"&lt;="&amp;账期止))</f>
        <v/>
      </c>
      <c r="U412" s="26">
        <f>IF($A412="","",ROUND(SUMIFS(出库单!$S$4:$S$4003,出库单!$D$4:$D$4003,$A412,出库单!$K$4:$K$4003,"盘亏",出库单!$U$4:$U$4003,"正常",出库单!$C$4:$C$4003,"&gt;="&amp;账期起,出库单!$C$4:$C$4003,"&lt;="&amp;账期止),0))</f>
        <v/>
      </c>
      <c r="V412" s="27">
        <f>IF($A412="","",SUMIFS(出库单!$J$4:$J$4003,出库单!$D$4:$D$4003,$A412,出库单!$K$4:$K$4003,"退货给供应商",出库单!$U$4:$U$4003,"正常",出库单!$C$4:$C$4003,"&gt;="&amp;账期起,出库单!$C$4:$C$4003,"&lt;="&amp;账期止))</f>
        <v/>
      </c>
      <c r="W412" s="26">
        <f>IF($A412="","",ROUND(SUMIFS(出库单!$S$4:$S$4003,出库单!$D$4:$D$4003,$A412,出库单!$K$4:$K$4003,"退货给供应商",出库单!$U$4:$U$4003,"正常",出库单!$C$4:$C$4003,"&gt;="&amp;账期起,出库单!$C$4:$C$4003,"&lt;="&amp;账期止),0))</f>
        <v/>
      </c>
      <c r="X412" s="27">
        <f>IF($A412="","",ROUND(N($G412)+$I412+$L412+$N412-$P412-$R412-$T412-$V412,3))</f>
        <v/>
      </c>
      <c r="Y412" s="26">
        <f>IF($A412="","",ROUND(N($H412)+$J412+$M412+$O412-$Q412-$S412-$U412-$W412,0))</f>
        <v/>
      </c>
      <c r="Z412" s="24">
        <f>IF($A412="","",IF(COUNTIFS(入库单!$G$4:$G$2503,$A412,入库单!$Y$4:$Y$2503,"待补价")+COUNTIFS(入库单!$G$4:$G$2503,$A412,入库单!$Y$4:$Y$2503,"暂估")&gt;0,"不可信","可信"))</f>
        <v/>
      </c>
      <c r="AA412" s="24">
        <f>IF($A412="","",IF($X412&lt;-0.001,"※账面负库存，查一下是不是漏记入库",IF(AND(ROUND($X412,3)=0,ABS($Y412)&gt;1),"※数量已经是 0，金额还挂着 "&amp;TEXT($Y412,"#,##0")&amp;" 先令",IF(AND($X412&gt;0,$Y412&lt;=0,$K412=0),"※有数量没金额（这个物料一直没填过进价）",IF($Z412="不可信","△成本含待补价/暂估，毛利仅供参考","")))))</f>
        <v/>
      </c>
    </row>
    <row r="413">
      <c r="A413" s="24">
        <f>IF(物料档案!$A412="","",物料档案!$A412)</f>
        <v/>
      </c>
      <c r="B413" s="24">
        <f>IF($A413="","",IFERROR(VLOOKUP($A413,物料档案!$A$4:$P$1203,3,0),""))</f>
        <v/>
      </c>
      <c r="C413" s="24">
        <f>IF($A413="","",IFERROR(VLOOKUP($A413,物料档案!$A$4:$P$1203,4,0),""))</f>
        <v/>
      </c>
      <c r="D413" s="24">
        <f>IF($A413="","",IFERROR(VLOOKUP($A413,物料档案!$A$4:$P$1203,5,0),""))</f>
        <v/>
      </c>
      <c r="E413" s="24">
        <f>IF($A413="","",IFERROR(VLOOKUP($A413,物料档案!$A$4:$P$1203,2,0),""))</f>
        <v/>
      </c>
      <c r="F413" s="24">
        <f>IF($A413="","",IFERROR(VLOOKUP($A413,物料档案!$A$4:$P$1203,6,0),""))</f>
        <v/>
      </c>
      <c r="G413" s="23" t="n"/>
      <c r="H413" s="32" t="n"/>
      <c r="I413" s="27">
        <f>IF($A413="","",SUMIFS(入库单!$K$4:$K$2503,入库单!$G$4:$G$2503,$A413,入库单!$X$4:$X$2503,"采购入库",入库单!$Z$4:$Z$2503,"正常",入库单!$C$4:$C$2503,"&gt;="&amp;账期起,入库单!$C$4:$C$2503,"&lt;="&amp;账期止))</f>
        <v/>
      </c>
      <c r="J413" s="26">
        <f>IF($A413="","",SUMIFS(入库单!$V$4:$V$2503,入库单!$G$4:$G$2503,$A413,入库单!$X$4:$X$2503,"采购入库",入库单!$Z$4:$Z$2503,"正常",入库单!$C$4:$C$2503,"&gt;="&amp;账期起,入库单!$C$4:$C$2503,"&lt;="&amp;账期止))</f>
        <v/>
      </c>
      <c r="K413" s="26">
        <f>IF($A413="","",IFERROR(ROUND((N($H413)+N($J413))/(N($G413)+N($I413)),2),0))</f>
        <v/>
      </c>
      <c r="L413" s="27">
        <f>IF($A413="","",SUMIFS(入库单!$K$4:$K$2503,入库单!$G$4:$G$2503,$A413,入库单!$X$4:$X$2503,"盘盈",入库单!$Z$4:$Z$2503,"正常",入库单!$C$4:$C$2503,"&gt;="&amp;账期起,入库单!$C$4:$C$2503,"&lt;="&amp;账期止))</f>
        <v/>
      </c>
      <c r="M413" s="26">
        <f>IF($A413="","",ROUND($L413*$K413,0))</f>
        <v/>
      </c>
      <c r="N413" s="27">
        <f>IF($A413="","",SUMIFS(入库单!$K$4:$K$2503,入库单!$G$4:$G$2503,$A413,入库单!$X$4:$X$2503,"矿区退库",入库单!$Z$4:$Z$2503,"正常",入库单!$C$4:$C$2503,"&gt;="&amp;账期起,入库单!$C$4:$C$2503,"&lt;="&amp;账期止))</f>
        <v/>
      </c>
      <c r="O413" s="26">
        <f>IF($A413="","",ROUND($N413*$K413,0))</f>
        <v/>
      </c>
      <c r="P413" s="27">
        <f>IF($A413="","",SUMIFS(出库单!$J$4:$J$4003,出库单!$D$4:$D$4003,$A413,出库单!$K$4:$K$4003,"自用消耗",出库单!$U$4:$U$4003,"正常",出库单!$C$4:$C$4003,"&gt;="&amp;账期起,出库单!$C$4:$C$4003,"&lt;="&amp;账期止))</f>
        <v/>
      </c>
      <c r="Q413" s="26">
        <f>IF($A413="","",ROUND(SUMIFS(出库单!$S$4:$S$4003,出库单!$D$4:$D$4003,$A413,出库单!$K$4:$K$4003,"自用消耗",出库单!$U$4:$U$4003,"正常",出库单!$C$4:$C$4003,"&gt;="&amp;账期起,出库单!$C$4:$C$4003,"&lt;="&amp;账期止),0))</f>
        <v/>
      </c>
      <c r="R413" s="27">
        <f>IF($A413="","",SUMIFS(出库单!$J$4:$J$4003,出库单!$D$4:$D$4003,$A413,出库单!$K$4:$K$4003,"对外销售",出库单!$U$4:$U$4003,"正常",出库单!$C$4:$C$4003,"&gt;="&amp;账期起,出库单!$C$4:$C$4003,"&lt;="&amp;账期止))</f>
        <v/>
      </c>
      <c r="S413" s="26">
        <f>IF($A413="","",ROUND(SUMIFS(出库单!$S$4:$S$4003,出库单!$D$4:$D$4003,$A413,出库单!$K$4:$K$4003,"对外销售",出库单!$U$4:$U$4003,"正常",出库单!$C$4:$C$4003,"&gt;="&amp;账期起,出库单!$C$4:$C$4003,"&lt;="&amp;账期止),0))</f>
        <v/>
      </c>
      <c r="T413" s="27">
        <f>IF($A413="","",SUMIFS(出库单!$J$4:$J$4003,出库单!$D$4:$D$4003,$A413,出库单!$K$4:$K$4003,"盘亏",出库单!$U$4:$U$4003,"正常",出库单!$C$4:$C$4003,"&gt;="&amp;账期起,出库单!$C$4:$C$4003,"&lt;="&amp;账期止))</f>
        <v/>
      </c>
      <c r="U413" s="26">
        <f>IF($A413="","",ROUND(SUMIFS(出库单!$S$4:$S$4003,出库单!$D$4:$D$4003,$A413,出库单!$K$4:$K$4003,"盘亏",出库单!$U$4:$U$4003,"正常",出库单!$C$4:$C$4003,"&gt;="&amp;账期起,出库单!$C$4:$C$4003,"&lt;="&amp;账期止),0))</f>
        <v/>
      </c>
      <c r="V413" s="27">
        <f>IF($A413="","",SUMIFS(出库单!$J$4:$J$4003,出库单!$D$4:$D$4003,$A413,出库单!$K$4:$K$4003,"退货给供应商",出库单!$U$4:$U$4003,"正常",出库单!$C$4:$C$4003,"&gt;="&amp;账期起,出库单!$C$4:$C$4003,"&lt;="&amp;账期止))</f>
        <v/>
      </c>
      <c r="W413" s="26">
        <f>IF($A413="","",ROUND(SUMIFS(出库单!$S$4:$S$4003,出库单!$D$4:$D$4003,$A413,出库单!$K$4:$K$4003,"退货给供应商",出库单!$U$4:$U$4003,"正常",出库单!$C$4:$C$4003,"&gt;="&amp;账期起,出库单!$C$4:$C$4003,"&lt;="&amp;账期止),0))</f>
        <v/>
      </c>
      <c r="X413" s="27">
        <f>IF($A413="","",ROUND(N($G413)+$I413+$L413+$N413-$P413-$R413-$T413-$V413,3))</f>
        <v/>
      </c>
      <c r="Y413" s="26">
        <f>IF($A413="","",ROUND(N($H413)+$J413+$M413+$O413-$Q413-$S413-$U413-$W413,0))</f>
        <v/>
      </c>
      <c r="Z413" s="24">
        <f>IF($A413="","",IF(COUNTIFS(入库单!$G$4:$G$2503,$A413,入库单!$Y$4:$Y$2503,"待补价")+COUNTIFS(入库单!$G$4:$G$2503,$A413,入库单!$Y$4:$Y$2503,"暂估")&gt;0,"不可信","可信"))</f>
        <v/>
      </c>
      <c r="AA413" s="24">
        <f>IF($A413="","",IF($X413&lt;-0.001,"※账面负库存，查一下是不是漏记入库",IF(AND(ROUND($X413,3)=0,ABS($Y413)&gt;1),"※数量已经是 0，金额还挂着 "&amp;TEXT($Y413,"#,##0")&amp;" 先令",IF(AND($X413&gt;0,$Y413&lt;=0,$K413=0),"※有数量没金额（这个物料一直没填过进价）",IF($Z413="不可信","△成本含待补价/暂估，毛利仅供参考","")))))</f>
        <v/>
      </c>
    </row>
    <row r="414">
      <c r="A414" s="24">
        <f>IF(物料档案!$A413="","",物料档案!$A413)</f>
        <v/>
      </c>
      <c r="B414" s="24">
        <f>IF($A414="","",IFERROR(VLOOKUP($A414,物料档案!$A$4:$P$1203,3,0),""))</f>
        <v/>
      </c>
      <c r="C414" s="24">
        <f>IF($A414="","",IFERROR(VLOOKUP($A414,物料档案!$A$4:$P$1203,4,0),""))</f>
        <v/>
      </c>
      <c r="D414" s="24">
        <f>IF($A414="","",IFERROR(VLOOKUP($A414,物料档案!$A$4:$P$1203,5,0),""))</f>
        <v/>
      </c>
      <c r="E414" s="24">
        <f>IF($A414="","",IFERROR(VLOOKUP($A414,物料档案!$A$4:$P$1203,2,0),""))</f>
        <v/>
      </c>
      <c r="F414" s="24">
        <f>IF($A414="","",IFERROR(VLOOKUP($A414,物料档案!$A$4:$P$1203,6,0),""))</f>
        <v/>
      </c>
      <c r="G414" s="23" t="n"/>
      <c r="H414" s="32" t="n"/>
      <c r="I414" s="27">
        <f>IF($A414="","",SUMIFS(入库单!$K$4:$K$2503,入库单!$G$4:$G$2503,$A414,入库单!$X$4:$X$2503,"采购入库",入库单!$Z$4:$Z$2503,"正常",入库单!$C$4:$C$2503,"&gt;="&amp;账期起,入库单!$C$4:$C$2503,"&lt;="&amp;账期止))</f>
        <v/>
      </c>
      <c r="J414" s="26">
        <f>IF($A414="","",SUMIFS(入库单!$V$4:$V$2503,入库单!$G$4:$G$2503,$A414,入库单!$X$4:$X$2503,"采购入库",入库单!$Z$4:$Z$2503,"正常",入库单!$C$4:$C$2503,"&gt;="&amp;账期起,入库单!$C$4:$C$2503,"&lt;="&amp;账期止))</f>
        <v/>
      </c>
      <c r="K414" s="26">
        <f>IF($A414="","",IFERROR(ROUND((N($H414)+N($J414))/(N($G414)+N($I414)),2),0))</f>
        <v/>
      </c>
      <c r="L414" s="27">
        <f>IF($A414="","",SUMIFS(入库单!$K$4:$K$2503,入库单!$G$4:$G$2503,$A414,入库单!$X$4:$X$2503,"盘盈",入库单!$Z$4:$Z$2503,"正常",入库单!$C$4:$C$2503,"&gt;="&amp;账期起,入库单!$C$4:$C$2503,"&lt;="&amp;账期止))</f>
        <v/>
      </c>
      <c r="M414" s="26">
        <f>IF($A414="","",ROUND($L414*$K414,0))</f>
        <v/>
      </c>
      <c r="N414" s="27">
        <f>IF($A414="","",SUMIFS(入库单!$K$4:$K$2503,入库单!$G$4:$G$2503,$A414,入库单!$X$4:$X$2503,"矿区退库",入库单!$Z$4:$Z$2503,"正常",入库单!$C$4:$C$2503,"&gt;="&amp;账期起,入库单!$C$4:$C$2503,"&lt;="&amp;账期止))</f>
        <v/>
      </c>
      <c r="O414" s="26">
        <f>IF($A414="","",ROUND($N414*$K414,0))</f>
        <v/>
      </c>
      <c r="P414" s="27">
        <f>IF($A414="","",SUMIFS(出库单!$J$4:$J$4003,出库单!$D$4:$D$4003,$A414,出库单!$K$4:$K$4003,"自用消耗",出库单!$U$4:$U$4003,"正常",出库单!$C$4:$C$4003,"&gt;="&amp;账期起,出库单!$C$4:$C$4003,"&lt;="&amp;账期止))</f>
        <v/>
      </c>
      <c r="Q414" s="26">
        <f>IF($A414="","",ROUND(SUMIFS(出库单!$S$4:$S$4003,出库单!$D$4:$D$4003,$A414,出库单!$K$4:$K$4003,"自用消耗",出库单!$U$4:$U$4003,"正常",出库单!$C$4:$C$4003,"&gt;="&amp;账期起,出库单!$C$4:$C$4003,"&lt;="&amp;账期止),0))</f>
        <v/>
      </c>
      <c r="R414" s="27">
        <f>IF($A414="","",SUMIFS(出库单!$J$4:$J$4003,出库单!$D$4:$D$4003,$A414,出库单!$K$4:$K$4003,"对外销售",出库单!$U$4:$U$4003,"正常",出库单!$C$4:$C$4003,"&gt;="&amp;账期起,出库单!$C$4:$C$4003,"&lt;="&amp;账期止))</f>
        <v/>
      </c>
      <c r="S414" s="26">
        <f>IF($A414="","",ROUND(SUMIFS(出库单!$S$4:$S$4003,出库单!$D$4:$D$4003,$A414,出库单!$K$4:$K$4003,"对外销售",出库单!$U$4:$U$4003,"正常",出库单!$C$4:$C$4003,"&gt;="&amp;账期起,出库单!$C$4:$C$4003,"&lt;="&amp;账期止),0))</f>
        <v/>
      </c>
      <c r="T414" s="27">
        <f>IF($A414="","",SUMIFS(出库单!$J$4:$J$4003,出库单!$D$4:$D$4003,$A414,出库单!$K$4:$K$4003,"盘亏",出库单!$U$4:$U$4003,"正常",出库单!$C$4:$C$4003,"&gt;="&amp;账期起,出库单!$C$4:$C$4003,"&lt;="&amp;账期止))</f>
        <v/>
      </c>
      <c r="U414" s="26">
        <f>IF($A414="","",ROUND(SUMIFS(出库单!$S$4:$S$4003,出库单!$D$4:$D$4003,$A414,出库单!$K$4:$K$4003,"盘亏",出库单!$U$4:$U$4003,"正常",出库单!$C$4:$C$4003,"&gt;="&amp;账期起,出库单!$C$4:$C$4003,"&lt;="&amp;账期止),0))</f>
        <v/>
      </c>
      <c r="V414" s="27">
        <f>IF($A414="","",SUMIFS(出库单!$J$4:$J$4003,出库单!$D$4:$D$4003,$A414,出库单!$K$4:$K$4003,"退货给供应商",出库单!$U$4:$U$4003,"正常",出库单!$C$4:$C$4003,"&gt;="&amp;账期起,出库单!$C$4:$C$4003,"&lt;="&amp;账期止))</f>
        <v/>
      </c>
      <c r="W414" s="26">
        <f>IF($A414="","",ROUND(SUMIFS(出库单!$S$4:$S$4003,出库单!$D$4:$D$4003,$A414,出库单!$K$4:$K$4003,"退货给供应商",出库单!$U$4:$U$4003,"正常",出库单!$C$4:$C$4003,"&gt;="&amp;账期起,出库单!$C$4:$C$4003,"&lt;="&amp;账期止),0))</f>
        <v/>
      </c>
      <c r="X414" s="27">
        <f>IF($A414="","",ROUND(N($G414)+$I414+$L414+$N414-$P414-$R414-$T414-$V414,3))</f>
        <v/>
      </c>
      <c r="Y414" s="26">
        <f>IF($A414="","",ROUND(N($H414)+$J414+$M414+$O414-$Q414-$S414-$U414-$W414,0))</f>
        <v/>
      </c>
      <c r="Z414" s="24">
        <f>IF($A414="","",IF(COUNTIFS(入库单!$G$4:$G$2503,$A414,入库单!$Y$4:$Y$2503,"待补价")+COUNTIFS(入库单!$G$4:$G$2503,$A414,入库单!$Y$4:$Y$2503,"暂估")&gt;0,"不可信","可信"))</f>
        <v/>
      </c>
      <c r="AA414" s="24">
        <f>IF($A414="","",IF($X414&lt;-0.001,"※账面负库存，查一下是不是漏记入库",IF(AND(ROUND($X414,3)=0,ABS($Y414)&gt;1),"※数量已经是 0，金额还挂着 "&amp;TEXT($Y414,"#,##0")&amp;" 先令",IF(AND($X414&gt;0,$Y414&lt;=0,$K414=0),"※有数量没金额（这个物料一直没填过进价）",IF($Z414="不可信","△成本含待补价/暂估，毛利仅供参考","")))))</f>
        <v/>
      </c>
    </row>
    <row r="415">
      <c r="A415" s="24">
        <f>IF(物料档案!$A414="","",物料档案!$A414)</f>
        <v/>
      </c>
      <c r="B415" s="24">
        <f>IF($A415="","",IFERROR(VLOOKUP($A415,物料档案!$A$4:$P$1203,3,0),""))</f>
        <v/>
      </c>
      <c r="C415" s="24">
        <f>IF($A415="","",IFERROR(VLOOKUP($A415,物料档案!$A$4:$P$1203,4,0),""))</f>
        <v/>
      </c>
      <c r="D415" s="24">
        <f>IF($A415="","",IFERROR(VLOOKUP($A415,物料档案!$A$4:$P$1203,5,0),""))</f>
        <v/>
      </c>
      <c r="E415" s="24">
        <f>IF($A415="","",IFERROR(VLOOKUP($A415,物料档案!$A$4:$P$1203,2,0),""))</f>
        <v/>
      </c>
      <c r="F415" s="24">
        <f>IF($A415="","",IFERROR(VLOOKUP($A415,物料档案!$A$4:$P$1203,6,0),""))</f>
        <v/>
      </c>
      <c r="G415" s="23" t="n"/>
      <c r="H415" s="32" t="n"/>
      <c r="I415" s="27">
        <f>IF($A415="","",SUMIFS(入库单!$K$4:$K$2503,入库单!$G$4:$G$2503,$A415,入库单!$X$4:$X$2503,"采购入库",入库单!$Z$4:$Z$2503,"正常",入库单!$C$4:$C$2503,"&gt;="&amp;账期起,入库单!$C$4:$C$2503,"&lt;="&amp;账期止))</f>
        <v/>
      </c>
      <c r="J415" s="26">
        <f>IF($A415="","",SUMIFS(入库单!$V$4:$V$2503,入库单!$G$4:$G$2503,$A415,入库单!$X$4:$X$2503,"采购入库",入库单!$Z$4:$Z$2503,"正常",入库单!$C$4:$C$2503,"&gt;="&amp;账期起,入库单!$C$4:$C$2503,"&lt;="&amp;账期止))</f>
        <v/>
      </c>
      <c r="K415" s="26">
        <f>IF($A415="","",IFERROR(ROUND((N($H415)+N($J415))/(N($G415)+N($I415)),2),0))</f>
        <v/>
      </c>
      <c r="L415" s="27">
        <f>IF($A415="","",SUMIFS(入库单!$K$4:$K$2503,入库单!$G$4:$G$2503,$A415,入库单!$X$4:$X$2503,"盘盈",入库单!$Z$4:$Z$2503,"正常",入库单!$C$4:$C$2503,"&gt;="&amp;账期起,入库单!$C$4:$C$2503,"&lt;="&amp;账期止))</f>
        <v/>
      </c>
      <c r="M415" s="26">
        <f>IF($A415="","",ROUND($L415*$K415,0))</f>
        <v/>
      </c>
      <c r="N415" s="27">
        <f>IF($A415="","",SUMIFS(入库单!$K$4:$K$2503,入库单!$G$4:$G$2503,$A415,入库单!$X$4:$X$2503,"矿区退库",入库单!$Z$4:$Z$2503,"正常",入库单!$C$4:$C$2503,"&gt;="&amp;账期起,入库单!$C$4:$C$2503,"&lt;="&amp;账期止))</f>
        <v/>
      </c>
      <c r="O415" s="26">
        <f>IF($A415="","",ROUND($N415*$K415,0))</f>
        <v/>
      </c>
      <c r="P415" s="27">
        <f>IF($A415="","",SUMIFS(出库单!$J$4:$J$4003,出库单!$D$4:$D$4003,$A415,出库单!$K$4:$K$4003,"自用消耗",出库单!$U$4:$U$4003,"正常",出库单!$C$4:$C$4003,"&gt;="&amp;账期起,出库单!$C$4:$C$4003,"&lt;="&amp;账期止))</f>
        <v/>
      </c>
      <c r="Q415" s="26">
        <f>IF($A415="","",ROUND(SUMIFS(出库单!$S$4:$S$4003,出库单!$D$4:$D$4003,$A415,出库单!$K$4:$K$4003,"自用消耗",出库单!$U$4:$U$4003,"正常",出库单!$C$4:$C$4003,"&gt;="&amp;账期起,出库单!$C$4:$C$4003,"&lt;="&amp;账期止),0))</f>
        <v/>
      </c>
      <c r="R415" s="27">
        <f>IF($A415="","",SUMIFS(出库单!$J$4:$J$4003,出库单!$D$4:$D$4003,$A415,出库单!$K$4:$K$4003,"对外销售",出库单!$U$4:$U$4003,"正常",出库单!$C$4:$C$4003,"&gt;="&amp;账期起,出库单!$C$4:$C$4003,"&lt;="&amp;账期止))</f>
        <v/>
      </c>
      <c r="S415" s="26">
        <f>IF($A415="","",ROUND(SUMIFS(出库单!$S$4:$S$4003,出库单!$D$4:$D$4003,$A415,出库单!$K$4:$K$4003,"对外销售",出库单!$U$4:$U$4003,"正常",出库单!$C$4:$C$4003,"&gt;="&amp;账期起,出库单!$C$4:$C$4003,"&lt;="&amp;账期止),0))</f>
        <v/>
      </c>
      <c r="T415" s="27">
        <f>IF($A415="","",SUMIFS(出库单!$J$4:$J$4003,出库单!$D$4:$D$4003,$A415,出库单!$K$4:$K$4003,"盘亏",出库单!$U$4:$U$4003,"正常",出库单!$C$4:$C$4003,"&gt;="&amp;账期起,出库单!$C$4:$C$4003,"&lt;="&amp;账期止))</f>
        <v/>
      </c>
      <c r="U415" s="26">
        <f>IF($A415="","",ROUND(SUMIFS(出库单!$S$4:$S$4003,出库单!$D$4:$D$4003,$A415,出库单!$K$4:$K$4003,"盘亏",出库单!$U$4:$U$4003,"正常",出库单!$C$4:$C$4003,"&gt;="&amp;账期起,出库单!$C$4:$C$4003,"&lt;="&amp;账期止),0))</f>
        <v/>
      </c>
      <c r="V415" s="27">
        <f>IF($A415="","",SUMIFS(出库单!$J$4:$J$4003,出库单!$D$4:$D$4003,$A415,出库单!$K$4:$K$4003,"退货给供应商",出库单!$U$4:$U$4003,"正常",出库单!$C$4:$C$4003,"&gt;="&amp;账期起,出库单!$C$4:$C$4003,"&lt;="&amp;账期止))</f>
        <v/>
      </c>
      <c r="W415" s="26">
        <f>IF($A415="","",ROUND(SUMIFS(出库单!$S$4:$S$4003,出库单!$D$4:$D$4003,$A415,出库单!$K$4:$K$4003,"退货给供应商",出库单!$U$4:$U$4003,"正常",出库单!$C$4:$C$4003,"&gt;="&amp;账期起,出库单!$C$4:$C$4003,"&lt;="&amp;账期止),0))</f>
        <v/>
      </c>
      <c r="X415" s="27">
        <f>IF($A415="","",ROUND(N($G415)+$I415+$L415+$N415-$P415-$R415-$T415-$V415,3))</f>
        <v/>
      </c>
      <c r="Y415" s="26">
        <f>IF($A415="","",ROUND(N($H415)+$J415+$M415+$O415-$Q415-$S415-$U415-$W415,0))</f>
        <v/>
      </c>
      <c r="Z415" s="24">
        <f>IF($A415="","",IF(COUNTIFS(入库单!$G$4:$G$2503,$A415,入库单!$Y$4:$Y$2503,"待补价")+COUNTIFS(入库单!$G$4:$G$2503,$A415,入库单!$Y$4:$Y$2503,"暂估")&gt;0,"不可信","可信"))</f>
        <v/>
      </c>
      <c r="AA415" s="24">
        <f>IF($A415="","",IF($X415&lt;-0.001,"※账面负库存，查一下是不是漏记入库",IF(AND(ROUND($X415,3)=0,ABS($Y415)&gt;1),"※数量已经是 0，金额还挂着 "&amp;TEXT($Y415,"#,##0")&amp;" 先令",IF(AND($X415&gt;0,$Y415&lt;=0,$K415=0),"※有数量没金额（这个物料一直没填过进价）",IF($Z415="不可信","△成本含待补价/暂估，毛利仅供参考","")))))</f>
        <v/>
      </c>
    </row>
    <row r="416">
      <c r="A416" s="24">
        <f>IF(物料档案!$A415="","",物料档案!$A415)</f>
        <v/>
      </c>
      <c r="B416" s="24">
        <f>IF($A416="","",IFERROR(VLOOKUP($A416,物料档案!$A$4:$P$1203,3,0),""))</f>
        <v/>
      </c>
      <c r="C416" s="24">
        <f>IF($A416="","",IFERROR(VLOOKUP($A416,物料档案!$A$4:$P$1203,4,0),""))</f>
        <v/>
      </c>
      <c r="D416" s="24">
        <f>IF($A416="","",IFERROR(VLOOKUP($A416,物料档案!$A$4:$P$1203,5,0),""))</f>
        <v/>
      </c>
      <c r="E416" s="24">
        <f>IF($A416="","",IFERROR(VLOOKUP($A416,物料档案!$A$4:$P$1203,2,0),""))</f>
        <v/>
      </c>
      <c r="F416" s="24">
        <f>IF($A416="","",IFERROR(VLOOKUP($A416,物料档案!$A$4:$P$1203,6,0),""))</f>
        <v/>
      </c>
      <c r="G416" s="23" t="n"/>
      <c r="H416" s="32" t="n"/>
      <c r="I416" s="27">
        <f>IF($A416="","",SUMIFS(入库单!$K$4:$K$2503,入库单!$G$4:$G$2503,$A416,入库单!$X$4:$X$2503,"采购入库",入库单!$Z$4:$Z$2503,"正常",入库单!$C$4:$C$2503,"&gt;="&amp;账期起,入库单!$C$4:$C$2503,"&lt;="&amp;账期止))</f>
        <v/>
      </c>
      <c r="J416" s="26">
        <f>IF($A416="","",SUMIFS(入库单!$V$4:$V$2503,入库单!$G$4:$G$2503,$A416,入库单!$X$4:$X$2503,"采购入库",入库单!$Z$4:$Z$2503,"正常",入库单!$C$4:$C$2503,"&gt;="&amp;账期起,入库单!$C$4:$C$2503,"&lt;="&amp;账期止))</f>
        <v/>
      </c>
      <c r="K416" s="26">
        <f>IF($A416="","",IFERROR(ROUND((N($H416)+N($J416))/(N($G416)+N($I416)),2),0))</f>
        <v/>
      </c>
      <c r="L416" s="27">
        <f>IF($A416="","",SUMIFS(入库单!$K$4:$K$2503,入库单!$G$4:$G$2503,$A416,入库单!$X$4:$X$2503,"盘盈",入库单!$Z$4:$Z$2503,"正常",入库单!$C$4:$C$2503,"&gt;="&amp;账期起,入库单!$C$4:$C$2503,"&lt;="&amp;账期止))</f>
        <v/>
      </c>
      <c r="M416" s="26">
        <f>IF($A416="","",ROUND($L416*$K416,0))</f>
        <v/>
      </c>
      <c r="N416" s="27">
        <f>IF($A416="","",SUMIFS(入库单!$K$4:$K$2503,入库单!$G$4:$G$2503,$A416,入库单!$X$4:$X$2503,"矿区退库",入库单!$Z$4:$Z$2503,"正常",入库单!$C$4:$C$2503,"&gt;="&amp;账期起,入库单!$C$4:$C$2503,"&lt;="&amp;账期止))</f>
        <v/>
      </c>
      <c r="O416" s="26">
        <f>IF($A416="","",ROUND($N416*$K416,0))</f>
        <v/>
      </c>
      <c r="P416" s="27">
        <f>IF($A416="","",SUMIFS(出库单!$J$4:$J$4003,出库单!$D$4:$D$4003,$A416,出库单!$K$4:$K$4003,"自用消耗",出库单!$U$4:$U$4003,"正常",出库单!$C$4:$C$4003,"&gt;="&amp;账期起,出库单!$C$4:$C$4003,"&lt;="&amp;账期止))</f>
        <v/>
      </c>
      <c r="Q416" s="26">
        <f>IF($A416="","",ROUND(SUMIFS(出库单!$S$4:$S$4003,出库单!$D$4:$D$4003,$A416,出库单!$K$4:$K$4003,"自用消耗",出库单!$U$4:$U$4003,"正常",出库单!$C$4:$C$4003,"&gt;="&amp;账期起,出库单!$C$4:$C$4003,"&lt;="&amp;账期止),0))</f>
        <v/>
      </c>
      <c r="R416" s="27">
        <f>IF($A416="","",SUMIFS(出库单!$J$4:$J$4003,出库单!$D$4:$D$4003,$A416,出库单!$K$4:$K$4003,"对外销售",出库单!$U$4:$U$4003,"正常",出库单!$C$4:$C$4003,"&gt;="&amp;账期起,出库单!$C$4:$C$4003,"&lt;="&amp;账期止))</f>
        <v/>
      </c>
      <c r="S416" s="26">
        <f>IF($A416="","",ROUND(SUMIFS(出库单!$S$4:$S$4003,出库单!$D$4:$D$4003,$A416,出库单!$K$4:$K$4003,"对外销售",出库单!$U$4:$U$4003,"正常",出库单!$C$4:$C$4003,"&gt;="&amp;账期起,出库单!$C$4:$C$4003,"&lt;="&amp;账期止),0))</f>
        <v/>
      </c>
      <c r="T416" s="27">
        <f>IF($A416="","",SUMIFS(出库单!$J$4:$J$4003,出库单!$D$4:$D$4003,$A416,出库单!$K$4:$K$4003,"盘亏",出库单!$U$4:$U$4003,"正常",出库单!$C$4:$C$4003,"&gt;="&amp;账期起,出库单!$C$4:$C$4003,"&lt;="&amp;账期止))</f>
        <v/>
      </c>
      <c r="U416" s="26">
        <f>IF($A416="","",ROUND(SUMIFS(出库单!$S$4:$S$4003,出库单!$D$4:$D$4003,$A416,出库单!$K$4:$K$4003,"盘亏",出库单!$U$4:$U$4003,"正常",出库单!$C$4:$C$4003,"&gt;="&amp;账期起,出库单!$C$4:$C$4003,"&lt;="&amp;账期止),0))</f>
        <v/>
      </c>
      <c r="V416" s="27">
        <f>IF($A416="","",SUMIFS(出库单!$J$4:$J$4003,出库单!$D$4:$D$4003,$A416,出库单!$K$4:$K$4003,"退货给供应商",出库单!$U$4:$U$4003,"正常",出库单!$C$4:$C$4003,"&gt;="&amp;账期起,出库单!$C$4:$C$4003,"&lt;="&amp;账期止))</f>
        <v/>
      </c>
      <c r="W416" s="26">
        <f>IF($A416="","",ROUND(SUMIFS(出库单!$S$4:$S$4003,出库单!$D$4:$D$4003,$A416,出库单!$K$4:$K$4003,"退货给供应商",出库单!$U$4:$U$4003,"正常",出库单!$C$4:$C$4003,"&gt;="&amp;账期起,出库单!$C$4:$C$4003,"&lt;="&amp;账期止),0))</f>
        <v/>
      </c>
      <c r="X416" s="27">
        <f>IF($A416="","",ROUND(N($G416)+$I416+$L416+$N416-$P416-$R416-$T416-$V416,3))</f>
        <v/>
      </c>
      <c r="Y416" s="26">
        <f>IF($A416="","",ROUND(N($H416)+$J416+$M416+$O416-$Q416-$S416-$U416-$W416,0))</f>
        <v/>
      </c>
      <c r="Z416" s="24">
        <f>IF($A416="","",IF(COUNTIFS(入库单!$G$4:$G$2503,$A416,入库单!$Y$4:$Y$2503,"待补价")+COUNTIFS(入库单!$G$4:$G$2503,$A416,入库单!$Y$4:$Y$2503,"暂估")&gt;0,"不可信","可信"))</f>
        <v/>
      </c>
      <c r="AA416" s="24">
        <f>IF($A416="","",IF($X416&lt;-0.001,"※账面负库存，查一下是不是漏记入库",IF(AND(ROUND($X416,3)=0,ABS($Y416)&gt;1),"※数量已经是 0，金额还挂着 "&amp;TEXT($Y416,"#,##0")&amp;" 先令",IF(AND($X416&gt;0,$Y416&lt;=0,$K416=0),"※有数量没金额（这个物料一直没填过进价）",IF($Z416="不可信","△成本含待补价/暂估，毛利仅供参考","")))))</f>
        <v/>
      </c>
    </row>
    <row r="417">
      <c r="A417" s="24">
        <f>IF(物料档案!$A416="","",物料档案!$A416)</f>
        <v/>
      </c>
      <c r="B417" s="24">
        <f>IF($A417="","",IFERROR(VLOOKUP($A417,物料档案!$A$4:$P$1203,3,0),""))</f>
        <v/>
      </c>
      <c r="C417" s="24">
        <f>IF($A417="","",IFERROR(VLOOKUP($A417,物料档案!$A$4:$P$1203,4,0),""))</f>
        <v/>
      </c>
      <c r="D417" s="24">
        <f>IF($A417="","",IFERROR(VLOOKUP($A417,物料档案!$A$4:$P$1203,5,0),""))</f>
        <v/>
      </c>
      <c r="E417" s="24">
        <f>IF($A417="","",IFERROR(VLOOKUP($A417,物料档案!$A$4:$P$1203,2,0),""))</f>
        <v/>
      </c>
      <c r="F417" s="24">
        <f>IF($A417="","",IFERROR(VLOOKUP($A417,物料档案!$A$4:$P$1203,6,0),""))</f>
        <v/>
      </c>
      <c r="G417" s="23" t="n"/>
      <c r="H417" s="32" t="n"/>
      <c r="I417" s="27">
        <f>IF($A417="","",SUMIFS(入库单!$K$4:$K$2503,入库单!$G$4:$G$2503,$A417,入库单!$X$4:$X$2503,"采购入库",入库单!$Z$4:$Z$2503,"正常",入库单!$C$4:$C$2503,"&gt;="&amp;账期起,入库单!$C$4:$C$2503,"&lt;="&amp;账期止))</f>
        <v/>
      </c>
      <c r="J417" s="26">
        <f>IF($A417="","",SUMIFS(入库单!$V$4:$V$2503,入库单!$G$4:$G$2503,$A417,入库单!$X$4:$X$2503,"采购入库",入库单!$Z$4:$Z$2503,"正常",入库单!$C$4:$C$2503,"&gt;="&amp;账期起,入库单!$C$4:$C$2503,"&lt;="&amp;账期止))</f>
        <v/>
      </c>
      <c r="K417" s="26">
        <f>IF($A417="","",IFERROR(ROUND((N($H417)+N($J417))/(N($G417)+N($I417)),2),0))</f>
        <v/>
      </c>
      <c r="L417" s="27">
        <f>IF($A417="","",SUMIFS(入库单!$K$4:$K$2503,入库单!$G$4:$G$2503,$A417,入库单!$X$4:$X$2503,"盘盈",入库单!$Z$4:$Z$2503,"正常",入库单!$C$4:$C$2503,"&gt;="&amp;账期起,入库单!$C$4:$C$2503,"&lt;="&amp;账期止))</f>
        <v/>
      </c>
      <c r="M417" s="26">
        <f>IF($A417="","",ROUND($L417*$K417,0))</f>
        <v/>
      </c>
      <c r="N417" s="27">
        <f>IF($A417="","",SUMIFS(入库单!$K$4:$K$2503,入库单!$G$4:$G$2503,$A417,入库单!$X$4:$X$2503,"矿区退库",入库单!$Z$4:$Z$2503,"正常",入库单!$C$4:$C$2503,"&gt;="&amp;账期起,入库单!$C$4:$C$2503,"&lt;="&amp;账期止))</f>
        <v/>
      </c>
      <c r="O417" s="26">
        <f>IF($A417="","",ROUND($N417*$K417,0))</f>
        <v/>
      </c>
      <c r="P417" s="27">
        <f>IF($A417="","",SUMIFS(出库单!$J$4:$J$4003,出库单!$D$4:$D$4003,$A417,出库单!$K$4:$K$4003,"自用消耗",出库单!$U$4:$U$4003,"正常",出库单!$C$4:$C$4003,"&gt;="&amp;账期起,出库单!$C$4:$C$4003,"&lt;="&amp;账期止))</f>
        <v/>
      </c>
      <c r="Q417" s="26">
        <f>IF($A417="","",ROUND(SUMIFS(出库单!$S$4:$S$4003,出库单!$D$4:$D$4003,$A417,出库单!$K$4:$K$4003,"自用消耗",出库单!$U$4:$U$4003,"正常",出库单!$C$4:$C$4003,"&gt;="&amp;账期起,出库单!$C$4:$C$4003,"&lt;="&amp;账期止),0))</f>
        <v/>
      </c>
      <c r="R417" s="27">
        <f>IF($A417="","",SUMIFS(出库单!$J$4:$J$4003,出库单!$D$4:$D$4003,$A417,出库单!$K$4:$K$4003,"对外销售",出库单!$U$4:$U$4003,"正常",出库单!$C$4:$C$4003,"&gt;="&amp;账期起,出库单!$C$4:$C$4003,"&lt;="&amp;账期止))</f>
        <v/>
      </c>
      <c r="S417" s="26">
        <f>IF($A417="","",ROUND(SUMIFS(出库单!$S$4:$S$4003,出库单!$D$4:$D$4003,$A417,出库单!$K$4:$K$4003,"对外销售",出库单!$U$4:$U$4003,"正常",出库单!$C$4:$C$4003,"&gt;="&amp;账期起,出库单!$C$4:$C$4003,"&lt;="&amp;账期止),0))</f>
        <v/>
      </c>
      <c r="T417" s="27">
        <f>IF($A417="","",SUMIFS(出库单!$J$4:$J$4003,出库单!$D$4:$D$4003,$A417,出库单!$K$4:$K$4003,"盘亏",出库单!$U$4:$U$4003,"正常",出库单!$C$4:$C$4003,"&gt;="&amp;账期起,出库单!$C$4:$C$4003,"&lt;="&amp;账期止))</f>
        <v/>
      </c>
      <c r="U417" s="26">
        <f>IF($A417="","",ROUND(SUMIFS(出库单!$S$4:$S$4003,出库单!$D$4:$D$4003,$A417,出库单!$K$4:$K$4003,"盘亏",出库单!$U$4:$U$4003,"正常",出库单!$C$4:$C$4003,"&gt;="&amp;账期起,出库单!$C$4:$C$4003,"&lt;="&amp;账期止),0))</f>
        <v/>
      </c>
      <c r="V417" s="27">
        <f>IF($A417="","",SUMIFS(出库单!$J$4:$J$4003,出库单!$D$4:$D$4003,$A417,出库单!$K$4:$K$4003,"退货给供应商",出库单!$U$4:$U$4003,"正常",出库单!$C$4:$C$4003,"&gt;="&amp;账期起,出库单!$C$4:$C$4003,"&lt;="&amp;账期止))</f>
        <v/>
      </c>
      <c r="W417" s="26">
        <f>IF($A417="","",ROUND(SUMIFS(出库单!$S$4:$S$4003,出库单!$D$4:$D$4003,$A417,出库单!$K$4:$K$4003,"退货给供应商",出库单!$U$4:$U$4003,"正常",出库单!$C$4:$C$4003,"&gt;="&amp;账期起,出库单!$C$4:$C$4003,"&lt;="&amp;账期止),0))</f>
        <v/>
      </c>
      <c r="X417" s="27">
        <f>IF($A417="","",ROUND(N($G417)+$I417+$L417+$N417-$P417-$R417-$T417-$V417,3))</f>
        <v/>
      </c>
      <c r="Y417" s="26">
        <f>IF($A417="","",ROUND(N($H417)+$J417+$M417+$O417-$Q417-$S417-$U417-$W417,0))</f>
        <v/>
      </c>
      <c r="Z417" s="24">
        <f>IF($A417="","",IF(COUNTIFS(入库单!$G$4:$G$2503,$A417,入库单!$Y$4:$Y$2503,"待补价")+COUNTIFS(入库单!$G$4:$G$2503,$A417,入库单!$Y$4:$Y$2503,"暂估")&gt;0,"不可信","可信"))</f>
        <v/>
      </c>
      <c r="AA417" s="24">
        <f>IF($A417="","",IF($X417&lt;-0.001,"※账面负库存，查一下是不是漏记入库",IF(AND(ROUND($X417,3)=0,ABS($Y417)&gt;1),"※数量已经是 0，金额还挂着 "&amp;TEXT($Y417,"#,##0")&amp;" 先令",IF(AND($X417&gt;0,$Y417&lt;=0,$K417=0),"※有数量没金额（这个物料一直没填过进价）",IF($Z417="不可信","△成本含待补价/暂估，毛利仅供参考","")))))</f>
        <v/>
      </c>
    </row>
    <row r="418">
      <c r="A418" s="24">
        <f>IF(物料档案!$A417="","",物料档案!$A417)</f>
        <v/>
      </c>
      <c r="B418" s="24">
        <f>IF($A418="","",IFERROR(VLOOKUP($A418,物料档案!$A$4:$P$1203,3,0),""))</f>
        <v/>
      </c>
      <c r="C418" s="24">
        <f>IF($A418="","",IFERROR(VLOOKUP($A418,物料档案!$A$4:$P$1203,4,0),""))</f>
        <v/>
      </c>
      <c r="D418" s="24">
        <f>IF($A418="","",IFERROR(VLOOKUP($A418,物料档案!$A$4:$P$1203,5,0),""))</f>
        <v/>
      </c>
      <c r="E418" s="24">
        <f>IF($A418="","",IFERROR(VLOOKUP($A418,物料档案!$A$4:$P$1203,2,0),""))</f>
        <v/>
      </c>
      <c r="F418" s="24">
        <f>IF($A418="","",IFERROR(VLOOKUP($A418,物料档案!$A$4:$P$1203,6,0),""))</f>
        <v/>
      </c>
      <c r="G418" s="23" t="n"/>
      <c r="H418" s="32" t="n"/>
      <c r="I418" s="27">
        <f>IF($A418="","",SUMIFS(入库单!$K$4:$K$2503,入库单!$G$4:$G$2503,$A418,入库单!$X$4:$X$2503,"采购入库",入库单!$Z$4:$Z$2503,"正常",入库单!$C$4:$C$2503,"&gt;="&amp;账期起,入库单!$C$4:$C$2503,"&lt;="&amp;账期止))</f>
        <v/>
      </c>
      <c r="J418" s="26">
        <f>IF($A418="","",SUMIFS(入库单!$V$4:$V$2503,入库单!$G$4:$G$2503,$A418,入库单!$X$4:$X$2503,"采购入库",入库单!$Z$4:$Z$2503,"正常",入库单!$C$4:$C$2503,"&gt;="&amp;账期起,入库单!$C$4:$C$2503,"&lt;="&amp;账期止))</f>
        <v/>
      </c>
      <c r="K418" s="26">
        <f>IF($A418="","",IFERROR(ROUND((N($H418)+N($J418))/(N($G418)+N($I418)),2),0))</f>
        <v/>
      </c>
      <c r="L418" s="27">
        <f>IF($A418="","",SUMIFS(入库单!$K$4:$K$2503,入库单!$G$4:$G$2503,$A418,入库单!$X$4:$X$2503,"盘盈",入库单!$Z$4:$Z$2503,"正常",入库单!$C$4:$C$2503,"&gt;="&amp;账期起,入库单!$C$4:$C$2503,"&lt;="&amp;账期止))</f>
        <v/>
      </c>
      <c r="M418" s="26">
        <f>IF($A418="","",ROUND($L418*$K418,0))</f>
        <v/>
      </c>
      <c r="N418" s="27">
        <f>IF($A418="","",SUMIFS(入库单!$K$4:$K$2503,入库单!$G$4:$G$2503,$A418,入库单!$X$4:$X$2503,"矿区退库",入库单!$Z$4:$Z$2503,"正常",入库单!$C$4:$C$2503,"&gt;="&amp;账期起,入库单!$C$4:$C$2503,"&lt;="&amp;账期止))</f>
        <v/>
      </c>
      <c r="O418" s="26">
        <f>IF($A418="","",ROUND($N418*$K418,0))</f>
        <v/>
      </c>
      <c r="P418" s="27">
        <f>IF($A418="","",SUMIFS(出库单!$J$4:$J$4003,出库单!$D$4:$D$4003,$A418,出库单!$K$4:$K$4003,"自用消耗",出库单!$U$4:$U$4003,"正常",出库单!$C$4:$C$4003,"&gt;="&amp;账期起,出库单!$C$4:$C$4003,"&lt;="&amp;账期止))</f>
        <v/>
      </c>
      <c r="Q418" s="26">
        <f>IF($A418="","",ROUND(SUMIFS(出库单!$S$4:$S$4003,出库单!$D$4:$D$4003,$A418,出库单!$K$4:$K$4003,"自用消耗",出库单!$U$4:$U$4003,"正常",出库单!$C$4:$C$4003,"&gt;="&amp;账期起,出库单!$C$4:$C$4003,"&lt;="&amp;账期止),0))</f>
        <v/>
      </c>
      <c r="R418" s="27">
        <f>IF($A418="","",SUMIFS(出库单!$J$4:$J$4003,出库单!$D$4:$D$4003,$A418,出库单!$K$4:$K$4003,"对外销售",出库单!$U$4:$U$4003,"正常",出库单!$C$4:$C$4003,"&gt;="&amp;账期起,出库单!$C$4:$C$4003,"&lt;="&amp;账期止))</f>
        <v/>
      </c>
      <c r="S418" s="26">
        <f>IF($A418="","",ROUND(SUMIFS(出库单!$S$4:$S$4003,出库单!$D$4:$D$4003,$A418,出库单!$K$4:$K$4003,"对外销售",出库单!$U$4:$U$4003,"正常",出库单!$C$4:$C$4003,"&gt;="&amp;账期起,出库单!$C$4:$C$4003,"&lt;="&amp;账期止),0))</f>
        <v/>
      </c>
      <c r="T418" s="27">
        <f>IF($A418="","",SUMIFS(出库单!$J$4:$J$4003,出库单!$D$4:$D$4003,$A418,出库单!$K$4:$K$4003,"盘亏",出库单!$U$4:$U$4003,"正常",出库单!$C$4:$C$4003,"&gt;="&amp;账期起,出库单!$C$4:$C$4003,"&lt;="&amp;账期止))</f>
        <v/>
      </c>
      <c r="U418" s="26">
        <f>IF($A418="","",ROUND(SUMIFS(出库单!$S$4:$S$4003,出库单!$D$4:$D$4003,$A418,出库单!$K$4:$K$4003,"盘亏",出库单!$U$4:$U$4003,"正常",出库单!$C$4:$C$4003,"&gt;="&amp;账期起,出库单!$C$4:$C$4003,"&lt;="&amp;账期止),0))</f>
        <v/>
      </c>
      <c r="V418" s="27">
        <f>IF($A418="","",SUMIFS(出库单!$J$4:$J$4003,出库单!$D$4:$D$4003,$A418,出库单!$K$4:$K$4003,"退货给供应商",出库单!$U$4:$U$4003,"正常",出库单!$C$4:$C$4003,"&gt;="&amp;账期起,出库单!$C$4:$C$4003,"&lt;="&amp;账期止))</f>
        <v/>
      </c>
      <c r="W418" s="26">
        <f>IF($A418="","",ROUND(SUMIFS(出库单!$S$4:$S$4003,出库单!$D$4:$D$4003,$A418,出库单!$K$4:$K$4003,"退货给供应商",出库单!$U$4:$U$4003,"正常",出库单!$C$4:$C$4003,"&gt;="&amp;账期起,出库单!$C$4:$C$4003,"&lt;="&amp;账期止),0))</f>
        <v/>
      </c>
      <c r="X418" s="27">
        <f>IF($A418="","",ROUND(N($G418)+$I418+$L418+$N418-$P418-$R418-$T418-$V418,3))</f>
        <v/>
      </c>
      <c r="Y418" s="26">
        <f>IF($A418="","",ROUND(N($H418)+$J418+$M418+$O418-$Q418-$S418-$U418-$W418,0))</f>
        <v/>
      </c>
      <c r="Z418" s="24">
        <f>IF($A418="","",IF(COUNTIFS(入库单!$G$4:$G$2503,$A418,入库单!$Y$4:$Y$2503,"待补价")+COUNTIFS(入库单!$G$4:$G$2503,$A418,入库单!$Y$4:$Y$2503,"暂估")&gt;0,"不可信","可信"))</f>
        <v/>
      </c>
      <c r="AA418" s="24">
        <f>IF($A418="","",IF($X418&lt;-0.001,"※账面负库存，查一下是不是漏记入库",IF(AND(ROUND($X418,3)=0,ABS($Y418)&gt;1),"※数量已经是 0，金额还挂着 "&amp;TEXT($Y418,"#,##0")&amp;" 先令",IF(AND($X418&gt;0,$Y418&lt;=0,$K418=0),"※有数量没金额（这个物料一直没填过进价）",IF($Z418="不可信","△成本含待补价/暂估，毛利仅供参考","")))))</f>
        <v/>
      </c>
    </row>
    <row r="419">
      <c r="A419" s="24">
        <f>IF(物料档案!$A418="","",物料档案!$A418)</f>
        <v/>
      </c>
      <c r="B419" s="24">
        <f>IF($A419="","",IFERROR(VLOOKUP($A419,物料档案!$A$4:$P$1203,3,0),""))</f>
        <v/>
      </c>
      <c r="C419" s="24">
        <f>IF($A419="","",IFERROR(VLOOKUP($A419,物料档案!$A$4:$P$1203,4,0),""))</f>
        <v/>
      </c>
      <c r="D419" s="24">
        <f>IF($A419="","",IFERROR(VLOOKUP($A419,物料档案!$A$4:$P$1203,5,0),""))</f>
        <v/>
      </c>
      <c r="E419" s="24">
        <f>IF($A419="","",IFERROR(VLOOKUP($A419,物料档案!$A$4:$P$1203,2,0),""))</f>
        <v/>
      </c>
      <c r="F419" s="24">
        <f>IF($A419="","",IFERROR(VLOOKUP($A419,物料档案!$A$4:$P$1203,6,0),""))</f>
        <v/>
      </c>
      <c r="G419" s="23" t="n"/>
      <c r="H419" s="32" t="n"/>
      <c r="I419" s="27">
        <f>IF($A419="","",SUMIFS(入库单!$K$4:$K$2503,入库单!$G$4:$G$2503,$A419,入库单!$X$4:$X$2503,"采购入库",入库单!$Z$4:$Z$2503,"正常",入库单!$C$4:$C$2503,"&gt;="&amp;账期起,入库单!$C$4:$C$2503,"&lt;="&amp;账期止))</f>
        <v/>
      </c>
      <c r="J419" s="26">
        <f>IF($A419="","",SUMIFS(入库单!$V$4:$V$2503,入库单!$G$4:$G$2503,$A419,入库单!$X$4:$X$2503,"采购入库",入库单!$Z$4:$Z$2503,"正常",入库单!$C$4:$C$2503,"&gt;="&amp;账期起,入库单!$C$4:$C$2503,"&lt;="&amp;账期止))</f>
        <v/>
      </c>
      <c r="K419" s="26">
        <f>IF($A419="","",IFERROR(ROUND((N($H419)+N($J419))/(N($G419)+N($I419)),2),0))</f>
        <v/>
      </c>
      <c r="L419" s="27">
        <f>IF($A419="","",SUMIFS(入库单!$K$4:$K$2503,入库单!$G$4:$G$2503,$A419,入库单!$X$4:$X$2503,"盘盈",入库单!$Z$4:$Z$2503,"正常",入库单!$C$4:$C$2503,"&gt;="&amp;账期起,入库单!$C$4:$C$2503,"&lt;="&amp;账期止))</f>
        <v/>
      </c>
      <c r="M419" s="26">
        <f>IF($A419="","",ROUND($L419*$K419,0))</f>
        <v/>
      </c>
      <c r="N419" s="27">
        <f>IF($A419="","",SUMIFS(入库单!$K$4:$K$2503,入库单!$G$4:$G$2503,$A419,入库单!$X$4:$X$2503,"矿区退库",入库单!$Z$4:$Z$2503,"正常",入库单!$C$4:$C$2503,"&gt;="&amp;账期起,入库单!$C$4:$C$2503,"&lt;="&amp;账期止))</f>
        <v/>
      </c>
      <c r="O419" s="26">
        <f>IF($A419="","",ROUND($N419*$K419,0))</f>
        <v/>
      </c>
      <c r="P419" s="27">
        <f>IF($A419="","",SUMIFS(出库单!$J$4:$J$4003,出库单!$D$4:$D$4003,$A419,出库单!$K$4:$K$4003,"自用消耗",出库单!$U$4:$U$4003,"正常",出库单!$C$4:$C$4003,"&gt;="&amp;账期起,出库单!$C$4:$C$4003,"&lt;="&amp;账期止))</f>
        <v/>
      </c>
      <c r="Q419" s="26">
        <f>IF($A419="","",ROUND(SUMIFS(出库单!$S$4:$S$4003,出库单!$D$4:$D$4003,$A419,出库单!$K$4:$K$4003,"自用消耗",出库单!$U$4:$U$4003,"正常",出库单!$C$4:$C$4003,"&gt;="&amp;账期起,出库单!$C$4:$C$4003,"&lt;="&amp;账期止),0))</f>
        <v/>
      </c>
      <c r="R419" s="27">
        <f>IF($A419="","",SUMIFS(出库单!$J$4:$J$4003,出库单!$D$4:$D$4003,$A419,出库单!$K$4:$K$4003,"对外销售",出库单!$U$4:$U$4003,"正常",出库单!$C$4:$C$4003,"&gt;="&amp;账期起,出库单!$C$4:$C$4003,"&lt;="&amp;账期止))</f>
        <v/>
      </c>
      <c r="S419" s="26">
        <f>IF($A419="","",ROUND(SUMIFS(出库单!$S$4:$S$4003,出库单!$D$4:$D$4003,$A419,出库单!$K$4:$K$4003,"对外销售",出库单!$U$4:$U$4003,"正常",出库单!$C$4:$C$4003,"&gt;="&amp;账期起,出库单!$C$4:$C$4003,"&lt;="&amp;账期止),0))</f>
        <v/>
      </c>
      <c r="T419" s="27">
        <f>IF($A419="","",SUMIFS(出库单!$J$4:$J$4003,出库单!$D$4:$D$4003,$A419,出库单!$K$4:$K$4003,"盘亏",出库单!$U$4:$U$4003,"正常",出库单!$C$4:$C$4003,"&gt;="&amp;账期起,出库单!$C$4:$C$4003,"&lt;="&amp;账期止))</f>
        <v/>
      </c>
      <c r="U419" s="26">
        <f>IF($A419="","",ROUND(SUMIFS(出库单!$S$4:$S$4003,出库单!$D$4:$D$4003,$A419,出库单!$K$4:$K$4003,"盘亏",出库单!$U$4:$U$4003,"正常",出库单!$C$4:$C$4003,"&gt;="&amp;账期起,出库单!$C$4:$C$4003,"&lt;="&amp;账期止),0))</f>
        <v/>
      </c>
      <c r="V419" s="27">
        <f>IF($A419="","",SUMIFS(出库单!$J$4:$J$4003,出库单!$D$4:$D$4003,$A419,出库单!$K$4:$K$4003,"退货给供应商",出库单!$U$4:$U$4003,"正常",出库单!$C$4:$C$4003,"&gt;="&amp;账期起,出库单!$C$4:$C$4003,"&lt;="&amp;账期止))</f>
        <v/>
      </c>
      <c r="W419" s="26">
        <f>IF($A419="","",ROUND(SUMIFS(出库单!$S$4:$S$4003,出库单!$D$4:$D$4003,$A419,出库单!$K$4:$K$4003,"退货给供应商",出库单!$U$4:$U$4003,"正常",出库单!$C$4:$C$4003,"&gt;="&amp;账期起,出库单!$C$4:$C$4003,"&lt;="&amp;账期止),0))</f>
        <v/>
      </c>
      <c r="X419" s="27">
        <f>IF($A419="","",ROUND(N($G419)+$I419+$L419+$N419-$P419-$R419-$T419-$V419,3))</f>
        <v/>
      </c>
      <c r="Y419" s="26">
        <f>IF($A419="","",ROUND(N($H419)+$J419+$M419+$O419-$Q419-$S419-$U419-$W419,0))</f>
        <v/>
      </c>
      <c r="Z419" s="24">
        <f>IF($A419="","",IF(COUNTIFS(入库单!$G$4:$G$2503,$A419,入库单!$Y$4:$Y$2503,"待补价")+COUNTIFS(入库单!$G$4:$G$2503,$A419,入库单!$Y$4:$Y$2503,"暂估")&gt;0,"不可信","可信"))</f>
        <v/>
      </c>
      <c r="AA419" s="24">
        <f>IF($A419="","",IF($X419&lt;-0.001,"※账面负库存，查一下是不是漏记入库",IF(AND(ROUND($X419,3)=0,ABS($Y419)&gt;1),"※数量已经是 0，金额还挂着 "&amp;TEXT($Y419,"#,##0")&amp;" 先令",IF(AND($X419&gt;0,$Y419&lt;=0,$K419=0),"※有数量没金额（这个物料一直没填过进价）",IF($Z419="不可信","△成本含待补价/暂估，毛利仅供参考","")))))</f>
        <v/>
      </c>
    </row>
    <row r="420">
      <c r="A420" s="24">
        <f>IF(物料档案!$A419="","",物料档案!$A419)</f>
        <v/>
      </c>
      <c r="B420" s="24">
        <f>IF($A420="","",IFERROR(VLOOKUP($A420,物料档案!$A$4:$P$1203,3,0),""))</f>
        <v/>
      </c>
      <c r="C420" s="24">
        <f>IF($A420="","",IFERROR(VLOOKUP($A420,物料档案!$A$4:$P$1203,4,0),""))</f>
        <v/>
      </c>
      <c r="D420" s="24">
        <f>IF($A420="","",IFERROR(VLOOKUP($A420,物料档案!$A$4:$P$1203,5,0),""))</f>
        <v/>
      </c>
      <c r="E420" s="24">
        <f>IF($A420="","",IFERROR(VLOOKUP($A420,物料档案!$A$4:$P$1203,2,0),""))</f>
        <v/>
      </c>
      <c r="F420" s="24">
        <f>IF($A420="","",IFERROR(VLOOKUP($A420,物料档案!$A$4:$P$1203,6,0),""))</f>
        <v/>
      </c>
      <c r="G420" s="23" t="n"/>
      <c r="H420" s="32" t="n"/>
      <c r="I420" s="27">
        <f>IF($A420="","",SUMIFS(入库单!$K$4:$K$2503,入库单!$G$4:$G$2503,$A420,入库单!$X$4:$X$2503,"采购入库",入库单!$Z$4:$Z$2503,"正常",入库单!$C$4:$C$2503,"&gt;="&amp;账期起,入库单!$C$4:$C$2503,"&lt;="&amp;账期止))</f>
        <v/>
      </c>
      <c r="J420" s="26">
        <f>IF($A420="","",SUMIFS(入库单!$V$4:$V$2503,入库单!$G$4:$G$2503,$A420,入库单!$X$4:$X$2503,"采购入库",入库单!$Z$4:$Z$2503,"正常",入库单!$C$4:$C$2503,"&gt;="&amp;账期起,入库单!$C$4:$C$2503,"&lt;="&amp;账期止))</f>
        <v/>
      </c>
      <c r="K420" s="26">
        <f>IF($A420="","",IFERROR(ROUND((N($H420)+N($J420))/(N($G420)+N($I420)),2),0))</f>
        <v/>
      </c>
      <c r="L420" s="27">
        <f>IF($A420="","",SUMIFS(入库单!$K$4:$K$2503,入库单!$G$4:$G$2503,$A420,入库单!$X$4:$X$2503,"盘盈",入库单!$Z$4:$Z$2503,"正常",入库单!$C$4:$C$2503,"&gt;="&amp;账期起,入库单!$C$4:$C$2503,"&lt;="&amp;账期止))</f>
        <v/>
      </c>
      <c r="M420" s="26">
        <f>IF($A420="","",ROUND($L420*$K420,0))</f>
        <v/>
      </c>
      <c r="N420" s="27">
        <f>IF($A420="","",SUMIFS(入库单!$K$4:$K$2503,入库单!$G$4:$G$2503,$A420,入库单!$X$4:$X$2503,"矿区退库",入库单!$Z$4:$Z$2503,"正常",入库单!$C$4:$C$2503,"&gt;="&amp;账期起,入库单!$C$4:$C$2503,"&lt;="&amp;账期止))</f>
        <v/>
      </c>
      <c r="O420" s="26">
        <f>IF($A420="","",ROUND($N420*$K420,0))</f>
        <v/>
      </c>
      <c r="P420" s="27">
        <f>IF($A420="","",SUMIFS(出库单!$J$4:$J$4003,出库单!$D$4:$D$4003,$A420,出库单!$K$4:$K$4003,"自用消耗",出库单!$U$4:$U$4003,"正常",出库单!$C$4:$C$4003,"&gt;="&amp;账期起,出库单!$C$4:$C$4003,"&lt;="&amp;账期止))</f>
        <v/>
      </c>
      <c r="Q420" s="26">
        <f>IF($A420="","",ROUND(SUMIFS(出库单!$S$4:$S$4003,出库单!$D$4:$D$4003,$A420,出库单!$K$4:$K$4003,"自用消耗",出库单!$U$4:$U$4003,"正常",出库单!$C$4:$C$4003,"&gt;="&amp;账期起,出库单!$C$4:$C$4003,"&lt;="&amp;账期止),0))</f>
        <v/>
      </c>
      <c r="R420" s="27">
        <f>IF($A420="","",SUMIFS(出库单!$J$4:$J$4003,出库单!$D$4:$D$4003,$A420,出库单!$K$4:$K$4003,"对外销售",出库单!$U$4:$U$4003,"正常",出库单!$C$4:$C$4003,"&gt;="&amp;账期起,出库单!$C$4:$C$4003,"&lt;="&amp;账期止))</f>
        <v/>
      </c>
      <c r="S420" s="26">
        <f>IF($A420="","",ROUND(SUMIFS(出库单!$S$4:$S$4003,出库单!$D$4:$D$4003,$A420,出库单!$K$4:$K$4003,"对外销售",出库单!$U$4:$U$4003,"正常",出库单!$C$4:$C$4003,"&gt;="&amp;账期起,出库单!$C$4:$C$4003,"&lt;="&amp;账期止),0))</f>
        <v/>
      </c>
      <c r="T420" s="27">
        <f>IF($A420="","",SUMIFS(出库单!$J$4:$J$4003,出库单!$D$4:$D$4003,$A420,出库单!$K$4:$K$4003,"盘亏",出库单!$U$4:$U$4003,"正常",出库单!$C$4:$C$4003,"&gt;="&amp;账期起,出库单!$C$4:$C$4003,"&lt;="&amp;账期止))</f>
        <v/>
      </c>
      <c r="U420" s="26">
        <f>IF($A420="","",ROUND(SUMIFS(出库单!$S$4:$S$4003,出库单!$D$4:$D$4003,$A420,出库单!$K$4:$K$4003,"盘亏",出库单!$U$4:$U$4003,"正常",出库单!$C$4:$C$4003,"&gt;="&amp;账期起,出库单!$C$4:$C$4003,"&lt;="&amp;账期止),0))</f>
        <v/>
      </c>
      <c r="V420" s="27">
        <f>IF($A420="","",SUMIFS(出库单!$J$4:$J$4003,出库单!$D$4:$D$4003,$A420,出库单!$K$4:$K$4003,"退货给供应商",出库单!$U$4:$U$4003,"正常",出库单!$C$4:$C$4003,"&gt;="&amp;账期起,出库单!$C$4:$C$4003,"&lt;="&amp;账期止))</f>
        <v/>
      </c>
      <c r="W420" s="26">
        <f>IF($A420="","",ROUND(SUMIFS(出库单!$S$4:$S$4003,出库单!$D$4:$D$4003,$A420,出库单!$K$4:$K$4003,"退货给供应商",出库单!$U$4:$U$4003,"正常",出库单!$C$4:$C$4003,"&gt;="&amp;账期起,出库单!$C$4:$C$4003,"&lt;="&amp;账期止),0))</f>
        <v/>
      </c>
      <c r="X420" s="27">
        <f>IF($A420="","",ROUND(N($G420)+$I420+$L420+$N420-$P420-$R420-$T420-$V420,3))</f>
        <v/>
      </c>
      <c r="Y420" s="26">
        <f>IF($A420="","",ROUND(N($H420)+$J420+$M420+$O420-$Q420-$S420-$U420-$W420,0))</f>
        <v/>
      </c>
      <c r="Z420" s="24">
        <f>IF($A420="","",IF(COUNTIFS(入库单!$G$4:$G$2503,$A420,入库单!$Y$4:$Y$2503,"待补价")+COUNTIFS(入库单!$G$4:$G$2503,$A420,入库单!$Y$4:$Y$2503,"暂估")&gt;0,"不可信","可信"))</f>
        <v/>
      </c>
      <c r="AA420" s="24">
        <f>IF($A420="","",IF($X420&lt;-0.001,"※账面负库存，查一下是不是漏记入库",IF(AND(ROUND($X420,3)=0,ABS($Y420)&gt;1),"※数量已经是 0，金额还挂着 "&amp;TEXT($Y420,"#,##0")&amp;" 先令",IF(AND($X420&gt;0,$Y420&lt;=0,$K420=0),"※有数量没金额（这个物料一直没填过进价）",IF($Z420="不可信","△成本含待补价/暂估，毛利仅供参考","")))))</f>
        <v/>
      </c>
    </row>
    <row r="421">
      <c r="A421" s="24">
        <f>IF(物料档案!$A420="","",物料档案!$A420)</f>
        <v/>
      </c>
      <c r="B421" s="24">
        <f>IF($A421="","",IFERROR(VLOOKUP($A421,物料档案!$A$4:$P$1203,3,0),""))</f>
        <v/>
      </c>
      <c r="C421" s="24">
        <f>IF($A421="","",IFERROR(VLOOKUP($A421,物料档案!$A$4:$P$1203,4,0),""))</f>
        <v/>
      </c>
      <c r="D421" s="24">
        <f>IF($A421="","",IFERROR(VLOOKUP($A421,物料档案!$A$4:$P$1203,5,0),""))</f>
        <v/>
      </c>
      <c r="E421" s="24">
        <f>IF($A421="","",IFERROR(VLOOKUP($A421,物料档案!$A$4:$P$1203,2,0),""))</f>
        <v/>
      </c>
      <c r="F421" s="24">
        <f>IF($A421="","",IFERROR(VLOOKUP($A421,物料档案!$A$4:$P$1203,6,0),""))</f>
        <v/>
      </c>
      <c r="G421" s="23" t="n"/>
      <c r="H421" s="32" t="n"/>
      <c r="I421" s="27">
        <f>IF($A421="","",SUMIFS(入库单!$K$4:$K$2503,入库单!$G$4:$G$2503,$A421,入库单!$X$4:$X$2503,"采购入库",入库单!$Z$4:$Z$2503,"正常",入库单!$C$4:$C$2503,"&gt;="&amp;账期起,入库单!$C$4:$C$2503,"&lt;="&amp;账期止))</f>
        <v/>
      </c>
      <c r="J421" s="26">
        <f>IF($A421="","",SUMIFS(入库单!$V$4:$V$2503,入库单!$G$4:$G$2503,$A421,入库单!$X$4:$X$2503,"采购入库",入库单!$Z$4:$Z$2503,"正常",入库单!$C$4:$C$2503,"&gt;="&amp;账期起,入库单!$C$4:$C$2503,"&lt;="&amp;账期止))</f>
        <v/>
      </c>
      <c r="K421" s="26">
        <f>IF($A421="","",IFERROR(ROUND((N($H421)+N($J421))/(N($G421)+N($I421)),2),0))</f>
        <v/>
      </c>
      <c r="L421" s="27">
        <f>IF($A421="","",SUMIFS(入库单!$K$4:$K$2503,入库单!$G$4:$G$2503,$A421,入库单!$X$4:$X$2503,"盘盈",入库单!$Z$4:$Z$2503,"正常",入库单!$C$4:$C$2503,"&gt;="&amp;账期起,入库单!$C$4:$C$2503,"&lt;="&amp;账期止))</f>
        <v/>
      </c>
      <c r="M421" s="26">
        <f>IF($A421="","",ROUND($L421*$K421,0))</f>
        <v/>
      </c>
      <c r="N421" s="27">
        <f>IF($A421="","",SUMIFS(入库单!$K$4:$K$2503,入库单!$G$4:$G$2503,$A421,入库单!$X$4:$X$2503,"矿区退库",入库单!$Z$4:$Z$2503,"正常",入库单!$C$4:$C$2503,"&gt;="&amp;账期起,入库单!$C$4:$C$2503,"&lt;="&amp;账期止))</f>
        <v/>
      </c>
      <c r="O421" s="26">
        <f>IF($A421="","",ROUND($N421*$K421,0))</f>
        <v/>
      </c>
      <c r="P421" s="27">
        <f>IF($A421="","",SUMIFS(出库单!$J$4:$J$4003,出库单!$D$4:$D$4003,$A421,出库单!$K$4:$K$4003,"自用消耗",出库单!$U$4:$U$4003,"正常",出库单!$C$4:$C$4003,"&gt;="&amp;账期起,出库单!$C$4:$C$4003,"&lt;="&amp;账期止))</f>
        <v/>
      </c>
      <c r="Q421" s="26">
        <f>IF($A421="","",ROUND(SUMIFS(出库单!$S$4:$S$4003,出库单!$D$4:$D$4003,$A421,出库单!$K$4:$K$4003,"自用消耗",出库单!$U$4:$U$4003,"正常",出库单!$C$4:$C$4003,"&gt;="&amp;账期起,出库单!$C$4:$C$4003,"&lt;="&amp;账期止),0))</f>
        <v/>
      </c>
      <c r="R421" s="27">
        <f>IF($A421="","",SUMIFS(出库单!$J$4:$J$4003,出库单!$D$4:$D$4003,$A421,出库单!$K$4:$K$4003,"对外销售",出库单!$U$4:$U$4003,"正常",出库单!$C$4:$C$4003,"&gt;="&amp;账期起,出库单!$C$4:$C$4003,"&lt;="&amp;账期止))</f>
        <v/>
      </c>
      <c r="S421" s="26">
        <f>IF($A421="","",ROUND(SUMIFS(出库单!$S$4:$S$4003,出库单!$D$4:$D$4003,$A421,出库单!$K$4:$K$4003,"对外销售",出库单!$U$4:$U$4003,"正常",出库单!$C$4:$C$4003,"&gt;="&amp;账期起,出库单!$C$4:$C$4003,"&lt;="&amp;账期止),0))</f>
        <v/>
      </c>
      <c r="T421" s="27">
        <f>IF($A421="","",SUMIFS(出库单!$J$4:$J$4003,出库单!$D$4:$D$4003,$A421,出库单!$K$4:$K$4003,"盘亏",出库单!$U$4:$U$4003,"正常",出库单!$C$4:$C$4003,"&gt;="&amp;账期起,出库单!$C$4:$C$4003,"&lt;="&amp;账期止))</f>
        <v/>
      </c>
      <c r="U421" s="26">
        <f>IF($A421="","",ROUND(SUMIFS(出库单!$S$4:$S$4003,出库单!$D$4:$D$4003,$A421,出库单!$K$4:$K$4003,"盘亏",出库单!$U$4:$U$4003,"正常",出库单!$C$4:$C$4003,"&gt;="&amp;账期起,出库单!$C$4:$C$4003,"&lt;="&amp;账期止),0))</f>
        <v/>
      </c>
      <c r="V421" s="27">
        <f>IF($A421="","",SUMIFS(出库单!$J$4:$J$4003,出库单!$D$4:$D$4003,$A421,出库单!$K$4:$K$4003,"退货给供应商",出库单!$U$4:$U$4003,"正常",出库单!$C$4:$C$4003,"&gt;="&amp;账期起,出库单!$C$4:$C$4003,"&lt;="&amp;账期止))</f>
        <v/>
      </c>
      <c r="W421" s="26">
        <f>IF($A421="","",ROUND(SUMIFS(出库单!$S$4:$S$4003,出库单!$D$4:$D$4003,$A421,出库单!$K$4:$K$4003,"退货给供应商",出库单!$U$4:$U$4003,"正常",出库单!$C$4:$C$4003,"&gt;="&amp;账期起,出库单!$C$4:$C$4003,"&lt;="&amp;账期止),0))</f>
        <v/>
      </c>
      <c r="X421" s="27">
        <f>IF($A421="","",ROUND(N($G421)+$I421+$L421+$N421-$P421-$R421-$T421-$V421,3))</f>
        <v/>
      </c>
      <c r="Y421" s="26">
        <f>IF($A421="","",ROUND(N($H421)+$J421+$M421+$O421-$Q421-$S421-$U421-$W421,0))</f>
        <v/>
      </c>
      <c r="Z421" s="24">
        <f>IF($A421="","",IF(COUNTIFS(入库单!$G$4:$G$2503,$A421,入库单!$Y$4:$Y$2503,"待补价")+COUNTIFS(入库单!$G$4:$G$2503,$A421,入库单!$Y$4:$Y$2503,"暂估")&gt;0,"不可信","可信"))</f>
        <v/>
      </c>
      <c r="AA421" s="24">
        <f>IF($A421="","",IF($X421&lt;-0.001,"※账面负库存，查一下是不是漏记入库",IF(AND(ROUND($X421,3)=0,ABS($Y421)&gt;1),"※数量已经是 0，金额还挂着 "&amp;TEXT($Y421,"#,##0")&amp;" 先令",IF(AND($X421&gt;0,$Y421&lt;=0,$K421=0),"※有数量没金额（这个物料一直没填过进价）",IF($Z421="不可信","△成本含待补价/暂估，毛利仅供参考","")))))</f>
        <v/>
      </c>
    </row>
    <row r="422">
      <c r="A422" s="24">
        <f>IF(物料档案!$A421="","",物料档案!$A421)</f>
        <v/>
      </c>
      <c r="B422" s="24">
        <f>IF($A422="","",IFERROR(VLOOKUP($A422,物料档案!$A$4:$P$1203,3,0),""))</f>
        <v/>
      </c>
      <c r="C422" s="24">
        <f>IF($A422="","",IFERROR(VLOOKUP($A422,物料档案!$A$4:$P$1203,4,0),""))</f>
        <v/>
      </c>
      <c r="D422" s="24">
        <f>IF($A422="","",IFERROR(VLOOKUP($A422,物料档案!$A$4:$P$1203,5,0),""))</f>
        <v/>
      </c>
      <c r="E422" s="24">
        <f>IF($A422="","",IFERROR(VLOOKUP($A422,物料档案!$A$4:$P$1203,2,0),""))</f>
        <v/>
      </c>
      <c r="F422" s="24">
        <f>IF($A422="","",IFERROR(VLOOKUP($A422,物料档案!$A$4:$P$1203,6,0),""))</f>
        <v/>
      </c>
      <c r="G422" s="23" t="n"/>
      <c r="H422" s="32" t="n"/>
      <c r="I422" s="27">
        <f>IF($A422="","",SUMIFS(入库单!$K$4:$K$2503,入库单!$G$4:$G$2503,$A422,入库单!$X$4:$X$2503,"采购入库",入库单!$Z$4:$Z$2503,"正常",入库单!$C$4:$C$2503,"&gt;="&amp;账期起,入库单!$C$4:$C$2503,"&lt;="&amp;账期止))</f>
        <v/>
      </c>
      <c r="J422" s="26">
        <f>IF($A422="","",SUMIFS(入库单!$V$4:$V$2503,入库单!$G$4:$G$2503,$A422,入库单!$X$4:$X$2503,"采购入库",入库单!$Z$4:$Z$2503,"正常",入库单!$C$4:$C$2503,"&gt;="&amp;账期起,入库单!$C$4:$C$2503,"&lt;="&amp;账期止))</f>
        <v/>
      </c>
      <c r="K422" s="26">
        <f>IF($A422="","",IFERROR(ROUND((N($H422)+N($J422))/(N($G422)+N($I422)),2),0))</f>
        <v/>
      </c>
      <c r="L422" s="27">
        <f>IF($A422="","",SUMIFS(入库单!$K$4:$K$2503,入库单!$G$4:$G$2503,$A422,入库单!$X$4:$X$2503,"盘盈",入库单!$Z$4:$Z$2503,"正常",入库单!$C$4:$C$2503,"&gt;="&amp;账期起,入库单!$C$4:$C$2503,"&lt;="&amp;账期止))</f>
        <v/>
      </c>
      <c r="M422" s="26">
        <f>IF($A422="","",ROUND($L422*$K422,0))</f>
        <v/>
      </c>
      <c r="N422" s="27">
        <f>IF($A422="","",SUMIFS(入库单!$K$4:$K$2503,入库单!$G$4:$G$2503,$A422,入库单!$X$4:$X$2503,"矿区退库",入库单!$Z$4:$Z$2503,"正常",入库单!$C$4:$C$2503,"&gt;="&amp;账期起,入库单!$C$4:$C$2503,"&lt;="&amp;账期止))</f>
        <v/>
      </c>
      <c r="O422" s="26">
        <f>IF($A422="","",ROUND($N422*$K422,0))</f>
        <v/>
      </c>
      <c r="P422" s="27">
        <f>IF($A422="","",SUMIFS(出库单!$J$4:$J$4003,出库单!$D$4:$D$4003,$A422,出库单!$K$4:$K$4003,"自用消耗",出库单!$U$4:$U$4003,"正常",出库单!$C$4:$C$4003,"&gt;="&amp;账期起,出库单!$C$4:$C$4003,"&lt;="&amp;账期止))</f>
        <v/>
      </c>
      <c r="Q422" s="26">
        <f>IF($A422="","",ROUND(SUMIFS(出库单!$S$4:$S$4003,出库单!$D$4:$D$4003,$A422,出库单!$K$4:$K$4003,"自用消耗",出库单!$U$4:$U$4003,"正常",出库单!$C$4:$C$4003,"&gt;="&amp;账期起,出库单!$C$4:$C$4003,"&lt;="&amp;账期止),0))</f>
        <v/>
      </c>
      <c r="R422" s="27">
        <f>IF($A422="","",SUMIFS(出库单!$J$4:$J$4003,出库单!$D$4:$D$4003,$A422,出库单!$K$4:$K$4003,"对外销售",出库单!$U$4:$U$4003,"正常",出库单!$C$4:$C$4003,"&gt;="&amp;账期起,出库单!$C$4:$C$4003,"&lt;="&amp;账期止))</f>
        <v/>
      </c>
      <c r="S422" s="26">
        <f>IF($A422="","",ROUND(SUMIFS(出库单!$S$4:$S$4003,出库单!$D$4:$D$4003,$A422,出库单!$K$4:$K$4003,"对外销售",出库单!$U$4:$U$4003,"正常",出库单!$C$4:$C$4003,"&gt;="&amp;账期起,出库单!$C$4:$C$4003,"&lt;="&amp;账期止),0))</f>
        <v/>
      </c>
      <c r="T422" s="27">
        <f>IF($A422="","",SUMIFS(出库单!$J$4:$J$4003,出库单!$D$4:$D$4003,$A422,出库单!$K$4:$K$4003,"盘亏",出库单!$U$4:$U$4003,"正常",出库单!$C$4:$C$4003,"&gt;="&amp;账期起,出库单!$C$4:$C$4003,"&lt;="&amp;账期止))</f>
        <v/>
      </c>
      <c r="U422" s="26">
        <f>IF($A422="","",ROUND(SUMIFS(出库单!$S$4:$S$4003,出库单!$D$4:$D$4003,$A422,出库单!$K$4:$K$4003,"盘亏",出库单!$U$4:$U$4003,"正常",出库单!$C$4:$C$4003,"&gt;="&amp;账期起,出库单!$C$4:$C$4003,"&lt;="&amp;账期止),0))</f>
        <v/>
      </c>
      <c r="V422" s="27">
        <f>IF($A422="","",SUMIFS(出库单!$J$4:$J$4003,出库单!$D$4:$D$4003,$A422,出库单!$K$4:$K$4003,"退货给供应商",出库单!$U$4:$U$4003,"正常",出库单!$C$4:$C$4003,"&gt;="&amp;账期起,出库单!$C$4:$C$4003,"&lt;="&amp;账期止))</f>
        <v/>
      </c>
      <c r="W422" s="26">
        <f>IF($A422="","",ROUND(SUMIFS(出库单!$S$4:$S$4003,出库单!$D$4:$D$4003,$A422,出库单!$K$4:$K$4003,"退货给供应商",出库单!$U$4:$U$4003,"正常",出库单!$C$4:$C$4003,"&gt;="&amp;账期起,出库单!$C$4:$C$4003,"&lt;="&amp;账期止),0))</f>
        <v/>
      </c>
      <c r="X422" s="27">
        <f>IF($A422="","",ROUND(N($G422)+$I422+$L422+$N422-$P422-$R422-$T422-$V422,3))</f>
        <v/>
      </c>
      <c r="Y422" s="26">
        <f>IF($A422="","",ROUND(N($H422)+$J422+$M422+$O422-$Q422-$S422-$U422-$W422,0))</f>
        <v/>
      </c>
      <c r="Z422" s="24">
        <f>IF($A422="","",IF(COUNTIFS(入库单!$G$4:$G$2503,$A422,入库单!$Y$4:$Y$2503,"待补价")+COUNTIFS(入库单!$G$4:$G$2503,$A422,入库单!$Y$4:$Y$2503,"暂估")&gt;0,"不可信","可信"))</f>
        <v/>
      </c>
      <c r="AA422" s="24">
        <f>IF($A422="","",IF($X422&lt;-0.001,"※账面负库存，查一下是不是漏记入库",IF(AND(ROUND($X422,3)=0,ABS($Y422)&gt;1),"※数量已经是 0，金额还挂着 "&amp;TEXT($Y422,"#,##0")&amp;" 先令",IF(AND($X422&gt;0,$Y422&lt;=0,$K422=0),"※有数量没金额（这个物料一直没填过进价）",IF($Z422="不可信","△成本含待补价/暂估，毛利仅供参考","")))))</f>
        <v/>
      </c>
    </row>
    <row r="423">
      <c r="A423" s="24">
        <f>IF(物料档案!$A422="","",物料档案!$A422)</f>
        <v/>
      </c>
      <c r="B423" s="24">
        <f>IF($A423="","",IFERROR(VLOOKUP($A423,物料档案!$A$4:$P$1203,3,0),""))</f>
        <v/>
      </c>
      <c r="C423" s="24">
        <f>IF($A423="","",IFERROR(VLOOKUP($A423,物料档案!$A$4:$P$1203,4,0),""))</f>
        <v/>
      </c>
      <c r="D423" s="24">
        <f>IF($A423="","",IFERROR(VLOOKUP($A423,物料档案!$A$4:$P$1203,5,0),""))</f>
        <v/>
      </c>
      <c r="E423" s="24">
        <f>IF($A423="","",IFERROR(VLOOKUP($A423,物料档案!$A$4:$P$1203,2,0),""))</f>
        <v/>
      </c>
      <c r="F423" s="24">
        <f>IF($A423="","",IFERROR(VLOOKUP($A423,物料档案!$A$4:$P$1203,6,0),""))</f>
        <v/>
      </c>
      <c r="G423" s="23" t="n"/>
      <c r="H423" s="32" t="n"/>
      <c r="I423" s="27">
        <f>IF($A423="","",SUMIFS(入库单!$K$4:$K$2503,入库单!$G$4:$G$2503,$A423,入库单!$X$4:$X$2503,"采购入库",入库单!$Z$4:$Z$2503,"正常",入库单!$C$4:$C$2503,"&gt;="&amp;账期起,入库单!$C$4:$C$2503,"&lt;="&amp;账期止))</f>
        <v/>
      </c>
      <c r="J423" s="26">
        <f>IF($A423="","",SUMIFS(入库单!$V$4:$V$2503,入库单!$G$4:$G$2503,$A423,入库单!$X$4:$X$2503,"采购入库",入库单!$Z$4:$Z$2503,"正常",入库单!$C$4:$C$2503,"&gt;="&amp;账期起,入库单!$C$4:$C$2503,"&lt;="&amp;账期止))</f>
        <v/>
      </c>
      <c r="K423" s="26">
        <f>IF($A423="","",IFERROR(ROUND((N($H423)+N($J423))/(N($G423)+N($I423)),2),0))</f>
        <v/>
      </c>
      <c r="L423" s="27">
        <f>IF($A423="","",SUMIFS(入库单!$K$4:$K$2503,入库单!$G$4:$G$2503,$A423,入库单!$X$4:$X$2503,"盘盈",入库单!$Z$4:$Z$2503,"正常",入库单!$C$4:$C$2503,"&gt;="&amp;账期起,入库单!$C$4:$C$2503,"&lt;="&amp;账期止))</f>
        <v/>
      </c>
      <c r="M423" s="26">
        <f>IF($A423="","",ROUND($L423*$K423,0))</f>
        <v/>
      </c>
      <c r="N423" s="27">
        <f>IF($A423="","",SUMIFS(入库单!$K$4:$K$2503,入库单!$G$4:$G$2503,$A423,入库单!$X$4:$X$2503,"矿区退库",入库单!$Z$4:$Z$2503,"正常",入库单!$C$4:$C$2503,"&gt;="&amp;账期起,入库单!$C$4:$C$2503,"&lt;="&amp;账期止))</f>
        <v/>
      </c>
      <c r="O423" s="26">
        <f>IF($A423="","",ROUND($N423*$K423,0))</f>
        <v/>
      </c>
      <c r="P423" s="27">
        <f>IF($A423="","",SUMIFS(出库单!$J$4:$J$4003,出库单!$D$4:$D$4003,$A423,出库单!$K$4:$K$4003,"自用消耗",出库单!$U$4:$U$4003,"正常",出库单!$C$4:$C$4003,"&gt;="&amp;账期起,出库单!$C$4:$C$4003,"&lt;="&amp;账期止))</f>
        <v/>
      </c>
      <c r="Q423" s="26">
        <f>IF($A423="","",ROUND(SUMIFS(出库单!$S$4:$S$4003,出库单!$D$4:$D$4003,$A423,出库单!$K$4:$K$4003,"自用消耗",出库单!$U$4:$U$4003,"正常",出库单!$C$4:$C$4003,"&gt;="&amp;账期起,出库单!$C$4:$C$4003,"&lt;="&amp;账期止),0))</f>
        <v/>
      </c>
      <c r="R423" s="27">
        <f>IF($A423="","",SUMIFS(出库单!$J$4:$J$4003,出库单!$D$4:$D$4003,$A423,出库单!$K$4:$K$4003,"对外销售",出库单!$U$4:$U$4003,"正常",出库单!$C$4:$C$4003,"&gt;="&amp;账期起,出库单!$C$4:$C$4003,"&lt;="&amp;账期止))</f>
        <v/>
      </c>
      <c r="S423" s="26">
        <f>IF($A423="","",ROUND(SUMIFS(出库单!$S$4:$S$4003,出库单!$D$4:$D$4003,$A423,出库单!$K$4:$K$4003,"对外销售",出库单!$U$4:$U$4003,"正常",出库单!$C$4:$C$4003,"&gt;="&amp;账期起,出库单!$C$4:$C$4003,"&lt;="&amp;账期止),0))</f>
        <v/>
      </c>
      <c r="T423" s="27">
        <f>IF($A423="","",SUMIFS(出库单!$J$4:$J$4003,出库单!$D$4:$D$4003,$A423,出库单!$K$4:$K$4003,"盘亏",出库单!$U$4:$U$4003,"正常",出库单!$C$4:$C$4003,"&gt;="&amp;账期起,出库单!$C$4:$C$4003,"&lt;="&amp;账期止))</f>
        <v/>
      </c>
      <c r="U423" s="26">
        <f>IF($A423="","",ROUND(SUMIFS(出库单!$S$4:$S$4003,出库单!$D$4:$D$4003,$A423,出库单!$K$4:$K$4003,"盘亏",出库单!$U$4:$U$4003,"正常",出库单!$C$4:$C$4003,"&gt;="&amp;账期起,出库单!$C$4:$C$4003,"&lt;="&amp;账期止),0))</f>
        <v/>
      </c>
      <c r="V423" s="27">
        <f>IF($A423="","",SUMIFS(出库单!$J$4:$J$4003,出库单!$D$4:$D$4003,$A423,出库单!$K$4:$K$4003,"退货给供应商",出库单!$U$4:$U$4003,"正常",出库单!$C$4:$C$4003,"&gt;="&amp;账期起,出库单!$C$4:$C$4003,"&lt;="&amp;账期止))</f>
        <v/>
      </c>
      <c r="W423" s="26">
        <f>IF($A423="","",ROUND(SUMIFS(出库单!$S$4:$S$4003,出库单!$D$4:$D$4003,$A423,出库单!$K$4:$K$4003,"退货给供应商",出库单!$U$4:$U$4003,"正常",出库单!$C$4:$C$4003,"&gt;="&amp;账期起,出库单!$C$4:$C$4003,"&lt;="&amp;账期止),0))</f>
        <v/>
      </c>
      <c r="X423" s="27">
        <f>IF($A423="","",ROUND(N($G423)+$I423+$L423+$N423-$P423-$R423-$T423-$V423,3))</f>
        <v/>
      </c>
      <c r="Y423" s="26">
        <f>IF($A423="","",ROUND(N($H423)+$J423+$M423+$O423-$Q423-$S423-$U423-$W423,0))</f>
        <v/>
      </c>
      <c r="Z423" s="24">
        <f>IF($A423="","",IF(COUNTIFS(入库单!$G$4:$G$2503,$A423,入库单!$Y$4:$Y$2503,"待补价")+COUNTIFS(入库单!$G$4:$G$2503,$A423,入库单!$Y$4:$Y$2503,"暂估")&gt;0,"不可信","可信"))</f>
        <v/>
      </c>
      <c r="AA423" s="24">
        <f>IF($A423="","",IF($X423&lt;-0.001,"※账面负库存，查一下是不是漏记入库",IF(AND(ROUND($X423,3)=0,ABS($Y423)&gt;1),"※数量已经是 0，金额还挂着 "&amp;TEXT($Y423,"#,##0")&amp;" 先令",IF(AND($X423&gt;0,$Y423&lt;=0,$K423=0),"※有数量没金额（这个物料一直没填过进价）",IF($Z423="不可信","△成本含待补价/暂估，毛利仅供参考","")))))</f>
        <v/>
      </c>
    </row>
    <row r="424">
      <c r="A424" s="24">
        <f>IF(物料档案!$A423="","",物料档案!$A423)</f>
        <v/>
      </c>
      <c r="B424" s="24">
        <f>IF($A424="","",IFERROR(VLOOKUP($A424,物料档案!$A$4:$P$1203,3,0),""))</f>
        <v/>
      </c>
      <c r="C424" s="24">
        <f>IF($A424="","",IFERROR(VLOOKUP($A424,物料档案!$A$4:$P$1203,4,0),""))</f>
        <v/>
      </c>
      <c r="D424" s="24">
        <f>IF($A424="","",IFERROR(VLOOKUP($A424,物料档案!$A$4:$P$1203,5,0),""))</f>
        <v/>
      </c>
      <c r="E424" s="24">
        <f>IF($A424="","",IFERROR(VLOOKUP($A424,物料档案!$A$4:$P$1203,2,0),""))</f>
        <v/>
      </c>
      <c r="F424" s="24">
        <f>IF($A424="","",IFERROR(VLOOKUP($A424,物料档案!$A$4:$P$1203,6,0),""))</f>
        <v/>
      </c>
      <c r="G424" s="23" t="n"/>
      <c r="H424" s="32" t="n"/>
      <c r="I424" s="27">
        <f>IF($A424="","",SUMIFS(入库单!$K$4:$K$2503,入库单!$G$4:$G$2503,$A424,入库单!$X$4:$X$2503,"采购入库",入库单!$Z$4:$Z$2503,"正常",入库单!$C$4:$C$2503,"&gt;="&amp;账期起,入库单!$C$4:$C$2503,"&lt;="&amp;账期止))</f>
        <v/>
      </c>
      <c r="J424" s="26">
        <f>IF($A424="","",SUMIFS(入库单!$V$4:$V$2503,入库单!$G$4:$G$2503,$A424,入库单!$X$4:$X$2503,"采购入库",入库单!$Z$4:$Z$2503,"正常",入库单!$C$4:$C$2503,"&gt;="&amp;账期起,入库单!$C$4:$C$2503,"&lt;="&amp;账期止))</f>
        <v/>
      </c>
      <c r="K424" s="26">
        <f>IF($A424="","",IFERROR(ROUND((N($H424)+N($J424))/(N($G424)+N($I424)),2),0))</f>
        <v/>
      </c>
      <c r="L424" s="27">
        <f>IF($A424="","",SUMIFS(入库单!$K$4:$K$2503,入库单!$G$4:$G$2503,$A424,入库单!$X$4:$X$2503,"盘盈",入库单!$Z$4:$Z$2503,"正常",入库单!$C$4:$C$2503,"&gt;="&amp;账期起,入库单!$C$4:$C$2503,"&lt;="&amp;账期止))</f>
        <v/>
      </c>
      <c r="M424" s="26">
        <f>IF($A424="","",ROUND($L424*$K424,0))</f>
        <v/>
      </c>
      <c r="N424" s="27">
        <f>IF($A424="","",SUMIFS(入库单!$K$4:$K$2503,入库单!$G$4:$G$2503,$A424,入库单!$X$4:$X$2503,"矿区退库",入库单!$Z$4:$Z$2503,"正常",入库单!$C$4:$C$2503,"&gt;="&amp;账期起,入库单!$C$4:$C$2503,"&lt;="&amp;账期止))</f>
        <v/>
      </c>
      <c r="O424" s="26">
        <f>IF($A424="","",ROUND($N424*$K424,0))</f>
        <v/>
      </c>
      <c r="P424" s="27">
        <f>IF($A424="","",SUMIFS(出库单!$J$4:$J$4003,出库单!$D$4:$D$4003,$A424,出库单!$K$4:$K$4003,"自用消耗",出库单!$U$4:$U$4003,"正常",出库单!$C$4:$C$4003,"&gt;="&amp;账期起,出库单!$C$4:$C$4003,"&lt;="&amp;账期止))</f>
        <v/>
      </c>
      <c r="Q424" s="26">
        <f>IF($A424="","",ROUND(SUMIFS(出库单!$S$4:$S$4003,出库单!$D$4:$D$4003,$A424,出库单!$K$4:$K$4003,"自用消耗",出库单!$U$4:$U$4003,"正常",出库单!$C$4:$C$4003,"&gt;="&amp;账期起,出库单!$C$4:$C$4003,"&lt;="&amp;账期止),0))</f>
        <v/>
      </c>
      <c r="R424" s="27">
        <f>IF($A424="","",SUMIFS(出库单!$J$4:$J$4003,出库单!$D$4:$D$4003,$A424,出库单!$K$4:$K$4003,"对外销售",出库单!$U$4:$U$4003,"正常",出库单!$C$4:$C$4003,"&gt;="&amp;账期起,出库单!$C$4:$C$4003,"&lt;="&amp;账期止))</f>
        <v/>
      </c>
      <c r="S424" s="26">
        <f>IF($A424="","",ROUND(SUMIFS(出库单!$S$4:$S$4003,出库单!$D$4:$D$4003,$A424,出库单!$K$4:$K$4003,"对外销售",出库单!$U$4:$U$4003,"正常",出库单!$C$4:$C$4003,"&gt;="&amp;账期起,出库单!$C$4:$C$4003,"&lt;="&amp;账期止),0))</f>
        <v/>
      </c>
      <c r="T424" s="27">
        <f>IF($A424="","",SUMIFS(出库单!$J$4:$J$4003,出库单!$D$4:$D$4003,$A424,出库单!$K$4:$K$4003,"盘亏",出库单!$U$4:$U$4003,"正常",出库单!$C$4:$C$4003,"&gt;="&amp;账期起,出库单!$C$4:$C$4003,"&lt;="&amp;账期止))</f>
        <v/>
      </c>
      <c r="U424" s="26">
        <f>IF($A424="","",ROUND(SUMIFS(出库单!$S$4:$S$4003,出库单!$D$4:$D$4003,$A424,出库单!$K$4:$K$4003,"盘亏",出库单!$U$4:$U$4003,"正常",出库单!$C$4:$C$4003,"&gt;="&amp;账期起,出库单!$C$4:$C$4003,"&lt;="&amp;账期止),0))</f>
        <v/>
      </c>
      <c r="V424" s="27">
        <f>IF($A424="","",SUMIFS(出库单!$J$4:$J$4003,出库单!$D$4:$D$4003,$A424,出库单!$K$4:$K$4003,"退货给供应商",出库单!$U$4:$U$4003,"正常",出库单!$C$4:$C$4003,"&gt;="&amp;账期起,出库单!$C$4:$C$4003,"&lt;="&amp;账期止))</f>
        <v/>
      </c>
      <c r="W424" s="26">
        <f>IF($A424="","",ROUND(SUMIFS(出库单!$S$4:$S$4003,出库单!$D$4:$D$4003,$A424,出库单!$K$4:$K$4003,"退货给供应商",出库单!$U$4:$U$4003,"正常",出库单!$C$4:$C$4003,"&gt;="&amp;账期起,出库单!$C$4:$C$4003,"&lt;="&amp;账期止),0))</f>
        <v/>
      </c>
      <c r="X424" s="27">
        <f>IF($A424="","",ROUND(N($G424)+$I424+$L424+$N424-$P424-$R424-$T424-$V424,3))</f>
        <v/>
      </c>
      <c r="Y424" s="26">
        <f>IF($A424="","",ROUND(N($H424)+$J424+$M424+$O424-$Q424-$S424-$U424-$W424,0))</f>
        <v/>
      </c>
      <c r="Z424" s="24">
        <f>IF($A424="","",IF(COUNTIFS(入库单!$G$4:$G$2503,$A424,入库单!$Y$4:$Y$2503,"待补价")+COUNTIFS(入库单!$G$4:$G$2503,$A424,入库单!$Y$4:$Y$2503,"暂估")&gt;0,"不可信","可信"))</f>
        <v/>
      </c>
      <c r="AA424" s="24">
        <f>IF($A424="","",IF($X424&lt;-0.001,"※账面负库存，查一下是不是漏记入库",IF(AND(ROUND($X424,3)=0,ABS($Y424)&gt;1),"※数量已经是 0，金额还挂着 "&amp;TEXT($Y424,"#,##0")&amp;" 先令",IF(AND($X424&gt;0,$Y424&lt;=0,$K424=0),"※有数量没金额（这个物料一直没填过进价）",IF($Z424="不可信","△成本含待补价/暂估，毛利仅供参考","")))))</f>
        <v/>
      </c>
    </row>
    <row r="425">
      <c r="A425" s="24">
        <f>IF(物料档案!$A424="","",物料档案!$A424)</f>
        <v/>
      </c>
      <c r="B425" s="24">
        <f>IF($A425="","",IFERROR(VLOOKUP($A425,物料档案!$A$4:$P$1203,3,0),""))</f>
        <v/>
      </c>
      <c r="C425" s="24">
        <f>IF($A425="","",IFERROR(VLOOKUP($A425,物料档案!$A$4:$P$1203,4,0),""))</f>
        <v/>
      </c>
      <c r="D425" s="24">
        <f>IF($A425="","",IFERROR(VLOOKUP($A425,物料档案!$A$4:$P$1203,5,0),""))</f>
        <v/>
      </c>
      <c r="E425" s="24">
        <f>IF($A425="","",IFERROR(VLOOKUP($A425,物料档案!$A$4:$P$1203,2,0),""))</f>
        <v/>
      </c>
      <c r="F425" s="24">
        <f>IF($A425="","",IFERROR(VLOOKUP($A425,物料档案!$A$4:$P$1203,6,0),""))</f>
        <v/>
      </c>
      <c r="G425" s="23" t="n"/>
      <c r="H425" s="32" t="n"/>
      <c r="I425" s="27">
        <f>IF($A425="","",SUMIFS(入库单!$K$4:$K$2503,入库单!$G$4:$G$2503,$A425,入库单!$X$4:$X$2503,"采购入库",入库单!$Z$4:$Z$2503,"正常",入库单!$C$4:$C$2503,"&gt;="&amp;账期起,入库单!$C$4:$C$2503,"&lt;="&amp;账期止))</f>
        <v/>
      </c>
      <c r="J425" s="26">
        <f>IF($A425="","",SUMIFS(入库单!$V$4:$V$2503,入库单!$G$4:$G$2503,$A425,入库单!$X$4:$X$2503,"采购入库",入库单!$Z$4:$Z$2503,"正常",入库单!$C$4:$C$2503,"&gt;="&amp;账期起,入库单!$C$4:$C$2503,"&lt;="&amp;账期止))</f>
        <v/>
      </c>
      <c r="K425" s="26">
        <f>IF($A425="","",IFERROR(ROUND((N($H425)+N($J425))/(N($G425)+N($I425)),2),0))</f>
        <v/>
      </c>
      <c r="L425" s="27">
        <f>IF($A425="","",SUMIFS(入库单!$K$4:$K$2503,入库单!$G$4:$G$2503,$A425,入库单!$X$4:$X$2503,"盘盈",入库单!$Z$4:$Z$2503,"正常",入库单!$C$4:$C$2503,"&gt;="&amp;账期起,入库单!$C$4:$C$2503,"&lt;="&amp;账期止))</f>
        <v/>
      </c>
      <c r="M425" s="26">
        <f>IF($A425="","",ROUND($L425*$K425,0))</f>
        <v/>
      </c>
      <c r="N425" s="27">
        <f>IF($A425="","",SUMIFS(入库单!$K$4:$K$2503,入库单!$G$4:$G$2503,$A425,入库单!$X$4:$X$2503,"矿区退库",入库单!$Z$4:$Z$2503,"正常",入库单!$C$4:$C$2503,"&gt;="&amp;账期起,入库单!$C$4:$C$2503,"&lt;="&amp;账期止))</f>
        <v/>
      </c>
      <c r="O425" s="26">
        <f>IF($A425="","",ROUND($N425*$K425,0))</f>
        <v/>
      </c>
      <c r="P425" s="27">
        <f>IF($A425="","",SUMIFS(出库单!$J$4:$J$4003,出库单!$D$4:$D$4003,$A425,出库单!$K$4:$K$4003,"自用消耗",出库单!$U$4:$U$4003,"正常",出库单!$C$4:$C$4003,"&gt;="&amp;账期起,出库单!$C$4:$C$4003,"&lt;="&amp;账期止))</f>
        <v/>
      </c>
      <c r="Q425" s="26">
        <f>IF($A425="","",ROUND(SUMIFS(出库单!$S$4:$S$4003,出库单!$D$4:$D$4003,$A425,出库单!$K$4:$K$4003,"自用消耗",出库单!$U$4:$U$4003,"正常",出库单!$C$4:$C$4003,"&gt;="&amp;账期起,出库单!$C$4:$C$4003,"&lt;="&amp;账期止),0))</f>
        <v/>
      </c>
      <c r="R425" s="27">
        <f>IF($A425="","",SUMIFS(出库单!$J$4:$J$4003,出库单!$D$4:$D$4003,$A425,出库单!$K$4:$K$4003,"对外销售",出库单!$U$4:$U$4003,"正常",出库单!$C$4:$C$4003,"&gt;="&amp;账期起,出库单!$C$4:$C$4003,"&lt;="&amp;账期止))</f>
        <v/>
      </c>
      <c r="S425" s="26">
        <f>IF($A425="","",ROUND(SUMIFS(出库单!$S$4:$S$4003,出库单!$D$4:$D$4003,$A425,出库单!$K$4:$K$4003,"对外销售",出库单!$U$4:$U$4003,"正常",出库单!$C$4:$C$4003,"&gt;="&amp;账期起,出库单!$C$4:$C$4003,"&lt;="&amp;账期止),0))</f>
        <v/>
      </c>
      <c r="T425" s="27">
        <f>IF($A425="","",SUMIFS(出库单!$J$4:$J$4003,出库单!$D$4:$D$4003,$A425,出库单!$K$4:$K$4003,"盘亏",出库单!$U$4:$U$4003,"正常",出库单!$C$4:$C$4003,"&gt;="&amp;账期起,出库单!$C$4:$C$4003,"&lt;="&amp;账期止))</f>
        <v/>
      </c>
      <c r="U425" s="26">
        <f>IF($A425="","",ROUND(SUMIFS(出库单!$S$4:$S$4003,出库单!$D$4:$D$4003,$A425,出库单!$K$4:$K$4003,"盘亏",出库单!$U$4:$U$4003,"正常",出库单!$C$4:$C$4003,"&gt;="&amp;账期起,出库单!$C$4:$C$4003,"&lt;="&amp;账期止),0))</f>
        <v/>
      </c>
      <c r="V425" s="27">
        <f>IF($A425="","",SUMIFS(出库单!$J$4:$J$4003,出库单!$D$4:$D$4003,$A425,出库单!$K$4:$K$4003,"退货给供应商",出库单!$U$4:$U$4003,"正常",出库单!$C$4:$C$4003,"&gt;="&amp;账期起,出库单!$C$4:$C$4003,"&lt;="&amp;账期止))</f>
        <v/>
      </c>
      <c r="W425" s="26">
        <f>IF($A425="","",ROUND(SUMIFS(出库单!$S$4:$S$4003,出库单!$D$4:$D$4003,$A425,出库单!$K$4:$K$4003,"退货给供应商",出库单!$U$4:$U$4003,"正常",出库单!$C$4:$C$4003,"&gt;="&amp;账期起,出库单!$C$4:$C$4003,"&lt;="&amp;账期止),0))</f>
        <v/>
      </c>
      <c r="X425" s="27">
        <f>IF($A425="","",ROUND(N($G425)+$I425+$L425+$N425-$P425-$R425-$T425-$V425,3))</f>
        <v/>
      </c>
      <c r="Y425" s="26">
        <f>IF($A425="","",ROUND(N($H425)+$J425+$M425+$O425-$Q425-$S425-$U425-$W425,0))</f>
        <v/>
      </c>
      <c r="Z425" s="24">
        <f>IF($A425="","",IF(COUNTIFS(入库单!$G$4:$G$2503,$A425,入库单!$Y$4:$Y$2503,"待补价")+COUNTIFS(入库单!$G$4:$G$2503,$A425,入库单!$Y$4:$Y$2503,"暂估")&gt;0,"不可信","可信"))</f>
        <v/>
      </c>
      <c r="AA425" s="24">
        <f>IF($A425="","",IF($X425&lt;-0.001,"※账面负库存，查一下是不是漏记入库",IF(AND(ROUND($X425,3)=0,ABS($Y425)&gt;1),"※数量已经是 0，金额还挂着 "&amp;TEXT($Y425,"#,##0")&amp;" 先令",IF(AND($X425&gt;0,$Y425&lt;=0,$K425=0),"※有数量没金额（这个物料一直没填过进价）",IF($Z425="不可信","△成本含待补价/暂估，毛利仅供参考","")))))</f>
        <v/>
      </c>
    </row>
    <row r="426">
      <c r="A426" s="24">
        <f>IF(物料档案!$A425="","",物料档案!$A425)</f>
        <v/>
      </c>
      <c r="B426" s="24">
        <f>IF($A426="","",IFERROR(VLOOKUP($A426,物料档案!$A$4:$P$1203,3,0),""))</f>
        <v/>
      </c>
      <c r="C426" s="24">
        <f>IF($A426="","",IFERROR(VLOOKUP($A426,物料档案!$A$4:$P$1203,4,0),""))</f>
        <v/>
      </c>
      <c r="D426" s="24">
        <f>IF($A426="","",IFERROR(VLOOKUP($A426,物料档案!$A$4:$P$1203,5,0),""))</f>
        <v/>
      </c>
      <c r="E426" s="24">
        <f>IF($A426="","",IFERROR(VLOOKUP($A426,物料档案!$A$4:$P$1203,2,0),""))</f>
        <v/>
      </c>
      <c r="F426" s="24">
        <f>IF($A426="","",IFERROR(VLOOKUP($A426,物料档案!$A$4:$P$1203,6,0),""))</f>
        <v/>
      </c>
      <c r="G426" s="23" t="n"/>
      <c r="H426" s="32" t="n"/>
      <c r="I426" s="27">
        <f>IF($A426="","",SUMIFS(入库单!$K$4:$K$2503,入库单!$G$4:$G$2503,$A426,入库单!$X$4:$X$2503,"采购入库",入库单!$Z$4:$Z$2503,"正常",入库单!$C$4:$C$2503,"&gt;="&amp;账期起,入库单!$C$4:$C$2503,"&lt;="&amp;账期止))</f>
        <v/>
      </c>
      <c r="J426" s="26">
        <f>IF($A426="","",SUMIFS(入库单!$V$4:$V$2503,入库单!$G$4:$G$2503,$A426,入库单!$X$4:$X$2503,"采购入库",入库单!$Z$4:$Z$2503,"正常",入库单!$C$4:$C$2503,"&gt;="&amp;账期起,入库单!$C$4:$C$2503,"&lt;="&amp;账期止))</f>
        <v/>
      </c>
      <c r="K426" s="26">
        <f>IF($A426="","",IFERROR(ROUND((N($H426)+N($J426))/(N($G426)+N($I426)),2),0))</f>
        <v/>
      </c>
      <c r="L426" s="27">
        <f>IF($A426="","",SUMIFS(入库单!$K$4:$K$2503,入库单!$G$4:$G$2503,$A426,入库单!$X$4:$X$2503,"盘盈",入库单!$Z$4:$Z$2503,"正常",入库单!$C$4:$C$2503,"&gt;="&amp;账期起,入库单!$C$4:$C$2503,"&lt;="&amp;账期止))</f>
        <v/>
      </c>
      <c r="M426" s="26">
        <f>IF($A426="","",ROUND($L426*$K426,0))</f>
        <v/>
      </c>
      <c r="N426" s="27">
        <f>IF($A426="","",SUMIFS(入库单!$K$4:$K$2503,入库单!$G$4:$G$2503,$A426,入库单!$X$4:$X$2503,"矿区退库",入库单!$Z$4:$Z$2503,"正常",入库单!$C$4:$C$2503,"&gt;="&amp;账期起,入库单!$C$4:$C$2503,"&lt;="&amp;账期止))</f>
        <v/>
      </c>
      <c r="O426" s="26">
        <f>IF($A426="","",ROUND($N426*$K426,0))</f>
        <v/>
      </c>
      <c r="P426" s="27">
        <f>IF($A426="","",SUMIFS(出库单!$J$4:$J$4003,出库单!$D$4:$D$4003,$A426,出库单!$K$4:$K$4003,"自用消耗",出库单!$U$4:$U$4003,"正常",出库单!$C$4:$C$4003,"&gt;="&amp;账期起,出库单!$C$4:$C$4003,"&lt;="&amp;账期止))</f>
        <v/>
      </c>
      <c r="Q426" s="26">
        <f>IF($A426="","",ROUND(SUMIFS(出库单!$S$4:$S$4003,出库单!$D$4:$D$4003,$A426,出库单!$K$4:$K$4003,"自用消耗",出库单!$U$4:$U$4003,"正常",出库单!$C$4:$C$4003,"&gt;="&amp;账期起,出库单!$C$4:$C$4003,"&lt;="&amp;账期止),0))</f>
        <v/>
      </c>
      <c r="R426" s="27">
        <f>IF($A426="","",SUMIFS(出库单!$J$4:$J$4003,出库单!$D$4:$D$4003,$A426,出库单!$K$4:$K$4003,"对外销售",出库单!$U$4:$U$4003,"正常",出库单!$C$4:$C$4003,"&gt;="&amp;账期起,出库单!$C$4:$C$4003,"&lt;="&amp;账期止))</f>
        <v/>
      </c>
      <c r="S426" s="26">
        <f>IF($A426="","",ROUND(SUMIFS(出库单!$S$4:$S$4003,出库单!$D$4:$D$4003,$A426,出库单!$K$4:$K$4003,"对外销售",出库单!$U$4:$U$4003,"正常",出库单!$C$4:$C$4003,"&gt;="&amp;账期起,出库单!$C$4:$C$4003,"&lt;="&amp;账期止),0))</f>
        <v/>
      </c>
      <c r="T426" s="27">
        <f>IF($A426="","",SUMIFS(出库单!$J$4:$J$4003,出库单!$D$4:$D$4003,$A426,出库单!$K$4:$K$4003,"盘亏",出库单!$U$4:$U$4003,"正常",出库单!$C$4:$C$4003,"&gt;="&amp;账期起,出库单!$C$4:$C$4003,"&lt;="&amp;账期止))</f>
        <v/>
      </c>
      <c r="U426" s="26">
        <f>IF($A426="","",ROUND(SUMIFS(出库单!$S$4:$S$4003,出库单!$D$4:$D$4003,$A426,出库单!$K$4:$K$4003,"盘亏",出库单!$U$4:$U$4003,"正常",出库单!$C$4:$C$4003,"&gt;="&amp;账期起,出库单!$C$4:$C$4003,"&lt;="&amp;账期止),0))</f>
        <v/>
      </c>
      <c r="V426" s="27">
        <f>IF($A426="","",SUMIFS(出库单!$J$4:$J$4003,出库单!$D$4:$D$4003,$A426,出库单!$K$4:$K$4003,"退货给供应商",出库单!$U$4:$U$4003,"正常",出库单!$C$4:$C$4003,"&gt;="&amp;账期起,出库单!$C$4:$C$4003,"&lt;="&amp;账期止))</f>
        <v/>
      </c>
      <c r="W426" s="26">
        <f>IF($A426="","",ROUND(SUMIFS(出库单!$S$4:$S$4003,出库单!$D$4:$D$4003,$A426,出库单!$K$4:$K$4003,"退货给供应商",出库单!$U$4:$U$4003,"正常",出库单!$C$4:$C$4003,"&gt;="&amp;账期起,出库单!$C$4:$C$4003,"&lt;="&amp;账期止),0))</f>
        <v/>
      </c>
      <c r="X426" s="27">
        <f>IF($A426="","",ROUND(N($G426)+$I426+$L426+$N426-$P426-$R426-$T426-$V426,3))</f>
        <v/>
      </c>
      <c r="Y426" s="26">
        <f>IF($A426="","",ROUND(N($H426)+$J426+$M426+$O426-$Q426-$S426-$U426-$W426,0))</f>
        <v/>
      </c>
      <c r="Z426" s="24">
        <f>IF($A426="","",IF(COUNTIFS(入库单!$G$4:$G$2503,$A426,入库单!$Y$4:$Y$2503,"待补价")+COUNTIFS(入库单!$G$4:$G$2503,$A426,入库单!$Y$4:$Y$2503,"暂估")&gt;0,"不可信","可信"))</f>
        <v/>
      </c>
      <c r="AA426" s="24">
        <f>IF($A426="","",IF($X426&lt;-0.001,"※账面负库存，查一下是不是漏记入库",IF(AND(ROUND($X426,3)=0,ABS($Y426)&gt;1),"※数量已经是 0，金额还挂着 "&amp;TEXT($Y426,"#,##0")&amp;" 先令",IF(AND($X426&gt;0,$Y426&lt;=0,$K426=0),"※有数量没金额（这个物料一直没填过进价）",IF($Z426="不可信","△成本含待补价/暂估，毛利仅供参考","")))))</f>
        <v/>
      </c>
    </row>
    <row r="427">
      <c r="A427" s="24">
        <f>IF(物料档案!$A426="","",物料档案!$A426)</f>
        <v/>
      </c>
      <c r="B427" s="24">
        <f>IF($A427="","",IFERROR(VLOOKUP($A427,物料档案!$A$4:$P$1203,3,0),""))</f>
        <v/>
      </c>
      <c r="C427" s="24">
        <f>IF($A427="","",IFERROR(VLOOKUP($A427,物料档案!$A$4:$P$1203,4,0),""))</f>
        <v/>
      </c>
      <c r="D427" s="24">
        <f>IF($A427="","",IFERROR(VLOOKUP($A427,物料档案!$A$4:$P$1203,5,0),""))</f>
        <v/>
      </c>
      <c r="E427" s="24">
        <f>IF($A427="","",IFERROR(VLOOKUP($A427,物料档案!$A$4:$P$1203,2,0),""))</f>
        <v/>
      </c>
      <c r="F427" s="24">
        <f>IF($A427="","",IFERROR(VLOOKUP($A427,物料档案!$A$4:$P$1203,6,0),""))</f>
        <v/>
      </c>
      <c r="G427" s="23" t="n"/>
      <c r="H427" s="32" t="n"/>
      <c r="I427" s="27">
        <f>IF($A427="","",SUMIFS(入库单!$K$4:$K$2503,入库单!$G$4:$G$2503,$A427,入库单!$X$4:$X$2503,"采购入库",入库单!$Z$4:$Z$2503,"正常",入库单!$C$4:$C$2503,"&gt;="&amp;账期起,入库单!$C$4:$C$2503,"&lt;="&amp;账期止))</f>
        <v/>
      </c>
      <c r="J427" s="26">
        <f>IF($A427="","",SUMIFS(入库单!$V$4:$V$2503,入库单!$G$4:$G$2503,$A427,入库单!$X$4:$X$2503,"采购入库",入库单!$Z$4:$Z$2503,"正常",入库单!$C$4:$C$2503,"&gt;="&amp;账期起,入库单!$C$4:$C$2503,"&lt;="&amp;账期止))</f>
        <v/>
      </c>
      <c r="K427" s="26">
        <f>IF($A427="","",IFERROR(ROUND((N($H427)+N($J427))/(N($G427)+N($I427)),2),0))</f>
        <v/>
      </c>
      <c r="L427" s="27">
        <f>IF($A427="","",SUMIFS(入库单!$K$4:$K$2503,入库单!$G$4:$G$2503,$A427,入库单!$X$4:$X$2503,"盘盈",入库单!$Z$4:$Z$2503,"正常",入库单!$C$4:$C$2503,"&gt;="&amp;账期起,入库单!$C$4:$C$2503,"&lt;="&amp;账期止))</f>
        <v/>
      </c>
      <c r="M427" s="26">
        <f>IF($A427="","",ROUND($L427*$K427,0))</f>
        <v/>
      </c>
      <c r="N427" s="27">
        <f>IF($A427="","",SUMIFS(入库单!$K$4:$K$2503,入库单!$G$4:$G$2503,$A427,入库单!$X$4:$X$2503,"矿区退库",入库单!$Z$4:$Z$2503,"正常",入库单!$C$4:$C$2503,"&gt;="&amp;账期起,入库单!$C$4:$C$2503,"&lt;="&amp;账期止))</f>
        <v/>
      </c>
      <c r="O427" s="26">
        <f>IF($A427="","",ROUND($N427*$K427,0))</f>
        <v/>
      </c>
      <c r="P427" s="27">
        <f>IF($A427="","",SUMIFS(出库单!$J$4:$J$4003,出库单!$D$4:$D$4003,$A427,出库单!$K$4:$K$4003,"自用消耗",出库单!$U$4:$U$4003,"正常",出库单!$C$4:$C$4003,"&gt;="&amp;账期起,出库单!$C$4:$C$4003,"&lt;="&amp;账期止))</f>
        <v/>
      </c>
      <c r="Q427" s="26">
        <f>IF($A427="","",ROUND(SUMIFS(出库单!$S$4:$S$4003,出库单!$D$4:$D$4003,$A427,出库单!$K$4:$K$4003,"自用消耗",出库单!$U$4:$U$4003,"正常",出库单!$C$4:$C$4003,"&gt;="&amp;账期起,出库单!$C$4:$C$4003,"&lt;="&amp;账期止),0))</f>
        <v/>
      </c>
      <c r="R427" s="27">
        <f>IF($A427="","",SUMIFS(出库单!$J$4:$J$4003,出库单!$D$4:$D$4003,$A427,出库单!$K$4:$K$4003,"对外销售",出库单!$U$4:$U$4003,"正常",出库单!$C$4:$C$4003,"&gt;="&amp;账期起,出库单!$C$4:$C$4003,"&lt;="&amp;账期止))</f>
        <v/>
      </c>
      <c r="S427" s="26">
        <f>IF($A427="","",ROUND(SUMIFS(出库单!$S$4:$S$4003,出库单!$D$4:$D$4003,$A427,出库单!$K$4:$K$4003,"对外销售",出库单!$U$4:$U$4003,"正常",出库单!$C$4:$C$4003,"&gt;="&amp;账期起,出库单!$C$4:$C$4003,"&lt;="&amp;账期止),0))</f>
        <v/>
      </c>
      <c r="T427" s="27">
        <f>IF($A427="","",SUMIFS(出库单!$J$4:$J$4003,出库单!$D$4:$D$4003,$A427,出库单!$K$4:$K$4003,"盘亏",出库单!$U$4:$U$4003,"正常",出库单!$C$4:$C$4003,"&gt;="&amp;账期起,出库单!$C$4:$C$4003,"&lt;="&amp;账期止))</f>
        <v/>
      </c>
      <c r="U427" s="26">
        <f>IF($A427="","",ROUND(SUMIFS(出库单!$S$4:$S$4003,出库单!$D$4:$D$4003,$A427,出库单!$K$4:$K$4003,"盘亏",出库单!$U$4:$U$4003,"正常",出库单!$C$4:$C$4003,"&gt;="&amp;账期起,出库单!$C$4:$C$4003,"&lt;="&amp;账期止),0))</f>
        <v/>
      </c>
      <c r="V427" s="27">
        <f>IF($A427="","",SUMIFS(出库单!$J$4:$J$4003,出库单!$D$4:$D$4003,$A427,出库单!$K$4:$K$4003,"退货给供应商",出库单!$U$4:$U$4003,"正常",出库单!$C$4:$C$4003,"&gt;="&amp;账期起,出库单!$C$4:$C$4003,"&lt;="&amp;账期止))</f>
        <v/>
      </c>
      <c r="W427" s="26">
        <f>IF($A427="","",ROUND(SUMIFS(出库单!$S$4:$S$4003,出库单!$D$4:$D$4003,$A427,出库单!$K$4:$K$4003,"退货给供应商",出库单!$U$4:$U$4003,"正常",出库单!$C$4:$C$4003,"&gt;="&amp;账期起,出库单!$C$4:$C$4003,"&lt;="&amp;账期止),0))</f>
        <v/>
      </c>
      <c r="X427" s="27">
        <f>IF($A427="","",ROUND(N($G427)+$I427+$L427+$N427-$P427-$R427-$T427-$V427,3))</f>
        <v/>
      </c>
      <c r="Y427" s="26">
        <f>IF($A427="","",ROUND(N($H427)+$J427+$M427+$O427-$Q427-$S427-$U427-$W427,0))</f>
        <v/>
      </c>
      <c r="Z427" s="24">
        <f>IF($A427="","",IF(COUNTIFS(入库单!$G$4:$G$2503,$A427,入库单!$Y$4:$Y$2503,"待补价")+COUNTIFS(入库单!$G$4:$G$2503,$A427,入库单!$Y$4:$Y$2503,"暂估")&gt;0,"不可信","可信"))</f>
        <v/>
      </c>
      <c r="AA427" s="24">
        <f>IF($A427="","",IF($X427&lt;-0.001,"※账面负库存，查一下是不是漏记入库",IF(AND(ROUND($X427,3)=0,ABS($Y427)&gt;1),"※数量已经是 0，金额还挂着 "&amp;TEXT($Y427,"#,##0")&amp;" 先令",IF(AND($X427&gt;0,$Y427&lt;=0,$K427=0),"※有数量没金额（这个物料一直没填过进价）",IF($Z427="不可信","△成本含待补价/暂估，毛利仅供参考","")))))</f>
        <v/>
      </c>
    </row>
    <row r="428">
      <c r="A428" s="24">
        <f>IF(物料档案!$A427="","",物料档案!$A427)</f>
        <v/>
      </c>
      <c r="B428" s="24">
        <f>IF($A428="","",IFERROR(VLOOKUP($A428,物料档案!$A$4:$P$1203,3,0),""))</f>
        <v/>
      </c>
      <c r="C428" s="24">
        <f>IF($A428="","",IFERROR(VLOOKUP($A428,物料档案!$A$4:$P$1203,4,0),""))</f>
        <v/>
      </c>
      <c r="D428" s="24">
        <f>IF($A428="","",IFERROR(VLOOKUP($A428,物料档案!$A$4:$P$1203,5,0),""))</f>
        <v/>
      </c>
      <c r="E428" s="24">
        <f>IF($A428="","",IFERROR(VLOOKUP($A428,物料档案!$A$4:$P$1203,2,0),""))</f>
        <v/>
      </c>
      <c r="F428" s="24">
        <f>IF($A428="","",IFERROR(VLOOKUP($A428,物料档案!$A$4:$P$1203,6,0),""))</f>
        <v/>
      </c>
      <c r="G428" s="23" t="n"/>
      <c r="H428" s="32" t="n"/>
      <c r="I428" s="27">
        <f>IF($A428="","",SUMIFS(入库单!$K$4:$K$2503,入库单!$G$4:$G$2503,$A428,入库单!$X$4:$X$2503,"采购入库",入库单!$Z$4:$Z$2503,"正常",入库单!$C$4:$C$2503,"&gt;="&amp;账期起,入库单!$C$4:$C$2503,"&lt;="&amp;账期止))</f>
        <v/>
      </c>
      <c r="J428" s="26">
        <f>IF($A428="","",SUMIFS(入库单!$V$4:$V$2503,入库单!$G$4:$G$2503,$A428,入库单!$X$4:$X$2503,"采购入库",入库单!$Z$4:$Z$2503,"正常",入库单!$C$4:$C$2503,"&gt;="&amp;账期起,入库单!$C$4:$C$2503,"&lt;="&amp;账期止))</f>
        <v/>
      </c>
      <c r="K428" s="26">
        <f>IF($A428="","",IFERROR(ROUND((N($H428)+N($J428))/(N($G428)+N($I428)),2),0))</f>
        <v/>
      </c>
      <c r="L428" s="27">
        <f>IF($A428="","",SUMIFS(入库单!$K$4:$K$2503,入库单!$G$4:$G$2503,$A428,入库单!$X$4:$X$2503,"盘盈",入库单!$Z$4:$Z$2503,"正常",入库单!$C$4:$C$2503,"&gt;="&amp;账期起,入库单!$C$4:$C$2503,"&lt;="&amp;账期止))</f>
        <v/>
      </c>
      <c r="M428" s="26">
        <f>IF($A428="","",ROUND($L428*$K428,0))</f>
        <v/>
      </c>
      <c r="N428" s="27">
        <f>IF($A428="","",SUMIFS(入库单!$K$4:$K$2503,入库单!$G$4:$G$2503,$A428,入库单!$X$4:$X$2503,"矿区退库",入库单!$Z$4:$Z$2503,"正常",入库单!$C$4:$C$2503,"&gt;="&amp;账期起,入库单!$C$4:$C$2503,"&lt;="&amp;账期止))</f>
        <v/>
      </c>
      <c r="O428" s="26">
        <f>IF($A428="","",ROUND($N428*$K428,0))</f>
        <v/>
      </c>
      <c r="P428" s="27">
        <f>IF($A428="","",SUMIFS(出库单!$J$4:$J$4003,出库单!$D$4:$D$4003,$A428,出库单!$K$4:$K$4003,"自用消耗",出库单!$U$4:$U$4003,"正常",出库单!$C$4:$C$4003,"&gt;="&amp;账期起,出库单!$C$4:$C$4003,"&lt;="&amp;账期止))</f>
        <v/>
      </c>
      <c r="Q428" s="26">
        <f>IF($A428="","",ROUND(SUMIFS(出库单!$S$4:$S$4003,出库单!$D$4:$D$4003,$A428,出库单!$K$4:$K$4003,"自用消耗",出库单!$U$4:$U$4003,"正常",出库单!$C$4:$C$4003,"&gt;="&amp;账期起,出库单!$C$4:$C$4003,"&lt;="&amp;账期止),0))</f>
        <v/>
      </c>
      <c r="R428" s="27">
        <f>IF($A428="","",SUMIFS(出库单!$J$4:$J$4003,出库单!$D$4:$D$4003,$A428,出库单!$K$4:$K$4003,"对外销售",出库单!$U$4:$U$4003,"正常",出库单!$C$4:$C$4003,"&gt;="&amp;账期起,出库单!$C$4:$C$4003,"&lt;="&amp;账期止))</f>
        <v/>
      </c>
      <c r="S428" s="26">
        <f>IF($A428="","",ROUND(SUMIFS(出库单!$S$4:$S$4003,出库单!$D$4:$D$4003,$A428,出库单!$K$4:$K$4003,"对外销售",出库单!$U$4:$U$4003,"正常",出库单!$C$4:$C$4003,"&gt;="&amp;账期起,出库单!$C$4:$C$4003,"&lt;="&amp;账期止),0))</f>
        <v/>
      </c>
      <c r="T428" s="27">
        <f>IF($A428="","",SUMIFS(出库单!$J$4:$J$4003,出库单!$D$4:$D$4003,$A428,出库单!$K$4:$K$4003,"盘亏",出库单!$U$4:$U$4003,"正常",出库单!$C$4:$C$4003,"&gt;="&amp;账期起,出库单!$C$4:$C$4003,"&lt;="&amp;账期止))</f>
        <v/>
      </c>
      <c r="U428" s="26">
        <f>IF($A428="","",ROUND(SUMIFS(出库单!$S$4:$S$4003,出库单!$D$4:$D$4003,$A428,出库单!$K$4:$K$4003,"盘亏",出库单!$U$4:$U$4003,"正常",出库单!$C$4:$C$4003,"&gt;="&amp;账期起,出库单!$C$4:$C$4003,"&lt;="&amp;账期止),0))</f>
        <v/>
      </c>
      <c r="V428" s="27">
        <f>IF($A428="","",SUMIFS(出库单!$J$4:$J$4003,出库单!$D$4:$D$4003,$A428,出库单!$K$4:$K$4003,"退货给供应商",出库单!$U$4:$U$4003,"正常",出库单!$C$4:$C$4003,"&gt;="&amp;账期起,出库单!$C$4:$C$4003,"&lt;="&amp;账期止))</f>
        <v/>
      </c>
      <c r="W428" s="26">
        <f>IF($A428="","",ROUND(SUMIFS(出库单!$S$4:$S$4003,出库单!$D$4:$D$4003,$A428,出库单!$K$4:$K$4003,"退货给供应商",出库单!$U$4:$U$4003,"正常",出库单!$C$4:$C$4003,"&gt;="&amp;账期起,出库单!$C$4:$C$4003,"&lt;="&amp;账期止),0))</f>
        <v/>
      </c>
      <c r="X428" s="27">
        <f>IF($A428="","",ROUND(N($G428)+$I428+$L428+$N428-$P428-$R428-$T428-$V428,3))</f>
        <v/>
      </c>
      <c r="Y428" s="26">
        <f>IF($A428="","",ROUND(N($H428)+$J428+$M428+$O428-$Q428-$S428-$U428-$W428,0))</f>
        <v/>
      </c>
      <c r="Z428" s="24">
        <f>IF($A428="","",IF(COUNTIFS(入库单!$G$4:$G$2503,$A428,入库单!$Y$4:$Y$2503,"待补价")+COUNTIFS(入库单!$G$4:$G$2503,$A428,入库单!$Y$4:$Y$2503,"暂估")&gt;0,"不可信","可信"))</f>
        <v/>
      </c>
      <c r="AA428" s="24">
        <f>IF($A428="","",IF($X428&lt;-0.001,"※账面负库存，查一下是不是漏记入库",IF(AND(ROUND($X428,3)=0,ABS($Y428)&gt;1),"※数量已经是 0，金额还挂着 "&amp;TEXT($Y428,"#,##0")&amp;" 先令",IF(AND($X428&gt;0,$Y428&lt;=0,$K428=0),"※有数量没金额（这个物料一直没填过进价）",IF($Z428="不可信","△成本含待补价/暂估，毛利仅供参考","")))))</f>
        <v/>
      </c>
    </row>
    <row r="429">
      <c r="A429" s="24">
        <f>IF(物料档案!$A428="","",物料档案!$A428)</f>
        <v/>
      </c>
      <c r="B429" s="24">
        <f>IF($A429="","",IFERROR(VLOOKUP($A429,物料档案!$A$4:$P$1203,3,0),""))</f>
        <v/>
      </c>
      <c r="C429" s="24">
        <f>IF($A429="","",IFERROR(VLOOKUP($A429,物料档案!$A$4:$P$1203,4,0),""))</f>
        <v/>
      </c>
      <c r="D429" s="24">
        <f>IF($A429="","",IFERROR(VLOOKUP($A429,物料档案!$A$4:$P$1203,5,0),""))</f>
        <v/>
      </c>
      <c r="E429" s="24">
        <f>IF($A429="","",IFERROR(VLOOKUP($A429,物料档案!$A$4:$P$1203,2,0),""))</f>
        <v/>
      </c>
      <c r="F429" s="24">
        <f>IF($A429="","",IFERROR(VLOOKUP($A429,物料档案!$A$4:$P$1203,6,0),""))</f>
        <v/>
      </c>
      <c r="G429" s="23" t="n"/>
      <c r="H429" s="32" t="n"/>
      <c r="I429" s="27">
        <f>IF($A429="","",SUMIFS(入库单!$K$4:$K$2503,入库单!$G$4:$G$2503,$A429,入库单!$X$4:$X$2503,"采购入库",入库单!$Z$4:$Z$2503,"正常",入库单!$C$4:$C$2503,"&gt;="&amp;账期起,入库单!$C$4:$C$2503,"&lt;="&amp;账期止))</f>
        <v/>
      </c>
      <c r="J429" s="26">
        <f>IF($A429="","",SUMIFS(入库单!$V$4:$V$2503,入库单!$G$4:$G$2503,$A429,入库单!$X$4:$X$2503,"采购入库",入库单!$Z$4:$Z$2503,"正常",入库单!$C$4:$C$2503,"&gt;="&amp;账期起,入库单!$C$4:$C$2503,"&lt;="&amp;账期止))</f>
        <v/>
      </c>
      <c r="K429" s="26">
        <f>IF($A429="","",IFERROR(ROUND((N($H429)+N($J429))/(N($G429)+N($I429)),2),0))</f>
        <v/>
      </c>
      <c r="L429" s="27">
        <f>IF($A429="","",SUMIFS(入库单!$K$4:$K$2503,入库单!$G$4:$G$2503,$A429,入库单!$X$4:$X$2503,"盘盈",入库单!$Z$4:$Z$2503,"正常",入库单!$C$4:$C$2503,"&gt;="&amp;账期起,入库单!$C$4:$C$2503,"&lt;="&amp;账期止))</f>
        <v/>
      </c>
      <c r="M429" s="26">
        <f>IF($A429="","",ROUND($L429*$K429,0))</f>
        <v/>
      </c>
      <c r="N429" s="27">
        <f>IF($A429="","",SUMIFS(入库单!$K$4:$K$2503,入库单!$G$4:$G$2503,$A429,入库单!$X$4:$X$2503,"矿区退库",入库单!$Z$4:$Z$2503,"正常",入库单!$C$4:$C$2503,"&gt;="&amp;账期起,入库单!$C$4:$C$2503,"&lt;="&amp;账期止))</f>
        <v/>
      </c>
      <c r="O429" s="26">
        <f>IF($A429="","",ROUND($N429*$K429,0))</f>
        <v/>
      </c>
      <c r="P429" s="27">
        <f>IF($A429="","",SUMIFS(出库单!$J$4:$J$4003,出库单!$D$4:$D$4003,$A429,出库单!$K$4:$K$4003,"自用消耗",出库单!$U$4:$U$4003,"正常",出库单!$C$4:$C$4003,"&gt;="&amp;账期起,出库单!$C$4:$C$4003,"&lt;="&amp;账期止))</f>
        <v/>
      </c>
      <c r="Q429" s="26">
        <f>IF($A429="","",ROUND(SUMIFS(出库单!$S$4:$S$4003,出库单!$D$4:$D$4003,$A429,出库单!$K$4:$K$4003,"自用消耗",出库单!$U$4:$U$4003,"正常",出库单!$C$4:$C$4003,"&gt;="&amp;账期起,出库单!$C$4:$C$4003,"&lt;="&amp;账期止),0))</f>
        <v/>
      </c>
      <c r="R429" s="27">
        <f>IF($A429="","",SUMIFS(出库单!$J$4:$J$4003,出库单!$D$4:$D$4003,$A429,出库单!$K$4:$K$4003,"对外销售",出库单!$U$4:$U$4003,"正常",出库单!$C$4:$C$4003,"&gt;="&amp;账期起,出库单!$C$4:$C$4003,"&lt;="&amp;账期止))</f>
        <v/>
      </c>
      <c r="S429" s="26">
        <f>IF($A429="","",ROUND(SUMIFS(出库单!$S$4:$S$4003,出库单!$D$4:$D$4003,$A429,出库单!$K$4:$K$4003,"对外销售",出库单!$U$4:$U$4003,"正常",出库单!$C$4:$C$4003,"&gt;="&amp;账期起,出库单!$C$4:$C$4003,"&lt;="&amp;账期止),0))</f>
        <v/>
      </c>
      <c r="T429" s="27">
        <f>IF($A429="","",SUMIFS(出库单!$J$4:$J$4003,出库单!$D$4:$D$4003,$A429,出库单!$K$4:$K$4003,"盘亏",出库单!$U$4:$U$4003,"正常",出库单!$C$4:$C$4003,"&gt;="&amp;账期起,出库单!$C$4:$C$4003,"&lt;="&amp;账期止))</f>
        <v/>
      </c>
      <c r="U429" s="26">
        <f>IF($A429="","",ROUND(SUMIFS(出库单!$S$4:$S$4003,出库单!$D$4:$D$4003,$A429,出库单!$K$4:$K$4003,"盘亏",出库单!$U$4:$U$4003,"正常",出库单!$C$4:$C$4003,"&gt;="&amp;账期起,出库单!$C$4:$C$4003,"&lt;="&amp;账期止),0))</f>
        <v/>
      </c>
      <c r="V429" s="27">
        <f>IF($A429="","",SUMIFS(出库单!$J$4:$J$4003,出库单!$D$4:$D$4003,$A429,出库单!$K$4:$K$4003,"退货给供应商",出库单!$U$4:$U$4003,"正常",出库单!$C$4:$C$4003,"&gt;="&amp;账期起,出库单!$C$4:$C$4003,"&lt;="&amp;账期止))</f>
        <v/>
      </c>
      <c r="W429" s="26">
        <f>IF($A429="","",ROUND(SUMIFS(出库单!$S$4:$S$4003,出库单!$D$4:$D$4003,$A429,出库单!$K$4:$K$4003,"退货给供应商",出库单!$U$4:$U$4003,"正常",出库单!$C$4:$C$4003,"&gt;="&amp;账期起,出库单!$C$4:$C$4003,"&lt;="&amp;账期止),0))</f>
        <v/>
      </c>
      <c r="X429" s="27">
        <f>IF($A429="","",ROUND(N($G429)+$I429+$L429+$N429-$P429-$R429-$T429-$V429,3))</f>
        <v/>
      </c>
      <c r="Y429" s="26">
        <f>IF($A429="","",ROUND(N($H429)+$J429+$M429+$O429-$Q429-$S429-$U429-$W429,0))</f>
        <v/>
      </c>
      <c r="Z429" s="24">
        <f>IF($A429="","",IF(COUNTIFS(入库单!$G$4:$G$2503,$A429,入库单!$Y$4:$Y$2503,"待补价")+COUNTIFS(入库单!$G$4:$G$2503,$A429,入库单!$Y$4:$Y$2503,"暂估")&gt;0,"不可信","可信"))</f>
        <v/>
      </c>
      <c r="AA429" s="24">
        <f>IF($A429="","",IF($X429&lt;-0.001,"※账面负库存，查一下是不是漏记入库",IF(AND(ROUND($X429,3)=0,ABS($Y429)&gt;1),"※数量已经是 0，金额还挂着 "&amp;TEXT($Y429,"#,##0")&amp;" 先令",IF(AND($X429&gt;0,$Y429&lt;=0,$K429=0),"※有数量没金额（这个物料一直没填过进价）",IF($Z429="不可信","△成本含待补价/暂估，毛利仅供参考","")))))</f>
        <v/>
      </c>
    </row>
    <row r="430">
      <c r="A430" s="24">
        <f>IF(物料档案!$A429="","",物料档案!$A429)</f>
        <v/>
      </c>
      <c r="B430" s="24">
        <f>IF($A430="","",IFERROR(VLOOKUP($A430,物料档案!$A$4:$P$1203,3,0),""))</f>
        <v/>
      </c>
      <c r="C430" s="24">
        <f>IF($A430="","",IFERROR(VLOOKUP($A430,物料档案!$A$4:$P$1203,4,0),""))</f>
        <v/>
      </c>
      <c r="D430" s="24">
        <f>IF($A430="","",IFERROR(VLOOKUP($A430,物料档案!$A$4:$P$1203,5,0),""))</f>
        <v/>
      </c>
      <c r="E430" s="24">
        <f>IF($A430="","",IFERROR(VLOOKUP($A430,物料档案!$A$4:$P$1203,2,0),""))</f>
        <v/>
      </c>
      <c r="F430" s="24">
        <f>IF($A430="","",IFERROR(VLOOKUP($A430,物料档案!$A$4:$P$1203,6,0),""))</f>
        <v/>
      </c>
      <c r="G430" s="23" t="n"/>
      <c r="H430" s="32" t="n"/>
      <c r="I430" s="27">
        <f>IF($A430="","",SUMIFS(入库单!$K$4:$K$2503,入库单!$G$4:$G$2503,$A430,入库单!$X$4:$X$2503,"采购入库",入库单!$Z$4:$Z$2503,"正常",入库单!$C$4:$C$2503,"&gt;="&amp;账期起,入库单!$C$4:$C$2503,"&lt;="&amp;账期止))</f>
        <v/>
      </c>
      <c r="J430" s="26">
        <f>IF($A430="","",SUMIFS(入库单!$V$4:$V$2503,入库单!$G$4:$G$2503,$A430,入库单!$X$4:$X$2503,"采购入库",入库单!$Z$4:$Z$2503,"正常",入库单!$C$4:$C$2503,"&gt;="&amp;账期起,入库单!$C$4:$C$2503,"&lt;="&amp;账期止))</f>
        <v/>
      </c>
      <c r="K430" s="26">
        <f>IF($A430="","",IFERROR(ROUND((N($H430)+N($J430))/(N($G430)+N($I430)),2),0))</f>
        <v/>
      </c>
      <c r="L430" s="27">
        <f>IF($A430="","",SUMIFS(入库单!$K$4:$K$2503,入库单!$G$4:$G$2503,$A430,入库单!$X$4:$X$2503,"盘盈",入库单!$Z$4:$Z$2503,"正常",入库单!$C$4:$C$2503,"&gt;="&amp;账期起,入库单!$C$4:$C$2503,"&lt;="&amp;账期止))</f>
        <v/>
      </c>
      <c r="M430" s="26">
        <f>IF($A430="","",ROUND($L430*$K430,0))</f>
        <v/>
      </c>
      <c r="N430" s="27">
        <f>IF($A430="","",SUMIFS(入库单!$K$4:$K$2503,入库单!$G$4:$G$2503,$A430,入库单!$X$4:$X$2503,"矿区退库",入库单!$Z$4:$Z$2503,"正常",入库单!$C$4:$C$2503,"&gt;="&amp;账期起,入库单!$C$4:$C$2503,"&lt;="&amp;账期止))</f>
        <v/>
      </c>
      <c r="O430" s="26">
        <f>IF($A430="","",ROUND($N430*$K430,0))</f>
        <v/>
      </c>
      <c r="P430" s="27">
        <f>IF($A430="","",SUMIFS(出库单!$J$4:$J$4003,出库单!$D$4:$D$4003,$A430,出库单!$K$4:$K$4003,"自用消耗",出库单!$U$4:$U$4003,"正常",出库单!$C$4:$C$4003,"&gt;="&amp;账期起,出库单!$C$4:$C$4003,"&lt;="&amp;账期止))</f>
        <v/>
      </c>
      <c r="Q430" s="26">
        <f>IF($A430="","",ROUND(SUMIFS(出库单!$S$4:$S$4003,出库单!$D$4:$D$4003,$A430,出库单!$K$4:$K$4003,"自用消耗",出库单!$U$4:$U$4003,"正常",出库单!$C$4:$C$4003,"&gt;="&amp;账期起,出库单!$C$4:$C$4003,"&lt;="&amp;账期止),0))</f>
        <v/>
      </c>
      <c r="R430" s="27">
        <f>IF($A430="","",SUMIFS(出库单!$J$4:$J$4003,出库单!$D$4:$D$4003,$A430,出库单!$K$4:$K$4003,"对外销售",出库单!$U$4:$U$4003,"正常",出库单!$C$4:$C$4003,"&gt;="&amp;账期起,出库单!$C$4:$C$4003,"&lt;="&amp;账期止))</f>
        <v/>
      </c>
      <c r="S430" s="26">
        <f>IF($A430="","",ROUND(SUMIFS(出库单!$S$4:$S$4003,出库单!$D$4:$D$4003,$A430,出库单!$K$4:$K$4003,"对外销售",出库单!$U$4:$U$4003,"正常",出库单!$C$4:$C$4003,"&gt;="&amp;账期起,出库单!$C$4:$C$4003,"&lt;="&amp;账期止),0))</f>
        <v/>
      </c>
      <c r="T430" s="27">
        <f>IF($A430="","",SUMIFS(出库单!$J$4:$J$4003,出库单!$D$4:$D$4003,$A430,出库单!$K$4:$K$4003,"盘亏",出库单!$U$4:$U$4003,"正常",出库单!$C$4:$C$4003,"&gt;="&amp;账期起,出库单!$C$4:$C$4003,"&lt;="&amp;账期止))</f>
        <v/>
      </c>
      <c r="U430" s="26">
        <f>IF($A430="","",ROUND(SUMIFS(出库单!$S$4:$S$4003,出库单!$D$4:$D$4003,$A430,出库单!$K$4:$K$4003,"盘亏",出库单!$U$4:$U$4003,"正常",出库单!$C$4:$C$4003,"&gt;="&amp;账期起,出库单!$C$4:$C$4003,"&lt;="&amp;账期止),0))</f>
        <v/>
      </c>
      <c r="V430" s="27">
        <f>IF($A430="","",SUMIFS(出库单!$J$4:$J$4003,出库单!$D$4:$D$4003,$A430,出库单!$K$4:$K$4003,"退货给供应商",出库单!$U$4:$U$4003,"正常",出库单!$C$4:$C$4003,"&gt;="&amp;账期起,出库单!$C$4:$C$4003,"&lt;="&amp;账期止))</f>
        <v/>
      </c>
      <c r="W430" s="26">
        <f>IF($A430="","",ROUND(SUMIFS(出库单!$S$4:$S$4003,出库单!$D$4:$D$4003,$A430,出库单!$K$4:$K$4003,"退货给供应商",出库单!$U$4:$U$4003,"正常",出库单!$C$4:$C$4003,"&gt;="&amp;账期起,出库单!$C$4:$C$4003,"&lt;="&amp;账期止),0))</f>
        <v/>
      </c>
      <c r="X430" s="27">
        <f>IF($A430="","",ROUND(N($G430)+$I430+$L430+$N430-$P430-$R430-$T430-$V430,3))</f>
        <v/>
      </c>
      <c r="Y430" s="26">
        <f>IF($A430="","",ROUND(N($H430)+$J430+$M430+$O430-$Q430-$S430-$U430-$W430,0))</f>
        <v/>
      </c>
      <c r="Z430" s="24">
        <f>IF($A430="","",IF(COUNTIFS(入库单!$G$4:$G$2503,$A430,入库单!$Y$4:$Y$2503,"待补价")+COUNTIFS(入库单!$G$4:$G$2503,$A430,入库单!$Y$4:$Y$2503,"暂估")&gt;0,"不可信","可信"))</f>
        <v/>
      </c>
      <c r="AA430" s="24">
        <f>IF($A430="","",IF($X430&lt;-0.001,"※账面负库存，查一下是不是漏记入库",IF(AND(ROUND($X430,3)=0,ABS($Y430)&gt;1),"※数量已经是 0，金额还挂着 "&amp;TEXT($Y430,"#,##0")&amp;" 先令",IF(AND($X430&gt;0,$Y430&lt;=0,$K430=0),"※有数量没金额（这个物料一直没填过进价）",IF($Z430="不可信","△成本含待补价/暂估，毛利仅供参考","")))))</f>
        <v/>
      </c>
    </row>
    <row r="431">
      <c r="A431" s="24">
        <f>IF(物料档案!$A430="","",物料档案!$A430)</f>
        <v/>
      </c>
      <c r="B431" s="24">
        <f>IF($A431="","",IFERROR(VLOOKUP($A431,物料档案!$A$4:$P$1203,3,0),""))</f>
        <v/>
      </c>
      <c r="C431" s="24">
        <f>IF($A431="","",IFERROR(VLOOKUP($A431,物料档案!$A$4:$P$1203,4,0),""))</f>
        <v/>
      </c>
      <c r="D431" s="24">
        <f>IF($A431="","",IFERROR(VLOOKUP($A431,物料档案!$A$4:$P$1203,5,0),""))</f>
        <v/>
      </c>
      <c r="E431" s="24">
        <f>IF($A431="","",IFERROR(VLOOKUP($A431,物料档案!$A$4:$P$1203,2,0),""))</f>
        <v/>
      </c>
      <c r="F431" s="24">
        <f>IF($A431="","",IFERROR(VLOOKUP($A431,物料档案!$A$4:$P$1203,6,0),""))</f>
        <v/>
      </c>
      <c r="G431" s="23" t="n"/>
      <c r="H431" s="32" t="n"/>
      <c r="I431" s="27">
        <f>IF($A431="","",SUMIFS(入库单!$K$4:$K$2503,入库单!$G$4:$G$2503,$A431,入库单!$X$4:$X$2503,"采购入库",入库单!$Z$4:$Z$2503,"正常",入库单!$C$4:$C$2503,"&gt;="&amp;账期起,入库单!$C$4:$C$2503,"&lt;="&amp;账期止))</f>
        <v/>
      </c>
      <c r="J431" s="26">
        <f>IF($A431="","",SUMIFS(入库单!$V$4:$V$2503,入库单!$G$4:$G$2503,$A431,入库单!$X$4:$X$2503,"采购入库",入库单!$Z$4:$Z$2503,"正常",入库单!$C$4:$C$2503,"&gt;="&amp;账期起,入库单!$C$4:$C$2503,"&lt;="&amp;账期止))</f>
        <v/>
      </c>
      <c r="K431" s="26">
        <f>IF($A431="","",IFERROR(ROUND((N($H431)+N($J431))/(N($G431)+N($I431)),2),0))</f>
        <v/>
      </c>
      <c r="L431" s="27">
        <f>IF($A431="","",SUMIFS(入库单!$K$4:$K$2503,入库单!$G$4:$G$2503,$A431,入库单!$X$4:$X$2503,"盘盈",入库单!$Z$4:$Z$2503,"正常",入库单!$C$4:$C$2503,"&gt;="&amp;账期起,入库单!$C$4:$C$2503,"&lt;="&amp;账期止))</f>
        <v/>
      </c>
      <c r="M431" s="26">
        <f>IF($A431="","",ROUND($L431*$K431,0))</f>
        <v/>
      </c>
      <c r="N431" s="27">
        <f>IF($A431="","",SUMIFS(入库单!$K$4:$K$2503,入库单!$G$4:$G$2503,$A431,入库单!$X$4:$X$2503,"矿区退库",入库单!$Z$4:$Z$2503,"正常",入库单!$C$4:$C$2503,"&gt;="&amp;账期起,入库单!$C$4:$C$2503,"&lt;="&amp;账期止))</f>
        <v/>
      </c>
      <c r="O431" s="26">
        <f>IF($A431="","",ROUND($N431*$K431,0))</f>
        <v/>
      </c>
      <c r="P431" s="27">
        <f>IF($A431="","",SUMIFS(出库单!$J$4:$J$4003,出库单!$D$4:$D$4003,$A431,出库单!$K$4:$K$4003,"自用消耗",出库单!$U$4:$U$4003,"正常",出库单!$C$4:$C$4003,"&gt;="&amp;账期起,出库单!$C$4:$C$4003,"&lt;="&amp;账期止))</f>
        <v/>
      </c>
      <c r="Q431" s="26">
        <f>IF($A431="","",ROUND(SUMIFS(出库单!$S$4:$S$4003,出库单!$D$4:$D$4003,$A431,出库单!$K$4:$K$4003,"自用消耗",出库单!$U$4:$U$4003,"正常",出库单!$C$4:$C$4003,"&gt;="&amp;账期起,出库单!$C$4:$C$4003,"&lt;="&amp;账期止),0))</f>
        <v/>
      </c>
      <c r="R431" s="27">
        <f>IF($A431="","",SUMIFS(出库单!$J$4:$J$4003,出库单!$D$4:$D$4003,$A431,出库单!$K$4:$K$4003,"对外销售",出库单!$U$4:$U$4003,"正常",出库单!$C$4:$C$4003,"&gt;="&amp;账期起,出库单!$C$4:$C$4003,"&lt;="&amp;账期止))</f>
        <v/>
      </c>
      <c r="S431" s="26">
        <f>IF($A431="","",ROUND(SUMIFS(出库单!$S$4:$S$4003,出库单!$D$4:$D$4003,$A431,出库单!$K$4:$K$4003,"对外销售",出库单!$U$4:$U$4003,"正常",出库单!$C$4:$C$4003,"&gt;="&amp;账期起,出库单!$C$4:$C$4003,"&lt;="&amp;账期止),0))</f>
        <v/>
      </c>
      <c r="T431" s="27">
        <f>IF($A431="","",SUMIFS(出库单!$J$4:$J$4003,出库单!$D$4:$D$4003,$A431,出库单!$K$4:$K$4003,"盘亏",出库单!$U$4:$U$4003,"正常",出库单!$C$4:$C$4003,"&gt;="&amp;账期起,出库单!$C$4:$C$4003,"&lt;="&amp;账期止))</f>
        <v/>
      </c>
      <c r="U431" s="26">
        <f>IF($A431="","",ROUND(SUMIFS(出库单!$S$4:$S$4003,出库单!$D$4:$D$4003,$A431,出库单!$K$4:$K$4003,"盘亏",出库单!$U$4:$U$4003,"正常",出库单!$C$4:$C$4003,"&gt;="&amp;账期起,出库单!$C$4:$C$4003,"&lt;="&amp;账期止),0))</f>
        <v/>
      </c>
      <c r="V431" s="27">
        <f>IF($A431="","",SUMIFS(出库单!$J$4:$J$4003,出库单!$D$4:$D$4003,$A431,出库单!$K$4:$K$4003,"退货给供应商",出库单!$U$4:$U$4003,"正常",出库单!$C$4:$C$4003,"&gt;="&amp;账期起,出库单!$C$4:$C$4003,"&lt;="&amp;账期止))</f>
        <v/>
      </c>
      <c r="W431" s="26">
        <f>IF($A431="","",ROUND(SUMIFS(出库单!$S$4:$S$4003,出库单!$D$4:$D$4003,$A431,出库单!$K$4:$K$4003,"退货给供应商",出库单!$U$4:$U$4003,"正常",出库单!$C$4:$C$4003,"&gt;="&amp;账期起,出库单!$C$4:$C$4003,"&lt;="&amp;账期止),0))</f>
        <v/>
      </c>
      <c r="X431" s="27">
        <f>IF($A431="","",ROUND(N($G431)+$I431+$L431+$N431-$P431-$R431-$T431-$V431,3))</f>
        <v/>
      </c>
      <c r="Y431" s="26">
        <f>IF($A431="","",ROUND(N($H431)+$J431+$M431+$O431-$Q431-$S431-$U431-$W431,0))</f>
        <v/>
      </c>
      <c r="Z431" s="24">
        <f>IF($A431="","",IF(COUNTIFS(入库单!$G$4:$G$2503,$A431,入库单!$Y$4:$Y$2503,"待补价")+COUNTIFS(入库单!$G$4:$G$2503,$A431,入库单!$Y$4:$Y$2503,"暂估")&gt;0,"不可信","可信"))</f>
        <v/>
      </c>
      <c r="AA431" s="24">
        <f>IF($A431="","",IF($X431&lt;-0.001,"※账面负库存，查一下是不是漏记入库",IF(AND(ROUND($X431,3)=0,ABS($Y431)&gt;1),"※数量已经是 0，金额还挂着 "&amp;TEXT($Y431,"#,##0")&amp;" 先令",IF(AND($X431&gt;0,$Y431&lt;=0,$K431=0),"※有数量没金额（这个物料一直没填过进价）",IF($Z431="不可信","△成本含待补价/暂估，毛利仅供参考","")))))</f>
        <v/>
      </c>
    </row>
    <row r="432">
      <c r="A432" s="24">
        <f>IF(物料档案!$A431="","",物料档案!$A431)</f>
        <v/>
      </c>
      <c r="B432" s="24">
        <f>IF($A432="","",IFERROR(VLOOKUP($A432,物料档案!$A$4:$P$1203,3,0),""))</f>
        <v/>
      </c>
      <c r="C432" s="24">
        <f>IF($A432="","",IFERROR(VLOOKUP($A432,物料档案!$A$4:$P$1203,4,0),""))</f>
        <v/>
      </c>
      <c r="D432" s="24">
        <f>IF($A432="","",IFERROR(VLOOKUP($A432,物料档案!$A$4:$P$1203,5,0),""))</f>
        <v/>
      </c>
      <c r="E432" s="24">
        <f>IF($A432="","",IFERROR(VLOOKUP($A432,物料档案!$A$4:$P$1203,2,0),""))</f>
        <v/>
      </c>
      <c r="F432" s="24">
        <f>IF($A432="","",IFERROR(VLOOKUP($A432,物料档案!$A$4:$P$1203,6,0),""))</f>
        <v/>
      </c>
      <c r="G432" s="23" t="n"/>
      <c r="H432" s="32" t="n"/>
      <c r="I432" s="27">
        <f>IF($A432="","",SUMIFS(入库单!$K$4:$K$2503,入库单!$G$4:$G$2503,$A432,入库单!$X$4:$X$2503,"采购入库",入库单!$Z$4:$Z$2503,"正常",入库单!$C$4:$C$2503,"&gt;="&amp;账期起,入库单!$C$4:$C$2503,"&lt;="&amp;账期止))</f>
        <v/>
      </c>
      <c r="J432" s="26">
        <f>IF($A432="","",SUMIFS(入库单!$V$4:$V$2503,入库单!$G$4:$G$2503,$A432,入库单!$X$4:$X$2503,"采购入库",入库单!$Z$4:$Z$2503,"正常",入库单!$C$4:$C$2503,"&gt;="&amp;账期起,入库单!$C$4:$C$2503,"&lt;="&amp;账期止))</f>
        <v/>
      </c>
      <c r="K432" s="26">
        <f>IF($A432="","",IFERROR(ROUND((N($H432)+N($J432))/(N($G432)+N($I432)),2),0))</f>
        <v/>
      </c>
      <c r="L432" s="27">
        <f>IF($A432="","",SUMIFS(入库单!$K$4:$K$2503,入库单!$G$4:$G$2503,$A432,入库单!$X$4:$X$2503,"盘盈",入库单!$Z$4:$Z$2503,"正常",入库单!$C$4:$C$2503,"&gt;="&amp;账期起,入库单!$C$4:$C$2503,"&lt;="&amp;账期止))</f>
        <v/>
      </c>
      <c r="M432" s="26">
        <f>IF($A432="","",ROUND($L432*$K432,0))</f>
        <v/>
      </c>
      <c r="N432" s="27">
        <f>IF($A432="","",SUMIFS(入库单!$K$4:$K$2503,入库单!$G$4:$G$2503,$A432,入库单!$X$4:$X$2503,"矿区退库",入库单!$Z$4:$Z$2503,"正常",入库单!$C$4:$C$2503,"&gt;="&amp;账期起,入库单!$C$4:$C$2503,"&lt;="&amp;账期止))</f>
        <v/>
      </c>
      <c r="O432" s="26">
        <f>IF($A432="","",ROUND($N432*$K432,0))</f>
        <v/>
      </c>
      <c r="P432" s="27">
        <f>IF($A432="","",SUMIFS(出库单!$J$4:$J$4003,出库单!$D$4:$D$4003,$A432,出库单!$K$4:$K$4003,"自用消耗",出库单!$U$4:$U$4003,"正常",出库单!$C$4:$C$4003,"&gt;="&amp;账期起,出库单!$C$4:$C$4003,"&lt;="&amp;账期止))</f>
        <v/>
      </c>
      <c r="Q432" s="26">
        <f>IF($A432="","",ROUND(SUMIFS(出库单!$S$4:$S$4003,出库单!$D$4:$D$4003,$A432,出库单!$K$4:$K$4003,"自用消耗",出库单!$U$4:$U$4003,"正常",出库单!$C$4:$C$4003,"&gt;="&amp;账期起,出库单!$C$4:$C$4003,"&lt;="&amp;账期止),0))</f>
        <v/>
      </c>
      <c r="R432" s="27">
        <f>IF($A432="","",SUMIFS(出库单!$J$4:$J$4003,出库单!$D$4:$D$4003,$A432,出库单!$K$4:$K$4003,"对外销售",出库单!$U$4:$U$4003,"正常",出库单!$C$4:$C$4003,"&gt;="&amp;账期起,出库单!$C$4:$C$4003,"&lt;="&amp;账期止))</f>
        <v/>
      </c>
      <c r="S432" s="26">
        <f>IF($A432="","",ROUND(SUMIFS(出库单!$S$4:$S$4003,出库单!$D$4:$D$4003,$A432,出库单!$K$4:$K$4003,"对外销售",出库单!$U$4:$U$4003,"正常",出库单!$C$4:$C$4003,"&gt;="&amp;账期起,出库单!$C$4:$C$4003,"&lt;="&amp;账期止),0))</f>
        <v/>
      </c>
      <c r="T432" s="27">
        <f>IF($A432="","",SUMIFS(出库单!$J$4:$J$4003,出库单!$D$4:$D$4003,$A432,出库单!$K$4:$K$4003,"盘亏",出库单!$U$4:$U$4003,"正常",出库单!$C$4:$C$4003,"&gt;="&amp;账期起,出库单!$C$4:$C$4003,"&lt;="&amp;账期止))</f>
        <v/>
      </c>
      <c r="U432" s="26">
        <f>IF($A432="","",ROUND(SUMIFS(出库单!$S$4:$S$4003,出库单!$D$4:$D$4003,$A432,出库单!$K$4:$K$4003,"盘亏",出库单!$U$4:$U$4003,"正常",出库单!$C$4:$C$4003,"&gt;="&amp;账期起,出库单!$C$4:$C$4003,"&lt;="&amp;账期止),0))</f>
        <v/>
      </c>
      <c r="V432" s="27">
        <f>IF($A432="","",SUMIFS(出库单!$J$4:$J$4003,出库单!$D$4:$D$4003,$A432,出库单!$K$4:$K$4003,"退货给供应商",出库单!$U$4:$U$4003,"正常",出库单!$C$4:$C$4003,"&gt;="&amp;账期起,出库单!$C$4:$C$4003,"&lt;="&amp;账期止))</f>
        <v/>
      </c>
      <c r="W432" s="26">
        <f>IF($A432="","",ROUND(SUMIFS(出库单!$S$4:$S$4003,出库单!$D$4:$D$4003,$A432,出库单!$K$4:$K$4003,"退货给供应商",出库单!$U$4:$U$4003,"正常",出库单!$C$4:$C$4003,"&gt;="&amp;账期起,出库单!$C$4:$C$4003,"&lt;="&amp;账期止),0))</f>
        <v/>
      </c>
      <c r="X432" s="27">
        <f>IF($A432="","",ROUND(N($G432)+$I432+$L432+$N432-$P432-$R432-$T432-$V432,3))</f>
        <v/>
      </c>
      <c r="Y432" s="26">
        <f>IF($A432="","",ROUND(N($H432)+$J432+$M432+$O432-$Q432-$S432-$U432-$W432,0))</f>
        <v/>
      </c>
      <c r="Z432" s="24">
        <f>IF($A432="","",IF(COUNTIFS(入库单!$G$4:$G$2503,$A432,入库单!$Y$4:$Y$2503,"待补价")+COUNTIFS(入库单!$G$4:$G$2503,$A432,入库单!$Y$4:$Y$2503,"暂估")&gt;0,"不可信","可信"))</f>
        <v/>
      </c>
      <c r="AA432" s="24">
        <f>IF($A432="","",IF($X432&lt;-0.001,"※账面负库存，查一下是不是漏记入库",IF(AND(ROUND($X432,3)=0,ABS($Y432)&gt;1),"※数量已经是 0，金额还挂着 "&amp;TEXT($Y432,"#,##0")&amp;" 先令",IF(AND($X432&gt;0,$Y432&lt;=0,$K432=0),"※有数量没金额（这个物料一直没填过进价）",IF($Z432="不可信","△成本含待补价/暂估，毛利仅供参考","")))))</f>
        <v/>
      </c>
    </row>
    <row r="433">
      <c r="A433" s="24">
        <f>IF(物料档案!$A432="","",物料档案!$A432)</f>
        <v/>
      </c>
      <c r="B433" s="24">
        <f>IF($A433="","",IFERROR(VLOOKUP($A433,物料档案!$A$4:$P$1203,3,0),""))</f>
        <v/>
      </c>
      <c r="C433" s="24">
        <f>IF($A433="","",IFERROR(VLOOKUP($A433,物料档案!$A$4:$P$1203,4,0),""))</f>
        <v/>
      </c>
      <c r="D433" s="24">
        <f>IF($A433="","",IFERROR(VLOOKUP($A433,物料档案!$A$4:$P$1203,5,0),""))</f>
        <v/>
      </c>
      <c r="E433" s="24">
        <f>IF($A433="","",IFERROR(VLOOKUP($A433,物料档案!$A$4:$P$1203,2,0),""))</f>
        <v/>
      </c>
      <c r="F433" s="24">
        <f>IF($A433="","",IFERROR(VLOOKUP($A433,物料档案!$A$4:$P$1203,6,0),""))</f>
        <v/>
      </c>
      <c r="G433" s="23" t="n"/>
      <c r="H433" s="32" t="n"/>
      <c r="I433" s="27">
        <f>IF($A433="","",SUMIFS(入库单!$K$4:$K$2503,入库单!$G$4:$G$2503,$A433,入库单!$X$4:$X$2503,"采购入库",入库单!$Z$4:$Z$2503,"正常",入库单!$C$4:$C$2503,"&gt;="&amp;账期起,入库单!$C$4:$C$2503,"&lt;="&amp;账期止))</f>
        <v/>
      </c>
      <c r="J433" s="26">
        <f>IF($A433="","",SUMIFS(入库单!$V$4:$V$2503,入库单!$G$4:$G$2503,$A433,入库单!$X$4:$X$2503,"采购入库",入库单!$Z$4:$Z$2503,"正常",入库单!$C$4:$C$2503,"&gt;="&amp;账期起,入库单!$C$4:$C$2503,"&lt;="&amp;账期止))</f>
        <v/>
      </c>
      <c r="K433" s="26">
        <f>IF($A433="","",IFERROR(ROUND((N($H433)+N($J433))/(N($G433)+N($I433)),2),0))</f>
        <v/>
      </c>
      <c r="L433" s="27">
        <f>IF($A433="","",SUMIFS(入库单!$K$4:$K$2503,入库单!$G$4:$G$2503,$A433,入库单!$X$4:$X$2503,"盘盈",入库单!$Z$4:$Z$2503,"正常",入库单!$C$4:$C$2503,"&gt;="&amp;账期起,入库单!$C$4:$C$2503,"&lt;="&amp;账期止))</f>
        <v/>
      </c>
      <c r="M433" s="26">
        <f>IF($A433="","",ROUND($L433*$K433,0))</f>
        <v/>
      </c>
      <c r="N433" s="27">
        <f>IF($A433="","",SUMIFS(入库单!$K$4:$K$2503,入库单!$G$4:$G$2503,$A433,入库单!$X$4:$X$2503,"矿区退库",入库单!$Z$4:$Z$2503,"正常",入库单!$C$4:$C$2503,"&gt;="&amp;账期起,入库单!$C$4:$C$2503,"&lt;="&amp;账期止))</f>
        <v/>
      </c>
      <c r="O433" s="26">
        <f>IF($A433="","",ROUND($N433*$K433,0))</f>
        <v/>
      </c>
      <c r="P433" s="27">
        <f>IF($A433="","",SUMIFS(出库单!$J$4:$J$4003,出库单!$D$4:$D$4003,$A433,出库单!$K$4:$K$4003,"自用消耗",出库单!$U$4:$U$4003,"正常",出库单!$C$4:$C$4003,"&gt;="&amp;账期起,出库单!$C$4:$C$4003,"&lt;="&amp;账期止))</f>
        <v/>
      </c>
      <c r="Q433" s="26">
        <f>IF($A433="","",ROUND(SUMIFS(出库单!$S$4:$S$4003,出库单!$D$4:$D$4003,$A433,出库单!$K$4:$K$4003,"自用消耗",出库单!$U$4:$U$4003,"正常",出库单!$C$4:$C$4003,"&gt;="&amp;账期起,出库单!$C$4:$C$4003,"&lt;="&amp;账期止),0))</f>
        <v/>
      </c>
      <c r="R433" s="27">
        <f>IF($A433="","",SUMIFS(出库单!$J$4:$J$4003,出库单!$D$4:$D$4003,$A433,出库单!$K$4:$K$4003,"对外销售",出库单!$U$4:$U$4003,"正常",出库单!$C$4:$C$4003,"&gt;="&amp;账期起,出库单!$C$4:$C$4003,"&lt;="&amp;账期止))</f>
        <v/>
      </c>
      <c r="S433" s="26">
        <f>IF($A433="","",ROUND(SUMIFS(出库单!$S$4:$S$4003,出库单!$D$4:$D$4003,$A433,出库单!$K$4:$K$4003,"对外销售",出库单!$U$4:$U$4003,"正常",出库单!$C$4:$C$4003,"&gt;="&amp;账期起,出库单!$C$4:$C$4003,"&lt;="&amp;账期止),0))</f>
        <v/>
      </c>
      <c r="T433" s="27">
        <f>IF($A433="","",SUMIFS(出库单!$J$4:$J$4003,出库单!$D$4:$D$4003,$A433,出库单!$K$4:$K$4003,"盘亏",出库单!$U$4:$U$4003,"正常",出库单!$C$4:$C$4003,"&gt;="&amp;账期起,出库单!$C$4:$C$4003,"&lt;="&amp;账期止))</f>
        <v/>
      </c>
      <c r="U433" s="26">
        <f>IF($A433="","",ROUND(SUMIFS(出库单!$S$4:$S$4003,出库单!$D$4:$D$4003,$A433,出库单!$K$4:$K$4003,"盘亏",出库单!$U$4:$U$4003,"正常",出库单!$C$4:$C$4003,"&gt;="&amp;账期起,出库单!$C$4:$C$4003,"&lt;="&amp;账期止),0))</f>
        <v/>
      </c>
      <c r="V433" s="27">
        <f>IF($A433="","",SUMIFS(出库单!$J$4:$J$4003,出库单!$D$4:$D$4003,$A433,出库单!$K$4:$K$4003,"退货给供应商",出库单!$U$4:$U$4003,"正常",出库单!$C$4:$C$4003,"&gt;="&amp;账期起,出库单!$C$4:$C$4003,"&lt;="&amp;账期止))</f>
        <v/>
      </c>
      <c r="W433" s="26">
        <f>IF($A433="","",ROUND(SUMIFS(出库单!$S$4:$S$4003,出库单!$D$4:$D$4003,$A433,出库单!$K$4:$K$4003,"退货给供应商",出库单!$U$4:$U$4003,"正常",出库单!$C$4:$C$4003,"&gt;="&amp;账期起,出库单!$C$4:$C$4003,"&lt;="&amp;账期止),0))</f>
        <v/>
      </c>
      <c r="X433" s="27">
        <f>IF($A433="","",ROUND(N($G433)+$I433+$L433+$N433-$P433-$R433-$T433-$V433,3))</f>
        <v/>
      </c>
      <c r="Y433" s="26">
        <f>IF($A433="","",ROUND(N($H433)+$J433+$M433+$O433-$Q433-$S433-$U433-$W433,0))</f>
        <v/>
      </c>
      <c r="Z433" s="24">
        <f>IF($A433="","",IF(COUNTIFS(入库单!$G$4:$G$2503,$A433,入库单!$Y$4:$Y$2503,"待补价")+COUNTIFS(入库单!$G$4:$G$2503,$A433,入库单!$Y$4:$Y$2503,"暂估")&gt;0,"不可信","可信"))</f>
        <v/>
      </c>
      <c r="AA433" s="24">
        <f>IF($A433="","",IF($X433&lt;-0.001,"※账面负库存，查一下是不是漏记入库",IF(AND(ROUND($X433,3)=0,ABS($Y433)&gt;1),"※数量已经是 0，金额还挂着 "&amp;TEXT($Y433,"#,##0")&amp;" 先令",IF(AND($X433&gt;0,$Y433&lt;=0,$K433=0),"※有数量没金额（这个物料一直没填过进价）",IF($Z433="不可信","△成本含待补价/暂估，毛利仅供参考","")))))</f>
        <v/>
      </c>
    </row>
    <row r="434">
      <c r="A434" s="24">
        <f>IF(物料档案!$A433="","",物料档案!$A433)</f>
        <v/>
      </c>
      <c r="B434" s="24">
        <f>IF($A434="","",IFERROR(VLOOKUP($A434,物料档案!$A$4:$P$1203,3,0),""))</f>
        <v/>
      </c>
      <c r="C434" s="24">
        <f>IF($A434="","",IFERROR(VLOOKUP($A434,物料档案!$A$4:$P$1203,4,0),""))</f>
        <v/>
      </c>
      <c r="D434" s="24">
        <f>IF($A434="","",IFERROR(VLOOKUP($A434,物料档案!$A$4:$P$1203,5,0),""))</f>
        <v/>
      </c>
      <c r="E434" s="24">
        <f>IF($A434="","",IFERROR(VLOOKUP($A434,物料档案!$A$4:$P$1203,2,0),""))</f>
        <v/>
      </c>
      <c r="F434" s="24">
        <f>IF($A434="","",IFERROR(VLOOKUP($A434,物料档案!$A$4:$P$1203,6,0),""))</f>
        <v/>
      </c>
      <c r="G434" s="23" t="n"/>
      <c r="H434" s="32" t="n"/>
      <c r="I434" s="27">
        <f>IF($A434="","",SUMIFS(入库单!$K$4:$K$2503,入库单!$G$4:$G$2503,$A434,入库单!$X$4:$X$2503,"采购入库",入库单!$Z$4:$Z$2503,"正常",入库单!$C$4:$C$2503,"&gt;="&amp;账期起,入库单!$C$4:$C$2503,"&lt;="&amp;账期止))</f>
        <v/>
      </c>
      <c r="J434" s="26">
        <f>IF($A434="","",SUMIFS(入库单!$V$4:$V$2503,入库单!$G$4:$G$2503,$A434,入库单!$X$4:$X$2503,"采购入库",入库单!$Z$4:$Z$2503,"正常",入库单!$C$4:$C$2503,"&gt;="&amp;账期起,入库单!$C$4:$C$2503,"&lt;="&amp;账期止))</f>
        <v/>
      </c>
      <c r="K434" s="26">
        <f>IF($A434="","",IFERROR(ROUND((N($H434)+N($J434))/(N($G434)+N($I434)),2),0))</f>
        <v/>
      </c>
      <c r="L434" s="27">
        <f>IF($A434="","",SUMIFS(入库单!$K$4:$K$2503,入库单!$G$4:$G$2503,$A434,入库单!$X$4:$X$2503,"盘盈",入库单!$Z$4:$Z$2503,"正常",入库单!$C$4:$C$2503,"&gt;="&amp;账期起,入库单!$C$4:$C$2503,"&lt;="&amp;账期止))</f>
        <v/>
      </c>
      <c r="M434" s="26">
        <f>IF($A434="","",ROUND($L434*$K434,0))</f>
        <v/>
      </c>
      <c r="N434" s="27">
        <f>IF($A434="","",SUMIFS(入库单!$K$4:$K$2503,入库单!$G$4:$G$2503,$A434,入库单!$X$4:$X$2503,"矿区退库",入库单!$Z$4:$Z$2503,"正常",入库单!$C$4:$C$2503,"&gt;="&amp;账期起,入库单!$C$4:$C$2503,"&lt;="&amp;账期止))</f>
        <v/>
      </c>
      <c r="O434" s="26">
        <f>IF($A434="","",ROUND($N434*$K434,0))</f>
        <v/>
      </c>
      <c r="P434" s="27">
        <f>IF($A434="","",SUMIFS(出库单!$J$4:$J$4003,出库单!$D$4:$D$4003,$A434,出库单!$K$4:$K$4003,"自用消耗",出库单!$U$4:$U$4003,"正常",出库单!$C$4:$C$4003,"&gt;="&amp;账期起,出库单!$C$4:$C$4003,"&lt;="&amp;账期止))</f>
        <v/>
      </c>
      <c r="Q434" s="26">
        <f>IF($A434="","",ROUND(SUMIFS(出库单!$S$4:$S$4003,出库单!$D$4:$D$4003,$A434,出库单!$K$4:$K$4003,"自用消耗",出库单!$U$4:$U$4003,"正常",出库单!$C$4:$C$4003,"&gt;="&amp;账期起,出库单!$C$4:$C$4003,"&lt;="&amp;账期止),0))</f>
        <v/>
      </c>
      <c r="R434" s="27">
        <f>IF($A434="","",SUMIFS(出库单!$J$4:$J$4003,出库单!$D$4:$D$4003,$A434,出库单!$K$4:$K$4003,"对外销售",出库单!$U$4:$U$4003,"正常",出库单!$C$4:$C$4003,"&gt;="&amp;账期起,出库单!$C$4:$C$4003,"&lt;="&amp;账期止))</f>
        <v/>
      </c>
      <c r="S434" s="26">
        <f>IF($A434="","",ROUND(SUMIFS(出库单!$S$4:$S$4003,出库单!$D$4:$D$4003,$A434,出库单!$K$4:$K$4003,"对外销售",出库单!$U$4:$U$4003,"正常",出库单!$C$4:$C$4003,"&gt;="&amp;账期起,出库单!$C$4:$C$4003,"&lt;="&amp;账期止),0))</f>
        <v/>
      </c>
      <c r="T434" s="27">
        <f>IF($A434="","",SUMIFS(出库单!$J$4:$J$4003,出库单!$D$4:$D$4003,$A434,出库单!$K$4:$K$4003,"盘亏",出库单!$U$4:$U$4003,"正常",出库单!$C$4:$C$4003,"&gt;="&amp;账期起,出库单!$C$4:$C$4003,"&lt;="&amp;账期止))</f>
        <v/>
      </c>
      <c r="U434" s="26">
        <f>IF($A434="","",ROUND(SUMIFS(出库单!$S$4:$S$4003,出库单!$D$4:$D$4003,$A434,出库单!$K$4:$K$4003,"盘亏",出库单!$U$4:$U$4003,"正常",出库单!$C$4:$C$4003,"&gt;="&amp;账期起,出库单!$C$4:$C$4003,"&lt;="&amp;账期止),0))</f>
        <v/>
      </c>
      <c r="V434" s="27">
        <f>IF($A434="","",SUMIFS(出库单!$J$4:$J$4003,出库单!$D$4:$D$4003,$A434,出库单!$K$4:$K$4003,"退货给供应商",出库单!$U$4:$U$4003,"正常",出库单!$C$4:$C$4003,"&gt;="&amp;账期起,出库单!$C$4:$C$4003,"&lt;="&amp;账期止))</f>
        <v/>
      </c>
      <c r="W434" s="26">
        <f>IF($A434="","",ROUND(SUMIFS(出库单!$S$4:$S$4003,出库单!$D$4:$D$4003,$A434,出库单!$K$4:$K$4003,"退货给供应商",出库单!$U$4:$U$4003,"正常",出库单!$C$4:$C$4003,"&gt;="&amp;账期起,出库单!$C$4:$C$4003,"&lt;="&amp;账期止),0))</f>
        <v/>
      </c>
      <c r="X434" s="27">
        <f>IF($A434="","",ROUND(N($G434)+$I434+$L434+$N434-$P434-$R434-$T434-$V434,3))</f>
        <v/>
      </c>
      <c r="Y434" s="26">
        <f>IF($A434="","",ROUND(N($H434)+$J434+$M434+$O434-$Q434-$S434-$U434-$W434,0))</f>
        <v/>
      </c>
      <c r="Z434" s="24">
        <f>IF($A434="","",IF(COUNTIFS(入库单!$G$4:$G$2503,$A434,入库单!$Y$4:$Y$2503,"待补价")+COUNTIFS(入库单!$G$4:$G$2503,$A434,入库单!$Y$4:$Y$2503,"暂估")&gt;0,"不可信","可信"))</f>
        <v/>
      </c>
      <c r="AA434" s="24">
        <f>IF($A434="","",IF($X434&lt;-0.001,"※账面负库存，查一下是不是漏记入库",IF(AND(ROUND($X434,3)=0,ABS($Y434)&gt;1),"※数量已经是 0，金额还挂着 "&amp;TEXT($Y434,"#,##0")&amp;" 先令",IF(AND($X434&gt;0,$Y434&lt;=0,$K434=0),"※有数量没金额（这个物料一直没填过进价）",IF($Z434="不可信","△成本含待补价/暂估，毛利仅供参考","")))))</f>
        <v/>
      </c>
    </row>
    <row r="435">
      <c r="A435" s="24">
        <f>IF(物料档案!$A434="","",物料档案!$A434)</f>
        <v/>
      </c>
      <c r="B435" s="24">
        <f>IF($A435="","",IFERROR(VLOOKUP($A435,物料档案!$A$4:$P$1203,3,0),""))</f>
        <v/>
      </c>
      <c r="C435" s="24">
        <f>IF($A435="","",IFERROR(VLOOKUP($A435,物料档案!$A$4:$P$1203,4,0),""))</f>
        <v/>
      </c>
      <c r="D435" s="24">
        <f>IF($A435="","",IFERROR(VLOOKUP($A435,物料档案!$A$4:$P$1203,5,0),""))</f>
        <v/>
      </c>
      <c r="E435" s="24">
        <f>IF($A435="","",IFERROR(VLOOKUP($A435,物料档案!$A$4:$P$1203,2,0),""))</f>
        <v/>
      </c>
      <c r="F435" s="24">
        <f>IF($A435="","",IFERROR(VLOOKUP($A435,物料档案!$A$4:$P$1203,6,0),""))</f>
        <v/>
      </c>
      <c r="G435" s="23" t="n"/>
      <c r="H435" s="32" t="n"/>
      <c r="I435" s="27">
        <f>IF($A435="","",SUMIFS(入库单!$K$4:$K$2503,入库单!$G$4:$G$2503,$A435,入库单!$X$4:$X$2503,"采购入库",入库单!$Z$4:$Z$2503,"正常",入库单!$C$4:$C$2503,"&gt;="&amp;账期起,入库单!$C$4:$C$2503,"&lt;="&amp;账期止))</f>
        <v/>
      </c>
      <c r="J435" s="26">
        <f>IF($A435="","",SUMIFS(入库单!$V$4:$V$2503,入库单!$G$4:$G$2503,$A435,入库单!$X$4:$X$2503,"采购入库",入库单!$Z$4:$Z$2503,"正常",入库单!$C$4:$C$2503,"&gt;="&amp;账期起,入库单!$C$4:$C$2503,"&lt;="&amp;账期止))</f>
        <v/>
      </c>
      <c r="K435" s="26">
        <f>IF($A435="","",IFERROR(ROUND((N($H435)+N($J435))/(N($G435)+N($I435)),2),0))</f>
        <v/>
      </c>
      <c r="L435" s="27">
        <f>IF($A435="","",SUMIFS(入库单!$K$4:$K$2503,入库单!$G$4:$G$2503,$A435,入库单!$X$4:$X$2503,"盘盈",入库单!$Z$4:$Z$2503,"正常",入库单!$C$4:$C$2503,"&gt;="&amp;账期起,入库单!$C$4:$C$2503,"&lt;="&amp;账期止))</f>
        <v/>
      </c>
      <c r="M435" s="26">
        <f>IF($A435="","",ROUND($L435*$K435,0))</f>
        <v/>
      </c>
      <c r="N435" s="27">
        <f>IF($A435="","",SUMIFS(入库单!$K$4:$K$2503,入库单!$G$4:$G$2503,$A435,入库单!$X$4:$X$2503,"矿区退库",入库单!$Z$4:$Z$2503,"正常",入库单!$C$4:$C$2503,"&gt;="&amp;账期起,入库单!$C$4:$C$2503,"&lt;="&amp;账期止))</f>
        <v/>
      </c>
      <c r="O435" s="26">
        <f>IF($A435="","",ROUND($N435*$K435,0))</f>
        <v/>
      </c>
      <c r="P435" s="27">
        <f>IF($A435="","",SUMIFS(出库单!$J$4:$J$4003,出库单!$D$4:$D$4003,$A435,出库单!$K$4:$K$4003,"自用消耗",出库单!$U$4:$U$4003,"正常",出库单!$C$4:$C$4003,"&gt;="&amp;账期起,出库单!$C$4:$C$4003,"&lt;="&amp;账期止))</f>
        <v/>
      </c>
      <c r="Q435" s="26">
        <f>IF($A435="","",ROUND(SUMIFS(出库单!$S$4:$S$4003,出库单!$D$4:$D$4003,$A435,出库单!$K$4:$K$4003,"自用消耗",出库单!$U$4:$U$4003,"正常",出库单!$C$4:$C$4003,"&gt;="&amp;账期起,出库单!$C$4:$C$4003,"&lt;="&amp;账期止),0))</f>
        <v/>
      </c>
      <c r="R435" s="27">
        <f>IF($A435="","",SUMIFS(出库单!$J$4:$J$4003,出库单!$D$4:$D$4003,$A435,出库单!$K$4:$K$4003,"对外销售",出库单!$U$4:$U$4003,"正常",出库单!$C$4:$C$4003,"&gt;="&amp;账期起,出库单!$C$4:$C$4003,"&lt;="&amp;账期止))</f>
        <v/>
      </c>
      <c r="S435" s="26">
        <f>IF($A435="","",ROUND(SUMIFS(出库单!$S$4:$S$4003,出库单!$D$4:$D$4003,$A435,出库单!$K$4:$K$4003,"对外销售",出库单!$U$4:$U$4003,"正常",出库单!$C$4:$C$4003,"&gt;="&amp;账期起,出库单!$C$4:$C$4003,"&lt;="&amp;账期止),0))</f>
        <v/>
      </c>
      <c r="T435" s="27">
        <f>IF($A435="","",SUMIFS(出库单!$J$4:$J$4003,出库单!$D$4:$D$4003,$A435,出库单!$K$4:$K$4003,"盘亏",出库单!$U$4:$U$4003,"正常",出库单!$C$4:$C$4003,"&gt;="&amp;账期起,出库单!$C$4:$C$4003,"&lt;="&amp;账期止))</f>
        <v/>
      </c>
      <c r="U435" s="26">
        <f>IF($A435="","",ROUND(SUMIFS(出库单!$S$4:$S$4003,出库单!$D$4:$D$4003,$A435,出库单!$K$4:$K$4003,"盘亏",出库单!$U$4:$U$4003,"正常",出库单!$C$4:$C$4003,"&gt;="&amp;账期起,出库单!$C$4:$C$4003,"&lt;="&amp;账期止),0))</f>
        <v/>
      </c>
      <c r="V435" s="27">
        <f>IF($A435="","",SUMIFS(出库单!$J$4:$J$4003,出库单!$D$4:$D$4003,$A435,出库单!$K$4:$K$4003,"退货给供应商",出库单!$U$4:$U$4003,"正常",出库单!$C$4:$C$4003,"&gt;="&amp;账期起,出库单!$C$4:$C$4003,"&lt;="&amp;账期止))</f>
        <v/>
      </c>
      <c r="W435" s="26">
        <f>IF($A435="","",ROUND(SUMIFS(出库单!$S$4:$S$4003,出库单!$D$4:$D$4003,$A435,出库单!$K$4:$K$4003,"退货给供应商",出库单!$U$4:$U$4003,"正常",出库单!$C$4:$C$4003,"&gt;="&amp;账期起,出库单!$C$4:$C$4003,"&lt;="&amp;账期止),0))</f>
        <v/>
      </c>
      <c r="X435" s="27">
        <f>IF($A435="","",ROUND(N($G435)+$I435+$L435+$N435-$P435-$R435-$T435-$V435,3))</f>
        <v/>
      </c>
      <c r="Y435" s="26">
        <f>IF($A435="","",ROUND(N($H435)+$J435+$M435+$O435-$Q435-$S435-$U435-$W435,0))</f>
        <v/>
      </c>
      <c r="Z435" s="24">
        <f>IF($A435="","",IF(COUNTIFS(入库单!$G$4:$G$2503,$A435,入库单!$Y$4:$Y$2503,"待补价")+COUNTIFS(入库单!$G$4:$G$2503,$A435,入库单!$Y$4:$Y$2503,"暂估")&gt;0,"不可信","可信"))</f>
        <v/>
      </c>
      <c r="AA435" s="24">
        <f>IF($A435="","",IF($X435&lt;-0.001,"※账面负库存，查一下是不是漏记入库",IF(AND(ROUND($X435,3)=0,ABS($Y435)&gt;1),"※数量已经是 0，金额还挂着 "&amp;TEXT($Y435,"#,##0")&amp;" 先令",IF(AND($X435&gt;0,$Y435&lt;=0,$K435=0),"※有数量没金额（这个物料一直没填过进价）",IF($Z435="不可信","△成本含待补价/暂估，毛利仅供参考","")))))</f>
        <v/>
      </c>
    </row>
    <row r="436">
      <c r="A436" s="24">
        <f>IF(物料档案!$A435="","",物料档案!$A435)</f>
        <v/>
      </c>
      <c r="B436" s="24">
        <f>IF($A436="","",IFERROR(VLOOKUP($A436,物料档案!$A$4:$P$1203,3,0),""))</f>
        <v/>
      </c>
      <c r="C436" s="24">
        <f>IF($A436="","",IFERROR(VLOOKUP($A436,物料档案!$A$4:$P$1203,4,0),""))</f>
        <v/>
      </c>
      <c r="D436" s="24">
        <f>IF($A436="","",IFERROR(VLOOKUP($A436,物料档案!$A$4:$P$1203,5,0),""))</f>
        <v/>
      </c>
      <c r="E436" s="24">
        <f>IF($A436="","",IFERROR(VLOOKUP($A436,物料档案!$A$4:$P$1203,2,0),""))</f>
        <v/>
      </c>
      <c r="F436" s="24">
        <f>IF($A436="","",IFERROR(VLOOKUP($A436,物料档案!$A$4:$P$1203,6,0),""))</f>
        <v/>
      </c>
      <c r="G436" s="23" t="n"/>
      <c r="H436" s="32" t="n"/>
      <c r="I436" s="27">
        <f>IF($A436="","",SUMIFS(入库单!$K$4:$K$2503,入库单!$G$4:$G$2503,$A436,入库单!$X$4:$X$2503,"采购入库",入库单!$Z$4:$Z$2503,"正常",入库单!$C$4:$C$2503,"&gt;="&amp;账期起,入库单!$C$4:$C$2503,"&lt;="&amp;账期止))</f>
        <v/>
      </c>
      <c r="J436" s="26">
        <f>IF($A436="","",SUMIFS(入库单!$V$4:$V$2503,入库单!$G$4:$G$2503,$A436,入库单!$X$4:$X$2503,"采购入库",入库单!$Z$4:$Z$2503,"正常",入库单!$C$4:$C$2503,"&gt;="&amp;账期起,入库单!$C$4:$C$2503,"&lt;="&amp;账期止))</f>
        <v/>
      </c>
      <c r="K436" s="26">
        <f>IF($A436="","",IFERROR(ROUND((N($H436)+N($J436))/(N($G436)+N($I436)),2),0))</f>
        <v/>
      </c>
      <c r="L436" s="27">
        <f>IF($A436="","",SUMIFS(入库单!$K$4:$K$2503,入库单!$G$4:$G$2503,$A436,入库单!$X$4:$X$2503,"盘盈",入库单!$Z$4:$Z$2503,"正常",入库单!$C$4:$C$2503,"&gt;="&amp;账期起,入库单!$C$4:$C$2503,"&lt;="&amp;账期止))</f>
        <v/>
      </c>
      <c r="M436" s="26">
        <f>IF($A436="","",ROUND($L436*$K436,0))</f>
        <v/>
      </c>
      <c r="N436" s="27">
        <f>IF($A436="","",SUMIFS(入库单!$K$4:$K$2503,入库单!$G$4:$G$2503,$A436,入库单!$X$4:$X$2503,"矿区退库",入库单!$Z$4:$Z$2503,"正常",入库单!$C$4:$C$2503,"&gt;="&amp;账期起,入库单!$C$4:$C$2503,"&lt;="&amp;账期止))</f>
        <v/>
      </c>
      <c r="O436" s="26">
        <f>IF($A436="","",ROUND($N436*$K436,0))</f>
        <v/>
      </c>
      <c r="P436" s="27">
        <f>IF($A436="","",SUMIFS(出库单!$J$4:$J$4003,出库单!$D$4:$D$4003,$A436,出库单!$K$4:$K$4003,"自用消耗",出库单!$U$4:$U$4003,"正常",出库单!$C$4:$C$4003,"&gt;="&amp;账期起,出库单!$C$4:$C$4003,"&lt;="&amp;账期止))</f>
        <v/>
      </c>
      <c r="Q436" s="26">
        <f>IF($A436="","",ROUND(SUMIFS(出库单!$S$4:$S$4003,出库单!$D$4:$D$4003,$A436,出库单!$K$4:$K$4003,"自用消耗",出库单!$U$4:$U$4003,"正常",出库单!$C$4:$C$4003,"&gt;="&amp;账期起,出库单!$C$4:$C$4003,"&lt;="&amp;账期止),0))</f>
        <v/>
      </c>
      <c r="R436" s="27">
        <f>IF($A436="","",SUMIFS(出库单!$J$4:$J$4003,出库单!$D$4:$D$4003,$A436,出库单!$K$4:$K$4003,"对外销售",出库单!$U$4:$U$4003,"正常",出库单!$C$4:$C$4003,"&gt;="&amp;账期起,出库单!$C$4:$C$4003,"&lt;="&amp;账期止))</f>
        <v/>
      </c>
      <c r="S436" s="26">
        <f>IF($A436="","",ROUND(SUMIFS(出库单!$S$4:$S$4003,出库单!$D$4:$D$4003,$A436,出库单!$K$4:$K$4003,"对外销售",出库单!$U$4:$U$4003,"正常",出库单!$C$4:$C$4003,"&gt;="&amp;账期起,出库单!$C$4:$C$4003,"&lt;="&amp;账期止),0))</f>
        <v/>
      </c>
      <c r="T436" s="27">
        <f>IF($A436="","",SUMIFS(出库单!$J$4:$J$4003,出库单!$D$4:$D$4003,$A436,出库单!$K$4:$K$4003,"盘亏",出库单!$U$4:$U$4003,"正常",出库单!$C$4:$C$4003,"&gt;="&amp;账期起,出库单!$C$4:$C$4003,"&lt;="&amp;账期止))</f>
        <v/>
      </c>
      <c r="U436" s="26">
        <f>IF($A436="","",ROUND(SUMIFS(出库单!$S$4:$S$4003,出库单!$D$4:$D$4003,$A436,出库单!$K$4:$K$4003,"盘亏",出库单!$U$4:$U$4003,"正常",出库单!$C$4:$C$4003,"&gt;="&amp;账期起,出库单!$C$4:$C$4003,"&lt;="&amp;账期止),0))</f>
        <v/>
      </c>
      <c r="V436" s="27">
        <f>IF($A436="","",SUMIFS(出库单!$J$4:$J$4003,出库单!$D$4:$D$4003,$A436,出库单!$K$4:$K$4003,"退货给供应商",出库单!$U$4:$U$4003,"正常",出库单!$C$4:$C$4003,"&gt;="&amp;账期起,出库单!$C$4:$C$4003,"&lt;="&amp;账期止))</f>
        <v/>
      </c>
      <c r="W436" s="26">
        <f>IF($A436="","",ROUND(SUMIFS(出库单!$S$4:$S$4003,出库单!$D$4:$D$4003,$A436,出库单!$K$4:$K$4003,"退货给供应商",出库单!$U$4:$U$4003,"正常",出库单!$C$4:$C$4003,"&gt;="&amp;账期起,出库单!$C$4:$C$4003,"&lt;="&amp;账期止),0))</f>
        <v/>
      </c>
      <c r="X436" s="27">
        <f>IF($A436="","",ROUND(N($G436)+$I436+$L436+$N436-$P436-$R436-$T436-$V436,3))</f>
        <v/>
      </c>
      <c r="Y436" s="26">
        <f>IF($A436="","",ROUND(N($H436)+$J436+$M436+$O436-$Q436-$S436-$U436-$W436,0))</f>
        <v/>
      </c>
      <c r="Z436" s="24">
        <f>IF($A436="","",IF(COUNTIFS(入库单!$G$4:$G$2503,$A436,入库单!$Y$4:$Y$2503,"待补价")+COUNTIFS(入库单!$G$4:$G$2503,$A436,入库单!$Y$4:$Y$2503,"暂估")&gt;0,"不可信","可信"))</f>
        <v/>
      </c>
      <c r="AA436" s="24">
        <f>IF($A436="","",IF($X436&lt;-0.001,"※账面负库存，查一下是不是漏记入库",IF(AND(ROUND($X436,3)=0,ABS($Y436)&gt;1),"※数量已经是 0，金额还挂着 "&amp;TEXT($Y436,"#,##0")&amp;" 先令",IF(AND($X436&gt;0,$Y436&lt;=0,$K436=0),"※有数量没金额（这个物料一直没填过进价）",IF($Z436="不可信","△成本含待补价/暂估，毛利仅供参考","")))))</f>
        <v/>
      </c>
    </row>
    <row r="437">
      <c r="A437" s="24">
        <f>IF(物料档案!$A436="","",物料档案!$A436)</f>
        <v/>
      </c>
      <c r="B437" s="24">
        <f>IF($A437="","",IFERROR(VLOOKUP($A437,物料档案!$A$4:$P$1203,3,0),""))</f>
        <v/>
      </c>
      <c r="C437" s="24">
        <f>IF($A437="","",IFERROR(VLOOKUP($A437,物料档案!$A$4:$P$1203,4,0),""))</f>
        <v/>
      </c>
      <c r="D437" s="24">
        <f>IF($A437="","",IFERROR(VLOOKUP($A437,物料档案!$A$4:$P$1203,5,0),""))</f>
        <v/>
      </c>
      <c r="E437" s="24">
        <f>IF($A437="","",IFERROR(VLOOKUP($A437,物料档案!$A$4:$P$1203,2,0),""))</f>
        <v/>
      </c>
      <c r="F437" s="24">
        <f>IF($A437="","",IFERROR(VLOOKUP($A437,物料档案!$A$4:$P$1203,6,0),""))</f>
        <v/>
      </c>
      <c r="G437" s="23" t="n"/>
      <c r="H437" s="32" t="n"/>
      <c r="I437" s="27">
        <f>IF($A437="","",SUMIFS(入库单!$K$4:$K$2503,入库单!$G$4:$G$2503,$A437,入库单!$X$4:$X$2503,"采购入库",入库单!$Z$4:$Z$2503,"正常",入库单!$C$4:$C$2503,"&gt;="&amp;账期起,入库单!$C$4:$C$2503,"&lt;="&amp;账期止))</f>
        <v/>
      </c>
      <c r="J437" s="26">
        <f>IF($A437="","",SUMIFS(入库单!$V$4:$V$2503,入库单!$G$4:$G$2503,$A437,入库单!$X$4:$X$2503,"采购入库",入库单!$Z$4:$Z$2503,"正常",入库单!$C$4:$C$2503,"&gt;="&amp;账期起,入库单!$C$4:$C$2503,"&lt;="&amp;账期止))</f>
        <v/>
      </c>
      <c r="K437" s="26">
        <f>IF($A437="","",IFERROR(ROUND((N($H437)+N($J437))/(N($G437)+N($I437)),2),0))</f>
        <v/>
      </c>
      <c r="L437" s="27">
        <f>IF($A437="","",SUMIFS(入库单!$K$4:$K$2503,入库单!$G$4:$G$2503,$A437,入库单!$X$4:$X$2503,"盘盈",入库单!$Z$4:$Z$2503,"正常",入库单!$C$4:$C$2503,"&gt;="&amp;账期起,入库单!$C$4:$C$2503,"&lt;="&amp;账期止))</f>
        <v/>
      </c>
      <c r="M437" s="26">
        <f>IF($A437="","",ROUND($L437*$K437,0))</f>
        <v/>
      </c>
      <c r="N437" s="27">
        <f>IF($A437="","",SUMIFS(入库单!$K$4:$K$2503,入库单!$G$4:$G$2503,$A437,入库单!$X$4:$X$2503,"矿区退库",入库单!$Z$4:$Z$2503,"正常",入库单!$C$4:$C$2503,"&gt;="&amp;账期起,入库单!$C$4:$C$2503,"&lt;="&amp;账期止))</f>
        <v/>
      </c>
      <c r="O437" s="26">
        <f>IF($A437="","",ROUND($N437*$K437,0))</f>
        <v/>
      </c>
      <c r="P437" s="27">
        <f>IF($A437="","",SUMIFS(出库单!$J$4:$J$4003,出库单!$D$4:$D$4003,$A437,出库单!$K$4:$K$4003,"自用消耗",出库单!$U$4:$U$4003,"正常",出库单!$C$4:$C$4003,"&gt;="&amp;账期起,出库单!$C$4:$C$4003,"&lt;="&amp;账期止))</f>
        <v/>
      </c>
      <c r="Q437" s="26">
        <f>IF($A437="","",ROUND(SUMIFS(出库单!$S$4:$S$4003,出库单!$D$4:$D$4003,$A437,出库单!$K$4:$K$4003,"自用消耗",出库单!$U$4:$U$4003,"正常",出库单!$C$4:$C$4003,"&gt;="&amp;账期起,出库单!$C$4:$C$4003,"&lt;="&amp;账期止),0))</f>
        <v/>
      </c>
      <c r="R437" s="27">
        <f>IF($A437="","",SUMIFS(出库单!$J$4:$J$4003,出库单!$D$4:$D$4003,$A437,出库单!$K$4:$K$4003,"对外销售",出库单!$U$4:$U$4003,"正常",出库单!$C$4:$C$4003,"&gt;="&amp;账期起,出库单!$C$4:$C$4003,"&lt;="&amp;账期止))</f>
        <v/>
      </c>
      <c r="S437" s="26">
        <f>IF($A437="","",ROUND(SUMIFS(出库单!$S$4:$S$4003,出库单!$D$4:$D$4003,$A437,出库单!$K$4:$K$4003,"对外销售",出库单!$U$4:$U$4003,"正常",出库单!$C$4:$C$4003,"&gt;="&amp;账期起,出库单!$C$4:$C$4003,"&lt;="&amp;账期止),0))</f>
        <v/>
      </c>
      <c r="T437" s="27">
        <f>IF($A437="","",SUMIFS(出库单!$J$4:$J$4003,出库单!$D$4:$D$4003,$A437,出库单!$K$4:$K$4003,"盘亏",出库单!$U$4:$U$4003,"正常",出库单!$C$4:$C$4003,"&gt;="&amp;账期起,出库单!$C$4:$C$4003,"&lt;="&amp;账期止))</f>
        <v/>
      </c>
      <c r="U437" s="26">
        <f>IF($A437="","",ROUND(SUMIFS(出库单!$S$4:$S$4003,出库单!$D$4:$D$4003,$A437,出库单!$K$4:$K$4003,"盘亏",出库单!$U$4:$U$4003,"正常",出库单!$C$4:$C$4003,"&gt;="&amp;账期起,出库单!$C$4:$C$4003,"&lt;="&amp;账期止),0))</f>
        <v/>
      </c>
      <c r="V437" s="27">
        <f>IF($A437="","",SUMIFS(出库单!$J$4:$J$4003,出库单!$D$4:$D$4003,$A437,出库单!$K$4:$K$4003,"退货给供应商",出库单!$U$4:$U$4003,"正常",出库单!$C$4:$C$4003,"&gt;="&amp;账期起,出库单!$C$4:$C$4003,"&lt;="&amp;账期止))</f>
        <v/>
      </c>
      <c r="W437" s="26">
        <f>IF($A437="","",ROUND(SUMIFS(出库单!$S$4:$S$4003,出库单!$D$4:$D$4003,$A437,出库单!$K$4:$K$4003,"退货给供应商",出库单!$U$4:$U$4003,"正常",出库单!$C$4:$C$4003,"&gt;="&amp;账期起,出库单!$C$4:$C$4003,"&lt;="&amp;账期止),0))</f>
        <v/>
      </c>
      <c r="X437" s="27">
        <f>IF($A437="","",ROUND(N($G437)+$I437+$L437+$N437-$P437-$R437-$T437-$V437,3))</f>
        <v/>
      </c>
      <c r="Y437" s="26">
        <f>IF($A437="","",ROUND(N($H437)+$J437+$M437+$O437-$Q437-$S437-$U437-$W437,0))</f>
        <v/>
      </c>
      <c r="Z437" s="24">
        <f>IF($A437="","",IF(COUNTIFS(入库单!$G$4:$G$2503,$A437,入库单!$Y$4:$Y$2503,"待补价")+COUNTIFS(入库单!$G$4:$G$2503,$A437,入库单!$Y$4:$Y$2503,"暂估")&gt;0,"不可信","可信"))</f>
        <v/>
      </c>
      <c r="AA437" s="24">
        <f>IF($A437="","",IF($X437&lt;-0.001,"※账面负库存，查一下是不是漏记入库",IF(AND(ROUND($X437,3)=0,ABS($Y437)&gt;1),"※数量已经是 0，金额还挂着 "&amp;TEXT($Y437,"#,##0")&amp;" 先令",IF(AND($X437&gt;0,$Y437&lt;=0,$K437=0),"※有数量没金额（这个物料一直没填过进价）",IF($Z437="不可信","△成本含待补价/暂估，毛利仅供参考","")))))</f>
        <v/>
      </c>
    </row>
    <row r="438">
      <c r="A438" s="24">
        <f>IF(物料档案!$A437="","",物料档案!$A437)</f>
        <v/>
      </c>
      <c r="B438" s="24">
        <f>IF($A438="","",IFERROR(VLOOKUP($A438,物料档案!$A$4:$P$1203,3,0),""))</f>
        <v/>
      </c>
      <c r="C438" s="24">
        <f>IF($A438="","",IFERROR(VLOOKUP($A438,物料档案!$A$4:$P$1203,4,0),""))</f>
        <v/>
      </c>
      <c r="D438" s="24">
        <f>IF($A438="","",IFERROR(VLOOKUP($A438,物料档案!$A$4:$P$1203,5,0),""))</f>
        <v/>
      </c>
      <c r="E438" s="24">
        <f>IF($A438="","",IFERROR(VLOOKUP($A438,物料档案!$A$4:$P$1203,2,0),""))</f>
        <v/>
      </c>
      <c r="F438" s="24">
        <f>IF($A438="","",IFERROR(VLOOKUP($A438,物料档案!$A$4:$P$1203,6,0),""))</f>
        <v/>
      </c>
      <c r="G438" s="23" t="n"/>
      <c r="H438" s="32" t="n"/>
      <c r="I438" s="27">
        <f>IF($A438="","",SUMIFS(入库单!$K$4:$K$2503,入库单!$G$4:$G$2503,$A438,入库单!$X$4:$X$2503,"采购入库",入库单!$Z$4:$Z$2503,"正常",入库单!$C$4:$C$2503,"&gt;="&amp;账期起,入库单!$C$4:$C$2503,"&lt;="&amp;账期止))</f>
        <v/>
      </c>
      <c r="J438" s="26">
        <f>IF($A438="","",SUMIFS(入库单!$V$4:$V$2503,入库单!$G$4:$G$2503,$A438,入库单!$X$4:$X$2503,"采购入库",入库单!$Z$4:$Z$2503,"正常",入库单!$C$4:$C$2503,"&gt;="&amp;账期起,入库单!$C$4:$C$2503,"&lt;="&amp;账期止))</f>
        <v/>
      </c>
      <c r="K438" s="26">
        <f>IF($A438="","",IFERROR(ROUND((N($H438)+N($J438))/(N($G438)+N($I438)),2),0))</f>
        <v/>
      </c>
      <c r="L438" s="27">
        <f>IF($A438="","",SUMIFS(入库单!$K$4:$K$2503,入库单!$G$4:$G$2503,$A438,入库单!$X$4:$X$2503,"盘盈",入库单!$Z$4:$Z$2503,"正常",入库单!$C$4:$C$2503,"&gt;="&amp;账期起,入库单!$C$4:$C$2503,"&lt;="&amp;账期止))</f>
        <v/>
      </c>
      <c r="M438" s="26">
        <f>IF($A438="","",ROUND($L438*$K438,0))</f>
        <v/>
      </c>
      <c r="N438" s="27">
        <f>IF($A438="","",SUMIFS(入库单!$K$4:$K$2503,入库单!$G$4:$G$2503,$A438,入库单!$X$4:$X$2503,"矿区退库",入库单!$Z$4:$Z$2503,"正常",入库单!$C$4:$C$2503,"&gt;="&amp;账期起,入库单!$C$4:$C$2503,"&lt;="&amp;账期止))</f>
        <v/>
      </c>
      <c r="O438" s="26">
        <f>IF($A438="","",ROUND($N438*$K438,0))</f>
        <v/>
      </c>
      <c r="P438" s="27">
        <f>IF($A438="","",SUMIFS(出库单!$J$4:$J$4003,出库单!$D$4:$D$4003,$A438,出库单!$K$4:$K$4003,"自用消耗",出库单!$U$4:$U$4003,"正常",出库单!$C$4:$C$4003,"&gt;="&amp;账期起,出库单!$C$4:$C$4003,"&lt;="&amp;账期止))</f>
        <v/>
      </c>
      <c r="Q438" s="26">
        <f>IF($A438="","",ROUND(SUMIFS(出库单!$S$4:$S$4003,出库单!$D$4:$D$4003,$A438,出库单!$K$4:$K$4003,"自用消耗",出库单!$U$4:$U$4003,"正常",出库单!$C$4:$C$4003,"&gt;="&amp;账期起,出库单!$C$4:$C$4003,"&lt;="&amp;账期止),0))</f>
        <v/>
      </c>
      <c r="R438" s="27">
        <f>IF($A438="","",SUMIFS(出库单!$J$4:$J$4003,出库单!$D$4:$D$4003,$A438,出库单!$K$4:$K$4003,"对外销售",出库单!$U$4:$U$4003,"正常",出库单!$C$4:$C$4003,"&gt;="&amp;账期起,出库单!$C$4:$C$4003,"&lt;="&amp;账期止))</f>
        <v/>
      </c>
      <c r="S438" s="26">
        <f>IF($A438="","",ROUND(SUMIFS(出库单!$S$4:$S$4003,出库单!$D$4:$D$4003,$A438,出库单!$K$4:$K$4003,"对外销售",出库单!$U$4:$U$4003,"正常",出库单!$C$4:$C$4003,"&gt;="&amp;账期起,出库单!$C$4:$C$4003,"&lt;="&amp;账期止),0))</f>
        <v/>
      </c>
      <c r="T438" s="27">
        <f>IF($A438="","",SUMIFS(出库单!$J$4:$J$4003,出库单!$D$4:$D$4003,$A438,出库单!$K$4:$K$4003,"盘亏",出库单!$U$4:$U$4003,"正常",出库单!$C$4:$C$4003,"&gt;="&amp;账期起,出库单!$C$4:$C$4003,"&lt;="&amp;账期止))</f>
        <v/>
      </c>
      <c r="U438" s="26">
        <f>IF($A438="","",ROUND(SUMIFS(出库单!$S$4:$S$4003,出库单!$D$4:$D$4003,$A438,出库单!$K$4:$K$4003,"盘亏",出库单!$U$4:$U$4003,"正常",出库单!$C$4:$C$4003,"&gt;="&amp;账期起,出库单!$C$4:$C$4003,"&lt;="&amp;账期止),0))</f>
        <v/>
      </c>
      <c r="V438" s="27">
        <f>IF($A438="","",SUMIFS(出库单!$J$4:$J$4003,出库单!$D$4:$D$4003,$A438,出库单!$K$4:$K$4003,"退货给供应商",出库单!$U$4:$U$4003,"正常",出库单!$C$4:$C$4003,"&gt;="&amp;账期起,出库单!$C$4:$C$4003,"&lt;="&amp;账期止))</f>
        <v/>
      </c>
      <c r="W438" s="26">
        <f>IF($A438="","",ROUND(SUMIFS(出库单!$S$4:$S$4003,出库单!$D$4:$D$4003,$A438,出库单!$K$4:$K$4003,"退货给供应商",出库单!$U$4:$U$4003,"正常",出库单!$C$4:$C$4003,"&gt;="&amp;账期起,出库单!$C$4:$C$4003,"&lt;="&amp;账期止),0))</f>
        <v/>
      </c>
      <c r="X438" s="27">
        <f>IF($A438="","",ROUND(N($G438)+$I438+$L438+$N438-$P438-$R438-$T438-$V438,3))</f>
        <v/>
      </c>
      <c r="Y438" s="26">
        <f>IF($A438="","",ROUND(N($H438)+$J438+$M438+$O438-$Q438-$S438-$U438-$W438,0))</f>
        <v/>
      </c>
      <c r="Z438" s="24">
        <f>IF($A438="","",IF(COUNTIFS(入库单!$G$4:$G$2503,$A438,入库单!$Y$4:$Y$2503,"待补价")+COUNTIFS(入库单!$G$4:$G$2503,$A438,入库单!$Y$4:$Y$2503,"暂估")&gt;0,"不可信","可信"))</f>
        <v/>
      </c>
      <c r="AA438" s="24">
        <f>IF($A438="","",IF($X438&lt;-0.001,"※账面负库存，查一下是不是漏记入库",IF(AND(ROUND($X438,3)=0,ABS($Y438)&gt;1),"※数量已经是 0，金额还挂着 "&amp;TEXT($Y438,"#,##0")&amp;" 先令",IF(AND($X438&gt;0,$Y438&lt;=0,$K438=0),"※有数量没金额（这个物料一直没填过进价）",IF($Z438="不可信","△成本含待补价/暂估，毛利仅供参考","")))))</f>
        <v/>
      </c>
    </row>
    <row r="439">
      <c r="A439" s="24">
        <f>IF(物料档案!$A438="","",物料档案!$A438)</f>
        <v/>
      </c>
      <c r="B439" s="24">
        <f>IF($A439="","",IFERROR(VLOOKUP($A439,物料档案!$A$4:$P$1203,3,0),""))</f>
        <v/>
      </c>
      <c r="C439" s="24">
        <f>IF($A439="","",IFERROR(VLOOKUP($A439,物料档案!$A$4:$P$1203,4,0),""))</f>
        <v/>
      </c>
      <c r="D439" s="24">
        <f>IF($A439="","",IFERROR(VLOOKUP($A439,物料档案!$A$4:$P$1203,5,0),""))</f>
        <v/>
      </c>
      <c r="E439" s="24">
        <f>IF($A439="","",IFERROR(VLOOKUP($A439,物料档案!$A$4:$P$1203,2,0),""))</f>
        <v/>
      </c>
      <c r="F439" s="24">
        <f>IF($A439="","",IFERROR(VLOOKUP($A439,物料档案!$A$4:$P$1203,6,0),""))</f>
        <v/>
      </c>
      <c r="G439" s="23" t="n"/>
      <c r="H439" s="32" t="n"/>
      <c r="I439" s="27">
        <f>IF($A439="","",SUMIFS(入库单!$K$4:$K$2503,入库单!$G$4:$G$2503,$A439,入库单!$X$4:$X$2503,"采购入库",入库单!$Z$4:$Z$2503,"正常",入库单!$C$4:$C$2503,"&gt;="&amp;账期起,入库单!$C$4:$C$2503,"&lt;="&amp;账期止))</f>
        <v/>
      </c>
      <c r="J439" s="26">
        <f>IF($A439="","",SUMIFS(入库单!$V$4:$V$2503,入库单!$G$4:$G$2503,$A439,入库单!$X$4:$X$2503,"采购入库",入库单!$Z$4:$Z$2503,"正常",入库单!$C$4:$C$2503,"&gt;="&amp;账期起,入库单!$C$4:$C$2503,"&lt;="&amp;账期止))</f>
        <v/>
      </c>
      <c r="K439" s="26">
        <f>IF($A439="","",IFERROR(ROUND((N($H439)+N($J439))/(N($G439)+N($I439)),2),0))</f>
        <v/>
      </c>
      <c r="L439" s="27">
        <f>IF($A439="","",SUMIFS(入库单!$K$4:$K$2503,入库单!$G$4:$G$2503,$A439,入库单!$X$4:$X$2503,"盘盈",入库单!$Z$4:$Z$2503,"正常",入库单!$C$4:$C$2503,"&gt;="&amp;账期起,入库单!$C$4:$C$2503,"&lt;="&amp;账期止))</f>
        <v/>
      </c>
      <c r="M439" s="26">
        <f>IF($A439="","",ROUND($L439*$K439,0))</f>
        <v/>
      </c>
      <c r="N439" s="27">
        <f>IF($A439="","",SUMIFS(入库单!$K$4:$K$2503,入库单!$G$4:$G$2503,$A439,入库单!$X$4:$X$2503,"矿区退库",入库单!$Z$4:$Z$2503,"正常",入库单!$C$4:$C$2503,"&gt;="&amp;账期起,入库单!$C$4:$C$2503,"&lt;="&amp;账期止))</f>
        <v/>
      </c>
      <c r="O439" s="26">
        <f>IF($A439="","",ROUND($N439*$K439,0))</f>
        <v/>
      </c>
      <c r="P439" s="27">
        <f>IF($A439="","",SUMIFS(出库单!$J$4:$J$4003,出库单!$D$4:$D$4003,$A439,出库单!$K$4:$K$4003,"自用消耗",出库单!$U$4:$U$4003,"正常",出库单!$C$4:$C$4003,"&gt;="&amp;账期起,出库单!$C$4:$C$4003,"&lt;="&amp;账期止))</f>
        <v/>
      </c>
      <c r="Q439" s="26">
        <f>IF($A439="","",ROUND(SUMIFS(出库单!$S$4:$S$4003,出库单!$D$4:$D$4003,$A439,出库单!$K$4:$K$4003,"自用消耗",出库单!$U$4:$U$4003,"正常",出库单!$C$4:$C$4003,"&gt;="&amp;账期起,出库单!$C$4:$C$4003,"&lt;="&amp;账期止),0))</f>
        <v/>
      </c>
      <c r="R439" s="27">
        <f>IF($A439="","",SUMIFS(出库单!$J$4:$J$4003,出库单!$D$4:$D$4003,$A439,出库单!$K$4:$K$4003,"对外销售",出库单!$U$4:$U$4003,"正常",出库单!$C$4:$C$4003,"&gt;="&amp;账期起,出库单!$C$4:$C$4003,"&lt;="&amp;账期止))</f>
        <v/>
      </c>
      <c r="S439" s="26">
        <f>IF($A439="","",ROUND(SUMIFS(出库单!$S$4:$S$4003,出库单!$D$4:$D$4003,$A439,出库单!$K$4:$K$4003,"对外销售",出库单!$U$4:$U$4003,"正常",出库单!$C$4:$C$4003,"&gt;="&amp;账期起,出库单!$C$4:$C$4003,"&lt;="&amp;账期止),0))</f>
        <v/>
      </c>
      <c r="T439" s="27">
        <f>IF($A439="","",SUMIFS(出库单!$J$4:$J$4003,出库单!$D$4:$D$4003,$A439,出库单!$K$4:$K$4003,"盘亏",出库单!$U$4:$U$4003,"正常",出库单!$C$4:$C$4003,"&gt;="&amp;账期起,出库单!$C$4:$C$4003,"&lt;="&amp;账期止))</f>
        <v/>
      </c>
      <c r="U439" s="26">
        <f>IF($A439="","",ROUND(SUMIFS(出库单!$S$4:$S$4003,出库单!$D$4:$D$4003,$A439,出库单!$K$4:$K$4003,"盘亏",出库单!$U$4:$U$4003,"正常",出库单!$C$4:$C$4003,"&gt;="&amp;账期起,出库单!$C$4:$C$4003,"&lt;="&amp;账期止),0))</f>
        <v/>
      </c>
      <c r="V439" s="27">
        <f>IF($A439="","",SUMIFS(出库单!$J$4:$J$4003,出库单!$D$4:$D$4003,$A439,出库单!$K$4:$K$4003,"退货给供应商",出库单!$U$4:$U$4003,"正常",出库单!$C$4:$C$4003,"&gt;="&amp;账期起,出库单!$C$4:$C$4003,"&lt;="&amp;账期止))</f>
        <v/>
      </c>
      <c r="W439" s="26">
        <f>IF($A439="","",ROUND(SUMIFS(出库单!$S$4:$S$4003,出库单!$D$4:$D$4003,$A439,出库单!$K$4:$K$4003,"退货给供应商",出库单!$U$4:$U$4003,"正常",出库单!$C$4:$C$4003,"&gt;="&amp;账期起,出库单!$C$4:$C$4003,"&lt;="&amp;账期止),0))</f>
        <v/>
      </c>
      <c r="X439" s="27">
        <f>IF($A439="","",ROUND(N($G439)+$I439+$L439+$N439-$P439-$R439-$T439-$V439,3))</f>
        <v/>
      </c>
      <c r="Y439" s="26">
        <f>IF($A439="","",ROUND(N($H439)+$J439+$M439+$O439-$Q439-$S439-$U439-$W439,0))</f>
        <v/>
      </c>
      <c r="Z439" s="24">
        <f>IF($A439="","",IF(COUNTIFS(入库单!$G$4:$G$2503,$A439,入库单!$Y$4:$Y$2503,"待补价")+COUNTIFS(入库单!$G$4:$G$2503,$A439,入库单!$Y$4:$Y$2503,"暂估")&gt;0,"不可信","可信"))</f>
        <v/>
      </c>
      <c r="AA439" s="24">
        <f>IF($A439="","",IF($X439&lt;-0.001,"※账面负库存，查一下是不是漏记入库",IF(AND(ROUND($X439,3)=0,ABS($Y439)&gt;1),"※数量已经是 0，金额还挂着 "&amp;TEXT($Y439,"#,##0")&amp;" 先令",IF(AND($X439&gt;0,$Y439&lt;=0,$K439=0),"※有数量没金额（这个物料一直没填过进价）",IF($Z439="不可信","△成本含待补价/暂估，毛利仅供参考","")))))</f>
        <v/>
      </c>
    </row>
    <row r="440">
      <c r="A440" s="24">
        <f>IF(物料档案!$A439="","",物料档案!$A439)</f>
        <v/>
      </c>
      <c r="B440" s="24">
        <f>IF($A440="","",IFERROR(VLOOKUP($A440,物料档案!$A$4:$P$1203,3,0),""))</f>
        <v/>
      </c>
      <c r="C440" s="24">
        <f>IF($A440="","",IFERROR(VLOOKUP($A440,物料档案!$A$4:$P$1203,4,0),""))</f>
        <v/>
      </c>
      <c r="D440" s="24">
        <f>IF($A440="","",IFERROR(VLOOKUP($A440,物料档案!$A$4:$P$1203,5,0),""))</f>
        <v/>
      </c>
      <c r="E440" s="24">
        <f>IF($A440="","",IFERROR(VLOOKUP($A440,物料档案!$A$4:$P$1203,2,0),""))</f>
        <v/>
      </c>
      <c r="F440" s="24">
        <f>IF($A440="","",IFERROR(VLOOKUP($A440,物料档案!$A$4:$P$1203,6,0),""))</f>
        <v/>
      </c>
      <c r="G440" s="23" t="n"/>
      <c r="H440" s="32" t="n"/>
      <c r="I440" s="27">
        <f>IF($A440="","",SUMIFS(入库单!$K$4:$K$2503,入库单!$G$4:$G$2503,$A440,入库单!$X$4:$X$2503,"采购入库",入库单!$Z$4:$Z$2503,"正常",入库单!$C$4:$C$2503,"&gt;="&amp;账期起,入库单!$C$4:$C$2503,"&lt;="&amp;账期止))</f>
        <v/>
      </c>
      <c r="J440" s="26">
        <f>IF($A440="","",SUMIFS(入库单!$V$4:$V$2503,入库单!$G$4:$G$2503,$A440,入库单!$X$4:$X$2503,"采购入库",入库单!$Z$4:$Z$2503,"正常",入库单!$C$4:$C$2503,"&gt;="&amp;账期起,入库单!$C$4:$C$2503,"&lt;="&amp;账期止))</f>
        <v/>
      </c>
      <c r="K440" s="26">
        <f>IF($A440="","",IFERROR(ROUND((N($H440)+N($J440))/(N($G440)+N($I440)),2),0))</f>
        <v/>
      </c>
      <c r="L440" s="27">
        <f>IF($A440="","",SUMIFS(入库单!$K$4:$K$2503,入库单!$G$4:$G$2503,$A440,入库单!$X$4:$X$2503,"盘盈",入库单!$Z$4:$Z$2503,"正常",入库单!$C$4:$C$2503,"&gt;="&amp;账期起,入库单!$C$4:$C$2503,"&lt;="&amp;账期止))</f>
        <v/>
      </c>
      <c r="M440" s="26">
        <f>IF($A440="","",ROUND($L440*$K440,0))</f>
        <v/>
      </c>
      <c r="N440" s="27">
        <f>IF($A440="","",SUMIFS(入库单!$K$4:$K$2503,入库单!$G$4:$G$2503,$A440,入库单!$X$4:$X$2503,"矿区退库",入库单!$Z$4:$Z$2503,"正常",入库单!$C$4:$C$2503,"&gt;="&amp;账期起,入库单!$C$4:$C$2503,"&lt;="&amp;账期止))</f>
        <v/>
      </c>
      <c r="O440" s="26">
        <f>IF($A440="","",ROUND($N440*$K440,0))</f>
        <v/>
      </c>
      <c r="P440" s="27">
        <f>IF($A440="","",SUMIFS(出库单!$J$4:$J$4003,出库单!$D$4:$D$4003,$A440,出库单!$K$4:$K$4003,"自用消耗",出库单!$U$4:$U$4003,"正常",出库单!$C$4:$C$4003,"&gt;="&amp;账期起,出库单!$C$4:$C$4003,"&lt;="&amp;账期止))</f>
        <v/>
      </c>
      <c r="Q440" s="26">
        <f>IF($A440="","",ROUND(SUMIFS(出库单!$S$4:$S$4003,出库单!$D$4:$D$4003,$A440,出库单!$K$4:$K$4003,"自用消耗",出库单!$U$4:$U$4003,"正常",出库单!$C$4:$C$4003,"&gt;="&amp;账期起,出库单!$C$4:$C$4003,"&lt;="&amp;账期止),0))</f>
        <v/>
      </c>
      <c r="R440" s="27">
        <f>IF($A440="","",SUMIFS(出库单!$J$4:$J$4003,出库单!$D$4:$D$4003,$A440,出库单!$K$4:$K$4003,"对外销售",出库单!$U$4:$U$4003,"正常",出库单!$C$4:$C$4003,"&gt;="&amp;账期起,出库单!$C$4:$C$4003,"&lt;="&amp;账期止))</f>
        <v/>
      </c>
      <c r="S440" s="26">
        <f>IF($A440="","",ROUND(SUMIFS(出库单!$S$4:$S$4003,出库单!$D$4:$D$4003,$A440,出库单!$K$4:$K$4003,"对外销售",出库单!$U$4:$U$4003,"正常",出库单!$C$4:$C$4003,"&gt;="&amp;账期起,出库单!$C$4:$C$4003,"&lt;="&amp;账期止),0))</f>
        <v/>
      </c>
      <c r="T440" s="27">
        <f>IF($A440="","",SUMIFS(出库单!$J$4:$J$4003,出库单!$D$4:$D$4003,$A440,出库单!$K$4:$K$4003,"盘亏",出库单!$U$4:$U$4003,"正常",出库单!$C$4:$C$4003,"&gt;="&amp;账期起,出库单!$C$4:$C$4003,"&lt;="&amp;账期止))</f>
        <v/>
      </c>
      <c r="U440" s="26">
        <f>IF($A440="","",ROUND(SUMIFS(出库单!$S$4:$S$4003,出库单!$D$4:$D$4003,$A440,出库单!$K$4:$K$4003,"盘亏",出库单!$U$4:$U$4003,"正常",出库单!$C$4:$C$4003,"&gt;="&amp;账期起,出库单!$C$4:$C$4003,"&lt;="&amp;账期止),0))</f>
        <v/>
      </c>
      <c r="V440" s="27">
        <f>IF($A440="","",SUMIFS(出库单!$J$4:$J$4003,出库单!$D$4:$D$4003,$A440,出库单!$K$4:$K$4003,"退货给供应商",出库单!$U$4:$U$4003,"正常",出库单!$C$4:$C$4003,"&gt;="&amp;账期起,出库单!$C$4:$C$4003,"&lt;="&amp;账期止))</f>
        <v/>
      </c>
      <c r="W440" s="26">
        <f>IF($A440="","",ROUND(SUMIFS(出库单!$S$4:$S$4003,出库单!$D$4:$D$4003,$A440,出库单!$K$4:$K$4003,"退货给供应商",出库单!$U$4:$U$4003,"正常",出库单!$C$4:$C$4003,"&gt;="&amp;账期起,出库单!$C$4:$C$4003,"&lt;="&amp;账期止),0))</f>
        <v/>
      </c>
      <c r="X440" s="27">
        <f>IF($A440="","",ROUND(N($G440)+$I440+$L440+$N440-$P440-$R440-$T440-$V440,3))</f>
        <v/>
      </c>
      <c r="Y440" s="26">
        <f>IF($A440="","",ROUND(N($H440)+$J440+$M440+$O440-$Q440-$S440-$U440-$W440,0))</f>
        <v/>
      </c>
      <c r="Z440" s="24">
        <f>IF($A440="","",IF(COUNTIFS(入库单!$G$4:$G$2503,$A440,入库单!$Y$4:$Y$2503,"待补价")+COUNTIFS(入库单!$G$4:$G$2503,$A440,入库单!$Y$4:$Y$2503,"暂估")&gt;0,"不可信","可信"))</f>
        <v/>
      </c>
      <c r="AA440" s="24">
        <f>IF($A440="","",IF($X440&lt;-0.001,"※账面负库存，查一下是不是漏记入库",IF(AND(ROUND($X440,3)=0,ABS($Y440)&gt;1),"※数量已经是 0，金额还挂着 "&amp;TEXT($Y440,"#,##0")&amp;" 先令",IF(AND($X440&gt;0,$Y440&lt;=0,$K440=0),"※有数量没金额（这个物料一直没填过进价）",IF($Z440="不可信","△成本含待补价/暂估，毛利仅供参考","")))))</f>
        <v/>
      </c>
    </row>
    <row r="441">
      <c r="A441" s="24">
        <f>IF(物料档案!$A440="","",物料档案!$A440)</f>
        <v/>
      </c>
      <c r="B441" s="24">
        <f>IF($A441="","",IFERROR(VLOOKUP($A441,物料档案!$A$4:$P$1203,3,0),""))</f>
        <v/>
      </c>
      <c r="C441" s="24">
        <f>IF($A441="","",IFERROR(VLOOKUP($A441,物料档案!$A$4:$P$1203,4,0),""))</f>
        <v/>
      </c>
      <c r="D441" s="24">
        <f>IF($A441="","",IFERROR(VLOOKUP($A441,物料档案!$A$4:$P$1203,5,0),""))</f>
        <v/>
      </c>
      <c r="E441" s="24">
        <f>IF($A441="","",IFERROR(VLOOKUP($A441,物料档案!$A$4:$P$1203,2,0),""))</f>
        <v/>
      </c>
      <c r="F441" s="24">
        <f>IF($A441="","",IFERROR(VLOOKUP($A441,物料档案!$A$4:$P$1203,6,0),""))</f>
        <v/>
      </c>
      <c r="G441" s="23" t="n"/>
      <c r="H441" s="32" t="n"/>
      <c r="I441" s="27">
        <f>IF($A441="","",SUMIFS(入库单!$K$4:$K$2503,入库单!$G$4:$G$2503,$A441,入库单!$X$4:$X$2503,"采购入库",入库单!$Z$4:$Z$2503,"正常",入库单!$C$4:$C$2503,"&gt;="&amp;账期起,入库单!$C$4:$C$2503,"&lt;="&amp;账期止))</f>
        <v/>
      </c>
      <c r="J441" s="26">
        <f>IF($A441="","",SUMIFS(入库单!$V$4:$V$2503,入库单!$G$4:$G$2503,$A441,入库单!$X$4:$X$2503,"采购入库",入库单!$Z$4:$Z$2503,"正常",入库单!$C$4:$C$2503,"&gt;="&amp;账期起,入库单!$C$4:$C$2503,"&lt;="&amp;账期止))</f>
        <v/>
      </c>
      <c r="K441" s="26">
        <f>IF($A441="","",IFERROR(ROUND((N($H441)+N($J441))/(N($G441)+N($I441)),2),0))</f>
        <v/>
      </c>
      <c r="L441" s="27">
        <f>IF($A441="","",SUMIFS(入库单!$K$4:$K$2503,入库单!$G$4:$G$2503,$A441,入库单!$X$4:$X$2503,"盘盈",入库单!$Z$4:$Z$2503,"正常",入库单!$C$4:$C$2503,"&gt;="&amp;账期起,入库单!$C$4:$C$2503,"&lt;="&amp;账期止))</f>
        <v/>
      </c>
      <c r="M441" s="26">
        <f>IF($A441="","",ROUND($L441*$K441,0))</f>
        <v/>
      </c>
      <c r="N441" s="27">
        <f>IF($A441="","",SUMIFS(入库单!$K$4:$K$2503,入库单!$G$4:$G$2503,$A441,入库单!$X$4:$X$2503,"矿区退库",入库单!$Z$4:$Z$2503,"正常",入库单!$C$4:$C$2503,"&gt;="&amp;账期起,入库单!$C$4:$C$2503,"&lt;="&amp;账期止))</f>
        <v/>
      </c>
      <c r="O441" s="26">
        <f>IF($A441="","",ROUND($N441*$K441,0))</f>
        <v/>
      </c>
      <c r="P441" s="27">
        <f>IF($A441="","",SUMIFS(出库单!$J$4:$J$4003,出库单!$D$4:$D$4003,$A441,出库单!$K$4:$K$4003,"自用消耗",出库单!$U$4:$U$4003,"正常",出库单!$C$4:$C$4003,"&gt;="&amp;账期起,出库单!$C$4:$C$4003,"&lt;="&amp;账期止))</f>
        <v/>
      </c>
      <c r="Q441" s="26">
        <f>IF($A441="","",ROUND(SUMIFS(出库单!$S$4:$S$4003,出库单!$D$4:$D$4003,$A441,出库单!$K$4:$K$4003,"自用消耗",出库单!$U$4:$U$4003,"正常",出库单!$C$4:$C$4003,"&gt;="&amp;账期起,出库单!$C$4:$C$4003,"&lt;="&amp;账期止),0))</f>
        <v/>
      </c>
      <c r="R441" s="27">
        <f>IF($A441="","",SUMIFS(出库单!$J$4:$J$4003,出库单!$D$4:$D$4003,$A441,出库单!$K$4:$K$4003,"对外销售",出库单!$U$4:$U$4003,"正常",出库单!$C$4:$C$4003,"&gt;="&amp;账期起,出库单!$C$4:$C$4003,"&lt;="&amp;账期止))</f>
        <v/>
      </c>
      <c r="S441" s="26">
        <f>IF($A441="","",ROUND(SUMIFS(出库单!$S$4:$S$4003,出库单!$D$4:$D$4003,$A441,出库单!$K$4:$K$4003,"对外销售",出库单!$U$4:$U$4003,"正常",出库单!$C$4:$C$4003,"&gt;="&amp;账期起,出库单!$C$4:$C$4003,"&lt;="&amp;账期止),0))</f>
        <v/>
      </c>
      <c r="T441" s="27">
        <f>IF($A441="","",SUMIFS(出库单!$J$4:$J$4003,出库单!$D$4:$D$4003,$A441,出库单!$K$4:$K$4003,"盘亏",出库单!$U$4:$U$4003,"正常",出库单!$C$4:$C$4003,"&gt;="&amp;账期起,出库单!$C$4:$C$4003,"&lt;="&amp;账期止))</f>
        <v/>
      </c>
      <c r="U441" s="26">
        <f>IF($A441="","",ROUND(SUMIFS(出库单!$S$4:$S$4003,出库单!$D$4:$D$4003,$A441,出库单!$K$4:$K$4003,"盘亏",出库单!$U$4:$U$4003,"正常",出库单!$C$4:$C$4003,"&gt;="&amp;账期起,出库单!$C$4:$C$4003,"&lt;="&amp;账期止),0))</f>
        <v/>
      </c>
      <c r="V441" s="27">
        <f>IF($A441="","",SUMIFS(出库单!$J$4:$J$4003,出库单!$D$4:$D$4003,$A441,出库单!$K$4:$K$4003,"退货给供应商",出库单!$U$4:$U$4003,"正常",出库单!$C$4:$C$4003,"&gt;="&amp;账期起,出库单!$C$4:$C$4003,"&lt;="&amp;账期止))</f>
        <v/>
      </c>
      <c r="W441" s="26">
        <f>IF($A441="","",ROUND(SUMIFS(出库单!$S$4:$S$4003,出库单!$D$4:$D$4003,$A441,出库单!$K$4:$K$4003,"退货给供应商",出库单!$U$4:$U$4003,"正常",出库单!$C$4:$C$4003,"&gt;="&amp;账期起,出库单!$C$4:$C$4003,"&lt;="&amp;账期止),0))</f>
        <v/>
      </c>
      <c r="X441" s="27">
        <f>IF($A441="","",ROUND(N($G441)+$I441+$L441+$N441-$P441-$R441-$T441-$V441,3))</f>
        <v/>
      </c>
      <c r="Y441" s="26">
        <f>IF($A441="","",ROUND(N($H441)+$J441+$M441+$O441-$Q441-$S441-$U441-$W441,0))</f>
        <v/>
      </c>
      <c r="Z441" s="24">
        <f>IF($A441="","",IF(COUNTIFS(入库单!$G$4:$G$2503,$A441,入库单!$Y$4:$Y$2503,"待补价")+COUNTIFS(入库单!$G$4:$G$2503,$A441,入库单!$Y$4:$Y$2503,"暂估")&gt;0,"不可信","可信"))</f>
        <v/>
      </c>
      <c r="AA441" s="24">
        <f>IF($A441="","",IF($X441&lt;-0.001,"※账面负库存，查一下是不是漏记入库",IF(AND(ROUND($X441,3)=0,ABS($Y441)&gt;1),"※数量已经是 0，金额还挂着 "&amp;TEXT($Y441,"#,##0")&amp;" 先令",IF(AND($X441&gt;0,$Y441&lt;=0,$K441=0),"※有数量没金额（这个物料一直没填过进价）",IF($Z441="不可信","△成本含待补价/暂估，毛利仅供参考","")))))</f>
        <v/>
      </c>
    </row>
    <row r="442">
      <c r="A442" s="24">
        <f>IF(物料档案!$A441="","",物料档案!$A441)</f>
        <v/>
      </c>
      <c r="B442" s="24">
        <f>IF($A442="","",IFERROR(VLOOKUP($A442,物料档案!$A$4:$P$1203,3,0),""))</f>
        <v/>
      </c>
      <c r="C442" s="24">
        <f>IF($A442="","",IFERROR(VLOOKUP($A442,物料档案!$A$4:$P$1203,4,0),""))</f>
        <v/>
      </c>
      <c r="D442" s="24">
        <f>IF($A442="","",IFERROR(VLOOKUP($A442,物料档案!$A$4:$P$1203,5,0),""))</f>
        <v/>
      </c>
      <c r="E442" s="24">
        <f>IF($A442="","",IFERROR(VLOOKUP($A442,物料档案!$A$4:$P$1203,2,0),""))</f>
        <v/>
      </c>
      <c r="F442" s="24">
        <f>IF($A442="","",IFERROR(VLOOKUP($A442,物料档案!$A$4:$P$1203,6,0),""))</f>
        <v/>
      </c>
      <c r="G442" s="23" t="n"/>
      <c r="H442" s="32" t="n"/>
      <c r="I442" s="27">
        <f>IF($A442="","",SUMIFS(入库单!$K$4:$K$2503,入库单!$G$4:$G$2503,$A442,入库单!$X$4:$X$2503,"采购入库",入库单!$Z$4:$Z$2503,"正常",入库单!$C$4:$C$2503,"&gt;="&amp;账期起,入库单!$C$4:$C$2503,"&lt;="&amp;账期止))</f>
        <v/>
      </c>
      <c r="J442" s="26">
        <f>IF($A442="","",SUMIFS(入库单!$V$4:$V$2503,入库单!$G$4:$G$2503,$A442,入库单!$X$4:$X$2503,"采购入库",入库单!$Z$4:$Z$2503,"正常",入库单!$C$4:$C$2503,"&gt;="&amp;账期起,入库单!$C$4:$C$2503,"&lt;="&amp;账期止))</f>
        <v/>
      </c>
      <c r="K442" s="26">
        <f>IF($A442="","",IFERROR(ROUND((N($H442)+N($J442))/(N($G442)+N($I442)),2),0))</f>
        <v/>
      </c>
      <c r="L442" s="27">
        <f>IF($A442="","",SUMIFS(入库单!$K$4:$K$2503,入库单!$G$4:$G$2503,$A442,入库单!$X$4:$X$2503,"盘盈",入库单!$Z$4:$Z$2503,"正常",入库单!$C$4:$C$2503,"&gt;="&amp;账期起,入库单!$C$4:$C$2503,"&lt;="&amp;账期止))</f>
        <v/>
      </c>
      <c r="M442" s="26">
        <f>IF($A442="","",ROUND($L442*$K442,0))</f>
        <v/>
      </c>
      <c r="N442" s="27">
        <f>IF($A442="","",SUMIFS(入库单!$K$4:$K$2503,入库单!$G$4:$G$2503,$A442,入库单!$X$4:$X$2503,"矿区退库",入库单!$Z$4:$Z$2503,"正常",入库单!$C$4:$C$2503,"&gt;="&amp;账期起,入库单!$C$4:$C$2503,"&lt;="&amp;账期止))</f>
        <v/>
      </c>
      <c r="O442" s="26">
        <f>IF($A442="","",ROUND($N442*$K442,0))</f>
        <v/>
      </c>
      <c r="P442" s="27">
        <f>IF($A442="","",SUMIFS(出库单!$J$4:$J$4003,出库单!$D$4:$D$4003,$A442,出库单!$K$4:$K$4003,"自用消耗",出库单!$U$4:$U$4003,"正常",出库单!$C$4:$C$4003,"&gt;="&amp;账期起,出库单!$C$4:$C$4003,"&lt;="&amp;账期止))</f>
        <v/>
      </c>
      <c r="Q442" s="26">
        <f>IF($A442="","",ROUND(SUMIFS(出库单!$S$4:$S$4003,出库单!$D$4:$D$4003,$A442,出库单!$K$4:$K$4003,"自用消耗",出库单!$U$4:$U$4003,"正常",出库单!$C$4:$C$4003,"&gt;="&amp;账期起,出库单!$C$4:$C$4003,"&lt;="&amp;账期止),0))</f>
        <v/>
      </c>
      <c r="R442" s="27">
        <f>IF($A442="","",SUMIFS(出库单!$J$4:$J$4003,出库单!$D$4:$D$4003,$A442,出库单!$K$4:$K$4003,"对外销售",出库单!$U$4:$U$4003,"正常",出库单!$C$4:$C$4003,"&gt;="&amp;账期起,出库单!$C$4:$C$4003,"&lt;="&amp;账期止))</f>
        <v/>
      </c>
      <c r="S442" s="26">
        <f>IF($A442="","",ROUND(SUMIFS(出库单!$S$4:$S$4003,出库单!$D$4:$D$4003,$A442,出库单!$K$4:$K$4003,"对外销售",出库单!$U$4:$U$4003,"正常",出库单!$C$4:$C$4003,"&gt;="&amp;账期起,出库单!$C$4:$C$4003,"&lt;="&amp;账期止),0))</f>
        <v/>
      </c>
      <c r="T442" s="27">
        <f>IF($A442="","",SUMIFS(出库单!$J$4:$J$4003,出库单!$D$4:$D$4003,$A442,出库单!$K$4:$K$4003,"盘亏",出库单!$U$4:$U$4003,"正常",出库单!$C$4:$C$4003,"&gt;="&amp;账期起,出库单!$C$4:$C$4003,"&lt;="&amp;账期止))</f>
        <v/>
      </c>
      <c r="U442" s="26">
        <f>IF($A442="","",ROUND(SUMIFS(出库单!$S$4:$S$4003,出库单!$D$4:$D$4003,$A442,出库单!$K$4:$K$4003,"盘亏",出库单!$U$4:$U$4003,"正常",出库单!$C$4:$C$4003,"&gt;="&amp;账期起,出库单!$C$4:$C$4003,"&lt;="&amp;账期止),0))</f>
        <v/>
      </c>
      <c r="V442" s="27">
        <f>IF($A442="","",SUMIFS(出库单!$J$4:$J$4003,出库单!$D$4:$D$4003,$A442,出库单!$K$4:$K$4003,"退货给供应商",出库单!$U$4:$U$4003,"正常",出库单!$C$4:$C$4003,"&gt;="&amp;账期起,出库单!$C$4:$C$4003,"&lt;="&amp;账期止))</f>
        <v/>
      </c>
      <c r="W442" s="26">
        <f>IF($A442="","",ROUND(SUMIFS(出库单!$S$4:$S$4003,出库单!$D$4:$D$4003,$A442,出库单!$K$4:$K$4003,"退货给供应商",出库单!$U$4:$U$4003,"正常",出库单!$C$4:$C$4003,"&gt;="&amp;账期起,出库单!$C$4:$C$4003,"&lt;="&amp;账期止),0))</f>
        <v/>
      </c>
      <c r="X442" s="27">
        <f>IF($A442="","",ROUND(N($G442)+$I442+$L442+$N442-$P442-$R442-$T442-$V442,3))</f>
        <v/>
      </c>
      <c r="Y442" s="26">
        <f>IF($A442="","",ROUND(N($H442)+$J442+$M442+$O442-$Q442-$S442-$U442-$W442,0))</f>
        <v/>
      </c>
      <c r="Z442" s="24">
        <f>IF($A442="","",IF(COUNTIFS(入库单!$G$4:$G$2503,$A442,入库单!$Y$4:$Y$2503,"待补价")+COUNTIFS(入库单!$G$4:$G$2503,$A442,入库单!$Y$4:$Y$2503,"暂估")&gt;0,"不可信","可信"))</f>
        <v/>
      </c>
      <c r="AA442" s="24">
        <f>IF($A442="","",IF($X442&lt;-0.001,"※账面负库存，查一下是不是漏记入库",IF(AND(ROUND($X442,3)=0,ABS($Y442)&gt;1),"※数量已经是 0，金额还挂着 "&amp;TEXT($Y442,"#,##0")&amp;" 先令",IF(AND($X442&gt;0,$Y442&lt;=0,$K442=0),"※有数量没金额（这个物料一直没填过进价）",IF($Z442="不可信","△成本含待补价/暂估，毛利仅供参考","")))))</f>
        <v/>
      </c>
    </row>
    <row r="443">
      <c r="A443" s="24">
        <f>IF(物料档案!$A442="","",物料档案!$A442)</f>
        <v/>
      </c>
      <c r="B443" s="24">
        <f>IF($A443="","",IFERROR(VLOOKUP($A443,物料档案!$A$4:$P$1203,3,0),""))</f>
        <v/>
      </c>
      <c r="C443" s="24">
        <f>IF($A443="","",IFERROR(VLOOKUP($A443,物料档案!$A$4:$P$1203,4,0),""))</f>
        <v/>
      </c>
      <c r="D443" s="24">
        <f>IF($A443="","",IFERROR(VLOOKUP($A443,物料档案!$A$4:$P$1203,5,0),""))</f>
        <v/>
      </c>
      <c r="E443" s="24">
        <f>IF($A443="","",IFERROR(VLOOKUP($A443,物料档案!$A$4:$P$1203,2,0),""))</f>
        <v/>
      </c>
      <c r="F443" s="24">
        <f>IF($A443="","",IFERROR(VLOOKUP($A443,物料档案!$A$4:$P$1203,6,0),""))</f>
        <v/>
      </c>
      <c r="G443" s="23" t="n"/>
      <c r="H443" s="32" t="n"/>
      <c r="I443" s="27">
        <f>IF($A443="","",SUMIFS(入库单!$K$4:$K$2503,入库单!$G$4:$G$2503,$A443,入库单!$X$4:$X$2503,"采购入库",入库单!$Z$4:$Z$2503,"正常",入库单!$C$4:$C$2503,"&gt;="&amp;账期起,入库单!$C$4:$C$2503,"&lt;="&amp;账期止))</f>
        <v/>
      </c>
      <c r="J443" s="26">
        <f>IF($A443="","",SUMIFS(入库单!$V$4:$V$2503,入库单!$G$4:$G$2503,$A443,入库单!$X$4:$X$2503,"采购入库",入库单!$Z$4:$Z$2503,"正常",入库单!$C$4:$C$2503,"&gt;="&amp;账期起,入库单!$C$4:$C$2503,"&lt;="&amp;账期止))</f>
        <v/>
      </c>
      <c r="K443" s="26">
        <f>IF($A443="","",IFERROR(ROUND((N($H443)+N($J443))/(N($G443)+N($I443)),2),0))</f>
        <v/>
      </c>
      <c r="L443" s="27">
        <f>IF($A443="","",SUMIFS(入库单!$K$4:$K$2503,入库单!$G$4:$G$2503,$A443,入库单!$X$4:$X$2503,"盘盈",入库单!$Z$4:$Z$2503,"正常",入库单!$C$4:$C$2503,"&gt;="&amp;账期起,入库单!$C$4:$C$2503,"&lt;="&amp;账期止))</f>
        <v/>
      </c>
      <c r="M443" s="26">
        <f>IF($A443="","",ROUND($L443*$K443,0))</f>
        <v/>
      </c>
      <c r="N443" s="27">
        <f>IF($A443="","",SUMIFS(入库单!$K$4:$K$2503,入库单!$G$4:$G$2503,$A443,入库单!$X$4:$X$2503,"矿区退库",入库单!$Z$4:$Z$2503,"正常",入库单!$C$4:$C$2503,"&gt;="&amp;账期起,入库单!$C$4:$C$2503,"&lt;="&amp;账期止))</f>
        <v/>
      </c>
      <c r="O443" s="26">
        <f>IF($A443="","",ROUND($N443*$K443,0))</f>
        <v/>
      </c>
      <c r="P443" s="27">
        <f>IF($A443="","",SUMIFS(出库单!$J$4:$J$4003,出库单!$D$4:$D$4003,$A443,出库单!$K$4:$K$4003,"自用消耗",出库单!$U$4:$U$4003,"正常",出库单!$C$4:$C$4003,"&gt;="&amp;账期起,出库单!$C$4:$C$4003,"&lt;="&amp;账期止))</f>
        <v/>
      </c>
      <c r="Q443" s="26">
        <f>IF($A443="","",ROUND(SUMIFS(出库单!$S$4:$S$4003,出库单!$D$4:$D$4003,$A443,出库单!$K$4:$K$4003,"自用消耗",出库单!$U$4:$U$4003,"正常",出库单!$C$4:$C$4003,"&gt;="&amp;账期起,出库单!$C$4:$C$4003,"&lt;="&amp;账期止),0))</f>
        <v/>
      </c>
      <c r="R443" s="27">
        <f>IF($A443="","",SUMIFS(出库单!$J$4:$J$4003,出库单!$D$4:$D$4003,$A443,出库单!$K$4:$K$4003,"对外销售",出库单!$U$4:$U$4003,"正常",出库单!$C$4:$C$4003,"&gt;="&amp;账期起,出库单!$C$4:$C$4003,"&lt;="&amp;账期止))</f>
        <v/>
      </c>
      <c r="S443" s="26">
        <f>IF($A443="","",ROUND(SUMIFS(出库单!$S$4:$S$4003,出库单!$D$4:$D$4003,$A443,出库单!$K$4:$K$4003,"对外销售",出库单!$U$4:$U$4003,"正常",出库单!$C$4:$C$4003,"&gt;="&amp;账期起,出库单!$C$4:$C$4003,"&lt;="&amp;账期止),0))</f>
        <v/>
      </c>
      <c r="T443" s="27">
        <f>IF($A443="","",SUMIFS(出库单!$J$4:$J$4003,出库单!$D$4:$D$4003,$A443,出库单!$K$4:$K$4003,"盘亏",出库单!$U$4:$U$4003,"正常",出库单!$C$4:$C$4003,"&gt;="&amp;账期起,出库单!$C$4:$C$4003,"&lt;="&amp;账期止))</f>
        <v/>
      </c>
      <c r="U443" s="26">
        <f>IF($A443="","",ROUND(SUMIFS(出库单!$S$4:$S$4003,出库单!$D$4:$D$4003,$A443,出库单!$K$4:$K$4003,"盘亏",出库单!$U$4:$U$4003,"正常",出库单!$C$4:$C$4003,"&gt;="&amp;账期起,出库单!$C$4:$C$4003,"&lt;="&amp;账期止),0))</f>
        <v/>
      </c>
      <c r="V443" s="27">
        <f>IF($A443="","",SUMIFS(出库单!$J$4:$J$4003,出库单!$D$4:$D$4003,$A443,出库单!$K$4:$K$4003,"退货给供应商",出库单!$U$4:$U$4003,"正常",出库单!$C$4:$C$4003,"&gt;="&amp;账期起,出库单!$C$4:$C$4003,"&lt;="&amp;账期止))</f>
        <v/>
      </c>
      <c r="W443" s="26">
        <f>IF($A443="","",ROUND(SUMIFS(出库单!$S$4:$S$4003,出库单!$D$4:$D$4003,$A443,出库单!$K$4:$K$4003,"退货给供应商",出库单!$U$4:$U$4003,"正常",出库单!$C$4:$C$4003,"&gt;="&amp;账期起,出库单!$C$4:$C$4003,"&lt;="&amp;账期止),0))</f>
        <v/>
      </c>
      <c r="X443" s="27">
        <f>IF($A443="","",ROUND(N($G443)+$I443+$L443+$N443-$P443-$R443-$T443-$V443,3))</f>
        <v/>
      </c>
      <c r="Y443" s="26">
        <f>IF($A443="","",ROUND(N($H443)+$J443+$M443+$O443-$Q443-$S443-$U443-$W443,0))</f>
        <v/>
      </c>
      <c r="Z443" s="24">
        <f>IF($A443="","",IF(COUNTIFS(入库单!$G$4:$G$2503,$A443,入库单!$Y$4:$Y$2503,"待补价")+COUNTIFS(入库单!$G$4:$G$2503,$A443,入库单!$Y$4:$Y$2503,"暂估")&gt;0,"不可信","可信"))</f>
        <v/>
      </c>
      <c r="AA443" s="24">
        <f>IF($A443="","",IF($X443&lt;-0.001,"※账面负库存，查一下是不是漏记入库",IF(AND(ROUND($X443,3)=0,ABS($Y443)&gt;1),"※数量已经是 0，金额还挂着 "&amp;TEXT($Y443,"#,##0")&amp;" 先令",IF(AND($X443&gt;0,$Y443&lt;=0,$K443=0),"※有数量没金额（这个物料一直没填过进价）",IF($Z443="不可信","△成本含待补价/暂估，毛利仅供参考","")))))</f>
        <v/>
      </c>
    </row>
    <row r="444">
      <c r="A444" s="24">
        <f>IF(物料档案!$A443="","",物料档案!$A443)</f>
        <v/>
      </c>
      <c r="B444" s="24">
        <f>IF($A444="","",IFERROR(VLOOKUP($A444,物料档案!$A$4:$P$1203,3,0),""))</f>
        <v/>
      </c>
      <c r="C444" s="24">
        <f>IF($A444="","",IFERROR(VLOOKUP($A444,物料档案!$A$4:$P$1203,4,0),""))</f>
        <v/>
      </c>
      <c r="D444" s="24">
        <f>IF($A444="","",IFERROR(VLOOKUP($A444,物料档案!$A$4:$P$1203,5,0),""))</f>
        <v/>
      </c>
      <c r="E444" s="24">
        <f>IF($A444="","",IFERROR(VLOOKUP($A444,物料档案!$A$4:$P$1203,2,0),""))</f>
        <v/>
      </c>
      <c r="F444" s="24">
        <f>IF($A444="","",IFERROR(VLOOKUP($A444,物料档案!$A$4:$P$1203,6,0),""))</f>
        <v/>
      </c>
      <c r="G444" s="23" t="n"/>
      <c r="H444" s="32" t="n"/>
      <c r="I444" s="27">
        <f>IF($A444="","",SUMIFS(入库单!$K$4:$K$2503,入库单!$G$4:$G$2503,$A444,入库单!$X$4:$X$2503,"采购入库",入库单!$Z$4:$Z$2503,"正常",入库单!$C$4:$C$2503,"&gt;="&amp;账期起,入库单!$C$4:$C$2503,"&lt;="&amp;账期止))</f>
        <v/>
      </c>
      <c r="J444" s="26">
        <f>IF($A444="","",SUMIFS(入库单!$V$4:$V$2503,入库单!$G$4:$G$2503,$A444,入库单!$X$4:$X$2503,"采购入库",入库单!$Z$4:$Z$2503,"正常",入库单!$C$4:$C$2503,"&gt;="&amp;账期起,入库单!$C$4:$C$2503,"&lt;="&amp;账期止))</f>
        <v/>
      </c>
      <c r="K444" s="26">
        <f>IF($A444="","",IFERROR(ROUND((N($H444)+N($J444))/(N($G444)+N($I444)),2),0))</f>
        <v/>
      </c>
      <c r="L444" s="27">
        <f>IF($A444="","",SUMIFS(入库单!$K$4:$K$2503,入库单!$G$4:$G$2503,$A444,入库单!$X$4:$X$2503,"盘盈",入库单!$Z$4:$Z$2503,"正常",入库单!$C$4:$C$2503,"&gt;="&amp;账期起,入库单!$C$4:$C$2503,"&lt;="&amp;账期止))</f>
        <v/>
      </c>
      <c r="M444" s="26">
        <f>IF($A444="","",ROUND($L444*$K444,0))</f>
        <v/>
      </c>
      <c r="N444" s="27">
        <f>IF($A444="","",SUMIFS(入库单!$K$4:$K$2503,入库单!$G$4:$G$2503,$A444,入库单!$X$4:$X$2503,"矿区退库",入库单!$Z$4:$Z$2503,"正常",入库单!$C$4:$C$2503,"&gt;="&amp;账期起,入库单!$C$4:$C$2503,"&lt;="&amp;账期止))</f>
        <v/>
      </c>
      <c r="O444" s="26">
        <f>IF($A444="","",ROUND($N444*$K444,0))</f>
        <v/>
      </c>
      <c r="P444" s="27">
        <f>IF($A444="","",SUMIFS(出库单!$J$4:$J$4003,出库单!$D$4:$D$4003,$A444,出库单!$K$4:$K$4003,"自用消耗",出库单!$U$4:$U$4003,"正常",出库单!$C$4:$C$4003,"&gt;="&amp;账期起,出库单!$C$4:$C$4003,"&lt;="&amp;账期止))</f>
        <v/>
      </c>
      <c r="Q444" s="26">
        <f>IF($A444="","",ROUND(SUMIFS(出库单!$S$4:$S$4003,出库单!$D$4:$D$4003,$A444,出库单!$K$4:$K$4003,"自用消耗",出库单!$U$4:$U$4003,"正常",出库单!$C$4:$C$4003,"&gt;="&amp;账期起,出库单!$C$4:$C$4003,"&lt;="&amp;账期止),0))</f>
        <v/>
      </c>
      <c r="R444" s="27">
        <f>IF($A444="","",SUMIFS(出库单!$J$4:$J$4003,出库单!$D$4:$D$4003,$A444,出库单!$K$4:$K$4003,"对外销售",出库单!$U$4:$U$4003,"正常",出库单!$C$4:$C$4003,"&gt;="&amp;账期起,出库单!$C$4:$C$4003,"&lt;="&amp;账期止))</f>
        <v/>
      </c>
      <c r="S444" s="26">
        <f>IF($A444="","",ROUND(SUMIFS(出库单!$S$4:$S$4003,出库单!$D$4:$D$4003,$A444,出库单!$K$4:$K$4003,"对外销售",出库单!$U$4:$U$4003,"正常",出库单!$C$4:$C$4003,"&gt;="&amp;账期起,出库单!$C$4:$C$4003,"&lt;="&amp;账期止),0))</f>
        <v/>
      </c>
      <c r="T444" s="27">
        <f>IF($A444="","",SUMIFS(出库单!$J$4:$J$4003,出库单!$D$4:$D$4003,$A444,出库单!$K$4:$K$4003,"盘亏",出库单!$U$4:$U$4003,"正常",出库单!$C$4:$C$4003,"&gt;="&amp;账期起,出库单!$C$4:$C$4003,"&lt;="&amp;账期止))</f>
        <v/>
      </c>
      <c r="U444" s="26">
        <f>IF($A444="","",ROUND(SUMIFS(出库单!$S$4:$S$4003,出库单!$D$4:$D$4003,$A444,出库单!$K$4:$K$4003,"盘亏",出库单!$U$4:$U$4003,"正常",出库单!$C$4:$C$4003,"&gt;="&amp;账期起,出库单!$C$4:$C$4003,"&lt;="&amp;账期止),0))</f>
        <v/>
      </c>
      <c r="V444" s="27">
        <f>IF($A444="","",SUMIFS(出库单!$J$4:$J$4003,出库单!$D$4:$D$4003,$A444,出库单!$K$4:$K$4003,"退货给供应商",出库单!$U$4:$U$4003,"正常",出库单!$C$4:$C$4003,"&gt;="&amp;账期起,出库单!$C$4:$C$4003,"&lt;="&amp;账期止))</f>
        <v/>
      </c>
      <c r="W444" s="26">
        <f>IF($A444="","",ROUND(SUMIFS(出库单!$S$4:$S$4003,出库单!$D$4:$D$4003,$A444,出库单!$K$4:$K$4003,"退货给供应商",出库单!$U$4:$U$4003,"正常",出库单!$C$4:$C$4003,"&gt;="&amp;账期起,出库单!$C$4:$C$4003,"&lt;="&amp;账期止),0))</f>
        <v/>
      </c>
      <c r="X444" s="27">
        <f>IF($A444="","",ROUND(N($G444)+$I444+$L444+$N444-$P444-$R444-$T444-$V444,3))</f>
        <v/>
      </c>
      <c r="Y444" s="26">
        <f>IF($A444="","",ROUND(N($H444)+$J444+$M444+$O444-$Q444-$S444-$U444-$W444,0))</f>
        <v/>
      </c>
      <c r="Z444" s="24">
        <f>IF($A444="","",IF(COUNTIFS(入库单!$G$4:$G$2503,$A444,入库单!$Y$4:$Y$2503,"待补价")+COUNTIFS(入库单!$G$4:$G$2503,$A444,入库单!$Y$4:$Y$2503,"暂估")&gt;0,"不可信","可信"))</f>
        <v/>
      </c>
      <c r="AA444" s="24">
        <f>IF($A444="","",IF($X444&lt;-0.001,"※账面负库存，查一下是不是漏记入库",IF(AND(ROUND($X444,3)=0,ABS($Y444)&gt;1),"※数量已经是 0，金额还挂着 "&amp;TEXT($Y444,"#,##0")&amp;" 先令",IF(AND($X444&gt;0,$Y444&lt;=0,$K444=0),"※有数量没金额（这个物料一直没填过进价）",IF($Z444="不可信","△成本含待补价/暂估，毛利仅供参考","")))))</f>
        <v/>
      </c>
    </row>
    <row r="445">
      <c r="A445" s="24">
        <f>IF(物料档案!$A444="","",物料档案!$A444)</f>
        <v/>
      </c>
      <c r="B445" s="24">
        <f>IF($A445="","",IFERROR(VLOOKUP($A445,物料档案!$A$4:$P$1203,3,0),""))</f>
        <v/>
      </c>
      <c r="C445" s="24">
        <f>IF($A445="","",IFERROR(VLOOKUP($A445,物料档案!$A$4:$P$1203,4,0),""))</f>
        <v/>
      </c>
      <c r="D445" s="24">
        <f>IF($A445="","",IFERROR(VLOOKUP($A445,物料档案!$A$4:$P$1203,5,0),""))</f>
        <v/>
      </c>
      <c r="E445" s="24">
        <f>IF($A445="","",IFERROR(VLOOKUP($A445,物料档案!$A$4:$P$1203,2,0),""))</f>
        <v/>
      </c>
      <c r="F445" s="24">
        <f>IF($A445="","",IFERROR(VLOOKUP($A445,物料档案!$A$4:$P$1203,6,0),""))</f>
        <v/>
      </c>
      <c r="G445" s="23" t="n"/>
      <c r="H445" s="32" t="n"/>
      <c r="I445" s="27">
        <f>IF($A445="","",SUMIFS(入库单!$K$4:$K$2503,入库单!$G$4:$G$2503,$A445,入库单!$X$4:$X$2503,"采购入库",入库单!$Z$4:$Z$2503,"正常",入库单!$C$4:$C$2503,"&gt;="&amp;账期起,入库单!$C$4:$C$2503,"&lt;="&amp;账期止))</f>
        <v/>
      </c>
      <c r="J445" s="26">
        <f>IF($A445="","",SUMIFS(入库单!$V$4:$V$2503,入库单!$G$4:$G$2503,$A445,入库单!$X$4:$X$2503,"采购入库",入库单!$Z$4:$Z$2503,"正常",入库单!$C$4:$C$2503,"&gt;="&amp;账期起,入库单!$C$4:$C$2503,"&lt;="&amp;账期止))</f>
        <v/>
      </c>
      <c r="K445" s="26">
        <f>IF($A445="","",IFERROR(ROUND((N($H445)+N($J445))/(N($G445)+N($I445)),2),0))</f>
        <v/>
      </c>
      <c r="L445" s="27">
        <f>IF($A445="","",SUMIFS(入库单!$K$4:$K$2503,入库单!$G$4:$G$2503,$A445,入库单!$X$4:$X$2503,"盘盈",入库单!$Z$4:$Z$2503,"正常",入库单!$C$4:$C$2503,"&gt;="&amp;账期起,入库单!$C$4:$C$2503,"&lt;="&amp;账期止))</f>
        <v/>
      </c>
      <c r="M445" s="26">
        <f>IF($A445="","",ROUND($L445*$K445,0))</f>
        <v/>
      </c>
      <c r="N445" s="27">
        <f>IF($A445="","",SUMIFS(入库单!$K$4:$K$2503,入库单!$G$4:$G$2503,$A445,入库单!$X$4:$X$2503,"矿区退库",入库单!$Z$4:$Z$2503,"正常",入库单!$C$4:$C$2503,"&gt;="&amp;账期起,入库单!$C$4:$C$2503,"&lt;="&amp;账期止))</f>
        <v/>
      </c>
      <c r="O445" s="26">
        <f>IF($A445="","",ROUND($N445*$K445,0))</f>
        <v/>
      </c>
      <c r="P445" s="27">
        <f>IF($A445="","",SUMIFS(出库单!$J$4:$J$4003,出库单!$D$4:$D$4003,$A445,出库单!$K$4:$K$4003,"自用消耗",出库单!$U$4:$U$4003,"正常",出库单!$C$4:$C$4003,"&gt;="&amp;账期起,出库单!$C$4:$C$4003,"&lt;="&amp;账期止))</f>
        <v/>
      </c>
      <c r="Q445" s="26">
        <f>IF($A445="","",ROUND(SUMIFS(出库单!$S$4:$S$4003,出库单!$D$4:$D$4003,$A445,出库单!$K$4:$K$4003,"自用消耗",出库单!$U$4:$U$4003,"正常",出库单!$C$4:$C$4003,"&gt;="&amp;账期起,出库单!$C$4:$C$4003,"&lt;="&amp;账期止),0))</f>
        <v/>
      </c>
      <c r="R445" s="27">
        <f>IF($A445="","",SUMIFS(出库单!$J$4:$J$4003,出库单!$D$4:$D$4003,$A445,出库单!$K$4:$K$4003,"对外销售",出库单!$U$4:$U$4003,"正常",出库单!$C$4:$C$4003,"&gt;="&amp;账期起,出库单!$C$4:$C$4003,"&lt;="&amp;账期止))</f>
        <v/>
      </c>
      <c r="S445" s="26">
        <f>IF($A445="","",ROUND(SUMIFS(出库单!$S$4:$S$4003,出库单!$D$4:$D$4003,$A445,出库单!$K$4:$K$4003,"对外销售",出库单!$U$4:$U$4003,"正常",出库单!$C$4:$C$4003,"&gt;="&amp;账期起,出库单!$C$4:$C$4003,"&lt;="&amp;账期止),0))</f>
        <v/>
      </c>
      <c r="T445" s="27">
        <f>IF($A445="","",SUMIFS(出库单!$J$4:$J$4003,出库单!$D$4:$D$4003,$A445,出库单!$K$4:$K$4003,"盘亏",出库单!$U$4:$U$4003,"正常",出库单!$C$4:$C$4003,"&gt;="&amp;账期起,出库单!$C$4:$C$4003,"&lt;="&amp;账期止))</f>
        <v/>
      </c>
      <c r="U445" s="26">
        <f>IF($A445="","",ROUND(SUMIFS(出库单!$S$4:$S$4003,出库单!$D$4:$D$4003,$A445,出库单!$K$4:$K$4003,"盘亏",出库单!$U$4:$U$4003,"正常",出库单!$C$4:$C$4003,"&gt;="&amp;账期起,出库单!$C$4:$C$4003,"&lt;="&amp;账期止),0))</f>
        <v/>
      </c>
      <c r="V445" s="27">
        <f>IF($A445="","",SUMIFS(出库单!$J$4:$J$4003,出库单!$D$4:$D$4003,$A445,出库单!$K$4:$K$4003,"退货给供应商",出库单!$U$4:$U$4003,"正常",出库单!$C$4:$C$4003,"&gt;="&amp;账期起,出库单!$C$4:$C$4003,"&lt;="&amp;账期止))</f>
        <v/>
      </c>
      <c r="W445" s="26">
        <f>IF($A445="","",ROUND(SUMIFS(出库单!$S$4:$S$4003,出库单!$D$4:$D$4003,$A445,出库单!$K$4:$K$4003,"退货给供应商",出库单!$U$4:$U$4003,"正常",出库单!$C$4:$C$4003,"&gt;="&amp;账期起,出库单!$C$4:$C$4003,"&lt;="&amp;账期止),0))</f>
        <v/>
      </c>
      <c r="X445" s="27">
        <f>IF($A445="","",ROUND(N($G445)+$I445+$L445+$N445-$P445-$R445-$T445-$V445,3))</f>
        <v/>
      </c>
      <c r="Y445" s="26">
        <f>IF($A445="","",ROUND(N($H445)+$J445+$M445+$O445-$Q445-$S445-$U445-$W445,0))</f>
        <v/>
      </c>
      <c r="Z445" s="24">
        <f>IF($A445="","",IF(COUNTIFS(入库单!$G$4:$G$2503,$A445,入库单!$Y$4:$Y$2503,"待补价")+COUNTIFS(入库单!$G$4:$G$2503,$A445,入库单!$Y$4:$Y$2503,"暂估")&gt;0,"不可信","可信"))</f>
        <v/>
      </c>
      <c r="AA445" s="24">
        <f>IF($A445="","",IF($X445&lt;-0.001,"※账面负库存，查一下是不是漏记入库",IF(AND(ROUND($X445,3)=0,ABS($Y445)&gt;1),"※数量已经是 0，金额还挂着 "&amp;TEXT($Y445,"#,##0")&amp;" 先令",IF(AND($X445&gt;0,$Y445&lt;=0,$K445=0),"※有数量没金额（这个物料一直没填过进价）",IF($Z445="不可信","△成本含待补价/暂估，毛利仅供参考","")))))</f>
        <v/>
      </c>
    </row>
    <row r="446">
      <c r="A446" s="24">
        <f>IF(物料档案!$A445="","",物料档案!$A445)</f>
        <v/>
      </c>
      <c r="B446" s="24">
        <f>IF($A446="","",IFERROR(VLOOKUP($A446,物料档案!$A$4:$P$1203,3,0),""))</f>
        <v/>
      </c>
      <c r="C446" s="24">
        <f>IF($A446="","",IFERROR(VLOOKUP($A446,物料档案!$A$4:$P$1203,4,0),""))</f>
        <v/>
      </c>
      <c r="D446" s="24">
        <f>IF($A446="","",IFERROR(VLOOKUP($A446,物料档案!$A$4:$P$1203,5,0),""))</f>
        <v/>
      </c>
      <c r="E446" s="24">
        <f>IF($A446="","",IFERROR(VLOOKUP($A446,物料档案!$A$4:$P$1203,2,0),""))</f>
        <v/>
      </c>
      <c r="F446" s="24">
        <f>IF($A446="","",IFERROR(VLOOKUP($A446,物料档案!$A$4:$P$1203,6,0),""))</f>
        <v/>
      </c>
      <c r="G446" s="23" t="n"/>
      <c r="H446" s="32" t="n"/>
      <c r="I446" s="27">
        <f>IF($A446="","",SUMIFS(入库单!$K$4:$K$2503,入库单!$G$4:$G$2503,$A446,入库单!$X$4:$X$2503,"采购入库",入库单!$Z$4:$Z$2503,"正常",入库单!$C$4:$C$2503,"&gt;="&amp;账期起,入库单!$C$4:$C$2503,"&lt;="&amp;账期止))</f>
        <v/>
      </c>
      <c r="J446" s="26">
        <f>IF($A446="","",SUMIFS(入库单!$V$4:$V$2503,入库单!$G$4:$G$2503,$A446,入库单!$X$4:$X$2503,"采购入库",入库单!$Z$4:$Z$2503,"正常",入库单!$C$4:$C$2503,"&gt;="&amp;账期起,入库单!$C$4:$C$2503,"&lt;="&amp;账期止))</f>
        <v/>
      </c>
      <c r="K446" s="26">
        <f>IF($A446="","",IFERROR(ROUND((N($H446)+N($J446))/(N($G446)+N($I446)),2),0))</f>
        <v/>
      </c>
      <c r="L446" s="27">
        <f>IF($A446="","",SUMIFS(入库单!$K$4:$K$2503,入库单!$G$4:$G$2503,$A446,入库单!$X$4:$X$2503,"盘盈",入库单!$Z$4:$Z$2503,"正常",入库单!$C$4:$C$2503,"&gt;="&amp;账期起,入库单!$C$4:$C$2503,"&lt;="&amp;账期止))</f>
        <v/>
      </c>
      <c r="M446" s="26">
        <f>IF($A446="","",ROUND($L446*$K446,0))</f>
        <v/>
      </c>
      <c r="N446" s="27">
        <f>IF($A446="","",SUMIFS(入库单!$K$4:$K$2503,入库单!$G$4:$G$2503,$A446,入库单!$X$4:$X$2503,"矿区退库",入库单!$Z$4:$Z$2503,"正常",入库单!$C$4:$C$2503,"&gt;="&amp;账期起,入库单!$C$4:$C$2503,"&lt;="&amp;账期止))</f>
        <v/>
      </c>
      <c r="O446" s="26">
        <f>IF($A446="","",ROUND($N446*$K446,0))</f>
        <v/>
      </c>
      <c r="P446" s="27">
        <f>IF($A446="","",SUMIFS(出库单!$J$4:$J$4003,出库单!$D$4:$D$4003,$A446,出库单!$K$4:$K$4003,"自用消耗",出库单!$U$4:$U$4003,"正常",出库单!$C$4:$C$4003,"&gt;="&amp;账期起,出库单!$C$4:$C$4003,"&lt;="&amp;账期止))</f>
        <v/>
      </c>
      <c r="Q446" s="26">
        <f>IF($A446="","",ROUND(SUMIFS(出库单!$S$4:$S$4003,出库单!$D$4:$D$4003,$A446,出库单!$K$4:$K$4003,"自用消耗",出库单!$U$4:$U$4003,"正常",出库单!$C$4:$C$4003,"&gt;="&amp;账期起,出库单!$C$4:$C$4003,"&lt;="&amp;账期止),0))</f>
        <v/>
      </c>
      <c r="R446" s="27">
        <f>IF($A446="","",SUMIFS(出库单!$J$4:$J$4003,出库单!$D$4:$D$4003,$A446,出库单!$K$4:$K$4003,"对外销售",出库单!$U$4:$U$4003,"正常",出库单!$C$4:$C$4003,"&gt;="&amp;账期起,出库单!$C$4:$C$4003,"&lt;="&amp;账期止))</f>
        <v/>
      </c>
      <c r="S446" s="26">
        <f>IF($A446="","",ROUND(SUMIFS(出库单!$S$4:$S$4003,出库单!$D$4:$D$4003,$A446,出库单!$K$4:$K$4003,"对外销售",出库单!$U$4:$U$4003,"正常",出库单!$C$4:$C$4003,"&gt;="&amp;账期起,出库单!$C$4:$C$4003,"&lt;="&amp;账期止),0))</f>
        <v/>
      </c>
      <c r="T446" s="27">
        <f>IF($A446="","",SUMIFS(出库单!$J$4:$J$4003,出库单!$D$4:$D$4003,$A446,出库单!$K$4:$K$4003,"盘亏",出库单!$U$4:$U$4003,"正常",出库单!$C$4:$C$4003,"&gt;="&amp;账期起,出库单!$C$4:$C$4003,"&lt;="&amp;账期止))</f>
        <v/>
      </c>
      <c r="U446" s="26">
        <f>IF($A446="","",ROUND(SUMIFS(出库单!$S$4:$S$4003,出库单!$D$4:$D$4003,$A446,出库单!$K$4:$K$4003,"盘亏",出库单!$U$4:$U$4003,"正常",出库单!$C$4:$C$4003,"&gt;="&amp;账期起,出库单!$C$4:$C$4003,"&lt;="&amp;账期止),0))</f>
        <v/>
      </c>
      <c r="V446" s="27">
        <f>IF($A446="","",SUMIFS(出库单!$J$4:$J$4003,出库单!$D$4:$D$4003,$A446,出库单!$K$4:$K$4003,"退货给供应商",出库单!$U$4:$U$4003,"正常",出库单!$C$4:$C$4003,"&gt;="&amp;账期起,出库单!$C$4:$C$4003,"&lt;="&amp;账期止))</f>
        <v/>
      </c>
      <c r="W446" s="26">
        <f>IF($A446="","",ROUND(SUMIFS(出库单!$S$4:$S$4003,出库单!$D$4:$D$4003,$A446,出库单!$K$4:$K$4003,"退货给供应商",出库单!$U$4:$U$4003,"正常",出库单!$C$4:$C$4003,"&gt;="&amp;账期起,出库单!$C$4:$C$4003,"&lt;="&amp;账期止),0))</f>
        <v/>
      </c>
      <c r="X446" s="27">
        <f>IF($A446="","",ROUND(N($G446)+$I446+$L446+$N446-$P446-$R446-$T446-$V446,3))</f>
        <v/>
      </c>
      <c r="Y446" s="26">
        <f>IF($A446="","",ROUND(N($H446)+$J446+$M446+$O446-$Q446-$S446-$U446-$W446,0))</f>
        <v/>
      </c>
      <c r="Z446" s="24">
        <f>IF($A446="","",IF(COUNTIFS(入库单!$G$4:$G$2503,$A446,入库单!$Y$4:$Y$2503,"待补价")+COUNTIFS(入库单!$G$4:$G$2503,$A446,入库单!$Y$4:$Y$2503,"暂估")&gt;0,"不可信","可信"))</f>
        <v/>
      </c>
      <c r="AA446" s="24">
        <f>IF($A446="","",IF($X446&lt;-0.001,"※账面负库存，查一下是不是漏记入库",IF(AND(ROUND($X446,3)=0,ABS($Y446)&gt;1),"※数量已经是 0，金额还挂着 "&amp;TEXT($Y446,"#,##0")&amp;" 先令",IF(AND($X446&gt;0,$Y446&lt;=0,$K446=0),"※有数量没金额（这个物料一直没填过进价）",IF($Z446="不可信","△成本含待补价/暂估，毛利仅供参考","")))))</f>
        <v/>
      </c>
    </row>
    <row r="447">
      <c r="A447" s="24">
        <f>IF(物料档案!$A446="","",物料档案!$A446)</f>
        <v/>
      </c>
      <c r="B447" s="24">
        <f>IF($A447="","",IFERROR(VLOOKUP($A447,物料档案!$A$4:$P$1203,3,0),""))</f>
        <v/>
      </c>
      <c r="C447" s="24">
        <f>IF($A447="","",IFERROR(VLOOKUP($A447,物料档案!$A$4:$P$1203,4,0),""))</f>
        <v/>
      </c>
      <c r="D447" s="24">
        <f>IF($A447="","",IFERROR(VLOOKUP($A447,物料档案!$A$4:$P$1203,5,0),""))</f>
        <v/>
      </c>
      <c r="E447" s="24">
        <f>IF($A447="","",IFERROR(VLOOKUP($A447,物料档案!$A$4:$P$1203,2,0),""))</f>
        <v/>
      </c>
      <c r="F447" s="24">
        <f>IF($A447="","",IFERROR(VLOOKUP($A447,物料档案!$A$4:$P$1203,6,0),""))</f>
        <v/>
      </c>
      <c r="G447" s="23" t="n"/>
      <c r="H447" s="32" t="n"/>
      <c r="I447" s="27">
        <f>IF($A447="","",SUMIFS(入库单!$K$4:$K$2503,入库单!$G$4:$G$2503,$A447,入库单!$X$4:$X$2503,"采购入库",入库单!$Z$4:$Z$2503,"正常",入库单!$C$4:$C$2503,"&gt;="&amp;账期起,入库单!$C$4:$C$2503,"&lt;="&amp;账期止))</f>
        <v/>
      </c>
      <c r="J447" s="26">
        <f>IF($A447="","",SUMIFS(入库单!$V$4:$V$2503,入库单!$G$4:$G$2503,$A447,入库单!$X$4:$X$2503,"采购入库",入库单!$Z$4:$Z$2503,"正常",入库单!$C$4:$C$2503,"&gt;="&amp;账期起,入库单!$C$4:$C$2503,"&lt;="&amp;账期止))</f>
        <v/>
      </c>
      <c r="K447" s="26">
        <f>IF($A447="","",IFERROR(ROUND((N($H447)+N($J447))/(N($G447)+N($I447)),2),0))</f>
        <v/>
      </c>
      <c r="L447" s="27">
        <f>IF($A447="","",SUMIFS(入库单!$K$4:$K$2503,入库单!$G$4:$G$2503,$A447,入库单!$X$4:$X$2503,"盘盈",入库单!$Z$4:$Z$2503,"正常",入库单!$C$4:$C$2503,"&gt;="&amp;账期起,入库单!$C$4:$C$2503,"&lt;="&amp;账期止))</f>
        <v/>
      </c>
      <c r="M447" s="26">
        <f>IF($A447="","",ROUND($L447*$K447,0))</f>
        <v/>
      </c>
      <c r="N447" s="27">
        <f>IF($A447="","",SUMIFS(入库单!$K$4:$K$2503,入库单!$G$4:$G$2503,$A447,入库单!$X$4:$X$2503,"矿区退库",入库单!$Z$4:$Z$2503,"正常",入库单!$C$4:$C$2503,"&gt;="&amp;账期起,入库单!$C$4:$C$2503,"&lt;="&amp;账期止))</f>
        <v/>
      </c>
      <c r="O447" s="26">
        <f>IF($A447="","",ROUND($N447*$K447,0))</f>
        <v/>
      </c>
      <c r="P447" s="27">
        <f>IF($A447="","",SUMIFS(出库单!$J$4:$J$4003,出库单!$D$4:$D$4003,$A447,出库单!$K$4:$K$4003,"自用消耗",出库单!$U$4:$U$4003,"正常",出库单!$C$4:$C$4003,"&gt;="&amp;账期起,出库单!$C$4:$C$4003,"&lt;="&amp;账期止))</f>
        <v/>
      </c>
      <c r="Q447" s="26">
        <f>IF($A447="","",ROUND(SUMIFS(出库单!$S$4:$S$4003,出库单!$D$4:$D$4003,$A447,出库单!$K$4:$K$4003,"自用消耗",出库单!$U$4:$U$4003,"正常",出库单!$C$4:$C$4003,"&gt;="&amp;账期起,出库单!$C$4:$C$4003,"&lt;="&amp;账期止),0))</f>
        <v/>
      </c>
      <c r="R447" s="27">
        <f>IF($A447="","",SUMIFS(出库单!$J$4:$J$4003,出库单!$D$4:$D$4003,$A447,出库单!$K$4:$K$4003,"对外销售",出库单!$U$4:$U$4003,"正常",出库单!$C$4:$C$4003,"&gt;="&amp;账期起,出库单!$C$4:$C$4003,"&lt;="&amp;账期止))</f>
        <v/>
      </c>
      <c r="S447" s="26">
        <f>IF($A447="","",ROUND(SUMIFS(出库单!$S$4:$S$4003,出库单!$D$4:$D$4003,$A447,出库单!$K$4:$K$4003,"对外销售",出库单!$U$4:$U$4003,"正常",出库单!$C$4:$C$4003,"&gt;="&amp;账期起,出库单!$C$4:$C$4003,"&lt;="&amp;账期止),0))</f>
        <v/>
      </c>
      <c r="T447" s="27">
        <f>IF($A447="","",SUMIFS(出库单!$J$4:$J$4003,出库单!$D$4:$D$4003,$A447,出库单!$K$4:$K$4003,"盘亏",出库单!$U$4:$U$4003,"正常",出库单!$C$4:$C$4003,"&gt;="&amp;账期起,出库单!$C$4:$C$4003,"&lt;="&amp;账期止))</f>
        <v/>
      </c>
      <c r="U447" s="26">
        <f>IF($A447="","",ROUND(SUMIFS(出库单!$S$4:$S$4003,出库单!$D$4:$D$4003,$A447,出库单!$K$4:$K$4003,"盘亏",出库单!$U$4:$U$4003,"正常",出库单!$C$4:$C$4003,"&gt;="&amp;账期起,出库单!$C$4:$C$4003,"&lt;="&amp;账期止),0))</f>
        <v/>
      </c>
      <c r="V447" s="27">
        <f>IF($A447="","",SUMIFS(出库单!$J$4:$J$4003,出库单!$D$4:$D$4003,$A447,出库单!$K$4:$K$4003,"退货给供应商",出库单!$U$4:$U$4003,"正常",出库单!$C$4:$C$4003,"&gt;="&amp;账期起,出库单!$C$4:$C$4003,"&lt;="&amp;账期止))</f>
        <v/>
      </c>
      <c r="W447" s="26">
        <f>IF($A447="","",ROUND(SUMIFS(出库单!$S$4:$S$4003,出库单!$D$4:$D$4003,$A447,出库单!$K$4:$K$4003,"退货给供应商",出库单!$U$4:$U$4003,"正常",出库单!$C$4:$C$4003,"&gt;="&amp;账期起,出库单!$C$4:$C$4003,"&lt;="&amp;账期止),0))</f>
        <v/>
      </c>
      <c r="X447" s="27">
        <f>IF($A447="","",ROUND(N($G447)+$I447+$L447+$N447-$P447-$R447-$T447-$V447,3))</f>
        <v/>
      </c>
      <c r="Y447" s="26">
        <f>IF($A447="","",ROUND(N($H447)+$J447+$M447+$O447-$Q447-$S447-$U447-$W447,0))</f>
        <v/>
      </c>
      <c r="Z447" s="24">
        <f>IF($A447="","",IF(COUNTIFS(入库单!$G$4:$G$2503,$A447,入库单!$Y$4:$Y$2503,"待补价")+COUNTIFS(入库单!$G$4:$G$2503,$A447,入库单!$Y$4:$Y$2503,"暂估")&gt;0,"不可信","可信"))</f>
        <v/>
      </c>
      <c r="AA447" s="24">
        <f>IF($A447="","",IF($X447&lt;-0.001,"※账面负库存，查一下是不是漏记入库",IF(AND(ROUND($X447,3)=0,ABS($Y447)&gt;1),"※数量已经是 0，金额还挂着 "&amp;TEXT($Y447,"#,##0")&amp;" 先令",IF(AND($X447&gt;0,$Y447&lt;=0,$K447=0),"※有数量没金额（这个物料一直没填过进价）",IF($Z447="不可信","△成本含待补价/暂估，毛利仅供参考","")))))</f>
        <v/>
      </c>
    </row>
    <row r="448">
      <c r="A448" s="24">
        <f>IF(物料档案!$A447="","",物料档案!$A447)</f>
        <v/>
      </c>
      <c r="B448" s="24">
        <f>IF($A448="","",IFERROR(VLOOKUP($A448,物料档案!$A$4:$P$1203,3,0),""))</f>
        <v/>
      </c>
      <c r="C448" s="24">
        <f>IF($A448="","",IFERROR(VLOOKUP($A448,物料档案!$A$4:$P$1203,4,0),""))</f>
        <v/>
      </c>
      <c r="D448" s="24">
        <f>IF($A448="","",IFERROR(VLOOKUP($A448,物料档案!$A$4:$P$1203,5,0),""))</f>
        <v/>
      </c>
      <c r="E448" s="24">
        <f>IF($A448="","",IFERROR(VLOOKUP($A448,物料档案!$A$4:$P$1203,2,0),""))</f>
        <v/>
      </c>
      <c r="F448" s="24">
        <f>IF($A448="","",IFERROR(VLOOKUP($A448,物料档案!$A$4:$P$1203,6,0),""))</f>
        <v/>
      </c>
      <c r="G448" s="23" t="n"/>
      <c r="H448" s="32" t="n"/>
      <c r="I448" s="27">
        <f>IF($A448="","",SUMIFS(入库单!$K$4:$K$2503,入库单!$G$4:$G$2503,$A448,入库单!$X$4:$X$2503,"采购入库",入库单!$Z$4:$Z$2503,"正常",入库单!$C$4:$C$2503,"&gt;="&amp;账期起,入库单!$C$4:$C$2503,"&lt;="&amp;账期止))</f>
        <v/>
      </c>
      <c r="J448" s="26">
        <f>IF($A448="","",SUMIFS(入库单!$V$4:$V$2503,入库单!$G$4:$G$2503,$A448,入库单!$X$4:$X$2503,"采购入库",入库单!$Z$4:$Z$2503,"正常",入库单!$C$4:$C$2503,"&gt;="&amp;账期起,入库单!$C$4:$C$2503,"&lt;="&amp;账期止))</f>
        <v/>
      </c>
      <c r="K448" s="26">
        <f>IF($A448="","",IFERROR(ROUND((N($H448)+N($J448))/(N($G448)+N($I448)),2),0))</f>
        <v/>
      </c>
      <c r="L448" s="27">
        <f>IF($A448="","",SUMIFS(入库单!$K$4:$K$2503,入库单!$G$4:$G$2503,$A448,入库单!$X$4:$X$2503,"盘盈",入库单!$Z$4:$Z$2503,"正常",入库单!$C$4:$C$2503,"&gt;="&amp;账期起,入库单!$C$4:$C$2503,"&lt;="&amp;账期止))</f>
        <v/>
      </c>
      <c r="M448" s="26">
        <f>IF($A448="","",ROUND($L448*$K448,0))</f>
        <v/>
      </c>
      <c r="N448" s="27">
        <f>IF($A448="","",SUMIFS(入库单!$K$4:$K$2503,入库单!$G$4:$G$2503,$A448,入库单!$X$4:$X$2503,"矿区退库",入库单!$Z$4:$Z$2503,"正常",入库单!$C$4:$C$2503,"&gt;="&amp;账期起,入库单!$C$4:$C$2503,"&lt;="&amp;账期止))</f>
        <v/>
      </c>
      <c r="O448" s="26">
        <f>IF($A448="","",ROUND($N448*$K448,0))</f>
        <v/>
      </c>
      <c r="P448" s="27">
        <f>IF($A448="","",SUMIFS(出库单!$J$4:$J$4003,出库单!$D$4:$D$4003,$A448,出库单!$K$4:$K$4003,"自用消耗",出库单!$U$4:$U$4003,"正常",出库单!$C$4:$C$4003,"&gt;="&amp;账期起,出库单!$C$4:$C$4003,"&lt;="&amp;账期止))</f>
        <v/>
      </c>
      <c r="Q448" s="26">
        <f>IF($A448="","",ROUND(SUMIFS(出库单!$S$4:$S$4003,出库单!$D$4:$D$4003,$A448,出库单!$K$4:$K$4003,"自用消耗",出库单!$U$4:$U$4003,"正常",出库单!$C$4:$C$4003,"&gt;="&amp;账期起,出库单!$C$4:$C$4003,"&lt;="&amp;账期止),0))</f>
        <v/>
      </c>
      <c r="R448" s="27">
        <f>IF($A448="","",SUMIFS(出库单!$J$4:$J$4003,出库单!$D$4:$D$4003,$A448,出库单!$K$4:$K$4003,"对外销售",出库单!$U$4:$U$4003,"正常",出库单!$C$4:$C$4003,"&gt;="&amp;账期起,出库单!$C$4:$C$4003,"&lt;="&amp;账期止))</f>
        <v/>
      </c>
      <c r="S448" s="26">
        <f>IF($A448="","",ROUND(SUMIFS(出库单!$S$4:$S$4003,出库单!$D$4:$D$4003,$A448,出库单!$K$4:$K$4003,"对外销售",出库单!$U$4:$U$4003,"正常",出库单!$C$4:$C$4003,"&gt;="&amp;账期起,出库单!$C$4:$C$4003,"&lt;="&amp;账期止),0))</f>
        <v/>
      </c>
      <c r="T448" s="27">
        <f>IF($A448="","",SUMIFS(出库单!$J$4:$J$4003,出库单!$D$4:$D$4003,$A448,出库单!$K$4:$K$4003,"盘亏",出库单!$U$4:$U$4003,"正常",出库单!$C$4:$C$4003,"&gt;="&amp;账期起,出库单!$C$4:$C$4003,"&lt;="&amp;账期止))</f>
        <v/>
      </c>
      <c r="U448" s="26">
        <f>IF($A448="","",ROUND(SUMIFS(出库单!$S$4:$S$4003,出库单!$D$4:$D$4003,$A448,出库单!$K$4:$K$4003,"盘亏",出库单!$U$4:$U$4003,"正常",出库单!$C$4:$C$4003,"&gt;="&amp;账期起,出库单!$C$4:$C$4003,"&lt;="&amp;账期止),0))</f>
        <v/>
      </c>
      <c r="V448" s="27">
        <f>IF($A448="","",SUMIFS(出库单!$J$4:$J$4003,出库单!$D$4:$D$4003,$A448,出库单!$K$4:$K$4003,"退货给供应商",出库单!$U$4:$U$4003,"正常",出库单!$C$4:$C$4003,"&gt;="&amp;账期起,出库单!$C$4:$C$4003,"&lt;="&amp;账期止))</f>
        <v/>
      </c>
      <c r="W448" s="26">
        <f>IF($A448="","",ROUND(SUMIFS(出库单!$S$4:$S$4003,出库单!$D$4:$D$4003,$A448,出库单!$K$4:$K$4003,"退货给供应商",出库单!$U$4:$U$4003,"正常",出库单!$C$4:$C$4003,"&gt;="&amp;账期起,出库单!$C$4:$C$4003,"&lt;="&amp;账期止),0))</f>
        <v/>
      </c>
      <c r="X448" s="27">
        <f>IF($A448="","",ROUND(N($G448)+$I448+$L448+$N448-$P448-$R448-$T448-$V448,3))</f>
        <v/>
      </c>
      <c r="Y448" s="26">
        <f>IF($A448="","",ROUND(N($H448)+$J448+$M448+$O448-$Q448-$S448-$U448-$W448,0))</f>
        <v/>
      </c>
      <c r="Z448" s="24">
        <f>IF($A448="","",IF(COUNTIFS(入库单!$G$4:$G$2503,$A448,入库单!$Y$4:$Y$2503,"待补价")+COUNTIFS(入库单!$G$4:$G$2503,$A448,入库单!$Y$4:$Y$2503,"暂估")&gt;0,"不可信","可信"))</f>
        <v/>
      </c>
      <c r="AA448" s="24">
        <f>IF($A448="","",IF($X448&lt;-0.001,"※账面负库存，查一下是不是漏记入库",IF(AND(ROUND($X448,3)=0,ABS($Y448)&gt;1),"※数量已经是 0，金额还挂着 "&amp;TEXT($Y448,"#,##0")&amp;" 先令",IF(AND($X448&gt;0,$Y448&lt;=0,$K448=0),"※有数量没金额（这个物料一直没填过进价）",IF($Z448="不可信","△成本含待补价/暂估，毛利仅供参考","")))))</f>
        <v/>
      </c>
    </row>
    <row r="449">
      <c r="A449" s="24">
        <f>IF(物料档案!$A448="","",物料档案!$A448)</f>
        <v/>
      </c>
      <c r="B449" s="24">
        <f>IF($A449="","",IFERROR(VLOOKUP($A449,物料档案!$A$4:$P$1203,3,0),""))</f>
        <v/>
      </c>
      <c r="C449" s="24">
        <f>IF($A449="","",IFERROR(VLOOKUP($A449,物料档案!$A$4:$P$1203,4,0),""))</f>
        <v/>
      </c>
      <c r="D449" s="24">
        <f>IF($A449="","",IFERROR(VLOOKUP($A449,物料档案!$A$4:$P$1203,5,0),""))</f>
        <v/>
      </c>
      <c r="E449" s="24">
        <f>IF($A449="","",IFERROR(VLOOKUP($A449,物料档案!$A$4:$P$1203,2,0),""))</f>
        <v/>
      </c>
      <c r="F449" s="24">
        <f>IF($A449="","",IFERROR(VLOOKUP($A449,物料档案!$A$4:$P$1203,6,0),""))</f>
        <v/>
      </c>
      <c r="G449" s="23" t="n"/>
      <c r="H449" s="32" t="n"/>
      <c r="I449" s="27">
        <f>IF($A449="","",SUMIFS(入库单!$K$4:$K$2503,入库单!$G$4:$G$2503,$A449,入库单!$X$4:$X$2503,"采购入库",入库单!$Z$4:$Z$2503,"正常",入库单!$C$4:$C$2503,"&gt;="&amp;账期起,入库单!$C$4:$C$2503,"&lt;="&amp;账期止))</f>
        <v/>
      </c>
      <c r="J449" s="26">
        <f>IF($A449="","",SUMIFS(入库单!$V$4:$V$2503,入库单!$G$4:$G$2503,$A449,入库单!$X$4:$X$2503,"采购入库",入库单!$Z$4:$Z$2503,"正常",入库单!$C$4:$C$2503,"&gt;="&amp;账期起,入库单!$C$4:$C$2503,"&lt;="&amp;账期止))</f>
        <v/>
      </c>
      <c r="K449" s="26">
        <f>IF($A449="","",IFERROR(ROUND((N($H449)+N($J449))/(N($G449)+N($I449)),2),0))</f>
        <v/>
      </c>
      <c r="L449" s="27">
        <f>IF($A449="","",SUMIFS(入库单!$K$4:$K$2503,入库单!$G$4:$G$2503,$A449,入库单!$X$4:$X$2503,"盘盈",入库单!$Z$4:$Z$2503,"正常",入库单!$C$4:$C$2503,"&gt;="&amp;账期起,入库单!$C$4:$C$2503,"&lt;="&amp;账期止))</f>
        <v/>
      </c>
      <c r="M449" s="26">
        <f>IF($A449="","",ROUND($L449*$K449,0))</f>
        <v/>
      </c>
      <c r="N449" s="27">
        <f>IF($A449="","",SUMIFS(入库单!$K$4:$K$2503,入库单!$G$4:$G$2503,$A449,入库单!$X$4:$X$2503,"矿区退库",入库单!$Z$4:$Z$2503,"正常",入库单!$C$4:$C$2503,"&gt;="&amp;账期起,入库单!$C$4:$C$2503,"&lt;="&amp;账期止))</f>
        <v/>
      </c>
      <c r="O449" s="26">
        <f>IF($A449="","",ROUND($N449*$K449,0))</f>
        <v/>
      </c>
      <c r="P449" s="27">
        <f>IF($A449="","",SUMIFS(出库单!$J$4:$J$4003,出库单!$D$4:$D$4003,$A449,出库单!$K$4:$K$4003,"自用消耗",出库单!$U$4:$U$4003,"正常",出库单!$C$4:$C$4003,"&gt;="&amp;账期起,出库单!$C$4:$C$4003,"&lt;="&amp;账期止))</f>
        <v/>
      </c>
      <c r="Q449" s="26">
        <f>IF($A449="","",ROUND(SUMIFS(出库单!$S$4:$S$4003,出库单!$D$4:$D$4003,$A449,出库单!$K$4:$K$4003,"自用消耗",出库单!$U$4:$U$4003,"正常",出库单!$C$4:$C$4003,"&gt;="&amp;账期起,出库单!$C$4:$C$4003,"&lt;="&amp;账期止),0))</f>
        <v/>
      </c>
      <c r="R449" s="27">
        <f>IF($A449="","",SUMIFS(出库单!$J$4:$J$4003,出库单!$D$4:$D$4003,$A449,出库单!$K$4:$K$4003,"对外销售",出库单!$U$4:$U$4003,"正常",出库单!$C$4:$C$4003,"&gt;="&amp;账期起,出库单!$C$4:$C$4003,"&lt;="&amp;账期止))</f>
        <v/>
      </c>
      <c r="S449" s="26">
        <f>IF($A449="","",ROUND(SUMIFS(出库单!$S$4:$S$4003,出库单!$D$4:$D$4003,$A449,出库单!$K$4:$K$4003,"对外销售",出库单!$U$4:$U$4003,"正常",出库单!$C$4:$C$4003,"&gt;="&amp;账期起,出库单!$C$4:$C$4003,"&lt;="&amp;账期止),0))</f>
        <v/>
      </c>
      <c r="T449" s="27">
        <f>IF($A449="","",SUMIFS(出库单!$J$4:$J$4003,出库单!$D$4:$D$4003,$A449,出库单!$K$4:$K$4003,"盘亏",出库单!$U$4:$U$4003,"正常",出库单!$C$4:$C$4003,"&gt;="&amp;账期起,出库单!$C$4:$C$4003,"&lt;="&amp;账期止))</f>
        <v/>
      </c>
      <c r="U449" s="26">
        <f>IF($A449="","",ROUND(SUMIFS(出库单!$S$4:$S$4003,出库单!$D$4:$D$4003,$A449,出库单!$K$4:$K$4003,"盘亏",出库单!$U$4:$U$4003,"正常",出库单!$C$4:$C$4003,"&gt;="&amp;账期起,出库单!$C$4:$C$4003,"&lt;="&amp;账期止),0))</f>
        <v/>
      </c>
      <c r="V449" s="27">
        <f>IF($A449="","",SUMIFS(出库单!$J$4:$J$4003,出库单!$D$4:$D$4003,$A449,出库单!$K$4:$K$4003,"退货给供应商",出库单!$U$4:$U$4003,"正常",出库单!$C$4:$C$4003,"&gt;="&amp;账期起,出库单!$C$4:$C$4003,"&lt;="&amp;账期止))</f>
        <v/>
      </c>
      <c r="W449" s="26">
        <f>IF($A449="","",ROUND(SUMIFS(出库单!$S$4:$S$4003,出库单!$D$4:$D$4003,$A449,出库单!$K$4:$K$4003,"退货给供应商",出库单!$U$4:$U$4003,"正常",出库单!$C$4:$C$4003,"&gt;="&amp;账期起,出库单!$C$4:$C$4003,"&lt;="&amp;账期止),0))</f>
        <v/>
      </c>
      <c r="X449" s="27">
        <f>IF($A449="","",ROUND(N($G449)+$I449+$L449+$N449-$P449-$R449-$T449-$V449,3))</f>
        <v/>
      </c>
      <c r="Y449" s="26">
        <f>IF($A449="","",ROUND(N($H449)+$J449+$M449+$O449-$Q449-$S449-$U449-$W449,0))</f>
        <v/>
      </c>
      <c r="Z449" s="24">
        <f>IF($A449="","",IF(COUNTIFS(入库单!$G$4:$G$2503,$A449,入库单!$Y$4:$Y$2503,"待补价")+COUNTIFS(入库单!$G$4:$G$2503,$A449,入库单!$Y$4:$Y$2503,"暂估")&gt;0,"不可信","可信"))</f>
        <v/>
      </c>
      <c r="AA449" s="24">
        <f>IF($A449="","",IF($X449&lt;-0.001,"※账面负库存，查一下是不是漏记入库",IF(AND(ROUND($X449,3)=0,ABS($Y449)&gt;1),"※数量已经是 0，金额还挂着 "&amp;TEXT($Y449,"#,##0")&amp;" 先令",IF(AND($X449&gt;0,$Y449&lt;=0,$K449=0),"※有数量没金额（这个物料一直没填过进价）",IF($Z449="不可信","△成本含待补价/暂估，毛利仅供参考","")))))</f>
        <v/>
      </c>
    </row>
    <row r="450">
      <c r="A450" s="24">
        <f>IF(物料档案!$A449="","",物料档案!$A449)</f>
        <v/>
      </c>
      <c r="B450" s="24">
        <f>IF($A450="","",IFERROR(VLOOKUP($A450,物料档案!$A$4:$P$1203,3,0),""))</f>
        <v/>
      </c>
      <c r="C450" s="24">
        <f>IF($A450="","",IFERROR(VLOOKUP($A450,物料档案!$A$4:$P$1203,4,0),""))</f>
        <v/>
      </c>
      <c r="D450" s="24">
        <f>IF($A450="","",IFERROR(VLOOKUP($A450,物料档案!$A$4:$P$1203,5,0),""))</f>
        <v/>
      </c>
      <c r="E450" s="24">
        <f>IF($A450="","",IFERROR(VLOOKUP($A450,物料档案!$A$4:$P$1203,2,0),""))</f>
        <v/>
      </c>
      <c r="F450" s="24">
        <f>IF($A450="","",IFERROR(VLOOKUP($A450,物料档案!$A$4:$P$1203,6,0),""))</f>
        <v/>
      </c>
      <c r="G450" s="23" t="n"/>
      <c r="H450" s="32" t="n"/>
      <c r="I450" s="27">
        <f>IF($A450="","",SUMIFS(入库单!$K$4:$K$2503,入库单!$G$4:$G$2503,$A450,入库单!$X$4:$X$2503,"采购入库",入库单!$Z$4:$Z$2503,"正常",入库单!$C$4:$C$2503,"&gt;="&amp;账期起,入库单!$C$4:$C$2503,"&lt;="&amp;账期止))</f>
        <v/>
      </c>
      <c r="J450" s="26">
        <f>IF($A450="","",SUMIFS(入库单!$V$4:$V$2503,入库单!$G$4:$G$2503,$A450,入库单!$X$4:$X$2503,"采购入库",入库单!$Z$4:$Z$2503,"正常",入库单!$C$4:$C$2503,"&gt;="&amp;账期起,入库单!$C$4:$C$2503,"&lt;="&amp;账期止))</f>
        <v/>
      </c>
      <c r="K450" s="26">
        <f>IF($A450="","",IFERROR(ROUND((N($H450)+N($J450))/(N($G450)+N($I450)),2),0))</f>
        <v/>
      </c>
      <c r="L450" s="27">
        <f>IF($A450="","",SUMIFS(入库单!$K$4:$K$2503,入库单!$G$4:$G$2503,$A450,入库单!$X$4:$X$2503,"盘盈",入库单!$Z$4:$Z$2503,"正常",入库单!$C$4:$C$2503,"&gt;="&amp;账期起,入库单!$C$4:$C$2503,"&lt;="&amp;账期止))</f>
        <v/>
      </c>
      <c r="M450" s="26">
        <f>IF($A450="","",ROUND($L450*$K450,0))</f>
        <v/>
      </c>
      <c r="N450" s="27">
        <f>IF($A450="","",SUMIFS(入库单!$K$4:$K$2503,入库单!$G$4:$G$2503,$A450,入库单!$X$4:$X$2503,"矿区退库",入库单!$Z$4:$Z$2503,"正常",入库单!$C$4:$C$2503,"&gt;="&amp;账期起,入库单!$C$4:$C$2503,"&lt;="&amp;账期止))</f>
        <v/>
      </c>
      <c r="O450" s="26">
        <f>IF($A450="","",ROUND($N450*$K450,0))</f>
        <v/>
      </c>
      <c r="P450" s="27">
        <f>IF($A450="","",SUMIFS(出库单!$J$4:$J$4003,出库单!$D$4:$D$4003,$A450,出库单!$K$4:$K$4003,"自用消耗",出库单!$U$4:$U$4003,"正常",出库单!$C$4:$C$4003,"&gt;="&amp;账期起,出库单!$C$4:$C$4003,"&lt;="&amp;账期止))</f>
        <v/>
      </c>
      <c r="Q450" s="26">
        <f>IF($A450="","",ROUND(SUMIFS(出库单!$S$4:$S$4003,出库单!$D$4:$D$4003,$A450,出库单!$K$4:$K$4003,"自用消耗",出库单!$U$4:$U$4003,"正常",出库单!$C$4:$C$4003,"&gt;="&amp;账期起,出库单!$C$4:$C$4003,"&lt;="&amp;账期止),0))</f>
        <v/>
      </c>
      <c r="R450" s="27">
        <f>IF($A450="","",SUMIFS(出库单!$J$4:$J$4003,出库单!$D$4:$D$4003,$A450,出库单!$K$4:$K$4003,"对外销售",出库单!$U$4:$U$4003,"正常",出库单!$C$4:$C$4003,"&gt;="&amp;账期起,出库单!$C$4:$C$4003,"&lt;="&amp;账期止))</f>
        <v/>
      </c>
      <c r="S450" s="26">
        <f>IF($A450="","",ROUND(SUMIFS(出库单!$S$4:$S$4003,出库单!$D$4:$D$4003,$A450,出库单!$K$4:$K$4003,"对外销售",出库单!$U$4:$U$4003,"正常",出库单!$C$4:$C$4003,"&gt;="&amp;账期起,出库单!$C$4:$C$4003,"&lt;="&amp;账期止),0))</f>
        <v/>
      </c>
      <c r="T450" s="27">
        <f>IF($A450="","",SUMIFS(出库单!$J$4:$J$4003,出库单!$D$4:$D$4003,$A450,出库单!$K$4:$K$4003,"盘亏",出库单!$U$4:$U$4003,"正常",出库单!$C$4:$C$4003,"&gt;="&amp;账期起,出库单!$C$4:$C$4003,"&lt;="&amp;账期止))</f>
        <v/>
      </c>
      <c r="U450" s="26">
        <f>IF($A450="","",ROUND(SUMIFS(出库单!$S$4:$S$4003,出库单!$D$4:$D$4003,$A450,出库单!$K$4:$K$4003,"盘亏",出库单!$U$4:$U$4003,"正常",出库单!$C$4:$C$4003,"&gt;="&amp;账期起,出库单!$C$4:$C$4003,"&lt;="&amp;账期止),0))</f>
        <v/>
      </c>
      <c r="V450" s="27">
        <f>IF($A450="","",SUMIFS(出库单!$J$4:$J$4003,出库单!$D$4:$D$4003,$A450,出库单!$K$4:$K$4003,"退货给供应商",出库单!$U$4:$U$4003,"正常",出库单!$C$4:$C$4003,"&gt;="&amp;账期起,出库单!$C$4:$C$4003,"&lt;="&amp;账期止))</f>
        <v/>
      </c>
      <c r="W450" s="26">
        <f>IF($A450="","",ROUND(SUMIFS(出库单!$S$4:$S$4003,出库单!$D$4:$D$4003,$A450,出库单!$K$4:$K$4003,"退货给供应商",出库单!$U$4:$U$4003,"正常",出库单!$C$4:$C$4003,"&gt;="&amp;账期起,出库单!$C$4:$C$4003,"&lt;="&amp;账期止),0))</f>
        <v/>
      </c>
      <c r="X450" s="27">
        <f>IF($A450="","",ROUND(N($G450)+$I450+$L450+$N450-$P450-$R450-$T450-$V450,3))</f>
        <v/>
      </c>
      <c r="Y450" s="26">
        <f>IF($A450="","",ROUND(N($H450)+$J450+$M450+$O450-$Q450-$S450-$U450-$W450,0))</f>
        <v/>
      </c>
      <c r="Z450" s="24">
        <f>IF($A450="","",IF(COUNTIFS(入库单!$G$4:$G$2503,$A450,入库单!$Y$4:$Y$2503,"待补价")+COUNTIFS(入库单!$G$4:$G$2503,$A450,入库单!$Y$4:$Y$2503,"暂估")&gt;0,"不可信","可信"))</f>
        <v/>
      </c>
      <c r="AA450" s="24">
        <f>IF($A450="","",IF($X450&lt;-0.001,"※账面负库存，查一下是不是漏记入库",IF(AND(ROUND($X450,3)=0,ABS($Y450)&gt;1),"※数量已经是 0，金额还挂着 "&amp;TEXT($Y450,"#,##0")&amp;" 先令",IF(AND($X450&gt;0,$Y450&lt;=0,$K450=0),"※有数量没金额（这个物料一直没填过进价）",IF($Z450="不可信","△成本含待补价/暂估，毛利仅供参考","")))))</f>
        <v/>
      </c>
    </row>
    <row r="451">
      <c r="A451" s="24">
        <f>IF(物料档案!$A450="","",物料档案!$A450)</f>
        <v/>
      </c>
      <c r="B451" s="24">
        <f>IF($A451="","",IFERROR(VLOOKUP($A451,物料档案!$A$4:$P$1203,3,0),""))</f>
        <v/>
      </c>
      <c r="C451" s="24">
        <f>IF($A451="","",IFERROR(VLOOKUP($A451,物料档案!$A$4:$P$1203,4,0),""))</f>
        <v/>
      </c>
      <c r="D451" s="24">
        <f>IF($A451="","",IFERROR(VLOOKUP($A451,物料档案!$A$4:$P$1203,5,0),""))</f>
        <v/>
      </c>
      <c r="E451" s="24">
        <f>IF($A451="","",IFERROR(VLOOKUP($A451,物料档案!$A$4:$P$1203,2,0),""))</f>
        <v/>
      </c>
      <c r="F451" s="24">
        <f>IF($A451="","",IFERROR(VLOOKUP($A451,物料档案!$A$4:$P$1203,6,0),""))</f>
        <v/>
      </c>
      <c r="G451" s="23" t="n"/>
      <c r="H451" s="32" t="n"/>
      <c r="I451" s="27">
        <f>IF($A451="","",SUMIFS(入库单!$K$4:$K$2503,入库单!$G$4:$G$2503,$A451,入库单!$X$4:$X$2503,"采购入库",入库单!$Z$4:$Z$2503,"正常",入库单!$C$4:$C$2503,"&gt;="&amp;账期起,入库单!$C$4:$C$2503,"&lt;="&amp;账期止))</f>
        <v/>
      </c>
      <c r="J451" s="26">
        <f>IF($A451="","",SUMIFS(入库单!$V$4:$V$2503,入库单!$G$4:$G$2503,$A451,入库单!$X$4:$X$2503,"采购入库",入库单!$Z$4:$Z$2503,"正常",入库单!$C$4:$C$2503,"&gt;="&amp;账期起,入库单!$C$4:$C$2503,"&lt;="&amp;账期止))</f>
        <v/>
      </c>
      <c r="K451" s="26">
        <f>IF($A451="","",IFERROR(ROUND((N($H451)+N($J451))/(N($G451)+N($I451)),2),0))</f>
        <v/>
      </c>
      <c r="L451" s="27">
        <f>IF($A451="","",SUMIFS(入库单!$K$4:$K$2503,入库单!$G$4:$G$2503,$A451,入库单!$X$4:$X$2503,"盘盈",入库单!$Z$4:$Z$2503,"正常",入库单!$C$4:$C$2503,"&gt;="&amp;账期起,入库单!$C$4:$C$2503,"&lt;="&amp;账期止))</f>
        <v/>
      </c>
      <c r="M451" s="26">
        <f>IF($A451="","",ROUND($L451*$K451,0))</f>
        <v/>
      </c>
      <c r="N451" s="27">
        <f>IF($A451="","",SUMIFS(入库单!$K$4:$K$2503,入库单!$G$4:$G$2503,$A451,入库单!$X$4:$X$2503,"矿区退库",入库单!$Z$4:$Z$2503,"正常",入库单!$C$4:$C$2503,"&gt;="&amp;账期起,入库单!$C$4:$C$2503,"&lt;="&amp;账期止))</f>
        <v/>
      </c>
      <c r="O451" s="26">
        <f>IF($A451="","",ROUND($N451*$K451,0))</f>
        <v/>
      </c>
      <c r="P451" s="27">
        <f>IF($A451="","",SUMIFS(出库单!$J$4:$J$4003,出库单!$D$4:$D$4003,$A451,出库单!$K$4:$K$4003,"自用消耗",出库单!$U$4:$U$4003,"正常",出库单!$C$4:$C$4003,"&gt;="&amp;账期起,出库单!$C$4:$C$4003,"&lt;="&amp;账期止))</f>
        <v/>
      </c>
      <c r="Q451" s="26">
        <f>IF($A451="","",ROUND(SUMIFS(出库单!$S$4:$S$4003,出库单!$D$4:$D$4003,$A451,出库单!$K$4:$K$4003,"自用消耗",出库单!$U$4:$U$4003,"正常",出库单!$C$4:$C$4003,"&gt;="&amp;账期起,出库单!$C$4:$C$4003,"&lt;="&amp;账期止),0))</f>
        <v/>
      </c>
      <c r="R451" s="27">
        <f>IF($A451="","",SUMIFS(出库单!$J$4:$J$4003,出库单!$D$4:$D$4003,$A451,出库单!$K$4:$K$4003,"对外销售",出库单!$U$4:$U$4003,"正常",出库单!$C$4:$C$4003,"&gt;="&amp;账期起,出库单!$C$4:$C$4003,"&lt;="&amp;账期止))</f>
        <v/>
      </c>
      <c r="S451" s="26">
        <f>IF($A451="","",ROUND(SUMIFS(出库单!$S$4:$S$4003,出库单!$D$4:$D$4003,$A451,出库单!$K$4:$K$4003,"对外销售",出库单!$U$4:$U$4003,"正常",出库单!$C$4:$C$4003,"&gt;="&amp;账期起,出库单!$C$4:$C$4003,"&lt;="&amp;账期止),0))</f>
        <v/>
      </c>
      <c r="T451" s="27">
        <f>IF($A451="","",SUMIFS(出库单!$J$4:$J$4003,出库单!$D$4:$D$4003,$A451,出库单!$K$4:$K$4003,"盘亏",出库单!$U$4:$U$4003,"正常",出库单!$C$4:$C$4003,"&gt;="&amp;账期起,出库单!$C$4:$C$4003,"&lt;="&amp;账期止))</f>
        <v/>
      </c>
      <c r="U451" s="26">
        <f>IF($A451="","",ROUND(SUMIFS(出库单!$S$4:$S$4003,出库单!$D$4:$D$4003,$A451,出库单!$K$4:$K$4003,"盘亏",出库单!$U$4:$U$4003,"正常",出库单!$C$4:$C$4003,"&gt;="&amp;账期起,出库单!$C$4:$C$4003,"&lt;="&amp;账期止),0))</f>
        <v/>
      </c>
      <c r="V451" s="27">
        <f>IF($A451="","",SUMIFS(出库单!$J$4:$J$4003,出库单!$D$4:$D$4003,$A451,出库单!$K$4:$K$4003,"退货给供应商",出库单!$U$4:$U$4003,"正常",出库单!$C$4:$C$4003,"&gt;="&amp;账期起,出库单!$C$4:$C$4003,"&lt;="&amp;账期止))</f>
        <v/>
      </c>
      <c r="W451" s="26">
        <f>IF($A451="","",ROUND(SUMIFS(出库单!$S$4:$S$4003,出库单!$D$4:$D$4003,$A451,出库单!$K$4:$K$4003,"退货给供应商",出库单!$U$4:$U$4003,"正常",出库单!$C$4:$C$4003,"&gt;="&amp;账期起,出库单!$C$4:$C$4003,"&lt;="&amp;账期止),0))</f>
        <v/>
      </c>
      <c r="X451" s="27">
        <f>IF($A451="","",ROUND(N($G451)+$I451+$L451+$N451-$P451-$R451-$T451-$V451,3))</f>
        <v/>
      </c>
      <c r="Y451" s="26">
        <f>IF($A451="","",ROUND(N($H451)+$J451+$M451+$O451-$Q451-$S451-$U451-$W451,0))</f>
        <v/>
      </c>
      <c r="Z451" s="24">
        <f>IF($A451="","",IF(COUNTIFS(入库单!$G$4:$G$2503,$A451,入库单!$Y$4:$Y$2503,"待补价")+COUNTIFS(入库单!$G$4:$G$2503,$A451,入库单!$Y$4:$Y$2503,"暂估")&gt;0,"不可信","可信"))</f>
        <v/>
      </c>
      <c r="AA451" s="24">
        <f>IF($A451="","",IF($X451&lt;-0.001,"※账面负库存，查一下是不是漏记入库",IF(AND(ROUND($X451,3)=0,ABS($Y451)&gt;1),"※数量已经是 0，金额还挂着 "&amp;TEXT($Y451,"#,##0")&amp;" 先令",IF(AND($X451&gt;0,$Y451&lt;=0,$K451=0),"※有数量没金额（这个物料一直没填过进价）",IF($Z451="不可信","△成本含待补价/暂估，毛利仅供参考","")))))</f>
        <v/>
      </c>
    </row>
    <row r="452">
      <c r="A452" s="24">
        <f>IF(物料档案!$A451="","",物料档案!$A451)</f>
        <v/>
      </c>
      <c r="B452" s="24">
        <f>IF($A452="","",IFERROR(VLOOKUP($A452,物料档案!$A$4:$P$1203,3,0),""))</f>
        <v/>
      </c>
      <c r="C452" s="24">
        <f>IF($A452="","",IFERROR(VLOOKUP($A452,物料档案!$A$4:$P$1203,4,0),""))</f>
        <v/>
      </c>
      <c r="D452" s="24">
        <f>IF($A452="","",IFERROR(VLOOKUP($A452,物料档案!$A$4:$P$1203,5,0),""))</f>
        <v/>
      </c>
      <c r="E452" s="24">
        <f>IF($A452="","",IFERROR(VLOOKUP($A452,物料档案!$A$4:$P$1203,2,0),""))</f>
        <v/>
      </c>
      <c r="F452" s="24">
        <f>IF($A452="","",IFERROR(VLOOKUP($A452,物料档案!$A$4:$P$1203,6,0),""))</f>
        <v/>
      </c>
      <c r="G452" s="23" t="n"/>
      <c r="H452" s="32" t="n"/>
      <c r="I452" s="27">
        <f>IF($A452="","",SUMIFS(入库单!$K$4:$K$2503,入库单!$G$4:$G$2503,$A452,入库单!$X$4:$X$2503,"采购入库",入库单!$Z$4:$Z$2503,"正常",入库单!$C$4:$C$2503,"&gt;="&amp;账期起,入库单!$C$4:$C$2503,"&lt;="&amp;账期止))</f>
        <v/>
      </c>
      <c r="J452" s="26">
        <f>IF($A452="","",SUMIFS(入库单!$V$4:$V$2503,入库单!$G$4:$G$2503,$A452,入库单!$X$4:$X$2503,"采购入库",入库单!$Z$4:$Z$2503,"正常",入库单!$C$4:$C$2503,"&gt;="&amp;账期起,入库单!$C$4:$C$2503,"&lt;="&amp;账期止))</f>
        <v/>
      </c>
      <c r="K452" s="26">
        <f>IF($A452="","",IFERROR(ROUND((N($H452)+N($J452))/(N($G452)+N($I452)),2),0))</f>
        <v/>
      </c>
      <c r="L452" s="27">
        <f>IF($A452="","",SUMIFS(入库单!$K$4:$K$2503,入库单!$G$4:$G$2503,$A452,入库单!$X$4:$X$2503,"盘盈",入库单!$Z$4:$Z$2503,"正常",入库单!$C$4:$C$2503,"&gt;="&amp;账期起,入库单!$C$4:$C$2503,"&lt;="&amp;账期止))</f>
        <v/>
      </c>
      <c r="M452" s="26">
        <f>IF($A452="","",ROUND($L452*$K452,0))</f>
        <v/>
      </c>
      <c r="N452" s="27">
        <f>IF($A452="","",SUMIFS(入库单!$K$4:$K$2503,入库单!$G$4:$G$2503,$A452,入库单!$X$4:$X$2503,"矿区退库",入库单!$Z$4:$Z$2503,"正常",入库单!$C$4:$C$2503,"&gt;="&amp;账期起,入库单!$C$4:$C$2503,"&lt;="&amp;账期止))</f>
        <v/>
      </c>
      <c r="O452" s="26">
        <f>IF($A452="","",ROUND($N452*$K452,0))</f>
        <v/>
      </c>
      <c r="P452" s="27">
        <f>IF($A452="","",SUMIFS(出库单!$J$4:$J$4003,出库单!$D$4:$D$4003,$A452,出库单!$K$4:$K$4003,"自用消耗",出库单!$U$4:$U$4003,"正常",出库单!$C$4:$C$4003,"&gt;="&amp;账期起,出库单!$C$4:$C$4003,"&lt;="&amp;账期止))</f>
        <v/>
      </c>
      <c r="Q452" s="26">
        <f>IF($A452="","",ROUND(SUMIFS(出库单!$S$4:$S$4003,出库单!$D$4:$D$4003,$A452,出库单!$K$4:$K$4003,"自用消耗",出库单!$U$4:$U$4003,"正常",出库单!$C$4:$C$4003,"&gt;="&amp;账期起,出库单!$C$4:$C$4003,"&lt;="&amp;账期止),0))</f>
        <v/>
      </c>
      <c r="R452" s="27">
        <f>IF($A452="","",SUMIFS(出库单!$J$4:$J$4003,出库单!$D$4:$D$4003,$A452,出库单!$K$4:$K$4003,"对外销售",出库单!$U$4:$U$4003,"正常",出库单!$C$4:$C$4003,"&gt;="&amp;账期起,出库单!$C$4:$C$4003,"&lt;="&amp;账期止))</f>
        <v/>
      </c>
      <c r="S452" s="26">
        <f>IF($A452="","",ROUND(SUMIFS(出库单!$S$4:$S$4003,出库单!$D$4:$D$4003,$A452,出库单!$K$4:$K$4003,"对外销售",出库单!$U$4:$U$4003,"正常",出库单!$C$4:$C$4003,"&gt;="&amp;账期起,出库单!$C$4:$C$4003,"&lt;="&amp;账期止),0))</f>
        <v/>
      </c>
      <c r="T452" s="27">
        <f>IF($A452="","",SUMIFS(出库单!$J$4:$J$4003,出库单!$D$4:$D$4003,$A452,出库单!$K$4:$K$4003,"盘亏",出库单!$U$4:$U$4003,"正常",出库单!$C$4:$C$4003,"&gt;="&amp;账期起,出库单!$C$4:$C$4003,"&lt;="&amp;账期止))</f>
        <v/>
      </c>
      <c r="U452" s="26">
        <f>IF($A452="","",ROUND(SUMIFS(出库单!$S$4:$S$4003,出库单!$D$4:$D$4003,$A452,出库单!$K$4:$K$4003,"盘亏",出库单!$U$4:$U$4003,"正常",出库单!$C$4:$C$4003,"&gt;="&amp;账期起,出库单!$C$4:$C$4003,"&lt;="&amp;账期止),0))</f>
        <v/>
      </c>
      <c r="V452" s="27">
        <f>IF($A452="","",SUMIFS(出库单!$J$4:$J$4003,出库单!$D$4:$D$4003,$A452,出库单!$K$4:$K$4003,"退货给供应商",出库单!$U$4:$U$4003,"正常",出库单!$C$4:$C$4003,"&gt;="&amp;账期起,出库单!$C$4:$C$4003,"&lt;="&amp;账期止))</f>
        <v/>
      </c>
      <c r="W452" s="26">
        <f>IF($A452="","",ROUND(SUMIFS(出库单!$S$4:$S$4003,出库单!$D$4:$D$4003,$A452,出库单!$K$4:$K$4003,"退货给供应商",出库单!$U$4:$U$4003,"正常",出库单!$C$4:$C$4003,"&gt;="&amp;账期起,出库单!$C$4:$C$4003,"&lt;="&amp;账期止),0))</f>
        <v/>
      </c>
      <c r="X452" s="27">
        <f>IF($A452="","",ROUND(N($G452)+$I452+$L452+$N452-$P452-$R452-$T452-$V452,3))</f>
        <v/>
      </c>
      <c r="Y452" s="26">
        <f>IF($A452="","",ROUND(N($H452)+$J452+$M452+$O452-$Q452-$S452-$U452-$W452,0))</f>
        <v/>
      </c>
      <c r="Z452" s="24">
        <f>IF($A452="","",IF(COUNTIFS(入库单!$G$4:$G$2503,$A452,入库单!$Y$4:$Y$2503,"待补价")+COUNTIFS(入库单!$G$4:$G$2503,$A452,入库单!$Y$4:$Y$2503,"暂估")&gt;0,"不可信","可信"))</f>
        <v/>
      </c>
      <c r="AA452" s="24">
        <f>IF($A452="","",IF($X452&lt;-0.001,"※账面负库存，查一下是不是漏记入库",IF(AND(ROUND($X452,3)=0,ABS($Y452)&gt;1),"※数量已经是 0，金额还挂着 "&amp;TEXT($Y452,"#,##0")&amp;" 先令",IF(AND($X452&gt;0,$Y452&lt;=0,$K452=0),"※有数量没金额（这个物料一直没填过进价）",IF($Z452="不可信","△成本含待补价/暂估，毛利仅供参考","")))))</f>
        <v/>
      </c>
    </row>
    <row r="453">
      <c r="A453" s="24">
        <f>IF(物料档案!$A452="","",物料档案!$A452)</f>
        <v/>
      </c>
      <c r="B453" s="24">
        <f>IF($A453="","",IFERROR(VLOOKUP($A453,物料档案!$A$4:$P$1203,3,0),""))</f>
        <v/>
      </c>
      <c r="C453" s="24">
        <f>IF($A453="","",IFERROR(VLOOKUP($A453,物料档案!$A$4:$P$1203,4,0),""))</f>
        <v/>
      </c>
      <c r="D453" s="24">
        <f>IF($A453="","",IFERROR(VLOOKUP($A453,物料档案!$A$4:$P$1203,5,0),""))</f>
        <v/>
      </c>
      <c r="E453" s="24">
        <f>IF($A453="","",IFERROR(VLOOKUP($A453,物料档案!$A$4:$P$1203,2,0),""))</f>
        <v/>
      </c>
      <c r="F453" s="24">
        <f>IF($A453="","",IFERROR(VLOOKUP($A453,物料档案!$A$4:$P$1203,6,0),""))</f>
        <v/>
      </c>
      <c r="G453" s="23" t="n"/>
      <c r="H453" s="32" t="n"/>
      <c r="I453" s="27">
        <f>IF($A453="","",SUMIFS(入库单!$K$4:$K$2503,入库单!$G$4:$G$2503,$A453,入库单!$X$4:$X$2503,"采购入库",入库单!$Z$4:$Z$2503,"正常",入库单!$C$4:$C$2503,"&gt;="&amp;账期起,入库单!$C$4:$C$2503,"&lt;="&amp;账期止))</f>
        <v/>
      </c>
      <c r="J453" s="26">
        <f>IF($A453="","",SUMIFS(入库单!$V$4:$V$2503,入库单!$G$4:$G$2503,$A453,入库单!$X$4:$X$2503,"采购入库",入库单!$Z$4:$Z$2503,"正常",入库单!$C$4:$C$2503,"&gt;="&amp;账期起,入库单!$C$4:$C$2503,"&lt;="&amp;账期止))</f>
        <v/>
      </c>
      <c r="K453" s="26">
        <f>IF($A453="","",IFERROR(ROUND((N($H453)+N($J453))/(N($G453)+N($I453)),2),0))</f>
        <v/>
      </c>
      <c r="L453" s="27">
        <f>IF($A453="","",SUMIFS(入库单!$K$4:$K$2503,入库单!$G$4:$G$2503,$A453,入库单!$X$4:$X$2503,"盘盈",入库单!$Z$4:$Z$2503,"正常",入库单!$C$4:$C$2503,"&gt;="&amp;账期起,入库单!$C$4:$C$2503,"&lt;="&amp;账期止))</f>
        <v/>
      </c>
      <c r="M453" s="26">
        <f>IF($A453="","",ROUND($L453*$K453,0))</f>
        <v/>
      </c>
      <c r="N453" s="27">
        <f>IF($A453="","",SUMIFS(入库单!$K$4:$K$2503,入库单!$G$4:$G$2503,$A453,入库单!$X$4:$X$2503,"矿区退库",入库单!$Z$4:$Z$2503,"正常",入库单!$C$4:$C$2503,"&gt;="&amp;账期起,入库单!$C$4:$C$2503,"&lt;="&amp;账期止))</f>
        <v/>
      </c>
      <c r="O453" s="26">
        <f>IF($A453="","",ROUND($N453*$K453,0))</f>
        <v/>
      </c>
      <c r="P453" s="27">
        <f>IF($A453="","",SUMIFS(出库单!$J$4:$J$4003,出库单!$D$4:$D$4003,$A453,出库单!$K$4:$K$4003,"自用消耗",出库单!$U$4:$U$4003,"正常",出库单!$C$4:$C$4003,"&gt;="&amp;账期起,出库单!$C$4:$C$4003,"&lt;="&amp;账期止))</f>
        <v/>
      </c>
      <c r="Q453" s="26">
        <f>IF($A453="","",ROUND(SUMIFS(出库单!$S$4:$S$4003,出库单!$D$4:$D$4003,$A453,出库单!$K$4:$K$4003,"自用消耗",出库单!$U$4:$U$4003,"正常",出库单!$C$4:$C$4003,"&gt;="&amp;账期起,出库单!$C$4:$C$4003,"&lt;="&amp;账期止),0))</f>
        <v/>
      </c>
      <c r="R453" s="27">
        <f>IF($A453="","",SUMIFS(出库单!$J$4:$J$4003,出库单!$D$4:$D$4003,$A453,出库单!$K$4:$K$4003,"对外销售",出库单!$U$4:$U$4003,"正常",出库单!$C$4:$C$4003,"&gt;="&amp;账期起,出库单!$C$4:$C$4003,"&lt;="&amp;账期止))</f>
        <v/>
      </c>
      <c r="S453" s="26">
        <f>IF($A453="","",ROUND(SUMIFS(出库单!$S$4:$S$4003,出库单!$D$4:$D$4003,$A453,出库单!$K$4:$K$4003,"对外销售",出库单!$U$4:$U$4003,"正常",出库单!$C$4:$C$4003,"&gt;="&amp;账期起,出库单!$C$4:$C$4003,"&lt;="&amp;账期止),0))</f>
        <v/>
      </c>
      <c r="T453" s="27">
        <f>IF($A453="","",SUMIFS(出库单!$J$4:$J$4003,出库单!$D$4:$D$4003,$A453,出库单!$K$4:$K$4003,"盘亏",出库单!$U$4:$U$4003,"正常",出库单!$C$4:$C$4003,"&gt;="&amp;账期起,出库单!$C$4:$C$4003,"&lt;="&amp;账期止))</f>
        <v/>
      </c>
      <c r="U453" s="26">
        <f>IF($A453="","",ROUND(SUMIFS(出库单!$S$4:$S$4003,出库单!$D$4:$D$4003,$A453,出库单!$K$4:$K$4003,"盘亏",出库单!$U$4:$U$4003,"正常",出库单!$C$4:$C$4003,"&gt;="&amp;账期起,出库单!$C$4:$C$4003,"&lt;="&amp;账期止),0))</f>
        <v/>
      </c>
      <c r="V453" s="27">
        <f>IF($A453="","",SUMIFS(出库单!$J$4:$J$4003,出库单!$D$4:$D$4003,$A453,出库单!$K$4:$K$4003,"退货给供应商",出库单!$U$4:$U$4003,"正常",出库单!$C$4:$C$4003,"&gt;="&amp;账期起,出库单!$C$4:$C$4003,"&lt;="&amp;账期止))</f>
        <v/>
      </c>
      <c r="W453" s="26">
        <f>IF($A453="","",ROUND(SUMIFS(出库单!$S$4:$S$4003,出库单!$D$4:$D$4003,$A453,出库单!$K$4:$K$4003,"退货给供应商",出库单!$U$4:$U$4003,"正常",出库单!$C$4:$C$4003,"&gt;="&amp;账期起,出库单!$C$4:$C$4003,"&lt;="&amp;账期止),0))</f>
        <v/>
      </c>
      <c r="X453" s="27">
        <f>IF($A453="","",ROUND(N($G453)+$I453+$L453+$N453-$P453-$R453-$T453-$V453,3))</f>
        <v/>
      </c>
      <c r="Y453" s="26">
        <f>IF($A453="","",ROUND(N($H453)+$J453+$M453+$O453-$Q453-$S453-$U453-$W453,0))</f>
        <v/>
      </c>
      <c r="Z453" s="24">
        <f>IF($A453="","",IF(COUNTIFS(入库单!$G$4:$G$2503,$A453,入库单!$Y$4:$Y$2503,"待补价")+COUNTIFS(入库单!$G$4:$G$2503,$A453,入库单!$Y$4:$Y$2503,"暂估")&gt;0,"不可信","可信"))</f>
        <v/>
      </c>
      <c r="AA453" s="24">
        <f>IF($A453="","",IF($X453&lt;-0.001,"※账面负库存，查一下是不是漏记入库",IF(AND(ROUND($X453,3)=0,ABS($Y453)&gt;1),"※数量已经是 0，金额还挂着 "&amp;TEXT($Y453,"#,##0")&amp;" 先令",IF(AND($X453&gt;0,$Y453&lt;=0,$K453=0),"※有数量没金额（这个物料一直没填过进价）",IF($Z453="不可信","△成本含待补价/暂估，毛利仅供参考","")))))</f>
        <v/>
      </c>
    </row>
    <row r="454">
      <c r="A454" s="24">
        <f>IF(物料档案!$A453="","",物料档案!$A453)</f>
        <v/>
      </c>
      <c r="B454" s="24">
        <f>IF($A454="","",IFERROR(VLOOKUP($A454,物料档案!$A$4:$P$1203,3,0),""))</f>
        <v/>
      </c>
      <c r="C454" s="24">
        <f>IF($A454="","",IFERROR(VLOOKUP($A454,物料档案!$A$4:$P$1203,4,0),""))</f>
        <v/>
      </c>
      <c r="D454" s="24">
        <f>IF($A454="","",IFERROR(VLOOKUP($A454,物料档案!$A$4:$P$1203,5,0),""))</f>
        <v/>
      </c>
      <c r="E454" s="24">
        <f>IF($A454="","",IFERROR(VLOOKUP($A454,物料档案!$A$4:$P$1203,2,0),""))</f>
        <v/>
      </c>
      <c r="F454" s="24">
        <f>IF($A454="","",IFERROR(VLOOKUP($A454,物料档案!$A$4:$P$1203,6,0),""))</f>
        <v/>
      </c>
      <c r="G454" s="23" t="n"/>
      <c r="H454" s="32" t="n"/>
      <c r="I454" s="27">
        <f>IF($A454="","",SUMIFS(入库单!$K$4:$K$2503,入库单!$G$4:$G$2503,$A454,入库单!$X$4:$X$2503,"采购入库",入库单!$Z$4:$Z$2503,"正常",入库单!$C$4:$C$2503,"&gt;="&amp;账期起,入库单!$C$4:$C$2503,"&lt;="&amp;账期止))</f>
        <v/>
      </c>
      <c r="J454" s="26">
        <f>IF($A454="","",SUMIFS(入库单!$V$4:$V$2503,入库单!$G$4:$G$2503,$A454,入库单!$X$4:$X$2503,"采购入库",入库单!$Z$4:$Z$2503,"正常",入库单!$C$4:$C$2503,"&gt;="&amp;账期起,入库单!$C$4:$C$2503,"&lt;="&amp;账期止))</f>
        <v/>
      </c>
      <c r="K454" s="26">
        <f>IF($A454="","",IFERROR(ROUND((N($H454)+N($J454))/(N($G454)+N($I454)),2),0))</f>
        <v/>
      </c>
      <c r="L454" s="27">
        <f>IF($A454="","",SUMIFS(入库单!$K$4:$K$2503,入库单!$G$4:$G$2503,$A454,入库单!$X$4:$X$2503,"盘盈",入库单!$Z$4:$Z$2503,"正常",入库单!$C$4:$C$2503,"&gt;="&amp;账期起,入库单!$C$4:$C$2503,"&lt;="&amp;账期止))</f>
        <v/>
      </c>
      <c r="M454" s="26">
        <f>IF($A454="","",ROUND($L454*$K454,0))</f>
        <v/>
      </c>
      <c r="N454" s="27">
        <f>IF($A454="","",SUMIFS(入库单!$K$4:$K$2503,入库单!$G$4:$G$2503,$A454,入库单!$X$4:$X$2503,"矿区退库",入库单!$Z$4:$Z$2503,"正常",入库单!$C$4:$C$2503,"&gt;="&amp;账期起,入库单!$C$4:$C$2503,"&lt;="&amp;账期止))</f>
        <v/>
      </c>
      <c r="O454" s="26">
        <f>IF($A454="","",ROUND($N454*$K454,0))</f>
        <v/>
      </c>
      <c r="P454" s="27">
        <f>IF($A454="","",SUMIFS(出库单!$J$4:$J$4003,出库单!$D$4:$D$4003,$A454,出库单!$K$4:$K$4003,"自用消耗",出库单!$U$4:$U$4003,"正常",出库单!$C$4:$C$4003,"&gt;="&amp;账期起,出库单!$C$4:$C$4003,"&lt;="&amp;账期止))</f>
        <v/>
      </c>
      <c r="Q454" s="26">
        <f>IF($A454="","",ROUND(SUMIFS(出库单!$S$4:$S$4003,出库单!$D$4:$D$4003,$A454,出库单!$K$4:$K$4003,"自用消耗",出库单!$U$4:$U$4003,"正常",出库单!$C$4:$C$4003,"&gt;="&amp;账期起,出库单!$C$4:$C$4003,"&lt;="&amp;账期止),0))</f>
        <v/>
      </c>
      <c r="R454" s="27">
        <f>IF($A454="","",SUMIFS(出库单!$J$4:$J$4003,出库单!$D$4:$D$4003,$A454,出库单!$K$4:$K$4003,"对外销售",出库单!$U$4:$U$4003,"正常",出库单!$C$4:$C$4003,"&gt;="&amp;账期起,出库单!$C$4:$C$4003,"&lt;="&amp;账期止))</f>
        <v/>
      </c>
      <c r="S454" s="26">
        <f>IF($A454="","",ROUND(SUMIFS(出库单!$S$4:$S$4003,出库单!$D$4:$D$4003,$A454,出库单!$K$4:$K$4003,"对外销售",出库单!$U$4:$U$4003,"正常",出库单!$C$4:$C$4003,"&gt;="&amp;账期起,出库单!$C$4:$C$4003,"&lt;="&amp;账期止),0))</f>
        <v/>
      </c>
      <c r="T454" s="27">
        <f>IF($A454="","",SUMIFS(出库单!$J$4:$J$4003,出库单!$D$4:$D$4003,$A454,出库单!$K$4:$K$4003,"盘亏",出库单!$U$4:$U$4003,"正常",出库单!$C$4:$C$4003,"&gt;="&amp;账期起,出库单!$C$4:$C$4003,"&lt;="&amp;账期止))</f>
        <v/>
      </c>
      <c r="U454" s="26">
        <f>IF($A454="","",ROUND(SUMIFS(出库单!$S$4:$S$4003,出库单!$D$4:$D$4003,$A454,出库单!$K$4:$K$4003,"盘亏",出库单!$U$4:$U$4003,"正常",出库单!$C$4:$C$4003,"&gt;="&amp;账期起,出库单!$C$4:$C$4003,"&lt;="&amp;账期止),0))</f>
        <v/>
      </c>
      <c r="V454" s="27">
        <f>IF($A454="","",SUMIFS(出库单!$J$4:$J$4003,出库单!$D$4:$D$4003,$A454,出库单!$K$4:$K$4003,"退货给供应商",出库单!$U$4:$U$4003,"正常",出库单!$C$4:$C$4003,"&gt;="&amp;账期起,出库单!$C$4:$C$4003,"&lt;="&amp;账期止))</f>
        <v/>
      </c>
      <c r="W454" s="26">
        <f>IF($A454="","",ROUND(SUMIFS(出库单!$S$4:$S$4003,出库单!$D$4:$D$4003,$A454,出库单!$K$4:$K$4003,"退货给供应商",出库单!$U$4:$U$4003,"正常",出库单!$C$4:$C$4003,"&gt;="&amp;账期起,出库单!$C$4:$C$4003,"&lt;="&amp;账期止),0))</f>
        <v/>
      </c>
      <c r="X454" s="27">
        <f>IF($A454="","",ROUND(N($G454)+$I454+$L454+$N454-$P454-$R454-$T454-$V454,3))</f>
        <v/>
      </c>
      <c r="Y454" s="26">
        <f>IF($A454="","",ROUND(N($H454)+$J454+$M454+$O454-$Q454-$S454-$U454-$W454,0))</f>
        <v/>
      </c>
      <c r="Z454" s="24">
        <f>IF($A454="","",IF(COUNTIFS(入库单!$G$4:$G$2503,$A454,入库单!$Y$4:$Y$2503,"待补价")+COUNTIFS(入库单!$G$4:$G$2503,$A454,入库单!$Y$4:$Y$2503,"暂估")&gt;0,"不可信","可信"))</f>
        <v/>
      </c>
      <c r="AA454" s="24">
        <f>IF($A454="","",IF($X454&lt;-0.001,"※账面负库存，查一下是不是漏记入库",IF(AND(ROUND($X454,3)=0,ABS($Y454)&gt;1),"※数量已经是 0，金额还挂着 "&amp;TEXT($Y454,"#,##0")&amp;" 先令",IF(AND($X454&gt;0,$Y454&lt;=0,$K454=0),"※有数量没金额（这个物料一直没填过进价）",IF($Z454="不可信","△成本含待补价/暂估，毛利仅供参考","")))))</f>
        <v/>
      </c>
    </row>
    <row r="455">
      <c r="A455" s="24">
        <f>IF(物料档案!$A454="","",物料档案!$A454)</f>
        <v/>
      </c>
      <c r="B455" s="24">
        <f>IF($A455="","",IFERROR(VLOOKUP($A455,物料档案!$A$4:$P$1203,3,0),""))</f>
        <v/>
      </c>
      <c r="C455" s="24">
        <f>IF($A455="","",IFERROR(VLOOKUP($A455,物料档案!$A$4:$P$1203,4,0),""))</f>
        <v/>
      </c>
      <c r="D455" s="24">
        <f>IF($A455="","",IFERROR(VLOOKUP($A455,物料档案!$A$4:$P$1203,5,0),""))</f>
        <v/>
      </c>
      <c r="E455" s="24">
        <f>IF($A455="","",IFERROR(VLOOKUP($A455,物料档案!$A$4:$P$1203,2,0),""))</f>
        <v/>
      </c>
      <c r="F455" s="24">
        <f>IF($A455="","",IFERROR(VLOOKUP($A455,物料档案!$A$4:$P$1203,6,0),""))</f>
        <v/>
      </c>
      <c r="G455" s="23" t="n"/>
      <c r="H455" s="32" t="n"/>
      <c r="I455" s="27">
        <f>IF($A455="","",SUMIFS(入库单!$K$4:$K$2503,入库单!$G$4:$G$2503,$A455,入库单!$X$4:$X$2503,"采购入库",入库单!$Z$4:$Z$2503,"正常",入库单!$C$4:$C$2503,"&gt;="&amp;账期起,入库单!$C$4:$C$2503,"&lt;="&amp;账期止))</f>
        <v/>
      </c>
      <c r="J455" s="26">
        <f>IF($A455="","",SUMIFS(入库单!$V$4:$V$2503,入库单!$G$4:$G$2503,$A455,入库单!$X$4:$X$2503,"采购入库",入库单!$Z$4:$Z$2503,"正常",入库单!$C$4:$C$2503,"&gt;="&amp;账期起,入库单!$C$4:$C$2503,"&lt;="&amp;账期止))</f>
        <v/>
      </c>
      <c r="K455" s="26">
        <f>IF($A455="","",IFERROR(ROUND((N($H455)+N($J455))/(N($G455)+N($I455)),2),0))</f>
        <v/>
      </c>
      <c r="L455" s="27">
        <f>IF($A455="","",SUMIFS(入库单!$K$4:$K$2503,入库单!$G$4:$G$2503,$A455,入库单!$X$4:$X$2503,"盘盈",入库单!$Z$4:$Z$2503,"正常",入库单!$C$4:$C$2503,"&gt;="&amp;账期起,入库单!$C$4:$C$2503,"&lt;="&amp;账期止))</f>
        <v/>
      </c>
      <c r="M455" s="26">
        <f>IF($A455="","",ROUND($L455*$K455,0))</f>
        <v/>
      </c>
      <c r="N455" s="27">
        <f>IF($A455="","",SUMIFS(入库单!$K$4:$K$2503,入库单!$G$4:$G$2503,$A455,入库单!$X$4:$X$2503,"矿区退库",入库单!$Z$4:$Z$2503,"正常",入库单!$C$4:$C$2503,"&gt;="&amp;账期起,入库单!$C$4:$C$2503,"&lt;="&amp;账期止))</f>
        <v/>
      </c>
      <c r="O455" s="26">
        <f>IF($A455="","",ROUND($N455*$K455,0))</f>
        <v/>
      </c>
      <c r="P455" s="27">
        <f>IF($A455="","",SUMIFS(出库单!$J$4:$J$4003,出库单!$D$4:$D$4003,$A455,出库单!$K$4:$K$4003,"自用消耗",出库单!$U$4:$U$4003,"正常",出库单!$C$4:$C$4003,"&gt;="&amp;账期起,出库单!$C$4:$C$4003,"&lt;="&amp;账期止))</f>
        <v/>
      </c>
      <c r="Q455" s="26">
        <f>IF($A455="","",ROUND(SUMIFS(出库单!$S$4:$S$4003,出库单!$D$4:$D$4003,$A455,出库单!$K$4:$K$4003,"自用消耗",出库单!$U$4:$U$4003,"正常",出库单!$C$4:$C$4003,"&gt;="&amp;账期起,出库单!$C$4:$C$4003,"&lt;="&amp;账期止),0))</f>
        <v/>
      </c>
      <c r="R455" s="27">
        <f>IF($A455="","",SUMIFS(出库单!$J$4:$J$4003,出库单!$D$4:$D$4003,$A455,出库单!$K$4:$K$4003,"对外销售",出库单!$U$4:$U$4003,"正常",出库单!$C$4:$C$4003,"&gt;="&amp;账期起,出库单!$C$4:$C$4003,"&lt;="&amp;账期止))</f>
        <v/>
      </c>
      <c r="S455" s="26">
        <f>IF($A455="","",ROUND(SUMIFS(出库单!$S$4:$S$4003,出库单!$D$4:$D$4003,$A455,出库单!$K$4:$K$4003,"对外销售",出库单!$U$4:$U$4003,"正常",出库单!$C$4:$C$4003,"&gt;="&amp;账期起,出库单!$C$4:$C$4003,"&lt;="&amp;账期止),0))</f>
        <v/>
      </c>
      <c r="T455" s="27">
        <f>IF($A455="","",SUMIFS(出库单!$J$4:$J$4003,出库单!$D$4:$D$4003,$A455,出库单!$K$4:$K$4003,"盘亏",出库单!$U$4:$U$4003,"正常",出库单!$C$4:$C$4003,"&gt;="&amp;账期起,出库单!$C$4:$C$4003,"&lt;="&amp;账期止))</f>
        <v/>
      </c>
      <c r="U455" s="26">
        <f>IF($A455="","",ROUND(SUMIFS(出库单!$S$4:$S$4003,出库单!$D$4:$D$4003,$A455,出库单!$K$4:$K$4003,"盘亏",出库单!$U$4:$U$4003,"正常",出库单!$C$4:$C$4003,"&gt;="&amp;账期起,出库单!$C$4:$C$4003,"&lt;="&amp;账期止),0))</f>
        <v/>
      </c>
      <c r="V455" s="27">
        <f>IF($A455="","",SUMIFS(出库单!$J$4:$J$4003,出库单!$D$4:$D$4003,$A455,出库单!$K$4:$K$4003,"退货给供应商",出库单!$U$4:$U$4003,"正常",出库单!$C$4:$C$4003,"&gt;="&amp;账期起,出库单!$C$4:$C$4003,"&lt;="&amp;账期止))</f>
        <v/>
      </c>
      <c r="W455" s="26">
        <f>IF($A455="","",ROUND(SUMIFS(出库单!$S$4:$S$4003,出库单!$D$4:$D$4003,$A455,出库单!$K$4:$K$4003,"退货给供应商",出库单!$U$4:$U$4003,"正常",出库单!$C$4:$C$4003,"&gt;="&amp;账期起,出库单!$C$4:$C$4003,"&lt;="&amp;账期止),0))</f>
        <v/>
      </c>
      <c r="X455" s="27">
        <f>IF($A455="","",ROUND(N($G455)+$I455+$L455+$N455-$P455-$R455-$T455-$V455,3))</f>
        <v/>
      </c>
      <c r="Y455" s="26">
        <f>IF($A455="","",ROUND(N($H455)+$J455+$M455+$O455-$Q455-$S455-$U455-$W455,0))</f>
        <v/>
      </c>
      <c r="Z455" s="24">
        <f>IF($A455="","",IF(COUNTIFS(入库单!$G$4:$G$2503,$A455,入库单!$Y$4:$Y$2503,"待补价")+COUNTIFS(入库单!$G$4:$G$2503,$A455,入库单!$Y$4:$Y$2503,"暂估")&gt;0,"不可信","可信"))</f>
        <v/>
      </c>
      <c r="AA455" s="24">
        <f>IF($A455="","",IF($X455&lt;-0.001,"※账面负库存，查一下是不是漏记入库",IF(AND(ROUND($X455,3)=0,ABS($Y455)&gt;1),"※数量已经是 0，金额还挂着 "&amp;TEXT($Y455,"#,##0")&amp;" 先令",IF(AND($X455&gt;0,$Y455&lt;=0,$K455=0),"※有数量没金额（这个物料一直没填过进价）",IF($Z455="不可信","△成本含待补价/暂估，毛利仅供参考","")))))</f>
        <v/>
      </c>
    </row>
    <row r="456">
      <c r="A456" s="24">
        <f>IF(物料档案!$A455="","",物料档案!$A455)</f>
        <v/>
      </c>
      <c r="B456" s="24">
        <f>IF($A456="","",IFERROR(VLOOKUP($A456,物料档案!$A$4:$P$1203,3,0),""))</f>
        <v/>
      </c>
      <c r="C456" s="24">
        <f>IF($A456="","",IFERROR(VLOOKUP($A456,物料档案!$A$4:$P$1203,4,0),""))</f>
        <v/>
      </c>
      <c r="D456" s="24">
        <f>IF($A456="","",IFERROR(VLOOKUP($A456,物料档案!$A$4:$P$1203,5,0),""))</f>
        <v/>
      </c>
      <c r="E456" s="24">
        <f>IF($A456="","",IFERROR(VLOOKUP($A456,物料档案!$A$4:$P$1203,2,0),""))</f>
        <v/>
      </c>
      <c r="F456" s="24">
        <f>IF($A456="","",IFERROR(VLOOKUP($A456,物料档案!$A$4:$P$1203,6,0),""))</f>
        <v/>
      </c>
      <c r="G456" s="23" t="n"/>
      <c r="H456" s="32" t="n"/>
      <c r="I456" s="27">
        <f>IF($A456="","",SUMIFS(入库单!$K$4:$K$2503,入库单!$G$4:$G$2503,$A456,入库单!$X$4:$X$2503,"采购入库",入库单!$Z$4:$Z$2503,"正常",入库单!$C$4:$C$2503,"&gt;="&amp;账期起,入库单!$C$4:$C$2503,"&lt;="&amp;账期止))</f>
        <v/>
      </c>
      <c r="J456" s="26">
        <f>IF($A456="","",SUMIFS(入库单!$V$4:$V$2503,入库单!$G$4:$G$2503,$A456,入库单!$X$4:$X$2503,"采购入库",入库单!$Z$4:$Z$2503,"正常",入库单!$C$4:$C$2503,"&gt;="&amp;账期起,入库单!$C$4:$C$2503,"&lt;="&amp;账期止))</f>
        <v/>
      </c>
      <c r="K456" s="26">
        <f>IF($A456="","",IFERROR(ROUND((N($H456)+N($J456))/(N($G456)+N($I456)),2),0))</f>
        <v/>
      </c>
      <c r="L456" s="27">
        <f>IF($A456="","",SUMIFS(入库单!$K$4:$K$2503,入库单!$G$4:$G$2503,$A456,入库单!$X$4:$X$2503,"盘盈",入库单!$Z$4:$Z$2503,"正常",入库单!$C$4:$C$2503,"&gt;="&amp;账期起,入库单!$C$4:$C$2503,"&lt;="&amp;账期止))</f>
        <v/>
      </c>
      <c r="M456" s="26">
        <f>IF($A456="","",ROUND($L456*$K456,0))</f>
        <v/>
      </c>
      <c r="N456" s="27">
        <f>IF($A456="","",SUMIFS(入库单!$K$4:$K$2503,入库单!$G$4:$G$2503,$A456,入库单!$X$4:$X$2503,"矿区退库",入库单!$Z$4:$Z$2503,"正常",入库单!$C$4:$C$2503,"&gt;="&amp;账期起,入库单!$C$4:$C$2503,"&lt;="&amp;账期止))</f>
        <v/>
      </c>
      <c r="O456" s="26">
        <f>IF($A456="","",ROUND($N456*$K456,0))</f>
        <v/>
      </c>
      <c r="P456" s="27">
        <f>IF($A456="","",SUMIFS(出库单!$J$4:$J$4003,出库单!$D$4:$D$4003,$A456,出库单!$K$4:$K$4003,"自用消耗",出库单!$U$4:$U$4003,"正常",出库单!$C$4:$C$4003,"&gt;="&amp;账期起,出库单!$C$4:$C$4003,"&lt;="&amp;账期止))</f>
        <v/>
      </c>
      <c r="Q456" s="26">
        <f>IF($A456="","",ROUND(SUMIFS(出库单!$S$4:$S$4003,出库单!$D$4:$D$4003,$A456,出库单!$K$4:$K$4003,"自用消耗",出库单!$U$4:$U$4003,"正常",出库单!$C$4:$C$4003,"&gt;="&amp;账期起,出库单!$C$4:$C$4003,"&lt;="&amp;账期止),0))</f>
        <v/>
      </c>
      <c r="R456" s="27">
        <f>IF($A456="","",SUMIFS(出库单!$J$4:$J$4003,出库单!$D$4:$D$4003,$A456,出库单!$K$4:$K$4003,"对外销售",出库单!$U$4:$U$4003,"正常",出库单!$C$4:$C$4003,"&gt;="&amp;账期起,出库单!$C$4:$C$4003,"&lt;="&amp;账期止))</f>
        <v/>
      </c>
      <c r="S456" s="26">
        <f>IF($A456="","",ROUND(SUMIFS(出库单!$S$4:$S$4003,出库单!$D$4:$D$4003,$A456,出库单!$K$4:$K$4003,"对外销售",出库单!$U$4:$U$4003,"正常",出库单!$C$4:$C$4003,"&gt;="&amp;账期起,出库单!$C$4:$C$4003,"&lt;="&amp;账期止),0))</f>
        <v/>
      </c>
      <c r="T456" s="27">
        <f>IF($A456="","",SUMIFS(出库单!$J$4:$J$4003,出库单!$D$4:$D$4003,$A456,出库单!$K$4:$K$4003,"盘亏",出库单!$U$4:$U$4003,"正常",出库单!$C$4:$C$4003,"&gt;="&amp;账期起,出库单!$C$4:$C$4003,"&lt;="&amp;账期止))</f>
        <v/>
      </c>
      <c r="U456" s="26">
        <f>IF($A456="","",ROUND(SUMIFS(出库单!$S$4:$S$4003,出库单!$D$4:$D$4003,$A456,出库单!$K$4:$K$4003,"盘亏",出库单!$U$4:$U$4003,"正常",出库单!$C$4:$C$4003,"&gt;="&amp;账期起,出库单!$C$4:$C$4003,"&lt;="&amp;账期止),0))</f>
        <v/>
      </c>
      <c r="V456" s="27">
        <f>IF($A456="","",SUMIFS(出库单!$J$4:$J$4003,出库单!$D$4:$D$4003,$A456,出库单!$K$4:$K$4003,"退货给供应商",出库单!$U$4:$U$4003,"正常",出库单!$C$4:$C$4003,"&gt;="&amp;账期起,出库单!$C$4:$C$4003,"&lt;="&amp;账期止))</f>
        <v/>
      </c>
      <c r="W456" s="26">
        <f>IF($A456="","",ROUND(SUMIFS(出库单!$S$4:$S$4003,出库单!$D$4:$D$4003,$A456,出库单!$K$4:$K$4003,"退货给供应商",出库单!$U$4:$U$4003,"正常",出库单!$C$4:$C$4003,"&gt;="&amp;账期起,出库单!$C$4:$C$4003,"&lt;="&amp;账期止),0))</f>
        <v/>
      </c>
      <c r="X456" s="27">
        <f>IF($A456="","",ROUND(N($G456)+$I456+$L456+$N456-$P456-$R456-$T456-$V456,3))</f>
        <v/>
      </c>
      <c r="Y456" s="26">
        <f>IF($A456="","",ROUND(N($H456)+$J456+$M456+$O456-$Q456-$S456-$U456-$W456,0))</f>
        <v/>
      </c>
      <c r="Z456" s="24">
        <f>IF($A456="","",IF(COUNTIFS(入库单!$G$4:$G$2503,$A456,入库单!$Y$4:$Y$2503,"待补价")+COUNTIFS(入库单!$G$4:$G$2503,$A456,入库单!$Y$4:$Y$2503,"暂估")&gt;0,"不可信","可信"))</f>
        <v/>
      </c>
      <c r="AA456" s="24">
        <f>IF($A456="","",IF($X456&lt;-0.001,"※账面负库存，查一下是不是漏记入库",IF(AND(ROUND($X456,3)=0,ABS($Y456)&gt;1),"※数量已经是 0，金额还挂着 "&amp;TEXT($Y456,"#,##0")&amp;" 先令",IF(AND($X456&gt;0,$Y456&lt;=0,$K456=0),"※有数量没金额（这个物料一直没填过进价）",IF($Z456="不可信","△成本含待补价/暂估，毛利仅供参考","")))))</f>
        <v/>
      </c>
    </row>
    <row r="457">
      <c r="A457" s="24">
        <f>IF(物料档案!$A456="","",物料档案!$A456)</f>
        <v/>
      </c>
      <c r="B457" s="24">
        <f>IF($A457="","",IFERROR(VLOOKUP($A457,物料档案!$A$4:$P$1203,3,0),""))</f>
        <v/>
      </c>
      <c r="C457" s="24">
        <f>IF($A457="","",IFERROR(VLOOKUP($A457,物料档案!$A$4:$P$1203,4,0),""))</f>
        <v/>
      </c>
      <c r="D457" s="24">
        <f>IF($A457="","",IFERROR(VLOOKUP($A457,物料档案!$A$4:$P$1203,5,0),""))</f>
        <v/>
      </c>
      <c r="E457" s="24">
        <f>IF($A457="","",IFERROR(VLOOKUP($A457,物料档案!$A$4:$P$1203,2,0),""))</f>
        <v/>
      </c>
      <c r="F457" s="24">
        <f>IF($A457="","",IFERROR(VLOOKUP($A457,物料档案!$A$4:$P$1203,6,0),""))</f>
        <v/>
      </c>
      <c r="G457" s="23" t="n"/>
      <c r="H457" s="32" t="n"/>
      <c r="I457" s="27">
        <f>IF($A457="","",SUMIFS(入库单!$K$4:$K$2503,入库单!$G$4:$G$2503,$A457,入库单!$X$4:$X$2503,"采购入库",入库单!$Z$4:$Z$2503,"正常",入库单!$C$4:$C$2503,"&gt;="&amp;账期起,入库单!$C$4:$C$2503,"&lt;="&amp;账期止))</f>
        <v/>
      </c>
      <c r="J457" s="26">
        <f>IF($A457="","",SUMIFS(入库单!$V$4:$V$2503,入库单!$G$4:$G$2503,$A457,入库单!$X$4:$X$2503,"采购入库",入库单!$Z$4:$Z$2503,"正常",入库单!$C$4:$C$2503,"&gt;="&amp;账期起,入库单!$C$4:$C$2503,"&lt;="&amp;账期止))</f>
        <v/>
      </c>
      <c r="K457" s="26">
        <f>IF($A457="","",IFERROR(ROUND((N($H457)+N($J457))/(N($G457)+N($I457)),2),0))</f>
        <v/>
      </c>
      <c r="L457" s="27">
        <f>IF($A457="","",SUMIFS(入库单!$K$4:$K$2503,入库单!$G$4:$G$2503,$A457,入库单!$X$4:$X$2503,"盘盈",入库单!$Z$4:$Z$2503,"正常",入库单!$C$4:$C$2503,"&gt;="&amp;账期起,入库单!$C$4:$C$2503,"&lt;="&amp;账期止))</f>
        <v/>
      </c>
      <c r="M457" s="26">
        <f>IF($A457="","",ROUND($L457*$K457,0))</f>
        <v/>
      </c>
      <c r="N457" s="27">
        <f>IF($A457="","",SUMIFS(入库单!$K$4:$K$2503,入库单!$G$4:$G$2503,$A457,入库单!$X$4:$X$2503,"矿区退库",入库单!$Z$4:$Z$2503,"正常",入库单!$C$4:$C$2503,"&gt;="&amp;账期起,入库单!$C$4:$C$2503,"&lt;="&amp;账期止))</f>
        <v/>
      </c>
      <c r="O457" s="26">
        <f>IF($A457="","",ROUND($N457*$K457,0))</f>
        <v/>
      </c>
      <c r="P457" s="27">
        <f>IF($A457="","",SUMIFS(出库单!$J$4:$J$4003,出库单!$D$4:$D$4003,$A457,出库单!$K$4:$K$4003,"自用消耗",出库单!$U$4:$U$4003,"正常",出库单!$C$4:$C$4003,"&gt;="&amp;账期起,出库单!$C$4:$C$4003,"&lt;="&amp;账期止))</f>
        <v/>
      </c>
      <c r="Q457" s="26">
        <f>IF($A457="","",ROUND(SUMIFS(出库单!$S$4:$S$4003,出库单!$D$4:$D$4003,$A457,出库单!$K$4:$K$4003,"自用消耗",出库单!$U$4:$U$4003,"正常",出库单!$C$4:$C$4003,"&gt;="&amp;账期起,出库单!$C$4:$C$4003,"&lt;="&amp;账期止),0))</f>
        <v/>
      </c>
      <c r="R457" s="27">
        <f>IF($A457="","",SUMIFS(出库单!$J$4:$J$4003,出库单!$D$4:$D$4003,$A457,出库单!$K$4:$K$4003,"对外销售",出库单!$U$4:$U$4003,"正常",出库单!$C$4:$C$4003,"&gt;="&amp;账期起,出库单!$C$4:$C$4003,"&lt;="&amp;账期止))</f>
        <v/>
      </c>
      <c r="S457" s="26">
        <f>IF($A457="","",ROUND(SUMIFS(出库单!$S$4:$S$4003,出库单!$D$4:$D$4003,$A457,出库单!$K$4:$K$4003,"对外销售",出库单!$U$4:$U$4003,"正常",出库单!$C$4:$C$4003,"&gt;="&amp;账期起,出库单!$C$4:$C$4003,"&lt;="&amp;账期止),0))</f>
        <v/>
      </c>
      <c r="T457" s="27">
        <f>IF($A457="","",SUMIFS(出库单!$J$4:$J$4003,出库单!$D$4:$D$4003,$A457,出库单!$K$4:$K$4003,"盘亏",出库单!$U$4:$U$4003,"正常",出库单!$C$4:$C$4003,"&gt;="&amp;账期起,出库单!$C$4:$C$4003,"&lt;="&amp;账期止))</f>
        <v/>
      </c>
      <c r="U457" s="26">
        <f>IF($A457="","",ROUND(SUMIFS(出库单!$S$4:$S$4003,出库单!$D$4:$D$4003,$A457,出库单!$K$4:$K$4003,"盘亏",出库单!$U$4:$U$4003,"正常",出库单!$C$4:$C$4003,"&gt;="&amp;账期起,出库单!$C$4:$C$4003,"&lt;="&amp;账期止),0))</f>
        <v/>
      </c>
      <c r="V457" s="27">
        <f>IF($A457="","",SUMIFS(出库单!$J$4:$J$4003,出库单!$D$4:$D$4003,$A457,出库单!$K$4:$K$4003,"退货给供应商",出库单!$U$4:$U$4003,"正常",出库单!$C$4:$C$4003,"&gt;="&amp;账期起,出库单!$C$4:$C$4003,"&lt;="&amp;账期止))</f>
        <v/>
      </c>
      <c r="W457" s="26">
        <f>IF($A457="","",ROUND(SUMIFS(出库单!$S$4:$S$4003,出库单!$D$4:$D$4003,$A457,出库单!$K$4:$K$4003,"退货给供应商",出库单!$U$4:$U$4003,"正常",出库单!$C$4:$C$4003,"&gt;="&amp;账期起,出库单!$C$4:$C$4003,"&lt;="&amp;账期止),0))</f>
        <v/>
      </c>
      <c r="X457" s="27">
        <f>IF($A457="","",ROUND(N($G457)+$I457+$L457+$N457-$P457-$R457-$T457-$V457,3))</f>
        <v/>
      </c>
      <c r="Y457" s="26">
        <f>IF($A457="","",ROUND(N($H457)+$J457+$M457+$O457-$Q457-$S457-$U457-$W457,0))</f>
        <v/>
      </c>
      <c r="Z457" s="24">
        <f>IF($A457="","",IF(COUNTIFS(入库单!$G$4:$G$2503,$A457,入库单!$Y$4:$Y$2503,"待补价")+COUNTIFS(入库单!$G$4:$G$2503,$A457,入库单!$Y$4:$Y$2503,"暂估")&gt;0,"不可信","可信"))</f>
        <v/>
      </c>
      <c r="AA457" s="24">
        <f>IF($A457="","",IF($X457&lt;-0.001,"※账面负库存，查一下是不是漏记入库",IF(AND(ROUND($X457,3)=0,ABS($Y457)&gt;1),"※数量已经是 0，金额还挂着 "&amp;TEXT($Y457,"#,##0")&amp;" 先令",IF(AND($X457&gt;0,$Y457&lt;=0,$K457=0),"※有数量没金额（这个物料一直没填过进价）",IF($Z457="不可信","△成本含待补价/暂估，毛利仅供参考","")))))</f>
        <v/>
      </c>
    </row>
    <row r="458">
      <c r="A458" s="24">
        <f>IF(物料档案!$A457="","",物料档案!$A457)</f>
        <v/>
      </c>
      <c r="B458" s="24">
        <f>IF($A458="","",IFERROR(VLOOKUP($A458,物料档案!$A$4:$P$1203,3,0),""))</f>
        <v/>
      </c>
      <c r="C458" s="24">
        <f>IF($A458="","",IFERROR(VLOOKUP($A458,物料档案!$A$4:$P$1203,4,0),""))</f>
        <v/>
      </c>
      <c r="D458" s="24">
        <f>IF($A458="","",IFERROR(VLOOKUP($A458,物料档案!$A$4:$P$1203,5,0),""))</f>
        <v/>
      </c>
      <c r="E458" s="24">
        <f>IF($A458="","",IFERROR(VLOOKUP($A458,物料档案!$A$4:$P$1203,2,0),""))</f>
        <v/>
      </c>
      <c r="F458" s="24">
        <f>IF($A458="","",IFERROR(VLOOKUP($A458,物料档案!$A$4:$P$1203,6,0),""))</f>
        <v/>
      </c>
      <c r="G458" s="23" t="n"/>
      <c r="H458" s="32" t="n"/>
      <c r="I458" s="27">
        <f>IF($A458="","",SUMIFS(入库单!$K$4:$K$2503,入库单!$G$4:$G$2503,$A458,入库单!$X$4:$X$2503,"采购入库",入库单!$Z$4:$Z$2503,"正常",入库单!$C$4:$C$2503,"&gt;="&amp;账期起,入库单!$C$4:$C$2503,"&lt;="&amp;账期止))</f>
        <v/>
      </c>
      <c r="J458" s="26">
        <f>IF($A458="","",SUMIFS(入库单!$V$4:$V$2503,入库单!$G$4:$G$2503,$A458,入库单!$X$4:$X$2503,"采购入库",入库单!$Z$4:$Z$2503,"正常",入库单!$C$4:$C$2503,"&gt;="&amp;账期起,入库单!$C$4:$C$2503,"&lt;="&amp;账期止))</f>
        <v/>
      </c>
      <c r="K458" s="26">
        <f>IF($A458="","",IFERROR(ROUND((N($H458)+N($J458))/(N($G458)+N($I458)),2),0))</f>
        <v/>
      </c>
      <c r="L458" s="27">
        <f>IF($A458="","",SUMIFS(入库单!$K$4:$K$2503,入库单!$G$4:$G$2503,$A458,入库单!$X$4:$X$2503,"盘盈",入库单!$Z$4:$Z$2503,"正常",入库单!$C$4:$C$2503,"&gt;="&amp;账期起,入库单!$C$4:$C$2503,"&lt;="&amp;账期止))</f>
        <v/>
      </c>
      <c r="M458" s="26">
        <f>IF($A458="","",ROUND($L458*$K458,0))</f>
        <v/>
      </c>
      <c r="N458" s="27">
        <f>IF($A458="","",SUMIFS(入库单!$K$4:$K$2503,入库单!$G$4:$G$2503,$A458,入库单!$X$4:$X$2503,"矿区退库",入库单!$Z$4:$Z$2503,"正常",入库单!$C$4:$C$2503,"&gt;="&amp;账期起,入库单!$C$4:$C$2503,"&lt;="&amp;账期止))</f>
        <v/>
      </c>
      <c r="O458" s="26">
        <f>IF($A458="","",ROUND($N458*$K458,0))</f>
        <v/>
      </c>
      <c r="P458" s="27">
        <f>IF($A458="","",SUMIFS(出库单!$J$4:$J$4003,出库单!$D$4:$D$4003,$A458,出库单!$K$4:$K$4003,"自用消耗",出库单!$U$4:$U$4003,"正常",出库单!$C$4:$C$4003,"&gt;="&amp;账期起,出库单!$C$4:$C$4003,"&lt;="&amp;账期止))</f>
        <v/>
      </c>
      <c r="Q458" s="26">
        <f>IF($A458="","",ROUND(SUMIFS(出库单!$S$4:$S$4003,出库单!$D$4:$D$4003,$A458,出库单!$K$4:$K$4003,"自用消耗",出库单!$U$4:$U$4003,"正常",出库单!$C$4:$C$4003,"&gt;="&amp;账期起,出库单!$C$4:$C$4003,"&lt;="&amp;账期止),0))</f>
        <v/>
      </c>
      <c r="R458" s="27">
        <f>IF($A458="","",SUMIFS(出库单!$J$4:$J$4003,出库单!$D$4:$D$4003,$A458,出库单!$K$4:$K$4003,"对外销售",出库单!$U$4:$U$4003,"正常",出库单!$C$4:$C$4003,"&gt;="&amp;账期起,出库单!$C$4:$C$4003,"&lt;="&amp;账期止))</f>
        <v/>
      </c>
      <c r="S458" s="26">
        <f>IF($A458="","",ROUND(SUMIFS(出库单!$S$4:$S$4003,出库单!$D$4:$D$4003,$A458,出库单!$K$4:$K$4003,"对外销售",出库单!$U$4:$U$4003,"正常",出库单!$C$4:$C$4003,"&gt;="&amp;账期起,出库单!$C$4:$C$4003,"&lt;="&amp;账期止),0))</f>
        <v/>
      </c>
      <c r="T458" s="27">
        <f>IF($A458="","",SUMIFS(出库单!$J$4:$J$4003,出库单!$D$4:$D$4003,$A458,出库单!$K$4:$K$4003,"盘亏",出库单!$U$4:$U$4003,"正常",出库单!$C$4:$C$4003,"&gt;="&amp;账期起,出库单!$C$4:$C$4003,"&lt;="&amp;账期止))</f>
        <v/>
      </c>
      <c r="U458" s="26">
        <f>IF($A458="","",ROUND(SUMIFS(出库单!$S$4:$S$4003,出库单!$D$4:$D$4003,$A458,出库单!$K$4:$K$4003,"盘亏",出库单!$U$4:$U$4003,"正常",出库单!$C$4:$C$4003,"&gt;="&amp;账期起,出库单!$C$4:$C$4003,"&lt;="&amp;账期止),0))</f>
        <v/>
      </c>
      <c r="V458" s="27">
        <f>IF($A458="","",SUMIFS(出库单!$J$4:$J$4003,出库单!$D$4:$D$4003,$A458,出库单!$K$4:$K$4003,"退货给供应商",出库单!$U$4:$U$4003,"正常",出库单!$C$4:$C$4003,"&gt;="&amp;账期起,出库单!$C$4:$C$4003,"&lt;="&amp;账期止))</f>
        <v/>
      </c>
      <c r="W458" s="26">
        <f>IF($A458="","",ROUND(SUMIFS(出库单!$S$4:$S$4003,出库单!$D$4:$D$4003,$A458,出库单!$K$4:$K$4003,"退货给供应商",出库单!$U$4:$U$4003,"正常",出库单!$C$4:$C$4003,"&gt;="&amp;账期起,出库单!$C$4:$C$4003,"&lt;="&amp;账期止),0))</f>
        <v/>
      </c>
      <c r="X458" s="27">
        <f>IF($A458="","",ROUND(N($G458)+$I458+$L458+$N458-$P458-$R458-$T458-$V458,3))</f>
        <v/>
      </c>
      <c r="Y458" s="26">
        <f>IF($A458="","",ROUND(N($H458)+$J458+$M458+$O458-$Q458-$S458-$U458-$W458,0))</f>
        <v/>
      </c>
      <c r="Z458" s="24">
        <f>IF($A458="","",IF(COUNTIFS(入库单!$G$4:$G$2503,$A458,入库单!$Y$4:$Y$2503,"待补价")+COUNTIFS(入库单!$G$4:$G$2503,$A458,入库单!$Y$4:$Y$2503,"暂估")&gt;0,"不可信","可信"))</f>
        <v/>
      </c>
      <c r="AA458" s="24">
        <f>IF($A458="","",IF($X458&lt;-0.001,"※账面负库存，查一下是不是漏记入库",IF(AND(ROUND($X458,3)=0,ABS($Y458)&gt;1),"※数量已经是 0，金额还挂着 "&amp;TEXT($Y458,"#,##0")&amp;" 先令",IF(AND($X458&gt;0,$Y458&lt;=0,$K458=0),"※有数量没金额（这个物料一直没填过进价）",IF($Z458="不可信","△成本含待补价/暂估，毛利仅供参考","")))))</f>
        <v/>
      </c>
    </row>
    <row r="459">
      <c r="A459" s="24">
        <f>IF(物料档案!$A458="","",物料档案!$A458)</f>
        <v/>
      </c>
      <c r="B459" s="24">
        <f>IF($A459="","",IFERROR(VLOOKUP($A459,物料档案!$A$4:$P$1203,3,0),""))</f>
        <v/>
      </c>
      <c r="C459" s="24">
        <f>IF($A459="","",IFERROR(VLOOKUP($A459,物料档案!$A$4:$P$1203,4,0),""))</f>
        <v/>
      </c>
      <c r="D459" s="24">
        <f>IF($A459="","",IFERROR(VLOOKUP($A459,物料档案!$A$4:$P$1203,5,0),""))</f>
        <v/>
      </c>
      <c r="E459" s="24">
        <f>IF($A459="","",IFERROR(VLOOKUP($A459,物料档案!$A$4:$P$1203,2,0),""))</f>
        <v/>
      </c>
      <c r="F459" s="24">
        <f>IF($A459="","",IFERROR(VLOOKUP($A459,物料档案!$A$4:$P$1203,6,0),""))</f>
        <v/>
      </c>
      <c r="G459" s="23" t="n"/>
      <c r="H459" s="32" t="n"/>
      <c r="I459" s="27">
        <f>IF($A459="","",SUMIFS(入库单!$K$4:$K$2503,入库单!$G$4:$G$2503,$A459,入库单!$X$4:$X$2503,"采购入库",入库单!$Z$4:$Z$2503,"正常",入库单!$C$4:$C$2503,"&gt;="&amp;账期起,入库单!$C$4:$C$2503,"&lt;="&amp;账期止))</f>
        <v/>
      </c>
      <c r="J459" s="26">
        <f>IF($A459="","",SUMIFS(入库单!$V$4:$V$2503,入库单!$G$4:$G$2503,$A459,入库单!$X$4:$X$2503,"采购入库",入库单!$Z$4:$Z$2503,"正常",入库单!$C$4:$C$2503,"&gt;="&amp;账期起,入库单!$C$4:$C$2503,"&lt;="&amp;账期止))</f>
        <v/>
      </c>
      <c r="K459" s="26">
        <f>IF($A459="","",IFERROR(ROUND((N($H459)+N($J459))/(N($G459)+N($I459)),2),0))</f>
        <v/>
      </c>
      <c r="L459" s="27">
        <f>IF($A459="","",SUMIFS(入库单!$K$4:$K$2503,入库单!$G$4:$G$2503,$A459,入库单!$X$4:$X$2503,"盘盈",入库单!$Z$4:$Z$2503,"正常",入库单!$C$4:$C$2503,"&gt;="&amp;账期起,入库单!$C$4:$C$2503,"&lt;="&amp;账期止))</f>
        <v/>
      </c>
      <c r="M459" s="26">
        <f>IF($A459="","",ROUND($L459*$K459,0))</f>
        <v/>
      </c>
      <c r="N459" s="27">
        <f>IF($A459="","",SUMIFS(入库单!$K$4:$K$2503,入库单!$G$4:$G$2503,$A459,入库单!$X$4:$X$2503,"矿区退库",入库单!$Z$4:$Z$2503,"正常",入库单!$C$4:$C$2503,"&gt;="&amp;账期起,入库单!$C$4:$C$2503,"&lt;="&amp;账期止))</f>
        <v/>
      </c>
      <c r="O459" s="26">
        <f>IF($A459="","",ROUND($N459*$K459,0))</f>
        <v/>
      </c>
      <c r="P459" s="27">
        <f>IF($A459="","",SUMIFS(出库单!$J$4:$J$4003,出库单!$D$4:$D$4003,$A459,出库单!$K$4:$K$4003,"自用消耗",出库单!$U$4:$U$4003,"正常",出库单!$C$4:$C$4003,"&gt;="&amp;账期起,出库单!$C$4:$C$4003,"&lt;="&amp;账期止))</f>
        <v/>
      </c>
      <c r="Q459" s="26">
        <f>IF($A459="","",ROUND(SUMIFS(出库单!$S$4:$S$4003,出库单!$D$4:$D$4003,$A459,出库单!$K$4:$K$4003,"自用消耗",出库单!$U$4:$U$4003,"正常",出库单!$C$4:$C$4003,"&gt;="&amp;账期起,出库单!$C$4:$C$4003,"&lt;="&amp;账期止),0))</f>
        <v/>
      </c>
      <c r="R459" s="27">
        <f>IF($A459="","",SUMIFS(出库单!$J$4:$J$4003,出库单!$D$4:$D$4003,$A459,出库单!$K$4:$K$4003,"对外销售",出库单!$U$4:$U$4003,"正常",出库单!$C$4:$C$4003,"&gt;="&amp;账期起,出库单!$C$4:$C$4003,"&lt;="&amp;账期止))</f>
        <v/>
      </c>
      <c r="S459" s="26">
        <f>IF($A459="","",ROUND(SUMIFS(出库单!$S$4:$S$4003,出库单!$D$4:$D$4003,$A459,出库单!$K$4:$K$4003,"对外销售",出库单!$U$4:$U$4003,"正常",出库单!$C$4:$C$4003,"&gt;="&amp;账期起,出库单!$C$4:$C$4003,"&lt;="&amp;账期止),0))</f>
        <v/>
      </c>
      <c r="T459" s="27">
        <f>IF($A459="","",SUMIFS(出库单!$J$4:$J$4003,出库单!$D$4:$D$4003,$A459,出库单!$K$4:$K$4003,"盘亏",出库单!$U$4:$U$4003,"正常",出库单!$C$4:$C$4003,"&gt;="&amp;账期起,出库单!$C$4:$C$4003,"&lt;="&amp;账期止))</f>
        <v/>
      </c>
      <c r="U459" s="26">
        <f>IF($A459="","",ROUND(SUMIFS(出库单!$S$4:$S$4003,出库单!$D$4:$D$4003,$A459,出库单!$K$4:$K$4003,"盘亏",出库单!$U$4:$U$4003,"正常",出库单!$C$4:$C$4003,"&gt;="&amp;账期起,出库单!$C$4:$C$4003,"&lt;="&amp;账期止),0))</f>
        <v/>
      </c>
      <c r="V459" s="27">
        <f>IF($A459="","",SUMIFS(出库单!$J$4:$J$4003,出库单!$D$4:$D$4003,$A459,出库单!$K$4:$K$4003,"退货给供应商",出库单!$U$4:$U$4003,"正常",出库单!$C$4:$C$4003,"&gt;="&amp;账期起,出库单!$C$4:$C$4003,"&lt;="&amp;账期止))</f>
        <v/>
      </c>
      <c r="W459" s="26">
        <f>IF($A459="","",ROUND(SUMIFS(出库单!$S$4:$S$4003,出库单!$D$4:$D$4003,$A459,出库单!$K$4:$K$4003,"退货给供应商",出库单!$U$4:$U$4003,"正常",出库单!$C$4:$C$4003,"&gt;="&amp;账期起,出库单!$C$4:$C$4003,"&lt;="&amp;账期止),0))</f>
        <v/>
      </c>
      <c r="X459" s="27">
        <f>IF($A459="","",ROUND(N($G459)+$I459+$L459+$N459-$P459-$R459-$T459-$V459,3))</f>
        <v/>
      </c>
      <c r="Y459" s="26">
        <f>IF($A459="","",ROUND(N($H459)+$J459+$M459+$O459-$Q459-$S459-$U459-$W459,0))</f>
        <v/>
      </c>
      <c r="Z459" s="24">
        <f>IF($A459="","",IF(COUNTIFS(入库单!$G$4:$G$2503,$A459,入库单!$Y$4:$Y$2503,"待补价")+COUNTIFS(入库单!$G$4:$G$2503,$A459,入库单!$Y$4:$Y$2503,"暂估")&gt;0,"不可信","可信"))</f>
        <v/>
      </c>
      <c r="AA459" s="24">
        <f>IF($A459="","",IF($X459&lt;-0.001,"※账面负库存，查一下是不是漏记入库",IF(AND(ROUND($X459,3)=0,ABS($Y459)&gt;1),"※数量已经是 0，金额还挂着 "&amp;TEXT($Y459,"#,##0")&amp;" 先令",IF(AND($X459&gt;0,$Y459&lt;=0,$K459=0),"※有数量没金额（这个物料一直没填过进价）",IF($Z459="不可信","△成本含待补价/暂估，毛利仅供参考","")))))</f>
        <v/>
      </c>
    </row>
    <row r="460">
      <c r="A460" s="24">
        <f>IF(物料档案!$A459="","",物料档案!$A459)</f>
        <v/>
      </c>
      <c r="B460" s="24">
        <f>IF($A460="","",IFERROR(VLOOKUP($A460,物料档案!$A$4:$P$1203,3,0),""))</f>
        <v/>
      </c>
      <c r="C460" s="24">
        <f>IF($A460="","",IFERROR(VLOOKUP($A460,物料档案!$A$4:$P$1203,4,0),""))</f>
        <v/>
      </c>
      <c r="D460" s="24">
        <f>IF($A460="","",IFERROR(VLOOKUP($A460,物料档案!$A$4:$P$1203,5,0),""))</f>
        <v/>
      </c>
      <c r="E460" s="24">
        <f>IF($A460="","",IFERROR(VLOOKUP($A460,物料档案!$A$4:$P$1203,2,0),""))</f>
        <v/>
      </c>
      <c r="F460" s="24">
        <f>IF($A460="","",IFERROR(VLOOKUP($A460,物料档案!$A$4:$P$1203,6,0),""))</f>
        <v/>
      </c>
      <c r="G460" s="23" t="n"/>
      <c r="H460" s="32" t="n"/>
      <c r="I460" s="27">
        <f>IF($A460="","",SUMIFS(入库单!$K$4:$K$2503,入库单!$G$4:$G$2503,$A460,入库单!$X$4:$X$2503,"采购入库",入库单!$Z$4:$Z$2503,"正常",入库单!$C$4:$C$2503,"&gt;="&amp;账期起,入库单!$C$4:$C$2503,"&lt;="&amp;账期止))</f>
        <v/>
      </c>
      <c r="J460" s="26">
        <f>IF($A460="","",SUMIFS(入库单!$V$4:$V$2503,入库单!$G$4:$G$2503,$A460,入库单!$X$4:$X$2503,"采购入库",入库单!$Z$4:$Z$2503,"正常",入库单!$C$4:$C$2503,"&gt;="&amp;账期起,入库单!$C$4:$C$2503,"&lt;="&amp;账期止))</f>
        <v/>
      </c>
      <c r="K460" s="26">
        <f>IF($A460="","",IFERROR(ROUND((N($H460)+N($J460))/(N($G460)+N($I460)),2),0))</f>
        <v/>
      </c>
      <c r="L460" s="27">
        <f>IF($A460="","",SUMIFS(入库单!$K$4:$K$2503,入库单!$G$4:$G$2503,$A460,入库单!$X$4:$X$2503,"盘盈",入库单!$Z$4:$Z$2503,"正常",入库单!$C$4:$C$2503,"&gt;="&amp;账期起,入库单!$C$4:$C$2503,"&lt;="&amp;账期止))</f>
        <v/>
      </c>
      <c r="M460" s="26">
        <f>IF($A460="","",ROUND($L460*$K460,0))</f>
        <v/>
      </c>
      <c r="N460" s="27">
        <f>IF($A460="","",SUMIFS(入库单!$K$4:$K$2503,入库单!$G$4:$G$2503,$A460,入库单!$X$4:$X$2503,"矿区退库",入库单!$Z$4:$Z$2503,"正常",入库单!$C$4:$C$2503,"&gt;="&amp;账期起,入库单!$C$4:$C$2503,"&lt;="&amp;账期止))</f>
        <v/>
      </c>
      <c r="O460" s="26">
        <f>IF($A460="","",ROUND($N460*$K460,0))</f>
        <v/>
      </c>
      <c r="P460" s="27">
        <f>IF($A460="","",SUMIFS(出库单!$J$4:$J$4003,出库单!$D$4:$D$4003,$A460,出库单!$K$4:$K$4003,"自用消耗",出库单!$U$4:$U$4003,"正常",出库单!$C$4:$C$4003,"&gt;="&amp;账期起,出库单!$C$4:$C$4003,"&lt;="&amp;账期止))</f>
        <v/>
      </c>
      <c r="Q460" s="26">
        <f>IF($A460="","",ROUND(SUMIFS(出库单!$S$4:$S$4003,出库单!$D$4:$D$4003,$A460,出库单!$K$4:$K$4003,"自用消耗",出库单!$U$4:$U$4003,"正常",出库单!$C$4:$C$4003,"&gt;="&amp;账期起,出库单!$C$4:$C$4003,"&lt;="&amp;账期止),0))</f>
        <v/>
      </c>
      <c r="R460" s="27">
        <f>IF($A460="","",SUMIFS(出库单!$J$4:$J$4003,出库单!$D$4:$D$4003,$A460,出库单!$K$4:$K$4003,"对外销售",出库单!$U$4:$U$4003,"正常",出库单!$C$4:$C$4003,"&gt;="&amp;账期起,出库单!$C$4:$C$4003,"&lt;="&amp;账期止))</f>
        <v/>
      </c>
      <c r="S460" s="26">
        <f>IF($A460="","",ROUND(SUMIFS(出库单!$S$4:$S$4003,出库单!$D$4:$D$4003,$A460,出库单!$K$4:$K$4003,"对外销售",出库单!$U$4:$U$4003,"正常",出库单!$C$4:$C$4003,"&gt;="&amp;账期起,出库单!$C$4:$C$4003,"&lt;="&amp;账期止),0))</f>
        <v/>
      </c>
      <c r="T460" s="27">
        <f>IF($A460="","",SUMIFS(出库单!$J$4:$J$4003,出库单!$D$4:$D$4003,$A460,出库单!$K$4:$K$4003,"盘亏",出库单!$U$4:$U$4003,"正常",出库单!$C$4:$C$4003,"&gt;="&amp;账期起,出库单!$C$4:$C$4003,"&lt;="&amp;账期止))</f>
        <v/>
      </c>
      <c r="U460" s="26">
        <f>IF($A460="","",ROUND(SUMIFS(出库单!$S$4:$S$4003,出库单!$D$4:$D$4003,$A460,出库单!$K$4:$K$4003,"盘亏",出库单!$U$4:$U$4003,"正常",出库单!$C$4:$C$4003,"&gt;="&amp;账期起,出库单!$C$4:$C$4003,"&lt;="&amp;账期止),0))</f>
        <v/>
      </c>
      <c r="V460" s="27">
        <f>IF($A460="","",SUMIFS(出库单!$J$4:$J$4003,出库单!$D$4:$D$4003,$A460,出库单!$K$4:$K$4003,"退货给供应商",出库单!$U$4:$U$4003,"正常",出库单!$C$4:$C$4003,"&gt;="&amp;账期起,出库单!$C$4:$C$4003,"&lt;="&amp;账期止))</f>
        <v/>
      </c>
      <c r="W460" s="26">
        <f>IF($A460="","",ROUND(SUMIFS(出库单!$S$4:$S$4003,出库单!$D$4:$D$4003,$A460,出库单!$K$4:$K$4003,"退货给供应商",出库单!$U$4:$U$4003,"正常",出库单!$C$4:$C$4003,"&gt;="&amp;账期起,出库单!$C$4:$C$4003,"&lt;="&amp;账期止),0))</f>
        <v/>
      </c>
      <c r="X460" s="27">
        <f>IF($A460="","",ROUND(N($G460)+$I460+$L460+$N460-$P460-$R460-$T460-$V460,3))</f>
        <v/>
      </c>
      <c r="Y460" s="26">
        <f>IF($A460="","",ROUND(N($H460)+$J460+$M460+$O460-$Q460-$S460-$U460-$W460,0))</f>
        <v/>
      </c>
      <c r="Z460" s="24">
        <f>IF($A460="","",IF(COUNTIFS(入库单!$G$4:$G$2503,$A460,入库单!$Y$4:$Y$2503,"待补价")+COUNTIFS(入库单!$G$4:$G$2503,$A460,入库单!$Y$4:$Y$2503,"暂估")&gt;0,"不可信","可信"))</f>
        <v/>
      </c>
      <c r="AA460" s="24">
        <f>IF($A460="","",IF($X460&lt;-0.001,"※账面负库存，查一下是不是漏记入库",IF(AND(ROUND($X460,3)=0,ABS($Y460)&gt;1),"※数量已经是 0，金额还挂着 "&amp;TEXT($Y460,"#,##0")&amp;" 先令",IF(AND($X460&gt;0,$Y460&lt;=0,$K460=0),"※有数量没金额（这个物料一直没填过进价）",IF($Z460="不可信","△成本含待补价/暂估，毛利仅供参考","")))))</f>
        <v/>
      </c>
    </row>
    <row r="461">
      <c r="A461" s="24">
        <f>IF(物料档案!$A460="","",物料档案!$A460)</f>
        <v/>
      </c>
      <c r="B461" s="24">
        <f>IF($A461="","",IFERROR(VLOOKUP($A461,物料档案!$A$4:$P$1203,3,0),""))</f>
        <v/>
      </c>
      <c r="C461" s="24">
        <f>IF($A461="","",IFERROR(VLOOKUP($A461,物料档案!$A$4:$P$1203,4,0),""))</f>
        <v/>
      </c>
      <c r="D461" s="24">
        <f>IF($A461="","",IFERROR(VLOOKUP($A461,物料档案!$A$4:$P$1203,5,0),""))</f>
        <v/>
      </c>
      <c r="E461" s="24">
        <f>IF($A461="","",IFERROR(VLOOKUP($A461,物料档案!$A$4:$P$1203,2,0),""))</f>
        <v/>
      </c>
      <c r="F461" s="24">
        <f>IF($A461="","",IFERROR(VLOOKUP($A461,物料档案!$A$4:$P$1203,6,0),""))</f>
        <v/>
      </c>
      <c r="G461" s="23" t="n"/>
      <c r="H461" s="32" t="n"/>
      <c r="I461" s="27">
        <f>IF($A461="","",SUMIFS(入库单!$K$4:$K$2503,入库单!$G$4:$G$2503,$A461,入库单!$X$4:$X$2503,"采购入库",入库单!$Z$4:$Z$2503,"正常",入库单!$C$4:$C$2503,"&gt;="&amp;账期起,入库单!$C$4:$C$2503,"&lt;="&amp;账期止))</f>
        <v/>
      </c>
      <c r="J461" s="26">
        <f>IF($A461="","",SUMIFS(入库单!$V$4:$V$2503,入库单!$G$4:$G$2503,$A461,入库单!$X$4:$X$2503,"采购入库",入库单!$Z$4:$Z$2503,"正常",入库单!$C$4:$C$2503,"&gt;="&amp;账期起,入库单!$C$4:$C$2503,"&lt;="&amp;账期止))</f>
        <v/>
      </c>
      <c r="K461" s="26">
        <f>IF($A461="","",IFERROR(ROUND((N($H461)+N($J461))/(N($G461)+N($I461)),2),0))</f>
        <v/>
      </c>
      <c r="L461" s="27">
        <f>IF($A461="","",SUMIFS(入库单!$K$4:$K$2503,入库单!$G$4:$G$2503,$A461,入库单!$X$4:$X$2503,"盘盈",入库单!$Z$4:$Z$2503,"正常",入库单!$C$4:$C$2503,"&gt;="&amp;账期起,入库单!$C$4:$C$2503,"&lt;="&amp;账期止))</f>
        <v/>
      </c>
      <c r="M461" s="26">
        <f>IF($A461="","",ROUND($L461*$K461,0))</f>
        <v/>
      </c>
      <c r="N461" s="27">
        <f>IF($A461="","",SUMIFS(入库单!$K$4:$K$2503,入库单!$G$4:$G$2503,$A461,入库单!$X$4:$X$2503,"矿区退库",入库单!$Z$4:$Z$2503,"正常",入库单!$C$4:$C$2503,"&gt;="&amp;账期起,入库单!$C$4:$C$2503,"&lt;="&amp;账期止))</f>
        <v/>
      </c>
      <c r="O461" s="26">
        <f>IF($A461="","",ROUND($N461*$K461,0))</f>
        <v/>
      </c>
      <c r="P461" s="27">
        <f>IF($A461="","",SUMIFS(出库单!$J$4:$J$4003,出库单!$D$4:$D$4003,$A461,出库单!$K$4:$K$4003,"自用消耗",出库单!$U$4:$U$4003,"正常",出库单!$C$4:$C$4003,"&gt;="&amp;账期起,出库单!$C$4:$C$4003,"&lt;="&amp;账期止))</f>
        <v/>
      </c>
      <c r="Q461" s="26">
        <f>IF($A461="","",ROUND(SUMIFS(出库单!$S$4:$S$4003,出库单!$D$4:$D$4003,$A461,出库单!$K$4:$K$4003,"自用消耗",出库单!$U$4:$U$4003,"正常",出库单!$C$4:$C$4003,"&gt;="&amp;账期起,出库单!$C$4:$C$4003,"&lt;="&amp;账期止),0))</f>
        <v/>
      </c>
      <c r="R461" s="27">
        <f>IF($A461="","",SUMIFS(出库单!$J$4:$J$4003,出库单!$D$4:$D$4003,$A461,出库单!$K$4:$K$4003,"对外销售",出库单!$U$4:$U$4003,"正常",出库单!$C$4:$C$4003,"&gt;="&amp;账期起,出库单!$C$4:$C$4003,"&lt;="&amp;账期止))</f>
        <v/>
      </c>
      <c r="S461" s="26">
        <f>IF($A461="","",ROUND(SUMIFS(出库单!$S$4:$S$4003,出库单!$D$4:$D$4003,$A461,出库单!$K$4:$K$4003,"对外销售",出库单!$U$4:$U$4003,"正常",出库单!$C$4:$C$4003,"&gt;="&amp;账期起,出库单!$C$4:$C$4003,"&lt;="&amp;账期止),0))</f>
        <v/>
      </c>
      <c r="T461" s="27">
        <f>IF($A461="","",SUMIFS(出库单!$J$4:$J$4003,出库单!$D$4:$D$4003,$A461,出库单!$K$4:$K$4003,"盘亏",出库单!$U$4:$U$4003,"正常",出库单!$C$4:$C$4003,"&gt;="&amp;账期起,出库单!$C$4:$C$4003,"&lt;="&amp;账期止))</f>
        <v/>
      </c>
      <c r="U461" s="26">
        <f>IF($A461="","",ROUND(SUMIFS(出库单!$S$4:$S$4003,出库单!$D$4:$D$4003,$A461,出库单!$K$4:$K$4003,"盘亏",出库单!$U$4:$U$4003,"正常",出库单!$C$4:$C$4003,"&gt;="&amp;账期起,出库单!$C$4:$C$4003,"&lt;="&amp;账期止),0))</f>
        <v/>
      </c>
      <c r="V461" s="27">
        <f>IF($A461="","",SUMIFS(出库单!$J$4:$J$4003,出库单!$D$4:$D$4003,$A461,出库单!$K$4:$K$4003,"退货给供应商",出库单!$U$4:$U$4003,"正常",出库单!$C$4:$C$4003,"&gt;="&amp;账期起,出库单!$C$4:$C$4003,"&lt;="&amp;账期止))</f>
        <v/>
      </c>
      <c r="W461" s="26">
        <f>IF($A461="","",ROUND(SUMIFS(出库单!$S$4:$S$4003,出库单!$D$4:$D$4003,$A461,出库单!$K$4:$K$4003,"退货给供应商",出库单!$U$4:$U$4003,"正常",出库单!$C$4:$C$4003,"&gt;="&amp;账期起,出库单!$C$4:$C$4003,"&lt;="&amp;账期止),0))</f>
        <v/>
      </c>
      <c r="X461" s="27">
        <f>IF($A461="","",ROUND(N($G461)+$I461+$L461+$N461-$P461-$R461-$T461-$V461,3))</f>
        <v/>
      </c>
      <c r="Y461" s="26">
        <f>IF($A461="","",ROUND(N($H461)+$J461+$M461+$O461-$Q461-$S461-$U461-$W461,0))</f>
        <v/>
      </c>
      <c r="Z461" s="24">
        <f>IF($A461="","",IF(COUNTIFS(入库单!$G$4:$G$2503,$A461,入库单!$Y$4:$Y$2503,"待补价")+COUNTIFS(入库单!$G$4:$G$2503,$A461,入库单!$Y$4:$Y$2503,"暂估")&gt;0,"不可信","可信"))</f>
        <v/>
      </c>
      <c r="AA461" s="24">
        <f>IF($A461="","",IF($X461&lt;-0.001,"※账面负库存，查一下是不是漏记入库",IF(AND(ROUND($X461,3)=0,ABS($Y461)&gt;1),"※数量已经是 0，金额还挂着 "&amp;TEXT($Y461,"#,##0")&amp;" 先令",IF(AND($X461&gt;0,$Y461&lt;=0,$K461=0),"※有数量没金额（这个物料一直没填过进价）",IF($Z461="不可信","△成本含待补价/暂估，毛利仅供参考","")))))</f>
        <v/>
      </c>
    </row>
    <row r="462">
      <c r="A462" s="24">
        <f>IF(物料档案!$A461="","",物料档案!$A461)</f>
        <v/>
      </c>
      <c r="B462" s="24">
        <f>IF($A462="","",IFERROR(VLOOKUP($A462,物料档案!$A$4:$P$1203,3,0),""))</f>
        <v/>
      </c>
      <c r="C462" s="24">
        <f>IF($A462="","",IFERROR(VLOOKUP($A462,物料档案!$A$4:$P$1203,4,0),""))</f>
        <v/>
      </c>
      <c r="D462" s="24">
        <f>IF($A462="","",IFERROR(VLOOKUP($A462,物料档案!$A$4:$P$1203,5,0),""))</f>
        <v/>
      </c>
      <c r="E462" s="24">
        <f>IF($A462="","",IFERROR(VLOOKUP($A462,物料档案!$A$4:$P$1203,2,0),""))</f>
        <v/>
      </c>
      <c r="F462" s="24">
        <f>IF($A462="","",IFERROR(VLOOKUP($A462,物料档案!$A$4:$P$1203,6,0),""))</f>
        <v/>
      </c>
      <c r="G462" s="23" t="n"/>
      <c r="H462" s="32" t="n"/>
      <c r="I462" s="27">
        <f>IF($A462="","",SUMIFS(入库单!$K$4:$K$2503,入库单!$G$4:$G$2503,$A462,入库单!$X$4:$X$2503,"采购入库",入库单!$Z$4:$Z$2503,"正常",入库单!$C$4:$C$2503,"&gt;="&amp;账期起,入库单!$C$4:$C$2503,"&lt;="&amp;账期止))</f>
        <v/>
      </c>
      <c r="J462" s="26">
        <f>IF($A462="","",SUMIFS(入库单!$V$4:$V$2503,入库单!$G$4:$G$2503,$A462,入库单!$X$4:$X$2503,"采购入库",入库单!$Z$4:$Z$2503,"正常",入库单!$C$4:$C$2503,"&gt;="&amp;账期起,入库单!$C$4:$C$2503,"&lt;="&amp;账期止))</f>
        <v/>
      </c>
      <c r="K462" s="26">
        <f>IF($A462="","",IFERROR(ROUND((N($H462)+N($J462))/(N($G462)+N($I462)),2),0))</f>
        <v/>
      </c>
      <c r="L462" s="27">
        <f>IF($A462="","",SUMIFS(入库单!$K$4:$K$2503,入库单!$G$4:$G$2503,$A462,入库单!$X$4:$X$2503,"盘盈",入库单!$Z$4:$Z$2503,"正常",入库单!$C$4:$C$2503,"&gt;="&amp;账期起,入库单!$C$4:$C$2503,"&lt;="&amp;账期止))</f>
        <v/>
      </c>
      <c r="M462" s="26">
        <f>IF($A462="","",ROUND($L462*$K462,0))</f>
        <v/>
      </c>
      <c r="N462" s="27">
        <f>IF($A462="","",SUMIFS(入库单!$K$4:$K$2503,入库单!$G$4:$G$2503,$A462,入库单!$X$4:$X$2503,"矿区退库",入库单!$Z$4:$Z$2503,"正常",入库单!$C$4:$C$2503,"&gt;="&amp;账期起,入库单!$C$4:$C$2503,"&lt;="&amp;账期止))</f>
        <v/>
      </c>
      <c r="O462" s="26">
        <f>IF($A462="","",ROUND($N462*$K462,0))</f>
        <v/>
      </c>
      <c r="P462" s="27">
        <f>IF($A462="","",SUMIFS(出库单!$J$4:$J$4003,出库单!$D$4:$D$4003,$A462,出库单!$K$4:$K$4003,"自用消耗",出库单!$U$4:$U$4003,"正常",出库单!$C$4:$C$4003,"&gt;="&amp;账期起,出库单!$C$4:$C$4003,"&lt;="&amp;账期止))</f>
        <v/>
      </c>
      <c r="Q462" s="26">
        <f>IF($A462="","",ROUND(SUMIFS(出库单!$S$4:$S$4003,出库单!$D$4:$D$4003,$A462,出库单!$K$4:$K$4003,"自用消耗",出库单!$U$4:$U$4003,"正常",出库单!$C$4:$C$4003,"&gt;="&amp;账期起,出库单!$C$4:$C$4003,"&lt;="&amp;账期止),0))</f>
        <v/>
      </c>
      <c r="R462" s="27">
        <f>IF($A462="","",SUMIFS(出库单!$J$4:$J$4003,出库单!$D$4:$D$4003,$A462,出库单!$K$4:$K$4003,"对外销售",出库单!$U$4:$U$4003,"正常",出库单!$C$4:$C$4003,"&gt;="&amp;账期起,出库单!$C$4:$C$4003,"&lt;="&amp;账期止))</f>
        <v/>
      </c>
      <c r="S462" s="26">
        <f>IF($A462="","",ROUND(SUMIFS(出库单!$S$4:$S$4003,出库单!$D$4:$D$4003,$A462,出库单!$K$4:$K$4003,"对外销售",出库单!$U$4:$U$4003,"正常",出库单!$C$4:$C$4003,"&gt;="&amp;账期起,出库单!$C$4:$C$4003,"&lt;="&amp;账期止),0))</f>
        <v/>
      </c>
      <c r="T462" s="27">
        <f>IF($A462="","",SUMIFS(出库单!$J$4:$J$4003,出库单!$D$4:$D$4003,$A462,出库单!$K$4:$K$4003,"盘亏",出库单!$U$4:$U$4003,"正常",出库单!$C$4:$C$4003,"&gt;="&amp;账期起,出库单!$C$4:$C$4003,"&lt;="&amp;账期止))</f>
        <v/>
      </c>
      <c r="U462" s="26">
        <f>IF($A462="","",ROUND(SUMIFS(出库单!$S$4:$S$4003,出库单!$D$4:$D$4003,$A462,出库单!$K$4:$K$4003,"盘亏",出库单!$U$4:$U$4003,"正常",出库单!$C$4:$C$4003,"&gt;="&amp;账期起,出库单!$C$4:$C$4003,"&lt;="&amp;账期止),0))</f>
        <v/>
      </c>
      <c r="V462" s="27">
        <f>IF($A462="","",SUMIFS(出库单!$J$4:$J$4003,出库单!$D$4:$D$4003,$A462,出库单!$K$4:$K$4003,"退货给供应商",出库单!$U$4:$U$4003,"正常",出库单!$C$4:$C$4003,"&gt;="&amp;账期起,出库单!$C$4:$C$4003,"&lt;="&amp;账期止))</f>
        <v/>
      </c>
      <c r="W462" s="26">
        <f>IF($A462="","",ROUND(SUMIFS(出库单!$S$4:$S$4003,出库单!$D$4:$D$4003,$A462,出库单!$K$4:$K$4003,"退货给供应商",出库单!$U$4:$U$4003,"正常",出库单!$C$4:$C$4003,"&gt;="&amp;账期起,出库单!$C$4:$C$4003,"&lt;="&amp;账期止),0))</f>
        <v/>
      </c>
      <c r="X462" s="27">
        <f>IF($A462="","",ROUND(N($G462)+$I462+$L462+$N462-$P462-$R462-$T462-$V462,3))</f>
        <v/>
      </c>
      <c r="Y462" s="26">
        <f>IF($A462="","",ROUND(N($H462)+$J462+$M462+$O462-$Q462-$S462-$U462-$W462,0))</f>
        <v/>
      </c>
      <c r="Z462" s="24">
        <f>IF($A462="","",IF(COUNTIFS(入库单!$G$4:$G$2503,$A462,入库单!$Y$4:$Y$2503,"待补价")+COUNTIFS(入库单!$G$4:$G$2503,$A462,入库单!$Y$4:$Y$2503,"暂估")&gt;0,"不可信","可信"))</f>
        <v/>
      </c>
      <c r="AA462" s="24">
        <f>IF($A462="","",IF($X462&lt;-0.001,"※账面负库存，查一下是不是漏记入库",IF(AND(ROUND($X462,3)=0,ABS($Y462)&gt;1),"※数量已经是 0，金额还挂着 "&amp;TEXT($Y462,"#,##0")&amp;" 先令",IF(AND($X462&gt;0,$Y462&lt;=0,$K462=0),"※有数量没金额（这个物料一直没填过进价）",IF($Z462="不可信","△成本含待补价/暂估，毛利仅供参考","")))))</f>
        <v/>
      </c>
    </row>
    <row r="463">
      <c r="A463" s="24">
        <f>IF(物料档案!$A462="","",物料档案!$A462)</f>
        <v/>
      </c>
      <c r="B463" s="24">
        <f>IF($A463="","",IFERROR(VLOOKUP($A463,物料档案!$A$4:$P$1203,3,0),""))</f>
        <v/>
      </c>
      <c r="C463" s="24">
        <f>IF($A463="","",IFERROR(VLOOKUP($A463,物料档案!$A$4:$P$1203,4,0),""))</f>
        <v/>
      </c>
      <c r="D463" s="24">
        <f>IF($A463="","",IFERROR(VLOOKUP($A463,物料档案!$A$4:$P$1203,5,0),""))</f>
        <v/>
      </c>
      <c r="E463" s="24">
        <f>IF($A463="","",IFERROR(VLOOKUP($A463,物料档案!$A$4:$P$1203,2,0),""))</f>
        <v/>
      </c>
      <c r="F463" s="24">
        <f>IF($A463="","",IFERROR(VLOOKUP($A463,物料档案!$A$4:$P$1203,6,0),""))</f>
        <v/>
      </c>
      <c r="G463" s="23" t="n"/>
      <c r="H463" s="32" t="n"/>
      <c r="I463" s="27">
        <f>IF($A463="","",SUMIFS(入库单!$K$4:$K$2503,入库单!$G$4:$G$2503,$A463,入库单!$X$4:$X$2503,"采购入库",入库单!$Z$4:$Z$2503,"正常",入库单!$C$4:$C$2503,"&gt;="&amp;账期起,入库单!$C$4:$C$2503,"&lt;="&amp;账期止))</f>
        <v/>
      </c>
      <c r="J463" s="26">
        <f>IF($A463="","",SUMIFS(入库单!$V$4:$V$2503,入库单!$G$4:$G$2503,$A463,入库单!$X$4:$X$2503,"采购入库",入库单!$Z$4:$Z$2503,"正常",入库单!$C$4:$C$2503,"&gt;="&amp;账期起,入库单!$C$4:$C$2503,"&lt;="&amp;账期止))</f>
        <v/>
      </c>
      <c r="K463" s="26">
        <f>IF($A463="","",IFERROR(ROUND((N($H463)+N($J463))/(N($G463)+N($I463)),2),0))</f>
        <v/>
      </c>
      <c r="L463" s="27">
        <f>IF($A463="","",SUMIFS(入库单!$K$4:$K$2503,入库单!$G$4:$G$2503,$A463,入库单!$X$4:$X$2503,"盘盈",入库单!$Z$4:$Z$2503,"正常",入库单!$C$4:$C$2503,"&gt;="&amp;账期起,入库单!$C$4:$C$2503,"&lt;="&amp;账期止))</f>
        <v/>
      </c>
      <c r="M463" s="26">
        <f>IF($A463="","",ROUND($L463*$K463,0))</f>
        <v/>
      </c>
      <c r="N463" s="27">
        <f>IF($A463="","",SUMIFS(入库单!$K$4:$K$2503,入库单!$G$4:$G$2503,$A463,入库单!$X$4:$X$2503,"矿区退库",入库单!$Z$4:$Z$2503,"正常",入库单!$C$4:$C$2503,"&gt;="&amp;账期起,入库单!$C$4:$C$2503,"&lt;="&amp;账期止))</f>
        <v/>
      </c>
      <c r="O463" s="26">
        <f>IF($A463="","",ROUND($N463*$K463,0))</f>
        <v/>
      </c>
      <c r="P463" s="27">
        <f>IF($A463="","",SUMIFS(出库单!$J$4:$J$4003,出库单!$D$4:$D$4003,$A463,出库单!$K$4:$K$4003,"自用消耗",出库单!$U$4:$U$4003,"正常",出库单!$C$4:$C$4003,"&gt;="&amp;账期起,出库单!$C$4:$C$4003,"&lt;="&amp;账期止))</f>
        <v/>
      </c>
      <c r="Q463" s="26">
        <f>IF($A463="","",ROUND(SUMIFS(出库单!$S$4:$S$4003,出库单!$D$4:$D$4003,$A463,出库单!$K$4:$K$4003,"自用消耗",出库单!$U$4:$U$4003,"正常",出库单!$C$4:$C$4003,"&gt;="&amp;账期起,出库单!$C$4:$C$4003,"&lt;="&amp;账期止),0))</f>
        <v/>
      </c>
      <c r="R463" s="27">
        <f>IF($A463="","",SUMIFS(出库单!$J$4:$J$4003,出库单!$D$4:$D$4003,$A463,出库单!$K$4:$K$4003,"对外销售",出库单!$U$4:$U$4003,"正常",出库单!$C$4:$C$4003,"&gt;="&amp;账期起,出库单!$C$4:$C$4003,"&lt;="&amp;账期止))</f>
        <v/>
      </c>
      <c r="S463" s="26">
        <f>IF($A463="","",ROUND(SUMIFS(出库单!$S$4:$S$4003,出库单!$D$4:$D$4003,$A463,出库单!$K$4:$K$4003,"对外销售",出库单!$U$4:$U$4003,"正常",出库单!$C$4:$C$4003,"&gt;="&amp;账期起,出库单!$C$4:$C$4003,"&lt;="&amp;账期止),0))</f>
        <v/>
      </c>
      <c r="T463" s="27">
        <f>IF($A463="","",SUMIFS(出库单!$J$4:$J$4003,出库单!$D$4:$D$4003,$A463,出库单!$K$4:$K$4003,"盘亏",出库单!$U$4:$U$4003,"正常",出库单!$C$4:$C$4003,"&gt;="&amp;账期起,出库单!$C$4:$C$4003,"&lt;="&amp;账期止))</f>
        <v/>
      </c>
      <c r="U463" s="26">
        <f>IF($A463="","",ROUND(SUMIFS(出库单!$S$4:$S$4003,出库单!$D$4:$D$4003,$A463,出库单!$K$4:$K$4003,"盘亏",出库单!$U$4:$U$4003,"正常",出库单!$C$4:$C$4003,"&gt;="&amp;账期起,出库单!$C$4:$C$4003,"&lt;="&amp;账期止),0))</f>
        <v/>
      </c>
      <c r="V463" s="27">
        <f>IF($A463="","",SUMIFS(出库单!$J$4:$J$4003,出库单!$D$4:$D$4003,$A463,出库单!$K$4:$K$4003,"退货给供应商",出库单!$U$4:$U$4003,"正常",出库单!$C$4:$C$4003,"&gt;="&amp;账期起,出库单!$C$4:$C$4003,"&lt;="&amp;账期止))</f>
        <v/>
      </c>
      <c r="W463" s="26">
        <f>IF($A463="","",ROUND(SUMIFS(出库单!$S$4:$S$4003,出库单!$D$4:$D$4003,$A463,出库单!$K$4:$K$4003,"退货给供应商",出库单!$U$4:$U$4003,"正常",出库单!$C$4:$C$4003,"&gt;="&amp;账期起,出库单!$C$4:$C$4003,"&lt;="&amp;账期止),0))</f>
        <v/>
      </c>
      <c r="X463" s="27">
        <f>IF($A463="","",ROUND(N($G463)+$I463+$L463+$N463-$P463-$R463-$T463-$V463,3))</f>
        <v/>
      </c>
      <c r="Y463" s="26">
        <f>IF($A463="","",ROUND(N($H463)+$J463+$M463+$O463-$Q463-$S463-$U463-$W463,0))</f>
        <v/>
      </c>
      <c r="Z463" s="24">
        <f>IF($A463="","",IF(COUNTIFS(入库单!$G$4:$G$2503,$A463,入库单!$Y$4:$Y$2503,"待补价")+COUNTIFS(入库单!$G$4:$G$2503,$A463,入库单!$Y$4:$Y$2503,"暂估")&gt;0,"不可信","可信"))</f>
        <v/>
      </c>
      <c r="AA463" s="24">
        <f>IF($A463="","",IF($X463&lt;-0.001,"※账面负库存，查一下是不是漏记入库",IF(AND(ROUND($X463,3)=0,ABS($Y463)&gt;1),"※数量已经是 0，金额还挂着 "&amp;TEXT($Y463,"#,##0")&amp;" 先令",IF(AND($X463&gt;0,$Y463&lt;=0,$K463=0),"※有数量没金额（这个物料一直没填过进价）",IF($Z463="不可信","△成本含待补价/暂估，毛利仅供参考","")))))</f>
        <v/>
      </c>
    </row>
    <row r="464">
      <c r="A464" s="24">
        <f>IF(物料档案!$A463="","",物料档案!$A463)</f>
        <v/>
      </c>
      <c r="B464" s="24">
        <f>IF($A464="","",IFERROR(VLOOKUP($A464,物料档案!$A$4:$P$1203,3,0),""))</f>
        <v/>
      </c>
      <c r="C464" s="24">
        <f>IF($A464="","",IFERROR(VLOOKUP($A464,物料档案!$A$4:$P$1203,4,0),""))</f>
        <v/>
      </c>
      <c r="D464" s="24">
        <f>IF($A464="","",IFERROR(VLOOKUP($A464,物料档案!$A$4:$P$1203,5,0),""))</f>
        <v/>
      </c>
      <c r="E464" s="24">
        <f>IF($A464="","",IFERROR(VLOOKUP($A464,物料档案!$A$4:$P$1203,2,0),""))</f>
        <v/>
      </c>
      <c r="F464" s="24">
        <f>IF($A464="","",IFERROR(VLOOKUP($A464,物料档案!$A$4:$P$1203,6,0),""))</f>
        <v/>
      </c>
      <c r="G464" s="23" t="n"/>
      <c r="H464" s="32" t="n"/>
      <c r="I464" s="27">
        <f>IF($A464="","",SUMIFS(入库单!$K$4:$K$2503,入库单!$G$4:$G$2503,$A464,入库单!$X$4:$X$2503,"采购入库",入库单!$Z$4:$Z$2503,"正常",入库单!$C$4:$C$2503,"&gt;="&amp;账期起,入库单!$C$4:$C$2503,"&lt;="&amp;账期止))</f>
        <v/>
      </c>
      <c r="J464" s="26">
        <f>IF($A464="","",SUMIFS(入库单!$V$4:$V$2503,入库单!$G$4:$G$2503,$A464,入库单!$X$4:$X$2503,"采购入库",入库单!$Z$4:$Z$2503,"正常",入库单!$C$4:$C$2503,"&gt;="&amp;账期起,入库单!$C$4:$C$2503,"&lt;="&amp;账期止))</f>
        <v/>
      </c>
      <c r="K464" s="26">
        <f>IF($A464="","",IFERROR(ROUND((N($H464)+N($J464))/(N($G464)+N($I464)),2),0))</f>
        <v/>
      </c>
      <c r="L464" s="27">
        <f>IF($A464="","",SUMIFS(入库单!$K$4:$K$2503,入库单!$G$4:$G$2503,$A464,入库单!$X$4:$X$2503,"盘盈",入库单!$Z$4:$Z$2503,"正常",入库单!$C$4:$C$2503,"&gt;="&amp;账期起,入库单!$C$4:$C$2503,"&lt;="&amp;账期止))</f>
        <v/>
      </c>
      <c r="M464" s="26">
        <f>IF($A464="","",ROUND($L464*$K464,0))</f>
        <v/>
      </c>
      <c r="N464" s="27">
        <f>IF($A464="","",SUMIFS(入库单!$K$4:$K$2503,入库单!$G$4:$G$2503,$A464,入库单!$X$4:$X$2503,"矿区退库",入库单!$Z$4:$Z$2503,"正常",入库单!$C$4:$C$2503,"&gt;="&amp;账期起,入库单!$C$4:$C$2503,"&lt;="&amp;账期止))</f>
        <v/>
      </c>
      <c r="O464" s="26">
        <f>IF($A464="","",ROUND($N464*$K464,0))</f>
        <v/>
      </c>
      <c r="P464" s="27">
        <f>IF($A464="","",SUMIFS(出库单!$J$4:$J$4003,出库单!$D$4:$D$4003,$A464,出库单!$K$4:$K$4003,"自用消耗",出库单!$U$4:$U$4003,"正常",出库单!$C$4:$C$4003,"&gt;="&amp;账期起,出库单!$C$4:$C$4003,"&lt;="&amp;账期止))</f>
        <v/>
      </c>
      <c r="Q464" s="26">
        <f>IF($A464="","",ROUND(SUMIFS(出库单!$S$4:$S$4003,出库单!$D$4:$D$4003,$A464,出库单!$K$4:$K$4003,"自用消耗",出库单!$U$4:$U$4003,"正常",出库单!$C$4:$C$4003,"&gt;="&amp;账期起,出库单!$C$4:$C$4003,"&lt;="&amp;账期止),0))</f>
        <v/>
      </c>
      <c r="R464" s="27">
        <f>IF($A464="","",SUMIFS(出库单!$J$4:$J$4003,出库单!$D$4:$D$4003,$A464,出库单!$K$4:$K$4003,"对外销售",出库单!$U$4:$U$4003,"正常",出库单!$C$4:$C$4003,"&gt;="&amp;账期起,出库单!$C$4:$C$4003,"&lt;="&amp;账期止))</f>
        <v/>
      </c>
      <c r="S464" s="26">
        <f>IF($A464="","",ROUND(SUMIFS(出库单!$S$4:$S$4003,出库单!$D$4:$D$4003,$A464,出库单!$K$4:$K$4003,"对外销售",出库单!$U$4:$U$4003,"正常",出库单!$C$4:$C$4003,"&gt;="&amp;账期起,出库单!$C$4:$C$4003,"&lt;="&amp;账期止),0))</f>
        <v/>
      </c>
      <c r="T464" s="27">
        <f>IF($A464="","",SUMIFS(出库单!$J$4:$J$4003,出库单!$D$4:$D$4003,$A464,出库单!$K$4:$K$4003,"盘亏",出库单!$U$4:$U$4003,"正常",出库单!$C$4:$C$4003,"&gt;="&amp;账期起,出库单!$C$4:$C$4003,"&lt;="&amp;账期止))</f>
        <v/>
      </c>
      <c r="U464" s="26">
        <f>IF($A464="","",ROUND(SUMIFS(出库单!$S$4:$S$4003,出库单!$D$4:$D$4003,$A464,出库单!$K$4:$K$4003,"盘亏",出库单!$U$4:$U$4003,"正常",出库单!$C$4:$C$4003,"&gt;="&amp;账期起,出库单!$C$4:$C$4003,"&lt;="&amp;账期止),0))</f>
        <v/>
      </c>
      <c r="V464" s="27">
        <f>IF($A464="","",SUMIFS(出库单!$J$4:$J$4003,出库单!$D$4:$D$4003,$A464,出库单!$K$4:$K$4003,"退货给供应商",出库单!$U$4:$U$4003,"正常",出库单!$C$4:$C$4003,"&gt;="&amp;账期起,出库单!$C$4:$C$4003,"&lt;="&amp;账期止))</f>
        <v/>
      </c>
      <c r="W464" s="26">
        <f>IF($A464="","",ROUND(SUMIFS(出库单!$S$4:$S$4003,出库单!$D$4:$D$4003,$A464,出库单!$K$4:$K$4003,"退货给供应商",出库单!$U$4:$U$4003,"正常",出库单!$C$4:$C$4003,"&gt;="&amp;账期起,出库单!$C$4:$C$4003,"&lt;="&amp;账期止),0))</f>
        <v/>
      </c>
      <c r="X464" s="27">
        <f>IF($A464="","",ROUND(N($G464)+$I464+$L464+$N464-$P464-$R464-$T464-$V464,3))</f>
        <v/>
      </c>
      <c r="Y464" s="26">
        <f>IF($A464="","",ROUND(N($H464)+$J464+$M464+$O464-$Q464-$S464-$U464-$W464,0))</f>
        <v/>
      </c>
      <c r="Z464" s="24">
        <f>IF($A464="","",IF(COUNTIFS(入库单!$G$4:$G$2503,$A464,入库单!$Y$4:$Y$2503,"待补价")+COUNTIFS(入库单!$G$4:$G$2503,$A464,入库单!$Y$4:$Y$2503,"暂估")&gt;0,"不可信","可信"))</f>
        <v/>
      </c>
      <c r="AA464" s="24">
        <f>IF($A464="","",IF($X464&lt;-0.001,"※账面负库存，查一下是不是漏记入库",IF(AND(ROUND($X464,3)=0,ABS($Y464)&gt;1),"※数量已经是 0，金额还挂着 "&amp;TEXT($Y464,"#,##0")&amp;" 先令",IF(AND($X464&gt;0,$Y464&lt;=0,$K464=0),"※有数量没金额（这个物料一直没填过进价）",IF($Z464="不可信","△成本含待补价/暂估，毛利仅供参考","")))))</f>
        <v/>
      </c>
    </row>
    <row r="465">
      <c r="A465" s="24">
        <f>IF(物料档案!$A464="","",物料档案!$A464)</f>
        <v/>
      </c>
      <c r="B465" s="24">
        <f>IF($A465="","",IFERROR(VLOOKUP($A465,物料档案!$A$4:$P$1203,3,0),""))</f>
        <v/>
      </c>
      <c r="C465" s="24">
        <f>IF($A465="","",IFERROR(VLOOKUP($A465,物料档案!$A$4:$P$1203,4,0),""))</f>
        <v/>
      </c>
      <c r="D465" s="24">
        <f>IF($A465="","",IFERROR(VLOOKUP($A465,物料档案!$A$4:$P$1203,5,0),""))</f>
        <v/>
      </c>
      <c r="E465" s="24">
        <f>IF($A465="","",IFERROR(VLOOKUP($A465,物料档案!$A$4:$P$1203,2,0),""))</f>
        <v/>
      </c>
      <c r="F465" s="24">
        <f>IF($A465="","",IFERROR(VLOOKUP($A465,物料档案!$A$4:$P$1203,6,0),""))</f>
        <v/>
      </c>
      <c r="G465" s="23" t="n"/>
      <c r="H465" s="32" t="n"/>
      <c r="I465" s="27">
        <f>IF($A465="","",SUMIFS(入库单!$K$4:$K$2503,入库单!$G$4:$G$2503,$A465,入库单!$X$4:$X$2503,"采购入库",入库单!$Z$4:$Z$2503,"正常",入库单!$C$4:$C$2503,"&gt;="&amp;账期起,入库单!$C$4:$C$2503,"&lt;="&amp;账期止))</f>
        <v/>
      </c>
      <c r="J465" s="26">
        <f>IF($A465="","",SUMIFS(入库单!$V$4:$V$2503,入库单!$G$4:$G$2503,$A465,入库单!$X$4:$X$2503,"采购入库",入库单!$Z$4:$Z$2503,"正常",入库单!$C$4:$C$2503,"&gt;="&amp;账期起,入库单!$C$4:$C$2503,"&lt;="&amp;账期止))</f>
        <v/>
      </c>
      <c r="K465" s="26">
        <f>IF($A465="","",IFERROR(ROUND((N($H465)+N($J465))/(N($G465)+N($I465)),2),0))</f>
        <v/>
      </c>
      <c r="L465" s="27">
        <f>IF($A465="","",SUMIFS(入库单!$K$4:$K$2503,入库单!$G$4:$G$2503,$A465,入库单!$X$4:$X$2503,"盘盈",入库单!$Z$4:$Z$2503,"正常",入库单!$C$4:$C$2503,"&gt;="&amp;账期起,入库单!$C$4:$C$2503,"&lt;="&amp;账期止))</f>
        <v/>
      </c>
      <c r="M465" s="26">
        <f>IF($A465="","",ROUND($L465*$K465,0))</f>
        <v/>
      </c>
      <c r="N465" s="27">
        <f>IF($A465="","",SUMIFS(入库单!$K$4:$K$2503,入库单!$G$4:$G$2503,$A465,入库单!$X$4:$X$2503,"矿区退库",入库单!$Z$4:$Z$2503,"正常",入库单!$C$4:$C$2503,"&gt;="&amp;账期起,入库单!$C$4:$C$2503,"&lt;="&amp;账期止))</f>
        <v/>
      </c>
      <c r="O465" s="26">
        <f>IF($A465="","",ROUND($N465*$K465,0))</f>
        <v/>
      </c>
      <c r="P465" s="27">
        <f>IF($A465="","",SUMIFS(出库单!$J$4:$J$4003,出库单!$D$4:$D$4003,$A465,出库单!$K$4:$K$4003,"自用消耗",出库单!$U$4:$U$4003,"正常",出库单!$C$4:$C$4003,"&gt;="&amp;账期起,出库单!$C$4:$C$4003,"&lt;="&amp;账期止))</f>
        <v/>
      </c>
      <c r="Q465" s="26">
        <f>IF($A465="","",ROUND(SUMIFS(出库单!$S$4:$S$4003,出库单!$D$4:$D$4003,$A465,出库单!$K$4:$K$4003,"自用消耗",出库单!$U$4:$U$4003,"正常",出库单!$C$4:$C$4003,"&gt;="&amp;账期起,出库单!$C$4:$C$4003,"&lt;="&amp;账期止),0))</f>
        <v/>
      </c>
      <c r="R465" s="27">
        <f>IF($A465="","",SUMIFS(出库单!$J$4:$J$4003,出库单!$D$4:$D$4003,$A465,出库单!$K$4:$K$4003,"对外销售",出库单!$U$4:$U$4003,"正常",出库单!$C$4:$C$4003,"&gt;="&amp;账期起,出库单!$C$4:$C$4003,"&lt;="&amp;账期止))</f>
        <v/>
      </c>
      <c r="S465" s="26">
        <f>IF($A465="","",ROUND(SUMIFS(出库单!$S$4:$S$4003,出库单!$D$4:$D$4003,$A465,出库单!$K$4:$K$4003,"对外销售",出库单!$U$4:$U$4003,"正常",出库单!$C$4:$C$4003,"&gt;="&amp;账期起,出库单!$C$4:$C$4003,"&lt;="&amp;账期止),0))</f>
        <v/>
      </c>
      <c r="T465" s="27">
        <f>IF($A465="","",SUMIFS(出库单!$J$4:$J$4003,出库单!$D$4:$D$4003,$A465,出库单!$K$4:$K$4003,"盘亏",出库单!$U$4:$U$4003,"正常",出库单!$C$4:$C$4003,"&gt;="&amp;账期起,出库单!$C$4:$C$4003,"&lt;="&amp;账期止))</f>
        <v/>
      </c>
      <c r="U465" s="26">
        <f>IF($A465="","",ROUND(SUMIFS(出库单!$S$4:$S$4003,出库单!$D$4:$D$4003,$A465,出库单!$K$4:$K$4003,"盘亏",出库单!$U$4:$U$4003,"正常",出库单!$C$4:$C$4003,"&gt;="&amp;账期起,出库单!$C$4:$C$4003,"&lt;="&amp;账期止),0))</f>
        <v/>
      </c>
      <c r="V465" s="27">
        <f>IF($A465="","",SUMIFS(出库单!$J$4:$J$4003,出库单!$D$4:$D$4003,$A465,出库单!$K$4:$K$4003,"退货给供应商",出库单!$U$4:$U$4003,"正常",出库单!$C$4:$C$4003,"&gt;="&amp;账期起,出库单!$C$4:$C$4003,"&lt;="&amp;账期止))</f>
        <v/>
      </c>
      <c r="W465" s="26">
        <f>IF($A465="","",ROUND(SUMIFS(出库单!$S$4:$S$4003,出库单!$D$4:$D$4003,$A465,出库单!$K$4:$K$4003,"退货给供应商",出库单!$U$4:$U$4003,"正常",出库单!$C$4:$C$4003,"&gt;="&amp;账期起,出库单!$C$4:$C$4003,"&lt;="&amp;账期止),0))</f>
        <v/>
      </c>
      <c r="X465" s="27">
        <f>IF($A465="","",ROUND(N($G465)+$I465+$L465+$N465-$P465-$R465-$T465-$V465,3))</f>
        <v/>
      </c>
      <c r="Y465" s="26">
        <f>IF($A465="","",ROUND(N($H465)+$J465+$M465+$O465-$Q465-$S465-$U465-$W465,0))</f>
        <v/>
      </c>
      <c r="Z465" s="24">
        <f>IF($A465="","",IF(COUNTIFS(入库单!$G$4:$G$2503,$A465,入库单!$Y$4:$Y$2503,"待补价")+COUNTIFS(入库单!$G$4:$G$2503,$A465,入库单!$Y$4:$Y$2503,"暂估")&gt;0,"不可信","可信"))</f>
        <v/>
      </c>
      <c r="AA465" s="24">
        <f>IF($A465="","",IF($X465&lt;-0.001,"※账面负库存，查一下是不是漏记入库",IF(AND(ROUND($X465,3)=0,ABS($Y465)&gt;1),"※数量已经是 0，金额还挂着 "&amp;TEXT($Y465,"#,##0")&amp;" 先令",IF(AND($X465&gt;0,$Y465&lt;=0,$K465=0),"※有数量没金额（这个物料一直没填过进价）",IF($Z465="不可信","△成本含待补价/暂估，毛利仅供参考","")))))</f>
        <v/>
      </c>
    </row>
    <row r="466">
      <c r="A466" s="24">
        <f>IF(物料档案!$A465="","",物料档案!$A465)</f>
        <v/>
      </c>
      <c r="B466" s="24">
        <f>IF($A466="","",IFERROR(VLOOKUP($A466,物料档案!$A$4:$P$1203,3,0),""))</f>
        <v/>
      </c>
      <c r="C466" s="24">
        <f>IF($A466="","",IFERROR(VLOOKUP($A466,物料档案!$A$4:$P$1203,4,0),""))</f>
        <v/>
      </c>
      <c r="D466" s="24">
        <f>IF($A466="","",IFERROR(VLOOKUP($A466,物料档案!$A$4:$P$1203,5,0),""))</f>
        <v/>
      </c>
      <c r="E466" s="24">
        <f>IF($A466="","",IFERROR(VLOOKUP($A466,物料档案!$A$4:$P$1203,2,0),""))</f>
        <v/>
      </c>
      <c r="F466" s="24">
        <f>IF($A466="","",IFERROR(VLOOKUP($A466,物料档案!$A$4:$P$1203,6,0),""))</f>
        <v/>
      </c>
      <c r="G466" s="23" t="n"/>
      <c r="H466" s="32" t="n"/>
      <c r="I466" s="27">
        <f>IF($A466="","",SUMIFS(入库单!$K$4:$K$2503,入库单!$G$4:$G$2503,$A466,入库单!$X$4:$X$2503,"采购入库",入库单!$Z$4:$Z$2503,"正常",入库单!$C$4:$C$2503,"&gt;="&amp;账期起,入库单!$C$4:$C$2503,"&lt;="&amp;账期止))</f>
        <v/>
      </c>
      <c r="J466" s="26">
        <f>IF($A466="","",SUMIFS(入库单!$V$4:$V$2503,入库单!$G$4:$G$2503,$A466,入库单!$X$4:$X$2503,"采购入库",入库单!$Z$4:$Z$2503,"正常",入库单!$C$4:$C$2503,"&gt;="&amp;账期起,入库单!$C$4:$C$2503,"&lt;="&amp;账期止))</f>
        <v/>
      </c>
      <c r="K466" s="26">
        <f>IF($A466="","",IFERROR(ROUND((N($H466)+N($J466))/(N($G466)+N($I466)),2),0))</f>
        <v/>
      </c>
      <c r="L466" s="27">
        <f>IF($A466="","",SUMIFS(入库单!$K$4:$K$2503,入库单!$G$4:$G$2503,$A466,入库单!$X$4:$X$2503,"盘盈",入库单!$Z$4:$Z$2503,"正常",入库单!$C$4:$C$2503,"&gt;="&amp;账期起,入库单!$C$4:$C$2503,"&lt;="&amp;账期止))</f>
        <v/>
      </c>
      <c r="M466" s="26">
        <f>IF($A466="","",ROUND($L466*$K466,0))</f>
        <v/>
      </c>
      <c r="N466" s="27">
        <f>IF($A466="","",SUMIFS(入库单!$K$4:$K$2503,入库单!$G$4:$G$2503,$A466,入库单!$X$4:$X$2503,"矿区退库",入库单!$Z$4:$Z$2503,"正常",入库单!$C$4:$C$2503,"&gt;="&amp;账期起,入库单!$C$4:$C$2503,"&lt;="&amp;账期止))</f>
        <v/>
      </c>
      <c r="O466" s="26">
        <f>IF($A466="","",ROUND($N466*$K466,0))</f>
        <v/>
      </c>
      <c r="P466" s="27">
        <f>IF($A466="","",SUMIFS(出库单!$J$4:$J$4003,出库单!$D$4:$D$4003,$A466,出库单!$K$4:$K$4003,"自用消耗",出库单!$U$4:$U$4003,"正常",出库单!$C$4:$C$4003,"&gt;="&amp;账期起,出库单!$C$4:$C$4003,"&lt;="&amp;账期止))</f>
        <v/>
      </c>
      <c r="Q466" s="26">
        <f>IF($A466="","",ROUND(SUMIFS(出库单!$S$4:$S$4003,出库单!$D$4:$D$4003,$A466,出库单!$K$4:$K$4003,"自用消耗",出库单!$U$4:$U$4003,"正常",出库单!$C$4:$C$4003,"&gt;="&amp;账期起,出库单!$C$4:$C$4003,"&lt;="&amp;账期止),0))</f>
        <v/>
      </c>
      <c r="R466" s="27">
        <f>IF($A466="","",SUMIFS(出库单!$J$4:$J$4003,出库单!$D$4:$D$4003,$A466,出库单!$K$4:$K$4003,"对外销售",出库单!$U$4:$U$4003,"正常",出库单!$C$4:$C$4003,"&gt;="&amp;账期起,出库单!$C$4:$C$4003,"&lt;="&amp;账期止))</f>
        <v/>
      </c>
      <c r="S466" s="26">
        <f>IF($A466="","",ROUND(SUMIFS(出库单!$S$4:$S$4003,出库单!$D$4:$D$4003,$A466,出库单!$K$4:$K$4003,"对外销售",出库单!$U$4:$U$4003,"正常",出库单!$C$4:$C$4003,"&gt;="&amp;账期起,出库单!$C$4:$C$4003,"&lt;="&amp;账期止),0))</f>
        <v/>
      </c>
      <c r="T466" s="27">
        <f>IF($A466="","",SUMIFS(出库单!$J$4:$J$4003,出库单!$D$4:$D$4003,$A466,出库单!$K$4:$K$4003,"盘亏",出库单!$U$4:$U$4003,"正常",出库单!$C$4:$C$4003,"&gt;="&amp;账期起,出库单!$C$4:$C$4003,"&lt;="&amp;账期止))</f>
        <v/>
      </c>
      <c r="U466" s="26">
        <f>IF($A466="","",ROUND(SUMIFS(出库单!$S$4:$S$4003,出库单!$D$4:$D$4003,$A466,出库单!$K$4:$K$4003,"盘亏",出库单!$U$4:$U$4003,"正常",出库单!$C$4:$C$4003,"&gt;="&amp;账期起,出库单!$C$4:$C$4003,"&lt;="&amp;账期止),0))</f>
        <v/>
      </c>
      <c r="V466" s="27">
        <f>IF($A466="","",SUMIFS(出库单!$J$4:$J$4003,出库单!$D$4:$D$4003,$A466,出库单!$K$4:$K$4003,"退货给供应商",出库单!$U$4:$U$4003,"正常",出库单!$C$4:$C$4003,"&gt;="&amp;账期起,出库单!$C$4:$C$4003,"&lt;="&amp;账期止))</f>
        <v/>
      </c>
      <c r="W466" s="26">
        <f>IF($A466="","",ROUND(SUMIFS(出库单!$S$4:$S$4003,出库单!$D$4:$D$4003,$A466,出库单!$K$4:$K$4003,"退货给供应商",出库单!$U$4:$U$4003,"正常",出库单!$C$4:$C$4003,"&gt;="&amp;账期起,出库单!$C$4:$C$4003,"&lt;="&amp;账期止),0))</f>
        <v/>
      </c>
      <c r="X466" s="27">
        <f>IF($A466="","",ROUND(N($G466)+$I466+$L466+$N466-$P466-$R466-$T466-$V466,3))</f>
        <v/>
      </c>
      <c r="Y466" s="26">
        <f>IF($A466="","",ROUND(N($H466)+$J466+$M466+$O466-$Q466-$S466-$U466-$W466,0))</f>
        <v/>
      </c>
      <c r="Z466" s="24">
        <f>IF($A466="","",IF(COUNTIFS(入库单!$G$4:$G$2503,$A466,入库单!$Y$4:$Y$2503,"待补价")+COUNTIFS(入库单!$G$4:$G$2503,$A466,入库单!$Y$4:$Y$2503,"暂估")&gt;0,"不可信","可信"))</f>
        <v/>
      </c>
      <c r="AA466" s="24">
        <f>IF($A466="","",IF($X466&lt;-0.001,"※账面负库存，查一下是不是漏记入库",IF(AND(ROUND($X466,3)=0,ABS($Y466)&gt;1),"※数量已经是 0，金额还挂着 "&amp;TEXT($Y466,"#,##0")&amp;" 先令",IF(AND($X466&gt;0,$Y466&lt;=0,$K466=0),"※有数量没金额（这个物料一直没填过进价）",IF($Z466="不可信","△成本含待补价/暂估，毛利仅供参考","")))))</f>
        <v/>
      </c>
    </row>
    <row r="467">
      <c r="A467" s="24">
        <f>IF(物料档案!$A466="","",物料档案!$A466)</f>
        <v/>
      </c>
      <c r="B467" s="24">
        <f>IF($A467="","",IFERROR(VLOOKUP($A467,物料档案!$A$4:$P$1203,3,0),""))</f>
        <v/>
      </c>
      <c r="C467" s="24">
        <f>IF($A467="","",IFERROR(VLOOKUP($A467,物料档案!$A$4:$P$1203,4,0),""))</f>
        <v/>
      </c>
      <c r="D467" s="24">
        <f>IF($A467="","",IFERROR(VLOOKUP($A467,物料档案!$A$4:$P$1203,5,0),""))</f>
        <v/>
      </c>
      <c r="E467" s="24">
        <f>IF($A467="","",IFERROR(VLOOKUP($A467,物料档案!$A$4:$P$1203,2,0),""))</f>
        <v/>
      </c>
      <c r="F467" s="24">
        <f>IF($A467="","",IFERROR(VLOOKUP($A467,物料档案!$A$4:$P$1203,6,0),""))</f>
        <v/>
      </c>
      <c r="G467" s="23" t="n"/>
      <c r="H467" s="32" t="n"/>
      <c r="I467" s="27">
        <f>IF($A467="","",SUMIFS(入库单!$K$4:$K$2503,入库单!$G$4:$G$2503,$A467,入库单!$X$4:$X$2503,"采购入库",入库单!$Z$4:$Z$2503,"正常",入库单!$C$4:$C$2503,"&gt;="&amp;账期起,入库单!$C$4:$C$2503,"&lt;="&amp;账期止))</f>
        <v/>
      </c>
      <c r="J467" s="26">
        <f>IF($A467="","",SUMIFS(入库单!$V$4:$V$2503,入库单!$G$4:$G$2503,$A467,入库单!$X$4:$X$2503,"采购入库",入库单!$Z$4:$Z$2503,"正常",入库单!$C$4:$C$2503,"&gt;="&amp;账期起,入库单!$C$4:$C$2503,"&lt;="&amp;账期止))</f>
        <v/>
      </c>
      <c r="K467" s="26">
        <f>IF($A467="","",IFERROR(ROUND((N($H467)+N($J467))/(N($G467)+N($I467)),2),0))</f>
        <v/>
      </c>
      <c r="L467" s="27">
        <f>IF($A467="","",SUMIFS(入库单!$K$4:$K$2503,入库单!$G$4:$G$2503,$A467,入库单!$X$4:$X$2503,"盘盈",入库单!$Z$4:$Z$2503,"正常",入库单!$C$4:$C$2503,"&gt;="&amp;账期起,入库单!$C$4:$C$2503,"&lt;="&amp;账期止))</f>
        <v/>
      </c>
      <c r="M467" s="26">
        <f>IF($A467="","",ROUND($L467*$K467,0))</f>
        <v/>
      </c>
      <c r="N467" s="27">
        <f>IF($A467="","",SUMIFS(入库单!$K$4:$K$2503,入库单!$G$4:$G$2503,$A467,入库单!$X$4:$X$2503,"矿区退库",入库单!$Z$4:$Z$2503,"正常",入库单!$C$4:$C$2503,"&gt;="&amp;账期起,入库单!$C$4:$C$2503,"&lt;="&amp;账期止))</f>
        <v/>
      </c>
      <c r="O467" s="26">
        <f>IF($A467="","",ROUND($N467*$K467,0))</f>
        <v/>
      </c>
      <c r="P467" s="27">
        <f>IF($A467="","",SUMIFS(出库单!$J$4:$J$4003,出库单!$D$4:$D$4003,$A467,出库单!$K$4:$K$4003,"自用消耗",出库单!$U$4:$U$4003,"正常",出库单!$C$4:$C$4003,"&gt;="&amp;账期起,出库单!$C$4:$C$4003,"&lt;="&amp;账期止))</f>
        <v/>
      </c>
      <c r="Q467" s="26">
        <f>IF($A467="","",ROUND(SUMIFS(出库单!$S$4:$S$4003,出库单!$D$4:$D$4003,$A467,出库单!$K$4:$K$4003,"自用消耗",出库单!$U$4:$U$4003,"正常",出库单!$C$4:$C$4003,"&gt;="&amp;账期起,出库单!$C$4:$C$4003,"&lt;="&amp;账期止),0))</f>
        <v/>
      </c>
      <c r="R467" s="27">
        <f>IF($A467="","",SUMIFS(出库单!$J$4:$J$4003,出库单!$D$4:$D$4003,$A467,出库单!$K$4:$K$4003,"对外销售",出库单!$U$4:$U$4003,"正常",出库单!$C$4:$C$4003,"&gt;="&amp;账期起,出库单!$C$4:$C$4003,"&lt;="&amp;账期止))</f>
        <v/>
      </c>
      <c r="S467" s="26">
        <f>IF($A467="","",ROUND(SUMIFS(出库单!$S$4:$S$4003,出库单!$D$4:$D$4003,$A467,出库单!$K$4:$K$4003,"对外销售",出库单!$U$4:$U$4003,"正常",出库单!$C$4:$C$4003,"&gt;="&amp;账期起,出库单!$C$4:$C$4003,"&lt;="&amp;账期止),0))</f>
        <v/>
      </c>
      <c r="T467" s="27">
        <f>IF($A467="","",SUMIFS(出库单!$J$4:$J$4003,出库单!$D$4:$D$4003,$A467,出库单!$K$4:$K$4003,"盘亏",出库单!$U$4:$U$4003,"正常",出库单!$C$4:$C$4003,"&gt;="&amp;账期起,出库单!$C$4:$C$4003,"&lt;="&amp;账期止))</f>
        <v/>
      </c>
      <c r="U467" s="26">
        <f>IF($A467="","",ROUND(SUMIFS(出库单!$S$4:$S$4003,出库单!$D$4:$D$4003,$A467,出库单!$K$4:$K$4003,"盘亏",出库单!$U$4:$U$4003,"正常",出库单!$C$4:$C$4003,"&gt;="&amp;账期起,出库单!$C$4:$C$4003,"&lt;="&amp;账期止),0))</f>
        <v/>
      </c>
      <c r="V467" s="27">
        <f>IF($A467="","",SUMIFS(出库单!$J$4:$J$4003,出库单!$D$4:$D$4003,$A467,出库单!$K$4:$K$4003,"退货给供应商",出库单!$U$4:$U$4003,"正常",出库单!$C$4:$C$4003,"&gt;="&amp;账期起,出库单!$C$4:$C$4003,"&lt;="&amp;账期止))</f>
        <v/>
      </c>
      <c r="W467" s="26">
        <f>IF($A467="","",ROUND(SUMIFS(出库单!$S$4:$S$4003,出库单!$D$4:$D$4003,$A467,出库单!$K$4:$K$4003,"退货给供应商",出库单!$U$4:$U$4003,"正常",出库单!$C$4:$C$4003,"&gt;="&amp;账期起,出库单!$C$4:$C$4003,"&lt;="&amp;账期止),0))</f>
        <v/>
      </c>
      <c r="X467" s="27">
        <f>IF($A467="","",ROUND(N($G467)+$I467+$L467+$N467-$P467-$R467-$T467-$V467,3))</f>
        <v/>
      </c>
      <c r="Y467" s="26">
        <f>IF($A467="","",ROUND(N($H467)+$J467+$M467+$O467-$Q467-$S467-$U467-$W467,0))</f>
        <v/>
      </c>
      <c r="Z467" s="24">
        <f>IF($A467="","",IF(COUNTIFS(入库单!$G$4:$G$2503,$A467,入库单!$Y$4:$Y$2503,"待补价")+COUNTIFS(入库单!$G$4:$G$2503,$A467,入库单!$Y$4:$Y$2503,"暂估")&gt;0,"不可信","可信"))</f>
        <v/>
      </c>
      <c r="AA467" s="24">
        <f>IF($A467="","",IF($X467&lt;-0.001,"※账面负库存，查一下是不是漏记入库",IF(AND(ROUND($X467,3)=0,ABS($Y467)&gt;1),"※数量已经是 0，金额还挂着 "&amp;TEXT($Y467,"#,##0")&amp;" 先令",IF(AND($X467&gt;0,$Y467&lt;=0,$K467=0),"※有数量没金额（这个物料一直没填过进价）",IF($Z467="不可信","△成本含待补价/暂估，毛利仅供参考","")))))</f>
        <v/>
      </c>
    </row>
    <row r="468">
      <c r="A468" s="24">
        <f>IF(物料档案!$A467="","",物料档案!$A467)</f>
        <v/>
      </c>
      <c r="B468" s="24">
        <f>IF($A468="","",IFERROR(VLOOKUP($A468,物料档案!$A$4:$P$1203,3,0),""))</f>
        <v/>
      </c>
      <c r="C468" s="24">
        <f>IF($A468="","",IFERROR(VLOOKUP($A468,物料档案!$A$4:$P$1203,4,0),""))</f>
        <v/>
      </c>
      <c r="D468" s="24">
        <f>IF($A468="","",IFERROR(VLOOKUP($A468,物料档案!$A$4:$P$1203,5,0),""))</f>
        <v/>
      </c>
      <c r="E468" s="24">
        <f>IF($A468="","",IFERROR(VLOOKUP($A468,物料档案!$A$4:$P$1203,2,0),""))</f>
        <v/>
      </c>
      <c r="F468" s="24">
        <f>IF($A468="","",IFERROR(VLOOKUP($A468,物料档案!$A$4:$P$1203,6,0),""))</f>
        <v/>
      </c>
      <c r="G468" s="23" t="n"/>
      <c r="H468" s="32" t="n"/>
      <c r="I468" s="27">
        <f>IF($A468="","",SUMIFS(入库单!$K$4:$K$2503,入库单!$G$4:$G$2503,$A468,入库单!$X$4:$X$2503,"采购入库",入库单!$Z$4:$Z$2503,"正常",入库单!$C$4:$C$2503,"&gt;="&amp;账期起,入库单!$C$4:$C$2503,"&lt;="&amp;账期止))</f>
        <v/>
      </c>
      <c r="J468" s="26">
        <f>IF($A468="","",SUMIFS(入库单!$V$4:$V$2503,入库单!$G$4:$G$2503,$A468,入库单!$X$4:$X$2503,"采购入库",入库单!$Z$4:$Z$2503,"正常",入库单!$C$4:$C$2503,"&gt;="&amp;账期起,入库单!$C$4:$C$2503,"&lt;="&amp;账期止))</f>
        <v/>
      </c>
      <c r="K468" s="26">
        <f>IF($A468="","",IFERROR(ROUND((N($H468)+N($J468))/(N($G468)+N($I468)),2),0))</f>
        <v/>
      </c>
      <c r="L468" s="27">
        <f>IF($A468="","",SUMIFS(入库单!$K$4:$K$2503,入库单!$G$4:$G$2503,$A468,入库单!$X$4:$X$2503,"盘盈",入库单!$Z$4:$Z$2503,"正常",入库单!$C$4:$C$2503,"&gt;="&amp;账期起,入库单!$C$4:$C$2503,"&lt;="&amp;账期止))</f>
        <v/>
      </c>
      <c r="M468" s="26">
        <f>IF($A468="","",ROUND($L468*$K468,0))</f>
        <v/>
      </c>
      <c r="N468" s="27">
        <f>IF($A468="","",SUMIFS(入库单!$K$4:$K$2503,入库单!$G$4:$G$2503,$A468,入库单!$X$4:$X$2503,"矿区退库",入库单!$Z$4:$Z$2503,"正常",入库单!$C$4:$C$2503,"&gt;="&amp;账期起,入库单!$C$4:$C$2503,"&lt;="&amp;账期止))</f>
        <v/>
      </c>
      <c r="O468" s="26">
        <f>IF($A468="","",ROUND($N468*$K468,0))</f>
        <v/>
      </c>
      <c r="P468" s="27">
        <f>IF($A468="","",SUMIFS(出库单!$J$4:$J$4003,出库单!$D$4:$D$4003,$A468,出库单!$K$4:$K$4003,"自用消耗",出库单!$U$4:$U$4003,"正常",出库单!$C$4:$C$4003,"&gt;="&amp;账期起,出库单!$C$4:$C$4003,"&lt;="&amp;账期止))</f>
        <v/>
      </c>
      <c r="Q468" s="26">
        <f>IF($A468="","",ROUND(SUMIFS(出库单!$S$4:$S$4003,出库单!$D$4:$D$4003,$A468,出库单!$K$4:$K$4003,"自用消耗",出库单!$U$4:$U$4003,"正常",出库单!$C$4:$C$4003,"&gt;="&amp;账期起,出库单!$C$4:$C$4003,"&lt;="&amp;账期止),0))</f>
        <v/>
      </c>
      <c r="R468" s="27">
        <f>IF($A468="","",SUMIFS(出库单!$J$4:$J$4003,出库单!$D$4:$D$4003,$A468,出库单!$K$4:$K$4003,"对外销售",出库单!$U$4:$U$4003,"正常",出库单!$C$4:$C$4003,"&gt;="&amp;账期起,出库单!$C$4:$C$4003,"&lt;="&amp;账期止))</f>
        <v/>
      </c>
      <c r="S468" s="26">
        <f>IF($A468="","",ROUND(SUMIFS(出库单!$S$4:$S$4003,出库单!$D$4:$D$4003,$A468,出库单!$K$4:$K$4003,"对外销售",出库单!$U$4:$U$4003,"正常",出库单!$C$4:$C$4003,"&gt;="&amp;账期起,出库单!$C$4:$C$4003,"&lt;="&amp;账期止),0))</f>
        <v/>
      </c>
      <c r="T468" s="27">
        <f>IF($A468="","",SUMIFS(出库单!$J$4:$J$4003,出库单!$D$4:$D$4003,$A468,出库单!$K$4:$K$4003,"盘亏",出库单!$U$4:$U$4003,"正常",出库单!$C$4:$C$4003,"&gt;="&amp;账期起,出库单!$C$4:$C$4003,"&lt;="&amp;账期止))</f>
        <v/>
      </c>
      <c r="U468" s="26">
        <f>IF($A468="","",ROUND(SUMIFS(出库单!$S$4:$S$4003,出库单!$D$4:$D$4003,$A468,出库单!$K$4:$K$4003,"盘亏",出库单!$U$4:$U$4003,"正常",出库单!$C$4:$C$4003,"&gt;="&amp;账期起,出库单!$C$4:$C$4003,"&lt;="&amp;账期止),0))</f>
        <v/>
      </c>
      <c r="V468" s="27">
        <f>IF($A468="","",SUMIFS(出库单!$J$4:$J$4003,出库单!$D$4:$D$4003,$A468,出库单!$K$4:$K$4003,"退货给供应商",出库单!$U$4:$U$4003,"正常",出库单!$C$4:$C$4003,"&gt;="&amp;账期起,出库单!$C$4:$C$4003,"&lt;="&amp;账期止))</f>
        <v/>
      </c>
      <c r="W468" s="26">
        <f>IF($A468="","",ROUND(SUMIFS(出库单!$S$4:$S$4003,出库单!$D$4:$D$4003,$A468,出库单!$K$4:$K$4003,"退货给供应商",出库单!$U$4:$U$4003,"正常",出库单!$C$4:$C$4003,"&gt;="&amp;账期起,出库单!$C$4:$C$4003,"&lt;="&amp;账期止),0))</f>
        <v/>
      </c>
      <c r="X468" s="27">
        <f>IF($A468="","",ROUND(N($G468)+$I468+$L468+$N468-$P468-$R468-$T468-$V468,3))</f>
        <v/>
      </c>
      <c r="Y468" s="26">
        <f>IF($A468="","",ROUND(N($H468)+$J468+$M468+$O468-$Q468-$S468-$U468-$W468,0))</f>
        <v/>
      </c>
      <c r="Z468" s="24">
        <f>IF($A468="","",IF(COUNTIFS(入库单!$G$4:$G$2503,$A468,入库单!$Y$4:$Y$2503,"待补价")+COUNTIFS(入库单!$G$4:$G$2503,$A468,入库单!$Y$4:$Y$2503,"暂估")&gt;0,"不可信","可信"))</f>
        <v/>
      </c>
      <c r="AA468" s="24">
        <f>IF($A468="","",IF($X468&lt;-0.001,"※账面负库存，查一下是不是漏记入库",IF(AND(ROUND($X468,3)=0,ABS($Y468)&gt;1),"※数量已经是 0，金额还挂着 "&amp;TEXT($Y468,"#,##0")&amp;" 先令",IF(AND($X468&gt;0,$Y468&lt;=0,$K468=0),"※有数量没金额（这个物料一直没填过进价）",IF($Z468="不可信","△成本含待补价/暂估，毛利仅供参考","")))))</f>
        <v/>
      </c>
    </row>
    <row r="469">
      <c r="A469" s="24">
        <f>IF(物料档案!$A468="","",物料档案!$A468)</f>
        <v/>
      </c>
      <c r="B469" s="24">
        <f>IF($A469="","",IFERROR(VLOOKUP($A469,物料档案!$A$4:$P$1203,3,0),""))</f>
        <v/>
      </c>
      <c r="C469" s="24">
        <f>IF($A469="","",IFERROR(VLOOKUP($A469,物料档案!$A$4:$P$1203,4,0),""))</f>
        <v/>
      </c>
      <c r="D469" s="24">
        <f>IF($A469="","",IFERROR(VLOOKUP($A469,物料档案!$A$4:$P$1203,5,0),""))</f>
        <v/>
      </c>
      <c r="E469" s="24">
        <f>IF($A469="","",IFERROR(VLOOKUP($A469,物料档案!$A$4:$P$1203,2,0),""))</f>
        <v/>
      </c>
      <c r="F469" s="24">
        <f>IF($A469="","",IFERROR(VLOOKUP($A469,物料档案!$A$4:$P$1203,6,0),""))</f>
        <v/>
      </c>
      <c r="G469" s="23" t="n"/>
      <c r="H469" s="32" t="n"/>
      <c r="I469" s="27">
        <f>IF($A469="","",SUMIFS(入库单!$K$4:$K$2503,入库单!$G$4:$G$2503,$A469,入库单!$X$4:$X$2503,"采购入库",入库单!$Z$4:$Z$2503,"正常",入库单!$C$4:$C$2503,"&gt;="&amp;账期起,入库单!$C$4:$C$2503,"&lt;="&amp;账期止))</f>
        <v/>
      </c>
      <c r="J469" s="26">
        <f>IF($A469="","",SUMIFS(入库单!$V$4:$V$2503,入库单!$G$4:$G$2503,$A469,入库单!$X$4:$X$2503,"采购入库",入库单!$Z$4:$Z$2503,"正常",入库单!$C$4:$C$2503,"&gt;="&amp;账期起,入库单!$C$4:$C$2503,"&lt;="&amp;账期止))</f>
        <v/>
      </c>
      <c r="K469" s="26">
        <f>IF($A469="","",IFERROR(ROUND((N($H469)+N($J469))/(N($G469)+N($I469)),2),0))</f>
        <v/>
      </c>
      <c r="L469" s="27">
        <f>IF($A469="","",SUMIFS(入库单!$K$4:$K$2503,入库单!$G$4:$G$2503,$A469,入库单!$X$4:$X$2503,"盘盈",入库单!$Z$4:$Z$2503,"正常",入库单!$C$4:$C$2503,"&gt;="&amp;账期起,入库单!$C$4:$C$2503,"&lt;="&amp;账期止))</f>
        <v/>
      </c>
      <c r="M469" s="26">
        <f>IF($A469="","",ROUND($L469*$K469,0))</f>
        <v/>
      </c>
      <c r="N469" s="27">
        <f>IF($A469="","",SUMIFS(入库单!$K$4:$K$2503,入库单!$G$4:$G$2503,$A469,入库单!$X$4:$X$2503,"矿区退库",入库单!$Z$4:$Z$2503,"正常",入库单!$C$4:$C$2503,"&gt;="&amp;账期起,入库单!$C$4:$C$2503,"&lt;="&amp;账期止))</f>
        <v/>
      </c>
      <c r="O469" s="26">
        <f>IF($A469="","",ROUND($N469*$K469,0))</f>
        <v/>
      </c>
      <c r="P469" s="27">
        <f>IF($A469="","",SUMIFS(出库单!$J$4:$J$4003,出库单!$D$4:$D$4003,$A469,出库单!$K$4:$K$4003,"自用消耗",出库单!$U$4:$U$4003,"正常",出库单!$C$4:$C$4003,"&gt;="&amp;账期起,出库单!$C$4:$C$4003,"&lt;="&amp;账期止))</f>
        <v/>
      </c>
      <c r="Q469" s="26">
        <f>IF($A469="","",ROUND(SUMIFS(出库单!$S$4:$S$4003,出库单!$D$4:$D$4003,$A469,出库单!$K$4:$K$4003,"自用消耗",出库单!$U$4:$U$4003,"正常",出库单!$C$4:$C$4003,"&gt;="&amp;账期起,出库单!$C$4:$C$4003,"&lt;="&amp;账期止),0))</f>
        <v/>
      </c>
      <c r="R469" s="27">
        <f>IF($A469="","",SUMIFS(出库单!$J$4:$J$4003,出库单!$D$4:$D$4003,$A469,出库单!$K$4:$K$4003,"对外销售",出库单!$U$4:$U$4003,"正常",出库单!$C$4:$C$4003,"&gt;="&amp;账期起,出库单!$C$4:$C$4003,"&lt;="&amp;账期止))</f>
        <v/>
      </c>
      <c r="S469" s="26">
        <f>IF($A469="","",ROUND(SUMIFS(出库单!$S$4:$S$4003,出库单!$D$4:$D$4003,$A469,出库单!$K$4:$K$4003,"对外销售",出库单!$U$4:$U$4003,"正常",出库单!$C$4:$C$4003,"&gt;="&amp;账期起,出库单!$C$4:$C$4003,"&lt;="&amp;账期止),0))</f>
        <v/>
      </c>
      <c r="T469" s="27">
        <f>IF($A469="","",SUMIFS(出库单!$J$4:$J$4003,出库单!$D$4:$D$4003,$A469,出库单!$K$4:$K$4003,"盘亏",出库单!$U$4:$U$4003,"正常",出库单!$C$4:$C$4003,"&gt;="&amp;账期起,出库单!$C$4:$C$4003,"&lt;="&amp;账期止))</f>
        <v/>
      </c>
      <c r="U469" s="26">
        <f>IF($A469="","",ROUND(SUMIFS(出库单!$S$4:$S$4003,出库单!$D$4:$D$4003,$A469,出库单!$K$4:$K$4003,"盘亏",出库单!$U$4:$U$4003,"正常",出库单!$C$4:$C$4003,"&gt;="&amp;账期起,出库单!$C$4:$C$4003,"&lt;="&amp;账期止),0))</f>
        <v/>
      </c>
      <c r="V469" s="27">
        <f>IF($A469="","",SUMIFS(出库单!$J$4:$J$4003,出库单!$D$4:$D$4003,$A469,出库单!$K$4:$K$4003,"退货给供应商",出库单!$U$4:$U$4003,"正常",出库单!$C$4:$C$4003,"&gt;="&amp;账期起,出库单!$C$4:$C$4003,"&lt;="&amp;账期止))</f>
        <v/>
      </c>
      <c r="W469" s="26">
        <f>IF($A469="","",ROUND(SUMIFS(出库单!$S$4:$S$4003,出库单!$D$4:$D$4003,$A469,出库单!$K$4:$K$4003,"退货给供应商",出库单!$U$4:$U$4003,"正常",出库单!$C$4:$C$4003,"&gt;="&amp;账期起,出库单!$C$4:$C$4003,"&lt;="&amp;账期止),0))</f>
        <v/>
      </c>
      <c r="X469" s="27">
        <f>IF($A469="","",ROUND(N($G469)+$I469+$L469+$N469-$P469-$R469-$T469-$V469,3))</f>
        <v/>
      </c>
      <c r="Y469" s="26">
        <f>IF($A469="","",ROUND(N($H469)+$J469+$M469+$O469-$Q469-$S469-$U469-$W469,0))</f>
        <v/>
      </c>
      <c r="Z469" s="24">
        <f>IF($A469="","",IF(COUNTIFS(入库单!$G$4:$G$2503,$A469,入库单!$Y$4:$Y$2503,"待补价")+COUNTIFS(入库单!$G$4:$G$2503,$A469,入库单!$Y$4:$Y$2503,"暂估")&gt;0,"不可信","可信"))</f>
        <v/>
      </c>
      <c r="AA469" s="24">
        <f>IF($A469="","",IF($X469&lt;-0.001,"※账面负库存，查一下是不是漏记入库",IF(AND(ROUND($X469,3)=0,ABS($Y469)&gt;1),"※数量已经是 0，金额还挂着 "&amp;TEXT($Y469,"#,##0")&amp;" 先令",IF(AND($X469&gt;0,$Y469&lt;=0,$K469=0),"※有数量没金额（这个物料一直没填过进价）",IF($Z469="不可信","△成本含待补价/暂估，毛利仅供参考","")))))</f>
        <v/>
      </c>
    </row>
    <row r="470">
      <c r="A470" s="24">
        <f>IF(物料档案!$A469="","",物料档案!$A469)</f>
        <v/>
      </c>
      <c r="B470" s="24">
        <f>IF($A470="","",IFERROR(VLOOKUP($A470,物料档案!$A$4:$P$1203,3,0),""))</f>
        <v/>
      </c>
      <c r="C470" s="24">
        <f>IF($A470="","",IFERROR(VLOOKUP($A470,物料档案!$A$4:$P$1203,4,0),""))</f>
        <v/>
      </c>
      <c r="D470" s="24">
        <f>IF($A470="","",IFERROR(VLOOKUP($A470,物料档案!$A$4:$P$1203,5,0),""))</f>
        <v/>
      </c>
      <c r="E470" s="24">
        <f>IF($A470="","",IFERROR(VLOOKUP($A470,物料档案!$A$4:$P$1203,2,0),""))</f>
        <v/>
      </c>
      <c r="F470" s="24">
        <f>IF($A470="","",IFERROR(VLOOKUP($A470,物料档案!$A$4:$P$1203,6,0),""))</f>
        <v/>
      </c>
      <c r="G470" s="23" t="n"/>
      <c r="H470" s="32" t="n"/>
      <c r="I470" s="27">
        <f>IF($A470="","",SUMIFS(入库单!$K$4:$K$2503,入库单!$G$4:$G$2503,$A470,入库单!$X$4:$X$2503,"采购入库",入库单!$Z$4:$Z$2503,"正常",入库单!$C$4:$C$2503,"&gt;="&amp;账期起,入库单!$C$4:$C$2503,"&lt;="&amp;账期止))</f>
        <v/>
      </c>
      <c r="J470" s="26">
        <f>IF($A470="","",SUMIFS(入库单!$V$4:$V$2503,入库单!$G$4:$G$2503,$A470,入库单!$X$4:$X$2503,"采购入库",入库单!$Z$4:$Z$2503,"正常",入库单!$C$4:$C$2503,"&gt;="&amp;账期起,入库单!$C$4:$C$2503,"&lt;="&amp;账期止))</f>
        <v/>
      </c>
      <c r="K470" s="26">
        <f>IF($A470="","",IFERROR(ROUND((N($H470)+N($J470))/(N($G470)+N($I470)),2),0))</f>
        <v/>
      </c>
      <c r="L470" s="27">
        <f>IF($A470="","",SUMIFS(入库单!$K$4:$K$2503,入库单!$G$4:$G$2503,$A470,入库单!$X$4:$X$2503,"盘盈",入库单!$Z$4:$Z$2503,"正常",入库单!$C$4:$C$2503,"&gt;="&amp;账期起,入库单!$C$4:$C$2503,"&lt;="&amp;账期止))</f>
        <v/>
      </c>
      <c r="M470" s="26">
        <f>IF($A470="","",ROUND($L470*$K470,0))</f>
        <v/>
      </c>
      <c r="N470" s="27">
        <f>IF($A470="","",SUMIFS(入库单!$K$4:$K$2503,入库单!$G$4:$G$2503,$A470,入库单!$X$4:$X$2503,"矿区退库",入库单!$Z$4:$Z$2503,"正常",入库单!$C$4:$C$2503,"&gt;="&amp;账期起,入库单!$C$4:$C$2503,"&lt;="&amp;账期止))</f>
        <v/>
      </c>
      <c r="O470" s="26">
        <f>IF($A470="","",ROUND($N470*$K470,0))</f>
        <v/>
      </c>
      <c r="P470" s="27">
        <f>IF($A470="","",SUMIFS(出库单!$J$4:$J$4003,出库单!$D$4:$D$4003,$A470,出库单!$K$4:$K$4003,"自用消耗",出库单!$U$4:$U$4003,"正常",出库单!$C$4:$C$4003,"&gt;="&amp;账期起,出库单!$C$4:$C$4003,"&lt;="&amp;账期止))</f>
        <v/>
      </c>
      <c r="Q470" s="26">
        <f>IF($A470="","",ROUND(SUMIFS(出库单!$S$4:$S$4003,出库单!$D$4:$D$4003,$A470,出库单!$K$4:$K$4003,"自用消耗",出库单!$U$4:$U$4003,"正常",出库单!$C$4:$C$4003,"&gt;="&amp;账期起,出库单!$C$4:$C$4003,"&lt;="&amp;账期止),0))</f>
        <v/>
      </c>
      <c r="R470" s="27">
        <f>IF($A470="","",SUMIFS(出库单!$J$4:$J$4003,出库单!$D$4:$D$4003,$A470,出库单!$K$4:$K$4003,"对外销售",出库单!$U$4:$U$4003,"正常",出库单!$C$4:$C$4003,"&gt;="&amp;账期起,出库单!$C$4:$C$4003,"&lt;="&amp;账期止))</f>
        <v/>
      </c>
      <c r="S470" s="26">
        <f>IF($A470="","",ROUND(SUMIFS(出库单!$S$4:$S$4003,出库单!$D$4:$D$4003,$A470,出库单!$K$4:$K$4003,"对外销售",出库单!$U$4:$U$4003,"正常",出库单!$C$4:$C$4003,"&gt;="&amp;账期起,出库单!$C$4:$C$4003,"&lt;="&amp;账期止),0))</f>
        <v/>
      </c>
      <c r="T470" s="27">
        <f>IF($A470="","",SUMIFS(出库单!$J$4:$J$4003,出库单!$D$4:$D$4003,$A470,出库单!$K$4:$K$4003,"盘亏",出库单!$U$4:$U$4003,"正常",出库单!$C$4:$C$4003,"&gt;="&amp;账期起,出库单!$C$4:$C$4003,"&lt;="&amp;账期止))</f>
        <v/>
      </c>
      <c r="U470" s="26">
        <f>IF($A470="","",ROUND(SUMIFS(出库单!$S$4:$S$4003,出库单!$D$4:$D$4003,$A470,出库单!$K$4:$K$4003,"盘亏",出库单!$U$4:$U$4003,"正常",出库单!$C$4:$C$4003,"&gt;="&amp;账期起,出库单!$C$4:$C$4003,"&lt;="&amp;账期止),0))</f>
        <v/>
      </c>
      <c r="V470" s="27">
        <f>IF($A470="","",SUMIFS(出库单!$J$4:$J$4003,出库单!$D$4:$D$4003,$A470,出库单!$K$4:$K$4003,"退货给供应商",出库单!$U$4:$U$4003,"正常",出库单!$C$4:$C$4003,"&gt;="&amp;账期起,出库单!$C$4:$C$4003,"&lt;="&amp;账期止))</f>
        <v/>
      </c>
      <c r="W470" s="26">
        <f>IF($A470="","",ROUND(SUMIFS(出库单!$S$4:$S$4003,出库单!$D$4:$D$4003,$A470,出库单!$K$4:$K$4003,"退货给供应商",出库单!$U$4:$U$4003,"正常",出库单!$C$4:$C$4003,"&gt;="&amp;账期起,出库单!$C$4:$C$4003,"&lt;="&amp;账期止),0))</f>
        <v/>
      </c>
      <c r="X470" s="27">
        <f>IF($A470="","",ROUND(N($G470)+$I470+$L470+$N470-$P470-$R470-$T470-$V470,3))</f>
        <v/>
      </c>
      <c r="Y470" s="26">
        <f>IF($A470="","",ROUND(N($H470)+$J470+$M470+$O470-$Q470-$S470-$U470-$W470,0))</f>
        <v/>
      </c>
      <c r="Z470" s="24">
        <f>IF($A470="","",IF(COUNTIFS(入库单!$G$4:$G$2503,$A470,入库单!$Y$4:$Y$2503,"待补价")+COUNTIFS(入库单!$G$4:$G$2503,$A470,入库单!$Y$4:$Y$2503,"暂估")&gt;0,"不可信","可信"))</f>
        <v/>
      </c>
      <c r="AA470" s="24">
        <f>IF($A470="","",IF($X470&lt;-0.001,"※账面负库存，查一下是不是漏记入库",IF(AND(ROUND($X470,3)=0,ABS($Y470)&gt;1),"※数量已经是 0，金额还挂着 "&amp;TEXT($Y470,"#,##0")&amp;" 先令",IF(AND($X470&gt;0,$Y470&lt;=0,$K470=0),"※有数量没金额（这个物料一直没填过进价）",IF($Z470="不可信","△成本含待补价/暂估，毛利仅供参考","")))))</f>
        <v/>
      </c>
    </row>
    <row r="471">
      <c r="A471" s="24">
        <f>IF(物料档案!$A470="","",物料档案!$A470)</f>
        <v/>
      </c>
      <c r="B471" s="24">
        <f>IF($A471="","",IFERROR(VLOOKUP($A471,物料档案!$A$4:$P$1203,3,0),""))</f>
        <v/>
      </c>
      <c r="C471" s="24">
        <f>IF($A471="","",IFERROR(VLOOKUP($A471,物料档案!$A$4:$P$1203,4,0),""))</f>
        <v/>
      </c>
      <c r="D471" s="24">
        <f>IF($A471="","",IFERROR(VLOOKUP($A471,物料档案!$A$4:$P$1203,5,0),""))</f>
        <v/>
      </c>
      <c r="E471" s="24">
        <f>IF($A471="","",IFERROR(VLOOKUP($A471,物料档案!$A$4:$P$1203,2,0),""))</f>
        <v/>
      </c>
      <c r="F471" s="24">
        <f>IF($A471="","",IFERROR(VLOOKUP($A471,物料档案!$A$4:$P$1203,6,0),""))</f>
        <v/>
      </c>
      <c r="G471" s="23" t="n"/>
      <c r="H471" s="32" t="n"/>
      <c r="I471" s="27">
        <f>IF($A471="","",SUMIFS(入库单!$K$4:$K$2503,入库单!$G$4:$G$2503,$A471,入库单!$X$4:$X$2503,"采购入库",入库单!$Z$4:$Z$2503,"正常",入库单!$C$4:$C$2503,"&gt;="&amp;账期起,入库单!$C$4:$C$2503,"&lt;="&amp;账期止))</f>
        <v/>
      </c>
      <c r="J471" s="26">
        <f>IF($A471="","",SUMIFS(入库单!$V$4:$V$2503,入库单!$G$4:$G$2503,$A471,入库单!$X$4:$X$2503,"采购入库",入库单!$Z$4:$Z$2503,"正常",入库单!$C$4:$C$2503,"&gt;="&amp;账期起,入库单!$C$4:$C$2503,"&lt;="&amp;账期止))</f>
        <v/>
      </c>
      <c r="K471" s="26">
        <f>IF($A471="","",IFERROR(ROUND((N($H471)+N($J471))/(N($G471)+N($I471)),2),0))</f>
        <v/>
      </c>
      <c r="L471" s="27">
        <f>IF($A471="","",SUMIFS(入库单!$K$4:$K$2503,入库单!$G$4:$G$2503,$A471,入库单!$X$4:$X$2503,"盘盈",入库单!$Z$4:$Z$2503,"正常",入库单!$C$4:$C$2503,"&gt;="&amp;账期起,入库单!$C$4:$C$2503,"&lt;="&amp;账期止))</f>
        <v/>
      </c>
      <c r="M471" s="26">
        <f>IF($A471="","",ROUND($L471*$K471,0))</f>
        <v/>
      </c>
      <c r="N471" s="27">
        <f>IF($A471="","",SUMIFS(入库单!$K$4:$K$2503,入库单!$G$4:$G$2503,$A471,入库单!$X$4:$X$2503,"矿区退库",入库单!$Z$4:$Z$2503,"正常",入库单!$C$4:$C$2503,"&gt;="&amp;账期起,入库单!$C$4:$C$2503,"&lt;="&amp;账期止))</f>
        <v/>
      </c>
      <c r="O471" s="26">
        <f>IF($A471="","",ROUND($N471*$K471,0))</f>
        <v/>
      </c>
      <c r="P471" s="27">
        <f>IF($A471="","",SUMIFS(出库单!$J$4:$J$4003,出库单!$D$4:$D$4003,$A471,出库单!$K$4:$K$4003,"自用消耗",出库单!$U$4:$U$4003,"正常",出库单!$C$4:$C$4003,"&gt;="&amp;账期起,出库单!$C$4:$C$4003,"&lt;="&amp;账期止))</f>
        <v/>
      </c>
      <c r="Q471" s="26">
        <f>IF($A471="","",ROUND(SUMIFS(出库单!$S$4:$S$4003,出库单!$D$4:$D$4003,$A471,出库单!$K$4:$K$4003,"自用消耗",出库单!$U$4:$U$4003,"正常",出库单!$C$4:$C$4003,"&gt;="&amp;账期起,出库单!$C$4:$C$4003,"&lt;="&amp;账期止),0))</f>
        <v/>
      </c>
      <c r="R471" s="27">
        <f>IF($A471="","",SUMIFS(出库单!$J$4:$J$4003,出库单!$D$4:$D$4003,$A471,出库单!$K$4:$K$4003,"对外销售",出库单!$U$4:$U$4003,"正常",出库单!$C$4:$C$4003,"&gt;="&amp;账期起,出库单!$C$4:$C$4003,"&lt;="&amp;账期止))</f>
        <v/>
      </c>
      <c r="S471" s="26">
        <f>IF($A471="","",ROUND(SUMIFS(出库单!$S$4:$S$4003,出库单!$D$4:$D$4003,$A471,出库单!$K$4:$K$4003,"对外销售",出库单!$U$4:$U$4003,"正常",出库单!$C$4:$C$4003,"&gt;="&amp;账期起,出库单!$C$4:$C$4003,"&lt;="&amp;账期止),0))</f>
        <v/>
      </c>
      <c r="T471" s="27">
        <f>IF($A471="","",SUMIFS(出库单!$J$4:$J$4003,出库单!$D$4:$D$4003,$A471,出库单!$K$4:$K$4003,"盘亏",出库单!$U$4:$U$4003,"正常",出库单!$C$4:$C$4003,"&gt;="&amp;账期起,出库单!$C$4:$C$4003,"&lt;="&amp;账期止))</f>
        <v/>
      </c>
      <c r="U471" s="26">
        <f>IF($A471="","",ROUND(SUMIFS(出库单!$S$4:$S$4003,出库单!$D$4:$D$4003,$A471,出库单!$K$4:$K$4003,"盘亏",出库单!$U$4:$U$4003,"正常",出库单!$C$4:$C$4003,"&gt;="&amp;账期起,出库单!$C$4:$C$4003,"&lt;="&amp;账期止),0))</f>
        <v/>
      </c>
      <c r="V471" s="27">
        <f>IF($A471="","",SUMIFS(出库单!$J$4:$J$4003,出库单!$D$4:$D$4003,$A471,出库单!$K$4:$K$4003,"退货给供应商",出库单!$U$4:$U$4003,"正常",出库单!$C$4:$C$4003,"&gt;="&amp;账期起,出库单!$C$4:$C$4003,"&lt;="&amp;账期止))</f>
        <v/>
      </c>
      <c r="W471" s="26">
        <f>IF($A471="","",ROUND(SUMIFS(出库单!$S$4:$S$4003,出库单!$D$4:$D$4003,$A471,出库单!$K$4:$K$4003,"退货给供应商",出库单!$U$4:$U$4003,"正常",出库单!$C$4:$C$4003,"&gt;="&amp;账期起,出库单!$C$4:$C$4003,"&lt;="&amp;账期止),0))</f>
        <v/>
      </c>
      <c r="X471" s="27">
        <f>IF($A471="","",ROUND(N($G471)+$I471+$L471+$N471-$P471-$R471-$T471-$V471,3))</f>
        <v/>
      </c>
      <c r="Y471" s="26">
        <f>IF($A471="","",ROUND(N($H471)+$J471+$M471+$O471-$Q471-$S471-$U471-$W471,0))</f>
        <v/>
      </c>
      <c r="Z471" s="24">
        <f>IF($A471="","",IF(COUNTIFS(入库单!$G$4:$G$2503,$A471,入库单!$Y$4:$Y$2503,"待补价")+COUNTIFS(入库单!$G$4:$G$2503,$A471,入库单!$Y$4:$Y$2503,"暂估")&gt;0,"不可信","可信"))</f>
        <v/>
      </c>
      <c r="AA471" s="24">
        <f>IF($A471="","",IF($X471&lt;-0.001,"※账面负库存，查一下是不是漏记入库",IF(AND(ROUND($X471,3)=0,ABS($Y471)&gt;1),"※数量已经是 0，金额还挂着 "&amp;TEXT($Y471,"#,##0")&amp;" 先令",IF(AND($X471&gt;0,$Y471&lt;=0,$K471=0),"※有数量没金额（这个物料一直没填过进价）",IF($Z471="不可信","△成本含待补价/暂估，毛利仅供参考","")))))</f>
        <v/>
      </c>
    </row>
    <row r="472">
      <c r="A472" s="24">
        <f>IF(物料档案!$A471="","",物料档案!$A471)</f>
        <v/>
      </c>
      <c r="B472" s="24">
        <f>IF($A472="","",IFERROR(VLOOKUP($A472,物料档案!$A$4:$P$1203,3,0),""))</f>
        <v/>
      </c>
      <c r="C472" s="24">
        <f>IF($A472="","",IFERROR(VLOOKUP($A472,物料档案!$A$4:$P$1203,4,0),""))</f>
        <v/>
      </c>
      <c r="D472" s="24">
        <f>IF($A472="","",IFERROR(VLOOKUP($A472,物料档案!$A$4:$P$1203,5,0),""))</f>
        <v/>
      </c>
      <c r="E472" s="24">
        <f>IF($A472="","",IFERROR(VLOOKUP($A472,物料档案!$A$4:$P$1203,2,0),""))</f>
        <v/>
      </c>
      <c r="F472" s="24">
        <f>IF($A472="","",IFERROR(VLOOKUP($A472,物料档案!$A$4:$P$1203,6,0),""))</f>
        <v/>
      </c>
      <c r="G472" s="23" t="n"/>
      <c r="H472" s="32" t="n"/>
      <c r="I472" s="27">
        <f>IF($A472="","",SUMIFS(入库单!$K$4:$K$2503,入库单!$G$4:$G$2503,$A472,入库单!$X$4:$X$2503,"采购入库",入库单!$Z$4:$Z$2503,"正常",入库单!$C$4:$C$2503,"&gt;="&amp;账期起,入库单!$C$4:$C$2503,"&lt;="&amp;账期止))</f>
        <v/>
      </c>
      <c r="J472" s="26">
        <f>IF($A472="","",SUMIFS(入库单!$V$4:$V$2503,入库单!$G$4:$G$2503,$A472,入库单!$X$4:$X$2503,"采购入库",入库单!$Z$4:$Z$2503,"正常",入库单!$C$4:$C$2503,"&gt;="&amp;账期起,入库单!$C$4:$C$2503,"&lt;="&amp;账期止))</f>
        <v/>
      </c>
      <c r="K472" s="26">
        <f>IF($A472="","",IFERROR(ROUND((N($H472)+N($J472))/(N($G472)+N($I472)),2),0))</f>
        <v/>
      </c>
      <c r="L472" s="27">
        <f>IF($A472="","",SUMIFS(入库单!$K$4:$K$2503,入库单!$G$4:$G$2503,$A472,入库单!$X$4:$X$2503,"盘盈",入库单!$Z$4:$Z$2503,"正常",入库单!$C$4:$C$2503,"&gt;="&amp;账期起,入库单!$C$4:$C$2503,"&lt;="&amp;账期止))</f>
        <v/>
      </c>
      <c r="M472" s="26">
        <f>IF($A472="","",ROUND($L472*$K472,0))</f>
        <v/>
      </c>
      <c r="N472" s="27">
        <f>IF($A472="","",SUMIFS(入库单!$K$4:$K$2503,入库单!$G$4:$G$2503,$A472,入库单!$X$4:$X$2503,"矿区退库",入库单!$Z$4:$Z$2503,"正常",入库单!$C$4:$C$2503,"&gt;="&amp;账期起,入库单!$C$4:$C$2503,"&lt;="&amp;账期止))</f>
        <v/>
      </c>
      <c r="O472" s="26">
        <f>IF($A472="","",ROUND($N472*$K472,0))</f>
        <v/>
      </c>
      <c r="P472" s="27">
        <f>IF($A472="","",SUMIFS(出库单!$J$4:$J$4003,出库单!$D$4:$D$4003,$A472,出库单!$K$4:$K$4003,"自用消耗",出库单!$U$4:$U$4003,"正常",出库单!$C$4:$C$4003,"&gt;="&amp;账期起,出库单!$C$4:$C$4003,"&lt;="&amp;账期止))</f>
        <v/>
      </c>
      <c r="Q472" s="26">
        <f>IF($A472="","",ROUND(SUMIFS(出库单!$S$4:$S$4003,出库单!$D$4:$D$4003,$A472,出库单!$K$4:$K$4003,"自用消耗",出库单!$U$4:$U$4003,"正常",出库单!$C$4:$C$4003,"&gt;="&amp;账期起,出库单!$C$4:$C$4003,"&lt;="&amp;账期止),0))</f>
        <v/>
      </c>
      <c r="R472" s="27">
        <f>IF($A472="","",SUMIFS(出库单!$J$4:$J$4003,出库单!$D$4:$D$4003,$A472,出库单!$K$4:$K$4003,"对外销售",出库单!$U$4:$U$4003,"正常",出库单!$C$4:$C$4003,"&gt;="&amp;账期起,出库单!$C$4:$C$4003,"&lt;="&amp;账期止))</f>
        <v/>
      </c>
      <c r="S472" s="26">
        <f>IF($A472="","",ROUND(SUMIFS(出库单!$S$4:$S$4003,出库单!$D$4:$D$4003,$A472,出库单!$K$4:$K$4003,"对外销售",出库单!$U$4:$U$4003,"正常",出库单!$C$4:$C$4003,"&gt;="&amp;账期起,出库单!$C$4:$C$4003,"&lt;="&amp;账期止),0))</f>
        <v/>
      </c>
      <c r="T472" s="27">
        <f>IF($A472="","",SUMIFS(出库单!$J$4:$J$4003,出库单!$D$4:$D$4003,$A472,出库单!$K$4:$K$4003,"盘亏",出库单!$U$4:$U$4003,"正常",出库单!$C$4:$C$4003,"&gt;="&amp;账期起,出库单!$C$4:$C$4003,"&lt;="&amp;账期止))</f>
        <v/>
      </c>
      <c r="U472" s="26">
        <f>IF($A472="","",ROUND(SUMIFS(出库单!$S$4:$S$4003,出库单!$D$4:$D$4003,$A472,出库单!$K$4:$K$4003,"盘亏",出库单!$U$4:$U$4003,"正常",出库单!$C$4:$C$4003,"&gt;="&amp;账期起,出库单!$C$4:$C$4003,"&lt;="&amp;账期止),0))</f>
        <v/>
      </c>
      <c r="V472" s="27">
        <f>IF($A472="","",SUMIFS(出库单!$J$4:$J$4003,出库单!$D$4:$D$4003,$A472,出库单!$K$4:$K$4003,"退货给供应商",出库单!$U$4:$U$4003,"正常",出库单!$C$4:$C$4003,"&gt;="&amp;账期起,出库单!$C$4:$C$4003,"&lt;="&amp;账期止))</f>
        <v/>
      </c>
      <c r="W472" s="26">
        <f>IF($A472="","",ROUND(SUMIFS(出库单!$S$4:$S$4003,出库单!$D$4:$D$4003,$A472,出库单!$K$4:$K$4003,"退货给供应商",出库单!$U$4:$U$4003,"正常",出库单!$C$4:$C$4003,"&gt;="&amp;账期起,出库单!$C$4:$C$4003,"&lt;="&amp;账期止),0))</f>
        <v/>
      </c>
      <c r="X472" s="27">
        <f>IF($A472="","",ROUND(N($G472)+$I472+$L472+$N472-$P472-$R472-$T472-$V472,3))</f>
        <v/>
      </c>
      <c r="Y472" s="26">
        <f>IF($A472="","",ROUND(N($H472)+$J472+$M472+$O472-$Q472-$S472-$U472-$W472,0))</f>
        <v/>
      </c>
      <c r="Z472" s="24">
        <f>IF($A472="","",IF(COUNTIFS(入库单!$G$4:$G$2503,$A472,入库单!$Y$4:$Y$2503,"待补价")+COUNTIFS(入库单!$G$4:$G$2503,$A472,入库单!$Y$4:$Y$2503,"暂估")&gt;0,"不可信","可信"))</f>
        <v/>
      </c>
      <c r="AA472" s="24">
        <f>IF($A472="","",IF($X472&lt;-0.001,"※账面负库存，查一下是不是漏记入库",IF(AND(ROUND($X472,3)=0,ABS($Y472)&gt;1),"※数量已经是 0，金额还挂着 "&amp;TEXT($Y472,"#,##0")&amp;" 先令",IF(AND($X472&gt;0,$Y472&lt;=0,$K472=0),"※有数量没金额（这个物料一直没填过进价）",IF($Z472="不可信","△成本含待补价/暂估，毛利仅供参考","")))))</f>
        <v/>
      </c>
    </row>
    <row r="473">
      <c r="A473" s="24">
        <f>IF(物料档案!$A472="","",物料档案!$A472)</f>
        <v/>
      </c>
      <c r="B473" s="24">
        <f>IF($A473="","",IFERROR(VLOOKUP($A473,物料档案!$A$4:$P$1203,3,0),""))</f>
        <v/>
      </c>
      <c r="C473" s="24">
        <f>IF($A473="","",IFERROR(VLOOKUP($A473,物料档案!$A$4:$P$1203,4,0),""))</f>
        <v/>
      </c>
      <c r="D473" s="24">
        <f>IF($A473="","",IFERROR(VLOOKUP($A473,物料档案!$A$4:$P$1203,5,0),""))</f>
        <v/>
      </c>
      <c r="E473" s="24">
        <f>IF($A473="","",IFERROR(VLOOKUP($A473,物料档案!$A$4:$P$1203,2,0),""))</f>
        <v/>
      </c>
      <c r="F473" s="24">
        <f>IF($A473="","",IFERROR(VLOOKUP($A473,物料档案!$A$4:$P$1203,6,0),""))</f>
        <v/>
      </c>
      <c r="G473" s="23" t="n"/>
      <c r="H473" s="32" t="n"/>
      <c r="I473" s="27">
        <f>IF($A473="","",SUMIFS(入库单!$K$4:$K$2503,入库单!$G$4:$G$2503,$A473,入库单!$X$4:$X$2503,"采购入库",入库单!$Z$4:$Z$2503,"正常",入库单!$C$4:$C$2503,"&gt;="&amp;账期起,入库单!$C$4:$C$2503,"&lt;="&amp;账期止))</f>
        <v/>
      </c>
      <c r="J473" s="26">
        <f>IF($A473="","",SUMIFS(入库单!$V$4:$V$2503,入库单!$G$4:$G$2503,$A473,入库单!$X$4:$X$2503,"采购入库",入库单!$Z$4:$Z$2503,"正常",入库单!$C$4:$C$2503,"&gt;="&amp;账期起,入库单!$C$4:$C$2503,"&lt;="&amp;账期止))</f>
        <v/>
      </c>
      <c r="K473" s="26">
        <f>IF($A473="","",IFERROR(ROUND((N($H473)+N($J473))/(N($G473)+N($I473)),2),0))</f>
        <v/>
      </c>
      <c r="L473" s="27">
        <f>IF($A473="","",SUMIFS(入库单!$K$4:$K$2503,入库单!$G$4:$G$2503,$A473,入库单!$X$4:$X$2503,"盘盈",入库单!$Z$4:$Z$2503,"正常",入库单!$C$4:$C$2503,"&gt;="&amp;账期起,入库单!$C$4:$C$2503,"&lt;="&amp;账期止))</f>
        <v/>
      </c>
      <c r="M473" s="26">
        <f>IF($A473="","",ROUND($L473*$K473,0))</f>
        <v/>
      </c>
      <c r="N473" s="27">
        <f>IF($A473="","",SUMIFS(入库单!$K$4:$K$2503,入库单!$G$4:$G$2503,$A473,入库单!$X$4:$X$2503,"矿区退库",入库单!$Z$4:$Z$2503,"正常",入库单!$C$4:$C$2503,"&gt;="&amp;账期起,入库单!$C$4:$C$2503,"&lt;="&amp;账期止))</f>
        <v/>
      </c>
      <c r="O473" s="26">
        <f>IF($A473="","",ROUND($N473*$K473,0))</f>
        <v/>
      </c>
      <c r="P473" s="27">
        <f>IF($A473="","",SUMIFS(出库单!$J$4:$J$4003,出库单!$D$4:$D$4003,$A473,出库单!$K$4:$K$4003,"自用消耗",出库单!$U$4:$U$4003,"正常",出库单!$C$4:$C$4003,"&gt;="&amp;账期起,出库单!$C$4:$C$4003,"&lt;="&amp;账期止))</f>
        <v/>
      </c>
      <c r="Q473" s="26">
        <f>IF($A473="","",ROUND(SUMIFS(出库单!$S$4:$S$4003,出库单!$D$4:$D$4003,$A473,出库单!$K$4:$K$4003,"自用消耗",出库单!$U$4:$U$4003,"正常",出库单!$C$4:$C$4003,"&gt;="&amp;账期起,出库单!$C$4:$C$4003,"&lt;="&amp;账期止),0))</f>
        <v/>
      </c>
      <c r="R473" s="27">
        <f>IF($A473="","",SUMIFS(出库单!$J$4:$J$4003,出库单!$D$4:$D$4003,$A473,出库单!$K$4:$K$4003,"对外销售",出库单!$U$4:$U$4003,"正常",出库单!$C$4:$C$4003,"&gt;="&amp;账期起,出库单!$C$4:$C$4003,"&lt;="&amp;账期止))</f>
        <v/>
      </c>
      <c r="S473" s="26">
        <f>IF($A473="","",ROUND(SUMIFS(出库单!$S$4:$S$4003,出库单!$D$4:$D$4003,$A473,出库单!$K$4:$K$4003,"对外销售",出库单!$U$4:$U$4003,"正常",出库单!$C$4:$C$4003,"&gt;="&amp;账期起,出库单!$C$4:$C$4003,"&lt;="&amp;账期止),0))</f>
        <v/>
      </c>
      <c r="T473" s="27">
        <f>IF($A473="","",SUMIFS(出库单!$J$4:$J$4003,出库单!$D$4:$D$4003,$A473,出库单!$K$4:$K$4003,"盘亏",出库单!$U$4:$U$4003,"正常",出库单!$C$4:$C$4003,"&gt;="&amp;账期起,出库单!$C$4:$C$4003,"&lt;="&amp;账期止))</f>
        <v/>
      </c>
      <c r="U473" s="26">
        <f>IF($A473="","",ROUND(SUMIFS(出库单!$S$4:$S$4003,出库单!$D$4:$D$4003,$A473,出库单!$K$4:$K$4003,"盘亏",出库单!$U$4:$U$4003,"正常",出库单!$C$4:$C$4003,"&gt;="&amp;账期起,出库单!$C$4:$C$4003,"&lt;="&amp;账期止),0))</f>
        <v/>
      </c>
      <c r="V473" s="27">
        <f>IF($A473="","",SUMIFS(出库单!$J$4:$J$4003,出库单!$D$4:$D$4003,$A473,出库单!$K$4:$K$4003,"退货给供应商",出库单!$U$4:$U$4003,"正常",出库单!$C$4:$C$4003,"&gt;="&amp;账期起,出库单!$C$4:$C$4003,"&lt;="&amp;账期止))</f>
        <v/>
      </c>
      <c r="W473" s="26">
        <f>IF($A473="","",ROUND(SUMIFS(出库单!$S$4:$S$4003,出库单!$D$4:$D$4003,$A473,出库单!$K$4:$K$4003,"退货给供应商",出库单!$U$4:$U$4003,"正常",出库单!$C$4:$C$4003,"&gt;="&amp;账期起,出库单!$C$4:$C$4003,"&lt;="&amp;账期止),0))</f>
        <v/>
      </c>
      <c r="X473" s="27">
        <f>IF($A473="","",ROUND(N($G473)+$I473+$L473+$N473-$P473-$R473-$T473-$V473,3))</f>
        <v/>
      </c>
      <c r="Y473" s="26">
        <f>IF($A473="","",ROUND(N($H473)+$J473+$M473+$O473-$Q473-$S473-$U473-$W473,0))</f>
        <v/>
      </c>
      <c r="Z473" s="24">
        <f>IF($A473="","",IF(COUNTIFS(入库单!$G$4:$G$2503,$A473,入库单!$Y$4:$Y$2503,"待补价")+COUNTIFS(入库单!$G$4:$G$2503,$A473,入库单!$Y$4:$Y$2503,"暂估")&gt;0,"不可信","可信"))</f>
        <v/>
      </c>
      <c r="AA473" s="24">
        <f>IF($A473="","",IF($X473&lt;-0.001,"※账面负库存，查一下是不是漏记入库",IF(AND(ROUND($X473,3)=0,ABS($Y473)&gt;1),"※数量已经是 0，金额还挂着 "&amp;TEXT($Y473,"#,##0")&amp;" 先令",IF(AND($X473&gt;0,$Y473&lt;=0,$K473=0),"※有数量没金额（这个物料一直没填过进价）",IF($Z473="不可信","△成本含待补价/暂估，毛利仅供参考","")))))</f>
        <v/>
      </c>
    </row>
    <row r="474">
      <c r="A474" s="24">
        <f>IF(物料档案!$A473="","",物料档案!$A473)</f>
        <v/>
      </c>
      <c r="B474" s="24">
        <f>IF($A474="","",IFERROR(VLOOKUP($A474,物料档案!$A$4:$P$1203,3,0),""))</f>
        <v/>
      </c>
      <c r="C474" s="24">
        <f>IF($A474="","",IFERROR(VLOOKUP($A474,物料档案!$A$4:$P$1203,4,0),""))</f>
        <v/>
      </c>
      <c r="D474" s="24">
        <f>IF($A474="","",IFERROR(VLOOKUP($A474,物料档案!$A$4:$P$1203,5,0),""))</f>
        <v/>
      </c>
      <c r="E474" s="24">
        <f>IF($A474="","",IFERROR(VLOOKUP($A474,物料档案!$A$4:$P$1203,2,0),""))</f>
        <v/>
      </c>
      <c r="F474" s="24">
        <f>IF($A474="","",IFERROR(VLOOKUP($A474,物料档案!$A$4:$P$1203,6,0),""))</f>
        <v/>
      </c>
      <c r="G474" s="23" t="n"/>
      <c r="H474" s="32" t="n"/>
      <c r="I474" s="27">
        <f>IF($A474="","",SUMIFS(入库单!$K$4:$K$2503,入库单!$G$4:$G$2503,$A474,入库单!$X$4:$X$2503,"采购入库",入库单!$Z$4:$Z$2503,"正常",入库单!$C$4:$C$2503,"&gt;="&amp;账期起,入库单!$C$4:$C$2503,"&lt;="&amp;账期止))</f>
        <v/>
      </c>
      <c r="J474" s="26">
        <f>IF($A474="","",SUMIFS(入库单!$V$4:$V$2503,入库单!$G$4:$G$2503,$A474,入库单!$X$4:$X$2503,"采购入库",入库单!$Z$4:$Z$2503,"正常",入库单!$C$4:$C$2503,"&gt;="&amp;账期起,入库单!$C$4:$C$2503,"&lt;="&amp;账期止))</f>
        <v/>
      </c>
      <c r="K474" s="26">
        <f>IF($A474="","",IFERROR(ROUND((N($H474)+N($J474))/(N($G474)+N($I474)),2),0))</f>
        <v/>
      </c>
      <c r="L474" s="27">
        <f>IF($A474="","",SUMIFS(入库单!$K$4:$K$2503,入库单!$G$4:$G$2503,$A474,入库单!$X$4:$X$2503,"盘盈",入库单!$Z$4:$Z$2503,"正常",入库单!$C$4:$C$2503,"&gt;="&amp;账期起,入库单!$C$4:$C$2503,"&lt;="&amp;账期止))</f>
        <v/>
      </c>
      <c r="M474" s="26">
        <f>IF($A474="","",ROUND($L474*$K474,0))</f>
        <v/>
      </c>
      <c r="N474" s="27">
        <f>IF($A474="","",SUMIFS(入库单!$K$4:$K$2503,入库单!$G$4:$G$2503,$A474,入库单!$X$4:$X$2503,"矿区退库",入库单!$Z$4:$Z$2503,"正常",入库单!$C$4:$C$2503,"&gt;="&amp;账期起,入库单!$C$4:$C$2503,"&lt;="&amp;账期止))</f>
        <v/>
      </c>
      <c r="O474" s="26">
        <f>IF($A474="","",ROUND($N474*$K474,0))</f>
        <v/>
      </c>
      <c r="P474" s="27">
        <f>IF($A474="","",SUMIFS(出库单!$J$4:$J$4003,出库单!$D$4:$D$4003,$A474,出库单!$K$4:$K$4003,"自用消耗",出库单!$U$4:$U$4003,"正常",出库单!$C$4:$C$4003,"&gt;="&amp;账期起,出库单!$C$4:$C$4003,"&lt;="&amp;账期止))</f>
        <v/>
      </c>
      <c r="Q474" s="26">
        <f>IF($A474="","",ROUND(SUMIFS(出库单!$S$4:$S$4003,出库单!$D$4:$D$4003,$A474,出库单!$K$4:$K$4003,"自用消耗",出库单!$U$4:$U$4003,"正常",出库单!$C$4:$C$4003,"&gt;="&amp;账期起,出库单!$C$4:$C$4003,"&lt;="&amp;账期止),0))</f>
        <v/>
      </c>
      <c r="R474" s="27">
        <f>IF($A474="","",SUMIFS(出库单!$J$4:$J$4003,出库单!$D$4:$D$4003,$A474,出库单!$K$4:$K$4003,"对外销售",出库单!$U$4:$U$4003,"正常",出库单!$C$4:$C$4003,"&gt;="&amp;账期起,出库单!$C$4:$C$4003,"&lt;="&amp;账期止))</f>
        <v/>
      </c>
      <c r="S474" s="26">
        <f>IF($A474="","",ROUND(SUMIFS(出库单!$S$4:$S$4003,出库单!$D$4:$D$4003,$A474,出库单!$K$4:$K$4003,"对外销售",出库单!$U$4:$U$4003,"正常",出库单!$C$4:$C$4003,"&gt;="&amp;账期起,出库单!$C$4:$C$4003,"&lt;="&amp;账期止),0))</f>
        <v/>
      </c>
      <c r="T474" s="27">
        <f>IF($A474="","",SUMIFS(出库单!$J$4:$J$4003,出库单!$D$4:$D$4003,$A474,出库单!$K$4:$K$4003,"盘亏",出库单!$U$4:$U$4003,"正常",出库单!$C$4:$C$4003,"&gt;="&amp;账期起,出库单!$C$4:$C$4003,"&lt;="&amp;账期止))</f>
        <v/>
      </c>
      <c r="U474" s="26">
        <f>IF($A474="","",ROUND(SUMIFS(出库单!$S$4:$S$4003,出库单!$D$4:$D$4003,$A474,出库单!$K$4:$K$4003,"盘亏",出库单!$U$4:$U$4003,"正常",出库单!$C$4:$C$4003,"&gt;="&amp;账期起,出库单!$C$4:$C$4003,"&lt;="&amp;账期止),0))</f>
        <v/>
      </c>
      <c r="V474" s="27">
        <f>IF($A474="","",SUMIFS(出库单!$J$4:$J$4003,出库单!$D$4:$D$4003,$A474,出库单!$K$4:$K$4003,"退货给供应商",出库单!$U$4:$U$4003,"正常",出库单!$C$4:$C$4003,"&gt;="&amp;账期起,出库单!$C$4:$C$4003,"&lt;="&amp;账期止))</f>
        <v/>
      </c>
      <c r="W474" s="26">
        <f>IF($A474="","",ROUND(SUMIFS(出库单!$S$4:$S$4003,出库单!$D$4:$D$4003,$A474,出库单!$K$4:$K$4003,"退货给供应商",出库单!$U$4:$U$4003,"正常",出库单!$C$4:$C$4003,"&gt;="&amp;账期起,出库单!$C$4:$C$4003,"&lt;="&amp;账期止),0))</f>
        <v/>
      </c>
      <c r="X474" s="27">
        <f>IF($A474="","",ROUND(N($G474)+$I474+$L474+$N474-$P474-$R474-$T474-$V474,3))</f>
        <v/>
      </c>
      <c r="Y474" s="26">
        <f>IF($A474="","",ROUND(N($H474)+$J474+$M474+$O474-$Q474-$S474-$U474-$W474,0))</f>
        <v/>
      </c>
      <c r="Z474" s="24">
        <f>IF($A474="","",IF(COUNTIFS(入库单!$G$4:$G$2503,$A474,入库单!$Y$4:$Y$2503,"待补价")+COUNTIFS(入库单!$G$4:$G$2503,$A474,入库单!$Y$4:$Y$2503,"暂估")&gt;0,"不可信","可信"))</f>
        <v/>
      </c>
      <c r="AA474" s="24">
        <f>IF($A474="","",IF($X474&lt;-0.001,"※账面负库存，查一下是不是漏记入库",IF(AND(ROUND($X474,3)=0,ABS($Y474)&gt;1),"※数量已经是 0，金额还挂着 "&amp;TEXT($Y474,"#,##0")&amp;" 先令",IF(AND($X474&gt;0,$Y474&lt;=0,$K474=0),"※有数量没金额（这个物料一直没填过进价）",IF($Z474="不可信","△成本含待补价/暂估，毛利仅供参考","")))))</f>
        <v/>
      </c>
    </row>
    <row r="475">
      <c r="A475" s="24">
        <f>IF(物料档案!$A474="","",物料档案!$A474)</f>
        <v/>
      </c>
      <c r="B475" s="24">
        <f>IF($A475="","",IFERROR(VLOOKUP($A475,物料档案!$A$4:$P$1203,3,0),""))</f>
        <v/>
      </c>
      <c r="C475" s="24">
        <f>IF($A475="","",IFERROR(VLOOKUP($A475,物料档案!$A$4:$P$1203,4,0),""))</f>
        <v/>
      </c>
      <c r="D475" s="24">
        <f>IF($A475="","",IFERROR(VLOOKUP($A475,物料档案!$A$4:$P$1203,5,0),""))</f>
        <v/>
      </c>
      <c r="E475" s="24">
        <f>IF($A475="","",IFERROR(VLOOKUP($A475,物料档案!$A$4:$P$1203,2,0),""))</f>
        <v/>
      </c>
      <c r="F475" s="24">
        <f>IF($A475="","",IFERROR(VLOOKUP($A475,物料档案!$A$4:$P$1203,6,0),""))</f>
        <v/>
      </c>
      <c r="G475" s="23" t="n"/>
      <c r="H475" s="32" t="n"/>
      <c r="I475" s="27">
        <f>IF($A475="","",SUMIFS(入库单!$K$4:$K$2503,入库单!$G$4:$G$2503,$A475,入库单!$X$4:$X$2503,"采购入库",入库单!$Z$4:$Z$2503,"正常",入库单!$C$4:$C$2503,"&gt;="&amp;账期起,入库单!$C$4:$C$2503,"&lt;="&amp;账期止))</f>
        <v/>
      </c>
      <c r="J475" s="26">
        <f>IF($A475="","",SUMIFS(入库单!$V$4:$V$2503,入库单!$G$4:$G$2503,$A475,入库单!$X$4:$X$2503,"采购入库",入库单!$Z$4:$Z$2503,"正常",入库单!$C$4:$C$2503,"&gt;="&amp;账期起,入库单!$C$4:$C$2503,"&lt;="&amp;账期止))</f>
        <v/>
      </c>
      <c r="K475" s="26">
        <f>IF($A475="","",IFERROR(ROUND((N($H475)+N($J475))/(N($G475)+N($I475)),2),0))</f>
        <v/>
      </c>
      <c r="L475" s="27">
        <f>IF($A475="","",SUMIFS(入库单!$K$4:$K$2503,入库单!$G$4:$G$2503,$A475,入库单!$X$4:$X$2503,"盘盈",入库单!$Z$4:$Z$2503,"正常",入库单!$C$4:$C$2503,"&gt;="&amp;账期起,入库单!$C$4:$C$2503,"&lt;="&amp;账期止))</f>
        <v/>
      </c>
      <c r="M475" s="26">
        <f>IF($A475="","",ROUND($L475*$K475,0))</f>
        <v/>
      </c>
      <c r="N475" s="27">
        <f>IF($A475="","",SUMIFS(入库单!$K$4:$K$2503,入库单!$G$4:$G$2503,$A475,入库单!$X$4:$X$2503,"矿区退库",入库单!$Z$4:$Z$2503,"正常",入库单!$C$4:$C$2503,"&gt;="&amp;账期起,入库单!$C$4:$C$2503,"&lt;="&amp;账期止))</f>
        <v/>
      </c>
      <c r="O475" s="26">
        <f>IF($A475="","",ROUND($N475*$K475,0))</f>
        <v/>
      </c>
      <c r="P475" s="27">
        <f>IF($A475="","",SUMIFS(出库单!$J$4:$J$4003,出库单!$D$4:$D$4003,$A475,出库单!$K$4:$K$4003,"自用消耗",出库单!$U$4:$U$4003,"正常",出库单!$C$4:$C$4003,"&gt;="&amp;账期起,出库单!$C$4:$C$4003,"&lt;="&amp;账期止))</f>
        <v/>
      </c>
      <c r="Q475" s="26">
        <f>IF($A475="","",ROUND(SUMIFS(出库单!$S$4:$S$4003,出库单!$D$4:$D$4003,$A475,出库单!$K$4:$K$4003,"自用消耗",出库单!$U$4:$U$4003,"正常",出库单!$C$4:$C$4003,"&gt;="&amp;账期起,出库单!$C$4:$C$4003,"&lt;="&amp;账期止),0))</f>
        <v/>
      </c>
      <c r="R475" s="27">
        <f>IF($A475="","",SUMIFS(出库单!$J$4:$J$4003,出库单!$D$4:$D$4003,$A475,出库单!$K$4:$K$4003,"对外销售",出库单!$U$4:$U$4003,"正常",出库单!$C$4:$C$4003,"&gt;="&amp;账期起,出库单!$C$4:$C$4003,"&lt;="&amp;账期止))</f>
        <v/>
      </c>
      <c r="S475" s="26">
        <f>IF($A475="","",ROUND(SUMIFS(出库单!$S$4:$S$4003,出库单!$D$4:$D$4003,$A475,出库单!$K$4:$K$4003,"对外销售",出库单!$U$4:$U$4003,"正常",出库单!$C$4:$C$4003,"&gt;="&amp;账期起,出库单!$C$4:$C$4003,"&lt;="&amp;账期止),0))</f>
        <v/>
      </c>
      <c r="T475" s="27">
        <f>IF($A475="","",SUMIFS(出库单!$J$4:$J$4003,出库单!$D$4:$D$4003,$A475,出库单!$K$4:$K$4003,"盘亏",出库单!$U$4:$U$4003,"正常",出库单!$C$4:$C$4003,"&gt;="&amp;账期起,出库单!$C$4:$C$4003,"&lt;="&amp;账期止))</f>
        <v/>
      </c>
      <c r="U475" s="26">
        <f>IF($A475="","",ROUND(SUMIFS(出库单!$S$4:$S$4003,出库单!$D$4:$D$4003,$A475,出库单!$K$4:$K$4003,"盘亏",出库单!$U$4:$U$4003,"正常",出库单!$C$4:$C$4003,"&gt;="&amp;账期起,出库单!$C$4:$C$4003,"&lt;="&amp;账期止),0))</f>
        <v/>
      </c>
      <c r="V475" s="27">
        <f>IF($A475="","",SUMIFS(出库单!$J$4:$J$4003,出库单!$D$4:$D$4003,$A475,出库单!$K$4:$K$4003,"退货给供应商",出库单!$U$4:$U$4003,"正常",出库单!$C$4:$C$4003,"&gt;="&amp;账期起,出库单!$C$4:$C$4003,"&lt;="&amp;账期止))</f>
        <v/>
      </c>
      <c r="W475" s="26">
        <f>IF($A475="","",ROUND(SUMIFS(出库单!$S$4:$S$4003,出库单!$D$4:$D$4003,$A475,出库单!$K$4:$K$4003,"退货给供应商",出库单!$U$4:$U$4003,"正常",出库单!$C$4:$C$4003,"&gt;="&amp;账期起,出库单!$C$4:$C$4003,"&lt;="&amp;账期止),0))</f>
        <v/>
      </c>
      <c r="X475" s="27">
        <f>IF($A475="","",ROUND(N($G475)+$I475+$L475+$N475-$P475-$R475-$T475-$V475,3))</f>
        <v/>
      </c>
      <c r="Y475" s="26">
        <f>IF($A475="","",ROUND(N($H475)+$J475+$M475+$O475-$Q475-$S475-$U475-$W475,0))</f>
        <v/>
      </c>
      <c r="Z475" s="24">
        <f>IF($A475="","",IF(COUNTIFS(入库单!$G$4:$G$2503,$A475,入库单!$Y$4:$Y$2503,"待补价")+COUNTIFS(入库单!$G$4:$G$2503,$A475,入库单!$Y$4:$Y$2503,"暂估")&gt;0,"不可信","可信"))</f>
        <v/>
      </c>
      <c r="AA475" s="24">
        <f>IF($A475="","",IF($X475&lt;-0.001,"※账面负库存，查一下是不是漏记入库",IF(AND(ROUND($X475,3)=0,ABS($Y475)&gt;1),"※数量已经是 0，金额还挂着 "&amp;TEXT($Y475,"#,##0")&amp;" 先令",IF(AND($X475&gt;0,$Y475&lt;=0,$K475=0),"※有数量没金额（这个物料一直没填过进价）",IF($Z475="不可信","△成本含待补价/暂估，毛利仅供参考","")))))</f>
        <v/>
      </c>
    </row>
    <row r="476">
      <c r="A476" s="24">
        <f>IF(物料档案!$A475="","",物料档案!$A475)</f>
        <v/>
      </c>
      <c r="B476" s="24">
        <f>IF($A476="","",IFERROR(VLOOKUP($A476,物料档案!$A$4:$P$1203,3,0),""))</f>
        <v/>
      </c>
      <c r="C476" s="24">
        <f>IF($A476="","",IFERROR(VLOOKUP($A476,物料档案!$A$4:$P$1203,4,0),""))</f>
        <v/>
      </c>
      <c r="D476" s="24">
        <f>IF($A476="","",IFERROR(VLOOKUP($A476,物料档案!$A$4:$P$1203,5,0),""))</f>
        <v/>
      </c>
      <c r="E476" s="24">
        <f>IF($A476="","",IFERROR(VLOOKUP($A476,物料档案!$A$4:$P$1203,2,0),""))</f>
        <v/>
      </c>
      <c r="F476" s="24">
        <f>IF($A476="","",IFERROR(VLOOKUP($A476,物料档案!$A$4:$P$1203,6,0),""))</f>
        <v/>
      </c>
      <c r="G476" s="23" t="n"/>
      <c r="H476" s="32" t="n"/>
      <c r="I476" s="27">
        <f>IF($A476="","",SUMIFS(入库单!$K$4:$K$2503,入库单!$G$4:$G$2503,$A476,入库单!$X$4:$X$2503,"采购入库",入库单!$Z$4:$Z$2503,"正常",入库单!$C$4:$C$2503,"&gt;="&amp;账期起,入库单!$C$4:$C$2503,"&lt;="&amp;账期止))</f>
        <v/>
      </c>
      <c r="J476" s="26">
        <f>IF($A476="","",SUMIFS(入库单!$V$4:$V$2503,入库单!$G$4:$G$2503,$A476,入库单!$X$4:$X$2503,"采购入库",入库单!$Z$4:$Z$2503,"正常",入库单!$C$4:$C$2503,"&gt;="&amp;账期起,入库单!$C$4:$C$2503,"&lt;="&amp;账期止))</f>
        <v/>
      </c>
      <c r="K476" s="26">
        <f>IF($A476="","",IFERROR(ROUND((N($H476)+N($J476))/(N($G476)+N($I476)),2),0))</f>
        <v/>
      </c>
      <c r="L476" s="27">
        <f>IF($A476="","",SUMIFS(入库单!$K$4:$K$2503,入库单!$G$4:$G$2503,$A476,入库单!$X$4:$X$2503,"盘盈",入库单!$Z$4:$Z$2503,"正常",入库单!$C$4:$C$2503,"&gt;="&amp;账期起,入库单!$C$4:$C$2503,"&lt;="&amp;账期止))</f>
        <v/>
      </c>
      <c r="M476" s="26">
        <f>IF($A476="","",ROUND($L476*$K476,0))</f>
        <v/>
      </c>
      <c r="N476" s="27">
        <f>IF($A476="","",SUMIFS(入库单!$K$4:$K$2503,入库单!$G$4:$G$2503,$A476,入库单!$X$4:$X$2503,"矿区退库",入库单!$Z$4:$Z$2503,"正常",入库单!$C$4:$C$2503,"&gt;="&amp;账期起,入库单!$C$4:$C$2503,"&lt;="&amp;账期止))</f>
        <v/>
      </c>
      <c r="O476" s="26">
        <f>IF($A476="","",ROUND($N476*$K476,0))</f>
        <v/>
      </c>
      <c r="P476" s="27">
        <f>IF($A476="","",SUMIFS(出库单!$J$4:$J$4003,出库单!$D$4:$D$4003,$A476,出库单!$K$4:$K$4003,"自用消耗",出库单!$U$4:$U$4003,"正常",出库单!$C$4:$C$4003,"&gt;="&amp;账期起,出库单!$C$4:$C$4003,"&lt;="&amp;账期止))</f>
        <v/>
      </c>
      <c r="Q476" s="26">
        <f>IF($A476="","",ROUND(SUMIFS(出库单!$S$4:$S$4003,出库单!$D$4:$D$4003,$A476,出库单!$K$4:$K$4003,"自用消耗",出库单!$U$4:$U$4003,"正常",出库单!$C$4:$C$4003,"&gt;="&amp;账期起,出库单!$C$4:$C$4003,"&lt;="&amp;账期止),0))</f>
        <v/>
      </c>
      <c r="R476" s="27">
        <f>IF($A476="","",SUMIFS(出库单!$J$4:$J$4003,出库单!$D$4:$D$4003,$A476,出库单!$K$4:$K$4003,"对外销售",出库单!$U$4:$U$4003,"正常",出库单!$C$4:$C$4003,"&gt;="&amp;账期起,出库单!$C$4:$C$4003,"&lt;="&amp;账期止))</f>
        <v/>
      </c>
      <c r="S476" s="26">
        <f>IF($A476="","",ROUND(SUMIFS(出库单!$S$4:$S$4003,出库单!$D$4:$D$4003,$A476,出库单!$K$4:$K$4003,"对外销售",出库单!$U$4:$U$4003,"正常",出库单!$C$4:$C$4003,"&gt;="&amp;账期起,出库单!$C$4:$C$4003,"&lt;="&amp;账期止),0))</f>
        <v/>
      </c>
      <c r="T476" s="27">
        <f>IF($A476="","",SUMIFS(出库单!$J$4:$J$4003,出库单!$D$4:$D$4003,$A476,出库单!$K$4:$K$4003,"盘亏",出库单!$U$4:$U$4003,"正常",出库单!$C$4:$C$4003,"&gt;="&amp;账期起,出库单!$C$4:$C$4003,"&lt;="&amp;账期止))</f>
        <v/>
      </c>
      <c r="U476" s="26">
        <f>IF($A476="","",ROUND(SUMIFS(出库单!$S$4:$S$4003,出库单!$D$4:$D$4003,$A476,出库单!$K$4:$K$4003,"盘亏",出库单!$U$4:$U$4003,"正常",出库单!$C$4:$C$4003,"&gt;="&amp;账期起,出库单!$C$4:$C$4003,"&lt;="&amp;账期止),0))</f>
        <v/>
      </c>
      <c r="V476" s="27">
        <f>IF($A476="","",SUMIFS(出库单!$J$4:$J$4003,出库单!$D$4:$D$4003,$A476,出库单!$K$4:$K$4003,"退货给供应商",出库单!$U$4:$U$4003,"正常",出库单!$C$4:$C$4003,"&gt;="&amp;账期起,出库单!$C$4:$C$4003,"&lt;="&amp;账期止))</f>
        <v/>
      </c>
      <c r="W476" s="26">
        <f>IF($A476="","",ROUND(SUMIFS(出库单!$S$4:$S$4003,出库单!$D$4:$D$4003,$A476,出库单!$K$4:$K$4003,"退货给供应商",出库单!$U$4:$U$4003,"正常",出库单!$C$4:$C$4003,"&gt;="&amp;账期起,出库单!$C$4:$C$4003,"&lt;="&amp;账期止),0))</f>
        <v/>
      </c>
      <c r="X476" s="27">
        <f>IF($A476="","",ROUND(N($G476)+$I476+$L476+$N476-$P476-$R476-$T476-$V476,3))</f>
        <v/>
      </c>
      <c r="Y476" s="26">
        <f>IF($A476="","",ROUND(N($H476)+$J476+$M476+$O476-$Q476-$S476-$U476-$W476,0))</f>
        <v/>
      </c>
      <c r="Z476" s="24">
        <f>IF($A476="","",IF(COUNTIFS(入库单!$G$4:$G$2503,$A476,入库单!$Y$4:$Y$2503,"待补价")+COUNTIFS(入库单!$G$4:$G$2503,$A476,入库单!$Y$4:$Y$2503,"暂估")&gt;0,"不可信","可信"))</f>
        <v/>
      </c>
      <c r="AA476" s="24">
        <f>IF($A476="","",IF($X476&lt;-0.001,"※账面负库存，查一下是不是漏记入库",IF(AND(ROUND($X476,3)=0,ABS($Y476)&gt;1),"※数量已经是 0，金额还挂着 "&amp;TEXT($Y476,"#,##0")&amp;" 先令",IF(AND($X476&gt;0,$Y476&lt;=0,$K476=0),"※有数量没金额（这个物料一直没填过进价）",IF($Z476="不可信","△成本含待补价/暂估，毛利仅供参考","")))))</f>
        <v/>
      </c>
    </row>
    <row r="477">
      <c r="A477" s="24">
        <f>IF(物料档案!$A476="","",物料档案!$A476)</f>
        <v/>
      </c>
      <c r="B477" s="24">
        <f>IF($A477="","",IFERROR(VLOOKUP($A477,物料档案!$A$4:$P$1203,3,0),""))</f>
        <v/>
      </c>
      <c r="C477" s="24">
        <f>IF($A477="","",IFERROR(VLOOKUP($A477,物料档案!$A$4:$P$1203,4,0),""))</f>
        <v/>
      </c>
      <c r="D477" s="24">
        <f>IF($A477="","",IFERROR(VLOOKUP($A477,物料档案!$A$4:$P$1203,5,0),""))</f>
        <v/>
      </c>
      <c r="E477" s="24">
        <f>IF($A477="","",IFERROR(VLOOKUP($A477,物料档案!$A$4:$P$1203,2,0),""))</f>
        <v/>
      </c>
      <c r="F477" s="24">
        <f>IF($A477="","",IFERROR(VLOOKUP($A477,物料档案!$A$4:$P$1203,6,0),""))</f>
        <v/>
      </c>
      <c r="G477" s="23" t="n"/>
      <c r="H477" s="32" t="n"/>
      <c r="I477" s="27">
        <f>IF($A477="","",SUMIFS(入库单!$K$4:$K$2503,入库单!$G$4:$G$2503,$A477,入库单!$X$4:$X$2503,"采购入库",入库单!$Z$4:$Z$2503,"正常",入库单!$C$4:$C$2503,"&gt;="&amp;账期起,入库单!$C$4:$C$2503,"&lt;="&amp;账期止))</f>
        <v/>
      </c>
      <c r="J477" s="26">
        <f>IF($A477="","",SUMIFS(入库单!$V$4:$V$2503,入库单!$G$4:$G$2503,$A477,入库单!$X$4:$X$2503,"采购入库",入库单!$Z$4:$Z$2503,"正常",入库单!$C$4:$C$2503,"&gt;="&amp;账期起,入库单!$C$4:$C$2503,"&lt;="&amp;账期止))</f>
        <v/>
      </c>
      <c r="K477" s="26">
        <f>IF($A477="","",IFERROR(ROUND((N($H477)+N($J477))/(N($G477)+N($I477)),2),0))</f>
        <v/>
      </c>
      <c r="L477" s="27">
        <f>IF($A477="","",SUMIFS(入库单!$K$4:$K$2503,入库单!$G$4:$G$2503,$A477,入库单!$X$4:$X$2503,"盘盈",入库单!$Z$4:$Z$2503,"正常",入库单!$C$4:$C$2503,"&gt;="&amp;账期起,入库单!$C$4:$C$2503,"&lt;="&amp;账期止))</f>
        <v/>
      </c>
      <c r="M477" s="26">
        <f>IF($A477="","",ROUND($L477*$K477,0))</f>
        <v/>
      </c>
      <c r="N477" s="27">
        <f>IF($A477="","",SUMIFS(入库单!$K$4:$K$2503,入库单!$G$4:$G$2503,$A477,入库单!$X$4:$X$2503,"矿区退库",入库单!$Z$4:$Z$2503,"正常",入库单!$C$4:$C$2503,"&gt;="&amp;账期起,入库单!$C$4:$C$2503,"&lt;="&amp;账期止))</f>
        <v/>
      </c>
      <c r="O477" s="26">
        <f>IF($A477="","",ROUND($N477*$K477,0))</f>
        <v/>
      </c>
      <c r="P477" s="27">
        <f>IF($A477="","",SUMIFS(出库单!$J$4:$J$4003,出库单!$D$4:$D$4003,$A477,出库单!$K$4:$K$4003,"自用消耗",出库单!$U$4:$U$4003,"正常",出库单!$C$4:$C$4003,"&gt;="&amp;账期起,出库单!$C$4:$C$4003,"&lt;="&amp;账期止))</f>
        <v/>
      </c>
      <c r="Q477" s="26">
        <f>IF($A477="","",ROUND(SUMIFS(出库单!$S$4:$S$4003,出库单!$D$4:$D$4003,$A477,出库单!$K$4:$K$4003,"自用消耗",出库单!$U$4:$U$4003,"正常",出库单!$C$4:$C$4003,"&gt;="&amp;账期起,出库单!$C$4:$C$4003,"&lt;="&amp;账期止),0))</f>
        <v/>
      </c>
      <c r="R477" s="27">
        <f>IF($A477="","",SUMIFS(出库单!$J$4:$J$4003,出库单!$D$4:$D$4003,$A477,出库单!$K$4:$K$4003,"对外销售",出库单!$U$4:$U$4003,"正常",出库单!$C$4:$C$4003,"&gt;="&amp;账期起,出库单!$C$4:$C$4003,"&lt;="&amp;账期止))</f>
        <v/>
      </c>
      <c r="S477" s="26">
        <f>IF($A477="","",ROUND(SUMIFS(出库单!$S$4:$S$4003,出库单!$D$4:$D$4003,$A477,出库单!$K$4:$K$4003,"对外销售",出库单!$U$4:$U$4003,"正常",出库单!$C$4:$C$4003,"&gt;="&amp;账期起,出库单!$C$4:$C$4003,"&lt;="&amp;账期止),0))</f>
        <v/>
      </c>
      <c r="T477" s="27">
        <f>IF($A477="","",SUMIFS(出库单!$J$4:$J$4003,出库单!$D$4:$D$4003,$A477,出库单!$K$4:$K$4003,"盘亏",出库单!$U$4:$U$4003,"正常",出库单!$C$4:$C$4003,"&gt;="&amp;账期起,出库单!$C$4:$C$4003,"&lt;="&amp;账期止))</f>
        <v/>
      </c>
      <c r="U477" s="26">
        <f>IF($A477="","",ROUND(SUMIFS(出库单!$S$4:$S$4003,出库单!$D$4:$D$4003,$A477,出库单!$K$4:$K$4003,"盘亏",出库单!$U$4:$U$4003,"正常",出库单!$C$4:$C$4003,"&gt;="&amp;账期起,出库单!$C$4:$C$4003,"&lt;="&amp;账期止),0))</f>
        <v/>
      </c>
      <c r="V477" s="27">
        <f>IF($A477="","",SUMIFS(出库单!$J$4:$J$4003,出库单!$D$4:$D$4003,$A477,出库单!$K$4:$K$4003,"退货给供应商",出库单!$U$4:$U$4003,"正常",出库单!$C$4:$C$4003,"&gt;="&amp;账期起,出库单!$C$4:$C$4003,"&lt;="&amp;账期止))</f>
        <v/>
      </c>
      <c r="W477" s="26">
        <f>IF($A477="","",ROUND(SUMIFS(出库单!$S$4:$S$4003,出库单!$D$4:$D$4003,$A477,出库单!$K$4:$K$4003,"退货给供应商",出库单!$U$4:$U$4003,"正常",出库单!$C$4:$C$4003,"&gt;="&amp;账期起,出库单!$C$4:$C$4003,"&lt;="&amp;账期止),0))</f>
        <v/>
      </c>
      <c r="X477" s="27">
        <f>IF($A477="","",ROUND(N($G477)+$I477+$L477+$N477-$P477-$R477-$T477-$V477,3))</f>
        <v/>
      </c>
      <c r="Y477" s="26">
        <f>IF($A477="","",ROUND(N($H477)+$J477+$M477+$O477-$Q477-$S477-$U477-$W477,0))</f>
        <v/>
      </c>
      <c r="Z477" s="24">
        <f>IF($A477="","",IF(COUNTIFS(入库单!$G$4:$G$2503,$A477,入库单!$Y$4:$Y$2503,"待补价")+COUNTIFS(入库单!$G$4:$G$2503,$A477,入库单!$Y$4:$Y$2503,"暂估")&gt;0,"不可信","可信"))</f>
        <v/>
      </c>
      <c r="AA477" s="24">
        <f>IF($A477="","",IF($X477&lt;-0.001,"※账面负库存，查一下是不是漏记入库",IF(AND(ROUND($X477,3)=0,ABS($Y477)&gt;1),"※数量已经是 0，金额还挂着 "&amp;TEXT($Y477,"#,##0")&amp;" 先令",IF(AND($X477&gt;0,$Y477&lt;=0,$K477=0),"※有数量没金额（这个物料一直没填过进价）",IF($Z477="不可信","△成本含待补价/暂估，毛利仅供参考","")))))</f>
        <v/>
      </c>
    </row>
    <row r="478">
      <c r="A478" s="24">
        <f>IF(物料档案!$A477="","",物料档案!$A477)</f>
        <v/>
      </c>
      <c r="B478" s="24">
        <f>IF($A478="","",IFERROR(VLOOKUP($A478,物料档案!$A$4:$P$1203,3,0),""))</f>
        <v/>
      </c>
      <c r="C478" s="24">
        <f>IF($A478="","",IFERROR(VLOOKUP($A478,物料档案!$A$4:$P$1203,4,0),""))</f>
        <v/>
      </c>
      <c r="D478" s="24">
        <f>IF($A478="","",IFERROR(VLOOKUP($A478,物料档案!$A$4:$P$1203,5,0),""))</f>
        <v/>
      </c>
      <c r="E478" s="24">
        <f>IF($A478="","",IFERROR(VLOOKUP($A478,物料档案!$A$4:$P$1203,2,0),""))</f>
        <v/>
      </c>
      <c r="F478" s="24">
        <f>IF($A478="","",IFERROR(VLOOKUP($A478,物料档案!$A$4:$P$1203,6,0),""))</f>
        <v/>
      </c>
      <c r="G478" s="23" t="n"/>
      <c r="H478" s="32" t="n"/>
      <c r="I478" s="27">
        <f>IF($A478="","",SUMIFS(入库单!$K$4:$K$2503,入库单!$G$4:$G$2503,$A478,入库单!$X$4:$X$2503,"采购入库",入库单!$Z$4:$Z$2503,"正常",入库单!$C$4:$C$2503,"&gt;="&amp;账期起,入库单!$C$4:$C$2503,"&lt;="&amp;账期止))</f>
        <v/>
      </c>
      <c r="J478" s="26">
        <f>IF($A478="","",SUMIFS(入库单!$V$4:$V$2503,入库单!$G$4:$G$2503,$A478,入库单!$X$4:$X$2503,"采购入库",入库单!$Z$4:$Z$2503,"正常",入库单!$C$4:$C$2503,"&gt;="&amp;账期起,入库单!$C$4:$C$2503,"&lt;="&amp;账期止))</f>
        <v/>
      </c>
      <c r="K478" s="26">
        <f>IF($A478="","",IFERROR(ROUND((N($H478)+N($J478))/(N($G478)+N($I478)),2),0))</f>
        <v/>
      </c>
      <c r="L478" s="27">
        <f>IF($A478="","",SUMIFS(入库单!$K$4:$K$2503,入库单!$G$4:$G$2503,$A478,入库单!$X$4:$X$2503,"盘盈",入库单!$Z$4:$Z$2503,"正常",入库单!$C$4:$C$2503,"&gt;="&amp;账期起,入库单!$C$4:$C$2503,"&lt;="&amp;账期止))</f>
        <v/>
      </c>
      <c r="M478" s="26">
        <f>IF($A478="","",ROUND($L478*$K478,0))</f>
        <v/>
      </c>
      <c r="N478" s="27">
        <f>IF($A478="","",SUMIFS(入库单!$K$4:$K$2503,入库单!$G$4:$G$2503,$A478,入库单!$X$4:$X$2503,"矿区退库",入库单!$Z$4:$Z$2503,"正常",入库单!$C$4:$C$2503,"&gt;="&amp;账期起,入库单!$C$4:$C$2503,"&lt;="&amp;账期止))</f>
        <v/>
      </c>
      <c r="O478" s="26">
        <f>IF($A478="","",ROUND($N478*$K478,0))</f>
        <v/>
      </c>
      <c r="P478" s="27">
        <f>IF($A478="","",SUMIFS(出库单!$J$4:$J$4003,出库单!$D$4:$D$4003,$A478,出库单!$K$4:$K$4003,"自用消耗",出库单!$U$4:$U$4003,"正常",出库单!$C$4:$C$4003,"&gt;="&amp;账期起,出库单!$C$4:$C$4003,"&lt;="&amp;账期止))</f>
        <v/>
      </c>
      <c r="Q478" s="26">
        <f>IF($A478="","",ROUND(SUMIFS(出库单!$S$4:$S$4003,出库单!$D$4:$D$4003,$A478,出库单!$K$4:$K$4003,"自用消耗",出库单!$U$4:$U$4003,"正常",出库单!$C$4:$C$4003,"&gt;="&amp;账期起,出库单!$C$4:$C$4003,"&lt;="&amp;账期止),0))</f>
        <v/>
      </c>
      <c r="R478" s="27">
        <f>IF($A478="","",SUMIFS(出库单!$J$4:$J$4003,出库单!$D$4:$D$4003,$A478,出库单!$K$4:$K$4003,"对外销售",出库单!$U$4:$U$4003,"正常",出库单!$C$4:$C$4003,"&gt;="&amp;账期起,出库单!$C$4:$C$4003,"&lt;="&amp;账期止))</f>
        <v/>
      </c>
      <c r="S478" s="26">
        <f>IF($A478="","",ROUND(SUMIFS(出库单!$S$4:$S$4003,出库单!$D$4:$D$4003,$A478,出库单!$K$4:$K$4003,"对外销售",出库单!$U$4:$U$4003,"正常",出库单!$C$4:$C$4003,"&gt;="&amp;账期起,出库单!$C$4:$C$4003,"&lt;="&amp;账期止),0))</f>
        <v/>
      </c>
      <c r="T478" s="27">
        <f>IF($A478="","",SUMIFS(出库单!$J$4:$J$4003,出库单!$D$4:$D$4003,$A478,出库单!$K$4:$K$4003,"盘亏",出库单!$U$4:$U$4003,"正常",出库单!$C$4:$C$4003,"&gt;="&amp;账期起,出库单!$C$4:$C$4003,"&lt;="&amp;账期止))</f>
        <v/>
      </c>
      <c r="U478" s="26">
        <f>IF($A478="","",ROUND(SUMIFS(出库单!$S$4:$S$4003,出库单!$D$4:$D$4003,$A478,出库单!$K$4:$K$4003,"盘亏",出库单!$U$4:$U$4003,"正常",出库单!$C$4:$C$4003,"&gt;="&amp;账期起,出库单!$C$4:$C$4003,"&lt;="&amp;账期止),0))</f>
        <v/>
      </c>
      <c r="V478" s="27">
        <f>IF($A478="","",SUMIFS(出库单!$J$4:$J$4003,出库单!$D$4:$D$4003,$A478,出库单!$K$4:$K$4003,"退货给供应商",出库单!$U$4:$U$4003,"正常",出库单!$C$4:$C$4003,"&gt;="&amp;账期起,出库单!$C$4:$C$4003,"&lt;="&amp;账期止))</f>
        <v/>
      </c>
      <c r="W478" s="26">
        <f>IF($A478="","",ROUND(SUMIFS(出库单!$S$4:$S$4003,出库单!$D$4:$D$4003,$A478,出库单!$K$4:$K$4003,"退货给供应商",出库单!$U$4:$U$4003,"正常",出库单!$C$4:$C$4003,"&gt;="&amp;账期起,出库单!$C$4:$C$4003,"&lt;="&amp;账期止),0))</f>
        <v/>
      </c>
      <c r="X478" s="27">
        <f>IF($A478="","",ROUND(N($G478)+$I478+$L478+$N478-$P478-$R478-$T478-$V478,3))</f>
        <v/>
      </c>
      <c r="Y478" s="26">
        <f>IF($A478="","",ROUND(N($H478)+$J478+$M478+$O478-$Q478-$S478-$U478-$W478,0))</f>
        <v/>
      </c>
      <c r="Z478" s="24">
        <f>IF($A478="","",IF(COUNTIFS(入库单!$G$4:$G$2503,$A478,入库单!$Y$4:$Y$2503,"待补价")+COUNTIFS(入库单!$G$4:$G$2503,$A478,入库单!$Y$4:$Y$2503,"暂估")&gt;0,"不可信","可信"))</f>
        <v/>
      </c>
      <c r="AA478" s="24">
        <f>IF($A478="","",IF($X478&lt;-0.001,"※账面负库存，查一下是不是漏记入库",IF(AND(ROUND($X478,3)=0,ABS($Y478)&gt;1),"※数量已经是 0，金额还挂着 "&amp;TEXT($Y478,"#,##0")&amp;" 先令",IF(AND($X478&gt;0,$Y478&lt;=0,$K478=0),"※有数量没金额（这个物料一直没填过进价）",IF($Z478="不可信","△成本含待补价/暂估，毛利仅供参考","")))))</f>
        <v/>
      </c>
    </row>
    <row r="479">
      <c r="A479" s="24">
        <f>IF(物料档案!$A478="","",物料档案!$A478)</f>
        <v/>
      </c>
      <c r="B479" s="24">
        <f>IF($A479="","",IFERROR(VLOOKUP($A479,物料档案!$A$4:$P$1203,3,0),""))</f>
        <v/>
      </c>
      <c r="C479" s="24">
        <f>IF($A479="","",IFERROR(VLOOKUP($A479,物料档案!$A$4:$P$1203,4,0),""))</f>
        <v/>
      </c>
      <c r="D479" s="24">
        <f>IF($A479="","",IFERROR(VLOOKUP($A479,物料档案!$A$4:$P$1203,5,0),""))</f>
        <v/>
      </c>
      <c r="E479" s="24">
        <f>IF($A479="","",IFERROR(VLOOKUP($A479,物料档案!$A$4:$P$1203,2,0),""))</f>
        <v/>
      </c>
      <c r="F479" s="24">
        <f>IF($A479="","",IFERROR(VLOOKUP($A479,物料档案!$A$4:$P$1203,6,0),""))</f>
        <v/>
      </c>
      <c r="G479" s="23" t="n"/>
      <c r="H479" s="32" t="n"/>
      <c r="I479" s="27">
        <f>IF($A479="","",SUMIFS(入库单!$K$4:$K$2503,入库单!$G$4:$G$2503,$A479,入库单!$X$4:$X$2503,"采购入库",入库单!$Z$4:$Z$2503,"正常",入库单!$C$4:$C$2503,"&gt;="&amp;账期起,入库单!$C$4:$C$2503,"&lt;="&amp;账期止))</f>
        <v/>
      </c>
      <c r="J479" s="26">
        <f>IF($A479="","",SUMIFS(入库单!$V$4:$V$2503,入库单!$G$4:$G$2503,$A479,入库单!$X$4:$X$2503,"采购入库",入库单!$Z$4:$Z$2503,"正常",入库单!$C$4:$C$2503,"&gt;="&amp;账期起,入库单!$C$4:$C$2503,"&lt;="&amp;账期止))</f>
        <v/>
      </c>
      <c r="K479" s="26">
        <f>IF($A479="","",IFERROR(ROUND((N($H479)+N($J479))/(N($G479)+N($I479)),2),0))</f>
        <v/>
      </c>
      <c r="L479" s="27">
        <f>IF($A479="","",SUMIFS(入库单!$K$4:$K$2503,入库单!$G$4:$G$2503,$A479,入库单!$X$4:$X$2503,"盘盈",入库单!$Z$4:$Z$2503,"正常",入库单!$C$4:$C$2503,"&gt;="&amp;账期起,入库单!$C$4:$C$2503,"&lt;="&amp;账期止))</f>
        <v/>
      </c>
      <c r="M479" s="26">
        <f>IF($A479="","",ROUND($L479*$K479,0))</f>
        <v/>
      </c>
      <c r="N479" s="27">
        <f>IF($A479="","",SUMIFS(入库单!$K$4:$K$2503,入库单!$G$4:$G$2503,$A479,入库单!$X$4:$X$2503,"矿区退库",入库单!$Z$4:$Z$2503,"正常",入库单!$C$4:$C$2503,"&gt;="&amp;账期起,入库单!$C$4:$C$2503,"&lt;="&amp;账期止))</f>
        <v/>
      </c>
      <c r="O479" s="26">
        <f>IF($A479="","",ROUND($N479*$K479,0))</f>
        <v/>
      </c>
      <c r="P479" s="27">
        <f>IF($A479="","",SUMIFS(出库单!$J$4:$J$4003,出库单!$D$4:$D$4003,$A479,出库单!$K$4:$K$4003,"自用消耗",出库单!$U$4:$U$4003,"正常",出库单!$C$4:$C$4003,"&gt;="&amp;账期起,出库单!$C$4:$C$4003,"&lt;="&amp;账期止))</f>
        <v/>
      </c>
      <c r="Q479" s="26">
        <f>IF($A479="","",ROUND(SUMIFS(出库单!$S$4:$S$4003,出库单!$D$4:$D$4003,$A479,出库单!$K$4:$K$4003,"自用消耗",出库单!$U$4:$U$4003,"正常",出库单!$C$4:$C$4003,"&gt;="&amp;账期起,出库单!$C$4:$C$4003,"&lt;="&amp;账期止),0))</f>
        <v/>
      </c>
      <c r="R479" s="27">
        <f>IF($A479="","",SUMIFS(出库单!$J$4:$J$4003,出库单!$D$4:$D$4003,$A479,出库单!$K$4:$K$4003,"对外销售",出库单!$U$4:$U$4003,"正常",出库单!$C$4:$C$4003,"&gt;="&amp;账期起,出库单!$C$4:$C$4003,"&lt;="&amp;账期止))</f>
        <v/>
      </c>
      <c r="S479" s="26">
        <f>IF($A479="","",ROUND(SUMIFS(出库单!$S$4:$S$4003,出库单!$D$4:$D$4003,$A479,出库单!$K$4:$K$4003,"对外销售",出库单!$U$4:$U$4003,"正常",出库单!$C$4:$C$4003,"&gt;="&amp;账期起,出库单!$C$4:$C$4003,"&lt;="&amp;账期止),0))</f>
        <v/>
      </c>
      <c r="T479" s="27">
        <f>IF($A479="","",SUMIFS(出库单!$J$4:$J$4003,出库单!$D$4:$D$4003,$A479,出库单!$K$4:$K$4003,"盘亏",出库单!$U$4:$U$4003,"正常",出库单!$C$4:$C$4003,"&gt;="&amp;账期起,出库单!$C$4:$C$4003,"&lt;="&amp;账期止))</f>
        <v/>
      </c>
      <c r="U479" s="26">
        <f>IF($A479="","",ROUND(SUMIFS(出库单!$S$4:$S$4003,出库单!$D$4:$D$4003,$A479,出库单!$K$4:$K$4003,"盘亏",出库单!$U$4:$U$4003,"正常",出库单!$C$4:$C$4003,"&gt;="&amp;账期起,出库单!$C$4:$C$4003,"&lt;="&amp;账期止),0))</f>
        <v/>
      </c>
      <c r="V479" s="27">
        <f>IF($A479="","",SUMIFS(出库单!$J$4:$J$4003,出库单!$D$4:$D$4003,$A479,出库单!$K$4:$K$4003,"退货给供应商",出库单!$U$4:$U$4003,"正常",出库单!$C$4:$C$4003,"&gt;="&amp;账期起,出库单!$C$4:$C$4003,"&lt;="&amp;账期止))</f>
        <v/>
      </c>
      <c r="W479" s="26">
        <f>IF($A479="","",ROUND(SUMIFS(出库单!$S$4:$S$4003,出库单!$D$4:$D$4003,$A479,出库单!$K$4:$K$4003,"退货给供应商",出库单!$U$4:$U$4003,"正常",出库单!$C$4:$C$4003,"&gt;="&amp;账期起,出库单!$C$4:$C$4003,"&lt;="&amp;账期止),0))</f>
        <v/>
      </c>
      <c r="X479" s="27">
        <f>IF($A479="","",ROUND(N($G479)+$I479+$L479+$N479-$P479-$R479-$T479-$V479,3))</f>
        <v/>
      </c>
      <c r="Y479" s="26">
        <f>IF($A479="","",ROUND(N($H479)+$J479+$M479+$O479-$Q479-$S479-$U479-$W479,0))</f>
        <v/>
      </c>
      <c r="Z479" s="24">
        <f>IF($A479="","",IF(COUNTIFS(入库单!$G$4:$G$2503,$A479,入库单!$Y$4:$Y$2503,"待补价")+COUNTIFS(入库单!$G$4:$G$2503,$A479,入库单!$Y$4:$Y$2503,"暂估")&gt;0,"不可信","可信"))</f>
        <v/>
      </c>
      <c r="AA479" s="24">
        <f>IF($A479="","",IF($X479&lt;-0.001,"※账面负库存，查一下是不是漏记入库",IF(AND(ROUND($X479,3)=0,ABS($Y479)&gt;1),"※数量已经是 0，金额还挂着 "&amp;TEXT($Y479,"#,##0")&amp;" 先令",IF(AND($X479&gt;0,$Y479&lt;=0,$K479=0),"※有数量没金额（这个物料一直没填过进价）",IF($Z479="不可信","△成本含待补价/暂估，毛利仅供参考","")))))</f>
        <v/>
      </c>
    </row>
    <row r="480">
      <c r="A480" s="24">
        <f>IF(物料档案!$A479="","",物料档案!$A479)</f>
        <v/>
      </c>
      <c r="B480" s="24">
        <f>IF($A480="","",IFERROR(VLOOKUP($A480,物料档案!$A$4:$P$1203,3,0),""))</f>
        <v/>
      </c>
      <c r="C480" s="24">
        <f>IF($A480="","",IFERROR(VLOOKUP($A480,物料档案!$A$4:$P$1203,4,0),""))</f>
        <v/>
      </c>
      <c r="D480" s="24">
        <f>IF($A480="","",IFERROR(VLOOKUP($A480,物料档案!$A$4:$P$1203,5,0),""))</f>
        <v/>
      </c>
      <c r="E480" s="24">
        <f>IF($A480="","",IFERROR(VLOOKUP($A480,物料档案!$A$4:$P$1203,2,0),""))</f>
        <v/>
      </c>
      <c r="F480" s="24">
        <f>IF($A480="","",IFERROR(VLOOKUP($A480,物料档案!$A$4:$P$1203,6,0),""))</f>
        <v/>
      </c>
      <c r="G480" s="23" t="n"/>
      <c r="H480" s="32" t="n"/>
      <c r="I480" s="27">
        <f>IF($A480="","",SUMIFS(入库单!$K$4:$K$2503,入库单!$G$4:$G$2503,$A480,入库单!$X$4:$X$2503,"采购入库",入库单!$Z$4:$Z$2503,"正常",入库单!$C$4:$C$2503,"&gt;="&amp;账期起,入库单!$C$4:$C$2503,"&lt;="&amp;账期止))</f>
        <v/>
      </c>
      <c r="J480" s="26">
        <f>IF($A480="","",SUMIFS(入库单!$V$4:$V$2503,入库单!$G$4:$G$2503,$A480,入库单!$X$4:$X$2503,"采购入库",入库单!$Z$4:$Z$2503,"正常",入库单!$C$4:$C$2503,"&gt;="&amp;账期起,入库单!$C$4:$C$2503,"&lt;="&amp;账期止))</f>
        <v/>
      </c>
      <c r="K480" s="26">
        <f>IF($A480="","",IFERROR(ROUND((N($H480)+N($J480))/(N($G480)+N($I480)),2),0))</f>
        <v/>
      </c>
      <c r="L480" s="27">
        <f>IF($A480="","",SUMIFS(入库单!$K$4:$K$2503,入库单!$G$4:$G$2503,$A480,入库单!$X$4:$X$2503,"盘盈",入库单!$Z$4:$Z$2503,"正常",入库单!$C$4:$C$2503,"&gt;="&amp;账期起,入库单!$C$4:$C$2503,"&lt;="&amp;账期止))</f>
        <v/>
      </c>
      <c r="M480" s="26">
        <f>IF($A480="","",ROUND($L480*$K480,0))</f>
        <v/>
      </c>
      <c r="N480" s="27">
        <f>IF($A480="","",SUMIFS(入库单!$K$4:$K$2503,入库单!$G$4:$G$2503,$A480,入库单!$X$4:$X$2503,"矿区退库",入库单!$Z$4:$Z$2503,"正常",入库单!$C$4:$C$2503,"&gt;="&amp;账期起,入库单!$C$4:$C$2503,"&lt;="&amp;账期止))</f>
        <v/>
      </c>
      <c r="O480" s="26">
        <f>IF($A480="","",ROUND($N480*$K480,0))</f>
        <v/>
      </c>
      <c r="P480" s="27">
        <f>IF($A480="","",SUMIFS(出库单!$J$4:$J$4003,出库单!$D$4:$D$4003,$A480,出库单!$K$4:$K$4003,"自用消耗",出库单!$U$4:$U$4003,"正常",出库单!$C$4:$C$4003,"&gt;="&amp;账期起,出库单!$C$4:$C$4003,"&lt;="&amp;账期止))</f>
        <v/>
      </c>
      <c r="Q480" s="26">
        <f>IF($A480="","",ROUND(SUMIFS(出库单!$S$4:$S$4003,出库单!$D$4:$D$4003,$A480,出库单!$K$4:$K$4003,"自用消耗",出库单!$U$4:$U$4003,"正常",出库单!$C$4:$C$4003,"&gt;="&amp;账期起,出库单!$C$4:$C$4003,"&lt;="&amp;账期止),0))</f>
        <v/>
      </c>
      <c r="R480" s="27">
        <f>IF($A480="","",SUMIFS(出库单!$J$4:$J$4003,出库单!$D$4:$D$4003,$A480,出库单!$K$4:$K$4003,"对外销售",出库单!$U$4:$U$4003,"正常",出库单!$C$4:$C$4003,"&gt;="&amp;账期起,出库单!$C$4:$C$4003,"&lt;="&amp;账期止))</f>
        <v/>
      </c>
      <c r="S480" s="26">
        <f>IF($A480="","",ROUND(SUMIFS(出库单!$S$4:$S$4003,出库单!$D$4:$D$4003,$A480,出库单!$K$4:$K$4003,"对外销售",出库单!$U$4:$U$4003,"正常",出库单!$C$4:$C$4003,"&gt;="&amp;账期起,出库单!$C$4:$C$4003,"&lt;="&amp;账期止),0))</f>
        <v/>
      </c>
      <c r="T480" s="27">
        <f>IF($A480="","",SUMIFS(出库单!$J$4:$J$4003,出库单!$D$4:$D$4003,$A480,出库单!$K$4:$K$4003,"盘亏",出库单!$U$4:$U$4003,"正常",出库单!$C$4:$C$4003,"&gt;="&amp;账期起,出库单!$C$4:$C$4003,"&lt;="&amp;账期止))</f>
        <v/>
      </c>
      <c r="U480" s="26">
        <f>IF($A480="","",ROUND(SUMIFS(出库单!$S$4:$S$4003,出库单!$D$4:$D$4003,$A480,出库单!$K$4:$K$4003,"盘亏",出库单!$U$4:$U$4003,"正常",出库单!$C$4:$C$4003,"&gt;="&amp;账期起,出库单!$C$4:$C$4003,"&lt;="&amp;账期止),0))</f>
        <v/>
      </c>
      <c r="V480" s="27">
        <f>IF($A480="","",SUMIFS(出库单!$J$4:$J$4003,出库单!$D$4:$D$4003,$A480,出库单!$K$4:$K$4003,"退货给供应商",出库单!$U$4:$U$4003,"正常",出库单!$C$4:$C$4003,"&gt;="&amp;账期起,出库单!$C$4:$C$4003,"&lt;="&amp;账期止))</f>
        <v/>
      </c>
      <c r="W480" s="26">
        <f>IF($A480="","",ROUND(SUMIFS(出库单!$S$4:$S$4003,出库单!$D$4:$D$4003,$A480,出库单!$K$4:$K$4003,"退货给供应商",出库单!$U$4:$U$4003,"正常",出库单!$C$4:$C$4003,"&gt;="&amp;账期起,出库单!$C$4:$C$4003,"&lt;="&amp;账期止),0))</f>
        <v/>
      </c>
      <c r="X480" s="27">
        <f>IF($A480="","",ROUND(N($G480)+$I480+$L480+$N480-$P480-$R480-$T480-$V480,3))</f>
        <v/>
      </c>
      <c r="Y480" s="26">
        <f>IF($A480="","",ROUND(N($H480)+$J480+$M480+$O480-$Q480-$S480-$U480-$W480,0))</f>
        <v/>
      </c>
      <c r="Z480" s="24">
        <f>IF($A480="","",IF(COUNTIFS(入库单!$G$4:$G$2503,$A480,入库单!$Y$4:$Y$2503,"待补价")+COUNTIFS(入库单!$G$4:$G$2503,$A480,入库单!$Y$4:$Y$2503,"暂估")&gt;0,"不可信","可信"))</f>
        <v/>
      </c>
      <c r="AA480" s="24">
        <f>IF($A480="","",IF($X480&lt;-0.001,"※账面负库存，查一下是不是漏记入库",IF(AND(ROUND($X480,3)=0,ABS($Y480)&gt;1),"※数量已经是 0，金额还挂着 "&amp;TEXT($Y480,"#,##0")&amp;" 先令",IF(AND($X480&gt;0,$Y480&lt;=0,$K480=0),"※有数量没金额（这个物料一直没填过进价）",IF($Z480="不可信","△成本含待补价/暂估，毛利仅供参考","")))))</f>
        <v/>
      </c>
    </row>
    <row r="481">
      <c r="A481" s="24">
        <f>IF(物料档案!$A480="","",物料档案!$A480)</f>
        <v/>
      </c>
      <c r="B481" s="24">
        <f>IF($A481="","",IFERROR(VLOOKUP($A481,物料档案!$A$4:$P$1203,3,0),""))</f>
        <v/>
      </c>
      <c r="C481" s="24">
        <f>IF($A481="","",IFERROR(VLOOKUP($A481,物料档案!$A$4:$P$1203,4,0),""))</f>
        <v/>
      </c>
      <c r="D481" s="24">
        <f>IF($A481="","",IFERROR(VLOOKUP($A481,物料档案!$A$4:$P$1203,5,0),""))</f>
        <v/>
      </c>
      <c r="E481" s="24">
        <f>IF($A481="","",IFERROR(VLOOKUP($A481,物料档案!$A$4:$P$1203,2,0),""))</f>
        <v/>
      </c>
      <c r="F481" s="24">
        <f>IF($A481="","",IFERROR(VLOOKUP($A481,物料档案!$A$4:$P$1203,6,0),""))</f>
        <v/>
      </c>
      <c r="G481" s="23" t="n"/>
      <c r="H481" s="32" t="n"/>
      <c r="I481" s="27">
        <f>IF($A481="","",SUMIFS(入库单!$K$4:$K$2503,入库单!$G$4:$G$2503,$A481,入库单!$X$4:$X$2503,"采购入库",入库单!$Z$4:$Z$2503,"正常",入库单!$C$4:$C$2503,"&gt;="&amp;账期起,入库单!$C$4:$C$2503,"&lt;="&amp;账期止))</f>
        <v/>
      </c>
      <c r="J481" s="26">
        <f>IF($A481="","",SUMIFS(入库单!$V$4:$V$2503,入库单!$G$4:$G$2503,$A481,入库单!$X$4:$X$2503,"采购入库",入库单!$Z$4:$Z$2503,"正常",入库单!$C$4:$C$2503,"&gt;="&amp;账期起,入库单!$C$4:$C$2503,"&lt;="&amp;账期止))</f>
        <v/>
      </c>
      <c r="K481" s="26">
        <f>IF($A481="","",IFERROR(ROUND((N($H481)+N($J481))/(N($G481)+N($I481)),2),0))</f>
        <v/>
      </c>
      <c r="L481" s="27">
        <f>IF($A481="","",SUMIFS(入库单!$K$4:$K$2503,入库单!$G$4:$G$2503,$A481,入库单!$X$4:$X$2503,"盘盈",入库单!$Z$4:$Z$2503,"正常",入库单!$C$4:$C$2503,"&gt;="&amp;账期起,入库单!$C$4:$C$2503,"&lt;="&amp;账期止))</f>
        <v/>
      </c>
      <c r="M481" s="26">
        <f>IF($A481="","",ROUND($L481*$K481,0))</f>
        <v/>
      </c>
      <c r="N481" s="27">
        <f>IF($A481="","",SUMIFS(入库单!$K$4:$K$2503,入库单!$G$4:$G$2503,$A481,入库单!$X$4:$X$2503,"矿区退库",入库单!$Z$4:$Z$2503,"正常",入库单!$C$4:$C$2503,"&gt;="&amp;账期起,入库单!$C$4:$C$2503,"&lt;="&amp;账期止))</f>
        <v/>
      </c>
      <c r="O481" s="26">
        <f>IF($A481="","",ROUND($N481*$K481,0))</f>
        <v/>
      </c>
      <c r="P481" s="27">
        <f>IF($A481="","",SUMIFS(出库单!$J$4:$J$4003,出库单!$D$4:$D$4003,$A481,出库单!$K$4:$K$4003,"自用消耗",出库单!$U$4:$U$4003,"正常",出库单!$C$4:$C$4003,"&gt;="&amp;账期起,出库单!$C$4:$C$4003,"&lt;="&amp;账期止))</f>
        <v/>
      </c>
      <c r="Q481" s="26">
        <f>IF($A481="","",ROUND(SUMIFS(出库单!$S$4:$S$4003,出库单!$D$4:$D$4003,$A481,出库单!$K$4:$K$4003,"自用消耗",出库单!$U$4:$U$4003,"正常",出库单!$C$4:$C$4003,"&gt;="&amp;账期起,出库单!$C$4:$C$4003,"&lt;="&amp;账期止),0))</f>
        <v/>
      </c>
      <c r="R481" s="27">
        <f>IF($A481="","",SUMIFS(出库单!$J$4:$J$4003,出库单!$D$4:$D$4003,$A481,出库单!$K$4:$K$4003,"对外销售",出库单!$U$4:$U$4003,"正常",出库单!$C$4:$C$4003,"&gt;="&amp;账期起,出库单!$C$4:$C$4003,"&lt;="&amp;账期止))</f>
        <v/>
      </c>
      <c r="S481" s="26">
        <f>IF($A481="","",ROUND(SUMIFS(出库单!$S$4:$S$4003,出库单!$D$4:$D$4003,$A481,出库单!$K$4:$K$4003,"对外销售",出库单!$U$4:$U$4003,"正常",出库单!$C$4:$C$4003,"&gt;="&amp;账期起,出库单!$C$4:$C$4003,"&lt;="&amp;账期止),0))</f>
        <v/>
      </c>
      <c r="T481" s="27">
        <f>IF($A481="","",SUMIFS(出库单!$J$4:$J$4003,出库单!$D$4:$D$4003,$A481,出库单!$K$4:$K$4003,"盘亏",出库单!$U$4:$U$4003,"正常",出库单!$C$4:$C$4003,"&gt;="&amp;账期起,出库单!$C$4:$C$4003,"&lt;="&amp;账期止))</f>
        <v/>
      </c>
      <c r="U481" s="26">
        <f>IF($A481="","",ROUND(SUMIFS(出库单!$S$4:$S$4003,出库单!$D$4:$D$4003,$A481,出库单!$K$4:$K$4003,"盘亏",出库单!$U$4:$U$4003,"正常",出库单!$C$4:$C$4003,"&gt;="&amp;账期起,出库单!$C$4:$C$4003,"&lt;="&amp;账期止),0))</f>
        <v/>
      </c>
      <c r="V481" s="27">
        <f>IF($A481="","",SUMIFS(出库单!$J$4:$J$4003,出库单!$D$4:$D$4003,$A481,出库单!$K$4:$K$4003,"退货给供应商",出库单!$U$4:$U$4003,"正常",出库单!$C$4:$C$4003,"&gt;="&amp;账期起,出库单!$C$4:$C$4003,"&lt;="&amp;账期止))</f>
        <v/>
      </c>
      <c r="W481" s="26">
        <f>IF($A481="","",ROUND(SUMIFS(出库单!$S$4:$S$4003,出库单!$D$4:$D$4003,$A481,出库单!$K$4:$K$4003,"退货给供应商",出库单!$U$4:$U$4003,"正常",出库单!$C$4:$C$4003,"&gt;="&amp;账期起,出库单!$C$4:$C$4003,"&lt;="&amp;账期止),0))</f>
        <v/>
      </c>
      <c r="X481" s="27">
        <f>IF($A481="","",ROUND(N($G481)+$I481+$L481+$N481-$P481-$R481-$T481-$V481,3))</f>
        <v/>
      </c>
      <c r="Y481" s="26">
        <f>IF($A481="","",ROUND(N($H481)+$J481+$M481+$O481-$Q481-$S481-$U481-$W481,0))</f>
        <v/>
      </c>
      <c r="Z481" s="24">
        <f>IF($A481="","",IF(COUNTIFS(入库单!$G$4:$G$2503,$A481,入库单!$Y$4:$Y$2503,"待补价")+COUNTIFS(入库单!$G$4:$G$2503,$A481,入库单!$Y$4:$Y$2503,"暂估")&gt;0,"不可信","可信"))</f>
        <v/>
      </c>
      <c r="AA481" s="24">
        <f>IF($A481="","",IF($X481&lt;-0.001,"※账面负库存，查一下是不是漏记入库",IF(AND(ROUND($X481,3)=0,ABS($Y481)&gt;1),"※数量已经是 0，金额还挂着 "&amp;TEXT($Y481,"#,##0")&amp;" 先令",IF(AND($X481&gt;0,$Y481&lt;=0,$K481=0),"※有数量没金额（这个物料一直没填过进价）",IF($Z481="不可信","△成本含待补价/暂估，毛利仅供参考","")))))</f>
        <v/>
      </c>
    </row>
    <row r="482">
      <c r="A482" s="24">
        <f>IF(物料档案!$A481="","",物料档案!$A481)</f>
        <v/>
      </c>
      <c r="B482" s="24">
        <f>IF($A482="","",IFERROR(VLOOKUP($A482,物料档案!$A$4:$P$1203,3,0),""))</f>
        <v/>
      </c>
      <c r="C482" s="24">
        <f>IF($A482="","",IFERROR(VLOOKUP($A482,物料档案!$A$4:$P$1203,4,0),""))</f>
        <v/>
      </c>
      <c r="D482" s="24">
        <f>IF($A482="","",IFERROR(VLOOKUP($A482,物料档案!$A$4:$P$1203,5,0),""))</f>
        <v/>
      </c>
      <c r="E482" s="24">
        <f>IF($A482="","",IFERROR(VLOOKUP($A482,物料档案!$A$4:$P$1203,2,0),""))</f>
        <v/>
      </c>
      <c r="F482" s="24">
        <f>IF($A482="","",IFERROR(VLOOKUP($A482,物料档案!$A$4:$P$1203,6,0),""))</f>
        <v/>
      </c>
      <c r="G482" s="23" t="n"/>
      <c r="H482" s="32" t="n"/>
      <c r="I482" s="27">
        <f>IF($A482="","",SUMIFS(入库单!$K$4:$K$2503,入库单!$G$4:$G$2503,$A482,入库单!$X$4:$X$2503,"采购入库",入库单!$Z$4:$Z$2503,"正常",入库单!$C$4:$C$2503,"&gt;="&amp;账期起,入库单!$C$4:$C$2503,"&lt;="&amp;账期止))</f>
        <v/>
      </c>
      <c r="J482" s="26">
        <f>IF($A482="","",SUMIFS(入库单!$V$4:$V$2503,入库单!$G$4:$G$2503,$A482,入库单!$X$4:$X$2503,"采购入库",入库单!$Z$4:$Z$2503,"正常",入库单!$C$4:$C$2503,"&gt;="&amp;账期起,入库单!$C$4:$C$2503,"&lt;="&amp;账期止))</f>
        <v/>
      </c>
      <c r="K482" s="26">
        <f>IF($A482="","",IFERROR(ROUND((N($H482)+N($J482))/(N($G482)+N($I482)),2),0))</f>
        <v/>
      </c>
      <c r="L482" s="27">
        <f>IF($A482="","",SUMIFS(入库单!$K$4:$K$2503,入库单!$G$4:$G$2503,$A482,入库单!$X$4:$X$2503,"盘盈",入库单!$Z$4:$Z$2503,"正常",入库单!$C$4:$C$2503,"&gt;="&amp;账期起,入库单!$C$4:$C$2503,"&lt;="&amp;账期止))</f>
        <v/>
      </c>
      <c r="M482" s="26">
        <f>IF($A482="","",ROUND($L482*$K482,0))</f>
        <v/>
      </c>
      <c r="N482" s="27">
        <f>IF($A482="","",SUMIFS(入库单!$K$4:$K$2503,入库单!$G$4:$G$2503,$A482,入库单!$X$4:$X$2503,"矿区退库",入库单!$Z$4:$Z$2503,"正常",入库单!$C$4:$C$2503,"&gt;="&amp;账期起,入库单!$C$4:$C$2503,"&lt;="&amp;账期止))</f>
        <v/>
      </c>
      <c r="O482" s="26">
        <f>IF($A482="","",ROUND($N482*$K482,0))</f>
        <v/>
      </c>
      <c r="P482" s="27">
        <f>IF($A482="","",SUMIFS(出库单!$J$4:$J$4003,出库单!$D$4:$D$4003,$A482,出库单!$K$4:$K$4003,"自用消耗",出库单!$U$4:$U$4003,"正常",出库单!$C$4:$C$4003,"&gt;="&amp;账期起,出库单!$C$4:$C$4003,"&lt;="&amp;账期止))</f>
        <v/>
      </c>
      <c r="Q482" s="26">
        <f>IF($A482="","",ROUND(SUMIFS(出库单!$S$4:$S$4003,出库单!$D$4:$D$4003,$A482,出库单!$K$4:$K$4003,"自用消耗",出库单!$U$4:$U$4003,"正常",出库单!$C$4:$C$4003,"&gt;="&amp;账期起,出库单!$C$4:$C$4003,"&lt;="&amp;账期止),0))</f>
        <v/>
      </c>
      <c r="R482" s="27">
        <f>IF($A482="","",SUMIFS(出库单!$J$4:$J$4003,出库单!$D$4:$D$4003,$A482,出库单!$K$4:$K$4003,"对外销售",出库单!$U$4:$U$4003,"正常",出库单!$C$4:$C$4003,"&gt;="&amp;账期起,出库单!$C$4:$C$4003,"&lt;="&amp;账期止))</f>
        <v/>
      </c>
      <c r="S482" s="26">
        <f>IF($A482="","",ROUND(SUMIFS(出库单!$S$4:$S$4003,出库单!$D$4:$D$4003,$A482,出库单!$K$4:$K$4003,"对外销售",出库单!$U$4:$U$4003,"正常",出库单!$C$4:$C$4003,"&gt;="&amp;账期起,出库单!$C$4:$C$4003,"&lt;="&amp;账期止),0))</f>
        <v/>
      </c>
      <c r="T482" s="27">
        <f>IF($A482="","",SUMIFS(出库单!$J$4:$J$4003,出库单!$D$4:$D$4003,$A482,出库单!$K$4:$K$4003,"盘亏",出库单!$U$4:$U$4003,"正常",出库单!$C$4:$C$4003,"&gt;="&amp;账期起,出库单!$C$4:$C$4003,"&lt;="&amp;账期止))</f>
        <v/>
      </c>
      <c r="U482" s="26">
        <f>IF($A482="","",ROUND(SUMIFS(出库单!$S$4:$S$4003,出库单!$D$4:$D$4003,$A482,出库单!$K$4:$K$4003,"盘亏",出库单!$U$4:$U$4003,"正常",出库单!$C$4:$C$4003,"&gt;="&amp;账期起,出库单!$C$4:$C$4003,"&lt;="&amp;账期止),0))</f>
        <v/>
      </c>
      <c r="V482" s="27">
        <f>IF($A482="","",SUMIFS(出库单!$J$4:$J$4003,出库单!$D$4:$D$4003,$A482,出库单!$K$4:$K$4003,"退货给供应商",出库单!$U$4:$U$4003,"正常",出库单!$C$4:$C$4003,"&gt;="&amp;账期起,出库单!$C$4:$C$4003,"&lt;="&amp;账期止))</f>
        <v/>
      </c>
      <c r="W482" s="26">
        <f>IF($A482="","",ROUND(SUMIFS(出库单!$S$4:$S$4003,出库单!$D$4:$D$4003,$A482,出库单!$K$4:$K$4003,"退货给供应商",出库单!$U$4:$U$4003,"正常",出库单!$C$4:$C$4003,"&gt;="&amp;账期起,出库单!$C$4:$C$4003,"&lt;="&amp;账期止),0))</f>
        <v/>
      </c>
      <c r="X482" s="27">
        <f>IF($A482="","",ROUND(N($G482)+$I482+$L482+$N482-$P482-$R482-$T482-$V482,3))</f>
        <v/>
      </c>
      <c r="Y482" s="26">
        <f>IF($A482="","",ROUND(N($H482)+$J482+$M482+$O482-$Q482-$S482-$U482-$W482,0))</f>
        <v/>
      </c>
      <c r="Z482" s="24">
        <f>IF($A482="","",IF(COUNTIFS(入库单!$G$4:$G$2503,$A482,入库单!$Y$4:$Y$2503,"待补价")+COUNTIFS(入库单!$G$4:$G$2503,$A482,入库单!$Y$4:$Y$2503,"暂估")&gt;0,"不可信","可信"))</f>
        <v/>
      </c>
      <c r="AA482" s="24">
        <f>IF($A482="","",IF($X482&lt;-0.001,"※账面负库存，查一下是不是漏记入库",IF(AND(ROUND($X482,3)=0,ABS($Y482)&gt;1),"※数量已经是 0，金额还挂着 "&amp;TEXT($Y482,"#,##0")&amp;" 先令",IF(AND($X482&gt;0,$Y482&lt;=0,$K482=0),"※有数量没金额（这个物料一直没填过进价）",IF($Z482="不可信","△成本含待补价/暂估，毛利仅供参考","")))))</f>
        <v/>
      </c>
    </row>
    <row r="483">
      <c r="A483" s="24">
        <f>IF(物料档案!$A482="","",物料档案!$A482)</f>
        <v/>
      </c>
      <c r="B483" s="24">
        <f>IF($A483="","",IFERROR(VLOOKUP($A483,物料档案!$A$4:$P$1203,3,0),""))</f>
        <v/>
      </c>
      <c r="C483" s="24">
        <f>IF($A483="","",IFERROR(VLOOKUP($A483,物料档案!$A$4:$P$1203,4,0),""))</f>
        <v/>
      </c>
      <c r="D483" s="24">
        <f>IF($A483="","",IFERROR(VLOOKUP($A483,物料档案!$A$4:$P$1203,5,0),""))</f>
        <v/>
      </c>
      <c r="E483" s="24">
        <f>IF($A483="","",IFERROR(VLOOKUP($A483,物料档案!$A$4:$P$1203,2,0),""))</f>
        <v/>
      </c>
      <c r="F483" s="24">
        <f>IF($A483="","",IFERROR(VLOOKUP($A483,物料档案!$A$4:$P$1203,6,0),""))</f>
        <v/>
      </c>
      <c r="G483" s="23" t="n"/>
      <c r="H483" s="32" t="n"/>
      <c r="I483" s="27">
        <f>IF($A483="","",SUMIFS(入库单!$K$4:$K$2503,入库单!$G$4:$G$2503,$A483,入库单!$X$4:$X$2503,"采购入库",入库单!$Z$4:$Z$2503,"正常",入库单!$C$4:$C$2503,"&gt;="&amp;账期起,入库单!$C$4:$C$2503,"&lt;="&amp;账期止))</f>
        <v/>
      </c>
      <c r="J483" s="26">
        <f>IF($A483="","",SUMIFS(入库单!$V$4:$V$2503,入库单!$G$4:$G$2503,$A483,入库单!$X$4:$X$2503,"采购入库",入库单!$Z$4:$Z$2503,"正常",入库单!$C$4:$C$2503,"&gt;="&amp;账期起,入库单!$C$4:$C$2503,"&lt;="&amp;账期止))</f>
        <v/>
      </c>
      <c r="K483" s="26">
        <f>IF($A483="","",IFERROR(ROUND((N($H483)+N($J483))/(N($G483)+N($I483)),2),0))</f>
        <v/>
      </c>
      <c r="L483" s="27">
        <f>IF($A483="","",SUMIFS(入库单!$K$4:$K$2503,入库单!$G$4:$G$2503,$A483,入库单!$X$4:$X$2503,"盘盈",入库单!$Z$4:$Z$2503,"正常",入库单!$C$4:$C$2503,"&gt;="&amp;账期起,入库单!$C$4:$C$2503,"&lt;="&amp;账期止))</f>
        <v/>
      </c>
      <c r="M483" s="26">
        <f>IF($A483="","",ROUND($L483*$K483,0))</f>
        <v/>
      </c>
      <c r="N483" s="27">
        <f>IF($A483="","",SUMIFS(入库单!$K$4:$K$2503,入库单!$G$4:$G$2503,$A483,入库单!$X$4:$X$2503,"矿区退库",入库单!$Z$4:$Z$2503,"正常",入库单!$C$4:$C$2503,"&gt;="&amp;账期起,入库单!$C$4:$C$2503,"&lt;="&amp;账期止))</f>
        <v/>
      </c>
      <c r="O483" s="26">
        <f>IF($A483="","",ROUND($N483*$K483,0))</f>
        <v/>
      </c>
      <c r="P483" s="27">
        <f>IF($A483="","",SUMIFS(出库单!$J$4:$J$4003,出库单!$D$4:$D$4003,$A483,出库单!$K$4:$K$4003,"自用消耗",出库单!$U$4:$U$4003,"正常",出库单!$C$4:$C$4003,"&gt;="&amp;账期起,出库单!$C$4:$C$4003,"&lt;="&amp;账期止))</f>
        <v/>
      </c>
      <c r="Q483" s="26">
        <f>IF($A483="","",ROUND(SUMIFS(出库单!$S$4:$S$4003,出库单!$D$4:$D$4003,$A483,出库单!$K$4:$K$4003,"自用消耗",出库单!$U$4:$U$4003,"正常",出库单!$C$4:$C$4003,"&gt;="&amp;账期起,出库单!$C$4:$C$4003,"&lt;="&amp;账期止),0))</f>
        <v/>
      </c>
      <c r="R483" s="27">
        <f>IF($A483="","",SUMIFS(出库单!$J$4:$J$4003,出库单!$D$4:$D$4003,$A483,出库单!$K$4:$K$4003,"对外销售",出库单!$U$4:$U$4003,"正常",出库单!$C$4:$C$4003,"&gt;="&amp;账期起,出库单!$C$4:$C$4003,"&lt;="&amp;账期止))</f>
        <v/>
      </c>
      <c r="S483" s="26">
        <f>IF($A483="","",ROUND(SUMIFS(出库单!$S$4:$S$4003,出库单!$D$4:$D$4003,$A483,出库单!$K$4:$K$4003,"对外销售",出库单!$U$4:$U$4003,"正常",出库单!$C$4:$C$4003,"&gt;="&amp;账期起,出库单!$C$4:$C$4003,"&lt;="&amp;账期止),0))</f>
        <v/>
      </c>
      <c r="T483" s="27">
        <f>IF($A483="","",SUMIFS(出库单!$J$4:$J$4003,出库单!$D$4:$D$4003,$A483,出库单!$K$4:$K$4003,"盘亏",出库单!$U$4:$U$4003,"正常",出库单!$C$4:$C$4003,"&gt;="&amp;账期起,出库单!$C$4:$C$4003,"&lt;="&amp;账期止))</f>
        <v/>
      </c>
      <c r="U483" s="26">
        <f>IF($A483="","",ROUND(SUMIFS(出库单!$S$4:$S$4003,出库单!$D$4:$D$4003,$A483,出库单!$K$4:$K$4003,"盘亏",出库单!$U$4:$U$4003,"正常",出库单!$C$4:$C$4003,"&gt;="&amp;账期起,出库单!$C$4:$C$4003,"&lt;="&amp;账期止),0))</f>
        <v/>
      </c>
      <c r="V483" s="27">
        <f>IF($A483="","",SUMIFS(出库单!$J$4:$J$4003,出库单!$D$4:$D$4003,$A483,出库单!$K$4:$K$4003,"退货给供应商",出库单!$U$4:$U$4003,"正常",出库单!$C$4:$C$4003,"&gt;="&amp;账期起,出库单!$C$4:$C$4003,"&lt;="&amp;账期止))</f>
        <v/>
      </c>
      <c r="W483" s="26">
        <f>IF($A483="","",ROUND(SUMIFS(出库单!$S$4:$S$4003,出库单!$D$4:$D$4003,$A483,出库单!$K$4:$K$4003,"退货给供应商",出库单!$U$4:$U$4003,"正常",出库单!$C$4:$C$4003,"&gt;="&amp;账期起,出库单!$C$4:$C$4003,"&lt;="&amp;账期止),0))</f>
        <v/>
      </c>
      <c r="X483" s="27">
        <f>IF($A483="","",ROUND(N($G483)+$I483+$L483+$N483-$P483-$R483-$T483-$V483,3))</f>
        <v/>
      </c>
      <c r="Y483" s="26">
        <f>IF($A483="","",ROUND(N($H483)+$J483+$M483+$O483-$Q483-$S483-$U483-$W483,0))</f>
        <v/>
      </c>
      <c r="Z483" s="24">
        <f>IF($A483="","",IF(COUNTIFS(入库单!$G$4:$G$2503,$A483,入库单!$Y$4:$Y$2503,"待补价")+COUNTIFS(入库单!$G$4:$G$2503,$A483,入库单!$Y$4:$Y$2503,"暂估")&gt;0,"不可信","可信"))</f>
        <v/>
      </c>
      <c r="AA483" s="24">
        <f>IF($A483="","",IF($X483&lt;-0.001,"※账面负库存，查一下是不是漏记入库",IF(AND(ROUND($X483,3)=0,ABS($Y483)&gt;1),"※数量已经是 0，金额还挂着 "&amp;TEXT($Y483,"#,##0")&amp;" 先令",IF(AND($X483&gt;0,$Y483&lt;=0,$K483=0),"※有数量没金额（这个物料一直没填过进价）",IF($Z483="不可信","△成本含待补价/暂估，毛利仅供参考","")))))</f>
        <v/>
      </c>
    </row>
    <row r="484">
      <c r="A484" s="24">
        <f>IF(物料档案!$A483="","",物料档案!$A483)</f>
        <v/>
      </c>
      <c r="B484" s="24">
        <f>IF($A484="","",IFERROR(VLOOKUP($A484,物料档案!$A$4:$P$1203,3,0),""))</f>
        <v/>
      </c>
      <c r="C484" s="24">
        <f>IF($A484="","",IFERROR(VLOOKUP($A484,物料档案!$A$4:$P$1203,4,0),""))</f>
        <v/>
      </c>
      <c r="D484" s="24">
        <f>IF($A484="","",IFERROR(VLOOKUP($A484,物料档案!$A$4:$P$1203,5,0),""))</f>
        <v/>
      </c>
      <c r="E484" s="24">
        <f>IF($A484="","",IFERROR(VLOOKUP($A484,物料档案!$A$4:$P$1203,2,0),""))</f>
        <v/>
      </c>
      <c r="F484" s="24">
        <f>IF($A484="","",IFERROR(VLOOKUP($A484,物料档案!$A$4:$P$1203,6,0),""))</f>
        <v/>
      </c>
      <c r="G484" s="23" t="n"/>
      <c r="H484" s="32" t="n"/>
      <c r="I484" s="27">
        <f>IF($A484="","",SUMIFS(入库单!$K$4:$K$2503,入库单!$G$4:$G$2503,$A484,入库单!$X$4:$X$2503,"采购入库",入库单!$Z$4:$Z$2503,"正常",入库单!$C$4:$C$2503,"&gt;="&amp;账期起,入库单!$C$4:$C$2503,"&lt;="&amp;账期止))</f>
        <v/>
      </c>
      <c r="J484" s="26">
        <f>IF($A484="","",SUMIFS(入库单!$V$4:$V$2503,入库单!$G$4:$G$2503,$A484,入库单!$X$4:$X$2503,"采购入库",入库单!$Z$4:$Z$2503,"正常",入库单!$C$4:$C$2503,"&gt;="&amp;账期起,入库单!$C$4:$C$2503,"&lt;="&amp;账期止))</f>
        <v/>
      </c>
      <c r="K484" s="26">
        <f>IF($A484="","",IFERROR(ROUND((N($H484)+N($J484))/(N($G484)+N($I484)),2),0))</f>
        <v/>
      </c>
      <c r="L484" s="27">
        <f>IF($A484="","",SUMIFS(入库单!$K$4:$K$2503,入库单!$G$4:$G$2503,$A484,入库单!$X$4:$X$2503,"盘盈",入库单!$Z$4:$Z$2503,"正常",入库单!$C$4:$C$2503,"&gt;="&amp;账期起,入库单!$C$4:$C$2503,"&lt;="&amp;账期止))</f>
        <v/>
      </c>
      <c r="M484" s="26">
        <f>IF($A484="","",ROUND($L484*$K484,0))</f>
        <v/>
      </c>
      <c r="N484" s="27">
        <f>IF($A484="","",SUMIFS(入库单!$K$4:$K$2503,入库单!$G$4:$G$2503,$A484,入库单!$X$4:$X$2503,"矿区退库",入库单!$Z$4:$Z$2503,"正常",入库单!$C$4:$C$2503,"&gt;="&amp;账期起,入库单!$C$4:$C$2503,"&lt;="&amp;账期止))</f>
        <v/>
      </c>
      <c r="O484" s="26">
        <f>IF($A484="","",ROUND($N484*$K484,0))</f>
        <v/>
      </c>
      <c r="P484" s="27">
        <f>IF($A484="","",SUMIFS(出库单!$J$4:$J$4003,出库单!$D$4:$D$4003,$A484,出库单!$K$4:$K$4003,"自用消耗",出库单!$U$4:$U$4003,"正常",出库单!$C$4:$C$4003,"&gt;="&amp;账期起,出库单!$C$4:$C$4003,"&lt;="&amp;账期止))</f>
        <v/>
      </c>
      <c r="Q484" s="26">
        <f>IF($A484="","",ROUND(SUMIFS(出库单!$S$4:$S$4003,出库单!$D$4:$D$4003,$A484,出库单!$K$4:$K$4003,"自用消耗",出库单!$U$4:$U$4003,"正常",出库单!$C$4:$C$4003,"&gt;="&amp;账期起,出库单!$C$4:$C$4003,"&lt;="&amp;账期止),0))</f>
        <v/>
      </c>
      <c r="R484" s="27">
        <f>IF($A484="","",SUMIFS(出库单!$J$4:$J$4003,出库单!$D$4:$D$4003,$A484,出库单!$K$4:$K$4003,"对外销售",出库单!$U$4:$U$4003,"正常",出库单!$C$4:$C$4003,"&gt;="&amp;账期起,出库单!$C$4:$C$4003,"&lt;="&amp;账期止))</f>
        <v/>
      </c>
      <c r="S484" s="26">
        <f>IF($A484="","",ROUND(SUMIFS(出库单!$S$4:$S$4003,出库单!$D$4:$D$4003,$A484,出库单!$K$4:$K$4003,"对外销售",出库单!$U$4:$U$4003,"正常",出库单!$C$4:$C$4003,"&gt;="&amp;账期起,出库单!$C$4:$C$4003,"&lt;="&amp;账期止),0))</f>
        <v/>
      </c>
      <c r="T484" s="27">
        <f>IF($A484="","",SUMIFS(出库单!$J$4:$J$4003,出库单!$D$4:$D$4003,$A484,出库单!$K$4:$K$4003,"盘亏",出库单!$U$4:$U$4003,"正常",出库单!$C$4:$C$4003,"&gt;="&amp;账期起,出库单!$C$4:$C$4003,"&lt;="&amp;账期止))</f>
        <v/>
      </c>
      <c r="U484" s="26">
        <f>IF($A484="","",ROUND(SUMIFS(出库单!$S$4:$S$4003,出库单!$D$4:$D$4003,$A484,出库单!$K$4:$K$4003,"盘亏",出库单!$U$4:$U$4003,"正常",出库单!$C$4:$C$4003,"&gt;="&amp;账期起,出库单!$C$4:$C$4003,"&lt;="&amp;账期止),0))</f>
        <v/>
      </c>
      <c r="V484" s="27">
        <f>IF($A484="","",SUMIFS(出库单!$J$4:$J$4003,出库单!$D$4:$D$4003,$A484,出库单!$K$4:$K$4003,"退货给供应商",出库单!$U$4:$U$4003,"正常",出库单!$C$4:$C$4003,"&gt;="&amp;账期起,出库单!$C$4:$C$4003,"&lt;="&amp;账期止))</f>
        <v/>
      </c>
      <c r="W484" s="26">
        <f>IF($A484="","",ROUND(SUMIFS(出库单!$S$4:$S$4003,出库单!$D$4:$D$4003,$A484,出库单!$K$4:$K$4003,"退货给供应商",出库单!$U$4:$U$4003,"正常",出库单!$C$4:$C$4003,"&gt;="&amp;账期起,出库单!$C$4:$C$4003,"&lt;="&amp;账期止),0))</f>
        <v/>
      </c>
      <c r="X484" s="27">
        <f>IF($A484="","",ROUND(N($G484)+$I484+$L484+$N484-$P484-$R484-$T484-$V484,3))</f>
        <v/>
      </c>
      <c r="Y484" s="26">
        <f>IF($A484="","",ROUND(N($H484)+$J484+$M484+$O484-$Q484-$S484-$U484-$W484,0))</f>
        <v/>
      </c>
      <c r="Z484" s="24">
        <f>IF($A484="","",IF(COUNTIFS(入库单!$G$4:$G$2503,$A484,入库单!$Y$4:$Y$2503,"待补价")+COUNTIFS(入库单!$G$4:$G$2503,$A484,入库单!$Y$4:$Y$2503,"暂估")&gt;0,"不可信","可信"))</f>
        <v/>
      </c>
      <c r="AA484" s="24">
        <f>IF($A484="","",IF($X484&lt;-0.001,"※账面负库存，查一下是不是漏记入库",IF(AND(ROUND($X484,3)=0,ABS($Y484)&gt;1),"※数量已经是 0，金额还挂着 "&amp;TEXT($Y484,"#,##0")&amp;" 先令",IF(AND($X484&gt;0,$Y484&lt;=0,$K484=0),"※有数量没金额（这个物料一直没填过进价）",IF($Z484="不可信","△成本含待补价/暂估，毛利仅供参考","")))))</f>
        <v/>
      </c>
    </row>
    <row r="485">
      <c r="A485" s="24">
        <f>IF(物料档案!$A484="","",物料档案!$A484)</f>
        <v/>
      </c>
      <c r="B485" s="24">
        <f>IF($A485="","",IFERROR(VLOOKUP($A485,物料档案!$A$4:$P$1203,3,0),""))</f>
        <v/>
      </c>
      <c r="C485" s="24">
        <f>IF($A485="","",IFERROR(VLOOKUP($A485,物料档案!$A$4:$P$1203,4,0),""))</f>
        <v/>
      </c>
      <c r="D485" s="24">
        <f>IF($A485="","",IFERROR(VLOOKUP($A485,物料档案!$A$4:$P$1203,5,0),""))</f>
        <v/>
      </c>
      <c r="E485" s="24">
        <f>IF($A485="","",IFERROR(VLOOKUP($A485,物料档案!$A$4:$P$1203,2,0),""))</f>
        <v/>
      </c>
      <c r="F485" s="24">
        <f>IF($A485="","",IFERROR(VLOOKUP($A485,物料档案!$A$4:$P$1203,6,0),""))</f>
        <v/>
      </c>
      <c r="G485" s="23" t="n"/>
      <c r="H485" s="32" t="n"/>
      <c r="I485" s="27">
        <f>IF($A485="","",SUMIFS(入库单!$K$4:$K$2503,入库单!$G$4:$G$2503,$A485,入库单!$X$4:$X$2503,"采购入库",入库单!$Z$4:$Z$2503,"正常",入库单!$C$4:$C$2503,"&gt;="&amp;账期起,入库单!$C$4:$C$2503,"&lt;="&amp;账期止))</f>
        <v/>
      </c>
      <c r="J485" s="26">
        <f>IF($A485="","",SUMIFS(入库单!$V$4:$V$2503,入库单!$G$4:$G$2503,$A485,入库单!$X$4:$X$2503,"采购入库",入库单!$Z$4:$Z$2503,"正常",入库单!$C$4:$C$2503,"&gt;="&amp;账期起,入库单!$C$4:$C$2503,"&lt;="&amp;账期止))</f>
        <v/>
      </c>
      <c r="K485" s="26">
        <f>IF($A485="","",IFERROR(ROUND((N($H485)+N($J485))/(N($G485)+N($I485)),2),0))</f>
        <v/>
      </c>
      <c r="L485" s="27">
        <f>IF($A485="","",SUMIFS(入库单!$K$4:$K$2503,入库单!$G$4:$G$2503,$A485,入库单!$X$4:$X$2503,"盘盈",入库单!$Z$4:$Z$2503,"正常",入库单!$C$4:$C$2503,"&gt;="&amp;账期起,入库单!$C$4:$C$2503,"&lt;="&amp;账期止))</f>
        <v/>
      </c>
      <c r="M485" s="26">
        <f>IF($A485="","",ROUND($L485*$K485,0))</f>
        <v/>
      </c>
      <c r="N485" s="27">
        <f>IF($A485="","",SUMIFS(入库单!$K$4:$K$2503,入库单!$G$4:$G$2503,$A485,入库单!$X$4:$X$2503,"矿区退库",入库单!$Z$4:$Z$2503,"正常",入库单!$C$4:$C$2503,"&gt;="&amp;账期起,入库单!$C$4:$C$2503,"&lt;="&amp;账期止))</f>
        <v/>
      </c>
      <c r="O485" s="26">
        <f>IF($A485="","",ROUND($N485*$K485,0))</f>
        <v/>
      </c>
      <c r="P485" s="27">
        <f>IF($A485="","",SUMIFS(出库单!$J$4:$J$4003,出库单!$D$4:$D$4003,$A485,出库单!$K$4:$K$4003,"自用消耗",出库单!$U$4:$U$4003,"正常",出库单!$C$4:$C$4003,"&gt;="&amp;账期起,出库单!$C$4:$C$4003,"&lt;="&amp;账期止))</f>
        <v/>
      </c>
      <c r="Q485" s="26">
        <f>IF($A485="","",ROUND(SUMIFS(出库单!$S$4:$S$4003,出库单!$D$4:$D$4003,$A485,出库单!$K$4:$K$4003,"自用消耗",出库单!$U$4:$U$4003,"正常",出库单!$C$4:$C$4003,"&gt;="&amp;账期起,出库单!$C$4:$C$4003,"&lt;="&amp;账期止),0))</f>
        <v/>
      </c>
      <c r="R485" s="27">
        <f>IF($A485="","",SUMIFS(出库单!$J$4:$J$4003,出库单!$D$4:$D$4003,$A485,出库单!$K$4:$K$4003,"对外销售",出库单!$U$4:$U$4003,"正常",出库单!$C$4:$C$4003,"&gt;="&amp;账期起,出库单!$C$4:$C$4003,"&lt;="&amp;账期止))</f>
        <v/>
      </c>
      <c r="S485" s="26">
        <f>IF($A485="","",ROUND(SUMIFS(出库单!$S$4:$S$4003,出库单!$D$4:$D$4003,$A485,出库单!$K$4:$K$4003,"对外销售",出库单!$U$4:$U$4003,"正常",出库单!$C$4:$C$4003,"&gt;="&amp;账期起,出库单!$C$4:$C$4003,"&lt;="&amp;账期止),0))</f>
        <v/>
      </c>
      <c r="T485" s="27">
        <f>IF($A485="","",SUMIFS(出库单!$J$4:$J$4003,出库单!$D$4:$D$4003,$A485,出库单!$K$4:$K$4003,"盘亏",出库单!$U$4:$U$4003,"正常",出库单!$C$4:$C$4003,"&gt;="&amp;账期起,出库单!$C$4:$C$4003,"&lt;="&amp;账期止))</f>
        <v/>
      </c>
      <c r="U485" s="26">
        <f>IF($A485="","",ROUND(SUMIFS(出库单!$S$4:$S$4003,出库单!$D$4:$D$4003,$A485,出库单!$K$4:$K$4003,"盘亏",出库单!$U$4:$U$4003,"正常",出库单!$C$4:$C$4003,"&gt;="&amp;账期起,出库单!$C$4:$C$4003,"&lt;="&amp;账期止),0))</f>
        <v/>
      </c>
      <c r="V485" s="27">
        <f>IF($A485="","",SUMIFS(出库单!$J$4:$J$4003,出库单!$D$4:$D$4003,$A485,出库单!$K$4:$K$4003,"退货给供应商",出库单!$U$4:$U$4003,"正常",出库单!$C$4:$C$4003,"&gt;="&amp;账期起,出库单!$C$4:$C$4003,"&lt;="&amp;账期止))</f>
        <v/>
      </c>
      <c r="W485" s="26">
        <f>IF($A485="","",ROUND(SUMIFS(出库单!$S$4:$S$4003,出库单!$D$4:$D$4003,$A485,出库单!$K$4:$K$4003,"退货给供应商",出库单!$U$4:$U$4003,"正常",出库单!$C$4:$C$4003,"&gt;="&amp;账期起,出库单!$C$4:$C$4003,"&lt;="&amp;账期止),0))</f>
        <v/>
      </c>
      <c r="X485" s="27">
        <f>IF($A485="","",ROUND(N($G485)+$I485+$L485+$N485-$P485-$R485-$T485-$V485,3))</f>
        <v/>
      </c>
      <c r="Y485" s="26">
        <f>IF($A485="","",ROUND(N($H485)+$J485+$M485+$O485-$Q485-$S485-$U485-$W485,0))</f>
        <v/>
      </c>
      <c r="Z485" s="24">
        <f>IF($A485="","",IF(COUNTIFS(入库单!$G$4:$G$2503,$A485,入库单!$Y$4:$Y$2503,"待补价")+COUNTIFS(入库单!$G$4:$G$2503,$A485,入库单!$Y$4:$Y$2503,"暂估")&gt;0,"不可信","可信"))</f>
        <v/>
      </c>
      <c r="AA485" s="24">
        <f>IF($A485="","",IF($X485&lt;-0.001,"※账面负库存，查一下是不是漏记入库",IF(AND(ROUND($X485,3)=0,ABS($Y485)&gt;1),"※数量已经是 0，金额还挂着 "&amp;TEXT($Y485,"#,##0")&amp;" 先令",IF(AND($X485&gt;0,$Y485&lt;=0,$K485=0),"※有数量没金额（这个物料一直没填过进价）",IF($Z485="不可信","△成本含待补价/暂估，毛利仅供参考","")))))</f>
        <v/>
      </c>
    </row>
    <row r="486">
      <c r="A486" s="24">
        <f>IF(物料档案!$A485="","",物料档案!$A485)</f>
        <v/>
      </c>
      <c r="B486" s="24">
        <f>IF($A486="","",IFERROR(VLOOKUP($A486,物料档案!$A$4:$P$1203,3,0),""))</f>
        <v/>
      </c>
      <c r="C486" s="24">
        <f>IF($A486="","",IFERROR(VLOOKUP($A486,物料档案!$A$4:$P$1203,4,0),""))</f>
        <v/>
      </c>
      <c r="D486" s="24">
        <f>IF($A486="","",IFERROR(VLOOKUP($A486,物料档案!$A$4:$P$1203,5,0),""))</f>
        <v/>
      </c>
      <c r="E486" s="24">
        <f>IF($A486="","",IFERROR(VLOOKUP($A486,物料档案!$A$4:$P$1203,2,0),""))</f>
        <v/>
      </c>
      <c r="F486" s="24">
        <f>IF($A486="","",IFERROR(VLOOKUP($A486,物料档案!$A$4:$P$1203,6,0),""))</f>
        <v/>
      </c>
      <c r="G486" s="23" t="n"/>
      <c r="H486" s="32" t="n"/>
      <c r="I486" s="27">
        <f>IF($A486="","",SUMIFS(入库单!$K$4:$K$2503,入库单!$G$4:$G$2503,$A486,入库单!$X$4:$X$2503,"采购入库",入库单!$Z$4:$Z$2503,"正常",入库单!$C$4:$C$2503,"&gt;="&amp;账期起,入库单!$C$4:$C$2503,"&lt;="&amp;账期止))</f>
        <v/>
      </c>
      <c r="J486" s="26">
        <f>IF($A486="","",SUMIFS(入库单!$V$4:$V$2503,入库单!$G$4:$G$2503,$A486,入库单!$X$4:$X$2503,"采购入库",入库单!$Z$4:$Z$2503,"正常",入库单!$C$4:$C$2503,"&gt;="&amp;账期起,入库单!$C$4:$C$2503,"&lt;="&amp;账期止))</f>
        <v/>
      </c>
      <c r="K486" s="26">
        <f>IF($A486="","",IFERROR(ROUND((N($H486)+N($J486))/(N($G486)+N($I486)),2),0))</f>
        <v/>
      </c>
      <c r="L486" s="27">
        <f>IF($A486="","",SUMIFS(入库单!$K$4:$K$2503,入库单!$G$4:$G$2503,$A486,入库单!$X$4:$X$2503,"盘盈",入库单!$Z$4:$Z$2503,"正常",入库单!$C$4:$C$2503,"&gt;="&amp;账期起,入库单!$C$4:$C$2503,"&lt;="&amp;账期止))</f>
        <v/>
      </c>
      <c r="M486" s="26">
        <f>IF($A486="","",ROUND($L486*$K486,0))</f>
        <v/>
      </c>
      <c r="N486" s="27">
        <f>IF($A486="","",SUMIFS(入库单!$K$4:$K$2503,入库单!$G$4:$G$2503,$A486,入库单!$X$4:$X$2503,"矿区退库",入库单!$Z$4:$Z$2503,"正常",入库单!$C$4:$C$2503,"&gt;="&amp;账期起,入库单!$C$4:$C$2503,"&lt;="&amp;账期止))</f>
        <v/>
      </c>
      <c r="O486" s="26">
        <f>IF($A486="","",ROUND($N486*$K486,0))</f>
        <v/>
      </c>
      <c r="P486" s="27">
        <f>IF($A486="","",SUMIFS(出库单!$J$4:$J$4003,出库单!$D$4:$D$4003,$A486,出库单!$K$4:$K$4003,"自用消耗",出库单!$U$4:$U$4003,"正常",出库单!$C$4:$C$4003,"&gt;="&amp;账期起,出库单!$C$4:$C$4003,"&lt;="&amp;账期止))</f>
        <v/>
      </c>
      <c r="Q486" s="26">
        <f>IF($A486="","",ROUND(SUMIFS(出库单!$S$4:$S$4003,出库单!$D$4:$D$4003,$A486,出库单!$K$4:$K$4003,"自用消耗",出库单!$U$4:$U$4003,"正常",出库单!$C$4:$C$4003,"&gt;="&amp;账期起,出库单!$C$4:$C$4003,"&lt;="&amp;账期止),0))</f>
        <v/>
      </c>
      <c r="R486" s="27">
        <f>IF($A486="","",SUMIFS(出库单!$J$4:$J$4003,出库单!$D$4:$D$4003,$A486,出库单!$K$4:$K$4003,"对外销售",出库单!$U$4:$U$4003,"正常",出库单!$C$4:$C$4003,"&gt;="&amp;账期起,出库单!$C$4:$C$4003,"&lt;="&amp;账期止))</f>
        <v/>
      </c>
      <c r="S486" s="26">
        <f>IF($A486="","",ROUND(SUMIFS(出库单!$S$4:$S$4003,出库单!$D$4:$D$4003,$A486,出库单!$K$4:$K$4003,"对外销售",出库单!$U$4:$U$4003,"正常",出库单!$C$4:$C$4003,"&gt;="&amp;账期起,出库单!$C$4:$C$4003,"&lt;="&amp;账期止),0))</f>
        <v/>
      </c>
      <c r="T486" s="27">
        <f>IF($A486="","",SUMIFS(出库单!$J$4:$J$4003,出库单!$D$4:$D$4003,$A486,出库单!$K$4:$K$4003,"盘亏",出库单!$U$4:$U$4003,"正常",出库单!$C$4:$C$4003,"&gt;="&amp;账期起,出库单!$C$4:$C$4003,"&lt;="&amp;账期止))</f>
        <v/>
      </c>
      <c r="U486" s="26">
        <f>IF($A486="","",ROUND(SUMIFS(出库单!$S$4:$S$4003,出库单!$D$4:$D$4003,$A486,出库单!$K$4:$K$4003,"盘亏",出库单!$U$4:$U$4003,"正常",出库单!$C$4:$C$4003,"&gt;="&amp;账期起,出库单!$C$4:$C$4003,"&lt;="&amp;账期止),0))</f>
        <v/>
      </c>
      <c r="V486" s="27">
        <f>IF($A486="","",SUMIFS(出库单!$J$4:$J$4003,出库单!$D$4:$D$4003,$A486,出库单!$K$4:$K$4003,"退货给供应商",出库单!$U$4:$U$4003,"正常",出库单!$C$4:$C$4003,"&gt;="&amp;账期起,出库单!$C$4:$C$4003,"&lt;="&amp;账期止))</f>
        <v/>
      </c>
      <c r="W486" s="26">
        <f>IF($A486="","",ROUND(SUMIFS(出库单!$S$4:$S$4003,出库单!$D$4:$D$4003,$A486,出库单!$K$4:$K$4003,"退货给供应商",出库单!$U$4:$U$4003,"正常",出库单!$C$4:$C$4003,"&gt;="&amp;账期起,出库单!$C$4:$C$4003,"&lt;="&amp;账期止),0))</f>
        <v/>
      </c>
      <c r="X486" s="27">
        <f>IF($A486="","",ROUND(N($G486)+$I486+$L486+$N486-$P486-$R486-$T486-$V486,3))</f>
        <v/>
      </c>
      <c r="Y486" s="26">
        <f>IF($A486="","",ROUND(N($H486)+$J486+$M486+$O486-$Q486-$S486-$U486-$W486,0))</f>
        <v/>
      </c>
      <c r="Z486" s="24">
        <f>IF($A486="","",IF(COUNTIFS(入库单!$G$4:$G$2503,$A486,入库单!$Y$4:$Y$2503,"待补价")+COUNTIFS(入库单!$G$4:$G$2503,$A486,入库单!$Y$4:$Y$2503,"暂估")&gt;0,"不可信","可信"))</f>
        <v/>
      </c>
      <c r="AA486" s="24">
        <f>IF($A486="","",IF($X486&lt;-0.001,"※账面负库存，查一下是不是漏记入库",IF(AND(ROUND($X486,3)=0,ABS($Y486)&gt;1),"※数量已经是 0，金额还挂着 "&amp;TEXT($Y486,"#,##0")&amp;" 先令",IF(AND($X486&gt;0,$Y486&lt;=0,$K486=0),"※有数量没金额（这个物料一直没填过进价）",IF($Z486="不可信","△成本含待补价/暂估，毛利仅供参考","")))))</f>
        <v/>
      </c>
    </row>
    <row r="487">
      <c r="A487" s="24">
        <f>IF(物料档案!$A486="","",物料档案!$A486)</f>
        <v/>
      </c>
      <c r="B487" s="24">
        <f>IF($A487="","",IFERROR(VLOOKUP($A487,物料档案!$A$4:$P$1203,3,0),""))</f>
        <v/>
      </c>
      <c r="C487" s="24">
        <f>IF($A487="","",IFERROR(VLOOKUP($A487,物料档案!$A$4:$P$1203,4,0),""))</f>
        <v/>
      </c>
      <c r="D487" s="24">
        <f>IF($A487="","",IFERROR(VLOOKUP($A487,物料档案!$A$4:$P$1203,5,0),""))</f>
        <v/>
      </c>
      <c r="E487" s="24">
        <f>IF($A487="","",IFERROR(VLOOKUP($A487,物料档案!$A$4:$P$1203,2,0),""))</f>
        <v/>
      </c>
      <c r="F487" s="24">
        <f>IF($A487="","",IFERROR(VLOOKUP($A487,物料档案!$A$4:$P$1203,6,0),""))</f>
        <v/>
      </c>
      <c r="G487" s="23" t="n"/>
      <c r="H487" s="32" t="n"/>
      <c r="I487" s="27">
        <f>IF($A487="","",SUMIFS(入库单!$K$4:$K$2503,入库单!$G$4:$G$2503,$A487,入库单!$X$4:$X$2503,"采购入库",入库单!$Z$4:$Z$2503,"正常",入库单!$C$4:$C$2503,"&gt;="&amp;账期起,入库单!$C$4:$C$2503,"&lt;="&amp;账期止))</f>
        <v/>
      </c>
      <c r="J487" s="26">
        <f>IF($A487="","",SUMIFS(入库单!$V$4:$V$2503,入库单!$G$4:$G$2503,$A487,入库单!$X$4:$X$2503,"采购入库",入库单!$Z$4:$Z$2503,"正常",入库单!$C$4:$C$2503,"&gt;="&amp;账期起,入库单!$C$4:$C$2503,"&lt;="&amp;账期止))</f>
        <v/>
      </c>
      <c r="K487" s="26">
        <f>IF($A487="","",IFERROR(ROUND((N($H487)+N($J487))/(N($G487)+N($I487)),2),0))</f>
        <v/>
      </c>
      <c r="L487" s="27">
        <f>IF($A487="","",SUMIFS(入库单!$K$4:$K$2503,入库单!$G$4:$G$2503,$A487,入库单!$X$4:$X$2503,"盘盈",入库单!$Z$4:$Z$2503,"正常",入库单!$C$4:$C$2503,"&gt;="&amp;账期起,入库单!$C$4:$C$2503,"&lt;="&amp;账期止))</f>
        <v/>
      </c>
      <c r="M487" s="26">
        <f>IF($A487="","",ROUND($L487*$K487,0))</f>
        <v/>
      </c>
      <c r="N487" s="27">
        <f>IF($A487="","",SUMIFS(入库单!$K$4:$K$2503,入库单!$G$4:$G$2503,$A487,入库单!$X$4:$X$2503,"矿区退库",入库单!$Z$4:$Z$2503,"正常",入库单!$C$4:$C$2503,"&gt;="&amp;账期起,入库单!$C$4:$C$2503,"&lt;="&amp;账期止))</f>
        <v/>
      </c>
      <c r="O487" s="26">
        <f>IF($A487="","",ROUND($N487*$K487,0))</f>
        <v/>
      </c>
      <c r="P487" s="27">
        <f>IF($A487="","",SUMIFS(出库单!$J$4:$J$4003,出库单!$D$4:$D$4003,$A487,出库单!$K$4:$K$4003,"自用消耗",出库单!$U$4:$U$4003,"正常",出库单!$C$4:$C$4003,"&gt;="&amp;账期起,出库单!$C$4:$C$4003,"&lt;="&amp;账期止))</f>
        <v/>
      </c>
      <c r="Q487" s="26">
        <f>IF($A487="","",ROUND(SUMIFS(出库单!$S$4:$S$4003,出库单!$D$4:$D$4003,$A487,出库单!$K$4:$K$4003,"自用消耗",出库单!$U$4:$U$4003,"正常",出库单!$C$4:$C$4003,"&gt;="&amp;账期起,出库单!$C$4:$C$4003,"&lt;="&amp;账期止),0))</f>
        <v/>
      </c>
      <c r="R487" s="27">
        <f>IF($A487="","",SUMIFS(出库单!$J$4:$J$4003,出库单!$D$4:$D$4003,$A487,出库单!$K$4:$K$4003,"对外销售",出库单!$U$4:$U$4003,"正常",出库单!$C$4:$C$4003,"&gt;="&amp;账期起,出库单!$C$4:$C$4003,"&lt;="&amp;账期止))</f>
        <v/>
      </c>
      <c r="S487" s="26">
        <f>IF($A487="","",ROUND(SUMIFS(出库单!$S$4:$S$4003,出库单!$D$4:$D$4003,$A487,出库单!$K$4:$K$4003,"对外销售",出库单!$U$4:$U$4003,"正常",出库单!$C$4:$C$4003,"&gt;="&amp;账期起,出库单!$C$4:$C$4003,"&lt;="&amp;账期止),0))</f>
        <v/>
      </c>
      <c r="T487" s="27">
        <f>IF($A487="","",SUMIFS(出库单!$J$4:$J$4003,出库单!$D$4:$D$4003,$A487,出库单!$K$4:$K$4003,"盘亏",出库单!$U$4:$U$4003,"正常",出库单!$C$4:$C$4003,"&gt;="&amp;账期起,出库单!$C$4:$C$4003,"&lt;="&amp;账期止))</f>
        <v/>
      </c>
      <c r="U487" s="26">
        <f>IF($A487="","",ROUND(SUMIFS(出库单!$S$4:$S$4003,出库单!$D$4:$D$4003,$A487,出库单!$K$4:$K$4003,"盘亏",出库单!$U$4:$U$4003,"正常",出库单!$C$4:$C$4003,"&gt;="&amp;账期起,出库单!$C$4:$C$4003,"&lt;="&amp;账期止),0))</f>
        <v/>
      </c>
      <c r="V487" s="27">
        <f>IF($A487="","",SUMIFS(出库单!$J$4:$J$4003,出库单!$D$4:$D$4003,$A487,出库单!$K$4:$K$4003,"退货给供应商",出库单!$U$4:$U$4003,"正常",出库单!$C$4:$C$4003,"&gt;="&amp;账期起,出库单!$C$4:$C$4003,"&lt;="&amp;账期止))</f>
        <v/>
      </c>
      <c r="W487" s="26">
        <f>IF($A487="","",ROUND(SUMIFS(出库单!$S$4:$S$4003,出库单!$D$4:$D$4003,$A487,出库单!$K$4:$K$4003,"退货给供应商",出库单!$U$4:$U$4003,"正常",出库单!$C$4:$C$4003,"&gt;="&amp;账期起,出库单!$C$4:$C$4003,"&lt;="&amp;账期止),0))</f>
        <v/>
      </c>
      <c r="X487" s="27">
        <f>IF($A487="","",ROUND(N($G487)+$I487+$L487+$N487-$P487-$R487-$T487-$V487,3))</f>
        <v/>
      </c>
      <c r="Y487" s="26">
        <f>IF($A487="","",ROUND(N($H487)+$J487+$M487+$O487-$Q487-$S487-$U487-$W487,0))</f>
        <v/>
      </c>
      <c r="Z487" s="24">
        <f>IF($A487="","",IF(COUNTIFS(入库单!$G$4:$G$2503,$A487,入库单!$Y$4:$Y$2503,"待补价")+COUNTIFS(入库单!$G$4:$G$2503,$A487,入库单!$Y$4:$Y$2503,"暂估")&gt;0,"不可信","可信"))</f>
        <v/>
      </c>
      <c r="AA487" s="24">
        <f>IF($A487="","",IF($X487&lt;-0.001,"※账面负库存，查一下是不是漏记入库",IF(AND(ROUND($X487,3)=0,ABS($Y487)&gt;1),"※数量已经是 0，金额还挂着 "&amp;TEXT($Y487,"#,##0")&amp;" 先令",IF(AND($X487&gt;0,$Y487&lt;=0,$K487=0),"※有数量没金额（这个物料一直没填过进价）",IF($Z487="不可信","△成本含待补价/暂估，毛利仅供参考","")))))</f>
        <v/>
      </c>
    </row>
    <row r="488">
      <c r="A488" s="24">
        <f>IF(物料档案!$A487="","",物料档案!$A487)</f>
        <v/>
      </c>
      <c r="B488" s="24">
        <f>IF($A488="","",IFERROR(VLOOKUP($A488,物料档案!$A$4:$P$1203,3,0),""))</f>
        <v/>
      </c>
      <c r="C488" s="24">
        <f>IF($A488="","",IFERROR(VLOOKUP($A488,物料档案!$A$4:$P$1203,4,0),""))</f>
        <v/>
      </c>
      <c r="D488" s="24">
        <f>IF($A488="","",IFERROR(VLOOKUP($A488,物料档案!$A$4:$P$1203,5,0),""))</f>
        <v/>
      </c>
      <c r="E488" s="24">
        <f>IF($A488="","",IFERROR(VLOOKUP($A488,物料档案!$A$4:$P$1203,2,0),""))</f>
        <v/>
      </c>
      <c r="F488" s="24">
        <f>IF($A488="","",IFERROR(VLOOKUP($A488,物料档案!$A$4:$P$1203,6,0),""))</f>
        <v/>
      </c>
      <c r="G488" s="23" t="n"/>
      <c r="H488" s="32" t="n"/>
      <c r="I488" s="27">
        <f>IF($A488="","",SUMIFS(入库单!$K$4:$K$2503,入库单!$G$4:$G$2503,$A488,入库单!$X$4:$X$2503,"采购入库",入库单!$Z$4:$Z$2503,"正常",入库单!$C$4:$C$2503,"&gt;="&amp;账期起,入库单!$C$4:$C$2503,"&lt;="&amp;账期止))</f>
        <v/>
      </c>
      <c r="J488" s="26">
        <f>IF($A488="","",SUMIFS(入库单!$V$4:$V$2503,入库单!$G$4:$G$2503,$A488,入库单!$X$4:$X$2503,"采购入库",入库单!$Z$4:$Z$2503,"正常",入库单!$C$4:$C$2503,"&gt;="&amp;账期起,入库单!$C$4:$C$2503,"&lt;="&amp;账期止))</f>
        <v/>
      </c>
      <c r="K488" s="26">
        <f>IF($A488="","",IFERROR(ROUND((N($H488)+N($J488))/(N($G488)+N($I488)),2),0))</f>
        <v/>
      </c>
      <c r="L488" s="27">
        <f>IF($A488="","",SUMIFS(入库单!$K$4:$K$2503,入库单!$G$4:$G$2503,$A488,入库单!$X$4:$X$2503,"盘盈",入库单!$Z$4:$Z$2503,"正常",入库单!$C$4:$C$2503,"&gt;="&amp;账期起,入库单!$C$4:$C$2503,"&lt;="&amp;账期止))</f>
        <v/>
      </c>
      <c r="M488" s="26">
        <f>IF($A488="","",ROUND($L488*$K488,0))</f>
        <v/>
      </c>
      <c r="N488" s="27">
        <f>IF($A488="","",SUMIFS(入库单!$K$4:$K$2503,入库单!$G$4:$G$2503,$A488,入库单!$X$4:$X$2503,"矿区退库",入库单!$Z$4:$Z$2503,"正常",入库单!$C$4:$C$2503,"&gt;="&amp;账期起,入库单!$C$4:$C$2503,"&lt;="&amp;账期止))</f>
        <v/>
      </c>
      <c r="O488" s="26">
        <f>IF($A488="","",ROUND($N488*$K488,0))</f>
        <v/>
      </c>
      <c r="P488" s="27">
        <f>IF($A488="","",SUMIFS(出库单!$J$4:$J$4003,出库单!$D$4:$D$4003,$A488,出库单!$K$4:$K$4003,"自用消耗",出库单!$U$4:$U$4003,"正常",出库单!$C$4:$C$4003,"&gt;="&amp;账期起,出库单!$C$4:$C$4003,"&lt;="&amp;账期止))</f>
        <v/>
      </c>
      <c r="Q488" s="26">
        <f>IF($A488="","",ROUND(SUMIFS(出库单!$S$4:$S$4003,出库单!$D$4:$D$4003,$A488,出库单!$K$4:$K$4003,"自用消耗",出库单!$U$4:$U$4003,"正常",出库单!$C$4:$C$4003,"&gt;="&amp;账期起,出库单!$C$4:$C$4003,"&lt;="&amp;账期止),0))</f>
        <v/>
      </c>
      <c r="R488" s="27">
        <f>IF($A488="","",SUMIFS(出库单!$J$4:$J$4003,出库单!$D$4:$D$4003,$A488,出库单!$K$4:$K$4003,"对外销售",出库单!$U$4:$U$4003,"正常",出库单!$C$4:$C$4003,"&gt;="&amp;账期起,出库单!$C$4:$C$4003,"&lt;="&amp;账期止))</f>
        <v/>
      </c>
      <c r="S488" s="26">
        <f>IF($A488="","",ROUND(SUMIFS(出库单!$S$4:$S$4003,出库单!$D$4:$D$4003,$A488,出库单!$K$4:$K$4003,"对外销售",出库单!$U$4:$U$4003,"正常",出库单!$C$4:$C$4003,"&gt;="&amp;账期起,出库单!$C$4:$C$4003,"&lt;="&amp;账期止),0))</f>
        <v/>
      </c>
      <c r="T488" s="27">
        <f>IF($A488="","",SUMIFS(出库单!$J$4:$J$4003,出库单!$D$4:$D$4003,$A488,出库单!$K$4:$K$4003,"盘亏",出库单!$U$4:$U$4003,"正常",出库单!$C$4:$C$4003,"&gt;="&amp;账期起,出库单!$C$4:$C$4003,"&lt;="&amp;账期止))</f>
        <v/>
      </c>
      <c r="U488" s="26">
        <f>IF($A488="","",ROUND(SUMIFS(出库单!$S$4:$S$4003,出库单!$D$4:$D$4003,$A488,出库单!$K$4:$K$4003,"盘亏",出库单!$U$4:$U$4003,"正常",出库单!$C$4:$C$4003,"&gt;="&amp;账期起,出库单!$C$4:$C$4003,"&lt;="&amp;账期止),0))</f>
        <v/>
      </c>
      <c r="V488" s="27">
        <f>IF($A488="","",SUMIFS(出库单!$J$4:$J$4003,出库单!$D$4:$D$4003,$A488,出库单!$K$4:$K$4003,"退货给供应商",出库单!$U$4:$U$4003,"正常",出库单!$C$4:$C$4003,"&gt;="&amp;账期起,出库单!$C$4:$C$4003,"&lt;="&amp;账期止))</f>
        <v/>
      </c>
      <c r="W488" s="26">
        <f>IF($A488="","",ROUND(SUMIFS(出库单!$S$4:$S$4003,出库单!$D$4:$D$4003,$A488,出库单!$K$4:$K$4003,"退货给供应商",出库单!$U$4:$U$4003,"正常",出库单!$C$4:$C$4003,"&gt;="&amp;账期起,出库单!$C$4:$C$4003,"&lt;="&amp;账期止),0))</f>
        <v/>
      </c>
      <c r="X488" s="27">
        <f>IF($A488="","",ROUND(N($G488)+$I488+$L488+$N488-$P488-$R488-$T488-$V488,3))</f>
        <v/>
      </c>
      <c r="Y488" s="26">
        <f>IF($A488="","",ROUND(N($H488)+$J488+$M488+$O488-$Q488-$S488-$U488-$W488,0))</f>
        <v/>
      </c>
      <c r="Z488" s="24">
        <f>IF($A488="","",IF(COUNTIFS(入库单!$G$4:$G$2503,$A488,入库单!$Y$4:$Y$2503,"待补价")+COUNTIFS(入库单!$G$4:$G$2503,$A488,入库单!$Y$4:$Y$2503,"暂估")&gt;0,"不可信","可信"))</f>
        <v/>
      </c>
      <c r="AA488" s="24">
        <f>IF($A488="","",IF($X488&lt;-0.001,"※账面负库存，查一下是不是漏记入库",IF(AND(ROUND($X488,3)=0,ABS($Y488)&gt;1),"※数量已经是 0，金额还挂着 "&amp;TEXT($Y488,"#,##0")&amp;" 先令",IF(AND($X488&gt;0,$Y488&lt;=0,$K488=0),"※有数量没金额（这个物料一直没填过进价）",IF($Z488="不可信","△成本含待补价/暂估，毛利仅供参考","")))))</f>
        <v/>
      </c>
    </row>
    <row r="489">
      <c r="A489" s="24">
        <f>IF(物料档案!$A488="","",物料档案!$A488)</f>
        <v/>
      </c>
      <c r="B489" s="24">
        <f>IF($A489="","",IFERROR(VLOOKUP($A489,物料档案!$A$4:$P$1203,3,0),""))</f>
        <v/>
      </c>
      <c r="C489" s="24">
        <f>IF($A489="","",IFERROR(VLOOKUP($A489,物料档案!$A$4:$P$1203,4,0),""))</f>
        <v/>
      </c>
      <c r="D489" s="24">
        <f>IF($A489="","",IFERROR(VLOOKUP($A489,物料档案!$A$4:$P$1203,5,0),""))</f>
        <v/>
      </c>
      <c r="E489" s="24">
        <f>IF($A489="","",IFERROR(VLOOKUP($A489,物料档案!$A$4:$P$1203,2,0),""))</f>
        <v/>
      </c>
      <c r="F489" s="24">
        <f>IF($A489="","",IFERROR(VLOOKUP($A489,物料档案!$A$4:$P$1203,6,0),""))</f>
        <v/>
      </c>
      <c r="G489" s="23" t="n"/>
      <c r="H489" s="32" t="n"/>
      <c r="I489" s="27">
        <f>IF($A489="","",SUMIFS(入库单!$K$4:$K$2503,入库单!$G$4:$G$2503,$A489,入库单!$X$4:$X$2503,"采购入库",入库单!$Z$4:$Z$2503,"正常",入库单!$C$4:$C$2503,"&gt;="&amp;账期起,入库单!$C$4:$C$2503,"&lt;="&amp;账期止))</f>
        <v/>
      </c>
      <c r="J489" s="26">
        <f>IF($A489="","",SUMIFS(入库单!$V$4:$V$2503,入库单!$G$4:$G$2503,$A489,入库单!$X$4:$X$2503,"采购入库",入库单!$Z$4:$Z$2503,"正常",入库单!$C$4:$C$2503,"&gt;="&amp;账期起,入库单!$C$4:$C$2503,"&lt;="&amp;账期止))</f>
        <v/>
      </c>
      <c r="K489" s="26">
        <f>IF($A489="","",IFERROR(ROUND((N($H489)+N($J489))/(N($G489)+N($I489)),2),0))</f>
        <v/>
      </c>
      <c r="L489" s="27">
        <f>IF($A489="","",SUMIFS(入库单!$K$4:$K$2503,入库单!$G$4:$G$2503,$A489,入库单!$X$4:$X$2503,"盘盈",入库单!$Z$4:$Z$2503,"正常",入库单!$C$4:$C$2503,"&gt;="&amp;账期起,入库单!$C$4:$C$2503,"&lt;="&amp;账期止))</f>
        <v/>
      </c>
      <c r="M489" s="26">
        <f>IF($A489="","",ROUND($L489*$K489,0))</f>
        <v/>
      </c>
      <c r="N489" s="27">
        <f>IF($A489="","",SUMIFS(入库单!$K$4:$K$2503,入库单!$G$4:$G$2503,$A489,入库单!$X$4:$X$2503,"矿区退库",入库单!$Z$4:$Z$2503,"正常",入库单!$C$4:$C$2503,"&gt;="&amp;账期起,入库单!$C$4:$C$2503,"&lt;="&amp;账期止))</f>
        <v/>
      </c>
      <c r="O489" s="26">
        <f>IF($A489="","",ROUND($N489*$K489,0))</f>
        <v/>
      </c>
      <c r="P489" s="27">
        <f>IF($A489="","",SUMIFS(出库单!$J$4:$J$4003,出库单!$D$4:$D$4003,$A489,出库单!$K$4:$K$4003,"自用消耗",出库单!$U$4:$U$4003,"正常",出库单!$C$4:$C$4003,"&gt;="&amp;账期起,出库单!$C$4:$C$4003,"&lt;="&amp;账期止))</f>
        <v/>
      </c>
      <c r="Q489" s="26">
        <f>IF($A489="","",ROUND(SUMIFS(出库单!$S$4:$S$4003,出库单!$D$4:$D$4003,$A489,出库单!$K$4:$K$4003,"自用消耗",出库单!$U$4:$U$4003,"正常",出库单!$C$4:$C$4003,"&gt;="&amp;账期起,出库单!$C$4:$C$4003,"&lt;="&amp;账期止),0))</f>
        <v/>
      </c>
      <c r="R489" s="27">
        <f>IF($A489="","",SUMIFS(出库单!$J$4:$J$4003,出库单!$D$4:$D$4003,$A489,出库单!$K$4:$K$4003,"对外销售",出库单!$U$4:$U$4003,"正常",出库单!$C$4:$C$4003,"&gt;="&amp;账期起,出库单!$C$4:$C$4003,"&lt;="&amp;账期止))</f>
        <v/>
      </c>
      <c r="S489" s="26">
        <f>IF($A489="","",ROUND(SUMIFS(出库单!$S$4:$S$4003,出库单!$D$4:$D$4003,$A489,出库单!$K$4:$K$4003,"对外销售",出库单!$U$4:$U$4003,"正常",出库单!$C$4:$C$4003,"&gt;="&amp;账期起,出库单!$C$4:$C$4003,"&lt;="&amp;账期止),0))</f>
        <v/>
      </c>
      <c r="T489" s="27">
        <f>IF($A489="","",SUMIFS(出库单!$J$4:$J$4003,出库单!$D$4:$D$4003,$A489,出库单!$K$4:$K$4003,"盘亏",出库单!$U$4:$U$4003,"正常",出库单!$C$4:$C$4003,"&gt;="&amp;账期起,出库单!$C$4:$C$4003,"&lt;="&amp;账期止))</f>
        <v/>
      </c>
      <c r="U489" s="26">
        <f>IF($A489="","",ROUND(SUMIFS(出库单!$S$4:$S$4003,出库单!$D$4:$D$4003,$A489,出库单!$K$4:$K$4003,"盘亏",出库单!$U$4:$U$4003,"正常",出库单!$C$4:$C$4003,"&gt;="&amp;账期起,出库单!$C$4:$C$4003,"&lt;="&amp;账期止),0))</f>
        <v/>
      </c>
      <c r="V489" s="27">
        <f>IF($A489="","",SUMIFS(出库单!$J$4:$J$4003,出库单!$D$4:$D$4003,$A489,出库单!$K$4:$K$4003,"退货给供应商",出库单!$U$4:$U$4003,"正常",出库单!$C$4:$C$4003,"&gt;="&amp;账期起,出库单!$C$4:$C$4003,"&lt;="&amp;账期止))</f>
        <v/>
      </c>
      <c r="W489" s="26">
        <f>IF($A489="","",ROUND(SUMIFS(出库单!$S$4:$S$4003,出库单!$D$4:$D$4003,$A489,出库单!$K$4:$K$4003,"退货给供应商",出库单!$U$4:$U$4003,"正常",出库单!$C$4:$C$4003,"&gt;="&amp;账期起,出库单!$C$4:$C$4003,"&lt;="&amp;账期止),0))</f>
        <v/>
      </c>
      <c r="X489" s="27">
        <f>IF($A489="","",ROUND(N($G489)+$I489+$L489+$N489-$P489-$R489-$T489-$V489,3))</f>
        <v/>
      </c>
      <c r="Y489" s="26">
        <f>IF($A489="","",ROUND(N($H489)+$J489+$M489+$O489-$Q489-$S489-$U489-$W489,0))</f>
        <v/>
      </c>
      <c r="Z489" s="24">
        <f>IF($A489="","",IF(COUNTIFS(入库单!$G$4:$G$2503,$A489,入库单!$Y$4:$Y$2503,"待补价")+COUNTIFS(入库单!$G$4:$G$2503,$A489,入库单!$Y$4:$Y$2503,"暂估")&gt;0,"不可信","可信"))</f>
        <v/>
      </c>
      <c r="AA489" s="24">
        <f>IF($A489="","",IF($X489&lt;-0.001,"※账面负库存，查一下是不是漏记入库",IF(AND(ROUND($X489,3)=0,ABS($Y489)&gt;1),"※数量已经是 0，金额还挂着 "&amp;TEXT($Y489,"#,##0")&amp;" 先令",IF(AND($X489&gt;0,$Y489&lt;=0,$K489=0),"※有数量没金额（这个物料一直没填过进价）",IF($Z489="不可信","△成本含待补价/暂估，毛利仅供参考","")))))</f>
        <v/>
      </c>
    </row>
    <row r="490">
      <c r="A490" s="24">
        <f>IF(物料档案!$A489="","",物料档案!$A489)</f>
        <v/>
      </c>
      <c r="B490" s="24">
        <f>IF($A490="","",IFERROR(VLOOKUP($A490,物料档案!$A$4:$P$1203,3,0),""))</f>
        <v/>
      </c>
      <c r="C490" s="24">
        <f>IF($A490="","",IFERROR(VLOOKUP($A490,物料档案!$A$4:$P$1203,4,0),""))</f>
        <v/>
      </c>
      <c r="D490" s="24">
        <f>IF($A490="","",IFERROR(VLOOKUP($A490,物料档案!$A$4:$P$1203,5,0),""))</f>
        <v/>
      </c>
      <c r="E490" s="24">
        <f>IF($A490="","",IFERROR(VLOOKUP($A490,物料档案!$A$4:$P$1203,2,0),""))</f>
        <v/>
      </c>
      <c r="F490" s="24">
        <f>IF($A490="","",IFERROR(VLOOKUP($A490,物料档案!$A$4:$P$1203,6,0),""))</f>
        <v/>
      </c>
      <c r="G490" s="23" t="n"/>
      <c r="H490" s="32" t="n"/>
      <c r="I490" s="27">
        <f>IF($A490="","",SUMIFS(入库单!$K$4:$K$2503,入库单!$G$4:$G$2503,$A490,入库单!$X$4:$X$2503,"采购入库",入库单!$Z$4:$Z$2503,"正常",入库单!$C$4:$C$2503,"&gt;="&amp;账期起,入库单!$C$4:$C$2503,"&lt;="&amp;账期止))</f>
        <v/>
      </c>
      <c r="J490" s="26">
        <f>IF($A490="","",SUMIFS(入库单!$V$4:$V$2503,入库单!$G$4:$G$2503,$A490,入库单!$X$4:$X$2503,"采购入库",入库单!$Z$4:$Z$2503,"正常",入库单!$C$4:$C$2503,"&gt;="&amp;账期起,入库单!$C$4:$C$2503,"&lt;="&amp;账期止))</f>
        <v/>
      </c>
      <c r="K490" s="26">
        <f>IF($A490="","",IFERROR(ROUND((N($H490)+N($J490))/(N($G490)+N($I490)),2),0))</f>
        <v/>
      </c>
      <c r="L490" s="27">
        <f>IF($A490="","",SUMIFS(入库单!$K$4:$K$2503,入库单!$G$4:$G$2503,$A490,入库单!$X$4:$X$2503,"盘盈",入库单!$Z$4:$Z$2503,"正常",入库单!$C$4:$C$2503,"&gt;="&amp;账期起,入库单!$C$4:$C$2503,"&lt;="&amp;账期止))</f>
        <v/>
      </c>
      <c r="M490" s="26">
        <f>IF($A490="","",ROUND($L490*$K490,0))</f>
        <v/>
      </c>
      <c r="N490" s="27">
        <f>IF($A490="","",SUMIFS(入库单!$K$4:$K$2503,入库单!$G$4:$G$2503,$A490,入库单!$X$4:$X$2503,"矿区退库",入库单!$Z$4:$Z$2503,"正常",入库单!$C$4:$C$2503,"&gt;="&amp;账期起,入库单!$C$4:$C$2503,"&lt;="&amp;账期止))</f>
        <v/>
      </c>
      <c r="O490" s="26">
        <f>IF($A490="","",ROUND($N490*$K490,0))</f>
        <v/>
      </c>
      <c r="P490" s="27">
        <f>IF($A490="","",SUMIFS(出库单!$J$4:$J$4003,出库单!$D$4:$D$4003,$A490,出库单!$K$4:$K$4003,"自用消耗",出库单!$U$4:$U$4003,"正常",出库单!$C$4:$C$4003,"&gt;="&amp;账期起,出库单!$C$4:$C$4003,"&lt;="&amp;账期止))</f>
        <v/>
      </c>
      <c r="Q490" s="26">
        <f>IF($A490="","",ROUND(SUMIFS(出库单!$S$4:$S$4003,出库单!$D$4:$D$4003,$A490,出库单!$K$4:$K$4003,"自用消耗",出库单!$U$4:$U$4003,"正常",出库单!$C$4:$C$4003,"&gt;="&amp;账期起,出库单!$C$4:$C$4003,"&lt;="&amp;账期止),0))</f>
        <v/>
      </c>
      <c r="R490" s="27">
        <f>IF($A490="","",SUMIFS(出库单!$J$4:$J$4003,出库单!$D$4:$D$4003,$A490,出库单!$K$4:$K$4003,"对外销售",出库单!$U$4:$U$4003,"正常",出库单!$C$4:$C$4003,"&gt;="&amp;账期起,出库单!$C$4:$C$4003,"&lt;="&amp;账期止))</f>
        <v/>
      </c>
      <c r="S490" s="26">
        <f>IF($A490="","",ROUND(SUMIFS(出库单!$S$4:$S$4003,出库单!$D$4:$D$4003,$A490,出库单!$K$4:$K$4003,"对外销售",出库单!$U$4:$U$4003,"正常",出库单!$C$4:$C$4003,"&gt;="&amp;账期起,出库单!$C$4:$C$4003,"&lt;="&amp;账期止),0))</f>
        <v/>
      </c>
      <c r="T490" s="27">
        <f>IF($A490="","",SUMIFS(出库单!$J$4:$J$4003,出库单!$D$4:$D$4003,$A490,出库单!$K$4:$K$4003,"盘亏",出库单!$U$4:$U$4003,"正常",出库单!$C$4:$C$4003,"&gt;="&amp;账期起,出库单!$C$4:$C$4003,"&lt;="&amp;账期止))</f>
        <v/>
      </c>
      <c r="U490" s="26">
        <f>IF($A490="","",ROUND(SUMIFS(出库单!$S$4:$S$4003,出库单!$D$4:$D$4003,$A490,出库单!$K$4:$K$4003,"盘亏",出库单!$U$4:$U$4003,"正常",出库单!$C$4:$C$4003,"&gt;="&amp;账期起,出库单!$C$4:$C$4003,"&lt;="&amp;账期止),0))</f>
        <v/>
      </c>
      <c r="V490" s="27">
        <f>IF($A490="","",SUMIFS(出库单!$J$4:$J$4003,出库单!$D$4:$D$4003,$A490,出库单!$K$4:$K$4003,"退货给供应商",出库单!$U$4:$U$4003,"正常",出库单!$C$4:$C$4003,"&gt;="&amp;账期起,出库单!$C$4:$C$4003,"&lt;="&amp;账期止))</f>
        <v/>
      </c>
      <c r="W490" s="26">
        <f>IF($A490="","",ROUND(SUMIFS(出库单!$S$4:$S$4003,出库单!$D$4:$D$4003,$A490,出库单!$K$4:$K$4003,"退货给供应商",出库单!$U$4:$U$4003,"正常",出库单!$C$4:$C$4003,"&gt;="&amp;账期起,出库单!$C$4:$C$4003,"&lt;="&amp;账期止),0))</f>
        <v/>
      </c>
      <c r="X490" s="27">
        <f>IF($A490="","",ROUND(N($G490)+$I490+$L490+$N490-$P490-$R490-$T490-$V490,3))</f>
        <v/>
      </c>
      <c r="Y490" s="26">
        <f>IF($A490="","",ROUND(N($H490)+$J490+$M490+$O490-$Q490-$S490-$U490-$W490,0))</f>
        <v/>
      </c>
      <c r="Z490" s="24">
        <f>IF($A490="","",IF(COUNTIFS(入库单!$G$4:$G$2503,$A490,入库单!$Y$4:$Y$2503,"待补价")+COUNTIFS(入库单!$G$4:$G$2503,$A490,入库单!$Y$4:$Y$2503,"暂估")&gt;0,"不可信","可信"))</f>
        <v/>
      </c>
      <c r="AA490" s="24">
        <f>IF($A490="","",IF($X490&lt;-0.001,"※账面负库存，查一下是不是漏记入库",IF(AND(ROUND($X490,3)=0,ABS($Y490)&gt;1),"※数量已经是 0，金额还挂着 "&amp;TEXT($Y490,"#,##0")&amp;" 先令",IF(AND($X490&gt;0,$Y490&lt;=0,$K490=0),"※有数量没金额（这个物料一直没填过进价）",IF($Z490="不可信","△成本含待补价/暂估，毛利仅供参考","")))))</f>
        <v/>
      </c>
    </row>
    <row r="491">
      <c r="A491" s="24">
        <f>IF(物料档案!$A490="","",物料档案!$A490)</f>
        <v/>
      </c>
      <c r="B491" s="24">
        <f>IF($A491="","",IFERROR(VLOOKUP($A491,物料档案!$A$4:$P$1203,3,0),""))</f>
        <v/>
      </c>
      <c r="C491" s="24">
        <f>IF($A491="","",IFERROR(VLOOKUP($A491,物料档案!$A$4:$P$1203,4,0),""))</f>
        <v/>
      </c>
      <c r="D491" s="24">
        <f>IF($A491="","",IFERROR(VLOOKUP($A491,物料档案!$A$4:$P$1203,5,0),""))</f>
        <v/>
      </c>
      <c r="E491" s="24">
        <f>IF($A491="","",IFERROR(VLOOKUP($A491,物料档案!$A$4:$P$1203,2,0),""))</f>
        <v/>
      </c>
      <c r="F491" s="24">
        <f>IF($A491="","",IFERROR(VLOOKUP($A491,物料档案!$A$4:$P$1203,6,0),""))</f>
        <v/>
      </c>
      <c r="G491" s="23" t="n"/>
      <c r="H491" s="32" t="n"/>
      <c r="I491" s="27">
        <f>IF($A491="","",SUMIFS(入库单!$K$4:$K$2503,入库单!$G$4:$G$2503,$A491,入库单!$X$4:$X$2503,"采购入库",入库单!$Z$4:$Z$2503,"正常",入库单!$C$4:$C$2503,"&gt;="&amp;账期起,入库单!$C$4:$C$2503,"&lt;="&amp;账期止))</f>
        <v/>
      </c>
      <c r="J491" s="26">
        <f>IF($A491="","",SUMIFS(入库单!$V$4:$V$2503,入库单!$G$4:$G$2503,$A491,入库单!$X$4:$X$2503,"采购入库",入库单!$Z$4:$Z$2503,"正常",入库单!$C$4:$C$2503,"&gt;="&amp;账期起,入库单!$C$4:$C$2503,"&lt;="&amp;账期止))</f>
        <v/>
      </c>
      <c r="K491" s="26">
        <f>IF($A491="","",IFERROR(ROUND((N($H491)+N($J491))/(N($G491)+N($I491)),2),0))</f>
        <v/>
      </c>
      <c r="L491" s="27">
        <f>IF($A491="","",SUMIFS(入库单!$K$4:$K$2503,入库单!$G$4:$G$2503,$A491,入库单!$X$4:$X$2503,"盘盈",入库单!$Z$4:$Z$2503,"正常",入库单!$C$4:$C$2503,"&gt;="&amp;账期起,入库单!$C$4:$C$2503,"&lt;="&amp;账期止))</f>
        <v/>
      </c>
      <c r="M491" s="26">
        <f>IF($A491="","",ROUND($L491*$K491,0))</f>
        <v/>
      </c>
      <c r="N491" s="27">
        <f>IF($A491="","",SUMIFS(入库单!$K$4:$K$2503,入库单!$G$4:$G$2503,$A491,入库单!$X$4:$X$2503,"矿区退库",入库单!$Z$4:$Z$2503,"正常",入库单!$C$4:$C$2503,"&gt;="&amp;账期起,入库单!$C$4:$C$2503,"&lt;="&amp;账期止))</f>
        <v/>
      </c>
      <c r="O491" s="26">
        <f>IF($A491="","",ROUND($N491*$K491,0))</f>
        <v/>
      </c>
      <c r="P491" s="27">
        <f>IF($A491="","",SUMIFS(出库单!$J$4:$J$4003,出库单!$D$4:$D$4003,$A491,出库单!$K$4:$K$4003,"自用消耗",出库单!$U$4:$U$4003,"正常",出库单!$C$4:$C$4003,"&gt;="&amp;账期起,出库单!$C$4:$C$4003,"&lt;="&amp;账期止))</f>
        <v/>
      </c>
      <c r="Q491" s="26">
        <f>IF($A491="","",ROUND(SUMIFS(出库单!$S$4:$S$4003,出库单!$D$4:$D$4003,$A491,出库单!$K$4:$K$4003,"自用消耗",出库单!$U$4:$U$4003,"正常",出库单!$C$4:$C$4003,"&gt;="&amp;账期起,出库单!$C$4:$C$4003,"&lt;="&amp;账期止),0))</f>
        <v/>
      </c>
      <c r="R491" s="27">
        <f>IF($A491="","",SUMIFS(出库单!$J$4:$J$4003,出库单!$D$4:$D$4003,$A491,出库单!$K$4:$K$4003,"对外销售",出库单!$U$4:$U$4003,"正常",出库单!$C$4:$C$4003,"&gt;="&amp;账期起,出库单!$C$4:$C$4003,"&lt;="&amp;账期止))</f>
        <v/>
      </c>
      <c r="S491" s="26">
        <f>IF($A491="","",ROUND(SUMIFS(出库单!$S$4:$S$4003,出库单!$D$4:$D$4003,$A491,出库单!$K$4:$K$4003,"对外销售",出库单!$U$4:$U$4003,"正常",出库单!$C$4:$C$4003,"&gt;="&amp;账期起,出库单!$C$4:$C$4003,"&lt;="&amp;账期止),0))</f>
        <v/>
      </c>
      <c r="T491" s="27">
        <f>IF($A491="","",SUMIFS(出库单!$J$4:$J$4003,出库单!$D$4:$D$4003,$A491,出库单!$K$4:$K$4003,"盘亏",出库单!$U$4:$U$4003,"正常",出库单!$C$4:$C$4003,"&gt;="&amp;账期起,出库单!$C$4:$C$4003,"&lt;="&amp;账期止))</f>
        <v/>
      </c>
      <c r="U491" s="26">
        <f>IF($A491="","",ROUND(SUMIFS(出库单!$S$4:$S$4003,出库单!$D$4:$D$4003,$A491,出库单!$K$4:$K$4003,"盘亏",出库单!$U$4:$U$4003,"正常",出库单!$C$4:$C$4003,"&gt;="&amp;账期起,出库单!$C$4:$C$4003,"&lt;="&amp;账期止),0))</f>
        <v/>
      </c>
      <c r="V491" s="27">
        <f>IF($A491="","",SUMIFS(出库单!$J$4:$J$4003,出库单!$D$4:$D$4003,$A491,出库单!$K$4:$K$4003,"退货给供应商",出库单!$U$4:$U$4003,"正常",出库单!$C$4:$C$4003,"&gt;="&amp;账期起,出库单!$C$4:$C$4003,"&lt;="&amp;账期止))</f>
        <v/>
      </c>
      <c r="W491" s="26">
        <f>IF($A491="","",ROUND(SUMIFS(出库单!$S$4:$S$4003,出库单!$D$4:$D$4003,$A491,出库单!$K$4:$K$4003,"退货给供应商",出库单!$U$4:$U$4003,"正常",出库单!$C$4:$C$4003,"&gt;="&amp;账期起,出库单!$C$4:$C$4003,"&lt;="&amp;账期止),0))</f>
        <v/>
      </c>
      <c r="X491" s="27">
        <f>IF($A491="","",ROUND(N($G491)+$I491+$L491+$N491-$P491-$R491-$T491-$V491,3))</f>
        <v/>
      </c>
      <c r="Y491" s="26">
        <f>IF($A491="","",ROUND(N($H491)+$J491+$M491+$O491-$Q491-$S491-$U491-$W491,0))</f>
        <v/>
      </c>
      <c r="Z491" s="24">
        <f>IF($A491="","",IF(COUNTIFS(入库单!$G$4:$G$2503,$A491,入库单!$Y$4:$Y$2503,"待补价")+COUNTIFS(入库单!$G$4:$G$2503,$A491,入库单!$Y$4:$Y$2503,"暂估")&gt;0,"不可信","可信"))</f>
        <v/>
      </c>
      <c r="AA491" s="24">
        <f>IF($A491="","",IF($X491&lt;-0.001,"※账面负库存，查一下是不是漏记入库",IF(AND(ROUND($X491,3)=0,ABS($Y491)&gt;1),"※数量已经是 0，金额还挂着 "&amp;TEXT($Y491,"#,##0")&amp;" 先令",IF(AND($X491&gt;0,$Y491&lt;=0,$K491=0),"※有数量没金额（这个物料一直没填过进价）",IF($Z491="不可信","△成本含待补价/暂估，毛利仅供参考","")))))</f>
        <v/>
      </c>
    </row>
    <row r="492">
      <c r="A492" s="24">
        <f>IF(物料档案!$A491="","",物料档案!$A491)</f>
        <v/>
      </c>
      <c r="B492" s="24">
        <f>IF($A492="","",IFERROR(VLOOKUP($A492,物料档案!$A$4:$P$1203,3,0),""))</f>
        <v/>
      </c>
      <c r="C492" s="24">
        <f>IF($A492="","",IFERROR(VLOOKUP($A492,物料档案!$A$4:$P$1203,4,0),""))</f>
        <v/>
      </c>
      <c r="D492" s="24">
        <f>IF($A492="","",IFERROR(VLOOKUP($A492,物料档案!$A$4:$P$1203,5,0),""))</f>
        <v/>
      </c>
      <c r="E492" s="24">
        <f>IF($A492="","",IFERROR(VLOOKUP($A492,物料档案!$A$4:$P$1203,2,0),""))</f>
        <v/>
      </c>
      <c r="F492" s="24">
        <f>IF($A492="","",IFERROR(VLOOKUP($A492,物料档案!$A$4:$P$1203,6,0),""))</f>
        <v/>
      </c>
      <c r="G492" s="23" t="n"/>
      <c r="H492" s="32" t="n"/>
      <c r="I492" s="27">
        <f>IF($A492="","",SUMIFS(入库单!$K$4:$K$2503,入库单!$G$4:$G$2503,$A492,入库单!$X$4:$X$2503,"采购入库",入库单!$Z$4:$Z$2503,"正常",入库单!$C$4:$C$2503,"&gt;="&amp;账期起,入库单!$C$4:$C$2503,"&lt;="&amp;账期止))</f>
        <v/>
      </c>
      <c r="J492" s="26">
        <f>IF($A492="","",SUMIFS(入库单!$V$4:$V$2503,入库单!$G$4:$G$2503,$A492,入库单!$X$4:$X$2503,"采购入库",入库单!$Z$4:$Z$2503,"正常",入库单!$C$4:$C$2503,"&gt;="&amp;账期起,入库单!$C$4:$C$2503,"&lt;="&amp;账期止))</f>
        <v/>
      </c>
      <c r="K492" s="26">
        <f>IF($A492="","",IFERROR(ROUND((N($H492)+N($J492))/(N($G492)+N($I492)),2),0))</f>
        <v/>
      </c>
      <c r="L492" s="27">
        <f>IF($A492="","",SUMIFS(入库单!$K$4:$K$2503,入库单!$G$4:$G$2503,$A492,入库单!$X$4:$X$2503,"盘盈",入库单!$Z$4:$Z$2503,"正常",入库单!$C$4:$C$2503,"&gt;="&amp;账期起,入库单!$C$4:$C$2503,"&lt;="&amp;账期止))</f>
        <v/>
      </c>
      <c r="M492" s="26">
        <f>IF($A492="","",ROUND($L492*$K492,0))</f>
        <v/>
      </c>
      <c r="N492" s="27">
        <f>IF($A492="","",SUMIFS(入库单!$K$4:$K$2503,入库单!$G$4:$G$2503,$A492,入库单!$X$4:$X$2503,"矿区退库",入库单!$Z$4:$Z$2503,"正常",入库单!$C$4:$C$2503,"&gt;="&amp;账期起,入库单!$C$4:$C$2503,"&lt;="&amp;账期止))</f>
        <v/>
      </c>
      <c r="O492" s="26">
        <f>IF($A492="","",ROUND($N492*$K492,0))</f>
        <v/>
      </c>
      <c r="P492" s="27">
        <f>IF($A492="","",SUMIFS(出库单!$J$4:$J$4003,出库单!$D$4:$D$4003,$A492,出库单!$K$4:$K$4003,"自用消耗",出库单!$U$4:$U$4003,"正常",出库单!$C$4:$C$4003,"&gt;="&amp;账期起,出库单!$C$4:$C$4003,"&lt;="&amp;账期止))</f>
        <v/>
      </c>
      <c r="Q492" s="26">
        <f>IF($A492="","",ROUND(SUMIFS(出库单!$S$4:$S$4003,出库单!$D$4:$D$4003,$A492,出库单!$K$4:$K$4003,"自用消耗",出库单!$U$4:$U$4003,"正常",出库单!$C$4:$C$4003,"&gt;="&amp;账期起,出库单!$C$4:$C$4003,"&lt;="&amp;账期止),0))</f>
        <v/>
      </c>
      <c r="R492" s="27">
        <f>IF($A492="","",SUMIFS(出库单!$J$4:$J$4003,出库单!$D$4:$D$4003,$A492,出库单!$K$4:$K$4003,"对外销售",出库单!$U$4:$U$4003,"正常",出库单!$C$4:$C$4003,"&gt;="&amp;账期起,出库单!$C$4:$C$4003,"&lt;="&amp;账期止))</f>
        <v/>
      </c>
      <c r="S492" s="26">
        <f>IF($A492="","",ROUND(SUMIFS(出库单!$S$4:$S$4003,出库单!$D$4:$D$4003,$A492,出库单!$K$4:$K$4003,"对外销售",出库单!$U$4:$U$4003,"正常",出库单!$C$4:$C$4003,"&gt;="&amp;账期起,出库单!$C$4:$C$4003,"&lt;="&amp;账期止),0))</f>
        <v/>
      </c>
      <c r="T492" s="27">
        <f>IF($A492="","",SUMIFS(出库单!$J$4:$J$4003,出库单!$D$4:$D$4003,$A492,出库单!$K$4:$K$4003,"盘亏",出库单!$U$4:$U$4003,"正常",出库单!$C$4:$C$4003,"&gt;="&amp;账期起,出库单!$C$4:$C$4003,"&lt;="&amp;账期止))</f>
        <v/>
      </c>
      <c r="U492" s="26">
        <f>IF($A492="","",ROUND(SUMIFS(出库单!$S$4:$S$4003,出库单!$D$4:$D$4003,$A492,出库单!$K$4:$K$4003,"盘亏",出库单!$U$4:$U$4003,"正常",出库单!$C$4:$C$4003,"&gt;="&amp;账期起,出库单!$C$4:$C$4003,"&lt;="&amp;账期止),0))</f>
        <v/>
      </c>
      <c r="V492" s="27">
        <f>IF($A492="","",SUMIFS(出库单!$J$4:$J$4003,出库单!$D$4:$D$4003,$A492,出库单!$K$4:$K$4003,"退货给供应商",出库单!$U$4:$U$4003,"正常",出库单!$C$4:$C$4003,"&gt;="&amp;账期起,出库单!$C$4:$C$4003,"&lt;="&amp;账期止))</f>
        <v/>
      </c>
      <c r="W492" s="26">
        <f>IF($A492="","",ROUND(SUMIFS(出库单!$S$4:$S$4003,出库单!$D$4:$D$4003,$A492,出库单!$K$4:$K$4003,"退货给供应商",出库单!$U$4:$U$4003,"正常",出库单!$C$4:$C$4003,"&gt;="&amp;账期起,出库单!$C$4:$C$4003,"&lt;="&amp;账期止),0))</f>
        <v/>
      </c>
      <c r="X492" s="27">
        <f>IF($A492="","",ROUND(N($G492)+$I492+$L492+$N492-$P492-$R492-$T492-$V492,3))</f>
        <v/>
      </c>
      <c r="Y492" s="26">
        <f>IF($A492="","",ROUND(N($H492)+$J492+$M492+$O492-$Q492-$S492-$U492-$W492,0))</f>
        <v/>
      </c>
      <c r="Z492" s="24">
        <f>IF($A492="","",IF(COUNTIFS(入库单!$G$4:$G$2503,$A492,入库单!$Y$4:$Y$2503,"待补价")+COUNTIFS(入库单!$G$4:$G$2503,$A492,入库单!$Y$4:$Y$2503,"暂估")&gt;0,"不可信","可信"))</f>
        <v/>
      </c>
      <c r="AA492" s="24">
        <f>IF($A492="","",IF($X492&lt;-0.001,"※账面负库存，查一下是不是漏记入库",IF(AND(ROUND($X492,3)=0,ABS($Y492)&gt;1),"※数量已经是 0，金额还挂着 "&amp;TEXT($Y492,"#,##0")&amp;" 先令",IF(AND($X492&gt;0,$Y492&lt;=0,$K492=0),"※有数量没金额（这个物料一直没填过进价）",IF($Z492="不可信","△成本含待补价/暂估，毛利仅供参考","")))))</f>
        <v/>
      </c>
    </row>
    <row r="493">
      <c r="A493" s="24">
        <f>IF(物料档案!$A492="","",物料档案!$A492)</f>
        <v/>
      </c>
      <c r="B493" s="24">
        <f>IF($A493="","",IFERROR(VLOOKUP($A493,物料档案!$A$4:$P$1203,3,0),""))</f>
        <v/>
      </c>
      <c r="C493" s="24">
        <f>IF($A493="","",IFERROR(VLOOKUP($A493,物料档案!$A$4:$P$1203,4,0),""))</f>
        <v/>
      </c>
      <c r="D493" s="24">
        <f>IF($A493="","",IFERROR(VLOOKUP($A493,物料档案!$A$4:$P$1203,5,0),""))</f>
        <v/>
      </c>
      <c r="E493" s="24">
        <f>IF($A493="","",IFERROR(VLOOKUP($A493,物料档案!$A$4:$P$1203,2,0),""))</f>
        <v/>
      </c>
      <c r="F493" s="24">
        <f>IF($A493="","",IFERROR(VLOOKUP($A493,物料档案!$A$4:$P$1203,6,0),""))</f>
        <v/>
      </c>
      <c r="G493" s="23" t="n"/>
      <c r="H493" s="32" t="n"/>
      <c r="I493" s="27">
        <f>IF($A493="","",SUMIFS(入库单!$K$4:$K$2503,入库单!$G$4:$G$2503,$A493,入库单!$X$4:$X$2503,"采购入库",入库单!$Z$4:$Z$2503,"正常",入库单!$C$4:$C$2503,"&gt;="&amp;账期起,入库单!$C$4:$C$2503,"&lt;="&amp;账期止))</f>
        <v/>
      </c>
      <c r="J493" s="26">
        <f>IF($A493="","",SUMIFS(入库单!$V$4:$V$2503,入库单!$G$4:$G$2503,$A493,入库单!$X$4:$X$2503,"采购入库",入库单!$Z$4:$Z$2503,"正常",入库单!$C$4:$C$2503,"&gt;="&amp;账期起,入库单!$C$4:$C$2503,"&lt;="&amp;账期止))</f>
        <v/>
      </c>
      <c r="K493" s="26">
        <f>IF($A493="","",IFERROR(ROUND((N($H493)+N($J493))/(N($G493)+N($I493)),2),0))</f>
        <v/>
      </c>
      <c r="L493" s="27">
        <f>IF($A493="","",SUMIFS(入库单!$K$4:$K$2503,入库单!$G$4:$G$2503,$A493,入库单!$X$4:$X$2503,"盘盈",入库单!$Z$4:$Z$2503,"正常",入库单!$C$4:$C$2503,"&gt;="&amp;账期起,入库单!$C$4:$C$2503,"&lt;="&amp;账期止))</f>
        <v/>
      </c>
      <c r="M493" s="26">
        <f>IF($A493="","",ROUND($L493*$K493,0))</f>
        <v/>
      </c>
      <c r="N493" s="27">
        <f>IF($A493="","",SUMIFS(入库单!$K$4:$K$2503,入库单!$G$4:$G$2503,$A493,入库单!$X$4:$X$2503,"矿区退库",入库单!$Z$4:$Z$2503,"正常",入库单!$C$4:$C$2503,"&gt;="&amp;账期起,入库单!$C$4:$C$2503,"&lt;="&amp;账期止))</f>
        <v/>
      </c>
      <c r="O493" s="26">
        <f>IF($A493="","",ROUND($N493*$K493,0))</f>
        <v/>
      </c>
      <c r="P493" s="27">
        <f>IF($A493="","",SUMIFS(出库单!$J$4:$J$4003,出库单!$D$4:$D$4003,$A493,出库单!$K$4:$K$4003,"自用消耗",出库单!$U$4:$U$4003,"正常",出库单!$C$4:$C$4003,"&gt;="&amp;账期起,出库单!$C$4:$C$4003,"&lt;="&amp;账期止))</f>
        <v/>
      </c>
      <c r="Q493" s="26">
        <f>IF($A493="","",ROUND(SUMIFS(出库单!$S$4:$S$4003,出库单!$D$4:$D$4003,$A493,出库单!$K$4:$K$4003,"自用消耗",出库单!$U$4:$U$4003,"正常",出库单!$C$4:$C$4003,"&gt;="&amp;账期起,出库单!$C$4:$C$4003,"&lt;="&amp;账期止),0))</f>
        <v/>
      </c>
      <c r="R493" s="27">
        <f>IF($A493="","",SUMIFS(出库单!$J$4:$J$4003,出库单!$D$4:$D$4003,$A493,出库单!$K$4:$K$4003,"对外销售",出库单!$U$4:$U$4003,"正常",出库单!$C$4:$C$4003,"&gt;="&amp;账期起,出库单!$C$4:$C$4003,"&lt;="&amp;账期止))</f>
        <v/>
      </c>
      <c r="S493" s="26">
        <f>IF($A493="","",ROUND(SUMIFS(出库单!$S$4:$S$4003,出库单!$D$4:$D$4003,$A493,出库单!$K$4:$K$4003,"对外销售",出库单!$U$4:$U$4003,"正常",出库单!$C$4:$C$4003,"&gt;="&amp;账期起,出库单!$C$4:$C$4003,"&lt;="&amp;账期止),0))</f>
        <v/>
      </c>
      <c r="T493" s="27">
        <f>IF($A493="","",SUMIFS(出库单!$J$4:$J$4003,出库单!$D$4:$D$4003,$A493,出库单!$K$4:$K$4003,"盘亏",出库单!$U$4:$U$4003,"正常",出库单!$C$4:$C$4003,"&gt;="&amp;账期起,出库单!$C$4:$C$4003,"&lt;="&amp;账期止))</f>
        <v/>
      </c>
      <c r="U493" s="26">
        <f>IF($A493="","",ROUND(SUMIFS(出库单!$S$4:$S$4003,出库单!$D$4:$D$4003,$A493,出库单!$K$4:$K$4003,"盘亏",出库单!$U$4:$U$4003,"正常",出库单!$C$4:$C$4003,"&gt;="&amp;账期起,出库单!$C$4:$C$4003,"&lt;="&amp;账期止),0))</f>
        <v/>
      </c>
      <c r="V493" s="27">
        <f>IF($A493="","",SUMIFS(出库单!$J$4:$J$4003,出库单!$D$4:$D$4003,$A493,出库单!$K$4:$K$4003,"退货给供应商",出库单!$U$4:$U$4003,"正常",出库单!$C$4:$C$4003,"&gt;="&amp;账期起,出库单!$C$4:$C$4003,"&lt;="&amp;账期止))</f>
        <v/>
      </c>
      <c r="W493" s="26">
        <f>IF($A493="","",ROUND(SUMIFS(出库单!$S$4:$S$4003,出库单!$D$4:$D$4003,$A493,出库单!$K$4:$K$4003,"退货给供应商",出库单!$U$4:$U$4003,"正常",出库单!$C$4:$C$4003,"&gt;="&amp;账期起,出库单!$C$4:$C$4003,"&lt;="&amp;账期止),0))</f>
        <v/>
      </c>
      <c r="X493" s="27">
        <f>IF($A493="","",ROUND(N($G493)+$I493+$L493+$N493-$P493-$R493-$T493-$V493,3))</f>
        <v/>
      </c>
      <c r="Y493" s="26">
        <f>IF($A493="","",ROUND(N($H493)+$J493+$M493+$O493-$Q493-$S493-$U493-$W493,0))</f>
        <v/>
      </c>
      <c r="Z493" s="24">
        <f>IF($A493="","",IF(COUNTIFS(入库单!$G$4:$G$2503,$A493,入库单!$Y$4:$Y$2503,"待补价")+COUNTIFS(入库单!$G$4:$G$2503,$A493,入库单!$Y$4:$Y$2503,"暂估")&gt;0,"不可信","可信"))</f>
        <v/>
      </c>
      <c r="AA493" s="24">
        <f>IF($A493="","",IF($X493&lt;-0.001,"※账面负库存，查一下是不是漏记入库",IF(AND(ROUND($X493,3)=0,ABS($Y493)&gt;1),"※数量已经是 0，金额还挂着 "&amp;TEXT($Y493,"#,##0")&amp;" 先令",IF(AND($X493&gt;0,$Y493&lt;=0,$K493=0),"※有数量没金额（这个物料一直没填过进价）",IF($Z493="不可信","△成本含待补价/暂估，毛利仅供参考","")))))</f>
        <v/>
      </c>
    </row>
    <row r="494">
      <c r="A494" s="24">
        <f>IF(物料档案!$A493="","",物料档案!$A493)</f>
        <v/>
      </c>
      <c r="B494" s="24">
        <f>IF($A494="","",IFERROR(VLOOKUP($A494,物料档案!$A$4:$P$1203,3,0),""))</f>
        <v/>
      </c>
      <c r="C494" s="24">
        <f>IF($A494="","",IFERROR(VLOOKUP($A494,物料档案!$A$4:$P$1203,4,0),""))</f>
        <v/>
      </c>
      <c r="D494" s="24">
        <f>IF($A494="","",IFERROR(VLOOKUP($A494,物料档案!$A$4:$P$1203,5,0),""))</f>
        <v/>
      </c>
      <c r="E494" s="24">
        <f>IF($A494="","",IFERROR(VLOOKUP($A494,物料档案!$A$4:$P$1203,2,0),""))</f>
        <v/>
      </c>
      <c r="F494" s="24">
        <f>IF($A494="","",IFERROR(VLOOKUP($A494,物料档案!$A$4:$P$1203,6,0),""))</f>
        <v/>
      </c>
      <c r="G494" s="23" t="n"/>
      <c r="H494" s="32" t="n"/>
      <c r="I494" s="27">
        <f>IF($A494="","",SUMIFS(入库单!$K$4:$K$2503,入库单!$G$4:$G$2503,$A494,入库单!$X$4:$X$2503,"采购入库",入库单!$Z$4:$Z$2503,"正常",入库单!$C$4:$C$2503,"&gt;="&amp;账期起,入库单!$C$4:$C$2503,"&lt;="&amp;账期止))</f>
        <v/>
      </c>
      <c r="J494" s="26">
        <f>IF($A494="","",SUMIFS(入库单!$V$4:$V$2503,入库单!$G$4:$G$2503,$A494,入库单!$X$4:$X$2503,"采购入库",入库单!$Z$4:$Z$2503,"正常",入库单!$C$4:$C$2503,"&gt;="&amp;账期起,入库单!$C$4:$C$2503,"&lt;="&amp;账期止))</f>
        <v/>
      </c>
      <c r="K494" s="26">
        <f>IF($A494="","",IFERROR(ROUND((N($H494)+N($J494))/(N($G494)+N($I494)),2),0))</f>
        <v/>
      </c>
      <c r="L494" s="27">
        <f>IF($A494="","",SUMIFS(入库单!$K$4:$K$2503,入库单!$G$4:$G$2503,$A494,入库单!$X$4:$X$2503,"盘盈",入库单!$Z$4:$Z$2503,"正常",入库单!$C$4:$C$2503,"&gt;="&amp;账期起,入库单!$C$4:$C$2503,"&lt;="&amp;账期止))</f>
        <v/>
      </c>
      <c r="M494" s="26">
        <f>IF($A494="","",ROUND($L494*$K494,0))</f>
        <v/>
      </c>
      <c r="N494" s="27">
        <f>IF($A494="","",SUMIFS(入库单!$K$4:$K$2503,入库单!$G$4:$G$2503,$A494,入库单!$X$4:$X$2503,"矿区退库",入库单!$Z$4:$Z$2503,"正常",入库单!$C$4:$C$2503,"&gt;="&amp;账期起,入库单!$C$4:$C$2503,"&lt;="&amp;账期止))</f>
        <v/>
      </c>
      <c r="O494" s="26">
        <f>IF($A494="","",ROUND($N494*$K494,0))</f>
        <v/>
      </c>
      <c r="P494" s="27">
        <f>IF($A494="","",SUMIFS(出库单!$J$4:$J$4003,出库单!$D$4:$D$4003,$A494,出库单!$K$4:$K$4003,"自用消耗",出库单!$U$4:$U$4003,"正常",出库单!$C$4:$C$4003,"&gt;="&amp;账期起,出库单!$C$4:$C$4003,"&lt;="&amp;账期止))</f>
        <v/>
      </c>
      <c r="Q494" s="26">
        <f>IF($A494="","",ROUND(SUMIFS(出库单!$S$4:$S$4003,出库单!$D$4:$D$4003,$A494,出库单!$K$4:$K$4003,"自用消耗",出库单!$U$4:$U$4003,"正常",出库单!$C$4:$C$4003,"&gt;="&amp;账期起,出库单!$C$4:$C$4003,"&lt;="&amp;账期止),0))</f>
        <v/>
      </c>
      <c r="R494" s="27">
        <f>IF($A494="","",SUMIFS(出库单!$J$4:$J$4003,出库单!$D$4:$D$4003,$A494,出库单!$K$4:$K$4003,"对外销售",出库单!$U$4:$U$4003,"正常",出库单!$C$4:$C$4003,"&gt;="&amp;账期起,出库单!$C$4:$C$4003,"&lt;="&amp;账期止))</f>
        <v/>
      </c>
      <c r="S494" s="26">
        <f>IF($A494="","",ROUND(SUMIFS(出库单!$S$4:$S$4003,出库单!$D$4:$D$4003,$A494,出库单!$K$4:$K$4003,"对外销售",出库单!$U$4:$U$4003,"正常",出库单!$C$4:$C$4003,"&gt;="&amp;账期起,出库单!$C$4:$C$4003,"&lt;="&amp;账期止),0))</f>
        <v/>
      </c>
      <c r="T494" s="27">
        <f>IF($A494="","",SUMIFS(出库单!$J$4:$J$4003,出库单!$D$4:$D$4003,$A494,出库单!$K$4:$K$4003,"盘亏",出库单!$U$4:$U$4003,"正常",出库单!$C$4:$C$4003,"&gt;="&amp;账期起,出库单!$C$4:$C$4003,"&lt;="&amp;账期止))</f>
        <v/>
      </c>
      <c r="U494" s="26">
        <f>IF($A494="","",ROUND(SUMIFS(出库单!$S$4:$S$4003,出库单!$D$4:$D$4003,$A494,出库单!$K$4:$K$4003,"盘亏",出库单!$U$4:$U$4003,"正常",出库单!$C$4:$C$4003,"&gt;="&amp;账期起,出库单!$C$4:$C$4003,"&lt;="&amp;账期止),0))</f>
        <v/>
      </c>
      <c r="V494" s="27">
        <f>IF($A494="","",SUMIFS(出库单!$J$4:$J$4003,出库单!$D$4:$D$4003,$A494,出库单!$K$4:$K$4003,"退货给供应商",出库单!$U$4:$U$4003,"正常",出库单!$C$4:$C$4003,"&gt;="&amp;账期起,出库单!$C$4:$C$4003,"&lt;="&amp;账期止))</f>
        <v/>
      </c>
      <c r="W494" s="26">
        <f>IF($A494="","",ROUND(SUMIFS(出库单!$S$4:$S$4003,出库单!$D$4:$D$4003,$A494,出库单!$K$4:$K$4003,"退货给供应商",出库单!$U$4:$U$4003,"正常",出库单!$C$4:$C$4003,"&gt;="&amp;账期起,出库单!$C$4:$C$4003,"&lt;="&amp;账期止),0))</f>
        <v/>
      </c>
      <c r="X494" s="27">
        <f>IF($A494="","",ROUND(N($G494)+$I494+$L494+$N494-$P494-$R494-$T494-$V494,3))</f>
        <v/>
      </c>
      <c r="Y494" s="26">
        <f>IF($A494="","",ROUND(N($H494)+$J494+$M494+$O494-$Q494-$S494-$U494-$W494,0))</f>
        <v/>
      </c>
      <c r="Z494" s="24">
        <f>IF($A494="","",IF(COUNTIFS(入库单!$G$4:$G$2503,$A494,入库单!$Y$4:$Y$2503,"待补价")+COUNTIFS(入库单!$G$4:$G$2503,$A494,入库单!$Y$4:$Y$2503,"暂估")&gt;0,"不可信","可信"))</f>
        <v/>
      </c>
      <c r="AA494" s="24">
        <f>IF($A494="","",IF($X494&lt;-0.001,"※账面负库存，查一下是不是漏记入库",IF(AND(ROUND($X494,3)=0,ABS($Y494)&gt;1),"※数量已经是 0，金额还挂着 "&amp;TEXT($Y494,"#,##0")&amp;" 先令",IF(AND($X494&gt;0,$Y494&lt;=0,$K494=0),"※有数量没金额（这个物料一直没填过进价）",IF($Z494="不可信","△成本含待补价/暂估，毛利仅供参考","")))))</f>
        <v/>
      </c>
    </row>
    <row r="495">
      <c r="A495" s="24">
        <f>IF(物料档案!$A494="","",物料档案!$A494)</f>
        <v/>
      </c>
      <c r="B495" s="24">
        <f>IF($A495="","",IFERROR(VLOOKUP($A495,物料档案!$A$4:$P$1203,3,0),""))</f>
        <v/>
      </c>
      <c r="C495" s="24">
        <f>IF($A495="","",IFERROR(VLOOKUP($A495,物料档案!$A$4:$P$1203,4,0),""))</f>
        <v/>
      </c>
      <c r="D495" s="24">
        <f>IF($A495="","",IFERROR(VLOOKUP($A495,物料档案!$A$4:$P$1203,5,0),""))</f>
        <v/>
      </c>
      <c r="E495" s="24">
        <f>IF($A495="","",IFERROR(VLOOKUP($A495,物料档案!$A$4:$P$1203,2,0),""))</f>
        <v/>
      </c>
      <c r="F495" s="24">
        <f>IF($A495="","",IFERROR(VLOOKUP($A495,物料档案!$A$4:$P$1203,6,0),""))</f>
        <v/>
      </c>
      <c r="G495" s="23" t="n"/>
      <c r="H495" s="32" t="n"/>
      <c r="I495" s="27">
        <f>IF($A495="","",SUMIFS(入库单!$K$4:$K$2503,入库单!$G$4:$G$2503,$A495,入库单!$X$4:$X$2503,"采购入库",入库单!$Z$4:$Z$2503,"正常",入库单!$C$4:$C$2503,"&gt;="&amp;账期起,入库单!$C$4:$C$2503,"&lt;="&amp;账期止))</f>
        <v/>
      </c>
      <c r="J495" s="26">
        <f>IF($A495="","",SUMIFS(入库单!$V$4:$V$2503,入库单!$G$4:$G$2503,$A495,入库单!$X$4:$X$2503,"采购入库",入库单!$Z$4:$Z$2503,"正常",入库单!$C$4:$C$2503,"&gt;="&amp;账期起,入库单!$C$4:$C$2503,"&lt;="&amp;账期止))</f>
        <v/>
      </c>
      <c r="K495" s="26">
        <f>IF($A495="","",IFERROR(ROUND((N($H495)+N($J495))/(N($G495)+N($I495)),2),0))</f>
        <v/>
      </c>
      <c r="L495" s="27">
        <f>IF($A495="","",SUMIFS(入库单!$K$4:$K$2503,入库单!$G$4:$G$2503,$A495,入库单!$X$4:$X$2503,"盘盈",入库单!$Z$4:$Z$2503,"正常",入库单!$C$4:$C$2503,"&gt;="&amp;账期起,入库单!$C$4:$C$2503,"&lt;="&amp;账期止))</f>
        <v/>
      </c>
      <c r="M495" s="26">
        <f>IF($A495="","",ROUND($L495*$K495,0))</f>
        <v/>
      </c>
      <c r="N495" s="27">
        <f>IF($A495="","",SUMIFS(入库单!$K$4:$K$2503,入库单!$G$4:$G$2503,$A495,入库单!$X$4:$X$2503,"矿区退库",入库单!$Z$4:$Z$2503,"正常",入库单!$C$4:$C$2503,"&gt;="&amp;账期起,入库单!$C$4:$C$2503,"&lt;="&amp;账期止))</f>
        <v/>
      </c>
      <c r="O495" s="26">
        <f>IF($A495="","",ROUND($N495*$K495,0))</f>
        <v/>
      </c>
      <c r="P495" s="27">
        <f>IF($A495="","",SUMIFS(出库单!$J$4:$J$4003,出库单!$D$4:$D$4003,$A495,出库单!$K$4:$K$4003,"自用消耗",出库单!$U$4:$U$4003,"正常",出库单!$C$4:$C$4003,"&gt;="&amp;账期起,出库单!$C$4:$C$4003,"&lt;="&amp;账期止))</f>
        <v/>
      </c>
      <c r="Q495" s="26">
        <f>IF($A495="","",ROUND(SUMIFS(出库单!$S$4:$S$4003,出库单!$D$4:$D$4003,$A495,出库单!$K$4:$K$4003,"自用消耗",出库单!$U$4:$U$4003,"正常",出库单!$C$4:$C$4003,"&gt;="&amp;账期起,出库单!$C$4:$C$4003,"&lt;="&amp;账期止),0))</f>
        <v/>
      </c>
      <c r="R495" s="27">
        <f>IF($A495="","",SUMIFS(出库单!$J$4:$J$4003,出库单!$D$4:$D$4003,$A495,出库单!$K$4:$K$4003,"对外销售",出库单!$U$4:$U$4003,"正常",出库单!$C$4:$C$4003,"&gt;="&amp;账期起,出库单!$C$4:$C$4003,"&lt;="&amp;账期止))</f>
        <v/>
      </c>
      <c r="S495" s="26">
        <f>IF($A495="","",ROUND(SUMIFS(出库单!$S$4:$S$4003,出库单!$D$4:$D$4003,$A495,出库单!$K$4:$K$4003,"对外销售",出库单!$U$4:$U$4003,"正常",出库单!$C$4:$C$4003,"&gt;="&amp;账期起,出库单!$C$4:$C$4003,"&lt;="&amp;账期止),0))</f>
        <v/>
      </c>
      <c r="T495" s="27">
        <f>IF($A495="","",SUMIFS(出库单!$J$4:$J$4003,出库单!$D$4:$D$4003,$A495,出库单!$K$4:$K$4003,"盘亏",出库单!$U$4:$U$4003,"正常",出库单!$C$4:$C$4003,"&gt;="&amp;账期起,出库单!$C$4:$C$4003,"&lt;="&amp;账期止))</f>
        <v/>
      </c>
      <c r="U495" s="26">
        <f>IF($A495="","",ROUND(SUMIFS(出库单!$S$4:$S$4003,出库单!$D$4:$D$4003,$A495,出库单!$K$4:$K$4003,"盘亏",出库单!$U$4:$U$4003,"正常",出库单!$C$4:$C$4003,"&gt;="&amp;账期起,出库单!$C$4:$C$4003,"&lt;="&amp;账期止),0))</f>
        <v/>
      </c>
      <c r="V495" s="27">
        <f>IF($A495="","",SUMIFS(出库单!$J$4:$J$4003,出库单!$D$4:$D$4003,$A495,出库单!$K$4:$K$4003,"退货给供应商",出库单!$U$4:$U$4003,"正常",出库单!$C$4:$C$4003,"&gt;="&amp;账期起,出库单!$C$4:$C$4003,"&lt;="&amp;账期止))</f>
        <v/>
      </c>
      <c r="W495" s="26">
        <f>IF($A495="","",ROUND(SUMIFS(出库单!$S$4:$S$4003,出库单!$D$4:$D$4003,$A495,出库单!$K$4:$K$4003,"退货给供应商",出库单!$U$4:$U$4003,"正常",出库单!$C$4:$C$4003,"&gt;="&amp;账期起,出库单!$C$4:$C$4003,"&lt;="&amp;账期止),0))</f>
        <v/>
      </c>
      <c r="X495" s="27">
        <f>IF($A495="","",ROUND(N($G495)+$I495+$L495+$N495-$P495-$R495-$T495-$V495,3))</f>
        <v/>
      </c>
      <c r="Y495" s="26">
        <f>IF($A495="","",ROUND(N($H495)+$J495+$M495+$O495-$Q495-$S495-$U495-$W495,0))</f>
        <v/>
      </c>
      <c r="Z495" s="24">
        <f>IF($A495="","",IF(COUNTIFS(入库单!$G$4:$G$2503,$A495,入库单!$Y$4:$Y$2503,"待补价")+COUNTIFS(入库单!$G$4:$G$2503,$A495,入库单!$Y$4:$Y$2503,"暂估")&gt;0,"不可信","可信"))</f>
        <v/>
      </c>
      <c r="AA495" s="24">
        <f>IF($A495="","",IF($X495&lt;-0.001,"※账面负库存，查一下是不是漏记入库",IF(AND(ROUND($X495,3)=0,ABS($Y495)&gt;1),"※数量已经是 0，金额还挂着 "&amp;TEXT($Y495,"#,##0")&amp;" 先令",IF(AND($X495&gt;0,$Y495&lt;=0,$K495=0),"※有数量没金额（这个物料一直没填过进价）",IF($Z495="不可信","△成本含待补价/暂估，毛利仅供参考","")))))</f>
        <v/>
      </c>
    </row>
    <row r="496">
      <c r="A496" s="24">
        <f>IF(物料档案!$A495="","",物料档案!$A495)</f>
        <v/>
      </c>
      <c r="B496" s="24">
        <f>IF($A496="","",IFERROR(VLOOKUP($A496,物料档案!$A$4:$P$1203,3,0),""))</f>
        <v/>
      </c>
      <c r="C496" s="24">
        <f>IF($A496="","",IFERROR(VLOOKUP($A496,物料档案!$A$4:$P$1203,4,0),""))</f>
        <v/>
      </c>
      <c r="D496" s="24">
        <f>IF($A496="","",IFERROR(VLOOKUP($A496,物料档案!$A$4:$P$1203,5,0),""))</f>
        <v/>
      </c>
      <c r="E496" s="24">
        <f>IF($A496="","",IFERROR(VLOOKUP($A496,物料档案!$A$4:$P$1203,2,0),""))</f>
        <v/>
      </c>
      <c r="F496" s="24">
        <f>IF($A496="","",IFERROR(VLOOKUP($A496,物料档案!$A$4:$P$1203,6,0),""))</f>
        <v/>
      </c>
      <c r="G496" s="23" t="n"/>
      <c r="H496" s="32" t="n"/>
      <c r="I496" s="27">
        <f>IF($A496="","",SUMIFS(入库单!$K$4:$K$2503,入库单!$G$4:$G$2503,$A496,入库单!$X$4:$X$2503,"采购入库",入库单!$Z$4:$Z$2503,"正常",入库单!$C$4:$C$2503,"&gt;="&amp;账期起,入库单!$C$4:$C$2503,"&lt;="&amp;账期止))</f>
        <v/>
      </c>
      <c r="J496" s="26">
        <f>IF($A496="","",SUMIFS(入库单!$V$4:$V$2503,入库单!$G$4:$G$2503,$A496,入库单!$X$4:$X$2503,"采购入库",入库单!$Z$4:$Z$2503,"正常",入库单!$C$4:$C$2503,"&gt;="&amp;账期起,入库单!$C$4:$C$2503,"&lt;="&amp;账期止))</f>
        <v/>
      </c>
      <c r="K496" s="26">
        <f>IF($A496="","",IFERROR(ROUND((N($H496)+N($J496))/(N($G496)+N($I496)),2),0))</f>
        <v/>
      </c>
      <c r="L496" s="27">
        <f>IF($A496="","",SUMIFS(入库单!$K$4:$K$2503,入库单!$G$4:$G$2503,$A496,入库单!$X$4:$X$2503,"盘盈",入库单!$Z$4:$Z$2503,"正常",入库单!$C$4:$C$2503,"&gt;="&amp;账期起,入库单!$C$4:$C$2503,"&lt;="&amp;账期止))</f>
        <v/>
      </c>
      <c r="M496" s="26">
        <f>IF($A496="","",ROUND($L496*$K496,0))</f>
        <v/>
      </c>
      <c r="N496" s="27">
        <f>IF($A496="","",SUMIFS(入库单!$K$4:$K$2503,入库单!$G$4:$G$2503,$A496,入库单!$X$4:$X$2503,"矿区退库",入库单!$Z$4:$Z$2503,"正常",入库单!$C$4:$C$2503,"&gt;="&amp;账期起,入库单!$C$4:$C$2503,"&lt;="&amp;账期止))</f>
        <v/>
      </c>
      <c r="O496" s="26">
        <f>IF($A496="","",ROUND($N496*$K496,0))</f>
        <v/>
      </c>
      <c r="P496" s="27">
        <f>IF($A496="","",SUMIFS(出库单!$J$4:$J$4003,出库单!$D$4:$D$4003,$A496,出库单!$K$4:$K$4003,"自用消耗",出库单!$U$4:$U$4003,"正常",出库单!$C$4:$C$4003,"&gt;="&amp;账期起,出库单!$C$4:$C$4003,"&lt;="&amp;账期止))</f>
        <v/>
      </c>
      <c r="Q496" s="26">
        <f>IF($A496="","",ROUND(SUMIFS(出库单!$S$4:$S$4003,出库单!$D$4:$D$4003,$A496,出库单!$K$4:$K$4003,"自用消耗",出库单!$U$4:$U$4003,"正常",出库单!$C$4:$C$4003,"&gt;="&amp;账期起,出库单!$C$4:$C$4003,"&lt;="&amp;账期止),0))</f>
        <v/>
      </c>
      <c r="R496" s="27">
        <f>IF($A496="","",SUMIFS(出库单!$J$4:$J$4003,出库单!$D$4:$D$4003,$A496,出库单!$K$4:$K$4003,"对外销售",出库单!$U$4:$U$4003,"正常",出库单!$C$4:$C$4003,"&gt;="&amp;账期起,出库单!$C$4:$C$4003,"&lt;="&amp;账期止))</f>
        <v/>
      </c>
      <c r="S496" s="26">
        <f>IF($A496="","",ROUND(SUMIFS(出库单!$S$4:$S$4003,出库单!$D$4:$D$4003,$A496,出库单!$K$4:$K$4003,"对外销售",出库单!$U$4:$U$4003,"正常",出库单!$C$4:$C$4003,"&gt;="&amp;账期起,出库单!$C$4:$C$4003,"&lt;="&amp;账期止),0))</f>
        <v/>
      </c>
      <c r="T496" s="27">
        <f>IF($A496="","",SUMIFS(出库单!$J$4:$J$4003,出库单!$D$4:$D$4003,$A496,出库单!$K$4:$K$4003,"盘亏",出库单!$U$4:$U$4003,"正常",出库单!$C$4:$C$4003,"&gt;="&amp;账期起,出库单!$C$4:$C$4003,"&lt;="&amp;账期止))</f>
        <v/>
      </c>
      <c r="U496" s="26">
        <f>IF($A496="","",ROUND(SUMIFS(出库单!$S$4:$S$4003,出库单!$D$4:$D$4003,$A496,出库单!$K$4:$K$4003,"盘亏",出库单!$U$4:$U$4003,"正常",出库单!$C$4:$C$4003,"&gt;="&amp;账期起,出库单!$C$4:$C$4003,"&lt;="&amp;账期止),0))</f>
        <v/>
      </c>
      <c r="V496" s="27">
        <f>IF($A496="","",SUMIFS(出库单!$J$4:$J$4003,出库单!$D$4:$D$4003,$A496,出库单!$K$4:$K$4003,"退货给供应商",出库单!$U$4:$U$4003,"正常",出库单!$C$4:$C$4003,"&gt;="&amp;账期起,出库单!$C$4:$C$4003,"&lt;="&amp;账期止))</f>
        <v/>
      </c>
      <c r="W496" s="26">
        <f>IF($A496="","",ROUND(SUMIFS(出库单!$S$4:$S$4003,出库单!$D$4:$D$4003,$A496,出库单!$K$4:$K$4003,"退货给供应商",出库单!$U$4:$U$4003,"正常",出库单!$C$4:$C$4003,"&gt;="&amp;账期起,出库单!$C$4:$C$4003,"&lt;="&amp;账期止),0))</f>
        <v/>
      </c>
      <c r="X496" s="27">
        <f>IF($A496="","",ROUND(N($G496)+$I496+$L496+$N496-$P496-$R496-$T496-$V496,3))</f>
        <v/>
      </c>
      <c r="Y496" s="26">
        <f>IF($A496="","",ROUND(N($H496)+$J496+$M496+$O496-$Q496-$S496-$U496-$W496,0))</f>
        <v/>
      </c>
      <c r="Z496" s="24">
        <f>IF($A496="","",IF(COUNTIFS(入库单!$G$4:$G$2503,$A496,入库单!$Y$4:$Y$2503,"待补价")+COUNTIFS(入库单!$G$4:$G$2503,$A496,入库单!$Y$4:$Y$2503,"暂估")&gt;0,"不可信","可信"))</f>
        <v/>
      </c>
      <c r="AA496" s="24">
        <f>IF($A496="","",IF($X496&lt;-0.001,"※账面负库存，查一下是不是漏记入库",IF(AND(ROUND($X496,3)=0,ABS($Y496)&gt;1),"※数量已经是 0，金额还挂着 "&amp;TEXT($Y496,"#,##0")&amp;" 先令",IF(AND($X496&gt;0,$Y496&lt;=0,$K496=0),"※有数量没金额（这个物料一直没填过进价）",IF($Z496="不可信","△成本含待补价/暂估，毛利仅供参考","")))))</f>
        <v/>
      </c>
    </row>
    <row r="497">
      <c r="A497" s="24">
        <f>IF(物料档案!$A496="","",物料档案!$A496)</f>
        <v/>
      </c>
      <c r="B497" s="24">
        <f>IF($A497="","",IFERROR(VLOOKUP($A497,物料档案!$A$4:$P$1203,3,0),""))</f>
        <v/>
      </c>
      <c r="C497" s="24">
        <f>IF($A497="","",IFERROR(VLOOKUP($A497,物料档案!$A$4:$P$1203,4,0),""))</f>
        <v/>
      </c>
      <c r="D497" s="24">
        <f>IF($A497="","",IFERROR(VLOOKUP($A497,物料档案!$A$4:$P$1203,5,0),""))</f>
        <v/>
      </c>
      <c r="E497" s="24">
        <f>IF($A497="","",IFERROR(VLOOKUP($A497,物料档案!$A$4:$P$1203,2,0),""))</f>
        <v/>
      </c>
      <c r="F497" s="24">
        <f>IF($A497="","",IFERROR(VLOOKUP($A497,物料档案!$A$4:$P$1203,6,0),""))</f>
        <v/>
      </c>
      <c r="G497" s="23" t="n"/>
      <c r="H497" s="32" t="n"/>
      <c r="I497" s="27">
        <f>IF($A497="","",SUMIFS(入库单!$K$4:$K$2503,入库单!$G$4:$G$2503,$A497,入库单!$X$4:$X$2503,"采购入库",入库单!$Z$4:$Z$2503,"正常",入库单!$C$4:$C$2503,"&gt;="&amp;账期起,入库单!$C$4:$C$2503,"&lt;="&amp;账期止))</f>
        <v/>
      </c>
      <c r="J497" s="26">
        <f>IF($A497="","",SUMIFS(入库单!$V$4:$V$2503,入库单!$G$4:$G$2503,$A497,入库单!$X$4:$X$2503,"采购入库",入库单!$Z$4:$Z$2503,"正常",入库单!$C$4:$C$2503,"&gt;="&amp;账期起,入库单!$C$4:$C$2503,"&lt;="&amp;账期止))</f>
        <v/>
      </c>
      <c r="K497" s="26">
        <f>IF($A497="","",IFERROR(ROUND((N($H497)+N($J497))/(N($G497)+N($I497)),2),0))</f>
        <v/>
      </c>
      <c r="L497" s="27">
        <f>IF($A497="","",SUMIFS(入库单!$K$4:$K$2503,入库单!$G$4:$G$2503,$A497,入库单!$X$4:$X$2503,"盘盈",入库单!$Z$4:$Z$2503,"正常",入库单!$C$4:$C$2503,"&gt;="&amp;账期起,入库单!$C$4:$C$2503,"&lt;="&amp;账期止))</f>
        <v/>
      </c>
      <c r="M497" s="26">
        <f>IF($A497="","",ROUND($L497*$K497,0))</f>
        <v/>
      </c>
      <c r="N497" s="27">
        <f>IF($A497="","",SUMIFS(入库单!$K$4:$K$2503,入库单!$G$4:$G$2503,$A497,入库单!$X$4:$X$2503,"矿区退库",入库单!$Z$4:$Z$2503,"正常",入库单!$C$4:$C$2503,"&gt;="&amp;账期起,入库单!$C$4:$C$2503,"&lt;="&amp;账期止))</f>
        <v/>
      </c>
      <c r="O497" s="26">
        <f>IF($A497="","",ROUND($N497*$K497,0))</f>
        <v/>
      </c>
      <c r="P497" s="27">
        <f>IF($A497="","",SUMIFS(出库单!$J$4:$J$4003,出库单!$D$4:$D$4003,$A497,出库单!$K$4:$K$4003,"自用消耗",出库单!$U$4:$U$4003,"正常",出库单!$C$4:$C$4003,"&gt;="&amp;账期起,出库单!$C$4:$C$4003,"&lt;="&amp;账期止))</f>
        <v/>
      </c>
      <c r="Q497" s="26">
        <f>IF($A497="","",ROUND(SUMIFS(出库单!$S$4:$S$4003,出库单!$D$4:$D$4003,$A497,出库单!$K$4:$K$4003,"自用消耗",出库单!$U$4:$U$4003,"正常",出库单!$C$4:$C$4003,"&gt;="&amp;账期起,出库单!$C$4:$C$4003,"&lt;="&amp;账期止),0))</f>
        <v/>
      </c>
      <c r="R497" s="27">
        <f>IF($A497="","",SUMIFS(出库单!$J$4:$J$4003,出库单!$D$4:$D$4003,$A497,出库单!$K$4:$K$4003,"对外销售",出库单!$U$4:$U$4003,"正常",出库单!$C$4:$C$4003,"&gt;="&amp;账期起,出库单!$C$4:$C$4003,"&lt;="&amp;账期止))</f>
        <v/>
      </c>
      <c r="S497" s="26">
        <f>IF($A497="","",ROUND(SUMIFS(出库单!$S$4:$S$4003,出库单!$D$4:$D$4003,$A497,出库单!$K$4:$K$4003,"对外销售",出库单!$U$4:$U$4003,"正常",出库单!$C$4:$C$4003,"&gt;="&amp;账期起,出库单!$C$4:$C$4003,"&lt;="&amp;账期止),0))</f>
        <v/>
      </c>
      <c r="T497" s="27">
        <f>IF($A497="","",SUMIFS(出库单!$J$4:$J$4003,出库单!$D$4:$D$4003,$A497,出库单!$K$4:$K$4003,"盘亏",出库单!$U$4:$U$4003,"正常",出库单!$C$4:$C$4003,"&gt;="&amp;账期起,出库单!$C$4:$C$4003,"&lt;="&amp;账期止))</f>
        <v/>
      </c>
      <c r="U497" s="26">
        <f>IF($A497="","",ROUND(SUMIFS(出库单!$S$4:$S$4003,出库单!$D$4:$D$4003,$A497,出库单!$K$4:$K$4003,"盘亏",出库单!$U$4:$U$4003,"正常",出库单!$C$4:$C$4003,"&gt;="&amp;账期起,出库单!$C$4:$C$4003,"&lt;="&amp;账期止),0))</f>
        <v/>
      </c>
      <c r="V497" s="27">
        <f>IF($A497="","",SUMIFS(出库单!$J$4:$J$4003,出库单!$D$4:$D$4003,$A497,出库单!$K$4:$K$4003,"退货给供应商",出库单!$U$4:$U$4003,"正常",出库单!$C$4:$C$4003,"&gt;="&amp;账期起,出库单!$C$4:$C$4003,"&lt;="&amp;账期止))</f>
        <v/>
      </c>
      <c r="W497" s="26">
        <f>IF($A497="","",ROUND(SUMIFS(出库单!$S$4:$S$4003,出库单!$D$4:$D$4003,$A497,出库单!$K$4:$K$4003,"退货给供应商",出库单!$U$4:$U$4003,"正常",出库单!$C$4:$C$4003,"&gt;="&amp;账期起,出库单!$C$4:$C$4003,"&lt;="&amp;账期止),0))</f>
        <v/>
      </c>
      <c r="X497" s="27">
        <f>IF($A497="","",ROUND(N($G497)+$I497+$L497+$N497-$P497-$R497-$T497-$V497,3))</f>
        <v/>
      </c>
      <c r="Y497" s="26">
        <f>IF($A497="","",ROUND(N($H497)+$J497+$M497+$O497-$Q497-$S497-$U497-$W497,0))</f>
        <v/>
      </c>
      <c r="Z497" s="24">
        <f>IF($A497="","",IF(COUNTIFS(入库单!$G$4:$G$2503,$A497,入库单!$Y$4:$Y$2503,"待补价")+COUNTIFS(入库单!$G$4:$G$2503,$A497,入库单!$Y$4:$Y$2503,"暂估")&gt;0,"不可信","可信"))</f>
        <v/>
      </c>
      <c r="AA497" s="24">
        <f>IF($A497="","",IF($X497&lt;-0.001,"※账面负库存，查一下是不是漏记入库",IF(AND(ROUND($X497,3)=0,ABS($Y497)&gt;1),"※数量已经是 0，金额还挂着 "&amp;TEXT($Y497,"#,##0")&amp;" 先令",IF(AND($X497&gt;0,$Y497&lt;=0,$K497=0),"※有数量没金额（这个物料一直没填过进价）",IF($Z497="不可信","△成本含待补价/暂估，毛利仅供参考","")))))</f>
        <v/>
      </c>
    </row>
    <row r="498">
      <c r="A498" s="24">
        <f>IF(物料档案!$A497="","",物料档案!$A497)</f>
        <v/>
      </c>
      <c r="B498" s="24">
        <f>IF($A498="","",IFERROR(VLOOKUP($A498,物料档案!$A$4:$P$1203,3,0),""))</f>
        <v/>
      </c>
      <c r="C498" s="24">
        <f>IF($A498="","",IFERROR(VLOOKUP($A498,物料档案!$A$4:$P$1203,4,0),""))</f>
        <v/>
      </c>
      <c r="D498" s="24">
        <f>IF($A498="","",IFERROR(VLOOKUP($A498,物料档案!$A$4:$P$1203,5,0),""))</f>
        <v/>
      </c>
      <c r="E498" s="24">
        <f>IF($A498="","",IFERROR(VLOOKUP($A498,物料档案!$A$4:$P$1203,2,0),""))</f>
        <v/>
      </c>
      <c r="F498" s="24">
        <f>IF($A498="","",IFERROR(VLOOKUP($A498,物料档案!$A$4:$P$1203,6,0),""))</f>
        <v/>
      </c>
      <c r="G498" s="23" t="n"/>
      <c r="H498" s="32" t="n"/>
      <c r="I498" s="27">
        <f>IF($A498="","",SUMIFS(入库单!$K$4:$K$2503,入库单!$G$4:$G$2503,$A498,入库单!$X$4:$X$2503,"采购入库",入库单!$Z$4:$Z$2503,"正常",入库单!$C$4:$C$2503,"&gt;="&amp;账期起,入库单!$C$4:$C$2503,"&lt;="&amp;账期止))</f>
        <v/>
      </c>
      <c r="J498" s="26">
        <f>IF($A498="","",SUMIFS(入库单!$V$4:$V$2503,入库单!$G$4:$G$2503,$A498,入库单!$X$4:$X$2503,"采购入库",入库单!$Z$4:$Z$2503,"正常",入库单!$C$4:$C$2503,"&gt;="&amp;账期起,入库单!$C$4:$C$2503,"&lt;="&amp;账期止))</f>
        <v/>
      </c>
      <c r="K498" s="26">
        <f>IF($A498="","",IFERROR(ROUND((N($H498)+N($J498))/(N($G498)+N($I498)),2),0))</f>
        <v/>
      </c>
      <c r="L498" s="27">
        <f>IF($A498="","",SUMIFS(入库单!$K$4:$K$2503,入库单!$G$4:$G$2503,$A498,入库单!$X$4:$X$2503,"盘盈",入库单!$Z$4:$Z$2503,"正常",入库单!$C$4:$C$2503,"&gt;="&amp;账期起,入库单!$C$4:$C$2503,"&lt;="&amp;账期止))</f>
        <v/>
      </c>
      <c r="M498" s="26">
        <f>IF($A498="","",ROUND($L498*$K498,0))</f>
        <v/>
      </c>
      <c r="N498" s="27">
        <f>IF($A498="","",SUMIFS(入库单!$K$4:$K$2503,入库单!$G$4:$G$2503,$A498,入库单!$X$4:$X$2503,"矿区退库",入库单!$Z$4:$Z$2503,"正常",入库单!$C$4:$C$2503,"&gt;="&amp;账期起,入库单!$C$4:$C$2503,"&lt;="&amp;账期止))</f>
        <v/>
      </c>
      <c r="O498" s="26">
        <f>IF($A498="","",ROUND($N498*$K498,0))</f>
        <v/>
      </c>
      <c r="P498" s="27">
        <f>IF($A498="","",SUMIFS(出库单!$J$4:$J$4003,出库单!$D$4:$D$4003,$A498,出库单!$K$4:$K$4003,"自用消耗",出库单!$U$4:$U$4003,"正常",出库单!$C$4:$C$4003,"&gt;="&amp;账期起,出库单!$C$4:$C$4003,"&lt;="&amp;账期止))</f>
        <v/>
      </c>
      <c r="Q498" s="26">
        <f>IF($A498="","",ROUND(SUMIFS(出库单!$S$4:$S$4003,出库单!$D$4:$D$4003,$A498,出库单!$K$4:$K$4003,"自用消耗",出库单!$U$4:$U$4003,"正常",出库单!$C$4:$C$4003,"&gt;="&amp;账期起,出库单!$C$4:$C$4003,"&lt;="&amp;账期止),0))</f>
        <v/>
      </c>
      <c r="R498" s="27">
        <f>IF($A498="","",SUMIFS(出库单!$J$4:$J$4003,出库单!$D$4:$D$4003,$A498,出库单!$K$4:$K$4003,"对外销售",出库单!$U$4:$U$4003,"正常",出库单!$C$4:$C$4003,"&gt;="&amp;账期起,出库单!$C$4:$C$4003,"&lt;="&amp;账期止))</f>
        <v/>
      </c>
      <c r="S498" s="26">
        <f>IF($A498="","",ROUND(SUMIFS(出库单!$S$4:$S$4003,出库单!$D$4:$D$4003,$A498,出库单!$K$4:$K$4003,"对外销售",出库单!$U$4:$U$4003,"正常",出库单!$C$4:$C$4003,"&gt;="&amp;账期起,出库单!$C$4:$C$4003,"&lt;="&amp;账期止),0))</f>
        <v/>
      </c>
      <c r="T498" s="27">
        <f>IF($A498="","",SUMIFS(出库单!$J$4:$J$4003,出库单!$D$4:$D$4003,$A498,出库单!$K$4:$K$4003,"盘亏",出库单!$U$4:$U$4003,"正常",出库单!$C$4:$C$4003,"&gt;="&amp;账期起,出库单!$C$4:$C$4003,"&lt;="&amp;账期止))</f>
        <v/>
      </c>
      <c r="U498" s="26">
        <f>IF($A498="","",ROUND(SUMIFS(出库单!$S$4:$S$4003,出库单!$D$4:$D$4003,$A498,出库单!$K$4:$K$4003,"盘亏",出库单!$U$4:$U$4003,"正常",出库单!$C$4:$C$4003,"&gt;="&amp;账期起,出库单!$C$4:$C$4003,"&lt;="&amp;账期止),0))</f>
        <v/>
      </c>
      <c r="V498" s="27">
        <f>IF($A498="","",SUMIFS(出库单!$J$4:$J$4003,出库单!$D$4:$D$4003,$A498,出库单!$K$4:$K$4003,"退货给供应商",出库单!$U$4:$U$4003,"正常",出库单!$C$4:$C$4003,"&gt;="&amp;账期起,出库单!$C$4:$C$4003,"&lt;="&amp;账期止))</f>
        <v/>
      </c>
      <c r="W498" s="26">
        <f>IF($A498="","",ROUND(SUMIFS(出库单!$S$4:$S$4003,出库单!$D$4:$D$4003,$A498,出库单!$K$4:$K$4003,"退货给供应商",出库单!$U$4:$U$4003,"正常",出库单!$C$4:$C$4003,"&gt;="&amp;账期起,出库单!$C$4:$C$4003,"&lt;="&amp;账期止),0))</f>
        <v/>
      </c>
      <c r="X498" s="27">
        <f>IF($A498="","",ROUND(N($G498)+$I498+$L498+$N498-$P498-$R498-$T498-$V498,3))</f>
        <v/>
      </c>
      <c r="Y498" s="26">
        <f>IF($A498="","",ROUND(N($H498)+$J498+$M498+$O498-$Q498-$S498-$U498-$W498,0))</f>
        <v/>
      </c>
      <c r="Z498" s="24">
        <f>IF($A498="","",IF(COUNTIFS(入库单!$G$4:$G$2503,$A498,入库单!$Y$4:$Y$2503,"待补价")+COUNTIFS(入库单!$G$4:$G$2503,$A498,入库单!$Y$4:$Y$2503,"暂估")&gt;0,"不可信","可信"))</f>
        <v/>
      </c>
      <c r="AA498" s="24">
        <f>IF($A498="","",IF($X498&lt;-0.001,"※账面负库存，查一下是不是漏记入库",IF(AND(ROUND($X498,3)=0,ABS($Y498)&gt;1),"※数量已经是 0，金额还挂着 "&amp;TEXT($Y498,"#,##0")&amp;" 先令",IF(AND($X498&gt;0,$Y498&lt;=0,$K498=0),"※有数量没金额（这个物料一直没填过进价）",IF($Z498="不可信","△成本含待补价/暂估，毛利仅供参考","")))))</f>
        <v/>
      </c>
    </row>
    <row r="499">
      <c r="A499" s="24">
        <f>IF(物料档案!$A498="","",物料档案!$A498)</f>
        <v/>
      </c>
      <c r="B499" s="24">
        <f>IF($A499="","",IFERROR(VLOOKUP($A499,物料档案!$A$4:$P$1203,3,0),""))</f>
        <v/>
      </c>
      <c r="C499" s="24">
        <f>IF($A499="","",IFERROR(VLOOKUP($A499,物料档案!$A$4:$P$1203,4,0),""))</f>
        <v/>
      </c>
      <c r="D499" s="24">
        <f>IF($A499="","",IFERROR(VLOOKUP($A499,物料档案!$A$4:$P$1203,5,0),""))</f>
        <v/>
      </c>
      <c r="E499" s="24">
        <f>IF($A499="","",IFERROR(VLOOKUP($A499,物料档案!$A$4:$P$1203,2,0),""))</f>
        <v/>
      </c>
      <c r="F499" s="24">
        <f>IF($A499="","",IFERROR(VLOOKUP($A499,物料档案!$A$4:$P$1203,6,0),""))</f>
        <v/>
      </c>
      <c r="G499" s="23" t="n"/>
      <c r="H499" s="32" t="n"/>
      <c r="I499" s="27">
        <f>IF($A499="","",SUMIFS(入库单!$K$4:$K$2503,入库单!$G$4:$G$2503,$A499,入库单!$X$4:$X$2503,"采购入库",入库单!$Z$4:$Z$2503,"正常",入库单!$C$4:$C$2503,"&gt;="&amp;账期起,入库单!$C$4:$C$2503,"&lt;="&amp;账期止))</f>
        <v/>
      </c>
      <c r="J499" s="26">
        <f>IF($A499="","",SUMIFS(入库单!$V$4:$V$2503,入库单!$G$4:$G$2503,$A499,入库单!$X$4:$X$2503,"采购入库",入库单!$Z$4:$Z$2503,"正常",入库单!$C$4:$C$2503,"&gt;="&amp;账期起,入库单!$C$4:$C$2503,"&lt;="&amp;账期止))</f>
        <v/>
      </c>
      <c r="K499" s="26">
        <f>IF($A499="","",IFERROR(ROUND((N($H499)+N($J499))/(N($G499)+N($I499)),2),0))</f>
        <v/>
      </c>
      <c r="L499" s="27">
        <f>IF($A499="","",SUMIFS(入库单!$K$4:$K$2503,入库单!$G$4:$G$2503,$A499,入库单!$X$4:$X$2503,"盘盈",入库单!$Z$4:$Z$2503,"正常",入库单!$C$4:$C$2503,"&gt;="&amp;账期起,入库单!$C$4:$C$2503,"&lt;="&amp;账期止))</f>
        <v/>
      </c>
      <c r="M499" s="26">
        <f>IF($A499="","",ROUND($L499*$K499,0))</f>
        <v/>
      </c>
      <c r="N499" s="27">
        <f>IF($A499="","",SUMIFS(入库单!$K$4:$K$2503,入库单!$G$4:$G$2503,$A499,入库单!$X$4:$X$2503,"矿区退库",入库单!$Z$4:$Z$2503,"正常",入库单!$C$4:$C$2503,"&gt;="&amp;账期起,入库单!$C$4:$C$2503,"&lt;="&amp;账期止))</f>
        <v/>
      </c>
      <c r="O499" s="26">
        <f>IF($A499="","",ROUND($N499*$K499,0))</f>
        <v/>
      </c>
      <c r="P499" s="27">
        <f>IF($A499="","",SUMIFS(出库单!$J$4:$J$4003,出库单!$D$4:$D$4003,$A499,出库单!$K$4:$K$4003,"自用消耗",出库单!$U$4:$U$4003,"正常",出库单!$C$4:$C$4003,"&gt;="&amp;账期起,出库单!$C$4:$C$4003,"&lt;="&amp;账期止))</f>
        <v/>
      </c>
      <c r="Q499" s="26">
        <f>IF($A499="","",ROUND(SUMIFS(出库单!$S$4:$S$4003,出库单!$D$4:$D$4003,$A499,出库单!$K$4:$K$4003,"自用消耗",出库单!$U$4:$U$4003,"正常",出库单!$C$4:$C$4003,"&gt;="&amp;账期起,出库单!$C$4:$C$4003,"&lt;="&amp;账期止),0))</f>
        <v/>
      </c>
      <c r="R499" s="27">
        <f>IF($A499="","",SUMIFS(出库单!$J$4:$J$4003,出库单!$D$4:$D$4003,$A499,出库单!$K$4:$K$4003,"对外销售",出库单!$U$4:$U$4003,"正常",出库单!$C$4:$C$4003,"&gt;="&amp;账期起,出库单!$C$4:$C$4003,"&lt;="&amp;账期止))</f>
        <v/>
      </c>
      <c r="S499" s="26">
        <f>IF($A499="","",ROUND(SUMIFS(出库单!$S$4:$S$4003,出库单!$D$4:$D$4003,$A499,出库单!$K$4:$K$4003,"对外销售",出库单!$U$4:$U$4003,"正常",出库单!$C$4:$C$4003,"&gt;="&amp;账期起,出库单!$C$4:$C$4003,"&lt;="&amp;账期止),0))</f>
        <v/>
      </c>
      <c r="T499" s="27">
        <f>IF($A499="","",SUMIFS(出库单!$J$4:$J$4003,出库单!$D$4:$D$4003,$A499,出库单!$K$4:$K$4003,"盘亏",出库单!$U$4:$U$4003,"正常",出库单!$C$4:$C$4003,"&gt;="&amp;账期起,出库单!$C$4:$C$4003,"&lt;="&amp;账期止))</f>
        <v/>
      </c>
      <c r="U499" s="26">
        <f>IF($A499="","",ROUND(SUMIFS(出库单!$S$4:$S$4003,出库单!$D$4:$D$4003,$A499,出库单!$K$4:$K$4003,"盘亏",出库单!$U$4:$U$4003,"正常",出库单!$C$4:$C$4003,"&gt;="&amp;账期起,出库单!$C$4:$C$4003,"&lt;="&amp;账期止),0))</f>
        <v/>
      </c>
      <c r="V499" s="27">
        <f>IF($A499="","",SUMIFS(出库单!$J$4:$J$4003,出库单!$D$4:$D$4003,$A499,出库单!$K$4:$K$4003,"退货给供应商",出库单!$U$4:$U$4003,"正常",出库单!$C$4:$C$4003,"&gt;="&amp;账期起,出库单!$C$4:$C$4003,"&lt;="&amp;账期止))</f>
        <v/>
      </c>
      <c r="W499" s="26">
        <f>IF($A499="","",ROUND(SUMIFS(出库单!$S$4:$S$4003,出库单!$D$4:$D$4003,$A499,出库单!$K$4:$K$4003,"退货给供应商",出库单!$U$4:$U$4003,"正常",出库单!$C$4:$C$4003,"&gt;="&amp;账期起,出库单!$C$4:$C$4003,"&lt;="&amp;账期止),0))</f>
        <v/>
      </c>
      <c r="X499" s="27">
        <f>IF($A499="","",ROUND(N($G499)+$I499+$L499+$N499-$P499-$R499-$T499-$V499,3))</f>
        <v/>
      </c>
      <c r="Y499" s="26">
        <f>IF($A499="","",ROUND(N($H499)+$J499+$M499+$O499-$Q499-$S499-$U499-$W499,0))</f>
        <v/>
      </c>
      <c r="Z499" s="24">
        <f>IF($A499="","",IF(COUNTIFS(入库单!$G$4:$G$2503,$A499,入库单!$Y$4:$Y$2503,"待补价")+COUNTIFS(入库单!$G$4:$G$2503,$A499,入库单!$Y$4:$Y$2503,"暂估")&gt;0,"不可信","可信"))</f>
        <v/>
      </c>
      <c r="AA499" s="24">
        <f>IF($A499="","",IF($X499&lt;-0.001,"※账面负库存，查一下是不是漏记入库",IF(AND(ROUND($X499,3)=0,ABS($Y499)&gt;1),"※数量已经是 0，金额还挂着 "&amp;TEXT($Y499,"#,##0")&amp;" 先令",IF(AND($X499&gt;0,$Y499&lt;=0,$K499=0),"※有数量没金额（这个物料一直没填过进价）",IF($Z499="不可信","△成本含待补价/暂估，毛利仅供参考","")))))</f>
        <v/>
      </c>
    </row>
    <row r="500">
      <c r="A500" s="24">
        <f>IF(物料档案!$A499="","",物料档案!$A499)</f>
        <v/>
      </c>
      <c r="B500" s="24">
        <f>IF($A500="","",IFERROR(VLOOKUP($A500,物料档案!$A$4:$P$1203,3,0),""))</f>
        <v/>
      </c>
      <c r="C500" s="24">
        <f>IF($A500="","",IFERROR(VLOOKUP($A500,物料档案!$A$4:$P$1203,4,0),""))</f>
        <v/>
      </c>
      <c r="D500" s="24">
        <f>IF($A500="","",IFERROR(VLOOKUP($A500,物料档案!$A$4:$P$1203,5,0),""))</f>
        <v/>
      </c>
      <c r="E500" s="24">
        <f>IF($A500="","",IFERROR(VLOOKUP($A500,物料档案!$A$4:$P$1203,2,0),""))</f>
        <v/>
      </c>
      <c r="F500" s="24">
        <f>IF($A500="","",IFERROR(VLOOKUP($A500,物料档案!$A$4:$P$1203,6,0),""))</f>
        <v/>
      </c>
      <c r="G500" s="23" t="n"/>
      <c r="H500" s="32" t="n"/>
      <c r="I500" s="27">
        <f>IF($A500="","",SUMIFS(入库单!$K$4:$K$2503,入库单!$G$4:$G$2503,$A500,入库单!$X$4:$X$2503,"采购入库",入库单!$Z$4:$Z$2503,"正常",入库单!$C$4:$C$2503,"&gt;="&amp;账期起,入库单!$C$4:$C$2503,"&lt;="&amp;账期止))</f>
        <v/>
      </c>
      <c r="J500" s="26">
        <f>IF($A500="","",SUMIFS(入库单!$V$4:$V$2503,入库单!$G$4:$G$2503,$A500,入库单!$X$4:$X$2503,"采购入库",入库单!$Z$4:$Z$2503,"正常",入库单!$C$4:$C$2503,"&gt;="&amp;账期起,入库单!$C$4:$C$2503,"&lt;="&amp;账期止))</f>
        <v/>
      </c>
      <c r="K500" s="26">
        <f>IF($A500="","",IFERROR(ROUND((N($H500)+N($J500))/(N($G500)+N($I500)),2),0))</f>
        <v/>
      </c>
      <c r="L500" s="27">
        <f>IF($A500="","",SUMIFS(入库单!$K$4:$K$2503,入库单!$G$4:$G$2503,$A500,入库单!$X$4:$X$2503,"盘盈",入库单!$Z$4:$Z$2503,"正常",入库单!$C$4:$C$2503,"&gt;="&amp;账期起,入库单!$C$4:$C$2503,"&lt;="&amp;账期止))</f>
        <v/>
      </c>
      <c r="M500" s="26">
        <f>IF($A500="","",ROUND($L500*$K500,0))</f>
        <v/>
      </c>
      <c r="N500" s="27">
        <f>IF($A500="","",SUMIFS(入库单!$K$4:$K$2503,入库单!$G$4:$G$2503,$A500,入库单!$X$4:$X$2503,"矿区退库",入库单!$Z$4:$Z$2503,"正常",入库单!$C$4:$C$2503,"&gt;="&amp;账期起,入库单!$C$4:$C$2503,"&lt;="&amp;账期止))</f>
        <v/>
      </c>
      <c r="O500" s="26">
        <f>IF($A500="","",ROUND($N500*$K500,0))</f>
        <v/>
      </c>
      <c r="P500" s="27">
        <f>IF($A500="","",SUMIFS(出库单!$J$4:$J$4003,出库单!$D$4:$D$4003,$A500,出库单!$K$4:$K$4003,"自用消耗",出库单!$U$4:$U$4003,"正常",出库单!$C$4:$C$4003,"&gt;="&amp;账期起,出库单!$C$4:$C$4003,"&lt;="&amp;账期止))</f>
        <v/>
      </c>
      <c r="Q500" s="26">
        <f>IF($A500="","",ROUND(SUMIFS(出库单!$S$4:$S$4003,出库单!$D$4:$D$4003,$A500,出库单!$K$4:$K$4003,"自用消耗",出库单!$U$4:$U$4003,"正常",出库单!$C$4:$C$4003,"&gt;="&amp;账期起,出库单!$C$4:$C$4003,"&lt;="&amp;账期止),0))</f>
        <v/>
      </c>
      <c r="R500" s="27">
        <f>IF($A500="","",SUMIFS(出库单!$J$4:$J$4003,出库单!$D$4:$D$4003,$A500,出库单!$K$4:$K$4003,"对外销售",出库单!$U$4:$U$4003,"正常",出库单!$C$4:$C$4003,"&gt;="&amp;账期起,出库单!$C$4:$C$4003,"&lt;="&amp;账期止))</f>
        <v/>
      </c>
      <c r="S500" s="26">
        <f>IF($A500="","",ROUND(SUMIFS(出库单!$S$4:$S$4003,出库单!$D$4:$D$4003,$A500,出库单!$K$4:$K$4003,"对外销售",出库单!$U$4:$U$4003,"正常",出库单!$C$4:$C$4003,"&gt;="&amp;账期起,出库单!$C$4:$C$4003,"&lt;="&amp;账期止),0))</f>
        <v/>
      </c>
      <c r="T500" s="27">
        <f>IF($A500="","",SUMIFS(出库单!$J$4:$J$4003,出库单!$D$4:$D$4003,$A500,出库单!$K$4:$K$4003,"盘亏",出库单!$U$4:$U$4003,"正常",出库单!$C$4:$C$4003,"&gt;="&amp;账期起,出库单!$C$4:$C$4003,"&lt;="&amp;账期止))</f>
        <v/>
      </c>
      <c r="U500" s="26">
        <f>IF($A500="","",ROUND(SUMIFS(出库单!$S$4:$S$4003,出库单!$D$4:$D$4003,$A500,出库单!$K$4:$K$4003,"盘亏",出库单!$U$4:$U$4003,"正常",出库单!$C$4:$C$4003,"&gt;="&amp;账期起,出库单!$C$4:$C$4003,"&lt;="&amp;账期止),0))</f>
        <v/>
      </c>
      <c r="V500" s="27">
        <f>IF($A500="","",SUMIFS(出库单!$J$4:$J$4003,出库单!$D$4:$D$4003,$A500,出库单!$K$4:$K$4003,"退货给供应商",出库单!$U$4:$U$4003,"正常",出库单!$C$4:$C$4003,"&gt;="&amp;账期起,出库单!$C$4:$C$4003,"&lt;="&amp;账期止))</f>
        <v/>
      </c>
      <c r="W500" s="26">
        <f>IF($A500="","",ROUND(SUMIFS(出库单!$S$4:$S$4003,出库单!$D$4:$D$4003,$A500,出库单!$K$4:$K$4003,"退货给供应商",出库单!$U$4:$U$4003,"正常",出库单!$C$4:$C$4003,"&gt;="&amp;账期起,出库单!$C$4:$C$4003,"&lt;="&amp;账期止),0))</f>
        <v/>
      </c>
      <c r="X500" s="27">
        <f>IF($A500="","",ROUND(N($G500)+$I500+$L500+$N500-$P500-$R500-$T500-$V500,3))</f>
        <v/>
      </c>
      <c r="Y500" s="26">
        <f>IF($A500="","",ROUND(N($H500)+$J500+$M500+$O500-$Q500-$S500-$U500-$W500,0))</f>
        <v/>
      </c>
      <c r="Z500" s="24">
        <f>IF($A500="","",IF(COUNTIFS(入库单!$G$4:$G$2503,$A500,入库单!$Y$4:$Y$2503,"待补价")+COUNTIFS(入库单!$G$4:$G$2503,$A500,入库单!$Y$4:$Y$2503,"暂估")&gt;0,"不可信","可信"))</f>
        <v/>
      </c>
      <c r="AA500" s="24">
        <f>IF($A500="","",IF($X500&lt;-0.001,"※账面负库存，查一下是不是漏记入库",IF(AND(ROUND($X500,3)=0,ABS($Y500)&gt;1),"※数量已经是 0，金额还挂着 "&amp;TEXT($Y500,"#,##0")&amp;" 先令",IF(AND($X500&gt;0,$Y500&lt;=0,$K500=0),"※有数量没金额（这个物料一直没填过进价）",IF($Z500="不可信","△成本含待补价/暂估，毛利仅供参考","")))))</f>
        <v/>
      </c>
    </row>
    <row r="501">
      <c r="A501" s="24">
        <f>IF(物料档案!$A500="","",物料档案!$A500)</f>
        <v/>
      </c>
      <c r="B501" s="24">
        <f>IF($A501="","",IFERROR(VLOOKUP($A501,物料档案!$A$4:$P$1203,3,0),""))</f>
        <v/>
      </c>
      <c r="C501" s="24">
        <f>IF($A501="","",IFERROR(VLOOKUP($A501,物料档案!$A$4:$P$1203,4,0),""))</f>
        <v/>
      </c>
      <c r="D501" s="24">
        <f>IF($A501="","",IFERROR(VLOOKUP($A501,物料档案!$A$4:$P$1203,5,0),""))</f>
        <v/>
      </c>
      <c r="E501" s="24">
        <f>IF($A501="","",IFERROR(VLOOKUP($A501,物料档案!$A$4:$P$1203,2,0),""))</f>
        <v/>
      </c>
      <c r="F501" s="24">
        <f>IF($A501="","",IFERROR(VLOOKUP($A501,物料档案!$A$4:$P$1203,6,0),""))</f>
        <v/>
      </c>
      <c r="G501" s="23" t="n"/>
      <c r="H501" s="32" t="n"/>
      <c r="I501" s="27">
        <f>IF($A501="","",SUMIFS(入库单!$K$4:$K$2503,入库单!$G$4:$G$2503,$A501,入库单!$X$4:$X$2503,"采购入库",入库单!$Z$4:$Z$2503,"正常",入库单!$C$4:$C$2503,"&gt;="&amp;账期起,入库单!$C$4:$C$2503,"&lt;="&amp;账期止))</f>
        <v/>
      </c>
      <c r="J501" s="26">
        <f>IF($A501="","",SUMIFS(入库单!$V$4:$V$2503,入库单!$G$4:$G$2503,$A501,入库单!$X$4:$X$2503,"采购入库",入库单!$Z$4:$Z$2503,"正常",入库单!$C$4:$C$2503,"&gt;="&amp;账期起,入库单!$C$4:$C$2503,"&lt;="&amp;账期止))</f>
        <v/>
      </c>
      <c r="K501" s="26">
        <f>IF($A501="","",IFERROR(ROUND((N($H501)+N($J501))/(N($G501)+N($I501)),2),0))</f>
        <v/>
      </c>
      <c r="L501" s="27">
        <f>IF($A501="","",SUMIFS(入库单!$K$4:$K$2503,入库单!$G$4:$G$2503,$A501,入库单!$X$4:$X$2503,"盘盈",入库单!$Z$4:$Z$2503,"正常",入库单!$C$4:$C$2503,"&gt;="&amp;账期起,入库单!$C$4:$C$2503,"&lt;="&amp;账期止))</f>
        <v/>
      </c>
      <c r="M501" s="26">
        <f>IF($A501="","",ROUND($L501*$K501,0))</f>
        <v/>
      </c>
      <c r="N501" s="27">
        <f>IF($A501="","",SUMIFS(入库单!$K$4:$K$2503,入库单!$G$4:$G$2503,$A501,入库单!$X$4:$X$2503,"矿区退库",入库单!$Z$4:$Z$2503,"正常",入库单!$C$4:$C$2503,"&gt;="&amp;账期起,入库单!$C$4:$C$2503,"&lt;="&amp;账期止))</f>
        <v/>
      </c>
      <c r="O501" s="26">
        <f>IF($A501="","",ROUND($N501*$K501,0))</f>
        <v/>
      </c>
      <c r="P501" s="27">
        <f>IF($A501="","",SUMIFS(出库单!$J$4:$J$4003,出库单!$D$4:$D$4003,$A501,出库单!$K$4:$K$4003,"自用消耗",出库单!$U$4:$U$4003,"正常",出库单!$C$4:$C$4003,"&gt;="&amp;账期起,出库单!$C$4:$C$4003,"&lt;="&amp;账期止))</f>
        <v/>
      </c>
      <c r="Q501" s="26">
        <f>IF($A501="","",ROUND(SUMIFS(出库单!$S$4:$S$4003,出库单!$D$4:$D$4003,$A501,出库单!$K$4:$K$4003,"自用消耗",出库单!$U$4:$U$4003,"正常",出库单!$C$4:$C$4003,"&gt;="&amp;账期起,出库单!$C$4:$C$4003,"&lt;="&amp;账期止),0))</f>
        <v/>
      </c>
      <c r="R501" s="27">
        <f>IF($A501="","",SUMIFS(出库单!$J$4:$J$4003,出库单!$D$4:$D$4003,$A501,出库单!$K$4:$K$4003,"对外销售",出库单!$U$4:$U$4003,"正常",出库单!$C$4:$C$4003,"&gt;="&amp;账期起,出库单!$C$4:$C$4003,"&lt;="&amp;账期止))</f>
        <v/>
      </c>
      <c r="S501" s="26">
        <f>IF($A501="","",ROUND(SUMIFS(出库单!$S$4:$S$4003,出库单!$D$4:$D$4003,$A501,出库单!$K$4:$K$4003,"对外销售",出库单!$U$4:$U$4003,"正常",出库单!$C$4:$C$4003,"&gt;="&amp;账期起,出库单!$C$4:$C$4003,"&lt;="&amp;账期止),0))</f>
        <v/>
      </c>
      <c r="T501" s="27">
        <f>IF($A501="","",SUMIFS(出库单!$J$4:$J$4003,出库单!$D$4:$D$4003,$A501,出库单!$K$4:$K$4003,"盘亏",出库单!$U$4:$U$4003,"正常",出库单!$C$4:$C$4003,"&gt;="&amp;账期起,出库单!$C$4:$C$4003,"&lt;="&amp;账期止))</f>
        <v/>
      </c>
      <c r="U501" s="26">
        <f>IF($A501="","",ROUND(SUMIFS(出库单!$S$4:$S$4003,出库单!$D$4:$D$4003,$A501,出库单!$K$4:$K$4003,"盘亏",出库单!$U$4:$U$4003,"正常",出库单!$C$4:$C$4003,"&gt;="&amp;账期起,出库单!$C$4:$C$4003,"&lt;="&amp;账期止),0))</f>
        <v/>
      </c>
      <c r="V501" s="27">
        <f>IF($A501="","",SUMIFS(出库单!$J$4:$J$4003,出库单!$D$4:$D$4003,$A501,出库单!$K$4:$K$4003,"退货给供应商",出库单!$U$4:$U$4003,"正常",出库单!$C$4:$C$4003,"&gt;="&amp;账期起,出库单!$C$4:$C$4003,"&lt;="&amp;账期止))</f>
        <v/>
      </c>
      <c r="W501" s="26">
        <f>IF($A501="","",ROUND(SUMIFS(出库单!$S$4:$S$4003,出库单!$D$4:$D$4003,$A501,出库单!$K$4:$K$4003,"退货给供应商",出库单!$U$4:$U$4003,"正常",出库单!$C$4:$C$4003,"&gt;="&amp;账期起,出库单!$C$4:$C$4003,"&lt;="&amp;账期止),0))</f>
        <v/>
      </c>
      <c r="X501" s="27">
        <f>IF($A501="","",ROUND(N($G501)+$I501+$L501+$N501-$P501-$R501-$T501-$V501,3))</f>
        <v/>
      </c>
      <c r="Y501" s="26">
        <f>IF($A501="","",ROUND(N($H501)+$J501+$M501+$O501-$Q501-$S501-$U501-$W501,0))</f>
        <v/>
      </c>
      <c r="Z501" s="24">
        <f>IF($A501="","",IF(COUNTIFS(入库单!$G$4:$G$2503,$A501,入库单!$Y$4:$Y$2503,"待补价")+COUNTIFS(入库单!$G$4:$G$2503,$A501,入库单!$Y$4:$Y$2503,"暂估")&gt;0,"不可信","可信"))</f>
        <v/>
      </c>
      <c r="AA501" s="24">
        <f>IF($A501="","",IF($X501&lt;-0.001,"※账面负库存，查一下是不是漏记入库",IF(AND(ROUND($X501,3)=0,ABS($Y501)&gt;1),"※数量已经是 0，金额还挂着 "&amp;TEXT($Y501,"#,##0")&amp;" 先令",IF(AND($X501&gt;0,$Y501&lt;=0,$K501=0),"※有数量没金额（这个物料一直没填过进价）",IF($Z501="不可信","△成本含待补价/暂估，毛利仅供参考","")))))</f>
        <v/>
      </c>
    </row>
    <row r="502">
      <c r="A502" s="24">
        <f>IF(物料档案!$A501="","",物料档案!$A501)</f>
        <v/>
      </c>
      <c r="B502" s="24">
        <f>IF($A502="","",IFERROR(VLOOKUP($A502,物料档案!$A$4:$P$1203,3,0),""))</f>
        <v/>
      </c>
      <c r="C502" s="24">
        <f>IF($A502="","",IFERROR(VLOOKUP($A502,物料档案!$A$4:$P$1203,4,0),""))</f>
        <v/>
      </c>
      <c r="D502" s="24">
        <f>IF($A502="","",IFERROR(VLOOKUP($A502,物料档案!$A$4:$P$1203,5,0),""))</f>
        <v/>
      </c>
      <c r="E502" s="24">
        <f>IF($A502="","",IFERROR(VLOOKUP($A502,物料档案!$A$4:$P$1203,2,0),""))</f>
        <v/>
      </c>
      <c r="F502" s="24">
        <f>IF($A502="","",IFERROR(VLOOKUP($A502,物料档案!$A$4:$P$1203,6,0),""))</f>
        <v/>
      </c>
      <c r="G502" s="23" t="n"/>
      <c r="H502" s="32" t="n"/>
      <c r="I502" s="27">
        <f>IF($A502="","",SUMIFS(入库单!$K$4:$K$2503,入库单!$G$4:$G$2503,$A502,入库单!$X$4:$X$2503,"采购入库",入库单!$Z$4:$Z$2503,"正常",入库单!$C$4:$C$2503,"&gt;="&amp;账期起,入库单!$C$4:$C$2503,"&lt;="&amp;账期止))</f>
        <v/>
      </c>
      <c r="J502" s="26">
        <f>IF($A502="","",SUMIFS(入库单!$V$4:$V$2503,入库单!$G$4:$G$2503,$A502,入库单!$X$4:$X$2503,"采购入库",入库单!$Z$4:$Z$2503,"正常",入库单!$C$4:$C$2503,"&gt;="&amp;账期起,入库单!$C$4:$C$2503,"&lt;="&amp;账期止))</f>
        <v/>
      </c>
      <c r="K502" s="26">
        <f>IF($A502="","",IFERROR(ROUND((N($H502)+N($J502))/(N($G502)+N($I502)),2),0))</f>
        <v/>
      </c>
      <c r="L502" s="27">
        <f>IF($A502="","",SUMIFS(入库单!$K$4:$K$2503,入库单!$G$4:$G$2503,$A502,入库单!$X$4:$X$2503,"盘盈",入库单!$Z$4:$Z$2503,"正常",入库单!$C$4:$C$2503,"&gt;="&amp;账期起,入库单!$C$4:$C$2503,"&lt;="&amp;账期止))</f>
        <v/>
      </c>
      <c r="M502" s="26">
        <f>IF($A502="","",ROUND($L502*$K502,0))</f>
        <v/>
      </c>
      <c r="N502" s="27">
        <f>IF($A502="","",SUMIFS(入库单!$K$4:$K$2503,入库单!$G$4:$G$2503,$A502,入库单!$X$4:$X$2503,"矿区退库",入库单!$Z$4:$Z$2503,"正常",入库单!$C$4:$C$2503,"&gt;="&amp;账期起,入库单!$C$4:$C$2503,"&lt;="&amp;账期止))</f>
        <v/>
      </c>
      <c r="O502" s="26">
        <f>IF($A502="","",ROUND($N502*$K502,0))</f>
        <v/>
      </c>
      <c r="P502" s="27">
        <f>IF($A502="","",SUMIFS(出库单!$J$4:$J$4003,出库单!$D$4:$D$4003,$A502,出库单!$K$4:$K$4003,"自用消耗",出库单!$U$4:$U$4003,"正常",出库单!$C$4:$C$4003,"&gt;="&amp;账期起,出库单!$C$4:$C$4003,"&lt;="&amp;账期止))</f>
        <v/>
      </c>
      <c r="Q502" s="26">
        <f>IF($A502="","",ROUND(SUMIFS(出库单!$S$4:$S$4003,出库单!$D$4:$D$4003,$A502,出库单!$K$4:$K$4003,"自用消耗",出库单!$U$4:$U$4003,"正常",出库单!$C$4:$C$4003,"&gt;="&amp;账期起,出库单!$C$4:$C$4003,"&lt;="&amp;账期止),0))</f>
        <v/>
      </c>
      <c r="R502" s="27">
        <f>IF($A502="","",SUMIFS(出库单!$J$4:$J$4003,出库单!$D$4:$D$4003,$A502,出库单!$K$4:$K$4003,"对外销售",出库单!$U$4:$U$4003,"正常",出库单!$C$4:$C$4003,"&gt;="&amp;账期起,出库单!$C$4:$C$4003,"&lt;="&amp;账期止))</f>
        <v/>
      </c>
      <c r="S502" s="26">
        <f>IF($A502="","",ROUND(SUMIFS(出库单!$S$4:$S$4003,出库单!$D$4:$D$4003,$A502,出库单!$K$4:$K$4003,"对外销售",出库单!$U$4:$U$4003,"正常",出库单!$C$4:$C$4003,"&gt;="&amp;账期起,出库单!$C$4:$C$4003,"&lt;="&amp;账期止),0))</f>
        <v/>
      </c>
      <c r="T502" s="27">
        <f>IF($A502="","",SUMIFS(出库单!$J$4:$J$4003,出库单!$D$4:$D$4003,$A502,出库单!$K$4:$K$4003,"盘亏",出库单!$U$4:$U$4003,"正常",出库单!$C$4:$C$4003,"&gt;="&amp;账期起,出库单!$C$4:$C$4003,"&lt;="&amp;账期止))</f>
        <v/>
      </c>
      <c r="U502" s="26">
        <f>IF($A502="","",ROUND(SUMIFS(出库单!$S$4:$S$4003,出库单!$D$4:$D$4003,$A502,出库单!$K$4:$K$4003,"盘亏",出库单!$U$4:$U$4003,"正常",出库单!$C$4:$C$4003,"&gt;="&amp;账期起,出库单!$C$4:$C$4003,"&lt;="&amp;账期止),0))</f>
        <v/>
      </c>
      <c r="V502" s="27">
        <f>IF($A502="","",SUMIFS(出库单!$J$4:$J$4003,出库单!$D$4:$D$4003,$A502,出库单!$K$4:$K$4003,"退货给供应商",出库单!$U$4:$U$4003,"正常",出库单!$C$4:$C$4003,"&gt;="&amp;账期起,出库单!$C$4:$C$4003,"&lt;="&amp;账期止))</f>
        <v/>
      </c>
      <c r="W502" s="26">
        <f>IF($A502="","",ROUND(SUMIFS(出库单!$S$4:$S$4003,出库单!$D$4:$D$4003,$A502,出库单!$K$4:$K$4003,"退货给供应商",出库单!$U$4:$U$4003,"正常",出库单!$C$4:$C$4003,"&gt;="&amp;账期起,出库单!$C$4:$C$4003,"&lt;="&amp;账期止),0))</f>
        <v/>
      </c>
      <c r="X502" s="27">
        <f>IF($A502="","",ROUND(N($G502)+$I502+$L502+$N502-$P502-$R502-$T502-$V502,3))</f>
        <v/>
      </c>
      <c r="Y502" s="26">
        <f>IF($A502="","",ROUND(N($H502)+$J502+$M502+$O502-$Q502-$S502-$U502-$W502,0))</f>
        <v/>
      </c>
      <c r="Z502" s="24">
        <f>IF($A502="","",IF(COUNTIFS(入库单!$G$4:$G$2503,$A502,入库单!$Y$4:$Y$2503,"待补价")+COUNTIFS(入库单!$G$4:$G$2503,$A502,入库单!$Y$4:$Y$2503,"暂估")&gt;0,"不可信","可信"))</f>
        <v/>
      </c>
      <c r="AA502" s="24">
        <f>IF($A502="","",IF($X502&lt;-0.001,"※账面负库存，查一下是不是漏记入库",IF(AND(ROUND($X502,3)=0,ABS($Y502)&gt;1),"※数量已经是 0，金额还挂着 "&amp;TEXT($Y502,"#,##0")&amp;" 先令",IF(AND($X502&gt;0,$Y502&lt;=0,$K502=0),"※有数量没金额（这个物料一直没填过进价）",IF($Z502="不可信","△成本含待补价/暂估，毛利仅供参考","")))))</f>
        <v/>
      </c>
    </row>
    <row r="503">
      <c r="A503" s="24">
        <f>IF(物料档案!$A502="","",物料档案!$A502)</f>
        <v/>
      </c>
      <c r="B503" s="24">
        <f>IF($A503="","",IFERROR(VLOOKUP($A503,物料档案!$A$4:$P$1203,3,0),""))</f>
        <v/>
      </c>
      <c r="C503" s="24">
        <f>IF($A503="","",IFERROR(VLOOKUP($A503,物料档案!$A$4:$P$1203,4,0),""))</f>
        <v/>
      </c>
      <c r="D503" s="24">
        <f>IF($A503="","",IFERROR(VLOOKUP($A503,物料档案!$A$4:$P$1203,5,0),""))</f>
        <v/>
      </c>
      <c r="E503" s="24">
        <f>IF($A503="","",IFERROR(VLOOKUP($A503,物料档案!$A$4:$P$1203,2,0),""))</f>
        <v/>
      </c>
      <c r="F503" s="24">
        <f>IF($A503="","",IFERROR(VLOOKUP($A503,物料档案!$A$4:$P$1203,6,0),""))</f>
        <v/>
      </c>
      <c r="G503" s="23" t="n"/>
      <c r="H503" s="32" t="n"/>
      <c r="I503" s="27">
        <f>IF($A503="","",SUMIFS(入库单!$K$4:$K$2503,入库单!$G$4:$G$2503,$A503,入库单!$X$4:$X$2503,"采购入库",入库单!$Z$4:$Z$2503,"正常",入库单!$C$4:$C$2503,"&gt;="&amp;账期起,入库单!$C$4:$C$2503,"&lt;="&amp;账期止))</f>
        <v/>
      </c>
      <c r="J503" s="26">
        <f>IF($A503="","",SUMIFS(入库单!$V$4:$V$2503,入库单!$G$4:$G$2503,$A503,入库单!$X$4:$X$2503,"采购入库",入库单!$Z$4:$Z$2503,"正常",入库单!$C$4:$C$2503,"&gt;="&amp;账期起,入库单!$C$4:$C$2503,"&lt;="&amp;账期止))</f>
        <v/>
      </c>
      <c r="K503" s="26">
        <f>IF($A503="","",IFERROR(ROUND((N($H503)+N($J503))/(N($G503)+N($I503)),2),0))</f>
        <v/>
      </c>
      <c r="L503" s="27">
        <f>IF($A503="","",SUMIFS(入库单!$K$4:$K$2503,入库单!$G$4:$G$2503,$A503,入库单!$X$4:$X$2503,"盘盈",入库单!$Z$4:$Z$2503,"正常",入库单!$C$4:$C$2503,"&gt;="&amp;账期起,入库单!$C$4:$C$2503,"&lt;="&amp;账期止))</f>
        <v/>
      </c>
      <c r="M503" s="26">
        <f>IF($A503="","",ROUND($L503*$K503,0))</f>
        <v/>
      </c>
      <c r="N503" s="27">
        <f>IF($A503="","",SUMIFS(入库单!$K$4:$K$2503,入库单!$G$4:$G$2503,$A503,入库单!$X$4:$X$2503,"矿区退库",入库单!$Z$4:$Z$2503,"正常",入库单!$C$4:$C$2503,"&gt;="&amp;账期起,入库单!$C$4:$C$2503,"&lt;="&amp;账期止))</f>
        <v/>
      </c>
      <c r="O503" s="26">
        <f>IF($A503="","",ROUND($N503*$K503,0))</f>
        <v/>
      </c>
      <c r="P503" s="27">
        <f>IF($A503="","",SUMIFS(出库单!$J$4:$J$4003,出库单!$D$4:$D$4003,$A503,出库单!$K$4:$K$4003,"自用消耗",出库单!$U$4:$U$4003,"正常",出库单!$C$4:$C$4003,"&gt;="&amp;账期起,出库单!$C$4:$C$4003,"&lt;="&amp;账期止))</f>
        <v/>
      </c>
      <c r="Q503" s="26">
        <f>IF($A503="","",ROUND(SUMIFS(出库单!$S$4:$S$4003,出库单!$D$4:$D$4003,$A503,出库单!$K$4:$K$4003,"自用消耗",出库单!$U$4:$U$4003,"正常",出库单!$C$4:$C$4003,"&gt;="&amp;账期起,出库单!$C$4:$C$4003,"&lt;="&amp;账期止),0))</f>
        <v/>
      </c>
      <c r="R503" s="27">
        <f>IF($A503="","",SUMIFS(出库单!$J$4:$J$4003,出库单!$D$4:$D$4003,$A503,出库单!$K$4:$K$4003,"对外销售",出库单!$U$4:$U$4003,"正常",出库单!$C$4:$C$4003,"&gt;="&amp;账期起,出库单!$C$4:$C$4003,"&lt;="&amp;账期止))</f>
        <v/>
      </c>
      <c r="S503" s="26">
        <f>IF($A503="","",ROUND(SUMIFS(出库单!$S$4:$S$4003,出库单!$D$4:$D$4003,$A503,出库单!$K$4:$K$4003,"对外销售",出库单!$U$4:$U$4003,"正常",出库单!$C$4:$C$4003,"&gt;="&amp;账期起,出库单!$C$4:$C$4003,"&lt;="&amp;账期止),0))</f>
        <v/>
      </c>
      <c r="T503" s="27">
        <f>IF($A503="","",SUMIFS(出库单!$J$4:$J$4003,出库单!$D$4:$D$4003,$A503,出库单!$K$4:$K$4003,"盘亏",出库单!$U$4:$U$4003,"正常",出库单!$C$4:$C$4003,"&gt;="&amp;账期起,出库单!$C$4:$C$4003,"&lt;="&amp;账期止))</f>
        <v/>
      </c>
      <c r="U503" s="26">
        <f>IF($A503="","",ROUND(SUMIFS(出库单!$S$4:$S$4003,出库单!$D$4:$D$4003,$A503,出库单!$K$4:$K$4003,"盘亏",出库单!$U$4:$U$4003,"正常",出库单!$C$4:$C$4003,"&gt;="&amp;账期起,出库单!$C$4:$C$4003,"&lt;="&amp;账期止),0))</f>
        <v/>
      </c>
      <c r="V503" s="27">
        <f>IF($A503="","",SUMIFS(出库单!$J$4:$J$4003,出库单!$D$4:$D$4003,$A503,出库单!$K$4:$K$4003,"退货给供应商",出库单!$U$4:$U$4003,"正常",出库单!$C$4:$C$4003,"&gt;="&amp;账期起,出库单!$C$4:$C$4003,"&lt;="&amp;账期止))</f>
        <v/>
      </c>
      <c r="W503" s="26">
        <f>IF($A503="","",ROUND(SUMIFS(出库单!$S$4:$S$4003,出库单!$D$4:$D$4003,$A503,出库单!$K$4:$K$4003,"退货给供应商",出库单!$U$4:$U$4003,"正常",出库单!$C$4:$C$4003,"&gt;="&amp;账期起,出库单!$C$4:$C$4003,"&lt;="&amp;账期止),0))</f>
        <v/>
      </c>
      <c r="X503" s="27">
        <f>IF($A503="","",ROUND(N($G503)+$I503+$L503+$N503-$P503-$R503-$T503-$V503,3))</f>
        <v/>
      </c>
      <c r="Y503" s="26">
        <f>IF($A503="","",ROUND(N($H503)+$J503+$M503+$O503-$Q503-$S503-$U503-$W503,0))</f>
        <v/>
      </c>
      <c r="Z503" s="24">
        <f>IF($A503="","",IF(COUNTIFS(入库单!$G$4:$G$2503,$A503,入库单!$Y$4:$Y$2503,"待补价")+COUNTIFS(入库单!$G$4:$G$2503,$A503,入库单!$Y$4:$Y$2503,"暂估")&gt;0,"不可信","可信"))</f>
        <v/>
      </c>
      <c r="AA503" s="24">
        <f>IF($A503="","",IF($X503&lt;-0.001,"※账面负库存，查一下是不是漏记入库",IF(AND(ROUND($X503,3)=0,ABS($Y503)&gt;1),"※数量已经是 0，金额还挂着 "&amp;TEXT($Y503,"#,##0")&amp;" 先令",IF(AND($X503&gt;0,$Y503&lt;=0,$K503=0),"※有数量没金额（这个物料一直没填过进价）",IF($Z503="不可信","△成本含待补价/暂估，毛利仅供参考","")))))</f>
        <v/>
      </c>
    </row>
    <row r="504">
      <c r="A504" s="24">
        <f>IF(物料档案!$A503="","",物料档案!$A503)</f>
        <v/>
      </c>
      <c r="B504" s="24">
        <f>IF($A504="","",IFERROR(VLOOKUP($A504,物料档案!$A$4:$P$1203,3,0),""))</f>
        <v/>
      </c>
      <c r="C504" s="24">
        <f>IF($A504="","",IFERROR(VLOOKUP($A504,物料档案!$A$4:$P$1203,4,0),""))</f>
        <v/>
      </c>
      <c r="D504" s="24">
        <f>IF($A504="","",IFERROR(VLOOKUP($A504,物料档案!$A$4:$P$1203,5,0),""))</f>
        <v/>
      </c>
      <c r="E504" s="24">
        <f>IF($A504="","",IFERROR(VLOOKUP($A504,物料档案!$A$4:$P$1203,2,0),""))</f>
        <v/>
      </c>
      <c r="F504" s="24">
        <f>IF($A504="","",IFERROR(VLOOKUP($A504,物料档案!$A$4:$P$1203,6,0),""))</f>
        <v/>
      </c>
      <c r="G504" s="23" t="n"/>
      <c r="H504" s="32" t="n"/>
      <c r="I504" s="27">
        <f>IF($A504="","",SUMIFS(入库单!$K$4:$K$2503,入库单!$G$4:$G$2503,$A504,入库单!$X$4:$X$2503,"采购入库",入库单!$Z$4:$Z$2503,"正常",入库单!$C$4:$C$2503,"&gt;="&amp;账期起,入库单!$C$4:$C$2503,"&lt;="&amp;账期止))</f>
        <v/>
      </c>
      <c r="J504" s="26">
        <f>IF($A504="","",SUMIFS(入库单!$V$4:$V$2503,入库单!$G$4:$G$2503,$A504,入库单!$X$4:$X$2503,"采购入库",入库单!$Z$4:$Z$2503,"正常",入库单!$C$4:$C$2503,"&gt;="&amp;账期起,入库单!$C$4:$C$2503,"&lt;="&amp;账期止))</f>
        <v/>
      </c>
      <c r="K504" s="26">
        <f>IF($A504="","",IFERROR(ROUND((N($H504)+N($J504))/(N($G504)+N($I504)),2),0))</f>
        <v/>
      </c>
      <c r="L504" s="27">
        <f>IF($A504="","",SUMIFS(入库单!$K$4:$K$2503,入库单!$G$4:$G$2503,$A504,入库单!$X$4:$X$2503,"盘盈",入库单!$Z$4:$Z$2503,"正常",入库单!$C$4:$C$2503,"&gt;="&amp;账期起,入库单!$C$4:$C$2503,"&lt;="&amp;账期止))</f>
        <v/>
      </c>
      <c r="M504" s="26">
        <f>IF($A504="","",ROUND($L504*$K504,0))</f>
        <v/>
      </c>
      <c r="N504" s="27">
        <f>IF($A504="","",SUMIFS(入库单!$K$4:$K$2503,入库单!$G$4:$G$2503,$A504,入库单!$X$4:$X$2503,"矿区退库",入库单!$Z$4:$Z$2503,"正常",入库单!$C$4:$C$2503,"&gt;="&amp;账期起,入库单!$C$4:$C$2503,"&lt;="&amp;账期止))</f>
        <v/>
      </c>
      <c r="O504" s="26">
        <f>IF($A504="","",ROUND($N504*$K504,0))</f>
        <v/>
      </c>
      <c r="P504" s="27">
        <f>IF($A504="","",SUMIFS(出库单!$J$4:$J$4003,出库单!$D$4:$D$4003,$A504,出库单!$K$4:$K$4003,"自用消耗",出库单!$U$4:$U$4003,"正常",出库单!$C$4:$C$4003,"&gt;="&amp;账期起,出库单!$C$4:$C$4003,"&lt;="&amp;账期止))</f>
        <v/>
      </c>
      <c r="Q504" s="26">
        <f>IF($A504="","",ROUND(SUMIFS(出库单!$S$4:$S$4003,出库单!$D$4:$D$4003,$A504,出库单!$K$4:$K$4003,"自用消耗",出库单!$U$4:$U$4003,"正常",出库单!$C$4:$C$4003,"&gt;="&amp;账期起,出库单!$C$4:$C$4003,"&lt;="&amp;账期止),0))</f>
        <v/>
      </c>
      <c r="R504" s="27">
        <f>IF($A504="","",SUMIFS(出库单!$J$4:$J$4003,出库单!$D$4:$D$4003,$A504,出库单!$K$4:$K$4003,"对外销售",出库单!$U$4:$U$4003,"正常",出库单!$C$4:$C$4003,"&gt;="&amp;账期起,出库单!$C$4:$C$4003,"&lt;="&amp;账期止))</f>
        <v/>
      </c>
      <c r="S504" s="26">
        <f>IF($A504="","",ROUND(SUMIFS(出库单!$S$4:$S$4003,出库单!$D$4:$D$4003,$A504,出库单!$K$4:$K$4003,"对外销售",出库单!$U$4:$U$4003,"正常",出库单!$C$4:$C$4003,"&gt;="&amp;账期起,出库单!$C$4:$C$4003,"&lt;="&amp;账期止),0))</f>
        <v/>
      </c>
      <c r="T504" s="27">
        <f>IF($A504="","",SUMIFS(出库单!$J$4:$J$4003,出库单!$D$4:$D$4003,$A504,出库单!$K$4:$K$4003,"盘亏",出库单!$U$4:$U$4003,"正常",出库单!$C$4:$C$4003,"&gt;="&amp;账期起,出库单!$C$4:$C$4003,"&lt;="&amp;账期止))</f>
        <v/>
      </c>
      <c r="U504" s="26">
        <f>IF($A504="","",ROUND(SUMIFS(出库单!$S$4:$S$4003,出库单!$D$4:$D$4003,$A504,出库单!$K$4:$K$4003,"盘亏",出库单!$U$4:$U$4003,"正常",出库单!$C$4:$C$4003,"&gt;="&amp;账期起,出库单!$C$4:$C$4003,"&lt;="&amp;账期止),0))</f>
        <v/>
      </c>
      <c r="V504" s="27">
        <f>IF($A504="","",SUMIFS(出库单!$J$4:$J$4003,出库单!$D$4:$D$4003,$A504,出库单!$K$4:$K$4003,"退货给供应商",出库单!$U$4:$U$4003,"正常",出库单!$C$4:$C$4003,"&gt;="&amp;账期起,出库单!$C$4:$C$4003,"&lt;="&amp;账期止))</f>
        <v/>
      </c>
      <c r="W504" s="26">
        <f>IF($A504="","",ROUND(SUMIFS(出库单!$S$4:$S$4003,出库单!$D$4:$D$4003,$A504,出库单!$K$4:$K$4003,"退货给供应商",出库单!$U$4:$U$4003,"正常",出库单!$C$4:$C$4003,"&gt;="&amp;账期起,出库单!$C$4:$C$4003,"&lt;="&amp;账期止),0))</f>
        <v/>
      </c>
      <c r="X504" s="27">
        <f>IF($A504="","",ROUND(N($G504)+$I504+$L504+$N504-$P504-$R504-$T504-$V504,3))</f>
        <v/>
      </c>
      <c r="Y504" s="26">
        <f>IF($A504="","",ROUND(N($H504)+$J504+$M504+$O504-$Q504-$S504-$U504-$W504,0))</f>
        <v/>
      </c>
      <c r="Z504" s="24">
        <f>IF($A504="","",IF(COUNTIFS(入库单!$G$4:$G$2503,$A504,入库单!$Y$4:$Y$2503,"待补价")+COUNTIFS(入库单!$G$4:$G$2503,$A504,入库单!$Y$4:$Y$2503,"暂估")&gt;0,"不可信","可信"))</f>
        <v/>
      </c>
      <c r="AA504" s="24">
        <f>IF($A504="","",IF($X504&lt;-0.001,"※账面负库存，查一下是不是漏记入库",IF(AND(ROUND($X504,3)=0,ABS($Y504)&gt;1),"※数量已经是 0，金额还挂着 "&amp;TEXT($Y504,"#,##0")&amp;" 先令",IF(AND($X504&gt;0,$Y504&lt;=0,$K504=0),"※有数量没金额（这个物料一直没填过进价）",IF($Z504="不可信","△成本含待补价/暂估，毛利仅供参考","")))))</f>
        <v/>
      </c>
    </row>
    <row r="505">
      <c r="A505" s="24">
        <f>IF(物料档案!$A504="","",物料档案!$A504)</f>
        <v/>
      </c>
      <c r="B505" s="24">
        <f>IF($A505="","",IFERROR(VLOOKUP($A505,物料档案!$A$4:$P$1203,3,0),""))</f>
        <v/>
      </c>
      <c r="C505" s="24">
        <f>IF($A505="","",IFERROR(VLOOKUP($A505,物料档案!$A$4:$P$1203,4,0),""))</f>
        <v/>
      </c>
      <c r="D505" s="24">
        <f>IF($A505="","",IFERROR(VLOOKUP($A505,物料档案!$A$4:$P$1203,5,0),""))</f>
        <v/>
      </c>
      <c r="E505" s="24">
        <f>IF($A505="","",IFERROR(VLOOKUP($A505,物料档案!$A$4:$P$1203,2,0),""))</f>
        <v/>
      </c>
      <c r="F505" s="24">
        <f>IF($A505="","",IFERROR(VLOOKUP($A505,物料档案!$A$4:$P$1203,6,0),""))</f>
        <v/>
      </c>
      <c r="G505" s="23" t="n"/>
      <c r="H505" s="32" t="n"/>
      <c r="I505" s="27">
        <f>IF($A505="","",SUMIFS(入库单!$K$4:$K$2503,入库单!$G$4:$G$2503,$A505,入库单!$X$4:$X$2503,"采购入库",入库单!$Z$4:$Z$2503,"正常",入库单!$C$4:$C$2503,"&gt;="&amp;账期起,入库单!$C$4:$C$2503,"&lt;="&amp;账期止))</f>
        <v/>
      </c>
      <c r="J505" s="26">
        <f>IF($A505="","",SUMIFS(入库单!$V$4:$V$2503,入库单!$G$4:$G$2503,$A505,入库单!$X$4:$X$2503,"采购入库",入库单!$Z$4:$Z$2503,"正常",入库单!$C$4:$C$2503,"&gt;="&amp;账期起,入库单!$C$4:$C$2503,"&lt;="&amp;账期止))</f>
        <v/>
      </c>
      <c r="K505" s="26">
        <f>IF($A505="","",IFERROR(ROUND((N($H505)+N($J505))/(N($G505)+N($I505)),2),0))</f>
        <v/>
      </c>
      <c r="L505" s="27">
        <f>IF($A505="","",SUMIFS(入库单!$K$4:$K$2503,入库单!$G$4:$G$2503,$A505,入库单!$X$4:$X$2503,"盘盈",入库单!$Z$4:$Z$2503,"正常",入库单!$C$4:$C$2503,"&gt;="&amp;账期起,入库单!$C$4:$C$2503,"&lt;="&amp;账期止))</f>
        <v/>
      </c>
      <c r="M505" s="26">
        <f>IF($A505="","",ROUND($L505*$K505,0))</f>
        <v/>
      </c>
      <c r="N505" s="27">
        <f>IF($A505="","",SUMIFS(入库单!$K$4:$K$2503,入库单!$G$4:$G$2503,$A505,入库单!$X$4:$X$2503,"矿区退库",入库单!$Z$4:$Z$2503,"正常",入库单!$C$4:$C$2503,"&gt;="&amp;账期起,入库单!$C$4:$C$2503,"&lt;="&amp;账期止))</f>
        <v/>
      </c>
      <c r="O505" s="26">
        <f>IF($A505="","",ROUND($N505*$K505,0))</f>
        <v/>
      </c>
      <c r="P505" s="27">
        <f>IF($A505="","",SUMIFS(出库单!$J$4:$J$4003,出库单!$D$4:$D$4003,$A505,出库单!$K$4:$K$4003,"自用消耗",出库单!$U$4:$U$4003,"正常",出库单!$C$4:$C$4003,"&gt;="&amp;账期起,出库单!$C$4:$C$4003,"&lt;="&amp;账期止))</f>
        <v/>
      </c>
      <c r="Q505" s="26">
        <f>IF($A505="","",ROUND(SUMIFS(出库单!$S$4:$S$4003,出库单!$D$4:$D$4003,$A505,出库单!$K$4:$K$4003,"自用消耗",出库单!$U$4:$U$4003,"正常",出库单!$C$4:$C$4003,"&gt;="&amp;账期起,出库单!$C$4:$C$4003,"&lt;="&amp;账期止),0))</f>
        <v/>
      </c>
      <c r="R505" s="27">
        <f>IF($A505="","",SUMIFS(出库单!$J$4:$J$4003,出库单!$D$4:$D$4003,$A505,出库单!$K$4:$K$4003,"对外销售",出库单!$U$4:$U$4003,"正常",出库单!$C$4:$C$4003,"&gt;="&amp;账期起,出库单!$C$4:$C$4003,"&lt;="&amp;账期止))</f>
        <v/>
      </c>
      <c r="S505" s="26">
        <f>IF($A505="","",ROUND(SUMIFS(出库单!$S$4:$S$4003,出库单!$D$4:$D$4003,$A505,出库单!$K$4:$K$4003,"对外销售",出库单!$U$4:$U$4003,"正常",出库单!$C$4:$C$4003,"&gt;="&amp;账期起,出库单!$C$4:$C$4003,"&lt;="&amp;账期止),0))</f>
        <v/>
      </c>
      <c r="T505" s="27">
        <f>IF($A505="","",SUMIFS(出库单!$J$4:$J$4003,出库单!$D$4:$D$4003,$A505,出库单!$K$4:$K$4003,"盘亏",出库单!$U$4:$U$4003,"正常",出库单!$C$4:$C$4003,"&gt;="&amp;账期起,出库单!$C$4:$C$4003,"&lt;="&amp;账期止))</f>
        <v/>
      </c>
      <c r="U505" s="26">
        <f>IF($A505="","",ROUND(SUMIFS(出库单!$S$4:$S$4003,出库单!$D$4:$D$4003,$A505,出库单!$K$4:$K$4003,"盘亏",出库单!$U$4:$U$4003,"正常",出库单!$C$4:$C$4003,"&gt;="&amp;账期起,出库单!$C$4:$C$4003,"&lt;="&amp;账期止),0))</f>
        <v/>
      </c>
      <c r="V505" s="27">
        <f>IF($A505="","",SUMIFS(出库单!$J$4:$J$4003,出库单!$D$4:$D$4003,$A505,出库单!$K$4:$K$4003,"退货给供应商",出库单!$U$4:$U$4003,"正常",出库单!$C$4:$C$4003,"&gt;="&amp;账期起,出库单!$C$4:$C$4003,"&lt;="&amp;账期止))</f>
        <v/>
      </c>
      <c r="W505" s="26">
        <f>IF($A505="","",ROUND(SUMIFS(出库单!$S$4:$S$4003,出库单!$D$4:$D$4003,$A505,出库单!$K$4:$K$4003,"退货给供应商",出库单!$U$4:$U$4003,"正常",出库单!$C$4:$C$4003,"&gt;="&amp;账期起,出库单!$C$4:$C$4003,"&lt;="&amp;账期止),0))</f>
        <v/>
      </c>
      <c r="X505" s="27">
        <f>IF($A505="","",ROUND(N($G505)+$I505+$L505+$N505-$P505-$R505-$T505-$V505,3))</f>
        <v/>
      </c>
      <c r="Y505" s="26">
        <f>IF($A505="","",ROUND(N($H505)+$J505+$M505+$O505-$Q505-$S505-$U505-$W505,0))</f>
        <v/>
      </c>
      <c r="Z505" s="24">
        <f>IF($A505="","",IF(COUNTIFS(入库单!$G$4:$G$2503,$A505,入库单!$Y$4:$Y$2503,"待补价")+COUNTIFS(入库单!$G$4:$G$2503,$A505,入库单!$Y$4:$Y$2503,"暂估")&gt;0,"不可信","可信"))</f>
        <v/>
      </c>
      <c r="AA505" s="24">
        <f>IF($A505="","",IF($X505&lt;-0.001,"※账面负库存，查一下是不是漏记入库",IF(AND(ROUND($X505,3)=0,ABS($Y505)&gt;1),"※数量已经是 0，金额还挂着 "&amp;TEXT($Y505,"#,##0")&amp;" 先令",IF(AND($X505&gt;0,$Y505&lt;=0,$K505=0),"※有数量没金额（这个物料一直没填过进价）",IF($Z505="不可信","△成本含待补价/暂估，毛利仅供参考","")))))</f>
        <v/>
      </c>
    </row>
    <row r="506">
      <c r="A506" s="24">
        <f>IF(物料档案!$A505="","",物料档案!$A505)</f>
        <v/>
      </c>
      <c r="B506" s="24">
        <f>IF($A506="","",IFERROR(VLOOKUP($A506,物料档案!$A$4:$P$1203,3,0),""))</f>
        <v/>
      </c>
      <c r="C506" s="24">
        <f>IF($A506="","",IFERROR(VLOOKUP($A506,物料档案!$A$4:$P$1203,4,0),""))</f>
        <v/>
      </c>
      <c r="D506" s="24">
        <f>IF($A506="","",IFERROR(VLOOKUP($A506,物料档案!$A$4:$P$1203,5,0),""))</f>
        <v/>
      </c>
      <c r="E506" s="24">
        <f>IF($A506="","",IFERROR(VLOOKUP($A506,物料档案!$A$4:$P$1203,2,0),""))</f>
        <v/>
      </c>
      <c r="F506" s="24">
        <f>IF($A506="","",IFERROR(VLOOKUP($A506,物料档案!$A$4:$P$1203,6,0),""))</f>
        <v/>
      </c>
      <c r="G506" s="23" t="n"/>
      <c r="H506" s="32" t="n"/>
      <c r="I506" s="27">
        <f>IF($A506="","",SUMIFS(入库单!$K$4:$K$2503,入库单!$G$4:$G$2503,$A506,入库单!$X$4:$X$2503,"采购入库",入库单!$Z$4:$Z$2503,"正常",入库单!$C$4:$C$2503,"&gt;="&amp;账期起,入库单!$C$4:$C$2503,"&lt;="&amp;账期止))</f>
        <v/>
      </c>
      <c r="J506" s="26">
        <f>IF($A506="","",SUMIFS(入库单!$V$4:$V$2503,入库单!$G$4:$G$2503,$A506,入库单!$X$4:$X$2503,"采购入库",入库单!$Z$4:$Z$2503,"正常",入库单!$C$4:$C$2503,"&gt;="&amp;账期起,入库单!$C$4:$C$2503,"&lt;="&amp;账期止))</f>
        <v/>
      </c>
      <c r="K506" s="26">
        <f>IF($A506="","",IFERROR(ROUND((N($H506)+N($J506))/(N($G506)+N($I506)),2),0))</f>
        <v/>
      </c>
      <c r="L506" s="27">
        <f>IF($A506="","",SUMIFS(入库单!$K$4:$K$2503,入库单!$G$4:$G$2503,$A506,入库单!$X$4:$X$2503,"盘盈",入库单!$Z$4:$Z$2503,"正常",入库单!$C$4:$C$2503,"&gt;="&amp;账期起,入库单!$C$4:$C$2503,"&lt;="&amp;账期止))</f>
        <v/>
      </c>
      <c r="M506" s="26">
        <f>IF($A506="","",ROUND($L506*$K506,0))</f>
        <v/>
      </c>
      <c r="N506" s="27">
        <f>IF($A506="","",SUMIFS(入库单!$K$4:$K$2503,入库单!$G$4:$G$2503,$A506,入库单!$X$4:$X$2503,"矿区退库",入库单!$Z$4:$Z$2503,"正常",入库单!$C$4:$C$2503,"&gt;="&amp;账期起,入库单!$C$4:$C$2503,"&lt;="&amp;账期止))</f>
        <v/>
      </c>
      <c r="O506" s="26">
        <f>IF($A506="","",ROUND($N506*$K506,0))</f>
        <v/>
      </c>
      <c r="P506" s="27">
        <f>IF($A506="","",SUMIFS(出库单!$J$4:$J$4003,出库单!$D$4:$D$4003,$A506,出库单!$K$4:$K$4003,"自用消耗",出库单!$U$4:$U$4003,"正常",出库单!$C$4:$C$4003,"&gt;="&amp;账期起,出库单!$C$4:$C$4003,"&lt;="&amp;账期止))</f>
        <v/>
      </c>
      <c r="Q506" s="26">
        <f>IF($A506="","",ROUND(SUMIFS(出库单!$S$4:$S$4003,出库单!$D$4:$D$4003,$A506,出库单!$K$4:$K$4003,"自用消耗",出库单!$U$4:$U$4003,"正常",出库单!$C$4:$C$4003,"&gt;="&amp;账期起,出库单!$C$4:$C$4003,"&lt;="&amp;账期止),0))</f>
        <v/>
      </c>
      <c r="R506" s="27">
        <f>IF($A506="","",SUMIFS(出库单!$J$4:$J$4003,出库单!$D$4:$D$4003,$A506,出库单!$K$4:$K$4003,"对外销售",出库单!$U$4:$U$4003,"正常",出库单!$C$4:$C$4003,"&gt;="&amp;账期起,出库单!$C$4:$C$4003,"&lt;="&amp;账期止))</f>
        <v/>
      </c>
      <c r="S506" s="26">
        <f>IF($A506="","",ROUND(SUMIFS(出库单!$S$4:$S$4003,出库单!$D$4:$D$4003,$A506,出库单!$K$4:$K$4003,"对外销售",出库单!$U$4:$U$4003,"正常",出库单!$C$4:$C$4003,"&gt;="&amp;账期起,出库单!$C$4:$C$4003,"&lt;="&amp;账期止),0))</f>
        <v/>
      </c>
      <c r="T506" s="27">
        <f>IF($A506="","",SUMIFS(出库单!$J$4:$J$4003,出库单!$D$4:$D$4003,$A506,出库单!$K$4:$K$4003,"盘亏",出库单!$U$4:$U$4003,"正常",出库单!$C$4:$C$4003,"&gt;="&amp;账期起,出库单!$C$4:$C$4003,"&lt;="&amp;账期止))</f>
        <v/>
      </c>
      <c r="U506" s="26">
        <f>IF($A506="","",ROUND(SUMIFS(出库单!$S$4:$S$4003,出库单!$D$4:$D$4003,$A506,出库单!$K$4:$K$4003,"盘亏",出库单!$U$4:$U$4003,"正常",出库单!$C$4:$C$4003,"&gt;="&amp;账期起,出库单!$C$4:$C$4003,"&lt;="&amp;账期止),0))</f>
        <v/>
      </c>
      <c r="V506" s="27">
        <f>IF($A506="","",SUMIFS(出库单!$J$4:$J$4003,出库单!$D$4:$D$4003,$A506,出库单!$K$4:$K$4003,"退货给供应商",出库单!$U$4:$U$4003,"正常",出库单!$C$4:$C$4003,"&gt;="&amp;账期起,出库单!$C$4:$C$4003,"&lt;="&amp;账期止))</f>
        <v/>
      </c>
      <c r="W506" s="26">
        <f>IF($A506="","",ROUND(SUMIFS(出库单!$S$4:$S$4003,出库单!$D$4:$D$4003,$A506,出库单!$K$4:$K$4003,"退货给供应商",出库单!$U$4:$U$4003,"正常",出库单!$C$4:$C$4003,"&gt;="&amp;账期起,出库单!$C$4:$C$4003,"&lt;="&amp;账期止),0))</f>
        <v/>
      </c>
      <c r="X506" s="27">
        <f>IF($A506="","",ROUND(N($G506)+$I506+$L506+$N506-$P506-$R506-$T506-$V506,3))</f>
        <v/>
      </c>
      <c r="Y506" s="26">
        <f>IF($A506="","",ROUND(N($H506)+$J506+$M506+$O506-$Q506-$S506-$U506-$W506,0))</f>
        <v/>
      </c>
      <c r="Z506" s="24">
        <f>IF($A506="","",IF(COUNTIFS(入库单!$G$4:$G$2503,$A506,入库单!$Y$4:$Y$2503,"待补价")+COUNTIFS(入库单!$G$4:$G$2503,$A506,入库单!$Y$4:$Y$2503,"暂估")&gt;0,"不可信","可信"))</f>
        <v/>
      </c>
      <c r="AA506" s="24">
        <f>IF($A506="","",IF($X506&lt;-0.001,"※账面负库存，查一下是不是漏记入库",IF(AND(ROUND($X506,3)=0,ABS($Y506)&gt;1),"※数量已经是 0，金额还挂着 "&amp;TEXT($Y506,"#,##0")&amp;" 先令",IF(AND($X506&gt;0,$Y506&lt;=0,$K506=0),"※有数量没金额（这个物料一直没填过进价）",IF($Z506="不可信","△成本含待补价/暂估，毛利仅供参考","")))))</f>
        <v/>
      </c>
    </row>
    <row r="507">
      <c r="A507" s="24">
        <f>IF(物料档案!$A506="","",物料档案!$A506)</f>
        <v/>
      </c>
      <c r="B507" s="24">
        <f>IF($A507="","",IFERROR(VLOOKUP($A507,物料档案!$A$4:$P$1203,3,0),""))</f>
        <v/>
      </c>
      <c r="C507" s="24">
        <f>IF($A507="","",IFERROR(VLOOKUP($A507,物料档案!$A$4:$P$1203,4,0),""))</f>
        <v/>
      </c>
      <c r="D507" s="24">
        <f>IF($A507="","",IFERROR(VLOOKUP($A507,物料档案!$A$4:$P$1203,5,0),""))</f>
        <v/>
      </c>
      <c r="E507" s="24">
        <f>IF($A507="","",IFERROR(VLOOKUP($A507,物料档案!$A$4:$P$1203,2,0),""))</f>
        <v/>
      </c>
      <c r="F507" s="24">
        <f>IF($A507="","",IFERROR(VLOOKUP($A507,物料档案!$A$4:$P$1203,6,0),""))</f>
        <v/>
      </c>
      <c r="G507" s="23" t="n"/>
      <c r="H507" s="32" t="n"/>
      <c r="I507" s="27">
        <f>IF($A507="","",SUMIFS(入库单!$K$4:$K$2503,入库单!$G$4:$G$2503,$A507,入库单!$X$4:$X$2503,"采购入库",入库单!$Z$4:$Z$2503,"正常",入库单!$C$4:$C$2503,"&gt;="&amp;账期起,入库单!$C$4:$C$2503,"&lt;="&amp;账期止))</f>
        <v/>
      </c>
      <c r="J507" s="26">
        <f>IF($A507="","",SUMIFS(入库单!$V$4:$V$2503,入库单!$G$4:$G$2503,$A507,入库单!$X$4:$X$2503,"采购入库",入库单!$Z$4:$Z$2503,"正常",入库单!$C$4:$C$2503,"&gt;="&amp;账期起,入库单!$C$4:$C$2503,"&lt;="&amp;账期止))</f>
        <v/>
      </c>
      <c r="K507" s="26">
        <f>IF($A507="","",IFERROR(ROUND((N($H507)+N($J507))/(N($G507)+N($I507)),2),0))</f>
        <v/>
      </c>
      <c r="L507" s="27">
        <f>IF($A507="","",SUMIFS(入库单!$K$4:$K$2503,入库单!$G$4:$G$2503,$A507,入库单!$X$4:$X$2503,"盘盈",入库单!$Z$4:$Z$2503,"正常",入库单!$C$4:$C$2503,"&gt;="&amp;账期起,入库单!$C$4:$C$2503,"&lt;="&amp;账期止))</f>
        <v/>
      </c>
      <c r="M507" s="26">
        <f>IF($A507="","",ROUND($L507*$K507,0))</f>
        <v/>
      </c>
      <c r="N507" s="27">
        <f>IF($A507="","",SUMIFS(入库单!$K$4:$K$2503,入库单!$G$4:$G$2503,$A507,入库单!$X$4:$X$2503,"矿区退库",入库单!$Z$4:$Z$2503,"正常",入库单!$C$4:$C$2503,"&gt;="&amp;账期起,入库单!$C$4:$C$2503,"&lt;="&amp;账期止))</f>
        <v/>
      </c>
      <c r="O507" s="26">
        <f>IF($A507="","",ROUND($N507*$K507,0))</f>
        <v/>
      </c>
      <c r="P507" s="27">
        <f>IF($A507="","",SUMIFS(出库单!$J$4:$J$4003,出库单!$D$4:$D$4003,$A507,出库单!$K$4:$K$4003,"自用消耗",出库单!$U$4:$U$4003,"正常",出库单!$C$4:$C$4003,"&gt;="&amp;账期起,出库单!$C$4:$C$4003,"&lt;="&amp;账期止))</f>
        <v/>
      </c>
      <c r="Q507" s="26">
        <f>IF($A507="","",ROUND(SUMIFS(出库单!$S$4:$S$4003,出库单!$D$4:$D$4003,$A507,出库单!$K$4:$K$4003,"自用消耗",出库单!$U$4:$U$4003,"正常",出库单!$C$4:$C$4003,"&gt;="&amp;账期起,出库单!$C$4:$C$4003,"&lt;="&amp;账期止),0))</f>
        <v/>
      </c>
      <c r="R507" s="27">
        <f>IF($A507="","",SUMIFS(出库单!$J$4:$J$4003,出库单!$D$4:$D$4003,$A507,出库单!$K$4:$K$4003,"对外销售",出库单!$U$4:$U$4003,"正常",出库单!$C$4:$C$4003,"&gt;="&amp;账期起,出库单!$C$4:$C$4003,"&lt;="&amp;账期止))</f>
        <v/>
      </c>
      <c r="S507" s="26">
        <f>IF($A507="","",ROUND(SUMIFS(出库单!$S$4:$S$4003,出库单!$D$4:$D$4003,$A507,出库单!$K$4:$K$4003,"对外销售",出库单!$U$4:$U$4003,"正常",出库单!$C$4:$C$4003,"&gt;="&amp;账期起,出库单!$C$4:$C$4003,"&lt;="&amp;账期止),0))</f>
        <v/>
      </c>
      <c r="T507" s="27">
        <f>IF($A507="","",SUMIFS(出库单!$J$4:$J$4003,出库单!$D$4:$D$4003,$A507,出库单!$K$4:$K$4003,"盘亏",出库单!$U$4:$U$4003,"正常",出库单!$C$4:$C$4003,"&gt;="&amp;账期起,出库单!$C$4:$C$4003,"&lt;="&amp;账期止))</f>
        <v/>
      </c>
      <c r="U507" s="26">
        <f>IF($A507="","",ROUND(SUMIFS(出库单!$S$4:$S$4003,出库单!$D$4:$D$4003,$A507,出库单!$K$4:$K$4003,"盘亏",出库单!$U$4:$U$4003,"正常",出库单!$C$4:$C$4003,"&gt;="&amp;账期起,出库单!$C$4:$C$4003,"&lt;="&amp;账期止),0))</f>
        <v/>
      </c>
      <c r="V507" s="27">
        <f>IF($A507="","",SUMIFS(出库单!$J$4:$J$4003,出库单!$D$4:$D$4003,$A507,出库单!$K$4:$K$4003,"退货给供应商",出库单!$U$4:$U$4003,"正常",出库单!$C$4:$C$4003,"&gt;="&amp;账期起,出库单!$C$4:$C$4003,"&lt;="&amp;账期止))</f>
        <v/>
      </c>
      <c r="W507" s="26">
        <f>IF($A507="","",ROUND(SUMIFS(出库单!$S$4:$S$4003,出库单!$D$4:$D$4003,$A507,出库单!$K$4:$K$4003,"退货给供应商",出库单!$U$4:$U$4003,"正常",出库单!$C$4:$C$4003,"&gt;="&amp;账期起,出库单!$C$4:$C$4003,"&lt;="&amp;账期止),0))</f>
        <v/>
      </c>
      <c r="X507" s="27">
        <f>IF($A507="","",ROUND(N($G507)+$I507+$L507+$N507-$P507-$R507-$T507-$V507,3))</f>
        <v/>
      </c>
      <c r="Y507" s="26">
        <f>IF($A507="","",ROUND(N($H507)+$J507+$M507+$O507-$Q507-$S507-$U507-$W507,0))</f>
        <v/>
      </c>
      <c r="Z507" s="24">
        <f>IF($A507="","",IF(COUNTIFS(入库单!$G$4:$G$2503,$A507,入库单!$Y$4:$Y$2503,"待补价")+COUNTIFS(入库单!$G$4:$G$2503,$A507,入库单!$Y$4:$Y$2503,"暂估")&gt;0,"不可信","可信"))</f>
        <v/>
      </c>
      <c r="AA507" s="24">
        <f>IF($A507="","",IF($X507&lt;-0.001,"※账面负库存，查一下是不是漏记入库",IF(AND(ROUND($X507,3)=0,ABS($Y507)&gt;1),"※数量已经是 0，金额还挂着 "&amp;TEXT($Y507,"#,##0")&amp;" 先令",IF(AND($X507&gt;0,$Y507&lt;=0,$K507=0),"※有数量没金额（这个物料一直没填过进价）",IF($Z507="不可信","△成本含待补价/暂估，毛利仅供参考","")))))</f>
        <v/>
      </c>
    </row>
    <row r="508">
      <c r="A508" s="24">
        <f>IF(物料档案!$A507="","",物料档案!$A507)</f>
        <v/>
      </c>
      <c r="B508" s="24">
        <f>IF($A508="","",IFERROR(VLOOKUP($A508,物料档案!$A$4:$P$1203,3,0),""))</f>
        <v/>
      </c>
      <c r="C508" s="24">
        <f>IF($A508="","",IFERROR(VLOOKUP($A508,物料档案!$A$4:$P$1203,4,0),""))</f>
        <v/>
      </c>
      <c r="D508" s="24">
        <f>IF($A508="","",IFERROR(VLOOKUP($A508,物料档案!$A$4:$P$1203,5,0),""))</f>
        <v/>
      </c>
      <c r="E508" s="24">
        <f>IF($A508="","",IFERROR(VLOOKUP($A508,物料档案!$A$4:$P$1203,2,0),""))</f>
        <v/>
      </c>
      <c r="F508" s="24">
        <f>IF($A508="","",IFERROR(VLOOKUP($A508,物料档案!$A$4:$P$1203,6,0),""))</f>
        <v/>
      </c>
      <c r="G508" s="23" t="n"/>
      <c r="H508" s="32" t="n"/>
      <c r="I508" s="27">
        <f>IF($A508="","",SUMIFS(入库单!$K$4:$K$2503,入库单!$G$4:$G$2503,$A508,入库单!$X$4:$X$2503,"采购入库",入库单!$Z$4:$Z$2503,"正常",入库单!$C$4:$C$2503,"&gt;="&amp;账期起,入库单!$C$4:$C$2503,"&lt;="&amp;账期止))</f>
        <v/>
      </c>
      <c r="J508" s="26">
        <f>IF($A508="","",SUMIFS(入库单!$V$4:$V$2503,入库单!$G$4:$G$2503,$A508,入库单!$X$4:$X$2503,"采购入库",入库单!$Z$4:$Z$2503,"正常",入库单!$C$4:$C$2503,"&gt;="&amp;账期起,入库单!$C$4:$C$2503,"&lt;="&amp;账期止))</f>
        <v/>
      </c>
      <c r="K508" s="26">
        <f>IF($A508="","",IFERROR(ROUND((N($H508)+N($J508))/(N($G508)+N($I508)),2),0))</f>
        <v/>
      </c>
      <c r="L508" s="27">
        <f>IF($A508="","",SUMIFS(入库单!$K$4:$K$2503,入库单!$G$4:$G$2503,$A508,入库单!$X$4:$X$2503,"盘盈",入库单!$Z$4:$Z$2503,"正常",入库单!$C$4:$C$2503,"&gt;="&amp;账期起,入库单!$C$4:$C$2503,"&lt;="&amp;账期止))</f>
        <v/>
      </c>
      <c r="M508" s="26">
        <f>IF($A508="","",ROUND($L508*$K508,0))</f>
        <v/>
      </c>
      <c r="N508" s="27">
        <f>IF($A508="","",SUMIFS(入库单!$K$4:$K$2503,入库单!$G$4:$G$2503,$A508,入库单!$X$4:$X$2503,"矿区退库",入库单!$Z$4:$Z$2503,"正常",入库单!$C$4:$C$2503,"&gt;="&amp;账期起,入库单!$C$4:$C$2503,"&lt;="&amp;账期止))</f>
        <v/>
      </c>
      <c r="O508" s="26">
        <f>IF($A508="","",ROUND($N508*$K508,0))</f>
        <v/>
      </c>
      <c r="P508" s="27">
        <f>IF($A508="","",SUMIFS(出库单!$J$4:$J$4003,出库单!$D$4:$D$4003,$A508,出库单!$K$4:$K$4003,"自用消耗",出库单!$U$4:$U$4003,"正常",出库单!$C$4:$C$4003,"&gt;="&amp;账期起,出库单!$C$4:$C$4003,"&lt;="&amp;账期止))</f>
        <v/>
      </c>
      <c r="Q508" s="26">
        <f>IF($A508="","",ROUND(SUMIFS(出库单!$S$4:$S$4003,出库单!$D$4:$D$4003,$A508,出库单!$K$4:$K$4003,"自用消耗",出库单!$U$4:$U$4003,"正常",出库单!$C$4:$C$4003,"&gt;="&amp;账期起,出库单!$C$4:$C$4003,"&lt;="&amp;账期止),0))</f>
        <v/>
      </c>
      <c r="R508" s="27">
        <f>IF($A508="","",SUMIFS(出库单!$J$4:$J$4003,出库单!$D$4:$D$4003,$A508,出库单!$K$4:$K$4003,"对外销售",出库单!$U$4:$U$4003,"正常",出库单!$C$4:$C$4003,"&gt;="&amp;账期起,出库单!$C$4:$C$4003,"&lt;="&amp;账期止))</f>
        <v/>
      </c>
      <c r="S508" s="26">
        <f>IF($A508="","",ROUND(SUMIFS(出库单!$S$4:$S$4003,出库单!$D$4:$D$4003,$A508,出库单!$K$4:$K$4003,"对外销售",出库单!$U$4:$U$4003,"正常",出库单!$C$4:$C$4003,"&gt;="&amp;账期起,出库单!$C$4:$C$4003,"&lt;="&amp;账期止),0))</f>
        <v/>
      </c>
      <c r="T508" s="27">
        <f>IF($A508="","",SUMIFS(出库单!$J$4:$J$4003,出库单!$D$4:$D$4003,$A508,出库单!$K$4:$K$4003,"盘亏",出库单!$U$4:$U$4003,"正常",出库单!$C$4:$C$4003,"&gt;="&amp;账期起,出库单!$C$4:$C$4003,"&lt;="&amp;账期止))</f>
        <v/>
      </c>
      <c r="U508" s="26">
        <f>IF($A508="","",ROUND(SUMIFS(出库单!$S$4:$S$4003,出库单!$D$4:$D$4003,$A508,出库单!$K$4:$K$4003,"盘亏",出库单!$U$4:$U$4003,"正常",出库单!$C$4:$C$4003,"&gt;="&amp;账期起,出库单!$C$4:$C$4003,"&lt;="&amp;账期止),0))</f>
        <v/>
      </c>
      <c r="V508" s="27">
        <f>IF($A508="","",SUMIFS(出库单!$J$4:$J$4003,出库单!$D$4:$D$4003,$A508,出库单!$K$4:$K$4003,"退货给供应商",出库单!$U$4:$U$4003,"正常",出库单!$C$4:$C$4003,"&gt;="&amp;账期起,出库单!$C$4:$C$4003,"&lt;="&amp;账期止))</f>
        <v/>
      </c>
      <c r="W508" s="26">
        <f>IF($A508="","",ROUND(SUMIFS(出库单!$S$4:$S$4003,出库单!$D$4:$D$4003,$A508,出库单!$K$4:$K$4003,"退货给供应商",出库单!$U$4:$U$4003,"正常",出库单!$C$4:$C$4003,"&gt;="&amp;账期起,出库单!$C$4:$C$4003,"&lt;="&amp;账期止),0))</f>
        <v/>
      </c>
      <c r="X508" s="27">
        <f>IF($A508="","",ROUND(N($G508)+$I508+$L508+$N508-$P508-$R508-$T508-$V508,3))</f>
        <v/>
      </c>
      <c r="Y508" s="26">
        <f>IF($A508="","",ROUND(N($H508)+$J508+$M508+$O508-$Q508-$S508-$U508-$W508,0))</f>
        <v/>
      </c>
      <c r="Z508" s="24">
        <f>IF($A508="","",IF(COUNTIFS(入库单!$G$4:$G$2503,$A508,入库单!$Y$4:$Y$2503,"待补价")+COUNTIFS(入库单!$G$4:$G$2503,$A508,入库单!$Y$4:$Y$2503,"暂估")&gt;0,"不可信","可信"))</f>
        <v/>
      </c>
      <c r="AA508" s="24">
        <f>IF($A508="","",IF($X508&lt;-0.001,"※账面负库存，查一下是不是漏记入库",IF(AND(ROUND($X508,3)=0,ABS($Y508)&gt;1),"※数量已经是 0，金额还挂着 "&amp;TEXT($Y508,"#,##0")&amp;" 先令",IF(AND($X508&gt;0,$Y508&lt;=0,$K508=0),"※有数量没金额（这个物料一直没填过进价）",IF($Z508="不可信","△成本含待补价/暂估，毛利仅供参考","")))))</f>
        <v/>
      </c>
    </row>
    <row r="509">
      <c r="A509" s="24">
        <f>IF(物料档案!$A508="","",物料档案!$A508)</f>
        <v/>
      </c>
      <c r="B509" s="24">
        <f>IF($A509="","",IFERROR(VLOOKUP($A509,物料档案!$A$4:$P$1203,3,0),""))</f>
        <v/>
      </c>
      <c r="C509" s="24">
        <f>IF($A509="","",IFERROR(VLOOKUP($A509,物料档案!$A$4:$P$1203,4,0),""))</f>
        <v/>
      </c>
      <c r="D509" s="24">
        <f>IF($A509="","",IFERROR(VLOOKUP($A509,物料档案!$A$4:$P$1203,5,0),""))</f>
        <v/>
      </c>
      <c r="E509" s="24">
        <f>IF($A509="","",IFERROR(VLOOKUP($A509,物料档案!$A$4:$P$1203,2,0),""))</f>
        <v/>
      </c>
      <c r="F509" s="24">
        <f>IF($A509="","",IFERROR(VLOOKUP($A509,物料档案!$A$4:$P$1203,6,0),""))</f>
        <v/>
      </c>
      <c r="G509" s="23" t="n"/>
      <c r="H509" s="32" t="n"/>
      <c r="I509" s="27">
        <f>IF($A509="","",SUMIFS(入库单!$K$4:$K$2503,入库单!$G$4:$G$2503,$A509,入库单!$X$4:$X$2503,"采购入库",入库单!$Z$4:$Z$2503,"正常",入库单!$C$4:$C$2503,"&gt;="&amp;账期起,入库单!$C$4:$C$2503,"&lt;="&amp;账期止))</f>
        <v/>
      </c>
      <c r="J509" s="26">
        <f>IF($A509="","",SUMIFS(入库单!$V$4:$V$2503,入库单!$G$4:$G$2503,$A509,入库单!$X$4:$X$2503,"采购入库",入库单!$Z$4:$Z$2503,"正常",入库单!$C$4:$C$2503,"&gt;="&amp;账期起,入库单!$C$4:$C$2503,"&lt;="&amp;账期止))</f>
        <v/>
      </c>
      <c r="K509" s="26">
        <f>IF($A509="","",IFERROR(ROUND((N($H509)+N($J509))/(N($G509)+N($I509)),2),0))</f>
        <v/>
      </c>
      <c r="L509" s="27">
        <f>IF($A509="","",SUMIFS(入库单!$K$4:$K$2503,入库单!$G$4:$G$2503,$A509,入库单!$X$4:$X$2503,"盘盈",入库单!$Z$4:$Z$2503,"正常",入库单!$C$4:$C$2503,"&gt;="&amp;账期起,入库单!$C$4:$C$2503,"&lt;="&amp;账期止))</f>
        <v/>
      </c>
      <c r="M509" s="26">
        <f>IF($A509="","",ROUND($L509*$K509,0))</f>
        <v/>
      </c>
      <c r="N509" s="27">
        <f>IF($A509="","",SUMIFS(入库单!$K$4:$K$2503,入库单!$G$4:$G$2503,$A509,入库单!$X$4:$X$2503,"矿区退库",入库单!$Z$4:$Z$2503,"正常",入库单!$C$4:$C$2503,"&gt;="&amp;账期起,入库单!$C$4:$C$2503,"&lt;="&amp;账期止))</f>
        <v/>
      </c>
      <c r="O509" s="26">
        <f>IF($A509="","",ROUND($N509*$K509,0))</f>
        <v/>
      </c>
      <c r="P509" s="27">
        <f>IF($A509="","",SUMIFS(出库单!$J$4:$J$4003,出库单!$D$4:$D$4003,$A509,出库单!$K$4:$K$4003,"自用消耗",出库单!$U$4:$U$4003,"正常",出库单!$C$4:$C$4003,"&gt;="&amp;账期起,出库单!$C$4:$C$4003,"&lt;="&amp;账期止))</f>
        <v/>
      </c>
      <c r="Q509" s="26">
        <f>IF($A509="","",ROUND(SUMIFS(出库单!$S$4:$S$4003,出库单!$D$4:$D$4003,$A509,出库单!$K$4:$K$4003,"自用消耗",出库单!$U$4:$U$4003,"正常",出库单!$C$4:$C$4003,"&gt;="&amp;账期起,出库单!$C$4:$C$4003,"&lt;="&amp;账期止),0))</f>
        <v/>
      </c>
      <c r="R509" s="27">
        <f>IF($A509="","",SUMIFS(出库单!$J$4:$J$4003,出库单!$D$4:$D$4003,$A509,出库单!$K$4:$K$4003,"对外销售",出库单!$U$4:$U$4003,"正常",出库单!$C$4:$C$4003,"&gt;="&amp;账期起,出库单!$C$4:$C$4003,"&lt;="&amp;账期止))</f>
        <v/>
      </c>
      <c r="S509" s="26">
        <f>IF($A509="","",ROUND(SUMIFS(出库单!$S$4:$S$4003,出库单!$D$4:$D$4003,$A509,出库单!$K$4:$K$4003,"对外销售",出库单!$U$4:$U$4003,"正常",出库单!$C$4:$C$4003,"&gt;="&amp;账期起,出库单!$C$4:$C$4003,"&lt;="&amp;账期止),0))</f>
        <v/>
      </c>
      <c r="T509" s="27">
        <f>IF($A509="","",SUMIFS(出库单!$J$4:$J$4003,出库单!$D$4:$D$4003,$A509,出库单!$K$4:$K$4003,"盘亏",出库单!$U$4:$U$4003,"正常",出库单!$C$4:$C$4003,"&gt;="&amp;账期起,出库单!$C$4:$C$4003,"&lt;="&amp;账期止))</f>
        <v/>
      </c>
      <c r="U509" s="26">
        <f>IF($A509="","",ROUND(SUMIFS(出库单!$S$4:$S$4003,出库单!$D$4:$D$4003,$A509,出库单!$K$4:$K$4003,"盘亏",出库单!$U$4:$U$4003,"正常",出库单!$C$4:$C$4003,"&gt;="&amp;账期起,出库单!$C$4:$C$4003,"&lt;="&amp;账期止),0))</f>
        <v/>
      </c>
      <c r="V509" s="27">
        <f>IF($A509="","",SUMIFS(出库单!$J$4:$J$4003,出库单!$D$4:$D$4003,$A509,出库单!$K$4:$K$4003,"退货给供应商",出库单!$U$4:$U$4003,"正常",出库单!$C$4:$C$4003,"&gt;="&amp;账期起,出库单!$C$4:$C$4003,"&lt;="&amp;账期止))</f>
        <v/>
      </c>
      <c r="W509" s="26">
        <f>IF($A509="","",ROUND(SUMIFS(出库单!$S$4:$S$4003,出库单!$D$4:$D$4003,$A509,出库单!$K$4:$K$4003,"退货给供应商",出库单!$U$4:$U$4003,"正常",出库单!$C$4:$C$4003,"&gt;="&amp;账期起,出库单!$C$4:$C$4003,"&lt;="&amp;账期止),0))</f>
        <v/>
      </c>
      <c r="X509" s="27">
        <f>IF($A509="","",ROUND(N($G509)+$I509+$L509+$N509-$P509-$R509-$T509-$V509,3))</f>
        <v/>
      </c>
      <c r="Y509" s="26">
        <f>IF($A509="","",ROUND(N($H509)+$J509+$M509+$O509-$Q509-$S509-$U509-$W509,0))</f>
        <v/>
      </c>
      <c r="Z509" s="24">
        <f>IF($A509="","",IF(COUNTIFS(入库单!$G$4:$G$2503,$A509,入库单!$Y$4:$Y$2503,"待补价")+COUNTIFS(入库单!$G$4:$G$2503,$A509,入库单!$Y$4:$Y$2503,"暂估")&gt;0,"不可信","可信"))</f>
        <v/>
      </c>
      <c r="AA509" s="24">
        <f>IF($A509="","",IF($X509&lt;-0.001,"※账面负库存，查一下是不是漏记入库",IF(AND(ROUND($X509,3)=0,ABS($Y509)&gt;1),"※数量已经是 0，金额还挂着 "&amp;TEXT($Y509,"#,##0")&amp;" 先令",IF(AND($X509&gt;0,$Y509&lt;=0,$K509=0),"※有数量没金额（这个物料一直没填过进价）",IF($Z509="不可信","△成本含待补价/暂估，毛利仅供参考","")))))</f>
        <v/>
      </c>
    </row>
    <row r="510">
      <c r="A510" s="24">
        <f>IF(物料档案!$A509="","",物料档案!$A509)</f>
        <v/>
      </c>
      <c r="B510" s="24">
        <f>IF($A510="","",IFERROR(VLOOKUP($A510,物料档案!$A$4:$P$1203,3,0),""))</f>
        <v/>
      </c>
      <c r="C510" s="24">
        <f>IF($A510="","",IFERROR(VLOOKUP($A510,物料档案!$A$4:$P$1203,4,0),""))</f>
        <v/>
      </c>
      <c r="D510" s="24">
        <f>IF($A510="","",IFERROR(VLOOKUP($A510,物料档案!$A$4:$P$1203,5,0),""))</f>
        <v/>
      </c>
      <c r="E510" s="24">
        <f>IF($A510="","",IFERROR(VLOOKUP($A510,物料档案!$A$4:$P$1203,2,0),""))</f>
        <v/>
      </c>
      <c r="F510" s="24">
        <f>IF($A510="","",IFERROR(VLOOKUP($A510,物料档案!$A$4:$P$1203,6,0),""))</f>
        <v/>
      </c>
      <c r="G510" s="23" t="n"/>
      <c r="H510" s="32" t="n"/>
      <c r="I510" s="27">
        <f>IF($A510="","",SUMIFS(入库单!$K$4:$K$2503,入库单!$G$4:$G$2503,$A510,入库单!$X$4:$X$2503,"采购入库",入库单!$Z$4:$Z$2503,"正常",入库单!$C$4:$C$2503,"&gt;="&amp;账期起,入库单!$C$4:$C$2503,"&lt;="&amp;账期止))</f>
        <v/>
      </c>
      <c r="J510" s="26">
        <f>IF($A510="","",SUMIFS(入库单!$V$4:$V$2503,入库单!$G$4:$G$2503,$A510,入库单!$X$4:$X$2503,"采购入库",入库单!$Z$4:$Z$2503,"正常",入库单!$C$4:$C$2503,"&gt;="&amp;账期起,入库单!$C$4:$C$2503,"&lt;="&amp;账期止))</f>
        <v/>
      </c>
      <c r="K510" s="26">
        <f>IF($A510="","",IFERROR(ROUND((N($H510)+N($J510))/(N($G510)+N($I510)),2),0))</f>
        <v/>
      </c>
      <c r="L510" s="27">
        <f>IF($A510="","",SUMIFS(入库单!$K$4:$K$2503,入库单!$G$4:$G$2503,$A510,入库单!$X$4:$X$2503,"盘盈",入库单!$Z$4:$Z$2503,"正常",入库单!$C$4:$C$2503,"&gt;="&amp;账期起,入库单!$C$4:$C$2503,"&lt;="&amp;账期止))</f>
        <v/>
      </c>
      <c r="M510" s="26">
        <f>IF($A510="","",ROUND($L510*$K510,0))</f>
        <v/>
      </c>
      <c r="N510" s="27">
        <f>IF($A510="","",SUMIFS(入库单!$K$4:$K$2503,入库单!$G$4:$G$2503,$A510,入库单!$X$4:$X$2503,"矿区退库",入库单!$Z$4:$Z$2503,"正常",入库单!$C$4:$C$2503,"&gt;="&amp;账期起,入库单!$C$4:$C$2503,"&lt;="&amp;账期止))</f>
        <v/>
      </c>
      <c r="O510" s="26">
        <f>IF($A510="","",ROUND($N510*$K510,0))</f>
        <v/>
      </c>
      <c r="P510" s="27">
        <f>IF($A510="","",SUMIFS(出库单!$J$4:$J$4003,出库单!$D$4:$D$4003,$A510,出库单!$K$4:$K$4003,"自用消耗",出库单!$U$4:$U$4003,"正常",出库单!$C$4:$C$4003,"&gt;="&amp;账期起,出库单!$C$4:$C$4003,"&lt;="&amp;账期止))</f>
        <v/>
      </c>
      <c r="Q510" s="26">
        <f>IF($A510="","",ROUND(SUMIFS(出库单!$S$4:$S$4003,出库单!$D$4:$D$4003,$A510,出库单!$K$4:$K$4003,"自用消耗",出库单!$U$4:$U$4003,"正常",出库单!$C$4:$C$4003,"&gt;="&amp;账期起,出库单!$C$4:$C$4003,"&lt;="&amp;账期止),0))</f>
        <v/>
      </c>
      <c r="R510" s="27">
        <f>IF($A510="","",SUMIFS(出库单!$J$4:$J$4003,出库单!$D$4:$D$4003,$A510,出库单!$K$4:$K$4003,"对外销售",出库单!$U$4:$U$4003,"正常",出库单!$C$4:$C$4003,"&gt;="&amp;账期起,出库单!$C$4:$C$4003,"&lt;="&amp;账期止))</f>
        <v/>
      </c>
      <c r="S510" s="26">
        <f>IF($A510="","",ROUND(SUMIFS(出库单!$S$4:$S$4003,出库单!$D$4:$D$4003,$A510,出库单!$K$4:$K$4003,"对外销售",出库单!$U$4:$U$4003,"正常",出库单!$C$4:$C$4003,"&gt;="&amp;账期起,出库单!$C$4:$C$4003,"&lt;="&amp;账期止),0))</f>
        <v/>
      </c>
      <c r="T510" s="27">
        <f>IF($A510="","",SUMIFS(出库单!$J$4:$J$4003,出库单!$D$4:$D$4003,$A510,出库单!$K$4:$K$4003,"盘亏",出库单!$U$4:$U$4003,"正常",出库单!$C$4:$C$4003,"&gt;="&amp;账期起,出库单!$C$4:$C$4003,"&lt;="&amp;账期止))</f>
        <v/>
      </c>
      <c r="U510" s="26">
        <f>IF($A510="","",ROUND(SUMIFS(出库单!$S$4:$S$4003,出库单!$D$4:$D$4003,$A510,出库单!$K$4:$K$4003,"盘亏",出库单!$U$4:$U$4003,"正常",出库单!$C$4:$C$4003,"&gt;="&amp;账期起,出库单!$C$4:$C$4003,"&lt;="&amp;账期止),0))</f>
        <v/>
      </c>
      <c r="V510" s="27">
        <f>IF($A510="","",SUMIFS(出库单!$J$4:$J$4003,出库单!$D$4:$D$4003,$A510,出库单!$K$4:$K$4003,"退货给供应商",出库单!$U$4:$U$4003,"正常",出库单!$C$4:$C$4003,"&gt;="&amp;账期起,出库单!$C$4:$C$4003,"&lt;="&amp;账期止))</f>
        <v/>
      </c>
      <c r="W510" s="26">
        <f>IF($A510="","",ROUND(SUMIFS(出库单!$S$4:$S$4003,出库单!$D$4:$D$4003,$A510,出库单!$K$4:$K$4003,"退货给供应商",出库单!$U$4:$U$4003,"正常",出库单!$C$4:$C$4003,"&gt;="&amp;账期起,出库单!$C$4:$C$4003,"&lt;="&amp;账期止),0))</f>
        <v/>
      </c>
      <c r="X510" s="27">
        <f>IF($A510="","",ROUND(N($G510)+$I510+$L510+$N510-$P510-$R510-$T510-$V510,3))</f>
        <v/>
      </c>
      <c r="Y510" s="26">
        <f>IF($A510="","",ROUND(N($H510)+$J510+$M510+$O510-$Q510-$S510-$U510-$W510,0))</f>
        <v/>
      </c>
      <c r="Z510" s="24">
        <f>IF($A510="","",IF(COUNTIFS(入库单!$G$4:$G$2503,$A510,入库单!$Y$4:$Y$2503,"待补价")+COUNTIFS(入库单!$G$4:$G$2503,$A510,入库单!$Y$4:$Y$2503,"暂估")&gt;0,"不可信","可信"))</f>
        <v/>
      </c>
      <c r="AA510" s="24">
        <f>IF($A510="","",IF($X510&lt;-0.001,"※账面负库存，查一下是不是漏记入库",IF(AND(ROUND($X510,3)=0,ABS($Y510)&gt;1),"※数量已经是 0，金额还挂着 "&amp;TEXT($Y510,"#,##0")&amp;" 先令",IF(AND($X510&gt;0,$Y510&lt;=0,$K510=0),"※有数量没金额（这个物料一直没填过进价）",IF($Z510="不可信","△成本含待补价/暂估，毛利仅供参考","")))))</f>
        <v/>
      </c>
    </row>
    <row r="511">
      <c r="A511" s="24">
        <f>IF(物料档案!$A510="","",物料档案!$A510)</f>
        <v/>
      </c>
      <c r="B511" s="24">
        <f>IF($A511="","",IFERROR(VLOOKUP($A511,物料档案!$A$4:$P$1203,3,0),""))</f>
        <v/>
      </c>
      <c r="C511" s="24">
        <f>IF($A511="","",IFERROR(VLOOKUP($A511,物料档案!$A$4:$P$1203,4,0),""))</f>
        <v/>
      </c>
      <c r="D511" s="24">
        <f>IF($A511="","",IFERROR(VLOOKUP($A511,物料档案!$A$4:$P$1203,5,0),""))</f>
        <v/>
      </c>
      <c r="E511" s="24">
        <f>IF($A511="","",IFERROR(VLOOKUP($A511,物料档案!$A$4:$P$1203,2,0),""))</f>
        <v/>
      </c>
      <c r="F511" s="24">
        <f>IF($A511="","",IFERROR(VLOOKUP($A511,物料档案!$A$4:$P$1203,6,0),""))</f>
        <v/>
      </c>
      <c r="G511" s="23" t="n"/>
      <c r="H511" s="32" t="n"/>
      <c r="I511" s="27">
        <f>IF($A511="","",SUMIFS(入库单!$K$4:$K$2503,入库单!$G$4:$G$2503,$A511,入库单!$X$4:$X$2503,"采购入库",入库单!$Z$4:$Z$2503,"正常",入库单!$C$4:$C$2503,"&gt;="&amp;账期起,入库单!$C$4:$C$2503,"&lt;="&amp;账期止))</f>
        <v/>
      </c>
      <c r="J511" s="26">
        <f>IF($A511="","",SUMIFS(入库单!$V$4:$V$2503,入库单!$G$4:$G$2503,$A511,入库单!$X$4:$X$2503,"采购入库",入库单!$Z$4:$Z$2503,"正常",入库单!$C$4:$C$2503,"&gt;="&amp;账期起,入库单!$C$4:$C$2503,"&lt;="&amp;账期止))</f>
        <v/>
      </c>
      <c r="K511" s="26">
        <f>IF($A511="","",IFERROR(ROUND((N($H511)+N($J511))/(N($G511)+N($I511)),2),0))</f>
        <v/>
      </c>
      <c r="L511" s="27">
        <f>IF($A511="","",SUMIFS(入库单!$K$4:$K$2503,入库单!$G$4:$G$2503,$A511,入库单!$X$4:$X$2503,"盘盈",入库单!$Z$4:$Z$2503,"正常",入库单!$C$4:$C$2503,"&gt;="&amp;账期起,入库单!$C$4:$C$2503,"&lt;="&amp;账期止))</f>
        <v/>
      </c>
      <c r="M511" s="26">
        <f>IF($A511="","",ROUND($L511*$K511,0))</f>
        <v/>
      </c>
      <c r="N511" s="27">
        <f>IF($A511="","",SUMIFS(入库单!$K$4:$K$2503,入库单!$G$4:$G$2503,$A511,入库单!$X$4:$X$2503,"矿区退库",入库单!$Z$4:$Z$2503,"正常",入库单!$C$4:$C$2503,"&gt;="&amp;账期起,入库单!$C$4:$C$2503,"&lt;="&amp;账期止))</f>
        <v/>
      </c>
      <c r="O511" s="26">
        <f>IF($A511="","",ROUND($N511*$K511,0))</f>
        <v/>
      </c>
      <c r="P511" s="27">
        <f>IF($A511="","",SUMIFS(出库单!$J$4:$J$4003,出库单!$D$4:$D$4003,$A511,出库单!$K$4:$K$4003,"自用消耗",出库单!$U$4:$U$4003,"正常",出库单!$C$4:$C$4003,"&gt;="&amp;账期起,出库单!$C$4:$C$4003,"&lt;="&amp;账期止))</f>
        <v/>
      </c>
      <c r="Q511" s="26">
        <f>IF($A511="","",ROUND(SUMIFS(出库单!$S$4:$S$4003,出库单!$D$4:$D$4003,$A511,出库单!$K$4:$K$4003,"自用消耗",出库单!$U$4:$U$4003,"正常",出库单!$C$4:$C$4003,"&gt;="&amp;账期起,出库单!$C$4:$C$4003,"&lt;="&amp;账期止),0))</f>
        <v/>
      </c>
      <c r="R511" s="27">
        <f>IF($A511="","",SUMIFS(出库单!$J$4:$J$4003,出库单!$D$4:$D$4003,$A511,出库单!$K$4:$K$4003,"对外销售",出库单!$U$4:$U$4003,"正常",出库单!$C$4:$C$4003,"&gt;="&amp;账期起,出库单!$C$4:$C$4003,"&lt;="&amp;账期止))</f>
        <v/>
      </c>
      <c r="S511" s="26">
        <f>IF($A511="","",ROUND(SUMIFS(出库单!$S$4:$S$4003,出库单!$D$4:$D$4003,$A511,出库单!$K$4:$K$4003,"对外销售",出库单!$U$4:$U$4003,"正常",出库单!$C$4:$C$4003,"&gt;="&amp;账期起,出库单!$C$4:$C$4003,"&lt;="&amp;账期止),0))</f>
        <v/>
      </c>
      <c r="T511" s="27">
        <f>IF($A511="","",SUMIFS(出库单!$J$4:$J$4003,出库单!$D$4:$D$4003,$A511,出库单!$K$4:$K$4003,"盘亏",出库单!$U$4:$U$4003,"正常",出库单!$C$4:$C$4003,"&gt;="&amp;账期起,出库单!$C$4:$C$4003,"&lt;="&amp;账期止))</f>
        <v/>
      </c>
      <c r="U511" s="26">
        <f>IF($A511="","",ROUND(SUMIFS(出库单!$S$4:$S$4003,出库单!$D$4:$D$4003,$A511,出库单!$K$4:$K$4003,"盘亏",出库单!$U$4:$U$4003,"正常",出库单!$C$4:$C$4003,"&gt;="&amp;账期起,出库单!$C$4:$C$4003,"&lt;="&amp;账期止),0))</f>
        <v/>
      </c>
      <c r="V511" s="27">
        <f>IF($A511="","",SUMIFS(出库单!$J$4:$J$4003,出库单!$D$4:$D$4003,$A511,出库单!$K$4:$K$4003,"退货给供应商",出库单!$U$4:$U$4003,"正常",出库单!$C$4:$C$4003,"&gt;="&amp;账期起,出库单!$C$4:$C$4003,"&lt;="&amp;账期止))</f>
        <v/>
      </c>
      <c r="W511" s="26">
        <f>IF($A511="","",ROUND(SUMIFS(出库单!$S$4:$S$4003,出库单!$D$4:$D$4003,$A511,出库单!$K$4:$K$4003,"退货给供应商",出库单!$U$4:$U$4003,"正常",出库单!$C$4:$C$4003,"&gt;="&amp;账期起,出库单!$C$4:$C$4003,"&lt;="&amp;账期止),0))</f>
        <v/>
      </c>
      <c r="X511" s="27">
        <f>IF($A511="","",ROUND(N($G511)+$I511+$L511+$N511-$P511-$R511-$T511-$V511,3))</f>
        <v/>
      </c>
      <c r="Y511" s="26">
        <f>IF($A511="","",ROUND(N($H511)+$J511+$M511+$O511-$Q511-$S511-$U511-$W511,0))</f>
        <v/>
      </c>
      <c r="Z511" s="24">
        <f>IF($A511="","",IF(COUNTIFS(入库单!$G$4:$G$2503,$A511,入库单!$Y$4:$Y$2503,"待补价")+COUNTIFS(入库单!$G$4:$G$2503,$A511,入库单!$Y$4:$Y$2503,"暂估")&gt;0,"不可信","可信"))</f>
        <v/>
      </c>
      <c r="AA511" s="24">
        <f>IF($A511="","",IF($X511&lt;-0.001,"※账面负库存，查一下是不是漏记入库",IF(AND(ROUND($X511,3)=0,ABS($Y511)&gt;1),"※数量已经是 0，金额还挂着 "&amp;TEXT($Y511,"#,##0")&amp;" 先令",IF(AND($X511&gt;0,$Y511&lt;=0,$K511=0),"※有数量没金额（这个物料一直没填过进价）",IF($Z511="不可信","△成本含待补价/暂估，毛利仅供参考","")))))</f>
        <v/>
      </c>
    </row>
    <row r="512">
      <c r="A512" s="24">
        <f>IF(物料档案!$A511="","",物料档案!$A511)</f>
        <v/>
      </c>
      <c r="B512" s="24">
        <f>IF($A512="","",IFERROR(VLOOKUP($A512,物料档案!$A$4:$P$1203,3,0),""))</f>
        <v/>
      </c>
      <c r="C512" s="24">
        <f>IF($A512="","",IFERROR(VLOOKUP($A512,物料档案!$A$4:$P$1203,4,0),""))</f>
        <v/>
      </c>
      <c r="D512" s="24">
        <f>IF($A512="","",IFERROR(VLOOKUP($A512,物料档案!$A$4:$P$1203,5,0),""))</f>
        <v/>
      </c>
      <c r="E512" s="24">
        <f>IF($A512="","",IFERROR(VLOOKUP($A512,物料档案!$A$4:$P$1203,2,0),""))</f>
        <v/>
      </c>
      <c r="F512" s="24">
        <f>IF($A512="","",IFERROR(VLOOKUP($A512,物料档案!$A$4:$P$1203,6,0),""))</f>
        <v/>
      </c>
      <c r="G512" s="23" t="n"/>
      <c r="H512" s="32" t="n"/>
      <c r="I512" s="27">
        <f>IF($A512="","",SUMIFS(入库单!$K$4:$K$2503,入库单!$G$4:$G$2503,$A512,入库单!$X$4:$X$2503,"采购入库",入库单!$Z$4:$Z$2503,"正常",入库单!$C$4:$C$2503,"&gt;="&amp;账期起,入库单!$C$4:$C$2503,"&lt;="&amp;账期止))</f>
        <v/>
      </c>
      <c r="J512" s="26">
        <f>IF($A512="","",SUMIFS(入库单!$V$4:$V$2503,入库单!$G$4:$G$2503,$A512,入库单!$X$4:$X$2503,"采购入库",入库单!$Z$4:$Z$2503,"正常",入库单!$C$4:$C$2503,"&gt;="&amp;账期起,入库单!$C$4:$C$2503,"&lt;="&amp;账期止))</f>
        <v/>
      </c>
      <c r="K512" s="26">
        <f>IF($A512="","",IFERROR(ROUND((N($H512)+N($J512))/(N($G512)+N($I512)),2),0))</f>
        <v/>
      </c>
      <c r="L512" s="27">
        <f>IF($A512="","",SUMIFS(入库单!$K$4:$K$2503,入库单!$G$4:$G$2503,$A512,入库单!$X$4:$X$2503,"盘盈",入库单!$Z$4:$Z$2503,"正常",入库单!$C$4:$C$2503,"&gt;="&amp;账期起,入库单!$C$4:$C$2503,"&lt;="&amp;账期止))</f>
        <v/>
      </c>
      <c r="M512" s="26">
        <f>IF($A512="","",ROUND($L512*$K512,0))</f>
        <v/>
      </c>
      <c r="N512" s="27">
        <f>IF($A512="","",SUMIFS(入库单!$K$4:$K$2503,入库单!$G$4:$G$2503,$A512,入库单!$X$4:$X$2503,"矿区退库",入库单!$Z$4:$Z$2503,"正常",入库单!$C$4:$C$2503,"&gt;="&amp;账期起,入库单!$C$4:$C$2503,"&lt;="&amp;账期止))</f>
        <v/>
      </c>
      <c r="O512" s="26">
        <f>IF($A512="","",ROUND($N512*$K512,0))</f>
        <v/>
      </c>
      <c r="P512" s="27">
        <f>IF($A512="","",SUMIFS(出库单!$J$4:$J$4003,出库单!$D$4:$D$4003,$A512,出库单!$K$4:$K$4003,"自用消耗",出库单!$U$4:$U$4003,"正常",出库单!$C$4:$C$4003,"&gt;="&amp;账期起,出库单!$C$4:$C$4003,"&lt;="&amp;账期止))</f>
        <v/>
      </c>
      <c r="Q512" s="26">
        <f>IF($A512="","",ROUND(SUMIFS(出库单!$S$4:$S$4003,出库单!$D$4:$D$4003,$A512,出库单!$K$4:$K$4003,"自用消耗",出库单!$U$4:$U$4003,"正常",出库单!$C$4:$C$4003,"&gt;="&amp;账期起,出库单!$C$4:$C$4003,"&lt;="&amp;账期止),0))</f>
        <v/>
      </c>
      <c r="R512" s="27">
        <f>IF($A512="","",SUMIFS(出库单!$J$4:$J$4003,出库单!$D$4:$D$4003,$A512,出库单!$K$4:$K$4003,"对外销售",出库单!$U$4:$U$4003,"正常",出库单!$C$4:$C$4003,"&gt;="&amp;账期起,出库单!$C$4:$C$4003,"&lt;="&amp;账期止))</f>
        <v/>
      </c>
      <c r="S512" s="26">
        <f>IF($A512="","",ROUND(SUMIFS(出库单!$S$4:$S$4003,出库单!$D$4:$D$4003,$A512,出库单!$K$4:$K$4003,"对外销售",出库单!$U$4:$U$4003,"正常",出库单!$C$4:$C$4003,"&gt;="&amp;账期起,出库单!$C$4:$C$4003,"&lt;="&amp;账期止),0))</f>
        <v/>
      </c>
      <c r="T512" s="27">
        <f>IF($A512="","",SUMIFS(出库单!$J$4:$J$4003,出库单!$D$4:$D$4003,$A512,出库单!$K$4:$K$4003,"盘亏",出库单!$U$4:$U$4003,"正常",出库单!$C$4:$C$4003,"&gt;="&amp;账期起,出库单!$C$4:$C$4003,"&lt;="&amp;账期止))</f>
        <v/>
      </c>
      <c r="U512" s="26">
        <f>IF($A512="","",ROUND(SUMIFS(出库单!$S$4:$S$4003,出库单!$D$4:$D$4003,$A512,出库单!$K$4:$K$4003,"盘亏",出库单!$U$4:$U$4003,"正常",出库单!$C$4:$C$4003,"&gt;="&amp;账期起,出库单!$C$4:$C$4003,"&lt;="&amp;账期止),0))</f>
        <v/>
      </c>
      <c r="V512" s="27">
        <f>IF($A512="","",SUMIFS(出库单!$J$4:$J$4003,出库单!$D$4:$D$4003,$A512,出库单!$K$4:$K$4003,"退货给供应商",出库单!$U$4:$U$4003,"正常",出库单!$C$4:$C$4003,"&gt;="&amp;账期起,出库单!$C$4:$C$4003,"&lt;="&amp;账期止))</f>
        <v/>
      </c>
      <c r="W512" s="26">
        <f>IF($A512="","",ROUND(SUMIFS(出库单!$S$4:$S$4003,出库单!$D$4:$D$4003,$A512,出库单!$K$4:$K$4003,"退货给供应商",出库单!$U$4:$U$4003,"正常",出库单!$C$4:$C$4003,"&gt;="&amp;账期起,出库单!$C$4:$C$4003,"&lt;="&amp;账期止),0))</f>
        <v/>
      </c>
      <c r="X512" s="27">
        <f>IF($A512="","",ROUND(N($G512)+$I512+$L512+$N512-$P512-$R512-$T512-$V512,3))</f>
        <v/>
      </c>
      <c r="Y512" s="26">
        <f>IF($A512="","",ROUND(N($H512)+$J512+$M512+$O512-$Q512-$S512-$U512-$W512,0))</f>
        <v/>
      </c>
      <c r="Z512" s="24">
        <f>IF($A512="","",IF(COUNTIFS(入库单!$G$4:$G$2503,$A512,入库单!$Y$4:$Y$2503,"待补价")+COUNTIFS(入库单!$G$4:$G$2503,$A512,入库单!$Y$4:$Y$2503,"暂估")&gt;0,"不可信","可信"))</f>
        <v/>
      </c>
      <c r="AA512" s="24">
        <f>IF($A512="","",IF($X512&lt;-0.001,"※账面负库存，查一下是不是漏记入库",IF(AND(ROUND($X512,3)=0,ABS($Y512)&gt;1),"※数量已经是 0，金额还挂着 "&amp;TEXT($Y512,"#,##0")&amp;" 先令",IF(AND($X512&gt;0,$Y512&lt;=0,$K512=0),"※有数量没金额（这个物料一直没填过进价）",IF($Z512="不可信","△成本含待补价/暂估，毛利仅供参考","")))))</f>
        <v/>
      </c>
    </row>
    <row r="513">
      <c r="A513" s="24">
        <f>IF(物料档案!$A512="","",物料档案!$A512)</f>
        <v/>
      </c>
      <c r="B513" s="24">
        <f>IF($A513="","",IFERROR(VLOOKUP($A513,物料档案!$A$4:$P$1203,3,0),""))</f>
        <v/>
      </c>
      <c r="C513" s="24">
        <f>IF($A513="","",IFERROR(VLOOKUP($A513,物料档案!$A$4:$P$1203,4,0),""))</f>
        <v/>
      </c>
      <c r="D513" s="24">
        <f>IF($A513="","",IFERROR(VLOOKUP($A513,物料档案!$A$4:$P$1203,5,0),""))</f>
        <v/>
      </c>
      <c r="E513" s="24">
        <f>IF($A513="","",IFERROR(VLOOKUP($A513,物料档案!$A$4:$P$1203,2,0),""))</f>
        <v/>
      </c>
      <c r="F513" s="24">
        <f>IF($A513="","",IFERROR(VLOOKUP($A513,物料档案!$A$4:$P$1203,6,0),""))</f>
        <v/>
      </c>
      <c r="G513" s="23" t="n"/>
      <c r="H513" s="32" t="n"/>
      <c r="I513" s="27">
        <f>IF($A513="","",SUMIFS(入库单!$K$4:$K$2503,入库单!$G$4:$G$2503,$A513,入库单!$X$4:$X$2503,"采购入库",入库单!$Z$4:$Z$2503,"正常",入库单!$C$4:$C$2503,"&gt;="&amp;账期起,入库单!$C$4:$C$2503,"&lt;="&amp;账期止))</f>
        <v/>
      </c>
      <c r="J513" s="26">
        <f>IF($A513="","",SUMIFS(入库单!$V$4:$V$2503,入库单!$G$4:$G$2503,$A513,入库单!$X$4:$X$2503,"采购入库",入库单!$Z$4:$Z$2503,"正常",入库单!$C$4:$C$2503,"&gt;="&amp;账期起,入库单!$C$4:$C$2503,"&lt;="&amp;账期止))</f>
        <v/>
      </c>
      <c r="K513" s="26">
        <f>IF($A513="","",IFERROR(ROUND((N($H513)+N($J513))/(N($G513)+N($I513)),2),0))</f>
        <v/>
      </c>
      <c r="L513" s="27">
        <f>IF($A513="","",SUMIFS(入库单!$K$4:$K$2503,入库单!$G$4:$G$2503,$A513,入库单!$X$4:$X$2503,"盘盈",入库单!$Z$4:$Z$2503,"正常",入库单!$C$4:$C$2503,"&gt;="&amp;账期起,入库单!$C$4:$C$2503,"&lt;="&amp;账期止))</f>
        <v/>
      </c>
      <c r="M513" s="26">
        <f>IF($A513="","",ROUND($L513*$K513,0))</f>
        <v/>
      </c>
      <c r="N513" s="27">
        <f>IF($A513="","",SUMIFS(入库单!$K$4:$K$2503,入库单!$G$4:$G$2503,$A513,入库单!$X$4:$X$2503,"矿区退库",入库单!$Z$4:$Z$2503,"正常",入库单!$C$4:$C$2503,"&gt;="&amp;账期起,入库单!$C$4:$C$2503,"&lt;="&amp;账期止))</f>
        <v/>
      </c>
      <c r="O513" s="26">
        <f>IF($A513="","",ROUND($N513*$K513,0))</f>
        <v/>
      </c>
      <c r="P513" s="27">
        <f>IF($A513="","",SUMIFS(出库单!$J$4:$J$4003,出库单!$D$4:$D$4003,$A513,出库单!$K$4:$K$4003,"自用消耗",出库单!$U$4:$U$4003,"正常",出库单!$C$4:$C$4003,"&gt;="&amp;账期起,出库单!$C$4:$C$4003,"&lt;="&amp;账期止))</f>
        <v/>
      </c>
      <c r="Q513" s="26">
        <f>IF($A513="","",ROUND(SUMIFS(出库单!$S$4:$S$4003,出库单!$D$4:$D$4003,$A513,出库单!$K$4:$K$4003,"自用消耗",出库单!$U$4:$U$4003,"正常",出库单!$C$4:$C$4003,"&gt;="&amp;账期起,出库单!$C$4:$C$4003,"&lt;="&amp;账期止),0))</f>
        <v/>
      </c>
      <c r="R513" s="27">
        <f>IF($A513="","",SUMIFS(出库单!$J$4:$J$4003,出库单!$D$4:$D$4003,$A513,出库单!$K$4:$K$4003,"对外销售",出库单!$U$4:$U$4003,"正常",出库单!$C$4:$C$4003,"&gt;="&amp;账期起,出库单!$C$4:$C$4003,"&lt;="&amp;账期止))</f>
        <v/>
      </c>
      <c r="S513" s="26">
        <f>IF($A513="","",ROUND(SUMIFS(出库单!$S$4:$S$4003,出库单!$D$4:$D$4003,$A513,出库单!$K$4:$K$4003,"对外销售",出库单!$U$4:$U$4003,"正常",出库单!$C$4:$C$4003,"&gt;="&amp;账期起,出库单!$C$4:$C$4003,"&lt;="&amp;账期止),0))</f>
        <v/>
      </c>
      <c r="T513" s="27">
        <f>IF($A513="","",SUMIFS(出库单!$J$4:$J$4003,出库单!$D$4:$D$4003,$A513,出库单!$K$4:$K$4003,"盘亏",出库单!$U$4:$U$4003,"正常",出库单!$C$4:$C$4003,"&gt;="&amp;账期起,出库单!$C$4:$C$4003,"&lt;="&amp;账期止))</f>
        <v/>
      </c>
      <c r="U513" s="26">
        <f>IF($A513="","",ROUND(SUMIFS(出库单!$S$4:$S$4003,出库单!$D$4:$D$4003,$A513,出库单!$K$4:$K$4003,"盘亏",出库单!$U$4:$U$4003,"正常",出库单!$C$4:$C$4003,"&gt;="&amp;账期起,出库单!$C$4:$C$4003,"&lt;="&amp;账期止),0))</f>
        <v/>
      </c>
      <c r="V513" s="27">
        <f>IF($A513="","",SUMIFS(出库单!$J$4:$J$4003,出库单!$D$4:$D$4003,$A513,出库单!$K$4:$K$4003,"退货给供应商",出库单!$U$4:$U$4003,"正常",出库单!$C$4:$C$4003,"&gt;="&amp;账期起,出库单!$C$4:$C$4003,"&lt;="&amp;账期止))</f>
        <v/>
      </c>
      <c r="W513" s="26">
        <f>IF($A513="","",ROUND(SUMIFS(出库单!$S$4:$S$4003,出库单!$D$4:$D$4003,$A513,出库单!$K$4:$K$4003,"退货给供应商",出库单!$U$4:$U$4003,"正常",出库单!$C$4:$C$4003,"&gt;="&amp;账期起,出库单!$C$4:$C$4003,"&lt;="&amp;账期止),0))</f>
        <v/>
      </c>
      <c r="X513" s="27">
        <f>IF($A513="","",ROUND(N($G513)+$I513+$L513+$N513-$P513-$R513-$T513-$V513,3))</f>
        <v/>
      </c>
      <c r="Y513" s="26">
        <f>IF($A513="","",ROUND(N($H513)+$J513+$M513+$O513-$Q513-$S513-$U513-$W513,0))</f>
        <v/>
      </c>
      <c r="Z513" s="24">
        <f>IF($A513="","",IF(COUNTIFS(入库单!$G$4:$G$2503,$A513,入库单!$Y$4:$Y$2503,"待补价")+COUNTIFS(入库单!$G$4:$G$2503,$A513,入库单!$Y$4:$Y$2503,"暂估")&gt;0,"不可信","可信"))</f>
        <v/>
      </c>
      <c r="AA513" s="24">
        <f>IF($A513="","",IF($X513&lt;-0.001,"※账面负库存，查一下是不是漏记入库",IF(AND(ROUND($X513,3)=0,ABS($Y513)&gt;1),"※数量已经是 0，金额还挂着 "&amp;TEXT($Y513,"#,##0")&amp;" 先令",IF(AND($X513&gt;0,$Y513&lt;=0,$K513=0),"※有数量没金额（这个物料一直没填过进价）",IF($Z513="不可信","△成本含待补价/暂估，毛利仅供参考","")))))</f>
        <v/>
      </c>
    </row>
    <row r="514">
      <c r="A514" s="24">
        <f>IF(物料档案!$A513="","",物料档案!$A513)</f>
        <v/>
      </c>
      <c r="B514" s="24">
        <f>IF($A514="","",IFERROR(VLOOKUP($A514,物料档案!$A$4:$P$1203,3,0),""))</f>
        <v/>
      </c>
      <c r="C514" s="24">
        <f>IF($A514="","",IFERROR(VLOOKUP($A514,物料档案!$A$4:$P$1203,4,0),""))</f>
        <v/>
      </c>
      <c r="D514" s="24">
        <f>IF($A514="","",IFERROR(VLOOKUP($A514,物料档案!$A$4:$P$1203,5,0),""))</f>
        <v/>
      </c>
      <c r="E514" s="24">
        <f>IF($A514="","",IFERROR(VLOOKUP($A514,物料档案!$A$4:$P$1203,2,0),""))</f>
        <v/>
      </c>
      <c r="F514" s="24">
        <f>IF($A514="","",IFERROR(VLOOKUP($A514,物料档案!$A$4:$P$1203,6,0),""))</f>
        <v/>
      </c>
      <c r="G514" s="23" t="n"/>
      <c r="H514" s="32" t="n"/>
      <c r="I514" s="27">
        <f>IF($A514="","",SUMIFS(入库单!$K$4:$K$2503,入库单!$G$4:$G$2503,$A514,入库单!$X$4:$X$2503,"采购入库",入库单!$Z$4:$Z$2503,"正常",入库单!$C$4:$C$2503,"&gt;="&amp;账期起,入库单!$C$4:$C$2503,"&lt;="&amp;账期止))</f>
        <v/>
      </c>
      <c r="J514" s="26">
        <f>IF($A514="","",SUMIFS(入库单!$V$4:$V$2503,入库单!$G$4:$G$2503,$A514,入库单!$X$4:$X$2503,"采购入库",入库单!$Z$4:$Z$2503,"正常",入库单!$C$4:$C$2503,"&gt;="&amp;账期起,入库单!$C$4:$C$2503,"&lt;="&amp;账期止))</f>
        <v/>
      </c>
      <c r="K514" s="26">
        <f>IF($A514="","",IFERROR(ROUND((N($H514)+N($J514))/(N($G514)+N($I514)),2),0))</f>
        <v/>
      </c>
      <c r="L514" s="27">
        <f>IF($A514="","",SUMIFS(入库单!$K$4:$K$2503,入库单!$G$4:$G$2503,$A514,入库单!$X$4:$X$2503,"盘盈",入库单!$Z$4:$Z$2503,"正常",入库单!$C$4:$C$2503,"&gt;="&amp;账期起,入库单!$C$4:$C$2503,"&lt;="&amp;账期止))</f>
        <v/>
      </c>
      <c r="M514" s="26">
        <f>IF($A514="","",ROUND($L514*$K514,0))</f>
        <v/>
      </c>
      <c r="N514" s="27">
        <f>IF($A514="","",SUMIFS(入库单!$K$4:$K$2503,入库单!$G$4:$G$2503,$A514,入库单!$X$4:$X$2503,"矿区退库",入库单!$Z$4:$Z$2503,"正常",入库单!$C$4:$C$2503,"&gt;="&amp;账期起,入库单!$C$4:$C$2503,"&lt;="&amp;账期止))</f>
        <v/>
      </c>
      <c r="O514" s="26">
        <f>IF($A514="","",ROUND($N514*$K514,0))</f>
        <v/>
      </c>
      <c r="P514" s="27">
        <f>IF($A514="","",SUMIFS(出库单!$J$4:$J$4003,出库单!$D$4:$D$4003,$A514,出库单!$K$4:$K$4003,"自用消耗",出库单!$U$4:$U$4003,"正常",出库单!$C$4:$C$4003,"&gt;="&amp;账期起,出库单!$C$4:$C$4003,"&lt;="&amp;账期止))</f>
        <v/>
      </c>
      <c r="Q514" s="26">
        <f>IF($A514="","",ROUND(SUMIFS(出库单!$S$4:$S$4003,出库单!$D$4:$D$4003,$A514,出库单!$K$4:$K$4003,"自用消耗",出库单!$U$4:$U$4003,"正常",出库单!$C$4:$C$4003,"&gt;="&amp;账期起,出库单!$C$4:$C$4003,"&lt;="&amp;账期止),0))</f>
        <v/>
      </c>
      <c r="R514" s="27">
        <f>IF($A514="","",SUMIFS(出库单!$J$4:$J$4003,出库单!$D$4:$D$4003,$A514,出库单!$K$4:$K$4003,"对外销售",出库单!$U$4:$U$4003,"正常",出库单!$C$4:$C$4003,"&gt;="&amp;账期起,出库单!$C$4:$C$4003,"&lt;="&amp;账期止))</f>
        <v/>
      </c>
      <c r="S514" s="26">
        <f>IF($A514="","",ROUND(SUMIFS(出库单!$S$4:$S$4003,出库单!$D$4:$D$4003,$A514,出库单!$K$4:$K$4003,"对外销售",出库单!$U$4:$U$4003,"正常",出库单!$C$4:$C$4003,"&gt;="&amp;账期起,出库单!$C$4:$C$4003,"&lt;="&amp;账期止),0))</f>
        <v/>
      </c>
      <c r="T514" s="27">
        <f>IF($A514="","",SUMIFS(出库单!$J$4:$J$4003,出库单!$D$4:$D$4003,$A514,出库单!$K$4:$K$4003,"盘亏",出库单!$U$4:$U$4003,"正常",出库单!$C$4:$C$4003,"&gt;="&amp;账期起,出库单!$C$4:$C$4003,"&lt;="&amp;账期止))</f>
        <v/>
      </c>
      <c r="U514" s="26">
        <f>IF($A514="","",ROUND(SUMIFS(出库单!$S$4:$S$4003,出库单!$D$4:$D$4003,$A514,出库单!$K$4:$K$4003,"盘亏",出库单!$U$4:$U$4003,"正常",出库单!$C$4:$C$4003,"&gt;="&amp;账期起,出库单!$C$4:$C$4003,"&lt;="&amp;账期止),0))</f>
        <v/>
      </c>
      <c r="V514" s="27">
        <f>IF($A514="","",SUMIFS(出库单!$J$4:$J$4003,出库单!$D$4:$D$4003,$A514,出库单!$K$4:$K$4003,"退货给供应商",出库单!$U$4:$U$4003,"正常",出库单!$C$4:$C$4003,"&gt;="&amp;账期起,出库单!$C$4:$C$4003,"&lt;="&amp;账期止))</f>
        <v/>
      </c>
      <c r="W514" s="26">
        <f>IF($A514="","",ROUND(SUMIFS(出库单!$S$4:$S$4003,出库单!$D$4:$D$4003,$A514,出库单!$K$4:$K$4003,"退货给供应商",出库单!$U$4:$U$4003,"正常",出库单!$C$4:$C$4003,"&gt;="&amp;账期起,出库单!$C$4:$C$4003,"&lt;="&amp;账期止),0))</f>
        <v/>
      </c>
      <c r="X514" s="27">
        <f>IF($A514="","",ROUND(N($G514)+$I514+$L514+$N514-$P514-$R514-$T514-$V514,3))</f>
        <v/>
      </c>
      <c r="Y514" s="26">
        <f>IF($A514="","",ROUND(N($H514)+$J514+$M514+$O514-$Q514-$S514-$U514-$W514,0))</f>
        <v/>
      </c>
      <c r="Z514" s="24">
        <f>IF($A514="","",IF(COUNTIFS(入库单!$G$4:$G$2503,$A514,入库单!$Y$4:$Y$2503,"待补价")+COUNTIFS(入库单!$G$4:$G$2503,$A514,入库单!$Y$4:$Y$2503,"暂估")&gt;0,"不可信","可信"))</f>
        <v/>
      </c>
      <c r="AA514" s="24">
        <f>IF($A514="","",IF($X514&lt;-0.001,"※账面负库存，查一下是不是漏记入库",IF(AND(ROUND($X514,3)=0,ABS($Y514)&gt;1),"※数量已经是 0，金额还挂着 "&amp;TEXT($Y514,"#,##0")&amp;" 先令",IF(AND($X514&gt;0,$Y514&lt;=0,$K514=0),"※有数量没金额（这个物料一直没填过进价）",IF($Z514="不可信","△成本含待补价/暂估，毛利仅供参考","")))))</f>
        <v/>
      </c>
    </row>
    <row r="515">
      <c r="A515" s="24">
        <f>IF(物料档案!$A514="","",物料档案!$A514)</f>
        <v/>
      </c>
      <c r="B515" s="24">
        <f>IF($A515="","",IFERROR(VLOOKUP($A515,物料档案!$A$4:$P$1203,3,0),""))</f>
        <v/>
      </c>
      <c r="C515" s="24">
        <f>IF($A515="","",IFERROR(VLOOKUP($A515,物料档案!$A$4:$P$1203,4,0),""))</f>
        <v/>
      </c>
      <c r="D515" s="24">
        <f>IF($A515="","",IFERROR(VLOOKUP($A515,物料档案!$A$4:$P$1203,5,0),""))</f>
        <v/>
      </c>
      <c r="E515" s="24">
        <f>IF($A515="","",IFERROR(VLOOKUP($A515,物料档案!$A$4:$P$1203,2,0),""))</f>
        <v/>
      </c>
      <c r="F515" s="24">
        <f>IF($A515="","",IFERROR(VLOOKUP($A515,物料档案!$A$4:$P$1203,6,0),""))</f>
        <v/>
      </c>
      <c r="G515" s="23" t="n"/>
      <c r="H515" s="32" t="n"/>
      <c r="I515" s="27">
        <f>IF($A515="","",SUMIFS(入库单!$K$4:$K$2503,入库单!$G$4:$G$2503,$A515,入库单!$X$4:$X$2503,"采购入库",入库单!$Z$4:$Z$2503,"正常",入库单!$C$4:$C$2503,"&gt;="&amp;账期起,入库单!$C$4:$C$2503,"&lt;="&amp;账期止))</f>
        <v/>
      </c>
      <c r="J515" s="26">
        <f>IF($A515="","",SUMIFS(入库单!$V$4:$V$2503,入库单!$G$4:$G$2503,$A515,入库单!$X$4:$X$2503,"采购入库",入库单!$Z$4:$Z$2503,"正常",入库单!$C$4:$C$2503,"&gt;="&amp;账期起,入库单!$C$4:$C$2503,"&lt;="&amp;账期止))</f>
        <v/>
      </c>
      <c r="K515" s="26">
        <f>IF($A515="","",IFERROR(ROUND((N($H515)+N($J515))/(N($G515)+N($I515)),2),0))</f>
        <v/>
      </c>
      <c r="L515" s="27">
        <f>IF($A515="","",SUMIFS(入库单!$K$4:$K$2503,入库单!$G$4:$G$2503,$A515,入库单!$X$4:$X$2503,"盘盈",入库单!$Z$4:$Z$2503,"正常",入库单!$C$4:$C$2503,"&gt;="&amp;账期起,入库单!$C$4:$C$2503,"&lt;="&amp;账期止))</f>
        <v/>
      </c>
      <c r="M515" s="26">
        <f>IF($A515="","",ROUND($L515*$K515,0))</f>
        <v/>
      </c>
      <c r="N515" s="27">
        <f>IF($A515="","",SUMIFS(入库单!$K$4:$K$2503,入库单!$G$4:$G$2503,$A515,入库单!$X$4:$X$2503,"矿区退库",入库单!$Z$4:$Z$2503,"正常",入库单!$C$4:$C$2503,"&gt;="&amp;账期起,入库单!$C$4:$C$2503,"&lt;="&amp;账期止))</f>
        <v/>
      </c>
      <c r="O515" s="26">
        <f>IF($A515="","",ROUND($N515*$K515,0))</f>
        <v/>
      </c>
      <c r="P515" s="27">
        <f>IF($A515="","",SUMIFS(出库单!$J$4:$J$4003,出库单!$D$4:$D$4003,$A515,出库单!$K$4:$K$4003,"自用消耗",出库单!$U$4:$U$4003,"正常",出库单!$C$4:$C$4003,"&gt;="&amp;账期起,出库单!$C$4:$C$4003,"&lt;="&amp;账期止))</f>
        <v/>
      </c>
      <c r="Q515" s="26">
        <f>IF($A515="","",ROUND(SUMIFS(出库单!$S$4:$S$4003,出库单!$D$4:$D$4003,$A515,出库单!$K$4:$K$4003,"自用消耗",出库单!$U$4:$U$4003,"正常",出库单!$C$4:$C$4003,"&gt;="&amp;账期起,出库单!$C$4:$C$4003,"&lt;="&amp;账期止),0))</f>
        <v/>
      </c>
      <c r="R515" s="27">
        <f>IF($A515="","",SUMIFS(出库单!$J$4:$J$4003,出库单!$D$4:$D$4003,$A515,出库单!$K$4:$K$4003,"对外销售",出库单!$U$4:$U$4003,"正常",出库单!$C$4:$C$4003,"&gt;="&amp;账期起,出库单!$C$4:$C$4003,"&lt;="&amp;账期止))</f>
        <v/>
      </c>
      <c r="S515" s="26">
        <f>IF($A515="","",ROUND(SUMIFS(出库单!$S$4:$S$4003,出库单!$D$4:$D$4003,$A515,出库单!$K$4:$K$4003,"对外销售",出库单!$U$4:$U$4003,"正常",出库单!$C$4:$C$4003,"&gt;="&amp;账期起,出库单!$C$4:$C$4003,"&lt;="&amp;账期止),0))</f>
        <v/>
      </c>
      <c r="T515" s="27">
        <f>IF($A515="","",SUMIFS(出库单!$J$4:$J$4003,出库单!$D$4:$D$4003,$A515,出库单!$K$4:$K$4003,"盘亏",出库单!$U$4:$U$4003,"正常",出库单!$C$4:$C$4003,"&gt;="&amp;账期起,出库单!$C$4:$C$4003,"&lt;="&amp;账期止))</f>
        <v/>
      </c>
      <c r="U515" s="26">
        <f>IF($A515="","",ROUND(SUMIFS(出库单!$S$4:$S$4003,出库单!$D$4:$D$4003,$A515,出库单!$K$4:$K$4003,"盘亏",出库单!$U$4:$U$4003,"正常",出库单!$C$4:$C$4003,"&gt;="&amp;账期起,出库单!$C$4:$C$4003,"&lt;="&amp;账期止),0))</f>
        <v/>
      </c>
      <c r="V515" s="27">
        <f>IF($A515="","",SUMIFS(出库单!$J$4:$J$4003,出库单!$D$4:$D$4003,$A515,出库单!$K$4:$K$4003,"退货给供应商",出库单!$U$4:$U$4003,"正常",出库单!$C$4:$C$4003,"&gt;="&amp;账期起,出库单!$C$4:$C$4003,"&lt;="&amp;账期止))</f>
        <v/>
      </c>
      <c r="W515" s="26">
        <f>IF($A515="","",ROUND(SUMIFS(出库单!$S$4:$S$4003,出库单!$D$4:$D$4003,$A515,出库单!$K$4:$K$4003,"退货给供应商",出库单!$U$4:$U$4003,"正常",出库单!$C$4:$C$4003,"&gt;="&amp;账期起,出库单!$C$4:$C$4003,"&lt;="&amp;账期止),0))</f>
        <v/>
      </c>
      <c r="X515" s="27">
        <f>IF($A515="","",ROUND(N($G515)+$I515+$L515+$N515-$P515-$R515-$T515-$V515,3))</f>
        <v/>
      </c>
      <c r="Y515" s="26">
        <f>IF($A515="","",ROUND(N($H515)+$J515+$M515+$O515-$Q515-$S515-$U515-$W515,0))</f>
        <v/>
      </c>
      <c r="Z515" s="24">
        <f>IF($A515="","",IF(COUNTIFS(入库单!$G$4:$G$2503,$A515,入库单!$Y$4:$Y$2503,"待补价")+COUNTIFS(入库单!$G$4:$G$2503,$A515,入库单!$Y$4:$Y$2503,"暂估")&gt;0,"不可信","可信"))</f>
        <v/>
      </c>
      <c r="AA515" s="24">
        <f>IF($A515="","",IF($X515&lt;-0.001,"※账面负库存，查一下是不是漏记入库",IF(AND(ROUND($X515,3)=0,ABS($Y515)&gt;1),"※数量已经是 0，金额还挂着 "&amp;TEXT($Y515,"#,##0")&amp;" 先令",IF(AND($X515&gt;0,$Y515&lt;=0,$K515=0),"※有数量没金额（这个物料一直没填过进价）",IF($Z515="不可信","△成本含待补价/暂估，毛利仅供参考","")))))</f>
        <v/>
      </c>
    </row>
    <row r="516">
      <c r="A516" s="24">
        <f>IF(物料档案!$A515="","",物料档案!$A515)</f>
        <v/>
      </c>
      <c r="B516" s="24">
        <f>IF($A516="","",IFERROR(VLOOKUP($A516,物料档案!$A$4:$P$1203,3,0),""))</f>
        <v/>
      </c>
      <c r="C516" s="24">
        <f>IF($A516="","",IFERROR(VLOOKUP($A516,物料档案!$A$4:$P$1203,4,0),""))</f>
        <v/>
      </c>
      <c r="D516" s="24">
        <f>IF($A516="","",IFERROR(VLOOKUP($A516,物料档案!$A$4:$P$1203,5,0),""))</f>
        <v/>
      </c>
      <c r="E516" s="24">
        <f>IF($A516="","",IFERROR(VLOOKUP($A516,物料档案!$A$4:$P$1203,2,0),""))</f>
        <v/>
      </c>
      <c r="F516" s="24">
        <f>IF($A516="","",IFERROR(VLOOKUP($A516,物料档案!$A$4:$P$1203,6,0),""))</f>
        <v/>
      </c>
      <c r="G516" s="23" t="n"/>
      <c r="H516" s="32" t="n"/>
      <c r="I516" s="27">
        <f>IF($A516="","",SUMIFS(入库单!$K$4:$K$2503,入库单!$G$4:$G$2503,$A516,入库单!$X$4:$X$2503,"采购入库",入库单!$Z$4:$Z$2503,"正常",入库单!$C$4:$C$2503,"&gt;="&amp;账期起,入库单!$C$4:$C$2503,"&lt;="&amp;账期止))</f>
        <v/>
      </c>
      <c r="J516" s="26">
        <f>IF($A516="","",SUMIFS(入库单!$V$4:$V$2503,入库单!$G$4:$G$2503,$A516,入库单!$X$4:$X$2503,"采购入库",入库单!$Z$4:$Z$2503,"正常",入库单!$C$4:$C$2503,"&gt;="&amp;账期起,入库单!$C$4:$C$2503,"&lt;="&amp;账期止))</f>
        <v/>
      </c>
      <c r="K516" s="26">
        <f>IF($A516="","",IFERROR(ROUND((N($H516)+N($J516))/(N($G516)+N($I516)),2),0))</f>
        <v/>
      </c>
      <c r="L516" s="27">
        <f>IF($A516="","",SUMIFS(入库单!$K$4:$K$2503,入库单!$G$4:$G$2503,$A516,入库单!$X$4:$X$2503,"盘盈",入库单!$Z$4:$Z$2503,"正常",入库单!$C$4:$C$2503,"&gt;="&amp;账期起,入库单!$C$4:$C$2503,"&lt;="&amp;账期止))</f>
        <v/>
      </c>
      <c r="M516" s="26">
        <f>IF($A516="","",ROUND($L516*$K516,0))</f>
        <v/>
      </c>
      <c r="N516" s="27">
        <f>IF($A516="","",SUMIFS(入库单!$K$4:$K$2503,入库单!$G$4:$G$2503,$A516,入库单!$X$4:$X$2503,"矿区退库",入库单!$Z$4:$Z$2503,"正常",入库单!$C$4:$C$2503,"&gt;="&amp;账期起,入库单!$C$4:$C$2503,"&lt;="&amp;账期止))</f>
        <v/>
      </c>
      <c r="O516" s="26">
        <f>IF($A516="","",ROUND($N516*$K516,0))</f>
        <v/>
      </c>
      <c r="P516" s="27">
        <f>IF($A516="","",SUMIFS(出库单!$J$4:$J$4003,出库单!$D$4:$D$4003,$A516,出库单!$K$4:$K$4003,"自用消耗",出库单!$U$4:$U$4003,"正常",出库单!$C$4:$C$4003,"&gt;="&amp;账期起,出库单!$C$4:$C$4003,"&lt;="&amp;账期止))</f>
        <v/>
      </c>
      <c r="Q516" s="26">
        <f>IF($A516="","",ROUND(SUMIFS(出库单!$S$4:$S$4003,出库单!$D$4:$D$4003,$A516,出库单!$K$4:$K$4003,"自用消耗",出库单!$U$4:$U$4003,"正常",出库单!$C$4:$C$4003,"&gt;="&amp;账期起,出库单!$C$4:$C$4003,"&lt;="&amp;账期止),0))</f>
        <v/>
      </c>
      <c r="R516" s="27">
        <f>IF($A516="","",SUMIFS(出库单!$J$4:$J$4003,出库单!$D$4:$D$4003,$A516,出库单!$K$4:$K$4003,"对外销售",出库单!$U$4:$U$4003,"正常",出库单!$C$4:$C$4003,"&gt;="&amp;账期起,出库单!$C$4:$C$4003,"&lt;="&amp;账期止))</f>
        <v/>
      </c>
      <c r="S516" s="26">
        <f>IF($A516="","",ROUND(SUMIFS(出库单!$S$4:$S$4003,出库单!$D$4:$D$4003,$A516,出库单!$K$4:$K$4003,"对外销售",出库单!$U$4:$U$4003,"正常",出库单!$C$4:$C$4003,"&gt;="&amp;账期起,出库单!$C$4:$C$4003,"&lt;="&amp;账期止),0))</f>
        <v/>
      </c>
      <c r="T516" s="27">
        <f>IF($A516="","",SUMIFS(出库单!$J$4:$J$4003,出库单!$D$4:$D$4003,$A516,出库单!$K$4:$K$4003,"盘亏",出库单!$U$4:$U$4003,"正常",出库单!$C$4:$C$4003,"&gt;="&amp;账期起,出库单!$C$4:$C$4003,"&lt;="&amp;账期止))</f>
        <v/>
      </c>
      <c r="U516" s="26">
        <f>IF($A516="","",ROUND(SUMIFS(出库单!$S$4:$S$4003,出库单!$D$4:$D$4003,$A516,出库单!$K$4:$K$4003,"盘亏",出库单!$U$4:$U$4003,"正常",出库单!$C$4:$C$4003,"&gt;="&amp;账期起,出库单!$C$4:$C$4003,"&lt;="&amp;账期止),0))</f>
        <v/>
      </c>
      <c r="V516" s="27">
        <f>IF($A516="","",SUMIFS(出库单!$J$4:$J$4003,出库单!$D$4:$D$4003,$A516,出库单!$K$4:$K$4003,"退货给供应商",出库单!$U$4:$U$4003,"正常",出库单!$C$4:$C$4003,"&gt;="&amp;账期起,出库单!$C$4:$C$4003,"&lt;="&amp;账期止))</f>
        <v/>
      </c>
      <c r="W516" s="26">
        <f>IF($A516="","",ROUND(SUMIFS(出库单!$S$4:$S$4003,出库单!$D$4:$D$4003,$A516,出库单!$K$4:$K$4003,"退货给供应商",出库单!$U$4:$U$4003,"正常",出库单!$C$4:$C$4003,"&gt;="&amp;账期起,出库单!$C$4:$C$4003,"&lt;="&amp;账期止),0))</f>
        <v/>
      </c>
      <c r="X516" s="27">
        <f>IF($A516="","",ROUND(N($G516)+$I516+$L516+$N516-$P516-$R516-$T516-$V516,3))</f>
        <v/>
      </c>
      <c r="Y516" s="26">
        <f>IF($A516="","",ROUND(N($H516)+$J516+$M516+$O516-$Q516-$S516-$U516-$W516,0))</f>
        <v/>
      </c>
      <c r="Z516" s="24">
        <f>IF($A516="","",IF(COUNTIFS(入库单!$G$4:$G$2503,$A516,入库单!$Y$4:$Y$2503,"待补价")+COUNTIFS(入库单!$G$4:$G$2503,$A516,入库单!$Y$4:$Y$2503,"暂估")&gt;0,"不可信","可信"))</f>
        <v/>
      </c>
      <c r="AA516" s="24">
        <f>IF($A516="","",IF($X516&lt;-0.001,"※账面负库存，查一下是不是漏记入库",IF(AND(ROUND($X516,3)=0,ABS($Y516)&gt;1),"※数量已经是 0，金额还挂着 "&amp;TEXT($Y516,"#,##0")&amp;" 先令",IF(AND($X516&gt;0,$Y516&lt;=0,$K516=0),"※有数量没金额（这个物料一直没填过进价）",IF($Z516="不可信","△成本含待补价/暂估，毛利仅供参考","")))))</f>
        <v/>
      </c>
    </row>
    <row r="517">
      <c r="A517" s="24">
        <f>IF(物料档案!$A516="","",物料档案!$A516)</f>
        <v/>
      </c>
      <c r="B517" s="24">
        <f>IF($A517="","",IFERROR(VLOOKUP($A517,物料档案!$A$4:$P$1203,3,0),""))</f>
        <v/>
      </c>
      <c r="C517" s="24">
        <f>IF($A517="","",IFERROR(VLOOKUP($A517,物料档案!$A$4:$P$1203,4,0),""))</f>
        <v/>
      </c>
      <c r="D517" s="24">
        <f>IF($A517="","",IFERROR(VLOOKUP($A517,物料档案!$A$4:$P$1203,5,0),""))</f>
        <v/>
      </c>
      <c r="E517" s="24">
        <f>IF($A517="","",IFERROR(VLOOKUP($A517,物料档案!$A$4:$P$1203,2,0),""))</f>
        <v/>
      </c>
      <c r="F517" s="24">
        <f>IF($A517="","",IFERROR(VLOOKUP($A517,物料档案!$A$4:$P$1203,6,0),""))</f>
        <v/>
      </c>
      <c r="G517" s="23" t="n"/>
      <c r="H517" s="32" t="n"/>
      <c r="I517" s="27">
        <f>IF($A517="","",SUMIFS(入库单!$K$4:$K$2503,入库单!$G$4:$G$2503,$A517,入库单!$X$4:$X$2503,"采购入库",入库单!$Z$4:$Z$2503,"正常",入库单!$C$4:$C$2503,"&gt;="&amp;账期起,入库单!$C$4:$C$2503,"&lt;="&amp;账期止))</f>
        <v/>
      </c>
      <c r="J517" s="26">
        <f>IF($A517="","",SUMIFS(入库单!$V$4:$V$2503,入库单!$G$4:$G$2503,$A517,入库单!$X$4:$X$2503,"采购入库",入库单!$Z$4:$Z$2503,"正常",入库单!$C$4:$C$2503,"&gt;="&amp;账期起,入库单!$C$4:$C$2503,"&lt;="&amp;账期止))</f>
        <v/>
      </c>
      <c r="K517" s="26">
        <f>IF($A517="","",IFERROR(ROUND((N($H517)+N($J517))/(N($G517)+N($I517)),2),0))</f>
        <v/>
      </c>
      <c r="L517" s="27">
        <f>IF($A517="","",SUMIFS(入库单!$K$4:$K$2503,入库单!$G$4:$G$2503,$A517,入库单!$X$4:$X$2503,"盘盈",入库单!$Z$4:$Z$2503,"正常",入库单!$C$4:$C$2503,"&gt;="&amp;账期起,入库单!$C$4:$C$2503,"&lt;="&amp;账期止))</f>
        <v/>
      </c>
      <c r="M517" s="26">
        <f>IF($A517="","",ROUND($L517*$K517,0))</f>
        <v/>
      </c>
      <c r="N517" s="27">
        <f>IF($A517="","",SUMIFS(入库单!$K$4:$K$2503,入库单!$G$4:$G$2503,$A517,入库单!$X$4:$X$2503,"矿区退库",入库单!$Z$4:$Z$2503,"正常",入库单!$C$4:$C$2503,"&gt;="&amp;账期起,入库单!$C$4:$C$2503,"&lt;="&amp;账期止))</f>
        <v/>
      </c>
      <c r="O517" s="26">
        <f>IF($A517="","",ROUND($N517*$K517,0))</f>
        <v/>
      </c>
      <c r="P517" s="27">
        <f>IF($A517="","",SUMIFS(出库单!$J$4:$J$4003,出库单!$D$4:$D$4003,$A517,出库单!$K$4:$K$4003,"自用消耗",出库单!$U$4:$U$4003,"正常",出库单!$C$4:$C$4003,"&gt;="&amp;账期起,出库单!$C$4:$C$4003,"&lt;="&amp;账期止))</f>
        <v/>
      </c>
      <c r="Q517" s="26">
        <f>IF($A517="","",ROUND(SUMIFS(出库单!$S$4:$S$4003,出库单!$D$4:$D$4003,$A517,出库单!$K$4:$K$4003,"自用消耗",出库单!$U$4:$U$4003,"正常",出库单!$C$4:$C$4003,"&gt;="&amp;账期起,出库单!$C$4:$C$4003,"&lt;="&amp;账期止),0))</f>
        <v/>
      </c>
      <c r="R517" s="27">
        <f>IF($A517="","",SUMIFS(出库单!$J$4:$J$4003,出库单!$D$4:$D$4003,$A517,出库单!$K$4:$K$4003,"对外销售",出库单!$U$4:$U$4003,"正常",出库单!$C$4:$C$4003,"&gt;="&amp;账期起,出库单!$C$4:$C$4003,"&lt;="&amp;账期止))</f>
        <v/>
      </c>
      <c r="S517" s="26">
        <f>IF($A517="","",ROUND(SUMIFS(出库单!$S$4:$S$4003,出库单!$D$4:$D$4003,$A517,出库单!$K$4:$K$4003,"对外销售",出库单!$U$4:$U$4003,"正常",出库单!$C$4:$C$4003,"&gt;="&amp;账期起,出库单!$C$4:$C$4003,"&lt;="&amp;账期止),0))</f>
        <v/>
      </c>
      <c r="T517" s="27">
        <f>IF($A517="","",SUMIFS(出库单!$J$4:$J$4003,出库单!$D$4:$D$4003,$A517,出库单!$K$4:$K$4003,"盘亏",出库单!$U$4:$U$4003,"正常",出库单!$C$4:$C$4003,"&gt;="&amp;账期起,出库单!$C$4:$C$4003,"&lt;="&amp;账期止))</f>
        <v/>
      </c>
      <c r="U517" s="26">
        <f>IF($A517="","",ROUND(SUMIFS(出库单!$S$4:$S$4003,出库单!$D$4:$D$4003,$A517,出库单!$K$4:$K$4003,"盘亏",出库单!$U$4:$U$4003,"正常",出库单!$C$4:$C$4003,"&gt;="&amp;账期起,出库单!$C$4:$C$4003,"&lt;="&amp;账期止),0))</f>
        <v/>
      </c>
      <c r="V517" s="27">
        <f>IF($A517="","",SUMIFS(出库单!$J$4:$J$4003,出库单!$D$4:$D$4003,$A517,出库单!$K$4:$K$4003,"退货给供应商",出库单!$U$4:$U$4003,"正常",出库单!$C$4:$C$4003,"&gt;="&amp;账期起,出库单!$C$4:$C$4003,"&lt;="&amp;账期止))</f>
        <v/>
      </c>
      <c r="W517" s="26">
        <f>IF($A517="","",ROUND(SUMIFS(出库单!$S$4:$S$4003,出库单!$D$4:$D$4003,$A517,出库单!$K$4:$K$4003,"退货给供应商",出库单!$U$4:$U$4003,"正常",出库单!$C$4:$C$4003,"&gt;="&amp;账期起,出库单!$C$4:$C$4003,"&lt;="&amp;账期止),0))</f>
        <v/>
      </c>
      <c r="X517" s="27">
        <f>IF($A517="","",ROUND(N($G517)+$I517+$L517+$N517-$P517-$R517-$T517-$V517,3))</f>
        <v/>
      </c>
      <c r="Y517" s="26">
        <f>IF($A517="","",ROUND(N($H517)+$J517+$M517+$O517-$Q517-$S517-$U517-$W517,0))</f>
        <v/>
      </c>
      <c r="Z517" s="24">
        <f>IF($A517="","",IF(COUNTIFS(入库单!$G$4:$G$2503,$A517,入库单!$Y$4:$Y$2503,"待补价")+COUNTIFS(入库单!$G$4:$G$2503,$A517,入库单!$Y$4:$Y$2503,"暂估")&gt;0,"不可信","可信"))</f>
        <v/>
      </c>
      <c r="AA517" s="24">
        <f>IF($A517="","",IF($X517&lt;-0.001,"※账面负库存，查一下是不是漏记入库",IF(AND(ROUND($X517,3)=0,ABS($Y517)&gt;1),"※数量已经是 0，金额还挂着 "&amp;TEXT($Y517,"#,##0")&amp;" 先令",IF(AND($X517&gt;0,$Y517&lt;=0,$K517=0),"※有数量没金额（这个物料一直没填过进价）",IF($Z517="不可信","△成本含待补价/暂估，毛利仅供参考","")))))</f>
        <v/>
      </c>
    </row>
    <row r="518">
      <c r="A518" s="24">
        <f>IF(物料档案!$A517="","",物料档案!$A517)</f>
        <v/>
      </c>
      <c r="B518" s="24">
        <f>IF($A518="","",IFERROR(VLOOKUP($A518,物料档案!$A$4:$P$1203,3,0),""))</f>
        <v/>
      </c>
      <c r="C518" s="24">
        <f>IF($A518="","",IFERROR(VLOOKUP($A518,物料档案!$A$4:$P$1203,4,0),""))</f>
        <v/>
      </c>
      <c r="D518" s="24">
        <f>IF($A518="","",IFERROR(VLOOKUP($A518,物料档案!$A$4:$P$1203,5,0),""))</f>
        <v/>
      </c>
      <c r="E518" s="24">
        <f>IF($A518="","",IFERROR(VLOOKUP($A518,物料档案!$A$4:$P$1203,2,0),""))</f>
        <v/>
      </c>
      <c r="F518" s="24">
        <f>IF($A518="","",IFERROR(VLOOKUP($A518,物料档案!$A$4:$P$1203,6,0),""))</f>
        <v/>
      </c>
      <c r="G518" s="23" t="n"/>
      <c r="H518" s="32" t="n"/>
      <c r="I518" s="27">
        <f>IF($A518="","",SUMIFS(入库单!$K$4:$K$2503,入库单!$G$4:$G$2503,$A518,入库单!$X$4:$X$2503,"采购入库",入库单!$Z$4:$Z$2503,"正常",入库单!$C$4:$C$2503,"&gt;="&amp;账期起,入库单!$C$4:$C$2503,"&lt;="&amp;账期止))</f>
        <v/>
      </c>
      <c r="J518" s="26">
        <f>IF($A518="","",SUMIFS(入库单!$V$4:$V$2503,入库单!$G$4:$G$2503,$A518,入库单!$X$4:$X$2503,"采购入库",入库单!$Z$4:$Z$2503,"正常",入库单!$C$4:$C$2503,"&gt;="&amp;账期起,入库单!$C$4:$C$2503,"&lt;="&amp;账期止))</f>
        <v/>
      </c>
      <c r="K518" s="26">
        <f>IF($A518="","",IFERROR(ROUND((N($H518)+N($J518))/(N($G518)+N($I518)),2),0))</f>
        <v/>
      </c>
      <c r="L518" s="27">
        <f>IF($A518="","",SUMIFS(入库单!$K$4:$K$2503,入库单!$G$4:$G$2503,$A518,入库单!$X$4:$X$2503,"盘盈",入库单!$Z$4:$Z$2503,"正常",入库单!$C$4:$C$2503,"&gt;="&amp;账期起,入库单!$C$4:$C$2503,"&lt;="&amp;账期止))</f>
        <v/>
      </c>
      <c r="M518" s="26">
        <f>IF($A518="","",ROUND($L518*$K518,0))</f>
        <v/>
      </c>
      <c r="N518" s="27">
        <f>IF($A518="","",SUMIFS(入库单!$K$4:$K$2503,入库单!$G$4:$G$2503,$A518,入库单!$X$4:$X$2503,"矿区退库",入库单!$Z$4:$Z$2503,"正常",入库单!$C$4:$C$2503,"&gt;="&amp;账期起,入库单!$C$4:$C$2503,"&lt;="&amp;账期止))</f>
        <v/>
      </c>
      <c r="O518" s="26">
        <f>IF($A518="","",ROUND($N518*$K518,0))</f>
        <v/>
      </c>
      <c r="P518" s="27">
        <f>IF($A518="","",SUMIFS(出库单!$J$4:$J$4003,出库单!$D$4:$D$4003,$A518,出库单!$K$4:$K$4003,"自用消耗",出库单!$U$4:$U$4003,"正常",出库单!$C$4:$C$4003,"&gt;="&amp;账期起,出库单!$C$4:$C$4003,"&lt;="&amp;账期止))</f>
        <v/>
      </c>
      <c r="Q518" s="26">
        <f>IF($A518="","",ROUND(SUMIFS(出库单!$S$4:$S$4003,出库单!$D$4:$D$4003,$A518,出库单!$K$4:$K$4003,"自用消耗",出库单!$U$4:$U$4003,"正常",出库单!$C$4:$C$4003,"&gt;="&amp;账期起,出库单!$C$4:$C$4003,"&lt;="&amp;账期止),0))</f>
        <v/>
      </c>
      <c r="R518" s="27">
        <f>IF($A518="","",SUMIFS(出库单!$J$4:$J$4003,出库单!$D$4:$D$4003,$A518,出库单!$K$4:$K$4003,"对外销售",出库单!$U$4:$U$4003,"正常",出库单!$C$4:$C$4003,"&gt;="&amp;账期起,出库单!$C$4:$C$4003,"&lt;="&amp;账期止))</f>
        <v/>
      </c>
      <c r="S518" s="26">
        <f>IF($A518="","",ROUND(SUMIFS(出库单!$S$4:$S$4003,出库单!$D$4:$D$4003,$A518,出库单!$K$4:$K$4003,"对外销售",出库单!$U$4:$U$4003,"正常",出库单!$C$4:$C$4003,"&gt;="&amp;账期起,出库单!$C$4:$C$4003,"&lt;="&amp;账期止),0))</f>
        <v/>
      </c>
      <c r="T518" s="27">
        <f>IF($A518="","",SUMIFS(出库单!$J$4:$J$4003,出库单!$D$4:$D$4003,$A518,出库单!$K$4:$K$4003,"盘亏",出库单!$U$4:$U$4003,"正常",出库单!$C$4:$C$4003,"&gt;="&amp;账期起,出库单!$C$4:$C$4003,"&lt;="&amp;账期止))</f>
        <v/>
      </c>
      <c r="U518" s="26">
        <f>IF($A518="","",ROUND(SUMIFS(出库单!$S$4:$S$4003,出库单!$D$4:$D$4003,$A518,出库单!$K$4:$K$4003,"盘亏",出库单!$U$4:$U$4003,"正常",出库单!$C$4:$C$4003,"&gt;="&amp;账期起,出库单!$C$4:$C$4003,"&lt;="&amp;账期止),0))</f>
        <v/>
      </c>
      <c r="V518" s="27">
        <f>IF($A518="","",SUMIFS(出库单!$J$4:$J$4003,出库单!$D$4:$D$4003,$A518,出库单!$K$4:$K$4003,"退货给供应商",出库单!$U$4:$U$4003,"正常",出库单!$C$4:$C$4003,"&gt;="&amp;账期起,出库单!$C$4:$C$4003,"&lt;="&amp;账期止))</f>
        <v/>
      </c>
      <c r="W518" s="26">
        <f>IF($A518="","",ROUND(SUMIFS(出库单!$S$4:$S$4003,出库单!$D$4:$D$4003,$A518,出库单!$K$4:$K$4003,"退货给供应商",出库单!$U$4:$U$4003,"正常",出库单!$C$4:$C$4003,"&gt;="&amp;账期起,出库单!$C$4:$C$4003,"&lt;="&amp;账期止),0))</f>
        <v/>
      </c>
      <c r="X518" s="27">
        <f>IF($A518="","",ROUND(N($G518)+$I518+$L518+$N518-$P518-$R518-$T518-$V518,3))</f>
        <v/>
      </c>
      <c r="Y518" s="26">
        <f>IF($A518="","",ROUND(N($H518)+$J518+$M518+$O518-$Q518-$S518-$U518-$W518,0))</f>
        <v/>
      </c>
      <c r="Z518" s="24">
        <f>IF($A518="","",IF(COUNTIFS(入库单!$G$4:$G$2503,$A518,入库单!$Y$4:$Y$2503,"待补价")+COUNTIFS(入库单!$G$4:$G$2503,$A518,入库单!$Y$4:$Y$2503,"暂估")&gt;0,"不可信","可信"))</f>
        <v/>
      </c>
      <c r="AA518" s="24">
        <f>IF($A518="","",IF($X518&lt;-0.001,"※账面负库存，查一下是不是漏记入库",IF(AND(ROUND($X518,3)=0,ABS($Y518)&gt;1),"※数量已经是 0，金额还挂着 "&amp;TEXT($Y518,"#,##0")&amp;" 先令",IF(AND($X518&gt;0,$Y518&lt;=0,$K518=0),"※有数量没金额（这个物料一直没填过进价）",IF($Z518="不可信","△成本含待补价/暂估，毛利仅供参考","")))))</f>
        <v/>
      </c>
    </row>
    <row r="519">
      <c r="A519" s="24">
        <f>IF(物料档案!$A518="","",物料档案!$A518)</f>
        <v/>
      </c>
      <c r="B519" s="24">
        <f>IF($A519="","",IFERROR(VLOOKUP($A519,物料档案!$A$4:$P$1203,3,0),""))</f>
        <v/>
      </c>
      <c r="C519" s="24">
        <f>IF($A519="","",IFERROR(VLOOKUP($A519,物料档案!$A$4:$P$1203,4,0),""))</f>
        <v/>
      </c>
      <c r="D519" s="24">
        <f>IF($A519="","",IFERROR(VLOOKUP($A519,物料档案!$A$4:$P$1203,5,0),""))</f>
        <v/>
      </c>
      <c r="E519" s="24">
        <f>IF($A519="","",IFERROR(VLOOKUP($A519,物料档案!$A$4:$P$1203,2,0),""))</f>
        <v/>
      </c>
      <c r="F519" s="24">
        <f>IF($A519="","",IFERROR(VLOOKUP($A519,物料档案!$A$4:$P$1203,6,0),""))</f>
        <v/>
      </c>
      <c r="G519" s="23" t="n"/>
      <c r="H519" s="32" t="n"/>
      <c r="I519" s="27">
        <f>IF($A519="","",SUMIFS(入库单!$K$4:$K$2503,入库单!$G$4:$G$2503,$A519,入库单!$X$4:$X$2503,"采购入库",入库单!$Z$4:$Z$2503,"正常",入库单!$C$4:$C$2503,"&gt;="&amp;账期起,入库单!$C$4:$C$2503,"&lt;="&amp;账期止))</f>
        <v/>
      </c>
      <c r="J519" s="26">
        <f>IF($A519="","",SUMIFS(入库单!$V$4:$V$2503,入库单!$G$4:$G$2503,$A519,入库单!$X$4:$X$2503,"采购入库",入库单!$Z$4:$Z$2503,"正常",入库单!$C$4:$C$2503,"&gt;="&amp;账期起,入库单!$C$4:$C$2503,"&lt;="&amp;账期止))</f>
        <v/>
      </c>
      <c r="K519" s="26">
        <f>IF($A519="","",IFERROR(ROUND((N($H519)+N($J519))/(N($G519)+N($I519)),2),0))</f>
        <v/>
      </c>
      <c r="L519" s="27">
        <f>IF($A519="","",SUMIFS(入库单!$K$4:$K$2503,入库单!$G$4:$G$2503,$A519,入库单!$X$4:$X$2503,"盘盈",入库单!$Z$4:$Z$2503,"正常",入库单!$C$4:$C$2503,"&gt;="&amp;账期起,入库单!$C$4:$C$2503,"&lt;="&amp;账期止))</f>
        <v/>
      </c>
      <c r="M519" s="26">
        <f>IF($A519="","",ROUND($L519*$K519,0))</f>
        <v/>
      </c>
      <c r="N519" s="27">
        <f>IF($A519="","",SUMIFS(入库单!$K$4:$K$2503,入库单!$G$4:$G$2503,$A519,入库单!$X$4:$X$2503,"矿区退库",入库单!$Z$4:$Z$2503,"正常",入库单!$C$4:$C$2503,"&gt;="&amp;账期起,入库单!$C$4:$C$2503,"&lt;="&amp;账期止))</f>
        <v/>
      </c>
      <c r="O519" s="26">
        <f>IF($A519="","",ROUND($N519*$K519,0))</f>
        <v/>
      </c>
      <c r="P519" s="27">
        <f>IF($A519="","",SUMIFS(出库单!$J$4:$J$4003,出库单!$D$4:$D$4003,$A519,出库单!$K$4:$K$4003,"自用消耗",出库单!$U$4:$U$4003,"正常",出库单!$C$4:$C$4003,"&gt;="&amp;账期起,出库单!$C$4:$C$4003,"&lt;="&amp;账期止))</f>
        <v/>
      </c>
      <c r="Q519" s="26">
        <f>IF($A519="","",ROUND(SUMIFS(出库单!$S$4:$S$4003,出库单!$D$4:$D$4003,$A519,出库单!$K$4:$K$4003,"自用消耗",出库单!$U$4:$U$4003,"正常",出库单!$C$4:$C$4003,"&gt;="&amp;账期起,出库单!$C$4:$C$4003,"&lt;="&amp;账期止),0))</f>
        <v/>
      </c>
      <c r="R519" s="27">
        <f>IF($A519="","",SUMIFS(出库单!$J$4:$J$4003,出库单!$D$4:$D$4003,$A519,出库单!$K$4:$K$4003,"对外销售",出库单!$U$4:$U$4003,"正常",出库单!$C$4:$C$4003,"&gt;="&amp;账期起,出库单!$C$4:$C$4003,"&lt;="&amp;账期止))</f>
        <v/>
      </c>
      <c r="S519" s="26">
        <f>IF($A519="","",ROUND(SUMIFS(出库单!$S$4:$S$4003,出库单!$D$4:$D$4003,$A519,出库单!$K$4:$K$4003,"对外销售",出库单!$U$4:$U$4003,"正常",出库单!$C$4:$C$4003,"&gt;="&amp;账期起,出库单!$C$4:$C$4003,"&lt;="&amp;账期止),0))</f>
        <v/>
      </c>
      <c r="T519" s="27">
        <f>IF($A519="","",SUMIFS(出库单!$J$4:$J$4003,出库单!$D$4:$D$4003,$A519,出库单!$K$4:$K$4003,"盘亏",出库单!$U$4:$U$4003,"正常",出库单!$C$4:$C$4003,"&gt;="&amp;账期起,出库单!$C$4:$C$4003,"&lt;="&amp;账期止))</f>
        <v/>
      </c>
      <c r="U519" s="26">
        <f>IF($A519="","",ROUND(SUMIFS(出库单!$S$4:$S$4003,出库单!$D$4:$D$4003,$A519,出库单!$K$4:$K$4003,"盘亏",出库单!$U$4:$U$4003,"正常",出库单!$C$4:$C$4003,"&gt;="&amp;账期起,出库单!$C$4:$C$4003,"&lt;="&amp;账期止),0))</f>
        <v/>
      </c>
      <c r="V519" s="27">
        <f>IF($A519="","",SUMIFS(出库单!$J$4:$J$4003,出库单!$D$4:$D$4003,$A519,出库单!$K$4:$K$4003,"退货给供应商",出库单!$U$4:$U$4003,"正常",出库单!$C$4:$C$4003,"&gt;="&amp;账期起,出库单!$C$4:$C$4003,"&lt;="&amp;账期止))</f>
        <v/>
      </c>
      <c r="W519" s="26">
        <f>IF($A519="","",ROUND(SUMIFS(出库单!$S$4:$S$4003,出库单!$D$4:$D$4003,$A519,出库单!$K$4:$K$4003,"退货给供应商",出库单!$U$4:$U$4003,"正常",出库单!$C$4:$C$4003,"&gt;="&amp;账期起,出库单!$C$4:$C$4003,"&lt;="&amp;账期止),0))</f>
        <v/>
      </c>
      <c r="X519" s="27">
        <f>IF($A519="","",ROUND(N($G519)+$I519+$L519+$N519-$P519-$R519-$T519-$V519,3))</f>
        <v/>
      </c>
      <c r="Y519" s="26">
        <f>IF($A519="","",ROUND(N($H519)+$J519+$M519+$O519-$Q519-$S519-$U519-$W519,0))</f>
        <v/>
      </c>
      <c r="Z519" s="24">
        <f>IF($A519="","",IF(COUNTIFS(入库单!$G$4:$G$2503,$A519,入库单!$Y$4:$Y$2503,"待补价")+COUNTIFS(入库单!$G$4:$G$2503,$A519,入库单!$Y$4:$Y$2503,"暂估")&gt;0,"不可信","可信"))</f>
        <v/>
      </c>
      <c r="AA519" s="24">
        <f>IF($A519="","",IF($X519&lt;-0.001,"※账面负库存，查一下是不是漏记入库",IF(AND(ROUND($X519,3)=0,ABS($Y519)&gt;1),"※数量已经是 0，金额还挂着 "&amp;TEXT($Y519,"#,##0")&amp;" 先令",IF(AND($X519&gt;0,$Y519&lt;=0,$K519=0),"※有数量没金额（这个物料一直没填过进价）",IF($Z519="不可信","△成本含待补价/暂估，毛利仅供参考","")))))</f>
        <v/>
      </c>
    </row>
    <row r="520">
      <c r="A520" s="24">
        <f>IF(物料档案!$A519="","",物料档案!$A519)</f>
        <v/>
      </c>
      <c r="B520" s="24">
        <f>IF($A520="","",IFERROR(VLOOKUP($A520,物料档案!$A$4:$P$1203,3,0),""))</f>
        <v/>
      </c>
      <c r="C520" s="24">
        <f>IF($A520="","",IFERROR(VLOOKUP($A520,物料档案!$A$4:$P$1203,4,0),""))</f>
        <v/>
      </c>
      <c r="D520" s="24">
        <f>IF($A520="","",IFERROR(VLOOKUP($A520,物料档案!$A$4:$P$1203,5,0),""))</f>
        <v/>
      </c>
      <c r="E520" s="24">
        <f>IF($A520="","",IFERROR(VLOOKUP($A520,物料档案!$A$4:$P$1203,2,0),""))</f>
        <v/>
      </c>
      <c r="F520" s="24">
        <f>IF($A520="","",IFERROR(VLOOKUP($A520,物料档案!$A$4:$P$1203,6,0),""))</f>
        <v/>
      </c>
      <c r="G520" s="23" t="n"/>
      <c r="H520" s="32" t="n"/>
      <c r="I520" s="27">
        <f>IF($A520="","",SUMIFS(入库单!$K$4:$K$2503,入库单!$G$4:$G$2503,$A520,入库单!$X$4:$X$2503,"采购入库",入库单!$Z$4:$Z$2503,"正常",入库单!$C$4:$C$2503,"&gt;="&amp;账期起,入库单!$C$4:$C$2503,"&lt;="&amp;账期止))</f>
        <v/>
      </c>
      <c r="J520" s="26">
        <f>IF($A520="","",SUMIFS(入库单!$V$4:$V$2503,入库单!$G$4:$G$2503,$A520,入库单!$X$4:$X$2503,"采购入库",入库单!$Z$4:$Z$2503,"正常",入库单!$C$4:$C$2503,"&gt;="&amp;账期起,入库单!$C$4:$C$2503,"&lt;="&amp;账期止))</f>
        <v/>
      </c>
      <c r="K520" s="26">
        <f>IF($A520="","",IFERROR(ROUND((N($H520)+N($J520))/(N($G520)+N($I520)),2),0))</f>
        <v/>
      </c>
      <c r="L520" s="27">
        <f>IF($A520="","",SUMIFS(入库单!$K$4:$K$2503,入库单!$G$4:$G$2503,$A520,入库单!$X$4:$X$2503,"盘盈",入库单!$Z$4:$Z$2503,"正常",入库单!$C$4:$C$2503,"&gt;="&amp;账期起,入库单!$C$4:$C$2503,"&lt;="&amp;账期止))</f>
        <v/>
      </c>
      <c r="M520" s="26">
        <f>IF($A520="","",ROUND($L520*$K520,0))</f>
        <v/>
      </c>
      <c r="N520" s="27">
        <f>IF($A520="","",SUMIFS(入库单!$K$4:$K$2503,入库单!$G$4:$G$2503,$A520,入库单!$X$4:$X$2503,"矿区退库",入库单!$Z$4:$Z$2503,"正常",入库单!$C$4:$C$2503,"&gt;="&amp;账期起,入库单!$C$4:$C$2503,"&lt;="&amp;账期止))</f>
        <v/>
      </c>
      <c r="O520" s="26">
        <f>IF($A520="","",ROUND($N520*$K520,0))</f>
        <v/>
      </c>
      <c r="P520" s="27">
        <f>IF($A520="","",SUMIFS(出库单!$J$4:$J$4003,出库单!$D$4:$D$4003,$A520,出库单!$K$4:$K$4003,"自用消耗",出库单!$U$4:$U$4003,"正常",出库单!$C$4:$C$4003,"&gt;="&amp;账期起,出库单!$C$4:$C$4003,"&lt;="&amp;账期止))</f>
        <v/>
      </c>
      <c r="Q520" s="26">
        <f>IF($A520="","",ROUND(SUMIFS(出库单!$S$4:$S$4003,出库单!$D$4:$D$4003,$A520,出库单!$K$4:$K$4003,"自用消耗",出库单!$U$4:$U$4003,"正常",出库单!$C$4:$C$4003,"&gt;="&amp;账期起,出库单!$C$4:$C$4003,"&lt;="&amp;账期止),0))</f>
        <v/>
      </c>
      <c r="R520" s="27">
        <f>IF($A520="","",SUMIFS(出库单!$J$4:$J$4003,出库单!$D$4:$D$4003,$A520,出库单!$K$4:$K$4003,"对外销售",出库单!$U$4:$U$4003,"正常",出库单!$C$4:$C$4003,"&gt;="&amp;账期起,出库单!$C$4:$C$4003,"&lt;="&amp;账期止))</f>
        <v/>
      </c>
      <c r="S520" s="26">
        <f>IF($A520="","",ROUND(SUMIFS(出库单!$S$4:$S$4003,出库单!$D$4:$D$4003,$A520,出库单!$K$4:$K$4003,"对外销售",出库单!$U$4:$U$4003,"正常",出库单!$C$4:$C$4003,"&gt;="&amp;账期起,出库单!$C$4:$C$4003,"&lt;="&amp;账期止),0))</f>
        <v/>
      </c>
      <c r="T520" s="27">
        <f>IF($A520="","",SUMIFS(出库单!$J$4:$J$4003,出库单!$D$4:$D$4003,$A520,出库单!$K$4:$K$4003,"盘亏",出库单!$U$4:$U$4003,"正常",出库单!$C$4:$C$4003,"&gt;="&amp;账期起,出库单!$C$4:$C$4003,"&lt;="&amp;账期止))</f>
        <v/>
      </c>
      <c r="U520" s="26">
        <f>IF($A520="","",ROUND(SUMIFS(出库单!$S$4:$S$4003,出库单!$D$4:$D$4003,$A520,出库单!$K$4:$K$4003,"盘亏",出库单!$U$4:$U$4003,"正常",出库单!$C$4:$C$4003,"&gt;="&amp;账期起,出库单!$C$4:$C$4003,"&lt;="&amp;账期止),0))</f>
        <v/>
      </c>
      <c r="V520" s="27">
        <f>IF($A520="","",SUMIFS(出库单!$J$4:$J$4003,出库单!$D$4:$D$4003,$A520,出库单!$K$4:$K$4003,"退货给供应商",出库单!$U$4:$U$4003,"正常",出库单!$C$4:$C$4003,"&gt;="&amp;账期起,出库单!$C$4:$C$4003,"&lt;="&amp;账期止))</f>
        <v/>
      </c>
      <c r="W520" s="26">
        <f>IF($A520="","",ROUND(SUMIFS(出库单!$S$4:$S$4003,出库单!$D$4:$D$4003,$A520,出库单!$K$4:$K$4003,"退货给供应商",出库单!$U$4:$U$4003,"正常",出库单!$C$4:$C$4003,"&gt;="&amp;账期起,出库单!$C$4:$C$4003,"&lt;="&amp;账期止),0))</f>
        <v/>
      </c>
      <c r="X520" s="27">
        <f>IF($A520="","",ROUND(N($G520)+$I520+$L520+$N520-$P520-$R520-$T520-$V520,3))</f>
        <v/>
      </c>
      <c r="Y520" s="26">
        <f>IF($A520="","",ROUND(N($H520)+$J520+$M520+$O520-$Q520-$S520-$U520-$W520,0))</f>
        <v/>
      </c>
      <c r="Z520" s="24">
        <f>IF($A520="","",IF(COUNTIFS(入库单!$G$4:$G$2503,$A520,入库单!$Y$4:$Y$2503,"待补价")+COUNTIFS(入库单!$G$4:$G$2503,$A520,入库单!$Y$4:$Y$2503,"暂估")&gt;0,"不可信","可信"))</f>
        <v/>
      </c>
      <c r="AA520" s="24">
        <f>IF($A520="","",IF($X520&lt;-0.001,"※账面负库存，查一下是不是漏记入库",IF(AND(ROUND($X520,3)=0,ABS($Y520)&gt;1),"※数量已经是 0，金额还挂着 "&amp;TEXT($Y520,"#,##0")&amp;" 先令",IF(AND($X520&gt;0,$Y520&lt;=0,$K520=0),"※有数量没金额（这个物料一直没填过进价）",IF($Z520="不可信","△成本含待补价/暂估，毛利仅供参考","")))))</f>
        <v/>
      </c>
    </row>
    <row r="521">
      <c r="A521" s="24">
        <f>IF(物料档案!$A520="","",物料档案!$A520)</f>
        <v/>
      </c>
      <c r="B521" s="24">
        <f>IF($A521="","",IFERROR(VLOOKUP($A521,物料档案!$A$4:$P$1203,3,0),""))</f>
        <v/>
      </c>
      <c r="C521" s="24">
        <f>IF($A521="","",IFERROR(VLOOKUP($A521,物料档案!$A$4:$P$1203,4,0),""))</f>
        <v/>
      </c>
      <c r="D521" s="24">
        <f>IF($A521="","",IFERROR(VLOOKUP($A521,物料档案!$A$4:$P$1203,5,0),""))</f>
        <v/>
      </c>
      <c r="E521" s="24">
        <f>IF($A521="","",IFERROR(VLOOKUP($A521,物料档案!$A$4:$P$1203,2,0),""))</f>
        <v/>
      </c>
      <c r="F521" s="24">
        <f>IF($A521="","",IFERROR(VLOOKUP($A521,物料档案!$A$4:$P$1203,6,0),""))</f>
        <v/>
      </c>
      <c r="G521" s="23" t="n"/>
      <c r="H521" s="32" t="n"/>
      <c r="I521" s="27">
        <f>IF($A521="","",SUMIFS(入库单!$K$4:$K$2503,入库单!$G$4:$G$2503,$A521,入库单!$X$4:$X$2503,"采购入库",入库单!$Z$4:$Z$2503,"正常",入库单!$C$4:$C$2503,"&gt;="&amp;账期起,入库单!$C$4:$C$2503,"&lt;="&amp;账期止))</f>
        <v/>
      </c>
      <c r="J521" s="26">
        <f>IF($A521="","",SUMIFS(入库单!$V$4:$V$2503,入库单!$G$4:$G$2503,$A521,入库单!$X$4:$X$2503,"采购入库",入库单!$Z$4:$Z$2503,"正常",入库单!$C$4:$C$2503,"&gt;="&amp;账期起,入库单!$C$4:$C$2503,"&lt;="&amp;账期止))</f>
        <v/>
      </c>
      <c r="K521" s="26">
        <f>IF($A521="","",IFERROR(ROUND((N($H521)+N($J521))/(N($G521)+N($I521)),2),0))</f>
        <v/>
      </c>
      <c r="L521" s="27">
        <f>IF($A521="","",SUMIFS(入库单!$K$4:$K$2503,入库单!$G$4:$G$2503,$A521,入库单!$X$4:$X$2503,"盘盈",入库单!$Z$4:$Z$2503,"正常",入库单!$C$4:$C$2503,"&gt;="&amp;账期起,入库单!$C$4:$C$2503,"&lt;="&amp;账期止))</f>
        <v/>
      </c>
      <c r="M521" s="26">
        <f>IF($A521="","",ROUND($L521*$K521,0))</f>
        <v/>
      </c>
      <c r="N521" s="27">
        <f>IF($A521="","",SUMIFS(入库单!$K$4:$K$2503,入库单!$G$4:$G$2503,$A521,入库单!$X$4:$X$2503,"矿区退库",入库单!$Z$4:$Z$2503,"正常",入库单!$C$4:$C$2503,"&gt;="&amp;账期起,入库单!$C$4:$C$2503,"&lt;="&amp;账期止))</f>
        <v/>
      </c>
      <c r="O521" s="26">
        <f>IF($A521="","",ROUND($N521*$K521,0))</f>
        <v/>
      </c>
      <c r="P521" s="27">
        <f>IF($A521="","",SUMIFS(出库单!$J$4:$J$4003,出库单!$D$4:$D$4003,$A521,出库单!$K$4:$K$4003,"自用消耗",出库单!$U$4:$U$4003,"正常",出库单!$C$4:$C$4003,"&gt;="&amp;账期起,出库单!$C$4:$C$4003,"&lt;="&amp;账期止))</f>
        <v/>
      </c>
      <c r="Q521" s="26">
        <f>IF($A521="","",ROUND(SUMIFS(出库单!$S$4:$S$4003,出库单!$D$4:$D$4003,$A521,出库单!$K$4:$K$4003,"自用消耗",出库单!$U$4:$U$4003,"正常",出库单!$C$4:$C$4003,"&gt;="&amp;账期起,出库单!$C$4:$C$4003,"&lt;="&amp;账期止),0))</f>
        <v/>
      </c>
      <c r="R521" s="27">
        <f>IF($A521="","",SUMIFS(出库单!$J$4:$J$4003,出库单!$D$4:$D$4003,$A521,出库单!$K$4:$K$4003,"对外销售",出库单!$U$4:$U$4003,"正常",出库单!$C$4:$C$4003,"&gt;="&amp;账期起,出库单!$C$4:$C$4003,"&lt;="&amp;账期止))</f>
        <v/>
      </c>
      <c r="S521" s="26">
        <f>IF($A521="","",ROUND(SUMIFS(出库单!$S$4:$S$4003,出库单!$D$4:$D$4003,$A521,出库单!$K$4:$K$4003,"对外销售",出库单!$U$4:$U$4003,"正常",出库单!$C$4:$C$4003,"&gt;="&amp;账期起,出库单!$C$4:$C$4003,"&lt;="&amp;账期止),0))</f>
        <v/>
      </c>
      <c r="T521" s="27">
        <f>IF($A521="","",SUMIFS(出库单!$J$4:$J$4003,出库单!$D$4:$D$4003,$A521,出库单!$K$4:$K$4003,"盘亏",出库单!$U$4:$U$4003,"正常",出库单!$C$4:$C$4003,"&gt;="&amp;账期起,出库单!$C$4:$C$4003,"&lt;="&amp;账期止))</f>
        <v/>
      </c>
      <c r="U521" s="26">
        <f>IF($A521="","",ROUND(SUMIFS(出库单!$S$4:$S$4003,出库单!$D$4:$D$4003,$A521,出库单!$K$4:$K$4003,"盘亏",出库单!$U$4:$U$4003,"正常",出库单!$C$4:$C$4003,"&gt;="&amp;账期起,出库单!$C$4:$C$4003,"&lt;="&amp;账期止),0))</f>
        <v/>
      </c>
      <c r="V521" s="27">
        <f>IF($A521="","",SUMIFS(出库单!$J$4:$J$4003,出库单!$D$4:$D$4003,$A521,出库单!$K$4:$K$4003,"退货给供应商",出库单!$U$4:$U$4003,"正常",出库单!$C$4:$C$4003,"&gt;="&amp;账期起,出库单!$C$4:$C$4003,"&lt;="&amp;账期止))</f>
        <v/>
      </c>
      <c r="W521" s="26">
        <f>IF($A521="","",ROUND(SUMIFS(出库单!$S$4:$S$4003,出库单!$D$4:$D$4003,$A521,出库单!$K$4:$K$4003,"退货给供应商",出库单!$U$4:$U$4003,"正常",出库单!$C$4:$C$4003,"&gt;="&amp;账期起,出库单!$C$4:$C$4003,"&lt;="&amp;账期止),0))</f>
        <v/>
      </c>
      <c r="X521" s="27">
        <f>IF($A521="","",ROUND(N($G521)+$I521+$L521+$N521-$P521-$R521-$T521-$V521,3))</f>
        <v/>
      </c>
      <c r="Y521" s="26">
        <f>IF($A521="","",ROUND(N($H521)+$J521+$M521+$O521-$Q521-$S521-$U521-$W521,0))</f>
        <v/>
      </c>
      <c r="Z521" s="24">
        <f>IF($A521="","",IF(COUNTIFS(入库单!$G$4:$G$2503,$A521,入库单!$Y$4:$Y$2503,"待补价")+COUNTIFS(入库单!$G$4:$G$2503,$A521,入库单!$Y$4:$Y$2503,"暂估")&gt;0,"不可信","可信"))</f>
        <v/>
      </c>
      <c r="AA521" s="24">
        <f>IF($A521="","",IF($X521&lt;-0.001,"※账面负库存，查一下是不是漏记入库",IF(AND(ROUND($X521,3)=0,ABS($Y521)&gt;1),"※数量已经是 0，金额还挂着 "&amp;TEXT($Y521,"#,##0")&amp;" 先令",IF(AND($X521&gt;0,$Y521&lt;=0,$K521=0),"※有数量没金额（这个物料一直没填过进价）",IF($Z521="不可信","△成本含待补价/暂估，毛利仅供参考","")))))</f>
        <v/>
      </c>
    </row>
    <row r="522">
      <c r="A522" s="24">
        <f>IF(物料档案!$A521="","",物料档案!$A521)</f>
        <v/>
      </c>
      <c r="B522" s="24">
        <f>IF($A522="","",IFERROR(VLOOKUP($A522,物料档案!$A$4:$P$1203,3,0),""))</f>
        <v/>
      </c>
      <c r="C522" s="24">
        <f>IF($A522="","",IFERROR(VLOOKUP($A522,物料档案!$A$4:$P$1203,4,0),""))</f>
        <v/>
      </c>
      <c r="D522" s="24">
        <f>IF($A522="","",IFERROR(VLOOKUP($A522,物料档案!$A$4:$P$1203,5,0),""))</f>
        <v/>
      </c>
      <c r="E522" s="24">
        <f>IF($A522="","",IFERROR(VLOOKUP($A522,物料档案!$A$4:$P$1203,2,0),""))</f>
        <v/>
      </c>
      <c r="F522" s="24">
        <f>IF($A522="","",IFERROR(VLOOKUP($A522,物料档案!$A$4:$P$1203,6,0),""))</f>
        <v/>
      </c>
      <c r="G522" s="23" t="n"/>
      <c r="H522" s="32" t="n"/>
      <c r="I522" s="27">
        <f>IF($A522="","",SUMIFS(入库单!$K$4:$K$2503,入库单!$G$4:$G$2503,$A522,入库单!$X$4:$X$2503,"采购入库",入库单!$Z$4:$Z$2503,"正常",入库单!$C$4:$C$2503,"&gt;="&amp;账期起,入库单!$C$4:$C$2503,"&lt;="&amp;账期止))</f>
        <v/>
      </c>
      <c r="J522" s="26">
        <f>IF($A522="","",SUMIFS(入库单!$V$4:$V$2503,入库单!$G$4:$G$2503,$A522,入库单!$X$4:$X$2503,"采购入库",入库单!$Z$4:$Z$2503,"正常",入库单!$C$4:$C$2503,"&gt;="&amp;账期起,入库单!$C$4:$C$2503,"&lt;="&amp;账期止))</f>
        <v/>
      </c>
      <c r="K522" s="26">
        <f>IF($A522="","",IFERROR(ROUND((N($H522)+N($J522))/(N($G522)+N($I522)),2),0))</f>
        <v/>
      </c>
      <c r="L522" s="27">
        <f>IF($A522="","",SUMIFS(入库单!$K$4:$K$2503,入库单!$G$4:$G$2503,$A522,入库单!$X$4:$X$2503,"盘盈",入库单!$Z$4:$Z$2503,"正常",入库单!$C$4:$C$2503,"&gt;="&amp;账期起,入库单!$C$4:$C$2503,"&lt;="&amp;账期止))</f>
        <v/>
      </c>
      <c r="M522" s="26">
        <f>IF($A522="","",ROUND($L522*$K522,0))</f>
        <v/>
      </c>
      <c r="N522" s="27">
        <f>IF($A522="","",SUMIFS(入库单!$K$4:$K$2503,入库单!$G$4:$G$2503,$A522,入库单!$X$4:$X$2503,"矿区退库",入库单!$Z$4:$Z$2503,"正常",入库单!$C$4:$C$2503,"&gt;="&amp;账期起,入库单!$C$4:$C$2503,"&lt;="&amp;账期止))</f>
        <v/>
      </c>
      <c r="O522" s="26">
        <f>IF($A522="","",ROUND($N522*$K522,0))</f>
        <v/>
      </c>
      <c r="P522" s="27">
        <f>IF($A522="","",SUMIFS(出库单!$J$4:$J$4003,出库单!$D$4:$D$4003,$A522,出库单!$K$4:$K$4003,"自用消耗",出库单!$U$4:$U$4003,"正常",出库单!$C$4:$C$4003,"&gt;="&amp;账期起,出库单!$C$4:$C$4003,"&lt;="&amp;账期止))</f>
        <v/>
      </c>
      <c r="Q522" s="26">
        <f>IF($A522="","",ROUND(SUMIFS(出库单!$S$4:$S$4003,出库单!$D$4:$D$4003,$A522,出库单!$K$4:$K$4003,"自用消耗",出库单!$U$4:$U$4003,"正常",出库单!$C$4:$C$4003,"&gt;="&amp;账期起,出库单!$C$4:$C$4003,"&lt;="&amp;账期止),0))</f>
        <v/>
      </c>
      <c r="R522" s="27">
        <f>IF($A522="","",SUMIFS(出库单!$J$4:$J$4003,出库单!$D$4:$D$4003,$A522,出库单!$K$4:$K$4003,"对外销售",出库单!$U$4:$U$4003,"正常",出库单!$C$4:$C$4003,"&gt;="&amp;账期起,出库单!$C$4:$C$4003,"&lt;="&amp;账期止))</f>
        <v/>
      </c>
      <c r="S522" s="26">
        <f>IF($A522="","",ROUND(SUMIFS(出库单!$S$4:$S$4003,出库单!$D$4:$D$4003,$A522,出库单!$K$4:$K$4003,"对外销售",出库单!$U$4:$U$4003,"正常",出库单!$C$4:$C$4003,"&gt;="&amp;账期起,出库单!$C$4:$C$4003,"&lt;="&amp;账期止),0))</f>
        <v/>
      </c>
      <c r="T522" s="27">
        <f>IF($A522="","",SUMIFS(出库单!$J$4:$J$4003,出库单!$D$4:$D$4003,$A522,出库单!$K$4:$K$4003,"盘亏",出库单!$U$4:$U$4003,"正常",出库单!$C$4:$C$4003,"&gt;="&amp;账期起,出库单!$C$4:$C$4003,"&lt;="&amp;账期止))</f>
        <v/>
      </c>
      <c r="U522" s="26">
        <f>IF($A522="","",ROUND(SUMIFS(出库单!$S$4:$S$4003,出库单!$D$4:$D$4003,$A522,出库单!$K$4:$K$4003,"盘亏",出库单!$U$4:$U$4003,"正常",出库单!$C$4:$C$4003,"&gt;="&amp;账期起,出库单!$C$4:$C$4003,"&lt;="&amp;账期止),0))</f>
        <v/>
      </c>
      <c r="V522" s="27">
        <f>IF($A522="","",SUMIFS(出库单!$J$4:$J$4003,出库单!$D$4:$D$4003,$A522,出库单!$K$4:$K$4003,"退货给供应商",出库单!$U$4:$U$4003,"正常",出库单!$C$4:$C$4003,"&gt;="&amp;账期起,出库单!$C$4:$C$4003,"&lt;="&amp;账期止))</f>
        <v/>
      </c>
      <c r="W522" s="26">
        <f>IF($A522="","",ROUND(SUMIFS(出库单!$S$4:$S$4003,出库单!$D$4:$D$4003,$A522,出库单!$K$4:$K$4003,"退货给供应商",出库单!$U$4:$U$4003,"正常",出库单!$C$4:$C$4003,"&gt;="&amp;账期起,出库单!$C$4:$C$4003,"&lt;="&amp;账期止),0))</f>
        <v/>
      </c>
      <c r="X522" s="27">
        <f>IF($A522="","",ROUND(N($G522)+$I522+$L522+$N522-$P522-$R522-$T522-$V522,3))</f>
        <v/>
      </c>
      <c r="Y522" s="26">
        <f>IF($A522="","",ROUND(N($H522)+$J522+$M522+$O522-$Q522-$S522-$U522-$W522,0))</f>
        <v/>
      </c>
      <c r="Z522" s="24">
        <f>IF($A522="","",IF(COUNTIFS(入库单!$G$4:$G$2503,$A522,入库单!$Y$4:$Y$2503,"待补价")+COUNTIFS(入库单!$G$4:$G$2503,$A522,入库单!$Y$4:$Y$2503,"暂估")&gt;0,"不可信","可信"))</f>
        <v/>
      </c>
      <c r="AA522" s="24">
        <f>IF($A522="","",IF($X522&lt;-0.001,"※账面负库存，查一下是不是漏记入库",IF(AND(ROUND($X522,3)=0,ABS($Y522)&gt;1),"※数量已经是 0，金额还挂着 "&amp;TEXT($Y522,"#,##0")&amp;" 先令",IF(AND($X522&gt;0,$Y522&lt;=0,$K522=0),"※有数量没金额（这个物料一直没填过进价）",IF($Z522="不可信","△成本含待补价/暂估，毛利仅供参考","")))))</f>
        <v/>
      </c>
    </row>
    <row r="523">
      <c r="A523" s="24">
        <f>IF(物料档案!$A522="","",物料档案!$A522)</f>
        <v/>
      </c>
      <c r="B523" s="24">
        <f>IF($A523="","",IFERROR(VLOOKUP($A523,物料档案!$A$4:$P$1203,3,0),""))</f>
        <v/>
      </c>
      <c r="C523" s="24">
        <f>IF($A523="","",IFERROR(VLOOKUP($A523,物料档案!$A$4:$P$1203,4,0),""))</f>
        <v/>
      </c>
      <c r="D523" s="24">
        <f>IF($A523="","",IFERROR(VLOOKUP($A523,物料档案!$A$4:$P$1203,5,0),""))</f>
        <v/>
      </c>
      <c r="E523" s="24">
        <f>IF($A523="","",IFERROR(VLOOKUP($A523,物料档案!$A$4:$P$1203,2,0),""))</f>
        <v/>
      </c>
      <c r="F523" s="24">
        <f>IF($A523="","",IFERROR(VLOOKUP($A523,物料档案!$A$4:$P$1203,6,0),""))</f>
        <v/>
      </c>
      <c r="G523" s="23" t="n"/>
      <c r="H523" s="32" t="n"/>
      <c r="I523" s="27">
        <f>IF($A523="","",SUMIFS(入库单!$K$4:$K$2503,入库单!$G$4:$G$2503,$A523,入库单!$X$4:$X$2503,"采购入库",入库单!$Z$4:$Z$2503,"正常",入库单!$C$4:$C$2503,"&gt;="&amp;账期起,入库单!$C$4:$C$2503,"&lt;="&amp;账期止))</f>
        <v/>
      </c>
      <c r="J523" s="26">
        <f>IF($A523="","",SUMIFS(入库单!$V$4:$V$2503,入库单!$G$4:$G$2503,$A523,入库单!$X$4:$X$2503,"采购入库",入库单!$Z$4:$Z$2503,"正常",入库单!$C$4:$C$2503,"&gt;="&amp;账期起,入库单!$C$4:$C$2503,"&lt;="&amp;账期止))</f>
        <v/>
      </c>
      <c r="K523" s="26">
        <f>IF($A523="","",IFERROR(ROUND((N($H523)+N($J523))/(N($G523)+N($I523)),2),0))</f>
        <v/>
      </c>
      <c r="L523" s="27">
        <f>IF($A523="","",SUMIFS(入库单!$K$4:$K$2503,入库单!$G$4:$G$2503,$A523,入库单!$X$4:$X$2503,"盘盈",入库单!$Z$4:$Z$2503,"正常",入库单!$C$4:$C$2503,"&gt;="&amp;账期起,入库单!$C$4:$C$2503,"&lt;="&amp;账期止))</f>
        <v/>
      </c>
      <c r="M523" s="26">
        <f>IF($A523="","",ROUND($L523*$K523,0))</f>
        <v/>
      </c>
      <c r="N523" s="27">
        <f>IF($A523="","",SUMIFS(入库单!$K$4:$K$2503,入库单!$G$4:$G$2503,$A523,入库单!$X$4:$X$2503,"矿区退库",入库单!$Z$4:$Z$2503,"正常",入库单!$C$4:$C$2503,"&gt;="&amp;账期起,入库单!$C$4:$C$2503,"&lt;="&amp;账期止))</f>
        <v/>
      </c>
      <c r="O523" s="26">
        <f>IF($A523="","",ROUND($N523*$K523,0))</f>
        <v/>
      </c>
      <c r="P523" s="27">
        <f>IF($A523="","",SUMIFS(出库单!$J$4:$J$4003,出库单!$D$4:$D$4003,$A523,出库单!$K$4:$K$4003,"自用消耗",出库单!$U$4:$U$4003,"正常",出库单!$C$4:$C$4003,"&gt;="&amp;账期起,出库单!$C$4:$C$4003,"&lt;="&amp;账期止))</f>
        <v/>
      </c>
      <c r="Q523" s="26">
        <f>IF($A523="","",ROUND(SUMIFS(出库单!$S$4:$S$4003,出库单!$D$4:$D$4003,$A523,出库单!$K$4:$K$4003,"自用消耗",出库单!$U$4:$U$4003,"正常",出库单!$C$4:$C$4003,"&gt;="&amp;账期起,出库单!$C$4:$C$4003,"&lt;="&amp;账期止),0))</f>
        <v/>
      </c>
      <c r="R523" s="27">
        <f>IF($A523="","",SUMIFS(出库单!$J$4:$J$4003,出库单!$D$4:$D$4003,$A523,出库单!$K$4:$K$4003,"对外销售",出库单!$U$4:$U$4003,"正常",出库单!$C$4:$C$4003,"&gt;="&amp;账期起,出库单!$C$4:$C$4003,"&lt;="&amp;账期止))</f>
        <v/>
      </c>
      <c r="S523" s="26">
        <f>IF($A523="","",ROUND(SUMIFS(出库单!$S$4:$S$4003,出库单!$D$4:$D$4003,$A523,出库单!$K$4:$K$4003,"对外销售",出库单!$U$4:$U$4003,"正常",出库单!$C$4:$C$4003,"&gt;="&amp;账期起,出库单!$C$4:$C$4003,"&lt;="&amp;账期止),0))</f>
        <v/>
      </c>
      <c r="T523" s="27">
        <f>IF($A523="","",SUMIFS(出库单!$J$4:$J$4003,出库单!$D$4:$D$4003,$A523,出库单!$K$4:$K$4003,"盘亏",出库单!$U$4:$U$4003,"正常",出库单!$C$4:$C$4003,"&gt;="&amp;账期起,出库单!$C$4:$C$4003,"&lt;="&amp;账期止))</f>
        <v/>
      </c>
      <c r="U523" s="26">
        <f>IF($A523="","",ROUND(SUMIFS(出库单!$S$4:$S$4003,出库单!$D$4:$D$4003,$A523,出库单!$K$4:$K$4003,"盘亏",出库单!$U$4:$U$4003,"正常",出库单!$C$4:$C$4003,"&gt;="&amp;账期起,出库单!$C$4:$C$4003,"&lt;="&amp;账期止),0))</f>
        <v/>
      </c>
      <c r="V523" s="27">
        <f>IF($A523="","",SUMIFS(出库单!$J$4:$J$4003,出库单!$D$4:$D$4003,$A523,出库单!$K$4:$K$4003,"退货给供应商",出库单!$U$4:$U$4003,"正常",出库单!$C$4:$C$4003,"&gt;="&amp;账期起,出库单!$C$4:$C$4003,"&lt;="&amp;账期止))</f>
        <v/>
      </c>
      <c r="W523" s="26">
        <f>IF($A523="","",ROUND(SUMIFS(出库单!$S$4:$S$4003,出库单!$D$4:$D$4003,$A523,出库单!$K$4:$K$4003,"退货给供应商",出库单!$U$4:$U$4003,"正常",出库单!$C$4:$C$4003,"&gt;="&amp;账期起,出库单!$C$4:$C$4003,"&lt;="&amp;账期止),0))</f>
        <v/>
      </c>
      <c r="X523" s="27">
        <f>IF($A523="","",ROUND(N($G523)+$I523+$L523+$N523-$P523-$R523-$T523-$V523,3))</f>
        <v/>
      </c>
      <c r="Y523" s="26">
        <f>IF($A523="","",ROUND(N($H523)+$J523+$M523+$O523-$Q523-$S523-$U523-$W523,0))</f>
        <v/>
      </c>
      <c r="Z523" s="24">
        <f>IF($A523="","",IF(COUNTIFS(入库单!$G$4:$G$2503,$A523,入库单!$Y$4:$Y$2503,"待补价")+COUNTIFS(入库单!$G$4:$G$2503,$A523,入库单!$Y$4:$Y$2503,"暂估")&gt;0,"不可信","可信"))</f>
        <v/>
      </c>
      <c r="AA523" s="24">
        <f>IF($A523="","",IF($X523&lt;-0.001,"※账面负库存，查一下是不是漏记入库",IF(AND(ROUND($X523,3)=0,ABS($Y523)&gt;1),"※数量已经是 0，金额还挂着 "&amp;TEXT($Y523,"#,##0")&amp;" 先令",IF(AND($X523&gt;0,$Y523&lt;=0,$K523=0),"※有数量没金额（这个物料一直没填过进价）",IF($Z523="不可信","△成本含待补价/暂估，毛利仅供参考","")))))</f>
        <v/>
      </c>
    </row>
    <row r="524">
      <c r="A524" s="24">
        <f>IF(物料档案!$A523="","",物料档案!$A523)</f>
        <v/>
      </c>
      <c r="B524" s="24">
        <f>IF($A524="","",IFERROR(VLOOKUP($A524,物料档案!$A$4:$P$1203,3,0),""))</f>
        <v/>
      </c>
      <c r="C524" s="24">
        <f>IF($A524="","",IFERROR(VLOOKUP($A524,物料档案!$A$4:$P$1203,4,0),""))</f>
        <v/>
      </c>
      <c r="D524" s="24">
        <f>IF($A524="","",IFERROR(VLOOKUP($A524,物料档案!$A$4:$P$1203,5,0),""))</f>
        <v/>
      </c>
      <c r="E524" s="24">
        <f>IF($A524="","",IFERROR(VLOOKUP($A524,物料档案!$A$4:$P$1203,2,0),""))</f>
        <v/>
      </c>
      <c r="F524" s="24">
        <f>IF($A524="","",IFERROR(VLOOKUP($A524,物料档案!$A$4:$P$1203,6,0),""))</f>
        <v/>
      </c>
      <c r="G524" s="23" t="n"/>
      <c r="H524" s="32" t="n"/>
      <c r="I524" s="27">
        <f>IF($A524="","",SUMIFS(入库单!$K$4:$K$2503,入库单!$G$4:$G$2503,$A524,入库单!$X$4:$X$2503,"采购入库",入库单!$Z$4:$Z$2503,"正常",入库单!$C$4:$C$2503,"&gt;="&amp;账期起,入库单!$C$4:$C$2503,"&lt;="&amp;账期止))</f>
        <v/>
      </c>
      <c r="J524" s="26">
        <f>IF($A524="","",SUMIFS(入库单!$V$4:$V$2503,入库单!$G$4:$G$2503,$A524,入库单!$X$4:$X$2503,"采购入库",入库单!$Z$4:$Z$2503,"正常",入库单!$C$4:$C$2503,"&gt;="&amp;账期起,入库单!$C$4:$C$2503,"&lt;="&amp;账期止))</f>
        <v/>
      </c>
      <c r="K524" s="26">
        <f>IF($A524="","",IFERROR(ROUND((N($H524)+N($J524))/(N($G524)+N($I524)),2),0))</f>
        <v/>
      </c>
      <c r="L524" s="27">
        <f>IF($A524="","",SUMIFS(入库单!$K$4:$K$2503,入库单!$G$4:$G$2503,$A524,入库单!$X$4:$X$2503,"盘盈",入库单!$Z$4:$Z$2503,"正常",入库单!$C$4:$C$2503,"&gt;="&amp;账期起,入库单!$C$4:$C$2503,"&lt;="&amp;账期止))</f>
        <v/>
      </c>
      <c r="M524" s="26">
        <f>IF($A524="","",ROUND($L524*$K524,0))</f>
        <v/>
      </c>
      <c r="N524" s="27">
        <f>IF($A524="","",SUMIFS(入库单!$K$4:$K$2503,入库单!$G$4:$G$2503,$A524,入库单!$X$4:$X$2503,"矿区退库",入库单!$Z$4:$Z$2503,"正常",入库单!$C$4:$C$2503,"&gt;="&amp;账期起,入库单!$C$4:$C$2503,"&lt;="&amp;账期止))</f>
        <v/>
      </c>
      <c r="O524" s="26">
        <f>IF($A524="","",ROUND($N524*$K524,0))</f>
        <v/>
      </c>
      <c r="P524" s="27">
        <f>IF($A524="","",SUMIFS(出库单!$J$4:$J$4003,出库单!$D$4:$D$4003,$A524,出库单!$K$4:$K$4003,"自用消耗",出库单!$U$4:$U$4003,"正常",出库单!$C$4:$C$4003,"&gt;="&amp;账期起,出库单!$C$4:$C$4003,"&lt;="&amp;账期止))</f>
        <v/>
      </c>
      <c r="Q524" s="26">
        <f>IF($A524="","",ROUND(SUMIFS(出库单!$S$4:$S$4003,出库单!$D$4:$D$4003,$A524,出库单!$K$4:$K$4003,"自用消耗",出库单!$U$4:$U$4003,"正常",出库单!$C$4:$C$4003,"&gt;="&amp;账期起,出库单!$C$4:$C$4003,"&lt;="&amp;账期止),0))</f>
        <v/>
      </c>
      <c r="R524" s="27">
        <f>IF($A524="","",SUMIFS(出库单!$J$4:$J$4003,出库单!$D$4:$D$4003,$A524,出库单!$K$4:$K$4003,"对外销售",出库单!$U$4:$U$4003,"正常",出库单!$C$4:$C$4003,"&gt;="&amp;账期起,出库单!$C$4:$C$4003,"&lt;="&amp;账期止))</f>
        <v/>
      </c>
      <c r="S524" s="26">
        <f>IF($A524="","",ROUND(SUMIFS(出库单!$S$4:$S$4003,出库单!$D$4:$D$4003,$A524,出库单!$K$4:$K$4003,"对外销售",出库单!$U$4:$U$4003,"正常",出库单!$C$4:$C$4003,"&gt;="&amp;账期起,出库单!$C$4:$C$4003,"&lt;="&amp;账期止),0))</f>
        <v/>
      </c>
      <c r="T524" s="27">
        <f>IF($A524="","",SUMIFS(出库单!$J$4:$J$4003,出库单!$D$4:$D$4003,$A524,出库单!$K$4:$K$4003,"盘亏",出库单!$U$4:$U$4003,"正常",出库单!$C$4:$C$4003,"&gt;="&amp;账期起,出库单!$C$4:$C$4003,"&lt;="&amp;账期止))</f>
        <v/>
      </c>
      <c r="U524" s="26">
        <f>IF($A524="","",ROUND(SUMIFS(出库单!$S$4:$S$4003,出库单!$D$4:$D$4003,$A524,出库单!$K$4:$K$4003,"盘亏",出库单!$U$4:$U$4003,"正常",出库单!$C$4:$C$4003,"&gt;="&amp;账期起,出库单!$C$4:$C$4003,"&lt;="&amp;账期止),0))</f>
        <v/>
      </c>
      <c r="V524" s="27">
        <f>IF($A524="","",SUMIFS(出库单!$J$4:$J$4003,出库单!$D$4:$D$4003,$A524,出库单!$K$4:$K$4003,"退货给供应商",出库单!$U$4:$U$4003,"正常",出库单!$C$4:$C$4003,"&gt;="&amp;账期起,出库单!$C$4:$C$4003,"&lt;="&amp;账期止))</f>
        <v/>
      </c>
      <c r="W524" s="26">
        <f>IF($A524="","",ROUND(SUMIFS(出库单!$S$4:$S$4003,出库单!$D$4:$D$4003,$A524,出库单!$K$4:$K$4003,"退货给供应商",出库单!$U$4:$U$4003,"正常",出库单!$C$4:$C$4003,"&gt;="&amp;账期起,出库单!$C$4:$C$4003,"&lt;="&amp;账期止),0))</f>
        <v/>
      </c>
      <c r="X524" s="27">
        <f>IF($A524="","",ROUND(N($G524)+$I524+$L524+$N524-$P524-$R524-$T524-$V524,3))</f>
        <v/>
      </c>
      <c r="Y524" s="26">
        <f>IF($A524="","",ROUND(N($H524)+$J524+$M524+$O524-$Q524-$S524-$U524-$W524,0))</f>
        <v/>
      </c>
      <c r="Z524" s="24">
        <f>IF($A524="","",IF(COUNTIFS(入库单!$G$4:$G$2503,$A524,入库单!$Y$4:$Y$2503,"待补价")+COUNTIFS(入库单!$G$4:$G$2503,$A524,入库单!$Y$4:$Y$2503,"暂估")&gt;0,"不可信","可信"))</f>
        <v/>
      </c>
      <c r="AA524" s="24">
        <f>IF($A524="","",IF($X524&lt;-0.001,"※账面负库存，查一下是不是漏记入库",IF(AND(ROUND($X524,3)=0,ABS($Y524)&gt;1),"※数量已经是 0，金额还挂着 "&amp;TEXT($Y524,"#,##0")&amp;" 先令",IF(AND($X524&gt;0,$Y524&lt;=0,$K524=0),"※有数量没金额（这个物料一直没填过进价）",IF($Z524="不可信","△成本含待补价/暂估，毛利仅供参考","")))))</f>
        <v/>
      </c>
    </row>
    <row r="525">
      <c r="A525" s="24">
        <f>IF(物料档案!$A524="","",物料档案!$A524)</f>
        <v/>
      </c>
      <c r="B525" s="24">
        <f>IF($A525="","",IFERROR(VLOOKUP($A525,物料档案!$A$4:$P$1203,3,0),""))</f>
        <v/>
      </c>
      <c r="C525" s="24">
        <f>IF($A525="","",IFERROR(VLOOKUP($A525,物料档案!$A$4:$P$1203,4,0),""))</f>
        <v/>
      </c>
      <c r="D525" s="24">
        <f>IF($A525="","",IFERROR(VLOOKUP($A525,物料档案!$A$4:$P$1203,5,0),""))</f>
        <v/>
      </c>
      <c r="E525" s="24">
        <f>IF($A525="","",IFERROR(VLOOKUP($A525,物料档案!$A$4:$P$1203,2,0),""))</f>
        <v/>
      </c>
      <c r="F525" s="24">
        <f>IF($A525="","",IFERROR(VLOOKUP($A525,物料档案!$A$4:$P$1203,6,0),""))</f>
        <v/>
      </c>
      <c r="G525" s="23" t="n"/>
      <c r="H525" s="32" t="n"/>
      <c r="I525" s="27">
        <f>IF($A525="","",SUMIFS(入库单!$K$4:$K$2503,入库单!$G$4:$G$2503,$A525,入库单!$X$4:$X$2503,"采购入库",入库单!$Z$4:$Z$2503,"正常",入库单!$C$4:$C$2503,"&gt;="&amp;账期起,入库单!$C$4:$C$2503,"&lt;="&amp;账期止))</f>
        <v/>
      </c>
      <c r="J525" s="26">
        <f>IF($A525="","",SUMIFS(入库单!$V$4:$V$2503,入库单!$G$4:$G$2503,$A525,入库单!$X$4:$X$2503,"采购入库",入库单!$Z$4:$Z$2503,"正常",入库单!$C$4:$C$2503,"&gt;="&amp;账期起,入库单!$C$4:$C$2503,"&lt;="&amp;账期止))</f>
        <v/>
      </c>
      <c r="K525" s="26">
        <f>IF($A525="","",IFERROR(ROUND((N($H525)+N($J525))/(N($G525)+N($I525)),2),0))</f>
        <v/>
      </c>
      <c r="L525" s="27">
        <f>IF($A525="","",SUMIFS(入库单!$K$4:$K$2503,入库单!$G$4:$G$2503,$A525,入库单!$X$4:$X$2503,"盘盈",入库单!$Z$4:$Z$2503,"正常",入库单!$C$4:$C$2503,"&gt;="&amp;账期起,入库单!$C$4:$C$2503,"&lt;="&amp;账期止))</f>
        <v/>
      </c>
      <c r="M525" s="26">
        <f>IF($A525="","",ROUND($L525*$K525,0))</f>
        <v/>
      </c>
      <c r="N525" s="27">
        <f>IF($A525="","",SUMIFS(入库单!$K$4:$K$2503,入库单!$G$4:$G$2503,$A525,入库单!$X$4:$X$2503,"矿区退库",入库单!$Z$4:$Z$2503,"正常",入库单!$C$4:$C$2503,"&gt;="&amp;账期起,入库单!$C$4:$C$2503,"&lt;="&amp;账期止))</f>
        <v/>
      </c>
      <c r="O525" s="26">
        <f>IF($A525="","",ROUND($N525*$K525,0))</f>
        <v/>
      </c>
      <c r="P525" s="27">
        <f>IF($A525="","",SUMIFS(出库单!$J$4:$J$4003,出库单!$D$4:$D$4003,$A525,出库单!$K$4:$K$4003,"自用消耗",出库单!$U$4:$U$4003,"正常",出库单!$C$4:$C$4003,"&gt;="&amp;账期起,出库单!$C$4:$C$4003,"&lt;="&amp;账期止))</f>
        <v/>
      </c>
      <c r="Q525" s="26">
        <f>IF($A525="","",ROUND(SUMIFS(出库单!$S$4:$S$4003,出库单!$D$4:$D$4003,$A525,出库单!$K$4:$K$4003,"自用消耗",出库单!$U$4:$U$4003,"正常",出库单!$C$4:$C$4003,"&gt;="&amp;账期起,出库单!$C$4:$C$4003,"&lt;="&amp;账期止),0))</f>
        <v/>
      </c>
      <c r="R525" s="27">
        <f>IF($A525="","",SUMIFS(出库单!$J$4:$J$4003,出库单!$D$4:$D$4003,$A525,出库单!$K$4:$K$4003,"对外销售",出库单!$U$4:$U$4003,"正常",出库单!$C$4:$C$4003,"&gt;="&amp;账期起,出库单!$C$4:$C$4003,"&lt;="&amp;账期止))</f>
        <v/>
      </c>
      <c r="S525" s="26">
        <f>IF($A525="","",ROUND(SUMIFS(出库单!$S$4:$S$4003,出库单!$D$4:$D$4003,$A525,出库单!$K$4:$K$4003,"对外销售",出库单!$U$4:$U$4003,"正常",出库单!$C$4:$C$4003,"&gt;="&amp;账期起,出库单!$C$4:$C$4003,"&lt;="&amp;账期止),0))</f>
        <v/>
      </c>
      <c r="T525" s="27">
        <f>IF($A525="","",SUMIFS(出库单!$J$4:$J$4003,出库单!$D$4:$D$4003,$A525,出库单!$K$4:$K$4003,"盘亏",出库单!$U$4:$U$4003,"正常",出库单!$C$4:$C$4003,"&gt;="&amp;账期起,出库单!$C$4:$C$4003,"&lt;="&amp;账期止))</f>
        <v/>
      </c>
      <c r="U525" s="26">
        <f>IF($A525="","",ROUND(SUMIFS(出库单!$S$4:$S$4003,出库单!$D$4:$D$4003,$A525,出库单!$K$4:$K$4003,"盘亏",出库单!$U$4:$U$4003,"正常",出库单!$C$4:$C$4003,"&gt;="&amp;账期起,出库单!$C$4:$C$4003,"&lt;="&amp;账期止),0))</f>
        <v/>
      </c>
      <c r="V525" s="27">
        <f>IF($A525="","",SUMIFS(出库单!$J$4:$J$4003,出库单!$D$4:$D$4003,$A525,出库单!$K$4:$K$4003,"退货给供应商",出库单!$U$4:$U$4003,"正常",出库单!$C$4:$C$4003,"&gt;="&amp;账期起,出库单!$C$4:$C$4003,"&lt;="&amp;账期止))</f>
        <v/>
      </c>
      <c r="W525" s="26">
        <f>IF($A525="","",ROUND(SUMIFS(出库单!$S$4:$S$4003,出库单!$D$4:$D$4003,$A525,出库单!$K$4:$K$4003,"退货给供应商",出库单!$U$4:$U$4003,"正常",出库单!$C$4:$C$4003,"&gt;="&amp;账期起,出库单!$C$4:$C$4003,"&lt;="&amp;账期止),0))</f>
        <v/>
      </c>
      <c r="X525" s="27">
        <f>IF($A525="","",ROUND(N($G525)+$I525+$L525+$N525-$P525-$R525-$T525-$V525,3))</f>
        <v/>
      </c>
      <c r="Y525" s="26">
        <f>IF($A525="","",ROUND(N($H525)+$J525+$M525+$O525-$Q525-$S525-$U525-$W525,0))</f>
        <v/>
      </c>
      <c r="Z525" s="24">
        <f>IF($A525="","",IF(COUNTIFS(入库单!$G$4:$G$2503,$A525,入库单!$Y$4:$Y$2503,"待补价")+COUNTIFS(入库单!$G$4:$G$2503,$A525,入库单!$Y$4:$Y$2503,"暂估")&gt;0,"不可信","可信"))</f>
        <v/>
      </c>
      <c r="AA525" s="24">
        <f>IF($A525="","",IF($X525&lt;-0.001,"※账面负库存，查一下是不是漏记入库",IF(AND(ROUND($X525,3)=0,ABS($Y525)&gt;1),"※数量已经是 0，金额还挂着 "&amp;TEXT($Y525,"#,##0")&amp;" 先令",IF(AND($X525&gt;0,$Y525&lt;=0,$K525=0),"※有数量没金额（这个物料一直没填过进价）",IF($Z525="不可信","△成本含待补价/暂估，毛利仅供参考","")))))</f>
        <v/>
      </c>
    </row>
    <row r="526">
      <c r="A526" s="24">
        <f>IF(物料档案!$A525="","",物料档案!$A525)</f>
        <v/>
      </c>
      <c r="B526" s="24">
        <f>IF($A526="","",IFERROR(VLOOKUP($A526,物料档案!$A$4:$P$1203,3,0),""))</f>
        <v/>
      </c>
      <c r="C526" s="24">
        <f>IF($A526="","",IFERROR(VLOOKUP($A526,物料档案!$A$4:$P$1203,4,0),""))</f>
        <v/>
      </c>
      <c r="D526" s="24">
        <f>IF($A526="","",IFERROR(VLOOKUP($A526,物料档案!$A$4:$P$1203,5,0),""))</f>
        <v/>
      </c>
      <c r="E526" s="24">
        <f>IF($A526="","",IFERROR(VLOOKUP($A526,物料档案!$A$4:$P$1203,2,0),""))</f>
        <v/>
      </c>
      <c r="F526" s="24">
        <f>IF($A526="","",IFERROR(VLOOKUP($A526,物料档案!$A$4:$P$1203,6,0),""))</f>
        <v/>
      </c>
      <c r="G526" s="23" t="n"/>
      <c r="H526" s="32" t="n"/>
      <c r="I526" s="27">
        <f>IF($A526="","",SUMIFS(入库单!$K$4:$K$2503,入库单!$G$4:$G$2503,$A526,入库单!$X$4:$X$2503,"采购入库",入库单!$Z$4:$Z$2503,"正常",入库单!$C$4:$C$2503,"&gt;="&amp;账期起,入库单!$C$4:$C$2503,"&lt;="&amp;账期止))</f>
        <v/>
      </c>
      <c r="J526" s="26">
        <f>IF($A526="","",SUMIFS(入库单!$V$4:$V$2503,入库单!$G$4:$G$2503,$A526,入库单!$X$4:$X$2503,"采购入库",入库单!$Z$4:$Z$2503,"正常",入库单!$C$4:$C$2503,"&gt;="&amp;账期起,入库单!$C$4:$C$2503,"&lt;="&amp;账期止))</f>
        <v/>
      </c>
      <c r="K526" s="26">
        <f>IF($A526="","",IFERROR(ROUND((N($H526)+N($J526))/(N($G526)+N($I526)),2),0))</f>
        <v/>
      </c>
      <c r="L526" s="27">
        <f>IF($A526="","",SUMIFS(入库单!$K$4:$K$2503,入库单!$G$4:$G$2503,$A526,入库单!$X$4:$X$2503,"盘盈",入库单!$Z$4:$Z$2503,"正常",入库单!$C$4:$C$2503,"&gt;="&amp;账期起,入库单!$C$4:$C$2503,"&lt;="&amp;账期止))</f>
        <v/>
      </c>
      <c r="M526" s="26">
        <f>IF($A526="","",ROUND($L526*$K526,0))</f>
        <v/>
      </c>
      <c r="N526" s="27">
        <f>IF($A526="","",SUMIFS(入库单!$K$4:$K$2503,入库单!$G$4:$G$2503,$A526,入库单!$X$4:$X$2503,"矿区退库",入库单!$Z$4:$Z$2503,"正常",入库单!$C$4:$C$2503,"&gt;="&amp;账期起,入库单!$C$4:$C$2503,"&lt;="&amp;账期止))</f>
        <v/>
      </c>
      <c r="O526" s="26">
        <f>IF($A526="","",ROUND($N526*$K526,0))</f>
        <v/>
      </c>
      <c r="P526" s="27">
        <f>IF($A526="","",SUMIFS(出库单!$J$4:$J$4003,出库单!$D$4:$D$4003,$A526,出库单!$K$4:$K$4003,"自用消耗",出库单!$U$4:$U$4003,"正常",出库单!$C$4:$C$4003,"&gt;="&amp;账期起,出库单!$C$4:$C$4003,"&lt;="&amp;账期止))</f>
        <v/>
      </c>
      <c r="Q526" s="26">
        <f>IF($A526="","",ROUND(SUMIFS(出库单!$S$4:$S$4003,出库单!$D$4:$D$4003,$A526,出库单!$K$4:$K$4003,"自用消耗",出库单!$U$4:$U$4003,"正常",出库单!$C$4:$C$4003,"&gt;="&amp;账期起,出库单!$C$4:$C$4003,"&lt;="&amp;账期止),0))</f>
        <v/>
      </c>
      <c r="R526" s="27">
        <f>IF($A526="","",SUMIFS(出库单!$J$4:$J$4003,出库单!$D$4:$D$4003,$A526,出库单!$K$4:$K$4003,"对外销售",出库单!$U$4:$U$4003,"正常",出库单!$C$4:$C$4003,"&gt;="&amp;账期起,出库单!$C$4:$C$4003,"&lt;="&amp;账期止))</f>
        <v/>
      </c>
      <c r="S526" s="26">
        <f>IF($A526="","",ROUND(SUMIFS(出库单!$S$4:$S$4003,出库单!$D$4:$D$4003,$A526,出库单!$K$4:$K$4003,"对外销售",出库单!$U$4:$U$4003,"正常",出库单!$C$4:$C$4003,"&gt;="&amp;账期起,出库单!$C$4:$C$4003,"&lt;="&amp;账期止),0))</f>
        <v/>
      </c>
      <c r="T526" s="27">
        <f>IF($A526="","",SUMIFS(出库单!$J$4:$J$4003,出库单!$D$4:$D$4003,$A526,出库单!$K$4:$K$4003,"盘亏",出库单!$U$4:$U$4003,"正常",出库单!$C$4:$C$4003,"&gt;="&amp;账期起,出库单!$C$4:$C$4003,"&lt;="&amp;账期止))</f>
        <v/>
      </c>
      <c r="U526" s="26">
        <f>IF($A526="","",ROUND(SUMIFS(出库单!$S$4:$S$4003,出库单!$D$4:$D$4003,$A526,出库单!$K$4:$K$4003,"盘亏",出库单!$U$4:$U$4003,"正常",出库单!$C$4:$C$4003,"&gt;="&amp;账期起,出库单!$C$4:$C$4003,"&lt;="&amp;账期止),0))</f>
        <v/>
      </c>
      <c r="V526" s="27">
        <f>IF($A526="","",SUMIFS(出库单!$J$4:$J$4003,出库单!$D$4:$D$4003,$A526,出库单!$K$4:$K$4003,"退货给供应商",出库单!$U$4:$U$4003,"正常",出库单!$C$4:$C$4003,"&gt;="&amp;账期起,出库单!$C$4:$C$4003,"&lt;="&amp;账期止))</f>
        <v/>
      </c>
      <c r="W526" s="26">
        <f>IF($A526="","",ROUND(SUMIFS(出库单!$S$4:$S$4003,出库单!$D$4:$D$4003,$A526,出库单!$K$4:$K$4003,"退货给供应商",出库单!$U$4:$U$4003,"正常",出库单!$C$4:$C$4003,"&gt;="&amp;账期起,出库单!$C$4:$C$4003,"&lt;="&amp;账期止),0))</f>
        <v/>
      </c>
      <c r="X526" s="27">
        <f>IF($A526="","",ROUND(N($G526)+$I526+$L526+$N526-$P526-$R526-$T526-$V526,3))</f>
        <v/>
      </c>
      <c r="Y526" s="26">
        <f>IF($A526="","",ROUND(N($H526)+$J526+$M526+$O526-$Q526-$S526-$U526-$W526,0))</f>
        <v/>
      </c>
      <c r="Z526" s="24">
        <f>IF($A526="","",IF(COUNTIFS(入库单!$G$4:$G$2503,$A526,入库单!$Y$4:$Y$2503,"待补价")+COUNTIFS(入库单!$G$4:$G$2503,$A526,入库单!$Y$4:$Y$2503,"暂估")&gt;0,"不可信","可信"))</f>
        <v/>
      </c>
      <c r="AA526" s="24">
        <f>IF($A526="","",IF($X526&lt;-0.001,"※账面负库存，查一下是不是漏记入库",IF(AND(ROUND($X526,3)=0,ABS($Y526)&gt;1),"※数量已经是 0，金额还挂着 "&amp;TEXT($Y526,"#,##0")&amp;" 先令",IF(AND($X526&gt;0,$Y526&lt;=0,$K526=0),"※有数量没金额（这个物料一直没填过进价）",IF($Z526="不可信","△成本含待补价/暂估，毛利仅供参考","")))))</f>
        <v/>
      </c>
    </row>
    <row r="527">
      <c r="A527" s="24">
        <f>IF(物料档案!$A526="","",物料档案!$A526)</f>
        <v/>
      </c>
      <c r="B527" s="24">
        <f>IF($A527="","",IFERROR(VLOOKUP($A527,物料档案!$A$4:$P$1203,3,0),""))</f>
        <v/>
      </c>
      <c r="C527" s="24">
        <f>IF($A527="","",IFERROR(VLOOKUP($A527,物料档案!$A$4:$P$1203,4,0),""))</f>
        <v/>
      </c>
      <c r="D527" s="24">
        <f>IF($A527="","",IFERROR(VLOOKUP($A527,物料档案!$A$4:$P$1203,5,0),""))</f>
        <v/>
      </c>
      <c r="E527" s="24">
        <f>IF($A527="","",IFERROR(VLOOKUP($A527,物料档案!$A$4:$P$1203,2,0),""))</f>
        <v/>
      </c>
      <c r="F527" s="24">
        <f>IF($A527="","",IFERROR(VLOOKUP($A527,物料档案!$A$4:$P$1203,6,0),""))</f>
        <v/>
      </c>
      <c r="G527" s="23" t="n"/>
      <c r="H527" s="32" t="n"/>
      <c r="I527" s="27">
        <f>IF($A527="","",SUMIFS(入库单!$K$4:$K$2503,入库单!$G$4:$G$2503,$A527,入库单!$X$4:$X$2503,"采购入库",入库单!$Z$4:$Z$2503,"正常",入库单!$C$4:$C$2503,"&gt;="&amp;账期起,入库单!$C$4:$C$2503,"&lt;="&amp;账期止))</f>
        <v/>
      </c>
      <c r="J527" s="26">
        <f>IF($A527="","",SUMIFS(入库单!$V$4:$V$2503,入库单!$G$4:$G$2503,$A527,入库单!$X$4:$X$2503,"采购入库",入库单!$Z$4:$Z$2503,"正常",入库单!$C$4:$C$2503,"&gt;="&amp;账期起,入库单!$C$4:$C$2503,"&lt;="&amp;账期止))</f>
        <v/>
      </c>
      <c r="K527" s="26">
        <f>IF($A527="","",IFERROR(ROUND((N($H527)+N($J527))/(N($G527)+N($I527)),2),0))</f>
        <v/>
      </c>
      <c r="L527" s="27">
        <f>IF($A527="","",SUMIFS(入库单!$K$4:$K$2503,入库单!$G$4:$G$2503,$A527,入库单!$X$4:$X$2503,"盘盈",入库单!$Z$4:$Z$2503,"正常",入库单!$C$4:$C$2503,"&gt;="&amp;账期起,入库单!$C$4:$C$2503,"&lt;="&amp;账期止))</f>
        <v/>
      </c>
      <c r="M527" s="26">
        <f>IF($A527="","",ROUND($L527*$K527,0))</f>
        <v/>
      </c>
      <c r="N527" s="27">
        <f>IF($A527="","",SUMIFS(入库单!$K$4:$K$2503,入库单!$G$4:$G$2503,$A527,入库单!$X$4:$X$2503,"矿区退库",入库单!$Z$4:$Z$2503,"正常",入库单!$C$4:$C$2503,"&gt;="&amp;账期起,入库单!$C$4:$C$2503,"&lt;="&amp;账期止))</f>
        <v/>
      </c>
      <c r="O527" s="26">
        <f>IF($A527="","",ROUND($N527*$K527,0))</f>
        <v/>
      </c>
      <c r="P527" s="27">
        <f>IF($A527="","",SUMIFS(出库单!$J$4:$J$4003,出库单!$D$4:$D$4003,$A527,出库单!$K$4:$K$4003,"自用消耗",出库单!$U$4:$U$4003,"正常",出库单!$C$4:$C$4003,"&gt;="&amp;账期起,出库单!$C$4:$C$4003,"&lt;="&amp;账期止))</f>
        <v/>
      </c>
      <c r="Q527" s="26">
        <f>IF($A527="","",ROUND(SUMIFS(出库单!$S$4:$S$4003,出库单!$D$4:$D$4003,$A527,出库单!$K$4:$K$4003,"自用消耗",出库单!$U$4:$U$4003,"正常",出库单!$C$4:$C$4003,"&gt;="&amp;账期起,出库单!$C$4:$C$4003,"&lt;="&amp;账期止),0))</f>
        <v/>
      </c>
      <c r="R527" s="27">
        <f>IF($A527="","",SUMIFS(出库单!$J$4:$J$4003,出库单!$D$4:$D$4003,$A527,出库单!$K$4:$K$4003,"对外销售",出库单!$U$4:$U$4003,"正常",出库单!$C$4:$C$4003,"&gt;="&amp;账期起,出库单!$C$4:$C$4003,"&lt;="&amp;账期止))</f>
        <v/>
      </c>
      <c r="S527" s="26">
        <f>IF($A527="","",ROUND(SUMIFS(出库单!$S$4:$S$4003,出库单!$D$4:$D$4003,$A527,出库单!$K$4:$K$4003,"对外销售",出库单!$U$4:$U$4003,"正常",出库单!$C$4:$C$4003,"&gt;="&amp;账期起,出库单!$C$4:$C$4003,"&lt;="&amp;账期止),0))</f>
        <v/>
      </c>
      <c r="T527" s="27">
        <f>IF($A527="","",SUMIFS(出库单!$J$4:$J$4003,出库单!$D$4:$D$4003,$A527,出库单!$K$4:$K$4003,"盘亏",出库单!$U$4:$U$4003,"正常",出库单!$C$4:$C$4003,"&gt;="&amp;账期起,出库单!$C$4:$C$4003,"&lt;="&amp;账期止))</f>
        <v/>
      </c>
      <c r="U527" s="26">
        <f>IF($A527="","",ROUND(SUMIFS(出库单!$S$4:$S$4003,出库单!$D$4:$D$4003,$A527,出库单!$K$4:$K$4003,"盘亏",出库单!$U$4:$U$4003,"正常",出库单!$C$4:$C$4003,"&gt;="&amp;账期起,出库单!$C$4:$C$4003,"&lt;="&amp;账期止),0))</f>
        <v/>
      </c>
      <c r="V527" s="27">
        <f>IF($A527="","",SUMIFS(出库单!$J$4:$J$4003,出库单!$D$4:$D$4003,$A527,出库单!$K$4:$K$4003,"退货给供应商",出库单!$U$4:$U$4003,"正常",出库单!$C$4:$C$4003,"&gt;="&amp;账期起,出库单!$C$4:$C$4003,"&lt;="&amp;账期止))</f>
        <v/>
      </c>
      <c r="W527" s="26">
        <f>IF($A527="","",ROUND(SUMIFS(出库单!$S$4:$S$4003,出库单!$D$4:$D$4003,$A527,出库单!$K$4:$K$4003,"退货给供应商",出库单!$U$4:$U$4003,"正常",出库单!$C$4:$C$4003,"&gt;="&amp;账期起,出库单!$C$4:$C$4003,"&lt;="&amp;账期止),0))</f>
        <v/>
      </c>
      <c r="X527" s="27">
        <f>IF($A527="","",ROUND(N($G527)+$I527+$L527+$N527-$P527-$R527-$T527-$V527,3))</f>
        <v/>
      </c>
      <c r="Y527" s="26">
        <f>IF($A527="","",ROUND(N($H527)+$J527+$M527+$O527-$Q527-$S527-$U527-$W527,0))</f>
        <v/>
      </c>
      <c r="Z527" s="24">
        <f>IF($A527="","",IF(COUNTIFS(入库单!$G$4:$G$2503,$A527,入库单!$Y$4:$Y$2503,"待补价")+COUNTIFS(入库单!$G$4:$G$2503,$A527,入库单!$Y$4:$Y$2503,"暂估")&gt;0,"不可信","可信"))</f>
        <v/>
      </c>
      <c r="AA527" s="24">
        <f>IF($A527="","",IF($X527&lt;-0.001,"※账面负库存，查一下是不是漏记入库",IF(AND(ROUND($X527,3)=0,ABS($Y527)&gt;1),"※数量已经是 0，金额还挂着 "&amp;TEXT($Y527,"#,##0")&amp;" 先令",IF(AND($X527&gt;0,$Y527&lt;=0,$K527=0),"※有数量没金额（这个物料一直没填过进价）",IF($Z527="不可信","△成本含待补价/暂估，毛利仅供参考","")))))</f>
        <v/>
      </c>
    </row>
    <row r="528">
      <c r="A528" s="24">
        <f>IF(物料档案!$A527="","",物料档案!$A527)</f>
        <v/>
      </c>
      <c r="B528" s="24">
        <f>IF($A528="","",IFERROR(VLOOKUP($A528,物料档案!$A$4:$P$1203,3,0),""))</f>
        <v/>
      </c>
      <c r="C528" s="24">
        <f>IF($A528="","",IFERROR(VLOOKUP($A528,物料档案!$A$4:$P$1203,4,0),""))</f>
        <v/>
      </c>
      <c r="D528" s="24">
        <f>IF($A528="","",IFERROR(VLOOKUP($A528,物料档案!$A$4:$P$1203,5,0),""))</f>
        <v/>
      </c>
      <c r="E528" s="24">
        <f>IF($A528="","",IFERROR(VLOOKUP($A528,物料档案!$A$4:$P$1203,2,0),""))</f>
        <v/>
      </c>
      <c r="F528" s="24">
        <f>IF($A528="","",IFERROR(VLOOKUP($A528,物料档案!$A$4:$P$1203,6,0),""))</f>
        <v/>
      </c>
      <c r="G528" s="23" t="n"/>
      <c r="H528" s="32" t="n"/>
      <c r="I528" s="27">
        <f>IF($A528="","",SUMIFS(入库单!$K$4:$K$2503,入库单!$G$4:$G$2503,$A528,入库单!$X$4:$X$2503,"采购入库",入库单!$Z$4:$Z$2503,"正常",入库单!$C$4:$C$2503,"&gt;="&amp;账期起,入库单!$C$4:$C$2503,"&lt;="&amp;账期止))</f>
        <v/>
      </c>
      <c r="J528" s="26">
        <f>IF($A528="","",SUMIFS(入库单!$V$4:$V$2503,入库单!$G$4:$G$2503,$A528,入库单!$X$4:$X$2503,"采购入库",入库单!$Z$4:$Z$2503,"正常",入库单!$C$4:$C$2503,"&gt;="&amp;账期起,入库单!$C$4:$C$2503,"&lt;="&amp;账期止))</f>
        <v/>
      </c>
      <c r="K528" s="26">
        <f>IF($A528="","",IFERROR(ROUND((N($H528)+N($J528))/(N($G528)+N($I528)),2),0))</f>
        <v/>
      </c>
      <c r="L528" s="27">
        <f>IF($A528="","",SUMIFS(入库单!$K$4:$K$2503,入库单!$G$4:$G$2503,$A528,入库单!$X$4:$X$2503,"盘盈",入库单!$Z$4:$Z$2503,"正常",入库单!$C$4:$C$2503,"&gt;="&amp;账期起,入库单!$C$4:$C$2503,"&lt;="&amp;账期止))</f>
        <v/>
      </c>
      <c r="M528" s="26">
        <f>IF($A528="","",ROUND($L528*$K528,0))</f>
        <v/>
      </c>
      <c r="N528" s="27">
        <f>IF($A528="","",SUMIFS(入库单!$K$4:$K$2503,入库单!$G$4:$G$2503,$A528,入库单!$X$4:$X$2503,"矿区退库",入库单!$Z$4:$Z$2503,"正常",入库单!$C$4:$C$2503,"&gt;="&amp;账期起,入库单!$C$4:$C$2503,"&lt;="&amp;账期止))</f>
        <v/>
      </c>
      <c r="O528" s="26">
        <f>IF($A528="","",ROUND($N528*$K528,0))</f>
        <v/>
      </c>
      <c r="P528" s="27">
        <f>IF($A528="","",SUMIFS(出库单!$J$4:$J$4003,出库单!$D$4:$D$4003,$A528,出库单!$K$4:$K$4003,"自用消耗",出库单!$U$4:$U$4003,"正常",出库单!$C$4:$C$4003,"&gt;="&amp;账期起,出库单!$C$4:$C$4003,"&lt;="&amp;账期止))</f>
        <v/>
      </c>
      <c r="Q528" s="26">
        <f>IF($A528="","",ROUND(SUMIFS(出库单!$S$4:$S$4003,出库单!$D$4:$D$4003,$A528,出库单!$K$4:$K$4003,"自用消耗",出库单!$U$4:$U$4003,"正常",出库单!$C$4:$C$4003,"&gt;="&amp;账期起,出库单!$C$4:$C$4003,"&lt;="&amp;账期止),0))</f>
        <v/>
      </c>
      <c r="R528" s="27">
        <f>IF($A528="","",SUMIFS(出库单!$J$4:$J$4003,出库单!$D$4:$D$4003,$A528,出库单!$K$4:$K$4003,"对外销售",出库单!$U$4:$U$4003,"正常",出库单!$C$4:$C$4003,"&gt;="&amp;账期起,出库单!$C$4:$C$4003,"&lt;="&amp;账期止))</f>
        <v/>
      </c>
      <c r="S528" s="26">
        <f>IF($A528="","",ROUND(SUMIFS(出库单!$S$4:$S$4003,出库单!$D$4:$D$4003,$A528,出库单!$K$4:$K$4003,"对外销售",出库单!$U$4:$U$4003,"正常",出库单!$C$4:$C$4003,"&gt;="&amp;账期起,出库单!$C$4:$C$4003,"&lt;="&amp;账期止),0))</f>
        <v/>
      </c>
      <c r="T528" s="27">
        <f>IF($A528="","",SUMIFS(出库单!$J$4:$J$4003,出库单!$D$4:$D$4003,$A528,出库单!$K$4:$K$4003,"盘亏",出库单!$U$4:$U$4003,"正常",出库单!$C$4:$C$4003,"&gt;="&amp;账期起,出库单!$C$4:$C$4003,"&lt;="&amp;账期止))</f>
        <v/>
      </c>
      <c r="U528" s="26">
        <f>IF($A528="","",ROUND(SUMIFS(出库单!$S$4:$S$4003,出库单!$D$4:$D$4003,$A528,出库单!$K$4:$K$4003,"盘亏",出库单!$U$4:$U$4003,"正常",出库单!$C$4:$C$4003,"&gt;="&amp;账期起,出库单!$C$4:$C$4003,"&lt;="&amp;账期止),0))</f>
        <v/>
      </c>
      <c r="V528" s="27">
        <f>IF($A528="","",SUMIFS(出库单!$J$4:$J$4003,出库单!$D$4:$D$4003,$A528,出库单!$K$4:$K$4003,"退货给供应商",出库单!$U$4:$U$4003,"正常",出库单!$C$4:$C$4003,"&gt;="&amp;账期起,出库单!$C$4:$C$4003,"&lt;="&amp;账期止))</f>
        <v/>
      </c>
      <c r="W528" s="26">
        <f>IF($A528="","",ROUND(SUMIFS(出库单!$S$4:$S$4003,出库单!$D$4:$D$4003,$A528,出库单!$K$4:$K$4003,"退货给供应商",出库单!$U$4:$U$4003,"正常",出库单!$C$4:$C$4003,"&gt;="&amp;账期起,出库单!$C$4:$C$4003,"&lt;="&amp;账期止),0))</f>
        <v/>
      </c>
      <c r="X528" s="27">
        <f>IF($A528="","",ROUND(N($G528)+$I528+$L528+$N528-$P528-$R528-$T528-$V528,3))</f>
        <v/>
      </c>
      <c r="Y528" s="26">
        <f>IF($A528="","",ROUND(N($H528)+$J528+$M528+$O528-$Q528-$S528-$U528-$W528,0))</f>
        <v/>
      </c>
      <c r="Z528" s="24">
        <f>IF($A528="","",IF(COUNTIFS(入库单!$G$4:$G$2503,$A528,入库单!$Y$4:$Y$2503,"待补价")+COUNTIFS(入库单!$G$4:$G$2503,$A528,入库单!$Y$4:$Y$2503,"暂估")&gt;0,"不可信","可信"))</f>
        <v/>
      </c>
      <c r="AA528" s="24">
        <f>IF($A528="","",IF($X528&lt;-0.001,"※账面负库存，查一下是不是漏记入库",IF(AND(ROUND($X528,3)=0,ABS($Y528)&gt;1),"※数量已经是 0，金额还挂着 "&amp;TEXT($Y528,"#,##0")&amp;" 先令",IF(AND($X528&gt;0,$Y528&lt;=0,$K528=0),"※有数量没金额（这个物料一直没填过进价）",IF($Z528="不可信","△成本含待补价/暂估，毛利仅供参考","")))))</f>
        <v/>
      </c>
    </row>
    <row r="529">
      <c r="A529" s="24">
        <f>IF(物料档案!$A528="","",物料档案!$A528)</f>
        <v/>
      </c>
      <c r="B529" s="24">
        <f>IF($A529="","",IFERROR(VLOOKUP($A529,物料档案!$A$4:$P$1203,3,0),""))</f>
        <v/>
      </c>
      <c r="C529" s="24">
        <f>IF($A529="","",IFERROR(VLOOKUP($A529,物料档案!$A$4:$P$1203,4,0),""))</f>
        <v/>
      </c>
      <c r="D529" s="24">
        <f>IF($A529="","",IFERROR(VLOOKUP($A529,物料档案!$A$4:$P$1203,5,0),""))</f>
        <v/>
      </c>
      <c r="E529" s="24">
        <f>IF($A529="","",IFERROR(VLOOKUP($A529,物料档案!$A$4:$P$1203,2,0),""))</f>
        <v/>
      </c>
      <c r="F529" s="24">
        <f>IF($A529="","",IFERROR(VLOOKUP($A529,物料档案!$A$4:$P$1203,6,0),""))</f>
        <v/>
      </c>
      <c r="G529" s="23" t="n"/>
      <c r="H529" s="32" t="n"/>
      <c r="I529" s="27">
        <f>IF($A529="","",SUMIFS(入库单!$K$4:$K$2503,入库单!$G$4:$G$2503,$A529,入库单!$X$4:$X$2503,"采购入库",入库单!$Z$4:$Z$2503,"正常",入库单!$C$4:$C$2503,"&gt;="&amp;账期起,入库单!$C$4:$C$2503,"&lt;="&amp;账期止))</f>
        <v/>
      </c>
      <c r="J529" s="26">
        <f>IF($A529="","",SUMIFS(入库单!$V$4:$V$2503,入库单!$G$4:$G$2503,$A529,入库单!$X$4:$X$2503,"采购入库",入库单!$Z$4:$Z$2503,"正常",入库单!$C$4:$C$2503,"&gt;="&amp;账期起,入库单!$C$4:$C$2503,"&lt;="&amp;账期止))</f>
        <v/>
      </c>
      <c r="K529" s="26">
        <f>IF($A529="","",IFERROR(ROUND((N($H529)+N($J529))/(N($G529)+N($I529)),2),0))</f>
        <v/>
      </c>
      <c r="L529" s="27">
        <f>IF($A529="","",SUMIFS(入库单!$K$4:$K$2503,入库单!$G$4:$G$2503,$A529,入库单!$X$4:$X$2503,"盘盈",入库单!$Z$4:$Z$2503,"正常",入库单!$C$4:$C$2503,"&gt;="&amp;账期起,入库单!$C$4:$C$2503,"&lt;="&amp;账期止))</f>
        <v/>
      </c>
      <c r="M529" s="26">
        <f>IF($A529="","",ROUND($L529*$K529,0))</f>
        <v/>
      </c>
      <c r="N529" s="27">
        <f>IF($A529="","",SUMIFS(入库单!$K$4:$K$2503,入库单!$G$4:$G$2503,$A529,入库单!$X$4:$X$2503,"矿区退库",入库单!$Z$4:$Z$2503,"正常",入库单!$C$4:$C$2503,"&gt;="&amp;账期起,入库单!$C$4:$C$2503,"&lt;="&amp;账期止))</f>
        <v/>
      </c>
      <c r="O529" s="26">
        <f>IF($A529="","",ROUND($N529*$K529,0))</f>
        <v/>
      </c>
      <c r="P529" s="27">
        <f>IF($A529="","",SUMIFS(出库单!$J$4:$J$4003,出库单!$D$4:$D$4003,$A529,出库单!$K$4:$K$4003,"自用消耗",出库单!$U$4:$U$4003,"正常",出库单!$C$4:$C$4003,"&gt;="&amp;账期起,出库单!$C$4:$C$4003,"&lt;="&amp;账期止))</f>
        <v/>
      </c>
      <c r="Q529" s="26">
        <f>IF($A529="","",ROUND(SUMIFS(出库单!$S$4:$S$4003,出库单!$D$4:$D$4003,$A529,出库单!$K$4:$K$4003,"自用消耗",出库单!$U$4:$U$4003,"正常",出库单!$C$4:$C$4003,"&gt;="&amp;账期起,出库单!$C$4:$C$4003,"&lt;="&amp;账期止),0))</f>
        <v/>
      </c>
      <c r="R529" s="27">
        <f>IF($A529="","",SUMIFS(出库单!$J$4:$J$4003,出库单!$D$4:$D$4003,$A529,出库单!$K$4:$K$4003,"对外销售",出库单!$U$4:$U$4003,"正常",出库单!$C$4:$C$4003,"&gt;="&amp;账期起,出库单!$C$4:$C$4003,"&lt;="&amp;账期止))</f>
        <v/>
      </c>
      <c r="S529" s="26">
        <f>IF($A529="","",ROUND(SUMIFS(出库单!$S$4:$S$4003,出库单!$D$4:$D$4003,$A529,出库单!$K$4:$K$4003,"对外销售",出库单!$U$4:$U$4003,"正常",出库单!$C$4:$C$4003,"&gt;="&amp;账期起,出库单!$C$4:$C$4003,"&lt;="&amp;账期止),0))</f>
        <v/>
      </c>
      <c r="T529" s="27">
        <f>IF($A529="","",SUMIFS(出库单!$J$4:$J$4003,出库单!$D$4:$D$4003,$A529,出库单!$K$4:$K$4003,"盘亏",出库单!$U$4:$U$4003,"正常",出库单!$C$4:$C$4003,"&gt;="&amp;账期起,出库单!$C$4:$C$4003,"&lt;="&amp;账期止))</f>
        <v/>
      </c>
      <c r="U529" s="26">
        <f>IF($A529="","",ROUND(SUMIFS(出库单!$S$4:$S$4003,出库单!$D$4:$D$4003,$A529,出库单!$K$4:$K$4003,"盘亏",出库单!$U$4:$U$4003,"正常",出库单!$C$4:$C$4003,"&gt;="&amp;账期起,出库单!$C$4:$C$4003,"&lt;="&amp;账期止),0))</f>
        <v/>
      </c>
      <c r="V529" s="27">
        <f>IF($A529="","",SUMIFS(出库单!$J$4:$J$4003,出库单!$D$4:$D$4003,$A529,出库单!$K$4:$K$4003,"退货给供应商",出库单!$U$4:$U$4003,"正常",出库单!$C$4:$C$4003,"&gt;="&amp;账期起,出库单!$C$4:$C$4003,"&lt;="&amp;账期止))</f>
        <v/>
      </c>
      <c r="W529" s="26">
        <f>IF($A529="","",ROUND(SUMIFS(出库单!$S$4:$S$4003,出库单!$D$4:$D$4003,$A529,出库单!$K$4:$K$4003,"退货给供应商",出库单!$U$4:$U$4003,"正常",出库单!$C$4:$C$4003,"&gt;="&amp;账期起,出库单!$C$4:$C$4003,"&lt;="&amp;账期止),0))</f>
        <v/>
      </c>
      <c r="X529" s="27">
        <f>IF($A529="","",ROUND(N($G529)+$I529+$L529+$N529-$P529-$R529-$T529-$V529,3))</f>
        <v/>
      </c>
      <c r="Y529" s="26">
        <f>IF($A529="","",ROUND(N($H529)+$J529+$M529+$O529-$Q529-$S529-$U529-$W529,0))</f>
        <v/>
      </c>
      <c r="Z529" s="24">
        <f>IF($A529="","",IF(COUNTIFS(入库单!$G$4:$G$2503,$A529,入库单!$Y$4:$Y$2503,"待补价")+COUNTIFS(入库单!$G$4:$G$2503,$A529,入库单!$Y$4:$Y$2503,"暂估")&gt;0,"不可信","可信"))</f>
        <v/>
      </c>
      <c r="AA529" s="24">
        <f>IF($A529="","",IF($X529&lt;-0.001,"※账面负库存，查一下是不是漏记入库",IF(AND(ROUND($X529,3)=0,ABS($Y529)&gt;1),"※数量已经是 0，金额还挂着 "&amp;TEXT($Y529,"#,##0")&amp;" 先令",IF(AND($X529&gt;0,$Y529&lt;=0,$K529=0),"※有数量没金额（这个物料一直没填过进价）",IF($Z529="不可信","△成本含待补价/暂估，毛利仅供参考","")))))</f>
        <v/>
      </c>
    </row>
    <row r="530">
      <c r="A530" s="24">
        <f>IF(物料档案!$A529="","",物料档案!$A529)</f>
        <v/>
      </c>
      <c r="B530" s="24">
        <f>IF($A530="","",IFERROR(VLOOKUP($A530,物料档案!$A$4:$P$1203,3,0),""))</f>
        <v/>
      </c>
      <c r="C530" s="24">
        <f>IF($A530="","",IFERROR(VLOOKUP($A530,物料档案!$A$4:$P$1203,4,0),""))</f>
        <v/>
      </c>
      <c r="D530" s="24">
        <f>IF($A530="","",IFERROR(VLOOKUP($A530,物料档案!$A$4:$P$1203,5,0),""))</f>
        <v/>
      </c>
      <c r="E530" s="24">
        <f>IF($A530="","",IFERROR(VLOOKUP($A530,物料档案!$A$4:$P$1203,2,0),""))</f>
        <v/>
      </c>
      <c r="F530" s="24">
        <f>IF($A530="","",IFERROR(VLOOKUP($A530,物料档案!$A$4:$P$1203,6,0),""))</f>
        <v/>
      </c>
      <c r="G530" s="23" t="n"/>
      <c r="H530" s="32" t="n"/>
      <c r="I530" s="27">
        <f>IF($A530="","",SUMIFS(入库单!$K$4:$K$2503,入库单!$G$4:$G$2503,$A530,入库单!$X$4:$X$2503,"采购入库",入库单!$Z$4:$Z$2503,"正常",入库单!$C$4:$C$2503,"&gt;="&amp;账期起,入库单!$C$4:$C$2503,"&lt;="&amp;账期止))</f>
        <v/>
      </c>
      <c r="J530" s="26">
        <f>IF($A530="","",SUMIFS(入库单!$V$4:$V$2503,入库单!$G$4:$G$2503,$A530,入库单!$X$4:$X$2503,"采购入库",入库单!$Z$4:$Z$2503,"正常",入库单!$C$4:$C$2503,"&gt;="&amp;账期起,入库单!$C$4:$C$2503,"&lt;="&amp;账期止))</f>
        <v/>
      </c>
      <c r="K530" s="26">
        <f>IF($A530="","",IFERROR(ROUND((N($H530)+N($J530))/(N($G530)+N($I530)),2),0))</f>
        <v/>
      </c>
      <c r="L530" s="27">
        <f>IF($A530="","",SUMIFS(入库单!$K$4:$K$2503,入库单!$G$4:$G$2503,$A530,入库单!$X$4:$X$2503,"盘盈",入库单!$Z$4:$Z$2503,"正常",入库单!$C$4:$C$2503,"&gt;="&amp;账期起,入库单!$C$4:$C$2503,"&lt;="&amp;账期止))</f>
        <v/>
      </c>
      <c r="M530" s="26">
        <f>IF($A530="","",ROUND($L530*$K530,0))</f>
        <v/>
      </c>
      <c r="N530" s="27">
        <f>IF($A530="","",SUMIFS(入库单!$K$4:$K$2503,入库单!$G$4:$G$2503,$A530,入库单!$X$4:$X$2503,"矿区退库",入库单!$Z$4:$Z$2503,"正常",入库单!$C$4:$C$2503,"&gt;="&amp;账期起,入库单!$C$4:$C$2503,"&lt;="&amp;账期止))</f>
        <v/>
      </c>
      <c r="O530" s="26">
        <f>IF($A530="","",ROUND($N530*$K530,0))</f>
        <v/>
      </c>
      <c r="P530" s="27">
        <f>IF($A530="","",SUMIFS(出库单!$J$4:$J$4003,出库单!$D$4:$D$4003,$A530,出库单!$K$4:$K$4003,"自用消耗",出库单!$U$4:$U$4003,"正常",出库单!$C$4:$C$4003,"&gt;="&amp;账期起,出库单!$C$4:$C$4003,"&lt;="&amp;账期止))</f>
        <v/>
      </c>
      <c r="Q530" s="26">
        <f>IF($A530="","",ROUND(SUMIFS(出库单!$S$4:$S$4003,出库单!$D$4:$D$4003,$A530,出库单!$K$4:$K$4003,"自用消耗",出库单!$U$4:$U$4003,"正常",出库单!$C$4:$C$4003,"&gt;="&amp;账期起,出库单!$C$4:$C$4003,"&lt;="&amp;账期止),0))</f>
        <v/>
      </c>
      <c r="R530" s="27">
        <f>IF($A530="","",SUMIFS(出库单!$J$4:$J$4003,出库单!$D$4:$D$4003,$A530,出库单!$K$4:$K$4003,"对外销售",出库单!$U$4:$U$4003,"正常",出库单!$C$4:$C$4003,"&gt;="&amp;账期起,出库单!$C$4:$C$4003,"&lt;="&amp;账期止))</f>
        <v/>
      </c>
      <c r="S530" s="26">
        <f>IF($A530="","",ROUND(SUMIFS(出库单!$S$4:$S$4003,出库单!$D$4:$D$4003,$A530,出库单!$K$4:$K$4003,"对外销售",出库单!$U$4:$U$4003,"正常",出库单!$C$4:$C$4003,"&gt;="&amp;账期起,出库单!$C$4:$C$4003,"&lt;="&amp;账期止),0))</f>
        <v/>
      </c>
      <c r="T530" s="27">
        <f>IF($A530="","",SUMIFS(出库单!$J$4:$J$4003,出库单!$D$4:$D$4003,$A530,出库单!$K$4:$K$4003,"盘亏",出库单!$U$4:$U$4003,"正常",出库单!$C$4:$C$4003,"&gt;="&amp;账期起,出库单!$C$4:$C$4003,"&lt;="&amp;账期止))</f>
        <v/>
      </c>
      <c r="U530" s="26">
        <f>IF($A530="","",ROUND(SUMIFS(出库单!$S$4:$S$4003,出库单!$D$4:$D$4003,$A530,出库单!$K$4:$K$4003,"盘亏",出库单!$U$4:$U$4003,"正常",出库单!$C$4:$C$4003,"&gt;="&amp;账期起,出库单!$C$4:$C$4003,"&lt;="&amp;账期止),0))</f>
        <v/>
      </c>
      <c r="V530" s="27">
        <f>IF($A530="","",SUMIFS(出库单!$J$4:$J$4003,出库单!$D$4:$D$4003,$A530,出库单!$K$4:$K$4003,"退货给供应商",出库单!$U$4:$U$4003,"正常",出库单!$C$4:$C$4003,"&gt;="&amp;账期起,出库单!$C$4:$C$4003,"&lt;="&amp;账期止))</f>
        <v/>
      </c>
      <c r="W530" s="26">
        <f>IF($A530="","",ROUND(SUMIFS(出库单!$S$4:$S$4003,出库单!$D$4:$D$4003,$A530,出库单!$K$4:$K$4003,"退货给供应商",出库单!$U$4:$U$4003,"正常",出库单!$C$4:$C$4003,"&gt;="&amp;账期起,出库单!$C$4:$C$4003,"&lt;="&amp;账期止),0))</f>
        <v/>
      </c>
      <c r="X530" s="27">
        <f>IF($A530="","",ROUND(N($G530)+$I530+$L530+$N530-$P530-$R530-$T530-$V530,3))</f>
        <v/>
      </c>
      <c r="Y530" s="26">
        <f>IF($A530="","",ROUND(N($H530)+$J530+$M530+$O530-$Q530-$S530-$U530-$W530,0))</f>
        <v/>
      </c>
      <c r="Z530" s="24">
        <f>IF($A530="","",IF(COUNTIFS(入库单!$G$4:$G$2503,$A530,入库单!$Y$4:$Y$2503,"待补价")+COUNTIFS(入库单!$G$4:$G$2503,$A530,入库单!$Y$4:$Y$2503,"暂估")&gt;0,"不可信","可信"))</f>
        <v/>
      </c>
      <c r="AA530" s="24">
        <f>IF($A530="","",IF($X530&lt;-0.001,"※账面负库存，查一下是不是漏记入库",IF(AND(ROUND($X530,3)=0,ABS($Y530)&gt;1),"※数量已经是 0，金额还挂着 "&amp;TEXT($Y530,"#,##0")&amp;" 先令",IF(AND($X530&gt;0,$Y530&lt;=0,$K530=0),"※有数量没金额（这个物料一直没填过进价）",IF($Z530="不可信","△成本含待补价/暂估，毛利仅供参考","")))))</f>
        <v/>
      </c>
    </row>
    <row r="531">
      <c r="A531" s="24">
        <f>IF(物料档案!$A530="","",物料档案!$A530)</f>
        <v/>
      </c>
      <c r="B531" s="24">
        <f>IF($A531="","",IFERROR(VLOOKUP($A531,物料档案!$A$4:$P$1203,3,0),""))</f>
        <v/>
      </c>
      <c r="C531" s="24">
        <f>IF($A531="","",IFERROR(VLOOKUP($A531,物料档案!$A$4:$P$1203,4,0),""))</f>
        <v/>
      </c>
      <c r="D531" s="24">
        <f>IF($A531="","",IFERROR(VLOOKUP($A531,物料档案!$A$4:$P$1203,5,0),""))</f>
        <v/>
      </c>
      <c r="E531" s="24">
        <f>IF($A531="","",IFERROR(VLOOKUP($A531,物料档案!$A$4:$P$1203,2,0),""))</f>
        <v/>
      </c>
      <c r="F531" s="24">
        <f>IF($A531="","",IFERROR(VLOOKUP($A531,物料档案!$A$4:$P$1203,6,0),""))</f>
        <v/>
      </c>
      <c r="G531" s="23" t="n"/>
      <c r="H531" s="32" t="n"/>
      <c r="I531" s="27">
        <f>IF($A531="","",SUMIFS(入库单!$K$4:$K$2503,入库单!$G$4:$G$2503,$A531,入库单!$X$4:$X$2503,"采购入库",入库单!$Z$4:$Z$2503,"正常",入库单!$C$4:$C$2503,"&gt;="&amp;账期起,入库单!$C$4:$C$2503,"&lt;="&amp;账期止))</f>
        <v/>
      </c>
      <c r="J531" s="26">
        <f>IF($A531="","",SUMIFS(入库单!$V$4:$V$2503,入库单!$G$4:$G$2503,$A531,入库单!$X$4:$X$2503,"采购入库",入库单!$Z$4:$Z$2503,"正常",入库单!$C$4:$C$2503,"&gt;="&amp;账期起,入库单!$C$4:$C$2503,"&lt;="&amp;账期止))</f>
        <v/>
      </c>
      <c r="K531" s="26">
        <f>IF($A531="","",IFERROR(ROUND((N($H531)+N($J531))/(N($G531)+N($I531)),2),0))</f>
        <v/>
      </c>
      <c r="L531" s="27">
        <f>IF($A531="","",SUMIFS(入库单!$K$4:$K$2503,入库单!$G$4:$G$2503,$A531,入库单!$X$4:$X$2503,"盘盈",入库单!$Z$4:$Z$2503,"正常",入库单!$C$4:$C$2503,"&gt;="&amp;账期起,入库单!$C$4:$C$2503,"&lt;="&amp;账期止))</f>
        <v/>
      </c>
      <c r="M531" s="26">
        <f>IF($A531="","",ROUND($L531*$K531,0))</f>
        <v/>
      </c>
      <c r="N531" s="27">
        <f>IF($A531="","",SUMIFS(入库单!$K$4:$K$2503,入库单!$G$4:$G$2503,$A531,入库单!$X$4:$X$2503,"矿区退库",入库单!$Z$4:$Z$2503,"正常",入库单!$C$4:$C$2503,"&gt;="&amp;账期起,入库单!$C$4:$C$2503,"&lt;="&amp;账期止))</f>
        <v/>
      </c>
      <c r="O531" s="26">
        <f>IF($A531="","",ROUND($N531*$K531,0))</f>
        <v/>
      </c>
      <c r="P531" s="27">
        <f>IF($A531="","",SUMIFS(出库单!$J$4:$J$4003,出库单!$D$4:$D$4003,$A531,出库单!$K$4:$K$4003,"自用消耗",出库单!$U$4:$U$4003,"正常",出库单!$C$4:$C$4003,"&gt;="&amp;账期起,出库单!$C$4:$C$4003,"&lt;="&amp;账期止))</f>
        <v/>
      </c>
      <c r="Q531" s="26">
        <f>IF($A531="","",ROUND(SUMIFS(出库单!$S$4:$S$4003,出库单!$D$4:$D$4003,$A531,出库单!$K$4:$K$4003,"自用消耗",出库单!$U$4:$U$4003,"正常",出库单!$C$4:$C$4003,"&gt;="&amp;账期起,出库单!$C$4:$C$4003,"&lt;="&amp;账期止),0))</f>
        <v/>
      </c>
      <c r="R531" s="27">
        <f>IF($A531="","",SUMIFS(出库单!$J$4:$J$4003,出库单!$D$4:$D$4003,$A531,出库单!$K$4:$K$4003,"对外销售",出库单!$U$4:$U$4003,"正常",出库单!$C$4:$C$4003,"&gt;="&amp;账期起,出库单!$C$4:$C$4003,"&lt;="&amp;账期止))</f>
        <v/>
      </c>
      <c r="S531" s="26">
        <f>IF($A531="","",ROUND(SUMIFS(出库单!$S$4:$S$4003,出库单!$D$4:$D$4003,$A531,出库单!$K$4:$K$4003,"对外销售",出库单!$U$4:$U$4003,"正常",出库单!$C$4:$C$4003,"&gt;="&amp;账期起,出库单!$C$4:$C$4003,"&lt;="&amp;账期止),0))</f>
        <v/>
      </c>
      <c r="T531" s="27">
        <f>IF($A531="","",SUMIFS(出库单!$J$4:$J$4003,出库单!$D$4:$D$4003,$A531,出库单!$K$4:$K$4003,"盘亏",出库单!$U$4:$U$4003,"正常",出库单!$C$4:$C$4003,"&gt;="&amp;账期起,出库单!$C$4:$C$4003,"&lt;="&amp;账期止))</f>
        <v/>
      </c>
      <c r="U531" s="26">
        <f>IF($A531="","",ROUND(SUMIFS(出库单!$S$4:$S$4003,出库单!$D$4:$D$4003,$A531,出库单!$K$4:$K$4003,"盘亏",出库单!$U$4:$U$4003,"正常",出库单!$C$4:$C$4003,"&gt;="&amp;账期起,出库单!$C$4:$C$4003,"&lt;="&amp;账期止),0))</f>
        <v/>
      </c>
      <c r="V531" s="27">
        <f>IF($A531="","",SUMIFS(出库单!$J$4:$J$4003,出库单!$D$4:$D$4003,$A531,出库单!$K$4:$K$4003,"退货给供应商",出库单!$U$4:$U$4003,"正常",出库单!$C$4:$C$4003,"&gt;="&amp;账期起,出库单!$C$4:$C$4003,"&lt;="&amp;账期止))</f>
        <v/>
      </c>
      <c r="W531" s="26">
        <f>IF($A531="","",ROUND(SUMIFS(出库单!$S$4:$S$4003,出库单!$D$4:$D$4003,$A531,出库单!$K$4:$K$4003,"退货给供应商",出库单!$U$4:$U$4003,"正常",出库单!$C$4:$C$4003,"&gt;="&amp;账期起,出库单!$C$4:$C$4003,"&lt;="&amp;账期止),0))</f>
        <v/>
      </c>
      <c r="X531" s="27">
        <f>IF($A531="","",ROUND(N($G531)+$I531+$L531+$N531-$P531-$R531-$T531-$V531,3))</f>
        <v/>
      </c>
      <c r="Y531" s="26">
        <f>IF($A531="","",ROUND(N($H531)+$J531+$M531+$O531-$Q531-$S531-$U531-$W531,0))</f>
        <v/>
      </c>
      <c r="Z531" s="24">
        <f>IF($A531="","",IF(COUNTIFS(入库单!$G$4:$G$2503,$A531,入库单!$Y$4:$Y$2503,"待补价")+COUNTIFS(入库单!$G$4:$G$2503,$A531,入库单!$Y$4:$Y$2503,"暂估")&gt;0,"不可信","可信"))</f>
        <v/>
      </c>
      <c r="AA531" s="24">
        <f>IF($A531="","",IF($X531&lt;-0.001,"※账面负库存，查一下是不是漏记入库",IF(AND(ROUND($X531,3)=0,ABS($Y531)&gt;1),"※数量已经是 0，金额还挂着 "&amp;TEXT($Y531,"#,##0")&amp;" 先令",IF(AND($X531&gt;0,$Y531&lt;=0,$K531=0),"※有数量没金额（这个物料一直没填过进价）",IF($Z531="不可信","△成本含待补价/暂估，毛利仅供参考","")))))</f>
        <v/>
      </c>
    </row>
    <row r="532">
      <c r="A532" s="24">
        <f>IF(物料档案!$A531="","",物料档案!$A531)</f>
        <v/>
      </c>
      <c r="B532" s="24">
        <f>IF($A532="","",IFERROR(VLOOKUP($A532,物料档案!$A$4:$P$1203,3,0),""))</f>
        <v/>
      </c>
      <c r="C532" s="24">
        <f>IF($A532="","",IFERROR(VLOOKUP($A532,物料档案!$A$4:$P$1203,4,0),""))</f>
        <v/>
      </c>
      <c r="D532" s="24">
        <f>IF($A532="","",IFERROR(VLOOKUP($A532,物料档案!$A$4:$P$1203,5,0),""))</f>
        <v/>
      </c>
      <c r="E532" s="24">
        <f>IF($A532="","",IFERROR(VLOOKUP($A532,物料档案!$A$4:$P$1203,2,0),""))</f>
        <v/>
      </c>
      <c r="F532" s="24">
        <f>IF($A532="","",IFERROR(VLOOKUP($A532,物料档案!$A$4:$P$1203,6,0),""))</f>
        <v/>
      </c>
      <c r="G532" s="23" t="n"/>
      <c r="H532" s="32" t="n"/>
      <c r="I532" s="27">
        <f>IF($A532="","",SUMIFS(入库单!$K$4:$K$2503,入库单!$G$4:$G$2503,$A532,入库单!$X$4:$X$2503,"采购入库",入库单!$Z$4:$Z$2503,"正常",入库单!$C$4:$C$2503,"&gt;="&amp;账期起,入库单!$C$4:$C$2503,"&lt;="&amp;账期止))</f>
        <v/>
      </c>
      <c r="J532" s="26">
        <f>IF($A532="","",SUMIFS(入库单!$V$4:$V$2503,入库单!$G$4:$G$2503,$A532,入库单!$X$4:$X$2503,"采购入库",入库单!$Z$4:$Z$2503,"正常",入库单!$C$4:$C$2503,"&gt;="&amp;账期起,入库单!$C$4:$C$2503,"&lt;="&amp;账期止))</f>
        <v/>
      </c>
      <c r="K532" s="26">
        <f>IF($A532="","",IFERROR(ROUND((N($H532)+N($J532))/(N($G532)+N($I532)),2),0))</f>
        <v/>
      </c>
      <c r="L532" s="27">
        <f>IF($A532="","",SUMIFS(入库单!$K$4:$K$2503,入库单!$G$4:$G$2503,$A532,入库单!$X$4:$X$2503,"盘盈",入库单!$Z$4:$Z$2503,"正常",入库单!$C$4:$C$2503,"&gt;="&amp;账期起,入库单!$C$4:$C$2503,"&lt;="&amp;账期止))</f>
        <v/>
      </c>
      <c r="M532" s="26">
        <f>IF($A532="","",ROUND($L532*$K532,0))</f>
        <v/>
      </c>
      <c r="N532" s="27">
        <f>IF($A532="","",SUMIFS(入库单!$K$4:$K$2503,入库单!$G$4:$G$2503,$A532,入库单!$X$4:$X$2503,"矿区退库",入库单!$Z$4:$Z$2503,"正常",入库单!$C$4:$C$2503,"&gt;="&amp;账期起,入库单!$C$4:$C$2503,"&lt;="&amp;账期止))</f>
        <v/>
      </c>
      <c r="O532" s="26">
        <f>IF($A532="","",ROUND($N532*$K532,0))</f>
        <v/>
      </c>
      <c r="P532" s="27">
        <f>IF($A532="","",SUMIFS(出库单!$J$4:$J$4003,出库单!$D$4:$D$4003,$A532,出库单!$K$4:$K$4003,"自用消耗",出库单!$U$4:$U$4003,"正常",出库单!$C$4:$C$4003,"&gt;="&amp;账期起,出库单!$C$4:$C$4003,"&lt;="&amp;账期止))</f>
        <v/>
      </c>
      <c r="Q532" s="26">
        <f>IF($A532="","",ROUND(SUMIFS(出库单!$S$4:$S$4003,出库单!$D$4:$D$4003,$A532,出库单!$K$4:$K$4003,"自用消耗",出库单!$U$4:$U$4003,"正常",出库单!$C$4:$C$4003,"&gt;="&amp;账期起,出库单!$C$4:$C$4003,"&lt;="&amp;账期止),0))</f>
        <v/>
      </c>
      <c r="R532" s="27">
        <f>IF($A532="","",SUMIFS(出库单!$J$4:$J$4003,出库单!$D$4:$D$4003,$A532,出库单!$K$4:$K$4003,"对外销售",出库单!$U$4:$U$4003,"正常",出库单!$C$4:$C$4003,"&gt;="&amp;账期起,出库单!$C$4:$C$4003,"&lt;="&amp;账期止))</f>
        <v/>
      </c>
      <c r="S532" s="26">
        <f>IF($A532="","",ROUND(SUMIFS(出库单!$S$4:$S$4003,出库单!$D$4:$D$4003,$A532,出库单!$K$4:$K$4003,"对外销售",出库单!$U$4:$U$4003,"正常",出库单!$C$4:$C$4003,"&gt;="&amp;账期起,出库单!$C$4:$C$4003,"&lt;="&amp;账期止),0))</f>
        <v/>
      </c>
      <c r="T532" s="27">
        <f>IF($A532="","",SUMIFS(出库单!$J$4:$J$4003,出库单!$D$4:$D$4003,$A532,出库单!$K$4:$K$4003,"盘亏",出库单!$U$4:$U$4003,"正常",出库单!$C$4:$C$4003,"&gt;="&amp;账期起,出库单!$C$4:$C$4003,"&lt;="&amp;账期止))</f>
        <v/>
      </c>
      <c r="U532" s="26">
        <f>IF($A532="","",ROUND(SUMIFS(出库单!$S$4:$S$4003,出库单!$D$4:$D$4003,$A532,出库单!$K$4:$K$4003,"盘亏",出库单!$U$4:$U$4003,"正常",出库单!$C$4:$C$4003,"&gt;="&amp;账期起,出库单!$C$4:$C$4003,"&lt;="&amp;账期止),0))</f>
        <v/>
      </c>
      <c r="V532" s="27">
        <f>IF($A532="","",SUMIFS(出库单!$J$4:$J$4003,出库单!$D$4:$D$4003,$A532,出库单!$K$4:$K$4003,"退货给供应商",出库单!$U$4:$U$4003,"正常",出库单!$C$4:$C$4003,"&gt;="&amp;账期起,出库单!$C$4:$C$4003,"&lt;="&amp;账期止))</f>
        <v/>
      </c>
      <c r="W532" s="26">
        <f>IF($A532="","",ROUND(SUMIFS(出库单!$S$4:$S$4003,出库单!$D$4:$D$4003,$A532,出库单!$K$4:$K$4003,"退货给供应商",出库单!$U$4:$U$4003,"正常",出库单!$C$4:$C$4003,"&gt;="&amp;账期起,出库单!$C$4:$C$4003,"&lt;="&amp;账期止),0))</f>
        <v/>
      </c>
      <c r="X532" s="27">
        <f>IF($A532="","",ROUND(N($G532)+$I532+$L532+$N532-$P532-$R532-$T532-$V532,3))</f>
        <v/>
      </c>
      <c r="Y532" s="26">
        <f>IF($A532="","",ROUND(N($H532)+$J532+$M532+$O532-$Q532-$S532-$U532-$W532,0))</f>
        <v/>
      </c>
      <c r="Z532" s="24">
        <f>IF($A532="","",IF(COUNTIFS(入库单!$G$4:$G$2503,$A532,入库单!$Y$4:$Y$2503,"待补价")+COUNTIFS(入库单!$G$4:$G$2503,$A532,入库单!$Y$4:$Y$2503,"暂估")&gt;0,"不可信","可信"))</f>
        <v/>
      </c>
      <c r="AA532" s="24">
        <f>IF($A532="","",IF($X532&lt;-0.001,"※账面负库存，查一下是不是漏记入库",IF(AND(ROUND($X532,3)=0,ABS($Y532)&gt;1),"※数量已经是 0，金额还挂着 "&amp;TEXT($Y532,"#,##0")&amp;" 先令",IF(AND($X532&gt;0,$Y532&lt;=0,$K532=0),"※有数量没金额（这个物料一直没填过进价）",IF($Z532="不可信","△成本含待补价/暂估，毛利仅供参考","")))))</f>
        <v/>
      </c>
    </row>
    <row r="533">
      <c r="A533" s="24">
        <f>IF(物料档案!$A532="","",物料档案!$A532)</f>
        <v/>
      </c>
      <c r="B533" s="24">
        <f>IF($A533="","",IFERROR(VLOOKUP($A533,物料档案!$A$4:$P$1203,3,0),""))</f>
        <v/>
      </c>
      <c r="C533" s="24">
        <f>IF($A533="","",IFERROR(VLOOKUP($A533,物料档案!$A$4:$P$1203,4,0),""))</f>
        <v/>
      </c>
      <c r="D533" s="24">
        <f>IF($A533="","",IFERROR(VLOOKUP($A533,物料档案!$A$4:$P$1203,5,0),""))</f>
        <v/>
      </c>
      <c r="E533" s="24">
        <f>IF($A533="","",IFERROR(VLOOKUP($A533,物料档案!$A$4:$P$1203,2,0),""))</f>
        <v/>
      </c>
      <c r="F533" s="24">
        <f>IF($A533="","",IFERROR(VLOOKUP($A533,物料档案!$A$4:$P$1203,6,0),""))</f>
        <v/>
      </c>
      <c r="G533" s="23" t="n"/>
      <c r="H533" s="32" t="n"/>
      <c r="I533" s="27">
        <f>IF($A533="","",SUMIFS(入库单!$K$4:$K$2503,入库单!$G$4:$G$2503,$A533,入库单!$X$4:$X$2503,"采购入库",入库单!$Z$4:$Z$2503,"正常",入库单!$C$4:$C$2503,"&gt;="&amp;账期起,入库单!$C$4:$C$2503,"&lt;="&amp;账期止))</f>
        <v/>
      </c>
      <c r="J533" s="26">
        <f>IF($A533="","",SUMIFS(入库单!$V$4:$V$2503,入库单!$G$4:$G$2503,$A533,入库单!$X$4:$X$2503,"采购入库",入库单!$Z$4:$Z$2503,"正常",入库单!$C$4:$C$2503,"&gt;="&amp;账期起,入库单!$C$4:$C$2503,"&lt;="&amp;账期止))</f>
        <v/>
      </c>
      <c r="K533" s="26">
        <f>IF($A533="","",IFERROR(ROUND((N($H533)+N($J533))/(N($G533)+N($I533)),2),0))</f>
        <v/>
      </c>
      <c r="L533" s="27">
        <f>IF($A533="","",SUMIFS(入库单!$K$4:$K$2503,入库单!$G$4:$G$2503,$A533,入库单!$X$4:$X$2503,"盘盈",入库单!$Z$4:$Z$2503,"正常",入库单!$C$4:$C$2503,"&gt;="&amp;账期起,入库单!$C$4:$C$2503,"&lt;="&amp;账期止))</f>
        <v/>
      </c>
      <c r="M533" s="26">
        <f>IF($A533="","",ROUND($L533*$K533,0))</f>
        <v/>
      </c>
      <c r="N533" s="27">
        <f>IF($A533="","",SUMIFS(入库单!$K$4:$K$2503,入库单!$G$4:$G$2503,$A533,入库单!$X$4:$X$2503,"矿区退库",入库单!$Z$4:$Z$2503,"正常",入库单!$C$4:$C$2503,"&gt;="&amp;账期起,入库单!$C$4:$C$2503,"&lt;="&amp;账期止))</f>
        <v/>
      </c>
      <c r="O533" s="26">
        <f>IF($A533="","",ROUND($N533*$K533,0))</f>
        <v/>
      </c>
      <c r="P533" s="27">
        <f>IF($A533="","",SUMIFS(出库单!$J$4:$J$4003,出库单!$D$4:$D$4003,$A533,出库单!$K$4:$K$4003,"自用消耗",出库单!$U$4:$U$4003,"正常",出库单!$C$4:$C$4003,"&gt;="&amp;账期起,出库单!$C$4:$C$4003,"&lt;="&amp;账期止))</f>
        <v/>
      </c>
      <c r="Q533" s="26">
        <f>IF($A533="","",ROUND(SUMIFS(出库单!$S$4:$S$4003,出库单!$D$4:$D$4003,$A533,出库单!$K$4:$K$4003,"自用消耗",出库单!$U$4:$U$4003,"正常",出库单!$C$4:$C$4003,"&gt;="&amp;账期起,出库单!$C$4:$C$4003,"&lt;="&amp;账期止),0))</f>
        <v/>
      </c>
      <c r="R533" s="27">
        <f>IF($A533="","",SUMIFS(出库单!$J$4:$J$4003,出库单!$D$4:$D$4003,$A533,出库单!$K$4:$K$4003,"对外销售",出库单!$U$4:$U$4003,"正常",出库单!$C$4:$C$4003,"&gt;="&amp;账期起,出库单!$C$4:$C$4003,"&lt;="&amp;账期止))</f>
        <v/>
      </c>
      <c r="S533" s="26">
        <f>IF($A533="","",ROUND(SUMIFS(出库单!$S$4:$S$4003,出库单!$D$4:$D$4003,$A533,出库单!$K$4:$K$4003,"对外销售",出库单!$U$4:$U$4003,"正常",出库单!$C$4:$C$4003,"&gt;="&amp;账期起,出库单!$C$4:$C$4003,"&lt;="&amp;账期止),0))</f>
        <v/>
      </c>
      <c r="T533" s="27">
        <f>IF($A533="","",SUMIFS(出库单!$J$4:$J$4003,出库单!$D$4:$D$4003,$A533,出库单!$K$4:$K$4003,"盘亏",出库单!$U$4:$U$4003,"正常",出库单!$C$4:$C$4003,"&gt;="&amp;账期起,出库单!$C$4:$C$4003,"&lt;="&amp;账期止))</f>
        <v/>
      </c>
      <c r="U533" s="26">
        <f>IF($A533="","",ROUND(SUMIFS(出库单!$S$4:$S$4003,出库单!$D$4:$D$4003,$A533,出库单!$K$4:$K$4003,"盘亏",出库单!$U$4:$U$4003,"正常",出库单!$C$4:$C$4003,"&gt;="&amp;账期起,出库单!$C$4:$C$4003,"&lt;="&amp;账期止),0))</f>
        <v/>
      </c>
      <c r="V533" s="27">
        <f>IF($A533="","",SUMIFS(出库单!$J$4:$J$4003,出库单!$D$4:$D$4003,$A533,出库单!$K$4:$K$4003,"退货给供应商",出库单!$U$4:$U$4003,"正常",出库单!$C$4:$C$4003,"&gt;="&amp;账期起,出库单!$C$4:$C$4003,"&lt;="&amp;账期止))</f>
        <v/>
      </c>
      <c r="W533" s="26">
        <f>IF($A533="","",ROUND(SUMIFS(出库单!$S$4:$S$4003,出库单!$D$4:$D$4003,$A533,出库单!$K$4:$K$4003,"退货给供应商",出库单!$U$4:$U$4003,"正常",出库单!$C$4:$C$4003,"&gt;="&amp;账期起,出库单!$C$4:$C$4003,"&lt;="&amp;账期止),0))</f>
        <v/>
      </c>
      <c r="X533" s="27">
        <f>IF($A533="","",ROUND(N($G533)+$I533+$L533+$N533-$P533-$R533-$T533-$V533,3))</f>
        <v/>
      </c>
      <c r="Y533" s="26">
        <f>IF($A533="","",ROUND(N($H533)+$J533+$M533+$O533-$Q533-$S533-$U533-$W533,0))</f>
        <v/>
      </c>
      <c r="Z533" s="24">
        <f>IF($A533="","",IF(COUNTIFS(入库单!$G$4:$G$2503,$A533,入库单!$Y$4:$Y$2503,"待补价")+COUNTIFS(入库单!$G$4:$G$2503,$A533,入库单!$Y$4:$Y$2503,"暂估")&gt;0,"不可信","可信"))</f>
        <v/>
      </c>
      <c r="AA533" s="24">
        <f>IF($A533="","",IF($X533&lt;-0.001,"※账面负库存，查一下是不是漏记入库",IF(AND(ROUND($X533,3)=0,ABS($Y533)&gt;1),"※数量已经是 0，金额还挂着 "&amp;TEXT($Y533,"#,##0")&amp;" 先令",IF(AND($X533&gt;0,$Y533&lt;=0,$K533=0),"※有数量没金额（这个物料一直没填过进价）",IF($Z533="不可信","△成本含待补价/暂估，毛利仅供参考","")))))</f>
        <v/>
      </c>
    </row>
    <row r="534">
      <c r="A534" s="24">
        <f>IF(物料档案!$A533="","",物料档案!$A533)</f>
        <v/>
      </c>
      <c r="B534" s="24">
        <f>IF($A534="","",IFERROR(VLOOKUP($A534,物料档案!$A$4:$P$1203,3,0),""))</f>
        <v/>
      </c>
      <c r="C534" s="24">
        <f>IF($A534="","",IFERROR(VLOOKUP($A534,物料档案!$A$4:$P$1203,4,0),""))</f>
        <v/>
      </c>
      <c r="D534" s="24">
        <f>IF($A534="","",IFERROR(VLOOKUP($A534,物料档案!$A$4:$P$1203,5,0),""))</f>
        <v/>
      </c>
      <c r="E534" s="24">
        <f>IF($A534="","",IFERROR(VLOOKUP($A534,物料档案!$A$4:$P$1203,2,0),""))</f>
        <v/>
      </c>
      <c r="F534" s="24">
        <f>IF($A534="","",IFERROR(VLOOKUP($A534,物料档案!$A$4:$P$1203,6,0),""))</f>
        <v/>
      </c>
      <c r="G534" s="23" t="n"/>
      <c r="H534" s="32" t="n"/>
      <c r="I534" s="27">
        <f>IF($A534="","",SUMIFS(入库单!$K$4:$K$2503,入库单!$G$4:$G$2503,$A534,入库单!$X$4:$X$2503,"采购入库",入库单!$Z$4:$Z$2503,"正常",入库单!$C$4:$C$2503,"&gt;="&amp;账期起,入库单!$C$4:$C$2503,"&lt;="&amp;账期止))</f>
        <v/>
      </c>
      <c r="J534" s="26">
        <f>IF($A534="","",SUMIFS(入库单!$V$4:$V$2503,入库单!$G$4:$G$2503,$A534,入库单!$X$4:$X$2503,"采购入库",入库单!$Z$4:$Z$2503,"正常",入库单!$C$4:$C$2503,"&gt;="&amp;账期起,入库单!$C$4:$C$2503,"&lt;="&amp;账期止))</f>
        <v/>
      </c>
      <c r="K534" s="26">
        <f>IF($A534="","",IFERROR(ROUND((N($H534)+N($J534))/(N($G534)+N($I534)),2),0))</f>
        <v/>
      </c>
      <c r="L534" s="27">
        <f>IF($A534="","",SUMIFS(入库单!$K$4:$K$2503,入库单!$G$4:$G$2503,$A534,入库单!$X$4:$X$2503,"盘盈",入库单!$Z$4:$Z$2503,"正常",入库单!$C$4:$C$2503,"&gt;="&amp;账期起,入库单!$C$4:$C$2503,"&lt;="&amp;账期止))</f>
        <v/>
      </c>
      <c r="M534" s="26">
        <f>IF($A534="","",ROUND($L534*$K534,0))</f>
        <v/>
      </c>
      <c r="N534" s="27">
        <f>IF($A534="","",SUMIFS(入库单!$K$4:$K$2503,入库单!$G$4:$G$2503,$A534,入库单!$X$4:$X$2503,"矿区退库",入库单!$Z$4:$Z$2503,"正常",入库单!$C$4:$C$2503,"&gt;="&amp;账期起,入库单!$C$4:$C$2503,"&lt;="&amp;账期止))</f>
        <v/>
      </c>
      <c r="O534" s="26">
        <f>IF($A534="","",ROUND($N534*$K534,0))</f>
        <v/>
      </c>
      <c r="P534" s="27">
        <f>IF($A534="","",SUMIFS(出库单!$J$4:$J$4003,出库单!$D$4:$D$4003,$A534,出库单!$K$4:$K$4003,"自用消耗",出库单!$U$4:$U$4003,"正常",出库单!$C$4:$C$4003,"&gt;="&amp;账期起,出库单!$C$4:$C$4003,"&lt;="&amp;账期止))</f>
        <v/>
      </c>
      <c r="Q534" s="26">
        <f>IF($A534="","",ROUND(SUMIFS(出库单!$S$4:$S$4003,出库单!$D$4:$D$4003,$A534,出库单!$K$4:$K$4003,"自用消耗",出库单!$U$4:$U$4003,"正常",出库单!$C$4:$C$4003,"&gt;="&amp;账期起,出库单!$C$4:$C$4003,"&lt;="&amp;账期止),0))</f>
        <v/>
      </c>
      <c r="R534" s="27">
        <f>IF($A534="","",SUMIFS(出库单!$J$4:$J$4003,出库单!$D$4:$D$4003,$A534,出库单!$K$4:$K$4003,"对外销售",出库单!$U$4:$U$4003,"正常",出库单!$C$4:$C$4003,"&gt;="&amp;账期起,出库单!$C$4:$C$4003,"&lt;="&amp;账期止))</f>
        <v/>
      </c>
      <c r="S534" s="26">
        <f>IF($A534="","",ROUND(SUMIFS(出库单!$S$4:$S$4003,出库单!$D$4:$D$4003,$A534,出库单!$K$4:$K$4003,"对外销售",出库单!$U$4:$U$4003,"正常",出库单!$C$4:$C$4003,"&gt;="&amp;账期起,出库单!$C$4:$C$4003,"&lt;="&amp;账期止),0))</f>
        <v/>
      </c>
      <c r="T534" s="27">
        <f>IF($A534="","",SUMIFS(出库单!$J$4:$J$4003,出库单!$D$4:$D$4003,$A534,出库单!$K$4:$K$4003,"盘亏",出库单!$U$4:$U$4003,"正常",出库单!$C$4:$C$4003,"&gt;="&amp;账期起,出库单!$C$4:$C$4003,"&lt;="&amp;账期止))</f>
        <v/>
      </c>
      <c r="U534" s="26">
        <f>IF($A534="","",ROUND(SUMIFS(出库单!$S$4:$S$4003,出库单!$D$4:$D$4003,$A534,出库单!$K$4:$K$4003,"盘亏",出库单!$U$4:$U$4003,"正常",出库单!$C$4:$C$4003,"&gt;="&amp;账期起,出库单!$C$4:$C$4003,"&lt;="&amp;账期止),0))</f>
        <v/>
      </c>
      <c r="V534" s="27">
        <f>IF($A534="","",SUMIFS(出库单!$J$4:$J$4003,出库单!$D$4:$D$4003,$A534,出库单!$K$4:$K$4003,"退货给供应商",出库单!$U$4:$U$4003,"正常",出库单!$C$4:$C$4003,"&gt;="&amp;账期起,出库单!$C$4:$C$4003,"&lt;="&amp;账期止))</f>
        <v/>
      </c>
      <c r="W534" s="26">
        <f>IF($A534="","",ROUND(SUMIFS(出库单!$S$4:$S$4003,出库单!$D$4:$D$4003,$A534,出库单!$K$4:$K$4003,"退货给供应商",出库单!$U$4:$U$4003,"正常",出库单!$C$4:$C$4003,"&gt;="&amp;账期起,出库单!$C$4:$C$4003,"&lt;="&amp;账期止),0))</f>
        <v/>
      </c>
      <c r="X534" s="27">
        <f>IF($A534="","",ROUND(N($G534)+$I534+$L534+$N534-$P534-$R534-$T534-$V534,3))</f>
        <v/>
      </c>
      <c r="Y534" s="26">
        <f>IF($A534="","",ROUND(N($H534)+$J534+$M534+$O534-$Q534-$S534-$U534-$W534,0))</f>
        <v/>
      </c>
      <c r="Z534" s="24">
        <f>IF($A534="","",IF(COUNTIFS(入库单!$G$4:$G$2503,$A534,入库单!$Y$4:$Y$2503,"待补价")+COUNTIFS(入库单!$G$4:$G$2503,$A534,入库单!$Y$4:$Y$2503,"暂估")&gt;0,"不可信","可信"))</f>
        <v/>
      </c>
      <c r="AA534" s="24">
        <f>IF($A534="","",IF($X534&lt;-0.001,"※账面负库存，查一下是不是漏记入库",IF(AND(ROUND($X534,3)=0,ABS($Y534)&gt;1),"※数量已经是 0，金额还挂着 "&amp;TEXT($Y534,"#,##0")&amp;" 先令",IF(AND($X534&gt;0,$Y534&lt;=0,$K534=0),"※有数量没金额（这个物料一直没填过进价）",IF($Z534="不可信","△成本含待补价/暂估，毛利仅供参考","")))))</f>
        <v/>
      </c>
    </row>
    <row r="535">
      <c r="A535" s="24">
        <f>IF(物料档案!$A534="","",物料档案!$A534)</f>
        <v/>
      </c>
      <c r="B535" s="24">
        <f>IF($A535="","",IFERROR(VLOOKUP($A535,物料档案!$A$4:$P$1203,3,0),""))</f>
        <v/>
      </c>
      <c r="C535" s="24">
        <f>IF($A535="","",IFERROR(VLOOKUP($A535,物料档案!$A$4:$P$1203,4,0),""))</f>
        <v/>
      </c>
      <c r="D535" s="24">
        <f>IF($A535="","",IFERROR(VLOOKUP($A535,物料档案!$A$4:$P$1203,5,0),""))</f>
        <v/>
      </c>
      <c r="E535" s="24">
        <f>IF($A535="","",IFERROR(VLOOKUP($A535,物料档案!$A$4:$P$1203,2,0),""))</f>
        <v/>
      </c>
      <c r="F535" s="24">
        <f>IF($A535="","",IFERROR(VLOOKUP($A535,物料档案!$A$4:$P$1203,6,0),""))</f>
        <v/>
      </c>
      <c r="G535" s="23" t="n"/>
      <c r="H535" s="32" t="n"/>
      <c r="I535" s="27">
        <f>IF($A535="","",SUMIFS(入库单!$K$4:$K$2503,入库单!$G$4:$G$2503,$A535,入库单!$X$4:$X$2503,"采购入库",入库单!$Z$4:$Z$2503,"正常",入库单!$C$4:$C$2503,"&gt;="&amp;账期起,入库单!$C$4:$C$2503,"&lt;="&amp;账期止))</f>
        <v/>
      </c>
      <c r="J535" s="26">
        <f>IF($A535="","",SUMIFS(入库单!$V$4:$V$2503,入库单!$G$4:$G$2503,$A535,入库单!$X$4:$X$2503,"采购入库",入库单!$Z$4:$Z$2503,"正常",入库单!$C$4:$C$2503,"&gt;="&amp;账期起,入库单!$C$4:$C$2503,"&lt;="&amp;账期止))</f>
        <v/>
      </c>
      <c r="K535" s="26">
        <f>IF($A535="","",IFERROR(ROUND((N($H535)+N($J535))/(N($G535)+N($I535)),2),0))</f>
        <v/>
      </c>
      <c r="L535" s="27">
        <f>IF($A535="","",SUMIFS(入库单!$K$4:$K$2503,入库单!$G$4:$G$2503,$A535,入库单!$X$4:$X$2503,"盘盈",入库单!$Z$4:$Z$2503,"正常",入库单!$C$4:$C$2503,"&gt;="&amp;账期起,入库单!$C$4:$C$2503,"&lt;="&amp;账期止))</f>
        <v/>
      </c>
      <c r="M535" s="26">
        <f>IF($A535="","",ROUND($L535*$K535,0))</f>
        <v/>
      </c>
      <c r="N535" s="27">
        <f>IF($A535="","",SUMIFS(入库单!$K$4:$K$2503,入库单!$G$4:$G$2503,$A535,入库单!$X$4:$X$2503,"矿区退库",入库单!$Z$4:$Z$2503,"正常",入库单!$C$4:$C$2503,"&gt;="&amp;账期起,入库单!$C$4:$C$2503,"&lt;="&amp;账期止))</f>
        <v/>
      </c>
      <c r="O535" s="26">
        <f>IF($A535="","",ROUND($N535*$K535,0))</f>
        <v/>
      </c>
      <c r="P535" s="27">
        <f>IF($A535="","",SUMIFS(出库单!$J$4:$J$4003,出库单!$D$4:$D$4003,$A535,出库单!$K$4:$K$4003,"自用消耗",出库单!$U$4:$U$4003,"正常",出库单!$C$4:$C$4003,"&gt;="&amp;账期起,出库单!$C$4:$C$4003,"&lt;="&amp;账期止))</f>
        <v/>
      </c>
      <c r="Q535" s="26">
        <f>IF($A535="","",ROUND(SUMIFS(出库单!$S$4:$S$4003,出库单!$D$4:$D$4003,$A535,出库单!$K$4:$K$4003,"自用消耗",出库单!$U$4:$U$4003,"正常",出库单!$C$4:$C$4003,"&gt;="&amp;账期起,出库单!$C$4:$C$4003,"&lt;="&amp;账期止),0))</f>
        <v/>
      </c>
      <c r="R535" s="27">
        <f>IF($A535="","",SUMIFS(出库单!$J$4:$J$4003,出库单!$D$4:$D$4003,$A535,出库单!$K$4:$K$4003,"对外销售",出库单!$U$4:$U$4003,"正常",出库单!$C$4:$C$4003,"&gt;="&amp;账期起,出库单!$C$4:$C$4003,"&lt;="&amp;账期止))</f>
        <v/>
      </c>
      <c r="S535" s="26">
        <f>IF($A535="","",ROUND(SUMIFS(出库单!$S$4:$S$4003,出库单!$D$4:$D$4003,$A535,出库单!$K$4:$K$4003,"对外销售",出库单!$U$4:$U$4003,"正常",出库单!$C$4:$C$4003,"&gt;="&amp;账期起,出库单!$C$4:$C$4003,"&lt;="&amp;账期止),0))</f>
        <v/>
      </c>
      <c r="T535" s="27">
        <f>IF($A535="","",SUMIFS(出库单!$J$4:$J$4003,出库单!$D$4:$D$4003,$A535,出库单!$K$4:$K$4003,"盘亏",出库单!$U$4:$U$4003,"正常",出库单!$C$4:$C$4003,"&gt;="&amp;账期起,出库单!$C$4:$C$4003,"&lt;="&amp;账期止))</f>
        <v/>
      </c>
      <c r="U535" s="26">
        <f>IF($A535="","",ROUND(SUMIFS(出库单!$S$4:$S$4003,出库单!$D$4:$D$4003,$A535,出库单!$K$4:$K$4003,"盘亏",出库单!$U$4:$U$4003,"正常",出库单!$C$4:$C$4003,"&gt;="&amp;账期起,出库单!$C$4:$C$4003,"&lt;="&amp;账期止),0))</f>
        <v/>
      </c>
      <c r="V535" s="27">
        <f>IF($A535="","",SUMIFS(出库单!$J$4:$J$4003,出库单!$D$4:$D$4003,$A535,出库单!$K$4:$K$4003,"退货给供应商",出库单!$U$4:$U$4003,"正常",出库单!$C$4:$C$4003,"&gt;="&amp;账期起,出库单!$C$4:$C$4003,"&lt;="&amp;账期止))</f>
        <v/>
      </c>
      <c r="W535" s="26">
        <f>IF($A535="","",ROUND(SUMIFS(出库单!$S$4:$S$4003,出库单!$D$4:$D$4003,$A535,出库单!$K$4:$K$4003,"退货给供应商",出库单!$U$4:$U$4003,"正常",出库单!$C$4:$C$4003,"&gt;="&amp;账期起,出库单!$C$4:$C$4003,"&lt;="&amp;账期止),0))</f>
        <v/>
      </c>
      <c r="X535" s="27">
        <f>IF($A535="","",ROUND(N($G535)+$I535+$L535+$N535-$P535-$R535-$T535-$V535,3))</f>
        <v/>
      </c>
      <c r="Y535" s="26">
        <f>IF($A535="","",ROUND(N($H535)+$J535+$M535+$O535-$Q535-$S535-$U535-$W535,0))</f>
        <v/>
      </c>
      <c r="Z535" s="24">
        <f>IF($A535="","",IF(COUNTIFS(入库单!$G$4:$G$2503,$A535,入库单!$Y$4:$Y$2503,"待补价")+COUNTIFS(入库单!$G$4:$G$2503,$A535,入库单!$Y$4:$Y$2503,"暂估")&gt;0,"不可信","可信"))</f>
        <v/>
      </c>
      <c r="AA535" s="24">
        <f>IF($A535="","",IF($X535&lt;-0.001,"※账面负库存，查一下是不是漏记入库",IF(AND(ROUND($X535,3)=0,ABS($Y535)&gt;1),"※数量已经是 0，金额还挂着 "&amp;TEXT($Y535,"#,##0")&amp;" 先令",IF(AND($X535&gt;0,$Y535&lt;=0,$K535=0),"※有数量没金额（这个物料一直没填过进价）",IF($Z535="不可信","△成本含待补价/暂估，毛利仅供参考","")))))</f>
        <v/>
      </c>
    </row>
    <row r="536">
      <c r="A536" s="24">
        <f>IF(物料档案!$A535="","",物料档案!$A535)</f>
        <v/>
      </c>
      <c r="B536" s="24">
        <f>IF($A536="","",IFERROR(VLOOKUP($A536,物料档案!$A$4:$P$1203,3,0),""))</f>
        <v/>
      </c>
      <c r="C536" s="24">
        <f>IF($A536="","",IFERROR(VLOOKUP($A536,物料档案!$A$4:$P$1203,4,0),""))</f>
        <v/>
      </c>
      <c r="D536" s="24">
        <f>IF($A536="","",IFERROR(VLOOKUP($A536,物料档案!$A$4:$P$1203,5,0),""))</f>
        <v/>
      </c>
      <c r="E536" s="24">
        <f>IF($A536="","",IFERROR(VLOOKUP($A536,物料档案!$A$4:$P$1203,2,0),""))</f>
        <v/>
      </c>
      <c r="F536" s="24">
        <f>IF($A536="","",IFERROR(VLOOKUP($A536,物料档案!$A$4:$P$1203,6,0),""))</f>
        <v/>
      </c>
      <c r="G536" s="23" t="n"/>
      <c r="H536" s="32" t="n"/>
      <c r="I536" s="27">
        <f>IF($A536="","",SUMIFS(入库单!$K$4:$K$2503,入库单!$G$4:$G$2503,$A536,入库单!$X$4:$X$2503,"采购入库",入库单!$Z$4:$Z$2503,"正常",入库单!$C$4:$C$2503,"&gt;="&amp;账期起,入库单!$C$4:$C$2503,"&lt;="&amp;账期止))</f>
        <v/>
      </c>
      <c r="J536" s="26">
        <f>IF($A536="","",SUMIFS(入库单!$V$4:$V$2503,入库单!$G$4:$G$2503,$A536,入库单!$X$4:$X$2503,"采购入库",入库单!$Z$4:$Z$2503,"正常",入库单!$C$4:$C$2503,"&gt;="&amp;账期起,入库单!$C$4:$C$2503,"&lt;="&amp;账期止))</f>
        <v/>
      </c>
      <c r="K536" s="26">
        <f>IF($A536="","",IFERROR(ROUND((N($H536)+N($J536))/(N($G536)+N($I536)),2),0))</f>
        <v/>
      </c>
      <c r="L536" s="27">
        <f>IF($A536="","",SUMIFS(入库单!$K$4:$K$2503,入库单!$G$4:$G$2503,$A536,入库单!$X$4:$X$2503,"盘盈",入库单!$Z$4:$Z$2503,"正常",入库单!$C$4:$C$2503,"&gt;="&amp;账期起,入库单!$C$4:$C$2503,"&lt;="&amp;账期止))</f>
        <v/>
      </c>
      <c r="M536" s="26">
        <f>IF($A536="","",ROUND($L536*$K536,0))</f>
        <v/>
      </c>
      <c r="N536" s="27">
        <f>IF($A536="","",SUMIFS(入库单!$K$4:$K$2503,入库单!$G$4:$G$2503,$A536,入库单!$X$4:$X$2503,"矿区退库",入库单!$Z$4:$Z$2503,"正常",入库单!$C$4:$C$2503,"&gt;="&amp;账期起,入库单!$C$4:$C$2503,"&lt;="&amp;账期止))</f>
        <v/>
      </c>
      <c r="O536" s="26">
        <f>IF($A536="","",ROUND($N536*$K536,0))</f>
        <v/>
      </c>
      <c r="P536" s="27">
        <f>IF($A536="","",SUMIFS(出库单!$J$4:$J$4003,出库单!$D$4:$D$4003,$A536,出库单!$K$4:$K$4003,"自用消耗",出库单!$U$4:$U$4003,"正常",出库单!$C$4:$C$4003,"&gt;="&amp;账期起,出库单!$C$4:$C$4003,"&lt;="&amp;账期止))</f>
        <v/>
      </c>
      <c r="Q536" s="26">
        <f>IF($A536="","",ROUND(SUMIFS(出库单!$S$4:$S$4003,出库单!$D$4:$D$4003,$A536,出库单!$K$4:$K$4003,"自用消耗",出库单!$U$4:$U$4003,"正常",出库单!$C$4:$C$4003,"&gt;="&amp;账期起,出库单!$C$4:$C$4003,"&lt;="&amp;账期止),0))</f>
        <v/>
      </c>
      <c r="R536" s="27">
        <f>IF($A536="","",SUMIFS(出库单!$J$4:$J$4003,出库单!$D$4:$D$4003,$A536,出库单!$K$4:$K$4003,"对外销售",出库单!$U$4:$U$4003,"正常",出库单!$C$4:$C$4003,"&gt;="&amp;账期起,出库单!$C$4:$C$4003,"&lt;="&amp;账期止))</f>
        <v/>
      </c>
      <c r="S536" s="26">
        <f>IF($A536="","",ROUND(SUMIFS(出库单!$S$4:$S$4003,出库单!$D$4:$D$4003,$A536,出库单!$K$4:$K$4003,"对外销售",出库单!$U$4:$U$4003,"正常",出库单!$C$4:$C$4003,"&gt;="&amp;账期起,出库单!$C$4:$C$4003,"&lt;="&amp;账期止),0))</f>
        <v/>
      </c>
      <c r="T536" s="27">
        <f>IF($A536="","",SUMIFS(出库单!$J$4:$J$4003,出库单!$D$4:$D$4003,$A536,出库单!$K$4:$K$4003,"盘亏",出库单!$U$4:$U$4003,"正常",出库单!$C$4:$C$4003,"&gt;="&amp;账期起,出库单!$C$4:$C$4003,"&lt;="&amp;账期止))</f>
        <v/>
      </c>
      <c r="U536" s="26">
        <f>IF($A536="","",ROUND(SUMIFS(出库单!$S$4:$S$4003,出库单!$D$4:$D$4003,$A536,出库单!$K$4:$K$4003,"盘亏",出库单!$U$4:$U$4003,"正常",出库单!$C$4:$C$4003,"&gt;="&amp;账期起,出库单!$C$4:$C$4003,"&lt;="&amp;账期止),0))</f>
        <v/>
      </c>
      <c r="V536" s="27">
        <f>IF($A536="","",SUMIFS(出库单!$J$4:$J$4003,出库单!$D$4:$D$4003,$A536,出库单!$K$4:$K$4003,"退货给供应商",出库单!$U$4:$U$4003,"正常",出库单!$C$4:$C$4003,"&gt;="&amp;账期起,出库单!$C$4:$C$4003,"&lt;="&amp;账期止))</f>
        <v/>
      </c>
      <c r="W536" s="26">
        <f>IF($A536="","",ROUND(SUMIFS(出库单!$S$4:$S$4003,出库单!$D$4:$D$4003,$A536,出库单!$K$4:$K$4003,"退货给供应商",出库单!$U$4:$U$4003,"正常",出库单!$C$4:$C$4003,"&gt;="&amp;账期起,出库单!$C$4:$C$4003,"&lt;="&amp;账期止),0))</f>
        <v/>
      </c>
      <c r="X536" s="27">
        <f>IF($A536="","",ROUND(N($G536)+$I536+$L536+$N536-$P536-$R536-$T536-$V536,3))</f>
        <v/>
      </c>
      <c r="Y536" s="26">
        <f>IF($A536="","",ROUND(N($H536)+$J536+$M536+$O536-$Q536-$S536-$U536-$W536,0))</f>
        <v/>
      </c>
      <c r="Z536" s="24">
        <f>IF($A536="","",IF(COUNTIFS(入库单!$G$4:$G$2503,$A536,入库单!$Y$4:$Y$2503,"待补价")+COUNTIFS(入库单!$G$4:$G$2503,$A536,入库单!$Y$4:$Y$2503,"暂估")&gt;0,"不可信","可信"))</f>
        <v/>
      </c>
      <c r="AA536" s="24">
        <f>IF($A536="","",IF($X536&lt;-0.001,"※账面负库存，查一下是不是漏记入库",IF(AND(ROUND($X536,3)=0,ABS($Y536)&gt;1),"※数量已经是 0，金额还挂着 "&amp;TEXT($Y536,"#,##0")&amp;" 先令",IF(AND($X536&gt;0,$Y536&lt;=0,$K536=0),"※有数量没金额（这个物料一直没填过进价）",IF($Z536="不可信","△成本含待补价/暂估，毛利仅供参考","")))))</f>
        <v/>
      </c>
    </row>
    <row r="537">
      <c r="A537" s="24">
        <f>IF(物料档案!$A536="","",物料档案!$A536)</f>
        <v/>
      </c>
      <c r="B537" s="24">
        <f>IF($A537="","",IFERROR(VLOOKUP($A537,物料档案!$A$4:$P$1203,3,0),""))</f>
        <v/>
      </c>
      <c r="C537" s="24">
        <f>IF($A537="","",IFERROR(VLOOKUP($A537,物料档案!$A$4:$P$1203,4,0),""))</f>
        <v/>
      </c>
      <c r="D537" s="24">
        <f>IF($A537="","",IFERROR(VLOOKUP($A537,物料档案!$A$4:$P$1203,5,0),""))</f>
        <v/>
      </c>
      <c r="E537" s="24">
        <f>IF($A537="","",IFERROR(VLOOKUP($A537,物料档案!$A$4:$P$1203,2,0),""))</f>
        <v/>
      </c>
      <c r="F537" s="24">
        <f>IF($A537="","",IFERROR(VLOOKUP($A537,物料档案!$A$4:$P$1203,6,0),""))</f>
        <v/>
      </c>
      <c r="G537" s="23" t="n"/>
      <c r="H537" s="32" t="n"/>
      <c r="I537" s="27">
        <f>IF($A537="","",SUMIFS(入库单!$K$4:$K$2503,入库单!$G$4:$G$2503,$A537,入库单!$X$4:$X$2503,"采购入库",入库单!$Z$4:$Z$2503,"正常",入库单!$C$4:$C$2503,"&gt;="&amp;账期起,入库单!$C$4:$C$2503,"&lt;="&amp;账期止))</f>
        <v/>
      </c>
      <c r="J537" s="26">
        <f>IF($A537="","",SUMIFS(入库单!$V$4:$V$2503,入库单!$G$4:$G$2503,$A537,入库单!$X$4:$X$2503,"采购入库",入库单!$Z$4:$Z$2503,"正常",入库单!$C$4:$C$2503,"&gt;="&amp;账期起,入库单!$C$4:$C$2503,"&lt;="&amp;账期止))</f>
        <v/>
      </c>
      <c r="K537" s="26">
        <f>IF($A537="","",IFERROR(ROUND((N($H537)+N($J537))/(N($G537)+N($I537)),2),0))</f>
        <v/>
      </c>
      <c r="L537" s="27">
        <f>IF($A537="","",SUMIFS(入库单!$K$4:$K$2503,入库单!$G$4:$G$2503,$A537,入库单!$X$4:$X$2503,"盘盈",入库单!$Z$4:$Z$2503,"正常",入库单!$C$4:$C$2503,"&gt;="&amp;账期起,入库单!$C$4:$C$2503,"&lt;="&amp;账期止))</f>
        <v/>
      </c>
      <c r="M537" s="26">
        <f>IF($A537="","",ROUND($L537*$K537,0))</f>
        <v/>
      </c>
      <c r="N537" s="27">
        <f>IF($A537="","",SUMIFS(入库单!$K$4:$K$2503,入库单!$G$4:$G$2503,$A537,入库单!$X$4:$X$2503,"矿区退库",入库单!$Z$4:$Z$2503,"正常",入库单!$C$4:$C$2503,"&gt;="&amp;账期起,入库单!$C$4:$C$2503,"&lt;="&amp;账期止))</f>
        <v/>
      </c>
      <c r="O537" s="26">
        <f>IF($A537="","",ROUND($N537*$K537,0))</f>
        <v/>
      </c>
      <c r="P537" s="27">
        <f>IF($A537="","",SUMIFS(出库单!$J$4:$J$4003,出库单!$D$4:$D$4003,$A537,出库单!$K$4:$K$4003,"自用消耗",出库单!$U$4:$U$4003,"正常",出库单!$C$4:$C$4003,"&gt;="&amp;账期起,出库单!$C$4:$C$4003,"&lt;="&amp;账期止))</f>
        <v/>
      </c>
      <c r="Q537" s="26">
        <f>IF($A537="","",ROUND(SUMIFS(出库单!$S$4:$S$4003,出库单!$D$4:$D$4003,$A537,出库单!$K$4:$K$4003,"自用消耗",出库单!$U$4:$U$4003,"正常",出库单!$C$4:$C$4003,"&gt;="&amp;账期起,出库单!$C$4:$C$4003,"&lt;="&amp;账期止),0))</f>
        <v/>
      </c>
      <c r="R537" s="27">
        <f>IF($A537="","",SUMIFS(出库单!$J$4:$J$4003,出库单!$D$4:$D$4003,$A537,出库单!$K$4:$K$4003,"对外销售",出库单!$U$4:$U$4003,"正常",出库单!$C$4:$C$4003,"&gt;="&amp;账期起,出库单!$C$4:$C$4003,"&lt;="&amp;账期止))</f>
        <v/>
      </c>
      <c r="S537" s="26">
        <f>IF($A537="","",ROUND(SUMIFS(出库单!$S$4:$S$4003,出库单!$D$4:$D$4003,$A537,出库单!$K$4:$K$4003,"对外销售",出库单!$U$4:$U$4003,"正常",出库单!$C$4:$C$4003,"&gt;="&amp;账期起,出库单!$C$4:$C$4003,"&lt;="&amp;账期止),0))</f>
        <v/>
      </c>
      <c r="T537" s="27">
        <f>IF($A537="","",SUMIFS(出库单!$J$4:$J$4003,出库单!$D$4:$D$4003,$A537,出库单!$K$4:$K$4003,"盘亏",出库单!$U$4:$U$4003,"正常",出库单!$C$4:$C$4003,"&gt;="&amp;账期起,出库单!$C$4:$C$4003,"&lt;="&amp;账期止))</f>
        <v/>
      </c>
      <c r="U537" s="26">
        <f>IF($A537="","",ROUND(SUMIFS(出库单!$S$4:$S$4003,出库单!$D$4:$D$4003,$A537,出库单!$K$4:$K$4003,"盘亏",出库单!$U$4:$U$4003,"正常",出库单!$C$4:$C$4003,"&gt;="&amp;账期起,出库单!$C$4:$C$4003,"&lt;="&amp;账期止),0))</f>
        <v/>
      </c>
      <c r="V537" s="27">
        <f>IF($A537="","",SUMIFS(出库单!$J$4:$J$4003,出库单!$D$4:$D$4003,$A537,出库单!$K$4:$K$4003,"退货给供应商",出库单!$U$4:$U$4003,"正常",出库单!$C$4:$C$4003,"&gt;="&amp;账期起,出库单!$C$4:$C$4003,"&lt;="&amp;账期止))</f>
        <v/>
      </c>
      <c r="W537" s="26">
        <f>IF($A537="","",ROUND(SUMIFS(出库单!$S$4:$S$4003,出库单!$D$4:$D$4003,$A537,出库单!$K$4:$K$4003,"退货给供应商",出库单!$U$4:$U$4003,"正常",出库单!$C$4:$C$4003,"&gt;="&amp;账期起,出库单!$C$4:$C$4003,"&lt;="&amp;账期止),0))</f>
        <v/>
      </c>
      <c r="X537" s="27">
        <f>IF($A537="","",ROUND(N($G537)+$I537+$L537+$N537-$P537-$R537-$T537-$V537,3))</f>
        <v/>
      </c>
      <c r="Y537" s="26">
        <f>IF($A537="","",ROUND(N($H537)+$J537+$M537+$O537-$Q537-$S537-$U537-$W537,0))</f>
        <v/>
      </c>
      <c r="Z537" s="24">
        <f>IF($A537="","",IF(COUNTIFS(入库单!$G$4:$G$2503,$A537,入库单!$Y$4:$Y$2503,"待补价")+COUNTIFS(入库单!$G$4:$G$2503,$A537,入库单!$Y$4:$Y$2503,"暂估")&gt;0,"不可信","可信"))</f>
        <v/>
      </c>
      <c r="AA537" s="24">
        <f>IF($A537="","",IF($X537&lt;-0.001,"※账面负库存，查一下是不是漏记入库",IF(AND(ROUND($X537,3)=0,ABS($Y537)&gt;1),"※数量已经是 0，金额还挂着 "&amp;TEXT($Y537,"#,##0")&amp;" 先令",IF(AND($X537&gt;0,$Y537&lt;=0,$K537=0),"※有数量没金额（这个物料一直没填过进价）",IF($Z537="不可信","△成本含待补价/暂估，毛利仅供参考","")))))</f>
        <v/>
      </c>
    </row>
    <row r="538">
      <c r="A538" s="24">
        <f>IF(物料档案!$A537="","",物料档案!$A537)</f>
        <v/>
      </c>
      <c r="B538" s="24">
        <f>IF($A538="","",IFERROR(VLOOKUP($A538,物料档案!$A$4:$P$1203,3,0),""))</f>
        <v/>
      </c>
      <c r="C538" s="24">
        <f>IF($A538="","",IFERROR(VLOOKUP($A538,物料档案!$A$4:$P$1203,4,0),""))</f>
        <v/>
      </c>
      <c r="D538" s="24">
        <f>IF($A538="","",IFERROR(VLOOKUP($A538,物料档案!$A$4:$P$1203,5,0),""))</f>
        <v/>
      </c>
      <c r="E538" s="24">
        <f>IF($A538="","",IFERROR(VLOOKUP($A538,物料档案!$A$4:$P$1203,2,0),""))</f>
        <v/>
      </c>
      <c r="F538" s="24">
        <f>IF($A538="","",IFERROR(VLOOKUP($A538,物料档案!$A$4:$P$1203,6,0),""))</f>
        <v/>
      </c>
      <c r="G538" s="23" t="n"/>
      <c r="H538" s="32" t="n"/>
      <c r="I538" s="27">
        <f>IF($A538="","",SUMIFS(入库单!$K$4:$K$2503,入库单!$G$4:$G$2503,$A538,入库单!$X$4:$X$2503,"采购入库",入库单!$Z$4:$Z$2503,"正常",入库单!$C$4:$C$2503,"&gt;="&amp;账期起,入库单!$C$4:$C$2503,"&lt;="&amp;账期止))</f>
        <v/>
      </c>
      <c r="J538" s="26">
        <f>IF($A538="","",SUMIFS(入库单!$V$4:$V$2503,入库单!$G$4:$G$2503,$A538,入库单!$X$4:$X$2503,"采购入库",入库单!$Z$4:$Z$2503,"正常",入库单!$C$4:$C$2503,"&gt;="&amp;账期起,入库单!$C$4:$C$2503,"&lt;="&amp;账期止))</f>
        <v/>
      </c>
      <c r="K538" s="26">
        <f>IF($A538="","",IFERROR(ROUND((N($H538)+N($J538))/(N($G538)+N($I538)),2),0))</f>
        <v/>
      </c>
      <c r="L538" s="27">
        <f>IF($A538="","",SUMIFS(入库单!$K$4:$K$2503,入库单!$G$4:$G$2503,$A538,入库单!$X$4:$X$2503,"盘盈",入库单!$Z$4:$Z$2503,"正常",入库单!$C$4:$C$2503,"&gt;="&amp;账期起,入库单!$C$4:$C$2503,"&lt;="&amp;账期止))</f>
        <v/>
      </c>
      <c r="M538" s="26">
        <f>IF($A538="","",ROUND($L538*$K538,0))</f>
        <v/>
      </c>
      <c r="N538" s="27">
        <f>IF($A538="","",SUMIFS(入库单!$K$4:$K$2503,入库单!$G$4:$G$2503,$A538,入库单!$X$4:$X$2503,"矿区退库",入库单!$Z$4:$Z$2503,"正常",入库单!$C$4:$C$2503,"&gt;="&amp;账期起,入库单!$C$4:$C$2503,"&lt;="&amp;账期止))</f>
        <v/>
      </c>
      <c r="O538" s="26">
        <f>IF($A538="","",ROUND($N538*$K538,0))</f>
        <v/>
      </c>
      <c r="P538" s="27">
        <f>IF($A538="","",SUMIFS(出库单!$J$4:$J$4003,出库单!$D$4:$D$4003,$A538,出库单!$K$4:$K$4003,"自用消耗",出库单!$U$4:$U$4003,"正常",出库单!$C$4:$C$4003,"&gt;="&amp;账期起,出库单!$C$4:$C$4003,"&lt;="&amp;账期止))</f>
        <v/>
      </c>
      <c r="Q538" s="26">
        <f>IF($A538="","",ROUND(SUMIFS(出库单!$S$4:$S$4003,出库单!$D$4:$D$4003,$A538,出库单!$K$4:$K$4003,"自用消耗",出库单!$U$4:$U$4003,"正常",出库单!$C$4:$C$4003,"&gt;="&amp;账期起,出库单!$C$4:$C$4003,"&lt;="&amp;账期止),0))</f>
        <v/>
      </c>
      <c r="R538" s="27">
        <f>IF($A538="","",SUMIFS(出库单!$J$4:$J$4003,出库单!$D$4:$D$4003,$A538,出库单!$K$4:$K$4003,"对外销售",出库单!$U$4:$U$4003,"正常",出库单!$C$4:$C$4003,"&gt;="&amp;账期起,出库单!$C$4:$C$4003,"&lt;="&amp;账期止))</f>
        <v/>
      </c>
      <c r="S538" s="26">
        <f>IF($A538="","",ROUND(SUMIFS(出库单!$S$4:$S$4003,出库单!$D$4:$D$4003,$A538,出库单!$K$4:$K$4003,"对外销售",出库单!$U$4:$U$4003,"正常",出库单!$C$4:$C$4003,"&gt;="&amp;账期起,出库单!$C$4:$C$4003,"&lt;="&amp;账期止),0))</f>
        <v/>
      </c>
      <c r="T538" s="27">
        <f>IF($A538="","",SUMIFS(出库单!$J$4:$J$4003,出库单!$D$4:$D$4003,$A538,出库单!$K$4:$K$4003,"盘亏",出库单!$U$4:$U$4003,"正常",出库单!$C$4:$C$4003,"&gt;="&amp;账期起,出库单!$C$4:$C$4003,"&lt;="&amp;账期止))</f>
        <v/>
      </c>
      <c r="U538" s="26">
        <f>IF($A538="","",ROUND(SUMIFS(出库单!$S$4:$S$4003,出库单!$D$4:$D$4003,$A538,出库单!$K$4:$K$4003,"盘亏",出库单!$U$4:$U$4003,"正常",出库单!$C$4:$C$4003,"&gt;="&amp;账期起,出库单!$C$4:$C$4003,"&lt;="&amp;账期止),0))</f>
        <v/>
      </c>
      <c r="V538" s="27">
        <f>IF($A538="","",SUMIFS(出库单!$J$4:$J$4003,出库单!$D$4:$D$4003,$A538,出库单!$K$4:$K$4003,"退货给供应商",出库单!$U$4:$U$4003,"正常",出库单!$C$4:$C$4003,"&gt;="&amp;账期起,出库单!$C$4:$C$4003,"&lt;="&amp;账期止))</f>
        <v/>
      </c>
      <c r="W538" s="26">
        <f>IF($A538="","",ROUND(SUMIFS(出库单!$S$4:$S$4003,出库单!$D$4:$D$4003,$A538,出库单!$K$4:$K$4003,"退货给供应商",出库单!$U$4:$U$4003,"正常",出库单!$C$4:$C$4003,"&gt;="&amp;账期起,出库单!$C$4:$C$4003,"&lt;="&amp;账期止),0))</f>
        <v/>
      </c>
      <c r="X538" s="27">
        <f>IF($A538="","",ROUND(N($G538)+$I538+$L538+$N538-$P538-$R538-$T538-$V538,3))</f>
        <v/>
      </c>
      <c r="Y538" s="26">
        <f>IF($A538="","",ROUND(N($H538)+$J538+$M538+$O538-$Q538-$S538-$U538-$W538,0))</f>
        <v/>
      </c>
      <c r="Z538" s="24">
        <f>IF($A538="","",IF(COUNTIFS(入库单!$G$4:$G$2503,$A538,入库单!$Y$4:$Y$2503,"待补价")+COUNTIFS(入库单!$G$4:$G$2503,$A538,入库单!$Y$4:$Y$2503,"暂估")&gt;0,"不可信","可信"))</f>
        <v/>
      </c>
      <c r="AA538" s="24">
        <f>IF($A538="","",IF($X538&lt;-0.001,"※账面负库存，查一下是不是漏记入库",IF(AND(ROUND($X538,3)=0,ABS($Y538)&gt;1),"※数量已经是 0，金额还挂着 "&amp;TEXT($Y538,"#,##0")&amp;" 先令",IF(AND($X538&gt;0,$Y538&lt;=0,$K538=0),"※有数量没金额（这个物料一直没填过进价）",IF($Z538="不可信","△成本含待补价/暂估，毛利仅供参考","")))))</f>
        <v/>
      </c>
    </row>
    <row r="539">
      <c r="A539" s="24">
        <f>IF(物料档案!$A538="","",物料档案!$A538)</f>
        <v/>
      </c>
      <c r="B539" s="24">
        <f>IF($A539="","",IFERROR(VLOOKUP($A539,物料档案!$A$4:$P$1203,3,0),""))</f>
        <v/>
      </c>
      <c r="C539" s="24">
        <f>IF($A539="","",IFERROR(VLOOKUP($A539,物料档案!$A$4:$P$1203,4,0),""))</f>
        <v/>
      </c>
      <c r="D539" s="24">
        <f>IF($A539="","",IFERROR(VLOOKUP($A539,物料档案!$A$4:$P$1203,5,0),""))</f>
        <v/>
      </c>
      <c r="E539" s="24">
        <f>IF($A539="","",IFERROR(VLOOKUP($A539,物料档案!$A$4:$P$1203,2,0),""))</f>
        <v/>
      </c>
      <c r="F539" s="24">
        <f>IF($A539="","",IFERROR(VLOOKUP($A539,物料档案!$A$4:$P$1203,6,0),""))</f>
        <v/>
      </c>
      <c r="G539" s="23" t="n"/>
      <c r="H539" s="32" t="n"/>
      <c r="I539" s="27">
        <f>IF($A539="","",SUMIFS(入库单!$K$4:$K$2503,入库单!$G$4:$G$2503,$A539,入库单!$X$4:$X$2503,"采购入库",入库单!$Z$4:$Z$2503,"正常",入库单!$C$4:$C$2503,"&gt;="&amp;账期起,入库单!$C$4:$C$2503,"&lt;="&amp;账期止))</f>
        <v/>
      </c>
      <c r="J539" s="26">
        <f>IF($A539="","",SUMIFS(入库单!$V$4:$V$2503,入库单!$G$4:$G$2503,$A539,入库单!$X$4:$X$2503,"采购入库",入库单!$Z$4:$Z$2503,"正常",入库单!$C$4:$C$2503,"&gt;="&amp;账期起,入库单!$C$4:$C$2503,"&lt;="&amp;账期止))</f>
        <v/>
      </c>
      <c r="K539" s="26">
        <f>IF($A539="","",IFERROR(ROUND((N($H539)+N($J539))/(N($G539)+N($I539)),2),0))</f>
        <v/>
      </c>
      <c r="L539" s="27">
        <f>IF($A539="","",SUMIFS(入库单!$K$4:$K$2503,入库单!$G$4:$G$2503,$A539,入库单!$X$4:$X$2503,"盘盈",入库单!$Z$4:$Z$2503,"正常",入库单!$C$4:$C$2503,"&gt;="&amp;账期起,入库单!$C$4:$C$2503,"&lt;="&amp;账期止))</f>
        <v/>
      </c>
      <c r="M539" s="26">
        <f>IF($A539="","",ROUND($L539*$K539,0))</f>
        <v/>
      </c>
      <c r="N539" s="27">
        <f>IF($A539="","",SUMIFS(入库单!$K$4:$K$2503,入库单!$G$4:$G$2503,$A539,入库单!$X$4:$X$2503,"矿区退库",入库单!$Z$4:$Z$2503,"正常",入库单!$C$4:$C$2503,"&gt;="&amp;账期起,入库单!$C$4:$C$2503,"&lt;="&amp;账期止))</f>
        <v/>
      </c>
      <c r="O539" s="26">
        <f>IF($A539="","",ROUND($N539*$K539,0))</f>
        <v/>
      </c>
      <c r="P539" s="27">
        <f>IF($A539="","",SUMIFS(出库单!$J$4:$J$4003,出库单!$D$4:$D$4003,$A539,出库单!$K$4:$K$4003,"自用消耗",出库单!$U$4:$U$4003,"正常",出库单!$C$4:$C$4003,"&gt;="&amp;账期起,出库单!$C$4:$C$4003,"&lt;="&amp;账期止))</f>
        <v/>
      </c>
      <c r="Q539" s="26">
        <f>IF($A539="","",ROUND(SUMIFS(出库单!$S$4:$S$4003,出库单!$D$4:$D$4003,$A539,出库单!$K$4:$K$4003,"自用消耗",出库单!$U$4:$U$4003,"正常",出库单!$C$4:$C$4003,"&gt;="&amp;账期起,出库单!$C$4:$C$4003,"&lt;="&amp;账期止),0))</f>
        <v/>
      </c>
      <c r="R539" s="27">
        <f>IF($A539="","",SUMIFS(出库单!$J$4:$J$4003,出库单!$D$4:$D$4003,$A539,出库单!$K$4:$K$4003,"对外销售",出库单!$U$4:$U$4003,"正常",出库单!$C$4:$C$4003,"&gt;="&amp;账期起,出库单!$C$4:$C$4003,"&lt;="&amp;账期止))</f>
        <v/>
      </c>
      <c r="S539" s="26">
        <f>IF($A539="","",ROUND(SUMIFS(出库单!$S$4:$S$4003,出库单!$D$4:$D$4003,$A539,出库单!$K$4:$K$4003,"对外销售",出库单!$U$4:$U$4003,"正常",出库单!$C$4:$C$4003,"&gt;="&amp;账期起,出库单!$C$4:$C$4003,"&lt;="&amp;账期止),0))</f>
        <v/>
      </c>
      <c r="T539" s="27">
        <f>IF($A539="","",SUMIFS(出库单!$J$4:$J$4003,出库单!$D$4:$D$4003,$A539,出库单!$K$4:$K$4003,"盘亏",出库单!$U$4:$U$4003,"正常",出库单!$C$4:$C$4003,"&gt;="&amp;账期起,出库单!$C$4:$C$4003,"&lt;="&amp;账期止))</f>
        <v/>
      </c>
      <c r="U539" s="26">
        <f>IF($A539="","",ROUND(SUMIFS(出库单!$S$4:$S$4003,出库单!$D$4:$D$4003,$A539,出库单!$K$4:$K$4003,"盘亏",出库单!$U$4:$U$4003,"正常",出库单!$C$4:$C$4003,"&gt;="&amp;账期起,出库单!$C$4:$C$4003,"&lt;="&amp;账期止),0))</f>
        <v/>
      </c>
      <c r="V539" s="27">
        <f>IF($A539="","",SUMIFS(出库单!$J$4:$J$4003,出库单!$D$4:$D$4003,$A539,出库单!$K$4:$K$4003,"退货给供应商",出库单!$U$4:$U$4003,"正常",出库单!$C$4:$C$4003,"&gt;="&amp;账期起,出库单!$C$4:$C$4003,"&lt;="&amp;账期止))</f>
        <v/>
      </c>
      <c r="W539" s="26">
        <f>IF($A539="","",ROUND(SUMIFS(出库单!$S$4:$S$4003,出库单!$D$4:$D$4003,$A539,出库单!$K$4:$K$4003,"退货给供应商",出库单!$U$4:$U$4003,"正常",出库单!$C$4:$C$4003,"&gt;="&amp;账期起,出库单!$C$4:$C$4003,"&lt;="&amp;账期止),0))</f>
        <v/>
      </c>
      <c r="X539" s="27">
        <f>IF($A539="","",ROUND(N($G539)+$I539+$L539+$N539-$P539-$R539-$T539-$V539,3))</f>
        <v/>
      </c>
      <c r="Y539" s="26">
        <f>IF($A539="","",ROUND(N($H539)+$J539+$M539+$O539-$Q539-$S539-$U539-$W539,0))</f>
        <v/>
      </c>
      <c r="Z539" s="24">
        <f>IF($A539="","",IF(COUNTIFS(入库单!$G$4:$G$2503,$A539,入库单!$Y$4:$Y$2503,"待补价")+COUNTIFS(入库单!$G$4:$G$2503,$A539,入库单!$Y$4:$Y$2503,"暂估")&gt;0,"不可信","可信"))</f>
        <v/>
      </c>
      <c r="AA539" s="24">
        <f>IF($A539="","",IF($X539&lt;-0.001,"※账面负库存，查一下是不是漏记入库",IF(AND(ROUND($X539,3)=0,ABS($Y539)&gt;1),"※数量已经是 0，金额还挂着 "&amp;TEXT($Y539,"#,##0")&amp;" 先令",IF(AND($X539&gt;0,$Y539&lt;=0,$K539=0),"※有数量没金额（这个物料一直没填过进价）",IF($Z539="不可信","△成本含待补价/暂估，毛利仅供参考","")))))</f>
        <v/>
      </c>
    </row>
    <row r="540">
      <c r="A540" s="24">
        <f>IF(物料档案!$A539="","",物料档案!$A539)</f>
        <v/>
      </c>
      <c r="B540" s="24">
        <f>IF($A540="","",IFERROR(VLOOKUP($A540,物料档案!$A$4:$P$1203,3,0),""))</f>
        <v/>
      </c>
      <c r="C540" s="24">
        <f>IF($A540="","",IFERROR(VLOOKUP($A540,物料档案!$A$4:$P$1203,4,0),""))</f>
        <v/>
      </c>
      <c r="D540" s="24">
        <f>IF($A540="","",IFERROR(VLOOKUP($A540,物料档案!$A$4:$P$1203,5,0),""))</f>
        <v/>
      </c>
      <c r="E540" s="24">
        <f>IF($A540="","",IFERROR(VLOOKUP($A540,物料档案!$A$4:$P$1203,2,0),""))</f>
        <v/>
      </c>
      <c r="F540" s="24">
        <f>IF($A540="","",IFERROR(VLOOKUP($A540,物料档案!$A$4:$P$1203,6,0),""))</f>
        <v/>
      </c>
      <c r="G540" s="23" t="n"/>
      <c r="H540" s="32" t="n"/>
      <c r="I540" s="27">
        <f>IF($A540="","",SUMIFS(入库单!$K$4:$K$2503,入库单!$G$4:$G$2503,$A540,入库单!$X$4:$X$2503,"采购入库",入库单!$Z$4:$Z$2503,"正常",入库单!$C$4:$C$2503,"&gt;="&amp;账期起,入库单!$C$4:$C$2503,"&lt;="&amp;账期止))</f>
        <v/>
      </c>
      <c r="J540" s="26">
        <f>IF($A540="","",SUMIFS(入库单!$V$4:$V$2503,入库单!$G$4:$G$2503,$A540,入库单!$X$4:$X$2503,"采购入库",入库单!$Z$4:$Z$2503,"正常",入库单!$C$4:$C$2503,"&gt;="&amp;账期起,入库单!$C$4:$C$2503,"&lt;="&amp;账期止))</f>
        <v/>
      </c>
      <c r="K540" s="26">
        <f>IF($A540="","",IFERROR(ROUND((N($H540)+N($J540))/(N($G540)+N($I540)),2),0))</f>
        <v/>
      </c>
      <c r="L540" s="27">
        <f>IF($A540="","",SUMIFS(入库单!$K$4:$K$2503,入库单!$G$4:$G$2503,$A540,入库单!$X$4:$X$2503,"盘盈",入库单!$Z$4:$Z$2503,"正常",入库单!$C$4:$C$2503,"&gt;="&amp;账期起,入库单!$C$4:$C$2503,"&lt;="&amp;账期止))</f>
        <v/>
      </c>
      <c r="M540" s="26">
        <f>IF($A540="","",ROUND($L540*$K540,0))</f>
        <v/>
      </c>
      <c r="N540" s="27">
        <f>IF($A540="","",SUMIFS(入库单!$K$4:$K$2503,入库单!$G$4:$G$2503,$A540,入库单!$X$4:$X$2503,"矿区退库",入库单!$Z$4:$Z$2503,"正常",入库单!$C$4:$C$2503,"&gt;="&amp;账期起,入库单!$C$4:$C$2503,"&lt;="&amp;账期止))</f>
        <v/>
      </c>
      <c r="O540" s="26">
        <f>IF($A540="","",ROUND($N540*$K540,0))</f>
        <v/>
      </c>
      <c r="P540" s="27">
        <f>IF($A540="","",SUMIFS(出库单!$J$4:$J$4003,出库单!$D$4:$D$4003,$A540,出库单!$K$4:$K$4003,"自用消耗",出库单!$U$4:$U$4003,"正常",出库单!$C$4:$C$4003,"&gt;="&amp;账期起,出库单!$C$4:$C$4003,"&lt;="&amp;账期止))</f>
        <v/>
      </c>
      <c r="Q540" s="26">
        <f>IF($A540="","",ROUND(SUMIFS(出库单!$S$4:$S$4003,出库单!$D$4:$D$4003,$A540,出库单!$K$4:$K$4003,"自用消耗",出库单!$U$4:$U$4003,"正常",出库单!$C$4:$C$4003,"&gt;="&amp;账期起,出库单!$C$4:$C$4003,"&lt;="&amp;账期止),0))</f>
        <v/>
      </c>
      <c r="R540" s="27">
        <f>IF($A540="","",SUMIFS(出库单!$J$4:$J$4003,出库单!$D$4:$D$4003,$A540,出库单!$K$4:$K$4003,"对外销售",出库单!$U$4:$U$4003,"正常",出库单!$C$4:$C$4003,"&gt;="&amp;账期起,出库单!$C$4:$C$4003,"&lt;="&amp;账期止))</f>
        <v/>
      </c>
      <c r="S540" s="26">
        <f>IF($A540="","",ROUND(SUMIFS(出库单!$S$4:$S$4003,出库单!$D$4:$D$4003,$A540,出库单!$K$4:$K$4003,"对外销售",出库单!$U$4:$U$4003,"正常",出库单!$C$4:$C$4003,"&gt;="&amp;账期起,出库单!$C$4:$C$4003,"&lt;="&amp;账期止),0))</f>
        <v/>
      </c>
      <c r="T540" s="27">
        <f>IF($A540="","",SUMIFS(出库单!$J$4:$J$4003,出库单!$D$4:$D$4003,$A540,出库单!$K$4:$K$4003,"盘亏",出库单!$U$4:$U$4003,"正常",出库单!$C$4:$C$4003,"&gt;="&amp;账期起,出库单!$C$4:$C$4003,"&lt;="&amp;账期止))</f>
        <v/>
      </c>
      <c r="U540" s="26">
        <f>IF($A540="","",ROUND(SUMIFS(出库单!$S$4:$S$4003,出库单!$D$4:$D$4003,$A540,出库单!$K$4:$K$4003,"盘亏",出库单!$U$4:$U$4003,"正常",出库单!$C$4:$C$4003,"&gt;="&amp;账期起,出库单!$C$4:$C$4003,"&lt;="&amp;账期止),0))</f>
        <v/>
      </c>
      <c r="V540" s="27">
        <f>IF($A540="","",SUMIFS(出库单!$J$4:$J$4003,出库单!$D$4:$D$4003,$A540,出库单!$K$4:$K$4003,"退货给供应商",出库单!$U$4:$U$4003,"正常",出库单!$C$4:$C$4003,"&gt;="&amp;账期起,出库单!$C$4:$C$4003,"&lt;="&amp;账期止))</f>
        <v/>
      </c>
      <c r="W540" s="26">
        <f>IF($A540="","",ROUND(SUMIFS(出库单!$S$4:$S$4003,出库单!$D$4:$D$4003,$A540,出库单!$K$4:$K$4003,"退货给供应商",出库单!$U$4:$U$4003,"正常",出库单!$C$4:$C$4003,"&gt;="&amp;账期起,出库单!$C$4:$C$4003,"&lt;="&amp;账期止),0))</f>
        <v/>
      </c>
      <c r="X540" s="27">
        <f>IF($A540="","",ROUND(N($G540)+$I540+$L540+$N540-$P540-$R540-$T540-$V540,3))</f>
        <v/>
      </c>
      <c r="Y540" s="26">
        <f>IF($A540="","",ROUND(N($H540)+$J540+$M540+$O540-$Q540-$S540-$U540-$W540,0))</f>
        <v/>
      </c>
      <c r="Z540" s="24">
        <f>IF($A540="","",IF(COUNTIFS(入库单!$G$4:$G$2503,$A540,入库单!$Y$4:$Y$2503,"待补价")+COUNTIFS(入库单!$G$4:$G$2503,$A540,入库单!$Y$4:$Y$2503,"暂估")&gt;0,"不可信","可信"))</f>
        <v/>
      </c>
      <c r="AA540" s="24">
        <f>IF($A540="","",IF($X540&lt;-0.001,"※账面负库存，查一下是不是漏记入库",IF(AND(ROUND($X540,3)=0,ABS($Y540)&gt;1),"※数量已经是 0，金额还挂着 "&amp;TEXT($Y540,"#,##0")&amp;" 先令",IF(AND($X540&gt;0,$Y540&lt;=0,$K540=0),"※有数量没金额（这个物料一直没填过进价）",IF($Z540="不可信","△成本含待补价/暂估，毛利仅供参考","")))))</f>
        <v/>
      </c>
    </row>
    <row r="541">
      <c r="A541" s="24">
        <f>IF(物料档案!$A540="","",物料档案!$A540)</f>
        <v/>
      </c>
      <c r="B541" s="24">
        <f>IF($A541="","",IFERROR(VLOOKUP($A541,物料档案!$A$4:$P$1203,3,0),""))</f>
        <v/>
      </c>
      <c r="C541" s="24">
        <f>IF($A541="","",IFERROR(VLOOKUP($A541,物料档案!$A$4:$P$1203,4,0),""))</f>
        <v/>
      </c>
      <c r="D541" s="24">
        <f>IF($A541="","",IFERROR(VLOOKUP($A541,物料档案!$A$4:$P$1203,5,0),""))</f>
        <v/>
      </c>
      <c r="E541" s="24">
        <f>IF($A541="","",IFERROR(VLOOKUP($A541,物料档案!$A$4:$P$1203,2,0),""))</f>
        <v/>
      </c>
      <c r="F541" s="24">
        <f>IF($A541="","",IFERROR(VLOOKUP($A541,物料档案!$A$4:$P$1203,6,0),""))</f>
        <v/>
      </c>
      <c r="G541" s="23" t="n"/>
      <c r="H541" s="32" t="n"/>
      <c r="I541" s="27">
        <f>IF($A541="","",SUMIFS(入库单!$K$4:$K$2503,入库单!$G$4:$G$2503,$A541,入库单!$X$4:$X$2503,"采购入库",入库单!$Z$4:$Z$2503,"正常",入库单!$C$4:$C$2503,"&gt;="&amp;账期起,入库单!$C$4:$C$2503,"&lt;="&amp;账期止))</f>
        <v/>
      </c>
      <c r="J541" s="26">
        <f>IF($A541="","",SUMIFS(入库单!$V$4:$V$2503,入库单!$G$4:$G$2503,$A541,入库单!$X$4:$X$2503,"采购入库",入库单!$Z$4:$Z$2503,"正常",入库单!$C$4:$C$2503,"&gt;="&amp;账期起,入库单!$C$4:$C$2503,"&lt;="&amp;账期止))</f>
        <v/>
      </c>
      <c r="K541" s="26">
        <f>IF($A541="","",IFERROR(ROUND((N($H541)+N($J541))/(N($G541)+N($I541)),2),0))</f>
        <v/>
      </c>
      <c r="L541" s="27">
        <f>IF($A541="","",SUMIFS(入库单!$K$4:$K$2503,入库单!$G$4:$G$2503,$A541,入库单!$X$4:$X$2503,"盘盈",入库单!$Z$4:$Z$2503,"正常",入库单!$C$4:$C$2503,"&gt;="&amp;账期起,入库单!$C$4:$C$2503,"&lt;="&amp;账期止))</f>
        <v/>
      </c>
      <c r="M541" s="26">
        <f>IF($A541="","",ROUND($L541*$K541,0))</f>
        <v/>
      </c>
      <c r="N541" s="27">
        <f>IF($A541="","",SUMIFS(入库单!$K$4:$K$2503,入库单!$G$4:$G$2503,$A541,入库单!$X$4:$X$2503,"矿区退库",入库单!$Z$4:$Z$2503,"正常",入库单!$C$4:$C$2503,"&gt;="&amp;账期起,入库单!$C$4:$C$2503,"&lt;="&amp;账期止))</f>
        <v/>
      </c>
      <c r="O541" s="26">
        <f>IF($A541="","",ROUND($N541*$K541,0))</f>
        <v/>
      </c>
      <c r="P541" s="27">
        <f>IF($A541="","",SUMIFS(出库单!$J$4:$J$4003,出库单!$D$4:$D$4003,$A541,出库单!$K$4:$K$4003,"自用消耗",出库单!$U$4:$U$4003,"正常",出库单!$C$4:$C$4003,"&gt;="&amp;账期起,出库单!$C$4:$C$4003,"&lt;="&amp;账期止))</f>
        <v/>
      </c>
      <c r="Q541" s="26">
        <f>IF($A541="","",ROUND(SUMIFS(出库单!$S$4:$S$4003,出库单!$D$4:$D$4003,$A541,出库单!$K$4:$K$4003,"自用消耗",出库单!$U$4:$U$4003,"正常",出库单!$C$4:$C$4003,"&gt;="&amp;账期起,出库单!$C$4:$C$4003,"&lt;="&amp;账期止),0))</f>
        <v/>
      </c>
      <c r="R541" s="27">
        <f>IF($A541="","",SUMIFS(出库单!$J$4:$J$4003,出库单!$D$4:$D$4003,$A541,出库单!$K$4:$K$4003,"对外销售",出库单!$U$4:$U$4003,"正常",出库单!$C$4:$C$4003,"&gt;="&amp;账期起,出库单!$C$4:$C$4003,"&lt;="&amp;账期止))</f>
        <v/>
      </c>
      <c r="S541" s="26">
        <f>IF($A541="","",ROUND(SUMIFS(出库单!$S$4:$S$4003,出库单!$D$4:$D$4003,$A541,出库单!$K$4:$K$4003,"对外销售",出库单!$U$4:$U$4003,"正常",出库单!$C$4:$C$4003,"&gt;="&amp;账期起,出库单!$C$4:$C$4003,"&lt;="&amp;账期止),0))</f>
        <v/>
      </c>
      <c r="T541" s="27">
        <f>IF($A541="","",SUMIFS(出库单!$J$4:$J$4003,出库单!$D$4:$D$4003,$A541,出库单!$K$4:$K$4003,"盘亏",出库单!$U$4:$U$4003,"正常",出库单!$C$4:$C$4003,"&gt;="&amp;账期起,出库单!$C$4:$C$4003,"&lt;="&amp;账期止))</f>
        <v/>
      </c>
      <c r="U541" s="26">
        <f>IF($A541="","",ROUND(SUMIFS(出库单!$S$4:$S$4003,出库单!$D$4:$D$4003,$A541,出库单!$K$4:$K$4003,"盘亏",出库单!$U$4:$U$4003,"正常",出库单!$C$4:$C$4003,"&gt;="&amp;账期起,出库单!$C$4:$C$4003,"&lt;="&amp;账期止),0))</f>
        <v/>
      </c>
      <c r="V541" s="27">
        <f>IF($A541="","",SUMIFS(出库单!$J$4:$J$4003,出库单!$D$4:$D$4003,$A541,出库单!$K$4:$K$4003,"退货给供应商",出库单!$U$4:$U$4003,"正常",出库单!$C$4:$C$4003,"&gt;="&amp;账期起,出库单!$C$4:$C$4003,"&lt;="&amp;账期止))</f>
        <v/>
      </c>
      <c r="W541" s="26">
        <f>IF($A541="","",ROUND(SUMIFS(出库单!$S$4:$S$4003,出库单!$D$4:$D$4003,$A541,出库单!$K$4:$K$4003,"退货给供应商",出库单!$U$4:$U$4003,"正常",出库单!$C$4:$C$4003,"&gt;="&amp;账期起,出库单!$C$4:$C$4003,"&lt;="&amp;账期止),0))</f>
        <v/>
      </c>
      <c r="X541" s="27">
        <f>IF($A541="","",ROUND(N($G541)+$I541+$L541+$N541-$P541-$R541-$T541-$V541,3))</f>
        <v/>
      </c>
      <c r="Y541" s="26">
        <f>IF($A541="","",ROUND(N($H541)+$J541+$M541+$O541-$Q541-$S541-$U541-$W541,0))</f>
        <v/>
      </c>
      <c r="Z541" s="24">
        <f>IF($A541="","",IF(COUNTIFS(入库单!$G$4:$G$2503,$A541,入库单!$Y$4:$Y$2503,"待补价")+COUNTIFS(入库单!$G$4:$G$2503,$A541,入库单!$Y$4:$Y$2503,"暂估")&gt;0,"不可信","可信"))</f>
        <v/>
      </c>
      <c r="AA541" s="24">
        <f>IF($A541="","",IF($X541&lt;-0.001,"※账面负库存，查一下是不是漏记入库",IF(AND(ROUND($X541,3)=0,ABS($Y541)&gt;1),"※数量已经是 0，金额还挂着 "&amp;TEXT($Y541,"#,##0")&amp;" 先令",IF(AND($X541&gt;0,$Y541&lt;=0,$K541=0),"※有数量没金额（这个物料一直没填过进价）",IF($Z541="不可信","△成本含待补价/暂估，毛利仅供参考","")))))</f>
        <v/>
      </c>
    </row>
    <row r="542">
      <c r="A542" s="24">
        <f>IF(物料档案!$A541="","",物料档案!$A541)</f>
        <v/>
      </c>
      <c r="B542" s="24">
        <f>IF($A542="","",IFERROR(VLOOKUP($A542,物料档案!$A$4:$P$1203,3,0),""))</f>
        <v/>
      </c>
      <c r="C542" s="24">
        <f>IF($A542="","",IFERROR(VLOOKUP($A542,物料档案!$A$4:$P$1203,4,0),""))</f>
        <v/>
      </c>
      <c r="D542" s="24">
        <f>IF($A542="","",IFERROR(VLOOKUP($A542,物料档案!$A$4:$P$1203,5,0),""))</f>
        <v/>
      </c>
      <c r="E542" s="24">
        <f>IF($A542="","",IFERROR(VLOOKUP($A542,物料档案!$A$4:$P$1203,2,0),""))</f>
        <v/>
      </c>
      <c r="F542" s="24">
        <f>IF($A542="","",IFERROR(VLOOKUP($A542,物料档案!$A$4:$P$1203,6,0),""))</f>
        <v/>
      </c>
      <c r="G542" s="23" t="n"/>
      <c r="H542" s="32" t="n"/>
      <c r="I542" s="27">
        <f>IF($A542="","",SUMIFS(入库单!$K$4:$K$2503,入库单!$G$4:$G$2503,$A542,入库单!$X$4:$X$2503,"采购入库",入库单!$Z$4:$Z$2503,"正常",入库单!$C$4:$C$2503,"&gt;="&amp;账期起,入库单!$C$4:$C$2503,"&lt;="&amp;账期止))</f>
        <v/>
      </c>
      <c r="J542" s="26">
        <f>IF($A542="","",SUMIFS(入库单!$V$4:$V$2503,入库单!$G$4:$G$2503,$A542,入库单!$X$4:$X$2503,"采购入库",入库单!$Z$4:$Z$2503,"正常",入库单!$C$4:$C$2503,"&gt;="&amp;账期起,入库单!$C$4:$C$2503,"&lt;="&amp;账期止))</f>
        <v/>
      </c>
      <c r="K542" s="26">
        <f>IF($A542="","",IFERROR(ROUND((N($H542)+N($J542))/(N($G542)+N($I542)),2),0))</f>
        <v/>
      </c>
      <c r="L542" s="27">
        <f>IF($A542="","",SUMIFS(入库单!$K$4:$K$2503,入库单!$G$4:$G$2503,$A542,入库单!$X$4:$X$2503,"盘盈",入库单!$Z$4:$Z$2503,"正常",入库单!$C$4:$C$2503,"&gt;="&amp;账期起,入库单!$C$4:$C$2503,"&lt;="&amp;账期止))</f>
        <v/>
      </c>
      <c r="M542" s="26">
        <f>IF($A542="","",ROUND($L542*$K542,0))</f>
        <v/>
      </c>
      <c r="N542" s="27">
        <f>IF($A542="","",SUMIFS(入库单!$K$4:$K$2503,入库单!$G$4:$G$2503,$A542,入库单!$X$4:$X$2503,"矿区退库",入库单!$Z$4:$Z$2503,"正常",入库单!$C$4:$C$2503,"&gt;="&amp;账期起,入库单!$C$4:$C$2503,"&lt;="&amp;账期止))</f>
        <v/>
      </c>
      <c r="O542" s="26">
        <f>IF($A542="","",ROUND($N542*$K542,0))</f>
        <v/>
      </c>
      <c r="P542" s="27">
        <f>IF($A542="","",SUMIFS(出库单!$J$4:$J$4003,出库单!$D$4:$D$4003,$A542,出库单!$K$4:$K$4003,"自用消耗",出库单!$U$4:$U$4003,"正常",出库单!$C$4:$C$4003,"&gt;="&amp;账期起,出库单!$C$4:$C$4003,"&lt;="&amp;账期止))</f>
        <v/>
      </c>
      <c r="Q542" s="26">
        <f>IF($A542="","",ROUND(SUMIFS(出库单!$S$4:$S$4003,出库单!$D$4:$D$4003,$A542,出库单!$K$4:$K$4003,"自用消耗",出库单!$U$4:$U$4003,"正常",出库单!$C$4:$C$4003,"&gt;="&amp;账期起,出库单!$C$4:$C$4003,"&lt;="&amp;账期止),0))</f>
        <v/>
      </c>
      <c r="R542" s="27">
        <f>IF($A542="","",SUMIFS(出库单!$J$4:$J$4003,出库单!$D$4:$D$4003,$A542,出库单!$K$4:$K$4003,"对外销售",出库单!$U$4:$U$4003,"正常",出库单!$C$4:$C$4003,"&gt;="&amp;账期起,出库单!$C$4:$C$4003,"&lt;="&amp;账期止))</f>
        <v/>
      </c>
      <c r="S542" s="26">
        <f>IF($A542="","",ROUND(SUMIFS(出库单!$S$4:$S$4003,出库单!$D$4:$D$4003,$A542,出库单!$K$4:$K$4003,"对外销售",出库单!$U$4:$U$4003,"正常",出库单!$C$4:$C$4003,"&gt;="&amp;账期起,出库单!$C$4:$C$4003,"&lt;="&amp;账期止),0))</f>
        <v/>
      </c>
      <c r="T542" s="27">
        <f>IF($A542="","",SUMIFS(出库单!$J$4:$J$4003,出库单!$D$4:$D$4003,$A542,出库单!$K$4:$K$4003,"盘亏",出库单!$U$4:$U$4003,"正常",出库单!$C$4:$C$4003,"&gt;="&amp;账期起,出库单!$C$4:$C$4003,"&lt;="&amp;账期止))</f>
        <v/>
      </c>
      <c r="U542" s="26">
        <f>IF($A542="","",ROUND(SUMIFS(出库单!$S$4:$S$4003,出库单!$D$4:$D$4003,$A542,出库单!$K$4:$K$4003,"盘亏",出库单!$U$4:$U$4003,"正常",出库单!$C$4:$C$4003,"&gt;="&amp;账期起,出库单!$C$4:$C$4003,"&lt;="&amp;账期止),0))</f>
        <v/>
      </c>
      <c r="V542" s="27">
        <f>IF($A542="","",SUMIFS(出库单!$J$4:$J$4003,出库单!$D$4:$D$4003,$A542,出库单!$K$4:$K$4003,"退货给供应商",出库单!$U$4:$U$4003,"正常",出库单!$C$4:$C$4003,"&gt;="&amp;账期起,出库单!$C$4:$C$4003,"&lt;="&amp;账期止))</f>
        <v/>
      </c>
      <c r="W542" s="26">
        <f>IF($A542="","",ROUND(SUMIFS(出库单!$S$4:$S$4003,出库单!$D$4:$D$4003,$A542,出库单!$K$4:$K$4003,"退货给供应商",出库单!$U$4:$U$4003,"正常",出库单!$C$4:$C$4003,"&gt;="&amp;账期起,出库单!$C$4:$C$4003,"&lt;="&amp;账期止),0))</f>
        <v/>
      </c>
      <c r="X542" s="27">
        <f>IF($A542="","",ROUND(N($G542)+$I542+$L542+$N542-$P542-$R542-$T542-$V542,3))</f>
        <v/>
      </c>
      <c r="Y542" s="26">
        <f>IF($A542="","",ROUND(N($H542)+$J542+$M542+$O542-$Q542-$S542-$U542-$W542,0))</f>
        <v/>
      </c>
      <c r="Z542" s="24">
        <f>IF($A542="","",IF(COUNTIFS(入库单!$G$4:$G$2503,$A542,入库单!$Y$4:$Y$2503,"待补价")+COUNTIFS(入库单!$G$4:$G$2503,$A542,入库单!$Y$4:$Y$2503,"暂估")&gt;0,"不可信","可信"))</f>
        <v/>
      </c>
      <c r="AA542" s="24">
        <f>IF($A542="","",IF($X542&lt;-0.001,"※账面负库存，查一下是不是漏记入库",IF(AND(ROUND($X542,3)=0,ABS($Y542)&gt;1),"※数量已经是 0，金额还挂着 "&amp;TEXT($Y542,"#,##0")&amp;" 先令",IF(AND($X542&gt;0,$Y542&lt;=0,$K542=0),"※有数量没金额（这个物料一直没填过进价）",IF($Z542="不可信","△成本含待补价/暂估，毛利仅供参考","")))))</f>
        <v/>
      </c>
    </row>
    <row r="543">
      <c r="A543" s="24">
        <f>IF(物料档案!$A542="","",物料档案!$A542)</f>
        <v/>
      </c>
      <c r="B543" s="24">
        <f>IF($A543="","",IFERROR(VLOOKUP($A543,物料档案!$A$4:$P$1203,3,0),""))</f>
        <v/>
      </c>
      <c r="C543" s="24">
        <f>IF($A543="","",IFERROR(VLOOKUP($A543,物料档案!$A$4:$P$1203,4,0),""))</f>
        <v/>
      </c>
      <c r="D543" s="24">
        <f>IF($A543="","",IFERROR(VLOOKUP($A543,物料档案!$A$4:$P$1203,5,0),""))</f>
        <v/>
      </c>
      <c r="E543" s="24">
        <f>IF($A543="","",IFERROR(VLOOKUP($A543,物料档案!$A$4:$P$1203,2,0),""))</f>
        <v/>
      </c>
      <c r="F543" s="24">
        <f>IF($A543="","",IFERROR(VLOOKUP($A543,物料档案!$A$4:$P$1203,6,0),""))</f>
        <v/>
      </c>
      <c r="G543" s="23" t="n"/>
      <c r="H543" s="32" t="n"/>
      <c r="I543" s="27">
        <f>IF($A543="","",SUMIFS(入库单!$K$4:$K$2503,入库单!$G$4:$G$2503,$A543,入库单!$X$4:$X$2503,"采购入库",入库单!$Z$4:$Z$2503,"正常",入库单!$C$4:$C$2503,"&gt;="&amp;账期起,入库单!$C$4:$C$2503,"&lt;="&amp;账期止))</f>
        <v/>
      </c>
      <c r="J543" s="26">
        <f>IF($A543="","",SUMIFS(入库单!$V$4:$V$2503,入库单!$G$4:$G$2503,$A543,入库单!$X$4:$X$2503,"采购入库",入库单!$Z$4:$Z$2503,"正常",入库单!$C$4:$C$2503,"&gt;="&amp;账期起,入库单!$C$4:$C$2503,"&lt;="&amp;账期止))</f>
        <v/>
      </c>
      <c r="K543" s="26">
        <f>IF($A543="","",IFERROR(ROUND((N($H543)+N($J543))/(N($G543)+N($I543)),2),0))</f>
        <v/>
      </c>
      <c r="L543" s="27">
        <f>IF($A543="","",SUMIFS(入库单!$K$4:$K$2503,入库单!$G$4:$G$2503,$A543,入库单!$X$4:$X$2503,"盘盈",入库单!$Z$4:$Z$2503,"正常",入库单!$C$4:$C$2503,"&gt;="&amp;账期起,入库单!$C$4:$C$2503,"&lt;="&amp;账期止))</f>
        <v/>
      </c>
      <c r="M543" s="26">
        <f>IF($A543="","",ROUND($L543*$K543,0))</f>
        <v/>
      </c>
      <c r="N543" s="27">
        <f>IF($A543="","",SUMIFS(入库单!$K$4:$K$2503,入库单!$G$4:$G$2503,$A543,入库单!$X$4:$X$2503,"矿区退库",入库单!$Z$4:$Z$2503,"正常",入库单!$C$4:$C$2503,"&gt;="&amp;账期起,入库单!$C$4:$C$2503,"&lt;="&amp;账期止))</f>
        <v/>
      </c>
      <c r="O543" s="26">
        <f>IF($A543="","",ROUND($N543*$K543,0))</f>
        <v/>
      </c>
      <c r="P543" s="27">
        <f>IF($A543="","",SUMIFS(出库单!$J$4:$J$4003,出库单!$D$4:$D$4003,$A543,出库单!$K$4:$K$4003,"自用消耗",出库单!$U$4:$U$4003,"正常",出库单!$C$4:$C$4003,"&gt;="&amp;账期起,出库单!$C$4:$C$4003,"&lt;="&amp;账期止))</f>
        <v/>
      </c>
      <c r="Q543" s="26">
        <f>IF($A543="","",ROUND(SUMIFS(出库单!$S$4:$S$4003,出库单!$D$4:$D$4003,$A543,出库单!$K$4:$K$4003,"自用消耗",出库单!$U$4:$U$4003,"正常",出库单!$C$4:$C$4003,"&gt;="&amp;账期起,出库单!$C$4:$C$4003,"&lt;="&amp;账期止),0))</f>
        <v/>
      </c>
      <c r="R543" s="27">
        <f>IF($A543="","",SUMIFS(出库单!$J$4:$J$4003,出库单!$D$4:$D$4003,$A543,出库单!$K$4:$K$4003,"对外销售",出库单!$U$4:$U$4003,"正常",出库单!$C$4:$C$4003,"&gt;="&amp;账期起,出库单!$C$4:$C$4003,"&lt;="&amp;账期止))</f>
        <v/>
      </c>
      <c r="S543" s="26">
        <f>IF($A543="","",ROUND(SUMIFS(出库单!$S$4:$S$4003,出库单!$D$4:$D$4003,$A543,出库单!$K$4:$K$4003,"对外销售",出库单!$U$4:$U$4003,"正常",出库单!$C$4:$C$4003,"&gt;="&amp;账期起,出库单!$C$4:$C$4003,"&lt;="&amp;账期止),0))</f>
        <v/>
      </c>
      <c r="T543" s="27">
        <f>IF($A543="","",SUMIFS(出库单!$J$4:$J$4003,出库单!$D$4:$D$4003,$A543,出库单!$K$4:$K$4003,"盘亏",出库单!$U$4:$U$4003,"正常",出库单!$C$4:$C$4003,"&gt;="&amp;账期起,出库单!$C$4:$C$4003,"&lt;="&amp;账期止))</f>
        <v/>
      </c>
      <c r="U543" s="26">
        <f>IF($A543="","",ROUND(SUMIFS(出库单!$S$4:$S$4003,出库单!$D$4:$D$4003,$A543,出库单!$K$4:$K$4003,"盘亏",出库单!$U$4:$U$4003,"正常",出库单!$C$4:$C$4003,"&gt;="&amp;账期起,出库单!$C$4:$C$4003,"&lt;="&amp;账期止),0))</f>
        <v/>
      </c>
      <c r="V543" s="27">
        <f>IF($A543="","",SUMIFS(出库单!$J$4:$J$4003,出库单!$D$4:$D$4003,$A543,出库单!$K$4:$K$4003,"退货给供应商",出库单!$U$4:$U$4003,"正常",出库单!$C$4:$C$4003,"&gt;="&amp;账期起,出库单!$C$4:$C$4003,"&lt;="&amp;账期止))</f>
        <v/>
      </c>
      <c r="W543" s="26">
        <f>IF($A543="","",ROUND(SUMIFS(出库单!$S$4:$S$4003,出库单!$D$4:$D$4003,$A543,出库单!$K$4:$K$4003,"退货给供应商",出库单!$U$4:$U$4003,"正常",出库单!$C$4:$C$4003,"&gt;="&amp;账期起,出库单!$C$4:$C$4003,"&lt;="&amp;账期止),0))</f>
        <v/>
      </c>
      <c r="X543" s="27">
        <f>IF($A543="","",ROUND(N($G543)+$I543+$L543+$N543-$P543-$R543-$T543-$V543,3))</f>
        <v/>
      </c>
      <c r="Y543" s="26">
        <f>IF($A543="","",ROUND(N($H543)+$J543+$M543+$O543-$Q543-$S543-$U543-$W543,0))</f>
        <v/>
      </c>
      <c r="Z543" s="24">
        <f>IF($A543="","",IF(COUNTIFS(入库单!$G$4:$G$2503,$A543,入库单!$Y$4:$Y$2503,"待补价")+COUNTIFS(入库单!$G$4:$G$2503,$A543,入库单!$Y$4:$Y$2503,"暂估")&gt;0,"不可信","可信"))</f>
        <v/>
      </c>
      <c r="AA543" s="24">
        <f>IF($A543="","",IF($X543&lt;-0.001,"※账面负库存，查一下是不是漏记入库",IF(AND(ROUND($X543,3)=0,ABS($Y543)&gt;1),"※数量已经是 0，金额还挂着 "&amp;TEXT($Y543,"#,##0")&amp;" 先令",IF(AND($X543&gt;0,$Y543&lt;=0,$K543=0),"※有数量没金额（这个物料一直没填过进价）",IF($Z543="不可信","△成本含待补价/暂估，毛利仅供参考","")))))</f>
        <v/>
      </c>
    </row>
    <row r="544">
      <c r="A544" s="24">
        <f>IF(物料档案!$A543="","",物料档案!$A543)</f>
        <v/>
      </c>
      <c r="B544" s="24">
        <f>IF($A544="","",IFERROR(VLOOKUP($A544,物料档案!$A$4:$P$1203,3,0),""))</f>
        <v/>
      </c>
      <c r="C544" s="24">
        <f>IF($A544="","",IFERROR(VLOOKUP($A544,物料档案!$A$4:$P$1203,4,0),""))</f>
        <v/>
      </c>
      <c r="D544" s="24">
        <f>IF($A544="","",IFERROR(VLOOKUP($A544,物料档案!$A$4:$P$1203,5,0),""))</f>
        <v/>
      </c>
      <c r="E544" s="24">
        <f>IF($A544="","",IFERROR(VLOOKUP($A544,物料档案!$A$4:$P$1203,2,0),""))</f>
        <v/>
      </c>
      <c r="F544" s="24">
        <f>IF($A544="","",IFERROR(VLOOKUP($A544,物料档案!$A$4:$P$1203,6,0),""))</f>
        <v/>
      </c>
      <c r="G544" s="23" t="n"/>
      <c r="H544" s="32" t="n"/>
      <c r="I544" s="27">
        <f>IF($A544="","",SUMIFS(入库单!$K$4:$K$2503,入库单!$G$4:$G$2503,$A544,入库单!$X$4:$X$2503,"采购入库",入库单!$Z$4:$Z$2503,"正常",入库单!$C$4:$C$2503,"&gt;="&amp;账期起,入库单!$C$4:$C$2503,"&lt;="&amp;账期止))</f>
        <v/>
      </c>
      <c r="J544" s="26">
        <f>IF($A544="","",SUMIFS(入库单!$V$4:$V$2503,入库单!$G$4:$G$2503,$A544,入库单!$X$4:$X$2503,"采购入库",入库单!$Z$4:$Z$2503,"正常",入库单!$C$4:$C$2503,"&gt;="&amp;账期起,入库单!$C$4:$C$2503,"&lt;="&amp;账期止))</f>
        <v/>
      </c>
      <c r="K544" s="26">
        <f>IF($A544="","",IFERROR(ROUND((N($H544)+N($J544))/(N($G544)+N($I544)),2),0))</f>
        <v/>
      </c>
      <c r="L544" s="27">
        <f>IF($A544="","",SUMIFS(入库单!$K$4:$K$2503,入库单!$G$4:$G$2503,$A544,入库单!$X$4:$X$2503,"盘盈",入库单!$Z$4:$Z$2503,"正常",入库单!$C$4:$C$2503,"&gt;="&amp;账期起,入库单!$C$4:$C$2503,"&lt;="&amp;账期止))</f>
        <v/>
      </c>
      <c r="M544" s="26">
        <f>IF($A544="","",ROUND($L544*$K544,0))</f>
        <v/>
      </c>
      <c r="N544" s="27">
        <f>IF($A544="","",SUMIFS(入库单!$K$4:$K$2503,入库单!$G$4:$G$2503,$A544,入库单!$X$4:$X$2503,"矿区退库",入库单!$Z$4:$Z$2503,"正常",入库单!$C$4:$C$2503,"&gt;="&amp;账期起,入库单!$C$4:$C$2503,"&lt;="&amp;账期止))</f>
        <v/>
      </c>
      <c r="O544" s="26">
        <f>IF($A544="","",ROUND($N544*$K544,0))</f>
        <v/>
      </c>
      <c r="P544" s="27">
        <f>IF($A544="","",SUMIFS(出库单!$J$4:$J$4003,出库单!$D$4:$D$4003,$A544,出库单!$K$4:$K$4003,"自用消耗",出库单!$U$4:$U$4003,"正常",出库单!$C$4:$C$4003,"&gt;="&amp;账期起,出库单!$C$4:$C$4003,"&lt;="&amp;账期止))</f>
        <v/>
      </c>
      <c r="Q544" s="26">
        <f>IF($A544="","",ROUND(SUMIFS(出库单!$S$4:$S$4003,出库单!$D$4:$D$4003,$A544,出库单!$K$4:$K$4003,"自用消耗",出库单!$U$4:$U$4003,"正常",出库单!$C$4:$C$4003,"&gt;="&amp;账期起,出库单!$C$4:$C$4003,"&lt;="&amp;账期止),0))</f>
        <v/>
      </c>
      <c r="R544" s="27">
        <f>IF($A544="","",SUMIFS(出库单!$J$4:$J$4003,出库单!$D$4:$D$4003,$A544,出库单!$K$4:$K$4003,"对外销售",出库单!$U$4:$U$4003,"正常",出库单!$C$4:$C$4003,"&gt;="&amp;账期起,出库单!$C$4:$C$4003,"&lt;="&amp;账期止))</f>
        <v/>
      </c>
      <c r="S544" s="26">
        <f>IF($A544="","",ROUND(SUMIFS(出库单!$S$4:$S$4003,出库单!$D$4:$D$4003,$A544,出库单!$K$4:$K$4003,"对外销售",出库单!$U$4:$U$4003,"正常",出库单!$C$4:$C$4003,"&gt;="&amp;账期起,出库单!$C$4:$C$4003,"&lt;="&amp;账期止),0))</f>
        <v/>
      </c>
      <c r="T544" s="27">
        <f>IF($A544="","",SUMIFS(出库单!$J$4:$J$4003,出库单!$D$4:$D$4003,$A544,出库单!$K$4:$K$4003,"盘亏",出库单!$U$4:$U$4003,"正常",出库单!$C$4:$C$4003,"&gt;="&amp;账期起,出库单!$C$4:$C$4003,"&lt;="&amp;账期止))</f>
        <v/>
      </c>
      <c r="U544" s="26">
        <f>IF($A544="","",ROUND(SUMIFS(出库单!$S$4:$S$4003,出库单!$D$4:$D$4003,$A544,出库单!$K$4:$K$4003,"盘亏",出库单!$U$4:$U$4003,"正常",出库单!$C$4:$C$4003,"&gt;="&amp;账期起,出库单!$C$4:$C$4003,"&lt;="&amp;账期止),0))</f>
        <v/>
      </c>
      <c r="V544" s="27">
        <f>IF($A544="","",SUMIFS(出库单!$J$4:$J$4003,出库单!$D$4:$D$4003,$A544,出库单!$K$4:$K$4003,"退货给供应商",出库单!$U$4:$U$4003,"正常",出库单!$C$4:$C$4003,"&gt;="&amp;账期起,出库单!$C$4:$C$4003,"&lt;="&amp;账期止))</f>
        <v/>
      </c>
      <c r="W544" s="26">
        <f>IF($A544="","",ROUND(SUMIFS(出库单!$S$4:$S$4003,出库单!$D$4:$D$4003,$A544,出库单!$K$4:$K$4003,"退货给供应商",出库单!$U$4:$U$4003,"正常",出库单!$C$4:$C$4003,"&gt;="&amp;账期起,出库单!$C$4:$C$4003,"&lt;="&amp;账期止),0))</f>
        <v/>
      </c>
      <c r="X544" s="27">
        <f>IF($A544="","",ROUND(N($G544)+$I544+$L544+$N544-$P544-$R544-$T544-$V544,3))</f>
        <v/>
      </c>
      <c r="Y544" s="26">
        <f>IF($A544="","",ROUND(N($H544)+$J544+$M544+$O544-$Q544-$S544-$U544-$W544,0))</f>
        <v/>
      </c>
      <c r="Z544" s="24">
        <f>IF($A544="","",IF(COUNTIFS(入库单!$G$4:$G$2503,$A544,入库单!$Y$4:$Y$2503,"待补价")+COUNTIFS(入库单!$G$4:$G$2503,$A544,入库单!$Y$4:$Y$2503,"暂估")&gt;0,"不可信","可信"))</f>
        <v/>
      </c>
      <c r="AA544" s="24">
        <f>IF($A544="","",IF($X544&lt;-0.001,"※账面负库存，查一下是不是漏记入库",IF(AND(ROUND($X544,3)=0,ABS($Y544)&gt;1),"※数量已经是 0，金额还挂着 "&amp;TEXT($Y544,"#,##0")&amp;" 先令",IF(AND($X544&gt;0,$Y544&lt;=0,$K544=0),"※有数量没金额（这个物料一直没填过进价）",IF($Z544="不可信","△成本含待补价/暂估，毛利仅供参考","")))))</f>
        <v/>
      </c>
    </row>
    <row r="545">
      <c r="A545" s="24">
        <f>IF(物料档案!$A544="","",物料档案!$A544)</f>
        <v/>
      </c>
      <c r="B545" s="24">
        <f>IF($A545="","",IFERROR(VLOOKUP($A545,物料档案!$A$4:$P$1203,3,0),""))</f>
        <v/>
      </c>
      <c r="C545" s="24">
        <f>IF($A545="","",IFERROR(VLOOKUP($A545,物料档案!$A$4:$P$1203,4,0),""))</f>
        <v/>
      </c>
      <c r="D545" s="24">
        <f>IF($A545="","",IFERROR(VLOOKUP($A545,物料档案!$A$4:$P$1203,5,0),""))</f>
        <v/>
      </c>
      <c r="E545" s="24">
        <f>IF($A545="","",IFERROR(VLOOKUP($A545,物料档案!$A$4:$P$1203,2,0),""))</f>
        <v/>
      </c>
      <c r="F545" s="24">
        <f>IF($A545="","",IFERROR(VLOOKUP($A545,物料档案!$A$4:$P$1203,6,0),""))</f>
        <v/>
      </c>
      <c r="G545" s="23" t="n"/>
      <c r="H545" s="32" t="n"/>
      <c r="I545" s="27">
        <f>IF($A545="","",SUMIFS(入库单!$K$4:$K$2503,入库单!$G$4:$G$2503,$A545,入库单!$X$4:$X$2503,"采购入库",入库单!$Z$4:$Z$2503,"正常",入库单!$C$4:$C$2503,"&gt;="&amp;账期起,入库单!$C$4:$C$2503,"&lt;="&amp;账期止))</f>
        <v/>
      </c>
      <c r="J545" s="26">
        <f>IF($A545="","",SUMIFS(入库单!$V$4:$V$2503,入库单!$G$4:$G$2503,$A545,入库单!$X$4:$X$2503,"采购入库",入库单!$Z$4:$Z$2503,"正常",入库单!$C$4:$C$2503,"&gt;="&amp;账期起,入库单!$C$4:$C$2503,"&lt;="&amp;账期止))</f>
        <v/>
      </c>
      <c r="K545" s="26">
        <f>IF($A545="","",IFERROR(ROUND((N($H545)+N($J545))/(N($G545)+N($I545)),2),0))</f>
        <v/>
      </c>
      <c r="L545" s="27">
        <f>IF($A545="","",SUMIFS(入库单!$K$4:$K$2503,入库单!$G$4:$G$2503,$A545,入库单!$X$4:$X$2503,"盘盈",入库单!$Z$4:$Z$2503,"正常",入库单!$C$4:$C$2503,"&gt;="&amp;账期起,入库单!$C$4:$C$2503,"&lt;="&amp;账期止))</f>
        <v/>
      </c>
      <c r="M545" s="26">
        <f>IF($A545="","",ROUND($L545*$K545,0))</f>
        <v/>
      </c>
      <c r="N545" s="27">
        <f>IF($A545="","",SUMIFS(入库单!$K$4:$K$2503,入库单!$G$4:$G$2503,$A545,入库单!$X$4:$X$2503,"矿区退库",入库单!$Z$4:$Z$2503,"正常",入库单!$C$4:$C$2503,"&gt;="&amp;账期起,入库单!$C$4:$C$2503,"&lt;="&amp;账期止))</f>
        <v/>
      </c>
      <c r="O545" s="26">
        <f>IF($A545="","",ROUND($N545*$K545,0))</f>
        <v/>
      </c>
      <c r="P545" s="27">
        <f>IF($A545="","",SUMIFS(出库单!$J$4:$J$4003,出库单!$D$4:$D$4003,$A545,出库单!$K$4:$K$4003,"自用消耗",出库单!$U$4:$U$4003,"正常",出库单!$C$4:$C$4003,"&gt;="&amp;账期起,出库单!$C$4:$C$4003,"&lt;="&amp;账期止))</f>
        <v/>
      </c>
      <c r="Q545" s="26">
        <f>IF($A545="","",ROUND(SUMIFS(出库单!$S$4:$S$4003,出库单!$D$4:$D$4003,$A545,出库单!$K$4:$K$4003,"自用消耗",出库单!$U$4:$U$4003,"正常",出库单!$C$4:$C$4003,"&gt;="&amp;账期起,出库单!$C$4:$C$4003,"&lt;="&amp;账期止),0))</f>
        <v/>
      </c>
      <c r="R545" s="27">
        <f>IF($A545="","",SUMIFS(出库单!$J$4:$J$4003,出库单!$D$4:$D$4003,$A545,出库单!$K$4:$K$4003,"对外销售",出库单!$U$4:$U$4003,"正常",出库单!$C$4:$C$4003,"&gt;="&amp;账期起,出库单!$C$4:$C$4003,"&lt;="&amp;账期止))</f>
        <v/>
      </c>
      <c r="S545" s="26">
        <f>IF($A545="","",ROUND(SUMIFS(出库单!$S$4:$S$4003,出库单!$D$4:$D$4003,$A545,出库单!$K$4:$K$4003,"对外销售",出库单!$U$4:$U$4003,"正常",出库单!$C$4:$C$4003,"&gt;="&amp;账期起,出库单!$C$4:$C$4003,"&lt;="&amp;账期止),0))</f>
        <v/>
      </c>
      <c r="T545" s="27">
        <f>IF($A545="","",SUMIFS(出库单!$J$4:$J$4003,出库单!$D$4:$D$4003,$A545,出库单!$K$4:$K$4003,"盘亏",出库单!$U$4:$U$4003,"正常",出库单!$C$4:$C$4003,"&gt;="&amp;账期起,出库单!$C$4:$C$4003,"&lt;="&amp;账期止))</f>
        <v/>
      </c>
      <c r="U545" s="26">
        <f>IF($A545="","",ROUND(SUMIFS(出库单!$S$4:$S$4003,出库单!$D$4:$D$4003,$A545,出库单!$K$4:$K$4003,"盘亏",出库单!$U$4:$U$4003,"正常",出库单!$C$4:$C$4003,"&gt;="&amp;账期起,出库单!$C$4:$C$4003,"&lt;="&amp;账期止),0))</f>
        <v/>
      </c>
      <c r="V545" s="27">
        <f>IF($A545="","",SUMIFS(出库单!$J$4:$J$4003,出库单!$D$4:$D$4003,$A545,出库单!$K$4:$K$4003,"退货给供应商",出库单!$U$4:$U$4003,"正常",出库单!$C$4:$C$4003,"&gt;="&amp;账期起,出库单!$C$4:$C$4003,"&lt;="&amp;账期止))</f>
        <v/>
      </c>
      <c r="W545" s="26">
        <f>IF($A545="","",ROUND(SUMIFS(出库单!$S$4:$S$4003,出库单!$D$4:$D$4003,$A545,出库单!$K$4:$K$4003,"退货给供应商",出库单!$U$4:$U$4003,"正常",出库单!$C$4:$C$4003,"&gt;="&amp;账期起,出库单!$C$4:$C$4003,"&lt;="&amp;账期止),0))</f>
        <v/>
      </c>
      <c r="X545" s="27">
        <f>IF($A545="","",ROUND(N($G545)+$I545+$L545+$N545-$P545-$R545-$T545-$V545,3))</f>
        <v/>
      </c>
      <c r="Y545" s="26">
        <f>IF($A545="","",ROUND(N($H545)+$J545+$M545+$O545-$Q545-$S545-$U545-$W545,0))</f>
        <v/>
      </c>
      <c r="Z545" s="24">
        <f>IF($A545="","",IF(COUNTIFS(入库单!$G$4:$G$2503,$A545,入库单!$Y$4:$Y$2503,"待补价")+COUNTIFS(入库单!$G$4:$G$2503,$A545,入库单!$Y$4:$Y$2503,"暂估")&gt;0,"不可信","可信"))</f>
        <v/>
      </c>
      <c r="AA545" s="24">
        <f>IF($A545="","",IF($X545&lt;-0.001,"※账面负库存，查一下是不是漏记入库",IF(AND(ROUND($X545,3)=0,ABS($Y545)&gt;1),"※数量已经是 0，金额还挂着 "&amp;TEXT($Y545,"#,##0")&amp;" 先令",IF(AND($X545&gt;0,$Y545&lt;=0,$K545=0),"※有数量没金额（这个物料一直没填过进价）",IF($Z545="不可信","△成本含待补价/暂估，毛利仅供参考","")))))</f>
        <v/>
      </c>
    </row>
    <row r="546">
      <c r="A546" s="24">
        <f>IF(物料档案!$A545="","",物料档案!$A545)</f>
        <v/>
      </c>
      <c r="B546" s="24">
        <f>IF($A546="","",IFERROR(VLOOKUP($A546,物料档案!$A$4:$P$1203,3,0),""))</f>
        <v/>
      </c>
      <c r="C546" s="24">
        <f>IF($A546="","",IFERROR(VLOOKUP($A546,物料档案!$A$4:$P$1203,4,0),""))</f>
        <v/>
      </c>
      <c r="D546" s="24">
        <f>IF($A546="","",IFERROR(VLOOKUP($A546,物料档案!$A$4:$P$1203,5,0),""))</f>
        <v/>
      </c>
      <c r="E546" s="24">
        <f>IF($A546="","",IFERROR(VLOOKUP($A546,物料档案!$A$4:$P$1203,2,0),""))</f>
        <v/>
      </c>
      <c r="F546" s="24">
        <f>IF($A546="","",IFERROR(VLOOKUP($A546,物料档案!$A$4:$P$1203,6,0),""))</f>
        <v/>
      </c>
      <c r="G546" s="23" t="n"/>
      <c r="H546" s="32" t="n"/>
      <c r="I546" s="27">
        <f>IF($A546="","",SUMIFS(入库单!$K$4:$K$2503,入库单!$G$4:$G$2503,$A546,入库单!$X$4:$X$2503,"采购入库",入库单!$Z$4:$Z$2503,"正常",入库单!$C$4:$C$2503,"&gt;="&amp;账期起,入库单!$C$4:$C$2503,"&lt;="&amp;账期止))</f>
        <v/>
      </c>
      <c r="J546" s="26">
        <f>IF($A546="","",SUMIFS(入库单!$V$4:$V$2503,入库单!$G$4:$G$2503,$A546,入库单!$X$4:$X$2503,"采购入库",入库单!$Z$4:$Z$2503,"正常",入库单!$C$4:$C$2503,"&gt;="&amp;账期起,入库单!$C$4:$C$2503,"&lt;="&amp;账期止))</f>
        <v/>
      </c>
      <c r="K546" s="26">
        <f>IF($A546="","",IFERROR(ROUND((N($H546)+N($J546))/(N($G546)+N($I546)),2),0))</f>
        <v/>
      </c>
      <c r="L546" s="27">
        <f>IF($A546="","",SUMIFS(入库单!$K$4:$K$2503,入库单!$G$4:$G$2503,$A546,入库单!$X$4:$X$2503,"盘盈",入库单!$Z$4:$Z$2503,"正常",入库单!$C$4:$C$2503,"&gt;="&amp;账期起,入库单!$C$4:$C$2503,"&lt;="&amp;账期止))</f>
        <v/>
      </c>
      <c r="M546" s="26">
        <f>IF($A546="","",ROUND($L546*$K546,0))</f>
        <v/>
      </c>
      <c r="N546" s="27">
        <f>IF($A546="","",SUMIFS(入库单!$K$4:$K$2503,入库单!$G$4:$G$2503,$A546,入库单!$X$4:$X$2503,"矿区退库",入库单!$Z$4:$Z$2503,"正常",入库单!$C$4:$C$2503,"&gt;="&amp;账期起,入库单!$C$4:$C$2503,"&lt;="&amp;账期止))</f>
        <v/>
      </c>
      <c r="O546" s="26">
        <f>IF($A546="","",ROUND($N546*$K546,0))</f>
        <v/>
      </c>
      <c r="P546" s="27">
        <f>IF($A546="","",SUMIFS(出库单!$J$4:$J$4003,出库单!$D$4:$D$4003,$A546,出库单!$K$4:$K$4003,"自用消耗",出库单!$U$4:$U$4003,"正常",出库单!$C$4:$C$4003,"&gt;="&amp;账期起,出库单!$C$4:$C$4003,"&lt;="&amp;账期止))</f>
        <v/>
      </c>
      <c r="Q546" s="26">
        <f>IF($A546="","",ROUND(SUMIFS(出库单!$S$4:$S$4003,出库单!$D$4:$D$4003,$A546,出库单!$K$4:$K$4003,"自用消耗",出库单!$U$4:$U$4003,"正常",出库单!$C$4:$C$4003,"&gt;="&amp;账期起,出库单!$C$4:$C$4003,"&lt;="&amp;账期止),0))</f>
        <v/>
      </c>
      <c r="R546" s="27">
        <f>IF($A546="","",SUMIFS(出库单!$J$4:$J$4003,出库单!$D$4:$D$4003,$A546,出库单!$K$4:$K$4003,"对外销售",出库单!$U$4:$U$4003,"正常",出库单!$C$4:$C$4003,"&gt;="&amp;账期起,出库单!$C$4:$C$4003,"&lt;="&amp;账期止))</f>
        <v/>
      </c>
      <c r="S546" s="26">
        <f>IF($A546="","",ROUND(SUMIFS(出库单!$S$4:$S$4003,出库单!$D$4:$D$4003,$A546,出库单!$K$4:$K$4003,"对外销售",出库单!$U$4:$U$4003,"正常",出库单!$C$4:$C$4003,"&gt;="&amp;账期起,出库单!$C$4:$C$4003,"&lt;="&amp;账期止),0))</f>
        <v/>
      </c>
      <c r="T546" s="27">
        <f>IF($A546="","",SUMIFS(出库单!$J$4:$J$4003,出库单!$D$4:$D$4003,$A546,出库单!$K$4:$K$4003,"盘亏",出库单!$U$4:$U$4003,"正常",出库单!$C$4:$C$4003,"&gt;="&amp;账期起,出库单!$C$4:$C$4003,"&lt;="&amp;账期止))</f>
        <v/>
      </c>
      <c r="U546" s="26">
        <f>IF($A546="","",ROUND(SUMIFS(出库单!$S$4:$S$4003,出库单!$D$4:$D$4003,$A546,出库单!$K$4:$K$4003,"盘亏",出库单!$U$4:$U$4003,"正常",出库单!$C$4:$C$4003,"&gt;="&amp;账期起,出库单!$C$4:$C$4003,"&lt;="&amp;账期止),0))</f>
        <v/>
      </c>
      <c r="V546" s="27">
        <f>IF($A546="","",SUMIFS(出库单!$J$4:$J$4003,出库单!$D$4:$D$4003,$A546,出库单!$K$4:$K$4003,"退货给供应商",出库单!$U$4:$U$4003,"正常",出库单!$C$4:$C$4003,"&gt;="&amp;账期起,出库单!$C$4:$C$4003,"&lt;="&amp;账期止))</f>
        <v/>
      </c>
      <c r="W546" s="26">
        <f>IF($A546="","",ROUND(SUMIFS(出库单!$S$4:$S$4003,出库单!$D$4:$D$4003,$A546,出库单!$K$4:$K$4003,"退货给供应商",出库单!$U$4:$U$4003,"正常",出库单!$C$4:$C$4003,"&gt;="&amp;账期起,出库单!$C$4:$C$4003,"&lt;="&amp;账期止),0))</f>
        <v/>
      </c>
      <c r="X546" s="27">
        <f>IF($A546="","",ROUND(N($G546)+$I546+$L546+$N546-$P546-$R546-$T546-$V546,3))</f>
        <v/>
      </c>
      <c r="Y546" s="26">
        <f>IF($A546="","",ROUND(N($H546)+$J546+$M546+$O546-$Q546-$S546-$U546-$W546,0))</f>
        <v/>
      </c>
      <c r="Z546" s="24">
        <f>IF($A546="","",IF(COUNTIFS(入库单!$G$4:$G$2503,$A546,入库单!$Y$4:$Y$2503,"待补价")+COUNTIFS(入库单!$G$4:$G$2503,$A546,入库单!$Y$4:$Y$2503,"暂估")&gt;0,"不可信","可信"))</f>
        <v/>
      </c>
      <c r="AA546" s="24">
        <f>IF($A546="","",IF($X546&lt;-0.001,"※账面负库存，查一下是不是漏记入库",IF(AND(ROUND($X546,3)=0,ABS($Y546)&gt;1),"※数量已经是 0，金额还挂着 "&amp;TEXT($Y546,"#,##0")&amp;" 先令",IF(AND($X546&gt;0,$Y546&lt;=0,$K546=0),"※有数量没金额（这个物料一直没填过进价）",IF($Z546="不可信","△成本含待补价/暂估，毛利仅供参考","")))))</f>
        <v/>
      </c>
    </row>
    <row r="547">
      <c r="A547" s="24">
        <f>IF(物料档案!$A546="","",物料档案!$A546)</f>
        <v/>
      </c>
      <c r="B547" s="24">
        <f>IF($A547="","",IFERROR(VLOOKUP($A547,物料档案!$A$4:$P$1203,3,0),""))</f>
        <v/>
      </c>
      <c r="C547" s="24">
        <f>IF($A547="","",IFERROR(VLOOKUP($A547,物料档案!$A$4:$P$1203,4,0),""))</f>
        <v/>
      </c>
      <c r="D547" s="24">
        <f>IF($A547="","",IFERROR(VLOOKUP($A547,物料档案!$A$4:$P$1203,5,0),""))</f>
        <v/>
      </c>
      <c r="E547" s="24">
        <f>IF($A547="","",IFERROR(VLOOKUP($A547,物料档案!$A$4:$P$1203,2,0),""))</f>
        <v/>
      </c>
      <c r="F547" s="24">
        <f>IF($A547="","",IFERROR(VLOOKUP($A547,物料档案!$A$4:$P$1203,6,0),""))</f>
        <v/>
      </c>
      <c r="G547" s="23" t="n"/>
      <c r="H547" s="32" t="n"/>
      <c r="I547" s="27">
        <f>IF($A547="","",SUMIFS(入库单!$K$4:$K$2503,入库单!$G$4:$G$2503,$A547,入库单!$X$4:$X$2503,"采购入库",入库单!$Z$4:$Z$2503,"正常",入库单!$C$4:$C$2503,"&gt;="&amp;账期起,入库单!$C$4:$C$2503,"&lt;="&amp;账期止))</f>
        <v/>
      </c>
      <c r="J547" s="26">
        <f>IF($A547="","",SUMIFS(入库单!$V$4:$V$2503,入库单!$G$4:$G$2503,$A547,入库单!$X$4:$X$2503,"采购入库",入库单!$Z$4:$Z$2503,"正常",入库单!$C$4:$C$2503,"&gt;="&amp;账期起,入库单!$C$4:$C$2503,"&lt;="&amp;账期止))</f>
        <v/>
      </c>
      <c r="K547" s="26">
        <f>IF($A547="","",IFERROR(ROUND((N($H547)+N($J547))/(N($G547)+N($I547)),2),0))</f>
        <v/>
      </c>
      <c r="L547" s="27">
        <f>IF($A547="","",SUMIFS(入库单!$K$4:$K$2503,入库单!$G$4:$G$2503,$A547,入库单!$X$4:$X$2503,"盘盈",入库单!$Z$4:$Z$2503,"正常",入库单!$C$4:$C$2503,"&gt;="&amp;账期起,入库单!$C$4:$C$2503,"&lt;="&amp;账期止))</f>
        <v/>
      </c>
      <c r="M547" s="26">
        <f>IF($A547="","",ROUND($L547*$K547,0))</f>
        <v/>
      </c>
      <c r="N547" s="27">
        <f>IF($A547="","",SUMIFS(入库单!$K$4:$K$2503,入库单!$G$4:$G$2503,$A547,入库单!$X$4:$X$2503,"矿区退库",入库单!$Z$4:$Z$2503,"正常",入库单!$C$4:$C$2503,"&gt;="&amp;账期起,入库单!$C$4:$C$2503,"&lt;="&amp;账期止))</f>
        <v/>
      </c>
      <c r="O547" s="26">
        <f>IF($A547="","",ROUND($N547*$K547,0))</f>
        <v/>
      </c>
      <c r="P547" s="27">
        <f>IF($A547="","",SUMIFS(出库单!$J$4:$J$4003,出库单!$D$4:$D$4003,$A547,出库单!$K$4:$K$4003,"自用消耗",出库单!$U$4:$U$4003,"正常",出库单!$C$4:$C$4003,"&gt;="&amp;账期起,出库单!$C$4:$C$4003,"&lt;="&amp;账期止))</f>
        <v/>
      </c>
      <c r="Q547" s="26">
        <f>IF($A547="","",ROUND(SUMIFS(出库单!$S$4:$S$4003,出库单!$D$4:$D$4003,$A547,出库单!$K$4:$K$4003,"自用消耗",出库单!$U$4:$U$4003,"正常",出库单!$C$4:$C$4003,"&gt;="&amp;账期起,出库单!$C$4:$C$4003,"&lt;="&amp;账期止),0))</f>
        <v/>
      </c>
      <c r="R547" s="27">
        <f>IF($A547="","",SUMIFS(出库单!$J$4:$J$4003,出库单!$D$4:$D$4003,$A547,出库单!$K$4:$K$4003,"对外销售",出库单!$U$4:$U$4003,"正常",出库单!$C$4:$C$4003,"&gt;="&amp;账期起,出库单!$C$4:$C$4003,"&lt;="&amp;账期止))</f>
        <v/>
      </c>
      <c r="S547" s="26">
        <f>IF($A547="","",ROUND(SUMIFS(出库单!$S$4:$S$4003,出库单!$D$4:$D$4003,$A547,出库单!$K$4:$K$4003,"对外销售",出库单!$U$4:$U$4003,"正常",出库单!$C$4:$C$4003,"&gt;="&amp;账期起,出库单!$C$4:$C$4003,"&lt;="&amp;账期止),0))</f>
        <v/>
      </c>
      <c r="T547" s="27">
        <f>IF($A547="","",SUMIFS(出库单!$J$4:$J$4003,出库单!$D$4:$D$4003,$A547,出库单!$K$4:$K$4003,"盘亏",出库单!$U$4:$U$4003,"正常",出库单!$C$4:$C$4003,"&gt;="&amp;账期起,出库单!$C$4:$C$4003,"&lt;="&amp;账期止))</f>
        <v/>
      </c>
      <c r="U547" s="26">
        <f>IF($A547="","",ROUND(SUMIFS(出库单!$S$4:$S$4003,出库单!$D$4:$D$4003,$A547,出库单!$K$4:$K$4003,"盘亏",出库单!$U$4:$U$4003,"正常",出库单!$C$4:$C$4003,"&gt;="&amp;账期起,出库单!$C$4:$C$4003,"&lt;="&amp;账期止),0))</f>
        <v/>
      </c>
      <c r="V547" s="27">
        <f>IF($A547="","",SUMIFS(出库单!$J$4:$J$4003,出库单!$D$4:$D$4003,$A547,出库单!$K$4:$K$4003,"退货给供应商",出库单!$U$4:$U$4003,"正常",出库单!$C$4:$C$4003,"&gt;="&amp;账期起,出库单!$C$4:$C$4003,"&lt;="&amp;账期止))</f>
        <v/>
      </c>
      <c r="W547" s="26">
        <f>IF($A547="","",ROUND(SUMIFS(出库单!$S$4:$S$4003,出库单!$D$4:$D$4003,$A547,出库单!$K$4:$K$4003,"退货给供应商",出库单!$U$4:$U$4003,"正常",出库单!$C$4:$C$4003,"&gt;="&amp;账期起,出库单!$C$4:$C$4003,"&lt;="&amp;账期止),0))</f>
        <v/>
      </c>
      <c r="X547" s="27">
        <f>IF($A547="","",ROUND(N($G547)+$I547+$L547+$N547-$P547-$R547-$T547-$V547,3))</f>
        <v/>
      </c>
      <c r="Y547" s="26">
        <f>IF($A547="","",ROUND(N($H547)+$J547+$M547+$O547-$Q547-$S547-$U547-$W547,0))</f>
        <v/>
      </c>
      <c r="Z547" s="24">
        <f>IF($A547="","",IF(COUNTIFS(入库单!$G$4:$G$2503,$A547,入库单!$Y$4:$Y$2503,"待补价")+COUNTIFS(入库单!$G$4:$G$2503,$A547,入库单!$Y$4:$Y$2503,"暂估")&gt;0,"不可信","可信"))</f>
        <v/>
      </c>
      <c r="AA547" s="24">
        <f>IF($A547="","",IF($X547&lt;-0.001,"※账面负库存，查一下是不是漏记入库",IF(AND(ROUND($X547,3)=0,ABS($Y547)&gt;1),"※数量已经是 0，金额还挂着 "&amp;TEXT($Y547,"#,##0")&amp;" 先令",IF(AND($X547&gt;0,$Y547&lt;=0,$K547=0),"※有数量没金额（这个物料一直没填过进价）",IF($Z547="不可信","△成本含待补价/暂估，毛利仅供参考","")))))</f>
        <v/>
      </c>
    </row>
    <row r="548">
      <c r="A548" s="24">
        <f>IF(物料档案!$A547="","",物料档案!$A547)</f>
        <v/>
      </c>
      <c r="B548" s="24">
        <f>IF($A548="","",IFERROR(VLOOKUP($A548,物料档案!$A$4:$P$1203,3,0),""))</f>
        <v/>
      </c>
      <c r="C548" s="24">
        <f>IF($A548="","",IFERROR(VLOOKUP($A548,物料档案!$A$4:$P$1203,4,0),""))</f>
        <v/>
      </c>
      <c r="D548" s="24">
        <f>IF($A548="","",IFERROR(VLOOKUP($A548,物料档案!$A$4:$P$1203,5,0),""))</f>
        <v/>
      </c>
      <c r="E548" s="24">
        <f>IF($A548="","",IFERROR(VLOOKUP($A548,物料档案!$A$4:$P$1203,2,0),""))</f>
        <v/>
      </c>
      <c r="F548" s="24">
        <f>IF($A548="","",IFERROR(VLOOKUP($A548,物料档案!$A$4:$P$1203,6,0),""))</f>
        <v/>
      </c>
      <c r="G548" s="23" t="n"/>
      <c r="H548" s="32" t="n"/>
      <c r="I548" s="27">
        <f>IF($A548="","",SUMIFS(入库单!$K$4:$K$2503,入库单!$G$4:$G$2503,$A548,入库单!$X$4:$X$2503,"采购入库",入库单!$Z$4:$Z$2503,"正常",入库单!$C$4:$C$2503,"&gt;="&amp;账期起,入库单!$C$4:$C$2503,"&lt;="&amp;账期止))</f>
        <v/>
      </c>
      <c r="J548" s="26">
        <f>IF($A548="","",SUMIFS(入库单!$V$4:$V$2503,入库单!$G$4:$G$2503,$A548,入库单!$X$4:$X$2503,"采购入库",入库单!$Z$4:$Z$2503,"正常",入库单!$C$4:$C$2503,"&gt;="&amp;账期起,入库单!$C$4:$C$2503,"&lt;="&amp;账期止))</f>
        <v/>
      </c>
      <c r="K548" s="26">
        <f>IF($A548="","",IFERROR(ROUND((N($H548)+N($J548))/(N($G548)+N($I548)),2),0))</f>
        <v/>
      </c>
      <c r="L548" s="27">
        <f>IF($A548="","",SUMIFS(入库单!$K$4:$K$2503,入库单!$G$4:$G$2503,$A548,入库单!$X$4:$X$2503,"盘盈",入库单!$Z$4:$Z$2503,"正常",入库单!$C$4:$C$2503,"&gt;="&amp;账期起,入库单!$C$4:$C$2503,"&lt;="&amp;账期止))</f>
        <v/>
      </c>
      <c r="M548" s="26">
        <f>IF($A548="","",ROUND($L548*$K548,0))</f>
        <v/>
      </c>
      <c r="N548" s="27">
        <f>IF($A548="","",SUMIFS(入库单!$K$4:$K$2503,入库单!$G$4:$G$2503,$A548,入库单!$X$4:$X$2503,"矿区退库",入库单!$Z$4:$Z$2503,"正常",入库单!$C$4:$C$2503,"&gt;="&amp;账期起,入库单!$C$4:$C$2503,"&lt;="&amp;账期止))</f>
        <v/>
      </c>
      <c r="O548" s="26">
        <f>IF($A548="","",ROUND($N548*$K548,0))</f>
        <v/>
      </c>
      <c r="P548" s="27">
        <f>IF($A548="","",SUMIFS(出库单!$J$4:$J$4003,出库单!$D$4:$D$4003,$A548,出库单!$K$4:$K$4003,"自用消耗",出库单!$U$4:$U$4003,"正常",出库单!$C$4:$C$4003,"&gt;="&amp;账期起,出库单!$C$4:$C$4003,"&lt;="&amp;账期止))</f>
        <v/>
      </c>
      <c r="Q548" s="26">
        <f>IF($A548="","",ROUND(SUMIFS(出库单!$S$4:$S$4003,出库单!$D$4:$D$4003,$A548,出库单!$K$4:$K$4003,"自用消耗",出库单!$U$4:$U$4003,"正常",出库单!$C$4:$C$4003,"&gt;="&amp;账期起,出库单!$C$4:$C$4003,"&lt;="&amp;账期止),0))</f>
        <v/>
      </c>
      <c r="R548" s="27">
        <f>IF($A548="","",SUMIFS(出库单!$J$4:$J$4003,出库单!$D$4:$D$4003,$A548,出库单!$K$4:$K$4003,"对外销售",出库单!$U$4:$U$4003,"正常",出库单!$C$4:$C$4003,"&gt;="&amp;账期起,出库单!$C$4:$C$4003,"&lt;="&amp;账期止))</f>
        <v/>
      </c>
      <c r="S548" s="26">
        <f>IF($A548="","",ROUND(SUMIFS(出库单!$S$4:$S$4003,出库单!$D$4:$D$4003,$A548,出库单!$K$4:$K$4003,"对外销售",出库单!$U$4:$U$4003,"正常",出库单!$C$4:$C$4003,"&gt;="&amp;账期起,出库单!$C$4:$C$4003,"&lt;="&amp;账期止),0))</f>
        <v/>
      </c>
      <c r="T548" s="27">
        <f>IF($A548="","",SUMIFS(出库单!$J$4:$J$4003,出库单!$D$4:$D$4003,$A548,出库单!$K$4:$K$4003,"盘亏",出库单!$U$4:$U$4003,"正常",出库单!$C$4:$C$4003,"&gt;="&amp;账期起,出库单!$C$4:$C$4003,"&lt;="&amp;账期止))</f>
        <v/>
      </c>
      <c r="U548" s="26">
        <f>IF($A548="","",ROUND(SUMIFS(出库单!$S$4:$S$4003,出库单!$D$4:$D$4003,$A548,出库单!$K$4:$K$4003,"盘亏",出库单!$U$4:$U$4003,"正常",出库单!$C$4:$C$4003,"&gt;="&amp;账期起,出库单!$C$4:$C$4003,"&lt;="&amp;账期止),0))</f>
        <v/>
      </c>
      <c r="V548" s="27">
        <f>IF($A548="","",SUMIFS(出库单!$J$4:$J$4003,出库单!$D$4:$D$4003,$A548,出库单!$K$4:$K$4003,"退货给供应商",出库单!$U$4:$U$4003,"正常",出库单!$C$4:$C$4003,"&gt;="&amp;账期起,出库单!$C$4:$C$4003,"&lt;="&amp;账期止))</f>
        <v/>
      </c>
      <c r="W548" s="26">
        <f>IF($A548="","",ROUND(SUMIFS(出库单!$S$4:$S$4003,出库单!$D$4:$D$4003,$A548,出库单!$K$4:$K$4003,"退货给供应商",出库单!$U$4:$U$4003,"正常",出库单!$C$4:$C$4003,"&gt;="&amp;账期起,出库单!$C$4:$C$4003,"&lt;="&amp;账期止),0))</f>
        <v/>
      </c>
      <c r="X548" s="27">
        <f>IF($A548="","",ROUND(N($G548)+$I548+$L548+$N548-$P548-$R548-$T548-$V548,3))</f>
        <v/>
      </c>
      <c r="Y548" s="26">
        <f>IF($A548="","",ROUND(N($H548)+$J548+$M548+$O548-$Q548-$S548-$U548-$W548,0))</f>
        <v/>
      </c>
      <c r="Z548" s="24">
        <f>IF($A548="","",IF(COUNTIFS(入库单!$G$4:$G$2503,$A548,入库单!$Y$4:$Y$2503,"待补价")+COUNTIFS(入库单!$G$4:$G$2503,$A548,入库单!$Y$4:$Y$2503,"暂估")&gt;0,"不可信","可信"))</f>
        <v/>
      </c>
      <c r="AA548" s="24">
        <f>IF($A548="","",IF($X548&lt;-0.001,"※账面负库存，查一下是不是漏记入库",IF(AND(ROUND($X548,3)=0,ABS($Y548)&gt;1),"※数量已经是 0，金额还挂着 "&amp;TEXT($Y548,"#,##0")&amp;" 先令",IF(AND($X548&gt;0,$Y548&lt;=0,$K548=0),"※有数量没金额（这个物料一直没填过进价）",IF($Z548="不可信","△成本含待补价/暂估，毛利仅供参考","")))))</f>
        <v/>
      </c>
    </row>
    <row r="549">
      <c r="A549" s="24">
        <f>IF(物料档案!$A548="","",物料档案!$A548)</f>
        <v/>
      </c>
      <c r="B549" s="24">
        <f>IF($A549="","",IFERROR(VLOOKUP($A549,物料档案!$A$4:$P$1203,3,0),""))</f>
        <v/>
      </c>
      <c r="C549" s="24">
        <f>IF($A549="","",IFERROR(VLOOKUP($A549,物料档案!$A$4:$P$1203,4,0),""))</f>
        <v/>
      </c>
      <c r="D549" s="24">
        <f>IF($A549="","",IFERROR(VLOOKUP($A549,物料档案!$A$4:$P$1203,5,0),""))</f>
        <v/>
      </c>
      <c r="E549" s="24">
        <f>IF($A549="","",IFERROR(VLOOKUP($A549,物料档案!$A$4:$P$1203,2,0),""))</f>
        <v/>
      </c>
      <c r="F549" s="24">
        <f>IF($A549="","",IFERROR(VLOOKUP($A549,物料档案!$A$4:$P$1203,6,0),""))</f>
        <v/>
      </c>
      <c r="G549" s="23" t="n"/>
      <c r="H549" s="32" t="n"/>
      <c r="I549" s="27">
        <f>IF($A549="","",SUMIFS(入库单!$K$4:$K$2503,入库单!$G$4:$G$2503,$A549,入库单!$X$4:$X$2503,"采购入库",入库单!$Z$4:$Z$2503,"正常",入库单!$C$4:$C$2503,"&gt;="&amp;账期起,入库单!$C$4:$C$2503,"&lt;="&amp;账期止))</f>
        <v/>
      </c>
      <c r="J549" s="26">
        <f>IF($A549="","",SUMIFS(入库单!$V$4:$V$2503,入库单!$G$4:$G$2503,$A549,入库单!$X$4:$X$2503,"采购入库",入库单!$Z$4:$Z$2503,"正常",入库单!$C$4:$C$2503,"&gt;="&amp;账期起,入库单!$C$4:$C$2503,"&lt;="&amp;账期止))</f>
        <v/>
      </c>
      <c r="K549" s="26">
        <f>IF($A549="","",IFERROR(ROUND((N($H549)+N($J549))/(N($G549)+N($I549)),2),0))</f>
        <v/>
      </c>
      <c r="L549" s="27">
        <f>IF($A549="","",SUMIFS(入库单!$K$4:$K$2503,入库单!$G$4:$G$2503,$A549,入库单!$X$4:$X$2503,"盘盈",入库单!$Z$4:$Z$2503,"正常",入库单!$C$4:$C$2503,"&gt;="&amp;账期起,入库单!$C$4:$C$2503,"&lt;="&amp;账期止))</f>
        <v/>
      </c>
      <c r="M549" s="26">
        <f>IF($A549="","",ROUND($L549*$K549,0))</f>
        <v/>
      </c>
      <c r="N549" s="27">
        <f>IF($A549="","",SUMIFS(入库单!$K$4:$K$2503,入库单!$G$4:$G$2503,$A549,入库单!$X$4:$X$2503,"矿区退库",入库单!$Z$4:$Z$2503,"正常",入库单!$C$4:$C$2503,"&gt;="&amp;账期起,入库单!$C$4:$C$2503,"&lt;="&amp;账期止))</f>
        <v/>
      </c>
      <c r="O549" s="26">
        <f>IF($A549="","",ROUND($N549*$K549,0))</f>
        <v/>
      </c>
      <c r="P549" s="27">
        <f>IF($A549="","",SUMIFS(出库单!$J$4:$J$4003,出库单!$D$4:$D$4003,$A549,出库单!$K$4:$K$4003,"自用消耗",出库单!$U$4:$U$4003,"正常",出库单!$C$4:$C$4003,"&gt;="&amp;账期起,出库单!$C$4:$C$4003,"&lt;="&amp;账期止))</f>
        <v/>
      </c>
      <c r="Q549" s="26">
        <f>IF($A549="","",ROUND(SUMIFS(出库单!$S$4:$S$4003,出库单!$D$4:$D$4003,$A549,出库单!$K$4:$K$4003,"自用消耗",出库单!$U$4:$U$4003,"正常",出库单!$C$4:$C$4003,"&gt;="&amp;账期起,出库单!$C$4:$C$4003,"&lt;="&amp;账期止),0))</f>
        <v/>
      </c>
      <c r="R549" s="27">
        <f>IF($A549="","",SUMIFS(出库单!$J$4:$J$4003,出库单!$D$4:$D$4003,$A549,出库单!$K$4:$K$4003,"对外销售",出库单!$U$4:$U$4003,"正常",出库单!$C$4:$C$4003,"&gt;="&amp;账期起,出库单!$C$4:$C$4003,"&lt;="&amp;账期止))</f>
        <v/>
      </c>
      <c r="S549" s="26">
        <f>IF($A549="","",ROUND(SUMIFS(出库单!$S$4:$S$4003,出库单!$D$4:$D$4003,$A549,出库单!$K$4:$K$4003,"对外销售",出库单!$U$4:$U$4003,"正常",出库单!$C$4:$C$4003,"&gt;="&amp;账期起,出库单!$C$4:$C$4003,"&lt;="&amp;账期止),0))</f>
        <v/>
      </c>
      <c r="T549" s="27">
        <f>IF($A549="","",SUMIFS(出库单!$J$4:$J$4003,出库单!$D$4:$D$4003,$A549,出库单!$K$4:$K$4003,"盘亏",出库单!$U$4:$U$4003,"正常",出库单!$C$4:$C$4003,"&gt;="&amp;账期起,出库单!$C$4:$C$4003,"&lt;="&amp;账期止))</f>
        <v/>
      </c>
      <c r="U549" s="26">
        <f>IF($A549="","",ROUND(SUMIFS(出库单!$S$4:$S$4003,出库单!$D$4:$D$4003,$A549,出库单!$K$4:$K$4003,"盘亏",出库单!$U$4:$U$4003,"正常",出库单!$C$4:$C$4003,"&gt;="&amp;账期起,出库单!$C$4:$C$4003,"&lt;="&amp;账期止),0))</f>
        <v/>
      </c>
      <c r="V549" s="27">
        <f>IF($A549="","",SUMIFS(出库单!$J$4:$J$4003,出库单!$D$4:$D$4003,$A549,出库单!$K$4:$K$4003,"退货给供应商",出库单!$U$4:$U$4003,"正常",出库单!$C$4:$C$4003,"&gt;="&amp;账期起,出库单!$C$4:$C$4003,"&lt;="&amp;账期止))</f>
        <v/>
      </c>
      <c r="W549" s="26">
        <f>IF($A549="","",ROUND(SUMIFS(出库单!$S$4:$S$4003,出库单!$D$4:$D$4003,$A549,出库单!$K$4:$K$4003,"退货给供应商",出库单!$U$4:$U$4003,"正常",出库单!$C$4:$C$4003,"&gt;="&amp;账期起,出库单!$C$4:$C$4003,"&lt;="&amp;账期止),0))</f>
        <v/>
      </c>
      <c r="X549" s="27">
        <f>IF($A549="","",ROUND(N($G549)+$I549+$L549+$N549-$P549-$R549-$T549-$V549,3))</f>
        <v/>
      </c>
      <c r="Y549" s="26">
        <f>IF($A549="","",ROUND(N($H549)+$J549+$M549+$O549-$Q549-$S549-$U549-$W549,0))</f>
        <v/>
      </c>
      <c r="Z549" s="24">
        <f>IF($A549="","",IF(COUNTIFS(入库单!$G$4:$G$2503,$A549,入库单!$Y$4:$Y$2503,"待补价")+COUNTIFS(入库单!$G$4:$G$2503,$A549,入库单!$Y$4:$Y$2503,"暂估")&gt;0,"不可信","可信"))</f>
        <v/>
      </c>
      <c r="AA549" s="24">
        <f>IF($A549="","",IF($X549&lt;-0.001,"※账面负库存，查一下是不是漏记入库",IF(AND(ROUND($X549,3)=0,ABS($Y549)&gt;1),"※数量已经是 0，金额还挂着 "&amp;TEXT($Y549,"#,##0")&amp;" 先令",IF(AND($X549&gt;0,$Y549&lt;=0,$K549=0),"※有数量没金额（这个物料一直没填过进价）",IF($Z549="不可信","△成本含待补价/暂估，毛利仅供参考","")))))</f>
        <v/>
      </c>
    </row>
    <row r="550">
      <c r="A550" s="24">
        <f>IF(物料档案!$A549="","",物料档案!$A549)</f>
        <v/>
      </c>
      <c r="B550" s="24">
        <f>IF($A550="","",IFERROR(VLOOKUP($A550,物料档案!$A$4:$P$1203,3,0),""))</f>
        <v/>
      </c>
      <c r="C550" s="24">
        <f>IF($A550="","",IFERROR(VLOOKUP($A550,物料档案!$A$4:$P$1203,4,0),""))</f>
        <v/>
      </c>
      <c r="D550" s="24">
        <f>IF($A550="","",IFERROR(VLOOKUP($A550,物料档案!$A$4:$P$1203,5,0),""))</f>
        <v/>
      </c>
      <c r="E550" s="24">
        <f>IF($A550="","",IFERROR(VLOOKUP($A550,物料档案!$A$4:$P$1203,2,0),""))</f>
        <v/>
      </c>
      <c r="F550" s="24">
        <f>IF($A550="","",IFERROR(VLOOKUP($A550,物料档案!$A$4:$P$1203,6,0),""))</f>
        <v/>
      </c>
      <c r="G550" s="23" t="n"/>
      <c r="H550" s="32" t="n"/>
      <c r="I550" s="27">
        <f>IF($A550="","",SUMIFS(入库单!$K$4:$K$2503,入库单!$G$4:$G$2503,$A550,入库单!$X$4:$X$2503,"采购入库",入库单!$Z$4:$Z$2503,"正常",入库单!$C$4:$C$2503,"&gt;="&amp;账期起,入库单!$C$4:$C$2503,"&lt;="&amp;账期止))</f>
        <v/>
      </c>
      <c r="J550" s="26">
        <f>IF($A550="","",SUMIFS(入库单!$V$4:$V$2503,入库单!$G$4:$G$2503,$A550,入库单!$X$4:$X$2503,"采购入库",入库单!$Z$4:$Z$2503,"正常",入库单!$C$4:$C$2503,"&gt;="&amp;账期起,入库单!$C$4:$C$2503,"&lt;="&amp;账期止))</f>
        <v/>
      </c>
      <c r="K550" s="26">
        <f>IF($A550="","",IFERROR(ROUND((N($H550)+N($J550))/(N($G550)+N($I550)),2),0))</f>
        <v/>
      </c>
      <c r="L550" s="27">
        <f>IF($A550="","",SUMIFS(入库单!$K$4:$K$2503,入库单!$G$4:$G$2503,$A550,入库单!$X$4:$X$2503,"盘盈",入库单!$Z$4:$Z$2503,"正常",入库单!$C$4:$C$2503,"&gt;="&amp;账期起,入库单!$C$4:$C$2503,"&lt;="&amp;账期止))</f>
        <v/>
      </c>
      <c r="M550" s="26">
        <f>IF($A550="","",ROUND($L550*$K550,0))</f>
        <v/>
      </c>
      <c r="N550" s="27">
        <f>IF($A550="","",SUMIFS(入库单!$K$4:$K$2503,入库单!$G$4:$G$2503,$A550,入库单!$X$4:$X$2503,"矿区退库",入库单!$Z$4:$Z$2503,"正常",入库单!$C$4:$C$2503,"&gt;="&amp;账期起,入库单!$C$4:$C$2503,"&lt;="&amp;账期止))</f>
        <v/>
      </c>
      <c r="O550" s="26">
        <f>IF($A550="","",ROUND($N550*$K550,0))</f>
        <v/>
      </c>
      <c r="P550" s="27">
        <f>IF($A550="","",SUMIFS(出库单!$J$4:$J$4003,出库单!$D$4:$D$4003,$A550,出库单!$K$4:$K$4003,"自用消耗",出库单!$U$4:$U$4003,"正常",出库单!$C$4:$C$4003,"&gt;="&amp;账期起,出库单!$C$4:$C$4003,"&lt;="&amp;账期止))</f>
        <v/>
      </c>
      <c r="Q550" s="26">
        <f>IF($A550="","",ROUND(SUMIFS(出库单!$S$4:$S$4003,出库单!$D$4:$D$4003,$A550,出库单!$K$4:$K$4003,"自用消耗",出库单!$U$4:$U$4003,"正常",出库单!$C$4:$C$4003,"&gt;="&amp;账期起,出库单!$C$4:$C$4003,"&lt;="&amp;账期止),0))</f>
        <v/>
      </c>
      <c r="R550" s="27">
        <f>IF($A550="","",SUMIFS(出库单!$J$4:$J$4003,出库单!$D$4:$D$4003,$A550,出库单!$K$4:$K$4003,"对外销售",出库单!$U$4:$U$4003,"正常",出库单!$C$4:$C$4003,"&gt;="&amp;账期起,出库单!$C$4:$C$4003,"&lt;="&amp;账期止))</f>
        <v/>
      </c>
      <c r="S550" s="26">
        <f>IF($A550="","",ROUND(SUMIFS(出库单!$S$4:$S$4003,出库单!$D$4:$D$4003,$A550,出库单!$K$4:$K$4003,"对外销售",出库单!$U$4:$U$4003,"正常",出库单!$C$4:$C$4003,"&gt;="&amp;账期起,出库单!$C$4:$C$4003,"&lt;="&amp;账期止),0))</f>
        <v/>
      </c>
      <c r="T550" s="27">
        <f>IF($A550="","",SUMIFS(出库单!$J$4:$J$4003,出库单!$D$4:$D$4003,$A550,出库单!$K$4:$K$4003,"盘亏",出库单!$U$4:$U$4003,"正常",出库单!$C$4:$C$4003,"&gt;="&amp;账期起,出库单!$C$4:$C$4003,"&lt;="&amp;账期止))</f>
        <v/>
      </c>
      <c r="U550" s="26">
        <f>IF($A550="","",ROUND(SUMIFS(出库单!$S$4:$S$4003,出库单!$D$4:$D$4003,$A550,出库单!$K$4:$K$4003,"盘亏",出库单!$U$4:$U$4003,"正常",出库单!$C$4:$C$4003,"&gt;="&amp;账期起,出库单!$C$4:$C$4003,"&lt;="&amp;账期止),0))</f>
        <v/>
      </c>
      <c r="V550" s="27">
        <f>IF($A550="","",SUMIFS(出库单!$J$4:$J$4003,出库单!$D$4:$D$4003,$A550,出库单!$K$4:$K$4003,"退货给供应商",出库单!$U$4:$U$4003,"正常",出库单!$C$4:$C$4003,"&gt;="&amp;账期起,出库单!$C$4:$C$4003,"&lt;="&amp;账期止))</f>
        <v/>
      </c>
      <c r="W550" s="26">
        <f>IF($A550="","",ROUND(SUMIFS(出库单!$S$4:$S$4003,出库单!$D$4:$D$4003,$A550,出库单!$K$4:$K$4003,"退货给供应商",出库单!$U$4:$U$4003,"正常",出库单!$C$4:$C$4003,"&gt;="&amp;账期起,出库单!$C$4:$C$4003,"&lt;="&amp;账期止),0))</f>
        <v/>
      </c>
      <c r="X550" s="27">
        <f>IF($A550="","",ROUND(N($G550)+$I550+$L550+$N550-$P550-$R550-$T550-$V550,3))</f>
        <v/>
      </c>
      <c r="Y550" s="26">
        <f>IF($A550="","",ROUND(N($H550)+$J550+$M550+$O550-$Q550-$S550-$U550-$W550,0))</f>
        <v/>
      </c>
      <c r="Z550" s="24">
        <f>IF($A550="","",IF(COUNTIFS(入库单!$G$4:$G$2503,$A550,入库单!$Y$4:$Y$2503,"待补价")+COUNTIFS(入库单!$G$4:$G$2503,$A550,入库单!$Y$4:$Y$2503,"暂估")&gt;0,"不可信","可信"))</f>
        <v/>
      </c>
      <c r="AA550" s="24">
        <f>IF($A550="","",IF($X550&lt;-0.001,"※账面负库存，查一下是不是漏记入库",IF(AND(ROUND($X550,3)=0,ABS($Y550)&gt;1),"※数量已经是 0，金额还挂着 "&amp;TEXT($Y550,"#,##0")&amp;" 先令",IF(AND($X550&gt;0,$Y550&lt;=0,$K550=0),"※有数量没金额（这个物料一直没填过进价）",IF($Z550="不可信","△成本含待补价/暂估，毛利仅供参考","")))))</f>
        <v/>
      </c>
    </row>
    <row r="551">
      <c r="A551" s="24">
        <f>IF(物料档案!$A550="","",物料档案!$A550)</f>
        <v/>
      </c>
      <c r="B551" s="24">
        <f>IF($A551="","",IFERROR(VLOOKUP($A551,物料档案!$A$4:$P$1203,3,0),""))</f>
        <v/>
      </c>
      <c r="C551" s="24">
        <f>IF($A551="","",IFERROR(VLOOKUP($A551,物料档案!$A$4:$P$1203,4,0),""))</f>
        <v/>
      </c>
      <c r="D551" s="24">
        <f>IF($A551="","",IFERROR(VLOOKUP($A551,物料档案!$A$4:$P$1203,5,0),""))</f>
        <v/>
      </c>
      <c r="E551" s="24">
        <f>IF($A551="","",IFERROR(VLOOKUP($A551,物料档案!$A$4:$P$1203,2,0),""))</f>
        <v/>
      </c>
      <c r="F551" s="24">
        <f>IF($A551="","",IFERROR(VLOOKUP($A551,物料档案!$A$4:$P$1203,6,0),""))</f>
        <v/>
      </c>
      <c r="G551" s="23" t="n"/>
      <c r="H551" s="32" t="n"/>
      <c r="I551" s="27">
        <f>IF($A551="","",SUMIFS(入库单!$K$4:$K$2503,入库单!$G$4:$G$2503,$A551,入库单!$X$4:$X$2503,"采购入库",入库单!$Z$4:$Z$2503,"正常",入库单!$C$4:$C$2503,"&gt;="&amp;账期起,入库单!$C$4:$C$2503,"&lt;="&amp;账期止))</f>
        <v/>
      </c>
      <c r="J551" s="26">
        <f>IF($A551="","",SUMIFS(入库单!$V$4:$V$2503,入库单!$G$4:$G$2503,$A551,入库单!$X$4:$X$2503,"采购入库",入库单!$Z$4:$Z$2503,"正常",入库单!$C$4:$C$2503,"&gt;="&amp;账期起,入库单!$C$4:$C$2503,"&lt;="&amp;账期止))</f>
        <v/>
      </c>
      <c r="K551" s="26">
        <f>IF($A551="","",IFERROR(ROUND((N($H551)+N($J551))/(N($G551)+N($I551)),2),0))</f>
        <v/>
      </c>
      <c r="L551" s="27">
        <f>IF($A551="","",SUMIFS(入库单!$K$4:$K$2503,入库单!$G$4:$G$2503,$A551,入库单!$X$4:$X$2503,"盘盈",入库单!$Z$4:$Z$2503,"正常",入库单!$C$4:$C$2503,"&gt;="&amp;账期起,入库单!$C$4:$C$2503,"&lt;="&amp;账期止))</f>
        <v/>
      </c>
      <c r="M551" s="26">
        <f>IF($A551="","",ROUND($L551*$K551,0))</f>
        <v/>
      </c>
      <c r="N551" s="27">
        <f>IF($A551="","",SUMIFS(入库单!$K$4:$K$2503,入库单!$G$4:$G$2503,$A551,入库单!$X$4:$X$2503,"矿区退库",入库单!$Z$4:$Z$2503,"正常",入库单!$C$4:$C$2503,"&gt;="&amp;账期起,入库单!$C$4:$C$2503,"&lt;="&amp;账期止))</f>
        <v/>
      </c>
      <c r="O551" s="26">
        <f>IF($A551="","",ROUND($N551*$K551,0))</f>
        <v/>
      </c>
      <c r="P551" s="27">
        <f>IF($A551="","",SUMIFS(出库单!$J$4:$J$4003,出库单!$D$4:$D$4003,$A551,出库单!$K$4:$K$4003,"自用消耗",出库单!$U$4:$U$4003,"正常",出库单!$C$4:$C$4003,"&gt;="&amp;账期起,出库单!$C$4:$C$4003,"&lt;="&amp;账期止))</f>
        <v/>
      </c>
      <c r="Q551" s="26">
        <f>IF($A551="","",ROUND(SUMIFS(出库单!$S$4:$S$4003,出库单!$D$4:$D$4003,$A551,出库单!$K$4:$K$4003,"自用消耗",出库单!$U$4:$U$4003,"正常",出库单!$C$4:$C$4003,"&gt;="&amp;账期起,出库单!$C$4:$C$4003,"&lt;="&amp;账期止),0))</f>
        <v/>
      </c>
      <c r="R551" s="27">
        <f>IF($A551="","",SUMIFS(出库单!$J$4:$J$4003,出库单!$D$4:$D$4003,$A551,出库单!$K$4:$K$4003,"对外销售",出库单!$U$4:$U$4003,"正常",出库单!$C$4:$C$4003,"&gt;="&amp;账期起,出库单!$C$4:$C$4003,"&lt;="&amp;账期止))</f>
        <v/>
      </c>
      <c r="S551" s="26">
        <f>IF($A551="","",ROUND(SUMIFS(出库单!$S$4:$S$4003,出库单!$D$4:$D$4003,$A551,出库单!$K$4:$K$4003,"对外销售",出库单!$U$4:$U$4003,"正常",出库单!$C$4:$C$4003,"&gt;="&amp;账期起,出库单!$C$4:$C$4003,"&lt;="&amp;账期止),0))</f>
        <v/>
      </c>
      <c r="T551" s="27">
        <f>IF($A551="","",SUMIFS(出库单!$J$4:$J$4003,出库单!$D$4:$D$4003,$A551,出库单!$K$4:$K$4003,"盘亏",出库单!$U$4:$U$4003,"正常",出库单!$C$4:$C$4003,"&gt;="&amp;账期起,出库单!$C$4:$C$4003,"&lt;="&amp;账期止))</f>
        <v/>
      </c>
      <c r="U551" s="26">
        <f>IF($A551="","",ROUND(SUMIFS(出库单!$S$4:$S$4003,出库单!$D$4:$D$4003,$A551,出库单!$K$4:$K$4003,"盘亏",出库单!$U$4:$U$4003,"正常",出库单!$C$4:$C$4003,"&gt;="&amp;账期起,出库单!$C$4:$C$4003,"&lt;="&amp;账期止),0))</f>
        <v/>
      </c>
      <c r="V551" s="27">
        <f>IF($A551="","",SUMIFS(出库单!$J$4:$J$4003,出库单!$D$4:$D$4003,$A551,出库单!$K$4:$K$4003,"退货给供应商",出库单!$U$4:$U$4003,"正常",出库单!$C$4:$C$4003,"&gt;="&amp;账期起,出库单!$C$4:$C$4003,"&lt;="&amp;账期止))</f>
        <v/>
      </c>
      <c r="W551" s="26">
        <f>IF($A551="","",ROUND(SUMIFS(出库单!$S$4:$S$4003,出库单!$D$4:$D$4003,$A551,出库单!$K$4:$K$4003,"退货给供应商",出库单!$U$4:$U$4003,"正常",出库单!$C$4:$C$4003,"&gt;="&amp;账期起,出库单!$C$4:$C$4003,"&lt;="&amp;账期止),0))</f>
        <v/>
      </c>
      <c r="X551" s="27">
        <f>IF($A551="","",ROUND(N($G551)+$I551+$L551+$N551-$P551-$R551-$T551-$V551,3))</f>
        <v/>
      </c>
      <c r="Y551" s="26">
        <f>IF($A551="","",ROUND(N($H551)+$J551+$M551+$O551-$Q551-$S551-$U551-$W551,0))</f>
        <v/>
      </c>
      <c r="Z551" s="24">
        <f>IF($A551="","",IF(COUNTIFS(入库单!$G$4:$G$2503,$A551,入库单!$Y$4:$Y$2503,"待补价")+COUNTIFS(入库单!$G$4:$G$2503,$A551,入库单!$Y$4:$Y$2503,"暂估")&gt;0,"不可信","可信"))</f>
        <v/>
      </c>
      <c r="AA551" s="24">
        <f>IF($A551="","",IF($X551&lt;-0.001,"※账面负库存，查一下是不是漏记入库",IF(AND(ROUND($X551,3)=0,ABS($Y551)&gt;1),"※数量已经是 0，金额还挂着 "&amp;TEXT($Y551,"#,##0")&amp;" 先令",IF(AND($X551&gt;0,$Y551&lt;=0,$K551=0),"※有数量没金额（这个物料一直没填过进价）",IF($Z551="不可信","△成本含待补价/暂估，毛利仅供参考","")))))</f>
        <v/>
      </c>
    </row>
    <row r="552">
      <c r="A552" s="24">
        <f>IF(物料档案!$A551="","",物料档案!$A551)</f>
        <v/>
      </c>
      <c r="B552" s="24">
        <f>IF($A552="","",IFERROR(VLOOKUP($A552,物料档案!$A$4:$P$1203,3,0),""))</f>
        <v/>
      </c>
      <c r="C552" s="24">
        <f>IF($A552="","",IFERROR(VLOOKUP($A552,物料档案!$A$4:$P$1203,4,0),""))</f>
        <v/>
      </c>
      <c r="D552" s="24">
        <f>IF($A552="","",IFERROR(VLOOKUP($A552,物料档案!$A$4:$P$1203,5,0),""))</f>
        <v/>
      </c>
      <c r="E552" s="24">
        <f>IF($A552="","",IFERROR(VLOOKUP($A552,物料档案!$A$4:$P$1203,2,0),""))</f>
        <v/>
      </c>
      <c r="F552" s="24">
        <f>IF($A552="","",IFERROR(VLOOKUP($A552,物料档案!$A$4:$P$1203,6,0),""))</f>
        <v/>
      </c>
      <c r="G552" s="23" t="n"/>
      <c r="H552" s="32" t="n"/>
      <c r="I552" s="27">
        <f>IF($A552="","",SUMIFS(入库单!$K$4:$K$2503,入库单!$G$4:$G$2503,$A552,入库单!$X$4:$X$2503,"采购入库",入库单!$Z$4:$Z$2503,"正常",入库单!$C$4:$C$2503,"&gt;="&amp;账期起,入库单!$C$4:$C$2503,"&lt;="&amp;账期止))</f>
        <v/>
      </c>
      <c r="J552" s="26">
        <f>IF($A552="","",SUMIFS(入库单!$V$4:$V$2503,入库单!$G$4:$G$2503,$A552,入库单!$X$4:$X$2503,"采购入库",入库单!$Z$4:$Z$2503,"正常",入库单!$C$4:$C$2503,"&gt;="&amp;账期起,入库单!$C$4:$C$2503,"&lt;="&amp;账期止))</f>
        <v/>
      </c>
      <c r="K552" s="26">
        <f>IF($A552="","",IFERROR(ROUND((N($H552)+N($J552))/(N($G552)+N($I552)),2),0))</f>
        <v/>
      </c>
      <c r="L552" s="27">
        <f>IF($A552="","",SUMIFS(入库单!$K$4:$K$2503,入库单!$G$4:$G$2503,$A552,入库单!$X$4:$X$2503,"盘盈",入库单!$Z$4:$Z$2503,"正常",入库单!$C$4:$C$2503,"&gt;="&amp;账期起,入库单!$C$4:$C$2503,"&lt;="&amp;账期止))</f>
        <v/>
      </c>
      <c r="M552" s="26">
        <f>IF($A552="","",ROUND($L552*$K552,0))</f>
        <v/>
      </c>
      <c r="N552" s="27">
        <f>IF($A552="","",SUMIFS(入库单!$K$4:$K$2503,入库单!$G$4:$G$2503,$A552,入库单!$X$4:$X$2503,"矿区退库",入库单!$Z$4:$Z$2503,"正常",入库单!$C$4:$C$2503,"&gt;="&amp;账期起,入库单!$C$4:$C$2503,"&lt;="&amp;账期止))</f>
        <v/>
      </c>
      <c r="O552" s="26">
        <f>IF($A552="","",ROUND($N552*$K552,0))</f>
        <v/>
      </c>
      <c r="P552" s="27">
        <f>IF($A552="","",SUMIFS(出库单!$J$4:$J$4003,出库单!$D$4:$D$4003,$A552,出库单!$K$4:$K$4003,"自用消耗",出库单!$U$4:$U$4003,"正常",出库单!$C$4:$C$4003,"&gt;="&amp;账期起,出库单!$C$4:$C$4003,"&lt;="&amp;账期止))</f>
        <v/>
      </c>
      <c r="Q552" s="26">
        <f>IF($A552="","",ROUND(SUMIFS(出库单!$S$4:$S$4003,出库单!$D$4:$D$4003,$A552,出库单!$K$4:$K$4003,"自用消耗",出库单!$U$4:$U$4003,"正常",出库单!$C$4:$C$4003,"&gt;="&amp;账期起,出库单!$C$4:$C$4003,"&lt;="&amp;账期止),0))</f>
        <v/>
      </c>
      <c r="R552" s="27">
        <f>IF($A552="","",SUMIFS(出库单!$J$4:$J$4003,出库单!$D$4:$D$4003,$A552,出库单!$K$4:$K$4003,"对外销售",出库单!$U$4:$U$4003,"正常",出库单!$C$4:$C$4003,"&gt;="&amp;账期起,出库单!$C$4:$C$4003,"&lt;="&amp;账期止))</f>
        <v/>
      </c>
      <c r="S552" s="26">
        <f>IF($A552="","",ROUND(SUMIFS(出库单!$S$4:$S$4003,出库单!$D$4:$D$4003,$A552,出库单!$K$4:$K$4003,"对外销售",出库单!$U$4:$U$4003,"正常",出库单!$C$4:$C$4003,"&gt;="&amp;账期起,出库单!$C$4:$C$4003,"&lt;="&amp;账期止),0))</f>
        <v/>
      </c>
      <c r="T552" s="27">
        <f>IF($A552="","",SUMIFS(出库单!$J$4:$J$4003,出库单!$D$4:$D$4003,$A552,出库单!$K$4:$K$4003,"盘亏",出库单!$U$4:$U$4003,"正常",出库单!$C$4:$C$4003,"&gt;="&amp;账期起,出库单!$C$4:$C$4003,"&lt;="&amp;账期止))</f>
        <v/>
      </c>
      <c r="U552" s="26">
        <f>IF($A552="","",ROUND(SUMIFS(出库单!$S$4:$S$4003,出库单!$D$4:$D$4003,$A552,出库单!$K$4:$K$4003,"盘亏",出库单!$U$4:$U$4003,"正常",出库单!$C$4:$C$4003,"&gt;="&amp;账期起,出库单!$C$4:$C$4003,"&lt;="&amp;账期止),0))</f>
        <v/>
      </c>
      <c r="V552" s="27">
        <f>IF($A552="","",SUMIFS(出库单!$J$4:$J$4003,出库单!$D$4:$D$4003,$A552,出库单!$K$4:$K$4003,"退货给供应商",出库单!$U$4:$U$4003,"正常",出库单!$C$4:$C$4003,"&gt;="&amp;账期起,出库单!$C$4:$C$4003,"&lt;="&amp;账期止))</f>
        <v/>
      </c>
      <c r="W552" s="26">
        <f>IF($A552="","",ROUND(SUMIFS(出库单!$S$4:$S$4003,出库单!$D$4:$D$4003,$A552,出库单!$K$4:$K$4003,"退货给供应商",出库单!$U$4:$U$4003,"正常",出库单!$C$4:$C$4003,"&gt;="&amp;账期起,出库单!$C$4:$C$4003,"&lt;="&amp;账期止),0))</f>
        <v/>
      </c>
      <c r="X552" s="27">
        <f>IF($A552="","",ROUND(N($G552)+$I552+$L552+$N552-$P552-$R552-$T552-$V552,3))</f>
        <v/>
      </c>
      <c r="Y552" s="26">
        <f>IF($A552="","",ROUND(N($H552)+$J552+$M552+$O552-$Q552-$S552-$U552-$W552,0))</f>
        <v/>
      </c>
      <c r="Z552" s="24">
        <f>IF($A552="","",IF(COUNTIFS(入库单!$G$4:$G$2503,$A552,入库单!$Y$4:$Y$2503,"待补价")+COUNTIFS(入库单!$G$4:$G$2503,$A552,入库单!$Y$4:$Y$2503,"暂估")&gt;0,"不可信","可信"))</f>
        <v/>
      </c>
      <c r="AA552" s="24">
        <f>IF($A552="","",IF($X552&lt;-0.001,"※账面负库存，查一下是不是漏记入库",IF(AND(ROUND($X552,3)=0,ABS($Y552)&gt;1),"※数量已经是 0，金额还挂着 "&amp;TEXT($Y552,"#,##0")&amp;" 先令",IF(AND($X552&gt;0,$Y552&lt;=0,$K552=0),"※有数量没金额（这个物料一直没填过进价）",IF($Z552="不可信","△成本含待补价/暂估，毛利仅供参考","")))))</f>
        <v/>
      </c>
    </row>
    <row r="553">
      <c r="A553" s="24">
        <f>IF(物料档案!$A552="","",物料档案!$A552)</f>
        <v/>
      </c>
      <c r="B553" s="24">
        <f>IF($A553="","",IFERROR(VLOOKUP($A553,物料档案!$A$4:$P$1203,3,0),""))</f>
        <v/>
      </c>
      <c r="C553" s="24">
        <f>IF($A553="","",IFERROR(VLOOKUP($A553,物料档案!$A$4:$P$1203,4,0),""))</f>
        <v/>
      </c>
      <c r="D553" s="24">
        <f>IF($A553="","",IFERROR(VLOOKUP($A553,物料档案!$A$4:$P$1203,5,0),""))</f>
        <v/>
      </c>
      <c r="E553" s="24">
        <f>IF($A553="","",IFERROR(VLOOKUP($A553,物料档案!$A$4:$P$1203,2,0),""))</f>
        <v/>
      </c>
      <c r="F553" s="24">
        <f>IF($A553="","",IFERROR(VLOOKUP($A553,物料档案!$A$4:$P$1203,6,0),""))</f>
        <v/>
      </c>
      <c r="G553" s="23" t="n"/>
      <c r="H553" s="32" t="n"/>
      <c r="I553" s="27">
        <f>IF($A553="","",SUMIFS(入库单!$K$4:$K$2503,入库单!$G$4:$G$2503,$A553,入库单!$X$4:$X$2503,"采购入库",入库单!$Z$4:$Z$2503,"正常",入库单!$C$4:$C$2503,"&gt;="&amp;账期起,入库单!$C$4:$C$2503,"&lt;="&amp;账期止))</f>
        <v/>
      </c>
      <c r="J553" s="26">
        <f>IF($A553="","",SUMIFS(入库单!$V$4:$V$2503,入库单!$G$4:$G$2503,$A553,入库单!$X$4:$X$2503,"采购入库",入库单!$Z$4:$Z$2503,"正常",入库单!$C$4:$C$2503,"&gt;="&amp;账期起,入库单!$C$4:$C$2503,"&lt;="&amp;账期止))</f>
        <v/>
      </c>
      <c r="K553" s="26">
        <f>IF($A553="","",IFERROR(ROUND((N($H553)+N($J553))/(N($G553)+N($I553)),2),0))</f>
        <v/>
      </c>
      <c r="L553" s="27">
        <f>IF($A553="","",SUMIFS(入库单!$K$4:$K$2503,入库单!$G$4:$G$2503,$A553,入库单!$X$4:$X$2503,"盘盈",入库单!$Z$4:$Z$2503,"正常",入库单!$C$4:$C$2503,"&gt;="&amp;账期起,入库单!$C$4:$C$2503,"&lt;="&amp;账期止))</f>
        <v/>
      </c>
      <c r="M553" s="26">
        <f>IF($A553="","",ROUND($L553*$K553,0))</f>
        <v/>
      </c>
      <c r="N553" s="27">
        <f>IF($A553="","",SUMIFS(入库单!$K$4:$K$2503,入库单!$G$4:$G$2503,$A553,入库单!$X$4:$X$2503,"矿区退库",入库单!$Z$4:$Z$2503,"正常",入库单!$C$4:$C$2503,"&gt;="&amp;账期起,入库单!$C$4:$C$2503,"&lt;="&amp;账期止))</f>
        <v/>
      </c>
      <c r="O553" s="26">
        <f>IF($A553="","",ROUND($N553*$K553,0))</f>
        <v/>
      </c>
      <c r="P553" s="27">
        <f>IF($A553="","",SUMIFS(出库单!$J$4:$J$4003,出库单!$D$4:$D$4003,$A553,出库单!$K$4:$K$4003,"自用消耗",出库单!$U$4:$U$4003,"正常",出库单!$C$4:$C$4003,"&gt;="&amp;账期起,出库单!$C$4:$C$4003,"&lt;="&amp;账期止))</f>
        <v/>
      </c>
      <c r="Q553" s="26">
        <f>IF($A553="","",ROUND(SUMIFS(出库单!$S$4:$S$4003,出库单!$D$4:$D$4003,$A553,出库单!$K$4:$K$4003,"自用消耗",出库单!$U$4:$U$4003,"正常",出库单!$C$4:$C$4003,"&gt;="&amp;账期起,出库单!$C$4:$C$4003,"&lt;="&amp;账期止),0))</f>
        <v/>
      </c>
      <c r="R553" s="27">
        <f>IF($A553="","",SUMIFS(出库单!$J$4:$J$4003,出库单!$D$4:$D$4003,$A553,出库单!$K$4:$K$4003,"对外销售",出库单!$U$4:$U$4003,"正常",出库单!$C$4:$C$4003,"&gt;="&amp;账期起,出库单!$C$4:$C$4003,"&lt;="&amp;账期止))</f>
        <v/>
      </c>
      <c r="S553" s="26">
        <f>IF($A553="","",ROUND(SUMIFS(出库单!$S$4:$S$4003,出库单!$D$4:$D$4003,$A553,出库单!$K$4:$K$4003,"对外销售",出库单!$U$4:$U$4003,"正常",出库单!$C$4:$C$4003,"&gt;="&amp;账期起,出库单!$C$4:$C$4003,"&lt;="&amp;账期止),0))</f>
        <v/>
      </c>
      <c r="T553" s="27">
        <f>IF($A553="","",SUMIFS(出库单!$J$4:$J$4003,出库单!$D$4:$D$4003,$A553,出库单!$K$4:$K$4003,"盘亏",出库单!$U$4:$U$4003,"正常",出库单!$C$4:$C$4003,"&gt;="&amp;账期起,出库单!$C$4:$C$4003,"&lt;="&amp;账期止))</f>
        <v/>
      </c>
      <c r="U553" s="26">
        <f>IF($A553="","",ROUND(SUMIFS(出库单!$S$4:$S$4003,出库单!$D$4:$D$4003,$A553,出库单!$K$4:$K$4003,"盘亏",出库单!$U$4:$U$4003,"正常",出库单!$C$4:$C$4003,"&gt;="&amp;账期起,出库单!$C$4:$C$4003,"&lt;="&amp;账期止),0))</f>
        <v/>
      </c>
      <c r="V553" s="27">
        <f>IF($A553="","",SUMIFS(出库单!$J$4:$J$4003,出库单!$D$4:$D$4003,$A553,出库单!$K$4:$K$4003,"退货给供应商",出库单!$U$4:$U$4003,"正常",出库单!$C$4:$C$4003,"&gt;="&amp;账期起,出库单!$C$4:$C$4003,"&lt;="&amp;账期止))</f>
        <v/>
      </c>
      <c r="W553" s="26">
        <f>IF($A553="","",ROUND(SUMIFS(出库单!$S$4:$S$4003,出库单!$D$4:$D$4003,$A553,出库单!$K$4:$K$4003,"退货给供应商",出库单!$U$4:$U$4003,"正常",出库单!$C$4:$C$4003,"&gt;="&amp;账期起,出库单!$C$4:$C$4003,"&lt;="&amp;账期止),0))</f>
        <v/>
      </c>
      <c r="X553" s="27">
        <f>IF($A553="","",ROUND(N($G553)+$I553+$L553+$N553-$P553-$R553-$T553-$V553,3))</f>
        <v/>
      </c>
      <c r="Y553" s="26">
        <f>IF($A553="","",ROUND(N($H553)+$J553+$M553+$O553-$Q553-$S553-$U553-$W553,0))</f>
        <v/>
      </c>
      <c r="Z553" s="24">
        <f>IF($A553="","",IF(COUNTIFS(入库单!$G$4:$G$2503,$A553,入库单!$Y$4:$Y$2503,"待补价")+COUNTIFS(入库单!$G$4:$G$2503,$A553,入库单!$Y$4:$Y$2503,"暂估")&gt;0,"不可信","可信"))</f>
        <v/>
      </c>
      <c r="AA553" s="24">
        <f>IF($A553="","",IF($X553&lt;-0.001,"※账面负库存，查一下是不是漏记入库",IF(AND(ROUND($X553,3)=0,ABS($Y553)&gt;1),"※数量已经是 0，金额还挂着 "&amp;TEXT($Y553,"#,##0")&amp;" 先令",IF(AND($X553&gt;0,$Y553&lt;=0,$K553=0),"※有数量没金额（这个物料一直没填过进价）",IF($Z553="不可信","△成本含待补价/暂估，毛利仅供参考","")))))</f>
        <v/>
      </c>
    </row>
    <row r="554">
      <c r="A554" s="24">
        <f>IF(物料档案!$A553="","",物料档案!$A553)</f>
        <v/>
      </c>
      <c r="B554" s="24">
        <f>IF($A554="","",IFERROR(VLOOKUP($A554,物料档案!$A$4:$P$1203,3,0),""))</f>
        <v/>
      </c>
      <c r="C554" s="24">
        <f>IF($A554="","",IFERROR(VLOOKUP($A554,物料档案!$A$4:$P$1203,4,0),""))</f>
        <v/>
      </c>
      <c r="D554" s="24">
        <f>IF($A554="","",IFERROR(VLOOKUP($A554,物料档案!$A$4:$P$1203,5,0),""))</f>
        <v/>
      </c>
      <c r="E554" s="24">
        <f>IF($A554="","",IFERROR(VLOOKUP($A554,物料档案!$A$4:$P$1203,2,0),""))</f>
        <v/>
      </c>
      <c r="F554" s="24">
        <f>IF($A554="","",IFERROR(VLOOKUP($A554,物料档案!$A$4:$P$1203,6,0),""))</f>
        <v/>
      </c>
      <c r="G554" s="23" t="n"/>
      <c r="H554" s="32" t="n"/>
      <c r="I554" s="27">
        <f>IF($A554="","",SUMIFS(入库单!$K$4:$K$2503,入库单!$G$4:$G$2503,$A554,入库单!$X$4:$X$2503,"采购入库",入库单!$Z$4:$Z$2503,"正常",入库单!$C$4:$C$2503,"&gt;="&amp;账期起,入库单!$C$4:$C$2503,"&lt;="&amp;账期止))</f>
        <v/>
      </c>
      <c r="J554" s="26">
        <f>IF($A554="","",SUMIFS(入库单!$V$4:$V$2503,入库单!$G$4:$G$2503,$A554,入库单!$X$4:$X$2503,"采购入库",入库单!$Z$4:$Z$2503,"正常",入库单!$C$4:$C$2503,"&gt;="&amp;账期起,入库单!$C$4:$C$2503,"&lt;="&amp;账期止))</f>
        <v/>
      </c>
      <c r="K554" s="26">
        <f>IF($A554="","",IFERROR(ROUND((N($H554)+N($J554))/(N($G554)+N($I554)),2),0))</f>
        <v/>
      </c>
      <c r="L554" s="27">
        <f>IF($A554="","",SUMIFS(入库单!$K$4:$K$2503,入库单!$G$4:$G$2503,$A554,入库单!$X$4:$X$2503,"盘盈",入库单!$Z$4:$Z$2503,"正常",入库单!$C$4:$C$2503,"&gt;="&amp;账期起,入库单!$C$4:$C$2503,"&lt;="&amp;账期止))</f>
        <v/>
      </c>
      <c r="M554" s="26">
        <f>IF($A554="","",ROUND($L554*$K554,0))</f>
        <v/>
      </c>
      <c r="N554" s="27">
        <f>IF($A554="","",SUMIFS(入库单!$K$4:$K$2503,入库单!$G$4:$G$2503,$A554,入库单!$X$4:$X$2503,"矿区退库",入库单!$Z$4:$Z$2503,"正常",入库单!$C$4:$C$2503,"&gt;="&amp;账期起,入库单!$C$4:$C$2503,"&lt;="&amp;账期止))</f>
        <v/>
      </c>
      <c r="O554" s="26">
        <f>IF($A554="","",ROUND($N554*$K554,0))</f>
        <v/>
      </c>
      <c r="P554" s="27">
        <f>IF($A554="","",SUMIFS(出库单!$J$4:$J$4003,出库单!$D$4:$D$4003,$A554,出库单!$K$4:$K$4003,"自用消耗",出库单!$U$4:$U$4003,"正常",出库单!$C$4:$C$4003,"&gt;="&amp;账期起,出库单!$C$4:$C$4003,"&lt;="&amp;账期止))</f>
        <v/>
      </c>
      <c r="Q554" s="26">
        <f>IF($A554="","",ROUND(SUMIFS(出库单!$S$4:$S$4003,出库单!$D$4:$D$4003,$A554,出库单!$K$4:$K$4003,"自用消耗",出库单!$U$4:$U$4003,"正常",出库单!$C$4:$C$4003,"&gt;="&amp;账期起,出库单!$C$4:$C$4003,"&lt;="&amp;账期止),0))</f>
        <v/>
      </c>
      <c r="R554" s="27">
        <f>IF($A554="","",SUMIFS(出库单!$J$4:$J$4003,出库单!$D$4:$D$4003,$A554,出库单!$K$4:$K$4003,"对外销售",出库单!$U$4:$U$4003,"正常",出库单!$C$4:$C$4003,"&gt;="&amp;账期起,出库单!$C$4:$C$4003,"&lt;="&amp;账期止))</f>
        <v/>
      </c>
      <c r="S554" s="26">
        <f>IF($A554="","",ROUND(SUMIFS(出库单!$S$4:$S$4003,出库单!$D$4:$D$4003,$A554,出库单!$K$4:$K$4003,"对外销售",出库单!$U$4:$U$4003,"正常",出库单!$C$4:$C$4003,"&gt;="&amp;账期起,出库单!$C$4:$C$4003,"&lt;="&amp;账期止),0))</f>
        <v/>
      </c>
      <c r="T554" s="27">
        <f>IF($A554="","",SUMIFS(出库单!$J$4:$J$4003,出库单!$D$4:$D$4003,$A554,出库单!$K$4:$K$4003,"盘亏",出库单!$U$4:$U$4003,"正常",出库单!$C$4:$C$4003,"&gt;="&amp;账期起,出库单!$C$4:$C$4003,"&lt;="&amp;账期止))</f>
        <v/>
      </c>
      <c r="U554" s="26">
        <f>IF($A554="","",ROUND(SUMIFS(出库单!$S$4:$S$4003,出库单!$D$4:$D$4003,$A554,出库单!$K$4:$K$4003,"盘亏",出库单!$U$4:$U$4003,"正常",出库单!$C$4:$C$4003,"&gt;="&amp;账期起,出库单!$C$4:$C$4003,"&lt;="&amp;账期止),0))</f>
        <v/>
      </c>
      <c r="V554" s="27">
        <f>IF($A554="","",SUMIFS(出库单!$J$4:$J$4003,出库单!$D$4:$D$4003,$A554,出库单!$K$4:$K$4003,"退货给供应商",出库单!$U$4:$U$4003,"正常",出库单!$C$4:$C$4003,"&gt;="&amp;账期起,出库单!$C$4:$C$4003,"&lt;="&amp;账期止))</f>
        <v/>
      </c>
      <c r="W554" s="26">
        <f>IF($A554="","",ROUND(SUMIFS(出库单!$S$4:$S$4003,出库单!$D$4:$D$4003,$A554,出库单!$K$4:$K$4003,"退货给供应商",出库单!$U$4:$U$4003,"正常",出库单!$C$4:$C$4003,"&gt;="&amp;账期起,出库单!$C$4:$C$4003,"&lt;="&amp;账期止),0))</f>
        <v/>
      </c>
      <c r="X554" s="27">
        <f>IF($A554="","",ROUND(N($G554)+$I554+$L554+$N554-$P554-$R554-$T554-$V554,3))</f>
        <v/>
      </c>
      <c r="Y554" s="26">
        <f>IF($A554="","",ROUND(N($H554)+$J554+$M554+$O554-$Q554-$S554-$U554-$W554,0))</f>
        <v/>
      </c>
      <c r="Z554" s="24">
        <f>IF($A554="","",IF(COUNTIFS(入库单!$G$4:$G$2503,$A554,入库单!$Y$4:$Y$2503,"待补价")+COUNTIFS(入库单!$G$4:$G$2503,$A554,入库单!$Y$4:$Y$2503,"暂估")&gt;0,"不可信","可信"))</f>
        <v/>
      </c>
      <c r="AA554" s="24">
        <f>IF($A554="","",IF($X554&lt;-0.001,"※账面负库存，查一下是不是漏记入库",IF(AND(ROUND($X554,3)=0,ABS($Y554)&gt;1),"※数量已经是 0，金额还挂着 "&amp;TEXT($Y554,"#,##0")&amp;" 先令",IF(AND($X554&gt;0,$Y554&lt;=0,$K554=0),"※有数量没金额（这个物料一直没填过进价）",IF($Z554="不可信","△成本含待补价/暂估，毛利仅供参考","")))))</f>
        <v/>
      </c>
    </row>
    <row r="555">
      <c r="A555" s="24">
        <f>IF(物料档案!$A554="","",物料档案!$A554)</f>
        <v/>
      </c>
      <c r="B555" s="24">
        <f>IF($A555="","",IFERROR(VLOOKUP($A555,物料档案!$A$4:$P$1203,3,0),""))</f>
        <v/>
      </c>
      <c r="C555" s="24">
        <f>IF($A555="","",IFERROR(VLOOKUP($A555,物料档案!$A$4:$P$1203,4,0),""))</f>
        <v/>
      </c>
      <c r="D555" s="24">
        <f>IF($A555="","",IFERROR(VLOOKUP($A555,物料档案!$A$4:$P$1203,5,0),""))</f>
        <v/>
      </c>
      <c r="E555" s="24">
        <f>IF($A555="","",IFERROR(VLOOKUP($A555,物料档案!$A$4:$P$1203,2,0),""))</f>
        <v/>
      </c>
      <c r="F555" s="24">
        <f>IF($A555="","",IFERROR(VLOOKUP($A555,物料档案!$A$4:$P$1203,6,0),""))</f>
        <v/>
      </c>
      <c r="G555" s="23" t="n"/>
      <c r="H555" s="32" t="n"/>
      <c r="I555" s="27">
        <f>IF($A555="","",SUMIFS(入库单!$K$4:$K$2503,入库单!$G$4:$G$2503,$A555,入库单!$X$4:$X$2503,"采购入库",入库单!$Z$4:$Z$2503,"正常",入库单!$C$4:$C$2503,"&gt;="&amp;账期起,入库单!$C$4:$C$2503,"&lt;="&amp;账期止))</f>
        <v/>
      </c>
      <c r="J555" s="26">
        <f>IF($A555="","",SUMIFS(入库单!$V$4:$V$2503,入库单!$G$4:$G$2503,$A555,入库单!$X$4:$X$2503,"采购入库",入库单!$Z$4:$Z$2503,"正常",入库单!$C$4:$C$2503,"&gt;="&amp;账期起,入库单!$C$4:$C$2503,"&lt;="&amp;账期止))</f>
        <v/>
      </c>
      <c r="K555" s="26">
        <f>IF($A555="","",IFERROR(ROUND((N($H555)+N($J555))/(N($G555)+N($I555)),2),0))</f>
        <v/>
      </c>
      <c r="L555" s="27">
        <f>IF($A555="","",SUMIFS(入库单!$K$4:$K$2503,入库单!$G$4:$G$2503,$A555,入库单!$X$4:$X$2503,"盘盈",入库单!$Z$4:$Z$2503,"正常",入库单!$C$4:$C$2503,"&gt;="&amp;账期起,入库单!$C$4:$C$2503,"&lt;="&amp;账期止))</f>
        <v/>
      </c>
      <c r="M555" s="26">
        <f>IF($A555="","",ROUND($L555*$K555,0))</f>
        <v/>
      </c>
      <c r="N555" s="27">
        <f>IF($A555="","",SUMIFS(入库单!$K$4:$K$2503,入库单!$G$4:$G$2503,$A555,入库单!$X$4:$X$2503,"矿区退库",入库单!$Z$4:$Z$2503,"正常",入库单!$C$4:$C$2503,"&gt;="&amp;账期起,入库单!$C$4:$C$2503,"&lt;="&amp;账期止))</f>
        <v/>
      </c>
      <c r="O555" s="26">
        <f>IF($A555="","",ROUND($N555*$K555,0))</f>
        <v/>
      </c>
      <c r="P555" s="27">
        <f>IF($A555="","",SUMIFS(出库单!$J$4:$J$4003,出库单!$D$4:$D$4003,$A555,出库单!$K$4:$K$4003,"自用消耗",出库单!$U$4:$U$4003,"正常",出库单!$C$4:$C$4003,"&gt;="&amp;账期起,出库单!$C$4:$C$4003,"&lt;="&amp;账期止))</f>
        <v/>
      </c>
      <c r="Q555" s="26">
        <f>IF($A555="","",ROUND(SUMIFS(出库单!$S$4:$S$4003,出库单!$D$4:$D$4003,$A555,出库单!$K$4:$K$4003,"自用消耗",出库单!$U$4:$U$4003,"正常",出库单!$C$4:$C$4003,"&gt;="&amp;账期起,出库单!$C$4:$C$4003,"&lt;="&amp;账期止),0))</f>
        <v/>
      </c>
      <c r="R555" s="27">
        <f>IF($A555="","",SUMIFS(出库单!$J$4:$J$4003,出库单!$D$4:$D$4003,$A555,出库单!$K$4:$K$4003,"对外销售",出库单!$U$4:$U$4003,"正常",出库单!$C$4:$C$4003,"&gt;="&amp;账期起,出库单!$C$4:$C$4003,"&lt;="&amp;账期止))</f>
        <v/>
      </c>
      <c r="S555" s="26">
        <f>IF($A555="","",ROUND(SUMIFS(出库单!$S$4:$S$4003,出库单!$D$4:$D$4003,$A555,出库单!$K$4:$K$4003,"对外销售",出库单!$U$4:$U$4003,"正常",出库单!$C$4:$C$4003,"&gt;="&amp;账期起,出库单!$C$4:$C$4003,"&lt;="&amp;账期止),0))</f>
        <v/>
      </c>
      <c r="T555" s="27">
        <f>IF($A555="","",SUMIFS(出库单!$J$4:$J$4003,出库单!$D$4:$D$4003,$A555,出库单!$K$4:$K$4003,"盘亏",出库单!$U$4:$U$4003,"正常",出库单!$C$4:$C$4003,"&gt;="&amp;账期起,出库单!$C$4:$C$4003,"&lt;="&amp;账期止))</f>
        <v/>
      </c>
      <c r="U555" s="26">
        <f>IF($A555="","",ROUND(SUMIFS(出库单!$S$4:$S$4003,出库单!$D$4:$D$4003,$A555,出库单!$K$4:$K$4003,"盘亏",出库单!$U$4:$U$4003,"正常",出库单!$C$4:$C$4003,"&gt;="&amp;账期起,出库单!$C$4:$C$4003,"&lt;="&amp;账期止),0))</f>
        <v/>
      </c>
      <c r="V555" s="27">
        <f>IF($A555="","",SUMIFS(出库单!$J$4:$J$4003,出库单!$D$4:$D$4003,$A555,出库单!$K$4:$K$4003,"退货给供应商",出库单!$U$4:$U$4003,"正常",出库单!$C$4:$C$4003,"&gt;="&amp;账期起,出库单!$C$4:$C$4003,"&lt;="&amp;账期止))</f>
        <v/>
      </c>
      <c r="W555" s="26">
        <f>IF($A555="","",ROUND(SUMIFS(出库单!$S$4:$S$4003,出库单!$D$4:$D$4003,$A555,出库单!$K$4:$K$4003,"退货给供应商",出库单!$U$4:$U$4003,"正常",出库单!$C$4:$C$4003,"&gt;="&amp;账期起,出库单!$C$4:$C$4003,"&lt;="&amp;账期止),0))</f>
        <v/>
      </c>
      <c r="X555" s="27">
        <f>IF($A555="","",ROUND(N($G555)+$I555+$L555+$N555-$P555-$R555-$T555-$V555,3))</f>
        <v/>
      </c>
      <c r="Y555" s="26">
        <f>IF($A555="","",ROUND(N($H555)+$J555+$M555+$O555-$Q555-$S555-$U555-$W555,0))</f>
        <v/>
      </c>
      <c r="Z555" s="24">
        <f>IF($A555="","",IF(COUNTIFS(入库单!$G$4:$G$2503,$A555,入库单!$Y$4:$Y$2503,"待补价")+COUNTIFS(入库单!$G$4:$G$2503,$A555,入库单!$Y$4:$Y$2503,"暂估")&gt;0,"不可信","可信"))</f>
        <v/>
      </c>
      <c r="AA555" s="24">
        <f>IF($A555="","",IF($X555&lt;-0.001,"※账面负库存，查一下是不是漏记入库",IF(AND(ROUND($X555,3)=0,ABS($Y555)&gt;1),"※数量已经是 0，金额还挂着 "&amp;TEXT($Y555,"#,##0")&amp;" 先令",IF(AND($X555&gt;0,$Y555&lt;=0,$K555=0),"※有数量没金额（这个物料一直没填过进价）",IF($Z555="不可信","△成本含待补价/暂估，毛利仅供参考","")))))</f>
        <v/>
      </c>
    </row>
    <row r="556">
      <c r="A556" s="24">
        <f>IF(物料档案!$A555="","",物料档案!$A555)</f>
        <v/>
      </c>
      <c r="B556" s="24">
        <f>IF($A556="","",IFERROR(VLOOKUP($A556,物料档案!$A$4:$P$1203,3,0),""))</f>
        <v/>
      </c>
      <c r="C556" s="24">
        <f>IF($A556="","",IFERROR(VLOOKUP($A556,物料档案!$A$4:$P$1203,4,0),""))</f>
        <v/>
      </c>
      <c r="D556" s="24">
        <f>IF($A556="","",IFERROR(VLOOKUP($A556,物料档案!$A$4:$P$1203,5,0),""))</f>
        <v/>
      </c>
      <c r="E556" s="24">
        <f>IF($A556="","",IFERROR(VLOOKUP($A556,物料档案!$A$4:$P$1203,2,0),""))</f>
        <v/>
      </c>
      <c r="F556" s="24">
        <f>IF($A556="","",IFERROR(VLOOKUP($A556,物料档案!$A$4:$P$1203,6,0),""))</f>
        <v/>
      </c>
      <c r="G556" s="23" t="n"/>
      <c r="H556" s="32" t="n"/>
      <c r="I556" s="27">
        <f>IF($A556="","",SUMIFS(入库单!$K$4:$K$2503,入库单!$G$4:$G$2503,$A556,入库单!$X$4:$X$2503,"采购入库",入库单!$Z$4:$Z$2503,"正常",入库单!$C$4:$C$2503,"&gt;="&amp;账期起,入库单!$C$4:$C$2503,"&lt;="&amp;账期止))</f>
        <v/>
      </c>
      <c r="J556" s="26">
        <f>IF($A556="","",SUMIFS(入库单!$V$4:$V$2503,入库单!$G$4:$G$2503,$A556,入库单!$X$4:$X$2503,"采购入库",入库单!$Z$4:$Z$2503,"正常",入库单!$C$4:$C$2503,"&gt;="&amp;账期起,入库单!$C$4:$C$2503,"&lt;="&amp;账期止))</f>
        <v/>
      </c>
      <c r="K556" s="26">
        <f>IF($A556="","",IFERROR(ROUND((N($H556)+N($J556))/(N($G556)+N($I556)),2),0))</f>
        <v/>
      </c>
      <c r="L556" s="27">
        <f>IF($A556="","",SUMIFS(入库单!$K$4:$K$2503,入库单!$G$4:$G$2503,$A556,入库单!$X$4:$X$2503,"盘盈",入库单!$Z$4:$Z$2503,"正常",入库单!$C$4:$C$2503,"&gt;="&amp;账期起,入库单!$C$4:$C$2503,"&lt;="&amp;账期止))</f>
        <v/>
      </c>
      <c r="M556" s="26">
        <f>IF($A556="","",ROUND($L556*$K556,0))</f>
        <v/>
      </c>
      <c r="N556" s="27">
        <f>IF($A556="","",SUMIFS(入库单!$K$4:$K$2503,入库单!$G$4:$G$2503,$A556,入库单!$X$4:$X$2503,"矿区退库",入库单!$Z$4:$Z$2503,"正常",入库单!$C$4:$C$2503,"&gt;="&amp;账期起,入库单!$C$4:$C$2503,"&lt;="&amp;账期止))</f>
        <v/>
      </c>
      <c r="O556" s="26">
        <f>IF($A556="","",ROUND($N556*$K556,0))</f>
        <v/>
      </c>
      <c r="P556" s="27">
        <f>IF($A556="","",SUMIFS(出库单!$J$4:$J$4003,出库单!$D$4:$D$4003,$A556,出库单!$K$4:$K$4003,"自用消耗",出库单!$U$4:$U$4003,"正常",出库单!$C$4:$C$4003,"&gt;="&amp;账期起,出库单!$C$4:$C$4003,"&lt;="&amp;账期止))</f>
        <v/>
      </c>
      <c r="Q556" s="26">
        <f>IF($A556="","",ROUND(SUMIFS(出库单!$S$4:$S$4003,出库单!$D$4:$D$4003,$A556,出库单!$K$4:$K$4003,"自用消耗",出库单!$U$4:$U$4003,"正常",出库单!$C$4:$C$4003,"&gt;="&amp;账期起,出库单!$C$4:$C$4003,"&lt;="&amp;账期止),0))</f>
        <v/>
      </c>
      <c r="R556" s="27">
        <f>IF($A556="","",SUMIFS(出库单!$J$4:$J$4003,出库单!$D$4:$D$4003,$A556,出库单!$K$4:$K$4003,"对外销售",出库单!$U$4:$U$4003,"正常",出库单!$C$4:$C$4003,"&gt;="&amp;账期起,出库单!$C$4:$C$4003,"&lt;="&amp;账期止))</f>
        <v/>
      </c>
      <c r="S556" s="26">
        <f>IF($A556="","",ROUND(SUMIFS(出库单!$S$4:$S$4003,出库单!$D$4:$D$4003,$A556,出库单!$K$4:$K$4003,"对外销售",出库单!$U$4:$U$4003,"正常",出库单!$C$4:$C$4003,"&gt;="&amp;账期起,出库单!$C$4:$C$4003,"&lt;="&amp;账期止),0))</f>
        <v/>
      </c>
      <c r="T556" s="27">
        <f>IF($A556="","",SUMIFS(出库单!$J$4:$J$4003,出库单!$D$4:$D$4003,$A556,出库单!$K$4:$K$4003,"盘亏",出库单!$U$4:$U$4003,"正常",出库单!$C$4:$C$4003,"&gt;="&amp;账期起,出库单!$C$4:$C$4003,"&lt;="&amp;账期止))</f>
        <v/>
      </c>
      <c r="U556" s="26">
        <f>IF($A556="","",ROUND(SUMIFS(出库单!$S$4:$S$4003,出库单!$D$4:$D$4003,$A556,出库单!$K$4:$K$4003,"盘亏",出库单!$U$4:$U$4003,"正常",出库单!$C$4:$C$4003,"&gt;="&amp;账期起,出库单!$C$4:$C$4003,"&lt;="&amp;账期止),0))</f>
        <v/>
      </c>
      <c r="V556" s="27">
        <f>IF($A556="","",SUMIFS(出库单!$J$4:$J$4003,出库单!$D$4:$D$4003,$A556,出库单!$K$4:$K$4003,"退货给供应商",出库单!$U$4:$U$4003,"正常",出库单!$C$4:$C$4003,"&gt;="&amp;账期起,出库单!$C$4:$C$4003,"&lt;="&amp;账期止))</f>
        <v/>
      </c>
      <c r="W556" s="26">
        <f>IF($A556="","",ROUND(SUMIFS(出库单!$S$4:$S$4003,出库单!$D$4:$D$4003,$A556,出库单!$K$4:$K$4003,"退货给供应商",出库单!$U$4:$U$4003,"正常",出库单!$C$4:$C$4003,"&gt;="&amp;账期起,出库单!$C$4:$C$4003,"&lt;="&amp;账期止),0))</f>
        <v/>
      </c>
      <c r="X556" s="27">
        <f>IF($A556="","",ROUND(N($G556)+$I556+$L556+$N556-$P556-$R556-$T556-$V556,3))</f>
        <v/>
      </c>
      <c r="Y556" s="26">
        <f>IF($A556="","",ROUND(N($H556)+$J556+$M556+$O556-$Q556-$S556-$U556-$W556,0))</f>
        <v/>
      </c>
      <c r="Z556" s="24">
        <f>IF($A556="","",IF(COUNTIFS(入库单!$G$4:$G$2503,$A556,入库单!$Y$4:$Y$2503,"待补价")+COUNTIFS(入库单!$G$4:$G$2503,$A556,入库单!$Y$4:$Y$2503,"暂估")&gt;0,"不可信","可信"))</f>
        <v/>
      </c>
      <c r="AA556" s="24">
        <f>IF($A556="","",IF($X556&lt;-0.001,"※账面负库存，查一下是不是漏记入库",IF(AND(ROUND($X556,3)=0,ABS($Y556)&gt;1),"※数量已经是 0，金额还挂着 "&amp;TEXT($Y556,"#,##0")&amp;" 先令",IF(AND($X556&gt;0,$Y556&lt;=0,$K556=0),"※有数量没金额（这个物料一直没填过进价）",IF($Z556="不可信","△成本含待补价/暂估，毛利仅供参考","")))))</f>
        <v/>
      </c>
    </row>
    <row r="557">
      <c r="A557" s="24">
        <f>IF(物料档案!$A556="","",物料档案!$A556)</f>
        <v/>
      </c>
      <c r="B557" s="24">
        <f>IF($A557="","",IFERROR(VLOOKUP($A557,物料档案!$A$4:$P$1203,3,0),""))</f>
        <v/>
      </c>
      <c r="C557" s="24">
        <f>IF($A557="","",IFERROR(VLOOKUP($A557,物料档案!$A$4:$P$1203,4,0),""))</f>
        <v/>
      </c>
      <c r="D557" s="24">
        <f>IF($A557="","",IFERROR(VLOOKUP($A557,物料档案!$A$4:$P$1203,5,0),""))</f>
        <v/>
      </c>
      <c r="E557" s="24">
        <f>IF($A557="","",IFERROR(VLOOKUP($A557,物料档案!$A$4:$P$1203,2,0),""))</f>
        <v/>
      </c>
      <c r="F557" s="24">
        <f>IF($A557="","",IFERROR(VLOOKUP($A557,物料档案!$A$4:$P$1203,6,0),""))</f>
        <v/>
      </c>
      <c r="G557" s="23" t="n"/>
      <c r="H557" s="32" t="n"/>
      <c r="I557" s="27">
        <f>IF($A557="","",SUMIFS(入库单!$K$4:$K$2503,入库单!$G$4:$G$2503,$A557,入库单!$X$4:$X$2503,"采购入库",入库单!$Z$4:$Z$2503,"正常",入库单!$C$4:$C$2503,"&gt;="&amp;账期起,入库单!$C$4:$C$2503,"&lt;="&amp;账期止))</f>
        <v/>
      </c>
      <c r="J557" s="26">
        <f>IF($A557="","",SUMIFS(入库单!$V$4:$V$2503,入库单!$G$4:$G$2503,$A557,入库单!$X$4:$X$2503,"采购入库",入库单!$Z$4:$Z$2503,"正常",入库单!$C$4:$C$2503,"&gt;="&amp;账期起,入库单!$C$4:$C$2503,"&lt;="&amp;账期止))</f>
        <v/>
      </c>
      <c r="K557" s="26">
        <f>IF($A557="","",IFERROR(ROUND((N($H557)+N($J557))/(N($G557)+N($I557)),2),0))</f>
        <v/>
      </c>
      <c r="L557" s="27">
        <f>IF($A557="","",SUMIFS(入库单!$K$4:$K$2503,入库单!$G$4:$G$2503,$A557,入库单!$X$4:$X$2503,"盘盈",入库单!$Z$4:$Z$2503,"正常",入库单!$C$4:$C$2503,"&gt;="&amp;账期起,入库单!$C$4:$C$2503,"&lt;="&amp;账期止))</f>
        <v/>
      </c>
      <c r="M557" s="26">
        <f>IF($A557="","",ROUND($L557*$K557,0))</f>
        <v/>
      </c>
      <c r="N557" s="27">
        <f>IF($A557="","",SUMIFS(入库单!$K$4:$K$2503,入库单!$G$4:$G$2503,$A557,入库单!$X$4:$X$2503,"矿区退库",入库单!$Z$4:$Z$2503,"正常",入库单!$C$4:$C$2503,"&gt;="&amp;账期起,入库单!$C$4:$C$2503,"&lt;="&amp;账期止))</f>
        <v/>
      </c>
      <c r="O557" s="26">
        <f>IF($A557="","",ROUND($N557*$K557,0))</f>
        <v/>
      </c>
      <c r="P557" s="27">
        <f>IF($A557="","",SUMIFS(出库单!$J$4:$J$4003,出库单!$D$4:$D$4003,$A557,出库单!$K$4:$K$4003,"自用消耗",出库单!$U$4:$U$4003,"正常",出库单!$C$4:$C$4003,"&gt;="&amp;账期起,出库单!$C$4:$C$4003,"&lt;="&amp;账期止))</f>
        <v/>
      </c>
      <c r="Q557" s="26">
        <f>IF($A557="","",ROUND(SUMIFS(出库单!$S$4:$S$4003,出库单!$D$4:$D$4003,$A557,出库单!$K$4:$K$4003,"自用消耗",出库单!$U$4:$U$4003,"正常",出库单!$C$4:$C$4003,"&gt;="&amp;账期起,出库单!$C$4:$C$4003,"&lt;="&amp;账期止),0))</f>
        <v/>
      </c>
      <c r="R557" s="27">
        <f>IF($A557="","",SUMIFS(出库单!$J$4:$J$4003,出库单!$D$4:$D$4003,$A557,出库单!$K$4:$K$4003,"对外销售",出库单!$U$4:$U$4003,"正常",出库单!$C$4:$C$4003,"&gt;="&amp;账期起,出库单!$C$4:$C$4003,"&lt;="&amp;账期止))</f>
        <v/>
      </c>
      <c r="S557" s="26">
        <f>IF($A557="","",ROUND(SUMIFS(出库单!$S$4:$S$4003,出库单!$D$4:$D$4003,$A557,出库单!$K$4:$K$4003,"对外销售",出库单!$U$4:$U$4003,"正常",出库单!$C$4:$C$4003,"&gt;="&amp;账期起,出库单!$C$4:$C$4003,"&lt;="&amp;账期止),0))</f>
        <v/>
      </c>
      <c r="T557" s="27">
        <f>IF($A557="","",SUMIFS(出库单!$J$4:$J$4003,出库单!$D$4:$D$4003,$A557,出库单!$K$4:$K$4003,"盘亏",出库单!$U$4:$U$4003,"正常",出库单!$C$4:$C$4003,"&gt;="&amp;账期起,出库单!$C$4:$C$4003,"&lt;="&amp;账期止))</f>
        <v/>
      </c>
      <c r="U557" s="26">
        <f>IF($A557="","",ROUND(SUMIFS(出库单!$S$4:$S$4003,出库单!$D$4:$D$4003,$A557,出库单!$K$4:$K$4003,"盘亏",出库单!$U$4:$U$4003,"正常",出库单!$C$4:$C$4003,"&gt;="&amp;账期起,出库单!$C$4:$C$4003,"&lt;="&amp;账期止),0))</f>
        <v/>
      </c>
      <c r="V557" s="27">
        <f>IF($A557="","",SUMIFS(出库单!$J$4:$J$4003,出库单!$D$4:$D$4003,$A557,出库单!$K$4:$K$4003,"退货给供应商",出库单!$U$4:$U$4003,"正常",出库单!$C$4:$C$4003,"&gt;="&amp;账期起,出库单!$C$4:$C$4003,"&lt;="&amp;账期止))</f>
        <v/>
      </c>
      <c r="W557" s="26">
        <f>IF($A557="","",ROUND(SUMIFS(出库单!$S$4:$S$4003,出库单!$D$4:$D$4003,$A557,出库单!$K$4:$K$4003,"退货给供应商",出库单!$U$4:$U$4003,"正常",出库单!$C$4:$C$4003,"&gt;="&amp;账期起,出库单!$C$4:$C$4003,"&lt;="&amp;账期止),0))</f>
        <v/>
      </c>
      <c r="X557" s="27">
        <f>IF($A557="","",ROUND(N($G557)+$I557+$L557+$N557-$P557-$R557-$T557-$V557,3))</f>
        <v/>
      </c>
      <c r="Y557" s="26">
        <f>IF($A557="","",ROUND(N($H557)+$J557+$M557+$O557-$Q557-$S557-$U557-$W557,0))</f>
        <v/>
      </c>
      <c r="Z557" s="24">
        <f>IF($A557="","",IF(COUNTIFS(入库单!$G$4:$G$2503,$A557,入库单!$Y$4:$Y$2503,"待补价")+COUNTIFS(入库单!$G$4:$G$2503,$A557,入库单!$Y$4:$Y$2503,"暂估")&gt;0,"不可信","可信"))</f>
        <v/>
      </c>
      <c r="AA557" s="24">
        <f>IF($A557="","",IF($X557&lt;-0.001,"※账面负库存，查一下是不是漏记入库",IF(AND(ROUND($X557,3)=0,ABS($Y557)&gt;1),"※数量已经是 0，金额还挂着 "&amp;TEXT($Y557,"#,##0")&amp;" 先令",IF(AND($X557&gt;0,$Y557&lt;=0,$K557=0),"※有数量没金额（这个物料一直没填过进价）",IF($Z557="不可信","△成本含待补价/暂估，毛利仅供参考","")))))</f>
        <v/>
      </c>
    </row>
    <row r="558">
      <c r="A558" s="24">
        <f>IF(物料档案!$A557="","",物料档案!$A557)</f>
        <v/>
      </c>
      <c r="B558" s="24">
        <f>IF($A558="","",IFERROR(VLOOKUP($A558,物料档案!$A$4:$P$1203,3,0),""))</f>
        <v/>
      </c>
      <c r="C558" s="24">
        <f>IF($A558="","",IFERROR(VLOOKUP($A558,物料档案!$A$4:$P$1203,4,0),""))</f>
        <v/>
      </c>
      <c r="D558" s="24">
        <f>IF($A558="","",IFERROR(VLOOKUP($A558,物料档案!$A$4:$P$1203,5,0),""))</f>
        <v/>
      </c>
      <c r="E558" s="24">
        <f>IF($A558="","",IFERROR(VLOOKUP($A558,物料档案!$A$4:$P$1203,2,0),""))</f>
        <v/>
      </c>
      <c r="F558" s="24">
        <f>IF($A558="","",IFERROR(VLOOKUP($A558,物料档案!$A$4:$P$1203,6,0),""))</f>
        <v/>
      </c>
      <c r="G558" s="23" t="n"/>
      <c r="H558" s="32" t="n"/>
      <c r="I558" s="27">
        <f>IF($A558="","",SUMIFS(入库单!$K$4:$K$2503,入库单!$G$4:$G$2503,$A558,入库单!$X$4:$X$2503,"采购入库",入库单!$Z$4:$Z$2503,"正常",入库单!$C$4:$C$2503,"&gt;="&amp;账期起,入库单!$C$4:$C$2503,"&lt;="&amp;账期止))</f>
        <v/>
      </c>
      <c r="J558" s="26">
        <f>IF($A558="","",SUMIFS(入库单!$V$4:$V$2503,入库单!$G$4:$G$2503,$A558,入库单!$X$4:$X$2503,"采购入库",入库单!$Z$4:$Z$2503,"正常",入库单!$C$4:$C$2503,"&gt;="&amp;账期起,入库单!$C$4:$C$2503,"&lt;="&amp;账期止))</f>
        <v/>
      </c>
      <c r="K558" s="26">
        <f>IF($A558="","",IFERROR(ROUND((N($H558)+N($J558))/(N($G558)+N($I558)),2),0))</f>
        <v/>
      </c>
      <c r="L558" s="27">
        <f>IF($A558="","",SUMIFS(入库单!$K$4:$K$2503,入库单!$G$4:$G$2503,$A558,入库单!$X$4:$X$2503,"盘盈",入库单!$Z$4:$Z$2503,"正常",入库单!$C$4:$C$2503,"&gt;="&amp;账期起,入库单!$C$4:$C$2503,"&lt;="&amp;账期止))</f>
        <v/>
      </c>
      <c r="M558" s="26">
        <f>IF($A558="","",ROUND($L558*$K558,0))</f>
        <v/>
      </c>
      <c r="N558" s="27">
        <f>IF($A558="","",SUMIFS(入库单!$K$4:$K$2503,入库单!$G$4:$G$2503,$A558,入库单!$X$4:$X$2503,"矿区退库",入库单!$Z$4:$Z$2503,"正常",入库单!$C$4:$C$2503,"&gt;="&amp;账期起,入库单!$C$4:$C$2503,"&lt;="&amp;账期止))</f>
        <v/>
      </c>
      <c r="O558" s="26">
        <f>IF($A558="","",ROUND($N558*$K558,0))</f>
        <v/>
      </c>
      <c r="P558" s="27">
        <f>IF($A558="","",SUMIFS(出库单!$J$4:$J$4003,出库单!$D$4:$D$4003,$A558,出库单!$K$4:$K$4003,"自用消耗",出库单!$U$4:$U$4003,"正常",出库单!$C$4:$C$4003,"&gt;="&amp;账期起,出库单!$C$4:$C$4003,"&lt;="&amp;账期止))</f>
        <v/>
      </c>
      <c r="Q558" s="26">
        <f>IF($A558="","",ROUND(SUMIFS(出库单!$S$4:$S$4003,出库单!$D$4:$D$4003,$A558,出库单!$K$4:$K$4003,"自用消耗",出库单!$U$4:$U$4003,"正常",出库单!$C$4:$C$4003,"&gt;="&amp;账期起,出库单!$C$4:$C$4003,"&lt;="&amp;账期止),0))</f>
        <v/>
      </c>
      <c r="R558" s="27">
        <f>IF($A558="","",SUMIFS(出库单!$J$4:$J$4003,出库单!$D$4:$D$4003,$A558,出库单!$K$4:$K$4003,"对外销售",出库单!$U$4:$U$4003,"正常",出库单!$C$4:$C$4003,"&gt;="&amp;账期起,出库单!$C$4:$C$4003,"&lt;="&amp;账期止))</f>
        <v/>
      </c>
      <c r="S558" s="26">
        <f>IF($A558="","",ROUND(SUMIFS(出库单!$S$4:$S$4003,出库单!$D$4:$D$4003,$A558,出库单!$K$4:$K$4003,"对外销售",出库单!$U$4:$U$4003,"正常",出库单!$C$4:$C$4003,"&gt;="&amp;账期起,出库单!$C$4:$C$4003,"&lt;="&amp;账期止),0))</f>
        <v/>
      </c>
      <c r="T558" s="27">
        <f>IF($A558="","",SUMIFS(出库单!$J$4:$J$4003,出库单!$D$4:$D$4003,$A558,出库单!$K$4:$K$4003,"盘亏",出库单!$U$4:$U$4003,"正常",出库单!$C$4:$C$4003,"&gt;="&amp;账期起,出库单!$C$4:$C$4003,"&lt;="&amp;账期止))</f>
        <v/>
      </c>
      <c r="U558" s="26">
        <f>IF($A558="","",ROUND(SUMIFS(出库单!$S$4:$S$4003,出库单!$D$4:$D$4003,$A558,出库单!$K$4:$K$4003,"盘亏",出库单!$U$4:$U$4003,"正常",出库单!$C$4:$C$4003,"&gt;="&amp;账期起,出库单!$C$4:$C$4003,"&lt;="&amp;账期止),0))</f>
        <v/>
      </c>
      <c r="V558" s="27">
        <f>IF($A558="","",SUMIFS(出库单!$J$4:$J$4003,出库单!$D$4:$D$4003,$A558,出库单!$K$4:$K$4003,"退货给供应商",出库单!$U$4:$U$4003,"正常",出库单!$C$4:$C$4003,"&gt;="&amp;账期起,出库单!$C$4:$C$4003,"&lt;="&amp;账期止))</f>
        <v/>
      </c>
      <c r="W558" s="26">
        <f>IF($A558="","",ROUND(SUMIFS(出库单!$S$4:$S$4003,出库单!$D$4:$D$4003,$A558,出库单!$K$4:$K$4003,"退货给供应商",出库单!$U$4:$U$4003,"正常",出库单!$C$4:$C$4003,"&gt;="&amp;账期起,出库单!$C$4:$C$4003,"&lt;="&amp;账期止),0))</f>
        <v/>
      </c>
      <c r="X558" s="27">
        <f>IF($A558="","",ROUND(N($G558)+$I558+$L558+$N558-$P558-$R558-$T558-$V558,3))</f>
        <v/>
      </c>
      <c r="Y558" s="26">
        <f>IF($A558="","",ROUND(N($H558)+$J558+$M558+$O558-$Q558-$S558-$U558-$W558,0))</f>
        <v/>
      </c>
      <c r="Z558" s="24">
        <f>IF($A558="","",IF(COUNTIFS(入库单!$G$4:$G$2503,$A558,入库单!$Y$4:$Y$2503,"待补价")+COUNTIFS(入库单!$G$4:$G$2503,$A558,入库单!$Y$4:$Y$2503,"暂估")&gt;0,"不可信","可信"))</f>
        <v/>
      </c>
      <c r="AA558" s="24">
        <f>IF($A558="","",IF($X558&lt;-0.001,"※账面负库存，查一下是不是漏记入库",IF(AND(ROUND($X558,3)=0,ABS($Y558)&gt;1),"※数量已经是 0，金额还挂着 "&amp;TEXT($Y558,"#,##0")&amp;" 先令",IF(AND($X558&gt;0,$Y558&lt;=0,$K558=0),"※有数量没金额（这个物料一直没填过进价）",IF($Z558="不可信","△成本含待补价/暂估，毛利仅供参考","")))))</f>
        <v/>
      </c>
    </row>
    <row r="559">
      <c r="A559" s="24">
        <f>IF(物料档案!$A558="","",物料档案!$A558)</f>
        <v/>
      </c>
      <c r="B559" s="24">
        <f>IF($A559="","",IFERROR(VLOOKUP($A559,物料档案!$A$4:$P$1203,3,0),""))</f>
        <v/>
      </c>
      <c r="C559" s="24">
        <f>IF($A559="","",IFERROR(VLOOKUP($A559,物料档案!$A$4:$P$1203,4,0),""))</f>
        <v/>
      </c>
      <c r="D559" s="24">
        <f>IF($A559="","",IFERROR(VLOOKUP($A559,物料档案!$A$4:$P$1203,5,0),""))</f>
        <v/>
      </c>
      <c r="E559" s="24">
        <f>IF($A559="","",IFERROR(VLOOKUP($A559,物料档案!$A$4:$P$1203,2,0),""))</f>
        <v/>
      </c>
      <c r="F559" s="24">
        <f>IF($A559="","",IFERROR(VLOOKUP($A559,物料档案!$A$4:$P$1203,6,0),""))</f>
        <v/>
      </c>
      <c r="G559" s="23" t="n"/>
      <c r="H559" s="32" t="n"/>
      <c r="I559" s="27">
        <f>IF($A559="","",SUMIFS(入库单!$K$4:$K$2503,入库单!$G$4:$G$2503,$A559,入库单!$X$4:$X$2503,"采购入库",入库单!$Z$4:$Z$2503,"正常",入库单!$C$4:$C$2503,"&gt;="&amp;账期起,入库单!$C$4:$C$2503,"&lt;="&amp;账期止))</f>
        <v/>
      </c>
      <c r="J559" s="26">
        <f>IF($A559="","",SUMIFS(入库单!$V$4:$V$2503,入库单!$G$4:$G$2503,$A559,入库单!$X$4:$X$2503,"采购入库",入库单!$Z$4:$Z$2503,"正常",入库单!$C$4:$C$2503,"&gt;="&amp;账期起,入库单!$C$4:$C$2503,"&lt;="&amp;账期止))</f>
        <v/>
      </c>
      <c r="K559" s="26">
        <f>IF($A559="","",IFERROR(ROUND((N($H559)+N($J559))/(N($G559)+N($I559)),2),0))</f>
        <v/>
      </c>
      <c r="L559" s="27">
        <f>IF($A559="","",SUMIFS(入库单!$K$4:$K$2503,入库单!$G$4:$G$2503,$A559,入库单!$X$4:$X$2503,"盘盈",入库单!$Z$4:$Z$2503,"正常",入库单!$C$4:$C$2503,"&gt;="&amp;账期起,入库单!$C$4:$C$2503,"&lt;="&amp;账期止))</f>
        <v/>
      </c>
      <c r="M559" s="26">
        <f>IF($A559="","",ROUND($L559*$K559,0))</f>
        <v/>
      </c>
      <c r="N559" s="27">
        <f>IF($A559="","",SUMIFS(入库单!$K$4:$K$2503,入库单!$G$4:$G$2503,$A559,入库单!$X$4:$X$2503,"矿区退库",入库单!$Z$4:$Z$2503,"正常",入库单!$C$4:$C$2503,"&gt;="&amp;账期起,入库单!$C$4:$C$2503,"&lt;="&amp;账期止))</f>
        <v/>
      </c>
      <c r="O559" s="26">
        <f>IF($A559="","",ROUND($N559*$K559,0))</f>
        <v/>
      </c>
      <c r="P559" s="27">
        <f>IF($A559="","",SUMIFS(出库单!$J$4:$J$4003,出库单!$D$4:$D$4003,$A559,出库单!$K$4:$K$4003,"自用消耗",出库单!$U$4:$U$4003,"正常",出库单!$C$4:$C$4003,"&gt;="&amp;账期起,出库单!$C$4:$C$4003,"&lt;="&amp;账期止))</f>
        <v/>
      </c>
      <c r="Q559" s="26">
        <f>IF($A559="","",ROUND(SUMIFS(出库单!$S$4:$S$4003,出库单!$D$4:$D$4003,$A559,出库单!$K$4:$K$4003,"自用消耗",出库单!$U$4:$U$4003,"正常",出库单!$C$4:$C$4003,"&gt;="&amp;账期起,出库单!$C$4:$C$4003,"&lt;="&amp;账期止),0))</f>
        <v/>
      </c>
      <c r="R559" s="27">
        <f>IF($A559="","",SUMIFS(出库单!$J$4:$J$4003,出库单!$D$4:$D$4003,$A559,出库单!$K$4:$K$4003,"对外销售",出库单!$U$4:$U$4003,"正常",出库单!$C$4:$C$4003,"&gt;="&amp;账期起,出库单!$C$4:$C$4003,"&lt;="&amp;账期止))</f>
        <v/>
      </c>
      <c r="S559" s="26">
        <f>IF($A559="","",ROUND(SUMIFS(出库单!$S$4:$S$4003,出库单!$D$4:$D$4003,$A559,出库单!$K$4:$K$4003,"对外销售",出库单!$U$4:$U$4003,"正常",出库单!$C$4:$C$4003,"&gt;="&amp;账期起,出库单!$C$4:$C$4003,"&lt;="&amp;账期止),0))</f>
        <v/>
      </c>
      <c r="T559" s="27">
        <f>IF($A559="","",SUMIFS(出库单!$J$4:$J$4003,出库单!$D$4:$D$4003,$A559,出库单!$K$4:$K$4003,"盘亏",出库单!$U$4:$U$4003,"正常",出库单!$C$4:$C$4003,"&gt;="&amp;账期起,出库单!$C$4:$C$4003,"&lt;="&amp;账期止))</f>
        <v/>
      </c>
      <c r="U559" s="26">
        <f>IF($A559="","",ROUND(SUMIFS(出库单!$S$4:$S$4003,出库单!$D$4:$D$4003,$A559,出库单!$K$4:$K$4003,"盘亏",出库单!$U$4:$U$4003,"正常",出库单!$C$4:$C$4003,"&gt;="&amp;账期起,出库单!$C$4:$C$4003,"&lt;="&amp;账期止),0))</f>
        <v/>
      </c>
      <c r="V559" s="27">
        <f>IF($A559="","",SUMIFS(出库单!$J$4:$J$4003,出库单!$D$4:$D$4003,$A559,出库单!$K$4:$K$4003,"退货给供应商",出库单!$U$4:$U$4003,"正常",出库单!$C$4:$C$4003,"&gt;="&amp;账期起,出库单!$C$4:$C$4003,"&lt;="&amp;账期止))</f>
        <v/>
      </c>
      <c r="W559" s="26">
        <f>IF($A559="","",ROUND(SUMIFS(出库单!$S$4:$S$4003,出库单!$D$4:$D$4003,$A559,出库单!$K$4:$K$4003,"退货给供应商",出库单!$U$4:$U$4003,"正常",出库单!$C$4:$C$4003,"&gt;="&amp;账期起,出库单!$C$4:$C$4003,"&lt;="&amp;账期止),0))</f>
        <v/>
      </c>
      <c r="X559" s="27">
        <f>IF($A559="","",ROUND(N($G559)+$I559+$L559+$N559-$P559-$R559-$T559-$V559,3))</f>
        <v/>
      </c>
      <c r="Y559" s="26">
        <f>IF($A559="","",ROUND(N($H559)+$J559+$M559+$O559-$Q559-$S559-$U559-$W559,0))</f>
        <v/>
      </c>
      <c r="Z559" s="24">
        <f>IF($A559="","",IF(COUNTIFS(入库单!$G$4:$G$2503,$A559,入库单!$Y$4:$Y$2503,"待补价")+COUNTIFS(入库单!$G$4:$G$2503,$A559,入库单!$Y$4:$Y$2503,"暂估")&gt;0,"不可信","可信"))</f>
        <v/>
      </c>
      <c r="AA559" s="24">
        <f>IF($A559="","",IF($X559&lt;-0.001,"※账面负库存，查一下是不是漏记入库",IF(AND(ROUND($X559,3)=0,ABS($Y559)&gt;1),"※数量已经是 0，金额还挂着 "&amp;TEXT($Y559,"#,##0")&amp;" 先令",IF(AND($X559&gt;0,$Y559&lt;=0,$K559=0),"※有数量没金额（这个物料一直没填过进价）",IF($Z559="不可信","△成本含待补价/暂估，毛利仅供参考","")))))</f>
        <v/>
      </c>
    </row>
    <row r="560">
      <c r="A560" s="24">
        <f>IF(物料档案!$A559="","",物料档案!$A559)</f>
        <v/>
      </c>
      <c r="B560" s="24">
        <f>IF($A560="","",IFERROR(VLOOKUP($A560,物料档案!$A$4:$P$1203,3,0),""))</f>
        <v/>
      </c>
      <c r="C560" s="24">
        <f>IF($A560="","",IFERROR(VLOOKUP($A560,物料档案!$A$4:$P$1203,4,0),""))</f>
        <v/>
      </c>
      <c r="D560" s="24">
        <f>IF($A560="","",IFERROR(VLOOKUP($A560,物料档案!$A$4:$P$1203,5,0),""))</f>
        <v/>
      </c>
      <c r="E560" s="24">
        <f>IF($A560="","",IFERROR(VLOOKUP($A560,物料档案!$A$4:$P$1203,2,0),""))</f>
        <v/>
      </c>
      <c r="F560" s="24">
        <f>IF($A560="","",IFERROR(VLOOKUP($A560,物料档案!$A$4:$P$1203,6,0),""))</f>
        <v/>
      </c>
      <c r="G560" s="23" t="n"/>
      <c r="H560" s="32" t="n"/>
      <c r="I560" s="27">
        <f>IF($A560="","",SUMIFS(入库单!$K$4:$K$2503,入库单!$G$4:$G$2503,$A560,入库单!$X$4:$X$2503,"采购入库",入库单!$Z$4:$Z$2503,"正常",入库单!$C$4:$C$2503,"&gt;="&amp;账期起,入库单!$C$4:$C$2503,"&lt;="&amp;账期止))</f>
        <v/>
      </c>
      <c r="J560" s="26">
        <f>IF($A560="","",SUMIFS(入库单!$V$4:$V$2503,入库单!$G$4:$G$2503,$A560,入库单!$X$4:$X$2503,"采购入库",入库单!$Z$4:$Z$2503,"正常",入库单!$C$4:$C$2503,"&gt;="&amp;账期起,入库单!$C$4:$C$2503,"&lt;="&amp;账期止))</f>
        <v/>
      </c>
      <c r="K560" s="26">
        <f>IF($A560="","",IFERROR(ROUND((N($H560)+N($J560))/(N($G560)+N($I560)),2),0))</f>
        <v/>
      </c>
      <c r="L560" s="27">
        <f>IF($A560="","",SUMIFS(入库单!$K$4:$K$2503,入库单!$G$4:$G$2503,$A560,入库单!$X$4:$X$2503,"盘盈",入库单!$Z$4:$Z$2503,"正常",入库单!$C$4:$C$2503,"&gt;="&amp;账期起,入库单!$C$4:$C$2503,"&lt;="&amp;账期止))</f>
        <v/>
      </c>
      <c r="M560" s="26">
        <f>IF($A560="","",ROUND($L560*$K560,0))</f>
        <v/>
      </c>
      <c r="N560" s="27">
        <f>IF($A560="","",SUMIFS(入库单!$K$4:$K$2503,入库单!$G$4:$G$2503,$A560,入库单!$X$4:$X$2503,"矿区退库",入库单!$Z$4:$Z$2503,"正常",入库单!$C$4:$C$2503,"&gt;="&amp;账期起,入库单!$C$4:$C$2503,"&lt;="&amp;账期止))</f>
        <v/>
      </c>
      <c r="O560" s="26">
        <f>IF($A560="","",ROUND($N560*$K560,0))</f>
        <v/>
      </c>
      <c r="P560" s="27">
        <f>IF($A560="","",SUMIFS(出库单!$J$4:$J$4003,出库单!$D$4:$D$4003,$A560,出库单!$K$4:$K$4003,"自用消耗",出库单!$U$4:$U$4003,"正常",出库单!$C$4:$C$4003,"&gt;="&amp;账期起,出库单!$C$4:$C$4003,"&lt;="&amp;账期止))</f>
        <v/>
      </c>
      <c r="Q560" s="26">
        <f>IF($A560="","",ROUND(SUMIFS(出库单!$S$4:$S$4003,出库单!$D$4:$D$4003,$A560,出库单!$K$4:$K$4003,"自用消耗",出库单!$U$4:$U$4003,"正常",出库单!$C$4:$C$4003,"&gt;="&amp;账期起,出库单!$C$4:$C$4003,"&lt;="&amp;账期止),0))</f>
        <v/>
      </c>
      <c r="R560" s="27">
        <f>IF($A560="","",SUMIFS(出库单!$J$4:$J$4003,出库单!$D$4:$D$4003,$A560,出库单!$K$4:$K$4003,"对外销售",出库单!$U$4:$U$4003,"正常",出库单!$C$4:$C$4003,"&gt;="&amp;账期起,出库单!$C$4:$C$4003,"&lt;="&amp;账期止))</f>
        <v/>
      </c>
      <c r="S560" s="26">
        <f>IF($A560="","",ROUND(SUMIFS(出库单!$S$4:$S$4003,出库单!$D$4:$D$4003,$A560,出库单!$K$4:$K$4003,"对外销售",出库单!$U$4:$U$4003,"正常",出库单!$C$4:$C$4003,"&gt;="&amp;账期起,出库单!$C$4:$C$4003,"&lt;="&amp;账期止),0))</f>
        <v/>
      </c>
      <c r="T560" s="27">
        <f>IF($A560="","",SUMIFS(出库单!$J$4:$J$4003,出库单!$D$4:$D$4003,$A560,出库单!$K$4:$K$4003,"盘亏",出库单!$U$4:$U$4003,"正常",出库单!$C$4:$C$4003,"&gt;="&amp;账期起,出库单!$C$4:$C$4003,"&lt;="&amp;账期止))</f>
        <v/>
      </c>
      <c r="U560" s="26">
        <f>IF($A560="","",ROUND(SUMIFS(出库单!$S$4:$S$4003,出库单!$D$4:$D$4003,$A560,出库单!$K$4:$K$4003,"盘亏",出库单!$U$4:$U$4003,"正常",出库单!$C$4:$C$4003,"&gt;="&amp;账期起,出库单!$C$4:$C$4003,"&lt;="&amp;账期止),0))</f>
        <v/>
      </c>
      <c r="V560" s="27">
        <f>IF($A560="","",SUMIFS(出库单!$J$4:$J$4003,出库单!$D$4:$D$4003,$A560,出库单!$K$4:$K$4003,"退货给供应商",出库单!$U$4:$U$4003,"正常",出库单!$C$4:$C$4003,"&gt;="&amp;账期起,出库单!$C$4:$C$4003,"&lt;="&amp;账期止))</f>
        <v/>
      </c>
      <c r="W560" s="26">
        <f>IF($A560="","",ROUND(SUMIFS(出库单!$S$4:$S$4003,出库单!$D$4:$D$4003,$A560,出库单!$K$4:$K$4003,"退货给供应商",出库单!$U$4:$U$4003,"正常",出库单!$C$4:$C$4003,"&gt;="&amp;账期起,出库单!$C$4:$C$4003,"&lt;="&amp;账期止),0))</f>
        <v/>
      </c>
      <c r="X560" s="27">
        <f>IF($A560="","",ROUND(N($G560)+$I560+$L560+$N560-$P560-$R560-$T560-$V560,3))</f>
        <v/>
      </c>
      <c r="Y560" s="26">
        <f>IF($A560="","",ROUND(N($H560)+$J560+$M560+$O560-$Q560-$S560-$U560-$W560,0))</f>
        <v/>
      </c>
      <c r="Z560" s="24">
        <f>IF($A560="","",IF(COUNTIFS(入库单!$G$4:$G$2503,$A560,入库单!$Y$4:$Y$2503,"待补价")+COUNTIFS(入库单!$G$4:$G$2503,$A560,入库单!$Y$4:$Y$2503,"暂估")&gt;0,"不可信","可信"))</f>
        <v/>
      </c>
      <c r="AA560" s="24">
        <f>IF($A560="","",IF($X560&lt;-0.001,"※账面负库存，查一下是不是漏记入库",IF(AND(ROUND($X560,3)=0,ABS($Y560)&gt;1),"※数量已经是 0，金额还挂着 "&amp;TEXT($Y560,"#,##0")&amp;" 先令",IF(AND($X560&gt;0,$Y560&lt;=0,$K560=0),"※有数量没金额（这个物料一直没填过进价）",IF($Z560="不可信","△成本含待补价/暂估，毛利仅供参考","")))))</f>
        <v/>
      </c>
    </row>
    <row r="561">
      <c r="A561" s="24">
        <f>IF(物料档案!$A560="","",物料档案!$A560)</f>
        <v/>
      </c>
      <c r="B561" s="24">
        <f>IF($A561="","",IFERROR(VLOOKUP($A561,物料档案!$A$4:$P$1203,3,0),""))</f>
        <v/>
      </c>
      <c r="C561" s="24">
        <f>IF($A561="","",IFERROR(VLOOKUP($A561,物料档案!$A$4:$P$1203,4,0),""))</f>
        <v/>
      </c>
      <c r="D561" s="24">
        <f>IF($A561="","",IFERROR(VLOOKUP($A561,物料档案!$A$4:$P$1203,5,0),""))</f>
        <v/>
      </c>
      <c r="E561" s="24">
        <f>IF($A561="","",IFERROR(VLOOKUP($A561,物料档案!$A$4:$P$1203,2,0),""))</f>
        <v/>
      </c>
      <c r="F561" s="24">
        <f>IF($A561="","",IFERROR(VLOOKUP($A561,物料档案!$A$4:$P$1203,6,0),""))</f>
        <v/>
      </c>
      <c r="G561" s="23" t="n"/>
      <c r="H561" s="32" t="n"/>
      <c r="I561" s="27">
        <f>IF($A561="","",SUMIFS(入库单!$K$4:$K$2503,入库单!$G$4:$G$2503,$A561,入库单!$X$4:$X$2503,"采购入库",入库单!$Z$4:$Z$2503,"正常",入库单!$C$4:$C$2503,"&gt;="&amp;账期起,入库单!$C$4:$C$2503,"&lt;="&amp;账期止))</f>
        <v/>
      </c>
      <c r="J561" s="26">
        <f>IF($A561="","",SUMIFS(入库单!$V$4:$V$2503,入库单!$G$4:$G$2503,$A561,入库单!$X$4:$X$2503,"采购入库",入库单!$Z$4:$Z$2503,"正常",入库单!$C$4:$C$2503,"&gt;="&amp;账期起,入库单!$C$4:$C$2503,"&lt;="&amp;账期止))</f>
        <v/>
      </c>
      <c r="K561" s="26">
        <f>IF($A561="","",IFERROR(ROUND((N($H561)+N($J561))/(N($G561)+N($I561)),2),0))</f>
        <v/>
      </c>
      <c r="L561" s="27">
        <f>IF($A561="","",SUMIFS(入库单!$K$4:$K$2503,入库单!$G$4:$G$2503,$A561,入库单!$X$4:$X$2503,"盘盈",入库单!$Z$4:$Z$2503,"正常",入库单!$C$4:$C$2503,"&gt;="&amp;账期起,入库单!$C$4:$C$2503,"&lt;="&amp;账期止))</f>
        <v/>
      </c>
      <c r="M561" s="26">
        <f>IF($A561="","",ROUND($L561*$K561,0))</f>
        <v/>
      </c>
      <c r="N561" s="27">
        <f>IF($A561="","",SUMIFS(入库单!$K$4:$K$2503,入库单!$G$4:$G$2503,$A561,入库单!$X$4:$X$2503,"矿区退库",入库单!$Z$4:$Z$2503,"正常",入库单!$C$4:$C$2503,"&gt;="&amp;账期起,入库单!$C$4:$C$2503,"&lt;="&amp;账期止))</f>
        <v/>
      </c>
      <c r="O561" s="26">
        <f>IF($A561="","",ROUND($N561*$K561,0))</f>
        <v/>
      </c>
      <c r="P561" s="27">
        <f>IF($A561="","",SUMIFS(出库单!$J$4:$J$4003,出库单!$D$4:$D$4003,$A561,出库单!$K$4:$K$4003,"自用消耗",出库单!$U$4:$U$4003,"正常",出库单!$C$4:$C$4003,"&gt;="&amp;账期起,出库单!$C$4:$C$4003,"&lt;="&amp;账期止))</f>
        <v/>
      </c>
      <c r="Q561" s="26">
        <f>IF($A561="","",ROUND(SUMIFS(出库单!$S$4:$S$4003,出库单!$D$4:$D$4003,$A561,出库单!$K$4:$K$4003,"自用消耗",出库单!$U$4:$U$4003,"正常",出库单!$C$4:$C$4003,"&gt;="&amp;账期起,出库单!$C$4:$C$4003,"&lt;="&amp;账期止),0))</f>
        <v/>
      </c>
      <c r="R561" s="27">
        <f>IF($A561="","",SUMIFS(出库单!$J$4:$J$4003,出库单!$D$4:$D$4003,$A561,出库单!$K$4:$K$4003,"对外销售",出库单!$U$4:$U$4003,"正常",出库单!$C$4:$C$4003,"&gt;="&amp;账期起,出库单!$C$4:$C$4003,"&lt;="&amp;账期止))</f>
        <v/>
      </c>
      <c r="S561" s="26">
        <f>IF($A561="","",ROUND(SUMIFS(出库单!$S$4:$S$4003,出库单!$D$4:$D$4003,$A561,出库单!$K$4:$K$4003,"对外销售",出库单!$U$4:$U$4003,"正常",出库单!$C$4:$C$4003,"&gt;="&amp;账期起,出库单!$C$4:$C$4003,"&lt;="&amp;账期止),0))</f>
        <v/>
      </c>
      <c r="T561" s="27">
        <f>IF($A561="","",SUMIFS(出库单!$J$4:$J$4003,出库单!$D$4:$D$4003,$A561,出库单!$K$4:$K$4003,"盘亏",出库单!$U$4:$U$4003,"正常",出库单!$C$4:$C$4003,"&gt;="&amp;账期起,出库单!$C$4:$C$4003,"&lt;="&amp;账期止))</f>
        <v/>
      </c>
      <c r="U561" s="26">
        <f>IF($A561="","",ROUND(SUMIFS(出库单!$S$4:$S$4003,出库单!$D$4:$D$4003,$A561,出库单!$K$4:$K$4003,"盘亏",出库单!$U$4:$U$4003,"正常",出库单!$C$4:$C$4003,"&gt;="&amp;账期起,出库单!$C$4:$C$4003,"&lt;="&amp;账期止),0))</f>
        <v/>
      </c>
      <c r="V561" s="27">
        <f>IF($A561="","",SUMIFS(出库单!$J$4:$J$4003,出库单!$D$4:$D$4003,$A561,出库单!$K$4:$K$4003,"退货给供应商",出库单!$U$4:$U$4003,"正常",出库单!$C$4:$C$4003,"&gt;="&amp;账期起,出库单!$C$4:$C$4003,"&lt;="&amp;账期止))</f>
        <v/>
      </c>
      <c r="W561" s="26">
        <f>IF($A561="","",ROUND(SUMIFS(出库单!$S$4:$S$4003,出库单!$D$4:$D$4003,$A561,出库单!$K$4:$K$4003,"退货给供应商",出库单!$U$4:$U$4003,"正常",出库单!$C$4:$C$4003,"&gt;="&amp;账期起,出库单!$C$4:$C$4003,"&lt;="&amp;账期止),0))</f>
        <v/>
      </c>
      <c r="X561" s="27">
        <f>IF($A561="","",ROUND(N($G561)+$I561+$L561+$N561-$P561-$R561-$T561-$V561,3))</f>
        <v/>
      </c>
      <c r="Y561" s="26">
        <f>IF($A561="","",ROUND(N($H561)+$J561+$M561+$O561-$Q561-$S561-$U561-$W561,0))</f>
        <v/>
      </c>
      <c r="Z561" s="24">
        <f>IF($A561="","",IF(COUNTIFS(入库单!$G$4:$G$2503,$A561,入库单!$Y$4:$Y$2503,"待补价")+COUNTIFS(入库单!$G$4:$G$2503,$A561,入库单!$Y$4:$Y$2503,"暂估")&gt;0,"不可信","可信"))</f>
        <v/>
      </c>
      <c r="AA561" s="24">
        <f>IF($A561="","",IF($X561&lt;-0.001,"※账面负库存，查一下是不是漏记入库",IF(AND(ROUND($X561,3)=0,ABS($Y561)&gt;1),"※数量已经是 0，金额还挂着 "&amp;TEXT($Y561,"#,##0")&amp;" 先令",IF(AND($X561&gt;0,$Y561&lt;=0,$K561=0),"※有数量没金额（这个物料一直没填过进价）",IF($Z561="不可信","△成本含待补价/暂估，毛利仅供参考","")))))</f>
        <v/>
      </c>
    </row>
    <row r="562">
      <c r="A562" s="24">
        <f>IF(物料档案!$A561="","",物料档案!$A561)</f>
        <v/>
      </c>
      <c r="B562" s="24">
        <f>IF($A562="","",IFERROR(VLOOKUP($A562,物料档案!$A$4:$P$1203,3,0),""))</f>
        <v/>
      </c>
      <c r="C562" s="24">
        <f>IF($A562="","",IFERROR(VLOOKUP($A562,物料档案!$A$4:$P$1203,4,0),""))</f>
        <v/>
      </c>
      <c r="D562" s="24">
        <f>IF($A562="","",IFERROR(VLOOKUP($A562,物料档案!$A$4:$P$1203,5,0),""))</f>
        <v/>
      </c>
      <c r="E562" s="24">
        <f>IF($A562="","",IFERROR(VLOOKUP($A562,物料档案!$A$4:$P$1203,2,0),""))</f>
        <v/>
      </c>
      <c r="F562" s="24">
        <f>IF($A562="","",IFERROR(VLOOKUP($A562,物料档案!$A$4:$P$1203,6,0),""))</f>
        <v/>
      </c>
      <c r="G562" s="23" t="n"/>
      <c r="H562" s="32" t="n"/>
      <c r="I562" s="27">
        <f>IF($A562="","",SUMIFS(入库单!$K$4:$K$2503,入库单!$G$4:$G$2503,$A562,入库单!$X$4:$X$2503,"采购入库",入库单!$Z$4:$Z$2503,"正常",入库单!$C$4:$C$2503,"&gt;="&amp;账期起,入库单!$C$4:$C$2503,"&lt;="&amp;账期止))</f>
        <v/>
      </c>
      <c r="J562" s="26">
        <f>IF($A562="","",SUMIFS(入库单!$V$4:$V$2503,入库单!$G$4:$G$2503,$A562,入库单!$X$4:$X$2503,"采购入库",入库单!$Z$4:$Z$2503,"正常",入库单!$C$4:$C$2503,"&gt;="&amp;账期起,入库单!$C$4:$C$2503,"&lt;="&amp;账期止))</f>
        <v/>
      </c>
      <c r="K562" s="26">
        <f>IF($A562="","",IFERROR(ROUND((N($H562)+N($J562))/(N($G562)+N($I562)),2),0))</f>
        <v/>
      </c>
      <c r="L562" s="27">
        <f>IF($A562="","",SUMIFS(入库单!$K$4:$K$2503,入库单!$G$4:$G$2503,$A562,入库单!$X$4:$X$2503,"盘盈",入库单!$Z$4:$Z$2503,"正常",入库单!$C$4:$C$2503,"&gt;="&amp;账期起,入库单!$C$4:$C$2503,"&lt;="&amp;账期止))</f>
        <v/>
      </c>
      <c r="M562" s="26">
        <f>IF($A562="","",ROUND($L562*$K562,0))</f>
        <v/>
      </c>
      <c r="N562" s="27">
        <f>IF($A562="","",SUMIFS(入库单!$K$4:$K$2503,入库单!$G$4:$G$2503,$A562,入库单!$X$4:$X$2503,"矿区退库",入库单!$Z$4:$Z$2503,"正常",入库单!$C$4:$C$2503,"&gt;="&amp;账期起,入库单!$C$4:$C$2503,"&lt;="&amp;账期止))</f>
        <v/>
      </c>
      <c r="O562" s="26">
        <f>IF($A562="","",ROUND($N562*$K562,0))</f>
        <v/>
      </c>
      <c r="P562" s="27">
        <f>IF($A562="","",SUMIFS(出库单!$J$4:$J$4003,出库单!$D$4:$D$4003,$A562,出库单!$K$4:$K$4003,"自用消耗",出库单!$U$4:$U$4003,"正常",出库单!$C$4:$C$4003,"&gt;="&amp;账期起,出库单!$C$4:$C$4003,"&lt;="&amp;账期止))</f>
        <v/>
      </c>
      <c r="Q562" s="26">
        <f>IF($A562="","",ROUND(SUMIFS(出库单!$S$4:$S$4003,出库单!$D$4:$D$4003,$A562,出库单!$K$4:$K$4003,"自用消耗",出库单!$U$4:$U$4003,"正常",出库单!$C$4:$C$4003,"&gt;="&amp;账期起,出库单!$C$4:$C$4003,"&lt;="&amp;账期止),0))</f>
        <v/>
      </c>
      <c r="R562" s="27">
        <f>IF($A562="","",SUMIFS(出库单!$J$4:$J$4003,出库单!$D$4:$D$4003,$A562,出库单!$K$4:$K$4003,"对外销售",出库单!$U$4:$U$4003,"正常",出库单!$C$4:$C$4003,"&gt;="&amp;账期起,出库单!$C$4:$C$4003,"&lt;="&amp;账期止))</f>
        <v/>
      </c>
      <c r="S562" s="26">
        <f>IF($A562="","",ROUND(SUMIFS(出库单!$S$4:$S$4003,出库单!$D$4:$D$4003,$A562,出库单!$K$4:$K$4003,"对外销售",出库单!$U$4:$U$4003,"正常",出库单!$C$4:$C$4003,"&gt;="&amp;账期起,出库单!$C$4:$C$4003,"&lt;="&amp;账期止),0))</f>
        <v/>
      </c>
      <c r="T562" s="27">
        <f>IF($A562="","",SUMIFS(出库单!$J$4:$J$4003,出库单!$D$4:$D$4003,$A562,出库单!$K$4:$K$4003,"盘亏",出库单!$U$4:$U$4003,"正常",出库单!$C$4:$C$4003,"&gt;="&amp;账期起,出库单!$C$4:$C$4003,"&lt;="&amp;账期止))</f>
        <v/>
      </c>
      <c r="U562" s="26">
        <f>IF($A562="","",ROUND(SUMIFS(出库单!$S$4:$S$4003,出库单!$D$4:$D$4003,$A562,出库单!$K$4:$K$4003,"盘亏",出库单!$U$4:$U$4003,"正常",出库单!$C$4:$C$4003,"&gt;="&amp;账期起,出库单!$C$4:$C$4003,"&lt;="&amp;账期止),0))</f>
        <v/>
      </c>
      <c r="V562" s="27">
        <f>IF($A562="","",SUMIFS(出库单!$J$4:$J$4003,出库单!$D$4:$D$4003,$A562,出库单!$K$4:$K$4003,"退货给供应商",出库单!$U$4:$U$4003,"正常",出库单!$C$4:$C$4003,"&gt;="&amp;账期起,出库单!$C$4:$C$4003,"&lt;="&amp;账期止))</f>
        <v/>
      </c>
      <c r="W562" s="26">
        <f>IF($A562="","",ROUND(SUMIFS(出库单!$S$4:$S$4003,出库单!$D$4:$D$4003,$A562,出库单!$K$4:$K$4003,"退货给供应商",出库单!$U$4:$U$4003,"正常",出库单!$C$4:$C$4003,"&gt;="&amp;账期起,出库单!$C$4:$C$4003,"&lt;="&amp;账期止),0))</f>
        <v/>
      </c>
      <c r="X562" s="27">
        <f>IF($A562="","",ROUND(N($G562)+$I562+$L562+$N562-$P562-$R562-$T562-$V562,3))</f>
        <v/>
      </c>
      <c r="Y562" s="26">
        <f>IF($A562="","",ROUND(N($H562)+$J562+$M562+$O562-$Q562-$S562-$U562-$W562,0))</f>
        <v/>
      </c>
      <c r="Z562" s="24">
        <f>IF($A562="","",IF(COUNTIFS(入库单!$G$4:$G$2503,$A562,入库单!$Y$4:$Y$2503,"待补价")+COUNTIFS(入库单!$G$4:$G$2503,$A562,入库单!$Y$4:$Y$2503,"暂估")&gt;0,"不可信","可信"))</f>
        <v/>
      </c>
      <c r="AA562" s="24">
        <f>IF($A562="","",IF($X562&lt;-0.001,"※账面负库存，查一下是不是漏记入库",IF(AND(ROUND($X562,3)=0,ABS($Y562)&gt;1),"※数量已经是 0，金额还挂着 "&amp;TEXT($Y562,"#,##0")&amp;" 先令",IF(AND($X562&gt;0,$Y562&lt;=0,$K562=0),"※有数量没金额（这个物料一直没填过进价）",IF($Z562="不可信","△成本含待补价/暂估，毛利仅供参考","")))))</f>
        <v/>
      </c>
    </row>
    <row r="563">
      <c r="A563" s="24">
        <f>IF(物料档案!$A562="","",物料档案!$A562)</f>
        <v/>
      </c>
      <c r="B563" s="24">
        <f>IF($A563="","",IFERROR(VLOOKUP($A563,物料档案!$A$4:$P$1203,3,0),""))</f>
        <v/>
      </c>
      <c r="C563" s="24">
        <f>IF($A563="","",IFERROR(VLOOKUP($A563,物料档案!$A$4:$P$1203,4,0),""))</f>
        <v/>
      </c>
      <c r="D563" s="24">
        <f>IF($A563="","",IFERROR(VLOOKUP($A563,物料档案!$A$4:$P$1203,5,0),""))</f>
        <v/>
      </c>
      <c r="E563" s="24">
        <f>IF($A563="","",IFERROR(VLOOKUP($A563,物料档案!$A$4:$P$1203,2,0),""))</f>
        <v/>
      </c>
      <c r="F563" s="24">
        <f>IF($A563="","",IFERROR(VLOOKUP($A563,物料档案!$A$4:$P$1203,6,0),""))</f>
        <v/>
      </c>
      <c r="G563" s="23" t="n"/>
      <c r="H563" s="32" t="n"/>
      <c r="I563" s="27">
        <f>IF($A563="","",SUMIFS(入库单!$K$4:$K$2503,入库单!$G$4:$G$2503,$A563,入库单!$X$4:$X$2503,"采购入库",入库单!$Z$4:$Z$2503,"正常",入库单!$C$4:$C$2503,"&gt;="&amp;账期起,入库单!$C$4:$C$2503,"&lt;="&amp;账期止))</f>
        <v/>
      </c>
      <c r="J563" s="26">
        <f>IF($A563="","",SUMIFS(入库单!$V$4:$V$2503,入库单!$G$4:$G$2503,$A563,入库单!$X$4:$X$2503,"采购入库",入库单!$Z$4:$Z$2503,"正常",入库单!$C$4:$C$2503,"&gt;="&amp;账期起,入库单!$C$4:$C$2503,"&lt;="&amp;账期止))</f>
        <v/>
      </c>
      <c r="K563" s="26">
        <f>IF($A563="","",IFERROR(ROUND((N($H563)+N($J563))/(N($G563)+N($I563)),2),0))</f>
        <v/>
      </c>
      <c r="L563" s="27">
        <f>IF($A563="","",SUMIFS(入库单!$K$4:$K$2503,入库单!$G$4:$G$2503,$A563,入库单!$X$4:$X$2503,"盘盈",入库单!$Z$4:$Z$2503,"正常",入库单!$C$4:$C$2503,"&gt;="&amp;账期起,入库单!$C$4:$C$2503,"&lt;="&amp;账期止))</f>
        <v/>
      </c>
      <c r="M563" s="26">
        <f>IF($A563="","",ROUND($L563*$K563,0))</f>
        <v/>
      </c>
      <c r="N563" s="27">
        <f>IF($A563="","",SUMIFS(入库单!$K$4:$K$2503,入库单!$G$4:$G$2503,$A563,入库单!$X$4:$X$2503,"矿区退库",入库单!$Z$4:$Z$2503,"正常",入库单!$C$4:$C$2503,"&gt;="&amp;账期起,入库单!$C$4:$C$2503,"&lt;="&amp;账期止))</f>
        <v/>
      </c>
      <c r="O563" s="26">
        <f>IF($A563="","",ROUND($N563*$K563,0))</f>
        <v/>
      </c>
      <c r="P563" s="27">
        <f>IF($A563="","",SUMIFS(出库单!$J$4:$J$4003,出库单!$D$4:$D$4003,$A563,出库单!$K$4:$K$4003,"自用消耗",出库单!$U$4:$U$4003,"正常",出库单!$C$4:$C$4003,"&gt;="&amp;账期起,出库单!$C$4:$C$4003,"&lt;="&amp;账期止))</f>
        <v/>
      </c>
      <c r="Q563" s="26">
        <f>IF($A563="","",ROUND(SUMIFS(出库单!$S$4:$S$4003,出库单!$D$4:$D$4003,$A563,出库单!$K$4:$K$4003,"自用消耗",出库单!$U$4:$U$4003,"正常",出库单!$C$4:$C$4003,"&gt;="&amp;账期起,出库单!$C$4:$C$4003,"&lt;="&amp;账期止),0))</f>
        <v/>
      </c>
      <c r="R563" s="27">
        <f>IF($A563="","",SUMIFS(出库单!$J$4:$J$4003,出库单!$D$4:$D$4003,$A563,出库单!$K$4:$K$4003,"对外销售",出库单!$U$4:$U$4003,"正常",出库单!$C$4:$C$4003,"&gt;="&amp;账期起,出库单!$C$4:$C$4003,"&lt;="&amp;账期止))</f>
        <v/>
      </c>
      <c r="S563" s="26">
        <f>IF($A563="","",ROUND(SUMIFS(出库单!$S$4:$S$4003,出库单!$D$4:$D$4003,$A563,出库单!$K$4:$K$4003,"对外销售",出库单!$U$4:$U$4003,"正常",出库单!$C$4:$C$4003,"&gt;="&amp;账期起,出库单!$C$4:$C$4003,"&lt;="&amp;账期止),0))</f>
        <v/>
      </c>
      <c r="T563" s="27">
        <f>IF($A563="","",SUMIFS(出库单!$J$4:$J$4003,出库单!$D$4:$D$4003,$A563,出库单!$K$4:$K$4003,"盘亏",出库单!$U$4:$U$4003,"正常",出库单!$C$4:$C$4003,"&gt;="&amp;账期起,出库单!$C$4:$C$4003,"&lt;="&amp;账期止))</f>
        <v/>
      </c>
      <c r="U563" s="26">
        <f>IF($A563="","",ROUND(SUMIFS(出库单!$S$4:$S$4003,出库单!$D$4:$D$4003,$A563,出库单!$K$4:$K$4003,"盘亏",出库单!$U$4:$U$4003,"正常",出库单!$C$4:$C$4003,"&gt;="&amp;账期起,出库单!$C$4:$C$4003,"&lt;="&amp;账期止),0))</f>
        <v/>
      </c>
      <c r="V563" s="27">
        <f>IF($A563="","",SUMIFS(出库单!$J$4:$J$4003,出库单!$D$4:$D$4003,$A563,出库单!$K$4:$K$4003,"退货给供应商",出库单!$U$4:$U$4003,"正常",出库单!$C$4:$C$4003,"&gt;="&amp;账期起,出库单!$C$4:$C$4003,"&lt;="&amp;账期止))</f>
        <v/>
      </c>
      <c r="W563" s="26">
        <f>IF($A563="","",ROUND(SUMIFS(出库单!$S$4:$S$4003,出库单!$D$4:$D$4003,$A563,出库单!$K$4:$K$4003,"退货给供应商",出库单!$U$4:$U$4003,"正常",出库单!$C$4:$C$4003,"&gt;="&amp;账期起,出库单!$C$4:$C$4003,"&lt;="&amp;账期止),0))</f>
        <v/>
      </c>
      <c r="X563" s="27">
        <f>IF($A563="","",ROUND(N($G563)+$I563+$L563+$N563-$P563-$R563-$T563-$V563,3))</f>
        <v/>
      </c>
      <c r="Y563" s="26">
        <f>IF($A563="","",ROUND(N($H563)+$J563+$M563+$O563-$Q563-$S563-$U563-$W563,0))</f>
        <v/>
      </c>
      <c r="Z563" s="24">
        <f>IF($A563="","",IF(COUNTIFS(入库单!$G$4:$G$2503,$A563,入库单!$Y$4:$Y$2503,"待补价")+COUNTIFS(入库单!$G$4:$G$2503,$A563,入库单!$Y$4:$Y$2503,"暂估")&gt;0,"不可信","可信"))</f>
        <v/>
      </c>
      <c r="AA563" s="24">
        <f>IF($A563="","",IF($X563&lt;-0.001,"※账面负库存，查一下是不是漏记入库",IF(AND(ROUND($X563,3)=0,ABS($Y563)&gt;1),"※数量已经是 0，金额还挂着 "&amp;TEXT($Y563,"#,##0")&amp;" 先令",IF(AND($X563&gt;0,$Y563&lt;=0,$K563=0),"※有数量没金额（这个物料一直没填过进价）",IF($Z563="不可信","△成本含待补价/暂估，毛利仅供参考","")))))</f>
        <v/>
      </c>
    </row>
    <row r="564">
      <c r="A564" s="24">
        <f>IF(物料档案!$A563="","",物料档案!$A563)</f>
        <v/>
      </c>
      <c r="B564" s="24">
        <f>IF($A564="","",IFERROR(VLOOKUP($A564,物料档案!$A$4:$P$1203,3,0),""))</f>
        <v/>
      </c>
      <c r="C564" s="24">
        <f>IF($A564="","",IFERROR(VLOOKUP($A564,物料档案!$A$4:$P$1203,4,0),""))</f>
        <v/>
      </c>
      <c r="D564" s="24">
        <f>IF($A564="","",IFERROR(VLOOKUP($A564,物料档案!$A$4:$P$1203,5,0),""))</f>
        <v/>
      </c>
      <c r="E564" s="24">
        <f>IF($A564="","",IFERROR(VLOOKUP($A564,物料档案!$A$4:$P$1203,2,0),""))</f>
        <v/>
      </c>
      <c r="F564" s="24">
        <f>IF($A564="","",IFERROR(VLOOKUP($A564,物料档案!$A$4:$P$1203,6,0),""))</f>
        <v/>
      </c>
      <c r="G564" s="23" t="n"/>
      <c r="H564" s="32" t="n"/>
      <c r="I564" s="27">
        <f>IF($A564="","",SUMIFS(入库单!$K$4:$K$2503,入库单!$G$4:$G$2503,$A564,入库单!$X$4:$X$2503,"采购入库",入库单!$Z$4:$Z$2503,"正常",入库单!$C$4:$C$2503,"&gt;="&amp;账期起,入库单!$C$4:$C$2503,"&lt;="&amp;账期止))</f>
        <v/>
      </c>
      <c r="J564" s="26">
        <f>IF($A564="","",SUMIFS(入库单!$V$4:$V$2503,入库单!$G$4:$G$2503,$A564,入库单!$X$4:$X$2503,"采购入库",入库单!$Z$4:$Z$2503,"正常",入库单!$C$4:$C$2503,"&gt;="&amp;账期起,入库单!$C$4:$C$2503,"&lt;="&amp;账期止))</f>
        <v/>
      </c>
      <c r="K564" s="26">
        <f>IF($A564="","",IFERROR(ROUND((N($H564)+N($J564))/(N($G564)+N($I564)),2),0))</f>
        <v/>
      </c>
      <c r="L564" s="27">
        <f>IF($A564="","",SUMIFS(入库单!$K$4:$K$2503,入库单!$G$4:$G$2503,$A564,入库单!$X$4:$X$2503,"盘盈",入库单!$Z$4:$Z$2503,"正常",入库单!$C$4:$C$2503,"&gt;="&amp;账期起,入库单!$C$4:$C$2503,"&lt;="&amp;账期止))</f>
        <v/>
      </c>
      <c r="M564" s="26">
        <f>IF($A564="","",ROUND($L564*$K564,0))</f>
        <v/>
      </c>
      <c r="N564" s="27">
        <f>IF($A564="","",SUMIFS(入库单!$K$4:$K$2503,入库单!$G$4:$G$2503,$A564,入库单!$X$4:$X$2503,"矿区退库",入库单!$Z$4:$Z$2503,"正常",入库单!$C$4:$C$2503,"&gt;="&amp;账期起,入库单!$C$4:$C$2503,"&lt;="&amp;账期止))</f>
        <v/>
      </c>
      <c r="O564" s="26">
        <f>IF($A564="","",ROUND($N564*$K564,0))</f>
        <v/>
      </c>
      <c r="P564" s="27">
        <f>IF($A564="","",SUMIFS(出库单!$J$4:$J$4003,出库单!$D$4:$D$4003,$A564,出库单!$K$4:$K$4003,"自用消耗",出库单!$U$4:$U$4003,"正常",出库单!$C$4:$C$4003,"&gt;="&amp;账期起,出库单!$C$4:$C$4003,"&lt;="&amp;账期止))</f>
        <v/>
      </c>
      <c r="Q564" s="26">
        <f>IF($A564="","",ROUND(SUMIFS(出库单!$S$4:$S$4003,出库单!$D$4:$D$4003,$A564,出库单!$K$4:$K$4003,"自用消耗",出库单!$U$4:$U$4003,"正常",出库单!$C$4:$C$4003,"&gt;="&amp;账期起,出库单!$C$4:$C$4003,"&lt;="&amp;账期止),0))</f>
        <v/>
      </c>
      <c r="R564" s="27">
        <f>IF($A564="","",SUMIFS(出库单!$J$4:$J$4003,出库单!$D$4:$D$4003,$A564,出库单!$K$4:$K$4003,"对外销售",出库单!$U$4:$U$4003,"正常",出库单!$C$4:$C$4003,"&gt;="&amp;账期起,出库单!$C$4:$C$4003,"&lt;="&amp;账期止))</f>
        <v/>
      </c>
      <c r="S564" s="26">
        <f>IF($A564="","",ROUND(SUMIFS(出库单!$S$4:$S$4003,出库单!$D$4:$D$4003,$A564,出库单!$K$4:$K$4003,"对外销售",出库单!$U$4:$U$4003,"正常",出库单!$C$4:$C$4003,"&gt;="&amp;账期起,出库单!$C$4:$C$4003,"&lt;="&amp;账期止),0))</f>
        <v/>
      </c>
      <c r="T564" s="27">
        <f>IF($A564="","",SUMIFS(出库单!$J$4:$J$4003,出库单!$D$4:$D$4003,$A564,出库单!$K$4:$K$4003,"盘亏",出库单!$U$4:$U$4003,"正常",出库单!$C$4:$C$4003,"&gt;="&amp;账期起,出库单!$C$4:$C$4003,"&lt;="&amp;账期止))</f>
        <v/>
      </c>
      <c r="U564" s="26">
        <f>IF($A564="","",ROUND(SUMIFS(出库单!$S$4:$S$4003,出库单!$D$4:$D$4003,$A564,出库单!$K$4:$K$4003,"盘亏",出库单!$U$4:$U$4003,"正常",出库单!$C$4:$C$4003,"&gt;="&amp;账期起,出库单!$C$4:$C$4003,"&lt;="&amp;账期止),0))</f>
        <v/>
      </c>
      <c r="V564" s="27">
        <f>IF($A564="","",SUMIFS(出库单!$J$4:$J$4003,出库单!$D$4:$D$4003,$A564,出库单!$K$4:$K$4003,"退货给供应商",出库单!$U$4:$U$4003,"正常",出库单!$C$4:$C$4003,"&gt;="&amp;账期起,出库单!$C$4:$C$4003,"&lt;="&amp;账期止))</f>
        <v/>
      </c>
      <c r="W564" s="26">
        <f>IF($A564="","",ROUND(SUMIFS(出库单!$S$4:$S$4003,出库单!$D$4:$D$4003,$A564,出库单!$K$4:$K$4003,"退货给供应商",出库单!$U$4:$U$4003,"正常",出库单!$C$4:$C$4003,"&gt;="&amp;账期起,出库单!$C$4:$C$4003,"&lt;="&amp;账期止),0))</f>
        <v/>
      </c>
      <c r="X564" s="27">
        <f>IF($A564="","",ROUND(N($G564)+$I564+$L564+$N564-$P564-$R564-$T564-$V564,3))</f>
        <v/>
      </c>
      <c r="Y564" s="26">
        <f>IF($A564="","",ROUND(N($H564)+$J564+$M564+$O564-$Q564-$S564-$U564-$W564,0))</f>
        <v/>
      </c>
      <c r="Z564" s="24">
        <f>IF($A564="","",IF(COUNTIFS(入库单!$G$4:$G$2503,$A564,入库单!$Y$4:$Y$2503,"待补价")+COUNTIFS(入库单!$G$4:$G$2503,$A564,入库单!$Y$4:$Y$2503,"暂估")&gt;0,"不可信","可信"))</f>
        <v/>
      </c>
      <c r="AA564" s="24">
        <f>IF($A564="","",IF($X564&lt;-0.001,"※账面负库存，查一下是不是漏记入库",IF(AND(ROUND($X564,3)=0,ABS($Y564)&gt;1),"※数量已经是 0，金额还挂着 "&amp;TEXT($Y564,"#,##0")&amp;" 先令",IF(AND($X564&gt;0,$Y564&lt;=0,$K564=0),"※有数量没金额（这个物料一直没填过进价）",IF($Z564="不可信","△成本含待补价/暂估，毛利仅供参考","")))))</f>
        <v/>
      </c>
    </row>
    <row r="565">
      <c r="A565" s="24">
        <f>IF(物料档案!$A564="","",物料档案!$A564)</f>
        <v/>
      </c>
      <c r="B565" s="24">
        <f>IF($A565="","",IFERROR(VLOOKUP($A565,物料档案!$A$4:$P$1203,3,0),""))</f>
        <v/>
      </c>
      <c r="C565" s="24">
        <f>IF($A565="","",IFERROR(VLOOKUP($A565,物料档案!$A$4:$P$1203,4,0),""))</f>
        <v/>
      </c>
      <c r="D565" s="24">
        <f>IF($A565="","",IFERROR(VLOOKUP($A565,物料档案!$A$4:$P$1203,5,0),""))</f>
        <v/>
      </c>
      <c r="E565" s="24">
        <f>IF($A565="","",IFERROR(VLOOKUP($A565,物料档案!$A$4:$P$1203,2,0),""))</f>
        <v/>
      </c>
      <c r="F565" s="24">
        <f>IF($A565="","",IFERROR(VLOOKUP($A565,物料档案!$A$4:$P$1203,6,0),""))</f>
        <v/>
      </c>
      <c r="G565" s="23" t="n"/>
      <c r="H565" s="32" t="n"/>
      <c r="I565" s="27">
        <f>IF($A565="","",SUMIFS(入库单!$K$4:$K$2503,入库单!$G$4:$G$2503,$A565,入库单!$X$4:$X$2503,"采购入库",入库单!$Z$4:$Z$2503,"正常",入库单!$C$4:$C$2503,"&gt;="&amp;账期起,入库单!$C$4:$C$2503,"&lt;="&amp;账期止))</f>
        <v/>
      </c>
      <c r="J565" s="26">
        <f>IF($A565="","",SUMIFS(入库单!$V$4:$V$2503,入库单!$G$4:$G$2503,$A565,入库单!$X$4:$X$2503,"采购入库",入库单!$Z$4:$Z$2503,"正常",入库单!$C$4:$C$2503,"&gt;="&amp;账期起,入库单!$C$4:$C$2503,"&lt;="&amp;账期止))</f>
        <v/>
      </c>
      <c r="K565" s="26">
        <f>IF($A565="","",IFERROR(ROUND((N($H565)+N($J565))/(N($G565)+N($I565)),2),0))</f>
        <v/>
      </c>
      <c r="L565" s="27">
        <f>IF($A565="","",SUMIFS(入库单!$K$4:$K$2503,入库单!$G$4:$G$2503,$A565,入库单!$X$4:$X$2503,"盘盈",入库单!$Z$4:$Z$2503,"正常",入库单!$C$4:$C$2503,"&gt;="&amp;账期起,入库单!$C$4:$C$2503,"&lt;="&amp;账期止))</f>
        <v/>
      </c>
      <c r="M565" s="26">
        <f>IF($A565="","",ROUND($L565*$K565,0))</f>
        <v/>
      </c>
      <c r="N565" s="27">
        <f>IF($A565="","",SUMIFS(入库单!$K$4:$K$2503,入库单!$G$4:$G$2503,$A565,入库单!$X$4:$X$2503,"矿区退库",入库单!$Z$4:$Z$2503,"正常",入库单!$C$4:$C$2503,"&gt;="&amp;账期起,入库单!$C$4:$C$2503,"&lt;="&amp;账期止))</f>
        <v/>
      </c>
      <c r="O565" s="26">
        <f>IF($A565="","",ROUND($N565*$K565,0))</f>
        <v/>
      </c>
      <c r="P565" s="27">
        <f>IF($A565="","",SUMIFS(出库单!$J$4:$J$4003,出库单!$D$4:$D$4003,$A565,出库单!$K$4:$K$4003,"自用消耗",出库单!$U$4:$U$4003,"正常",出库单!$C$4:$C$4003,"&gt;="&amp;账期起,出库单!$C$4:$C$4003,"&lt;="&amp;账期止))</f>
        <v/>
      </c>
      <c r="Q565" s="26">
        <f>IF($A565="","",ROUND(SUMIFS(出库单!$S$4:$S$4003,出库单!$D$4:$D$4003,$A565,出库单!$K$4:$K$4003,"自用消耗",出库单!$U$4:$U$4003,"正常",出库单!$C$4:$C$4003,"&gt;="&amp;账期起,出库单!$C$4:$C$4003,"&lt;="&amp;账期止),0))</f>
        <v/>
      </c>
      <c r="R565" s="27">
        <f>IF($A565="","",SUMIFS(出库单!$J$4:$J$4003,出库单!$D$4:$D$4003,$A565,出库单!$K$4:$K$4003,"对外销售",出库单!$U$4:$U$4003,"正常",出库单!$C$4:$C$4003,"&gt;="&amp;账期起,出库单!$C$4:$C$4003,"&lt;="&amp;账期止))</f>
        <v/>
      </c>
      <c r="S565" s="26">
        <f>IF($A565="","",ROUND(SUMIFS(出库单!$S$4:$S$4003,出库单!$D$4:$D$4003,$A565,出库单!$K$4:$K$4003,"对外销售",出库单!$U$4:$U$4003,"正常",出库单!$C$4:$C$4003,"&gt;="&amp;账期起,出库单!$C$4:$C$4003,"&lt;="&amp;账期止),0))</f>
        <v/>
      </c>
      <c r="T565" s="27">
        <f>IF($A565="","",SUMIFS(出库单!$J$4:$J$4003,出库单!$D$4:$D$4003,$A565,出库单!$K$4:$K$4003,"盘亏",出库单!$U$4:$U$4003,"正常",出库单!$C$4:$C$4003,"&gt;="&amp;账期起,出库单!$C$4:$C$4003,"&lt;="&amp;账期止))</f>
        <v/>
      </c>
      <c r="U565" s="26">
        <f>IF($A565="","",ROUND(SUMIFS(出库单!$S$4:$S$4003,出库单!$D$4:$D$4003,$A565,出库单!$K$4:$K$4003,"盘亏",出库单!$U$4:$U$4003,"正常",出库单!$C$4:$C$4003,"&gt;="&amp;账期起,出库单!$C$4:$C$4003,"&lt;="&amp;账期止),0))</f>
        <v/>
      </c>
      <c r="V565" s="27">
        <f>IF($A565="","",SUMIFS(出库单!$J$4:$J$4003,出库单!$D$4:$D$4003,$A565,出库单!$K$4:$K$4003,"退货给供应商",出库单!$U$4:$U$4003,"正常",出库单!$C$4:$C$4003,"&gt;="&amp;账期起,出库单!$C$4:$C$4003,"&lt;="&amp;账期止))</f>
        <v/>
      </c>
      <c r="W565" s="26">
        <f>IF($A565="","",ROUND(SUMIFS(出库单!$S$4:$S$4003,出库单!$D$4:$D$4003,$A565,出库单!$K$4:$K$4003,"退货给供应商",出库单!$U$4:$U$4003,"正常",出库单!$C$4:$C$4003,"&gt;="&amp;账期起,出库单!$C$4:$C$4003,"&lt;="&amp;账期止),0))</f>
        <v/>
      </c>
      <c r="X565" s="27">
        <f>IF($A565="","",ROUND(N($G565)+$I565+$L565+$N565-$P565-$R565-$T565-$V565,3))</f>
        <v/>
      </c>
      <c r="Y565" s="26">
        <f>IF($A565="","",ROUND(N($H565)+$J565+$M565+$O565-$Q565-$S565-$U565-$W565,0))</f>
        <v/>
      </c>
      <c r="Z565" s="24">
        <f>IF($A565="","",IF(COUNTIFS(入库单!$G$4:$G$2503,$A565,入库单!$Y$4:$Y$2503,"待补价")+COUNTIFS(入库单!$G$4:$G$2503,$A565,入库单!$Y$4:$Y$2503,"暂估")&gt;0,"不可信","可信"))</f>
        <v/>
      </c>
      <c r="AA565" s="24">
        <f>IF($A565="","",IF($X565&lt;-0.001,"※账面负库存，查一下是不是漏记入库",IF(AND(ROUND($X565,3)=0,ABS($Y565)&gt;1),"※数量已经是 0，金额还挂着 "&amp;TEXT($Y565,"#,##0")&amp;" 先令",IF(AND($X565&gt;0,$Y565&lt;=0,$K565=0),"※有数量没金额（这个物料一直没填过进价）",IF($Z565="不可信","△成本含待补价/暂估，毛利仅供参考","")))))</f>
        <v/>
      </c>
    </row>
    <row r="566">
      <c r="A566" s="24">
        <f>IF(物料档案!$A565="","",物料档案!$A565)</f>
        <v/>
      </c>
      <c r="B566" s="24">
        <f>IF($A566="","",IFERROR(VLOOKUP($A566,物料档案!$A$4:$P$1203,3,0),""))</f>
        <v/>
      </c>
      <c r="C566" s="24">
        <f>IF($A566="","",IFERROR(VLOOKUP($A566,物料档案!$A$4:$P$1203,4,0),""))</f>
        <v/>
      </c>
      <c r="D566" s="24">
        <f>IF($A566="","",IFERROR(VLOOKUP($A566,物料档案!$A$4:$P$1203,5,0),""))</f>
        <v/>
      </c>
      <c r="E566" s="24">
        <f>IF($A566="","",IFERROR(VLOOKUP($A566,物料档案!$A$4:$P$1203,2,0),""))</f>
        <v/>
      </c>
      <c r="F566" s="24">
        <f>IF($A566="","",IFERROR(VLOOKUP($A566,物料档案!$A$4:$P$1203,6,0),""))</f>
        <v/>
      </c>
      <c r="G566" s="23" t="n"/>
      <c r="H566" s="32" t="n"/>
      <c r="I566" s="27">
        <f>IF($A566="","",SUMIFS(入库单!$K$4:$K$2503,入库单!$G$4:$G$2503,$A566,入库单!$X$4:$X$2503,"采购入库",入库单!$Z$4:$Z$2503,"正常",入库单!$C$4:$C$2503,"&gt;="&amp;账期起,入库单!$C$4:$C$2503,"&lt;="&amp;账期止))</f>
        <v/>
      </c>
      <c r="J566" s="26">
        <f>IF($A566="","",SUMIFS(入库单!$V$4:$V$2503,入库单!$G$4:$G$2503,$A566,入库单!$X$4:$X$2503,"采购入库",入库单!$Z$4:$Z$2503,"正常",入库单!$C$4:$C$2503,"&gt;="&amp;账期起,入库单!$C$4:$C$2503,"&lt;="&amp;账期止))</f>
        <v/>
      </c>
      <c r="K566" s="26">
        <f>IF($A566="","",IFERROR(ROUND((N($H566)+N($J566))/(N($G566)+N($I566)),2),0))</f>
        <v/>
      </c>
      <c r="L566" s="27">
        <f>IF($A566="","",SUMIFS(入库单!$K$4:$K$2503,入库单!$G$4:$G$2503,$A566,入库单!$X$4:$X$2503,"盘盈",入库单!$Z$4:$Z$2503,"正常",入库单!$C$4:$C$2503,"&gt;="&amp;账期起,入库单!$C$4:$C$2503,"&lt;="&amp;账期止))</f>
        <v/>
      </c>
      <c r="M566" s="26">
        <f>IF($A566="","",ROUND($L566*$K566,0))</f>
        <v/>
      </c>
      <c r="N566" s="27">
        <f>IF($A566="","",SUMIFS(入库单!$K$4:$K$2503,入库单!$G$4:$G$2503,$A566,入库单!$X$4:$X$2503,"矿区退库",入库单!$Z$4:$Z$2503,"正常",入库单!$C$4:$C$2503,"&gt;="&amp;账期起,入库单!$C$4:$C$2503,"&lt;="&amp;账期止))</f>
        <v/>
      </c>
      <c r="O566" s="26">
        <f>IF($A566="","",ROUND($N566*$K566,0))</f>
        <v/>
      </c>
      <c r="P566" s="27">
        <f>IF($A566="","",SUMIFS(出库单!$J$4:$J$4003,出库单!$D$4:$D$4003,$A566,出库单!$K$4:$K$4003,"自用消耗",出库单!$U$4:$U$4003,"正常",出库单!$C$4:$C$4003,"&gt;="&amp;账期起,出库单!$C$4:$C$4003,"&lt;="&amp;账期止))</f>
        <v/>
      </c>
      <c r="Q566" s="26">
        <f>IF($A566="","",ROUND(SUMIFS(出库单!$S$4:$S$4003,出库单!$D$4:$D$4003,$A566,出库单!$K$4:$K$4003,"自用消耗",出库单!$U$4:$U$4003,"正常",出库单!$C$4:$C$4003,"&gt;="&amp;账期起,出库单!$C$4:$C$4003,"&lt;="&amp;账期止),0))</f>
        <v/>
      </c>
      <c r="R566" s="27">
        <f>IF($A566="","",SUMIFS(出库单!$J$4:$J$4003,出库单!$D$4:$D$4003,$A566,出库单!$K$4:$K$4003,"对外销售",出库单!$U$4:$U$4003,"正常",出库单!$C$4:$C$4003,"&gt;="&amp;账期起,出库单!$C$4:$C$4003,"&lt;="&amp;账期止))</f>
        <v/>
      </c>
      <c r="S566" s="26">
        <f>IF($A566="","",ROUND(SUMIFS(出库单!$S$4:$S$4003,出库单!$D$4:$D$4003,$A566,出库单!$K$4:$K$4003,"对外销售",出库单!$U$4:$U$4003,"正常",出库单!$C$4:$C$4003,"&gt;="&amp;账期起,出库单!$C$4:$C$4003,"&lt;="&amp;账期止),0))</f>
        <v/>
      </c>
      <c r="T566" s="27">
        <f>IF($A566="","",SUMIFS(出库单!$J$4:$J$4003,出库单!$D$4:$D$4003,$A566,出库单!$K$4:$K$4003,"盘亏",出库单!$U$4:$U$4003,"正常",出库单!$C$4:$C$4003,"&gt;="&amp;账期起,出库单!$C$4:$C$4003,"&lt;="&amp;账期止))</f>
        <v/>
      </c>
      <c r="U566" s="26">
        <f>IF($A566="","",ROUND(SUMIFS(出库单!$S$4:$S$4003,出库单!$D$4:$D$4003,$A566,出库单!$K$4:$K$4003,"盘亏",出库单!$U$4:$U$4003,"正常",出库单!$C$4:$C$4003,"&gt;="&amp;账期起,出库单!$C$4:$C$4003,"&lt;="&amp;账期止),0))</f>
        <v/>
      </c>
      <c r="V566" s="27">
        <f>IF($A566="","",SUMIFS(出库单!$J$4:$J$4003,出库单!$D$4:$D$4003,$A566,出库单!$K$4:$K$4003,"退货给供应商",出库单!$U$4:$U$4003,"正常",出库单!$C$4:$C$4003,"&gt;="&amp;账期起,出库单!$C$4:$C$4003,"&lt;="&amp;账期止))</f>
        <v/>
      </c>
      <c r="W566" s="26">
        <f>IF($A566="","",ROUND(SUMIFS(出库单!$S$4:$S$4003,出库单!$D$4:$D$4003,$A566,出库单!$K$4:$K$4003,"退货给供应商",出库单!$U$4:$U$4003,"正常",出库单!$C$4:$C$4003,"&gt;="&amp;账期起,出库单!$C$4:$C$4003,"&lt;="&amp;账期止),0))</f>
        <v/>
      </c>
      <c r="X566" s="27">
        <f>IF($A566="","",ROUND(N($G566)+$I566+$L566+$N566-$P566-$R566-$T566-$V566,3))</f>
        <v/>
      </c>
      <c r="Y566" s="26">
        <f>IF($A566="","",ROUND(N($H566)+$J566+$M566+$O566-$Q566-$S566-$U566-$W566,0))</f>
        <v/>
      </c>
      <c r="Z566" s="24">
        <f>IF($A566="","",IF(COUNTIFS(入库单!$G$4:$G$2503,$A566,入库单!$Y$4:$Y$2503,"待补价")+COUNTIFS(入库单!$G$4:$G$2503,$A566,入库单!$Y$4:$Y$2503,"暂估")&gt;0,"不可信","可信"))</f>
        <v/>
      </c>
      <c r="AA566" s="24">
        <f>IF($A566="","",IF($X566&lt;-0.001,"※账面负库存，查一下是不是漏记入库",IF(AND(ROUND($X566,3)=0,ABS($Y566)&gt;1),"※数量已经是 0，金额还挂着 "&amp;TEXT($Y566,"#,##0")&amp;" 先令",IF(AND($X566&gt;0,$Y566&lt;=0,$K566=0),"※有数量没金额（这个物料一直没填过进价）",IF($Z566="不可信","△成本含待补价/暂估，毛利仅供参考","")))))</f>
        <v/>
      </c>
    </row>
    <row r="567">
      <c r="A567" s="24">
        <f>IF(物料档案!$A566="","",物料档案!$A566)</f>
        <v/>
      </c>
      <c r="B567" s="24">
        <f>IF($A567="","",IFERROR(VLOOKUP($A567,物料档案!$A$4:$P$1203,3,0),""))</f>
        <v/>
      </c>
      <c r="C567" s="24">
        <f>IF($A567="","",IFERROR(VLOOKUP($A567,物料档案!$A$4:$P$1203,4,0),""))</f>
        <v/>
      </c>
      <c r="D567" s="24">
        <f>IF($A567="","",IFERROR(VLOOKUP($A567,物料档案!$A$4:$P$1203,5,0),""))</f>
        <v/>
      </c>
      <c r="E567" s="24">
        <f>IF($A567="","",IFERROR(VLOOKUP($A567,物料档案!$A$4:$P$1203,2,0),""))</f>
        <v/>
      </c>
      <c r="F567" s="24">
        <f>IF($A567="","",IFERROR(VLOOKUP($A567,物料档案!$A$4:$P$1203,6,0),""))</f>
        <v/>
      </c>
      <c r="G567" s="23" t="n"/>
      <c r="H567" s="32" t="n"/>
      <c r="I567" s="27">
        <f>IF($A567="","",SUMIFS(入库单!$K$4:$K$2503,入库单!$G$4:$G$2503,$A567,入库单!$X$4:$X$2503,"采购入库",入库单!$Z$4:$Z$2503,"正常",入库单!$C$4:$C$2503,"&gt;="&amp;账期起,入库单!$C$4:$C$2503,"&lt;="&amp;账期止))</f>
        <v/>
      </c>
      <c r="J567" s="26">
        <f>IF($A567="","",SUMIFS(入库单!$V$4:$V$2503,入库单!$G$4:$G$2503,$A567,入库单!$X$4:$X$2503,"采购入库",入库单!$Z$4:$Z$2503,"正常",入库单!$C$4:$C$2503,"&gt;="&amp;账期起,入库单!$C$4:$C$2503,"&lt;="&amp;账期止))</f>
        <v/>
      </c>
      <c r="K567" s="26">
        <f>IF($A567="","",IFERROR(ROUND((N($H567)+N($J567))/(N($G567)+N($I567)),2),0))</f>
        <v/>
      </c>
      <c r="L567" s="27">
        <f>IF($A567="","",SUMIFS(入库单!$K$4:$K$2503,入库单!$G$4:$G$2503,$A567,入库单!$X$4:$X$2503,"盘盈",入库单!$Z$4:$Z$2503,"正常",入库单!$C$4:$C$2503,"&gt;="&amp;账期起,入库单!$C$4:$C$2503,"&lt;="&amp;账期止))</f>
        <v/>
      </c>
      <c r="M567" s="26">
        <f>IF($A567="","",ROUND($L567*$K567,0))</f>
        <v/>
      </c>
      <c r="N567" s="27">
        <f>IF($A567="","",SUMIFS(入库单!$K$4:$K$2503,入库单!$G$4:$G$2503,$A567,入库单!$X$4:$X$2503,"矿区退库",入库单!$Z$4:$Z$2503,"正常",入库单!$C$4:$C$2503,"&gt;="&amp;账期起,入库单!$C$4:$C$2503,"&lt;="&amp;账期止))</f>
        <v/>
      </c>
      <c r="O567" s="26">
        <f>IF($A567="","",ROUND($N567*$K567,0))</f>
        <v/>
      </c>
      <c r="P567" s="27">
        <f>IF($A567="","",SUMIFS(出库单!$J$4:$J$4003,出库单!$D$4:$D$4003,$A567,出库单!$K$4:$K$4003,"自用消耗",出库单!$U$4:$U$4003,"正常",出库单!$C$4:$C$4003,"&gt;="&amp;账期起,出库单!$C$4:$C$4003,"&lt;="&amp;账期止))</f>
        <v/>
      </c>
      <c r="Q567" s="26">
        <f>IF($A567="","",ROUND(SUMIFS(出库单!$S$4:$S$4003,出库单!$D$4:$D$4003,$A567,出库单!$K$4:$K$4003,"自用消耗",出库单!$U$4:$U$4003,"正常",出库单!$C$4:$C$4003,"&gt;="&amp;账期起,出库单!$C$4:$C$4003,"&lt;="&amp;账期止),0))</f>
        <v/>
      </c>
      <c r="R567" s="27">
        <f>IF($A567="","",SUMIFS(出库单!$J$4:$J$4003,出库单!$D$4:$D$4003,$A567,出库单!$K$4:$K$4003,"对外销售",出库单!$U$4:$U$4003,"正常",出库单!$C$4:$C$4003,"&gt;="&amp;账期起,出库单!$C$4:$C$4003,"&lt;="&amp;账期止))</f>
        <v/>
      </c>
      <c r="S567" s="26">
        <f>IF($A567="","",ROUND(SUMIFS(出库单!$S$4:$S$4003,出库单!$D$4:$D$4003,$A567,出库单!$K$4:$K$4003,"对外销售",出库单!$U$4:$U$4003,"正常",出库单!$C$4:$C$4003,"&gt;="&amp;账期起,出库单!$C$4:$C$4003,"&lt;="&amp;账期止),0))</f>
        <v/>
      </c>
      <c r="T567" s="27">
        <f>IF($A567="","",SUMIFS(出库单!$J$4:$J$4003,出库单!$D$4:$D$4003,$A567,出库单!$K$4:$K$4003,"盘亏",出库单!$U$4:$U$4003,"正常",出库单!$C$4:$C$4003,"&gt;="&amp;账期起,出库单!$C$4:$C$4003,"&lt;="&amp;账期止))</f>
        <v/>
      </c>
      <c r="U567" s="26">
        <f>IF($A567="","",ROUND(SUMIFS(出库单!$S$4:$S$4003,出库单!$D$4:$D$4003,$A567,出库单!$K$4:$K$4003,"盘亏",出库单!$U$4:$U$4003,"正常",出库单!$C$4:$C$4003,"&gt;="&amp;账期起,出库单!$C$4:$C$4003,"&lt;="&amp;账期止),0))</f>
        <v/>
      </c>
      <c r="V567" s="27">
        <f>IF($A567="","",SUMIFS(出库单!$J$4:$J$4003,出库单!$D$4:$D$4003,$A567,出库单!$K$4:$K$4003,"退货给供应商",出库单!$U$4:$U$4003,"正常",出库单!$C$4:$C$4003,"&gt;="&amp;账期起,出库单!$C$4:$C$4003,"&lt;="&amp;账期止))</f>
        <v/>
      </c>
      <c r="W567" s="26">
        <f>IF($A567="","",ROUND(SUMIFS(出库单!$S$4:$S$4003,出库单!$D$4:$D$4003,$A567,出库单!$K$4:$K$4003,"退货给供应商",出库单!$U$4:$U$4003,"正常",出库单!$C$4:$C$4003,"&gt;="&amp;账期起,出库单!$C$4:$C$4003,"&lt;="&amp;账期止),0))</f>
        <v/>
      </c>
      <c r="X567" s="27">
        <f>IF($A567="","",ROUND(N($G567)+$I567+$L567+$N567-$P567-$R567-$T567-$V567,3))</f>
        <v/>
      </c>
      <c r="Y567" s="26">
        <f>IF($A567="","",ROUND(N($H567)+$J567+$M567+$O567-$Q567-$S567-$U567-$W567,0))</f>
        <v/>
      </c>
      <c r="Z567" s="24">
        <f>IF($A567="","",IF(COUNTIFS(入库单!$G$4:$G$2503,$A567,入库单!$Y$4:$Y$2503,"待补价")+COUNTIFS(入库单!$G$4:$G$2503,$A567,入库单!$Y$4:$Y$2503,"暂估")&gt;0,"不可信","可信"))</f>
        <v/>
      </c>
      <c r="AA567" s="24">
        <f>IF($A567="","",IF($X567&lt;-0.001,"※账面负库存，查一下是不是漏记入库",IF(AND(ROUND($X567,3)=0,ABS($Y567)&gt;1),"※数量已经是 0，金额还挂着 "&amp;TEXT($Y567,"#,##0")&amp;" 先令",IF(AND($X567&gt;0,$Y567&lt;=0,$K567=0),"※有数量没金额（这个物料一直没填过进价）",IF($Z567="不可信","△成本含待补价/暂估，毛利仅供参考","")))))</f>
        <v/>
      </c>
    </row>
    <row r="568">
      <c r="A568" s="24">
        <f>IF(物料档案!$A567="","",物料档案!$A567)</f>
        <v/>
      </c>
      <c r="B568" s="24">
        <f>IF($A568="","",IFERROR(VLOOKUP($A568,物料档案!$A$4:$P$1203,3,0),""))</f>
        <v/>
      </c>
      <c r="C568" s="24">
        <f>IF($A568="","",IFERROR(VLOOKUP($A568,物料档案!$A$4:$P$1203,4,0),""))</f>
        <v/>
      </c>
      <c r="D568" s="24">
        <f>IF($A568="","",IFERROR(VLOOKUP($A568,物料档案!$A$4:$P$1203,5,0),""))</f>
        <v/>
      </c>
      <c r="E568" s="24">
        <f>IF($A568="","",IFERROR(VLOOKUP($A568,物料档案!$A$4:$P$1203,2,0),""))</f>
        <v/>
      </c>
      <c r="F568" s="24">
        <f>IF($A568="","",IFERROR(VLOOKUP($A568,物料档案!$A$4:$P$1203,6,0),""))</f>
        <v/>
      </c>
      <c r="G568" s="23" t="n"/>
      <c r="H568" s="32" t="n"/>
      <c r="I568" s="27">
        <f>IF($A568="","",SUMIFS(入库单!$K$4:$K$2503,入库单!$G$4:$G$2503,$A568,入库单!$X$4:$X$2503,"采购入库",入库单!$Z$4:$Z$2503,"正常",入库单!$C$4:$C$2503,"&gt;="&amp;账期起,入库单!$C$4:$C$2503,"&lt;="&amp;账期止))</f>
        <v/>
      </c>
      <c r="J568" s="26">
        <f>IF($A568="","",SUMIFS(入库单!$V$4:$V$2503,入库单!$G$4:$G$2503,$A568,入库单!$X$4:$X$2503,"采购入库",入库单!$Z$4:$Z$2503,"正常",入库单!$C$4:$C$2503,"&gt;="&amp;账期起,入库单!$C$4:$C$2503,"&lt;="&amp;账期止))</f>
        <v/>
      </c>
      <c r="K568" s="26">
        <f>IF($A568="","",IFERROR(ROUND((N($H568)+N($J568))/(N($G568)+N($I568)),2),0))</f>
        <v/>
      </c>
      <c r="L568" s="27">
        <f>IF($A568="","",SUMIFS(入库单!$K$4:$K$2503,入库单!$G$4:$G$2503,$A568,入库单!$X$4:$X$2503,"盘盈",入库单!$Z$4:$Z$2503,"正常",入库单!$C$4:$C$2503,"&gt;="&amp;账期起,入库单!$C$4:$C$2503,"&lt;="&amp;账期止))</f>
        <v/>
      </c>
      <c r="M568" s="26">
        <f>IF($A568="","",ROUND($L568*$K568,0))</f>
        <v/>
      </c>
      <c r="N568" s="27">
        <f>IF($A568="","",SUMIFS(入库单!$K$4:$K$2503,入库单!$G$4:$G$2503,$A568,入库单!$X$4:$X$2503,"矿区退库",入库单!$Z$4:$Z$2503,"正常",入库单!$C$4:$C$2503,"&gt;="&amp;账期起,入库单!$C$4:$C$2503,"&lt;="&amp;账期止))</f>
        <v/>
      </c>
      <c r="O568" s="26">
        <f>IF($A568="","",ROUND($N568*$K568,0))</f>
        <v/>
      </c>
      <c r="P568" s="27">
        <f>IF($A568="","",SUMIFS(出库单!$J$4:$J$4003,出库单!$D$4:$D$4003,$A568,出库单!$K$4:$K$4003,"自用消耗",出库单!$U$4:$U$4003,"正常",出库单!$C$4:$C$4003,"&gt;="&amp;账期起,出库单!$C$4:$C$4003,"&lt;="&amp;账期止))</f>
        <v/>
      </c>
      <c r="Q568" s="26">
        <f>IF($A568="","",ROUND(SUMIFS(出库单!$S$4:$S$4003,出库单!$D$4:$D$4003,$A568,出库单!$K$4:$K$4003,"自用消耗",出库单!$U$4:$U$4003,"正常",出库单!$C$4:$C$4003,"&gt;="&amp;账期起,出库单!$C$4:$C$4003,"&lt;="&amp;账期止),0))</f>
        <v/>
      </c>
      <c r="R568" s="27">
        <f>IF($A568="","",SUMIFS(出库单!$J$4:$J$4003,出库单!$D$4:$D$4003,$A568,出库单!$K$4:$K$4003,"对外销售",出库单!$U$4:$U$4003,"正常",出库单!$C$4:$C$4003,"&gt;="&amp;账期起,出库单!$C$4:$C$4003,"&lt;="&amp;账期止))</f>
        <v/>
      </c>
      <c r="S568" s="26">
        <f>IF($A568="","",ROUND(SUMIFS(出库单!$S$4:$S$4003,出库单!$D$4:$D$4003,$A568,出库单!$K$4:$K$4003,"对外销售",出库单!$U$4:$U$4003,"正常",出库单!$C$4:$C$4003,"&gt;="&amp;账期起,出库单!$C$4:$C$4003,"&lt;="&amp;账期止),0))</f>
        <v/>
      </c>
      <c r="T568" s="27">
        <f>IF($A568="","",SUMIFS(出库单!$J$4:$J$4003,出库单!$D$4:$D$4003,$A568,出库单!$K$4:$K$4003,"盘亏",出库单!$U$4:$U$4003,"正常",出库单!$C$4:$C$4003,"&gt;="&amp;账期起,出库单!$C$4:$C$4003,"&lt;="&amp;账期止))</f>
        <v/>
      </c>
      <c r="U568" s="26">
        <f>IF($A568="","",ROUND(SUMIFS(出库单!$S$4:$S$4003,出库单!$D$4:$D$4003,$A568,出库单!$K$4:$K$4003,"盘亏",出库单!$U$4:$U$4003,"正常",出库单!$C$4:$C$4003,"&gt;="&amp;账期起,出库单!$C$4:$C$4003,"&lt;="&amp;账期止),0))</f>
        <v/>
      </c>
      <c r="V568" s="27">
        <f>IF($A568="","",SUMIFS(出库单!$J$4:$J$4003,出库单!$D$4:$D$4003,$A568,出库单!$K$4:$K$4003,"退货给供应商",出库单!$U$4:$U$4003,"正常",出库单!$C$4:$C$4003,"&gt;="&amp;账期起,出库单!$C$4:$C$4003,"&lt;="&amp;账期止))</f>
        <v/>
      </c>
      <c r="W568" s="26">
        <f>IF($A568="","",ROUND(SUMIFS(出库单!$S$4:$S$4003,出库单!$D$4:$D$4003,$A568,出库单!$K$4:$K$4003,"退货给供应商",出库单!$U$4:$U$4003,"正常",出库单!$C$4:$C$4003,"&gt;="&amp;账期起,出库单!$C$4:$C$4003,"&lt;="&amp;账期止),0))</f>
        <v/>
      </c>
      <c r="X568" s="27">
        <f>IF($A568="","",ROUND(N($G568)+$I568+$L568+$N568-$P568-$R568-$T568-$V568,3))</f>
        <v/>
      </c>
      <c r="Y568" s="26">
        <f>IF($A568="","",ROUND(N($H568)+$J568+$M568+$O568-$Q568-$S568-$U568-$W568,0))</f>
        <v/>
      </c>
      <c r="Z568" s="24">
        <f>IF($A568="","",IF(COUNTIFS(入库单!$G$4:$G$2503,$A568,入库单!$Y$4:$Y$2503,"待补价")+COUNTIFS(入库单!$G$4:$G$2503,$A568,入库单!$Y$4:$Y$2503,"暂估")&gt;0,"不可信","可信"))</f>
        <v/>
      </c>
      <c r="AA568" s="24">
        <f>IF($A568="","",IF($X568&lt;-0.001,"※账面负库存，查一下是不是漏记入库",IF(AND(ROUND($X568,3)=0,ABS($Y568)&gt;1),"※数量已经是 0，金额还挂着 "&amp;TEXT($Y568,"#,##0")&amp;" 先令",IF(AND($X568&gt;0,$Y568&lt;=0,$K568=0),"※有数量没金额（这个物料一直没填过进价）",IF($Z568="不可信","△成本含待补价/暂估，毛利仅供参考","")))))</f>
        <v/>
      </c>
    </row>
    <row r="569">
      <c r="A569" s="24">
        <f>IF(物料档案!$A568="","",物料档案!$A568)</f>
        <v/>
      </c>
      <c r="B569" s="24">
        <f>IF($A569="","",IFERROR(VLOOKUP($A569,物料档案!$A$4:$P$1203,3,0),""))</f>
        <v/>
      </c>
      <c r="C569" s="24">
        <f>IF($A569="","",IFERROR(VLOOKUP($A569,物料档案!$A$4:$P$1203,4,0),""))</f>
        <v/>
      </c>
      <c r="D569" s="24">
        <f>IF($A569="","",IFERROR(VLOOKUP($A569,物料档案!$A$4:$P$1203,5,0),""))</f>
        <v/>
      </c>
      <c r="E569" s="24">
        <f>IF($A569="","",IFERROR(VLOOKUP($A569,物料档案!$A$4:$P$1203,2,0),""))</f>
        <v/>
      </c>
      <c r="F569" s="24">
        <f>IF($A569="","",IFERROR(VLOOKUP($A569,物料档案!$A$4:$P$1203,6,0),""))</f>
        <v/>
      </c>
      <c r="G569" s="23" t="n"/>
      <c r="H569" s="32" t="n"/>
      <c r="I569" s="27">
        <f>IF($A569="","",SUMIFS(入库单!$K$4:$K$2503,入库单!$G$4:$G$2503,$A569,入库单!$X$4:$X$2503,"采购入库",入库单!$Z$4:$Z$2503,"正常",入库单!$C$4:$C$2503,"&gt;="&amp;账期起,入库单!$C$4:$C$2503,"&lt;="&amp;账期止))</f>
        <v/>
      </c>
      <c r="J569" s="26">
        <f>IF($A569="","",SUMIFS(入库单!$V$4:$V$2503,入库单!$G$4:$G$2503,$A569,入库单!$X$4:$X$2503,"采购入库",入库单!$Z$4:$Z$2503,"正常",入库单!$C$4:$C$2503,"&gt;="&amp;账期起,入库单!$C$4:$C$2503,"&lt;="&amp;账期止))</f>
        <v/>
      </c>
      <c r="K569" s="26">
        <f>IF($A569="","",IFERROR(ROUND((N($H569)+N($J569))/(N($G569)+N($I569)),2),0))</f>
        <v/>
      </c>
      <c r="L569" s="27">
        <f>IF($A569="","",SUMIFS(入库单!$K$4:$K$2503,入库单!$G$4:$G$2503,$A569,入库单!$X$4:$X$2503,"盘盈",入库单!$Z$4:$Z$2503,"正常",入库单!$C$4:$C$2503,"&gt;="&amp;账期起,入库单!$C$4:$C$2503,"&lt;="&amp;账期止))</f>
        <v/>
      </c>
      <c r="M569" s="26">
        <f>IF($A569="","",ROUND($L569*$K569,0))</f>
        <v/>
      </c>
      <c r="N569" s="27">
        <f>IF($A569="","",SUMIFS(入库单!$K$4:$K$2503,入库单!$G$4:$G$2503,$A569,入库单!$X$4:$X$2503,"矿区退库",入库单!$Z$4:$Z$2503,"正常",入库单!$C$4:$C$2503,"&gt;="&amp;账期起,入库单!$C$4:$C$2503,"&lt;="&amp;账期止))</f>
        <v/>
      </c>
      <c r="O569" s="26">
        <f>IF($A569="","",ROUND($N569*$K569,0))</f>
        <v/>
      </c>
      <c r="P569" s="27">
        <f>IF($A569="","",SUMIFS(出库单!$J$4:$J$4003,出库单!$D$4:$D$4003,$A569,出库单!$K$4:$K$4003,"自用消耗",出库单!$U$4:$U$4003,"正常",出库单!$C$4:$C$4003,"&gt;="&amp;账期起,出库单!$C$4:$C$4003,"&lt;="&amp;账期止))</f>
        <v/>
      </c>
      <c r="Q569" s="26">
        <f>IF($A569="","",ROUND(SUMIFS(出库单!$S$4:$S$4003,出库单!$D$4:$D$4003,$A569,出库单!$K$4:$K$4003,"自用消耗",出库单!$U$4:$U$4003,"正常",出库单!$C$4:$C$4003,"&gt;="&amp;账期起,出库单!$C$4:$C$4003,"&lt;="&amp;账期止),0))</f>
        <v/>
      </c>
      <c r="R569" s="27">
        <f>IF($A569="","",SUMIFS(出库单!$J$4:$J$4003,出库单!$D$4:$D$4003,$A569,出库单!$K$4:$K$4003,"对外销售",出库单!$U$4:$U$4003,"正常",出库单!$C$4:$C$4003,"&gt;="&amp;账期起,出库单!$C$4:$C$4003,"&lt;="&amp;账期止))</f>
        <v/>
      </c>
      <c r="S569" s="26">
        <f>IF($A569="","",ROUND(SUMIFS(出库单!$S$4:$S$4003,出库单!$D$4:$D$4003,$A569,出库单!$K$4:$K$4003,"对外销售",出库单!$U$4:$U$4003,"正常",出库单!$C$4:$C$4003,"&gt;="&amp;账期起,出库单!$C$4:$C$4003,"&lt;="&amp;账期止),0))</f>
        <v/>
      </c>
      <c r="T569" s="27">
        <f>IF($A569="","",SUMIFS(出库单!$J$4:$J$4003,出库单!$D$4:$D$4003,$A569,出库单!$K$4:$K$4003,"盘亏",出库单!$U$4:$U$4003,"正常",出库单!$C$4:$C$4003,"&gt;="&amp;账期起,出库单!$C$4:$C$4003,"&lt;="&amp;账期止))</f>
        <v/>
      </c>
      <c r="U569" s="26">
        <f>IF($A569="","",ROUND(SUMIFS(出库单!$S$4:$S$4003,出库单!$D$4:$D$4003,$A569,出库单!$K$4:$K$4003,"盘亏",出库单!$U$4:$U$4003,"正常",出库单!$C$4:$C$4003,"&gt;="&amp;账期起,出库单!$C$4:$C$4003,"&lt;="&amp;账期止),0))</f>
        <v/>
      </c>
      <c r="V569" s="27">
        <f>IF($A569="","",SUMIFS(出库单!$J$4:$J$4003,出库单!$D$4:$D$4003,$A569,出库单!$K$4:$K$4003,"退货给供应商",出库单!$U$4:$U$4003,"正常",出库单!$C$4:$C$4003,"&gt;="&amp;账期起,出库单!$C$4:$C$4003,"&lt;="&amp;账期止))</f>
        <v/>
      </c>
      <c r="W569" s="26">
        <f>IF($A569="","",ROUND(SUMIFS(出库单!$S$4:$S$4003,出库单!$D$4:$D$4003,$A569,出库单!$K$4:$K$4003,"退货给供应商",出库单!$U$4:$U$4003,"正常",出库单!$C$4:$C$4003,"&gt;="&amp;账期起,出库单!$C$4:$C$4003,"&lt;="&amp;账期止),0))</f>
        <v/>
      </c>
      <c r="X569" s="27">
        <f>IF($A569="","",ROUND(N($G569)+$I569+$L569+$N569-$P569-$R569-$T569-$V569,3))</f>
        <v/>
      </c>
      <c r="Y569" s="26">
        <f>IF($A569="","",ROUND(N($H569)+$J569+$M569+$O569-$Q569-$S569-$U569-$W569,0))</f>
        <v/>
      </c>
      <c r="Z569" s="24">
        <f>IF($A569="","",IF(COUNTIFS(入库单!$G$4:$G$2503,$A569,入库单!$Y$4:$Y$2503,"待补价")+COUNTIFS(入库单!$G$4:$G$2503,$A569,入库单!$Y$4:$Y$2503,"暂估")&gt;0,"不可信","可信"))</f>
        <v/>
      </c>
      <c r="AA569" s="24">
        <f>IF($A569="","",IF($X569&lt;-0.001,"※账面负库存，查一下是不是漏记入库",IF(AND(ROUND($X569,3)=0,ABS($Y569)&gt;1),"※数量已经是 0，金额还挂着 "&amp;TEXT($Y569,"#,##0")&amp;" 先令",IF(AND($X569&gt;0,$Y569&lt;=0,$K569=0),"※有数量没金额（这个物料一直没填过进价）",IF($Z569="不可信","△成本含待补价/暂估，毛利仅供参考","")))))</f>
        <v/>
      </c>
    </row>
    <row r="570">
      <c r="A570" s="24">
        <f>IF(物料档案!$A569="","",物料档案!$A569)</f>
        <v/>
      </c>
      <c r="B570" s="24">
        <f>IF($A570="","",IFERROR(VLOOKUP($A570,物料档案!$A$4:$P$1203,3,0),""))</f>
        <v/>
      </c>
      <c r="C570" s="24">
        <f>IF($A570="","",IFERROR(VLOOKUP($A570,物料档案!$A$4:$P$1203,4,0),""))</f>
        <v/>
      </c>
      <c r="D570" s="24">
        <f>IF($A570="","",IFERROR(VLOOKUP($A570,物料档案!$A$4:$P$1203,5,0),""))</f>
        <v/>
      </c>
      <c r="E570" s="24">
        <f>IF($A570="","",IFERROR(VLOOKUP($A570,物料档案!$A$4:$P$1203,2,0),""))</f>
        <v/>
      </c>
      <c r="F570" s="24">
        <f>IF($A570="","",IFERROR(VLOOKUP($A570,物料档案!$A$4:$P$1203,6,0),""))</f>
        <v/>
      </c>
      <c r="G570" s="23" t="n"/>
      <c r="H570" s="32" t="n"/>
      <c r="I570" s="27">
        <f>IF($A570="","",SUMIFS(入库单!$K$4:$K$2503,入库单!$G$4:$G$2503,$A570,入库单!$X$4:$X$2503,"采购入库",入库单!$Z$4:$Z$2503,"正常",入库单!$C$4:$C$2503,"&gt;="&amp;账期起,入库单!$C$4:$C$2503,"&lt;="&amp;账期止))</f>
        <v/>
      </c>
      <c r="J570" s="26">
        <f>IF($A570="","",SUMIFS(入库单!$V$4:$V$2503,入库单!$G$4:$G$2503,$A570,入库单!$X$4:$X$2503,"采购入库",入库单!$Z$4:$Z$2503,"正常",入库单!$C$4:$C$2503,"&gt;="&amp;账期起,入库单!$C$4:$C$2503,"&lt;="&amp;账期止))</f>
        <v/>
      </c>
      <c r="K570" s="26">
        <f>IF($A570="","",IFERROR(ROUND((N($H570)+N($J570))/(N($G570)+N($I570)),2),0))</f>
        <v/>
      </c>
      <c r="L570" s="27">
        <f>IF($A570="","",SUMIFS(入库单!$K$4:$K$2503,入库单!$G$4:$G$2503,$A570,入库单!$X$4:$X$2503,"盘盈",入库单!$Z$4:$Z$2503,"正常",入库单!$C$4:$C$2503,"&gt;="&amp;账期起,入库单!$C$4:$C$2503,"&lt;="&amp;账期止))</f>
        <v/>
      </c>
      <c r="M570" s="26">
        <f>IF($A570="","",ROUND($L570*$K570,0))</f>
        <v/>
      </c>
      <c r="N570" s="27">
        <f>IF($A570="","",SUMIFS(入库单!$K$4:$K$2503,入库单!$G$4:$G$2503,$A570,入库单!$X$4:$X$2503,"矿区退库",入库单!$Z$4:$Z$2503,"正常",入库单!$C$4:$C$2503,"&gt;="&amp;账期起,入库单!$C$4:$C$2503,"&lt;="&amp;账期止))</f>
        <v/>
      </c>
      <c r="O570" s="26">
        <f>IF($A570="","",ROUND($N570*$K570,0))</f>
        <v/>
      </c>
      <c r="P570" s="27">
        <f>IF($A570="","",SUMIFS(出库单!$J$4:$J$4003,出库单!$D$4:$D$4003,$A570,出库单!$K$4:$K$4003,"自用消耗",出库单!$U$4:$U$4003,"正常",出库单!$C$4:$C$4003,"&gt;="&amp;账期起,出库单!$C$4:$C$4003,"&lt;="&amp;账期止))</f>
        <v/>
      </c>
      <c r="Q570" s="26">
        <f>IF($A570="","",ROUND(SUMIFS(出库单!$S$4:$S$4003,出库单!$D$4:$D$4003,$A570,出库单!$K$4:$K$4003,"自用消耗",出库单!$U$4:$U$4003,"正常",出库单!$C$4:$C$4003,"&gt;="&amp;账期起,出库单!$C$4:$C$4003,"&lt;="&amp;账期止),0))</f>
        <v/>
      </c>
      <c r="R570" s="27">
        <f>IF($A570="","",SUMIFS(出库单!$J$4:$J$4003,出库单!$D$4:$D$4003,$A570,出库单!$K$4:$K$4003,"对外销售",出库单!$U$4:$U$4003,"正常",出库单!$C$4:$C$4003,"&gt;="&amp;账期起,出库单!$C$4:$C$4003,"&lt;="&amp;账期止))</f>
        <v/>
      </c>
      <c r="S570" s="26">
        <f>IF($A570="","",ROUND(SUMIFS(出库单!$S$4:$S$4003,出库单!$D$4:$D$4003,$A570,出库单!$K$4:$K$4003,"对外销售",出库单!$U$4:$U$4003,"正常",出库单!$C$4:$C$4003,"&gt;="&amp;账期起,出库单!$C$4:$C$4003,"&lt;="&amp;账期止),0))</f>
        <v/>
      </c>
      <c r="T570" s="27">
        <f>IF($A570="","",SUMIFS(出库单!$J$4:$J$4003,出库单!$D$4:$D$4003,$A570,出库单!$K$4:$K$4003,"盘亏",出库单!$U$4:$U$4003,"正常",出库单!$C$4:$C$4003,"&gt;="&amp;账期起,出库单!$C$4:$C$4003,"&lt;="&amp;账期止))</f>
        <v/>
      </c>
      <c r="U570" s="26">
        <f>IF($A570="","",ROUND(SUMIFS(出库单!$S$4:$S$4003,出库单!$D$4:$D$4003,$A570,出库单!$K$4:$K$4003,"盘亏",出库单!$U$4:$U$4003,"正常",出库单!$C$4:$C$4003,"&gt;="&amp;账期起,出库单!$C$4:$C$4003,"&lt;="&amp;账期止),0))</f>
        <v/>
      </c>
      <c r="V570" s="27">
        <f>IF($A570="","",SUMIFS(出库单!$J$4:$J$4003,出库单!$D$4:$D$4003,$A570,出库单!$K$4:$K$4003,"退货给供应商",出库单!$U$4:$U$4003,"正常",出库单!$C$4:$C$4003,"&gt;="&amp;账期起,出库单!$C$4:$C$4003,"&lt;="&amp;账期止))</f>
        <v/>
      </c>
      <c r="W570" s="26">
        <f>IF($A570="","",ROUND(SUMIFS(出库单!$S$4:$S$4003,出库单!$D$4:$D$4003,$A570,出库单!$K$4:$K$4003,"退货给供应商",出库单!$U$4:$U$4003,"正常",出库单!$C$4:$C$4003,"&gt;="&amp;账期起,出库单!$C$4:$C$4003,"&lt;="&amp;账期止),0))</f>
        <v/>
      </c>
      <c r="X570" s="27">
        <f>IF($A570="","",ROUND(N($G570)+$I570+$L570+$N570-$P570-$R570-$T570-$V570,3))</f>
        <v/>
      </c>
      <c r="Y570" s="26">
        <f>IF($A570="","",ROUND(N($H570)+$J570+$M570+$O570-$Q570-$S570-$U570-$W570,0))</f>
        <v/>
      </c>
      <c r="Z570" s="24">
        <f>IF($A570="","",IF(COUNTIFS(入库单!$G$4:$G$2503,$A570,入库单!$Y$4:$Y$2503,"待补价")+COUNTIFS(入库单!$G$4:$G$2503,$A570,入库单!$Y$4:$Y$2503,"暂估")&gt;0,"不可信","可信"))</f>
        <v/>
      </c>
      <c r="AA570" s="24">
        <f>IF($A570="","",IF($X570&lt;-0.001,"※账面负库存，查一下是不是漏记入库",IF(AND(ROUND($X570,3)=0,ABS($Y570)&gt;1),"※数量已经是 0，金额还挂着 "&amp;TEXT($Y570,"#,##0")&amp;" 先令",IF(AND($X570&gt;0,$Y570&lt;=0,$K570=0),"※有数量没金额（这个物料一直没填过进价）",IF($Z570="不可信","△成本含待补价/暂估，毛利仅供参考","")))))</f>
        <v/>
      </c>
    </row>
    <row r="571">
      <c r="A571" s="24">
        <f>IF(物料档案!$A570="","",物料档案!$A570)</f>
        <v/>
      </c>
      <c r="B571" s="24">
        <f>IF($A571="","",IFERROR(VLOOKUP($A571,物料档案!$A$4:$P$1203,3,0),""))</f>
        <v/>
      </c>
      <c r="C571" s="24">
        <f>IF($A571="","",IFERROR(VLOOKUP($A571,物料档案!$A$4:$P$1203,4,0),""))</f>
        <v/>
      </c>
      <c r="D571" s="24">
        <f>IF($A571="","",IFERROR(VLOOKUP($A571,物料档案!$A$4:$P$1203,5,0),""))</f>
        <v/>
      </c>
      <c r="E571" s="24">
        <f>IF($A571="","",IFERROR(VLOOKUP($A571,物料档案!$A$4:$P$1203,2,0),""))</f>
        <v/>
      </c>
      <c r="F571" s="24">
        <f>IF($A571="","",IFERROR(VLOOKUP($A571,物料档案!$A$4:$P$1203,6,0),""))</f>
        <v/>
      </c>
      <c r="G571" s="23" t="n"/>
      <c r="H571" s="32" t="n"/>
      <c r="I571" s="27">
        <f>IF($A571="","",SUMIFS(入库单!$K$4:$K$2503,入库单!$G$4:$G$2503,$A571,入库单!$X$4:$X$2503,"采购入库",入库单!$Z$4:$Z$2503,"正常",入库单!$C$4:$C$2503,"&gt;="&amp;账期起,入库单!$C$4:$C$2503,"&lt;="&amp;账期止))</f>
        <v/>
      </c>
      <c r="J571" s="26">
        <f>IF($A571="","",SUMIFS(入库单!$V$4:$V$2503,入库单!$G$4:$G$2503,$A571,入库单!$X$4:$X$2503,"采购入库",入库单!$Z$4:$Z$2503,"正常",入库单!$C$4:$C$2503,"&gt;="&amp;账期起,入库单!$C$4:$C$2503,"&lt;="&amp;账期止))</f>
        <v/>
      </c>
      <c r="K571" s="26">
        <f>IF($A571="","",IFERROR(ROUND((N($H571)+N($J571))/(N($G571)+N($I571)),2),0))</f>
        <v/>
      </c>
      <c r="L571" s="27">
        <f>IF($A571="","",SUMIFS(入库单!$K$4:$K$2503,入库单!$G$4:$G$2503,$A571,入库单!$X$4:$X$2503,"盘盈",入库单!$Z$4:$Z$2503,"正常",入库单!$C$4:$C$2503,"&gt;="&amp;账期起,入库单!$C$4:$C$2503,"&lt;="&amp;账期止))</f>
        <v/>
      </c>
      <c r="M571" s="26">
        <f>IF($A571="","",ROUND($L571*$K571,0))</f>
        <v/>
      </c>
      <c r="N571" s="27">
        <f>IF($A571="","",SUMIFS(入库单!$K$4:$K$2503,入库单!$G$4:$G$2503,$A571,入库单!$X$4:$X$2503,"矿区退库",入库单!$Z$4:$Z$2503,"正常",入库单!$C$4:$C$2503,"&gt;="&amp;账期起,入库单!$C$4:$C$2503,"&lt;="&amp;账期止))</f>
        <v/>
      </c>
      <c r="O571" s="26">
        <f>IF($A571="","",ROUND($N571*$K571,0))</f>
        <v/>
      </c>
      <c r="P571" s="27">
        <f>IF($A571="","",SUMIFS(出库单!$J$4:$J$4003,出库单!$D$4:$D$4003,$A571,出库单!$K$4:$K$4003,"自用消耗",出库单!$U$4:$U$4003,"正常",出库单!$C$4:$C$4003,"&gt;="&amp;账期起,出库单!$C$4:$C$4003,"&lt;="&amp;账期止))</f>
        <v/>
      </c>
      <c r="Q571" s="26">
        <f>IF($A571="","",ROUND(SUMIFS(出库单!$S$4:$S$4003,出库单!$D$4:$D$4003,$A571,出库单!$K$4:$K$4003,"自用消耗",出库单!$U$4:$U$4003,"正常",出库单!$C$4:$C$4003,"&gt;="&amp;账期起,出库单!$C$4:$C$4003,"&lt;="&amp;账期止),0))</f>
        <v/>
      </c>
      <c r="R571" s="27">
        <f>IF($A571="","",SUMIFS(出库单!$J$4:$J$4003,出库单!$D$4:$D$4003,$A571,出库单!$K$4:$K$4003,"对外销售",出库单!$U$4:$U$4003,"正常",出库单!$C$4:$C$4003,"&gt;="&amp;账期起,出库单!$C$4:$C$4003,"&lt;="&amp;账期止))</f>
        <v/>
      </c>
      <c r="S571" s="26">
        <f>IF($A571="","",ROUND(SUMIFS(出库单!$S$4:$S$4003,出库单!$D$4:$D$4003,$A571,出库单!$K$4:$K$4003,"对外销售",出库单!$U$4:$U$4003,"正常",出库单!$C$4:$C$4003,"&gt;="&amp;账期起,出库单!$C$4:$C$4003,"&lt;="&amp;账期止),0))</f>
        <v/>
      </c>
      <c r="T571" s="27">
        <f>IF($A571="","",SUMIFS(出库单!$J$4:$J$4003,出库单!$D$4:$D$4003,$A571,出库单!$K$4:$K$4003,"盘亏",出库单!$U$4:$U$4003,"正常",出库单!$C$4:$C$4003,"&gt;="&amp;账期起,出库单!$C$4:$C$4003,"&lt;="&amp;账期止))</f>
        <v/>
      </c>
      <c r="U571" s="26">
        <f>IF($A571="","",ROUND(SUMIFS(出库单!$S$4:$S$4003,出库单!$D$4:$D$4003,$A571,出库单!$K$4:$K$4003,"盘亏",出库单!$U$4:$U$4003,"正常",出库单!$C$4:$C$4003,"&gt;="&amp;账期起,出库单!$C$4:$C$4003,"&lt;="&amp;账期止),0))</f>
        <v/>
      </c>
      <c r="V571" s="27">
        <f>IF($A571="","",SUMIFS(出库单!$J$4:$J$4003,出库单!$D$4:$D$4003,$A571,出库单!$K$4:$K$4003,"退货给供应商",出库单!$U$4:$U$4003,"正常",出库单!$C$4:$C$4003,"&gt;="&amp;账期起,出库单!$C$4:$C$4003,"&lt;="&amp;账期止))</f>
        <v/>
      </c>
      <c r="W571" s="26">
        <f>IF($A571="","",ROUND(SUMIFS(出库单!$S$4:$S$4003,出库单!$D$4:$D$4003,$A571,出库单!$K$4:$K$4003,"退货给供应商",出库单!$U$4:$U$4003,"正常",出库单!$C$4:$C$4003,"&gt;="&amp;账期起,出库单!$C$4:$C$4003,"&lt;="&amp;账期止),0))</f>
        <v/>
      </c>
      <c r="X571" s="27">
        <f>IF($A571="","",ROUND(N($G571)+$I571+$L571+$N571-$P571-$R571-$T571-$V571,3))</f>
        <v/>
      </c>
      <c r="Y571" s="26">
        <f>IF($A571="","",ROUND(N($H571)+$J571+$M571+$O571-$Q571-$S571-$U571-$W571,0))</f>
        <v/>
      </c>
      <c r="Z571" s="24">
        <f>IF($A571="","",IF(COUNTIFS(入库单!$G$4:$G$2503,$A571,入库单!$Y$4:$Y$2503,"待补价")+COUNTIFS(入库单!$G$4:$G$2503,$A571,入库单!$Y$4:$Y$2503,"暂估")&gt;0,"不可信","可信"))</f>
        <v/>
      </c>
      <c r="AA571" s="24">
        <f>IF($A571="","",IF($X571&lt;-0.001,"※账面负库存，查一下是不是漏记入库",IF(AND(ROUND($X571,3)=0,ABS($Y571)&gt;1),"※数量已经是 0，金额还挂着 "&amp;TEXT($Y571,"#,##0")&amp;" 先令",IF(AND($X571&gt;0,$Y571&lt;=0,$K571=0),"※有数量没金额（这个物料一直没填过进价）",IF($Z571="不可信","△成本含待补价/暂估，毛利仅供参考","")))))</f>
        <v/>
      </c>
    </row>
    <row r="572">
      <c r="A572" s="24">
        <f>IF(物料档案!$A571="","",物料档案!$A571)</f>
        <v/>
      </c>
      <c r="B572" s="24">
        <f>IF($A572="","",IFERROR(VLOOKUP($A572,物料档案!$A$4:$P$1203,3,0),""))</f>
        <v/>
      </c>
      <c r="C572" s="24">
        <f>IF($A572="","",IFERROR(VLOOKUP($A572,物料档案!$A$4:$P$1203,4,0),""))</f>
        <v/>
      </c>
      <c r="D572" s="24">
        <f>IF($A572="","",IFERROR(VLOOKUP($A572,物料档案!$A$4:$P$1203,5,0),""))</f>
        <v/>
      </c>
      <c r="E572" s="24">
        <f>IF($A572="","",IFERROR(VLOOKUP($A572,物料档案!$A$4:$P$1203,2,0),""))</f>
        <v/>
      </c>
      <c r="F572" s="24">
        <f>IF($A572="","",IFERROR(VLOOKUP($A572,物料档案!$A$4:$P$1203,6,0),""))</f>
        <v/>
      </c>
      <c r="G572" s="23" t="n"/>
      <c r="H572" s="32" t="n"/>
      <c r="I572" s="27">
        <f>IF($A572="","",SUMIFS(入库单!$K$4:$K$2503,入库单!$G$4:$G$2503,$A572,入库单!$X$4:$X$2503,"采购入库",入库单!$Z$4:$Z$2503,"正常",入库单!$C$4:$C$2503,"&gt;="&amp;账期起,入库单!$C$4:$C$2503,"&lt;="&amp;账期止))</f>
        <v/>
      </c>
      <c r="J572" s="26">
        <f>IF($A572="","",SUMIFS(入库单!$V$4:$V$2503,入库单!$G$4:$G$2503,$A572,入库单!$X$4:$X$2503,"采购入库",入库单!$Z$4:$Z$2503,"正常",入库单!$C$4:$C$2503,"&gt;="&amp;账期起,入库单!$C$4:$C$2503,"&lt;="&amp;账期止))</f>
        <v/>
      </c>
      <c r="K572" s="26">
        <f>IF($A572="","",IFERROR(ROUND((N($H572)+N($J572))/(N($G572)+N($I572)),2),0))</f>
        <v/>
      </c>
      <c r="L572" s="27">
        <f>IF($A572="","",SUMIFS(入库单!$K$4:$K$2503,入库单!$G$4:$G$2503,$A572,入库单!$X$4:$X$2503,"盘盈",入库单!$Z$4:$Z$2503,"正常",入库单!$C$4:$C$2503,"&gt;="&amp;账期起,入库单!$C$4:$C$2503,"&lt;="&amp;账期止))</f>
        <v/>
      </c>
      <c r="M572" s="26">
        <f>IF($A572="","",ROUND($L572*$K572,0))</f>
        <v/>
      </c>
      <c r="N572" s="27">
        <f>IF($A572="","",SUMIFS(入库单!$K$4:$K$2503,入库单!$G$4:$G$2503,$A572,入库单!$X$4:$X$2503,"矿区退库",入库单!$Z$4:$Z$2503,"正常",入库单!$C$4:$C$2503,"&gt;="&amp;账期起,入库单!$C$4:$C$2503,"&lt;="&amp;账期止))</f>
        <v/>
      </c>
      <c r="O572" s="26">
        <f>IF($A572="","",ROUND($N572*$K572,0))</f>
        <v/>
      </c>
      <c r="P572" s="27">
        <f>IF($A572="","",SUMIFS(出库单!$J$4:$J$4003,出库单!$D$4:$D$4003,$A572,出库单!$K$4:$K$4003,"自用消耗",出库单!$U$4:$U$4003,"正常",出库单!$C$4:$C$4003,"&gt;="&amp;账期起,出库单!$C$4:$C$4003,"&lt;="&amp;账期止))</f>
        <v/>
      </c>
      <c r="Q572" s="26">
        <f>IF($A572="","",ROUND(SUMIFS(出库单!$S$4:$S$4003,出库单!$D$4:$D$4003,$A572,出库单!$K$4:$K$4003,"自用消耗",出库单!$U$4:$U$4003,"正常",出库单!$C$4:$C$4003,"&gt;="&amp;账期起,出库单!$C$4:$C$4003,"&lt;="&amp;账期止),0))</f>
        <v/>
      </c>
      <c r="R572" s="27">
        <f>IF($A572="","",SUMIFS(出库单!$J$4:$J$4003,出库单!$D$4:$D$4003,$A572,出库单!$K$4:$K$4003,"对外销售",出库单!$U$4:$U$4003,"正常",出库单!$C$4:$C$4003,"&gt;="&amp;账期起,出库单!$C$4:$C$4003,"&lt;="&amp;账期止))</f>
        <v/>
      </c>
      <c r="S572" s="26">
        <f>IF($A572="","",ROUND(SUMIFS(出库单!$S$4:$S$4003,出库单!$D$4:$D$4003,$A572,出库单!$K$4:$K$4003,"对外销售",出库单!$U$4:$U$4003,"正常",出库单!$C$4:$C$4003,"&gt;="&amp;账期起,出库单!$C$4:$C$4003,"&lt;="&amp;账期止),0))</f>
        <v/>
      </c>
      <c r="T572" s="27">
        <f>IF($A572="","",SUMIFS(出库单!$J$4:$J$4003,出库单!$D$4:$D$4003,$A572,出库单!$K$4:$K$4003,"盘亏",出库单!$U$4:$U$4003,"正常",出库单!$C$4:$C$4003,"&gt;="&amp;账期起,出库单!$C$4:$C$4003,"&lt;="&amp;账期止))</f>
        <v/>
      </c>
      <c r="U572" s="26">
        <f>IF($A572="","",ROUND(SUMIFS(出库单!$S$4:$S$4003,出库单!$D$4:$D$4003,$A572,出库单!$K$4:$K$4003,"盘亏",出库单!$U$4:$U$4003,"正常",出库单!$C$4:$C$4003,"&gt;="&amp;账期起,出库单!$C$4:$C$4003,"&lt;="&amp;账期止),0))</f>
        <v/>
      </c>
      <c r="V572" s="27">
        <f>IF($A572="","",SUMIFS(出库单!$J$4:$J$4003,出库单!$D$4:$D$4003,$A572,出库单!$K$4:$K$4003,"退货给供应商",出库单!$U$4:$U$4003,"正常",出库单!$C$4:$C$4003,"&gt;="&amp;账期起,出库单!$C$4:$C$4003,"&lt;="&amp;账期止))</f>
        <v/>
      </c>
      <c r="W572" s="26">
        <f>IF($A572="","",ROUND(SUMIFS(出库单!$S$4:$S$4003,出库单!$D$4:$D$4003,$A572,出库单!$K$4:$K$4003,"退货给供应商",出库单!$U$4:$U$4003,"正常",出库单!$C$4:$C$4003,"&gt;="&amp;账期起,出库单!$C$4:$C$4003,"&lt;="&amp;账期止),0))</f>
        <v/>
      </c>
      <c r="X572" s="27">
        <f>IF($A572="","",ROUND(N($G572)+$I572+$L572+$N572-$P572-$R572-$T572-$V572,3))</f>
        <v/>
      </c>
      <c r="Y572" s="26">
        <f>IF($A572="","",ROUND(N($H572)+$J572+$M572+$O572-$Q572-$S572-$U572-$W572,0))</f>
        <v/>
      </c>
      <c r="Z572" s="24">
        <f>IF($A572="","",IF(COUNTIFS(入库单!$G$4:$G$2503,$A572,入库单!$Y$4:$Y$2503,"待补价")+COUNTIFS(入库单!$G$4:$G$2503,$A572,入库单!$Y$4:$Y$2503,"暂估")&gt;0,"不可信","可信"))</f>
        <v/>
      </c>
      <c r="AA572" s="24">
        <f>IF($A572="","",IF($X572&lt;-0.001,"※账面负库存，查一下是不是漏记入库",IF(AND(ROUND($X572,3)=0,ABS($Y572)&gt;1),"※数量已经是 0，金额还挂着 "&amp;TEXT($Y572,"#,##0")&amp;" 先令",IF(AND($X572&gt;0,$Y572&lt;=0,$K572=0),"※有数量没金额（这个物料一直没填过进价）",IF($Z572="不可信","△成本含待补价/暂估，毛利仅供参考","")))))</f>
        <v/>
      </c>
    </row>
    <row r="573">
      <c r="A573" s="24">
        <f>IF(物料档案!$A572="","",物料档案!$A572)</f>
        <v/>
      </c>
      <c r="B573" s="24">
        <f>IF($A573="","",IFERROR(VLOOKUP($A573,物料档案!$A$4:$P$1203,3,0),""))</f>
        <v/>
      </c>
      <c r="C573" s="24">
        <f>IF($A573="","",IFERROR(VLOOKUP($A573,物料档案!$A$4:$P$1203,4,0),""))</f>
        <v/>
      </c>
      <c r="D573" s="24">
        <f>IF($A573="","",IFERROR(VLOOKUP($A573,物料档案!$A$4:$P$1203,5,0),""))</f>
        <v/>
      </c>
      <c r="E573" s="24">
        <f>IF($A573="","",IFERROR(VLOOKUP($A573,物料档案!$A$4:$P$1203,2,0),""))</f>
        <v/>
      </c>
      <c r="F573" s="24">
        <f>IF($A573="","",IFERROR(VLOOKUP($A573,物料档案!$A$4:$P$1203,6,0),""))</f>
        <v/>
      </c>
      <c r="G573" s="23" t="n"/>
      <c r="H573" s="32" t="n"/>
      <c r="I573" s="27">
        <f>IF($A573="","",SUMIFS(入库单!$K$4:$K$2503,入库单!$G$4:$G$2503,$A573,入库单!$X$4:$X$2503,"采购入库",入库单!$Z$4:$Z$2503,"正常",入库单!$C$4:$C$2503,"&gt;="&amp;账期起,入库单!$C$4:$C$2503,"&lt;="&amp;账期止))</f>
        <v/>
      </c>
      <c r="J573" s="26">
        <f>IF($A573="","",SUMIFS(入库单!$V$4:$V$2503,入库单!$G$4:$G$2503,$A573,入库单!$X$4:$X$2503,"采购入库",入库单!$Z$4:$Z$2503,"正常",入库单!$C$4:$C$2503,"&gt;="&amp;账期起,入库单!$C$4:$C$2503,"&lt;="&amp;账期止))</f>
        <v/>
      </c>
      <c r="K573" s="26">
        <f>IF($A573="","",IFERROR(ROUND((N($H573)+N($J573))/(N($G573)+N($I573)),2),0))</f>
        <v/>
      </c>
      <c r="L573" s="27">
        <f>IF($A573="","",SUMIFS(入库单!$K$4:$K$2503,入库单!$G$4:$G$2503,$A573,入库单!$X$4:$X$2503,"盘盈",入库单!$Z$4:$Z$2503,"正常",入库单!$C$4:$C$2503,"&gt;="&amp;账期起,入库单!$C$4:$C$2503,"&lt;="&amp;账期止))</f>
        <v/>
      </c>
      <c r="M573" s="26">
        <f>IF($A573="","",ROUND($L573*$K573,0))</f>
        <v/>
      </c>
      <c r="N573" s="27">
        <f>IF($A573="","",SUMIFS(入库单!$K$4:$K$2503,入库单!$G$4:$G$2503,$A573,入库单!$X$4:$X$2503,"矿区退库",入库单!$Z$4:$Z$2503,"正常",入库单!$C$4:$C$2503,"&gt;="&amp;账期起,入库单!$C$4:$C$2503,"&lt;="&amp;账期止))</f>
        <v/>
      </c>
      <c r="O573" s="26">
        <f>IF($A573="","",ROUND($N573*$K573,0))</f>
        <v/>
      </c>
      <c r="P573" s="27">
        <f>IF($A573="","",SUMIFS(出库单!$J$4:$J$4003,出库单!$D$4:$D$4003,$A573,出库单!$K$4:$K$4003,"自用消耗",出库单!$U$4:$U$4003,"正常",出库单!$C$4:$C$4003,"&gt;="&amp;账期起,出库单!$C$4:$C$4003,"&lt;="&amp;账期止))</f>
        <v/>
      </c>
      <c r="Q573" s="26">
        <f>IF($A573="","",ROUND(SUMIFS(出库单!$S$4:$S$4003,出库单!$D$4:$D$4003,$A573,出库单!$K$4:$K$4003,"自用消耗",出库单!$U$4:$U$4003,"正常",出库单!$C$4:$C$4003,"&gt;="&amp;账期起,出库单!$C$4:$C$4003,"&lt;="&amp;账期止),0))</f>
        <v/>
      </c>
      <c r="R573" s="27">
        <f>IF($A573="","",SUMIFS(出库单!$J$4:$J$4003,出库单!$D$4:$D$4003,$A573,出库单!$K$4:$K$4003,"对外销售",出库单!$U$4:$U$4003,"正常",出库单!$C$4:$C$4003,"&gt;="&amp;账期起,出库单!$C$4:$C$4003,"&lt;="&amp;账期止))</f>
        <v/>
      </c>
      <c r="S573" s="26">
        <f>IF($A573="","",ROUND(SUMIFS(出库单!$S$4:$S$4003,出库单!$D$4:$D$4003,$A573,出库单!$K$4:$K$4003,"对外销售",出库单!$U$4:$U$4003,"正常",出库单!$C$4:$C$4003,"&gt;="&amp;账期起,出库单!$C$4:$C$4003,"&lt;="&amp;账期止),0))</f>
        <v/>
      </c>
      <c r="T573" s="27">
        <f>IF($A573="","",SUMIFS(出库单!$J$4:$J$4003,出库单!$D$4:$D$4003,$A573,出库单!$K$4:$K$4003,"盘亏",出库单!$U$4:$U$4003,"正常",出库单!$C$4:$C$4003,"&gt;="&amp;账期起,出库单!$C$4:$C$4003,"&lt;="&amp;账期止))</f>
        <v/>
      </c>
      <c r="U573" s="26">
        <f>IF($A573="","",ROUND(SUMIFS(出库单!$S$4:$S$4003,出库单!$D$4:$D$4003,$A573,出库单!$K$4:$K$4003,"盘亏",出库单!$U$4:$U$4003,"正常",出库单!$C$4:$C$4003,"&gt;="&amp;账期起,出库单!$C$4:$C$4003,"&lt;="&amp;账期止),0))</f>
        <v/>
      </c>
      <c r="V573" s="27">
        <f>IF($A573="","",SUMIFS(出库单!$J$4:$J$4003,出库单!$D$4:$D$4003,$A573,出库单!$K$4:$K$4003,"退货给供应商",出库单!$U$4:$U$4003,"正常",出库单!$C$4:$C$4003,"&gt;="&amp;账期起,出库单!$C$4:$C$4003,"&lt;="&amp;账期止))</f>
        <v/>
      </c>
      <c r="W573" s="26">
        <f>IF($A573="","",ROUND(SUMIFS(出库单!$S$4:$S$4003,出库单!$D$4:$D$4003,$A573,出库单!$K$4:$K$4003,"退货给供应商",出库单!$U$4:$U$4003,"正常",出库单!$C$4:$C$4003,"&gt;="&amp;账期起,出库单!$C$4:$C$4003,"&lt;="&amp;账期止),0))</f>
        <v/>
      </c>
      <c r="X573" s="27">
        <f>IF($A573="","",ROUND(N($G573)+$I573+$L573+$N573-$P573-$R573-$T573-$V573,3))</f>
        <v/>
      </c>
      <c r="Y573" s="26">
        <f>IF($A573="","",ROUND(N($H573)+$J573+$M573+$O573-$Q573-$S573-$U573-$W573,0))</f>
        <v/>
      </c>
      <c r="Z573" s="24">
        <f>IF($A573="","",IF(COUNTIFS(入库单!$G$4:$G$2503,$A573,入库单!$Y$4:$Y$2503,"待补价")+COUNTIFS(入库单!$G$4:$G$2503,$A573,入库单!$Y$4:$Y$2503,"暂估")&gt;0,"不可信","可信"))</f>
        <v/>
      </c>
      <c r="AA573" s="24">
        <f>IF($A573="","",IF($X573&lt;-0.001,"※账面负库存，查一下是不是漏记入库",IF(AND(ROUND($X573,3)=0,ABS($Y573)&gt;1),"※数量已经是 0，金额还挂着 "&amp;TEXT($Y573,"#,##0")&amp;" 先令",IF(AND($X573&gt;0,$Y573&lt;=0,$K573=0),"※有数量没金额（这个物料一直没填过进价）",IF($Z573="不可信","△成本含待补价/暂估，毛利仅供参考","")))))</f>
        <v/>
      </c>
    </row>
    <row r="574">
      <c r="A574" s="24">
        <f>IF(物料档案!$A573="","",物料档案!$A573)</f>
        <v/>
      </c>
      <c r="B574" s="24">
        <f>IF($A574="","",IFERROR(VLOOKUP($A574,物料档案!$A$4:$P$1203,3,0),""))</f>
        <v/>
      </c>
      <c r="C574" s="24">
        <f>IF($A574="","",IFERROR(VLOOKUP($A574,物料档案!$A$4:$P$1203,4,0),""))</f>
        <v/>
      </c>
      <c r="D574" s="24">
        <f>IF($A574="","",IFERROR(VLOOKUP($A574,物料档案!$A$4:$P$1203,5,0),""))</f>
        <v/>
      </c>
      <c r="E574" s="24">
        <f>IF($A574="","",IFERROR(VLOOKUP($A574,物料档案!$A$4:$P$1203,2,0),""))</f>
        <v/>
      </c>
      <c r="F574" s="24">
        <f>IF($A574="","",IFERROR(VLOOKUP($A574,物料档案!$A$4:$P$1203,6,0),""))</f>
        <v/>
      </c>
      <c r="G574" s="23" t="n"/>
      <c r="H574" s="32" t="n"/>
      <c r="I574" s="27">
        <f>IF($A574="","",SUMIFS(入库单!$K$4:$K$2503,入库单!$G$4:$G$2503,$A574,入库单!$X$4:$X$2503,"采购入库",入库单!$Z$4:$Z$2503,"正常",入库单!$C$4:$C$2503,"&gt;="&amp;账期起,入库单!$C$4:$C$2503,"&lt;="&amp;账期止))</f>
        <v/>
      </c>
      <c r="J574" s="26">
        <f>IF($A574="","",SUMIFS(入库单!$V$4:$V$2503,入库单!$G$4:$G$2503,$A574,入库单!$X$4:$X$2503,"采购入库",入库单!$Z$4:$Z$2503,"正常",入库单!$C$4:$C$2503,"&gt;="&amp;账期起,入库单!$C$4:$C$2503,"&lt;="&amp;账期止))</f>
        <v/>
      </c>
      <c r="K574" s="26">
        <f>IF($A574="","",IFERROR(ROUND((N($H574)+N($J574))/(N($G574)+N($I574)),2),0))</f>
        <v/>
      </c>
      <c r="L574" s="27">
        <f>IF($A574="","",SUMIFS(入库单!$K$4:$K$2503,入库单!$G$4:$G$2503,$A574,入库单!$X$4:$X$2503,"盘盈",入库单!$Z$4:$Z$2503,"正常",入库单!$C$4:$C$2503,"&gt;="&amp;账期起,入库单!$C$4:$C$2503,"&lt;="&amp;账期止))</f>
        <v/>
      </c>
      <c r="M574" s="26">
        <f>IF($A574="","",ROUND($L574*$K574,0))</f>
        <v/>
      </c>
      <c r="N574" s="27">
        <f>IF($A574="","",SUMIFS(入库单!$K$4:$K$2503,入库单!$G$4:$G$2503,$A574,入库单!$X$4:$X$2503,"矿区退库",入库单!$Z$4:$Z$2503,"正常",入库单!$C$4:$C$2503,"&gt;="&amp;账期起,入库单!$C$4:$C$2503,"&lt;="&amp;账期止))</f>
        <v/>
      </c>
      <c r="O574" s="26">
        <f>IF($A574="","",ROUND($N574*$K574,0))</f>
        <v/>
      </c>
      <c r="P574" s="27">
        <f>IF($A574="","",SUMIFS(出库单!$J$4:$J$4003,出库单!$D$4:$D$4003,$A574,出库单!$K$4:$K$4003,"自用消耗",出库单!$U$4:$U$4003,"正常",出库单!$C$4:$C$4003,"&gt;="&amp;账期起,出库单!$C$4:$C$4003,"&lt;="&amp;账期止))</f>
        <v/>
      </c>
      <c r="Q574" s="26">
        <f>IF($A574="","",ROUND(SUMIFS(出库单!$S$4:$S$4003,出库单!$D$4:$D$4003,$A574,出库单!$K$4:$K$4003,"自用消耗",出库单!$U$4:$U$4003,"正常",出库单!$C$4:$C$4003,"&gt;="&amp;账期起,出库单!$C$4:$C$4003,"&lt;="&amp;账期止),0))</f>
        <v/>
      </c>
      <c r="R574" s="27">
        <f>IF($A574="","",SUMIFS(出库单!$J$4:$J$4003,出库单!$D$4:$D$4003,$A574,出库单!$K$4:$K$4003,"对外销售",出库单!$U$4:$U$4003,"正常",出库单!$C$4:$C$4003,"&gt;="&amp;账期起,出库单!$C$4:$C$4003,"&lt;="&amp;账期止))</f>
        <v/>
      </c>
      <c r="S574" s="26">
        <f>IF($A574="","",ROUND(SUMIFS(出库单!$S$4:$S$4003,出库单!$D$4:$D$4003,$A574,出库单!$K$4:$K$4003,"对外销售",出库单!$U$4:$U$4003,"正常",出库单!$C$4:$C$4003,"&gt;="&amp;账期起,出库单!$C$4:$C$4003,"&lt;="&amp;账期止),0))</f>
        <v/>
      </c>
      <c r="T574" s="27">
        <f>IF($A574="","",SUMIFS(出库单!$J$4:$J$4003,出库单!$D$4:$D$4003,$A574,出库单!$K$4:$K$4003,"盘亏",出库单!$U$4:$U$4003,"正常",出库单!$C$4:$C$4003,"&gt;="&amp;账期起,出库单!$C$4:$C$4003,"&lt;="&amp;账期止))</f>
        <v/>
      </c>
      <c r="U574" s="26">
        <f>IF($A574="","",ROUND(SUMIFS(出库单!$S$4:$S$4003,出库单!$D$4:$D$4003,$A574,出库单!$K$4:$K$4003,"盘亏",出库单!$U$4:$U$4003,"正常",出库单!$C$4:$C$4003,"&gt;="&amp;账期起,出库单!$C$4:$C$4003,"&lt;="&amp;账期止),0))</f>
        <v/>
      </c>
      <c r="V574" s="27">
        <f>IF($A574="","",SUMIFS(出库单!$J$4:$J$4003,出库单!$D$4:$D$4003,$A574,出库单!$K$4:$K$4003,"退货给供应商",出库单!$U$4:$U$4003,"正常",出库单!$C$4:$C$4003,"&gt;="&amp;账期起,出库单!$C$4:$C$4003,"&lt;="&amp;账期止))</f>
        <v/>
      </c>
      <c r="W574" s="26">
        <f>IF($A574="","",ROUND(SUMIFS(出库单!$S$4:$S$4003,出库单!$D$4:$D$4003,$A574,出库单!$K$4:$K$4003,"退货给供应商",出库单!$U$4:$U$4003,"正常",出库单!$C$4:$C$4003,"&gt;="&amp;账期起,出库单!$C$4:$C$4003,"&lt;="&amp;账期止),0))</f>
        <v/>
      </c>
      <c r="X574" s="27">
        <f>IF($A574="","",ROUND(N($G574)+$I574+$L574+$N574-$P574-$R574-$T574-$V574,3))</f>
        <v/>
      </c>
      <c r="Y574" s="26">
        <f>IF($A574="","",ROUND(N($H574)+$J574+$M574+$O574-$Q574-$S574-$U574-$W574,0))</f>
        <v/>
      </c>
      <c r="Z574" s="24">
        <f>IF($A574="","",IF(COUNTIFS(入库单!$G$4:$G$2503,$A574,入库单!$Y$4:$Y$2503,"待补价")+COUNTIFS(入库单!$G$4:$G$2503,$A574,入库单!$Y$4:$Y$2503,"暂估")&gt;0,"不可信","可信"))</f>
        <v/>
      </c>
      <c r="AA574" s="24">
        <f>IF($A574="","",IF($X574&lt;-0.001,"※账面负库存，查一下是不是漏记入库",IF(AND(ROUND($X574,3)=0,ABS($Y574)&gt;1),"※数量已经是 0，金额还挂着 "&amp;TEXT($Y574,"#,##0")&amp;" 先令",IF(AND($X574&gt;0,$Y574&lt;=0,$K574=0),"※有数量没金额（这个物料一直没填过进价）",IF($Z574="不可信","△成本含待补价/暂估，毛利仅供参考","")))))</f>
        <v/>
      </c>
    </row>
    <row r="575">
      <c r="A575" s="24">
        <f>IF(物料档案!$A574="","",物料档案!$A574)</f>
        <v/>
      </c>
      <c r="B575" s="24">
        <f>IF($A575="","",IFERROR(VLOOKUP($A575,物料档案!$A$4:$P$1203,3,0),""))</f>
        <v/>
      </c>
      <c r="C575" s="24">
        <f>IF($A575="","",IFERROR(VLOOKUP($A575,物料档案!$A$4:$P$1203,4,0),""))</f>
        <v/>
      </c>
      <c r="D575" s="24">
        <f>IF($A575="","",IFERROR(VLOOKUP($A575,物料档案!$A$4:$P$1203,5,0),""))</f>
        <v/>
      </c>
      <c r="E575" s="24">
        <f>IF($A575="","",IFERROR(VLOOKUP($A575,物料档案!$A$4:$P$1203,2,0),""))</f>
        <v/>
      </c>
      <c r="F575" s="24">
        <f>IF($A575="","",IFERROR(VLOOKUP($A575,物料档案!$A$4:$P$1203,6,0),""))</f>
        <v/>
      </c>
      <c r="G575" s="23" t="n"/>
      <c r="H575" s="32" t="n"/>
      <c r="I575" s="27">
        <f>IF($A575="","",SUMIFS(入库单!$K$4:$K$2503,入库单!$G$4:$G$2503,$A575,入库单!$X$4:$X$2503,"采购入库",入库单!$Z$4:$Z$2503,"正常",入库单!$C$4:$C$2503,"&gt;="&amp;账期起,入库单!$C$4:$C$2503,"&lt;="&amp;账期止))</f>
        <v/>
      </c>
      <c r="J575" s="26">
        <f>IF($A575="","",SUMIFS(入库单!$V$4:$V$2503,入库单!$G$4:$G$2503,$A575,入库单!$X$4:$X$2503,"采购入库",入库单!$Z$4:$Z$2503,"正常",入库单!$C$4:$C$2503,"&gt;="&amp;账期起,入库单!$C$4:$C$2503,"&lt;="&amp;账期止))</f>
        <v/>
      </c>
      <c r="K575" s="26">
        <f>IF($A575="","",IFERROR(ROUND((N($H575)+N($J575))/(N($G575)+N($I575)),2),0))</f>
        <v/>
      </c>
      <c r="L575" s="27">
        <f>IF($A575="","",SUMIFS(入库单!$K$4:$K$2503,入库单!$G$4:$G$2503,$A575,入库单!$X$4:$X$2503,"盘盈",入库单!$Z$4:$Z$2503,"正常",入库单!$C$4:$C$2503,"&gt;="&amp;账期起,入库单!$C$4:$C$2503,"&lt;="&amp;账期止))</f>
        <v/>
      </c>
      <c r="M575" s="26">
        <f>IF($A575="","",ROUND($L575*$K575,0))</f>
        <v/>
      </c>
      <c r="N575" s="27">
        <f>IF($A575="","",SUMIFS(入库单!$K$4:$K$2503,入库单!$G$4:$G$2503,$A575,入库单!$X$4:$X$2503,"矿区退库",入库单!$Z$4:$Z$2503,"正常",入库单!$C$4:$C$2503,"&gt;="&amp;账期起,入库单!$C$4:$C$2503,"&lt;="&amp;账期止))</f>
        <v/>
      </c>
      <c r="O575" s="26">
        <f>IF($A575="","",ROUND($N575*$K575,0))</f>
        <v/>
      </c>
      <c r="P575" s="27">
        <f>IF($A575="","",SUMIFS(出库单!$J$4:$J$4003,出库单!$D$4:$D$4003,$A575,出库单!$K$4:$K$4003,"自用消耗",出库单!$U$4:$U$4003,"正常",出库单!$C$4:$C$4003,"&gt;="&amp;账期起,出库单!$C$4:$C$4003,"&lt;="&amp;账期止))</f>
        <v/>
      </c>
      <c r="Q575" s="26">
        <f>IF($A575="","",ROUND(SUMIFS(出库单!$S$4:$S$4003,出库单!$D$4:$D$4003,$A575,出库单!$K$4:$K$4003,"自用消耗",出库单!$U$4:$U$4003,"正常",出库单!$C$4:$C$4003,"&gt;="&amp;账期起,出库单!$C$4:$C$4003,"&lt;="&amp;账期止),0))</f>
        <v/>
      </c>
      <c r="R575" s="27">
        <f>IF($A575="","",SUMIFS(出库单!$J$4:$J$4003,出库单!$D$4:$D$4003,$A575,出库单!$K$4:$K$4003,"对外销售",出库单!$U$4:$U$4003,"正常",出库单!$C$4:$C$4003,"&gt;="&amp;账期起,出库单!$C$4:$C$4003,"&lt;="&amp;账期止))</f>
        <v/>
      </c>
      <c r="S575" s="26">
        <f>IF($A575="","",ROUND(SUMIFS(出库单!$S$4:$S$4003,出库单!$D$4:$D$4003,$A575,出库单!$K$4:$K$4003,"对外销售",出库单!$U$4:$U$4003,"正常",出库单!$C$4:$C$4003,"&gt;="&amp;账期起,出库单!$C$4:$C$4003,"&lt;="&amp;账期止),0))</f>
        <v/>
      </c>
      <c r="T575" s="27">
        <f>IF($A575="","",SUMIFS(出库单!$J$4:$J$4003,出库单!$D$4:$D$4003,$A575,出库单!$K$4:$K$4003,"盘亏",出库单!$U$4:$U$4003,"正常",出库单!$C$4:$C$4003,"&gt;="&amp;账期起,出库单!$C$4:$C$4003,"&lt;="&amp;账期止))</f>
        <v/>
      </c>
      <c r="U575" s="26">
        <f>IF($A575="","",ROUND(SUMIFS(出库单!$S$4:$S$4003,出库单!$D$4:$D$4003,$A575,出库单!$K$4:$K$4003,"盘亏",出库单!$U$4:$U$4003,"正常",出库单!$C$4:$C$4003,"&gt;="&amp;账期起,出库单!$C$4:$C$4003,"&lt;="&amp;账期止),0))</f>
        <v/>
      </c>
      <c r="V575" s="27">
        <f>IF($A575="","",SUMIFS(出库单!$J$4:$J$4003,出库单!$D$4:$D$4003,$A575,出库单!$K$4:$K$4003,"退货给供应商",出库单!$U$4:$U$4003,"正常",出库单!$C$4:$C$4003,"&gt;="&amp;账期起,出库单!$C$4:$C$4003,"&lt;="&amp;账期止))</f>
        <v/>
      </c>
      <c r="W575" s="26">
        <f>IF($A575="","",ROUND(SUMIFS(出库单!$S$4:$S$4003,出库单!$D$4:$D$4003,$A575,出库单!$K$4:$K$4003,"退货给供应商",出库单!$U$4:$U$4003,"正常",出库单!$C$4:$C$4003,"&gt;="&amp;账期起,出库单!$C$4:$C$4003,"&lt;="&amp;账期止),0))</f>
        <v/>
      </c>
      <c r="X575" s="27">
        <f>IF($A575="","",ROUND(N($G575)+$I575+$L575+$N575-$P575-$R575-$T575-$V575,3))</f>
        <v/>
      </c>
      <c r="Y575" s="26">
        <f>IF($A575="","",ROUND(N($H575)+$J575+$M575+$O575-$Q575-$S575-$U575-$W575,0))</f>
        <v/>
      </c>
      <c r="Z575" s="24">
        <f>IF($A575="","",IF(COUNTIFS(入库单!$G$4:$G$2503,$A575,入库单!$Y$4:$Y$2503,"待补价")+COUNTIFS(入库单!$G$4:$G$2503,$A575,入库单!$Y$4:$Y$2503,"暂估")&gt;0,"不可信","可信"))</f>
        <v/>
      </c>
      <c r="AA575" s="24">
        <f>IF($A575="","",IF($X575&lt;-0.001,"※账面负库存，查一下是不是漏记入库",IF(AND(ROUND($X575,3)=0,ABS($Y575)&gt;1),"※数量已经是 0，金额还挂着 "&amp;TEXT($Y575,"#,##0")&amp;" 先令",IF(AND($X575&gt;0,$Y575&lt;=0,$K575=0),"※有数量没金额（这个物料一直没填过进价）",IF($Z575="不可信","△成本含待补价/暂估，毛利仅供参考","")))))</f>
        <v/>
      </c>
    </row>
    <row r="576">
      <c r="A576" s="24">
        <f>IF(物料档案!$A575="","",物料档案!$A575)</f>
        <v/>
      </c>
      <c r="B576" s="24">
        <f>IF($A576="","",IFERROR(VLOOKUP($A576,物料档案!$A$4:$P$1203,3,0),""))</f>
        <v/>
      </c>
      <c r="C576" s="24">
        <f>IF($A576="","",IFERROR(VLOOKUP($A576,物料档案!$A$4:$P$1203,4,0),""))</f>
        <v/>
      </c>
      <c r="D576" s="24">
        <f>IF($A576="","",IFERROR(VLOOKUP($A576,物料档案!$A$4:$P$1203,5,0),""))</f>
        <v/>
      </c>
      <c r="E576" s="24">
        <f>IF($A576="","",IFERROR(VLOOKUP($A576,物料档案!$A$4:$P$1203,2,0),""))</f>
        <v/>
      </c>
      <c r="F576" s="24">
        <f>IF($A576="","",IFERROR(VLOOKUP($A576,物料档案!$A$4:$P$1203,6,0),""))</f>
        <v/>
      </c>
      <c r="G576" s="23" t="n"/>
      <c r="H576" s="32" t="n"/>
      <c r="I576" s="27">
        <f>IF($A576="","",SUMIFS(入库单!$K$4:$K$2503,入库单!$G$4:$G$2503,$A576,入库单!$X$4:$X$2503,"采购入库",入库单!$Z$4:$Z$2503,"正常",入库单!$C$4:$C$2503,"&gt;="&amp;账期起,入库单!$C$4:$C$2503,"&lt;="&amp;账期止))</f>
        <v/>
      </c>
      <c r="J576" s="26">
        <f>IF($A576="","",SUMIFS(入库单!$V$4:$V$2503,入库单!$G$4:$G$2503,$A576,入库单!$X$4:$X$2503,"采购入库",入库单!$Z$4:$Z$2503,"正常",入库单!$C$4:$C$2503,"&gt;="&amp;账期起,入库单!$C$4:$C$2503,"&lt;="&amp;账期止))</f>
        <v/>
      </c>
      <c r="K576" s="26">
        <f>IF($A576="","",IFERROR(ROUND((N($H576)+N($J576))/(N($G576)+N($I576)),2),0))</f>
        <v/>
      </c>
      <c r="L576" s="27">
        <f>IF($A576="","",SUMIFS(入库单!$K$4:$K$2503,入库单!$G$4:$G$2503,$A576,入库单!$X$4:$X$2503,"盘盈",入库单!$Z$4:$Z$2503,"正常",入库单!$C$4:$C$2503,"&gt;="&amp;账期起,入库单!$C$4:$C$2503,"&lt;="&amp;账期止))</f>
        <v/>
      </c>
      <c r="M576" s="26">
        <f>IF($A576="","",ROUND($L576*$K576,0))</f>
        <v/>
      </c>
      <c r="N576" s="27">
        <f>IF($A576="","",SUMIFS(入库单!$K$4:$K$2503,入库单!$G$4:$G$2503,$A576,入库单!$X$4:$X$2503,"矿区退库",入库单!$Z$4:$Z$2503,"正常",入库单!$C$4:$C$2503,"&gt;="&amp;账期起,入库单!$C$4:$C$2503,"&lt;="&amp;账期止))</f>
        <v/>
      </c>
      <c r="O576" s="26">
        <f>IF($A576="","",ROUND($N576*$K576,0))</f>
        <v/>
      </c>
      <c r="P576" s="27">
        <f>IF($A576="","",SUMIFS(出库单!$J$4:$J$4003,出库单!$D$4:$D$4003,$A576,出库单!$K$4:$K$4003,"自用消耗",出库单!$U$4:$U$4003,"正常",出库单!$C$4:$C$4003,"&gt;="&amp;账期起,出库单!$C$4:$C$4003,"&lt;="&amp;账期止))</f>
        <v/>
      </c>
      <c r="Q576" s="26">
        <f>IF($A576="","",ROUND(SUMIFS(出库单!$S$4:$S$4003,出库单!$D$4:$D$4003,$A576,出库单!$K$4:$K$4003,"自用消耗",出库单!$U$4:$U$4003,"正常",出库单!$C$4:$C$4003,"&gt;="&amp;账期起,出库单!$C$4:$C$4003,"&lt;="&amp;账期止),0))</f>
        <v/>
      </c>
      <c r="R576" s="27">
        <f>IF($A576="","",SUMIFS(出库单!$J$4:$J$4003,出库单!$D$4:$D$4003,$A576,出库单!$K$4:$K$4003,"对外销售",出库单!$U$4:$U$4003,"正常",出库单!$C$4:$C$4003,"&gt;="&amp;账期起,出库单!$C$4:$C$4003,"&lt;="&amp;账期止))</f>
        <v/>
      </c>
      <c r="S576" s="26">
        <f>IF($A576="","",ROUND(SUMIFS(出库单!$S$4:$S$4003,出库单!$D$4:$D$4003,$A576,出库单!$K$4:$K$4003,"对外销售",出库单!$U$4:$U$4003,"正常",出库单!$C$4:$C$4003,"&gt;="&amp;账期起,出库单!$C$4:$C$4003,"&lt;="&amp;账期止),0))</f>
        <v/>
      </c>
      <c r="T576" s="27">
        <f>IF($A576="","",SUMIFS(出库单!$J$4:$J$4003,出库单!$D$4:$D$4003,$A576,出库单!$K$4:$K$4003,"盘亏",出库单!$U$4:$U$4003,"正常",出库单!$C$4:$C$4003,"&gt;="&amp;账期起,出库单!$C$4:$C$4003,"&lt;="&amp;账期止))</f>
        <v/>
      </c>
      <c r="U576" s="26">
        <f>IF($A576="","",ROUND(SUMIFS(出库单!$S$4:$S$4003,出库单!$D$4:$D$4003,$A576,出库单!$K$4:$K$4003,"盘亏",出库单!$U$4:$U$4003,"正常",出库单!$C$4:$C$4003,"&gt;="&amp;账期起,出库单!$C$4:$C$4003,"&lt;="&amp;账期止),0))</f>
        <v/>
      </c>
      <c r="V576" s="27">
        <f>IF($A576="","",SUMIFS(出库单!$J$4:$J$4003,出库单!$D$4:$D$4003,$A576,出库单!$K$4:$K$4003,"退货给供应商",出库单!$U$4:$U$4003,"正常",出库单!$C$4:$C$4003,"&gt;="&amp;账期起,出库单!$C$4:$C$4003,"&lt;="&amp;账期止))</f>
        <v/>
      </c>
      <c r="W576" s="26">
        <f>IF($A576="","",ROUND(SUMIFS(出库单!$S$4:$S$4003,出库单!$D$4:$D$4003,$A576,出库单!$K$4:$K$4003,"退货给供应商",出库单!$U$4:$U$4003,"正常",出库单!$C$4:$C$4003,"&gt;="&amp;账期起,出库单!$C$4:$C$4003,"&lt;="&amp;账期止),0))</f>
        <v/>
      </c>
      <c r="X576" s="27">
        <f>IF($A576="","",ROUND(N($G576)+$I576+$L576+$N576-$P576-$R576-$T576-$V576,3))</f>
        <v/>
      </c>
      <c r="Y576" s="26">
        <f>IF($A576="","",ROUND(N($H576)+$J576+$M576+$O576-$Q576-$S576-$U576-$W576,0))</f>
        <v/>
      </c>
      <c r="Z576" s="24">
        <f>IF($A576="","",IF(COUNTIFS(入库单!$G$4:$G$2503,$A576,入库单!$Y$4:$Y$2503,"待补价")+COUNTIFS(入库单!$G$4:$G$2503,$A576,入库单!$Y$4:$Y$2503,"暂估")&gt;0,"不可信","可信"))</f>
        <v/>
      </c>
      <c r="AA576" s="24">
        <f>IF($A576="","",IF($X576&lt;-0.001,"※账面负库存，查一下是不是漏记入库",IF(AND(ROUND($X576,3)=0,ABS($Y576)&gt;1),"※数量已经是 0，金额还挂着 "&amp;TEXT($Y576,"#,##0")&amp;" 先令",IF(AND($X576&gt;0,$Y576&lt;=0,$K576=0),"※有数量没金额（这个物料一直没填过进价）",IF($Z576="不可信","△成本含待补价/暂估，毛利仅供参考","")))))</f>
        <v/>
      </c>
    </row>
    <row r="577">
      <c r="A577" s="24">
        <f>IF(物料档案!$A576="","",物料档案!$A576)</f>
        <v/>
      </c>
      <c r="B577" s="24">
        <f>IF($A577="","",IFERROR(VLOOKUP($A577,物料档案!$A$4:$P$1203,3,0),""))</f>
        <v/>
      </c>
      <c r="C577" s="24">
        <f>IF($A577="","",IFERROR(VLOOKUP($A577,物料档案!$A$4:$P$1203,4,0),""))</f>
        <v/>
      </c>
      <c r="D577" s="24">
        <f>IF($A577="","",IFERROR(VLOOKUP($A577,物料档案!$A$4:$P$1203,5,0),""))</f>
        <v/>
      </c>
      <c r="E577" s="24">
        <f>IF($A577="","",IFERROR(VLOOKUP($A577,物料档案!$A$4:$P$1203,2,0),""))</f>
        <v/>
      </c>
      <c r="F577" s="24">
        <f>IF($A577="","",IFERROR(VLOOKUP($A577,物料档案!$A$4:$P$1203,6,0),""))</f>
        <v/>
      </c>
      <c r="G577" s="23" t="n"/>
      <c r="H577" s="32" t="n"/>
      <c r="I577" s="27">
        <f>IF($A577="","",SUMIFS(入库单!$K$4:$K$2503,入库单!$G$4:$G$2503,$A577,入库单!$X$4:$X$2503,"采购入库",入库单!$Z$4:$Z$2503,"正常",入库单!$C$4:$C$2503,"&gt;="&amp;账期起,入库单!$C$4:$C$2503,"&lt;="&amp;账期止))</f>
        <v/>
      </c>
      <c r="J577" s="26">
        <f>IF($A577="","",SUMIFS(入库单!$V$4:$V$2503,入库单!$G$4:$G$2503,$A577,入库单!$X$4:$X$2503,"采购入库",入库单!$Z$4:$Z$2503,"正常",入库单!$C$4:$C$2503,"&gt;="&amp;账期起,入库单!$C$4:$C$2503,"&lt;="&amp;账期止))</f>
        <v/>
      </c>
      <c r="K577" s="26">
        <f>IF($A577="","",IFERROR(ROUND((N($H577)+N($J577))/(N($G577)+N($I577)),2),0))</f>
        <v/>
      </c>
      <c r="L577" s="27">
        <f>IF($A577="","",SUMIFS(入库单!$K$4:$K$2503,入库单!$G$4:$G$2503,$A577,入库单!$X$4:$X$2503,"盘盈",入库单!$Z$4:$Z$2503,"正常",入库单!$C$4:$C$2503,"&gt;="&amp;账期起,入库单!$C$4:$C$2503,"&lt;="&amp;账期止))</f>
        <v/>
      </c>
      <c r="M577" s="26">
        <f>IF($A577="","",ROUND($L577*$K577,0))</f>
        <v/>
      </c>
      <c r="N577" s="27">
        <f>IF($A577="","",SUMIFS(入库单!$K$4:$K$2503,入库单!$G$4:$G$2503,$A577,入库单!$X$4:$X$2503,"矿区退库",入库单!$Z$4:$Z$2503,"正常",入库单!$C$4:$C$2503,"&gt;="&amp;账期起,入库单!$C$4:$C$2503,"&lt;="&amp;账期止))</f>
        <v/>
      </c>
      <c r="O577" s="26">
        <f>IF($A577="","",ROUND($N577*$K577,0))</f>
        <v/>
      </c>
      <c r="P577" s="27">
        <f>IF($A577="","",SUMIFS(出库单!$J$4:$J$4003,出库单!$D$4:$D$4003,$A577,出库单!$K$4:$K$4003,"自用消耗",出库单!$U$4:$U$4003,"正常",出库单!$C$4:$C$4003,"&gt;="&amp;账期起,出库单!$C$4:$C$4003,"&lt;="&amp;账期止))</f>
        <v/>
      </c>
      <c r="Q577" s="26">
        <f>IF($A577="","",ROUND(SUMIFS(出库单!$S$4:$S$4003,出库单!$D$4:$D$4003,$A577,出库单!$K$4:$K$4003,"自用消耗",出库单!$U$4:$U$4003,"正常",出库单!$C$4:$C$4003,"&gt;="&amp;账期起,出库单!$C$4:$C$4003,"&lt;="&amp;账期止),0))</f>
        <v/>
      </c>
      <c r="R577" s="27">
        <f>IF($A577="","",SUMIFS(出库单!$J$4:$J$4003,出库单!$D$4:$D$4003,$A577,出库单!$K$4:$K$4003,"对外销售",出库单!$U$4:$U$4003,"正常",出库单!$C$4:$C$4003,"&gt;="&amp;账期起,出库单!$C$4:$C$4003,"&lt;="&amp;账期止))</f>
        <v/>
      </c>
      <c r="S577" s="26">
        <f>IF($A577="","",ROUND(SUMIFS(出库单!$S$4:$S$4003,出库单!$D$4:$D$4003,$A577,出库单!$K$4:$K$4003,"对外销售",出库单!$U$4:$U$4003,"正常",出库单!$C$4:$C$4003,"&gt;="&amp;账期起,出库单!$C$4:$C$4003,"&lt;="&amp;账期止),0))</f>
        <v/>
      </c>
      <c r="T577" s="27">
        <f>IF($A577="","",SUMIFS(出库单!$J$4:$J$4003,出库单!$D$4:$D$4003,$A577,出库单!$K$4:$K$4003,"盘亏",出库单!$U$4:$U$4003,"正常",出库单!$C$4:$C$4003,"&gt;="&amp;账期起,出库单!$C$4:$C$4003,"&lt;="&amp;账期止))</f>
        <v/>
      </c>
      <c r="U577" s="26">
        <f>IF($A577="","",ROUND(SUMIFS(出库单!$S$4:$S$4003,出库单!$D$4:$D$4003,$A577,出库单!$K$4:$K$4003,"盘亏",出库单!$U$4:$U$4003,"正常",出库单!$C$4:$C$4003,"&gt;="&amp;账期起,出库单!$C$4:$C$4003,"&lt;="&amp;账期止),0))</f>
        <v/>
      </c>
      <c r="V577" s="27">
        <f>IF($A577="","",SUMIFS(出库单!$J$4:$J$4003,出库单!$D$4:$D$4003,$A577,出库单!$K$4:$K$4003,"退货给供应商",出库单!$U$4:$U$4003,"正常",出库单!$C$4:$C$4003,"&gt;="&amp;账期起,出库单!$C$4:$C$4003,"&lt;="&amp;账期止))</f>
        <v/>
      </c>
      <c r="W577" s="26">
        <f>IF($A577="","",ROUND(SUMIFS(出库单!$S$4:$S$4003,出库单!$D$4:$D$4003,$A577,出库单!$K$4:$K$4003,"退货给供应商",出库单!$U$4:$U$4003,"正常",出库单!$C$4:$C$4003,"&gt;="&amp;账期起,出库单!$C$4:$C$4003,"&lt;="&amp;账期止),0))</f>
        <v/>
      </c>
      <c r="X577" s="27">
        <f>IF($A577="","",ROUND(N($G577)+$I577+$L577+$N577-$P577-$R577-$T577-$V577,3))</f>
        <v/>
      </c>
      <c r="Y577" s="26">
        <f>IF($A577="","",ROUND(N($H577)+$J577+$M577+$O577-$Q577-$S577-$U577-$W577,0))</f>
        <v/>
      </c>
      <c r="Z577" s="24">
        <f>IF($A577="","",IF(COUNTIFS(入库单!$G$4:$G$2503,$A577,入库单!$Y$4:$Y$2503,"待补价")+COUNTIFS(入库单!$G$4:$G$2503,$A577,入库单!$Y$4:$Y$2503,"暂估")&gt;0,"不可信","可信"))</f>
        <v/>
      </c>
      <c r="AA577" s="24">
        <f>IF($A577="","",IF($X577&lt;-0.001,"※账面负库存，查一下是不是漏记入库",IF(AND(ROUND($X577,3)=0,ABS($Y577)&gt;1),"※数量已经是 0，金额还挂着 "&amp;TEXT($Y577,"#,##0")&amp;" 先令",IF(AND($X577&gt;0,$Y577&lt;=0,$K577=0),"※有数量没金额（这个物料一直没填过进价）",IF($Z577="不可信","△成本含待补价/暂估，毛利仅供参考","")))))</f>
        <v/>
      </c>
    </row>
    <row r="578">
      <c r="A578" s="24">
        <f>IF(物料档案!$A577="","",物料档案!$A577)</f>
        <v/>
      </c>
      <c r="B578" s="24">
        <f>IF($A578="","",IFERROR(VLOOKUP($A578,物料档案!$A$4:$P$1203,3,0),""))</f>
        <v/>
      </c>
      <c r="C578" s="24">
        <f>IF($A578="","",IFERROR(VLOOKUP($A578,物料档案!$A$4:$P$1203,4,0),""))</f>
        <v/>
      </c>
      <c r="D578" s="24">
        <f>IF($A578="","",IFERROR(VLOOKUP($A578,物料档案!$A$4:$P$1203,5,0),""))</f>
        <v/>
      </c>
      <c r="E578" s="24">
        <f>IF($A578="","",IFERROR(VLOOKUP($A578,物料档案!$A$4:$P$1203,2,0),""))</f>
        <v/>
      </c>
      <c r="F578" s="24">
        <f>IF($A578="","",IFERROR(VLOOKUP($A578,物料档案!$A$4:$P$1203,6,0),""))</f>
        <v/>
      </c>
      <c r="G578" s="23" t="n"/>
      <c r="H578" s="32" t="n"/>
      <c r="I578" s="27">
        <f>IF($A578="","",SUMIFS(入库单!$K$4:$K$2503,入库单!$G$4:$G$2503,$A578,入库单!$X$4:$X$2503,"采购入库",入库单!$Z$4:$Z$2503,"正常",入库单!$C$4:$C$2503,"&gt;="&amp;账期起,入库单!$C$4:$C$2503,"&lt;="&amp;账期止))</f>
        <v/>
      </c>
      <c r="J578" s="26">
        <f>IF($A578="","",SUMIFS(入库单!$V$4:$V$2503,入库单!$G$4:$G$2503,$A578,入库单!$X$4:$X$2503,"采购入库",入库单!$Z$4:$Z$2503,"正常",入库单!$C$4:$C$2503,"&gt;="&amp;账期起,入库单!$C$4:$C$2503,"&lt;="&amp;账期止))</f>
        <v/>
      </c>
      <c r="K578" s="26">
        <f>IF($A578="","",IFERROR(ROUND((N($H578)+N($J578))/(N($G578)+N($I578)),2),0))</f>
        <v/>
      </c>
      <c r="L578" s="27">
        <f>IF($A578="","",SUMIFS(入库单!$K$4:$K$2503,入库单!$G$4:$G$2503,$A578,入库单!$X$4:$X$2503,"盘盈",入库单!$Z$4:$Z$2503,"正常",入库单!$C$4:$C$2503,"&gt;="&amp;账期起,入库单!$C$4:$C$2503,"&lt;="&amp;账期止))</f>
        <v/>
      </c>
      <c r="M578" s="26">
        <f>IF($A578="","",ROUND($L578*$K578,0))</f>
        <v/>
      </c>
      <c r="N578" s="27">
        <f>IF($A578="","",SUMIFS(入库单!$K$4:$K$2503,入库单!$G$4:$G$2503,$A578,入库单!$X$4:$X$2503,"矿区退库",入库单!$Z$4:$Z$2503,"正常",入库单!$C$4:$C$2503,"&gt;="&amp;账期起,入库单!$C$4:$C$2503,"&lt;="&amp;账期止))</f>
        <v/>
      </c>
      <c r="O578" s="26">
        <f>IF($A578="","",ROUND($N578*$K578,0))</f>
        <v/>
      </c>
      <c r="P578" s="27">
        <f>IF($A578="","",SUMIFS(出库单!$J$4:$J$4003,出库单!$D$4:$D$4003,$A578,出库单!$K$4:$K$4003,"自用消耗",出库单!$U$4:$U$4003,"正常",出库单!$C$4:$C$4003,"&gt;="&amp;账期起,出库单!$C$4:$C$4003,"&lt;="&amp;账期止))</f>
        <v/>
      </c>
      <c r="Q578" s="26">
        <f>IF($A578="","",ROUND(SUMIFS(出库单!$S$4:$S$4003,出库单!$D$4:$D$4003,$A578,出库单!$K$4:$K$4003,"自用消耗",出库单!$U$4:$U$4003,"正常",出库单!$C$4:$C$4003,"&gt;="&amp;账期起,出库单!$C$4:$C$4003,"&lt;="&amp;账期止),0))</f>
        <v/>
      </c>
      <c r="R578" s="27">
        <f>IF($A578="","",SUMIFS(出库单!$J$4:$J$4003,出库单!$D$4:$D$4003,$A578,出库单!$K$4:$K$4003,"对外销售",出库单!$U$4:$U$4003,"正常",出库单!$C$4:$C$4003,"&gt;="&amp;账期起,出库单!$C$4:$C$4003,"&lt;="&amp;账期止))</f>
        <v/>
      </c>
      <c r="S578" s="26">
        <f>IF($A578="","",ROUND(SUMIFS(出库单!$S$4:$S$4003,出库单!$D$4:$D$4003,$A578,出库单!$K$4:$K$4003,"对外销售",出库单!$U$4:$U$4003,"正常",出库单!$C$4:$C$4003,"&gt;="&amp;账期起,出库单!$C$4:$C$4003,"&lt;="&amp;账期止),0))</f>
        <v/>
      </c>
      <c r="T578" s="27">
        <f>IF($A578="","",SUMIFS(出库单!$J$4:$J$4003,出库单!$D$4:$D$4003,$A578,出库单!$K$4:$K$4003,"盘亏",出库单!$U$4:$U$4003,"正常",出库单!$C$4:$C$4003,"&gt;="&amp;账期起,出库单!$C$4:$C$4003,"&lt;="&amp;账期止))</f>
        <v/>
      </c>
      <c r="U578" s="26">
        <f>IF($A578="","",ROUND(SUMIFS(出库单!$S$4:$S$4003,出库单!$D$4:$D$4003,$A578,出库单!$K$4:$K$4003,"盘亏",出库单!$U$4:$U$4003,"正常",出库单!$C$4:$C$4003,"&gt;="&amp;账期起,出库单!$C$4:$C$4003,"&lt;="&amp;账期止),0))</f>
        <v/>
      </c>
      <c r="V578" s="27">
        <f>IF($A578="","",SUMIFS(出库单!$J$4:$J$4003,出库单!$D$4:$D$4003,$A578,出库单!$K$4:$K$4003,"退货给供应商",出库单!$U$4:$U$4003,"正常",出库单!$C$4:$C$4003,"&gt;="&amp;账期起,出库单!$C$4:$C$4003,"&lt;="&amp;账期止))</f>
        <v/>
      </c>
      <c r="W578" s="26">
        <f>IF($A578="","",ROUND(SUMIFS(出库单!$S$4:$S$4003,出库单!$D$4:$D$4003,$A578,出库单!$K$4:$K$4003,"退货给供应商",出库单!$U$4:$U$4003,"正常",出库单!$C$4:$C$4003,"&gt;="&amp;账期起,出库单!$C$4:$C$4003,"&lt;="&amp;账期止),0))</f>
        <v/>
      </c>
      <c r="X578" s="27">
        <f>IF($A578="","",ROUND(N($G578)+$I578+$L578+$N578-$P578-$R578-$T578-$V578,3))</f>
        <v/>
      </c>
      <c r="Y578" s="26">
        <f>IF($A578="","",ROUND(N($H578)+$J578+$M578+$O578-$Q578-$S578-$U578-$W578,0))</f>
        <v/>
      </c>
      <c r="Z578" s="24">
        <f>IF($A578="","",IF(COUNTIFS(入库单!$G$4:$G$2503,$A578,入库单!$Y$4:$Y$2503,"待补价")+COUNTIFS(入库单!$G$4:$G$2503,$A578,入库单!$Y$4:$Y$2503,"暂估")&gt;0,"不可信","可信"))</f>
        <v/>
      </c>
      <c r="AA578" s="24">
        <f>IF($A578="","",IF($X578&lt;-0.001,"※账面负库存，查一下是不是漏记入库",IF(AND(ROUND($X578,3)=0,ABS($Y578)&gt;1),"※数量已经是 0，金额还挂着 "&amp;TEXT($Y578,"#,##0")&amp;" 先令",IF(AND($X578&gt;0,$Y578&lt;=0,$K578=0),"※有数量没金额（这个物料一直没填过进价）",IF($Z578="不可信","△成本含待补价/暂估，毛利仅供参考","")))))</f>
        <v/>
      </c>
    </row>
    <row r="579">
      <c r="A579" s="24">
        <f>IF(物料档案!$A578="","",物料档案!$A578)</f>
        <v/>
      </c>
      <c r="B579" s="24">
        <f>IF($A579="","",IFERROR(VLOOKUP($A579,物料档案!$A$4:$P$1203,3,0),""))</f>
        <v/>
      </c>
      <c r="C579" s="24">
        <f>IF($A579="","",IFERROR(VLOOKUP($A579,物料档案!$A$4:$P$1203,4,0),""))</f>
        <v/>
      </c>
      <c r="D579" s="24">
        <f>IF($A579="","",IFERROR(VLOOKUP($A579,物料档案!$A$4:$P$1203,5,0),""))</f>
        <v/>
      </c>
      <c r="E579" s="24">
        <f>IF($A579="","",IFERROR(VLOOKUP($A579,物料档案!$A$4:$P$1203,2,0),""))</f>
        <v/>
      </c>
      <c r="F579" s="24">
        <f>IF($A579="","",IFERROR(VLOOKUP($A579,物料档案!$A$4:$P$1203,6,0),""))</f>
        <v/>
      </c>
      <c r="G579" s="23" t="n"/>
      <c r="H579" s="32" t="n"/>
      <c r="I579" s="27">
        <f>IF($A579="","",SUMIFS(入库单!$K$4:$K$2503,入库单!$G$4:$G$2503,$A579,入库单!$X$4:$X$2503,"采购入库",入库单!$Z$4:$Z$2503,"正常",入库单!$C$4:$C$2503,"&gt;="&amp;账期起,入库单!$C$4:$C$2503,"&lt;="&amp;账期止))</f>
        <v/>
      </c>
      <c r="J579" s="26">
        <f>IF($A579="","",SUMIFS(入库单!$V$4:$V$2503,入库单!$G$4:$G$2503,$A579,入库单!$X$4:$X$2503,"采购入库",入库单!$Z$4:$Z$2503,"正常",入库单!$C$4:$C$2503,"&gt;="&amp;账期起,入库单!$C$4:$C$2503,"&lt;="&amp;账期止))</f>
        <v/>
      </c>
      <c r="K579" s="26">
        <f>IF($A579="","",IFERROR(ROUND((N($H579)+N($J579))/(N($G579)+N($I579)),2),0))</f>
        <v/>
      </c>
      <c r="L579" s="27">
        <f>IF($A579="","",SUMIFS(入库单!$K$4:$K$2503,入库单!$G$4:$G$2503,$A579,入库单!$X$4:$X$2503,"盘盈",入库单!$Z$4:$Z$2503,"正常",入库单!$C$4:$C$2503,"&gt;="&amp;账期起,入库单!$C$4:$C$2503,"&lt;="&amp;账期止))</f>
        <v/>
      </c>
      <c r="M579" s="26">
        <f>IF($A579="","",ROUND($L579*$K579,0))</f>
        <v/>
      </c>
      <c r="N579" s="27">
        <f>IF($A579="","",SUMIFS(入库单!$K$4:$K$2503,入库单!$G$4:$G$2503,$A579,入库单!$X$4:$X$2503,"矿区退库",入库单!$Z$4:$Z$2503,"正常",入库单!$C$4:$C$2503,"&gt;="&amp;账期起,入库单!$C$4:$C$2503,"&lt;="&amp;账期止))</f>
        <v/>
      </c>
      <c r="O579" s="26">
        <f>IF($A579="","",ROUND($N579*$K579,0))</f>
        <v/>
      </c>
      <c r="P579" s="27">
        <f>IF($A579="","",SUMIFS(出库单!$J$4:$J$4003,出库单!$D$4:$D$4003,$A579,出库单!$K$4:$K$4003,"自用消耗",出库单!$U$4:$U$4003,"正常",出库单!$C$4:$C$4003,"&gt;="&amp;账期起,出库单!$C$4:$C$4003,"&lt;="&amp;账期止))</f>
        <v/>
      </c>
      <c r="Q579" s="26">
        <f>IF($A579="","",ROUND(SUMIFS(出库单!$S$4:$S$4003,出库单!$D$4:$D$4003,$A579,出库单!$K$4:$K$4003,"自用消耗",出库单!$U$4:$U$4003,"正常",出库单!$C$4:$C$4003,"&gt;="&amp;账期起,出库单!$C$4:$C$4003,"&lt;="&amp;账期止),0))</f>
        <v/>
      </c>
      <c r="R579" s="27">
        <f>IF($A579="","",SUMIFS(出库单!$J$4:$J$4003,出库单!$D$4:$D$4003,$A579,出库单!$K$4:$K$4003,"对外销售",出库单!$U$4:$U$4003,"正常",出库单!$C$4:$C$4003,"&gt;="&amp;账期起,出库单!$C$4:$C$4003,"&lt;="&amp;账期止))</f>
        <v/>
      </c>
      <c r="S579" s="26">
        <f>IF($A579="","",ROUND(SUMIFS(出库单!$S$4:$S$4003,出库单!$D$4:$D$4003,$A579,出库单!$K$4:$K$4003,"对外销售",出库单!$U$4:$U$4003,"正常",出库单!$C$4:$C$4003,"&gt;="&amp;账期起,出库单!$C$4:$C$4003,"&lt;="&amp;账期止),0))</f>
        <v/>
      </c>
      <c r="T579" s="27">
        <f>IF($A579="","",SUMIFS(出库单!$J$4:$J$4003,出库单!$D$4:$D$4003,$A579,出库单!$K$4:$K$4003,"盘亏",出库单!$U$4:$U$4003,"正常",出库单!$C$4:$C$4003,"&gt;="&amp;账期起,出库单!$C$4:$C$4003,"&lt;="&amp;账期止))</f>
        <v/>
      </c>
      <c r="U579" s="26">
        <f>IF($A579="","",ROUND(SUMIFS(出库单!$S$4:$S$4003,出库单!$D$4:$D$4003,$A579,出库单!$K$4:$K$4003,"盘亏",出库单!$U$4:$U$4003,"正常",出库单!$C$4:$C$4003,"&gt;="&amp;账期起,出库单!$C$4:$C$4003,"&lt;="&amp;账期止),0))</f>
        <v/>
      </c>
      <c r="V579" s="27">
        <f>IF($A579="","",SUMIFS(出库单!$J$4:$J$4003,出库单!$D$4:$D$4003,$A579,出库单!$K$4:$K$4003,"退货给供应商",出库单!$U$4:$U$4003,"正常",出库单!$C$4:$C$4003,"&gt;="&amp;账期起,出库单!$C$4:$C$4003,"&lt;="&amp;账期止))</f>
        <v/>
      </c>
      <c r="W579" s="26">
        <f>IF($A579="","",ROUND(SUMIFS(出库单!$S$4:$S$4003,出库单!$D$4:$D$4003,$A579,出库单!$K$4:$K$4003,"退货给供应商",出库单!$U$4:$U$4003,"正常",出库单!$C$4:$C$4003,"&gt;="&amp;账期起,出库单!$C$4:$C$4003,"&lt;="&amp;账期止),0))</f>
        <v/>
      </c>
      <c r="X579" s="27">
        <f>IF($A579="","",ROUND(N($G579)+$I579+$L579+$N579-$P579-$R579-$T579-$V579,3))</f>
        <v/>
      </c>
      <c r="Y579" s="26">
        <f>IF($A579="","",ROUND(N($H579)+$J579+$M579+$O579-$Q579-$S579-$U579-$W579,0))</f>
        <v/>
      </c>
      <c r="Z579" s="24">
        <f>IF($A579="","",IF(COUNTIFS(入库单!$G$4:$G$2503,$A579,入库单!$Y$4:$Y$2503,"待补价")+COUNTIFS(入库单!$G$4:$G$2503,$A579,入库单!$Y$4:$Y$2503,"暂估")&gt;0,"不可信","可信"))</f>
        <v/>
      </c>
      <c r="AA579" s="24">
        <f>IF($A579="","",IF($X579&lt;-0.001,"※账面负库存，查一下是不是漏记入库",IF(AND(ROUND($X579,3)=0,ABS($Y579)&gt;1),"※数量已经是 0，金额还挂着 "&amp;TEXT($Y579,"#,##0")&amp;" 先令",IF(AND($X579&gt;0,$Y579&lt;=0,$K579=0),"※有数量没金额（这个物料一直没填过进价）",IF($Z579="不可信","△成本含待补价/暂估，毛利仅供参考","")))))</f>
        <v/>
      </c>
    </row>
    <row r="580">
      <c r="A580" s="24">
        <f>IF(物料档案!$A579="","",物料档案!$A579)</f>
        <v/>
      </c>
      <c r="B580" s="24">
        <f>IF($A580="","",IFERROR(VLOOKUP($A580,物料档案!$A$4:$P$1203,3,0),""))</f>
        <v/>
      </c>
      <c r="C580" s="24">
        <f>IF($A580="","",IFERROR(VLOOKUP($A580,物料档案!$A$4:$P$1203,4,0),""))</f>
        <v/>
      </c>
      <c r="D580" s="24">
        <f>IF($A580="","",IFERROR(VLOOKUP($A580,物料档案!$A$4:$P$1203,5,0),""))</f>
        <v/>
      </c>
      <c r="E580" s="24">
        <f>IF($A580="","",IFERROR(VLOOKUP($A580,物料档案!$A$4:$P$1203,2,0),""))</f>
        <v/>
      </c>
      <c r="F580" s="24">
        <f>IF($A580="","",IFERROR(VLOOKUP($A580,物料档案!$A$4:$P$1203,6,0),""))</f>
        <v/>
      </c>
      <c r="G580" s="23" t="n"/>
      <c r="H580" s="32" t="n"/>
      <c r="I580" s="27">
        <f>IF($A580="","",SUMIFS(入库单!$K$4:$K$2503,入库单!$G$4:$G$2503,$A580,入库单!$X$4:$X$2503,"采购入库",入库单!$Z$4:$Z$2503,"正常",入库单!$C$4:$C$2503,"&gt;="&amp;账期起,入库单!$C$4:$C$2503,"&lt;="&amp;账期止))</f>
        <v/>
      </c>
      <c r="J580" s="26">
        <f>IF($A580="","",SUMIFS(入库单!$V$4:$V$2503,入库单!$G$4:$G$2503,$A580,入库单!$X$4:$X$2503,"采购入库",入库单!$Z$4:$Z$2503,"正常",入库单!$C$4:$C$2503,"&gt;="&amp;账期起,入库单!$C$4:$C$2503,"&lt;="&amp;账期止))</f>
        <v/>
      </c>
      <c r="K580" s="26">
        <f>IF($A580="","",IFERROR(ROUND((N($H580)+N($J580))/(N($G580)+N($I580)),2),0))</f>
        <v/>
      </c>
      <c r="L580" s="27">
        <f>IF($A580="","",SUMIFS(入库单!$K$4:$K$2503,入库单!$G$4:$G$2503,$A580,入库单!$X$4:$X$2503,"盘盈",入库单!$Z$4:$Z$2503,"正常",入库单!$C$4:$C$2503,"&gt;="&amp;账期起,入库单!$C$4:$C$2503,"&lt;="&amp;账期止))</f>
        <v/>
      </c>
      <c r="M580" s="26">
        <f>IF($A580="","",ROUND($L580*$K580,0))</f>
        <v/>
      </c>
      <c r="N580" s="27">
        <f>IF($A580="","",SUMIFS(入库单!$K$4:$K$2503,入库单!$G$4:$G$2503,$A580,入库单!$X$4:$X$2503,"矿区退库",入库单!$Z$4:$Z$2503,"正常",入库单!$C$4:$C$2503,"&gt;="&amp;账期起,入库单!$C$4:$C$2503,"&lt;="&amp;账期止))</f>
        <v/>
      </c>
      <c r="O580" s="26">
        <f>IF($A580="","",ROUND($N580*$K580,0))</f>
        <v/>
      </c>
      <c r="P580" s="27">
        <f>IF($A580="","",SUMIFS(出库单!$J$4:$J$4003,出库单!$D$4:$D$4003,$A580,出库单!$K$4:$K$4003,"自用消耗",出库单!$U$4:$U$4003,"正常",出库单!$C$4:$C$4003,"&gt;="&amp;账期起,出库单!$C$4:$C$4003,"&lt;="&amp;账期止))</f>
        <v/>
      </c>
      <c r="Q580" s="26">
        <f>IF($A580="","",ROUND(SUMIFS(出库单!$S$4:$S$4003,出库单!$D$4:$D$4003,$A580,出库单!$K$4:$K$4003,"自用消耗",出库单!$U$4:$U$4003,"正常",出库单!$C$4:$C$4003,"&gt;="&amp;账期起,出库单!$C$4:$C$4003,"&lt;="&amp;账期止),0))</f>
        <v/>
      </c>
      <c r="R580" s="27">
        <f>IF($A580="","",SUMIFS(出库单!$J$4:$J$4003,出库单!$D$4:$D$4003,$A580,出库单!$K$4:$K$4003,"对外销售",出库单!$U$4:$U$4003,"正常",出库单!$C$4:$C$4003,"&gt;="&amp;账期起,出库单!$C$4:$C$4003,"&lt;="&amp;账期止))</f>
        <v/>
      </c>
      <c r="S580" s="26">
        <f>IF($A580="","",ROUND(SUMIFS(出库单!$S$4:$S$4003,出库单!$D$4:$D$4003,$A580,出库单!$K$4:$K$4003,"对外销售",出库单!$U$4:$U$4003,"正常",出库单!$C$4:$C$4003,"&gt;="&amp;账期起,出库单!$C$4:$C$4003,"&lt;="&amp;账期止),0))</f>
        <v/>
      </c>
      <c r="T580" s="27">
        <f>IF($A580="","",SUMIFS(出库单!$J$4:$J$4003,出库单!$D$4:$D$4003,$A580,出库单!$K$4:$K$4003,"盘亏",出库单!$U$4:$U$4003,"正常",出库单!$C$4:$C$4003,"&gt;="&amp;账期起,出库单!$C$4:$C$4003,"&lt;="&amp;账期止))</f>
        <v/>
      </c>
      <c r="U580" s="26">
        <f>IF($A580="","",ROUND(SUMIFS(出库单!$S$4:$S$4003,出库单!$D$4:$D$4003,$A580,出库单!$K$4:$K$4003,"盘亏",出库单!$U$4:$U$4003,"正常",出库单!$C$4:$C$4003,"&gt;="&amp;账期起,出库单!$C$4:$C$4003,"&lt;="&amp;账期止),0))</f>
        <v/>
      </c>
      <c r="V580" s="27">
        <f>IF($A580="","",SUMIFS(出库单!$J$4:$J$4003,出库单!$D$4:$D$4003,$A580,出库单!$K$4:$K$4003,"退货给供应商",出库单!$U$4:$U$4003,"正常",出库单!$C$4:$C$4003,"&gt;="&amp;账期起,出库单!$C$4:$C$4003,"&lt;="&amp;账期止))</f>
        <v/>
      </c>
      <c r="W580" s="26">
        <f>IF($A580="","",ROUND(SUMIFS(出库单!$S$4:$S$4003,出库单!$D$4:$D$4003,$A580,出库单!$K$4:$K$4003,"退货给供应商",出库单!$U$4:$U$4003,"正常",出库单!$C$4:$C$4003,"&gt;="&amp;账期起,出库单!$C$4:$C$4003,"&lt;="&amp;账期止),0))</f>
        <v/>
      </c>
      <c r="X580" s="27">
        <f>IF($A580="","",ROUND(N($G580)+$I580+$L580+$N580-$P580-$R580-$T580-$V580,3))</f>
        <v/>
      </c>
      <c r="Y580" s="26">
        <f>IF($A580="","",ROUND(N($H580)+$J580+$M580+$O580-$Q580-$S580-$U580-$W580,0))</f>
        <v/>
      </c>
      <c r="Z580" s="24">
        <f>IF($A580="","",IF(COUNTIFS(入库单!$G$4:$G$2503,$A580,入库单!$Y$4:$Y$2503,"待补价")+COUNTIFS(入库单!$G$4:$G$2503,$A580,入库单!$Y$4:$Y$2503,"暂估")&gt;0,"不可信","可信"))</f>
        <v/>
      </c>
      <c r="AA580" s="24">
        <f>IF($A580="","",IF($X580&lt;-0.001,"※账面负库存，查一下是不是漏记入库",IF(AND(ROUND($X580,3)=0,ABS($Y580)&gt;1),"※数量已经是 0，金额还挂着 "&amp;TEXT($Y580,"#,##0")&amp;" 先令",IF(AND($X580&gt;0,$Y580&lt;=0,$K580=0),"※有数量没金额（这个物料一直没填过进价）",IF($Z580="不可信","△成本含待补价/暂估，毛利仅供参考","")))))</f>
        <v/>
      </c>
    </row>
    <row r="581">
      <c r="A581" s="24">
        <f>IF(物料档案!$A580="","",物料档案!$A580)</f>
        <v/>
      </c>
      <c r="B581" s="24">
        <f>IF($A581="","",IFERROR(VLOOKUP($A581,物料档案!$A$4:$P$1203,3,0),""))</f>
        <v/>
      </c>
      <c r="C581" s="24">
        <f>IF($A581="","",IFERROR(VLOOKUP($A581,物料档案!$A$4:$P$1203,4,0),""))</f>
        <v/>
      </c>
      <c r="D581" s="24">
        <f>IF($A581="","",IFERROR(VLOOKUP($A581,物料档案!$A$4:$P$1203,5,0),""))</f>
        <v/>
      </c>
      <c r="E581" s="24">
        <f>IF($A581="","",IFERROR(VLOOKUP($A581,物料档案!$A$4:$P$1203,2,0),""))</f>
        <v/>
      </c>
      <c r="F581" s="24">
        <f>IF($A581="","",IFERROR(VLOOKUP($A581,物料档案!$A$4:$P$1203,6,0),""))</f>
        <v/>
      </c>
      <c r="G581" s="23" t="n"/>
      <c r="H581" s="32" t="n"/>
      <c r="I581" s="27">
        <f>IF($A581="","",SUMIFS(入库单!$K$4:$K$2503,入库单!$G$4:$G$2503,$A581,入库单!$X$4:$X$2503,"采购入库",入库单!$Z$4:$Z$2503,"正常",入库单!$C$4:$C$2503,"&gt;="&amp;账期起,入库单!$C$4:$C$2503,"&lt;="&amp;账期止))</f>
        <v/>
      </c>
      <c r="J581" s="26">
        <f>IF($A581="","",SUMIFS(入库单!$V$4:$V$2503,入库单!$G$4:$G$2503,$A581,入库单!$X$4:$X$2503,"采购入库",入库单!$Z$4:$Z$2503,"正常",入库单!$C$4:$C$2503,"&gt;="&amp;账期起,入库单!$C$4:$C$2503,"&lt;="&amp;账期止))</f>
        <v/>
      </c>
      <c r="K581" s="26">
        <f>IF($A581="","",IFERROR(ROUND((N($H581)+N($J581))/(N($G581)+N($I581)),2),0))</f>
        <v/>
      </c>
      <c r="L581" s="27">
        <f>IF($A581="","",SUMIFS(入库单!$K$4:$K$2503,入库单!$G$4:$G$2503,$A581,入库单!$X$4:$X$2503,"盘盈",入库单!$Z$4:$Z$2503,"正常",入库单!$C$4:$C$2503,"&gt;="&amp;账期起,入库单!$C$4:$C$2503,"&lt;="&amp;账期止))</f>
        <v/>
      </c>
      <c r="M581" s="26">
        <f>IF($A581="","",ROUND($L581*$K581,0))</f>
        <v/>
      </c>
      <c r="N581" s="27">
        <f>IF($A581="","",SUMIFS(入库单!$K$4:$K$2503,入库单!$G$4:$G$2503,$A581,入库单!$X$4:$X$2503,"矿区退库",入库单!$Z$4:$Z$2503,"正常",入库单!$C$4:$C$2503,"&gt;="&amp;账期起,入库单!$C$4:$C$2503,"&lt;="&amp;账期止))</f>
        <v/>
      </c>
      <c r="O581" s="26">
        <f>IF($A581="","",ROUND($N581*$K581,0))</f>
        <v/>
      </c>
      <c r="P581" s="27">
        <f>IF($A581="","",SUMIFS(出库单!$J$4:$J$4003,出库单!$D$4:$D$4003,$A581,出库单!$K$4:$K$4003,"自用消耗",出库单!$U$4:$U$4003,"正常",出库单!$C$4:$C$4003,"&gt;="&amp;账期起,出库单!$C$4:$C$4003,"&lt;="&amp;账期止))</f>
        <v/>
      </c>
      <c r="Q581" s="26">
        <f>IF($A581="","",ROUND(SUMIFS(出库单!$S$4:$S$4003,出库单!$D$4:$D$4003,$A581,出库单!$K$4:$K$4003,"自用消耗",出库单!$U$4:$U$4003,"正常",出库单!$C$4:$C$4003,"&gt;="&amp;账期起,出库单!$C$4:$C$4003,"&lt;="&amp;账期止),0))</f>
        <v/>
      </c>
      <c r="R581" s="27">
        <f>IF($A581="","",SUMIFS(出库单!$J$4:$J$4003,出库单!$D$4:$D$4003,$A581,出库单!$K$4:$K$4003,"对外销售",出库单!$U$4:$U$4003,"正常",出库单!$C$4:$C$4003,"&gt;="&amp;账期起,出库单!$C$4:$C$4003,"&lt;="&amp;账期止))</f>
        <v/>
      </c>
      <c r="S581" s="26">
        <f>IF($A581="","",ROUND(SUMIFS(出库单!$S$4:$S$4003,出库单!$D$4:$D$4003,$A581,出库单!$K$4:$K$4003,"对外销售",出库单!$U$4:$U$4003,"正常",出库单!$C$4:$C$4003,"&gt;="&amp;账期起,出库单!$C$4:$C$4003,"&lt;="&amp;账期止),0))</f>
        <v/>
      </c>
      <c r="T581" s="27">
        <f>IF($A581="","",SUMIFS(出库单!$J$4:$J$4003,出库单!$D$4:$D$4003,$A581,出库单!$K$4:$K$4003,"盘亏",出库单!$U$4:$U$4003,"正常",出库单!$C$4:$C$4003,"&gt;="&amp;账期起,出库单!$C$4:$C$4003,"&lt;="&amp;账期止))</f>
        <v/>
      </c>
      <c r="U581" s="26">
        <f>IF($A581="","",ROUND(SUMIFS(出库单!$S$4:$S$4003,出库单!$D$4:$D$4003,$A581,出库单!$K$4:$K$4003,"盘亏",出库单!$U$4:$U$4003,"正常",出库单!$C$4:$C$4003,"&gt;="&amp;账期起,出库单!$C$4:$C$4003,"&lt;="&amp;账期止),0))</f>
        <v/>
      </c>
      <c r="V581" s="27">
        <f>IF($A581="","",SUMIFS(出库单!$J$4:$J$4003,出库单!$D$4:$D$4003,$A581,出库单!$K$4:$K$4003,"退货给供应商",出库单!$U$4:$U$4003,"正常",出库单!$C$4:$C$4003,"&gt;="&amp;账期起,出库单!$C$4:$C$4003,"&lt;="&amp;账期止))</f>
        <v/>
      </c>
      <c r="W581" s="26">
        <f>IF($A581="","",ROUND(SUMIFS(出库单!$S$4:$S$4003,出库单!$D$4:$D$4003,$A581,出库单!$K$4:$K$4003,"退货给供应商",出库单!$U$4:$U$4003,"正常",出库单!$C$4:$C$4003,"&gt;="&amp;账期起,出库单!$C$4:$C$4003,"&lt;="&amp;账期止),0))</f>
        <v/>
      </c>
      <c r="X581" s="27">
        <f>IF($A581="","",ROUND(N($G581)+$I581+$L581+$N581-$P581-$R581-$T581-$V581,3))</f>
        <v/>
      </c>
      <c r="Y581" s="26">
        <f>IF($A581="","",ROUND(N($H581)+$J581+$M581+$O581-$Q581-$S581-$U581-$W581,0))</f>
        <v/>
      </c>
      <c r="Z581" s="24">
        <f>IF($A581="","",IF(COUNTIFS(入库单!$G$4:$G$2503,$A581,入库单!$Y$4:$Y$2503,"待补价")+COUNTIFS(入库单!$G$4:$G$2503,$A581,入库单!$Y$4:$Y$2503,"暂估")&gt;0,"不可信","可信"))</f>
        <v/>
      </c>
      <c r="AA581" s="24">
        <f>IF($A581="","",IF($X581&lt;-0.001,"※账面负库存，查一下是不是漏记入库",IF(AND(ROUND($X581,3)=0,ABS($Y581)&gt;1),"※数量已经是 0，金额还挂着 "&amp;TEXT($Y581,"#,##0")&amp;" 先令",IF(AND($X581&gt;0,$Y581&lt;=0,$K581=0),"※有数量没金额（这个物料一直没填过进价）",IF($Z581="不可信","△成本含待补价/暂估，毛利仅供参考","")))))</f>
        <v/>
      </c>
    </row>
    <row r="582">
      <c r="A582" s="24">
        <f>IF(物料档案!$A581="","",物料档案!$A581)</f>
        <v/>
      </c>
      <c r="B582" s="24">
        <f>IF($A582="","",IFERROR(VLOOKUP($A582,物料档案!$A$4:$P$1203,3,0),""))</f>
        <v/>
      </c>
      <c r="C582" s="24">
        <f>IF($A582="","",IFERROR(VLOOKUP($A582,物料档案!$A$4:$P$1203,4,0),""))</f>
        <v/>
      </c>
      <c r="D582" s="24">
        <f>IF($A582="","",IFERROR(VLOOKUP($A582,物料档案!$A$4:$P$1203,5,0),""))</f>
        <v/>
      </c>
      <c r="E582" s="24">
        <f>IF($A582="","",IFERROR(VLOOKUP($A582,物料档案!$A$4:$P$1203,2,0),""))</f>
        <v/>
      </c>
      <c r="F582" s="24">
        <f>IF($A582="","",IFERROR(VLOOKUP($A582,物料档案!$A$4:$P$1203,6,0),""))</f>
        <v/>
      </c>
      <c r="G582" s="23" t="n"/>
      <c r="H582" s="32" t="n"/>
      <c r="I582" s="27">
        <f>IF($A582="","",SUMIFS(入库单!$K$4:$K$2503,入库单!$G$4:$G$2503,$A582,入库单!$X$4:$X$2503,"采购入库",入库单!$Z$4:$Z$2503,"正常",入库单!$C$4:$C$2503,"&gt;="&amp;账期起,入库单!$C$4:$C$2503,"&lt;="&amp;账期止))</f>
        <v/>
      </c>
      <c r="J582" s="26">
        <f>IF($A582="","",SUMIFS(入库单!$V$4:$V$2503,入库单!$G$4:$G$2503,$A582,入库单!$X$4:$X$2503,"采购入库",入库单!$Z$4:$Z$2503,"正常",入库单!$C$4:$C$2503,"&gt;="&amp;账期起,入库单!$C$4:$C$2503,"&lt;="&amp;账期止))</f>
        <v/>
      </c>
      <c r="K582" s="26">
        <f>IF($A582="","",IFERROR(ROUND((N($H582)+N($J582))/(N($G582)+N($I582)),2),0))</f>
        <v/>
      </c>
      <c r="L582" s="27">
        <f>IF($A582="","",SUMIFS(入库单!$K$4:$K$2503,入库单!$G$4:$G$2503,$A582,入库单!$X$4:$X$2503,"盘盈",入库单!$Z$4:$Z$2503,"正常",入库单!$C$4:$C$2503,"&gt;="&amp;账期起,入库单!$C$4:$C$2503,"&lt;="&amp;账期止))</f>
        <v/>
      </c>
      <c r="M582" s="26">
        <f>IF($A582="","",ROUND($L582*$K582,0))</f>
        <v/>
      </c>
      <c r="N582" s="27">
        <f>IF($A582="","",SUMIFS(入库单!$K$4:$K$2503,入库单!$G$4:$G$2503,$A582,入库单!$X$4:$X$2503,"矿区退库",入库单!$Z$4:$Z$2503,"正常",入库单!$C$4:$C$2503,"&gt;="&amp;账期起,入库单!$C$4:$C$2503,"&lt;="&amp;账期止))</f>
        <v/>
      </c>
      <c r="O582" s="26">
        <f>IF($A582="","",ROUND($N582*$K582,0))</f>
        <v/>
      </c>
      <c r="P582" s="27">
        <f>IF($A582="","",SUMIFS(出库单!$J$4:$J$4003,出库单!$D$4:$D$4003,$A582,出库单!$K$4:$K$4003,"自用消耗",出库单!$U$4:$U$4003,"正常",出库单!$C$4:$C$4003,"&gt;="&amp;账期起,出库单!$C$4:$C$4003,"&lt;="&amp;账期止))</f>
        <v/>
      </c>
      <c r="Q582" s="26">
        <f>IF($A582="","",ROUND(SUMIFS(出库单!$S$4:$S$4003,出库单!$D$4:$D$4003,$A582,出库单!$K$4:$K$4003,"自用消耗",出库单!$U$4:$U$4003,"正常",出库单!$C$4:$C$4003,"&gt;="&amp;账期起,出库单!$C$4:$C$4003,"&lt;="&amp;账期止),0))</f>
        <v/>
      </c>
      <c r="R582" s="27">
        <f>IF($A582="","",SUMIFS(出库单!$J$4:$J$4003,出库单!$D$4:$D$4003,$A582,出库单!$K$4:$K$4003,"对外销售",出库单!$U$4:$U$4003,"正常",出库单!$C$4:$C$4003,"&gt;="&amp;账期起,出库单!$C$4:$C$4003,"&lt;="&amp;账期止))</f>
        <v/>
      </c>
      <c r="S582" s="26">
        <f>IF($A582="","",ROUND(SUMIFS(出库单!$S$4:$S$4003,出库单!$D$4:$D$4003,$A582,出库单!$K$4:$K$4003,"对外销售",出库单!$U$4:$U$4003,"正常",出库单!$C$4:$C$4003,"&gt;="&amp;账期起,出库单!$C$4:$C$4003,"&lt;="&amp;账期止),0))</f>
        <v/>
      </c>
      <c r="T582" s="27">
        <f>IF($A582="","",SUMIFS(出库单!$J$4:$J$4003,出库单!$D$4:$D$4003,$A582,出库单!$K$4:$K$4003,"盘亏",出库单!$U$4:$U$4003,"正常",出库单!$C$4:$C$4003,"&gt;="&amp;账期起,出库单!$C$4:$C$4003,"&lt;="&amp;账期止))</f>
        <v/>
      </c>
      <c r="U582" s="26">
        <f>IF($A582="","",ROUND(SUMIFS(出库单!$S$4:$S$4003,出库单!$D$4:$D$4003,$A582,出库单!$K$4:$K$4003,"盘亏",出库单!$U$4:$U$4003,"正常",出库单!$C$4:$C$4003,"&gt;="&amp;账期起,出库单!$C$4:$C$4003,"&lt;="&amp;账期止),0))</f>
        <v/>
      </c>
      <c r="V582" s="27">
        <f>IF($A582="","",SUMIFS(出库单!$J$4:$J$4003,出库单!$D$4:$D$4003,$A582,出库单!$K$4:$K$4003,"退货给供应商",出库单!$U$4:$U$4003,"正常",出库单!$C$4:$C$4003,"&gt;="&amp;账期起,出库单!$C$4:$C$4003,"&lt;="&amp;账期止))</f>
        <v/>
      </c>
      <c r="W582" s="26">
        <f>IF($A582="","",ROUND(SUMIFS(出库单!$S$4:$S$4003,出库单!$D$4:$D$4003,$A582,出库单!$K$4:$K$4003,"退货给供应商",出库单!$U$4:$U$4003,"正常",出库单!$C$4:$C$4003,"&gt;="&amp;账期起,出库单!$C$4:$C$4003,"&lt;="&amp;账期止),0))</f>
        <v/>
      </c>
      <c r="X582" s="27">
        <f>IF($A582="","",ROUND(N($G582)+$I582+$L582+$N582-$P582-$R582-$T582-$V582,3))</f>
        <v/>
      </c>
      <c r="Y582" s="26">
        <f>IF($A582="","",ROUND(N($H582)+$J582+$M582+$O582-$Q582-$S582-$U582-$W582,0))</f>
        <v/>
      </c>
      <c r="Z582" s="24">
        <f>IF($A582="","",IF(COUNTIFS(入库单!$G$4:$G$2503,$A582,入库单!$Y$4:$Y$2503,"待补价")+COUNTIFS(入库单!$G$4:$G$2503,$A582,入库单!$Y$4:$Y$2503,"暂估")&gt;0,"不可信","可信"))</f>
        <v/>
      </c>
      <c r="AA582" s="24">
        <f>IF($A582="","",IF($X582&lt;-0.001,"※账面负库存，查一下是不是漏记入库",IF(AND(ROUND($X582,3)=0,ABS($Y582)&gt;1),"※数量已经是 0，金额还挂着 "&amp;TEXT($Y582,"#,##0")&amp;" 先令",IF(AND($X582&gt;0,$Y582&lt;=0,$K582=0),"※有数量没金额（这个物料一直没填过进价）",IF($Z582="不可信","△成本含待补价/暂估，毛利仅供参考","")))))</f>
        <v/>
      </c>
    </row>
    <row r="583">
      <c r="A583" s="24">
        <f>IF(物料档案!$A582="","",物料档案!$A582)</f>
        <v/>
      </c>
      <c r="B583" s="24">
        <f>IF($A583="","",IFERROR(VLOOKUP($A583,物料档案!$A$4:$P$1203,3,0),""))</f>
        <v/>
      </c>
      <c r="C583" s="24">
        <f>IF($A583="","",IFERROR(VLOOKUP($A583,物料档案!$A$4:$P$1203,4,0),""))</f>
        <v/>
      </c>
      <c r="D583" s="24">
        <f>IF($A583="","",IFERROR(VLOOKUP($A583,物料档案!$A$4:$P$1203,5,0),""))</f>
        <v/>
      </c>
      <c r="E583" s="24">
        <f>IF($A583="","",IFERROR(VLOOKUP($A583,物料档案!$A$4:$P$1203,2,0),""))</f>
        <v/>
      </c>
      <c r="F583" s="24">
        <f>IF($A583="","",IFERROR(VLOOKUP($A583,物料档案!$A$4:$P$1203,6,0),""))</f>
        <v/>
      </c>
      <c r="G583" s="23" t="n"/>
      <c r="H583" s="32" t="n"/>
      <c r="I583" s="27">
        <f>IF($A583="","",SUMIFS(入库单!$K$4:$K$2503,入库单!$G$4:$G$2503,$A583,入库单!$X$4:$X$2503,"采购入库",入库单!$Z$4:$Z$2503,"正常",入库单!$C$4:$C$2503,"&gt;="&amp;账期起,入库单!$C$4:$C$2503,"&lt;="&amp;账期止))</f>
        <v/>
      </c>
      <c r="J583" s="26">
        <f>IF($A583="","",SUMIFS(入库单!$V$4:$V$2503,入库单!$G$4:$G$2503,$A583,入库单!$X$4:$X$2503,"采购入库",入库单!$Z$4:$Z$2503,"正常",入库单!$C$4:$C$2503,"&gt;="&amp;账期起,入库单!$C$4:$C$2503,"&lt;="&amp;账期止))</f>
        <v/>
      </c>
      <c r="K583" s="26">
        <f>IF($A583="","",IFERROR(ROUND((N($H583)+N($J583))/(N($G583)+N($I583)),2),0))</f>
        <v/>
      </c>
      <c r="L583" s="27">
        <f>IF($A583="","",SUMIFS(入库单!$K$4:$K$2503,入库单!$G$4:$G$2503,$A583,入库单!$X$4:$X$2503,"盘盈",入库单!$Z$4:$Z$2503,"正常",入库单!$C$4:$C$2503,"&gt;="&amp;账期起,入库单!$C$4:$C$2503,"&lt;="&amp;账期止))</f>
        <v/>
      </c>
      <c r="M583" s="26">
        <f>IF($A583="","",ROUND($L583*$K583,0))</f>
        <v/>
      </c>
      <c r="N583" s="27">
        <f>IF($A583="","",SUMIFS(入库单!$K$4:$K$2503,入库单!$G$4:$G$2503,$A583,入库单!$X$4:$X$2503,"矿区退库",入库单!$Z$4:$Z$2503,"正常",入库单!$C$4:$C$2503,"&gt;="&amp;账期起,入库单!$C$4:$C$2503,"&lt;="&amp;账期止))</f>
        <v/>
      </c>
      <c r="O583" s="26">
        <f>IF($A583="","",ROUND($N583*$K583,0))</f>
        <v/>
      </c>
      <c r="P583" s="27">
        <f>IF($A583="","",SUMIFS(出库单!$J$4:$J$4003,出库单!$D$4:$D$4003,$A583,出库单!$K$4:$K$4003,"自用消耗",出库单!$U$4:$U$4003,"正常",出库单!$C$4:$C$4003,"&gt;="&amp;账期起,出库单!$C$4:$C$4003,"&lt;="&amp;账期止))</f>
        <v/>
      </c>
      <c r="Q583" s="26">
        <f>IF($A583="","",ROUND(SUMIFS(出库单!$S$4:$S$4003,出库单!$D$4:$D$4003,$A583,出库单!$K$4:$K$4003,"自用消耗",出库单!$U$4:$U$4003,"正常",出库单!$C$4:$C$4003,"&gt;="&amp;账期起,出库单!$C$4:$C$4003,"&lt;="&amp;账期止),0))</f>
        <v/>
      </c>
      <c r="R583" s="27">
        <f>IF($A583="","",SUMIFS(出库单!$J$4:$J$4003,出库单!$D$4:$D$4003,$A583,出库单!$K$4:$K$4003,"对外销售",出库单!$U$4:$U$4003,"正常",出库单!$C$4:$C$4003,"&gt;="&amp;账期起,出库单!$C$4:$C$4003,"&lt;="&amp;账期止))</f>
        <v/>
      </c>
      <c r="S583" s="26">
        <f>IF($A583="","",ROUND(SUMIFS(出库单!$S$4:$S$4003,出库单!$D$4:$D$4003,$A583,出库单!$K$4:$K$4003,"对外销售",出库单!$U$4:$U$4003,"正常",出库单!$C$4:$C$4003,"&gt;="&amp;账期起,出库单!$C$4:$C$4003,"&lt;="&amp;账期止),0))</f>
        <v/>
      </c>
      <c r="T583" s="27">
        <f>IF($A583="","",SUMIFS(出库单!$J$4:$J$4003,出库单!$D$4:$D$4003,$A583,出库单!$K$4:$K$4003,"盘亏",出库单!$U$4:$U$4003,"正常",出库单!$C$4:$C$4003,"&gt;="&amp;账期起,出库单!$C$4:$C$4003,"&lt;="&amp;账期止))</f>
        <v/>
      </c>
      <c r="U583" s="26">
        <f>IF($A583="","",ROUND(SUMIFS(出库单!$S$4:$S$4003,出库单!$D$4:$D$4003,$A583,出库单!$K$4:$K$4003,"盘亏",出库单!$U$4:$U$4003,"正常",出库单!$C$4:$C$4003,"&gt;="&amp;账期起,出库单!$C$4:$C$4003,"&lt;="&amp;账期止),0))</f>
        <v/>
      </c>
      <c r="V583" s="27">
        <f>IF($A583="","",SUMIFS(出库单!$J$4:$J$4003,出库单!$D$4:$D$4003,$A583,出库单!$K$4:$K$4003,"退货给供应商",出库单!$U$4:$U$4003,"正常",出库单!$C$4:$C$4003,"&gt;="&amp;账期起,出库单!$C$4:$C$4003,"&lt;="&amp;账期止))</f>
        <v/>
      </c>
      <c r="W583" s="26">
        <f>IF($A583="","",ROUND(SUMIFS(出库单!$S$4:$S$4003,出库单!$D$4:$D$4003,$A583,出库单!$K$4:$K$4003,"退货给供应商",出库单!$U$4:$U$4003,"正常",出库单!$C$4:$C$4003,"&gt;="&amp;账期起,出库单!$C$4:$C$4003,"&lt;="&amp;账期止),0))</f>
        <v/>
      </c>
      <c r="X583" s="27">
        <f>IF($A583="","",ROUND(N($G583)+$I583+$L583+$N583-$P583-$R583-$T583-$V583,3))</f>
        <v/>
      </c>
      <c r="Y583" s="26">
        <f>IF($A583="","",ROUND(N($H583)+$J583+$M583+$O583-$Q583-$S583-$U583-$W583,0))</f>
        <v/>
      </c>
      <c r="Z583" s="24">
        <f>IF($A583="","",IF(COUNTIFS(入库单!$G$4:$G$2503,$A583,入库单!$Y$4:$Y$2503,"待补价")+COUNTIFS(入库单!$G$4:$G$2503,$A583,入库单!$Y$4:$Y$2503,"暂估")&gt;0,"不可信","可信"))</f>
        <v/>
      </c>
      <c r="AA583" s="24">
        <f>IF($A583="","",IF($X583&lt;-0.001,"※账面负库存，查一下是不是漏记入库",IF(AND(ROUND($X583,3)=0,ABS($Y583)&gt;1),"※数量已经是 0，金额还挂着 "&amp;TEXT($Y583,"#,##0")&amp;" 先令",IF(AND($X583&gt;0,$Y583&lt;=0,$K583=0),"※有数量没金额（这个物料一直没填过进价）",IF($Z583="不可信","△成本含待补价/暂估，毛利仅供参考","")))))</f>
        <v/>
      </c>
    </row>
    <row r="584">
      <c r="A584" s="24">
        <f>IF(物料档案!$A583="","",物料档案!$A583)</f>
        <v/>
      </c>
      <c r="B584" s="24">
        <f>IF($A584="","",IFERROR(VLOOKUP($A584,物料档案!$A$4:$P$1203,3,0),""))</f>
        <v/>
      </c>
      <c r="C584" s="24">
        <f>IF($A584="","",IFERROR(VLOOKUP($A584,物料档案!$A$4:$P$1203,4,0),""))</f>
        <v/>
      </c>
      <c r="D584" s="24">
        <f>IF($A584="","",IFERROR(VLOOKUP($A584,物料档案!$A$4:$P$1203,5,0),""))</f>
        <v/>
      </c>
      <c r="E584" s="24">
        <f>IF($A584="","",IFERROR(VLOOKUP($A584,物料档案!$A$4:$P$1203,2,0),""))</f>
        <v/>
      </c>
      <c r="F584" s="24">
        <f>IF($A584="","",IFERROR(VLOOKUP($A584,物料档案!$A$4:$P$1203,6,0),""))</f>
        <v/>
      </c>
      <c r="G584" s="23" t="n"/>
      <c r="H584" s="32" t="n"/>
      <c r="I584" s="27">
        <f>IF($A584="","",SUMIFS(入库单!$K$4:$K$2503,入库单!$G$4:$G$2503,$A584,入库单!$X$4:$X$2503,"采购入库",入库单!$Z$4:$Z$2503,"正常",入库单!$C$4:$C$2503,"&gt;="&amp;账期起,入库单!$C$4:$C$2503,"&lt;="&amp;账期止))</f>
        <v/>
      </c>
      <c r="J584" s="26">
        <f>IF($A584="","",SUMIFS(入库单!$V$4:$V$2503,入库单!$G$4:$G$2503,$A584,入库单!$X$4:$X$2503,"采购入库",入库单!$Z$4:$Z$2503,"正常",入库单!$C$4:$C$2503,"&gt;="&amp;账期起,入库单!$C$4:$C$2503,"&lt;="&amp;账期止))</f>
        <v/>
      </c>
      <c r="K584" s="26">
        <f>IF($A584="","",IFERROR(ROUND((N($H584)+N($J584))/(N($G584)+N($I584)),2),0))</f>
        <v/>
      </c>
      <c r="L584" s="27">
        <f>IF($A584="","",SUMIFS(入库单!$K$4:$K$2503,入库单!$G$4:$G$2503,$A584,入库单!$X$4:$X$2503,"盘盈",入库单!$Z$4:$Z$2503,"正常",入库单!$C$4:$C$2503,"&gt;="&amp;账期起,入库单!$C$4:$C$2503,"&lt;="&amp;账期止))</f>
        <v/>
      </c>
      <c r="M584" s="26">
        <f>IF($A584="","",ROUND($L584*$K584,0))</f>
        <v/>
      </c>
      <c r="N584" s="27">
        <f>IF($A584="","",SUMIFS(入库单!$K$4:$K$2503,入库单!$G$4:$G$2503,$A584,入库单!$X$4:$X$2503,"矿区退库",入库单!$Z$4:$Z$2503,"正常",入库单!$C$4:$C$2503,"&gt;="&amp;账期起,入库单!$C$4:$C$2503,"&lt;="&amp;账期止))</f>
        <v/>
      </c>
      <c r="O584" s="26">
        <f>IF($A584="","",ROUND($N584*$K584,0))</f>
        <v/>
      </c>
      <c r="P584" s="27">
        <f>IF($A584="","",SUMIFS(出库单!$J$4:$J$4003,出库单!$D$4:$D$4003,$A584,出库单!$K$4:$K$4003,"自用消耗",出库单!$U$4:$U$4003,"正常",出库单!$C$4:$C$4003,"&gt;="&amp;账期起,出库单!$C$4:$C$4003,"&lt;="&amp;账期止))</f>
        <v/>
      </c>
      <c r="Q584" s="26">
        <f>IF($A584="","",ROUND(SUMIFS(出库单!$S$4:$S$4003,出库单!$D$4:$D$4003,$A584,出库单!$K$4:$K$4003,"自用消耗",出库单!$U$4:$U$4003,"正常",出库单!$C$4:$C$4003,"&gt;="&amp;账期起,出库单!$C$4:$C$4003,"&lt;="&amp;账期止),0))</f>
        <v/>
      </c>
      <c r="R584" s="27">
        <f>IF($A584="","",SUMIFS(出库单!$J$4:$J$4003,出库单!$D$4:$D$4003,$A584,出库单!$K$4:$K$4003,"对外销售",出库单!$U$4:$U$4003,"正常",出库单!$C$4:$C$4003,"&gt;="&amp;账期起,出库单!$C$4:$C$4003,"&lt;="&amp;账期止))</f>
        <v/>
      </c>
      <c r="S584" s="26">
        <f>IF($A584="","",ROUND(SUMIFS(出库单!$S$4:$S$4003,出库单!$D$4:$D$4003,$A584,出库单!$K$4:$K$4003,"对外销售",出库单!$U$4:$U$4003,"正常",出库单!$C$4:$C$4003,"&gt;="&amp;账期起,出库单!$C$4:$C$4003,"&lt;="&amp;账期止),0))</f>
        <v/>
      </c>
      <c r="T584" s="27">
        <f>IF($A584="","",SUMIFS(出库单!$J$4:$J$4003,出库单!$D$4:$D$4003,$A584,出库单!$K$4:$K$4003,"盘亏",出库单!$U$4:$U$4003,"正常",出库单!$C$4:$C$4003,"&gt;="&amp;账期起,出库单!$C$4:$C$4003,"&lt;="&amp;账期止))</f>
        <v/>
      </c>
      <c r="U584" s="26">
        <f>IF($A584="","",ROUND(SUMIFS(出库单!$S$4:$S$4003,出库单!$D$4:$D$4003,$A584,出库单!$K$4:$K$4003,"盘亏",出库单!$U$4:$U$4003,"正常",出库单!$C$4:$C$4003,"&gt;="&amp;账期起,出库单!$C$4:$C$4003,"&lt;="&amp;账期止),0))</f>
        <v/>
      </c>
      <c r="V584" s="27">
        <f>IF($A584="","",SUMIFS(出库单!$J$4:$J$4003,出库单!$D$4:$D$4003,$A584,出库单!$K$4:$K$4003,"退货给供应商",出库单!$U$4:$U$4003,"正常",出库单!$C$4:$C$4003,"&gt;="&amp;账期起,出库单!$C$4:$C$4003,"&lt;="&amp;账期止))</f>
        <v/>
      </c>
      <c r="W584" s="26">
        <f>IF($A584="","",ROUND(SUMIFS(出库单!$S$4:$S$4003,出库单!$D$4:$D$4003,$A584,出库单!$K$4:$K$4003,"退货给供应商",出库单!$U$4:$U$4003,"正常",出库单!$C$4:$C$4003,"&gt;="&amp;账期起,出库单!$C$4:$C$4003,"&lt;="&amp;账期止),0))</f>
        <v/>
      </c>
      <c r="X584" s="27">
        <f>IF($A584="","",ROUND(N($G584)+$I584+$L584+$N584-$P584-$R584-$T584-$V584,3))</f>
        <v/>
      </c>
      <c r="Y584" s="26">
        <f>IF($A584="","",ROUND(N($H584)+$J584+$M584+$O584-$Q584-$S584-$U584-$W584,0))</f>
        <v/>
      </c>
      <c r="Z584" s="24">
        <f>IF($A584="","",IF(COUNTIFS(入库单!$G$4:$G$2503,$A584,入库单!$Y$4:$Y$2503,"待补价")+COUNTIFS(入库单!$G$4:$G$2503,$A584,入库单!$Y$4:$Y$2503,"暂估")&gt;0,"不可信","可信"))</f>
        <v/>
      </c>
      <c r="AA584" s="24">
        <f>IF($A584="","",IF($X584&lt;-0.001,"※账面负库存，查一下是不是漏记入库",IF(AND(ROUND($X584,3)=0,ABS($Y584)&gt;1),"※数量已经是 0，金额还挂着 "&amp;TEXT($Y584,"#,##0")&amp;" 先令",IF(AND($X584&gt;0,$Y584&lt;=0,$K584=0),"※有数量没金额（这个物料一直没填过进价）",IF($Z584="不可信","△成本含待补价/暂估，毛利仅供参考","")))))</f>
        <v/>
      </c>
    </row>
    <row r="585">
      <c r="A585" s="24">
        <f>IF(物料档案!$A584="","",物料档案!$A584)</f>
        <v/>
      </c>
      <c r="B585" s="24">
        <f>IF($A585="","",IFERROR(VLOOKUP($A585,物料档案!$A$4:$P$1203,3,0),""))</f>
        <v/>
      </c>
      <c r="C585" s="24">
        <f>IF($A585="","",IFERROR(VLOOKUP($A585,物料档案!$A$4:$P$1203,4,0),""))</f>
        <v/>
      </c>
      <c r="D585" s="24">
        <f>IF($A585="","",IFERROR(VLOOKUP($A585,物料档案!$A$4:$P$1203,5,0),""))</f>
        <v/>
      </c>
      <c r="E585" s="24">
        <f>IF($A585="","",IFERROR(VLOOKUP($A585,物料档案!$A$4:$P$1203,2,0),""))</f>
        <v/>
      </c>
      <c r="F585" s="24">
        <f>IF($A585="","",IFERROR(VLOOKUP($A585,物料档案!$A$4:$P$1203,6,0),""))</f>
        <v/>
      </c>
      <c r="G585" s="23" t="n"/>
      <c r="H585" s="32" t="n"/>
      <c r="I585" s="27">
        <f>IF($A585="","",SUMIFS(入库单!$K$4:$K$2503,入库单!$G$4:$G$2503,$A585,入库单!$X$4:$X$2503,"采购入库",入库单!$Z$4:$Z$2503,"正常",入库单!$C$4:$C$2503,"&gt;="&amp;账期起,入库单!$C$4:$C$2503,"&lt;="&amp;账期止))</f>
        <v/>
      </c>
      <c r="J585" s="26">
        <f>IF($A585="","",SUMIFS(入库单!$V$4:$V$2503,入库单!$G$4:$G$2503,$A585,入库单!$X$4:$X$2503,"采购入库",入库单!$Z$4:$Z$2503,"正常",入库单!$C$4:$C$2503,"&gt;="&amp;账期起,入库单!$C$4:$C$2503,"&lt;="&amp;账期止))</f>
        <v/>
      </c>
      <c r="K585" s="26">
        <f>IF($A585="","",IFERROR(ROUND((N($H585)+N($J585))/(N($G585)+N($I585)),2),0))</f>
        <v/>
      </c>
      <c r="L585" s="27">
        <f>IF($A585="","",SUMIFS(入库单!$K$4:$K$2503,入库单!$G$4:$G$2503,$A585,入库单!$X$4:$X$2503,"盘盈",入库单!$Z$4:$Z$2503,"正常",入库单!$C$4:$C$2503,"&gt;="&amp;账期起,入库单!$C$4:$C$2503,"&lt;="&amp;账期止))</f>
        <v/>
      </c>
      <c r="M585" s="26">
        <f>IF($A585="","",ROUND($L585*$K585,0))</f>
        <v/>
      </c>
      <c r="N585" s="27">
        <f>IF($A585="","",SUMIFS(入库单!$K$4:$K$2503,入库单!$G$4:$G$2503,$A585,入库单!$X$4:$X$2503,"矿区退库",入库单!$Z$4:$Z$2503,"正常",入库单!$C$4:$C$2503,"&gt;="&amp;账期起,入库单!$C$4:$C$2503,"&lt;="&amp;账期止))</f>
        <v/>
      </c>
      <c r="O585" s="26">
        <f>IF($A585="","",ROUND($N585*$K585,0))</f>
        <v/>
      </c>
      <c r="P585" s="27">
        <f>IF($A585="","",SUMIFS(出库单!$J$4:$J$4003,出库单!$D$4:$D$4003,$A585,出库单!$K$4:$K$4003,"自用消耗",出库单!$U$4:$U$4003,"正常",出库单!$C$4:$C$4003,"&gt;="&amp;账期起,出库单!$C$4:$C$4003,"&lt;="&amp;账期止))</f>
        <v/>
      </c>
      <c r="Q585" s="26">
        <f>IF($A585="","",ROUND(SUMIFS(出库单!$S$4:$S$4003,出库单!$D$4:$D$4003,$A585,出库单!$K$4:$K$4003,"自用消耗",出库单!$U$4:$U$4003,"正常",出库单!$C$4:$C$4003,"&gt;="&amp;账期起,出库单!$C$4:$C$4003,"&lt;="&amp;账期止),0))</f>
        <v/>
      </c>
      <c r="R585" s="27">
        <f>IF($A585="","",SUMIFS(出库单!$J$4:$J$4003,出库单!$D$4:$D$4003,$A585,出库单!$K$4:$K$4003,"对外销售",出库单!$U$4:$U$4003,"正常",出库单!$C$4:$C$4003,"&gt;="&amp;账期起,出库单!$C$4:$C$4003,"&lt;="&amp;账期止))</f>
        <v/>
      </c>
      <c r="S585" s="26">
        <f>IF($A585="","",ROUND(SUMIFS(出库单!$S$4:$S$4003,出库单!$D$4:$D$4003,$A585,出库单!$K$4:$K$4003,"对外销售",出库单!$U$4:$U$4003,"正常",出库单!$C$4:$C$4003,"&gt;="&amp;账期起,出库单!$C$4:$C$4003,"&lt;="&amp;账期止),0))</f>
        <v/>
      </c>
      <c r="T585" s="27">
        <f>IF($A585="","",SUMIFS(出库单!$J$4:$J$4003,出库单!$D$4:$D$4003,$A585,出库单!$K$4:$K$4003,"盘亏",出库单!$U$4:$U$4003,"正常",出库单!$C$4:$C$4003,"&gt;="&amp;账期起,出库单!$C$4:$C$4003,"&lt;="&amp;账期止))</f>
        <v/>
      </c>
      <c r="U585" s="26">
        <f>IF($A585="","",ROUND(SUMIFS(出库单!$S$4:$S$4003,出库单!$D$4:$D$4003,$A585,出库单!$K$4:$K$4003,"盘亏",出库单!$U$4:$U$4003,"正常",出库单!$C$4:$C$4003,"&gt;="&amp;账期起,出库单!$C$4:$C$4003,"&lt;="&amp;账期止),0))</f>
        <v/>
      </c>
      <c r="V585" s="27">
        <f>IF($A585="","",SUMIFS(出库单!$J$4:$J$4003,出库单!$D$4:$D$4003,$A585,出库单!$K$4:$K$4003,"退货给供应商",出库单!$U$4:$U$4003,"正常",出库单!$C$4:$C$4003,"&gt;="&amp;账期起,出库单!$C$4:$C$4003,"&lt;="&amp;账期止))</f>
        <v/>
      </c>
      <c r="W585" s="26">
        <f>IF($A585="","",ROUND(SUMIFS(出库单!$S$4:$S$4003,出库单!$D$4:$D$4003,$A585,出库单!$K$4:$K$4003,"退货给供应商",出库单!$U$4:$U$4003,"正常",出库单!$C$4:$C$4003,"&gt;="&amp;账期起,出库单!$C$4:$C$4003,"&lt;="&amp;账期止),0))</f>
        <v/>
      </c>
      <c r="X585" s="27">
        <f>IF($A585="","",ROUND(N($G585)+$I585+$L585+$N585-$P585-$R585-$T585-$V585,3))</f>
        <v/>
      </c>
      <c r="Y585" s="26">
        <f>IF($A585="","",ROUND(N($H585)+$J585+$M585+$O585-$Q585-$S585-$U585-$W585,0))</f>
        <v/>
      </c>
      <c r="Z585" s="24">
        <f>IF($A585="","",IF(COUNTIFS(入库单!$G$4:$G$2503,$A585,入库单!$Y$4:$Y$2503,"待补价")+COUNTIFS(入库单!$G$4:$G$2503,$A585,入库单!$Y$4:$Y$2503,"暂估")&gt;0,"不可信","可信"))</f>
        <v/>
      </c>
      <c r="AA585" s="24">
        <f>IF($A585="","",IF($X585&lt;-0.001,"※账面负库存，查一下是不是漏记入库",IF(AND(ROUND($X585,3)=0,ABS($Y585)&gt;1),"※数量已经是 0，金额还挂着 "&amp;TEXT($Y585,"#,##0")&amp;" 先令",IF(AND($X585&gt;0,$Y585&lt;=0,$K585=0),"※有数量没金额（这个物料一直没填过进价）",IF($Z585="不可信","△成本含待补价/暂估，毛利仅供参考","")))))</f>
        <v/>
      </c>
    </row>
    <row r="586">
      <c r="A586" s="24">
        <f>IF(物料档案!$A585="","",物料档案!$A585)</f>
        <v/>
      </c>
      <c r="B586" s="24">
        <f>IF($A586="","",IFERROR(VLOOKUP($A586,物料档案!$A$4:$P$1203,3,0),""))</f>
        <v/>
      </c>
      <c r="C586" s="24">
        <f>IF($A586="","",IFERROR(VLOOKUP($A586,物料档案!$A$4:$P$1203,4,0),""))</f>
        <v/>
      </c>
      <c r="D586" s="24">
        <f>IF($A586="","",IFERROR(VLOOKUP($A586,物料档案!$A$4:$P$1203,5,0),""))</f>
        <v/>
      </c>
      <c r="E586" s="24">
        <f>IF($A586="","",IFERROR(VLOOKUP($A586,物料档案!$A$4:$P$1203,2,0),""))</f>
        <v/>
      </c>
      <c r="F586" s="24">
        <f>IF($A586="","",IFERROR(VLOOKUP($A586,物料档案!$A$4:$P$1203,6,0),""))</f>
        <v/>
      </c>
      <c r="G586" s="23" t="n"/>
      <c r="H586" s="32" t="n"/>
      <c r="I586" s="27">
        <f>IF($A586="","",SUMIFS(入库单!$K$4:$K$2503,入库单!$G$4:$G$2503,$A586,入库单!$X$4:$X$2503,"采购入库",入库单!$Z$4:$Z$2503,"正常",入库单!$C$4:$C$2503,"&gt;="&amp;账期起,入库单!$C$4:$C$2503,"&lt;="&amp;账期止))</f>
        <v/>
      </c>
      <c r="J586" s="26">
        <f>IF($A586="","",SUMIFS(入库单!$V$4:$V$2503,入库单!$G$4:$G$2503,$A586,入库单!$X$4:$X$2503,"采购入库",入库单!$Z$4:$Z$2503,"正常",入库单!$C$4:$C$2503,"&gt;="&amp;账期起,入库单!$C$4:$C$2503,"&lt;="&amp;账期止))</f>
        <v/>
      </c>
      <c r="K586" s="26">
        <f>IF($A586="","",IFERROR(ROUND((N($H586)+N($J586))/(N($G586)+N($I586)),2),0))</f>
        <v/>
      </c>
      <c r="L586" s="27">
        <f>IF($A586="","",SUMIFS(入库单!$K$4:$K$2503,入库单!$G$4:$G$2503,$A586,入库单!$X$4:$X$2503,"盘盈",入库单!$Z$4:$Z$2503,"正常",入库单!$C$4:$C$2503,"&gt;="&amp;账期起,入库单!$C$4:$C$2503,"&lt;="&amp;账期止))</f>
        <v/>
      </c>
      <c r="M586" s="26">
        <f>IF($A586="","",ROUND($L586*$K586,0))</f>
        <v/>
      </c>
      <c r="N586" s="27">
        <f>IF($A586="","",SUMIFS(入库单!$K$4:$K$2503,入库单!$G$4:$G$2503,$A586,入库单!$X$4:$X$2503,"矿区退库",入库单!$Z$4:$Z$2503,"正常",入库单!$C$4:$C$2503,"&gt;="&amp;账期起,入库单!$C$4:$C$2503,"&lt;="&amp;账期止))</f>
        <v/>
      </c>
      <c r="O586" s="26">
        <f>IF($A586="","",ROUND($N586*$K586,0))</f>
        <v/>
      </c>
      <c r="P586" s="27">
        <f>IF($A586="","",SUMIFS(出库单!$J$4:$J$4003,出库单!$D$4:$D$4003,$A586,出库单!$K$4:$K$4003,"自用消耗",出库单!$U$4:$U$4003,"正常",出库单!$C$4:$C$4003,"&gt;="&amp;账期起,出库单!$C$4:$C$4003,"&lt;="&amp;账期止))</f>
        <v/>
      </c>
      <c r="Q586" s="26">
        <f>IF($A586="","",ROUND(SUMIFS(出库单!$S$4:$S$4003,出库单!$D$4:$D$4003,$A586,出库单!$K$4:$K$4003,"自用消耗",出库单!$U$4:$U$4003,"正常",出库单!$C$4:$C$4003,"&gt;="&amp;账期起,出库单!$C$4:$C$4003,"&lt;="&amp;账期止),0))</f>
        <v/>
      </c>
      <c r="R586" s="27">
        <f>IF($A586="","",SUMIFS(出库单!$J$4:$J$4003,出库单!$D$4:$D$4003,$A586,出库单!$K$4:$K$4003,"对外销售",出库单!$U$4:$U$4003,"正常",出库单!$C$4:$C$4003,"&gt;="&amp;账期起,出库单!$C$4:$C$4003,"&lt;="&amp;账期止))</f>
        <v/>
      </c>
      <c r="S586" s="26">
        <f>IF($A586="","",ROUND(SUMIFS(出库单!$S$4:$S$4003,出库单!$D$4:$D$4003,$A586,出库单!$K$4:$K$4003,"对外销售",出库单!$U$4:$U$4003,"正常",出库单!$C$4:$C$4003,"&gt;="&amp;账期起,出库单!$C$4:$C$4003,"&lt;="&amp;账期止),0))</f>
        <v/>
      </c>
      <c r="T586" s="27">
        <f>IF($A586="","",SUMIFS(出库单!$J$4:$J$4003,出库单!$D$4:$D$4003,$A586,出库单!$K$4:$K$4003,"盘亏",出库单!$U$4:$U$4003,"正常",出库单!$C$4:$C$4003,"&gt;="&amp;账期起,出库单!$C$4:$C$4003,"&lt;="&amp;账期止))</f>
        <v/>
      </c>
      <c r="U586" s="26">
        <f>IF($A586="","",ROUND(SUMIFS(出库单!$S$4:$S$4003,出库单!$D$4:$D$4003,$A586,出库单!$K$4:$K$4003,"盘亏",出库单!$U$4:$U$4003,"正常",出库单!$C$4:$C$4003,"&gt;="&amp;账期起,出库单!$C$4:$C$4003,"&lt;="&amp;账期止),0))</f>
        <v/>
      </c>
      <c r="V586" s="27">
        <f>IF($A586="","",SUMIFS(出库单!$J$4:$J$4003,出库单!$D$4:$D$4003,$A586,出库单!$K$4:$K$4003,"退货给供应商",出库单!$U$4:$U$4003,"正常",出库单!$C$4:$C$4003,"&gt;="&amp;账期起,出库单!$C$4:$C$4003,"&lt;="&amp;账期止))</f>
        <v/>
      </c>
      <c r="W586" s="26">
        <f>IF($A586="","",ROUND(SUMIFS(出库单!$S$4:$S$4003,出库单!$D$4:$D$4003,$A586,出库单!$K$4:$K$4003,"退货给供应商",出库单!$U$4:$U$4003,"正常",出库单!$C$4:$C$4003,"&gt;="&amp;账期起,出库单!$C$4:$C$4003,"&lt;="&amp;账期止),0))</f>
        <v/>
      </c>
      <c r="X586" s="27">
        <f>IF($A586="","",ROUND(N($G586)+$I586+$L586+$N586-$P586-$R586-$T586-$V586,3))</f>
        <v/>
      </c>
      <c r="Y586" s="26">
        <f>IF($A586="","",ROUND(N($H586)+$J586+$M586+$O586-$Q586-$S586-$U586-$W586,0))</f>
        <v/>
      </c>
      <c r="Z586" s="24">
        <f>IF($A586="","",IF(COUNTIFS(入库单!$G$4:$G$2503,$A586,入库单!$Y$4:$Y$2503,"待补价")+COUNTIFS(入库单!$G$4:$G$2503,$A586,入库单!$Y$4:$Y$2503,"暂估")&gt;0,"不可信","可信"))</f>
        <v/>
      </c>
      <c r="AA586" s="24">
        <f>IF($A586="","",IF($X586&lt;-0.001,"※账面负库存，查一下是不是漏记入库",IF(AND(ROUND($X586,3)=0,ABS($Y586)&gt;1),"※数量已经是 0，金额还挂着 "&amp;TEXT($Y586,"#,##0")&amp;" 先令",IF(AND($X586&gt;0,$Y586&lt;=0,$K586=0),"※有数量没金额（这个物料一直没填过进价）",IF($Z586="不可信","△成本含待补价/暂估，毛利仅供参考","")))))</f>
        <v/>
      </c>
    </row>
    <row r="587">
      <c r="A587" s="24">
        <f>IF(物料档案!$A586="","",物料档案!$A586)</f>
        <v/>
      </c>
      <c r="B587" s="24">
        <f>IF($A587="","",IFERROR(VLOOKUP($A587,物料档案!$A$4:$P$1203,3,0),""))</f>
        <v/>
      </c>
      <c r="C587" s="24">
        <f>IF($A587="","",IFERROR(VLOOKUP($A587,物料档案!$A$4:$P$1203,4,0),""))</f>
        <v/>
      </c>
      <c r="D587" s="24">
        <f>IF($A587="","",IFERROR(VLOOKUP($A587,物料档案!$A$4:$P$1203,5,0),""))</f>
        <v/>
      </c>
      <c r="E587" s="24">
        <f>IF($A587="","",IFERROR(VLOOKUP($A587,物料档案!$A$4:$P$1203,2,0),""))</f>
        <v/>
      </c>
      <c r="F587" s="24">
        <f>IF($A587="","",IFERROR(VLOOKUP($A587,物料档案!$A$4:$P$1203,6,0),""))</f>
        <v/>
      </c>
      <c r="G587" s="23" t="n"/>
      <c r="H587" s="32" t="n"/>
      <c r="I587" s="27">
        <f>IF($A587="","",SUMIFS(入库单!$K$4:$K$2503,入库单!$G$4:$G$2503,$A587,入库单!$X$4:$X$2503,"采购入库",入库单!$Z$4:$Z$2503,"正常",入库单!$C$4:$C$2503,"&gt;="&amp;账期起,入库单!$C$4:$C$2503,"&lt;="&amp;账期止))</f>
        <v/>
      </c>
      <c r="J587" s="26">
        <f>IF($A587="","",SUMIFS(入库单!$V$4:$V$2503,入库单!$G$4:$G$2503,$A587,入库单!$X$4:$X$2503,"采购入库",入库单!$Z$4:$Z$2503,"正常",入库单!$C$4:$C$2503,"&gt;="&amp;账期起,入库单!$C$4:$C$2503,"&lt;="&amp;账期止))</f>
        <v/>
      </c>
      <c r="K587" s="26">
        <f>IF($A587="","",IFERROR(ROUND((N($H587)+N($J587))/(N($G587)+N($I587)),2),0))</f>
        <v/>
      </c>
      <c r="L587" s="27">
        <f>IF($A587="","",SUMIFS(入库单!$K$4:$K$2503,入库单!$G$4:$G$2503,$A587,入库单!$X$4:$X$2503,"盘盈",入库单!$Z$4:$Z$2503,"正常",入库单!$C$4:$C$2503,"&gt;="&amp;账期起,入库单!$C$4:$C$2503,"&lt;="&amp;账期止))</f>
        <v/>
      </c>
      <c r="M587" s="26">
        <f>IF($A587="","",ROUND($L587*$K587,0))</f>
        <v/>
      </c>
      <c r="N587" s="27">
        <f>IF($A587="","",SUMIFS(入库单!$K$4:$K$2503,入库单!$G$4:$G$2503,$A587,入库单!$X$4:$X$2503,"矿区退库",入库单!$Z$4:$Z$2503,"正常",入库单!$C$4:$C$2503,"&gt;="&amp;账期起,入库单!$C$4:$C$2503,"&lt;="&amp;账期止))</f>
        <v/>
      </c>
      <c r="O587" s="26">
        <f>IF($A587="","",ROUND($N587*$K587,0))</f>
        <v/>
      </c>
      <c r="P587" s="27">
        <f>IF($A587="","",SUMIFS(出库单!$J$4:$J$4003,出库单!$D$4:$D$4003,$A587,出库单!$K$4:$K$4003,"自用消耗",出库单!$U$4:$U$4003,"正常",出库单!$C$4:$C$4003,"&gt;="&amp;账期起,出库单!$C$4:$C$4003,"&lt;="&amp;账期止))</f>
        <v/>
      </c>
      <c r="Q587" s="26">
        <f>IF($A587="","",ROUND(SUMIFS(出库单!$S$4:$S$4003,出库单!$D$4:$D$4003,$A587,出库单!$K$4:$K$4003,"自用消耗",出库单!$U$4:$U$4003,"正常",出库单!$C$4:$C$4003,"&gt;="&amp;账期起,出库单!$C$4:$C$4003,"&lt;="&amp;账期止),0))</f>
        <v/>
      </c>
      <c r="R587" s="27">
        <f>IF($A587="","",SUMIFS(出库单!$J$4:$J$4003,出库单!$D$4:$D$4003,$A587,出库单!$K$4:$K$4003,"对外销售",出库单!$U$4:$U$4003,"正常",出库单!$C$4:$C$4003,"&gt;="&amp;账期起,出库单!$C$4:$C$4003,"&lt;="&amp;账期止))</f>
        <v/>
      </c>
      <c r="S587" s="26">
        <f>IF($A587="","",ROUND(SUMIFS(出库单!$S$4:$S$4003,出库单!$D$4:$D$4003,$A587,出库单!$K$4:$K$4003,"对外销售",出库单!$U$4:$U$4003,"正常",出库单!$C$4:$C$4003,"&gt;="&amp;账期起,出库单!$C$4:$C$4003,"&lt;="&amp;账期止),0))</f>
        <v/>
      </c>
      <c r="T587" s="27">
        <f>IF($A587="","",SUMIFS(出库单!$J$4:$J$4003,出库单!$D$4:$D$4003,$A587,出库单!$K$4:$K$4003,"盘亏",出库单!$U$4:$U$4003,"正常",出库单!$C$4:$C$4003,"&gt;="&amp;账期起,出库单!$C$4:$C$4003,"&lt;="&amp;账期止))</f>
        <v/>
      </c>
      <c r="U587" s="26">
        <f>IF($A587="","",ROUND(SUMIFS(出库单!$S$4:$S$4003,出库单!$D$4:$D$4003,$A587,出库单!$K$4:$K$4003,"盘亏",出库单!$U$4:$U$4003,"正常",出库单!$C$4:$C$4003,"&gt;="&amp;账期起,出库单!$C$4:$C$4003,"&lt;="&amp;账期止),0))</f>
        <v/>
      </c>
      <c r="V587" s="27">
        <f>IF($A587="","",SUMIFS(出库单!$J$4:$J$4003,出库单!$D$4:$D$4003,$A587,出库单!$K$4:$K$4003,"退货给供应商",出库单!$U$4:$U$4003,"正常",出库单!$C$4:$C$4003,"&gt;="&amp;账期起,出库单!$C$4:$C$4003,"&lt;="&amp;账期止))</f>
        <v/>
      </c>
      <c r="W587" s="26">
        <f>IF($A587="","",ROUND(SUMIFS(出库单!$S$4:$S$4003,出库单!$D$4:$D$4003,$A587,出库单!$K$4:$K$4003,"退货给供应商",出库单!$U$4:$U$4003,"正常",出库单!$C$4:$C$4003,"&gt;="&amp;账期起,出库单!$C$4:$C$4003,"&lt;="&amp;账期止),0))</f>
        <v/>
      </c>
      <c r="X587" s="27">
        <f>IF($A587="","",ROUND(N($G587)+$I587+$L587+$N587-$P587-$R587-$T587-$V587,3))</f>
        <v/>
      </c>
      <c r="Y587" s="26">
        <f>IF($A587="","",ROUND(N($H587)+$J587+$M587+$O587-$Q587-$S587-$U587-$W587,0))</f>
        <v/>
      </c>
      <c r="Z587" s="24">
        <f>IF($A587="","",IF(COUNTIFS(入库单!$G$4:$G$2503,$A587,入库单!$Y$4:$Y$2503,"待补价")+COUNTIFS(入库单!$G$4:$G$2503,$A587,入库单!$Y$4:$Y$2503,"暂估")&gt;0,"不可信","可信"))</f>
        <v/>
      </c>
      <c r="AA587" s="24">
        <f>IF($A587="","",IF($X587&lt;-0.001,"※账面负库存，查一下是不是漏记入库",IF(AND(ROUND($X587,3)=0,ABS($Y587)&gt;1),"※数量已经是 0，金额还挂着 "&amp;TEXT($Y587,"#,##0")&amp;" 先令",IF(AND($X587&gt;0,$Y587&lt;=0,$K587=0),"※有数量没金额（这个物料一直没填过进价）",IF($Z587="不可信","△成本含待补价/暂估，毛利仅供参考","")))))</f>
        <v/>
      </c>
    </row>
    <row r="588">
      <c r="A588" s="24">
        <f>IF(物料档案!$A587="","",物料档案!$A587)</f>
        <v/>
      </c>
      <c r="B588" s="24">
        <f>IF($A588="","",IFERROR(VLOOKUP($A588,物料档案!$A$4:$P$1203,3,0),""))</f>
        <v/>
      </c>
      <c r="C588" s="24">
        <f>IF($A588="","",IFERROR(VLOOKUP($A588,物料档案!$A$4:$P$1203,4,0),""))</f>
        <v/>
      </c>
      <c r="D588" s="24">
        <f>IF($A588="","",IFERROR(VLOOKUP($A588,物料档案!$A$4:$P$1203,5,0),""))</f>
        <v/>
      </c>
      <c r="E588" s="24">
        <f>IF($A588="","",IFERROR(VLOOKUP($A588,物料档案!$A$4:$P$1203,2,0),""))</f>
        <v/>
      </c>
      <c r="F588" s="24">
        <f>IF($A588="","",IFERROR(VLOOKUP($A588,物料档案!$A$4:$P$1203,6,0),""))</f>
        <v/>
      </c>
      <c r="G588" s="23" t="n"/>
      <c r="H588" s="32" t="n"/>
      <c r="I588" s="27">
        <f>IF($A588="","",SUMIFS(入库单!$K$4:$K$2503,入库单!$G$4:$G$2503,$A588,入库单!$X$4:$X$2503,"采购入库",入库单!$Z$4:$Z$2503,"正常",入库单!$C$4:$C$2503,"&gt;="&amp;账期起,入库单!$C$4:$C$2503,"&lt;="&amp;账期止))</f>
        <v/>
      </c>
      <c r="J588" s="26">
        <f>IF($A588="","",SUMIFS(入库单!$V$4:$V$2503,入库单!$G$4:$G$2503,$A588,入库单!$X$4:$X$2503,"采购入库",入库单!$Z$4:$Z$2503,"正常",入库单!$C$4:$C$2503,"&gt;="&amp;账期起,入库单!$C$4:$C$2503,"&lt;="&amp;账期止))</f>
        <v/>
      </c>
      <c r="K588" s="26">
        <f>IF($A588="","",IFERROR(ROUND((N($H588)+N($J588))/(N($G588)+N($I588)),2),0))</f>
        <v/>
      </c>
      <c r="L588" s="27">
        <f>IF($A588="","",SUMIFS(入库单!$K$4:$K$2503,入库单!$G$4:$G$2503,$A588,入库单!$X$4:$X$2503,"盘盈",入库单!$Z$4:$Z$2503,"正常",入库单!$C$4:$C$2503,"&gt;="&amp;账期起,入库单!$C$4:$C$2503,"&lt;="&amp;账期止))</f>
        <v/>
      </c>
      <c r="M588" s="26">
        <f>IF($A588="","",ROUND($L588*$K588,0))</f>
        <v/>
      </c>
      <c r="N588" s="27">
        <f>IF($A588="","",SUMIFS(入库单!$K$4:$K$2503,入库单!$G$4:$G$2503,$A588,入库单!$X$4:$X$2503,"矿区退库",入库单!$Z$4:$Z$2503,"正常",入库单!$C$4:$C$2503,"&gt;="&amp;账期起,入库单!$C$4:$C$2503,"&lt;="&amp;账期止))</f>
        <v/>
      </c>
      <c r="O588" s="26">
        <f>IF($A588="","",ROUND($N588*$K588,0))</f>
        <v/>
      </c>
      <c r="P588" s="27">
        <f>IF($A588="","",SUMIFS(出库单!$J$4:$J$4003,出库单!$D$4:$D$4003,$A588,出库单!$K$4:$K$4003,"自用消耗",出库单!$U$4:$U$4003,"正常",出库单!$C$4:$C$4003,"&gt;="&amp;账期起,出库单!$C$4:$C$4003,"&lt;="&amp;账期止))</f>
        <v/>
      </c>
      <c r="Q588" s="26">
        <f>IF($A588="","",ROUND(SUMIFS(出库单!$S$4:$S$4003,出库单!$D$4:$D$4003,$A588,出库单!$K$4:$K$4003,"自用消耗",出库单!$U$4:$U$4003,"正常",出库单!$C$4:$C$4003,"&gt;="&amp;账期起,出库单!$C$4:$C$4003,"&lt;="&amp;账期止),0))</f>
        <v/>
      </c>
      <c r="R588" s="27">
        <f>IF($A588="","",SUMIFS(出库单!$J$4:$J$4003,出库单!$D$4:$D$4003,$A588,出库单!$K$4:$K$4003,"对外销售",出库单!$U$4:$U$4003,"正常",出库单!$C$4:$C$4003,"&gt;="&amp;账期起,出库单!$C$4:$C$4003,"&lt;="&amp;账期止))</f>
        <v/>
      </c>
      <c r="S588" s="26">
        <f>IF($A588="","",ROUND(SUMIFS(出库单!$S$4:$S$4003,出库单!$D$4:$D$4003,$A588,出库单!$K$4:$K$4003,"对外销售",出库单!$U$4:$U$4003,"正常",出库单!$C$4:$C$4003,"&gt;="&amp;账期起,出库单!$C$4:$C$4003,"&lt;="&amp;账期止),0))</f>
        <v/>
      </c>
      <c r="T588" s="27">
        <f>IF($A588="","",SUMIFS(出库单!$J$4:$J$4003,出库单!$D$4:$D$4003,$A588,出库单!$K$4:$K$4003,"盘亏",出库单!$U$4:$U$4003,"正常",出库单!$C$4:$C$4003,"&gt;="&amp;账期起,出库单!$C$4:$C$4003,"&lt;="&amp;账期止))</f>
        <v/>
      </c>
      <c r="U588" s="26">
        <f>IF($A588="","",ROUND(SUMIFS(出库单!$S$4:$S$4003,出库单!$D$4:$D$4003,$A588,出库单!$K$4:$K$4003,"盘亏",出库单!$U$4:$U$4003,"正常",出库单!$C$4:$C$4003,"&gt;="&amp;账期起,出库单!$C$4:$C$4003,"&lt;="&amp;账期止),0))</f>
        <v/>
      </c>
      <c r="V588" s="27">
        <f>IF($A588="","",SUMIFS(出库单!$J$4:$J$4003,出库单!$D$4:$D$4003,$A588,出库单!$K$4:$K$4003,"退货给供应商",出库单!$U$4:$U$4003,"正常",出库单!$C$4:$C$4003,"&gt;="&amp;账期起,出库单!$C$4:$C$4003,"&lt;="&amp;账期止))</f>
        <v/>
      </c>
      <c r="W588" s="26">
        <f>IF($A588="","",ROUND(SUMIFS(出库单!$S$4:$S$4003,出库单!$D$4:$D$4003,$A588,出库单!$K$4:$K$4003,"退货给供应商",出库单!$U$4:$U$4003,"正常",出库单!$C$4:$C$4003,"&gt;="&amp;账期起,出库单!$C$4:$C$4003,"&lt;="&amp;账期止),0))</f>
        <v/>
      </c>
      <c r="X588" s="27">
        <f>IF($A588="","",ROUND(N($G588)+$I588+$L588+$N588-$P588-$R588-$T588-$V588,3))</f>
        <v/>
      </c>
      <c r="Y588" s="26">
        <f>IF($A588="","",ROUND(N($H588)+$J588+$M588+$O588-$Q588-$S588-$U588-$W588,0))</f>
        <v/>
      </c>
      <c r="Z588" s="24">
        <f>IF($A588="","",IF(COUNTIFS(入库单!$G$4:$G$2503,$A588,入库单!$Y$4:$Y$2503,"待补价")+COUNTIFS(入库单!$G$4:$G$2503,$A588,入库单!$Y$4:$Y$2503,"暂估")&gt;0,"不可信","可信"))</f>
        <v/>
      </c>
      <c r="AA588" s="24">
        <f>IF($A588="","",IF($X588&lt;-0.001,"※账面负库存，查一下是不是漏记入库",IF(AND(ROUND($X588,3)=0,ABS($Y588)&gt;1),"※数量已经是 0，金额还挂着 "&amp;TEXT($Y588,"#,##0")&amp;" 先令",IF(AND($X588&gt;0,$Y588&lt;=0,$K588=0),"※有数量没金额（这个物料一直没填过进价）",IF($Z588="不可信","△成本含待补价/暂估，毛利仅供参考","")))))</f>
        <v/>
      </c>
    </row>
    <row r="589">
      <c r="A589" s="24">
        <f>IF(物料档案!$A588="","",物料档案!$A588)</f>
        <v/>
      </c>
      <c r="B589" s="24">
        <f>IF($A589="","",IFERROR(VLOOKUP($A589,物料档案!$A$4:$P$1203,3,0),""))</f>
        <v/>
      </c>
      <c r="C589" s="24">
        <f>IF($A589="","",IFERROR(VLOOKUP($A589,物料档案!$A$4:$P$1203,4,0),""))</f>
        <v/>
      </c>
      <c r="D589" s="24">
        <f>IF($A589="","",IFERROR(VLOOKUP($A589,物料档案!$A$4:$P$1203,5,0),""))</f>
        <v/>
      </c>
      <c r="E589" s="24">
        <f>IF($A589="","",IFERROR(VLOOKUP($A589,物料档案!$A$4:$P$1203,2,0),""))</f>
        <v/>
      </c>
      <c r="F589" s="24">
        <f>IF($A589="","",IFERROR(VLOOKUP($A589,物料档案!$A$4:$P$1203,6,0),""))</f>
        <v/>
      </c>
      <c r="G589" s="23" t="n"/>
      <c r="H589" s="32" t="n"/>
      <c r="I589" s="27">
        <f>IF($A589="","",SUMIFS(入库单!$K$4:$K$2503,入库单!$G$4:$G$2503,$A589,入库单!$X$4:$X$2503,"采购入库",入库单!$Z$4:$Z$2503,"正常",入库单!$C$4:$C$2503,"&gt;="&amp;账期起,入库单!$C$4:$C$2503,"&lt;="&amp;账期止))</f>
        <v/>
      </c>
      <c r="J589" s="26">
        <f>IF($A589="","",SUMIFS(入库单!$V$4:$V$2503,入库单!$G$4:$G$2503,$A589,入库单!$X$4:$X$2503,"采购入库",入库单!$Z$4:$Z$2503,"正常",入库单!$C$4:$C$2503,"&gt;="&amp;账期起,入库单!$C$4:$C$2503,"&lt;="&amp;账期止))</f>
        <v/>
      </c>
      <c r="K589" s="26">
        <f>IF($A589="","",IFERROR(ROUND((N($H589)+N($J589))/(N($G589)+N($I589)),2),0))</f>
        <v/>
      </c>
      <c r="L589" s="27">
        <f>IF($A589="","",SUMIFS(入库单!$K$4:$K$2503,入库单!$G$4:$G$2503,$A589,入库单!$X$4:$X$2503,"盘盈",入库单!$Z$4:$Z$2503,"正常",入库单!$C$4:$C$2503,"&gt;="&amp;账期起,入库单!$C$4:$C$2503,"&lt;="&amp;账期止))</f>
        <v/>
      </c>
      <c r="M589" s="26">
        <f>IF($A589="","",ROUND($L589*$K589,0))</f>
        <v/>
      </c>
      <c r="N589" s="27">
        <f>IF($A589="","",SUMIFS(入库单!$K$4:$K$2503,入库单!$G$4:$G$2503,$A589,入库单!$X$4:$X$2503,"矿区退库",入库单!$Z$4:$Z$2503,"正常",入库单!$C$4:$C$2503,"&gt;="&amp;账期起,入库单!$C$4:$C$2503,"&lt;="&amp;账期止))</f>
        <v/>
      </c>
      <c r="O589" s="26">
        <f>IF($A589="","",ROUND($N589*$K589,0))</f>
        <v/>
      </c>
      <c r="P589" s="27">
        <f>IF($A589="","",SUMIFS(出库单!$J$4:$J$4003,出库单!$D$4:$D$4003,$A589,出库单!$K$4:$K$4003,"自用消耗",出库单!$U$4:$U$4003,"正常",出库单!$C$4:$C$4003,"&gt;="&amp;账期起,出库单!$C$4:$C$4003,"&lt;="&amp;账期止))</f>
        <v/>
      </c>
      <c r="Q589" s="26">
        <f>IF($A589="","",ROUND(SUMIFS(出库单!$S$4:$S$4003,出库单!$D$4:$D$4003,$A589,出库单!$K$4:$K$4003,"自用消耗",出库单!$U$4:$U$4003,"正常",出库单!$C$4:$C$4003,"&gt;="&amp;账期起,出库单!$C$4:$C$4003,"&lt;="&amp;账期止),0))</f>
        <v/>
      </c>
      <c r="R589" s="27">
        <f>IF($A589="","",SUMIFS(出库单!$J$4:$J$4003,出库单!$D$4:$D$4003,$A589,出库单!$K$4:$K$4003,"对外销售",出库单!$U$4:$U$4003,"正常",出库单!$C$4:$C$4003,"&gt;="&amp;账期起,出库单!$C$4:$C$4003,"&lt;="&amp;账期止))</f>
        <v/>
      </c>
      <c r="S589" s="26">
        <f>IF($A589="","",ROUND(SUMIFS(出库单!$S$4:$S$4003,出库单!$D$4:$D$4003,$A589,出库单!$K$4:$K$4003,"对外销售",出库单!$U$4:$U$4003,"正常",出库单!$C$4:$C$4003,"&gt;="&amp;账期起,出库单!$C$4:$C$4003,"&lt;="&amp;账期止),0))</f>
        <v/>
      </c>
      <c r="T589" s="27">
        <f>IF($A589="","",SUMIFS(出库单!$J$4:$J$4003,出库单!$D$4:$D$4003,$A589,出库单!$K$4:$K$4003,"盘亏",出库单!$U$4:$U$4003,"正常",出库单!$C$4:$C$4003,"&gt;="&amp;账期起,出库单!$C$4:$C$4003,"&lt;="&amp;账期止))</f>
        <v/>
      </c>
      <c r="U589" s="26">
        <f>IF($A589="","",ROUND(SUMIFS(出库单!$S$4:$S$4003,出库单!$D$4:$D$4003,$A589,出库单!$K$4:$K$4003,"盘亏",出库单!$U$4:$U$4003,"正常",出库单!$C$4:$C$4003,"&gt;="&amp;账期起,出库单!$C$4:$C$4003,"&lt;="&amp;账期止),0))</f>
        <v/>
      </c>
      <c r="V589" s="27">
        <f>IF($A589="","",SUMIFS(出库单!$J$4:$J$4003,出库单!$D$4:$D$4003,$A589,出库单!$K$4:$K$4003,"退货给供应商",出库单!$U$4:$U$4003,"正常",出库单!$C$4:$C$4003,"&gt;="&amp;账期起,出库单!$C$4:$C$4003,"&lt;="&amp;账期止))</f>
        <v/>
      </c>
      <c r="W589" s="26">
        <f>IF($A589="","",ROUND(SUMIFS(出库单!$S$4:$S$4003,出库单!$D$4:$D$4003,$A589,出库单!$K$4:$K$4003,"退货给供应商",出库单!$U$4:$U$4003,"正常",出库单!$C$4:$C$4003,"&gt;="&amp;账期起,出库单!$C$4:$C$4003,"&lt;="&amp;账期止),0))</f>
        <v/>
      </c>
      <c r="X589" s="27">
        <f>IF($A589="","",ROUND(N($G589)+$I589+$L589+$N589-$P589-$R589-$T589-$V589,3))</f>
        <v/>
      </c>
      <c r="Y589" s="26">
        <f>IF($A589="","",ROUND(N($H589)+$J589+$M589+$O589-$Q589-$S589-$U589-$W589,0))</f>
        <v/>
      </c>
      <c r="Z589" s="24">
        <f>IF($A589="","",IF(COUNTIFS(入库单!$G$4:$G$2503,$A589,入库单!$Y$4:$Y$2503,"待补价")+COUNTIFS(入库单!$G$4:$G$2503,$A589,入库单!$Y$4:$Y$2503,"暂估")&gt;0,"不可信","可信"))</f>
        <v/>
      </c>
      <c r="AA589" s="24">
        <f>IF($A589="","",IF($X589&lt;-0.001,"※账面负库存，查一下是不是漏记入库",IF(AND(ROUND($X589,3)=0,ABS($Y589)&gt;1),"※数量已经是 0，金额还挂着 "&amp;TEXT($Y589,"#,##0")&amp;" 先令",IF(AND($X589&gt;0,$Y589&lt;=0,$K589=0),"※有数量没金额（这个物料一直没填过进价）",IF($Z589="不可信","△成本含待补价/暂估，毛利仅供参考","")))))</f>
        <v/>
      </c>
    </row>
    <row r="590">
      <c r="A590" s="24">
        <f>IF(物料档案!$A589="","",物料档案!$A589)</f>
        <v/>
      </c>
      <c r="B590" s="24">
        <f>IF($A590="","",IFERROR(VLOOKUP($A590,物料档案!$A$4:$P$1203,3,0),""))</f>
        <v/>
      </c>
      <c r="C590" s="24">
        <f>IF($A590="","",IFERROR(VLOOKUP($A590,物料档案!$A$4:$P$1203,4,0),""))</f>
        <v/>
      </c>
      <c r="D590" s="24">
        <f>IF($A590="","",IFERROR(VLOOKUP($A590,物料档案!$A$4:$P$1203,5,0),""))</f>
        <v/>
      </c>
      <c r="E590" s="24">
        <f>IF($A590="","",IFERROR(VLOOKUP($A590,物料档案!$A$4:$P$1203,2,0),""))</f>
        <v/>
      </c>
      <c r="F590" s="24">
        <f>IF($A590="","",IFERROR(VLOOKUP($A590,物料档案!$A$4:$P$1203,6,0),""))</f>
        <v/>
      </c>
      <c r="G590" s="23" t="n"/>
      <c r="H590" s="32" t="n"/>
      <c r="I590" s="27">
        <f>IF($A590="","",SUMIFS(入库单!$K$4:$K$2503,入库单!$G$4:$G$2503,$A590,入库单!$X$4:$X$2503,"采购入库",入库单!$Z$4:$Z$2503,"正常",入库单!$C$4:$C$2503,"&gt;="&amp;账期起,入库单!$C$4:$C$2503,"&lt;="&amp;账期止))</f>
        <v/>
      </c>
      <c r="J590" s="26">
        <f>IF($A590="","",SUMIFS(入库单!$V$4:$V$2503,入库单!$G$4:$G$2503,$A590,入库单!$X$4:$X$2503,"采购入库",入库单!$Z$4:$Z$2503,"正常",入库单!$C$4:$C$2503,"&gt;="&amp;账期起,入库单!$C$4:$C$2503,"&lt;="&amp;账期止))</f>
        <v/>
      </c>
      <c r="K590" s="26">
        <f>IF($A590="","",IFERROR(ROUND((N($H590)+N($J590))/(N($G590)+N($I590)),2),0))</f>
        <v/>
      </c>
      <c r="L590" s="27">
        <f>IF($A590="","",SUMIFS(入库单!$K$4:$K$2503,入库单!$G$4:$G$2503,$A590,入库单!$X$4:$X$2503,"盘盈",入库单!$Z$4:$Z$2503,"正常",入库单!$C$4:$C$2503,"&gt;="&amp;账期起,入库单!$C$4:$C$2503,"&lt;="&amp;账期止))</f>
        <v/>
      </c>
      <c r="M590" s="26">
        <f>IF($A590="","",ROUND($L590*$K590,0))</f>
        <v/>
      </c>
      <c r="N590" s="27">
        <f>IF($A590="","",SUMIFS(入库单!$K$4:$K$2503,入库单!$G$4:$G$2503,$A590,入库单!$X$4:$X$2503,"矿区退库",入库单!$Z$4:$Z$2503,"正常",入库单!$C$4:$C$2503,"&gt;="&amp;账期起,入库单!$C$4:$C$2503,"&lt;="&amp;账期止))</f>
        <v/>
      </c>
      <c r="O590" s="26">
        <f>IF($A590="","",ROUND($N590*$K590,0))</f>
        <v/>
      </c>
      <c r="P590" s="27">
        <f>IF($A590="","",SUMIFS(出库单!$J$4:$J$4003,出库单!$D$4:$D$4003,$A590,出库单!$K$4:$K$4003,"自用消耗",出库单!$U$4:$U$4003,"正常",出库单!$C$4:$C$4003,"&gt;="&amp;账期起,出库单!$C$4:$C$4003,"&lt;="&amp;账期止))</f>
        <v/>
      </c>
      <c r="Q590" s="26">
        <f>IF($A590="","",ROUND(SUMIFS(出库单!$S$4:$S$4003,出库单!$D$4:$D$4003,$A590,出库单!$K$4:$K$4003,"自用消耗",出库单!$U$4:$U$4003,"正常",出库单!$C$4:$C$4003,"&gt;="&amp;账期起,出库单!$C$4:$C$4003,"&lt;="&amp;账期止),0))</f>
        <v/>
      </c>
      <c r="R590" s="27">
        <f>IF($A590="","",SUMIFS(出库单!$J$4:$J$4003,出库单!$D$4:$D$4003,$A590,出库单!$K$4:$K$4003,"对外销售",出库单!$U$4:$U$4003,"正常",出库单!$C$4:$C$4003,"&gt;="&amp;账期起,出库单!$C$4:$C$4003,"&lt;="&amp;账期止))</f>
        <v/>
      </c>
      <c r="S590" s="26">
        <f>IF($A590="","",ROUND(SUMIFS(出库单!$S$4:$S$4003,出库单!$D$4:$D$4003,$A590,出库单!$K$4:$K$4003,"对外销售",出库单!$U$4:$U$4003,"正常",出库单!$C$4:$C$4003,"&gt;="&amp;账期起,出库单!$C$4:$C$4003,"&lt;="&amp;账期止),0))</f>
        <v/>
      </c>
      <c r="T590" s="27">
        <f>IF($A590="","",SUMIFS(出库单!$J$4:$J$4003,出库单!$D$4:$D$4003,$A590,出库单!$K$4:$K$4003,"盘亏",出库单!$U$4:$U$4003,"正常",出库单!$C$4:$C$4003,"&gt;="&amp;账期起,出库单!$C$4:$C$4003,"&lt;="&amp;账期止))</f>
        <v/>
      </c>
      <c r="U590" s="26">
        <f>IF($A590="","",ROUND(SUMIFS(出库单!$S$4:$S$4003,出库单!$D$4:$D$4003,$A590,出库单!$K$4:$K$4003,"盘亏",出库单!$U$4:$U$4003,"正常",出库单!$C$4:$C$4003,"&gt;="&amp;账期起,出库单!$C$4:$C$4003,"&lt;="&amp;账期止),0))</f>
        <v/>
      </c>
      <c r="V590" s="27">
        <f>IF($A590="","",SUMIFS(出库单!$J$4:$J$4003,出库单!$D$4:$D$4003,$A590,出库单!$K$4:$K$4003,"退货给供应商",出库单!$U$4:$U$4003,"正常",出库单!$C$4:$C$4003,"&gt;="&amp;账期起,出库单!$C$4:$C$4003,"&lt;="&amp;账期止))</f>
        <v/>
      </c>
      <c r="W590" s="26">
        <f>IF($A590="","",ROUND(SUMIFS(出库单!$S$4:$S$4003,出库单!$D$4:$D$4003,$A590,出库单!$K$4:$K$4003,"退货给供应商",出库单!$U$4:$U$4003,"正常",出库单!$C$4:$C$4003,"&gt;="&amp;账期起,出库单!$C$4:$C$4003,"&lt;="&amp;账期止),0))</f>
        <v/>
      </c>
      <c r="X590" s="27">
        <f>IF($A590="","",ROUND(N($G590)+$I590+$L590+$N590-$P590-$R590-$T590-$V590,3))</f>
        <v/>
      </c>
      <c r="Y590" s="26">
        <f>IF($A590="","",ROUND(N($H590)+$J590+$M590+$O590-$Q590-$S590-$U590-$W590,0))</f>
        <v/>
      </c>
      <c r="Z590" s="24">
        <f>IF($A590="","",IF(COUNTIFS(入库单!$G$4:$G$2503,$A590,入库单!$Y$4:$Y$2503,"待补价")+COUNTIFS(入库单!$G$4:$G$2503,$A590,入库单!$Y$4:$Y$2503,"暂估")&gt;0,"不可信","可信"))</f>
        <v/>
      </c>
      <c r="AA590" s="24">
        <f>IF($A590="","",IF($X590&lt;-0.001,"※账面负库存，查一下是不是漏记入库",IF(AND(ROUND($X590,3)=0,ABS($Y590)&gt;1),"※数量已经是 0，金额还挂着 "&amp;TEXT($Y590,"#,##0")&amp;" 先令",IF(AND($X590&gt;0,$Y590&lt;=0,$K590=0),"※有数量没金额（这个物料一直没填过进价）",IF($Z590="不可信","△成本含待补价/暂估，毛利仅供参考","")))))</f>
        <v/>
      </c>
    </row>
    <row r="591">
      <c r="A591" s="24">
        <f>IF(物料档案!$A590="","",物料档案!$A590)</f>
        <v/>
      </c>
      <c r="B591" s="24">
        <f>IF($A591="","",IFERROR(VLOOKUP($A591,物料档案!$A$4:$P$1203,3,0),""))</f>
        <v/>
      </c>
      <c r="C591" s="24">
        <f>IF($A591="","",IFERROR(VLOOKUP($A591,物料档案!$A$4:$P$1203,4,0),""))</f>
        <v/>
      </c>
      <c r="D591" s="24">
        <f>IF($A591="","",IFERROR(VLOOKUP($A591,物料档案!$A$4:$P$1203,5,0),""))</f>
        <v/>
      </c>
      <c r="E591" s="24">
        <f>IF($A591="","",IFERROR(VLOOKUP($A591,物料档案!$A$4:$P$1203,2,0),""))</f>
        <v/>
      </c>
      <c r="F591" s="24">
        <f>IF($A591="","",IFERROR(VLOOKUP($A591,物料档案!$A$4:$P$1203,6,0),""))</f>
        <v/>
      </c>
      <c r="G591" s="23" t="n"/>
      <c r="H591" s="32" t="n"/>
      <c r="I591" s="27">
        <f>IF($A591="","",SUMIFS(入库单!$K$4:$K$2503,入库单!$G$4:$G$2503,$A591,入库单!$X$4:$X$2503,"采购入库",入库单!$Z$4:$Z$2503,"正常",入库单!$C$4:$C$2503,"&gt;="&amp;账期起,入库单!$C$4:$C$2503,"&lt;="&amp;账期止))</f>
        <v/>
      </c>
      <c r="J591" s="26">
        <f>IF($A591="","",SUMIFS(入库单!$V$4:$V$2503,入库单!$G$4:$G$2503,$A591,入库单!$X$4:$X$2503,"采购入库",入库单!$Z$4:$Z$2503,"正常",入库单!$C$4:$C$2503,"&gt;="&amp;账期起,入库单!$C$4:$C$2503,"&lt;="&amp;账期止))</f>
        <v/>
      </c>
      <c r="K591" s="26">
        <f>IF($A591="","",IFERROR(ROUND((N($H591)+N($J591))/(N($G591)+N($I591)),2),0))</f>
        <v/>
      </c>
      <c r="L591" s="27">
        <f>IF($A591="","",SUMIFS(入库单!$K$4:$K$2503,入库单!$G$4:$G$2503,$A591,入库单!$X$4:$X$2503,"盘盈",入库单!$Z$4:$Z$2503,"正常",入库单!$C$4:$C$2503,"&gt;="&amp;账期起,入库单!$C$4:$C$2503,"&lt;="&amp;账期止))</f>
        <v/>
      </c>
      <c r="M591" s="26">
        <f>IF($A591="","",ROUND($L591*$K591,0))</f>
        <v/>
      </c>
      <c r="N591" s="27">
        <f>IF($A591="","",SUMIFS(入库单!$K$4:$K$2503,入库单!$G$4:$G$2503,$A591,入库单!$X$4:$X$2503,"矿区退库",入库单!$Z$4:$Z$2503,"正常",入库单!$C$4:$C$2503,"&gt;="&amp;账期起,入库单!$C$4:$C$2503,"&lt;="&amp;账期止))</f>
        <v/>
      </c>
      <c r="O591" s="26">
        <f>IF($A591="","",ROUND($N591*$K591,0))</f>
        <v/>
      </c>
      <c r="P591" s="27">
        <f>IF($A591="","",SUMIFS(出库单!$J$4:$J$4003,出库单!$D$4:$D$4003,$A591,出库单!$K$4:$K$4003,"自用消耗",出库单!$U$4:$U$4003,"正常",出库单!$C$4:$C$4003,"&gt;="&amp;账期起,出库单!$C$4:$C$4003,"&lt;="&amp;账期止))</f>
        <v/>
      </c>
      <c r="Q591" s="26">
        <f>IF($A591="","",ROUND(SUMIFS(出库单!$S$4:$S$4003,出库单!$D$4:$D$4003,$A591,出库单!$K$4:$K$4003,"自用消耗",出库单!$U$4:$U$4003,"正常",出库单!$C$4:$C$4003,"&gt;="&amp;账期起,出库单!$C$4:$C$4003,"&lt;="&amp;账期止),0))</f>
        <v/>
      </c>
      <c r="R591" s="27">
        <f>IF($A591="","",SUMIFS(出库单!$J$4:$J$4003,出库单!$D$4:$D$4003,$A591,出库单!$K$4:$K$4003,"对外销售",出库单!$U$4:$U$4003,"正常",出库单!$C$4:$C$4003,"&gt;="&amp;账期起,出库单!$C$4:$C$4003,"&lt;="&amp;账期止))</f>
        <v/>
      </c>
      <c r="S591" s="26">
        <f>IF($A591="","",ROUND(SUMIFS(出库单!$S$4:$S$4003,出库单!$D$4:$D$4003,$A591,出库单!$K$4:$K$4003,"对外销售",出库单!$U$4:$U$4003,"正常",出库单!$C$4:$C$4003,"&gt;="&amp;账期起,出库单!$C$4:$C$4003,"&lt;="&amp;账期止),0))</f>
        <v/>
      </c>
      <c r="T591" s="27">
        <f>IF($A591="","",SUMIFS(出库单!$J$4:$J$4003,出库单!$D$4:$D$4003,$A591,出库单!$K$4:$K$4003,"盘亏",出库单!$U$4:$U$4003,"正常",出库单!$C$4:$C$4003,"&gt;="&amp;账期起,出库单!$C$4:$C$4003,"&lt;="&amp;账期止))</f>
        <v/>
      </c>
      <c r="U591" s="26">
        <f>IF($A591="","",ROUND(SUMIFS(出库单!$S$4:$S$4003,出库单!$D$4:$D$4003,$A591,出库单!$K$4:$K$4003,"盘亏",出库单!$U$4:$U$4003,"正常",出库单!$C$4:$C$4003,"&gt;="&amp;账期起,出库单!$C$4:$C$4003,"&lt;="&amp;账期止),0))</f>
        <v/>
      </c>
      <c r="V591" s="27">
        <f>IF($A591="","",SUMIFS(出库单!$J$4:$J$4003,出库单!$D$4:$D$4003,$A591,出库单!$K$4:$K$4003,"退货给供应商",出库单!$U$4:$U$4003,"正常",出库单!$C$4:$C$4003,"&gt;="&amp;账期起,出库单!$C$4:$C$4003,"&lt;="&amp;账期止))</f>
        <v/>
      </c>
      <c r="W591" s="26">
        <f>IF($A591="","",ROUND(SUMIFS(出库单!$S$4:$S$4003,出库单!$D$4:$D$4003,$A591,出库单!$K$4:$K$4003,"退货给供应商",出库单!$U$4:$U$4003,"正常",出库单!$C$4:$C$4003,"&gt;="&amp;账期起,出库单!$C$4:$C$4003,"&lt;="&amp;账期止),0))</f>
        <v/>
      </c>
      <c r="X591" s="27">
        <f>IF($A591="","",ROUND(N($G591)+$I591+$L591+$N591-$P591-$R591-$T591-$V591,3))</f>
        <v/>
      </c>
      <c r="Y591" s="26">
        <f>IF($A591="","",ROUND(N($H591)+$J591+$M591+$O591-$Q591-$S591-$U591-$W591,0))</f>
        <v/>
      </c>
      <c r="Z591" s="24">
        <f>IF($A591="","",IF(COUNTIFS(入库单!$G$4:$G$2503,$A591,入库单!$Y$4:$Y$2503,"待补价")+COUNTIFS(入库单!$G$4:$G$2503,$A591,入库单!$Y$4:$Y$2503,"暂估")&gt;0,"不可信","可信"))</f>
        <v/>
      </c>
      <c r="AA591" s="24">
        <f>IF($A591="","",IF($X591&lt;-0.001,"※账面负库存，查一下是不是漏记入库",IF(AND(ROUND($X591,3)=0,ABS($Y591)&gt;1),"※数量已经是 0，金额还挂着 "&amp;TEXT($Y591,"#,##0")&amp;" 先令",IF(AND($X591&gt;0,$Y591&lt;=0,$K591=0),"※有数量没金额（这个物料一直没填过进价）",IF($Z591="不可信","△成本含待补价/暂估，毛利仅供参考","")))))</f>
        <v/>
      </c>
    </row>
    <row r="592">
      <c r="A592" s="24">
        <f>IF(物料档案!$A591="","",物料档案!$A591)</f>
        <v/>
      </c>
      <c r="B592" s="24">
        <f>IF($A592="","",IFERROR(VLOOKUP($A592,物料档案!$A$4:$P$1203,3,0),""))</f>
        <v/>
      </c>
      <c r="C592" s="24">
        <f>IF($A592="","",IFERROR(VLOOKUP($A592,物料档案!$A$4:$P$1203,4,0),""))</f>
        <v/>
      </c>
      <c r="D592" s="24">
        <f>IF($A592="","",IFERROR(VLOOKUP($A592,物料档案!$A$4:$P$1203,5,0),""))</f>
        <v/>
      </c>
      <c r="E592" s="24">
        <f>IF($A592="","",IFERROR(VLOOKUP($A592,物料档案!$A$4:$P$1203,2,0),""))</f>
        <v/>
      </c>
      <c r="F592" s="24">
        <f>IF($A592="","",IFERROR(VLOOKUP($A592,物料档案!$A$4:$P$1203,6,0),""))</f>
        <v/>
      </c>
      <c r="G592" s="23" t="n"/>
      <c r="H592" s="32" t="n"/>
      <c r="I592" s="27">
        <f>IF($A592="","",SUMIFS(入库单!$K$4:$K$2503,入库单!$G$4:$G$2503,$A592,入库单!$X$4:$X$2503,"采购入库",入库单!$Z$4:$Z$2503,"正常",入库单!$C$4:$C$2503,"&gt;="&amp;账期起,入库单!$C$4:$C$2503,"&lt;="&amp;账期止))</f>
        <v/>
      </c>
      <c r="J592" s="26">
        <f>IF($A592="","",SUMIFS(入库单!$V$4:$V$2503,入库单!$G$4:$G$2503,$A592,入库单!$X$4:$X$2503,"采购入库",入库单!$Z$4:$Z$2503,"正常",入库单!$C$4:$C$2503,"&gt;="&amp;账期起,入库单!$C$4:$C$2503,"&lt;="&amp;账期止))</f>
        <v/>
      </c>
      <c r="K592" s="26">
        <f>IF($A592="","",IFERROR(ROUND((N($H592)+N($J592))/(N($G592)+N($I592)),2),0))</f>
        <v/>
      </c>
      <c r="L592" s="27">
        <f>IF($A592="","",SUMIFS(入库单!$K$4:$K$2503,入库单!$G$4:$G$2503,$A592,入库单!$X$4:$X$2503,"盘盈",入库单!$Z$4:$Z$2503,"正常",入库单!$C$4:$C$2503,"&gt;="&amp;账期起,入库单!$C$4:$C$2503,"&lt;="&amp;账期止))</f>
        <v/>
      </c>
      <c r="M592" s="26">
        <f>IF($A592="","",ROUND($L592*$K592,0))</f>
        <v/>
      </c>
      <c r="N592" s="27">
        <f>IF($A592="","",SUMIFS(入库单!$K$4:$K$2503,入库单!$G$4:$G$2503,$A592,入库单!$X$4:$X$2503,"矿区退库",入库单!$Z$4:$Z$2503,"正常",入库单!$C$4:$C$2503,"&gt;="&amp;账期起,入库单!$C$4:$C$2503,"&lt;="&amp;账期止))</f>
        <v/>
      </c>
      <c r="O592" s="26">
        <f>IF($A592="","",ROUND($N592*$K592,0))</f>
        <v/>
      </c>
      <c r="P592" s="27">
        <f>IF($A592="","",SUMIFS(出库单!$J$4:$J$4003,出库单!$D$4:$D$4003,$A592,出库单!$K$4:$K$4003,"自用消耗",出库单!$U$4:$U$4003,"正常",出库单!$C$4:$C$4003,"&gt;="&amp;账期起,出库单!$C$4:$C$4003,"&lt;="&amp;账期止))</f>
        <v/>
      </c>
      <c r="Q592" s="26">
        <f>IF($A592="","",ROUND(SUMIFS(出库单!$S$4:$S$4003,出库单!$D$4:$D$4003,$A592,出库单!$K$4:$K$4003,"自用消耗",出库单!$U$4:$U$4003,"正常",出库单!$C$4:$C$4003,"&gt;="&amp;账期起,出库单!$C$4:$C$4003,"&lt;="&amp;账期止),0))</f>
        <v/>
      </c>
      <c r="R592" s="27">
        <f>IF($A592="","",SUMIFS(出库单!$J$4:$J$4003,出库单!$D$4:$D$4003,$A592,出库单!$K$4:$K$4003,"对外销售",出库单!$U$4:$U$4003,"正常",出库单!$C$4:$C$4003,"&gt;="&amp;账期起,出库单!$C$4:$C$4003,"&lt;="&amp;账期止))</f>
        <v/>
      </c>
      <c r="S592" s="26">
        <f>IF($A592="","",ROUND(SUMIFS(出库单!$S$4:$S$4003,出库单!$D$4:$D$4003,$A592,出库单!$K$4:$K$4003,"对外销售",出库单!$U$4:$U$4003,"正常",出库单!$C$4:$C$4003,"&gt;="&amp;账期起,出库单!$C$4:$C$4003,"&lt;="&amp;账期止),0))</f>
        <v/>
      </c>
      <c r="T592" s="27">
        <f>IF($A592="","",SUMIFS(出库单!$J$4:$J$4003,出库单!$D$4:$D$4003,$A592,出库单!$K$4:$K$4003,"盘亏",出库单!$U$4:$U$4003,"正常",出库单!$C$4:$C$4003,"&gt;="&amp;账期起,出库单!$C$4:$C$4003,"&lt;="&amp;账期止))</f>
        <v/>
      </c>
      <c r="U592" s="26">
        <f>IF($A592="","",ROUND(SUMIFS(出库单!$S$4:$S$4003,出库单!$D$4:$D$4003,$A592,出库单!$K$4:$K$4003,"盘亏",出库单!$U$4:$U$4003,"正常",出库单!$C$4:$C$4003,"&gt;="&amp;账期起,出库单!$C$4:$C$4003,"&lt;="&amp;账期止),0))</f>
        <v/>
      </c>
      <c r="V592" s="27">
        <f>IF($A592="","",SUMIFS(出库单!$J$4:$J$4003,出库单!$D$4:$D$4003,$A592,出库单!$K$4:$K$4003,"退货给供应商",出库单!$U$4:$U$4003,"正常",出库单!$C$4:$C$4003,"&gt;="&amp;账期起,出库单!$C$4:$C$4003,"&lt;="&amp;账期止))</f>
        <v/>
      </c>
      <c r="W592" s="26">
        <f>IF($A592="","",ROUND(SUMIFS(出库单!$S$4:$S$4003,出库单!$D$4:$D$4003,$A592,出库单!$K$4:$K$4003,"退货给供应商",出库单!$U$4:$U$4003,"正常",出库单!$C$4:$C$4003,"&gt;="&amp;账期起,出库单!$C$4:$C$4003,"&lt;="&amp;账期止),0))</f>
        <v/>
      </c>
      <c r="X592" s="27">
        <f>IF($A592="","",ROUND(N($G592)+$I592+$L592+$N592-$P592-$R592-$T592-$V592,3))</f>
        <v/>
      </c>
      <c r="Y592" s="26">
        <f>IF($A592="","",ROUND(N($H592)+$J592+$M592+$O592-$Q592-$S592-$U592-$W592,0))</f>
        <v/>
      </c>
      <c r="Z592" s="24">
        <f>IF($A592="","",IF(COUNTIFS(入库单!$G$4:$G$2503,$A592,入库单!$Y$4:$Y$2503,"待补价")+COUNTIFS(入库单!$G$4:$G$2503,$A592,入库单!$Y$4:$Y$2503,"暂估")&gt;0,"不可信","可信"))</f>
        <v/>
      </c>
      <c r="AA592" s="24">
        <f>IF($A592="","",IF($X592&lt;-0.001,"※账面负库存，查一下是不是漏记入库",IF(AND(ROUND($X592,3)=0,ABS($Y592)&gt;1),"※数量已经是 0，金额还挂着 "&amp;TEXT($Y592,"#,##0")&amp;" 先令",IF(AND($X592&gt;0,$Y592&lt;=0,$K592=0),"※有数量没金额（这个物料一直没填过进价）",IF($Z592="不可信","△成本含待补价/暂估，毛利仅供参考","")))))</f>
        <v/>
      </c>
    </row>
    <row r="593">
      <c r="A593" s="24">
        <f>IF(物料档案!$A592="","",物料档案!$A592)</f>
        <v/>
      </c>
      <c r="B593" s="24">
        <f>IF($A593="","",IFERROR(VLOOKUP($A593,物料档案!$A$4:$P$1203,3,0),""))</f>
        <v/>
      </c>
      <c r="C593" s="24">
        <f>IF($A593="","",IFERROR(VLOOKUP($A593,物料档案!$A$4:$P$1203,4,0),""))</f>
        <v/>
      </c>
      <c r="D593" s="24">
        <f>IF($A593="","",IFERROR(VLOOKUP($A593,物料档案!$A$4:$P$1203,5,0),""))</f>
        <v/>
      </c>
      <c r="E593" s="24">
        <f>IF($A593="","",IFERROR(VLOOKUP($A593,物料档案!$A$4:$P$1203,2,0),""))</f>
        <v/>
      </c>
      <c r="F593" s="24">
        <f>IF($A593="","",IFERROR(VLOOKUP($A593,物料档案!$A$4:$P$1203,6,0),""))</f>
        <v/>
      </c>
      <c r="G593" s="23" t="n"/>
      <c r="H593" s="32" t="n"/>
      <c r="I593" s="27">
        <f>IF($A593="","",SUMIFS(入库单!$K$4:$K$2503,入库单!$G$4:$G$2503,$A593,入库单!$X$4:$X$2503,"采购入库",入库单!$Z$4:$Z$2503,"正常",入库单!$C$4:$C$2503,"&gt;="&amp;账期起,入库单!$C$4:$C$2503,"&lt;="&amp;账期止))</f>
        <v/>
      </c>
      <c r="J593" s="26">
        <f>IF($A593="","",SUMIFS(入库单!$V$4:$V$2503,入库单!$G$4:$G$2503,$A593,入库单!$X$4:$X$2503,"采购入库",入库单!$Z$4:$Z$2503,"正常",入库单!$C$4:$C$2503,"&gt;="&amp;账期起,入库单!$C$4:$C$2503,"&lt;="&amp;账期止))</f>
        <v/>
      </c>
      <c r="K593" s="26">
        <f>IF($A593="","",IFERROR(ROUND((N($H593)+N($J593))/(N($G593)+N($I593)),2),0))</f>
        <v/>
      </c>
      <c r="L593" s="27">
        <f>IF($A593="","",SUMIFS(入库单!$K$4:$K$2503,入库单!$G$4:$G$2503,$A593,入库单!$X$4:$X$2503,"盘盈",入库单!$Z$4:$Z$2503,"正常",入库单!$C$4:$C$2503,"&gt;="&amp;账期起,入库单!$C$4:$C$2503,"&lt;="&amp;账期止))</f>
        <v/>
      </c>
      <c r="M593" s="26">
        <f>IF($A593="","",ROUND($L593*$K593,0))</f>
        <v/>
      </c>
      <c r="N593" s="27">
        <f>IF($A593="","",SUMIFS(入库单!$K$4:$K$2503,入库单!$G$4:$G$2503,$A593,入库单!$X$4:$X$2503,"矿区退库",入库单!$Z$4:$Z$2503,"正常",入库单!$C$4:$C$2503,"&gt;="&amp;账期起,入库单!$C$4:$C$2503,"&lt;="&amp;账期止))</f>
        <v/>
      </c>
      <c r="O593" s="26">
        <f>IF($A593="","",ROUND($N593*$K593,0))</f>
        <v/>
      </c>
      <c r="P593" s="27">
        <f>IF($A593="","",SUMIFS(出库单!$J$4:$J$4003,出库单!$D$4:$D$4003,$A593,出库单!$K$4:$K$4003,"自用消耗",出库单!$U$4:$U$4003,"正常",出库单!$C$4:$C$4003,"&gt;="&amp;账期起,出库单!$C$4:$C$4003,"&lt;="&amp;账期止))</f>
        <v/>
      </c>
      <c r="Q593" s="26">
        <f>IF($A593="","",ROUND(SUMIFS(出库单!$S$4:$S$4003,出库单!$D$4:$D$4003,$A593,出库单!$K$4:$K$4003,"自用消耗",出库单!$U$4:$U$4003,"正常",出库单!$C$4:$C$4003,"&gt;="&amp;账期起,出库单!$C$4:$C$4003,"&lt;="&amp;账期止),0))</f>
        <v/>
      </c>
      <c r="R593" s="27">
        <f>IF($A593="","",SUMIFS(出库单!$J$4:$J$4003,出库单!$D$4:$D$4003,$A593,出库单!$K$4:$K$4003,"对外销售",出库单!$U$4:$U$4003,"正常",出库单!$C$4:$C$4003,"&gt;="&amp;账期起,出库单!$C$4:$C$4003,"&lt;="&amp;账期止))</f>
        <v/>
      </c>
      <c r="S593" s="26">
        <f>IF($A593="","",ROUND(SUMIFS(出库单!$S$4:$S$4003,出库单!$D$4:$D$4003,$A593,出库单!$K$4:$K$4003,"对外销售",出库单!$U$4:$U$4003,"正常",出库单!$C$4:$C$4003,"&gt;="&amp;账期起,出库单!$C$4:$C$4003,"&lt;="&amp;账期止),0))</f>
        <v/>
      </c>
      <c r="T593" s="27">
        <f>IF($A593="","",SUMIFS(出库单!$J$4:$J$4003,出库单!$D$4:$D$4003,$A593,出库单!$K$4:$K$4003,"盘亏",出库单!$U$4:$U$4003,"正常",出库单!$C$4:$C$4003,"&gt;="&amp;账期起,出库单!$C$4:$C$4003,"&lt;="&amp;账期止))</f>
        <v/>
      </c>
      <c r="U593" s="26">
        <f>IF($A593="","",ROUND(SUMIFS(出库单!$S$4:$S$4003,出库单!$D$4:$D$4003,$A593,出库单!$K$4:$K$4003,"盘亏",出库单!$U$4:$U$4003,"正常",出库单!$C$4:$C$4003,"&gt;="&amp;账期起,出库单!$C$4:$C$4003,"&lt;="&amp;账期止),0))</f>
        <v/>
      </c>
      <c r="V593" s="27">
        <f>IF($A593="","",SUMIFS(出库单!$J$4:$J$4003,出库单!$D$4:$D$4003,$A593,出库单!$K$4:$K$4003,"退货给供应商",出库单!$U$4:$U$4003,"正常",出库单!$C$4:$C$4003,"&gt;="&amp;账期起,出库单!$C$4:$C$4003,"&lt;="&amp;账期止))</f>
        <v/>
      </c>
      <c r="W593" s="26">
        <f>IF($A593="","",ROUND(SUMIFS(出库单!$S$4:$S$4003,出库单!$D$4:$D$4003,$A593,出库单!$K$4:$K$4003,"退货给供应商",出库单!$U$4:$U$4003,"正常",出库单!$C$4:$C$4003,"&gt;="&amp;账期起,出库单!$C$4:$C$4003,"&lt;="&amp;账期止),0))</f>
        <v/>
      </c>
      <c r="X593" s="27">
        <f>IF($A593="","",ROUND(N($G593)+$I593+$L593+$N593-$P593-$R593-$T593-$V593,3))</f>
        <v/>
      </c>
      <c r="Y593" s="26">
        <f>IF($A593="","",ROUND(N($H593)+$J593+$M593+$O593-$Q593-$S593-$U593-$W593,0))</f>
        <v/>
      </c>
      <c r="Z593" s="24">
        <f>IF($A593="","",IF(COUNTIFS(入库单!$G$4:$G$2503,$A593,入库单!$Y$4:$Y$2503,"待补价")+COUNTIFS(入库单!$G$4:$G$2503,$A593,入库单!$Y$4:$Y$2503,"暂估")&gt;0,"不可信","可信"))</f>
        <v/>
      </c>
      <c r="AA593" s="24">
        <f>IF($A593="","",IF($X593&lt;-0.001,"※账面负库存，查一下是不是漏记入库",IF(AND(ROUND($X593,3)=0,ABS($Y593)&gt;1),"※数量已经是 0，金额还挂着 "&amp;TEXT($Y593,"#,##0")&amp;" 先令",IF(AND($X593&gt;0,$Y593&lt;=0,$K593=0),"※有数量没金额（这个物料一直没填过进价）",IF($Z593="不可信","△成本含待补价/暂估，毛利仅供参考","")))))</f>
        <v/>
      </c>
    </row>
    <row r="594">
      <c r="A594" s="24">
        <f>IF(物料档案!$A593="","",物料档案!$A593)</f>
        <v/>
      </c>
      <c r="B594" s="24">
        <f>IF($A594="","",IFERROR(VLOOKUP($A594,物料档案!$A$4:$P$1203,3,0),""))</f>
        <v/>
      </c>
      <c r="C594" s="24">
        <f>IF($A594="","",IFERROR(VLOOKUP($A594,物料档案!$A$4:$P$1203,4,0),""))</f>
        <v/>
      </c>
      <c r="D594" s="24">
        <f>IF($A594="","",IFERROR(VLOOKUP($A594,物料档案!$A$4:$P$1203,5,0),""))</f>
        <v/>
      </c>
      <c r="E594" s="24">
        <f>IF($A594="","",IFERROR(VLOOKUP($A594,物料档案!$A$4:$P$1203,2,0),""))</f>
        <v/>
      </c>
      <c r="F594" s="24">
        <f>IF($A594="","",IFERROR(VLOOKUP($A594,物料档案!$A$4:$P$1203,6,0),""))</f>
        <v/>
      </c>
      <c r="G594" s="23" t="n"/>
      <c r="H594" s="32" t="n"/>
      <c r="I594" s="27">
        <f>IF($A594="","",SUMIFS(入库单!$K$4:$K$2503,入库单!$G$4:$G$2503,$A594,入库单!$X$4:$X$2503,"采购入库",入库单!$Z$4:$Z$2503,"正常",入库单!$C$4:$C$2503,"&gt;="&amp;账期起,入库单!$C$4:$C$2503,"&lt;="&amp;账期止))</f>
        <v/>
      </c>
      <c r="J594" s="26">
        <f>IF($A594="","",SUMIFS(入库单!$V$4:$V$2503,入库单!$G$4:$G$2503,$A594,入库单!$X$4:$X$2503,"采购入库",入库单!$Z$4:$Z$2503,"正常",入库单!$C$4:$C$2503,"&gt;="&amp;账期起,入库单!$C$4:$C$2503,"&lt;="&amp;账期止))</f>
        <v/>
      </c>
      <c r="K594" s="26">
        <f>IF($A594="","",IFERROR(ROUND((N($H594)+N($J594))/(N($G594)+N($I594)),2),0))</f>
        <v/>
      </c>
      <c r="L594" s="27">
        <f>IF($A594="","",SUMIFS(入库单!$K$4:$K$2503,入库单!$G$4:$G$2503,$A594,入库单!$X$4:$X$2503,"盘盈",入库单!$Z$4:$Z$2503,"正常",入库单!$C$4:$C$2503,"&gt;="&amp;账期起,入库单!$C$4:$C$2503,"&lt;="&amp;账期止))</f>
        <v/>
      </c>
      <c r="M594" s="26">
        <f>IF($A594="","",ROUND($L594*$K594,0))</f>
        <v/>
      </c>
      <c r="N594" s="27">
        <f>IF($A594="","",SUMIFS(入库单!$K$4:$K$2503,入库单!$G$4:$G$2503,$A594,入库单!$X$4:$X$2503,"矿区退库",入库单!$Z$4:$Z$2503,"正常",入库单!$C$4:$C$2503,"&gt;="&amp;账期起,入库单!$C$4:$C$2503,"&lt;="&amp;账期止))</f>
        <v/>
      </c>
      <c r="O594" s="26">
        <f>IF($A594="","",ROUND($N594*$K594,0))</f>
        <v/>
      </c>
      <c r="P594" s="27">
        <f>IF($A594="","",SUMIFS(出库单!$J$4:$J$4003,出库单!$D$4:$D$4003,$A594,出库单!$K$4:$K$4003,"自用消耗",出库单!$U$4:$U$4003,"正常",出库单!$C$4:$C$4003,"&gt;="&amp;账期起,出库单!$C$4:$C$4003,"&lt;="&amp;账期止))</f>
        <v/>
      </c>
      <c r="Q594" s="26">
        <f>IF($A594="","",ROUND(SUMIFS(出库单!$S$4:$S$4003,出库单!$D$4:$D$4003,$A594,出库单!$K$4:$K$4003,"自用消耗",出库单!$U$4:$U$4003,"正常",出库单!$C$4:$C$4003,"&gt;="&amp;账期起,出库单!$C$4:$C$4003,"&lt;="&amp;账期止),0))</f>
        <v/>
      </c>
      <c r="R594" s="27">
        <f>IF($A594="","",SUMIFS(出库单!$J$4:$J$4003,出库单!$D$4:$D$4003,$A594,出库单!$K$4:$K$4003,"对外销售",出库单!$U$4:$U$4003,"正常",出库单!$C$4:$C$4003,"&gt;="&amp;账期起,出库单!$C$4:$C$4003,"&lt;="&amp;账期止))</f>
        <v/>
      </c>
      <c r="S594" s="26">
        <f>IF($A594="","",ROUND(SUMIFS(出库单!$S$4:$S$4003,出库单!$D$4:$D$4003,$A594,出库单!$K$4:$K$4003,"对外销售",出库单!$U$4:$U$4003,"正常",出库单!$C$4:$C$4003,"&gt;="&amp;账期起,出库单!$C$4:$C$4003,"&lt;="&amp;账期止),0))</f>
        <v/>
      </c>
      <c r="T594" s="27">
        <f>IF($A594="","",SUMIFS(出库单!$J$4:$J$4003,出库单!$D$4:$D$4003,$A594,出库单!$K$4:$K$4003,"盘亏",出库单!$U$4:$U$4003,"正常",出库单!$C$4:$C$4003,"&gt;="&amp;账期起,出库单!$C$4:$C$4003,"&lt;="&amp;账期止))</f>
        <v/>
      </c>
      <c r="U594" s="26">
        <f>IF($A594="","",ROUND(SUMIFS(出库单!$S$4:$S$4003,出库单!$D$4:$D$4003,$A594,出库单!$K$4:$K$4003,"盘亏",出库单!$U$4:$U$4003,"正常",出库单!$C$4:$C$4003,"&gt;="&amp;账期起,出库单!$C$4:$C$4003,"&lt;="&amp;账期止),0))</f>
        <v/>
      </c>
      <c r="V594" s="27">
        <f>IF($A594="","",SUMIFS(出库单!$J$4:$J$4003,出库单!$D$4:$D$4003,$A594,出库单!$K$4:$K$4003,"退货给供应商",出库单!$U$4:$U$4003,"正常",出库单!$C$4:$C$4003,"&gt;="&amp;账期起,出库单!$C$4:$C$4003,"&lt;="&amp;账期止))</f>
        <v/>
      </c>
      <c r="W594" s="26">
        <f>IF($A594="","",ROUND(SUMIFS(出库单!$S$4:$S$4003,出库单!$D$4:$D$4003,$A594,出库单!$K$4:$K$4003,"退货给供应商",出库单!$U$4:$U$4003,"正常",出库单!$C$4:$C$4003,"&gt;="&amp;账期起,出库单!$C$4:$C$4003,"&lt;="&amp;账期止),0))</f>
        <v/>
      </c>
      <c r="X594" s="27">
        <f>IF($A594="","",ROUND(N($G594)+$I594+$L594+$N594-$P594-$R594-$T594-$V594,3))</f>
        <v/>
      </c>
      <c r="Y594" s="26">
        <f>IF($A594="","",ROUND(N($H594)+$J594+$M594+$O594-$Q594-$S594-$U594-$W594,0))</f>
        <v/>
      </c>
      <c r="Z594" s="24">
        <f>IF($A594="","",IF(COUNTIFS(入库单!$G$4:$G$2503,$A594,入库单!$Y$4:$Y$2503,"待补价")+COUNTIFS(入库单!$G$4:$G$2503,$A594,入库单!$Y$4:$Y$2503,"暂估")&gt;0,"不可信","可信"))</f>
        <v/>
      </c>
      <c r="AA594" s="24">
        <f>IF($A594="","",IF($X594&lt;-0.001,"※账面负库存，查一下是不是漏记入库",IF(AND(ROUND($X594,3)=0,ABS($Y594)&gt;1),"※数量已经是 0，金额还挂着 "&amp;TEXT($Y594,"#,##0")&amp;" 先令",IF(AND($X594&gt;0,$Y594&lt;=0,$K594=0),"※有数量没金额（这个物料一直没填过进价）",IF($Z594="不可信","△成本含待补价/暂估，毛利仅供参考","")))))</f>
        <v/>
      </c>
    </row>
    <row r="595">
      <c r="A595" s="24">
        <f>IF(物料档案!$A594="","",物料档案!$A594)</f>
        <v/>
      </c>
      <c r="B595" s="24">
        <f>IF($A595="","",IFERROR(VLOOKUP($A595,物料档案!$A$4:$P$1203,3,0),""))</f>
        <v/>
      </c>
      <c r="C595" s="24">
        <f>IF($A595="","",IFERROR(VLOOKUP($A595,物料档案!$A$4:$P$1203,4,0),""))</f>
        <v/>
      </c>
      <c r="D595" s="24">
        <f>IF($A595="","",IFERROR(VLOOKUP($A595,物料档案!$A$4:$P$1203,5,0),""))</f>
        <v/>
      </c>
      <c r="E595" s="24">
        <f>IF($A595="","",IFERROR(VLOOKUP($A595,物料档案!$A$4:$P$1203,2,0),""))</f>
        <v/>
      </c>
      <c r="F595" s="24">
        <f>IF($A595="","",IFERROR(VLOOKUP($A595,物料档案!$A$4:$P$1203,6,0),""))</f>
        <v/>
      </c>
      <c r="G595" s="23" t="n"/>
      <c r="H595" s="32" t="n"/>
      <c r="I595" s="27">
        <f>IF($A595="","",SUMIFS(入库单!$K$4:$K$2503,入库单!$G$4:$G$2503,$A595,入库单!$X$4:$X$2503,"采购入库",入库单!$Z$4:$Z$2503,"正常",入库单!$C$4:$C$2503,"&gt;="&amp;账期起,入库单!$C$4:$C$2503,"&lt;="&amp;账期止))</f>
        <v/>
      </c>
      <c r="J595" s="26">
        <f>IF($A595="","",SUMIFS(入库单!$V$4:$V$2503,入库单!$G$4:$G$2503,$A595,入库单!$X$4:$X$2503,"采购入库",入库单!$Z$4:$Z$2503,"正常",入库单!$C$4:$C$2503,"&gt;="&amp;账期起,入库单!$C$4:$C$2503,"&lt;="&amp;账期止))</f>
        <v/>
      </c>
      <c r="K595" s="26">
        <f>IF($A595="","",IFERROR(ROUND((N($H595)+N($J595))/(N($G595)+N($I595)),2),0))</f>
        <v/>
      </c>
      <c r="L595" s="27">
        <f>IF($A595="","",SUMIFS(入库单!$K$4:$K$2503,入库单!$G$4:$G$2503,$A595,入库单!$X$4:$X$2503,"盘盈",入库单!$Z$4:$Z$2503,"正常",入库单!$C$4:$C$2503,"&gt;="&amp;账期起,入库单!$C$4:$C$2503,"&lt;="&amp;账期止))</f>
        <v/>
      </c>
      <c r="M595" s="26">
        <f>IF($A595="","",ROUND($L595*$K595,0))</f>
        <v/>
      </c>
      <c r="N595" s="27">
        <f>IF($A595="","",SUMIFS(入库单!$K$4:$K$2503,入库单!$G$4:$G$2503,$A595,入库单!$X$4:$X$2503,"矿区退库",入库单!$Z$4:$Z$2503,"正常",入库单!$C$4:$C$2503,"&gt;="&amp;账期起,入库单!$C$4:$C$2503,"&lt;="&amp;账期止))</f>
        <v/>
      </c>
      <c r="O595" s="26">
        <f>IF($A595="","",ROUND($N595*$K595,0))</f>
        <v/>
      </c>
      <c r="P595" s="27">
        <f>IF($A595="","",SUMIFS(出库单!$J$4:$J$4003,出库单!$D$4:$D$4003,$A595,出库单!$K$4:$K$4003,"自用消耗",出库单!$U$4:$U$4003,"正常",出库单!$C$4:$C$4003,"&gt;="&amp;账期起,出库单!$C$4:$C$4003,"&lt;="&amp;账期止))</f>
        <v/>
      </c>
      <c r="Q595" s="26">
        <f>IF($A595="","",ROUND(SUMIFS(出库单!$S$4:$S$4003,出库单!$D$4:$D$4003,$A595,出库单!$K$4:$K$4003,"自用消耗",出库单!$U$4:$U$4003,"正常",出库单!$C$4:$C$4003,"&gt;="&amp;账期起,出库单!$C$4:$C$4003,"&lt;="&amp;账期止),0))</f>
        <v/>
      </c>
      <c r="R595" s="27">
        <f>IF($A595="","",SUMIFS(出库单!$J$4:$J$4003,出库单!$D$4:$D$4003,$A595,出库单!$K$4:$K$4003,"对外销售",出库单!$U$4:$U$4003,"正常",出库单!$C$4:$C$4003,"&gt;="&amp;账期起,出库单!$C$4:$C$4003,"&lt;="&amp;账期止))</f>
        <v/>
      </c>
      <c r="S595" s="26">
        <f>IF($A595="","",ROUND(SUMIFS(出库单!$S$4:$S$4003,出库单!$D$4:$D$4003,$A595,出库单!$K$4:$K$4003,"对外销售",出库单!$U$4:$U$4003,"正常",出库单!$C$4:$C$4003,"&gt;="&amp;账期起,出库单!$C$4:$C$4003,"&lt;="&amp;账期止),0))</f>
        <v/>
      </c>
      <c r="T595" s="27">
        <f>IF($A595="","",SUMIFS(出库单!$J$4:$J$4003,出库单!$D$4:$D$4003,$A595,出库单!$K$4:$K$4003,"盘亏",出库单!$U$4:$U$4003,"正常",出库单!$C$4:$C$4003,"&gt;="&amp;账期起,出库单!$C$4:$C$4003,"&lt;="&amp;账期止))</f>
        <v/>
      </c>
      <c r="U595" s="26">
        <f>IF($A595="","",ROUND(SUMIFS(出库单!$S$4:$S$4003,出库单!$D$4:$D$4003,$A595,出库单!$K$4:$K$4003,"盘亏",出库单!$U$4:$U$4003,"正常",出库单!$C$4:$C$4003,"&gt;="&amp;账期起,出库单!$C$4:$C$4003,"&lt;="&amp;账期止),0))</f>
        <v/>
      </c>
      <c r="V595" s="27">
        <f>IF($A595="","",SUMIFS(出库单!$J$4:$J$4003,出库单!$D$4:$D$4003,$A595,出库单!$K$4:$K$4003,"退货给供应商",出库单!$U$4:$U$4003,"正常",出库单!$C$4:$C$4003,"&gt;="&amp;账期起,出库单!$C$4:$C$4003,"&lt;="&amp;账期止))</f>
        <v/>
      </c>
      <c r="W595" s="26">
        <f>IF($A595="","",ROUND(SUMIFS(出库单!$S$4:$S$4003,出库单!$D$4:$D$4003,$A595,出库单!$K$4:$K$4003,"退货给供应商",出库单!$U$4:$U$4003,"正常",出库单!$C$4:$C$4003,"&gt;="&amp;账期起,出库单!$C$4:$C$4003,"&lt;="&amp;账期止),0))</f>
        <v/>
      </c>
      <c r="X595" s="27">
        <f>IF($A595="","",ROUND(N($G595)+$I595+$L595+$N595-$P595-$R595-$T595-$V595,3))</f>
        <v/>
      </c>
      <c r="Y595" s="26">
        <f>IF($A595="","",ROUND(N($H595)+$J595+$M595+$O595-$Q595-$S595-$U595-$W595,0))</f>
        <v/>
      </c>
      <c r="Z595" s="24">
        <f>IF($A595="","",IF(COUNTIFS(入库单!$G$4:$G$2503,$A595,入库单!$Y$4:$Y$2503,"待补价")+COUNTIFS(入库单!$G$4:$G$2503,$A595,入库单!$Y$4:$Y$2503,"暂估")&gt;0,"不可信","可信"))</f>
        <v/>
      </c>
      <c r="AA595" s="24">
        <f>IF($A595="","",IF($X595&lt;-0.001,"※账面负库存，查一下是不是漏记入库",IF(AND(ROUND($X595,3)=0,ABS($Y595)&gt;1),"※数量已经是 0，金额还挂着 "&amp;TEXT($Y595,"#,##0")&amp;" 先令",IF(AND($X595&gt;0,$Y595&lt;=0,$K595=0),"※有数量没金额（这个物料一直没填过进价）",IF($Z595="不可信","△成本含待补价/暂估，毛利仅供参考","")))))</f>
        <v/>
      </c>
    </row>
    <row r="596">
      <c r="A596" s="24">
        <f>IF(物料档案!$A595="","",物料档案!$A595)</f>
        <v/>
      </c>
      <c r="B596" s="24">
        <f>IF($A596="","",IFERROR(VLOOKUP($A596,物料档案!$A$4:$P$1203,3,0),""))</f>
        <v/>
      </c>
      <c r="C596" s="24">
        <f>IF($A596="","",IFERROR(VLOOKUP($A596,物料档案!$A$4:$P$1203,4,0),""))</f>
        <v/>
      </c>
      <c r="D596" s="24">
        <f>IF($A596="","",IFERROR(VLOOKUP($A596,物料档案!$A$4:$P$1203,5,0),""))</f>
        <v/>
      </c>
      <c r="E596" s="24">
        <f>IF($A596="","",IFERROR(VLOOKUP($A596,物料档案!$A$4:$P$1203,2,0),""))</f>
        <v/>
      </c>
      <c r="F596" s="24">
        <f>IF($A596="","",IFERROR(VLOOKUP($A596,物料档案!$A$4:$P$1203,6,0),""))</f>
        <v/>
      </c>
      <c r="G596" s="23" t="n"/>
      <c r="H596" s="32" t="n"/>
      <c r="I596" s="27">
        <f>IF($A596="","",SUMIFS(入库单!$K$4:$K$2503,入库单!$G$4:$G$2503,$A596,入库单!$X$4:$X$2503,"采购入库",入库单!$Z$4:$Z$2503,"正常",入库单!$C$4:$C$2503,"&gt;="&amp;账期起,入库单!$C$4:$C$2503,"&lt;="&amp;账期止))</f>
        <v/>
      </c>
      <c r="J596" s="26">
        <f>IF($A596="","",SUMIFS(入库单!$V$4:$V$2503,入库单!$G$4:$G$2503,$A596,入库单!$X$4:$X$2503,"采购入库",入库单!$Z$4:$Z$2503,"正常",入库单!$C$4:$C$2503,"&gt;="&amp;账期起,入库单!$C$4:$C$2503,"&lt;="&amp;账期止))</f>
        <v/>
      </c>
      <c r="K596" s="26">
        <f>IF($A596="","",IFERROR(ROUND((N($H596)+N($J596))/(N($G596)+N($I596)),2),0))</f>
        <v/>
      </c>
      <c r="L596" s="27">
        <f>IF($A596="","",SUMIFS(入库单!$K$4:$K$2503,入库单!$G$4:$G$2503,$A596,入库单!$X$4:$X$2503,"盘盈",入库单!$Z$4:$Z$2503,"正常",入库单!$C$4:$C$2503,"&gt;="&amp;账期起,入库单!$C$4:$C$2503,"&lt;="&amp;账期止))</f>
        <v/>
      </c>
      <c r="M596" s="26">
        <f>IF($A596="","",ROUND($L596*$K596,0))</f>
        <v/>
      </c>
      <c r="N596" s="27">
        <f>IF($A596="","",SUMIFS(入库单!$K$4:$K$2503,入库单!$G$4:$G$2503,$A596,入库单!$X$4:$X$2503,"矿区退库",入库单!$Z$4:$Z$2503,"正常",入库单!$C$4:$C$2503,"&gt;="&amp;账期起,入库单!$C$4:$C$2503,"&lt;="&amp;账期止))</f>
        <v/>
      </c>
      <c r="O596" s="26">
        <f>IF($A596="","",ROUND($N596*$K596,0))</f>
        <v/>
      </c>
      <c r="P596" s="27">
        <f>IF($A596="","",SUMIFS(出库单!$J$4:$J$4003,出库单!$D$4:$D$4003,$A596,出库单!$K$4:$K$4003,"自用消耗",出库单!$U$4:$U$4003,"正常",出库单!$C$4:$C$4003,"&gt;="&amp;账期起,出库单!$C$4:$C$4003,"&lt;="&amp;账期止))</f>
        <v/>
      </c>
      <c r="Q596" s="26">
        <f>IF($A596="","",ROUND(SUMIFS(出库单!$S$4:$S$4003,出库单!$D$4:$D$4003,$A596,出库单!$K$4:$K$4003,"自用消耗",出库单!$U$4:$U$4003,"正常",出库单!$C$4:$C$4003,"&gt;="&amp;账期起,出库单!$C$4:$C$4003,"&lt;="&amp;账期止),0))</f>
        <v/>
      </c>
      <c r="R596" s="27">
        <f>IF($A596="","",SUMIFS(出库单!$J$4:$J$4003,出库单!$D$4:$D$4003,$A596,出库单!$K$4:$K$4003,"对外销售",出库单!$U$4:$U$4003,"正常",出库单!$C$4:$C$4003,"&gt;="&amp;账期起,出库单!$C$4:$C$4003,"&lt;="&amp;账期止))</f>
        <v/>
      </c>
      <c r="S596" s="26">
        <f>IF($A596="","",ROUND(SUMIFS(出库单!$S$4:$S$4003,出库单!$D$4:$D$4003,$A596,出库单!$K$4:$K$4003,"对外销售",出库单!$U$4:$U$4003,"正常",出库单!$C$4:$C$4003,"&gt;="&amp;账期起,出库单!$C$4:$C$4003,"&lt;="&amp;账期止),0))</f>
        <v/>
      </c>
      <c r="T596" s="27">
        <f>IF($A596="","",SUMIFS(出库单!$J$4:$J$4003,出库单!$D$4:$D$4003,$A596,出库单!$K$4:$K$4003,"盘亏",出库单!$U$4:$U$4003,"正常",出库单!$C$4:$C$4003,"&gt;="&amp;账期起,出库单!$C$4:$C$4003,"&lt;="&amp;账期止))</f>
        <v/>
      </c>
      <c r="U596" s="26">
        <f>IF($A596="","",ROUND(SUMIFS(出库单!$S$4:$S$4003,出库单!$D$4:$D$4003,$A596,出库单!$K$4:$K$4003,"盘亏",出库单!$U$4:$U$4003,"正常",出库单!$C$4:$C$4003,"&gt;="&amp;账期起,出库单!$C$4:$C$4003,"&lt;="&amp;账期止),0))</f>
        <v/>
      </c>
      <c r="V596" s="27">
        <f>IF($A596="","",SUMIFS(出库单!$J$4:$J$4003,出库单!$D$4:$D$4003,$A596,出库单!$K$4:$K$4003,"退货给供应商",出库单!$U$4:$U$4003,"正常",出库单!$C$4:$C$4003,"&gt;="&amp;账期起,出库单!$C$4:$C$4003,"&lt;="&amp;账期止))</f>
        <v/>
      </c>
      <c r="W596" s="26">
        <f>IF($A596="","",ROUND(SUMIFS(出库单!$S$4:$S$4003,出库单!$D$4:$D$4003,$A596,出库单!$K$4:$K$4003,"退货给供应商",出库单!$U$4:$U$4003,"正常",出库单!$C$4:$C$4003,"&gt;="&amp;账期起,出库单!$C$4:$C$4003,"&lt;="&amp;账期止),0))</f>
        <v/>
      </c>
      <c r="X596" s="27">
        <f>IF($A596="","",ROUND(N($G596)+$I596+$L596+$N596-$P596-$R596-$T596-$V596,3))</f>
        <v/>
      </c>
      <c r="Y596" s="26">
        <f>IF($A596="","",ROUND(N($H596)+$J596+$M596+$O596-$Q596-$S596-$U596-$W596,0))</f>
        <v/>
      </c>
      <c r="Z596" s="24">
        <f>IF($A596="","",IF(COUNTIFS(入库单!$G$4:$G$2503,$A596,入库单!$Y$4:$Y$2503,"待补价")+COUNTIFS(入库单!$G$4:$G$2503,$A596,入库单!$Y$4:$Y$2503,"暂估")&gt;0,"不可信","可信"))</f>
        <v/>
      </c>
      <c r="AA596" s="24">
        <f>IF($A596="","",IF($X596&lt;-0.001,"※账面负库存，查一下是不是漏记入库",IF(AND(ROUND($X596,3)=0,ABS($Y596)&gt;1),"※数量已经是 0，金额还挂着 "&amp;TEXT($Y596,"#,##0")&amp;" 先令",IF(AND($X596&gt;0,$Y596&lt;=0,$K596=0),"※有数量没金额（这个物料一直没填过进价）",IF($Z596="不可信","△成本含待补价/暂估，毛利仅供参考","")))))</f>
        <v/>
      </c>
    </row>
    <row r="597">
      <c r="A597" s="24">
        <f>IF(物料档案!$A596="","",物料档案!$A596)</f>
        <v/>
      </c>
      <c r="B597" s="24">
        <f>IF($A597="","",IFERROR(VLOOKUP($A597,物料档案!$A$4:$P$1203,3,0),""))</f>
        <v/>
      </c>
      <c r="C597" s="24">
        <f>IF($A597="","",IFERROR(VLOOKUP($A597,物料档案!$A$4:$P$1203,4,0),""))</f>
        <v/>
      </c>
      <c r="D597" s="24">
        <f>IF($A597="","",IFERROR(VLOOKUP($A597,物料档案!$A$4:$P$1203,5,0),""))</f>
        <v/>
      </c>
      <c r="E597" s="24">
        <f>IF($A597="","",IFERROR(VLOOKUP($A597,物料档案!$A$4:$P$1203,2,0),""))</f>
        <v/>
      </c>
      <c r="F597" s="24">
        <f>IF($A597="","",IFERROR(VLOOKUP($A597,物料档案!$A$4:$P$1203,6,0),""))</f>
        <v/>
      </c>
      <c r="G597" s="23" t="n"/>
      <c r="H597" s="32" t="n"/>
      <c r="I597" s="27">
        <f>IF($A597="","",SUMIFS(入库单!$K$4:$K$2503,入库单!$G$4:$G$2503,$A597,入库单!$X$4:$X$2503,"采购入库",入库单!$Z$4:$Z$2503,"正常",入库单!$C$4:$C$2503,"&gt;="&amp;账期起,入库单!$C$4:$C$2503,"&lt;="&amp;账期止))</f>
        <v/>
      </c>
      <c r="J597" s="26">
        <f>IF($A597="","",SUMIFS(入库单!$V$4:$V$2503,入库单!$G$4:$G$2503,$A597,入库单!$X$4:$X$2503,"采购入库",入库单!$Z$4:$Z$2503,"正常",入库单!$C$4:$C$2503,"&gt;="&amp;账期起,入库单!$C$4:$C$2503,"&lt;="&amp;账期止))</f>
        <v/>
      </c>
      <c r="K597" s="26">
        <f>IF($A597="","",IFERROR(ROUND((N($H597)+N($J597))/(N($G597)+N($I597)),2),0))</f>
        <v/>
      </c>
      <c r="L597" s="27">
        <f>IF($A597="","",SUMIFS(入库单!$K$4:$K$2503,入库单!$G$4:$G$2503,$A597,入库单!$X$4:$X$2503,"盘盈",入库单!$Z$4:$Z$2503,"正常",入库单!$C$4:$C$2503,"&gt;="&amp;账期起,入库单!$C$4:$C$2503,"&lt;="&amp;账期止))</f>
        <v/>
      </c>
      <c r="M597" s="26">
        <f>IF($A597="","",ROUND($L597*$K597,0))</f>
        <v/>
      </c>
      <c r="N597" s="27">
        <f>IF($A597="","",SUMIFS(入库单!$K$4:$K$2503,入库单!$G$4:$G$2503,$A597,入库单!$X$4:$X$2503,"矿区退库",入库单!$Z$4:$Z$2503,"正常",入库单!$C$4:$C$2503,"&gt;="&amp;账期起,入库单!$C$4:$C$2503,"&lt;="&amp;账期止))</f>
        <v/>
      </c>
      <c r="O597" s="26">
        <f>IF($A597="","",ROUND($N597*$K597,0))</f>
        <v/>
      </c>
      <c r="P597" s="27">
        <f>IF($A597="","",SUMIFS(出库单!$J$4:$J$4003,出库单!$D$4:$D$4003,$A597,出库单!$K$4:$K$4003,"自用消耗",出库单!$U$4:$U$4003,"正常",出库单!$C$4:$C$4003,"&gt;="&amp;账期起,出库单!$C$4:$C$4003,"&lt;="&amp;账期止))</f>
        <v/>
      </c>
      <c r="Q597" s="26">
        <f>IF($A597="","",ROUND(SUMIFS(出库单!$S$4:$S$4003,出库单!$D$4:$D$4003,$A597,出库单!$K$4:$K$4003,"自用消耗",出库单!$U$4:$U$4003,"正常",出库单!$C$4:$C$4003,"&gt;="&amp;账期起,出库单!$C$4:$C$4003,"&lt;="&amp;账期止),0))</f>
        <v/>
      </c>
      <c r="R597" s="27">
        <f>IF($A597="","",SUMIFS(出库单!$J$4:$J$4003,出库单!$D$4:$D$4003,$A597,出库单!$K$4:$K$4003,"对外销售",出库单!$U$4:$U$4003,"正常",出库单!$C$4:$C$4003,"&gt;="&amp;账期起,出库单!$C$4:$C$4003,"&lt;="&amp;账期止))</f>
        <v/>
      </c>
      <c r="S597" s="26">
        <f>IF($A597="","",ROUND(SUMIFS(出库单!$S$4:$S$4003,出库单!$D$4:$D$4003,$A597,出库单!$K$4:$K$4003,"对外销售",出库单!$U$4:$U$4003,"正常",出库单!$C$4:$C$4003,"&gt;="&amp;账期起,出库单!$C$4:$C$4003,"&lt;="&amp;账期止),0))</f>
        <v/>
      </c>
      <c r="T597" s="27">
        <f>IF($A597="","",SUMIFS(出库单!$J$4:$J$4003,出库单!$D$4:$D$4003,$A597,出库单!$K$4:$K$4003,"盘亏",出库单!$U$4:$U$4003,"正常",出库单!$C$4:$C$4003,"&gt;="&amp;账期起,出库单!$C$4:$C$4003,"&lt;="&amp;账期止))</f>
        <v/>
      </c>
      <c r="U597" s="26">
        <f>IF($A597="","",ROUND(SUMIFS(出库单!$S$4:$S$4003,出库单!$D$4:$D$4003,$A597,出库单!$K$4:$K$4003,"盘亏",出库单!$U$4:$U$4003,"正常",出库单!$C$4:$C$4003,"&gt;="&amp;账期起,出库单!$C$4:$C$4003,"&lt;="&amp;账期止),0))</f>
        <v/>
      </c>
      <c r="V597" s="27">
        <f>IF($A597="","",SUMIFS(出库单!$J$4:$J$4003,出库单!$D$4:$D$4003,$A597,出库单!$K$4:$K$4003,"退货给供应商",出库单!$U$4:$U$4003,"正常",出库单!$C$4:$C$4003,"&gt;="&amp;账期起,出库单!$C$4:$C$4003,"&lt;="&amp;账期止))</f>
        <v/>
      </c>
      <c r="W597" s="26">
        <f>IF($A597="","",ROUND(SUMIFS(出库单!$S$4:$S$4003,出库单!$D$4:$D$4003,$A597,出库单!$K$4:$K$4003,"退货给供应商",出库单!$U$4:$U$4003,"正常",出库单!$C$4:$C$4003,"&gt;="&amp;账期起,出库单!$C$4:$C$4003,"&lt;="&amp;账期止),0))</f>
        <v/>
      </c>
      <c r="X597" s="27">
        <f>IF($A597="","",ROUND(N($G597)+$I597+$L597+$N597-$P597-$R597-$T597-$V597,3))</f>
        <v/>
      </c>
      <c r="Y597" s="26">
        <f>IF($A597="","",ROUND(N($H597)+$J597+$M597+$O597-$Q597-$S597-$U597-$W597,0))</f>
        <v/>
      </c>
      <c r="Z597" s="24">
        <f>IF($A597="","",IF(COUNTIFS(入库单!$G$4:$G$2503,$A597,入库单!$Y$4:$Y$2503,"待补价")+COUNTIFS(入库单!$G$4:$G$2503,$A597,入库单!$Y$4:$Y$2503,"暂估")&gt;0,"不可信","可信"))</f>
        <v/>
      </c>
      <c r="AA597" s="24">
        <f>IF($A597="","",IF($X597&lt;-0.001,"※账面负库存，查一下是不是漏记入库",IF(AND(ROUND($X597,3)=0,ABS($Y597)&gt;1),"※数量已经是 0，金额还挂着 "&amp;TEXT($Y597,"#,##0")&amp;" 先令",IF(AND($X597&gt;0,$Y597&lt;=0,$K597=0),"※有数量没金额（这个物料一直没填过进价）",IF($Z597="不可信","△成本含待补价/暂估，毛利仅供参考","")))))</f>
        <v/>
      </c>
    </row>
    <row r="598">
      <c r="A598" s="24">
        <f>IF(物料档案!$A597="","",物料档案!$A597)</f>
        <v/>
      </c>
      <c r="B598" s="24">
        <f>IF($A598="","",IFERROR(VLOOKUP($A598,物料档案!$A$4:$P$1203,3,0),""))</f>
        <v/>
      </c>
      <c r="C598" s="24">
        <f>IF($A598="","",IFERROR(VLOOKUP($A598,物料档案!$A$4:$P$1203,4,0),""))</f>
        <v/>
      </c>
      <c r="D598" s="24">
        <f>IF($A598="","",IFERROR(VLOOKUP($A598,物料档案!$A$4:$P$1203,5,0),""))</f>
        <v/>
      </c>
      <c r="E598" s="24">
        <f>IF($A598="","",IFERROR(VLOOKUP($A598,物料档案!$A$4:$P$1203,2,0),""))</f>
        <v/>
      </c>
      <c r="F598" s="24">
        <f>IF($A598="","",IFERROR(VLOOKUP($A598,物料档案!$A$4:$P$1203,6,0),""))</f>
        <v/>
      </c>
      <c r="G598" s="23" t="n"/>
      <c r="H598" s="32" t="n"/>
      <c r="I598" s="27">
        <f>IF($A598="","",SUMIFS(入库单!$K$4:$K$2503,入库单!$G$4:$G$2503,$A598,入库单!$X$4:$X$2503,"采购入库",入库单!$Z$4:$Z$2503,"正常",入库单!$C$4:$C$2503,"&gt;="&amp;账期起,入库单!$C$4:$C$2503,"&lt;="&amp;账期止))</f>
        <v/>
      </c>
      <c r="J598" s="26">
        <f>IF($A598="","",SUMIFS(入库单!$V$4:$V$2503,入库单!$G$4:$G$2503,$A598,入库单!$X$4:$X$2503,"采购入库",入库单!$Z$4:$Z$2503,"正常",入库单!$C$4:$C$2503,"&gt;="&amp;账期起,入库单!$C$4:$C$2503,"&lt;="&amp;账期止))</f>
        <v/>
      </c>
      <c r="K598" s="26">
        <f>IF($A598="","",IFERROR(ROUND((N($H598)+N($J598))/(N($G598)+N($I598)),2),0))</f>
        <v/>
      </c>
      <c r="L598" s="27">
        <f>IF($A598="","",SUMIFS(入库单!$K$4:$K$2503,入库单!$G$4:$G$2503,$A598,入库单!$X$4:$X$2503,"盘盈",入库单!$Z$4:$Z$2503,"正常",入库单!$C$4:$C$2503,"&gt;="&amp;账期起,入库单!$C$4:$C$2503,"&lt;="&amp;账期止))</f>
        <v/>
      </c>
      <c r="M598" s="26">
        <f>IF($A598="","",ROUND($L598*$K598,0))</f>
        <v/>
      </c>
      <c r="N598" s="27">
        <f>IF($A598="","",SUMIFS(入库单!$K$4:$K$2503,入库单!$G$4:$G$2503,$A598,入库单!$X$4:$X$2503,"矿区退库",入库单!$Z$4:$Z$2503,"正常",入库单!$C$4:$C$2503,"&gt;="&amp;账期起,入库单!$C$4:$C$2503,"&lt;="&amp;账期止))</f>
        <v/>
      </c>
      <c r="O598" s="26">
        <f>IF($A598="","",ROUND($N598*$K598,0))</f>
        <v/>
      </c>
      <c r="P598" s="27">
        <f>IF($A598="","",SUMIFS(出库单!$J$4:$J$4003,出库单!$D$4:$D$4003,$A598,出库单!$K$4:$K$4003,"自用消耗",出库单!$U$4:$U$4003,"正常",出库单!$C$4:$C$4003,"&gt;="&amp;账期起,出库单!$C$4:$C$4003,"&lt;="&amp;账期止))</f>
        <v/>
      </c>
      <c r="Q598" s="26">
        <f>IF($A598="","",ROUND(SUMIFS(出库单!$S$4:$S$4003,出库单!$D$4:$D$4003,$A598,出库单!$K$4:$K$4003,"自用消耗",出库单!$U$4:$U$4003,"正常",出库单!$C$4:$C$4003,"&gt;="&amp;账期起,出库单!$C$4:$C$4003,"&lt;="&amp;账期止),0))</f>
        <v/>
      </c>
      <c r="R598" s="27">
        <f>IF($A598="","",SUMIFS(出库单!$J$4:$J$4003,出库单!$D$4:$D$4003,$A598,出库单!$K$4:$K$4003,"对外销售",出库单!$U$4:$U$4003,"正常",出库单!$C$4:$C$4003,"&gt;="&amp;账期起,出库单!$C$4:$C$4003,"&lt;="&amp;账期止))</f>
        <v/>
      </c>
      <c r="S598" s="26">
        <f>IF($A598="","",ROUND(SUMIFS(出库单!$S$4:$S$4003,出库单!$D$4:$D$4003,$A598,出库单!$K$4:$K$4003,"对外销售",出库单!$U$4:$U$4003,"正常",出库单!$C$4:$C$4003,"&gt;="&amp;账期起,出库单!$C$4:$C$4003,"&lt;="&amp;账期止),0))</f>
        <v/>
      </c>
      <c r="T598" s="27">
        <f>IF($A598="","",SUMIFS(出库单!$J$4:$J$4003,出库单!$D$4:$D$4003,$A598,出库单!$K$4:$K$4003,"盘亏",出库单!$U$4:$U$4003,"正常",出库单!$C$4:$C$4003,"&gt;="&amp;账期起,出库单!$C$4:$C$4003,"&lt;="&amp;账期止))</f>
        <v/>
      </c>
      <c r="U598" s="26">
        <f>IF($A598="","",ROUND(SUMIFS(出库单!$S$4:$S$4003,出库单!$D$4:$D$4003,$A598,出库单!$K$4:$K$4003,"盘亏",出库单!$U$4:$U$4003,"正常",出库单!$C$4:$C$4003,"&gt;="&amp;账期起,出库单!$C$4:$C$4003,"&lt;="&amp;账期止),0))</f>
        <v/>
      </c>
      <c r="V598" s="27">
        <f>IF($A598="","",SUMIFS(出库单!$J$4:$J$4003,出库单!$D$4:$D$4003,$A598,出库单!$K$4:$K$4003,"退货给供应商",出库单!$U$4:$U$4003,"正常",出库单!$C$4:$C$4003,"&gt;="&amp;账期起,出库单!$C$4:$C$4003,"&lt;="&amp;账期止))</f>
        <v/>
      </c>
      <c r="W598" s="26">
        <f>IF($A598="","",ROUND(SUMIFS(出库单!$S$4:$S$4003,出库单!$D$4:$D$4003,$A598,出库单!$K$4:$K$4003,"退货给供应商",出库单!$U$4:$U$4003,"正常",出库单!$C$4:$C$4003,"&gt;="&amp;账期起,出库单!$C$4:$C$4003,"&lt;="&amp;账期止),0))</f>
        <v/>
      </c>
      <c r="X598" s="27">
        <f>IF($A598="","",ROUND(N($G598)+$I598+$L598+$N598-$P598-$R598-$T598-$V598,3))</f>
        <v/>
      </c>
      <c r="Y598" s="26">
        <f>IF($A598="","",ROUND(N($H598)+$J598+$M598+$O598-$Q598-$S598-$U598-$W598,0))</f>
        <v/>
      </c>
      <c r="Z598" s="24">
        <f>IF($A598="","",IF(COUNTIFS(入库单!$G$4:$G$2503,$A598,入库单!$Y$4:$Y$2503,"待补价")+COUNTIFS(入库单!$G$4:$G$2503,$A598,入库单!$Y$4:$Y$2503,"暂估")&gt;0,"不可信","可信"))</f>
        <v/>
      </c>
      <c r="AA598" s="24">
        <f>IF($A598="","",IF($X598&lt;-0.001,"※账面负库存，查一下是不是漏记入库",IF(AND(ROUND($X598,3)=0,ABS($Y598)&gt;1),"※数量已经是 0，金额还挂着 "&amp;TEXT($Y598,"#,##0")&amp;" 先令",IF(AND($X598&gt;0,$Y598&lt;=0,$K598=0),"※有数量没金额（这个物料一直没填过进价）",IF($Z598="不可信","△成本含待补价/暂估，毛利仅供参考","")))))</f>
        <v/>
      </c>
    </row>
    <row r="599">
      <c r="A599" s="24">
        <f>IF(物料档案!$A598="","",物料档案!$A598)</f>
        <v/>
      </c>
      <c r="B599" s="24">
        <f>IF($A599="","",IFERROR(VLOOKUP($A599,物料档案!$A$4:$P$1203,3,0),""))</f>
        <v/>
      </c>
      <c r="C599" s="24">
        <f>IF($A599="","",IFERROR(VLOOKUP($A599,物料档案!$A$4:$P$1203,4,0),""))</f>
        <v/>
      </c>
      <c r="D599" s="24">
        <f>IF($A599="","",IFERROR(VLOOKUP($A599,物料档案!$A$4:$P$1203,5,0),""))</f>
        <v/>
      </c>
      <c r="E599" s="24">
        <f>IF($A599="","",IFERROR(VLOOKUP($A599,物料档案!$A$4:$P$1203,2,0),""))</f>
        <v/>
      </c>
      <c r="F599" s="24">
        <f>IF($A599="","",IFERROR(VLOOKUP($A599,物料档案!$A$4:$P$1203,6,0),""))</f>
        <v/>
      </c>
      <c r="G599" s="23" t="n"/>
      <c r="H599" s="32" t="n"/>
      <c r="I599" s="27">
        <f>IF($A599="","",SUMIFS(入库单!$K$4:$K$2503,入库单!$G$4:$G$2503,$A599,入库单!$X$4:$X$2503,"采购入库",入库单!$Z$4:$Z$2503,"正常",入库单!$C$4:$C$2503,"&gt;="&amp;账期起,入库单!$C$4:$C$2503,"&lt;="&amp;账期止))</f>
        <v/>
      </c>
      <c r="J599" s="26">
        <f>IF($A599="","",SUMIFS(入库单!$V$4:$V$2503,入库单!$G$4:$G$2503,$A599,入库单!$X$4:$X$2503,"采购入库",入库单!$Z$4:$Z$2503,"正常",入库单!$C$4:$C$2503,"&gt;="&amp;账期起,入库单!$C$4:$C$2503,"&lt;="&amp;账期止))</f>
        <v/>
      </c>
      <c r="K599" s="26">
        <f>IF($A599="","",IFERROR(ROUND((N($H599)+N($J599))/(N($G599)+N($I599)),2),0))</f>
        <v/>
      </c>
      <c r="L599" s="27">
        <f>IF($A599="","",SUMIFS(入库单!$K$4:$K$2503,入库单!$G$4:$G$2503,$A599,入库单!$X$4:$X$2503,"盘盈",入库单!$Z$4:$Z$2503,"正常",入库单!$C$4:$C$2503,"&gt;="&amp;账期起,入库单!$C$4:$C$2503,"&lt;="&amp;账期止))</f>
        <v/>
      </c>
      <c r="M599" s="26">
        <f>IF($A599="","",ROUND($L599*$K599,0))</f>
        <v/>
      </c>
      <c r="N599" s="27">
        <f>IF($A599="","",SUMIFS(入库单!$K$4:$K$2503,入库单!$G$4:$G$2503,$A599,入库单!$X$4:$X$2503,"矿区退库",入库单!$Z$4:$Z$2503,"正常",入库单!$C$4:$C$2503,"&gt;="&amp;账期起,入库单!$C$4:$C$2503,"&lt;="&amp;账期止))</f>
        <v/>
      </c>
      <c r="O599" s="26">
        <f>IF($A599="","",ROUND($N599*$K599,0))</f>
        <v/>
      </c>
      <c r="P599" s="27">
        <f>IF($A599="","",SUMIFS(出库单!$J$4:$J$4003,出库单!$D$4:$D$4003,$A599,出库单!$K$4:$K$4003,"自用消耗",出库单!$U$4:$U$4003,"正常",出库单!$C$4:$C$4003,"&gt;="&amp;账期起,出库单!$C$4:$C$4003,"&lt;="&amp;账期止))</f>
        <v/>
      </c>
      <c r="Q599" s="26">
        <f>IF($A599="","",ROUND(SUMIFS(出库单!$S$4:$S$4003,出库单!$D$4:$D$4003,$A599,出库单!$K$4:$K$4003,"自用消耗",出库单!$U$4:$U$4003,"正常",出库单!$C$4:$C$4003,"&gt;="&amp;账期起,出库单!$C$4:$C$4003,"&lt;="&amp;账期止),0))</f>
        <v/>
      </c>
      <c r="R599" s="27">
        <f>IF($A599="","",SUMIFS(出库单!$J$4:$J$4003,出库单!$D$4:$D$4003,$A599,出库单!$K$4:$K$4003,"对外销售",出库单!$U$4:$U$4003,"正常",出库单!$C$4:$C$4003,"&gt;="&amp;账期起,出库单!$C$4:$C$4003,"&lt;="&amp;账期止))</f>
        <v/>
      </c>
      <c r="S599" s="26">
        <f>IF($A599="","",ROUND(SUMIFS(出库单!$S$4:$S$4003,出库单!$D$4:$D$4003,$A599,出库单!$K$4:$K$4003,"对外销售",出库单!$U$4:$U$4003,"正常",出库单!$C$4:$C$4003,"&gt;="&amp;账期起,出库单!$C$4:$C$4003,"&lt;="&amp;账期止),0))</f>
        <v/>
      </c>
      <c r="T599" s="27">
        <f>IF($A599="","",SUMIFS(出库单!$J$4:$J$4003,出库单!$D$4:$D$4003,$A599,出库单!$K$4:$K$4003,"盘亏",出库单!$U$4:$U$4003,"正常",出库单!$C$4:$C$4003,"&gt;="&amp;账期起,出库单!$C$4:$C$4003,"&lt;="&amp;账期止))</f>
        <v/>
      </c>
      <c r="U599" s="26">
        <f>IF($A599="","",ROUND(SUMIFS(出库单!$S$4:$S$4003,出库单!$D$4:$D$4003,$A599,出库单!$K$4:$K$4003,"盘亏",出库单!$U$4:$U$4003,"正常",出库单!$C$4:$C$4003,"&gt;="&amp;账期起,出库单!$C$4:$C$4003,"&lt;="&amp;账期止),0))</f>
        <v/>
      </c>
      <c r="V599" s="27">
        <f>IF($A599="","",SUMIFS(出库单!$J$4:$J$4003,出库单!$D$4:$D$4003,$A599,出库单!$K$4:$K$4003,"退货给供应商",出库单!$U$4:$U$4003,"正常",出库单!$C$4:$C$4003,"&gt;="&amp;账期起,出库单!$C$4:$C$4003,"&lt;="&amp;账期止))</f>
        <v/>
      </c>
      <c r="W599" s="26">
        <f>IF($A599="","",ROUND(SUMIFS(出库单!$S$4:$S$4003,出库单!$D$4:$D$4003,$A599,出库单!$K$4:$K$4003,"退货给供应商",出库单!$U$4:$U$4003,"正常",出库单!$C$4:$C$4003,"&gt;="&amp;账期起,出库单!$C$4:$C$4003,"&lt;="&amp;账期止),0))</f>
        <v/>
      </c>
      <c r="X599" s="27">
        <f>IF($A599="","",ROUND(N($G599)+$I599+$L599+$N599-$P599-$R599-$T599-$V599,3))</f>
        <v/>
      </c>
      <c r="Y599" s="26">
        <f>IF($A599="","",ROUND(N($H599)+$J599+$M599+$O599-$Q599-$S599-$U599-$W599,0))</f>
        <v/>
      </c>
      <c r="Z599" s="24">
        <f>IF($A599="","",IF(COUNTIFS(入库单!$G$4:$G$2503,$A599,入库单!$Y$4:$Y$2503,"待补价")+COUNTIFS(入库单!$G$4:$G$2503,$A599,入库单!$Y$4:$Y$2503,"暂估")&gt;0,"不可信","可信"))</f>
        <v/>
      </c>
      <c r="AA599" s="24">
        <f>IF($A599="","",IF($X599&lt;-0.001,"※账面负库存，查一下是不是漏记入库",IF(AND(ROUND($X599,3)=0,ABS($Y599)&gt;1),"※数量已经是 0，金额还挂着 "&amp;TEXT($Y599,"#,##0")&amp;" 先令",IF(AND($X599&gt;0,$Y599&lt;=0,$K599=0),"※有数量没金额（这个物料一直没填过进价）",IF($Z599="不可信","△成本含待补价/暂估，毛利仅供参考","")))))</f>
        <v/>
      </c>
    </row>
    <row r="600">
      <c r="A600" s="24">
        <f>IF(物料档案!$A599="","",物料档案!$A599)</f>
        <v/>
      </c>
      <c r="B600" s="24">
        <f>IF($A600="","",IFERROR(VLOOKUP($A600,物料档案!$A$4:$P$1203,3,0),""))</f>
        <v/>
      </c>
      <c r="C600" s="24">
        <f>IF($A600="","",IFERROR(VLOOKUP($A600,物料档案!$A$4:$P$1203,4,0),""))</f>
        <v/>
      </c>
      <c r="D600" s="24">
        <f>IF($A600="","",IFERROR(VLOOKUP($A600,物料档案!$A$4:$P$1203,5,0),""))</f>
        <v/>
      </c>
      <c r="E600" s="24">
        <f>IF($A600="","",IFERROR(VLOOKUP($A600,物料档案!$A$4:$P$1203,2,0),""))</f>
        <v/>
      </c>
      <c r="F600" s="24">
        <f>IF($A600="","",IFERROR(VLOOKUP($A600,物料档案!$A$4:$P$1203,6,0),""))</f>
        <v/>
      </c>
      <c r="G600" s="23" t="n"/>
      <c r="H600" s="32" t="n"/>
      <c r="I600" s="27">
        <f>IF($A600="","",SUMIFS(入库单!$K$4:$K$2503,入库单!$G$4:$G$2503,$A600,入库单!$X$4:$X$2503,"采购入库",入库单!$Z$4:$Z$2503,"正常",入库单!$C$4:$C$2503,"&gt;="&amp;账期起,入库单!$C$4:$C$2503,"&lt;="&amp;账期止))</f>
        <v/>
      </c>
      <c r="J600" s="26">
        <f>IF($A600="","",SUMIFS(入库单!$V$4:$V$2503,入库单!$G$4:$G$2503,$A600,入库单!$X$4:$X$2503,"采购入库",入库单!$Z$4:$Z$2503,"正常",入库单!$C$4:$C$2503,"&gt;="&amp;账期起,入库单!$C$4:$C$2503,"&lt;="&amp;账期止))</f>
        <v/>
      </c>
      <c r="K600" s="26">
        <f>IF($A600="","",IFERROR(ROUND((N($H600)+N($J600))/(N($G600)+N($I600)),2),0))</f>
        <v/>
      </c>
      <c r="L600" s="27">
        <f>IF($A600="","",SUMIFS(入库单!$K$4:$K$2503,入库单!$G$4:$G$2503,$A600,入库单!$X$4:$X$2503,"盘盈",入库单!$Z$4:$Z$2503,"正常",入库单!$C$4:$C$2503,"&gt;="&amp;账期起,入库单!$C$4:$C$2503,"&lt;="&amp;账期止))</f>
        <v/>
      </c>
      <c r="M600" s="26">
        <f>IF($A600="","",ROUND($L600*$K600,0))</f>
        <v/>
      </c>
      <c r="N600" s="27">
        <f>IF($A600="","",SUMIFS(入库单!$K$4:$K$2503,入库单!$G$4:$G$2503,$A600,入库单!$X$4:$X$2503,"矿区退库",入库单!$Z$4:$Z$2503,"正常",入库单!$C$4:$C$2503,"&gt;="&amp;账期起,入库单!$C$4:$C$2503,"&lt;="&amp;账期止))</f>
        <v/>
      </c>
      <c r="O600" s="26">
        <f>IF($A600="","",ROUND($N600*$K600,0))</f>
        <v/>
      </c>
      <c r="P600" s="27">
        <f>IF($A600="","",SUMIFS(出库单!$J$4:$J$4003,出库单!$D$4:$D$4003,$A600,出库单!$K$4:$K$4003,"自用消耗",出库单!$U$4:$U$4003,"正常",出库单!$C$4:$C$4003,"&gt;="&amp;账期起,出库单!$C$4:$C$4003,"&lt;="&amp;账期止))</f>
        <v/>
      </c>
      <c r="Q600" s="26">
        <f>IF($A600="","",ROUND(SUMIFS(出库单!$S$4:$S$4003,出库单!$D$4:$D$4003,$A600,出库单!$K$4:$K$4003,"自用消耗",出库单!$U$4:$U$4003,"正常",出库单!$C$4:$C$4003,"&gt;="&amp;账期起,出库单!$C$4:$C$4003,"&lt;="&amp;账期止),0))</f>
        <v/>
      </c>
      <c r="R600" s="27">
        <f>IF($A600="","",SUMIFS(出库单!$J$4:$J$4003,出库单!$D$4:$D$4003,$A600,出库单!$K$4:$K$4003,"对外销售",出库单!$U$4:$U$4003,"正常",出库单!$C$4:$C$4003,"&gt;="&amp;账期起,出库单!$C$4:$C$4003,"&lt;="&amp;账期止))</f>
        <v/>
      </c>
      <c r="S600" s="26">
        <f>IF($A600="","",ROUND(SUMIFS(出库单!$S$4:$S$4003,出库单!$D$4:$D$4003,$A600,出库单!$K$4:$K$4003,"对外销售",出库单!$U$4:$U$4003,"正常",出库单!$C$4:$C$4003,"&gt;="&amp;账期起,出库单!$C$4:$C$4003,"&lt;="&amp;账期止),0))</f>
        <v/>
      </c>
      <c r="T600" s="27">
        <f>IF($A600="","",SUMIFS(出库单!$J$4:$J$4003,出库单!$D$4:$D$4003,$A600,出库单!$K$4:$K$4003,"盘亏",出库单!$U$4:$U$4003,"正常",出库单!$C$4:$C$4003,"&gt;="&amp;账期起,出库单!$C$4:$C$4003,"&lt;="&amp;账期止))</f>
        <v/>
      </c>
      <c r="U600" s="26">
        <f>IF($A600="","",ROUND(SUMIFS(出库单!$S$4:$S$4003,出库单!$D$4:$D$4003,$A600,出库单!$K$4:$K$4003,"盘亏",出库单!$U$4:$U$4003,"正常",出库单!$C$4:$C$4003,"&gt;="&amp;账期起,出库单!$C$4:$C$4003,"&lt;="&amp;账期止),0))</f>
        <v/>
      </c>
      <c r="V600" s="27">
        <f>IF($A600="","",SUMIFS(出库单!$J$4:$J$4003,出库单!$D$4:$D$4003,$A600,出库单!$K$4:$K$4003,"退货给供应商",出库单!$U$4:$U$4003,"正常",出库单!$C$4:$C$4003,"&gt;="&amp;账期起,出库单!$C$4:$C$4003,"&lt;="&amp;账期止))</f>
        <v/>
      </c>
      <c r="W600" s="26">
        <f>IF($A600="","",ROUND(SUMIFS(出库单!$S$4:$S$4003,出库单!$D$4:$D$4003,$A600,出库单!$K$4:$K$4003,"退货给供应商",出库单!$U$4:$U$4003,"正常",出库单!$C$4:$C$4003,"&gt;="&amp;账期起,出库单!$C$4:$C$4003,"&lt;="&amp;账期止),0))</f>
        <v/>
      </c>
      <c r="X600" s="27">
        <f>IF($A600="","",ROUND(N($G600)+$I600+$L600+$N600-$P600-$R600-$T600-$V600,3))</f>
        <v/>
      </c>
      <c r="Y600" s="26">
        <f>IF($A600="","",ROUND(N($H600)+$J600+$M600+$O600-$Q600-$S600-$U600-$W600,0))</f>
        <v/>
      </c>
      <c r="Z600" s="24">
        <f>IF($A600="","",IF(COUNTIFS(入库单!$G$4:$G$2503,$A600,入库单!$Y$4:$Y$2503,"待补价")+COUNTIFS(入库单!$G$4:$G$2503,$A600,入库单!$Y$4:$Y$2503,"暂估")&gt;0,"不可信","可信"))</f>
        <v/>
      </c>
      <c r="AA600" s="24">
        <f>IF($A600="","",IF($X600&lt;-0.001,"※账面负库存，查一下是不是漏记入库",IF(AND(ROUND($X600,3)=0,ABS($Y600)&gt;1),"※数量已经是 0，金额还挂着 "&amp;TEXT($Y600,"#,##0")&amp;" 先令",IF(AND($X600&gt;0,$Y600&lt;=0,$K600=0),"※有数量没金额（这个物料一直没填过进价）",IF($Z600="不可信","△成本含待补价/暂估，毛利仅供参考","")))))</f>
        <v/>
      </c>
    </row>
    <row r="601">
      <c r="A601" s="24">
        <f>IF(物料档案!$A600="","",物料档案!$A600)</f>
        <v/>
      </c>
      <c r="B601" s="24">
        <f>IF($A601="","",IFERROR(VLOOKUP($A601,物料档案!$A$4:$P$1203,3,0),""))</f>
        <v/>
      </c>
      <c r="C601" s="24">
        <f>IF($A601="","",IFERROR(VLOOKUP($A601,物料档案!$A$4:$P$1203,4,0),""))</f>
        <v/>
      </c>
      <c r="D601" s="24">
        <f>IF($A601="","",IFERROR(VLOOKUP($A601,物料档案!$A$4:$P$1203,5,0),""))</f>
        <v/>
      </c>
      <c r="E601" s="24">
        <f>IF($A601="","",IFERROR(VLOOKUP($A601,物料档案!$A$4:$P$1203,2,0),""))</f>
        <v/>
      </c>
      <c r="F601" s="24">
        <f>IF($A601="","",IFERROR(VLOOKUP($A601,物料档案!$A$4:$P$1203,6,0),""))</f>
        <v/>
      </c>
      <c r="G601" s="23" t="n"/>
      <c r="H601" s="32" t="n"/>
      <c r="I601" s="27">
        <f>IF($A601="","",SUMIFS(入库单!$K$4:$K$2503,入库单!$G$4:$G$2503,$A601,入库单!$X$4:$X$2503,"采购入库",入库单!$Z$4:$Z$2503,"正常",入库单!$C$4:$C$2503,"&gt;="&amp;账期起,入库单!$C$4:$C$2503,"&lt;="&amp;账期止))</f>
        <v/>
      </c>
      <c r="J601" s="26">
        <f>IF($A601="","",SUMIFS(入库单!$V$4:$V$2503,入库单!$G$4:$G$2503,$A601,入库单!$X$4:$X$2503,"采购入库",入库单!$Z$4:$Z$2503,"正常",入库单!$C$4:$C$2503,"&gt;="&amp;账期起,入库单!$C$4:$C$2503,"&lt;="&amp;账期止))</f>
        <v/>
      </c>
      <c r="K601" s="26">
        <f>IF($A601="","",IFERROR(ROUND((N($H601)+N($J601))/(N($G601)+N($I601)),2),0))</f>
        <v/>
      </c>
      <c r="L601" s="27">
        <f>IF($A601="","",SUMIFS(入库单!$K$4:$K$2503,入库单!$G$4:$G$2503,$A601,入库单!$X$4:$X$2503,"盘盈",入库单!$Z$4:$Z$2503,"正常",入库单!$C$4:$C$2503,"&gt;="&amp;账期起,入库单!$C$4:$C$2503,"&lt;="&amp;账期止))</f>
        <v/>
      </c>
      <c r="M601" s="26">
        <f>IF($A601="","",ROUND($L601*$K601,0))</f>
        <v/>
      </c>
      <c r="N601" s="27">
        <f>IF($A601="","",SUMIFS(入库单!$K$4:$K$2503,入库单!$G$4:$G$2503,$A601,入库单!$X$4:$X$2503,"矿区退库",入库单!$Z$4:$Z$2503,"正常",入库单!$C$4:$C$2503,"&gt;="&amp;账期起,入库单!$C$4:$C$2503,"&lt;="&amp;账期止))</f>
        <v/>
      </c>
      <c r="O601" s="26">
        <f>IF($A601="","",ROUND($N601*$K601,0))</f>
        <v/>
      </c>
      <c r="P601" s="27">
        <f>IF($A601="","",SUMIFS(出库单!$J$4:$J$4003,出库单!$D$4:$D$4003,$A601,出库单!$K$4:$K$4003,"自用消耗",出库单!$U$4:$U$4003,"正常",出库单!$C$4:$C$4003,"&gt;="&amp;账期起,出库单!$C$4:$C$4003,"&lt;="&amp;账期止))</f>
        <v/>
      </c>
      <c r="Q601" s="26">
        <f>IF($A601="","",ROUND(SUMIFS(出库单!$S$4:$S$4003,出库单!$D$4:$D$4003,$A601,出库单!$K$4:$K$4003,"自用消耗",出库单!$U$4:$U$4003,"正常",出库单!$C$4:$C$4003,"&gt;="&amp;账期起,出库单!$C$4:$C$4003,"&lt;="&amp;账期止),0))</f>
        <v/>
      </c>
      <c r="R601" s="27">
        <f>IF($A601="","",SUMIFS(出库单!$J$4:$J$4003,出库单!$D$4:$D$4003,$A601,出库单!$K$4:$K$4003,"对外销售",出库单!$U$4:$U$4003,"正常",出库单!$C$4:$C$4003,"&gt;="&amp;账期起,出库单!$C$4:$C$4003,"&lt;="&amp;账期止))</f>
        <v/>
      </c>
      <c r="S601" s="26">
        <f>IF($A601="","",ROUND(SUMIFS(出库单!$S$4:$S$4003,出库单!$D$4:$D$4003,$A601,出库单!$K$4:$K$4003,"对外销售",出库单!$U$4:$U$4003,"正常",出库单!$C$4:$C$4003,"&gt;="&amp;账期起,出库单!$C$4:$C$4003,"&lt;="&amp;账期止),0))</f>
        <v/>
      </c>
      <c r="T601" s="27">
        <f>IF($A601="","",SUMIFS(出库单!$J$4:$J$4003,出库单!$D$4:$D$4003,$A601,出库单!$K$4:$K$4003,"盘亏",出库单!$U$4:$U$4003,"正常",出库单!$C$4:$C$4003,"&gt;="&amp;账期起,出库单!$C$4:$C$4003,"&lt;="&amp;账期止))</f>
        <v/>
      </c>
      <c r="U601" s="26">
        <f>IF($A601="","",ROUND(SUMIFS(出库单!$S$4:$S$4003,出库单!$D$4:$D$4003,$A601,出库单!$K$4:$K$4003,"盘亏",出库单!$U$4:$U$4003,"正常",出库单!$C$4:$C$4003,"&gt;="&amp;账期起,出库单!$C$4:$C$4003,"&lt;="&amp;账期止),0))</f>
        <v/>
      </c>
      <c r="V601" s="27">
        <f>IF($A601="","",SUMIFS(出库单!$J$4:$J$4003,出库单!$D$4:$D$4003,$A601,出库单!$K$4:$K$4003,"退货给供应商",出库单!$U$4:$U$4003,"正常",出库单!$C$4:$C$4003,"&gt;="&amp;账期起,出库单!$C$4:$C$4003,"&lt;="&amp;账期止))</f>
        <v/>
      </c>
      <c r="W601" s="26">
        <f>IF($A601="","",ROUND(SUMIFS(出库单!$S$4:$S$4003,出库单!$D$4:$D$4003,$A601,出库单!$K$4:$K$4003,"退货给供应商",出库单!$U$4:$U$4003,"正常",出库单!$C$4:$C$4003,"&gt;="&amp;账期起,出库单!$C$4:$C$4003,"&lt;="&amp;账期止),0))</f>
        <v/>
      </c>
      <c r="X601" s="27">
        <f>IF($A601="","",ROUND(N($G601)+$I601+$L601+$N601-$P601-$R601-$T601-$V601,3))</f>
        <v/>
      </c>
      <c r="Y601" s="26">
        <f>IF($A601="","",ROUND(N($H601)+$J601+$M601+$O601-$Q601-$S601-$U601-$W601,0))</f>
        <v/>
      </c>
      <c r="Z601" s="24">
        <f>IF($A601="","",IF(COUNTIFS(入库单!$G$4:$G$2503,$A601,入库单!$Y$4:$Y$2503,"待补价")+COUNTIFS(入库单!$G$4:$G$2503,$A601,入库单!$Y$4:$Y$2503,"暂估")&gt;0,"不可信","可信"))</f>
        <v/>
      </c>
      <c r="AA601" s="24">
        <f>IF($A601="","",IF($X601&lt;-0.001,"※账面负库存，查一下是不是漏记入库",IF(AND(ROUND($X601,3)=0,ABS($Y601)&gt;1),"※数量已经是 0，金额还挂着 "&amp;TEXT($Y601,"#,##0")&amp;" 先令",IF(AND($X601&gt;0,$Y601&lt;=0,$K601=0),"※有数量没金额（这个物料一直没填过进价）",IF($Z601="不可信","△成本含待补价/暂估，毛利仅供参考","")))))</f>
        <v/>
      </c>
    </row>
    <row r="602">
      <c r="A602" s="24">
        <f>IF(物料档案!$A601="","",物料档案!$A601)</f>
        <v/>
      </c>
      <c r="B602" s="24">
        <f>IF($A602="","",IFERROR(VLOOKUP($A602,物料档案!$A$4:$P$1203,3,0),""))</f>
        <v/>
      </c>
      <c r="C602" s="24">
        <f>IF($A602="","",IFERROR(VLOOKUP($A602,物料档案!$A$4:$P$1203,4,0),""))</f>
        <v/>
      </c>
      <c r="D602" s="24">
        <f>IF($A602="","",IFERROR(VLOOKUP($A602,物料档案!$A$4:$P$1203,5,0),""))</f>
        <v/>
      </c>
      <c r="E602" s="24">
        <f>IF($A602="","",IFERROR(VLOOKUP($A602,物料档案!$A$4:$P$1203,2,0),""))</f>
        <v/>
      </c>
      <c r="F602" s="24">
        <f>IF($A602="","",IFERROR(VLOOKUP($A602,物料档案!$A$4:$P$1203,6,0),""))</f>
        <v/>
      </c>
      <c r="G602" s="23" t="n"/>
      <c r="H602" s="32" t="n"/>
      <c r="I602" s="27">
        <f>IF($A602="","",SUMIFS(入库单!$K$4:$K$2503,入库单!$G$4:$G$2503,$A602,入库单!$X$4:$X$2503,"采购入库",入库单!$Z$4:$Z$2503,"正常",入库单!$C$4:$C$2503,"&gt;="&amp;账期起,入库单!$C$4:$C$2503,"&lt;="&amp;账期止))</f>
        <v/>
      </c>
      <c r="J602" s="26">
        <f>IF($A602="","",SUMIFS(入库单!$V$4:$V$2503,入库单!$G$4:$G$2503,$A602,入库单!$X$4:$X$2503,"采购入库",入库单!$Z$4:$Z$2503,"正常",入库单!$C$4:$C$2503,"&gt;="&amp;账期起,入库单!$C$4:$C$2503,"&lt;="&amp;账期止))</f>
        <v/>
      </c>
      <c r="K602" s="26">
        <f>IF($A602="","",IFERROR(ROUND((N($H602)+N($J602))/(N($G602)+N($I602)),2),0))</f>
        <v/>
      </c>
      <c r="L602" s="27">
        <f>IF($A602="","",SUMIFS(入库单!$K$4:$K$2503,入库单!$G$4:$G$2503,$A602,入库单!$X$4:$X$2503,"盘盈",入库单!$Z$4:$Z$2503,"正常",入库单!$C$4:$C$2503,"&gt;="&amp;账期起,入库单!$C$4:$C$2503,"&lt;="&amp;账期止))</f>
        <v/>
      </c>
      <c r="M602" s="26">
        <f>IF($A602="","",ROUND($L602*$K602,0))</f>
        <v/>
      </c>
      <c r="N602" s="27">
        <f>IF($A602="","",SUMIFS(入库单!$K$4:$K$2503,入库单!$G$4:$G$2503,$A602,入库单!$X$4:$X$2503,"矿区退库",入库单!$Z$4:$Z$2503,"正常",入库单!$C$4:$C$2503,"&gt;="&amp;账期起,入库单!$C$4:$C$2503,"&lt;="&amp;账期止))</f>
        <v/>
      </c>
      <c r="O602" s="26">
        <f>IF($A602="","",ROUND($N602*$K602,0))</f>
        <v/>
      </c>
      <c r="P602" s="27">
        <f>IF($A602="","",SUMIFS(出库单!$J$4:$J$4003,出库单!$D$4:$D$4003,$A602,出库单!$K$4:$K$4003,"自用消耗",出库单!$U$4:$U$4003,"正常",出库单!$C$4:$C$4003,"&gt;="&amp;账期起,出库单!$C$4:$C$4003,"&lt;="&amp;账期止))</f>
        <v/>
      </c>
      <c r="Q602" s="26">
        <f>IF($A602="","",ROUND(SUMIFS(出库单!$S$4:$S$4003,出库单!$D$4:$D$4003,$A602,出库单!$K$4:$K$4003,"自用消耗",出库单!$U$4:$U$4003,"正常",出库单!$C$4:$C$4003,"&gt;="&amp;账期起,出库单!$C$4:$C$4003,"&lt;="&amp;账期止),0))</f>
        <v/>
      </c>
      <c r="R602" s="27">
        <f>IF($A602="","",SUMIFS(出库单!$J$4:$J$4003,出库单!$D$4:$D$4003,$A602,出库单!$K$4:$K$4003,"对外销售",出库单!$U$4:$U$4003,"正常",出库单!$C$4:$C$4003,"&gt;="&amp;账期起,出库单!$C$4:$C$4003,"&lt;="&amp;账期止))</f>
        <v/>
      </c>
      <c r="S602" s="26">
        <f>IF($A602="","",ROUND(SUMIFS(出库单!$S$4:$S$4003,出库单!$D$4:$D$4003,$A602,出库单!$K$4:$K$4003,"对外销售",出库单!$U$4:$U$4003,"正常",出库单!$C$4:$C$4003,"&gt;="&amp;账期起,出库单!$C$4:$C$4003,"&lt;="&amp;账期止),0))</f>
        <v/>
      </c>
      <c r="T602" s="27">
        <f>IF($A602="","",SUMIFS(出库单!$J$4:$J$4003,出库单!$D$4:$D$4003,$A602,出库单!$K$4:$K$4003,"盘亏",出库单!$U$4:$U$4003,"正常",出库单!$C$4:$C$4003,"&gt;="&amp;账期起,出库单!$C$4:$C$4003,"&lt;="&amp;账期止))</f>
        <v/>
      </c>
      <c r="U602" s="26">
        <f>IF($A602="","",ROUND(SUMIFS(出库单!$S$4:$S$4003,出库单!$D$4:$D$4003,$A602,出库单!$K$4:$K$4003,"盘亏",出库单!$U$4:$U$4003,"正常",出库单!$C$4:$C$4003,"&gt;="&amp;账期起,出库单!$C$4:$C$4003,"&lt;="&amp;账期止),0))</f>
        <v/>
      </c>
      <c r="V602" s="27">
        <f>IF($A602="","",SUMIFS(出库单!$J$4:$J$4003,出库单!$D$4:$D$4003,$A602,出库单!$K$4:$K$4003,"退货给供应商",出库单!$U$4:$U$4003,"正常",出库单!$C$4:$C$4003,"&gt;="&amp;账期起,出库单!$C$4:$C$4003,"&lt;="&amp;账期止))</f>
        <v/>
      </c>
      <c r="W602" s="26">
        <f>IF($A602="","",ROUND(SUMIFS(出库单!$S$4:$S$4003,出库单!$D$4:$D$4003,$A602,出库单!$K$4:$K$4003,"退货给供应商",出库单!$U$4:$U$4003,"正常",出库单!$C$4:$C$4003,"&gt;="&amp;账期起,出库单!$C$4:$C$4003,"&lt;="&amp;账期止),0))</f>
        <v/>
      </c>
      <c r="X602" s="27">
        <f>IF($A602="","",ROUND(N($G602)+$I602+$L602+$N602-$P602-$R602-$T602-$V602,3))</f>
        <v/>
      </c>
      <c r="Y602" s="26">
        <f>IF($A602="","",ROUND(N($H602)+$J602+$M602+$O602-$Q602-$S602-$U602-$W602,0))</f>
        <v/>
      </c>
      <c r="Z602" s="24">
        <f>IF($A602="","",IF(COUNTIFS(入库单!$G$4:$G$2503,$A602,入库单!$Y$4:$Y$2503,"待补价")+COUNTIFS(入库单!$G$4:$G$2503,$A602,入库单!$Y$4:$Y$2503,"暂估")&gt;0,"不可信","可信"))</f>
        <v/>
      </c>
      <c r="AA602" s="24">
        <f>IF($A602="","",IF($X602&lt;-0.001,"※账面负库存，查一下是不是漏记入库",IF(AND(ROUND($X602,3)=0,ABS($Y602)&gt;1),"※数量已经是 0，金额还挂着 "&amp;TEXT($Y602,"#,##0")&amp;" 先令",IF(AND($X602&gt;0,$Y602&lt;=0,$K602=0),"※有数量没金额（这个物料一直没填过进价）",IF($Z602="不可信","△成本含待补价/暂估，毛利仅供参考","")))))</f>
        <v/>
      </c>
    </row>
    <row r="603">
      <c r="A603" s="24">
        <f>IF(物料档案!$A602="","",物料档案!$A602)</f>
        <v/>
      </c>
      <c r="B603" s="24">
        <f>IF($A603="","",IFERROR(VLOOKUP($A603,物料档案!$A$4:$P$1203,3,0),""))</f>
        <v/>
      </c>
      <c r="C603" s="24">
        <f>IF($A603="","",IFERROR(VLOOKUP($A603,物料档案!$A$4:$P$1203,4,0),""))</f>
        <v/>
      </c>
      <c r="D603" s="24">
        <f>IF($A603="","",IFERROR(VLOOKUP($A603,物料档案!$A$4:$P$1203,5,0),""))</f>
        <v/>
      </c>
      <c r="E603" s="24">
        <f>IF($A603="","",IFERROR(VLOOKUP($A603,物料档案!$A$4:$P$1203,2,0),""))</f>
        <v/>
      </c>
      <c r="F603" s="24">
        <f>IF($A603="","",IFERROR(VLOOKUP($A603,物料档案!$A$4:$P$1203,6,0),""))</f>
        <v/>
      </c>
      <c r="G603" s="23" t="n"/>
      <c r="H603" s="32" t="n"/>
      <c r="I603" s="27">
        <f>IF($A603="","",SUMIFS(入库单!$K$4:$K$2503,入库单!$G$4:$G$2503,$A603,入库单!$X$4:$X$2503,"采购入库",入库单!$Z$4:$Z$2503,"正常",入库单!$C$4:$C$2503,"&gt;="&amp;账期起,入库单!$C$4:$C$2503,"&lt;="&amp;账期止))</f>
        <v/>
      </c>
      <c r="J603" s="26">
        <f>IF($A603="","",SUMIFS(入库单!$V$4:$V$2503,入库单!$G$4:$G$2503,$A603,入库单!$X$4:$X$2503,"采购入库",入库单!$Z$4:$Z$2503,"正常",入库单!$C$4:$C$2503,"&gt;="&amp;账期起,入库单!$C$4:$C$2503,"&lt;="&amp;账期止))</f>
        <v/>
      </c>
      <c r="K603" s="26">
        <f>IF($A603="","",IFERROR(ROUND((N($H603)+N($J603))/(N($G603)+N($I603)),2),0))</f>
        <v/>
      </c>
      <c r="L603" s="27">
        <f>IF($A603="","",SUMIFS(入库单!$K$4:$K$2503,入库单!$G$4:$G$2503,$A603,入库单!$X$4:$X$2503,"盘盈",入库单!$Z$4:$Z$2503,"正常",入库单!$C$4:$C$2503,"&gt;="&amp;账期起,入库单!$C$4:$C$2503,"&lt;="&amp;账期止))</f>
        <v/>
      </c>
      <c r="M603" s="26">
        <f>IF($A603="","",ROUND($L603*$K603,0))</f>
        <v/>
      </c>
      <c r="N603" s="27">
        <f>IF($A603="","",SUMIFS(入库单!$K$4:$K$2503,入库单!$G$4:$G$2503,$A603,入库单!$X$4:$X$2503,"矿区退库",入库单!$Z$4:$Z$2503,"正常",入库单!$C$4:$C$2503,"&gt;="&amp;账期起,入库单!$C$4:$C$2503,"&lt;="&amp;账期止))</f>
        <v/>
      </c>
      <c r="O603" s="26">
        <f>IF($A603="","",ROUND($N603*$K603,0))</f>
        <v/>
      </c>
      <c r="P603" s="27">
        <f>IF($A603="","",SUMIFS(出库单!$J$4:$J$4003,出库单!$D$4:$D$4003,$A603,出库单!$K$4:$K$4003,"自用消耗",出库单!$U$4:$U$4003,"正常",出库单!$C$4:$C$4003,"&gt;="&amp;账期起,出库单!$C$4:$C$4003,"&lt;="&amp;账期止))</f>
        <v/>
      </c>
      <c r="Q603" s="26">
        <f>IF($A603="","",ROUND(SUMIFS(出库单!$S$4:$S$4003,出库单!$D$4:$D$4003,$A603,出库单!$K$4:$K$4003,"自用消耗",出库单!$U$4:$U$4003,"正常",出库单!$C$4:$C$4003,"&gt;="&amp;账期起,出库单!$C$4:$C$4003,"&lt;="&amp;账期止),0))</f>
        <v/>
      </c>
      <c r="R603" s="27">
        <f>IF($A603="","",SUMIFS(出库单!$J$4:$J$4003,出库单!$D$4:$D$4003,$A603,出库单!$K$4:$K$4003,"对外销售",出库单!$U$4:$U$4003,"正常",出库单!$C$4:$C$4003,"&gt;="&amp;账期起,出库单!$C$4:$C$4003,"&lt;="&amp;账期止))</f>
        <v/>
      </c>
      <c r="S603" s="26">
        <f>IF($A603="","",ROUND(SUMIFS(出库单!$S$4:$S$4003,出库单!$D$4:$D$4003,$A603,出库单!$K$4:$K$4003,"对外销售",出库单!$U$4:$U$4003,"正常",出库单!$C$4:$C$4003,"&gt;="&amp;账期起,出库单!$C$4:$C$4003,"&lt;="&amp;账期止),0))</f>
        <v/>
      </c>
      <c r="T603" s="27">
        <f>IF($A603="","",SUMIFS(出库单!$J$4:$J$4003,出库单!$D$4:$D$4003,$A603,出库单!$K$4:$K$4003,"盘亏",出库单!$U$4:$U$4003,"正常",出库单!$C$4:$C$4003,"&gt;="&amp;账期起,出库单!$C$4:$C$4003,"&lt;="&amp;账期止))</f>
        <v/>
      </c>
      <c r="U603" s="26">
        <f>IF($A603="","",ROUND(SUMIFS(出库单!$S$4:$S$4003,出库单!$D$4:$D$4003,$A603,出库单!$K$4:$K$4003,"盘亏",出库单!$U$4:$U$4003,"正常",出库单!$C$4:$C$4003,"&gt;="&amp;账期起,出库单!$C$4:$C$4003,"&lt;="&amp;账期止),0))</f>
        <v/>
      </c>
      <c r="V603" s="27">
        <f>IF($A603="","",SUMIFS(出库单!$J$4:$J$4003,出库单!$D$4:$D$4003,$A603,出库单!$K$4:$K$4003,"退货给供应商",出库单!$U$4:$U$4003,"正常",出库单!$C$4:$C$4003,"&gt;="&amp;账期起,出库单!$C$4:$C$4003,"&lt;="&amp;账期止))</f>
        <v/>
      </c>
      <c r="W603" s="26">
        <f>IF($A603="","",ROUND(SUMIFS(出库单!$S$4:$S$4003,出库单!$D$4:$D$4003,$A603,出库单!$K$4:$K$4003,"退货给供应商",出库单!$U$4:$U$4003,"正常",出库单!$C$4:$C$4003,"&gt;="&amp;账期起,出库单!$C$4:$C$4003,"&lt;="&amp;账期止),0))</f>
        <v/>
      </c>
      <c r="X603" s="27">
        <f>IF($A603="","",ROUND(N($G603)+$I603+$L603+$N603-$P603-$R603-$T603-$V603,3))</f>
        <v/>
      </c>
      <c r="Y603" s="26">
        <f>IF($A603="","",ROUND(N($H603)+$J603+$M603+$O603-$Q603-$S603-$U603-$W603,0))</f>
        <v/>
      </c>
      <c r="Z603" s="24">
        <f>IF($A603="","",IF(COUNTIFS(入库单!$G$4:$G$2503,$A603,入库单!$Y$4:$Y$2503,"待补价")+COUNTIFS(入库单!$G$4:$G$2503,$A603,入库单!$Y$4:$Y$2503,"暂估")&gt;0,"不可信","可信"))</f>
        <v/>
      </c>
      <c r="AA603" s="24">
        <f>IF($A603="","",IF($X603&lt;-0.001,"※账面负库存，查一下是不是漏记入库",IF(AND(ROUND($X603,3)=0,ABS($Y603)&gt;1),"※数量已经是 0，金额还挂着 "&amp;TEXT($Y603,"#,##0")&amp;" 先令",IF(AND($X603&gt;0,$Y603&lt;=0,$K603=0),"※有数量没金额（这个物料一直没填过进价）",IF($Z603="不可信","△成本含待补价/暂估，毛利仅供参考","")))))</f>
        <v/>
      </c>
    </row>
    <row r="604">
      <c r="A604" s="24">
        <f>IF(物料档案!$A603="","",物料档案!$A603)</f>
        <v/>
      </c>
      <c r="B604" s="24">
        <f>IF($A604="","",IFERROR(VLOOKUP($A604,物料档案!$A$4:$P$1203,3,0),""))</f>
        <v/>
      </c>
      <c r="C604" s="24">
        <f>IF($A604="","",IFERROR(VLOOKUP($A604,物料档案!$A$4:$P$1203,4,0),""))</f>
        <v/>
      </c>
      <c r="D604" s="24">
        <f>IF($A604="","",IFERROR(VLOOKUP($A604,物料档案!$A$4:$P$1203,5,0),""))</f>
        <v/>
      </c>
      <c r="E604" s="24">
        <f>IF($A604="","",IFERROR(VLOOKUP($A604,物料档案!$A$4:$P$1203,2,0),""))</f>
        <v/>
      </c>
      <c r="F604" s="24">
        <f>IF($A604="","",IFERROR(VLOOKUP($A604,物料档案!$A$4:$P$1203,6,0),""))</f>
        <v/>
      </c>
      <c r="G604" s="23" t="n"/>
      <c r="H604" s="32" t="n"/>
      <c r="I604" s="27">
        <f>IF($A604="","",SUMIFS(入库单!$K$4:$K$2503,入库单!$G$4:$G$2503,$A604,入库单!$X$4:$X$2503,"采购入库",入库单!$Z$4:$Z$2503,"正常",入库单!$C$4:$C$2503,"&gt;="&amp;账期起,入库单!$C$4:$C$2503,"&lt;="&amp;账期止))</f>
        <v/>
      </c>
      <c r="J604" s="26">
        <f>IF($A604="","",SUMIFS(入库单!$V$4:$V$2503,入库单!$G$4:$G$2503,$A604,入库单!$X$4:$X$2503,"采购入库",入库单!$Z$4:$Z$2503,"正常",入库单!$C$4:$C$2503,"&gt;="&amp;账期起,入库单!$C$4:$C$2503,"&lt;="&amp;账期止))</f>
        <v/>
      </c>
      <c r="K604" s="26">
        <f>IF($A604="","",IFERROR(ROUND((N($H604)+N($J604))/(N($G604)+N($I604)),2),0))</f>
        <v/>
      </c>
      <c r="L604" s="27">
        <f>IF($A604="","",SUMIFS(入库单!$K$4:$K$2503,入库单!$G$4:$G$2503,$A604,入库单!$X$4:$X$2503,"盘盈",入库单!$Z$4:$Z$2503,"正常",入库单!$C$4:$C$2503,"&gt;="&amp;账期起,入库单!$C$4:$C$2503,"&lt;="&amp;账期止))</f>
        <v/>
      </c>
      <c r="M604" s="26">
        <f>IF($A604="","",ROUND($L604*$K604,0))</f>
        <v/>
      </c>
      <c r="N604" s="27">
        <f>IF($A604="","",SUMIFS(入库单!$K$4:$K$2503,入库单!$G$4:$G$2503,$A604,入库单!$X$4:$X$2503,"矿区退库",入库单!$Z$4:$Z$2503,"正常",入库单!$C$4:$C$2503,"&gt;="&amp;账期起,入库单!$C$4:$C$2503,"&lt;="&amp;账期止))</f>
        <v/>
      </c>
      <c r="O604" s="26">
        <f>IF($A604="","",ROUND($N604*$K604,0))</f>
        <v/>
      </c>
      <c r="P604" s="27">
        <f>IF($A604="","",SUMIFS(出库单!$J$4:$J$4003,出库单!$D$4:$D$4003,$A604,出库单!$K$4:$K$4003,"自用消耗",出库单!$U$4:$U$4003,"正常",出库单!$C$4:$C$4003,"&gt;="&amp;账期起,出库单!$C$4:$C$4003,"&lt;="&amp;账期止))</f>
        <v/>
      </c>
      <c r="Q604" s="26">
        <f>IF($A604="","",ROUND(SUMIFS(出库单!$S$4:$S$4003,出库单!$D$4:$D$4003,$A604,出库单!$K$4:$K$4003,"自用消耗",出库单!$U$4:$U$4003,"正常",出库单!$C$4:$C$4003,"&gt;="&amp;账期起,出库单!$C$4:$C$4003,"&lt;="&amp;账期止),0))</f>
        <v/>
      </c>
      <c r="R604" s="27">
        <f>IF($A604="","",SUMIFS(出库单!$J$4:$J$4003,出库单!$D$4:$D$4003,$A604,出库单!$K$4:$K$4003,"对外销售",出库单!$U$4:$U$4003,"正常",出库单!$C$4:$C$4003,"&gt;="&amp;账期起,出库单!$C$4:$C$4003,"&lt;="&amp;账期止))</f>
        <v/>
      </c>
      <c r="S604" s="26">
        <f>IF($A604="","",ROUND(SUMIFS(出库单!$S$4:$S$4003,出库单!$D$4:$D$4003,$A604,出库单!$K$4:$K$4003,"对外销售",出库单!$U$4:$U$4003,"正常",出库单!$C$4:$C$4003,"&gt;="&amp;账期起,出库单!$C$4:$C$4003,"&lt;="&amp;账期止),0))</f>
        <v/>
      </c>
      <c r="T604" s="27">
        <f>IF($A604="","",SUMIFS(出库单!$J$4:$J$4003,出库单!$D$4:$D$4003,$A604,出库单!$K$4:$K$4003,"盘亏",出库单!$U$4:$U$4003,"正常",出库单!$C$4:$C$4003,"&gt;="&amp;账期起,出库单!$C$4:$C$4003,"&lt;="&amp;账期止))</f>
        <v/>
      </c>
      <c r="U604" s="26">
        <f>IF($A604="","",ROUND(SUMIFS(出库单!$S$4:$S$4003,出库单!$D$4:$D$4003,$A604,出库单!$K$4:$K$4003,"盘亏",出库单!$U$4:$U$4003,"正常",出库单!$C$4:$C$4003,"&gt;="&amp;账期起,出库单!$C$4:$C$4003,"&lt;="&amp;账期止),0))</f>
        <v/>
      </c>
      <c r="V604" s="27">
        <f>IF($A604="","",SUMIFS(出库单!$J$4:$J$4003,出库单!$D$4:$D$4003,$A604,出库单!$K$4:$K$4003,"退货给供应商",出库单!$U$4:$U$4003,"正常",出库单!$C$4:$C$4003,"&gt;="&amp;账期起,出库单!$C$4:$C$4003,"&lt;="&amp;账期止))</f>
        <v/>
      </c>
      <c r="W604" s="26">
        <f>IF($A604="","",ROUND(SUMIFS(出库单!$S$4:$S$4003,出库单!$D$4:$D$4003,$A604,出库单!$K$4:$K$4003,"退货给供应商",出库单!$U$4:$U$4003,"正常",出库单!$C$4:$C$4003,"&gt;="&amp;账期起,出库单!$C$4:$C$4003,"&lt;="&amp;账期止),0))</f>
        <v/>
      </c>
      <c r="X604" s="27">
        <f>IF($A604="","",ROUND(N($G604)+$I604+$L604+$N604-$P604-$R604-$T604-$V604,3))</f>
        <v/>
      </c>
      <c r="Y604" s="26">
        <f>IF($A604="","",ROUND(N($H604)+$J604+$M604+$O604-$Q604-$S604-$U604-$W604,0))</f>
        <v/>
      </c>
      <c r="Z604" s="24">
        <f>IF($A604="","",IF(COUNTIFS(入库单!$G$4:$G$2503,$A604,入库单!$Y$4:$Y$2503,"待补价")+COUNTIFS(入库单!$G$4:$G$2503,$A604,入库单!$Y$4:$Y$2503,"暂估")&gt;0,"不可信","可信"))</f>
        <v/>
      </c>
      <c r="AA604" s="24">
        <f>IF($A604="","",IF($X604&lt;-0.001,"※账面负库存，查一下是不是漏记入库",IF(AND(ROUND($X604,3)=0,ABS($Y604)&gt;1),"※数量已经是 0，金额还挂着 "&amp;TEXT($Y604,"#,##0")&amp;" 先令",IF(AND($X604&gt;0,$Y604&lt;=0,$K604=0),"※有数量没金额（这个物料一直没填过进价）",IF($Z604="不可信","△成本含待补价/暂估，毛利仅供参考","")))))</f>
        <v/>
      </c>
    </row>
    <row r="605">
      <c r="A605" s="24">
        <f>IF(物料档案!$A604="","",物料档案!$A604)</f>
        <v/>
      </c>
      <c r="B605" s="24">
        <f>IF($A605="","",IFERROR(VLOOKUP($A605,物料档案!$A$4:$P$1203,3,0),""))</f>
        <v/>
      </c>
      <c r="C605" s="24">
        <f>IF($A605="","",IFERROR(VLOOKUP($A605,物料档案!$A$4:$P$1203,4,0),""))</f>
        <v/>
      </c>
      <c r="D605" s="24">
        <f>IF($A605="","",IFERROR(VLOOKUP($A605,物料档案!$A$4:$P$1203,5,0),""))</f>
        <v/>
      </c>
      <c r="E605" s="24">
        <f>IF($A605="","",IFERROR(VLOOKUP($A605,物料档案!$A$4:$P$1203,2,0),""))</f>
        <v/>
      </c>
      <c r="F605" s="24">
        <f>IF($A605="","",IFERROR(VLOOKUP($A605,物料档案!$A$4:$P$1203,6,0),""))</f>
        <v/>
      </c>
      <c r="G605" s="23" t="n"/>
      <c r="H605" s="32" t="n"/>
      <c r="I605" s="27">
        <f>IF($A605="","",SUMIFS(入库单!$K$4:$K$2503,入库单!$G$4:$G$2503,$A605,入库单!$X$4:$X$2503,"采购入库",入库单!$Z$4:$Z$2503,"正常",入库单!$C$4:$C$2503,"&gt;="&amp;账期起,入库单!$C$4:$C$2503,"&lt;="&amp;账期止))</f>
        <v/>
      </c>
      <c r="J605" s="26">
        <f>IF($A605="","",SUMIFS(入库单!$V$4:$V$2503,入库单!$G$4:$G$2503,$A605,入库单!$X$4:$X$2503,"采购入库",入库单!$Z$4:$Z$2503,"正常",入库单!$C$4:$C$2503,"&gt;="&amp;账期起,入库单!$C$4:$C$2503,"&lt;="&amp;账期止))</f>
        <v/>
      </c>
      <c r="K605" s="26">
        <f>IF($A605="","",IFERROR(ROUND((N($H605)+N($J605))/(N($G605)+N($I605)),2),0))</f>
        <v/>
      </c>
      <c r="L605" s="27">
        <f>IF($A605="","",SUMIFS(入库单!$K$4:$K$2503,入库单!$G$4:$G$2503,$A605,入库单!$X$4:$X$2503,"盘盈",入库单!$Z$4:$Z$2503,"正常",入库单!$C$4:$C$2503,"&gt;="&amp;账期起,入库单!$C$4:$C$2503,"&lt;="&amp;账期止))</f>
        <v/>
      </c>
      <c r="M605" s="26">
        <f>IF($A605="","",ROUND($L605*$K605,0))</f>
        <v/>
      </c>
      <c r="N605" s="27">
        <f>IF($A605="","",SUMIFS(入库单!$K$4:$K$2503,入库单!$G$4:$G$2503,$A605,入库单!$X$4:$X$2503,"矿区退库",入库单!$Z$4:$Z$2503,"正常",入库单!$C$4:$C$2503,"&gt;="&amp;账期起,入库单!$C$4:$C$2503,"&lt;="&amp;账期止))</f>
        <v/>
      </c>
      <c r="O605" s="26">
        <f>IF($A605="","",ROUND($N605*$K605,0))</f>
        <v/>
      </c>
      <c r="P605" s="27">
        <f>IF($A605="","",SUMIFS(出库单!$J$4:$J$4003,出库单!$D$4:$D$4003,$A605,出库单!$K$4:$K$4003,"自用消耗",出库单!$U$4:$U$4003,"正常",出库单!$C$4:$C$4003,"&gt;="&amp;账期起,出库单!$C$4:$C$4003,"&lt;="&amp;账期止))</f>
        <v/>
      </c>
      <c r="Q605" s="26">
        <f>IF($A605="","",ROUND(SUMIFS(出库单!$S$4:$S$4003,出库单!$D$4:$D$4003,$A605,出库单!$K$4:$K$4003,"自用消耗",出库单!$U$4:$U$4003,"正常",出库单!$C$4:$C$4003,"&gt;="&amp;账期起,出库单!$C$4:$C$4003,"&lt;="&amp;账期止),0))</f>
        <v/>
      </c>
      <c r="R605" s="27">
        <f>IF($A605="","",SUMIFS(出库单!$J$4:$J$4003,出库单!$D$4:$D$4003,$A605,出库单!$K$4:$K$4003,"对外销售",出库单!$U$4:$U$4003,"正常",出库单!$C$4:$C$4003,"&gt;="&amp;账期起,出库单!$C$4:$C$4003,"&lt;="&amp;账期止))</f>
        <v/>
      </c>
      <c r="S605" s="26">
        <f>IF($A605="","",ROUND(SUMIFS(出库单!$S$4:$S$4003,出库单!$D$4:$D$4003,$A605,出库单!$K$4:$K$4003,"对外销售",出库单!$U$4:$U$4003,"正常",出库单!$C$4:$C$4003,"&gt;="&amp;账期起,出库单!$C$4:$C$4003,"&lt;="&amp;账期止),0))</f>
        <v/>
      </c>
      <c r="T605" s="27">
        <f>IF($A605="","",SUMIFS(出库单!$J$4:$J$4003,出库单!$D$4:$D$4003,$A605,出库单!$K$4:$K$4003,"盘亏",出库单!$U$4:$U$4003,"正常",出库单!$C$4:$C$4003,"&gt;="&amp;账期起,出库单!$C$4:$C$4003,"&lt;="&amp;账期止))</f>
        <v/>
      </c>
      <c r="U605" s="26">
        <f>IF($A605="","",ROUND(SUMIFS(出库单!$S$4:$S$4003,出库单!$D$4:$D$4003,$A605,出库单!$K$4:$K$4003,"盘亏",出库单!$U$4:$U$4003,"正常",出库单!$C$4:$C$4003,"&gt;="&amp;账期起,出库单!$C$4:$C$4003,"&lt;="&amp;账期止),0))</f>
        <v/>
      </c>
      <c r="V605" s="27">
        <f>IF($A605="","",SUMIFS(出库单!$J$4:$J$4003,出库单!$D$4:$D$4003,$A605,出库单!$K$4:$K$4003,"退货给供应商",出库单!$U$4:$U$4003,"正常",出库单!$C$4:$C$4003,"&gt;="&amp;账期起,出库单!$C$4:$C$4003,"&lt;="&amp;账期止))</f>
        <v/>
      </c>
      <c r="W605" s="26">
        <f>IF($A605="","",ROUND(SUMIFS(出库单!$S$4:$S$4003,出库单!$D$4:$D$4003,$A605,出库单!$K$4:$K$4003,"退货给供应商",出库单!$U$4:$U$4003,"正常",出库单!$C$4:$C$4003,"&gt;="&amp;账期起,出库单!$C$4:$C$4003,"&lt;="&amp;账期止),0))</f>
        <v/>
      </c>
      <c r="X605" s="27">
        <f>IF($A605="","",ROUND(N($G605)+$I605+$L605+$N605-$P605-$R605-$T605-$V605,3))</f>
        <v/>
      </c>
      <c r="Y605" s="26">
        <f>IF($A605="","",ROUND(N($H605)+$J605+$M605+$O605-$Q605-$S605-$U605-$W605,0))</f>
        <v/>
      </c>
      <c r="Z605" s="24">
        <f>IF($A605="","",IF(COUNTIFS(入库单!$G$4:$G$2503,$A605,入库单!$Y$4:$Y$2503,"待补价")+COUNTIFS(入库单!$G$4:$G$2503,$A605,入库单!$Y$4:$Y$2503,"暂估")&gt;0,"不可信","可信"))</f>
        <v/>
      </c>
      <c r="AA605" s="24">
        <f>IF($A605="","",IF($X605&lt;-0.001,"※账面负库存，查一下是不是漏记入库",IF(AND(ROUND($X605,3)=0,ABS($Y605)&gt;1),"※数量已经是 0，金额还挂着 "&amp;TEXT($Y605,"#,##0")&amp;" 先令",IF(AND($X605&gt;0,$Y605&lt;=0,$K605=0),"※有数量没金额（这个物料一直没填过进价）",IF($Z605="不可信","△成本含待补价/暂估，毛利仅供参考","")))))</f>
        <v/>
      </c>
    </row>
    <row r="606">
      <c r="A606" s="24">
        <f>IF(物料档案!$A605="","",物料档案!$A605)</f>
        <v/>
      </c>
      <c r="B606" s="24">
        <f>IF($A606="","",IFERROR(VLOOKUP($A606,物料档案!$A$4:$P$1203,3,0),""))</f>
        <v/>
      </c>
      <c r="C606" s="24">
        <f>IF($A606="","",IFERROR(VLOOKUP($A606,物料档案!$A$4:$P$1203,4,0),""))</f>
        <v/>
      </c>
      <c r="D606" s="24">
        <f>IF($A606="","",IFERROR(VLOOKUP($A606,物料档案!$A$4:$P$1203,5,0),""))</f>
        <v/>
      </c>
      <c r="E606" s="24">
        <f>IF($A606="","",IFERROR(VLOOKUP($A606,物料档案!$A$4:$P$1203,2,0),""))</f>
        <v/>
      </c>
      <c r="F606" s="24">
        <f>IF($A606="","",IFERROR(VLOOKUP($A606,物料档案!$A$4:$P$1203,6,0),""))</f>
        <v/>
      </c>
      <c r="G606" s="23" t="n"/>
      <c r="H606" s="32" t="n"/>
      <c r="I606" s="27">
        <f>IF($A606="","",SUMIFS(入库单!$K$4:$K$2503,入库单!$G$4:$G$2503,$A606,入库单!$X$4:$X$2503,"采购入库",入库单!$Z$4:$Z$2503,"正常",入库单!$C$4:$C$2503,"&gt;="&amp;账期起,入库单!$C$4:$C$2503,"&lt;="&amp;账期止))</f>
        <v/>
      </c>
      <c r="J606" s="26">
        <f>IF($A606="","",SUMIFS(入库单!$V$4:$V$2503,入库单!$G$4:$G$2503,$A606,入库单!$X$4:$X$2503,"采购入库",入库单!$Z$4:$Z$2503,"正常",入库单!$C$4:$C$2503,"&gt;="&amp;账期起,入库单!$C$4:$C$2503,"&lt;="&amp;账期止))</f>
        <v/>
      </c>
      <c r="K606" s="26">
        <f>IF($A606="","",IFERROR(ROUND((N($H606)+N($J606))/(N($G606)+N($I606)),2),0))</f>
        <v/>
      </c>
      <c r="L606" s="27">
        <f>IF($A606="","",SUMIFS(入库单!$K$4:$K$2503,入库单!$G$4:$G$2503,$A606,入库单!$X$4:$X$2503,"盘盈",入库单!$Z$4:$Z$2503,"正常",入库单!$C$4:$C$2503,"&gt;="&amp;账期起,入库单!$C$4:$C$2503,"&lt;="&amp;账期止))</f>
        <v/>
      </c>
      <c r="M606" s="26">
        <f>IF($A606="","",ROUND($L606*$K606,0))</f>
        <v/>
      </c>
      <c r="N606" s="27">
        <f>IF($A606="","",SUMIFS(入库单!$K$4:$K$2503,入库单!$G$4:$G$2503,$A606,入库单!$X$4:$X$2503,"矿区退库",入库单!$Z$4:$Z$2503,"正常",入库单!$C$4:$C$2503,"&gt;="&amp;账期起,入库单!$C$4:$C$2503,"&lt;="&amp;账期止))</f>
        <v/>
      </c>
      <c r="O606" s="26">
        <f>IF($A606="","",ROUND($N606*$K606,0))</f>
        <v/>
      </c>
      <c r="P606" s="27">
        <f>IF($A606="","",SUMIFS(出库单!$J$4:$J$4003,出库单!$D$4:$D$4003,$A606,出库单!$K$4:$K$4003,"自用消耗",出库单!$U$4:$U$4003,"正常",出库单!$C$4:$C$4003,"&gt;="&amp;账期起,出库单!$C$4:$C$4003,"&lt;="&amp;账期止))</f>
        <v/>
      </c>
      <c r="Q606" s="26">
        <f>IF($A606="","",ROUND(SUMIFS(出库单!$S$4:$S$4003,出库单!$D$4:$D$4003,$A606,出库单!$K$4:$K$4003,"自用消耗",出库单!$U$4:$U$4003,"正常",出库单!$C$4:$C$4003,"&gt;="&amp;账期起,出库单!$C$4:$C$4003,"&lt;="&amp;账期止),0))</f>
        <v/>
      </c>
      <c r="R606" s="27">
        <f>IF($A606="","",SUMIFS(出库单!$J$4:$J$4003,出库单!$D$4:$D$4003,$A606,出库单!$K$4:$K$4003,"对外销售",出库单!$U$4:$U$4003,"正常",出库单!$C$4:$C$4003,"&gt;="&amp;账期起,出库单!$C$4:$C$4003,"&lt;="&amp;账期止))</f>
        <v/>
      </c>
      <c r="S606" s="26">
        <f>IF($A606="","",ROUND(SUMIFS(出库单!$S$4:$S$4003,出库单!$D$4:$D$4003,$A606,出库单!$K$4:$K$4003,"对外销售",出库单!$U$4:$U$4003,"正常",出库单!$C$4:$C$4003,"&gt;="&amp;账期起,出库单!$C$4:$C$4003,"&lt;="&amp;账期止),0))</f>
        <v/>
      </c>
      <c r="T606" s="27">
        <f>IF($A606="","",SUMIFS(出库单!$J$4:$J$4003,出库单!$D$4:$D$4003,$A606,出库单!$K$4:$K$4003,"盘亏",出库单!$U$4:$U$4003,"正常",出库单!$C$4:$C$4003,"&gt;="&amp;账期起,出库单!$C$4:$C$4003,"&lt;="&amp;账期止))</f>
        <v/>
      </c>
      <c r="U606" s="26">
        <f>IF($A606="","",ROUND(SUMIFS(出库单!$S$4:$S$4003,出库单!$D$4:$D$4003,$A606,出库单!$K$4:$K$4003,"盘亏",出库单!$U$4:$U$4003,"正常",出库单!$C$4:$C$4003,"&gt;="&amp;账期起,出库单!$C$4:$C$4003,"&lt;="&amp;账期止),0))</f>
        <v/>
      </c>
      <c r="V606" s="27">
        <f>IF($A606="","",SUMIFS(出库单!$J$4:$J$4003,出库单!$D$4:$D$4003,$A606,出库单!$K$4:$K$4003,"退货给供应商",出库单!$U$4:$U$4003,"正常",出库单!$C$4:$C$4003,"&gt;="&amp;账期起,出库单!$C$4:$C$4003,"&lt;="&amp;账期止))</f>
        <v/>
      </c>
      <c r="W606" s="26">
        <f>IF($A606="","",ROUND(SUMIFS(出库单!$S$4:$S$4003,出库单!$D$4:$D$4003,$A606,出库单!$K$4:$K$4003,"退货给供应商",出库单!$U$4:$U$4003,"正常",出库单!$C$4:$C$4003,"&gt;="&amp;账期起,出库单!$C$4:$C$4003,"&lt;="&amp;账期止),0))</f>
        <v/>
      </c>
      <c r="X606" s="27">
        <f>IF($A606="","",ROUND(N($G606)+$I606+$L606+$N606-$P606-$R606-$T606-$V606,3))</f>
        <v/>
      </c>
      <c r="Y606" s="26">
        <f>IF($A606="","",ROUND(N($H606)+$J606+$M606+$O606-$Q606-$S606-$U606-$W606,0))</f>
        <v/>
      </c>
      <c r="Z606" s="24">
        <f>IF($A606="","",IF(COUNTIFS(入库单!$G$4:$G$2503,$A606,入库单!$Y$4:$Y$2503,"待补价")+COUNTIFS(入库单!$G$4:$G$2503,$A606,入库单!$Y$4:$Y$2503,"暂估")&gt;0,"不可信","可信"))</f>
        <v/>
      </c>
      <c r="AA606" s="24">
        <f>IF($A606="","",IF($X606&lt;-0.001,"※账面负库存，查一下是不是漏记入库",IF(AND(ROUND($X606,3)=0,ABS($Y606)&gt;1),"※数量已经是 0，金额还挂着 "&amp;TEXT($Y606,"#,##0")&amp;" 先令",IF(AND($X606&gt;0,$Y606&lt;=0,$K606=0),"※有数量没金额（这个物料一直没填过进价）",IF($Z606="不可信","△成本含待补价/暂估，毛利仅供参考","")))))</f>
        <v/>
      </c>
    </row>
    <row r="607">
      <c r="A607" s="24">
        <f>IF(物料档案!$A606="","",物料档案!$A606)</f>
        <v/>
      </c>
      <c r="B607" s="24">
        <f>IF($A607="","",IFERROR(VLOOKUP($A607,物料档案!$A$4:$P$1203,3,0),""))</f>
        <v/>
      </c>
      <c r="C607" s="24">
        <f>IF($A607="","",IFERROR(VLOOKUP($A607,物料档案!$A$4:$P$1203,4,0),""))</f>
        <v/>
      </c>
      <c r="D607" s="24">
        <f>IF($A607="","",IFERROR(VLOOKUP($A607,物料档案!$A$4:$P$1203,5,0),""))</f>
        <v/>
      </c>
      <c r="E607" s="24">
        <f>IF($A607="","",IFERROR(VLOOKUP($A607,物料档案!$A$4:$P$1203,2,0),""))</f>
        <v/>
      </c>
      <c r="F607" s="24">
        <f>IF($A607="","",IFERROR(VLOOKUP($A607,物料档案!$A$4:$P$1203,6,0),""))</f>
        <v/>
      </c>
      <c r="G607" s="23" t="n"/>
      <c r="H607" s="32" t="n"/>
      <c r="I607" s="27">
        <f>IF($A607="","",SUMIFS(入库单!$K$4:$K$2503,入库单!$G$4:$G$2503,$A607,入库单!$X$4:$X$2503,"采购入库",入库单!$Z$4:$Z$2503,"正常",入库单!$C$4:$C$2503,"&gt;="&amp;账期起,入库单!$C$4:$C$2503,"&lt;="&amp;账期止))</f>
        <v/>
      </c>
      <c r="J607" s="26">
        <f>IF($A607="","",SUMIFS(入库单!$V$4:$V$2503,入库单!$G$4:$G$2503,$A607,入库单!$X$4:$X$2503,"采购入库",入库单!$Z$4:$Z$2503,"正常",入库单!$C$4:$C$2503,"&gt;="&amp;账期起,入库单!$C$4:$C$2503,"&lt;="&amp;账期止))</f>
        <v/>
      </c>
      <c r="K607" s="26">
        <f>IF($A607="","",IFERROR(ROUND((N($H607)+N($J607))/(N($G607)+N($I607)),2),0))</f>
        <v/>
      </c>
      <c r="L607" s="27">
        <f>IF($A607="","",SUMIFS(入库单!$K$4:$K$2503,入库单!$G$4:$G$2503,$A607,入库单!$X$4:$X$2503,"盘盈",入库单!$Z$4:$Z$2503,"正常",入库单!$C$4:$C$2503,"&gt;="&amp;账期起,入库单!$C$4:$C$2503,"&lt;="&amp;账期止))</f>
        <v/>
      </c>
      <c r="M607" s="26">
        <f>IF($A607="","",ROUND($L607*$K607,0))</f>
        <v/>
      </c>
      <c r="N607" s="27">
        <f>IF($A607="","",SUMIFS(入库单!$K$4:$K$2503,入库单!$G$4:$G$2503,$A607,入库单!$X$4:$X$2503,"矿区退库",入库单!$Z$4:$Z$2503,"正常",入库单!$C$4:$C$2503,"&gt;="&amp;账期起,入库单!$C$4:$C$2503,"&lt;="&amp;账期止))</f>
        <v/>
      </c>
      <c r="O607" s="26">
        <f>IF($A607="","",ROUND($N607*$K607,0))</f>
        <v/>
      </c>
      <c r="P607" s="27">
        <f>IF($A607="","",SUMIFS(出库单!$J$4:$J$4003,出库单!$D$4:$D$4003,$A607,出库单!$K$4:$K$4003,"自用消耗",出库单!$U$4:$U$4003,"正常",出库单!$C$4:$C$4003,"&gt;="&amp;账期起,出库单!$C$4:$C$4003,"&lt;="&amp;账期止))</f>
        <v/>
      </c>
      <c r="Q607" s="26">
        <f>IF($A607="","",ROUND(SUMIFS(出库单!$S$4:$S$4003,出库单!$D$4:$D$4003,$A607,出库单!$K$4:$K$4003,"自用消耗",出库单!$U$4:$U$4003,"正常",出库单!$C$4:$C$4003,"&gt;="&amp;账期起,出库单!$C$4:$C$4003,"&lt;="&amp;账期止),0))</f>
        <v/>
      </c>
      <c r="R607" s="27">
        <f>IF($A607="","",SUMIFS(出库单!$J$4:$J$4003,出库单!$D$4:$D$4003,$A607,出库单!$K$4:$K$4003,"对外销售",出库单!$U$4:$U$4003,"正常",出库单!$C$4:$C$4003,"&gt;="&amp;账期起,出库单!$C$4:$C$4003,"&lt;="&amp;账期止))</f>
        <v/>
      </c>
      <c r="S607" s="26">
        <f>IF($A607="","",ROUND(SUMIFS(出库单!$S$4:$S$4003,出库单!$D$4:$D$4003,$A607,出库单!$K$4:$K$4003,"对外销售",出库单!$U$4:$U$4003,"正常",出库单!$C$4:$C$4003,"&gt;="&amp;账期起,出库单!$C$4:$C$4003,"&lt;="&amp;账期止),0))</f>
        <v/>
      </c>
      <c r="T607" s="27">
        <f>IF($A607="","",SUMIFS(出库单!$J$4:$J$4003,出库单!$D$4:$D$4003,$A607,出库单!$K$4:$K$4003,"盘亏",出库单!$U$4:$U$4003,"正常",出库单!$C$4:$C$4003,"&gt;="&amp;账期起,出库单!$C$4:$C$4003,"&lt;="&amp;账期止))</f>
        <v/>
      </c>
      <c r="U607" s="26">
        <f>IF($A607="","",ROUND(SUMIFS(出库单!$S$4:$S$4003,出库单!$D$4:$D$4003,$A607,出库单!$K$4:$K$4003,"盘亏",出库单!$U$4:$U$4003,"正常",出库单!$C$4:$C$4003,"&gt;="&amp;账期起,出库单!$C$4:$C$4003,"&lt;="&amp;账期止),0))</f>
        <v/>
      </c>
      <c r="V607" s="27">
        <f>IF($A607="","",SUMIFS(出库单!$J$4:$J$4003,出库单!$D$4:$D$4003,$A607,出库单!$K$4:$K$4003,"退货给供应商",出库单!$U$4:$U$4003,"正常",出库单!$C$4:$C$4003,"&gt;="&amp;账期起,出库单!$C$4:$C$4003,"&lt;="&amp;账期止))</f>
        <v/>
      </c>
      <c r="W607" s="26">
        <f>IF($A607="","",ROUND(SUMIFS(出库单!$S$4:$S$4003,出库单!$D$4:$D$4003,$A607,出库单!$K$4:$K$4003,"退货给供应商",出库单!$U$4:$U$4003,"正常",出库单!$C$4:$C$4003,"&gt;="&amp;账期起,出库单!$C$4:$C$4003,"&lt;="&amp;账期止),0))</f>
        <v/>
      </c>
      <c r="X607" s="27">
        <f>IF($A607="","",ROUND(N($G607)+$I607+$L607+$N607-$P607-$R607-$T607-$V607,3))</f>
        <v/>
      </c>
      <c r="Y607" s="26">
        <f>IF($A607="","",ROUND(N($H607)+$J607+$M607+$O607-$Q607-$S607-$U607-$W607,0))</f>
        <v/>
      </c>
      <c r="Z607" s="24">
        <f>IF($A607="","",IF(COUNTIFS(入库单!$G$4:$G$2503,$A607,入库单!$Y$4:$Y$2503,"待补价")+COUNTIFS(入库单!$G$4:$G$2503,$A607,入库单!$Y$4:$Y$2503,"暂估")&gt;0,"不可信","可信"))</f>
        <v/>
      </c>
      <c r="AA607" s="24">
        <f>IF($A607="","",IF($X607&lt;-0.001,"※账面负库存，查一下是不是漏记入库",IF(AND(ROUND($X607,3)=0,ABS($Y607)&gt;1),"※数量已经是 0，金额还挂着 "&amp;TEXT($Y607,"#,##0")&amp;" 先令",IF(AND($X607&gt;0,$Y607&lt;=0,$K607=0),"※有数量没金额（这个物料一直没填过进价）",IF($Z607="不可信","△成本含待补价/暂估，毛利仅供参考","")))))</f>
        <v/>
      </c>
    </row>
    <row r="608">
      <c r="A608" s="24">
        <f>IF(物料档案!$A607="","",物料档案!$A607)</f>
        <v/>
      </c>
      <c r="B608" s="24">
        <f>IF($A608="","",IFERROR(VLOOKUP($A608,物料档案!$A$4:$P$1203,3,0),""))</f>
        <v/>
      </c>
      <c r="C608" s="24">
        <f>IF($A608="","",IFERROR(VLOOKUP($A608,物料档案!$A$4:$P$1203,4,0),""))</f>
        <v/>
      </c>
      <c r="D608" s="24">
        <f>IF($A608="","",IFERROR(VLOOKUP($A608,物料档案!$A$4:$P$1203,5,0),""))</f>
        <v/>
      </c>
      <c r="E608" s="24">
        <f>IF($A608="","",IFERROR(VLOOKUP($A608,物料档案!$A$4:$P$1203,2,0),""))</f>
        <v/>
      </c>
      <c r="F608" s="24">
        <f>IF($A608="","",IFERROR(VLOOKUP($A608,物料档案!$A$4:$P$1203,6,0),""))</f>
        <v/>
      </c>
      <c r="G608" s="23" t="n"/>
      <c r="H608" s="32" t="n"/>
      <c r="I608" s="27">
        <f>IF($A608="","",SUMIFS(入库单!$K$4:$K$2503,入库单!$G$4:$G$2503,$A608,入库单!$X$4:$X$2503,"采购入库",入库单!$Z$4:$Z$2503,"正常",入库单!$C$4:$C$2503,"&gt;="&amp;账期起,入库单!$C$4:$C$2503,"&lt;="&amp;账期止))</f>
        <v/>
      </c>
      <c r="J608" s="26">
        <f>IF($A608="","",SUMIFS(入库单!$V$4:$V$2503,入库单!$G$4:$G$2503,$A608,入库单!$X$4:$X$2503,"采购入库",入库单!$Z$4:$Z$2503,"正常",入库单!$C$4:$C$2503,"&gt;="&amp;账期起,入库单!$C$4:$C$2503,"&lt;="&amp;账期止))</f>
        <v/>
      </c>
      <c r="K608" s="26">
        <f>IF($A608="","",IFERROR(ROUND((N($H608)+N($J608))/(N($G608)+N($I608)),2),0))</f>
        <v/>
      </c>
      <c r="L608" s="27">
        <f>IF($A608="","",SUMIFS(入库单!$K$4:$K$2503,入库单!$G$4:$G$2503,$A608,入库单!$X$4:$X$2503,"盘盈",入库单!$Z$4:$Z$2503,"正常",入库单!$C$4:$C$2503,"&gt;="&amp;账期起,入库单!$C$4:$C$2503,"&lt;="&amp;账期止))</f>
        <v/>
      </c>
      <c r="M608" s="26">
        <f>IF($A608="","",ROUND($L608*$K608,0))</f>
        <v/>
      </c>
      <c r="N608" s="27">
        <f>IF($A608="","",SUMIFS(入库单!$K$4:$K$2503,入库单!$G$4:$G$2503,$A608,入库单!$X$4:$X$2503,"矿区退库",入库单!$Z$4:$Z$2503,"正常",入库单!$C$4:$C$2503,"&gt;="&amp;账期起,入库单!$C$4:$C$2503,"&lt;="&amp;账期止))</f>
        <v/>
      </c>
      <c r="O608" s="26">
        <f>IF($A608="","",ROUND($N608*$K608,0))</f>
        <v/>
      </c>
      <c r="P608" s="27">
        <f>IF($A608="","",SUMIFS(出库单!$J$4:$J$4003,出库单!$D$4:$D$4003,$A608,出库单!$K$4:$K$4003,"自用消耗",出库单!$U$4:$U$4003,"正常",出库单!$C$4:$C$4003,"&gt;="&amp;账期起,出库单!$C$4:$C$4003,"&lt;="&amp;账期止))</f>
        <v/>
      </c>
      <c r="Q608" s="26">
        <f>IF($A608="","",ROUND(SUMIFS(出库单!$S$4:$S$4003,出库单!$D$4:$D$4003,$A608,出库单!$K$4:$K$4003,"自用消耗",出库单!$U$4:$U$4003,"正常",出库单!$C$4:$C$4003,"&gt;="&amp;账期起,出库单!$C$4:$C$4003,"&lt;="&amp;账期止),0))</f>
        <v/>
      </c>
      <c r="R608" s="27">
        <f>IF($A608="","",SUMIFS(出库单!$J$4:$J$4003,出库单!$D$4:$D$4003,$A608,出库单!$K$4:$K$4003,"对外销售",出库单!$U$4:$U$4003,"正常",出库单!$C$4:$C$4003,"&gt;="&amp;账期起,出库单!$C$4:$C$4003,"&lt;="&amp;账期止))</f>
        <v/>
      </c>
      <c r="S608" s="26">
        <f>IF($A608="","",ROUND(SUMIFS(出库单!$S$4:$S$4003,出库单!$D$4:$D$4003,$A608,出库单!$K$4:$K$4003,"对外销售",出库单!$U$4:$U$4003,"正常",出库单!$C$4:$C$4003,"&gt;="&amp;账期起,出库单!$C$4:$C$4003,"&lt;="&amp;账期止),0))</f>
        <v/>
      </c>
      <c r="T608" s="27">
        <f>IF($A608="","",SUMIFS(出库单!$J$4:$J$4003,出库单!$D$4:$D$4003,$A608,出库单!$K$4:$K$4003,"盘亏",出库单!$U$4:$U$4003,"正常",出库单!$C$4:$C$4003,"&gt;="&amp;账期起,出库单!$C$4:$C$4003,"&lt;="&amp;账期止))</f>
        <v/>
      </c>
      <c r="U608" s="26">
        <f>IF($A608="","",ROUND(SUMIFS(出库单!$S$4:$S$4003,出库单!$D$4:$D$4003,$A608,出库单!$K$4:$K$4003,"盘亏",出库单!$U$4:$U$4003,"正常",出库单!$C$4:$C$4003,"&gt;="&amp;账期起,出库单!$C$4:$C$4003,"&lt;="&amp;账期止),0))</f>
        <v/>
      </c>
      <c r="V608" s="27">
        <f>IF($A608="","",SUMIFS(出库单!$J$4:$J$4003,出库单!$D$4:$D$4003,$A608,出库单!$K$4:$K$4003,"退货给供应商",出库单!$U$4:$U$4003,"正常",出库单!$C$4:$C$4003,"&gt;="&amp;账期起,出库单!$C$4:$C$4003,"&lt;="&amp;账期止))</f>
        <v/>
      </c>
      <c r="W608" s="26">
        <f>IF($A608="","",ROUND(SUMIFS(出库单!$S$4:$S$4003,出库单!$D$4:$D$4003,$A608,出库单!$K$4:$K$4003,"退货给供应商",出库单!$U$4:$U$4003,"正常",出库单!$C$4:$C$4003,"&gt;="&amp;账期起,出库单!$C$4:$C$4003,"&lt;="&amp;账期止),0))</f>
        <v/>
      </c>
      <c r="X608" s="27">
        <f>IF($A608="","",ROUND(N($G608)+$I608+$L608+$N608-$P608-$R608-$T608-$V608,3))</f>
        <v/>
      </c>
      <c r="Y608" s="26">
        <f>IF($A608="","",ROUND(N($H608)+$J608+$M608+$O608-$Q608-$S608-$U608-$W608,0))</f>
        <v/>
      </c>
      <c r="Z608" s="24">
        <f>IF($A608="","",IF(COUNTIFS(入库单!$G$4:$G$2503,$A608,入库单!$Y$4:$Y$2503,"待补价")+COUNTIFS(入库单!$G$4:$G$2503,$A608,入库单!$Y$4:$Y$2503,"暂估")&gt;0,"不可信","可信"))</f>
        <v/>
      </c>
      <c r="AA608" s="24">
        <f>IF($A608="","",IF($X608&lt;-0.001,"※账面负库存，查一下是不是漏记入库",IF(AND(ROUND($X608,3)=0,ABS($Y608)&gt;1),"※数量已经是 0，金额还挂着 "&amp;TEXT($Y608,"#,##0")&amp;" 先令",IF(AND($X608&gt;0,$Y608&lt;=0,$K608=0),"※有数量没金额（这个物料一直没填过进价）",IF($Z608="不可信","△成本含待补价/暂估，毛利仅供参考","")))))</f>
        <v/>
      </c>
    </row>
    <row r="609">
      <c r="A609" s="24">
        <f>IF(物料档案!$A608="","",物料档案!$A608)</f>
        <v/>
      </c>
      <c r="B609" s="24">
        <f>IF($A609="","",IFERROR(VLOOKUP($A609,物料档案!$A$4:$P$1203,3,0),""))</f>
        <v/>
      </c>
      <c r="C609" s="24">
        <f>IF($A609="","",IFERROR(VLOOKUP($A609,物料档案!$A$4:$P$1203,4,0),""))</f>
        <v/>
      </c>
      <c r="D609" s="24">
        <f>IF($A609="","",IFERROR(VLOOKUP($A609,物料档案!$A$4:$P$1203,5,0),""))</f>
        <v/>
      </c>
      <c r="E609" s="24">
        <f>IF($A609="","",IFERROR(VLOOKUP($A609,物料档案!$A$4:$P$1203,2,0),""))</f>
        <v/>
      </c>
      <c r="F609" s="24">
        <f>IF($A609="","",IFERROR(VLOOKUP($A609,物料档案!$A$4:$P$1203,6,0),""))</f>
        <v/>
      </c>
      <c r="G609" s="23" t="n"/>
      <c r="H609" s="32" t="n"/>
      <c r="I609" s="27">
        <f>IF($A609="","",SUMIFS(入库单!$K$4:$K$2503,入库单!$G$4:$G$2503,$A609,入库单!$X$4:$X$2503,"采购入库",入库单!$Z$4:$Z$2503,"正常",入库单!$C$4:$C$2503,"&gt;="&amp;账期起,入库单!$C$4:$C$2503,"&lt;="&amp;账期止))</f>
        <v/>
      </c>
      <c r="J609" s="26">
        <f>IF($A609="","",SUMIFS(入库单!$V$4:$V$2503,入库单!$G$4:$G$2503,$A609,入库单!$X$4:$X$2503,"采购入库",入库单!$Z$4:$Z$2503,"正常",入库单!$C$4:$C$2503,"&gt;="&amp;账期起,入库单!$C$4:$C$2503,"&lt;="&amp;账期止))</f>
        <v/>
      </c>
      <c r="K609" s="26">
        <f>IF($A609="","",IFERROR(ROUND((N($H609)+N($J609))/(N($G609)+N($I609)),2),0))</f>
        <v/>
      </c>
      <c r="L609" s="27">
        <f>IF($A609="","",SUMIFS(入库单!$K$4:$K$2503,入库单!$G$4:$G$2503,$A609,入库单!$X$4:$X$2503,"盘盈",入库单!$Z$4:$Z$2503,"正常",入库单!$C$4:$C$2503,"&gt;="&amp;账期起,入库单!$C$4:$C$2503,"&lt;="&amp;账期止))</f>
        <v/>
      </c>
      <c r="M609" s="26">
        <f>IF($A609="","",ROUND($L609*$K609,0))</f>
        <v/>
      </c>
      <c r="N609" s="27">
        <f>IF($A609="","",SUMIFS(入库单!$K$4:$K$2503,入库单!$G$4:$G$2503,$A609,入库单!$X$4:$X$2503,"矿区退库",入库单!$Z$4:$Z$2503,"正常",入库单!$C$4:$C$2503,"&gt;="&amp;账期起,入库单!$C$4:$C$2503,"&lt;="&amp;账期止))</f>
        <v/>
      </c>
      <c r="O609" s="26">
        <f>IF($A609="","",ROUND($N609*$K609,0))</f>
        <v/>
      </c>
      <c r="P609" s="27">
        <f>IF($A609="","",SUMIFS(出库单!$J$4:$J$4003,出库单!$D$4:$D$4003,$A609,出库单!$K$4:$K$4003,"自用消耗",出库单!$U$4:$U$4003,"正常",出库单!$C$4:$C$4003,"&gt;="&amp;账期起,出库单!$C$4:$C$4003,"&lt;="&amp;账期止))</f>
        <v/>
      </c>
      <c r="Q609" s="26">
        <f>IF($A609="","",ROUND(SUMIFS(出库单!$S$4:$S$4003,出库单!$D$4:$D$4003,$A609,出库单!$K$4:$K$4003,"自用消耗",出库单!$U$4:$U$4003,"正常",出库单!$C$4:$C$4003,"&gt;="&amp;账期起,出库单!$C$4:$C$4003,"&lt;="&amp;账期止),0))</f>
        <v/>
      </c>
      <c r="R609" s="27">
        <f>IF($A609="","",SUMIFS(出库单!$J$4:$J$4003,出库单!$D$4:$D$4003,$A609,出库单!$K$4:$K$4003,"对外销售",出库单!$U$4:$U$4003,"正常",出库单!$C$4:$C$4003,"&gt;="&amp;账期起,出库单!$C$4:$C$4003,"&lt;="&amp;账期止))</f>
        <v/>
      </c>
      <c r="S609" s="26">
        <f>IF($A609="","",ROUND(SUMIFS(出库单!$S$4:$S$4003,出库单!$D$4:$D$4003,$A609,出库单!$K$4:$K$4003,"对外销售",出库单!$U$4:$U$4003,"正常",出库单!$C$4:$C$4003,"&gt;="&amp;账期起,出库单!$C$4:$C$4003,"&lt;="&amp;账期止),0))</f>
        <v/>
      </c>
      <c r="T609" s="27">
        <f>IF($A609="","",SUMIFS(出库单!$J$4:$J$4003,出库单!$D$4:$D$4003,$A609,出库单!$K$4:$K$4003,"盘亏",出库单!$U$4:$U$4003,"正常",出库单!$C$4:$C$4003,"&gt;="&amp;账期起,出库单!$C$4:$C$4003,"&lt;="&amp;账期止))</f>
        <v/>
      </c>
      <c r="U609" s="26">
        <f>IF($A609="","",ROUND(SUMIFS(出库单!$S$4:$S$4003,出库单!$D$4:$D$4003,$A609,出库单!$K$4:$K$4003,"盘亏",出库单!$U$4:$U$4003,"正常",出库单!$C$4:$C$4003,"&gt;="&amp;账期起,出库单!$C$4:$C$4003,"&lt;="&amp;账期止),0))</f>
        <v/>
      </c>
      <c r="V609" s="27">
        <f>IF($A609="","",SUMIFS(出库单!$J$4:$J$4003,出库单!$D$4:$D$4003,$A609,出库单!$K$4:$K$4003,"退货给供应商",出库单!$U$4:$U$4003,"正常",出库单!$C$4:$C$4003,"&gt;="&amp;账期起,出库单!$C$4:$C$4003,"&lt;="&amp;账期止))</f>
        <v/>
      </c>
      <c r="W609" s="26">
        <f>IF($A609="","",ROUND(SUMIFS(出库单!$S$4:$S$4003,出库单!$D$4:$D$4003,$A609,出库单!$K$4:$K$4003,"退货给供应商",出库单!$U$4:$U$4003,"正常",出库单!$C$4:$C$4003,"&gt;="&amp;账期起,出库单!$C$4:$C$4003,"&lt;="&amp;账期止),0))</f>
        <v/>
      </c>
      <c r="X609" s="27">
        <f>IF($A609="","",ROUND(N($G609)+$I609+$L609+$N609-$P609-$R609-$T609-$V609,3))</f>
        <v/>
      </c>
      <c r="Y609" s="26">
        <f>IF($A609="","",ROUND(N($H609)+$J609+$M609+$O609-$Q609-$S609-$U609-$W609,0))</f>
        <v/>
      </c>
      <c r="Z609" s="24">
        <f>IF($A609="","",IF(COUNTIFS(入库单!$G$4:$G$2503,$A609,入库单!$Y$4:$Y$2503,"待补价")+COUNTIFS(入库单!$G$4:$G$2503,$A609,入库单!$Y$4:$Y$2503,"暂估")&gt;0,"不可信","可信"))</f>
        <v/>
      </c>
      <c r="AA609" s="24">
        <f>IF($A609="","",IF($X609&lt;-0.001,"※账面负库存，查一下是不是漏记入库",IF(AND(ROUND($X609,3)=0,ABS($Y609)&gt;1),"※数量已经是 0，金额还挂着 "&amp;TEXT($Y609,"#,##0")&amp;" 先令",IF(AND($X609&gt;0,$Y609&lt;=0,$K609=0),"※有数量没金额（这个物料一直没填过进价）",IF($Z609="不可信","△成本含待补价/暂估，毛利仅供参考","")))))</f>
        <v/>
      </c>
    </row>
    <row r="610">
      <c r="A610" s="24">
        <f>IF(物料档案!$A609="","",物料档案!$A609)</f>
        <v/>
      </c>
      <c r="B610" s="24">
        <f>IF($A610="","",IFERROR(VLOOKUP($A610,物料档案!$A$4:$P$1203,3,0),""))</f>
        <v/>
      </c>
      <c r="C610" s="24">
        <f>IF($A610="","",IFERROR(VLOOKUP($A610,物料档案!$A$4:$P$1203,4,0),""))</f>
        <v/>
      </c>
      <c r="D610" s="24">
        <f>IF($A610="","",IFERROR(VLOOKUP($A610,物料档案!$A$4:$P$1203,5,0),""))</f>
        <v/>
      </c>
      <c r="E610" s="24">
        <f>IF($A610="","",IFERROR(VLOOKUP($A610,物料档案!$A$4:$P$1203,2,0),""))</f>
        <v/>
      </c>
      <c r="F610" s="24">
        <f>IF($A610="","",IFERROR(VLOOKUP($A610,物料档案!$A$4:$P$1203,6,0),""))</f>
        <v/>
      </c>
      <c r="G610" s="23" t="n"/>
      <c r="H610" s="32" t="n"/>
      <c r="I610" s="27">
        <f>IF($A610="","",SUMIFS(入库单!$K$4:$K$2503,入库单!$G$4:$G$2503,$A610,入库单!$X$4:$X$2503,"采购入库",入库单!$Z$4:$Z$2503,"正常",入库单!$C$4:$C$2503,"&gt;="&amp;账期起,入库单!$C$4:$C$2503,"&lt;="&amp;账期止))</f>
        <v/>
      </c>
      <c r="J610" s="26">
        <f>IF($A610="","",SUMIFS(入库单!$V$4:$V$2503,入库单!$G$4:$G$2503,$A610,入库单!$X$4:$X$2503,"采购入库",入库单!$Z$4:$Z$2503,"正常",入库单!$C$4:$C$2503,"&gt;="&amp;账期起,入库单!$C$4:$C$2503,"&lt;="&amp;账期止))</f>
        <v/>
      </c>
      <c r="K610" s="26">
        <f>IF($A610="","",IFERROR(ROUND((N($H610)+N($J610))/(N($G610)+N($I610)),2),0))</f>
        <v/>
      </c>
      <c r="L610" s="27">
        <f>IF($A610="","",SUMIFS(入库单!$K$4:$K$2503,入库单!$G$4:$G$2503,$A610,入库单!$X$4:$X$2503,"盘盈",入库单!$Z$4:$Z$2503,"正常",入库单!$C$4:$C$2503,"&gt;="&amp;账期起,入库单!$C$4:$C$2503,"&lt;="&amp;账期止))</f>
        <v/>
      </c>
      <c r="M610" s="26">
        <f>IF($A610="","",ROUND($L610*$K610,0))</f>
        <v/>
      </c>
      <c r="N610" s="27">
        <f>IF($A610="","",SUMIFS(入库单!$K$4:$K$2503,入库单!$G$4:$G$2503,$A610,入库单!$X$4:$X$2503,"矿区退库",入库单!$Z$4:$Z$2503,"正常",入库单!$C$4:$C$2503,"&gt;="&amp;账期起,入库单!$C$4:$C$2503,"&lt;="&amp;账期止))</f>
        <v/>
      </c>
      <c r="O610" s="26">
        <f>IF($A610="","",ROUND($N610*$K610,0))</f>
        <v/>
      </c>
      <c r="P610" s="27">
        <f>IF($A610="","",SUMIFS(出库单!$J$4:$J$4003,出库单!$D$4:$D$4003,$A610,出库单!$K$4:$K$4003,"自用消耗",出库单!$U$4:$U$4003,"正常",出库单!$C$4:$C$4003,"&gt;="&amp;账期起,出库单!$C$4:$C$4003,"&lt;="&amp;账期止))</f>
        <v/>
      </c>
      <c r="Q610" s="26">
        <f>IF($A610="","",ROUND(SUMIFS(出库单!$S$4:$S$4003,出库单!$D$4:$D$4003,$A610,出库单!$K$4:$K$4003,"自用消耗",出库单!$U$4:$U$4003,"正常",出库单!$C$4:$C$4003,"&gt;="&amp;账期起,出库单!$C$4:$C$4003,"&lt;="&amp;账期止),0))</f>
        <v/>
      </c>
      <c r="R610" s="27">
        <f>IF($A610="","",SUMIFS(出库单!$J$4:$J$4003,出库单!$D$4:$D$4003,$A610,出库单!$K$4:$K$4003,"对外销售",出库单!$U$4:$U$4003,"正常",出库单!$C$4:$C$4003,"&gt;="&amp;账期起,出库单!$C$4:$C$4003,"&lt;="&amp;账期止))</f>
        <v/>
      </c>
      <c r="S610" s="26">
        <f>IF($A610="","",ROUND(SUMIFS(出库单!$S$4:$S$4003,出库单!$D$4:$D$4003,$A610,出库单!$K$4:$K$4003,"对外销售",出库单!$U$4:$U$4003,"正常",出库单!$C$4:$C$4003,"&gt;="&amp;账期起,出库单!$C$4:$C$4003,"&lt;="&amp;账期止),0))</f>
        <v/>
      </c>
      <c r="T610" s="27">
        <f>IF($A610="","",SUMIFS(出库单!$J$4:$J$4003,出库单!$D$4:$D$4003,$A610,出库单!$K$4:$K$4003,"盘亏",出库单!$U$4:$U$4003,"正常",出库单!$C$4:$C$4003,"&gt;="&amp;账期起,出库单!$C$4:$C$4003,"&lt;="&amp;账期止))</f>
        <v/>
      </c>
      <c r="U610" s="26">
        <f>IF($A610="","",ROUND(SUMIFS(出库单!$S$4:$S$4003,出库单!$D$4:$D$4003,$A610,出库单!$K$4:$K$4003,"盘亏",出库单!$U$4:$U$4003,"正常",出库单!$C$4:$C$4003,"&gt;="&amp;账期起,出库单!$C$4:$C$4003,"&lt;="&amp;账期止),0))</f>
        <v/>
      </c>
      <c r="V610" s="27">
        <f>IF($A610="","",SUMIFS(出库单!$J$4:$J$4003,出库单!$D$4:$D$4003,$A610,出库单!$K$4:$K$4003,"退货给供应商",出库单!$U$4:$U$4003,"正常",出库单!$C$4:$C$4003,"&gt;="&amp;账期起,出库单!$C$4:$C$4003,"&lt;="&amp;账期止))</f>
        <v/>
      </c>
      <c r="W610" s="26">
        <f>IF($A610="","",ROUND(SUMIFS(出库单!$S$4:$S$4003,出库单!$D$4:$D$4003,$A610,出库单!$K$4:$K$4003,"退货给供应商",出库单!$U$4:$U$4003,"正常",出库单!$C$4:$C$4003,"&gt;="&amp;账期起,出库单!$C$4:$C$4003,"&lt;="&amp;账期止),0))</f>
        <v/>
      </c>
      <c r="X610" s="27">
        <f>IF($A610="","",ROUND(N($G610)+$I610+$L610+$N610-$P610-$R610-$T610-$V610,3))</f>
        <v/>
      </c>
      <c r="Y610" s="26">
        <f>IF($A610="","",ROUND(N($H610)+$J610+$M610+$O610-$Q610-$S610-$U610-$W610,0))</f>
        <v/>
      </c>
      <c r="Z610" s="24">
        <f>IF($A610="","",IF(COUNTIFS(入库单!$G$4:$G$2503,$A610,入库单!$Y$4:$Y$2503,"待补价")+COUNTIFS(入库单!$G$4:$G$2503,$A610,入库单!$Y$4:$Y$2503,"暂估")&gt;0,"不可信","可信"))</f>
        <v/>
      </c>
      <c r="AA610" s="24">
        <f>IF($A610="","",IF($X610&lt;-0.001,"※账面负库存，查一下是不是漏记入库",IF(AND(ROUND($X610,3)=0,ABS($Y610)&gt;1),"※数量已经是 0，金额还挂着 "&amp;TEXT($Y610,"#,##0")&amp;" 先令",IF(AND($X610&gt;0,$Y610&lt;=0,$K610=0),"※有数量没金额（这个物料一直没填过进价）",IF($Z610="不可信","△成本含待补价/暂估，毛利仅供参考","")))))</f>
        <v/>
      </c>
    </row>
    <row r="611">
      <c r="A611" s="24">
        <f>IF(物料档案!$A610="","",物料档案!$A610)</f>
        <v/>
      </c>
      <c r="B611" s="24">
        <f>IF($A611="","",IFERROR(VLOOKUP($A611,物料档案!$A$4:$P$1203,3,0),""))</f>
        <v/>
      </c>
      <c r="C611" s="24">
        <f>IF($A611="","",IFERROR(VLOOKUP($A611,物料档案!$A$4:$P$1203,4,0),""))</f>
        <v/>
      </c>
      <c r="D611" s="24">
        <f>IF($A611="","",IFERROR(VLOOKUP($A611,物料档案!$A$4:$P$1203,5,0),""))</f>
        <v/>
      </c>
      <c r="E611" s="24">
        <f>IF($A611="","",IFERROR(VLOOKUP($A611,物料档案!$A$4:$P$1203,2,0),""))</f>
        <v/>
      </c>
      <c r="F611" s="24">
        <f>IF($A611="","",IFERROR(VLOOKUP($A611,物料档案!$A$4:$P$1203,6,0),""))</f>
        <v/>
      </c>
      <c r="G611" s="23" t="n"/>
      <c r="H611" s="32" t="n"/>
      <c r="I611" s="27">
        <f>IF($A611="","",SUMIFS(入库单!$K$4:$K$2503,入库单!$G$4:$G$2503,$A611,入库单!$X$4:$X$2503,"采购入库",入库单!$Z$4:$Z$2503,"正常",入库单!$C$4:$C$2503,"&gt;="&amp;账期起,入库单!$C$4:$C$2503,"&lt;="&amp;账期止))</f>
        <v/>
      </c>
      <c r="J611" s="26">
        <f>IF($A611="","",SUMIFS(入库单!$V$4:$V$2503,入库单!$G$4:$G$2503,$A611,入库单!$X$4:$X$2503,"采购入库",入库单!$Z$4:$Z$2503,"正常",入库单!$C$4:$C$2503,"&gt;="&amp;账期起,入库单!$C$4:$C$2503,"&lt;="&amp;账期止))</f>
        <v/>
      </c>
      <c r="K611" s="26">
        <f>IF($A611="","",IFERROR(ROUND((N($H611)+N($J611))/(N($G611)+N($I611)),2),0))</f>
        <v/>
      </c>
      <c r="L611" s="27">
        <f>IF($A611="","",SUMIFS(入库单!$K$4:$K$2503,入库单!$G$4:$G$2503,$A611,入库单!$X$4:$X$2503,"盘盈",入库单!$Z$4:$Z$2503,"正常",入库单!$C$4:$C$2503,"&gt;="&amp;账期起,入库单!$C$4:$C$2503,"&lt;="&amp;账期止))</f>
        <v/>
      </c>
      <c r="M611" s="26">
        <f>IF($A611="","",ROUND($L611*$K611,0))</f>
        <v/>
      </c>
      <c r="N611" s="27">
        <f>IF($A611="","",SUMIFS(入库单!$K$4:$K$2503,入库单!$G$4:$G$2503,$A611,入库单!$X$4:$X$2503,"矿区退库",入库单!$Z$4:$Z$2503,"正常",入库单!$C$4:$C$2503,"&gt;="&amp;账期起,入库单!$C$4:$C$2503,"&lt;="&amp;账期止))</f>
        <v/>
      </c>
      <c r="O611" s="26">
        <f>IF($A611="","",ROUND($N611*$K611,0))</f>
        <v/>
      </c>
      <c r="P611" s="27">
        <f>IF($A611="","",SUMIFS(出库单!$J$4:$J$4003,出库单!$D$4:$D$4003,$A611,出库单!$K$4:$K$4003,"自用消耗",出库单!$U$4:$U$4003,"正常",出库单!$C$4:$C$4003,"&gt;="&amp;账期起,出库单!$C$4:$C$4003,"&lt;="&amp;账期止))</f>
        <v/>
      </c>
      <c r="Q611" s="26">
        <f>IF($A611="","",ROUND(SUMIFS(出库单!$S$4:$S$4003,出库单!$D$4:$D$4003,$A611,出库单!$K$4:$K$4003,"自用消耗",出库单!$U$4:$U$4003,"正常",出库单!$C$4:$C$4003,"&gt;="&amp;账期起,出库单!$C$4:$C$4003,"&lt;="&amp;账期止),0))</f>
        <v/>
      </c>
      <c r="R611" s="27">
        <f>IF($A611="","",SUMIFS(出库单!$J$4:$J$4003,出库单!$D$4:$D$4003,$A611,出库单!$K$4:$K$4003,"对外销售",出库单!$U$4:$U$4003,"正常",出库单!$C$4:$C$4003,"&gt;="&amp;账期起,出库单!$C$4:$C$4003,"&lt;="&amp;账期止))</f>
        <v/>
      </c>
      <c r="S611" s="26">
        <f>IF($A611="","",ROUND(SUMIFS(出库单!$S$4:$S$4003,出库单!$D$4:$D$4003,$A611,出库单!$K$4:$K$4003,"对外销售",出库单!$U$4:$U$4003,"正常",出库单!$C$4:$C$4003,"&gt;="&amp;账期起,出库单!$C$4:$C$4003,"&lt;="&amp;账期止),0))</f>
        <v/>
      </c>
      <c r="T611" s="27">
        <f>IF($A611="","",SUMIFS(出库单!$J$4:$J$4003,出库单!$D$4:$D$4003,$A611,出库单!$K$4:$K$4003,"盘亏",出库单!$U$4:$U$4003,"正常",出库单!$C$4:$C$4003,"&gt;="&amp;账期起,出库单!$C$4:$C$4003,"&lt;="&amp;账期止))</f>
        <v/>
      </c>
      <c r="U611" s="26">
        <f>IF($A611="","",ROUND(SUMIFS(出库单!$S$4:$S$4003,出库单!$D$4:$D$4003,$A611,出库单!$K$4:$K$4003,"盘亏",出库单!$U$4:$U$4003,"正常",出库单!$C$4:$C$4003,"&gt;="&amp;账期起,出库单!$C$4:$C$4003,"&lt;="&amp;账期止),0))</f>
        <v/>
      </c>
      <c r="V611" s="27">
        <f>IF($A611="","",SUMIFS(出库单!$J$4:$J$4003,出库单!$D$4:$D$4003,$A611,出库单!$K$4:$K$4003,"退货给供应商",出库单!$U$4:$U$4003,"正常",出库单!$C$4:$C$4003,"&gt;="&amp;账期起,出库单!$C$4:$C$4003,"&lt;="&amp;账期止))</f>
        <v/>
      </c>
      <c r="W611" s="26">
        <f>IF($A611="","",ROUND(SUMIFS(出库单!$S$4:$S$4003,出库单!$D$4:$D$4003,$A611,出库单!$K$4:$K$4003,"退货给供应商",出库单!$U$4:$U$4003,"正常",出库单!$C$4:$C$4003,"&gt;="&amp;账期起,出库单!$C$4:$C$4003,"&lt;="&amp;账期止),0))</f>
        <v/>
      </c>
      <c r="X611" s="27">
        <f>IF($A611="","",ROUND(N($G611)+$I611+$L611+$N611-$P611-$R611-$T611-$V611,3))</f>
        <v/>
      </c>
      <c r="Y611" s="26">
        <f>IF($A611="","",ROUND(N($H611)+$J611+$M611+$O611-$Q611-$S611-$U611-$W611,0))</f>
        <v/>
      </c>
      <c r="Z611" s="24">
        <f>IF($A611="","",IF(COUNTIFS(入库单!$G$4:$G$2503,$A611,入库单!$Y$4:$Y$2503,"待补价")+COUNTIFS(入库单!$G$4:$G$2503,$A611,入库单!$Y$4:$Y$2503,"暂估")&gt;0,"不可信","可信"))</f>
        <v/>
      </c>
      <c r="AA611" s="24">
        <f>IF($A611="","",IF($X611&lt;-0.001,"※账面负库存，查一下是不是漏记入库",IF(AND(ROUND($X611,3)=0,ABS($Y611)&gt;1),"※数量已经是 0，金额还挂着 "&amp;TEXT($Y611,"#,##0")&amp;" 先令",IF(AND($X611&gt;0,$Y611&lt;=0,$K611=0),"※有数量没金额（这个物料一直没填过进价）",IF($Z611="不可信","△成本含待补价/暂估，毛利仅供参考","")))))</f>
        <v/>
      </c>
    </row>
    <row r="612">
      <c r="A612" s="24">
        <f>IF(物料档案!$A611="","",物料档案!$A611)</f>
        <v/>
      </c>
      <c r="B612" s="24">
        <f>IF($A612="","",IFERROR(VLOOKUP($A612,物料档案!$A$4:$P$1203,3,0),""))</f>
        <v/>
      </c>
      <c r="C612" s="24">
        <f>IF($A612="","",IFERROR(VLOOKUP($A612,物料档案!$A$4:$P$1203,4,0),""))</f>
        <v/>
      </c>
      <c r="D612" s="24">
        <f>IF($A612="","",IFERROR(VLOOKUP($A612,物料档案!$A$4:$P$1203,5,0),""))</f>
        <v/>
      </c>
      <c r="E612" s="24">
        <f>IF($A612="","",IFERROR(VLOOKUP($A612,物料档案!$A$4:$P$1203,2,0),""))</f>
        <v/>
      </c>
      <c r="F612" s="24">
        <f>IF($A612="","",IFERROR(VLOOKUP($A612,物料档案!$A$4:$P$1203,6,0),""))</f>
        <v/>
      </c>
      <c r="G612" s="23" t="n"/>
      <c r="H612" s="32" t="n"/>
      <c r="I612" s="27">
        <f>IF($A612="","",SUMIFS(入库单!$K$4:$K$2503,入库单!$G$4:$G$2503,$A612,入库单!$X$4:$X$2503,"采购入库",入库单!$Z$4:$Z$2503,"正常",入库单!$C$4:$C$2503,"&gt;="&amp;账期起,入库单!$C$4:$C$2503,"&lt;="&amp;账期止))</f>
        <v/>
      </c>
      <c r="J612" s="26">
        <f>IF($A612="","",SUMIFS(入库单!$V$4:$V$2503,入库单!$G$4:$G$2503,$A612,入库单!$X$4:$X$2503,"采购入库",入库单!$Z$4:$Z$2503,"正常",入库单!$C$4:$C$2503,"&gt;="&amp;账期起,入库单!$C$4:$C$2503,"&lt;="&amp;账期止))</f>
        <v/>
      </c>
      <c r="K612" s="26">
        <f>IF($A612="","",IFERROR(ROUND((N($H612)+N($J612))/(N($G612)+N($I612)),2),0))</f>
        <v/>
      </c>
      <c r="L612" s="27">
        <f>IF($A612="","",SUMIFS(入库单!$K$4:$K$2503,入库单!$G$4:$G$2503,$A612,入库单!$X$4:$X$2503,"盘盈",入库单!$Z$4:$Z$2503,"正常",入库单!$C$4:$C$2503,"&gt;="&amp;账期起,入库单!$C$4:$C$2503,"&lt;="&amp;账期止))</f>
        <v/>
      </c>
      <c r="M612" s="26">
        <f>IF($A612="","",ROUND($L612*$K612,0))</f>
        <v/>
      </c>
      <c r="N612" s="27">
        <f>IF($A612="","",SUMIFS(入库单!$K$4:$K$2503,入库单!$G$4:$G$2503,$A612,入库单!$X$4:$X$2503,"矿区退库",入库单!$Z$4:$Z$2503,"正常",入库单!$C$4:$C$2503,"&gt;="&amp;账期起,入库单!$C$4:$C$2503,"&lt;="&amp;账期止))</f>
        <v/>
      </c>
      <c r="O612" s="26">
        <f>IF($A612="","",ROUND($N612*$K612,0))</f>
        <v/>
      </c>
      <c r="P612" s="27">
        <f>IF($A612="","",SUMIFS(出库单!$J$4:$J$4003,出库单!$D$4:$D$4003,$A612,出库单!$K$4:$K$4003,"自用消耗",出库单!$U$4:$U$4003,"正常",出库单!$C$4:$C$4003,"&gt;="&amp;账期起,出库单!$C$4:$C$4003,"&lt;="&amp;账期止))</f>
        <v/>
      </c>
      <c r="Q612" s="26">
        <f>IF($A612="","",ROUND(SUMIFS(出库单!$S$4:$S$4003,出库单!$D$4:$D$4003,$A612,出库单!$K$4:$K$4003,"自用消耗",出库单!$U$4:$U$4003,"正常",出库单!$C$4:$C$4003,"&gt;="&amp;账期起,出库单!$C$4:$C$4003,"&lt;="&amp;账期止),0))</f>
        <v/>
      </c>
      <c r="R612" s="27">
        <f>IF($A612="","",SUMIFS(出库单!$J$4:$J$4003,出库单!$D$4:$D$4003,$A612,出库单!$K$4:$K$4003,"对外销售",出库单!$U$4:$U$4003,"正常",出库单!$C$4:$C$4003,"&gt;="&amp;账期起,出库单!$C$4:$C$4003,"&lt;="&amp;账期止))</f>
        <v/>
      </c>
      <c r="S612" s="26">
        <f>IF($A612="","",ROUND(SUMIFS(出库单!$S$4:$S$4003,出库单!$D$4:$D$4003,$A612,出库单!$K$4:$K$4003,"对外销售",出库单!$U$4:$U$4003,"正常",出库单!$C$4:$C$4003,"&gt;="&amp;账期起,出库单!$C$4:$C$4003,"&lt;="&amp;账期止),0))</f>
        <v/>
      </c>
      <c r="T612" s="27">
        <f>IF($A612="","",SUMIFS(出库单!$J$4:$J$4003,出库单!$D$4:$D$4003,$A612,出库单!$K$4:$K$4003,"盘亏",出库单!$U$4:$U$4003,"正常",出库单!$C$4:$C$4003,"&gt;="&amp;账期起,出库单!$C$4:$C$4003,"&lt;="&amp;账期止))</f>
        <v/>
      </c>
      <c r="U612" s="26">
        <f>IF($A612="","",ROUND(SUMIFS(出库单!$S$4:$S$4003,出库单!$D$4:$D$4003,$A612,出库单!$K$4:$K$4003,"盘亏",出库单!$U$4:$U$4003,"正常",出库单!$C$4:$C$4003,"&gt;="&amp;账期起,出库单!$C$4:$C$4003,"&lt;="&amp;账期止),0))</f>
        <v/>
      </c>
      <c r="V612" s="27">
        <f>IF($A612="","",SUMIFS(出库单!$J$4:$J$4003,出库单!$D$4:$D$4003,$A612,出库单!$K$4:$K$4003,"退货给供应商",出库单!$U$4:$U$4003,"正常",出库单!$C$4:$C$4003,"&gt;="&amp;账期起,出库单!$C$4:$C$4003,"&lt;="&amp;账期止))</f>
        <v/>
      </c>
      <c r="W612" s="26">
        <f>IF($A612="","",ROUND(SUMIFS(出库单!$S$4:$S$4003,出库单!$D$4:$D$4003,$A612,出库单!$K$4:$K$4003,"退货给供应商",出库单!$U$4:$U$4003,"正常",出库单!$C$4:$C$4003,"&gt;="&amp;账期起,出库单!$C$4:$C$4003,"&lt;="&amp;账期止),0))</f>
        <v/>
      </c>
      <c r="X612" s="27">
        <f>IF($A612="","",ROUND(N($G612)+$I612+$L612+$N612-$P612-$R612-$T612-$V612,3))</f>
        <v/>
      </c>
      <c r="Y612" s="26">
        <f>IF($A612="","",ROUND(N($H612)+$J612+$M612+$O612-$Q612-$S612-$U612-$W612,0))</f>
        <v/>
      </c>
      <c r="Z612" s="24">
        <f>IF($A612="","",IF(COUNTIFS(入库单!$G$4:$G$2503,$A612,入库单!$Y$4:$Y$2503,"待补价")+COUNTIFS(入库单!$G$4:$G$2503,$A612,入库单!$Y$4:$Y$2503,"暂估")&gt;0,"不可信","可信"))</f>
        <v/>
      </c>
      <c r="AA612" s="24">
        <f>IF($A612="","",IF($X612&lt;-0.001,"※账面负库存，查一下是不是漏记入库",IF(AND(ROUND($X612,3)=0,ABS($Y612)&gt;1),"※数量已经是 0，金额还挂着 "&amp;TEXT($Y612,"#,##0")&amp;" 先令",IF(AND($X612&gt;0,$Y612&lt;=0,$K612=0),"※有数量没金额（这个物料一直没填过进价）",IF($Z612="不可信","△成本含待补价/暂估，毛利仅供参考","")))))</f>
        <v/>
      </c>
    </row>
    <row r="613">
      <c r="A613" s="24">
        <f>IF(物料档案!$A612="","",物料档案!$A612)</f>
        <v/>
      </c>
      <c r="B613" s="24">
        <f>IF($A613="","",IFERROR(VLOOKUP($A613,物料档案!$A$4:$P$1203,3,0),""))</f>
        <v/>
      </c>
      <c r="C613" s="24">
        <f>IF($A613="","",IFERROR(VLOOKUP($A613,物料档案!$A$4:$P$1203,4,0),""))</f>
        <v/>
      </c>
      <c r="D613" s="24">
        <f>IF($A613="","",IFERROR(VLOOKUP($A613,物料档案!$A$4:$P$1203,5,0),""))</f>
        <v/>
      </c>
      <c r="E613" s="24">
        <f>IF($A613="","",IFERROR(VLOOKUP($A613,物料档案!$A$4:$P$1203,2,0),""))</f>
        <v/>
      </c>
      <c r="F613" s="24">
        <f>IF($A613="","",IFERROR(VLOOKUP($A613,物料档案!$A$4:$P$1203,6,0),""))</f>
        <v/>
      </c>
      <c r="G613" s="23" t="n"/>
      <c r="H613" s="32" t="n"/>
      <c r="I613" s="27">
        <f>IF($A613="","",SUMIFS(入库单!$K$4:$K$2503,入库单!$G$4:$G$2503,$A613,入库单!$X$4:$X$2503,"采购入库",入库单!$Z$4:$Z$2503,"正常",入库单!$C$4:$C$2503,"&gt;="&amp;账期起,入库单!$C$4:$C$2503,"&lt;="&amp;账期止))</f>
        <v/>
      </c>
      <c r="J613" s="26">
        <f>IF($A613="","",SUMIFS(入库单!$V$4:$V$2503,入库单!$G$4:$G$2503,$A613,入库单!$X$4:$X$2503,"采购入库",入库单!$Z$4:$Z$2503,"正常",入库单!$C$4:$C$2503,"&gt;="&amp;账期起,入库单!$C$4:$C$2503,"&lt;="&amp;账期止))</f>
        <v/>
      </c>
      <c r="K613" s="26">
        <f>IF($A613="","",IFERROR(ROUND((N($H613)+N($J613))/(N($G613)+N($I613)),2),0))</f>
        <v/>
      </c>
      <c r="L613" s="27">
        <f>IF($A613="","",SUMIFS(入库单!$K$4:$K$2503,入库单!$G$4:$G$2503,$A613,入库单!$X$4:$X$2503,"盘盈",入库单!$Z$4:$Z$2503,"正常",入库单!$C$4:$C$2503,"&gt;="&amp;账期起,入库单!$C$4:$C$2503,"&lt;="&amp;账期止))</f>
        <v/>
      </c>
      <c r="M613" s="26">
        <f>IF($A613="","",ROUND($L613*$K613,0))</f>
        <v/>
      </c>
      <c r="N613" s="27">
        <f>IF($A613="","",SUMIFS(入库单!$K$4:$K$2503,入库单!$G$4:$G$2503,$A613,入库单!$X$4:$X$2503,"矿区退库",入库单!$Z$4:$Z$2503,"正常",入库单!$C$4:$C$2503,"&gt;="&amp;账期起,入库单!$C$4:$C$2503,"&lt;="&amp;账期止))</f>
        <v/>
      </c>
      <c r="O613" s="26">
        <f>IF($A613="","",ROUND($N613*$K613,0))</f>
        <v/>
      </c>
      <c r="P613" s="27">
        <f>IF($A613="","",SUMIFS(出库单!$J$4:$J$4003,出库单!$D$4:$D$4003,$A613,出库单!$K$4:$K$4003,"自用消耗",出库单!$U$4:$U$4003,"正常",出库单!$C$4:$C$4003,"&gt;="&amp;账期起,出库单!$C$4:$C$4003,"&lt;="&amp;账期止))</f>
        <v/>
      </c>
      <c r="Q613" s="26">
        <f>IF($A613="","",ROUND(SUMIFS(出库单!$S$4:$S$4003,出库单!$D$4:$D$4003,$A613,出库单!$K$4:$K$4003,"自用消耗",出库单!$U$4:$U$4003,"正常",出库单!$C$4:$C$4003,"&gt;="&amp;账期起,出库单!$C$4:$C$4003,"&lt;="&amp;账期止),0))</f>
        <v/>
      </c>
      <c r="R613" s="27">
        <f>IF($A613="","",SUMIFS(出库单!$J$4:$J$4003,出库单!$D$4:$D$4003,$A613,出库单!$K$4:$K$4003,"对外销售",出库单!$U$4:$U$4003,"正常",出库单!$C$4:$C$4003,"&gt;="&amp;账期起,出库单!$C$4:$C$4003,"&lt;="&amp;账期止))</f>
        <v/>
      </c>
      <c r="S613" s="26">
        <f>IF($A613="","",ROUND(SUMIFS(出库单!$S$4:$S$4003,出库单!$D$4:$D$4003,$A613,出库单!$K$4:$K$4003,"对外销售",出库单!$U$4:$U$4003,"正常",出库单!$C$4:$C$4003,"&gt;="&amp;账期起,出库单!$C$4:$C$4003,"&lt;="&amp;账期止),0))</f>
        <v/>
      </c>
      <c r="T613" s="27">
        <f>IF($A613="","",SUMIFS(出库单!$J$4:$J$4003,出库单!$D$4:$D$4003,$A613,出库单!$K$4:$K$4003,"盘亏",出库单!$U$4:$U$4003,"正常",出库单!$C$4:$C$4003,"&gt;="&amp;账期起,出库单!$C$4:$C$4003,"&lt;="&amp;账期止))</f>
        <v/>
      </c>
      <c r="U613" s="26">
        <f>IF($A613="","",ROUND(SUMIFS(出库单!$S$4:$S$4003,出库单!$D$4:$D$4003,$A613,出库单!$K$4:$K$4003,"盘亏",出库单!$U$4:$U$4003,"正常",出库单!$C$4:$C$4003,"&gt;="&amp;账期起,出库单!$C$4:$C$4003,"&lt;="&amp;账期止),0))</f>
        <v/>
      </c>
      <c r="V613" s="27">
        <f>IF($A613="","",SUMIFS(出库单!$J$4:$J$4003,出库单!$D$4:$D$4003,$A613,出库单!$K$4:$K$4003,"退货给供应商",出库单!$U$4:$U$4003,"正常",出库单!$C$4:$C$4003,"&gt;="&amp;账期起,出库单!$C$4:$C$4003,"&lt;="&amp;账期止))</f>
        <v/>
      </c>
      <c r="W613" s="26">
        <f>IF($A613="","",ROUND(SUMIFS(出库单!$S$4:$S$4003,出库单!$D$4:$D$4003,$A613,出库单!$K$4:$K$4003,"退货给供应商",出库单!$U$4:$U$4003,"正常",出库单!$C$4:$C$4003,"&gt;="&amp;账期起,出库单!$C$4:$C$4003,"&lt;="&amp;账期止),0))</f>
        <v/>
      </c>
      <c r="X613" s="27">
        <f>IF($A613="","",ROUND(N($G613)+$I613+$L613+$N613-$P613-$R613-$T613-$V613,3))</f>
        <v/>
      </c>
      <c r="Y613" s="26">
        <f>IF($A613="","",ROUND(N($H613)+$J613+$M613+$O613-$Q613-$S613-$U613-$W613,0))</f>
        <v/>
      </c>
      <c r="Z613" s="24">
        <f>IF($A613="","",IF(COUNTIFS(入库单!$G$4:$G$2503,$A613,入库单!$Y$4:$Y$2503,"待补价")+COUNTIFS(入库单!$G$4:$G$2503,$A613,入库单!$Y$4:$Y$2503,"暂估")&gt;0,"不可信","可信"))</f>
        <v/>
      </c>
      <c r="AA613" s="24">
        <f>IF($A613="","",IF($X613&lt;-0.001,"※账面负库存，查一下是不是漏记入库",IF(AND(ROUND($X613,3)=0,ABS($Y613)&gt;1),"※数量已经是 0，金额还挂着 "&amp;TEXT($Y613,"#,##0")&amp;" 先令",IF(AND($X613&gt;0,$Y613&lt;=0,$K613=0),"※有数量没金额（这个物料一直没填过进价）",IF($Z613="不可信","△成本含待补价/暂估，毛利仅供参考","")))))</f>
        <v/>
      </c>
    </row>
    <row r="614">
      <c r="A614" s="24">
        <f>IF(物料档案!$A613="","",物料档案!$A613)</f>
        <v/>
      </c>
      <c r="B614" s="24">
        <f>IF($A614="","",IFERROR(VLOOKUP($A614,物料档案!$A$4:$P$1203,3,0),""))</f>
        <v/>
      </c>
      <c r="C614" s="24">
        <f>IF($A614="","",IFERROR(VLOOKUP($A614,物料档案!$A$4:$P$1203,4,0),""))</f>
        <v/>
      </c>
      <c r="D614" s="24">
        <f>IF($A614="","",IFERROR(VLOOKUP($A614,物料档案!$A$4:$P$1203,5,0),""))</f>
        <v/>
      </c>
      <c r="E614" s="24">
        <f>IF($A614="","",IFERROR(VLOOKUP($A614,物料档案!$A$4:$P$1203,2,0),""))</f>
        <v/>
      </c>
      <c r="F614" s="24">
        <f>IF($A614="","",IFERROR(VLOOKUP($A614,物料档案!$A$4:$P$1203,6,0),""))</f>
        <v/>
      </c>
      <c r="G614" s="23" t="n"/>
      <c r="H614" s="32" t="n"/>
      <c r="I614" s="27">
        <f>IF($A614="","",SUMIFS(入库单!$K$4:$K$2503,入库单!$G$4:$G$2503,$A614,入库单!$X$4:$X$2503,"采购入库",入库单!$Z$4:$Z$2503,"正常",入库单!$C$4:$C$2503,"&gt;="&amp;账期起,入库单!$C$4:$C$2503,"&lt;="&amp;账期止))</f>
        <v/>
      </c>
      <c r="J614" s="26">
        <f>IF($A614="","",SUMIFS(入库单!$V$4:$V$2503,入库单!$G$4:$G$2503,$A614,入库单!$X$4:$X$2503,"采购入库",入库单!$Z$4:$Z$2503,"正常",入库单!$C$4:$C$2503,"&gt;="&amp;账期起,入库单!$C$4:$C$2503,"&lt;="&amp;账期止))</f>
        <v/>
      </c>
      <c r="K614" s="26">
        <f>IF($A614="","",IFERROR(ROUND((N($H614)+N($J614))/(N($G614)+N($I614)),2),0))</f>
        <v/>
      </c>
      <c r="L614" s="27">
        <f>IF($A614="","",SUMIFS(入库单!$K$4:$K$2503,入库单!$G$4:$G$2503,$A614,入库单!$X$4:$X$2503,"盘盈",入库单!$Z$4:$Z$2503,"正常",入库单!$C$4:$C$2503,"&gt;="&amp;账期起,入库单!$C$4:$C$2503,"&lt;="&amp;账期止))</f>
        <v/>
      </c>
      <c r="M614" s="26">
        <f>IF($A614="","",ROUND($L614*$K614,0))</f>
        <v/>
      </c>
      <c r="N614" s="27">
        <f>IF($A614="","",SUMIFS(入库单!$K$4:$K$2503,入库单!$G$4:$G$2503,$A614,入库单!$X$4:$X$2503,"矿区退库",入库单!$Z$4:$Z$2503,"正常",入库单!$C$4:$C$2503,"&gt;="&amp;账期起,入库单!$C$4:$C$2503,"&lt;="&amp;账期止))</f>
        <v/>
      </c>
      <c r="O614" s="26">
        <f>IF($A614="","",ROUND($N614*$K614,0))</f>
        <v/>
      </c>
      <c r="P614" s="27">
        <f>IF($A614="","",SUMIFS(出库单!$J$4:$J$4003,出库单!$D$4:$D$4003,$A614,出库单!$K$4:$K$4003,"自用消耗",出库单!$U$4:$U$4003,"正常",出库单!$C$4:$C$4003,"&gt;="&amp;账期起,出库单!$C$4:$C$4003,"&lt;="&amp;账期止))</f>
        <v/>
      </c>
      <c r="Q614" s="26">
        <f>IF($A614="","",ROUND(SUMIFS(出库单!$S$4:$S$4003,出库单!$D$4:$D$4003,$A614,出库单!$K$4:$K$4003,"自用消耗",出库单!$U$4:$U$4003,"正常",出库单!$C$4:$C$4003,"&gt;="&amp;账期起,出库单!$C$4:$C$4003,"&lt;="&amp;账期止),0))</f>
        <v/>
      </c>
      <c r="R614" s="27">
        <f>IF($A614="","",SUMIFS(出库单!$J$4:$J$4003,出库单!$D$4:$D$4003,$A614,出库单!$K$4:$K$4003,"对外销售",出库单!$U$4:$U$4003,"正常",出库单!$C$4:$C$4003,"&gt;="&amp;账期起,出库单!$C$4:$C$4003,"&lt;="&amp;账期止))</f>
        <v/>
      </c>
      <c r="S614" s="26">
        <f>IF($A614="","",ROUND(SUMIFS(出库单!$S$4:$S$4003,出库单!$D$4:$D$4003,$A614,出库单!$K$4:$K$4003,"对外销售",出库单!$U$4:$U$4003,"正常",出库单!$C$4:$C$4003,"&gt;="&amp;账期起,出库单!$C$4:$C$4003,"&lt;="&amp;账期止),0))</f>
        <v/>
      </c>
      <c r="T614" s="27">
        <f>IF($A614="","",SUMIFS(出库单!$J$4:$J$4003,出库单!$D$4:$D$4003,$A614,出库单!$K$4:$K$4003,"盘亏",出库单!$U$4:$U$4003,"正常",出库单!$C$4:$C$4003,"&gt;="&amp;账期起,出库单!$C$4:$C$4003,"&lt;="&amp;账期止))</f>
        <v/>
      </c>
      <c r="U614" s="26">
        <f>IF($A614="","",ROUND(SUMIFS(出库单!$S$4:$S$4003,出库单!$D$4:$D$4003,$A614,出库单!$K$4:$K$4003,"盘亏",出库单!$U$4:$U$4003,"正常",出库单!$C$4:$C$4003,"&gt;="&amp;账期起,出库单!$C$4:$C$4003,"&lt;="&amp;账期止),0))</f>
        <v/>
      </c>
      <c r="V614" s="27">
        <f>IF($A614="","",SUMIFS(出库单!$J$4:$J$4003,出库单!$D$4:$D$4003,$A614,出库单!$K$4:$K$4003,"退货给供应商",出库单!$U$4:$U$4003,"正常",出库单!$C$4:$C$4003,"&gt;="&amp;账期起,出库单!$C$4:$C$4003,"&lt;="&amp;账期止))</f>
        <v/>
      </c>
      <c r="W614" s="26">
        <f>IF($A614="","",ROUND(SUMIFS(出库单!$S$4:$S$4003,出库单!$D$4:$D$4003,$A614,出库单!$K$4:$K$4003,"退货给供应商",出库单!$U$4:$U$4003,"正常",出库单!$C$4:$C$4003,"&gt;="&amp;账期起,出库单!$C$4:$C$4003,"&lt;="&amp;账期止),0))</f>
        <v/>
      </c>
      <c r="X614" s="27">
        <f>IF($A614="","",ROUND(N($G614)+$I614+$L614+$N614-$P614-$R614-$T614-$V614,3))</f>
        <v/>
      </c>
      <c r="Y614" s="26">
        <f>IF($A614="","",ROUND(N($H614)+$J614+$M614+$O614-$Q614-$S614-$U614-$W614,0))</f>
        <v/>
      </c>
      <c r="Z614" s="24">
        <f>IF($A614="","",IF(COUNTIFS(入库单!$G$4:$G$2503,$A614,入库单!$Y$4:$Y$2503,"待补价")+COUNTIFS(入库单!$G$4:$G$2503,$A614,入库单!$Y$4:$Y$2503,"暂估")&gt;0,"不可信","可信"))</f>
        <v/>
      </c>
      <c r="AA614" s="24">
        <f>IF($A614="","",IF($X614&lt;-0.001,"※账面负库存，查一下是不是漏记入库",IF(AND(ROUND($X614,3)=0,ABS($Y614)&gt;1),"※数量已经是 0，金额还挂着 "&amp;TEXT($Y614,"#,##0")&amp;" 先令",IF(AND($X614&gt;0,$Y614&lt;=0,$K614=0),"※有数量没金额（这个物料一直没填过进价）",IF($Z614="不可信","△成本含待补价/暂估，毛利仅供参考","")))))</f>
        <v/>
      </c>
    </row>
    <row r="615">
      <c r="A615" s="24">
        <f>IF(物料档案!$A614="","",物料档案!$A614)</f>
        <v/>
      </c>
      <c r="B615" s="24">
        <f>IF($A615="","",IFERROR(VLOOKUP($A615,物料档案!$A$4:$P$1203,3,0),""))</f>
        <v/>
      </c>
      <c r="C615" s="24">
        <f>IF($A615="","",IFERROR(VLOOKUP($A615,物料档案!$A$4:$P$1203,4,0),""))</f>
        <v/>
      </c>
      <c r="D615" s="24">
        <f>IF($A615="","",IFERROR(VLOOKUP($A615,物料档案!$A$4:$P$1203,5,0),""))</f>
        <v/>
      </c>
      <c r="E615" s="24">
        <f>IF($A615="","",IFERROR(VLOOKUP($A615,物料档案!$A$4:$P$1203,2,0),""))</f>
        <v/>
      </c>
      <c r="F615" s="24">
        <f>IF($A615="","",IFERROR(VLOOKUP($A615,物料档案!$A$4:$P$1203,6,0),""))</f>
        <v/>
      </c>
      <c r="G615" s="23" t="n"/>
      <c r="H615" s="32" t="n"/>
      <c r="I615" s="27">
        <f>IF($A615="","",SUMIFS(入库单!$K$4:$K$2503,入库单!$G$4:$G$2503,$A615,入库单!$X$4:$X$2503,"采购入库",入库单!$Z$4:$Z$2503,"正常",入库单!$C$4:$C$2503,"&gt;="&amp;账期起,入库单!$C$4:$C$2503,"&lt;="&amp;账期止))</f>
        <v/>
      </c>
      <c r="J615" s="26">
        <f>IF($A615="","",SUMIFS(入库单!$V$4:$V$2503,入库单!$G$4:$G$2503,$A615,入库单!$X$4:$X$2503,"采购入库",入库单!$Z$4:$Z$2503,"正常",入库单!$C$4:$C$2503,"&gt;="&amp;账期起,入库单!$C$4:$C$2503,"&lt;="&amp;账期止))</f>
        <v/>
      </c>
      <c r="K615" s="26">
        <f>IF($A615="","",IFERROR(ROUND((N($H615)+N($J615))/(N($G615)+N($I615)),2),0))</f>
        <v/>
      </c>
      <c r="L615" s="27">
        <f>IF($A615="","",SUMIFS(入库单!$K$4:$K$2503,入库单!$G$4:$G$2503,$A615,入库单!$X$4:$X$2503,"盘盈",入库单!$Z$4:$Z$2503,"正常",入库单!$C$4:$C$2503,"&gt;="&amp;账期起,入库单!$C$4:$C$2503,"&lt;="&amp;账期止))</f>
        <v/>
      </c>
      <c r="M615" s="26">
        <f>IF($A615="","",ROUND($L615*$K615,0))</f>
        <v/>
      </c>
      <c r="N615" s="27">
        <f>IF($A615="","",SUMIFS(入库单!$K$4:$K$2503,入库单!$G$4:$G$2503,$A615,入库单!$X$4:$X$2503,"矿区退库",入库单!$Z$4:$Z$2503,"正常",入库单!$C$4:$C$2503,"&gt;="&amp;账期起,入库单!$C$4:$C$2503,"&lt;="&amp;账期止))</f>
        <v/>
      </c>
      <c r="O615" s="26">
        <f>IF($A615="","",ROUND($N615*$K615,0))</f>
        <v/>
      </c>
      <c r="P615" s="27">
        <f>IF($A615="","",SUMIFS(出库单!$J$4:$J$4003,出库单!$D$4:$D$4003,$A615,出库单!$K$4:$K$4003,"自用消耗",出库单!$U$4:$U$4003,"正常",出库单!$C$4:$C$4003,"&gt;="&amp;账期起,出库单!$C$4:$C$4003,"&lt;="&amp;账期止))</f>
        <v/>
      </c>
      <c r="Q615" s="26">
        <f>IF($A615="","",ROUND(SUMIFS(出库单!$S$4:$S$4003,出库单!$D$4:$D$4003,$A615,出库单!$K$4:$K$4003,"自用消耗",出库单!$U$4:$U$4003,"正常",出库单!$C$4:$C$4003,"&gt;="&amp;账期起,出库单!$C$4:$C$4003,"&lt;="&amp;账期止),0))</f>
        <v/>
      </c>
      <c r="R615" s="27">
        <f>IF($A615="","",SUMIFS(出库单!$J$4:$J$4003,出库单!$D$4:$D$4003,$A615,出库单!$K$4:$K$4003,"对外销售",出库单!$U$4:$U$4003,"正常",出库单!$C$4:$C$4003,"&gt;="&amp;账期起,出库单!$C$4:$C$4003,"&lt;="&amp;账期止))</f>
        <v/>
      </c>
      <c r="S615" s="26">
        <f>IF($A615="","",ROUND(SUMIFS(出库单!$S$4:$S$4003,出库单!$D$4:$D$4003,$A615,出库单!$K$4:$K$4003,"对外销售",出库单!$U$4:$U$4003,"正常",出库单!$C$4:$C$4003,"&gt;="&amp;账期起,出库单!$C$4:$C$4003,"&lt;="&amp;账期止),0))</f>
        <v/>
      </c>
      <c r="T615" s="27">
        <f>IF($A615="","",SUMIFS(出库单!$J$4:$J$4003,出库单!$D$4:$D$4003,$A615,出库单!$K$4:$K$4003,"盘亏",出库单!$U$4:$U$4003,"正常",出库单!$C$4:$C$4003,"&gt;="&amp;账期起,出库单!$C$4:$C$4003,"&lt;="&amp;账期止))</f>
        <v/>
      </c>
      <c r="U615" s="26">
        <f>IF($A615="","",ROUND(SUMIFS(出库单!$S$4:$S$4003,出库单!$D$4:$D$4003,$A615,出库单!$K$4:$K$4003,"盘亏",出库单!$U$4:$U$4003,"正常",出库单!$C$4:$C$4003,"&gt;="&amp;账期起,出库单!$C$4:$C$4003,"&lt;="&amp;账期止),0))</f>
        <v/>
      </c>
      <c r="V615" s="27">
        <f>IF($A615="","",SUMIFS(出库单!$J$4:$J$4003,出库单!$D$4:$D$4003,$A615,出库单!$K$4:$K$4003,"退货给供应商",出库单!$U$4:$U$4003,"正常",出库单!$C$4:$C$4003,"&gt;="&amp;账期起,出库单!$C$4:$C$4003,"&lt;="&amp;账期止))</f>
        <v/>
      </c>
      <c r="W615" s="26">
        <f>IF($A615="","",ROUND(SUMIFS(出库单!$S$4:$S$4003,出库单!$D$4:$D$4003,$A615,出库单!$K$4:$K$4003,"退货给供应商",出库单!$U$4:$U$4003,"正常",出库单!$C$4:$C$4003,"&gt;="&amp;账期起,出库单!$C$4:$C$4003,"&lt;="&amp;账期止),0))</f>
        <v/>
      </c>
      <c r="X615" s="27">
        <f>IF($A615="","",ROUND(N($G615)+$I615+$L615+$N615-$P615-$R615-$T615-$V615,3))</f>
        <v/>
      </c>
      <c r="Y615" s="26">
        <f>IF($A615="","",ROUND(N($H615)+$J615+$M615+$O615-$Q615-$S615-$U615-$W615,0))</f>
        <v/>
      </c>
      <c r="Z615" s="24">
        <f>IF($A615="","",IF(COUNTIFS(入库单!$G$4:$G$2503,$A615,入库单!$Y$4:$Y$2503,"待补价")+COUNTIFS(入库单!$G$4:$G$2503,$A615,入库单!$Y$4:$Y$2503,"暂估")&gt;0,"不可信","可信"))</f>
        <v/>
      </c>
      <c r="AA615" s="24">
        <f>IF($A615="","",IF($X615&lt;-0.001,"※账面负库存，查一下是不是漏记入库",IF(AND(ROUND($X615,3)=0,ABS($Y615)&gt;1),"※数量已经是 0，金额还挂着 "&amp;TEXT($Y615,"#,##0")&amp;" 先令",IF(AND($X615&gt;0,$Y615&lt;=0,$K615=0),"※有数量没金额（这个物料一直没填过进价）",IF($Z615="不可信","△成本含待补价/暂估，毛利仅供参考","")))))</f>
        <v/>
      </c>
    </row>
    <row r="616">
      <c r="A616" s="24">
        <f>IF(物料档案!$A615="","",物料档案!$A615)</f>
        <v/>
      </c>
      <c r="B616" s="24">
        <f>IF($A616="","",IFERROR(VLOOKUP($A616,物料档案!$A$4:$P$1203,3,0),""))</f>
        <v/>
      </c>
      <c r="C616" s="24">
        <f>IF($A616="","",IFERROR(VLOOKUP($A616,物料档案!$A$4:$P$1203,4,0),""))</f>
        <v/>
      </c>
      <c r="D616" s="24">
        <f>IF($A616="","",IFERROR(VLOOKUP($A616,物料档案!$A$4:$P$1203,5,0),""))</f>
        <v/>
      </c>
      <c r="E616" s="24">
        <f>IF($A616="","",IFERROR(VLOOKUP($A616,物料档案!$A$4:$P$1203,2,0),""))</f>
        <v/>
      </c>
      <c r="F616" s="24">
        <f>IF($A616="","",IFERROR(VLOOKUP($A616,物料档案!$A$4:$P$1203,6,0),""))</f>
        <v/>
      </c>
      <c r="G616" s="23" t="n"/>
      <c r="H616" s="32" t="n"/>
      <c r="I616" s="27">
        <f>IF($A616="","",SUMIFS(入库单!$K$4:$K$2503,入库单!$G$4:$G$2503,$A616,入库单!$X$4:$X$2503,"采购入库",入库单!$Z$4:$Z$2503,"正常",入库单!$C$4:$C$2503,"&gt;="&amp;账期起,入库单!$C$4:$C$2503,"&lt;="&amp;账期止))</f>
        <v/>
      </c>
      <c r="J616" s="26">
        <f>IF($A616="","",SUMIFS(入库单!$V$4:$V$2503,入库单!$G$4:$G$2503,$A616,入库单!$X$4:$X$2503,"采购入库",入库单!$Z$4:$Z$2503,"正常",入库单!$C$4:$C$2503,"&gt;="&amp;账期起,入库单!$C$4:$C$2503,"&lt;="&amp;账期止))</f>
        <v/>
      </c>
      <c r="K616" s="26">
        <f>IF($A616="","",IFERROR(ROUND((N($H616)+N($J616))/(N($G616)+N($I616)),2),0))</f>
        <v/>
      </c>
      <c r="L616" s="27">
        <f>IF($A616="","",SUMIFS(入库单!$K$4:$K$2503,入库单!$G$4:$G$2503,$A616,入库单!$X$4:$X$2503,"盘盈",入库单!$Z$4:$Z$2503,"正常",入库单!$C$4:$C$2503,"&gt;="&amp;账期起,入库单!$C$4:$C$2503,"&lt;="&amp;账期止))</f>
        <v/>
      </c>
      <c r="M616" s="26">
        <f>IF($A616="","",ROUND($L616*$K616,0))</f>
        <v/>
      </c>
      <c r="N616" s="27">
        <f>IF($A616="","",SUMIFS(入库单!$K$4:$K$2503,入库单!$G$4:$G$2503,$A616,入库单!$X$4:$X$2503,"矿区退库",入库单!$Z$4:$Z$2503,"正常",入库单!$C$4:$C$2503,"&gt;="&amp;账期起,入库单!$C$4:$C$2503,"&lt;="&amp;账期止))</f>
        <v/>
      </c>
      <c r="O616" s="26">
        <f>IF($A616="","",ROUND($N616*$K616,0))</f>
        <v/>
      </c>
      <c r="P616" s="27">
        <f>IF($A616="","",SUMIFS(出库单!$J$4:$J$4003,出库单!$D$4:$D$4003,$A616,出库单!$K$4:$K$4003,"自用消耗",出库单!$U$4:$U$4003,"正常",出库单!$C$4:$C$4003,"&gt;="&amp;账期起,出库单!$C$4:$C$4003,"&lt;="&amp;账期止))</f>
        <v/>
      </c>
      <c r="Q616" s="26">
        <f>IF($A616="","",ROUND(SUMIFS(出库单!$S$4:$S$4003,出库单!$D$4:$D$4003,$A616,出库单!$K$4:$K$4003,"自用消耗",出库单!$U$4:$U$4003,"正常",出库单!$C$4:$C$4003,"&gt;="&amp;账期起,出库单!$C$4:$C$4003,"&lt;="&amp;账期止),0))</f>
        <v/>
      </c>
      <c r="R616" s="27">
        <f>IF($A616="","",SUMIFS(出库单!$J$4:$J$4003,出库单!$D$4:$D$4003,$A616,出库单!$K$4:$K$4003,"对外销售",出库单!$U$4:$U$4003,"正常",出库单!$C$4:$C$4003,"&gt;="&amp;账期起,出库单!$C$4:$C$4003,"&lt;="&amp;账期止))</f>
        <v/>
      </c>
      <c r="S616" s="26">
        <f>IF($A616="","",ROUND(SUMIFS(出库单!$S$4:$S$4003,出库单!$D$4:$D$4003,$A616,出库单!$K$4:$K$4003,"对外销售",出库单!$U$4:$U$4003,"正常",出库单!$C$4:$C$4003,"&gt;="&amp;账期起,出库单!$C$4:$C$4003,"&lt;="&amp;账期止),0))</f>
        <v/>
      </c>
      <c r="T616" s="27">
        <f>IF($A616="","",SUMIFS(出库单!$J$4:$J$4003,出库单!$D$4:$D$4003,$A616,出库单!$K$4:$K$4003,"盘亏",出库单!$U$4:$U$4003,"正常",出库单!$C$4:$C$4003,"&gt;="&amp;账期起,出库单!$C$4:$C$4003,"&lt;="&amp;账期止))</f>
        <v/>
      </c>
      <c r="U616" s="26">
        <f>IF($A616="","",ROUND(SUMIFS(出库单!$S$4:$S$4003,出库单!$D$4:$D$4003,$A616,出库单!$K$4:$K$4003,"盘亏",出库单!$U$4:$U$4003,"正常",出库单!$C$4:$C$4003,"&gt;="&amp;账期起,出库单!$C$4:$C$4003,"&lt;="&amp;账期止),0))</f>
        <v/>
      </c>
      <c r="V616" s="27">
        <f>IF($A616="","",SUMIFS(出库单!$J$4:$J$4003,出库单!$D$4:$D$4003,$A616,出库单!$K$4:$K$4003,"退货给供应商",出库单!$U$4:$U$4003,"正常",出库单!$C$4:$C$4003,"&gt;="&amp;账期起,出库单!$C$4:$C$4003,"&lt;="&amp;账期止))</f>
        <v/>
      </c>
      <c r="W616" s="26">
        <f>IF($A616="","",ROUND(SUMIFS(出库单!$S$4:$S$4003,出库单!$D$4:$D$4003,$A616,出库单!$K$4:$K$4003,"退货给供应商",出库单!$U$4:$U$4003,"正常",出库单!$C$4:$C$4003,"&gt;="&amp;账期起,出库单!$C$4:$C$4003,"&lt;="&amp;账期止),0))</f>
        <v/>
      </c>
      <c r="X616" s="27">
        <f>IF($A616="","",ROUND(N($G616)+$I616+$L616+$N616-$P616-$R616-$T616-$V616,3))</f>
        <v/>
      </c>
      <c r="Y616" s="26">
        <f>IF($A616="","",ROUND(N($H616)+$J616+$M616+$O616-$Q616-$S616-$U616-$W616,0))</f>
        <v/>
      </c>
      <c r="Z616" s="24">
        <f>IF($A616="","",IF(COUNTIFS(入库单!$G$4:$G$2503,$A616,入库单!$Y$4:$Y$2503,"待补价")+COUNTIFS(入库单!$G$4:$G$2503,$A616,入库单!$Y$4:$Y$2503,"暂估")&gt;0,"不可信","可信"))</f>
        <v/>
      </c>
      <c r="AA616" s="24">
        <f>IF($A616="","",IF($X616&lt;-0.001,"※账面负库存，查一下是不是漏记入库",IF(AND(ROUND($X616,3)=0,ABS($Y616)&gt;1),"※数量已经是 0，金额还挂着 "&amp;TEXT($Y616,"#,##0")&amp;" 先令",IF(AND($X616&gt;0,$Y616&lt;=0,$K616=0),"※有数量没金额（这个物料一直没填过进价）",IF($Z616="不可信","△成本含待补价/暂估，毛利仅供参考","")))))</f>
        <v/>
      </c>
    </row>
    <row r="617">
      <c r="A617" s="24">
        <f>IF(物料档案!$A616="","",物料档案!$A616)</f>
        <v/>
      </c>
      <c r="B617" s="24">
        <f>IF($A617="","",IFERROR(VLOOKUP($A617,物料档案!$A$4:$P$1203,3,0),""))</f>
        <v/>
      </c>
      <c r="C617" s="24">
        <f>IF($A617="","",IFERROR(VLOOKUP($A617,物料档案!$A$4:$P$1203,4,0),""))</f>
        <v/>
      </c>
      <c r="D617" s="24">
        <f>IF($A617="","",IFERROR(VLOOKUP($A617,物料档案!$A$4:$P$1203,5,0),""))</f>
        <v/>
      </c>
      <c r="E617" s="24">
        <f>IF($A617="","",IFERROR(VLOOKUP($A617,物料档案!$A$4:$P$1203,2,0),""))</f>
        <v/>
      </c>
      <c r="F617" s="24">
        <f>IF($A617="","",IFERROR(VLOOKUP($A617,物料档案!$A$4:$P$1203,6,0),""))</f>
        <v/>
      </c>
      <c r="G617" s="23" t="n"/>
      <c r="H617" s="32" t="n"/>
      <c r="I617" s="27">
        <f>IF($A617="","",SUMIFS(入库单!$K$4:$K$2503,入库单!$G$4:$G$2503,$A617,入库单!$X$4:$X$2503,"采购入库",入库单!$Z$4:$Z$2503,"正常",入库单!$C$4:$C$2503,"&gt;="&amp;账期起,入库单!$C$4:$C$2503,"&lt;="&amp;账期止))</f>
        <v/>
      </c>
      <c r="J617" s="26">
        <f>IF($A617="","",SUMIFS(入库单!$V$4:$V$2503,入库单!$G$4:$G$2503,$A617,入库单!$X$4:$X$2503,"采购入库",入库单!$Z$4:$Z$2503,"正常",入库单!$C$4:$C$2503,"&gt;="&amp;账期起,入库单!$C$4:$C$2503,"&lt;="&amp;账期止))</f>
        <v/>
      </c>
      <c r="K617" s="26">
        <f>IF($A617="","",IFERROR(ROUND((N($H617)+N($J617))/(N($G617)+N($I617)),2),0))</f>
        <v/>
      </c>
      <c r="L617" s="27">
        <f>IF($A617="","",SUMIFS(入库单!$K$4:$K$2503,入库单!$G$4:$G$2503,$A617,入库单!$X$4:$X$2503,"盘盈",入库单!$Z$4:$Z$2503,"正常",入库单!$C$4:$C$2503,"&gt;="&amp;账期起,入库单!$C$4:$C$2503,"&lt;="&amp;账期止))</f>
        <v/>
      </c>
      <c r="M617" s="26">
        <f>IF($A617="","",ROUND($L617*$K617,0))</f>
        <v/>
      </c>
      <c r="N617" s="27">
        <f>IF($A617="","",SUMIFS(入库单!$K$4:$K$2503,入库单!$G$4:$G$2503,$A617,入库单!$X$4:$X$2503,"矿区退库",入库单!$Z$4:$Z$2503,"正常",入库单!$C$4:$C$2503,"&gt;="&amp;账期起,入库单!$C$4:$C$2503,"&lt;="&amp;账期止))</f>
        <v/>
      </c>
      <c r="O617" s="26">
        <f>IF($A617="","",ROUND($N617*$K617,0))</f>
        <v/>
      </c>
      <c r="P617" s="27">
        <f>IF($A617="","",SUMIFS(出库单!$J$4:$J$4003,出库单!$D$4:$D$4003,$A617,出库单!$K$4:$K$4003,"自用消耗",出库单!$U$4:$U$4003,"正常",出库单!$C$4:$C$4003,"&gt;="&amp;账期起,出库单!$C$4:$C$4003,"&lt;="&amp;账期止))</f>
        <v/>
      </c>
      <c r="Q617" s="26">
        <f>IF($A617="","",ROUND(SUMIFS(出库单!$S$4:$S$4003,出库单!$D$4:$D$4003,$A617,出库单!$K$4:$K$4003,"自用消耗",出库单!$U$4:$U$4003,"正常",出库单!$C$4:$C$4003,"&gt;="&amp;账期起,出库单!$C$4:$C$4003,"&lt;="&amp;账期止),0))</f>
        <v/>
      </c>
      <c r="R617" s="27">
        <f>IF($A617="","",SUMIFS(出库单!$J$4:$J$4003,出库单!$D$4:$D$4003,$A617,出库单!$K$4:$K$4003,"对外销售",出库单!$U$4:$U$4003,"正常",出库单!$C$4:$C$4003,"&gt;="&amp;账期起,出库单!$C$4:$C$4003,"&lt;="&amp;账期止))</f>
        <v/>
      </c>
      <c r="S617" s="26">
        <f>IF($A617="","",ROUND(SUMIFS(出库单!$S$4:$S$4003,出库单!$D$4:$D$4003,$A617,出库单!$K$4:$K$4003,"对外销售",出库单!$U$4:$U$4003,"正常",出库单!$C$4:$C$4003,"&gt;="&amp;账期起,出库单!$C$4:$C$4003,"&lt;="&amp;账期止),0))</f>
        <v/>
      </c>
      <c r="T617" s="27">
        <f>IF($A617="","",SUMIFS(出库单!$J$4:$J$4003,出库单!$D$4:$D$4003,$A617,出库单!$K$4:$K$4003,"盘亏",出库单!$U$4:$U$4003,"正常",出库单!$C$4:$C$4003,"&gt;="&amp;账期起,出库单!$C$4:$C$4003,"&lt;="&amp;账期止))</f>
        <v/>
      </c>
      <c r="U617" s="26">
        <f>IF($A617="","",ROUND(SUMIFS(出库单!$S$4:$S$4003,出库单!$D$4:$D$4003,$A617,出库单!$K$4:$K$4003,"盘亏",出库单!$U$4:$U$4003,"正常",出库单!$C$4:$C$4003,"&gt;="&amp;账期起,出库单!$C$4:$C$4003,"&lt;="&amp;账期止),0))</f>
        <v/>
      </c>
      <c r="V617" s="27">
        <f>IF($A617="","",SUMIFS(出库单!$J$4:$J$4003,出库单!$D$4:$D$4003,$A617,出库单!$K$4:$K$4003,"退货给供应商",出库单!$U$4:$U$4003,"正常",出库单!$C$4:$C$4003,"&gt;="&amp;账期起,出库单!$C$4:$C$4003,"&lt;="&amp;账期止))</f>
        <v/>
      </c>
      <c r="W617" s="26">
        <f>IF($A617="","",ROUND(SUMIFS(出库单!$S$4:$S$4003,出库单!$D$4:$D$4003,$A617,出库单!$K$4:$K$4003,"退货给供应商",出库单!$U$4:$U$4003,"正常",出库单!$C$4:$C$4003,"&gt;="&amp;账期起,出库单!$C$4:$C$4003,"&lt;="&amp;账期止),0))</f>
        <v/>
      </c>
      <c r="X617" s="27">
        <f>IF($A617="","",ROUND(N($G617)+$I617+$L617+$N617-$P617-$R617-$T617-$V617,3))</f>
        <v/>
      </c>
      <c r="Y617" s="26">
        <f>IF($A617="","",ROUND(N($H617)+$J617+$M617+$O617-$Q617-$S617-$U617-$W617,0))</f>
        <v/>
      </c>
      <c r="Z617" s="24">
        <f>IF($A617="","",IF(COUNTIFS(入库单!$G$4:$G$2503,$A617,入库单!$Y$4:$Y$2503,"待补价")+COUNTIFS(入库单!$G$4:$G$2503,$A617,入库单!$Y$4:$Y$2503,"暂估")&gt;0,"不可信","可信"))</f>
        <v/>
      </c>
      <c r="AA617" s="24">
        <f>IF($A617="","",IF($X617&lt;-0.001,"※账面负库存，查一下是不是漏记入库",IF(AND(ROUND($X617,3)=0,ABS($Y617)&gt;1),"※数量已经是 0，金额还挂着 "&amp;TEXT($Y617,"#,##0")&amp;" 先令",IF(AND($X617&gt;0,$Y617&lt;=0,$K617=0),"※有数量没金额（这个物料一直没填过进价）",IF($Z617="不可信","△成本含待补价/暂估，毛利仅供参考","")))))</f>
        <v/>
      </c>
    </row>
    <row r="618">
      <c r="A618" s="24">
        <f>IF(物料档案!$A617="","",物料档案!$A617)</f>
        <v/>
      </c>
      <c r="B618" s="24">
        <f>IF($A618="","",IFERROR(VLOOKUP($A618,物料档案!$A$4:$P$1203,3,0),""))</f>
        <v/>
      </c>
      <c r="C618" s="24">
        <f>IF($A618="","",IFERROR(VLOOKUP($A618,物料档案!$A$4:$P$1203,4,0),""))</f>
        <v/>
      </c>
      <c r="D618" s="24">
        <f>IF($A618="","",IFERROR(VLOOKUP($A618,物料档案!$A$4:$P$1203,5,0),""))</f>
        <v/>
      </c>
      <c r="E618" s="24">
        <f>IF($A618="","",IFERROR(VLOOKUP($A618,物料档案!$A$4:$P$1203,2,0),""))</f>
        <v/>
      </c>
      <c r="F618" s="24">
        <f>IF($A618="","",IFERROR(VLOOKUP($A618,物料档案!$A$4:$P$1203,6,0),""))</f>
        <v/>
      </c>
      <c r="G618" s="23" t="n"/>
      <c r="H618" s="32" t="n"/>
      <c r="I618" s="27">
        <f>IF($A618="","",SUMIFS(入库单!$K$4:$K$2503,入库单!$G$4:$G$2503,$A618,入库单!$X$4:$X$2503,"采购入库",入库单!$Z$4:$Z$2503,"正常",入库单!$C$4:$C$2503,"&gt;="&amp;账期起,入库单!$C$4:$C$2503,"&lt;="&amp;账期止))</f>
        <v/>
      </c>
      <c r="J618" s="26">
        <f>IF($A618="","",SUMIFS(入库单!$V$4:$V$2503,入库单!$G$4:$G$2503,$A618,入库单!$X$4:$X$2503,"采购入库",入库单!$Z$4:$Z$2503,"正常",入库单!$C$4:$C$2503,"&gt;="&amp;账期起,入库单!$C$4:$C$2503,"&lt;="&amp;账期止))</f>
        <v/>
      </c>
      <c r="K618" s="26">
        <f>IF($A618="","",IFERROR(ROUND((N($H618)+N($J618))/(N($G618)+N($I618)),2),0))</f>
        <v/>
      </c>
      <c r="L618" s="27">
        <f>IF($A618="","",SUMIFS(入库单!$K$4:$K$2503,入库单!$G$4:$G$2503,$A618,入库单!$X$4:$X$2503,"盘盈",入库单!$Z$4:$Z$2503,"正常",入库单!$C$4:$C$2503,"&gt;="&amp;账期起,入库单!$C$4:$C$2503,"&lt;="&amp;账期止))</f>
        <v/>
      </c>
      <c r="M618" s="26">
        <f>IF($A618="","",ROUND($L618*$K618,0))</f>
        <v/>
      </c>
      <c r="N618" s="27">
        <f>IF($A618="","",SUMIFS(入库单!$K$4:$K$2503,入库单!$G$4:$G$2503,$A618,入库单!$X$4:$X$2503,"矿区退库",入库单!$Z$4:$Z$2503,"正常",入库单!$C$4:$C$2503,"&gt;="&amp;账期起,入库单!$C$4:$C$2503,"&lt;="&amp;账期止))</f>
        <v/>
      </c>
      <c r="O618" s="26">
        <f>IF($A618="","",ROUND($N618*$K618,0))</f>
        <v/>
      </c>
      <c r="P618" s="27">
        <f>IF($A618="","",SUMIFS(出库单!$J$4:$J$4003,出库单!$D$4:$D$4003,$A618,出库单!$K$4:$K$4003,"自用消耗",出库单!$U$4:$U$4003,"正常",出库单!$C$4:$C$4003,"&gt;="&amp;账期起,出库单!$C$4:$C$4003,"&lt;="&amp;账期止))</f>
        <v/>
      </c>
      <c r="Q618" s="26">
        <f>IF($A618="","",ROUND(SUMIFS(出库单!$S$4:$S$4003,出库单!$D$4:$D$4003,$A618,出库单!$K$4:$K$4003,"自用消耗",出库单!$U$4:$U$4003,"正常",出库单!$C$4:$C$4003,"&gt;="&amp;账期起,出库单!$C$4:$C$4003,"&lt;="&amp;账期止),0))</f>
        <v/>
      </c>
      <c r="R618" s="27">
        <f>IF($A618="","",SUMIFS(出库单!$J$4:$J$4003,出库单!$D$4:$D$4003,$A618,出库单!$K$4:$K$4003,"对外销售",出库单!$U$4:$U$4003,"正常",出库单!$C$4:$C$4003,"&gt;="&amp;账期起,出库单!$C$4:$C$4003,"&lt;="&amp;账期止))</f>
        <v/>
      </c>
      <c r="S618" s="26">
        <f>IF($A618="","",ROUND(SUMIFS(出库单!$S$4:$S$4003,出库单!$D$4:$D$4003,$A618,出库单!$K$4:$K$4003,"对外销售",出库单!$U$4:$U$4003,"正常",出库单!$C$4:$C$4003,"&gt;="&amp;账期起,出库单!$C$4:$C$4003,"&lt;="&amp;账期止),0))</f>
        <v/>
      </c>
      <c r="T618" s="27">
        <f>IF($A618="","",SUMIFS(出库单!$J$4:$J$4003,出库单!$D$4:$D$4003,$A618,出库单!$K$4:$K$4003,"盘亏",出库单!$U$4:$U$4003,"正常",出库单!$C$4:$C$4003,"&gt;="&amp;账期起,出库单!$C$4:$C$4003,"&lt;="&amp;账期止))</f>
        <v/>
      </c>
      <c r="U618" s="26">
        <f>IF($A618="","",ROUND(SUMIFS(出库单!$S$4:$S$4003,出库单!$D$4:$D$4003,$A618,出库单!$K$4:$K$4003,"盘亏",出库单!$U$4:$U$4003,"正常",出库单!$C$4:$C$4003,"&gt;="&amp;账期起,出库单!$C$4:$C$4003,"&lt;="&amp;账期止),0))</f>
        <v/>
      </c>
      <c r="V618" s="27">
        <f>IF($A618="","",SUMIFS(出库单!$J$4:$J$4003,出库单!$D$4:$D$4003,$A618,出库单!$K$4:$K$4003,"退货给供应商",出库单!$U$4:$U$4003,"正常",出库单!$C$4:$C$4003,"&gt;="&amp;账期起,出库单!$C$4:$C$4003,"&lt;="&amp;账期止))</f>
        <v/>
      </c>
      <c r="W618" s="26">
        <f>IF($A618="","",ROUND(SUMIFS(出库单!$S$4:$S$4003,出库单!$D$4:$D$4003,$A618,出库单!$K$4:$K$4003,"退货给供应商",出库单!$U$4:$U$4003,"正常",出库单!$C$4:$C$4003,"&gt;="&amp;账期起,出库单!$C$4:$C$4003,"&lt;="&amp;账期止),0))</f>
        <v/>
      </c>
      <c r="X618" s="27">
        <f>IF($A618="","",ROUND(N($G618)+$I618+$L618+$N618-$P618-$R618-$T618-$V618,3))</f>
        <v/>
      </c>
      <c r="Y618" s="26">
        <f>IF($A618="","",ROUND(N($H618)+$J618+$M618+$O618-$Q618-$S618-$U618-$W618,0))</f>
        <v/>
      </c>
      <c r="Z618" s="24">
        <f>IF($A618="","",IF(COUNTIFS(入库单!$G$4:$G$2503,$A618,入库单!$Y$4:$Y$2503,"待补价")+COUNTIFS(入库单!$G$4:$G$2503,$A618,入库单!$Y$4:$Y$2503,"暂估")&gt;0,"不可信","可信"))</f>
        <v/>
      </c>
      <c r="AA618" s="24">
        <f>IF($A618="","",IF($X618&lt;-0.001,"※账面负库存，查一下是不是漏记入库",IF(AND(ROUND($X618,3)=0,ABS($Y618)&gt;1),"※数量已经是 0，金额还挂着 "&amp;TEXT($Y618,"#,##0")&amp;" 先令",IF(AND($X618&gt;0,$Y618&lt;=0,$K618=0),"※有数量没金额（这个物料一直没填过进价）",IF($Z618="不可信","△成本含待补价/暂估，毛利仅供参考","")))))</f>
        <v/>
      </c>
    </row>
    <row r="619">
      <c r="A619" s="24">
        <f>IF(物料档案!$A618="","",物料档案!$A618)</f>
        <v/>
      </c>
      <c r="B619" s="24">
        <f>IF($A619="","",IFERROR(VLOOKUP($A619,物料档案!$A$4:$P$1203,3,0),""))</f>
        <v/>
      </c>
      <c r="C619" s="24">
        <f>IF($A619="","",IFERROR(VLOOKUP($A619,物料档案!$A$4:$P$1203,4,0),""))</f>
        <v/>
      </c>
      <c r="D619" s="24">
        <f>IF($A619="","",IFERROR(VLOOKUP($A619,物料档案!$A$4:$P$1203,5,0),""))</f>
        <v/>
      </c>
      <c r="E619" s="24">
        <f>IF($A619="","",IFERROR(VLOOKUP($A619,物料档案!$A$4:$P$1203,2,0),""))</f>
        <v/>
      </c>
      <c r="F619" s="24">
        <f>IF($A619="","",IFERROR(VLOOKUP($A619,物料档案!$A$4:$P$1203,6,0),""))</f>
        <v/>
      </c>
      <c r="G619" s="23" t="n"/>
      <c r="H619" s="32" t="n"/>
      <c r="I619" s="27">
        <f>IF($A619="","",SUMIFS(入库单!$K$4:$K$2503,入库单!$G$4:$G$2503,$A619,入库单!$X$4:$X$2503,"采购入库",入库单!$Z$4:$Z$2503,"正常",入库单!$C$4:$C$2503,"&gt;="&amp;账期起,入库单!$C$4:$C$2503,"&lt;="&amp;账期止))</f>
        <v/>
      </c>
      <c r="J619" s="26">
        <f>IF($A619="","",SUMIFS(入库单!$V$4:$V$2503,入库单!$G$4:$G$2503,$A619,入库单!$X$4:$X$2503,"采购入库",入库单!$Z$4:$Z$2503,"正常",入库单!$C$4:$C$2503,"&gt;="&amp;账期起,入库单!$C$4:$C$2503,"&lt;="&amp;账期止))</f>
        <v/>
      </c>
      <c r="K619" s="26">
        <f>IF($A619="","",IFERROR(ROUND((N($H619)+N($J619))/(N($G619)+N($I619)),2),0))</f>
        <v/>
      </c>
      <c r="L619" s="27">
        <f>IF($A619="","",SUMIFS(入库单!$K$4:$K$2503,入库单!$G$4:$G$2503,$A619,入库单!$X$4:$X$2503,"盘盈",入库单!$Z$4:$Z$2503,"正常",入库单!$C$4:$C$2503,"&gt;="&amp;账期起,入库单!$C$4:$C$2503,"&lt;="&amp;账期止))</f>
        <v/>
      </c>
      <c r="M619" s="26">
        <f>IF($A619="","",ROUND($L619*$K619,0))</f>
        <v/>
      </c>
      <c r="N619" s="27">
        <f>IF($A619="","",SUMIFS(入库单!$K$4:$K$2503,入库单!$G$4:$G$2503,$A619,入库单!$X$4:$X$2503,"矿区退库",入库单!$Z$4:$Z$2503,"正常",入库单!$C$4:$C$2503,"&gt;="&amp;账期起,入库单!$C$4:$C$2503,"&lt;="&amp;账期止))</f>
        <v/>
      </c>
      <c r="O619" s="26">
        <f>IF($A619="","",ROUND($N619*$K619,0))</f>
        <v/>
      </c>
      <c r="P619" s="27">
        <f>IF($A619="","",SUMIFS(出库单!$J$4:$J$4003,出库单!$D$4:$D$4003,$A619,出库单!$K$4:$K$4003,"自用消耗",出库单!$U$4:$U$4003,"正常",出库单!$C$4:$C$4003,"&gt;="&amp;账期起,出库单!$C$4:$C$4003,"&lt;="&amp;账期止))</f>
        <v/>
      </c>
      <c r="Q619" s="26">
        <f>IF($A619="","",ROUND(SUMIFS(出库单!$S$4:$S$4003,出库单!$D$4:$D$4003,$A619,出库单!$K$4:$K$4003,"自用消耗",出库单!$U$4:$U$4003,"正常",出库单!$C$4:$C$4003,"&gt;="&amp;账期起,出库单!$C$4:$C$4003,"&lt;="&amp;账期止),0))</f>
        <v/>
      </c>
      <c r="R619" s="27">
        <f>IF($A619="","",SUMIFS(出库单!$J$4:$J$4003,出库单!$D$4:$D$4003,$A619,出库单!$K$4:$K$4003,"对外销售",出库单!$U$4:$U$4003,"正常",出库单!$C$4:$C$4003,"&gt;="&amp;账期起,出库单!$C$4:$C$4003,"&lt;="&amp;账期止))</f>
        <v/>
      </c>
      <c r="S619" s="26">
        <f>IF($A619="","",ROUND(SUMIFS(出库单!$S$4:$S$4003,出库单!$D$4:$D$4003,$A619,出库单!$K$4:$K$4003,"对外销售",出库单!$U$4:$U$4003,"正常",出库单!$C$4:$C$4003,"&gt;="&amp;账期起,出库单!$C$4:$C$4003,"&lt;="&amp;账期止),0))</f>
        <v/>
      </c>
      <c r="T619" s="27">
        <f>IF($A619="","",SUMIFS(出库单!$J$4:$J$4003,出库单!$D$4:$D$4003,$A619,出库单!$K$4:$K$4003,"盘亏",出库单!$U$4:$U$4003,"正常",出库单!$C$4:$C$4003,"&gt;="&amp;账期起,出库单!$C$4:$C$4003,"&lt;="&amp;账期止))</f>
        <v/>
      </c>
      <c r="U619" s="26">
        <f>IF($A619="","",ROUND(SUMIFS(出库单!$S$4:$S$4003,出库单!$D$4:$D$4003,$A619,出库单!$K$4:$K$4003,"盘亏",出库单!$U$4:$U$4003,"正常",出库单!$C$4:$C$4003,"&gt;="&amp;账期起,出库单!$C$4:$C$4003,"&lt;="&amp;账期止),0))</f>
        <v/>
      </c>
      <c r="V619" s="27">
        <f>IF($A619="","",SUMIFS(出库单!$J$4:$J$4003,出库单!$D$4:$D$4003,$A619,出库单!$K$4:$K$4003,"退货给供应商",出库单!$U$4:$U$4003,"正常",出库单!$C$4:$C$4003,"&gt;="&amp;账期起,出库单!$C$4:$C$4003,"&lt;="&amp;账期止))</f>
        <v/>
      </c>
      <c r="W619" s="26">
        <f>IF($A619="","",ROUND(SUMIFS(出库单!$S$4:$S$4003,出库单!$D$4:$D$4003,$A619,出库单!$K$4:$K$4003,"退货给供应商",出库单!$U$4:$U$4003,"正常",出库单!$C$4:$C$4003,"&gt;="&amp;账期起,出库单!$C$4:$C$4003,"&lt;="&amp;账期止),0))</f>
        <v/>
      </c>
      <c r="X619" s="27">
        <f>IF($A619="","",ROUND(N($G619)+$I619+$L619+$N619-$P619-$R619-$T619-$V619,3))</f>
        <v/>
      </c>
      <c r="Y619" s="26">
        <f>IF($A619="","",ROUND(N($H619)+$J619+$M619+$O619-$Q619-$S619-$U619-$W619,0))</f>
        <v/>
      </c>
      <c r="Z619" s="24">
        <f>IF($A619="","",IF(COUNTIFS(入库单!$G$4:$G$2503,$A619,入库单!$Y$4:$Y$2503,"待补价")+COUNTIFS(入库单!$G$4:$G$2503,$A619,入库单!$Y$4:$Y$2503,"暂估")&gt;0,"不可信","可信"))</f>
        <v/>
      </c>
      <c r="AA619" s="24">
        <f>IF($A619="","",IF($X619&lt;-0.001,"※账面负库存，查一下是不是漏记入库",IF(AND(ROUND($X619,3)=0,ABS($Y619)&gt;1),"※数量已经是 0，金额还挂着 "&amp;TEXT($Y619,"#,##0")&amp;" 先令",IF(AND($X619&gt;0,$Y619&lt;=0,$K619=0),"※有数量没金额（这个物料一直没填过进价）",IF($Z619="不可信","△成本含待补价/暂估，毛利仅供参考","")))))</f>
        <v/>
      </c>
    </row>
    <row r="620">
      <c r="A620" s="24">
        <f>IF(物料档案!$A619="","",物料档案!$A619)</f>
        <v/>
      </c>
      <c r="B620" s="24">
        <f>IF($A620="","",IFERROR(VLOOKUP($A620,物料档案!$A$4:$P$1203,3,0),""))</f>
        <v/>
      </c>
      <c r="C620" s="24">
        <f>IF($A620="","",IFERROR(VLOOKUP($A620,物料档案!$A$4:$P$1203,4,0),""))</f>
        <v/>
      </c>
      <c r="D620" s="24">
        <f>IF($A620="","",IFERROR(VLOOKUP($A620,物料档案!$A$4:$P$1203,5,0),""))</f>
        <v/>
      </c>
      <c r="E620" s="24">
        <f>IF($A620="","",IFERROR(VLOOKUP($A620,物料档案!$A$4:$P$1203,2,0),""))</f>
        <v/>
      </c>
      <c r="F620" s="24">
        <f>IF($A620="","",IFERROR(VLOOKUP($A620,物料档案!$A$4:$P$1203,6,0),""))</f>
        <v/>
      </c>
      <c r="G620" s="23" t="n"/>
      <c r="H620" s="32" t="n"/>
      <c r="I620" s="27">
        <f>IF($A620="","",SUMIFS(入库单!$K$4:$K$2503,入库单!$G$4:$G$2503,$A620,入库单!$X$4:$X$2503,"采购入库",入库单!$Z$4:$Z$2503,"正常",入库单!$C$4:$C$2503,"&gt;="&amp;账期起,入库单!$C$4:$C$2503,"&lt;="&amp;账期止))</f>
        <v/>
      </c>
      <c r="J620" s="26">
        <f>IF($A620="","",SUMIFS(入库单!$V$4:$V$2503,入库单!$G$4:$G$2503,$A620,入库单!$X$4:$X$2503,"采购入库",入库单!$Z$4:$Z$2503,"正常",入库单!$C$4:$C$2503,"&gt;="&amp;账期起,入库单!$C$4:$C$2503,"&lt;="&amp;账期止))</f>
        <v/>
      </c>
      <c r="K620" s="26">
        <f>IF($A620="","",IFERROR(ROUND((N($H620)+N($J620))/(N($G620)+N($I620)),2),0))</f>
        <v/>
      </c>
      <c r="L620" s="27">
        <f>IF($A620="","",SUMIFS(入库单!$K$4:$K$2503,入库单!$G$4:$G$2503,$A620,入库单!$X$4:$X$2503,"盘盈",入库单!$Z$4:$Z$2503,"正常",入库单!$C$4:$C$2503,"&gt;="&amp;账期起,入库单!$C$4:$C$2503,"&lt;="&amp;账期止))</f>
        <v/>
      </c>
      <c r="M620" s="26">
        <f>IF($A620="","",ROUND($L620*$K620,0))</f>
        <v/>
      </c>
      <c r="N620" s="27">
        <f>IF($A620="","",SUMIFS(入库单!$K$4:$K$2503,入库单!$G$4:$G$2503,$A620,入库单!$X$4:$X$2503,"矿区退库",入库单!$Z$4:$Z$2503,"正常",入库单!$C$4:$C$2503,"&gt;="&amp;账期起,入库单!$C$4:$C$2503,"&lt;="&amp;账期止))</f>
        <v/>
      </c>
      <c r="O620" s="26">
        <f>IF($A620="","",ROUND($N620*$K620,0))</f>
        <v/>
      </c>
      <c r="P620" s="27">
        <f>IF($A620="","",SUMIFS(出库单!$J$4:$J$4003,出库单!$D$4:$D$4003,$A620,出库单!$K$4:$K$4003,"自用消耗",出库单!$U$4:$U$4003,"正常",出库单!$C$4:$C$4003,"&gt;="&amp;账期起,出库单!$C$4:$C$4003,"&lt;="&amp;账期止))</f>
        <v/>
      </c>
      <c r="Q620" s="26">
        <f>IF($A620="","",ROUND(SUMIFS(出库单!$S$4:$S$4003,出库单!$D$4:$D$4003,$A620,出库单!$K$4:$K$4003,"自用消耗",出库单!$U$4:$U$4003,"正常",出库单!$C$4:$C$4003,"&gt;="&amp;账期起,出库单!$C$4:$C$4003,"&lt;="&amp;账期止),0))</f>
        <v/>
      </c>
      <c r="R620" s="27">
        <f>IF($A620="","",SUMIFS(出库单!$J$4:$J$4003,出库单!$D$4:$D$4003,$A620,出库单!$K$4:$K$4003,"对外销售",出库单!$U$4:$U$4003,"正常",出库单!$C$4:$C$4003,"&gt;="&amp;账期起,出库单!$C$4:$C$4003,"&lt;="&amp;账期止))</f>
        <v/>
      </c>
      <c r="S620" s="26">
        <f>IF($A620="","",ROUND(SUMIFS(出库单!$S$4:$S$4003,出库单!$D$4:$D$4003,$A620,出库单!$K$4:$K$4003,"对外销售",出库单!$U$4:$U$4003,"正常",出库单!$C$4:$C$4003,"&gt;="&amp;账期起,出库单!$C$4:$C$4003,"&lt;="&amp;账期止),0))</f>
        <v/>
      </c>
      <c r="T620" s="27">
        <f>IF($A620="","",SUMIFS(出库单!$J$4:$J$4003,出库单!$D$4:$D$4003,$A620,出库单!$K$4:$K$4003,"盘亏",出库单!$U$4:$U$4003,"正常",出库单!$C$4:$C$4003,"&gt;="&amp;账期起,出库单!$C$4:$C$4003,"&lt;="&amp;账期止))</f>
        <v/>
      </c>
      <c r="U620" s="26">
        <f>IF($A620="","",ROUND(SUMIFS(出库单!$S$4:$S$4003,出库单!$D$4:$D$4003,$A620,出库单!$K$4:$K$4003,"盘亏",出库单!$U$4:$U$4003,"正常",出库单!$C$4:$C$4003,"&gt;="&amp;账期起,出库单!$C$4:$C$4003,"&lt;="&amp;账期止),0))</f>
        <v/>
      </c>
      <c r="V620" s="27">
        <f>IF($A620="","",SUMIFS(出库单!$J$4:$J$4003,出库单!$D$4:$D$4003,$A620,出库单!$K$4:$K$4003,"退货给供应商",出库单!$U$4:$U$4003,"正常",出库单!$C$4:$C$4003,"&gt;="&amp;账期起,出库单!$C$4:$C$4003,"&lt;="&amp;账期止))</f>
        <v/>
      </c>
      <c r="W620" s="26">
        <f>IF($A620="","",ROUND(SUMIFS(出库单!$S$4:$S$4003,出库单!$D$4:$D$4003,$A620,出库单!$K$4:$K$4003,"退货给供应商",出库单!$U$4:$U$4003,"正常",出库单!$C$4:$C$4003,"&gt;="&amp;账期起,出库单!$C$4:$C$4003,"&lt;="&amp;账期止),0))</f>
        <v/>
      </c>
      <c r="X620" s="27">
        <f>IF($A620="","",ROUND(N($G620)+$I620+$L620+$N620-$P620-$R620-$T620-$V620,3))</f>
        <v/>
      </c>
      <c r="Y620" s="26">
        <f>IF($A620="","",ROUND(N($H620)+$J620+$M620+$O620-$Q620-$S620-$U620-$W620,0))</f>
        <v/>
      </c>
      <c r="Z620" s="24">
        <f>IF($A620="","",IF(COUNTIFS(入库单!$G$4:$G$2503,$A620,入库单!$Y$4:$Y$2503,"待补价")+COUNTIFS(入库单!$G$4:$G$2503,$A620,入库单!$Y$4:$Y$2503,"暂估")&gt;0,"不可信","可信"))</f>
        <v/>
      </c>
      <c r="AA620" s="24">
        <f>IF($A620="","",IF($X620&lt;-0.001,"※账面负库存，查一下是不是漏记入库",IF(AND(ROUND($X620,3)=0,ABS($Y620)&gt;1),"※数量已经是 0，金额还挂着 "&amp;TEXT($Y620,"#,##0")&amp;" 先令",IF(AND($X620&gt;0,$Y620&lt;=0,$K620=0),"※有数量没金额（这个物料一直没填过进价）",IF($Z620="不可信","△成本含待补价/暂估，毛利仅供参考","")))))</f>
        <v/>
      </c>
    </row>
    <row r="621">
      <c r="A621" s="24">
        <f>IF(物料档案!$A620="","",物料档案!$A620)</f>
        <v/>
      </c>
      <c r="B621" s="24">
        <f>IF($A621="","",IFERROR(VLOOKUP($A621,物料档案!$A$4:$P$1203,3,0),""))</f>
        <v/>
      </c>
      <c r="C621" s="24">
        <f>IF($A621="","",IFERROR(VLOOKUP($A621,物料档案!$A$4:$P$1203,4,0),""))</f>
        <v/>
      </c>
      <c r="D621" s="24">
        <f>IF($A621="","",IFERROR(VLOOKUP($A621,物料档案!$A$4:$P$1203,5,0),""))</f>
        <v/>
      </c>
      <c r="E621" s="24">
        <f>IF($A621="","",IFERROR(VLOOKUP($A621,物料档案!$A$4:$P$1203,2,0),""))</f>
        <v/>
      </c>
      <c r="F621" s="24">
        <f>IF($A621="","",IFERROR(VLOOKUP($A621,物料档案!$A$4:$P$1203,6,0),""))</f>
        <v/>
      </c>
      <c r="G621" s="23" t="n"/>
      <c r="H621" s="32" t="n"/>
      <c r="I621" s="27">
        <f>IF($A621="","",SUMIFS(入库单!$K$4:$K$2503,入库单!$G$4:$G$2503,$A621,入库单!$X$4:$X$2503,"采购入库",入库单!$Z$4:$Z$2503,"正常",入库单!$C$4:$C$2503,"&gt;="&amp;账期起,入库单!$C$4:$C$2503,"&lt;="&amp;账期止))</f>
        <v/>
      </c>
      <c r="J621" s="26">
        <f>IF($A621="","",SUMIFS(入库单!$V$4:$V$2503,入库单!$G$4:$G$2503,$A621,入库单!$X$4:$X$2503,"采购入库",入库单!$Z$4:$Z$2503,"正常",入库单!$C$4:$C$2503,"&gt;="&amp;账期起,入库单!$C$4:$C$2503,"&lt;="&amp;账期止))</f>
        <v/>
      </c>
      <c r="K621" s="26">
        <f>IF($A621="","",IFERROR(ROUND((N($H621)+N($J621))/(N($G621)+N($I621)),2),0))</f>
        <v/>
      </c>
      <c r="L621" s="27">
        <f>IF($A621="","",SUMIFS(入库单!$K$4:$K$2503,入库单!$G$4:$G$2503,$A621,入库单!$X$4:$X$2503,"盘盈",入库单!$Z$4:$Z$2503,"正常",入库单!$C$4:$C$2503,"&gt;="&amp;账期起,入库单!$C$4:$C$2503,"&lt;="&amp;账期止))</f>
        <v/>
      </c>
      <c r="M621" s="26">
        <f>IF($A621="","",ROUND($L621*$K621,0))</f>
        <v/>
      </c>
      <c r="N621" s="27">
        <f>IF($A621="","",SUMIFS(入库单!$K$4:$K$2503,入库单!$G$4:$G$2503,$A621,入库单!$X$4:$X$2503,"矿区退库",入库单!$Z$4:$Z$2503,"正常",入库单!$C$4:$C$2503,"&gt;="&amp;账期起,入库单!$C$4:$C$2503,"&lt;="&amp;账期止))</f>
        <v/>
      </c>
      <c r="O621" s="26">
        <f>IF($A621="","",ROUND($N621*$K621,0))</f>
        <v/>
      </c>
      <c r="P621" s="27">
        <f>IF($A621="","",SUMIFS(出库单!$J$4:$J$4003,出库单!$D$4:$D$4003,$A621,出库单!$K$4:$K$4003,"自用消耗",出库单!$U$4:$U$4003,"正常",出库单!$C$4:$C$4003,"&gt;="&amp;账期起,出库单!$C$4:$C$4003,"&lt;="&amp;账期止))</f>
        <v/>
      </c>
      <c r="Q621" s="26">
        <f>IF($A621="","",ROUND(SUMIFS(出库单!$S$4:$S$4003,出库单!$D$4:$D$4003,$A621,出库单!$K$4:$K$4003,"自用消耗",出库单!$U$4:$U$4003,"正常",出库单!$C$4:$C$4003,"&gt;="&amp;账期起,出库单!$C$4:$C$4003,"&lt;="&amp;账期止),0))</f>
        <v/>
      </c>
      <c r="R621" s="27">
        <f>IF($A621="","",SUMIFS(出库单!$J$4:$J$4003,出库单!$D$4:$D$4003,$A621,出库单!$K$4:$K$4003,"对外销售",出库单!$U$4:$U$4003,"正常",出库单!$C$4:$C$4003,"&gt;="&amp;账期起,出库单!$C$4:$C$4003,"&lt;="&amp;账期止))</f>
        <v/>
      </c>
      <c r="S621" s="26">
        <f>IF($A621="","",ROUND(SUMIFS(出库单!$S$4:$S$4003,出库单!$D$4:$D$4003,$A621,出库单!$K$4:$K$4003,"对外销售",出库单!$U$4:$U$4003,"正常",出库单!$C$4:$C$4003,"&gt;="&amp;账期起,出库单!$C$4:$C$4003,"&lt;="&amp;账期止),0))</f>
        <v/>
      </c>
      <c r="T621" s="27">
        <f>IF($A621="","",SUMIFS(出库单!$J$4:$J$4003,出库单!$D$4:$D$4003,$A621,出库单!$K$4:$K$4003,"盘亏",出库单!$U$4:$U$4003,"正常",出库单!$C$4:$C$4003,"&gt;="&amp;账期起,出库单!$C$4:$C$4003,"&lt;="&amp;账期止))</f>
        <v/>
      </c>
      <c r="U621" s="26">
        <f>IF($A621="","",ROUND(SUMIFS(出库单!$S$4:$S$4003,出库单!$D$4:$D$4003,$A621,出库单!$K$4:$K$4003,"盘亏",出库单!$U$4:$U$4003,"正常",出库单!$C$4:$C$4003,"&gt;="&amp;账期起,出库单!$C$4:$C$4003,"&lt;="&amp;账期止),0))</f>
        <v/>
      </c>
      <c r="V621" s="27">
        <f>IF($A621="","",SUMIFS(出库单!$J$4:$J$4003,出库单!$D$4:$D$4003,$A621,出库单!$K$4:$K$4003,"退货给供应商",出库单!$U$4:$U$4003,"正常",出库单!$C$4:$C$4003,"&gt;="&amp;账期起,出库单!$C$4:$C$4003,"&lt;="&amp;账期止))</f>
        <v/>
      </c>
      <c r="W621" s="26">
        <f>IF($A621="","",ROUND(SUMIFS(出库单!$S$4:$S$4003,出库单!$D$4:$D$4003,$A621,出库单!$K$4:$K$4003,"退货给供应商",出库单!$U$4:$U$4003,"正常",出库单!$C$4:$C$4003,"&gt;="&amp;账期起,出库单!$C$4:$C$4003,"&lt;="&amp;账期止),0))</f>
        <v/>
      </c>
      <c r="X621" s="27">
        <f>IF($A621="","",ROUND(N($G621)+$I621+$L621+$N621-$P621-$R621-$T621-$V621,3))</f>
        <v/>
      </c>
      <c r="Y621" s="26">
        <f>IF($A621="","",ROUND(N($H621)+$J621+$M621+$O621-$Q621-$S621-$U621-$W621,0))</f>
        <v/>
      </c>
      <c r="Z621" s="24">
        <f>IF($A621="","",IF(COUNTIFS(入库单!$G$4:$G$2503,$A621,入库单!$Y$4:$Y$2503,"待补价")+COUNTIFS(入库单!$G$4:$G$2503,$A621,入库单!$Y$4:$Y$2503,"暂估")&gt;0,"不可信","可信"))</f>
        <v/>
      </c>
      <c r="AA621" s="24">
        <f>IF($A621="","",IF($X621&lt;-0.001,"※账面负库存，查一下是不是漏记入库",IF(AND(ROUND($X621,3)=0,ABS($Y621)&gt;1),"※数量已经是 0，金额还挂着 "&amp;TEXT($Y621,"#,##0")&amp;" 先令",IF(AND($X621&gt;0,$Y621&lt;=0,$K621=0),"※有数量没金额（这个物料一直没填过进价）",IF($Z621="不可信","△成本含待补价/暂估，毛利仅供参考","")))))</f>
        <v/>
      </c>
    </row>
    <row r="622">
      <c r="A622" s="24">
        <f>IF(物料档案!$A621="","",物料档案!$A621)</f>
        <v/>
      </c>
      <c r="B622" s="24">
        <f>IF($A622="","",IFERROR(VLOOKUP($A622,物料档案!$A$4:$P$1203,3,0),""))</f>
        <v/>
      </c>
      <c r="C622" s="24">
        <f>IF($A622="","",IFERROR(VLOOKUP($A622,物料档案!$A$4:$P$1203,4,0),""))</f>
        <v/>
      </c>
      <c r="D622" s="24">
        <f>IF($A622="","",IFERROR(VLOOKUP($A622,物料档案!$A$4:$P$1203,5,0),""))</f>
        <v/>
      </c>
      <c r="E622" s="24">
        <f>IF($A622="","",IFERROR(VLOOKUP($A622,物料档案!$A$4:$P$1203,2,0),""))</f>
        <v/>
      </c>
      <c r="F622" s="24">
        <f>IF($A622="","",IFERROR(VLOOKUP($A622,物料档案!$A$4:$P$1203,6,0),""))</f>
        <v/>
      </c>
      <c r="G622" s="23" t="n"/>
      <c r="H622" s="32" t="n"/>
      <c r="I622" s="27">
        <f>IF($A622="","",SUMIFS(入库单!$K$4:$K$2503,入库单!$G$4:$G$2503,$A622,入库单!$X$4:$X$2503,"采购入库",入库单!$Z$4:$Z$2503,"正常",入库单!$C$4:$C$2503,"&gt;="&amp;账期起,入库单!$C$4:$C$2503,"&lt;="&amp;账期止))</f>
        <v/>
      </c>
      <c r="J622" s="26">
        <f>IF($A622="","",SUMIFS(入库单!$V$4:$V$2503,入库单!$G$4:$G$2503,$A622,入库单!$X$4:$X$2503,"采购入库",入库单!$Z$4:$Z$2503,"正常",入库单!$C$4:$C$2503,"&gt;="&amp;账期起,入库单!$C$4:$C$2503,"&lt;="&amp;账期止))</f>
        <v/>
      </c>
      <c r="K622" s="26">
        <f>IF($A622="","",IFERROR(ROUND((N($H622)+N($J622))/(N($G622)+N($I622)),2),0))</f>
        <v/>
      </c>
      <c r="L622" s="27">
        <f>IF($A622="","",SUMIFS(入库单!$K$4:$K$2503,入库单!$G$4:$G$2503,$A622,入库单!$X$4:$X$2503,"盘盈",入库单!$Z$4:$Z$2503,"正常",入库单!$C$4:$C$2503,"&gt;="&amp;账期起,入库单!$C$4:$C$2503,"&lt;="&amp;账期止))</f>
        <v/>
      </c>
      <c r="M622" s="26">
        <f>IF($A622="","",ROUND($L622*$K622,0))</f>
        <v/>
      </c>
      <c r="N622" s="27">
        <f>IF($A622="","",SUMIFS(入库单!$K$4:$K$2503,入库单!$G$4:$G$2503,$A622,入库单!$X$4:$X$2503,"矿区退库",入库单!$Z$4:$Z$2503,"正常",入库单!$C$4:$C$2503,"&gt;="&amp;账期起,入库单!$C$4:$C$2503,"&lt;="&amp;账期止))</f>
        <v/>
      </c>
      <c r="O622" s="26">
        <f>IF($A622="","",ROUND($N622*$K622,0))</f>
        <v/>
      </c>
      <c r="P622" s="27">
        <f>IF($A622="","",SUMIFS(出库单!$J$4:$J$4003,出库单!$D$4:$D$4003,$A622,出库单!$K$4:$K$4003,"自用消耗",出库单!$U$4:$U$4003,"正常",出库单!$C$4:$C$4003,"&gt;="&amp;账期起,出库单!$C$4:$C$4003,"&lt;="&amp;账期止))</f>
        <v/>
      </c>
      <c r="Q622" s="26">
        <f>IF($A622="","",ROUND(SUMIFS(出库单!$S$4:$S$4003,出库单!$D$4:$D$4003,$A622,出库单!$K$4:$K$4003,"自用消耗",出库单!$U$4:$U$4003,"正常",出库单!$C$4:$C$4003,"&gt;="&amp;账期起,出库单!$C$4:$C$4003,"&lt;="&amp;账期止),0))</f>
        <v/>
      </c>
      <c r="R622" s="27">
        <f>IF($A622="","",SUMIFS(出库单!$J$4:$J$4003,出库单!$D$4:$D$4003,$A622,出库单!$K$4:$K$4003,"对外销售",出库单!$U$4:$U$4003,"正常",出库单!$C$4:$C$4003,"&gt;="&amp;账期起,出库单!$C$4:$C$4003,"&lt;="&amp;账期止))</f>
        <v/>
      </c>
      <c r="S622" s="26">
        <f>IF($A622="","",ROUND(SUMIFS(出库单!$S$4:$S$4003,出库单!$D$4:$D$4003,$A622,出库单!$K$4:$K$4003,"对外销售",出库单!$U$4:$U$4003,"正常",出库单!$C$4:$C$4003,"&gt;="&amp;账期起,出库单!$C$4:$C$4003,"&lt;="&amp;账期止),0))</f>
        <v/>
      </c>
      <c r="T622" s="27">
        <f>IF($A622="","",SUMIFS(出库单!$J$4:$J$4003,出库单!$D$4:$D$4003,$A622,出库单!$K$4:$K$4003,"盘亏",出库单!$U$4:$U$4003,"正常",出库单!$C$4:$C$4003,"&gt;="&amp;账期起,出库单!$C$4:$C$4003,"&lt;="&amp;账期止))</f>
        <v/>
      </c>
      <c r="U622" s="26">
        <f>IF($A622="","",ROUND(SUMIFS(出库单!$S$4:$S$4003,出库单!$D$4:$D$4003,$A622,出库单!$K$4:$K$4003,"盘亏",出库单!$U$4:$U$4003,"正常",出库单!$C$4:$C$4003,"&gt;="&amp;账期起,出库单!$C$4:$C$4003,"&lt;="&amp;账期止),0))</f>
        <v/>
      </c>
      <c r="V622" s="27">
        <f>IF($A622="","",SUMIFS(出库单!$J$4:$J$4003,出库单!$D$4:$D$4003,$A622,出库单!$K$4:$K$4003,"退货给供应商",出库单!$U$4:$U$4003,"正常",出库单!$C$4:$C$4003,"&gt;="&amp;账期起,出库单!$C$4:$C$4003,"&lt;="&amp;账期止))</f>
        <v/>
      </c>
      <c r="W622" s="26">
        <f>IF($A622="","",ROUND(SUMIFS(出库单!$S$4:$S$4003,出库单!$D$4:$D$4003,$A622,出库单!$K$4:$K$4003,"退货给供应商",出库单!$U$4:$U$4003,"正常",出库单!$C$4:$C$4003,"&gt;="&amp;账期起,出库单!$C$4:$C$4003,"&lt;="&amp;账期止),0))</f>
        <v/>
      </c>
      <c r="X622" s="27">
        <f>IF($A622="","",ROUND(N($G622)+$I622+$L622+$N622-$P622-$R622-$T622-$V622,3))</f>
        <v/>
      </c>
      <c r="Y622" s="26">
        <f>IF($A622="","",ROUND(N($H622)+$J622+$M622+$O622-$Q622-$S622-$U622-$W622,0))</f>
        <v/>
      </c>
      <c r="Z622" s="24">
        <f>IF($A622="","",IF(COUNTIFS(入库单!$G$4:$G$2503,$A622,入库单!$Y$4:$Y$2503,"待补价")+COUNTIFS(入库单!$G$4:$G$2503,$A622,入库单!$Y$4:$Y$2503,"暂估")&gt;0,"不可信","可信"))</f>
        <v/>
      </c>
      <c r="AA622" s="24">
        <f>IF($A622="","",IF($X622&lt;-0.001,"※账面负库存，查一下是不是漏记入库",IF(AND(ROUND($X622,3)=0,ABS($Y622)&gt;1),"※数量已经是 0，金额还挂着 "&amp;TEXT($Y622,"#,##0")&amp;" 先令",IF(AND($X622&gt;0,$Y622&lt;=0,$K622=0),"※有数量没金额（这个物料一直没填过进价）",IF($Z622="不可信","△成本含待补价/暂估，毛利仅供参考","")))))</f>
        <v/>
      </c>
    </row>
    <row r="623">
      <c r="A623" s="24">
        <f>IF(物料档案!$A622="","",物料档案!$A622)</f>
        <v/>
      </c>
      <c r="B623" s="24">
        <f>IF($A623="","",IFERROR(VLOOKUP($A623,物料档案!$A$4:$P$1203,3,0),""))</f>
        <v/>
      </c>
      <c r="C623" s="24">
        <f>IF($A623="","",IFERROR(VLOOKUP($A623,物料档案!$A$4:$P$1203,4,0),""))</f>
        <v/>
      </c>
      <c r="D623" s="24">
        <f>IF($A623="","",IFERROR(VLOOKUP($A623,物料档案!$A$4:$P$1203,5,0),""))</f>
        <v/>
      </c>
      <c r="E623" s="24">
        <f>IF($A623="","",IFERROR(VLOOKUP($A623,物料档案!$A$4:$P$1203,2,0),""))</f>
        <v/>
      </c>
      <c r="F623" s="24">
        <f>IF($A623="","",IFERROR(VLOOKUP($A623,物料档案!$A$4:$P$1203,6,0),""))</f>
        <v/>
      </c>
      <c r="G623" s="23" t="n"/>
      <c r="H623" s="32" t="n"/>
      <c r="I623" s="27">
        <f>IF($A623="","",SUMIFS(入库单!$K$4:$K$2503,入库单!$G$4:$G$2503,$A623,入库单!$X$4:$X$2503,"采购入库",入库单!$Z$4:$Z$2503,"正常",入库单!$C$4:$C$2503,"&gt;="&amp;账期起,入库单!$C$4:$C$2503,"&lt;="&amp;账期止))</f>
        <v/>
      </c>
      <c r="J623" s="26">
        <f>IF($A623="","",SUMIFS(入库单!$V$4:$V$2503,入库单!$G$4:$G$2503,$A623,入库单!$X$4:$X$2503,"采购入库",入库单!$Z$4:$Z$2503,"正常",入库单!$C$4:$C$2503,"&gt;="&amp;账期起,入库单!$C$4:$C$2503,"&lt;="&amp;账期止))</f>
        <v/>
      </c>
      <c r="K623" s="26">
        <f>IF($A623="","",IFERROR(ROUND((N($H623)+N($J623))/(N($G623)+N($I623)),2),0))</f>
        <v/>
      </c>
      <c r="L623" s="27">
        <f>IF($A623="","",SUMIFS(入库单!$K$4:$K$2503,入库单!$G$4:$G$2503,$A623,入库单!$X$4:$X$2503,"盘盈",入库单!$Z$4:$Z$2503,"正常",入库单!$C$4:$C$2503,"&gt;="&amp;账期起,入库单!$C$4:$C$2503,"&lt;="&amp;账期止))</f>
        <v/>
      </c>
      <c r="M623" s="26">
        <f>IF($A623="","",ROUND($L623*$K623,0))</f>
        <v/>
      </c>
      <c r="N623" s="27">
        <f>IF($A623="","",SUMIFS(入库单!$K$4:$K$2503,入库单!$G$4:$G$2503,$A623,入库单!$X$4:$X$2503,"矿区退库",入库单!$Z$4:$Z$2503,"正常",入库单!$C$4:$C$2503,"&gt;="&amp;账期起,入库单!$C$4:$C$2503,"&lt;="&amp;账期止))</f>
        <v/>
      </c>
      <c r="O623" s="26">
        <f>IF($A623="","",ROUND($N623*$K623,0))</f>
        <v/>
      </c>
      <c r="P623" s="27">
        <f>IF($A623="","",SUMIFS(出库单!$J$4:$J$4003,出库单!$D$4:$D$4003,$A623,出库单!$K$4:$K$4003,"自用消耗",出库单!$U$4:$U$4003,"正常",出库单!$C$4:$C$4003,"&gt;="&amp;账期起,出库单!$C$4:$C$4003,"&lt;="&amp;账期止))</f>
        <v/>
      </c>
      <c r="Q623" s="26">
        <f>IF($A623="","",ROUND(SUMIFS(出库单!$S$4:$S$4003,出库单!$D$4:$D$4003,$A623,出库单!$K$4:$K$4003,"自用消耗",出库单!$U$4:$U$4003,"正常",出库单!$C$4:$C$4003,"&gt;="&amp;账期起,出库单!$C$4:$C$4003,"&lt;="&amp;账期止),0))</f>
        <v/>
      </c>
      <c r="R623" s="27">
        <f>IF($A623="","",SUMIFS(出库单!$J$4:$J$4003,出库单!$D$4:$D$4003,$A623,出库单!$K$4:$K$4003,"对外销售",出库单!$U$4:$U$4003,"正常",出库单!$C$4:$C$4003,"&gt;="&amp;账期起,出库单!$C$4:$C$4003,"&lt;="&amp;账期止))</f>
        <v/>
      </c>
      <c r="S623" s="26">
        <f>IF($A623="","",ROUND(SUMIFS(出库单!$S$4:$S$4003,出库单!$D$4:$D$4003,$A623,出库单!$K$4:$K$4003,"对外销售",出库单!$U$4:$U$4003,"正常",出库单!$C$4:$C$4003,"&gt;="&amp;账期起,出库单!$C$4:$C$4003,"&lt;="&amp;账期止),0))</f>
        <v/>
      </c>
      <c r="T623" s="27">
        <f>IF($A623="","",SUMIFS(出库单!$J$4:$J$4003,出库单!$D$4:$D$4003,$A623,出库单!$K$4:$K$4003,"盘亏",出库单!$U$4:$U$4003,"正常",出库单!$C$4:$C$4003,"&gt;="&amp;账期起,出库单!$C$4:$C$4003,"&lt;="&amp;账期止))</f>
        <v/>
      </c>
      <c r="U623" s="26">
        <f>IF($A623="","",ROUND(SUMIFS(出库单!$S$4:$S$4003,出库单!$D$4:$D$4003,$A623,出库单!$K$4:$K$4003,"盘亏",出库单!$U$4:$U$4003,"正常",出库单!$C$4:$C$4003,"&gt;="&amp;账期起,出库单!$C$4:$C$4003,"&lt;="&amp;账期止),0))</f>
        <v/>
      </c>
      <c r="V623" s="27">
        <f>IF($A623="","",SUMIFS(出库单!$J$4:$J$4003,出库单!$D$4:$D$4003,$A623,出库单!$K$4:$K$4003,"退货给供应商",出库单!$U$4:$U$4003,"正常",出库单!$C$4:$C$4003,"&gt;="&amp;账期起,出库单!$C$4:$C$4003,"&lt;="&amp;账期止))</f>
        <v/>
      </c>
      <c r="W623" s="26">
        <f>IF($A623="","",ROUND(SUMIFS(出库单!$S$4:$S$4003,出库单!$D$4:$D$4003,$A623,出库单!$K$4:$K$4003,"退货给供应商",出库单!$U$4:$U$4003,"正常",出库单!$C$4:$C$4003,"&gt;="&amp;账期起,出库单!$C$4:$C$4003,"&lt;="&amp;账期止),0))</f>
        <v/>
      </c>
      <c r="X623" s="27">
        <f>IF($A623="","",ROUND(N($G623)+$I623+$L623+$N623-$P623-$R623-$T623-$V623,3))</f>
        <v/>
      </c>
      <c r="Y623" s="26">
        <f>IF($A623="","",ROUND(N($H623)+$J623+$M623+$O623-$Q623-$S623-$U623-$W623,0))</f>
        <v/>
      </c>
      <c r="Z623" s="24">
        <f>IF($A623="","",IF(COUNTIFS(入库单!$G$4:$G$2503,$A623,入库单!$Y$4:$Y$2503,"待补价")+COUNTIFS(入库单!$G$4:$G$2503,$A623,入库单!$Y$4:$Y$2503,"暂估")&gt;0,"不可信","可信"))</f>
        <v/>
      </c>
      <c r="AA623" s="24">
        <f>IF($A623="","",IF($X623&lt;-0.001,"※账面负库存，查一下是不是漏记入库",IF(AND(ROUND($X623,3)=0,ABS($Y623)&gt;1),"※数量已经是 0，金额还挂着 "&amp;TEXT($Y623,"#,##0")&amp;" 先令",IF(AND($X623&gt;0,$Y623&lt;=0,$K623=0),"※有数量没金额（这个物料一直没填过进价）",IF($Z623="不可信","△成本含待补价/暂估，毛利仅供参考","")))))</f>
        <v/>
      </c>
    </row>
    <row r="624">
      <c r="A624" s="24">
        <f>IF(物料档案!$A623="","",物料档案!$A623)</f>
        <v/>
      </c>
      <c r="B624" s="24">
        <f>IF($A624="","",IFERROR(VLOOKUP($A624,物料档案!$A$4:$P$1203,3,0),""))</f>
        <v/>
      </c>
      <c r="C624" s="24">
        <f>IF($A624="","",IFERROR(VLOOKUP($A624,物料档案!$A$4:$P$1203,4,0),""))</f>
        <v/>
      </c>
      <c r="D624" s="24">
        <f>IF($A624="","",IFERROR(VLOOKUP($A624,物料档案!$A$4:$P$1203,5,0),""))</f>
        <v/>
      </c>
      <c r="E624" s="24">
        <f>IF($A624="","",IFERROR(VLOOKUP($A624,物料档案!$A$4:$P$1203,2,0),""))</f>
        <v/>
      </c>
      <c r="F624" s="24">
        <f>IF($A624="","",IFERROR(VLOOKUP($A624,物料档案!$A$4:$P$1203,6,0),""))</f>
        <v/>
      </c>
      <c r="G624" s="23" t="n"/>
      <c r="H624" s="32" t="n"/>
      <c r="I624" s="27">
        <f>IF($A624="","",SUMIFS(入库单!$K$4:$K$2503,入库单!$G$4:$G$2503,$A624,入库单!$X$4:$X$2503,"采购入库",入库单!$Z$4:$Z$2503,"正常",入库单!$C$4:$C$2503,"&gt;="&amp;账期起,入库单!$C$4:$C$2503,"&lt;="&amp;账期止))</f>
        <v/>
      </c>
      <c r="J624" s="26">
        <f>IF($A624="","",SUMIFS(入库单!$V$4:$V$2503,入库单!$G$4:$G$2503,$A624,入库单!$X$4:$X$2503,"采购入库",入库单!$Z$4:$Z$2503,"正常",入库单!$C$4:$C$2503,"&gt;="&amp;账期起,入库单!$C$4:$C$2503,"&lt;="&amp;账期止))</f>
        <v/>
      </c>
      <c r="K624" s="26">
        <f>IF($A624="","",IFERROR(ROUND((N($H624)+N($J624))/(N($G624)+N($I624)),2),0))</f>
        <v/>
      </c>
      <c r="L624" s="27">
        <f>IF($A624="","",SUMIFS(入库单!$K$4:$K$2503,入库单!$G$4:$G$2503,$A624,入库单!$X$4:$X$2503,"盘盈",入库单!$Z$4:$Z$2503,"正常",入库单!$C$4:$C$2503,"&gt;="&amp;账期起,入库单!$C$4:$C$2503,"&lt;="&amp;账期止))</f>
        <v/>
      </c>
      <c r="M624" s="26">
        <f>IF($A624="","",ROUND($L624*$K624,0))</f>
        <v/>
      </c>
      <c r="N624" s="27">
        <f>IF($A624="","",SUMIFS(入库单!$K$4:$K$2503,入库单!$G$4:$G$2503,$A624,入库单!$X$4:$X$2503,"矿区退库",入库单!$Z$4:$Z$2503,"正常",入库单!$C$4:$C$2503,"&gt;="&amp;账期起,入库单!$C$4:$C$2503,"&lt;="&amp;账期止))</f>
        <v/>
      </c>
      <c r="O624" s="26">
        <f>IF($A624="","",ROUND($N624*$K624,0))</f>
        <v/>
      </c>
      <c r="P624" s="27">
        <f>IF($A624="","",SUMIFS(出库单!$J$4:$J$4003,出库单!$D$4:$D$4003,$A624,出库单!$K$4:$K$4003,"自用消耗",出库单!$U$4:$U$4003,"正常",出库单!$C$4:$C$4003,"&gt;="&amp;账期起,出库单!$C$4:$C$4003,"&lt;="&amp;账期止))</f>
        <v/>
      </c>
      <c r="Q624" s="26">
        <f>IF($A624="","",ROUND(SUMIFS(出库单!$S$4:$S$4003,出库单!$D$4:$D$4003,$A624,出库单!$K$4:$K$4003,"自用消耗",出库单!$U$4:$U$4003,"正常",出库单!$C$4:$C$4003,"&gt;="&amp;账期起,出库单!$C$4:$C$4003,"&lt;="&amp;账期止),0))</f>
        <v/>
      </c>
      <c r="R624" s="27">
        <f>IF($A624="","",SUMIFS(出库单!$J$4:$J$4003,出库单!$D$4:$D$4003,$A624,出库单!$K$4:$K$4003,"对外销售",出库单!$U$4:$U$4003,"正常",出库单!$C$4:$C$4003,"&gt;="&amp;账期起,出库单!$C$4:$C$4003,"&lt;="&amp;账期止))</f>
        <v/>
      </c>
      <c r="S624" s="26">
        <f>IF($A624="","",ROUND(SUMIFS(出库单!$S$4:$S$4003,出库单!$D$4:$D$4003,$A624,出库单!$K$4:$K$4003,"对外销售",出库单!$U$4:$U$4003,"正常",出库单!$C$4:$C$4003,"&gt;="&amp;账期起,出库单!$C$4:$C$4003,"&lt;="&amp;账期止),0))</f>
        <v/>
      </c>
      <c r="T624" s="27">
        <f>IF($A624="","",SUMIFS(出库单!$J$4:$J$4003,出库单!$D$4:$D$4003,$A624,出库单!$K$4:$K$4003,"盘亏",出库单!$U$4:$U$4003,"正常",出库单!$C$4:$C$4003,"&gt;="&amp;账期起,出库单!$C$4:$C$4003,"&lt;="&amp;账期止))</f>
        <v/>
      </c>
      <c r="U624" s="26">
        <f>IF($A624="","",ROUND(SUMIFS(出库单!$S$4:$S$4003,出库单!$D$4:$D$4003,$A624,出库单!$K$4:$K$4003,"盘亏",出库单!$U$4:$U$4003,"正常",出库单!$C$4:$C$4003,"&gt;="&amp;账期起,出库单!$C$4:$C$4003,"&lt;="&amp;账期止),0))</f>
        <v/>
      </c>
      <c r="V624" s="27">
        <f>IF($A624="","",SUMIFS(出库单!$J$4:$J$4003,出库单!$D$4:$D$4003,$A624,出库单!$K$4:$K$4003,"退货给供应商",出库单!$U$4:$U$4003,"正常",出库单!$C$4:$C$4003,"&gt;="&amp;账期起,出库单!$C$4:$C$4003,"&lt;="&amp;账期止))</f>
        <v/>
      </c>
      <c r="W624" s="26">
        <f>IF($A624="","",ROUND(SUMIFS(出库单!$S$4:$S$4003,出库单!$D$4:$D$4003,$A624,出库单!$K$4:$K$4003,"退货给供应商",出库单!$U$4:$U$4003,"正常",出库单!$C$4:$C$4003,"&gt;="&amp;账期起,出库单!$C$4:$C$4003,"&lt;="&amp;账期止),0))</f>
        <v/>
      </c>
      <c r="X624" s="27">
        <f>IF($A624="","",ROUND(N($G624)+$I624+$L624+$N624-$P624-$R624-$T624-$V624,3))</f>
        <v/>
      </c>
      <c r="Y624" s="26">
        <f>IF($A624="","",ROUND(N($H624)+$J624+$M624+$O624-$Q624-$S624-$U624-$W624,0))</f>
        <v/>
      </c>
      <c r="Z624" s="24">
        <f>IF($A624="","",IF(COUNTIFS(入库单!$G$4:$G$2503,$A624,入库单!$Y$4:$Y$2503,"待补价")+COUNTIFS(入库单!$G$4:$G$2503,$A624,入库单!$Y$4:$Y$2503,"暂估")&gt;0,"不可信","可信"))</f>
        <v/>
      </c>
      <c r="AA624" s="24">
        <f>IF($A624="","",IF($X624&lt;-0.001,"※账面负库存，查一下是不是漏记入库",IF(AND(ROUND($X624,3)=0,ABS($Y624)&gt;1),"※数量已经是 0，金额还挂着 "&amp;TEXT($Y624,"#,##0")&amp;" 先令",IF(AND($X624&gt;0,$Y624&lt;=0,$K624=0),"※有数量没金额（这个物料一直没填过进价）",IF($Z624="不可信","△成本含待补价/暂估，毛利仅供参考","")))))</f>
        <v/>
      </c>
    </row>
    <row r="625">
      <c r="A625" s="24">
        <f>IF(物料档案!$A624="","",物料档案!$A624)</f>
        <v/>
      </c>
      <c r="B625" s="24">
        <f>IF($A625="","",IFERROR(VLOOKUP($A625,物料档案!$A$4:$P$1203,3,0),""))</f>
        <v/>
      </c>
      <c r="C625" s="24">
        <f>IF($A625="","",IFERROR(VLOOKUP($A625,物料档案!$A$4:$P$1203,4,0),""))</f>
        <v/>
      </c>
      <c r="D625" s="24">
        <f>IF($A625="","",IFERROR(VLOOKUP($A625,物料档案!$A$4:$P$1203,5,0),""))</f>
        <v/>
      </c>
      <c r="E625" s="24">
        <f>IF($A625="","",IFERROR(VLOOKUP($A625,物料档案!$A$4:$P$1203,2,0),""))</f>
        <v/>
      </c>
      <c r="F625" s="24">
        <f>IF($A625="","",IFERROR(VLOOKUP($A625,物料档案!$A$4:$P$1203,6,0),""))</f>
        <v/>
      </c>
      <c r="G625" s="23" t="n"/>
      <c r="H625" s="32" t="n"/>
      <c r="I625" s="27">
        <f>IF($A625="","",SUMIFS(入库单!$K$4:$K$2503,入库单!$G$4:$G$2503,$A625,入库单!$X$4:$X$2503,"采购入库",入库单!$Z$4:$Z$2503,"正常",入库单!$C$4:$C$2503,"&gt;="&amp;账期起,入库单!$C$4:$C$2503,"&lt;="&amp;账期止))</f>
        <v/>
      </c>
      <c r="J625" s="26">
        <f>IF($A625="","",SUMIFS(入库单!$V$4:$V$2503,入库单!$G$4:$G$2503,$A625,入库单!$X$4:$X$2503,"采购入库",入库单!$Z$4:$Z$2503,"正常",入库单!$C$4:$C$2503,"&gt;="&amp;账期起,入库单!$C$4:$C$2503,"&lt;="&amp;账期止))</f>
        <v/>
      </c>
      <c r="K625" s="26">
        <f>IF($A625="","",IFERROR(ROUND((N($H625)+N($J625))/(N($G625)+N($I625)),2),0))</f>
        <v/>
      </c>
      <c r="L625" s="27">
        <f>IF($A625="","",SUMIFS(入库单!$K$4:$K$2503,入库单!$G$4:$G$2503,$A625,入库单!$X$4:$X$2503,"盘盈",入库单!$Z$4:$Z$2503,"正常",入库单!$C$4:$C$2503,"&gt;="&amp;账期起,入库单!$C$4:$C$2503,"&lt;="&amp;账期止))</f>
        <v/>
      </c>
      <c r="M625" s="26">
        <f>IF($A625="","",ROUND($L625*$K625,0))</f>
        <v/>
      </c>
      <c r="N625" s="27">
        <f>IF($A625="","",SUMIFS(入库单!$K$4:$K$2503,入库单!$G$4:$G$2503,$A625,入库单!$X$4:$X$2503,"矿区退库",入库单!$Z$4:$Z$2503,"正常",入库单!$C$4:$C$2503,"&gt;="&amp;账期起,入库单!$C$4:$C$2503,"&lt;="&amp;账期止))</f>
        <v/>
      </c>
      <c r="O625" s="26">
        <f>IF($A625="","",ROUND($N625*$K625,0))</f>
        <v/>
      </c>
      <c r="P625" s="27">
        <f>IF($A625="","",SUMIFS(出库单!$J$4:$J$4003,出库单!$D$4:$D$4003,$A625,出库单!$K$4:$K$4003,"自用消耗",出库单!$U$4:$U$4003,"正常",出库单!$C$4:$C$4003,"&gt;="&amp;账期起,出库单!$C$4:$C$4003,"&lt;="&amp;账期止))</f>
        <v/>
      </c>
      <c r="Q625" s="26">
        <f>IF($A625="","",ROUND(SUMIFS(出库单!$S$4:$S$4003,出库单!$D$4:$D$4003,$A625,出库单!$K$4:$K$4003,"自用消耗",出库单!$U$4:$U$4003,"正常",出库单!$C$4:$C$4003,"&gt;="&amp;账期起,出库单!$C$4:$C$4003,"&lt;="&amp;账期止),0))</f>
        <v/>
      </c>
      <c r="R625" s="27">
        <f>IF($A625="","",SUMIFS(出库单!$J$4:$J$4003,出库单!$D$4:$D$4003,$A625,出库单!$K$4:$K$4003,"对外销售",出库单!$U$4:$U$4003,"正常",出库单!$C$4:$C$4003,"&gt;="&amp;账期起,出库单!$C$4:$C$4003,"&lt;="&amp;账期止))</f>
        <v/>
      </c>
      <c r="S625" s="26">
        <f>IF($A625="","",ROUND(SUMIFS(出库单!$S$4:$S$4003,出库单!$D$4:$D$4003,$A625,出库单!$K$4:$K$4003,"对外销售",出库单!$U$4:$U$4003,"正常",出库单!$C$4:$C$4003,"&gt;="&amp;账期起,出库单!$C$4:$C$4003,"&lt;="&amp;账期止),0))</f>
        <v/>
      </c>
      <c r="T625" s="27">
        <f>IF($A625="","",SUMIFS(出库单!$J$4:$J$4003,出库单!$D$4:$D$4003,$A625,出库单!$K$4:$K$4003,"盘亏",出库单!$U$4:$U$4003,"正常",出库单!$C$4:$C$4003,"&gt;="&amp;账期起,出库单!$C$4:$C$4003,"&lt;="&amp;账期止))</f>
        <v/>
      </c>
      <c r="U625" s="26">
        <f>IF($A625="","",ROUND(SUMIFS(出库单!$S$4:$S$4003,出库单!$D$4:$D$4003,$A625,出库单!$K$4:$K$4003,"盘亏",出库单!$U$4:$U$4003,"正常",出库单!$C$4:$C$4003,"&gt;="&amp;账期起,出库单!$C$4:$C$4003,"&lt;="&amp;账期止),0))</f>
        <v/>
      </c>
      <c r="V625" s="27">
        <f>IF($A625="","",SUMIFS(出库单!$J$4:$J$4003,出库单!$D$4:$D$4003,$A625,出库单!$K$4:$K$4003,"退货给供应商",出库单!$U$4:$U$4003,"正常",出库单!$C$4:$C$4003,"&gt;="&amp;账期起,出库单!$C$4:$C$4003,"&lt;="&amp;账期止))</f>
        <v/>
      </c>
      <c r="W625" s="26">
        <f>IF($A625="","",ROUND(SUMIFS(出库单!$S$4:$S$4003,出库单!$D$4:$D$4003,$A625,出库单!$K$4:$K$4003,"退货给供应商",出库单!$U$4:$U$4003,"正常",出库单!$C$4:$C$4003,"&gt;="&amp;账期起,出库单!$C$4:$C$4003,"&lt;="&amp;账期止),0))</f>
        <v/>
      </c>
      <c r="X625" s="27">
        <f>IF($A625="","",ROUND(N($G625)+$I625+$L625+$N625-$P625-$R625-$T625-$V625,3))</f>
        <v/>
      </c>
      <c r="Y625" s="26">
        <f>IF($A625="","",ROUND(N($H625)+$J625+$M625+$O625-$Q625-$S625-$U625-$W625,0))</f>
        <v/>
      </c>
      <c r="Z625" s="24">
        <f>IF($A625="","",IF(COUNTIFS(入库单!$G$4:$G$2503,$A625,入库单!$Y$4:$Y$2503,"待补价")+COUNTIFS(入库单!$G$4:$G$2503,$A625,入库单!$Y$4:$Y$2503,"暂估")&gt;0,"不可信","可信"))</f>
        <v/>
      </c>
      <c r="AA625" s="24">
        <f>IF($A625="","",IF($X625&lt;-0.001,"※账面负库存，查一下是不是漏记入库",IF(AND(ROUND($X625,3)=0,ABS($Y625)&gt;1),"※数量已经是 0，金额还挂着 "&amp;TEXT($Y625,"#,##0")&amp;" 先令",IF(AND($X625&gt;0,$Y625&lt;=0,$K625=0),"※有数量没金额（这个物料一直没填过进价）",IF($Z625="不可信","△成本含待补价/暂估，毛利仅供参考","")))))</f>
        <v/>
      </c>
    </row>
    <row r="626">
      <c r="A626" s="24">
        <f>IF(物料档案!$A625="","",物料档案!$A625)</f>
        <v/>
      </c>
      <c r="B626" s="24">
        <f>IF($A626="","",IFERROR(VLOOKUP($A626,物料档案!$A$4:$P$1203,3,0),""))</f>
        <v/>
      </c>
      <c r="C626" s="24">
        <f>IF($A626="","",IFERROR(VLOOKUP($A626,物料档案!$A$4:$P$1203,4,0),""))</f>
        <v/>
      </c>
      <c r="D626" s="24">
        <f>IF($A626="","",IFERROR(VLOOKUP($A626,物料档案!$A$4:$P$1203,5,0),""))</f>
        <v/>
      </c>
      <c r="E626" s="24">
        <f>IF($A626="","",IFERROR(VLOOKUP($A626,物料档案!$A$4:$P$1203,2,0),""))</f>
        <v/>
      </c>
      <c r="F626" s="24">
        <f>IF($A626="","",IFERROR(VLOOKUP($A626,物料档案!$A$4:$P$1203,6,0),""))</f>
        <v/>
      </c>
      <c r="G626" s="23" t="n"/>
      <c r="H626" s="32" t="n"/>
      <c r="I626" s="27">
        <f>IF($A626="","",SUMIFS(入库单!$K$4:$K$2503,入库单!$G$4:$G$2503,$A626,入库单!$X$4:$X$2503,"采购入库",入库单!$Z$4:$Z$2503,"正常",入库单!$C$4:$C$2503,"&gt;="&amp;账期起,入库单!$C$4:$C$2503,"&lt;="&amp;账期止))</f>
        <v/>
      </c>
      <c r="J626" s="26">
        <f>IF($A626="","",SUMIFS(入库单!$V$4:$V$2503,入库单!$G$4:$G$2503,$A626,入库单!$X$4:$X$2503,"采购入库",入库单!$Z$4:$Z$2503,"正常",入库单!$C$4:$C$2503,"&gt;="&amp;账期起,入库单!$C$4:$C$2503,"&lt;="&amp;账期止))</f>
        <v/>
      </c>
      <c r="K626" s="26">
        <f>IF($A626="","",IFERROR(ROUND((N($H626)+N($J626))/(N($G626)+N($I626)),2),0))</f>
        <v/>
      </c>
      <c r="L626" s="27">
        <f>IF($A626="","",SUMIFS(入库单!$K$4:$K$2503,入库单!$G$4:$G$2503,$A626,入库单!$X$4:$X$2503,"盘盈",入库单!$Z$4:$Z$2503,"正常",入库单!$C$4:$C$2503,"&gt;="&amp;账期起,入库单!$C$4:$C$2503,"&lt;="&amp;账期止))</f>
        <v/>
      </c>
      <c r="M626" s="26">
        <f>IF($A626="","",ROUND($L626*$K626,0))</f>
        <v/>
      </c>
      <c r="N626" s="27">
        <f>IF($A626="","",SUMIFS(入库单!$K$4:$K$2503,入库单!$G$4:$G$2503,$A626,入库单!$X$4:$X$2503,"矿区退库",入库单!$Z$4:$Z$2503,"正常",入库单!$C$4:$C$2503,"&gt;="&amp;账期起,入库单!$C$4:$C$2503,"&lt;="&amp;账期止))</f>
        <v/>
      </c>
      <c r="O626" s="26">
        <f>IF($A626="","",ROUND($N626*$K626,0))</f>
        <v/>
      </c>
      <c r="P626" s="27">
        <f>IF($A626="","",SUMIFS(出库单!$J$4:$J$4003,出库单!$D$4:$D$4003,$A626,出库单!$K$4:$K$4003,"自用消耗",出库单!$U$4:$U$4003,"正常",出库单!$C$4:$C$4003,"&gt;="&amp;账期起,出库单!$C$4:$C$4003,"&lt;="&amp;账期止))</f>
        <v/>
      </c>
      <c r="Q626" s="26">
        <f>IF($A626="","",ROUND(SUMIFS(出库单!$S$4:$S$4003,出库单!$D$4:$D$4003,$A626,出库单!$K$4:$K$4003,"自用消耗",出库单!$U$4:$U$4003,"正常",出库单!$C$4:$C$4003,"&gt;="&amp;账期起,出库单!$C$4:$C$4003,"&lt;="&amp;账期止),0))</f>
        <v/>
      </c>
      <c r="R626" s="27">
        <f>IF($A626="","",SUMIFS(出库单!$J$4:$J$4003,出库单!$D$4:$D$4003,$A626,出库单!$K$4:$K$4003,"对外销售",出库单!$U$4:$U$4003,"正常",出库单!$C$4:$C$4003,"&gt;="&amp;账期起,出库单!$C$4:$C$4003,"&lt;="&amp;账期止))</f>
        <v/>
      </c>
      <c r="S626" s="26">
        <f>IF($A626="","",ROUND(SUMIFS(出库单!$S$4:$S$4003,出库单!$D$4:$D$4003,$A626,出库单!$K$4:$K$4003,"对外销售",出库单!$U$4:$U$4003,"正常",出库单!$C$4:$C$4003,"&gt;="&amp;账期起,出库单!$C$4:$C$4003,"&lt;="&amp;账期止),0))</f>
        <v/>
      </c>
      <c r="T626" s="27">
        <f>IF($A626="","",SUMIFS(出库单!$J$4:$J$4003,出库单!$D$4:$D$4003,$A626,出库单!$K$4:$K$4003,"盘亏",出库单!$U$4:$U$4003,"正常",出库单!$C$4:$C$4003,"&gt;="&amp;账期起,出库单!$C$4:$C$4003,"&lt;="&amp;账期止))</f>
        <v/>
      </c>
      <c r="U626" s="26">
        <f>IF($A626="","",ROUND(SUMIFS(出库单!$S$4:$S$4003,出库单!$D$4:$D$4003,$A626,出库单!$K$4:$K$4003,"盘亏",出库单!$U$4:$U$4003,"正常",出库单!$C$4:$C$4003,"&gt;="&amp;账期起,出库单!$C$4:$C$4003,"&lt;="&amp;账期止),0))</f>
        <v/>
      </c>
      <c r="V626" s="27">
        <f>IF($A626="","",SUMIFS(出库单!$J$4:$J$4003,出库单!$D$4:$D$4003,$A626,出库单!$K$4:$K$4003,"退货给供应商",出库单!$U$4:$U$4003,"正常",出库单!$C$4:$C$4003,"&gt;="&amp;账期起,出库单!$C$4:$C$4003,"&lt;="&amp;账期止))</f>
        <v/>
      </c>
      <c r="W626" s="26">
        <f>IF($A626="","",ROUND(SUMIFS(出库单!$S$4:$S$4003,出库单!$D$4:$D$4003,$A626,出库单!$K$4:$K$4003,"退货给供应商",出库单!$U$4:$U$4003,"正常",出库单!$C$4:$C$4003,"&gt;="&amp;账期起,出库单!$C$4:$C$4003,"&lt;="&amp;账期止),0))</f>
        <v/>
      </c>
      <c r="X626" s="27">
        <f>IF($A626="","",ROUND(N($G626)+$I626+$L626+$N626-$P626-$R626-$T626-$V626,3))</f>
        <v/>
      </c>
      <c r="Y626" s="26">
        <f>IF($A626="","",ROUND(N($H626)+$J626+$M626+$O626-$Q626-$S626-$U626-$W626,0))</f>
        <v/>
      </c>
      <c r="Z626" s="24">
        <f>IF($A626="","",IF(COUNTIFS(入库单!$G$4:$G$2503,$A626,入库单!$Y$4:$Y$2503,"待补价")+COUNTIFS(入库单!$G$4:$G$2503,$A626,入库单!$Y$4:$Y$2503,"暂估")&gt;0,"不可信","可信"))</f>
        <v/>
      </c>
      <c r="AA626" s="24">
        <f>IF($A626="","",IF($X626&lt;-0.001,"※账面负库存，查一下是不是漏记入库",IF(AND(ROUND($X626,3)=0,ABS($Y626)&gt;1),"※数量已经是 0，金额还挂着 "&amp;TEXT($Y626,"#,##0")&amp;" 先令",IF(AND($X626&gt;0,$Y626&lt;=0,$K626=0),"※有数量没金额（这个物料一直没填过进价）",IF($Z626="不可信","△成本含待补价/暂估，毛利仅供参考","")))))</f>
        <v/>
      </c>
    </row>
    <row r="627">
      <c r="A627" s="24">
        <f>IF(物料档案!$A626="","",物料档案!$A626)</f>
        <v/>
      </c>
      <c r="B627" s="24">
        <f>IF($A627="","",IFERROR(VLOOKUP($A627,物料档案!$A$4:$P$1203,3,0),""))</f>
        <v/>
      </c>
      <c r="C627" s="24">
        <f>IF($A627="","",IFERROR(VLOOKUP($A627,物料档案!$A$4:$P$1203,4,0),""))</f>
        <v/>
      </c>
      <c r="D627" s="24">
        <f>IF($A627="","",IFERROR(VLOOKUP($A627,物料档案!$A$4:$P$1203,5,0),""))</f>
        <v/>
      </c>
      <c r="E627" s="24">
        <f>IF($A627="","",IFERROR(VLOOKUP($A627,物料档案!$A$4:$P$1203,2,0),""))</f>
        <v/>
      </c>
      <c r="F627" s="24">
        <f>IF($A627="","",IFERROR(VLOOKUP($A627,物料档案!$A$4:$P$1203,6,0),""))</f>
        <v/>
      </c>
      <c r="G627" s="23" t="n"/>
      <c r="H627" s="32" t="n"/>
      <c r="I627" s="27">
        <f>IF($A627="","",SUMIFS(入库单!$K$4:$K$2503,入库单!$G$4:$G$2503,$A627,入库单!$X$4:$X$2503,"采购入库",入库单!$Z$4:$Z$2503,"正常",入库单!$C$4:$C$2503,"&gt;="&amp;账期起,入库单!$C$4:$C$2503,"&lt;="&amp;账期止))</f>
        <v/>
      </c>
      <c r="J627" s="26">
        <f>IF($A627="","",SUMIFS(入库单!$V$4:$V$2503,入库单!$G$4:$G$2503,$A627,入库单!$X$4:$X$2503,"采购入库",入库单!$Z$4:$Z$2503,"正常",入库单!$C$4:$C$2503,"&gt;="&amp;账期起,入库单!$C$4:$C$2503,"&lt;="&amp;账期止))</f>
        <v/>
      </c>
      <c r="K627" s="26">
        <f>IF($A627="","",IFERROR(ROUND((N($H627)+N($J627))/(N($G627)+N($I627)),2),0))</f>
        <v/>
      </c>
      <c r="L627" s="27">
        <f>IF($A627="","",SUMIFS(入库单!$K$4:$K$2503,入库单!$G$4:$G$2503,$A627,入库单!$X$4:$X$2503,"盘盈",入库单!$Z$4:$Z$2503,"正常",入库单!$C$4:$C$2503,"&gt;="&amp;账期起,入库单!$C$4:$C$2503,"&lt;="&amp;账期止))</f>
        <v/>
      </c>
      <c r="M627" s="26">
        <f>IF($A627="","",ROUND($L627*$K627,0))</f>
        <v/>
      </c>
      <c r="N627" s="27">
        <f>IF($A627="","",SUMIFS(入库单!$K$4:$K$2503,入库单!$G$4:$G$2503,$A627,入库单!$X$4:$X$2503,"矿区退库",入库单!$Z$4:$Z$2503,"正常",入库单!$C$4:$C$2503,"&gt;="&amp;账期起,入库单!$C$4:$C$2503,"&lt;="&amp;账期止))</f>
        <v/>
      </c>
      <c r="O627" s="26">
        <f>IF($A627="","",ROUND($N627*$K627,0))</f>
        <v/>
      </c>
      <c r="P627" s="27">
        <f>IF($A627="","",SUMIFS(出库单!$J$4:$J$4003,出库单!$D$4:$D$4003,$A627,出库单!$K$4:$K$4003,"自用消耗",出库单!$U$4:$U$4003,"正常",出库单!$C$4:$C$4003,"&gt;="&amp;账期起,出库单!$C$4:$C$4003,"&lt;="&amp;账期止))</f>
        <v/>
      </c>
      <c r="Q627" s="26">
        <f>IF($A627="","",ROUND(SUMIFS(出库单!$S$4:$S$4003,出库单!$D$4:$D$4003,$A627,出库单!$K$4:$K$4003,"自用消耗",出库单!$U$4:$U$4003,"正常",出库单!$C$4:$C$4003,"&gt;="&amp;账期起,出库单!$C$4:$C$4003,"&lt;="&amp;账期止),0))</f>
        <v/>
      </c>
      <c r="R627" s="27">
        <f>IF($A627="","",SUMIFS(出库单!$J$4:$J$4003,出库单!$D$4:$D$4003,$A627,出库单!$K$4:$K$4003,"对外销售",出库单!$U$4:$U$4003,"正常",出库单!$C$4:$C$4003,"&gt;="&amp;账期起,出库单!$C$4:$C$4003,"&lt;="&amp;账期止))</f>
        <v/>
      </c>
      <c r="S627" s="26">
        <f>IF($A627="","",ROUND(SUMIFS(出库单!$S$4:$S$4003,出库单!$D$4:$D$4003,$A627,出库单!$K$4:$K$4003,"对外销售",出库单!$U$4:$U$4003,"正常",出库单!$C$4:$C$4003,"&gt;="&amp;账期起,出库单!$C$4:$C$4003,"&lt;="&amp;账期止),0))</f>
        <v/>
      </c>
      <c r="T627" s="27">
        <f>IF($A627="","",SUMIFS(出库单!$J$4:$J$4003,出库单!$D$4:$D$4003,$A627,出库单!$K$4:$K$4003,"盘亏",出库单!$U$4:$U$4003,"正常",出库单!$C$4:$C$4003,"&gt;="&amp;账期起,出库单!$C$4:$C$4003,"&lt;="&amp;账期止))</f>
        <v/>
      </c>
      <c r="U627" s="26">
        <f>IF($A627="","",ROUND(SUMIFS(出库单!$S$4:$S$4003,出库单!$D$4:$D$4003,$A627,出库单!$K$4:$K$4003,"盘亏",出库单!$U$4:$U$4003,"正常",出库单!$C$4:$C$4003,"&gt;="&amp;账期起,出库单!$C$4:$C$4003,"&lt;="&amp;账期止),0))</f>
        <v/>
      </c>
      <c r="V627" s="27">
        <f>IF($A627="","",SUMIFS(出库单!$J$4:$J$4003,出库单!$D$4:$D$4003,$A627,出库单!$K$4:$K$4003,"退货给供应商",出库单!$U$4:$U$4003,"正常",出库单!$C$4:$C$4003,"&gt;="&amp;账期起,出库单!$C$4:$C$4003,"&lt;="&amp;账期止))</f>
        <v/>
      </c>
      <c r="W627" s="26">
        <f>IF($A627="","",ROUND(SUMIFS(出库单!$S$4:$S$4003,出库单!$D$4:$D$4003,$A627,出库单!$K$4:$K$4003,"退货给供应商",出库单!$U$4:$U$4003,"正常",出库单!$C$4:$C$4003,"&gt;="&amp;账期起,出库单!$C$4:$C$4003,"&lt;="&amp;账期止),0))</f>
        <v/>
      </c>
      <c r="X627" s="27">
        <f>IF($A627="","",ROUND(N($G627)+$I627+$L627+$N627-$P627-$R627-$T627-$V627,3))</f>
        <v/>
      </c>
      <c r="Y627" s="26">
        <f>IF($A627="","",ROUND(N($H627)+$J627+$M627+$O627-$Q627-$S627-$U627-$W627,0))</f>
        <v/>
      </c>
      <c r="Z627" s="24">
        <f>IF($A627="","",IF(COUNTIFS(入库单!$G$4:$G$2503,$A627,入库单!$Y$4:$Y$2503,"待补价")+COUNTIFS(入库单!$G$4:$G$2503,$A627,入库单!$Y$4:$Y$2503,"暂估")&gt;0,"不可信","可信"))</f>
        <v/>
      </c>
      <c r="AA627" s="24">
        <f>IF($A627="","",IF($X627&lt;-0.001,"※账面负库存，查一下是不是漏记入库",IF(AND(ROUND($X627,3)=0,ABS($Y627)&gt;1),"※数量已经是 0，金额还挂着 "&amp;TEXT($Y627,"#,##0")&amp;" 先令",IF(AND($X627&gt;0,$Y627&lt;=0,$K627=0),"※有数量没金额（这个物料一直没填过进价）",IF($Z627="不可信","△成本含待补价/暂估，毛利仅供参考","")))))</f>
        <v/>
      </c>
    </row>
    <row r="628">
      <c r="A628" s="24">
        <f>IF(物料档案!$A627="","",物料档案!$A627)</f>
        <v/>
      </c>
      <c r="B628" s="24">
        <f>IF($A628="","",IFERROR(VLOOKUP($A628,物料档案!$A$4:$P$1203,3,0),""))</f>
        <v/>
      </c>
      <c r="C628" s="24">
        <f>IF($A628="","",IFERROR(VLOOKUP($A628,物料档案!$A$4:$P$1203,4,0),""))</f>
        <v/>
      </c>
      <c r="D628" s="24">
        <f>IF($A628="","",IFERROR(VLOOKUP($A628,物料档案!$A$4:$P$1203,5,0),""))</f>
        <v/>
      </c>
      <c r="E628" s="24">
        <f>IF($A628="","",IFERROR(VLOOKUP($A628,物料档案!$A$4:$P$1203,2,0),""))</f>
        <v/>
      </c>
      <c r="F628" s="24">
        <f>IF($A628="","",IFERROR(VLOOKUP($A628,物料档案!$A$4:$P$1203,6,0),""))</f>
        <v/>
      </c>
      <c r="G628" s="23" t="n"/>
      <c r="H628" s="32" t="n"/>
      <c r="I628" s="27">
        <f>IF($A628="","",SUMIFS(入库单!$K$4:$K$2503,入库单!$G$4:$G$2503,$A628,入库单!$X$4:$X$2503,"采购入库",入库单!$Z$4:$Z$2503,"正常",入库单!$C$4:$C$2503,"&gt;="&amp;账期起,入库单!$C$4:$C$2503,"&lt;="&amp;账期止))</f>
        <v/>
      </c>
      <c r="J628" s="26">
        <f>IF($A628="","",SUMIFS(入库单!$V$4:$V$2503,入库单!$G$4:$G$2503,$A628,入库单!$X$4:$X$2503,"采购入库",入库单!$Z$4:$Z$2503,"正常",入库单!$C$4:$C$2503,"&gt;="&amp;账期起,入库单!$C$4:$C$2503,"&lt;="&amp;账期止))</f>
        <v/>
      </c>
      <c r="K628" s="26">
        <f>IF($A628="","",IFERROR(ROUND((N($H628)+N($J628))/(N($G628)+N($I628)),2),0))</f>
        <v/>
      </c>
      <c r="L628" s="27">
        <f>IF($A628="","",SUMIFS(入库单!$K$4:$K$2503,入库单!$G$4:$G$2503,$A628,入库单!$X$4:$X$2503,"盘盈",入库单!$Z$4:$Z$2503,"正常",入库单!$C$4:$C$2503,"&gt;="&amp;账期起,入库单!$C$4:$C$2503,"&lt;="&amp;账期止))</f>
        <v/>
      </c>
      <c r="M628" s="26">
        <f>IF($A628="","",ROUND($L628*$K628,0))</f>
        <v/>
      </c>
      <c r="N628" s="27">
        <f>IF($A628="","",SUMIFS(入库单!$K$4:$K$2503,入库单!$G$4:$G$2503,$A628,入库单!$X$4:$X$2503,"矿区退库",入库单!$Z$4:$Z$2503,"正常",入库单!$C$4:$C$2503,"&gt;="&amp;账期起,入库单!$C$4:$C$2503,"&lt;="&amp;账期止))</f>
        <v/>
      </c>
      <c r="O628" s="26">
        <f>IF($A628="","",ROUND($N628*$K628,0))</f>
        <v/>
      </c>
      <c r="P628" s="27">
        <f>IF($A628="","",SUMIFS(出库单!$J$4:$J$4003,出库单!$D$4:$D$4003,$A628,出库单!$K$4:$K$4003,"自用消耗",出库单!$U$4:$U$4003,"正常",出库单!$C$4:$C$4003,"&gt;="&amp;账期起,出库单!$C$4:$C$4003,"&lt;="&amp;账期止))</f>
        <v/>
      </c>
      <c r="Q628" s="26">
        <f>IF($A628="","",ROUND(SUMIFS(出库单!$S$4:$S$4003,出库单!$D$4:$D$4003,$A628,出库单!$K$4:$K$4003,"自用消耗",出库单!$U$4:$U$4003,"正常",出库单!$C$4:$C$4003,"&gt;="&amp;账期起,出库单!$C$4:$C$4003,"&lt;="&amp;账期止),0))</f>
        <v/>
      </c>
      <c r="R628" s="27">
        <f>IF($A628="","",SUMIFS(出库单!$J$4:$J$4003,出库单!$D$4:$D$4003,$A628,出库单!$K$4:$K$4003,"对外销售",出库单!$U$4:$U$4003,"正常",出库单!$C$4:$C$4003,"&gt;="&amp;账期起,出库单!$C$4:$C$4003,"&lt;="&amp;账期止))</f>
        <v/>
      </c>
      <c r="S628" s="26">
        <f>IF($A628="","",ROUND(SUMIFS(出库单!$S$4:$S$4003,出库单!$D$4:$D$4003,$A628,出库单!$K$4:$K$4003,"对外销售",出库单!$U$4:$U$4003,"正常",出库单!$C$4:$C$4003,"&gt;="&amp;账期起,出库单!$C$4:$C$4003,"&lt;="&amp;账期止),0))</f>
        <v/>
      </c>
      <c r="T628" s="27">
        <f>IF($A628="","",SUMIFS(出库单!$J$4:$J$4003,出库单!$D$4:$D$4003,$A628,出库单!$K$4:$K$4003,"盘亏",出库单!$U$4:$U$4003,"正常",出库单!$C$4:$C$4003,"&gt;="&amp;账期起,出库单!$C$4:$C$4003,"&lt;="&amp;账期止))</f>
        <v/>
      </c>
      <c r="U628" s="26">
        <f>IF($A628="","",ROUND(SUMIFS(出库单!$S$4:$S$4003,出库单!$D$4:$D$4003,$A628,出库单!$K$4:$K$4003,"盘亏",出库单!$U$4:$U$4003,"正常",出库单!$C$4:$C$4003,"&gt;="&amp;账期起,出库单!$C$4:$C$4003,"&lt;="&amp;账期止),0))</f>
        <v/>
      </c>
      <c r="V628" s="27">
        <f>IF($A628="","",SUMIFS(出库单!$J$4:$J$4003,出库单!$D$4:$D$4003,$A628,出库单!$K$4:$K$4003,"退货给供应商",出库单!$U$4:$U$4003,"正常",出库单!$C$4:$C$4003,"&gt;="&amp;账期起,出库单!$C$4:$C$4003,"&lt;="&amp;账期止))</f>
        <v/>
      </c>
      <c r="W628" s="26">
        <f>IF($A628="","",ROUND(SUMIFS(出库单!$S$4:$S$4003,出库单!$D$4:$D$4003,$A628,出库单!$K$4:$K$4003,"退货给供应商",出库单!$U$4:$U$4003,"正常",出库单!$C$4:$C$4003,"&gt;="&amp;账期起,出库单!$C$4:$C$4003,"&lt;="&amp;账期止),0))</f>
        <v/>
      </c>
      <c r="X628" s="27">
        <f>IF($A628="","",ROUND(N($G628)+$I628+$L628+$N628-$P628-$R628-$T628-$V628,3))</f>
        <v/>
      </c>
      <c r="Y628" s="26">
        <f>IF($A628="","",ROUND(N($H628)+$J628+$M628+$O628-$Q628-$S628-$U628-$W628,0))</f>
        <v/>
      </c>
      <c r="Z628" s="24">
        <f>IF($A628="","",IF(COUNTIFS(入库单!$G$4:$G$2503,$A628,入库单!$Y$4:$Y$2503,"待补价")+COUNTIFS(入库单!$G$4:$G$2503,$A628,入库单!$Y$4:$Y$2503,"暂估")&gt;0,"不可信","可信"))</f>
        <v/>
      </c>
      <c r="AA628" s="24">
        <f>IF($A628="","",IF($X628&lt;-0.001,"※账面负库存，查一下是不是漏记入库",IF(AND(ROUND($X628,3)=0,ABS($Y628)&gt;1),"※数量已经是 0，金额还挂着 "&amp;TEXT($Y628,"#,##0")&amp;" 先令",IF(AND($X628&gt;0,$Y628&lt;=0,$K628=0),"※有数量没金额（这个物料一直没填过进价）",IF($Z628="不可信","△成本含待补价/暂估，毛利仅供参考","")))))</f>
        <v/>
      </c>
    </row>
    <row r="629">
      <c r="A629" s="24">
        <f>IF(物料档案!$A628="","",物料档案!$A628)</f>
        <v/>
      </c>
      <c r="B629" s="24">
        <f>IF($A629="","",IFERROR(VLOOKUP($A629,物料档案!$A$4:$P$1203,3,0),""))</f>
        <v/>
      </c>
      <c r="C629" s="24">
        <f>IF($A629="","",IFERROR(VLOOKUP($A629,物料档案!$A$4:$P$1203,4,0),""))</f>
        <v/>
      </c>
      <c r="D629" s="24">
        <f>IF($A629="","",IFERROR(VLOOKUP($A629,物料档案!$A$4:$P$1203,5,0),""))</f>
        <v/>
      </c>
      <c r="E629" s="24">
        <f>IF($A629="","",IFERROR(VLOOKUP($A629,物料档案!$A$4:$P$1203,2,0),""))</f>
        <v/>
      </c>
      <c r="F629" s="24">
        <f>IF($A629="","",IFERROR(VLOOKUP($A629,物料档案!$A$4:$P$1203,6,0),""))</f>
        <v/>
      </c>
      <c r="G629" s="23" t="n"/>
      <c r="H629" s="32" t="n"/>
      <c r="I629" s="27">
        <f>IF($A629="","",SUMIFS(入库单!$K$4:$K$2503,入库单!$G$4:$G$2503,$A629,入库单!$X$4:$X$2503,"采购入库",入库单!$Z$4:$Z$2503,"正常",入库单!$C$4:$C$2503,"&gt;="&amp;账期起,入库单!$C$4:$C$2503,"&lt;="&amp;账期止))</f>
        <v/>
      </c>
      <c r="J629" s="26">
        <f>IF($A629="","",SUMIFS(入库单!$V$4:$V$2503,入库单!$G$4:$G$2503,$A629,入库单!$X$4:$X$2503,"采购入库",入库单!$Z$4:$Z$2503,"正常",入库单!$C$4:$C$2503,"&gt;="&amp;账期起,入库单!$C$4:$C$2503,"&lt;="&amp;账期止))</f>
        <v/>
      </c>
      <c r="K629" s="26">
        <f>IF($A629="","",IFERROR(ROUND((N($H629)+N($J629))/(N($G629)+N($I629)),2),0))</f>
        <v/>
      </c>
      <c r="L629" s="27">
        <f>IF($A629="","",SUMIFS(入库单!$K$4:$K$2503,入库单!$G$4:$G$2503,$A629,入库单!$X$4:$X$2503,"盘盈",入库单!$Z$4:$Z$2503,"正常",入库单!$C$4:$C$2503,"&gt;="&amp;账期起,入库单!$C$4:$C$2503,"&lt;="&amp;账期止))</f>
        <v/>
      </c>
      <c r="M629" s="26">
        <f>IF($A629="","",ROUND($L629*$K629,0))</f>
        <v/>
      </c>
      <c r="N629" s="27">
        <f>IF($A629="","",SUMIFS(入库单!$K$4:$K$2503,入库单!$G$4:$G$2503,$A629,入库单!$X$4:$X$2503,"矿区退库",入库单!$Z$4:$Z$2503,"正常",入库单!$C$4:$C$2503,"&gt;="&amp;账期起,入库单!$C$4:$C$2503,"&lt;="&amp;账期止))</f>
        <v/>
      </c>
      <c r="O629" s="26">
        <f>IF($A629="","",ROUND($N629*$K629,0))</f>
        <v/>
      </c>
      <c r="P629" s="27">
        <f>IF($A629="","",SUMIFS(出库单!$J$4:$J$4003,出库单!$D$4:$D$4003,$A629,出库单!$K$4:$K$4003,"自用消耗",出库单!$U$4:$U$4003,"正常",出库单!$C$4:$C$4003,"&gt;="&amp;账期起,出库单!$C$4:$C$4003,"&lt;="&amp;账期止))</f>
        <v/>
      </c>
      <c r="Q629" s="26">
        <f>IF($A629="","",ROUND(SUMIFS(出库单!$S$4:$S$4003,出库单!$D$4:$D$4003,$A629,出库单!$K$4:$K$4003,"自用消耗",出库单!$U$4:$U$4003,"正常",出库单!$C$4:$C$4003,"&gt;="&amp;账期起,出库单!$C$4:$C$4003,"&lt;="&amp;账期止),0))</f>
        <v/>
      </c>
      <c r="R629" s="27">
        <f>IF($A629="","",SUMIFS(出库单!$J$4:$J$4003,出库单!$D$4:$D$4003,$A629,出库单!$K$4:$K$4003,"对外销售",出库单!$U$4:$U$4003,"正常",出库单!$C$4:$C$4003,"&gt;="&amp;账期起,出库单!$C$4:$C$4003,"&lt;="&amp;账期止))</f>
        <v/>
      </c>
      <c r="S629" s="26">
        <f>IF($A629="","",ROUND(SUMIFS(出库单!$S$4:$S$4003,出库单!$D$4:$D$4003,$A629,出库单!$K$4:$K$4003,"对外销售",出库单!$U$4:$U$4003,"正常",出库单!$C$4:$C$4003,"&gt;="&amp;账期起,出库单!$C$4:$C$4003,"&lt;="&amp;账期止),0))</f>
        <v/>
      </c>
      <c r="T629" s="27">
        <f>IF($A629="","",SUMIFS(出库单!$J$4:$J$4003,出库单!$D$4:$D$4003,$A629,出库单!$K$4:$K$4003,"盘亏",出库单!$U$4:$U$4003,"正常",出库单!$C$4:$C$4003,"&gt;="&amp;账期起,出库单!$C$4:$C$4003,"&lt;="&amp;账期止))</f>
        <v/>
      </c>
      <c r="U629" s="26">
        <f>IF($A629="","",ROUND(SUMIFS(出库单!$S$4:$S$4003,出库单!$D$4:$D$4003,$A629,出库单!$K$4:$K$4003,"盘亏",出库单!$U$4:$U$4003,"正常",出库单!$C$4:$C$4003,"&gt;="&amp;账期起,出库单!$C$4:$C$4003,"&lt;="&amp;账期止),0))</f>
        <v/>
      </c>
      <c r="V629" s="27">
        <f>IF($A629="","",SUMIFS(出库单!$J$4:$J$4003,出库单!$D$4:$D$4003,$A629,出库单!$K$4:$K$4003,"退货给供应商",出库单!$U$4:$U$4003,"正常",出库单!$C$4:$C$4003,"&gt;="&amp;账期起,出库单!$C$4:$C$4003,"&lt;="&amp;账期止))</f>
        <v/>
      </c>
      <c r="W629" s="26">
        <f>IF($A629="","",ROUND(SUMIFS(出库单!$S$4:$S$4003,出库单!$D$4:$D$4003,$A629,出库单!$K$4:$K$4003,"退货给供应商",出库单!$U$4:$U$4003,"正常",出库单!$C$4:$C$4003,"&gt;="&amp;账期起,出库单!$C$4:$C$4003,"&lt;="&amp;账期止),0))</f>
        <v/>
      </c>
      <c r="X629" s="27">
        <f>IF($A629="","",ROUND(N($G629)+$I629+$L629+$N629-$P629-$R629-$T629-$V629,3))</f>
        <v/>
      </c>
      <c r="Y629" s="26">
        <f>IF($A629="","",ROUND(N($H629)+$J629+$M629+$O629-$Q629-$S629-$U629-$W629,0))</f>
        <v/>
      </c>
      <c r="Z629" s="24">
        <f>IF($A629="","",IF(COUNTIFS(入库单!$G$4:$G$2503,$A629,入库单!$Y$4:$Y$2503,"待补价")+COUNTIFS(入库单!$G$4:$G$2503,$A629,入库单!$Y$4:$Y$2503,"暂估")&gt;0,"不可信","可信"))</f>
        <v/>
      </c>
      <c r="AA629" s="24">
        <f>IF($A629="","",IF($X629&lt;-0.001,"※账面负库存，查一下是不是漏记入库",IF(AND(ROUND($X629,3)=0,ABS($Y629)&gt;1),"※数量已经是 0，金额还挂着 "&amp;TEXT($Y629,"#,##0")&amp;" 先令",IF(AND($X629&gt;0,$Y629&lt;=0,$K629=0),"※有数量没金额（这个物料一直没填过进价）",IF($Z629="不可信","△成本含待补价/暂估，毛利仅供参考","")))))</f>
        <v/>
      </c>
    </row>
    <row r="630">
      <c r="A630" s="24">
        <f>IF(物料档案!$A629="","",物料档案!$A629)</f>
        <v/>
      </c>
      <c r="B630" s="24">
        <f>IF($A630="","",IFERROR(VLOOKUP($A630,物料档案!$A$4:$P$1203,3,0),""))</f>
        <v/>
      </c>
      <c r="C630" s="24">
        <f>IF($A630="","",IFERROR(VLOOKUP($A630,物料档案!$A$4:$P$1203,4,0),""))</f>
        <v/>
      </c>
      <c r="D630" s="24">
        <f>IF($A630="","",IFERROR(VLOOKUP($A630,物料档案!$A$4:$P$1203,5,0),""))</f>
        <v/>
      </c>
      <c r="E630" s="24">
        <f>IF($A630="","",IFERROR(VLOOKUP($A630,物料档案!$A$4:$P$1203,2,0),""))</f>
        <v/>
      </c>
      <c r="F630" s="24">
        <f>IF($A630="","",IFERROR(VLOOKUP($A630,物料档案!$A$4:$P$1203,6,0),""))</f>
        <v/>
      </c>
      <c r="G630" s="23" t="n"/>
      <c r="H630" s="32" t="n"/>
      <c r="I630" s="27">
        <f>IF($A630="","",SUMIFS(入库单!$K$4:$K$2503,入库单!$G$4:$G$2503,$A630,入库单!$X$4:$X$2503,"采购入库",入库单!$Z$4:$Z$2503,"正常",入库单!$C$4:$C$2503,"&gt;="&amp;账期起,入库单!$C$4:$C$2503,"&lt;="&amp;账期止))</f>
        <v/>
      </c>
      <c r="J630" s="26">
        <f>IF($A630="","",SUMIFS(入库单!$V$4:$V$2503,入库单!$G$4:$G$2503,$A630,入库单!$X$4:$X$2503,"采购入库",入库单!$Z$4:$Z$2503,"正常",入库单!$C$4:$C$2503,"&gt;="&amp;账期起,入库单!$C$4:$C$2503,"&lt;="&amp;账期止))</f>
        <v/>
      </c>
      <c r="K630" s="26">
        <f>IF($A630="","",IFERROR(ROUND((N($H630)+N($J630))/(N($G630)+N($I630)),2),0))</f>
        <v/>
      </c>
      <c r="L630" s="27">
        <f>IF($A630="","",SUMIFS(入库单!$K$4:$K$2503,入库单!$G$4:$G$2503,$A630,入库单!$X$4:$X$2503,"盘盈",入库单!$Z$4:$Z$2503,"正常",入库单!$C$4:$C$2503,"&gt;="&amp;账期起,入库单!$C$4:$C$2503,"&lt;="&amp;账期止))</f>
        <v/>
      </c>
      <c r="M630" s="26">
        <f>IF($A630="","",ROUND($L630*$K630,0))</f>
        <v/>
      </c>
      <c r="N630" s="27">
        <f>IF($A630="","",SUMIFS(入库单!$K$4:$K$2503,入库单!$G$4:$G$2503,$A630,入库单!$X$4:$X$2503,"矿区退库",入库单!$Z$4:$Z$2503,"正常",入库单!$C$4:$C$2503,"&gt;="&amp;账期起,入库单!$C$4:$C$2503,"&lt;="&amp;账期止))</f>
        <v/>
      </c>
      <c r="O630" s="26">
        <f>IF($A630="","",ROUND($N630*$K630,0))</f>
        <v/>
      </c>
      <c r="P630" s="27">
        <f>IF($A630="","",SUMIFS(出库单!$J$4:$J$4003,出库单!$D$4:$D$4003,$A630,出库单!$K$4:$K$4003,"自用消耗",出库单!$U$4:$U$4003,"正常",出库单!$C$4:$C$4003,"&gt;="&amp;账期起,出库单!$C$4:$C$4003,"&lt;="&amp;账期止))</f>
        <v/>
      </c>
      <c r="Q630" s="26">
        <f>IF($A630="","",ROUND(SUMIFS(出库单!$S$4:$S$4003,出库单!$D$4:$D$4003,$A630,出库单!$K$4:$K$4003,"自用消耗",出库单!$U$4:$U$4003,"正常",出库单!$C$4:$C$4003,"&gt;="&amp;账期起,出库单!$C$4:$C$4003,"&lt;="&amp;账期止),0))</f>
        <v/>
      </c>
      <c r="R630" s="27">
        <f>IF($A630="","",SUMIFS(出库单!$J$4:$J$4003,出库单!$D$4:$D$4003,$A630,出库单!$K$4:$K$4003,"对外销售",出库单!$U$4:$U$4003,"正常",出库单!$C$4:$C$4003,"&gt;="&amp;账期起,出库单!$C$4:$C$4003,"&lt;="&amp;账期止))</f>
        <v/>
      </c>
      <c r="S630" s="26">
        <f>IF($A630="","",ROUND(SUMIFS(出库单!$S$4:$S$4003,出库单!$D$4:$D$4003,$A630,出库单!$K$4:$K$4003,"对外销售",出库单!$U$4:$U$4003,"正常",出库单!$C$4:$C$4003,"&gt;="&amp;账期起,出库单!$C$4:$C$4003,"&lt;="&amp;账期止),0))</f>
        <v/>
      </c>
      <c r="T630" s="27">
        <f>IF($A630="","",SUMIFS(出库单!$J$4:$J$4003,出库单!$D$4:$D$4003,$A630,出库单!$K$4:$K$4003,"盘亏",出库单!$U$4:$U$4003,"正常",出库单!$C$4:$C$4003,"&gt;="&amp;账期起,出库单!$C$4:$C$4003,"&lt;="&amp;账期止))</f>
        <v/>
      </c>
      <c r="U630" s="26">
        <f>IF($A630="","",ROUND(SUMIFS(出库单!$S$4:$S$4003,出库单!$D$4:$D$4003,$A630,出库单!$K$4:$K$4003,"盘亏",出库单!$U$4:$U$4003,"正常",出库单!$C$4:$C$4003,"&gt;="&amp;账期起,出库单!$C$4:$C$4003,"&lt;="&amp;账期止),0))</f>
        <v/>
      </c>
      <c r="V630" s="27">
        <f>IF($A630="","",SUMIFS(出库单!$J$4:$J$4003,出库单!$D$4:$D$4003,$A630,出库单!$K$4:$K$4003,"退货给供应商",出库单!$U$4:$U$4003,"正常",出库单!$C$4:$C$4003,"&gt;="&amp;账期起,出库单!$C$4:$C$4003,"&lt;="&amp;账期止))</f>
        <v/>
      </c>
      <c r="W630" s="26">
        <f>IF($A630="","",ROUND(SUMIFS(出库单!$S$4:$S$4003,出库单!$D$4:$D$4003,$A630,出库单!$K$4:$K$4003,"退货给供应商",出库单!$U$4:$U$4003,"正常",出库单!$C$4:$C$4003,"&gt;="&amp;账期起,出库单!$C$4:$C$4003,"&lt;="&amp;账期止),0))</f>
        <v/>
      </c>
      <c r="X630" s="27">
        <f>IF($A630="","",ROUND(N($G630)+$I630+$L630+$N630-$P630-$R630-$T630-$V630,3))</f>
        <v/>
      </c>
      <c r="Y630" s="26">
        <f>IF($A630="","",ROUND(N($H630)+$J630+$M630+$O630-$Q630-$S630-$U630-$W630,0))</f>
        <v/>
      </c>
      <c r="Z630" s="24">
        <f>IF($A630="","",IF(COUNTIFS(入库单!$G$4:$G$2503,$A630,入库单!$Y$4:$Y$2503,"待补价")+COUNTIFS(入库单!$G$4:$G$2503,$A630,入库单!$Y$4:$Y$2503,"暂估")&gt;0,"不可信","可信"))</f>
        <v/>
      </c>
      <c r="AA630" s="24">
        <f>IF($A630="","",IF($X630&lt;-0.001,"※账面负库存，查一下是不是漏记入库",IF(AND(ROUND($X630,3)=0,ABS($Y630)&gt;1),"※数量已经是 0，金额还挂着 "&amp;TEXT($Y630,"#,##0")&amp;" 先令",IF(AND($X630&gt;0,$Y630&lt;=0,$K630=0),"※有数量没金额（这个物料一直没填过进价）",IF($Z630="不可信","△成本含待补价/暂估，毛利仅供参考","")))))</f>
        <v/>
      </c>
    </row>
    <row r="631">
      <c r="A631" s="24">
        <f>IF(物料档案!$A630="","",物料档案!$A630)</f>
        <v/>
      </c>
      <c r="B631" s="24">
        <f>IF($A631="","",IFERROR(VLOOKUP($A631,物料档案!$A$4:$P$1203,3,0),""))</f>
        <v/>
      </c>
      <c r="C631" s="24">
        <f>IF($A631="","",IFERROR(VLOOKUP($A631,物料档案!$A$4:$P$1203,4,0),""))</f>
        <v/>
      </c>
      <c r="D631" s="24">
        <f>IF($A631="","",IFERROR(VLOOKUP($A631,物料档案!$A$4:$P$1203,5,0),""))</f>
        <v/>
      </c>
      <c r="E631" s="24">
        <f>IF($A631="","",IFERROR(VLOOKUP($A631,物料档案!$A$4:$P$1203,2,0),""))</f>
        <v/>
      </c>
      <c r="F631" s="24">
        <f>IF($A631="","",IFERROR(VLOOKUP($A631,物料档案!$A$4:$P$1203,6,0),""))</f>
        <v/>
      </c>
      <c r="G631" s="23" t="n"/>
      <c r="H631" s="32" t="n"/>
      <c r="I631" s="27">
        <f>IF($A631="","",SUMIFS(入库单!$K$4:$K$2503,入库单!$G$4:$G$2503,$A631,入库单!$X$4:$X$2503,"采购入库",入库单!$Z$4:$Z$2503,"正常",入库单!$C$4:$C$2503,"&gt;="&amp;账期起,入库单!$C$4:$C$2503,"&lt;="&amp;账期止))</f>
        <v/>
      </c>
      <c r="J631" s="26">
        <f>IF($A631="","",SUMIFS(入库单!$V$4:$V$2503,入库单!$G$4:$G$2503,$A631,入库单!$X$4:$X$2503,"采购入库",入库单!$Z$4:$Z$2503,"正常",入库单!$C$4:$C$2503,"&gt;="&amp;账期起,入库单!$C$4:$C$2503,"&lt;="&amp;账期止))</f>
        <v/>
      </c>
      <c r="K631" s="26">
        <f>IF($A631="","",IFERROR(ROUND((N($H631)+N($J631))/(N($G631)+N($I631)),2),0))</f>
        <v/>
      </c>
      <c r="L631" s="27">
        <f>IF($A631="","",SUMIFS(入库单!$K$4:$K$2503,入库单!$G$4:$G$2503,$A631,入库单!$X$4:$X$2503,"盘盈",入库单!$Z$4:$Z$2503,"正常",入库单!$C$4:$C$2503,"&gt;="&amp;账期起,入库单!$C$4:$C$2503,"&lt;="&amp;账期止))</f>
        <v/>
      </c>
      <c r="M631" s="26">
        <f>IF($A631="","",ROUND($L631*$K631,0))</f>
        <v/>
      </c>
      <c r="N631" s="27">
        <f>IF($A631="","",SUMIFS(入库单!$K$4:$K$2503,入库单!$G$4:$G$2503,$A631,入库单!$X$4:$X$2503,"矿区退库",入库单!$Z$4:$Z$2503,"正常",入库单!$C$4:$C$2503,"&gt;="&amp;账期起,入库单!$C$4:$C$2503,"&lt;="&amp;账期止))</f>
        <v/>
      </c>
      <c r="O631" s="26">
        <f>IF($A631="","",ROUND($N631*$K631,0))</f>
        <v/>
      </c>
      <c r="P631" s="27">
        <f>IF($A631="","",SUMIFS(出库单!$J$4:$J$4003,出库单!$D$4:$D$4003,$A631,出库单!$K$4:$K$4003,"自用消耗",出库单!$U$4:$U$4003,"正常",出库单!$C$4:$C$4003,"&gt;="&amp;账期起,出库单!$C$4:$C$4003,"&lt;="&amp;账期止))</f>
        <v/>
      </c>
      <c r="Q631" s="26">
        <f>IF($A631="","",ROUND(SUMIFS(出库单!$S$4:$S$4003,出库单!$D$4:$D$4003,$A631,出库单!$K$4:$K$4003,"自用消耗",出库单!$U$4:$U$4003,"正常",出库单!$C$4:$C$4003,"&gt;="&amp;账期起,出库单!$C$4:$C$4003,"&lt;="&amp;账期止),0))</f>
        <v/>
      </c>
      <c r="R631" s="27">
        <f>IF($A631="","",SUMIFS(出库单!$J$4:$J$4003,出库单!$D$4:$D$4003,$A631,出库单!$K$4:$K$4003,"对外销售",出库单!$U$4:$U$4003,"正常",出库单!$C$4:$C$4003,"&gt;="&amp;账期起,出库单!$C$4:$C$4003,"&lt;="&amp;账期止))</f>
        <v/>
      </c>
      <c r="S631" s="26">
        <f>IF($A631="","",ROUND(SUMIFS(出库单!$S$4:$S$4003,出库单!$D$4:$D$4003,$A631,出库单!$K$4:$K$4003,"对外销售",出库单!$U$4:$U$4003,"正常",出库单!$C$4:$C$4003,"&gt;="&amp;账期起,出库单!$C$4:$C$4003,"&lt;="&amp;账期止),0))</f>
        <v/>
      </c>
      <c r="T631" s="27">
        <f>IF($A631="","",SUMIFS(出库单!$J$4:$J$4003,出库单!$D$4:$D$4003,$A631,出库单!$K$4:$K$4003,"盘亏",出库单!$U$4:$U$4003,"正常",出库单!$C$4:$C$4003,"&gt;="&amp;账期起,出库单!$C$4:$C$4003,"&lt;="&amp;账期止))</f>
        <v/>
      </c>
      <c r="U631" s="26">
        <f>IF($A631="","",ROUND(SUMIFS(出库单!$S$4:$S$4003,出库单!$D$4:$D$4003,$A631,出库单!$K$4:$K$4003,"盘亏",出库单!$U$4:$U$4003,"正常",出库单!$C$4:$C$4003,"&gt;="&amp;账期起,出库单!$C$4:$C$4003,"&lt;="&amp;账期止),0))</f>
        <v/>
      </c>
      <c r="V631" s="27">
        <f>IF($A631="","",SUMIFS(出库单!$J$4:$J$4003,出库单!$D$4:$D$4003,$A631,出库单!$K$4:$K$4003,"退货给供应商",出库单!$U$4:$U$4003,"正常",出库单!$C$4:$C$4003,"&gt;="&amp;账期起,出库单!$C$4:$C$4003,"&lt;="&amp;账期止))</f>
        <v/>
      </c>
      <c r="W631" s="26">
        <f>IF($A631="","",ROUND(SUMIFS(出库单!$S$4:$S$4003,出库单!$D$4:$D$4003,$A631,出库单!$K$4:$K$4003,"退货给供应商",出库单!$U$4:$U$4003,"正常",出库单!$C$4:$C$4003,"&gt;="&amp;账期起,出库单!$C$4:$C$4003,"&lt;="&amp;账期止),0))</f>
        <v/>
      </c>
      <c r="X631" s="27">
        <f>IF($A631="","",ROUND(N($G631)+$I631+$L631+$N631-$P631-$R631-$T631-$V631,3))</f>
        <v/>
      </c>
      <c r="Y631" s="26">
        <f>IF($A631="","",ROUND(N($H631)+$J631+$M631+$O631-$Q631-$S631-$U631-$W631,0))</f>
        <v/>
      </c>
      <c r="Z631" s="24">
        <f>IF($A631="","",IF(COUNTIFS(入库单!$G$4:$G$2503,$A631,入库单!$Y$4:$Y$2503,"待补价")+COUNTIFS(入库单!$G$4:$G$2503,$A631,入库单!$Y$4:$Y$2503,"暂估")&gt;0,"不可信","可信"))</f>
        <v/>
      </c>
      <c r="AA631" s="24">
        <f>IF($A631="","",IF($X631&lt;-0.001,"※账面负库存，查一下是不是漏记入库",IF(AND(ROUND($X631,3)=0,ABS($Y631)&gt;1),"※数量已经是 0，金额还挂着 "&amp;TEXT($Y631,"#,##0")&amp;" 先令",IF(AND($X631&gt;0,$Y631&lt;=0,$K631=0),"※有数量没金额（这个物料一直没填过进价）",IF($Z631="不可信","△成本含待补价/暂估，毛利仅供参考","")))))</f>
        <v/>
      </c>
    </row>
    <row r="632">
      <c r="A632" s="24">
        <f>IF(物料档案!$A631="","",物料档案!$A631)</f>
        <v/>
      </c>
      <c r="B632" s="24">
        <f>IF($A632="","",IFERROR(VLOOKUP($A632,物料档案!$A$4:$P$1203,3,0),""))</f>
        <v/>
      </c>
      <c r="C632" s="24">
        <f>IF($A632="","",IFERROR(VLOOKUP($A632,物料档案!$A$4:$P$1203,4,0),""))</f>
        <v/>
      </c>
      <c r="D632" s="24">
        <f>IF($A632="","",IFERROR(VLOOKUP($A632,物料档案!$A$4:$P$1203,5,0),""))</f>
        <v/>
      </c>
      <c r="E632" s="24">
        <f>IF($A632="","",IFERROR(VLOOKUP($A632,物料档案!$A$4:$P$1203,2,0),""))</f>
        <v/>
      </c>
      <c r="F632" s="24">
        <f>IF($A632="","",IFERROR(VLOOKUP($A632,物料档案!$A$4:$P$1203,6,0),""))</f>
        <v/>
      </c>
      <c r="G632" s="23" t="n"/>
      <c r="H632" s="32" t="n"/>
      <c r="I632" s="27">
        <f>IF($A632="","",SUMIFS(入库单!$K$4:$K$2503,入库单!$G$4:$G$2503,$A632,入库单!$X$4:$X$2503,"采购入库",入库单!$Z$4:$Z$2503,"正常",入库单!$C$4:$C$2503,"&gt;="&amp;账期起,入库单!$C$4:$C$2503,"&lt;="&amp;账期止))</f>
        <v/>
      </c>
      <c r="J632" s="26">
        <f>IF($A632="","",SUMIFS(入库单!$V$4:$V$2503,入库单!$G$4:$G$2503,$A632,入库单!$X$4:$X$2503,"采购入库",入库单!$Z$4:$Z$2503,"正常",入库单!$C$4:$C$2503,"&gt;="&amp;账期起,入库单!$C$4:$C$2503,"&lt;="&amp;账期止))</f>
        <v/>
      </c>
      <c r="K632" s="26">
        <f>IF($A632="","",IFERROR(ROUND((N($H632)+N($J632))/(N($G632)+N($I632)),2),0))</f>
        <v/>
      </c>
      <c r="L632" s="27">
        <f>IF($A632="","",SUMIFS(入库单!$K$4:$K$2503,入库单!$G$4:$G$2503,$A632,入库单!$X$4:$X$2503,"盘盈",入库单!$Z$4:$Z$2503,"正常",入库单!$C$4:$C$2503,"&gt;="&amp;账期起,入库单!$C$4:$C$2503,"&lt;="&amp;账期止))</f>
        <v/>
      </c>
      <c r="M632" s="26">
        <f>IF($A632="","",ROUND($L632*$K632,0))</f>
        <v/>
      </c>
      <c r="N632" s="27">
        <f>IF($A632="","",SUMIFS(入库单!$K$4:$K$2503,入库单!$G$4:$G$2503,$A632,入库单!$X$4:$X$2503,"矿区退库",入库单!$Z$4:$Z$2503,"正常",入库单!$C$4:$C$2503,"&gt;="&amp;账期起,入库单!$C$4:$C$2503,"&lt;="&amp;账期止))</f>
        <v/>
      </c>
      <c r="O632" s="26">
        <f>IF($A632="","",ROUND($N632*$K632,0))</f>
        <v/>
      </c>
      <c r="P632" s="27">
        <f>IF($A632="","",SUMIFS(出库单!$J$4:$J$4003,出库单!$D$4:$D$4003,$A632,出库单!$K$4:$K$4003,"自用消耗",出库单!$U$4:$U$4003,"正常",出库单!$C$4:$C$4003,"&gt;="&amp;账期起,出库单!$C$4:$C$4003,"&lt;="&amp;账期止))</f>
        <v/>
      </c>
      <c r="Q632" s="26">
        <f>IF($A632="","",ROUND(SUMIFS(出库单!$S$4:$S$4003,出库单!$D$4:$D$4003,$A632,出库单!$K$4:$K$4003,"自用消耗",出库单!$U$4:$U$4003,"正常",出库单!$C$4:$C$4003,"&gt;="&amp;账期起,出库单!$C$4:$C$4003,"&lt;="&amp;账期止),0))</f>
        <v/>
      </c>
      <c r="R632" s="27">
        <f>IF($A632="","",SUMIFS(出库单!$J$4:$J$4003,出库单!$D$4:$D$4003,$A632,出库单!$K$4:$K$4003,"对外销售",出库单!$U$4:$U$4003,"正常",出库单!$C$4:$C$4003,"&gt;="&amp;账期起,出库单!$C$4:$C$4003,"&lt;="&amp;账期止))</f>
        <v/>
      </c>
      <c r="S632" s="26">
        <f>IF($A632="","",ROUND(SUMIFS(出库单!$S$4:$S$4003,出库单!$D$4:$D$4003,$A632,出库单!$K$4:$K$4003,"对外销售",出库单!$U$4:$U$4003,"正常",出库单!$C$4:$C$4003,"&gt;="&amp;账期起,出库单!$C$4:$C$4003,"&lt;="&amp;账期止),0))</f>
        <v/>
      </c>
      <c r="T632" s="27">
        <f>IF($A632="","",SUMIFS(出库单!$J$4:$J$4003,出库单!$D$4:$D$4003,$A632,出库单!$K$4:$K$4003,"盘亏",出库单!$U$4:$U$4003,"正常",出库单!$C$4:$C$4003,"&gt;="&amp;账期起,出库单!$C$4:$C$4003,"&lt;="&amp;账期止))</f>
        <v/>
      </c>
      <c r="U632" s="26">
        <f>IF($A632="","",ROUND(SUMIFS(出库单!$S$4:$S$4003,出库单!$D$4:$D$4003,$A632,出库单!$K$4:$K$4003,"盘亏",出库单!$U$4:$U$4003,"正常",出库单!$C$4:$C$4003,"&gt;="&amp;账期起,出库单!$C$4:$C$4003,"&lt;="&amp;账期止),0))</f>
        <v/>
      </c>
      <c r="V632" s="27">
        <f>IF($A632="","",SUMIFS(出库单!$J$4:$J$4003,出库单!$D$4:$D$4003,$A632,出库单!$K$4:$K$4003,"退货给供应商",出库单!$U$4:$U$4003,"正常",出库单!$C$4:$C$4003,"&gt;="&amp;账期起,出库单!$C$4:$C$4003,"&lt;="&amp;账期止))</f>
        <v/>
      </c>
      <c r="W632" s="26">
        <f>IF($A632="","",ROUND(SUMIFS(出库单!$S$4:$S$4003,出库单!$D$4:$D$4003,$A632,出库单!$K$4:$K$4003,"退货给供应商",出库单!$U$4:$U$4003,"正常",出库单!$C$4:$C$4003,"&gt;="&amp;账期起,出库单!$C$4:$C$4003,"&lt;="&amp;账期止),0))</f>
        <v/>
      </c>
      <c r="X632" s="27">
        <f>IF($A632="","",ROUND(N($G632)+$I632+$L632+$N632-$P632-$R632-$T632-$V632,3))</f>
        <v/>
      </c>
      <c r="Y632" s="26">
        <f>IF($A632="","",ROUND(N($H632)+$J632+$M632+$O632-$Q632-$S632-$U632-$W632,0))</f>
        <v/>
      </c>
      <c r="Z632" s="24">
        <f>IF($A632="","",IF(COUNTIFS(入库单!$G$4:$G$2503,$A632,入库单!$Y$4:$Y$2503,"待补价")+COUNTIFS(入库单!$G$4:$G$2503,$A632,入库单!$Y$4:$Y$2503,"暂估")&gt;0,"不可信","可信"))</f>
        <v/>
      </c>
      <c r="AA632" s="24">
        <f>IF($A632="","",IF($X632&lt;-0.001,"※账面负库存，查一下是不是漏记入库",IF(AND(ROUND($X632,3)=0,ABS($Y632)&gt;1),"※数量已经是 0，金额还挂着 "&amp;TEXT($Y632,"#,##0")&amp;" 先令",IF(AND($X632&gt;0,$Y632&lt;=0,$K632=0),"※有数量没金额（这个物料一直没填过进价）",IF($Z632="不可信","△成本含待补价/暂估，毛利仅供参考","")))))</f>
        <v/>
      </c>
    </row>
    <row r="633">
      <c r="A633" s="24">
        <f>IF(物料档案!$A632="","",物料档案!$A632)</f>
        <v/>
      </c>
      <c r="B633" s="24">
        <f>IF($A633="","",IFERROR(VLOOKUP($A633,物料档案!$A$4:$P$1203,3,0),""))</f>
        <v/>
      </c>
      <c r="C633" s="24">
        <f>IF($A633="","",IFERROR(VLOOKUP($A633,物料档案!$A$4:$P$1203,4,0),""))</f>
        <v/>
      </c>
      <c r="D633" s="24">
        <f>IF($A633="","",IFERROR(VLOOKUP($A633,物料档案!$A$4:$P$1203,5,0),""))</f>
        <v/>
      </c>
      <c r="E633" s="24">
        <f>IF($A633="","",IFERROR(VLOOKUP($A633,物料档案!$A$4:$P$1203,2,0),""))</f>
        <v/>
      </c>
      <c r="F633" s="24">
        <f>IF($A633="","",IFERROR(VLOOKUP($A633,物料档案!$A$4:$P$1203,6,0),""))</f>
        <v/>
      </c>
      <c r="G633" s="23" t="n"/>
      <c r="H633" s="32" t="n"/>
      <c r="I633" s="27">
        <f>IF($A633="","",SUMIFS(入库单!$K$4:$K$2503,入库单!$G$4:$G$2503,$A633,入库单!$X$4:$X$2503,"采购入库",入库单!$Z$4:$Z$2503,"正常",入库单!$C$4:$C$2503,"&gt;="&amp;账期起,入库单!$C$4:$C$2503,"&lt;="&amp;账期止))</f>
        <v/>
      </c>
      <c r="J633" s="26">
        <f>IF($A633="","",SUMIFS(入库单!$V$4:$V$2503,入库单!$G$4:$G$2503,$A633,入库单!$X$4:$X$2503,"采购入库",入库单!$Z$4:$Z$2503,"正常",入库单!$C$4:$C$2503,"&gt;="&amp;账期起,入库单!$C$4:$C$2503,"&lt;="&amp;账期止))</f>
        <v/>
      </c>
      <c r="K633" s="26">
        <f>IF($A633="","",IFERROR(ROUND((N($H633)+N($J633))/(N($G633)+N($I633)),2),0))</f>
        <v/>
      </c>
      <c r="L633" s="27">
        <f>IF($A633="","",SUMIFS(入库单!$K$4:$K$2503,入库单!$G$4:$G$2503,$A633,入库单!$X$4:$X$2503,"盘盈",入库单!$Z$4:$Z$2503,"正常",入库单!$C$4:$C$2503,"&gt;="&amp;账期起,入库单!$C$4:$C$2503,"&lt;="&amp;账期止))</f>
        <v/>
      </c>
      <c r="M633" s="26">
        <f>IF($A633="","",ROUND($L633*$K633,0))</f>
        <v/>
      </c>
      <c r="N633" s="27">
        <f>IF($A633="","",SUMIFS(入库单!$K$4:$K$2503,入库单!$G$4:$G$2503,$A633,入库单!$X$4:$X$2503,"矿区退库",入库单!$Z$4:$Z$2503,"正常",入库单!$C$4:$C$2503,"&gt;="&amp;账期起,入库单!$C$4:$C$2503,"&lt;="&amp;账期止))</f>
        <v/>
      </c>
      <c r="O633" s="26">
        <f>IF($A633="","",ROUND($N633*$K633,0))</f>
        <v/>
      </c>
      <c r="P633" s="27">
        <f>IF($A633="","",SUMIFS(出库单!$J$4:$J$4003,出库单!$D$4:$D$4003,$A633,出库单!$K$4:$K$4003,"自用消耗",出库单!$U$4:$U$4003,"正常",出库单!$C$4:$C$4003,"&gt;="&amp;账期起,出库单!$C$4:$C$4003,"&lt;="&amp;账期止))</f>
        <v/>
      </c>
      <c r="Q633" s="26">
        <f>IF($A633="","",ROUND(SUMIFS(出库单!$S$4:$S$4003,出库单!$D$4:$D$4003,$A633,出库单!$K$4:$K$4003,"自用消耗",出库单!$U$4:$U$4003,"正常",出库单!$C$4:$C$4003,"&gt;="&amp;账期起,出库单!$C$4:$C$4003,"&lt;="&amp;账期止),0))</f>
        <v/>
      </c>
      <c r="R633" s="27">
        <f>IF($A633="","",SUMIFS(出库单!$J$4:$J$4003,出库单!$D$4:$D$4003,$A633,出库单!$K$4:$K$4003,"对外销售",出库单!$U$4:$U$4003,"正常",出库单!$C$4:$C$4003,"&gt;="&amp;账期起,出库单!$C$4:$C$4003,"&lt;="&amp;账期止))</f>
        <v/>
      </c>
      <c r="S633" s="26">
        <f>IF($A633="","",ROUND(SUMIFS(出库单!$S$4:$S$4003,出库单!$D$4:$D$4003,$A633,出库单!$K$4:$K$4003,"对外销售",出库单!$U$4:$U$4003,"正常",出库单!$C$4:$C$4003,"&gt;="&amp;账期起,出库单!$C$4:$C$4003,"&lt;="&amp;账期止),0))</f>
        <v/>
      </c>
      <c r="T633" s="27">
        <f>IF($A633="","",SUMIFS(出库单!$J$4:$J$4003,出库单!$D$4:$D$4003,$A633,出库单!$K$4:$K$4003,"盘亏",出库单!$U$4:$U$4003,"正常",出库单!$C$4:$C$4003,"&gt;="&amp;账期起,出库单!$C$4:$C$4003,"&lt;="&amp;账期止))</f>
        <v/>
      </c>
      <c r="U633" s="26">
        <f>IF($A633="","",ROUND(SUMIFS(出库单!$S$4:$S$4003,出库单!$D$4:$D$4003,$A633,出库单!$K$4:$K$4003,"盘亏",出库单!$U$4:$U$4003,"正常",出库单!$C$4:$C$4003,"&gt;="&amp;账期起,出库单!$C$4:$C$4003,"&lt;="&amp;账期止),0))</f>
        <v/>
      </c>
      <c r="V633" s="27">
        <f>IF($A633="","",SUMIFS(出库单!$J$4:$J$4003,出库单!$D$4:$D$4003,$A633,出库单!$K$4:$K$4003,"退货给供应商",出库单!$U$4:$U$4003,"正常",出库单!$C$4:$C$4003,"&gt;="&amp;账期起,出库单!$C$4:$C$4003,"&lt;="&amp;账期止))</f>
        <v/>
      </c>
      <c r="W633" s="26">
        <f>IF($A633="","",ROUND(SUMIFS(出库单!$S$4:$S$4003,出库单!$D$4:$D$4003,$A633,出库单!$K$4:$K$4003,"退货给供应商",出库单!$U$4:$U$4003,"正常",出库单!$C$4:$C$4003,"&gt;="&amp;账期起,出库单!$C$4:$C$4003,"&lt;="&amp;账期止),0))</f>
        <v/>
      </c>
      <c r="X633" s="27">
        <f>IF($A633="","",ROUND(N($G633)+$I633+$L633+$N633-$P633-$R633-$T633-$V633,3))</f>
        <v/>
      </c>
      <c r="Y633" s="26">
        <f>IF($A633="","",ROUND(N($H633)+$J633+$M633+$O633-$Q633-$S633-$U633-$W633,0))</f>
        <v/>
      </c>
      <c r="Z633" s="24">
        <f>IF($A633="","",IF(COUNTIFS(入库单!$G$4:$G$2503,$A633,入库单!$Y$4:$Y$2503,"待补价")+COUNTIFS(入库单!$G$4:$G$2503,$A633,入库单!$Y$4:$Y$2503,"暂估")&gt;0,"不可信","可信"))</f>
        <v/>
      </c>
      <c r="AA633" s="24">
        <f>IF($A633="","",IF($X633&lt;-0.001,"※账面负库存，查一下是不是漏记入库",IF(AND(ROUND($X633,3)=0,ABS($Y633)&gt;1),"※数量已经是 0，金额还挂着 "&amp;TEXT($Y633,"#,##0")&amp;" 先令",IF(AND($X633&gt;0,$Y633&lt;=0,$K633=0),"※有数量没金额（这个物料一直没填过进价）",IF($Z633="不可信","△成本含待补价/暂估，毛利仅供参考","")))))</f>
        <v/>
      </c>
    </row>
    <row r="634">
      <c r="A634" s="24">
        <f>IF(物料档案!$A633="","",物料档案!$A633)</f>
        <v/>
      </c>
      <c r="B634" s="24">
        <f>IF($A634="","",IFERROR(VLOOKUP($A634,物料档案!$A$4:$P$1203,3,0),""))</f>
        <v/>
      </c>
      <c r="C634" s="24">
        <f>IF($A634="","",IFERROR(VLOOKUP($A634,物料档案!$A$4:$P$1203,4,0),""))</f>
        <v/>
      </c>
      <c r="D634" s="24">
        <f>IF($A634="","",IFERROR(VLOOKUP($A634,物料档案!$A$4:$P$1203,5,0),""))</f>
        <v/>
      </c>
      <c r="E634" s="24">
        <f>IF($A634="","",IFERROR(VLOOKUP($A634,物料档案!$A$4:$P$1203,2,0),""))</f>
        <v/>
      </c>
      <c r="F634" s="24">
        <f>IF($A634="","",IFERROR(VLOOKUP($A634,物料档案!$A$4:$P$1203,6,0),""))</f>
        <v/>
      </c>
      <c r="G634" s="23" t="n"/>
      <c r="H634" s="32" t="n"/>
      <c r="I634" s="27">
        <f>IF($A634="","",SUMIFS(入库单!$K$4:$K$2503,入库单!$G$4:$G$2503,$A634,入库单!$X$4:$X$2503,"采购入库",入库单!$Z$4:$Z$2503,"正常",入库单!$C$4:$C$2503,"&gt;="&amp;账期起,入库单!$C$4:$C$2503,"&lt;="&amp;账期止))</f>
        <v/>
      </c>
      <c r="J634" s="26">
        <f>IF($A634="","",SUMIFS(入库单!$V$4:$V$2503,入库单!$G$4:$G$2503,$A634,入库单!$X$4:$X$2503,"采购入库",入库单!$Z$4:$Z$2503,"正常",入库单!$C$4:$C$2503,"&gt;="&amp;账期起,入库单!$C$4:$C$2503,"&lt;="&amp;账期止))</f>
        <v/>
      </c>
      <c r="K634" s="26">
        <f>IF($A634="","",IFERROR(ROUND((N($H634)+N($J634))/(N($G634)+N($I634)),2),0))</f>
        <v/>
      </c>
      <c r="L634" s="27">
        <f>IF($A634="","",SUMIFS(入库单!$K$4:$K$2503,入库单!$G$4:$G$2503,$A634,入库单!$X$4:$X$2503,"盘盈",入库单!$Z$4:$Z$2503,"正常",入库单!$C$4:$C$2503,"&gt;="&amp;账期起,入库单!$C$4:$C$2503,"&lt;="&amp;账期止))</f>
        <v/>
      </c>
      <c r="M634" s="26">
        <f>IF($A634="","",ROUND($L634*$K634,0))</f>
        <v/>
      </c>
      <c r="N634" s="27">
        <f>IF($A634="","",SUMIFS(入库单!$K$4:$K$2503,入库单!$G$4:$G$2503,$A634,入库单!$X$4:$X$2503,"矿区退库",入库单!$Z$4:$Z$2503,"正常",入库单!$C$4:$C$2503,"&gt;="&amp;账期起,入库单!$C$4:$C$2503,"&lt;="&amp;账期止))</f>
        <v/>
      </c>
      <c r="O634" s="26">
        <f>IF($A634="","",ROUND($N634*$K634,0))</f>
        <v/>
      </c>
      <c r="P634" s="27">
        <f>IF($A634="","",SUMIFS(出库单!$J$4:$J$4003,出库单!$D$4:$D$4003,$A634,出库单!$K$4:$K$4003,"自用消耗",出库单!$U$4:$U$4003,"正常",出库单!$C$4:$C$4003,"&gt;="&amp;账期起,出库单!$C$4:$C$4003,"&lt;="&amp;账期止))</f>
        <v/>
      </c>
      <c r="Q634" s="26">
        <f>IF($A634="","",ROUND(SUMIFS(出库单!$S$4:$S$4003,出库单!$D$4:$D$4003,$A634,出库单!$K$4:$K$4003,"自用消耗",出库单!$U$4:$U$4003,"正常",出库单!$C$4:$C$4003,"&gt;="&amp;账期起,出库单!$C$4:$C$4003,"&lt;="&amp;账期止),0))</f>
        <v/>
      </c>
      <c r="R634" s="27">
        <f>IF($A634="","",SUMIFS(出库单!$J$4:$J$4003,出库单!$D$4:$D$4003,$A634,出库单!$K$4:$K$4003,"对外销售",出库单!$U$4:$U$4003,"正常",出库单!$C$4:$C$4003,"&gt;="&amp;账期起,出库单!$C$4:$C$4003,"&lt;="&amp;账期止))</f>
        <v/>
      </c>
      <c r="S634" s="26">
        <f>IF($A634="","",ROUND(SUMIFS(出库单!$S$4:$S$4003,出库单!$D$4:$D$4003,$A634,出库单!$K$4:$K$4003,"对外销售",出库单!$U$4:$U$4003,"正常",出库单!$C$4:$C$4003,"&gt;="&amp;账期起,出库单!$C$4:$C$4003,"&lt;="&amp;账期止),0))</f>
        <v/>
      </c>
      <c r="T634" s="27">
        <f>IF($A634="","",SUMIFS(出库单!$J$4:$J$4003,出库单!$D$4:$D$4003,$A634,出库单!$K$4:$K$4003,"盘亏",出库单!$U$4:$U$4003,"正常",出库单!$C$4:$C$4003,"&gt;="&amp;账期起,出库单!$C$4:$C$4003,"&lt;="&amp;账期止))</f>
        <v/>
      </c>
      <c r="U634" s="26">
        <f>IF($A634="","",ROUND(SUMIFS(出库单!$S$4:$S$4003,出库单!$D$4:$D$4003,$A634,出库单!$K$4:$K$4003,"盘亏",出库单!$U$4:$U$4003,"正常",出库单!$C$4:$C$4003,"&gt;="&amp;账期起,出库单!$C$4:$C$4003,"&lt;="&amp;账期止),0))</f>
        <v/>
      </c>
      <c r="V634" s="27">
        <f>IF($A634="","",SUMIFS(出库单!$J$4:$J$4003,出库单!$D$4:$D$4003,$A634,出库单!$K$4:$K$4003,"退货给供应商",出库单!$U$4:$U$4003,"正常",出库单!$C$4:$C$4003,"&gt;="&amp;账期起,出库单!$C$4:$C$4003,"&lt;="&amp;账期止))</f>
        <v/>
      </c>
      <c r="W634" s="26">
        <f>IF($A634="","",ROUND(SUMIFS(出库单!$S$4:$S$4003,出库单!$D$4:$D$4003,$A634,出库单!$K$4:$K$4003,"退货给供应商",出库单!$U$4:$U$4003,"正常",出库单!$C$4:$C$4003,"&gt;="&amp;账期起,出库单!$C$4:$C$4003,"&lt;="&amp;账期止),0))</f>
        <v/>
      </c>
      <c r="X634" s="27">
        <f>IF($A634="","",ROUND(N($G634)+$I634+$L634+$N634-$P634-$R634-$T634-$V634,3))</f>
        <v/>
      </c>
      <c r="Y634" s="26">
        <f>IF($A634="","",ROUND(N($H634)+$J634+$M634+$O634-$Q634-$S634-$U634-$W634,0))</f>
        <v/>
      </c>
      <c r="Z634" s="24">
        <f>IF($A634="","",IF(COUNTIFS(入库单!$G$4:$G$2503,$A634,入库单!$Y$4:$Y$2503,"待补价")+COUNTIFS(入库单!$G$4:$G$2503,$A634,入库单!$Y$4:$Y$2503,"暂估")&gt;0,"不可信","可信"))</f>
        <v/>
      </c>
      <c r="AA634" s="24">
        <f>IF($A634="","",IF($X634&lt;-0.001,"※账面负库存，查一下是不是漏记入库",IF(AND(ROUND($X634,3)=0,ABS($Y634)&gt;1),"※数量已经是 0，金额还挂着 "&amp;TEXT($Y634,"#,##0")&amp;" 先令",IF(AND($X634&gt;0,$Y634&lt;=0,$K634=0),"※有数量没金额（这个物料一直没填过进价）",IF($Z634="不可信","△成本含待补价/暂估，毛利仅供参考","")))))</f>
        <v/>
      </c>
    </row>
    <row r="635">
      <c r="A635" s="24">
        <f>IF(物料档案!$A634="","",物料档案!$A634)</f>
        <v/>
      </c>
      <c r="B635" s="24">
        <f>IF($A635="","",IFERROR(VLOOKUP($A635,物料档案!$A$4:$P$1203,3,0),""))</f>
        <v/>
      </c>
      <c r="C635" s="24">
        <f>IF($A635="","",IFERROR(VLOOKUP($A635,物料档案!$A$4:$P$1203,4,0),""))</f>
        <v/>
      </c>
      <c r="D635" s="24">
        <f>IF($A635="","",IFERROR(VLOOKUP($A635,物料档案!$A$4:$P$1203,5,0),""))</f>
        <v/>
      </c>
      <c r="E635" s="24">
        <f>IF($A635="","",IFERROR(VLOOKUP($A635,物料档案!$A$4:$P$1203,2,0),""))</f>
        <v/>
      </c>
      <c r="F635" s="24">
        <f>IF($A635="","",IFERROR(VLOOKUP($A635,物料档案!$A$4:$P$1203,6,0),""))</f>
        <v/>
      </c>
      <c r="G635" s="23" t="n"/>
      <c r="H635" s="32" t="n"/>
      <c r="I635" s="27">
        <f>IF($A635="","",SUMIFS(入库单!$K$4:$K$2503,入库单!$G$4:$G$2503,$A635,入库单!$X$4:$X$2503,"采购入库",入库单!$Z$4:$Z$2503,"正常",入库单!$C$4:$C$2503,"&gt;="&amp;账期起,入库单!$C$4:$C$2503,"&lt;="&amp;账期止))</f>
        <v/>
      </c>
      <c r="J635" s="26">
        <f>IF($A635="","",SUMIFS(入库单!$V$4:$V$2503,入库单!$G$4:$G$2503,$A635,入库单!$X$4:$X$2503,"采购入库",入库单!$Z$4:$Z$2503,"正常",入库单!$C$4:$C$2503,"&gt;="&amp;账期起,入库单!$C$4:$C$2503,"&lt;="&amp;账期止))</f>
        <v/>
      </c>
      <c r="K635" s="26">
        <f>IF($A635="","",IFERROR(ROUND((N($H635)+N($J635))/(N($G635)+N($I635)),2),0))</f>
        <v/>
      </c>
      <c r="L635" s="27">
        <f>IF($A635="","",SUMIFS(入库单!$K$4:$K$2503,入库单!$G$4:$G$2503,$A635,入库单!$X$4:$X$2503,"盘盈",入库单!$Z$4:$Z$2503,"正常",入库单!$C$4:$C$2503,"&gt;="&amp;账期起,入库单!$C$4:$C$2503,"&lt;="&amp;账期止))</f>
        <v/>
      </c>
      <c r="M635" s="26">
        <f>IF($A635="","",ROUND($L635*$K635,0))</f>
        <v/>
      </c>
      <c r="N635" s="27">
        <f>IF($A635="","",SUMIFS(入库单!$K$4:$K$2503,入库单!$G$4:$G$2503,$A635,入库单!$X$4:$X$2503,"矿区退库",入库单!$Z$4:$Z$2503,"正常",入库单!$C$4:$C$2503,"&gt;="&amp;账期起,入库单!$C$4:$C$2503,"&lt;="&amp;账期止))</f>
        <v/>
      </c>
      <c r="O635" s="26">
        <f>IF($A635="","",ROUND($N635*$K635,0))</f>
        <v/>
      </c>
      <c r="P635" s="27">
        <f>IF($A635="","",SUMIFS(出库单!$J$4:$J$4003,出库单!$D$4:$D$4003,$A635,出库单!$K$4:$K$4003,"自用消耗",出库单!$U$4:$U$4003,"正常",出库单!$C$4:$C$4003,"&gt;="&amp;账期起,出库单!$C$4:$C$4003,"&lt;="&amp;账期止))</f>
        <v/>
      </c>
      <c r="Q635" s="26">
        <f>IF($A635="","",ROUND(SUMIFS(出库单!$S$4:$S$4003,出库单!$D$4:$D$4003,$A635,出库单!$K$4:$K$4003,"自用消耗",出库单!$U$4:$U$4003,"正常",出库单!$C$4:$C$4003,"&gt;="&amp;账期起,出库单!$C$4:$C$4003,"&lt;="&amp;账期止),0))</f>
        <v/>
      </c>
      <c r="R635" s="27">
        <f>IF($A635="","",SUMIFS(出库单!$J$4:$J$4003,出库单!$D$4:$D$4003,$A635,出库单!$K$4:$K$4003,"对外销售",出库单!$U$4:$U$4003,"正常",出库单!$C$4:$C$4003,"&gt;="&amp;账期起,出库单!$C$4:$C$4003,"&lt;="&amp;账期止))</f>
        <v/>
      </c>
      <c r="S635" s="26">
        <f>IF($A635="","",ROUND(SUMIFS(出库单!$S$4:$S$4003,出库单!$D$4:$D$4003,$A635,出库单!$K$4:$K$4003,"对外销售",出库单!$U$4:$U$4003,"正常",出库单!$C$4:$C$4003,"&gt;="&amp;账期起,出库单!$C$4:$C$4003,"&lt;="&amp;账期止),0))</f>
        <v/>
      </c>
      <c r="T635" s="27">
        <f>IF($A635="","",SUMIFS(出库单!$J$4:$J$4003,出库单!$D$4:$D$4003,$A635,出库单!$K$4:$K$4003,"盘亏",出库单!$U$4:$U$4003,"正常",出库单!$C$4:$C$4003,"&gt;="&amp;账期起,出库单!$C$4:$C$4003,"&lt;="&amp;账期止))</f>
        <v/>
      </c>
      <c r="U635" s="26">
        <f>IF($A635="","",ROUND(SUMIFS(出库单!$S$4:$S$4003,出库单!$D$4:$D$4003,$A635,出库单!$K$4:$K$4003,"盘亏",出库单!$U$4:$U$4003,"正常",出库单!$C$4:$C$4003,"&gt;="&amp;账期起,出库单!$C$4:$C$4003,"&lt;="&amp;账期止),0))</f>
        <v/>
      </c>
      <c r="V635" s="27">
        <f>IF($A635="","",SUMIFS(出库单!$J$4:$J$4003,出库单!$D$4:$D$4003,$A635,出库单!$K$4:$K$4003,"退货给供应商",出库单!$U$4:$U$4003,"正常",出库单!$C$4:$C$4003,"&gt;="&amp;账期起,出库单!$C$4:$C$4003,"&lt;="&amp;账期止))</f>
        <v/>
      </c>
      <c r="W635" s="26">
        <f>IF($A635="","",ROUND(SUMIFS(出库单!$S$4:$S$4003,出库单!$D$4:$D$4003,$A635,出库单!$K$4:$K$4003,"退货给供应商",出库单!$U$4:$U$4003,"正常",出库单!$C$4:$C$4003,"&gt;="&amp;账期起,出库单!$C$4:$C$4003,"&lt;="&amp;账期止),0))</f>
        <v/>
      </c>
      <c r="X635" s="27">
        <f>IF($A635="","",ROUND(N($G635)+$I635+$L635+$N635-$P635-$R635-$T635-$V635,3))</f>
        <v/>
      </c>
      <c r="Y635" s="26">
        <f>IF($A635="","",ROUND(N($H635)+$J635+$M635+$O635-$Q635-$S635-$U635-$W635,0))</f>
        <v/>
      </c>
      <c r="Z635" s="24">
        <f>IF($A635="","",IF(COUNTIFS(入库单!$G$4:$G$2503,$A635,入库单!$Y$4:$Y$2503,"待补价")+COUNTIFS(入库单!$G$4:$G$2503,$A635,入库单!$Y$4:$Y$2503,"暂估")&gt;0,"不可信","可信"))</f>
        <v/>
      </c>
      <c r="AA635" s="24">
        <f>IF($A635="","",IF($X635&lt;-0.001,"※账面负库存，查一下是不是漏记入库",IF(AND(ROUND($X635,3)=0,ABS($Y635)&gt;1),"※数量已经是 0，金额还挂着 "&amp;TEXT($Y635,"#,##0")&amp;" 先令",IF(AND($X635&gt;0,$Y635&lt;=0,$K635=0),"※有数量没金额（这个物料一直没填过进价）",IF($Z635="不可信","△成本含待补价/暂估，毛利仅供参考","")))))</f>
        <v/>
      </c>
    </row>
    <row r="636">
      <c r="A636" s="24">
        <f>IF(物料档案!$A635="","",物料档案!$A635)</f>
        <v/>
      </c>
      <c r="B636" s="24">
        <f>IF($A636="","",IFERROR(VLOOKUP($A636,物料档案!$A$4:$P$1203,3,0),""))</f>
        <v/>
      </c>
      <c r="C636" s="24">
        <f>IF($A636="","",IFERROR(VLOOKUP($A636,物料档案!$A$4:$P$1203,4,0),""))</f>
        <v/>
      </c>
      <c r="D636" s="24">
        <f>IF($A636="","",IFERROR(VLOOKUP($A636,物料档案!$A$4:$P$1203,5,0),""))</f>
        <v/>
      </c>
      <c r="E636" s="24">
        <f>IF($A636="","",IFERROR(VLOOKUP($A636,物料档案!$A$4:$P$1203,2,0),""))</f>
        <v/>
      </c>
      <c r="F636" s="24">
        <f>IF($A636="","",IFERROR(VLOOKUP($A636,物料档案!$A$4:$P$1203,6,0),""))</f>
        <v/>
      </c>
      <c r="G636" s="23" t="n"/>
      <c r="H636" s="32" t="n"/>
      <c r="I636" s="27">
        <f>IF($A636="","",SUMIFS(入库单!$K$4:$K$2503,入库单!$G$4:$G$2503,$A636,入库单!$X$4:$X$2503,"采购入库",入库单!$Z$4:$Z$2503,"正常",入库单!$C$4:$C$2503,"&gt;="&amp;账期起,入库单!$C$4:$C$2503,"&lt;="&amp;账期止))</f>
        <v/>
      </c>
      <c r="J636" s="26">
        <f>IF($A636="","",SUMIFS(入库单!$V$4:$V$2503,入库单!$G$4:$G$2503,$A636,入库单!$X$4:$X$2503,"采购入库",入库单!$Z$4:$Z$2503,"正常",入库单!$C$4:$C$2503,"&gt;="&amp;账期起,入库单!$C$4:$C$2503,"&lt;="&amp;账期止))</f>
        <v/>
      </c>
      <c r="K636" s="26">
        <f>IF($A636="","",IFERROR(ROUND((N($H636)+N($J636))/(N($G636)+N($I636)),2),0))</f>
        <v/>
      </c>
      <c r="L636" s="27">
        <f>IF($A636="","",SUMIFS(入库单!$K$4:$K$2503,入库单!$G$4:$G$2503,$A636,入库单!$X$4:$X$2503,"盘盈",入库单!$Z$4:$Z$2503,"正常",入库单!$C$4:$C$2503,"&gt;="&amp;账期起,入库单!$C$4:$C$2503,"&lt;="&amp;账期止))</f>
        <v/>
      </c>
      <c r="M636" s="26">
        <f>IF($A636="","",ROUND($L636*$K636,0))</f>
        <v/>
      </c>
      <c r="N636" s="27">
        <f>IF($A636="","",SUMIFS(入库单!$K$4:$K$2503,入库单!$G$4:$G$2503,$A636,入库单!$X$4:$X$2503,"矿区退库",入库单!$Z$4:$Z$2503,"正常",入库单!$C$4:$C$2503,"&gt;="&amp;账期起,入库单!$C$4:$C$2503,"&lt;="&amp;账期止))</f>
        <v/>
      </c>
      <c r="O636" s="26">
        <f>IF($A636="","",ROUND($N636*$K636,0))</f>
        <v/>
      </c>
      <c r="P636" s="27">
        <f>IF($A636="","",SUMIFS(出库单!$J$4:$J$4003,出库单!$D$4:$D$4003,$A636,出库单!$K$4:$K$4003,"自用消耗",出库单!$U$4:$U$4003,"正常",出库单!$C$4:$C$4003,"&gt;="&amp;账期起,出库单!$C$4:$C$4003,"&lt;="&amp;账期止))</f>
        <v/>
      </c>
      <c r="Q636" s="26">
        <f>IF($A636="","",ROUND(SUMIFS(出库单!$S$4:$S$4003,出库单!$D$4:$D$4003,$A636,出库单!$K$4:$K$4003,"自用消耗",出库单!$U$4:$U$4003,"正常",出库单!$C$4:$C$4003,"&gt;="&amp;账期起,出库单!$C$4:$C$4003,"&lt;="&amp;账期止),0))</f>
        <v/>
      </c>
      <c r="R636" s="27">
        <f>IF($A636="","",SUMIFS(出库单!$J$4:$J$4003,出库单!$D$4:$D$4003,$A636,出库单!$K$4:$K$4003,"对外销售",出库单!$U$4:$U$4003,"正常",出库单!$C$4:$C$4003,"&gt;="&amp;账期起,出库单!$C$4:$C$4003,"&lt;="&amp;账期止))</f>
        <v/>
      </c>
      <c r="S636" s="26">
        <f>IF($A636="","",ROUND(SUMIFS(出库单!$S$4:$S$4003,出库单!$D$4:$D$4003,$A636,出库单!$K$4:$K$4003,"对外销售",出库单!$U$4:$U$4003,"正常",出库单!$C$4:$C$4003,"&gt;="&amp;账期起,出库单!$C$4:$C$4003,"&lt;="&amp;账期止),0))</f>
        <v/>
      </c>
      <c r="T636" s="27">
        <f>IF($A636="","",SUMIFS(出库单!$J$4:$J$4003,出库单!$D$4:$D$4003,$A636,出库单!$K$4:$K$4003,"盘亏",出库单!$U$4:$U$4003,"正常",出库单!$C$4:$C$4003,"&gt;="&amp;账期起,出库单!$C$4:$C$4003,"&lt;="&amp;账期止))</f>
        <v/>
      </c>
      <c r="U636" s="26">
        <f>IF($A636="","",ROUND(SUMIFS(出库单!$S$4:$S$4003,出库单!$D$4:$D$4003,$A636,出库单!$K$4:$K$4003,"盘亏",出库单!$U$4:$U$4003,"正常",出库单!$C$4:$C$4003,"&gt;="&amp;账期起,出库单!$C$4:$C$4003,"&lt;="&amp;账期止),0))</f>
        <v/>
      </c>
      <c r="V636" s="27">
        <f>IF($A636="","",SUMIFS(出库单!$J$4:$J$4003,出库单!$D$4:$D$4003,$A636,出库单!$K$4:$K$4003,"退货给供应商",出库单!$U$4:$U$4003,"正常",出库单!$C$4:$C$4003,"&gt;="&amp;账期起,出库单!$C$4:$C$4003,"&lt;="&amp;账期止))</f>
        <v/>
      </c>
      <c r="W636" s="26">
        <f>IF($A636="","",ROUND(SUMIFS(出库单!$S$4:$S$4003,出库单!$D$4:$D$4003,$A636,出库单!$K$4:$K$4003,"退货给供应商",出库单!$U$4:$U$4003,"正常",出库单!$C$4:$C$4003,"&gt;="&amp;账期起,出库单!$C$4:$C$4003,"&lt;="&amp;账期止),0))</f>
        <v/>
      </c>
      <c r="X636" s="27">
        <f>IF($A636="","",ROUND(N($G636)+$I636+$L636+$N636-$P636-$R636-$T636-$V636,3))</f>
        <v/>
      </c>
      <c r="Y636" s="26">
        <f>IF($A636="","",ROUND(N($H636)+$J636+$M636+$O636-$Q636-$S636-$U636-$W636,0))</f>
        <v/>
      </c>
      <c r="Z636" s="24">
        <f>IF($A636="","",IF(COUNTIFS(入库单!$G$4:$G$2503,$A636,入库单!$Y$4:$Y$2503,"待补价")+COUNTIFS(入库单!$G$4:$G$2503,$A636,入库单!$Y$4:$Y$2503,"暂估")&gt;0,"不可信","可信"))</f>
        <v/>
      </c>
      <c r="AA636" s="24">
        <f>IF($A636="","",IF($X636&lt;-0.001,"※账面负库存，查一下是不是漏记入库",IF(AND(ROUND($X636,3)=0,ABS($Y636)&gt;1),"※数量已经是 0，金额还挂着 "&amp;TEXT($Y636,"#,##0")&amp;" 先令",IF(AND($X636&gt;0,$Y636&lt;=0,$K636=0),"※有数量没金额（这个物料一直没填过进价）",IF($Z636="不可信","△成本含待补价/暂估，毛利仅供参考","")))))</f>
        <v/>
      </c>
    </row>
    <row r="637">
      <c r="A637" s="24">
        <f>IF(物料档案!$A636="","",物料档案!$A636)</f>
        <v/>
      </c>
      <c r="B637" s="24">
        <f>IF($A637="","",IFERROR(VLOOKUP($A637,物料档案!$A$4:$P$1203,3,0),""))</f>
        <v/>
      </c>
      <c r="C637" s="24">
        <f>IF($A637="","",IFERROR(VLOOKUP($A637,物料档案!$A$4:$P$1203,4,0),""))</f>
        <v/>
      </c>
      <c r="D637" s="24">
        <f>IF($A637="","",IFERROR(VLOOKUP($A637,物料档案!$A$4:$P$1203,5,0),""))</f>
        <v/>
      </c>
      <c r="E637" s="24">
        <f>IF($A637="","",IFERROR(VLOOKUP($A637,物料档案!$A$4:$P$1203,2,0),""))</f>
        <v/>
      </c>
      <c r="F637" s="24">
        <f>IF($A637="","",IFERROR(VLOOKUP($A637,物料档案!$A$4:$P$1203,6,0),""))</f>
        <v/>
      </c>
      <c r="G637" s="23" t="n"/>
      <c r="H637" s="32" t="n"/>
      <c r="I637" s="27">
        <f>IF($A637="","",SUMIFS(入库单!$K$4:$K$2503,入库单!$G$4:$G$2503,$A637,入库单!$X$4:$X$2503,"采购入库",入库单!$Z$4:$Z$2503,"正常",入库单!$C$4:$C$2503,"&gt;="&amp;账期起,入库单!$C$4:$C$2503,"&lt;="&amp;账期止))</f>
        <v/>
      </c>
      <c r="J637" s="26">
        <f>IF($A637="","",SUMIFS(入库单!$V$4:$V$2503,入库单!$G$4:$G$2503,$A637,入库单!$X$4:$X$2503,"采购入库",入库单!$Z$4:$Z$2503,"正常",入库单!$C$4:$C$2503,"&gt;="&amp;账期起,入库单!$C$4:$C$2503,"&lt;="&amp;账期止))</f>
        <v/>
      </c>
      <c r="K637" s="26">
        <f>IF($A637="","",IFERROR(ROUND((N($H637)+N($J637))/(N($G637)+N($I637)),2),0))</f>
        <v/>
      </c>
      <c r="L637" s="27">
        <f>IF($A637="","",SUMIFS(入库单!$K$4:$K$2503,入库单!$G$4:$G$2503,$A637,入库单!$X$4:$X$2503,"盘盈",入库单!$Z$4:$Z$2503,"正常",入库单!$C$4:$C$2503,"&gt;="&amp;账期起,入库单!$C$4:$C$2503,"&lt;="&amp;账期止))</f>
        <v/>
      </c>
      <c r="M637" s="26">
        <f>IF($A637="","",ROUND($L637*$K637,0))</f>
        <v/>
      </c>
      <c r="N637" s="27">
        <f>IF($A637="","",SUMIFS(入库单!$K$4:$K$2503,入库单!$G$4:$G$2503,$A637,入库单!$X$4:$X$2503,"矿区退库",入库单!$Z$4:$Z$2503,"正常",入库单!$C$4:$C$2503,"&gt;="&amp;账期起,入库单!$C$4:$C$2503,"&lt;="&amp;账期止))</f>
        <v/>
      </c>
      <c r="O637" s="26">
        <f>IF($A637="","",ROUND($N637*$K637,0))</f>
        <v/>
      </c>
      <c r="P637" s="27">
        <f>IF($A637="","",SUMIFS(出库单!$J$4:$J$4003,出库单!$D$4:$D$4003,$A637,出库单!$K$4:$K$4003,"自用消耗",出库单!$U$4:$U$4003,"正常",出库单!$C$4:$C$4003,"&gt;="&amp;账期起,出库单!$C$4:$C$4003,"&lt;="&amp;账期止))</f>
        <v/>
      </c>
      <c r="Q637" s="26">
        <f>IF($A637="","",ROUND(SUMIFS(出库单!$S$4:$S$4003,出库单!$D$4:$D$4003,$A637,出库单!$K$4:$K$4003,"自用消耗",出库单!$U$4:$U$4003,"正常",出库单!$C$4:$C$4003,"&gt;="&amp;账期起,出库单!$C$4:$C$4003,"&lt;="&amp;账期止),0))</f>
        <v/>
      </c>
      <c r="R637" s="27">
        <f>IF($A637="","",SUMIFS(出库单!$J$4:$J$4003,出库单!$D$4:$D$4003,$A637,出库单!$K$4:$K$4003,"对外销售",出库单!$U$4:$U$4003,"正常",出库单!$C$4:$C$4003,"&gt;="&amp;账期起,出库单!$C$4:$C$4003,"&lt;="&amp;账期止))</f>
        <v/>
      </c>
      <c r="S637" s="26">
        <f>IF($A637="","",ROUND(SUMIFS(出库单!$S$4:$S$4003,出库单!$D$4:$D$4003,$A637,出库单!$K$4:$K$4003,"对外销售",出库单!$U$4:$U$4003,"正常",出库单!$C$4:$C$4003,"&gt;="&amp;账期起,出库单!$C$4:$C$4003,"&lt;="&amp;账期止),0))</f>
        <v/>
      </c>
      <c r="T637" s="27">
        <f>IF($A637="","",SUMIFS(出库单!$J$4:$J$4003,出库单!$D$4:$D$4003,$A637,出库单!$K$4:$K$4003,"盘亏",出库单!$U$4:$U$4003,"正常",出库单!$C$4:$C$4003,"&gt;="&amp;账期起,出库单!$C$4:$C$4003,"&lt;="&amp;账期止))</f>
        <v/>
      </c>
      <c r="U637" s="26">
        <f>IF($A637="","",ROUND(SUMIFS(出库单!$S$4:$S$4003,出库单!$D$4:$D$4003,$A637,出库单!$K$4:$K$4003,"盘亏",出库单!$U$4:$U$4003,"正常",出库单!$C$4:$C$4003,"&gt;="&amp;账期起,出库单!$C$4:$C$4003,"&lt;="&amp;账期止),0))</f>
        <v/>
      </c>
      <c r="V637" s="27">
        <f>IF($A637="","",SUMIFS(出库单!$J$4:$J$4003,出库单!$D$4:$D$4003,$A637,出库单!$K$4:$K$4003,"退货给供应商",出库单!$U$4:$U$4003,"正常",出库单!$C$4:$C$4003,"&gt;="&amp;账期起,出库单!$C$4:$C$4003,"&lt;="&amp;账期止))</f>
        <v/>
      </c>
      <c r="W637" s="26">
        <f>IF($A637="","",ROUND(SUMIFS(出库单!$S$4:$S$4003,出库单!$D$4:$D$4003,$A637,出库单!$K$4:$K$4003,"退货给供应商",出库单!$U$4:$U$4003,"正常",出库单!$C$4:$C$4003,"&gt;="&amp;账期起,出库单!$C$4:$C$4003,"&lt;="&amp;账期止),0))</f>
        <v/>
      </c>
      <c r="X637" s="27">
        <f>IF($A637="","",ROUND(N($G637)+$I637+$L637+$N637-$P637-$R637-$T637-$V637,3))</f>
        <v/>
      </c>
      <c r="Y637" s="26">
        <f>IF($A637="","",ROUND(N($H637)+$J637+$M637+$O637-$Q637-$S637-$U637-$W637,0))</f>
        <v/>
      </c>
      <c r="Z637" s="24">
        <f>IF($A637="","",IF(COUNTIFS(入库单!$G$4:$G$2503,$A637,入库单!$Y$4:$Y$2503,"待补价")+COUNTIFS(入库单!$G$4:$G$2503,$A637,入库单!$Y$4:$Y$2503,"暂估")&gt;0,"不可信","可信"))</f>
        <v/>
      </c>
      <c r="AA637" s="24">
        <f>IF($A637="","",IF($X637&lt;-0.001,"※账面负库存，查一下是不是漏记入库",IF(AND(ROUND($X637,3)=0,ABS($Y637)&gt;1),"※数量已经是 0，金额还挂着 "&amp;TEXT($Y637,"#,##0")&amp;" 先令",IF(AND($X637&gt;0,$Y637&lt;=0,$K637=0),"※有数量没金额（这个物料一直没填过进价）",IF($Z637="不可信","△成本含待补价/暂估，毛利仅供参考","")))))</f>
        <v/>
      </c>
    </row>
    <row r="638">
      <c r="A638" s="24">
        <f>IF(物料档案!$A637="","",物料档案!$A637)</f>
        <v/>
      </c>
      <c r="B638" s="24">
        <f>IF($A638="","",IFERROR(VLOOKUP($A638,物料档案!$A$4:$P$1203,3,0),""))</f>
        <v/>
      </c>
      <c r="C638" s="24">
        <f>IF($A638="","",IFERROR(VLOOKUP($A638,物料档案!$A$4:$P$1203,4,0),""))</f>
        <v/>
      </c>
      <c r="D638" s="24">
        <f>IF($A638="","",IFERROR(VLOOKUP($A638,物料档案!$A$4:$P$1203,5,0),""))</f>
        <v/>
      </c>
      <c r="E638" s="24">
        <f>IF($A638="","",IFERROR(VLOOKUP($A638,物料档案!$A$4:$P$1203,2,0),""))</f>
        <v/>
      </c>
      <c r="F638" s="24">
        <f>IF($A638="","",IFERROR(VLOOKUP($A638,物料档案!$A$4:$P$1203,6,0),""))</f>
        <v/>
      </c>
      <c r="G638" s="23" t="n"/>
      <c r="H638" s="32" t="n"/>
      <c r="I638" s="27">
        <f>IF($A638="","",SUMIFS(入库单!$K$4:$K$2503,入库单!$G$4:$G$2503,$A638,入库单!$X$4:$X$2503,"采购入库",入库单!$Z$4:$Z$2503,"正常",入库单!$C$4:$C$2503,"&gt;="&amp;账期起,入库单!$C$4:$C$2503,"&lt;="&amp;账期止))</f>
        <v/>
      </c>
      <c r="J638" s="26">
        <f>IF($A638="","",SUMIFS(入库单!$V$4:$V$2503,入库单!$G$4:$G$2503,$A638,入库单!$X$4:$X$2503,"采购入库",入库单!$Z$4:$Z$2503,"正常",入库单!$C$4:$C$2503,"&gt;="&amp;账期起,入库单!$C$4:$C$2503,"&lt;="&amp;账期止))</f>
        <v/>
      </c>
      <c r="K638" s="26">
        <f>IF($A638="","",IFERROR(ROUND((N($H638)+N($J638))/(N($G638)+N($I638)),2),0))</f>
        <v/>
      </c>
      <c r="L638" s="27">
        <f>IF($A638="","",SUMIFS(入库单!$K$4:$K$2503,入库单!$G$4:$G$2503,$A638,入库单!$X$4:$X$2503,"盘盈",入库单!$Z$4:$Z$2503,"正常",入库单!$C$4:$C$2503,"&gt;="&amp;账期起,入库单!$C$4:$C$2503,"&lt;="&amp;账期止))</f>
        <v/>
      </c>
      <c r="M638" s="26">
        <f>IF($A638="","",ROUND($L638*$K638,0))</f>
        <v/>
      </c>
      <c r="N638" s="27">
        <f>IF($A638="","",SUMIFS(入库单!$K$4:$K$2503,入库单!$G$4:$G$2503,$A638,入库单!$X$4:$X$2503,"矿区退库",入库单!$Z$4:$Z$2503,"正常",入库单!$C$4:$C$2503,"&gt;="&amp;账期起,入库单!$C$4:$C$2503,"&lt;="&amp;账期止))</f>
        <v/>
      </c>
      <c r="O638" s="26">
        <f>IF($A638="","",ROUND($N638*$K638,0))</f>
        <v/>
      </c>
      <c r="P638" s="27">
        <f>IF($A638="","",SUMIFS(出库单!$J$4:$J$4003,出库单!$D$4:$D$4003,$A638,出库单!$K$4:$K$4003,"自用消耗",出库单!$U$4:$U$4003,"正常",出库单!$C$4:$C$4003,"&gt;="&amp;账期起,出库单!$C$4:$C$4003,"&lt;="&amp;账期止))</f>
        <v/>
      </c>
      <c r="Q638" s="26">
        <f>IF($A638="","",ROUND(SUMIFS(出库单!$S$4:$S$4003,出库单!$D$4:$D$4003,$A638,出库单!$K$4:$K$4003,"自用消耗",出库单!$U$4:$U$4003,"正常",出库单!$C$4:$C$4003,"&gt;="&amp;账期起,出库单!$C$4:$C$4003,"&lt;="&amp;账期止),0))</f>
        <v/>
      </c>
      <c r="R638" s="27">
        <f>IF($A638="","",SUMIFS(出库单!$J$4:$J$4003,出库单!$D$4:$D$4003,$A638,出库单!$K$4:$K$4003,"对外销售",出库单!$U$4:$U$4003,"正常",出库单!$C$4:$C$4003,"&gt;="&amp;账期起,出库单!$C$4:$C$4003,"&lt;="&amp;账期止))</f>
        <v/>
      </c>
      <c r="S638" s="26">
        <f>IF($A638="","",ROUND(SUMIFS(出库单!$S$4:$S$4003,出库单!$D$4:$D$4003,$A638,出库单!$K$4:$K$4003,"对外销售",出库单!$U$4:$U$4003,"正常",出库单!$C$4:$C$4003,"&gt;="&amp;账期起,出库单!$C$4:$C$4003,"&lt;="&amp;账期止),0))</f>
        <v/>
      </c>
      <c r="T638" s="27">
        <f>IF($A638="","",SUMIFS(出库单!$J$4:$J$4003,出库单!$D$4:$D$4003,$A638,出库单!$K$4:$K$4003,"盘亏",出库单!$U$4:$U$4003,"正常",出库单!$C$4:$C$4003,"&gt;="&amp;账期起,出库单!$C$4:$C$4003,"&lt;="&amp;账期止))</f>
        <v/>
      </c>
      <c r="U638" s="26">
        <f>IF($A638="","",ROUND(SUMIFS(出库单!$S$4:$S$4003,出库单!$D$4:$D$4003,$A638,出库单!$K$4:$K$4003,"盘亏",出库单!$U$4:$U$4003,"正常",出库单!$C$4:$C$4003,"&gt;="&amp;账期起,出库单!$C$4:$C$4003,"&lt;="&amp;账期止),0))</f>
        <v/>
      </c>
      <c r="V638" s="27">
        <f>IF($A638="","",SUMIFS(出库单!$J$4:$J$4003,出库单!$D$4:$D$4003,$A638,出库单!$K$4:$K$4003,"退货给供应商",出库单!$U$4:$U$4003,"正常",出库单!$C$4:$C$4003,"&gt;="&amp;账期起,出库单!$C$4:$C$4003,"&lt;="&amp;账期止))</f>
        <v/>
      </c>
      <c r="W638" s="26">
        <f>IF($A638="","",ROUND(SUMIFS(出库单!$S$4:$S$4003,出库单!$D$4:$D$4003,$A638,出库单!$K$4:$K$4003,"退货给供应商",出库单!$U$4:$U$4003,"正常",出库单!$C$4:$C$4003,"&gt;="&amp;账期起,出库单!$C$4:$C$4003,"&lt;="&amp;账期止),0))</f>
        <v/>
      </c>
      <c r="X638" s="27">
        <f>IF($A638="","",ROUND(N($G638)+$I638+$L638+$N638-$P638-$R638-$T638-$V638,3))</f>
        <v/>
      </c>
      <c r="Y638" s="26">
        <f>IF($A638="","",ROUND(N($H638)+$J638+$M638+$O638-$Q638-$S638-$U638-$W638,0))</f>
        <v/>
      </c>
      <c r="Z638" s="24">
        <f>IF($A638="","",IF(COUNTIFS(入库单!$G$4:$G$2503,$A638,入库单!$Y$4:$Y$2503,"待补价")+COUNTIFS(入库单!$G$4:$G$2503,$A638,入库单!$Y$4:$Y$2503,"暂估")&gt;0,"不可信","可信"))</f>
        <v/>
      </c>
      <c r="AA638" s="24">
        <f>IF($A638="","",IF($X638&lt;-0.001,"※账面负库存，查一下是不是漏记入库",IF(AND(ROUND($X638,3)=0,ABS($Y638)&gt;1),"※数量已经是 0，金额还挂着 "&amp;TEXT($Y638,"#,##0")&amp;" 先令",IF(AND($X638&gt;0,$Y638&lt;=0,$K638=0),"※有数量没金额（这个物料一直没填过进价）",IF($Z638="不可信","△成本含待补价/暂估，毛利仅供参考","")))))</f>
        <v/>
      </c>
    </row>
    <row r="639">
      <c r="A639" s="24">
        <f>IF(物料档案!$A638="","",物料档案!$A638)</f>
        <v/>
      </c>
      <c r="B639" s="24">
        <f>IF($A639="","",IFERROR(VLOOKUP($A639,物料档案!$A$4:$P$1203,3,0),""))</f>
        <v/>
      </c>
      <c r="C639" s="24">
        <f>IF($A639="","",IFERROR(VLOOKUP($A639,物料档案!$A$4:$P$1203,4,0),""))</f>
        <v/>
      </c>
      <c r="D639" s="24">
        <f>IF($A639="","",IFERROR(VLOOKUP($A639,物料档案!$A$4:$P$1203,5,0),""))</f>
        <v/>
      </c>
      <c r="E639" s="24">
        <f>IF($A639="","",IFERROR(VLOOKUP($A639,物料档案!$A$4:$P$1203,2,0),""))</f>
        <v/>
      </c>
      <c r="F639" s="24">
        <f>IF($A639="","",IFERROR(VLOOKUP($A639,物料档案!$A$4:$P$1203,6,0),""))</f>
        <v/>
      </c>
      <c r="G639" s="23" t="n"/>
      <c r="H639" s="32" t="n"/>
      <c r="I639" s="27">
        <f>IF($A639="","",SUMIFS(入库单!$K$4:$K$2503,入库单!$G$4:$G$2503,$A639,入库单!$X$4:$X$2503,"采购入库",入库单!$Z$4:$Z$2503,"正常",入库单!$C$4:$C$2503,"&gt;="&amp;账期起,入库单!$C$4:$C$2503,"&lt;="&amp;账期止))</f>
        <v/>
      </c>
      <c r="J639" s="26">
        <f>IF($A639="","",SUMIFS(入库单!$V$4:$V$2503,入库单!$G$4:$G$2503,$A639,入库单!$X$4:$X$2503,"采购入库",入库单!$Z$4:$Z$2503,"正常",入库单!$C$4:$C$2503,"&gt;="&amp;账期起,入库单!$C$4:$C$2503,"&lt;="&amp;账期止))</f>
        <v/>
      </c>
      <c r="K639" s="26">
        <f>IF($A639="","",IFERROR(ROUND((N($H639)+N($J639))/(N($G639)+N($I639)),2),0))</f>
        <v/>
      </c>
      <c r="L639" s="27">
        <f>IF($A639="","",SUMIFS(入库单!$K$4:$K$2503,入库单!$G$4:$G$2503,$A639,入库单!$X$4:$X$2503,"盘盈",入库单!$Z$4:$Z$2503,"正常",入库单!$C$4:$C$2503,"&gt;="&amp;账期起,入库单!$C$4:$C$2503,"&lt;="&amp;账期止))</f>
        <v/>
      </c>
      <c r="M639" s="26">
        <f>IF($A639="","",ROUND($L639*$K639,0))</f>
        <v/>
      </c>
      <c r="N639" s="27">
        <f>IF($A639="","",SUMIFS(入库单!$K$4:$K$2503,入库单!$G$4:$G$2503,$A639,入库单!$X$4:$X$2503,"矿区退库",入库单!$Z$4:$Z$2503,"正常",入库单!$C$4:$C$2503,"&gt;="&amp;账期起,入库单!$C$4:$C$2503,"&lt;="&amp;账期止))</f>
        <v/>
      </c>
      <c r="O639" s="26">
        <f>IF($A639="","",ROUND($N639*$K639,0))</f>
        <v/>
      </c>
      <c r="P639" s="27">
        <f>IF($A639="","",SUMIFS(出库单!$J$4:$J$4003,出库单!$D$4:$D$4003,$A639,出库单!$K$4:$K$4003,"自用消耗",出库单!$U$4:$U$4003,"正常",出库单!$C$4:$C$4003,"&gt;="&amp;账期起,出库单!$C$4:$C$4003,"&lt;="&amp;账期止))</f>
        <v/>
      </c>
      <c r="Q639" s="26">
        <f>IF($A639="","",ROUND(SUMIFS(出库单!$S$4:$S$4003,出库单!$D$4:$D$4003,$A639,出库单!$K$4:$K$4003,"自用消耗",出库单!$U$4:$U$4003,"正常",出库单!$C$4:$C$4003,"&gt;="&amp;账期起,出库单!$C$4:$C$4003,"&lt;="&amp;账期止),0))</f>
        <v/>
      </c>
      <c r="R639" s="27">
        <f>IF($A639="","",SUMIFS(出库单!$J$4:$J$4003,出库单!$D$4:$D$4003,$A639,出库单!$K$4:$K$4003,"对外销售",出库单!$U$4:$U$4003,"正常",出库单!$C$4:$C$4003,"&gt;="&amp;账期起,出库单!$C$4:$C$4003,"&lt;="&amp;账期止))</f>
        <v/>
      </c>
      <c r="S639" s="26">
        <f>IF($A639="","",ROUND(SUMIFS(出库单!$S$4:$S$4003,出库单!$D$4:$D$4003,$A639,出库单!$K$4:$K$4003,"对外销售",出库单!$U$4:$U$4003,"正常",出库单!$C$4:$C$4003,"&gt;="&amp;账期起,出库单!$C$4:$C$4003,"&lt;="&amp;账期止),0))</f>
        <v/>
      </c>
      <c r="T639" s="27">
        <f>IF($A639="","",SUMIFS(出库单!$J$4:$J$4003,出库单!$D$4:$D$4003,$A639,出库单!$K$4:$K$4003,"盘亏",出库单!$U$4:$U$4003,"正常",出库单!$C$4:$C$4003,"&gt;="&amp;账期起,出库单!$C$4:$C$4003,"&lt;="&amp;账期止))</f>
        <v/>
      </c>
      <c r="U639" s="26">
        <f>IF($A639="","",ROUND(SUMIFS(出库单!$S$4:$S$4003,出库单!$D$4:$D$4003,$A639,出库单!$K$4:$K$4003,"盘亏",出库单!$U$4:$U$4003,"正常",出库单!$C$4:$C$4003,"&gt;="&amp;账期起,出库单!$C$4:$C$4003,"&lt;="&amp;账期止),0))</f>
        <v/>
      </c>
      <c r="V639" s="27">
        <f>IF($A639="","",SUMIFS(出库单!$J$4:$J$4003,出库单!$D$4:$D$4003,$A639,出库单!$K$4:$K$4003,"退货给供应商",出库单!$U$4:$U$4003,"正常",出库单!$C$4:$C$4003,"&gt;="&amp;账期起,出库单!$C$4:$C$4003,"&lt;="&amp;账期止))</f>
        <v/>
      </c>
      <c r="W639" s="26">
        <f>IF($A639="","",ROUND(SUMIFS(出库单!$S$4:$S$4003,出库单!$D$4:$D$4003,$A639,出库单!$K$4:$K$4003,"退货给供应商",出库单!$U$4:$U$4003,"正常",出库单!$C$4:$C$4003,"&gt;="&amp;账期起,出库单!$C$4:$C$4003,"&lt;="&amp;账期止),0))</f>
        <v/>
      </c>
      <c r="X639" s="27">
        <f>IF($A639="","",ROUND(N($G639)+$I639+$L639+$N639-$P639-$R639-$T639-$V639,3))</f>
        <v/>
      </c>
      <c r="Y639" s="26">
        <f>IF($A639="","",ROUND(N($H639)+$J639+$M639+$O639-$Q639-$S639-$U639-$W639,0))</f>
        <v/>
      </c>
      <c r="Z639" s="24">
        <f>IF($A639="","",IF(COUNTIFS(入库单!$G$4:$G$2503,$A639,入库单!$Y$4:$Y$2503,"待补价")+COUNTIFS(入库单!$G$4:$G$2503,$A639,入库单!$Y$4:$Y$2503,"暂估")&gt;0,"不可信","可信"))</f>
        <v/>
      </c>
      <c r="AA639" s="24">
        <f>IF($A639="","",IF($X639&lt;-0.001,"※账面负库存，查一下是不是漏记入库",IF(AND(ROUND($X639,3)=0,ABS($Y639)&gt;1),"※数量已经是 0，金额还挂着 "&amp;TEXT($Y639,"#,##0")&amp;" 先令",IF(AND($X639&gt;0,$Y639&lt;=0,$K639=0),"※有数量没金额（这个物料一直没填过进价）",IF($Z639="不可信","△成本含待补价/暂估，毛利仅供参考","")))))</f>
        <v/>
      </c>
    </row>
    <row r="640">
      <c r="A640" s="24">
        <f>IF(物料档案!$A639="","",物料档案!$A639)</f>
        <v/>
      </c>
      <c r="B640" s="24">
        <f>IF($A640="","",IFERROR(VLOOKUP($A640,物料档案!$A$4:$P$1203,3,0),""))</f>
        <v/>
      </c>
      <c r="C640" s="24">
        <f>IF($A640="","",IFERROR(VLOOKUP($A640,物料档案!$A$4:$P$1203,4,0),""))</f>
        <v/>
      </c>
      <c r="D640" s="24">
        <f>IF($A640="","",IFERROR(VLOOKUP($A640,物料档案!$A$4:$P$1203,5,0),""))</f>
        <v/>
      </c>
      <c r="E640" s="24">
        <f>IF($A640="","",IFERROR(VLOOKUP($A640,物料档案!$A$4:$P$1203,2,0),""))</f>
        <v/>
      </c>
      <c r="F640" s="24">
        <f>IF($A640="","",IFERROR(VLOOKUP($A640,物料档案!$A$4:$P$1203,6,0),""))</f>
        <v/>
      </c>
      <c r="G640" s="23" t="n"/>
      <c r="H640" s="32" t="n"/>
      <c r="I640" s="27">
        <f>IF($A640="","",SUMIFS(入库单!$K$4:$K$2503,入库单!$G$4:$G$2503,$A640,入库单!$X$4:$X$2503,"采购入库",入库单!$Z$4:$Z$2503,"正常",入库单!$C$4:$C$2503,"&gt;="&amp;账期起,入库单!$C$4:$C$2503,"&lt;="&amp;账期止))</f>
        <v/>
      </c>
      <c r="J640" s="26">
        <f>IF($A640="","",SUMIFS(入库单!$V$4:$V$2503,入库单!$G$4:$G$2503,$A640,入库单!$X$4:$X$2503,"采购入库",入库单!$Z$4:$Z$2503,"正常",入库单!$C$4:$C$2503,"&gt;="&amp;账期起,入库单!$C$4:$C$2503,"&lt;="&amp;账期止))</f>
        <v/>
      </c>
      <c r="K640" s="26">
        <f>IF($A640="","",IFERROR(ROUND((N($H640)+N($J640))/(N($G640)+N($I640)),2),0))</f>
        <v/>
      </c>
      <c r="L640" s="27">
        <f>IF($A640="","",SUMIFS(入库单!$K$4:$K$2503,入库单!$G$4:$G$2503,$A640,入库单!$X$4:$X$2503,"盘盈",入库单!$Z$4:$Z$2503,"正常",入库单!$C$4:$C$2503,"&gt;="&amp;账期起,入库单!$C$4:$C$2503,"&lt;="&amp;账期止))</f>
        <v/>
      </c>
      <c r="M640" s="26">
        <f>IF($A640="","",ROUND($L640*$K640,0))</f>
        <v/>
      </c>
      <c r="N640" s="27">
        <f>IF($A640="","",SUMIFS(入库单!$K$4:$K$2503,入库单!$G$4:$G$2503,$A640,入库单!$X$4:$X$2503,"矿区退库",入库单!$Z$4:$Z$2503,"正常",入库单!$C$4:$C$2503,"&gt;="&amp;账期起,入库单!$C$4:$C$2503,"&lt;="&amp;账期止))</f>
        <v/>
      </c>
      <c r="O640" s="26">
        <f>IF($A640="","",ROUND($N640*$K640,0))</f>
        <v/>
      </c>
      <c r="P640" s="27">
        <f>IF($A640="","",SUMIFS(出库单!$J$4:$J$4003,出库单!$D$4:$D$4003,$A640,出库单!$K$4:$K$4003,"自用消耗",出库单!$U$4:$U$4003,"正常",出库单!$C$4:$C$4003,"&gt;="&amp;账期起,出库单!$C$4:$C$4003,"&lt;="&amp;账期止))</f>
        <v/>
      </c>
      <c r="Q640" s="26">
        <f>IF($A640="","",ROUND(SUMIFS(出库单!$S$4:$S$4003,出库单!$D$4:$D$4003,$A640,出库单!$K$4:$K$4003,"自用消耗",出库单!$U$4:$U$4003,"正常",出库单!$C$4:$C$4003,"&gt;="&amp;账期起,出库单!$C$4:$C$4003,"&lt;="&amp;账期止),0))</f>
        <v/>
      </c>
      <c r="R640" s="27">
        <f>IF($A640="","",SUMIFS(出库单!$J$4:$J$4003,出库单!$D$4:$D$4003,$A640,出库单!$K$4:$K$4003,"对外销售",出库单!$U$4:$U$4003,"正常",出库单!$C$4:$C$4003,"&gt;="&amp;账期起,出库单!$C$4:$C$4003,"&lt;="&amp;账期止))</f>
        <v/>
      </c>
      <c r="S640" s="26">
        <f>IF($A640="","",ROUND(SUMIFS(出库单!$S$4:$S$4003,出库单!$D$4:$D$4003,$A640,出库单!$K$4:$K$4003,"对外销售",出库单!$U$4:$U$4003,"正常",出库单!$C$4:$C$4003,"&gt;="&amp;账期起,出库单!$C$4:$C$4003,"&lt;="&amp;账期止),0))</f>
        <v/>
      </c>
      <c r="T640" s="27">
        <f>IF($A640="","",SUMIFS(出库单!$J$4:$J$4003,出库单!$D$4:$D$4003,$A640,出库单!$K$4:$K$4003,"盘亏",出库单!$U$4:$U$4003,"正常",出库单!$C$4:$C$4003,"&gt;="&amp;账期起,出库单!$C$4:$C$4003,"&lt;="&amp;账期止))</f>
        <v/>
      </c>
      <c r="U640" s="26">
        <f>IF($A640="","",ROUND(SUMIFS(出库单!$S$4:$S$4003,出库单!$D$4:$D$4003,$A640,出库单!$K$4:$K$4003,"盘亏",出库单!$U$4:$U$4003,"正常",出库单!$C$4:$C$4003,"&gt;="&amp;账期起,出库单!$C$4:$C$4003,"&lt;="&amp;账期止),0))</f>
        <v/>
      </c>
      <c r="V640" s="27">
        <f>IF($A640="","",SUMIFS(出库单!$J$4:$J$4003,出库单!$D$4:$D$4003,$A640,出库单!$K$4:$K$4003,"退货给供应商",出库单!$U$4:$U$4003,"正常",出库单!$C$4:$C$4003,"&gt;="&amp;账期起,出库单!$C$4:$C$4003,"&lt;="&amp;账期止))</f>
        <v/>
      </c>
      <c r="W640" s="26">
        <f>IF($A640="","",ROUND(SUMIFS(出库单!$S$4:$S$4003,出库单!$D$4:$D$4003,$A640,出库单!$K$4:$K$4003,"退货给供应商",出库单!$U$4:$U$4003,"正常",出库单!$C$4:$C$4003,"&gt;="&amp;账期起,出库单!$C$4:$C$4003,"&lt;="&amp;账期止),0))</f>
        <v/>
      </c>
      <c r="X640" s="27">
        <f>IF($A640="","",ROUND(N($G640)+$I640+$L640+$N640-$P640-$R640-$T640-$V640,3))</f>
        <v/>
      </c>
      <c r="Y640" s="26">
        <f>IF($A640="","",ROUND(N($H640)+$J640+$M640+$O640-$Q640-$S640-$U640-$W640,0))</f>
        <v/>
      </c>
      <c r="Z640" s="24">
        <f>IF($A640="","",IF(COUNTIFS(入库单!$G$4:$G$2503,$A640,入库单!$Y$4:$Y$2503,"待补价")+COUNTIFS(入库单!$G$4:$G$2503,$A640,入库单!$Y$4:$Y$2503,"暂估")&gt;0,"不可信","可信"))</f>
        <v/>
      </c>
      <c r="AA640" s="24">
        <f>IF($A640="","",IF($X640&lt;-0.001,"※账面负库存，查一下是不是漏记入库",IF(AND(ROUND($X640,3)=0,ABS($Y640)&gt;1),"※数量已经是 0，金额还挂着 "&amp;TEXT($Y640,"#,##0")&amp;" 先令",IF(AND($X640&gt;0,$Y640&lt;=0,$K640=0),"※有数量没金额（这个物料一直没填过进价）",IF($Z640="不可信","△成本含待补价/暂估，毛利仅供参考","")))))</f>
        <v/>
      </c>
    </row>
    <row r="641">
      <c r="A641" s="24">
        <f>IF(物料档案!$A640="","",物料档案!$A640)</f>
        <v/>
      </c>
      <c r="B641" s="24">
        <f>IF($A641="","",IFERROR(VLOOKUP($A641,物料档案!$A$4:$P$1203,3,0),""))</f>
        <v/>
      </c>
      <c r="C641" s="24">
        <f>IF($A641="","",IFERROR(VLOOKUP($A641,物料档案!$A$4:$P$1203,4,0),""))</f>
        <v/>
      </c>
      <c r="D641" s="24">
        <f>IF($A641="","",IFERROR(VLOOKUP($A641,物料档案!$A$4:$P$1203,5,0),""))</f>
        <v/>
      </c>
      <c r="E641" s="24">
        <f>IF($A641="","",IFERROR(VLOOKUP($A641,物料档案!$A$4:$P$1203,2,0),""))</f>
        <v/>
      </c>
      <c r="F641" s="24">
        <f>IF($A641="","",IFERROR(VLOOKUP($A641,物料档案!$A$4:$P$1203,6,0),""))</f>
        <v/>
      </c>
      <c r="G641" s="23" t="n"/>
      <c r="H641" s="32" t="n"/>
      <c r="I641" s="27">
        <f>IF($A641="","",SUMIFS(入库单!$K$4:$K$2503,入库单!$G$4:$G$2503,$A641,入库单!$X$4:$X$2503,"采购入库",入库单!$Z$4:$Z$2503,"正常",入库单!$C$4:$C$2503,"&gt;="&amp;账期起,入库单!$C$4:$C$2503,"&lt;="&amp;账期止))</f>
        <v/>
      </c>
      <c r="J641" s="26">
        <f>IF($A641="","",SUMIFS(入库单!$V$4:$V$2503,入库单!$G$4:$G$2503,$A641,入库单!$X$4:$X$2503,"采购入库",入库单!$Z$4:$Z$2503,"正常",入库单!$C$4:$C$2503,"&gt;="&amp;账期起,入库单!$C$4:$C$2503,"&lt;="&amp;账期止))</f>
        <v/>
      </c>
      <c r="K641" s="26">
        <f>IF($A641="","",IFERROR(ROUND((N($H641)+N($J641))/(N($G641)+N($I641)),2),0))</f>
        <v/>
      </c>
      <c r="L641" s="27">
        <f>IF($A641="","",SUMIFS(入库单!$K$4:$K$2503,入库单!$G$4:$G$2503,$A641,入库单!$X$4:$X$2503,"盘盈",入库单!$Z$4:$Z$2503,"正常",入库单!$C$4:$C$2503,"&gt;="&amp;账期起,入库单!$C$4:$C$2503,"&lt;="&amp;账期止))</f>
        <v/>
      </c>
      <c r="M641" s="26">
        <f>IF($A641="","",ROUND($L641*$K641,0))</f>
        <v/>
      </c>
      <c r="N641" s="27">
        <f>IF($A641="","",SUMIFS(入库单!$K$4:$K$2503,入库单!$G$4:$G$2503,$A641,入库单!$X$4:$X$2503,"矿区退库",入库单!$Z$4:$Z$2503,"正常",入库单!$C$4:$C$2503,"&gt;="&amp;账期起,入库单!$C$4:$C$2503,"&lt;="&amp;账期止))</f>
        <v/>
      </c>
      <c r="O641" s="26">
        <f>IF($A641="","",ROUND($N641*$K641,0))</f>
        <v/>
      </c>
      <c r="P641" s="27">
        <f>IF($A641="","",SUMIFS(出库单!$J$4:$J$4003,出库单!$D$4:$D$4003,$A641,出库单!$K$4:$K$4003,"自用消耗",出库单!$U$4:$U$4003,"正常",出库单!$C$4:$C$4003,"&gt;="&amp;账期起,出库单!$C$4:$C$4003,"&lt;="&amp;账期止))</f>
        <v/>
      </c>
      <c r="Q641" s="26">
        <f>IF($A641="","",ROUND(SUMIFS(出库单!$S$4:$S$4003,出库单!$D$4:$D$4003,$A641,出库单!$K$4:$K$4003,"自用消耗",出库单!$U$4:$U$4003,"正常",出库单!$C$4:$C$4003,"&gt;="&amp;账期起,出库单!$C$4:$C$4003,"&lt;="&amp;账期止),0))</f>
        <v/>
      </c>
      <c r="R641" s="27">
        <f>IF($A641="","",SUMIFS(出库单!$J$4:$J$4003,出库单!$D$4:$D$4003,$A641,出库单!$K$4:$K$4003,"对外销售",出库单!$U$4:$U$4003,"正常",出库单!$C$4:$C$4003,"&gt;="&amp;账期起,出库单!$C$4:$C$4003,"&lt;="&amp;账期止))</f>
        <v/>
      </c>
      <c r="S641" s="26">
        <f>IF($A641="","",ROUND(SUMIFS(出库单!$S$4:$S$4003,出库单!$D$4:$D$4003,$A641,出库单!$K$4:$K$4003,"对外销售",出库单!$U$4:$U$4003,"正常",出库单!$C$4:$C$4003,"&gt;="&amp;账期起,出库单!$C$4:$C$4003,"&lt;="&amp;账期止),0))</f>
        <v/>
      </c>
      <c r="T641" s="27">
        <f>IF($A641="","",SUMIFS(出库单!$J$4:$J$4003,出库单!$D$4:$D$4003,$A641,出库单!$K$4:$K$4003,"盘亏",出库单!$U$4:$U$4003,"正常",出库单!$C$4:$C$4003,"&gt;="&amp;账期起,出库单!$C$4:$C$4003,"&lt;="&amp;账期止))</f>
        <v/>
      </c>
      <c r="U641" s="26">
        <f>IF($A641="","",ROUND(SUMIFS(出库单!$S$4:$S$4003,出库单!$D$4:$D$4003,$A641,出库单!$K$4:$K$4003,"盘亏",出库单!$U$4:$U$4003,"正常",出库单!$C$4:$C$4003,"&gt;="&amp;账期起,出库单!$C$4:$C$4003,"&lt;="&amp;账期止),0))</f>
        <v/>
      </c>
      <c r="V641" s="27">
        <f>IF($A641="","",SUMIFS(出库单!$J$4:$J$4003,出库单!$D$4:$D$4003,$A641,出库单!$K$4:$K$4003,"退货给供应商",出库单!$U$4:$U$4003,"正常",出库单!$C$4:$C$4003,"&gt;="&amp;账期起,出库单!$C$4:$C$4003,"&lt;="&amp;账期止))</f>
        <v/>
      </c>
      <c r="W641" s="26">
        <f>IF($A641="","",ROUND(SUMIFS(出库单!$S$4:$S$4003,出库单!$D$4:$D$4003,$A641,出库单!$K$4:$K$4003,"退货给供应商",出库单!$U$4:$U$4003,"正常",出库单!$C$4:$C$4003,"&gt;="&amp;账期起,出库单!$C$4:$C$4003,"&lt;="&amp;账期止),0))</f>
        <v/>
      </c>
      <c r="X641" s="27">
        <f>IF($A641="","",ROUND(N($G641)+$I641+$L641+$N641-$P641-$R641-$T641-$V641,3))</f>
        <v/>
      </c>
      <c r="Y641" s="26">
        <f>IF($A641="","",ROUND(N($H641)+$J641+$M641+$O641-$Q641-$S641-$U641-$W641,0))</f>
        <v/>
      </c>
      <c r="Z641" s="24">
        <f>IF($A641="","",IF(COUNTIFS(入库单!$G$4:$G$2503,$A641,入库单!$Y$4:$Y$2503,"待补价")+COUNTIFS(入库单!$G$4:$G$2503,$A641,入库单!$Y$4:$Y$2503,"暂估")&gt;0,"不可信","可信"))</f>
        <v/>
      </c>
      <c r="AA641" s="24">
        <f>IF($A641="","",IF($X641&lt;-0.001,"※账面负库存，查一下是不是漏记入库",IF(AND(ROUND($X641,3)=0,ABS($Y641)&gt;1),"※数量已经是 0，金额还挂着 "&amp;TEXT($Y641,"#,##0")&amp;" 先令",IF(AND($X641&gt;0,$Y641&lt;=0,$K641=0),"※有数量没金额（这个物料一直没填过进价）",IF($Z641="不可信","△成本含待补价/暂估，毛利仅供参考","")))))</f>
        <v/>
      </c>
    </row>
    <row r="642">
      <c r="A642" s="24">
        <f>IF(物料档案!$A641="","",物料档案!$A641)</f>
        <v/>
      </c>
      <c r="B642" s="24">
        <f>IF($A642="","",IFERROR(VLOOKUP($A642,物料档案!$A$4:$P$1203,3,0),""))</f>
        <v/>
      </c>
      <c r="C642" s="24">
        <f>IF($A642="","",IFERROR(VLOOKUP($A642,物料档案!$A$4:$P$1203,4,0),""))</f>
        <v/>
      </c>
      <c r="D642" s="24">
        <f>IF($A642="","",IFERROR(VLOOKUP($A642,物料档案!$A$4:$P$1203,5,0),""))</f>
        <v/>
      </c>
      <c r="E642" s="24">
        <f>IF($A642="","",IFERROR(VLOOKUP($A642,物料档案!$A$4:$P$1203,2,0),""))</f>
        <v/>
      </c>
      <c r="F642" s="24">
        <f>IF($A642="","",IFERROR(VLOOKUP($A642,物料档案!$A$4:$P$1203,6,0),""))</f>
        <v/>
      </c>
      <c r="G642" s="23" t="n"/>
      <c r="H642" s="32" t="n"/>
      <c r="I642" s="27">
        <f>IF($A642="","",SUMIFS(入库单!$K$4:$K$2503,入库单!$G$4:$G$2503,$A642,入库单!$X$4:$X$2503,"采购入库",入库单!$Z$4:$Z$2503,"正常",入库单!$C$4:$C$2503,"&gt;="&amp;账期起,入库单!$C$4:$C$2503,"&lt;="&amp;账期止))</f>
        <v/>
      </c>
      <c r="J642" s="26">
        <f>IF($A642="","",SUMIFS(入库单!$V$4:$V$2503,入库单!$G$4:$G$2503,$A642,入库单!$X$4:$X$2503,"采购入库",入库单!$Z$4:$Z$2503,"正常",入库单!$C$4:$C$2503,"&gt;="&amp;账期起,入库单!$C$4:$C$2503,"&lt;="&amp;账期止))</f>
        <v/>
      </c>
      <c r="K642" s="26">
        <f>IF($A642="","",IFERROR(ROUND((N($H642)+N($J642))/(N($G642)+N($I642)),2),0))</f>
        <v/>
      </c>
      <c r="L642" s="27">
        <f>IF($A642="","",SUMIFS(入库单!$K$4:$K$2503,入库单!$G$4:$G$2503,$A642,入库单!$X$4:$X$2503,"盘盈",入库单!$Z$4:$Z$2503,"正常",入库单!$C$4:$C$2503,"&gt;="&amp;账期起,入库单!$C$4:$C$2503,"&lt;="&amp;账期止))</f>
        <v/>
      </c>
      <c r="M642" s="26">
        <f>IF($A642="","",ROUND($L642*$K642,0))</f>
        <v/>
      </c>
      <c r="N642" s="27">
        <f>IF($A642="","",SUMIFS(入库单!$K$4:$K$2503,入库单!$G$4:$G$2503,$A642,入库单!$X$4:$X$2503,"矿区退库",入库单!$Z$4:$Z$2503,"正常",入库单!$C$4:$C$2503,"&gt;="&amp;账期起,入库单!$C$4:$C$2503,"&lt;="&amp;账期止))</f>
        <v/>
      </c>
      <c r="O642" s="26">
        <f>IF($A642="","",ROUND($N642*$K642,0))</f>
        <v/>
      </c>
      <c r="P642" s="27">
        <f>IF($A642="","",SUMIFS(出库单!$J$4:$J$4003,出库单!$D$4:$D$4003,$A642,出库单!$K$4:$K$4003,"自用消耗",出库单!$U$4:$U$4003,"正常",出库单!$C$4:$C$4003,"&gt;="&amp;账期起,出库单!$C$4:$C$4003,"&lt;="&amp;账期止))</f>
        <v/>
      </c>
      <c r="Q642" s="26">
        <f>IF($A642="","",ROUND(SUMIFS(出库单!$S$4:$S$4003,出库单!$D$4:$D$4003,$A642,出库单!$K$4:$K$4003,"自用消耗",出库单!$U$4:$U$4003,"正常",出库单!$C$4:$C$4003,"&gt;="&amp;账期起,出库单!$C$4:$C$4003,"&lt;="&amp;账期止),0))</f>
        <v/>
      </c>
      <c r="R642" s="27">
        <f>IF($A642="","",SUMIFS(出库单!$J$4:$J$4003,出库单!$D$4:$D$4003,$A642,出库单!$K$4:$K$4003,"对外销售",出库单!$U$4:$U$4003,"正常",出库单!$C$4:$C$4003,"&gt;="&amp;账期起,出库单!$C$4:$C$4003,"&lt;="&amp;账期止))</f>
        <v/>
      </c>
      <c r="S642" s="26">
        <f>IF($A642="","",ROUND(SUMIFS(出库单!$S$4:$S$4003,出库单!$D$4:$D$4003,$A642,出库单!$K$4:$K$4003,"对外销售",出库单!$U$4:$U$4003,"正常",出库单!$C$4:$C$4003,"&gt;="&amp;账期起,出库单!$C$4:$C$4003,"&lt;="&amp;账期止),0))</f>
        <v/>
      </c>
      <c r="T642" s="27">
        <f>IF($A642="","",SUMIFS(出库单!$J$4:$J$4003,出库单!$D$4:$D$4003,$A642,出库单!$K$4:$K$4003,"盘亏",出库单!$U$4:$U$4003,"正常",出库单!$C$4:$C$4003,"&gt;="&amp;账期起,出库单!$C$4:$C$4003,"&lt;="&amp;账期止))</f>
        <v/>
      </c>
      <c r="U642" s="26">
        <f>IF($A642="","",ROUND(SUMIFS(出库单!$S$4:$S$4003,出库单!$D$4:$D$4003,$A642,出库单!$K$4:$K$4003,"盘亏",出库单!$U$4:$U$4003,"正常",出库单!$C$4:$C$4003,"&gt;="&amp;账期起,出库单!$C$4:$C$4003,"&lt;="&amp;账期止),0))</f>
        <v/>
      </c>
      <c r="V642" s="27">
        <f>IF($A642="","",SUMIFS(出库单!$J$4:$J$4003,出库单!$D$4:$D$4003,$A642,出库单!$K$4:$K$4003,"退货给供应商",出库单!$U$4:$U$4003,"正常",出库单!$C$4:$C$4003,"&gt;="&amp;账期起,出库单!$C$4:$C$4003,"&lt;="&amp;账期止))</f>
        <v/>
      </c>
      <c r="W642" s="26">
        <f>IF($A642="","",ROUND(SUMIFS(出库单!$S$4:$S$4003,出库单!$D$4:$D$4003,$A642,出库单!$K$4:$K$4003,"退货给供应商",出库单!$U$4:$U$4003,"正常",出库单!$C$4:$C$4003,"&gt;="&amp;账期起,出库单!$C$4:$C$4003,"&lt;="&amp;账期止),0))</f>
        <v/>
      </c>
      <c r="X642" s="27">
        <f>IF($A642="","",ROUND(N($G642)+$I642+$L642+$N642-$P642-$R642-$T642-$V642,3))</f>
        <v/>
      </c>
      <c r="Y642" s="26">
        <f>IF($A642="","",ROUND(N($H642)+$J642+$M642+$O642-$Q642-$S642-$U642-$W642,0))</f>
        <v/>
      </c>
      <c r="Z642" s="24">
        <f>IF($A642="","",IF(COUNTIFS(入库单!$G$4:$G$2503,$A642,入库单!$Y$4:$Y$2503,"待补价")+COUNTIFS(入库单!$G$4:$G$2503,$A642,入库单!$Y$4:$Y$2503,"暂估")&gt;0,"不可信","可信"))</f>
        <v/>
      </c>
      <c r="AA642" s="24">
        <f>IF($A642="","",IF($X642&lt;-0.001,"※账面负库存，查一下是不是漏记入库",IF(AND(ROUND($X642,3)=0,ABS($Y642)&gt;1),"※数量已经是 0，金额还挂着 "&amp;TEXT($Y642,"#,##0")&amp;" 先令",IF(AND($X642&gt;0,$Y642&lt;=0,$K642=0),"※有数量没金额（这个物料一直没填过进价）",IF($Z642="不可信","△成本含待补价/暂估，毛利仅供参考","")))))</f>
        <v/>
      </c>
    </row>
    <row r="643">
      <c r="A643" s="24">
        <f>IF(物料档案!$A642="","",物料档案!$A642)</f>
        <v/>
      </c>
      <c r="B643" s="24">
        <f>IF($A643="","",IFERROR(VLOOKUP($A643,物料档案!$A$4:$P$1203,3,0),""))</f>
        <v/>
      </c>
      <c r="C643" s="24">
        <f>IF($A643="","",IFERROR(VLOOKUP($A643,物料档案!$A$4:$P$1203,4,0),""))</f>
        <v/>
      </c>
      <c r="D643" s="24">
        <f>IF($A643="","",IFERROR(VLOOKUP($A643,物料档案!$A$4:$P$1203,5,0),""))</f>
        <v/>
      </c>
      <c r="E643" s="24">
        <f>IF($A643="","",IFERROR(VLOOKUP($A643,物料档案!$A$4:$P$1203,2,0),""))</f>
        <v/>
      </c>
      <c r="F643" s="24">
        <f>IF($A643="","",IFERROR(VLOOKUP($A643,物料档案!$A$4:$P$1203,6,0),""))</f>
        <v/>
      </c>
      <c r="G643" s="23" t="n"/>
      <c r="H643" s="32" t="n"/>
      <c r="I643" s="27">
        <f>IF($A643="","",SUMIFS(入库单!$K$4:$K$2503,入库单!$G$4:$G$2503,$A643,入库单!$X$4:$X$2503,"采购入库",入库单!$Z$4:$Z$2503,"正常",入库单!$C$4:$C$2503,"&gt;="&amp;账期起,入库单!$C$4:$C$2503,"&lt;="&amp;账期止))</f>
        <v/>
      </c>
      <c r="J643" s="26">
        <f>IF($A643="","",SUMIFS(入库单!$V$4:$V$2503,入库单!$G$4:$G$2503,$A643,入库单!$X$4:$X$2503,"采购入库",入库单!$Z$4:$Z$2503,"正常",入库单!$C$4:$C$2503,"&gt;="&amp;账期起,入库单!$C$4:$C$2503,"&lt;="&amp;账期止))</f>
        <v/>
      </c>
      <c r="K643" s="26">
        <f>IF($A643="","",IFERROR(ROUND((N($H643)+N($J643))/(N($G643)+N($I643)),2),0))</f>
        <v/>
      </c>
      <c r="L643" s="27">
        <f>IF($A643="","",SUMIFS(入库单!$K$4:$K$2503,入库单!$G$4:$G$2503,$A643,入库单!$X$4:$X$2503,"盘盈",入库单!$Z$4:$Z$2503,"正常",入库单!$C$4:$C$2503,"&gt;="&amp;账期起,入库单!$C$4:$C$2503,"&lt;="&amp;账期止))</f>
        <v/>
      </c>
      <c r="M643" s="26">
        <f>IF($A643="","",ROUND($L643*$K643,0))</f>
        <v/>
      </c>
      <c r="N643" s="27">
        <f>IF($A643="","",SUMIFS(入库单!$K$4:$K$2503,入库单!$G$4:$G$2503,$A643,入库单!$X$4:$X$2503,"矿区退库",入库单!$Z$4:$Z$2503,"正常",入库单!$C$4:$C$2503,"&gt;="&amp;账期起,入库单!$C$4:$C$2503,"&lt;="&amp;账期止))</f>
        <v/>
      </c>
      <c r="O643" s="26">
        <f>IF($A643="","",ROUND($N643*$K643,0))</f>
        <v/>
      </c>
      <c r="P643" s="27">
        <f>IF($A643="","",SUMIFS(出库单!$J$4:$J$4003,出库单!$D$4:$D$4003,$A643,出库单!$K$4:$K$4003,"自用消耗",出库单!$U$4:$U$4003,"正常",出库单!$C$4:$C$4003,"&gt;="&amp;账期起,出库单!$C$4:$C$4003,"&lt;="&amp;账期止))</f>
        <v/>
      </c>
      <c r="Q643" s="26">
        <f>IF($A643="","",ROUND(SUMIFS(出库单!$S$4:$S$4003,出库单!$D$4:$D$4003,$A643,出库单!$K$4:$K$4003,"自用消耗",出库单!$U$4:$U$4003,"正常",出库单!$C$4:$C$4003,"&gt;="&amp;账期起,出库单!$C$4:$C$4003,"&lt;="&amp;账期止),0))</f>
        <v/>
      </c>
      <c r="R643" s="27">
        <f>IF($A643="","",SUMIFS(出库单!$J$4:$J$4003,出库单!$D$4:$D$4003,$A643,出库单!$K$4:$K$4003,"对外销售",出库单!$U$4:$U$4003,"正常",出库单!$C$4:$C$4003,"&gt;="&amp;账期起,出库单!$C$4:$C$4003,"&lt;="&amp;账期止))</f>
        <v/>
      </c>
      <c r="S643" s="26">
        <f>IF($A643="","",ROUND(SUMIFS(出库单!$S$4:$S$4003,出库单!$D$4:$D$4003,$A643,出库单!$K$4:$K$4003,"对外销售",出库单!$U$4:$U$4003,"正常",出库单!$C$4:$C$4003,"&gt;="&amp;账期起,出库单!$C$4:$C$4003,"&lt;="&amp;账期止),0))</f>
        <v/>
      </c>
      <c r="T643" s="27">
        <f>IF($A643="","",SUMIFS(出库单!$J$4:$J$4003,出库单!$D$4:$D$4003,$A643,出库单!$K$4:$K$4003,"盘亏",出库单!$U$4:$U$4003,"正常",出库单!$C$4:$C$4003,"&gt;="&amp;账期起,出库单!$C$4:$C$4003,"&lt;="&amp;账期止))</f>
        <v/>
      </c>
      <c r="U643" s="26">
        <f>IF($A643="","",ROUND(SUMIFS(出库单!$S$4:$S$4003,出库单!$D$4:$D$4003,$A643,出库单!$K$4:$K$4003,"盘亏",出库单!$U$4:$U$4003,"正常",出库单!$C$4:$C$4003,"&gt;="&amp;账期起,出库单!$C$4:$C$4003,"&lt;="&amp;账期止),0))</f>
        <v/>
      </c>
      <c r="V643" s="27">
        <f>IF($A643="","",SUMIFS(出库单!$J$4:$J$4003,出库单!$D$4:$D$4003,$A643,出库单!$K$4:$K$4003,"退货给供应商",出库单!$U$4:$U$4003,"正常",出库单!$C$4:$C$4003,"&gt;="&amp;账期起,出库单!$C$4:$C$4003,"&lt;="&amp;账期止))</f>
        <v/>
      </c>
      <c r="W643" s="26">
        <f>IF($A643="","",ROUND(SUMIFS(出库单!$S$4:$S$4003,出库单!$D$4:$D$4003,$A643,出库单!$K$4:$K$4003,"退货给供应商",出库单!$U$4:$U$4003,"正常",出库单!$C$4:$C$4003,"&gt;="&amp;账期起,出库单!$C$4:$C$4003,"&lt;="&amp;账期止),0))</f>
        <v/>
      </c>
      <c r="X643" s="27">
        <f>IF($A643="","",ROUND(N($G643)+$I643+$L643+$N643-$P643-$R643-$T643-$V643,3))</f>
        <v/>
      </c>
      <c r="Y643" s="26">
        <f>IF($A643="","",ROUND(N($H643)+$J643+$M643+$O643-$Q643-$S643-$U643-$W643,0))</f>
        <v/>
      </c>
      <c r="Z643" s="24">
        <f>IF($A643="","",IF(COUNTIFS(入库单!$G$4:$G$2503,$A643,入库单!$Y$4:$Y$2503,"待补价")+COUNTIFS(入库单!$G$4:$G$2503,$A643,入库单!$Y$4:$Y$2503,"暂估")&gt;0,"不可信","可信"))</f>
        <v/>
      </c>
      <c r="AA643" s="24">
        <f>IF($A643="","",IF($X643&lt;-0.001,"※账面负库存，查一下是不是漏记入库",IF(AND(ROUND($X643,3)=0,ABS($Y643)&gt;1),"※数量已经是 0，金额还挂着 "&amp;TEXT($Y643,"#,##0")&amp;" 先令",IF(AND($X643&gt;0,$Y643&lt;=0,$K643=0),"※有数量没金额（这个物料一直没填过进价）",IF($Z643="不可信","△成本含待补价/暂估，毛利仅供参考","")))))</f>
        <v/>
      </c>
    </row>
    <row r="644">
      <c r="A644" s="24">
        <f>IF(物料档案!$A643="","",物料档案!$A643)</f>
        <v/>
      </c>
      <c r="B644" s="24">
        <f>IF($A644="","",IFERROR(VLOOKUP($A644,物料档案!$A$4:$P$1203,3,0),""))</f>
        <v/>
      </c>
      <c r="C644" s="24">
        <f>IF($A644="","",IFERROR(VLOOKUP($A644,物料档案!$A$4:$P$1203,4,0),""))</f>
        <v/>
      </c>
      <c r="D644" s="24">
        <f>IF($A644="","",IFERROR(VLOOKUP($A644,物料档案!$A$4:$P$1203,5,0),""))</f>
        <v/>
      </c>
      <c r="E644" s="24">
        <f>IF($A644="","",IFERROR(VLOOKUP($A644,物料档案!$A$4:$P$1203,2,0),""))</f>
        <v/>
      </c>
      <c r="F644" s="24">
        <f>IF($A644="","",IFERROR(VLOOKUP($A644,物料档案!$A$4:$P$1203,6,0),""))</f>
        <v/>
      </c>
      <c r="G644" s="23" t="n"/>
      <c r="H644" s="32" t="n"/>
      <c r="I644" s="27">
        <f>IF($A644="","",SUMIFS(入库单!$K$4:$K$2503,入库单!$G$4:$G$2503,$A644,入库单!$X$4:$X$2503,"采购入库",入库单!$Z$4:$Z$2503,"正常",入库单!$C$4:$C$2503,"&gt;="&amp;账期起,入库单!$C$4:$C$2503,"&lt;="&amp;账期止))</f>
        <v/>
      </c>
      <c r="J644" s="26">
        <f>IF($A644="","",SUMIFS(入库单!$V$4:$V$2503,入库单!$G$4:$G$2503,$A644,入库单!$X$4:$X$2503,"采购入库",入库单!$Z$4:$Z$2503,"正常",入库单!$C$4:$C$2503,"&gt;="&amp;账期起,入库单!$C$4:$C$2503,"&lt;="&amp;账期止))</f>
        <v/>
      </c>
      <c r="K644" s="26">
        <f>IF($A644="","",IFERROR(ROUND((N($H644)+N($J644))/(N($G644)+N($I644)),2),0))</f>
        <v/>
      </c>
      <c r="L644" s="27">
        <f>IF($A644="","",SUMIFS(入库单!$K$4:$K$2503,入库单!$G$4:$G$2503,$A644,入库单!$X$4:$X$2503,"盘盈",入库单!$Z$4:$Z$2503,"正常",入库单!$C$4:$C$2503,"&gt;="&amp;账期起,入库单!$C$4:$C$2503,"&lt;="&amp;账期止))</f>
        <v/>
      </c>
      <c r="M644" s="26">
        <f>IF($A644="","",ROUND($L644*$K644,0))</f>
        <v/>
      </c>
      <c r="N644" s="27">
        <f>IF($A644="","",SUMIFS(入库单!$K$4:$K$2503,入库单!$G$4:$G$2503,$A644,入库单!$X$4:$X$2503,"矿区退库",入库单!$Z$4:$Z$2503,"正常",入库单!$C$4:$C$2503,"&gt;="&amp;账期起,入库单!$C$4:$C$2503,"&lt;="&amp;账期止))</f>
        <v/>
      </c>
      <c r="O644" s="26">
        <f>IF($A644="","",ROUND($N644*$K644,0))</f>
        <v/>
      </c>
      <c r="P644" s="27">
        <f>IF($A644="","",SUMIFS(出库单!$J$4:$J$4003,出库单!$D$4:$D$4003,$A644,出库单!$K$4:$K$4003,"自用消耗",出库单!$U$4:$U$4003,"正常",出库单!$C$4:$C$4003,"&gt;="&amp;账期起,出库单!$C$4:$C$4003,"&lt;="&amp;账期止))</f>
        <v/>
      </c>
      <c r="Q644" s="26">
        <f>IF($A644="","",ROUND(SUMIFS(出库单!$S$4:$S$4003,出库单!$D$4:$D$4003,$A644,出库单!$K$4:$K$4003,"自用消耗",出库单!$U$4:$U$4003,"正常",出库单!$C$4:$C$4003,"&gt;="&amp;账期起,出库单!$C$4:$C$4003,"&lt;="&amp;账期止),0))</f>
        <v/>
      </c>
      <c r="R644" s="27">
        <f>IF($A644="","",SUMIFS(出库单!$J$4:$J$4003,出库单!$D$4:$D$4003,$A644,出库单!$K$4:$K$4003,"对外销售",出库单!$U$4:$U$4003,"正常",出库单!$C$4:$C$4003,"&gt;="&amp;账期起,出库单!$C$4:$C$4003,"&lt;="&amp;账期止))</f>
        <v/>
      </c>
      <c r="S644" s="26">
        <f>IF($A644="","",ROUND(SUMIFS(出库单!$S$4:$S$4003,出库单!$D$4:$D$4003,$A644,出库单!$K$4:$K$4003,"对外销售",出库单!$U$4:$U$4003,"正常",出库单!$C$4:$C$4003,"&gt;="&amp;账期起,出库单!$C$4:$C$4003,"&lt;="&amp;账期止),0))</f>
        <v/>
      </c>
      <c r="T644" s="27">
        <f>IF($A644="","",SUMIFS(出库单!$J$4:$J$4003,出库单!$D$4:$D$4003,$A644,出库单!$K$4:$K$4003,"盘亏",出库单!$U$4:$U$4003,"正常",出库单!$C$4:$C$4003,"&gt;="&amp;账期起,出库单!$C$4:$C$4003,"&lt;="&amp;账期止))</f>
        <v/>
      </c>
      <c r="U644" s="26">
        <f>IF($A644="","",ROUND(SUMIFS(出库单!$S$4:$S$4003,出库单!$D$4:$D$4003,$A644,出库单!$K$4:$K$4003,"盘亏",出库单!$U$4:$U$4003,"正常",出库单!$C$4:$C$4003,"&gt;="&amp;账期起,出库单!$C$4:$C$4003,"&lt;="&amp;账期止),0))</f>
        <v/>
      </c>
      <c r="V644" s="27">
        <f>IF($A644="","",SUMIFS(出库单!$J$4:$J$4003,出库单!$D$4:$D$4003,$A644,出库单!$K$4:$K$4003,"退货给供应商",出库单!$U$4:$U$4003,"正常",出库单!$C$4:$C$4003,"&gt;="&amp;账期起,出库单!$C$4:$C$4003,"&lt;="&amp;账期止))</f>
        <v/>
      </c>
      <c r="W644" s="26">
        <f>IF($A644="","",ROUND(SUMIFS(出库单!$S$4:$S$4003,出库单!$D$4:$D$4003,$A644,出库单!$K$4:$K$4003,"退货给供应商",出库单!$U$4:$U$4003,"正常",出库单!$C$4:$C$4003,"&gt;="&amp;账期起,出库单!$C$4:$C$4003,"&lt;="&amp;账期止),0))</f>
        <v/>
      </c>
      <c r="X644" s="27">
        <f>IF($A644="","",ROUND(N($G644)+$I644+$L644+$N644-$P644-$R644-$T644-$V644,3))</f>
        <v/>
      </c>
      <c r="Y644" s="26">
        <f>IF($A644="","",ROUND(N($H644)+$J644+$M644+$O644-$Q644-$S644-$U644-$W644,0))</f>
        <v/>
      </c>
      <c r="Z644" s="24">
        <f>IF($A644="","",IF(COUNTIFS(入库单!$G$4:$G$2503,$A644,入库单!$Y$4:$Y$2503,"待补价")+COUNTIFS(入库单!$G$4:$G$2503,$A644,入库单!$Y$4:$Y$2503,"暂估")&gt;0,"不可信","可信"))</f>
        <v/>
      </c>
      <c r="AA644" s="24">
        <f>IF($A644="","",IF($X644&lt;-0.001,"※账面负库存，查一下是不是漏记入库",IF(AND(ROUND($X644,3)=0,ABS($Y644)&gt;1),"※数量已经是 0，金额还挂着 "&amp;TEXT($Y644,"#,##0")&amp;" 先令",IF(AND($X644&gt;0,$Y644&lt;=0,$K644=0),"※有数量没金额（这个物料一直没填过进价）",IF($Z644="不可信","△成本含待补价/暂估，毛利仅供参考","")))))</f>
        <v/>
      </c>
    </row>
    <row r="645">
      <c r="A645" s="24">
        <f>IF(物料档案!$A644="","",物料档案!$A644)</f>
        <v/>
      </c>
      <c r="B645" s="24">
        <f>IF($A645="","",IFERROR(VLOOKUP($A645,物料档案!$A$4:$P$1203,3,0),""))</f>
        <v/>
      </c>
      <c r="C645" s="24">
        <f>IF($A645="","",IFERROR(VLOOKUP($A645,物料档案!$A$4:$P$1203,4,0),""))</f>
        <v/>
      </c>
      <c r="D645" s="24">
        <f>IF($A645="","",IFERROR(VLOOKUP($A645,物料档案!$A$4:$P$1203,5,0),""))</f>
        <v/>
      </c>
      <c r="E645" s="24">
        <f>IF($A645="","",IFERROR(VLOOKUP($A645,物料档案!$A$4:$P$1203,2,0),""))</f>
        <v/>
      </c>
      <c r="F645" s="24">
        <f>IF($A645="","",IFERROR(VLOOKUP($A645,物料档案!$A$4:$P$1203,6,0),""))</f>
        <v/>
      </c>
      <c r="G645" s="23" t="n"/>
      <c r="H645" s="32" t="n"/>
      <c r="I645" s="27">
        <f>IF($A645="","",SUMIFS(入库单!$K$4:$K$2503,入库单!$G$4:$G$2503,$A645,入库单!$X$4:$X$2503,"采购入库",入库单!$Z$4:$Z$2503,"正常",入库单!$C$4:$C$2503,"&gt;="&amp;账期起,入库单!$C$4:$C$2503,"&lt;="&amp;账期止))</f>
        <v/>
      </c>
      <c r="J645" s="26">
        <f>IF($A645="","",SUMIFS(入库单!$V$4:$V$2503,入库单!$G$4:$G$2503,$A645,入库单!$X$4:$X$2503,"采购入库",入库单!$Z$4:$Z$2503,"正常",入库单!$C$4:$C$2503,"&gt;="&amp;账期起,入库单!$C$4:$C$2503,"&lt;="&amp;账期止))</f>
        <v/>
      </c>
      <c r="K645" s="26">
        <f>IF($A645="","",IFERROR(ROUND((N($H645)+N($J645))/(N($G645)+N($I645)),2),0))</f>
        <v/>
      </c>
      <c r="L645" s="27">
        <f>IF($A645="","",SUMIFS(入库单!$K$4:$K$2503,入库单!$G$4:$G$2503,$A645,入库单!$X$4:$X$2503,"盘盈",入库单!$Z$4:$Z$2503,"正常",入库单!$C$4:$C$2503,"&gt;="&amp;账期起,入库单!$C$4:$C$2503,"&lt;="&amp;账期止))</f>
        <v/>
      </c>
      <c r="M645" s="26">
        <f>IF($A645="","",ROUND($L645*$K645,0))</f>
        <v/>
      </c>
      <c r="N645" s="27">
        <f>IF($A645="","",SUMIFS(入库单!$K$4:$K$2503,入库单!$G$4:$G$2503,$A645,入库单!$X$4:$X$2503,"矿区退库",入库单!$Z$4:$Z$2503,"正常",入库单!$C$4:$C$2503,"&gt;="&amp;账期起,入库单!$C$4:$C$2503,"&lt;="&amp;账期止))</f>
        <v/>
      </c>
      <c r="O645" s="26">
        <f>IF($A645="","",ROUND($N645*$K645,0))</f>
        <v/>
      </c>
      <c r="P645" s="27">
        <f>IF($A645="","",SUMIFS(出库单!$J$4:$J$4003,出库单!$D$4:$D$4003,$A645,出库单!$K$4:$K$4003,"自用消耗",出库单!$U$4:$U$4003,"正常",出库单!$C$4:$C$4003,"&gt;="&amp;账期起,出库单!$C$4:$C$4003,"&lt;="&amp;账期止))</f>
        <v/>
      </c>
      <c r="Q645" s="26">
        <f>IF($A645="","",ROUND(SUMIFS(出库单!$S$4:$S$4003,出库单!$D$4:$D$4003,$A645,出库单!$K$4:$K$4003,"自用消耗",出库单!$U$4:$U$4003,"正常",出库单!$C$4:$C$4003,"&gt;="&amp;账期起,出库单!$C$4:$C$4003,"&lt;="&amp;账期止),0))</f>
        <v/>
      </c>
      <c r="R645" s="27">
        <f>IF($A645="","",SUMIFS(出库单!$J$4:$J$4003,出库单!$D$4:$D$4003,$A645,出库单!$K$4:$K$4003,"对外销售",出库单!$U$4:$U$4003,"正常",出库单!$C$4:$C$4003,"&gt;="&amp;账期起,出库单!$C$4:$C$4003,"&lt;="&amp;账期止))</f>
        <v/>
      </c>
      <c r="S645" s="26">
        <f>IF($A645="","",ROUND(SUMIFS(出库单!$S$4:$S$4003,出库单!$D$4:$D$4003,$A645,出库单!$K$4:$K$4003,"对外销售",出库单!$U$4:$U$4003,"正常",出库单!$C$4:$C$4003,"&gt;="&amp;账期起,出库单!$C$4:$C$4003,"&lt;="&amp;账期止),0))</f>
        <v/>
      </c>
      <c r="T645" s="27">
        <f>IF($A645="","",SUMIFS(出库单!$J$4:$J$4003,出库单!$D$4:$D$4003,$A645,出库单!$K$4:$K$4003,"盘亏",出库单!$U$4:$U$4003,"正常",出库单!$C$4:$C$4003,"&gt;="&amp;账期起,出库单!$C$4:$C$4003,"&lt;="&amp;账期止))</f>
        <v/>
      </c>
      <c r="U645" s="26">
        <f>IF($A645="","",ROUND(SUMIFS(出库单!$S$4:$S$4003,出库单!$D$4:$D$4003,$A645,出库单!$K$4:$K$4003,"盘亏",出库单!$U$4:$U$4003,"正常",出库单!$C$4:$C$4003,"&gt;="&amp;账期起,出库单!$C$4:$C$4003,"&lt;="&amp;账期止),0))</f>
        <v/>
      </c>
      <c r="V645" s="27">
        <f>IF($A645="","",SUMIFS(出库单!$J$4:$J$4003,出库单!$D$4:$D$4003,$A645,出库单!$K$4:$K$4003,"退货给供应商",出库单!$U$4:$U$4003,"正常",出库单!$C$4:$C$4003,"&gt;="&amp;账期起,出库单!$C$4:$C$4003,"&lt;="&amp;账期止))</f>
        <v/>
      </c>
      <c r="W645" s="26">
        <f>IF($A645="","",ROUND(SUMIFS(出库单!$S$4:$S$4003,出库单!$D$4:$D$4003,$A645,出库单!$K$4:$K$4003,"退货给供应商",出库单!$U$4:$U$4003,"正常",出库单!$C$4:$C$4003,"&gt;="&amp;账期起,出库单!$C$4:$C$4003,"&lt;="&amp;账期止),0))</f>
        <v/>
      </c>
      <c r="X645" s="27">
        <f>IF($A645="","",ROUND(N($G645)+$I645+$L645+$N645-$P645-$R645-$T645-$V645,3))</f>
        <v/>
      </c>
      <c r="Y645" s="26">
        <f>IF($A645="","",ROUND(N($H645)+$J645+$M645+$O645-$Q645-$S645-$U645-$W645,0))</f>
        <v/>
      </c>
      <c r="Z645" s="24">
        <f>IF($A645="","",IF(COUNTIFS(入库单!$G$4:$G$2503,$A645,入库单!$Y$4:$Y$2503,"待补价")+COUNTIFS(入库单!$G$4:$G$2503,$A645,入库单!$Y$4:$Y$2503,"暂估")&gt;0,"不可信","可信"))</f>
        <v/>
      </c>
      <c r="AA645" s="24">
        <f>IF($A645="","",IF($X645&lt;-0.001,"※账面负库存，查一下是不是漏记入库",IF(AND(ROUND($X645,3)=0,ABS($Y645)&gt;1),"※数量已经是 0，金额还挂着 "&amp;TEXT($Y645,"#,##0")&amp;" 先令",IF(AND($X645&gt;0,$Y645&lt;=0,$K645=0),"※有数量没金额（这个物料一直没填过进价）",IF($Z645="不可信","△成本含待补价/暂估，毛利仅供参考","")))))</f>
        <v/>
      </c>
    </row>
    <row r="646">
      <c r="A646" s="24">
        <f>IF(物料档案!$A645="","",物料档案!$A645)</f>
        <v/>
      </c>
      <c r="B646" s="24">
        <f>IF($A646="","",IFERROR(VLOOKUP($A646,物料档案!$A$4:$P$1203,3,0),""))</f>
        <v/>
      </c>
      <c r="C646" s="24">
        <f>IF($A646="","",IFERROR(VLOOKUP($A646,物料档案!$A$4:$P$1203,4,0),""))</f>
        <v/>
      </c>
      <c r="D646" s="24">
        <f>IF($A646="","",IFERROR(VLOOKUP($A646,物料档案!$A$4:$P$1203,5,0),""))</f>
        <v/>
      </c>
      <c r="E646" s="24">
        <f>IF($A646="","",IFERROR(VLOOKUP($A646,物料档案!$A$4:$P$1203,2,0),""))</f>
        <v/>
      </c>
      <c r="F646" s="24">
        <f>IF($A646="","",IFERROR(VLOOKUP($A646,物料档案!$A$4:$P$1203,6,0),""))</f>
        <v/>
      </c>
      <c r="G646" s="23" t="n"/>
      <c r="H646" s="32" t="n"/>
      <c r="I646" s="27">
        <f>IF($A646="","",SUMIFS(入库单!$K$4:$K$2503,入库单!$G$4:$G$2503,$A646,入库单!$X$4:$X$2503,"采购入库",入库单!$Z$4:$Z$2503,"正常",入库单!$C$4:$C$2503,"&gt;="&amp;账期起,入库单!$C$4:$C$2503,"&lt;="&amp;账期止))</f>
        <v/>
      </c>
      <c r="J646" s="26">
        <f>IF($A646="","",SUMIFS(入库单!$V$4:$V$2503,入库单!$G$4:$G$2503,$A646,入库单!$X$4:$X$2503,"采购入库",入库单!$Z$4:$Z$2503,"正常",入库单!$C$4:$C$2503,"&gt;="&amp;账期起,入库单!$C$4:$C$2503,"&lt;="&amp;账期止))</f>
        <v/>
      </c>
      <c r="K646" s="26">
        <f>IF($A646="","",IFERROR(ROUND((N($H646)+N($J646))/(N($G646)+N($I646)),2),0))</f>
        <v/>
      </c>
      <c r="L646" s="27">
        <f>IF($A646="","",SUMIFS(入库单!$K$4:$K$2503,入库单!$G$4:$G$2503,$A646,入库单!$X$4:$X$2503,"盘盈",入库单!$Z$4:$Z$2503,"正常",入库单!$C$4:$C$2503,"&gt;="&amp;账期起,入库单!$C$4:$C$2503,"&lt;="&amp;账期止))</f>
        <v/>
      </c>
      <c r="M646" s="26">
        <f>IF($A646="","",ROUND($L646*$K646,0))</f>
        <v/>
      </c>
      <c r="N646" s="27">
        <f>IF($A646="","",SUMIFS(入库单!$K$4:$K$2503,入库单!$G$4:$G$2503,$A646,入库单!$X$4:$X$2503,"矿区退库",入库单!$Z$4:$Z$2503,"正常",入库单!$C$4:$C$2503,"&gt;="&amp;账期起,入库单!$C$4:$C$2503,"&lt;="&amp;账期止))</f>
        <v/>
      </c>
      <c r="O646" s="26">
        <f>IF($A646="","",ROUND($N646*$K646,0))</f>
        <v/>
      </c>
      <c r="P646" s="27">
        <f>IF($A646="","",SUMIFS(出库单!$J$4:$J$4003,出库单!$D$4:$D$4003,$A646,出库单!$K$4:$K$4003,"自用消耗",出库单!$U$4:$U$4003,"正常",出库单!$C$4:$C$4003,"&gt;="&amp;账期起,出库单!$C$4:$C$4003,"&lt;="&amp;账期止))</f>
        <v/>
      </c>
      <c r="Q646" s="26">
        <f>IF($A646="","",ROUND(SUMIFS(出库单!$S$4:$S$4003,出库单!$D$4:$D$4003,$A646,出库单!$K$4:$K$4003,"自用消耗",出库单!$U$4:$U$4003,"正常",出库单!$C$4:$C$4003,"&gt;="&amp;账期起,出库单!$C$4:$C$4003,"&lt;="&amp;账期止),0))</f>
        <v/>
      </c>
      <c r="R646" s="27">
        <f>IF($A646="","",SUMIFS(出库单!$J$4:$J$4003,出库单!$D$4:$D$4003,$A646,出库单!$K$4:$K$4003,"对外销售",出库单!$U$4:$U$4003,"正常",出库单!$C$4:$C$4003,"&gt;="&amp;账期起,出库单!$C$4:$C$4003,"&lt;="&amp;账期止))</f>
        <v/>
      </c>
      <c r="S646" s="26">
        <f>IF($A646="","",ROUND(SUMIFS(出库单!$S$4:$S$4003,出库单!$D$4:$D$4003,$A646,出库单!$K$4:$K$4003,"对外销售",出库单!$U$4:$U$4003,"正常",出库单!$C$4:$C$4003,"&gt;="&amp;账期起,出库单!$C$4:$C$4003,"&lt;="&amp;账期止),0))</f>
        <v/>
      </c>
      <c r="T646" s="27">
        <f>IF($A646="","",SUMIFS(出库单!$J$4:$J$4003,出库单!$D$4:$D$4003,$A646,出库单!$K$4:$K$4003,"盘亏",出库单!$U$4:$U$4003,"正常",出库单!$C$4:$C$4003,"&gt;="&amp;账期起,出库单!$C$4:$C$4003,"&lt;="&amp;账期止))</f>
        <v/>
      </c>
      <c r="U646" s="26">
        <f>IF($A646="","",ROUND(SUMIFS(出库单!$S$4:$S$4003,出库单!$D$4:$D$4003,$A646,出库单!$K$4:$K$4003,"盘亏",出库单!$U$4:$U$4003,"正常",出库单!$C$4:$C$4003,"&gt;="&amp;账期起,出库单!$C$4:$C$4003,"&lt;="&amp;账期止),0))</f>
        <v/>
      </c>
      <c r="V646" s="27">
        <f>IF($A646="","",SUMIFS(出库单!$J$4:$J$4003,出库单!$D$4:$D$4003,$A646,出库单!$K$4:$K$4003,"退货给供应商",出库单!$U$4:$U$4003,"正常",出库单!$C$4:$C$4003,"&gt;="&amp;账期起,出库单!$C$4:$C$4003,"&lt;="&amp;账期止))</f>
        <v/>
      </c>
      <c r="W646" s="26">
        <f>IF($A646="","",ROUND(SUMIFS(出库单!$S$4:$S$4003,出库单!$D$4:$D$4003,$A646,出库单!$K$4:$K$4003,"退货给供应商",出库单!$U$4:$U$4003,"正常",出库单!$C$4:$C$4003,"&gt;="&amp;账期起,出库单!$C$4:$C$4003,"&lt;="&amp;账期止),0))</f>
        <v/>
      </c>
      <c r="X646" s="27">
        <f>IF($A646="","",ROUND(N($G646)+$I646+$L646+$N646-$P646-$R646-$T646-$V646,3))</f>
        <v/>
      </c>
      <c r="Y646" s="26">
        <f>IF($A646="","",ROUND(N($H646)+$J646+$M646+$O646-$Q646-$S646-$U646-$W646,0))</f>
        <v/>
      </c>
      <c r="Z646" s="24">
        <f>IF($A646="","",IF(COUNTIFS(入库单!$G$4:$G$2503,$A646,入库单!$Y$4:$Y$2503,"待补价")+COUNTIFS(入库单!$G$4:$G$2503,$A646,入库单!$Y$4:$Y$2503,"暂估")&gt;0,"不可信","可信"))</f>
        <v/>
      </c>
      <c r="AA646" s="24">
        <f>IF($A646="","",IF($X646&lt;-0.001,"※账面负库存，查一下是不是漏记入库",IF(AND(ROUND($X646,3)=0,ABS($Y646)&gt;1),"※数量已经是 0，金额还挂着 "&amp;TEXT($Y646,"#,##0")&amp;" 先令",IF(AND($X646&gt;0,$Y646&lt;=0,$K646=0),"※有数量没金额（这个物料一直没填过进价）",IF($Z646="不可信","△成本含待补价/暂估，毛利仅供参考","")))))</f>
        <v/>
      </c>
    </row>
    <row r="647">
      <c r="A647" s="24">
        <f>IF(物料档案!$A646="","",物料档案!$A646)</f>
        <v/>
      </c>
      <c r="B647" s="24">
        <f>IF($A647="","",IFERROR(VLOOKUP($A647,物料档案!$A$4:$P$1203,3,0),""))</f>
        <v/>
      </c>
      <c r="C647" s="24">
        <f>IF($A647="","",IFERROR(VLOOKUP($A647,物料档案!$A$4:$P$1203,4,0),""))</f>
        <v/>
      </c>
      <c r="D647" s="24">
        <f>IF($A647="","",IFERROR(VLOOKUP($A647,物料档案!$A$4:$P$1203,5,0),""))</f>
        <v/>
      </c>
      <c r="E647" s="24">
        <f>IF($A647="","",IFERROR(VLOOKUP($A647,物料档案!$A$4:$P$1203,2,0),""))</f>
        <v/>
      </c>
      <c r="F647" s="24">
        <f>IF($A647="","",IFERROR(VLOOKUP($A647,物料档案!$A$4:$P$1203,6,0),""))</f>
        <v/>
      </c>
      <c r="G647" s="23" t="n"/>
      <c r="H647" s="32" t="n"/>
      <c r="I647" s="27">
        <f>IF($A647="","",SUMIFS(入库单!$K$4:$K$2503,入库单!$G$4:$G$2503,$A647,入库单!$X$4:$X$2503,"采购入库",入库单!$Z$4:$Z$2503,"正常",入库单!$C$4:$C$2503,"&gt;="&amp;账期起,入库单!$C$4:$C$2503,"&lt;="&amp;账期止))</f>
        <v/>
      </c>
      <c r="J647" s="26">
        <f>IF($A647="","",SUMIFS(入库单!$V$4:$V$2503,入库单!$G$4:$G$2503,$A647,入库单!$X$4:$X$2503,"采购入库",入库单!$Z$4:$Z$2503,"正常",入库单!$C$4:$C$2503,"&gt;="&amp;账期起,入库单!$C$4:$C$2503,"&lt;="&amp;账期止))</f>
        <v/>
      </c>
      <c r="K647" s="26">
        <f>IF($A647="","",IFERROR(ROUND((N($H647)+N($J647))/(N($G647)+N($I647)),2),0))</f>
        <v/>
      </c>
      <c r="L647" s="27">
        <f>IF($A647="","",SUMIFS(入库单!$K$4:$K$2503,入库单!$G$4:$G$2503,$A647,入库单!$X$4:$X$2503,"盘盈",入库单!$Z$4:$Z$2503,"正常",入库单!$C$4:$C$2503,"&gt;="&amp;账期起,入库单!$C$4:$C$2503,"&lt;="&amp;账期止))</f>
        <v/>
      </c>
      <c r="M647" s="26">
        <f>IF($A647="","",ROUND($L647*$K647,0))</f>
        <v/>
      </c>
      <c r="N647" s="27">
        <f>IF($A647="","",SUMIFS(入库单!$K$4:$K$2503,入库单!$G$4:$G$2503,$A647,入库单!$X$4:$X$2503,"矿区退库",入库单!$Z$4:$Z$2503,"正常",入库单!$C$4:$C$2503,"&gt;="&amp;账期起,入库单!$C$4:$C$2503,"&lt;="&amp;账期止))</f>
        <v/>
      </c>
      <c r="O647" s="26">
        <f>IF($A647="","",ROUND($N647*$K647,0))</f>
        <v/>
      </c>
      <c r="P647" s="27">
        <f>IF($A647="","",SUMIFS(出库单!$J$4:$J$4003,出库单!$D$4:$D$4003,$A647,出库单!$K$4:$K$4003,"自用消耗",出库单!$U$4:$U$4003,"正常",出库单!$C$4:$C$4003,"&gt;="&amp;账期起,出库单!$C$4:$C$4003,"&lt;="&amp;账期止))</f>
        <v/>
      </c>
      <c r="Q647" s="26">
        <f>IF($A647="","",ROUND(SUMIFS(出库单!$S$4:$S$4003,出库单!$D$4:$D$4003,$A647,出库单!$K$4:$K$4003,"自用消耗",出库单!$U$4:$U$4003,"正常",出库单!$C$4:$C$4003,"&gt;="&amp;账期起,出库单!$C$4:$C$4003,"&lt;="&amp;账期止),0))</f>
        <v/>
      </c>
      <c r="R647" s="27">
        <f>IF($A647="","",SUMIFS(出库单!$J$4:$J$4003,出库单!$D$4:$D$4003,$A647,出库单!$K$4:$K$4003,"对外销售",出库单!$U$4:$U$4003,"正常",出库单!$C$4:$C$4003,"&gt;="&amp;账期起,出库单!$C$4:$C$4003,"&lt;="&amp;账期止))</f>
        <v/>
      </c>
      <c r="S647" s="26">
        <f>IF($A647="","",ROUND(SUMIFS(出库单!$S$4:$S$4003,出库单!$D$4:$D$4003,$A647,出库单!$K$4:$K$4003,"对外销售",出库单!$U$4:$U$4003,"正常",出库单!$C$4:$C$4003,"&gt;="&amp;账期起,出库单!$C$4:$C$4003,"&lt;="&amp;账期止),0))</f>
        <v/>
      </c>
      <c r="T647" s="27">
        <f>IF($A647="","",SUMIFS(出库单!$J$4:$J$4003,出库单!$D$4:$D$4003,$A647,出库单!$K$4:$K$4003,"盘亏",出库单!$U$4:$U$4003,"正常",出库单!$C$4:$C$4003,"&gt;="&amp;账期起,出库单!$C$4:$C$4003,"&lt;="&amp;账期止))</f>
        <v/>
      </c>
      <c r="U647" s="26">
        <f>IF($A647="","",ROUND(SUMIFS(出库单!$S$4:$S$4003,出库单!$D$4:$D$4003,$A647,出库单!$K$4:$K$4003,"盘亏",出库单!$U$4:$U$4003,"正常",出库单!$C$4:$C$4003,"&gt;="&amp;账期起,出库单!$C$4:$C$4003,"&lt;="&amp;账期止),0))</f>
        <v/>
      </c>
      <c r="V647" s="27">
        <f>IF($A647="","",SUMIFS(出库单!$J$4:$J$4003,出库单!$D$4:$D$4003,$A647,出库单!$K$4:$K$4003,"退货给供应商",出库单!$U$4:$U$4003,"正常",出库单!$C$4:$C$4003,"&gt;="&amp;账期起,出库单!$C$4:$C$4003,"&lt;="&amp;账期止))</f>
        <v/>
      </c>
      <c r="W647" s="26">
        <f>IF($A647="","",ROUND(SUMIFS(出库单!$S$4:$S$4003,出库单!$D$4:$D$4003,$A647,出库单!$K$4:$K$4003,"退货给供应商",出库单!$U$4:$U$4003,"正常",出库单!$C$4:$C$4003,"&gt;="&amp;账期起,出库单!$C$4:$C$4003,"&lt;="&amp;账期止),0))</f>
        <v/>
      </c>
      <c r="X647" s="27">
        <f>IF($A647="","",ROUND(N($G647)+$I647+$L647+$N647-$P647-$R647-$T647-$V647,3))</f>
        <v/>
      </c>
      <c r="Y647" s="26">
        <f>IF($A647="","",ROUND(N($H647)+$J647+$M647+$O647-$Q647-$S647-$U647-$W647,0))</f>
        <v/>
      </c>
      <c r="Z647" s="24">
        <f>IF($A647="","",IF(COUNTIFS(入库单!$G$4:$G$2503,$A647,入库单!$Y$4:$Y$2503,"待补价")+COUNTIFS(入库单!$G$4:$G$2503,$A647,入库单!$Y$4:$Y$2503,"暂估")&gt;0,"不可信","可信"))</f>
        <v/>
      </c>
      <c r="AA647" s="24">
        <f>IF($A647="","",IF($X647&lt;-0.001,"※账面负库存，查一下是不是漏记入库",IF(AND(ROUND($X647,3)=0,ABS($Y647)&gt;1),"※数量已经是 0，金额还挂着 "&amp;TEXT($Y647,"#,##0")&amp;" 先令",IF(AND($X647&gt;0,$Y647&lt;=0,$K647=0),"※有数量没金额（这个物料一直没填过进价）",IF($Z647="不可信","△成本含待补价/暂估，毛利仅供参考","")))))</f>
        <v/>
      </c>
    </row>
    <row r="648">
      <c r="A648" s="24">
        <f>IF(物料档案!$A647="","",物料档案!$A647)</f>
        <v/>
      </c>
      <c r="B648" s="24">
        <f>IF($A648="","",IFERROR(VLOOKUP($A648,物料档案!$A$4:$P$1203,3,0),""))</f>
        <v/>
      </c>
      <c r="C648" s="24">
        <f>IF($A648="","",IFERROR(VLOOKUP($A648,物料档案!$A$4:$P$1203,4,0),""))</f>
        <v/>
      </c>
      <c r="D648" s="24">
        <f>IF($A648="","",IFERROR(VLOOKUP($A648,物料档案!$A$4:$P$1203,5,0),""))</f>
        <v/>
      </c>
      <c r="E648" s="24">
        <f>IF($A648="","",IFERROR(VLOOKUP($A648,物料档案!$A$4:$P$1203,2,0),""))</f>
        <v/>
      </c>
      <c r="F648" s="24">
        <f>IF($A648="","",IFERROR(VLOOKUP($A648,物料档案!$A$4:$P$1203,6,0),""))</f>
        <v/>
      </c>
      <c r="G648" s="23" t="n"/>
      <c r="H648" s="32" t="n"/>
      <c r="I648" s="27">
        <f>IF($A648="","",SUMIFS(入库单!$K$4:$K$2503,入库单!$G$4:$G$2503,$A648,入库单!$X$4:$X$2503,"采购入库",入库单!$Z$4:$Z$2503,"正常",入库单!$C$4:$C$2503,"&gt;="&amp;账期起,入库单!$C$4:$C$2503,"&lt;="&amp;账期止))</f>
        <v/>
      </c>
      <c r="J648" s="26">
        <f>IF($A648="","",SUMIFS(入库单!$V$4:$V$2503,入库单!$G$4:$G$2503,$A648,入库单!$X$4:$X$2503,"采购入库",入库单!$Z$4:$Z$2503,"正常",入库单!$C$4:$C$2503,"&gt;="&amp;账期起,入库单!$C$4:$C$2503,"&lt;="&amp;账期止))</f>
        <v/>
      </c>
      <c r="K648" s="26">
        <f>IF($A648="","",IFERROR(ROUND((N($H648)+N($J648))/(N($G648)+N($I648)),2),0))</f>
        <v/>
      </c>
      <c r="L648" s="27">
        <f>IF($A648="","",SUMIFS(入库单!$K$4:$K$2503,入库单!$G$4:$G$2503,$A648,入库单!$X$4:$X$2503,"盘盈",入库单!$Z$4:$Z$2503,"正常",入库单!$C$4:$C$2503,"&gt;="&amp;账期起,入库单!$C$4:$C$2503,"&lt;="&amp;账期止))</f>
        <v/>
      </c>
      <c r="M648" s="26">
        <f>IF($A648="","",ROUND($L648*$K648,0))</f>
        <v/>
      </c>
      <c r="N648" s="27">
        <f>IF($A648="","",SUMIFS(入库单!$K$4:$K$2503,入库单!$G$4:$G$2503,$A648,入库单!$X$4:$X$2503,"矿区退库",入库单!$Z$4:$Z$2503,"正常",入库单!$C$4:$C$2503,"&gt;="&amp;账期起,入库单!$C$4:$C$2503,"&lt;="&amp;账期止))</f>
        <v/>
      </c>
      <c r="O648" s="26">
        <f>IF($A648="","",ROUND($N648*$K648,0))</f>
        <v/>
      </c>
      <c r="P648" s="27">
        <f>IF($A648="","",SUMIFS(出库单!$J$4:$J$4003,出库单!$D$4:$D$4003,$A648,出库单!$K$4:$K$4003,"自用消耗",出库单!$U$4:$U$4003,"正常",出库单!$C$4:$C$4003,"&gt;="&amp;账期起,出库单!$C$4:$C$4003,"&lt;="&amp;账期止))</f>
        <v/>
      </c>
      <c r="Q648" s="26">
        <f>IF($A648="","",ROUND(SUMIFS(出库单!$S$4:$S$4003,出库单!$D$4:$D$4003,$A648,出库单!$K$4:$K$4003,"自用消耗",出库单!$U$4:$U$4003,"正常",出库单!$C$4:$C$4003,"&gt;="&amp;账期起,出库单!$C$4:$C$4003,"&lt;="&amp;账期止),0))</f>
        <v/>
      </c>
      <c r="R648" s="27">
        <f>IF($A648="","",SUMIFS(出库单!$J$4:$J$4003,出库单!$D$4:$D$4003,$A648,出库单!$K$4:$K$4003,"对外销售",出库单!$U$4:$U$4003,"正常",出库单!$C$4:$C$4003,"&gt;="&amp;账期起,出库单!$C$4:$C$4003,"&lt;="&amp;账期止))</f>
        <v/>
      </c>
      <c r="S648" s="26">
        <f>IF($A648="","",ROUND(SUMIFS(出库单!$S$4:$S$4003,出库单!$D$4:$D$4003,$A648,出库单!$K$4:$K$4003,"对外销售",出库单!$U$4:$U$4003,"正常",出库单!$C$4:$C$4003,"&gt;="&amp;账期起,出库单!$C$4:$C$4003,"&lt;="&amp;账期止),0))</f>
        <v/>
      </c>
      <c r="T648" s="27">
        <f>IF($A648="","",SUMIFS(出库单!$J$4:$J$4003,出库单!$D$4:$D$4003,$A648,出库单!$K$4:$K$4003,"盘亏",出库单!$U$4:$U$4003,"正常",出库单!$C$4:$C$4003,"&gt;="&amp;账期起,出库单!$C$4:$C$4003,"&lt;="&amp;账期止))</f>
        <v/>
      </c>
      <c r="U648" s="26">
        <f>IF($A648="","",ROUND(SUMIFS(出库单!$S$4:$S$4003,出库单!$D$4:$D$4003,$A648,出库单!$K$4:$K$4003,"盘亏",出库单!$U$4:$U$4003,"正常",出库单!$C$4:$C$4003,"&gt;="&amp;账期起,出库单!$C$4:$C$4003,"&lt;="&amp;账期止),0))</f>
        <v/>
      </c>
      <c r="V648" s="27">
        <f>IF($A648="","",SUMIFS(出库单!$J$4:$J$4003,出库单!$D$4:$D$4003,$A648,出库单!$K$4:$K$4003,"退货给供应商",出库单!$U$4:$U$4003,"正常",出库单!$C$4:$C$4003,"&gt;="&amp;账期起,出库单!$C$4:$C$4003,"&lt;="&amp;账期止))</f>
        <v/>
      </c>
      <c r="W648" s="26">
        <f>IF($A648="","",ROUND(SUMIFS(出库单!$S$4:$S$4003,出库单!$D$4:$D$4003,$A648,出库单!$K$4:$K$4003,"退货给供应商",出库单!$U$4:$U$4003,"正常",出库单!$C$4:$C$4003,"&gt;="&amp;账期起,出库单!$C$4:$C$4003,"&lt;="&amp;账期止),0))</f>
        <v/>
      </c>
      <c r="X648" s="27">
        <f>IF($A648="","",ROUND(N($G648)+$I648+$L648+$N648-$P648-$R648-$T648-$V648,3))</f>
        <v/>
      </c>
      <c r="Y648" s="26">
        <f>IF($A648="","",ROUND(N($H648)+$J648+$M648+$O648-$Q648-$S648-$U648-$W648,0))</f>
        <v/>
      </c>
      <c r="Z648" s="24">
        <f>IF($A648="","",IF(COUNTIFS(入库单!$G$4:$G$2503,$A648,入库单!$Y$4:$Y$2503,"待补价")+COUNTIFS(入库单!$G$4:$G$2503,$A648,入库单!$Y$4:$Y$2503,"暂估")&gt;0,"不可信","可信"))</f>
        <v/>
      </c>
      <c r="AA648" s="24">
        <f>IF($A648="","",IF($X648&lt;-0.001,"※账面负库存，查一下是不是漏记入库",IF(AND(ROUND($X648,3)=0,ABS($Y648)&gt;1),"※数量已经是 0，金额还挂着 "&amp;TEXT($Y648,"#,##0")&amp;" 先令",IF(AND($X648&gt;0,$Y648&lt;=0,$K648=0),"※有数量没金额（这个物料一直没填过进价）",IF($Z648="不可信","△成本含待补价/暂估，毛利仅供参考","")))))</f>
        <v/>
      </c>
    </row>
    <row r="649">
      <c r="A649" s="24">
        <f>IF(物料档案!$A648="","",物料档案!$A648)</f>
        <v/>
      </c>
      <c r="B649" s="24">
        <f>IF($A649="","",IFERROR(VLOOKUP($A649,物料档案!$A$4:$P$1203,3,0),""))</f>
        <v/>
      </c>
      <c r="C649" s="24">
        <f>IF($A649="","",IFERROR(VLOOKUP($A649,物料档案!$A$4:$P$1203,4,0),""))</f>
        <v/>
      </c>
      <c r="D649" s="24">
        <f>IF($A649="","",IFERROR(VLOOKUP($A649,物料档案!$A$4:$P$1203,5,0),""))</f>
        <v/>
      </c>
      <c r="E649" s="24">
        <f>IF($A649="","",IFERROR(VLOOKUP($A649,物料档案!$A$4:$P$1203,2,0),""))</f>
        <v/>
      </c>
      <c r="F649" s="24">
        <f>IF($A649="","",IFERROR(VLOOKUP($A649,物料档案!$A$4:$P$1203,6,0),""))</f>
        <v/>
      </c>
      <c r="G649" s="23" t="n"/>
      <c r="H649" s="32" t="n"/>
      <c r="I649" s="27">
        <f>IF($A649="","",SUMIFS(入库单!$K$4:$K$2503,入库单!$G$4:$G$2503,$A649,入库单!$X$4:$X$2503,"采购入库",入库单!$Z$4:$Z$2503,"正常",入库单!$C$4:$C$2503,"&gt;="&amp;账期起,入库单!$C$4:$C$2503,"&lt;="&amp;账期止))</f>
        <v/>
      </c>
      <c r="J649" s="26">
        <f>IF($A649="","",SUMIFS(入库单!$V$4:$V$2503,入库单!$G$4:$G$2503,$A649,入库单!$X$4:$X$2503,"采购入库",入库单!$Z$4:$Z$2503,"正常",入库单!$C$4:$C$2503,"&gt;="&amp;账期起,入库单!$C$4:$C$2503,"&lt;="&amp;账期止))</f>
        <v/>
      </c>
      <c r="K649" s="26">
        <f>IF($A649="","",IFERROR(ROUND((N($H649)+N($J649))/(N($G649)+N($I649)),2),0))</f>
        <v/>
      </c>
      <c r="L649" s="27">
        <f>IF($A649="","",SUMIFS(入库单!$K$4:$K$2503,入库单!$G$4:$G$2503,$A649,入库单!$X$4:$X$2503,"盘盈",入库单!$Z$4:$Z$2503,"正常",入库单!$C$4:$C$2503,"&gt;="&amp;账期起,入库单!$C$4:$C$2503,"&lt;="&amp;账期止))</f>
        <v/>
      </c>
      <c r="M649" s="26">
        <f>IF($A649="","",ROUND($L649*$K649,0))</f>
        <v/>
      </c>
      <c r="N649" s="27">
        <f>IF($A649="","",SUMIFS(入库单!$K$4:$K$2503,入库单!$G$4:$G$2503,$A649,入库单!$X$4:$X$2503,"矿区退库",入库单!$Z$4:$Z$2503,"正常",入库单!$C$4:$C$2503,"&gt;="&amp;账期起,入库单!$C$4:$C$2503,"&lt;="&amp;账期止))</f>
        <v/>
      </c>
      <c r="O649" s="26">
        <f>IF($A649="","",ROUND($N649*$K649,0))</f>
        <v/>
      </c>
      <c r="P649" s="27">
        <f>IF($A649="","",SUMIFS(出库单!$J$4:$J$4003,出库单!$D$4:$D$4003,$A649,出库单!$K$4:$K$4003,"自用消耗",出库单!$U$4:$U$4003,"正常",出库单!$C$4:$C$4003,"&gt;="&amp;账期起,出库单!$C$4:$C$4003,"&lt;="&amp;账期止))</f>
        <v/>
      </c>
      <c r="Q649" s="26">
        <f>IF($A649="","",ROUND(SUMIFS(出库单!$S$4:$S$4003,出库单!$D$4:$D$4003,$A649,出库单!$K$4:$K$4003,"自用消耗",出库单!$U$4:$U$4003,"正常",出库单!$C$4:$C$4003,"&gt;="&amp;账期起,出库单!$C$4:$C$4003,"&lt;="&amp;账期止),0))</f>
        <v/>
      </c>
      <c r="R649" s="27">
        <f>IF($A649="","",SUMIFS(出库单!$J$4:$J$4003,出库单!$D$4:$D$4003,$A649,出库单!$K$4:$K$4003,"对外销售",出库单!$U$4:$U$4003,"正常",出库单!$C$4:$C$4003,"&gt;="&amp;账期起,出库单!$C$4:$C$4003,"&lt;="&amp;账期止))</f>
        <v/>
      </c>
      <c r="S649" s="26">
        <f>IF($A649="","",ROUND(SUMIFS(出库单!$S$4:$S$4003,出库单!$D$4:$D$4003,$A649,出库单!$K$4:$K$4003,"对外销售",出库单!$U$4:$U$4003,"正常",出库单!$C$4:$C$4003,"&gt;="&amp;账期起,出库单!$C$4:$C$4003,"&lt;="&amp;账期止),0))</f>
        <v/>
      </c>
      <c r="T649" s="27">
        <f>IF($A649="","",SUMIFS(出库单!$J$4:$J$4003,出库单!$D$4:$D$4003,$A649,出库单!$K$4:$K$4003,"盘亏",出库单!$U$4:$U$4003,"正常",出库单!$C$4:$C$4003,"&gt;="&amp;账期起,出库单!$C$4:$C$4003,"&lt;="&amp;账期止))</f>
        <v/>
      </c>
      <c r="U649" s="26">
        <f>IF($A649="","",ROUND(SUMIFS(出库单!$S$4:$S$4003,出库单!$D$4:$D$4003,$A649,出库单!$K$4:$K$4003,"盘亏",出库单!$U$4:$U$4003,"正常",出库单!$C$4:$C$4003,"&gt;="&amp;账期起,出库单!$C$4:$C$4003,"&lt;="&amp;账期止),0))</f>
        <v/>
      </c>
      <c r="V649" s="27">
        <f>IF($A649="","",SUMIFS(出库单!$J$4:$J$4003,出库单!$D$4:$D$4003,$A649,出库单!$K$4:$K$4003,"退货给供应商",出库单!$U$4:$U$4003,"正常",出库单!$C$4:$C$4003,"&gt;="&amp;账期起,出库单!$C$4:$C$4003,"&lt;="&amp;账期止))</f>
        <v/>
      </c>
      <c r="W649" s="26">
        <f>IF($A649="","",ROUND(SUMIFS(出库单!$S$4:$S$4003,出库单!$D$4:$D$4003,$A649,出库单!$K$4:$K$4003,"退货给供应商",出库单!$U$4:$U$4003,"正常",出库单!$C$4:$C$4003,"&gt;="&amp;账期起,出库单!$C$4:$C$4003,"&lt;="&amp;账期止),0))</f>
        <v/>
      </c>
      <c r="X649" s="27">
        <f>IF($A649="","",ROUND(N($G649)+$I649+$L649+$N649-$P649-$R649-$T649-$V649,3))</f>
        <v/>
      </c>
      <c r="Y649" s="26">
        <f>IF($A649="","",ROUND(N($H649)+$J649+$M649+$O649-$Q649-$S649-$U649-$W649,0))</f>
        <v/>
      </c>
      <c r="Z649" s="24">
        <f>IF($A649="","",IF(COUNTIFS(入库单!$G$4:$G$2503,$A649,入库单!$Y$4:$Y$2503,"待补价")+COUNTIFS(入库单!$G$4:$G$2503,$A649,入库单!$Y$4:$Y$2503,"暂估")&gt;0,"不可信","可信"))</f>
        <v/>
      </c>
      <c r="AA649" s="24">
        <f>IF($A649="","",IF($X649&lt;-0.001,"※账面负库存，查一下是不是漏记入库",IF(AND(ROUND($X649,3)=0,ABS($Y649)&gt;1),"※数量已经是 0，金额还挂着 "&amp;TEXT($Y649,"#,##0")&amp;" 先令",IF(AND($X649&gt;0,$Y649&lt;=0,$K649=0),"※有数量没金额（这个物料一直没填过进价）",IF($Z649="不可信","△成本含待补价/暂估，毛利仅供参考","")))))</f>
        <v/>
      </c>
    </row>
    <row r="650">
      <c r="A650" s="24">
        <f>IF(物料档案!$A649="","",物料档案!$A649)</f>
        <v/>
      </c>
      <c r="B650" s="24">
        <f>IF($A650="","",IFERROR(VLOOKUP($A650,物料档案!$A$4:$P$1203,3,0),""))</f>
        <v/>
      </c>
      <c r="C650" s="24">
        <f>IF($A650="","",IFERROR(VLOOKUP($A650,物料档案!$A$4:$P$1203,4,0),""))</f>
        <v/>
      </c>
      <c r="D650" s="24">
        <f>IF($A650="","",IFERROR(VLOOKUP($A650,物料档案!$A$4:$P$1203,5,0),""))</f>
        <v/>
      </c>
      <c r="E650" s="24">
        <f>IF($A650="","",IFERROR(VLOOKUP($A650,物料档案!$A$4:$P$1203,2,0),""))</f>
        <v/>
      </c>
      <c r="F650" s="24">
        <f>IF($A650="","",IFERROR(VLOOKUP($A650,物料档案!$A$4:$P$1203,6,0),""))</f>
        <v/>
      </c>
      <c r="G650" s="23" t="n"/>
      <c r="H650" s="32" t="n"/>
      <c r="I650" s="27">
        <f>IF($A650="","",SUMIFS(入库单!$K$4:$K$2503,入库单!$G$4:$G$2503,$A650,入库单!$X$4:$X$2503,"采购入库",入库单!$Z$4:$Z$2503,"正常",入库单!$C$4:$C$2503,"&gt;="&amp;账期起,入库单!$C$4:$C$2503,"&lt;="&amp;账期止))</f>
        <v/>
      </c>
      <c r="J650" s="26">
        <f>IF($A650="","",SUMIFS(入库单!$V$4:$V$2503,入库单!$G$4:$G$2503,$A650,入库单!$X$4:$X$2503,"采购入库",入库单!$Z$4:$Z$2503,"正常",入库单!$C$4:$C$2503,"&gt;="&amp;账期起,入库单!$C$4:$C$2503,"&lt;="&amp;账期止))</f>
        <v/>
      </c>
      <c r="K650" s="26">
        <f>IF($A650="","",IFERROR(ROUND((N($H650)+N($J650))/(N($G650)+N($I650)),2),0))</f>
        <v/>
      </c>
      <c r="L650" s="27">
        <f>IF($A650="","",SUMIFS(入库单!$K$4:$K$2503,入库单!$G$4:$G$2503,$A650,入库单!$X$4:$X$2503,"盘盈",入库单!$Z$4:$Z$2503,"正常",入库单!$C$4:$C$2503,"&gt;="&amp;账期起,入库单!$C$4:$C$2503,"&lt;="&amp;账期止))</f>
        <v/>
      </c>
      <c r="M650" s="26">
        <f>IF($A650="","",ROUND($L650*$K650,0))</f>
        <v/>
      </c>
      <c r="N650" s="27">
        <f>IF($A650="","",SUMIFS(入库单!$K$4:$K$2503,入库单!$G$4:$G$2503,$A650,入库单!$X$4:$X$2503,"矿区退库",入库单!$Z$4:$Z$2503,"正常",入库单!$C$4:$C$2503,"&gt;="&amp;账期起,入库单!$C$4:$C$2503,"&lt;="&amp;账期止))</f>
        <v/>
      </c>
      <c r="O650" s="26">
        <f>IF($A650="","",ROUND($N650*$K650,0))</f>
        <v/>
      </c>
      <c r="P650" s="27">
        <f>IF($A650="","",SUMIFS(出库单!$J$4:$J$4003,出库单!$D$4:$D$4003,$A650,出库单!$K$4:$K$4003,"自用消耗",出库单!$U$4:$U$4003,"正常",出库单!$C$4:$C$4003,"&gt;="&amp;账期起,出库单!$C$4:$C$4003,"&lt;="&amp;账期止))</f>
        <v/>
      </c>
      <c r="Q650" s="26">
        <f>IF($A650="","",ROUND(SUMIFS(出库单!$S$4:$S$4003,出库单!$D$4:$D$4003,$A650,出库单!$K$4:$K$4003,"自用消耗",出库单!$U$4:$U$4003,"正常",出库单!$C$4:$C$4003,"&gt;="&amp;账期起,出库单!$C$4:$C$4003,"&lt;="&amp;账期止),0))</f>
        <v/>
      </c>
      <c r="R650" s="27">
        <f>IF($A650="","",SUMIFS(出库单!$J$4:$J$4003,出库单!$D$4:$D$4003,$A650,出库单!$K$4:$K$4003,"对外销售",出库单!$U$4:$U$4003,"正常",出库单!$C$4:$C$4003,"&gt;="&amp;账期起,出库单!$C$4:$C$4003,"&lt;="&amp;账期止))</f>
        <v/>
      </c>
      <c r="S650" s="26">
        <f>IF($A650="","",ROUND(SUMIFS(出库单!$S$4:$S$4003,出库单!$D$4:$D$4003,$A650,出库单!$K$4:$K$4003,"对外销售",出库单!$U$4:$U$4003,"正常",出库单!$C$4:$C$4003,"&gt;="&amp;账期起,出库单!$C$4:$C$4003,"&lt;="&amp;账期止),0))</f>
        <v/>
      </c>
      <c r="T650" s="27">
        <f>IF($A650="","",SUMIFS(出库单!$J$4:$J$4003,出库单!$D$4:$D$4003,$A650,出库单!$K$4:$K$4003,"盘亏",出库单!$U$4:$U$4003,"正常",出库单!$C$4:$C$4003,"&gt;="&amp;账期起,出库单!$C$4:$C$4003,"&lt;="&amp;账期止))</f>
        <v/>
      </c>
      <c r="U650" s="26">
        <f>IF($A650="","",ROUND(SUMIFS(出库单!$S$4:$S$4003,出库单!$D$4:$D$4003,$A650,出库单!$K$4:$K$4003,"盘亏",出库单!$U$4:$U$4003,"正常",出库单!$C$4:$C$4003,"&gt;="&amp;账期起,出库单!$C$4:$C$4003,"&lt;="&amp;账期止),0))</f>
        <v/>
      </c>
      <c r="V650" s="27">
        <f>IF($A650="","",SUMIFS(出库单!$J$4:$J$4003,出库单!$D$4:$D$4003,$A650,出库单!$K$4:$K$4003,"退货给供应商",出库单!$U$4:$U$4003,"正常",出库单!$C$4:$C$4003,"&gt;="&amp;账期起,出库单!$C$4:$C$4003,"&lt;="&amp;账期止))</f>
        <v/>
      </c>
      <c r="W650" s="26">
        <f>IF($A650="","",ROUND(SUMIFS(出库单!$S$4:$S$4003,出库单!$D$4:$D$4003,$A650,出库单!$K$4:$K$4003,"退货给供应商",出库单!$U$4:$U$4003,"正常",出库单!$C$4:$C$4003,"&gt;="&amp;账期起,出库单!$C$4:$C$4003,"&lt;="&amp;账期止),0))</f>
        <v/>
      </c>
      <c r="X650" s="27">
        <f>IF($A650="","",ROUND(N($G650)+$I650+$L650+$N650-$P650-$R650-$T650-$V650,3))</f>
        <v/>
      </c>
      <c r="Y650" s="26">
        <f>IF($A650="","",ROUND(N($H650)+$J650+$M650+$O650-$Q650-$S650-$U650-$W650,0))</f>
        <v/>
      </c>
      <c r="Z650" s="24">
        <f>IF($A650="","",IF(COUNTIFS(入库单!$G$4:$G$2503,$A650,入库单!$Y$4:$Y$2503,"待补价")+COUNTIFS(入库单!$G$4:$G$2503,$A650,入库单!$Y$4:$Y$2503,"暂估")&gt;0,"不可信","可信"))</f>
        <v/>
      </c>
      <c r="AA650" s="24">
        <f>IF($A650="","",IF($X650&lt;-0.001,"※账面负库存，查一下是不是漏记入库",IF(AND(ROUND($X650,3)=0,ABS($Y650)&gt;1),"※数量已经是 0，金额还挂着 "&amp;TEXT($Y650,"#,##0")&amp;" 先令",IF(AND($X650&gt;0,$Y650&lt;=0,$K650=0),"※有数量没金额（这个物料一直没填过进价）",IF($Z650="不可信","△成本含待补价/暂估，毛利仅供参考","")))))</f>
        <v/>
      </c>
    </row>
    <row r="651">
      <c r="A651" s="24">
        <f>IF(物料档案!$A650="","",物料档案!$A650)</f>
        <v/>
      </c>
      <c r="B651" s="24">
        <f>IF($A651="","",IFERROR(VLOOKUP($A651,物料档案!$A$4:$P$1203,3,0),""))</f>
        <v/>
      </c>
      <c r="C651" s="24">
        <f>IF($A651="","",IFERROR(VLOOKUP($A651,物料档案!$A$4:$P$1203,4,0),""))</f>
        <v/>
      </c>
      <c r="D651" s="24">
        <f>IF($A651="","",IFERROR(VLOOKUP($A651,物料档案!$A$4:$P$1203,5,0),""))</f>
        <v/>
      </c>
      <c r="E651" s="24">
        <f>IF($A651="","",IFERROR(VLOOKUP($A651,物料档案!$A$4:$P$1203,2,0),""))</f>
        <v/>
      </c>
      <c r="F651" s="24">
        <f>IF($A651="","",IFERROR(VLOOKUP($A651,物料档案!$A$4:$P$1203,6,0),""))</f>
        <v/>
      </c>
      <c r="G651" s="23" t="n"/>
      <c r="H651" s="32" t="n"/>
      <c r="I651" s="27">
        <f>IF($A651="","",SUMIFS(入库单!$K$4:$K$2503,入库单!$G$4:$G$2503,$A651,入库单!$X$4:$X$2503,"采购入库",入库单!$Z$4:$Z$2503,"正常",入库单!$C$4:$C$2503,"&gt;="&amp;账期起,入库单!$C$4:$C$2503,"&lt;="&amp;账期止))</f>
        <v/>
      </c>
      <c r="J651" s="26">
        <f>IF($A651="","",SUMIFS(入库单!$V$4:$V$2503,入库单!$G$4:$G$2503,$A651,入库单!$X$4:$X$2503,"采购入库",入库单!$Z$4:$Z$2503,"正常",入库单!$C$4:$C$2503,"&gt;="&amp;账期起,入库单!$C$4:$C$2503,"&lt;="&amp;账期止))</f>
        <v/>
      </c>
      <c r="K651" s="26">
        <f>IF($A651="","",IFERROR(ROUND((N($H651)+N($J651))/(N($G651)+N($I651)),2),0))</f>
        <v/>
      </c>
      <c r="L651" s="27">
        <f>IF($A651="","",SUMIFS(入库单!$K$4:$K$2503,入库单!$G$4:$G$2503,$A651,入库单!$X$4:$X$2503,"盘盈",入库单!$Z$4:$Z$2503,"正常",入库单!$C$4:$C$2503,"&gt;="&amp;账期起,入库单!$C$4:$C$2503,"&lt;="&amp;账期止))</f>
        <v/>
      </c>
      <c r="M651" s="26">
        <f>IF($A651="","",ROUND($L651*$K651,0))</f>
        <v/>
      </c>
      <c r="N651" s="27">
        <f>IF($A651="","",SUMIFS(入库单!$K$4:$K$2503,入库单!$G$4:$G$2503,$A651,入库单!$X$4:$X$2503,"矿区退库",入库单!$Z$4:$Z$2503,"正常",入库单!$C$4:$C$2503,"&gt;="&amp;账期起,入库单!$C$4:$C$2503,"&lt;="&amp;账期止))</f>
        <v/>
      </c>
      <c r="O651" s="26">
        <f>IF($A651="","",ROUND($N651*$K651,0))</f>
        <v/>
      </c>
      <c r="P651" s="27">
        <f>IF($A651="","",SUMIFS(出库单!$J$4:$J$4003,出库单!$D$4:$D$4003,$A651,出库单!$K$4:$K$4003,"自用消耗",出库单!$U$4:$U$4003,"正常",出库单!$C$4:$C$4003,"&gt;="&amp;账期起,出库单!$C$4:$C$4003,"&lt;="&amp;账期止))</f>
        <v/>
      </c>
      <c r="Q651" s="26">
        <f>IF($A651="","",ROUND(SUMIFS(出库单!$S$4:$S$4003,出库单!$D$4:$D$4003,$A651,出库单!$K$4:$K$4003,"自用消耗",出库单!$U$4:$U$4003,"正常",出库单!$C$4:$C$4003,"&gt;="&amp;账期起,出库单!$C$4:$C$4003,"&lt;="&amp;账期止),0))</f>
        <v/>
      </c>
      <c r="R651" s="27">
        <f>IF($A651="","",SUMIFS(出库单!$J$4:$J$4003,出库单!$D$4:$D$4003,$A651,出库单!$K$4:$K$4003,"对外销售",出库单!$U$4:$U$4003,"正常",出库单!$C$4:$C$4003,"&gt;="&amp;账期起,出库单!$C$4:$C$4003,"&lt;="&amp;账期止))</f>
        <v/>
      </c>
      <c r="S651" s="26">
        <f>IF($A651="","",ROUND(SUMIFS(出库单!$S$4:$S$4003,出库单!$D$4:$D$4003,$A651,出库单!$K$4:$K$4003,"对外销售",出库单!$U$4:$U$4003,"正常",出库单!$C$4:$C$4003,"&gt;="&amp;账期起,出库单!$C$4:$C$4003,"&lt;="&amp;账期止),0))</f>
        <v/>
      </c>
      <c r="T651" s="27">
        <f>IF($A651="","",SUMIFS(出库单!$J$4:$J$4003,出库单!$D$4:$D$4003,$A651,出库单!$K$4:$K$4003,"盘亏",出库单!$U$4:$U$4003,"正常",出库单!$C$4:$C$4003,"&gt;="&amp;账期起,出库单!$C$4:$C$4003,"&lt;="&amp;账期止))</f>
        <v/>
      </c>
      <c r="U651" s="26">
        <f>IF($A651="","",ROUND(SUMIFS(出库单!$S$4:$S$4003,出库单!$D$4:$D$4003,$A651,出库单!$K$4:$K$4003,"盘亏",出库单!$U$4:$U$4003,"正常",出库单!$C$4:$C$4003,"&gt;="&amp;账期起,出库单!$C$4:$C$4003,"&lt;="&amp;账期止),0))</f>
        <v/>
      </c>
      <c r="V651" s="27">
        <f>IF($A651="","",SUMIFS(出库单!$J$4:$J$4003,出库单!$D$4:$D$4003,$A651,出库单!$K$4:$K$4003,"退货给供应商",出库单!$U$4:$U$4003,"正常",出库单!$C$4:$C$4003,"&gt;="&amp;账期起,出库单!$C$4:$C$4003,"&lt;="&amp;账期止))</f>
        <v/>
      </c>
      <c r="W651" s="26">
        <f>IF($A651="","",ROUND(SUMIFS(出库单!$S$4:$S$4003,出库单!$D$4:$D$4003,$A651,出库单!$K$4:$K$4003,"退货给供应商",出库单!$U$4:$U$4003,"正常",出库单!$C$4:$C$4003,"&gt;="&amp;账期起,出库单!$C$4:$C$4003,"&lt;="&amp;账期止),0))</f>
        <v/>
      </c>
      <c r="X651" s="27">
        <f>IF($A651="","",ROUND(N($G651)+$I651+$L651+$N651-$P651-$R651-$T651-$V651,3))</f>
        <v/>
      </c>
      <c r="Y651" s="26">
        <f>IF($A651="","",ROUND(N($H651)+$J651+$M651+$O651-$Q651-$S651-$U651-$W651,0))</f>
        <v/>
      </c>
      <c r="Z651" s="24">
        <f>IF($A651="","",IF(COUNTIFS(入库单!$G$4:$G$2503,$A651,入库单!$Y$4:$Y$2503,"待补价")+COUNTIFS(入库单!$G$4:$G$2503,$A651,入库单!$Y$4:$Y$2503,"暂估")&gt;0,"不可信","可信"))</f>
        <v/>
      </c>
      <c r="AA651" s="24">
        <f>IF($A651="","",IF($X651&lt;-0.001,"※账面负库存，查一下是不是漏记入库",IF(AND(ROUND($X651,3)=0,ABS($Y651)&gt;1),"※数量已经是 0，金额还挂着 "&amp;TEXT($Y651,"#,##0")&amp;" 先令",IF(AND($X651&gt;0,$Y651&lt;=0,$K651=0),"※有数量没金额（这个物料一直没填过进价）",IF($Z651="不可信","△成本含待补价/暂估，毛利仅供参考","")))))</f>
        <v/>
      </c>
    </row>
    <row r="652">
      <c r="A652" s="24">
        <f>IF(物料档案!$A651="","",物料档案!$A651)</f>
        <v/>
      </c>
      <c r="B652" s="24">
        <f>IF($A652="","",IFERROR(VLOOKUP($A652,物料档案!$A$4:$P$1203,3,0),""))</f>
        <v/>
      </c>
      <c r="C652" s="24">
        <f>IF($A652="","",IFERROR(VLOOKUP($A652,物料档案!$A$4:$P$1203,4,0),""))</f>
        <v/>
      </c>
      <c r="D652" s="24">
        <f>IF($A652="","",IFERROR(VLOOKUP($A652,物料档案!$A$4:$P$1203,5,0),""))</f>
        <v/>
      </c>
      <c r="E652" s="24">
        <f>IF($A652="","",IFERROR(VLOOKUP($A652,物料档案!$A$4:$P$1203,2,0),""))</f>
        <v/>
      </c>
      <c r="F652" s="24">
        <f>IF($A652="","",IFERROR(VLOOKUP($A652,物料档案!$A$4:$P$1203,6,0),""))</f>
        <v/>
      </c>
      <c r="G652" s="23" t="n"/>
      <c r="H652" s="32" t="n"/>
      <c r="I652" s="27">
        <f>IF($A652="","",SUMIFS(入库单!$K$4:$K$2503,入库单!$G$4:$G$2503,$A652,入库单!$X$4:$X$2503,"采购入库",入库单!$Z$4:$Z$2503,"正常",入库单!$C$4:$C$2503,"&gt;="&amp;账期起,入库单!$C$4:$C$2503,"&lt;="&amp;账期止))</f>
        <v/>
      </c>
      <c r="J652" s="26">
        <f>IF($A652="","",SUMIFS(入库单!$V$4:$V$2503,入库单!$G$4:$G$2503,$A652,入库单!$X$4:$X$2503,"采购入库",入库单!$Z$4:$Z$2503,"正常",入库单!$C$4:$C$2503,"&gt;="&amp;账期起,入库单!$C$4:$C$2503,"&lt;="&amp;账期止))</f>
        <v/>
      </c>
      <c r="K652" s="26">
        <f>IF($A652="","",IFERROR(ROUND((N($H652)+N($J652))/(N($G652)+N($I652)),2),0))</f>
        <v/>
      </c>
      <c r="L652" s="27">
        <f>IF($A652="","",SUMIFS(入库单!$K$4:$K$2503,入库单!$G$4:$G$2503,$A652,入库单!$X$4:$X$2503,"盘盈",入库单!$Z$4:$Z$2503,"正常",入库单!$C$4:$C$2503,"&gt;="&amp;账期起,入库单!$C$4:$C$2503,"&lt;="&amp;账期止))</f>
        <v/>
      </c>
      <c r="M652" s="26">
        <f>IF($A652="","",ROUND($L652*$K652,0))</f>
        <v/>
      </c>
      <c r="N652" s="27">
        <f>IF($A652="","",SUMIFS(入库单!$K$4:$K$2503,入库单!$G$4:$G$2503,$A652,入库单!$X$4:$X$2503,"矿区退库",入库单!$Z$4:$Z$2503,"正常",入库单!$C$4:$C$2503,"&gt;="&amp;账期起,入库单!$C$4:$C$2503,"&lt;="&amp;账期止))</f>
        <v/>
      </c>
      <c r="O652" s="26">
        <f>IF($A652="","",ROUND($N652*$K652,0))</f>
        <v/>
      </c>
      <c r="P652" s="27">
        <f>IF($A652="","",SUMIFS(出库单!$J$4:$J$4003,出库单!$D$4:$D$4003,$A652,出库单!$K$4:$K$4003,"自用消耗",出库单!$U$4:$U$4003,"正常",出库单!$C$4:$C$4003,"&gt;="&amp;账期起,出库单!$C$4:$C$4003,"&lt;="&amp;账期止))</f>
        <v/>
      </c>
      <c r="Q652" s="26">
        <f>IF($A652="","",ROUND(SUMIFS(出库单!$S$4:$S$4003,出库单!$D$4:$D$4003,$A652,出库单!$K$4:$K$4003,"自用消耗",出库单!$U$4:$U$4003,"正常",出库单!$C$4:$C$4003,"&gt;="&amp;账期起,出库单!$C$4:$C$4003,"&lt;="&amp;账期止),0))</f>
        <v/>
      </c>
      <c r="R652" s="27">
        <f>IF($A652="","",SUMIFS(出库单!$J$4:$J$4003,出库单!$D$4:$D$4003,$A652,出库单!$K$4:$K$4003,"对外销售",出库单!$U$4:$U$4003,"正常",出库单!$C$4:$C$4003,"&gt;="&amp;账期起,出库单!$C$4:$C$4003,"&lt;="&amp;账期止))</f>
        <v/>
      </c>
      <c r="S652" s="26">
        <f>IF($A652="","",ROUND(SUMIFS(出库单!$S$4:$S$4003,出库单!$D$4:$D$4003,$A652,出库单!$K$4:$K$4003,"对外销售",出库单!$U$4:$U$4003,"正常",出库单!$C$4:$C$4003,"&gt;="&amp;账期起,出库单!$C$4:$C$4003,"&lt;="&amp;账期止),0))</f>
        <v/>
      </c>
      <c r="T652" s="27">
        <f>IF($A652="","",SUMIFS(出库单!$J$4:$J$4003,出库单!$D$4:$D$4003,$A652,出库单!$K$4:$K$4003,"盘亏",出库单!$U$4:$U$4003,"正常",出库单!$C$4:$C$4003,"&gt;="&amp;账期起,出库单!$C$4:$C$4003,"&lt;="&amp;账期止))</f>
        <v/>
      </c>
      <c r="U652" s="26">
        <f>IF($A652="","",ROUND(SUMIFS(出库单!$S$4:$S$4003,出库单!$D$4:$D$4003,$A652,出库单!$K$4:$K$4003,"盘亏",出库单!$U$4:$U$4003,"正常",出库单!$C$4:$C$4003,"&gt;="&amp;账期起,出库单!$C$4:$C$4003,"&lt;="&amp;账期止),0))</f>
        <v/>
      </c>
      <c r="V652" s="27">
        <f>IF($A652="","",SUMIFS(出库单!$J$4:$J$4003,出库单!$D$4:$D$4003,$A652,出库单!$K$4:$K$4003,"退货给供应商",出库单!$U$4:$U$4003,"正常",出库单!$C$4:$C$4003,"&gt;="&amp;账期起,出库单!$C$4:$C$4003,"&lt;="&amp;账期止))</f>
        <v/>
      </c>
      <c r="W652" s="26">
        <f>IF($A652="","",ROUND(SUMIFS(出库单!$S$4:$S$4003,出库单!$D$4:$D$4003,$A652,出库单!$K$4:$K$4003,"退货给供应商",出库单!$U$4:$U$4003,"正常",出库单!$C$4:$C$4003,"&gt;="&amp;账期起,出库单!$C$4:$C$4003,"&lt;="&amp;账期止),0))</f>
        <v/>
      </c>
      <c r="X652" s="27">
        <f>IF($A652="","",ROUND(N($G652)+$I652+$L652+$N652-$P652-$R652-$T652-$V652,3))</f>
        <v/>
      </c>
      <c r="Y652" s="26">
        <f>IF($A652="","",ROUND(N($H652)+$J652+$M652+$O652-$Q652-$S652-$U652-$W652,0))</f>
        <v/>
      </c>
      <c r="Z652" s="24">
        <f>IF($A652="","",IF(COUNTIFS(入库单!$G$4:$G$2503,$A652,入库单!$Y$4:$Y$2503,"待补价")+COUNTIFS(入库单!$G$4:$G$2503,$A652,入库单!$Y$4:$Y$2503,"暂估")&gt;0,"不可信","可信"))</f>
        <v/>
      </c>
      <c r="AA652" s="24">
        <f>IF($A652="","",IF($X652&lt;-0.001,"※账面负库存，查一下是不是漏记入库",IF(AND(ROUND($X652,3)=0,ABS($Y652)&gt;1),"※数量已经是 0，金额还挂着 "&amp;TEXT($Y652,"#,##0")&amp;" 先令",IF(AND($X652&gt;0,$Y652&lt;=0,$K652=0),"※有数量没金额（这个物料一直没填过进价）",IF($Z652="不可信","△成本含待补价/暂估，毛利仅供参考","")))))</f>
        <v/>
      </c>
    </row>
    <row r="653">
      <c r="A653" s="24">
        <f>IF(物料档案!$A652="","",物料档案!$A652)</f>
        <v/>
      </c>
      <c r="B653" s="24">
        <f>IF($A653="","",IFERROR(VLOOKUP($A653,物料档案!$A$4:$P$1203,3,0),""))</f>
        <v/>
      </c>
      <c r="C653" s="24">
        <f>IF($A653="","",IFERROR(VLOOKUP($A653,物料档案!$A$4:$P$1203,4,0),""))</f>
        <v/>
      </c>
      <c r="D653" s="24">
        <f>IF($A653="","",IFERROR(VLOOKUP($A653,物料档案!$A$4:$P$1203,5,0),""))</f>
        <v/>
      </c>
      <c r="E653" s="24">
        <f>IF($A653="","",IFERROR(VLOOKUP($A653,物料档案!$A$4:$P$1203,2,0),""))</f>
        <v/>
      </c>
      <c r="F653" s="24">
        <f>IF($A653="","",IFERROR(VLOOKUP($A653,物料档案!$A$4:$P$1203,6,0),""))</f>
        <v/>
      </c>
      <c r="G653" s="23" t="n"/>
      <c r="H653" s="32" t="n"/>
      <c r="I653" s="27">
        <f>IF($A653="","",SUMIFS(入库单!$K$4:$K$2503,入库单!$G$4:$G$2503,$A653,入库单!$X$4:$X$2503,"采购入库",入库单!$Z$4:$Z$2503,"正常",入库单!$C$4:$C$2503,"&gt;="&amp;账期起,入库单!$C$4:$C$2503,"&lt;="&amp;账期止))</f>
        <v/>
      </c>
      <c r="J653" s="26">
        <f>IF($A653="","",SUMIFS(入库单!$V$4:$V$2503,入库单!$G$4:$G$2503,$A653,入库单!$X$4:$X$2503,"采购入库",入库单!$Z$4:$Z$2503,"正常",入库单!$C$4:$C$2503,"&gt;="&amp;账期起,入库单!$C$4:$C$2503,"&lt;="&amp;账期止))</f>
        <v/>
      </c>
      <c r="K653" s="26">
        <f>IF($A653="","",IFERROR(ROUND((N($H653)+N($J653))/(N($G653)+N($I653)),2),0))</f>
        <v/>
      </c>
      <c r="L653" s="27">
        <f>IF($A653="","",SUMIFS(入库单!$K$4:$K$2503,入库单!$G$4:$G$2503,$A653,入库单!$X$4:$X$2503,"盘盈",入库单!$Z$4:$Z$2503,"正常",入库单!$C$4:$C$2503,"&gt;="&amp;账期起,入库单!$C$4:$C$2503,"&lt;="&amp;账期止))</f>
        <v/>
      </c>
      <c r="M653" s="26">
        <f>IF($A653="","",ROUND($L653*$K653,0))</f>
        <v/>
      </c>
      <c r="N653" s="27">
        <f>IF($A653="","",SUMIFS(入库单!$K$4:$K$2503,入库单!$G$4:$G$2503,$A653,入库单!$X$4:$X$2503,"矿区退库",入库单!$Z$4:$Z$2503,"正常",入库单!$C$4:$C$2503,"&gt;="&amp;账期起,入库单!$C$4:$C$2503,"&lt;="&amp;账期止))</f>
        <v/>
      </c>
      <c r="O653" s="26">
        <f>IF($A653="","",ROUND($N653*$K653,0))</f>
        <v/>
      </c>
      <c r="P653" s="27">
        <f>IF($A653="","",SUMIFS(出库单!$J$4:$J$4003,出库单!$D$4:$D$4003,$A653,出库单!$K$4:$K$4003,"自用消耗",出库单!$U$4:$U$4003,"正常",出库单!$C$4:$C$4003,"&gt;="&amp;账期起,出库单!$C$4:$C$4003,"&lt;="&amp;账期止))</f>
        <v/>
      </c>
      <c r="Q653" s="26">
        <f>IF($A653="","",ROUND(SUMIFS(出库单!$S$4:$S$4003,出库单!$D$4:$D$4003,$A653,出库单!$K$4:$K$4003,"自用消耗",出库单!$U$4:$U$4003,"正常",出库单!$C$4:$C$4003,"&gt;="&amp;账期起,出库单!$C$4:$C$4003,"&lt;="&amp;账期止),0))</f>
        <v/>
      </c>
      <c r="R653" s="27">
        <f>IF($A653="","",SUMIFS(出库单!$J$4:$J$4003,出库单!$D$4:$D$4003,$A653,出库单!$K$4:$K$4003,"对外销售",出库单!$U$4:$U$4003,"正常",出库单!$C$4:$C$4003,"&gt;="&amp;账期起,出库单!$C$4:$C$4003,"&lt;="&amp;账期止))</f>
        <v/>
      </c>
      <c r="S653" s="26">
        <f>IF($A653="","",ROUND(SUMIFS(出库单!$S$4:$S$4003,出库单!$D$4:$D$4003,$A653,出库单!$K$4:$K$4003,"对外销售",出库单!$U$4:$U$4003,"正常",出库单!$C$4:$C$4003,"&gt;="&amp;账期起,出库单!$C$4:$C$4003,"&lt;="&amp;账期止),0))</f>
        <v/>
      </c>
      <c r="T653" s="27">
        <f>IF($A653="","",SUMIFS(出库单!$J$4:$J$4003,出库单!$D$4:$D$4003,$A653,出库单!$K$4:$K$4003,"盘亏",出库单!$U$4:$U$4003,"正常",出库单!$C$4:$C$4003,"&gt;="&amp;账期起,出库单!$C$4:$C$4003,"&lt;="&amp;账期止))</f>
        <v/>
      </c>
      <c r="U653" s="26">
        <f>IF($A653="","",ROUND(SUMIFS(出库单!$S$4:$S$4003,出库单!$D$4:$D$4003,$A653,出库单!$K$4:$K$4003,"盘亏",出库单!$U$4:$U$4003,"正常",出库单!$C$4:$C$4003,"&gt;="&amp;账期起,出库单!$C$4:$C$4003,"&lt;="&amp;账期止),0))</f>
        <v/>
      </c>
      <c r="V653" s="27">
        <f>IF($A653="","",SUMIFS(出库单!$J$4:$J$4003,出库单!$D$4:$D$4003,$A653,出库单!$K$4:$K$4003,"退货给供应商",出库单!$U$4:$U$4003,"正常",出库单!$C$4:$C$4003,"&gt;="&amp;账期起,出库单!$C$4:$C$4003,"&lt;="&amp;账期止))</f>
        <v/>
      </c>
      <c r="W653" s="26">
        <f>IF($A653="","",ROUND(SUMIFS(出库单!$S$4:$S$4003,出库单!$D$4:$D$4003,$A653,出库单!$K$4:$K$4003,"退货给供应商",出库单!$U$4:$U$4003,"正常",出库单!$C$4:$C$4003,"&gt;="&amp;账期起,出库单!$C$4:$C$4003,"&lt;="&amp;账期止),0))</f>
        <v/>
      </c>
      <c r="X653" s="27">
        <f>IF($A653="","",ROUND(N($G653)+$I653+$L653+$N653-$P653-$R653-$T653-$V653,3))</f>
        <v/>
      </c>
      <c r="Y653" s="26">
        <f>IF($A653="","",ROUND(N($H653)+$J653+$M653+$O653-$Q653-$S653-$U653-$W653,0))</f>
        <v/>
      </c>
      <c r="Z653" s="24">
        <f>IF($A653="","",IF(COUNTIFS(入库单!$G$4:$G$2503,$A653,入库单!$Y$4:$Y$2503,"待补价")+COUNTIFS(入库单!$G$4:$G$2503,$A653,入库单!$Y$4:$Y$2503,"暂估")&gt;0,"不可信","可信"))</f>
        <v/>
      </c>
      <c r="AA653" s="24">
        <f>IF($A653="","",IF($X653&lt;-0.001,"※账面负库存，查一下是不是漏记入库",IF(AND(ROUND($X653,3)=0,ABS($Y653)&gt;1),"※数量已经是 0，金额还挂着 "&amp;TEXT($Y653,"#,##0")&amp;" 先令",IF(AND($X653&gt;0,$Y653&lt;=0,$K653=0),"※有数量没金额（这个物料一直没填过进价）",IF($Z653="不可信","△成本含待补价/暂估，毛利仅供参考","")))))</f>
        <v/>
      </c>
    </row>
    <row r="654">
      <c r="A654" s="24">
        <f>IF(物料档案!$A653="","",物料档案!$A653)</f>
        <v/>
      </c>
      <c r="B654" s="24">
        <f>IF($A654="","",IFERROR(VLOOKUP($A654,物料档案!$A$4:$P$1203,3,0),""))</f>
        <v/>
      </c>
      <c r="C654" s="24">
        <f>IF($A654="","",IFERROR(VLOOKUP($A654,物料档案!$A$4:$P$1203,4,0),""))</f>
        <v/>
      </c>
      <c r="D654" s="24">
        <f>IF($A654="","",IFERROR(VLOOKUP($A654,物料档案!$A$4:$P$1203,5,0),""))</f>
        <v/>
      </c>
      <c r="E654" s="24">
        <f>IF($A654="","",IFERROR(VLOOKUP($A654,物料档案!$A$4:$P$1203,2,0),""))</f>
        <v/>
      </c>
      <c r="F654" s="24">
        <f>IF($A654="","",IFERROR(VLOOKUP($A654,物料档案!$A$4:$P$1203,6,0),""))</f>
        <v/>
      </c>
      <c r="G654" s="23" t="n"/>
      <c r="H654" s="32" t="n"/>
      <c r="I654" s="27">
        <f>IF($A654="","",SUMIFS(入库单!$K$4:$K$2503,入库单!$G$4:$G$2503,$A654,入库单!$X$4:$X$2503,"采购入库",入库单!$Z$4:$Z$2503,"正常",入库单!$C$4:$C$2503,"&gt;="&amp;账期起,入库单!$C$4:$C$2503,"&lt;="&amp;账期止))</f>
        <v/>
      </c>
      <c r="J654" s="26">
        <f>IF($A654="","",SUMIFS(入库单!$V$4:$V$2503,入库单!$G$4:$G$2503,$A654,入库单!$X$4:$X$2503,"采购入库",入库单!$Z$4:$Z$2503,"正常",入库单!$C$4:$C$2503,"&gt;="&amp;账期起,入库单!$C$4:$C$2503,"&lt;="&amp;账期止))</f>
        <v/>
      </c>
      <c r="K654" s="26">
        <f>IF($A654="","",IFERROR(ROUND((N($H654)+N($J654))/(N($G654)+N($I654)),2),0))</f>
        <v/>
      </c>
      <c r="L654" s="27">
        <f>IF($A654="","",SUMIFS(入库单!$K$4:$K$2503,入库单!$G$4:$G$2503,$A654,入库单!$X$4:$X$2503,"盘盈",入库单!$Z$4:$Z$2503,"正常",入库单!$C$4:$C$2503,"&gt;="&amp;账期起,入库单!$C$4:$C$2503,"&lt;="&amp;账期止))</f>
        <v/>
      </c>
      <c r="M654" s="26">
        <f>IF($A654="","",ROUND($L654*$K654,0))</f>
        <v/>
      </c>
      <c r="N654" s="27">
        <f>IF($A654="","",SUMIFS(入库单!$K$4:$K$2503,入库单!$G$4:$G$2503,$A654,入库单!$X$4:$X$2503,"矿区退库",入库单!$Z$4:$Z$2503,"正常",入库单!$C$4:$C$2503,"&gt;="&amp;账期起,入库单!$C$4:$C$2503,"&lt;="&amp;账期止))</f>
        <v/>
      </c>
      <c r="O654" s="26">
        <f>IF($A654="","",ROUND($N654*$K654,0))</f>
        <v/>
      </c>
      <c r="P654" s="27">
        <f>IF($A654="","",SUMIFS(出库单!$J$4:$J$4003,出库单!$D$4:$D$4003,$A654,出库单!$K$4:$K$4003,"自用消耗",出库单!$U$4:$U$4003,"正常",出库单!$C$4:$C$4003,"&gt;="&amp;账期起,出库单!$C$4:$C$4003,"&lt;="&amp;账期止))</f>
        <v/>
      </c>
      <c r="Q654" s="26">
        <f>IF($A654="","",ROUND(SUMIFS(出库单!$S$4:$S$4003,出库单!$D$4:$D$4003,$A654,出库单!$K$4:$K$4003,"自用消耗",出库单!$U$4:$U$4003,"正常",出库单!$C$4:$C$4003,"&gt;="&amp;账期起,出库单!$C$4:$C$4003,"&lt;="&amp;账期止),0))</f>
        <v/>
      </c>
      <c r="R654" s="27">
        <f>IF($A654="","",SUMIFS(出库单!$J$4:$J$4003,出库单!$D$4:$D$4003,$A654,出库单!$K$4:$K$4003,"对外销售",出库单!$U$4:$U$4003,"正常",出库单!$C$4:$C$4003,"&gt;="&amp;账期起,出库单!$C$4:$C$4003,"&lt;="&amp;账期止))</f>
        <v/>
      </c>
      <c r="S654" s="26">
        <f>IF($A654="","",ROUND(SUMIFS(出库单!$S$4:$S$4003,出库单!$D$4:$D$4003,$A654,出库单!$K$4:$K$4003,"对外销售",出库单!$U$4:$U$4003,"正常",出库单!$C$4:$C$4003,"&gt;="&amp;账期起,出库单!$C$4:$C$4003,"&lt;="&amp;账期止),0))</f>
        <v/>
      </c>
      <c r="T654" s="27">
        <f>IF($A654="","",SUMIFS(出库单!$J$4:$J$4003,出库单!$D$4:$D$4003,$A654,出库单!$K$4:$K$4003,"盘亏",出库单!$U$4:$U$4003,"正常",出库单!$C$4:$C$4003,"&gt;="&amp;账期起,出库单!$C$4:$C$4003,"&lt;="&amp;账期止))</f>
        <v/>
      </c>
      <c r="U654" s="26">
        <f>IF($A654="","",ROUND(SUMIFS(出库单!$S$4:$S$4003,出库单!$D$4:$D$4003,$A654,出库单!$K$4:$K$4003,"盘亏",出库单!$U$4:$U$4003,"正常",出库单!$C$4:$C$4003,"&gt;="&amp;账期起,出库单!$C$4:$C$4003,"&lt;="&amp;账期止),0))</f>
        <v/>
      </c>
      <c r="V654" s="27">
        <f>IF($A654="","",SUMIFS(出库单!$J$4:$J$4003,出库单!$D$4:$D$4003,$A654,出库单!$K$4:$K$4003,"退货给供应商",出库单!$U$4:$U$4003,"正常",出库单!$C$4:$C$4003,"&gt;="&amp;账期起,出库单!$C$4:$C$4003,"&lt;="&amp;账期止))</f>
        <v/>
      </c>
      <c r="W654" s="26">
        <f>IF($A654="","",ROUND(SUMIFS(出库单!$S$4:$S$4003,出库单!$D$4:$D$4003,$A654,出库单!$K$4:$K$4003,"退货给供应商",出库单!$U$4:$U$4003,"正常",出库单!$C$4:$C$4003,"&gt;="&amp;账期起,出库单!$C$4:$C$4003,"&lt;="&amp;账期止),0))</f>
        <v/>
      </c>
      <c r="X654" s="27">
        <f>IF($A654="","",ROUND(N($G654)+$I654+$L654+$N654-$P654-$R654-$T654-$V654,3))</f>
        <v/>
      </c>
      <c r="Y654" s="26">
        <f>IF($A654="","",ROUND(N($H654)+$J654+$M654+$O654-$Q654-$S654-$U654-$W654,0))</f>
        <v/>
      </c>
      <c r="Z654" s="24">
        <f>IF($A654="","",IF(COUNTIFS(入库单!$G$4:$G$2503,$A654,入库单!$Y$4:$Y$2503,"待补价")+COUNTIFS(入库单!$G$4:$G$2503,$A654,入库单!$Y$4:$Y$2503,"暂估")&gt;0,"不可信","可信"))</f>
        <v/>
      </c>
      <c r="AA654" s="24">
        <f>IF($A654="","",IF($X654&lt;-0.001,"※账面负库存，查一下是不是漏记入库",IF(AND(ROUND($X654,3)=0,ABS($Y654)&gt;1),"※数量已经是 0，金额还挂着 "&amp;TEXT($Y654,"#,##0")&amp;" 先令",IF(AND($X654&gt;0,$Y654&lt;=0,$K654=0),"※有数量没金额（这个物料一直没填过进价）",IF($Z654="不可信","△成本含待补价/暂估，毛利仅供参考","")))))</f>
        <v/>
      </c>
    </row>
    <row r="655">
      <c r="A655" s="24">
        <f>IF(物料档案!$A654="","",物料档案!$A654)</f>
        <v/>
      </c>
      <c r="B655" s="24">
        <f>IF($A655="","",IFERROR(VLOOKUP($A655,物料档案!$A$4:$P$1203,3,0),""))</f>
        <v/>
      </c>
      <c r="C655" s="24">
        <f>IF($A655="","",IFERROR(VLOOKUP($A655,物料档案!$A$4:$P$1203,4,0),""))</f>
        <v/>
      </c>
      <c r="D655" s="24">
        <f>IF($A655="","",IFERROR(VLOOKUP($A655,物料档案!$A$4:$P$1203,5,0),""))</f>
        <v/>
      </c>
      <c r="E655" s="24">
        <f>IF($A655="","",IFERROR(VLOOKUP($A655,物料档案!$A$4:$P$1203,2,0),""))</f>
        <v/>
      </c>
      <c r="F655" s="24">
        <f>IF($A655="","",IFERROR(VLOOKUP($A655,物料档案!$A$4:$P$1203,6,0),""))</f>
        <v/>
      </c>
      <c r="G655" s="23" t="n"/>
      <c r="H655" s="32" t="n"/>
      <c r="I655" s="27">
        <f>IF($A655="","",SUMIFS(入库单!$K$4:$K$2503,入库单!$G$4:$G$2503,$A655,入库单!$X$4:$X$2503,"采购入库",入库单!$Z$4:$Z$2503,"正常",入库单!$C$4:$C$2503,"&gt;="&amp;账期起,入库单!$C$4:$C$2503,"&lt;="&amp;账期止))</f>
        <v/>
      </c>
      <c r="J655" s="26">
        <f>IF($A655="","",SUMIFS(入库单!$V$4:$V$2503,入库单!$G$4:$G$2503,$A655,入库单!$X$4:$X$2503,"采购入库",入库单!$Z$4:$Z$2503,"正常",入库单!$C$4:$C$2503,"&gt;="&amp;账期起,入库单!$C$4:$C$2503,"&lt;="&amp;账期止))</f>
        <v/>
      </c>
      <c r="K655" s="26">
        <f>IF($A655="","",IFERROR(ROUND((N($H655)+N($J655))/(N($G655)+N($I655)),2),0))</f>
        <v/>
      </c>
      <c r="L655" s="27">
        <f>IF($A655="","",SUMIFS(入库单!$K$4:$K$2503,入库单!$G$4:$G$2503,$A655,入库单!$X$4:$X$2503,"盘盈",入库单!$Z$4:$Z$2503,"正常",入库单!$C$4:$C$2503,"&gt;="&amp;账期起,入库单!$C$4:$C$2503,"&lt;="&amp;账期止))</f>
        <v/>
      </c>
      <c r="M655" s="26">
        <f>IF($A655="","",ROUND($L655*$K655,0))</f>
        <v/>
      </c>
      <c r="N655" s="27">
        <f>IF($A655="","",SUMIFS(入库单!$K$4:$K$2503,入库单!$G$4:$G$2503,$A655,入库单!$X$4:$X$2503,"矿区退库",入库单!$Z$4:$Z$2503,"正常",入库单!$C$4:$C$2503,"&gt;="&amp;账期起,入库单!$C$4:$C$2503,"&lt;="&amp;账期止))</f>
        <v/>
      </c>
      <c r="O655" s="26">
        <f>IF($A655="","",ROUND($N655*$K655,0))</f>
        <v/>
      </c>
      <c r="P655" s="27">
        <f>IF($A655="","",SUMIFS(出库单!$J$4:$J$4003,出库单!$D$4:$D$4003,$A655,出库单!$K$4:$K$4003,"自用消耗",出库单!$U$4:$U$4003,"正常",出库单!$C$4:$C$4003,"&gt;="&amp;账期起,出库单!$C$4:$C$4003,"&lt;="&amp;账期止))</f>
        <v/>
      </c>
      <c r="Q655" s="26">
        <f>IF($A655="","",ROUND(SUMIFS(出库单!$S$4:$S$4003,出库单!$D$4:$D$4003,$A655,出库单!$K$4:$K$4003,"自用消耗",出库单!$U$4:$U$4003,"正常",出库单!$C$4:$C$4003,"&gt;="&amp;账期起,出库单!$C$4:$C$4003,"&lt;="&amp;账期止),0))</f>
        <v/>
      </c>
      <c r="R655" s="27">
        <f>IF($A655="","",SUMIFS(出库单!$J$4:$J$4003,出库单!$D$4:$D$4003,$A655,出库单!$K$4:$K$4003,"对外销售",出库单!$U$4:$U$4003,"正常",出库单!$C$4:$C$4003,"&gt;="&amp;账期起,出库单!$C$4:$C$4003,"&lt;="&amp;账期止))</f>
        <v/>
      </c>
      <c r="S655" s="26">
        <f>IF($A655="","",ROUND(SUMIFS(出库单!$S$4:$S$4003,出库单!$D$4:$D$4003,$A655,出库单!$K$4:$K$4003,"对外销售",出库单!$U$4:$U$4003,"正常",出库单!$C$4:$C$4003,"&gt;="&amp;账期起,出库单!$C$4:$C$4003,"&lt;="&amp;账期止),0))</f>
        <v/>
      </c>
      <c r="T655" s="27">
        <f>IF($A655="","",SUMIFS(出库单!$J$4:$J$4003,出库单!$D$4:$D$4003,$A655,出库单!$K$4:$K$4003,"盘亏",出库单!$U$4:$U$4003,"正常",出库单!$C$4:$C$4003,"&gt;="&amp;账期起,出库单!$C$4:$C$4003,"&lt;="&amp;账期止))</f>
        <v/>
      </c>
      <c r="U655" s="26">
        <f>IF($A655="","",ROUND(SUMIFS(出库单!$S$4:$S$4003,出库单!$D$4:$D$4003,$A655,出库单!$K$4:$K$4003,"盘亏",出库单!$U$4:$U$4003,"正常",出库单!$C$4:$C$4003,"&gt;="&amp;账期起,出库单!$C$4:$C$4003,"&lt;="&amp;账期止),0))</f>
        <v/>
      </c>
      <c r="V655" s="27">
        <f>IF($A655="","",SUMIFS(出库单!$J$4:$J$4003,出库单!$D$4:$D$4003,$A655,出库单!$K$4:$K$4003,"退货给供应商",出库单!$U$4:$U$4003,"正常",出库单!$C$4:$C$4003,"&gt;="&amp;账期起,出库单!$C$4:$C$4003,"&lt;="&amp;账期止))</f>
        <v/>
      </c>
      <c r="W655" s="26">
        <f>IF($A655="","",ROUND(SUMIFS(出库单!$S$4:$S$4003,出库单!$D$4:$D$4003,$A655,出库单!$K$4:$K$4003,"退货给供应商",出库单!$U$4:$U$4003,"正常",出库单!$C$4:$C$4003,"&gt;="&amp;账期起,出库单!$C$4:$C$4003,"&lt;="&amp;账期止),0))</f>
        <v/>
      </c>
      <c r="X655" s="27">
        <f>IF($A655="","",ROUND(N($G655)+$I655+$L655+$N655-$P655-$R655-$T655-$V655,3))</f>
        <v/>
      </c>
      <c r="Y655" s="26">
        <f>IF($A655="","",ROUND(N($H655)+$J655+$M655+$O655-$Q655-$S655-$U655-$W655,0))</f>
        <v/>
      </c>
      <c r="Z655" s="24">
        <f>IF($A655="","",IF(COUNTIFS(入库单!$G$4:$G$2503,$A655,入库单!$Y$4:$Y$2503,"待补价")+COUNTIFS(入库单!$G$4:$G$2503,$A655,入库单!$Y$4:$Y$2503,"暂估")&gt;0,"不可信","可信"))</f>
        <v/>
      </c>
      <c r="AA655" s="24">
        <f>IF($A655="","",IF($X655&lt;-0.001,"※账面负库存，查一下是不是漏记入库",IF(AND(ROUND($X655,3)=0,ABS($Y655)&gt;1),"※数量已经是 0，金额还挂着 "&amp;TEXT($Y655,"#,##0")&amp;" 先令",IF(AND($X655&gt;0,$Y655&lt;=0,$K655=0),"※有数量没金额（这个物料一直没填过进价）",IF($Z655="不可信","△成本含待补价/暂估，毛利仅供参考","")))))</f>
        <v/>
      </c>
    </row>
    <row r="656">
      <c r="A656" s="24">
        <f>IF(物料档案!$A655="","",物料档案!$A655)</f>
        <v/>
      </c>
      <c r="B656" s="24">
        <f>IF($A656="","",IFERROR(VLOOKUP($A656,物料档案!$A$4:$P$1203,3,0),""))</f>
        <v/>
      </c>
      <c r="C656" s="24">
        <f>IF($A656="","",IFERROR(VLOOKUP($A656,物料档案!$A$4:$P$1203,4,0),""))</f>
        <v/>
      </c>
      <c r="D656" s="24">
        <f>IF($A656="","",IFERROR(VLOOKUP($A656,物料档案!$A$4:$P$1203,5,0),""))</f>
        <v/>
      </c>
      <c r="E656" s="24">
        <f>IF($A656="","",IFERROR(VLOOKUP($A656,物料档案!$A$4:$P$1203,2,0),""))</f>
        <v/>
      </c>
      <c r="F656" s="24">
        <f>IF($A656="","",IFERROR(VLOOKUP($A656,物料档案!$A$4:$P$1203,6,0),""))</f>
        <v/>
      </c>
      <c r="G656" s="23" t="n"/>
      <c r="H656" s="32" t="n"/>
      <c r="I656" s="27">
        <f>IF($A656="","",SUMIFS(入库单!$K$4:$K$2503,入库单!$G$4:$G$2503,$A656,入库单!$X$4:$X$2503,"采购入库",入库单!$Z$4:$Z$2503,"正常",入库单!$C$4:$C$2503,"&gt;="&amp;账期起,入库单!$C$4:$C$2503,"&lt;="&amp;账期止))</f>
        <v/>
      </c>
      <c r="J656" s="26">
        <f>IF($A656="","",SUMIFS(入库单!$V$4:$V$2503,入库单!$G$4:$G$2503,$A656,入库单!$X$4:$X$2503,"采购入库",入库单!$Z$4:$Z$2503,"正常",入库单!$C$4:$C$2503,"&gt;="&amp;账期起,入库单!$C$4:$C$2503,"&lt;="&amp;账期止))</f>
        <v/>
      </c>
      <c r="K656" s="26">
        <f>IF($A656="","",IFERROR(ROUND((N($H656)+N($J656))/(N($G656)+N($I656)),2),0))</f>
        <v/>
      </c>
      <c r="L656" s="27">
        <f>IF($A656="","",SUMIFS(入库单!$K$4:$K$2503,入库单!$G$4:$G$2503,$A656,入库单!$X$4:$X$2503,"盘盈",入库单!$Z$4:$Z$2503,"正常",入库单!$C$4:$C$2503,"&gt;="&amp;账期起,入库单!$C$4:$C$2503,"&lt;="&amp;账期止))</f>
        <v/>
      </c>
      <c r="M656" s="26">
        <f>IF($A656="","",ROUND($L656*$K656,0))</f>
        <v/>
      </c>
      <c r="N656" s="27">
        <f>IF($A656="","",SUMIFS(入库单!$K$4:$K$2503,入库单!$G$4:$G$2503,$A656,入库单!$X$4:$X$2503,"矿区退库",入库单!$Z$4:$Z$2503,"正常",入库单!$C$4:$C$2503,"&gt;="&amp;账期起,入库单!$C$4:$C$2503,"&lt;="&amp;账期止))</f>
        <v/>
      </c>
      <c r="O656" s="26">
        <f>IF($A656="","",ROUND($N656*$K656,0))</f>
        <v/>
      </c>
      <c r="P656" s="27">
        <f>IF($A656="","",SUMIFS(出库单!$J$4:$J$4003,出库单!$D$4:$D$4003,$A656,出库单!$K$4:$K$4003,"自用消耗",出库单!$U$4:$U$4003,"正常",出库单!$C$4:$C$4003,"&gt;="&amp;账期起,出库单!$C$4:$C$4003,"&lt;="&amp;账期止))</f>
        <v/>
      </c>
      <c r="Q656" s="26">
        <f>IF($A656="","",ROUND(SUMIFS(出库单!$S$4:$S$4003,出库单!$D$4:$D$4003,$A656,出库单!$K$4:$K$4003,"自用消耗",出库单!$U$4:$U$4003,"正常",出库单!$C$4:$C$4003,"&gt;="&amp;账期起,出库单!$C$4:$C$4003,"&lt;="&amp;账期止),0))</f>
        <v/>
      </c>
      <c r="R656" s="27">
        <f>IF($A656="","",SUMIFS(出库单!$J$4:$J$4003,出库单!$D$4:$D$4003,$A656,出库单!$K$4:$K$4003,"对外销售",出库单!$U$4:$U$4003,"正常",出库单!$C$4:$C$4003,"&gt;="&amp;账期起,出库单!$C$4:$C$4003,"&lt;="&amp;账期止))</f>
        <v/>
      </c>
      <c r="S656" s="26">
        <f>IF($A656="","",ROUND(SUMIFS(出库单!$S$4:$S$4003,出库单!$D$4:$D$4003,$A656,出库单!$K$4:$K$4003,"对外销售",出库单!$U$4:$U$4003,"正常",出库单!$C$4:$C$4003,"&gt;="&amp;账期起,出库单!$C$4:$C$4003,"&lt;="&amp;账期止),0))</f>
        <v/>
      </c>
      <c r="T656" s="27">
        <f>IF($A656="","",SUMIFS(出库单!$J$4:$J$4003,出库单!$D$4:$D$4003,$A656,出库单!$K$4:$K$4003,"盘亏",出库单!$U$4:$U$4003,"正常",出库单!$C$4:$C$4003,"&gt;="&amp;账期起,出库单!$C$4:$C$4003,"&lt;="&amp;账期止))</f>
        <v/>
      </c>
      <c r="U656" s="26">
        <f>IF($A656="","",ROUND(SUMIFS(出库单!$S$4:$S$4003,出库单!$D$4:$D$4003,$A656,出库单!$K$4:$K$4003,"盘亏",出库单!$U$4:$U$4003,"正常",出库单!$C$4:$C$4003,"&gt;="&amp;账期起,出库单!$C$4:$C$4003,"&lt;="&amp;账期止),0))</f>
        <v/>
      </c>
      <c r="V656" s="27">
        <f>IF($A656="","",SUMIFS(出库单!$J$4:$J$4003,出库单!$D$4:$D$4003,$A656,出库单!$K$4:$K$4003,"退货给供应商",出库单!$U$4:$U$4003,"正常",出库单!$C$4:$C$4003,"&gt;="&amp;账期起,出库单!$C$4:$C$4003,"&lt;="&amp;账期止))</f>
        <v/>
      </c>
      <c r="W656" s="26">
        <f>IF($A656="","",ROUND(SUMIFS(出库单!$S$4:$S$4003,出库单!$D$4:$D$4003,$A656,出库单!$K$4:$K$4003,"退货给供应商",出库单!$U$4:$U$4003,"正常",出库单!$C$4:$C$4003,"&gt;="&amp;账期起,出库单!$C$4:$C$4003,"&lt;="&amp;账期止),0))</f>
        <v/>
      </c>
      <c r="X656" s="27">
        <f>IF($A656="","",ROUND(N($G656)+$I656+$L656+$N656-$P656-$R656-$T656-$V656,3))</f>
        <v/>
      </c>
      <c r="Y656" s="26">
        <f>IF($A656="","",ROUND(N($H656)+$J656+$M656+$O656-$Q656-$S656-$U656-$W656,0))</f>
        <v/>
      </c>
      <c r="Z656" s="24">
        <f>IF($A656="","",IF(COUNTIFS(入库单!$G$4:$G$2503,$A656,入库单!$Y$4:$Y$2503,"待补价")+COUNTIFS(入库单!$G$4:$G$2503,$A656,入库单!$Y$4:$Y$2503,"暂估")&gt;0,"不可信","可信"))</f>
        <v/>
      </c>
      <c r="AA656" s="24">
        <f>IF($A656="","",IF($X656&lt;-0.001,"※账面负库存，查一下是不是漏记入库",IF(AND(ROUND($X656,3)=0,ABS($Y656)&gt;1),"※数量已经是 0，金额还挂着 "&amp;TEXT($Y656,"#,##0")&amp;" 先令",IF(AND($X656&gt;0,$Y656&lt;=0,$K656=0),"※有数量没金额（这个物料一直没填过进价）",IF($Z656="不可信","△成本含待补价/暂估，毛利仅供参考","")))))</f>
        <v/>
      </c>
    </row>
    <row r="657">
      <c r="A657" s="24">
        <f>IF(物料档案!$A656="","",物料档案!$A656)</f>
        <v/>
      </c>
      <c r="B657" s="24">
        <f>IF($A657="","",IFERROR(VLOOKUP($A657,物料档案!$A$4:$P$1203,3,0),""))</f>
        <v/>
      </c>
      <c r="C657" s="24">
        <f>IF($A657="","",IFERROR(VLOOKUP($A657,物料档案!$A$4:$P$1203,4,0),""))</f>
        <v/>
      </c>
      <c r="D657" s="24">
        <f>IF($A657="","",IFERROR(VLOOKUP($A657,物料档案!$A$4:$P$1203,5,0),""))</f>
        <v/>
      </c>
      <c r="E657" s="24">
        <f>IF($A657="","",IFERROR(VLOOKUP($A657,物料档案!$A$4:$P$1203,2,0),""))</f>
        <v/>
      </c>
      <c r="F657" s="24">
        <f>IF($A657="","",IFERROR(VLOOKUP($A657,物料档案!$A$4:$P$1203,6,0),""))</f>
        <v/>
      </c>
      <c r="G657" s="23" t="n"/>
      <c r="H657" s="32" t="n"/>
      <c r="I657" s="27">
        <f>IF($A657="","",SUMIFS(入库单!$K$4:$K$2503,入库单!$G$4:$G$2503,$A657,入库单!$X$4:$X$2503,"采购入库",入库单!$Z$4:$Z$2503,"正常",入库单!$C$4:$C$2503,"&gt;="&amp;账期起,入库单!$C$4:$C$2503,"&lt;="&amp;账期止))</f>
        <v/>
      </c>
      <c r="J657" s="26">
        <f>IF($A657="","",SUMIFS(入库单!$V$4:$V$2503,入库单!$G$4:$G$2503,$A657,入库单!$X$4:$X$2503,"采购入库",入库单!$Z$4:$Z$2503,"正常",入库单!$C$4:$C$2503,"&gt;="&amp;账期起,入库单!$C$4:$C$2503,"&lt;="&amp;账期止))</f>
        <v/>
      </c>
      <c r="K657" s="26">
        <f>IF($A657="","",IFERROR(ROUND((N($H657)+N($J657))/(N($G657)+N($I657)),2),0))</f>
        <v/>
      </c>
      <c r="L657" s="27">
        <f>IF($A657="","",SUMIFS(入库单!$K$4:$K$2503,入库单!$G$4:$G$2503,$A657,入库单!$X$4:$X$2503,"盘盈",入库单!$Z$4:$Z$2503,"正常",入库单!$C$4:$C$2503,"&gt;="&amp;账期起,入库单!$C$4:$C$2503,"&lt;="&amp;账期止))</f>
        <v/>
      </c>
      <c r="M657" s="26">
        <f>IF($A657="","",ROUND($L657*$K657,0))</f>
        <v/>
      </c>
      <c r="N657" s="27">
        <f>IF($A657="","",SUMIFS(入库单!$K$4:$K$2503,入库单!$G$4:$G$2503,$A657,入库单!$X$4:$X$2503,"矿区退库",入库单!$Z$4:$Z$2503,"正常",入库单!$C$4:$C$2503,"&gt;="&amp;账期起,入库单!$C$4:$C$2503,"&lt;="&amp;账期止))</f>
        <v/>
      </c>
      <c r="O657" s="26">
        <f>IF($A657="","",ROUND($N657*$K657,0))</f>
        <v/>
      </c>
      <c r="P657" s="27">
        <f>IF($A657="","",SUMIFS(出库单!$J$4:$J$4003,出库单!$D$4:$D$4003,$A657,出库单!$K$4:$K$4003,"自用消耗",出库单!$U$4:$U$4003,"正常",出库单!$C$4:$C$4003,"&gt;="&amp;账期起,出库单!$C$4:$C$4003,"&lt;="&amp;账期止))</f>
        <v/>
      </c>
      <c r="Q657" s="26">
        <f>IF($A657="","",ROUND(SUMIFS(出库单!$S$4:$S$4003,出库单!$D$4:$D$4003,$A657,出库单!$K$4:$K$4003,"自用消耗",出库单!$U$4:$U$4003,"正常",出库单!$C$4:$C$4003,"&gt;="&amp;账期起,出库单!$C$4:$C$4003,"&lt;="&amp;账期止),0))</f>
        <v/>
      </c>
      <c r="R657" s="27">
        <f>IF($A657="","",SUMIFS(出库单!$J$4:$J$4003,出库单!$D$4:$D$4003,$A657,出库单!$K$4:$K$4003,"对外销售",出库单!$U$4:$U$4003,"正常",出库单!$C$4:$C$4003,"&gt;="&amp;账期起,出库单!$C$4:$C$4003,"&lt;="&amp;账期止))</f>
        <v/>
      </c>
      <c r="S657" s="26">
        <f>IF($A657="","",ROUND(SUMIFS(出库单!$S$4:$S$4003,出库单!$D$4:$D$4003,$A657,出库单!$K$4:$K$4003,"对外销售",出库单!$U$4:$U$4003,"正常",出库单!$C$4:$C$4003,"&gt;="&amp;账期起,出库单!$C$4:$C$4003,"&lt;="&amp;账期止),0))</f>
        <v/>
      </c>
      <c r="T657" s="27">
        <f>IF($A657="","",SUMIFS(出库单!$J$4:$J$4003,出库单!$D$4:$D$4003,$A657,出库单!$K$4:$K$4003,"盘亏",出库单!$U$4:$U$4003,"正常",出库单!$C$4:$C$4003,"&gt;="&amp;账期起,出库单!$C$4:$C$4003,"&lt;="&amp;账期止))</f>
        <v/>
      </c>
      <c r="U657" s="26">
        <f>IF($A657="","",ROUND(SUMIFS(出库单!$S$4:$S$4003,出库单!$D$4:$D$4003,$A657,出库单!$K$4:$K$4003,"盘亏",出库单!$U$4:$U$4003,"正常",出库单!$C$4:$C$4003,"&gt;="&amp;账期起,出库单!$C$4:$C$4003,"&lt;="&amp;账期止),0))</f>
        <v/>
      </c>
      <c r="V657" s="27">
        <f>IF($A657="","",SUMIFS(出库单!$J$4:$J$4003,出库单!$D$4:$D$4003,$A657,出库单!$K$4:$K$4003,"退货给供应商",出库单!$U$4:$U$4003,"正常",出库单!$C$4:$C$4003,"&gt;="&amp;账期起,出库单!$C$4:$C$4003,"&lt;="&amp;账期止))</f>
        <v/>
      </c>
      <c r="W657" s="26">
        <f>IF($A657="","",ROUND(SUMIFS(出库单!$S$4:$S$4003,出库单!$D$4:$D$4003,$A657,出库单!$K$4:$K$4003,"退货给供应商",出库单!$U$4:$U$4003,"正常",出库单!$C$4:$C$4003,"&gt;="&amp;账期起,出库单!$C$4:$C$4003,"&lt;="&amp;账期止),0))</f>
        <v/>
      </c>
      <c r="X657" s="27">
        <f>IF($A657="","",ROUND(N($G657)+$I657+$L657+$N657-$P657-$R657-$T657-$V657,3))</f>
        <v/>
      </c>
      <c r="Y657" s="26">
        <f>IF($A657="","",ROUND(N($H657)+$J657+$M657+$O657-$Q657-$S657-$U657-$W657,0))</f>
        <v/>
      </c>
      <c r="Z657" s="24">
        <f>IF($A657="","",IF(COUNTIFS(入库单!$G$4:$G$2503,$A657,入库单!$Y$4:$Y$2503,"待补价")+COUNTIFS(入库单!$G$4:$G$2503,$A657,入库单!$Y$4:$Y$2503,"暂估")&gt;0,"不可信","可信"))</f>
        <v/>
      </c>
      <c r="AA657" s="24">
        <f>IF($A657="","",IF($X657&lt;-0.001,"※账面负库存，查一下是不是漏记入库",IF(AND(ROUND($X657,3)=0,ABS($Y657)&gt;1),"※数量已经是 0，金额还挂着 "&amp;TEXT($Y657,"#,##0")&amp;" 先令",IF(AND($X657&gt;0,$Y657&lt;=0,$K657=0),"※有数量没金额（这个物料一直没填过进价）",IF($Z657="不可信","△成本含待补价/暂估，毛利仅供参考","")))))</f>
        <v/>
      </c>
    </row>
    <row r="658">
      <c r="A658" s="24">
        <f>IF(物料档案!$A657="","",物料档案!$A657)</f>
        <v/>
      </c>
      <c r="B658" s="24">
        <f>IF($A658="","",IFERROR(VLOOKUP($A658,物料档案!$A$4:$P$1203,3,0),""))</f>
        <v/>
      </c>
      <c r="C658" s="24">
        <f>IF($A658="","",IFERROR(VLOOKUP($A658,物料档案!$A$4:$P$1203,4,0),""))</f>
        <v/>
      </c>
      <c r="D658" s="24">
        <f>IF($A658="","",IFERROR(VLOOKUP($A658,物料档案!$A$4:$P$1203,5,0),""))</f>
        <v/>
      </c>
      <c r="E658" s="24">
        <f>IF($A658="","",IFERROR(VLOOKUP($A658,物料档案!$A$4:$P$1203,2,0),""))</f>
        <v/>
      </c>
      <c r="F658" s="24">
        <f>IF($A658="","",IFERROR(VLOOKUP($A658,物料档案!$A$4:$P$1203,6,0),""))</f>
        <v/>
      </c>
      <c r="G658" s="23" t="n"/>
      <c r="H658" s="32" t="n"/>
      <c r="I658" s="27">
        <f>IF($A658="","",SUMIFS(入库单!$K$4:$K$2503,入库单!$G$4:$G$2503,$A658,入库单!$X$4:$X$2503,"采购入库",入库单!$Z$4:$Z$2503,"正常",入库单!$C$4:$C$2503,"&gt;="&amp;账期起,入库单!$C$4:$C$2503,"&lt;="&amp;账期止))</f>
        <v/>
      </c>
      <c r="J658" s="26">
        <f>IF($A658="","",SUMIFS(入库单!$V$4:$V$2503,入库单!$G$4:$G$2503,$A658,入库单!$X$4:$X$2503,"采购入库",入库单!$Z$4:$Z$2503,"正常",入库单!$C$4:$C$2503,"&gt;="&amp;账期起,入库单!$C$4:$C$2503,"&lt;="&amp;账期止))</f>
        <v/>
      </c>
      <c r="K658" s="26">
        <f>IF($A658="","",IFERROR(ROUND((N($H658)+N($J658))/(N($G658)+N($I658)),2),0))</f>
        <v/>
      </c>
      <c r="L658" s="27">
        <f>IF($A658="","",SUMIFS(入库单!$K$4:$K$2503,入库单!$G$4:$G$2503,$A658,入库单!$X$4:$X$2503,"盘盈",入库单!$Z$4:$Z$2503,"正常",入库单!$C$4:$C$2503,"&gt;="&amp;账期起,入库单!$C$4:$C$2503,"&lt;="&amp;账期止))</f>
        <v/>
      </c>
      <c r="M658" s="26">
        <f>IF($A658="","",ROUND($L658*$K658,0))</f>
        <v/>
      </c>
      <c r="N658" s="27">
        <f>IF($A658="","",SUMIFS(入库单!$K$4:$K$2503,入库单!$G$4:$G$2503,$A658,入库单!$X$4:$X$2503,"矿区退库",入库单!$Z$4:$Z$2503,"正常",入库单!$C$4:$C$2503,"&gt;="&amp;账期起,入库单!$C$4:$C$2503,"&lt;="&amp;账期止))</f>
        <v/>
      </c>
      <c r="O658" s="26">
        <f>IF($A658="","",ROUND($N658*$K658,0))</f>
        <v/>
      </c>
      <c r="P658" s="27">
        <f>IF($A658="","",SUMIFS(出库单!$J$4:$J$4003,出库单!$D$4:$D$4003,$A658,出库单!$K$4:$K$4003,"自用消耗",出库单!$U$4:$U$4003,"正常",出库单!$C$4:$C$4003,"&gt;="&amp;账期起,出库单!$C$4:$C$4003,"&lt;="&amp;账期止))</f>
        <v/>
      </c>
      <c r="Q658" s="26">
        <f>IF($A658="","",ROUND(SUMIFS(出库单!$S$4:$S$4003,出库单!$D$4:$D$4003,$A658,出库单!$K$4:$K$4003,"自用消耗",出库单!$U$4:$U$4003,"正常",出库单!$C$4:$C$4003,"&gt;="&amp;账期起,出库单!$C$4:$C$4003,"&lt;="&amp;账期止),0))</f>
        <v/>
      </c>
      <c r="R658" s="27">
        <f>IF($A658="","",SUMIFS(出库单!$J$4:$J$4003,出库单!$D$4:$D$4003,$A658,出库单!$K$4:$K$4003,"对外销售",出库单!$U$4:$U$4003,"正常",出库单!$C$4:$C$4003,"&gt;="&amp;账期起,出库单!$C$4:$C$4003,"&lt;="&amp;账期止))</f>
        <v/>
      </c>
      <c r="S658" s="26">
        <f>IF($A658="","",ROUND(SUMIFS(出库单!$S$4:$S$4003,出库单!$D$4:$D$4003,$A658,出库单!$K$4:$K$4003,"对外销售",出库单!$U$4:$U$4003,"正常",出库单!$C$4:$C$4003,"&gt;="&amp;账期起,出库单!$C$4:$C$4003,"&lt;="&amp;账期止),0))</f>
        <v/>
      </c>
      <c r="T658" s="27">
        <f>IF($A658="","",SUMIFS(出库单!$J$4:$J$4003,出库单!$D$4:$D$4003,$A658,出库单!$K$4:$K$4003,"盘亏",出库单!$U$4:$U$4003,"正常",出库单!$C$4:$C$4003,"&gt;="&amp;账期起,出库单!$C$4:$C$4003,"&lt;="&amp;账期止))</f>
        <v/>
      </c>
      <c r="U658" s="26">
        <f>IF($A658="","",ROUND(SUMIFS(出库单!$S$4:$S$4003,出库单!$D$4:$D$4003,$A658,出库单!$K$4:$K$4003,"盘亏",出库单!$U$4:$U$4003,"正常",出库单!$C$4:$C$4003,"&gt;="&amp;账期起,出库单!$C$4:$C$4003,"&lt;="&amp;账期止),0))</f>
        <v/>
      </c>
      <c r="V658" s="27">
        <f>IF($A658="","",SUMIFS(出库单!$J$4:$J$4003,出库单!$D$4:$D$4003,$A658,出库单!$K$4:$K$4003,"退货给供应商",出库单!$U$4:$U$4003,"正常",出库单!$C$4:$C$4003,"&gt;="&amp;账期起,出库单!$C$4:$C$4003,"&lt;="&amp;账期止))</f>
        <v/>
      </c>
      <c r="W658" s="26">
        <f>IF($A658="","",ROUND(SUMIFS(出库单!$S$4:$S$4003,出库单!$D$4:$D$4003,$A658,出库单!$K$4:$K$4003,"退货给供应商",出库单!$U$4:$U$4003,"正常",出库单!$C$4:$C$4003,"&gt;="&amp;账期起,出库单!$C$4:$C$4003,"&lt;="&amp;账期止),0))</f>
        <v/>
      </c>
      <c r="X658" s="27">
        <f>IF($A658="","",ROUND(N($G658)+$I658+$L658+$N658-$P658-$R658-$T658-$V658,3))</f>
        <v/>
      </c>
      <c r="Y658" s="26">
        <f>IF($A658="","",ROUND(N($H658)+$J658+$M658+$O658-$Q658-$S658-$U658-$W658,0))</f>
        <v/>
      </c>
      <c r="Z658" s="24">
        <f>IF($A658="","",IF(COUNTIFS(入库单!$G$4:$G$2503,$A658,入库单!$Y$4:$Y$2503,"待补价")+COUNTIFS(入库单!$G$4:$G$2503,$A658,入库单!$Y$4:$Y$2503,"暂估")&gt;0,"不可信","可信"))</f>
        <v/>
      </c>
      <c r="AA658" s="24">
        <f>IF($A658="","",IF($X658&lt;-0.001,"※账面负库存，查一下是不是漏记入库",IF(AND(ROUND($X658,3)=0,ABS($Y658)&gt;1),"※数量已经是 0，金额还挂着 "&amp;TEXT($Y658,"#,##0")&amp;" 先令",IF(AND($X658&gt;0,$Y658&lt;=0,$K658=0),"※有数量没金额（这个物料一直没填过进价）",IF($Z658="不可信","△成本含待补价/暂估，毛利仅供参考","")))))</f>
        <v/>
      </c>
    </row>
    <row r="659">
      <c r="A659" s="24">
        <f>IF(物料档案!$A658="","",物料档案!$A658)</f>
        <v/>
      </c>
      <c r="B659" s="24">
        <f>IF($A659="","",IFERROR(VLOOKUP($A659,物料档案!$A$4:$P$1203,3,0),""))</f>
        <v/>
      </c>
      <c r="C659" s="24">
        <f>IF($A659="","",IFERROR(VLOOKUP($A659,物料档案!$A$4:$P$1203,4,0),""))</f>
        <v/>
      </c>
      <c r="D659" s="24">
        <f>IF($A659="","",IFERROR(VLOOKUP($A659,物料档案!$A$4:$P$1203,5,0),""))</f>
        <v/>
      </c>
      <c r="E659" s="24">
        <f>IF($A659="","",IFERROR(VLOOKUP($A659,物料档案!$A$4:$P$1203,2,0),""))</f>
        <v/>
      </c>
      <c r="F659" s="24">
        <f>IF($A659="","",IFERROR(VLOOKUP($A659,物料档案!$A$4:$P$1203,6,0),""))</f>
        <v/>
      </c>
      <c r="G659" s="23" t="n"/>
      <c r="H659" s="32" t="n"/>
      <c r="I659" s="27">
        <f>IF($A659="","",SUMIFS(入库单!$K$4:$K$2503,入库单!$G$4:$G$2503,$A659,入库单!$X$4:$X$2503,"采购入库",入库单!$Z$4:$Z$2503,"正常",入库单!$C$4:$C$2503,"&gt;="&amp;账期起,入库单!$C$4:$C$2503,"&lt;="&amp;账期止))</f>
        <v/>
      </c>
      <c r="J659" s="26">
        <f>IF($A659="","",SUMIFS(入库单!$V$4:$V$2503,入库单!$G$4:$G$2503,$A659,入库单!$X$4:$X$2503,"采购入库",入库单!$Z$4:$Z$2503,"正常",入库单!$C$4:$C$2503,"&gt;="&amp;账期起,入库单!$C$4:$C$2503,"&lt;="&amp;账期止))</f>
        <v/>
      </c>
      <c r="K659" s="26">
        <f>IF($A659="","",IFERROR(ROUND((N($H659)+N($J659))/(N($G659)+N($I659)),2),0))</f>
        <v/>
      </c>
      <c r="L659" s="27">
        <f>IF($A659="","",SUMIFS(入库单!$K$4:$K$2503,入库单!$G$4:$G$2503,$A659,入库单!$X$4:$X$2503,"盘盈",入库单!$Z$4:$Z$2503,"正常",入库单!$C$4:$C$2503,"&gt;="&amp;账期起,入库单!$C$4:$C$2503,"&lt;="&amp;账期止))</f>
        <v/>
      </c>
      <c r="M659" s="26">
        <f>IF($A659="","",ROUND($L659*$K659,0))</f>
        <v/>
      </c>
      <c r="N659" s="27">
        <f>IF($A659="","",SUMIFS(入库单!$K$4:$K$2503,入库单!$G$4:$G$2503,$A659,入库单!$X$4:$X$2503,"矿区退库",入库单!$Z$4:$Z$2503,"正常",入库单!$C$4:$C$2503,"&gt;="&amp;账期起,入库单!$C$4:$C$2503,"&lt;="&amp;账期止))</f>
        <v/>
      </c>
      <c r="O659" s="26">
        <f>IF($A659="","",ROUND($N659*$K659,0))</f>
        <v/>
      </c>
      <c r="P659" s="27">
        <f>IF($A659="","",SUMIFS(出库单!$J$4:$J$4003,出库单!$D$4:$D$4003,$A659,出库单!$K$4:$K$4003,"自用消耗",出库单!$U$4:$U$4003,"正常",出库单!$C$4:$C$4003,"&gt;="&amp;账期起,出库单!$C$4:$C$4003,"&lt;="&amp;账期止))</f>
        <v/>
      </c>
      <c r="Q659" s="26">
        <f>IF($A659="","",ROUND(SUMIFS(出库单!$S$4:$S$4003,出库单!$D$4:$D$4003,$A659,出库单!$K$4:$K$4003,"自用消耗",出库单!$U$4:$U$4003,"正常",出库单!$C$4:$C$4003,"&gt;="&amp;账期起,出库单!$C$4:$C$4003,"&lt;="&amp;账期止),0))</f>
        <v/>
      </c>
      <c r="R659" s="27">
        <f>IF($A659="","",SUMIFS(出库单!$J$4:$J$4003,出库单!$D$4:$D$4003,$A659,出库单!$K$4:$K$4003,"对外销售",出库单!$U$4:$U$4003,"正常",出库单!$C$4:$C$4003,"&gt;="&amp;账期起,出库单!$C$4:$C$4003,"&lt;="&amp;账期止))</f>
        <v/>
      </c>
      <c r="S659" s="26">
        <f>IF($A659="","",ROUND(SUMIFS(出库单!$S$4:$S$4003,出库单!$D$4:$D$4003,$A659,出库单!$K$4:$K$4003,"对外销售",出库单!$U$4:$U$4003,"正常",出库单!$C$4:$C$4003,"&gt;="&amp;账期起,出库单!$C$4:$C$4003,"&lt;="&amp;账期止),0))</f>
        <v/>
      </c>
      <c r="T659" s="27">
        <f>IF($A659="","",SUMIFS(出库单!$J$4:$J$4003,出库单!$D$4:$D$4003,$A659,出库单!$K$4:$K$4003,"盘亏",出库单!$U$4:$U$4003,"正常",出库单!$C$4:$C$4003,"&gt;="&amp;账期起,出库单!$C$4:$C$4003,"&lt;="&amp;账期止))</f>
        <v/>
      </c>
      <c r="U659" s="26">
        <f>IF($A659="","",ROUND(SUMIFS(出库单!$S$4:$S$4003,出库单!$D$4:$D$4003,$A659,出库单!$K$4:$K$4003,"盘亏",出库单!$U$4:$U$4003,"正常",出库单!$C$4:$C$4003,"&gt;="&amp;账期起,出库单!$C$4:$C$4003,"&lt;="&amp;账期止),0))</f>
        <v/>
      </c>
      <c r="V659" s="27">
        <f>IF($A659="","",SUMIFS(出库单!$J$4:$J$4003,出库单!$D$4:$D$4003,$A659,出库单!$K$4:$K$4003,"退货给供应商",出库单!$U$4:$U$4003,"正常",出库单!$C$4:$C$4003,"&gt;="&amp;账期起,出库单!$C$4:$C$4003,"&lt;="&amp;账期止))</f>
        <v/>
      </c>
      <c r="W659" s="26">
        <f>IF($A659="","",ROUND(SUMIFS(出库单!$S$4:$S$4003,出库单!$D$4:$D$4003,$A659,出库单!$K$4:$K$4003,"退货给供应商",出库单!$U$4:$U$4003,"正常",出库单!$C$4:$C$4003,"&gt;="&amp;账期起,出库单!$C$4:$C$4003,"&lt;="&amp;账期止),0))</f>
        <v/>
      </c>
      <c r="X659" s="27">
        <f>IF($A659="","",ROUND(N($G659)+$I659+$L659+$N659-$P659-$R659-$T659-$V659,3))</f>
        <v/>
      </c>
      <c r="Y659" s="26">
        <f>IF($A659="","",ROUND(N($H659)+$J659+$M659+$O659-$Q659-$S659-$U659-$W659,0))</f>
        <v/>
      </c>
      <c r="Z659" s="24">
        <f>IF($A659="","",IF(COUNTIFS(入库单!$G$4:$G$2503,$A659,入库单!$Y$4:$Y$2503,"待补价")+COUNTIFS(入库单!$G$4:$G$2503,$A659,入库单!$Y$4:$Y$2503,"暂估")&gt;0,"不可信","可信"))</f>
        <v/>
      </c>
      <c r="AA659" s="24">
        <f>IF($A659="","",IF($X659&lt;-0.001,"※账面负库存，查一下是不是漏记入库",IF(AND(ROUND($X659,3)=0,ABS($Y659)&gt;1),"※数量已经是 0，金额还挂着 "&amp;TEXT($Y659,"#,##0")&amp;" 先令",IF(AND($X659&gt;0,$Y659&lt;=0,$K659=0),"※有数量没金额（这个物料一直没填过进价）",IF($Z659="不可信","△成本含待补价/暂估，毛利仅供参考","")))))</f>
        <v/>
      </c>
    </row>
    <row r="660">
      <c r="A660" s="24">
        <f>IF(物料档案!$A659="","",物料档案!$A659)</f>
        <v/>
      </c>
      <c r="B660" s="24">
        <f>IF($A660="","",IFERROR(VLOOKUP($A660,物料档案!$A$4:$P$1203,3,0),""))</f>
        <v/>
      </c>
      <c r="C660" s="24">
        <f>IF($A660="","",IFERROR(VLOOKUP($A660,物料档案!$A$4:$P$1203,4,0),""))</f>
        <v/>
      </c>
      <c r="D660" s="24">
        <f>IF($A660="","",IFERROR(VLOOKUP($A660,物料档案!$A$4:$P$1203,5,0),""))</f>
        <v/>
      </c>
      <c r="E660" s="24">
        <f>IF($A660="","",IFERROR(VLOOKUP($A660,物料档案!$A$4:$P$1203,2,0),""))</f>
        <v/>
      </c>
      <c r="F660" s="24">
        <f>IF($A660="","",IFERROR(VLOOKUP($A660,物料档案!$A$4:$P$1203,6,0),""))</f>
        <v/>
      </c>
      <c r="G660" s="23" t="n"/>
      <c r="H660" s="32" t="n"/>
      <c r="I660" s="27">
        <f>IF($A660="","",SUMIFS(入库单!$K$4:$K$2503,入库单!$G$4:$G$2503,$A660,入库单!$X$4:$X$2503,"采购入库",入库单!$Z$4:$Z$2503,"正常",入库单!$C$4:$C$2503,"&gt;="&amp;账期起,入库单!$C$4:$C$2503,"&lt;="&amp;账期止))</f>
        <v/>
      </c>
      <c r="J660" s="26">
        <f>IF($A660="","",SUMIFS(入库单!$V$4:$V$2503,入库单!$G$4:$G$2503,$A660,入库单!$X$4:$X$2503,"采购入库",入库单!$Z$4:$Z$2503,"正常",入库单!$C$4:$C$2503,"&gt;="&amp;账期起,入库单!$C$4:$C$2503,"&lt;="&amp;账期止))</f>
        <v/>
      </c>
      <c r="K660" s="26">
        <f>IF($A660="","",IFERROR(ROUND((N($H660)+N($J660))/(N($G660)+N($I660)),2),0))</f>
        <v/>
      </c>
      <c r="L660" s="27">
        <f>IF($A660="","",SUMIFS(入库单!$K$4:$K$2503,入库单!$G$4:$G$2503,$A660,入库单!$X$4:$X$2503,"盘盈",入库单!$Z$4:$Z$2503,"正常",入库单!$C$4:$C$2503,"&gt;="&amp;账期起,入库单!$C$4:$C$2503,"&lt;="&amp;账期止))</f>
        <v/>
      </c>
      <c r="M660" s="26">
        <f>IF($A660="","",ROUND($L660*$K660,0))</f>
        <v/>
      </c>
      <c r="N660" s="27">
        <f>IF($A660="","",SUMIFS(入库单!$K$4:$K$2503,入库单!$G$4:$G$2503,$A660,入库单!$X$4:$X$2503,"矿区退库",入库单!$Z$4:$Z$2503,"正常",入库单!$C$4:$C$2503,"&gt;="&amp;账期起,入库单!$C$4:$C$2503,"&lt;="&amp;账期止))</f>
        <v/>
      </c>
      <c r="O660" s="26">
        <f>IF($A660="","",ROUND($N660*$K660,0))</f>
        <v/>
      </c>
      <c r="P660" s="27">
        <f>IF($A660="","",SUMIFS(出库单!$J$4:$J$4003,出库单!$D$4:$D$4003,$A660,出库单!$K$4:$K$4003,"自用消耗",出库单!$U$4:$U$4003,"正常",出库单!$C$4:$C$4003,"&gt;="&amp;账期起,出库单!$C$4:$C$4003,"&lt;="&amp;账期止))</f>
        <v/>
      </c>
      <c r="Q660" s="26">
        <f>IF($A660="","",ROUND(SUMIFS(出库单!$S$4:$S$4003,出库单!$D$4:$D$4003,$A660,出库单!$K$4:$K$4003,"自用消耗",出库单!$U$4:$U$4003,"正常",出库单!$C$4:$C$4003,"&gt;="&amp;账期起,出库单!$C$4:$C$4003,"&lt;="&amp;账期止),0))</f>
        <v/>
      </c>
      <c r="R660" s="27">
        <f>IF($A660="","",SUMIFS(出库单!$J$4:$J$4003,出库单!$D$4:$D$4003,$A660,出库单!$K$4:$K$4003,"对外销售",出库单!$U$4:$U$4003,"正常",出库单!$C$4:$C$4003,"&gt;="&amp;账期起,出库单!$C$4:$C$4003,"&lt;="&amp;账期止))</f>
        <v/>
      </c>
      <c r="S660" s="26">
        <f>IF($A660="","",ROUND(SUMIFS(出库单!$S$4:$S$4003,出库单!$D$4:$D$4003,$A660,出库单!$K$4:$K$4003,"对外销售",出库单!$U$4:$U$4003,"正常",出库单!$C$4:$C$4003,"&gt;="&amp;账期起,出库单!$C$4:$C$4003,"&lt;="&amp;账期止),0))</f>
        <v/>
      </c>
      <c r="T660" s="27">
        <f>IF($A660="","",SUMIFS(出库单!$J$4:$J$4003,出库单!$D$4:$D$4003,$A660,出库单!$K$4:$K$4003,"盘亏",出库单!$U$4:$U$4003,"正常",出库单!$C$4:$C$4003,"&gt;="&amp;账期起,出库单!$C$4:$C$4003,"&lt;="&amp;账期止))</f>
        <v/>
      </c>
      <c r="U660" s="26">
        <f>IF($A660="","",ROUND(SUMIFS(出库单!$S$4:$S$4003,出库单!$D$4:$D$4003,$A660,出库单!$K$4:$K$4003,"盘亏",出库单!$U$4:$U$4003,"正常",出库单!$C$4:$C$4003,"&gt;="&amp;账期起,出库单!$C$4:$C$4003,"&lt;="&amp;账期止),0))</f>
        <v/>
      </c>
      <c r="V660" s="27">
        <f>IF($A660="","",SUMIFS(出库单!$J$4:$J$4003,出库单!$D$4:$D$4003,$A660,出库单!$K$4:$K$4003,"退货给供应商",出库单!$U$4:$U$4003,"正常",出库单!$C$4:$C$4003,"&gt;="&amp;账期起,出库单!$C$4:$C$4003,"&lt;="&amp;账期止))</f>
        <v/>
      </c>
      <c r="W660" s="26">
        <f>IF($A660="","",ROUND(SUMIFS(出库单!$S$4:$S$4003,出库单!$D$4:$D$4003,$A660,出库单!$K$4:$K$4003,"退货给供应商",出库单!$U$4:$U$4003,"正常",出库单!$C$4:$C$4003,"&gt;="&amp;账期起,出库单!$C$4:$C$4003,"&lt;="&amp;账期止),0))</f>
        <v/>
      </c>
      <c r="X660" s="27">
        <f>IF($A660="","",ROUND(N($G660)+$I660+$L660+$N660-$P660-$R660-$T660-$V660,3))</f>
        <v/>
      </c>
      <c r="Y660" s="26">
        <f>IF($A660="","",ROUND(N($H660)+$J660+$M660+$O660-$Q660-$S660-$U660-$W660,0))</f>
        <v/>
      </c>
      <c r="Z660" s="24">
        <f>IF($A660="","",IF(COUNTIFS(入库单!$G$4:$G$2503,$A660,入库单!$Y$4:$Y$2503,"待补价")+COUNTIFS(入库单!$G$4:$G$2503,$A660,入库单!$Y$4:$Y$2503,"暂估")&gt;0,"不可信","可信"))</f>
        <v/>
      </c>
      <c r="AA660" s="24">
        <f>IF($A660="","",IF($X660&lt;-0.001,"※账面负库存，查一下是不是漏记入库",IF(AND(ROUND($X660,3)=0,ABS($Y660)&gt;1),"※数量已经是 0，金额还挂着 "&amp;TEXT($Y660,"#,##0")&amp;" 先令",IF(AND($X660&gt;0,$Y660&lt;=0,$K660=0),"※有数量没金额（这个物料一直没填过进价）",IF($Z660="不可信","△成本含待补价/暂估，毛利仅供参考","")))))</f>
        <v/>
      </c>
    </row>
    <row r="661">
      <c r="A661" s="24">
        <f>IF(物料档案!$A660="","",物料档案!$A660)</f>
        <v/>
      </c>
      <c r="B661" s="24">
        <f>IF($A661="","",IFERROR(VLOOKUP($A661,物料档案!$A$4:$P$1203,3,0),""))</f>
        <v/>
      </c>
      <c r="C661" s="24">
        <f>IF($A661="","",IFERROR(VLOOKUP($A661,物料档案!$A$4:$P$1203,4,0),""))</f>
        <v/>
      </c>
      <c r="D661" s="24">
        <f>IF($A661="","",IFERROR(VLOOKUP($A661,物料档案!$A$4:$P$1203,5,0),""))</f>
        <v/>
      </c>
      <c r="E661" s="24">
        <f>IF($A661="","",IFERROR(VLOOKUP($A661,物料档案!$A$4:$P$1203,2,0),""))</f>
        <v/>
      </c>
      <c r="F661" s="24">
        <f>IF($A661="","",IFERROR(VLOOKUP($A661,物料档案!$A$4:$P$1203,6,0),""))</f>
        <v/>
      </c>
      <c r="G661" s="23" t="n"/>
      <c r="H661" s="32" t="n"/>
      <c r="I661" s="27">
        <f>IF($A661="","",SUMIFS(入库单!$K$4:$K$2503,入库单!$G$4:$G$2503,$A661,入库单!$X$4:$X$2503,"采购入库",入库单!$Z$4:$Z$2503,"正常",入库单!$C$4:$C$2503,"&gt;="&amp;账期起,入库单!$C$4:$C$2503,"&lt;="&amp;账期止))</f>
        <v/>
      </c>
      <c r="J661" s="26">
        <f>IF($A661="","",SUMIFS(入库单!$V$4:$V$2503,入库单!$G$4:$G$2503,$A661,入库单!$X$4:$X$2503,"采购入库",入库单!$Z$4:$Z$2503,"正常",入库单!$C$4:$C$2503,"&gt;="&amp;账期起,入库单!$C$4:$C$2503,"&lt;="&amp;账期止))</f>
        <v/>
      </c>
      <c r="K661" s="26">
        <f>IF($A661="","",IFERROR(ROUND((N($H661)+N($J661))/(N($G661)+N($I661)),2),0))</f>
        <v/>
      </c>
      <c r="L661" s="27">
        <f>IF($A661="","",SUMIFS(入库单!$K$4:$K$2503,入库单!$G$4:$G$2503,$A661,入库单!$X$4:$X$2503,"盘盈",入库单!$Z$4:$Z$2503,"正常",入库单!$C$4:$C$2503,"&gt;="&amp;账期起,入库单!$C$4:$C$2503,"&lt;="&amp;账期止))</f>
        <v/>
      </c>
      <c r="M661" s="26">
        <f>IF($A661="","",ROUND($L661*$K661,0))</f>
        <v/>
      </c>
      <c r="N661" s="27">
        <f>IF($A661="","",SUMIFS(入库单!$K$4:$K$2503,入库单!$G$4:$G$2503,$A661,入库单!$X$4:$X$2503,"矿区退库",入库单!$Z$4:$Z$2503,"正常",入库单!$C$4:$C$2503,"&gt;="&amp;账期起,入库单!$C$4:$C$2503,"&lt;="&amp;账期止))</f>
        <v/>
      </c>
      <c r="O661" s="26">
        <f>IF($A661="","",ROUND($N661*$K661,0))</f>
        <v/>
      </c>
      <c r="P661" s="27">
        <f>IF($A661="","",SUMIFS(出库单!$J$4:$J$4003,出库单!$D$4:$D$4003,$A661,出库单!$K$4:$K$4003,"自用消耗",出库单!$U$4:$U$4003,"正常",出库单!$C$4:$C$4003,"&gt;="&amp;账期起,出库单!$C$4:$C$4003,"&lt;="&amp;账期止))</f>
        <v/>
      </c>
      <c r="Q661" s="26">
        <f>IF($A661="","",ROUND(SUMIFS(出库单!$S$4:$S$4003,出库单!$D$4:$D$4003,$A661,出库单!$K$4:$K$4003,"自用消耗",出库单!$U$4:$U$4003,"正常",出库单!$C$4:$C$4003,"&gt;="&amp;账期起,出库单!$C$4:$C$4003,"&lt;="&amp;账期止),0))</f>
        <v/>
      </c>
      <c r="R661" s="27">
        <f>IF($A661="","",SUMIFS(出库单!$J$4:$J$4003,出库单!$D$4:$D$4003,$A661,出库单!$K$4:$K$4003,"对外销售",出库单!$U$4:$U$4003,"正常",出库单!$C$4:$C$4003,"&gt;="&amp;账期起,出库单!$C$4:$C$4003,"&lt;="&amp;账期止))</f>
        <v/>
      </c>
      <c r="S661" s="26">
        <f>IF($A661="","",ROUND(SUMIFS(出库单!$S$4:$S$4003,出库单!$D$4:$D$4003,$A661,出库单!$K$4:$K$4003,"对外销售",出库单!$U$4:$U$4003,"正常",出库单!$C$4:$C$4003,"&gt;="&amp;账期起,出库单!$C$4:$C$4003,"&lt;="&amp;账期止),0))</f>
        <v/>
      </c>
      <c r="T661" s="27">
        <f>IF($A661="","",SUMIFS(出库单!$J$4:$J$4003,出库单!$D$4:$D$4003,$A661,出库单!$K$4:$K$4003,"盘亏",出库单!$U$4:$U$4003,"正常",出库单!$C$4:$C$4003,"&gt;="&amp;账期起,出库单!$C$4:$C$4003,"&lt;="&amp;账期止))</f>
        <v/>
      </c>
      <c r="U661" s="26">
        <f>IF($A661="","",ROUND(SUMIFS(出库单!$S$4:$S$4003,出库单!$D$4:$D$4003,$A661,出库单!$K$4:$K$4003,"盘亏",出库单!$U$4:$U$4003,"正常",出库单!$C$4:$C$4003,"&gt;="&amp;账期起,出库单!$C$4:$C$4003,"&lt;="&amp;账期止),0))</f>
        <v/>
      </c>
      <c r="V661" s="27">
        <f>IF($A661="","",SUMIFS(出库单!$J$4:$J$4003,出库单!$D$4:$D$4003,$A661,出库单!$K$4:$K$4003,"退货给供应商",出库单!$U$4:$U$4003,"正常",出库单!$C$4:$C$4003,"&gt;="&amp;账期起,出库单!$C$4:$C$4003,"&lt;="&amp;账期止))</f>
        <v/>
      </c>
      <c r="W661" s="26">
        <f>IF($A661="","",ROUND(SUMIFS(出库单!$S$4:$S$4003,出库单!$D$4:$D$4003,$A661,出库单!$K$4:$K$4003,"退货给供应商",出库单!$U$4:$U$4003,"正常",出库单!$C$4:$C$4003,"&gt;="&amp;账期起,出库单!$C$4:$C$4003,"&lt;="&amp;账期止),0))</f>
        <v/>
      </c>
      <c r="X661" s="27">
        <f>IF($A661="","",ROUND(N($G661)+$I661+$L661+$N661-$P661-$R661-$T661-$V661,3))</f>
        <v/>
      </c>
      <c r="Y661" s="26">
        <f>IF($A661="","",ROUND(N($H661)+$J661+$M661+$O661-$Q661-$S661-$U661-$W661,0))</f>
        <v/>
      </c>
      <c r="Z661" s="24">
        <f>IF($A661="","",IF(COUNTIFS(入库单!$G$4:$G$2503,$A661,入库单!$Y$4:$Y$2503,"待补价")+COUNTIFS(入库单!$G$4:$G$2503,$A661,入库单!$Y$4:$Y$2503,"暂估")&gt;0,"不可信","可信"))</f>
        <v/>
      </c>
      <c r="AA661" s="24">
        <f>IF($A661="","",IF($X661&lt;-0.001,"※账面负库存，查一下是不是漏记入库",IF(AND(ROUND($X661,3)=0,ABS($Y661)&gt;1),"※数量已经是 0，金额还挂着 "&amp;TEXT($Y661,"#,##0")&amp;" 先令",IF(AND($X661&gt;0,$Y661&lt;=0,$K661=0),"※有数量没金额（这个物料一直没填过进价）",IF($Z661="不可信","△成本含待补价/暂估，毛利仅供参考","")))))</f>
        <v/>
      </c>
    </row>
    <row r="662">
      <c r="A662" s="24">
        <f>IF(物料档案!$A661="","",物料档案!$A661)</f>
        <v/>
      </c>
      <c r="B662" s="24">
        <f>IF($A662="","",IFERROR(VLOOKUP($A662,物料档案!$A$4:$P$1203,3,0),""))</f>
        <v/>
      </c>
      <c r="C662" s="24">
        <f>IF($A662="","",IFERROR(VLOOKUP($A662,物料档案!$A$4:$P$1203,4,0),""))</f>
        <v/>
      </c>
      <c r="D662" s="24">
        <f>IF($A662="","",IFERROR(VLOOKUP($A662,物料档案!$A$4:$P$1203,5,0),""))</f>
        <v/>
      </c>
      <c r="E662" s="24">
        <f>IF($A662="","",IFERROR(VLOOKUP($A662,物料档案!$A$4:$P$1203,2,0),""))</f>
        <v/>
      </c>
      <c r="F662" s="24">
        <f>IF($A662="","",IFERROR(VLOOKUP($A662,物料档案!$A$4:$P$1203,6,0),""))</f>
        <v/>
      </c>
      <c r="G662" s="23" t="n"/>
      <c r="H662" s="32" t="n"/>
      <c r="I662" s="27">
        <f>IF($A662="","",SUMIFS(入库单!$K$4:$K$2503,入库单!$G$4:$G$2503,$A662,入库单!$X$4:$X$2503,"采购入库",入库单!$Z$4:$Z$2503,"正常",入库单!$C$4:$C$2503,"&gt;="&amp;账期起,入库单!$C$4:$C$2503,"&lt;="&amp;账期止))</f>
        <v/>
      </c>
      <c r="J662" s="26">
        <f>IF($A662="","",SUMIFS(入库单!$V$4:$V$2503,入库单!$G$4:$G$2503,$A662,入库单!$X$4:$X$2503,"采购入库",入库单!$Z$4:$Z$2503,"正常",入库单!$C$4:$C$2503,"&gt;="&amp;账期起,入库单!$C$4:$C$2503,"&lt;="&amp;账期止))</f>
        <v/>
      </c>
      <c r="K662" s="26">
        <f>IF($A662="","",IFERROR(ROUND((N($H662)+N($J662))/(N($G662)+N($I662)),2),0))</f>
        <v/>
      </c>
      <c r="L662" s="27">
        <f>IF($A662="","",SUMIFS(入库单!$K$4:$K$2503,入库单!$G$4:$G$2503,$A662,入库单!$X$4:$X$2503,"盘盈",入库单!$Z$4:$Z$2503,"正常",入库单!$C$4:$C$2503,"&gt;="&amp;账期起,入库单!$C$4:$C$2503,"&lt;="&amp;账期止))</f>
        <v/>
      </c>
      <c r="M662" s="26">
        <f>IF($A662="","",ROUND($L662*$K662,0))</f>
        <v/>
      </c>
      <c r="N662" s="27">
        <f>IF($A662="","",SUMIFS(入库单!$K$4:$K$2503,入库单!$G$4:$G$2503,$A662,入库单!$X$4:$X$2503,"矿区退库",入库单!$Z$4:$Z$2503,"正常",入库单!$C$4:$C$2503,"&gt;="&amp;账期起,入库单!$C$4:$C$2503,"&lt;="&amp;账期止))</f>
        <v/>
      </c>
      <c r="O662" s="26">
        <f>IF($A662="","",ROUND($N662*$K662,0))</f>
        <v/>
      </c>
      <c r="P662" s="27">
        <f>IF($A662="","",SUMIFS(出库单!$J$4:$J$4003,出库单!$D$4:$D$4003,$A662,出库单!$K$4:$K$4003,"自用消耗",出库单!$U$4:$U$4003,"正常",出库单!$C$4:$C$4003,"&gt;="&amp;账期起,出库单!$C$4:$C$4003,"&lt;="&amp;账期止))</f>
        <v/>
      </c>
      <c r="Q662" s="26">
        <f>IF($A662="","",ROUND(SUMIFS(出库单!$S$4:$S$4003,出库单!$D$4:$D$4003,$A662,出库单!$K$4:$K$4003,"自用消耗",出库单!$U$4:$U$4003,"正常",出库单!$C$4:$C$4003,"&gt;="&amp;账期起,出库单!$C$4:$C$4003,"&lt;="&amp;账期止),0))</f>
        <v/>
      </c>
      <c r="R662" s="27">
        <f>IF($A662="","",SUMIFS(出库单!$J$4:$J$4003,出库单!$D$4:$D$4003,$A662,出库单!$K$4:$K$4003,"对外销售",出库单!$U$4:$U$4003,"正常",出库单!$C$4:$C$4003,"&gt;="&amp;账期起,出库单!$C$4:$C$4003,"&lt;="&amp;账期止))</f>
        <v/>
      </c>
      <c r="S662" s="26">
        <f>IF($A662="","",ROUND(SUMIFS(出库单!$S$4:$S$4003,出库单!$D$4:$D$4003,$A662,出库单!$K$4:$K$4003,"对外销售",出库单!$U$4:$U$4003,"正常",出库单!$C$4:$C$4003,"&gt;="&amp;账期起,出库单!$C$4:$C$4003,"&lt;="&amp;账期止),0))</f>
        <v/>
      </c>
      <c r="T662" s="27">
        <f>IF($A662="","",SUMIFS(出库单!$J$4:$J$4003,出库单!$D$4:$D$4003,$A662,出库单!$K$4:$K$4003,"盘亏",出库单!$U$4:$U$4003,"正常",出库单!$C$4:$C$4003,"&gt;="&amp;账期起,出库单!$C$4:$C$4003,"&lt;="&amp;账期止))</f>
        <v/>
      </c>
      <c r="U662" s="26">
        <f>IF($A662="","",ROUND(SUMIFS(出库单!$S$4:$S$4003,出库单!$D$4:$D$4003,$A662,出库单!$K$4:$K$4003,"盘亏",出库单!$U$4:$U$4003,"正常",出库单!$C$4:$C$4003,"&gt;="&amp;账期起,出库单!$C$4:$C$4003,"&lt;="&amp;账期止),0))</f>
        <v/>
      </c>
      <c r="V662" s="27">
        <f>IF($A662="","",SUMIFS(出库单!$J$4:$J$4003,出库单!$D$4:$D$4003,$A662,出库单!$K$4:$K$4003,"退货给供应商",出库单!$U$4:$U$4003,"正常",出库单!$C$4:$C$4003,"&gt;="&amp;账期起,出库单!$C$4:$C$4003,"&lt;="&amp;账期止))</f>
        <v/>
      </c>
      <c r="W662" s="26">
        <f>IF($A662="","",ROUND(SUMIFS(出库单!$S$4:$S$4003,出库单!$D$4:$D$4003,$A662,出库单!$K$4:$K$4003,"退货给供应商",出库单!$U$4:$U$4003,"正常",出库单!$C$4:$C$4003,"&gt;="&amp;账期起,出库单!$C$4:$C$4003,"&lt;="&amp;账期止),0))</f>
        <v/>
      </c>
      <c r="X662" s="27">
        <f>IF($A662="","",ROUND(N($G662)+$I662+$L662+$N662-$P662-$R662-$T662-$V662,3))</f>
        <v/>
      </c>
      <c r="Y662" s="26">
        <f>IF($A662="","",ROUND(N($H662)+$J662+$M662+$O662-$Q662-$S662-$U662-$W662,0))</f>
        <v/>
      </c>
      <c r="Z662" s="24">
        <f>IF($A662="","",IF(COUNTIFS(入库单!$G$4:$G$2503,$A662,入库单!$Y$4:$Y$2503,"待补价")+COUNTIFS(入库单!$G$4:$G$2503,$A662,入库单!$Y$4:$Y$2503,"暂估")&gt;0,"不可信","可信"))</f>
        <v/>
      </c>
      <c r="AA662" s="24">
        <f>IF($A662="","",IF($X662&lt;-0.001,"※账面负库存，查一下是不是漏记入库",IF(AND(ROUND($X662,3)=0,ABS($Y662)&gt;1),"※数量已经是 0，金额还挂着 "&amp;TEXT($Y662,"#,##0")&amp;" 先令",IF(AND($X662&gt;0,$Y662&lt;=0,$K662=0),"※有数量没金额（这个物料一直没填过进价）",IF($Z662="不可信","△成本含待补价/暂估，毛利仅供参考","")))))</f>
        <v/>
      </c>
    </row>
    <row r="663">
      <c r="A663" s="24">
        <f>IF(物料档案!$A662="","",物料档案!$A662)</f>
        <v/>
      </c>
      <c r="B663" s="24">
        <f>IF($A663="","",IFERROR(VLOOKUP($A663,物料档案!$A$4:$P$1203,3,0),""))</f>
        <v/>
      </c>
      <c r="C663" s="24">
        <f>IF($A663="","",IFERROR(VLOOKUP($A663,物料档案!$A$4:$P$1203,4,0),""))</f>
        <v/>
      </c>
      <c r="D663" s="24">
        <f>IF($A663="","",IFERROR(VLOOKUP($A663,物料档案!$A$4:$P$1203,5,0),""))</f>
        <v/>
      </c>
      <c r="E663" s="24">
        <f>IF($A663="","",IFERROR(VLOOKUP($A663,物料档案!$A$4:$P$1203,2,0),""))</f>
        <v/>
      </c>
      <c r="F663" s="24">
        <f>IF($A663="","",IFERROR(VLOOKUP($A663,物料档案!$A$4:$P$1203,6,0),""))</f>
        <v/>
      </c>
      <c r="G663" s="23" t="n"/>
      <c r="H663" s="32" t="n"/>
      <c r="I663" s="27">
        <f>IF($A663="","",SUMIFS(入库单!$K$4:$K$2503,入库单!$G$4:$G$2503,$A663,入库单!$X$4:$X$2503,"采购入库",入库单!$Z$4:$Z$2503,"正常",入库单!$C$4:$C$2503,"&gt;="&amp;账期起,入库单!$C$4:$C$2503,"&lt;="&amp;账期止))</f>
        <v/>
      </c>
      <c r="J663" s="26">
        <f>IF($A663="","",SUMIFS(入库单!$V$4:$V$2503,入库单!$G$4:$G$2503,$A663,入库单!$X$4:$X$2503,"采购入库",入库单!$Z$4:$Z$2503,"正常",入库单!$C$4:$C$2503,"&gt;="&amp;账期起,入库单!$C$4:$C$2503,"&lt;="&amp;账期止))</f>
        <v/>
      </c>
      <c r="K663" s="26">
        <f>IF($A663="","",IFERROR(ROUND((N($H663)+N($J663))/(N($G663)+N($I663)),2),0))</f>
        <v/>
      </c>
      <c r="L663" s="27">
        <f>IF($A663="","",SUMIFS(入库单!$K$4:$K$2503,入库单!$G$4:$G$2503,$A663,入库单!$X$4:$X$2503,"盘盈",入库单!$Z$4:$Z$2503,"正常",入库单!$C$4:$C$2503,"&gt;="&amp;账期起,入库单!$C$4:$C$2503,"&lt;="&amp;账期止))</f>
        <v/>
      </c>
      <c r="M663" s="26">
        <f>IF($A663="","",ROUND($L663*$K663,0))</f>
        <v/>
      </c>
      <c r="N663" s="27">
        <f>IF($A663="","",SUMIFS(入库单!$K$4:$K$2503,入库单!$G$4:$G$2503,$A663,入库单!$X$4:$X$2503,"矿区退库",入库单!$Z$4:$Z$2503,"正常",入库单!$C$4:$C$2503,"&gt;="&amp;账期起,入库单!$C$4:$C$2503,"&lt;="&amp;账期止))</f>
        <v/>
      </c>
      <c r="O663" s="26">
        <f>IF($A663="","",ROUND($N663*$K663,0))</f>
        <v/>
      </c>
      <c r="P663" s="27">
        <f>IF($A663="","",SUMIFS(出库单!$J$4:$J$4003,出库单!$D$4:$D$4003,$A663,出库单!$K$4:$K$4003,"自用消耗",出库单!$U$4:$U$4003,"正常",出库单!$C$4:$C$4003,"&gt;="&amp;账期起,出库单!$C$4:$C$4003,"&lt;="&amp;账期止))</f>
        <v/>
      </c>
      <c r="Q663" s="26">
        <f>IF($A663="","",ROUND(SUMIFS(出库单!$S$4:$S$4003,出库单!$D$4:$D$4003,$A663,出库单!$K$4:$K$4003,"自用消耗",出库单!$U$4:$U$4003,"正常",出库单!$C$4:$C$4003,"&gt;="&amp;账期起,出库单!$C$4:$C$4003,"&lt;="&amp;账期止),0))</f>
        <v/>
      </c>
      <c r="R663" s="27">
        <f>IF($A663="","",SUMIFS(出库单!$J$4:$J$4003,出库单!$D$4:$D$4003,$A663,出库单!$K$4:$K$4003,"对外销售",出库单!$U$4:$U$4003,"正常",出库单!$C$4:$C$4003,"&gt;="&amp;账期起,出库单!$C$4:$C$4003,"&lt;="&amp;账期止))</f>
        <v/>
      </c>
      <c r="S663" s="26">
        <f>IF($A663="","",ROUND(SUMIFS(出库单!$S$4:$S$4003,出库单!$D$4:$D$4003,$A663,出库单!$K$4:$K$4003,"对外销售",出库单!$U$4:$U$4003,"正常",出库单!$C$4:$C$4003,"&gt;="&amp;账期起,出库单!$C$4:$C$4003,"&lt;="&amp;账期止),0))</f>
        <v/>
      </c>
      <c r="T663" s="27">
        <f>IF($A663="","",SUMIFS(出库单!$J$4:$J$4003,出库单!$D$4:$D$4003,$A663,出库单!$K$4:$K$4003,"盘亏",出库单!$U$4:$U$4003,"正常",出库单!$C$4:$C$4003,"&gt;="&amp;账期起,出库单!$C$4:$C$4003,"&lt;="&amp;账期止))</f>
        <v/>
      </c>
      <c r="U663" s="26">
        <f>IF($A663="","",ROUND(SUMIFS(出库单!$S$4:$S$4003,出库单!$D$4:$D$4003,$A663,出库单!$K$4:$K$4003,"盘亏",出库单!$U$4:$U$4003,"正常",出库单!$C$4:$C$4003,"&gt;="&amp;账期起,出库单!$C$4:$C$4003,"&lt;="&amp;账期止),0))</f>
        <v/>
      </c>
      <c r="V663" s="27">
        <f>IF($A663="","",SUMIFS(出库单!$J$4:$J$4003,出库单!$D$4:$D$4003,$A663,出库单!$K$4:$K$4003,"退货给供应商",出库单!$U$4:$U$4003,"正常",出库单!$C$4:$C$4003,"&gt;="&amp;账期起,出库单!$C$4:$C$4003,"&lt;="&amp;账期止))</f>
        <v/>
      </c>
      <c r="W663" s="26">
        <f>IF($A663="","",ROUND(SUMIFS(出库单!$S$4:$S$4003,出库单!$D$4:$D$4003,$A663,出库单!$K$4:$K$4003,"退货给供应商",出库单!$U$4:$U$4003,"正常",出库单!$C$4:$C$4003,"&gt;="&amp;账期起,出库单!$C$4:$C$4003,"&lt;="&amp;账期止),0))</f>
        <v/>
      </c>
      <c r="X663" s="27">
        <f>IF($A663="","",ROUND(N($G663)+$I663+$L663+$N663-$P663-$R663-$T663-$V663,3))</f>
        <v/>
      </c>
      <c r="Y663" s="26">
        <f>IF($A663="","",ROUND(N($H663)+$J663+$M663+$O663-$Q663-$S663-$U663-$W663,0))</f>
        <v/>
      </c>
      <c r="Z663" s="24">
        <f>IF($A663="","",IF(COUNTIFS(入库单!$G$4:$G$2503,$A663,入库单!$Y$4:$Y$2503,"待补价")+COUNTIFS(入库单!$G$4:$G$2503,$A663,入库单!$Y$4:$Y$2503,"暂估")&gt;0,"不可信","可信"))</f>
        <v/>
      </c>
      <c r="AA663" s="24">
        <f>IF($A663="","",IF($X663&lt;-0.001,"※账面负库存，查一下是不是漏记入库",IF(AND(ROUND($X663,3)=0,ABS($Y663)&gt;1),"※数量已经是 0，金额还挂着 "&amp;TEXT($Y663,"#,##0")&amp;" 先令",IF(AND($X663&gt;0,$Y663&lt;=0,$K663=0),"※有数量没金额（这个物料一直没填过进价）",IF($Z663="不可信","△成本含待补价/暂估，毛利仅供参考","")))))</f>
        <v/>
      </c>
    </row>
    <row r="664">
      <c r="A664" s="24">
        <f>IF(物料档案!$A663="","",物料档案!$A663)</f>
        <v/>
      </c>
      <c r="B664" s="24">
        <f>IF($A664="","",IFERROR(VLOOKUP($A664,物料档案!$A$4:$P$1203,3,0),""))</f>
        <v/>
      </c>
      <c r="C664" s="24">
        <f>IF($A664="","",IFERROR(VLOOKUP($A664,物料档案!$A$4:$P$1203,4,0),""))</f>
        <v/>
      </c>
      <c r="D664" s="24">
        <f>IF($A664="","",IFERROR(VLOOKUP($A664,物料档案!$A$4:$P$1203,5,0),""))</f>
        <v/>
      </c>
      <c r="E664" s="24">
        <f>IF($A664="","",IFERROR(VLOOKUP($A664,物料档案!$A$4:$P$1203,2,0),""))</f>
        <v/>
      </c>
      <c r="F664" s="24">
        <f>IF($A664="","",IFERROR(VLOOKUP($A664,物料档案!$A$4:$P$1203,6,0),""))</f>
        <v/>
      </c>
      <c r="G664" s="23" t="n"/>
      <c r="H664" s="32" t="n"/>
      <c r="I664" s="27">
        <f>IF($A664="","",SUMIFS(入库单!$K$4:$K$2503,入库单!$G$4:$G$2503,$A664,入库单!$X$4:$X$2503,"采购入库",入库单!$Z$4:$Z$2503,"正常",入库单!$C$4:$C$2503,"&gt;="&amp;账期起,入库单!$C$4:$C$2503,"&lt;="&amp;账期止))</f>
        <v/>
      </c>
      <c r="J664" s="26">
        <f>IF($A664="","",SUMIFS(入库单!$V$4:$V$2503,入库单!$G$4:$G$2503,$A664,入库单!$X$4:$X$2503,"采购入库",入库单!$Z$4:$Z$2503,"正常",入库单!$C$4:$C$2503,"&gt;="&amp;账期起,入库单!$C$4:$C$2503,"&lt;="&amp;账期止))</f>
        <v/>
      </c>
      <c r="K664" s="26">
        <f>IF($A664="","",IFERROR(ROUND((N($H664)+N($J664))/(N($G664)+N($I664)),2),0))</f>
        <v/>
      </c>
      <c r="L664" s="27">
        <f>IF($A664="","",SUMIFS(入库单!$K$4:$K$2503,入库单!$G$4:$G$2503,$A664,入库单!$X$4:$X$2503,"盘盈",入库单!$Z$4:$Z$2503,"正常",入库单!$C$4:$C$2503,"&gt;="&amp;账期起,入库单!$C$4:$C$2503,"&lt;="&amp;账期止))</f>
        <v/>
      </c>
      <c r="M664" s="26">
        <f>IF($A664="","",ROUND($L664*$K664,0))</f>
        <v/>
      </c>
      <c r="N664" s="27">
        <f>IF($A664="","",SUMIFS(入库单!$K$4:$K$2503,入库单!$G$4:$G$2503,$A664,入库单!$X$4:$X$2503,"矿区退库",入库单!$Z$4:$Z$2503,"正常",入库单!$C$4:$C$2503,"&gt;="&amp;账期起,入库单!$C$4:$C$2503,"&lt;="&amp;账期止))</f>
        <v/>
      </c>
      <c r="O664" s="26">
        <f>IF($A664="","",ROUND($N664*$K664,0))</f>
        <v/>
      </c>
      <c r="P664" s="27">
        <f>IF($A664="","",SUMIFS(出库单!$J$4:$J$4003,出库单!$D$4:$D$4003,$A664,出库单!$K$4:$K$4003,"自用消耗",出库单!$U$4:$U$4003,"正常",出库单!$C$4:$C$4003,"&gt;="&amp;账期起,出库单!$C$4:$C$4003,"&lt;="&amp;账期止))</f>
        <v/>
      </c>
      <c r="Q664" s="26">
        <f>IF($A664="","",ROUND(SUMIFS(出库单!$S$4:$S$4003,出库单!$D$4:$D$4003,$A664,出库单!$K$4:$K$4003,"自用消耗",出库单!$U$4:$U$4003,"正常",出库单!$C$4:$C$4003,"&gt;="&amp;账期起,出库单!$C$4:$C$4003,"&lt;="&amp;账期止),0))</f>
        <v/>
      </c>
      <c r="R664" s="27">
        <f>IF($A664="","",SUMIFS(出库单!$J$4:$J$4003,出库单!$D$4:$D$4003,$A664,出库单!$K$4:$K$4003,"对外销售",出库单!$U$4:$U$4003,"正常",出库单!$C$4:$C$4003,"&gt;="&amp;账期起,出库单!$C$4:$C$4003,"&lt;="&amp;账期止))</f>
        <v/>
      </c>
      <c r="S664" s="26">
        <f>IF($A664="","",ROUND(SUMIFS(出库单!$S$4:$S$4003,出库单!$D$4:$D$4003,$A664,出库单!$K$4:$K$4003,"对外销售",出库单!$U$4:$U$4003,"正常",出库单!$C$4:$C$4003,"&gt;="&amp;账期起,出库单!$C$4:$C$4003,"&lt;="&amp;账期止),0))</f>
        <v/>
      </c>
      <c r="T664" s="27">
        <f>IF($A664="","",SUMIFS(出库单!$J$4:$J$4003,出库单!$D$4:$D$4003,$A664,出库单!$K$4:$K$4003,"盘亏",出库单!$U$4:$U$4003,"正常",出库单!$C$4:$C$4003,"&gt;="&amp;账期起,出库单!$C$4:$C$4003,"&lt;="&amp;账期止))</f>
        <v/>
      </c>
      <c r="U664" s="26">
        <f>IF($A664="","",ROUND(SUMIFS(出库单!$S$4:$S$4003,出库单!$D$4:$D$4003,$A664,出库单!$K$4:$K$4003,"盘亏",出库单!$U$4:$U$4003,"正常",出库单!$C$4:$C$4003,"&gt;="&amp;账期起,出库单!$C$4:$C$4003,"&lt;="&amp;账期止),0))</f>
        <v/>
      </c>
      <c r="V664" s="27">
        <f>IF($A664="","",SUMIFS(出库单!$J$4:$J$4003,出库单!$D$4:$D$4003,$A664,出库单!$K$4:$K$4003,"退货给供应商",出库单!$U$4:$U$4003,"正常",出库单!$C$4:$C$4003,"&gt;="&amp;账期起,出库单!$C$4:$C$4003,"&lt;="&amp;账期止))</f>
        <v/>
      </c>
      <c r="W664" s="26">
        <f>IF($A664="","",ROUND(SUMIFS(出库单!$S$4:$S$4003,出库单!$D$4:$D$4003,$A664,出库单!$K$4:$K$4003,"退货给供应商",出库单!$U$4:$U$4003,"正常",出库单!$C$4:$C$4003,"&gt;="&amp;账期起,出库单!$C$4:$C$4003,"&lt;="&amp;账期止),0))</f>
        <v/>
      </c>
      <c r="X664" s="27">
        <f>IF($A664="","",ROUND(N($G664)+$I664+$L664+$N664-$P664-$R664-$T664-$V664,3))</f>
        <v/>
      </c>
      <c r="Y664" s="26">
        <f>IF($A664="","",ROUND(N($H664)+$J664+$M664+$O664-$Q664-$S664-$U664-$W664,0))</f>
        <v/>
      </c>
      <c r="Z664" s="24">
        <f>IF($A664="","",IF(COUNTIFS(入库单!$G$4:$G$2503,$A664,入库单!$Y$4:$Y$2503,"待补价")+COUNTIFS(入库单!$G$4:$G$2503,$A664,入库单!$Y$4:$Y$2503,"暂估")&gt;0,"不可信","可信"))</f>
        <v/>
      </c>
      <c r="AA664" s="24">
        <f>IF($A664="","",IF($X664&lt;-0.001,"※账面负库存，查一下是不是漏记入库",IF(AND(ROUND($X664,3)=0,ABS($Y664)&gt;1),"※数量已经是 0，金额还挂着 "&amp;TEXT($Y664,"#,##0")&amp;" 先令",IF(AND($X664&gt;0,$Y664&lt;=0,$K664=0),"※有数量没金额（这个物料一直没填过进价）",IF($Z664="不可信","△成本含待补价/暂估，毛利仅供参考","")))))</f>
        <v/>
      </c>
    </row>
    <row r="665">
      <c r="A665" s="24">
        <f>IF(物料档案!$A664="","",物料档案!$A664)</f>
        <v/>
      </c>
      <c r="B665" s="24">
        <f>IF($A665="","",IFERROR(VLOOKUP($A665,物料档案!$A$4:$P$1203,3,0),""))</f>
        <v/>
      </c>
      <c r="C665" s="24">
        <f>IF($A665="","",IFERROR(VLOOKUP($A665,物料档案!$A$4:$P$1203,4,0),""))</f>
        <v/>
      </c>
      <c r="D665" s="24">
        <f>IF($A665="","",IFERROR(VLOOKUP($A665,物料档案!$A$4:$P$1203,5,0),""))</f>
        <v/>
      </c>
      <c r="E665" s="24">
        <f>IF($A665="","",IFERROR(VLOOKUP($A665,物料档案!$A$4:$P$1203,2,0),""))</f>
        <v/>
      </c>
      <c r="F665" s="24">
        <f>IF($A665="","",IFERROR(VLOOKUP($A665,物料档案!$A$4:$P$1203,6,0),""))</f>
        <v/>
      </c>
      <c r="G665" s="23" t="n"/>
      <c r="H665" s="32" t="n"/>
      <c r="I665" s="27">
        <f>IF($A665="","",SUMIFS(入库单!$K$4:$K$2503,入库单!$G$4:$G$2503,$A665,入库单!$X$4:$X$2503,"采购入库",入库单!$Z$4:$Z$2503,"正常",入库单!$C$4:$C$2503,"&gt;="&amp;账期起,入库单!$C$4:$C$2503,"&lt;="&amp;账期止))</f>
        <v/>
      </c>
      <c r="J665" s="26">
        <f>IF($A665="","",SUMIFS(入库单!$V$4:$V$2503,入库单!$G$4:$G$2503,$A665,入库单!$X$4:$X$2503,"采购入库",入库单!$Z$4:$Z$2503,"正常",入库单!$C$4:$C$2503,"&gt;="&amp;账期起,入库单!$C$4:$C$2503,"&lt;="&amp;账期止))</f>
        <v/>
      </c>
      <c r="K665" s="26">
        <f>IF($A665="","",IFERROR(ROUND((N($H665)+N($J665))/(N($G665)+N($I665)),2),0))</f>
        <v/>
      </c>
      <c r="L665" s="27">
        <f>IF($A665="","",SUMIFS(入库单!$K$4:$K$2503,入库单!$G$4:$G$2503,$A665,入库单!$X$4:$X$2503,"盘盈",入库单!$Z$4:$Z$2503,"正常",入库单!$C$4:$C$2503,"&gt;="&amp;账期起,入库单!$C$4:$C$2503,"&lt;="&amp;账期止))</f>
        <v/>
      </c>
      <c r="M665" s="26">
        <f>IF($A665="","",ROUND($L665*$K665,0))</f>
        <v/>
      </c>
      <c r="N665" s="27">
        <f>IF($A665="","",SUMIFS(入库单!$K$4:$K$2503,入库单!$G$4:$G$2503,$A665,入库单!$X$4:$X$2503,"矿区退库",入库单!$Z$4:$Z$2503,"正常",入库单!$C$4:$C$2503,"&gt;="&amp;账期起,入库单!$C$4:$C$2503,"&lt;="&amp;账期止))</f>
        <v/>
      </c>
      <c r="O665" s="26">
        <f>IF($A665="","",ROUND($N665*$K665,0))</f>
        <v/>
      </c>
      <c r="P665" s="27">
        <f>IF($A665="","",SUMIFS(出库单!$J$4:$J$4003,出库单!$D$4:$D$4003,$A665,出库单!$K$4:$K$4003,"自用消耗",出库单!$U$4:$U$4003,"正常",出库单!$C$4:$C$4003,"&gt;="&amp;账期起,出库单!$C$4:$C$4003,"&lt;="&amp;账期止))</f>
        <v/>
      </c>
      <c r="Q665" s="26">
        <f>IF($A665="","",ROUND(SUMIFS(出库单!$S$4:$S$4003,出库单!$D$4:$D$4003,$A665,出库单!$K$4:$K$4003,"自用消耗",出库单!$U$4:$U$4003,"正常",出库单!$C$4:$C$4003,"&gt;="&amp;账期起,出库单!$C$4:$C$4003,"&lt;="&amp;账期止),0))</f>
        <v/>
      </c>
      <c r="R665" s="27">
        <f>IF($A665="","",SUMIFS(出库单!$J$4:$J$4003,出库单!$D$4:$D$4003,$A665,出库单!$K$4:$K$4003,"对外销售",出库单!$U$4:$U$4003,"正常",出库单!$C$4:$C$4003,"&gt;="&amp;账期起,出库单!$C$4:$C$4003,"&lt;="&amp;账期止))</f>
        <v/>
      </c>
      <c r="S665" s="26">
        <f>IF($A665="","",ROUND(SUMIFS(出库单!$S$4:$S$4003,出库单!$D$4:$D$4003,$A665,出库单!$K$4:$K$4003,"对外销售",出库单!$U$4:$U$4003,"正常",出库单!$C$4:$C$4003,"&gt;="&amp;账期起,出库单!$C$4:$C$4003,"&lt;="&amp;账期止),0))</f>
        <v/>
      </c>
      <c r="T665" s="27">
        <f>IF($A665="","",SUMIFS(出库单!$J$4:$J$4003,出库单!$D$4:$D$4003,$A665,出库单!$K$4:$K$4003,"盘亏",出库单!$U$4:$U$4003,"正常",出库单!$C$4:$C$4003,"&gt;="&amp;账期起,出库单!$C$4:$C$4003,"&lt;="&amp;账期止))</f>
        <v/>
      </c>
      <c r="U665" s="26">
        <f>IF($A665="","",ROUND(SUMIFS(出库单!$S$4:$S$4003,出库单!$D$4:$D$4003,$A665,出库单!$K$4:$K$4003,"盘亏",出库单!$U$4:$U$4003,"正常",出库单!$C$4:$C$4003,"&gt;="&amp;账期起,出库单!$C$4:$C$4003,"&lt;="&amp;账期止),0))</f>
        <v/>
      </c>
      <c r="V665" s="27">
        <f>IF($A665="","",SUMIFS(出库单!$J$4:$J$4003,出库单!$D$4:$D$4003,$A665,出库单!$K$4:$K$4003,"退货给供应商",出库单!$U$4:$U$4003,"正常",出库单!$C$4:$C$4003,"&gt;="&amp;账期起,出库单!$C$4:$C$4003,"&lt;="&amp;账期止))</f>
        <v/>
      </c>
      <c r="W665" s="26">
        <f>IF($A665="","",ROUND(SUMIFS(出库单!$S$4:$S$4003,出库单!$D$4:$D$4003,$A665,出库单!$K$4:$K$4003,"退货给供应商",出库单!$U$4:$U$4003,"正常",出库单!$C$4:$C$4003,"&gt;="&amp;账期起,出库单!$C$4:$C$4003,"&lt;="&amp;账期止),0))</f>
        <v/>
      </c>
      <c r="X665" s="27">
        <f>IF($A665="","",ROUND(N($G665)+$I665+$L665+$N665-$P665-$R665-$T665-$V665,3))</f>
        <v/>
      </c>
      <c r="Y665" s="26">
        <f>IF($A665="","",ROUND(N($H665)+$J665+$M665+$O665-$Q665-$S665-$U665-$W665,0))</f>
        <v/>
      </c>
      <c r="Z665" s="24">
        <f>IF($A665="","",IF(COUNTIFS(入库单!$G$4:$G$2503,$A665,入库单!$Y$4:$Y$2503,"待补价")+COUNTIFS(入库单!$G$4:$G$2503,$A665,入库单!$Y$4:$Y$2503,"暂估")&gt;0,"不可信","可信"))</f>
        <v/>
      </c>
      <c r="AA665" s="24">
        <f>IF($A665="","",IF($X665&lt;-0.001,"※账面负库存，查一下是不是漏记入库",IF(AND(ROUND($X665,3)=0,ABS($Y665)&gt;1),"※数量已经是 0，金额还挂着 "&amp;TEXT($Y665,"#,##0")&amp;" 先令",IF(AND($X665&gt;0,$Y665&lt;=0,$K665=0),"※有数量没金额（这个物料一直没填过进价）",IF($Z665="不可信","△成本含待补价/暂估，毛利仅供参考","")))))</f>
        <v/>
      </c>
    </row>
    <row r="666">
      <c r="A666" s="24">
        <f>IF(物料档案!$A665="","",物料档案!$A665)</f>
        <v/>
      </c>
      <c r="B666" s="24">
        <f>IF($A666="","",IFERROR(VLOOKUP($A666,物料档案!$A$4:$P$1203,3,0),""))</f>
        <v/>
      </c>
      <c r="C666" s="24">
        <f>IF($A666="","",IFERROR(VLOOKUP($A666,物料档案!$A$4:$P$1203,4,0),""))</f>
        <v/>
      </c>
      <c r="D666" s="24">
        <f>IF($A666="","",IFERROR(VLOOKUP($A666,物料档案!$A$4:$P$1203,5,0),""))</f>
        <v/>
      </c>
      <c r="E666" s="24">
        <f>IF($A666="","",IFERROR(VLOOKUP($A666,物料档案!$A$4:$P$1203,2,0),""))</f>
        <v/>
      </c>
      <c r="F666" s="24">
        <f>IF($A666="","",IFERROR(VLOOKUP($A666,物料档案!$A$4:$P$1203,6,0),""))</f>
        <v/>
      </c>
      <c r="G666" s="23" t="n"/>
      <c r="H666" s="32" t="n"/>
      <c r="I666" s="27">
        <f>IF($A666="","",SUMIFS(入库单!$K$4:$K$2503,入库单!$G$4:$G$2503,$A666,入库单!$X$4:$X$2503,"采购入库",入库单!$Z$4:$Z$2503,"正常",入库单!$C$4:$C$2503,"&gt;="&amp;账期起,入库单!$C$4:$C$2503,"&lt;="&amp;账期止))</f>
        <v/>
      </c>
      <c r="J666" s="26">
        <f>IF($A666="","",SUMIFS(入库单!$V$4:$V$2503,入库单!$G$4:$G$2503,$A666,入库单!$X$4:$X$2503,"采购入库",入库单!$Z$4:$Z$2503,"正常",入库单!$C$4:$C$2503,"&gt;="&amp;账期起,入库单!$C$4:$C$2503,"&lt;="&amp;账期止))</f>
        <v/>
      </c>
      <c r="K666" s="26">
        <f>IF($A666="","",IFERROR(ROUND((N($H666)+N($J666))/(N($G666)+N($I666)),2),0))</f>
        <v/>
      </c>
      <c r="L666" s="27">
        <f>IF($A666="","",SUMIFS(入库单!$K$4:$K$2503,入库单!$G$4:$G$2503,$A666,入库单!$X$4:$X$2503,"盘盈",入库单!$Z$4:$Z$2503,"正常",入库单!$C$4:$C$2503,"&gt;="&amp;账期起,入库单!$C$4:$C$2503,"&lt;="&amp;账期止))</f>
        <v/>
      </c>
      <c r="M666" s="26">
        <f>IF($A666="","",ROUND($L666*$K666,0))</f>
        <v/>
      </c>
      <c r="N666" s="27">
        <f>IF($A666="","",SUMIFS(入库单!$K$4:$K$2503,入库单!$G$4:$G$2503,$A666,入库单!$X$4:$X$2503,"矿区退库",入库单!$Z$4:$Z$2503,"正常",入库单!$C$4:$C$2503,"&gt;="&amp;账期起,入库单!$C$4:$C$2503,"&lt;="&amp;账期止))</f>
        <v/>
      </c>
      <c r="O666" s="26">
        <f>IF($A666="","",ROUND($N666*$K666,0))</f>
        <v/>
      </c>
      <c r="P666" s="27">
        <f>IF($A666="","",SUMIFS(出库单!$J$4:$J$4003,出库单!$D$4:$D$4003,$A666,出库单!$K$4:$K$4003,"自用消耗",出库单!$U$4:$U$4003,"正常",出库单!$C$4:$C$4003,"&gt;="&amp;账期起,出库单!$C$4:$C$4003,"&lt;="&amp;账期止))</f>
        <v/>
      </c>
      <c r="Q666" s="26">
        <f>IF($A666="","",ROUND(SUMIFS(出库单!$S$4:$S$4003,出库单!$D$4:$D$4003,$A666,出库单!$K$4:$K$4003,"自用消耗",出库单!$U$4:$U$4003,"正常",出库单!$C$4:$C$4003,"&gt;="&amp;账期起,出库单!$C$4:$C$4003,"&lt;="&amp;账期止),0))</f>
        <v/>
      </c>
      <c r="R666" s="27">
        <f>IF($A666="","",SUMIFS(出库单!$J$4:$J$4003,出库单!$D$4:$D$4003,$A666,出库单!$K$4:$K$4003,"对外销售",出库单!$U$4:$U$4003,"正常",出库单!$C$4:$C$4003,"&gt;="&amp;账期起,出库单!$C$4:$C$4003,"&lt;="&amp;账期止))</f>
        <v/>
      </c>
      <c r="S666" s="26">
        <f>IF($A666="","",ROUND(SUMIFS(出库单!$S$4:$S$4003,出库单!$D$4:$D$4003,$A666,出库单!$K$4:$K$4003,"对外销售",出库单!$U$4:$U$4003,"正常",出库单!$C$4:$C$4003,"&gt;="&amp;账期起,出库单!$C$4:$C$4003,"&lt;="&amp;账期止),0))</f>
        <v/>
      </c>
      <c r="T666" s="27">
        <f>IF($A666="","",SUMIFS(出库单!$J$4:$J$4003,出库单!$D$4:$D$4003,$A666,出库单!$K$4:$K$4003,"盘亏",出库单!$U$4:$U$4003,"正常",出库单!$C$4:$C$4003,"&gt;="&amp;账期起,出库单!$C$4:$C$4003,"&lt;="&amp;账期止))</f>
        <v/>
      </c>
      <c r="U666" s="26">
        <f>IF($A666="","",ROUND(SUMIFS(出库单!$S$4:$S$4003,出库单!$D$4:$D$4003,$A666,出库单!$K$4:$K$4003,"盘亏",出库单!$U$4:$U$4003,"正常",出库单!$C$4:$C$4003,"&gt;="&amp;账期起,出库单!$C$4:$C$4003,"&lt;="&amp;账期止),0))</f>
        <v/>
      </c>
      <c r="V666" s="27">
        <f>IF($A666="","",SUMIFS(出库单!$J$4:$J$4003,出库单!$D$4:$D$4003,$A666,出库单!$K$4:$K$4003,"退货给供应商",出库单!$U$4:$U$4003,"正常",出库单!$C$4:$C$4003,"&gt;="&amp;账期起,出库单!$C$4:$C$4003,"&lt;="&amp;账期止))</f>
        <v/>
      </c>
      <c r="W666" s="26">
        <f>IF($A666="","",ROUND(SUMIFS(出库单!$S$4:$S$4003,出库单!$D$4:$D$4003,$A666,出库单!$K$4:$K$4003,"退货给供应商",出库单!$U$4:$U$4003,"正常",出库单!$C$4:$C$4003,"&gt;="&amp;账期起,出库单!$C$4:$C$4003,"&lt;="&amp;账期止),0))</f>
        <v/>
      </c>
      <c r="X666" s="27">
        <f>IF($A666="","",ROUND(N($G666)+$I666+$L666+$N666-$P666-$R666-$T666-$V666,3))</f>
        <v/>
      </c>
      <c r="Y666" s="26">
        <f>IF($A666="","",ROUND(N($H666)+$J666+$M666+$O666-$Q666-$S666-$U666-$W666,0))</f>
        <v/>
      </c>
      <c r="Z666" s="24">
        <f>IF($A666="","",IF(COUNTIFS(入库单!$G$4:$G$2503,$A666,入库单!$Y$4:$Y$2503,"待补价")+COUNTIFS(入库单!$G$4:$G$2503,$A666,入库单!$Y$4:$Y$2503,"暂估")&gt;0,"不可信","可信"))</f>
        <v/>
      </c>
      <c r="AA666" s="24">
        <f>IF($A666="","",IF($X666&lt;-0.001,"※账面负库存，查一下是不是漏记入库",IF(AND(ROUND($X666,3)=0,ABS($Y666)&gt;1),"※数量已经是 0，金额还挂着 "&amp;TEXT($Y666,"#,##0")&amp;" 先令",IF(AND($X666&gt;0,$Y666&lt;=0,$K666=0),"※有数量没金额（这个物料一直没填过进价）",IF($Z666="不可信","△成本含待补价/暂估，毛利仅供参考","")))))</f>
        <v/>
      </c>
    </row>
    <row r="667">
      <c r="A667" s="24">
        <f>IF(物料档案!$A666="","",物料档案!$A666)</f>
        <v/>
      </c>
      <c r="B667" s="24">
        <f>IF($A667="","",IFERROR(VLOOKUP($A667,物料档案!$A$4:$P$1203,3,0),""))</f>
        <v/>
      </c>
      <c r="C667" s="24">
        <f>IF($A667="","",IFERROR(VLOOKUP($A667,物料档案!$A$4:$P$1203,4,0),""))</f>
        <v/>
      </c>
      <c r="D667" s="24">
        <f>IF($A667="","",IFERROR(VLOOKUP($A667,物料档案!$A$4:$P$1203,5,0),""))</f>
        <v/>
      </c>
      <c r="E667" s="24">
        <f>IF($A667="","",IFERROR(VLOOKUP($A667,物料档案!$A$4:$P$1203,2,0),""))</f>
        <v/>
      </c>
      <c r="F667" s="24">
        <f>IF($A667="","",IFERROR(VLOOKUP($A667,物料档案!$A$4:$P$1203,6,0),""))</f>
        <v/>
      </c>
      <c r="G667" s="23" t="n"/>
      <c r="H667" s="32" t="n"/>
      <c r="I667" s="27">
        <f>IF($A667="","",SUMIFS(入库单!$K$4:$K$2503,入库单!$G$4:$G$2503,$A667,入库单!$X$4:$X$2503,"采购入库",入库单!$Z$4:$Z$2503,"正常",入库单!$C$4:$C$2503,"&gt;="&amp;账期起,入库单!$C$4:$C$2503,"&lt;="&amp;账期止))</f>
        <v/>
      </c>
      <c r="J667" s="26">
        <f>IF($A667="","",SUMIFS(入库单!$V$4:$V$2503,入库单!$G$4:$G$2503,$A667,入库单!$X$4:$X$2503,"采购入库",入库单!$Z$4:$Z$2503,"正常",入库单!$C$4:$C$2503,"&gt;="&amp;账期起,入库单!$C$4:$C$2503,"&lt;="&amp;账期止))</f>
        <v/>
      </c>
      <c r="K667" s="26">
        <f>IF($A667="","",IFERROR(ROUND((N($H667)+N($J667))/(N($G667)+N($I667)),2),0))</f>
        <v/>
      </c>
      <c r="L667" s="27">
        <f>IF($A667="","",SUMIFS(入库单!$K$4:$K$2503,入库单!$G$4:$G$2503,$A667,入库单!$X$4:$X$2503,"盘盈",入库单!$Z$4:$Z$2503,"正常",入库单!$C$4:$C$2503,"&gt;="&amp;账期起,入库单!$C$4:$C$2503,"&lt;="&amp;账期止))</f>
        <v/>
      </c>
      <c r="M667" s="26">
        <f>IF($A667="","",ROUND($L667*$K667,0))</f>
        <v/>
      </c>
      <c r="N667" s="27">
        <f>IF($A667="","",SUMIFS(入库单!$K$4:$K$2503,入库单!$G$4:$G$2503,$A667,入库单!$X$4:$X$2503,"矿区退库",入库单!$Z$4:$Z$2503,"正常",入库单!$C$4:$C$2503,"&gt;="&amp;账期起,入库单!$C$4:$C$2503,"&lt;="&amp;账期止))</f>
        <v/>
      </c>
      <c r="O667" s="26">
        <f>IF($A667="","",ROUND($N667*$K667,0))</f>
        <v/>
      </c>
      <c r="P667" s="27">
        <f>IF($A667="","",SUMIFS(出库单!$J$4:$J$4003,出库单!$D$4:$D$4003,$A667,出库单!$K$4:$K$4003,"自用消耗",出库单!$U$4:$U$4003,"正常",出库单!$C$4:$C$4003,"&gt;="&amp;账期起,出库单!$C$4:$C$4003,"&lt;="&amp;账期止))</f>
        <v/>
      </c>
      <c r="Q667" s="26">
        <f>IF($A667="","",ROUND(SUMIFS(出库单!$S$4:$S$4003,出库单!$D$4:$D$4003,$A667,出库单!$K$4:$K$4003,"自用消耗",出库单!$U$4:$U$4003,"正常",出库单!$C$4:$C$4003,"&gt;="&amp;账期起,出库单!$C$4:$C$4003,"&lt;="&amp;账期止),0))</f>
        <v/>
      </c>
      <c r="R667" s="27">
        <f>IF($A667="","",SUMIFS(出库单!$J$4:$J$4003,出库单!$D$4:$D$4003,$A667,出库单!$K$4:$K$4003,"对外销售",出库单!$U$4:$U$4003,"正常",出库单!$C$4:$C$4003,"&gt;="&amp;账期起,出库单!$C$4:$C$4003,"&lt;="&amp;账期止))</f>
        <v/>
      </c>
      <c r="S667" s="26">
        <f>IF($A667="","",ROUND(SUMIFS(出库单!$S$4:$S$4003,出库单!$D$4:$D$4003,$A667,出库单!$K$4:$K$4003,"对外销售",出库单!$U$4:$U$4003,"正常",出库单!$C$4:$C$4003,"&gt;="&amp;账期起,出库单!$C$4:$C$4003,"&lt;="&amp;账期止),0))</f>
        <v/>
      </c>
      <c r="T667" s="27">
        <f>IF($A667="","",SUMIFS(出库单!$J$4:$J$4003,出库单!$D$4:$D$4003,$A667,出库单!$K$4:$K$4003,"盘亏",出库单!$U$4:$U$4003,"正常",出库单!$C$4:$C$4003,"&gt;="&amp;账期起,出库单!$C$4:$C$4003,"&lt;="&amp;账期止))</f>
        <v/>
      </c>
      <c r="U667" s="26">
        <f>IF($A667="","",ROUND(SUMIFS(出库单!$S$4:$S$4003,出库单!$D$4:$D$4003,$A667,出库单!$K$4:$K$4003,"盘亏",出库单!$U$4:$U$4003,"正常",出库单!$C$4:$C$4003,"&gt;="&amp;账期起,出库单!$C$4:$C$4003,"&lt;="&amp;账期止),0))</f>
        <v/>
      </c>
      <c r="V667" s="27">
        <f>IF($A667="","",SUMIFS(出库单!$J$4:$J$4003,出库单!$D$4:$D$4003,$A667,出库单!$K$4:$K$4003,"退货给供应商",出库单!$U$4:$U$4003,"正常",出库单!$C$4:$C$4003,"&gt;="&amp;账期起,出库单!$C$4:$C$4003,"&lt;="&amp;账期止))</f>
        <v/>
      </c>
      <c r="W667" s="26">
        <f>IF($A667="","",ROUND(SUMIFS(出库单!$S$4:$S$4003,出库单!$D$4:$D$4003,$A667,出库单!$K$4:$K$4003,"退货给供应商",出库单!$U$4:$U$4003,"正常",出库单!$C$4:$C$4003,"&gt;="&amp;账期起,出库单!$C$4:$C$4003,"&lt;="&amp;账期止),0))</f>
        <v/>
      </c>
      <c r="X667" s="27">
        <f>IF($A667="","",ROUND(N($G667)+$I667+$L667+$N667-$P667-$R667-$T667-$V667,3))</f>
        <v/>
      </c>
      <c r="Y667" s="26">
        <f>IF($A667="","",ROUND(N($H667)+$J667+$M667+$O667-$Q667-$S667-$U667-$W667,0))</f>
        <v/>
      </c>
      <c r="Z667" s="24">
        <f>IF($A667="","",IF(COUNTIFS(入库单!$G$4:$G$2503,$A667,入库单!$Y$4:$Y$2503,"待补价")+COUNTIFS(入库单!$G$4:$G$2503,$A667,入库单!$Y$4:$Y$2503,"暂估")&gt;0,"不可信","可信"))</f>
        <v/>
      </c>
      <c r="AA667" s="24">
        <f>IF($A667="","",IF($X667&lt;-0.001,"※账面负库存，查一下是不是漏记入库",IF(AND(ROUND($X667,3)=0,ABS($Y667)&gt;1),"※数量已经是 0，金额还挂着 "&amp;TEXT($Y667,"#,##0")&amp;" 先令",IF(AND($X667&gt;0,$Y667&lt;=0,$K667=0),"※有数量没金额（这个物料一直没填过进价）",IF($Z667="不可信","△成本含待补价/暂估，毛利仅供参考","")))))</f>
        <v/>
      </c>
    </row>
    <row r="668">
      <c r="A668" s="24">
        <f>IF(物料档案!$A667="","",物料档案!$A667)</f>
        <v/>
      </c>
      <c r="B668" s="24">
        <f>IF($A668="","",IFERROR(VLOOKUP($A668,物料档案!$A$4:$P$1203,3,0),""))</f>
        <v/>
      </c>
      <c r="C668" s="24">
        <f>IF($A668="","",IFERROR(VLOOKUP($A668,物料档案!$A$4:$P$1203,4,0),""))</f>
        <v/>
      </c>
      <c r="D668" s="24">
        <f>IF($A668="","",IFERROR(VLOOKUP($A668,物料档案!$A$4:$P$1203,5,0),""))</f>
        <v/>
      </c>
      <c r="E668" s="24">
        <f>IF($A668="","",IFERROR(VLOOKUP($A668,物料档案!$A$4:$P$1203,2,0),""))</f>
        <v/>
      </c>
      <c r="F668" s="24">
        <f>IF($A668="","",IFERROR(VLOOKUP($A668,物料档案!$A$4:$P$1203,6,0),""))</f>
        <v/>
      </c>
      <c r="G668" s="23" t="n"/>
      <c r="H668" s="32" t="n"/>
      <c r="I668" s="27">
        <f>IF($A668="","",SUMIFS(入库单!$K$4:$K$2503,入库单!$G$4:$G$2503,$A668,入库单!$X$4:$X$2503,"采购入库",入库单!$Z$4:$Z$2503,"正常",入库单!$C$4:$C$2503,"&gt;="&amp;账期起,入库单!$C$4:$C$2503,"&lt;="&amp;账期止))</f>
        <v/>
      </c>
      <c r="J668" s="26">
        <f>IF($A668="","",SUMIFS(入库单!$V$4:$V$2503,入库单!$G$4:$G$2503,$A668,入库单!$X$4:$X$2503,"采购入库",入库单!$Z$4:$Z$2503,"正常",入库单!$C$4:$C$2503,"&gt;="&amp;账期起,入库单!$C$4:$C$2503,"&lt;="&amp;账期止))</f>
        <v/>
      </c>
      <c r="K668" s="26">
        <f>IF($A668="","",IFERROR(ROUND((N($H668)+N($J668))/(N($G668)+N($I668)),2),0))</f>
        <v/>
      </c>
      <c r="L668" s="27">
        <f>IF($A668="","",SUMIFS(入库单!$K$4:$K$2503,入库单!$G$4:$G$2503,$A668,入库单!$X$4:$X$2503,"盘盈",入库单!$Z$4:$Z$2503,"正常",入库单!$C$4:$C$2503,"&gt;="&amp;账期起,入库单!$C$4:$C$2503,"&lt;="&amp;账期止))</f>
        <v/>
      </c>
      <c r="M668" s="26">
        <f>IF($A668="","",ROUND($L668*$K668,0))</f>
        <v/>
      </c>
      <c r="N668" s="27">
        <f>IF($A668="","",SUMIFS(入库单!$K$4:$K$2503,入库单!$G$4:$G$2503,$A668,入库单!$X$4:$X$2503,"矿区退库",入库单!$Z$4:$Z$2503,"正常",入库单!$C$4:$C$2503,"&gt;="&amp;账期起,入库单!$C$4:$C$2503,"&lt;="&amp;账期止))</f>
        <v/>
      </c>
      <c r="O668" s="26">
        <f>IF($A668="","",ROUND($N668*$K668,0))</f>
        <v/>
      </c>
      <c r="P668" s="27">
        <f>IF($A668="","",SUMIFS(出库单!$J$4:$J$4003,出库单!$D$4:$D$4003,$A668,出库单!$K$4:$K$4003,"自用消耗",出库单!$U$4:$U$4003,"正常",出库单!$C$4:$C$4003,"&gt;="&amp;账期起,出库单!$C$4:$C$4003,"&lt;="&amp;账期止))</f>
        <v/>
      </c>
      <c r="Q668" s="26">
        <f>IF($A668="","",ROUND(SUMIFS(出库单!$S$4:$S$4003,出库单!$D$4:$D$4003,$A668,出库单!$K$4:$K$4003,"自用消耗",出库单!$U$4:$U$4003,"正常",出库单!$C$4:$C$4003,"&gt;="&amp;账期起,出库单!$C$4:$C$4003,"&lt;="&amp;账期止),0))</f>
        <v/>
      </c>
      <c r="R668" s="27">
        <f>IF($A668="","",SUMIFS(出库单!$J$4:$J$4003,出库单!$D$4:$D$4003,$A668,出库单!$K$4:$K$4003,"对外销售",出库单!$U$4:$U$4003,"正常",出库单!$C$4:$C$4003,"&gt;="&amp;账期起,出库单!$C$4:$C$4003,"&lt;="&amp;账期止))</f>
        <v/>
      </c>
      <c r="S668" s="26">
        <f>IF($A668="","",ROUND(SUMIFS(出库单!$S$4:$S$4003,出库单!$D$4:$D$4003,$A668,出库单!$K$4:$K$4003,"对外销售",出库单!$U$4:$U$4003,"正常",出库单!$C$4:$C$4003,"&gt;="&amp;账期起,出库单!$C$4:$C$4003,"&lt;="&amp;账期止),0))</f>
        <v/>
      </c>
      <c r="T668" s="27">
        <f>IF($A668="","",SUMIFS(出库单!$J$4:$J$4003,出库单!$D$4:$D$4003,$A668,出库单!$K$4:$K$4003,"盘亏",出库单!$U$4:$U$4003,"正常",出库单!$C$4:$C$4003,"&gt;="&amp;账期起,出库单!$C$4:$C$4003,"&lt;="&amp;账期止))</f>
        <v/>
      </c>
      <c r="U668" s="26">
        <f>IF($A668="","",ROUND(SUMIFS(出库单!$S$4:$S$4003,出库单!$D$4:$D$4003,$A668,出库单!$K$4:$K$4003,"盘亏",出库单!$U$4:$U$4003,"正常",出库单!$C$4:$C$4003,"&gt;="&amp;账期起,出库单!$C$4:$C$4003,"&lt;="&amp;账期止),0))</f>
        <v/>
      </c>
      <c r="V668" s="27">
        <f>IF($A668="","",SUMIFS(出库单!$J$4:$J$4003,出库单!$D$4:$D$4003,$A668,出库单!$K$4:$K$4003,"退货给供应商",出库单!$U$4:$U$4003,"正常",出库单!$C$4:$C$4003,"&gt;="&amp;账期起,出库单!$C$4:$C$4003,"&lt;="&amp;账期止))</f>
        <v/>
      </c>
      <c r="W668" s="26">
        <f>IF($A668="","",ROUND(SUMIFS(出库单!$S$4:$S$4003,出库单!$D$4:$D$4003,$A668,出库单!$K$4:$K$4003,"退货给供应商",出库单!$U$4:$U$4003,"正常",出库单!$C$4:$C$4003,"&gt;="&amp;账期起,出库单!$C$4:$C$4003,"&lt;="&amp;账期止),0))</f>
        <v/>
      </c>
      <c r="X668" s="27">
        <f>IF($A668="","",ROUND(N($G668)+$I668+$L668+$N668-$P668-$R668-$T668-$V668,3))</f>
        <v/>
      </c>
      <c r="Y668" s="26">
        <f>IF($A668="","",ROUND(N($H668)+$J668+$M668+$O668-$Q668-$S668-$U668-$W668,0))</f>
        <v/>
      </c>
      <c r="Z668" s="24">
        <f>IF($A668="","",IF(COUNTIFS(入库单!$G$4:$G$2503,$A668,入库单!$Y$4:$Y$2503,"待补价")+COUNTIFS(入库单!$G$4:$G$2503,$A668,入库单!$Y$4:$Y$2503,"暂估")&gt;0,"不可信","可信"))</f>
        <v/>
      </c>
      <c r="AA668" s="24">
        <f>IF($A668="","",IF($X668&lt;-0.001,"※账面负库存，查一下是不是漏记入库",IF(AND(ROUND($X668,3)=0,ABS($Y668)&gt;1),"※数量已经是 0，金额还挂着 "&amp;TEXT($Y668,"#,##0")&amp;" 先令",IF(AND($X668&gt;0,$Y668&lt;=0,$K668=0),"※有数量没金额（这个物料一直没填过进价）",IF($Z668="不可信","△成本含待补价/暂估，毛利仅供参考","")))))</f>
        <v/>
      </c>
    </row>
    <row r="669">
      <c r="A669" s="24">
        <f>IF(物料档案!$A668="","",物料档案!$A668)</f>
        <v/>
      </c>
      <c r="B669" s="24">
        <f>IF($A669="","",IFERROR(VLOOKUP($A669,物料档案!$A$4:$P$1203,3,0),""))</f>
        <v/>
      </c>
      <c r="C669" s="24">
        <f>IF($A669="","",IFERROR(VLOOKUP($A669,物料档案!$A$4:$P$1203,4,0),""))</f>
        <v/>
      </c>
      <c r="D669" s="24">
        <f>IF($A669="","",IFERROR(VLOOKUP($A669,物料档案!$A$4:$P$1203,5,0),""))</f>
        <v/>
      </c>
      <c r="E669" s="24">
        <f>IF($A669="","",IFERROR(VLOOKUP($A669,物料档案!$A$4:$P$1203,2,0),""))</f>
        <v/>
      </c>
      <c r="F669" s="24">
        <f>IF($A669="","",IFERROR(VLOOKUP($A669,物料档案!$A$4:$P$1203,6,0),""))</f>
        <v/>
      </c>
      <c r="G669" s="23" t="n"/>
      <c r="H669" s="32" t="n"/>
      <c r="I669" s="27">
        <f>IF($A669="","",SUMIFS(入库单!$K$4:$K$2503,入库单!$G$4:$G$2503,$A669,入库单!$X$4:$X$2503,"采购入库",入库单!$Z$4:$Z$2503,"正常",入库单!$C$4:$C$2503,"&gt;="&amp;账期起,入库单!$C$4:$C$2503,"&lt;="&amp;账期止))</f>
        <v/>
      </c>
      <c r="J669" s="26">
        <f>IF($A669="","",SUMIFS(入库单!$V$4:$V$2503,入库单!$G$4:$G$2503,$A669,入库单!$X$4:$X$2503,"采购入库",入库单!$Z$4:$Z$2503,"正常",入库单!$C$4:$C$2503,"&gt;="&amp;账期起,入库单!$C$4:$C$2503,"&lt;="&amp;账期止))</f>
        <v/>
      </c>
      <c r="K669" s="26">
        <f>IF($A669="","",IFERROR(ROUND((N($H669)+N($J669))/(N($G669)+N($I669)),2),0))</f>
        <v/>
      </c>
      <c r="L669" s="27">
        <f>IF($A669="","",SUMIFS(入库单!$K$4:$K$2503,入库单!$G$4:$G$2503,$A669,入库单!$X$4:$X$2503,"盘盈",入库单!$Z$4:$Z$2503,"正常",入库单!$C$4:$C$2503,"&gt;="&amp;账期起,入库单!$C$4:$C$2503,"&lt;="&amp;账期止))</f>
        <v/>
      </c>
      <c r="M669" s="26">
        <f>IF($A669="","",ROUND($L669*$K669,0))</f>
        <v/>
      </c>
      <c r="N669" s="27">
        <f>IF($A669="","",SUMIFS(入库单!$K$4:$K$2503,入库单!$G$4:$G$2503,$A669,入库单!$X$4:$X$2503,"矿区退库",入库单!$Z$4:$Z$2503,"正常",入库单!$C$4:$C$2503,"&gt;="&amp;账期起,入库单!$C$4:$C$2503,"&lt;="&amp;账期止))</f>
        <v/>
      </c>
      <c r="O669" s="26">
        <f>IF($A669="","",ROUND($N669*$K669,0))</f>
        <v/>
      </c>
      <c r="P669" s="27">
        <f>IF($A669="","",SUMIFS(出库单!$J$4:$J$4003,出库单!$D$4:$D$4003,$A669,出库单!$K$4:$K$4003,"自用消耗",出库单!$U$4:$U$4003,"正常",出库单!$C$4:$C$4003,"&gt;="&amp;账期起,出库单!$C$4:$C$4003,"&lt;="&amp;账期止))</f>
        <v/>
      </c>
      <c r="Q669" s="26">
        <f>IF($A669="","",ROUND(SUMIFS(出库单!$S$4:$S$4003,出库单!$D$4:$D$4003,$A669,出库单!$K$4:$K$4003,"自用消耗",出库单!$U$4:$U$4003,"正常",出库单!$C$4:$C$4003,"&gt;="&amp;账期起,出库单!$C$4:$C$4003,"&lt;="&amp;账期止),0))</f>
        <v/>
      </c>
      <c r="R669" s="27">
        <f>IF($A669="","",SUMIFS(出库单!$J$4:$J$4003,出库单!$D$4:$D$4003,$A669,出库单!$K$4:$K$4003,"对外销售",出库单!$U$4:$U$4003,"正常",出库单!$C$4:$C$4003,"&gt;="&amp;账期起,出库单!$C$4:$C$4003,"&lt;="&amp;账期止))</f>
        <v/>
      </c>
      <c r="S669" s="26">
        <f>IF($A669="","",ROUND(SUMIFS(出库单!$S$4:$S$4003,出库单!$D$4:$D$4003,$A669,出库单!$K$4:$K$4003,"对外销售",出库单!$U$4:$U$4003,"正常",出库单!$C$4:$C$4003,"&gt;="&amp;账期起,出库单!$C$4:$C$4003,"&lt;="&amp;账期止),0))</f>
        <v/>
      </c>
      <c r="T669" s="27">
        <f>IF($A669="","",SUMIFS(出库单!$J$4:$J$4003,出库单!$D$4:$D$4003,$A669,出库单!$K$4:$K$4003,"盘亏",出库单!$U$4:$U$4003,"正常",出库单!$C$4:$C$4003,"&gt;="&amp;账期起,出库单!$C$4:$C$4003,"&lt;="&amp;账期止))</f>
        <v/>
      </c>
      <c r="U669" s="26">
        <f>IF($A669="","",ROUND(SUMIFS(出库单!$S$4:$S$4003,出库单!$D$4:$D$4003,$A669,出库单!$K$4:$K$4003,"盘亏",出库单!$U$4:$U$4003,"正常",出库单!$C$4:$C$4003,"&gt;="&amp;账期起,出库单!$C$4:$C$4003,"&lt;="&amp;账期止),0))</f>
        <v/>
      </c>
      <c r="V669" s="27">
        <f>IF($A669="","",SUMIFS(出库单!$J$4:$J$4003,出库单!$D$4:$D$4003,$A669,出库单!$K$4:$K$4003,"退货给供应商",出库单!$U$4:$U$4003,"正常",出库单!$C$4:$C$4003,"&gt;="&amp;账期起,出库单!$C$4:$C$4003,"&lt;="&amp;账期止))</f>
        <v/>
      </c>
      <c r="W669" s="26">
        <f>IF($A669="","",ROUND(SUMIFS(出库单!$S$4:$S$4003,出库单!$D$4:$D$4003,$A669,出库单!$K$4:$K$4003,"退货给供应商",出库单!$U$4:$U$4003,"正常",出库单!$C$4:$C$4003,"&gt;="&amp;账期起,出库单!$C$4:$C$4003,"&lt;="&amp;账期止),0))</f>
        <v/>
      </c>
      <c r="X669" s="27">
        <f>IF($A669="","",ROUND(N($G669)+$I669+$L669+$N669-$P669-$R669-$T669-$V669,3))</f>
        <v/>
      </c>
      <c r="Y669" s="26">
        <f>IF($A669="","",ROUND(N($H669)+$J669+$M669+$O669-$Q669-$S669-$U669-$W669,0))</f>
        <v/>
      </c>
      <c r="Z669" s="24">
        <f>IF($A669="","",IF(COUNTIFS(入库单!$G$4:$G$2503,$A669,入库单!$Y$4:$Y$2503,"待补价")+COUNTIFS(入库单!$G$4:$G$2503,$A669,入库单!$Y$4:$Y$2503,"暂估")&gt;0,"不可信","可信"))</f>
        <v/>
      </c>
      <c r="AA669" s="24">
        <f>IF($A669="","",IF($X669&lt;-0.001,"※账面负库存，查一下是不是漏记入库",IF(AND(ROUND($X669,3)=0,ABS($Y669)&gt;1),"※数量已经是 0，金额还挂着 "&amp;TEXT($Y669,"#,##0")&amp;" 先令",IF(AND($X669&gt;0,$Y669&lt;=0,$K669=0),"※有数量没金额（这个物料一直没填过进价）",IF($Z669="不可信","△成本含待补价/暂估，毛利仅供参考","")))))</f>
        <v/>
      </c>
    </row>
    <row r="670">
      <c r="A670" s="24">
        <f>IF(物料档案!$A669="","",物料档案!$A669)</f>
        <v/>
      </c>
      <c r="B670" s="24">
        <f>IF($A670="","",IFERROR(VLOOKUP($A670,物料档案!$A$4:$P$1203,3,0),""))</f>
        <v/>
      </c>
      <c r="C670" s="24">
        <f>IF($A670="","",IFERROR(VLOOKUP($A670,物料档案!$A$4:$P$1203,4,0),""))</f>
        <v/>
      </c>
      <c r="D670" s="24">
        <f>IF($A670="","",IFERROR(VLOOKUP($A670,物料档案!$A$4:$P$1203,5,0),""))</f>
        <v/>
      </c>
      <c r="E670" s="24">
        <f>IF($A670="","",IFERROR(VLOOKUP($A670,物料档案!$A$4:$P$1203,2,0),""))</f>
        <v/>
      </c>
      <c r="F670" s="24">
        <f>IF($A670="","",IFERROR(VLOOKUP($A670,物料档案!$A$4:$P$1203,6,0),""))</f>
        <v/>
      </c>
      <c r="G670" s="23" t="n"/>
      <c r="H670" s="32" t="n"/>
      <c r="I670" s="27">
        <f>IF($A670="","",SUMIFS(入库单!$K$4:$K$2503,入库单!$G$4:$G$2503,$A670,入库单!$X$4:$X$2503,"采购入库",入库单!$Z$4:$Z$2503,"正常",入库单!$C$4:$C$2503,"&gt;="&amp;账期起,入库单!$C$4:$C$2503,"&lt;="&amp;账期止))</f>
        <v/>
      </c>
      <c r="J670" s="26">
        <f>IF($A670="","",SUMIFS(入库单!$V$4:$V$2503,入库单!$G$4:$G$2503,$A670,入库单!$X$4:$X$2503,"采购入库",入库单!$Z$4:$Z$2503,"正常",入库单!$C$4:$C$2503,"&gt;="&amp;账期起,入库单!$C$4:$C$2503,"&lt;="&amp;账期止))</f>
        <v/>
      </c>
      <c r="K670" s="26">
        <f>IF($A670="","",IFERROR(ROUND((N($H670)+N($J670))/(N($G670)+N($I670)),2),0))</f>
        <v/>
      </c>
      <c r="L670" s="27">
        <f>IF($A670="","",SUMIFS(入库单!$K$4:$K$2503,入库单!$G$4:$G$2503,$A670,入库单!$X$4:$X$2503,"盘盈",入库单!$Z$4:$Z$2503,"正常",入库单!$C$4:$C$2503,"&gt;="&amp;账期起,入库单!$C$4:$C$2503,"&lt;="&amp;账期止))</f>
        <v/>
      </c>
      <c r="M670" s="26">
        <f>IF($A670="","",ROUND($L670*$K670,0))</f>
        <v/>
      </c>
      <c r="N670" s="27">
        <f>IF($A670="","",SUMIFS(入库单!$K$4:$K$2503,入库单!$G$4:$G$2503,$A670,入库单!$X$4:$X$2503,"矿区退库",入库单!$Z$4:$Z$2503,"正常",入库单!$C$4:$C$2503,"&gt;="&amp;账期起,入库单!$C$4:$C$2503,"&lt;="&amp;账期止))</f>
        <v/>
      </c>
      <c r="O670" s="26">
        <f>IF($A670="","",ROUND($N670*$K670,0))</f>
        <v/>
      </c>
      <c r="P670" s="27">
        <f>IF($A670="","",SUMIFS(出库单!$J$4:$J$4003,出库单!$D$4:$D$4003,$A670,出库单!$K$4:$K$4003,"自用消耗",出库单!$U$4:$U$4003,"正常",出库单!$C$4:$C$4003,"&gt;="&amp;账期起,出库单!$C$4:$C$4003,"&lt;="&amp;账期止))</f>
        <v/>
      </c>
      <c r="Q670" s="26">
        <f>IF($A670="","",ROUND(SUMIFS(出库单!$S$4:$S$4003,出库单!$D$4:$D$4003,$A670,出库单!$K$4:$K$4003,"自用消耗",出库单!$U$4:$U$4003,"正常",出库单!$C$4:$C$4003,"&gt;="&amp;账期起,出库单!$C$4:$C$4003,"&lt;="&amp;账期止),0))</f>
        <v/>
      </c>
      <c r="R670" s="27">
        <f>IF($A670="","",SUMIFS(出库单!$J$4:$J$4003,出库单!$D$4:$D$4003,$A670,出库单!$K$4:$K$4003,"对外销售",出库单!$U$4:$U$4003,"正常",出库单!$C$4:$C$4003,"&gt;="&amp;账期起,出库单!$C$4:$C$4003,"&lt;="&amp;账期止))</f>
        <v/>
      </c>
      <c r="S670" s="26">
        <f>IF($A670="","",ROUND(SUMIFS(出库单!$S$4:$S$4003,出库单!$D$4:$D$4003,$A670,出库单!$K$4:$K$4003,"对外销售",出库单!$U$4:$U$4003,"正常",出库单!$C$4:$C$4003,"&gt;="&amp;账期起,出库单!$C$4:$C$4003,"&lt;="&amp;账期止),0))</f>
        <v/>
      </c>
      <c r="T670" s="27">
        <f>IF($A670="","",SUMIFS(出库单!$J$4:$J$4003,出库单!$D$4:$D$4003,$A670,出库单!$K$4:$K$4003,"盘亏",出库单!$U$4:$U$4003,"正常",出库单!$C$4:$C$4003,"&gt;="&amp;账期起,出库单!$C$4:$C$4003,"&lt;="&amp;账期止))</f>
        <v/>
      </c>
      <c r="U670" s="26">
        <f>IF($A670="","",ROUND(SUMIFS(出库单!$S$4:$S$4003,出库单!$D$4:$D$4003,$A670,出库单!$K$4:$K$4003,"盘亏",出库单!$U$4:$U$4003,"正常",出库单!$C$4:$C$4003,"&gt;="&amp;账期起,出库单!$C$4:$C$4003,"&lt;="&amp;账期止),0))</f>
        <v/>
      </c>
      <c r="V670" s="27">
        <f>IF($A670="","",SUMIFS(出库单!$J$4:$J$4003,出库单!$D$4:$D$4003,$A670,出库单!$K$4:$K$4003,"退货给供应商",出库单!$U$4:$U$4003,"正常",出库单!$C$4:$C$4003,"&gt;="&amp;账期起,出库单!$C$4:$C$4003,"&lt;="&amp;账期止))</f>
        <v/>
      </c>
      <c r="W670" s="26">
        <f>IF($A670="","",ROUND(SUMIFS(出库单!$S$4:$S$4003,出库单!$D$4:$D$4003,$A670,出库单!$K$4:$K$4003,"退货给供应商",出库单!$U$4:$U$4003,"正常",出库单!$C$4:$C$4003,"&gt;="&amp;账期起,出库单!$C$4:$C$4003,"&lt;="&amp;账期止),0))</f>
        <v/>
      </c>
      <c r="X670" s="27">
        <f>IF($A670="","",ROUND(N($G670)+$I670+$L670+$N670-$P670-$R670-$T670-$V670,3))</f>
        <v/>
      </c>
      <c r="Y670" s="26">
        <f>IF($A670="","",ROUND(N($H670)+$J670+$M670+$O670-$Q670-$S670-$U670-$W670,0))</f>
        <v/>
      </c>
      <c r="Z670" s="24">
        <f>IF($A670="","",IF(COUNTIFS(入库单!$G$4:$G$2503,$A670,入库单!$Y$4:$Y$2503,"待补价")+COUNTIFS(入库单!$G$4:$G$2503,$A670,入库单!$Y$4:$Y$2503,"暂估")&gt;0,"不可信","可信"))</f>
        <v/>
      </c>
      <c r="AA670" s="24">
        <f>IF($A670="","",IF($X670&lt;-0.001,"※账面负库存，查一下是不是漏记入库",IF(AND(ROUND($X670,3)=0,ABS($Y670)&gt;1),"※数量已经是 0，金额还挂着 "&amp;TEXT($Y670,"#,##0")&amp;" 先令",IF(AND($X670&gt;0,$Y670&lt;=0,$K670=0),"※有数量没金额（这个物料一直没填过进价）",IF($Z670="不可信","△成本含待补价/暂估，毛利仅供参考","")))))</f>
        <v/>
      </c>
    </row>
    <row r="671">
      <c r="A671" s="24">
        <f>IF(物料档案!$A670="","",物料档案!$A670)</f>
        <v/>
      </c>
      <c r="B671" s="24">
        <f>IF($A671="","",IFERROR(VLOOKUP($A671,物料档案!$A$4:$P$1203,3,0),""))</f>
        <v/>
      </c>
      <c r="C671" s="24">
        <f>IF($A671="","",IFERROR(VLOOKUP($A671,物料档案!$A$4:$P$1203,4,0),""))</f>
        <v/>
      </c>
      <c r="D671" s="24">
        <f>IF($A671="","",IFERROR(VLOOKUP($A671,物料档案!$A$4:$P$1203,5,0),""))</f>
        <v/>
      </c>
      <c r="E671" s="24">
        <f>IF($A671="","",IFERROR(VLOOKUP($A671,物料档案!$A$4:$P$1203,2,0),""))</f>
        <v/>
      </c>
      <c r="F671" s="24">
        <f>IF($A671="","",IFERROR(VLOOKUP($A671,物料档案!$A$4:$P$1203,6,0),""))</f>
        <v/>
      </c>
      <c r="G671" s="23" t="n"/>
      <c r="H671" s="32" t="n"/>
      <c r="I671" s="27">
        <f>IF($A671="","",SUMIFS(入库单!$K$4:$K$2503,入库单!$G$4:$G$2503,$A671,入库单!$X$4:$X$2503,"采购入库",入库单!$Z$4:$Z$2503,"正常",入库单!$C$4:$C$2503,"&gt;="&amp;账期起,入库单!$C$4:$C$2503,"&lt;="&amp;账期止))</f>
        <v/>
      </c>
      <c r="J671" s="26">
        <f>IF($A671="","",SUMIFS(入库单!$V$4:$V$2503,入库单!$G$4:$G$2503,$A671,入库单!$X$4:$X$2503,"采购入库",入库单!$Z$4:$Z$2503,"正常",入库单!$C$4:$C$2503,"&gt;="&amp;账期起,入库单!$C$4:$C$2503,"&lt;="&amp;账期止))</f>
        <v/>
      </c>
      <c r="K671" s="26">
        <f>IF($A671="","",IFERROR(ROUND((N($H671)+N($J671))/(N($G671)+N($I671)),2),0))</f>
        <v/>
      </c>
      <c r="L671" s="27">
        <f>IF($A671="","",SUMIFS(入库单!$K$4:$K$2503,入库单!$G$4:$G$2503,$A671,入库单!$X$4:$X$2503,"盘盈",入库单!$Z$4:$Z$2503,"正常",入库单!$C$4:$C$2503,"&gt;="&amp;账期起,入库单!$C$4:$C$2503,"&lt;="&amp;账期止))</f>
        <v/>
      </c>
      <c r="M671" s="26">
        <f>IF($A671="","",ROUND($L671*$K671,0))</f>
        <v/>
      </c>
      <c r="N671" s="27">
        <f>IF($A671="","",SUMIFS(入库单!$K$4:$K$2503,入库单!$G$4:$G$2503,$A671,入库单!$X$4:$X$2503,"矿区退库",入库单!$Z$4:$Z$2503,"正常",入库单!$C$4:$C$2503,"&gt;="&amp;账期起,入库单!$C$4:$C$2503,"&lt;="&amp;账期止))</f>
        <v/>
      </c>
      <c r="O671" s="26">
        <f>IF($A671="","",ROUND($N671*$K671,0))</f>
        <v/>
      </c>
      <c r="P671" s="27">
        <f>IF($A671="","",SUMIFS(出库单!$J$4:$J$4003,出库单!$D$4:$D$4003,$A671,出库单!$K$4:$K$4003,"自用消耗",出库单!$U$4:$U$4003,"正常",出库单!$C$4:$C$4003,"&gt;="&amp;账期起,出库单!$C$4:$C$4003,"&lt;="&amp;账期止))</f>
        <v/>
      </c>
      <c r="Q671" s="26">
        <f>IF($A671="","",ROUND(SUMIFS(出库单!$S$4:$S$4003,出库单!$D$4:$D$4003,$A671,出库单!$K$4:$K$4003,"自用消耗",出库单!$U$4:$U$4003,"正常",出库单!$C$4:$C$4003,"&gt;="&amp;账期起,出库单!$C$4:$C$4003,"&lt;="&amp;账期止),0))</f>
        <v/>
      </c>
      <c r="R671" s="27">
        <f>IF($A671="","",SUMIFS(出库单!$J$4:$J$4003,出库单!$D$4:$D$4003,$A671,出库单!$K$4:$K$4003,"对外销售",出库单!$U$4:$U$4003,"正常",出库单!$C$4:$C$4003,"&gt;="&amp;账期起,出库单!$C$4:$C$4003,"&lt;="&amp;账期止))</f>
        <v/>
      </c>
      <c r="S671" s="26">
        <f>IF($A671="","",ROUND(SUMIFS(出库单!$S$4:$S$4003,出库单!$D$4:$D$4003,$A671,出库单!$K$4:$K$4003,"对外销售",出库单!$U$4:$U$4003,"正常",出库单!$C$4:$C$4003,"&gt;="&amp;账期起,出库单!$C$4:$C$4003,"&lt;="&amp;账期止),0))</f>
        <v/>
      </c>
      <c r="T671" s="27">
        <f>IF($A671="","",SUMIFS(出库单!$J$4:$J$4003,出库单!$D$4:$D$4003,$A671,出库单!$K$4:$K$4003,"盘亏",出库单!$U$4:$U$4003,"正常",出库单!$C$4:$C$4003,"&gt;="&amp;账期起,出库单!$C$4:$C$4003,"&lt;="&amp;账期止))</f>
        <v/>
      </c>
      <c r="U671" s="26">
        <f>IF($A671="","",ROUND(SUMIFS(出库单!$S$4:$S$4003,出库单!$D$4:$D$4003,$A671,出库单!$K$4:$K$4003,"盘亏",出库单!$U$4:$U$4003,"正常",出库单!$C$4:$C$4003,"&gt;="&amp;账期起,出库单!$C$4:$C$4003,"&lt;="&amp;账期止),0))</f>
        <v/>
      </c>
      <c r="V671" s="27">
        <f>IF($A671="","",SUMIFS(出库单!$J$4:$J$4003,出库单!$D$4:$D$4003,$A671,出库单!$K$4:$K$4003,"退货给供应商",出库单!$U$4:$U$4003,"正常",出库单!$C$4:$C$4003,"&gt;="&amp;账期起,出库单!$C$4:$C$4003,"&lt;="&amp;账期止))</f>
        <v/>
      </c>
      <c r="W671" s="26">
        <f>IF($A671="","",ROUND(SUMIFS(出库单!$S$4:$S$4003,出库单!$D$4:$D$4003,$A671,出库单!$K$4:$K$4003,"退货给供应商",出库单!$U$4:$U$4003,"正常",出库单!$C$4:$C$4003,"&gt;="&amp;账期起,出库单!$C$4:$C$4003,"&lt;="&amp;账期止),0))</f>
        <v/>
      </c>
      <c r="X671" s="27">
        <f>IF($A671="","",ROUND(N($G671)+$I671+$L671+$N671-$P671-$R671-$T671-$V671,3))</f>
        <v/>
      </c>
      <c r="Y671" s="26">
        <f>IF($A671="","",ROUND(N($H671)+$J671+$M671+$O671-$Q671-$S671-$U671-$W671,0))</f>
        <v/>
      </c>
      <c r="Z671" s="24">
        <f>IF($A671="","",IF(COUNTIFS(入库单!$G$4:$G$2503,$A671,入库单!$Y$4:$Y$2503,"待补价")+COUNTIFS(入库单!$G$4:$G$2503,$A671,入库单!$Y$4:$Y$2503,"暂估")&gt;0,"不可信","可信"))</f>
        <v/>
      </c>
      <c r="AA671" s="24">
        <f>IF($A671="","",IF($X671&lt;-0.001,"※账面负库存，查一下是不是漏记入库",IF(AND(ROUND($X671,3)=0,ABS($Y671)&gt;1),"※数量已经是 0，金额还挂着 "&amp;TEXT($Y671,"#,##0")&amp;" 先令",IF(AND($X671&gt;0,$Y671&lt;=0,$K671=0),"※有数量没金额（这个物料一直没填过进价）",IF($Z671="不可信","△成本含待补价/暂估，毛利仅供参考","")))))</f>
        <v/>
      </c>
    </row>
    <row r="672">
      <c r="A672" s="24">
        <f>IF(物料档案!$A671="","",物料档案!$A671)</f>
        <v/>
      </c>
      <c r="B672" s="24">
        <f>IF($A672="","",IFERROR(VLOOKUP($A672,物料档案!$A$4:$P$1203,3,0),""))</f>
        <v/>
      </c>
      <c r="C672" s="24">
        <f>IF($A672="","",IFERROR(VLOOKUP($A672,物料档案!$A$4:$P$1203,4,0),""))</f>
        <v/>
      </c>
      <c r="D672" s="24">
        <f>IF($A672="","",IFERROR(VLOOKUP($A672,物料档案!$A$4:$P$1203,5,0),""))</f>
        <v/>
      </c>
      <c r="E672" s="24">
        <f>IF($A672="","",IFERROR(VLOOKUP($A672,物料档案!$A$4:$P$1203,2,0),""))</f>
        <v/>
      </c>
      <c r="F672" s="24">
        <f>IF($A672="","",IFERROR(VLOOKUP($A672,物料档案!$A$4:$P$1203,6,0),""))</f>
        <v/>
      </c>
      <c r="G672" s="23" t="n"/>
      <c r="H672" s="32" t="n"/>
      <c r="I672" s="27">
        <f>IF($A672="","",SUMIFS(入库单!$K$4:$K$2503,入库单!$G$4:$G$2503,$A672,入库单!$X$4:$X$2503,"采购入库",入库单!$Z$4:$Z$2503,"正常",入库单!$C$4:$C$2503,"&gt;="&amp;账期起,入库单!$C$4:$C$2503,"&lt;="&amp;账期止))</f>
        <v/>
      </c>
      <c r="J672" s="26">
        <f>IF($A672="","",SUMIFS(入库单!$V$4:$V$2503,入库单!$G$4:$G$2503,$A672,入库单!$X$4:$X$2503,"采购入库",入库单!$Z$4:$Z$2503,"正常",入库单!$C$4:$C$2503,"&gt;="&amp;账期起,入库单!$C$4:$C$2503,"&lt;="&amp;账期止))</f>
        <v/>
      </c>
      <c r="K672" s="26">
        <f>IF($A672="","",IFERROR(ROUND((N($H672)+N($J672))/(N($G672)+N($I672)),2),0))</f>
        <v/>
      </c>
      <c r="L672" s="27">
        <f>IF($A672="","",SUMIFS(入库单!$K$4:$K$2503,入库单!$G$4:$G$2503,$A672,入库单!$X$4:$X$2503,"盘盈",入库单!$Z$4:$Z$2503,"正常",入库单!$C$4:$C$2503,"&gt;="&amp;账期起,入库单!$C$4:$C$2503,"&lt;="&amp;账期止))</f>
        <v/>
      </c>
      <c r="M672" s="26">
        <f>IF($A672="","",ROUND($L672*$K672,0))</f>
        <v/>
      </c>
      <c r="N672" s="27">
        <f>IF($A672="","",SUMIFS(入库单!$K$4:$K$2503,入库单!$G$4:$G$2503,$A672,入库单!$X$4:$X$2503,"矿区退库",入库单!$Z$4:$Z$2503,"正常",入库单!$C$4:$C$2503,"&gt;="&amp;账期起,入库单!$C$4:$C$2503,"&lt;="&amp;账期止))</f>
        <v/>
      </c>
      <c r="O672" s="26">
        <f>IF($A672="","",ROUND($N672*$K672,0))</f>
        <v/>
      </c>
      <c r="P672" s="27">
        <f>IF($A672="","",SUMIFS(出库单!$J$4:$J$4003,出库单!$D$4:$D$4003,$A672,出库单!$K$4:$K$4003,"自用消耗",出库单!$U$4:$U$4003,"正常",出库单!$C$4:$C$4003,"&gt;="&amp;账期起,出库单!$C$4:$C$4003,"&lt;="&amp;账期止))</f>
        <v/>
      </c>
      <c r="Q672" s="26">
        <f>IF($A672="","",ROUND(SUMIFS(出库单!$S$4:$S$4003,出库单!$D$4:$D$4003,$A672,出库单!$K$4:$K$4003,"自用消耗",出库单!$U$4:$U$4003,"正常",出库单!$C$4:$C$4003,"&gt;="&amp;账期起,出库单!$C$4:$C$4003,"&lt;="&amp;账期止),0))</f>
        <v/>
      </c>
      <c r="R672" s="27">
        <f>IF($A672="","",SUMIFS(出库单!$J$4:$J$4003,出库单!$D$4:$D$4003,$A672,出库单!$K$4:$K$4003,"对外销售",出库单!$U$4:$U$4003,"正常",出库单!$C$4:$C$4003,"&gt;="&amp;账期起,出库单!$C$4:$C$4003,"&lt;="&amp;账期止))</f>
        <v/>
      </c>
      <c r="S672" s="26">
        <f>IF($A672="","",ROUND(SUMIFS(出库单!$S$4:$S$4003,出库单!$D$4:$D$4003,$A672,出库单!$K$4:$K$4003,"对外销售",出库单!$U$4:$U$4003,"正常",出库单!$C$4:$C$4003,"&gt;="&amp;账期起,出库单!$C$4:$C$4003,"&lt;="&amp;账期止),0))</f>
        <v/>
      </c>
      <c r="T672" s="27">
        <f>IF($A672="","",SUMIFS(出库单!$J$4:$J$4003,出库单!$D$4:$D$4003,$A672,出库单!$K$4:$K$4003,"盘亏",出库单!$U$4:$U$4003,"正常",出库单!$C$4:$C$4003,"&gt;="&amp;账期起,出库单!$C$4:$C$4003,"&lt;="&amp;账期止))</f>
        <v/>
      </c>
      <c r="U672" s="26">
        <f>IF($A672="","",ROUND(SUMIFS(出库单!$S$4:$S$4003,出库单!$D$4:$D$4003,$A672,出库单!$K$4:$K$4003,"盘亏",出库单!$U$4:$U$4003,"正常",出库单!$C$4:$C$4003,"&gt;="&amp;账期起,出库单!$C$4:$C$4003,"&lt;="&amp;账期止),0))</f>
        <v/>
      </c>
      <c r="V672" s="27">
        <f>IF($A672="","",SUMIFS(出库单!$J$4:$J$4003,出库单!$D$4:$D$4003,$A672,出库单!$K$4:$K$4003,"退货给供应商",出库单!$U$4:$U$4003,"正常",出库单!$C$4:$C$4003,"&gt;="&amp;账期起,出库单!$C$4:$C$4003,"&lt;="&amp;账期止))</f>
        <v/>
      </c>
      <c r="W672" s="26">
        <f>IF($A672="","",ROUND(SUMIFS(出库单!$S$4:$S$4003,出库单!$D$4:$D$4003,$A672,出库单!$K$4:$K$4003,"退货给供应商",出库单!$U$4:$U$4003,"正常",出库单!$C$4:$C$4003,"&gt;="&amp;账期起,出库单!$C$4:$C$4003,"&lt;="&amp;账期止),0))</f>
        <v/>
      </c>
      <c r="X672" s="27">
        <f>IF($A672="","",ROUND(N($G672)+$I672+$L672+$N672-$P672-$R672-$T672-$V672,3))</f>
        <v/>
      </c>
      <c r="Y672" s="26">
        <f>IF($A672="","",ROUND(N($H672)+$J672+$M672+$O672-$Q672-$S672-$U672-$W672,0))</f>
        <v/>
      </c>
      <c r="Z672" s="24">
        <f>IF($A672="","",IF(COUNTIFS(入库单!$G$4:$G$2503,$A672,入库单!$Y$4:$Y$2503,"待补价")+COUNTIFS(入库单!$G$4:$G$2503,$A672,入库单!$Y$4:$Y$2503,"暂估")&gt;0,"不可信","可信"))</f>
        <v/>
      </c>
      <c r="AA672" s="24">
        <f>IF($A672="","",IF($X672&lt;-0.001,"※账面负库存，查一下是不是漏记入库",IF(AND(ROUND($X672,3)=0,ABS($Y672)&gt;1),"※数量已经是 0，金额还挂着 "&amp;TEXT($Y672,"#,##0")&amp;" 先令",IF(AND($X672&gt;0,$Y672&lt;=0,$K672=0),"※有数量没金额（这个物料一直没填过进价）",IF($Z672="不可信","△成本含待补价/暂估，毛利仅供参考","")))))</f>
        <v/>
      </c>
    </row>
    <row r="673">
      <c r="A673" s="24">
        <f>IF(物料档案!$A672="","",物料档案!$A672)</f>
        <v/>
      </c>
      <c r="B673" s="24">
        <f>IF($A673="","",IFERROR(VLOOKUP($A673,物料档案!$A$4:$P$1203,3,0),""))</f>
        <v/>
      </c>
      <c r="C673" s="24">
        <f>IF($A673="","",IFERROR(VLOOKUP($A673,物料档案!$A$4:$P$1203,4,0),""))</f>
        <v/>
      </c>
      <c r="D673" s="24">
        <f>IF($A673="","",IFERROR(VLOOKUP($A673,物料档案!$A$4:$P$1203,5,0),""))</f>
        <v/>
      </c>
      <c r="E673" s="24">
        <f>IF($A673="","",IFERROR(VLOOKUP($A673,物料档案!$A$4:$P$1203,2,0),""))</f>
        <v/>
      </c>
      <c r="F673" s="24">
        <f>IF($A673="","",IFERROR(VLOOKUP($A673,物料档案!$A$4:$P$1203,6,0),""))</f>
        <v/>
      </c>
      <c r="G673" s="23" t="n"/>
      <c r="H673" s="32" t="n"/>
      <c r="I673" s="27">
        <f>IF($A673="","",SUMIFS(入库单!$K$4:$K$2503,入库单!$G$4:$G$2503,$A673,入库单!$X$4:$X$2503,"采购入库",入库单!$Z$4:$Z$2503,"正常",入库单!$C$4:$C$2503,"&gt;="&amp;账期起,入库单!$C$4:$C$2503,"&lt;="&amp;账期止))</f>
        <v/>
      </c>
      <c r="J673" s="26">
        <f>IF($A673="","",SUMIFS(入库单!$V$4:$V$2503,入库单!$G$4:$G$2503,$A673,入库单!$X$4:$X$2503,"采购入库",入库单!$Z$4:$Z$2503,"正常",入库单!$C$4:$C$2503,"&gt;="&amp;账期起,入库单!$C$4:$C$2503,"&lt;="&amp;账期止))</f>
        <v/>
      </c>
      <c r="K673" s="26">
        <f>IF($A673="","",IFERROR(ROUND((N($H673)+N($J673))/(N($G673)+N($I673)),2),0))</f>
        <v/>
      </c>
      <c r="L673" s="27">
        <f>IF($A673="","",SUMIFS(入库单!$K$4:$K$2503,入库单!$G$4:$G$2503,$A673,入库单!$X$4:$X$2503,"盘盈",入库单!$Z$4:$Z$2503,"正常",入库单!$C$4:$C$2503,"&gt;="&amp;账期起,入库单!$C$4:$C$2503,"&lt;="&amp;账期止))</f>
        <v/>
      </c>
      <c r="M673" s="26">
        <f>IF($A673="","",ROUND($L673*$K673,0))</f>
        <v/>
      </c>
      <c r="N673" s="27">
        <f>IF($A673="","",SUMIFS(入库单!$K$4:$K$2503,入库单!$G$4:$G$2503,$A673,入库单!$X$4:$X$2503,"矿区退库",入库单!$Z$4:$Z$2503,"正常",入库单!$C$4:$C$2503,"&gt;="&amp;账期起,入库单!$C$4:$C$2503,"&lt;="&amp;账期止))</f>
        <v/>
      </c>
      <c r="O673" s="26">
        <f>IF($A673="","",ROUND($N673*$K673,0))</f>
        <v/>
      </c>
      <c r="P673" s="27">
        <f>IF($A673="","",SUMIFS(出库单!$J$4:$J$4003,出库单!$D$4:$D$4003,$A673,出库单!$K$4:$K$4003,"自用消耗",出库单!$U$4:$U$4003,"正常",出库单!$C$4:$C$4003,"&gt;="&amp;账期起,出库单!$C$4:$C$4003,"&lt;="&amp;账期止))</f>
        <v/>
      </c>
      <c r="Q673" s="26">
        <f>IF($A673="","",ROUND(SUMIFS(出库单!$S$4:$S$4003,出库单!$D$4:$D$4003,$A673,出库单!$K$4:$K$4003,"自用消耗",出库单!$U$4:$U$4003,"正常",出库单!$C$4:$C$4003,"&gt;="&amp;账期起,出库单!$C$4:$C$4003,"&lt;="&amp;账期止),0))</f>
        <v/>
      </c>
      <c r="R673" s="27">
        <f>IF($A673="","",SUMIFS(出库单!$J$4:$J$4003,出库单!$D$4:$D$4003,$A673,出库单!$K$4:$K$4003,"对外销售",出库单!$U$4:$U$4003,"正常",出库单!$C$4:$C$4003,"&gt;="&amp;账期起,出库单!$C$4:$C$4003,"&lt;="&amp;账期止))</f>
        <v/>
      </c>
      <c r="S673" s="26">
        <f>IF($A673="","",ROUND(SUMIFS(出库单!$S$4:$S$4003,出库单!$D$4:$D$4003,$A673,出库单!$K$4:$K$4003,"对外销售",出库单!$U$4:$U$4003,"正常",出库单!$C$4:$C$4003,"&gt;="&amp;账期起,出库单!$C$4:$C$4003,"&lt;="&amp;账期止),0))</f>
        <v/>
      </c>
      <c r="T673" s="27">
        <f>IF($A673="","",SUMIFS(出库单!$J$4:$J$4003,出库单!$D$4:$D$4003,$A673,出库单!$K$4:$K$4003,"盘亏",出库单!$U$4:$U$4003,"正常",出库单!$C$4:$C$4003,"&gt;="&amp;账期起,出库单!$C$4:$C$4003,"&lt;="&amp;账期止))</f>
        <v/>
      </c>
      <c r="U673" s="26">
        <f>IF($A673="","",ROUND(SUMIFS(出库单!$S$4:$S$4003,出库单!$D$4:$D$4003,$A673,出库单!$K$4:$K$4003,"盘亏",出库单!$U$4:$U$4003,"正常",出库单!$C$4:$C$4003,"&gt;="&amp;账期起,出库单!$C$4:$C$4003,"&lt;="&amp;账期止),0))</f>
        <v/>
      </c>
      <c r="V673" s="27">
        <f>IF($A673="","",SUMIFS(出库单!$J$4:$J$4003,出库单!$D$4:$D$4003,$A673,出库单!$K$4:$K$4003,"退货给供应商",出库单!$U$4:$U$4003,"正常",出库单!$C$4:$C$4003,"&gt;="&amp;账期起,出库单!$C$4:$C$4003,"&lt;="&amp;账期止))</f>
        <v/>
      </c>
      <c r="W673" s="26">
        <f>IF($A673="","",ROUND(SUMIFS(出库单!$S$4:$S$4003,出库单!$D$4:$D$4003,$A673,出库单!$K$4:$K$4003,"退货给供应商",出库单!$U$4:$U$4003,"正常",出库单!$C$4:$C$4003,"&gt;="&amp;账期起,出库单!$C$4:$C$4003,"&lt;="&amp;账期止),0))</f>
        <v/>
      </c>
      <c r="X673" s="27">
        <f>IF($A673="","",ROUND(N($G673)+$I673+$L673+$N673-$P673-$R673-$T673-$V673,3))</f>
        <v/>
      </c>
      <c r="Y673" s="26">
        <f>IF($A673="","",ROUND(N($H673)+$J673+$M673+$O673-$Q673-$S673-$U673-$W673,0))</f>
        <v/>
      </c>
      <c r="Z673" s="24">
        <f>IF($A673="","",IF(COUNTIFS(入库单!$G$4:$G$2503,$A673,入库单!$Y$4:$Y$2503,"待补价")+COUNTIFS(入库单!$G$4:$G$2503,$A673,入库单!$Y$4:$Y$2503,"暂估")&gt;0,"不可信","可信"))</f>
        <v/>
      </c>
      <c r="AA673" s="24">
        <f>IF($A673="","",IF($X673&lt;-0.001,"※账面负库存，查一下是不是漏记入库",IF(AND(ROUND($X673,3)=0,ABS($Y673)&gt;1),"※数量已经是 0，金额还挂着 "&amp;TEXT($Y673,"#,##0")&amp;" 先令",IF(AND($X673&gt;0,$Y673&lt;=0,$K673=0),"※有数量没金额（这个物料一直没填过进价）",IF($Z673="不可信","△成本含待补价/暂估，毛利仅供参考","")))))</f>
        <v/>
      </c>
    </row>
    <row r="674">
      <c r="A674" s="24">
        <f>IF(物料档案!$A673="","",物料档案!$A673)</f>
        <v/>
      </c>
      <c r="B674" s="24">
        <f>IF($A674="","",IFERROR(VLOOKUP($A674,物料档案!$A$4:$P$1203,3,0),""))</f>
        <v/>
      </c>
      <c r="C674" s="24">
        <f>IF($A674="","",IFERROR(VLOOKUP($A674,物料档案!$A$4:$P$1203,4,0),""))</f>
        <v/>
      </c>
      <c r="D674" s="24">
        <f>IF($A674="","",IFERROR(VLOOKUP($A674,物料档案!$A$4:$P$1203,5,0),""))</f>
        <v/>
      </c>
      <c r="E674" s="24">
        <f>IF($A674="","",IFERROR(VLOOKUP($A674,物料档案!$A$4:$P$1203,2,0),""))</f>
        <v/>
      </c>
      <c r="F674" s="24">
        <f>IF($A674="","",IFERROR(VLOOKUP($A674,物料档案!$A$4:$P$1203,6,0),""))</f>
        <v/>
      </c>
      <c r="G674" s="23" t="n"/>
      <c r="H674" s="32" t="n"/>
      <c r="I674" s="27">
        <f>IF($A674="","",SUMIFS(入库单!$K$4:$K$2503,入库单!$G$4:$G$2503,$A674,入库单!$X$4:$X$2503,"采购入库",入库单!$Z$4:$Z$2503,"正常",入库单!$C$4:$C$2503,"&gt;="&amp;账期起,入库单!$C$4:$C$2503,"&lt;="&amp;账期止))</f>
        <v/>
      </c>
      <c r="J674" s="26">
        <f>IF($A674="","",SUMIFS(入库单!$V$4:$V$2503,入库单!$G$4:$G$2503,$A674,入库单!$X$4:$X$2503,"采购入库",入库单!$Z$4:$Z$2503,"正常",入库单!$C$4:$C$2503,"&gt;="&amp;账期起,入库单!$C$4:$C$2503,"&lt;="&amp;账期止))</f>
        <v/>
      </c>
      <c r="K674" s="26">
        <f>IF($A674="","",IFERROR(ROUND((N($H674)+N($J674))/(N($G674)+N($I674)),2),0))</f>
        <v/>
      </c>
      <c r="L674" s="27">
        <f>IF($A674="","",SUMIFS(入库单!$K$4:$K$2503,入库单!$G$4:$G$2503,$A674,入库单!$X$4:$X$2503,"盘盈",入库单!$Z$4:$Z$2503,"正常",入库单!$C$4:$C$2503,"&gt;="&amp;账期起,入库单!$C$4:$C$2503,"&lt;="&amp;账期止))</f>
        <v/>
      </c>
      <c r="M674" s="26">
        <f>IF($A674="","",ROUND($L674*$K674,0))</f>
        <v/>
      </c>
      <c r="N674" s="27">
        <f>IF($A674="","",SUMIFS(入库单!$K$4:$K$2503,入库单!$G$4:$G$2503,$A674,入库单!$X$4:$X$2503,"矿区退库",入库单!$Z$4:$Z$2503,"正常",入库单!$C$4:$C$2503,"&gt;="&amp;账期起,入库单!$C$4:$C$2503,"&lt;="&amp;账期止))</f>
        <v/>
      </c>
      <c r="O674" s="26">
        <f>IF($A674="","",ROUND($N674*$K674,0))</f>
        <v/>
      </c>
      <c r="P674" s="27">
        <f>IF($A674="","",SUMIFS(出库单!$J$4:$J$4003,出库单!$D$4:$D$4003,$A674,出库单!$K$4:$K$4003,"自用消耗",出库单!$U$4:$U$4003,"正常",出库单!$C$4:$C$4003,"&gt;="&amp;账期起,出库单!$C$4:$C$4003,"&lt;="&amp;账期止))</f>
        <v/>
      </c>
      <c r="Q674" s="26">
        <f>IF($A674="","",ROUND(SUMIFS(出库单!$S$4:$S$4003,出库单!$D$4:$D$4003,$A674,出库单!$K$4:$K$4003,"自用消耗",出库单!$U$4:$U$4003,"正常",出库单!$C$4:$C$4003,"&gt;="&amp;账期起,出库单!$C$4:$C$4003,"&lt;="&amp;账期止),0))</f>
        <v/>
      </c>
      <c r="R674" s="27">
        <f>IF($A674="","",SUMIFS(出库单!$J$4:$J$4003,出库单!$D$4:$D$4003,$A674,出库单!$K$4:$K$4003,"对外销售",出库单!$U$4:$U$4003,"正常",出库单!$C$4:$C$4003,"&gt;="&amp;账期起,出库单!$C$4:$C$4003,"&lt;="&amp;账期止))</f>
        <v/>
      </c>
      <c r="S674" s="26">
        <f>IF($A674="","",ROUND(SUMIFS(出库单!$S$4:$S$4003,出库单!$D$4:$D$4003,$A674,出库单!$K$4:$K$4003,"对外销售",出库单!$U$4:$U$4003,"正常",出库单!$C$4:$C$4003,"&gt;="&amp;账期起,出库单!$C$4:$C$4003,"&lt;="&amp;账期止),0))</f>
        <v/>
      </c>
      <c r="T674" s="27">
        <f>IF($A674="","",SUMIFS(出库单!$J$4:$J$4003,出库单!$D$4:$D$4003,$A674,出库单!$K$4:$K$4003,"盘亏",出库单!$U$4:$U$4003,"正常",出库单!$C$4:$C$4003,"&gt;="&amp;账期起,出库单!$C$4:$C$4003,"&lt;="&amp;账期止))</f>
        <v/>
      </c>
      <c r="U674" s="26">
        <f>IF($A674="","",ROUND(SUMIFS(出库单!$S$4:$S$4003,出库单!$D$4:$D$4003,$A674,出库单!$K$4:$K$4003,"盘亏",出库单!$U$4:$U$4003,"正常",出库单!$C$4:$C$4003,"&gt;="&amp;账期起,出库单!$C$4:$C$4003,"&lt;="&amp;账期止),0))</f>
        <v/>
      </c>
      <c r="V674" s="27">
        <f>IF($A674="","",SUMIFS(出库单!$J$4:$J$4003,出库单!$D$4:$D$4003,$A674,出库单!$K$4:$K$4003,"退货给供应商",出库单!$U$4:$U$4003,"正常",出库单!$C$4:$C$4003,"&gt;="&amp;账期起,出库单!$C$4:$C$4003,"&lt;="&amp;账期止))</f>
        <v/>
      </c>
      <c r="W674" s="26">
        <f>IF($A674="","",ROUND(SUMIFS(出库单!$S$4:$S$4003,出库单!$D$4:$D$4003,$A674,出库单!$K$4:$K$4003,"退货给供应商",出库单!$U$4:$U$4003,"正常",出库单!$C$4:$C$4003,"&gt;="&amp;账期起,出库单!$C$4:$C$4003,"&lt;="&amp;账期止),0))</f>
        <v/>
      </c>
      <c r="X674" s="27">
        <f>IF($A674="","",ROUND(N($G674)+$I674+$L674+$N674-$P674-$R674-$T674-$V674,3))</f>
        <v/>
      </c>
      <c r="Y674" s="26">
        <f>IF($A674="","",ROUND(N($H674)+$J674+$M674+$O674-$Q674-$S674-$U674-$W674,0))</f>
        <v/>
      </c>
      <c r="Z674" s="24">
        <f>IF($A674="","",IF(COUNTIFS(入库单!$G$4:$G$2503,$A674,入库单!$Y$4:$Y$2503,"待补价")+COUNTIFS(入库单!$G$4:$G$2503,$A674,入库单!$Y$4:$Y$2503,"暂估")&gt;0,"不可信","可信"))</f>
        <v/>
      </c>
      <c r="AA674" s="24">
        <f>IF($A674="","",IF($X674&lt;-0.001,"※账面负库存，查一下是不是漏记入库",IF(AND(ROUND($X674,3)=0,ABS($Y674)&gt;1),"※数量已经是 0，金额还挂着 "&amp;TEXT($Y674,"#,##0")&amp;" 先令",IF(AND($X674&gt;0,$Y674&lt;=0,$K674=0),"※有数量没金额（这个物料一直没填过进价）",IF($Z674="不可信","△成本含待补价/暂估，毛利仅供参考","")))))</f>
        <v/>
      </c>
    </row>
    <row r="675">
      <c r="A675" s="24">
        <f>IF(物料档案!$A674="","",物料档案!$A674)</f>
        <v/>
      </c>
      <c r="B675" s="24">
        <f>IF($A675="","",IFERROR(VLOOKUP($A675,物料档案!$A$4:$P$1203,3,0),""))</f>
        <v/>
      </c>
      <c r="C675" s="24">
        <f>IF($A675="","",IFERROR(VLOOKUP($A675,物料档案!$A$4:$P$1203,4,0),""))</f>
        <v/>
      </c>
      <c r="D675" s="24">
        <f>IF($A675="","",IFERROR(VLOOKUP($A675,物料档案!$A$4:$P$1203,5,0),""))</f>
        <v/>
      </c>
      <c r="E675" s="24">
        <f>IF($A675="","",IFERROR(VLOOKUP($A675,物料档案!$A$4:$P$1203,2,0),""))</f>
        <v/>
      </c>
      <c r="F675" s="24">
        <f>IF($A675="","",IFERROR(VLOOKUP($A675,物料档案!$A$4:$P$1203,6,0),""))</f>
        <v/>
      </c>
      <c r="G675" s="23" t="n"/>
      <c r="H675" s="32" t="n"/>
      <c r="I675" s="27">
        <f>IF($A675="","",SUMIFS(入库单!$K$4:$K$2503,入库单!$G$4:$G$2503,$A675,入库单!$X$4:$X$2503,"采购入库",入库单!$Z$4:$Z$2503,"正常",入库单!$C$4:$C$2503,"&gt;="&amp;账期起,入库单!$C$4:$C$2503,"&lt;="&amp;账期止))</f>
        <v/>
      </c>
      <c r="J675" s="26">
        <f>IF($A675="","",SUMIFS(入库单!$V$4:$V$2503,入库单!$G$4:$G$2503,$A675,入库单!$X$4:$X$2503,"采购入库",入库单!$Z$4:$Z$2503,"正常",入库单!$C$4:$C$2503,"&gt;="&amp;账期起,入库单!$C$4:$C$2503,"&lt;="&amp;账期止))</f>
        <v/>
      </c>
      <c r="K675" s="26">
        <f>IF($A675="","",IFERROR(ROUND((N($H675)+N($J675))/(N($G675)+N($I675)),2),0))</f>
        <v/>
      </c>
      <c r="L675" s="27">
        <f>IF($A675="","",SUMIFS(入库单!$K$4:$K$2503,入库单!$G$4:$G$2503,$A675,入库单!$X$4:$X$2503,"盘盈",入库单!$Z$4:$Z$2503,"正常",入库单!$C$4:$C$2503,"&gt;="&amp;账期起,入库单!$C$4:$C$2503,"&lt;="&amp;账期止))</f>
        <v/>
      </c>
      <c r="M675" s="26">
        <f>IF($A675="","",ROUND($L675*$K675,0))</f>
        <v/>
      </c>
      <c r="N675" s="27">
        <f>IF($A675="","",SUMIFS(入库单!$K$4:$K$2503,入库单!$G$4:$G$2503,$A675,入库单!$X$4:$X$2503,"矿区退库",入库单!$Z$4:$Z$2503,"正常",入库单!$C$4:$C$2503,"&gt;="&amp;账期起,入库单!$C$4:$C$2503,"&lt;="&amp;账期止))</f>
        <v/>
      </c>
      <c r="O675" s="26">
        <f>IF($A675="","",ROUND($N675*$K675,0))</f>
        <v/>
      </c>
      <c r="P675" s="27">
        <f>IF($A675="","",SUMIFS(出库单!$J$4:$J$4003,出库单!$D$4:$D$4003,$A675,出库单!$K$4:$K$4003,"自用消耗",出库单!$U$4:$U$4003,"正常",出库单!$C$4:$C$4003,"&gt;="&amp;账期起,出库单!$C$4:$C$4003,"&lt;="&amp;账期止))</f>
        <v/>
      </c>
      <c r="Q675" s="26">
        <f>IF($A675="","",ROUND(SUMIFS(出库单!$S$4:$S$4003,出库单!$D$4:$D$4003,$A675,出库单!$K$4:$K$4003,"自用消耗",出库单!$U$4:$U$4003,"正常",出库单!$C$4:$C$4003,"&gt;="&amp;账期起,出库单!$C$4:$C$4003,"&lt;="&amp;账期止),0))</f>
        <v/>
      </c>
      <c r="R675" s="27">
        <f>IF($A675="","",SUMIFS(出库单!$J$4:$J$4003,出库单!$D$4:$D$4003,$A675,出库单!$K$4:$K$4003,"对外销售",出库单!$U$4:$U$4003,"正常",出库单!$C$4:$C$4003,"&gt;="&amp;账期起,出库单!$C$4:$C$4003,"&lt;="&amp;账期止))</f>
        <v/>
      </c>
      <c r="S675" s="26">
        <f>IF($A675="","",ROUND(SUMIFS(出库单!$S$4:$S$4003,出库单!$D$4:$D$4003,$A675,出库单!$K$4:$K$4003,"对外销售",出库单!$U$4:$U$4003,"正常",出库单!$C$4:$C$4003,"&gt;="&amp;账期起,出库单!$C$4:$C$4003,"&lt;="&amp;账期止),0))</f>
        <v/>
      </c>
      <c r="T675" s="27">
        <f>IF($A675="","",SUMIFS(出库单!$J$4:$J$4003,出库单!$D$4:$D$4003,$A675,出库单!$K$4:$K$4003,"盘亏",出库单!$U$4:$U$4003,"正常",出库单!$C$4:$C$4003,"&gt;="&amp;账期起,出库单!$C$4:$C$4003,"&lt;="&amp;账期止))</f>
        <v/>
      </c>
      <c r="U675" s="26">
        <f>IF($A675="","",ROUND(SUMIFS(出库单!$S$4:$S$4003,出库单!$D$4:$D$4003,$A675,出库单!$K$4:$K$4003,"盘亏",出库单!$U$4:$U$4003,"正常",出库单!$C$4:$C$4003,"&gt;="&amp;账期起,出库单!$C$4:$C$4003,"&lt;="&amp;账期止),0))</f>
        <v/>
      </c>
      <c r="V675" s="27">
        <f>IF($A675="","",SUMIFS(出库单!$J$4:$J$4003,出库单!$D$4:$D$4003,$A675,出库单!$K$4:$K$4003,"退货给供应商",出库单!$U$4:$U$4003,"正常",出库单!$C$4:$C$4003,"&gt;="&amp;账期起,出库单!$C$4:$C$4003,"&lt;="&amp;账期止))</f>
        <v/>
      </c>
      <c r="W675" s="26">
        <f>IF($A675="","",ROUND(SUMIFS(出库单!$S$4:$S$4003,出库单!$D$4:$D$4003,$A675,出库单!$K$4:$K$4003,"退货给供应商",出库单!$U$4:$U$4003,"正常",出库单!$C$4:$C$4003,"&gt;="&amp;账期起,出库单!$C$4:$C$4003,"&lt;="&amp;账期止),0))</f>
        <v/>
      </c>
      <c r="X675" s="27">
        <f>IF($A675="","",ROUND(N($G675)+$I675+$L675+$N675-$P675-$R675-$T675-$V675,3))</f>
        <v/>
      </c>
      <c r="Y675" s="26">
        <f>IF($A675="","",ROUND(N($H675)+$J675+$M675+$O675-$Q675-$S675-$U675-$W675,0))</f>
        <v/>
      </c>
      <c r="Z675" s="24">
        <f>IF($A675="","",IF(COUNTIFS(入库单!$G$4:$G$2503,$A675,入库单!$Y$4:$Y$2503,"待补价")+COUNTIFS(入库单!$G$4:$G$2503,$A675,入库单!$Y$4:$Y$2503,"暂估")&gt;0,"不可信","可信"))</f>
        <v/>
      </c>
      <c r="AA675" s="24">
        <f>IF($A675="","",IF($X675&lt;-0.001,"※账面负库存，查一下是不是漏记入库",IF(AND(ROUND($X675,3)=0,ABS($Y675)&gt;1),"※数量已经是 0，金额还挂着 "&amp;TEXT($Y675,"#,##0")&amp;" 先令",IF(AND($X675&gt;0,$Y675&lt;=0,$K675=0),"※有数量没金额（这个物料一直没填过进价）",IF($Z675="不可信","△成本含待补价/暂估，毛利仅供参考","")))))</f>
        <v/>
      </c>
    </row>
    <row r="676">
      <c r="A676" s="24">
        <f>IF(物料档案!$A675="","",物料档案!$A675)</f>
        <v/>
      </c>
      <c r="B676" s="24">
        <f>IF($A676="","",IFERROR(VLOOKUP($A676,物料档案!$A$4:$P$1203,3,0),""))</f>
        <v/>
      </c>
      <c r="C676" s="24">
        <f>IF($A676="","",IFERROR(VLOOKUP($A676,物料档案!$A$4:$P$1203,4,0),""))</f>
        <v/>
      </c>
      <c r="D676" s="24">
        <f>IF($A676="","",IFERROR(VLOOKUP($A676,物料档案!$A$4:$P$1203,5,0),""))</f>
        <v/>
      </c>
      <c r="E676" s="24">
        <f>IF($A676="","",IFERROR(VLOOKUP($A676,物料档案!$A$4:$P$1203,2,0),""))</f>
        <v/>
      </c>
      <c r="F676" s="24">
        <f>IF($A676="","",IFERROR(VLOOKUP($A676,物料档案!$A$4:$P$1203,6,0),""))</f>
        <v/>
      </c>
      <c r="G676" s="23" t="n"/>
      <c r="H676" s="32" t="n"/>
      <c r="I676" s="27">
        <f>IF($A676="","",SUMIFS(入库单!$K$4:$K$2503,入库单!$G$4:$G$2503,$A676,入库单!$X$4:$X$2503,"采购入库",入库单!$Z$4:$Z$2503,"正常",入库单!$C$4:$C$2503,"&gt;="&amp;账期起,入库单!$C$4:$C$2503,"&lt;="&amp;账期止))</f>
        <v/>
      </c>
      <c r="J676" s="26">
        <f>IF($A676="","",SUMIFS(入库单!$V$4:$V$2503,入库单!$G$4:$G$2503,$A676,入库单!$X$4:$X$2503,"采购入库",入库单!$Z$4:$Z$2503,"正常",入库单!$C$4:$C$2503,"&gt;="&amp;账期起,入库单!$C$4:$C$2503,"&lt;="&amp;账期止))</f>
        <v/>
      </c>
      <c r="K676" s="26">
        <f>IF($A676="","",IFERROR(ROUND((N($H676)+N($J676))/(N($G676)+N($I676)),2),0))</f>
        <v/>
      </c>
      <c r="L676" s="27">
        <f>IF($A676="","",SUMIFS(入库单!$K$4:$K$2503,入库单!$G$4:$G$2503,$A676,入库单!$X$4:$X$2503,"盘盈",入库单!$Z$4:$Z$2503,"正常",入库单!$C$4:$C$2503,"&gt;="&amp;账期起,入库单!$C$4:$C$2503,"&lt;="&amp;账期止))</f>
        <v/>
      </c>
      <c r="M676" s="26">
        <f>IF($A676="","",ROUND($L676*$K676,0))</f>
        <v/>
      </c>
      <c r="N676" s="27">
        <f>IF($A676="","",SUMIFS(入库单!$K$4:$K$2503,入库单!$G$4:$G$2503,$A676,入库单!$X$4:$X$2503,"矿区退库",入库单!$Z$4:$Z$2503,"正常",入库单!$C$4:$C$2503,"&gt;="&amp;账期起,入库单!$C$4:$C$2503,"&lt;="&amp;账期止))</f>
        <v/>
      </c>
      <c r="O676" s="26">
        <f>IF($A676="","",ROUND($N676*$K676,0))</f>
        <v/>
      </c>
      <c r="P676" s="27">
        <f>IF($A676="","",SUMIFS(出库单!$J$4:$J$4003,出库单!$D$4:$D$4003,$A676,出库单!$K$4:$K$4003,"自用消耗",出库单!$U$4:$U$4003,"正常",出库单!$C$4:$C$4003,"&gt;="&amp;账期起,出库单!$C$4:$C$4003,"&lt;="&amp;账期止))</f>
        <v/>
      </c>
      <c r="Q676" s="26">
        <f>IF($A676="","",ROUND(SUMIFS(出库单!$S$4:$S$4003,出库单!$D$4:$D$4003,$A676,出库单!$K$4:$K$4003,"自用消耗",出库单!$U$4:$U$4003,"正常",出库单!$C$4:$C$4003,"&gt;="&amp;账期起,出库单!$C$4:$C$4003,"&lt;="&amp;账期止),0))</f>
        <v/>
      </c>
      <c r="R676" s="27">
        <f>IF($A676="","",SUMIFS(出库单!$J$4:$J$4003,出库单!$D$4:$D$4003,$A676,出库单!$K$4:$K$4003,"对外销售",出库单!$U$4:$U$4003,"正常",出库单!$C$4:$C$4003,"&gt;="&amp;账期起,出库单!$C$4:$C$4003,"&lt;="&amp;账期止))</f>
        <v/>
      </c>
      <c r="S676" s="26">
        <f>IF($A676="","",ROUND(SUMIFS(出库单!$S$4:$S$4003,出库单!$D$4:$D$4003,$A676,出库单!$K$4:$K$4003,"对外销售",出库单!$U$4:$U$4003,"正常",出库单!$C$4:$C$4003,"&gt;="&amp;账期起,出库单!$C$4:$C$4003,"&lt;="&amp;账期止),0))</f>
        <v/>
      </c>
      <c r="T676" s="27">
        <f>IF($A676="","",SUMIFS(出库单!$J$4:$J$4003,出库单!$D$4:$D$4003,$A676,出库单!$K$4:$K$4003,"盘亏",出库单!$U$4:$U$4003,"正常",出库单!$C$4:$C$4003,"&gt;="&amp;账期起,出库单!$C$4:$C$4003,"&lt;="&amp;账期止))</f>
        <v/>
      </c>
      <c r="U676" s="26">
        <f>IF($A676="","",ROUND(SUMIFS(出库单!$S$4:$S$4003,出库单!$D$4:$D$4003,$A676,出库单!$K$4:$K$4003,"盘亏",出库单!$U$4:$U$4003,"正常",出库单!$C$4:$C$4003,"&gt;="&amp;账期起,出库单!$C$4:$C$4003,"&lt;="&amp;账期止),0))</f>
        <v/>
      </c>
      <c r="V676" s="27">
        <f>IF($A676="","",SUMIFS(出库单!$J$4:$J$4003,出库单!$D$4:$D$4003,$A676,出库单!$K$4:$K$4003,"退货给供应商",出库单!$U$4:$U$4003,"正常",出库单!$C$4:$C$4003,"&gt;="&amp;账期起,出库单!$C$4:$C$4003,"&lt;="&amp;账期止))</f>
        <v/>
      </c>
      <c r="W676" s="26">
        <f>IF($A676="","",ROUND(SUMIFS(出库单!$S$4:$S$4003,出库单!$D$4:$D$4003,$A676,出库单!$K$4:$K$4003,"退货给供应商",出库单!$U$4:$U$4003,"正常",出库单!$C$4:$C$4003,"&gt;="&amp;账期起,出库单!$C$4:$C$4003,"&lt;="&amp;账期止),0))</f>
        <v/>
      </c>
      <c r="X676" s="27">
        <f>IF($A676="","",ROUND(N($G676)+$I676+$L676+$N676-$P676-$R676-$T676-$V676,3))</f>
        <v/>
      </c>
      <c r="Y676" s="26">
        <f>IF($A676="","",ROUND(N($H676)+$J676+$M676+$O676-$Q676-$S676-$U676-$W676,0))</f>
        <v/>
      </c>
      <c r="Z676" s="24">
        <f>IF($A676="","",IF(COUNTIFS(入库单!$G$4:$G$2503,$A676,入库单!$Y$4:$Y$2503,"待补价")+COUNTIFS(入库单!$G$4:$G$2503,$A676,入库单!$Y$4:$Y$2503,"暂估")&gt;0,"不可信","可信"))</f>
        <v/>
      </c>
      <c r="AA676" s="24">
        <f>IF($A676="","",IF($X676&lt;-0.001,"※账面负库存，查一下是不是漏记入库",IF(AND(ROUND($X676,3)=0,ABS($Y676)&gt;1),"※数量已经是 0，金额还挂着 "&amp;TEXT($Y676,"#,##0")&amp;" 先令",IF(AND($X676&gt;0,$Y676&lt;=0,$K676=0),"※有数量没金额（这个物料一直没填过进价）",IF($Z676="不可信","△成本含待补价/暂估，毛利仅供参考","")))))</f>
        <v/>
      </c>
    </row>
    <row r="677">
      <c r="A677" s="24">
        <f>IF(物料档案!$A676="","",物料档案!$A676)</f>
        <v/>
      </c>
      <c r="B677" s="24">
        <f>IF($A677="","",IFERROR(VLOOKUP($A677,物料档案!$A$4:$P$1203,3,0),""))</f>
        <v/>
      </c>
      <c r="C677" s="24">
        <f>IF($A677="","",IFERROR(VLOOKUP($A677,物料档案!$A$4:$P$1203,4,0),""))</f>
        <v/>
      </c>
      <c r="D677" s="24">
        <f>IF($A677="","",IFERROR(VLOOKUP($A677,物料档案!$A$4:$P$1203,5,0),""))</f>
        <v/>
      </c>
      <c r="E677" s="24">
        <f>IF($A677="","",IFERROR(VLOOKUP($A677,物料档案!$A$4:$P$1203,2,0),""))</f>
        <v/>
      </c>
      <c r="F677" s="24">
        <f>IF($A677="","",IFERROR(VLOOKUP($A677,物料档案!$A$4:$P$1203,6,0),""))</f>
        <v/>
      </c>
      <c r="G677" s="23" t="n"/>
      <c r="H677" s="32" t="n"/>
      <c r="I677" s="27">
        <f>IF($A677="","",SUMIFS(入库单!$K$4:$K$2503,入库单!$G$4:$G$2503,$A677,入库单!$X$4:$X$2503,"采购入库",入库单!$Z$4:$Z$2503,"正常",入库单!$C$4:$C$2503,"&gt;="&amp;账期起,入库单!$C$4:$C$2503,"&lt;="&amp;账期止))</f>
        <v/>
      </c>
      <c r="J677" s="26">
        <f>IF($A677="","",SUMIFS(入库单!$V$4:$V$2503,入库单!$G$4:$G$2503,$A677,入库单!$X$4:$X$2503,"采购入库",入库单!$Z$4:$Z$2503,"正常",入库单!$C$4:$C$2503,"&gt;="&amp;账期起,入库单!$C$4:$C$2503,"&lt;="&amp;账期止))</f>
        <v/>
      </c>
      <c r="K677" s="26">
        <f>IF($A677="","",IFERROR(ROUND((N($H677)+N($J677))/(N($G677)+N($I677)),2),0))</f>
        <v/>
      </c>
      <c r="L677" s="27">
        <f>IF($A677="","",SUMIFS(入库单!$K$4:$K$2503,入库单!$G$4:$G$2503,$A677,入库单!$X$4:$X$2503,"盘盈",入库单!$Z$4:$Z$2503,"正常",入库单!$C$4:$C$2503,"&gt;="&amp;账期起,入库单!$C$4:$C$2503,"&lt;="&amp;账期止))</f>
        <v/>
      </c>
      <c r="M677" s="26">
        <f>IF($A677="","",ROUND($L677*$K677,0))</f>
        <v/>
      </c>
      <c r="N677" s="27">
        <f>IF($A677="","",SUMIFS(入库单!$K$4:$K$2503,入库单!$G$4:$G$2503,$A677,入库单!$X$4:$X$2503,"矿区退库",入库单!$Z$4:$Z$2503,"正常",入库单!$C$4:$C$2503,"&gt;="&amp;账期起,入库单!$C$4:$C$2503,"&lt;="&amp;账期止))</f>
        <v/>
      </c>
      <c r="O677" s="26">
        <f>IF($A677="","",ROUND($N677*$K677,0))</f>
        <v/>
      </c>
      <c r="P677" s="27">
        <f>IF($A677="","",SUMIFS(出库单!$J$4:$J$4003,出库单!$D$4:$D$4003,$A677,出库单!$K$4:$K$4003,"自用消耗",出库单!$U$4:$U$4003,"正常",出库单!$C$4:$C$4003,"&gt;="&amp;账期起,出库单!$C$4:$C$4003,"&lt;="&amp;账期止))</f>
        <v/>
      </c>
      <c r="Q677" s="26">
        <f>IF($A677="","",ROUND(SUMIFS(出库单!$S$4:$S$4003,出库单!$D$4:$D$4003,$A677,出库单!$K$4:$K$4003,"自用消耗",出库单!$U$4:$U$4003,"正常",出库单!$C$4:$C$4003,"&gt;="&amp;账期起,出库单!$C$4:$C$4003,"&lt;="&amp;账期止),0))</f>
        <v/>
      </c>
      <c r="R677" s="27">
        <f>IF($A677="","",SUMIFS(出库单!$J$4:$J$4003,出库单!$D$4:$D$4003,$A677,出库单!$K$4:$K$4003,"对外销售",出库单!$U$4:$U$4003,"正常",出库单!$C$4:$C$4003,"&gt;="&amp;账期起,出库单!$C$4:$C$4003,"&lt;="&amp;账期止))</f>
        <v/>
      </c>
      <c r="S677" s="26">
        <f>IF($A677="","",ROUND(SUMIFS(出库单!$S$4:$S$4003,出库单!$D$4:$D$4003,$A677,出库单!$K$4:$K$4003,"对外销售",出库单!$U$4:$U$4003,"正常",出库单!$C$4:$C$4003,"&gt;="&amp;账期起,出库单!$C$4:$C$4003,"&lt;="&amp;账期止),0))</f>
        <v/>
      </c>
      <c r="T677" s="27">
        <f>IF($A677="","",SUMIFS(出库单!$J$4:$J$4003,出库单!$D$4:$D$4003,$A677,出库单!$K$4:$K$4003,"盘亏",出库单!$U$4:$U$4003,"正常",出库单!$C$4:$C$4003,"&gt;="&amp;账期起,出库单!$C$4:$C$4003,"&lt;="&amp;账期止))</f>
        <v/>
      </c>
      <c r="U677" s="26">
        <f>IF($A677="","",ROUND(SUMIFS(出库单!$S$4:$S$4003,出库单!$D$4:$D$4003,$A677,出库单!$K$4:$K$4003,"盘亏",出库单!$U$4:$U$4003,"正常",出库单!$C$4:$C$4003,"&gt;="&amp;账期起,出库单!$C$4:$C$4003,"&lt;="&amp;账期止),0))</f>
        <v/>
      </c>
      <c r="V677" s="27">
        <f>IF($A677="","",SUMIFS(出库单!$J$4:$J$4003,出库单!$D$4:$D$4003,$A677,出库单!$K$4:$K$4003,"退货给供应商",出库单!$U$4:$U$4003,"正常",出库单!$C$4:$C$4003,"&gt;="&amp;账期起,出库单!$C$4:$C$4003,"&lt;="&amp;账期止))</f>
        <v/>
      </c>
      <c r="W677" s="26">
        <f>IF($A677="","",ROUND(SUMIFS(出库单!$S$4:$S$4003,出库单!$D$4:$D$4003,$A677,出库单!$K$4:$K$4003,"退货给供应商",出库单!$U$4:$U$4003,"正常",出库单!$C$4:$C$4003,"&gt;="&amp;账期起,出库单!$C$4:$C$4003,"&lt;="&amp;账期止),0))</f>
        <v/>
      </c>
      <c r="X677" s="27">
        <f>IF($A677="","",ROUND(N($G677)+$I677+$L677+$N677-$P677-$R677-$T677-$V677,3))</f>
        <v/>
      </c>
      <c r="Y677" s="26">
        <f>IF($A677="","",ROUND(N($H677)+$J677+$M677+$O677-$Q677-$S677-$U677-$W677,0))</f>
        <v/>
      </c>
      <c r="Z677" s="24">
        <f>IF($A677="","",IF(COUNTIFS(入库单!$G$4:$G$2503,$A677,入库单!$Y$4:$Y$2503,"待补价")+COUNTIFS(入库单!$G$4:$G$2503,$A677,入库单!$Y$4:$Y$2503,"暂估")&gt;0,"不可信","可信"))</f>
        <v/>
      </c>
      <c r="AA677" s="24">
        <f>IF($A677="","",IF($X677&lt;-0.001,"※账面负库存，查一下是不是漏记入库",IF(AND(ROUND($X677,3)=0,ABS($Y677)&gt;1),"※数量已经是 0，金额还挂着 "&amp;TEXT($Y677,"#,##0")&amp;" 先令",IF(AND($X677&gt;0,$Y677&lt;=0,$K677=0),"※有数量没金额（这个物料一直没填过进价）",IF($Z677="不可信","△成本含待补价/暂估，毛利仅供参考","")))))</f>
        <v/>
      </c>
    </row>
    <row r="678">
      <c r="A678" s="24">
        <f>IF(物料档案!$A677="","",物料档案!$A677)</f>
        <v/>
      </c>
      <c r="B678" s="24">
        <f>IF($A678="","",IFERROR(VLOOKUP($A678,物料档案!$A$4:$P$1203,3,0),""))</f>
        <v/>
      </c>
      <c r="C678" s="24">
        <f>IF($A678="","",IFERROR(VLOOKUP($A678,物料档案!$A$4:$P$1203,4,0),""))</f>
        <v/>
      </c>
      <c r="D678" s="24">
        <f>IF($A678="","",IFERROR(VLOOKUP($A678,物料档案!$A$4:$P$1203,5,0),""))</f>
        <v/>
      </c>
      <c r="E678" s="24">
        <f>IF($A678="","",IFERROR(VLOOKUP($A678,物料档案!$A$4:$P$1203,2,0),""))</f>
        <v/>
      </c>
      <c r="F678" s="24">
        <f>IF($A678="","",IFERROR(VLOOKUP($A678,物料档案!$A$4:$P$1203,6,0),""))</f>
        <v/>
      </c>
      <c r="G678" s="23" t="n"/>
      <c r="H678" s="32" t="n"/>
      <c r="I678" s="27">
        <f>IF($A678="","",SUMIFS(入库单!$K$4:$K$2503,入库单!$G$4:$G$2503,$A678,入库单!$X$4:$X$2503,"采购入库",入库单!$Z$4:$Z$2503,"正常",入库单!$C$4:$C$2503,"&gt;="&amp;账期起,入库单!$C$4:$C$2503,"&lt;="&amp;账期止))</f>
        <v/>
      </c>
      <c r="J678" s="26">
        <f>IF($A678="","",SUMIFS(入库单!$V$4:$V$2503,入库单!$G$4:$G$2503,$A678,入库单!$X$4:$X$2503,"采购入库",入库单!$Z$4:$Z$2503,"正常",入库单!$C$4:$C$2503,"&gt;="&amp;账期起,入库单!$C$4:$C$2503,"&lt;="&amp;账期止))</f>
        <v/>
      </c>
      <c r="K678" s="26">
        <f>IF($A678="","",IFERROR(ROUND((N($H678)+N($J678))/(N($G678)+N($I678)),2),0))</f>
        <v/>
      </c>
      <c r="L678" s="27">
        <f>IF($A678="","",SUMIFS(入库单!$K$4:$K$2503,入库单!$G$4:$G$2503,$A678,入库单!$X$4:$X$2503,"盘盈",入库单!$Z$4:$Z$2503,"正常",入库单!$C$4:$C$2503,"&gt;="&amp;账期起,入库单!$C$4:$C$2503,"&lt;="&amp;账期止))</f>
        <v/>
      </c>
      <c r="M678" s="26">
        <f>IF($A678="","",ROUND($L678*$K678,0))</f>
        <v/>
      </c>
      <c r="N678" s="27">
        <f>IF($A678="","",SUMIFS(入库单!$K$4:$K$2503,入库单!$G$4:$G$2503,$A678,入库单!$X$4:$X$2503,"矿区退库",入库单!$Z$4:$Z$2503,"正常",入库单!$C$4:$C$2503,"&gt;="&amp;账期起,入库单!$C$4:$C$2503,"&lt;="&amp;账期止))</f>
        <v/>
      </c>
      <c r="O678" s="26">
        <f>IF($A678="","",ROUND($N678*$K678,0))</f>
        <v/>
      </c>
      <c r="P678" s="27">
        <f>IF($A678="","",SUMIFS(出库单!$J$4:$J$4003,出库单!$D$4:$D$4003,$A678,出库单!$K$4:$K$4003,"自用消耗",出库单!$U$4:$U$4003,"正常",出库单!$C$4:$C$4003,"&gt;="&amp;账期起,出库单!$C$4:$C$4003,"&lt;="&amp;账期止))</f>
        <v/>
      </c>
      <c r="Q678" s="26">
        <f>IF($A678="","",ROUND(SUMIFS(出库单!$S$4:$S$4003,出库单!$D$4:$D$4003,$A678,出库单!$K$4:$K$4003,"自用消耗",出库单!$U$4:$U$4003,"正常",出库单!$C$4:$C$4003,"&gt;="&amp;账期起,出库单!$C$4:$C$4003,"&lt;="&amp;账期止),0))</f>
        <v/>
      </c>
      <c r="R678" s="27">
        <f>IF($A678="","",SUMIFS(出库单!$J$4:$J$4003,出库单!$D$4:$D$4003,$A678,出库单!$K$4:$K$4003,"对外销售",出库单!$U$4:$U$4003,"正常",出库单!$C$4:$C$4003,"&gt;="&amp;账期起,出库单!$C$4:$C$4003,"&lt;="&amp;账期止))</f>
        <v/>
      </c>
      <c r="S678" s="26">
        <f>IF($A678="","",ROUND(SUMIFS(出库单!$S$4:$S$4003,出库单!$D$4:$D$4003,$A678,出库单!$K$4:$K$4003,"对外销售",出库单!$U$4:$U$4003,"正常",出库单!$C$4:$C$4003,"&gt;="&amp;账期起,出库单!$C$4:$C$4003,"&lt;="&amp;账期止),0))</f>
        <v/>
      </c>
      <c r="T678" s="27">
        <f>IF($A678="","",SUMIFS(出库单!$J$4:$J$4003,出库单!$D$4:$D$4003,$A678,出库单!$K$4:$K$4003,"盘亏",出库单!$U$4:$U$4003,"正常",出库单!$C$4:$C$4003,"&gt;="&amp;账期起,出库单!$C$4:$C$4003,"&lt;="&amp;账期止))</f>
        <v/>
      </c>
      <c r="U678" s="26">
        <f>IF($A678="","",ROUND(SUMIFS(出库单!$S$4:$S$4003,出库单!$D$4:$D$4003,$A678,出库单!$K$4:$K$4003,"盘亏",出库单!$U$4:$U$4003,"正常",出库单!$C$4:$C$4003,"&gt;="&amp;账期起,出库单!$C$4:$C$4003,"&lt;="&amp;账期止),0))</f>
        <v/>
      </c>
      <c r="V678" s="27">
        <f>IF($A678="","",SUMIFS(出库单!$J$4:$J$4003,出库单!$D$4:$D$4003,$A678,出库单!$K$4:$K$4003,"退货给供应商",出库单!$U$4:$U$4003,"正常",出库单!$C$4:$C$4003,"&gt;="&amp;账期起,出库单!$C$4:$C$4003,"&lt;="&amp;账期止))</f>
        <v/>
      </c>
      <c r="W678" s="26">
        <f>IF($A678="","",ROUND(SUMIFS(出库单!$S$4:$S$4003,出库单!$D$4:$D$4003,$A678,出库单!$K$4:$K$4003,"退货给供应商",出库单!$U$4:$U$4003,"正常",出库单!$C$4:$C$4003,"&gt;="&amp;账期起,出库单!$C$4:$C$4003,"&lt;="&amp;账期止),0))</f>
        <v/>
      </c>
      <c r="X678" s="27">
        <f>IF($A678="","",ROUND(N($G678)+$I678+$L678+$N678-$P678-$R678-$T678-$V678,3))</f>
        <v/>
      </c>
      <c r="Y678" s="26">
        <f>IF($A678="","",ROUND(N($H678)+$J678+$M678+$O678-$Q678-$S678-$U678-$W678,0))</f>
        <v/>
      </c>
      <c r="Z678" s="24">
        <f>IF($A678="","",IF(COUNTIFS(入库单!$G$4:$G$2503,$A678,入库单!$Y$4:$Y$2503,"待补价")+COUNTIFS(入库单!$G$4:$G$2503,$A678,入库单!$Y$4:$Y$2503,"暂估")&gt;0,"不可信","可信"))</f>
        <v/>
      </c>
      <c r="AA678" s="24">
        <f>IF($A678="","",IF($X678&lt;-0.001,"※账面负库存，查一下是不是漏记入库",IF(AND(ROUND($X678,3)=0,ABS($Y678)&gt;1),"※数量已经是 0，金额还挂着 "&amp;TEXT($Y678,"#,##0")&amp;" 先令",IF(AND($X678&gt;0,$Y678&lt;=0,$K678=0),"※有数量没金额（这个物料一直没填过进价）",IF($Z678="不可信","△成本含待补价/暂估，毛利仅供参考","")))))</f>
        <v/>
      </c>
    </row>
    <row r="679">
      <c r="A679" s="24">
        <f>IF(物料档案!$A678="","",物料档案!$A678)</f>
        <v/>
      </c>
      <c r="B679" s="24">
        <f>IF($A679="","",IFERROR(VLOOKUP($A679,物料档案!$A$4:$P$1203,3,0),""))</f>
        <v/>
      </c>
      <c r="C679" s="24">
        <f>IF($A679="","",IFERROR(VLOOKUP($A679,物料档案!$A$4:$P$1203,4,0),""))</f>
        <v/>
      </c>
      <c r="D679" s="24">
        <f>IF($A679="","",IFERROR(VLOOKUP($A679,物料档案!$A$4:$P$1203,5,0),""))</f>
        <v/>
      </c>
      <c r="E679" s="24">
        <f>IF($A679="","",IFERROR(VLOOKUP($A679,物料档案!$A$4:$P$1203,2,0),""))</f>
        <v/>
      </c>
      <c r="F679" s="24">
        <f>IF($A679="","",IFERROR(VLOOKUP($A679,物料档案!$A$4:$P$1203,6,0),""))</f>
        <v/>
      </c>
      <c r="G679" s="23" t="n"/>
      <c r="H679" s="32" t="n"/>
      <c r="I679" s="27">
        <f>IF($A679="","",SUMIFS(入库单!$K$4:$K$2503,入库单!$G$4:$G$2503,$A679,入库单!$X$4:$X$2503,"采购入库",入库单!$Z$4:$Z$2503,"正常",入库单!$C$4:$C$2503,"&gt;="&amp;账期起,入库单!$C$4:$C$2503,"&lt;="&amp;账期止))</f>
        <v/>
      </c>
      <c r="J679" s="26">
        <f>IF($A679="","",SUMIFS(入库单!$V$4:$V$2503,入库单!$G$4:$G$2503,$A679,入库单!$X$4:$X$2503,"采购入库",入库单!$Z$4:$Z$2503,"正常",入库单!$C$4:$C$2503,"&gt;="&amp;账期起,入库单!$C$4:$C$2503,"&lt;="&amp;账期止))</f>
        <v/>
      </c>
      <c r="K679" s="26">
        <f>IF($A679="","",IFERROR(ROUND((N($H679)+N($J679))/(N($G679)+N($I679)),2),0))</f>
        <v/>
      </c>
      <c r="L679" s="27">
        <f>IF($A679="","",SUMIFS(入库单!$K$4:$K$2503,入库单!$G$4:$G$2503,$A679,入库单!$X$4:$X$2503,"盘盈",入库单!$Z$4:$Z$2503,"正常",入库单!$C$4:$C$2503,"&gt;="&amp;账期起,入库单!$C$4:$C$2503,"&lt;="&amp;账期止))</f>
        <v/>
      </c>
      <c r="M679" s="26">
        <f>IF($A679="","",ROUND($L679*$K679,0))</f>
        <v/>
      </c>
      <c r="N679" s="27">
        <f>IF($A679="","",SUMIFS(入库单!$K$4:$K$2503,入库单!$G$4:$G$2503,$A679,入库单!$X$4:$X$2503,"矿区退库",入库单!$Z$4:$Z$2503,"正常",入库单!$C$4:$C$2503,"&gt;="&amp;账期起,入库单!$C$4:$C$2503,"&lt;="&amp;账期止))</f>
        <v/>
      </c>
      <c r="O679" s="26">
        <f>IF($A679="","",ROUND($N679*$K679,0))</f>
        <v/>
      </c>
      <c r="P679" s="27">
        <f>IF($A679="","",SUMIFS(出库单!$J$4:$J$4003,出库单!$D$4:$D$4003,$A679,出库单!$K$4:$K$4003,"自用消耗",出库单!$U$4:$U$4003,"正常",出库单!$C$4:$C$4003,"&gt;="&amp;账期起,出库单!$C$4:$C$4003,"&lt;="&amp;账期止))</f>
        <v/>
      </c>
      <c r="Q679" s="26">
        <f>IF($A679="","",ROUND(SUMIFS(出库单!$S$4:$S$4003,出库单!$D$4:$D$4003,$A679,出库单!$K$4:$K$4003,"自用消耗",出库单!$U$4:$U$4003,"正常",出库单!$C$4:$C$4003,"&gt;="&amp;账期起,出库单!$C$4:$C$4003,"&lt;="&amp;账期止),0))</f>
        <v/>
      </c>
      <c r="R679" s="27">
        <f>IF($A679="","",SUMIFS(出库单!$J$4:$J$4003,出库单!$D$4:$D$4003,$A679,出库单!$K$4:$K$4003,"对外销售",出库单!$U$4:$U$4003,"正常",出库单!$C$4:$C$4003,"&gt;="&amp;账期起,出库单!$C$4:$C$4003,"&lt;="&amp;账期止))</f>
        <v/>
      </c>
      <c r="S679" s="26">
        <f>IF($A679="","",ROUND(SUMIFS(出库单!$S$4:$S$4003,出库单!$D$4:$D$4003,$A679,出库单!$K$4:$K$4003,"对外销售",出库单!$U$4:$U$4003,"正常",出库单!$C$4:$C$4003,"&gt;="&amp;账期起,出库单!$C$4:$C$4003,"&lt;="&amp;账期止),0))</f>
        <v/>
      </c>
      <c r="T679" s="27">
        <f>IF($A679="","",SUMIFS(出库单!$J$4:$J$4003,出库单!$D$4:$D$4003,$A679,出库单!$K$4:$K$4003,"盘亏",出库单!$U$4:$U$4003,"正常",出库单!$C$4:$C$4003,"&gt;="&amp;账期起,出库单!$C$4:$C$4003,"&lt;="&amp;账期止))</f>
        <v/>
      </c>
      <c r="U679" s="26">
        <f>IF($A679="","",ROUND(SUMIFS(出库单!$S$4:$S$4003,出库单!$D$4:$D$4003,$A679,出库单!$K$4:$K$4003,"盘亏",出库单!$U$4:$U$4003,"正常",出库单!$C$4:$C$4003,"&gt;="&amp;账期起,出库单!$C$4:$C$4003,"&lt;="&amp;账期止),0))</f>
        <v/>
      </c>
      <c r="V679" s="27">
        <f>IF($A679="","",SUMIFS(出库单!$J$4:$J$4003,出库单!$D$4:$D$4003,$A679,出库单!$K$4:$K$4003,"退货给供应商",出库单!$U$4:$U$4003,"正常",出库单!$C$4:$C$4003,"&gt;="&amp;账期起,出库单!$C$4:$C$4003,"&lt;="&amp;账期止))</f>
        <v/>
      </c>
      <c r="W679" s="26">
        <f>IF($A679="","",ROUND(SUMIFS(出库单!$S$4:$S$4003,出库单!$D$4:$D$4003,$A679,出库单!$K$4:$K$4003,"退货给供应商",出库单!$U$4:$U$4003,"正常",出库单!$C$4:$C$4003,"&gt;="&amp;账期起,出库单!$C$4:$C$4003,"&lt;="&amp;账期止),0))</f>
        <v/>
      </c>
      <c r="X679" s="27">
        <f>IF($A679="","",ROUND(N($G679)+$I679+$L679+$N679-$P679-$R679-$T679-$V679,3))</f>
        <v/>
      </c>
      <c r="Y679" s="26">
        <f>IF($A679="","",ROUND(N($H679)+$J679+$M679+$O679-$Q679-$S679-$U679-$W679,0))</f>
        <v/>
      </c>
      <c r="Z679" s="24">
        <f>IF($A679="","",IF(COUNTIFS(入库单!$G$4:$G$2503,$A679,入库单!$Y$4:$Y$2503,"待补价")+COUNTIFS(入库单!$G$4:$G$2503,$A679,入库单!$Y$4:$Y$2503,"暂估")&gt;0,"不可信","可信"))</f>
        <v/>
      </c>
      <c r="AA679" s="24">
        <f>IF($A679="","",IF($X679&lt;-0.001,"※账面负库存，查一下是不是漏记入库",IF(AND(ROUND($X679,3)=0,ABS($Y679)&gt;1),"※数量已经是 0，金额还挂着 "&amp;TEXT($Y679,"#,##0")&amp;" 先令",IF(AND($X679&gt;0,$Y679&lt;=0,$K679=0),"※有数量没金额（这个物料一直没填过进价）",IF($Z679="不可信","△成本含待补价/暂估，毛利仅供参考","")))))</f>
        <v/>
      </c>
    </row>
    <row r="680">
      <c r="A680" s="24">
        <f>IF(物料档案!$A679="","",物料档案!$A679)</f>
        <v/>
      </c>
      <c r="B680" s="24">
        <f>IF($A680="","",IFERROR(VLOOKUP($A680,物料档案!$A$4:$P$1203,3,0),""))</f>
        <v/>
      </c>
      <c r="C680" s="24">
        <f>IF($A680="","",IFERROR(VLOOKUP($A680,物料档案!$A$4:$P$1203,4,0),""))</f>
        <v/>
      </c>
      <c r="D680" s="24">
        <f>IF($A680="","",IFERROR(VLOOKUP($A680,物料档案!$A$4:$P$1203,5,0),""))</f>
        <v/>
      </c>
      <c r="E680" s="24">
        <f>IF($A680="","",IFERROR(VLOOKUP($A680,物料档案!$A$4:$P$1203,2,0),""))</f>
        <v/>
      </c>
      <c r="F680" s="24">
        <f>IF($A680="","",IFERROR(VLOOKUP($A680,物料档案!$A$4:$P$1203,6,0),""))</f>
        <v/>
      </c>
      <c r="G680" s="23" t="n"/>
      <c r="H680" s="32" t="n"/>
      <c r="I680" s="27">
        <f>IF($A680="","",SUMIFS(入库单!$K$4:$K$2503,入库单!$G$4:$G$2503,$A680,入库单!$X$4:$X$2503,"采购入库",入库单!$Z$4:$Z$2503,"正常",入库单!$C$4:$C$2503,"&gt;="&amp;账期起,入库单!$C$4:$C$2503,"&lt;="&amp;账期止))</f>
        <v/>
      </c>
      <c r="J680" s="26">
        <f>IF($A680="","",SUMIFS(入库单!$V$4:$V$2503,入库单!$G$4:$G$2503,$A680,入库单!$X$4:$X$2503,"采购入库",入库单!$Z$4:$Z$2503,"正常",入库单!$C$4:$C$2503,"&gt;="&amp;账期起,入库单!$C$4:$C$2503,"&lt;="&amp;账期止))</f>
        <v/>
      </c>
      <c r="K680" s="26">
        <f>IF($A680="","",IFERROR(ROUND((N($H680)+N($J680))/(N($G680)+N($I680)),2),0))</f>
        <v/>
      </c>
      <c r="L680" s="27">
        <f>IF($A680="","",SUMIFS(入库单!$K$4:$K$2503,入库单!$G$4:$G$2503,$A680,入库单!$X$4:$X$2503,"盘盈",入库单!$Z$4:$Z$2503,"正常",入库单!$C$4:$C$2503,"&gt;="&amp;账期起,入库单!$C$4:$C$2503,"&lt;="&amp;账期止))</f>
        <v/>
      </c>
      <c r="M680" s="26">
        <f>IF($A680="","",ROUND($L680*$K680,0))</f>
        <v/>
      </c>
      <c r="N680" s="27">
        <f>IF($A680="","",SUMIFS(入库单!$K$4:$K$2503,入库单!$G$4:$G$2503,$A680,入库单!$X$4:$X$2503,"矿区退库",入库单!$Z$4:$Z$2503,"正常",入库单!$C$4:$C$2503,"&gt;="&amp;账期起,入库单!$C$4:$C$2503,"&lt;="&amp;账期止))</f>
        <v/>
      </c>
      <c r="O680" s="26">
        <f>IF($A680="","",ROUND($N680*$K680,0))</f>
        <v/>
      </c>
      <c r="P680" s="27">
        <f>IF($A680="","",SUMIFS(出库单!$J$4:$J$4003,出库单!$D$4:$D$4003,$A680,出库单!$K$4:$K$4003,"自用消耗",出库单!$U$4:$U$4003,"正常",出库单!$C$4:$C$4003,"&gt;="&amp;账期起,出库单!$C$4:$C$4003,"&lt;="&amp;账期止))</f>
        <v/>
      </c>
      <c r="Q680" s="26">
        <f>IF($A680="","",ROUND(SUMIFS(出库单!$S$4:$S$4003,出库单!$D$4:$D$4003,$A680,出库单!$K$4:$K$4003,"自用消耗",出库单!$U$4:$U$4003,"正常",出库单!$C$4:$C$4003,"&gt;="&amp;账期起,出库单!$C$4:$C$4003,"&lt;="&amp;账期止),0))</f>
        <v/>
      </c>
      <c r="R680" s="27">
        <f>IF($A680="","",SUMIFS(出库单!$J$4:$J$4003,出库单!$D$4:$D$4003,$A680,出库单!$K$4:$K$4003,"对外销售",出库单!$U$4:$U$4003,"正常",出库单!$C$4:$C$4003,"&gt;="&amp;账期起,出库单!$C$4:$C$4003,"&lt;="&amp;账期止))</f>
        <v/>
      </c>
      <c r="S680" s="26">
        <f>IF($A680="","",ROUND(SUMIFS(出库单!$S$4:$S$4003,出库单!$D$4:$D$4003,$A680,出库单!$K$4:$K$4003,"对外销售",出库单!$U$4:$U$4003,"正常",出库单!$C$4:$C$4003,"&gt;="&amp;账期起,出库单!$C$4:$C$4003,"&lt;="&amp;账期止),0))</f>
        <v/>
      </c>
      <c r="T680" s="27">
        <f>IF($A680="","",SUMIFS(出库单!$J$4:$J$4003,出库单!$D$4:$D$4003,$A680,出库单!$K$4:$K$4003,"盘亏",出库单!$U$4:$U$4003,"正常",出库单!$C$4:$C$4003,"&gt;="&amp;账期起,出库单!$C$4:$C$4003,"&lt;="&amp;账期止))</f>
        <v/>
      </c>
      <c r="U680" s="26">
        <f>IF($A680="","",ROUND(SUMIFS(出库单!$S$4:$S$4003,出库单!$D$4:$D$4003,$A680,出库单!$K$4:$K$4003,"盘亏",出库单!$U$4:$U$4003,"正常",出库单!$C$4:$C$4003,"&gt;="&amp;账期起,出库单!$C$4:$C$4003,"&lt;="&amp;账期止),0))</f>
        <v/>
      </c>
      <c r="V680" s="27">
        <f>IF($A680="","",SUMIFS(出库单!$J$4:$J$4003,出库单!$D$4:$D$4003,$A680,出库单!$K$4:$K$4003,"退货给供应商",出库单!$U$4:$U$4003,"正常",出库单!$C$4:$C$4003,"&gt;="&amp;账期起,出库单!$C$4:$C$4003,"&lt;="&amp;账期止))</f>
        <v/>
      </c>
      <c r="W680" s="26">
        <f>IF($A680="","",ROUND(SUMIFS(出库单!$S$4:$S$4003,出库单!$D$4:$D$4003,$A680,出库单!$K$4:$K$4003,"退货给供应商",出库单!$U$4:$U$4003,"正常",出库单!$C$4:$C$4003,"&gt;="&amp;账期起,出库单!$C$4:$C$4003,"&lt;="&amp;账期止),0))</f>
        <v/>
      </c>
      <c r="X680" s="27">
        <f>IF($A680="","",ROUND(N($G680)+$I680+$L680+$N680-$P680-$R680-$T680-$V680,3))</f>
        <v/>
      </c>
      <c r="Y680" s="26">
        <f>IF($A680="","",ROUND(N($H680)+$J680+$M680+$O680-$Q680-$S680-$U680-$W680,0))</f>
        <v/>
      </c>
      <c r="Z680" s="24">
        <f>IF($A680="","",IF(COUNTIFS(入库单!$G$4:$G$2503,$A680,入库单!$Y$4:$Y$2503,"待补价")+COUNTIFS(入库单!$G$4:$G$2503,$A680,入库单!$Y$4:$Y$2503,"暂估")&gt;0,"不可信","可信"))</f>
        <v/>
      </c>
      <c r="AA680" s="24">
        <f>IF($A680="","",IF($X680&lt;-0.001,"※账面负库存，查一下是不是漏记入库",IF(AND(ROUND($X680,3)=0,ABS($Y680)&gt;1),"※数量已经是 0，金额还挂着 "&amp;TEXT($Y680,"#,##0")&amp;" 先令",IF(AND($X680&gt;0,$Y680&lt;=0,$K680=0),"※有数量没金额（这个物料一直没填过进价）",IF($Z680="不可信","△成本含待补价/暂估，毛利仅供参考","")))))</f>
        <v/>
      </c>
    </row>
    <row r="681">
      <c r="A681" s="24">
        <f>IF(物料档案!$A680="","",物料档案!$A680)</f>
        <v/>
      </c>
      <c r="B681" s="24">
        <f>IF($A681="","",IFERROR(VLOOKUP($A681,物料档案!$A$4:$P$1203,3,0),""))</f>
        <v/>
      </c>
      <c r="C681" s="24">
        <f>IF($A681="","",IFERROR(VLOOKUP($A681,物料档案!$A$4:$P$1203,4,0),""))</f>
        <v/>
      </c>
      <c r="D681" s="24">
        <f>IF($A681="","",IFERROR(VLOOKUP($A681,物料档案!$A$4:$P$1203,5,0),""))</f>
        <v/>
      </c>
      <c r="E681" s="24">
        <f>IF($A681="","",IFERROR(VLOOKUP($A681,物料档案!$A$4:$P$1203,2,0),""))</f>
        <v/>
      </c>
      <c r="F681" s="24">
        <f>IF($A681="","",IFERROR(VLOOKUP($A681,物料档案!$A$4:$P$1203,6,0),""))</f>
        <v/>
      </c>
      <c r="G681" s="23" t="n"/>
      <c r="H681" s="32" t="n"/>
      <c r="I681" s="27">
        <f>IF($A681="","",SUMIFS(入库单!$K$4:$K$2503,入库单!$G$4:$G$2503,$A681,入库单!$X$4:$X$2503,"采购入库",入库单!$Z$4:$Z$2503,"正常",入库单!$C$4:$C$2503,"&gt;="&amp;账期起,入库单!$C$4:$C$2503,"&lt;="&amp;账期止))</f>
        <v/>
      </c>
      <c r="J681" s="26">
        <f>IF($A681="","",SUMIFS(入库单!$V$4:$V$2503,入库单!$G$4:$G$2503,$A681,入库单!$X$4:$X$2503,"采购入库",入库单!$Z$4:$Z$2503,"正常",入库单!$C$4:$C$2503,"&gt;="&amp;账期起,入库单!$C$4:$C$2503,"&lt;="&amp;账期止))</f>
        <v/>
      </c>
      <c r="K681" s="26">
        <f>IF($A681="","",IFERROR(ROUND((N($H681)+N($J681))/(N($G681)+N($I681)),2),0))</f>
        <v/>
      </c>
      <c r="L681" s="27">
        <f>IF($A681="","",SUMIFS(入库单!$K$4:$K$2503,入库单!$G$4:$G$2503,$A681,入库单!$X$4:$X$2503,"盘盈",入库单!$Z$4:$Z$2503,"正常",入库单!$C$4:$C$2503,"&gt;="&amp;账期起,入库单!$C$4:$C$2503,"&lt;="&amp;账期止))</f>
        <v/>
      </c>
      <c r="M681" s="26">
        <f>IF($A681="","",ROUND($L681*$K681,0))</f>
        <v/>
      </c>
      <c r="N681" s="27">
        <f>IF($A681="","",SUMIFS(入库单!$K$4:$K$2503,入库单!$G$4:$G$2503,$A681,入库单!$X$4:$X$2503,"矿区退库",入库单!$Z$4:$Z$2503,"正常",入库单!$C$4:$C$2503,"&gt;="&amp;账期起,入库单!$C$4:$C$2503,"&lt;="&amp;账期止))</f>
        <v/>
      </c>
      <c r="O681" s="26">
        <f>IF($A681="","",ROUND($N681*$K681,0))</f>
        <v/>
      </c>
      <c r="P681" s="27">
        <f>IF($A681="","",SUMIFS(出库单!$J$4:$J$4003,出库单!$D$4:$D$4003,$A681,出库单!$K$4:$K$4003,"自用消耗",出库单!$U$4:$U$4003,"正常",出库单!$C$4:$C$4003,"&gt;="&amp;账期起,出库单!$C$4:$C$4003,"&lt;="&amp;账期止))</f>
        <v/>
      </c>
      <c r="Q681" s="26">
        <f>IF($A681="","",ROUND(SUMIFS(出库单!$S$4:$S$4003,出库单!$D$4:$D$4003,$A681,出库单!$K$4:$K$4003,"自用消耗",出库单!$U$4:$U$4003,"正常",出库单!$C$4:$C$4003,"&gt;="&amp;账期起,出库单!$C$4:$C$4003,"&lt;="&amp;账期止),0))</f>
        <v/>
      </c>
      <c r="R681" s="27">
        <f>IF($A681="","",SUMIFS(出库单!$J$4:$J$4003,出库单!$D$4:$D$4003,$A681,出库单!$K$4:$K$4003,"对外销售",出库单!$U$4:$U$4003,"正常",出库单!$C$4:$C$4003,"&gt;="&amp;账期起,出库单!$C$4:$C$4003,"&lt;="&amp;账期止))</f>
        <v/>
      </c>
      <c r="S681" s="26">
        <f>IF($A681="","",ROUND(SUMIFS(出库单!$S$4:$S$4003,出库单!$D$4:$D$4003,$A681,出库单!$K$4:$K$4003,"对外销售",出库单!$U$4:$U$4003,"正常",出库单!$C$4:$C$4003,"&gt;="&amp;账期起,出库单!$C$4:$C$4003,"&lt;="&amp;账期止),0))</f>
        <v/>
      </c>
      <c r="T681" s="27">
        <f>IF($A681="","",SUMIFS(出库单!$J$4:$J$4003,出库单!$D$4:$D$4003,$A681,出库单!$K$4:$K$4003,"盘亏",出库单!$U$4:$U$4003,"正常",出库单!$C$4:$C$4003,"&gt;="&amp;账期起,出库单!$C$4:$C$4003,"&lt;="&amp;账期止))</f>
        <v/>
      </c>
      <c r="U681" s="26">
        <f>IF($A681="","",ROUND(SUMIFS(出库单!$S$4:$S$4003,出库单!$D$4:$D$4003,$A681,出库单!$K$4:$K$4003,"盘亏",出库单!$U$4:$U$4003,"正常",出库单!$C$4:$C$4003,"&gt;="&amp;账期起,出库单!$C$4:$C$4003,"&lt;="&amp;账期止),0))</f>
        <v/>
      </c>
      <c r="V681" s="27">
        <f>IF($A681="","",SUMIFS(出库单!$J$4:$J$4003,出库单!$D$4:$D$4003,$A681,出库单!$K$4:$K$4003,"退货给供应商",出库单!$U$4:$U$4003,"正常",出库单!$C$4:$C$4003,"&gt;="&amp;账期起,出库单!$C$4:$C$4003,"&lt;="&amp;账期止))</f>
        <v/>
      </c>
      <c r="W681" s="26">
        <f>IF($A681="","",ROUND(SUMIFS(出库单!$S$4:$S$4003,出库单!$D$4:$D$4003,$A681,出库单!$K$4:$K$4003,"退货给供应商",出库单!$U$4:$U$4003,"正常",出库单!$C$4:$C$4003,"&gt;="&amp;账期起,出库单!$C$4:$C$4003,"&lt;="&amp;账期止),0))</f>
        <v/>
      </c>
      <c r="X681" s="27">
        <f>IF($A681="","",ROUND(N($G681)+$I681+$L681+$N681-$P681-$R681-$T681-$V681,3))</f>
        <v/>
      </c>
      <c r="Y681" s="26">
        <f>IF($A681="","",ROUND(N($H681)+$J681+$M681+$O681-$Q681-$S681-$U681-$W681,0))</f>
        <v/>
      </c>
      <c r="Z681" s="24">
        <f>IF($A681="","",IF(COUNTIFS(入库单!$G$4:$G$2503,$A681,入库单!$Y$4:$Y$2503,"待补价")+COUNTIFS(入库单!$G$4:$G$2503,$A681,入库单!$Y$4:$Y$2503,"暂估")&gt;0,"不可信","可信"))</f>
        <v/>
      </c>
      <c r="AA681" s="24">
        <f>IF($A681="","",IF($X681&lt;-0.001,"※账面负库存，查一下是不是漏记入库",IF(AND(ROUND($X681,3)=0,ABS($Y681)&gt;1),"※数量已经是 0，金额还挂着 "&amp;TEXT($Y681,"#,##0")&amp;" 先令",IF(AND($X681&gt;0,$Y681&lt;=0,$K681=0),"※有数量没金额（这个物料一直没填过进价）",IF($Z681="不可信","△成本含待补价/暂估，毛利仅供参考","")))))</f>
        <v/>
      </c>
    </row>
    <row r="682">
      <c r="A682" s="24">
        <f>IF(物料档案!$A681="","",物料档案!$A681)</f>
        <v/>
      </c>
      <c r="B682" s="24">
        <f>IF($A682="","",IFERROR(VLOOKUP($A682,物料档案!$A$4:$P$1203,3,0),""))</f>
        <v/>
      </c>
      <c r="C682" s="24">
        <f>IF($A682="","",IFERROR(VLOOKUP($A682,物料档案!$A$4:$P$1203,4,0),""))</f>
        <v/>
      </c>
      <c r="D682" s="24">
        <f>IF($A682="","",IFERROR(VLOOKUP($A682,物料档案!$A$4:$P$1203,5,0),""))</f>
        <v/>
      </c>
      <c r="E682" s="24">
        <f>IF($A682="","",IFERROR(VLOOKUP($A682,物料档案!$A$4:$P$1203,2,0),""))</f>
        <v/>
      </c>
      <c r="F682" s="24">
        <f>IF($A682="","",IFERROR(VLOOKUP($A682,物料档案!$A$4:$P$1203,6,0),""))</f>
        <v/>
      </c>
      <c r="G682" s="23" t="n"/>
      <c r="H682" s="32" t="n"/>
      <c r="I682" s="27">
        <f>IF($A682="","",SUMIFS(入库单!$K$4:$K$2503,入库单!$G$4:$G$2503,$A682,入库单!$X$4:$X$2503,"采购入库",入库单!$Z$4:$Z$2503,"正常",入库单!$C$4:$C$2503,"&gt;="&amp;账期起,入库单!$C$4:$C$2503,"&lt;="&amp;账期止))</f>
        <v/>
      </c>
      <c r="J682" s="26">
        <f>IF($A682="","",SUMIFS(入库单!$V$4:$V$2503,入库单!$G$4:$G$2503,$A682,入库单!$X$4:$X$2503,"采购入库",入库单!$Z$4:$Z$2503,"正常",入库单!$C$4:$C$2503,"&gt;="&amp;账期起,入库单!$C$4:$C$2503,"&lt;="&amp;账期止))</f>
        <v/>
      </c>
      <c r="K682" s="26">
        <f>IF($A682="","",IFERROR(ROUND((N($H682)+N($J682))/(N($G682)+N($I682)),2),0))</f>
        <v/>
      </c>
      <c r="L682" s="27">
        <f>IF($A682="","",SUMIFS(入库单!$K$4:$K$2503,入库单!$G$4:$G$2503,$A682,入库单!$X$4:$X$2503,"盘盈",入库单!$Z$4:$Z$2503,"正常",入库单!$C$4:$C$2503,"&gt;="&amp;账期起,入库单!$C$4:$C$2503,"&lt;="&amp;账期止))</f>
        <v/>
      </c>
      <c r="M682" s="26">
        <f>IF($A682="","",ROUND($L682*$K682,0))</f>
        <v/>
      </c>
      <c r="N682" s="27">
        <f>IF($A682="","",SUMIFS(入库单!$K$4:$K$2503,入库单!$G$4:$G$2503,$A682,入库单!$X$4:$X$2503,"矿区退库",入库单!$Z$4:$Z$2503,"正常",入库单!$C$4:$C$2503,"&gt;="&amp;账期起,入库单!$C$4:$C$2503,"&lt;="&amp;账期止))</f>
        <v/>
      </c>
      <c r="O682" s="26">
        <f>IF($A682="","",ROUND($N682*$K682,0))</f>
        <v/>
      </c>
      <c r="P682" s="27">
        <f>IF($A682="","",SUMIFS(出库单!$J$4:$J$4003,出库单!$D$4:$D$4003,$A682,出库单!$K$4:$K$4003,"自用消耗",出库单!$U$4:$U$4003,"正常",出库单!$C$4:$C$4003,"&gt;="&amp;账期起,出库单!$C$4:$C$4003,"&lt;="&amp;账期止))</f>
        <v/>
      </c>
      <c r="Q682" s="26">
        <f>IF($A682="","",ROUND(SUMIFS(出库单!$S$4:$S$4003,出库单!$D$4:$D$4003,$A682,出库单!$K$4:$K$4003,"自用消耗",出库单!$U$4:$U$4003,"正常",出库单!$C$4:$C$4003,"&gt;="&amp;账期起,出库单!$C$4:$C$4003,"&lt;="&amp;账期止),0))</f>
        <v/>
      </c>
      <c r="R682" s="27">
        <f>IF($A682="","",SUMIFS(出库单!$J$4:$J$4003,出库单!$D$4:$D$4003,$A682,出库单!$K$4:$K$4003,"对外销售",出库单!$U$4:$U$4003,"正常",出库单!$C$4:$C$4003,"&gt;="&amp;账期起,出库单!$C$4:$C$4003,"&lt;="&amp;账期止))</f>
        <v/>
      </c>
      <c r="S682" s="26">
        <f>IF($A682="","",ROUND(SUMIFS(出库单!$S$4:$S$4003,出库单!$D$4:$D$4003,$A682,出库单!$K$4:$K$4003,"对外销售",出库单!$U$4:$U$4003,"正常",出库单!$C$4:$C$4003,"&gt;="&amp;账期起,出库单!$C$4:$C$4003,"&lt;="&amp;账期止),0))</f>
        <v/>
      </c>
      <c r="T682" s="27">
        <f>IF($A682="","",SUMIFS(出库单!$J$4:$J$4003,出库单!$D$4:$D$4003,$A682,出库单!$K$4:$K$4003,"盘亏",出库单!$U$4:$U$4003,"正常",出库单!$C$4:$C$4003,"&gt;="&amp;账期起,出库单!$C$4:$C$4003,"&lt;="&amp;账期止))</f>
        <v/>
      </c>
      <c r="U682" s="26">
        <f>IF($A682="","",ROUND(SUMIFS(出库单!$S$4:$S$4003,出库单!$D$4:$D$4003,$A682,出库单!$K$4:$K$4003,"盘亏",出库单!$U$4:$U$4003,"正常",出库单!$C$4:$C$4003,"&gt;="&amp;账期起,出库单!$C$4:$C$4003,"&lt;="&amp;账期止),0))</f>
        <v/>
      </c>
      <c r="V682" s="27">
        <f>IF($A682="","",SUMIFS(出库单!$J$4:$J$4003,出库单!$D$4:$D$4003,$A682,出库单!$K$4:$K$4003,"退货给供应商",出库单!$U$4:$U$4003,"正常",出库单!$C$4:$C$4003,"&gt;="&amp;账期起,出库单!$C$4:$C$4003,"&lt;="&amp;账期止))</f>
        <v/>
      </c>
      <c r="W682" s="26">
        <f>IF($A682="","",ROUND(SUMIFS(出库单!$S$4:$S$4003,出库单!$D$4:$D$4003,$A682,出库单!$K$4:$K$4003,"退货给供应商",出库单!$U$4:$U$4003,"正常",出库单!$C$4:$C$4003,"&gt;="&amp;账期起,出库单!$C$4:$C$4003,"&lt;="&amp;账期止),0))</f>
        <v/>
      </c>
      <c r="X682" s="27">
        <f>IF($A682="","",ROUND(N($G682)+$I682+$L682+$N682-$P682-$R682-$T682-$V682,3))</f>
        <v/>
      </c>
      <c r="Y682" s="26">
        <f>IF($A682="","",ROUND(N($H682)+$J682+$M682+$O682-$Q682-$S682-$U682-$W682,0))</f>
        <v/>
      </c>
      <c r="Z682" s="24">
        <f>IF($A682="","",IF(COUNTIFS(入库单!$G$4:$G$2503,$A682,入库单!$Y$4:$Y$2503,"待补价")+COUNTIFS(入库单!$G$4:$G$2503,$A682,入库单!$Y$4:$Y$2503,"暂估")&gt;0,"不可信","可信"))</f>
        <v/>
      </c>
      <c r="AA682" s="24">
        <f>IF($A682="","",IF($X682&lt;-0.001,"※账面负库存，查一下是不是漏记入库",IF(AND(ROUND($X682,3)=0,ABS($Y682)&gt;1),"※数量已经是 0，金额还挂着 "&amp;TEXT($Y682,"#,##0")&amp;" 先令",IF(AND($X682&gt;0,$Y682&lt;=0,$K682=0),"※有数量没金额（这个物料一直没填过进价）",IF($Z682="不可信","△成本含待补价/暂估，毛利仅供参考","")))))</f>
        <v/>
      </c>
    </row>
    <row r="683">
      <c r="A683" s="24">
        <f>IF(物料档案!$A682="","",物料档案!$A682)</f>
        <v/>
      </c>
      <c r="B683" s="24">
        <f>IF($A683="","",IFERROR(VLOOKUP($A683,物料档案!$A$4:$P$1203,3,0),""))</f>
        <v/>
      </c>
      <c r="C683" s="24">
        <f>IF($A683="","",IFERROR(VLOOKUP($A683,物料档案!$A$4:$P$1203,4,0),""))</f>
        <v/>
      </c>
      <c r="D683" s="24">
        <f>IF($A683="","",IFERROR(VLOOKUP($A683,物料档案!$A$4:$P$1203,5,0),""))</f>
        <v/>
      </c>
      <c r="E683" s="24">
        <f>IF($A683="","",IFERROR(VLOOKUP($A683,物料档案!$A$4:$P$1203,2,0),""))</f>
        <v/>
      </c>
      <c r="F683" s="24">
        <f>IF($A683="","",IFERROR(VLOOKUP($A683,物料档案!$A$4:$P$1203,6,0),""))</f>
        <v/>
      </c>
      <c r="G683" s="23" t="n"/>
      <c r="H683" s="32" t="n"/>
      <c r="I683" s="27">
        <f>IF($A683="","",SUMIFS(入库单!$K$4:$K$2503,入库单!$G$4:$G$2503,$A683,入库单!$X$4:$X$2503,"采购入库",入库单!$Z$4:$Z$2503,"正常",入库单!$C$4:$C$2503,"&gt;="&amp;账期起,入库单!$C$4:$C$2503,"&lt;="&amp;账期止))</f>
        <v/>
      </c>
      <c r="J683" s="26">
        <f>IF($A683="","",SUMIFS(入库单!$V$4:$V$2503,入库单!$G$4:$G$2503,$A683,入库单!$X$4:$X$2503,"采购入库",入库单!$Z$4:$Z$2503,"正常",入库单!$C$4:$C$2503,"&gt;="&amp;账期起,入库单!$C$4:$C$2503,"&lt;="&amp;账期止))</f>
        <v/>
      </c>
      <c r="K683" s="26">
        <f>IF($A683="","",IFERROR(ROUND((N($H683)+N($J683))/(N($G683)+N($I683)),2),0))</f>
        <v/>
      </c>
      <c r="L683" s="27">
        <f>IF($A683="","",SUMIFS(入库单!$K$4:$K$2503,入库单!$G$4:$G$2503,$A683,入库单!$X$4:$X$2503,"盘盈",入库单!$Z$4:$Z$2503,"正常",入库单!$C$4:$C$2503,"&gt;="&amp;账期起,入库单!$C$4:$C$2503,"&lt;="&amp;账期止))</f>
        <v/>
      </c>
      <c r="M683" s="26">
        <f>IF($A683="","",ROUND($L683*$K683,0))</f>
        <v/>
      </c>
      <c r="N683" s="27">
        <f>IF($A683="","",SUMIFS(入库单!$K$4:$K$2503,入库单!$G$4:$G$2503,$A683,入库单!$X$4:$X$2503,"矿区退库",入库单!$Z$4:$Z$2503,"正常",入库单!$C$4:$C$2503,"&gt;="&amp;账期起,入库单!$C$4:$C$2503,"&lt;="&amp;账期止))</f>
        <v/>
      </c>
      <c r="O683" s="26">
        <f>IF($A683="","",ROUND($N683*$K683,0))</f>
        <v/>
      </c>
      <c r="P683" s="27">
        <f>IF($A683="","",SUMIFS(出库单!$J$4:$J$4003,出库单!$D$4:$D$4003,$A683,出库单!$K$4:$K$4003,"自用消耗",出库单!$U$4:$U$4003,"正常",出库单!$C$4:$C$4003,"&gt;="&amp;账期起,出库单!$C$4:$C$4003,"&lt;="&amp;账期止))</f>
        <v/>
      </c>
      <c r="Q683" s="26">
        <f>IF($A683="","",ROUND(SUMIFS(出库单!$S$4:$S$4003,出库单!$D$4:$D$4003,$A683,出库单!$K$4:$K$4003,"自用消耗",出库单!$U$4:$U$4003,"正常",出库单!$C$4:$C$4003,"&gt;="&amp;账期起,出库单!$C$4:$C$4003,"&lt;="&amp;账期止),0))</f>
        <v/>
      </c>
      <c r="R683" s="27">
        <f>IF($A683="","",SUMIFS(出库单!$J$4:$J$4003,出库单!$D$4:$D$4003,$A683,出库单!$K$4:$K$4003,"对外销售",出库单!$U$4:$U$4003,"正常",出库单!$C$4:$C$4003,"&gt;="&amp;账期起,出库单!$C$4:$C$4003,"&lt;="&amp;账期止))</f>
        <v/>
      </c>
      <c r="S683" s="26">
        <f>IF($A683="","",ROUND(SUMIFS(出库单!$S$4:$S$4003,出库单!$D$4:$D$4003,$A683,出库单!$K$4:$K$4003,"对外销售",出库单!$U$4:$U$4003,"正常",出库单!$C$4:$C$4003,"&gt;="&amp;账期起,出库单!$C$4:$C$4003,"&lt;="&amp;账期止),0))</f>
        <v/>
      </c>
      <c r="T683" s="27">
        <f>IF($A683="","",SUMIFS(出库单!$J$4:$J$4003,出库单!$D$4:$D$4003,$A683,出库单!$K$4:$K$4003,"盘亏",出库单!$U$4:$U$4003,"正常",出库单!$C$4:$C$4003,"&gt;="&amp;账期起,出库单!$C$4:$C$4003,"&lt;="&amp;账期止))</f>
        <v/>
      </c>
      <c r="U683" s="26">
        <f>IF($A683="","",ROUND(SUMIFS(出库单!$S$4:$S$4003,出库单!$D$4:$D$4003,$A683,出库单!$K$4:$K$4003,"盘亏",出库单!$U$4:$U$4003,"正常",出库单!$C$4:$C$4003,"&gt;="&amp;账期起,出库单!$C$4:$C$4003,"&lt;="&amp;账期止),0))</f>
        <v/>
      </c>
      <c r="V683" s="27">
        <f>IF($A683="","",SUMIFS(出库单!$J$4:$J$4003,出库单!$D$4:$D$4003,$A683,出库单!$K$4:$K$4003,"退货给供应商",出库单!$U$4:$U$4003,"正常",出库单!$C$4:$C$4003,"&gt;="&amp;账期起,出库单!$C$4:$C$4003,"&lt;="&amp;账期止))</f>
        <v/>
      </c>
      <c r="W683" s="26">
        <f>IF($A683="","",ROUND(SUMIFS(出库单!$S$4:$S$4003,出库单!$D$4:$D$4003,$A683,出库单!$K$4:$K$4003,"退货给供应商",出库单!$U$4:$U$4003,"正常",出库单!$C$4:$C$4003,"&gt;="&amp;账期起,出库单!$C$4:$C$4003,"&lt;="&amp;账期止),0))</f>
        <v/>
      </c>
      <c r="X683" s="27">
        <f>IF($A683="","",ROUND(N($G683)+$I683+$L683+$N683-$P683-$R683-$T683-$V683,3))</f>
        <v/>
      </c>
      <c r="Y683" s="26">
        <f>IF($A683="","",ROUND(N($H683)+$J683+$M683+$O683-$Q683-$S683-$U683-$W683,0))</f>
        <v/>
      </c>
      <c r="Z683" s="24">
        <f>IF($A683="","",IF(COUNTIFS(入库单!$G$4:$G$2503,$A683,入库单!$Y$4:$Y$2503,"待补价")+COUNTIFS(入库单!$G$4:$G$2503,$A683,入库单!$Y$4:$Y$2503,"暂估")&gt;0,"不可信","可信"))</f>
        <v/>
      </c>
      <c r="AA683" s="24">
        <f>IF($A683="","",IF($X683&lt;-0.001,"※账面负库存，查一下是不是漏记入库",IF(AND(ROUND($X683,3)=0,ABS($Y683)&gt;1),"※数量已经是 0，金额还挂着 "&amp;TEXT($Y683,"#,##0")&amp;" 先令",IF(AND($X683&gt;0,$Y683&lt;=0,$K683=0),"※有数量没金额（这个物料一直没填过进价）",IF($Z683="不可信","△成本含待补价/暂估，毛利仅供参考","")))))</f>
        <v/>
      </c>
    </row>
    <row r="684">
      <c r="A684" s="24">
        <f>IF(物料档案!$A683="","",物料档案!$A683)</f>
        <v/>
      </c>
      <c r="B684" s="24">
        <f>IF($A684="","",IFERROR(VLOOKUP($A684,物料档案!$A$4:$P$1203,3,0),""))</f>
        <v/>
      </c>
      <c r="C684" s="24">
        <f>IF($A684="","",IFERROR(VLOOKUP($A684,物料档案!$A$4:$P$1203,4,0),""))</f>
        <v/>
      </c>
      <c r="D684" s="24">
        <f>IF($A684="","",IFERROR(VLOOKUP($A684,物料档案!$A$4:$P$1203,5,0),""))</f>
        <v/>
      </c>
      <c r="E684" s="24">
        <f>IF($A684="","",IFERROR(VLOOKUP($A684,物料档案!$A$4:$P$1203,2,0),""))</f>
        <v/>
      </c>
      <c r="F684" s="24">
        <f>IF($A684="","",IFERROR(VLOOKUP($A684,物料档案!$A$4:$P$1203,6,0),""))</f>
        <v/>
      </c>
      <c r="G684" s="23" t="n"/>
      <c r="H684" s="32" t="n"/>
      <c r="I684" s="27">
        <f>IF($A684="","",SUMIFS(入库单!$K$4:$K$2503,入库单!$G$4:$G$2503,$A684,入库单!$X$4:$X$2503,"采购入库",入库单!$Z$4:$Z$2503,"正常",入库单!$C$4:$C$2503,"&gt;="&amp;账期起,入库单!$C$4:$C$2503,"&lt;="&amp;账期止))</f>
        <v/>
      </c>
      <c r="J684" s="26">
        <f>IF($A684="","",SUMIFS(入库单!$V$4:$V$2503,入库单!$G$4:$G$2503,$A684,入库单!$X$4:$X$2503,"采购入库",入库单!$Z$4:$Z$2503,"正常",入库单!$C$4:$C$2503,"&gt;="&amp;账期起,入库单!$C$4:$C$2503,"&lt;="&amp;账期止))</f>
        <v/>
      </c>
      <c r="K684" s="26">
        <f>IF($A684="","",IFERROR(ROUND((N($H684)+N($J684))/(N($G684)+N($I684)),2),0))</f>
        <v/>
      </c>
      <c r="L684" s="27">
        <f>IF($A684="","",SUMIFS(入库单!$K$4:$K$2503,入库单!$G$4:$G$2503,$A684,入库单!$X$4:$X$2503,"盘盈",入库单!$Z$4:$Z$2503,"正常",入库单!$C$4:$C$2503,"&gt;="&amp;账期起,入库单!$C$4:$C$2503,"&lt;="&amp;账期止))</f>
        <v/>
      </c>
      <c r="M684" s="26">
        <f>IF($A684="","",ROUND($L684*$K684,0))</f>
        <v/>
      </c>
      <c r="N684" s="27">
        <f>IF($A684="","",SUMIFS(入库单!$K$4:$K$2503,入库单!$G$4:$G$2503,$A684,入库单!$X$4:$X$2503,"矿区退库",入库单!$Z$4:$Z$2503,"正常",入库单!$C$4:$C$2503,"&gt;="&amp;账期起,入库单!$C$4:$C$2503,"&lt;="&amp;账期止))</f>
        <v/>
      </c>
      <c r="O684" s="26">
        <f>IF($A684="","",ROUND($N684*$K684,0))</f>
        <v/>
      </c>
      <c r="P684" s="27">
        <f>IF($A684="","",SUMIFS(出库单!$J$4:$J$4003,出库单!$D$4:$D$4003,$A684,出库单!$K$4:$K$4003,"自用消耗",出库单!$U$4:$U$4003,"正常",出库单!$C$4:$C$4003,"&gt;="&amp;账期起,出库单!$C$4:$C$4003,"&lt;="&amp;账期止))</f>
        <v/>
      </c>
      <c r="Q684" s="26">
        <f>IF($A684="","",ROUND(SUMIFS(出库单!$S$4:$S$4003,出库单!$D$4:$D$4003,$A684,出库单!$K$4:$K$4003,"自用消耗",出库单!$U$4:$U$4003,"正常",出库单!$C$4:$C$4003,"&gt;="&amp;账期起,出库单!$C$4:$C$4003,"&lt;="&amp;账期止),0))</f>
        <v/>
      </c>
      <c r="R684" s="27">
        <f>IF($A684="","",SUMIFS(出库单!$J$4:$J$4003,出库单!$D$4:$D$4003,$A684,出库单!$K$4:$K$4003,"对外销售",出库单!$U$4:$U$4003,"正常",出库单!$C$4:$C$4003,"&gt;="&amp;账期起,出库单!$C$4:$C$4003,"&lt;="&amp;账期止))</f>
        <v/>
      </c>
      <c r="S684" s="26">
        <f>IF($A684="","",ROUND(SUMIFS(出库单!$S$4:$S$4003,出库单!$D$4:$D$4003,$A684,出库单!$K$4:$K$4003,"对外销售",出库单!$U$4:$U$4003,"正常",出库单!$C$4:$C$4003,"&gt;="&amp;账期起,出库单!$C$4:$C$4003,"&lt;="&amp;账期止),0))</f>
        <v/>
      </c>
      <c r="T684" s="27">
        <f>IF($A684="","",SUMIFS(出库单!$J$4:$J$4003,出库单!$D$4:$D$4003,$A684,出库单!$K$4:$K$4003,"盘亏",出库单!$U$4:$U$4003,"正常",出库单!$C$4:$C$4003,"&gt;="&amp;账期起,出库单!$C$4:$C$4003,"&lt;="&amp;账期止))</f>
        <v/>
      </c>
      <c r="U684" s="26">
        <f>IF($A684="","",ROUND(SUMIFS(出库单!$S$4:$S$4003,出库单!$D$4:$D$4003,$A684,出库单!$K$4:$K$4003,"盘亏",出库单!$U$4:$U$4003,"正常",出库单!$C$4:$C$4003,"&gt;="&amp;账期起,出库单!$C$4:$C$4003,"&lt;="&amp;账期止),0))</f>
        <v/>
      </c>
      <c r="V684" s="27">
        <f>IF($A684="","",SUMIFS(出库单!$J$4:$J$4003,出库单!$D$4:$D$4003,$A684,出库单!$K$4:$K$4003,"退货给供应商",出库单!$U$4:$U$4003,"正常",出库单!$C$4:$C$4003,"&gt;="&amp;账期起,出库单!$C$4:$C$4003,"&lt;="&amp;账期止))</f>
        <v/>
      </c>
      <c r="W684" s="26">
        <f>IF($A684="","",ROUND(SUMIFS(出库单!$S$4:$S$4003,出库单!$D$4:$D$4003,$A684,出库单!$K$4:$K$4003,"退货给供应商",出库单!$U$4:$U$4003,"正常",出库单!$C$4:$C$4003,"&gt;="&amp;账期起,出库单!$C$4:$C$4003,"&lt;="&amp;账期止),0))</f>
        <v/>
      </c>
      <c r="X684" s="27">
        <f>IF($A684="","",ROUND(N($G684)+$I684+$L684+$N684-$P684-$R684-$T684-$V684,3))</f>
        <v/>
      </c>
      <c r="Y684" s="26">
        <f>IF($A684="","",ROUND(N($H684)+$J684+$M684+$O684-$Q684-$S684-$U684-$W684,0))</f>
        <v/>
      </c>
      <c r="Z684" s="24">
        <f>IF($A684="","",IF(COUNTIFS(入库单!$G$4:$G$2503,$A684,入库单!$Y$4:$Y$2503,"待补价")+COUNTIFS(入库单!$G$4:$G$2503,$A684,入库单!$Y$4:$Y$2503,"暂估")&gt;0,"不可信","可信"))</f>
        <v/>
      </c>
      <c r="AA684" s="24">
        <f>IF($A684="","",IF($X684&lt;-0.001,"※账面负库存，查一下是不是漏记入库",IF(AND(ROUND($X684,3)=0,ABS($Y684)&gt;1),"※数量已经是 0，金额还挂着 "&amp;TEXT($Y684,"#,##0")&amp;" 先令",IF(AND($X684&gt;0,$Y684&lt;=0,$K684=0),"※有数量没金额（这个物料一直没填过进价）",IF($Z684="不可信","△成本含待补价/暂估，毛利仅供参考","")))))</f>
        <v/>
      </c>
    </row>
    <row r="685">
      <c r="A685" s="24">
        <f>IF(物料档案!$A684="","",物料档案!$A684)</f>
        <v/>
      </c>
      <c r="B685" s="24">
        <f>IF($A685="","",IFERROR(VLOOKUP($A685,物料档案!$A$4:$P$1203,3,0),""))</f>
        <v/>
      </c>
      <c r="C685" s="24">
        <f>IF($A685="","",IFERROR(VLOOKUP($A685,物料档案!$A$4:$P$1203,4,0),""))</f>
        <v/>
      </c>
      <c r="D685" s="24">
        <f>IF($A685="","",IFERROR(VLOOKUP($A685,物料档案!$A$4:$P$1203,5,0),""))</f>
        <v/>
      </c>
      <c r="E685" s="24">
        <f>IF($A685="","",IFERROR(VLOOKUP($A685,物料档案!$A$4:$P$1203,2,0),""))</f>
        <v/>
      </c>
      <c r="F685" s="24">
        <f>IF($A685="","",IFERROR(VLOOKUP($A685,物料档案!$A$4:$P$1203,6,0),""))</f>
        <v/>
      </c>
      <c r="G685" s="23" t="n"/>
      <c r="H685" s="32" t="n"/>
      <c r="I685" s="27">
        <f>IF($A685="","",SUMIFS(入库单!$K$4:$K$2503,入库单!$G$4:$G$2503,$A685,入库单!$X$4:$X$2503,"采购入库",入库单!$Z$4:$Z$2503,"正常",入库单!$C$4:$C$2503,"&gt;="&amp;账期起,入库单!$C$4:$C$2503,"&lt;="&amp;账期止))</f>
        <v/>
      </c>
      <c r="J685" s="26">
        <f>IF($A685="","",SUMIFS(入库单!$V$4:$V$2503,入库单!$G$4:$G$2503,$A685,入库单!$X$4:$X$2503,"采购入库",入库单!$Z$4:$Z$2503,"正常",入库单!$C$4:$C$2503,"&gt;="&amp;账期起,入库单!$C$4:$C$2503,"&lt;="&amp;账期止))</f>
        <v/>
      </c>
      <c r="K685" s="26">
        <f>IF($A685="","",IFERROR(ROUND((N($H685)+N($J685))/(N($G685)+N($I685)),2),0))</f>
        <v/>
      </c>
      <c r="L685" s="27">
        <f>IF($A685="","",SUMIFS(入库单!$K$4:$K$2503,入库单!$G$4:$G$2503,$A685,入库单!$X$4:$X$2503,"盘盈",入库单!$Z$4:$Z$2503,"正常",入库单!$C$4:$C$2503,"&gt;="&amp;账期起,入库单!$C$4:$C$2503,"&lt;="&amp;账期止))</f>
        <v/>
      </c>
      <c r="M685" s="26">
        <f>IF($A685="","",ROUND($L685*$K685,0))</f>
        <v/>
      </c>
      <c r="N685" s="27">
        <f>IF($A685="","",SUMIFS(入库单!$K$4:$K$2503,入库单!$G$4:$G$2503,$A685,入库单!$X$4:$X$2503,"矿区退库",入库单!$Z$4:$Z$2503,"正常",入库单!$C$4:$C$2503,"&gt;="&amp;账期起,入库单!$C$4:$C$2503,"&lt;="&amp;账期止))</f>
        <v/>
      </c>
      <c r="O685" s="26">
        <f>IF($A685="","",ROUND($N685*$K685,0))</f>
        <v/>
      </c>
      <c r="P685" s="27">
        <f>IF($A685="","",SUMIFS(出库单!$J$4:$J$4003,出库单!$D$4:$D$4003,$A685,出库单!$K$4:$K$4003,"自用消耗",出库单!$U$4:$U$4003,"正常",出库单!$C$4:$C$4003,"&gt;="&amp;账期起,出库单!$C$4:$C$4003,"&lt;="&amp;账期止))</f>
        <v/>
      </c>
      <c r="Q685" s="26">
        <f>IF($A685="","",ROUND(SUMIFS(出库单!$S$4:$S$4003,出库单!$D$4:$D$4003,$A685,出库单!$K$4:$K$4003,"自用消耗",出库单!$U$4:$U$4003,"正常",出库单!$C$4:$C$4003,"&gt;="&amp;账期起,出库单!$C$4:$C$4003,"&lt;="&amp;账期止),0))</f>
        <v/>
      </c>
      <c r="R685" s="27">
        <f>IF($A685="","",SUMIFS(出库单!$J$4:$J$4003,出库单!$D$4:$D$4003,$A685,出库单!$K$4:$K$4003,"对外销售",出库单!$U$4:$U$4003,"正常",出库单!$C$4:$C$4003,"&gt;="&amp;账期起,出库单!$C$4:$C$4003,"&lt;="&amp;账期止))</f>
        <v/>
      </c>
      <c r="S685" s="26">
        <f>IF($A685="","",ROUND(SUMIFS(出库单!$S$4:$S$4003,出库单!$D$4:$D$4003,$A685,出库单!$K$4:$K$4003,"对外销售",出库单!$U$4:$U$4003,"正常",出库单!$C$4:$C$4003,"&gt;="&amp;账期起,出库单!$C$4:$C$4003,"&lt;="&amp;账期止),0))</f>
        <v/>
      </c>
      <c r="T685" s="27">
        <f>IF($A685="","",SUMIFS(出库单!$J$4:$J$4003,出库单!$D$4:$D$4003,$A685,出库单!$K$4:$K$4003,"盘亏",出库单!$U$4:$U$4003,"正常",出库单!$C$4:$C$4003,"&gt;="&amp;账期起,出库单!$C$4:$C$4003,"&lt;="&amp;账期止))</f>
        <v/>
      </c>
      <c r="U685" s="26">
        <f>IF($A685="","",ROUND(SUMIFS(出库单!$S$4:$S$4003,出库单!$D$4:$D$4003,$A685,出库单!$K$4:$K$4003,"盘亏",出库单!$U$4:$U$4003,"正常",出库单!$C$4:$C$4003,"&gt;="&amp;账期起,出库单!$C$4:$C$4003,"&lt;="&amp;账期止),0))</f>
        <v/>
      </c>
      <c r="V685" s="27">
        <f>IF($A685="","",SUMIFS(出库单!$J$4:$J$4003,出库单!$D$4:$D$4003,$A685,出库单!$K$4:$K$4003,"退货给供应商",出库单!$U$4:$U$4003,"正常",出库单!$C$4:$C$4003,"&gt;="&amp;账期起,出库单!$C$4:$C$4003,"&lt;="&amp;账期止))</f>
        <v/>
      </c>
      <c r="W685" s="26">
        <f>IF($A685="","",ROUND(SUMIFS(出库单!$S$4:$S$4003,出库单!$D$4:$D$4003,$A685,出库单!$K$4:$K$4003,"退货给供应商",出库单!$U$4:$U$4003,"正常",出库单!$C$4:$C$4003,"&gt;="&amp;账期起,出库单!$C$4:$C$4003,"&lt;="&amp;账期止),0))</f>
        <v/>
      </c>
      <c r="X685" s="27">
        <f>IF($A685="","",ROUND(N($G685)+$I685+$L685+$N685-$P685-$R685-$T685-$V685,3))</f>
        <v/>
      </c>
      <c r="Y685" s="26">
        <f>IF($A685="","",ROUND(N($H685)+$J685+$M685+$O685-$Q685-$S685-$U685-$W685,0))</f>
        <v/>
      </c>
      <c r="Z685" s="24">
        <f>IF($A685="","",IF(COUNTIFS(入库单!$G$4:$G$2503,$A685,入库单!$Y$4:$Y$2503,"待补价")+COUNTIFS(入库单!$G$4:$G$2503,$A685,入库单!$Y$4:$Y$2503,"暂估")&gt;0,"不可信","可信"))</f>
        <v/>
      </c>
      <c r="AA685" s="24">
        <f>IF($A685="","",IF($X685&lt;-0.001,"※账面负库存，查一下是不是漏记入库",IF(AND(ROUND($X685,3)=0,ABS($Y685)&gt;1),"※数量已经是 0，金额还挂着 "&amp;TEXT($Y685,"#,##0")&amp;" 先令",IF(AND($X685&gt;0,$Y685&lt;=0,$K685=0),"※有数量没金额（这个物料一直没填过进价）",IF($Z685="不可信","△成本含待补价/暂估，毛利仅供参考","")))))</f>
        <v/>
      </c>
    </row>
    <row r="686">
      <c r="A686" s="24">
        <f>IF(物料档案!$A685="","",物料档案!$A685)</f>
        <v/>
      </c>
      <c r="B686" s="24">
        <f>IF($A686="","",IFERROR(VLOOKUP($A686,物料档案!$A$4:$P$1203,3,0),""))</f>
        <v/>
      </c>
      <c r="C686" s="24">
        <f>IF($A686="","",IFERROR(VLOOKUP($A686,物料档案!$A$4:$P$1203,4,0),""))</f>
        <v/>
      </c>
      <c r="D686" s="24">
        <f>IF($A686="","",IFERROR(VLOOKUP($A686,物料档案!$A$4:$P$1203,5,0),""))</f>
        <v/>
      </c>
      <c r="E686" s="24">
        <f>IF($A686="","",IFERROR(VLOOKUP($A686,物料档案!$A$4:$P$1203,2,0),""))</f>
        <v/>
      </c>
      <c r="F686" s="24">
        <f>IF($A686="","",IFERROR(VLOOKUP($A686,物料档案!$A$4:$P$1203,6,0),""))</f>
        <v/>
      </c>
      <c r="G686" s="23" t="n"/>
      <c r="H686" s="32" t="n"/>
      <c r="I686" s="27">
        <f>IF($A686="","",SUMIFS(入库单!$K$4:$K$2503,入库单!$G$4:$G$2503,$A686,入库单!$X$4:$X$2503,"采购入库",入库单!$Z$4:$Z$2503,"正常",入库单!$C$4:$C$2503,"&gt;="&amp;账期起,入库单!$C$4:$C$2503,"&lt;="&amp;账期止))</f>
        <v/>
      </c>
      <c r="J686" s="26">
        <f>IF($A686="","",SUMIFS(入库单!$V$4:$V$2503,入库单!$G$4:$G$2503,$A686,入库单!$X$4:$X$2503,"采购入库",入库单!$Z$4:$Z$2503,"正常",入库单!$C$4:$C$2503,"&gt;="&amp;账期起,入库单!$C$4:$C$2503,"&lt;="&amp;账期止))</f>
        <v/>
      </c>
      <c r="K686" s="26">
        <f>IF($A686="","",IFERROR(ROUND((N($H686)+N($J686))/(N($G686)+N($I686)),2),0))</f>
        <v/>
      </c>
      <c r="L686" s="27">
        <f>IF($A686="","",SUMIFS(入库单!$K$4:$K$2503,入库单!$G$4:$G$2503,$A686,入库单!$X$4:$X$2503,"盘盈",入库单!$Z$4:$Z$2503,"正常",入库单!$C$4:$C$2503,"&gt;="&amp;账期起,入库单!$C$4:$C$2503,"&lt;="&amp;账期止))</f>
        <v/>
      </c>
      <c r="M686" s="26">
        <f>IF($A686="","",ROUND($L686*$K686,0))</f>
        <v/>
      </c>
      <c r="N686" s="27">
        <f>IF($A686="","",SUMIFS(入库单!$K$4:$K$2503,入库单!$G$4:$G$2503,$A686,入库单!$X$4:$X$2503,"矿区退库",入库单!$Z$4:$Z$2503,"正常",入库单!$C$4:$C$2503,"&gt;="&amp;账期起,入库单!$C$4:$C$2503,"&lt;="&amp;账期止))</f>
        <v/>
      </c>
      <c r="O686" s="26">
        <f>IF($A686="","",ROUND($N686*$K686,0))</f>
        <v/>
      </c>
      <c r="P686" s="27">
        <f>IF($A686="","",SUMIFS(出库单!$J$4:$J$4003,出库单!$D$4:$D$4003,$A686,出库单!$K$4:$K$4003,"自用消耗",出库单!$U$4:$U$4003,"正常",出库单!$C$4:$C$4003,"&gt;="&amp;账期起,出库单!$C$4:$C$4003,"&lt;="&amp;账期止))</f>
        <v/>
      </c>
      <c r="Q686" s="26">
        <f>IF($A686="","",ROUND(SUMIFS(出库单!$S$4:$S$4003,出库单!$D$4:$D$4003,$A686,出库单!$K$4:$K$4003,"自用消耗",出库单!$U$4:$U$4003,"正常",出库单!$C$4:$C$4003,"&gt;="&amp;账期起,出库单!$C$4:$C$4003,"&lt;="&amp;账期止),0))</f>
        <v/>
      </c>
      <c r="R686" s="27">
        <f>IF($A686="","",SUMIFS(出库单!$J$4:$J$4003,出库单!$D$4:$D$4003,$A686,出库单!$K$4:$K$4003,"对外销售",出库单!$U$4:$U$4003,"正常",出库单!$C$4:$C$4003,"&gt;="&amp;账期起,出库单!$C$4:$C$4003,"&lt;="&amp;账期止))</f>
        <v/>
      </c>
      <c r="S686" s="26">
        <f>IF($A686="","",ROUND(SUMIFS(出库单!$S$4:$S$4003,出库单!$D$4:$D$4003,$A686,出库单!$K$4:$K$4003,"对外销售",出库单!$U$4:$U$4003,"正常",出库单!$C$4:$C$4003,"&gt;="&amp;账期起,出库单!$C$4:$C$4003,"&lt;="&amp;账期止),0))</f>
        <v/>
      </c>
      <c r="T686" s="27">
        <f>IF($A686="","",SUMIFS(出库单!$J$4:$J$4003,出库单!$D$4:$D$4003,$A686,出库单!$K$4:$K$4003,"盘亏",出库单!$U$4:$U$4003,"正常",出库单!$C$4:$C$4003,"&gt;="&amp;账期起,出库单!$C$4:$C$4003,"&lt;="&amp;账期止))</f>
        <v/>
      </c>
      <c r="U686" s="26">
        <f>IF($A686="","",ROUND(SUMIFS(出库单!$S$4:$S$4003,出库单!$D$4:$D$4003,$A686,出库单!$K$4:$K$4003,"盘亏",出库单!$U$4:$U$4003,"正常",出库单!$C$4:$C$4003,"&gt;="&amp;账期起,出库单!$C$4:$C$4003,"&lt;="&amp;账期止),0))</f>
        <v/>
      </c>
      <c r="V686" s="27">
        <f>IF($A686="","",SUMIFS(出库单!$J$4:$J$4003,出库单!$D$4:$D$4003,$A686,出库单!$K$4:$K$4003,"退货给供应商",出库单!$U$4:$U$4003,"正常",出库单!$C$4:$C$4003,"&gt;="&amp;账期起,出库单!$C$4:$C$4003,"&lt;="&amp;账期止))</f>
        <v/>
      </c>
      <c r="W686" s="26">
        <f>IF($A686="","",ROUND(SUMIFS(出库单!$S$4:$S$4003,出库单!$D$4:$D$4003,$A686,出库单!$K$4:$K$4003,"退货给供应商",出库单!$U$4:$U$4003,"正常",出库单!$C$4:$C$4003,"&gt;="&amp;账期起,出库单!$C$4:$C$4003,"&lt;="&amp;账期止),0))</f>
        <v/>
      </c>
      <c r="X686" s="27">
        <f>IF($A686="","",ROUND(N($G686)+$I686+$L686+$N686-$P686-$R686-$T686-$V686,3))</f>
        <v/>
      </c>
      <c r="Y686" s="26">
        <f>IF($A686="","",ROUND(N($H686)+$J686+$M686+$O686-$Q686-$S686-$U686-$W686,0))</f>
        <v/>
      </c>
      <c r="Z686" s="24">
        <f>IF($A686="","",IF(COUNTIFS(入库单!$G$4:$G$2503,$A686,入库单!$Y$4:$Y$2503,"待补价")+COUNTIFS(入库单!$G$4:$G$2503,$A686,入库单!$Y$4:$Y$2503,"暂估")&gt;0,"不可信","可信"))</f>
        <v/>
      </c>
      <c r="AA686" s="24">
        <f>IF($A686="","",IF($X686&lt;-0.001,"※账面负库存，查一下是不是漏记入库",IF(AND(ROUND($X686,3)=0,ABS($Y686)&gt;1),"※数量已经是 0，金额还挂着 "&amp;TEXT($Y686,"#,##0")&amp;" 先令",IF(AND($X686&gt;0,$Y686&lt;=0,$K686=0),"※有数量没金额（这个物料一直没填过进价）",IF($Z686="不可信","△成本含待补价/暂估，毛利仅供参考","")))))</f>
        <v/>
      </c>
    </row>
    <row r="687">
      <c r="A687" s="24">
        <f>IF(物料档案!$A686="","",物料档案!$A686)</f>
        <v/>
      </c>
      <c r="B687" s="24">
        <f>IF($A687="","",IFERROR(VLOOKUP($A687,物料档案!$A$4:$P$1203,3,0),""))</f>
        <v/>
      </c>
      <c r="C687" s="24">
        <f>IF($A687="","",IFERROR(VLOOKUP($A687,物料档案!$A$4:$P$1203,4,0),""))</f>
        <v/>
      </c>
      <c r="D687" s="24">
        <f>IF($A687="","",IFERROR(VLOOKUP($A687,物料档案!$A$4:$P$1203,5,0),""))</f>
        <v/>
      </c>
      <c r="E687" s="24">
        <f>IF($A687="","",IFERROR(VLOOKUP($A687,物料档案!$A$4:$P$1203,2,0),""))</f>
        <v/>
      </c>
      <c r="F687" s="24">
        <f>IF($A687="","",IFERROR(VLOOKUP($A687,物料档案!$A$4:$P$1203,6,0),""))</f>
        <v/>
      </c>
      <c r="G687" s="23" t="n"/>
      <c r="H687" s="32" t="n"/>
      <c r="I687" s="27">
        <f>IF($A687="","",SUMIFS(入库单!$K$4:$K$2503,入库单!$G$4:$G$2503,$A687,入库单!$X$4:$X$2503,"采购入库",入库单!$Z$4:$Z$2503,"正常",入库单!$C$4:$C$2503,"&gt;="&amp;账期起,入库单!$C$4:$C$2503,"&lt;="&amp;账期止))</f>
        <v/>
      </c>
      <c r="J687" s="26">
        <f>IF($A687="","",SUMIFS(入库单!$V$4:$V$2503,入库单!$G$4:$G$2503,$A687,入库单!$X$4:$X$2503,"采购入库",入库单!$Z$4:$Z$2503,"正常",入库单!$C$4:$C$2503,"&gt;="&amp;账期起,入库单!$C$4:$C$2503,"&lt;="&amp;账期止))</f>
        <v/>
      </c>
      <c r="K687" s="26">
        <f>IF($A687="","",IFERROR(ROUND((N($H687)+N($J687))/(N($G687)+N($I687)),2),0))</f>
        <v/>
      </c>
      <c r="L687" s="27">
        <f>IF($A687="","",SUMIFS(入库单!$K$4:$K$2503,入库单!$G$4:$G$2503,$A687,入库单!$X$4:$X$2503,"盘盈",入库单!$Z$4:$Z$2503,"正常",入库单!$C$4:$C$2503,"&gt;="&amp;账期起,入库单!$C$4:$C$2503,"&lt;="&amp;账期止))</f>
        <v/>
      </c>
      <c r="M687" s="26">
        <f>IF($A687="","",ROUND($L687*$K687,0))</f>
        <v/>
      </c>
      <c r="N687" s="27">
        <f>IF($A687="","",SUMIFS(入库单!$K$4:$K$2503,入库单!$G$4:$G$2503,$A687,入库单!$X$4:$X$2503,"矿区退库",入库单!$Z$4:$Z$2503,"正常",入库单!$C$4:$C$2503,"&gt;="&amp;账期起,入库单!$C$4:$C$2503,"&lt;="&amp;账期止))</f>
        <v/>
      </c>
      <c r="O687" s="26">
        <f>IF($A687="","",ROUND($N687*$K687,0))</f>
        <v/>
      </c>
      <c r="P687" s="27">
        <f>IF($A687="","",SUMIFS(出库单!$J$4:$J$4003,出库单!$D$4:$D$4003,$A687,出库单!$K$4:$K$4003,"自用消耗",出库单!$U$4:$U$4003,"正常",出库单!$C$4:$C$4003,"&gt;="&amp;账期起,出库单!$C$4:$C$4003,"&lt;="&amp;账期止))</f>
        <v/>
      </c>
      <c r="Q687" s="26">
        <f>IF($A687="","",ROUND(SUMIFS(出库单!$S$4:$S$4003,出库单!$D$4:$D$4003,$A687,出库单!$K$4:$K$4003,"自用消耗",出库单!$U$4:$U$4003,"正常",出库单!$C$4:$C$4003,"&gt;="&amp;账期起,出库单!$C$4:$C$4003,"&lt;="&amp;账期止),0))</f>
        <v/>
      </c>
      <c r="R687" s="27">
        <f>IF($A687="","",SUMIFS(出库单!$J$4:$J$4003,出库单!$D$4:$D$4003,$A687,出库单!$K$4:$K$4003,"对外销售",出库单!$U$4:$U$4003,"正常",出库单!$C$4:$C$4003,"&gt;="&amp;账期起,出库单!$C$4:$C$4003,"&lt;="&amp;账期止))</f>
        <v/>
      </c>
      <c r="S687" s="26">
        <f>IF($A687="","",ROUND(SUMIFS(出库单!$S$4:$S$4003,出库单!$D$4:$D$4003,$A687,出库单!$K$4:$K$4003,"对外销售",出库单!$U$4:$U$4003,"正常",出库单!$C$4:$C$4003,"&gt;="&amp;账期起,出库单!$C$4:$C$4003,"&lt;="&amp;账期止),0))</f>
        <v/>
      </c>
      <c r="T687" s="27">
        <f>IF($A687="","",SUMIFS(出库单!$J$4:$J$4003,出库单!$D$4:$D$4003,$A687,出库单!$K$4:$K$4003,"盘亏",出库单!$U$4:$U$4003,"正常",出库单!$C$4:$C$4003,"&gt;="&amp;账期起,出库单!$C$4:$C$4003,"&lt;="&amp;账期止))</f>
        <v/>
      </c>
      <c r="U687" s="26">
        <f>IF($A687="","",ROUND(SUMIFS(出库单!$S$4:$S$4003,出库单!$D$4:$D$4003,$A687,出库单!$K$4:$K$4003,"盘亏",出库单!$U$4:$U$4003,"正常",出库单!$C$4:$C$4003,"&gt;="&amp;账期起,出库单!$C$4:$C$4003,"&lt;="&amp;账期止),0))</f>
        <v/>
      </c>
      <c r="V687" s="27">
        <f>IF($A687="","",SUMIFS(出库单!$J$4:$J$4003,出库单!$D$4:$D$4003,$A687,出库单!$K$4:$K$4003,"退货给供应商",出库单!$U$4:$U$4003,"正常",出库单!$C$4:$C$4003,"&gt;="&amp;账期起,出库单!$C$4:$C$4003,"&lt;="&amp;账期止))</f>
        <v/>
      </c>
      <c r="W687" s="26">
        <f>IF($A687="","",ROUND(SUMIFS(出库单!$S$4:$S$4003,出库单!$D$4:$D$4003,$A687,出库单!$K$4:$K$4003,"退货给供应商",出库单!$U$4:$U$4003,"正常",出库单!$C$4:$C$4003,"&gt;="&amp;账期起,出库单!$C$4:$C$4003,"&lt;="&amp;账期止),0))</f>
        <v/>
      </c>
      <c r="X687" s="27">
        <f>IF($A687="","",ROUND(N($G687)+$I687+$L687+$N687-$P687-$R687-$T687-$V687,3))</f>
        <v/>
      </c>
      <c r="Y687" s="26">
        <f>IF($A687="","",ROUND(N($H687)+$J687+$M687+$O687-$Q687-$S687-$U687-$W687,0))</f>
        <v/>
      </c>
      <c r="Z687" s="24">
        <f>IF($A687="","",IF(COUNTIFS(入库单!$G$4:$G$2503,$A687,入库单!$Y$4:$Y$2503,"待补价")+COUNTIFS(入库单!$G$4:$G$2503,$A687,入库单!$Y$4:$Y$2503,"暂估")&gt;0,"不可信","可信"))</f>
        <v/>
      </c>
      <c r="AA687" s="24">
        <f>IF($A687="","",IF($X687&lt;-0.001,"※账面负库存，查一下是不是漏记入库",IF(AND(ROUND($X687,3)=0,ABS($Y687)&gt;1),"※数量已经是 0，金额还挂着 "&amp;TEXT($Y687,"#,##0")&amp;" 先令",IF(AND($X687&gt;0,$Y687&lt;=0,$K687=0),"※有数量没金额（这个物料一直没填过进价）",IF($Z687="不可信","△成本含待补价/暂估，毛利仅供参考","")))))</f>
        <v/>
      </c>
    </row>
    <row r="688">
      <c r="A688" s="24">
        <f>IF(物料档案!$A687="","",物料档案!$A687)</f>
        <v/>
      </c>
      <c r="B688" s="24">
        <f>IF($A688="","",IFERROR(VLOOKUP($A688,物料档案!$A$4:$P$1203,3,0),""))</f>
        <v/>
      </c>
      <c r="C688" s="24">
        <f>IF($A688="","",IFERROR(VLOOKUP($A688,物料档案!$A$4:$P$1203,4,0),""))</f>
        <v/>
      </c>
      <c r="D688" s="24">
        <f>IF($A688="","",IFERROR(VLOOKUP($A688,物料档案!$A$4:$P$1203,5,0),""))</f>
        <v/>
      </c>
      <c r="E688" s="24">
        <f>IF($A688="","",IFERROR(VLOOKUP($A688,物料档案!$A$4:$P$1203,2,0),""))</f>
        <v/>
      </c>
      <c r="F688" s="24">
        <f>IF($A688="","",IFERROR(VLOOKUP($A688,物料档案!$A$4:$P$1203,6,0),""))</f>
        <v/>
      </c>
      <c r="G688" s="23" t="n"/>
      <c r="H688" s="32" t="n"/>
      <c r="I688" s="27">
        <f>IF($A688="","",SUMIFS(入库单!$K$4:$K$2503,入库单!$G$4:$G$2503,$A688,入库单!$X$4:$X$2503,"采购入库",入库单!$Z$4:$Z$2503,"正常",入库单!$C$4:$C$2503,"&gt;="&amp;账期起,入库单!$C$4:$C$2503,"&lt;="&amp;账期止))</f>
        <v/>
      </c>
      <c r="J688" s="26">
        <f>IF($A688="","",SUMIFS(入库单!$V$4:$V$2503,入库单!$G$4:$G$2503,$A688,入库单!$X$4:$X$2503,"采购入库",入库单!$Z$4:$Z$2503,"正常",入库单!$C$4:$C$2503,"&gt;="&amp;账期起,入库单!$C$4:$C$2503,"&lt;="&amp;账期止))</f>
        <v/>
      </c>
      <c r="K688" s="26">
        <f>IF($A688="","",IFERROR(ROUND((N($H688)+N($J688))/(N($G688)+N($I688)),2),0))</f>
        <v/>
      </c>
      <c r="L688" s="27">
        <f>IF($A688="","",SUMIFS(入库单!$K$4:$K$2503,入库单!$G$4:$G$2503,$A688,入库单!$X$4:$X$2503,"盘盈",入库单!$Z$4:$Z$2503,"正常",入库单!$C$4:$C$2503,"&gt;="&amp;账期起,入库单!$C$4:$C$2503,"&lt;="&amp;账期止))</f>
        <v/>
      </c>
      <c r="M688" s="26">
        <f>IF($A688="","",ROUND($L688*$K688,0))</f>
        <v/>
      </c>
      <c r="N688" s="27">
        <f>IF($A688="","",SUMIFS(入库单!$K$4:$K$2503,入库单!$G$4:$G$2503,$A688,入库单!$X$4:$X$2503,"矿区退库",入库单!$Z$4:$Z$2503,"正常",入库单!$C$4:$C$2503,"&gt;="&amp;账期起,入库单!$C$4:$C$2503,"&lt;="&amp;账期止))</f>
        <v/>
      </c>
      <c r="O688" s="26">
        <f>IF($A688="","",ROUND($N688*$K688,0))</f>
        <v/>
      </c>
      <c r="P688" s="27">
        <f>IF($A688="","",SUMIFS(出库单!$J$4:$J$4003,出库单!$D$4:$D$4003,$A688,出库单!$K$4:$K$4003,"自用消耗",出库单!$U$4:$U$4003,"正常",出库单!$C$4:$C$4003,"&gt;="&amp;账期起,出库单!$C$4:$C$4003,"&lt;="&amp;账期止))</f>
        <v/>
      </c>
      <c r="Q688" s="26">
        <f>IF($A688="","",ROUND(SUMIFS(出库单!$S$4:$S$4003,出库单!$D$4:$D$4003,$A688,出库单!$K$4:$K$4003,"自用消耗",出库单!$U$4:$U$4003,"正常",出库单!$C$4:$C$4003,"&gt;="&amp;账期起,出库单!$C$4:$C$4003,"&lt;="&amp;账期止),0))</f>
        <v/>
      </c>
      <c r="R688" s="27">
        <f>IF($A688="","",SUMIFS(出库单!$J$4:$J$4003,出库单!$D$4:$D$4003,$A688,出库单!$K$4:$K$4003,"对外销售",出库单!$U$4:$U$4003,"正常",出库单!$C$4:$C$4003,"&gt;="&amp;账期起,出库单!$C$4:$C$4003,"&lt;="&amp;账期止))</f>
        <v/>
      </c>
      <c r="S688" s="26">
        <f>IF($A688="","",ROUND(SUMIFS(出库单!$S$4:$S$4003,出库单!$D$4:$D$4003,$A688,出库单!$K$4:$K$4003,"对外销售",出库单!$U$4:$U$4003,"正常",出库单!$C$4:$C$4003,"&gt;="&amp;账期起,出库单!$C$4:$C$4003,"&lt;="&amp;账期止),0))</f>
        <v/>
      </c>
      <c r="T688" s="27">
        <f>IF($A688="","",SUMIFS(出库单!$J$4:$J$4003,出库单!$D$4:$D$4003,$A688,出库单!$K$4:$K$4003,"盘亏",出库单!$U$4:$U$4003,"正常",出库单!$C$4:$C$4003,"&gt;="&amp;账期起,出库单!$C$4:$C$4003,"&lt;="&amp;账期止))</f>
        <v/>
      </c>
      <c r="U688" s="26">
        <f>IF($A688="","",ROUND(SUMIFS(出库单!$S$4:$S$4003,出库单!$D$4:$D$4003,$A688,出库单!$K$4:$K$4003,"盘亏",出库单!$U$4:$U$4003,"正常",出库单!$C$4:$C$4003,"&gt;="&amp;账期起,出库单!$C$4:$C$4003,"&lt;="&amp;账期止),0))</f>
        <v/>
      </c>
      <c r="V688" s="27">
        <f>IF($A688="","",SUMIFS(出库单!$J$4:$J$4003,出库单!$D$4:$D$4003,$A688,出库单!$K$4:$K$4003,"退货给供应商",出库单!$U$4:$U$4003,"正常",出库单!$C$4:$C$4003,"&gt;="&amp;账期起,出库单!$C$4:$C$4003,"&lt;="&amp;账期止))</f>
        <v/>
      </c>
      <c r="W688" s="26">
        <f>IF($A688="","",ROUND(SUMIFS(出库单!$S$4:$S$4003,出库单!$D$4:$D$4003,$A688,出库单!$K$4:$K$4003,"退货给供应商",出库单!$U$4:$U$4003,"正常",出库单!$C$4:$C$4003,"&gt;="&amp;账期起,出库单!$C$4:$C$4003,"&lt;="&amp;账期止),0))</f>
        <v/>
      </c>
      <c r="X688" s="27">
        <f>IF($A688="","",ROUND(N($G688)+$I688+$L688+$N688-$P688-$R688-$T688-$V688,3))</f>
        <v/>
      </c>
      <c r="Y688" s="26">
        <f>IF($A688="","",ROUND(N($H688)+$J688+$M688+$O688-$Q688-$S688-$U688-$W688,0))</f>
        <v/>
      </c>
      <c r="Z688" s="24">
        <f>IF($A688="","",IF(COUNTIFS(入库单!$G$4:$G$2503,$A688,入库单!$Y$4:$Y$2503,"待补价")+COUNTIFS(入库单!$G$4:$G$2503,$A688,入库单!$Y$4:$Y$2503,"暂估")&gt;0,"不可信","可信"))</f>
        <v/>
      </c>
      <c r="AA688" s="24">
        <f>IF($A688="","",IF($X688&lt;-0.001,"※账面负库存，查一下是不是漏记入库",IF(AND(ROUND($X688,3)=0,ABS($Y688)&gt;1),"※数量已经是 0，金额还挂着 "&amp;TEXT($Y688,"#,##0")&amp;" 先令",IF(AND($X688&gt;0,$Y688&lt;=0,$K688=0),"※有数量没金额（这个物料一直没填过进价）",IF($Z688="不可信","△成本含待补价/暂估，毛利仅供参考","")))))</f>
        <v/>
      </c>
    </row>
    <row r="689">
      <c r="A689" s="24">
        <f>IF(物料档案!$A688="","",物料档案!$A688)</f>
        <v/>
      </c>
      <c r="B689" s="24">
        <f>IF($A689="","",IFERROR(VLOOKUP($A689,物料档案!$A$4:$P$1203,3,0),""))</f>
        <v/>
      </c>
      <c r="C689" s="24">
        <f>IF($A689="","",IFERROR(VLOOKUP($A689,物料档案!$A$4:$P$1203,4,0),""))</f>
        <v/>
      </c>
      <c r="D689" s="24">
        <f>IF($A689="","",IFERROR(VLOOKUP($A689,物料档案!$A$4:$P$1203,5,0),""))</f>
        <v/>
      </c>
      <c r="E689" s="24">
        <f>IF($A689="","",IFERROR(VLOOKUP($A689,物料档案!$A$4:$P$1203,2,0),""))</f>
        <v/>
      </c>
      <c r="F689" s="24">
        <f>IF($A689="","",IFERROR(VLOOKUP($A689,物料档案!$A$4:$P$1203,6,0),""))</f>
        <v/>
      </c>
      <c r="G689" s="23" t="n"/>
      <c r="H689" s="32" t="n"/>
      <c r="I689" s="27">
        <f>IF($A689="","",SUMIFS(入库单!$K$4:$K$2503,入库单!$G$4:$G$2503,$A689,入库单!$X$4:$X$2503,"采购入库",入库单!$Z$4:$Z$2503,"正常",入库单!$C$4:$C$2503,"&gt;="&amp;账期起,入库单!$C$4:$C$2503,"&lt;="&amp;账期止))</f>
        <v/>
      </c>
      <c r="J689" s="26">
        <f>IF($A689="","",SUMIFS(入库单!$V$4:$V$2503,入库单!$G$4:$G$2503,$A689,入库单!$X$4:$X$2503,"采购入库",入库单!$Z$4:$Z$2503,"正常",入库单!$C$4:$C$2503,"&gt;="&amp;账期起,入库单!$C$4:$C$2503,"&lt;="&amp;账期止))</f>
        <v/>
      </c>
      <c r="K689" s="26">
        <f>IF($A689="","",IFERROR(ROUND((N($H689)+N($J689))/(N($G689)+N($I689)),2),0))</f>
        <v/>
      </c>
      <c r="L689" s="27">
        <f>IF($A689="","",SUMIFS(入库单!$K$4:$K$2503,入库单!$G$4:$G$2503,$A689,入库单!$X$4:$X$2503,"盘盈",入库单!$Z$4:$Z$2503,"正常",入库单!$C$4:$C$2503,"&gt;="&amp;账期起,入库单!$C$4:$C$2503,"&lt;="&amp;账期止))</f>
        <v/>
      </c>
      <c r="M689" s="26">
        <f>IF($A689="","",ROUND($L689*$K689,0))</f>
        <v/>
      </c>
      <c r="N689" s="27">
        <f>IF($A689="","",SUMIFS(入库单!$K$4:$K$2503,入库单!$G$4:$G$2503,$A689,入库单!$X$4:$X$2503,"矿区退库",入库单!$Z$4:$Z$2503,"正常",入库单!$C$4:$C$2503,"&gt;="&amp;账期起,入库单!$C$4:$C$2503,"&lt;="&amp;账期止))</f>
        <v/>
      </c>
      <c r="O689" s="26">
        <f>IF($A689="","",ROUND($N689*$K689,0))</f>
        <v/>
      </c>
      <c r="P689" s="27">
        <f>IF($A689="","",SUMIFS(出库单!$J$4:$J$4003,出库单!$D$4:$D$4003,$A689,出库单!$K$4:$K$4003,"自用消耗",出库单!$U$4:$U$4003,"正常",出库单!$C$4:$C$4003,"&gt;="&amp;账期起,出库单!$C$4:$C$4003,"&lt;="&amp;账期止))</f>
        <v/>
      </c>
      <c r="Q689" s="26">
        <f>IF($A689="","",ROUND(SUMIFS(出库单!$S$4:$S$4003,出库单!$D$4:$D$4003,$A689,出库单!$K$4:$K$4003,"自用消耗",出库单!$U$4:$U$4003,"正常",出库单!$C$4:$C$4003,"&gt;="&amp;账期起,出库单!$C$4:$C$4003,"&lt;="&amp;账期止),0))</f>
        <v/>
      </c>
      <c r="R689" s="27">
        <f>IF($A689="","",SUMIFS(出库单!$J$4:$J$4003,出库单!$D$4:$D$4003,$A689,出库单!$K$4:$K$4003,"对外销售",出库单!$U$4:$U$4003,"正常",出库单!$C$4:$C$4003,"&gt;="&amp;账期起,出库单!$C$4:$C$4003,"&lt;="&amp;账期止))</f>
        <v/>
      </c>
      <c r="S689" s="26">
        <f>IF($A689="","",ROUND(SUMIFS(出库单!$S$4:$S$4003,出库单!$D$4:$D$4003,$A689,出库单!$K$4:$K$4003,"对外销售",出库单!$U$4:$U$4003,"正常",出库单!$C$4:$C$4003,"&gt;="&amp;账期起,出库单!$C$4:$C$4003,"&lt;="&amp;账期止),0))</f>
        <v/>
      </c>
      <c r="T689" s="27">
        <f>IF($A689="","",SUMIFS(出库单!$J$4:$J$4003,出库单!$D$4:$D$4003,$A689,出库单!$K$4:$K$4003,"盘亏",出库单!$U$4:$U$4003,"正常",出库单!$C$4:$C$4003,"&gt;="&amp;账期起,出库单!$C$4:$C$4003,"&lt;="&amp;账期止))</f>
        <v/>
      </c>
      <c r="U689" s="26">
        <f>IF($A689="","",ROUND(SUMIFS(出库单!$S$4:$S$4003,出库单!$D$4:$D$4003,$A689,出库单!$K$4:$K$4003,"盘亏",出库单!$U$4:$U$4003,"正常",出库单!$C$4:$C$4003,"&gt;="&amp;账期起,出库单!$C$4:$C$4003,"&lt;="&amp;账期止),0))</f>
        <v/>
      </c>
      <c r="V689" s="27">
        <f>IF($A689="","",SUMIFS(出库单!$J$4:$J$4003,出库单!$D$4:$D$4003,$A689,出库单!$K$4:$K$4003,"退货给供应商",出库单!$U$4:$U$4003,"正常",出库单!$C$4:$C$4003,"&gt;="&amp;账期起,出库单!$C$4:$C$4003,"&lt;="&amp;账期止))</f>
        <v/>
      </c>
      <c r="W689" s="26">
        <f>IF($A689="","",ROUND(SUMIFS(出库单!$S$4:$S$4003,出库单!$D$4:$D$4003,$A689,出库单!$K$4:$K$4003,"退货给供应商",出库单!$U$4:$U$4003,"正常",出库单!$C$4:$C$4003,"&gt;="&amp;账期起,出库单!$C$4:$C$4003,"&lt;="&amp;账期止),0))</f>
        <v/>
      </c>
      <c r="X689" s="27">
        <f>IF($A689="","",ROUND(N($G689)+$I689+$L689+$N689-$P689-$R689-$T689-$V689,3))</f>
        <v/>
      </c>
      <c r="Y689" s="26">
        <f>IF($A689="","",ROUND(N($H689)+$J689+$M689+$O689-$Q689-$S689-$U689-$W689,0))</f>
        <v/>
      </c>
      <c r="Z689" s="24">
        <f>IF($A689="","",IF(COUNTIFS(入库单!$G$4:$G$2503,$A689,入库单!$Y$4:$Y$2503,"待补价")+COUNTIFS(入库单!$G$4:$G$2503,$A689,入库单!$Y$4:$Y$2503,"暂估")&gt;0,"不可信","可信"))</f>
        <v/>
      </c>
      <c r="AA689" s="24">
        <f>IF($A689="","",IF($X689&lt;-0.001,"※账面负库存，查一下是不是漏记入库",IF(AND(ROUND($X689,3)=0,ABS($Y689)&gt;1),"※数量已经是 0，金额还挂着 "&amp;TEXT($Y689,"#,##0")&amp;" 先令",IF(AND($X689&gt;0,$Y689&lt;=0,$K689=0),"※有数量没金额（这个物料一直没填过进价）",IF($Z689="不可信","△成本含待补价/暂估，毛利仅供参考","")))))</f>
        <v/>
      </c>
    </row>
    <row r="690">
      <c r="A690" s="24">
        <f>IF(物料档案!$A689="","",物料档案!$A689)</f>
        <v/>
      </c>
      <c r="B690" s="24">
        <f>IF($A690="","",IFERROR(VLOOKUP($A690,物料档案!$A$4:$P$1203,3,0),""))</f>
        <v/>
      </c>
      <c r="C690" s="24">
        <f>IF($A690="","",IFERROR(VLOOKUP($A690,物料档案!$A$4:$P$1203,4,0),""))</f>
        <v/>
      </c>
      <c r="D690" s="24">
        <f>IF($A690="","",IFERROR(VLOOKUP($A690,物料档案!$A$4:$P$1203,5,0),""))</f>
        <v/>
      </c>
      <c r="E690" s="24">
        <f>IF($A690="","",IFERROR(VLOOKUP($A690,物料档案!$A$4:$P$1203,2,0),""))</f>
        <v/>
      </c>
      <c r="F690" s="24">
        <f>IF($A690="","",IFERROR(VLOOKUP($A690,物料档案!$A$4:$P$1203,6,0),""))</f>
        <v/>
      </c>
      <c r="G690" s="23" t="n"/>
      <c r="H690" s="32" t="n"/>
      <c r="I690" s="27">
        <f>IF($A690="","",SUMIFS(入库单!$K$4:$K$2503,入库单!$G$4:$G$2503,$A690,入库单!$X$4:$X$2503,"采购入库",入库单!$Z$4:$Z$2503,"正常",入库单!$C$4:$C$2503,"&gt;="&amp;账期起,入库单!$C$4:$C$2503,"&lt;="&amp;账期止))</f>
        <v/>
      </c>
      <c r="J690" s="26">
        <f>IF($A690="","",SUMIFS(入库单!$V$4:$V$2503,入库单!$G$4:$G$2503,$A690,入库单!$X$4:$X$2503,"采购入库",入库单!$Z$4:$Z$2503,"正常",入库单!$C$4:$C$2503,"&gt;="&amp;账期起,入库单!$C$4:$C$2503,"&lt;="&amp;账期止))</f>
        <v/>
      </c>
      <c r="K690" s="26">
        <f>IF($A690="","",IFERROR(ROUND((N($H690)+N($J690))/(N($G690)+N($I690)),2),0))</f>
        <v/>
      </c>
      <c r="L690" s="27">
        <f>IF($A690="","",SUMIFS(入库单!$K$4:$K$2503,入库单!$G$4:$G$2503,$A690,入库单!$X$4:$X$2503,"盘盈",入库单!$Z$4:$Z$2503,"正常",入库单!$C$4:$C$2503,"&gt;="&amp;账期起,入库单!$C$4:$C$2503,"&lt;="&amp;账期止))</f>
        <v/>
      </c>
      <c r="M690" s="26">
        <f>IF($A690="","",ROUND($L690*$K690,0))</f>
        <v/>
      </c>
      <c r="N690" s="27">
        <f>IF($A690="","",SUMIFS(入库单!$K$4:$K$2503,入库单!$G$4:$G$2503,$A690,入库单!$X$4:$X$2503,"矿区退库",入库单!$Z$4:$Z$2503,"正常",入库单!$C$4:$C$2503,"&gt;="&amp;账期起,入库单!$C$4:$C$2503,"&lt;="&amp;账期止))</f>
        <v/>
      </c>
      <c r="O690" s="26">
        <f>IF($A690="","",ROUND($N690*$K690,0))</f>
        <v/>
      </c>
      <c r="P690" s="27">
        <f>IF($A690="","",SUMIFS(出库单!$J$4:$J$4003,出库单!$D$4:$D$4003,$A690,出库单!$K$4:$K$4003,"自用消耗",出库单!$U$4:$U$4003,"正常",出库单!$C$4:$C$4003,"&gt;="&amp;账期起,出库单!$C$4:$C$4003,"&lt;="&amp;账期止))</f>
        <v/>
      </c>
      <c r="Q690" s="26">
        <f>IF($A690="","",ROUND(SUMIFS(出库单!$S$4:$S$4003,出库单!$D$4:$D$4003,$A690,出库单!$K$4:$K$4003,"自用消耗",出库单!$U$4:$U$4003,"正常",出库单!$C$4:$C$4003,"&gt;="&amp;账期起,出库单!$C$4:$C$4003,"&lt;="&amp;账期止),0))</f>
        <v/>
      </c>
      <c r="R690" s="27">
        <f>IF($A690="","",SUMIFS(出库单!$J$4:$J$4003,出库单!$D$4:$D$4003,$A690,出库单!$K$4:$K$4003,"对外销售",出库单!$U$4:$U$4003,"正常",出库单!$C$4:$C$4003,"&gt;="&amp;账期起,出库单!$C$4:$C$4003,"&lt;="&amp;账期止))</f>
        <v/>
      </c>
      <c r="S690" s="26">
        <f>IF($A690="","",ROUND(SUMIFS(出库单!$S$4:$S$4003,出库单!$D$4:$D$4003,$A690,出库单!$K$4:$K$4003,"对外销售",出库单!$U$4:$U$4003,"正常",出库单!$C$4:$C$4003,"&gt;="&amp;账期起,出库单!$C$4:$C$4003,"&lt;="&amp;账期止),0))</f>
        <v/>
      </c>
      <c r="T690" s="27">
        <f>IF($A690="","",SUMIFS(出库单!$J$4:$J$4003,出库单!$D$4:$D$4003,$A690,出库单!$K$4:$K$4003,"盘亏",出库单!$U$4:$U$4003,"正常",出库单!$C$4:$C$4003,"&gt;="&amp;账期起,出库单!$C$4:$C$4003,"&lt;="&amp;账期止))</f>
        <v/>
      </c>
      <c r="U690" s="26">
        <f>IF($A690="","",ROUND(SUMIFS(出库单!$S$4:$S$4003,出库单!$D$4:$D$4003,$A690,出库单!$K$4:$K$4003,"盘亏",出库单!$U$4:$U$4003,"正常",出库单!$C$4:$C$4003,"&gt;="&amp;账期起,出库单!$C$4:$C$4003,"&lt;="&amp;账期止),0))</f>
        <v/>
      </c>
      <c r="V690" s="27">
        <f>IF($A690="","",SUMIFS(出库单!$J$4:$J$4003,出库单!$D$4:$D$4003,$A690,出库单!$K$4:$K$4003,"退货给供应商",出库单!$U$4:$U$4003,"正常",出库单!$C$4:$C$4003,"&gt;="&amp;账期起,出库单!$C$4:$C$4003,"&lt;="&amp;账期止))</f>
        <v/>
      </c>
      <c r="W690" s="26">
        <f>IF($A690="","",ROUND(SUMIFS(出库单!$S$4:$S$4003,出库单!$D$4:$D$4003,$A690,出库单!$K$4:$K$4003,"退货给供应商",出库单!$U$4:$U$4003,"正常",出库单!$C$4:$C$4003,"&gt;="&amp;账期起,出库单!$C$4:$C$4003,"&lt;="&amp;账期止),0))</f>
        <v/>
      </c>
      <c r="X690" s="27">
        <f>IF($A690="","",ROUND(N($G690)+$I690+$L690+$N690-$P690-$R690-$T690-$V690,3))</f>
        <v/>
      </c>
      <c r="Y690" s="26">
        <f>IF($A690="","",ROUND(N($H690)+$J690+$M690+$O690-$Q690-$S690-$U690-$W690,0))</f>
        <v/>
      </c>
      <c r="Z690" s="24">
        <f>IF($A690="","",IF(COUNTIFS(入库单!$G$4:$G$2503,$A690,入库单!$Y$4:$Y$2503,"待补价")+COUNTIFS(入库单!$G$4:$G$2503,$A690,入库单!$Y$4:$Y$2503,"暂估")&gt;0,"不可信","可信"))</f>
        <v/>
      </c>
      <c r="AA690" s="24">
        <f>IF($A690="","",IF($X690&lt;-0.001,"※账面负库存，查一下是不是漏记入库",IF(AND(ROUND($X690,3)=0,ABS($Y690)&gt;1),"※数量已经是 0，金额还挂着 "&amp;TEXT($Y690,"#,##0")&amp;" 先令",IF(AND($X690&gt;0,$Y690&lt;=0,$K690=0),"※有数量没金额（这个物料一直没填过进价）",IF($Z690="不可信","△成本含待补价/暂估，毛利仅供参考","")))))</f>
        <v/>
      </c>
    </row>
    <row r="691">
      <c r="A691" s="24">
        <f>IF(物料档案!$A690="","",物料档案!$A690)</f>
        <v/>
      </c>
      <c r="B691" s="24">
        <f>IF($A691="","",IFERROR(VLOOKUP($A691,物料档案!$A$4:$P$1203,3,0),""))</f>
        <v/>
      </c>
      <c r="C691" s="24">
        <f>IF($A691="","",IFERROR(VLOOKUP($A691,物料档案!$A$4:$P$1203,4,0),""))</f>
        <v/>
      </c>
      <c r="D691" s="24">
        <f>IF($A691="","",IFERROR(VLOOKUP($A691,物料档案!$A$4:$P$1203,5,0),""))</f>
        <v/>
      </c>
      <c r="E691" s="24">
        <f>IF($A691="","",IFERROR(VLOOKUP($A691,物料档案!$A$4:$P$1203,2,0),""))</f>
        <v/>
      </c>
      <c r="F691" s="24">
        <f>IF($A691="","",IFERROR(VLOOKUP($A691,物料档案!$A$4:$P$1203,6,0),""))</f>
        <v/>
      </c>
      <c r="G691" s="23" t="n"/>
      <c r="H691" s="32" t="n"/>
      <c r="I691" s="27">
        <f>IF($A691="","",SUMIFS(入库单!$K$4:$K$2503,入库单!$G$4:$G$2503,$A691,入库单!$X$4:$X$2503,"采购入库",入库单!$Z$4:$Z$2503,"正常",入库单!$C$4:$C$2503,"&gt;="&amp;账期起,入库单!$C$4:$C$2503,"&lt;="&amp;账期止))</f>
        <v/>
      </c>
      <c r="J691" s="26">
        <f>IF($A691="","",SUMIFS(入库单!$V$4:$V$2503,入库单!$G$4:$G$2503,$A691,入库单!$X$4:$X$2503,"采购入库",入库单!$Z$4:$Z$2503,"正常",入库单!$C$4:$C$2503,"&gt;="&amp;账期起,入库单!$C$4:$C$2503,"&lt;="&amp;账期止))</f>
        <v/>
      </c>
      <c r="K691" s="26">
        <f>IF($A691="","",IFERROR(ROUND((N($H691)+N($J691))/(N($G691)+N($I691)),2),0))</f>
        <v/>
      </c>
      <c r="L691" s="27">
        <f>IF($A691="","",SUMIFS(入库单!$K$4:$K$2503,入库单!$G$4:$G$2503,$A691,入库单!$X$4:$X$2503,"盘盈",入库单!$Z$4:$Z$2503,"正常",入库单!$C$4:$C$2503,"&gt;="&amp;账期起,入库单!$C$4:$C$2503,"&lt;="&amp;账期止))</f>
        <v/>
      </c>
      <c r="M691" s="26">
        <f>IF($A691="","",ROUND($L691*$K691,0))</f>
        <v/>
      </c>
      <c r="N691" s="27">
        <f>IF($A691="","",SUMIFS(入库单!$K$4:$K$2503,入库单!$G$4:$G$2503,$A691,入库单!$X$4:$X$2503,"矿区退库",入库单!$Z$4:$Z$2503,"正常",入库单!$C$4:$C$2503,"&gt;="&amp;账期起,入库单!$C$4:$C$2503,"&lt;="&amp;账期止))</f>
        <v/>
      </c>
      <c r="O691" s="26">
        <f>IF($A691="","",ROUND($N691*$K691,0))</f>
        <v/>
      </c>
      <c r="P691" s="27">
        <f>IF($A691="","",SUMIFS(出库单!$J$4:$J$4003,出库单!$D$4:$D$4003,$A691,出库单!$K$4:$K$4003,"自用消耗",出库单!$U$4:$U$4003,"正常",出库单!$C$4:$C$4003,"&gt;="&amp;账期起,出库单!$C$4:$C$4003,"&lt;="&amp;账期止))</f>
        <v/>
      </c>
      <c r="Q691" s="26">
        <f>IF($A691="","",ROUND(SUMIFS(出库单!$S$4:$S$4003,出库单!$D$4:$D$4003,$A691,出库单!$K$4:$K$4003,"自用消耗",出库单!$U$4:$U$4003,"正常",出库单!$C$4:$C$4003,"&gt;="&amp;账期起,出库单!$C$4:$C$4003,"&lt;="&amp;账期止),0))</f>
        <v/>
      </c>
      <c r="R691" s="27">
        <f>IF($A691="","",SUMIFS(出库单!$J$4:$J$4003,出库单!$D$4:$D$4003,$A691,出库单!$K$4:$K$4003,"对外销售",出库单!$U$4:$U$4003,"正常",出库单!$C$4:$C$4003,"&gt;="&amp;账期起,出库单!$C$4:$C$4003,"&lt;="&amp;账期止))</f>
        <v/>
      </c>
      <c r="S691" s="26">
        <f>IF($A691="","",ROUND(SUMIFS(出库单!$S$4:$S$4003,出库单!$D$4:$D$4003,$A691,出库单!$K$4:$K$4003,"对外销售",出库单!$U$4:$U$4003,"正常",出库单!$C$4:$C$4003,"&gt;="&amp;账期起,出库单!$C$4:$C$4003,"&lt;="&amp;账期止),0))</f>
        <v/>
      </c>
      <c r="T691" s="27">
        <f>IF($A691="","",SUMIFS(出库单!$J$4:$J$4003,出库单!$D$4:$D$4003,$A691,出库单!$K$4:$K$4003,"盘亏",出库单!$U$4:$U$4003,"正常",出库单!$C$4:$C$4003,"&gt;="&amp;账期起,出库单!$C$4:$C$4003,"&lt;="&amp;账期止))</f>
        <v/>
      </c>
      <c r="U691" s="26">
        <f>IF($A691="","",ROUND(SUMIFS(出库单!$S$4:$S$4003,出库单!$D$4:$D$4003,$A691,出库单!$K$4:$K$4003,"盘亏",出库单!$U$4:$U$4003,"正常",出库单!$C$4:$C$4003,"&gt;="&amp;账期起,出库单!$C$4:$C$4003,"&lt;="&amp;账期止),0))</f>
        <v/>
      </c>
      <c r="V691" s="27">
        <f>IF($A691="","",SUMIFS(出库单!$J$4:$J$4003,出库单!$D$4:$D$4003,$A691,出库单!$K$4:$K$4003,"退货给供应商",出库单!$U$4:$U$4003,"正常",出库单!$C$4:$C$4003,"&gt;="&amp;账期起,出库单!$C$4:$C$4003,"&lt;="&amp;账期止))</f>
        <v/>
      </c>
      <c r="W691" s="26">
        <f>IF($A691="","",ROUND(SUMIFS(出库单!$S$4:$S$4003,出库单!$D$4:$D$4003,$A691,出库单!$K$4:$K$4003,"退货给供应商",出库单!$U$4:$U$4003,"正常",出库单!$C$4:$C$4003,"&gt;="&amp;账期起,出库单!$C$4:$C$4003,"&lt;="&amp;账期止),0))</f>
        <v/>
      </c>
      <c r="X691" s="27">
        <f>IF($A691="","",ROUND(N($G691)+$I691+$L691+$N691-$P691-$R691-$T691-$V691,3))</f>
        <v/>
      </c>
      <c r="Y691" s="26">
        <f>IF($A691="","",ROUND(N($H691)+$J691+$M691+$O691-$Q691-$S691-$U691-$W691,0))</f>
        <v/>
      </c>
      <c r="Z691" s="24">
        <f>IF($A691="","",IF(COUNTIFS(入库单!$G$4:$G$2503,$A691,入库单!$Y$4:$Y$2503,"待补价")+COUNTIFS(入库单!$G$4:$G$2503,$A691,入库单!$Y$4:$Y$2503,"暂估")&gt;0,"不可信","可信"))</f>
        <v/>
      </c>
      <c r="AA691" s="24">
        <f>IF($A691="","",IF($X691&lt;-0.001,"※账面负库存，查一下是不是漏记入库",IF(AND(ROUND($X691,3)=0,ABS($Y691)&gt;1),"※数量已经是 0，金额还挂着 "&amp;TEXT($Y691,"#,##0")&amp;" 先令",IF(AND($X691&gt;0,$Y691&lt;=0,$K691=0),"※有数量没金额（这个物料一直没填过进价）",IF($Z691="不可信","△成本含待补价/暂估，毛利仅供参考","")))))</f>
        <v/>
      </c>
    </row>
    <row r="692">
      <c r="A692" s="24">
        <f>IF(物料档案!$A691="","",物料档案!$A691)</f>
        <v/>
      </c>
      <c r="B692" s="24">
        <f>IF($A692="","",IFERROR(VLOOKUP($A692,物料档案!$A$4:$P$1203,3,0),""))</f>
        <v/>
      </c>
      <c r="C692" s="24">
        <f>IF($A692="","",IFERROR(VLOOKUP($A692,物料档案!$A$4:$P$1203,4,0),""))</f>
        <v/>
      </c>
      <c r="D692" s="24">
        <f>IF($A692="","",IFERROR(VLOOKUP($A692,物料档案!$A$4:$P$1203,5,0),""))</f>
        <v/>
      </c>
      <c r="E692" s="24">
        <f>IF($A692="","",IFERROR(VLOOKUP($A692,物料档案!$A$4:$P$1203,2,0),""))</f>
        <v/>
      </c>
      <c r="F692" s="24">
        <f>IF($A692="","",IFERROR(VLOOKUP($A692,物料档案!$A$4:$P$1203,6,0),""))</f>
        <v/>
      </c>
      <c r="G692" s="23" t="n"/>
      <c r="H692" s="32" t="n"/>
      <c r="I692" s="27">
        <f>IF($A692="","",SUMIFS(入库单!$K$4:$K$2503,入库单!$G$4:$G$2503,$A692,入库单!$X$4:$X$2503,"采购入库",入库单!$Z$4:$Z$2503,"正常",入库单!$C$4:$C$2503,"&gt;="&amp;账期起,入库单!$C$4:$C$2503,"&lt;="&amp;账期止))</f>
        <v/>
      </c>
      <c r="J692" s="26">
        <f>IF($A692="","",SUMIFS(入库单!$V$4:$V$2503,入库单!$G$4:$G$2503,$A692,入库单!$X$4:$X$2503,"采购入库",入库单!$Z$4:$Z$2503,"正常",入库单!$C$4:$C$2503,"&gt;="&amp;账期起,入库单!$C$4:$C$2503,"&lt;="&amp;账期止))</f>
        <v/>
      </c>
      <c r="K692" s="26">
        <f>IF($A692="","",IFERROR(ROUND((N($H692)+N($J692))/(N($G692)+N($I692)),2),0))</f>
        <v/>
      </c>
      <c r="L692" s="27">
        <f>IF($A692="","",SUMIFS(入库单!$K$4:$K$2503,入库单!$G$4:$G$2503,$A692,入库单!$X$4:$X$2503,"盘盈",入库单!$Z$4:$Z$2503,"正常",入库单!$C$4:$C$2503,"&gt;="&amp;账期起,入库单!$C$4:$C$2503,"&lt;="&amp;账期止))</f>
        <v/>
      </c>
      <c r="M692" s="26">
        <f>IF($A692="","",ROUND($L692*$K692,0))</f>
        <v/>
      </c>
      <c r="N692" s="27">
        <f>IF($A692="","",SUMIFS(入库单!$K$4:$K$2503,入库单!$G$4:$G$2503,$A692,入库单!$X$4:$X$2503,"矿区退库",入库单!$Z$4:$Z$2503,"正常",入库单!$C$4:$C$2503,"&gt;="&amp;账期起,入库单!$C$4:$C$2503,"&lt;="&amp;账期止))</f>
        <v/>
      </c>
      <c r="O692" s="26">
        <f>IF($A692="","",ROUND($N692*$K692,0))</f>
        <v/>
      </c>
      <c r="P692" s="27">
        <f>IF($A692="","",SUMIFS(出库单!$J$4:$J$4003,出库单!$D$4:$D$4003,$A692,出库单!$K$4:$K$4003,"自用消耗",出库单!$U$4:$U$4003,"正常",出库单!$C$4:$C$4003,"&gt;="&amp;账期起,出库单!$C$4:$C$4003,"&lt;="&amp;账期止))</f>
        <v/>
      </c>
      <c r="Q692" s="26">
        <f>IF($A692="","",ROUND(SUMIFS(出库单!$S$4:$S$4003,出库单!$D$4:$D$4003,$A692,出库单!$K$4:$K$4003,"自用消耗",出库单!$U$4:$U$4003,"正常",出库单!$C$4:$C$4003,"&gt;="&amp;账期起,出库单!$C$4:$C$4003,"&lt;="&amp;账期止),0))</f>
        <v/>
      </c>
      <c r="R692" s="27">
        <f>IF($A692="","",SUMIFS(出库单!$J$4:$J$4003,出库单!$D$4:$D$4003,$A692,出库单!$K$4:$K$4003,"对外销售",出库单!$U$4:$U$4003,"正常",出库单!$C$4:$C$4003,"&gt;="&amp;账期起,出库单!$C$4:$C$4003,"&lt;="&amp;账期止))</f>
        <v/>
      </c>
      <c r="S692" s="26">
        <f>IF($A692="","",ROUND(SUMIFS(出库单!$S$4:$S$4003,出库单!$D$4:$D$4003,$A692,出库单!$K$4:$K$4003,"对外销售",出库单!$U$4:$U$4003,"正常",出库单!$C$4:$C$4003,"&gt;="&amp;账期起,出库单!$C$4:$C$4003,"&lt;="&amp;账期止),0))</f>
        <v/>
      </c>
      <c r="T692" s="27">
        <f>IF($A692="","",SUMIFS(出库单!$J$4:$J$4003,出库单!$D$4:$D$4003,$A692,出库单!$K$4:$K$4003,"盘亏",出库单!$U$4:$U$4003,"正常",出库单!$C$4:$C$4003,"&gt;="&amp;账期起,出库单!$C$4:$C$4003,"&lt;="&amp;账期止))</f>
        <v/>
      </c>
      <c r="U692" s="26">
        <f>IF($A692="","",ROUND(SUMIFS(出库单!$S$4:$S$4003,出库单!$D$4:$D$4003,$A692,出库单!$K$4:$K$4003,"盘亏",出库单!$U$4:$U$4003,"正常",出库单!$C$4:$C$4003,"&gt;="&amp;账期起,出库单!$C$4:$C$4003,"&lt;="&amp;账期止),0))</f>
        <v/>
      </c>
      <c r="V692" s="27">
        <f>IF($A692="","",SUMIFS(出库单!$J$4:$J$4003,出库单!$D$4:$D$4003,$A692,出库单!$K$4:$K$4003,"退货给供应商",出库单!$U$4:$U$4003,"正常",出库单!$C$4:$C$4003,"&gt;="&amp;账期起,出库单!$C$4:$C$4003,"&lt;="&amp;账期止))</f>
        <v/>
      </c>
      <c r="W692" s="26">
        <f>IF($A692="","",ROUND(SUMIFS(出库单!$S$4:$S$4003,出库单!$D$4:$D$4003,$A692,出库单!$K$4:$K$4003,"退货给供应商",出库单!$U$4:$U$4003,"正常",出库单!$C$4:$C$4003,"&gt;="&amp;账期起,出库单!$C$4:$C$4003,"&lt;="&amp;账期止),0))</f>
        <v/>
      </c>
      <c r="X692" s="27">
        <f>IF($A692="","",ROUND(N($G692)+$I692+$L692+$N692-$P692-$R692-$T692-$V692,3))</f>
        <v/>
      </c>
      <c r="Y692" s="26">
        <f>IF($A692="","",ROUND(N($H692)+$J692+$M692+$O692-$Q692-$S692-$U692-$W692,0))</f>
        <v/>
      </c>
      <c r="Z692" s="24">
        <f>IF($A692="","",IF(COUNTIFS(入库单!$G$4:$G$2503,$A692,入库单!$Y$4:$Y$2503,"待补价")+COUNTIFS(入库单!$G$4:$G$2503,$A692,入库单!$Y$4:$Y$2503,"暂估")&gt;0,"不可信","可信"))</f>
        <v/>
      </c>
      <c r="AA692" s="24">
        <f>IF($A692="","",IF($X692&lt;-0.001,"※账面负库存，查一下是不是漏记入库",IF(AND(ROUND($X692,3)=0,ABS($Y692)&gt;1),"※数量已经是 0，金额还挂着 "&amp;TEXT($Y692,"#,##0")&amp;" 先令",IF(AND($X692&gt;0,$Y692&lt;=0,$K692=0),"※有数量没金额（这个物料一直没填过进价）",IF($Z692="不可信","△成本含待补价/暂估，毛利仅供参考","")))))</f>
        <v/>
      </c>
    </row>
    <row r="693">
      <c r="A693" s="24">
        <f>IF(物料档案!$A692="","",物料档案!$A692)</f>
        <v/>
      </c>
      <c r="B693" s="24">
        <f>IF($A693="","",IFERROR(VLOOKUP($A693,物料档案!$A$4:$P$1203,3,0),""))</f>
        <v/>
      </c>
      <c r="C693" s="24">
        <f>IF($A693="","",IFERROR(VLOOKUP($A693,物料档案!$A$4:$P$1203,4,0),""))</f>
        <v/>
      </c>
      <c r="D693" s="24">
        <f>IF($A693="","",IFERROR(VLOOKUP($A693,物料档案!$A$4:$P$1203,5,0),""))</f>
        <v/>
      </c>
      <c r="E693" s="24">
        <f>IF($A693="","",IFERROR(VLOOKUP($A693,物料档案!$A$4:$P$1203,2,0),""))</f>
        <v/>
      </c>
      <c r="F693" s="24">
        <f>IF($A693="","",IFERROR(VLOOKUP($A693,物料档案!$A$4:$P$1203,6,0),""))</f>
        <v/>
      </c>
      <c r="G693" s="23" t="n"/>
      <c r="H693" s="32" t="n"/>
      <c r="I693" s="27">
        <f>IF($A693="","",SUMIFS(入库单!$K$4:$K$2503,入库单!$G$4:$G$2503,$A693,入库单!$X$4:$X$2503,"采购入库",入库单!$Z$4:$Z$2503,"正常",入库单!$C$4:$C$2503,"&gt;="&amp;账期起,入库单!$C$4:$C$2503,"&lt;="&amp;账期止))</f>
        <v/>
      </c>
      <c r="J693" s="26">
        <f>IF($A693="","",SUMIFS(入库单!$V$4:$V$2503,入库单!$G$4:$G$2503,$A693,入库单!$X$4:$X$2503,"采购入库",入库单!$Z$4:$Z$2503,"正常",入库单!$C$4:$C$2503,"&gt;="&amp;账期起,入库单!$C$4:$C$2503,"&lt;="&amp;账期止))</f>
        <v/>
      </c>
      <c r="K693" s="26">
        <f>IF($A693="","",IFERROR(ROUND((N($H693)+N($J693))/(N($G693)+N($I693)),2),0))</f>
        <v/>
      </c>
      <c r="L693" s="27">
        <f>IF($A693="","",SUMIFS(入库单!$K$4:$K$2503,入库单!$G$4:$G$2503,$A693,入库单!$X$4:$X$2503,"盘盈",入库单!$Z$4:$Z$2503,"正常",入库单!$C$4:$C$2503,"&gt;="&amp;账期起,入库单!$C$4:$C$2503,"&lt;="&amp;账期止))</f>
        <v/>
      </c>
      <c r="M693" s="26">
        <f>IF($A693="","",ROUND($L693*$K693,0))</f>
        <v/>
      </c>
      <c r="N693" s="27">
        <f>IF($A693="","",SUMIFS(入库单!$K$4:$K$2503,入库单!$G$4:$G$2503,$A693,入库单!$X$4:$X$2503,"矿区退库",入库单!$Z$4:$Z$2503,"正常",入库单!$C$4:$C$2503,"&gt;="&amp;账期起,入库单!$C$4:$C$2503,"&lt;="&amp;账期止))</f>
        <v/>
      </c>
      <c r="O693" s="26">
        <f>IF($A693="","",ROUND($N693*$K693,0))</f>
        <v/>
      </c>
      <c r="P693" s="27">
        <f>IF($A693="","",SUMIFS(出库单!$J$4:$J$4003,出库单!$D$4:$D$4003,$A693,出库单!$K$4:$K$4003,"自用消耗",出库单!$U$4:$U$4003,"正常",出库单!$C$4:$C$4003,"&gt;="&amp;账期起,出库单!$C$4:$C$4003,"&lt;="&amp;账期止))</f>
        <v/>
      </c>
      <c r="Q693" s="26">
        <f>IF($A693="","",ROUND(SUMIFS(出库单!$S$4:$S$4003,出库单!$D$4:$D$4003,$A693,出库单!$K$4:$K$4003,"自用消耗",出库单!$U$4:$U$4003,"正常",出库单!$C$4:$C$4003,"&gt;="&amp;账期起,出库单!$C$4:$C$4003,"&lt;="&amp;账期止),0))</f>
        <v/>
      </c>
      <c r="R693" s="27">
        <f>IF($A693="","",SUMIFS(出库单!$J$4:$J$4003,出库单!$D$4:$D$4003,$A693,出库单!$K$4:$K$4003,"对外销售",出库单!$U$4:$U$4003,"正常",出库单!$C$4:$C$4003,"&gt;="&amp;账期起,出库单!$C$4:$C$4003,"&lt;="&amp;账期止))</f>
        <v/>
      </c>
      <c r="S693" s="26">
        <f>IF($A693="","",ROUND(SUMIFS(出库单!$S$4:$S$4003,出库单!$D$4:$D$4003,$A693,出库单!$K$4:$K$4003,"对外销售",出库单!$U$4:$U$4003,"正常",出库单!$C$4:$C$4003,"&gt;="&amp;账期起,出库单!$C$4:$C$4003,"&lt;="&amp;账期止),0))</f>
        <v/>
      </c>
      <c r="T693" s="27">
        <f>IF($A693="","",SUMIFS(出库单!$J$4:$J$4003,出库单!$D$4:$D$4003,$A693,出库单!$K$4:$K$4003,"盘亏",出库单!$U$4:$U$4003,"正常",出库单!$C$4:$C$4003,"&gt;="&amp;账期起,出库单!$C$4:$C$4003,"&lt;="&amp;账期止))</f>
        <v/>
      </c>
      <c r="U693" s="26">
        <f>IF($A693="","",ROUND(SUMIFS(出库单!$S$4:$S$4003,出库单!$D$4:$D$4003,$A693,出库单!$K$4:$K$4003,"盘亏",出库单!$U$4:$U$4003,"正常",出库单!$C$4:$C$4003,"&gt;="&amp;账期起,出库单!$C$4:$C$4003,"&lt;="&amp;账期止),0))</f>
        <v/>
      </c>
      <c r="V693" s="27">
        <f>IF($A693="","",SUMIFS(出库单!$J$4:$J$4003,出库单!$D$4:$D$4003,$A693,出库单!$K$4:$K$4003,"退货给供应商",出库单!$U$4:$U$4003,"正常",出库单!$C$4:$C$4003,"&gt;="&amp;账期起,出库单!$C$4:$C$4003,"&lt;="&amp;账期止))</f>
        <v/>
      </c>
      <c r="W693" s="26">
        <f>IF($A693="","",ROUND(SUMIFS(出库单!$S$4:$S$4003,出库单!$D$4:$D$4003,$A693,出库单!$K$4:$K$4003,"退货给供应商",出库单!$U$4:$U$4003,"正常",出库单!$C$4:$C$4003,"&gt;="&amp;账期起,出库单!$C$4:$C$4003,"&lt;="&amp;账期止),0))</f>
        <v/>
      </c>
      <c r="X693" s="27">
        <f>IF($A693="","",ROUND(N($G693)+$I693+$L693+$N693-$P693-$R693-$T693-$V693,3))</f>
        <v/>
      </c>
      <c r="Y693" s="26">
        <f>IF($A693="","",ROUND(N($H693)+$J693+$M693+$O693-$Q693-$S693-$U693-$W693,0))</f>
        <v/>
      </c>
      <c r="Z693" s="24">
        <f>IF($A693="","",IF(COUNTIFS(入库单!$G$4:$G$2503,$A693,入库单!$Y$4:$Y$2503,"待补价")+COUNTIFS(入库单!$G$4:$G$2503,$A693,入库单!$Y$4:$Y$2503,"暂估")&gt;0,"不可信","可信"))</f>
        <v/>
      </c>
      <c r="AA693" s="24">
        <f>IF($A693="","",IF($X693&lt;-0.001,"※账面负库存，查一下是不是漏记入库",IF(AND(ROUND($X693,3)=0,ABS($Y693)&gt;1),"※数量已经是 0，金额还挂着 "&amp;TEXT($Y693,"#,##0")&amp;" 先令",IF(AND($X693&gt;0,$Y693&lt;=0,$K693=0),"※有数量没金额（这个物料一直没填过进价）",IF($Z693="不可信","△成本含待补价/暂估，毛利仅供参考","")))))</f>
        <v/>
      </c>
    </row>
    <row r="694">
      <c r="A694" s="24">
        <f>IF(物料档案!$A693="","",物料档案!$A693)</f>
        <v/>
      </c>
      <c r="B694" s="24">
        <f>IF($A694="","",IFERROR(VLOOKUP($A694,物料档案!$A$4:$P$1203,3,0),""))</f>
        <v/>
      </c>
      <c r="C694" s="24">
        <f>IF($A694="","",IFERROR(VLOOKUP($A694,物料档案!$A$4:$P$1203,4,0),""))</f>
        <v/>
      </c>
      <c r="D694" s="24">
        <f>IF($A694="","",IFERROR(VLOOKUP($A694,物料档案!$A$4:$P$1203,5,0),""))</f>
        <v/>
      </c>
      <c r="E694" s="24">
        <f>IF($A694="","",IFERROR(VLOOKUP($A694,物料档案!$A$4:$P$1203,2,0),""))</f>
        <v/>
      </c>
      <c r="F694" s="24">
        <f>IF($A694="","",IFERROR(VLOOKUP($A694,物料档案!$A$4:$P$1203,6,0),""))</f>
        <v/>
      </c>
      <c r="G694" s="23" t="n"/>
      <c r="H694" s="32" t="n"/>
      <c r="I694" s="27">
        <f>IF($A694="","",SUMIFS(入库单!$K$4:$K$2503,入库单!$G$4:$G$2503,$A694,入库单!$X$4:$X$2503,"采购入库",入库单!$Z$4:$Z$2503,"正常",入库单!$C$4:$C$2503,"&gt;="&amp;账期起,入库单!$C$4:$C$2503,"&lt;="&amp;账期止))</f>
        <v/>
      </c>
      <c r="J694" s="26">
        <f>IF($A694="","",SUMIFS(入库单!$V$4:$V$2503,入库单!$G$4:$G$2503,$A694,入库单!$X$4:$X$2503,"采购入库",入库单!$Z$4:$Z$2503,"正常",入库单!$C$4:$C$2503,"&gt;="&amp;账期起,入库单!$C$4:$C$2503,"&lt;="&amp;账期止))</f>
        <v/>
      </c>
      <c r="K694" s="26">
        <f>IF($A694="","",IFERROR(ROUND((N($H694)+N($J694))/(N($G694)+N($I694)),2),0))</f>
        <v/>
      </c>
      <c r="L694" s="27">
        <f>IF($A694="","",SUMIFS(入库单!$K$4:$K$2503,入库单!$G$4:$G$2503,$A694,入库单!$X$4:$X$2503,"盘盈",入库单!$Z$4:$Z$2503,"正常",入库单!$C$4:$C$2503,"&gt;="&amp;账期起,入库单!$C$4:$C$2503,"&lt;="&amp;账期止))</f>
        <v/>
      </c>
      <c r="M694" s="26">
        <f>IF($A694="","",ROUND($L694*$K694,0))</f>
        <v/>
      </c>
      <c r="N694" s="27">
        <f>IF($A694="","",SUMIFS(入库单!$K$4:$K$2503,入库单!$G$4:$G$2503,$A694,入库单!$X$4:$X$2503,"矿区退库",入库单!$Z$4:$Z$2503,"正常",入库单!$C$4:$C$2503,"&gt;="&amp;账期起,入库单!$C$4:$C$2503,"&lt;="&amp;账期止))</f>
        <v/>
      </c>
      <c r="O694" s="26">
        <f>IF($A694="","",ROUND($N694*$K694,0))</f>
        <v/>
      </c>
      <c r="P694" s="27">
        <f>IF($A694="","",SUMIFS(出库单!$J$4:$J$4003,出库单!$D$4:$D$4003,$A694,出库单!$K$4:$K$4003,"自用消耗",出库单!$U$4:$U$4003,"正常",出库单!$C$4:$C$4003,"&gt;="&amp;账期起,出库单!$C$4:$C$4003,"&lt;="&amp;账期止))</f>
        <v/>
      </c>
      <c r="Q694" s="26">
        <f>IF($A694="","",ROUND(SUMIFS(出库单!$S$4:$S$4003,出库单!$D$4:$D$4003,$A694,出库单!$K$4:$K$4003,"自用消耗",出库单!$U$4:$U$4003,"正常",出库单!$C$4:$C$4003,"&gt;="&amp;账期起,出库单!$C$4:$C$4003,"&lt;="&amp;账期止),0))</f>
        <v/>
      </c>
      <c r="R694" s="27">
        <f>IF($A694="","",SUMIFS(出库单!$J$4:$J$4003,出库单!$D$4:$D$4003,$A694,出库单!$K$4:$K$4003,"对外销售",出库单!$U$4:$U$4003,"正常",出库单!$C$4:$C$4003,"&gt;="&amp;账期起,出库单!$C$4:$C$4003,"&lt;="&amp;账期止))</f>
        <v/>
      </c>
      <c r="S694" s="26">
        <f>IF($A694="","",ROUND(SUMIFS(出库单!$S$4:$S$4003,出库单!$D$4:$D$4003,$A694,出库单!$K$4:$K$4003,"对外销售",出库单!$U$4:$U$4003,"正常",出库单!$C$4:$C$4003,"&gt;="&amp;账期起,出库单!$C$4:$C$4003,"&lt;="&amp;账期止),0))</f>
        <v/>
      </c>
      <c r="T694" s="27">
        <f>IF($A694="","",SUMIFS(出库单!$J$4:$J$4003,出库单!$D$4:$D$4003,$A694,出库单!$K$4:$K$4003,"盘亏",出库单!$U$4:$U$4003,"正常",出库单!$C$4:$C$4003,"&gt;="&amp;账期起,出库单!$C$4:$C$4003,"&lt;="&amp;账期止))</f>
        <v/>
      </c>
      <c r="U694" s="26">
        <f>IF($A694="","",ROUND(SUMIFS(出库单!$S$4:$S$4003,出库单!$D$4:$D$4003,$A694,出库单!$K$4:$K$4003,"盘亏",出库单!$U$4:$U$4003,"正常",出库单!$C$4:$C$4003,"&gt;="&amp;账期起,出库单!$C$4:$C$4003,"&lt;="&amp;账期止),0))</f>
        <v/>
      </c>
      <c r="V694" s="27">
        <f>IF($A694="","",SUMIFS(出库单!$J$4:$J$4003,出库单!$D$4:$D$4003,$A694,出库单!$K$4:$K$4003,"退货给供应商",出库单!$U$4:$U$4003,"正常",出库单!$C$4:$C$4003,"&gt;="&amp;账期起,出库单!$C$4:$C$4003,"&lt;="&amp;账期止))</f>
        <v/>
      </c>
      <c r="W694" s="26">
        <f>IF($A694="","",ROUND(SUMIFS(出库单!$S$4:$S$4003,出库单!$D$4:$D$4003,$A694,出库单!$K$4:$K$4003,"退货给供应商",出库单!$U$4:$U$4003,"正常",出库单!$C$4:$C$4003,"&gt;="&amp;账期起,出库单!$C$4:$C$4003,"&lt;="&amp;账期止),0))</f>
        <v/>
      </c>
      <c r="X694" s="27">
        <f>IF($A694="","",ROUND(N($G694)+$I694+$L694+$N694-$P694-$R694-$T694-$V694,3))</f>
        <v/>
      </c>
      <c r="Y694" s="26">
        <f>IF($A694="","",ROUND(N($H694)+$J694+$M694+$O694-$Q694-$S694-$U694-$W694,0))</f>
        <v/>
      </c>
      <c r="Z694" s="24">
        <f>IF($A694="","",IF(COUNTIFS(入库单!$G$4:$G$2503,$A694,入库单!$Y$4:$Y$2503,"待补价")+COUNTIFS(入库单!$G$4:$G$2503,$A694,入库单!$Y$4:$Y$2503,"暂估")&gt;0,"不可信","可信"))</f>
        <v/>
      </c>
      <c r="AA694" s="24">
        <f>IF($A694="","",IF($X694&lt;-0.001,"※账面负库存，查一下是不是漏记入库",IF(AND(ROUND($X694,3)=0,ABS($Y694)&gt;1),"※数量已经是 0，金额还挂着 "&amp;TEXT($Y694,"#,##0")&amp;" 先令",IF(AND($X694&gt;0,$Y694&lt;=0,$K694=0),"※有数量没金额（这个物料一直没填过进价）",IF($Z694="不可信","△成本含待补价/暂估，毛利仅供参考","")))))</f>
        <v/>
      </c>
    </row>
    <row r="695">
      <c r="A695" s="24">
        <f>IF(物料档案!$A694="","",物料档案!$A694)</f>
        <v/>
      </c>
      <c r="B695" s="24">
        <f>IF($A695="","",IFERROR(VLOOKUP($A695,物料档案!$A$4:$P$1203,3,0),""))</f>
        <v/>
      </c>
      <c r="C695" s="24">
        <f>IF($A695="","",IFERROR(VLOOKUP($A695,物料档案!$A$4:$P$1203,4,0),""))</f>
        <v/>
      </c>
      <c r="D695" s="24">
        <f>IF($A695="","",IFERROR(VLOOKUP($A695,物料档案!$A$4:$P$1203,5,0),""))</f>
        <v/>
      </c>
      <c r="E695" s="24">
        <f>IF($A695="","",IFERROR(VLOOKUP($A695,物料档案!$A$4:$P$1203,2,0),""))</f>
        <v/>
      </c>
      <c r="F695" s="24">
        <f>IF($A695="","",IFERROR(VLOOKUP($A695,物料档案!$A$4:$P$1203,6,0),""))</f>
        <v/>
      </c>
      <c r="G695" s="23" t="n"/>
      <c r="H695" s="32" t="n"/>
      <c r="I695" s="27">
        <f>IF($A695="","",SUMIFS(入库单!$K$4:$K$2503,入库单!$G$4:$G$2503,$A695,入库单!$X$4:$X$2503,"采购入库",入库单!$Z$4:$Z$2503,"正常",入库单!$C$4:$C$2503,"&gt;="&amp;账期起,入库单!$C$4:$C$2503,"&lt;="&amp;账期止))</f>
        <v/>
      </c>
      <c r="J695" s="26">
        <f>IF($A695="","",SUMIFS(入库单!$V$4:$V$2503,入库单!$G$4:$G$2503,$A695,入库单!$X$4:$X$2503,"采购入库",入库单!$Z$4:$Z$2503,"正常",入库单!$C$4:$C$2503,"&gt;="&amp;账期起,入库单!$C$4:$C$2503,"&lt;="&amp;账期止))</f>
        <v/>
      </c>
      <c r="K695" s="26">
        <f>IF($A695="","",IFERROR(ROUND((N($H695)+N($J695))/(N($G695)+N($I695)),2),0))</f>
        <v/>
      </c>
      <c r="L695" s="27">
        <f>IF($A695="","",SUMIFS(入库单!$K$4:$K$2503,入库单!$G$4:$G$2503,$A695,入库单!$X$4:$X$2503,"盘盈",入库单!$Z$4:$Z$2503,"正常",入库单!$C$4:$C$2503,"&gt;="&amp;账期起,入库单!$C$4:$C$2503,"&lt;="&amp;账期止))</f>
        <v/>
      </c>
      <c r="M695" s="26">
        <f>IF($A695="","",ROUND($L695*$K695,0))</f>
        <v/>
      </c>
      <c r="N695" s="27">
        <f>IF($A695="","",SUMIFS(入库单!$K$4:$K$2503,入库单!$G$4:$G$2503,$A695,入库单!$X$4:$X$2503,"矿区退库",入库单!$Z$4:$Z$2503,"正常",入库单!$C$4:$C$2503,"&gt;="&amp;账期起,入库单!$C$4:$C$2503,"&lt;="&amp;账期止))</f>
        <v/>
      </c>
      <c r="O695" s="26">
        <f>IF($A695="","",ROUND($N695*$K695,0))</f>
        <v/>
      </c>
      <c r="P695" s="27">
        <f>IF($A695="","",SUMIFS(出库单!$J$4:$J$4003,出库单!$D$4:$D$4003,$A695,出库单!$K$4:$K$4003,"自用消耗",出库单!$U$4:$U$4003,"正常",出库单!$C$4:$C$4003,"&gt;="&amp;账期起,出库单!$C$4:$C$4003,"&lt;="&amp;账期止))</f>
        <v/>
      </c>
      <c r="Q695" s="26">
        <f>IF($A695="","",ROUND(SUMIFS(出库单!$S$4:$S$4003,出库单!$D$4:$D$4003,$A695,出库单!$K$4:$K$4003,"自用消耗",出库单!$U$4:$U$4003,"正常",出库单!$C$4:$C$4003,"&gt;="&amp;账期起,出库单!$C$4:$C$4003,"&lt;="&amp;账期止),0))</f>
        <v/>
      </c>
      <c r="R695" s="27">
        <f>IF($A695="","",SUMIFS(出库单!$J$4:$J$4003,出库单!$D$4:$D$4003,$A695,出库单!$K$4:$K$4003,"对外销售",出库单!$U$4:$U$4003,"正常",出库单!$C$4:$C$4003,"&gt;="&amp;账期起,出库单!$C$4:$C$4003,"&lt;="&amp;账期止))</f>
        <v/>
      </c>
      <c r="S695" s="26">
        <f>IF($A695="","",ROUND(SUMIFS(出库单!$S$4:$S$4003,出库单!$D$4:$D$4003,$A695,出库单!$K$4:$K$4003,"对外销售",出库单!$U$4:$U$4003,"正常",出库单!$C$4:$C$4003,"&gt;="&amp;账期起,出库单!$C$4:$C$4003,"&lt;="&amp;账期止),0))</f>
        <v/>
      </c>
      <c r="T695" s="27">
        <f>IF($A695="","",SUMIFS(出库单!$J$4:$J$4003,出库单!$D$4:$D$4003,$A695,出库单!$K$4:$K$4003,"盘亏",出库单!$U$4:$U$4003,"正常",出库单!$C$4:$C$4003,"&gt;="&amp;账期起,出库单!$C$4:$C$4003,"&lt;="&amp;账期止))</f>
        <v/>
      </c>
      <c r="U695" s="26">
        <f>IF($A695="","",ROUND(SUMIFS(出库单!$S$4:$S$4003,出库单!$D$4:$D$4003,$A695,出库单!$K$4:$K$4003,"盘亏",出库单!$U$4:$U$4003,"正常",出库单!$C$4:$C$4003,"&gt;="&amp;账期起,出库单!$C$4:$C$4003,"&lt;="&amp;账期止),0))</f>
        <v/>
      </c>
      <c r="V695" s="27">
        <f>IF($A695="","",SUMIFS(出库单!$J$4:$J$4003,出库单!$D$4:$D$4003,$A695,出库单!$K$4:$K$4003,"退货给供应商",出库单!$U$4:$U$4003,"正常",出库单!$C$4:$C$4003,"&gt;="&amp;账期起,出库单!$C$4:$C$4003,"&lt;="&amp;账期止))</f>
        <v/>
      </c>
      <c r="W695" s="26">
        <f>IF($A695="","",ROUND(SUMIFS(出库单!$S$4:$S$4003,出库单!$D$4:$D$4003,$A695,出库单!$K$4:$K$4003,"退货给供应商",出库单!$U$4:$U$4003,"正常",出库单!$C$4:$C$4003,"&gt;="&amp;账期起,出库单!$C$4:$C$4003,"&lt;="&amp;账期止),0))</f>
        <v/>
      </c>
      <c r="X695" s="27">
        <f>IF($A695="","",ROUND(N($G695)+$I695+$L695+$N695-$P695-$R695-$T695-$V695,3))</f>
        <v/>
      </c>
      <c r="Y695" s="26">
        <f>IF($A695="","",ROUND(N($H695)+$J695+$M695+$O695-$Q695-$S695-$U695-$W695,0))</f>
        <v/>
      </c>
      <c r="Z695" s="24">
        <f>IF($A695="","",IF(COUNTIFS(入库单!$G$4:$G$2503,$A695,入库单!$Y$4:$Y$2503,"待补价")+COUNTIFS(入库单!$G$4:$G$2503,$A695,入库单!$Y$4:$Y$2503,"暂估")&gt;0,"不可信","可信"))</f>
        <v/>
      </c>
      <c r="AA695" s="24">
        <f>IF($A695="","",IF($X695&lt;-0.001,"※账面负库存，查一下是不是漏记入库",IF(AND(ROUND($X695,3)=0,ABS($Y695)&gt;1),"※数量已经是 0，金额还挂着 "&amp;TEXT($Y695,"#,##0")&amp;" 先令",IF(AND($X695&gt;0,$Y695&lt;=0,$K695=0),"※有数量没金额（这个物料一直没填过进价）",IF($Z695="不可信","△成本含待补价/暂估，毛利仅供参考","")))))</f>
        <v/>
      </c>
    </row>
    <row r="696">
      <c r="A696" s="24">
        <f>IF(物料档案!$A695="","",物料档案!$A695)</f>
        <v/>
      </c>
      <c r="B696" s="24">
        <f>IF($A696="","",IFERROR(VLOOKUP($A696,物料档案!$A$4:$P$1203,3,0),""))</f>
        <v/>
      </c>
      <c r="C696" s="24">
        <f>IF($A696="","",IFERROR(VLOOKUP($A696,物料档案!$A$4:$P$1203,4,0),""))</f>
        <v/>
      </c>
      <c r="D696" s="24">
        <f>IF($A696="","",IFERROR(VLOOKUP($A696,物料档案!$A$4:$P$1203,5,0),""))</f>
        <v/>
      </c>
      <c r="E696" s="24">
        <f>IF($A696="","",IFERROR(VLOOKUP($A696,物料档案!$A$4:$P$1203,2,0),""))</f>
        <v/>
      </c>
      <c r="F696" s="24">
        <f>IF($A696="","",IFERROR(VLOOKUP($A696,物料档案!$A$4:$P$1203,6,0),""))</f>
        <v/>
      </c>
      <c r="G696" s="23" t="n"/>
      <c r="H696" s="32" t="n"/>
      <c r="I696" s="27">
        <f>IF($A696="","",SUMIFS(入库单!$K$4:$K$2503,入库单!$G$4:$G$2503,$A696,入库单!$X$4:$X$2503,"采购入库",入库单!$Z$4:$Z$2503,"正常",入库单!$C$4:$C$2503,"&gt;="&amp;账期起,入库单!$C$4:$C$2503,"&lt;="&amp;账期止))</f>
        <v/>
      </c>
      <c r="J696" s="26">
        <f>IF($A696="","",SUMIFS(入库单!$V$4:$V$2503,入库单!$G$4:$G$2503,$A696,入库单!$X$4:$X$2503,"采购入库",入库单!$Z$4:$Z$2503,"正常",入库单!$C$4:$C$2503,"&gt;="&amp;账期起,入库单!$C$4:$C$2503,"&lt;="&amp;账期止))</f>
        <v/>
      </c>
      <c r="K696" s="26">
        <f>IF($A696="","",IFERROR(ROUND((N($H696)+N($J696))/(N($G696)+N($I696)),2),0))</f>
        <v/>
      </c>
      <c r="L696" s="27">
        <f>IF($A696="","",SUMIFS(入库单!$K$4:$K$2503,入库单!$G$4:$G$2503,$A696,入库单!$X$4:$X$2503,"盘盈",入库单!$Z$4:$Z$2503,"正常",入库单!$C$4:$C$2503,"&gt;="&amp;账期起,入库单!$C$4:$C$2503,"&lt;="&amp;账期止))</f>
        <v/>
      </c>
      <c r="M696" s="26">
        <f>IF($A696="","",ROUND($L696*$K696,0))</f>
        <v/>
      </c>
      <c r="N696" s="27">
        <f>IF($A696="","",SUMIFS(入库单!$K$4:$K$2503,入库单!$G$4:$G$2503,$A696,入库单!$X$4:$X$2503,"矿区退库",入库单!$Z$4:$Z$2503,"正常",入库单!$C$4:$C$2503,"&gt;="&amp;账期起,入库单!$C$4:$C$2503,"&lt;="&amp;账期止))</f>
        <v/>
      </c>
      <c r="O696" s="26">
        <f>IF($A696="","",ROUND($N696*$K696,0))</f>
        <v/>
      </c>
      <c r="P696" s="27">
        <f>IF($A696="","",SUMIFS(出库单!$J$4:$J$4003,出库单!$D$4:$D$4003,$A696,出库单!$K$4:$K$4003,"自用消耗",出库单!$U$4:$U$4003,"正常",出库单!$C$4:$C$4003,"&gt;="&amp;账期起,出库单!$C$4:$C$4003,"&lt;="&amp;账期止))</f>
        <v/>
      </c>
      <c r="Q696" s="26">
        <f>IF($A696="","",ROUND(SUMIFS(出库单!$S$4:$S$4003,出库单!$D$4:$D$4003,$A696,出库单!$K$4:$K$4003,"自用消耗",出库单!$U$4:$U$4003,"正常",出库单!$C$4:$C$4003,"&gt;="&amp;账期起,出库单!$C$4:$C$4003,"&lt;="&amp;账期止),0))</f>
        <v/>
      </c>
      <c r="R696" s="27">
        <f>IF($A696="","",SUMIFS(出库单!$J$4:$J$4003,出库单!$D$4:$D$4003,$A696,出库单!$K$4:$K$4003,"对外销售",出库单!$U$4:$U$4003,"正常",出库单!$C$4:$C$4003,"&gt;="&amp;账期起,出库单!$C$4:$C$4003,"&lt;="&amp;账期止))</f>
        <v/>
      </c>
      <c r="S696" s="26">
        <f>IF($A696="","",ROUND(SUMIFS(出库单!$S$4:$S$4003,出库单!$D$4:$D$4003,$A696,出库单!$K$4:$K$4003,"对外销售",出库单!$U$4:$U$4003,"正常",出库单!$C$4:$C$4003,"&gt;="&amp;账期起,出库单!$C$4:$C$4003,"&lt;="&amp;账期止),0))</f>
        <v/>
      </c>
      <c r="T696" s="27">
        <f>IF($A696="","",SUMIFS(出库单!$J$4:$J$4003,出库单!$D$4:$D$4003,$A696,出库单!$K$4:$K$4003,"盘亏",出库单!$U$4:$U$4003,"正常",出库单!$C$4:$C$4003,"&gt;="&amp;账期起,出库单!$C$4:$C$4003,"&lt;="&amp;账期止))</f>
        <v/>
      </c>
      <c r="U696" s="26">
        <f>IF($A696="","",ROUND(SUMIFS(出库单!$S$4:$S$4003,出库单!$D$4:$D$4003,$A696,出库单!$K$4:$K$4003,"盘亏",出库单!$U$4:$U$4003,"正常",出库单!$C$4:$C$4003,"&gt;="&amp;账期起,出库单!$C$4:$C$4003,"&lt;="&amp;账期止),0))</f>
        <v/>
      </c>
      <c r="V696" s="27">
        <f>IF($A696="","",SUMIFS(出库单!$J$4:$J$4003,出库单!$D$4:$D$4003,$A696,出库单!$K$4:$K$4003,"退货给供应商",出库单!$U$4:$U$4003,"正常",出库单!$C$4:$C$4003,"&gt;="&amp;账期起,出库单!$C$4:$C$4003,"&lt;="&amp;账期止))</f>
        <v/>
      </c>
      <c r="W696" s="26">
        <f>IF($A696="","",ROUND(SUMIFS(出库单!$S$4:$S$4003,出库单!$D$4:$D$4003,$A696,出库单!$K$4:$K$4003,"退货给供应商",出库单!$U$4:$U$4003,"正常",出库单!$C$4:$C$4003,"&gt;="&amp;账期起,出库单!$C$4:$C$4003,"&lt;="&amp;账期止),0))</f>
        <v/>
      </c>
      <c r="X696" s="27">
        <f>IF($A696="","",ROUND(N($G696)+$I696+$L696+$N696-$P696-$R696-$T696-$V696,3))</f>
        <v/>
      </c>
      <c r="Y696" s="26">
        <f>IF($A696="","",ROUND(N($H696)+$J696+$M696+$O696-$Q696-$S696-$U696-$W696,0))</f>
        <v/>
      </c>
      <c r="Z696" s="24">
        <f>IF($A696="","",IF(COUNTIFS(入库单!$G$4:$G$2503,$A696,入库单!$Y$4:$Y$2503,"待补价")+COUNTIFS(入库单!$G$4:$G$2503,$A696,入库单!$Y$4:$Y$2503,"暂估")&gt;0,"不可信","可信"))</f>
        <v/>
      </c>
      <c r="AA696" s="24">
        <f>IF($A696="","",IF($X696&lt;-0.001,"※账面负库存，查一下是不是漏记入库",IF(AND(ROUND($X696,3)=0,ABS($Y696)&gt;1),"※数量已经是 0，金额还挂着 "&amp;TEXT($Y696,"#,##0")&amp;" 先令",IF(AND($X696&gt;0,$Y696&lt;=0,$K696=0),"※有数量没金额（这个物料一直没填过进价）",IF($Z696="不可信","△成本含待补价/暂估，毛利仅供参考","")))))</f>
        <v/>
      </c>
    </row>
    <row r="697">
      <c r="A697" s="24">
        <f>IF(物料档案!$A696="","",物料档案!$A696)</f>
        <v/>
      </c>
      <c r="B697" s="24">
        <f>IF($A697="","",IFERROR(VLOOKUP($A697,物料档案!$A$4:$P$1203,3,0),""))</f>
        <v/>
      </c>
      <c r="C697" s="24">
        <f>IF($A697="","",IFERROR(VLOOKUP($A697,物料档案!$A$4:$P$1203,4,0),""))</f>
        <v/>
      </c>
      <c r="D697" s="24">
        <f>IF($A697="","",IFERROR(VLOOKUP($A697,物料档案!$A$4:$P$1203,5,0),""))</f>
        <v/>
      </c>
      <c r="E697" s="24">
        <f>IF($A697="","",IFERROR(VLOOKUP($A697,物料档案!$A$4:$P$1203,2,0),""))</f>
        <v/>
      </c>
      <c r="F697" s="24">
        <f>IF($A697="","",IFERROR(VLOOKUP($A697,物料档案!$A$4:$P$1203,6,0),""))</f>
        <v/>
      </c>
      <c r="G697" s="23" t="n"/>
      <c r="H697" s="32" t="n"/>
      <c r="I697" s="27">
        <f>IF($A697="","",SUMIFS(入库单!$K$4:$K$2503,入库单!$G$4:$G$2503,$A697,入库单!$X$4:$X$2503,"采购入库",入库单!$Z$4:$Z$2503,"正常",入库单!$C$4:$C$2503,"&gt;="&amp;账期起,入库单!$C$4:$C$2503,"&lt;="&amp;账期止))</f>
        <v/>
      </c>
      <c r="J697" s="26">
        <f>IF($A697="","",SUMIFS(入库单!$V$4:$V$2503,入库单!$G$4:$G$2503,$A697,入库单!$X$4:$X$2503,"采购入库",入库单!$Z$4:$Z$2503,"正常",入库单!$C$4:$C$2503,"&gt;="&amp;账期起,入库单!$C$4:$C$2503,"&lt;="&amp;账期止))</f>
        <v/>
      </c>
      <c r="K697" s="26">
        <f>IF($A697="","",IFERROR(ROUND((N($H697)+N($J697))/(N($G697)+N($I697)),2),0))</f>
        <v/>
      </c>
      <c r="L697" s="27">
        <f>IF($A697="","",SUMIFS(入库单!$K$4:$K$2503,入库单!$G$4:$G$2503,$A697,入库单!$X$4:$X$2503,"盘盈",入库单!$Z$4:$Z$2503,"正常",入库单!$C$4:$C$2503,"&gt;="&amp;账期起,入库单!$C$4:$C$2503,"&lt;="&amp;账期止))</f>
        <v/>
      </c>
      <c r="M697" s="26">
        <f>IF($A697="","",ROUND($L697*$K697,0))</f>
        <v/>
      </c>
      <c r="N697" s="27">
        <f>IF($A697="","",SUMIFS(入库单!$K$4:$K$2503,入库单!$G$4:$G$2503,$A697,入库单!$X$4:$X$2503,"矿区退库",入库单!$Z$4:$Z$2503,"正常",入库单!$C$4:$C$2503,"&gt;="&amp;账期起,入库单!$C$4:$C$2503,"&lt;="&amp;账期止))</f>
        <v/>
      </c>
      <c r="O697" s="26">
        <f>IF($A697="","",ROUND($N697*$K697,0))</f>
        <v/>
      </c>
      <c r="P697" s="27">
        <f>IF($A697="","",SUMIFS(出库单!$J$4:$J$4003,出库单!$D$4:$D$4003,$A697,出库单!$K$4:$K$4003,"自用消耗",出库单!$U$4:$U$4003,"正常",出库单!$C$4:$C$4003,"&gt;="&amp;账期起,出库单!$C$4:$C$4003,"&lt;="&amp;账期止))</f>
        <v/>
      </c>
      <c r="Q697" s="26">
        <f>IF($A697="","",ROUND(SUMIFS(出库单!$S$4:$S$4003,出库单!$D$4:$D$4003,$A697,出库单!$K$4:$K$4003,"自用消耗",出库单!$U$4:$U$4003,"正常",出库单!$C$4:$C$4003,"&gt;="&amp;账期起,出库单!$C$4:$C$4003,"&lt;="&amp;账期止),0))</f>
        <v/>
      </c>
      <c r="R697" s="27">
        <f>IF($A697="","",SUMIFS(出库单!$J$4:$J$4003,出库单!$D$4:$D$4003,$A697,出库单!$K$4:$K$4003,"对外销售",出库单!$U$4:$U$4003,"正常",出库单!$C$4:$C$4003,"&gt;="&amp;账期起,出库单!$C$4:$C$4003,"&lt;="&amp;账期止))</f>
        <v/>
      </c>
      <c r="S697" s="26">
        <f>IF($A697="","",ROUND(SUMIFS(出库单!$S$4:$S$4003,出库单!$D$4:$D$4003,$A697,出库单!$K$4:$K$4003,"对外销售",出库单!$U$4:$U$4003,"正常",出库单!$C$4:$C$4003,"&gt;="&amp;账期起,出库单!$C$4:$C$4003,"&lt;="&amp;账期止),0))</f>
        <v/>
      </c>
      <c r="T697" s="27">
        <f>IF($A697="","",SUMIFS(出库单!$J$4:$J$4003,出库单!$D$4:$D$4003,$A697,出库单!$K$4:$K$4003,"盘亏",出库单!$U$4:$U$4003,"正常",出库单!$C$4:$C$4003,"&gt;="&amp;账期起,出库单!$C$4:$C$4003,"&lt;="&amp;账期止))</f>
        <v/>
      </c>
      <c r="U697" s="26">
        <f>IF($A697="","",ROUND(SUMIFS(出库单!$S$4:$S$4003,出库单!$D$4:$D$4003,$A697,出库单!$K$4:$K$4003,"盘亏",出库单!$U$4:$U$4003,"正常",出库单!$C$4:$C$4003,"&gt;="&amp;账期起,出库单!$C$4:$C$4003,"&lt;="&amp;账期止),0))</f>
        <v/>
      </c>
      <c r="V697" s="27">
        <f>IF($A697="","",SUMIFS(出库单!$J$4:$J$4003,出库单!$D$4:$D$4003,$A697,出库单!$K$4:$K$4003,"退货给供应商",出库单!$U$4:$U$4003,"正常",出库单!$C$4:$C$4003,"&gt;="&amp;账期起,出库单!$C$4:$C$4003,"&lt;="&amp;账期止))</f>
        <v/>
      </c>
      <c r="W697" s="26">
        <f>IF($A697="","",ROUND(SUMIFS(出库单!$S$4:$S$4003,出库单!$D$4:$D$4003,$A697,出库单!$K$4:$K$4003,"退货给供应商",出库单!$U$4:$U$4003,"正常",出库单!$C$4:$C$4003,"&gt;="&amp;账期起,出库单!$C$4:$C$4003,"&lt;="&amp;账期止),0))</f>
        <v/>
      </c>
      <c r="X697" s="27">
        <f>IF($A697="","",ROUND(N($G697)+$I697+$L697+$N697-$P697-$R697-$T697-$V697,3))</f>
        <v/>
      </c>
      <c r="Y697" s="26">
        <f>IF($A697="","",ROUND(N($H697)+$J697+$M697+$O697-$Q697-$S697-$U697-$W697,0))</f>
        <v/>
      </c>
      <c r="Z697" s="24">
        <f>IF($A697="","",IF(COUNTIFS(入库单!$G$4:$G$2503,$A697,入库单!$Y$4:$Y$2503,"待补价")+COUNTIFS(入库单!$G$4:$G$2503,$A697,入库单!$Y$4:$Y$2503,"暂估")&gt;0,"不可信","可信"))</f>
        <v/>
      </c>
      <c r="AA697" s="24">
        <f>IF($A697="","",IF($X697&lt;-0.001,"※账面负库存，查一下是不是漏记入库",IF(AND(ROUND($X697,3)=0,ABS($Y697)&gt;1),"※数量已经是 0，金额还挂着 "&amp;TEXT($Y697,"#,##0")&amp;" 先令",IF(AND($X697&gt;0,$Y697&lt;=0,$K697=0),"※有数量没金额（这个物料一直没填过进价）",IF($Z697="不可信","△成本含待补价/暂估，毛利仅供参考","")))))</f>
        <v/>
      </c>
    </row>
    <row r="698">
      <c r="A698" s="24">
        <f>IF(物料档案!$A697="","",物料档案!$A697)</f>
        <v/>
      </c>
      <c r="B698" s="24">
        <f>IF($A698="","",IFERROR(VLOOKUP($A698,物料档案!$A$4:$P$1203,3,0),""))</f>
        <v/>
      </c>
      <c r="C698" s="24">
        <f>IF($A698="","",IFERROR(VLOOKUP($A698,物料档案!$A$4:$P$1203,4,0),""))</f>
        <v/>
      </c>
      <c r="D698" s="24">
        <f>IF($A698="","",IFERROR(VLOOKUP($A698,物料档案!$A$4:$P$1203,5,0),""))</f>
        <v/>
      </c>
      <c r="E698" s="24">
        <f>IF($A698="","",IFERROR(VLOOKUP($A698,物料档案!$A$4:$P$1203,2,0),""))</f>
        <v/>
      </c>
      <c r="F698" s="24">
        <f>IF($A698="","",IFERROR(VLOOKUP($A698,物料档案!$A$4:$P$1203,6,0),""))</f>
        <v/>
      </c>
      <c r="G698" s="23" t="n"/>
      <c r="H698" s="32" t="n"/>
      <c r="I698" s="27">
        <f>IF($A698="","",SUMIFS(入库单!$K$4:$K$2503,入库单!$G$4:$G$2503,$A698,入库单!$X$4:$X$2503,"采购入库",入库单!$Z$4:$Z$2503,"正常",入库单!$C$4:$C$2503,"&gt;="&amp;账期起,入库单!$C$4:$C$2503,"&lt;="&amp;账期止))</f>
        <v/>
      </c>
      <c r="J698" s="26">
        <f>IF($A698="","",SUMIFS(入库单!$V$4:$V$2503,入库单!$G$4:$G$2503,$A698,入库单!$X$4:$X$2503,"采购入库",入库单!$Z$4:$Z$2503,"正常",入库单!$C$4:$C$2503,"&gt;="&amp;账期起,入库单!$C$4:$C$2503,"&lt;="&amp;账期止))</f>
        <v/>
      </c>
      <c r="K698" s="26">
        <f>IF($A698="","",IFERROR(ROUND((N($H698)+N($J698))/(N($G698)+N($I698)),2),0))</f>
        <v/>
      </c>
      <c r="L698" s="27">
        <f>IF($A698="","",SUMIFS(入库单!$K$4:$K$2503,入库单!$G$4:$G$2503,$A698,入库单!$X$4:$X$2503,"盘盈",入库单!$Z$4:$Z$2503,"正常",入库单!$C$4:$C$2503,"&gt;="&amp;账期起,入库单!$C$4:$C$2503,"&lt;="&amp;账期止))</f>
        <v/>
      </c>
      <c r="M698" s="26">
        <f>IF($A698="","",ROUND($L698*$K698,0))</f>
        <v/>
      </c>
      <c r="N698" s="27">
        <f>IF($A698="","",SUMIFS(入库单!$K$4:$K$2503,入库单!$G$4:$G$2503,$A698,入库单!$X$4:$X$2503,"矿区退库",入库单!$Z$4:$Z$2503,"正常",入库单!$C$4:$C$2503,"&gt;="&amp;账期起,入库单!$C$4:$C$2503,"&lt;="&amp;账期止))</f>
        <v/>
      </c>
      <c r="O698" s="26">
        <f>IF($A698="","",ROUND($N698*$K698,0))</f>
        <v/>
      </c>
      <c r="P698" s="27">
        <f>IF($A698="","",SUMIFS(出库单!$J$4:$J$4003,出库单!$D$4:$D$4003,$A698,出库单!$K$4:$K$4003,"自用消耗",出库单!$U$4:$U$4003,"正常",出库单!$C$4:$C$4003,"&gt;="&amp;账期起,出库单!$C$4:$C$4003,"&lt;="&amp;账期止))</f>
        <v/>
      </c>
      <c r="Q698" s="26">
        <f>IF($A698="","",ROUND(SUMIFS(出库单!$S$4:$S$4003,出库单!$D$4:$D$4003,$A698,出库单!$K$4:$K$4003,"自用消耗",出库单!$U$4:$U$4003,"正常",出库单!$C$4:$C$4003,"&gt;="&amp;账期起,出库单!$C$4:$C$4003,"&lt;="&amp;账期止),0))</f>
        <v/>
      </c>
      <c r="R698" s="27">
        <f>IF($A698="","",SUMIFS(出库单!$J$4:$J$4003,出库单!$D$4:$D$4003,$A698,出库单!$K$4:$K$4003,"对外销售",出库单!$U$4:$U$4003,"正常",出库单!$C$4:$C$4003,"&gt;="&amp;账期起,出库单!$C$4:$C$4003,"&lt;="&amp;账期止))</f>
        <v/>
      </c>
      <c r="S698" s="26">
        <f>IF($A698="","",ROUND(SUMIFS(出库单!$S$4:$S$4003,出库单!$D$4:$D$4003,$A698,出库单!$K$4:$K$4003,"对外销售",出库单!$U$4:$U$4003,"正常",出库单!$C$4:$C$4003,"&gt;="&amp;账期起,出库单!$C$4:$C$4003,"&lt;="&amp;账期止),0))</f>
        <v/>
      </c>
      <c r="T698" s="27">
        <f>IF($A698="","",SUMIFS(出库单!$J$4:$J$4003,出库单!$D$4:$D$4003,$A698,出库单!$K$4:$K$4003,"盘亏",出库单!$U$4:$U$4003,"正常",出库单!$C$4:$C$4003,"&gt;="&amp;账期起,出库单!$C$4:$C$4003,"&lt;="&amp;账期止))</f>
        <v/>
      </c>
      <c r="U698" s="26">
        <f>IF($A698="","",ROUND(SUMIFS(出库单!$S$4:$S$4003,出库单!$D$4:$D$4003,$A698,出库单!$K$4:$K$4003,"盘亏",出库单!$U$4:$U$4003,"正常",出库单!$C$4:$C$4003,"&gt;="&amp;账期起,出库单!$C$4:$C$4003,"&lt;="&amp;账期止),0))</f>
        <v/>
      </c>
      <c r="V698" s="27">
        <f>IF($A698="","",SUMIFS(出库单!$J$4:$J$4003,出库单!$D$4:$D$4003,$A698,出库单!$K$4:$K$4003,"退货给供应商",出库单!$U$4:$U$4003,"正常",出库单!$C$4:$C$4003,"&gt;="&amp;账期起,出库单!$C$4:$C$4003,"&lt;="&amp;账期止))</f>
        <v/>
      </c>
      <c r="W698" s="26">
        <f>IF($A698="","",ROUND(SUMIFS(出库单!$S$4:$S$4003,出库单!$D$4:$D$4003,$A698,出库单!$K$4:$K$4003,"退货给供应商",出库单!$U$4:$U$4003,"正常",出库单!$C$4:$C$4003,"&gt;="&amp;账期起,出库单!$C$4:$C$4003,"&lt;="&amp;账期止),0))</f>
        <v/>
      </c>
      <c r="X698" s="27">
        <f>IF($A698="","",ROUND(N($G698)+$I698+$L698+$N698-$P698-$R698-$T698-$V698,3))</f>
        <v/>
      </c>
      <c r="Y698" s="26">
        <f>IF($A698="","",ROUND(N($H698)+$J698+$M698+$O698-$Q698-$S698-$U698-$W698,0))</f>
        <v/>
      </c>
      <c r="Z698" s="24">
        <f>IF($A698="","",IF(COUNTIFS(入库单!$G$4:$G$2503,$A698,入库单!$Y$4:$Y$2503,"待补价")+COUNTIFS(入库单!$G$4:$G$2503,$A698,入库单!$Y$4:$Y$2503,"暂估")&gt;0,"不可信","可信"))</f>
        <v/>
      </c>
      <c r="AA698" s="24">
        <f>IF($A698="","",IF($X698&lt;-0.001,"※账面负库存，查一下是不是漏记入库",IF(AND(ROUND($X698,3)=0,ABS($Y698)&gt;1),"※数量已经是 0，金额还挂着 "&amp;TEXT($Y698,"#,##0")&amp;" 先令",IF(AND($X698&gt;0,$Y698&lt;=0,$K698=0),"※有数量没金额（这个物料一直没填过进价）",IF($Z698="不可信","△成本含待补价/暂估，毛利仅供参考","")))))</f>
        <v/>
      </c>
    </row>
    <row r="699">
      <c r="A699" s="24">
        <f>IF(物料档案!$A698="","",物料档案!$A698)</f>
        <v/>
      </c>
      <c r="B699" s="24">
        <f>IF($A699="","",IFERROR(VLOOKUP($A699,物料档案!$A$4:$P$1203,3,0),""))</f>
        <v/>
      </c>
      <c r="C699" s="24">
        <f>IF($A699="","",IFERROR(VLOOKUP($A699,物料档案!$A$4:$P$1203,4,0),""))</f>
        <v/>
      </c>
      <c r="D699" s="24">
        <f>IF($A699="","",IFERROR(VLOOKUP($A699,物料档案!$A$4:$P$1203,5,0),""))</f>
        <v/>
      </c>
      <c r="E699" s="24">
        <f>IF($A699="","",IFERROR(VLOOKUP($A699,物料档案!$A$4:$P$1203,2,0),""))</f>
        <v/>
      </c>
      <c r="F699" s="24">
        <f>IF($A699="","",IFERROR(VLOOKUP($A699,物料档案!$A$4:$P$1203,6,0),""))</f>
        <v/>
      </c>
      <c r="G699" s="23" t="n"/>
      <c r="H699" s="32" t="n"/>
      <c r="I699" s="27">
        <f>IF($A699="","",SUMIFS(入库单!$K$4:$K$2503,入库单!$G$4:$G$2503,$A699,入库单!$X$4:$X$2503,"采购入库",入库单!$Z$4:$Z$2503,"正常",入库单!$C$4:$C$2503,"&gt;="&amp;账期起,入库单!$C$4:$C$2503,"&lt;="&amp;账期止))</f>
        <v/>
      </c>
      <c r="J699" s="26">
        <f>IF($A699="","",SUMIFS(入库单!$V$4:$V$2503,入库单!$G$4:$G$2503,$A699,入库单!$X$4:$X$2503,"采购入库",入库单!$Z$4:$Z$2503,"正常",入库单!$C$4:$C$2503,"&gt;="&amp;账期起,入库单!$C$4:$C$2503,"&lt;="&amp;账期止))</f>
        <v/>
      </c>
      <c r="K699" s="26">
        <f>IF($A699="","",IFERROR(ROUND((N($H699)+N($J699))/(N($G699)+N($I699)),2),0))</f>
        <v/>
      </c>
      <c r="L699" s="27">
        <f>IF($A699="","",SUMIFS(入库单!$K$4:$K$2503,入库单!$G$4:$G$2503,$A699,入库单!$X$4:$X$2503,"盘盈",入库单!$Z$4:$Z$2503,"正常",入库单!$C$4:$C$2503,"&gt;="&amp;账期起,入库单!$C$4:$C$2503,"&lt;="&amp;账期止))</f>
        <v/>
      </c>
      <c r="M699" s="26">
        <f>IF($A699="","",ROUND($L699*$K699,0))</f>
        <v/>
      </c>
      <c r="N699" s="27">
        <f>IF($A699="","",SUMIFS(入库单!$K$4:$K$2503,入库单!$G$4:$G$2503,$A699,入库单!$X$4:$X$2503,"矿区退库",入库单!$Z$4:$Z$2503,"正常",入库单!$C$4:$C$2503,"&gt;="&amp;账期起,入库单!$C$4:$C$2503,"&lt;="&amp;账期止))</f>
        <v/>
      </c>
      <c r="O699" s="26">
        <f>IF($A699="","",ROUND($N699*$K699,0))</f>
        <v/>
      </c>
      <c r="P699" s="27">
        <f>IF($A699="","",SUMIFS(出库单!$J$4:$J$4003,出库单!$D$4:$D$4003,$A699,出库单!$K$4:$K$4003,"自用消耗",出库单!$U$4:$U$4003,"正常",出库单!$C$4:$C$4003,"&gt;="&amp;账期起,出库单!$C$4:$C$4003,"&lt;="&amp;账期止))</f>
        <v/>
      </c>
      <c r="Q699" s="26">
        <f>IF($A699="","",ROUND(SUMIFS(出库单!$S$4:$S$4003,出库单!$D$4:$D$4003,$A699,出库单!$K$4:$K$4003,"自用消耗",出库单!$U$4:$U$4003,"正常",出库单!$C$4:$C$4003,"&gt;="&amp;账期起,出库单!$C$4:$C$4003,"&lt;="&amp;账期止),0))</f>
        <v/>
      </c>
      <c r="R699" s="27">
        <f>IF($A699="","",SUMIFS(出库单!$J$4:$J$4003,出库单!$D$4:$D$4003,$A699,出库单!$K$4:$K$4003,"对外销售",出库单!$U$4:$U$4003,"正常",出库单!$C$4:$C$4003,"&gt;="&amp;账期起,出库单!$C$4:$C$4003,"&lt;="&amp;账期止))</f>
        <v/>
      </c>
      <c r="S699" s="26">
        <f>IF($A699="","",ROUND(SUMIFS(出库单!$S$4:$S$4003,出库单!$D$4:$D$4003,$A699,出库单!$K$4:$K$4003,"对外销售",出库单!$U$4:$U$4003,"正常",出库单!$C$4:$C$4003,"&gt;="&amp;账期起,出库单!$C$4:$C$4003,"&lt;="&amp;账期止),0))</f>
        <v/>
      </c>
      <c r="T699" s="27">
        <f>IF($A699="","",SUMIFS(出库单!$J$4:$J$4003,出库单!$D$4:$D$4003,$A699,出库单!$K$4:$K$4003,"盘亏",出库单!$U$4:$U$4003,"正常",出库单!$C$4:$C$4003,"&gt;="&amp;账期起,出库单!$C$4:$C$4003,"&lt;="&amp;账期止))</f>
        <v/>
      </c>
      <c r="U699" s="26">
        <f>IF($A699="","",ROUND(SUMIFS(出库单!$S$4:$S$4003,出库单!$D$4:$D$4003,$A699,出库单!$K$4:$K$4003,"盘亏",出库单!$U$4:$U$4003,"正常",出库单!$C$4:$C$4003,"&gt;="&amp;账期起,出库单!$C$4:$C$4003,"&lt;="&amp;账期止),0))</f>
        <v/>
      </c>
      <c r="V699" s="27">
        <f>IF($A699="","",SUMIFS(出库单!$J$4:$J$4003,出库单!$D$4:$D$4003,$A699,出库单!$K$4:$K$4003,"退货给供应商",出库单!$U$4:$U$4003,"正常",出库单!$C$4:$C$4003,"&gt;="&amp;账期起,出库单!$C$4:$C$4003,"&lt;="&amp;账期止))</f>
        <v/>
      </c>
      <c r="W699" s="26">
        <f>IF($A699="","",ROUND(SUMIFS(出库单!$S$4:$S$4003,出库单!$D$4:$D$4003,$A699,出库单!$K$4:$K$4003,"退货给供应商",出库单!$U$4:$U$4003,"正常",出库单!$C$4:$C$4003,"&gt;="&amp;账期起,出库单!$C$4:$C$4003,"&lt;="&amp;账期止),0))</f>
        <v/>
      </c>
      <c r="X699" s="27">
        <f>IF($A699="","",ROUND(N($G699)+$I699+$L699+$N699-$P699-$R699-$T699-$V699,3))</f>
        <v/>
      </c>
      <c r="Y699" s="26">
        <f>IF($A699="","",ROUND(N($H699)+$J699+$M699+$O699-$Q699-$S699-$U699-$W699,0))</f>
        <v/>
      </c>
      <c r="Z699" s="24">
        <f>IF($A699="","",IF(COUNTIFS(入库单!$G$4:$G$2503,$A699,入库单!$Y$4:$Y$2503,"待补价")+COUNTIFS(入库单!$G$4:$G$2503,$A699,入库单!$Y$4:$Y$2503,"暂估")&gt;0,"不可信","可信"))</f>
        <v/>
      </c>
      <c r="AA699" s="24">
        <f>IF($A699="","",IF($X699&lt;-0.001,"※账面负库存，查一下是不是漏记入库",IF(AND(ROUND($X699,3)=0,ABS($Y699)&gt;1),"※数量已经是 0，金额还挂着 "&amp;TEXT($Y699,"#,##0")&amp;" 先令",IF(AND($X699&gt;0,$Y699&lt;=0,$K699=0),"※有数量没金额（这个物料一直没填过进价）",IF($Z699="不可信","△成本含待补价/暂估，毛利仅供参考","")))))</f>
        <v/>
      </c>
    </row>
    <row r="700">
      <c r="A700" s="24">
        <f>IF(物料档案!$A699="","",物料档案!$A699)</f>
        <v/>
      </c>
      <c r="B700" s="24">
        <f>IF($A700="","",IFERROR(VLOOKUP($A700,物料档案!$A$4:$P$1203,3,0),""))</f>
        <v/>
      </c>
      <c r="C700" s="24">
        <f>IF($A700="","",IFERROR(VLOOKUP($A700,物料档案!$A$4:$P$1203,4,0),""))</f>
        <v/>
      </c>
      <c r="D700" s="24">
        <f>IF($A700="","",IFERROR(VLOOKUP($A700,物料档案!$A$4:$P$1203,5,0),""))</f>
        <v/>
      </c>
      <c r="E700" s="24">
        <f>IF($A700="","",IFERROR(VLOOKUP($A700,物料档案!$A$4:$P$1203,2,0),""))</f>
        <v/>
      </c>
      <c r="F700" s="24">
        <f>IF($A700="","",IFERROR(VLOOKUP($A700,物料档案!$A$4:$P$1203,6,0),""))</f>
        <v/>
      </c>
      <c r="G700" s="23" t="n"/>
      <c r="H700" s="32" t="n"/>
      <c r="I700" s="27">
        <f>IF($A700="","",SUMIFS(入库单!$K$4:$K$2503,入库单!$G$4:$G$2503,$A700,入库单!$X$4:$X$2503,"采购入库",入库单!$Z$4:$Z$2503,"正常",入库单!$C$4:$C$2503,"&gt;="&amp;账期起,入库单!$C$4:$C$2503,"&lt;="&amp;账期止))</f>
        <v/>
      </c>
      <c r="J700" s="26">
        <f>IF($A700="","",SUMIFS(入库单!$V$4:$V$2503,入库单!$G$4:$G$2503,$A700,入库单!$X$4:$X$2503,"采购入库",入库单!$Z$4:$Z$2503,"正常",入库单!$C$4:$C$2503,"&gt;="&amp;账期起,入库单!$C$4:$C$2503,"&lt;="&amp;账期止))</f>
        <v/>
      </c>
      <c r="K700" s="26">
        <f>IF($A700="","",IFERROR(ROUND((N($H700)+N($J700))/(N($G700)+N($I700)),2),0))</f>
        <v/>
      </c>
      <c r="L700" s="27">
        <f>IF($A700="","",SUMIFS(入库单!$K$4:$K$2503,入库单!$G$4:$G$2503,$A700,入库单!$X$4:$X$2503,"盘盈",入库单!$Z$4:$Z$2503,"正常",入库单!$C$4:$C$2503,"&gt;="&amp;账期起,入库单!$C$4:$C$2503,"&lt;="&amp;账期止))</f>
        <v/>
      </c>
      <c r="M700" s="26">
        <f>IF($A700="","",ROUND($L700*$K700,0))</f>
        <v/>
      </c>
      <c r="N700" s="27">
        <f>IF($A700="","",SUMIFS(入库单!$K$4:$K$2503,入库单!$G$4:$G$2503,$A700,入库单!$X$4:$X$2503,"矿区退库",入库单!$Z$4:$Z$2503,"正常",入库单!$C$4:$C$2503,"&gt;="&amp;账期起,入库单!$C$4:$C$2503,"&lt;="&amp;账期止))</f>
        <v/>
      </c>
      <c r="O700" s="26">
        <f>IF($A700="","",ROUND($N700*$K700,0))</f>
        <v/>
      </c>
      <c r="P700" s="27">
        <f>IF($A700="","",SUMIFS(出库单!$J$4:$J$4003,出库单!$D$4:$D$4003,$A700,出库单!$K$4:$K$4003,"自用消耗",出库单!$U$4:$U$4003,"正常",出库单!$C$4:$C$4003,"&gt;="&amp;账期起,出库单!$C$4:$C$4003,"&lt;="&amp;账期止))</f>
        <v/>
      </c>
      <c r="Q700" s="26">
        <f>IF($A700="","",ROUND(SUMIFS(出库单!$S$4:$S$4003,出库单!$D$4:$D$4003,$A700,出库单!$K$4:$K$4003,"自用消耗",出库单!$U$4:$U$4003,"正常",出库单!$C$4:$C$4003,"&gt;="&amp;账期起,出库单!$C$4:$C$4003,"&lt;="&amp;账期止),0))</f>
        <v/>
      </c>
      <c r="R700" s="27">
        <f>IF($A700="","",SUMIFS(出库单!$J$4:$J$4003,出库单!$D$4:$D$4003,$A700,出库单!$K$4:$K$4003,"对外销售",出库单!$U$4:$U$4003,"正常",出库单!$C$4:$C$4003,"&gt;="&amp;账期起,出库单!$C$4:$C$4003,"&lt;="&amp;账期止))</f>
        <v/>
      </c>
      <c r="S700" s="26">
        <f>IF($A700="","",ROUND(SUMIFS(出库单!$S$4:$S$4003,出库单!$D$4:$D$4003,$A700,出库单!$K$4:$K$4003,"对外销售",出库单!$U$4:$U$4003,"正常",出库单!$C$4:$C$4003,"&gt;="&amp;账期起,出库单!$C$4:$C$4003,"&lt;="&amp;账期止),0))</f>
        <v/>
      </c>
      <c r="T700" s="27">
        <f>IF($A700="","",SUMIFS(出库单!$J$4:$J$4003,出库单!$D$4:$D$4003,$A700,出库单!$K$4:$K$4003,"盘亏",出库单!$U$4:$U$4003,"正常",出库单!$C$4:$C$4003,"&gt;="&amp;账期起,出库单!$C$4:$C$4003,"&lt;="&amp;账期止))</f>
        <v/>
      </c>
      <c r="U700" s="26">
        <f>IF($A700="","",ROUND(SUMIFS(出库单!$S$4:$S$4003,出库单!$D$4:$D$4003,$A700,出库单!$K$4:$K$4003,"盘亏",出库单!$U$4:$U$4003,"正常",出库单!$C$4:$C$4003,"&gt;="&amp;账期起,出库单!$C$4:$C$4003,"&lt;="&amp;账期止),0))</f>
        <v/>
      </c>
      <c r="V700" s="27">
        <f>IF($A700="","",SUMIFS(出库单!$J$4:$J$4003,出库单!$D$4:$D$4003,$A700,出库单!$K$4:$K$4003,"退货给供应商",出库单!$U$4:$U$4003,"正常",出库单!$C$4:$C$4003,"&gt;="&amp;账期起,出库单!$C$4:$C$4003,"&lt;="&amp;账期止))</f>
        <v/>
      </c>
      <c r="W700" s="26">
        <f>IF($A700="","",ROUND(SUMIFS(出库单!$S$4:$S$4003,出库单!$D$4:$D$4003,$A700,出库单!$K$4:$K$4003,"退货给供应商",出库单!$U$4:$U$4003,"正常",出库单!$C$4:$C$4003,"&gt;="&amp;账期起,出库单!$C$4:$C$4003,"&lt;="&amp;账期止),0))</f>
        <v/>
      </c>
      <c r="X700" s="27">
        <f>IF($A700="","",ROUND(N($G700)+$I700+$L700+$N700-$P700-$R700-$T700-$V700,3))</f>
        <v/>
      </c>
      <c r="Y700" s="26">
        <f>IF($A700="","",ROUND(N($H700)+$J700+$M700+$O700-$Q700-$S700-$U700-$W700,0))</f>
        <v/>
      </c>
      <c r="Z700" s="24">
        <f>IF($A700="","",IF(COUNTIFS(入库单!$G$4:$G$2503,$A700,入库单!$Y$4:$Y$2503,"待补价")+COUNTIFS(入库单!$G$4:$G$2503,$A700,入库单!$Y$4:$Y$2503,"暂估")&gt;0,"不可信","可信"))</f>
        <v/>
      </c>
      <c r="AA700" s="24">
        <f>IF($A700="","",IF($X700&lt;-0.001,"※账面负库存，查一下是不是漏记入库",IF(AND(ROUND($X700,3)=0,ABS($Y700)&gt;1),"※数量已经是 0，金额还挂着 "&amp;TEXT($Y700,"#,##0")&amp;" 先令",IF(AND($X700&gt;0,$Y700&lt;=0,$K700=0),"※有数量没金额（这个物料一直没填过进价）",IF($Z700="不可信","△成本含待补价/暂估，毛利仅供参考","")))))</f>
        <v/>
      </c>
    </row>
    <row r="701">
      <c r="A701" s="24">
        <f>IF(物料档案!$A700="","",物料档案!$A700)</f>
        <v/>
      </c>
      <c r="B701" s="24">
        <f>IF($A701="","",IFERROR(VLOOKUP($A701,物料档案!$A$4:$P$1203,3,0),""))</f>
        <v/>
      </c>
      <c r="C701" s="24">
        <f>IF($A701="","",IFERROR(VLOOKUP($A701,物料档案!$A$4:$P$1203,4,0),""))</f>
        <v/>
      </c>
      <c r="D701" s="24">
        <f>IF($A701="","",IFERROR(VLOOKUP($A701,物料档案!$A$4:$P$1203,5,0),""))</f>
        <v/>
      </c>
      <c r="E701" s="24">
        <f>IF($A701="","",IFERROR(VLOOKUP($A701,物料档案!$A$4:$P$1203,2,0),""))</f>
        <v/>
      </c>
      <c r="F701" s="24">
        <f>IF($A701="","",IFERROR(VLOOKUP($A701,物料档案!$A$4:$P$1203,6,0),""))</f>
        <v/>
      </c>
      <c r="G701" s="23" t="n"/>
      <c r="H701" s="32" t="n"/>
      <c r="I701" s="27">
        <f>IF($A701="","",SUMIFS(入库单!$K$4:$K$2503,入库单!$G$4:$G$2503,$A701,入库单!$X$4:$X$2503,"采购入库",入库单!$Z$4:$Z$2503,"正常",入库单!$C$4:$C$2503,"&gt;="&amp;账期起,入库单!$C$4:$C$2503,"&lt;="&amp;账期止))</f>
        <v/>
      </c>
      <c r="J701" s="26">
        <f>IF($A701="","",SUMIFS(入库单!$V$4:$V$2503,入库单!$G$4:$G$2503,$A701,入库单!$X$4:$X$2503,"采购入库",入库单!$Z$4:$Z$2503,"正常",入库单!$C$4:$C$2503,"&gt;="&amp;账期起,入库单!$C$4:$C$2503,"&lt;="&amp;账期止))</f>
        <v/>
      </c>
      <c r="K701" s="26">
        <f>IF($A701="","",IFERROR(ROUND((N($H701)+N($J701))/(N($G701)+N($I701)),2),0))</f>
        <v/>
      </c>
      <c r="L701" s="27">
        <f>IF($A701="","",SUMIFS(入库单!$K$4:$K$2503,入库单!$G$4:$G$2503,$A701,入库单!$X$4:$X$2503,"盘盈",入库单!$Z$4:$Z$2503,"正常",入库单!$C$4:$C$2503,"&gt;="&amp;账期起,入库单!$C$4:$C$2503,"&lt;="&amp;账期止))</f>
        <v/>
      </c>
      <c r="M701" s="26">
        <f>IF($A701="","",ROUND($L701*$K701,0))</f>
        <v/>
      </c>
      <c r="N701" s="27">
        <f>IF($A701="","",SUMIFS(入库单!$K$4:$K$2503,入库单!$G$4:$G$2503,$A701,入库单!$X$4:$X$2503,"矿区退库",入库单!$Z$4:$Z$2503,"正常",入库单!$C$4:$C$2503,"&gt;="&amp;账期起,入库单!$C$4:$C$2503,"&lt;="&amp;账期止))</f>
        <v/>
      </c>
      <c r="O701" s="26">
        <f>IF($A701="","",ROUND($N701*$K701,0))</f>
        <v/>
      </c>
      <c r="P701" s="27">
        <f>IF($A701="","",SUMIFS(出库单!$J$4:$J$4003,出库单!$D$4:$D$4003,$A701,出库单!$K$4:$K$4003,"自用消耗",出库单!$U$4:$U$4003,"正常",出库单!$C$4:$C$4003,"&gt;="&amp;账期起,出库单!$C$4:$C$4003,"&lt;="&amp;账期止))</f>
        <v/>
      </c>
      <c r="Q701" s="26">
        <f>IF($A701="","",ROUND(SUMIFS(出库单!$S$4:$S$4003,出库单!$D$4:$D$4003,$A701,出库单!$K$4:$K$4003,"自用消耗",出库单!$U$4:$U$4003,"正常",出库单!$C$4:$C$4003,"&gt;="&amp;账期起,出库单!$C$4:$C$4003,"&lt;="&amp;账期止),0))</f>
        <v/>
      </c>
      <c r="R701" s="27">
        <f>IF($A701="","",SUMIFS(出库单!$J$4:$J$4003,出库单!$D$4:$D$4003,$A701,出库单!$K$4:$K$4003,"对外销售",出库单!$U$4:$U$4003,"正常",出库单!$C$4:$C$4003,"&gt;="&amp;账期起,出库单!$C$4:$C$4003,"&lt;="&amp;账期止))</f>
        <v/>
      </c>
      <c r="S701" s="26">
        <f>IF($A701="","",ROUND(SUMIFS(出库单!$S$4:$S$4003,出库单!$D$4:$D$4003,$A701,出库单!$K$4:$K$4003,"对外销售",出库单!$U$4:$U$4003,"正常",出库单!$C$4:$C$4003,"&gt;="&amp;账期起,出库单!$C$4:$C$4003,"&lt;="&amp;账期止),0))</f>
        <v/>
      </c>
      <c r="T701" s="27">
        <f>IF($A701="","",SUMIFS(出库单!$J$4:$J$4003,出库单!$D$4:$D$4003,$A701,出库单!$K$4:$K$4003,"盘亏",出库单!$U$4:$U$4003,"正常",出库单!$C$4:$C$4003,"&gt;="&amp;账期起,出库单!$C$4:$C$4003,"&lt;="&amp;账期止))</f>
        <v/>
      </c>
      <c r="U701" s="26">
        <f>IF($A701="","",ROUND(SUMIFS(出库单!$S$4:$S$4003,出库单!$D$4:$D$4003,$A701,出库单!$K$4:$K$4003,"盘亏",出库单!$U$4:$U$4003,"正常",出库单!$C$4:$C$4003,"&gt;="&amp;账期起,出库单!$C$4:$C$4003,"&lt;="&amp;账期止),0))</f>
        <v/>
      </c>
      <c r="V701" s="27">
        <f>IF($A701="","",SUMIFS(出库单!$J$4:$J$4003,出库单!$D$4:$D$4003,$A701,出库单!$K$4:$K$4003,"退货给供应商",出库单!$U$4:$U$4003,"正常",出库单!$C$4:$C$4003,"&gt;="&amp;账期起,出库单!$C$4:$C$4003,"&lt;="&amp;账期止))</f>
        <v/>
      </c>
      <c r="W701" s="26">
        <f>IF($A701="","",ROUND(SUMIFS(出库单!$S$4:$S$4003,出库单!$D$4:$D$4003,$A701,出库单!$K$4:$K$4003,"退货给供应商",出库单!$U$4:$U$4003,"正常",出库单!$C$4:$C$4003,"&gt;="&amp;账期起,出库单!$C$4:$C$4003,"&lt;="&amp;账期止),0))</f>
        <v/>
      </c>
      <c r="X701" s="27">
        <f>IF($A701="","",ROUND(N($G701)+$I701+$L701+$N701-$P701-$R701-$T701-$V701,3))</f>
        <v/>
      </c>
      <c r="Y701" s="26">
        <f>IF($A701="","",ROUND(N($H701)+$J701+$M701+$O701-$Q701-$S701-$U701-$W701,0))</f>
        <v/>
      </c>
      <c r="Z701" s="24">
        <f>IF($A701="","",IF(COUNTIFS(入库单!$G$4:$G$2503,$A701,入库单!$Y$4:$Y$2503,"待补价")+COUNTIFS(入库单!$G$4:$G$2503,$A701,入库单!$Y$4:$Y$2503,"暂估")&gt;0,"不可信","可信"))</f>
        <v/>
      </c>
      <c r="AA701" s="24">
        <f>IF($A701="","",IF($X701&lt;-0.001,"※账面负库存，查一下是不是漏记入库",IF(AND(ROUND($X701,3)=0,ABS($Y701)&gt;1),"※数量已经是 0，金额还挂着 "&amp;TEXT($Y701,"#,##0")&amp;" 先令",IF(AND($X701&gt;0,$Y701&lt;=0,$K701=0),"※有数量没金额（这个物料一直没填过进价）",IF($Z701="不可信","△成本含待补价/暂估，毛利仅供参考","")))))</f>
        <v/>
      </c>
    </row>
    <row r="702">
      <c r="A702" s="24">
        <f>IF(物料档案!$A701="","",物料档案!$A701)</f>
        <v/>
      </c>
      <c r="B702" s="24">
        <f>IF($A702="","",IFERROR(VLOOKUP($A702,物料档案!$A$4:$P$1203,3,0),""))</f>
        <v/>
      </c>
      <c r="C702" s="24">
        <f>IF($A702="","",IFERROR(VLOOKUP($A702,物料档案!$A$4:$P$1203,4,0),""))</f>
        <v/>
      </c>
      <c r="D702" s="24">
        <f>IF($A702="","",IFERROR(VLOOKUP($A702,物料档案!$A$4:$P$1203,5,0),""))</f>
        <v/>
      </c>
      <c r="E702" s="24">
        <f>IF($A702="","",IFERROR(VLOOKUP($A702,物料档案!$A$4:$P$1203,2,0),""))</f>
        <v/>
      </c>
      <c r="F702" s="24">
        <f>IF($A702="","",IFERROR(VLOOKUP($A702,物料档案!$A$4:$P$1203,6,0),""))</f>
        <v/>
      </c>
      <c r="G702" s="23" t="n"/>
      <c r="H702" s="32" t="n"/>
      <c r="I702" s="27">
        <f>IF($A702="","",SUMIFS(入库单!$K$4:$K$2503,入库单!$G$4:$G$2503,$A702,入库单!$X$4:$X$2503,"采购入库",入库单!$Z$4:$Z$2503,"正常",入库单!$C$4:$C$2503,"&gt;="&amp;账期起,入库单!$C$4:$C$2503,"&lt;="&amp;账期止))</f>
        <v/>
      </c>
      <c r="J702" s="26">
        <f>IF($A702="","",SUMIFS(入库单!$V$4:$V$2503,入库单!$G$4:$G$2503,$A702,入库单!$X$4:$X$2503,"采购入库",入库单!$Z$4:$Z$2503,"正常",入库单!$C$4:$C$2503,"&gt;="&amp;账期起,入库单!$C$4:$C$2503,"&lt;="&amp;账期止))</f>
        <v/>
      </c>
      <c r="K702" s="26">
        <f>IF($A702="","",IFERROR(ROUND((N($H702)+N($J702))/(N($G702)+N($I702)),2),0))</f>
        <v/>
      </c>
      <c r="L702" s="27">
        <f>IF($A702="","",SUMIFS(入库单!$K$4:$K$2503,入库单!$G$4:$G$2503,$A702,入库单!$X$4:$X$2503,"盘盈",入库单!$Z$4:$Z$2503,"正常",入库单!$C$4:$C$2503,"&gt;="&amp;账期起,入库单!$C$4:$C$2503,"&lt;="&amp;账期止))</f>
        <v/>
      </c>
      <c r="M702" s="26">
        <f>IF($A702="","",ROUND($L702*$K702,0))</f>
        <v/>
      </c>
      <c r="N702" s="27">
        <f>IF($A702="","",SUMIFS(入库单!$K$4:$K$2503,入库单!$G$4:$G$2503,$A702,入库单!$X$4:$X$2503,"矿区退库",入库单!$Z$4:$Z$2503,"正常",入库单!$C$4:$C$2503,"&gt;="&amp;账期起,入库单!$C$4:$C$2503,"&lt;="&amp;账期止))</f>
        <v/>
      </c>
      <c r="O702" s="26">
        <f>IF($A702="","",ROUND($N702*$K702,0))</f>
        <v/>
      </c>
      <c r="P702" s="27">
        <f>IF($A702="","",SUMIFS(出库单!$J$4:$J$4003,出库单!$D$4:$D$4003,$A702,出库单!$K$4:$K$4003,"自用消耗",出库单!$U$4:$U$4003,"正常",出库单!$C$4:$C$4003,"&gt;="&amp;账期起,出库单!$C$4:$C$4003,"&lt;="&amp;账期止))</f>
        <v/>
      </c>
      <c r="Q702" s="26">
        <f>IF($A702="","",ROUND(SUMIFS(出库单!$S$4:$S$4003,出库单!$D$4:$D$4003,$A702,出库单!$K$4:$K$4003,"自用消耗",出库单!$U$4:$U$4003,"正常",出库单!$C$4:$C$4003,"&gt;="&amp;账期起,出库单!$C$4:$C$4003,"&lt;="&amp;账期止),0))</f>
        <v/>
      </c>
      <c r="R702" s="27">
        <f>IF($A702="","",SUMIFS(出库单!$J$4:$J$4003,出库单!$D$4:$D$4003,$A702,出库单!$K$4:$K$4003,"对外销售",出库单!$U$4:$U$4003,"正常",出库单!$C$4:$C$4003,"&gt;="&amp;账期起,出库单!$C$4:$C$4003,"&lt;="&amp;账期止))</f>
        <v/>
      </c>
      <c r="S702" s="26">
        <f>IF($A702="","",ROUND(SUMIFS(出库单!$S$4:$S$4003,出库单!$D$4:$D$4003,$A702,出库单!$K$4:$K$4003,"对外销售",出库单!$U$4:$U$4003,"正常",出库单!$C$4:$C$4003,"&gt;="&amp;账期起,出库单!$C$4:$C$4003,"&lt;="&amp;账期止),0))</f>
        <v/>
      </c>
      <c r="T702" s="27">
        <f>IF($A702="","",SUMIFS(出库单!$J$4:$J$4003,出库单!$D$4:$D$4003,$A702,出库单!$K$4:$K$4003,"盘亏",出库单!$U$4:$U$4003,"正常",出库单!$C$4:$C$4003,"&gt;="&amp;账期起,出库单!$C$4:$C$4003,"&lt;="&amp;账期止))</f>
        <v/>
      </c>
      <c r="U702" s="26">
        <f>IF($A702="","",ROUND(SUMIFS(出库单!$S$4:$S$4003,出库单!$D$4:$D$4003,$A702,出库单!$K$4:$K$4003,"盘亏",出库单!$U$4:$U$4003,"正常",出库单!$C$4:$C$4003,"&gt;="&amp;账期起,出库单!$C$4:$C$4003,"&lt;="&amp;账期止),0))</f>
        <v/>
      </c>
      <c r="V702" s="27">
        <f>IF($A702="","",SUMIFS(出库单!$J$4:$J$4003,出库单!$D$4:$D$4003,$A702,出库单!$K$4:$K$4003,"退货给供应商",出库单!$U$4:$U$4003,"正常",出库单!$C$4:$C$4003,"&gt;="&amp;账期起,出库单!$C$4:$C$4003,"&lt;="&amp;账期止))</f>
        <v/>
      </c>
      <c r="W702" s="26">
        <f>IF($A702="","",ROUND(SUMIFS(出库单!$S$4:$S$4003,出库单!$D$4:$D$4003,$A702,出库单!$K$4:$K$4003,"退货给供应商",出库单!$U$4:$U$4003,"正常",出库单!$C$4:$C$4003,"&gt;="&amp;账期起,出库单!$C$4:$C$4003,"&lt;="&amp;账期止),0))</f>
        <v/>
      </c>
      <c r="X702" s="27">
        <f>IF($A702="","",ROUND(N($G702)+$I702+$L702+$N702-$P702-$R702-$T702-$V702,3))</f>
        <v/>
      </c>
      <c r="Y702" s="26">
        <f>IF($A702="","",ROUND(N($H702)+$J702+$M702+$O702-$Q702-$S702-$U702-$W702,0))</f>
        <v/>
      </c>
      <c r="Z702" s="24">
        <f>IF($A702="","",IF(COUNTIFS(入库单!$G$4:$G$2503,$A702,入库单!$Y$4:$Y$2503,"待补价")+COUNTIFS(入库单!$G$4:$G$2503,$A702,入库单!$Y$4:$Y$2503,"暂估")&gt;0,"不可信","可信"))</f>
        <v/>
      </c>
      <c r="AA702" s="24">
        <f>IF($A702="","",IF($X702&lt;-0.001,"※账面负库存，查一下是不是漏记入库",IF(AND(ROUND($X702,3)=0,ABS($Y702)&gt;1),"※数量已经是 0，金额还挂着 "&amp;TEXT($Y702,"#,##0")&amp;" 先令",IF(AND($X702&gt;0,$Y702&lt;=0,$K702=0),"※有数量没金额（这个物料一直没填过进价）",IF($Z702="不可信","△成本含待补价/暂估，毛利仅供参考","")))))</f>
        <v/>
      </c>
    </row>
    <row r="703">
      <c r="A703" s="24">
        <f>IF(物料档案!$A702="","",物料档案!$A702)</f>
        <v/>
      </c>
      <c r="B703" s="24">
        <f>IF($A703="","",IFERROR(VLOOKUP($A703,物料档案!$A$4:$P$1203,3,0),""))</f>
        <v/>
      </c>
      <c r="C703" s="24">
        <f>IF($A703="","",IFERROR(VLOOKUP($A703,物料档案!$A$4:$P$1203,4,0),""))</f>
        <v/>
      </c>
      <c r="D703" s="24">
        <f>IF($A703="","",IFERROR(VLOOKUP($A703,物料档案!$A$4:$P$1203,5,0),""))</f>
        <v/>
      </c>
      <c r="E703" s="24">
        <f>IF($A703="","",IFERROR(VLOOKUP($A703,物料档案!$A$4:$P$1203,2,0),""))</f>
        <v/>
      </c>
      <c r="F703" s="24">
        <f>IF($A703="","",IFERROR(VLOOKUP($A703,物料档案!$A$4:$P$1203,6,0),""))</f>
        <v/>
      </c>
      <c r="G703" s="23" t="n"/>
      <c r="H703" s="32" t="n"/>
      <c r="I703" s="27">
        <f>IF($A703="","",SUMIFS(入库单!$K$4:$K$2503,入库单!$G$4:$G$2503,$A703,入库单!$X$4:$X$2503,"采购入库",入库单!$Z$4:$Z$2503,"正常",入库单!$C$4:$C$2503,"&gt;="&amp;账期起,入库单!$C$4:$C$2503,"&lt;="&amp;账期止))</f>
        <v/>
      </c>
      <c r="J703" s="26">
        <f>IF($A703="","",SUMIFS(入库单!$V$4:$V$2503,入库单!$G$4:$G$2503,$A703,入库单!$X$4:$X$2503,"采购入库",入库单!$Z$4:$Z$2503,"正常",入库单!$C$4:$C$2503,"&gt;="&amp;账期起,入库单!$C$4:$C$2503,"&lt;="&amp;账期止))</f>
        <v/>
      </c>
      <c r="K703" s="26">
        <f>IF($A703="","",IFERROR(ROUND((N($H703)+N($J703))/(N($G703)+N($I703)),2),0))</f>
        <v/>
      </c>
      <c r="L703" s="27">
        <f>IF($A703="","",SUMIFS(入库单!$K$4:$K$2503,入库单!$G$4:$G$2503,$A703,入库单!$X$4:$X$2503,"盘盈",入库单!$Z$4:$Z$2503,"正常",入库单!$C$4:$C$2503,"&gt;="&amp;账期起,入库单!$C$4:$C$2503,"&lt;="&amp;账期止))</f>
        <v/>
      </c>
      <c r="M703" s="26">
        <f>IF($A703="","",ROUND($L703*$K703,0))</f>
        <v/>
      </c>
      <c r="N703" s="27">
        <f>IF($A703="","",SUMIFS(入库单!$K$4:$K$2503,入库单!$G$4:$G$2503,$A703,入库单!$X$4:$X$2503,"矿区退库",入库单!$Z$4:$Z$2503,"正常",入库单!$C$4:$C$2503,"&gt;="&amp;账期起,入库单!$C$4:$C$2503,"&lt;="&amp;账期止))</f>
        <v/>
      </c>
      <c r="O703" s="26">
        <f>IF($A703="","",ROUND($N703*$K703,0))</f>
        <v/>
      </c>
      <c r="P703" s="27">
        <f>IF($A703="","",SUMIFS(出库单!$J$4:$J$4003,出库单!$D$4:$D$4003,$A703,出库单!$K$4:$K$4003,"自用消耗",出库单!$U$4:$U$4003,"正常",出库单!$C$4:$C$4003,"&gt;="&amp;账期起,出库单!$C$4:$C$4003,"&lt;="&amp;账期止))</f>
        <v/>
      </c>
      <c r="Q703" s="26">
        <f>IF($A703="","",ROUND(SUMIFS(出库单!$S$4:$S$4003,出库单!$D$4:$D$4003,$A703,出库单!$K$4:$K$4003,"自用消耗",出库单!$U$4:$U$4003,"正常",出库单!$C$4:$C$4003,"&gt;="&amp;账期起,出库单!$C$4:$C$4003,"&lt;="&amp;账期止),0))</f>
        <v/>
      </c>
      <c r="R703" s="27">
        <f>IF($A703="","",SUMIFS(出库单!$J$4:$J$4003,出库单!$D$4:$D$4003,$A703,出库单!$K$4:$K$4003,"对外销售",出库单!$U$4:$U$4003,"正常",出库单!$C$4:$C$4003,"&gt;="&amp;账期起,出库单!$C$4:$C$4003,"&lt;="&amp;账期止))</f>
        <v/>
      </c>
      <c r="S703" s="26">
        <f>IF($A703="","",ROUND(SUMIFS(出库单!$S$4:$S$4003,出库单!$D$4:$D$4003,$A703,出库单!$K$4:$K$4003,"对外销售",出库单!$U$4:$U$4003,"正常",出库单!$C$4:$C$4003,"&gt;="&amp;账期起,出库单!$C$4:$C$4003,"&lt;="&amp;账期止),0))</f>
        <v/>
      </c>
      <c r="T703" s="27">
        <f>IF($A703="","",SUMIFS(出库单!$J$4:$J$4003,出库单!$D$4:$D$4003,$A703,出库单!$K$4:$K$4003,"盘亏",出库单!$U$4:$U$4003,"正常",出库单!$C$4:$C$4003,"&gt;="&amp;账期起,出库单!$C$4:$C$4003,"&lt;="&amp;账期止))</f>
        <v/>
      </c>
      <c r="U703" s="26">
        <f>IF($A703="","",ROUND(SUMIFS(出库单!$S$4:$S$4003,出库单!$D$4:$D$4003,$A703,出库单!$K$4:$K$4003,"盘亏",出库单!$U$4:$U$4003,"正常",出库单!$C$4:$C$4003,"&gt;="&amp;账期起,出库单!$C$4:$C$4003,"&lt;="&amp;账期止),0))</f>
        <v/>
      </c>
      <c r="V703" s="27">
        <f>IF($A703="","",SUMIFS(出库单!$J$4:$J$4003,出库单!$D$4:$D$4003,$A703,出库单!$K$4:$K$4003,"退货给供应商",出库单!$U$4:$U$4003,"正常",出库单!$C$4:$C$4003,"&gt;="&amp;账期起,出库单!$C$4:$C$4003,"&lt;="&amp;账期止))</f>
        <v/>
      </c>
      <c r="W703" s="26">
        <f>IF($A703="","",ROUND(SUMIFS(出库单!$S$4:$S$4003,出库单!$D$4:$D$4003,$A703,出库单!$K$4:$K$4003,"退货给供应商",出库单!$U$4:$U$4003,"正常",出库单!$C$4:$C$4003,"&gt;="&amp;账期起,出库单!$C$4:$C$4003,"&lt;="&amp;账期止),0))</f>
        <v/>
      </c>
      <c r="X703" s="27">
        <f>IF($A703="","",ROUND(N($G703)+$I703+$L703+$N703-$P703-$R703-$T703-$V703,3))</f>
        <v/>
      </c>
      <c r="Y703" s="26">
        <f>IF($A703="","",ROUND(N($H703)+$J703+$M703+$O703-$Q703-$S703-$U703-$W703,0))</f>
        <v/>
      </c>
      <c r="Z703" s="24">
        <f>IF($A703="","",IF(COUNTIFS(入库单!$G$4:$G$2503,$A703,入库单!$Y$4:$Y$2503,"待补价")+COUNTIFS(入库单!$G$4:$G$2503,$A703,入库单!$Y$4:$Y$2503,"暂估")&gt;0,"不可信","可信"))</f>
        <v/>
      </c>
      <c r="AA703" s="24">
        <f>IF($A703="","",IF($X703&lt;-0.001,"※账面负库存，查一下是不是漏记入库",IF(AND(ROUND($X703,3)=0,ABS($Y703)&gt;1),"※数量已经是 0，金额还挂着 "&amp;TEXT($Y703,"#,##0")&amp;" 先令",IF(AND($X703&gt;0,$Y703&lt;=0,$K703=0),"※有数量没金额（这个物料一直没填过进价）",IF($Z703="不可信","△成本含待补价/暂估，毛利仅供参考","")))))</f>
        <v/>
      </c>
    </row>
    <row r="704">
      <c r="A704" s="24">
        <f>IF(物料档案!$A703="","",物料档案!$A703)</f>
        <v/>
      </c>
      <c r="B704" s="24">
        <f>IF($A704="","",IFERROR(VLOOKUP($A704,物料档案!$A$4:$P$1203,3,0),""))</f>
        <v/>
      </c>
      <c r="C704" s="24">
        <f>IF($A704="","",IFERROR(VLOOKUP($A704,物料档案!$A$4:$P$1203,4,0),""))</f>
        <v/>
      </c>
      <c r="D704" s="24">
        <f>IF($A704="","",IFERROR(VLOOKUP($A704,物料档案!$A$4:$P$1203,5,0),""))</f>
        <v/>
      </c>
      <c r="E704" s="24">
        <f>IF($A704="","",IFERROR(VLOOKUP($A704,物料档案!$A$4:$P$1203,2,0),""))</f>
        <v/>
      </c>
      <c r="F704" s="24">
        <f>IF($A704="","",IFERROR(VLOOKUP($A704,物料档案!$A$4:$P$1203,6,0),""))</f>
        <v/>
      </c>
      <c r="G704" s="23" t="n"/>
      <c r="H704" s="32" t="n"/>
      <c r="I704" s="27">
        <f>IF($A704="","",SUMIFS(入库单!$K$4:$K$2503,入库单!$G$4:$G$2503,$A704,入库单!$X$4:$X$2503,"采购入库",入库单!$Z$4:$Z$2503,"正常",入库单!$C$4:$C$2503,"&gt;="&amp;账期起,入库单!$C$4:$C$2503,"&lt;="&amp;账期止))</f>
        <v/>
      </c>
      <c r="J704" s="26">
        <f>IF($A704="","",SUMIFS(入库单!$V$4:$V$2503,入库单!$G$4:$G$2503,$A704,入库单!$X$4:$X$2503,"采购入库",入库单!$Z$4:$Z$2503,"正常",入库单!$C$4:$C$2503,"&gt;="&amp;账期起,入库单!$C$4:$C$2503,"&lt;="&amp;账期止))</f>
        <v/>
      </c>
      <c r="K704" s="26">
        <f>IF($A704="","",IFERROR(ROUND((N($H704)+N($J704))/(N($G704)+N($I704)),2),0))</f>
        <v/>
      </c>
      <c r="L704" s="27">
        <f>IF($A704="","",SUMIFS(入库单!$K$4:$K$2503,入库单!$G$4:$G$2503,$A704,入库单!$X$4:$X$2503,"盘盈",入库单!$Z$4:$Z$2503,"正常",入库单!$C$4:$C$2503,"&gt;="&amp;账期起,入库单!$C$4:$C$2503,"&lt;="&amp;账期止))</f>
        <v/>
      </c>
      <c r="M704" s="26">
        <f>IF($A704="","",ROUND($L704*$K704,0))</f>
        <v/>
      </c>
      <c r="N704" s="27">
        <f>IF($A704="","",SUMIFS(入库单!$K$4:$K$2503,入库单!$G$4:$G$2503,$A704,入库单!$X$4:$X$2503,"矿区退库",入库单!$Z$4:$Z$2503,"正常",入库单!$C$4:$C$2503,"&gt;="&amp;账期起,入库单!$C$4:$C$2503,"&lt;="&amp;账期止))</f>
        <v/>
      </c>
      <c r="O704" s="26">
        <f>IF($A704="","",ROUND($N704*$K704,0))</f>
        <v/>
      </c>
      <c r="P704" s="27">
        <f>IF($A704="","",SUMIFS(出库单!$J$4:$J$4003,出库单!$D$4:$D$4003,$A704,出库单!$K$4:$K$4003,"自用消耗",出库单!$U$4:$U$4003,"正常",出库单!$C$4:$C$4003,"&gt;="&amp;账期起,出库单!$C$4:$C$4003,"&lt;="&amp;账期止))</f>
        <v/>
      </c>
      <c r="Q704" s="26">
        <f>IF($A704="","",ROUND(SUMIFS(出库单!$S$4:$S$4003,出库单!$D$4:$D$4003,$A704,出库单!$K$4:$K$4003,"自用消耗",出库单!$U$4:$U$4003,"正常",出库单!$C$4:$C$4003,"&gt;="&amp;账期起,出库单!$C$4:$C$4003,"&lt;="&amp;账期止),0))</f>
        <v/>
      </c>
      <c r="R704" s="27">
        <f>IF($A704="","",SUMIFS(出库单!$J$4:$J$4003,出库单!$D$4:$D$4003,$A704,出库单!$K$4:$K$4003,"对外销售",出库单!$U$4:$U$4003,"正常",出库单!$C$4:$C$4003,"&gt;="&amp;账期起,出库单!$C$4:$C$4003,"&lt;="&amp;账期止))</f>
        <v/>
      </c>
      <c r="S704" s="26">
        <f>IF($A704="","",ROUND(SUMIFS(出库单!$S$4:$S$4003,出库单!$D$4:$D$4003,$A704,出库单!$K$4:$K$4003,"对外销售",出库单!$U$4:$U$4003,"正常",出库单!$C$4:$C$4003,"&gt;="&amp;账期起,出库单!$C$4:$C$4003,"&lt;="&amp;账期止),0))</f>
        <v/>
      </c>
      <c r="T704" s="27">
        <f>IF($A704="","",SUMIFS(出库单!$J$4:$J$4003,出库单!$D$4:$D$4003,$A704,出库单!$K$4:$K$4003,"盘亏",出库单!$U$4:$U$4003,"正常",出库单!$C$4:$C$4003,"&gt;="&amp;账期起,出库单!$C$4:$C$4003,"&lt;="&amp;账期止))</f>
        <v/>
      </c>
      <c r="U704" s="26">
        <f>IF($A704="","",ROUND(SUMIFS(出库单!$S$4:$S$4003,出库单!$D$4:$D$4003,$A704,出库单!$K$4:$K$4003,"盘亏",出库单!$U$4:$U$4003,"正常",出库单!$C$4:$C$4003,"&gt;="&amp;账期起,出库单!$C$4:$C$4003,"&lt;="&amp;账期止),0))</f>
        <v/>
      </c>
      <c r="V704" s="27">
        <f>IF($A704="","",SUMIFS(出库单!$J$4:$J$4003,出库单!$D$4:$D$4003,$A704,出库单!$K$4:$K$4003,"退货给供应商",出库单!$U$4:$U$4003,"正常",出库单!$C$4:$C$4003,"&gt;="&amp;账期起,出库单!$C$4:$C$4003,"&lt;="&amp;账期止))</f>
        <v/>
      </c>
      <c r="W704" s="26">
        <f>IF($A704="","",ROUND(SUMIFS(出库单!$S$4:$S$4003,出库单!$D$4:$D$4003,$A704,出库单!$K$4:$K$4003,"退货给供应商",出库单!$U$4:$U$4003,"正常",出库单!$C$4:$C$4003,"&gt;="&amp;账期起,出库单!$C$4:$C$4003,"&lt;="&amp;账期止),0))</f>
        <v/>
      </c>
      <c r="X704" s="27">
        <f>IF($A704="","",ROUND(N($G704)+$I704+$L704+$N704-$P704-$R704-$T704-$V704,3))</f>
        <v/>
      </c>
      <c r="Y704" s="26">
        <f>IF($A704="","",ROUND(N($H704)+$J704+$M704+$O704-$Q704-$S704-$U704-$W704,0))</f>
        <v/>
      </c>
      <c r="Z704" s="24">
        <f>IF($A704="","",IF(COUNTIFS(入库单!$G$4:$G$2503,$A704,入库单!$Y$4:$Y$2503,"待补价")+COUNTIFS(入库单!$G$4:$G$2503,$A704,入库单!$Y$4:$Y$2503,"暂估")&gt;0,"不可信","可信"))</f>
        <v/>
      </c>
      <c r="AA704" s="24">
        <f>IF($A704="","",IF($X704&lt;-0.001,"※账面负库存，查一下是不是漏记入库",IF(AND(ROUND($X704,3)=0,ABS($Y704)&gt;1),"※数量已经是 0，金额还挂着 "&amp;TEXT($Y704,"#,##0")&amp;" 先令",IF(AND($X704&gt;0,$Y704&lt;=0,$K704=0),"※有数量没金额（这个物料一直没填过进价）",IF($Z704="不可信","△成本含待补价/暂估，毛利仅供参考","")))))</f>
        <v/>
      </c>
    </row>
    <row r="705">
      <c r="A705" s="24">
        <f>IF(物料档案!$A704="","",物料档案!$A704)</f>
        <v/>
      </c>
      <c r="B705" s="24">
        <f>IF($A705="","",IFERROR(VLOOKUP($A705,物料档案!$A$4:$P$1203,3,0),""))</f>
        <v/>
      </c>
      <c r="C705" s="24">
        <f>IF($A705="","",IFERROR(VLOOKUP($A705,物料档案!$A$4:$P$1203,4,0),""))</f>
        <v/>
      </c>
      <c r="D705" s="24">
        <f>IF($A705="","",IFERROR(VLOOKUP($A705,物料档案!$A$4:$P$1203,5,0),""))</f>
        <v/>
      </c>
      <c r="E705" s="24">
        <f>IF($A705="","",IFERROR(VLOOKUP($A705,物料档案!$A$4:$P$1203,2,0),""))</f>
        <v/>
      </c>
      <c r="F705" s="24">
        <f>IF($A705="","",IFERROR(VLOOKUP($A705,物料档案!$A$4:$P$1203,6,0),""))</f>
        <v/>
      </c>
      <c r="G705" s="23" t="n"/>
      <c r="H705" s="32" t="n"/>
      <c r="I705" s="27">
        <f>IF($A705="","",SUMIFS(入库单!$K$4:$K$2503,入库单!$G$4:$G$2503,$A705,入库单!$X$4:$X$2503,"采购入库",入库单!$Z$4:$Z$2503,"正常",入库单!$C$4:$C$2503,"&gt;="&amp;账期起,入库单!$C$4:$C$2503,"&lt;="&amp;账期止))</f>
        <v/>
      </c>
      <c r="J705" s="26">
        <f>IF($A705="","",SUMIFS(入库单!$V$4:$V$2503,入库单!$G$4:$G$2503,$A705,入库单!$X$4:$X$2503,"采购入库",入库单!$Z$4:$Z$2503,"正常",入库单!$C$4:$C$2503,"&gt;="&amp;账期起,入库单!$C$4:$C$2503,"&lt;="&amp;账期止))</f>
        <v/>
      </c>
      <c r="K705" s="26">
        <f>IF($A705="","",IFERROR(ROUND((N($H705)+N($J705))/(N($G705)+N($I705)),2),0))</f>
        <v/>
      </c>
      <c r="L705" s="27">
        <f>IF($A705="","",SUMIFS(入库单!$K$4:$K$2503,入库单!$G$4:$G$2503,$A705,入库单!$X$4:$X$2503,"盘盈",入库单!$Z$4:$Z$2503,"正常",入库单!$C$4:$C$2503,"&gt;="&amp;账期起,入库单!$C$4:$C$2503,"&lt;="&amp;账期止))</f>
        <v/>
      </c>
      <c r="M705" s="26">
        <f>IF($A705="","",ROUND($L705*$K705,0))</f>
        <v/>
      </c>
      <c r="N705" s="27">
        <f>IF($A705="","",SUMIFS(入库单!$K$4:$K$2503,入库单!$G$4:$G$2503,$A705,入库单!$X$4:$X$2503,"矿区退库",入库单!$Z$4:$Z$2503,"正常",入库单!$C$4:$C$2503,"&gt;="&amp;账期起,入库单!$C$4:$C$2503,"&lt;="&amp;账期止))</f>
        <v/>
      </c>
      <c r="O705" s="26">
        <f>IF($A705="","",ROUND($N705*$K705,0))</f>
        <v/>
      </c>
      <c r="P705" s="27">
        <f>IF($A705="","",SUMIFS(出库单!$J$4:$J$4003,出库单!$D$4:$D$4003,$A705,出库单!$K$4:$K$4003,"自用消耗",出库单!$U$4:$U$4003,"正常",出库单!$C$4:$C$4003,"&gt;="&amp;账期起,出库单!$C$4:$C$4003,"&lt;="&amp;账期止))</f>
        <v/>
      </c>
      <c r="Q705" s="26">
        <f>IF($A705="","",ROUND(SUMIFS(出库单!$S$4:$S$4003,出库单!$D$4:$D$4003,$A705,出库单!$K$4:$K$4003,"自用消耗",出库单!$U$4:$U$4003,"正常",出库单!$C$4:$C$4003,"&gt;="&amp;账期起,出库单!$C$4:$C$4003,"&lt;="&amp;账期止),0))</f>
        <v/>
      </c>
      <c r="R705" s="27">
        <f>IF($A705="","",SUMIFS(出库单!$J$4:$J$4003,出库单!$D$4:$D$4003,$A705,出库单!$K$4:$K$4003,"对外销售",出库单!$U$4:$U$4003,"正常",出库单!$C$4:$C$4003,"&gt;="&amp;账期起,出库单!$C$4:$C$4003,"&lt;="&amp;账期止))</f>
        <v/>
      </c>
      <c r="S705" s="26">
        <f>IF($A705="","",ROUND(SUMIFS(出库单!$S$4:$S$4003,出库单!$D$4:$D$4003,$A705,出库单!$K$4:$K$4003,"对外销售",出库单!$U$4:$U$4003,"正常",出库单!$C$4:$C$4003,"&gt;="&amp;账期起,出库单!$C$4:$C$4003,"&lt;="&amp;账期止),0))</f>
        <v/>
      </c>
      <c r="T705" s="27">
        <f>IF($A705="","",SUMIFS(出库单!$J$4:$J$4003,出库单!$D$4:$D$4003,$A705,出库单!$K$4:$K$4003,"盘亏",出库单!$U$4:$U$4003,"正常",出库单!$C$4:$C$4003,"&gt;="&amp;账期起,出库单!$C$4:$C$4003,"&lt;="&amp;账期止))</f>
        <v/>
      </c>
      <c r="U705" s="26">
        <f>IF($A705="","",ROUND(SUMIFS(出库单!$S$4:$S$4003,出库单!$D$4:$D$4003,$A705,出库单!$K$4:$K$4003,"盘亏",出库单!$U$4:$U$4003,"正常",出库单!$C$4:$C$4003,"&gt;="&amp;账期起,出库单!$C$4:$C$4003,"&lt;="&amp;账期止),0))</f>
        <v/>
      </c>
      <c r="V705" s="27">
        <f>IF($A705="","",SUMIFS(出库单!$J$4:$J$4003,出库单!$D$4:$D$4003,$A705,出库单!$K$4:$K$4003,"退货给供应商",出库单!$U$4:$U$4003,"正常",出库单!$C$4:$C$4003,"&gt;="&amp;账期起,出库单!$C$4:$C$4003,"&lt;="&amp;账期止))</f>
        <v/>
      </c>
      <c r="W705" s="26">
        <f>IF($A705="","",ROUND(SUMIFS(出库单!$S$4:$S$4003,出库单!$D$4:$D$4003,$A705,出库单!$K$4:$K$4003,"退货给供应商",出库单!$U$4:$U$4003,"正常",出库单!$C$4:$C$4003,"&gt;="&amp;账期起,出库单!$C$4:$C$4003,"&lt;="&amp;账期止),0))</f>
        <v/>
      </c>
      <c r="X705" s="27">
        <f>IF($A705="","",ROUND(N($G705)+$I705+$L705+$N705-$P705-$R705-$T705-$V705,3))</f>
        <v/>
      </c>
      <c r="Y705" s="26">
        <f>IF($A705="","",ROUND(N($H705)+$J705+$M705+$O705-$Q705-$S705-$U705-$W705,0))</f>
        <v/>
      </c>
      <c r="Z705" s="24">
        <f>IF($A705="","",IF(COUNTIFS(入库单!$G$4:$G$2503,$A705,入库单!$Y$4:$Y$2503,"待补价")+COUNTIFS(入库单!$G$4:$G$2503,$A705,入库单!$Y$4:$Y$2503,"暂估")&gt;0,"不可信","可信"))</f>
        <v/>
      </c>
      <c r="AA705" s="24">
        <f>IF($A705="","",IF($X705&lt;-0.001,"※账面负库存，查一下是不是漏记入库",IF(AND(ROUND($X705,3)=0,ABS($Y705)&gt;1),"※数量已经是 0，金额还挂着 "&amp;TEXT($Y705,"#,##0")&amp;" 先令",IF(AND($X705&gt;0,$Y705&lt;=0,$K705=0),"※有数量没金额（这个物料一直没填过进价）",IF($Z705="不可信","△成本含待补价/暂估，毛利仅供参考","")))))</f>
        <v/>
      </c>
    </row>
    <row r="706">
      <c r="A706" s="24">
        <f>IF(物料档案!$A705="","",物料档案!$A705)</f>
        <v/>
      </c>
      <c r="B706" s="24">
        <f>IF($A706="","",IFERROR(VLOOKUP($A706,物料档案!$A$4:$P$1203,3,0),""))</f>
        <v/>
      </c>
      <c r="C706" s="24">
        <f>IF($A706="","",IFERROR(VLOOKUP($A706,物料档案!$A$4:$P$1203,4,0),""))</f>
        <v/>
      </c>
      <c r="D706" s="24">
        <f>IF($A706="","",IFERROR(VLOOKUP($A706,物料档案!$A$4:$P$1203,5,0),""))</f>
        <v/>
      </c>
      <c r="E706" s="24">
        <f>IF($A706="","",IFERROR(VLOOKUP($A706,物料档案!$A$4:$P$1203,2,0),""))</f>
        <v/>
      </c>
      <c r="F706" s="24">
        <f>IF($A706="","",IFERROR(VLOOKUP($A706,物料档案!$A$4:$P$1203,6,0),""))</f>
        <v/>
      </c>
      <c r="G706" s="23" t="n"/>
      <c r="H706" s="32" t="n"/>
      <c r="I706" s="27">
        <f>IF($A706="","",SUMIFS(入库单!$K$4:$K$2503,入库单!$G$4:$G$2503,$A706,入库单!$X$4:$X$2503,"采购入库",入库单!$Z$4:$Z$2503,"正常",入库单!$C$4:$C$2503,"&gt;="&amp;账期起,入库单!$C$4:$C$2503,"&lt;="&amp;账期止))</f>
        <v/>
      </c>
      <c r="J706" s="26">
        <f>IF($A706="","",SUMIFS(入库单!$V$4:$V$2503,入库单!$G$4:$G$2503,$A706,入库单!$X$4:$X$2503,"采购入库",入库单!$Z$4:$Z$2503,"正常",入库单!$C$4:$C$2503,"&gt;="&amp;账期起,入库单!$C$4:$C$2503,"&lt;="&amp;账期止))</f>
        <v/>
      </c>
      <c r="K706" s="26">
        <f>IF($A706="","",IFERROR(ROUND((N($H706)+N($J706))/(N($G706)+N($I706)),2),0))</f>
        <v/>
      </c>
      <c r="L706" s="27">
        <f>IF($A706="","",SUMIFS(入库单!$K$4:$K$2503,入库单!$G$4:$G$2503,$A706,入库单!$X$4:$X$2503,"盘盈",入库单!$Z$4:$Z$2503,"正常",入库单!$C$4:$C$2503,"&gt;="&amp;账期起,入库单!$C$4:$C$2503,"&lt;="&amp;账期止))</f>
        <v/>
      </c>
      <c r="M706" s="26">
        <f>IF($A706="","",ROUND($L706*$K706,0))</f>
        <v/>
      </c>
      <c r="N706" s="27">
        <f>IF($A706="","",SUMIFS(入库单!$K$4:$K$2503,入库单!$G$4:$G$2503,$A706,入库单!$X$4:$X$2503,"矿区退库",入库单!$Z$4:$Z$2503,"正常",入库单!$C$4:$C$2503,"&gt;="&amp;账期起,入库单!$C$4:$C$2503,"&lt;="&amp;账期止))</f>
        <v/>
      </c>
      <c r="O706" s="26">
        <f>IF($A706="","",ROUND($N706*$K706,0))</f>
        <v/>
      </c>
      <c r="P706" s="27">
        <f>IF($A706="","",SUMIFS(出库单!$J$4:$J$4003,出库单!$D$4:$D$4003,$A706,出库单!$K$4:$K$4003,"自用消耗",出库单!$U$4:$U$4003,"正常",出库单!$C$4:$C$4003,"&gt;="&amp;账期起,出库单!$C$4:$C$4003,"&lt;="&amp;账期止))</f>
        <v/>
      </c>
      <c r="Q706" s="26">
        <f>IF($A706="","",ROUND(SUMIFS(出库单!$S$4:$S$4003,出库单!$D$4:$D$4003,$A706,出库单!$K$4:$K$4003,"自用消耗",出库单!$U$4:$U$4003,"正常",出库单!$C$4:$C$4003,"&gt;="&amp;账期起,出库单!$C$4:$C$4003,"&lt;="&amp;账期止),0))</f>
        <v/>
      </c>
      <c r="R706" s="27">
        <f>IF($A706="","",SUMIFS(出库单!$J$4:$J$4003,出库单!$D$4:$D$4003,$A706,出库单!$K$4:$K$4003,"对外销售",出库单!$U$4:$U$4003,"正常",出库单!$C$4:$C$4003,"&gt;="&amp;账期起,出库单!$C$4:$C$4003,"&lt;="&amp;账期止))</f>
        <v/>
      </c>
      <c r="S706" s="26">
        <f>IF($A706="","",ROUND(SUMIFS(出库单!$S$4:$S$4003,出库单!$D$4:$D$4003,$A706,出库单!$K$4:$K$4003,"对外销售",出库单!$U$4:$U$4003,"正常",出库单!$C$4:$C$4003,"&gt;="&amp;账期起,出库单!$C$4:$C$4003,"&lt;="&amp;账期止),0))</f>
        <v/>
      </c>
      <c r="T706" s="27">
        <f>IF($A706="","",SUMIFS(出库单!$J$4:$J$4003,出库单!$D$4:$D$4003,$A706,出库单!$K$4:$K$4003,"盘亏",出库单!$U$4:$U$4003,"正常",出库单!$C$4:$C$4003,"&gt;="&amp;账期起,出库单!$C$4:$C$4003,"&lt;="&amp;账期止))</f>
        <v/>
      </c>
      <c r="U706" s="26">
        <f>IF($A706="","",ROUND(SUMIFS(出库单!$S$4:$S$4003,出库单!$D$4:$D$4003,$A706,出库单!$K$4:$K$4003,"盘亏",出库单!$U$4:$U$4003,"正常",出库单!$C$4:$C$4003,"&gt;="&amp;账期起,出库单!$C$4:$C$4003,"&lt;="&amp;账期止),0))</f>
        <v/>
      </c>
      <c r="V706" s="27">
        <f>IF($A706="","",SUMIFS(出库单!$J$4:$J$4003,出库单!$D$4:$D$4003,$A706,出库单!$K$4:$K$4003,"退货给供应商",出库单!$U$4:$U$4003,"正常",出库单!$C$4:$C$4003,"&gt;="&amp;账期起,出库单!$C$4:$C$4003,"&lt;="&amp;账期止))</f>
        <v/>
      </c>
      <c r="W706" s="26">
        <f>IF($A706="","",ROUND(SUMIFS(出库单!$S$4:$S$4003,出库单!$D$4:$D$4003,$A706,出库单!$K$4:$K$4003,"退货给供应商",出库单!$U$4:$U$4003,"正常",出库单!$C$4:$C$4003,"&gt;="&amp;账期起,出库单!$C$4:$C$4003,"&lt;="&amp;账期止),0))</f>
        <v/>
      </c>
      <c r="X706" s="27">
        <f>IF($A706="","",ROUND(N($G706)+$I706+$L706+$N706-$P706-$R706-$T706-$V706,3))</f>
        <v/>
      </c>
      <c r="Y706" s="26">
        <f>IF($A706="","",ROUND(N($H706)+$J706+$M706+$O706-$Q706-$S706-$U706-$W706,0))</f>
        <v/>
      </c>
      <c r="Z706" s="24">
        <f>IF($A706="","",IF(COUNTIFS(入库单!$G$4:$G$2503,$A706,入库单!$Y$4:$Y$2503,"待补价")+COUNTIFS(入库单!$G$4:$G$2503,$A706,入库单!$Y$4:$Y$2503,"暂估")&gt;0,"不可信","可信"))</f>
        <v/>
      </c>
      <c r="AA706" s="24">
        <f>IF($A706="","",IF($X706&lt;-0.001,"※账面负库存，查一下是不是漏记入库",IF(AND(ROUND($X706,3)=0,ABS($Y706)&gt;1),"※数量已经是 0，金额还挂着 "&amp;TEXT($Y706,"#,##0")&amp;" 先令",IF(AND($X706&gt;0,$Y706&lt;=0,$K706=0),"※有数量没金额（这个物料一直没填过进价）",IF($Z706="不可信","△成本含待补价/暂估，毛利仅供参考","")))))</f>
        <v/>
      </c>
    </row>
    <row r="707">
      <c r="A707" s="24">
        <f>IF(物料档案!$A706="","",物料档案!$A706)</f>
        <v/>
      </c>
      <c r="B707" s="24">
        <f>IF($A707="","",IFERROR(VLOOKUP($A707,物料档案!$A$4:$P$1203,3,0),""))</f>
        <v/>
      </c>
      <c r="C707" s="24">
        <f>IF($A707="","",IFERROR(VLOOKUP($A707,物料档案!$A$4:$P$1203,4,0),""))</f>
        <v/>
      </c>
      <c r="D707" s="24">
        <f>IF($A707="","",IFERROR(VLOOKUP($A707,物料档案!$A$4:$P$1203,5,0),""))</f>
        <v/>
      </c>
      <c r="E707" s="24">
        <f>IF($A707="","",IFERROR(VLOOKUP($A707,物料档案!$A$4:$P$1203,2,0),""))</f>
        <v/>
      </c>
      <c r="F707" s="24">
        <f>IF($A707="","",IFERROR(VLOOKUP($A707,物料档案!$A$4:$P$1203,6,0),""))</f>
        <v/>
      </c>
      <c r="G707" s="23" t="n"/>
      <c r="H707" s="32" t="n"/>
      <c r="I707" s="27">
        <f>IF($A707="","",SUMIFS(入库单!$K$4:$K$2503,入库单!$G$4:$G$2503,$A707,入库单!$X$4:$X$2503,"采购入库",入库单!$Z$4:$Z$2503,"正常",入库单!$C$4:$C$2503,"&gt;="&amp;账期起,入库单!$C$4:$C$2503,"&lt;="&amp;账期止))</f>
        <v/>
      </c>
      <c r="J707" s="26">
        <f>IF($A707="","",SUMIFS(入库单!$V$4:$V$2503,入库单!$G$4:$G$2503,$A707,入库单!$X$4:$X$2503,"采购入库",入库单!$Z$4:$Z$2503,"正常",入库单!$C$4:$C$2503,"&gt;="&amp;账期起,入库单!$C$4:$C$2503,"&lt;="&amp;账期止))</f>
        <v/>
      </c>
      <c r="K707" s="26">
        <f>IF($A707="","",IFERROR(ROUND((N($H707)+N($J707))/(N($G707)+N($I707)),2),0))</f>
        <v/>
      </c>
      <c r="L707" s="27">
        <f>IF($A707="","",SUMIFS(入库单!$K$4:$K$2503,入库单!$G$4:$G$2503,$A707,入库单!$X$4:$X$2503,"盘盈",入库单!$Z$4:$Z$2503,"正常",入库单!$C$4:$C$2503,"&gt;="&amp;账期起,入库单!$C$4:$C$2503,"&lt;="&amp;账期止))</f>
        <v/>
      </c>
      <c r="M707" s="26">
        <f>IF($A707="","",ROUND($L707*$K707,0))</f>
        <v/>
      </c>
      <c r="N707" s="27">
        <f>IF($A707="","",SUMIFS(入库单!$K$4:$K$2503,入库单!$G$4:$G$2503,$A707,入库单!$X$4:$X$2503,"矿区退库",入库单!$Z$4:$Z$2503,"正常",入库单!$C$4:$C$2503,"&gt;="&amp;账期起,入库单!$C$4:$C$2503,"&lt;="&amp;账期止))</f>
        <v/>
      </c>
      <c r="O707" s="26">
        <f>IF($A707="","",ROUND($N707*$K707,0))</f>
        <v/>
      </c>
      <c r="P707" s="27">
        <f>IF($A707="","",SUMIFS(出库单!$J$4:$J$4003,出库单!$D$4:$D$4003,$A707,出库单!$K$4:$K$4003,"自用消耗",出库单!$U$4:$U$4003,"正常",出库单!$C$4:$C$4003,"&gt;="&amp;账期起,出库单!$C$4:$C$4003,"&lt;="&amp;账期止))</f>
        <v/>
      </c>
      <c r="Q707" s="26">
        <f>IF($A707="","",ROUND(SUMIFS(出库单!$S$4:$S$4003,出库单!$D$4:$D$4003,$A707,出库单!$K$4:$K$4003,"自用消耗",出库单!$U$4:$U$4003,"正常",出库单!$C$4:$C$4003,"&gt;="&amp;账期起,出库单!$C$4:$C$4003,"&lt;="&amp;账期止),0))</f>
        <v/>
      </c>
      <c r="R707" s="27">
        <f>IF($A707="","",SUMIFS(出库单!$J$4:$J$4003,出库单!$D$4:$D$4003,$A707,出库单!$K$4:$K$4003,"对外销售",出库单!$U$4:$U$4003,"正常",出库单!$C$4:$C$4003,"&gt;="&amp;账期起,出库单!$C$4:$C$4003,"&lt;="&amp;账期止))</f>
        <v/>
      </c>
      <c r="S707" s="26">
        <f>IF($A707="","",ROUND(SUMIFS(出库单!$S$4:$S$4003,出库单!$D$4:$D$4003,$A707,出库单!$K$4:$K$4003,"对外销售",出库单!$U$4:$U$4003,"正常",出库单!$C$4:$C$4003,"&gt;="&amp;账期起,出库单!$C$4:$C$4003,"&lt;="&amp;账期止),0))</f>
        <v/>
      </c>
      <c r="T707" s="27">
        <f>IF($A707="","",SUMIFS(出库单!$J$4:$J$4003,出库单!$D$4:$D$4003,$A707,出库单!$K$4:$K$4003,"盘亏",出库单!$U$4:$U$4003,"正常",出库单!$C$4:$C$4003,"&gt;="&amp;账期起,出库单!$C$4:$C$4003,"&lt;="&amp;账期止))</f>
        <v/>
      </c>
      <c r="U707" s="26">
        <f>IF($A707="","",ROUND(SUMIFS(出库单!$S$4:$S$4003,出库单!$D$4:$D$4003,$A707,出库单!$K$4:$K$4003,"盘亏",出库单!$U$4:$U$4003,"正常",出库单!$C$4:$C$4003,"&gt;="&amp;账期起,出库单!$C$4:$C$4003,"&lt;="&amp;账期止),0))</f>
        <v/>
      </c>
      <c r="V707" s="27">
        <f>IF($A707="","",SUMIFS(出库单!$J$4:$J$4003,出库单!$D$4:$D$4003,$A707,出库单!$K$4:$K$4003,"退货给供应商",出库单!$U$4:$U$4003,"正常",出库单!$C$4:$C$4003,"&gt;="&amp;账期起,出库单!$C$4:$C$4003,"&lt;="&amp;账期止))</f>
        <v/>
      </c>
      <c r="W707" s="26">
        <f>IF($A707="","",ROUND(SUMIFS(出库单!$S$4:$S$4003,出库单!$D$4:$D$4003,$A707,出库单!$K$4:$K$4003,"退货给供应商",出库单!$U$4:$U$4003,"正常",出库单!$C$4:$C$4003,"&gt;="&amp;账期起,出库单!$C$4:$C$4003,"&lt;="&amp;账期止),0))</f>
        <v/>
      </c>
      <c r="X707" s="27">
        <f>IF($A707="","",ROUND(N($G707)+$I707+$L707+$N707-$P707-$R707-$T707-$V707,3))</f>
        <v/>
      </c>
      <c r="Y707" s="26">
        <f>IF($A707="","",ROUND(N($H707)+$J707+$M707+$O707-$Q707-$S707-$U707-$W707,0))</f>
        <v/>
      </c>
      <c r="Z707" s="24">
        <f>IF($A707="","",IF(COUNTIFS(入库单!$G$4:$G$2503,$A707,入库单!$Y$4:$Y$2503,"待补价")+COUNTIFS(入库单!$G$4:$G$2503,$A707,入库单!$Y$4:$Y$2503,"暂估")&gt;0,"不可信","可信"))</f>
        <v/>
      </c>
      <c r="AA707" s="24">
        <f>IF($A707="","",IF($X707&lt;-0.001,"※账面负库存，查一下是不是漏记入库",IF(AND(ROUND($X707,3)=0,ABS($Y707)&gt;1),"※数量已经是 0，金额还挂着 "&amp;TEXT($Y707,"#,##0")&amp;" 先令",IF(AND($X707&gt;0,$Y707&lt;=0,$K707=0),"※有数量没金额（这个物料一直没填过进价）",IF($Z707="不可信","△成本含待补价/暂估，毛利仅供参考","")))))</f>
        <v/>
      </c>
    </row>
    <row r="708">
      <c r="A708" s="24">
        <f>IF(物料档案!$A707="","",物料档案!$A707)</f>
        <v/>
      </c>
      <c r="B708" s="24">
        <f>IF($A708="","",IFERROR(VLOOKUP($A708,物料档案!$A$4:$P$1203,3,0),""))</f>
        <v/>
      </c>
      <c r="C708" s="24">
        <f>IF($A708="","",IFERROR(VLOOKUP($A708,物料档案!$A$4:$P$1203,4,0),""))</f>
        <v/>
      </c>
      <c r="D708" s="24">
        <f>IF($A708="","",IFERROR(VLOOKUP($A708,物料档案!$A$4:$P$1203,5,0),""))</f>
        <v/>
      </c>
      <c r="E708" s="24">
        <f>IF($A708="","",IFERROR(VLOOKUP($A708,物料档案!$A$4:$P$1203,2,0),""))</f>
        <v/>
      </c>
      <c r="F708" s="24">
        <f>IF($A708="","",IFERROR(VLOOKUP($A708,物料档案!$A$4:$P$1203,6,0),""))</f>
        <v/>
      </c>
      <c r="G708" s="23" t="n"/>
      <c r="H708" s="32" t="n"/>
      <c r="I708" s="27">
        <f>IF($A708="","",SUMIFS(入库单!$K$4:$K$2503,入库单!$G$4:$G$2503,$A708,入库单!$X$4:$X$2503,"采购入库",入库单!$Z$4:$Z$2503,"正常",入库单!$C$4:$C$2503,"&gt;="&amp;账期起,入库单!$C$4:$C$2503,"&lt;="&amp;账期止))</f>
        <v/>
      </c>
      <c r="J708" s="26">
        <f>IF($A708="","",SUMIFS(入库单!$V$4:$V$2503,入库单!$G$4:$G$2503,$A708,入库单!$X$4:$X$2503,"采购入库",入库单!$Z$4:$Z$2503,"正常",入库单!$C$4:$C$2503,"&gt;="&amp;账期起,入库单!$C$4:$C$2503,"&lt;="&amp;账期止))</f>
        <v/>
      </c>
      <c r="K708" s="26">
        <f>IF($A708="","",IFERROR(ROUND((N($H708)+N($J708))/(N($G708)+N($I708)),2),0))</f>
        <v/>
      </c>
      <c r="L708" s="27">
        <f>IF($A708="","",SUMIFS(入库单!$K$4:$K$2503,入库单!$G$4:$G$2503,$A708,入库单!$X$4:$X$2503,"盘盈",入库单!$Z$4:$Z$2503,"正常",入库单!$C$4:$C$2503,"&gt;="&amp;账期起,入库单!$C$4:$C$2503,"&lt;="&amp;账期止))</f>
        <v/>
      </c>
      <c r="M708" s="26">
        <f>IF($A708="","",ROUND($L708*$K708,0))</f>
        <v/>
      </c>
      <c r="N708" s="27">
        <f>IF($A708="","",SUMIFS(入库单!$K$4:$K$2503,入库单!$G$4:$G$2503,$A708,入库单!$X$4:$X$2503,"矿区退库",入库单!$Z$4:$Z$2503,"正常",入库单!$C$4:$C$2503,"&gt;="&amp;账期起,入库单!$C$4:$C$2503,"&lt;="&amp;账期止))</f>
        <v/>
      </c>
      <c r="O708" s="26">
        <f>IF($A708="","",ROUND($N708*$K708,0))</f>
        <v/>
      </c>
      <c r="P708" s="27">
        <f>IF($A708="","",SUMIFS(出库单!$J$4:$J$4003,出库单!$D$4:$D$4003,$A708,出库单!$K$4:$K$4003,"自用消耗",出库单!$U$4:$U$4003,"正常",出库单!$C$4:$C$4003,"&gt;="&amp;账期起,出库单!$C$4:$C$4003,"&lt;="&amp;账期止))</f>
        <v/>
      </c>
      <c r="Q708" s="26">
        <f>IF($A708="","",ROUND(SUMIFS(出库单!$S$4:$S$4003,出库单!$D$4:$D$4003,$A708,出库单!$K$4:$K$4003,"自用消耗",出库单!$U$4:$U$4003,"正常",出库单!$C$4:$C$4003,"&gt;="&amp;账期起,出库单!$C$4:$C$4003,"&lt;="&amp;账期止),0))</f>
        <v/>
      </c>
      <c r="R708" s="27">
        <f>IF($A708="","",SUMIFS(出库单!$J$4:$J$4003,出库单!$D$4:$D$4003,$A708,出库单!$K$4:$K$4003,"对外销售",出库单!$U$4:$U$4003,"正常",出库单!$C$4:$C$4003,"&gt;="&amp;账期起,出库单!$C$4:$C$4003,"&lt;="&amp;账期止))</f>
        <v/>
      </c>
      <c r="S708" s="26">
        <f>IF($A708="","",ROUND(SUMIFS(出库单!$S$4:$S$4003,出库单!$D$4:$D$4003,$A708,出库单!$K$4:$K$4003,"对外销售",出库单!$U$4:$U$4003,"正常",出库单!$C$4:$C$4003,"&gt;="&amp;账期起,出库单!$C$4:$C$4003,"&lt;="&amp;账期止),0))</f>
        <v/>
      </c>
      <c r="T708" s="27">
        <f>IF($A708="","",SUMIFS(出库单!$J$4:$J$4003,出库单!$D$4:$D$4003,$A708,出库单!$K$4:$K$4003,"盘亏",出库单!$U$4:$U$4003,"正常",出库单!$C$4:$C$4003,"&gt;="&amp;账期起,出库单!$C$4:$C$4003,"&lt;="&amp;账期止))</f>
        <v/>
      </c>
      <c r="U708" s="26">
        <f>IF($A708="","",ROUND(SUMIFS(出库单!$S$4:$S$4003,出库单!$D$4:$D$4003,$A708,出库单!$K$4:$K$4003,"盘亏",出库单!$U$4:$U$4003,"正常",出库单!$C$4:$C$4003,"&gt;="&amp;账期起,出库单!$C$4:$C$4003,"&lt;="&amp;账期止),0))</f>
        <v/>
      </c>
      <c r="V708" s="27">
        <f>IF($A708="","",SUMIFS(出库单!$J$4:$J$4003,出库单!$D$4:$D$4003,$A708,出库单!$K$4:$K$4003,"退货给供应商",出库单!$U$4:$U$4003,"正常",出库单!$C$4:$C$4003,"&gt;="&amp;账期起,出库单!$C$4:$C$4003,"&lt;="&amp;账期止))</f>
        <v/>
      </c>
      <c r="W708" s="26">
        <f>IF($A708="","",ROUND(SUMIFS(出库单!$S$4:$S$4003,出库单!$D$4:$D$4003,$A708,出库单!$K$4:$K$4003,"退货给供应商",出库单!$U$4:$U$4003,"正常",出库单!$C$4:$C$4003,"&gt;="&amp;账期起,出库单!$C$4:$C$4003,"&lt;="&amp;账期止),0))</f>
        <v/>
      </c>
      <c r="X708" s="27">
        <f>IF($A708="","",ROUND(N($G708)+$I708+$L708+$N708-$P708-$R708-$T708-$V708,3))</f>
        <v/>
      </c>
      <c r="Y708" s="26">
        <f>IF($A708="","",ROUND(N($H708)+$J708+$M708+$O708-$Q708-$S708-$U708-$W708,0))</f>
        <v/>
      </c>
      <c r="Z708" s="24">
        <f>IF($A708="","",IF(COUNTIFS(入库单!$G$4:$G$2503,$A708,入库单!$Y$4:$Y$2503,"待补价")+COUNTIFS(入库单!$G$4:$G$2503,$A708,入库单!$Y$4:$Y$2503,"暂估")&gt;0,"不可信","可信"))</f>
        <v/>
      </c>
      <c r="AA708" s="24">
        <f>IF($A708="","",IF($X708&lt;-0.001,"※账面负库存，查一下是不是漏记入库",IF(AND(ROUND($X708,3)=0,ABS($Y708)&gt;1),"※数量已经是 0，金额还挂着 "&amp;TEXT($Y708,"#,##0")&amp;" 先令",IF(AND($X708&gt;0,$Y708&lt;=0,$K708=0),"※有数量没金额（这个物料一直没填过进价）",IF($Z708="不可信","△成本含待补价/暂估，毛利仅供参考","")))))</f>
        <v/>
      </c>
    </row>
    <row r="709">
      <c r="A709" s="24">
        <f>IF(物料档案!$A708="","",物料档案!$A708)</f>
        <v/>
      </c>
      <c r="B709" s="24">
        <f>IF($A709="","",IFERROR(VLOOKUP($A709,物料档案!$A$4:$P$1203,3,0),""))</f>
        <v/>
      </c>
      <c r="C709" s="24">
        <f>IF($A709="","",IFERROR(VLOOKUP($A709,物料档案!$A$4:$P$1203,4,0),""))</f>
        <v/>
      </c>
      <c r="D709" s="24">
        <f>IF($A709="","",IFERROR(VLOOKUP($A709,物料档案!$A$4:$P$1203,5,0),""))</f>
        <v/>
      </c>
      <c r="E709" s="24">
        <f>IF($A709="","",IFERROR(VLOOKUP($A709,物料档案!$A$4:$P$1203,2,0),""))</f>
        <v/>
      </c>
      <c r="F709" s="24">
        <f>IF($A709="","",IFERROR(VLOOKUP($A709,物料档案!$A$4:$P$1203,6,0),""))</f>
        <v/>
      </c>
      <c r="G709" s="23" t="n"/>
      <c r="H709" s="32" t="n"/>
      <c r="I709" s="27">
        <f>IF($A709="","",SUMIFS(入库单!$K$4:$K$2503,入库单!$G$4:$G$2503,$A709,入库单!$X$4:$X$2503,"采购入库",入库单!$Z$4:$Z$2503,"正常",入库单!$C$4:$C$2503,"&gt;="&amp;账期起,入库单!$C$4:$C$2503,"&lt;="&amp;账期止))</f>
        <v/>
      </c>
      <c r="J709" s="26">
        <f>IF($A709="","",SUMIFS(入库单!$V$4:$V$2503,入库单!$G$4:$G$2503,$A709,入库单!$X$4:$X$2503,"采购入库",入库单!$Z$4:$Z$2503,"正常",入库单!$C$4:$C$2503,"&gt;="&amp;账期起,入库单!$C$4:$C$2503,"&lt;="&amp;账期止))</f>
        <v/>
      </c>
      <c r="K709" s="26">
        <f>IF($A709="","",IFERROR(ROUND((N($H709)+N($J709))/(N($G709)+N($I709)),2),0))</f>
        <v/>
      </c>
      <c r="L709" s="27">
        <f>IF($A709="","",SUMIFS(入库单!$K$4:$K$2503,入库单!$G$4:$G$2503,$A709,入库单!$X$4:$X$2503,"盘盈",入库单!$Z$4:$Z$2503,"正常",入库单!$C$4:$C$2503,"&gt;="&amp;账期起,入库单!$C$4:$C$2503,"&lt;="&amp;账期止))</f>
        <v/>
      </c>
      <c r="M709" s="26">
        <f>IF($A709="","",ROUND($L709*$K709,0))</f>
        <v/>
      </c>
      <c r="N709" s="27">
        <f>IF($A709="","",SUMIFS(入库单!$K$4:$K$2503,入库单!$G$4:$G$2503,$A709,入库单!$X$4:$X$2503,"矿区退库",入库单!$Z$4:$Z$2503,"正常",入库单!$C$4:$C$2503,"&gt;="&amp;账期起,入库单!$C$4:$C$2503,"&lt;="&amp;账期止))</f>
        <v/>
      </c>
      <c r="O709" s="26">
        <f>IF($A709="","",ROUND($N709*$K709,0))</f>
        <v/>
      </c>
      <c r="P709" s="27">
        <f>IF($A709="","",SUMIFS(出库单!$J$4:$J$4003,出库单!$D$4:$D$4003,$A709,出库单!$K$4:$K$4003,"自用消耗",出库单!$U$4:$U$4003,"正常",出库单!$C$4:$C$4003,"&gt;="&amp;账期起,出库单!$C$4:$C$4003,"&lt;="&amp;账期止))</f>
        <v/>
      </c>
      <c r="Q709" s="26">
        <f>IF($A709="","",ROUND(SUMIFS(出库单!$S$4:$S$4003,出库单!$D$4:$D$4003,$A709,出库单!$K$4:$K$4003,"自用消耗",出库单!$U$4:$U$4003,"正常",出库单!$C$4:$C$4003,"&gt;="&amp;账期起,出库单!$C$4:$C$4003,"&lt;="&amp;账期止),0))</f>
        <v/>
      </c>
      <c r="R709" s="27">
        <f>IF($A709="","",SUMIFS(出库单!$J$4:$J$4003,出库单!$D$4:$D$4003,$A709,出库单!$K$4:$K$4003,"对外销售",出库单!$U$4:$U$4003,"正常",出库单!$C$4:$C$4003,"&gt;="&amp;账期起,出库单!$C$4:$C$4003,"&lt;="&amp;账期止))</f>
        <v/>
      </c>
      <c r="S709" s="26">
        <f>IF($A709="","",ROUND(SUMIFS(出库单!$S$4:$S$4003,出库单!$D$4:$D$4003,$A709,出库单!$K$4:$K$4003,"对外销售",出库单!$U$4:$U$4003,"正常",出库单!$C$4:$C$4003,"&gt;="&amp;账期起,出库单!$C$4:$C$4003,"&lt;="&amp;账期止),0))</f>
        <v/>
      </c>
      <c r="T709" s="27">
        <f>IF($A709="","",SUMIFS(出库单!$J$4:$J$4003,出库单!$D$4:$D$4003,$A709,出库单!$K$4:$K$4003,"盘亏",出库单!$U$4:$U$4003,"正常",出库单!$C$4:$C$4003,"&gt;="&amp;账期起,出库单!$C$4:$C$4003,"&lt;="&amp;账期止))</f>
        <v/>
      </c>
      <c r="U709" s="26">
        <f>IF($A709="","",ROUND(SUMIFS(出库单!$S$4:$S$4003,出库单!$D$4:$D$4003,$A709,出库单!$K$4:$K$4003,"盘亏",出库单!$U$4:$U$4003,"正常",出库单!$C$4:$C$4003,"&gt;="&amp;账期起,出库单!$C$4:$C$4003,"&lt;="&amp;账期止),0))</f>
        <v/>
      </c>
      <c r="V709" s="27">
        <f>IF($A709="","",SUMIFS(出库单!$J$4:$J$4003,出库单!$D$4:$D$4003,$A709,出库单!$K$4:$K$4003,"退货给供应商",出库单!$U$4:$U$4003,"正常",出库单!$C$4:$C$4003,"&gt;="&amp;账期起,出库单!$C$4:$C$4003,"&lt;="&amp;账期止))</f>
        <v/>
      </c>
      <c r="W709" s="26">
        <f>IF($A709="","",ROUND(SUMIFS(出库单!$S$4:$S$4003,出库单!$D$4:$D$4003,$A709,出库单!$K$4:$K$4003,"退货给供应商",出库单!$U$4:$U$4003,"正常",出库单!$C$4:$C$4003,"&gt;="&amp;账期起,出库单!$C$4:$C$4003,"&lt;="&amp;账期止),0))</f>
        <v/>
      </c>
      <c r="X709" s="27">
        <f>IF($A709="","",ROUND(N($G709)+$I709+$L709+$N709-$P709-$R709-$T709-$V709,3))</f>
        <v/>
      </c>
      <c r="Y709" s="26">
        <f>IF($A709="","",ROUND(N($H709)+$J709+$M709+$O709-$Q709-$S709-$U709-$W709,0))</f>
        <v/>
      </c>
      <c r="Z709" s="24">
        <f>IF($A709="","",IF(COUNTIFS(入库单!$G$4:$G$2503,$A709,入库单!$Y$4:$Y$2503,"待补价")+COUNTIFS(入库单!$G$4:$G$2503,$A709,入库单!$Y$4:$Y$2503,"暂估")&gt;0,"不可信","可信"))</f>
        <v/>
      </c>
      <c r="AA709" s="24">
        <f>IF($A709="","",IF($X709&lt;-0.001,"※账面负库存，查一下是不是漏记入库",IF(AND(ROUND($X709,3)=0,ABS($Y709)&gt;1),"※数量已经是 0，金额还挂着 "&amp;TEXT($Y709,"#,##0")&amp;" 先令",IF(AND($X709&gt;0,$Y709&lt;=0,$K709=0),"※有数量没金额（这个物料一直没填过进价）",IF($Z709="不可信","△成本含待补价/暂估，毛利仅供参考","")))))</f>
        <v/>
      </c>
    </row>
    <row r="710">
      <c r="A710" s="24">
        <f>IF(物料档案!$A709="","",物料档案!$A709)</f>
        <v/>
      </c>
      <c r="B710" s="24">
        <f>IF($A710="","",IFERROR(VLOOKUP($A710,物料档案!$A$4:$P$1203,3,0),""))</f>
        <v/>
      </c>
      <c r="C710" s="24">
        <f>IF($A710="","",IFERROR(VLOOKUP($A710,物料档案!$A$4:$P$1203,4,0),""))</f>
        <v/>
      </c>
      <c r="D710" s="24">
        <f>IF($A710="","",IFERROR(VLOOKUP($A710,物料档案!$A$4:$P$1203,5,0),""))</f>
        <v/>
      </c>
      <c r="E710" s="24">
        <f>IF($A710="","",IFERROR(VLOOKUP($A710,物料档案!$A$4:$P$1203,2,0),""))</f>
        <v/>
      </c>
      <c r="F710" s="24">
        <f>IF($A710="","",IFERROR(VLOOKUP($A710,物料档案!$A$4:$P$1203,6,0),""))</f>
        <v/>
      </c>
      <c r="G710" s="23" t="n"/>
      <c r="H710" s="32" t="n"/>
      <c r="I710" s="27">
        <f>IF($A710="","",SUMIFS(入库单!$K$4:$K$2503,入库单!$G$4:$G$2503,$A710,入库单!$X$4:$X$2503,"采购入库",入库单!$Z$4:$Z$2503,"正常",入库单!$C$4:$C$2503,"&gt;="&amp;账期起,入库单!$C$4:$C$2503,"&lt;="&amp;账期止))</f>
        <v/>
      </c>
      <c r="J710" s="26">
        <f>IF($A710="","",SUMIFS(入库单!$V$4:$V$2503,入库单!$G$4:$G$2503,$A710,入库单!$X$4:$X$2503,"采购入库",入库单!$Z$4:$Z$2503,"正常",入库单!$C$4:$C$2503,"&gt;="&amp;账期起,入库单!$C$4:$C$2503,"&lt;="&amp;账期止))</f>
        <v/>
      </c>
      <c r="K710" s="26">
        <f>IF($A710="","",IFERROR(ROUND((N($H710)+N($J710))/(N($G710)+N($I710)),2),0))</f>
        <v/>
      </c>
      <c r="L710" s="27">
        <f>IF($A710="","",SUMIFS(入库单!$K$4:$K$2503,入库单!$G$4:$G$2503,$A710,入库单!$X$4:$X$2503,"盘盈",入库单!$Z$4:$Z$2503,"正常",入库单!$C$4:$C$2503,"&gt;="&amp;账期起,入库单!$C$4:$C$2503,"&lt;="&amp;账期止))</f>
        <v/>
      </c>
      <c r="M710" s="26">
        <f>IF($A710="","",ROUND($L710*$K710,0))</f>
        <v/>
      </c>
      <c r="N710" s="27">
        <f>IF($A710="","",SUMIFS(入库单!$K$4:$K$2503,入库单!$G$4:$G$2503,$A710,入库单!$X$4:$X$2503,"矿区退库",入库单!$Z$4:$Z$2503,"正常",入库单!$C$4:$C$2503,"&gt;="&amp;账期起,入库单!$C$4:$C$2503,"&lt;="&amp;账期止))</f>
        <v/>
      </c>
      <c r="O710" s="26">
        <f>IF($A710="","",ROUND($N710*$K710,0))</f>
        <v/>
      </c>
      <c r="P710" s="27">
        <f>IF($A710="","",SUMIFS(出库单!$J$4:$J$4003,出库单!$D$4:$D$4003,$A710,出库单!$K$4:$K$4003,"自用消耗",出库单!$U$4:$U$4003,"正常",出库单!$C$4:$C$4003,"&gt;="&amp;账期起,出库单!$C$4:$C$4003,"&lt;="&amp;账期止))</f>
        <v/>
      </c>
      <c r="Q710" s="26">
        <f>IF($A710="","",ROUND(SUMIFS(出库单!$S$4:$S$4003,出库单!$D$4:$D$4003,$A710,出库单!$K$4:$K$4003,"自用消耗",出库单!$U$4:$U$4003,"正常",出库单!$C$4:$C$4003,"&gt;="&amp;账期起,出库单!$C$4:$C$4003,"&lt;="&amp;账期止),0))</f>
        <v/>
      </c>
      <c r="R710" s="27">
        <f>IF($A710="","",SUMIFS(出库单!$J$4:$J$4003,出库单!$D$4:$D$4003,$A710,出库单!$K$4:$K$4003,"对外销售",出库单!$U$4:$U$4003,"正常",出库单!$C$4:$C$4003,"&gt;="&amp;账期起,出库单!$C$4:$C$4003,"&lt;="&amp;账期止))</f>
        <v/>
      </c>
      <c r="S710" s="26">
        <f>IF($A710="","",ROUND(SUMIFS(出库单!$S$4:$S$4003,出库单!$D$4:$D$4003,$A710,出库单!$K$4:$K$4003,"对外销售",出库单!$U$4:$U$4003,"正常",出库单!$C$4:$C$4003,"&gt;="&amp;账期起,出库单!$C$4:$C$4003,"&lt;="&amp;账期止),0))</f>
        <v/>
      </c>
      <c r="T710" s="27">
        <f>IF($A710="","",SUMIFS(出库单!$J$4:$J$4003,出库单!$D$4:$D$4003,$A710,出库单!$K$4:$K$4003,"盘亏",出库单!$U$4:$U$4003,"正常",出库单!$C$4:$C$4003,"&gt;="&amp;账期起,出库单!$C$4:$C$4003,"&lt;="&amp;账期止))</f>
        <v/>
      </c>
      <c r="U710" s="26">
        <f>IF($A710="","",ROUND(SUMIFS(出库单!$S$4:$S$4003,出库单!$D$4:$D$4003,$A710,出库单!$K$4:$K$4003,"盘亏",出库单!$U$4:$U$4003,"正常",出库单!$C$4:$C$4003,"&gt;="&amp;账期起,出库单!$C$4:$C$4003,"&lt;="&amp;账期止),0))</f>
        <v/>
      </c>
      <c r="V710" s="27">
        <f>IF($A710="","",SUMIFS(出库单!$J$4:$J$4003,出库单!$D$4:$D$4003,$A710,出库单!$K$4:$K$4003,"退货给供应商",出库单!$U$4:$U$4003,"正常",出库单!$C$4:$C$4003,"&gt;="&amp;账期起,出库单!$C$4:$C$4003,"&lt;="&amp;账期止))</f>
        <v/>
      </c>
      <c r="W710" s="26">
        <f>IF($A710="","",ROUND(SUMIFS(出库单!$S$4:$S$4003,出库单!$D$4:$D$4003,$A710,出库单!$K$4:$K$4003,"退货给供应商",出库单!$U$4:$U$4003,"正常",出库单!$C$4:$C$4003,"&gt;="&amp;账期起,出库单!$C$4:$C$4003,"&lt;="&amp;账期止),0))</f>
        <v/>
      </c>
      <c r="X710" s="27">
        <f>IF($A710="","",ROUND(N($G710)+$I710+$L710+$N710-$P710-$R710-$T710-$V710,3))</f>
        <v/>
      </c>
      <c r="Y710" s="26">
        <f>IF($A710="","",ROUND(N($H710)+$J710+$M710+$O710-$Q710-$S710-$U710-$W710,0))</f>
        <v/>
      </c>
      <c r="Z710" s="24">
        <f>IF($A710="","",IF(COUNTIFS(入库单!$G$4:$G$2503,$A710,入库单!$Y$4:$Y$2503,"待补价")+COUNTIFS(入库单!$G$4:$G$2503,$A710,入库单!$Y$4:$Y$2503,"暂估")&gt;0,"不可信","可信"))</f>
        <v/>
      </c>
      <c r="AA710" s="24">
        <f>IF($A710="","",IF($X710&lt;-0.001,"※账面负库存，查一下是不是漏记入库",IF(AND(ROUND($X710,3)=0,ABS($Y710)&gt;1),"※数量已经是 0，金额还挂着 "&amp;TEXT($Y710,"#,##0")&amp;" 先令",IF(AND($X710&gt;0,$Y710&lt;=0,$K710=0),"※有数量没金额（这个物料一直没填过进价）",IF($Z710="不可信","△成本含待补价/暂估，毛利仅供参考","")))))</f>
        <v/>
      </c>
    </row>
    <row r="711">
      <c r="A711" s="24">
        <f>IF(物料档案!$A710="","",物料档案!$A710)</f>
        <v/>
      </c>
      <c r="B711" s="24">
        <f>IF($A711="","",IFERROR(VLOOKUP($A711,物料档案!$A$4:$P$1203,3,0),""))</f>
        <v/>
      </c>
      <c r="C711" s="24">
        <f>IF($A711="","",IFERROR(VLOOKUP($A711,物料档案!$A$4:$P$1203,4,0),""))</f>
        <v/>
      </c>
      <c r="D711" s="24">
        <f>IF($A711="","",IFERROR(VLOOKUP($A711,物料档案!$A$4:$P$1203,5,0),""))</f>
        <v/>
      </c>
      <c r="E711" s="24">
        <f>IF($A711="","",IFERROR(VLOOKUP($A711,物料档案!$A$4:$P$1203,2,0),""))</f>
        <v/>
      </c>
      <c r="F711" s="24">
        <f>IF($A711="","",IFERROR(VLOOKUP($A711,物料档案!$A$4:$P$1203,6,0),""))</f>
        <v/>
      </c>
      <c r="G711" s="23" t="n"/>
      <c r="H711" s="32" t="n"/>
      <c r="I711" s="27">
        <f>IF($A711="","",SUMIFS(入库单!$K$4:$K$2503,入库单!$G$4:$G$2503,$A711,入库单!$X$4:$X$2503,"采购入库",入库单!$Z$4:$Z$2503,"正常",入库单!$C$4:$C$2503,"&gt;="&amp;账期起,入库单!$C$4:$C$2503,"&lt;="&amp;账期止))</f>
        <v/>
      </c>
      <c r="J711" s="26">
        <f>IF($A711="","",SUMIFS(入库单!$V$4:$V$2503,入库单!$G$4:$G$2503,$A711,入库单!$X$4:$X$2503,"采购入库",入库单!$Z$4:$Z$2503,"正常",入库单!$C$4:$C$2503,"&gt;="&amp;账期起,入库单!$C$4:$C$2503,"&lt;="&amp;账期止))</f>
        <v/>
      </c>
      <c r="K711" s="26">
        <f>IF($A711="","",IFERROR(ROUND((N($H711)+N($J711))/(N($G711)+N($I711)),2),0))</f>
        <v/>
      </c>
      <c r="L711" s="27">
        <f>IF($A711="","",SUMIFS(入库单!$K$4:$K$2503,入库单!$G$4:$G$2503,$A711,入库单!$X$4:$X$2503,"盘盈",入库单!$Z$4:$Z$2503,"正常",入库单!$C$4:$C$2503,"&gt;="&amp;账期起,入库单!$C$4:$C$2503,"&lt;="&amp;账期止))</f>
        <v/>
      </c>
      <c r="M711" s="26">
        <f>IF($A711="","",ROUND($L711*$K711,0))</f>
        <v/>
      </c>
      <c r="N711" s="27">
        <f>IF($A711="","",SUMIFS(入库单!$K$4:$K$2503,入库单!$G$4:$G$2503,$A711,入库单!$X$4:$X$2503,"矿区退库",入库单!$Z$4:$Z$2503,"正常",入库单!$C$4:$C$2503,"&gt;="&amp;账期起,入库单!$C$4:$C$2503,"&lt;="&amp;账期止))</f>
        <v/>
      </c>
      <c r="O711" s="26">
        <f>IF($A711="","",ROUND($N711*$K711,0))</f>
        <v/>
      </c>
      <c r="P711" s="27">
        <f>IF($A711="","",SUMIFS(出库单!$J$4:$J$4003,出库单!$D$4:$D$4003,$A711,出库单!$K$4:$K$4003,"自用消耗",出库单!$U$4:$U$4003,"正常",出库单!$C$4:$C$4003,"&gt;="&amp;账期起,出库单!$C$4:$C$4003,"&lt;="&amp;账期止))</f>
        <v/>
      </c>
      <c r="Q711" s="26">
        <f>IF($A711="","",ROUND(SUMIFS(出库单!$S$4:$S$4003,出库单!$D$4:$D$4003,$A711,出库单!$K$4:$K$4003,"自用消耗",出库单!$U$4:$U$4003,"正常",出库单!$C$4:$C$4003,"&gt;="&amp;账期起,出库单!$C$4:$C$4003,"&lt;="&amp;账期止),0))</f>
        <v/>
      </c>
      <c r="R711" s="27">
        <f>IF($A711="","",SUMIFS(出库单!$J$4:$J$4003,出库单!$D$4:$D$4003,$A711,出库单!$K$4:$K$4003,"对外销售",出库单!$U$4:$U$4003,"正常",出库单!$C$4:$C$4003,"&gt;="&amp;账期起,出库单!$C$4:$C$4003,"&lt;="&amp;账期止))</f>
        <v/>
      </c>
      <c r="S711" s="26">
        <f>IF($A711="","",ROUND(SUMIFS(出库单!$S$4:$S$4003,出库单!$D$4:$D$4003,$A711,出库单!$K$4:$K$4003,"对外销售",出库单!$U$4:$U$4003,"正常",出库单!$C$4:$C$4003,"&gt;="&amp;账期起,出库单!$C$4:$C$4003,"&lt;="&amp;账期止),0))</f>
        <v/>
      </c>
      <c r="T711" s="27">
        <f>IF($A711="","",SUMIFS(出库单!$J$4:$J$4003,出库单!$D$4:$D$4003,$A711,出库单!$K$4:$K$4003,"盘亏",出库单!$U$4:$U$4003,"正常",出库单!$C$4:$C$4003,"&gt;="&amp;账期起,出库单!$C$4:$C$4003,"&lt;="&amp;账期止))</f>
        <v/>
      </c>
      <c r="U711" s="26">
        <f>IF($A711="","",ROUND(SUMIFS(出库单!$S$4:$S$4003,出库单!$D$4:$D$4003,$A711,出库单!$K$4:$K$4003,"盘亏",出库单!$U$4:$U$4003,"正常",出库单!$C$4:$C$4003,"&gt;="&amp;账期起,出库单!$C$4:$C$4003,"&lt;="&amp;账期止),0))</f>
        <v/>
      </c>
      <c r="V711" s="27">
        <f>IF($A711="","",SUMIFS(出库单!$J$4:$J$4003,出库单!$D$4:$D$4003,$A711,出库单!$K$4:$K$4003,"退货给供应商",出库单!$U$4:$U$4003,"正常",出库单!$C$4:$C$4003,"&gt;="&amp;账期起,出库单!$C$4:$C$4003,"&lt;="&amp;账期止))</f>
        <v/>
      </c>
      <c r="W711" s="26">
        <f>IF($A711="","",ROUND(SUMIFS(出库单!$S$4:$S$4003,出库单!$D$4:$D$4003,$A711,出库单!$K$4:$K$4003,"退货给供应商",出库单!$U$4:$U$4003,"正常",出库单!$C$4:$C$4003,"&gt;="&amp;账期起,出库单!$C$4:$C$4003,"&lt;="&amp;账期止),0))</f>
        <v/>
      </c>
      <c r="X711" s="27">
        <f>IF($A711="","",ROUND(N($G711)+$I711+$L711+$N711-$P711-$R711-$T711-$V711,3))</f>
        <v/>
      </c>
      <c r="Y711" s="26">
        <f>IF($A711="","",ROUND(N($H711)+$J711+$M711+$O711-$Q711-$S711-$U711-$W711,0))</f>
        <v/>
      </c>
      <c r="Z711" s="24">
        <f>IF($A711="","",IF(COUNTIFS(入库单!$G$4:$G$2503,$A711,入库单!$Y$4:$Y$2503,"待补价")+COUNTIFS(入库单!$G$4:$G$2503,$A711,入库单!$Y$4:$Y$2503,"暂估")&gt;0,"不可信","可信"))</f>
        <v/>
      </c>
      <c r="AA711" s="24">
        <f>IF($A711="","",IF($X711&lt;-0.001,"※账面负库存，查一下是不是漏记入库",IF(AND(ROUND($X711,3)=0,ABS($Y711)&gt;1),"※数量已经是 0，金额还挂着 "&amp;TEXT($Y711,"#,##0")&amp;" 先令",IF(AND($X711&gt;0,$Y711&lt;=0,$K711=0),"※有数量没金额（这个物料一直没填过进价）",IF($Z711="不可信","△成本含待补价/暂估，毛利仅供参考","")))))</f>
        <v/>
      </c>
    </row>
    <row r="712">
      <c r="A712" s="24">
        <f>IF(物料档案!$A711="","",物料档案!$A711)</f>
        <v/>
      </c>
      <c r="B712" s="24">
        <f>IF($A712="","",IFERROR(VLOOKUP($A712,物料档案!$A$4:$P$1203,3,0),""))</f>
        <v/>
      </c>
      <c r="C712" s="24">
        <f>IF($A712="","",IFERROR(VLOOKUP($A712,物料档案!$A$4:$P$1203,4,0),""))</f>
        <v/>
      </c>
      <c r="D712" s="24">
        <f>IF($A712="","",IFERROR(VLOOKUP($A712,物料档案!$A$4:$P$1203,5,0),""))</f>
        <v/>
      </c>
      <c r="E712" s="24">
        <f>IF($A712="","",IFERROR(VLOOKUP($A712,物料档案!$A$4:$P$1203,2,0),""))</f>
        <v/>
      </c>
      <c r="F712" s="24">
        <f>IF($A712="","",IFERROR(VLOOKUP($A712,物料档案!$A$4:$P$1203,6,0),""))</f>
        <v/>
      </c>
      <c r="G712" s="23" t="n"/>
      <c r="H712" s="32" t="n"/>
      <c r="I712" s="27">
        <f>IF($A712="","",SUMIFS(入库单!$K$4:$K$2503,入库单!$G$4:$G$2503,$A712,入库单!$X$4:$X$2503,"采购入库",入库单!$Z$4:$Z$2503,"正常",入库单!$C$4:$C$2503,"&gt;="&amp;账期起,入库单!$C$4:$C$2503,"&lt;="&amp;账期止))</f>
        <v/>
      </c>
      <c r="J712" s="26">
        <f>IF($A712="","",SUMIFS(入库单!$V$4:$V$2503,入库单!$G$4:$G$2503,$A712,入库单!$X$4:$X$2503,"采购入库",入库单!$Z$4:$Z$2503,"正常",入库单!$C$4:$C$2503,"&gt;="&amp;账期起,入库单!$C$4:$C$2503,"&lt;="&amp;账期止))</f>
        <v/>
      </c>
      <c r="K712" s="26">
        <f>IF($A712="","",IFERROR(ROUND((N($H712)+N($J712))/(N($G712)+N($I712)),2),0))</f>
        <v/>
      </c>
      <c r="L712" s="27">
        <f>IF($A712="","",SUMIFS(入库单!$K$4:$K$2503,入库单!$G$4:$G$2503,$A712,入库单!$X$4:$X$2503,"盘盈",入库单!$Z$4:$Z$2503,"正常",入库单!$C$4:$C$2503,"&gt;="&amp;账期起,入库单!$C$4:$C$2503,"&lt;="&amp;账期止))</f>
        <v/>
      </c>
      <c r="M712" s="26">
        <f>IF($A712="","",ROUND($L712*$K712,0))</f>
        <v/>
      </c>
      <c r="N712" s="27">
        <f>IF($A712="","",SUMIFS(入库单!$K$4:$K$2503,入库单!$G$4:$G$2503,$A712,入库单!$X$4:$X$2503,"矿区退库",入库单!$Z$4:$Z$2503,"正常",入库单!$C$4:$C$2503,"&gt;="&amp;账期起,入库单!$C$4:$C$2503,"&lt;="&amp;账期止))</f>
        <v/>
      </c>
      <c r="O712" s="26">
        <f>IF($A712="","",ROUND($N712*$K712,0))</f>
        <v/>
      </c>
      <c r="P712" s="27">
        <f>IF($A712="","",SUMIFS(出库单!$J$4:$J$4003,出库单!$D$4:$D$4003,$A712,出库单!$K$4:$K$4003,"自用消耗",出库单!$U$4:$U$4003,"正常",出库单!$C$4:$C$4003,"&gt;="&amp;账期起,出库单!$C$4:$C$4003,"&lt;="&amp;账期止))</f>
        <v/>
      </c>
      <c r="Q712" s="26">
        <f>IF($A712="","",ROUND(SUMIFS(出库单!$S$4:$S$4003,出库单!$D$4:$D$4003,$A712,出库单!$K$4:$K$4003,"自用消耗",出库单!$U$4:$U$4003,"正常",出库单!$C$4:$C$4003,"&gt;="&amp;账期起,出库单!$C$4:$C$4003,"&lt;="&amp;账期止),0))</f>
        <v/>
      </c>
      <c r="R712" s="27">
        <f>IF($A712="","",SUMIFS(出库单!$J$4:$J$4003,出库单!$D$4:$D$4003,$A712,出库单!$K$4:$K$4003,"对外销售",出库单!$U$4:$U$4003,"正常",出库单!$C$4:$C$4003,"&gt;="&amp;账期起,出库单!$C$4:$C$4003,"&lt;="&amp;账期止))</f>
        <v/>
      </c>
      <c r="S712" s="26">
        <f>IF($A712="","",ROUND(SUMIFS(出库单!$S$4:$S$4003,出库单!$D$4:$D$4003,$A712,出库单!$K$4:$K$4003,"对外销售",出库单!$U$4:$U$4003,"正常",出库单!$C$4:$C$4003,"&gt;="&amp;账期起,出库单!$C$4:$C$4003,"&lt;="&amp;账期止),0))</f>
        <v/>
      </c>
      <c r="T712" s="27">
        <f>IF($A712="","",SUMIFS(出库单!$J$4:$J$4003,出库单!$D$4:$D$4003,$A712,出库单!$K$4:$K$4003,"盘亏",出库单!$U$4:$U$4003,"正常",出库单!$C$4:$C$4003,"&gt;="&amp;账期起,出库单!$C$4:$C$4003,"&lt;="&amp;账期止))</f>
        <v/>
      </c>
      <c r="U712" s="26">
        <f>IF($A712="","",ROUND(SUMIFS(出库单!$S$4:$S$4003,出库单!$D$4:$D$4003,$A712,出库单!$K$4:$K$4003,"盘亏",出库单!$U$4:$U$4003,"正常",出库单!$C$4:$C$4003,"&gt;="&amp;账期起,出库单!$C$4:$C$4003,"&lt;="&amp;账期止),0))</f>
        <v/>
      </c>
      <c r="V712" s="27">
        <f>IF($A712="","",SUMIFS(出库单!$J$4:$J$4003,出库单!$D$4:$D$4003,$A712,出库单!$K$4:$K$4003,"退货给供应商",出库单!$U$4:$U$4003,"正常",出库单!$C$4:$C$4003,"&gt;="&amp;账期起,出库单!$C$4:$C$4003,"&lt;="&amp;账期止))</f>
        <v/>
      </c>
      <c r="W712" s="26">
        <f>IF($A712="","",ROUND(SUMIFS(出库单!$S$4:$S$4003,出库单!$D$4:$D$4003,$A712,出库单!$K$4:$K$4003,"退货给供应商",出库单!$U$4:$U$4003,"正常",出库单!$C$4:$C$4003,"&gt;="&amp;账期起,出库单!$C$4:$C$4003,"&lt;="&amp;账期止),0))</f>
        <v/>
      </c>
      <c r="X712" s="27">
        <f>IF($A712="","",ROUND(N($G712)+$I712+$L712+$N712-$P712-$R712-$T712-$V712,3))</f>
        <v/>
      </c>
      <c r="Y712" s="26">
        <f>IF($A712="","",ROUND(N($H712)+$J712+$M712+$O712-$Q712-$S712-$U712-$W712,0))</f>
        <v/>
      </c>
      <c r="Z712" s="24">
        <f>IF($A712="","",IF(COUNTIFS(入库单!$G$4:$G$2503,$A712,入库单!$Y$4:$Y$2503,"待补价")+COUNTIFS(入库单!$G$4:$G$2503,$A712,入库单!$Y$4:$Y$2503,"暂估")&gt;0,"不可信","可信"))</f>
        <v/>
      </c>
      <c r="AA712" s="24">
        <f>IF($A712="","",IF($X712&lt;-0.001,"※账面负库存，查一下是不是漏记入库",IF(AND(ROUND($X712,3)=0,ABS($Y712)&gt;1),"※数量已经是 0，金额还挂着 "&amp;TEXT($Y712,"#,##0")&amp;" 先令",IF(AND($X712&gt;0,$Y712&lt;=0,$K712=0),"※有数量没金额（这个物料一直没填过进价）",IF($Z712="不可信","△成本含待补价/暂估，毛利仅供参考","")))))</f>
        <v/>
      </c>
    </row>
    <row r="713">
      <c r="A713" s="24">
        <f>IF(物料档案!$A712="","",物料档案!$A712)</f>
        <v/>
      </c>
      <c r="B713" s="24">
        <f>IF($A713="","",IFERROR(VLOOKUP($A713,物料档案!$A$4:$P$1203,3,0),""))</f>
        <v/>
      </c>
      <c r="C713" s="24">
        <f>IF($A713="","",IFERROR(VLOOKUP($A713,物料档案!$A$4:$P$1203,4,0),""))</f>
        <v/>
      </c>
      <c r="D713" s="24">
        <f>IF($A713="","",IFERROR(VLOOKUP($A713,物料档案!$A$4:$P$1203,5,0),""))</f>
        <v/>
      </c>
      <c r="E713" s="24">
        <f>IF($A713="","",IFERROR(VLOOKUP($A713,物料档案!$A$4:$P$1203,2,0),""))</f>
        <v/>
      </c>
      <c r="F713" s="24">
        <f>IF($A713="","",IFERROR(VLOOKUP($A713,物料档案!$A$4:$P$1203,6,0),""))</f>
        <v/>
      </c>
      <c r="G713" s="23" t="n"/>
      <c r="H713" s="32" t="n"/>
      <c r="I713" s="27">
        <f>IF($A713="","",SUMIFS(入库单!$K$4:$K$2503,入库单!$G$4:$G$2503,$A713,入库单!$X$4:$X$2503,"采购入库",入库单!$Z$4:$Z$2503,"正常",入库单!$C$4:$C$2503,"&gt;="&amp;账期起,入库单!$C$4:$C$2503,"&lt;="&amp;账期止))</f>
        <v/>
      </c>
      <c r="J713" s="26">
        <f>IF($A713="","",SUMIFS(入库单!$V$4:$V$2503,入库单!$G$4:$G$2503,$A713,入库单!$X$4:$X$2503,"采购入库",入库单!$Z$4:$Z$2503,"正常",入库单!$C$4:$C$2503,"&gt;="&amp;账期起,入库单!$C$4:$C$2503,"&lt;="&amp;账期止))</f>
        <v/>
      </c>
      <c r="K713" s="26">
        <f>IF($A713="","",IFERROR(ROUND((N($H713)+N($J713))/(N($G713)+N($I713)),2),0))</f>
        <v/>
      </c>
      <c r="L713" s="27">
        <f>IF($A713="","",SUMIFS(入库单!$K$4:$K$2503,入库单!$G$4:$G$2503,$A713,入库单!$X$4:$X$2503,"盘盈",入库单!$Z$4:$Z$2503,"正常",入库单!$C$4:$C$2503,"&gt;="&amp;账期起,入库单!$C$4:$C$2503,"&lt;="&amp;账期止))</f>
        <v/>
      </c>
      <c r="M713" s="26">
        <f>IF($A713="","",ROUND($L713*$K713,0))</f>
        <v/>
      </c>
      <c r="N713" s="27">
        <f>IF($A713="","",SUMIFS(入库单!$K$4:$K$2503,入库单!$G$4:$G$2503,$A713,入库单!$X$4:$X$2503,"矿区退库",入库单!$Z$4:$Z$2503,"正常",入库单!$C$4:$C$2503,"&gt;="&amp;账期起,入库单!$C$4:$C$2503,"&lt;="&amp;账期止))</f>
        <v/>
      </c>
      <c r="O713" s="26">
        <f>IF($A713="","",ROUND($N713*$K713,0))</f>
        <v/>
      </c>
      <c r="P713" s="27">
        <f>IF($A713="","",SUMIFS(出库单!$J$4:$J$4003,出库单!$D$4:$D$4003,$A713,出库单!$K$4:$K$4003,"自用消耗",出库单!$U$4:$U$4003,"正常",出库单!$C$4:$C$4003,"&gt;="&amp;账期起,出库单!$C$4:$C$4003,"&lt;="&amp;账期止))</f>
        <v/>
      </c>
      <c r="Q713" s="26">
        <f>IF($A713="","",ROUND(SUMIFS(出库单!$S$4:$S$4003,出库单!$D$4:$D$4003,$A713,出库单!$K$4:$K$4003,"自用消耗",出库单!$U$4:$U$4003,"正常",出库单!$C$4:$C$4003,"&gt;="&amp;账期起,出库单!$C$4:$C$4003,"&lt;="&amp;账期止),0))</f>
        <v/>
      </c>
      <c r="R713" s="27">
        <f>IF($A713="","",SUMIFS(出库单!$J$4:$J$4003,出库单!$D$4:$D$4003,$A713,出库单!$K$4:$K$4003,"对外销售",出库单!$U$4:$U$4003,"正常",出库单!$C$4:$C$4003,"&gt;="&amp;账期起,出库单!$C$4:$C$4003,"&lt;="&amp;账期止))</f>
        <v/>
      </c>
      <c r="S713" s="26">
        <f>IF($A713="","",ROUND(SUMIFS(出库单!$S$4:$S$4003,出库单!$D$4:$D$4003,$A713,出库单!$K$4:$K$4003,"对外销售",出库单!$U$4:$U$4003,"正常",出库单!$C$4:$C$4003,"&gt;="&amp;账期起,出库单!$C$4:$C$4003,"&lt;="&amp;账期止),0))</f>
        <v/>
      </c>
      <c r="T713" s="27">
        <f>IF($A713="","",SUMIFS(出库单!$J$4:$J$4003,出库单!$D$4:$D$4003,$A713,出库单!$K$4:$K$4003,"盘亏",出库单!$U$4:$U$4003,"正常",出库单!$C$4:$C$4003,"&gt;="&amp;账期起,出库单!$C$4:$C$4003,"&lt;="&amp;账期止))</f>
        <v/>
      </c>
      <c r="U713" s="26">
        <f>IF($A713="","",ROUND(SUMIFS(出库单!$S$4:$S$4003,出库单!$D$4:$D$4003,$A713,出库单!$K$4:$K$4003,"盘亏",出库单!$U$4:$U$4003,"正常",出库单!$C$4:$C$4003,"&gt;="&amp;账期起,出库单!$C$4:$C$4003,"&lt;="&amp;账期止),0))</f>
        <v/>
      </c>
      <c r="V713" s="27">
        <f>IF($A713="","",SUMIFS(出库单!$J$4:$J$4003,出库单!$D$4:$D$4003,$A713,出库单!$K$4:$K$4003,"退货给供应商",出库单!$U$4:$U$4003,"正常",出库单!$C$4:$C$4003,"&gt;="&amp;账期起,出库单!$C$4:$C$4003,"&lt;="&amp;账期止))</f>
        <v/>
      </c>
      <c r="W713" s="26">
        <f>IF($A713="","",ROUND(SUMIFS(出库单!$S$4:$S$4003,出库单!$D$4:$D$4003,$A713,出库单!$K$4:$K$4003,"退货给供应商",出库单!$U$4:$U$4003,"正常",出库单!$C$4:$C$4003,"&gt;="&amp;账期起,出库单!$C$4:$C$4003,"&lt;="&amp;账期止),0))</f>
        <v/>
      </c>
      <c r="X713" s="27">
        <f>IF($A713="","",ROUND(N($G713)+$I713+$L713+$N713-$P713-$R713-$T713-$V713,3))</f>
        <v/>
      </c>
      <c r="Y713" s="26">
        <f>IF($A713="","",ROUND(N($H713)+$J713+$M713+$O713-$Q713-$S713-$U713-$W713,0))</f>
        <v/>
      </c>
      <c r="Z713" s="24">
        <f>IF($A713="","",IF(COUNTIFS(入库单!$G$4:$G$2503,$A713,入库单!$Y$4:$Y$2503,"待补价")+COUNTIFS(入库单!$G$4:$G$2503,$A713,入库单!$Y$4:$Y$2503,"暂估")&gt;0,"不可信","可信"))</f>
        <v/>
      </c>
      <c r="AA713" s="24">
        <f>IF($A713="","",IF($X713&lt;-0.001,"※账面负库存，查一下是不是漏记入库",IF(AND(ROUND($X713,3)=0,ABS($Y713)&gt;1),"※数量已经是 0，金额还挂着 "&amp;TEXT($Y713,"#,##0")&amp;" 先令",IF(AND($X713&gt;0,$Y713&lt;=0,$K713=0),"※有数量没金额（这个物料一直没填过进价）",IF($Z713="不可信","△成本含待补价/暂估，毛利仅供参考","")))))</f>
        <v/>
      </c>
    </row>
    <row r="714">
      <c r="A714" s="24">
        <f>IF(物料档案!$A713="","",物料档案!$A713)</f>
        <v/>
      </c>
      <c r="B714" s="24">
        <f>IF($A714="","",IFERROR(VLOOKUP($A714,物料档案!$A$4:$P$1203,3,0),""))</f>
        <v/>
      </c>
      <c r="C714" s="24">
        <f>IF($A714="","",IFERROR(VLOOKUP($A714,物料档案!$A$4:$P$1203,4,0),""))</f>
        <v/>
      </c>
      <c r="D714" s="24">
        <f>IF($A714="","",IFERROR(VLOOKUP($A714,物料档案!$A$4:$P$1203,5,0),""))</f>
        <v/>
      </c>
      <c r="E714" s="24">
        <f>IF($A714="","",IFERROR(VLOOKUP($A714,物料档案!$A$4:$P$1203,2,0),""))</f>
        <v/>
      </c>
      <c r="F714" s="24">
        <f>IF($A714="","",IFERROR(VLOOKUP($A714,物料档案!$A$4:$P$1203,6,0),""))</f>
        <v/>
      </c>
      <c r="G714" s="23" t="n"/>
      <c r="H714" s="32" t="n"/>
      <c r="I714" s="27">
        <f>IF($A714="","",SUMIFS(入库单!$K$4:$K$2503,入库单!$G$4:$G$2503,$A714,入库单!$X$4:$X$2503,"采购入库",入库单!$Z$4:$Z$2503,"正常",入库单!$C$4:$C$2503,"&gt;="&amp;账期起,入库单!$C$4:$C$2503,"&lt;="&amp;账期止))</f>
        <v/>
      </c>
      <c r="J714" s="26">
        <f>IF($A714="","",SUMIFS(入库单!$V$4:$V$2503,入库单!$G$4:$G$2503,$A714,入库单!$X$4:$X$2503,"采购入库",入库单!$Z$4:$Z$2503,"正常",入库单!$C$4:$C$2503,"&gt;="&amp;账期起,入库单!$C$4:$C$2503,"&lt;="&amp;账期止))</f>
        <v/>
      </c>
      <c r="K714" s="26">
        <f>IF($A714="","",IFERROR(ROUND((N($H714)+N($J714))/(N($G714)+N($I714)),2),0))</f>
        <v/>
      </c>
      <c r="L714" s="27">
        <f>IF($A714="","",SUMIFS(入库单!$K$4:$K$2503,入库单!$G$4:$G$2503,$A714,入库单!$X$4:$X$2503,"盘盈",入库单!$Z$4:$Z$2503,"正常",入库单!$C$4:$C$2503,"&gt;="&amp;账期起,入库单!$C$4:$C$2503,"&lt;="&amp;账期止))</f>
        <v/>
      </c>
      <c r="M714" s="26">
        <f>IF($A714="","",ROUND($L714*$K714,0))</f>
        <v/>
      </c>
      <c r="N714" s="27">
        <f>IF($A714="","",SUMIFS(入库单!$K$4:$K$2503,入库单!$G$4:$G$2503,$A714,入库单!$X$4:$X$2503,"矿区退库",入库单!$Z$4:$Z$2503,"正常",入库单!$C$4:$C$2503,"&gt;="&amp;账期起,入库单!$C$4:$C$2503,"&lt;="&amp;账期止))</f>
        <v/>
      </c>
      <c r="O714" s="26">
        <f>IF($A714="","",ROUND($N714*$K714,0))</f>
        <v/>
      </c>
      <c r="P714" s="27">
        <f>IF($A714="","",SUMIFS(出库单!$J$4:$J$4003,出库单!$D$4:$D$4003,$A714,出库单!$K$4:$K$4003,"自用消耗",出库单!$U$4:$U$4003,"正常",出库单!$C$4:$C$4003,"&gt;="&amp;账期起,出库单!$C$4:$C$4003,"&lt;="&amp;账期止))</f>
        <v/>
      </c>
      <c r="Q714" s="26">
        <f>IF($A714="","",ROUND(SUMIFS(出库单!$S$4:$S$4003,出库单!$D$4:$D$4003,$A714,出库单!$K$4:$K$4003,"自用消耗",出库单!$U$4:$U$4003,"正常",出库单!$C$4:$C$4003,"&gt;="&amp;账期起,出库单!$C$4:$C$4003,"&lt;="&amp;账期止),0))</f>
        <v/>
      </c>
      <c r="R714" s="27">
        <f>IF($A714="","",SUMIFS(出库单!$J$4:$J$4003,出库单!$D$4:$D$4003,$A714,出库单!$K$4:$K$4003,"对外销售",出库单!$U$4:$U$4003,"正常",出库单!$C$4:$C$4003,"&gt;="&amp;账期起,出库单!$C$4:$C$4003,"&lt;="&amp;账期止))</f>
        <v/>
      </c>
      <c r="S714" s="26">
        <f>IF($A714="","",ROUND(SUMIFS(出库单!$S$4:$S$4003,出库单!$D$4:$D$4003,$A714,出库单!$K$4:$K$4003,"对外销售",出库单!$U$4:$U$4003,"正常",出库单!$C$4:$C$4003,"&gt;="&amp;账期起,出库单!$C$4:$C$4003,"&lt;="&amp;账期止),0))</f>
        <v/>
      </c>
      <c r="T714" s="27">
        <f>IF($A714="","",SUMIFS(出库单!$J$4:$J$4003,出库单!$D$4:$D$4003,$A714,出库单!$K$4:$K$4003,"盘亏",出库单!$U$4:$U$4003,"正常",出库单!$C$4:$C$4003,"&gt;="&amp;账期起,出库单!$C$4:$C$4003,"&lt;="&amp;账期止))</f>
        <v/>
      </c>
      <c r="U714" s="26">
        <f>IF($A714="","",ROUND(SUMIFS(出库单!$S$4:$S$4003,出库单!$D$4:$D$4003,$A714,出库单!$K$4:$K$4003,"盘亏",出库单!$U$4:$U$4003,"正常",出库单!$C$4:$C$4003,"&gt;="&amp;账期起,出库单!$C$4:$C$4003,"&lt;="&amp;账期止),0))</f>
        <v/>
      </c>
      <c r="V714" s="27">
        <f>IF($A714="","",SUMIFS(出库单!$J$4:$J$4003,出库单!$D$4:$D$4003,$A714,出库单!$K$4:$K$4003,"退货给供应商",出库单!$U$4:$U$4003,"正常",出库单!$C$4:$C$4003,"&gt;="&amp;账期起,出库单!$C$4:$C$4003,"&lt;="&amp;账期止))</f>
        <v/>
      </c>
      <c r="W714" s="26">
        <f>IF($A714="","",ROUND(SUMIFS(出库单!$S$4:$S$4003,出库单!$D$4:$D$4003,$A714,出库单!$K$4:$K$4003,"退货给供应商",出库单!$U$4:$U$4003,"正常",出库单!$C$4:$C$4003,"&gt;="&amp;账期起,出库单!$C$4:$C$4003,"&lt;="&amp;账期止),0))</f>
        <v/>
      </c>
      <c r="X714" s="27">
        <f>IF($A714="","",ROUND(N($G714)+$I714+$L714+$N714-$P714-$R714-$T714-$V714,3))</f>
        <v/>
      </c>
      <c r="Y714" s="26">
        <f>IF($A714="","",ROUND(N($H714)+$J714+$M714+$O714-$Q714-$S714-$U714-$W714,0))</f>
        <v/>
      </c>
      <c r="Z714" s="24">
        <f>IF($A714="","",IF(COUNTIFS(入库单!$G$4:$G$2503,$A714,入库单!$Y$4:$Y$2503,"待补价")+COUNTIFS(入库单!$G$4:$G$2503,$A714,入库单!$Y$4:$Y$2503,"暂估")&gt;0,"不可信","可信"))</f>
        <v/>
      </c>
      <c r="AA714" s="24">
        <f>IF($A714="","",IF($X714&lt;-0.001,"※账面负库存，查一下是不是漏记入库",IF(AND(ROUND($X714,3)=0,ABS($Y714)&gt;1),"※数量已经是 0，金额还挂着 "&amp;TEXT($Y714,"#,##0")&amp;" 先令",IF(AND($X714&gt;0,$Y714&lt;=0,$K714=0),"※有数量没金额（这个物料一直没填过进价）",IF($Z714="不可信","△成本含待补价/暂估，毛利仅供参考","")))))</f>
        <v/>
      </c>
    </row>
    <row r="715">
      <c r="A715" s="24">
        <f>IF(物料档案!$A714="","",物料档案!$A714)</f>
        <v/>
      </c>
      <c r="B715" s="24">
        <f>IF($A715="","",IFERROR(VLOOKUP($A715,物料档案!$A$4:$P$1203,3,0),""))</f>
        <v/>
      </c>
      <c r="C715" s="24">
        <f>IF($A715="","",IFERROR(VLOOKUP($A715,物料档案!$A$4:$P$1203,4,0),""))</f>
        <v/>
      </c>
      <c r="D715" s="24">
        <f>IF($A715="","",IFERROR(VLOOKUP($A715,物料档案!$A$4:$P$1203,5,0),""))</f>
        <v/>
      </c>
      <c r="E715" s="24">
        <f>IF($A715="","",IFERROR(VLOOKUP($A715,物料档案!$A$4:$P$1203,2,0),""))</f>
        <v/>
      </c>
      <c r="F715" s="24">
        <f>IF($A715="","",IFERROR(VLOOKUP($A715,物料档案!$A$4:$P$1203,6,0),""))</f>
        <v/>
      </c>
      <c r="G715" s="23" t="n"/>
      <c r="H715" s="32" t="n"/>
      <c r="I715" s="27">
        <f>IF($A715="","",SUMIFS(入库单!$K$4:$K$2503,入库单!$G$4:$G$2503,$A715,入库单!$X$4:$X$2503,"采购入库",入库单!$Z$4:$Z$2503,"正常",入库单!$C$4:$C$2503,"&gt;="&amp;账期起,入库单!$C$4:$C$2503,"&lt;="&amp;账期止))</f>
        <v/>
      </c>
      <c r="J715" s="26">
        <f>IF($A715="","",SUMIFS(入库单!$V$4:$V$2503,入库单!$G$4:$G$2503,$A715,入库单!$X$4:$X$2503,"采购入库",入库单!$Z$4:$Z$2503,"正常",入库单!$C$4:$C$2503,"&gt;="&amp;账期起,入库单!$C$4:$C$2503,"&lt;="&amp;账期止))</f>
        <v/>
      </c>
      <c r="K715" s="26">
        <f>IF($A715="","",IFERROR(ROUND((N($H715)+N($J715))/(N($G715)+N($I715)),2),0))</f>
        <v/>
      </c>
      <c r="L715" s="27">
        <f>IF($A715="","",SUMIFS(入库单!$K$4:$K$2503,入库单!$G$4:$G$2503,$A715,入库单!$X$4:$X$2503,"盘盈",入库单!$Z$4:$Z$2503,"正常",入库单!$C$4:$C$2503,"&gt;="&amp;账期起,入库单!$C$4:$C$2503,"&lt;="&amp;账期止))</f>
        <v/>
      </c>
      <c r="M715" s="26">
        <f>IF($A715="","",ROUND($L715*$K715,0))</f>
        <v/>
      </c>
      <c r="N715" s="27">
        <f>IF($A715="","",SUMIFS(入库单!$K$4:$K$2503,入库单!$G$4:$G$2503,$A715,入库单!$X$4:$X$2503,"矿区退库",入库单!$Z$4:$Z$2503,"正常",入库单!$C$4:$C$2503,"&gt;="&amp;账期起,入库单!$C$4:$C$2503,"&lt;="&amp;账期止))</f>
        <v/>
      </c>
      <c r="O715" s="26">
        <f>IF($A715="","",ROUND($N715*$K715,0))</f>
        <v/>
      </c>
      <c r="P715" s="27">
        <f>IF($A715="","",SUMIFS(出库单!$J$4:$J$4003,出库单!$D$4:$D$4003,$A715,出库单!$K$4:$K$4003,"自用消耗",出库单!$U$4:$U$4003,"正常",出库单!$C$4:$C$4003,"&gt;="&amp;账期起,出库单!$C$4:$C$4003,"&lt;="&amp;账期止))</f>
        <v/>
      </c>
      <c r="Q715" s="26">
        <f>IF($A715="","",ROUND(SUMIFS(出库单!$S$4:$S$4003,出库单!$D$4:$D$4003,$A715,出库单!$K$4:$K$4003,"自用消耗",出库单!$U$4:$U$4003,"正常",出库单!$C$4:$C$4003,"&gt;="&amp;账期起,出库单!$C$4:$C$4003,"&lt;="&amp;账期止),0))</f>
        <v/>
      </c>
      <c r="R715" s="27">
        <f>IF($A715="","",SUMIFS(出库单!$J$4:$J$4003,出库单!$D$4:$D$4003,$A715,出库单!$K$4:$K$4003,"对外销售",出库单!$U$4:$U$4003,"正常",出库单!$C$4:$C$4003,"&gt;="&amp;账期起,出库单!$C$4:$C$4003,"&lt;="&amp;账期止))</f>
        <v/>
      </c>
      <c r="S715" s="26">
        <f>IF($A715="","",ROUND(SUMIFS(出库单!$S$4:$S$4003,出库单!$D$4:$D$4003,$A715,出库单!$K$4:$K$4003,"对外销售",出库单!$U$4:$U$4003,"正常",出库单!$C$4:$C$4003,"&gt;="&amp;账期起,出库单!$C$4:$C$4003,"&lt;="&amp;账期止),0))</f>
        <v/>
      </c>
      <c r="T715" s="27">
        <f>IF($A715="","",SUMIFS(出库单!$J$4:$J$4003,出库单!$D$4:$D$4003,$A715,出库单!$K$4:$K$4003,"盘亏",出库单!$U$4:$U$4003,"正常",出库单!$C$4:$C$4003,"&gt;="&amp;账期起,出库单!$C$4:$C$4003,"&lt;="&amp;账期止))</f>
        <v/>
      </c>
      <c r="U715" s="26">
        <f>IF($A715="","",ROUND(SUMIFS(出库单!$S$4:$S$4003,出库单!$D$4:$D$4003,$A715,出库单!$K$4:$K$4003,"盘亏",出库单!$U$4:$U$4003,"正常",出库单!$C$4:$C$4003,"&gt;="&amp;账期起,出库单!$C$4:$C$4003,"&lt;="&amp;账期止),0))</f>
        <v/>
      </c>
      <c r="V715" s="27">
        <f>IF($A715="","",SUMIFS(出库单!$J$4:$J$4003,出库单!$D$4:$D$4003,$A715,出库单!$K$4:$K$4003,"退货给供应商",出库单!$U$4:$U$4003,"正常",出库单!$C$4:$C$4003,"&gt;="&amp;账期起,出库单!$C$4:$C$4003,"&lt;="&amp;账期止))</f>
        <v/>
      </c>
      <c r="W715" s="26">
        <f>IF($A715="","",ROUND(SUMIFS(出库单!$S$4:$S$4003,出库单!$D$4:$D$4003,$A715,出库单!$K$4:$K$4003,"退货给供应商",出库单!$U$4:$U$4003,"正常",出库单!$C$4:$C$4003,"&gt;="&amp;账期起,出库单!$C$4:$C$4003,"&lt;="&amp;账期止),0))</f>
        <v/>
      </c>
      <c r="X715" s="27">
        <f>IF($A715="","",ROUND(N($G715)+$I715+$L715+$N715-$P715-$R715-$T715-$V715,3))</f>
        <v/>
      </c>
      <c r="Y715" s="26">
        <f>IF($A715="","",ROUND(N($H715)+$J715+$M715+$O715-$Q715-$S715-$U715-$W715,0))</f>
        <v/>
      </c>
      <c r="Z715" s="24">
        <f>IF($A715="","",IF(COUNTIFS(入库单!$G$4:$G$2503,$A715,入库单!$Y$4:$Y$2503,"待补价")+COUNTIFS(入库单!$G$4:$G$2503,$A715,入库单!$Y$4:$Y$2503,"暂估")&gt;0,"不可信","可信"))</f>
        <v/>
      </c>
      <c r="AA715" s="24">
        <f>IF($A715="","",IF($X715&lt;-0.001,"※账面负库存，查一下是不是漏记入库",IF(AND(ROUND($X715,3)=0,ABS($Y715)&gt;1),"※数量已经是 0，金额还挂着 "&amp;TEXT($Y715,"#,##0")&amp;" 先令",IF(AND($X715&gt;0,$Y715&lt;=0,$K715=0),"※有数量没金额（这个物料一直没填过进价）",IF($Z715="不可信","△成本含待补价/暂估，毛利仅供参考","")))))</f>
        <v/>
      </c>
    </row>
    <row r="716">
      <c r="A716" s="24">
        <f>IF(物料档案!$A715="","",物料档案!$A715)</f>
        <v/>
      </c>
      <c r="B716" s="24">
        <f>IF($A716="","",IFERROR(VLOOKUP($A716,物料档案!$A$4:$P$1203,3,0),""))</f>
        <v/>
      </c>
      <c r="C716" s="24">
        <f>IF($A716="","",IFERROR(VLOOKUP($A716,物料档案!$A$4:$P$1203,4,0),""))</f>
        <v/>
      </c>
      <c r="D716" s="24">
        <f>IF($A716="","",IFERROR(VLOOKUP($A716,物料档案!$A$4:$P$1203,5,0),""))</f>
        <v/>
      </c>
      <c r="E716" s="24">
        <f>IF($A716="","",IFERROR(VLOOKUP($A716,物料档案!$A$4:$P$1203,2,0),""))</f>
        <v/>
      </c>
      <c r="F716" s="24">
        <f>IF($A716="","",IFERROR(VLOOKUP($A716,物料档案!$A$4:$P$1203,6,0),""))</f>
        <v/>
      </c>
      <c r="G716" s="23" t="n"/>
      <c r="H716" s="32" t="n"/>
      <c r="I716" s="27">
        <f>IF($A716="","",SUMIFS(入库单!$K$4:$K$2503,入库单!$G$4:$G$2503,$A716,入库单!$X$4:$X$2503,"采购入库",入库单!$Z$4:$Z$2503,"正常",入库单!$C$4:$C$2503,"&gt;="&amp;账期起,入库单!$C$4:$C$2503,"&lt;="&amp;账期止))</f>
        <v/>
      </c>
      <c r="J716" s="26">
        <f>IF($A716="","",SUMIFS(入库单!$V$4:$V$2503,入库单!$G$4:$G$2503,$A716,入库单!$X$4:$X$2503,"采购入库",入库单!$Z$4:$Z$2503,"正常",入库单!$C$4:$C$2503,"&gt;="&amp;账期起,入库单!$C$4:$C$2503,"&lt;="&amp;账期止))</f>
        <v/>
      </c>
      <c r="K716" s="26">
        <f>IF($A716="","",IFERROR(ROUND((N($H716)+N($J716))/(N($G716)+N($I716)),2),0))</f>
        <v/>
      </c>
      <c r="L716" s="27">
        <f>IF($A716="","",SUMIFS(入库单!$K$4:$K$2503,入库单!$G$4:$G$2503,$A716,入库单!$X$4:$X$2503,"盘盈",入库单!$Z$4:$Z$2503,"正常",入库单!$C$4:$C$2503,"&gt;="&amp;账期起,入库单!$C$4:$C$2503,"&lt;="&amp;账期止))</f>
        <v/>
      </c>
      <c r="M716" s="26">
        <f>IF($A716="","",ROUND($L716*$K716,0))</f>
        <v/>
      </c>
      <c r="N716" s="27">
        <f>IF($A716="","",SUMIFS(入库单!$K$4:$K$2503,入库单!$G$4:$G$2503,$A716,入库单!$X$4:$X$2503,"矿区退库",入库单!$Z$4:$Z$2503,"正常",入库单!$C$4:$C$2503,"&gt;="&amp;账期起,入库单!$C$4:$C$2503,"&lt;="&amp;账期止))</f>
        <v/>
      </c>
      <c r="O716" s="26">
        <f>IF($A716="","",ROUND($N716*$K716,0))</f>
        <v/>
      </c>
      <c r="P716" s="27">
        <f>IF($A716="","",SUMIFS(出库单!$J$4:$J$4003,出库单!$D$4:$D$4003,$A716,出库单!$K$4:$K$4003,"自用消耗",出库单!$U$4:$U$4003,"正常",出库单!$C$4:$C$4003,"&gt;="&amp;账期起,出库单!$C$4:$C$4003,"&lt;="&amp;账期止))</f>
        <v/>
      </c>
      <c r="Q716" s="26">
        <f>IF($A716="","",ROUND(SUMIFS(出库单!$S$4:$S$4003,出库单!$D$4:$D$4003,$A716,出库单!$K$4:$K$4003,"自用消耗",出库单!$U$4:$U$4003,"正常",出库单!$C$4:$C$4003,"&gt;="&amp;账期起,出库单!$C$4:$C$4003,"&lt;="&amp;账期止),0))</f>
        <v/>
      </c>
      <c r="R716" s="27">
        <f>IF($A716="","",SUMIFS(出库单!$J$4:$J$4003,出库单!$D$4:$D$4003,$A716,出库单!$K$4:$K$4003,"对外销售",出库单!$U$4:$U$4003,"正常",出库单!$C$4:$C$4003,"&gt;="&amp;账期起,出库单!$C$4:$C$4003,"&lt;="&amp;账期止))</f>
        <v/>
      </c>
      <c r="S716" s="26">
        <f>IF($A716="","",ROUND(SUMIFS(出库单!$S$4:$S$4003,出库单!$D$4:$D$4003,$A716,出库单!$K$4:$K$4003,"对外销售",出库单!$U$4:$U$4003,"正常",出库单!$C$4:$C$4003,"&gt;="&amp;账期起,出库单!$C$4:$C$4003,"&lt;="&amp;账期止),0))</f>
        <v/>
      </c>
      <c r="T716" s="27">
        <f>IF($A716="","",SUMIFS(出库单!$J$4:$J$4003,出库单!$D$4:$D$4003,$A716,出库单!$K$4:$K$4003,"盘亏",出库单!$U$4:$U$4003,"正常",出库单!$C$4:$C$4003,"&gt;="&amp;账期起,出库单!$C$4:$C$4003,"&lt;="&amp;账期止))</f>
        <v/>
      </c>
      <c r="U716" s="26">
        <f>IF($A716="","",ROUND(SUMIFS(出库单!$S$4:$S$4003,出库单!$D$4:$D$4003,$A716,出库单!$K$4:$K$4003,"盘亏",出库单!$U$4:$U$4003,"正常",出库单!$C$4:$C$4003,"&gt;="&amp;账期起,出库单!$C$4:$C$4003,"&lt;="&amp;账期止),0))</f>
        <v/>
      </c>
      <c r="V716" s="27">
        <f>IF($A716="","",SUMIFS(出库单!$J$4:$J$4003,出库单!$D$4:$D$4003,$A716,出库单!$K$4:$K$4003,"退货给供应商",出库单!$U$4:$U$4003,"正常",出库单!$C$4:$C$4003,"&gt;="&amp;账期起,出库单!$C$4:$C$4003,"&lt;="&amp;账期止))</f>
        <v/>
      </c>
      <c r="W716" s="26">
        <f>IF($A716="","",ROUND(SUMIFS(出库单!$S$4:$S$4003,出库单!$D$4:$D$4003,$A716,出库单!$K$4:$K$4003,"退货给供应商",出库单!$U$4:$U$4003,"正常",出库单!$C$4:$C$4003,"&gt;="&amp;账期起,出库单!$C$4:$C$4003,"&lt;="&amp;账期止),0))</f>
        <v/>
      </c>
      <c r="X716" s="27">
        <f>IF($A716="","",ROUND(N($G716)+$I716+$L716+$N716-$P716-$R716-$T716-$V716,3))</f>
        <v/>
      </c>
      <c r="Y716" s="26">
        <f>IF($A716="","",ROUND(N($H716)+$J716+$M716+$O716-$Q716-$S716-$U716-$W716,0))</f>
        <v/>
      </c>
      <c r="Z716" s="24">
        <f>IF($A716="","",IF(COUNTIFS(入库单!$G$4:$G$2503,$A716,入库单!$Y$4:$Y$2503,"待补价")+COUNTIFS(入库单!$G$4:$G$2503,$A716,入库单!$Y$4:$Y$2503,"暂估")&gt;0,"不可信","可信"))</f>
        <v/>
      </c>
      <c r="AA716" s="24">
        <f>IF($A716="","",IF($X716&lt;-0.001,"※账面负库存，查一下是不是漏记入库",IF(AND(ROUND($X716,3)=0,ABS($Y716)&gt;1),"※数量已经是 0，金额还挂着 "&amp;TEXT($Y716,"#,##0")&amp;" 先令",IF(AND($X716&gt;0,$Y716&lt;=0,$K716=0),"※有数量没金额（这个物料一直没填过进价）",IF($Z716="不可信","△成本含待补价/暂估，毛利仅供参考","")))))</f>
        <v/>
      </c>
    </row>
    <row r="717">
      <c r="A717" s="24">
        <f>IF(物料档案!$A716="","",物料档案!$A716)</f>
        <v/>
      </c>
      <c r="B717" s="24">
        <f>IF($A717="","",IFERROR(VLOOKUP($A717,物料档案!$A$4:$P$1203,3,0),""))</f>
        <v/>
      </c>
      <c r="C717" s="24">
        <f>IF($A717="","",IFERROR(VLOOKUP($A717,物料档案!$A$4:$P$1203,4,0),""))</f>
        <v/>
      </c>
      <c r="D717" s="24">
        <f>IF($A717="","",IFERROR(VLOOKUP($A717,物料档案!$A$4:$P$1203,5,0),""))</f>
        <v/>
      </c>
      <c r="E717" s="24">
        <f>IF($A717="","",IFERROR(VLOOKUP($A717,物料档案!$A$4:$P$1203,2,0),""))</f>
        <v/>
      </c>
      <c r="F717" s="24">
        <f>IF($A717="","",IFERROR(VLOOKUP($A717,物料档案!$A$4:$P$1203,6,0),""))</f>
        <v/>
      </c>
      <c r="G717" s="23" t="n"/>
      <c r="H717" s="32" t="n"/>
      <c r="I717" s="27">
        <f>IF($A717="","",SUMIFS(入库单!$K$4:$K$2503,入库单!$G$4:$G$2503,$A717,入库单!$X$4:$X$2503,"采购入库",入库单!$Z$4:$Z$2503,"正常",入库单!$C$4:$C$2503,"&gt;="&amp;账期起,入库单!$C$4:$C$2503,"&lt;="&amp;账期止))</f>
        <v/>
      </c>
      <c r="J717" s="26">
        <f>IF($A717="","",SUMIFS(入库单!$V$4:$V$2503,入库单!$G$4:$G$2503,$A717,入库单!$X$4:$X$2503,"采购入库",入库单!$Z$4:$Z$2503,"正常",入库单!$C$4:$C$2503,"&gt;="&amp;账期起,入库单!$C$4:$C$2503,"&lt;="&amp;账期止))</f>
        <v/>
      </c>
      <c r="K717" s="26">
        <f>IF($A717="","",IFERROR(ROUND((N($H717)+N($J717))/(N($G717)+N($I717)),2),0))</f>
        <v/>
      </c>
      <c r="L717" s="27">
        <f>IF($A717="","",SUMIFS(入库单!$K$4:$K$2503,入库单!$G$4:$G$2503,$A717,入库单!$X$4:$X$2503,"盘盈",入库单!$Z$4:$Z$2503,"正常",入库单!$C$4:$C$2503,"&gt;="&amp;账期起,入库单!$C$4:$C$2503,"&lt;="&amp;账期止))</f>
        <v/>
      </c>
      <c r="M717" s="26">
        <f>IF($A717="","",ROUND($L717*$K717,0))</f>
        <v/>
      </c>
      <c r="N717" s="27">
        <f>IF($A717="","",SUMIFS(入库单!$K$4:$K$2503,入库单!$G$4:$G$2503,$A717,入库单!$X$4:$X$2503,"矿区退库",入库单!$Z$4:$Z$2503,"正常",入库单!$C$4:$C$2503,"&gt;="&amp;账期起,入库单!$C$4:$C$2503,"&lt;="&amp;账期止))</f>
        <v/>
      </c>
      <c r="O717" s="26">
        <f>IF($A717="","",ROUND($N717*$K717,0))</f>
        <v/>
      </c>
      <c r="P717" s="27">
        <f>IF($A717="","",SUMIFS(出库单!$J$4:$J$4003,出库单!$D$4:$D$4003,$A717,出库单!$K$4:$K$4003,"自用消耗",出库单!$U$4:$U$4003,"正常",出库单!$C$4:$C$4003,"&gt;="&amp;账期起,出库单!$C$4:$C$4003,"&lt;="&amp;账期止))</f>
        <v/>
      </c>
      <c r="Q717" s="26">
        <f>IF($A717="","",ROUND(SUMIFS(出库单!$S$4:$S$4003,出库单!$D$4:$D$4003,$A717,出库单!$K$4:$K$4003,"自用消耗",出库单!$U$4:$U$4003,"正常",出库单!$C$4:$C$4003,"&gt;="&amp;账期起,出库单!$C$4:$C$4003,"&lt;="&amp;账期止),0))</f>
        <v/>
      </c>
      <c r="R717" s="27">
        <f>IF($A717="","",SUMIFS(出库单!$J$4:$J$4003,出库单!$D$4:$D$4003,$A717,出库单!$K$4:$K$4003,"对外销售",出库单!$U$4:$U$4003,"正常",出库单!$C$4:$C$4003,"&gt;="&amp;账期起,出库单!$C$4:$C$4003,"&lt;="&amp;账期止))</f>
        <v/>
      </c>
      <c r="S717" s="26">
        <f>IF($A717="","",ROUND(SUMIFS(出库单!$S$4:$S$4003,出库单!$D$4:$D$4003,$A717,出库单!$K$4:$K$4003,"对外销售",出库单!$U$4:$U$4003,"正常",出库单!$C$4:$C$4003,"&gt;="&amp;账期起,出库单!$C$4:$C$4003,"&lt;="&amp;账期止),0))</f>
        <v/>
      </c>
      <c r="T717" s="27">
        <f>IF($A717="","",SUMIFS(出库单!$J$4:$J$4003,出库单!$D$4:$D$4003,$A717,出库单!$K$4:$K$4003,"盘亏",出库单!$U$4:$U$4003,"正常",出库单!$C$4:$C$4003,"&gt;="&amp;账期起,出库单!$C$4:$C$4003,"&lt;="&amp;账期止))</f>
        <v/>
      </c>
      <c r="U717" s="26">
        <f>IF($A717="","",ROUND(SUMIFS(出库单!$S$4:$S$4003,出库单!$D$4:$D$4003,$A717,出库单!$K$4:$K$4003,"盘亏",出库单!$U$4:$U$4003,"正常",出库单!$C$4:$C$4003,"&gt;="&amp;账期起,出库单!$C$4:$C$4003,"&lt;="&amp;账期止),0))</f>
        <v/>
      </c>
      <c r="V717" s="27">
        <f>IF($A717="","",SUMIFS(出库单!$J$4:$J$4003,出库单!$D$4:$D$4003,$A717,出库单!$K$4:$K$4003,"退货给供应商",出库单!$U$4:$U$4003,"正常",出库单!$C$4:$C$4003,"&gt;="&amp;账期起,出库单!$C$4:$C$4003,"&lt;="&amp;账期止))</f>
        <v/>
      </c>
      <c r="W717" s="26">
        <f>IF($A717="","",ROUND(SUMIFS(出库单!$S$4:$S$4003,出库单!$D$4:$D$4003,$A717,出库单!$K$4:$K$4003,"退货给供应商",出库单!$U$4:$U$4003,"正常",出库单!$C$4:$C$4003,"&gt;="&amp;账期起,出库单!$C$4:$C$4003,"&lt;="&amp;账期止),0))</f>
        <v/>
      </c>
      <c r="X717" s="27">
        <f>IF($A717="","",ROUND(N($G717)+$I717+$L717+$N717-$P717-$R717-$T717-$V717,3))</f>
        <v/>
      </c>
      <c r="Y717" s="26">
        <f>IF($A717="","",ROUND(N($H717)+$J717+$M717+$O717-$Q717-$S717-$U717-$W717,0))</f>
        <v/>
      </c>
      <c r="Z717" s="24">
        <f>IF($A717="","",IF(COUNTIFS(入库单!$G$4:$G$2503,$A717,入库单!$Y$4:$Y$2503,"待补价")+COUNTIFS(入库单!$G$4:$G$2503,$A717,入库单!$Y$4:$Y$2503,"暂估")&gt;0,"不可信","可信"))</f>
        <v/>
      </c>
      <c r="AA717" s="24">
        <f>IF($A717="","",IF($X717&lt;-0.001,"※账面负库存，查一下是不是漏记入库",IF(AND(ROUND($X717,3)=0,ABS($Y717)&gt;1),"※数量已经是 0，金额还挂着 "&amp;TEXT($Y717,"#,##0")&amp;" 先令",IF(AND($X717&gt;0,$Y717&lt;=0,$K717=0),"※有数量没金额（这个物料一直没填过进价）",IF($Z717="不可信","△成本含待补价/暂估，毛利仅供参考","")))))</f>
        <v/>
      </c>
    </row>
    <row r="718">
      <c r="A718" s="24">
        <f>IF(物料档案!$A717="","",物料档案!$A717)</f>
        <v/>
      </c>
      <c r="B718" s="24">
        <f>IF($A718="","",IFERROR(VLOOKUP($A718,物料档案!$A$4:$P$1203,3,0),""))</f>
        <v/>
      </c>
      <c r="C718" s="24">
        <f>IF($A718="","",IFERROR(VLOOKUP($A718,物料档案!$A$4:$P$1203,4,0),""))</f>
        <v/>
      </c>
      <c r="D718" s="24">
        <f>IF($A718="","",IFERROR(VLOOKUP($A718,物料档案!$A$4:$P$1203,5,0),""))</f>
        <v/>
      </c>
      <c r="E718" s="24">
        <f>IF($A718="","",IFERROR(VLOOKUP($A718,物料档案!$A$4:$P$1203,2,0),""))</f>
        <v/>
      </c>
      <c r="F718" s="24">
        <f>IF($A718="","",IFERROR(VLOOKUP($A718,物料档案!$A$4:$P$1203,6,0),""))</f>
        <v/>
      </c>
      <c r="G718" s="23" t="n"/>
      <c r="H718" s="32" t="n"/>
      <c r="I718" s="27">
        <f>IF($A718="","",SUMIFS(入库单!$K$4:$K$2503,入库单!$G$4:$G$2503,$A718,入库单!$X$4:$X$2503,"采购入库",入库单!$Z$4:$Z$2503,"正常",入库单!$C$4:$C$2503,"&gt;="&amp;账期起,入库单!$C$4:$C$2503,"&lt;="&amp;账期止))</f>
        <v/>
      </c>
      <c r="J718" s="26">
        <f>IF($A718="","",SUMIFS(入库单!$V$4:$V$2503,入库单!$G$4:$G$2503,$A718,入库单!$X$4:$X$2503,"采购入库",入库单!$Z$4:$Z$2503,"正常",入库单!$C$4:$C$2503,"&gt;="&amp;账期起,入库单!$C$4:$C$2503,"&lt;="&amp;账期止))</f>
        <v/>
      </c>
      <c r="K718" s="26">
        <f>IF($A718="","",IFERROR(ROUND((N($H718)+N($J718))/(N($G718)+N($I718)),2),0))</f>
        <v/>
      </c>
      <c r="L718" s="27">
        <f>IF($A718="","",SUMIFS(入库单!$K$4:$K$2503,入库单!$G$4:$G$2503,$A718,入库单!$X$4:$X$2503,"盘盈",入库单!$Z$4:$Z$2503,"正常",入库单!$C$4:$C$2503,"&gt;="&amp;账期起,入库单!$C$4:$C$2503,"&lt;="&amp;账期止))</f>
        <v/>
      </c>
      <c r="M718" s="26">
        <f>IF($A718="","",ROUND($L718*$K718,0))</f>
        <v/>
      </c>
      <c r="N718" s="27">
        <f>IF($A718="","",SUMIFS(入库单!$K$4:$K$2503,入库单!$G$4:$G$2503,$A718,入库单!$X$4:$X$2503,"矿区退库",入库单!$Z$4:$Z$2503,"正常",入库单!$C$4:$C$2503,"&gt;="&amp;账期起,入库单!$C$4:$C$2503,"&lt;="&amp;账期止))</f>
        <v/>
      </c>
      <c r="O718" s="26">
        <f>IF($A718="","",ROUND($N718*$K718,0))</f>
        <v/>
      </c>
      <c r="P718" s="27">
        <f>IF($A718="","",SUMIFS(出库单!$J$4:$J$4003,出库单!$D$4:$D$4003,$A718,出库单!$K$4:$K$4003,"自用消耗",出库单!$U$4:$U$4003,"正常",出库单!$C$4:$C$4003,"&gt;="&amp;账期起,出库单!$C$4:$C$4003,"&lt;="&amp;账期止))</f>
        <v/>
      </c>
      <c r="Q718" s="26">
        <f>IF($A718="","",ROUND(SUMIFS(出库单!$S$4:$S$4003,出库单!$D$4:$D$4003,$A718,出库单!$K$4:$K$4003,"自用消耗",出库单!$U$4:$U$4003,"正常",出库单!$C$4:$C$4003,"&gt;="&amp;账期起,出库单!$C$4:$C$4003,"&lt;="&amp;账期止),0))</f>
        <v/>
      </c>
      <c r="R718" s="27">
        <f>IF($A718="","",SUMIFS(出库单!$J$4:$J$4003,出库单!$D$4:$D$4003,$A718,出库单!$K$4:$K$4003,"对外销售",出库单!$U$4:$U$4003,"正常",出库单!$C$4:$C$4003,"&gt;="&amp;账期起,出库单!$C$4:$C$4003,"&lt;="&amp;账期止))</f>
        <v/>
      </c>
      <c r="S718" s="26">
        <f>IF($A718="","",ROUND(SUMIFS(出库单!$S$4:$S$4003,出库单!$D$4:$D$4003,$A718,出库单!$K$4:$K$4003,"对外销售",出库单!$U$4:$U$4003,"正常",出库单!$C$4:$C$4003,"&gt;="&amp;账期起,出库单!$C$4:$C$4003,"&lt;="&amp;账期止),0))</f>
        <v/>
      </c>
      <c r="T718" s="27">
        <f>IF($A718="","",SUMIFS(出库单!$J$4:$J$4003,出库单!$D$4:$D$4003,$A718,出库单!$K$4:$K$4003,"盘亏",出库单!$U$4:$U$4003,"正常",出库单!$C$4:$C$4003,"&gt;="&amp;账期起,出库单!$C$4:$C$4003,"&lt;="&amp;账期止))</f>
        <v/>
      </c>
      <c r="U718" s="26">
        <f>IF($A718="","",ROUND(SUMIFS(出库单!$S$4:$S$4003,出库单!$D$4:$D$4003,$A718,出库单!$K$4:$K$4003,"盘亏",出库单!$U$4:$U$4003,"正常",出库单!$C$4:$C$4003,"&gt;="&amp;账期起,出库单!$C$4:$C$4003,"&lt;="&amp;账期止),0))</f>
        <v/>
      </c>
      <c r="V718" s="27">
        <f>IF($A718="","",SUMIFS(出库单!$J$4:$J$4003,出库单!$D$4:$D$4003,$A718,出库单!$K$4:$K$4003,"退货给供应商",出库单!$U$4:$U$4003,"正常",出库单!$C$4:$C$4003,"&gt;="&amp;账期起,出库单!$C$4:$C$4003,"&lt;="&amp;账期止))</f>
        <v/>
      </c>
      <c r="W718" s="26">
        <f>IF($A718="","",ROUND(SUMIFS(出库单!$S$4:$S$4003,出库单!$D$4:$D$4003,$A718,出库单!$K$4:$K$4003,"退货给供应商",出库单!$U$4:$U$4003,"正常",出库单!$C$4:$C$4003,"&gt;="&amp;账期起,出库单!$C$4:$C$4003,"&lt;="&amp;账期止),0))</f>
        <v/>
      </c>
      <c r="X718" s="27">
        <f>IF($A718="","",ROUND(N($G718)+$I718+$L718+$N718-$P718-$R718-$T718-$V718,3))</f>
        <v/>
      </c>
      <c r="Y718" s="26">
        <f>IF($A718="","",ROUND(N($H718)+$J718+$M718+$O718-$Q718-$S718-$U718-$W718,0))</f>
        <v/>
      </c>
      <c r="Z718" s="24">
        <f>IF($A718="","",IF(COUNTIFS(入库单!$G$4:$G$2503,$A718,入库单!$Y$4:$Y$2503,"待补价")+COUNTIFS(入库单!$G$4:$G$2503,$A718,入库单!$Y$4:$Y$2503,"暂估")&gt;0,"不可信","可信"))</f>
        <v/>
      </c>
      <c r="AA718" s="24">
        <f>IF($A718="","",IF($X718&lt;-0.001,"※账面负库存，查一下是不是漏记入库",IF(AND(ROUND($X718,3)=0,ABS($Y718)&gt;1),"※数量已经是 0，金额还挂着 "&amp;TEXT($Y718,"#,##0")&amp;" 先令",IF(AND($X718&gt;0,$Y718&lt;=0,$K718=0),"※有数量没金额（这个物料一直没填过进价）",IF($Z718="不可信","△成本含待补价/暂估，毛利仅供参考","")))))</f>
        <v/>
      </c>
    </row>
    <row r="719">
      <c r="A719" s="24">
        <f>IF(物料档案!$A718="","",物料档案!$A718)</f>
        <v/>
      </c>
      <c r="B719" s="24">
        <f>IF($A719="","",IFERROR(VLOOKUP($A719,物料档案!$A$4:$P$1203,3,0),""))</f>
        <v/>
      </c>
      <c r="C719" s="24">
        <f>IF($A719="","",IFERROR(VLOOKUP($A719,物料档案!$A$4:$P$1203,4,0),""))</f>
        <v/>
      </c>
      <c r="D719" s="24">
        <f>IF($A719="","",IFERROR(VLOOKUP($A719,物料档案!$A$4:$P$1203,5,0),""))</f>
        <v/>
      </c>
      <c r="E719" s="24">
        <f>IF($A719="","",IFERROR(VLOOKUP($A719,物料档案!$A$4:$P$1203,2,0),""))</f>
        <v/>
      </c>
      <c r="F719" s="24">
        <f>IF($A719="","",IFERROR(VLOOKUP($A719,物料档案!$A$4:$P$1203,6,0),""))</f>
        <v/>
      </c>
      <c r="G719" s="23" t="n"/>
      <c r="H719" s="32" t="n"/>
      <c r="I719" s="27">
        <f>IF($A719="","",SUMIFS(入库单!$K$4:$K$2503,入库单!$G$4:$G$2503,$A719,入库单!$X$4:$X$2503,"采购入库",入库单!$Z$4:$Z$2503,"正常",入库单!$C$4:$C$2503,"&gt;="&amp;账期起,入库单!$C$4:$C$2503,"&lt;="&amp;账期止))</f>
        <v/>
      </c>
      <c r="J719" s="26">
        <f>IF($A719="","",SUMIFS(入库单!$V$4:$V$2503,入库单!$G$4:$G$2503,$A719,入库单!$X$4:$X$2503,"采购入库",入库单!$Z$4:$Z$2503,"正常",入库单!$C$4:$C$2503,"&gt;="&amp;账期起,入库单!$C$4:$C$2503,"&lt;="&amp;账期止))</f>
        <v/>
      </c>
      <c r="K719" s="26">
        <f>IF($A719="","",IFERROR(ROUND((N($H719)+N($J719))/(N($G719)+N($I719)),2),0))</f>
        <v/>
      </c>
      <c r="L719" s="27">
        <f>IF($A719="","",SUMIFS(入库单!$K$4:$K$2503,入库单!$G$4:$G$2503,$A719,入库单!$X$4:$X$2503,"盘盈",入库单!$Z$4:$Z$2503,"正常",入库单!$C$4:$C$2503,"&gt;="&amp;账期起,入库单!$C$4:$C$2503,"&lt;="&amp;账期止))</f>
        <v/>
      </c>
      <c r="M719" s="26">
        <f>IF($A719="","",ROUND($L719*$K719,0))</f>
        <v/>
      </c>
      <c r="N719" s="27">
        <f>IF($A719="","",SUMIFS(入库单!$K$4:$K$2503,入库单!$G$4:$G$2503,$A719,入库单!$X$4:$X$2503,"矿区退库",入库单!$Z$4:$Z$2503,"正常",入库单!$C$4:$C$2503,"&gt;="&amp;账期起,入库单!$C$4:$C$2503,"&lt;="&amp;账期止))</f>
        <v/>
      </c>
      <c r="O719" s="26">
        <f>IF($A719="","",ROUND($N719*$K719,0))</f>
        <v/>
      </c>
      <c r="P719" s="27">
        <f>IF($A719="","",SUMIFS(出库单!$J$4:$J$4003,出库单!$D$4:$D$4003,$A719,出库单!$K$4:$K$4003,"自用消耗",出库单!$U$4:$U$4003,"正常",出库单!$C$4:$C$4003,"&gt;="&amp;账期起,出库单!$C$4:$C$4003,"&lt;="&amp;账期止))</f>
        <v/>
      </c>
      <c r="Q719" s="26">
        <f>IF($A719="","",ROUND(SUMIFS(出库单!$S$4:$S$4003,出库单!$D$4:$D$4003,$A719,出库单!$K$4:$K$4003,"自用消耗",出库单!$U$4:$U$4003,"正常",出库单!$C$4:$C$4003,"&gt;="&amp;账期起,出库单!$C$4:$C$4003,"&lt;="&amp;账期止),0))</f>
        <v/>
      </c>
      <c r="R719" s="27">
        <f>IF($A719="","",SUMIFS(出库单!$J$4:$J$4003,出库单!$D$4:$D$4003,$A719,出库单!$K$4:$K$4003,"对外销售",出库单!$U$4:$U$4003,"正常",出库单!$C$4:$C$4003,"&gt;="&amp;账期起,出库单!$C$4:$C$4003,"&lt;="&amp;账期止))</f>
        <v/>
      </c>
      <c r="S719" s="26">
        <f>IF($A719="","",ROUND(SUMIFS(出库单!$S$4:$S$4003,出库单!$D$4:$D$4003,$A719,出库单!$K$4:$K$4003,"对外销售",出库单!$U$4:$U$4003,"正常",出库单!$C$4:$C$4003,"&gt;="&amp;账期起,出库单!$C$4:$C$4003,"&lt;="&amp;账期止),0))</f>
        <v/>
      </c>
      <c r="T719" s="27">
        <f>IF($A719="","",SUMIFS(出库单!$J$4:$J$4003,出库单!$D$4:$D$4003,$A719,出库单!$K$4:$K$4003,"盘亏",出库单!$U$4:$U$4003,"正常",出库单!$C$4:$C$4003,"&gt;="&amp;账期起,出库单!$C$4:$C$4003,"&lt;="&amp;账期止))</f>
        <v/>
      </c>
      <c r="U719" s="26">
        <f>IF($A719="","",ROUND(SUMIFS(出库单!$S$4:$S$4003,出库单!$D$4:$D$4003,$A719,出库单!$K$4:$K$4003,"盘亏",出库单!$U$4:$U$4003,"正常",出库单!$C$4:$C$4003,"&gt;="&amp;账期起,出库单!$C$4:$C$4003,"&lt;="&amp;账期止),0))</f>
        <v/>
      </c>
      <c r="V719" s="27">
        <f>IF($A719="","",SUMIFS(出库单!$J$4:$J$4003,出库单!$D$4:$D$4003,$A719,出库单!$K$4:$K$4003,"退货给供应商",出库单!$U$4:$U$4003,"正常",出库单!$C$4:$C$4003,"&gt;="&amp;账期起,出库单!$C$4:$C$4003,"&lt;="&amp;账期止))</f>
        <v/>
      </c>
      <c r="W719" s="26">
        <f>IF($A719="","",ROUND(SUMIFS(出库单!$S$4:$S$4003,出库单!$D$4:$D$4003,$A719,出库单!$K$4:$K$4003,"退货给供应商",出库单!$U$4:$U$4003,"正常",出库单!$C$4:$C$4003,"&gt;="&amp;账期起,出库单!$C$4:$C$4003,"&lt;="&amp;账期止),0))</f>
        <v/>
      </c>
      <c r="X719" s="27">
        <f>IF($A719="","",ROUND(N($G719)+$I719+$L719+$N719-$P719-$R719-$T719-$V719,3))</f>
        <v/>
      </c>
      <c r="Y719" s="26">
        <f>IF($A719="","",ROUND(N($H719)+$J719+$M719+$O719-$Q719-$S719-$U719-$W719,0))</f>
        <v/>
      </c>
      <c r="Z719" s="24">
        <f>IF($A719="","",IF(COUNTIFS(入库单!$G$4:$G$2503,$A719,入库单!$Y$4:$Y$2503,"待补价")+COUNTIFS(入库单!$G$4:$G$2503,$A719,入库单!$Y$4:$Y$2503,"暂估")&gt;0,"不可信","可信"))</f>
        <v/>
      </c>
      <c r="AA719" s="24">
        <f>IF($A719="","",IF($X719&lt;-0.001,"※账面负库存，查一下是不是漏记入库",IF(AND(ROUND($X719,3)=0,ABS($Y719)&gt;1),"※数量已经是 0，金额还挂着 "&amp;TEXT($Y719,"#,##0")&amp;" 先令",IF(AND($X719&gt;0,$Y719&lt;=0,$K719=0),"※有数量没金额（这个物料一直没填过进价）",IF($Z719="不可信","△成本含待补价/暂估，毛利仅供参考","")))))</f>
        <v/>
      </c>
    </row>
    <row r="720">
      <c r="A720" s="24">
        <f>IF(物料档案!$A719="","",物料档案!$A719)</f>
        <v/>
      </c>
      <c r="B720" s="24">
        <f>IF($A720="","",IFERROR(VLOOKUP($A720,物料档案!$A$4:$P$1203,3,0),""))</f>
        <v/>
      </c>
      <c r="C720" s="24">
        <f>IF($A720="","",IFERROR(VLOOKUP($A720,物料档案!$A$4:$P$1203,4,0),""))</f>
        <v/>
      </c>
      <c r="D720" s="24">
        <f>IF($A720="","",IFERROR(VLOOKUP($A720,物料档案!$A$4:$P$1203,5,0),""))</f>
        <v/>
      </c>
      <c r="E720" s="24">
        <f>IF($A720="","",IFERROR(VLOOKUP($A720,物料档案!$A$4:$P$1203,2,0),""))</f>
        <v/>
      </c>
      <c r="F720" s="24">
        <f>IF($A720="","",IFERROR(VLOOKUP($A720,物料档案!$A$4:$P$1203,6,0),""))</f>
        <v/>
      </c>
      <c r="G720" s="23" t="n"/>
      <c r="H720" s="32" t="n"/>
      <c r="I720" s="27">
        <f>IF($A720="","",SUMIFS(入库单!$K$4:$K$2503,入库单!$G$4:$G$2503,$A720,入库单!$X$4:$X$2503,"采购入库",入库单!$Z$4:$Z$2503,"正常",入库单!$C$4:$C$2503,"&gt;="&amp;账期起,入库单!$C$4:$C$2503,"&lt;="&amp;账期止))</f>
        <v/>
      </c>
      <c r="J720" s="26">
        <f>IF($A720="","",SUMIFS(入库单!$V$4:$V$2503,入库单!$G$4:$G$2503,$A720,入库单!$X$4:$X$2503,"采购入库",入库单!$Z$4:$Z$2503,"正常",入库单!$C$4:$C$2503,"&gt;="&amp;账期起,入库单!$C$4:$C$2503,"&lt;="&amp;账期止))</f>
        <v/>
      </c>
      <c r="K720" s="26">
        <f>IF($A720="","",IFERROR(ROUND((N($H720)+N($J720))/(N($G720)+N($I720)),2),0))</f>
        <v/>
      </c>
      <c r="L720" s="27">
        <f>IF($A720="","",SUMIFS(入库单!$K$4:$K$2503,入库单!$G$4:$G$2503,$A720,入库单!$X$4:$X$2503,"盘盈",入库单!$Z$4:$Z$2503,"正常",入库单!$C$4:$C$2503,"&gt;="&amp;账期起,入库单!$C$4:$C$2503,"&lt;="&amp;账期止))</f>
        <v/>
      </c>
      <c r="M720" s="26">
        <f>IF($A720="","",ROUND($L720*$K720,0))</f>
        <v/>
      </c>
      <c r="N720" s="27">
        <f>IF($A720="","",SUMIFS(入库单!$K$4:$K$2503,入库单!$G$4:$G$2503,$A720,入库单!$X$4:$X$2503,"矿区退库",入库单!$Z$4:$Z$2503,"正常",入库单!$C$4:$C$2503,"&gt;="&amp;账期起,入库单!$C$4:$C$2503,"&lt;="&amp;账期止))</f>
        <v/>
      </c>
      <c r="O720" s="26">
        <f>IF($A720="","",ROUND($N720*$K720,0))</f>
        <v/>
      </c>
      <c r="P720" s="27">
        <f>IF($A720="","",SUMIFS(出库单!$J$4:$J$4003,出库单!$D$4:$D$4003,$A720,出库单!$K$4:$K$4003,"自用消耗",出库单!$U$4:$U$4003,"正常",出库单!$C$4:$C$4003,"&gt;="&amp;账期起,出库单!$C$4:$C$4003,"&lt;="&amp;账期止))</f>
        <v/>
      </c>
      <c r="Q720" s="26">
        <f>IF($A720="","",ROUND(SUMIFS(出库单!$S$4:$S$4003,出库单!$D$4:$D$4003,$A720,出库单!$K$4:$K$4003,"自用消耗",出库单!$U$4:$U$4003,"正常",出库单!$C$4:$C$4003,"&gt;="&amp;账期起,出库单!$C$4:$C$4003,"&lt;="&amp;账期止),0))</f>
        <v/>
      </c>
      <c r="R720" s="27">
        <f>IF($A720="","",SUMIFS(出库单!$J$4:$J$4003,出库单!$D$4:$D$4003,$A720,出库单!$K$4:$K$4003,"对外销售",出库单!$U$4:$U$4003,"正常",出库单!$C$4:$C$4003,"&gt;="&amp;账期起,出库单!$C$4:$C$4003,"&lt;="&amp;账期止))</f>
        <v/>
      </c>
      <c r="S720" s="26">
        <f>IF($A720="","",ROUND(SUMIFS(出库单!$S$4:$S$4003,出库单!$D$4:$D$4003,$A720,出库单!$K$4:$K$4003,"对外销售",出库单!$U$4:$U$4003,"正常",出库单!$C$4:$C$4003,"&gt;="&amp;账期起,出库单!$C$4:$C$4003,"&lt;="&amp;账期止),0))</f>
        <v/>
      </c>
      <c r="T720" s="27">
        <f>IF($A720="","",SUMIFS(出库单!$J$4:$J$4003,出库单!$D$4:$D$4003,$A720,出库单!$K$4:$K$4003,"盘亏",出库单!$U$4:$U$4003,"正常",出库单!$C$4:$C$4003,"&gt;="&amp;账期起,出库单!$C$4:$C$4003,"&lt;="&amp;账期止))</f>
        <v/>
      </c>
      <c r="U720" s="26">
        <f>IF($A720="","",ROUND(SUMIFS(出库单!$S$4:$S$4003,出库单!$D$4:$D$4003,$A720,出库单!$K$4:$K$4003,"盘亏",出库单!$U$4:$U$4003,"正常",出库单!$C$4:$C$4003,"&gt;="&amp;账期起,出库单!$C$4:$C$4003,"&lt;="&amp;账期止),0))</f>
        <v/>
      </c>
      <c r="V720" s="27">
        <f>IF($A720="","",SUMIFS(出库单!$J$4:$J$4003,出库单!$D$4:$D$4003,$A720,出库单!$K$4:$K$4003,"退货给供应商",出库单!$U$4:$U$4003,"正常",出库单!$C$4:$C$4003,"&gt;="&amp;账期起,出库单!$C$4:$C$4003,"&lt;="&amp;账期止))</f>
        <v/>
      </c>
      <c r="W720" s="26">
        <f>IF($A720="","",ROUND(SUMIFS(出库单!$S$4:$S$4003,出库单!$D$4:$D$4003,$A720,出库单!$K$4:$K$4003,"退货给供应商",出库单!$U$4:$U$4003,"正常",出库单!$C$4:$C$4003,"&gt;="&amp;账期起,出库单!$C$4:$C$4003,"&lt;="&amp;账期止),0))</f>
        <v/>
      </c>
      <c r="X720" s="27">
        <f>IF($A720="","",ROUND(N($G720)+$I720+$L720+$N720-$P720-$R720-$T720-$V720,3))</f>
        <v/>
      </c>
      <c r="Y720" s="26">
        <f>IF($A720="","",ROUND(N($H720)+$J720+$M720+$O720-$Q720-$S720-$U720-$W720,0))</f>
        <v/>
      </c>
      <c r="Z720" s="24">
        <f>IF($A720="","",IF(COUNTIFS(入库单!$G$4:$G$2503,$A720,入库单!$Y$4:$Y$2503,"待补价")+COUNTIFS(入库单!$G$4:$G$2503,$A720,入库单!$Y$4:$Y$2503,"暂估")&gt;0,"不可信","可信"))</f>
        <v/>
      </c>
      <c r="AA720" s="24">
        <f>IF($A720="","",IF($X720&lt;-0.001,"※账面负库存，查一下是不是漏记入库",IF(AND(ROUND($X720,3)=0,ABS($Y720)&gt;1),"※数量已经是 0，金额还挂着 "&amp;TEXT($Y720,"#,##0")&amp;" 先令",IF(AND($X720&gt;0,$Y720&lt;=0,$K720=0),"※有数量没金额（这个物料一直没填过进价）",IF($Z720="不可信","△成本含待补价/暂估，毛利仅供参考","")))))</f>
        <v/>
      </c>
    </row>
    <row r="721">
      <c r="A721" s="24">
        <f>IF(物料档案!$A720="","",物料档案!$A720)</f>
        <v/>
      </c>
      <c r="B721" s="24">
        <f>IF($A721="","",IFERROR(VLOOKUP($A721,物料档案!$A$4:$P$1203,3,0),""))</f>
        <v/>
      </c>
      <c r="C721" s="24">
        <f>IF($A721="","",IFERROR(VLOOKUP($A721,物料档案!$A$4:$P$1203,4,0),""))</f>
        <v/>
      </c>
      <c r="D721" s="24">
        <f>IF($A721="","",IFERROR(VLOOKUP($A721,物料档案!$A$4:$P$1203,5,0),""))</f>
        <v/>
      </c>
      <c r="E721" s="24">
        <f>IF($A721="","",IFERROR(VLOOKUP($A721,物料档案!$A$4:$P$1203,2,0),""))</f>
        <v/>
      </c>
      <c r="F721" s="24">
        <f>IF($A721="","",IFERROR(VLOOKUP($A721,物料档案!$A$4:$P$1203,6,0),""))</f>
        <v/>
      </c>
      <c r="G721" s="23" t="n"/>
      <c r="H721" s="32" t="n"/>
      <c r="I721" s="27">
        <f>IF($A721="","",SUMIFS(入库单!$K$4:$K$2503,入库单!$G$4:$G$2503,$A721,入库单!$X$4:$X$2503,"采购入库",入库单!$Z$4:$Z$2503,"正常",入库单!$C$4:$C$2503,"&gt;="&amp;账期起,入库单!$C$4:$C$2503,"&lt;="&amp;账期止))</f>
        <v/>
      </c>
      <c r="J721" s="26">
        <f>IF($A721="","",SUMIFS(入库单!$V$4:$V$2503,入库单!$G$4:$G$2503,$A721,入库单!$X$4:$X$2503,"采购入库",入库单!$Z$4:$Z$2503,"正常",入库单!$C$4:$C$2503,"&gt;="&amp;账期起,入库单!$C$4:$C$2503,"&lt;="&amp;账期止))</f>
        <v/>
      </c>
      <c r="K721" s="26">
        <f>IF($A721="","",IFERROR(ROUND((N($H721)+N($J721))/(N($G721)+N($I721)),2),0))</f>
        <v/>
      </c>
      <c r="L721" s="27">
        <f>IF($A721="","",SUMIFS(入库单!$K$4:$K$2503,入库单!$G$4:$G$2503,$A721,入库单!$X$4:$X$2503,"盘盈",入库单!$Z$4:$Z$2503,"正常",入库单!$C$4:$C$2503,"&gt;="&amp;账期起,入库单!$C$4:$C$2503,"&lt;="&amp;账期止))</f>
        <v/>
      </c>
      <c r="M721" s="26">
        <f>IF($A721="","",ROUND($L721*$K721,0))</f>
        <v/>
      </c>
      <c r="N721" s="27">
        <f>IF($A721="","",SUMIFS(入库单!$K$4:$K$2503,入库单!$G$4:$G$2503,$A721,入库单!$X$4:$X$2503,"矿区退库",入库单!$Z$4:$Z$2503,"正常",入库单!$C$4:$C$2503,"&gt;="&amp;账期起,入库单!$C$4:$C$2503,"&lt;="&amp;账期止))</f>
        <v/>
      </c>
      <c r="O721" s="26">
        <f>IF($A721="","",ROUND($N721*$K721,0))</f>
        <v/>
      </c>
      <c r="P721" s="27">
        <f>IF($A721="","",SUMIFS(出库单!$J$4:$J$4003,出库单!$D$4:$D$4003,$A721,出库单!$K$4:$K$4003,"自用消耗",出库单!$U$4:$U$4003,"正常",出库单!$C$4:$C$4003,"&gt;="&amp;账期起,出库单!$C$4:$C$4003,"&lt;="&amp;账期止))</f>
        <v/>
      </c>
      <c r="Q721" s="26">
        <f>IF($A721="","",ROUND(SUMIFS(出库单!$S$4:$S$4003,出库单!$D$4:$D$4003,$A721,出库单!$K$4:$K$4003,"自用消耗",出库单!$U$4:$U$4003,"正常",出库单!$C$4:$C$4003,"&gt;="&amp;账期起,出库单!$C$4:$C$4003,"&lt;="&amp;账期止),0))</f>
        <v/>
      </c>
      <c r="R721" s="27">
        <f>IF($A721="","",SUMIFS(出库单!$J$4:$J$4003,出库单!$D$4:$D$4003,$A721,出库单!$K$4:$K$4003,"对外销售",出库单!$U$4:$U$4003,"正常",出库单!$C$4:$C$4003,"&gt;="&amp;账期起,出库单!$C$4:$C$4003,"&lt;="&amp;账期止))</f>
        <v/>
      </c>
      <c r="S721" s="26">
        <f>IF($A721="","",ROUND(SUMIFS(出库单!$S$4:$S$4003,出库单!$D$4:$D$4003,$A721,出库单!$K$4:$K$4003,"对外销售",出库单!$U$4:$U$4003,"正常",出库单!$C$4:$C$4003,"&gt;="&amp;账期起,出库单!$C$4:$C$4003,"&lt;="&amp;账期止),0))</f>
        <v/>
      </c>
      <c r="T721" s="27">
        <f>IF($A721="","",SUMIFS(出库单!$J$4:$J$4003,出库单!$D$4:$D$4003,$A721,出库单!$K$4:$K$4003,"盘亏",出库单!$U$4:$U$4003,"正常",出库单!$C$4:$C$4003,"&gt;="&amp;账期起,出库单!$C$4:$C$4003,"&lt;="&amp;账期止))</f>
        <v/>
      </c>
      <c r="U721" s="26">
        <f>IF($A721="","",ROUND(SUMIFS(出库单!$S$4:$S$4003,出库单!$D$4:$D$4003,$A721,出库单!$K$4:$K$4003,"盘亏",出库单!$U$4:$U$4003,"正常",出库单!$C$4:$C$4003,"&gt;="&amp;账期起,出库单!$C$4:$C$4003,"&lt;="&amp;账期止),0))</f>
        <v/>
      </c>
      <c r="V721" s="27">
        <f>IF($A721="","",SUMIFS(出库单!$J$4:$J$4003,出库单!$D$4:$D$4003,$A721,出库单!$K$4:$K$4003,"退货给供应商",出库单!$U$4:$U$4003,"正常",出库单!$C$4:$C$4003,"&gt;="&amp;账期起,出库单!$C$4:$C$4003,"&lt;="&amp;账期止))</f>
        <v/>
      </c>
      <c r="W721" s="26">
        <f>IF($A721="","",ROUND(SUMIFS(出库单!$S$4:$S$4003,出库单!$D$4:$D$4003,$A721,出库单!$K$4:$K$4003,"退货给供应商",出库单!$U$4:$U$4003,"正常",出库单!$C$4:$C$4003,"&gt;="&amp;账期起,出库单!$C$4:$C$4003,"&lt;="&amp;账期止),0))</f>
        <v/>
      </c>
      <c r="X721" s="27">
        <f>IF($A721="","",ROUND(N($G721)+$I721+$L721+$N721-$P721-$R721-$T721-$V721,3))</f>
        <v/>
      </c>
      <c r="Y721" s="26">
        <f>IF($A721="","",ROUND(N($H721)+$J721+$M721+$O721-$Q721-$S721-$U721-$W721,0))</f>
        <v/>
      </c>
      <c r="Z721" s="24">
        <f>IF($A721="","",IF(COUNTIFS(入库单!$G$4:$G$2503,$A721,入库单!$Y$4:$Y$2503,"待补价")+COUNTIFS(入库单!$G$4:$G$2503,$A721,入库单!$Y$4:$Y$2503,"暂估")&gt;0,"不可信","可信"))</f>
        <v/>
      </c>
      <c r="AA721" s="24">
        <f>IF($A721="","",IF($X721&lt;-0.001,"※账面负库存，查一下是不是漏记入库",IF(AND(ROUND($X721,3)=0,ABS($Y721)&gt;1),"※数量已经是 0，金额还挂着 "&amp;TEXT($Y721,"#,##0")&amp;" 先令",IF(AND($X721&gt;0,$Y721&lt;=0,$K721=0),"※有数量没金额（这个物料一直没填过进价）",IF($Z721="不可信","△成本含待补价/暂估，毛利仅供参考","")))))</f>
        <v/>
      </c>
    </row>
    <row r="722">
      <c r="A722" s="24">
        <f>IF(物料档案!$A721="","",物料档案!$A721)</f>
        <v/>
      </c>
      <c r="B722" s="24">
        <f>IF($A722="","",IFERROR(VLOOKUP($A722,物料档案!$A$4:$P$1203,3,0),""))</f>
        <v/>
      </c>
      <c r="C722" s="24">
        <f>IF($A722="","",IFERROR(VLOOKUP($A722,物料档案!$A$4:$P$1203,4,0),""))</f>
        <v/>
      </c>
      <c r="D722" s="24">
        <f>IF($A722="","",IFERROR(VLOOKUP($A722,物料档案!$A$4:$P$1203,5,0),""))</f>
        <v/>
      </c>
      <c r="E722" s="24">
        <f>IF($A722="","",IFERROR(VLOOKUP($A722,物料档案!$A$4:$P$1203,2,0),""))</f>
        <v/>
      </c>
      <c r="F722" s="24">
        <f>IF($A722="","",IFERROR(VLOOKUP($A722,物料档案!$A$4:$P$1203,6,0),""))</f>
        <v/>
      </c>
      <c r="G722" s="23" t="n"/>
      <c r="H722" s="32" t="n"/>
      <c r="I722" s="27">
        <f>IF($A722="","",SUMIFS(入库单!$K$4:$K$2503,入库单!$G$4:$G$2503,$A722,入库单!$X$4:$X$2503,"采购入库",入库单!$Z$4:$Z$2503,"正常",入库单!$C$4:$C$2503,"&gt;="&amp;账期起,入库单!$C$4:$C$2503,"&lt;="&amp;账期止))</f>
        <v/>
      </c>
      <c r="J722" s="26">
        <f>IF($A722="","",SUMIFS(入库单!$V$4:$V$2503,入库单!$G$4:$G$2503,$A722,入库单!$X$4:$X$2503,"采购入库",入库单!$Z$4:$Z$2503,"正常",入库单!$C$4:$C$2503,"&gt;="&amp;账期起,入库单!$C$4:$C$2503,"&lt;="&amp;账期止))</f>
        <v/>
      </c>
      <c r="K722" s="26">
        <f>IF($A722="","",IFERROR(ROUND((N($H722)+N($J722))/(N($G722)+N($I722)),2),0))</f>
        <v/>
      </c>
      <c r="L722" s="27">
        <f>IF($A722="","",SUMIFS(入库单!$K$4:$K$2503,入库单!$G$4:$G$2503,$A722,入库单!$X$4:$X$2503,"盘盈",入库单!$Z$4:$Z$2503,"正常",入库单!$C$4:$C$2503,"&gt;="&amp;账期起,入库单!$C$4:$C$2503,"&lt;="&amp;账期止))</f>
        <v/>
      </c>
      <c r="M722" s="26">
        <f>IF($A722="","",ROUND($L722*$K722,0))</f>
        <v/>
      </c>
      <c r="N722" s="27">
        <f>IF($A722="","",SUMIFS(入库单!$K$4:$K$2503,入库单!$G$4:$G$2503,$A722,入库单!$X$4:$X$2503,"矿区退库",入库单!$Z$4:$Z$2503,"正常",入库单!$C$4:$C$2503,"&gt;="&amp;账期起,入库单!$C$4:$C$2503,"&lt;="&amp;账期止))</f>
        <v/>
      </c>
      <c r="O722" s="26">
        <f>IF($A722="","",ROUND($N722*$K722,0))</f>
        <v/>
      </c>
      <c r="P722" s="27">
        <f>IF($A722="","",SUMIFS(出库单!$J$4:$J$4003,出库单!$D$4:$D$4003,$A722,出库单!$K$4:$K$4003,"自用消耗",出库单!$U$4:$U$4003,"正常",出库单!$C$4:$C$4003,"&gt;="&amp;账期起,出库单!$C$4:$C$4003,"&lt;="&amp;账期止))</f>
        <v/>
      </c>
      <c r="Q722" s="26">
        <f>IF($A722="","",ROUND(SUMIFS(出库单!$S$4:$S$4003,出库单!$D$4:$D$4003,$A722,出库单!$K$4:$K$4003,"自用消耗",出库单!$U$4:$U$4003,"正常",出库单!$C$4:$C$4003,"&gt;="&amp;账期起,出库单!$C$4:$C$4003,"&lt;="&amp;账期止),0))</f>
        <v/>
      </c>
      <c r="R722" s="27">
        <f>IF($A722="","",SUMIFS(出库单!$J$4:$J$4003,出库单!$D$4:$D$4003,$A722,出库单!$K$4:$K$4003,"对外销售",出库单!$U$4:$U$4003,"正常",出库单!$C$4:$C$4003,"&gt;="&amp;账期起,出库单!$C$4:$C$4003,"&lt;="&amp;账期止))</f>
        <v/>
      </c>
      <c r="S722" s="26">
        <f>IF($A722="","",ROUND(SUMIFS(出库单!$S$4:$S$4003,出库单!$D$4:$D$4003,$A722,出库单!$K$4:$K$4003,"对外销售",出库单!$U$4:$U$4003,"正常",出库单!$C$4:$C$4003,"&gt;="&amp;账期起,出库单!$C$4:$C$4003,"&lt;="&amp;账期止),0))</f>
        <v/>
      </c>
      <c r="T722" s="27">
        <f>IF($A722="","",SUMIFS(出库单!$J$4:$J$4003,出库单!$D$4:$D$4003,$A722,出库单!$K$4:$K$4003,"盘亏",出库单!$U$4:$U$4003,"正常",出库单!$C$4:$C$4003,"&gt;="&amp;账期起,出库单!$C$4:$C$4003,"&lt;="&amp;账期止))</f>
        <v/>
      </c>
      <c r="U722" s="26">
        <f>IF($A722="","",ROUND(SUMIFS(出库单!$S$4:$S$4003,出库单!$D$4:$D$4003,$A722,出库单!$K$4:$K$4003,"盘亏",出库单!$U$4:$U$4003,"正常",出库单!$C$4:$C$4003,"&gt;="&amp;账期起,出库单!$C$4:$C$4003,"&lt;="&amp;账期止),0))</f>
        <v/>
      </c>
      <c r="V722" s="27">
        <f>IF($A722="","",SUMIFS(出库单!$J$4:$J$4003,出库单!$D$4:$D$4003,$A722,出库单!$K$4:$K$4003,"退货给供应商",出库单!$U$4:$U$4003,"正常",出库单!$C$4:$C$4003,"&gt;="&amp;账期起,出库单!$C$4:$C$4003,"&lt;="&amp;账期止))</f>
        <v/>
      </c>
      <c r="W722" s="26">
        <f>IF($A722="","",ROUND(SUMIFS(出库单!$S$4:$S$4003,出库单!$D$4:$D$4003,$A722,出库单!$K$4:$K$4003,"退货给供应商",出库单!$U$4:$U$4003,"正常",出库单!$C$4:$C$4003,"&gt;="&amp;账期起,出库单!$C$4:$C$4003,"&lt;="&amp;账期止),0))</f>
        <v/>
      </c>
      <c r="X722" s="27">
        <f>IF($A722="","",ROUND(N($G722)+$I722+$L722+$N722-$P722-$R722-$T722-$V722,3))</f>
        <v/>
      </c>
      <c r="Y722" s="26">
        <f>IF($A722="","",ROUND(N($H722)+$J722+$M722+$O722-$Q722-$S722-$U722-$W722,0))</f>
        <v/>
      </c>
      <c r="Z722" s="24">
        <f>IF($A722="","",IF(COUNTIFS(入库单!$G$4:$G$2503,$A722,入库单!$Y$4:$Y$2503,"待补价")+COUNTIFS(入库单!$G$4:$G$2503,$A722,入库单!$Y$4:$Y$2503,"暂估")&gt;0,"不可信","可信"))</f>
        <v/>
      </c>
      <c r="AA722" s="24">
        <f>IF($A722="","",IF($X722&lt;-0.001,"※账面负库存，查一下是不是漏记入库",IF(AND(ROUND($X722,3)=0,ABS($Y722)&gt;1),"※数量已经是 0，金额还挂着 "&amp;TEXT($Y722,"#,##0")&amp;" 先令",IF(AND($X722&gt;0,$Y722&lt;=0,$K722=0),"※有数量没金额（这个物料一直没填过进价）",IF($Z722="不可信","△成本含待补价/暂估，毛利仅供参考","")))))</f>
        <v/>
      </c>
    </row>
    <row r="723">
      <c r="A723" s="24">
        <f>IF(物料档案!$A722="","",物料档案!$A722)</f>
        <v/>
      </c>
      <c r="B723" s="24">
        <f>IF($A723="","",IFERROR(VLOOKUP($A723,物料档案!$A$4:$P$1203,3,0),""))</f>
        <v/>
      </c>
      <c r="C723" s="24">
        <f>IF($A723="","",IFERROR(VLOOKUP($A723,物料档案!$A$4:$P$1203,4,0),""))</f>
        <v/>
      </c>
      <c r="D723" s="24">
        <f>IF($A723="","",IFERROR(VLOOKUP($A723,物料档案!$A$4:$P$1203,5,0),""))</f>
        <v/>
      </c>
      <c r="E723" s="24">
        <f>IF($A723="","",IFERROR(VLOOKUP($A723,物料档案!$A$4:$P$1203,2,0),""))</f>
        <v/>
      </c>
      <c r="F723" s="24">
        <f>IF($A723="","",IFERROR(VLOOKUP($A723,物料档案!$A$4:$P$1203,6,0),""))</f>
        <v/>
      </c>
      <c r="G723" s="23" t="n"/>
      <c r="H723" s="32" t="n"/>
      <c r="I723" s="27">
        <f>IF($A723="","",SUMIFS(入库单!$K$4:$K$2503,入库单!$G$4:$G$2503,$A723,入库单!$X$4:$X$2503,"采购入库",入库单!$Z$4:$Z$2503,"正常",入库单!$C$4:$C$2503,"&gt;="&amp;账期起,入库单!$C$4:$C$2503,"&lt;="&amp;账期止))</f>
        <v/>
      </c>
      <c r="J723" s="26">
        <f>IF($A723="","",SUMIFS(入库单!$V$4:$V$2503,入库单!$G$4:$G$2503,$A723,入库单!$X$4:$X$2503,"采购入库",入库单!$Z$4:$Z$2503,"正常",入库单!$C$4:$C$2503,"&gt;="&amp;账期起,入库单!$C$4:$C$2503,"&lt;="&amp;账期止))</f>
        <v/>
      </c>
      <c r="K723" s="26">
        <f>IF($A723="","",IFERROR(ROUND((N($H723)+N($J723))/(N($G723)+N($I723)),2),0))</f>
        <v/>
      </c>
      <c r="L723" s="27">
        <f>IF($A723="","",SUMIFS(入库单!$K$4:$K$2503,入库单!$G$4:$G$2503,$A723,入库单!$X$4:$X$2503,"盘盈",入库单!$Z$4:$Z$2503,"正常",入库单!$C$4:$C$2503,"&gt;="&amp;账期起,入库单!$C$4:$C$2503,"&lt;="&amp;账期止))</f>
        <v/>
      </c>
      <c r="M723" s="26">
        <f>IF($A723="","",ROUND($L723*$K723,0))</f>
        <v/>
      </c>
      <c r="N723" s="27">
        <f>IF($A723="","",SUMIFS(入库单!$K$4:$K$2503,入库单!$G$4:$G$2503,$A723,入库单!$X$4:$X$2503,"矿区退库",入库单!$Z$4:$Z$2503,"正常",入库单!$C$4:$C$2503,"&gt;="&amp;账期起,入库单!$C$4:$C$2503,"&lt;="&amp;账期止))</f>
        <v/>
      </c>
      <c r="O723" s="26">
        <f>IF($A723="","",ROUND($N723*$K723,0))</f>
        <v/>
      </c>
      <c r="P723" s="27">
        <f>IF($A723="","",SUMIFS(出库单!$J$4:$J$4003,出库单!$D$4:$D$4003,$A723,出库单!$K$4:$K$4003,"自用消耗",出库单!$U$4:$U$4003,"正常",出库单!$C$4:$C$4003,"&gt;="&amp;账期起,出库单!$C$4:$C$4003,"&lt;="&amp;账期止))</f>
        <v/>
      </c>
      <c r="Q723" s="26">
        <f>IF($A723="","",ROUND(SUMIFS(出库单!$S$4:$S$4003,出库单!$D$4:$D$4003,$A723,出库单!$K$4:$K$4003,"自用消耗",出库单!$U$4:$U$4003,"正常",出库单!$C$4:$C$4003,"&gt;="&amp;账期起,出库单!$C$4:$C$4003,"&lt;="&amp;账期止),0))</f>
        <v/>
      </c>
      <c r="R723" s="27">
        <f>IF($A723="","",SUMIFS(出库单!$J$4:$J$4003,出库单!$D$4:$D$4003,$A723,出库单!$K$4:$K$4003,"对外销售",出库单!$U$4:$U$4003,"正常",出库单!$C$4:$C$4003,"&gt;="&amp;账期起,出库单!$C$4:$C$4003,"&lt;="&amp;账期止))</f>
        <v/>
      </c>
      <c r="S723" s="26">
        <f>IF($A723="","",ROUND(SUMIFS(出库单!$S$4:$S$4003,出库单!$D$4:$D$4003,$A723,出库单!$K$4:$K$4003,"对外销售",出库单!$U$4:$U$4003,"正常",出库单!$C$4:$C$4003,"&gt;="&amp;账期起,出库单!$C$4:$C$4003,"&lt;="&amp;账期止),0))</f>
        <v/>
      </c>
      <c r="T723" s="27">
        <f>IF($A723="","",SUMIFS(出库单!$J$4:$J$4003,出库单!$D$4:$D$4003,$A723,出库单!$K$4:$K$4003,"盘亏",出库单!$U$4:$U$4003,"正常",出库单!$C$4:$C$4003,"&gt;="&amp;账期起,出库单!$C$4:$C$4003,"&lt;="&amp;账期止))</f>
        <v/>
      </c>
      <c r="U723" s="26">
        <f>IF($A723="","",ROUND(SUMIFS(出库单!$S$4:$S$4003,出库单!$D$4:$D$4003,$A723,出库单!$K$4:$K$4003,"盘亏",出库单!$U$4:$U$4003,"正常",出库单!$C$4:$C$4003,"&gt;="&amp;账期起,出库单!$C$4:$C$4003,"&lt;="&amp;账期止),0))</f>
        <v/>
      </c>
      <c r="V723" s="27">
        <f>IF($A723="","",SUMIFS(出库单!$J$4:$J$4003,出库单!$D$4:$D$4003,$A723,出库单!$K$4:$K$4003,"退货给供应商",出库单!$U$4:$U$4003,"正常",出库单!$C$4:$C$4003,"&gt;="&amp;账期起,出库单!$C$4:$C$4003,"&lt;="&amp;账期止))</f>
        <v/>
      </c>
      <c r="W723" s="26">
        <f>IF($A723="","",ROUND(SUMIFS(出库单!$S$4:$S$4003,出库单!$D$4:$D$4003,$A723,出库单!$K$4:$K$4003,"退货给供应商",出库单!$U$4:$U$4003,"正常",出库单!$C$4:$C$4003,"&gt;="&amp;账期起,出库单!$C$4:$C$4003,"&lt;="&amp;账期止),0))</f>
        <v/>
      </c>
      <c r="X723" s="27">
        <f>IF($A723="","",ROUND(N($G723)+$I723+$L723+$N723-$P723-$R723-$T723-$V723,3))</f>
        <v/>
      </c>
      <c r="Y723" s="26">
        <f>IF($A723="","",ROUND(N($H723)+$J723+$M723+$O723-$Q723-$S723-$U723-$W723,0))</f>
        <v/>
      </c>
      <c r="Z723" s="24">
        <f>IF($A723="","",IF(COUNTIFS(入库单!$G$4:$G$2503,$A723,入库单!$Y$4:$Y$2503,"待补价")+COUNTIFS(入库单!$G$4:$G$2503,$A723,入库单!$Y$4:$Y$2503,"暂估")&gt;0,"不可信","可信"))</f>
        <v/>
      </c>
      <c r="AA723" s="24">
        <f>IF($A723="","",IF($X723&lt;-0.001,"※账面负库存，查一下是不是漏记入库",IF(AND(ROUND($X723,3)=0,ABS($Y723)&gt;1),"※数量已经是 0，金额还挂着 "&amp;TEXT($Y723,"#,##0")&amp;" 先令",IF(AND($X723&gt;0,$Y723&lt;=0,$K723=0),"※有数量没金额（这个物料一直没填过进价）",IF($Z723="不可信","△成本含待补价/暂估，毛利仅供参考","")))))</f>
        <v/>
      </c>
    </row>
    <row r="724">
      <c r="A724" s="24">
        <f>IF(物料档案!$A723="","",物料档案!$A723)</f>
        <v/>
      </c>
      <c r="B724" s="24">
        <f>IF($A724="","",IFERROR(VLOOKUP($A724,物料档案!$A$4:$P$1203,3,0),""))</f>
        <v/>
      </c>
      <c r="C724" s="24">
        <f>IF($A724="","",IFERROR(VLOOKUP($A724,物料档案!$A$4:$P$1203,4,0),""))</f>
        <v/>
      </c>
      <c r="D724" s="24">
        <f>IF($A724="","",IFERROR(VLOOKUP($A724,物料档案!$A$4:$P$1203,5,0),""))</f>
        <v/>
      </c>
      <c r="E724" s="24">
        <f>IF($A724="","",IFERROR(VLOOKUP($A724,物料档案!$A$4:$P$1203,2,0),""))</f>
        <v/>
      </c>
      <c r="F724" s="24">
        <f>IF($A724="","",IFERROR(VLOOKUP($A724,物料档案!$A$4:$P$1203,6,0),""))</f>
        <v/>
      </c>
      <c r="G724" s="23" t="n"/>
      <c r="H724" s="32" t="n"/>
      <c r="I724" s="27">
        <f>IF($A724="","",SUMIFS(入库单!$K$4:$K$2503,入库单!$G$4:$G$2503,$A724,入库单!$X$4:$X$2503,"采购入库",入库单!$Z$4:$Z$2503,"正常",入库单!$C$4:$C$2503,"&gt;="&amp;账期起,入库单!$C$4:$C$2503,"&lt;="&amp;账期止))</f>
        <v/>
      </c>
      <c r="J724" s="26">
        <f>IF($A724="","",SUMIFS(入库单!$V$4:$V$2503,入库单!$G$4:$G$2503,$A724,入库单!$X$4:$X$2503,"采购入库",入库单!$Z$4:$Z$2503,"正常",入库单!$C$4:$C$2503,"&gt;="&amp;账期起,入库单!$C$4:$C$2503,"&lt;="&amp;账期止))</f>
        <v/>
      </c>
      <c r="K724" s="26">
        <f>IF($A724="","",IFERROR(ROUND((N($H724)+N($J724))/(N($G724)+N($I724)),2),0))</f>
        <v/>
      </c>
      <c r="L724" s="27">
        <f>IF($A724="","",SUMIFS(入库单!$K$4:$K$2503,入库单!$G$4:$G$2503,$A724,入库单!$X$4:$X$2503,"盘盈",入库单!$Z$4:$Z$2503,"正常",入库单!$C$4:$C$2503,"&gt;="&amp;账期起,入库单!$C$4:$C$2503,"&lt;="&amp;账期止))</f>
        <v/>
      </c>
      <c r="M724" s="26">
        <f>IF($A724="","",ROUND($L724*$K724,0))</f>
        <v/>
      </c>
      <c r="N724" s="27">
        <f>IF($A724="","",SUMIFS(入库单!$K$4:$K$2503,入库单!$G$4:$G$2503,$A724,入库单!$X$4:$X$2503,"矿区退库",入库单!$Z$4:$Z$2503,"正常",入库单!$C$4:$C$2503,"&gt;="&amp;账期起,入库单!$C$4:$C$2503,"&lt;="&amp;账期止))</f>
        <v/>
      </c>
      <c r="O724" s="26">
        <f>IF($A724="","",ROUND($N724*$K724,0))</f>
        <v/>
      </c>
      <c r="P724" s="27">
        <f>IF($A724="","",SUMIFS(出库单!$J$4:$J$4003,出库单!$D$4:$D$4003,$A724,出库单!$K$4:$K$4003,"自用消耗",出库单!$U$4:$U$4003,"正常",出库单!$C$4:$C$4003,"&gt;="&amp;账期起,出库单!$C$4:$C$4003,"&lt;="&amp;账期止))</f>
        <v/>
      </c>
      <c r="Q724" s="26">
        <f>IF($A724="","",ROUND(SUMIFS(出库单!$S$4:$S$4003,出库单!$D$4:$D$4003,$A724,出库单!$K$4:$K$4003,"自用消耗",出库单!$U$4:$U$4003,"正常",出库单!$C$4:$C$4003,"&gt;="&amp;账期起,出库单!$C$4:$C$4003,"&lt;="&amp;账期止),0))</f>
        <v/>
      </c>
      <c r="R724" s="27">
        <f>IF($A724="","",SUMIFS(出库单!$J$4:$J$4003,出库单!$D$4:$D$4003,$A724,出库单!$K$4:$K$4003,"对外销售",出库单!$U$4:$U$4003,"正常",出库单!$C$4:$C$4003,"&gt;="&amp;账期起,出库单!$C$4:$C$4003,"&lt;="&amp;账期止))</f>
        <v/>
      </c>
      <c r="S724" s="26">
        <f>IF($A724="","",ROUND(SUMIFS(出库单!$S$4:$S$4003,出库单!$D$4:$D$4003,$A724,出库单!$K$4:$K$4003,"对外销售",出库单!$U$4:$U$4003,"正常",出库单!$C$4:$C$4003,"&gt;="&amp;账期起,出库单!$C$4:$C$4003,"&lt;="&amp;账期止),0))</f>
        <v/>
      </c>
      <c r="T724" s="27">
        <f>IF($A724="","",SUMIFS(出库单!$J$4:$J$4003,出库单!$D$4:$D$4003,$A724,出库单!$K$4:$K$4003,"盘亏",出库单!$U$4:$U$4003,"正常",出库单!$C$4:$C$4003,"&gt;="&amp;账期起,出库单!$C$4:$C$4003,"&lt;="&amp;账期止))</f>
        <v/>
      </c>
      <c r="U724" s="26">
        <f>IF($A724="","",ROUND(SUMIFS(出库单!$S$4:$S$4003,出库单!$D$4:$D$4003,$A724,出库单!$K$4:$K$4003,"盘亏",出库单!$U$4:$U$4003,"正常",出库单!$C$4:$C$4003,"&gt;="&amp;账期起,出库单!$C$4:$C$4003,"&lt;="&amp;账期止),0))</f>
        <v/>
      </c>
      <c r="V724" s="27">
        <f>IF($A724="","",SUMIFS(出库单!$J$4:$J$4003,出库单!$D$4:$D$4003,$A724,出库单!$K$4:$K$4003,"退货给供应商",出库单!$U$4:$U$4003,"正常",出库单!$C$4:$C$4003,"&gt;="&amp;账期起,出库单!$C$4:$C$4003,"&lt;="&amp;账期止))</f>
        <v/>
      </c>
      <c r="W724" s="26">
        <f>IF($A724="","",ROUND(SUMIFS(出库单!$S$4:$S$4003,出库单!$D$4:$D$4003,$A724,出库单!$K$4:$K$4003,"退货给供应商",出库单!$U$4:$U$4003,"正常",出库单!$C$4:$C$4003,"&gt;="&amp;账期起,出库单!$C$4:$C$4003,"&lt;="&amp;账期止),0))</f>
        <v/>
      </c>
      <c r="X724" s="27">
        <f>IF($A724="","",ROUND(N($G724)+$I724+$L724+$N724-$P724-$R724-$T724-$V724,3))</f>
        <v/>
      </c>
      <c r="Y724" s="26">
        <f>IF($A724="","",ROUND(N($H724)+$J724+$M724+$O724-$Q724-$S724-$U724-$W724,0))</f>
        <v/>
      </c>
      <c r="Z724" s="24">
        <f>IF($A724="","",IF(COUNTIFS(入库单!$G$4:$G$2503,$A724,入库单!$Y$4:$Y$2503,"待补价")+COUNTIFS(入库单!$G$4:$G$2503,$A724,入库单!$Y$4:$Y$2503,"暂估")&gt;0,"不可信","可信"))</f>
        <v/>
      </c>
      <c r="AA724" s="24">
        <f>IF($A724="","",IF($X724&lt;-0.001,"※账面负库存，查一下是不是漏记入库",IF(AND(ROUND($X724,3)=0,ABS($Y724)&gt;1),"※数量已经是 0，金额还挂着 "&amp;TEXT($Y724,"#,##0")&amp;" 先令",IF(AND($X724&gt;0,$Y724&lt;=0,$K724=0),"※有数量没金额（这个物料一直没填过进价）",IF($Z724="不可信","△成本含待补价/暂估，毛利仅供参考","")))))</f>
        <v/>
      </c>
    </row>
    <row r="725">
      <c r="A725" s="24">
        <f>IF(物料档案!$A724="","",物料档案!$A724)</f>
        <v/>
      </c>
      <c r="B725" s="24">
        <f>IF($A725="","",IFERROR(VLOOKUP($A725,物料档案!$A$4:$P$1203,3,0),""))</f>
        <v/>
      </c>
      <c r="C725" s="24">
        <f>IF($A725="","",IFERROR(VLOOKUP($A725,物料档案!$A$4:$P$1203,4,0),""))</f>
        <v/>
      </c>
      <c r="D725" s="24">
        <f>IF($A725="","",IFERROR(VLOOKUP($A725,物料档案!$A$4:$P$1203,5,0),""))</f>
        <v/>
      </c>
      <c r="E725" s="24">
        <f>IF($A725="","",IFERROR(VLOOKUP($A725,物料档案!$A$4:$P$1203,2,0),""))</f>
        <v/>
      </c>
      <c r="F725" s="24">
        <f>IF($A725="","",IFERROR(VLOOKUP($A725,物料档案!$A$4:$P$1203,6,0),""))</f>
        <v/>
      </c>
      <c r="G725" s="23" t="n"/>
      <c r="H725" s="32" t="n"/>
      <c r="I725" s="27">
        <f>IF($A725="","",SUMIFS(入库单!$K$4:$K$2503,入库单!$G$4:$G$2503,$A725,入库单!$X$4:$X$2503,"采购入库",入库单!$Z$4:$Z$2503,"正常",入库单!$C$4:$C$2503,"&gt;="&amp;账期起,入库单!$C$4:$C$2503,"&lt;="&amp;账期止))</f>
        <v/>
      </c>
      <c r="J725" s="26">
        <f>IF($A725="","",SUMIFS(入库单!$V$4:$V$2503,入库单!$G$4:$G$2503,$A725,入库单!$X$4:$X$2503,"采购入库",入库单!$Z$4:$Z$2503,"正常",入库单!$C$4:$C$2503,"&gt;="&amp;账期起,入库单!$C$4:$C$2503,"&lt;="&amp;账期止))</f>
        <v/>
      </c>
      <c r="K725" s="26">
        <f>IF($A725="","",IFERROR(ROUND((N($H725)+N($J725))/(N($G725)+N($I725)),2),0))</f>
        <v/>
      </c>
      <c r="L725" s="27">
        <f>IF($A725="","",SUMIFS(入库单!$K$4:$K$2503,入库单!$G$4:$G$2503,$A725,入库单!$X$4:$X$2503,"盘盈",入库单!$Z$4:$Z$2503,"正常",入库单!$C$4:$C$2503,"&gt;="&amp;账期起,入库单!$C$4:$C$2503,"&lt;="&amp;账期止))</f>
        <v/>
      </c>
      <c r="M725" s="26">
        <f>IF($A725="","",ROUND($L725*$K725,0))</f>
        <v/>
      </c>
      <c r="N725" s="27">
        <f>IF($A725="","",SUMIFS(入库单!$K$4:$K$2503,入库单!$G$4:$G$2503,$A725,入库单!$X$4:$X$2503,"矿区退库",入库单!$Z$4:$Z$2503,"正常",入库单!$C$4:$C$2503,"&gt;="&amp;账期起,入库单!$C$4:$C$2503,"&lt;="&amp;账期止))</f>
        <v/>
      </c>
      <c r="O725" s="26">
        <f>IF($A725="","",ROUND($N725*$K725,0))</f>
        <v/>
      </c>
      <c r="P725" s="27">
        <f>IF($A725="","",SUMIFS(出库单!$J$4:$J$4003,出库单!$D$4:$D$4003,$A725,出库单!$K$4:$K$4003,"自用消耗",出库单!$U$4:$U$4003,"正常",出库单!$C$4:$C$4003,"&gt;="&amp;账期起,出库单!$C$4:$C$4003,"&lt;="&amp;账期止))</f>
        <v/>
      </c>
      <c r="Q725" s="26">
        <f>IF($A725="","",ROUND(SUMIFS(出库单!$S$4:$S$4003,出库单!$D$4:$D$4003,$A725,出库单!$K$4:$K$4003,"自用消耗",出库单!$U$4:$U$4003,"正常",出库单!$C$4:$C$4003,"&gt;="&amp;账期起,出库单!$C$4:$C$4003,"&lt;="&amp;账期止),0))</f>
        <v/>
      </c>
      <c r="R725" s="27">
        <f>IF($A725="","",SUMIFS(出库单!$J$4:$J$4003,出库单!$D$4:$D$4003,$A725,出库单!$K$4:$K$4003,"对外销售",出库单!$U$4:$U$4003,"正常",出库单!$C$4:$C$4003,"&gt;="&amp;账期起,出库单!$C$4:$C$4003,"&lt;="&amp;账期止))</f>
        <v/>
      </c>
      <c r="S725" s="26">
        <f>IF($A725="","",ROUND(SUMIFS(出库单!$S$4:$S$4003,出库单!$D$4:$D$4003,$A725,出库单!$K$4:$K$4003,"对外销售",出库单!$U$4:$U$4003,"正常",出库单!$C$4:$C$4003,"&gt;="&amp;账期起,出库单!$C$4:$C$4003,"&lt;="&amp;账期止),0))</f>
        <v/>
      </c>
      <c r="T725" s="27">
        <f>IF($A725="","",SUMIFS(出库单!$J$4:$J$4003,出库单!$D$4:$D$4003,$A725,出库单!$K$4:$K$4003,"盘亏",出库单!$U$4:$U$4003,"正常",出库单!$C$4:$C$4003,"&gt;="&amp;账期起,出库单!$C$4:$C$4003,"&lt;="&amp;账期止))</f>
        <v/>
      </c>
      <c r="U725" s="26">
        <f>IF($A725="","",ROUND(SUMIFS(出库单!$S$4:$S$4003,出库单!$D$4:$D$4003,$A725,出库单!$K$4:$K$4003,"盘亏",出库单!$U$4:$U$4003,"正常",出库单!$C$4:$C$4003,"&gt;="&amp;账期起,出库单!$C$4:$C$4003,"&lt;="&amp;账期止),0))</f>
        <v/>
      </c>
      <c r="V725" s="27">
        <f>IF($A725="","",SUMIFS(出库单!$J$4:$J$4003,出库单!$D$4:$D$4003,$A725,出库单!$K$4:$K$4003,"退货给供应商",出库单!$U$4:$U$4003,"正常",出库单!$C$4:$C$4003,"&gt;="&amp;账期起,出库单!$C$4:$C$4003,"&lt;="&amp;账期止))</f>
        <v/>
      </c>
      <c r="W725" s="26">
        <f>IF($A725="","",ROUND(SUMIFS(出库单!$S$4:$S$4003,出库单!$D$4:$D$4003,$A725,出库单!$K$4:$K$4003,"退货给供应商",出库单!$U$4:$U$4003,"正常",出库单!$C$4:$C$4003,"&gt;="&amp;账期起,出库单!$C$4:$C$4003,"&lt;="&amp;账期止),0))</f>
        <v/>
      </c>
      <c r="X725" s="27">
        <f>IF($A725="","",ROUND(N($G725)+$I725+$L725+$N725-$P725-$R725-$T725-$V725,3))</f>
        <v/>
      </c>
      <c r="Y725" s="26">
        <f>IF($A725="","",ROUND(N($H725)+$J725+$M725+$O725-$Q725-$S725-$U725-$W725,0))</f>
        <v/>
      </c>
      <c r="Z725" s="24">
        <f>IF($A725="","",IF(COUNTIFS(入库单!$G$4:$G$2503,$A725,入库单!$Y$4:$Y$2503,"待补价")+COUNTIFS(入库单!$G$4:$G$2503,$A725,入库单!$Y$4:$Y$2503,"暂估")&gt;0,"不可信","可信"))</f>
        <v/>
      </c>
      <c r="AA725" s="24">
        <f>IF($A725="","",IF($X725&lt;-0.001,"※账面负库存，查一下是不是漏记入库",IF(AND(ROUND($X725,3)=0,ABS($Y725)&gt;1),"※数量已经是 0，金额还挂着 "&amp;TEXT($Y725,"#,##0")&amp;" 先令",IF(AND($X725&gt;0,$Y725&lt;=0,$K725=0),"※有数量没金额（这个物料一直没填过进价）",IF($Z725="不可信","△成本含待补价/暂估，毛利仅供参考","")))))</f>
        <v/>
      </c>
    </row>
    <row r="726">
      <c r="A726" s="24">
        <f>IF(物料档案!$A725="","",物料档案!$A725)</f>
        <v/>
      </c>
      <c r="B726" s="24">
        <f>IF($A726="","",IFERROR(VLOOKUP($A726,物料档案!$A$4:$P$1203,3,0),""))</f>
        <v/>
      </c>
      <c r="C726" s="24">
        <f>IF($A726="","",IFERROR(VLOOKUP($A726,物料档案!$A$4:$P$1203,4,0),""))</f>
        <v/>
      </c>
      <c r="D726" s="24">
        <f>IF($A726="","",IFERROR(VLOOKUP($A726,物料档案!$A$4:$P$1203,5,0),""))</f>
        <v/>
      </c>
      <c r="E726" s="24">
        <f>IF($A726="","",IFERROR(VLOOKUP($A726,物料档案!$A$4:$P$1203,2,0),""))</f>
        <v/>
      </c>
      <c r="F726" s="24">
        <f>IF($A726="","",IFERROR(VLOOKUP($A726,物料档案!$A$4:$P$1203,6,0),""))</f>
        <v/>
      </c>
      <c r="G726" s="23" t="n"/>
      <c r="H726" s="32" t="n"/>
      <c r="I726" s="27">
        <f>IF($A726="","",SUMIFS(入库单!$K$4:$K$2503,入库单!$G$4:$G$2503,$A726,入库单!$X$4:$X$2503,"采购入库",入库单!$Z$4:$Z$2503,"正常",入库单!$C$4:$C$2503,"&gt;="&amp;账期起,入库单!$C$4:$C$2503,"&lt;="&amp;账期止))</f>
        <v/>
      </c>
      <c r="J726" s="26">
        <f>IF($A726="","",SUMIFS(入库单!$V$4:$V$2503,入库单!$G$4:$G$2503,$A726,入库单!$X$4:$X$2503,"采购入库",入库单!$Z$4:$Z$2503,"正常",入库单!$C$4:$C$2503,"&gt;="&amp;账期起,入库单!$C$4:$C$2503,"&lt;="&amp;账期止))</f>
        <v/>
      </c>
      <c r="K726" s="26">
        <f>IF($A726="","",IFERROR(ROUND((N($H726)+N($J726))/(N($G726)+N($I726)),2),0))</f>
        <v/>
      </c>
      <c r="L726" s="27">
        <f>IF($A726="","",SUMIFS(入库单!$K$4:$K$2503,入库单!$G$4:$G$2503,$A726,入库单!$X$4:$X$2503,"盘盈",入库单!$Z$4:$Z$2503,"正常",入库单!$C$4:$C$2503,"&gt;="&amp;账期起,入库单!$C$4:$C$2503,"&lt;="&amp;账期止))</f>
        <v/>
      </c>
      <c r="M726" s="26">
        <f>IF($A726="","",ROUND($L726*$K726,0))</f>
        <v/>
      </c>
      <c r="N726" s="27">
        <f>IF($A726="","",SUMIFS(入库单!$K$4:$K$2503,入库单!$G$4:$G$2503,$A726,入库单!$X$4:$X$2503,"矿区退库",入库单!$Z$4:$Z$2503,"正常",入库单!$C$4:$C$2503,"&gt;="&amp;账期起,入库单!$C$4:$C$2503,"&lt;="&amp;账期止))</f>
        <v/>
      </c>
      <c r="O726" s="26">
        <f>IF($A726="","",ROUND($N726*$K726,0))</f>
        <v/>
      </c>
      <c r="P726" s="27">
        <f>IF($A726="","",SUMIFS(出库单!$J$4:$J$4003,出库单!$D$4:$D$4003,$A726,出库单!$K$4:$K$4003,"自用消耗",出库单!$U$4:$U$4003,"正常",出库单!$C$4:$C$4003,"&gt;="&amp;账期起,出库单!$C$4:$C$4003,"&lt;="&amp;账期止))</f>
        <v/>
      </c>
      <c r="Q726" s="26">
        <f>IF($A726="","",ROUND(SUMIFS(出库单!$S$4:$S$4003,出库单!$D$4:$D$4003,$A726,出库单!$K$4:$K$4003,"自用消耗",出库单!$U$4:$U$4003,"正常",出库单!$C$4:$C$4003,"&gt;="&amp;账期起,出库单!$C$4:$C$4003,"&lt;="&amp;账期止),0))</f>
        <v/>
      </c>
      <c r="R726" s="27">
        <f>IF($A726="","",SUMIFS(出库单!$J$4:$J$4003,出库单!$D$4:$D$4003,$A726,出库单!$K$4:$K$4003,"对外销售",出库单!$U$4:$U$4003,"正常",出库单!$C$4:$C$4003,"&gt;="&amp;账期起,出库单!$C$4:$C$4003,"&lt;="&amp;账期止))</f>
        <v/>
      </c>
      <c r="S726" s="26">
        <f>IF($A726="","",ROUND(SUMIFS(出库单!$S$4:$S$4003,出库单!$D$4:$D$4003,$A726,出库单!$K$4:$K$4003,"对外销售",出库单!$U$4:$U$4003,"正常",出库单!$C$4:$C$4003,"&gt;="&amp;账期起,出库单!$C$4:$C$4003,"&lt;="&amp;账期止),0))</f>
        <v/>
      </c>
      <c r="T726" s="27">
        <f>IF($A726="","",SUMIFS(出库单!$J$4:$J$4003,出库单!$D$4:$D$4003,$A726,出库单!$K$4:$K$4003,"盘亏",出库单!$U$4:$U$4003,"正常",出库单!$C$4:$C$4003,"&gt;="&amp;账期起,出库单!$C$4:$C$4003,"&lt;="&amp;账期止))</f>
        <v/>
      </c>
      <c r="U726" s="26">
        <f>IF($A726="","",ROUND(SUMIFS(出库单!$S$4:$S$4003,出库单!$D$4:$D$4003,$A726,出库单!$K$4:$K$4003,"盘亏",出库单!$U$4:$U$4003,"正常",出库单!$C$4:$C$4003,"&gt;="&amp;账期起,出库单!$C$4:$C$4003,"&lt;="&amp;账期止),0))</f>
        <v/>
      </c>
      <c r="V726" s="27">
        <f>IF($A726="","",SUMIFS(出库单!$J$4:$J$4003,出库单!$D$4:$D$4003,$A726,出库单!$K$4:$K$4003,"退货给供应商",出库单!$U$4:$U$4003,"正常",出库单!$C$4:$C$4003,"&gt;="&amp;账期起,出库单!$C$4:$C$4003,"&lt;="&amp;账期止))</f>
        <v/>
      </c>
      <c r="W726" s="26">
        <f>IF($A726="","",ROUND(SUMIFS(出库单!$S$4:$S$4003,出库单!$D$4:$D$4003,$A726,出库单!$K$4:$K$4003,"退货给供应商",出库单!$U$4:$U$4003,"正常",出库单!$C$4:$C$4003,"&gt;="&amp;账期起,出库单!$C$4:$C$4003,"&lt;="&amp;账期止),0))</f>
        <v/>
      </c>
      <c r="X726" s="27">
        <f>IF($A726="","",ROUND(N($G726)+$I726+$L726+$N726-$P726-$R726-$T726-$V726,3))</f>
        <v/>
      </c>
      <c r="Y726" s="26">
        <f>IF($A726="","",ROUND(N($H726)+$J726+$M726+$O726-$Q726-$S726-$U726-$W726,0))</f>
        <v/>
      </c>
      <c r="Z726" s="24">
        <f>IF($A726="","",IF(COUNTIFS(入库单!$G$4:$G$2503,$A726,入库单!$Y$4:$Y$2503,"待补价")+COUNTIFS(入库单!$G$4:$G$2503,$A726,入库单!$Y$4:$Y$2503,"暂估")&gt;0,"不可信","可信"))</f>
        <v/>
      </c>
      <c r="AA726" s="24">
        <f>IF($A726="","",IF($X726&lt;-0.001,"※账面负库存，查一下是不是漏记入库",IF(AND(ROUND($X726,3)=0,ABS($Y726)&gt;1),"※数量已经是 0，金额还挂着 "&amp;TEXT($Y726,"#,##0")&amp;" 先令",IF(AND($X726&gt;0,$Y726&lt;=0,$K726=0),"※有数量没金额（这个物料一直没填过进价）",IF($Z726="不可信","△成本含待补价/暂估，毛利仅供参考","")))))</f>
        <v/>
      </c>
    </row>
    <row r="727">
      <c r="A727" s="24">
        <f>IF(物料档案!$A726="","",物料档案!$A726)</f>
        <v/>
      </c>
      <c r="B727" s="24">
        <f>IF($A727="","",IFERROR(VLOOKUP($A727,物料档案!$A$4:$P$1203,3,0),""))</f>
        <v/>
      </c>
      <c r="C727" s="24">
        <f>IF($A727="","",IFERROR(VLOOKUP($A727,物料档案!$A$4:$P$1203,4,0),""))</f>
        <v/>
      </c>
      <c r="D727" s="24">
        <f>IF($A727="","",IFERROR(VLOOKUP($A727,物料档案!$A$4:$P$1203,5,0),""))</f>
        <v/>
      </c>
      <c r="E727" s="24">
        <f>IF($A727="","",IFERROR(VLOOKUP($A727,物料档案!$A$4:$P$1203,2,0),""))</f>
        <v/>
      </c>
      <c r="F727" s="24">
        <f>IF($A727="","",IFERROR(VLOOKUP($A727,物料档案!$A$4:$P$1203,6,0),""))</f>
        <v/>
      </c>
      <c r="G727" s="23" t="n"/>
      <c r="H727" s="32" t="n"/>
      <c r="I727" s="27">
        <f>IF($A727="","",SUMIFS(入库单!$K$4:$K$2503,入库单!$G$4:$G$2503,$A727,入库单!$X$4:$X$2503,"采购入库",入库单!$Z$4:$Z$2503,"正常",入库单!$C$4:$C$2503,"&gt;="&amp;账期起,入库单!$C$4:$C$2503,"&lt;="&amp;账期止))</f>
        <v/>
      </c>
      <c r="J727" s="26">
        <f>IF($A727="","",SUMIFS(入库单!$V$4:$V$2503,入库单!$G$4:$G$2503,$A727,入库单!$X$4:$X$2503,"采购入库",入库单!$Z$4:$Z$2503,"正常",入库单!$C$4:$C$2503,"&gt;="&amp;账期起,入库单!$C$4:$C$2503,"&lt;="&amp;账期止))</f>
        <v/>
      </c>
      <c r="K727" s="26">
        <f>IF($A727="","",IFERROR(ROUND((N($H727)+N($J727))/(N($G727)+N($I727)),2),0))</f>
        <v/>
      </c>
      <c r="L727" s="27">
        <f>IF($A727="","",SUMIFS(入库单!$K$4:$K$2503,入库单!$G$4:$G$2503,$A727,入库单!$X$4:$X$2503,"盘盈",入库单!$Z$4:$Z$2503,"正常",入库单!$C$4:$C$2503,"&gt;="&amp;账期起,入库单!$C$4:$C$2503,"&lt;="&amp;账期止))</f>
        <v/>
      </c>
      <c r="M727" s="26">
        <f>IF($A727="","",ROUND($L727*$K727,0))</f>
        <v/>
      </c>
      <c r="N727" s="27">
        <f>IF($A727="","",SUMIFS(入库单!$K$4:$K$2503,入库单!$G$4:$G$2503,$A727,入库单!$X$4:$X$2503,"矿区退库",入库单!$Z$4:$Z$2503,"正常",入库单!$C$4:$C$2503,"&gt;="&amp;账期起,入库单!$C$4:$C$2503,"&lt;="&amp;账期止))</f>
        <v/>
      </c>
      <c r="O727" s="26">
        <f>IF($A727="","",ROUND($N727*$K727,0))</f>
        <v/>
      </c>
      <c r="P727" s="27">
        <f>IF($A727="","",SUMIFS(出库单!$J$4:$J$4003,出库单!$D$4:$D$4003,$A727,出库单!$K$4:$K$4003,"自用消耗",出库单!$U$4:$U$4003,"正常",出库单!$C$4:$C$4003,"&gt;="&amp;账期起,出库单!$C$4:$C$4003,"&lt;="&amp;账期止))</f>
        <v/>
      </c>
      <c r="Q727" s="26">
        <f>IF($A727="","",ROUND(SUMIFS(出库单!$S$4:$S$4003,出库单!$D$4:$D$4003,$A727,出库单!$K$4:$K$4003,"自用消耗",出库单!$U$4:$U$4003,"正常",出库单!$C$4:$C$4003,"&gt;="&amp;账期起,出库单!$C$4:$C$4003,"&lt;="&amp;账期止),0))</f>
        <v/>
      </c>
      <c r="R727" s="27">
        <f>IF($A727="","",SUMIFS(出库单!$J$4:$J$4003,出库单!$D$4:$D$4003,$A727,出库单!$K$4:$K$4003,"对外销售",出库单!$U$4:$U$4003,"正常",出库单!$C$4:$C$4003,"&gt;="&amp;账期起,出库单!$C$4:$C$4003,"&lt;="&amp;账期止))</f>
        <v/>
      </c>
      <c r="S727" s="26">
        <f>IF($A727="","",ROUND(SUMIFS(出库单!$S$4:$S$4003,出库单!$D$4:$D$4003,$A727,出库单!$K$4:$K$4003,"对外销售",出库单!$U$4:$U$4003,"正常",出库单!$C$4:$C$4003,"&gt;="&amp;账期起,出库单!$C$4:$C$4003,"&lt;="&amp;账期止),0))</f>
        <v/>
      </c>
      <c r="T727" s="27">
        <f>IF($A727="","",SUMIFS(出库单!$J$4:$J$4003,出库单!$D$4:$D$4003,$A727,出库单!$K$4:$K$4003,"盘亏",出库单!$U$4:$U$4003,"正常",出库单!$C$4:$C$4003,"&gt;="&amp;账期起,出库单!$C$4:$C$4003,"&lt;="&amp;账期止))</f>
        <v/>
      </c>
      <c r="U727" s="26">
        <f>IF($A727="","",ROUND(SUMIFS(出库单!$S$4:$S$4003,出库单!$D$4:$D$4003,$A727,出库单!$K$4:$K$4003,"盘亏",出库单!$U$4:$U$4003,"正常",出库单!$C$4:$C$4003,"&gt;="&amp;账期起,出库单!$C$4:$C$4003,"&lt;="&amp;账期止),0))</f>
        <v/>
      </c>
      <c r="V727" s="27">
        <f>IF($A727="","",SUMIFS(出库单!$J$4:$J$4003,出库单!$D$4:$D$4003,$A727,出库单!$K$4:$K$4003,"退货给供应商",出库单!$U$4:$U$4003,"正常",出库单!$C$4:$C$4003,"&gt;="&amp;账期起,出库单!$C$4:$C$4003,"&lt;="&amp;账期止))</f>
        <v/>
      </c>
      <c r="W727" s="26">
        <f>IF($A727="","",ROUND(SUMIFS(出库单!$S$4:$S$4003,出库单!$D$4:$D$4003,$A727,出库单!$K$4:$K$4003,"退货给供应商",出库单!$U$4:$U$4003,"正常",出库单!$C$4:$C$4003,"&gt;="&amp;账期起,出库单!$C$4:$C$4003,"&lt;="&amp;账期止),0))</f>
        <v/>
      </c>
      <c r="X727" s="27">
        <f>IF($A727="","",ROUND(N($G727)+$I727+$L727+$N727-$P727-$R727-$T727-$V727,3))</f>
        <v/>
      </c>
      <c r="Y727" s="26">
        <f>IF($A727="","",ROUND(N($H727)+$J727+$M727+$O727-$Q727-$S727-$U727-$W727,0))</f>
        <v/>
      </c>
      <c r="Z727" s="24">
        <f>IF($A727="","",IF(COUNTIFS(入库单!$G$4:$G$2503,$A727,入库单!$Y$4:$Y$2503,"待补价")+COUNTIFS(入库单!$G$4:$G$2503,$A727,入库单!$Y$4:$Y$2503,"暂估")&gt;0,"不可信","可信"))</f>
        <v/>
      </c>
      <c r="AA727" s="24">
        <f>IF($A727="","",IF($X727&lt;-0.001,"※账面负库存，查一下是不是漏记入库",IF(AND(ROUND($X727,3)=0,ABS($Y727)&gt;1),"※数量已经是 0，金额还挂着 "&amp;TEXT($Y727,"#,##0")&amp;" 先令",IF(AND($X727&gt;0,$Y727&lt;=0,$K727=0),"※有数量没金额（这个物料一直没填过进价）",IF($Z727="不可信","△成本含待补价/暂估，毛利仅供参考","")))))</f>
        <v/>
      </c>
    </row>
    <row r="728">
      <c r="A728" s="24">
        <f>IF(物料档案!$A727="","",物料档案!$A727)</f>
        <v/>
      </c>
      <c r="B728" s="24">
        <f>IF($A728="","",IFERROR(VLOOKUP($A728,物料档案!$A$4:$P$1203,3,0),""))</f>
        <v/>
      </c>
      <c r="C728" s="24">
        <f>IF($A728="","",IFERROR(VLOOKUP($A728,物料档案!$A$4:$P$1203,4,0),""))</f>
        <v/>
      </c>
      <c r="D728" s="24">
        <f>IF($A728="","",IFERROR(VLOOKUP($A728,物料档案!$A$4:$P$1203,5,0),""))</f>
        <v/>
      </c>
      <c r="E728" s="24">
        <f>IF($A728="","",IFERROR(VLOOKUP($A728,物料档案!$A$4:$P$1203,2,0),""))</f>
        <v/>
      </c>
      <c r="F728" s="24">
        <f>IF($A728="","",IFERROR(VLOOKUP($A728,物料档案!$A$4:$P$1203,6,0),""))</f>
        <v/>
      </c>
      <c r="G728" s="23" t="n"/>
      <c r="H728" s="32" t="n"/>
      <c r="I728" s="27">
        <f>IF($A728="","",SUMIFS(入库单!$K$4:$K$2503,入库单!$G$4:$G$2503,$A728,入库单!$X$4:$X$2503,"采购入库",入库单!$Z$4:$Z$2503,"正常",入库单!$C$4:$C$2503,"&gt;="&amp;账期起,入库单!$C$4:$C$2503,"&lt;="&amp;账期止))</f>
        <v/>
      </c>
      <c r="J728" s="26">
        <f>IF($A728="","",SUMIFS(入库单!$V$4:$V$2503,入库单!$G$4:$G$2503,$A728,入库单!$X$4:$X$2503,"采购入库",入库单!$Z$4:$Z$2503,"正常",入库单!$C$4:$C$2503,"&gt;="&amp;账期起,入库单!$C$4:$C$2503,"&lt;="&amp;账期止))</f>
        <v/>
      </c>
      <c r="K728" s="26">
        <f>IF($A728="","",IFERROR(ROUND((N($H728)+N($J728))/(N($G728)+N($I728)),2),0))</f>
        <v/>
      </c>
      <c r="L728" s="27">
        <f>IF($A728="","",SUMIFS(入库单!$K$4:$K$2503,入库单!$G$4:$G$2503,$A728,入库单!$X$4:$X$2503,"盘盈",入库单!$Z$4:$Z$2503,"正常",入库单!$C$4:$C$2503,"&gt;="&amp;账期起,入库单!$C$4:$C$2503,"&lt;="&amp;账期止))</f>
        <v/>
      </c>
      <c r="M728" s="26">
        <f>IF($A728="","",ROUND($L728*$K728,0))</f>
        <v/>
      </c>
      <c r="N728" s="27">
        <f>IF($A728="","",SUMIFS(入库单!$K$4:$K$2503,入库单!$G$4:$G$2503,$A728,入库单!$X$4:$X$2503,"矿区退库",入库单!$Z$4:$Z$2503,"正常",入库单!$C$4:$C$2503,"&gt;="&amp;账期起,入库单!$C$4:$C$2503,"&lt;="&amp;账期止))</f>
        <v/>
      </c>
      <c r="O728" s="26">
        <f>IF($A728="","",ROUND($N728*$K728,0))</f>
        <v/>
      </c>
      <c r="P728" s="27">
        <f>IF($A728="","",SUMIFS(出库单!$J$4:$J$4003,出库单!$D$4:$D$4003,$A728,出库单!$K$4:$K$4003,"自用消耗",出库单!$U$4:$U$4003,"正常",出库单!$C$4:$C$4003,"&gt;="&amp;账期起,出库单!$C$4:$C$4003,"&lt;="&amp;账期止))</f>
        <v/>
      </c>
      <c r="Q728" s="26">
        <f>IF($A728="","",ROUND(SUMIFS(出库单!$S$4:$S$4003,出库单!$D$4:$D$4003,$A728,出库单!$K$4:$K$4003,"自用消耗",出库单!$U$4:$U$4003,"正常",出库单!$C$4:$C$4003,"&gt;="&amp;账期起,出库单!$C$4:$C$4003,"&lt;="&amp;账期止),0))</f>
        <v/>
      </c>
      <c r="R728" s="27">
        <f>IF($A728="","",SUMIFS(出库单!$J$4:$J$4003,出库单!$D$4:$D$4003,$A728,出库单!$K$4:$K$4003,"对外销售",出库单!$U$4:$U$4003,"正常",出库单!$C$4:$C$4003,"&gt;="&amp;账期起,出库单!$C$4:$C$4003,"&lt;="&amp;账期止))</f>
        <v/>
      </c>
      <c r="S728" s="26">
        <f>IF($A728="","",ROUND(SUMIFS(出库单!$S$4:$S$4003,出库单!$D$4:$D$4003,$A728,出库单!$K$4:$K$4003,"对外销售",出库单!$U$4:$U$4003,"正常",出库单!$C$4:$C$4003,"&gt;="&amp;账期起,出库单!$C$4:$C$4003,"&lt;="&amp;账期止),0))</f>
        <v/>
      </c>
      <c r="T728" s="27">
        <f>IF($A728="","",SUMIFS(出库单!$J$4:$J$4003,出库单!$D$4:$D$4003,$A728,出库单!$K$4:$K$4003,"盘亏",出库单!$U$4:$U$4003,"正常",出库单!$C$4:$C$4003,"&gt;="&amp;账期起,出库单!$C$4:$C$4003,"&lt;="&amp;账期止))</f>
        <v/>
      </c>
      <c r="U728" s="26">
        <f>IF($A728="","",ROUND(SUMIFS(出库单!$S$4:$S$4003,出库单!$D$4:$D$4003,$A728,出库单!$K$4:$K$4003,"盘亏",出库单!$U$4:$U$4003,"正常",出库单!$C$4:$C$4003,"&gt;="&amp;账期起,出库单!$C$4:$C$4003,"&lt;="&amp;账期止),0))</f>
        <v/>
      </c>
      <c r="V728" s="27">
        <f>IF($A728="","",SUMIFS(出库单!$J$4:$J$4003,出库单!$D$4:$D$4003,$A728,出库单!$K$4:$K$4003,"退货给供应商",出库单!$U$4:$U$4003,"正常",出库单!$C$4:$C$4003,"&gt;="&amp;账期起,出库单!$C$4:$C$4003,"&lt;="&amp;账期止))</f>
        <v/>
      </c>
      <c r="W728" s="26">
        <f>IF($A728="","",ROUND(SUMIFS(出库单!$S$4:$S$4003,出库单!$D$4:$D$4003,$A728,出库单!$K$4:$K$4003,"退货给供应商",出库单!$U$4:$U$4003,"正常",出库单!$C$4:$C$4003,"&gt;="&amp;账期起,出库单!$C$4:$C$4003,"&lt;="&amp;账期止),0))</f>
        <v/>
      </c>
      <c r="X728" s="27">
        <f>IF($A728="","",ROUND(N($G728)+$I728+$L728+$N728-$P728-$R728-$T728-$V728,3))</f>
        <v/>
      </c>
      <c r="Y728" s="26">
        <f>IF($A728="","",ROUND(N($H728)+$J728+$M728+$O728-$Q728-$S728-$U728-$W728,0))</f>
        <v/>
      </c>
      <c r="Z728" s="24">
        <f>IF($A728="","",IF(COUNTIFS(入库单!$G$4:$G$2503,$A728,入库单!$Y$4:$Y$2503,"待补价")+COUNTIFS(入库单!$G$4:$G$2503,$A728,入库单!$Y$4:$Y$2503,"暂估")&gt;0,"不可信","可信"))</f>
        <v/>
      </c>
      <c r="AA728" s="24">
        <f>IF($A728="","",IF($X728&lt;-0.001,"※账面负库存，查一下是不是漏记入库",IF(AND(ROUND($X728,3)=0,ABS($Y728)&gt;1),"※数量已经是 0，金额还挂着 "&amp;TEXT($Y728,"#,##0")&amp;" 先令",IF(AND($X728&gt;0,$Y728&lt;=0,$K728=0),"※有数量没金额（这个物料一直没填过进价）",IF($Z728="不可信","△成本含待补价/暂估，毛利仅供参考","")))))</f>
        <v/>
      </c>
    </row>
    <row r="729">
      <c r="A729" s="24">
        <f>IF(物料档案!$A728="","",物料档案!$A728)</f>
        <v/>
      </c>
      <c r="B729" s="24">
        <f>IF($A729="","",IFERROR(VLOOKUP($A729,物料档案!$A$4:$P$1203,3,0),""))</f>
        <v/>
      </c>
      <c r="C729" s="24">
        <f>IF($A729="","",IFERROR(VLOOKUP($A729,物料档案!$A$4:$P$1203,4,0),""))</f>
        <v/>
      </c>
      <c r="D729" s="24">
        <f>IF($A729="","",IFERROR(VLOOKUP($A729,物料档案!$A$4:$P$1203,5,0),""))</f>
        <v/>
      </c>
      <c r="E729" s="24">
        <f>IF($A729="","",IFERROR(VLOOKUP($A729,物料档案!$A$4:$P$1203,2,0),""))</f>
        <v/>
      </c>
      <c r="F729" s="24">
        <f>IF($A729="","",IFERROR(VLOOKUP($A729,物料档案!$A$4:$P$1203,6,0),""))</f>
        <v/>
      </c>
      <c r="G729" s="23" t="n"/>
      <c r="H729" s="32" t="n"/>
      <c r="I729" s="27">
        <f>IF($A729="","",SUMIFS(入库单!$K$4:$K$2503,入库单!$G$4:$G$2503,$A729,入库单!$X$4:$X$2503,"采购入库",入库单!$Z$4:$Z$2503,"正常",入库单!$C$4:$C$2503,"&gt;="&amp;账期起,入库单!$C$4:$C$2503,"&lt;="&amp;账期止))</f>
        <v/>
      </c>
      <c r="J729" s="26">
        <f>IF($A729="","",SUMIFS(入库单!$V$4:$V$2503,入库单!$G$4:$G$2503,$A729,入库单!$X$4:$X$2503,"采购入库",入库单!$Z$4:$Z$2503,"正常",入库单!$C$4:$C$2503,"&gt;="&amp;账期起,入库单!$C$4:$C$2503,"&lt;="&amp;账期止))</f>
        <v/>
      </c>
      <c r="K729" s="26">
        <f>IF($A729="","",IFERROR(ROUND((N($H729)+N($J729))/(N($G729)+N($I729)),2),0))</f>
        <v/>
      </c>
      <c r="L729" s="27">
        <f>IF($A729="","",SUMIFS(入库单!$K$4:$K$2503,入库单!$G$4:$G$2503,$A729,入库单!$X$4:$X$2503,"盘盈",入库单!$Z$4:$Z$2503,"正常",入库单!$C$4:$C$2503,"&gt;="&amp;账期起,入库单!$C$4:$C$2503,"&lt;="&amp;账期止))</f>
        <v/>
      </c>
      <c r="M729" s="26">
        <f>IF($A729="","",ROUND($L729*$K729,0))</f>
        <v/>
      </c>
      <c r="N729" s="27">
        <f>IF($A729="","",SUMIFS(入库单!$K$4:$K$2503,入库单!$G$4:$G$2503,$A729,入库单!$X$4:$X$2503,"矿区退库",入库单!$Z$4:$Z$2503,"正常",入库单!$C$4:$C$2503,"&gt;="&amp;账期起,入库单!$C$4:$C$2503,"&lt;="&amp;账期止))</f>
        <v/>
      </c>
      <c r="O729" s="26">
        <f>IF($A729="","",ROUND($N729*$K729,0))</f>
        <v/>
      </c>
      <c r="P729" s="27">
        <f>IF($A729="","",SUMIFS(出库单!$J$4:$J$4003,出库单!$D$4:$D$4003,$A729,出库单!$K$4:$K$4003,"自用消耗",出库单!$U$4:$U$4003,"正常",出库单!$C$4:$C$4003,"&gt;="&amp;账期起,出库单!$C$4:$C$4003,"&lt;="&amp;账期止))</f>
        <v/>
      </c>
      <c r="Q729" s="26">
        <f>IF($A729="","",ROUND(SUMIFS(出库单!$S$4:$S$4003,出库单!$D$4:$D$4003,$A729,出库单!$K$4:$K$4003,"自用消耗",出库单!$U$4:$U$4003,"正常",出库单!$C$4:$C$4003,"&gt;="&amp;账期起,出库单!$C$4:$C$4003,"&lt;="&amp;账期止),0))</f>
        <v/>
      </c>
      <c r="R729" s="27">
        <f>IF($A729="","",SUMIFS(出库单!$J$4:$J$4003,出库单!$D$4:$D$4003,$A729,出库单!$K$4:$K$4003,"对外销售",出库单!$U$4:$U$4003,"正常",出库单!$C$4:$C$4003,"&gt;="&amp;账期起,出库单!$C$4:$C$4003,"&lt;="&amp;账期止))</f>
        <v/>
      </c>
      <c r="S729" s="26">
        <f>IF($A729="","",ROUND(SUMIFS(出库单!$S$4:$S$4003,出库单!$D$4:$D$4003,$A729,出库单!$K$4:$K$4003,"对外销售",出库单!$U$4:$U$4003,"正常",出库单!$C$4:$C$4003,"&gt;="&amp;账期起,出库单!$C$4:$C$4003,"&lt;="&amp;账期止),0))</f>
        <v/>
      </c>
      <c r="T729" s="27">
        <f>IF($A729="","",SUMIFS(出库单!$J$4:$J$4003,出库单!$D$4:$D$4003,$A729,出库单!$K$4:$K$4003,"盘亏",出库单!$U$4:$U$4003,"正常",出库单!$C$4:$C$4003,"&gt;="&amp;账期起,出库单!$C$4:$C$4003,"&lt;="&amp;账期止))</f>
        <v/>
      </c>
      <c r="U729" s="26">
        <f>IF($A729="","",ROUND(SUMIFS(出库单!$S$4:$S$4003,出库单!$D$4:$D$4003,$A729,出库单!$K$4:$K$4003,"盘亏",出库单!$U$4:$U$4003,"正常",出库单!$C$4:$C$4003,"&gt;="&amp;账期起,出库单!$C$4:$C$4003,"&lt;="&amp;账期止),0))</f>
        <v/>
      </c>
      <c r="V729" s="27">
        <f>IF($A729="","",SUMIFS(出库单!$J$4:$J$4003,出库单!$D$4:$D$4003,$A729,出库单!$K$4:$K$4003,"退货给供应商",出库单!$U$4:$U$4003,"正常",出库单!$C$4:$C$4003,"&gt;="&amp;账期起,出库单!$C$4:$C$4003,"&lt;="&amp;账期止))</f>
        <v/>
      </c>
      <c r="W729" s="26">
        <f>IF($A729="","",ROUND(SUMIFS(出库单!$S$4:$S$4003,出库单!$D$4:$D$4003,$A729,出库单!$K$4:$K$4003,"退货给供应商",出库单!$U$4:$U$4003,"正常",出库单!$C$4:$C$4003,"&gt;="&amp;账期起,出库单!$C$4:$C$4003,"&lt;="&amp;账期止),0))</f>
        <v/>
      </c>
      <c r="X729" s="27">
        <f>IF($A729="","",ROUND(N($G729)+$I729+$L729+$N729-$P729-$R729-$T729-$V729,3))</f>
        <v/>
      </c>
      <c r="Y729" s="26">
        <f>IF($A729="","",ROUND(N($H729)+$J729+$M729+$O729-$Q729-$S729-$U729-$W729,0))</f>
        <v/>
      </c>
      <c r="Z729" s="24">
        <f>IF($A729="","",IF(COUNTIFS(入库单!$G$4:$G$2503,$A729,入库单!$Y$4:$Y$2503,"待补价")+COUNTIFS(入库单!$G$4:$G$2503,$A729,入库单!$Y$4:$Y$2503,"暂估")&gt;0,"不可信","可信"))</f>
        <v/>
      </c>
      <c r="AA729" s="24">
        <f>IF($A729="","",IF($X729&lt;-0.001,"※账面负库存，查一下是不是漏记入库",IF(AND(ROUND($X729,3)=0,ABS($Y729)&gt;1),"※数量已经是 0，金额还挂着 "&amp;TEXT($Y729,"#,##0")&amp;" 先令",IF(AND($X729&gt;0,$Y729&lt;=0,$K729=0),"※有数量没金额（这个物料一直没填过进价）",IF($Z729="不可信","△成本含待补价/暂估，毛利仅供参考","")))))</f>
        <v/>
      </c>
    </row>
    <row r="730">
      <c r="A730" s="24">
        <f>IF(物料档案!$A729="","",物料档案!$A729)</f>
        <v/>
      </c>
      <c r="B730" s="24">
        <f>IF($A730="","",IFERROR(VLOOKUP($A730,物料档案!$A$4:$P$1203,3,0),""))</f>
        <v/>
      </c>
      <c r="C730" s="24">
        <f>IF($A730="","",IFERROR(VLOOKUP($A730,物料档案!$A$4:$P$1203,4,0),""))</f>
        <v/>
      </c>
      <c r="D730" s="24">
        <f>IF($A730="","",IFERROR(VLOOKUP($A730,物料档案!$A$4:$P$1203,5,0),""))</f>
        <v/>
      </c>
      <c r="E730" s="24">
        <f>IF($A730="","",IFERROR(VLOOKUP($A730,物料档案!$A$4:$P$1203,2,0),""))</f>
        <v/>
      </c>
      <c r="F730" s="24">
        <f>IF($A730="","",IFERROR(VLOOKUP($A730,物料档案!$A$4:$P$1203,6,0),""))</f>
        <v/>
      </c>
      <c r="G730" s="23" t="n"/>
      <c r="H730" s="32" t="n"/>
      <c r="I730" s="27">
        <f>IF($A730="","",SUMIFS(入库单!$K$4:$K$2503,入库单!$G$4:$G$2503,$A730,入库单!$X$4:$X$2503,"采购入库",入库单!$Z$4:$Z$2503,"正常",入库单!$C$4:$C$2503,"&gt;="&amp;账期起,入库单!$C$4:$C$2503,"&lt;="&amp;账期止))</f>
        <v/>
      </c>
      <c r="J730" s="26">
        <f>IF($A730="","",SUMIFS(入库单!$V$4:$V$2503,入库单!$G$4:$G$2503,$A730,入库单!$X$4:$X$2503,"采购入库",入库单!$Z$4:$Z$2503,"正常",入库单!$C$4:$C$2503,"&gt;="&amp;账期起,入库单!$C$4:$C$2503,"&lt;="&amp;账期止))</f>
        <v/>
      </c>
      <c r="K730" s="26">
        <f>IF($A730="","",IFERROR(ROUND((N($H730)+N($J730))/(N($G730)+N($I730)),2),0))</f>
        <v/>
      </c>
      <c r="L730" s="27">
        <f>IF($A730="","",SUMIFS(入库单!$K$4:$K$2503,入库单!$G$4:$G$2503,$A730,入库单!$X$4:$X$2503,"盘盈",入库单!$Z$4:$Z$2503,"正常",入库单!$C$4:$C$2503,"&gt;="&amp;账期起,入库单!$C$4:$C$2503,"&lt;="&amp;账期止))</f>
        <v/>
      </c>
      <c r="M730" s="26">
        <f>IF($A730="","",ROUND($L730*$K730,0))</f>
        <v/>
      </c>
      <c r="N730" s="27">
        <f>IF($A730="","",SUMIFS(入库单!$K$4:$K$2503,入库单!$G$4:$G$2503,$A730,入库单!$X$4:$X$2503,"矿区退库",入库单!$Z$4:$Z$2503,"正常",入库单!$C$4:$C$2503,"&gt;="&amp;账期起,入库单!$C$4:$C$2503,"&lt;="&amp;账期止))</f>
        <v/>
      </c>
      <c r="O730" s="26">
        <f>IF($A730="","",ROUND($N730*$K730,0))</f>
        <v/>
      </c>
      <c r="P730" s="27">
        <f>IF($A730="","",SUMIFS(出库单!$J$4:$J$4003,出库单!$D$4:$D$4003,$A730,出库单!$K$4:$K$4003,"自用消耗",出库单!$U$4:$U$4003,"正常",出库单!$C$4:$C$4003,"&gt;="&amp;账期起,出库单!$C$4:$C$4003,"&lt;="&amp;账期止))</f>
        <v/>
      </c>
      <c r="Q730" s="26">
        <f>IF($A730="","",ROUND(SUMIFS(出库单!$S$4:$S$4003,出库单!$D$4:$D$4003,$A730,出库单!$K$4:$K$4003,"自用消耗",出库单!$U$4:$U$4003,"正常",出库单!$C$4:$C$4003,"&gt;="&amp;账期起,出库单!$C$4:$C$4003,"&lt;="&amp;账期止),0))</f>
        <v/>
      </c>
      <c r="R730" s="27">
        <f>IF($A730="","",SUMIFS(出库单!$J$4:$J$4003,出库单!$D$4:$D$4003,$A730,出库单!$K$4:$K$4003,"对外销售",出库单!$U$4:$U$4003,"正常",出库单!$C$4:$C$4003,"&gt;="&amp;账期起,出库单!$C$4:$C$4003,"&lt;="&amp;账期止))</f>
        <v/>
      </c>
      <c r="S730" s="26">
        <f>IF($A730="","",ROUND(SUMIFS(出库单!$S$4:$S$4003,出库单!$D$4:$D$4003,$A730,出库单!$K$4:$K$4003,"对外销售",出库单!$U$4:$U$4003,"正常",出库单!$C$4:$C$4003,"&gt;="&amp;账期起,出库单!$C$4:$C$4003,"&lt;="&amp;账期止),0))</f>
        <v/>
      </c>
      <c r="T730" s="27">
        <f>IF($A730="","",SUMIFS(出库单!$J$4:$J$4003,出库单!$D$4:$D$4003,$A730,出库单!$K$4:$K$4003,"盘亏",出库单!$U$4:$U$4003,"正常",出库单!$C$4:$C$4003,"&gt;="&amp;账期起,出库单!$C$4:$C$4003,"&lt;="&amp;账期止))</f>
        <v/>
      </c>
      <c r="U730" s="26">
        <f>IF($A730="","",ROUND(SUMIFS(出库单!$S$4:$S$4003,出库单!$D$4:$D$4003,$A730,出库单!$K$4:$K$4003,"盘亏",出库单!$U$4:$U$4003,"正常",出库单!$C$4:$C$4003,"&gt;="&amp;账期起,出库单!$C$4:$C$4003,"&lt;="&amp;账期止),0))</f>
        <v/>
      </c>
      <c r="V730" s="27">
        <f>IF($A730="","",SUMIFS(出库单!$J$4:$J$4003,出库单!$D$4:$D$4003,$A730,出库单!$K$4:$K$4003,"退货给供应商",出库单!$U$4:$U$4003,"正常",出库单!$C$4:$C$4003,"&gt;="&amp;账期起,出库单!$C$4:$C$4003,"&lt;="&amp;账期止))</f>
        <v/>
      </c>
      <c r="W730" s="26">
        <f>IF($A730="","",ROUND(SUMIFS(出库单!$S$4:$S$4003,出库单!$D$4:$D$4003,$A730,出库单!$K$4:$K$4003,"退货给供应商",出库单!$U$4:$U$4003,"正常",出库单!$C$4:$C$4003,"&gt;="&amp;账期起,出库单!$C$4:$C$4003,"&lt;="&amp;账期止),0))</f>
        <v/>
      </c>
      <c r="X730" s="27">
        <f>IF($A730="","",ROUND(N($G730)+$I730+$L730+$N730-$P730-$R730-$T730-$V730,3))</f>
        <v/>
      </c>
      <c r="Y730" s="26">
        <f>IF($A730="","",ROUND(N($H730)+$J730+$M730+$O730-$Q730-$S730-$U730-$W730,0))</f>
        <v/>
      </c>
      <c r="Z730" s="24">
        <f>IF($A730="","",IF(COUNTIFS(入库单!$G$4:$G$2503,$A730,入库单!$Y$4:$Y$2503,"待补价")+COUNTIFS(入库单!$G$4:$G$2503,$A730,入库单!$Y$4:$Y$2503,"暂估")&gt;0,"不可信","可信"))</f>
        <v/>
      </c>
      <c r="AA730" s="24">
        <f>IF($A730="","",IF($X730&lt;-0.001,"※账面负库存，查一下是不是漏记入库",IF(AND(ROUND($X730,3)=0,ABS($Y730)&gt;1),"※数量已经是 0，金额还挂着 "&amp;TEXT($Y730,"#,##0")&amp;" 先令",IF(AND($X730&gt;0,$Y730&lt;=0,$K730=0),"※有数量没金额（这个物料一直没填过进价）",IF($Z730="不可信","△成本含待补价/暂估，毛利仅供参考","")))))</f>
        <v/>
      </c>
    </row>
    <row r="731">
      <c r="A731" s="24">
        <f>IF(物料档案!$A730="","",物料档案!$A730)</f>
        <v/>
      </c>
      <c r="B731" s="24">
        <f>IF($A731="","",IFERROR(VLOOKUP($A731,物料档案!$A$4:$P$1203,3,0),""))</f>
        <v/>
      </c>
      <c r="C731" s="24">
        <f>IF($A731="","",IFERROR(VLOOKUP($A731,物料档案!$A$4:$P$1203,4,0),""))</f>
        <v/>
      </c>
      <c r="D731" s="24">
        <f>IF($A731="","",IFERROR(VLOOKUP($A731,物料档案!$A$4:$P$1203,5,0),""))</f>
        <v/>
      </c>
      <c r="E731" s="24">
        <f>IF($A731="","",IFERROR(VLOOKUP($A731,物料档案!$A$4:$P$1203,2,0),""))</f>
        <v/>
      </c>
      <c r="F731" s="24">
        <f>IF($A731="","",IFERROR(VLOOKUP($A731,物料档案!$A$4:$P$1203,6,0),""))</f>
        <v/>
      </c>
      <c r="G731" s="23" t="n"/>
      <c r="H731" s="32" t="n"/>
      <c r="I731" s="27">
        <f>IF($A731="","",SUMIFS(入库单!$K$4:$K$2503,入库单!$G$4:$G$2503,$A731,入库单!$X$4:$X$2503,"采购入库",入库单!$Z$4:$Z$2503,"正常",入库单!$C$4:$C$2503,"&gt;="&amp;账期起,入库单!$C$4:$C$2503,"&lt;="&amp;账期止))</f>
        <v/>
      </c>
      <c r="J731" s="26">
        <f>IF($A731="","",SUMIFS(入库单!$V$4:$V$2503,入库单!$G$4:$G$2503,$A731,入库单!$X$4:$X$2503,"采购入库",入库单!$Z$4:$Z$2503,"正常",入库单!$C$4:$C$2503,"&gt;="&amp;账期起,入库单!$C$4:$C$2503,"&lt;="&amp;账期止))</f>
        <v/>
      </c>
      <c r="K731" s="26">
        <f>IF($A731="","",IFERROR(ROUND((N($H731)+N($J731))/(N($G731)+N($I731)),2),0))</f>
        <v/>
      </c>
      <c r="L731" s="27">
        <f>IF($A731="","",SUMIFS(入库单!$K$4:$K$2503,入库单!$G$4:$G$2503,$A731,入库单!$X$4:$X$2503,"盘盈",入库单!$Z$4:$Z$2503,"正常",入库单!$C$4:$C$2503,"&gt;="&amp;账期起,入库单!$C$4:$C$2503,"&lt;="&amp;账期止))</f>
        <v/>
      </c>
      <c r="M731" s="26">
        <f>IF($A731="","",ROUND($L731*$K731,0))</f>
        <v/>
      </c>
      <c r="N731" s="27">
        <f>IF($A731="","",SUMIFS(入库单!$K$4:$K$2503,入库单!$G$4:$G$2503,$A731,入库单!$X$4:$X$2503,"矿区退库",入库单!$Z$4:$Z$2503,"正常",入库单!$C$4:$C$2503,"&gt;="&amp;账期起,入库单!$C$4:$C$2503,"&lt;="&amp;账期止))</f>
        <v/>
      </c>
      <c r="O731" s="26">
        <f>IF($A731="","",ROUND($N731*$K731,0))</f>
        <v/>
      </c>
      <c r="P731" s="27">
        <f>IF($A731="","",SUMIFS(出库单!$J$4:$J$4003,出库单!$D$4:$D$4003,$A731,出库单!$K$4:$K$4003,"自用消耗",出库单!$U$4:$U$4003,"正常",出库单!$C$4:$C$4003,"&gt;="&amp;账期起,出库单!$C$4:$C$4003,"&lt;="&amp;账期止))</f>
        <v/>
      </c>
      <c r="Q731" s="26">
        <f>IF($A731="","",ROUND(SUMIFS(出库单!$S$4:$S$4003,出库单!$D$4:$D$4003,$A731,出库单!$K$4:$K$4003,"自用消耗",出库单!$U$4:$U$4003,"正常",出库单!$C$4:$C$4003,"&gt;="&amp;账期起,出库单!$C$4:$C$4003,"&lt;="&amp;账期止),0))</f>
        <v/>
      </c>
      <c r="R731" s="27">
        <f>IF($A731="","",SUMIFS(出库单!$J$4:$J$4003,出库单!$D$4:$D$4003,$A731,出库单!$K$4:$K$4003,"对外销售",出库单!$U$4:$U$4003,"正常",出库单!$C$4:$C$4003,"&gt;="&amp;账期起,出库单!$C$4:$C$4003,"&lt;="&amp;账期止))</f>
        <v/>
      </c>
      <c r="S731" s="26">
        <f>IF($A731="","",ROUND(SUMIFS(出库单!$S$4:$S$4003,出库单!$D$4:$D$4003,$A731,出库单!$K$4:$K$4003,"对外销售",出库单!$U$4:$U$4003,"正常",出库单!$C$4:$C$4003,"&gt;="&amp;账期起,出库单!$C$4:$C$4003,"&lt;="&amp;账期止),0))</f>
        <v/>
      </c>
      <c r="T731" s="27">
        <f>IF($A731="","",SUMIFS(出库单!$J$4:$J$4003,出库单!$D$4:$D$4003,$A731,出库单!$K$4:$K$4003,"盘亏",出库单!$U$4:$U$4003,"正常",出库单!$C$4:$C$4003,"&gt;="&amp;账期起,出库单!$C$4:$C$4003,"&lt;="&amp;账期止))</f>
        <v/>
      </c>
      <c r="U731" s="26">
        <f>IF($A731="","",ROUND(SUMIFS(出库单!$S$4:$S$4003,出库单!$D$4:$D$4003,$A731,出库单!$K$4:$K$4003,"盘亏",出库单!$U$4:$U$4003,"正常",出库单!$C$4:$C$4003,"&gt;="&amp;账期起,出库单!$C$4:$C$4003,"&lt;="&amp;账期止),0))</f>
        <v/>
      </c>
      <c r="V731" s="27">
        <f>IF($A731="","",SUMIFS(出库单!$J$4:$J$4003,出库单!$D$4:$D$4003,$A731,出库单!$K$4:$K$4003,"退货给供应商",出库单!$U$4:$U$4003,"正常",出库单!$C$4:$C$4003,"&gt;="&amp;账期起,出库单!$C$4:$C$4003,"&lt;="&amp;账期止))</f>
        <v/>
      </c>
      <c r="W731" s="26">
        <f>IF($A731="","",ROUND(SUMIFS(出库单!$S$4:$S$4003,出库单!$D$4:$D$4003,$A731,出库单!$K$4:$K$4003,"退货给供应商",出库单!$U$4:$U$4003,"正常",出库单!$C$4:$C$4003,"&gt;="&amp;账期起,出库单!$C$4:$C$4003,"&lt;="&amp;账期止),0))</f>
        <v/>
      </c>
      <c r="X731" s="27">
        <f>IF($A731="","",ROUND(N($G731)+$I731+$L731+$N731-$P731-$R731-$T731-$V731,3))</f>
        <v/>
      </c>
      <c r="Y731" s="26">
        <f>IF($A731="","",ROUND(N($H731)+$J731+$M731+$O731-$Q731-$S731-$U731-$W731,0))</f>
        <v/>
      </c>
      <c r="Z731" s="24">
        <f>IF($A731="","",IF(COUNTIFS(入库单!$G$4:$G$2503,$A731,入库单!$Y$4:$Y$2503,"待补价")+COUNTIFS(入库单!$G$4:$G$2503,$A731,入库单!$Y$4:$Y$2503,"暂估")&gt;0,"不可信","可信"))</f>
        <v/>
      </c>
      <c r="AA731" s="24">
        <f>IF($A731="","",IF($X731&lt;-0.001,"※账面负库存，查一下是不是漏记入库",IF(AND(ROUND($X731,3)=0,ABS($Y731)&gt;1),"※数量已经是 0，金额还挂着 "&amp;TEXT($Y731,"#,##0")&amp;" 先令",IF(AND($X731&gt;0,$Y731&lt;=0,$K731=0),"※有数量没金额（这个物料一直没填过进价）",IF($Z731="不可信","△成本含待补价/暂估，毛利仅供参考","")))))</f>
        <v/>
      </c>
    </row>
    <row r="732">
      <c r="A732" s="24">
        <f>IF(物料档案!$A731="","",物料档案!$A731)</f>
        <v/>
      </c>
      <c r="B732" s="24">
        <f>IF($A732="","",IFERROR(VLOOKUP($A732,物料档案!$A$4:$P$1203,3,0),""))</f>
        <v/>
      </c>
      <c r="C732" s="24">
        <f>IF($A732="","",IFERROR(VLOOKUP($A732,物料档案!$A$4:$P$1203,4,0),""))</f>
        <v/>
      </c>
      <c r="D732" s="24">
        <f>IF($A732="","",IFERROR(VLOOKUP($A732,物料档案!$A$4:$P$1203,5,0),""))</f>
        <v/>
      </c>
      <c r="E732" s="24">
        <f>IF($A732="","",IFERROR(VLOOKUP($A732,物料档案!$A$4:$P$1203,2,0),""))</f>
        <v/>
      </c>
      <c r="F732" s="24">
        <f>IF($A732="","",IFERROR(VLOOKUP($A732,物料档案!$A$4:$P$1203,6,0),""))</f>
        <v/>
      </c>
      <c r="G732" s="23" t="n"/>
      <c r="H732" s="32" t="n"/>
      <c r="I732" s="27">
        <f>IF($A732="","",SUMIFS(入库单!$K$4:$K$2503,入库单!$G$4:$G$2503,$A732,入库单!$X$4:$X$2503,"采购入库",入库单!$Z$4:$Z$2503,"正常",入库单!$C$4:$C$2503,"&gt;="&amp;账期起,入库单!$C$4:$C$2503,"&lt;="&amp;账期止))</f>
        <v/>
      </c>
      <c r="J732" s="26">
        <f>IF($A732="","",SUMIFS(入库单!$V$4:$V$2503,入库单!$G$4:$G$2503,$A732,入库单!$X$4:$X$2503,"采购入库",入库单!$Z$4:$Z$2503,"正常",入库单!$C$4:$C$2503,"&gt;="&amp;账期起,入库单!$C$4:$C$2503,"&lt;="&amp;账期止))</f>
        <v/>
      </c>
      <c r="K732" s="26">
        <f>IF($A732="","",IFERROR(ROUND((N($H732)+N($J732))/(N($G732)+N($I732)),2),0))</f>
        <v/>
      </c>
      <c r="L732" s="27">
        <f>IF($A732="","",SUMIFS(入库单!$K$4:$K$2503,入库单!$G$4:$G$2503,$A732,入库单!$X$4:$X$2503,"盘盈",入库单!$Z$4:$Z$2503,"正常",入库单!$C$4:$C$2503,"&gt;="&amp;账期起,入库单!$C$4:$C$2503,"&lt;="&amp;账期止))</f>
        <v/>
      </c>
      <c r="M732" s="26">
        <f>IF($A732="","",ROUND($L732*$K732,0))</f>
        <v/>
      </c>
      <c r="N732" s="27">
        <f>IF($A732="","",SUMIFS(入库单!$K$4:$K$2503,入库单!$G$4:$G$2503,$A732,入库单!$X$4:$X$2503,"矿区退库",入库单!$Z$4:$Z$2503,"正常",入库单!$C$4:$C$2503,"&gt;="&amp;账期起,入库单!$C$4:$C$2503,"&lt;="&amp;账期止))</f>
        <v/>
      </c>
      <c r="O732" s="26">
        <f>IF($A732="","",ROUND($N732*$K732,0))</f>
        <v/>
      </c>
      <c r="P732" s="27">
        <f>IF($A732="","",SUMIFS(出库单!$J$4:$J$4003,出库单!$D$4:$D$4003,$A732,出库单!$K$4:$K$4003,"自用消耗",出库单!$U$4:$U$4003,"正常",出库单!$C$4:$C$4003,"&gt;="&amp;账期起,出库单!$C$4:$C$4003,"&lt;="&amp;账期止))</f>
        <v/>
      </c>
      <c r="Q732" s="26">
        <f>IF($A732="","",ROUND(SUMIFS(出库单!$S$4:$S$4003,出库单!$D$4:$D$4003,$A732,出库单!$K$4:$K$4003,"自用消耗",出库单!$U$4:$U$4003,"正常",出库单!$C$4:$C$4003,"&gt;="&amp;账期起,出库单!$C$4:$C$4003,"&lt;="&amp;账期止),0))</f>
        <v/>
      </c>
      <c r="R732" s="27">
        <f>IF($A732="","",SUMIFS(出库单!$J$4:$J$4003,出库单!$D$4:$D$4003,$A732,出库单!$K$4:$K$4003,"对外销售",出库单!$U$4:$U$4003,"正常",出库单!$C$4:$C$4003,"&gt;="&amp;账期起,出库单!$C$4:$C$4003,"&lt;="&amp;账期止))</f>
        <v/>
      </c>
      <c r="S732" s="26">
        <f>IF($A732="","",ROUND(SUMIFS(出库单!$S$4:$S$4003,出库单!$D$4:$D$4003,$A732,出库单!$K$4:$K$4003,"对外销售",出库单!$U$4:$U$4003,"正常",出库单!$C$4:$C$4003,"&gt;="&amp;账期起,出库单!$C$4:$C$4003,"&lt;="&amp;账期止),0))</f>
        <v/>
      </c>
      <c r="T732" s="27">
        <f>IF($A732="","",SUMIFS(出库单!$J$4:$J$4003,出库单!$D$4:$D$4003,$A732,出库单!$K$4:$K$4003,"盘亏",出库单!$U$4:$U$4003,"正常",出库单!$C$4:$C$4003,"&gt;="&amp;账期起,出库单!$C$4:$C$4003,"&lt;="&amp;账期止))</f>
        <v/>
      </c>
      <c r="U732" s="26">
        <f>IF($A732="","",ROUND(SUMIFS(出库单!$S$4:$S$4003,出库单!$D$4:$D$4003,$A732,出库单!$K$4:$K$4003,"盘亏",出库单!$U$4:$U$4003,"正常",出库单!$C$4:$C$4003,"&gt;="&amp;账期起,出库单!$C$4:$C$4003,"&lt;="&amp;账期止),0))</f>
        <v/>
      </c>
      <c r="V732" s="27">
        <f>IF($A732="","",SUMIFS(出库单!$J$4:$J$4003,出库单!$D$4:$D$4003,$A732,出库单!$K$4:$K$4003,"退货给供应商",出库单!$U$4:$U$4003,"正常",出库单!$C$4:$C$4003,"&gt;="&amp;账期起,出库单!$C$4:$C$4003,"&lt;="&amp;账期止))</f>
        <v/>
      </c>
      <c r="W732" s="26">
        <f>IF($A732="","",ROUND(SUMIFS(出库单!$S$4:$S$4003,出库单!$D$4:$D$4003,$A732,出库单!$K$4:$K$4003,"退货给供应商",出库单!$U$4:$U$4003,"正常",出库单!$C$4:$C$4003,"&gt;="&amp;账期起,出库单!$C$4:$C$4003,"&lt;="&amp;账期止),0))</f>
        <v/>
      </c>
      <c r="X732" s="27">
        <f>IF($A732="","",ROUND(N($G732)+$I732+$L732+$N732-$P732-$R732-$T732-$V732,3))</f>
        <v/>
      </c>
      <c r="Y732" s="26">
        <f>IF($A732="","",ROUND(N($H732)+$J732+$M732+$O732-$Q732-$S732-$U732-$W732,0))</f>
        <v/>
      </c>
      <c r="Z732" s="24">
        <f>IF($A732="","",IF(COUNTIFS(入库单!$G$4:$G$2503,$A732,入库单!$Y$4:$Y$2503,"待补价")+COUNTIFS(入库单!$G$4:$G$2503,$A732,入库单!$Y$4:$Y$2503,"暂估")&gt;0,"不可信","可信"))</f>
        <v/>
      </c>
      <c r="AA732" s="24">
        <f>IF($A732="","",IF($X732&lt;-0.001,"※账面负库存，查一下是不是漏记入库",IF(AND(ROUND($X732,3)=0,ABS($Y732)&gt;1),"※数量已经是 0，金额还挂着 "&amp;TEXT($Y732,"#,##0")&amp;" 先令",IF(AND($X732&gt;0,$Y732&lt;=0,$K732=0),"※有数量没金额（这个物料一直没填过进价）",IF($Z732="不可信","△成本含待补价/暂估，毛利仅供参考","")))))</f>
        <v/>
      </c>
    </row>
    <row r="733">
      <c r="A733" s="24">
        <f>IF(物料档案!$A732="","",物料档案!$A732)</f>
        <v/>
      </c>
      <c r="B733" s="24">
        <f>IF($A733="","",IFERROR(VLOOKUP($A733,物料档案!$A$4:$P$1203,3,0),""))</f>
        <v/>
      </c>
      <c r="C733" s="24">
        <f>IF($A733="","",IFERROR(VLOOKUP($A733,物料档案!$A$4:$P$1203,4,0),""))</f>
        <v/>
      </c>
      <c r="D733" s="24">
        <f>IF($A733="","",IFERROR(VLOOKUP($A733,物料档案!$A$4:$P$1203,5,0),""))</f>
        <v/>
      </c>
      <c r="E733" s="24">
        <f>IF($A733="","",IFERROR(VLOOKUP($A733,物料档案!$A$4:$P$1203,2,0),""))</f>
        <v/>
      </c>
      <c r="F733" s="24">
        <f>IF($A733="","",IFERROR(VLOOKUP($A733,物料档案!$A$4:$P$1203,6,0),""))</f>
        <v/>
      </c>
      <c r="G733" s="23" t="n"/>
      <c r="H733" s="32" t="n"/>
      <c r="I733" s="27">
        <f>IF($A733="","",SUMIFS(入库单!$K$4:$K$2503,入库单!$G$4:$G$2503,$A733,入库单!$X$4:$X$2503,"采购入库",入库单!$Z$4:$Z$2503,"正常",入库单!$C$4:$C$2503,"&gt;="&amp;账期起,入库单!$C$4:$C$2503,"&lt;="&amp;账期止))</f>
        <v/>
      </c>
      <c r="J733" s="26">
        <f>IF($A733="","",SUMIFS(入库单!$V$4:$V$2503,入库单!$G$4:$G$2503,$A733,入库单!$X$4:$X$2503,"采购入库",入库单!$Z$4:$Z$2503,"正常",入库单!$C$4:$C$2503,"&gt;="&amp;账期起,入库单!$C$4:$C$2503,"&lt;="&amp;账期止))</f>
        <v/>
      </c>
      <c r="K733" s="26">
        <f>IF($A733="","",IFERROR(ROUND((N($H733)+N($J733))/(N($G733)+N($I733)),2),0))</f>
        <v/>
      </c>
      <c r="L733" s="27">
        <f>IF($A733="","",SUMIFS(入库单!$K$4:$K$2503,入库单!$G$4:$G$2503,$A733,入库单!$X$4:$X$2503,"盘盈",入库单!$Z$4:$Z$2503,"正常",入库单!$C$4:$C$2503,"&gt;="&amp;账期起,入库单!$C$4:$C$2503,"&lt;="&amp;账期止))</f>
        <v/>
      </c>
      <c r="M733" s="26">
        <f>IF($A733="","",ROUND($L733*$K733,0))</f>
        <v/>
      </c>
      <c r="N733" s="27">
        <f>IF($A733="","",SUMIFS(入库单!$K$4:$K$2503,入库单!$G$4:$G$2503,$A733,入库单!$X$4:$X$2503,"矿区退库",入库单!$Z$4:$Z$2503,"正常",入库单!$C$4:$C$2503,"&gt;="&amp;账期起,入库单!$C$4:$C$2503,"&lt;="&amp;账期止))</f>
        <v/>
      </c>
      <c r="O733" s="26">
        <f>IF($A733="","",ROUND($N733*$K733,0))</f>
        <v/>
      </c>
      <c r="P733" s="27">
        <f>IF($A733="","",SUMIFS(出库单!$J$4:$J$4003,出库单!$D$4:$D$4003,$A733,出库单!$K$4:$K$4003,"自用消耗",出库单!$U$4:$U$4003,"正常",出库单!$C$4:$C$4003,"&gt;="&amp;账期起,出库单!$C$4:$C$4003,"&lt;="&amp;账期止))</f>
        <v/>
      </c>
      <c r="Q733" s="26">
        <f>IF($A733="","",ROUND(SUMIFS(出库单!$S$4:$S$4003,出库单!$D$4:$D$4003,$A733,出库单!$K$4:$K$4003,"自用消耗",出库单!$U$4:$U$4003,"正常",出库单!$C$4:$C$4003,"&gt;="&amp;账期起,出库单!$C$4:$C$4003,"&lt;="&amp;账期止),0))</f>
        <v/>
      </c>
      <c r="R733" s="27">
        <f>IF($A733="","",SUMIFS(出库单!$J$4:$J$4003,出库单!$D$4:$D$4003,$A733,出库单!$K$4:$K$4003,"对外销售",出库单!$U$4:$U$4003,"正常",出库单!$C$4:$C$4003,"&gt;="&amp;账期起,出库单!$C$4:$C$4003,"&lt;="&amp;账期止))</f>
        <v/>
      </c>
      <c r="S733" s="26">
        <f>IF($A733="","",ROUND(SUMIFS(出库单!$S$4:$S$4003,出库单!$D$4:$D$4003,$A733,出库单!$K$4:$K$4003,"对外销售",出库单!$U$4:$U$4003,"正常",出库单!$C$4:$C$4003,"&gt;="&amp;账期起,出库单!$C$4:$C$4003,"&lt;="&amp;账期止),0))</f>
        <v/>
      </c>
      <c r="T733" s="27">
        <f>IF($A733="","",SUMIFS(出库单!$J$4:$J$4003,出库单!$D$4:$D$4003,$A733,出库单!$K$4:$K$4003,"盘亏",出库单!$U$4:$U$4003,"正常",出库单!$C$4:$C$4003,"&gt;="&amp;账期起,出库单!$C$4:$C$4003,"&lt;="&amp;账期止))</f>
        <v/>
      </c>
      <c r="U733" s="26">
        <f>IF($A733="","",ROUND(SUMIFS(出库单!$S$4:$S$4003,出库单!$D$4:$D$4003,$A733,出库单!$K$4:$K$4003,"盘亏",出库单!$U$4:$U$4003,"正常",出库单!$C$4:$C$4003,"&gt;="&amp;账期起,出库单!$C$4:$C$4003,"&lt;="&amp;账期止),0))</f>
        <v/>
      </c>
      <c r="V733" s="27">
        <f>IF($A733="","",SUMIFS(出库单!$J$4:$J$4003,出库单!$D$4:$D$4003,$A733,出库单!$K$4:$K$4003,"退货给供应商",出库单!$U$4:$U$4003,"正常",出库单!$C$4:$C$4003,"&gt;="&amp;账期起,出库单!$C$4:$C$4003,"&lt;="&amp;账期止))</f>
        <v/>
      </c>
      <c r="W733" s="26">
        <f>IF($A733="","",ROUND(SUMIFS(出库单!$S$4:$S$4003,出库单!$D$4:$D$4003,$A733,出库单!$K$4:$K$4003,"退货给供应商",出库单!$U$4:$U$4003,"正常",出库单!$C$4:$C$4003,"&gt;="&amp;账期起,出库单!$C$4:$C$4003,"&lt;="&amp;账期止),0))</f>
        <v/>
      </c>
      <c r="X733" s="27">
        <f>IF($A733="","",ROUND(N($G733)+$I733+$L733+$N733-$P733-$R733-$T733-$V733,3))</f>
        <v/>
      </c>
      <c r="Y733" s="26">
        <f>IF($A733="","",ROUND(N($H733)+$J733+$M733+$O733-$Q733-$S733-$U733-$W733,0))</f>
        <v/>
      </c>
      <c r="Z733" s="24">
        <f>IF($A733="","",IF(COUNTIFS(入库单!$G$4:$G$2503,$A733,入库单!$Y$4:$Y$2503,"待补价")+COUNTIFS(入库单!$G$4:$G$2503,$A733,入库单!$Y$4:$Y$2503,"暂估")&gt;0,"不可信","可信"))</f>
        <v/>
      </c>
      <c r="AA733" s="24">
        <f>IF($A733="","",IF($X733&lt;-0.001,"※账面负库存，查一下是不是漏记入库",IF(AND(ROUND($X733,3)=0,ABS($Y733)&gt;1),"※数量已经是 0，金额还挂着 "&amp;TEXT($Y733,"#,##0")&amp;" 先令",IF(AND($X733&gt;0,$Y733&lt;=0,$K733=0),"※有数量没金额（这个物料一直没填过进价）",IF($Z733="不可信","△成本含待补价/暂估，毛利仅供参考","")))))</f>
        <v/>
      </c>
    </row>
    <row r="734">
      <c r="A734" s="24">
        <f>IF(物料档案!$A733="","",物料档案!$A733)</f>
        <v/>
      </c>
      <c r="B734" s="24">
        <f>IF($A734="","",IFERROR(VLOOKUP($A734,物料档案!$A$4:$P$1203,3,0),""))</f>
        <v/>
      </c>
      <c r="C734" s="24">
        <f>IF($A734="","",IFERROR(VLOOKUP($A734,物料档案!$A$4:$P$1203,4,0),""))</f>
        <v/>
      </c>
      <c r="D734" s="24">
        <f>IF($A734="","",IFERROR(VLOOKUP($A734,物料档案!$A$4:$P$1203,5,0),""))</f>
        <v/>
      </c>
      <c r="E734" s="24">
        <f>IF($A734="","",IFERROR(VLOOKUP($A734,物料档案!$A$4:$P$1203,2,0),""))</f>
        <v/>
      </c>
      <c r="F734" s="24">
        <f>IF($A734="","",IFERROR(VLOOKUP($A734,物料档案!$A$4:$P$1203,6,0),""))</f>
        <v/>
      </c>
      <c r="G734" s="23" t="n"/>
      <c r="H734" s="32" t="n"/>
      <c r="I734" s="27">
        <f>IF($A734="","",SUMIFS(入库单!$K$4:$K$2503,入库单!$G$4:$G$2503,$A734,入库单!$X$4:$X$2503,"采购入库",入库单!$Z$4:$Z$2503,"正常",入库单!$C$4:$C$2503,"&gt;="&amp;账期起,入库单!$C$4:$C$2503,"&lt;="&amp;账期止))</f>
        <v/>
      </c>
      <c r="J734" s="26">
        <f>IF($A734="","",SUMIFS(入库单!$V$4:$V$2503,入库单!$G$4:$G$2503,$A734,入库单!$X$4:$X$2503,"采购入库",入库单!$Z$4:$Z$2503,"正常",入库单!$C$4:$C$2503,"&gt;="&amp;账期起,入库单!$C$4:$C$2503,"&lt;="&amp;账期止))</f>
        <v/>
      </c>
      <c r="K734" s="26">
        <f>IF($A734="","",IFERROR(ROUND((N($H734)+N($J734))/(N($G734)+N($I734)),2),0))</f>
        <v/>
      </c>
      <c r="L734" s="27">
        <f>IF($A734="","",SUMIFS(入库单!$K$4:$K$2503,入库单!$G$4:$G$2503,$A734,入库单!$X$4:$X$2503,"盘盈",入库单!$Z$4:$Z$2503,"正常",入库单!$C$4:$C$2503,"&gt;="&amp;账期起,入库单!$C$4:$C$2503,"&lt;="&amp;账期止))</f>
        <v/>
      </c>
      <c r="M734" s="26">
        <f>IF($A734="","",ROUND($L734*$K734,0))</f>
        <v/>
      </c>
      <c r="N734" s="27">
        <f>IF($A734="","",SUMIFS(入库单!$K$4:$K$2503,入库单!$G$4:$G$2503,$A734,入库单!$X$4:$X$2503,"矿区退库",入库单!$Z$4:$Z$2503,"正常",入库单!$C$4:$C$2503,"&gt;="&amp;账期起,入库单!$C$4:$C$2503,"&lt;="&amp;账期止))</f>
        <v/>
      </c>
      <c r="O734" s="26">
        <f>IF($A734="","",ROUND($N734*$K734,0))</f>
        <v/>
      </c>
      <c r="P734" s="27">
        <f>IF($A734="","",SUMIFS(出库单!$J$4:$J$4003,出库单!$D$4:$D$4003,$A734,出库单!$K$4:$K$4003,"自用消耗",出库单!$U$4:$U$4003,"正常",出库单!$C$4:$C$4003,"&gt;="&amp;账期起,出库单!$C$4:$C$4003,"&lt;="&amp;账期止))</f>
        <v/>
      </c>
      <c r="Q734" s="26">
        <f>IF($A734="","",ROUND(SUMIFS(出库单!$S$4:$S$4003,出库单!$D$4:$D$4003,$A734,出库单!$K$4:$K$4003,"自用消耗",出库单!$U$4:$U$4003,"正常",出库单!$C$4:$C$4003,"&gt;="&amp;账期起,出库单!$C$4:$C$4003,"&lt;="&amp;账期止),0))</f>
        <v/>
      </c>
      <c r="R734" s="27">
        <f>IF($A734="","",SUMIFS(出库单!$J$4:$J$4003,出库单!$D$4:$D$4003,$A734,出库单!$K$4:$K$4003,"对外销售",出库单!$U$4:$U$4003,"正常",出库单!$C$4:$C$4003,"&gt;="&amp;账期起,出库单!$C$4:$C$4003,"&lt;="&amp;账期止))</f>
        <v/>
      </c>
      <c r="S734" s="26">
        <f>IF($A734="","",ROUND(SUMIFS(出库单!$S$4:$S$4003,出库单!$D$4:$D$4003,$A734,出库单!$K$4:$K$4003,"对外销售",出库单!$U$4:$U$4003,"正常",出库单!$C$4:$C$4003,"&gt;="&amp;账期起,出库单!$C$4:$C$4003,"&lt;="&amp;账期止),0))</f>
        <v/>
      </c>
      <c r="T734" s="27">
        <f>IF($A734="","",SUMIFS(出库单!$J$4:$J$4003,出库单!$D$4:$D$4003,$A734,出库单!$K$4:$K$4003,"盘亏",出库单!$U$4:$U$4003,"正常",出库单!$C$4:$C$4003,"&gt;="&amp;账期起,出库单!$C$4:$C$4003,"&lt;="&amp;账期止))</f>
        <v/>
      </c>
      <c r="U734" s="26">
        <f>IF($A734="","",ROUND(SUMIFS(出库单!$S$4:$S$4003,出库单!$D$4:$D$4003,$A734,出库单!$K$4:$K$4003,"盘亏",出库单!$U$4:$U$4003,"正常",出库单!$C$4:$C$4003,"&gt;="&amp;账期起,出库单!$C$4:$C$4003,"&lt;="&amp;账期止),0))</f>
        <v/>
      </c>
      <c r="V734" s="27">
        <f>IF($A734="","",SUMIFS(出库单!$J$4:$J$4003,出库单!$D$4:$D$4003,$A734,出库单!$K$4:$K$4003,"退货给供应商",出库单!$U$4:$U$4003,"正常",出库单!$C$4:$C$4003,"&gt;="&amp;账期起,出库单!$C$4:$C$4003,"&lt;="&amp;账期止))</f>
        <v/>
      </c>
      <c r="W734" s="26">
        <f>IF($A734="","",ROUND(SUMIFS(出库单!$S$4:$S$4003,出库单!$D$4:$D$4003,$A734,出库单!$K$4:$K$4003,"退货给供应商",出库单!$U$4:$U$4003,"正常",出库单!$C$4:$C$4003,"&gt;="&amp;账期起,出库单!$C$4:$C$4003,"&lt;="&amp;账期止),0))</f>
        <v/>
      </c>
      <c r="X734" s="27">
        <f>IF($A734="","",ROUND(N($G734)+$I734+$L734+$N734-$P734-$R734-$T734-$V734,3))</f>
        <v/>
      </c>
      <c r="Y734" s="26">
        <f>IF($A734="","",ROUND(N($H734)+$J734+$M734+$O734-$Q734-$S734-$U734-$W734,0))</f>
        <v/>
      </c>
      <c r="Z734" s="24">
        <f>IF($A734="","",IF(COUNTIFS(入库单!$G$4:$G$2503,$A734,入库单!$Y$4:$Y$2503,"待补价")+COUNTIFS(入库单!$G$4:$G$2503,$A734,入库单!$Y$4:$Y$2503,"暂估")&gt;0,"不可信","可信"))</f>
        <v/>
      </c>
      <c r="AA734" s="24">
        <f>IF($A734="","",IF($X734&lt;-0.001,"※账面负库存，查一下是不是漏记入库",IF(AND(ROUND($X734,3)=0,ABS($Y734)&gt;1),"※数量已经是 0，金额还挂着 "&amp;TEXT($Y734,"#,##0")&amp;" 先令",IF(AND($X734&gt;0,$Y734&lt;=0,$K734=0),"※有数量没金额（这个物料一直没填过进价）",IF($Z734="不可信","△成本含待补价/暂估，毛利仅供参考","")))))</f>
        <v/>
      </c>
    </row>
    <row r="735">
      <c r="A735" s="24">
        <f>IF(物料档案!$A734="","",物料档案!$A734)</f>
        <v/>
      </c>
      <c r="B735" s="24">
        <f>IF($A735="","",IFERROR(VLOOKUP($A735,物料档案!$A$4:$P$1203,3,0),""))</f>
        <v/>
      </c>
      <c r="C735" s="24">
        <f>IF($A735="","",IFERROR(VLOOKUP($A735,物料档案!$A$4:$P$1203,4,0),""))</f>
        <v/>
      </c>
      <c r="D735" s="24">
        <f>IF($A735="","",IFERROR(VLOOKUP($A735,物料档案!$A$4:$P$1203,5,0),""))</f>
        <v/>
      </c>
      <c r="E735" s="24">
        <f>IF($A735="","",IFERROR(VLOOKUP($A735,物料档案!$A$4:$P$1203,2,0),""))</f>
        <v/>
      </c>
      <c r="F735" s="24">
        <f>IF($A735="","",IFERROR(VLOOKUP($A735,物料档案!$A$4:$P$1203,6,0),""))</f>
        <v/>
      </c>
      <c r="G735" s="23" t="n"/>
      <c r="H735" s="32" t="n"/>
      <c r="I735" s="27">
        <f>IF($A735="","",SUMIFS(入库单!$K$4:$K$2503,入库单!$G$4:$G$2503,$A735,入库单!$X$4:$X$2503,"采购入库",入库单!$Z$4:$Z$2503,"正常",入库单!$C$4:$C$2503,"&gt;="&amp;账期起,入库单!$C$4:$C$2503,"&lt;="&amp;账期止))</f>
        <v/>
      </c>
      <c r="J735" s="26">
        <f>IF($A735="","",SUMIFS(入库单!$V$4:$V$2503,入库单!$G$4:$G$2503,$A735,入库单!$X$4:$X$2503,"采购入库",入库单!$Z$4:$Z$2503,"正常",入库单!$C$4:$C$2503,"&gt;="&amp;账期起,入库单!$C$4:$C$2503,"&lt;="&amp;账期止))</f>
        <v/>
      </c>
      <c r="K735" s="26">
        <f>IF($A735="","",IFERROR(ROUND((N($H735)+N($J735))/(N($G735)+N($I735)),2),0))</f>
        <v/>
      </c>
      <c r="L735" s="27">
        <f>IF($A735="","",SUMIFS(入库单!$K$4:$K$2503,入库单!$G$4:$G$2503,$A735,入库单!$X$4:$X$2503,"盘盈",入库单!$Z$4:$Z$2503,"正常",入库单!$C$4:$C$2503,"&gt;="&amp;账期起,入库单!$C$4:$C$2503,"&lt;="&amp;账期止))</f>
        <v/>
      </c>
      <c r="M735" s="26">
        <f>IF($A735="","",ROUND($L735*$K735,0))</f>
        <v/>
      </c>
      <c r="N735" s="27">
        <f>IF($A735="","",SUMIFS(入库单!$K$4:$K$2503,入库单!$G$4:$G$2503,$A735,入库单!$X$4:$X$2503,"矿区退库",入库单!$Z$4:$Z$2503,"正常",入库单!$C$4:$C$2503,"&gt;="&amp;账期起,入库单!$C$4:$C$2503,"&lt;="&amp;账期止))</f>
        <v/>
      </c>
      <c r="O735" s="26">
        <f>IF($A735="","",ROUND($N735*$K735,0))</f>
        <v/>
      </c>
      <c r="P735" s="27">
        <f>IF($A735="","",SUMIFS(出库单!$J$4:$J$4003,出库单!$D$4:$D$4003,$A735,出库单!$K$4:$K$4003,"自用消耗",出库单!$U$4:$U$4003,"正常",出库单!$C$4:$C$4003,"&gt;="&amp;账期起,出库单!$C$4:$C$4003,"&lt;="&amp;账期止))</f>
        <v/>
      </c>
      <c r="Q735" s="26">
        <f>IF($A735="","",ROUND(SUMIFS(出库单!$S$4:$S$4003,出库单!$D$4:$D$4003,$A735,出库单!$K$4:$K$4003,"自用消耗",出库单!$U$4:$U$4003,"正常",出库单!$C$4:$C$4003,"&gt;="&amp;账期起,出库单!$C$4:$C$4003,"&lt;="&amp;账期止),0))</f>
        <v/>
      </c>
      <c r="R735" s="27">
        <f>IF($A735="","",SUMIFS(出库单!$J$4:$J$4003,出库单!$D$4:$D$4003,$A735,出库单!$K$4:$K$4003,"对外销售",出库单!$U$4:$U$4003,"正常",出库单!$C$4:$C$4003,"&gt;="&amp;账期起,出库单!$C$4:$C$4003,"&lt;="&amp;账期止))</f>
        <v/>
      </c>
      <c r="S735" s="26">
        <f>IF($A735="","",ROUND(SUMIFS(出库单!$S$4:$S$4003,出库单!$D$4:$D$4003,$A735,出库单!$K$4:$K$4003,"对外销售",出库单!$U$4:$U$4003,"正常",出库单!$C$4:$C$4003,"&gt;="&amp;账期起,出库单!$C$4:$C$4003,"&lt;="&amp;账期止),0))</f>
        <v/>
      </c>
      <c r="T735" s="27">
        <f>IF($A735="","",SUMIFS(出库单!$J$4:$J$4003,出库单!$D$4:$D$4003,$A735,出库单!$K$4:$K$4003,"盘亏",出库单!$U$4:$U$4003,"正常",出库单!$C$4:$C$4003,"&gt;="&amp;账期起,出库单!$C$4:$C$4003,"&lt;="&amp;账期止))</f>
        <v/>
      </c>
      <c r="U735" s="26">
        <f>IF($A735="","",ROUND(SUMIFS(出库单!$S$4:$S$4003,出库单!$D$4:$D$4003,$A735,出库单!$K$4:$K$4003,"盘亏",出库单!$U$4:$U$4003,"正常",出库单!$C$4:$C$4003,"&gt;="&amp;账期起,出库单!$C$4:$C$4003,"&lt;="&amp;账期止),0))</f>
        <v/>
      </c>
      <c r="V735" s="27">
        <f>IF($A735="","",SUMIFS(出库单!$J$4:$J$4003,出库单!$D$4:$D$4003,$A735,出库单!$K$4:$K$4003,"退货给供应商",出库单!$U$4:$U$4003,"正常",出库单!$C$4:$C$4003,"&gt;="&amp;账期起,出库单!$C$4:$C$4003,"&lt;="&amp;账期止))</f>
        <v/>
      </c>
      <c r="W735" s="26">
        <f>IF($A735="","",ROUND(SUMIFS(出库单!$S$4:$S$4003,出库单!$D$4:$D$4003,$A735,出库单!$K$4:$K$4003,"退货给供应商",出库单!$U$4:$U$4003,"正常",出库单!$C$4:$C$4003,"&gt;="&amp;账期起,出库单!$C$4:$C$4003,"&lt;="&amp;账期止),0))</f>
        <v/>
      </c>
      <c r="X735" s="27">
        <f>IF($A735="","",ROUND(N($G735)+$I735+$L735+$N735-$P735-$R735-$T735-$V735,3))</f>
        <v/>
      </c>
      <c r="Y735" s="26">
        <f>IF($A735="","",ROUND(N($H735)+$J735+$M735+$O735-$Q735-$S735-$U735-$W735,0))</f>
        <v/>
      </c>
      <c r="Z735" s="24">
        <f>IF($A735="","",IF(COUNTIFS(入库单!$G$4:$G$2503,$A735,入库单!$Y$4:$Y$2503,"待补价")+COUNTIFS(入库单!$G$4:$G$2503,$A735,入库单!$Y$4:$Y$2503,"暂估")&gt;0,"不可信","可信"))</f>
        <v/>
      </c>
      <c r="AA735" s="24">
        <f>IF($A735="","",IF($X735&lt;-0.001,"※账面负库存，查一下是不是漏记入库",IF(AND(ROUND($X735,3)=0,ABS($Y735)&gt;1),"※数量已经是 0，金额还挂着 "&amp;TEXT($Y735,"#,##0")&amp;" 先令",IF(AND($X735&gt;0,$Y735&lt;=0,$K735=0),"※有数量没金额（这个物料一直没填过进价）",IF($Z735="不可信","△成本含待补价/暂估，毛利仅供参考","")))))</f>
        <v/>
      </c>
    </row>
    <row r="736">
      <c r="A736" s="24">
        <f>IF(物料档案!$A735="","",物料档案!$A735)</f>
        <v/>
      </c>
      <c r="B736" s="24">
        <f>IF($A736="","",IFERROR(VLOOKUP($A736,物料档案!$A$4:$P$1203,3,0),""))</f>
        <v/>
      </c>
      <c r="C736" s="24">
        <f>IF($A736="","",IFERROR(VLOOKUP($A736,物料档案!$A$4:$P$1203,4,0),""))</f>
        <v/>
      </c>
      <c r="D736" s="24">
        <f>IF($A736="","",IFERROR(VLOOKUP($A736,物料档案!$A$4:$P$1203,5,0),""))</f>
        <v/>
      </c>
      <c r="E736" s="24">
        <f>IF($A736="","",IFERROR(VLOOKUP($A736,物料档案!$A$4:$P$1203,2,0),""))</f>
        <v/>
      </c>
      <c r="F736" s="24">
        <f>IF($A736="","",IFERROR(VLOOKUP($A736,物料档案!$A$4:$P$1203,6,0),""))</f>
        <v/>
      </c>
      <c r="G736" s="23" t="n"/>
      <c r="H736" s="32" t="n"/>
      <c r="I736" s="27">
        <f>IF($A736="","",SUMIFS(入库单!$K$4:$K$2503,入库单!$G$4:$G$2503,$A736,入库单!$X$4:$X$2503,"采购入库",入库单!$Z$4:$Z$2503,"正常",入库单!$C$4:$C$2503,"&gt;="&amp;账期起,入库单!$C$4:$C$2503,"&lt;="&amp;账期止))</f>
        <v/>
      </c>
      <c r="J736" s="26">
        <f>IF($A736="","",SUMIFS(入库单!$V$4:$V$2503,入库单!$G$4:$G$2503,$A736,入库单!$X$4:$X$2503,"采购入库",入库单!$Z$4:$Z$2503,"正常",入库单!$C$4:$C$2503,"&gt;="&amp;账期起,入库单!$C$4:$C$2503,"&lt;="&amp;账期止))</f>
        <v/>
      </c>
      <c r="K736" s="26">
        <f>IF($A736="","",IFERROR(ROUND((N($H736)+N($J736))/(N($G736)+N($I736)),2),0))</f>
        <v/>
      </c>
      <c r="L736" s="27">
        <f>IF($A736="","",SUMIFS(入库单!$K$4:$K$2503,入库单!$G$4:$G$2503,$A736,入库单!$X$4:$X$2503,"盘盈",入库单!$Z$4:$Z$2503,"正常",入库单!$C$4:$C$2503,"&gt;="&amp;账期起,入库单!$C$4:$C$2503,"&lt;="&amp;账期止))</f>
        <v/>
      </c>
      <c r="M736" s="26">
        <f>IF($A736="","",ROUND($L736*$K736,0))</f>
        <v/>
      </c>
      <c r="N736" s="27">
        <f>IF($A736="","",SUMIFS(入库单!$K$4:$K$2503,入库单!$G$4:$G$2503,$A736,入库单!$X$4:$X$2503,"矿区退库",入库单!$Z$4:$Z$2503,"正常",入库单!$C$4:$C$2503,"&gt;="&amp;账期起,入库单!$C$4:$C$2503,"&lt;="&amp;账期止))</f>
        <v/>
      </c>
      <c r="O736" s="26">
        <f>IF($A736="","",ROUND($N736*$K736,0))</f>
        <v/>
      </c>
      <c r="P736" s="27">
        <f>IF($A736="","",SUMIFS(出库单!$J$4:$J$4003,出库单!$D$4:$D$4003,$A736,出库单!$K$4:$K$4003,"自用消耗",出库单!$U$4:$U$4003,"正常",出库单!$C$4:$C$4003,"&gt;="&amp;账期起,出库单!$C$4:$C$4003,"&lt;="&amp;账期止))</f>
        <v/>
      </c>
      <c r="Q736" s="26">
        <f>IF($A736="","",ROUND(SUMIFS(出库单!$S$4:$S$4003,出库单!$D$4:$D$4003,$A736,出库单!$K$4:$K$4003,"自用消耗",出库单!$U$4:$U$4003,"正常",出库单!$C$4:$C$4003,"&gt;="&amp;账期起,出库单!$C$4:$C$4003,"&lt;="&amp;账期止),0))</f>
        <v/>
      </c>
      <c r="R736" s="27">
        <f>IF($A736="","",SUMIFS(出库单!$J$4:$J$4003,出库单!$D$4:$D$4003,$A736,出库单!$K$4:$K$4003,"对外销售",出库单!$U$4:$U$4003,"正常",出库单!$C$4:$C$4003,"&gt;="&amp;账期起,出库单!$C$4:$C$4003,"&lt;="&amp;账期止))</f>
        <v/>
      </c>
      <c r="S736" s="26">
        <f>IF($A736="","",ROUND(SUMIFS(出库单!$S$4:$S$4003,出库单!$D$4:$D$4003,$A736,出库单!$K$4:$K$4003,"对外销售",出库单!$U$4:$U$4003,"正常",出库单!$C$4:$C$4003,"&gt;="&amp;账期起,出库单!$C$4:$C$4003,"&lt;="&amp;账期止),0))</f>
        <v/>
      </c>
      <c r="T736" s="27">
        <f>IF($A736="","",SUMIFS(出库单!$J$4:$J$4003,出库单!$D$4:$D$4003,$A736,出库单!$K$4:$K$4003,"盘亏",出库单!$U$4:$U$4003,"正常",出库单!$C$4:$C$4003,"&gt;="&amp;账期起,出库单!$C$4:$C$4003,"&lt;="&amp;账期止))</f>
        <v/>
      </c>
      <c r="U736" s="26">
        <f>IF($A736="","",ROUND(SUMIFS(出库单!$S$4:$S$4003,出库单!$D$4:$D$4003,$A736,出库单!$K$4:$K$4003,"盘亏",出库单!$U$4:$U$4003,"正常",出库单!$C$4:$C$4003,"&gt;="&amp;账期起,出库单!$C$4:$C$4003,"&lt;="&amp;账期止),0))</f>
        <v/>
      </c>
      <c r="V736" s="27">
        <f>IF($A736="","",SUMIFS(出库单!$J$4:$J$4003,出库单!$D$4:$D$4003,$A736,出库单!$K$4:$K$4003,"退货给供应商",出库单!$U$4:$U$4003,"正常",出库单!$C$4:$C$4003,"&gt;="&amp;账期起,出库单!$C$4:$C$4003,"&lt;="&amp;账期止))</f>
        <v/>
      </c>
      <c r="W736" s="26">
        <f>IF($A736="","",ROUND(SUMIFS(出库单!$S$4:$S$4003,出库单!$D$4:$D$4003,$A736,出库单!$K$4:$K$4003,"退货给供应商",出库单!$U$4:$U$4003,"正常",出库单!$C$4:$C$4003,"&gt;="&amp;账期起,出库单!$C$4:$C$4003,"&lt;="&amp;账期止),0))</f>
        <v/>
      </c>
      <c r="X736" s="27">
        <f>IF($A736="","",ROUND(N($G736)+$I736+$L736+$N736-$P736-$R736-$T736-$V736,3))</f>
        <v/>
      </c>
      <c r="Y736" s="26">
        <f>IF($A736="","",ROUND(N($H736)+$J736+$M736+$O736-$Q736-$S736-$U736-$W736,0))</f>
        <v/>
      </c>
      <c r="Z736" s="24">
        <f>IF($A736="","",IF(COUNTIFS(入库单!$G$4:$G$2503,$A736,入库单!$Y$4:$Y$2503,"待补价")+COUNTIFS(入库单!$G$4:$G$2503,$A736,入库单!$Y$4:$Y$2503,"暂估")&gt;0,"不可信","可信"))</f>
        <v/>
      </c>
      <c r="AA736" s="24">
        <f>IF($A736="","",IF($X736&lt;-0.001,"※账面负库存，查一下是不是漏记入库",IF(AND(ROUND($X736,3)=0,ABS($Y736)&gt;1),"※数量已经是 0，金额还挂着 "&amp;TEXT($Y736,"#,##0")&amp;" 先令",IF(AND($X736&gt;0,$Y736&lt;=0,$K736=0),"※有数量没金额（这个物料一直没填过进价）",IF($Z736="不可信","△成本含待补价/暂估，毛利仅供参考","")))))</f>
        <v/>
      </c>
    </row>
    <row r="737">
      <c r="A737" s="24">
        <f>IF(物料档案!$A736="","",物料档案!$A736)</f>
        <v/>
      </c>
      <c r="B737" s="24">
        <f>IF($A737="","",IFERROR(VLOOKUP($A737,物料档案!$A$4:$P$1203,3,0),""))</f>
        <v/>
      </c>
      <c r="C737" s="24">
        <f>IF($A737="","",IFERROR(VLOOKUP($A737,物料档案!$A$4:$P$1203,4,0),""))</f>
        <v/>
      </c>
      <c r="D737" s="24">
        <f>IF($A737="","",IFERROR(VLOOKUP($A737,物料档案!$A$4:$P$1203,5,0),""))</f>
        <v/>
      </c>
      <c r="E737" s="24">
        <f>IF($A737="","",IFERROR(VLOOKUP($A737,物料档案!$A$4:$P$1203,2,0),""))</f>
        <v/>
      </c>
      <c r="F737" s="24">
        <f>IF($A737="","",IFERROR(VLOOKUP($A737,物料档案!$A$4:$P$1203,6,0),""))</f>
        <v/>
      </c>
      <c r="G737" s="23" t="n"/>
      <c r="H737" s="32" t="n"/>
      <c r="I737" s="27">
        <f>IF($A737="","",SUMIFS(入库单!$K$4:$K$2503,入库单!$G$4:$G$2503,$A737,入库单!$X$4:$X$2503,"采购入库",入库单!$Z$4:$Z$2503,"正常",入库单!$C$4:$C$2503,"&gt;="&amp;账期起,入库单!$C$4:$C$2503,"&lt;="&amp;账期止))</f>
        <v/>
      </c>
      <c r="J737" s="26">
        <f>IF($A737="","",SUMIFS(入库单!$V$4:$V$2503,入库单!$G$4:$G$2503,$A737,入库单!$X$4:$X$2503,"采购入库",入库单!$Z$4:$Z$2503,"正常",入库单!$C$4:$C$2503,"&gt;="&amp;账期起,入库单!$C$4:$C$2503,"&lt;="&amp;账期止))</f>
        <v/>
      </c>
      <c r="K737" s="26">
        <f>IF($A737="","",IFERROR(ROUND((N($H737)+N($J737))/(N($G737)+N($I737)),2),0))</f>
        <v/>
      </c>
      <c r="L737" s="27">
        <f>IF($A737="","",SUMIFS(入库单!$K$4:$K$2503,入库单!$G$4:$G$2503,$A737,入库单!$X$4:$X$2503,"盘盈",入库单!$Z$4:$Z$2503,"正常",入库单!$C$4:$C$2503,"&gt;="&amp;账期起,入库单!$C$4:$C$2503,"&lt;="&amp;账期止))</f>
        <v/>
      </c>
      <c r="M737" s="26">
        <f>IF($A737="","",ROUND($L737*$K737,0))</f>
        <v/>
      </c>
      <c r="N737" s="27">
        <f>IF($A737="","",SUMIFS(入库单!$K$4:$K$2503,入库单!$G$4:$G$2503,$A737,入库单!$X$4:$X$2503,"矿区退库",入库单!$Z$4:$Z$2503,"正常",入库单!$C$4:$C$2503,"&gt;="&amp;账期起,入库单!$C$4:$C$2503,"&lt;="&amp;账期止))</f>
        <v/>
      </c>
      <c r="O737" s="26">
        <f>IF($A737="","",ROUND($N737*$K737,0))</f>
        <v/>
      </c>
      <c r="P737" s="27">
        <f>IF($A737="","",SUMIFS(出库单!$J$4:$J$4003,出库单!$D$4:$D$4003,$A737,出库单!$K$4:$K$4003,"自用消耗",出库单!$U$4:$U$4003,"正常",出库单!$C$4:$C$4003,"&gt;="&amp;账期起,出库单!$C$4:$C$4003,"&lt;="&amp;账期止))</f>
        <v/>
      </c>
      <c r="Q737" s="26">
        <f>IF($A737="","",ROUND(SUMIFS(出库单!$S$4:$S$4003,出库单!$D$4:$D$4003,$A737,出库单!$K$4:$K$4003,"自用消耗",出库单!$U$4:$U$4003,"正常",出库单!$C$4:$C$4003,"&gt;="&amp;账期起,出库单!$C$4:$C$4003,"&lt;="&amp;账期止),0))</f>
        <v/>
      </c>
      <c r="R737" s="27">
        <f>IF($A737="","",SUMIFS(出库单!$J$4:$J$4003,出库单!$D$4:$D$4003,$A737,出库单!$K$4:$K$4003,"对外销售",出库单!$U$4:$U$4003,"正常",出库单!$C$4:$C$4003,"&gt;="&amp;账期起,出库单!$C$4:$C$4003,"&lt;="&amp;账期止))</f>
        <v/>
      </c>
      <c r="S737" s="26">
        <f>IF($A737="","",ROUND(SUMIFS(出库单!$S$4:$S$4003,出库单!$D$4:$D$4003,$A737,出库单!$K$4:$K$4003,"对外销售",出库单!$U$4:$U$4003,"正常",出库单!$C$4:$C$4003,"&gt;="&amp;账期起,出库单!$C$4:$C$4003,"&lt;="&amp;账期止),0))</f>
        <v/>
      </c>
      <c r="T737" s="27">
        <f>IF($A737="","",SUMIFS(出库单!$J$4:$J$4003,出库单!$D$4:$D$4003,$A737,出库单!$K$4:$K$4003,"盘亏",出库单!$U$4:$U$4003,"正常",出库单!$C$4:$C$4003,"&gt;="&amp;账期起,出库单!$C$4:$C$4003,"&lt;="&amp;账期止))</f>
        <v/>
      </c>
      <c r="U737" s="26">
        <f>IF($A737="","",ROUND(SUMIFS(出库单!$S$4:$S$4003,出库单!$D$4:$D$4003,$A737,出库单!$K$4:$K$4003,"盘亏",出库单!$U$4:$U$4003,"正常",出库单!$C$4:$C$4003,"&gt;="&amp;账期起,出库单!$C$4:$C$4003,"&lt;="&amp;账期止),0))</f>
        <v/>
      </c>
      <c r="V737" s="27">
        <f>IF($A737="","",SUMIFS(出库单!$J$4:$J$4003,出库单!$D$4:$D$4003,$A737,出库单!$K$4:$K$4003,"退货给供应商",出库单!$U$4:$U$4003,"正常",出库单!$C$4:$C$4003,"&gt;="&amp;账期起,出库单!$C$4:$C$4003,"&lt;="&amp;账期止))</f>
        <v/>
      </c>
      <c r="W737" s="26">
        <f>IF($A737="","",ROUND(SUMIFS(出库单!$S$4:$S$4003,出库单!$D$4:$D$4003,$A737,出库单!$K$4:$K$4003,"退货给供应商",出库单!$U$4:$U$4003,"正常",出库单!$C$4:$C$4003,"&gt;="&amp;账期起,出库单!$C$4:$C$4003,"&lt;="&amp;账期止),0))</f>
        <v/>
      </c>
      <c r="X737" s="27">
        <f>IF($A737="","",ROUND(N($G737)+$I737+$L737+$N737-$P737-$R737-$T737-$V737,3))</f>
        <v/>
      </c>
      <c r="Y737" s="26">
        <f>IF($A737="","",ROUND(N($H737)+$J737+$M737+$O737-$Q737-$S737-$U737-$W737,0))</f>
        <v/>
      </c>
      <c r="Z737" s="24">
        <f>IF($A737="","",IF(COUNTIFS(入库单!$G$4:$G$2503,$A737,入库单!$Y$4:$Y$2503,"待补价")+COUNTIFS(入库单!$G$4:$G$2503,$A737,入库单!$Y$4:$Y$2503,"暂估")&gt;0,"不可信","可信"))</f>
        <v/>
      </c>
      <c r="AA737" s="24">
        <f>IF($A737="","",IF($X737&lt;-0.001,"※账面负库存，查一下是不是漏记入库",IF(AND(ROUND($X737,3)=0,ABS($Y737)&gt;1),"※数量已经是 0，金额还挂着 "&amp;TEXT($Y737,"#,##0")&amp;" 先令",IF(AND($X737&gt;0,$Y737&lt;=0,$K737=0),"※有数量没金额（这个物料一直没填过进价）",IF($Z737="不可信","△成本含待补价/暂估，毛利仅供参考","")))))</f>
        <v/>
      </c>
    </row>
    <row r="738">
      <c r="A738" s="24">
        <f>IF(物料档案!$A737="","",物料档案!$A737)</f>
        <v/>
      </c>
      <c r="B738" s="24">
        <f>IF($A738="","",IFERROR(VLOOKUP($A738,物料档案!$A$4:$P$1203,3,0),""))</f>
        <v/>
      </c>
      <c r="C738" s="24">
        <f>IF($A738="","",IFERROR(VLOOKUP($A738,物料档案!$A$4:$P$1203,4,0),""))</f>
        <v/>
      </c>
      <c r="D738" s="24">
        <f>IF($A738="","",IFERROR(VLOOKUP($A738,物料档案!$A$4:$P$1203,5,0),""))</f>
        <v/>
      </c>
      <c r="E738" s="24">
        <f>IF($A738="","",IFERROR(VLOOKUP($A738,物料档案!$A$4:$P$1203,2,0),""))</f>
        <v/>
      </c>
      <c r="F738" s="24">
        <f>IF($A738="","",IFERROR(VLOOKUP($A738,物料档案!$A$4:$P$1203,6,0),""))</f>
        <v/>
      </c>
      <c r="G738" s="23" t="n"/>
      <c r="H738" s="32" t="n"/>
      <c r="I738" s="27">
        <f>IF($A738="","",SUMIFS(入库单!$K$4:$K$2503,入库单!$G$4:$G$2503,$A738,入库单!$X$4:$X$2503,"采购入库",入库单!$Z$4:$Z$2503,"正常",入库单!$C$4:$C$2503,"&gt;="&amp;账期起,入库单!$C$4:$C$2503,"&lt;="&amp;账期止))</f>
        <v/>
      </c>
      <c r="J738" s="26">
        <f>IF($A738="","",SUMIFS(入库单!$V$4:$V$2503,入库单!$G$4:$G$2503,$A738,入库单!$X$4:$X$2503,"采购入库",入库单!$Z$4:$Z$2503,"正常",入库单!$C$4:$C$2503,"&gt;="&amp;账期起,入库单!$C$4:$C$2503,"&lt;="&amp;账期止))</f>
        <v/>
      </c>
      <c r="K738" s="26">
        <f>IF($A738="","",IFERROR(ROUND((N($H738)+N($J738))/(N($G738)+N($I738)),2),0))</f>
        <v/>
      </c>
      <c r="L738" s="27">
        <f>IF($A738="","",SUMIFS(入库单!$K$4:$K$2503,入库单!$G$4:$G$2503,$A738,入库单!$X$4:$X$2503,"盘盈",入库单!$Z$4:$Z$2503,"正常",入库单!$C$4:$C$2503,"&gt;="&amp;账期起,入库单!$C$4:$C$2503,"&lt;="&amp;账期止))</f>
        <v/>
      </c>
      <c r="M738" s="26">
        <f>IF($A738="","",ROUND($L738*$K738,0))</f>
        <v/>
      </c>
      <c r="N738" s="27">
        <f>IF($A738="","",SUMIFS(入库单!$K$4:$K$2503,入库单!$G$4:$G$2503,$A738,入库单!$X$4:$X$2503,"矿区退库",入库单!$Z$4:$Z$2503,"正常",入库单!$C$4:$C$2503,"&gt;="&amp;账期起,入库单!$C$4:$C$2503,"&lt;="&amp;账期止))</f>
        <v/>
      </c>
      <c r="O738" s="26">
        <f>IF($A738="","",ROUND($N738*$K738,0))</f>
        <v/>
      </c>
      <c r="P738" s="27">
        <f>IF($A738="","",SUMIFS(出库单!$J$4:$J$4003,出库单!$D$4:$D$4003,$A738,出库单!$K$4:$K$4003,"自用消耗",出库单!$U$4:$U$4003,"正常",出库单!$C$4:$C$4003,"&gt;="&amp;账期起,出库单!$C$4:$C$4003,"&lt;="&amp;账期止))</f>
        <v/>
      </c>
      <c r="Q738" s="26">
        <f>IF($A738="","",ROUND(SUMIFS(出库单!$S$4:$S$4003,出库单!$D$4:$D$4003,$A738,出库单!$K$4:$K$4003,"自用消耗",出库单!$U$4:$U$4003,"正常",出库单!$C$4:$C$4003,"&gt;="&amp;账期起,出库单!$C$4:$C$4003,"&lt;="&amp;账期止),0))</f>
        <v/>
      </c>
      <c r="R738" s="27">
        <f>IF($A738="","",SUMIFS(出库单!$J$4:$J$4003,出库单!$D$4:$D$4003,$A738,出库单!$K$4:$K$4003,"对外销售",出库单!$U$4:$U$4003,"正常",出库单!$C$4:$C$4003,"&gt;="&amp;账期起,出库单!$C$4:$C$4003,"&lt;="&amp;账期止))</f>
        <v/>
      </c>
      <c r="S738" s="26">
        <f>IF($A738="","",ROUND(SUMIFS(出库单!$S$4:$S$4003,出库单!$D$4:$D$4003,$A738,出库单!$K$4:$K$4003,"对外销售",出库单!$U$4:$U$4003,"正常",出库单!$C$4:$C$4003,"&gt;="&amp;账期起,出库单!$C$4:$C$4003,"&lt;="&amp;账期止),0))</f>
        <v/>
      </c>
      <c r="T738" s="27">
        <f>IF($A738="","",SUMIFS(出库单!$J$4:$J$4003,出库单!$D$4:$D$4003,$A738,出库单!$K$4:$K$4003,"盘亏",出库单!$U$4:$U$4003,"正常",出库单!$C$4:$C$4003,"&gt;="&amp;账期起,出库单!$C$4:$C$4003,"&lt;="&amp;账期止))</f>
        <v/>
      </c>
      <c r="U738" s="26">
        <f>IF($A738="","",ROUND(SUMIFS(出库单!$S$4:$S$4003,出库单!$D$4:$D$4003,$A738,出库单!$K$4:$K$4003,"盘亏",出库单!$U$4:$U$4003,"正常",出库单!$C$4:$C$4003,"&gt;="&amp;账期起,出库单!$C$4:$C$4003,"&lt;="&amp;账期止),0))</f>
        <v/>
      </c>
      <c r="V738" s="27">
        <f>IF($A738="","",SUMIFS(出库单!$J$4:$J$4003,出库单!$D$4:$D$4003,$A738,出库单!$K$4:$K$4003,"退货给供应商",出库单!$U$4:$U$4003,"正常",出库单!$C$4:$C$4003,"&gt;="&amp;账期起,出库单!$C$4:$C$4003,"&lt;="&amp;账期止))</f>
        <v/>
      </c>
      <c r="W738" s="26">
        <f>IF($A738="","",ROUND(SUMIFS(出库单!$S$4:$S$4003,出库单!$D$4:$D$4003,$A738,出库单!$K$4:$K$4003,"退货给供应商",出库单!$U$4:$U$4003,"正常",出库单!$C$4:$C$4003,"&gt;="&amp;账期起,出库单!$C$4:$C$4003,"&lt;="&amp;账期止),0))</f>
        <v/>
      </c>
      <c r="X738" s="27">
        <f>IF($A738="","",ROUND(N($G738)+$I738+$L738+$N738-$P738-$R738-$T738-$V738,3))</f>
        <v/>
      </c>
      <c r="Y738" s="26">
        <f>IF($A738="","",ROUND(N($H738)+$J738+$M738+$O738-$Q738-$S738-$U738-$W738,0))</f>
        <v/>
      </c>
      <c r="Z738" s="24">
        <f>IF($A738="","",IF(COUNTIFS(入库单!$G$4:$G$2503,$A738,入库单!$Y$4:$Y$2503,"待补价")+COUNTIFS(入库单!$G$4:$G$2503,$A738,入库单!$Y$4:$Y$2503,"暂估")&gt;0,"不可信","可信"))</f>
        <v/>
      </c>
      <c r="AA738" s="24">
        <f>IF($A738="","",IF($X738&lt;-0.001,"※账面负库存，查一下是不是漏记入库",IF(AND(ROUND($X738,3)=0,ABS($Y738)&gt;1),"※数量已经是 0，金额还挂着 "&amp;TEXT($Y738,"#,##0")&amp;" 先令",IF(AND($X738&gt;0,$Y738&lt;=0,$K738=0),"※有数量没金额（这个物料一直没填过进价）",IF($Z738="不可信","△成本含待补价/暂估，毛利仅供参考","")))))</f>
        <v/>
      </c>
    </row>
    <row r="739">
      <c r="A739" s="24">
        <f>IF(物料档案!$A738="","",物料档案!$A738)</f>
        <v/>
      </c>
      <c r="B739" s="24">
        <f>IF($A739="","",IFERROR(VLOOKUP($A739,物料档案!$A$4:$P$1203,3,0),""))</f>
        <v/>
      </c>
      <c r="C739" s="24">
        <f>IF($A739="","",IFERROR(VLOOKUP($A739,物料档案!$A$4:$P$1203,4,0),""))</f>
        <v/>
      </c>
      <c r="D739" s="24">
        <f>IF($A739="","",IFERROR(VLOOKUP($A739,物料档案!$A$4:$P$1203,5,0),""))</f>
        <v/>
      </c>
      <c r="E739" s="24">
        <f>IF($A739="","",IFERROR(VLOOKUP($A739,物料档案!$A$4:$P$1203,2,0),""))</f>
        <v/>
      </c>
      <c r="F739" s="24">
        <f>IF($A739="","",IFERROR(VLOOKUP($A739,物料档案!$A$4:$P$1203,6,0),""))</f>
        <v/>
      </c>
      <c r="G739" s="23" t="n"/>
      <c r="H739" s="32" t="n"/>
      <c r="I739" s="27">
        <f>IF($A739="","",SUMIFS(入库单!$K$4:$K$2503,入库单!$G$4:$G$2503,$A739,入库单!$X$4:$X$2503,"采购入库",入库单!$Z$4:$Z$2503,"正常",入库单!$C$4:$C$2503,"&gt;="&amp;账期起,入库单!$C$4:$C$2503,"&lt;="&amp;账期止))</f>
        <v/>
      </c>
      <c r="J739" s="26">
        <f>IF($A739="","",SUMIFS(入库单!$V$4:$V$2503,入库单!$G$4:$G$2503,$A739,入库单!$X$4:$X$2503,"采购入库",入库单!$Z$4:$Z$2503,"正常",入库单!$C$4:$C$2503,"&gt;="&amp;账期起,入库单!$C$4:$C$2503,"&lt;="&amp;账期止))</f>
        <v/>
      </c>
      <c r="K739" s="26">
        <f>IF($A739="","",IFERROR(ROUND((N($H739)+N($J739))/(N($G739)+N($I739)),2),0))</f>
        <v/>
      </c>
      <c r="L739" s="27">
        <f>IF($A739="","",SUMIFS(入库单!$K$4:$K$2503,入库单!$G$4:$G$2503,$A739,入库单!$X$4:$X$2503,"盘盈",入库单!$Z$4:$Z$2503,"正常",入库单!$C$4:$C$2503,"&gt;="&amp;账期起,入库单!$C$4:$C$2503,"&lt;="&amp;账期止))</f>
        <v/>
      </c>
      <c r="M739" s="26">
        <f>IF($A739="","",ROUND($L739*$K739,0))</f>
        <v/>
      </c>
      <c r="N739" s="27">
        <f>IF($A739="","",SUMIFS(入库单!$K$4:$K$2503,入库单!$G$4:$G$2503,$A739,入库单!$X$4:$X$2503,"矿区退库",入库单!$Z$4:$Z$2503,"正常",入库单!$C$4:$C$2503,"&gt;="&amp;账期起,入库单!$C$4:$C$2503,"&lt;="&amp;账期止))</f>
        <v/>
      </c>
      <c r="O739" s="26">
        <f>IF($A739="","",ROUND($N739*$K739,0))</f>
        <v/>
      </c>
      <c r="P739" s="27">
        <f>IF($A739="","",SUMIFS(出库单!$J$4:$J$4003,出库单!$D$4:$D$4003,$A739,出库单!$K$4:$K$4003,"自用消耗",出库单!$U$4:$U$4003,"正常",出库单!$C$4:$C$4003,"&gt;="&amp;账期起,出库单!$C$4:$C$4003,"&lt;="&amp;账期止))</f>
        <v/>
      </c>
      <c r="Q739" s="26">
        <f>IF($A739="","",ROUND(SUMIFS(出库单!$S$4:$S$4003,出库单!$D$4:$D$4003,$A739,出库单!$K$4:$K$4003,"自用消耗",出库单!$U$4:$U$4003,"正常",出库单!$C$4:$C$4003,"&gt;="&amp;账期起,出库单!$C$4:$C$4003,"&lt;="&amp;账期止),0))</f>
        <v/>
      </c>
      <c r="R739" s="27">
        <f>IF($A739="","",SUMIFS(出库单!$J$4:$J$4003,出库单!$D$4:$D$4003,$A739,出库单!$K$4:$K$4003,"对外销售",出库单!$U$4:$U$4003,"正常",出库单!$C$4:$C$4003,"&gt;="&amp;账期起,出库单!$C$4:$C$4003,"&lt;="&amp;账期止))</f>
        <v/>
      </c>
      <c r="S739" s="26">
        <f>IF($A739="","",ROUND(SUMIFS(出库单!$S$4:$S$4003,出库单!$D$4:$D$4003,$A739,出库单!$K$4:$K$4003,"对外销售",出库单!$U$4:$U$4003,"正常",出库单!$C$4:$C$4003,"&gt;="&amp;账期起,出库单!$C$4:$C$4003,"&lt;="&amp;账期止),0))</f>
        <v/>
      </c>
      <c r="T739" s="27">
        <f>IF($A739="","",SUMIFS(出库单!$J$4:$J$4003,出库单!$D$4:$D$4003,$A739,出库单!$K$4:$K$4003,"盘亏",出库单!$U$4:$U$4003,"正常",出库单!$C$4:$C$4003,"&gt;="&amp;账期起,出库单!$C$4:$C$4003,"&lt;="&amp;账期止))</f>
        <v/>
      </c>
      <c r="U739" s="26">
        <f>IF($A739="","",ROUND(SUMIFS(出库单!$S$4:$S$4003,出库单!$D$4:$D$4003,$A739,出库单!$K$4:$K$4003,"盘亏",出库单!$U$4:$U$4003,"正常",出库单!$C$4:$C$4003,"&gt;="&amp;账期起,出库单!$C$4:$C$4003,"&lt;="&amp;账期止),0))</f>
        <v/>
      </c>
      <c r="V739" s="27">
        <f>IF($A739="","",SUMIFS(出库单!$J$4:$J$4003,出库单!$D$4:$D$4003,$A739,出库单!$K$4:$K$4003,"退货给供应商",出库单!$U$4:$U$4003,"正常",出库单!$C$4:$C$4003,"&gt;="&amp;账期起,出库单!$C$4:$C$4003,"&lt;="&amp;账期止))</f>
        <v/>
      </c>
      <c r="W739" s="26">
        <f>IF($A739="","",ROUND(SUMIFS(出库单!$S$4:$S$4003,出库单!$D$4:$D$4003,$A739,出库单!$K$4:$K$4003,"退货给供应商",出库单!$U$4:$U$4003,"正常",出库单!$C$4:$C$4003,"&gt;="&amp;账期起,出库单!$C$4:$C$4003,"&lt;="&amp;账期止),0))</f>
        <v/>
      </c>
      <c r="X739" s="27">
        <f>IF($A739="","",ROUND(N($G739)+$I739+$L739+$N739-$P739-$R739-$T739-$V739,3))</f>
        <v/>
      </c>
      <c r="Y739" s="26">
        <f>IF($A739="","",ROUND(N($H739)+$J739+$M739+$O739-$Q739-$S739-$U739-$W739,0))</f>
        <v/>
      </c>
      <c r="Z739" s="24">
        <f>IF($A739="","",IF(COUNTIFS(入库单!$G$4:$G$2503,$A739,入库单!$Y$4:$Y$2503,"待补价")+COUNTIFS(入库单!$G$4:$G$2503,$A739,入库单!$Y$4:$Y$2503,"暂估")&gt;0,"不可信","可信"))</f>
        <v/>
      </c>
      <c r="AA739" s="24">
        <f>IF($A739="","",IF($X739&lt;-0.001,"※账面负库存，查一下是不是漏记入库",IF(AND(ROUND($X739,3)=0,ABS($Y739)&gt;1),"※数量已经是 0，金额还挂着 "&amp;TEXT($Y739,"#,##0")&amp;" 先令",IF(AND($X739&gt;0,$Y739&lt;=0,$K739=0),"※有数量没金额（这个物料一直没填过进价）",IF($Z739="不可信","△成本含待补价/暂估，毛利仅供参考","")))))</f>
        <v/>
      </c>
    </row>
    <row r="740">
      <c r="A740" s="24">
        <f>IF(物料档案!$A739="","",物料档案!$A739)</f>
        <v/>
      </c>
      <c r="B740" s="24">
        <f>IF($A740="","",IFERROR(VLOOKUP($A740,物料档案!$A$4:$P$1203,3,0),""))</f>
        <v/>
      </c>
      <c r="C740" s="24">
        <f>IF($A740="","",IFERROR(VLOOKUP($A740,物料档案!$A$4:$P$1203,4,0),""))</f>
        <v/>
      </c>
      <c r="D740" s="24">
        <f>IF($A740="","",IFERROR(VLOOKUP($A740,物料档案!$A$4:$P$1203,5,0),""))</f>
        <v/>
      </c>
      <c r="E740" s="24">
        <f>IF($A740="","",IFERROR(VLOOKUP($A740,物料档案!$A$4:$P$1203,2,0),""))</f>
        <v/>
      </c>
      <c r="F740" s="24">
        <f>IF($A740="","",IFERROR(VLOOKUP($A740,物料档案!$A$4:$P$1203,6,0),""))</f>
        <v/>
      </c>
      <c r="G740" s="23" t="n"/>
      <c r="H740" s="32" t="n"/>
      <c r="I740" s="27">
        <f>IF($A740="","",SUMIFS(入库单!$K$4:$K$2503,入库单!$G$4:$G$2503,$A740,入库单!$X$4:$X$2503,"采购入库",入库单!$Z$4:$Z$2503,"正常",入库单!$C$4:$C$2503,"&gt;="&amp;账期起,入库单!$C$4:$C$2503,"&lt;="&amp;账期止))</f>
        <v/>
      </c>
      <c r="J740" s="26">
        <f>IF($A740="","",SUMIFS(入库单!$V$4:$V$2503,入库单!$G$4:$G$2503,$A740,入库单!$X$4:$X$2503,"采购入库",入库单!$Z$4:$Z$2503,"正常",入库单!$C$4:$C$2503,"&gt;="&amp;账期起,入库单!$C$4:$C$2503,"&lt;="&amp;账期止))</f>
        <v/>
      </c>
      <c r="K740" s="26">
        <f>IF($A740="","",IFERROR(ROUND((N($H740)+N($J740))/(N($G740)+N($I740)),2),0))</f>
        <v/>
      </c>
      <c r="L740" s="27">
        <f>IF($A740="","",SUMIFS(入库单!$K$4:$K$2503,入库单!$G$4:$G$2503,$A740,入库单!$X$4:$X$2503,"盘盈",入库单!$Z$4:$Z$2503,"正常",入库单!$C$4:$C$2503,"&gt;="&amp;账期起,入库单!$C$4:$C$2503,"&lt;="&amp;账期止))</f>
        <v/>
      </c>
      <c r="M740" s="26">
        <f>IF($A740="","",ROUND($L740*$K740,0))</f>
        <v/>
      </c>
      <c r="N740" s="27">
        <f>IF($A740="","",SUMIFS(入库单!$K$4:$K$2503,入库单!$G$4:$G$2503,$A740,入库单!$X$4:$X$2503,"矿区退库",入库单!$Z$4:$Z$2503,"正常",入库单!$C$4:$C$2503,"&gt;="&amp;账期起,入库单!$C$4:$C$2503,"&lt;="&amp;账期止))</f>
        <v/>
      </c>
      <c r="O740" s="26">
        <f>IF($A740="","",ROUND($N740*$K740,0))</f>
        <v/>
      </c>
      <c r="P740" s="27">
        <f>IF($A740="","",SUMIFS(出库单!$J$4:$J$4003,出库单!$D$4:$D$4003,$A740,出库单!$K$4:$K$4003,"自用消耗",出库单!$U$4:$U$4003,"正常",出库单!$C$4:$C$4003,"&gt;="&amp;账期起,出库单!$C$4:$C$4003,"&lt;="&amp;账期止))</f>
        <v/>
      </c>
      <c r="Q740" s="26">
        <f>IF($A740="","",ROUND(SUMIFS(出库单!$S$4:$S$4003,出库单!$D$4:$D$4003,$A740,出库单!$K$4:$K$4003,"自用消耗",出库单!$U$4:$U$4003,"正常",出库单!$C$4:$C$4003,"&gt;="&amp;账期起,出库单!$C$4:$C$4003,"&lt;="&amp;账期止),0))</f>
        <v/>
      </c>
      <c r="R740" s="27">
        <f>IF($A740="","",SUMIFS(出库单!$J$4:$J$4003,出库单!$D$4:$D$4003,$A740,出库单!$K$4:$K$4003,"对外销售",出库单!$U$4:$U$4003,"正常",出库单!$C$4:$C$4003,"&gt;="&amp;账期起,出库单!$C$4:$C$4003,"&lt;="&amp;账期止))</f>
        <v/>
      </c>
      <c r="S740" s="26">
        <f>IF($A740="","",ROUND(SUMIFS(出库单!$S$4:$S$4003,出库单!$D$4:$D$4003,$A740,出库单!$K$4:$K$4003,"对外销售",出库单!$U$4:$U$4003,"正常",出库单!$C$4:$C$4003,"&gt;="&amp;账期起,出库单!$C$4:$C$4003,"&lt;="&amp;账期止),0))</f>
        <v/>
      </c>
      <c r="T740" s="27">
        <f>IF($A740="","",SUMIFS(出库单!$J$4:$J$4003,出库单!$D$4:$D$4003,$A740,出库单!$K$4:$K$4003,"盘亏",出库单!$U$4:$U$4003,"正常",出库单!$C$4:$C$4003,"&gt;="&amp;账期起,出库单!$C$4:$C$4003,"&lt;="&amp;账期止))</f>
        <v/>
      </c>
      <c r="U740" s="26">
        <f>IF($A740="","",ROUND(SUMIFS(出库单!$S$4:$S$4003,出库单!$D$4:$D$4003,$A740,出库单!$K$4:$K$4003,"盘亏",出库单!$U$4:$U$4003,"正常",出库单!$C$4:$C$4003,"&gt;="&amp;账期起,出库单!$C$4:$C$4003,"&lt;="&amp;账期止),0))</f>
        <v/>
      </c>
      <c r="V740" s="27">
        <f>IF($A740="","",SUMIFS(出库单!$J$4:$J$4003,出库单!$D$4:$D$4003,$A740,出库单!$K$4:$K$4003,"退货给供应商",出库单!$U$4:$U$4003,"正常",出库单!$C$4:$C$4003,"&gt;="&amp;账期起,出库单!$C$4:$C$4003,"&lt;="&amp;账期止))</f>
        <v/>
      </c>
      <c r="W740" s="26">
        <f>IF($A740="","",ROUND(SUMIFS(出库单!$S$4:$S$4003,出库单!$D$4:$D$4003,$A740,出库单!$K$4:$K$4003,"退货给供应商",出库单!$U$4:$U$4003,"正常",出库单!$C$4:$C$4003,"&gt;="&amp;账期起,出库单!$C$4:$C$4003,"&lt;="&amp;账期止),0))</f>
        <v/>
      </c>
      <c r="X740" s="27">
        <f>IF($A740="","",ROUND(N($G740)+$I740+$L740+$N740-$P740-$R740-$T740-$V740,3))</f>
        <v/>
      </c>
      <c r="Y740" s="26">
        <f>IF($A740="","",ROUND(N($H740)+$J740+$M740+$O740-$Q740-$S740-$U740-$W740,0))</f>
        <v/>
      </c>
      <c r="Z740" s="24">
        <f>IF($A740="","",IF(COUNTIFS(入库单!$G$4:$G$2503,$A740,入库单!$Y$4:$Y$2503,"待补价")+COUNTIFS(入库单!$G$4:$G$2503,$A740,入库单!$Y$4:$Y$2503,"暂估")&gt;0,"不可信","可信"))</f>
        <v/>
      </c>
      <c r="AA740" s="24">
        <f>IF($A740="","",IF($X740&lt;-0.001,"※账面负库存，查一下是不是漏记入库",IF(AND(ROUND($X740,3)=0,ABS($Y740)&gt;1),"※数量已经是 0，金额还挂着 "&amp;TEXT($Y740,"#,##0")&amp;" 先令",IF(AND($X740&gt;0,$Y740&lt;=0,$K740=0),"※有数量没金额（这个物料一直没填过进价）",IF($Z740="不可信","△成本含待补价/暂估，毛利仅供参考","")))))</f>
        <v/>
      </c>
    </row>
    <row r="741">
      <c r="A741" s="24">
        <f>IF(物料档案!$A740="","",物料档案!$A740)</f>
        <v/>
      </c>
      <c r="B741" s="24">
        <f>IF($A741="","",IFERROR(VLOOKUP($A741,物料档案!$A$4:$P$1203,3,0),""))</f>
        <v/>
      </c>
      <c r="C741" s="24">
        <f>IF($A741="","",IFERROR(VLOOKUP($A741,物料档案!$A$4:$P$1203,4,0),""))</f>
        <v/>
      </c>
      <c r="D741" s="24">
        <f>IF($A741="","",IFERROR(VLOOKUP($A741,物料档案!$A$4:$P$1203,5,0),""))</f>
        <v/>
      </c>
      <c r="E741" s="24">
        <f>IF($A741="","",IFERROR(VLOOKUP($A741,物料档案!$A$4:$P$1203,2,0),""))</f>
        <v/>
      </c>
      <c r="F741" s="24">
        <f>IF($A741="","",IFERROR(VLOOKUP($A741,物料档案!$A$4:$P$1203,6,0),""))</f>
        <v/>
      </c>
      <c r="G741" s="23" t="n"/>
      <c r="H741" s="32" t="n"/>
      <c r="I741" s="27">
        <f>IF($A741="","",SUMIFS(入库单!$K$4:$K$2503,入库单!$G$4:$G$2503,$A741,入库单!$X$4:$X$2503,"采购入库",入库单!$Z$4:$Z$2503,"正常",入库单!$C$4:$C$2503,"&gt;="&amp;账期起,入库单!$C$4:$C$2503,"&lt;="&amp;账期止))</f>
        <v/>
      </c>
      <c r="J741" s="26">
        <f>IF($A741="","",SUMIFS(入库单!$V$4:$V$2503,入库单!$G$4:$G$2503,$A741,入库单!$X$4:$X$2503,"采购入库",入库单!$Z$4:$Z$2503,"正常",入库单!$C$4:$C$2503,"&gt;="&amp;账期起,入库单!$C$4:$C$2503,"&lt;="&amp;账期止))</f>
        <v/>
      </c>
      <c r="K741" s="26">
        <f>IF($A741="","",IFERROR(ROUND((N($H741)+N($J741))/(N($G741)+N($I741)),2),0))</f>
        <v/>
      </c>
      <c r="L741" s="27">
        <f>IF($A741="","",SUMIFS(入库单!$K$4:$K$2503,入库单!$G$4:$G$2503,$A741,入库单!$X$4:$X$2503,"盘盈",入库单!$Z$4:$Z$2503,"正常",入库单!$C$4:$C$2503,"&gt;="&amp;账期起,入库单!$C$4:$C$2503,"&lt;="&amp;账期止))</f>
        <v/>
      </c>
      <c r="M741" s="26">
        <f>IF($A741="","",ROUND($L741*$K741,0))</f>
        <v/>
      </c>
      <c r="N741" s="27">
        <f>IF($A741="","",SUMIFS(入库单!$K$4:$K$2503,入库单!$G$4:$G$2503,$A741,入库单!$X$4:$X$2503,"矿区退库",入库单!$Z$4:$Z$2503,"正常",入库单!$C$4:$C$2503,"&gt;="&amp;账期起,入库单!$C$4:$C$2503,"&lt;="&amp;账期止))</f>
        <v/>
      </c>
      <c r="O741" s="26">
        <f>IF($A741="","",ROUND($N741*$K741,0))</f>
        <v/>
      </c>
      <c r="P741" s="27">
        <f>IF($A741="","",SUMIFS(出库单!$J$4:$J$4003,出库单!$D$4:$D$4003,$A741,出库单!$K$4:$K$4003,"自用消耗",出库单!$U$4:$U$4003,"正常",出库单!$C$4:$C$4003,"&gt;="&amp;账期起,出库单!$C$4:$C$4003,"&lt;="&amp;账期止))</f>
        <v/>
      </c>
      <c r="Q741" s="26">
        <f>IF($A741="","",ROUND(SUMIFS(出库单!$S$4:$S$4003,出库单!$D$4:$D$4003,$A741,出库单!$K$4:$K$4003,"自用消耗",出库单!$U$4:$U$4003,"正常",出库单!$C$4:$C$4003,"&gt;="&amp;账期起,出库单!$C$4:$C$4003,"&lt;="&amp;账期止),0))</f>
        <v/>
      </c>
      <c r="R741" s="27">
        <f>IF($A741="","",SUMIFS(出库单!$J$4:$J$4003,出库单!$D$4:$D$4003,$A741,出库单!$K$4:$K$4003,"对外销售",出库单!$U$4:$U$4003,"正常",出库单!$C$4:$C$4003,"&gt;="&amp;账期起,出库单!$C$4:$C$4003,"&lt;="&amp;账期止))</f>
        <v/>
      </c>
      <c r="S741" s="26">
        <f>IF($A741="","",ROUND(SUMIFS(出库单!$S$4:$S$4003,出库单!$D$4:$D$4003,$A741,出库单!$K$4:$K$4003,"对外销售",出库单!$U$4:$U$4003,"正常",出库单!$C$4:$C$4003,"&gt;="&amp;账期起,出库单!$C$4:$C$4003,"&lt;="&amp;账期止),0))</f>
        <v/>
      </c>
      <c r="T741" s="27">
        <f>IF($A741="","",SUMIFS(出库单!$J$4:$J$4003,出库单!$D$4:$D$4003,$A741,出库单!$K$4:$K$4003,"盘亏",出库单!$U$4:$U$4003,"正常",出库单!$C$4:$C$4003,"&gt;="&amp;账期起,出库单!$C$4:$C$4003,"&lt;="&amp;账期止))</f>
        <v/>
      </c>
      <c r="U741" s="26">
        <f>IF($A741="","",ROUND(SUMIFS(出库单!$S$4:$S$4003,出库单!$D$4:$D$4003,$A741,出库单!$K$4:$K$4003,"盘亏",出库单!$U$4:$U$4003,"正常",出库单!$C$4:$C$4003,"&gt;="&amp;账期起,出库单!$C$4:$C$4003,"&lt;="&amp;账期止),0))</f>
        <v/>
      </c>
      <c r="V741" s="27">
        <f>IF($A741="","",SUMIFS(出库单!$J$4:$J$4003,出库单!$D$4:$D$4003,$A741,出库单!$K$4:$K$4003,"退货给供应商",出库单!$U$4:$U$4003,"正常",出库单!$C$4:$C$4003,"&gt;="&amp;账期起,出库单!$C$4:$C$4003,"&lt;="&amp;账期止))</f>
        <v/>
      </c>
      <c r="W741" s="26">
        <f>IF($A741="","",ROUND(SUMIFS(出库单!$S$4:$S$4003,出库单!$D$4:$D$4003,$A741,出库单!$K$4:$K$4003,"退货给供应商",出库单!$U$4:$U$4003,"正常",出库单!$C$4:$C$4003,"&gt;="&amp;账期起,出库单!$C$4:$C$4003,"&lt;="&amp;账期止),0))</f>
        <v/>
      </c>
      <c r="X741" s="27">
        <f>IF($A741="","",ROUND(N($G741)+$I741+$L741+$N741-$P741-$R741-$T741-$V741,3))</f>
        <v/>
      </c>
      <c r="Y741" s="26">
        <f>IF($A741="","",ROUND(N($H741)+$J741+$M741+$O741-$Q741-$S741-$U741-$W741,0))</f>
        <v/>
      </c>
      <c r="Z741" s="24">
        <f>IF($A741="","",IF(COUNTIFS(入库单!$G$4:$G$2503,$A741,入库单!$Y$4:$Y$2503,"待补价")+COUNTIFS(入库单!$G$4:$G$2503,$A741,入库单!$Y$4:$Y$2503,"暂估")&gt;0,"不可信","可信"))</f>
        <v/>
      </c>
      <c r="AA741" s="24">
        <f>IF($A741="","",IF($X741&lt;-0.001,"※账面负库存，查一下是不是漏记入库",IF(AND(ROUND($X741,3)=0,ABS($Y741)&gt;1),"※数量已经是 0，金额还挂着 "&amp;TEXT($Y741,"#,##0")&amp;" 先令",IF(AND($X741&gt;0,$Y741&lt;=0,$K741=0),"※有数量没金额（这个物料一直没填过进价）",IF($Z741="不可信","△成本含待补价/暂估，毛利仅供参考","")))))</f>
        <v/>
      </c>
    </row>
    <row r="742">
      <c r="A742" s="24">
        <f>IF(物料档案!$A741="","",物料档案!$A741)</f>
        <v/>
      </c>
      <c r="B742" s="24">
        <f>IF($A742="","",IFERROR(VLOOKUP($A742,物料档案!$A$4:$P$1203,3,0),""))</f>
        <v/>
      </c>
      <c r="C742" s="24">
        <f>IF($A742="","",IFERROR(VLOOKUP($A742,物料档案!$A$4:$P$1203,4,0),""))</f>
        <v/>
      </c>
      <c r="D742" s="24">
        <f>IF($A742="","",IFERROR(VLOOKUP($A742,物料档案!$A$4:$P$1203,5,0),""))</f>
        <v/>
      </c>
      <c r="E742" s="24">
        <f>IF($A742="","",IFERROR(VLOOKUP($A742,物料档案!$A$4:$P$1203,2,0),""))</f>
        <v/>
      </c>
      <c r="F742" s="24">
        <f>IF($A742="","",IFERROR(VLOOKUP($A742,物料档案!$A$4:$P$1203,6,0),""))</f>
        <v/>
      </c>
      <c r="G742" s="23" t="n"/>
      <c r="H742" s="32" t="n"/>
      <c r="I742" s="27">
        <f>IF($A742="","",SUMIFS(入库单!$K$4:$K$2503,入库单!$G$4:$G$2503,$A742,入库单!$X$4:$X$2503,"采购入库",入库单!$Z$4:$Z$2503,"正常",入库单!$C$4:$C$2503,"&gt;="&amp;账期起,入库单!$C$4:$C$2503,"&lt;="&amp;账期止))</f>
        <v/>
      </c>
      <c r="J742" s="26">
        <f>IF($A742="","",SUMIFS(入库单!$V$4:$V$2503,入库单!$G$4:$G$2503,$A742,入库单!$X$4:$X$2503,"采购入库",入库单!$Z$4:$Z$2503,"正常",入库单!$C$4:$C$2503,"&gt;="&amp;账期起,入库单!$C$4:$C$2503,"&lt;="&amp;账期止))</f>
        <v/>
      </c>
      <c r="K742" s="26">
        <f>IF($A742="","",IFERROR(ROUND((N($H742)+N($J742))/(N($G742)+N($I742)),2),0))</f>
        <v/>
      </c>
      <c r="L742" s="27">
        <f>IF($A742="","",SUMIFS(入库单!$K$4:$K$2503,入库单!$G$4:$G$2503,$A742,入库单!$X$4:$X$2503,"盘盈",入库单!$Z$4:$Z$2503,"正常",入库单!$C$4:$C$2503,"&gt;="&amp;账期起,入库单!$C$4:$C$2503,"&lt;="&amp;账期止))</f>
        <v/>
      </c>
      <c r="M742" s="26">
        <f>IF($A742="","",ROUND($L742*$K742,0))</f>
        <v/>
      </c>
      <c r="N742" s="27">
        <f>IF($A742="","",SUMIFS(入库单!$K$4:$K$2503,入库单!$G$4:$G$2503,$A742,入库单!$X$4:$X$2503,"矿区退库",入库单!$Z$4:$Z$2503,"正常",入库单!$C$4:$C$2503,"&gt;="&amp;账期起,入库单!$C$4:$C$2503,"&lt;="&amp;账期止))</f>
        <v/>
      </c>
      <c r="O742" s="26">
        <f>IF($A742="","",ROUND($N742*$K742,0))</f>
        <v/>
      </c>
      <c r="P742" s="27">
        <f>IF($A742="","",SUMIFS(出库单!$J$4:$J$4003,出库单!$D$4:$D$4003,$A742,出库单!$K$4:$K$4003,"自用消耗",出库单!$U$4:$U$4003,"正常",出库单!$C$4:$C$4003,"&gt;="&amp;账期起,出库单!$C$4:$C$4003,"&lt;="&amp;账期止))</f>
        <v/>
      </c>
      <c r="Q742" s="26">
        <f>IF($A742="","",ROUND(SUMIFS(出库单!$S$4:$S$4003,出库单!$D$4:$D$4003,$A742,出库单!$K$4:$K$4003,"自用消耗",出库单!$U$4:$U$4003,"正常",出库单!$C$4:$C$4003,"&gt;="&amp;账期起,出库单!$C$4:$C$4003,"&lt;="&amp;账期止),0))</f>
        <v/>
      </c>
      <c r="R742" s="27">
        <f>IF($A742="","",SUMIFS(出库单!$J$4:$J$4003,出库单!$D$4:$D$4003,$A742,出库单!$K$4:$K$4003,"对外销售",出库单!$U$4:$U$4003,"正常",出库单!$C$4:$C$4003,"&gt;="&amp;账期起,出库单!$C$4:$C$4003,"&lt;="&amp;账期止))</f>
        <v/>
      </c>
      <c r="S742" s="26">
        <f>IF($A742="","",ROUND(SUMIFS(出库单!$S$4:$S$4003,出库单!$D$4:$D$4003,$A742,出库单!$K$4:$K$4003,"对外销售",出库单!$U$4:$U$4003,"正常",出库单!$C$4:$C$4003,"&gt;="&amp;账期起,出库单!$C$4:$C$4003,"&lt;="&amp;账期止),0))</f>
        <v/>
      </c>
      <c r="T742" s="27">
        <f>IF($A742="","",SUMIFS(出库单!$J$4:$J$4003,出库单!$D$4:$D$4003,$A742,出库单!$K$4:$K$4003,"盘亏",出库单!$U$4:$U$4003,"正常",出库单!$C$4:$C$4003,"&gt;="&amp;账期起,出库单!$C$4:$C$4003,"&lt;="&amp;账期止))</f>
        <v/>
      </c>
      <c r="U742" s="26">
        <f>IF($A742="","",ROUND(SUMIFS(出库单!$S$4:$S$4003,出库单!$D$4:$D$4003,$A742,出库单!$K$4:$K$4003,"盘亏",出库单!$U$4:$U$4003,"正常",出库单!$C$4:$C$4003,"&gt;="&amp;账期起,出库单!$C$4:$C$4003,"&lt;="&amp;账期止),0))</f>
        <v/>
      </c>
      <c r="V742" s="27">
        <f>IF($A742="","",SUMIFS(出库单!$J$4:$J$4003,出库单!$D$4:$D$4003,$A742,出库单!$K$4:$K$4003,"退货给供应商",出库单!$U$4:$U$4003,"正常",出库单!$C$4:$C$4003,"&gt;="&amp;账期起,出库单!$C$4:$C$4003,"&lt;="&amp;账期止))</f>
        <v/>
      </c>
      <c r="W742" s="26">
        <f>IF($A742="","",ROUND(SUMIFS(出库单!$S$4:$S$4003,出库单!$D$4:$D$4003,$A742,出库单!$K$4:$K$4003,"退货给供应商",出库单!$U$4:$U$4003,"正常",出库单!$C$4:$C$4003,"&gt;="&amp;账期起,出库单!$C$4:$C$4003,"&lt;="&amp;账期止),0))</f>
        <v/>
      </c>
      <c r="X742" s="27">
        <f>IF($A742="","",ROUND(N($G742)+$I742+$L742+$N742-$P742-$R742-$T742-$V742,3))</f>
        <v/>
      </c>
      <c r="Y742" s="26">
        <f>IF($A742="","",ROUND(N($H742)+$J742+$M742+$O742-$Q742-$S742-$U742-$W742,0))</f>
        <v/>
      </c>
      <c r="Z742" s="24">
        <f>IF($A742="","",IF(COUNTIFS(入库单!$G$4:$G$2503,$A742,入库单!$Y$4:$Y$2503,"待补价")+COUNTIFS(入库单!$G$4:$G$2503,$A742,入库单!$Y$4:$Y$2503,"暂估")&gt;0,"不可信","可信"))</f>
        <v/>
      </c>
      <c r="AA742" s="24">
        <f>IF($A742="","",IF($X742&lt;-0.001,"※账面负库存，查一下是不是漏记入库",IF(AND(ROUND($X742,3)=0,ABS($Y742)&gt;1),"※数量已经是 0，金额还挂着 "&amp;TEXT($Y742,"#,##0")&amp;" 先令",IF(AND($X742&gt;0,$Y742&lt;=0,$K742=0),"※有数量没金额（这个物料一直没填过进价）",IF($Z742="不可信","△成本含待补价/暂估，毛利仅供参考","")))))</f>
        <v/>
      </c>
    </row>
    <row r="743">
      <c r="A743" s="24">
        <f>IF(物料档案!$A742="","",物料档案!$A742)</f>
        <v/>
      </c>
      <c r="B743" s="24">
        <f>IF($A743="","",IFERROR(VLOOKUP($A743,物料档案!$A$4:$P$1203,3,0),""))</f>
        <v/>
      </c>
      <c r="C743" s="24">
        <f>IF($A743="","",IFERROR(VLOOKUP($A743,物料档案!$A$4:$P$1203,4,0),""))</f>
        <v/>
      </c>
      <c r="D743" s="24">
        <f>IF($A743="","",IFERROR(VLOOKUP($A743,物料档案!$A$4:$P$1203,5,0),""))</f>
        <v/>
      </c>
      <c r="E743" s="24">
        <f>IF($A743="","",IFERROR(VLOOKUP($A743,物料档案!$A$4:$P$1203,2,0),""))</f>
        <v/>
      </c>
      <c r="F743" s="24">
        <f>IF($A743="","",IFERROR(VLOOKUP($A743,物料档案!$A$4:$P$1203,6,0),""))</f>
        <v/>
      </c>
      <c r="G743" s="23" t="n"/>
      <c r="H743" s="32" t="n"/>
      <c r="I743" s="27">
        <f>IF($A743="","",SUMIFS(入库单!$K$4:$K$2503,入库单!$G$4:$G$2503,$A743,入库单!$X$4:$X$2503,"采购入库",入库单!$Z$4:$Z$2503,"正常",入库单!$C$4:$C$2503,"&gt;="&amp;账期起,入库单!$C$4:$C$2503,"&lt;="&amp;账期止))</f>
        <v/>
      </c>
      <c r="J743" s="26">
        <f>IF($A743="","",SUMIFS(入库单!$V$4:$V$2503,入库单!$G$4:$G$2503,$A743,入库单!$X$4:$X$2503,"采购入库",入库单!$Z$4:$Z$2503,"正常",入库单!$C$4:$C$2503,"&gt;="&amp;账期起,入库单!$C$4:$C$2503,"&lt;="&amp;账期止))</f>
        <v/>
      </c>
      <c r="K743" s="26">
        <f>IF($A743="","",IFERROR(ROUND((N($H743)+N($J743))/(N($G743)+N($I743)),2),0))</f>
        <v/>
      </c>
      <c r="L743" s="27">
        <f>IF($A743="","",SUMIFS(入库单!$K$4:$K$2503,入库单!$G$4:$G$2503,$A743,入库单!$X$4:$X$2503,"盘盈",入库单!$Z$4:$Z$2503,"正常",入库单!$C$4:$C$2503,"&gt;="&amp;账期起,入库单!$C$4:$C$2503,"&lt;="&amp;账期止))</f>
        <v/>
      </c>
      <c r="M743" s="26">
        <f>IF($A743="","",ROUND($L743*$K743,0))</f>
        <v/>
      </c>
      <c r="N743" s="27">
        <f>IF($A743="","",SUMIFS(入库单!$K$4:$K$2503,入库单!$G$4:$G$2503,$A743,入库单!$X$4:$X$2503,"矿区退库",入库单!$Z$4:$Z$2503,"正常",入库单!$C$4:$C$2503,"&gt;="&amp;账期起,入库单!$C$4:$C$2503,"&lt;="&amp;账期止))</f>
        <v/>
      </c>
      <c r="O743" s="26">
        <f>IF($A743="","",ROUND($N743*$K743,0))</f>
        <v/>
      </c>
      <c r="P743" s="27">
        <f>IF($A743="","",SUMIFS(出库单!$J$4:$J$4003,出库单!$D$4:$D$4003,$A743,出库单!$K$4:$K$4003,"自用消耗",出库单!$U$4:$U$4003,"正常",出库单!$C$4:$C$4003,"&gt;="&amp;账期起,出库单!$C$4:$C$4003,"&lt;="&amp;账期止))</f>
        <v/>
      </c>
      <c r="Q743" s="26">
        <f>IF($A743="","",ROUND(SUMIFS(出库单!$S$4:$S$4003,出库单!$D$4:$D$4003,$A743,出库单!$K$4:$K$4003,"自用消耗",出库单!$U$4:$U$4003,"正常",出库单!$C$4:$C$4003,"&gt;="&amp;账期起,出库单!$C$4:$C$4003,"&lt;="&amp;账期止),0))</f>
        <v/>
      </c>
      <c r="R743" s="27">
        <f>IF($A743="","",SUMIFS(出库单!$J$4:$J$4003,出库单!$D$4:$D$4003,$A743,出库单!$K$4:$K$4003,"对外销售",出库单!$U$4:$U$4003,"正常",出库单!$C$4:$C$4003,"&gt;="&amp;账期起,出库单!$C$4:$C$4003,"&lt;="&amp;账期止))</f>
        <v/>
      </c>
      <c r="S743" s="26">
        <f>IF($A743="","",ROUND(SUMIFS(出库单!$S$4:$S$4003,出库单!$D$4:$D$4003,$A743,出库单!$K$4:$K$4003,"对外销售",出库单!$U$4:$U$4003,"正常",出库单!$C$4:$C$4003,"&gt;="&amp;账期起,出库单!$C$4:$C$4003,"&lt;="&amp;账期止),0))</f>
        <v/>
      </c>
      <c r="T743" s="27">
        <f>IF($A743="","",SUMIFS(出库单!$J$4:$J$4003,出库单!$D$4:$D$4003,$A743,出库单!$K$4:$K$4003,"盘亏",出库单!$U$4:$U$4003,"正常",出库单!$C$4:$C$4003,"&gt;="&amp;账期起,出库单!$C$4:$C$4003,"&lt;="&amp;账期止))</f>
        <v/>
      </c>
      <c r="U743" s="26">
        <f>IF($A743="","",ROUND(SUMIFS(出库单!$S$4:$S$4003,出库单!$D$4:$D$4003,$A743,出库单!$K$4:$K$4003,"盘亏",出库单!$U$4:$U$4003,"正常",出库单!$C$4:$C$4003,"&gt;="&amp;账期起,出库单!$C$4:$C$4003,"&lt;="&amp;账期止),0))</f>
        <v/>
      </c>
      <c r="V743" s="27">
        <f>IF($A743="","",SUMIFS(出库单!$J$4:$J$4003,出库单!$D$4:$D$4003,$A743,出库单!$K$4:$K$4003,"退货给供应商",出库单!$U$4:$U$4003,"正常",出库单!$C$4:$C$4003,"&gt;="&amp;账期起,出库单!$C$4:$C$4003,"&lt;="&amp;账期止))</f>
        <v/>
      </c>
      <c r="W743" s="26">
        <f>IF($A743="","",ROUND(SUMIFS(出库单!$S$4:$S$4003,出库单!$D$4:$D$4003,$A743,出库单!$K$4:$K$4003,"退货给供应商",出库单!$U$4:$U$4003,"正常",出库单!$C$4:$C$4003,"&gt;="&amp;账期起,出库单!$C$4:$C$4003,"&lt;="&amp;账期止),0))</f>
        <v/>
      </c>
      <c r="X743" s="27">
        <f>IF($A743="","",ROUND(N($G743)+$I743+$L743+$N743-$P743-$R743-$T743-$V743,3))</f>
        <v/>
      </c>
      <c r="Y743" s="26">
        <f>IF($A743="","",ROUND(N($H743)+$J743+$M743+$O743-$Q743-$S743-$U743-$W743,0))</f>
        <v/>
      </c>
      <c r="Z743" s="24">
        <f>IF($A743="","",IF(COUNTIFS(入库单!$G$4:$G$2503,$A743,入库单!$Y$4:$Y$2503,"待补价")+COUNTIFS(入库单!$G$4:$G$2503,$A743,入库单!$Y$4:$Y$2503,"暂估")&gt;0,"不可信","可信"))</f>
        <v/>
      </c>
      <c r="AA743" s="24">
        <f>IF($A743="","",IF($X743&lt;-0.001,"※账面负库存，查一下是不是漏记入库",IF(AND(ROUND($X743,3)=0,ABS($Y743)&gt;1),"※数量已经是 0，金额还挂着 "&amp;TEXT($Y743,"#,##0")&amp;" 先令",IF(AND($X743&gt;0,$Y743&lt;=0,$K743=0),"※有数量没金额（这个物料一直没填过进价）",IF($Z743="不可信","△成本含待补价/暂估，毛利仅供参考","")))))</f>
        <v/>
      </c>
    </row>
    <row r="744">
      <c r="A744" s="24">
        <f>IF(物料档案!$A743="","",物料档案!$A743)</f>
        <v/>
      </c>
      <c r="B744" s="24">
        <f>IF($A744="","",IFERROR(VLOOKUP($A744,物料档案!$A$4:$P$1203,3,0),""))</f>
        <v/>
      </c>
      <c r="C744" s="24">
        <f>IF($A744="","",IFERROR(VLOOKUP($A744,物料档案!$A$4:$P$1203,4,0),""))</f>
        <v/>
      </c>
      <c r="D744" s="24">
        <f>IF($A744="","",IFERROR(VLOOKUP($A744,物料档案!$A$4:$P$1203,5,0),""))</f>
        <v/>
      </c>
      <c r="E744" s="24">
        <f>IF($A744="","",IFERROR(VLOOKUP($A744,物料档案!$A$4:$P$1203,2,0),""))</f>
        <v/>
      </c>
      <c r="F744" s="24">
        <f>IF($A744="","",IFERROR(VLOOKUP($A744,物料档案!$A$4:$P$1203,6,0),""))</f>
        <v/>
      </c>
      <c r="G744" s="23" t="n"/>
      <c r="H744" s="32" t="n"/>
      <c r="I744" s="27">
        <f>IF($A744="","",SUMIFS(入库单!$K$4:$K$2503,入库单!$G$4:$G$2503,$A744,入库单!$X$4:$X$2503,"采购入库",入库单!$Z$4:$Z$2503,"正常",入库单!$C$4:$C$2503,"&gt;="&amp;账期起,入库单!$C$4:$C$2503,"&lt;="&amp;账期止))</f>
        <v/>
      </c>
      <c r="J744" s="26">
        <f>IF($A744="","",SUMIFS(入库单!$V$4:$V$2503,入库单!$G$4:$G$2503,$A744,入库单!$X$4:$X$2503,"采购入库",入库单!$Z$4:$Z$2503,"正常",入库单!$C$4:$C$2503,"&gt;="&amp;账期起,入库单!$C$4:$C$2503,"&lt;="&amp;账期止))</f>
        <v/>
      </c>
      <c r="K744" s="26">
        <f>IF($A744="","",IFERROR(ROUND((N($H744)+N($J744))/(N($G744)+N($I744)),2),0))</f>
        <v/>
      </c>
      <c r="L744" s="27">
        <f>IF($A744="","",SUMIFS(入库单!$K$4:$K$2503,入库单!$G$4:$G$2503,$A744,入库单!$X$4:$X$2503,"盘盈",入库单!$Z$4:$Z$2503,"正常",入库单!$C$4:$C$2503,"&gt;="&amp;账期起,入库单!$C$4:$C$2503,"&lt;="&amp;账期止))</f>
        <v/>
      </c>
      <c r="M744" s="26">
        <f>IF($A744="","",ROUND($L744*$K744,0))</f>
        <v/>
      </c>
      <c r="N744" s="27">
        <f>IF($A744="","",SUMIFS(入库单!$K$4:$K$2503,入库单!$G$4:$G$2503,$A744,入库单!$X$4:$X$2503,"矿区退库",入库单!$Z$4:$Z$2503,"正常",入库单!$C$4:$C$2503,"&gt;="&amp;账期起,入库单!$C$4:$C$2503,"&lt;="&amp;账期止))</f>
        <v/>
      </c>
      <c r="O744" s="26">
        <f>IF($A744="","",ROUND($N744*$K744,0))</f>
        <v/>
      </c>
      <c r="P744" s="27">
        <f>IF($A744="","",SUMIFS(出库单!$J$4:$J$4003,出库单!$D$4:$D$4003,$A744,出库单!$K$4:$K$4003,"自用消耗",出库单!$U$4:$U$4003,"正常",出库单!$C$4:$C$4003,"&gt;="&amp;账期起,出库单!$C$4:$C$4003,"&lt;="&amp;账期止))</f>
        <v/>
      </c>
      <c r="Q744" s="26">
        <f>IF($A744="","",ROUND(SUMIFS(出库单!$S$4:$S$4003,出库单!$D$4:$D$4003,$A744,出库单!$K$4:$K$4003,"自用消耗",出库单!$U$4:$U$4003,"正常",出库单!$C$4:$C$4003,"&gt;="&amp;账期起,出库单!$C$4:$C$4003,"&lt;="&amp;账期止),0))</f>
        <v/>
      </c>
      <c r="R744" s="27">
        <f>IF($A744="","",SUMIFS(出库单!$J$4:$J$4003,出库单!$D$4:$D$4003,$A744,出库单!$K$4:$K$4003,"对外销售",出库单!$U$4:$U$4003,"正常",出库单!$C$4:$C$4003,"&gt;="&amp;账期起,出库单!$C$4:$C$4003,"&lt;="&amp;账期止))</f>
        <v/>
      </c>
      <c r="S744" s="26">
        <f>IF($A744="","",ROUND(SUMIFS(出库单!$S$4:$S$4003,出库单!$D$4:$D$4003,$A744,出库单!$K$4:$K$4003,"对外销售",出库单!$U$4:$U$4003,"正常",出库单!$C$4:$C$4003,"&gt;="&amp;账期起,出库单!$C$4:$C$4003,"&lt;="&amp;账期止),0))</f>
        <v/>
      </c>
      <c r="T744" s="27">
        <f>IF($A744="","",SUMIFS(出库单!$J$4:$J$4003,出库单!$D$4:$D$4003,$A744,出库单!$K$4:$K$4003,"盘亏",出库单!$U$4:$U$4003,"正常",出库单!$C$4:$C$4003,"&gt;="&amp;账期起,出库单!$C$4:$C$4003,"&lt;="&amp;账期止))</f>
        <v/>
      </c>
      <c r="U744" s="26">
        <f>IF($A744="","",ROUND(SUMIFS(出库单!$S$4:$S$4003,出库单!$D$4:$D$4003,$A744,出库单!$K$4:$K$4003,"盘亏",出库单!$U$4:$U$4003,"正常",出库单!$C$4:$C$4003,"&gt;="&amp;账期起,出库单!$C$4:$C$4003,"&lt;="&amp;账期止),0))</f>
        <v/>
      </c>
      <c r="V744" s="27">
        <f>IF($A744="","",SUMIFS(出库单!$J$4:$J$4003,出库单!$D$4:$D$4003,$A744,出库单!$K$4:$K$4003,"退货给供应商",出库单!$U$4:$U$4003,"正常",出库单!$C$4:$C$4003,"&gt;="&amp;账期起,出库单!$C$4:$C$4003,"&lt;="&amp;账期止))</f>
        <v/>
      </c>
      <c r="W744" s="26">
        <f>IF($A744="","",ROUND(SUMIFS(出库单!$S$4:$S$4003,出库单!$D$4:$D$4003,$A744,出库单!$K$4:$K$4003,"退货给供应商",出库单!$U$4:$U$4003,"正常",出库单!$C$4:$C$4003,"&gt;="&amp;账期起,出库单!$C$4:$C$4003,"&lt;="&amp;账期止),0))</f>
        <v/>
      </c>
      <c r="X744" s="27">
        <f>IF($A744="","",ROUND(N($G744)+$I744+$L744+$N744-$P744-$R744-$T744-$V744,3))</f>
        <v/>
      </c>
      <c r="Y744" s="26">
        <f>IF($A744="","",ROUND(N($H744)+$J744+$M744+$O744-$Q744-$S744-$U744-$W744,0))</f>
        <v/>
      </c>
      <c r="Z744" s="24">
        <f>IF($A744="","",IF(COUNTIFS(入库单!$G$4:$G$2503,$A744,入库单!$Y$4:$Y$2503,"待补价")+COUNTIFS(入库单!$G$4:$G$2503,$A744,入库单!$Y$4:$Y$2503,"暂估")&gt;0,"不可信","可信"))</f>
        <v/>
      </c>
      <c r="AA744" s="24">
        <f>IF($A744="","",IF($X744&lt;-0.001,"※账面负库存，查一下是不是漏记入库",IF(AND(ROUND($X744,3)=0,ABS($Y744)&gt;1),"※数量已经是 0，金额还挂着 "&amp;TEXT($Y744,"#,##0")&amp;" 先令",IF(AND($X744&gt;0,$Y744&lt;=0,$K744=0),"※有数量没金额（这个物料一直没填过进价）",IF($Z744="不可信","△成本含待补价/暂估，毛利仅供参考","")))))</f>
        <v/>
      </c>
    </row>
    <row r="745">
      <c r="A745" s="24">
        <f>IF(物料档案!$A744="","",物料档案!$A744)</f>
        <v/>
      </c>
      <c r="B745" s="24">
        <f>IF($A745="","",IFERROR(VLOOKUP($A745,物料档案!$A$4:$P$1203,3,0),""))</f>
        <v/>
      </c>
      <c r="C745" s="24">
        <f>IF($A745="","",IFERROR(VLOOKUP($A745,物料档案!$A$4:$P$1203,4,0),""))</f>
        <v/>
      </c>
      <c r="D745" s="24">
        <f>IF($A745="","",IFERROR(VLOOKUP($A745,物料档案!$A$4:$P$1203,5,0),""))</f>
        <v/>
      </c>
      <c r="E745" s="24">
        <f>IF($A745="","",IFERROR(VLOOKUP($A745,物料档案!$A$4:$P$1203,2,0),""))</f>
        <v/>
      </c>
      <c r="F745" s="24">
        <f>IF($A745="","",IFERROR(VLOOKUP($A745,物料档案!$A$4:$P$1203,6,0),""))</f>
        <v/>
      </c>
      <c r="G745" s="23" t="n"/>
      <c r="H745" s="32" t="n"/>
      <c r="I745" s="27">
        <f>IF($A745="","",SUMIFS(入库单!$K$4:$K$2503,入库单!$G$4:$G$2503,$A745,入库单!$X$4:$X$2503,"采购入库",入库单!$Z$4:$Z$2503,"正常",入库单!$C$4:$C$2503,"&gt;="&amp;账期起,入库单!$C$4:$C$2503,"&lt;="&amp;账期止))</f>
        <v/>
      </c>
      <c r="J745" s="26">
        <f>IF($A745="","",SUMIFS(入库单!$V$4:$V$2503,入库单!$G$4:$G$2503,$A745,入库单!$X$4:$X$2503,"采购入库",入库单!$Z$4:$Z$2503,"正常",入库单!$C$4:$C$2503,"&gt;="&amp;账期起,入库单!$C$4:$C$2503,"&lt;="&amp;账期止))</f>
        <v/>
      </c>
      <c r="K745" s="26">
        <f>IF($A745="","",IFERROR(ROUND((N($H745)+N($J745))/(N($G745)+N($I745)),2),0))</f>
        <v/>
      </c>
      <c r="L745" s="27">
        <f>IF($A745="","",SUMIFS(入库单!$K$4:$K$2503,入库单!$G$4:$G$2503,$A745,入库单!$X$4:$X$2503,"盘盈",入库单!$Z$4:$Z$2503,"正常",入库单!$C$4:$C$2503,"&gt;="&amp;账期起,入库单!$C$4:$C$2503,"&lt;="&amp;账期止))</f>
        <v/>
      </c>
      <c r="M745" s="26">
        <f>IF($A745="","",ROUND($L745*$K745,0))</f>
        <v/>
      </c>
      <c r="N745" s="27">
        <f>IF($A745="","",SUMIFS(入库单!$K$4:$K$2503,入库单!$G$4:$G$2503,$A745,入库单!$X$4:$X$2503,"矿区退库",入库单!$Z$4:$Z$2503,"正常",入库单!$C$4:$C$2503,"&gt;="&amp;账期起,入库单!$C$4:$C$2503,"&lt;="&amp;账期止))</f>
        <v/>
      </c>
      <c r="O745" s="26">
        <f>IF($A745="","",ROUND($N745*$K745,0))</f>
        <v/>
      </c>
      <c r="P745" s="27">
        <f>IF($A745="","",SUMIFS(出库单!$J$4:$J$4003,出库单!$D$4:$D$4003,$A745,出库单!$K$4:$K$4003,"自用消耗",出库单!$U$4:$U$4003,"正常",出库单!$C$4:$C$4003,"&gt;="&amp;账期起,出库单!$C$4:$C$4003,"&lt;="&amp;账期止))</f>
        <v/>
      </c>
      <c r="Q745" s="26">
        <f>IF($A745="","",ROUND(SUMIFS(出库单!$S$4:$S$4003,出库单!$D$4:$D$4003,$A745,出库单!$K$4:$K$4003,"自用消耗",出库单!$U$4:$U$4003,"正常",出库单!$C$4:$C$4003,"&gt;="&amp;账期起,出库单!$C$4:$C$4003,"&lt;="&amp;账期止),0))</f>
        <v/>
      </c>
      <c r="R745" s="27">
        <f>IF($A745="","",SUMIFS(出库单!$J$4:$J$4003,出库单!$D$4:$D$4003,$A745,出库单!$K$4:$K$4003,"对外销售",出库单!$U$4:$U$4003,"正常",出库单!$C$4:$C$4003,"&gt;="&amp;账期起,出库单!$C$4:$C$4003,"&lt;="&amp;账期止))</f>
        <v/>
      </c>
      <c r="S745" s="26">
        <f>IF($A745="","",ROUND(SUMIFS(出库单!$S$4:$S$4003,出库单!$D$4:$D$4003,$A745,出库单!$K$4:$K$4003,"对外销售",出库单!$U$4:$U$4003,"正常",出库单!$C$4:$C$4003,"&gt;="&amp;账期起,出库单!$C$4:$C$4003,"&lt;="&amp;账期止),0))</f>
        <v/>
      </c>
      <c r="T745" s="27">
        <f>IF($A745="","",SUMIFS(出库单!$J$4:$J$4003,出库单!$D$4:$D$4003,$A745,出库单!$K$4:$K$4003,"盘亏",出库单!$U$4:$U$4003,"正常",出库单!$C$4:$C$4003,"&gt;="&amp;账期起,出库单!$C$4:$C$4003,"&lt;="&amp;账期止))</f>
        <v/>
      </c>
      <c r="U745" s="26">
        <f>IF($A745="","",ROUND(SUMIFS(出库单!$S$4:$S$4003,出库单!$D$4:$D$4003,$A745,出库单!$K$4:$K$4003,"盘亏",出库单!$U$4:$U$4003,"正常",出库单!$C$4:$C$4003,"&gt;="&amp;账期起,出库单!$C$4:$C$4003,"&lt;="&amp;账期止),0))</f>
        <v/>
      </c>
      <c r="V745" s="27">
        <f>IF($A745="","",SUMIFS(出库单!$J$4:$J$4003,出库单!$D$4:$D$4003,$A745,出库单!$K$4:$K$4003,"退货给供应商",出库单!$U$4:$U$4003,"正常",出库单!$C$4:$C$4003,"&gt;="&amp;账期起,出库单!$C$4:$C$4003,"&lt;="&amp;账期止))</f>
        <v/>
      </c>
      <c r="W745" s="26">
        <f>IF($A745="","",ROUND(SUMIFS(出库单!$S$4:$S$4003,出库单!$D$4:$D$4003,$A745,出库单!$K$4:$K$4003,"退货给供应商",出库单!$U$4:$U$4003,"正常",出库单!$C$4:$C$4003,"&gt;="&amp;账期起,出库单!$C$4:$C$4003,"&lt;="&amp;账期止),0))</f>
        <v/>
      </c>
      <c r="X745" s="27">
        <f>IF($A745="","",ROUND(N($G745)+$I745+$L745+$N745-$P745-$R745-$T745-$V745,3))</f>
        <v/>
      </c>
      <c r="Y745" s="26">
        <f>IF($A745="","",ROUND(N($H745)+$J745+$M745+$O745-$Q745-$S745-$U745-$W745,0))</f>
        <v/>
      </c>
      <c r="Z745" s="24">
        <f>IF($A745="","",IF(COUNTIFS(入库单!$G$4:$G$2503,$A745,入库单!$Y$4:$Y$2503,"待补价")+COUNTIFS(入库单!$G$4:$G$2503,$A745,入库单!$Y$4:$Y$2503,"暂估")&gt;0,"不可信","可信"))</f>
        <v/>
      </c>
      <c r="AA745" s="24">
        <f>IF($A745="","",IF($X745&lt;-0.001,"※账面负库存，查一下是不是漏记入库",IF(AND(ROUND($X745,3)=0,ABS($Y745)&gt;1),"※数量已经是 0，金额还挂着 "&amp;TEXT($Y745,"#,##0")&amp;" 先令",IF(AND($X745&gt;0,$Y745&lt;=0,$K745=0),"※有数量没金额（这个物料一直没填过进价）",IF($Z745="不可信","△成本含待补价/暂估，毛利仅供参考","")))))</f>
        <v/>
      </c>
    </row>
    <row r="746">
      <c r="A746" s="24">
        <f>IF(物料档案!$A745="","",物料档案!$A745)</f>
        <v/>
      </c>
      <c r="B746" s="24">
        <f>IF($A746="","",IFERROR(VLOOKUP($A746,物料档案!$A$4:$P$1203,3,0),""))</f>
        <v/>
      </c>
      <c r="C746" s="24">
        <f>IF($A746="","",IFERROR(VLOOKUP($A746,物料档案!$A$4:$P$1203,4,0),""))</f>
        <v/>
      </c>
      <c r="D746" s="24">
        <f>IF($A746="","",IFERROR(VLOOKUP($A746,物料档案!$A$4:$P$1203,5,0),""))</f>
        <v/>
      </c>
      <c r="E746" s="24">
        <f>IF($A746="","",IFERROR(VLOOKUP($A746,物料档案!$A$4:$P$1203,2,0),""))</f>
        <v/>
      </c>
      <c r="F746" s="24">
        <f>IF($A746="","",IFERROR(VLOOKUP($A746,物料档案!$A$4:$P$1203,6,0),""))</f>
        <v/>
      </c>
      <c r="G746" s="23" t="n"/>
      <c r="H746" s="32" t="n"/>
      <c r="I746" s="27">
        <f>IF($A746="","",SUMIFS(入库单!$K$4:$K$2503,入库单!$G$4:$G$2503,$A746,入库单!$X$4:$X$2503,"采购入库",入库单!$Z$4:$Z$2503,"正常",入库单!$C$4:$C$2503,"&gt;="&amp;账期起,入库单!$C$4:$C$2503,"&lt;="&amp;账期止))</f>
        <v/>
      </c>
      <c r="J746" s="26">
        <f>IF($A746="","",SUMIFS(入库单!$V$4:$V$2503,入库单!$G$4:$G$2503,$A746,入库单!$X$4:$X$2503,"采购入库",入库单!$Z$4:$Z$2503,"正常",入库单!$C$4:$C$2503,"&gt;="&amp;账期起,入库单!$C$4:$C$2503,"&lt;="&amp;账期止))</f>
        <v/>
      </c>
      <c r="K746" s="26">
        <f>IF($A746="","",IFERROR(ROUND((N($H746)+N($J746))/(N($G746)+N($I746)),2),0))</f>
        <v/>
      </c>
      <c r="L746" s="27">
        <f>IF($A746="","",SUMIFS(入库单!$K$4:$K$2503,入库单!$G$4:$G$2503,$A746,入库单!$X$4:$X$2503,"盘盈",入库单!$Z$4:$Z$2503,"正常",入库单!$C$4:$C$2503,"&gt;="&amp;账期起,入库单!$C$4:$C$2503,"&lt;="&amp;账期止))</f>
        <v/>
      </c>
      <c r="M746" s="26">
        <f>IF($A746="","",ROUND($L746*$K746,0))</f>
        <v/>
      </c>
      <c r="N746" s="27">
        <f>IF($A746="","",SUMIFS(入库单!$K$4:$K$2503,入库单!$G$4:$G$2503,$A746,入库单!$X$4:$X$2503,"矿区退库",入库单!$Z$4:$Z$2503,"正常",入库单!$C$4:$C$2503,"&gt;="&amp;账期起,入库单!$C$4:$C$2503,"&lt;="&amp;账期止))</f>
        <v/>
      </c>
      <c r="O746" s="26">
        <f>IF($A746="","",ROUND($N746*$K746,0))</f>
        <v/>
      </c>
      <c r="P746" s="27">
        <f>IF($A746="","",SUMIFS(出库单!$J$4:$J$4003,出库单!$D$4:$D$4003,$A746,出库单!$K$4:$K$4003,"自用消耗",出库单!$U$4:$U$4003,"正常",出库单!$C$4:$C$4003,"&gt;="&amp;账期起,出库单!$C$4:$C$4003,"&lt;="&amp;账期止))</f>
        <v/>
      </c>
      <c r="Q746" s="26">
        <f>IF($A746="","",ROUND(SUMIFS(出库单!$S$4:$S$4003,出库单!$D$4:$D$4003,$A746,出库单!$K$4:$K$4003,"自用消耗",出库单!$U$4:$U$4003,"正常",出库单!$C$4:$C$4003,"&gt;="&amp;账期起,出库单!$C$4:$C$4003,"&lt;="&amp;账期止),0))</f>
        <v/>
      </c>
      <c r="R746" s="27">
        <f>IF($A746="","",SUMIFS(出库单!$J$4:$J$4003,出库单!$D$4:$D$4003,$A746,出库单!$K$4:$K$4003,"对外销售",出库单!$U$4:$U$4003,"正常",出库单!$C$4:$C$4003,"&gt;="&amp;账期起,出库单!$C$4:$C$4003,"&lt;="&amp;账期止))</f>
        <v/>
      </c>
      <c r="S746" s="26">
        <f>IF($A746="","",ROUND(SUMIFS(出库单!$S$4:$S$4003,出库单!$D$4:$D$4003,$A746,出库单!$K$4:$K$4003,"对外销售",出库单!$U$4:$U$4003,"正常",出库单!$C$4:$C$4003,"&gt;="&amp;账期起,出库单!$C$4:$C$4003,"&lt;="&amp;账期止),0))</f>
        <v/>
      </c>
      <c r="T746" s="27">
        <f>IF($A746="","",SUMIFS(出库单!$J$4:$J$4003,出库单!$D$4:$D$4003,$A746,出库单!$K$4:$K$4003,"盘亏",出库单!$U$4:$U$4003,"正常",出库单!$C$4:$C$4003,"&gt;="&amp;账期起,出库单!$C$4:$C$4003,"&lt;="&amp;账期止))</f>
        <v/>
      </c>
      <c r="U746" s="26">
        <f>IF($A746="","",ROUND(SUMIFS(出库单!$S$4:$S$4003,出库单!$D$4:$D$4003,$A746,出库单!$K$4:$K$4003,"盘亏",出库单!$U$4:$U$4003,"正常",出库单!$C$4:$C$4003,"&gt;="&amp;账期起,出库单!$C$4:$C$4003,"&lt;="&amp;账期止),0))</f>
        <v/>
      </c>
      <c r="V746" s="27">
        <f>IF($A746="","",SUMIFS(出库单!$J$4:$J$4003,出库单!$D$4:$D$4003,$A746,出库单!$K$4:$K$4003,"退货给供应商",出库单!$U$4:$U$4003,"正常",出库单!$C$4:$C$4003,"&gt;="&amp;账期起,出库单!$C$4:$C$4003,"&lt;="&amp;账期止))</f>
        <v/>
      </c>
      <c r="W746" s="26">
        <f>IF($A746="","",ROUND(SUMIFS(出库单!$S$4:$S$4003,出库单!$D$4:$D$4003,$A746,出库单!$K$4:$K$4003,"退货给供应商",出库单!$U$4:$U$4003,"正常",出库单!$C$4:$C$4003,"&gt;="&amp;账期起,出库单!$C$4:$C$4003,"&lt;="&amp;账期止),0))</f>
        <v/>
      </c>
      <c r="X746" s="27">
        <f>IF($A746="","",ROUND(N($G746)+$I746+$L746+$N746-$P746-$R746-$T746-$V746,3))</f>
        <v/>
      </c>
      <c r="Y746" s="26">
        <f>IF($A746="","",ROUND(N($H746)+$J746+$M746+$O746-$Q746-$S746-$U746-$W746,0))</f>
        <v/>
      </c>
      <c r="Z746" s="24">
        <f>IF($A746="","",IF(COUNTIFS(入库单!$G$4:$G$2503,$A746,入库单!$Y$4:$Y$2503,"待补价")+COUNTIFS(入库单!$G$4:$G$2503,$A746,入库单!$Y$4:$Y$2503,"暂估")&gt;0,"不可信","可信"))</f>
        <v/>
      </c>
      <c r="AA746" s="24">
        <f>IF($A746="","",IF($X746&lt;-0.001,"※账面负库存，查一下是不是漏记入库",IF(AND(ROUND($X746,3)=0,ABS($Y746)&gt;1),"※数量已经是 0，金额还挂着 "&amp;TEXT($Y746,"#,##0")&amp;" 先令",IF(AND($X746&gt;0,$Y746&lt;=0,$K746=0),"※有数量没金额（这个物料一直没填过进价）",IF($Z746="不可信","△成本含待补价/暂估，毛利仅供参考","")))))</f>
        <v/>
      </c>
    </row>
    <row r="747">
      <c r="A747" s="24">
        <f>IF(物料档案!$A746="","",物料档案!$A746)</f>
        <v/>
      </c>
      <c r="B747" s="24">
        <f>IF($A747="","",IFERROR(VLOOKUP($A747,物料档案!$A$4:$P$1203,3,0),""))</f>
        <v/>
      </c>
      <c r="C747" s="24">
        <f>IF($A747="","",IFERROR(VLOOKUP($A747,物料档案!$A$4:$P$1203,4,0),""))</f>
        <v/>
      </c>
      <c r="D747" s="24">
        <f>IF($A747="","",IFERROR(VLOOKUP($A747,物料档案!$A$4:$P$1203,5,0),""))</f>
        <v/>
      </c>
      <c r="E747" s="24">
        <f>IF($A747="","",IFERROR(VLOOKUP($A747,物料档案!$A$4:$P$1203,2,0),""))</f>
        <v/>
      </c>
      <c r="F747" s="24">
        <f>IF($A747="","",IFERROR(VLOOKUP($A747,物料档案!$A$4:$P$1203,6,0),""))</f>
        <v/>
      </c>
      <c r="G747" s="23" t="n"/>
      <c r="H747" s="32" t="n"/>
      <c r="I747" s="27">
        <f>IF($A747="","",SUMIFS(入库单!$K$4:$K$2503,入库单!$G$4:$G$2503,$A747,入库单!$X$4:$X$2503,"采购入库",入库单!$Z$4:$Z$2503,"正常",入库单!$C$4:$C$2503,"&gt;="&amp;账期起,入库单!$C$4:$C$2503,"&lt;="&amp;账期止))</f>
        <v/>
      </c>
      <c r="J747" s="26">
        <f>IF($A747="","",SUMIFS(入库单!$V$4:$V$2503,入库单!$G$4:$G$2503,$A747,入库单!$X$4:$X$2503,"采购入库",入库单!$Z$4:$Z$2503,"正常",入库单!$C$4:$C$2503,"&gt;="&amp;账期起,入库单!$C$4:$C$2503,"&lt;="&amp;账期止))</f>
        <v/>
      </c>
      <c r="K747" s="26">
        <f>IF($A747="","",IFERROR(ROUND((N($H747)+N($J747))/(N($G747)+N($I747)),2),0))</f>
        <v/>
      </c>
      <c r="L747" s="27">
        <f>IF($A747="","",SUMIFS(入库单!$K$4:$K$2503,入库单!$G$4:$G$2503,$A747,入库单!$X$4:$X$2503,"盘盈",入库单!$Z$4:$Z$2503,"正常",入库单!$C$4:$C$2503,"&gt;="&amp;账期起,入库单!$C$4:$C$2503,"&lt;="&amp;账期止))</f>
        <v/>
      </c>
      <c r="M747" s="26">
        <f>IF($A747="","",ROUND($L747*$K747,0))</f>
        <v/>
      </c>
      <c r="N747" s="27">
        <f>IF($A747="","",SUMIFS(入库单!$K$4:$K$2503,入库单!$G$4:$G$2503,$A747,入库单!$X$4:$X$2503,"矿区退库",入库单!$Z$4:$Z$2503,"正常",入库单!$C$4:$C$2503,"&gt;="&amp;账期起,入库单!$C$4:$C$2503,"&lt;="&amp;账期止))</f>
        <v/>
      </c>
      <c r="O747" s="26">
        <f>IF($A747="","",ROUND($N747*$K747,0))</f>
        <v/>
      </c>
      <c r="P747" s="27">
        <f>IF($A747="","",SUMIFS(出库单!$J$4:$J$4003,出库单!$D$4:$D$4003,$A747,出库单!$K$4:$K$4003,"自用消耗",出库单!$U$4:$U$4003,"正常",出库单!$C$4:$C$4003,"&gt;="&amp;账期起,出库单!$C$4:$C$4003,"&lt;="&amp;账期止))</f>
        <v/>
      </c>
      <c r="Q747" s="26">
        <f>IF($A747="","",ROUND(SUMIFS(出库单!$S$4:$S$4003,出库单!$D$4:$D$4003,$A747,出库单!$K$4:$K$4003,"自用消耗",出库单!$U$4:$U$4003,"正常",出库单!$C$4:$C$4003,"&gt;="&amp;账期起,出库单!$C$4:$C$4003,"&lt;="&amp;账期止),0))</f>
        <v/>
      </c>
      <c r="R747" s="27">
        <f>IF($A747="","",SUMIFS(出库单!$J$4:$J$4003,出库单!$D$4:$D$4003,$A747,出库单!$K$4:$K$4003,"对外销售",出库单!$U$4:$U$4003,"正常",出库单!$C$4:$C$4003,"&gt;="&amp;账期起,出库单!$C$4:$C$4003,"&lt;="&amp;账期止))</f>
        <v/>
      </c>
      <c r="S747" s="26">
        <f>IF($A747="","",ROUND(SUMIFS(出库单!$S$4:$S$4003,出库单!$D$4:$D$4003,$A747,出库单!$K$4:$K$4003,"对外销售",出库单!$U$4:$U$4003,"正常",出库单!$C$4:$C$4003,"&gt;="&amp;账期起,出库单!$C$4:$C$4003,"&lt;="&amp;账期止),0))</f>
        <v/>
      </c>
      <c r="T747" s="27">
        <f>IF($A747="","",SUMIFS(出库单!$J$4:$J$4003,出库单!$D$4:$D$4003,$A747,出库单!$K$4:$K$4003,"盘亏",出库单!$U$4:$U$4003,"正常",出库单!$C$4:$C$4003,"&gt;="&amp;账期起,出库单!$C$4:$C$4003,"&lt;="&amp;账期止))</f>
        <v/>
      </c>
      <c r="U747" s="26">
        <f>IF($A747="","",ROUND(SUMIFS(出库单!$S$4:$S$4003,出库单!$D$4:$D$4003,$A747,出库单!$K$4:$K$4003,"盘亏",出库单!$U$4:$U$4003,"正常",出库单!$C$4:$C$4003,"&gt;="&amp;账期起,出库单!$C$4:$C$4003,"&lt;="&amp;账期止),0))</f>
        <v/>
      </c>
      <c r="V747" s="27">
        <f>IF($A747="","",SUMIFS(出库单!$J$4:$J$4003,出库单!$D$4:$D$4003,$A747,出库单!$K$4:$K$4003,"退货给供应商",出库单!$U$4:$U$4003,"正常",出库单!$C$4:$C$4003,"&gt;="&amp;账期起,出库单!$C$4:$C$4003,"&lt;="&amp;账期止))</f>
        <v/>
      </c>
      <c r="W747" s="26">
        <f>IF($A747="","",ROUND(SUMIFS(出库单!$S$4:$S$4003,出库单!$D$4:$D$4003,$A747,出库单!$K$4:$K$4003,"退货给供应商",出库单!$U$4:$U$4003,"正常",出库单!$C$4:$C$4003,"&gt;="&amp;账期起,出库单!$C$4:$C$4003,"&lt;="&amp;账期止),0))</f>
        <v/>
      </c>
      <c r="X747" s="27">
        <f>IF($A747="","",ROUND(N($G747)+$I747+$L747+$N747-$P747-$R747-$T747-$V747,3))</f>
        <v/>
      </c>
      <c r="Y747" s="26">
        <f>IF($A747="","",ROUND(N($H747)+$J747+$M747+$O747-$Q747-$S747-$U747-$W747,0))</f>
        <v/>
      </c>
      <c r="Z747" s="24">
        <f>IF($A747="","",IF(COUNTIFS(入库单!$G$4:$G$2503,$A747,入库单!$Y$4:$Y$2503,"待补价")+COUNTIFS(入库单!$G$4:$G$2503,$A747,入库单!$Y$4:$Y$2503,"暂估")&gt;0,"不可信","可信"))</f>
        <v/>
      </c>
      <c r="AA747" s="24">
        <f>IF($A747="","",IF($X747&lt;-0.001,"※账面负库存，查一下是不是漏记入库",IF(AND(ROUND($X747,3)=0,ABS($Y747)&gt;1),"※数量已经是 0，金额还挂着 "&amp;TEXT($Y747,"#,##0")&amp;" 先令",IF(AND($X747&gt;0,$Y747&lt;=0,$K747=0),"※有数量没金额（这个物料一直没填过进价）",IF($Z747="不可信","△成本含待补价/暂估，毛利仅供参考","")))))</f>
        <v/>
      </c>
    </row>
    <row r="748">
      <c r="A748" s="24">
        <f>IF(物料档案!$A747="","",物料档案!$A747)</f>
        <v/>
      </c>
      <c r="B748" s="24">
        <f>IF($A748="","",IFERROR(VLOOKUP($A748,物料档案!$A$4:$P$1203,3,0),""))</f>
        <v/>
      </c>
      <c r="C748" s="24">
        <f>IF($A748="","",IFERROR(VLOOKUP($A748,物料档案!$A$4:$P$1203,4,0),""))</f>
        <v/>
      </c>
      <c r="D748" s="24">
        <f>IF($A748="","",IFERROR(VLOOKUP($A748,物料档案!$A$4:$P$1203,5,0),""))</f>
        <v/>
      </c>
      <c r="E748" s="24">
        <f>IF($A748="","",IFERROR(VLOOKUP($A748,物料档案!$A$4:$P$1203,2,0),""))</f>
        <v/>
      </c>
      <c r="F748" s="24">
        <f>IF($A748="","",IFERROR(VLOOKUP($A748,物料档案!$A$4:$P$1203,6,0),""))</f>
        <v/>
      </c>
      <c r="G748" s="23" t="n"/>
      <c r="H748" s="32" t="n"/>
      <c r="I748" s="27">
        <f>IF($A748="","",SUMIFS(入库单!$K$4:$K$2503,入库单!$G$4:$G$2503,$A748,入库单!$X$4:$X$2503,"采购入库",入库单!$Z$4:$Z$2503,"正常",入库单!$C$4:$C$2503,"&gt;="&amp;账期起,入库单!$C$4:$C$2503,"&lt;="&amp;账期止))</f>
        <v/>
      </c>
      <c r="J748" s="26">
        <f>IF($A748="","",SUMIFS(入库单!$V$4:$V$2503,入库单!$G$4:$G$2503,$A748,入库单!$X$4:$X$2503,"采购入库",入库单!$Z$4:$Z$2503,"正常",入库单!$C$4:$C$2503,"&gt;="&amp;账期起,入库单!$C$4:$C$2503,"&lt;="&amp;账期止))</f>
        <v/>
      </c>
      <c r="K748" s="26">
        <f>IF($A748="","",IFERROR(ROUND((N($H748)+N($J748))/(N($G748)+N($I748)),2),0))</f>
        <v/>
      </c>
      <c r="L748" s="27">
        <f>IF($A748="","",SUMIFS(入库单!$K$4:$K$2503,入库单!$G$4:$G$2503,$A748,入库单!$X$4:$X$2503,"盘盈",入库单!$Z$4:$Z$2503,"正常",入库单!$C$4:$C$2503,"&gt;="&amp;账期起,入库单!$C$4:$C$2503,"&lt;="&amp;账期止))</f>
        <v/>
      </c>
      <c r="M748" s="26">
        <f>IF($A748="","",ROUND($L748*$K748,0))</f>
        <v/>
      </c>
      <c r="N748" s="27">
        <f>IF($A748="","",SUMIFS(入库单!$K$4:$K$2503,入库单!$G$4:$G$2503,$A748,入库单!$X$4:$X$2503,"矿区退库",入库单!$Z$4:$Z$2503,"正常",入库单!$C$4:$C$2503,"&gt;="&amp;账期起,入库单!$C$4:$C$2503,"&lt;="&amp;账期止))</f>
        <v/>
      </c>
      <c r="O748" s="26">
        <f>IF($A748="","",ROUND($N748*$K748,0))</f>
        <v/>
      </c>
      <c r="P748" s="27">
        <f>IF($A748="","",SUMIFS(出库单!$J$4:$J$4003,出库单!$D$4:$D$4003,$A748,出库单!$K$4:$K$4003,"自用消耗",出库单!$U$4:$U$4003,"正常",出库单!$C$4:$C$4003,"&gt;="&amp;账期起,出库单!$C$4:$C$4003,"&lt;="&amp;账期止))</f>
        <v/>
      </c>
      <c r="Q748" s="26">
        <f>IF($A748="","",ROUND(SUMIFS(出库单!$S$4:$S$4003,出库单!$D$4:$D$4003,$A748,出库单!$K$4:$K$4003,"自用消耗",出库单!$U$4:$U$4003,"正常",出库单!$C$4:$C$4003,"&gt;="&amp;账期起,出库单!$C$4:$C$4003,"&lt;="&amp;账期止),0))</f>
        <v/>
      </c>
      <c r="R748" s="27">
        <f>IF($A748="","",SUMIFS(出库单!$J$4:$J$4003,出库单!$D$4:$D$4003,$A748,出库单!$K$4:$K$4003,"对外销售",出库单!$U$4:$U$4003,"正常",出库单!$C$4:$C$4003,"&gt;="&amp;账期起,出库单!$C$4:$C$4003,"&lt;="&amp;账期止))</f>
        <v/>
      </c>
      <c r="S748" s="26">
        <f>IF($A748="","",ROUND(SUMIFS(出库单!$S$4:$S$4003,出库单!$D$4:$D$4003,$A748,出库单!$K$4:$K$4003,"对外销售",出库单!$U$4:$U$4003,"正常",出库单!$C$4:$C$4003,"&gt;="&amp;账期起,出库单!$C$4:$C$4003,"&lt;="&amp;账期止),0))</f>
        <v/>
      </c>
      <c r="T748" s="27">
        <f>IF($A748="","",SUMIFS(出库单!$J$4:$J$4003,出库单!$D$4:$D$4003,$A748,出库单!$K$4:$K$4003,"盘亏",出库单!$U$4:$U$4003,"正常",出库单!$C$4:$C$4003,"&gt;="&amp;账期起,出库单!$C$4:$C$4003,"&lt;="&amp;账期止))</f>
        <v/>
      </c>
      <c r="U748" s="26">
        <f>IF($A748="","",ROUND(SUMIFS(出库单!$S$4:$S$4003,出库单!$D$4:$D$4003,$A748,出库单!$K$4:$K$4003,"盘亏",出库单!$U$4:$U$4003,"正常",出库单!$C$4:$C$4003,"&gt;="&amp;账期起,出库单!$C$4:$C$4003,"&lt;="&amp;账期止),0))</f>
        <v/>
      </c>
      <c r="V748" s="27">
        <f>IF($A748="","",SUMIFS(出库单!$J$4:$J$4003,出库单!$D$4:$D$4003,$A748,出库单!$K$4:$K$4003,"退货给供应商",出库单!$U$4:$U$4003,"正常",出库单!$C$4:$C$4003,"&gt;="&amp;账期起,出库单!$C$4:$C$4003,"&lt;="&amp;账期止))</f>
        <v/>
      </c>
      <c r="W748" s="26">
        <f>IF($A748="","",ROUND(SUMIFS(出库单!$S$4:$S$4003,出库单!$D$4:$D$4003,$A748,出库单!$K$4:$K$4003,"退货给供应商",出库单!$U$4:$U$4003,"正常",出库单!$C$4:$C$4003,"&gt;="&amp;账期起,出库单!$C$4:$C$4003,"&lt;="&amp;账期止),0))</f>
        <v/>
      </c>
      <c r="X748" s="27">
        <f>IF($A748="","",ROUND(N($G748)+$I748+$L748+$N748-$P748-$R748-$T748-$V748,3))</f>
        <v/>
      </c>
      <c r="Y748" s="26">
        <f>IF($A748="","",ROUND(N($H748)+$J748+$M748+$O748-$Q748-$S748-$U748-$W748,0))</f>
        <v/>
      </c>
      <c r="Z748" s="24">
        <f>IF($A748="","",IF(COUNTIFS(入库单!$G$4:$G$2503,$A748,入库单!$Y$4:$Y$2503,"待补价")+COUNTIFS(入库单!$G$4:$G$2503,$A748,入库单!$Y$4:$Y$2503,"暂估")&gt;0,"不可信","可信"))</f>
        <v/>
      </c>
      <c r="AA748" s="24">
        <f>IF($A748="","",IF($X748&lt;-0.001,"※账面负库存，查一下是不是漏记入库",IF(AND(ROUND($X748,3)=0,ABS($Y748)&gt;1),"※数量已经是 0，金额还挂着 "&amp;TEXT($Y748,"#,##0")&amp;" 先令",IF(AND($X748&gt;0,$Y748&lt;=0,$K748=0),"※有数量没金额（这个物料一直没填过进价）",IF($Z748="不可信","△成本含待补价/暂估，毛利仅供参考","")))))</f>
        <v/>
      </c>
    </row>
    <row r="749">
      <c r="A749" s="24">
        <f>IF(物料档案!$A748="","",物料档案!$A748)</f>
        <v/>
      </c>
      <c r="B749" s="24">
        <f>IF($A749="","",IFERROR(VLOOKUP($A749,物料档案!$A$4:$P$1203,3,0),""))</f>
        <v/>
      </c>
      <c r="C749" s="24">
        <f>IF($A749="","",IFERROR(VLOOKUP($A749,物料档案!$A$4:$P$1203,4,0),""))</f>
        <v/>
      </c>
      <c r="D749" s="24">
        <f>IF($A749="","",IFERROR(VLOOKUP($A749,物料档案!$A$4:$P$1203,5,0),""))</f>
        <v/>
      </c>
      <c r="E749" s="24">
        <f>IF($A749="","",IFERROR(VLOOKUP($A749,物料档案!$A$4:$P$1203,2,0),""))</f>
        <v/>
      </c>
      <c r="F749" s="24">
        <f>IF($A749="","",IFERROR(VLOOKUP($A749,物料档案!$A$4:$P$1203,6,0),""))</f>
        <v/>
      </c>
      <c r="G749" s="23" t="n"/>
      <c r="H749" s="32" t="n"/>
      <c r="I749" s="27">
        <f>IF($A749="","",SUMIFS(入库单!$K$4:$K$2503,入库单!$G$4:$G$2503,$A749,入库单!$X$4:$X$2503,"采购入库",入库单!$Z$4:$Z$2503,"正常",入库单!$C$4:$C$2503,"&gt;="&amp;账期起,入库单!$C$4:$C$2503,"&lt;="&amp;账期止))</f>
        <v/>
      </c>
      <c r="J749" s="26">
        <f>IF($A749="","",SUMIFS(入库单!$V$4:$V$2503,入库单!$G$4:$G$2503,$A749,入库单!$X$4:$X$2503,"采购入库",入库单!$Z$4:$Z$2503,"正常",入库单!$C$4:$C$2503,"&gt;="&amp;账期起,入库单!$C$4:$C$2503,"&lt;="&amp;账期止))</f>
        <v/>
      </c>
      <c r="K749" s="26">
        <f>IF($A749="","",IFERROR(ROUND((N($H749)+N($J749))/(N($G749)+N($I749)),2),0))</f>
        <v/>
      </c>
      <c r="L749" s="27">
        <f>IF($A749="","",SUMIFS(入库单!$K$4:$K$2503,入库单!$G$4:$G$2503,$A749,入库单!$X$4:$X$2503,"盘盈",入库单!$Z$4:$Z$2503,"正常",入库单!$C$4:$C$2503,"&gt;="&amp;账期起,入库单!$C$4:$C$2503,"&lt;="&amp;账期止))</f>
        <v/>
      </c>
      <c r="M749" s="26">
        <f>IF($A749="","",ROUND($L749*$K749,0))</f>
        <v/>
      </c>
      <c r="N749" s="27">
        <f>IF($A749="","",SUMIFS(入库单!$K$4:$K$2503,入库单!$G$4:$G$2503,$A749,入库单!$X$4:$X$2503,"矿区退库",入库单!$Z$4:$Z$2503,"正常",入库单!$C$4:$C$2503,"&gt;="&amp;账期起,入库单!$C$4:$C$2503,"&lt;="&amp;账期止))</f>
        <v/>
      </c>
      <c r="O749" s="26">
        <f>IF($A749="","",ROUND($N749*$K749,0))</f>
        <v/>
      </c>
      <c r="P749" s="27">
        <f>IF($A749="","",SUMIFS(出库单!$J$4:$J$4003,出库单!$D$4:$D$4003,$A749,出库单!$K$4:$K$4003,"自用消耗",出库单!$U$4:$U$4003,"正常",出库单!$C$4:$C$4003,"&gt;="&amp;账期起,出库单!$C$4:$C$4003,"&lt;="&amp;账期止))</f>
        <v/>
      </c>
      <c r="Q749" s="26">
        <f>IF($A749="","",ROUND(SUMIFS(出库单!$S$4:$S$4003,出库单!$D$4:$D$4003,$A749,出库单!$K$4:$K$4003,"自用消耗",出库单!$U$4:$U$4003,"正常",出库单!$C$4:$C$4003,"&gt;="&amp;账期起,出库单!$C$4:$C$4003,"&lt;="&amp;账期止),0))</f>
        <v/>
      </c>
      <c r="R749" s="27">
        <f>IF($A749="","",SUMIFS(出库单!$J$4:$J$4003,出库单!$D$4:$D$4003,$A749,出库单!$K$4:$K$4003,"对外销售",出库单!$U$4:$U$4003,"正常",出库单!$C$4:$C$4003,"&gt;="&amp;账期起,出库单!$C$4:$C$4003,"&lt;="&amp;账期止))</f>
        <v/>
      </c>
      <c r="S749" s="26">
        <f>IF($A749="","",ROUND(SUMIFS(出库单!$S$4:$S$4003,出库单!$D$4:$D$4003,$A749,出库单!$K$4:$K$4003,"对外销售",出库单!$U$4:$U$4003,"正常",出库单!$C$4:$C$4003,"&gt;="&amp;账期起,出库单!$C$4:$C$4003,"&lt;="&amp;账期止),0))</f>
        <v/>
      </c>
      <c r="T749" s="27">
        <f>IF($A749="","",SUMIFS(出库单!$J$4:$J$4003,出库单!$D$4:$D$4003,$A749,出库单!$K$4:$K$4003,"盘亏",出库单!$U$4:$U$4003,"正常",出库单!$C$4:$C$4003,"&gt;="&amp;账期起,出库单!$C$4:$C$4003,"&lt;="&amp;账期止))</f>
        <v/>
      </c>
      <c r="U749" s="26">
        <f>IF($A749="","",ROUND(SUMIFS(出库单!$S$4:$S$4003,出库单!$D$4:$D$4003,$A749,出库单!$K$4:$K$4003,"盘亏",出库单!$U$4:$U$4003,"正常",出库单!$C$4:$C$4003,"&gt;="&amp;账期起,出库单!$C$4:$C$4003,"&lt;="&amp;账期止),0))</f>
        <v/>
      </c>
      <c r="V749" s="27">
        <f>IF($A749="","",SUMIFS(出库单!$J$4:$J$4003,出库单!$D$4:$D$4003,$A749,出库单!$K$4:$K$4003,"退货给供应商",出库单!$U$4:$U$4003,"正常",出库单!$C$4:$C$4003,"&gt;="&amp;账期起,出库单!$C$4:$C$4003,"&lt;="&amp;账期止))</f>
        <v/>
      </c>
      <c r="W749" s="26">
        <f>IF($A749="","",ROUND(SUMIFS(出库单!$S$4:$S$4003,出库单!$D$4:$D$4003,$A749,出库单!$K$4:$K$4003,"退货给供应商",出库单!$U$4:$U$4003,"正常",出库单!$C$4:$C$4003,"&gt;="&amp;账期起,出库单!$C$4:$C$4003,"&lt;="&amp;账期止),0))</f>
        <v/>
      </c>
      <c r="X749" s="27">
        <f>IF($A749="","",ROUND(N($G749)+$I749+$L749+$N749-$P749-$R749-$T749-$V749,3))</f>
        <v/>
      </c>
      <c r="Y749" s="26">
        <f>IF($A749="","",ROUND(N($H749)+$J749+$M749+$O749-$Q749-$S749-$U749-$W749,0))</f>
        <v/>
      </c>
      <c r="Z749" s="24">
        <f>IF($A749="","",IF(COUNTIFS(入库单!$G$4:$G$2503,$A749,入库单!$Y$4:$Y$2503,"待补价")+COUNTIFS(入库单!$G$4:$G$2503,$A749,入库单!$Y$4:$Y$2503,"暂估")&gt;0,"不可信","可信"))</f>
        <v/>
      </c>
      <c r="AA749" s="24">
        <f>IF($A749="","",IF($X749&lt;-0.001,"※账面负库存，查一下是不是漏记入库",IF(AND(ROUND($X749,3)=0,ABS($Y749)&gt;1),"※数量已经是 0，金额还挂着 "&amp;TEXT($Y749,"#,##0")&amp;" 先令",IF(AND($X749&gt;0,$Y749&lt;=0,$K749=0),"※有数量没金额（这个物料一直没填过进价）",IF($Z749="不可信","△成本含待补价/暂估，毛利仅供参考","")))))</f>
        <v/>
      </c>
    </row>
    <row r="750">
      <c r="A750" s="24">
        <f>IF(物料档案!$A749="","",物料档案!$A749)</f>
        <v/>
      </c>
      <c r="B750" s="24">
        <f>IF($A750="","",IFERROR(VLOOKUP($A750,物料档案!$A$4:$P$1203,3,0),""))</f>
        <v/>
      </c>
      <c r="C750" s="24">
        <f>IF($A750="","",IFERROR(VLOOKUP($A750,物料档案!$A$4:$P$1203,4,0),""))</f>
        <v/>
      </c>
      <c r="D750" s="24">
        <f>IF($A750="","",IFERROR(VLOOKUP($A750,物料档案!$A$4:$P$1203,5,0),""))</f>
        <v/>
      </c>
      <c r="E750" s="24">
        <f>IF($A750="","",IFERROR(VLOOKUP($A750,物料档案!$A$4:$P$1203,2,0),""))</f>
        <v/>
      </c>
      <c r="F750" s="24">
        <f>IF($A750="","",IFERROR(VLOOKUP($A750,物料档案!$A$4:$P$1203,6,0),""))</f>
        <v/>
      </c>
      <c r="G750" s="23" t="n"/>
      <c r="H750" s="32" t="n"/>
      <c r="I750" s="27">
        <f>IF($A750="","",SUMIFS(入库单!$K$4:$K$2503,入库单!$G$4:$G$2503,$A750,入库单!$X$4:$X$2503,"采购入库",入库单!$Z$4:$Z$2503,"正常",入库单!$C$4:$C$2503,"&gt;="&amp;账期起,入库单!$C$4:$C$2503,"&lt;="&amp;账期止))</f>
        <v/>
      </c>
      <c r="J750" s="26">
        <f>IF($A750="","",SUMIFS(入库单!$V$4:$V$2503,入库单!$G$4:$G$2503,$A750,入库单!$X$4:$X$2503,"采购入库",入库单!$Z$4:$Z$2503,"正常",入库单!$C$4:$C$2503,"&gt;="&amp;账期起,入库单!$C$4:$C$2503,"&lt;="&amp;账期止))</f>
        <v/>
      </c>
      <c r="K750" s="26">
        <f>IF($A750="","",IFERROR(ROUND((N($H750)+N($J750))/(N($G750)+N($I750)),2),0))</f>
        <v/>
      </c>
      <c r="L750" s="27">
        <f>IF($A750="","",SUMIFS(入库单!$K$4:$K$2503,入库单!$G$4:$G$2503,$A750,入库单!$X$4:$X$2503,"盘盈",入库单!$Z$4:$Z$2503,"正常",入库单!$C$4:$C$2503,"&gt;="&amp;账期起,入库单!$C$4:$C$2503,"&lt;="&amp;账期止))</f>
        <v/>
      </c>
      <c r="M750" s="26">
        <f>IF($A750="","",ROUND($L750*$K750,0))</f>
        <v/>
      </c>
      <c r="N750" s="27">
        <f>IF($A750="","",SUMIFS(入库单!$K$4:$K$2503,入库单!$G$4:$G$2503,$A750,入库单!$X$4:$X$2503,"矿区退库",入库单!$Z$4:$Z$2503,"正常",入库单!$C$4:$C$2503,"&gt;="&amp;账期起,入库单!$C$4:$C$2503,"&lt;="&amp;账期止))</f>
        <v/>
      </c>
      <c r="O750" s="26">
        <f>IF($A750="","",ROUND($N750*$K750,0))</f>
        <v/>
      </c>
      <c r="P750" s="27">
        <f>IF($A750="","",SUMIFS(出库单!$J$4:$J$4003,出库单!$D$4:$D$4003,$A750,出库单!$K$4:$K$4003,"自用消耗",出库单!$U$4:$U$4003,"正常",出库单!$C$4:$C$4003,"&gt;="&amp;账期起,出库单!$C$4:$C$4003,"&lt;="&amp;账期止))</f>
        <v/>
      </c>
      <c r="Q750" s="26">
        <f>IF($A750="","",ROUND(SUMIFS(出库单!$S$4:$S$4003,出库单!$D$4:$D$4003,$A750,出库单!$K$4:$K$4003,"自用消耗",出库单!$U$4:$U$4003,"正常",出库单!$C$4:$C$4003,"&gt;="&amp;账期起,出库单!$C$4:$C$4003,"&lt;="&amp;账期止),0))</f>
        <v/>
      </c>
      <c r="R750" s="27">
        <f>IF($A750="","",SUMIFS(出库单!$J$4:$J$4003,出库单!$D$4:$D$4003,$A750,出库单!$K$4:$K$4003,"对外销售",出库单!$U$4:$U$4003,"正常",出库单!$C$4:$C$4003,"&gt;="&amp;账期起,出库单!$C$4:$C$4003,"&lt;="&amp;账期止))</f>
        <v/>
      </c>
      <c r="S750" s="26">
        <f>IF($A750="","",ROUND(SUMIFS(出库单!$S$4:$S$4003,出库单!$D$4:$D$4003,$A750,出库单!$K$4:$K$4003,"对外销售",出库单!$U$4:$U$4003,"正常",出库单!$C$4:$C$4003,"&gt;="&amp;账期起,出库单!$C$4:$C$4003,"&lt;="&amp;账期止),0))</f>
        <v/>
      </c>
      <c r="T750" s="27">
        <f>IF($A750="","",SUMIFS(出库单!$J$4:$J$4003,出库单!$D$4:$D$4003,$A750,出库单!$K$4:$K$4003,"盘亏",出库单!$U$4:$U$4003,"正常",出库单!$C$4:$C$4003,"&gt;="&amp;账期起,出库单!$C$4:$C$4003,"&lt;="&amp;账期止))</f>
        <v/>
      </c>
      <c r="U750" s="26">
        <f>IF($A750="","",ROUND(SUMIFS(出库单!$S$4:$S$4003,出库单!$D$4:$D$4003,$A750,出库单!$K$4:$K$4003,"盘亏",出库单!$U$4:$U$4003,"正常",出库单!$C$4:$C$4003,"&gt;="&amp;账期起,出库单!$C$4:$C$4003,"&lt;="&amp;账期止),0))</f>
        <v/>
      </c>
      <c r="V750" s="27">
        <f>IF($A750="","",SUMIFS(出库单!$J$4:$J$4003,出库单!$D$4:$D$4003,$A750,出库单!$K$4:$K$4003,"退货给供应商",出库单!$U$4:$U$4003,"正常",出库单!$C$4:$C$4003,"&gt;="&amp;账期起,出库单!$C$4:$C$4003,"&lt;="&amp;账期止))</f>
        <v/>
      </c>
      <c r="W750" s="26">
        <f>IF($A750="","",ROUND(SUMIFS(出库单!$S$4:$S$4003,出库单!$D$4:$D$4003,$A750,出库单!$K$4:$K$4003,"退货给供应商",出库单!$U$4:$U$4003,"正常",出库单!$C$4:$C$4003,"&gt;="&amp;账期起,出库单!$C$4:$C$4003,"&lt;="&amp;账期止),0))</f>
        <v/>
      </c>
      <c r="X750" s="27">
        <f>IF($A750="","",ROUND(N($G750)+$I750+$L750+$N750-$P750-$R750-$T750-$V750,3))</f>
        <v/>
      </c>
      <c r="Y750" s="26">
        <f>IF($A750="","",ROUND(N($H750)+$J750+$M750+$O750-$Q750-$S750-$U750-$W750,0))</f>
        <v/>
      </c>
      <c r="Z750" s="24">
        <f>IF($A750="","",IF(COUNTIFS(入库单!$G$4:$G$2503,$A750,入库单!$Y$4:$Y$2503,"待补价")+COUNTIFS(入库单!$G$4:$G$2503,$A750,入库单!$Y$4:$Y$2503,"暂估")&gt;0,"不可信","可信"))</f>
        <v/>
      </c>
      <c r="AA750" s="24">
        <f>IF($A750="","",IF($X750&lt;-0.001,"※账面负库存，查一下是不是漏记入库",IF(AND(ROUND($X750,3)=0,ABS($Y750)&gt;1),"※数量已经是 0，金额还挂着 "&amp;TEXT($Y750,"#,##0")&amp;" 先令",IF(AND($X750&gt;0,$Y750&lt;=0,$K750=0),"※有数量没金额（这个物料一直没填过进价）",IF($Z750="不可信","△成本含待补价/暂估，毛利仅供参考","")))))</f>
        <v/>
      </c>
    </row>
    <row r="751">
      <c r="A751" s="24">
        <f>IF(物料档案!$A750="","",物料档案!$A750)</f>
        <v/>
      </c>
      <c r="B751" s="24">
        <f>IF($A751="","",IFERROR(VLOOKUP($A751,物料档案!$A$4:$P$1203,3,0),""))</f>
        <v/>
      </c>
      <c r="C751" s="24">
        <f>IF($A751="","",IFERROR(VLOOKUP($A751,物料档案!$A$4:$P$1203,4,0),""))</f>
        <v/>
      </c>
      <c r="D751" s="24">
        <f>IF($A751="","",IFERROR(VLOOKUP($A751,物料档案!$A$4:$P$1203,5,0),""))</f>
        <v/>
      </c>
      <c r="E751" s="24">
        <f>IF($A751="","",IFERROR(VLOOKUP($A751,物料档案!$A$4:$P$1203,2,0),""))</f>
        <v/>
      </c>
      <c r="F751" s="24">
        <f>IF($A751="","",IFERROR(VLOOKUP($A751,物料档案!$A$4:$P$1203,6,0),""))</f>
        <v/>
      </c>
      <c r="G751" s="23" t="n"/>
      <c r="H751" s="32" t="n"/>
      <c r="I751" s="27">
        <f>IF($A751="","",SUMIFS(入库单!$K$4:$K$2503,入库单!$G$4:$G$2503,$A751,入库单!$X$4:$X$2503,"采购入库",入库单!$Z$4:$Z$2503,"正常",入库单!$C$4:$C$2503,"&gt;="&amp;账期起,入库单!$C$4:$C$2503,"&lt;="&amp;账期止))</f>
        <v/>
      </c>
      <c r="J751" s="26">
        <f>IF($A751="","",SUMIFS(入库单!$V$4:$V$2503,入库单!$G$4:$G$2503,$A751,入库单!$X$4:$X$2503,"采购入库",入库单!$Z$4:$Z$2503,"正常",入库单!$C$4:$C$2503,"&gt;="&amp;账期起,入库单!$C$4:$C$2503,"&lt;="&amp;账期止))</f>
        <v/>
      </c>
      <c r="K751" s="26">
        <f>IF($A751="","",IFERROR(ROUND((N($H751)+N($J751))/(N($G751)+N($I751)),2),0))</f>
        <v/>
      </c>
      <c r="L751" s="27">
        <f>IF($A751="","",SUMIFS(入库单!$K$4:$K$2503,入库单!$G$4:$G$2503,$A751,入库单!$X$4:$X$2503,"盘盈",入库单!$Z$4:$Z$2503,"正常",入库单!$C$4:$C$2503,"&gt;="&amp;账期起,入库单!$C$4:$C$2503,"&lt;="&amp;账期止))</f>
        <v/>
      </c>
      <c r="M751" s="26">
        <f>IF($A751="","",ROUND($L751*$K751,0))</f>
        <v/>
      </c>
      <c r="N751" s="27">
        <f>IF($A751="","",SUMIFS(入库单!$K$4:$K$2503,入库单!$G$4:$G$2503,$A751,入库单!$X$4:$X$2503,"矿区退库",入库单!$Z$4:$Z$2503,"正常",入库单!$C$4:$C$2503,"&gt;="&amp;账期起,入库单!$C$4:$C$2503,"&lt;="&amp;账期止))</f>
        <v/>
      </c>
      <c r="O751" s="26">
        <f>IF($A751="","",ROUND($N751*$K751,0))</f>
        <v/>
      </c>
      <c r="P751" s="27">
        <f>IF($A751="","",SUMIFS(出库单!$J$4:$J$4003,出库单!$D$4:$D$4003,$A751,出库单!$K$4:$K$4003,"自用消耗",出库单!$U$4:$U$4003,"正常",出库单!$C$4:$C$4003,"&gt;="&amp;账期起,出库单!$C$4:$C$4003,"&lt;="&amp;账期止))</f>
        <v/>
      </c>
      <c r="Q751" s="26">
        <f>IF($A751="","",ROUND(SUMIFS(出库单!$S$4:$S$4003,出库单!$D$4:$D$4003,$A751,出库单!$K$4:$K$4003,"自用消耗",出库单!$U$4:$U$4003,"正常",出库单!$C$4:$C$4003,"&gt;="&amp;账期起,出库单!$C$4:$C$4003,"&lt;="&amp;账期止),0))</f>
        <v/>
      </c>
      <c r="R751" s="27">
        <f>IF($A751="","",SUMIFS(出库单!$J$4:$J$4003,出库单!$D$4:$D$4003,$A751,出库单!$K$4:$K$4003,"对外销售",出库单!$U$4:$U$4003,"正常",出库单!$C$4:$C$4003,"&gt;="&amp;账期起,出库单!$C$4:$C$4003,"&lt;="&amp;账期止))</f>
        <v/>
      </c>
      <c r="S751" s="26">
        <f>IF($A751="","",ROUND(SUMIFS(出库单!$S$4:$S$4003,出库单!$D$4:$D$4003,$A751,出库单!$K$4:$K$4003,"对外销售",出库单!$U$4:$U$4003,"正常",出库单!$C$4:$C$4003,"&gt;="&amp;账期起,出库单!$C$4:$C$4003,"&lt;="&amp;账期止),0))</f>
        <v/>
      </c>
      <c r="T751" s="27">
        <f>IF($A751="","",SUMIFS(出库单!$J$4:$J$4003,出库单!$D$4:$D$4003,$A751,出库单!$K$4:$K$4003,"盘亏",出库单!$U$4:$U$4003,"正常",出库单!$C$4:$C$4003,"&gt;="&amp;账期起,出库单!$C$4:$C$4003,"&lt;="&amp;账期止))</f>
        <v/>
      </c>
      <c r="U751" s="26">
        <f>IF($A751="","",ROUND(SUMIFS(出库单!$S$4:$S$4003,出库单!$D$4:$D$4003,$A751,出库单!$K$4:$K$4003,"盘亏",出库单!$U$4:$U$4003,"正常",出库单!$C$4:$C$4003,"&gt;="&amp;账期起,出库单!$C$4:$C$4003,"&lt;="&amp;账期止),0))</f>
        <v/>
      </c>
      <c r="V751" s="27">
        <f>IF($A751="","",SUMIFS(出库单!$J$4:$J$4003,出库单!$D$4:$D$4003,$A751,出库单!$K$4:$K$4003,"退货给供应商",出库单!$U$4:$U$4003,"正常",出库单!$C$4:$C$4003,"&gt;="&amp;账期起,出库单!$C$4:$C$4003,"&lt;="&amp;账期止))</f>
        <v/>
      </c>
      <c r="W751" s="26">
        <f>IF($A751="","",ROUND(SUMIFS(出库单!$S$4:$S$4003,出库单!$D$4:$D$4003,$A751,出库单!$K$4:$K$4003,"退货给供应商",出库单!$U$4:$U$4003,"正常",出库单!$C$4:$C$4003,"&gt;="&amp;账期起,出库单!$C$4:$C$4003,"&lt;="&amp;账期止),0))</f>
        <v/>
      </c>
      <c r="X751" s="27">
        <f>IF($A751="","",ROUND(N($G751)+$I751+$L751+$N751-$P751-$R751-$T751-$V751,3))</f>
        <v/>
      </c>
      <c r="Y751" s="26">
        <f>IF($A751="","",ROUND(N($H751)+$J751+$M751+$O751-$Q751-$S751-$U751-$W751,0))</f>
        <v/>
      </c>
      <c r="Z751" s="24">
        <f>IF($A751="","",IF(COUNTIFS(入库单!$G$4:$G$2503,$A751,入库单!$Y$4:$Y$2503,"待补价")+COUNTIFS(入库单!$G$4:$G$2503,$A751,入库单!$Y$4:$Y$2503,"暂估")&gt;0,"不可信","可信"))</f>
        <v/>
      </c>
      <c r="AA751" s="24">
        <f>IF($A751="","",IF($X751&lt;-0.001,"※账面负库存，查一下是不是漏记入库",IF(AND(ROUND($X751,3)=0,ABS($Y751)&gt;1),"※数量已经是 0，金额还挂着 "&amp;TEXT($Y751,"#,##0")&amp;" 先令",IF(AND($X751&gt;0,$Y751&lt;=0,$K751=0),"※有数量没金额（这个物料一直没填过进价）",IF($Z751="不可信","△成本含待补价/暂估，毛利仅供参考","")))))</f>
        <v/>
      </c>
    </row>
    <row r="752">
      <c r="A752" s="24">
        <f>IF(物料档案!$A751="","",物料档案!$A751)</f>
        <v/>
      </c>
      <c r="B752" s="24">
        <f>IF($A752="","",IFERROR(VLOOKUP($A752,物料档案!$A$4:$P$1203,3,0),""))</f>
        <v/>
      </c>
      <c r="C752" s="24">
        <f>IF($A752="","",IFERROR(VLOOKUP($A752,物料档案!$A$4:$P$1203,4,0),""))</f>
        <v/>
      </c>
      <c r="D752" s="24">
        <f>IF($A752="","",IFERROR(VLOOKUP($A752,物料档案!$A$4:$P$1203,5,0),""))</f>
        <v/>
      </c>
      <c r="E752" s="24">
        <f>IF($A752="","",IFERROR(VLOOKUP($A752,物料档案!$A$4:$P$1203,2,0),""))</f>
        <v/>
      </c>
      <c r="F752" s="24">
        <f>IF($A752="","",IFERROR(VLOOKUP($A752,物料档案!$A$4:$P$1203,6,0),""))</f>
        <v/>
      </c>
      <c r="G752" s="23" t="n"/>
      <c r="H752" s="32" t="n"/>
      <c r="I752" s="27">
        <f>IF($A752="","",SUMIFS(入库单!$K$4:$K$2503,入库单!$G$4:$G$2503,$A752,入库单!$X$4:$X$2503,"采购入库",入库单!$Z$4:$Z$2503,"正常",入库单!$C$4:$C$2503,"&gt;="&amp;账期起,入库单!$C$4:$C$2503,"&lt;="&amp;账期止))</f>
        <v/>
      </c>
      <c r="J752" s="26">
        <f>IF($A752="","",SUMIFS(入库单!$V$4:$V$2503,入库单!$G$4:$G$2503,$A752,入库单!$X$4:$X$2503,"采购入库",入库单!$Z$4:$Z$2503,"正常",入库单!$C$4:$C$2503,"&gt;="&amp;账期起,入库单!$C$4:$C$2503,"&lt;="&amp;账期止))</f>
        <v/>
      </c>
      <c r="K752" s="26">
        <f>IF($A752="","",IFERROR(ROUND((N($H752)+N($J752))/(N($G752)+N($I752)),2),0))</f>
        <v/>
      </c>
      <c r="L752" s="27">
        <f>IF($A752="","",SUMIFS(入库单!$K$4:$K$2503,入库单!$G$4:$G$2503,$A752,入库单!$X$4:$X$2503,"盘盈",入库单!$Z$4:$Z$2503,"正常",入库单!$C$4:$C$2503,"&gt;="&amp;账期起,入库单!$C$4:$C$2503,"&lt;="&amp;账期止))</f>
        <v/>
      </c>
      <c r="M752" s="26">
        <f>IF($A752="","",ROUND($L752*$K752,0))</f>
        <v/>
      </c>
      <c r="N752" s="27">
        <f>IF($A752="","",SUMIFS(入库单!$K$4:$K$2503,入库单!$G$4:$G$2503,$A752,入库单!$X$4:$X$2503,"矿区退库",入库单!$Z$4:$Z$2503,"正常",入库单!$C$4:$C$2503,"&gt;="&amp;账期起,入库单!$C$4:$C$2503,"&lt;="&amp;账期止))</f>
        <v/>
      </c>
      <c r="O752" s="26">
        <f>IF($A752="","",ROUND($N752*$K752,0))</f>
        <v/>
      </c>
      <c r="P752" s="27">
        <f>IF($A752="","",SUMIFS(出库单!$J$4:$J$4003,出库单!$D$4:$D$4003,$A752,出库单!$K$4:$K$4003,"自用消耗",出库单!$U$4:$U$4003,"正常",出库单!$C$4:$C$4003,"&gt;="&amp;账期起,出库单!$C$4:$C$4003,"&lt;="&amp;账期止))</f>
        <v/>
      </c>
      <c r="Q752" s="26">
        <f>IF($A752="","",ROUND(SUMIFS(出库单!$S$4:$S$4003,出库单!$D$4:$D$4003,$A752,出库单!$K$4:$K$4003,"自用消耗",出库单!$U$4:$U$4003,"正常",出库单!$C$4:$C$4003,"&gt;="&amp;账期起,出库单!$C$4:$C$4003,"&lt;="&amp;账期止),0))</f>
        <v/>
      </c>
      <c r="R752" s="27">
        <f>IF($A752="","",SUMIFS(出库单!$J$4:$J$4003,出库单!$D$4:$D$4003,$A752,出库单!$K$4:$K$4003,"对外销售",出库单!$U$4:$U$4003,"正常",出库单!$C$4:$C$4003,"&gt;="&amp;账期起,出库单!$C$4:$C$4003,"&lt;="&amp;账期止))</f>
        <v/>
      </c>
      <c r="S752" s="26">
        <f>IF($A752="","",ROUND(SUMIFS(出库单!$S$4:$S$4003,出库单!$D$4:$D$4003,$A752,出库单!$K$4:$K$4003,"对外销售",出库单!$U$4:$U$4003,"正常",出库单!$C$4:$C$4003,"&gt;="&amp;账期起,出库单!$C$4:$C$4003,"&lt;="&amp;账期止),0))</f>
        <v/>
      </c>
      <c r="T752" s="27">
        <f>IF($A752="","",SUMIFS(出库单!$J$4:$J$4003,出库单!$D$4:$D$4003,$A752,出库单!$K$4:$K$4003,"盘亏",出库单!$U$4:$U$4003,"正常",出库单!$C$4:$C$4003,"&gt;="&amp;账期起,出库单!$C$4:$C$4003,"&lt;="&amp;账期止))</f>
        <v/>
      </c>
      <c r="U752" s="26">
        <f>IF($A752="","",ROUND(SUMIFS(出库单!$S$4:$S$4003,出库单!$D$4:$D$4003,$A752,出库单!$K$4:$K$4003,"盘亏",出库单!$U$4:$U$4003,"正常",出库单!$C$4:$C$4003,"&gt;="&amp;账期起,出库单!$C$4:$C$4003,"&lt;="&amp;账期止),0))</f>
        <v/>
      </c>
      <c r="V752" s="27">
        <f>IF($A752="","",SUMIFS(出库单!$J$4:$J$4003,出库单!$D$4:$D$4003,$A752,出库单!$K$4:$K$4003,"退货给供应商",出库单!$U$4:$U$4003,"正常",出库单!$C$4:$C$4003,"&gt;="&amp;账期起,出库单!$C$4:$C$4003,"&lt;="&amp;账期止))</f>
        <v/>
      </c>
      <c r="W752" s="26">
        <f>IF($A752="","",ROUND(SUMIFS(出库单!$S$4:$S$4003,出库单!$D$4:$D$4003,$A752,出库单!$K$4:$K$4003,"退货给供应商",出库单!$U$4:$U$4003,"正常",出库单!$C$4:$C$4003,"&gt;="&amp;账期起,出库单!$C$4:$C$4003,"&lt;="&amp;账期止),0))</f>
        <v/>
      </c>
      <c r="X752" s="27">
        <f>IF($A752="","",ROUND(N($G752)+$I752+$L752+$N752-$P752-$R752-$T752-$V752,3))</f>
        <v/>
      </c>
      <c r="Y752" s="26">
        <f>IF($A752="","",ROUND(N($H752)+$J752+$M752+$O752-$Q752-$S752-$U752-$W752,0))</f>
        <v/>
      </c>
      <c r="Z752" s="24">
        <f>IF($A752="","",IF(COUNTIFS(入库单!$G$4:$G$2503,$A752,入库单!$Y$4:$Y$2503,"待补价")+COUNTIFS(入库单!$G$4:$G$2503,$A752,入库单!$Y$4:$Y$2503,"暂估")&gt;0,"不可信","可信"))</f>
        <v/>
      </c>
      <c r="AA752" s="24">
        <f>IF($A752="","",IF($X752&lt;-0.001,"※账面负库存，查一下是不是漏记入库",IF(AND(ROUND($X752,3)=0,ABS($Y752)&gt;1),"※数量已经是 0，金额还挂着 "&amp;TEXT($Y752,"#,##0")&amp;" 先令",IF(AND($X752&gt;0,$Y752&lt;=0,$K752=0),"※有数量没金额（这个物料一直没填过进价）",IF($Z752="不可信","△成本含待补价/暂估，毛利仅供参考","")))))</f>
        <v/>
      </c>
    </row>
    <row r="753">
      <c r="A753" s="24">
        <f>IF(物料档案!$A752="","",物料档案!$A752)</f>
        <v/>
      </c>
      <c r="B753" s="24">
        <f>IF($A753="","",IFERROR(VLOOKUP($A753,物料档案!$A$4:$P$1203,3,0),""))</f>
        <v/>
      </c>
      <c r="C753" s="24">
        <f>IF($A753="","",IFERROR(VLOOKUP($A753,物料档案!$A$4:$P$1203,4,0),""))</f>
        <v/>
      </c>
      <c r="D753" s="24">
        <f>IF($A753="","",IFERROR(VLOOKUP($A753,物料档案!$A$4:$P$1203,5,0),""))</f>
        <v/>
      </c>
      <c r="E753" s="24">
        <f>IF($A753="","",IFERROR(VLOOKUP($A753,物料档案!$A$4:$P$1203,2,0),""))</f>
        <v/>
      </c>
      <c r="F753" s="24">
        <f>IF($A753="","",IFERROR(VLOOKUP($A753,物料档案!$A$4:$P$1203,6,0),""))</f>
        <v/>
      </c>
      <c r="G753" s="23" t="n"/>
      <c r="H753" s="32" t="n"/>
      <c r="I753" s="27">
        <f>IF($A753="","",SUMIFS(入库单!$K$4:$K$2503,入库单!$G$4:$G$2503,$A753,入库单!$X$4:$X$2503,"采购入库",入库单!$Z$4:$Z$2503,"正常",入库单!$C$4:$C$2503,"&gt;="&amp;账期起,入库单!$C$4:$C$2503,"&lt;="&amp;账期止))</f>
        <v/>
      </c>
      <c r="J753" s="26">
        <f>IF($A753="","",SUMIFS(入库单!$V$4:$V$2503,入库单!$G$4:$G$2503,$A753,入库单!$X$4:$X$2503,"采购入库",入库单!$Z$4:$Z$2503,"正常",入库单!$C$4:$C$2503,"&gt;="&amp;账期起,入库单!$C$4:$C$2503,"&lt;="&amp;账期止))</f>
        <v/>
      </c>
      <c r="K753" s="26">
        <f>IF($A753="","",IFERROR(ROUND((N($H753)+N($J753))/(N($G753)+N($I753)),2),0))</f>
        <v/>
      </c>
      <c r="L753" s="27">
        <f>IF($A753="","",SUMIFS(入库单!$K$4:$K$2503,入库单!$G$4:$G$2503,$A753,入库单!$X$4:$X$2503,"盘盈",入库单!$Z$4:$Z$2503,"正常",入库单!$C$4:$C$2503,"&gt;="&amp;账期起,入库单!$C$4:$C$2503,"&lt;="&amp;账期止))</f>
        <v/>
      </c>
      <c r="M753" s="26">
        <f>IF($A753="","",ROUND($L753*$K753,0))</f>
        <v/>
      </c>
      <c r="N753" s="27">
        <f>IF($A753="","",SUMIFS(入库单!$K$4:$K$2503,入库单!$G$4:$G$2503,$A753,入库单!$X$4:$X$2503,"矿区退库",入库单!$Z$4:$Z$2503,"正常",入库单!$C$4:$C$2503,"&gt;="&amp;账期起,入库单!$C$4:$C$2503,"&lt;="&amp;账期止))</f>
        <v/>
      </c>
      <c r="O753" s="26">
        <f>IF($A753="","",ROUND($N753*$K753,0))</f>
        <v/>
      </c>
      <c r="P753" s="27">
        <f>IF($A753="","",SUMIFS(出库单!$J$4:$J$4003,出库单!$D$4:$D$4003,$A753,出库单!$K$4:$K$4003,"自用消耗",出库单!$U$4:$U$4003,"正常",出库单!$C$4:$C$4003,"&gt;="&amp;账期起,出库单!$C$4:$C$4003,"&lt;="&amp;账期止))</f>
        <v/>
      </c>
      <c r="Q753" s="26">
        <f>IF($A753="","",ROUND(SUMIFS(出库单!$S$4:$S$4003,出库单!$D$4:$D$4003,$A753,出库单!$K$4:$K$4003,"自用消耗",出库单!$U$4:$U$4003,"正常",出库单!$C$4:$C$4003,"&gt;="&amp;账期起,出库单!$C$4:$C$4003,"&lt;="&amp;账期止),0))</f>
        <v/>
      </c>
      <c r="R753" s="27">
        <f>IF($A753="","",SUMIFS(出库单!$J$4:$J$4003,出库单!$D$4:$D$4003,$A753,出库单!$K$4:$K$4003,"对外销售",出库单!$U$4:$U$4003,"正常",出库单!$C$4:$C$4003,"&gt;="&amp;账期起,出库单!$C$4:$C$4003,"&lt;="&amp;账期止))</f>
        <v/>
      </c>
      <c r="S753" s="26">
        <f>IF($A753="","",ROUND(SUMIFS(出库单!$S$4:$S$4003,出库单!$D$4:$D$4003,$A753,出库单!$K$4:$K$4003,"对外销售",出库单!$U$4:$U$4003,"正常",出库单!$C$4:$C$4003,"&gt;="&amp;账期起,出库单!$C$4:$C$4003,"&lt;="&amp;账期止),0))</f>
        <v/>
      </c>
      <c r="T753" s="27">
        <f>IF($A753="","",SUMIFS(出库单!$J$4:$J$4003,出库单!$D$4:$D$4003,$A753,出库单!$K$4:$K$4003,"盘亏",出库单!$U$4:$U$4003,"正常",出库单!$C$4:$C$4003,"&gt;="&amp;账期起,出库单!$C$4:$C$4003,"&lt;="&amp;账期止))</f>
        <v/>
      </c>
      <c r="U753" s="26">
        <f>IF($A753="","",ROUND(SUMIFS(出库单!$S$4:$S$4003,出库单!$D$4:$D$4003,$A753,出库单!$K$4:$K$4003,"盘亏",出库单!$U$4:$U$4003,"正常",出库单!$C$4:$C$4003,"&gt;="&amp;账期起,出库单!$C$4:$C$4003,"&lt;="&amp;账期止),0))</f>
        <v/>
      </c>
      <c r="V753" s="27">
        <f>IF($A753="","",SUMIFS(出库单!$J$4:$J$4003,出库单!$D$4:$D$4003,$A753,出库单!$K$4:$K$4003,"退货给供应商",出库单!$U$4:$U$4003,"正常",出库单!$C$4:$C$4003,"&gt;="&amp;账期起,出库单!$C$4:$C$4003,"&lt;="&amp;账期止))</f>
        <v/>
      </c>
      <c r="W753" s="26">
        <f>IF($A753="","",ROUND(SUMIFS(出库单!$S$4:$S$4003,出库单!$D$4:$D$4003,$A753,出库单!$K$4:$K$4003,"退货给供应商",出库单!$U$4:$U$4003,"正常",出库单!$C$4:$C$4003,"&gt;="&amp;账期起,出库单!$C$4:$C$4003,"&lt;="&amp;账期止),0))</f>
        <v/>
      </c>
      <c r="X753" s="27">
        <f>IF($A753="","",ROUND(N($G753)+$I753+$L753+$N753-$P753-$R753-$T753-$V753,3))</f>
        <v/>
      </c>
      <c r="Y753" s="26">
        <f>IF($A753="","",ROUND(N($H753)+$J753+$M753+$O753-$Q753-$S753-$U753-$W753,0))</f>
        <v/>
      </c>
      <c r="Z753" s="24">
        <f>IF($A753="","",IF(COUNTIFS(入库单!$G$4:$G$2503,$A753,入库单!$Y$4:$Y$2503,"待补价")+COUNTIFS(入库单!$G$4:$G$2503,$A753,入库单!$Y$4:$Y$2503,"暂估")&gt;0,"不可信","可信"))</f>
        <v/>
      </c>
      <c r="AA753" s="24">
        <f>IF($A753="","",IF($X753&lt;-0.001,"※账面负库存，查一下是不是漏记入库",IF(AND(ROUND($X753,3)=0,ABS($Y753)&gt;1),"※数量已经是 0，金额还挂着 "&amp;TEXT($Y753,"#,##0")&amp;" 先令",IF(AND($X753&gt;0,$Y753&lt;=0,$K753=0),"※有数量没金额（这个物料一直没填过进价）",IF($Z753="不可信","△成本含待补价/暂估，毛利仅供参考","")))))</f>
        <v/>
      </c>
    </row>
    <row r="754">
      <c r="A754" s="24">
        <f>IF(物料档案!$A753="","",物料档案!$A753)</f>
        <v/>
      </c>
      <c r="B754" s="24">
        <f>IF($A754="","",IFERROR(VLOOKUP($A754,物料档案!$A$4:$P$1203,3,0),""))</f>
        <v/>
      </c>
      <c r="C754" s="24">
        <f>IF($A754="","",IFERROR(VLOOKUP($A754,物料档案!$A$4:$P$1203,4,0),""))</f>
        <v/>
      </c>
      <c r="D754" s="24">
        <f>IF($A754="","",IFERROR(VLOOKUP($A754,物料档案!$A$4:$P$1203,5,0),""))</f>
        <v/>
      </c>
      <c r="E754" s="24">
        <f>IF($A754="","",IFERROR(VLOOKUP($A754,物料档案!$A$4:$P$1203,2,0),""))</f>
        <v/>
      </c>
      <c r="F754" s="24">
        <f>IF($A754="","",IFERROR(VLOOKUP($A754,物料档案!$A$4:$P$1203,6,0),""))</f>
        <v/>
      </c>
      <c r="G754" s="23" t="n"/>
      <c r="H754" s="32" t="n"/>
      <c r="I754" s="27">
        <f>IF($A754="","",SUMIFS(入库单!$K$4:$K$2503,入库单!$G$4:$G$2503,$A754,入库单!$X$4:$X$2503,"采购入库",入库单!$Z$4:$Z$2503,"正常",入库单!$C$4:$C$2503,"&gt;="&amp;账期起,入库单!$C$4:$C$2503,"&lt;="&amp;账期止))</f>
        <v/>
      </c>
      <c r="J754" s="26">
        <f>IF($A754="","",SUMIFS(入库单!$V$4:$V$2503,入库单!$G$4:$G$2503,$A754,入库单!$X$4:$X$2503,"采购入库",入库单!$Z$4:$Z$2503,"正常",入库单!$C$4:$C$2503,"&gt;="&amp;账期起,入库单!$C$4:$C$2503,"&lt;="&amp;账期止))</f>
        <v/>
      </c>
      <c r="K754" s="26">
        <f>IF($A754="","",IFERROR(ROUND((N($H754)+N($J754))/(N($G754)+N($I754)),2),0))</f>
        <v/>
      </c>
      <c r="L754" s="27">
        <f>IF($A754="","",SUMIFS(入库单!$K$4:$K$2503,入库单!$G$4:$G$2503,$A754,入库单!$X$4:$X$2503,"盘盈",入库单!$Z$4:$Z$2503,"正常",入库单!$C$4:$C$2503,"&gt;="&amp;账期起,入库单!$C$4:$C$2503,"&lt;="&amp;账期止))</f>
        <v/>
      </c>
      <c r="M754" s="26">
        <f>IF($A754="","",ROUND($L754*$K754,0))</f>
        <v/>
      </c>
      <c r="N754" s="27">
        <f>IF($A754="","",SUMIFS(入库单!$K$4:$K$2503,入库单!$G$4:$G$2503,$A754,入库单!$X$4:$X$2503,"矿区退库",入库单!$Z$4:$Z$2503,"正常",入库单!$C$4:$C$2503,"&gt;="&amp;账期起,入库单!$C$4:$C$2503,"&lt;="&amp;账期止))</f>
        <v/>
      </c>
      <c r="O754" s="26">
        <f>IF($A754="","",ROUND($N754*$K754,0))</f>
        <v/>
      </c>
      <c r="P754" s="27">
        <f>IF($A754="","",SUMIFS(出库单!$J$4:$J$4003,出库单!$D$4:$D$4003,$A754,出库单!$K$4:$K$4003,"自用消耗",出库单!$U$4:$U$4003,"正常",出库单!$C$4:$C$4003,"&gt;="&amp;账期起,出库单!$C$4:$C$4003,"&lt;="&amp;账期止))</f>
        <v/>
      </c>
      <c r="Q754" s="26">
        <f>IF($A754="","",ROUND(SUMIFS(出库单!$S$4:$S$4003,出库单!$D$4:$D$4003,$A754,出库单!$K$4:$K$4003,"自用消耗",出库单!$U$4:$U$4003,"正常",出库单!$C$4:$C$4003,"&gt;="&amp;账期起,出库单!$C$4:$C$4003,"&lt;="&amp;账期止),0))</f>
        <v/>
      </c>
      <c r="R754" s="27">
        <f>IF($A754="","",SUMIFS(出库单!$J$4:$J$4003,出库单!$D$4:$D$4003,$A754,出库单!$K$4:$K$4003,"对外销售",出库单!$U$4:$U$4003,"正常",出库单!$C$4:$C$4003,"&gt;="&amp;账期起,出库单!$C$4:$C$4003,"&lt;="&amp;账期止))</f>
        <v/>
      </c>
      <c r="S754" s="26">
        <f>IF($A754="","",ROUND(SUMIFS(出库单!$S$4:$S$4003,出库单!$D$4:$D$4003,$A754,出库单!$K$4:$K$4003,"对外销售",出库单!$U$4:$U$4003,"正常",出库单!$C$4:$C$4003,"&gt;="&amp;账期起,出库单!$C$4:$C$4003,"&lt;="&amp;账期止),0))</f>
        <v/>
      </c>
      <c r="T754" s="27">
        <f>IF($A754="","",SUMIFS(出库单!$J$4:$J$4003,出库单!$D$4:$D$4003,$A754,出库单!$K$4:$K$4003,"盘亏",出库单!$U$4:$U$4003,"正常",出库单!$C$4:$C$4003,"&gt;="&amp;账期起,出库单!$C$4:$C$4003,"&lt;="&amp;账期止))</f>
        <v/>
      </c>
      <c r="U754" s="26">
        <f>IF($A754="","",ROUND(SUMIFS(出库单!$S$4:$S$4003,出库单!$D$4:$D$4003,$A754,出库单!$K$4:$K$4003,"盘亏",出库单!$U$4:$U$4003,"正常",出库单!$C$4:$C$4003,"&gt;="&amp;账期起,出库单!$C$4:$C$4003,"&lt;="&amp;账期止),0))</f>
        <v/>
      </c>
      <c r="V754" s="27">
        <f>IF($A754="","",SUMIFS(出库单!$J$4:$J$4003,出库单!$D$4:$D$4003,$A754,出库单!$K$4:$K$4003,"退货给供应商",出库单!$U$4:$U$4003,"正常",出库单!$C$4:$C$4003,"&gt;="&amp;账期起,出库单!$C$4:$C$4003,"&lt;="&amp;账期止))</f>
        <v/>
      </c>
      <c r="W754" s="26">
        <f>IF($A754="","",ROUND(SUMIFS(出库单!$S$4:$S$4003,出库单!$D$4:$D$4003,$A754,出库单!$K$4:$K$4003,"退货给供应商",出库单!$U$4:$U$4003,"正常",出库单!$C$4:$C$4003,"&gt;="&amp;账期起,出库单!$C$4:$C$4003,"&lt;="&amp;账期止),0))</f>
        <v/>
      </c>
      <c r="X754" s="27">
        <f>IF($A754="","",ROUND(N($G754)+$I754+$L754+$N754-$P754-$R754-$T754-$V754,3))</f>
        <v/>
      </c>
      <c r="Y754" s="26">
        <f>IF($A754="","",ROUND(N($H754)+$J754+$M754+$O754-$Q754-$S754-$U754-$W754,0))</f>
        <v/>
      </c>
      <c r="Z754" s="24">
        <f>IF($A754="","",IF(COUNTIFS(入库单!$G$4:$G$2503,$A754,入库单!$Y$4:$Y$2503,"待补价")+COUNTIFS(入库单!$G$4:$G$2503,$A754,入库单!$Y$4:$Y$2503,"暂估")&gt;0,"不可信","可信"))</f>
        <v/>
      </c>
      <c r="AA754" s="24">
        <f>IF($A754="","",IF($X754&lt;-0.001,"※账面负库存，查一下是不是漏记入库",IF(AND(ROUND($X754,3)=0,ABS($Y754)&gt;1),"※数量已经是 0，金额还挂着 "&amp;TEXT($Y754,"#,##0")&amp;" 先令",IF(AND($X754&gt;0,$Y754&lt;=0,$K754=0),"※有数量没金额（这个物料一直没填过进价）",IF($Z754="不可信","△成本含待补价/暂估，毛利仅供参考","")))))</f>
        <v/>
      </c>
    </row>
    <row r="755">
      <c r="A755" s="24">
        <f>IF(物料档案!$A754="","",物料档案!$A754)</f>
        <v/>
      </c>
      <c r="B755" s="24">
        <f>IF($A755="","",IFERROR(VLOOKUP($A755,物料档案!$A$4:$P$1203,3,0),""))</f>
        <v/>
      </c>
      <c r="C755" s="24">
        <f>IF($A755="","",IFERROR(VLOOKUP($A755,物料档案!$A$4:$P$1203,4,0),""))</f>
        <v/>
      </c>
      <c r="D755" s="24">
        <f>IF($A755="","",IFERROR(VLOOKUP($A755,物料档案!$A$4:$P$1203,5,0),""))</f>
        <v/>
      </c>
      <c r="E755" s="24">
        <f>IF($A755="","",IFERROR(VLOOKUP($A755,物料档案!$A$4:$P$1203,2,0),""))</f>
        <v/>
      </c>
      <c r="F755" s="24">
        <f>IF($A755="","",IFERROR(VLOOKUP($A755,物料档案!$A$4:$P$1203,6,0),""))</f>
        <v/>
      </c>
      <c r="G755" s="23" t="n"/>
      <c r="H755" s="32" t="n"/>
      <c r="I755" s="27">
        <f>IF($A755="","",SUMIFS(入库单!$K$4:$K$2503,入库单!$G$4:$G$2503,$A755,入库单!$X$4:$X$2503,"采购入库",入库单!$Z$4:$Z$2503,"正常",入库单!$C$4:$C$2503,"&gt;="&amp;账期起,入库单!$C$4:$C$2503,"&lt;="&amp;账期止))</f>
        <v/>
      </c>
      <c r="J755" s="26">
        <f>IF($A755="","",SUMIFS(入库单!$V$4:$V$2503,入库单!$G$4:$G$2503,$A755,入库单!$X$4:$X$2503,"采购入库",入库单!$Z$4:$Z$2503,"正常",入库单!$C$4:$C$2503,"&gt;="&amp;账期起,入库单!$C$4:$C$2503,"&lt;="&amp;账期止))</f>
        <v/>
      </c>
      <c r="K755" s="26">
        <f>IF($A755="","",IFERROR(ROUND((N($H755)+N($J755))/(N($G755)+N($I755)),2),0))</f>
        <v/>
      </c>
      <c r="L755" s="27">
        <f>IF($A755="","",SUMIFS(入库单!$K$4:$K$2503,入库单!$G$4:$G$2503,$A755,入库单!$X$4:$X$2503,"盘盈",入库单!$Z$4:$Z$2503,"正常",入库单!$C$4:$C$2503,"&gt;="&amp;账期起,入库单!$C$4:$C$2503,"&lt;="&amp;账期止))</f>
        <v/>
      </c>
      <c r="M755" s="26">
        <f>IF($A755="","",ROUND($L755*$K755,0))</f>
        <v/>
      </c>
      <c r="N755" s="27">
        <f>IF($A755="","",SUMIFS(入库单!$K$4:$K$2503,入库单!$G$4:$G$2503,$A755,入库单!$X$4:$X$2503,"矿区退库",入库单!$Z$4:$Z$2503,"正常",入库单!$C$4:$C$2503,"&gt;="&amp;账期起,入库单!$C$4:$C$2503,"&lt;="&amp;账期止))</f>
        <v/>
      </c>
      <c r="O755" s="26">
        <f>IF($A755="","",ROUND($N755*$K755,0))</f>
        <v/>
      </c>
      <c r="P755" s="27">
        <f>IF($A755="","",SUMIFS(出库单!$J$4:$J$4003,出库单!$D$4:$D$4003,$A755,出库单!$K$4:$K$4003,"自用消耗",出库单!$U$4:$U$4003,"正常",出库单!$C$4:$C$4003,"&gt;="&amp;账期起,出库单!$C$4:$C$4003,"&lt;="&amp;账期止))</f>
        <v/>
      </c>
      <c r="Q755" s="26">
        <f>IF($A755="","",ROUND(SUMIFS(出库单!$S$4:$S$4003,出库单!$D$4:$D$4003,$A755,出库单!$K$4:$K$4003,"自用消耗",出库单!$U$4:$U$4003,"正常",出库单!$C$4:$C$4003,"&gt;="&amp;账期起,出库单!$C$4:$C$4003,"&lt;="&amp;账期止),0))</f>
        <v/>
      </c>
      <c r="R755" s="27">
        <f>IF($A755="","",SUMIFS(出库单!$J$4:$J$4003,出库单!$D$4:$D$4003,$A755,出库单!$K$4:$K$4003,"对外销售",出库单!$U$4:$U$4003,"正常",出库单!$C$4:$C$4003,"&gt;="&amp;账期起,出库单!$C$4:$C$4003,"&lt;="&amp;账期止))</f>
        <v/>
      </c>
      <c r="S755" s="26">
        <f>IF($A755="","",ROUND(SUMIFS(出库单!$S$4:$S$4003,出库单!$D$4:$D$4003,$A755,出库单!$K$4:$K$4003,"对外销售",出库单!$U$4:$U$4003,"正常",出库单!$C$4:$C$4003,"&gt;="&amp;账期起,出库单!$C$4:$C$4003,"&lt;="&amp;账期止),0))</f>
        <v/>
      </c>
      <c r="T755" s="27">
        <f>IF($A755="","",SUMIFS(出库单!$J$4:$J$4003,出库单!$D$4:$D$4003,$A755,出库单!$K$4:$K$4003,"盘亏",出库单!$U$4:$U$4003,"正常",出库单!$C$4:$C$4003,"&gt;="&amp;账期起,出库单!$C$4:$C$4003,"&lt;="&amp;账期止))</f>
        <v/>
      </c>
      <c r="U755" s="26">
        <f>IF($A755="","",ROUND(SUMIFS(出库单!$S$4:$S$4003,出库单!$D$4:$D$4003,$A755,出库单!$K$4:$K$4003,"盘亏",出库单!$U$4:$U$4003,"正常",出库单!$C$4:$C$4003,"&gt;="&amp;账期起,出库单!$C$4:$C$4003,"&lt;="&amp;账期止),0))</f>
        <v/>
      </c>
      <c r="V755" s="27">
        <f>IF($A755="","",SUMIFS(出库单!$J$4:$J$4003,出库单!$D$4:$D$4003,$A755,出库单!$K$4:$K$4003,"退货给供应商",出库单!$U$4:$U$4003,"正常",出库单!$C$4:$C$4003,"&gt;="&amp;账期起,出库单!$C$4:$C$4003,"&lt;="&amp;账期止))</f>
        <v/>
      </c>
      <c r="W755" s="26">
        <f>IF($A755="","",ROUND(SUMIFS(出库单!$S$4:$S$4003,出库单!$D$4:$D$4003,$A755,出库单!$K$4:$K$4003,"退货给供应商",出库单!$U$4:$U$4003,"正常",出库单!$C$4:$C$4003,"&gt;="&amp;账期起,出库单!$C$4:$C$4003,"&lt;="&amp;账期止),0))</f>
        <v/>
      </c>
      <c r="X755" s="27">
        <f>IF($A755="","",ROUND(N($G755)+$I755+$L755+$N755-$P755-$R755-$T755-$V755,3))</f>
        <v/>
      </c>
      <c r="Y755" s="26">
        <f>IF($A755="","",ROUND(N($H755)+$J755+$M755+$O755-$Q755-$S755-$U755-$W755,0))</f>
        <v/>
      </c>
      <c r="Z755" s="24">
        <f>IF($A755="","",IF(COUNTIFS(入库单!$G$4:$G$2503,$A755,入库单!$Y$4:$Y$2503,"待补价")+COUNTIFS(入库单!$G$4:$G$2503,$A755,入库单!$Y$4:$Y$2503,"暂估")&gt;0,"不可信","可信"))</f>
        <v/>
      </c>
      <c r="AA755" s="24">
        <f>IF($A755="","",IF($X755&lt;-0.001,"※账面负库存，查一下是不是漏记入库",IF(AND(ROUND($X755,3)=0,ABS($Y755)&gt;1),"※数量已经是 0，金额还挂着 "&amp;TEXT($Y755,"#,##0")&amp;" 先令",IF(AND($X755&gt;0,$Y755&lt;=0,$K755=0),"※有数量没金额（这个物料一直没填过进价）",IF($Z755="不可信","△成本含待补价/暂估，毛利仅供参考","")))))</f>
        <v/>
      </c>
    </row>
    <row r="756">
      <c r="A756" s="24">
        <f>IF(物料档案!$A755="","",物料档案!$A755)</f>
        <v/>
      </c>
      <c r="B756" s="24">
        <f>IF($A756="","",IFERROR(VLOOKUP($A756,物料档案!$A$4:$P$1203,3,0),""))</f>
        <v/>
      </c>
      <c r="C756" s="24">
        <f>IF($A756="","",IFERROR(VLOOKUP($A756,物料档案!$A$4:$P$1203,4,0),""))</f>
        <v/>
      </c>
      <c r="D756" s="24">
        <f>IF($A756="","",IFERROR(VLOOKUP($A756,物料档案!$A$4:$P$1203,5,0),""))</f>
        <v/>
      </c>
      <c r="E756" s="24">
        <f>IF($A756="","",IFERROR(VLOOKUP($A756,物料档案!$A$4:$P$1203,2,0),""))</f>
        <v/>
      </c>
      <c r="F756" s="24">
        <f>IF($A756="","",IFERROR(VLOOKUP($A756,物料档案!$A$4:$P$1203,6,0),""))</f>
        <v/>
      </c>
      <c r="G756" s="23" t="n"/>
      <c r="H756" s="32" t="n"/>
      <c r="I756" s="27">
        <f>IF($A756="","",SUMIFS(入库单!$K$4:$K$2503,入库单!$G$4:$G$2503,$A756,入库单!$X$4:$X$2503,"采购入库",入库单!$Z$4:$Z$2503,"正常",入库单!$C$4:$C$2503,"&gt;="&amp;账期起,入库单!$C$4:$C$2503,"&lt;="&amp;账期止))</f>
        <v/>
      </c>
      <c r="J756" s="26">
        <f>IF($A756="","",SUMIFS(入库单!$V$4:$V$2503,入库单!$G$4:$G$2503,$A756,入库单!$X$4:$X$2503,"采购入库",入库单!$Z$4:$Z$2503,"正常",入库单!$C$4:$C$2503,"&gt;="&amp;账期起,入库单!$C$4:$C$2503,"&lt;="&amp;账期止))</f>
        <v/>
      </c>
      <c r="K756" s="26">
        <f>IF($A756="","",IFERROR(ROUND((N($H756)+N($J756))/(N($G756)+N($I756)),2),0))</f>
        <v/>
      </c>
      <c r="L756" s="27">
        <f>IF($A756="","",SUMIFS(入库单!$K$4:$K$2503,入库单!$G$4:$G$2503,$A756,入库单!$X$4:$X$2503,"盘盈",入库单!$Z$4:$Z$2503,"正常",入库单!$C$4:$C$2503,"&gt;="&amp;账期起,入库单!$C$4:$C$2503,"&lt;="&amp;账期止))</f>
        <v/>
      </c>
      <c r="M756" s="26">
        <f>IF($A756="","",ROUND($L756*$K756,0))</f>
        <v/>
      </c>
      <c r="N756" s="27">
        <f>IF($A756="","",SUMIFS(入库单!$K$4:$K$2503,入库单!$G$4:$G$2503,$A756,入库单!$X$4:$X$2503,"矿区退库",入库单!$Z$4:$Z$2503,"正常",入库单!$C$4:$C$2503,"&gt;="&amp;账期起,入库单!$C$4:$C$2503,"&lt;="&amp;账期止))</f>
        <v/>
      </c>
      <c r="O756" s="26">
        <f>IF($A756="","",ROUND($N756*$K756,0))</f>
        <v/>
      </c>
      <c r="P756" s="27">
        <f>IF($A756="","",SUMIFS(出库单!$J$4:$J$4003,出库单!$D$4:$D$4003,$A756,出库单!$K$4:$K$4003,"自用消耗",出库单!$U$4:$U$4003,"正常",出库单!$C$4:$C$4003,"&gt;="&amp;账期起,出库单!$C$4:$C$4003,"&lt;="&amp;账期止))</f>
        <v/>
      </c>
      <c r="Q756" s="26">
        <f>IF($A756="","",ROUND(SUMIFS(出库单!$S$4:$S$4003,出库单!$D$4:$D$4003,$A756,出库单!$K$4:$K$4003,"自用消耗",出库单!$U$4:$U$4003,"正常",出库单!$C$4:$C$4003,"&gt;="&amp;账期起,出库单!$C$4:$C$4003,"&lt;="&amp;账期止),0))</f>
        <v/>
      </c>
      <c r="R756" s="27">
        <f>IF($A756="","",SUMIFS(出库单!$J$4:$J$4003,出库单!$D$4:$D$4003,$A756,出库单!$K$4:$K$4003,"对外销售",出库单!$U$4:$U$4003,"正常",出库单!$C$4:$C$4003,"&gt;="&amp;账期起,出库单!$C$4:$C$4003,"&lt;="&amp;账期止))</f>
        <v/>
      </c>
      <c r="S756" s="26">
        <f>IF($A756="","",ROUND(SUMIFS(出库单!$S$4:$S$4003,出库单!$D$4:$D$4003,$A756,出库单!$K$4:$K$4003,"对外销售",出库单!$U$4:$U$4003,"正常",出库单!$C$4:$C$4003,"&gt;="&amp;账期起,出库单!$C$4:$C$4003,"&lt;="&amp;账期止),0))</f>
        <v/>
      </c>
      <c r="T756" s="27">
        <f>IF($A756="","",SUMIFS(出库单!$J$4:$J$4003,出库单!$D$4:$D$4003,$A756,出库单!$K$4:$K$4003,"盘亏",出库单!$U$4:$U$4003,"正常",出库单!$C$4:$C$4003,"&gt;="&amp;账期起,出库单!$C$4:$C$4003,"&lt;="&amp;账期止))</f>
        <v/>
      </c>
      <c r="U756" s="26">
        <f>IF($A756="","",ROUND(SUMIFS(出库单!$S$4:$S$4003,出库单!$D$4:$D$4003,$A756,出库单!$K$4:$K$4003,"盘亏",出库单!$U$4:$U$4003,"正常",出库单!$C$4:$C$4003,"&gt;="&amp;账期起,出库单!$C$4:$C$4003,"&lt;="&amp;账期止),0))</f>
        <v/>
      </c>
      <c r="V756" s="27">
        <f>IF($A756="","",SUMIFS(出库单!$J$4:$J$4003,出库单!$D$4:$D$4003,$A756,出库单!$K$4:$K$4003,"退货给供应商",出库单!$U$4:$U$4003,"正常",出库单!$C$4:$C$4003,"&gt;="&amp;账期起,出库单!$C$4:$C$4003,"&lt;="&amp;账期止))</f>
        <v/>
      </c>
      <c r="W756" s="26">
        <f>IF($A756="","",ROUND(SUMIFS(出库单!$S$4:$S$4003,出库单!$D$4:$D$4003,$A756,出库单!$K$4:$K$4003,"退货给供应商",出库单!$U$4:$U$4003,"正常",出库单!$C$4:$C$4003,"&gt;="&amp;账期起,出库单!$C$4:$C$4003,"&lt;="&amp;账期止),0))</f>
        <v/>
      </c>
      <c r="X756" s="27">
        <f>IF($A756="","",ROUND(N($G756)+$I756+$L756+$N756-$P756-$R756-$T756-$V756,3))</f>
        <v/>
      </c>
      <c r="Y756" s="26">
        <f>IF($A756="","",ROUND(N($H756)+$J756+$M756+$O756-$Q756-$S756-$U756-$W756,0))</f>
        <v/>
      </c>
      <c r="Z756" s="24">
        <f>IF($A756="","",IF(COUNTIFS(入库单!$G$4:$G$2503,$A756,入库单!$Y$4:$Y$2503,"待补价")+COUNTIFS(入库单!$G$4:$G$2503,$A756,入库单!$Y$4:$Y$2503,"暂估")&gt;0,"不可信","可信"))</f>
        <v/>
      </c>
      <c r="AA756" s="24">
        <f>IF($A756="","",IF($X756&lt;-0.001,"※账面负库存，查一下是不是漏记入库",IF(AND(ROUND($X756,3)=0,ABS($Y756)&gt;1),"※数量已经是 0，金额还挂着 "&amp;TEXT($Y756,"#,##0")&amp;" 先令",IF(AND($X756&gt;0,$Y756&lt;=0,$K756=0),"※有数量没金额（这个物料一直没填过进价）",IF($Z756="不可信","△成本含待补价/暂估，毛利仅供参考","")))))</f>
        <v/>
      </c>
    </row>
    <row r="757">
      <c r="A757" s="24">
        <f>IF(物料档案!$A756="","",物料档案!$A756)</f>
        <v/>
      </c>
      <c r="B757" s="24">
        <f>IF($A757="","",IFERROR(VLOOKUP($A757,物料档案!$A$4:$P$1203,3,0),""))</f>
        <v/>
      </c>
      <c r="C757" s="24">
        <f>IF($A757="","",IFERROR(VLOOKUP($A757,物料档案!$A$4:$P$1203,4,0),""))</f>
        <v/>
      </c>
      <c r="D757" s="24">
        <f>IF($A757="","",IFERROR(VLOOKUP($A757,物料档案!$A$4:$P$1203,5,0),""))</f>
        <v/>
      </c>
      <c r="E757" s="24">
        <f>IF($A757="","",IFERROR(VLOOKUP($A757,物料档案!$A$4:$P$1203,2,0),""))</f>
        <v/>
      </c>
      <c r="F757" s="24">
        <f>IF($A757="","",IFERROR(VLOOKUP($A757,物料档案!$A$4:$P$1203,6,0),""))</f>
        <v/>
      </c>
      <c r="G757" s="23" t="n"/>
      <c r="H757" s="32" t="n"/>
      <c r="I757" s="27">
        <f>IF($A757="","",SUMIFS(入库单!$K$4:$K$2503,入库单!$G$4:$G$2503,$A757,入库单!$X$4:$X$2503,"采购入库",入库单!$Z$4:$Z$2503,"正常",入库单!$C$4:$C$2503,"&gt;="&amp;账期起,入库单!$C$4:$C$2503,"&lt;="&amp;账期止))</f>
        <v/>
      </c>
      <c r="J757" s="26">
        <f>IF($A757="","",SUMIFS(入库单!$V$4:$V$2503,入库单!$G$4:$G$2503,$A757,入库单!$X$4:$X$2503,"采购入库",入库单!$Z$4:$Z$2503,"正常",入库单!$C$4:$C$2503,"&gt;="&amp;账期起,入库单!$C$4:$C$2503,"&lt;="&amp;账期止))</f>
        <v/>
      </c>
      <c r="K757" s="26">
        <f>IF($A757="","",IFERROR(ROUND((N($H757)+N($J757))/(N($G757)+N($I757)),2),0))</f>
        <v/>
      </c>
      <c r="L757" s="27">
        <f>IF($A757="","",SUMIFS(入库单!$K$4:$K$2503,入库单!$G$4:$G$2503,$A757,入库单!$X$4:$X$2503,"盘盈",入库单!$Z$4:$Z$2503,"正常",入库单!$C$4:$C$2503,"&gt;="&amp;账期起,入库单!$C$4:$C$2503,"&lt;="&amp;账期止))</f>
        <v/>
      </c>
      <c r="M757" s="26">
        <f>IF($A757="","",ROUND($L757*$K757,0))</f>
        <v/>
      </c>
      <c r="N757" s="27">
        <f>IF($A757="","",SUMIFS(入库单!$K$4:$K$2503,入库单!$G$4:$G$2503,$A757,入库单!$X$4:$X$2503,"矿区退库",入库单!$Z$4:$Z$2503,"正常",入库单!$C$4:$C$2503,"&gt;="&amp;账期起,入库单!$C$4:$C$2503,"&lt;="&amp;账期止))</f>
        <v/>
      </c>
      <c r="O757" s="26">
        <f>IF($A757="","",ROUND($N757*$K757,0))</f>
        <v/>
      </c>
      <c r="P757" s="27">
        <f>IF($A757="","",SUMIFS(出库单!$J$4:$J$4003,出库单!$D$4:$D$4003,$A757,出库单!$K$4:$K$4003,"自用消耗",出库单!$U$4:$U$4003,"正常",出库单!$C$4:$C$4003,"&gt;="&amp;账期起,出库单!$C$4:$C$4003,"&lt;="&amp;账期止))</f>
        <v/>
      </c>
      <c r="Q757" s="26">
        <f>IF($A757="","",ROUND(SUMIFS(出库单!$S$4:$S$4003,出库单!$D$4:$D$4003,$A757,出库单!$K$4:$K$4003,"自用消耗",出库单!$U$4:$U$4003,"正常",出库单!$C$4:$C$4003,"&gt;="&amp;账期起,出库单!$C$4:$C$4003,"&lt;="&amp;账期止),0))</f>
        <v/>
      </c>
      <c r="R757" s="27">
        <f>IF($A757="","",SUMIFS(出库单!$J$4:$J$4003,出库单!$D$4:$D$4003,$A757,出库单!$K$4:$K$4003,"对外销售",出库单!$U$4:$U$4003,"正常",出库单!$C$4:$C$4003,"&gt;="&amp;账期起,出库单!$C$4:$C$4003,"&lt;="&amp;账期止))</f>
        <v/>
      </c>
      <c r="S757" s="26">
        <f>IF($A757="","",ROUND(SUMIFS(出库单!$S$4:$S$4003,出库单!$D$4:$D$4003,$A757,出库单!$K$4:$K$4003,"对外销售",出库单!$U$4:$U$4003,"正常",出库单!$C$4:$C$4003,"&gt;="&amp;账期起,出库单!$C$4:$C$4003,"&lt;="&amp;账期止),0))</f>
        <v/>
      </c>
      <c r="T757" s="27">
        <f>IF($A757="","",SUMIFS(出库单!$J$4:$J$4003,出库单!$D$4:$D$4003,$A757,出库单!$K$4:$K$4003,"盘亏",出库单!$U$4:$U$4003,"正常",出库单!$C$4:$C$4003,"&gt;="&amp;账期起,出库单!$C$4:$C$4003,"&lt;="&amp;账期止))</f>
        <v/>
      </c>
      <c r="U757" s="26">
        <f>IF($A757="","",ROUND(SUMIFS(出库单!$S$4:$S$4003,出库单!$D$4:$D$4003,$A757,出库单!$K$4:$K$4003,"盘亏",出库单!$U$4:$U$4003,"正常",出库单!$C$4:$C$4003,"&gt;="&amp;账期起,出库单!$C$4:$C$4003,"&lt;="&amp;账期止),0))</f>
        <v/>
      </c>
      <c r="V757" s="27">
        <f>IF($A757="","",SUMIFS(出库单!$J$4:$J$4003,出库单!$D$4:$D$4003,$A757,出库单!$K$4:$K$4003,"退货给供应商",出库单!$U$4:$U$4003,"正常",出库单!$C$4:$C$4003,"&gt;="&amp;账期起,出库单!$C$4:$C$4003,"&lt;="&amp;账期止))</f>
        <v/>
      </c>
      <c r="W757" s="26">
        <f>IF($A757="","",ROUND(SUMIFS(出库单!$S$4:$S$4003,出库单!$D$4:$D$4003,$A757,出库单!$K$4:$K$4003,"退货给供应商",出库单!$U$4:$U$4003,"正常",出库单!$C$4:$C$4003,"&gt;="&amp;账期起,出库单!$C$4:$C$4003,"&lt;="&amp;账期止),0))</f>
        <v/>
      </c>
      <c r="X757" s="27">
        <f>IF($A757="","",ROUND(N($G757)+$I757+$L757+$N757-$P757-$R757-$T757-$V757,3))</f>
        <v/>
      </c>
      <c r="Y757" s="26">
        <f>IF($A757="","",ROUND(N($H757)+$J757+$M757+$O757-$Q757-$S757-$U757-$W757,0))</f>
        <v/>
      </c>
      <c r="Z757" s="24">
        <f>IF($A757="","",IF(COUNTIFS(入库单!$G$4:$G$2503,$A757,入库单!$Y$4:$Y$2503,"待补价")+COUNTIFS(入库单!$G$4:$G$2503,$A757,入库单!$Y$4:$Y$2503,"暂估")&gt;0,"不可信","可信"))</f>
        <v/>
      </c>
      <c r="AA757" s="24">
        <f>IF($A757="","",IF($X757&lt;-0.001,"※账面负库存，查一下是不是漏记入库",IF(AND(ROUND($X757,3)=0,ABS($Y757)&gt;1),"※数量已经是 0，金额还挂着 "&amp;TEXT($Y757,"#,##0")&amp;" 先令",IF(AND($X757&gt;0,$Y757&lt;=0,$K757=0),"※有数量没金额（这个物料一直没填过进价）",IF($Z757="不可信","△成本含待补价/暂估，毛利仅供参考","")))))</f>
        <v/>
      </c>
    </row>
    <row r="758">
      <c r="A758" s="24">
        <f>IF(物料档案!$A757="","",物料档案!$A757)</f>
        <v/>
      </c>
      <c r="B758" s="24">
        <f>IF($A758="","",IFERROR(VLOOKUP($A758,物料档案!$A$4:$P$1203,3,0),""))</f>
        <v/>
      </c>
      <c r="C758" s="24">
        <f>IF($A758="","",IFERROR(VLOOKUP($A758,物料档案!$A$4:$P$1203,4,0),""))</f>
        <v/>
      </c>
      <c r="D758" s="24">
        <f>IF($A758="","",IFERROR(VLOOKUP($A758,物料档案!$A$4:$P$1203,5,0),""))</f>
        <v/>
      </c>
      <c r="E758" s="24">
        <f>IF($A758="","",IFERROR(VLOOKUP($A758,物料档案!$A$4:$P$1203,2,0),""))</f>
        <v/>
      </c>
      <c r="F758" s="24">
        <f>IF($A758="","",IFERROR(VLOOKUP($A758,物料档案!$A$4:$P$1203,6,0),""))</f>
        <v/>
      </c>
      <c r="G758" s="23" t="n"/>
      <c r="H758" s="32" t="n"/>
      <c r="I758" s="27">
        <f>IF($A758="","",SUMIFS(入库单!$K$4:$K$2503,入库单!$G$4:$G$2503,$A758,入库单!$X$4:$X$2503,"采购入库",入库单!$Z$4:$Z$2503,"正常",入库单!$C$4:$C$2503,"&gt;="&amp;账期起,入库单!$C$4:$C$2503,"&lt;="&amp;账期止))</f>
        <v/>
      </c>
      <c r="J758" s="26">
        <f>IF($A758="","",SUMIFS(入库单!$V$4:$V$2503,入库单!$G$4:$G$2503,$A758,入库单!$X$4:$X$2503,"采购入库",入库单!$Z$4:$Z$2503,"正常",入库单!$C$4:$C$2503,"&gt;="&amp;账期起,入库单!$C$4:$C$2503,"&lt;="&amp;账期止))</f>
        <v/>
      </c>
      <c r="K758" s="26">
        <f>IF($A758="","",IFERROR(ROUND((N($H758)+N($J758))/(N($G758)+N($I758)),2),0))</f>
        <v/>
      </c>
      <c r="L758" s="27">
        <f>IF($A758="","",SUMIFS(入库单!$K$4:$K$2503,入库单!$G$4:$G$2503,$A758,入库单!$X$4:$X$2503,"盘盈",入库单!$Z$4:$Z$2503,"正常",入库单!$C$4:$C$2503,"&gt;="&amp;账期起,入库单!$C$4:$C$2503,"&lt;="&amp;账期止))</f>
        <v/>
      </c>
      <c r="M758" s="26">
        <f>IF($A758="","",ROUND($L758*$K758,0))</f>
        <v/>
      </c>
      <c r="N758" s="27">
        <f>IF($A758="","",SUMIFS(入库单!$K$4:$K$2503,入库单!$G$4:$G$2503,$A758,入库单!$X$4:$X$2503,"矿区退库",入库单!$Z$4:$Z$2503,"正常",入库单!$C$4:$C$2503,"&gt;="&amp;账期起,入库单!$C$4:$C$2503,"&lt;="&amp;账期止))</f>
        <v/>
      </c>
      <c r="O758" s="26">
        <f>IF($A758="","",ROUND($N758*$K758,0))</f>
        <v/>
      </c>
      <c r="P758" s="27">
        <f>IF($A758="","",SUMIFS(出库单!$J$4:$J$4003,出库单!$D$4:$D$4003,$A758,出库单!$K$4:$K$4003,"自用消耗",出库单!$U$4:$U$4003,"正常",出库单!$C$4:$C$4003,"&gt;="&amp;账期起,出库单!$C$4:$C$4003,"&lt;="&amp;账期止))</f>
        <v/>
      </c>
      <c r="Q758" s="26">
        <f>IF($A758="","",ROUND(SUMIFS(出库单!$S$4:$S$4003,出库单!$D$4:$D$4003,$A758,出库单!$K$4:$K$4003,"自用消耗",出库单!$U$4:$U$4003,"正常",出库单!$C$4:$C$4003,"&gt;="&amp;账期起,出库单!$C$4:$C$4003,"&lt;="&amp;账期止),0))</f>
        <v/>
      </c>
      <c r="R758" s="27">
        <f>IF($A758="","",SUMIFS(出库单!$J$4:$J$4003,出库单!$D$4:$D$4003,$A758,出库单!$K$4:$K$4003,"对外销售",出库单!$U$4:$U$4003,"正常",出库单!$C$4:$C$4003,"&gt;="&amp;账期起,出库单!$C$4:$C$4003,"&lt;="&amp;账期止))</f>
        <v/>
      </c>
      <c r="S758" s="26">
        <f>IF($A758="","",ROUND(SUMIFS(出库单!$S$4:$S$4003,出库单!$D$4:$D$4003,$A758,出库单!$K$4:$K$4003,"对外销售",出库单!$U$4:$U$4003,"正常",出库单!$C$4:$C$4003,"&gt;="&amp;账期起,出库单!$C$4:$C$4003,"&lt;="&amp;账期止),0))</f>
        <v/>
      </c>
      <c r="T758" s="27">
        <f>IF($A758="","",SUMIFS(出库单!$J$4:$J$4003,出库单!$D$4:$D$4003,$A758,出库单!$K$4:$K$4003,"盘亏",出库单!$U$4:$U$4003,"正常",出库单!$C$4:$C$4003,"&gt;="&amp;账期起,出库单!$C$4:$C$4003,"&lt;="&amp;账期止))</f>
        <v/>
      </c>
      <c r="U758" s="26">
        <f>IF($A758="","",ROUND(SUMIFS(出库单!$S$4:$S$4003,出库单!$D$4:$D$4003,$A758,出库单!$K$4:$K$4003,"盘亏",出库单!$U$4:$U$4003,"正常",出库单!$C$4:$C$4003,"&gt;="&amp;账期起,出库单!$C$4:$C$4003,"&lt;="&amp;账期止),0))</f>
        <v/>
      </c>
      <c r="V758" s="27">
        <f>IF($A758="","",SUMIFS(出库单!$J$4:$J$4003,出库单!$D$4:$D$4003,$A758,出库单!$K$4:$K$4003,"退货给供应商",出库单!$U$4:$U$4003,"正常",出库单!$C$4:$C$4003,"&gt;="&amp;账期起,出库单!$C$4:$C$4003,"&lt;="&amp;账期止))</f>
        <v/>
      </c>
      <c r="W758" s="26">
        <f>IF($A758="","",ROUND(SUMIFS(出库单!$S$4:$S$4003,出库单!$D$4:$D$4003,$A758,出库单!$K$4:$K$4003,"退货给供应商",出库单!$U$4:$U$4003,"正常",出库单!$C$4:$C$4003,"&gt;="&amp;账期起,出库单!$C$4:$C$4003,"&lt;="&amp;账期止),0))</f>
        <v/>
      </c>
      <c r="X758" s="27">
        <f>IF($A758="","",ROUND(N($G758)+$I758+$L758+$N758-$P758-$R758-$T758-$V758,3))</f>
        <v/>
      </c>
      <c r="Y758" s="26">
        <f>IF($A758="","",ROUND(N($H758)+$J758+$M758+$O758-$Q758-$S758-$U758-$W758,0))</f>
        <v/>
      </c>
      <c r="Z758" s="24">
        <f>IF($A758="","",IF(COUNTIFS(入库单!$G$4:$G$2503,$A758,入库单!$Y$4:$Y$2503,"待补价")+COUNTIFS(入库单!$G$4:$G$2503,$A758,入库单!$Y$4:$Y$2503,"暂估")&gt;0,"不可信","可信"))</f>
        <v/>
      </c>
      <c r="AA758" s="24">
        <f>IF($A758="","",IF($X758&lt;-0.001,"※账面负库存，查一下是不是漏记入库",IF(AND(ROUND($X758,3)=0,ABS($Y758)&gt;1),"※数量已经是 0，金额还挂着 "&amp;TEXT($Y758,"#,##0")&amp;" 先令",IF(AND($X758&gt;0,$Y758&lt;=0,$K758=0),"※有数量没金额（这个物料一直没填过进价）",IF($Z758="不可信","△成本含待补价/暂估，毛利仅供参考","")))))</f>
        <v/>
      </c>
    </row>
    <row r="759">
      <c r="A759" s="24">
        <f>IF(物料档案!$A758="","",物料档案!$A758)</f>
        <v/>
      </c>
      <c r="B759" s="24">
        <f>IF($A759="","",IFERROR(VLOOKUP($A759,物料档案!$A$4:$P$1203,3,0),""))</f>
        <v/>
      </c>
      <c r="C759" s="24">
        <f>IF($A759="","",IFERROR(VLOOKUP($A759,物料档案!$A$4:$P$1203,4,0),""))</f>
        <v/>
      </c>
      <c r="D759" s="24">
        <f>IF($A759="","",IFERROR(VLOOKUP($A759,物料档案!$A$4:$P$1203,5,0),""))</f>
        <v/>
      </c>
      <c r="E759" s="24">
        <f>IF($A759="","",IFERROR(VLOOKUP($A759,物料档案!$A$4:$P$1203,2,0),""))</f>
        <v/>
      </c>
      <c r="F759" s="24">
        <f>IF($A759="","",IFERROR(VLOOKUP($A759,物料档案!$A$4:$P$1203,6,0),""))</f>
        <v/>
      </c>
      <c r="G759" s="23" t="n"/>
      <c r="H759" s="32" t="n"/>
      <c r="I759" s="27">
        <f>IF($A759="","",SUMIFS(入库单!$K$4:$K$2503,入库单!$G$4:$G$2503,$A759,入库单!$X$4:$X$2503,"采购入库",入库单!$Z$4:$Z$2503,"正常",入库单!$C$4:$C$2503,"&gt;="&amp;账期起,入库单!$C$4:$C$2503,"&lt;="&amp;账期止))</f>
        <v/>
      </c>
      <c r="J759" s="26">
        <f>IF($A759="","",SUMIFS(入库单!$V$4:$V$2503,入库单!$G$4:$G$2503,$A759,入库单!$X$4:$X$2503,"采购入库",入库单!$Z$4:$Z$2503,"正常",入库单!$C$4:$C$2503,"&gt;="&amp;账期起,入库单!$C$4:$C$2503,"&lt;="&amp;账期止))</f>
        <v/>
      </c>
      <c r="K759" s="26">
        <f>IF($A759="","",IFERROR(ROUND((N($H759)+N($J759))/(N($G759)+N($I759)),2),0))</f>
        <v/>
      </c>
      <c r="L759" s="27">
        <f>IF($A759="","",SUMIFS(入库单!$K$4:$K$2503,入库单!$G$4:$G$2503,$A759,入库单!$X$4:$X$2503,"盘盈",入库单!$Z$4:$Z$2503,"正常",入库单!$C$4:$C$2503,"&gt;="&amp;账期起,入库单!$C$4:$C$2503,"&lt;="&amp;账期止))</f>
        <v/>
      </c>
      <c r="M759" s="26">
        <f>IF($A759="","",ROUND($L759*$K759,0))</f>
        <v/>
      </c>
      <c r="N759" s="27">
        <f>IF($A759="","",SUMIFS(入库单!$K$4:$K$2503,入库单!$G$4:$G$2503,$A759,入库单!$X$4:$X$2503,"矿区退库",入库单!$Z$4:$Z$2503,"正常",入库单!$C$4:$C$2503,"&gt;="&amp;账期起,入库单!$C$4:$C$2503,"&lt;="&amp;账期止))</f>
        <v/>
      </c>
      <c r="O759" s="26">
        <f>IF($A759="","",ROUND($N759*$K759,0))</f>
        <v/>
      </c>
      <c r="P759" s="27">
        <f>IF($A759="","",SUMIFS(出库单!$J$4:$J$4003,出库单!$D$4:$D$4003,$A759,出库单!$K$4:$K$4003,"自用消耗",出库单!$U$4:$U$4003,"正常",出库单!$C$4:$C$4003,"&gt;="&amp;账期起,出库单!$C$4:$C$4003,"&lt;="&amp;账期止))</f>
        <v/>
      </c>
      <c r="Q759" s="26">
        <f>IF($A759="","",ROUND(SUMIFS(出库单!$S$4:$S$4003,出库单!$D$4:$D$4003,$A759,出库单!$K$4:$K$4003,"自用消耗",出库单!$U$4:$U$4003,"正常",出库单!$C$4:$C$4003,"&gt;="&amp;账期起,出库单!$C$4:$C$4003,"&lt;="&amp;账期止),0))</f>
        <v/>
      </c>
      <c r="R759" s="27">
        <f>IF($A759="","",SUMIFS(出库单!$J$4:$J$4003,出库单!$D$4:$D$4003,$A759,出库单!$K$4:$K$4003,"对外销售",出库单!$U$4:$U$4003,"正常",出库单!$C$4:$C$4003,"&gt;="&amp;账期起,出库单!$C$4:$C$4003,"&lt;="&amp;账期止))</f>
        <v/>
      </c>
      <c r="S759" s="26">
        <f>IF($A759="","",ROUND(SUMIFS(出库单!$S$4:$S$4003,出库单!$D$4:$D$4003,$A759,出库单!$K$4:$K$4003,"对外销售",出库单!$U$4:$U$4003,"正常",出库单!$C$4:$C$4003,"&gt;="&amp;账期起,出库单!$C$4:$C$4003,"&lt;="&amp;账期止),0))</f>
        <v/>
      </c>
      <c r="T759" s="27">
        <f>IF($A759="","",SUMIFS(出库单!$J$4:$J$4003,出库单!$D$4:$D$4003,$A759,出库单!$K$4:$K$4003,"盘亏",出库单!$U$4:$U$4003,"正常",出库单!$C$4:$C$4003,"&gt;="&amp;账期起,出库单!$C$4:$C$4003,"&lt;="&amp;账期止))</f>
        <v/>
      </c>
      <c r="U759" s="26">
        <f>IF($A759="","",ROUND(SUMIFS(出库单!$S$4:$S$4003,出库单!$D$4:$D$4003,$A759,出库单!$K$4:$K$4003,"盘亏",出库单!$U$4:$U$4003,"正常",出库单!$C$4:$C$4003,"&gt;="&amp;账期起,出库单!$C$4:$C$4003,"&lt;="&amp;账期止),0))</f>
        <v/>
      </c>
      <c r="V759" s="27">
        <f>IF($A759="","",SUMIFS(出库单!$J$4:$J$4003,出库单!$D$4:$D$4003,$A759,出库单!$K$4:$K$4003,"退货给供应商",出库单!$U$4:$U$4003,"正常",出库单!$C$4:$C$4003,"&gt;="&amp;账期起,出库单!$C$4:$C$4003,"&lt;="&amp;账期止))</f>
        <v/>
      </c>
      <c r="W759" s="26">
        <f>IF($A759="","",ROUND(SUMIFS(出库单!$S$4:$S$4003,出库单!$D$4:$D$4003,$A759,出库单!$K$4:$K$4003,"退货给供应商",出库单!$U$4:$U$4003,"正常",出库单!$C$4:$C$4003,"&gt;="&amp;账期起,出库单!$C$4:$C$4003,"&lt;="&amp;账期止),0))</f>
        <v/>
      </c>
      <c r="X759" s="27">
        <f>IF($A759="","",ROUND(N($G759)+$I759+$L759+$N759-$P759-$R759-$T759-$V759,3))</f>
        <v/>
      </c>
      <c r="Y759" s="26">
        <f>IF($A759="","",ROUND(N($H759)+$J759+$M759+$O759-$Q759-$S759-$U759-$W759,0))</f>
        <v/>
      </c>
      <c r="Z759" s="24">
        <f>IF($A759="","",IF(COUNTIFS(入库单!$G$4:$G$2503,$A759,入库单!$Y$4:$Y$2503,"待补价")+COUNTIFS(入库单!$G$4:$G$2503,$A759,入库单!$Y$4:$Y$2503,"暂估")&gt;0,"不可信","可信"))</f>
        <v/>
      </c>
      <c r="AA759" s="24">
        <f>IF($A759="","",IF($X759&lt;-0.001,"※账面负库存，查一下是不是漏记入库",IF(AND(ROUND($X759,3)=0,ABS($Y759)&gt;1),"※数量已经是 0，金额还挂着 "&amp;TEXT($Y759,"#,##0")&amp;" 先令",IF(AND($X759&gt;0,$Y759&lt;=0,$K759=0),"※有数量没金额（这个物料一直没填过进价）",IF($Z759="不可信","△成本含待补价/暂估，毛利仅供参考","")))))</f>
        <v/>
      </c>
    </row>
    <row r="760">
      <c r="A760" s="24">
        <f>IF(物料档案!$A759="","",物料档案!$A759)</f>
        <v/>
      </c>
      <c r="B760" s="24">
        <f>IF($A760="","",IFERROR(VLOOKUP($A760,物料档案!$A$4:$P$1203,3,0),""))</f>
        <v/>
      </c>
      <c r="C760" s="24">
        <f>IF($A760="","",IFERROR(VLOOKUP($A760,物料档案!$A$4:$P$1203,4,0),""))</f>
        <v/>
      </c>
      <c r="D760" s="24">
        <f>IF($A760="","",IFERROR(VLOOKUP($A760,物料档案!$A$4:$P$1203,5,0),""))</f>
        <v/>
      </c>
      <c r="E760" s="24">
        <f>IF($A760="","",IFERROR(VLOOKUP($A760,物料档案!$A$4:$P$1203,2,0),""))</f>
        <v/>
      </c>
      <c r="F760" s="24">
        <f>IF($A760="","",IFERROR(VLOOKUP($A760,物料档案!$A$4:$P$1203,6,0),""))</f>
        <v/>
      </c>
      <c r="G760" s="23" t="n"/>
      <c r="H760" s="32" t="n"/>
      <c r="I760" s="27">
        <f>IF($A760="","",SUMIFS(入库单!$K$4:$K$2503,入库单!$G$4:$G$2503,$A760,入库单!$X$4:$X$2503,"采购入库",入库单!$Z$4:$Z$2503,"正常",入库单!$C$4:$C$2503,"&gt;="&amp;账期起,入库单!$C$4:$C$2503,"&lt;="&amp;账期止))</f>
        <v/>
      </c>
      <c r="J760" s="26">
        <f>IF($A760="","",SUMIFS(入库单!$V$4:$V$2503,入库单!$G$4:$G$2503,$A760,入库单!$X$4:$X$2503,"采购入库",入库单!$Z$4:$Z$2503,"正常",入库单!$C$4:$C$2503,"&gt;="&amp;账期起,入库单!$C$4:$C$2503,"&lt;="&amp;账期止))</f>
        <v/>
      </c>
      <c r="K760" s="26">
        <f>IF($A760="","",IFERROR(ROUND((N($H760)+N($J760))/(N($G760)+N($I760)),2),0))</f>
        <v/>
      </c>
      <c r="L760" s="27">
        <f>IF($A760="","",SUMIFS(入库单!$K$4:$K$2503,入库单!$G$4:$G$2503,$A760,入库单!$X$4:$X$2503,"盘盈",入库单!$Z$4:$Z$2503,"正常",入库单!$C$4:$C$2503,"&gt;="&amp;账期起,入库单!$C$4:$C$2503,"&lt;="&amp;账期止))</f>
        <v/>
      </c>
      <c r="M760" s="26">
        <f>IF($A760="","",ROUND($L760*$K760,0))</f>
        <v/>
      </c>
      <c r="N760" s="27">
        <f>IF($A760="","",SUMIFS(入库单!$K$4:$K$2503,入库单!$G$4:$G$2503,$A760,入库单!$X$4:$X$2503,"矿区退库",入库单!$Z$4:$Z$2503,"正常",入库单!$C$4:$C$2503,"&gt;="&amp;账期起,入库单!$C$4:$C$2503,"&lt;="&amp;账期止))</f>
        <v/>
      </c>
      <c r="O760" s="26">
        <f>IF($A760="","",ROUND($N760*$K760,0))</f>
        <v/>
      </c>
      <c r="P760" s="27">
        <f>IF($A760="","",SUMIFS(出库单!$J$4:$J$4003,出库单!$D$4:$D$4003,$A760,出库单!$K$4:$K$4003,"自用消耗",出库单!$U$4:$U$4003,"正常",出库单!$C$4:$C$4003,"&gt;="&amp;账期起,出库单!$C$4:$C$4003,"&lt;="&amp;账期止))</f>
        <v/>
      </c>
      <c r="Q760" s="26">
        <f>IF($A760="","",ROUND(SUMIFS(出库单!$S$4:$S$4003,出库单!$D$4:$D$4003,$A760,出库单!$K$4:$K$4003,"自用消耗",出库单!$U$4:$U$4003,"正常",出库单!$C$4:$C$4003,"&gt;="&amp;账期起,出库单!$C$4:$C$4003,"&lt;="&amp;账期止),0))</f>
        <v/>
      </c>
      <c r="R760" s="27">
        <f>IF($A760="","",SUMIFS(出库单!$J$4:$J$4003,出库单!$D$4:$D$4003,$A760,出库单!$K$4:$K$4003,"对外销售",出库单!$U$4:$U$4003,"正常",出库单!$C$4:$C$4003,"&gt;="&amp;账期起,出库单!$C$4:$C$4003,"&lt;="&amp;账期止))</f>
        <v/>
      </c>
      <c r="S760" s="26">
        <f>IF($A760="","",ROUND(SUMIFS(出库单!$S$4:$S$4003,出库单!$D$4:$D$4003,$A760,出库单!$K$4:$K$4003,"对外销售",出库单!$U$4:$U$4003,"正常",出库单!$C$4:$C$4003,"&gt;="&amp;账期起,出库单!$C$4:$C$4003,"&lt;="&amp;账期止),0))</f>
        <v/>
      </c>
      <c r="T760" s="27">
        <f>IF($A760="","",SUMIFS(出库单!$J$4:$J$4003,出库单!$D$4:$D$4003,$A760,出库单!$K$4:$K$4003,"盘亏",出库单!$U$4:$U$4003,"正常",出库单!$C$4:$C$4003,"&gt;="&amp;账期起,出库单!$C$4:$C$4003,"&lt;="&amp;账期止))</f>
        <v/>
      </c>
      <c r="U760" s="26">
        <f>IF($A760="","",ROUND(SUMIFS(出库单!$S$4:$S$4003,出库单!$D$4:$D$4003,$A760,出库单!$K$4:$K$4003,"盘亏",出库单!$U$4:$U$4003,"正常",出库单!$C$4:$C$4003,"&gt;="&amp;账期起,出库单!$C$4:$C$4003,"&lt;="&amp;账期止),0))</f>
        <v/>
      </c>
      <c r="V760" s="27">
        <f>IF($A760="","",SUMIFS(出库单!$J$4:$J$4003,出库单!$D$4:$D$4003,$A760,出库单!$K$4:$K$4003,"退货给供应商",出库单!$U$4:$U$4003,"正常",出库单!$C$4:$C$4003,"&gt;="&amp;账期起,出库单!$C$4:$C$4003,"&lt;="&amp;账期止))</f>
        <v/>
      </c>
      <c r="W760" s="26">
        <f>IF($A760="","",ROUND(SUMIFS(出库单!$S$4:$S$4003,出库单!$D$4:$D$4003,$A760,出库单!$K$4:$K$4003,"退货给供应商",出库单!$U$4:$U$4003,"正常",出库单!$C$4:$C$4003,"&gt;="&amp;账期起,出库单!$C$4:$C$4003,"&lt;="&amp;账期止),0))</f>
        <v/>
      </c>
      <c r="X760" s="27">
        <f>IF($A760="","",ROUND(N($G760)+$I760+$L760+$N760-$P760-$R760-$T760-$V760,3))</f>
        <v/>
      </c>
      <c r="Y760" s="26">
        <f>IF($A760="","",ROUND(N($H760)+$J760+$M760+$O760-$Q760-$S760-$U760-$W760,0))</f>
        <v/>
      </c>
      <c r="Z760" s="24">
        <f>IF($A760="","",IF(COUNTIFS(入库单!$G$4:$G$2503,$A760,入库单!$Y$4:$Y$2503,"待补价")+COUNTIFS(入库单!$G$4:$G$2503,$A760,入库单!$Y$4:$Y$2503,"暂估")&gt;0,"不可信","可信"))</f>
        <v/>
      </c>
      <c r="AA760" s="24">
        <f>IF($A760="","",IF($X760&lt;-0.001,"※账面负库存，查一下是不是漏记入库",IF(AND(ROUND($X760,3)=0,ABS($Y760)&gt;1),"※数量已经是 0，金额还挂着 "&amp;TEXT($Y760,"#,##0")&amp;" 先令",IF(AND($X760&gt;0,$Y760&lt;=0,$K760=0),"※有数量没金额（这个物料一直没填过进价）",IF($Z760="不可信","△成本含待补价/暂估，毛利仅供参考","")))))</f>
        <v/>
      </c>
    </row>
    <row r="761">
      <c r="A761" s="24">
        <f>IF(物料档案!$A760="","",物料档案!$A760)</f>
        <v/>
      </c>
      <c r="B761" s="24">
        <f>IF($A761="","",IFERROR(VLOOKUP($A761,物料档案!$A$4:$P$1203,3,0),""))</f>
        <v/>
      </c>
      <c r="C761" s="24">
        <f>IF($A761="","",IFERROR(VLOOKUP($A761,物料档案!$A$4:$P$1203,4,0),""))</f>
        <v/>
      </c>
      <c r="D761" s="24">
        <f>IF($A761="","",IFERROR(VLOOKUP($A761,物料档案!$A$4:$P$1203,5,0),""))</f>
        <v/>
      </c>
      <c r="E761" s="24">
        <f>IF($A761="","",IFERROR(VLOOKUP($A761,物料档案!$A$4:$P$1203,2,0),""))</f>
        <v/>
      </c>
      <c r="F761" s="24">
        <f>IF($A761="","",IFERROR(VLOOKUP($A761,物料档案!$A$4:$P$1203,6,0),""))</f>
        <v/>
      </c>
      <c r="G761" s="23" t="n"/>
      <c r="H761" s="32" t="n"/>
      <c r="I761" s="27">
        <f>IF($A761="","",SUMIFS(入库单!$K$4:$K$2503,入库单!$G$4:$G$2503,$A761,入库单!$X$4:$X$2503,"采购入库",入库单!$Z$4:$Z$2503,"正常",入库单!$C$4:$C$2503,"&gt;="&amp;账期起,入库单!$C$4:$C$2503,"&lt;="&amp;账期止))</f>
        <v/>
      </c>
      <c r="J761" s="26">
        <f>IF($A761="","",SUMIFS(入库单!$V$4:$V$2503,入库单!$G$4:$G$2503,$A761,入库单!$X$4:$X$2503,"采购入库",入库单!$Z$4:$Z$2503,"正常",入库单!$C$4:$C$2503,"&gt;="&amp;账期起,入库单!$C$4:$C$2503,"&lt;="&amp;账期止))</f>
        <v/>
      </c>
      <c r="K761" s="26">
        <f>IF($A761="","",IFERROR(ROUND((N($H761)+N($J761))/(N($G761)+N($I761)),2),0))</f>
        <v/>
      </c>
      <c r="L761" s="27">
        <f>IF($A761="","",SUMIFS(入库单!$K$4:$K$2503,入库单!$G$4:$G$2503,$A761,入库单!$X$4:$X$2503,"盘盈",入库单!$Z$4:$Z$2503,"正常",入库单!$C$4:$C$2503,"&gt;="&amp;账期起,入库单!$C$4:$C$2503,"&lt;="&amp;账期止))</f>
        <v/>
      </c>
      <c r="M761" s="26">
        <f>IF($A761="","",ROUND($L761*$K761,0))</f>
        <v/>
      </c>
      <c r="N761" s="27">
        <f>IF($A761="","",SUMIFS(入库单!$K$4:$K$2503,入库单!$G$4:$G$2503,$A761,入库单!$X$4:$X$2503,"矿区退库",入库单!$Z$4:$Z$2503,"正常",入库单!$C$4:$C$2503,"&gt;="&amp;账期起,入库单!$C$4:$C$2503,"&lt;="&amp;账期止))</f>
        <v/>
      </c>
      <c r="O761" s="26">
        <f>IF($A761="","",ROUND($N761*$K761,0))</f>
        <v/>
      </c>
      <c r="P761" s="27">
        <f>IF($A761="","",SUMIFS(出库单!$J$4:$J$4003,出库单!$D$4:$D$4003,$A761,出库单!$K$4:$K$4003,"自用消耗",出库单!$U$4:$U$4003,"正常",出库单!$C$4:$C$4003,"&gt;="&amp;账期起,出库单!$C$4:$C$4003,"&lt;="&amp;账期止))</f>
        <v/>
      </c>
      <c r="Q761" s="26">
        <f>IF($A761="","",ROUND(SUMIFS(出库单!$S$4:$S$4003,出库单!$D$4:$D$4003,$A761,出库单!$K$4:$K$4003,"自用消耗",出库单!$U$4:$U$4003,"正常",出库单!$C$4:$C$4003,"&gt;="&amp;账期起,出库单!$C$4:$C$4003,"&lt;="&amp;账期止),0))</f>
        <v/>
      </c>
      <c r="R761" s="27">
        <f>IF($A761="","",SUMIFS(出库单!$J$4:$J$4003,出库单!$D$4:$D$4003,$A761,出库单!$K$4:$K$4003,"对外销售",出库单!$U$4:$U$4003,"正常",出库单!$C$4:$C$4003,"&gt;="&amp;账期起,出库单!$C$4:$C$4003,"&lt;="&amp;账期止))</f>
        <v/>
      </c>
      <c r="S761" s="26">
        <f>IF($A761="","",ROUND(SUMIFS(出库单!$S$4:$S$4003,出库单!$D$4:$D$4003,$A761,出库单!$K$4:$K$4003,"对外销售",出库单!$U$4:$U$4003,"正常",出库单!$C$4:$C$4003,"&gt;="&amp;账期起,出库单!$C$4:$C$4003,"&lt;="&amp;账期止),0))</f>
        <v/>
      </c>
      <c r="T761" s="27">
        <f>IF($A761="","",SUMIFS(出库单!$J$4:$J$4003,出库单!$D$4:$D$4003,$A761,出库单!$K$4:$K$4003,"盘亏",出库单!$U$4:$U$4003,"正常",出库单!$C$4:$C$4003,"&gt;="&amp;账期起,出库单!$C$4:$C$4003,"&lt;="&amp;账期止))</f>
        <v/>
      </c>
      <c r="U761" s="26">
        <f>IF($A761="","",ROUND(SUMIFS(出库单!$S$4:$S$4003,出库单!$D$4:$D$4003,$A761,出库单!$K$4:$K$4003,"盘亏",出库单!$U$4:$U$4003,"正常",出库单!$C$4:$C$4003,"&gt;="&amp;账期起,出库单!$C$4:$C$4003,"&lt;="&amp;账期止),0))</f>
        <v/>
      </c>
      <c r="V761" s="27">
        <f>IF($A761="","",SUMIFS(出库单!$J$4:$J$4003,出库单!$D$4:$D$4003,$A761,出库单!$K$4:$K$4003,"退货给供应商",出库单!$U$4:$U$4003,"正常",出库单!$C$4:$C$4003,"&gt;="&amp;账期起,出库单!$C$4:$C$4003,"&lt;="&amp;账期止))</f>
        <v/>
      </c>
      <c r="W761" s="26">
        <f>IF($A761="","",ROUND(SUMIFS(出库单!$S$4:$S$4003,出库单!$D$4:$D$4003,$A761,出库单!$K$4:$K$4003,"退货给供应商",出库单!$U$4:$U$4003,"正常",出库单!$C$4:$C$4003,"&gt;="&amp;账期起,出库单!$C$4:$C$4003,"&lt;="&amp;账期止),0))</f>
        <v/>
      </c>
      <c r="X761" s="27">
        <f>IF($A761="","",ROUND(N($G761)+$I761+$L761+$N761-$P761-$R761-$T761-$V761,3))</f>
        <v/>
      </c>
      <c r="Y761" s="26">
        <f>IF($A761="","",ROUND(N($H761)+$J761+$M761+$O761-$Q761-$S761-$U761-$W761,0))</f>
        <v/>
      </c>
      <c r="Z761" s="24">
        <f>IF($A761="","",IF(COUNTIFS(入库单!$G$4:$G$2503,$A761,入库单!$Y$4:$Y$2503,"待补价")+COUNTIFS(入库单!$G$4:$G$2503,$A761,入库单!$Y$4:$Y$2503,"暂估")&gt;0,"不可信","可信"))</f>
        <v/>
      </c>
      <c r="AA761" s="24">
        <f>IF($A761="","",IF($X761&lt;-0.001,"※账面负库存，查一下是不是漏记入库",IF(AND(ROUND($X761,3)=0,ABS($Y761)&gt;1),"※数量已经是 0，金额还挂着 "&amp;TEXT($Y761,"#,##0")&amp;" 先令",IF(AND($X761&gt;0,$Y761&lt;=0,$K761=0),"※有数量没金额（这个物料一直没填过进价）",IF($Z761="不可信","△成本含待补价/暂估，毛利仅供参考","")))))</f>
        <v/>
      </c>
    </row>
    <row r="762">
      <c r="A762" s="24">
        <f>IF(物料档案!$A761="","",物料档案!$A761)</f>
        <v/>
      </c>
      <c r="B762" s="24">
        <f>IF($A762="","",IFERROR(VLOOKUP($A762,物料档案!$A$4:$P$1203,3,0),""))</f>
        <v/>
      </c>
      <c r="C762" s="24">
        <f>IF($A762="","",IFERROR(VLOOKUP($A762,物料档案!$A$4:$P$1203,4,0),""))</f>
        <v/>
      </c>
      <c r="D762" s="24">
        <f>IF($A762="","",IFERROR(VLOOKUP($A762,物料档案!$A$4:$P$1203,5,0),""))</f>
        <v/>
      </c>
      <c r="E762" s="24">
        <f>IF($A762="","",IFERROR(VLOOKUP($A762,物料档案!$A$4:$P$1203,2,0),""))</f>
        <v/>
      </c>
      <c r="F762" s="24">
        <f>IF($A762="","",IFERROR(VLOOKUP($A762,物料档案!$A$4:$P$1203,6,0),""))</f>
        <v/>
      </c>
      <c r="G762" s="23" t="n"/>
      <c r="H762" s="32" t="n"/>
      <c r="I762" s="27">
        <f>IF($A762="","",SUMIFS(入库单!$K$4:$K$2503,入库单!$G$4:$G$2503,$A762,入库单!$X$4:$X$2503,"采购入库",入库单!$Z$4:$Z$2503,"正常",入库单!$C$4:$C$2503,"&gt;="&amp;账期起,入库单!$C$4:$C$2503,"&lt;="&amp;账期止))</f>
        <v/>
      </c>
      <c r="J762" s="26">
        <f>IF($A762="","",SUMIFS(入库单!$V$4:$V$2503,入库单!$G$4:$G$2503,$A762,入库单!$X$4:$X$2503,"采购入库",入库单!$Z$4:$Z$2503,"正常",入库单!$C$4:$C$2503,"&gt;="&amp;账期起,入库单!$C$4:$C$2503,"&lt;="&amp;账期止))</f>
        <v/>
      </c>
      <c r="K762" s="26">
        <f>IF($A762="","",IFERROR(ROUND((N($H762)+N($J762))/(N($G762)+N($I762)),2),0))</f>
        <v/>
      </c>
      <c r="L762" s="27">
        <f>IF($A762="","",SUMIFS(入库单!$K$4:$K$2503,入库单!$G$4:$G$2503,$A762,入库单!$X$4:$X$2503,"盘盈",入库单!$Z$4:$Z$2503,"正常",入库单!$C$4:$C$2503,"&gt;="&amp;账期起,入库单!$C$4:$C$2503,"&lt;="&amp;账期止))</f>
        <v/>
      </c>
      <c r="M762" s="26">
        <f>IF($A762="","",ROUND($L762*$K762,0))</f>
        <v/>
      </c>
      <c r="N762" s="27">
        <f>IF($A762="","",SUMIFS(入库单!$K$4:$K$2503,入库单!$G$4:$G$2503,$A762,入库单!$X$4:$X$2503,"矿区退库",入库单!$Z$4:$Z$2503,"正常",入库单!$C$4:$C$2503,"&gt;="&amp;账期起,入库单!$C$4:$C$2503,"&lt;="&amp;账期止))</f>
        <v/>
      </c>
      <c r="O762" s="26">
        <f>IF($A762="","",ROUND($N762*$K762,0))</f>
        <v/>
      </c>
      <c r="P762" s="27">
        <f>IF($A762="","",SUMIFS(出库单!$J$4:$J$4003,出库单!$D$4:$D$4003,$A762,出库单!$K$4:$K$4003,"自用消耗",出库单!$U$4:$U$4003,"正常",出库单!$C$4:$C$4003,"&gt;="&amp;账期起,出库单!$C$4:$C$4003,"&lt;="&amp;账期止))</f>
        <v/>
      </c>
      <c r="Q762" s="26">
        <f>IF($A762="","",ROUND(SUMIFS(出库单!$S$4:$S$4003,出库单!$D$4:$D$4003,$A762,出库单!$K$4:$K$4003,"自用消耗",出库单!$U$4:$U$4003,"正常",出库单!$C$4:$C$4003,"&gt;="&amp;账期起,出库单!$C$4:$C$4003,"&lt;="&amp;账期止),0))</f>
        <v/>
      </c>
      <c r="R762" s="27">
        <f>IF($A762="","",SUMIFS(出库单!$J$4:$J$4003,出库单!$D$4:$D$4003,$A762,出库单!$K$4:$K$4003,"对外销售",出库单!$U$4:$U$4003,"正常",出库单!$C$4:$C$4003,"&gt;="&amp;账期起,出库单!$C$4:$C$4003,"&lt;="&amp;账期止))</f>
        <v/>
      </c>
      <c r="S762" s="26">
        <f>IF($A762="","",ROUND(SUMIFS(出库单!$S$4:$S$4003,出库单!$D$4:$D$4003,$A762,出库单!$K$4:$K$4003,"对外销售",出库单!$U$4:$U$4003,"正常",出库单!$C$4:$C$4003,"&gt;="&amp;账期起,出库单!$C$4:$C$4003,"&lt;="&amp;账期止),0))</f>
        <v/>
      </c>
      <c r="T762" s="27">
        <f>IF($A762="","",SUMIFS(出库单!$J$4:$J$4003,出库单!$D$4:$D$4003,$A762,出库单!$K$4:$K$4003,"盘亏",出库单!$U$4:$U$4003,"正常",出库单!$C$4:$C$4003,"&gt;="&amp;账期起,出库单!$C$4:$C$4003,"&lt;="&amp;账期止))</f>
        <v/>
      </c>
      <c r="U762" s="26">
        <f>IF($A762="","",ROUND(SUMIFS(出库单!$S$4:$S$4003,出库单!$D$4:$D$4003,$A762,出库单!$K$4:$K$4003,"盘亏",出库单!$U$4:$U$4003,"正常",出库单!$C$4:$C$4003,"&gt;="&amp;账期起,出库单!$C$4:$C$4003,"&lt;="&amp;账期止),0))</f>
        <v/>
      </c>
      <c r="V762" s="27">
        <f>IF($A762="","",SUMIFS(出库单!$J$4:$J$4003,出库单!$D$4:$D$4003,$A762,出库单!$K$4:$K$4003,"退货给供应商",出库单!$U$4:$U$4003,"正常",出库单!$C$4:$C$4003,"&gt;="&amp;账期起,出库单!$C$4:$C$4003,"&lt;="&amp;账期止))</f>
        <v/>
      </c>
      <c r="W762" s="26">
        <f>IF($A762="","",ROUND(SUMIFS(出库单!$S$4:$S$4003,出库单!$D$4:$D$4003,$A762,出库单!$K$4:$K$4003,"退货给供应商",出库单!$U$4:$U$4003,"正常",出库单!$C$4:$C$4003,"&gt;="&amp;账期起,出库单!$C$4:$C$4003,"&lt;="&amp;账期止),0))</f>
        <v/>
      </c>
      <c r="X762" s="27">
        <f>IF($A762="","",ROUND(N($G762)+$I762+$L762+$N762-$P762-$R762-$T762-$V762,3))</f>
        <v/>
      </c>
      <c r="Y762" s="26">
        <f>IF($A762="","",ROUND(N($H762)+$J762+$M762+$O762-$Q762-$S762-$U762-$W762,0))</f>
        <v/>
      </c>
      <c r="Z762" s="24">
        <f>IF($A762="","",IF(COUNTIFS(入库单!$G$4:$G$2503,$A762,入库单!$Y$4:$Y$2503,"待补价")+COUNTIFS(入库单!$G$4:$G$2503,$A762,入库单!$Y$4:$Y$2503,"暂估")&gt;0,"不可信","可信"))</f>
        <v/>
      </c>
      <c r="AA762" s="24">
        <f>IF($A762="","",IF($X762&lt;-0.001,"※账面负库存，查一下是不是漏记入库",IF(AND(ROUND($X762,3)=0,ABS($Y762)&gt;1),"※数量已经是 0，金额还挂着 "&amp;TEXT($Y762,"#,##0")&amp;" 先令",IF(AND($X762&gt;0,$Y762&lt;=0,$K762=0),"※有数量没金额（这个物料一直没填过进价）",IF($Z762="不可信","△成本含待补价/暂估，毛利仅供参考","")))))</f>
        <v/>
      </c>
    </row>
    <row r="763">
      <c r="A763" s="24">
        <f>IF(物料档案!$A762="","",物料档案!$A762)</f>
        <v/>
      </c>
      <c r="B763" s="24">
        <f>IF($A763="","",IFERROR(VLOOKUP($A763,物料档案!$A$4:$P$1203,3,0),""))</f>
        <v/>
      </c>
      <c r="C763" s="24">
        <f>IF($A763="","",IFERROR(VLOOKUP($A763,物料档案!$A$4:$P$1203,4,0),""))</f>
        <v/>
      </c>
      <c r="D763" s="24">
        <f>IF($A763="","",IFERROR(VLOOKUP($A763,物料档案!$A$4:$P$1203,5,0),""))</f>
        <v/>
      </c>
      <c r="E763" s="24">
        <f>IF($A763="","",IFERROR(VLOOKUP($A763,物料档案!$A$4:$P$1203,2,0),""))</f>
        <v/>
      </c>
      <c r="F763" s="24">
        <f>IF($A763="","",IFERROR(VLOOKUP($A763,物料档案!$A$4:$P$1203,6,0),""))</f>
        <v/>
      </c>
      <c r="G763" s="23" t="n"/>
      <c r="H763" s="32" t="n"/>
      <c r="I763" s="27">
        <f>IF($A763="","",SUMIFS(入库单!$K$4:$K$2503,入库单!$G$4:$G$2503,$A763,入库单!$X$4:$X$2503,"采购入库",入库单!$Z$4:$Z$2503,"正常",入库单!$C$4:$C$2503,"&gt;="&amp;账期起,入库单!$C$4:$C$2503,"&lt;="&amp;账期止))</f>
        <v/>
      </c>
      <c r="J763" s="26">
        <f>IF($A763="","",SUMIFS(入库单!$V$4:$V$2503,入库单!$G$4:$G$2503,$A763,入库单!$X$4:$X$2503,"采购入库",入库单!$Z$4:$Z$2503,"正常",入库单!$C$4:$C$2503,"&gt;="&amp;账期起,入库单!$C$4:$C$2503,"&lt;="&amp;账期止))</f>
        <v/>
      </c>
      <c r="K763" s="26">
        <f>IF($A763="","",IFERROR(ROUND((N($H763)+N($J763))/(N($G763)+N($I763)),2),0))</f>
        <v/>
      </c>
      <c r="L763" s="27">
        <f>IF($A763="","",SUMIFS(入库单!$K$4:$K$2503,入库单!$G$4:$G$2503,$A763,入库单!$X$4:$X$2503,"盘盈",入库单!$Z$4:$Z$2503,"正常",入库单!$C$4:$C$2503,"&gt;="&amp;账期起,入库单!$C$4:$C$2503,"&lt;="&amp;账期止))</f>
        <v/>
      </c>
      <c r="M763" s="26">
        <f>IF($A763="","",ROUND($L763*$K763,0))</f>
        <v/>
      </c>
      <c r="N763" s="27">
        <f>IF($A763="","",SUMIFS(入库单!$K$4:$K$2503,入库单!$G$4:$G$2503,$A763,入库单!$X$4:$X$2503,"矿区退库",入库单!$Z$4:$Z$2503,"正常",入库单!$C$4:$C$2503,"&gt;="&amp;账期起,入库单!$C$4:$C$2503,"&lt;="&amp;账期止))</f>
        <v/>
      </c>
      <c r="O763" s="26">
        <f>IF($A763="","",ROUND($N763*$K763,0))</f>
        <v/>
      </c>
      <c r="P763" s="27">
        <f>IF($A763="","",SUMIFS(出库单!$J$4:$J$4003,出库单!$D$4:$D$4003,$A763,出库单!$K$4:$K$4003,"自用消耗",出库单!$U$4:$U$4003,"正常",出库单!$C$4:$C$4003,"&gt;="&amp;账期起,出库单!$C$4:$C$4003,"&lt;="&amp;账期止))</f>
        <v/>
      </c>
      <c r="Q763" s="26">
        <f>IF($A763="","",ROUND(SUMIFS(出库单!$S$4:$S$4003,出库单!$D$4:$D$4003,$A763,出库单!$K$4:$K$4003,"自用消耗",出库单!$U$4:$U$4003,"正常",出库单!$C$4:$C$4003,"&gt;="&amp;账期起,出库单!$C$4:$C$4003,"&lt;="&amp;账期止),0))</f>
        <v/>
      </c>
      <c r="R763" s="27">
        <f>IF($A763="","",SUMIFS(出库单!$J$4:$J$4003,出库单!$D$4:$D$4003,$A763,出库单!$K$4:$K$4003,"对外销售",出库单!$U$4:$U$4003,"正常",出库单!$C$4:$C$4003,"&gt;="&amp;账期起,出库单!$C$4:$C$4003,"&lt;="&amp;账期止))</f>
        <v/>
      </c>
      <c r="S763" s="26">
        <f>IF($A763="","",ROUND(SUMIFS(出库单!$S$4:$S$4003,出库单!$D$4:$D$4003,$A763,出库单!$K$4:$K$4003,"对外销售",出库单!$U$4:$U$4003,"正常",出库单!$C$4:$C$4003,"&gt;="&amp;账期起,出库单!$C$4:$C$4003,"&lt;="&amp;账期止),0))</f>
        <v/>
      </c>
      <c r="T763" s="27">
        <f>IF($A763="","",SUMIFS(出库单!$J$4:$J$4003,出库单!$D$4:$D$4003,$A763,出库单!$K$4:$K$4003,"盘亏",出库单!$U$4:$U$4003,"正常",出库单!$C$4:$C$4003,"&gt;="&amp;账期起,出库单!$C$4:$C$4003,"&lt;="&amp;账期止))</f>
        <v/>
      </c>
      <c r="U763" s="26">
        <f>IF($A763="","",ROUND(SUMIFS(出库单!$S$4:$S$4003,出库单!$D$4:$D$4003,$A763,出库单!$K$4:$K$4003,"盘亏",出库单!$U$4:$U$4003,"正常",出库单!$C$4:$C$4003,"&gt;="&amp;账期起,出库单!$C$4:$C$4003,"&lt;="&amp;账期止),0))</f>
        <v/>
      </c>
      <c r="V763" s="27">
        <f>IF($A763="","",SUMIFS(出库单!$J$4:$J$4003,出库单!$D$4:$D$4003,$A763,出库单!$K$4:$K$4003,"退货给供应商",出库单!$U$4:$U$4003,"正常",出库单!$C$4:$C$4003,"&gt;="&amp;账期起,出库单!$C$4:$C$4003,"&lt;="&amp;账期止))</f>
        <v/>
      </c>
      <c r="W763" s="26">
        <f>IF($A763="","",ROUND(SUMIFS(出库单!$S$4:$S$4003,出库单!$D$4:$D$4003,$A763,出库单!$K$4:$K$4003,"退货给供应商",出库单!$U$4:$U$4003,"正常",出库单!$C$4:$C$4003,"&gt;="&amp;账期起,出库单!$C$4:$C$4003,"&lt;="&amp;账期止),0))</f>
        <v/>
      </c>
      <c r="X763" s="27">
        <f>IF($A763="","",ROUND(N($G763)+$I763+$L763+$N763-$P763-$R763-$T763-$V763,3))</f>
        <v/>
      </c>
      <c r="Y763" s="26">
        <f>IF($A763="","",ROUND(N($H763)+$J763+$M763+$O763-$Q763-$S763-$U763-$W763,0))</f>
        <v/>
      </c>
      <c r="Z763" s="24">
        <f>IF($A763="","",IF(COUNTIFS(入库单!$G$4:$G$2503,$A763,入库单!$Y$4:$Y$2503,"待补价")+COUNTIFS(入库单!$G$4:$G$2503,$A763,入库单!$Y$4:$Y$2503,"暂估")&gt;0,"不可信","可信"))</f>
        <v/>
      </c>
      <c r="AA763" s="24">
        <f>IF($A763="","",IF($X763&lt;-0.001,"※账面负库存，查一下是不是漏记入库",IF(AND(ROUND($X763,3)=0,ABS($Y763)&gt;1),"※数量已经是 0，金额还挂着 "&amp;TEXT($Y763,"#,##0")&amp;" 先令",IF(AND($X763&gt;0,$Y763&lt;=0,$K763=0),"※有数量没金额（这个物料一直没填过进价）",IF($Z763="不可信","△成本含待补价/暂估，毛利仅供参考","")))))</f>
        <v/>
      </c>
    </row>
    <row r="764">
      <c r="A764" s="24">
        <f>IF(物料档案!$A763="","",物料档案!$A763)</f>
        <v/>
      </c>
      <c r="B764" s="24">
        <f>IF($A764="","",IFERROR(VLOOKUP($A764,物料档案!$A$4:$P$1203,3,0),""))</f>
        <v/>
      </c>
      <c r="C764" s="24">
        <f>IF($A764="","",IFERROR(VLOOKUP($A764,物料档案!$A$4:$P$1203,4,0),""))</f>
        <v/>
      </c>
      <c r="D764" s="24">
        <f>IF($A764="","",IFERROR(VLOOKUP($A764,物料档案!$A$4:$P$1203,5,0),""))</f>
        <v/>
      </c>
      <c r="E764" s="24">
        <f>IF($A764="","",IFERROR(VLOOKUP($A764,物料档案!$A$4:$P$1203,2,0),""))</f>
        <v/>
      </c>
      <c r="F764" s="24">
        <f>IF($A764="","",IFERROR(VLOOKUP($A764,物料档案!$A$4:$P$1203,6,0),""))</f>
        <v/>
      </c>
      <c r="G764" s="23" t="n"/>
      <c r="H764" s="32" t="n"/>
      <c r="I764" s="27">
        <f>IF($A764="","",SUMIFS(入库单!$K$4:$K$2503,入库单!$G$4:$G$2503,$A764,入库单!$X$4:$X$2503,"采购入库",入库单!$Z$4:$Z$2503,"正常",入库单!$C$4:$C$2503,"&gt;="&amp;账期起,入库单!$C$4:$C$2503,"&lt;="&amp;账期止))</f>
        <v/>
      </c>
      <c r="J764" s="26">
        <f>IF($A764="","",SUMIFS(入库单!$V$4:$V$2503,入库单!$G$4:$G$2503,$A764,入库单!$X$4:$X$2503,"采购入库",入库单!$Z$4:$Z$2503,"正常",入库单!$C$4:$C$2503,"&gt;="&amp;账期起,入库单!$C$4:$C$2503,"&lt;="&amp;账期止))</f>
        <v/>
      </c>
      <c r="K764" s="26">
        <f>IF($A764="","",IFERROR(ROUND((N($H764)+N($J764))/(N($G764)+N($I764)),2),0))</f>
        <v/>
      </c>
      <c r="L764" s="27">
        <f>IF($A764="","",SUMIFS(入库单!$K$4:$K$2503,入库单!$G$4:$G$2503,$A764,入库单!$X$4:$X$2503,"盘盈",入库单!$Z$4:$Z$2503,"正常",入库单!$C$4:$C$2503,"&gt;="&amp;账期起,入库单!$C$4:$C$2503,"&lt;="&amp;账期止))</f>
        <v/>
      </c>
      <c r="M764" s="26">
        <f>IF($A764="","",ROUND($L764*$K764,0))</f>
        <v/>
      </c>
      <c r="N764" s="27">
        <f>IF($A764="","",SUMIFS(入库单!$K$4:$K$2503,入库单!$G$4:$G$2503,$A764,入库单!$X$4:$X$2503,"矿区退库",入库单!$Z$4:$Z$2503,"正常",入库单!$C$4:$C$2503,"&gt;="&amp;账期起,入库单!$C$4:$C$2503,"&lt;="&amp;账期止))</f>
        <v/>
      </c>
      <c r="O764" s="26">
        <f>IF($A764="","",ROUND($N764*$K764,0))</f>
        <v/>
      </c>
      <c r="P764" s="27">
        <f>IF($A764="","",SUMIFS(出库单!$J$4:$J$4003,出库单!$D$4:$D$4003,$A764,出库单!$K$4:$K$4003,"自用消耗",出库单!$U$4:$U$4003,"正常",出库单!$C$4:$C$4003,"&gt;="&amp;账期起,出库单!$C$4:$C$4003,"&lt;="&amp;账期止))</f>
        <v/>
      </c>
      <c r="Q764" s="26">
        <f>IF($A764="","",ROUND(SUMIFS(出库单!$S$4:$S$4003,出库单!$D$4:$D$4003,$A764,出库单!$K$4:$K$4003,"自用消耗",出库单!$U$4:$U$4003,"正常",出库单!$C$4:$C$4003,"&gt;="&amp;账期起,出库单!$C$4:$C$4003,"&lt;="&amp;账期止),0))</f>
        <v/>
      </c>
      <c r="R764" s="27">
        <f>IF($A764="","",SUMIFS(出库单!$J$4:$J$4003,出库单!$D$4:$D$4003,$A764,出库单!$K$4:$K$4003,"对外销售",出库单!$U$4:$U$4003,"正常",出库单!$C$4:$C$4003,"&gt;="&amp;账期起,出库单!$C$4:$C$4003,"&lt;="&amp;账期止))</f>
        <v/>
      </c>
      <c r="S764" s="26">
        <f>IF($A764="","",ROUND(SUMIFS(出库单!$S$4:$S$4003,出库单!$D$4:$D$4003,$A764,出库单!$K$4:$K$4003,"对外销售",出库单!$U$4:$U$4003,"正常",出库单!$C$4:$C$4003,"&gt;="&amp;账期起,出库单!$C$4:$C$4003,"&lt;="&amp;账期止),0))</f>
        <v/>
      </c>
      <c r="T764" s="27">
        <f>IF($A764="","",SUMIFS(出库单!$J$4:$J$4003,出库单!$D$4:$D$4003,$A764,出库单!$K$4:$K$4003,"盘亏",出库单!$U$4:$U$4003,"正常",出库单!$C$4:$C$4003,"&gt;="&amp;账期起,出库单!$C$4:$C$4003,"&lt;="&amp;账期止))</f>
        <v/>
      </c>
      <c r="U764" s="26">
        <f>IF($A764="","",ROUND(SUMIFS(出库单!$S$4:$S$4003,出库单!$D$4:$D$4003,$A764,出库单!$K$4:$K$4003,"盘亏",出库单!$U$4:$U$4003,"正常",出库单!$C$4:$C$4003,"&gt;="&amp;账期起,出库单!$C$4:$C$4003,"&lt;="&amp;账期止),0))</f>
        <v/>
      </c>
      <c r="V764" s="27">
        <f>IF($A764="","",SUMIFS(出库单!$J$4:$J$4003,出库单!$D$4:$D$4003,$A764,出库单!$K$4:$K$4003,"退货给供应商",出库单!$U$4:$U$4003,"正常",出库单!$C$4:$C$4003,"&gt;="&amp;账期起,出库单!$C$4:$C$4003,"&lt;="&amp;账期止))</f>
        <v/>
      </c>
      <c r="W764" s="26">
        <f>IF($A764="","",ROUND(SUMIFS(出库单!$S$4:$S$4003,出库单!$D$4:$D$4003,$A764,出库单!$K$4:$K$4003,"退货给供应商",出库单!$U$4:$U$4003,"正常",出库单!$C$4:$C$4003,"&gt;="&amp;账期起,出库单!$C$4:$C$4003,"&lt;="&amp;账期止),0))</f>
        <v/>
      </c>
      <c r="X764" s="27">
        <f>IF($A764="","",ROUND(N($G764)+$I764+$L764+$N764-$P764-$R764-$T764-$V764,3))</f>
        <v/>
      </c>
      <c r="Y764" s="26">
        <f>IF($A764="","",ROUND(N($H764)+$J764+$M764+$O764-$Q764-$S764-$U764-$W764,0))</f>
        <v/>
      </c>
      <c r="Z764" s="24">
        <f>IF($A764="","",IF(COUNTIFS(入库单!$G$4:$G$2503,$A764,入库单!$Y$4:$Y$2503,"待补价")+COUNTIFS(入库单!$G$4:$G$2503,$A764,入库单!$Y$4:$Y$2503,"暂估")&gt;0,"不可信","可信"))</f>
        <v/>
      </c>
      <c r="AA764" s="24">
        <f>IF($A764="","",IF($X764&lt;-0.001,"※账面负库存，查一下是不是漏记入库",IF(AND(ROUND($X764,3)=0,ABS($Y764)&gt;1),"※数量已经是 0，金额还挂着 "&amp;TEXT($Y764,"#,##0")&amp;" 先令",IF(AND($X764&gt;0,$Y764&lt;=0,$K764=0),"※有数量没金额（这个物料一直没填过进价）",IF($Z764="不可信","△成本含待补价/暂估，毛利仅供参考","")))))</f>
        <v/>
      </c>
    </row>
    <row r="765">
      <c r="A765" s="24">
        <f>IF(物料档案!$A764="","",物料档案!$A764)</f>
        <v/>
      </c>
      <c r="B765" s="24">
        <f>IF($A765="","",IFERROR(VLOOKUP($A765,物料档案!$A$4:$P$1203,3,0),""))</f>
        <v/>
      </c>
      <c r="C765" s="24">
        <f>IF($A765="","",IFERROR(VLOOKUP($A765,物料档案!$A$4:$P$1203,4,0),""))</f>
        <v/>
      </c>
      <c r="D765" s="24">
        <f>IF($A765="","",IFERROR(VLOOKUP($A765,物料档案!$A$4:$P$1203,5,0),""))</f>
        <v/>
      </c>
      <c r="E765" s="24">
        <f>IF($A765="","",IFERROR(VLOOKUP($A765,物料档案!$A$4:$P$1203,2,0),""))</f>
        <v/>
      </c>
      <c r="F765" s="24">
        <f>IF($A765="","",IFERROR(VLOOKUP($A765,物料档案!$A$4:$P$1203,6,0),""))</f>
        <v/>
      </c>
      <c r="G765" s="23" t="n"/>
      <c r="H765" s="32" t="n"/>
      <c r="I765" s="27">
        <f>IF($A765="","",SUMIFS(入库单!$K$4:$K$2503,入库单!$G$4:$G$2503,$A765,入库单!$X$4:$X$2503,"采购入库",入库单!$Z$4:$Z$2503,"正常",入库单!$C$4:$C$2503,"&gt;="&amp;账期起,入库单!$C$4:$C$2503,"&lt;="&amp;账期止))</f>
        <v/>
      </c>
      <c r="J765" s="26">
        <f>IF($A765="","",SUMIFS(入库单!$V$4:$V$2503,入库单!$G$4:$G$2503,$A765,入库单!$X$4:$X$2503,"采购入库",入库单!$Z$4:$Z$2503,"正常",入库单!$C$4:$C$2503,"&gt;="&amp;账期起,入库单!$C$4:$C$2503,"&lt;="&amp;账期止))</f>
        <v/>
      </c>
      <c r="K765" s="26">
        <f>IF($A765="","",IFERROR(ROUND((N($H765)+N($J765))/(N($G765)+N($I765)),2),0))</f>
        <v/>
      </c>
      <c r="L765" s="27">
        <f>IF($A765="","",SUMIFS(入库单!$K$4:$K$2503,入库单!$G$4:$G$2503,$A765,入库单!$X$4:$X$2503,"盘盈",入库单!$Z$4:$Z$2503,"正常",入库单!$C$4:$C$2503,"&gt;="&amp;账期起,入库单!$C$4:$C$2503,"&lt;="&amp;账期止))</f>
        <v/>
      </c>
      <c r="M765" s="26">
        <f>IF($A765="","",ROUND($L765*$K765,0))</f>
        <v/>
      </c>
      <c r="N765" s="27">
        <f>IF($A765="","",SUMIFS(入库单!$K$4:$K$2503,入库单!$G$4:$G$2503,$A765,入库单!$X$4:$X$2503,"矿区退库",入库单!$Z$4:$Z$2503,"正常",入库单!$C$4:$C$2503,"&gt;="&amp;账期起,入库单!$C$4:$C$2503,"&lt;="&amp;账期止))</f>
        <v/>
      </c>
      <c r="O765" s="26">
        <f>IF($A765="","",ROUND($N765*$K765,0))</f>
        <v/>
      </c>
      <c r="P765" s="27">
        <f>IF($A765="","",SUMIFS(出库单!$J$4:$J$4003,出库单!$D$4:$D$4003,$A765,出库单!$K$4:$K$4003,"自用消耗",出库单!$U$4:$U$4003,"正常",出库单!$C$4:$C$4003,"&gt;="&amp;账期起,出库单!$C$4:$C$4003,"&lt;="&amp;账期止))</f>
        <v/>
      </c>
      <c r="Q765" s="26">
        <f>IF($A765="","",ROUND(SUMIFS(出库单!$S$4:$S$4003,出库单!$D$4:$D$4003,$A765,出库单!$K$4:$K$4003,"自用消耗",出库单!$U$4:$U$4003,"正常",出库单!$C$4:$C$4003,"&gt;="&amp;账期起,出库单!$C$4:$C$4003,"&lt;="&amp;账期止),0))</f>
        <v/>
      </c>
      <c r="R765" s="27">
        <f>IF($A765="","",SUMIFS(出库单!$J$4:$J$4003,出库单!$D$4:$D$4003,$A765,出库单!$K$4:$K$4003,"对外销售",出库单!$U$4:$U$4003,"正常",出库单!$C$4:$C$4003,"&gt;="&amp;账期起,出库单!$C$4:$C$4003,"&lt;="&amp;账期止))</f>
        <v/>
      </c>
      <c r="S765" s="26">
        <f>IF($A765="","",ROUND(SUMIFS(出库单!$S$4:$S$4003,出库单!$D$4:$D$4003,$A765,出库单!$K$4:$K$4003,"对外销售",出库单!$U$4:$U$4003,"正常",出库单!$C$4:$C$4003,"&gt;="&amp;账期起,出库单!$C$4:$C$4003,"&lt;="&amp;账期止),0))</f>
        <v/>
      </c>
      <c r="T765" s="27">
        <f>IF($A765="","",SUMIFS(出库单!$J$4:$J$4003,出库单!$D$4:$D$4003,$A765,出库单!$K$4:$K$4003,"盘亏",出库单!$U$4:$U$4003,"正常",出库单!$C$4:$C$4003,"&gt;="&amp;账期起,出库单!$C$4:$C$4003,"&lt;="&amp;账期止))</f>
        <v/>
      </c>
      <c r="U765" s="26">
        <f>IF($A765="","",ROUND(SUMIFS(出库单!$S$4:$S$4003,出库单!$D$4:$D$4003,$A765,出库单!$K$4:$K$4003,"盘亏",出库单!$U$4:$U$4003,"正常",出库单!$C$4:$C$4003,"&gt;="&amp;账期起,出库单!$C$4:$C$4003,"&lt;="&amp;账期止),0))</f>
        <v/>
      </c>
      <c r="V765" s="27">
        <f>IF($A765="","",SUMIFS(出库单!$J$4:$J$4003,出库单!$D$4:$D$4003,$A765,出库单!$K$4:$K$4003,"退货给供应商",出库单!$U$4:$U$4003,"正常",出库单!$C$4:$C$4003,"&gt;="&amp;账期起,出库单!$C$4:$C$4003,"&lt;="&amp;账期止))</f>
        <v/>
      </c>
      <c r="W765" s="26">
        <f>IF($A765="","",ROUND(SUMIFS(出库单!$S$4:$S$4003,出库单!$D$4:$D$4003,$A765,出库单!$K$4:$K$4003,"退货给供应商",出库单!$U$4:$U$4003,"正常",出库单!$C$4:$C$4003,"&gt;="&amp;账期起,出库单!$C$4:$C$4003,"&lt;="&amp;账期止),0))</f>
        <v/>
      </c>
      <c r="X765" s="27">
        <f>IF($A765="","",ROUND(N($G765)+$I765+$L765+$N765-$P765-$R765-$T765-$V765,3))</f>
        <v/>
      </c>
      <c r="Y765" s="26">
        <f>IF($A765="","",ROUND(N($H765)+$J765+$M765+$O765-$Q765-$S765-$U765-$W765,0))</f>
        <v/>
      </c>
      <c r="Z765" s="24">
        <f>IF($A765="","",IF(COUNTIFS(入库单!$G$4:$G$2503,$A765,入库单!$Y$4:$Y$2503,"待补价")+COUNTIFS(入库单!$G$4:$G$2503,$A765,入库单!$Y$4:$Y$2503,"暂估")&gt;0,"不可信","可信"))</f>
        <v/>
      </c>
      <c r="AA765" s="24">
        <f>IF($A765="","",IF($X765&lt;-0.001,"※账面负库存，查一下是不是漏记入库",IF(AND(ROUND($X765,3)=0,ABS($Y765)&gt;1),"※数量已经是 0，金额还挂着 "&amp;TEXT($Y765,"#,##0")&amp;" 先令",IF(AND($X765&gt;0,$Y765&lt;=0,$K765=0),"※有数量没金额（这个物料一直没填过进价）",IF($Z765="不可信","△成本含待补价/暂估，毛利仅供参考","")))))</f>
        <v/>
      </c>
    </row>
    <row r="766">
      <c r="A766" s="24">
        <f>IF(物料档案!$A765="","",物料档案!$A765)</f>
        <v/>
      </c>
      <c r="B766" s="24">
        <f>IF($A766="","",IFERROR(VLOOKUP($A766,物料档案!$A$4:$P$1203,3,0),""))</f>
        <v/>
      </c>
      <c r="C766" s="24">
        <f>IF($A766="","",IFERROR(VLOOKUP($A766,物料档案!$A$4:$P$1203,4,0),""))</f>
        <v/>
      </c>
      <c r="D766" s="24">
        <f>IF($A766="","",IFERROR(VLOOKUP($A766,物料档案!$A$4:$P$1203,5,0),""))</f>
        <v/>
      </c>
      <c r="E766" s="24">
        <f>IF($A766="","",IFERROR(VLOOKUP($A766,物料档案!$A$4:$P$1203,2,0),""))</f>
        <v/>
      </c>
      <c r="F766" s="24">
        <f>IF($A766="","",IFERROR(VLOOKUP($A766,物料档案!$A$4:$P$1203,6,0),""))</f>
        <v/>
      </c>
      <c r="G766" s="23" t="n"/>
      <c r="H766" s="32" t="n"/>
      <c r="I766" s="27">
        <f>IF($A766="","",SUMIFS(入库单!$K$4:$K$2503,入库单!$G$4:$G$2503,$A766,入库单!$X$4:$X$2503,"采购入库",入库单!$Z$4:$Z$2503,"正常",入库单!$C$4:$C$2503,"&gt;="&amp;账期起,入库单!$C$4:$C$2503,"&lt;="&amp;账期止))</f>
        <v/>
      </c>
      <c r="J766" s="26">
        <f>IF($A766="","",SUMIFS(入库单!$V$4:$V$2503,入库单!$G$4:$G$2503,$A766,入库单!$X$4:$X$2503,"采购入库",入库单!$Z$4:$Z$2503,"正常",入库单!$C$4:$C$2503,"&gt;="&amp;账期起,入库单!$C$4:$C$2503,"&lt;="&amp;账期止))</f>
        <v/>
      </c>
      <c r="K766" s="26">
        <f>IF($A766="","",IFERROR(ROUND((N($H766)+N($J766))/(N($G766)+N($I766)),2),0))</f>
        <v/>
      </c>
      <c r="L766" s="27">
        <f>IF($A766="","",SUMIFS(入库单!$K$4:$K$2503,入库单!$G$4:$G$2503,$A766,入库单!$X$4:$X$2503,"盘盈",入库单!$Z$4:$Z$2503,"正常",入库单!$C$4:$C$2503,"&gt;="&amp;账期起,入库单!$C$4:$C$2503,"&lt;="&amp;账期止))</f>
        <v/>
      </c>
      <c r="M766" s="26">
        <f>IF($A766="","",ROUND($L766*$K766,0))</f>
        <v/>
      </c>
      <c r="N766" s="27">
        <f>IF($A766="","",SUMIFS(入库单!$K$4:$K$2503,入库单!$G$4:$G$2503,$A766,入库单!$X$4:$X$2503,"矿区退库",入库单!$Z$4:$Z$2503,"正常",入库单!$C$4:$C$2503,"&gt;="&amp;账期起,入库单!$C$4:$C$2503,"&lt;="&amp;账期止))</f>
        <v/>
      </c>
      <c r="O766" s="26">
        <f>IF($A766="","",ROUND($N766*$K766,0))</f>
        <v/>
      </c>
      <c r="P766" s="27">
        <f>IF($A766="","",SUMIFS(出库单!$J$4:$J$4003,出库单!$D$4:$D$4003,$A766,出库单!$K$4:$K$4003,"自用消耗",出库单!$U$4:$U$4003,"正常",出库单!$C$4:$C$4003,"&gt;="&amp;账期起,出库单!$C$4:$C$4003,"&lt;="&amp;账期止))</f>
        <v/>
      </c>
      <c r="Q766" s="26">
        <f>IF($A766="","",ROUND(SUMIFS(出库单!$S$4:$S$4003,出库单!$D$4:$D$4003,$A766,出库单!$K$4:$K$4003,"自用消耗",出库单!$U$4:$U$4003,"正常",出库单!$C$4:$C$4003,"&gt;="&amp;账期起,出库单!$C$4:$C$4003,"&lt;="&amp;账期止),0))</f>
        <v/>
      </c>
      <c r="R766" s="27">
        <f>IF($A766="","",SUMIFS(出库单!$J$4:$J$4003,出库单!$D$4:$D$4003,$A766,出库单!$K$4:$K$4003,"对外销售",出库单!$U$4:$U$4003,"正常",出库单!$C$4:$C$4003,"&gt;="&amp;账期起,出库单!$C$4:$C$4003,"&lt;="&amp;账期止))</f>
        <v/>
      </c>
      <c r="S766" s="26">
        <f>IF($A766="","",ROUND(SUMIFS(出库单!$S$4:$S$4003,出库单!$D$4:$D$4003,$A766,出库单!$K$4:$K$4003,"对外销售",出库单!$U$4:$U$4003,"正常",出库单!$C$4:$C$4003,"&gt;="&amp;账期起,出库单!$C$4:$C$4003,"&lt;="&amp;账期止),0))</f>
        <v/>
      </c>
      <c r="T766" s="27">
        <f>IF($A766="","",SUMIFS(出库单!$J$4:$J$4003,出库单!$D$4:$D$4003,$A766,出库单!$K$4:$K$4003,"盘亏",出库单!$U$4:$U$4003,"正常",出库单!$C$4:$C$4003,"&gt;="&amp;账期起,出库单!$C$4:$C$4003,"&lt;="&amp;账期止))</f>
        <v/>
      </c>
      <c r="U766" s="26">
        <f>IF($A766="","",ROUND(SUMIFS(出库单!$S$4:$S$4003,出库单!$D$4:$D$4003,$A766,出库单!$K$4:$K$4003,"盘亏",出库单!$U$4:$U$4003,"正常",出库单!$C$4:$C$4003,"&gt;="&amp;账期起,出库单!$C$4:$C$4003,"&lt;="&amp;账期止),0))</f>
        <v/>
      </c>
      <c r="V766" s="27">
        <f>IF($A766="","",SUMIFS(出库单!$J$4:$J$4003,出库单!$D$4:$D$4003,$A766,出库单!$K$4:$K$4003,"退货给供应商",出库单!$U$4:$U$4003,"正常",出库单!$C$4:$C$4003,"&gt;="&amp;账期起,出库单!$C$4:$C$4003,"&lt;="&amp;账期止))</f>
        <v/>
      </c>
      <c r="W766" s="26">
        <f>IF($A766="","",ROUND(SUMIFS(出库单!$S$4:$S$4003,出库单!$D$4:$D$4003,$A766,出库单!$K$4:$K$4003,"退货给供应商",出库单!$U$4:$U$4003,"正常",出库单!$C$4:$C$4003,"&gt;="&amp;账期起,出库单!$C$4:$C$4003,"&lt;="&amp;账期止),0))</f>
        <v/>
      </c>
      <c r="X766" s="27">
        <f>IF($A766="","",ROUND(N($G766)+$I766+$L766+$N766-$P766-$R766-$T766-$V766,3))</f>
        <v/>
      </c>
      <c r="Y766" s="26">
        <f>IF($A766="","",ROUND(N($H766)+$J766+$M766+$O766-$Q766-$S766-$U766-$W766,0))</f>
        <v/>
      </c>
      <c r="Z766" s="24">
        <f>IF($A766="","",IF(COUNTIFS(入库单!$G$4:$G$2503,$A766,入库单!$Y$4:$Y$2503,"待补价")+COUNTIFS(入库单!$G$4:$G$2503,$A766,入库单!$Y$4:$Y$2503,"暂估")&gt;0,"不可信","可信"))</f>
        <v/>
      </c>
      <c r="AA766" s="24">
        <f>IF($A766="","",IF($X766&lt;-0.001,"※账面负库存，查一下是不是漏记入库",IF(AND(ROUND($X766,3)=0,ABS($Y766)&gt;1),"※数量已经是 0，金额还挂着 "&amp;TEXT($Y766,"#,##0")&amp;" 先令",IF(AND($X766&gt;0,$Y766&lt;=0,$K766=0),"※有数量没金额（这个物料一直没填过进价）",IF($Z766="不可信","△成本含待补价/暂估，毛利仅供参考","")))))</f>
        <v/>
      </c>
    </row>
    <row r="767">
      <c r="A767" s="24">
        <f>IF(物料档案!$A766="","",物料档案!$A766)</f>
        <v/>
      </c>
      <c r="B767" s="24">
        <f>IF($A767="","",IFERROR(VLOOKUP($A767,物料档案!$A$4:$P$1203,3,0),""))</f>
        <v/>
      </c>
      <c r="C767" s="24">
        <f>IF($A767="","",IFERROR(VLOOKUP($A767,物料档案!$A$4:$P$1203,4,0),""))</f>
        <v/>
      </c>
      <c r="D767" s="24">
        <f>IF($A767="","",IFERROR(VLOOKUP($A767,物料档案!$A$4:$P$1203,5,0),""))</f>
        <v/>
      </c>
      <c r="E767" s="24">
        <f>IF($A767="","",IFERROR(VLOOKUP($A767,物料档案!$A$4:$P$1203,2,0),""))</f>
        <v/>
      </c>
      <c r="F767" s="24">
        <f>IF($A767="","",IFERROR(VLOOKUP($A767,物料档案!$A$4:$P$1203,6,0),""))</f>
        <v/>
      </c>
      <c r="G767" s="23" t="n"/>
      <c r="H767" s="32" t="n"/>
      <c r="I767" s="27">
        <f>IF($A767="","",SUMIFS(入库单!$K$4:$K$2503,入库单!$G$4:$G$2503,$A767,入库单!$X$4:$X$2503,"采购入库",入库单!$Z$4:$Z$2503,"正常",入库单!$C$4:$C$2503,"&gt;="&amp;账期起,入库单!$C$4:$C$2503,"&lt;="&amp;账期止))</f>
        <v/>
      </c>
      <c r="J767" s="26">
        <f>IF($A767="","",SUMIFS(入库单!$V$4:$V$2503,入库单!$G$4:$G$2503,$A767,入库单!$X$4:$X$2503,"采购入库",入库单!$Z$4:$Z$2503,"正常",入库单!$C$4:$C$2503,"&gt;="&amp;账期起,入库单!$C$4:$C$2503,"&lt;="&amp;账期止))</f>
        <v/>
      </c>
      <c r="K767" s="26">
        <f>IF($A767="","",IFERROR(ROUND((N($H767)+N($J767))/(N($G767)+N($I767)),2),0))</f>
        <v/>
      </c>
      <c r="L767" s="27">
        <f>IF($A767="","",SUMIFS(入库单!$K$4:$K$2503,入库单!$G$4:$G$2503,$A767,入库单!$X$4:$X$2503,"盘盈",入库单!$Z$4:$Z$2503,"正常",入库单!$C$4:$C$2503,"&gt;="&amp;账期起,入库单!$C$4:$C$2503,"&lt;="&amp;账期止))</f>
        <v/>
      </c>
      <c r="M767" s="26">
        <f>IF($A767="","",ROUND($L767*$K767,0))</f>
        <v/>
      </c>
      <c r="N767" s="27">
        <f>IF($A767="","",SUMIFS(入库单!$K$4:$K$2503,入库单!$G$4:$G$2503,$A767,入库单!$X$4:$X$2503,"矿区退库",入库单!$Z$4:$Z$2503,"正常",入库单!$C$4:$C$2503,"&gt;="&amp;账期起,入库单!$C$4:$C$2503,"&lt;="&amp;账期止))</f>
        <v/>
      </c>
      <c r="O767" s="26">
        <f>IF($A767="","",ROUND($N767*$K767,0))</f>
        <v/>
      </c>
      <c r="P767" s="27">
        <f>IF($A767="","",SUMIFS(出库单!$J$4:$J$4003,出库单!$D$4:$D$4003,$A767,出库单!$K$4:$K$4003,"自用消耗",出库单!$U$4:$U$4003,"正常",出库单!$C$4:$C$4003,"&gt;="&amp;账期起,出库单!$C$4:$C$4003,"&lt;="&amp;账期止))</f>
        <v/>
      </c>
      <c r="Q767" s="26">
        <f>IF($A767="","",ROUND(SUMIFS(出库单!$S$4:$S$4003,出库单!$D$4:$D$4003,$A767,出库单!$K$4:$K$4003,"自用消耗",出库单!$U$4:$U$4003,"正常",出库单!$C$4:$C$4003,"&gt;="&amp;账期起,出库单!$C$4:$C$4003,"&lt;="&amp;账期止),0))</f>
        <v/>
      </c>
      <c r="R767" s="27">
        <f>IF($A767="","",SUMIFS(出库单!$J$4:$J$4003,出库单!$D$4:$D$4003,$A767,出库单!$K$4:$K$4003,"对外销售",出库单!$U$4:$U$4003,"正常",出库单!$C$4:$C$4003,"&gt;="&amp;账期起,出库单!$C$4:$C$4003,"&lt;="&amp;账期止))</f>
        <v/>
      </c>
      <c r="S767" s="26">
        <f>IF($A767="","",ROUND(SUMIFS(出库单!$S$4:$S$4003,出库单!$D$4:$D$4003,$A767,出库单!$K$4:$K$4003,"对外销售",出库单!$U$4:$U$4003,"正常",出库单!$C$4:$C$4003,"&gt;="&amp;账期起,出库单!$C$4:$C$4003,"&lt;="&amp;账期止),0))</f>
        <v/>
      </c>
      <c r="T767" s="27">
        <f>IF($A767="","",SUMIFS(出库单!$J$4:$J$4003,出库单!$D$4:$D$4003,$A767,出库单!$K$4:$K$4003,"盘亏",出库单!$U$4:$U$4003,"正常",出库单!$C$4:$C$4003,"&gt;="&amp;账期起,出库单!$C$4:$C$4003,"&lt;="&amp;账期止))</f>
        <v/>
      </c>
      <c r="U767" s="26">
        <f>IF($A767="","",ROUND(SUMIFS(出库单!$S$4:$S$4003,出库单!$D$4:$D$4003,$A767,出库单!$K$4:$K$4003,"盘亏",出库单!$U$4:$U$4003,"正常",出库单!$C$4:$C$4003,"&gt;="&amp;账期起,出库单!$C$4:$C$4003,"&lt;="&amp;账期止),0))</f>
        <v/>
      </c>
      <c r="V767" s="27">
        <f>IF($A767="","",SUMIFS(出库单!$J$4:$J$4003,出库单!$D$4:$D$4003,$A767,出库单!$K$4:$K$4003,"退货给供应商",出库单!$U$4:$U$4003,"正常",出库单!$C$4:$C$4003,"&gt;="&amp;账期起,出库单!$C$4:$C$4003,"&lt;="&amp;账期止))</f>
        <v/>
      </c>
      <c r="W767" s="26">
        <f>IF($A767="","",ROUND(SUMIFS(出库单!$S$4:$S$4003,出库单!$D$4:$D$4003,$A767,出库单!$K$4:$K$4003,"退货给供应商",出库单!$U$4:$U$4003,"正常",出库单!$C$4:$C$4003,"&gt;="&amp;账期起,出库单!$C$4:$C$4003,"&lt;="&amp;账期止),0))</f>
        <v/>
      </c>
      <c r="X767" s="27">
        <f>IF($A767="","",ROUND(N($G767)+$I767+$L767+$N767-$P767-$R767-$T767-$V767,3))</f>
        <v/>
      </c>
      <c r="Y767" s="26">
        <f>IF($A767="","",ROUND(N($H767)+$J767+$M767+$O767-$Q767-$S767-$U767-$W767,0))</f>
        <v/>
      </c>
      <c r="Z767" s="24">
        <f>IF($A767="","",IF(COUNTIFS(入库单!$G$4:$G$2503,$A767,入库单!$Y$4:$Y$2503,"待补价")+COUNTIFS(入库单!$G$4:$G$2503,$A767,入库单!$Y$4:$Y$2503,"暂估")&gt;0,"不可信","可信"))</f>
        <v/>
      </c>
      <c r="AA767" s="24">
        <f>IF($A767="","",IF($X767&lt;-0.001,"※账面负库存，查一下是不是漏记入库",IF(AND(ROUND($X767,3)=0,ABS($Y767)&gt;1),"※数量已经是 0，金额还挂着 "&amp;TEXT($Y767,"#,##0")&amp;" 先令",IF(AND($X767&gt;0,$Y767&lt;=0,$K767=0),"※有数量没金额（这个物料一直没填过进价）",IF($Z767="不可信","△成本含待补价/暂估，毛利仅供参考","")))))</f>
        <v/>
      </c>
    </row>
    <row r="768">
      <c r="A768" s="24">
        <f>IF(物料档案!$A767="","",物料档案!$A767)</f>
        <v/>
      </c>
      <c r="B768" s="24">
        <f>IF($A768="","",IFERROR(VLOOKUP($A768,物料档案!$A$4:$P$1203,3,0),""))</f>
        <v/>
      </c>
      <c r="C768" s="24">
        <f>IF($A768="","",IFERROR(VLOOKUP($A768,物料档案!$A$4:$P$1203,4,0),""))</f>
        <v/>
      </c>
      <c r="D768" s="24">
        <f>IF($A768="","",IFERROR(VLOOKUP($A768,物料档案!$A$4:$P$1203,5,0),""))</f>
        <v/>
      </c>
      <c r="E768" s="24">
        <f>IF($A768="","",IFERROR(VLOOKUP($A768,物料档案!$A$4:$P$1203,2,0),""))</f>
        <v/>
      </c>
      <c r="F768" s="24">
        <f>IF($A768="","",IFERROR(VLOOKUP($A768,物料档案!$A$4:$P$1203,6,0),""))</f>
        <v/>
      </c>
      <c r="G768" s="23" t="n"/>
      <c r="H768" s="32" t="n"/>
      <c r="I768" s="27">
        <f>IF($A768="","",SUMIFS(入库单!$K$4:$K$2503,入库单!$G$4:$G$2503,$A768,入库单!$X$4:$X$2503,"采购入库",入库单!$Z$4:$Z$2503,"正常",入库单!$C$4:$C$2503,"&gt;="&amp;账期起,入库单!$C$4:$C$2503,"&lt;="&amp;账期止))</f>
        <v/>
      </c>
      <c r="J768" s="26">
        <f>IF($A768="","",SUMIFS(入库单!$V$4:$V$2503,入库单!$G$4:$G$2503,$A768,入库单!$X$4:$X$2503,"采购入库",入库单!$Z$4:$Z$2503,"正常",入库单!$C$4:$C$2503,"&gt;="&amp;账期起,入库单!$C$4:$C$2503,"&lt;="&amp;账期止))</f>
        <v/>
      </c>
      <c r="K768" s="26">
        <f>IF($A768="","",IFERROR(ROUND((N($H768)+N($J768))/(N($G768)+N($I768)),2),0))</f>
        <v/>
      </c>
      <c r="L768" s="27">
        <f>IF($A768="","",SUMIFS(入库单!$K$4:$K$2503,入库单!$G$4:$G$2503,$A768,入库单!$X$4:$X$2503,"盘盈",入库单!$Z$4:$Z$2503,"正常",入库单!$C$4:$C$2503,"&gt;="&amp;账期起,入库单!$C$4:$C$2503,"&lt;="&amp;账期止))</f>
        <v/>
      </c>
      <c r="M768" s="26">
        <f>IF($A768="","",ROUND($L768*$K768,0))</f>
        <v/>
      </c>
      <c r="N768" s="27">
        <f>IF($A768="","",SUMIFS(入库单!$K$4:$K$2503,入库单!$G$4:$G$2503,$A768,入库单!$X$4:$X$2503,"矿区退库",入库单!$Z$4:$Z$2503,"正常",入库单!$C$4:$C$2503,"&gt;="&amp;账期起,入库单!$C$4:$C$2503,"&lt;="&amp;账期止))</f>
        <v/>
      </c>
      <c r="O768" s="26">
        <f>IF($A768="","",ROUND($N768*$K768,0))</f>
        <v/>
      </c>
      <c r="P768" s="27">
        <f>IF($A768="","",SUMIFS(出库单!$J$4:$J$4003,出库单!$D$4:$D$4003,$A768,出库单!$K$4:$K$4003,"自用消耗",出库单!$U$4:$U$4003,"正常",出库单!$C$4:$C$4003,"&gt;="&amp;账期起,出库单!$C$4:$C$4003,"&lt;="&amp;账期止))</f>
        <v/>
      </c>
      <c r="Q768" s="26">
        <f>IF($A768="","",ROUND(SUMIFS(出库单!$S$4:$S$4003,出库单!$D$4:$D$4003,$A768,出库单!$K$4:$K$4003,"自用消耗",出库单!$U$4:$U$4003,"正常",出库单!$C$4:$C$4003,"&gt;="&amp;账期起,出库单!$C$4:$C$4003,"&lt;="&amp;账期止),0))</f>
        <v/>
      </c>
      <c r="R768" s="27">
        <f>IF($A768="","",SUMIFS(出库单!$J$4:$J$4003,出库单!$D$4:$D$4003,$A768,出库单!$K$4:$K$4003,"对外销售",出库单!$U$4:$U$4003,"正常",出库单!$C$4:$C$4003,"&gt;="&amp;账期起,出库单!$C$4:$C$4003,"&lt;="&amp;账期止))</f>
        <v/>
      </c>
      <c r="S768" s="26">
        <f>IF($A768="","",ROUND(SUMIFS(出库单!$S$4:$S$4003,出库单!$D$4:$D$4003,$A768,出库单!$K$4:$K$4003,"对外销售",出库单!$U$4:$U$4003,"正常",出库单!$C$4:$C$4003,"&gt;="&amp;账期起,出库单!$C$4:$C$4003,"&lt;="&amp;账期止),0))</f>
        <v/>
      </c>
      <c r="T768" s="27">
        <f>IF($A768="","",SUMIFS(出库单!$J$4:$J$4003,出库单!$D$4:$D$4003,$A768,出库单!$K$4:$K$4003,"盘亏",出库单!$U$4:$U$4003,"正常",出库单!$C$4:$C$4003,"&gt;="&amp;账期起,出库单!$C$4:$C$4003,"&lt;="&amp;账期止))</f>
        <v/>
      </c>
      <c r="U768" s="26">
        <f>IF($A768="","",ROUND(SUMIFS(出库单!$S$4:$S$4003,出库单!$D$4:$D$4003,$A768,出库单!$K$4:$K$4003,"盘亏",出库单!$U$4:$U$4003,"正常",出库单!$C$4:$C$4003,"&gt;="&amp;账期起,出库单!$C$4:$C$4003,"&lt;="&amp;账期止),0))</f>
        <v/>
      </c>
      <c r="V768" s="27">
        <f>IF($A768="","",SUMIFS(出库单!$J$4:$J$4003,出库单!$D$4:$D$4003,$A768,出库单!$K$4:$K$4003,"退货给供应商",出库单!$U$4:$U$4003,"正常",出库单!$C$4:$C$4003,"&gt;="&amp;账期起,出库单!$C$4:$C$4003,"&lt;="&amp;账期止))</f>
        <v/>
      </c>
      <c r="W768" s="26">
        <f>IF($A768="","",ROUND(SUMIFS(出库单!$S$4:$S$4003,出库单!$D$4:$D$4003,$A768,出库单!$K$4:$K$4003,"退货给供应商",出库单!$U$4:$U$4003,"正常",出库单!$C$4:$C$4003,"&gt;="&amp;账期起,出库单!$C$4:$C$4003,"&lt;="&amp;账期止),0))</f>
        <v/>
      </c>
      <c r="X768" s="27">
        <f>IF($A768="","",ROUND(N($G768)+$I768+$L768+$N768-$P768-$R768-$T768-$V768,3))</f>
        <v/>
      </c>
      <c r="Y768" s="26">
        <f>IF($A768="","",ROUND(N($H768)+$J768+$M768+$O768-$Q768-$S768-$U768-$W768,0))</f>
        <v/>
      </c>
      <c r="Z768" s="24">
        <f>IF($A768="","",IF(COUNTIFS(入库单!$G$4:$G$2503,$A768,入库单!$Y$4:$Y$2503,"待补价")+COUNTIFS(入库单!$G$4:$G$2503,$A768,入库单!$Y$4:$Y$2503,"暂估")&gt;0,"不可信","可信"))</f>
        <v/>
      </c>
      <c r="AA768" s="24">
        <f>IF($A768="","",IF($X768&lt;-0.001,"※账面负库存，查一下是不是漏记入库",IF(AND(ROUND($X768,3)=0,ABS($Y768)&gt;1),"※数量已经是 0，金额还挂着 "&amp;TEXT($Y768,"#,##0")&amp;" 先令",IF(AND($X768&gt;0,$Y768&lt;=0,$K768=0),"※有数量没金额（这个物料一直没填过进价）",IF($Z768="不可信","△成本含待补价/暂估，毛利仅供参考","")))))</f>
        <v/>
      </c>
    </row>
    <row r="769">
      <c r="A769" s="24">
        <f>IF(物料档案!$A768="","",物料档案!$A768)</f>
        <v/>
      </c>
      <c r="B769" s="24">
        <f>IF($A769="","",IFERROR(VLOOKUP($A769,物料档案!$A$4:$P$1203,3,0),""))</f>
        <v/>
      </c>
      <c r="C769" s="24">
        <f>IF($A769="","",IFERROR(VLOOKUP($A769,物料档案!$A$4:$P$1203,4,0),""))</f>
        <v/>
      </c>
      <c r="D769" s="24">
        <f>IF($A769="","",IFERROR(VLOOKUP($A769,物料档案!$A$4:$P$1203,5,0),""))</f>
        <v/>
      </c>
      <c r="E769" s="24">
        <f>IF($A769="","",IFERROR(VLOOKUP($A769,物料档案!$A$4:$P$1203,2,0),""))</f>
        <v/>
      </c>
      <c r="F769" s="24">
        <f>IF($A769="","",IFERROR(VLOOKUP($A769,物料档案!$A$4:$P$1203,6,0),""))</f>
        <v/>
      </c>
      <c r="G769" s="23" t="n"/>
      <c r="H769" s="32" t="n"/>
      <c r="I769" s="27">
        <f>IF($A769="","",SUMIFS(入库单!$K$4:$K$2503,入库单!$G$4:$G$2503,$A769,入库单!$X$4:$X$2503,"采购入库",入库单!$Z$4:$Z$2503,"正常",入库单!$C$4:$C$2503,"&gt;="&amp;账期起,入库单!$C$4:$C$2503,"&lt;="&amp;账期止))</f>
        <v/>
      </c>
      <c r="J769" s="26">
        <f>IF($A769="","",SUMIFS(入库单!$V$4:$V$2503,入库单!$G$4:$G$2503,$A769,入库单!$X$4:$X$2503,"采购入库",入库单!$Z$4:$Z$2503,"正常",入库单!$C$4:$C$2503,"&gt;="&amp;账期起,入库单!$C$4:$C$2503,"&lt;="&amp;账期止))</f>
        <v/>
      </c>
      <c r="K769" s="26">
        <f>IF($A769="","",IFERROR(ROUND((N($H769)+N($J769))/(N($G769)+N($I769)),2),0))</f>
        <v/>
      </c>
      <c r="L769" s="27">
        <f>IF($A769="","",SUMIFS(入库单!$K$4:$K$2503,入库单!$G$4:$G$2503,$A769,入库单!$X$4:$X$2503,"盘盈",入库单!$Z$4:$Z$2503,"正常",入库单!$C$4:$C$2503,"&gt;="&amp;账期起,入库单!$C$4:$C$2503,"&lt;="&amp;账期止))</f>
        <v/>
      </c>
      <c r="M769" s="26">
        <f>IF($A769="","",ROUND($L769*$K769,0))</f>
        <v/>
      </c>
      <c r="N769" s="27">
        <f>IF($A769="","",SUMIFS(入库单!$K$4:$K$2503,入库单!$G$4:$G$2503,$A769,入库单!$X$4:$X$2503,"矿区退库",入库单!$Z$4:$Z$2503,"正常",入库单!$C$4:$C$2503,"&gt;="&amp;账期起,入库单!$C$4:$C$2503,"&lt;="&amp;账期止))</f>
        <v/>
      </c>
      <c r="O769" s="26">
        <f>IF($A769="","",ROUND($N769*$K769,0))</f>
        <v/>
      </c>
      <c r="P769" s="27">
        <f>IF($A769="","",SUMIFS(出库单!$J$4:$J$4003,出库单!$D$4:$D$4003,$A769,出库单!$K$4:$K$4003,"自用消耗",出库单!$U$4:$U$4003,"正常",出库单!$C$4:$C$4003,"&gt;="&amp;账期起,出库单!$C$4:$C$4003,"&lt;="&amp;账期止))</f>
        <v/>
      </c>
      <c r="Q769" s="26">
        <f>IF($A769="","",ROUND(SUMIFS(出库单!$S$4:$S$4003,出库单!$D$4:$D$4003,$A769,出库单!$K$4:$K$4003,"自用消耗",出库单!$U$4:$U$4003,"正常",出库单!$C$4:$C$4003,"&gt;="&amp;账期起,出库单!$C$4:$C$4003,"&lt;="&amp;账期止),0))</f>
        <v/>
      </c>
      <c r="R769" s="27">
        <f>IF($A769="","",SUMIFS(出库单!$J$4:$J$4003,出库单!$D$4:$D$4003,$A769,出库单!$K$4:$K$4003,"对外销售",出库单!$U$4:$U$4003,"正常",出库单!$C$4:$C$4003,"&gt;="&amp;账期起,出库单!$C$4:$C$4003,"&lt;="&amp;账期止))</f>
        <v/>
      </c>
      <c r="S769" s="26">
        <f>IF($A769="","",ROUND(SUMIFS(出库单!$S$4:$S$4003,出库单!$D$4:$D$4003,$A769,出库单!$K$4:$K$4003,"对外销售",出库单!$U$4:$U$4003,"正常",出库单!$C$4:$C$4003,"&gt;="&amp;账期起,出库单!$C$4:$C$4003,"&lt;="&amp;账期止),0))</f>
        <v/>
      </c>
      <c r="T769" s="27">
        <f>IF($A769="","",SUMIFS(出库单!$J$4:$J$4003,出库单!$D$4:$D$4003,$A769,出库单!$K$4:$K$4003,"盘亏",出库单!$U$4:$U$4003,"正常",出库单!$C$4:$C$4003,"&gt;="&amp;账期起,出库单!$C$4:$C$4003,"&lt;="&amp;账期止))</f>
        <v/>
      </c>
      <c r="U769" s="26">
        <f>IF($A769="","",ROUND(SUMIFS(出库单!$S$4:$S$4003,出库单!$D$4:$D$4003,$A769,出库单!$K$4:$K$4003,"盘亏",出库单!$U$4:$U$4003,"正常",出库单!$C$4:$C$4003,"&gt;="&amp;账期起,出库单!$C$4:$C$4003,"&lt;="&amp;账期止),0))</f>
        <v/>
      </c>
      <c r="V769" s="27">
        <f>IF($A769="","",SUMIFS(出库单!$J$4:$J$4003,出库单!$D$4:$D$4003,$A769,出库单!$K$4:$K$4003,"退货给供应商",出库单!$U$4:$U$4003,"正常",出库单!$C$4:$C$4003,"&gt;="&amp;账期起,出库单!$C$4:$C$4003,"&lt;="&amp;账期止))</f>
        <v/>
      </c>
      <c r="W769" s="26">
        <f>IF($A769="","",ROUND(SUMIFS(出库单!$S$4:$S$4003,出库单!$D$4:$D$4003,$A769,出库单!$K$4:$K$4003,"退货给供应商",出库单!$U$4:$U$4003,"正常",出库单!$C$4:$C$4003,"&gt;="&amp;账期起,出库单!$C$4:$C$4003,"&lt;="&amp;账期止),0))</f>
        <v/>
      </c>
      <c r="X769" s="27">
        <f>IF($A769="","",ROUND(N($G769)+$I769+$L769+$N769-$P769-$R769-$T769-$V769,3))</f>
        <v/>
      </c>
      <c r="Y769" s="26">
        <f>IF($A769="","",ROUND(N($H769)+$J769+$M769+$O769-$Q769-$S769-$U769-$W769,0))</f>
        <v/>
      </c>
      <c r="Z769" s="24">
        <f>IF($A769="","",IF(COUNTIFS(入库单!$G$4:$G$2503,$A769,入库单!$Y$4:$Y$2503,"待补价")+COUNTIFS(入库单!$G$4:$G$2503,$A769,入库单!$Y$4:$Y$2503,"暂估")&gt;0,"不可信","可信"))</f>
        <v/>
      </c>
      <c r="AA769" s="24">
        <f>IF($A769="","",IF($X769&lt;-0.001,"※账面负库存，查一下是不是漏记入库",IF(AND(ROUND($X769,3)=0,ABS($Y769)&gt;1),"※数量已经是 0，金额还挂着 "&amp;TEXT($Y769,"#,##0")&amp;" 先令",IF(AND($X769&gt;0,$Y769&lt;=0,$K769=0),"※有数量没金额（这个物料一直没填过进价）",IF($Z769="不可信","△成本含待补价/暂估，毛利仅供参考","")))))</f>
        <v/>
      </c>
    </row>
    <row r="770">
      <c r="A770" s="24">
        <f>IF(物料档案!$A769="","",物料档案!$A769)</f>
        <v/>
      </c>
      <c r="B770" s="24">
        <f>IF($A770="","",IFERROR(VLOOKUP($A770,物料档案!$A$4:$P$1203,3,0),""))</f>
        <v/>
      </c>
      <c r="C770" s="24">
        <f>IF($A770="","",IFERROR(VLOOKUP($A770,物料档案!$A$4:$P$1203,4,0),""))</f>
        <v/>
      </c>
      <c r="D770" s="24">
        <f>IF($A770="","",IFERROR(VLOOKUP($A770,物料档案!$A$4:$P$1203,5,0),""))</f>
        <v/>
      </c>
      <c r="E770" s="24">
        <f>IF($A770="","",IFERROR(VLOOKUP($A770,物料档案!$A$4:$P$1203,2,0),""))</f>
        <v/>
      </c>
      <c r="F770" s="24">
        <f>IF($A770="","",IFERROR(VLOOKUP($A770,物料档案!$A$4:$P$1203,6,0),""))</f>
        <v/>
      </c>
      <c r="G770" s="23" t="n"/>
      <c r="H770" s="32" t="n"/>
      <c r="I770" s="27">
        <f>IF($A770="","",SUMIFS(入库单!$K$4:$K$2503,入库单!$G$4:$G$2503,$A770,入库单!$X$4:$X$2503,"采购入库",入库单!$Z$4:$Z$2503,"正常",入库单!$C$4:$C$2503,"&gt;="&amp;账期起,入库单!$C$4:$C$2503,"&lt;="&amp;账期止))</f>
        <v/>
      </c>
      <c r="J770" s="26">
        <f>IF($A770="","",SUMIFS(入库单!$V$4:$V$2503,入库单!$G$4:$G$2503,$A770,入库单!$X$4:$X$2503,"采购入库",入库单!$Z$4:$Z$2503,"正常",入库单!$C$4:$C$2503,"&gt;="&amp;账期起,入库单!$C$4:$C$2503,"&lt;="&amp;账期止))</f>
        <v/>
      </c>
      <c r="K770" s="26">
        <f>IF($A770="","",IFERROR(ROUND((N($H770)+N($J770))/(N($G770)+N($I770)),2),0))</f>
        <v/>
      </c>
      <c r="L770" s="27">
        <f>IF($A770="","",SUMIFS(入库单!$K$4:$K$2503,入库单!$G$4:$G$2503,$A770,入库单!$X$4:$X$2503,"盘盈",入库单!$Z$4:$Z$2503,"正常",入库单!$C$4:$C$2503,"&gt;="&amp;账期起,入库单!$C$4:$C$2503,"&lt;="&amp;账期止))</f>
        <v/>
      </c>
      <c r="M770" s="26">
        <f>IF($A770="","",ROUND($L770*$K770,0))</f>
        <v/>
      </c>
      <c r="N770" s="27">
        <f>IF($A770="","",SUMIFS(入库单!$K$4:$K$2503,入库单!$G$4:$G$2503,$A770,入库单!$X$4:$X$2503,"矿区退库",入库单!$Z$4:$Z$2503,"正常",入库单!$C$4:$C$2503,"&gt;="&amp;账期起,入库单!$C$4:$C$2503,"&lt;="&amp;账期止))</f>
        <v/>
      </c>
      <c r="O770" s="26">
        <f>IF($A770="","",ROUND($N770*$K770,0))</f>
        <v/>
      </c>
      <c r="P770" s="27">
        <f>IF($A770="","",SUMIFS(出库单!$J$4:$J$4003,出库单!$D$4:$D$4003,$A770,出库单!$K$4:$K$4003,"自用消耗",出库单!$U$4:$U$4003,"正常",出库单!$C$4:$C$4003,"&gt;="&amp;账期起,出库单!$C$4:$C$4003,"&lt;="&amp;账期止))</f>
        <v/>
      </c>
      <c r="Q770" s="26">
        <f>IF($A770="","",ROUND(SUMIFS(出库单!$S$4:$S$4003,出库单!$D$4:$D$4003,$A770,出库单!$K$4:$K$4003,"自用消耗",出库单!$U$4:$U$4003,"正常",出库单!$C$4:$C$4003,"&gt;="&amp;账期起,出库单!$C$4:$C$4003,"&lt;="&amp;账期止),0))</f>
        <v/>
      </c>
      <c r="R770" s="27">
        <f>IF($A770="","",SUMIFS(出库单!$J$4:$J$4003,出库单!$D$4:$D$4003,$A770,出库单!$K$4:$K$4003,"对外销售",出库单!$U$4:$U$4003,"正常",出库单!$C$4:$C$4003,"&gt;="&amp;账期起,出库单!$C$4:$C$4003,"&lt;="&amp;账期止))</f>
        <v/>
      </c>
      <c r="S770" s="26">
        <f>IF($A770="","",ROUND(SUMIFS(出库单!$S$4:$S$4003,出库单!$D$4:$D$4003,$A770,出库单!$K$4:$K$4003,"对外销售",出库单!$U$4:$U$4003,"正常",出库单!$C$4:$C$4003,"&gt;="&amp;账期起,出库单!$C$4:$C$4003,"&lt;="&amp;账期止),0))</f>
        <v/>
      </c>
      <c r="T770" s="27">
        <f>IF($A770="","",SUMIFS(出库单!$J$4:$J$4003,出库单!$D$4:$D$4003,$A770,出库单!$K$4:$K$4003,"盘亏",出库单!$U$4:$U$4003,"正常",出库单!$C$4:$C$4003,"&gt;="&amp;账期起,出库单!$C$4:$C$4003,"&lt;="&amp;账期止))</f>
        <v/>
      </c>
      <c r="U770" s="26">
        <f>IF($A770="","",ROUND(SUMIFS(出库单!$S$4:$S$4003,出库单!$D$4:$D$4003,$A770,出库单!$K$4:$K$4003,"盘亏",出库单!$U$4:$U$4003,"正常",出库单!$C$4:$C$4003,"&gt;="&amp;账期起,出库单!$C$4:$C$4003,"&lt;="&amp;账期止),0))</f>
        <v/>
      </c>
      <c r="V770" s="27">
        <f>IF($A770="","",SUMIFS(出库单!$J$4:$J$4003,出库单!$D$4:$D$4003,$A770,出库单!$K$4:$K$4003,"退货给供应商",出库单!$U$4:$U$4003,"正常",出库单!$C$4:$C$4003,"&gt;="&amp;账期起,出库单!$C$4:$C$4003,"&lt;="&amp;账期止))</f>
        <v/>
      </c>
      <c r="W770" s="26">
        <f>IF($A770="","",ROUND(SUMIFS(出库单!$S$4:$S$4003,出库单!$D$4:$D$4003,$A770,出库单!$K$4:$K$4003,"退货给供应商",出库单!$U$4:$U$4003,"正常",出库单!$C$4:$C$4003,"&gt;="&amp;账期起,出库单!$C$4:$C$4003,"&lt;="&amp;账期止),0))</f>
        <v/>
      </c>
      <c r="X770" s="27">
        <f>IF($A770="","",ROUND(N($G770)+$I770+$L770+$N770-$P770-$R770-$T770-$V770,3))</f>
        <v/>
      </c>
      <c r="Y770" s="26">
        <f>IF($A770="","",ROUND(N($H770)+$J770+$M770+$O770-$Q770-$S770-$U770-$W770,0))</f>
        <v/>
      </c>
      <c r="Z770" s="24">
        <f>IF($A770="","",IF(COUNTIFS(入库单!$G$4:$G$2503,$A770,入库单!$Y$4:$Y$2503,"待补价")+COUNTIFS(入库单!$G$4:$G$2503,$A770,入库单!$Y$4:$Y$2503,"暂估")&gt;0,"不可信","可信"))</f>
        <v/>
      </c>
      <c r="AA770" s="24">
        <f>IF($A770="","",IF($X770&lt;-0.001,"※账面负库存，查一下是不是漏记入库",IF(AND(ROUND($X770,3)=0,ABS($Y770)&gt;1),"※数量已经是 0，金额还挂着 "&amp;TEXT($Y770,"#,##0")&amp;" 先令",IF(AND($X770&gt;0,$Y770&lt;=0,$K770=0),"※有数量没金额（这个物料一直没填过进价）",IF($Z770="不可信","△成本含待补价/暂估，毛利仅供参考","")))))</f>
        <v/>
      </c>
    </row>
    <row r="771">
      <c r="A771" s="24">
        <f>IF(物料档案!$A770="","",物料档案!$A770)</f>
        <v/>
      </c>
      <c r="B771" s="24">
        <f>IF($A771="","",IFERROR(VLOOKUP($A771,物料档案!$A$4:$P$1203,3,0),""))</f>
        <v/>
      </c>
      <c r="C771" s="24">
        <f>IF($A771="","",IFERROR(VLOOKUP($A771,物料档案!$A$4:$P$1203,4,0),""))</f>
        <v/>
      </c>
      <c r="D771" s="24">
        <f>IF($A771="","",IFERROR(VLOOKUP($A771,物料档案!$A$4:$P$1203,5,0),""))</f>
        <v/>
      </c>
      <c r="E771" s="24">
        <f>IF($A771="","",IFERROR(VLOOKUP($A771,物料档案!$A$4:$P$1203,2,0),""))</f>
        <v/>
      </c>
      <c r="F771" s="24">
        <f>IF($A771="","",IFERROR(VLOOKUP($A771,物料档案!$A$4:$P$1203,6,0),""))</f>
        <v/>
      </c>
      <c r="G771" s="23" t="n"/>
      <c r="H771" s="32" t="n"/>
      <c r="I771" s="27">
        <f>IF($A771="","",SUMIFS(入库单!$K$4:$K$2503,入库单!$G$4:$G$2503,$A771,入库单!$X$4:$X$2503,"采购入库",入库单!$Z$4:$Z$2503,"正常",入库单!$C$4:$C$2503,"&gt;="&amp;账期起,入库单!$C$4:$C$2503,"&lt;="&amp;账期止))</f>
        <v/>
      </c>
      <c r="J771" s="26">
        <f>IF($A771="","",SUMIFS(入库单!$V$4:$V$2503,入库单!$G$4:$G$2503,$A771,入库单!$X$4:$X$2503,"采购入库",入库单!$Z$4:$Z$2503,"正常",入库单!$C$4:$C$2503,"&gt;="&amp;账期起,入库单!$C$4:$C$2503,"&lt;="&amp;账期止))</f>
        <v/>
      </c>
      <c r="K771" s="26">
        <f>IF($A771="","",IFERROR(ROUND((N($H771)+N($J771))/(N($G771)+N($I771)),2),0))</f>
        <v/>
      </c>
      <c r="L771" s="27">
        <f>IF($A771="","",SUMIFS(入库单!$K$4:$K$2503,入库单!$G$4:$G$2503,$A771,入库单!$X$4:$X$2503,"盘盈",入库单!$Z$4:$Z$2503,"正常",入库单!$C$4:$C$2503,"&gt;="&amp;账期起,入库单!$C$4:$C$2503,"&lt;="&amp;账期止))</f>
        <v/>
      </c>
      <c r="M771" s="26">
        <f>IF($A771="","",ROUND($L771*$K771,0))</f>
        <v/>
      </c>
      <c r="N771" s="27">
        <f>IF($A771="","",SUMIFS(入库单!$K$4:$K$2503,入库单!$G$4:$G$2503,$A771,入库单!$X$4:$X$2503,"矿区退库",入库单!$Z$4:$Z$2503,"正常",入库单!$C$4:$C$2503,"&gt;="&amp;账期起,入库单!$C$4:$C$2503,"&lt;="&amp;账期止))</f>
        <v/>
      </c>
      <c r="O771" s="26">
        <f>IF($A771="","",ROUND($N771*$K771,0))</f>
        <v/>
      </c>
      <c r="P771" s="27">
        <f>IF($A771="","",SUMIFS(出库单!$J$4:$J$4003,出库单!$D$4:$D$4003,$A771,出库单!$K$4:$K$4003,"自用消耗",出库单!$U$4:$U$4003,"正常",出库单!$C$4:$C$4003,"&gt;="&amp;账期起,出库单!$C$4:$C$4003,"&lt;="&amp;账期止))</f>
        <v/>
      </c>
      <c r="Q771" s="26">
        <f>IF($A771="","",ROUND(SUMIFS(出库单!$S$4:$S$4003,出库单!$D$4:$D$4003,$A771,出库单!$K$4:$K$4003,"自用消耗",出库单!$U$4:$U$4003,"正常",出库单!$C$4:$C$4003,"&gt;="&amp;账期起,出库单!$C$4:$C$4003,"&lt;="&amp;账期止),0))</f>
        <v/>
      </c>
      <c r="R771" s="27">
        <f>IF($A771="","",SUMIFS(出库单!$J$4:$J$4003,出库单!$D$4:$D$4003,$A771,出库单!$K$4:$K$4003,"对外销售",出库单!$U$4:$U$4003,"正常",出库单!$C$4:$C$4003,"&gt;="&amp;账期起,出库单!$C$4:$C$4003,"&lt;="&amp;账期止))</f>
        <v/>
      </c>
      <c r="S771" s="26">
        <f>IF($A771="","",ROUND(SUMIFS(出库单!$S$4:$S$4003,出库单!$D$4:$D$4003,$A771,出库单!$K$4:$K$4003,"对外销售",出库单!$U$4:$U$4003,"正常",出库单!$C$4:$C$4003,"&gt;="&amp;账期起,出库单!$C$4:$C$4003,"&lt;="&amp;账期止),0))</f>
        <v/>
      </c>
      <c r="T771" s="27">
        <f>IF($A771="","",SUMIFS(出库单!$J$4:$J$4003,出库单!$D$4:$D$4003,$A771,出库单!$K$4:$K$4003,"盘亏",出库单!$U$4:$U$4003,"正常",出库单!$C$4:$C$4003,"&gt;="&amp;账期起,出库单!$C$4:$C$4003,"&lt;="&amp;账期止))</f>
        <v/>
      </c>
      <c r="U771" s="26">
        <f>IF($A771="","",ROUND(SUMIFS(出库单!$S$4:$S$4003,出库单!$D$4:$D$4003,$A771,出库单!$K$4:$K$4003,"盘亏",出库单!$U$4:$U$4003,"正常",出库单!$C$4:$C$4003,"&gt;="&amp;账期起,出库单!$C$4:$C$4003,"&lt;="&amp;账期止),0))</f>
        <v/>
      </c>
      <c r="V771" s="27">
        <f>IF($A771="","",SUMIFS(出库单!$J$4:$J$4003,出库单!$D$4:$D$4003,$A771,出库单!$K$4:$K$4003,"退货给供应商",出库单!$U$4:$U$4003,"正常",出库单!$C$4:$C$4003,"&gt;="&amp;账期起,出库单!$C$4:$C$4003,"&lt;="&amp;账期止))</f>
        <v/>
      </c>
      <c r="W771" s="26">
        <f>IF($A771="","",ROUND(SUMIFS(出库单!$S$4:$S$4003,出库单!$D$4:$D$4003,$A771,出库单!$K$4:$K$4003,"退货给供应商",出库单!$U$4:$U$4003,"正常",出库单!$C$4:$C$4003,"&gt;="&amp;账期起,出库单!$C$4:$C$4003,"&lt;="&amp;账期止),0))</f>
        <v/>
      </c>
      <c r="X771" s="27">
        <f>IF($A771="","",ROUND(N($G771)+$I771+$L771+$N771-$P771-$R771-$T771-$V771,3))</f>
        <v/>
      </c>
      <c r="Y771" s="26">
        <f>IF($A771="","",ROUND(N($H771)+$J771+$M771+$O771-$Q771-$S771-$U771-$W771,0))</f>
        <v/>
      </c>
      <c r="Z771" s="24">
        <f>IF($A771="","",IF(COUNTIFS(入库单!$G$4:$G$2503,$A771,入库单!$Y$4:$Y$2503,"待补价")+COUNTIFS(入库单!$G$4:$G$2503,$A771,入库单!$Y$4:$Y$2503,"暂估")&gt;0,"不可信","可信"))</f>
        <v/>
      </c>
      <c r="AA771" s="24">
        <f>IF($A771="","",IF($X771&lt;-0.001,"※账面负库存，查一下是不是漏记入库",IF(AND(ROUND($X771,3)=0,ABS($Y771)&gt;1),"※数量已经是 0，金额还挂着 "&amp;TEXT($Y771,"#,##0")&amp;" 先令",IF(AND($X771&gt;0,$Y771&lt;=0,$K771=0),"※有数量没金额（这个物料一直没填过进价）",IF($Z771="不可信","△成本含待补价/暂估，毛利仅供参考","")))))</f>
        <v/>
      </c>
    </row>
    <row r="772">
      <c r="A772" s="24">
        <f>IF(物料档案!$A771="","",物料档案!$A771)</f>
        <v/>
      </c>
      <c r="B772" s="24">
        <f>IF($A772="","",IFERROR(VLOOKUP($A772,物料档案!$A$4:$P$1203,3,0),""))</f>
        <v/>
      </c>
      <c r="C772" s="24">
        <f>IF($A772="","",IFERROR(VLOOKUP($A772,物料档案!$A$4:$P$1203,4,0),""))</f>
        <v/>
      </c>
      <c r="D772" s="24">
        <f>IF($A772="","",IFERROR(VLOOKUP($A772,物料档案!$A$4:$P$1203,5,0),""))</f>
        <v/>
      </c>
      <c r="E772" s="24">
        <f>IF($A772="","",IFERROR(VLOOKUP($A772,物料档案!$A$4:$P$1203,2,0),""))</f>
        <v/>
      </c>
      <c r="F772" s="24">
        <f>IF($A772="","",IFERROR(VLOOKUP($A772,物料档案!$A$4:$P$1203,6,0),""))</f>
        <v/>
      </c>
      <c r="G772" s="23" t="n"/>
      <c r="H772" s="32" t="n"/>
      <c r="I772" s="27">
        <f>IF($A772="","",SUMIFS(入库单!$K$4:$K$2503,入库单!$G$4:$G$2503,$A772,入库单!$X$4:$X$2503,"采购入库",入库单!$Z$4:$Z$2503,"正常",入库单!$C$4:$C$2503,"&gt;="&amp;账期起,入库单!$C$4:$C$2503,"&lt;="&amp;账期止))</f>
        <v/>
      </c>
      <c r="J772" s="26">
        <f>IF($A772="","",SUMIFS(入库单!$V$4:$V$2503,入库单!$G$4:$G$2503,$A772,入库单!$X$4:$X$2503,"采购入库",入库单!$Z$4:$Z$2503,"正常",入库单!$C$4:$C$2503,"&gt;="&amp;账期起,入库单!$C$4:$C$2503,"&lt;="&amp;账期止))</f>
        <v/>
      </c>
      <c r="K772" s="26">
        <f>IF($A772="","",IFERROR(ROUND((N($H772)+N($J772))/(N($G772)+N($I772)),2),0))</f>
        <v/>
      </c>
      <c r="L772" s="27">
        <f>IF($A772="","",SUMIFS(入库单!$K$4:$K$2503,入库单!$G$4:$G$2503,$A772,入库单!$X$4:$X$2503,"盘盈",入库单!$Z$4:$Z$2503,"正常",入库单!$C$4:$C$2503,"&gt;="&amp;账期起,入库单!$C$4:$C$2503,"&lt;="&amp;账期止))</f>
        <v/>
      </c>
      <c r="M772" s="26">
        <f>IF($A772="","",ROUND($L772*$K772,0))</f>
        <v/>
      </c>
      <c r="N772" s="27">
        <f>IF($A772="","",SUMIFS(入库单!$K$4:$K$2503,入库单!$G$4:$G$2503,$A772,入库单!$X$4:$X$2503,"矿区退库",入库单!$Z$4:$Z$2503,"正常",入库单!$C$4:$C$2503,"&gt;="&amp;账期起,入库单!$C$4:$C$2503,"&lt;="&amp;账期止))</f>
        <v/>
      </c>
      <c r="O772" s="26">
        <f>IF($A772="","",ROUND($N772*$K772,0))</f>
        <v/>
      </c>
      <c r="P772" s="27">
        <f>IF($A772="","",SUMIFS(出库单!$J$4:$J$4003,出库单!$D$4:$D$4003,$A772,出库单!$K$4:$K$4003,"自用消耗",出库单!$U$4:$U$4003,"正常",出库单!$C$4:$C$4003,"&gt;="&amp;账期起,出库单!$C$4:$C$4003,"&lt;="&amp;账期止))</f>
        <v/>
      </c>
      <c r="Q772" s="26">
        <f>IF($A772="","",ROUND(SUMIFS(出库单!$S$4:$S$4003,出库单!$D$4:$D$4003,$A772,出库单!$K$4:$K$4003,"自用消耗",出库单!$U$4:$U$4003,"正常",出库单!$C$4:$C$4003,"&gt;="&amp;账期起,出库单!$C$4:$C$4003,"&lt;="&amp;账期止),0))</f>
        <v/>
      </c>
      <c r="R772" s="27">
        <f>IF($A772="","",SUMIFS(出库单!$J$4:$J$4003,出库单!$D$4:$D$4003,$A772,出库单!$K$4:$K$4003,"对外销售",出库单!$U$4:$U$4003,"正常",出库单!$C$4:$C$4003,"&gt;="&amp;账期起,出库单!$C$4:$C$4003,"&lt;="&amp;账期止))</f>
        <v/>
      </c>
      <c r="S772" s="26">
        <f>IF($A772="","",ROUND(SUMIFS(出库单!$S$4:$S$4003,出库单!$D$4:$D$4003,$A772,出库单!$K$4:$K$4003,"对外销售",出库单!$U$4:$U$4003,"正常",出库单!$C$4:$C$4003,"&gt;="&amp;账期起,出库单!$C$4:$C$4003,"&lt;="&amp;账期止),0))</f>
        <v/>
      </c>
      <c r="T772" s="27">
        <f>IF($A772="","",SUMIFS(出库单!$J$4:$J$4003,出库单!$D$4:$D$4003,$A772,出库单!$K$4:$K$4003,"盘亏",出库单!$U$4:$U$4003,"正常",出库单!$C$4:$C$4003,"&gt;="&amp;账期起,出库单!$C$4:$C$4003,"&lt;="&amp;账期止))</f>
        <v/>
      </c>
      <c r="U772" s="26">
        <f>IF($A772="","",ROUND(SUMIFS(出库单!$S$4:$S$4003,出库单!$D$4:$D$4003,$A772,出库单!$K$4:$K$4003,"盘亏",出库单!$U$4:$U$4003,"正常",出库单!$C$4:$C$4003,"&gt;="&amp;账期起,出库单!$C$4:$C$4003,"&lt;="&amp;账期止),0))</f>
        <v/>
      </c>
      <c r="V772" s="27">
        <f>IF($A772="","",SUMIFS(出库单!$J$4:$J$4003,出库单!$D$4:$D$4003,$A772,出库单!$K$4:$K$4003,"退货给供应商",出库单!$U$4:$U$4003,"正常",出库单!$C$4:$C$4003,"&gt;="&amp;账期起,出库单!$C$4:$C$4003,"&lt;="&amp;账期止))</f>
        <v/>
      </c>
      <c r="W772" s="26">
        <f>IF($A772="","",ROUND(SUMIFS(出库单!$S$4:$S$4003,出库单!$D$4:$D$4003,$A772,出库单!$K$4:$K$4003,"退货给供应商",出库单!$U$4:$U$4003,"正常",出库单!$C$4:$C$4003,"&gt;="&amp;账期起,出库单!$C$4:$C$4003,"&lt;="&amp;账期止),0))</f>
        <v/>
      </c>
      <c r="X772" s="27">
        <f>IF($A772="","",ROUND(N($G772)+$I772+$L772+$N772-$P772-$R772-$T772-$V772,3))</f>
        <v/>
      </c>
      <c r="Y772" s="26">
        <f>IF($A772="","",ROUND(N($H772)+$J772+$M772+$O772-$Q772-$S772-$U772-$W772,0))</f>
        <v/>
      </c>
      <c r="Z772" s="24">
        <f>IF($A772="","",IF(COUNTIFS(入库单!$G$4:$G$2503,$A772,入库单!$Y$4:$Y$2503,"待补价")+COUNTIFS(入库单!$G$4:$G$2503,$A772,入库单!$Y$4:$Y$2503,"暂估")&gt;0,"不可信","可信"))</f>
        <v/>
      </c>
      <c r="AA772" s="24">
        <f>IF($A772="","",IF($X772&lt;-0.001,"※账面负库存，查一下是不是漏记入库",IF(AND(ROUND($X772,3)=0,ABS($Y772)&gt;1),"※数量已经是 0，金额还挂着 "&amp;TEXT($Y772,"#,##0")&amp;" 先令",IF(AND($X772&gt;0,$Y772&lt;=0,$K772=0),"※有数量没金额（这个物料一直没填过进价）",IF($Z772="不可信","△成本含待补价/暂估，毛利仅供参考","")))))</f>
        <v/>
      </c>
    </row>
    <row r="773">
      <c r="A773" s="24">
        <f>IF(物料档案!$A772="","",物料档案!$A772)</f>
        <v/>
      </c>
      <c r="B773" s="24">
        <f>IF($A773="","",IFERROR(VLOOKUP($A773,物料档案!$A$4:$P$1203,3,0),""))</f>
        <v/>
      </c>
      <c r="C773" s="24">
        <f>IF($A773="","",IFERROR(VLOOKUP($A773,物料档案!$A$4:$P$1203,4,0),""))</f>
        <v/>
      </c>
      <c r="D773" s="24">
        <f>IF($A773="","",IFERROR(VLOOKUP($A773,物料档案!$A$4:$P$1203,5,0),""))</f>
        <v/>
      </c>
      <c r="E773" s="24">
        <f>IF($A773="","",IFERROR(VLOOKUP($A773,物料档案!$A$4:$P$1203,2,0),""))</f>
        <v/>
      </c>
      <c r="F773" s="24">
        <f>IF($A773="","",IFERROR(VLOOKUP($A773,物料档案!$A$4:$P$1203,6,0),""))</f>
        <v/>
      </c>
      <c r="G773" s="23" t="n"/>
      <c r="H773" s="32" t="n"/>
      <c r="I773" s="27">
        <f>IF($A773="","",SUMIFS(入库单!$K$4:$K$2503,入库单!$G$4:$G$2503,$A773,入库单!$X$4:$X$2503,"采购入库",入库单!$Z$4:$Z$2503,"正常",入库单!$C$4:$C$2503,"&gt;="&amp;账期起,入库单!$C$4:$C$2503,"&lt;="&amp;账期止))</f>
        <v/>
      </c>
      <c r="J773" s="26">
        <f>IF($A773="","",SUMIFS(入库单!$V$4:$V$2503,入库单!$G$4:$G$2503,$A773,入库单!$X$4:$X$2503,"采购入库",入库单!$Z$4:$Z$2503,"正常",入库单!$C$4:$C$2503,"&gt;="&amp;账期起,入库单!$C$4:$C$2503,"&lt;="&amp;账期止))</f>
        <v/>
      </c>
      <c r="K773" s="26">
        <f>IF($A773="","",IFERROR(ROUND((N($H773)+N($J773))/(N($G773)+N($I773)),2),0))</f>
        <v/>
      </c>
      <c r="L773" s="27">
        <f>IF($A773="","",SUMIFS(入库单!$K$4:$K$2503,入库单!$G$4:$G$2503,$A773,入库单!$X$4:$X$2503,"盘盈",入库单!$Z$4:$Z$2503,"正常",入库单!$C$4:$C$2503,"&gt;="&amp;账期起,入库单!$C$4:$C$2503,"&lt;="&amp;账期止))</f>
        <v/>
      </c>
      <c r="M773" s="26">
        <f>IF($A773="","",ROUND($L773*$K773,0))</f>
        <v/>
      </c>
      <c r="N773" s="27">
        <f>IF($A773="","",SUMIFS(入库单!$K$4:$K$2503,入库单!$G$4:$G$2503,$A773,入库单!$X$4:$X$2503,"矿区退库",入库单!$Z$4:$Z$2503,"正常",入库单!$C$4:$C$2503,"&gt;="&amp;账期起,入库单!$C$4:$C$2503,"&lt;="&amp;账期止))</f>
        <v/>
      </c>
      <c r="O773" s="26">
        <f>IF($A773="","",ROUND($N773*$K773,0))</f>
        <v/>
      </c>
      <c r="P773" s="27">
        <f>IF($A773="","",SUMIFS(出库单!$J$4:$J$4003,出库单!$D$4:$D$4003,$A773,出库单!$K$4:$K$4003,"自用消耗",出库单!$U$4:$U$4003,"正常",出库单!$C$4:$C$4003,"&gt;="&amp;账期起,出库单!$C$4:$C$4003,"&lt;="&amp;账期止))</f>
        <v/>
      </c>
      <c r="Q773" s="26">
        <f>IF($A773="","",ROUND(SUMIFS(出库单!$S$4:$S$4003,出库单!$D$4:$D$4003,$A773,出库单!$K$4:$K$4003,"自用消耗",出库单!$U$4:$U$4003,"正常",出库单!$C$4:$C$4003,"&gt;="&amp;账期起,出库单!$C$4:$C$4003,"&lt;="&amp;账期止),0))</f>
        <v/>
      </c>
      <c r="R773" s="27">
        <f>IF($A773="","",SUMIFS(出库单!$J$4:$J$4003,出库单!$D$4:$D$4003,$A773,出库单!$K$4:$K$4003,"对外销售",出库单!$U$4:$U$4003,"正常",出库单!$C$4:$C$4003,"&gt;="&amp;账期起,出库单!$C$4:$C$4003,"&lt;="&amp;账期止))</f>
        <v/>
      </c>
      <c r="S773" s="26">
        <f>IF($A773="","",ROUND(SUMIFS(出库单!$S$4:$S$4003,出库单!$D$4:$D$4003,$A773,出库单!$K$4:$K$4003,"对外销售",出库单!$U$4:$U$4003,"正常",出库单!$C$4:$C$4003,"&gt;="&amp;账期起,出库单!$C$4:$C$4003,"&lt;="&amp;账期止),0))</f>
        <v/>
      </c>
      <c r="T773" s="27">
        <f>IF($A773="","",SUMIFS(出库单!$J$4:$J$4003,出库单!$D$4:$D$4003,$A773,出库单!$K$4:$K$4003,"盘亏",出库单!$U$4:$U$4003,"正常",出库单!$C$4:$C$4003,"&gt;="&amp;账期起,出库单!$C$4:$C$4003,"&lt;="&amp;账期止))</f>
        <v/>
      </c>
      <c r="U773" s="26">
        <f>IF($A773="","",ROUND(SUMIFS(出库单!$S$4:$S$4003,出库单!$D$4:$D$4003,$A773,出库单!$K$4:$K$4003,"盘亏",出库单!$U$4:$U$4003,"正常",出库单!$C$4:$C$4003,"&gt;="&amp;账期起,出库单!$C$4:$C$4003,"&lt;="&amp;账期止),0))</f>
        <v/>
      </c>
      <c r="V773" s="27">
        <f>IF($A773="","",SUMIFS(出库单!$J$4:$J$4003,出库单!$D$4:$D$4003,$A773,出库单!$K$4:$K$4003,"退货给供应商",出库单!$U$4:$U$4003,"正常",出库单!$C$4:$C$4003,"&gt;="&amp;账期起,出库单!$C$4:$C$4003,"&lt;="&amp;账期止))</f>
        <v/>
      </c>
      <c r="W773" s="26">
        <f>IF($A773="","",ROUND(SUMIFS(出库单!$S$4:$S$4003,出库单!$D$4:$D$4003,$A773,出库单!$K$4:$K$4003,"退货给供应商",出库单!$U$4:$U$4003,"正常",出库单!$C$4:$C$4003,"&gt;="&amp;账期起,出库单!$C$4:$C$4003,"&lt;="&amp;账期止),0))</f>
        <v/>
      </c>
      <c r="X773" s="27">
        <f>IF($A773="","",ROUND(N($G773)+$I773+$L773+$N773-$P773-$R773-$T773-$V773,3))</f>
        <v/>
      </c>
      <c r="Y773" s="26">
        <f>IF($A773="","",ROUND(N($H773)+$J773+$M773+$O773-$Q773-$S773-$U773-$W773,0))</f>
        <v/>
      </c>
      <c r="Z773" s="24">
        <f>IF($A773="","",IF(COUNTIFS(入库单!$G$4:$G$2503,$A773,入库单!$Y$4:$Y$2503,"待补价")+COUNTIFS(入库单!$G$4:$G$2503,$A773,入库单!$Y$4:$Y$2503,"暂估")&gt;0,"不可信","可信"))</f>
        <v/>
      </c>
      <c r="AA773" s="24">
        <f>IF($A773="","",IF($X773&lt;-0.001,"※账面负库存，查一下是不是漏记入库",IF(AND(ROUND($X773,3)=0,ABS($Y773)&gt;1),"※数量已经是 0，金额还挂着 "&amp;TEXT($Y773,"#,##0")&amp;" 先令",IF(AND($X773&gt;0,$Y773&lt;=0,$K773=0),"※有数量没金额（这个物料一直没填过进价）",IF($Z773="不可信","△成本含待补价/暂估，毛利仅供参考","")))))</f>
        <v/>
      </c>
    </row>
    <row r="774">
      <c r="A774" s="24">
        <f>IF(物料档案!$A773="","",物料档案!$A773)</f>
        <v/>
      </c>
      <c r="B774" s="24">
        <f>IF($A774="","",IFERROR(VLOOKUP($A774,物料档案!$A$4:$P$1203,3,0),""))</f>
        <v/>
      </c>
      <c r="C774" s="24">
        <f>IF($A774="","",IFERROR(VLOOKUP($A774,物料档案!$A$4:$P$1203,4,0),""))</f>
        <v/>
      </c>
      <c r="D774" s="24">
        <f>IF($A774="","",IFERROR(VLOOKUP($A774,物料档案!$A$4:$P$1203,5,0),""))</f>
        <v/>
      </c>
      <c r="E774" s="24">
        <f>IF($A774="","",IFERROR(VLOOKUP($A774,物料档案!$A$4:$P$1203,2,0),""))</f>
        <v/>
      </c>
      <c r="F774" s="24">
        <f>IF($A774="","",IFERROR(VLOOKUP($A774,物料档案!$A$4:$P$1203,6,0),""))</f>
        <v/>
      </c>
      <c r="G774" s="23" t="n"/>
      <c r="H774" s="32" t="n"/>
      <c r="I774" s="27">
        <f>IF($A774="","",SUMIFS(入库单!$K$4:$K$2503,入库单!$G$4:$G$2503,$A774,入库单!$X$4:$X$2503,"采购入库",入库单!$Z$4:$Z$2503,"正常",入库单!$C$4:$C$2503,"&gt;="&amp;账期起,入库单!$C$4:$C$2503,"&lt;="&amp;账期止))</f>
        <v/>
      </c>
      <c r="J774" s="26">
        <f>IF($A774="","",SUMIFS(入库单!$V$4:$V$2503,入库单!$G$4:$G$2503,$A774,入库单!$X$4:$X$2503,"采购入库",入库单!$Z$4:$Z$2503,"正常",入库单!$C$4:$C$2503,"&gt;="&amp;账期起,入库单!$C$4:$C$2503,"&lt;="&amp;账期止))</f>
        <v/>
      </c>
      <c r="K774" s="26">
        <f>IF($A774="","",IFERROR(ROUND((N($H774)+N($J774))/(N($G774)+N($I774)),2),0))</f>
        <v/>
      </c>
      <c r="L774" s="27">
        <f>IF($A774="","",SUMIFS(入库单!$K$4:$K$2503,入库单!$G$4:$G$2503,$A774,入库单!$X$4:$X$2503,"盘盈",入库单!$Z$4:$Z$2503,"正常",入库单!$C$4:$C$2503,"&gt;="&amp;账期起,入库单!$C$4:$C$2503,"&lt;="&amp;账期止))</f>
        <v/>
      </c>
      <c r="M774" s="26">
        <f>IF($A774="","",ROUND($L774*$K774,0))</f>
        <v/>
      </c>
      <c r="N774" s="27">
        <f>IF($A774="","",SUMIFS(入库单!$K$4:$K$2503,入库单!$G$4:$G$2503,$A774,入库单!$X$4:$X$2503,"矿区退库",入库单!$Z$4:$Z$2503,"正常",入库单!$C$4:$C$2503,"&gt;="&amp;账期起,入库单!$C$4:$C$2503,"&lt;="&amp;账期止))</f>
        <v/>
      </c>
      <c r="O774" s="26">
        <f>IF($A774="","",ROUND($N774*$K774,0))</f>
        <v/>
      </c>
      <c r="P774" s="27">
        <f>IF($A774="","",SUMIFS(出库单!$J$4:$J$4003,出库单!$D$4:$D$4003,$A774,出库单!$K$4:$K$4003,"自用消耗",出库单!$U$4:$U$4003,"正常",出库单!$C$4:$C$4003,"&gt;="&amp;账期起,出库单!$C$4:$C$4003,"&lt;="&amp;账期止))</f>
        <v/>
      </c>
      <c r="Q774" s="26">
        <f>IF($A774="","",ROUND(SUMIFS(出库单!$S$4:$S$4003,出库单!$D$4:$D$4003,$A774,出库单!$K$4:$K$4003,"自用消耗",出库单!$U$4:$U$4003,"正常",出库单!$C$4:$C$4003,"&gt;="&amp;账期起,出库单!$C$4:$C$4003,"&lt;="&amp;账期止),0))</f>
        <v/>
      </c>
      <c r="R774" s="27">
        <f>IF($A774="","",SUMIFS(出库单!$J$4:$J$4003,出库单!$D$4:$D$4003,$A774,出库单!$K$4:$K$4003,"对外销售",出库单!$U$4:$U$4003,"正常",出库单!$C$4:$C$4003,"&gt;="&amp;账期起,出库单!$C$4:$C$4003,"&lt;="&amp;账期止))</f>
        <v/>
      </c>
      <c r="S774" s="26">
        <f>IF($A774="","",ROUND(SUMIFS(出库单!$S$4:$S$4003,出库单!$D$4:$D$4003,$A774,出库单!$K$4:$K$4003,"对外销售",出库单!$U$4:$U$4003,"正常",出库单!$C$4:$C$4003,"&gt;="&amp;账期起,出库单!$C$4:$C$4003,"&lt;="&amp;账期止),0))</f>
        <v/>
      </c>
      <c r="T774" s="27">
        <f>IF($A774="","",SUMIFS(出库单!$J$4:$J$4003,出库单!$D$4:$D$4003,$A774,出库单!$K$4:$K$4003,"盘亏",出库单!$U$4:$U$4003,"正常",出库单!$C$4:$C$4003,"&gt;="&amp;账期起,出库单!$C$4:$C$4003,"&lt;="&amp;账期止))</f>
        <v/>
      </c>
      <c r="U774" s="26">
        <f>IF($A774="","",ROUND(SUMIFS(出库单!$S$4:$S$4003,出库单!$D$4:$D$4003,$A774,出库单!$K$4:$K$4003,"盘亏",出库单!$U$4:$U$4003,"正常",出库单!$C$4:$C$4003,"&gt;="&amp;账期起,出库单!$C$4:$C$4003,"&lt;="&amp;账期止),0))</f>
        <v/>
      </c>
      <c r="V774" s="27">
        <f>IF($A774="","",SUMIFS(出库单!$J$4:$J$4003,出库单!$D$4:$D$4003,$A774,出库单!$K$4:$K$4003,"退货给供应商",出库单!$U$4:$U$4003,"正常",出库单!$C$4:$C$4003,"&gt;="&amp;账期起,出库单!$C$4:$C$4003,"&lt;="&amp;账期止))</f>
        <v/>
      </c>
      <c r="W774" s="26">
        <f>IF($A774="","",ROUND(SUMIFS(出库单!$S$4:$S$4003,出库单!$D$4:$D$4003,$A774,出库单!$K$4:$K$4003,"退货给供应商",出库单!$U$4:$U$4003,"正常",出库单!$C$4:$C$4003,"&gt;="&amp;账期起,出库单!$C$4:$C$4003,"&lt;="&amp;账期止),0))</f>
        <v/>
      </c>
      <c r="X774" s="27">
        <f>IF($A774="","",ROUND(N($G774)+$I774+$L774+$N774-$P774-$R774-$T774-$V774,3))</f>
        <v/>
      </c>
      <c r="Y774" s="26">
        <f>IF($A774="","",ROUND(N($H774)+$J774+$M774+$O774-$Q774-$S774-$U774-$W774,0))</f>
        <v/>
      </c>
      <c r="Z774" s="24">
        <f>IF($A774="","",IF(COUNTIFS(入库单!$G$4:$G$2503,$A774,入库单!$Y$4:$Y$2503,"待补价")+COUNTIFS(入库单!$G$4:$G$2503,$A774,入库单!$Y$4:$Y$2503,"暂估")&gt;0,"不可信","可信"))</f>
        <v/>
      </c>
      <c r="AA774" s="24">
        <f>IF($A774="","",IF($X774&lt;-0.001,"※账面负库存，查一下是不是漏记入库",IF(AND(ROUND($X774,3)=0,ABS($Y774)&gt;1),"※数量已经是 0，金额还挂着 "&amp;TEXT($Y774,"#,##0")&amp;" 先令",IF(AND($X774&gt;0,$Y774&lt;=0,$K774=0),"※有数量没金额（这个物料一直没填过进价）",IF($Z774="不可信","△成本含待补价/暂估，毛利仅供参考","")))))</f>
        <v/>
      </c>
    </row>
    <row r="775">
      <c r="A775" s="24">
        <f>IF(物料档案!$A774="","",物料档案!$A774)</f>
        <v/>
      </c>
      <c r="B775" s="24">
        <f>IF($A775="","",IFERROR(VLOOKUP($A775,物料档案!$A$4:$P$1203,3,0),""))</f>
        <v/>
      </c>
      <c r="C775" s="24">
        <f>IF($A775="","",IFERROR(VLOOKUP($A775,物料档案!$A$4:$P$1203,4,0),""))</f>
        <v/>
      </c>
      <c r="D775" s="24">
        <f>IF($A775="","",IFERROR(VLOOKUP($A775,物料档案!$A$4:$P$1203,5,0),""))</f>
        <v/>
      </c>
      <c r="E775" s="24">
        <f>IF($A775="","",IFERROR(VLOOKUP($A775,物料档案!$A$4:$P$1203,2,0),""))</f>
        <v/>
      </c>
      <c r="F775" s="24">
        <f>IF($A775="","",IFERROR(VLOOKUP($A775,物料档案!$A$4:$P$1203,6,0),""))</f>
        <v/>
      </c>
      <c r="G775" s="23" t="n"/>
      <c r="H775" s="32" t="n"/>
      <c r="I775" s="27">
        <f>IF($A775="","",SUMIFS(入库单!$K$4:$K$2503,入库单!$G$4:$G$2503,$A775,入库单!$X$4:$X$2503,"采购入库",入库单!$Z$4:$Z$2503,"正常",入库单!$C$4:$C$2503,"&gt;="&amp;账期起,入库单!$C$4:$C$2503,"&lt;="&amp;账期止))</f>
        <v/>
      </c>
      <c r="J775" s="26">
        <f>IF($A775="","",SUMIFS(入库单!$V$4:$V$2503,入库单!$G$4:$G$2503,$A775,入库单!$X$4:$X$2503,"采购入库",入库单!$Z$4:$Z$2503,"正常",入库单!$C$4:$C$2503,"&gt;="&amp;账期起,入库单!$C$4:$C$2503,"&lt;="&amp;账期止))</f>
        <v/>
      </c>
      <c r="K775" s="26">
        <f>IF($A775="","",IFERROR(ROUND((N($H775)+N($J775))/(N($G775)+N($I775)),2),0))</f>
        <v/>
      </c>
      <c r="L775" s="27">
        <f>IF($A775="","",SUMIFS(入库单!$K$4:$K$2503,入库单!$G$4:$G$2503,$A775,入库单!$X$4:$X$2503,"盘盈",入库单!$Z$4:$Z$2503,"正常",入库单!$C$4:$C$2503,"&gt;="&amp;账期起,入库单!$C$4:$C$2503,"&lt;="&amp;账期止))</f>
        <v/>
      </c>
      <c r="M775" s="26">
        <f>IF($A775="","",ROUND($L775*$K775,0))</f>
        <v/>
      </c>
      <c r="N775" s="27">
        <f>IF($A775="","",SUMIFS(入库单!$K$4:$K$2503,入库单!$G$4:$G$2503,$A775,入库单!$X$4:$X$2503,"矿区退库",入库单!$Z$4:$Z$2503,"正常",入库单!$C$4:$C$2503,"&gt;="&amp;账期起,入库单!$C$4:$C$2503,"&lt;="&amp;账期止))</f>
        <v/>
      </c>
      <c r="O775" s="26">
        <f>IF($A775="","",ROUND($N775*$K775,0))</f>
        <v/>
      </c>
      <c r="P775" s="27">
        <f>IF($A775="","",SUMIFS(出库单!$J$4:$J$4003,出库单!$D$4:$D$4003,$A775,出库单!$K$4:$K$4003,"自用消耗",出库单!$U$4:$U$4003,"正常",出库单!$C$4:$C$4003,"&gt;="&amp;账期起,出库单!$C$4:$C$4003,"&lt;="&amp;账期止))</f>
        <v/>
      </c>
      <c r="Q775" s="26">
        <f>IF($A775="","",ROUND(SUMIFS(出库单!$S$4:$S$4003,出库单!$D$4:$D$4003,$A775,出库单!$K$4:$K$4003,"自用消耗",出库单!$U$4:$U$4003,"正常",出库单!$C$4:$C$4003,"&gt;="&amp;账期起,出库单!$C$4:$C$4003,"&lt;="&amp;账期止),0))</f>
        <v/>
      </c>
      <c r="R775" s="27">
        <f>IF($A775="","",SUMIFS(出库单!$J$4:$J$4003,出库单!$D$4:$D$4003,$A775,出库单!$K$4:$K$4003,"对外销售",出库单!$U$4:$U$4003,"正常",出库单!$C$4:$C$4003,"&gt;="&amp;账期起,出库单!$C$4:$C$4003,"&lt;="&amp;账期止))</f>
        <v/>
      </c>
      <c r="S775" s="26">
        <f>IF($A775="","",ROUND(SUMIFS(出库单!$S$4:$S$4003,出库单!$D$4:$D$4003,$A775,出库单!$K$4:$K$4003,"对外销售",出库单!$U$4:$U$4003,"正常",出库单!$C$4:$C$4003,"&gt;="&amp;账期起,出库单!$C$4:$C$4003,"&lt;="&amp;账期止),0))</f>
        <v/>
      </c>
      <c r="T775" s="27">
        <f>IF($A775="","",SUMIFS(出库单!$J$4:$J$4003,出库单!$D$4:$D$4003,$A775,出库单!$K$4:$K$4003,"盘亏",出库单!$U$4:$U$4003,"正常",出库单!$C$4:$C$4003,"&gt;="&amp;账期起,出库单!$C$4:$C$4003,"&lt;="&amp;账期止))</f>
        <v/>
      </c>
      <c r="U775" s="26">
        <f>IF($A775="","",ROUND(SUMIFS(出库单!$S$4:$S$4003,出库单!$D$4:$D$4003,$A775,出库单!$K$4:$K$4003,"盘亏",出库单!$U$4:$U$4003,"正常",出库单!$C$4:$C$4003,"&gt;="&amp;账期起,出库单!$C$4:$C$4003,"&lt;="&amp;账期止),0))</f>
        <v/>
      </c>
      <c r="V775" s="27">
        <f>IF($A775="","",SUMIFS(出库单!$J$4:$J$4003,出库单!$D$4:$D$4003,$A775,出库单!$K$4:$K$4003,"退货给供应商",出库单!$U$4:$U$4003,"正常",出库单!$C$4:$C$4003,"&gt;="&amp;账期起,出库单!$C$4:$C$4003,"&lt;="&amp;账期止))</f>
        <v/>
      </c>
      <c r="W775" s="26">
        <f>IF($A775="","",ROUND(SUMIFS(出库单!$S$4:$S$4003,出库单!$D$4:$D$4003,$A775,出库单!$K$4:$K$4003,"退货给供应商",出库单!$U$4:$U$4003,"正常",出库单!$C$4:$C$4003,"&gt;="&amp;账期起,出库单!$C$4:$C$4003,"&lt;="&amp;账期止),0))</f>
        <v/>
      </c>
      <c r="X775" s="27">
        <f>IF($A775="","",ROUND(N($G775)+$I775+$L775+$N775-$P775-$R775-$T775-$V775,3))</f>
        <v/>
      </c>
      <c r="Y775" s="26">
        <f>IF($A775="","",ROUND(N($H775)+$J775+$M775+$O775-$Q775-$S775-$U775-$W775,0))</f>
        <v/>
      </c>
      <c r="Z775" s="24">
        <f>IF($A775="","",IF(COUNTIFS(入库单!$G$4:$G$2503,$A775,入库单!$Y$4:$Y$2503,"待补价")+COUNTIFS(入库单!$G$4:$G$2503,$A775,入库单!$Y$4:$Y$2503,"暂估")&gt;0,"不可信","可信"))</f>
        <v/>
      </c>
      <c r="AA775" s="24">
        <f>IF($A775="","",IF($X775&lt;-0.001,"※账面负库存，查一下是不是漏记入库",IF(AND(ROUND($X775,3)=0,ABS($Y775)&gt;1),"※数量已经是 0，金额还挂着 "&amp;TEXT($Y775,"#,##0")&amp;" 先令",IF(AND($X775&gt;0,$Y775&lt;=0,$K775=0),"※有数量没金额（这个物料一直没填过进价）",IF($Z775="不可信","△成本含待补价/暂估，毛利仅供参考","")))))</f>
        <v/>
      </c>
    </row>
    <row r="776">
      <c r="A776" s="24">
        <f>IF(物料档案!$A775="","",物料档案!$A775)</f>
        <v/>
      </c>
      <c r="B776" s="24">
        <f>IF($A776="","",IFERROR(VLOOKUP($A776,物料档案!$A$4:$P$1203,3,0),""))</f>
        <v/>
      </c>
      <c r="C776" s="24">
        <f>IF($A776="","",IFERROR(VLOOKUP($A776,物料档案!$A$4:$P$1203,4,0),""))</f>
        <v/>
      </c>
      <c r="D776" s="24">
        <f>IF($A776="","",IFERROR(VLOOKUP($A776,物料档案!$A$4:$P$1203,5,0),""))</f>
        <v/>
      </c>
      <c r="E776" s="24">
        <f>IF($A776="","",IFERROR(VLOOKUP($A776,物料档案!$A$4:$P$1203,2,0),""))</f>
        <v/>
      </c>
      <c r="F776" s="24">
        <f>IF($A776="","",IFERROR(VLOOKUP($A776,物料档案!$A$4:$P$1203,6,0),""))</f>
        <v/>
      </c>
      <c r="G776" s="23" t="n"/>
      <c r="H776" s="32" t="n"/>
      <c r="I776" s="27">
        <f>IF($A776="","",SUMIFS(入库单!$K$4:$K$2503,入库单!$G$4:$G$2503,$A776,入库单!$X$4:$X$2503,"采购入库",入库单!$Z$4:$Z$2503,"正常",入库单!$C$4:$C$2503,"&gt;="&amp;账期起,入库单!$C$4:$C$2503,"&lt;="&amp;账期止))</f>
        <v/>
      </c>
      <c r="J776" s="26">
        <f>IF($A776="","",SUMIFS(入库单!$V$4:$V$2503,入库单!$G$4:$G$2503,$A776,入库单!$X$4:$X$2503,"采购入库",入库单!$Z$4:$Z$2503,"正常",入库单!$C$4:$C$2503,"&gt;="&amp;账期起,入库单!$C$4:$C$2503,"&lt;="&amp;账期止))</f>
        <v/>
      </c>
      <c r="K776" s="26">
        <f>IF($A776="","",IFERROR(ROUND((N($H776)+N($J776))/(N($G776)+N($I776)),2),0))</f>
        <v/>
      </c>
      <c r="L776" s="27">
        <f>IF($A776="","",SUMIFS(入库单!$K$4:$K$2503,入库单!$G$4:$G$2503,$A776,入库单!$X$4:$X$2503,"盘盈",入库单!$Z$4:$Z$2503,"正常",入库单!$C$4:$C$2503,"&gt;="&amp;账期起,入库单!$C$4:$C$2503,"&lt;="&amp;账期止))</f>
        <v/>
      </c>
      <c r="M776" s="26">
        <f>IF($A776="","",ROUND($L776*$K776,0))</f>
        <v/>
      </c>
      <c r="N776" s="27">
        <f>IF($A776="","",SUMIFS(入库单!$K$4:$K$2503,入库单!$G$4:$G$2503,$A776,入库单!$X$4:$X$2503,"矿区退库",入库单!$Z$4:$Z$2503,"正常",入库单!$C$4:$C$2503,"&gt;="&amp;账期起,入库单!$C$4:$C$2503,"&lt;="&amp;账期止))</f>
        <v/>
      </c>
      <c r="O776" s="26">
        <f>IF($A776="","",ROUND($N776*$K776,0))</f>
        <v/>
      </c>
      <c r="P776" s="27">
        <f>IF($A776="","",SUMIFS(出库单!$J$4:$J$4003,出库单!$D$4:$D$4003,$A776,出库单!$K$4:$K$4003,"自用消耗",出库单!$U$4:$U$4003,"正常",出库单!$C$4:$C$4003,"&gt;="&amp;账期起,出库单!$C$4:$C$4003,"&lt;="&amp;账期止))</f>
        <v/>
      </c>
      <c r="Q776" s="26">
        <f>IF($A776="","",ROUND(SUMIFS(出库单!$S$4:$S$4003,出库单!$D$4:$D$4003,$A776,出库单!$K$4:$K$4003,"自用消耗",出库单!$U$4:$U$4003,"正常",出库单!$C$4:$C$4003,"&gt;="&amp;账期起,出库单!$C$4:$C$4003,"&lt;="&amp;账期止),0))</f>
        <v/>
      </c>
      <c r="R776" s="27">
        <f>IF($A776="","",SUMIFS(出库单!$J$4:$J$4003,出库单!$D$4:$D$4003,$A776,出库单!$K$4:$K$4003,"对外销售",出库单!$U$4:$U$4003,"正常",出库单!$C$4:$C$4003,"&gt;="&amp;账期起,出库单!$C$4:$C$4003,"&lt;="&amp;账期止))</f>
        <v/>
      </c>
      <c r="S776" s="26">
        <f>IF($A776="","",ROUND(SUMIFS(出库单!$S$4:$S$4003,出库单!$D$4:$D$4003,$A776,出库单!$K$4:$K$4003,"对外销售",出库单!$U$4:$U$4003,"正常",出库单!$C$4:$C$4003,"&gt;="&amp;账期起,出库单!$C$4:$C$4003,"&lt;="&amp;账期止),0))</f>
        <v/>
      </c>
      <c r="T776" s="27">
        <f>IF($A776="","",SUMIFS(出库单!$J$4:$J$4003,出库单!$D$4:$D$4003,$A776,出库单!$K$4:$K$4003,"盘亏",出库单!$U$4:$U$4003,"正常",出库单!$C$4:$C$4003,"&gt;="&amp;账期起,出库单!$C$4:$C$4003,"&lt;="&amp;账期止))</f>
        <v/>
      </c>
      <c r="U776" s="26">
        <f>IF($A776="","",ROUND(SUMIFS(出库单!$S$4:$S$4003,出库单!$D$4:$D$4003,$A776,出库单!$K$4:$K$4003,"盘亏",出库单!$U$4:$U$4003,"正常",出库单!$C$4:$C$4003,"&gt;="&amp;账期起,出库单!$C$4:$C$4003,"&lt;="&amp;账期止),0))</f>
        <v/>
      </c>
      <c r="V776" s="27">
        <f>IF($A776="","",SUMIFS(出库单!$J$4:$J$4003,出库单!$D$4:$D$4003,$A776,出库单!$K$4:$K$4003,"退货给供应商",出库单!$U$4:$U$4003,"正常",出库单!$C$4:$C$4003,"&gt;="&amp;账期起,出库单!$C$4:$C$4003,"&lt;="&amp;账期止))</f>
        <v/>
      </c>
      <c r="W776" s="26">
        <f>IF($A776="","",ROUND(SUMIFS(出库单!$S$4:$S$4003,出库单!$D$4:$D$4003,$A776,出库单!$K$4:$K$4003,"退货给供应商",出库单!$U$4:$U$4003,"正常",出库单!$C$4:$C$4003,"&gt;="&amp;账期起,出库单!$C$4:$C$4003,"&lt;="&amp;账期止),0))</f>
        <v/>
      </c>
      <c r="X776" s="27">
        <f>IF($A776="","",ROUND(N($G776)+$I776+$L776+$N776-$P776-$R776-$T776-$V776,3))</f>
        <v/>
      </c>
      <c r="Y776" s="26">
        <f>IF($A776="","",ROUND(N($H776)+$J776+$M776+$O776-$Q776-$S776-$U776-$W776,0))</f>
        <v/>
      </c>
      <c r="Z776" s="24">
        <f>IF($A776="","",IF(COUNTIFS(入库单!$G$4:$G$2503,$A776,入库单!$Y$4:$Y$2503,"待补价")+COUNTIFS(入库单!$G$4:$G$2503,$A776,入库单!$Y$4:$Y$2503,"暂估")&gt;0,"不可信","可信"))</f>
        <v/>
      </c>
      <c r="AA776" s="24">
        <f>IF($A776="","",IF($X776&lt;-0.001,"※账面负库存，查一下是不是漏记入库",IF(AND(ROUND($X776,3)=0,ABS($Y776)&gt;1),"※数量已经是 0，金额还挂着 "&amp;TEXT($Y776,"#,##0")&amp;" 先令",IF(AND($X776&gt;0,$Y776&lt;=0,$K776=0),"※有数量没金额（这个物料一直没填过进价）",IF($Z776="不可信","△成本含待补价/暂估，毛利仅供参考","")))))</f>
        <v/>
      </c>
    </row>
    <row r="777">
      <c r="A777" s="24">
        <f>IF(物料档案!$A776="","",物料档案!$A776)</f>
        <v/>
      </c>
      <c r="B777" s="24">
        <f>IF($A777="","",IFERROR(VLOOKUP($A777,物料档案!$A$4:$P$1203,3,0),""))</f>
        <v/>
      </c>
      <c r="C777" s="24">
        <f>IF($A777="","",IFERROR(VLOOKUP($A777,物料档案!$A$4:$P$1203,4,0),""))</f>
        <v/>
      </c>
      <c r="D777" s="24">
        <f>IF($A777="","",IFERROR(VLOOKUP($A777,物料档案!$A$4:$P$1203,5,0),""))</f>
        <v/>
      </c>
      <c r="E777" s="24">
        <f>IF($A777="","",IFERROR(VLOOKUP($A777,物料档案!$A$4:$P$1203,2,0),""))</f>
        <v/>
      </c>
      <c r="F777" s="24">
        <f>IF($A777="","",IFERROR(VLOOKUP($A777,物料档案!$A$4:$P$1203,6,0),""))</f>
        <v/>
      </c>
      <c r="G777" s="23" t="n"/>
      <c r="H777" s="32" t="n"/>
      <c r="I777" s="27">
        <f>IF($A777="","",SUMIFS(入库单!$K$4:$K$2503,入库单!$G$4:$G$2503,$A777,入库单!$X$4:$X$2503,"采购入库",入库单!$Z$4:$Z$2503,"正常",入库单!$C$4:$C$2503,"&gt;="&amp;账期起,入库单!$C$4:$C$2503,"&lt;="&amp;账期止))</f>
        <v/>
      </c>
      <c r="J777" s="26">
        <f>IF($A777="","",SUMIFS(入库单!$V$4:$V$2503,入库单!$G$4:$G$2503,$A777,入库单!$X$4:$X$2503,"采购入库",入库单!$Z$4:$Z$2503,"正常",入库单!$C$4:$C$2503,"&gt;="&amp;账期起,入库单!$C$4:$C$2503,"&lt;="&amp;账期止))</f>
        <v/>
      </c>
      <c r="K777" s="26">
        <f>IF($A777="","",IFERROR(ROUND((N($H777)+N($J777))/(N($G777)+N($I777)),2),0))</f>
        <v/>
      </c>
      <c r="L777" s="27">
        <f>IF($A777="","",SUMIFS(入库单!$K$4:$K$2503,入库单!$G$4:$G$2503,$A777,入库单!$X$4:$X$2503,"盘盈",入库单!$Z$4:$Z$2503,"正常",入库单!$C$4:$C$2503,"&gt;="&amp;账期起,入库单!$C$4:$C$2503,"&lt;="&amp;账期止))</f>
        <v/>
      </c>
      <c r="M777" s="26">
        <f>IF($A777="","",ROUND($L777*$K777,0))</f>
        <v/>
      </c>
      <c r="N777" s="27">
        <f>IF($A777="","",SUMIFS(入库单!$K$4:$K$2503,入库单!$G$4:$G$2503,$A777,入库单!$X$4:$X$2503,"矿区退库",入库单!$Z$4:$Z$2503,"正常",入库单!$C$4:$C$2503,"&gt;="&amp;账期起,入库单!$C$4:$C$2503,"&lt;="&amp;账期止))</f>
        <v/>
      </c>
      <c r="O777" s="26">
        <f>IF($A777="","",ROUND($N777*$K777,0))</f>
        <v/>
      </c>
      <c r="P777" s="27">
        <f>IF($A777="","",SUMIFS(出库单!$J$4:$J$4003,出库单!$D$4:$D$4003,$A777,出库单!$K$4:$K$4003,"自用消耗",出库单!$U$4:$U$4003,"正常",出库单!$C$4:$C$4003,"&gt;="&amp;账期起,出库单!$C$4:$C$4003,"&lt;="&amp;账期止))</f>
        <v/>
      </c>
      <c r="Q777" s="26">
        <f>IF($A777="","",ROUND(SUMIFS(出库单!$S$4:$S$4003,出库单!$D$4:$D$4003,$A777,出库单!$K$4:$K$4003,"自用消耗",出库单!$U$4:$U$4003,"正常",出库单!$C$4:$C$4003,"&gt;="&amp;账期起,出库单!$C$4:$C$4003,"&lt;="&amp;账期止),0))</f>
        <v/>
      </c>
      <c r="R777" s="27">
        <f>IF($A777="","",SUMIFS(出库单!$J$4:$J$4003,出库单!$D$4:$D$4003,$A777,出库单!$K$4:$K$4003,"对外销售",出库单!$U$4:$U$4003,"正常",出库单!$C$4:$C$4003,"&gt;="&amp;账期起,出库单!$C$4:$C$4003,"&lt;="&amp;账期止))</f>
        <v/>
      </c>
      <c r="S777" s="26">
        <f>IF($A777="","",ROUND(SUMIFS(出库单!$S$4:$S$4003,出库单!$D$4:$D$4003,$A777,出库单!$K$4:$K$4003,"对外销售",出库单!$U$4:$U$4003,"正常",出库单!$C$4:$C$4003,"&gt;="&amp;账期起,出库单!$C$4:$C$4003,"&lt;="&amp;账期止),0))</f>
        <v/>
      </c>
      <c r="T777" s="27">
        <f>IF($A777="","",SUMIFS(出库单!$J$4:$J$4003,出库单!$D$4:$D$4003,$A777,出库单!$K$4:$K$4003,"盘亏",出库单!$U$4:$U$4003,"正常",出库单!$C$4:$C$4003,"&gt;="&amp;账期起,出库单!$C$4:$C$4003,"&lt;="&amp;账期止))</f>
        <v/>
      </c>
      <c r="U777" s="26">
        <f>IF($A777="","",ROUND(SUMIFS(出库单!$S$4:$S$4003,出库单!$D$4:$D$4003,$A777,出库单!$K$4:$K$4003,"盘亏",出库单!$U$4:$U$4003,"正常",出库单!$C$4:$C$4003,"&gt;="&amp;账期起,出库单!$C$4:$C$4003,"&lt;="&amp;账期止),0))</f>
        <v/>
      </c>
      <c r="V777" s="27">
        <f>IF($A777="","",SUMIFS(出库单!$J$4:$J$4003,出库单!$D$4:$D$4003,$A777,出库单!$K$4:$K$4003,"退货给供应商",出库单!$U$4:$U$4003,"正常",出库单!$C$4:$C$4003,"&gt;="&amp;账期起,出库单!$C$4:$C$4003,"&lt;="&amp;账期止))</f>
        <v/>
      </c>
      <c r="W777" s="26">
        <f>IF($A777="","",ROUND(SUMIFS(出库单!$S$4:$S$4003,出库单!$D$4:$D$4003,$A777,出库单!$K$4:$K$4003,"退货给供应商",出库单!$U$4:$U$4003,"正常",出库单!$C$4:$C$4003,"&gt;="&amp;账期起,出库单!$C$4:$C$4003,"&lt;="&amp;账期止),0))</f>
        <v/>
      </c>
      <c r="X777" s="27">
        <f>IF($A777="","",ROUND(N($G777)+$I777+$L777+$N777-$P777-$R777-$T777-$V777,3))</f>
        <v/>
      </c>
      <c r="Y777" s="26">
        <f>IF($A777="","",ROUND(N($H777)+$J777+$M777+$O777-$Q777-$S777-$U777-$W777,0))</f>
        <v/>
      </c>
      <c r="Z777" s="24">
        <f>IF($A777="","",IF(COUNTIFS(入库单!$G$4:$G$2503,$A777,入库单!$Y$4:$Y$2503,"待补价")+COUNTIFS(入库单!$G$4:$G$2503,$A777,入库单!$Y$4:$Y$2503,"暂估")&gt;0,"不可信","可信"))</f>
        <v/>
      </c>
      <c r="AA777" s="24">
        <f>IF($A777="","",IF($X777&lt;-0.001,"※账面负库存，查一下是不是漏记入库",IF(AND(ROUND($X777,3)=0,ABS($Y777)&gt;1),"※数量已经是 0，金额还挂着 "&amp;TEXT($Y777,"#,##0")&amp;" 先令",IF(AND($X777&gt;0,$Y777&lt;=0,$K777=0),"※有数量没金额（这个物料一直没填过进价）",IF($Z777="不可信","△成本含待补价/暂估，毛利仅供参考","")))))</f>
        <v/>
      </c>
    </row>
    <row r="778">
      <c r="A778" s="24">
        <f>IF(物料档案!$A777="","",物料档案!$A777)</f>
        <v/>
      </c>
      <c r="B778" s="24">
        <f>IF($A778="","",IFERROR(VLOOKUP($A778,物料档案!$A$4:$P$1203,3,0),""))</f>
        <v/>
      </c>
      <c r="C778" s="24">
        <f>IF($A778="","",IFERROR(VLOOKUP($A778,物料档案!$A$4:$P$1203,4,0),""))</f>
        <v/>
      </c>
      <c r="D778" s="24">
        <f>IF($A778="","",IFERROR(VLOOKUP($A778,物料档案!$A$4:$P$1203,5,0),""))</f>
        <v/>
      </c>
      <c r="E778" s="24">
        <f>IF($A778="","",IFERROR(VLOOKUP($A778,物料档案!$A$4:$P$1203,2,0),""))</f>
        <v/>
      </c>
      <c r="F778" s="24">
        <f>IF($A778="","",IFERROR(VLOOKUP($A778,物料档案!$A$4:$P$1203,6,0),""))</f>
        <v/>
      </c>
      <c r="G778" s="23" t="n"/>
      <c r="H778" s="32" t="n"/>
      <c r="I778" s="27">
        <f>IF($A778="","",SUMIFS(入库单!$K$4:$K$2503,入库单!$G$4:$G$2503,$A778,入库单!$X$4:$X$2503,"采购入库",入库单!$Z$4:$Z$2503,"正常",入库单!$C$4:$C$2503,"&gt;="&amp;账期起,入库单!$C$4:$C$2503,"&lt;="&amp;账期止))</f>
        <v/>
      </c>
      <c r="J778" s="26">
        <f>IF($A778="","",SUMIFS(入库单!$V$4:$V$2503,入库单!$G$4:$G$2503,$A778,入库单!$X$4:$X$2503,"采购入库",入库单!$Z$4:$Z$2503,"正常",入库单!$C$4:$C$2503,"&gt;="&amp;账期起,入库单!$C$4:$C$2503,"&lt;="&amp;账期止))</f>
        <v/>
      </c>
      <c r="K778" s="26">
        <f>IF($A778="","",IFERROR(ROUND((N($H778)+N($J778))/(N($G778)+N($I778)),2),0))</f>
        <v/>
      </c>
      <c r="L778" s="27">
        <f>IF($A778="","",SUMIFS(入库单!$K$4:$K$2503,入库单!$G$4:$G$2503,$A778,入库单!$X$4:$X$2503,"盘盈",入库单!$Z$4:$Z$2503,"正常",入库单!$C$4:$C$2503,"&gt;="&amp;账期起,入库单!$C$4:$C$2503,"&lt;="&amp;账期止))</f>
        <v/>
      </c>
      <c r="M778" s="26">
        <f>IF($A778="","",ROUND($L778*$K778,0))</f>
        <v/>
      </c>
      <c r="N778" s="27">
        <f>IF($A778="","",SUMIFS(入库单!$K$4:$K$2503,入库单!$G$4:$G$2503,$A778,入库单!$X$4:$X$2503,"矿区退库",入库单!$Z$4:$Z$2503,"正常",入库单!$C$4:$C$2503,"&gt;="&amp;账期起,入库单!$C$4:$C$2503,"&lt;="&amp;账期止))</f>
        <v/>
      </c>
      <c r="O778" s="26">
        <f>IF($A778="","",ROUND($N778*$K778,0))</f>
        <v/>
      </c>
      <c r="P778" s="27">
        <f>IF($A778="","",SUMIFS(出库单!$J$4:$J$4003,出库单!$D$4:$D$4003,$A778,出库单!$K$4:$K$4003,"自用消耗",出库单!$U$4:$U$4003,"正常",出库单!$C$4:$C$4003,"&gt;="&amp;账期起,出库单!$C$4:$C$4003,"&lt;="&amp;账期止))</f>
        <v/>
      </c>
      <c r="Q778" s="26">
        <f>IF($A778="","",ROUND(SUMIFS(出库单!$S$4:$S$4003,出库单!$D$4:$D$4003,$A778,出库单!$K$4:$K$4003,"自用消耗",出库单!$U$4:$U$4003,"正常",出库单!$C$4:$C$4003,"&gt;="&amp;账期起,出库单!$C$4:$C$4003,"&lt;="&amp;账期止),0))</f>
        <v/>
      </c>
      <c r="R778" s="27">
        <f>IF($A778="","",SUMIFS(出库单!$J$4:$J$4003,出库单!$D$4:$D$4003,$A778,出库单!$K$4:$K$4003,"对外销售",出库单!$U$4:$U$4003,"正常",出库单!$C$4:$C$4003,"&gt;="&amp;账期起,出库单!$C$4:$C$4003,"&lt;="&amp;账期止))</f>
        <v/>
      </c>
      <c r="S778" s="26">
        <f>IF($A778="","",ROUND(SUMIFS(出库单!$S$4:$S$4003,出库单!$D$4:$D$4003,$A778,出库单!$K$4:$K$4003,"对外销售",出库单!$U$4:$U$4003,"正常",出库单!$C$4:$C$4003,"&gt;="&amp;账期起,出库单!$C$4:$C$4003,"&lt;="&amp;账期止),0))</f>
        <v/>
      </c>
      <c r="T778" s="27">
        <f>IF($A778="","",SUMIFS(出库单!$J$4:$J$4003,出库单!$D$4:$D$4003,$A778,出库单!$K$4:$K$4003,"盘亏",出库单!$U$4:$U$4003,"正常",出库单!$C$4:$C$4003,"&gt;="&amp;账期起,出库单!$C$4:$C$4003,"&lt;="&amp;账期止))</f>
        <v/>
      </c>
      <c r="U778" s="26">
        <f>IF($A778="","",ROUND(SUMIFS(出库单!$S$4:$S$4003,出库单!$D$4:$D$4003,$A778,出库单!$K$4:$K$4003,"盘亏",出库单!$U$4:$U$4003,"正常",出库单!$C$4:$C$4003,"&gt;="&amp;账期起,出库单!$C$4:$C$4003,"&lt;="&amp;账期止),0))</f>
        <v/>
      </c>
      <c r="V778" s="27">
        <f>IF($A778="","",SUMIFS(出库单!$J$4:$J$4003,出库单!$D$4:$D$4003,$A778,出库单!$K$4:$K$4003,"退货给供应商",出库单!$U$4:$U$4003,"正常",出库单!$C$4:$C$4003,"&gt;="&amp;账期起,出库单!$C$4:$C$4003,"&lt;="&amp;账期止))</f>
        <v/>
      </c>
      <c r="W778" s="26">
        <f>IF($A778="","",ROUND(SUMIFS(出库单!$S$4:$S$4003,出库单!$D$4:$D$4003,$A778,出库单!$K$4:$K$4003,"退货给供应商",出库单!$U$4:$U$4003,"正常",出库单!$C$4:$C$4003,"&gt;="&amp;账期起,出库单!$C$4:$C$4003,"&lt;="&amp;账期止),0))</f>
        <v/>
      </c>
      <c r="X778" s="27">
        <f>IF($A778="","",ROUND(N($G778)+$I778+$L778+$N778-$P778-$R778-$T778-$V778,3))</f>
        <v/>
      </c>
      <c r="Y778" s="26">
        <f>IF($A778="","",ROUND(N($H778)+$J778+$M778+$O778-$Q778-$S778-$U778-$W778,0))</f>
        <v/>
      </c>
      <c r="Z778" s="24">
        <f>IF($A778="","",IF(COUNTIFS(入库单!$G$4:$G$2503,$A778,入库单!$Y$4:$Y$2503,"待补价")+COUNTIFS(入库单!$G$4:$G$2503,$A778,入库单!$Y$4:$Y$2503,"暂估")&gt;0,"不可信","可信"))</f>
        <v/>
      </c>
      <c r="AA778" s="24">
        <f>IF($A778="","",IF($X778&lt;-0.001,"※账面负库存，查一下是不是漏记入库",IF(AND(ROUND($X778,3)=0,ABS($Y778)&gt;1),"※数量已经是 0，金额还挂着 "&amp;TEXT($Y778,"#,##0")&amp;" 先令",IF(AND($X778&gt;0,$Y778&lt;=0,$K778=0),"※有数量没金额（这个物料一直没填过进价）",IF($Z778="不可信","△成本含待补价/暂估，毛利仅供参考","")))))</f>
        <v/>
      </c>
    </row>
    <row r="779">
      <c r="A779" s="24">
        <f>IF(物料档案!$A778="","",物料档案!$A778)</f>
        <v/>
      </c>
      <c r="B779" s="24">
        <f>IF($A779="","",IFERROR(VLOOKUP($A779,物料档案!$A$4:$P$1203,3,0),""))</f>
        <v/>
      </c>
      <c r="C779" s="24">
        <f>IF($A779="","",IFERROR(VLOOKUP($A779,物料档案!$A$4:$P$1203,4,0),""))</f>
        <v/>
      </c>
      <c r="D779" s="24">
        <f>IF($A779="","",IFERROR(VLOOKUP($A779,物料档案!$A$4:$P$1203,5,0),""))</f>
        <v/>
      </c>
      <c r="E779" s="24">
        <f>IF($A779="","",IFERROR(VLOOKUP($A779,物料档案!$A$4:$P$1203,2,0),""))</f>
        <v/>
      </c>
      <c r="F779" s="24">
        <f>IF($A779="","",IFERROR(VLOOKUP($A779,物料档案!$A$4:$P$1203,6,0),""))</f>
        <v/>
      </c>
      <c r="G779" s="23" t="n"/>
      <c r="H779" s="32" t="n"/>
      <c r="I779" s="27">
        <f>IF($A779="","",SUMIFS(入库单!$K$4:$K$2503,入库单!$G$4:$G$2503,$A779,入库单!$X$4:$X$2503,"采购入库",入库单!$Z$4:$Z$2503,"正常",入库单!$C$4:$C$2503,"&gt;="&amp;账期起,入库单!$C$4:$C$2503,"&lt;="&amp;账期止))</f>
        <v/>
      </c>
      <c r="J779" s="26">
        <f>IF($A779="","",SUMIFS(入库单!$V$4:$V$2503,入库单!$G$4:$G$2503,$A779,入库单!$X$4:$X$2503,"采购入库",入库单!$Z$4:$Z$2503,"正常",入库单!$C$4:$C$2503,"&gt;="&amp;账期起,入库单!$C$4:$C$2503,"&lt;="&amp;账期止))</f>
        <v/>
      </c>
      <c r="K779" s="26">
        <f>IF($A779="","",IFERROR(ROUND((N($H779)+N($J779))/(N($G779)+N($I779)),2),0))</f>
        <v/>
      </c>
      <c r="L779" s="27">
        <f>IF($A779="","",SUMIFS(入库单!$K$4:$K$2503,入库单!$G$4:$G$2503,$A779,入库单!$X$4:$X$2503,"盘盈",入库单!$Z$4:$Z$2503,"正常",入库单!$C$4:$C$2503,"&gt;="&amp;账期起,入库单!$C$4:$C$2503,"&lt;="&amp;账期止))</f>
        <v/>
      </c>
      <c r="M779" s="26">
        <f>IF($A779="","",ROUND($L779*$K779,0))</f>
        <v/>
      </c>
      <c r="N779" s="27">
        <f>IF($A779="","",SUMIFS(入库单!$K$4:$K$2503,入库单!$G$4:$G$2503,$A779,入库单!$X$4:$X$2503,"矿区退库",入库单!$Z$4:$Z$2503,"正常",入库单!$C$4:$C$2503,"&gt;="&amp;账期起,入库单!$C$4:$C$2503,"&lt;="&amp;账期止))</f>
        <v/>
      </c>
      <c r="O779" s="26">
        <f>IF($A779="","",ROUND($N779*$K779,0))</f>
        <v/>
      </c>
      <c r="P779" s="27">
        <f>IF($A779="","",SUMIFS(出库单!$J$4:$J$4003,出库单!$D$4:$D$4003,$A779,出库单!$K$4:$K$4003,"自用消耗",出库单!$U$4:$U$4003,"正常",出库单!$C$4:$C$4003,"&gt;="&amp;账期起,出库单!$C$4:$C$4003,"&lt;="&amp;账期止))</f>
        <v/>
      </c>
      <c r="Q779" s="26">
        <f>IF($A779="","",ROUND(SUMIFS(出库单!$S$4:$S$4003,出库单!$D$4:$D$4003,$A779,出库单!$K$4:$K$4003,"自用消耗",出库单!$U$4:$U$4003,"正常",出库单!$C$4:$C$4003,"&gt;="&amp;账期起,出库单!$C$4:$C$4003,"&lt;="&amp;账期止),0))</f>
        <v/>
      </c>
      <c r="R779" s="27">
        <f>IF($A779="","",SUMIFS(出库单!$J$4:$J$4003,出库单!$D$4:$D$4003,$A779,出库单!$K$4:$K$4003,"对外销售",出库单!$U$4:$U$4003,"正常",出库单!$C$4:$C$4003,"&gt;="&amp;账期起,出库单!$C$4:$C$4003,"&lt;="&amp;账期止))</f>
        <v/>
      </c>
      <c r="S779" s="26">
        <f>IF($A779="","",ROUND(SUMIFS(出库单!$S$4:$S$4003,出库单!$D$4:$D$4003,$A779,出库单!$K$4:$K$4003,"对外销售",出库单!$U$4:$U$4003,"正常",出库单!$C$4:$C$4003,"&gt;="&amp;账期起,出库单!$C$4:$C$4003,"&lt;="&amp;账期止),0))</f>
        <v/>
      </c>
      <c r="T779" s="27">
        <f>IF($A779="","",SUMIFS(出库单!$J$4:$J$4003,出库单!$D$4:$D$4003,$A779,出库单!$K$4:$K$4003,"盘亏",出库单!$U$4:$U$4003,"正常",出库单!$C$4:$C$4003,"&gt;="&amp;账期起,出库单!$C$4:$C$4003,"&lt;="&amp;账期止))</f>
        <v/>
      </c>
      <c r="U779" s="26">
        <f>IF($A779="","",ROUND(SUMIFS(出库单!$S$4:$S$4003,出库单!$D$4:$D$4003,$A779,出库单!$K$4:$K$4003,"盘亏",出库单!$U$4:$U$4003,"正常",出库单!$C$4:$C$4003,"&gt;="&amp;账期起,出库单!$C$4:$C$4003,"&lt;="&amp;账期止),0))</f>
        <v/>
      </c>
      <c r="V779" s="27">
        <f>IF($A779="","",SUMIFS(出库单!$J$4:$J$4003,出库单!$D$4:$D$4003,$A779,出库单!$K$4:$K$4003,"退货给供应商",出库单!$U$4:$U$4003,"正常",出库单!$C$4:$C$4003,"&gt;="&amp;账期起,出库单!$C$4:$C$4003,"&lt;="&amp;账期止))</f>
        <v/>
      </c>
      <c r="W779" s="26">
        <f>IF($A779="","",ROUND(SUMIFS(出库单!$S$4:$S$4003,出库单!$D$4:$D$4003,$A779,出库单!$K$4:$K$4003,"退货给供应商",出库单!$U$4:$U$4003,"正常",出库单!$C$4:$C$4003,"&gt;="&amp;账期起,出库单!$C$4:$C$4003,"&lt;="&amp;账期止),0))</f>
        <v/>
      </c>
      <c r="X779" s="27">
        <f>IF($A779="","",ROUND(N($G779)+$I779+$L779+$N779-$P779-$R779-$T779-$V779,3))</f>
        <v/>
      </c>
      <c r="Y779" s="26">
        <f>IF($A779="","",ROUND(N($H779)+$J779+$M779+$O779-$Q779-$S779-$U779-$W779,0))</f>
        <v/>
      </c>
      <c r="Z779" s="24">
        <f>IF($A779="","",IF(COUNTIFS(入库单!$G$4:$G$2503,$A779,入库单!$Y$4:$Y$2503,"待补价")+COUNTIFS(入库单!$G$4:$G$2503,$A779,入库单!$Y$4:$Y$2503,"暂估")&gt;0,"不可信","可信"))</f>
        <v/>
      </c>
      <c r="AA779" s="24">
        <f>IF($A779="","",IF($X779&lt;-0.001,"※账面负库存，查一下是不是漏记入库",IF(AND(ROUND($X779,3)=0,ABS($Y779)&gt;1),"※数量已经是 0，金额还挂着 "&amp;TEXT($Y779,"#,##0")&amp;" 先令",IF(AND($X779&gt;0,$Y779&lt;=0,$K779=0),"※有数量没金额（这个物料一直没填过进价）",IF($Z779="不可信","△成本含待补价/暂估，毛利仅供参考","")))))</f>
        <v/>
      </c>
    </row>
    <row r="780">
      <c r="A780" s="24">
        <f>IF(物料档案!$A779="","",物料档案!$A779)</f>
        <v/>
      </c>
      <c r="B780" s="24">
        <f>IF($A780="","",IFERROR(VLOOKUP($A780,物料档案!$A$4:$P$1203,3,0),""))</f>
        <v/>
      </c>
      <c r="C780" s="24">
        <f>IF($A780="","",IFERROR(VLOOKUP($A780,物料档案!$A$4:$P$1203,4,0),""))</f>
        <v/>
      </c>
      <c r="D780" s="24">
        <f>IF($A780="","",IFERROR(VLOOKUP($A780,物料档案!$A$4:$P$1203,5,0),""))</f>
        <v/>
      </c>
      <c r="E780" s="24">
        <f>IF($A780="","",IFERROR(VLOOKUP($A780,物料档案!$A$4:$P$1203,2,0),""))</f>
        <v/>
      </c>
      <c r="F780" s="24">
        <f>IF($A780="","",IFERROR(VLOOKUP($A780,物料档案!$A$4:$P$1203,6,0),""))</f>
        <v/>
      </c>
      <c r="G780" s="23" t="n"/>
      <c r="H780" s="32" t="n"/>
      <c r="I780" s="27">
        <f>IF($A780="","",SUMIFS(入库单!$K$4:$K$2503,入库单!$G$4:$G$2503,$A780,入库单!$X$4:$X$2503,"采购入库",入库单!$Z$4:$Z$2503,"正常",入库单!$C$4:$C$2503,"&gt;="&amp;账期起,入库单!$C$4:$C$2503,"&lt;="&amp;账期止))</f>
        <v/>
      </c>
      <c r="J780" s="26">
        <f>IF($A780="","",SUMIFS(入库单!$V$4:$V$2503,入库单!$G$4:$G$2503,$A780,入库单!$X$4:$X$2503,"采购入库",入库单!$Z$4:$Z$2503,"正常",入库单!$C$4:$C$2503,"&gt;="&amp;账期起,入库单!$C$4:$C$2503,"&lt;="&amp;账期止))</f>
        <v/>
      </c>
      <c r="K780" s="26">
        <f>IF($A780="","",IFERROR(ROUND((N($H780)+N($J780))/(N($G780)+N($I780)),2),0))</f>
        <v/>
      </c>
      <c r="L780" s="27">
        <f>IF($A780="","",SUMIFS(入库单!$K$4:$K$2503,入库单!$G$4:$G$2503,$A780,入库单!$X$4:$X$2503,"盘盈",入库单!$Z$4:$Z$2503,"正常",入库单!$C$4:$C$2503,"&gt;="&amp;账期起,入库单!$C$4:$C$2503,"&lt;="&amp;账期止))</f>
        <v/>
      </c>
      <c r="M780" s="26">
        <f>IF($A780="","",ROUND($L780*$K780,0))</f>
        <v/>
      </c>
      <c r="N780" s="27">
        <f>IF($A780="","",SUMIFS(入库单!$K$4:$K$2503,入库单!$G$4:$G$2503,$A780,入库单!$X$4:$X$2503,"矿区退库",入库单!$Z$4:$Z$2503,"正常",入库单!$C$4:$C$2503,"&gt;="&amp;账期起,入库单!$C$4:$C$2503,"&lt;="&amp;账期止))</f>
        <v/>
      </c>
      <c r="O780" s="26">
        <f>IF($A780="","",ROUND($N780*$K780,0))</f>
        <v/>
      </c>
      <c r="P780" s="27">
        <f>IF($A780="","",SUMIFS(出库单!$J$4:$J$4003,出库单!$D$4:$D$4003,$A780,出库单!$K$4:$K$4003,"自用消耗",出库单!$U$4:$U$4003,"正常",出库单!$C$4:$C$4003,"&gt;="&amp;账期起,出库单!$C$4:$C$4003,"&lt;="&amp;账期止))</f>
        <v/>
      </c>
      <c r="Q780" s="26">
        <f>IF($A780="","",ROUND(SUMIFS(出库单!$S$4:$S$4003,出库单!$D$4:$D$4003,$A780,出库单!$K$4:$K$4003,"自用消耗",出库单!$U$4:$U$4003,"正常",出库单!$C$4:$C$4003,"&gt;="&amp;账期起,出库单!$C$4:$C$4003,"&lt;="&amp;账期止),0))</f>
        <v/>
      </c>
      <c r="R780" s="27">
        <f>IF($A780="","",SUMIFS(出库单!$J$4:$J$4003,出库单!$D$4:$D$4003,$A780,出库单!$K$4:$K$4003,"对外销售",出库单!$U$4:$U$4003,"正常",出库单!$C$4:$C$4003,"&gt;="&amp;账期起,出库单!$C$4:$C$4003,"&lt;="&amp;账期止))</f>
        <v/>
      </c>
      <c r="S780" s="26">
        <f>IF($A780="","",ROUND(SUMIFS(出库单!$S$4:$S$4003,出库单!$D$4:$D$4003,$A780,出库单!$K$4:$K$4003,"对外销售",出库单!$U$4:$U$4003,"正常",出库单!$C$4:$C$4003,"&gt;="&amp;账期起,出库单!$C$4:$C$4003,"&lt;="&amp;账期止),0))</f>
        <v/>
      </c>
      <c r="T780" s="27">
        <f>IF($A780="","",SUMIFS(出库单!$J$4:$J$4003,出库单!$D$4:$D$4003,$A780,出库单!$K$4:$K$4003,"盘亏",出库单!$U$4:$U$4003,"正常",出库单!$C$4:$C$4003,"&gt;="&amp;账期起,出库单!$C$4:$C$4003,"&lt;="&amp;账期止))</f>
        <v/>
      </c>
      <c r="U780" s="26">
        <f>IF($A780="","",ROUND(SUMIFS(出库单!$S$4:$S$4003,出库单!$D$4:$D$4003,$A780,出库单!$K$4:$K$4003,"盘亏",出库单!$U$4:$U$4003,"正常",出库单!$C$4:$C$4003,"&gt;="&amp;账期起,出库单!$C$4:$C$4003,"&lt;="&amp;账期止),0))</f>
        <v/>
      </c>
      <c r="V780" s="27">
        <f>IF($A780="","",SUMIFS(出库单!$J$4:$J$4003,出库单!$D$4:$D$4003,$A780,出库单!$K$4:$K$4003,"退货给供应商",出库单!$U$4:$U$4003,"正常",出库单!$C$4:$C$4003,"&gt;="&amp;账期起,出库单!$C$4:$C$4003,"&lt;="&amp;账期止))</f>
        <v/>
      </c>
      <c r="W780" s="26">
        <f>IF($A780="","",ROUND(SUMIFS(出库单!$S$4:$S$4003,出库单!$D$4:$D$4003,$A780,出库单!$K$4:$K$4003,"退货给供应商",出库单!$U$4:$U$4003,"正常",出库单!$C$4:$C$4003,"&gt;="&amp;账期起,出库单!$C$4:$C$4003,"&lt;="&amp;账期止),0))</f>
        <v/>
      </c>
      <c r="X780" s="27">
        <f>IF($A780="","",ROUND(N($G780)+$I780+$L780+$N780-$P780-$R780-$T780-$V780,3))</f>
        <v/>
      </c>
      <c r="Y780" s="26">
        <f>IF($A780="","",ROUND(N($H780)+$J780+$M780+$O780-$Q780-$S780-$U780-$W780,0))</f>
        <v/>
      </c>
      <c r="Z780" s="24">
        <f>IF($A780="","",IF(COUNTIFS(入库单!$G$4:$G$2503,$A780,入库单!$Y$4:$Y$2503,"待补价")+COUNTIFS(入库单!$G$4:$G$2503,$A780,入库单!$Y$4:$Y$2503,"暂估")&gt;0,"不可信","可信"))</f>
        <v/>
      </c>
      <c r="AA780" s="24">
        <f>IF($A780="","",IF($X780&lt;-0.001,"※账面负库存，查一下是不是漏记入库",IF(AND(ROUND($X780,3)=0,ABS($Y780)&gt;1),"※数量已经是 0，金额还挂着 "&amp;TEXT($Y780,"#,##0")&amp;" 先令",IF(AND($X780&gt;0,$Y780&lt;=0,$K780=0),"※有数量没金额（这个物料一直没填过进价）",IF($Z780="不可信","△成本含待补价/暂估，毛利仅供参考","")))))</f>
        <v/>
      </c>
    </row>
    <row r="781">
      <c r="A781" s="24">
        <f>IF(物料档案!$A780="","",物料档案!$A780)</f>
        <v/>
      </c>
      <c r="B781" s="24">
        <f>IF($A781="","",IFERROR(VLOOKUP($A781,物料档案!$A$4:$P$1203,3,0),""))</f>
        <v/>
      </c>
      <c r="C781" s="24">
        <f>IF($A781="","",IFERROR(VLOOKUP($A781,物料档案!$A$4:$P$1203,4,0),""))</f>
        <v/>
      </c>
      <c r="D781" s="24">
        <f>IF($A781="","",IFERROR(VLOOKUP($A781,物料档案!$A$4:$P$1203,5,0),""))</f>
        <v/>
      </c>
      <c r="E781" s="24">
        <f>IF($A781="","",IFERROR(VLOOKUP($A781,物料档案!$A$4:$P$1203,2,0),""))</f>
        <v/>
      </c>
      <c r="F781" s="24">
        <f>IF($A781="","",IFERROR(VLOOKUP($A781,物料档案!$A$4:$P$1203,6,0),""))</f>
        <v/>
      </c>
      <c r="G781" s="23" t="n"/>
      <c r="H781" s="32" t="n"/>
      <c r="I781" s="27">
        <f>IF($A781="","",SUMIFS(入库单!$K$4:$K$2503,入库单!$G$4:$G$2503,$A781,入库单!$X$4:$X$2503,"采购入库",入库单!$Z$4:$Z$2503,"正常",入库单!$C$4:$C$2503,"&gt;="&amp;账期起,入库单!$C$4:$C$2503,"&lt;="&amp;账期止))</f>
        <v/>
      </c>
      <c r="J781" s="26">
        <f>IF($A781="","",SUMIFS(入库单!$V$4:$V$2503,入库单!$G$4:$G$2503,$A781,入库单!$X$4:$X$2503,"采购入库",入库单!$Z$4:$Z$2503,"正常",入库单!$C$4:$C$2503,"&gt;="&amp;账期起,入库单!$C$4:$C$2503,"&lt;="&amp;账期止))</f>
        <v/>
      </c>
      <c r="K781" s="26">
        <f>IF($A781="","",IFERROR(ROUND((N($H781)+N($J781))/(N($G781)+N($I781)),2),0))</f>
        <v/>
      </c>
      <c r="L781" s="27">
        <f>IF($A781="","",SUMIFS(入库单!$K$4:$K$2503,入库单!$G$4:$G$2503,$A781,入库单!$X$4:$X$2503,"盘盈",入库单!$Z$4:$Z$2503,"正常",入库单!$C$4:$C$2503,"&gt;="&amp;账期起,入库单!$C$4:$C$2503,"&lt;="&amp;账期止))</f>
        <v/>
      </c>
      <c r="M781" s="26">
        <f>IF($A781="","",ROUND($L781*$K781,0))</f>
        <v/>
      </c>
      <c r="N781" s="27">
        <f>IF($A781="","",SUMIFS(入库单!$K$4:$K$2503,入库单!$G$4:$G$2503,$A781,入库单!$X$4:$X$2503,"矿区退库",入库单!$Z$4:$Z$2503,"正常",入库单!$C$4:$C$2503,"&gt;="&amp;账期起,入库单!$C$4:$C$2503,"&lt;="&amp;账期止))</f>
        <v/>
      </c>
      <c r="O781" s="26">
        <f>IF($A781="","",ROUND($N781*$K781,0))</f>
        <v/>
      </c>
      <c r="P781" s="27">
        <f>IF($A781="","",SUMIFS(出库单!$J$4:$J$4003,出库单!$D$4:$D$4003,$A781,出库单!$K$4:$K$4003,"自用消耗",出库单!$U$4:$U$4003,"正常",出库单!$C$4:$C$4003,"&gt;="&amp;账期起,出库单!$C$4:$C$4003,"&lt;="&amp;账期止))</f>
        <v/>
      </c>
      <c r="Q781" s="26">
        <f>IF($A781="","",ROUND(SUMIFS(出库单!$S$4:$S$4003,出库单!$D$4:$D$4003,$A781,出库单!$K$4:$K$4003,"自用消耗",出库单!$U$4:$U$4003,"正常",出库单!$C$4:$C$4003,"&gt;="&amp;账期起,出库单!$C$4:$C$4003,"&lt;="&amp;账期止),0))</f>
        <v/>
      </c>
      <c r="R781" s="27">
        <f>IF($A781="","",SUMIFS(出库单!$J$4:$J$4003,出库单!$D$4:$D$4003,$A781,出库单!$K$4:$K$4003,"对外销售",出库单!$U$4:$U$4003,"正常",出库单!$C$4:$C$4003,"&gt;="&amp;账期起,出库单!$C$4:$C$4003,"&lt;="&amp;账期止))</f>
        <v/>
      </c>
      <c r="S781" s="26">
        <f>IF($A781="","",ROUND(SUMIFS(出库单!$S$4:$S$4003,出库单!$D$4:$D$4003,$A781,出库单!$K$4:$K$4003,"对外销售",出库单!$U$4:$U$4003,"正常",出库单!$C$4:$C$4003,"&gt;="&amp;账期起,出库单!$C$4:$C$4003,"&lt;="&amp;账期止),0))</f>
        <v/>
      </c>
      <c r="T781" s="27">
        <f>IF($A781="","",SUMIFS(出库单!$J$4:$J$4003,出库单!$D$4:$D$4003,$A781,出库单!$K$4:$K$4003,"盘亏",出库单!$U$4:$U$4003,"正常",出库单!$C$4:$C$4003,"&gt;="&amp;账期起,出库单!$C$4:$C$4003,"&lt;="&amp;账期止))</f>
        <v/>
      </c>
      <c r="U781" s="26">
        <f>IF($A781="","",ROUND(SUMIFS(出库单!$S$4:$S$4003,出库单!$D$4:$D$4003,$A781,出库单!$K$4:$K$4003,"盘亏",出库单!$U$4:$U$4003,"正常",出库单!$C$4:$C$4003,"&gt;="&amp;账期起,出库单!$C$4:$C$4003,"&lt;="&amp;账期止),0))</f>
        <v/>
      </c>
      <c r="V781" s="27">
        <f>IF($A781="","",SUMIFS(出库单!$J$4:$J$4003,出库单!$D$4:$D$4003,$A781,出库单!$K$4:$K$4003,"退货给供应商",出库单!$U$4:$U$4003,"正常",出库单!$C$4:$C$4003,"&gt;="&amp;账期起,出库单!$C$4:$C$4003,"&lt;="&amp;账期止))</f>
        <v/>
      </c>
      <c r="W781" s="26">
        <f>IF($A781="","",ROUND(SUMIFS(出库单!$S$4:$S$4003,出库单!$D$4:$D$4003,$A781,出库单!$K$4:$K$4003,"退货给供应商",出库单!$U$4:$U$4003,"正常",出库单!$C$4:$C$4003,"&gt;="&amp;账期起,出库单!$C$4:$C$4003,"&lt;="&amp;账期止),0))</f>
        <v/>
      </c>
      <c r="X781" s="27">
        <f>IF($A781="","",ROUND(N($G781)+$I781+$L781+$N781-$P781-$R781-$T781-$V781,3))</f>
        <v/>
      </c>
      <c r="Y781" s="26">
        <f>IF($A781="","",ROUND(N($H781)+$J781+$M781+$O781-$Q781-$S781-$U781-$W781,0))</f>
        <v/>
      </c>
      <c r="Z781" s="24">
        <f>IF($A781="","",IF(COUNTIFS(入库单!$G$4:$G$2503,$A781,入库单!$Y$4:$Y$2503,"待补价")+COUNTIFS(入库单!$G$4:$G$2503,$A781,入库单!$Y$4:$Y$2503,"暂估")&gt;0,"不可信","可信"))</f>
        <v/>
      </c>
      <c r="AA781" s="24">
        <f>IF($A781="","",IF($X781&lt;-0.001,"※账面负库存，查一下是不是漏记入库",IF(AND(ROUND($X781,3)=0,ABS($Y781)&gt;1),"※数量已经是 0，金额还挂着 "&amp;TEXT($Y781,"#,##0")&amp;" 先令",IF(AND($X781&gt;0,$Y781&lt;=0,$K781=0),"※有数量没金额（这个物料一直没填过进价）",IF($Z781="不可信","△成本含待补价/暂估，毛利仅供参考","")))))</f>
        <v/>
      </c>
    </row>
    <row r="782">
      <c r="A782" s="24">
        <f>IF(物料档案!$A781="","",物料档案!$A781)</f>
        <v/>
      </c>
      <c r="B782" s="24">
        <f>IF($A782="","",IFERROR(VLOOKUP($A782,物料档案!$A$4:$P$1203,3,0),""))</f>
        <v/>
      </c>
      <c r="C782" s="24">
        <f>IF($A782="","",IFERROR(VLOOKUP($A782,物料档案!$A$4:$P$1203,4,0),""))</f>
        <v/>
      </c>
      <c r="D782" s="24">
        <f>IF($A782="","",IFERROR(VLOOKUP($A782,物料档案!$A$4:$P$1203,5,0),""))</f>
        <v/>
      </c>
      <c r="E782" s="24">
        <f>IF($A782="","",IFERROR(VLOOKUP($A782,物料档案!$A$4:$P$1203,2,0),""))</f>
        <v/>
      </c>
      <c r="F782" s="24">
        <f>IF($A782="","",IFERROR(VLOOKUP($A782,物料档案!$A$4:$P$1203,6,0),""))</f>
        <v/>
      </c>
      <c r="G782" s="23" t="n"/>
      <c r="H782" s="32" t="n"/>
      <c r="I782" s="27">
        <f>IF($A782="","",SUMIFS(入库单!$K$4:$K$2503,入库单!$G$4:$G$2503,$A782,入库单!$X$4:$X$2503,"采购入库",入库单!$Z$4:$Z$2503,"正常",入库单!$C$4:$C$2503,"&gt;="&amp;账期起,入库单!$C$4:$C$2503,"&lt;="&amp;账期止))</f>
        <v/>
      </c>
      <c r="J782" s="26">
        <f>IF($A782="","",SUMIFS(入库单!$V$4:$V$2503,入库单!$G$4:$G$2503,$A782,入库单!$X$4:$X$2503,"采购入库",入库单!$Z$4:$Z$2503,"正常",入库单!$C$4:$C$2503,"&gt;="&amp;账期起,入库单!$C$4:$C$2503,"&lt;="&amp;账期止))</f>
        <v/>
      </c>
      <c r="K782" s="26">
        <f>IF($A782="","",IFERROR(ROUND((N($H782)+N($J782))/(N($G782)+N($I782)),2),0))</f>
        <v/>
      </c>
      <c r="L782" s="27">
        <f>IF($A782="","",SUMIFS(入库单!$K$4:$K$2503,入库单!$G$4:$G$2503,$A782,入库单!$X$4:$X$2503,"盘盈",入库单!$Z$4:$Z$2503,"正常",入库单!$C$4:$C$2503,"&gt;="&amp;账期起,入库单!$C$4:$C$2503,"&lt;="&amp;账期止))</f>
        <v/>
      </c>
      <c r="M782" s="26">
        <f>IF($A782="","",ROUND($L782*$K782,0))</f>
        <v/>
      </c>
      <c r="N782" s="27">
        <f>IF($A782="","",SUMIFS(入库单!$K$4:$K$2503,入库单!$G$4:$G$2503,$A782,入库单!$X$4:$X$2503,"矿区退库",入库单!$Z$4:$Z$2503,"正常",入库单!$C$4:$C$2503,"&gt;="&amp;账期起,入库单!$C$4:$C$2503,"&lt;="&amp;账期止))</f>
        <v/>
      </c>
      <c r="O782" s="26">
        <f>IF($A782="","",ROUND($N782*$K782,0))</f>
        <v/>
      </c>
      <c r="P782" s="27">
        <f>IF($A782="","",SUMIFS(出库单!$J$4:$J$4003,出库单!$D$4:$D$4003,$A782,出库单!$K$4:$K$4003,"自用消耗",出库单!$U$4:$U$4003,"正常",出库单!$C$4:$C$4003,"&gt;="&amp;账期起,出库单!$C$4:$C$4003,"&lt;="&amp;账期止))</f>
        <v/>
      </c>
      <c r="Q782" s="26">
        <f>IF($A782="","",ROUND(SUMIFS(出库单!$S$4:$S$4003,出库单!$D$4:$D$4003,$A782,出库单!$K$4:$K$4003,"自用消耗",出库单!$U$4:$U$4003,"正常",出库单!$C$4:$C$4003,"&gt;="&amp;账期起,出库单!$C$4:$C$4003,"&lt;="&amp;账期止),0))</f>
        <v/>
      </c>
      <c r="R782" s="27">
        <f>IF($A782="","",SUMIFS(出库单!$J$4:$J$4003,出库单!$D$4:$D$4003,$A782,出库单!$K$4:$K$4003,"对外销售",出库单!$U$4:$U$4003,"正常",出库单!$C$4:$C$4003,"&gt;="&amp;账期起,出库单!$C$4:$C$4003,"&lt;="&amp;账期止))</f>
        <v/>
      </c>
      <c r="S782" s="26">
        <f>IF($A782="","",ROUND(SUMIFS(出库单!$S$4:$S$4003,出库单!$D$4:$D$4003,$A782,出库单!$K$4:$K$4003,"对外销售",出库单!$U$4:$U$4003,"正常",出库单!$C$4:$C$4003,"&gt;="&amp;账期起,出库单!$C$4:$C$4003,"&lt;="&amp;账期止),0))</f>
        <v/>
      </c>
      <c r="T782" s="27">
        <f>IF($A782="","",SUMIFS(出库单!$J$4:$J$4003,出库单!$D$4:$D$4003,$A782,出库单!$K$4:$K$4003,"盘亏",出库单!$U$4:$U$4003,"正常",出库单!$C$4:$C$4003,"&gt;="&amp;账期起,出库单!$C$4:$C$4003,"&lt;="&amp;账期止))</f>
        <v/>
      </c>
      <c r="U782" s="26">
        <f>IF($A782="","",ROUND(SUMIFS(出库单!$S$4:$S$4003,出库单!$D$4:$D$4003,$A782,出库单!$K$4:$K$4003,"盘亏",出库单!$U$4:$U$4003,"正常",出库单!$C$4:$C$4003,"&gt;="&amp;账期起,出库单!$C$4:$C$4003,"&lt;="&amp;账期止),0))</f>
        <v/>
      </c>
      <c r="V782" s="27">
        <f>IF($A782="","",SUMIFS(出库单!$J$4:$J$4003,出库单!$D$4:$D$4003,$A782,出库单!$K$4:$K$4003,"退货给供应商",出库单!$U$4:$U$4003,"正常",出库单!$C$4:$C$4003,"&gt;="&amp;账期起,出库单!$C$4:$C$4003,"&lt;="&amp;账期止))</f>
        <v/>
      </c>
      <c r="W782" s="26">
        <f>IF($A782="","",ROUND(SUMIFS(出库单!$S$4:$S$4003,出库单!$D$4:$D$4003,$A782,出库单!$K$4:$K$4003,"退货给供应商",出库单!$U$4:$U$4003,"正常",出库单!$C$4:$C$4003,"&gt;="&amp;账期起,出库单!$C$4:$C$4003,"&lt;="&amp;账期止),0))</f>
        <v/>
      </c>
      <c r="X782" s="27">
        <f>IF($A782="","",ROUND(N($G782)+$I782+$L782+$N782-$P782-$R782-$T782-$V782,3))</f>
        <v/>
      </c>
      <c r="Y782" s="26">
        <f>IF($A782="","",ROUND(N($H782)+$J782+$M782+$O782-$Q782-$S782-$U782-$W782,0))</f>
        <v/>
      </c>
      <c r="Z782" s="24">
        <f>IF($A782="","",IF(COUNTIFS(入库单!$G$4:$G$2503,$A782,入库单!$Y$4:$Y$2503,"待补价")+COUNTIFS(入库单!$G$4:$G$2503,$A782,入库单!$Y$4:$Y$2503,"暂估")&gt;0,"不可信","可信"))</f>
        <v/>
      </c>
      <c r="AA782" s="24">
        <f>IF($A782="","",IF($X782&lt;-0.001,"※账面负库存，查一下是不是漏记入库",IF(AND(ROUND($X782,3)=0,ABS($Y782)&gt;1),"※数量已经是 0，金额还挂着 "&amp;TEXT($Y782,"#,##0")&amp;" 先令",IF(AND($X782&gt;0,$Y782&lt;=0,$K782=0),"※有数量没金额（这个物料一直没填过进价）",IF($Z782="不可信","△成本含待补价/暂估，毛利仅供参考","")))))</f>
        <v/>
      </c>
    </row>
    <row r="783">
      <c r="A783" s="24">
        <f>IF(物料档案!$A782="","",物料档案!$A782)</f>
        <v/>
      </c>
      <c r="B783" s="24">
        <f>IF($A783="","",IFERROR(VLOOKUP($A783,物料档案!$A$4:$P$1203,3,0),""))</f>
        <v/>
      </c>
      <c r="C783" s="24">
        <f>IF($A783="","",IFERROR(VLOOKUP($A783,物料档案!$A$4:$P$1203,4,0),""))</f>
        <v/>
      </c>
      <c r="D783" s="24">
        <f>IF($A783="","",IFERROR(VLOOKUP($A783,物料档案!$A$4:$P$1203,5,0),""))</f>
        <v/>
      </c>
      <c r="E783" s="24">
        <f>IF($A783="","",IFERROR(VLOOKUP($A783,物料档案!$A$4:$P$1203,2,0),""))</f>
        <v/>
      </c>
      <c r="F783" s="24">
        <f>IF($A783="","",IFERROR(VLOOKUP($A783,物料档案!$A$4:$P$1203,6,0),""))</f>
        <v/>
      </c>
      <c r="G783" s="23" t="n"/>
      <c r="H783" s="32" t="n"/>
      <c r="I783" s="27">
        <f>IF($A783="","",SUMIFS(入库单!$K$4:$K$2503,入库单!$G$4:$G$2503,$A783,入库单!$X$4:$X$2503,"采购入库",入库单!$Z$4:$Z$2503,"正常",入库单!$C$4:$C$2503,"&gt;="&amp;账期起,入库单!$C$4:$C$2503,"&lt;="&amp;账期止))</f>
        <v/>
      </c>
      <c r="J783" s="26">
        <f>IF($A783="","",SUMIFS(入库单!$V$4:$V$2503,入库单!$G$4:$G$2503,$A783,入库单!$X$4:$X$2503,"采购入库",入库单!$Z$4:$Z$2503,"正常",入库单!$C$4:$C$2503,"&gt;="&amp;账期起,入库单!$C$4:$C$2503,"&lt;="&amp;账期止))</f>
        <v/>
      </c>
      <c r="K783" s="26">
        <f>IF($A783="","",IFERROR(ROUND((N($H783)+N($J783))/(N($G783)+N($I783)),2),0))</f>
        <v/>
      </c>
      <c r="L783" s="27">
        <f>IF($A783="","",SUMIFS(入库单!$K$4:$K$2503,入库单!$G$4:$G$2503,$A783,入库单!$X$4:$X$2503,"盘盈",入库单!$Z$4:$Z$2503,"正常",入库单!$C$4:$C$2503,"&gt;="&amp;账期起,入库单!$C$4:$C$2503,"&lt;="&amp;账期止))</f>
        <v/>
      </c>
      <c r="M783" s="26">
        <f>IF($A783="","",ROUND($L783*$K783,0))</f>
        <v/>
      </c>
      <c r="N783" s="27">
        <f>IF($A783="","",SUMIFS(入库单!$K$4:$K$2503,入库单!$G$4:$G$2503,$A783,入库单!$X$4:$X$2503,"矿区退库",入库单!$Z$4:$Z$2503,"正常",入库单!$C$4:$C$2503,"&gt;="&amp;账期起,入库单!$C$4:$C$2503,"&lt;="&amp;账期止))</f>
        <v/>
      </c>
      <c r="O783" s="26">
        <f>IF($A783="","",ROUND($N783*$K783,0))</f>
        <v/>
      </c>
      <c r="P783" s="27">
        <f>IF($A783="","",SUMIFS(出库单!$J$4:$J$4003,出库单!$D$4:$D$4003,$A783,出库单!$K$4:$K$4003,"自用消耗",出库单!$U$4:$U$4003,"正常",出库单!$C$4:$C$4003,"&gt;="&amp;账期起,出库单!$C$4:$C$4003,"&lt;="&amp;账期止))</f>
        <v/>
      </c>
      <c r="Q783" s="26">
        <f>IF($A783="","",ROUND(SUMIFS(出库单!$S$4:$S$4003,出库单!$D$4:$D$4003,$A783,出库单!$K$4:$K$4003,"自用消耗",出库单!$U$4:$U$4003,"正常",出库单!$C$4:$C$4003,"&gt;="&amp;账期起,出库单!$C$4:$C$4003,"&lt;="&amp;账期止),0))</f>
        <v/>
      </c>
      <c r="R783" s="27">
        <f>IF($A783="","",SUMIFS(出库单!$J$4:$J$4003,出库单!$D$4:$D$4003,$A783,出库单!$K$4:$K$4003,"对外销售",出库单!$U$4:$U$4003,"正常",出库单!$C$4:$C$4003,"&gt;="&amp;账期起,出库单!$C$4:$C$4003,"&lt;="&amp;账期止))</f>
        <v/>
      </c>
      <c r="S783" s="26">
        <f>IF($A783="","",ROUND(SUMIFS(出库单!$S$4:$S$4003,出库单!$D$4:$D$4003,$A783,出库单!$K$4:$K$4003,"对外销售",出库单!$U$4:$U$4003,"正常",出库单!$C$4:$C$4003,"&gt;="&amp;账期起,出库单!$C$4:$C$4003,"&lt;="&amp;账期止),0))</f>
        <v/>
      </c>
      <c r="T783" s="27">
        <f>IF($A783="","",SUMIFS(出库单!$J$4:$J$4003,出库单!$D$4:$D$4003,$A783,出库单!$K$4:$K$4003,"盘亏",出库单!$U$4:$U$4003,"正常",出库单!$C$4:$C$4003,"&gt;="&amp;账期起,出库单!$C$4:$C$4003,"&lt;="&amp;账期止))</f>
        <v/>
      </c>
      <c r="U783" s="26">
        <f>IF($A783="","",ROUND(SUMIFS(出库单!$S$4:$S$4003,出库单!$D$4:$D$4003,$A783,出库单!$K$4:$K$4003,"盘亏",出库单!$U$4:$U$4003,"正常",出库单!$C$4:$C$4003,"&gt;="&amp;账期起,出库单!$C$4:$C$4003,"&lt;="&amp;账期止),0))</f>
        <v/>
      </c>
      <c r="V783" s="27">
        <f>IF($A783="","",SUMIFS(出库单!$J$4:$J$4003,出库单!$D$4:$D$4003,$A783,出库单!$K$4:$K$4003,"退货给供应商",出库单!$U$4:$U$4003,"正常",出库单!$C$4:$C$4003,"&gt;="&amp;账期起,出库单!$C$4:$C$4003,"&lt;="&amp;账期止))</f>
        <v/>
      </c>
      <c r="W783" s="26">
        <f>IF($A783="","",ROUND(SUMIFS(出库单!$S$4:$S$4003,出库单!$D$4:$D$4003,$A783,出库单!$K$4:$K$4003,"退货给供应商",出库单!$U$4:$U$4003,"正常",出库单!$C$4:$C$4003,"&gt;="&amp;账期起,出库单!$C$4:$C$4003,"&lt;="&amp;账期止),0))</f>
        <v/>
      </c>
      <c r="X783" s="27">
        <f>IF($A783="","",ROUND(N($G783)+$I783+$L783+$N783-$P783-$R783-$T783-$V783,3))</f>
        <v/>
      </c>
      <c r="Y783" s="26">
        <f>IF($A783="","",ROUND(N($H783)+$J783+$M783+$O783-$Q783-$S783-$U783-$W783,0))</f>
        <v/>
      </c>
      <c r="Z783" s="24">
        <f>IF($A783="","",IF(COUNTIFS(入库单!$G$4:$G$2503,$A783,入库单!$Y$4:$Y$2503,"待补价")+COUNTIFS(入库单!$G$4:$G$2503,$A783,入库单!$Y$4:$Y$2503,"暂估")&gt;0,"不可信","可信"))</f>
        <v/>
      </c>
      <c r="AA783" s="24">
        <f>IF($A783="","",IF($X783&lt;-0.001,"※账面负库存，查一下是不是漏记入库",IF(AND(ROUND($X783,3)=0,ABS($Y783)&gt;1),"※数量已经是 0，金额还挂着 "&amp;TEXT($Y783,"#,##0")&amp;" 先令",IF(AND($X783&gt;0,$Y783&lt;=0,$K783=0),"※有数量没金额（这个物料一直没填过进价）",IF($Z783="不可信","△成本含待补价/暂估，毛利仅供参考","")))))</f>
        <v/>
      </c>
    </row>
    <row r="784">
      <c r="A784" s="24">
        <f>IF(物料档案!$A783="","",物料档案!$A783)</f>
        <v/>
      </c>
      <c r="B784" s="24">
        <f>IF($A784="","",IFERROR(VLOOKUP($A784,物料档案!$A$4:$P$1203,3,0),""))</f>
        <v/>
      </c>
      <c r="C784" s="24">
        <f>IF($A784="","",IFERROR(VLOOKUP($A784,物料档案!$A$4:$P$1203,4,0),""))</f>
        <v/>
      </c>
      <c r="D784" s="24">
        <f>IF($A784="","",IFERROR(VLOOKUP($A784,物料档案!$A$4:$P$1203,5,0),""))</f>
        <v/>
      </c>
      <c r="E784" s="24">
        <f>IF($A784="","",IFERROR(VLOOKUP($A784,物料档案!$A$4:$P$1203,2,0),""))</f>
        <v/>
      </c>
      <c r="F784" s="24">
        <f>IF($A784="","",IFERROR(VLOOKUP($A784,物料档案!$A$4:$P$1203,6,0),""))</f>
        <v/>
      </c>
      <c r="G784" s="23" t="n"/>
      <c r="H784" s="32" t="n"/>
      <c r="I784" s="27">
        <f>IF($A784="","",SUMIFS(入库单!$K$4:$K$2503,入库单!$G$4:$G$2503,$A784,入库单!$X$4:$X$2503,"采购入库",入库单!$Z$4:$Z$2503,"正常",入库单!$C$4:$C$2503,"&gt;="&amp;账期起,入库单!$C$4:$C$2503,"&lt;="&amp;账期止))</f>
        <v/>
      </c>
      <c r="J784" s="26">
        <f>IF($A784="","",SUMIFS(入库单!$V$4:$V$2503,入库单!$G$4:$G$2503,$A784,入库单!$X$4:$X$2503,"采购入库",入库单!$Z$4:$Z$2503,"正常",入库单!$C$4:$C$2503,"&gt;="&amp;账期起,入库单!$C$4:$C$2503,"&lt;="&amp;账期止))</f>
        <v/>
      </c>
      <c r="K784" s="26">
        <f>IF($A784="","",IFERROR(ROUND((N($H784)+N($J784))/(N($G784)+N($I784)),2),0))</f>
        <v/>
      </c>
      <c r="L784" s="27">
        <f>IF($A784="","",SUMIFS(入库单!$K$4:$K$2503,入库单!$G$4:$G$2503,$A784,入库单!$X$4:$X$2503,"盘盈",入库单!$Z$4:$Z$2503,"正常",入库单!$C$4:$C$2503,"&gt;="&amp;账期起,入库单!$C$4:$C$2503,"&lt;="&amp;账期止))</f>
        <v/>
      </c>
      <c r="M784" s="26">
        <f>IF($A784="","",ROUND($L784*$K784,0))</f>
        <v/>
      </c>
      <c r="N784" s="27">
        <f>IF($A784="","",SUMIFS(入库单!$K$4:$K$2503,入库单!$G$4:$G$2503,$A784,入库单!$X$4:$X$2503,"矿区退库",入库单!$Z$4:$Z$2503,"正常",入库单!$C$4:$C$2503,"&gt;="&amp;账期起,入库单!$C$4:$C$2503,"&lt;="&amp;账期止))</f>
        <v/>
      </c>
      <c r="O784" s="26">
        <f>IF($A784="","",ROUND($N784*$K784,0))</f>
        <v/>
      </c>
      <c r="P784" s="27">
        <f>IF($A784="","",SUMIFS(出库单!$J$4:$J$4003,出库单!$D$4:$D$4003,$A784,出库单!$K$4:$K$4003,"自用消耗",出库单!$U$4:$U$4003,"正常",出库单!$C$4:$C$4003,"&gt;="&amp;账期起,出库单!$C$4:$C$4003,"&lt;="&amp;账期止))</f>
        <v/>
      </c>
      <c r="Q784" s="26">
        <f>IF($A784="","",ROUND(SUMIFS(出库单!$S$4:$S$4003,出库单!$D$4:$D$4003,$A784,出库单!$K$4:$K$4003,"自用消耗",出库单!$U$4:$U$4003,"正常",出库单!$C$4:$C$4003,"&gt;="&amp;账期起,出库单!$C$4:$C$4003,"&lt;="&amp;账期止),0))</f>
        <v/>
      </c>
      <c r="R784" s="27">
        <f>IF($A784="","",SUMIFS(出库单!$J$4:$J$4003,出库单!$D$4:$D$4003,$A784,出库单!$K$4:$K$4003,"对外销售",出库单!$U$4:$U$4003,"正常",出库单!$C$4:$C$4003,"&gt;="&amp;账期起,出库单!$C$4:$C$4003,"&lt;="&amp;账期止))</f>
        <v/>
      </c>
      <c r="S784" s="26">
        <f>IF($A784="","",ROUND(SUMIFS(出库单!$S$4:$S$4003,出库单!$D$4:$D$4003,$A784,出库单!$K$4:$K$4003,"对外销售",出库单!$U$4:$U$4003,"正常",出库单!$C$4:$C$4003,"&gt;="&amp;账期起,出库单!$C$4:$C$4003,"&lt;="&amp;账期止),0))</f>
        <v/>
      </c>
      <c r="T784" s="27">
        <f>IF($A784="","",SUMIFS(出库单!$J$4:$J$4003,出库单!$D$4:$D$4003,$A784,出库单!$K$4:$K$4003,"盘亏",出库单!$U$4:$U$4003,"正常",出库单!$C$4:$C$4003,"&gt;="&amp;账期起,出库单!$C$4:$C$4003,"&lt;="&amp;账期止))</f>
        <v/>
      </c>
      <c r="U784" s="26">
        <f>IF($A784="","",ROUND(SUMIFS(出库单!$S$4:$S$4003,出库单!$D$4:$D$4003,$A784,出库单!$K$4:$K$4003,"盘亏",出库单!$U$4:$U$4003,"正常",出库单!$C$4:$C$4003,"&gt;="&amp;账期起,出库单!$C$4:$C$4003,"&lt;="&amp;账期止),0))</f>
        <v/>
      </c>
      <c r="V784" s="27">
        <f>IF($A784="","",SUMIFS(出库单!$J$4:$J$4003,出库单!$D$4:$D$4003,$A784,出库单!$K$4:$K$4003,"退货给供应商",出库单!$U$4:$U$4003,"正常",出库单!$C$4:$C$4003,"&gt;="&amp;账期起,出库单!$C$4:$C$4003,"&lt;="&amp;账期止))</f>
        <v/>
      </c>
      <c r="W784" s="26">
        <f>IF($A784="","",ROUND(SUMIFS(出库单!$S$4:$S$4003,出库单!$D$4:$D$4003,$A784,出库单!$K$4:$K$4003,"退货给供应商",出库单!$U$4:$U$4003,"正常",出库单!$C$4:$C$4003,"&gt;="&amp;账期起,出库单!$C$4:$C$4003,"&lt;="&amp;账期止),0))</f>
        <v/>
      </c>
      <c r="X784" s="27">
        <f>IF($A784="","",ROUND(N($G784)+$I784+$L784+$N784-$P784-$R784-$T784-$V784,3))</f>
        <v/>
      </c>
      <c r="Y784" s="26">
        <f>IF($A784="","",ROUND(N($H784)+$J784+$M784+$O784-$Q784-$S784-$U784-$W784,0))</f>
        <v/>
      </c>
      <c r="Z784" s="24">
        <f>IF($A784="","",IF(COUNTIFS(入库单!$G$4:$G$2503,$A784,入库单!$Y$4:$Y$2503,"待补价")+COUNTIFS(入库单!$G$4:$G$2503,$A784,入库单!$Y$4:$Y$2503,"暂估")&gt;0,"不可信","可信"))</f>
        <v/>
      </c>
      <c r="AA784" s="24">
        <f>IF($A784="","",IF($X784&lt;-0.001,"※账面负库存，查一下是不是漏记入库",IF(AND(ROUND($X784,3)=0,ABS($Y784)&gt;1),"※数量已经是 0，金额还挂着 "&amp;TEXT($Y784,"#,##0")&amp;" 先令",IF(AND($X784&gt;0,$Y784&lt;=0,$K784=0),"※有数量没金额（这个物料一直没填过进价）",IF($Z784="不可信","△成本含待补价/暂估，毛利仅供参考","")))))</f>
        <v/>
      </c>
    </row>
    <row r="785">
      <c r="A785" s="24">
        <f>IF(物料档案!$A784="","",物料档案!$A784)</f>
        <v/>
      </c>
      <c r="B785" s="24">
        <f>IF($A785="","",IFERROR(VLOOKUP($A785,物料档案!$A$4:$P$1203,3,0),""))</f>
        <v/>
      </c>
      <c r="C785" s="24">
        <f>IF($A785="","",IFERROR(VLOOKUP($A785,物料档案!$A$4:$P$1203,4,0),""))</f>
        <v/>
      </c>
      <c r="D785" s="24">
        <f>IF($A785="","",IFERROR(VLOOKUP($A785,物料档案!$A$4:$P$1203,5,0),""))</f>
        <v/>
      </c>
      <c r="E785" s="24">
        <f>IF($A785="","",IFERROR(VLOOKUP($A785,物料档案!$A$4:$P$1203,2,0),""))</f>
        <v/>
      </c>
      <c r="F785" s="24">
        <f>IF($A785="","",IFERROR(VLOOKUP($A785,物料档案!$A$4:$P$1203,6,0),""))</f>
        <v/>
      </c>
      <c r="G785" s="23" t="n"/>
      <c r="H785" s="32" t="n"/>
      <c r="I785" s="27">
        <f>IF($A785="","",SUMIFS(入库单!$K$4:$K$2503,入库单!$G$4:$G$2503,$A785,入库单!$X$4:$X$2503,"采购入库",入库单!$Z$4:$Z$2503,"正常",入库单!$C$4:$C$2503,"&gt;="&amp;账期起,入库单!$C$4:$C$2503,"&lt;="&amp;账期止))</f>
        <v/>
      </c>
      <c r="J785" s="26">
        <f>IF($A785="","",SUMIFS(入库单!$V$4:$V$2503,入库单!$G$4:$G$2503,$A785,入库单!$X$4:$X$2503,"采购入库",入库单!$Z$4:$Z$2503,"正常",入库单!$C$4:$C$2503,"&gt;="&amp;账期起,入库单!$C$4:$C$2503,"&lt;="&amp;账期止))</f>
        <v/>
      </c>
      <c r="K785" s="26">
        <f>IF($A785="","",IFERROR(ROUND((N($H785)+N($J785))/(N($G785)+N($I785)),2),0))</f>
        <v/>
      </c>
      <c r="L785" s="27">
        <f>IF($A785="","",SUMIFS(入库单!$K$4:$K$2503,入库单!$G$4:$G$2503,$A785,入库单!$X$4:$X$2503,"盘盈",入库单!$Z$4:$Z$2503,"正常",入库单!$C$4:$C$2503,"&gt;="&amp;账期起,入库单!$C$4:$C$2503,"&lt;="&amp;账期止))</f>
        <v/>
      </c>
      <c r="M785" s="26">
        <f>IF($A785="","",ROUND($L785*$K785,0))</f>
        <v/>
      </c>
      <c r="N785" s="27">
        <f>IF($A785="","",SUMIFS(入库单!$K$4:$K$2503,入库单!$G$4:$G$2503,$A785,入库单!$X$4:$X$2503,"矿区退库",入库单!$Z$4:$Z$2503,"正常",入库单!$C$4:$C$2503,"&gt;="&amp;账期起,入库单!$C$4:$C$2503,"&lt;="&amp;账期止))</f>
        <v/>
      </c>
      <c r="O785" s="26">
        <f>IF($A785="","",ROUND($N785*$K785,0))</f>
        <v/>
      </c>
      <c r="P785" s="27">
        <f>IF($A785="","",SUMIFS(出库单!$J$4:$J$4003,出库单!$D$4:$D$4003,$A785,出库单!$K$4:$K$4003,"自用消耗",出库单!$U$4:$U$4003,"正常",出库单!$C$4:$C$4003,"&gt;="&amp;账期起,出库单!$C$4:$C$4003,"&lt;="&amp;账期止))</f>
        <v/>
      </c>
      <c r="Q785" s="26">
        <f>IF($A785="","",ROUND(SUMIFS(出库单!$S$4:$S$4003,出库单!$D$4:$D$4003,$A785,出库单!$K$4:$K$4003,"自用消耗",出库单!$U$4:$U$4003,"正常",出库单!$C$4:$C$4003,"&gt;="&amp;账期起,出库单!$C$4:$C$4003,"&lt;="&amp;账期止),0))</f>
        <v/>
      </c>
      <c r="R785" s="27">
        <f>IF($A785="","",SUMIFS(出库单!$J$4:$J$4003,出库单!$D$4:$D$4003,$A785,出库单!$K$4:$K$4003,"对外销售",出库单!$U$4:$U$4003,"正常",出库单!$C$4:$C$4003,"&gt;="&amp;账期起,出库单!$C$4:$C$4003,"&lt;="&amp;账期止))</f>
        <v/>
      </c>
      <c r="S785" s="26">
        <f>IF($A785="","",ROUND(SUMIFS(出库单!$S$4:$S$4003,出库单!$D$4:$D$4003,$A785,出库单!$K$4:$K$4003,"对外销售",出库单!$U$4:$U$4003,"正常",出库单!$C$4:$C$4003,"&gt;="&amp;账期起,出库单!$C$4:$C$4003,"&lt;="&amp;账期止),0))</f>
        <v/>
      </c>
      <c r="T785" s="27">
        <f>IF($A785="","",SUMIFS(出库单!$J$4:$J$4003,出库单!$D$4:$D$4003,$A785,出库单!$K$4:$K$4003,"盘亏",出库单!$U$4:$U$4003,"正常",出库单!$C$4:$C$4003,"&gt;="&amp;账期起,出库单!$C$4:$C$4003,"&lt;="&amp;账期止))</f>
        <v/>
      </c>
      <c r="U785" s="26">
        <f>IF($A785="","",ROUND(SUMIFS(出库单!$S$4:$S$4003,出库单!$D$4:$D$4003,$A785,出库单!$K$4:$K$4003,"盘亏",出库单!$U$4:$U$4003,"正常",出库单!$C$4:$C$4003,"&gt;="&amp;账期起,出库单!$C$4:$C$4003,"&lt;="&amp;账期止),0))</f>
        <v/>
      </c>
      <c r="V785" s="27">
        <f>IF($A785="","",SUMIFS(出库单!$J$4:$J$4003,出库单!$D$4:$D$4003,$A785,出库单!$K$4:$K$4003,"退货给供应商",出库单!$U$4:$U$4003,"正常",出库单!$C$4:$C$4003,"&gt;="&amp;账期起,出库单!$C$4:$C$4003,"&lt;="&amp;账期止))</f>
        <v/>
      </c>
      <c r="W785" s="26">
        <f>IF($A785="","",ROUND(SUMIFS(出库单!$S$4:$S$4003,出库单!$D$4:$D$4003,$A785,出库单!$K$4:$K$4003,"退货给供应商",出库单!$U$4:$U$4003,"正常",出库单!$C$4:$C$4003,"&gt;="&amp;账期起,出库单!$C$4:$C$4003,"&lt;="&amp;账期止),0))</f>
        <v/>
      </c>
      <c r="X785" s="27">
        <f>IF($A785="","",ROUND(N($G785)+$I785+$L785+$N785-$P785-$R785-$T785-$V785,3))</f>
        <v/>
      </c>
      <c r="Y785" s="26">
        <f>IF($A785="","",ROUND(N($H785)+$J785+$M785+$O785-$Q785-$S785-$U785-$W785,0))</f>
        <v/>
      </c>
      <c r="Z785" s="24">
        <f>IF($A785="","",IF(COUNTIFS(入库单!$G$4:$G$2503,$A785,入库单!$Y$4:$Y$2503,"待补价")+COUNTIFS(入库单!$G$4:$G$2503,$A785,入库单!$Y$4:$Y$2503,"暂估")&gt;0,"不可信","可信"))</f>
        <v/>
      </c>
      <c r="AA785" s="24">
        <f>IF($A785="","",IF($X785&lt;-0.001,"※账面负库存，查一下是不是漏记入库",IF(AND(ROUND($X785,3)=0,ABS($Y785)&gt;1),"※数量已经是 0，金额还挂着 "&amp;TEXT($Y785,"#,##0")&amp;" 先令",IF(AND($X785&gt;0,$Y785&lt;=0,$K785=0),"※有数量没金额（这个物料一直没填过进价）",IF($Z785="不可信","△成本含待补价/暂估，毛利仅供参考","")))))</f>
        <v/>
      </c>
    </row>
    <row r="786">
      <c r="A786" s="24">
        <f>IF(物料档案!$A785="","",物料档案!$A785)</f>
        <v/>
      </c>
      <c r="B786" s="24">
        <f>IF($A786="","",IFERROR(VLOOKUP($A786,物料档案!$A$4:$P$1203,3,0),""))</f>
        <v/>
      </c>
      <c r="C786" s="24">
        <f>IF($A786="","",IFERROR(VLOOKUP($A786,物料档案!$A$4:$P$1203,4,0),""))</f>
        <v/>
      </c>
      <c r="D786" s="24">
        <f>IF($A786="","",IFERROR(VLOOKUP($A786,物料档案!$A$4:$P$1203,5,0),""))</f>
        <v/>
      </c>
      <c r="E786" s="24">
        <f>IF($A786="","",IFERROR(VLOOKUP($A786,物料档案!$A$4:$P$1203,2,0),""))</f>
        <v/>
      </c>
      <c r="F786" s="24">
        <f>IF($A786="","",IFERROR(VLOOKUP($A786,物料档案!$A$4:$P$1203,6,0),""))</f>
        <v/>
      </c>
      <c r="G786" s="23" t="n"/>
      <c r="H786" s="32" t="n"/>
      <c r="I786" s="27">
        <f>IF($A786="","",SUMIFS(入库单!$K$4:$K$2503,入库单!$G$4:$G$2503,$A786,入库单!$X$4:$X$2503,"采购入库",入库单!$Z$4:$Z$2503,"正常",入库单!$C$4:$C$2503,"&gt;="&amp;账期起,入库单!$C$4:$C$2503,"&lt;="&amp;账期止))</f>
        <v/>
      </c>
      <c r="J786" s="26">
        <f>IF($A786="","",SUMIFS(入库单!$V$4:$V$2503,入库单!$G$4:$G$2503,$A786,入库单!$X$4:$X$2503,"采购入库",入库单!$Z$4:$Z$2503,"正常",入库单!$C$4:$C$2503,"&gt;="&amp;账期起,入库单!$C$4:$C$2503,"&lt;="&amp;账期止))</f>
        <v/>
      </c>
      <c r="K786" s="26">
        <f>IF($A786="","",IFERROR(ROUND((N($H786)+N($J786))/(N($G786)+N($I786)),2),0))</f>
        <v/>
      </c>
      <c r="L786" s="27">
        <f>IF($A786="","",SUMIFS(入库单!$K$4:$K$2503,入库单!$G$4:$G$2503,$A786,入库单!$X$4:$X$2503,"盘盈",入库单!$Z$4:$Z$2503,"正常",入库单!$C$4:$C$2503,"&gt;="&amp;账期起,入库单!$C$4:$C$2503,"&lt;="&amp;账期止))</f>
        <v/>
      </c>
      <c r="M786" s="26">
        <f>IF($A786="","",ROUND($L786*$K786,0))</f>
        <v/>
      </c>
      <c r="N786" s="27">
        <f>IF($A786="","",SUMIFS(入库单!$K$4:$K$2503,入库单!$G$4:$G$2503,$A786,入库单!$X$4:$X$2503,"矿区退库",入库单!$Z$4:$Z$2503,"正常",入库单!$C$4:$C$2503,"&gt;="&amp;账期起,入库单!$C$4:$C$2503,"&lt;="&amp;账期止))</f>
        <v/>
      </c>
      <c r="O786" s="26">
        <f>IF($A786="","",ROUND($N786*$K786,0))</f>
        <v/>
      </c>
      <c r="P786" s="27">
        <f>IF($A786="","",SUMIFS(出库单!$J$4:$J$4003,出库单!$D$4:$D$4003,$A786,出库单!$K$4:$K$4003,"自用消耗",出库单!$U$4:$U$4003,"正常",出库单!$C$4:$C$4003,"&gt;="&amp;账期起,出库单!$C$4:$C$4003,"&lt;="&amp;账期止))</f>
        <v/>
      </c>
      <c r="Q786" s="26">
        <f>IF($A786="","",ROUND(SUMIFS(出库单!$S$4:$S$4003,出库单!$D$4:$D$4003,$A786,出库单!$K$4:$K$4003,"自用消耗",出库单!$U$4:$U$4003,"正常",出库单!$C$4:$C$4003,"&gt;="&amp;账期起,出库单!$C$4:$C$4003,"&lt;="&amp;账期止),0))</f>
        <v/>
      </c>
      <c r="R786" s="27">
        <f>IF($A786="","",SUMIFS(出库单!$J$4:$J$4003,出库单!$D$4:$D$4003,$A786,出库单!$K$4:$K$4003,"对外销售",出库单!$U$4:$U$4003,"正常",出库单!$C$4:$C$4003,"&gt;="&amp;账期起,出库单!$C$4:$C$4003,"&lt;="&amp;账期止))</f>
        <v/>
      </c>
      <c r="S786" s="26">
        <f>IF($A786="","",ROUND(SUMIFS(出库单!$S$4:$S$4003,出库单!$D$4:$D$4003,$A786,出库单!$K$4:$K$4003,"对外销售",出库单!$U$4:$U$4003,"正常",出库单!$C$4:$C$4003,"&gt;="&amp;账期起,出库单!$C$4:$C$4003,"&lt;="&amp;账期止),0))</f>
        <v/>
      </c>
      <c r="T786" s="27">
        <f>IF($A786="","",SUMIFS(出库单!$J$4:$J$4003,出库单!$D$4:$D$4003,$A786,出库单!$K$4:$K$4003,"盘亏",出库单!$U$4:$U$4003,"正常",出库单!$C$4:$C$4003,"&gt;="&amp;账期起,出库单!$C$4:$C$4003,"&lt;="&amp;账期止))</f>
        <v/>
      </c>
      <c r="U786" s="26">
        <f>IF($A786="","",ROUND(SUMIFS(出库单!$S$4:$S$4003,出库单!$D$4:$D$4003,$A786,出库单!$K$4:$K$4003,"盘亏",出库单!$U$4:$U$4003,"正常",出库单!$C$4:$C$4003,"&gt;="&amp;账期起,出库单!$C$4:$C$4003,"&lt;="&amp;账期止),0))</f>
        <v/>
      </c>
      <c r="V786" s="27">
        <f>IF($A786="","",SUMIFS(出库单!$J$4:$J$4003,出库单!$D$4:$D$4003,$A786,出库单!$K$4:$K$4003,"退货给供应商",出库单!$U$4:$U$4003,"正常",出库单!$C$4:$C$4003,"&gt;="&amp;账期起,出库单!$C$4:$C$4003,"&lt;="&amp;账期止))</f>
        <v/>
      </c>
      <c r="W786" s="26">
        <f>IF($A786="","",ROUND(SUMIFS(出库单!$S$4:$S$4003,出库单!$D$4:$D$4003,$A786,出库单!$K$4:$K$4003,"退货给供应商",出库单!$U$4:$U$4003,"正常",出库单!$C$4:$C$4003,"&gt;="&amp;账期起,出库单!$C$4:$C$4003,"&lt;="&amp;账期止),0))</f>
        <v/>
      </c>
      <c r="X786" s="27">
        <f>IF($A786="","",ROUND(N($G786)+$I786+$L786+$N786-$P786-$R786-$T786-$V786,3))</f>
        <v/>
      </c>
      <c r="Y786" s="26">
        <f>IF($A786="","",ROUND(N($H786)+$J786+$M786+$O786-$Q786-$S786-$U786-$W786,0))</f>
        <v/>
      </c>
      <c r="Z786" s="24">
        <f>IF($A786="","",IF(COUNTIFS(入库单!$G$4:$G$2503,$A786,入库单!$Y$4:$Y$2503,"待补价")+COUNTIFS(入库单!$G$4:$G$2503,$A786,入库单!$Y$4:$Y$2503,"暂估")&gt;0,"不可信","可信"))</f>
        <v/>
      </c>
      <c r="AA786" s="24">
        <f>IF($A786="","",IF($X786&lt;-0.001,"※账面负库存，查一下是不是漏记入库",IF(AND(ROUND($X786,3)=0,ABS($Y786)&gt;1),"※数量已经是 0，金额还挂着 "&amp;TEXT($Y786,"#,##0")&amp;" 先令",IF(AND($X786&gt;0,$Y786&lt;=0,$K786=0),"※有数量没金额（这个物料一直没填过进价）",IF($Z786="不可信","△成本含待补价/暂估，毛利仅供参考","")))))</f>
        <v/>
      </c>
    </row>
    <row r="787">
      <c r="A787" s="24">
        <f>IF(物料档案!$A786="","",物料档案!$A786)</f>
        <v/>
      </c>
      <c r="B787" s="24">
        <f>IF($A787="","",IFERROR(VLOOKUP($A787,物料档案!$A$4:$P$1203,3,0),""))</f>
        <v/>
      </c>
      <c r="C787" s="24">
        <f>IF($A787="","",IFERROR(VLOOKUP($A787,物料档案!$A$4:$P$1203,4,0),""))</f>
        <v/>
      </c>
      <c r="D787" s="24">
        <f>IF($A787="","",IFERROR(VLOOKUP($A787,物料档案!$A$4:$P$1203,5,0),""))</f>
        <v/>
      </c>
      <c r="E787" s="24">
        <f>IF($A787="","",IFERROR(VLOOKUP($A787,物料档案!$A$4:$P$1203,2,0),""))</f>
        <v/>
      </c>
      <c r="F787" s="24">
        <f>IF($A787="","",IFERROR(VLOOKUP($A787,物料档案!$A$4:$P$1203,6,0),""))</f>
        <v/>
      </c>
      <c r="G787" s="23" t="n"/>
      <c r="H787" s="32" t="n"/>
      <c r="I787" s="27">
        <f>IF($A787="","",SUMIFS(入库单!$K$4:$K$2503,入库单!$G$4:$G$2503,$A787,入库单!$X$4:$X$2503,"采购入库",入库单!$Z$4:$Z$2503,"正常",入库单!$C$4:$C$2503,"&gt;="&amp;账期起,入库单!$C$4:$C$2503,"&lt;="&amp;账期止))</f>
        <v/>
      </c>
      <c r="J787" s="26">
        <f>IF($A787="","",SUMIFS(入库单!$V$4:$V$2503,入库单!$G$4:$G$2503,$A787,入库单!$X$4:$X$2503,"采购入库",入库单!$Z$4:$Z$2503,"正常",入库单!$C$4:$C$2503,"&gt;="&amp;账期起,入库单!$C$4:$C$2503,"&lt;="&amp;账期止))</f>
        <v/>
      </c>
      <c r="K787" s="26">
        <f>IF($A787="","",IFERROR(ROUND((N($H787)+N($J787))/(N($G787)+N($I787)),2),0))</f>
        <v/>
      </c>
      <c r="L787" s="27">
        <f>IF($A787="","",SUMIFS(入库单!$K$4:$K$2503,入库单!$G$4:$G$2503,$A787,入库单!$X$4:$X$2503,"盘盈",入库单!$Z$4:$Z$2503,"正常",入库单!$C$4:$C$2503,"&gt;="&amp;账期起,入库单!$C$4:$C$2503,"&lt;="&amp;账期止))</f>
        <v/>
      </c>
      <c r="M787" s="26">
        <f>IF($A787="","",ROUND($L787*$K787,0))</f>
        <v/>
      </c>
      <c r="N787" s="27">
        <f>IF($A787="","",SUMIFS(入库单!$K$4:$K$2503,入库单!$G$4:$G$2503,$A787,入库单!$X$4:$X$2503,"矿区退库",入库单!$Z$4:$Z$2503,"正常",入库单!$C$4:$C$2503,"&gt;="&amp;账期起,入库单!$C$4:$C$2503,"&lt;="&amp;账期止))</f>
        <v/>
      </c>
      <c r="O787" s="26">
        <f>IF($A787="","",ROUND($N787*$K787,0))</f>
        <v/>
      </c>
      <c r="P787" s="27">
        <f>IF($A787="","",SUMIFS(出库单!$J$4:$J$4003,出库单!$D$4:$D$4003,$A787,出库单!$K$4:$K$4003,"自用消耗",出库单!$U$4:$U$4003,"正常",出库单!$C$4:$C$4003,"&gt;="&amp;账期起,出库单!$C$4:$C$4003,"&lt;="&amp;账期止))</f>
        <v/>
      </c>
      <c r="Q787" s="26">
        <f>IF($A787="","",ROUND(SUMIFS(出库单!$S$4:$S$4003,出库单!$D$4:$D$4003,$A787,出库单!$K$4:$K$4003,"自用消耗",出库单!$U$4:$U$4003,"正常",出库单!$C$4:$C$4003,"&gt;="&amp;账期起,出库单!$C$4:$C$4003,"&lt;="&amp;账期止),0))</f>
        <v/>
      </c>
      <c r="R787" s="27">
        <f>IF($A787="","",SUMIFS(出库单!$J$4:$J$4003,出库单!$D$4:$D$4003,$A787,出库单!$K$4:$K$4003,"对外销售",出库单!$U$4:$U$4003,"正常",出库单!$C$4:$C$4003,"&gt;="&amp;账期起,出库单!$C$4:$C$4003,"&lt;="&amp;账期止))</f>
        <v/>
      </c>
      <c r="S787" s="26">
        <f>IF($A787="","",ROUND(SUMIFS(出库单!$S$4:$S$4003,出库单!$D$4:$D$4003,$A787,出库单!$K$4:$K$4003,"对外销售",出库单!$U$4:$U$4003,"正常",出库单!$C$4:$C$4003,"&gt;="&amp;账期起,出库单!$C$4:$C$4003,"&lt;="&amp;账期止),0))</f>
        <v/>
      </c>
      <c r="T787" s="27">
        <f>IF($A787="","",SUMIFS(出库单!$J$4:$J$4003,出库单!$D$4:$D$4003,$A787,出库单!$K$4:$K$4003,"盘亏",出库单!$U$4:$U$4003,"正常",出库单!$C$4:$C$4003,"&gt;="&amp;账期起,出库单!$C$4:$C$4003,"&lt;="&amp;账期止))</f>
        <v/>
      </c>
      <c r="U787" s="26">
        <f>IF($A787="","",ROUND(SUMIFS(出库单!$S$4:$S$4003,出库单!$D$4:$D$4003,$A787,出库单!$K$4:$K$4003,"盘亏",出库单!$U$4:$U$4003,"正常",出库单!$C$4:$C$4003,"&gt;="&amp;账期起,出库单!$C$4:$C$4003,"&lt;="&amp;账期止),0))</f>
        <v/>
      </c>
      <c r="V787" s="27">
        <f>IF($A787="","",SUMIFS(出库单!$J$4:$J$4003,出库单!$D$4:$D$4003,$A787,出库单!$K$4:$K$4003,"退货给供应商",出库单!$U$4:$U$4003,"正常",出库单!$C$4:$C$4003,"&gt;="&amp;账期起,出库单!$C$4:$C$4003,"&lt;="&amp;账期止))</f>
        <v/>
      </c>
      <c r="W787" s="26">
        <f>IF($A787="","",ROUND(SUMIFS(出库单!$S$4:$S$4003,出库单!$D$4:$D$4003,$A787,出库单!$K$4:$K$4003,"退货给供应商",出库单!$U$4:$U$4003,"正常",出库单!$C$4:$C$4003,"&gt;="&amp;账期起,出库单!$C$4:$C$4003,"&lt;="&amp;账期止),0))</f>
        <v/>
      </c>
      <c r="X787" s="27">
        <f>IF($A787="","",ROUND(N($G787)+$I787+$L787+$N787-$P787-$R787-$T787-$V787,3))</f>
        <v/>
      </c>
      <c r="Y787" s="26">
        <f>IF($A787="","",ROUND(N($H787)+$J787+$M787+$O787-$Q787-$S787-$U787-$W787,0))</f>
        <v/>
      </c>
      <c r="Z787" s="24">
        <f>IF($A787="","",IF(COUNTIFS(入库单!$G$4:$G$2503,$A787,入库单!$Y$4:$Y$2503,"待补价")+COUNTIFS(入库单!$G$4:$G$2503,$A787,入库单!$Y$4:$Y$2503,"暂估")&gt;0,"不可信","可信"))</f>
        <v/>
      </c>
      <c r="AA787" s="24">
        <f>IF($A787="","",IF($X787&lt;-0.001,"※账面负库存，查一下是不是漏记入库",IF(AND(ROUND($X787,3)=0,ABS($Y787)&gt;1),"※数量已经是 0，金额还挂着 "&amp;TEXT($Y787,"#,##0")&amp;" 先令",IF(AND($X787&gt;0,$Y787&lt;=0,$K787=0),"※有数量没金额（这个物料一直没填过进价）",IF($Z787="不可信","△成本含待补价/暂估，毛利仅供参考","")))))</f>
        <v/>
      </c>
    </row>
    <row r="788">
      <c r="A788" s="24">
        <f>IF(物料档案!$A787="","",物料档案!$A787)</f>
        <v/>
      </c>
      <c r="B788" s="24">
        <f>IF($A788="","",IFERROR(VLOOKUP($A788,物料档案!$A$4:$P$1203,3,0),""))</f>
        <v/>
      </c>
      <c r="C788" s="24">
        <f>IF($A788="","",IFERROR(VLOOKUP($A788,物料档案!$A$4:$P$1203,4,0),""))</f>
        <v/>
      </c>
      <c r="D788" s="24">
        <f>IF($A788="","",IFERROR(VLOOKUP($A788,物料档案!$A$4:$P$1203,5,0),""))</f>
        <v/>
      </c>
      <c r="E788" s="24">
        <f>IF($A788="","",IFERROR(VLOOKUP($A788,物料档案!$A$4:$P$1203,2,0),""))</f>
        <v/>
      </c>
      <c r="F788" s="24">
        <f>IF($A788="","",IFERROR(VLOOKUP($A788,物料档案!$A$4:$P$1203,6,0),""))</f>
        <v/>
      </c>
      <c r="G788" s="23" t="n"/>
      <c r="H788" s="32" t="n"/>
      <c r="I788" s="27">
        <f>IF($A788="","",SUMIFS(入库单!$K$4:$K$2503,入库单!$G$4:$G$2503,$A788,入库单!$X$4:$X$2503,"采购入库",入库单!$Z$4:$Z$2503,"正常",入库单!$C$4:$C$2503,"&gt;="&amp;账期起,入库单!$C$4:$C$2503,"&lt;="&amp;账期止))</f>
        <v/>
      </c>
      <c r="J788" s="26">
        <f>IF($A788="","",SUMIFS(入库单!$V$4:$V$2503,入库单!$G$4:$G$2503,$A788,入库单!$X$4:$X$2503,"采购入库",入库单!$Z$4:$Z$2503,"正常",入库单!$C$4:$C$2503,"&gt;="&amp;账期起,入库单!$C$4:$C$2503,"&lt;="&amp;账期止))</f>
        <v/>
      </c>
      <c r="K788" s="26">
        <f>IF($A788="","",IFERROR(ROUND((N($H788)+N($J788))/(N($G788)+N($I788)),2),0))</f>
        <v/>
      </c>
      <c r="L788" s="27">
        <f>IF($A788="","",SUMIFS(入库单!$K$4:$K$2503,入库单!$G$4:$G$2503,$A788,入库单!$X$4:$X$2503,"盘盈",入库单!$Z$4:$Z$2503,"正常",入库单!$C$4:$C$2503,"&gt;="&amp;账期起,入库单!$C$4:$C$2503,"&lt;="&amp;账期止))</f>
        <v/>
      </c>
      <c r="M788" s="26">
        <f>IF($A788="","",ROUND($L788*$K788,0))</f>
        <v/>
      </c>
      <c r="N788" s="27">
        <f>IF($A788="","",SUMIFS(入库单!$K$4:$K$2503,入库单!$G$4:$G$2503,$A788,入库单!$X$4:$X$2503,"矿区退库",入库单!$Z$4:$Z$2503,"正常",入库单!$C$4:$C$2503,"&gt;="&amp;账期起,入库单!$C$4:$C$2503,"&lt;="&amp;账期止))</f>
        <v/>
      </c>
      <c r="O788" s="26">
        <f>IF($A788="","",ROUND($N788*$K788,0))</f>
        <v/>
      </c>
      <c r="P788" s="27">
        <f>IF($A788="","",SUMIFS(出库单!$J$4:$J$4003,出库单!$D$4:$D$4003,$A788,出库单!$K$4:$K$4003,"自用消耗",出库单!$U$4:$U$4003,"正常",出库单!$C$4:$C$4003,"&gt;="&amp;账期起,出库单!$C$4:$C$4003,"&lt;="&amp;账期止))</f>
        <v/>
      </c>
      <c r="Q788" s="26">
        <f>IF($A788="","",ROUND(SUMIFS(出库单!$S$4:$S$4003,出库单!$D$4:$D$4003,$A788,出库单!$K$4:$K$4003,"自用消耗",出库单!$U$4:$U$4003,"正常",出库单!$C$4:$C$4003,"&gt;="&amp;账期起,出库单!$C$4:$C$4003,"&lt;="&amp;账期止),0))</f>
        <v/>
      </c>
      <c r="R788" s="27">
        <f>IF($A788="","",SUMIFS(出库单!$J$4:$J$4003,出库单!$D$4:$D$4003,$A788,出库单!$K$4:$K$4003,"对外销售",出库单!$U$4:$U$4003,"正常",出库单!$C$4:$C$4003,"&gt;="&amp;账期起,出库单!$C$4:$C$4003,"&lt;="&amp;账期止))</f>
        <v/>
      </c>
      <c r="S788" s="26">
        <f>IF($A788="","",ROUND(SUMIFS(出库单!$S$4:$S$4003,出库单!$D$4:$D$4003,$A788,出库单!$K$4:$K$4003,"对外销售",出库单!$U$4:$U$4003,"正常",出库单!$C$4:$C$4003,"&gt;="&amp;账期起,出库单!$C$4:$C$4003,"&lt;="&amp;账期止),0))</f>
        <v/>
      </c>
      <c r="T788" s="27">
        <f>IF($A788="","",SUMIFS(出库单!$J$4:$J$4003,出库单!$D$4:$D$4003,$A788,出库单!$K$4:$K$4003,"盘亏",出库单!$U$4:$U$4003,"正常",出库单!$C$4:$C$4003,"&gt;="&amp;账期起,出库单!$C$4:$C$4003,"&lt;="&amp;账期止))</f>
        <v/>
      </c>
      <c r="U788" s="26">
        <f>IF($A788="","",ROUND(SUMIFS(出库单!$S$4:$S$4003,出库单!$D$4:$D$4003,$A788,出库单!$K$4:$K$4003,"盘亏",出库单!$U$4:$U$4003,"正常",出库单!$C$4:$C$4003,"&gt;="&amp;账期起,出库单!$C$4:$C$4003,"&lt;="&amp;账期止),0))</f>
        <v/>
      </c>
      <c r="V788" s="27">
        <f>IF($A788="","",SUMIFS(出库单!$J$4:$J$4003,出库单!$D$4:$D$4003,$A788,出库单!$K$4:$K$4003,"退货给供应商",出库单!$U$4:$U$4003,"正常",出库单!$C$4:$C$4003,"&gt;="&amp;账期起,出库单!$C$4:$C$4003,"&lt;="&amp;账期止))</f>
        <v/>
      </c>
      <c r="W788" s="26">
        <f>IF($A788="","",ROUND(SUMIFS(出库单!$S$4:$S$4003,出库单!$D$4:$D$4003,$A788,出库单!$K$4:$K$4003,"退货给供应商",出库单!$U$4:$U$4003,"正常",出库单!$C$4:$C$4003,"&gt;="&amp;账期起,出库单!$C$4:$C$4003,"&lt;="&amp;账期止),0))</f>
        <v/>
      </c>
      <c r="X788" s="27">
        <f>IF($A788="","",ROUND(N($G788)+$I788+$L788+$N788-$P788-$R788-$T788-$V788,3))</f>
        <v/>
      </c>
      <c r="Y788" s="26">
        <f>IF($A788="","",ROUND(N($H788)+$J788+$M788+$O788-$Q788-$S788-$U788-$W788,0))</f>
        <v/>
      </c>
      <c r="Z788" s="24">
        <f>IF($A788="","",IF(COUNTIFS(入库单!$G$4:$G$2503,$A788,入库单!$Y$4:$Y$2503,"待补价")+COUNTIFS(入库单!$G$4:$G$2503,$A788,入库单!$Y$4:$Y$2503,"暂估")&gt;0,"不可信","可信"))</f>
        <v/>
      </c>
      <c r="AA788" s="24">
        <f>IF($A788="","",IF($X788&lt;-0.001,"※账面负库存，查一下是不是漏记入库",IF(AND(ROUND($X788,3)=0,ABS($Y788)&gt;1),"※数量已经是 0，金额还挂着 "&amp;TEXT($Y788,"#,##0")&amp;" 先令",IF(AND($X788&gt;0,$Y788&lt;=0,$K788=0),"※有数量没金额（这个物料一直没填过进价）",IF($Z788="不可信","△成本含待补价/暂估，毛利仅供参考","")))))</f>
        <v/>
      </c>
    </row>
    <row r="789">
      <c r="A789" s="24">
        <f>IF(物料档案!$A788="","",物料档案!$A788)</f>
        <v/>
      </c>
      <c r="B789" s="24">
        <f>IF($A789="","",IFERROR(VLOOKUP($A789,物料档案!$A$4:$P$1203,3,0),""))</f>
        <v/>
      </c>
      <c r="C789" s="24">
        <f>IF($A789="","",IFERROR(VLOOKUP($A789,物料档案!$A$4:$P$1203,4,0),""))</f>
        <v/>
      </c>
      <c r="D789" s="24">
        <f>IF($A789="","",IFERROR(VLOOKUP($A789,物料档案!$A$4:$P$1203,5,0),""))</f>
        <v/>
      </c>
      <c r="E789" s="24">
        <f>IF($A789="","",IFERROR(VLOOKUP($A789,物料档案!$A$4:$P$1203,2,0),""))</f>
        <v/>
      </c>
      <c r="F789" s="24">
        <f>IF($A789="","",IFERROR(VLOOKUP($A789,物料档案!$A$4:$P$1203,6,0),""))</f>
        <v/>
      </c>
      <c r="G789" s="23" t="n"/>
      <c r="H789" s="32" t="n"/>
      <c r="I789" s="27">
        <f>IF($A789="","",SUMIFS(入库单!$K$4:$K$2503,入库单!$G$4:$G$2503,$A789,入库单!$X$4:$X$2503,"采购入库",入库单!$Z$4:$Z$2503,"正常",入库单!$C$4:$C$2503,"&gt;="&amp;账期起,入库单!$C$4:$C$2503,"&lt;="&amp;账期止))</f>
        <v/>
      </c>
      <c r="J789" s="26">
        <f>IF($A789="","",SUMIFS(入库单!$V$4:$V$2503,入库单!$G$4:$G$2503,$A789,入库单!$X$4:$X$2503,"采购入库",入库单!$Z$4:$Z$2503,"正常",入库单!$C$4:$C$2503,"&gt;="&amp;账期起,入库单!$C$4:$C$2503,"&lt;="&amp;账期止))</f>
        <v/>
      </c>
      <c r="K789" s="26">
        <f>IF($A789="","",IFERROR(ROUND((N($H789)+N($J789))/(N($G789)+N($I789)),2),0))</f>
        <v/>
      </c>
      <c r="L789" s="27">
        <f>IF($A789="","",SUMIFS(入库单!$K$4:$K$2503,入库单!$G$4:$G$2503,$A789,入库单!$X$4:$X$2503,"盘盈",入库单!$Z$4:$Z$2503,"正常",入库单!$C$4:$C$2503,"&gt;="&amp;账期起,入库单!$C$4:$C$2503,"&lt;="&amp;账期止))</f>
        <v/>
      </c>
      <c r="M789" s="26">
        <f>IF($A789="","",ROUND($L789*$K789,0))</f>
        <v/>
      </c>
      <c r="N789" s="27">
        <f>IF($A789="","",SUMIFS(入库单!$K$4:$K$2503,入库单!$G$4:$G$2503,$A789,入库单!$X$4:$X$2503,"矿区退库",入库单!$Z$4:$Z$2503,"正常",入库单!$C$4:$C$2503,"&gt;="&amp;账期起,入库单!$C$4:$C$2503,"&lt;="&amp;账期止))</f>
        <v/>
      </c>
      <c r="O789" s="26">
        <f>IF($A789="","",ROUND($N789*$K789,0))</f>
        <v/>
      </c>
      <c r="P789" s="27">
        <f>IF($A789="","",SUMIFS(出库单!$J$4:$J$4003,出库单!$D$4:$D$4003,$A789,出库单!$K$4:$K$4003,"自用消耗",出库单!$U$4:$U$4003,"正常",出库单!$C$4:$C$4003,"&gt;="&amp;账期起,出库单!$C$4:$C$4003,"&lt;="&amp;账期止))</f>
        <v/>
      </c>
      <c r="Q789" s="26">
        <f>IF($A789="","",ROUND(SUMIFS(出库单!$S$4:$S$4003,出库单!$D$4:$D$4003,$A789,出库单!$K$4:$K$4003,"自用消耗",出库单!$U$4:$U$4003,"正常",出库单!$C$4:$C$4003,"&gt;="&amp;账期起,出库单!$C$4:$C$4003,"&lt;="&amp;账期止),0))</f>
        <v/>
      </c>
      <c r="R789" s="27">
        <f>IF($A789="","",SUMIFS(出库单!$J$4:$J$4003,出库单!$D$4:$D$4003,$A789,出库单!$K$4:$K$4003,"对外销售",出库单!$U$4:$U$4003,"正常",出库单!$C$4:$C$4003,"&gt;="&amp;账期起,出库单!$C$4:$C$4003,"&lt;="&amp;账期止))</f>
        <v/>
      </c>
      <c r="S789" s="26">
        <f>IF($A789="","",ROUND(SUMIFS(出库单!$S$4:$S$4003,出库单!$D$4:$D$4003,$A789,出库单!$K$4:$K$4003,"对外销售",出库单!$U$4:$U$4003,"正常",出库单!$C$4:$C$4003,"&gt;="&amp;账期起,出库单!$C$4:$C$4003,"&lt;="&amp;账期止),0))</f>
        <v/>
      </c>
      <c r="T789" s="27">
        <f>IF($A789="","",SUMIFS(出库单!$J$4:$J$4003,出库单!$D$4:$D$4003,$A789,出库单!$K$4:$K$4003,"盘亏",出库单!$U$4:$U$4003,"正常",出库单!$C$4:$C$4003,"&gt;="&amp;账期起,出库单!$C$4:$C$4003,"&lt;="&amp;账期止))</f>
        <v/>
      </c>
      <c r="U789" s="26">
        <f>IF($A789="","",ROUND(SUMIFS(出库单!$S$4:$S$4003,出库单!$D$4:$D$4003,$A789,出库单!$K$4:$K$4003,"盘亏",出库单!$U$4:$U$4003,"正常",出库单!$C$4:$C$4003,"&gt;="&amp;账期起,出库单!$C$4:$C$4003,"&lt;="&amp;账期止),0))</f>
        <v/>
      </c>
      <c r="V789" s="27">
        <f>IF($A789="","",SUMIFS(出库单!$J$4:$J$4003,出库单!$D$4:$D$4003,$A789,出库单!$K$4:$K$4003,"退货给供应商",出库单!$U$4:$U$4003,"正常",出库单!$C$4:$C$4003,"&gt;="&amp;账期起,出库单!$C$4:$C$4003,"&lt;="&amp;账期止))</f>
        <v/>
      </c>
      <c r="W789" s="26">
        <f>IF($A789="","",ROUND(SUMIFS(出库单!$S$4:$S$4003,出库单!$D$4:$D$4003,$A789,出库单!$K$4:$K$4003,"退货给供应商",出库单!$U$4:$U$4003,"正常",出库单!$C$4:$C$4003,"&gt;="&amp;账期起,出库单!$C$4:$C$4003,"&lt;="&amp;账期止),0))</f>
        <v/>
      </c>
      <c r="X789" s="27">
        <f>IF($A789="","",ROUND(N($G789)+$I789+$L789+$N789-$P789-$R789-$T789-$V789,3))</f>
        <v/>
      </c>
      <c r="Y789" s="26">
        <f>IF($A789="","",ROUND(N($H789)+$J789+$M789+$O789-$Q789-$S789-$U789-$W789,0))</f>
        <v/>
      </c>
      <c r="Z789" s="24">
        <f>IF($A789="","",IF(COUNTIFS(入库单!$G$4:$G$2503,$A789,入库单!$Y$4:$Y$2503,"待补价")+COUNTIFS(入库单!$G$4:$G$2503,$A789,入库单!$Y$4:$Y$2503,"暂估")&gt;0,"不可信","可信"))</f>
        <v/>
      </c>
      <c r="AA789" s="24">
        <f>IF($A789="","",IF($X789&lt;-0.001,"※账面负库存，查一下是不是漏记入库",IF(AND(ROUND($X789,3)=0,ABS($Y789)&gt;1),"※数量已经是 0，金额还挂着 "&amp;TEXT($Y789,"#,##0")&amp;" 先令",IF(AND($X789&gt;0,$Y789&lt;=0,$K789=0),"※有数量没金额（这个物料一直没填过进价）",IF($Z789="不可信","△成本含待补价/暂估，毛利仅供参考","")))))</f>
        <v/>
      </c>
    </row>
    <row r="790">
      <c r="A790" s="24">
        <f>IF(物料档案!$A789="","",物料档案!$A789)</f>
        <v/>
      </c>
      <c r="B790" s="24">
        <f>IF($A790="","",IFERROR(VLOOKUP($A790,物料档案!$A$4:$P$1203,3,0),""))</f>
        <v/>
      </c>
      <c r="C790" s="24">
        <f>IF($A790="","",IFERROR(VLOOKUP($A790,物料档案!$A$4:$P$1203,4,0),""))</f>
        <v/>
      </c>
      <c r="D790" s="24">
        <f>IF($A790="","",IFERROR(VLOOKUP($A790,物料档案!$A$4:$P$1203,5,0),""))</f>
        <v/>
      </c>
      <c r="E790" s="24">
        <f>IF($A790="","",IFERROR(VLOOKUP($A790,物料档案!$A$4:$P$1203,2,0),""))</f>
        <v/>
      </c>
      <c r="F790" s="24">
        <f>IF($A790="","",IFERROR(VLOOKUP($A790,物料档案!$A$4:$P$1203,6,0),""))</f>
        <v/>
      </c>
      <c r="G790" s="23" t="n"/>
      <c r="H790" s="32" t="n"/>
      <c r="I790" s="27">
        <f>IF($A790="","",SUMIFS(入库单!$K$4:$K$2503,入库单!$G$4:$G$2503,$A790,入库单!$X$4:$X$2503,"采购入库",入库单!$Z$4:$Z$2503,"正常",入库单!$C$4:$C$2503,"&gt;="&amp;账期起,入库单!$C$4:$C$2503,"&lt;="&amp;账期止))</f>
        <v/>
      </c>
      <c r="J790" s="26">
        <f>IF($A790="","",SUMIFS(入库单!$V$4:$V$2503,入库单!$G$4:$G$2503,$A790,入库单!$X$4:$X$2503,"采购入库",入库单!$Z$4:$Z$2503,"正常",入库单!$C$4:$C$2503,"&gt;="&amp;账期起,入库单!$C$4:$C$2503,"&lt;="&amp;账期止))</f>
        <v/>
      </c>
      <c r="K790" s="26">
        <f>IF($A790="","",IFERROR(ROUND((N($H790)+N($J790))/(N($G790)+N($I790)),2),0))</f>
        <v/>
      </c>
      <c r="L790" s="27">
        <f>IF($A790="","",SUMIFS(入库单!$K$4:$K$2503,入库单!$G$4:$G$2503,$A790,入库单!$X$4:$X$2503,"盘盈",入库单!$Z$4:$Z$2503,"正常",入库单!$C$4:$C$2503,"&gt;="&amp;账期起,入库单!$C$4:$C$2503,"&lt;="&amp;账期止))</f>
        <v/>
      </c>
      <c r="M790" s="26">
        <f>IF($A790="","",ROUND($L790*$K790,0))</f>
        <v/>
      </c>
      <c r="N790" s="27">
        <f>IF($A790="","",SUMIFS(入库单!$K$4:$K$2503,入库单!$G$4:$G$2503,$A790,入库单!$X$4:$X$2503,"矿区退库",入库单!$Z$4:$Z$2503,"正常",入库单!$C$4:$C$2503,"&gt;="&amp;账期起,入库单!$C$4:$C$2503,"&lt;="&amp;账期止))</f>
        <v/>
      </c>
      <c r="O790" s="26">
        <f>IF($A790="","",ROUND($N790*$K790,0))</f>
        <v/>
      </c>
      <c r="P790" s="27">
        <f>IF($A790="","",SUMIFS(出库单!$J$4:$J$4003,出库单!$D$4:$D$4003,$A790,出库单!$K$4:$K$4003,"自用消耗",出库单!$U$4:$U$4003,"正常",出库单!$C$4:$C$4003,"&gt;="&amp;账期起,出库单!$C$4:$C$4003,"&lt;="&amp;账期止))</f>
        <v/>
      </c>
      <c r="Q790" s="26">
        <f>IF($A790="","",ROUND(SUMIFS(出库单!$S$4:$S$4003,出库单!$D$4:$D$4003,$A790,出库单!$K$4:$K$4003,"自用消耗",出库单!$U$4:$U$4003,"正常",出库单!$C$4:$C$4003,"&gt;="&amp;账期起,出库单!$C$4:$C$4003,"&lt;="&amp;账期止),0))</f>
        <v/>
      </c>
      <c r="R790" s="27">
        <f>IF($A790="","",SUMIFS(出库单!$J$4:$J$4003,出库单!$D$4:$D$4003,$A790,出库单!$K$4:$K$4003,"对外销售",出库单!$U$4:$U$4003,"正常",出库单!$C$4:$C$4003,"&gt;="&amp;账期起,出库单!$C$4:$C$4003,"&lt;="&amp;账期止))</f>
        <v/>
      </c>
      <c r="S790" s="26">
        <f>IF($A790="","",ROUND(SUMIFS(出库单!$S$4:$S$4003,出库单!$D$4:$D$4003,$A790,出库单!$K$4:$K$4003,"对外销售",出库单!$U$4:$U$4003,"正常",出库单!$C$4:$C$4003,"&gt;="&amp;账期起,出库单!$C$4:$C$4003,"&lt;="&amp;账期止),0))</f>
        <v/>
      </c>
      <c r="T790" s="27">
        <f>IF($A790="","",SUMIFS(出库单!$J$4:$J$4003,出库单!$D$4:$D$4003,$A790,出库单!$K$4:$K$4003,"盘亏",出库单!$U$4:$U$4003,"正常",出库单!$C$4:$C$4003,"&gt;="&amp;账期起,出库单!$C$4:$C$4003,"&lt;="&amp;账期止))</f>
        <v/>
      </c>
      <c r="U790" s="26">
        <f>IF($A790="","",ROUND(SUMIFS(出库单!$S$4:$S$4003,出库单!$D$4:$D$4003,$A790,出库单!$K$4:$K$4003,"盘亏",出库单!$U$4:$U$4003,"正常",出库单!$C$4:$C$4003,"&gt;="&amp;账期起,出库单!$C$4:$C$4003,"&lt;="&amp;账期止),0))</f>
        <v/>
      </c>
      <c r="V790" s="27">
        <f>IF($A790="","",SUMIFS(出库单!$J$4:$J$4003,出库单!$D$4:$D$4003,$A790,出库单!$K$4:$K$4003,"退货给供应商",出库单!$U$4:$U$4003,"正常",出库单!$C$4:$C$4003,"&gt;="&amp;账期起,出库单!$C$4:$C$4003,"&lt;="&amp;账期止))</f>
        <v/>
      </c>
      <c r="W790" s="26">
        <f>IF($A790="","",ROUND(SUMIFS(出库单!$S$4:$S$4003,出库单!$D$4:$D$4003,$A790,出库单!$K$4:$K$4003,"退货给供应商",出库单!$U$4:$U$4003,"正常",出库单!$C$4:$C$4003,"&gt;="&amp;账期起,出库单!$C$4:$C$4003,"&lt;="&amp;账期止),0))</f>
        <v/>
      </c>
      <c r="X790" s="27">
        <f>IF($A790="","",ROUND(N($G790)+$I790+$L790+$N790-$P790-$R790-$T790-$V790,3))</f>
        <v/>
      </c>
      <c r="Y790" s="26">
        <f>IF($A790="","",ROUND(N($H790)+$J790+$M790+$O790-$Q790-$S790-$U790-$W790,0))</f>
        <v/>
      </c>
      <c r="Z790" s="24">
        <f>IF($A790="","",IF(COUNTIFS(入库单!$G$4:$G$2503,$A790,入库单!$Y$4:$Y$2503,"待补价")+COUNTIFS(入库单!$G$4:$G$2503,$A790,入库单!$Y$4:$Y$2503,"暂估")&gt;0,"不可信","可信"))</f>
        <v/>
      </c>
      <c r="AA790" s="24">
        <f>IF($A790="","",IF($X790&lt;-0.001,"※账面负库存，查一下是不是漏记入库",IF(AND(ROUND($X790,3)=0,ABS($Y790)&gt;1),"※数量已经是 0，金额还挂着 "&amp;TEXT($Y790,"#,##0")&amp;" 先令",IF(AND($X790&gt;0,$Y790&lt;=0,$K790=0),"※有数量没金额（这个物料一直没填过进价）",IF($Z790="不可信","△成本含待补价/暂估，毛利仅供参考","")))))</f>
        <v/>
      </c>
    </row>
    <row r="791">
      <c r="A791" s="24">
        <f>IF(物料档案!$A790="","",物料档案!$A790)</f>
        <v/>
      </c>
      <c r="B791" s="24">
        <f>IF($A791="","",IFERROR(VLOOKUP($A791,物料档案!$A$4:$P$1203,3,0),""))</f>
        <v/>
      </c>
      <c r="C791" s="24">
        <f>IF($A791="","",IFERROR(VLOOKUP($A791,物料档案!$A$4:$P$1203,4,0),""))</f>
        <v/>
      </c>
      <c r="D791" s="24">
        <f>IF($A791="","",IFERROR(VLOOKUP($A791,物料档案!$A$4:$P$1203,5,0),""))</f>
        <v/>
      </c>
      <c r="E791" s="24">
        <f>IF($A791="","",IFERROR(VLOOKUP($A791,物料档案!$A$4:$P$1203,2,0),""))</f>
        <v/>
      </c>
      <c r="F791" s="24">
        <f>IF($A791="","",IFERROR(VLOOKUP($A791,物料档案!$A$4:$P$1203,6,0),""))</f>
        <v/>
      </c>
      <c r="G791" s="23" t="n"/>
      <c r="H791" s="32" t="n"/>
      <c r="I791" s="27">
        <f>IF($A791="","",SUMIFS(入库单!$K$4:$K$2503,入库单!$G$4:$G$2503,$A791,入库单!$X$4:$X$2503,"采购入库",入库单!$Z$4:$Z$2503,"正常",入库单!$C$4:$C$2503,"&gt;="&amp;账期起,入库单!$C$4:$C$2503,"&lt;="&amp;账期止))</f>
        <v/>
      </c>
      <c r="J791" s="26">
        <f>IF($A791="","",SUMIFS(入库单!$V$4:$V$2503,入库单!$G$4:$G$2503,$A791,入库单!$X$4:$X$2503,"采购入库",入库单!$Z$4:$Z$2503,"正常",入库单!$C$4:$C$2503,"&gt;="&amp;账期起,入库单!$C$4:$C$2503,"&lt;="&amp;账期止))</f>
        <v/>
      </c>
      <c r="K791" s="26">
        <f>IF($A791="","",IFERROR(ROUND((N($H791)+N($J791))/(N($G791)+N($I791)),2),0))</f>
        <v/>
      </c>
      <c r="L791" s="27">
        <f>IF($A791="","",SUMIFS(入库单!$K$4:$K$2503,入库单!$G$4:$G$2503,$A791,入库单!$X$4:$X$2503,"盘盈",入库单!$Z$4:$Z$2503,"正常",入库单!$C$4:$C$2503,"&gt;="&amp;账期起,入库单!$C$4:$C$2503,"&lt;="&amp;账期止))</f>
        <v/>
      </c>
      <c r="M791" s="26">
        <f>IF($A791="","",ROUND($L791*$K791,0))</f>
        <v/>
      </c>
      <c r="N791" s="27">
        <f>IF($A791="","",SUMIFS(入库单!$K$4:$K$2503,入库单!$G$4:$G$2503,$A791,入库单!$X$4:$X$2503,"矿区退库",入库单!$Z$4:$Z$2503,"正常",入库单!$C$4:$C$2503,"&gt;="&amp;账期起,入库单!$C$4:$C$2503,"&lt;="&amp;账期止))</f>
        <v/>
      </c>
      <c r="O791" s="26">
        <f>IF($A791="","",ROUND($N791*$K791,0))</f>
        <v/>
      </c>
      <c r="P791" s="27">
        <f>IF($A791="","",SUMIFS(出库单!$J$4:$J$4003,出库单!$D$4:$D$4003,$A791,出库单!$K$4:$K$4003,"自用消耗",出库单!$U$4:$U$4003,"正常",出库单!$C$4:$C$4003,"&gt;="&amp;账期起,出库单!$C$4:$C$4003,"&lt;="&amp;账期止))</f>
        <v/>
      </c>
      <c r="Q791" s="26">
        <f>IF($A791="","",ROUND(SUMIFS(出库单!$S$4:$S$4003,出库单!$D$4:$D$4003,$A791,出库单!$K$4:$K$4003,"自用消耗",出库单!$U$4:$U$4003,"正常",出库单!$C$4:$C$4003,"&gt;="&amp;账期起,出库单!$C$4:$C$4003,"&lt;="&amp;账期止),0))</f>
        <v/>
      </c>
      <c r="R791" s="27">
        <f>IF($A791="","",SUMIFS(出库单!$J$4:$J$4003,出库单!$D$4:$D$4003,$A791,出库单!$K$4:$K$4003,"对外销售",出库单!$U$4:$U$4003,"正常",出库单!$C$4:$C$4003,"&gt;="&amp;账期起,出库单!$C$4:$C$4003,"&lt;="&amp;账期止))</f>
        <v/>
      </c>
      <c r="S791" s="26">
        <f>IF($A791="","",ROUND(SUMIFS(出库单!$S$4:$S$4003,出库单!$D$4:$D$4003,$A791,出库单!$K$4:$K$4003,"对外销售",出库单!$U$4:$U$4003,"正常",出库单!$C$4:$C$4003,"&gt;="&amp;账期起,出库单!$C$4:$C$4003,"&lt;="&amp;账期止),0))</f>
        <v/>
      </c>
      <c r="T791" s="27">
        <f>IF($A791="","",SUMIFS(出库单!$J$4:$J$4003,出库单!$D$4:$D$4003,$A791,出库单!$K$4:$K$4003,"盘亏",出库单!$U$4:$U$4003,"正常",出库单!$C$4:$C$4003,"&gt;="&amp;账期起,出库单!$C$4:$C$4003,"&lt;="&amp;账期止))</f>
        <v/>
      </c>
      <c r="U791" s="26">
        <f>IF($A791="","",ROUND(SUMIFS(出库单!$S$4:$S$4003,出库单!$D$4:$D$4003,$A791,出库单!$K$4:$K$4003,"盘亏",出库单!$U$4:$U$4003,"正常",出库单!$C$4:$C$4003,"&gt;="&amp;账期起,出库单!$C$4:$C$4003,"&lt;="&amp;账期止),0))</f>
        <v/>
      </c>
      <c r="V791" s="27">
        <f>IF($A791="","",SUMIFS(出库单!$J$4:$J$4003,出库单!$D$4:$D$4003,$A791,出库单!$K$4:$K$4003,"退货给供应商",出库单!$U$4:$U$4003,"正常",出库单!$C$4:$C$4003,"&gt;="&amp;账期起,出库单!$C$4:$C$4003,"&lt;="&amp;账期止))</f>
        <v/>
      </c>
      <c r="W791" s="26">
        <f>IF($A791="","",ROUND(SUMIFS(出库单!$S$4:$S$4003,出库单!$D$4:$D$4003,$A791,出库单!$K$4:$K$4003,"退货给供应商",出库单!$U$4:$U$4003,"正常",出库单!$C$4:$C$4003,"&gt;="&amp;账期起,出库单!$C$4:$C$4003,"&lt;="&amp;账期止),0))</f>
        <v/>
      </c>
      <c r="X791" s="27">
        <f>IF($A791="","",ROUND(N($G791)+$I791+$L791+$N791-$P791-$R791-$T791-$V791,3))</f>
        <v/>
      </c>
      <c r="Y791" s="26">
        <f>IF($A791="","",ROUND(N($H791)+$J791+$M791+$O791-$Q791-$S791-$U791-$W791,0))</f>
        <v/>
      </c>
      <c r="Z791" s="24">
        <f>IF($A791="","",IF(COUNTIFS(入库单!$G$4:$G$2503,$A791,入库单!$Y$4:$Y$2503,"待补价")+COUNTIFS(入库单!$G$4:$G$2503,$A791,入库单!$Y$4:$Y$2503,"暂估")&gt;0,"不可信","可信"))</f>
        <v/>
      </c>
      <c r="AA791" s="24">
        <f>IF($A791="","",IF($X791&lt;-0.001,"※账面负库存，查一下是不是漏记入库",IF(AND(ROUND($X791,3)=0,ABS($Y791)&gt;1),"※数量已经是 0，金额还挂着 "&amp;TEXT($Y791,"#,##0")&amp;" 先令",IF(AND($X791&gt;0,$Y791&lt;=0,$K791=0),"※有数量没金额（这个物料一直没填过进价）",IF($Z791="不可信","△成本含待补价/暂估，毛利仅供参考","")))))</f>
        <v/>
      </c>
    </row>
    <row r="792">
      <c r="A792" s="24">
        <f>IF(物料档案!$A791="","",物料档案!$A791)</f>
        <v/>
      </c>
      <c r="B792" s="24">
        <f>IF($A792="","",IFERROR(VLOOKUP($A792,物料档案!$A$4:$P$1203,3,0),""))</f>
        <v/>
      </c>
      <c r="C792" s="24">
        <f>IF($A792="","",IFERROR(VLOOKUP($A792,物料档案!$A$4:$P$1203,4,0),""))</f>
        <v/>
      </c>
      <c r="D792" s="24">
        <f>IF($A792="","",IFERROR(VLOOKUP($A792,物料档案!$A$4:$P$1203,5,0),""))</f>
        <v/>
      </c>
      <c r="E792" s="24">
        <f>IF($A792="","",IFERROR(VLOOKUP($A792,物料档案!$A$4:$P$1203,2,0),""))</f>
        <v/>
      </c>
      <c r="F792" s="24">
        <f>IF($A792="","",IFERROR(VLOOKUP($A792,物料档案!$A$4:$P$1203,6,0),""))</f>
        <v/>
      </c>
      <c r="G792" s="23" t="n"/>
      <c r="H792" s="32" t="n"/>
      <c r="I792" s="27">
        <f>IF($A792="","",SUMIFS(入库单!$K$4:$K$2503,入库单!$G$4:$G$2503,$A792,入库单!$X$4:$X$2503,"采购入库",入库单!$Z$4:$Z$2503,"正常",入库单!$C$4:$C$2503,"&gt;="&amp;账期起,入库单!$C$4:$C$2503,"&lt;="&amp;账期止))</f>
        <v/>
      </c>
      <c r="J792" s="26">
        <f>IF($A792="","",SUMIFS(入库单!$V$4:$V$2503,入库单!$G$4:$G$2503,$A792,入库单!$X$4:$X$2503,"采购入库",入库单!$Z$4:$Z$2503,"正常",入库单!$C$4:$C$2503,"&gt;="&amp;账期起,入库单!$C$4:$C$2503,"&lt;="&amp;账期止))</f>
        <v/>
      </c>
      <c r="K792" s="26">
        <f>IF($A792="","",IFERROR(ROUND((N($H792)+N($J792))/(N($G792)+N($I792)),2),0))</f>
        <v/>
      </c>
      <c r="L792" s="27">
        <f>IF($A792="","",SUMIFS(入库单!$K$4:$K$2503,入库单!$G$4:$G$2503,$A792,入库单!$X$4:$X$2503,"盘盈",入库单!$Z$4:$Z$2503,"正常",入库单!$C$4:$C$2503,"&gt;="&amp;账期起,入库单!$C$4:$C$2503,"&lt;="&amp;账期止))</f>
        <v/>
      </c>
      <c r="M792" s="26">
        <f>IF($A792="","",ROUND($L792*$K792,0))</f>
        <v/>
      </c>
      <c r="N792" s="27">
        <f>IF($A792="","",SUMIFS(入库单!$K$4:$K$2503,入库单!$G$4:$G$2503,$A792,入库单!$X$4:$X$2503,"矿区退库",入库单!$Z$4:$Z$2503,"正常",入库单!$C$4:$C$2503,"&gt;="&amp;账期起,入库单!$C$4:$C$2503,"&lt;="&amp;账期止))</f>
        <v/>
      </c>
      <c r="O792" s="26">
        <f>IF($A792="","",ROUND($N792*$K792,0))</f>
        <v/>
      </c>
      <c r="P792" s="27">
        <f>IF($A792="","",SUMIFS(出库单!$J$4:$J$4003,出库单!$D$4:$D$4003,$A792,出库单!$K$4:$K$4003,"自用消耗",出库单!$U$4:$U$4003,"正常",出库单!$C$4:$C$4003,"&gt;="&amp;账期起,出库单!$C$4:$C$4003,"&lt;="&amp;账期止))</f>
        <v/>
      </c>
      <c r="Q792" s="26">
        <f>IF($A792="","",ROUND(SUMIFS(出库单!$S$4:$S$4003,出库单!$D$4:$D$4003,$A792,出库单!$K$4:$K$4003,"自用消耗",出库单!$U$4:$U$4003,"正常",出库单!$C$4:$C$4003,"&gt;="&amp;账期起,出库单!$C$4:$C$4003,"&lt;="&amp;账期止),0))</f>
        <v/>
      </c>
      <c r="R792" s="27">
        <f>IF($A792="","",SUMIFS(出库单!$J$4:$J$4003,出库单!$D$4:$D$4003,$A792,出库单!$K$4:$K$4003,"对外销售",出库单!$U$4:$U$4003,"正常",出库单!$C$4:$C$4003,"&gt;="&amp;账期起,出库单!$C$4:$C$4003,"&lt;="&amp;账期止))</f>
        <v/>
      </c>
      <c r="S792" s="26">
        <f>IF($A792="","",ROUND(SUMIFS(出库单!$S$4:$S$4003,出库单!$D$4:$D$4003,$A792,出库单!$K$4:$K$4003,"对外销售",出库单!$U$4:$U$4003,"正常",出库单!$C$4:$C$4003,"&gt;="&amp;账期起,出库单!$C$4:$C$4003,"&lt;="&amp;账期止),0))</f>
        <v/>
      </c>
      <c r="T792" s="27">
        <f>IF($A792="","",SUMIFS(出库单!$J$4:$J$4003,出库单!$D$4:$D$4003,$A792,出库单!$K$4:$K$4003,"盘亏",出库单!$U$4:$U$4003,"正常",出库单!$C$4:$C$4003,"&gt;="&amp;账期起,出库单!$C$4:$C$4003,"&lt;="&amp;账期止))</f>
        <v/>
      </c>
      <c r="U792" s="26">
        <f>IF($A792="","",ROUND(SUMIFS(出库单!$S$4:$S$4003,出库单!$D$4:$D$4003,$A792,出库单!$K$4:$K$4003,"盘亏",出库单!$U$4:$U$4003,"正常",出库单!$C$4:$C$4003,"&gt;="&amp;账期起,出库单!$C$4:$C$4003,"&lt;="&amp;账期止),0))</f>
        <v/>
      </c>
      <c r="V792" s="27">
        <f>IF($A792="","",SUMIFS(出库单!$J$4:$J$4003,出库单!$D$4:$D$4003,$A792,出库单!$K$4:$K$4003,"退货给供应商",出库单!$U$4:$U$4003,"正常",出库单!$C$4:$C$4003,"&gt;="&amp;账期起,出库单!$C$4:$C$4003,"&lt;="&amp;账期止))</f>
        <v/>
      </c>
      <c r="W792" s="26">
        <f>IF($A792="","",ROUND(SUMIFS(出库单!$S$4:$S$4003,出库单!$D$4:$D$4003,$A792,出库单!$K$4:$K$4003,"退货给供应商",出库单!$U$4:$U$4003,"正常",出库单!$C$4:$C$4003,"&gt;="&amp;账期起,出库单!$C$4:$C$4003,"&lt;="&amp;账期止),0))</f>
        <v/>
      </c>
      <c r="X792" s="27">
        <f>IF($A792="","",ROUND(N($G792)+$I792+$L792+$N792-$P792-$R792-$T792-$V792,3))</f>
        <v/>
      </c>
      <c r="Y792" s="26">
        <f>IF($A792="","",ROUND(N($H792)+$J792+$M792+$O792-$Q792-$S792-$U792-$W792,0))</f>
        <v/>
      </c>
      <c r="Z792" s="24">
        <f>IF($A792="","",IF(COUNTIFS(入库单!$G$4:$G$2503,$A792,入库单!$Y$4:$Y$2503,"待补价")+COUNTIFS(入库单!$G$4:$G$2503,$A792,入库单!$Y$4:$Y$2503,"暂估")&gt;0,"不可信","可信"))</f>
        <v/>
      </c>
      <c r="AA792" s="24">
        <f>IF($A792="","",IF($X792&lt;-0.001,"※账面负库存，查一下是不是漏记入库",IF(AND(ROUND($X792,3)=0,ABS($Y792)&gt;1),"※数量已经是 0，金额还挂着 "&amp;TEXT($Y792,"#,##0")&amp;" 先令",IF(AND($X792&gt;0,$Y792&lt;=0,$K792=0),"※有数量没金额（这个物料一直没填过进价）",IF($Z792="不可信","△成本含待补价/暂估，毛利仅供参考","")))))</f>
        <v/>
      </c>
    </row>
    <row r="793">
      <c r="A793" s="24">
        <f>IF(物料档案!$A792="","",物料档案!$A792)</f>
        <v/>
      </c>
      <c r="B793" s="24">
        <f>IF($A793="","",IFERROR(VLOOKUP($A793,物料档案!$A$4:$P$1203,3,0),""))</f>
        <v/>
      </c>
      <c r="C793" s="24">
        <f>IF($A793="","",IFERROR(VLOOKUP($A793,物料档案!$A$4:$P$1203,4,0),""))</f>
        <v/>
      </c>
      <c r="D793" s="24">
        <f>IF($A793="","",IFERROR(VLOOKUP($A793,物料档案!$A$4:$P$1203,5,0),""))</f>
        <v/>
      </c>
      <c r="E793" s="24">
        <f>IF($A793="","",IFERROR(VLOOKUP($A793,物料档案!$A$4:$P$1203,2,0),""))</f>
        <v/>
      </c>
      <c r="F793" s="24">
        <f>IF($A793="","",IFERROR(VLOOKUP($A793,物料档案!$A$4:$P$1203,6,0),""))</f>
        <v/>
      </c>
      <c r="G793" s="23" t="n"/>
      <c r="H793" s="32" t="n"/>
      <c r="I793" s="27">
        <f>IF($A793="","",SUMIFS(入库单!$K$4:$K$2503,入库单!$G$4:$G$2503,$A793,入库单!$X$4:$X$2503,"采购入库",入库单!$Z$4:$Z$2503,"正常",入库单!$C$4:$C$2503,"&gt;="&amp;账期起,入库单!$C$4:$C$2503,"&lt;="&amp;账期止))</f>
        <v/>
      </c>
      <c r="J793" s="26">
        <f>IF($A793="","",SUMIFS(入库单!$V$4:$V$2503,入库单!$G$4:$G$2503,$A793,入库单!$X$4:$X$2503,"采购入库",入库单!$Z$4:$Z$2503,"正常",入库单!$C$4:$C$2503,"&gt;="&amp;账期起,入库单!$C$4:$C$2503,"&lt;="&amp;账期止))</f>
        <v/>
      </c>
      <c r="K793" s="26">
        <f>IF($A793="","",IFERROR(ROUND((N($H793)+N($J793))/(N($G793)+N($I793)),2),0))</f>
        <v/>
      </c>
      <c r="L793" s="27">
        <f>IF($A793="","",SUMIFS(入库单!$K$4:$K$2503,入库单!$G$4:$G$2503,$A793,入库单!$X$4:$X$2503,"盘盈",入库单!$Z$4:$Z$2503,"正常",入库单!$C$4:$C$2503,"&gt;="&amp;账期起,入库单!$C$4:$C$2503,"&lt;="&amp;账期止))</f>
        <v/>
      </c>
      <c r="M793" s="26">
        <f>IF($A793="","",ROUND($L793*$K793,0))</f>
        <v/>
      </c>
      <c r="N793" s="27">
        <f>IF($A793="","",SUMIFS(入库单!$K$4:$K$2503,入库单!$G$4:$G$2503,$A793,入库单!$X$4:$X$2503,"矿区退库",入库单!$Z$4:$Z$2503,"正常",入库单!$C$4:$C$2503,"&gt;="&amp;账期起,入库单!$C$4:$C$2503,"&lt;="&amp;账期止))</f>
        <v/>
      </c>
      <c r="O793" s="26">
        <f>IF($A793="","",ROUND($N793*$K793,0))</f>
        <v/>
      </c>
      <c r="P793" s="27">
        <f>IF($A793="","",SUMIFS(出库单!$J$4:$J$4003,出库单!$D$4:$D$4003,$A793,出库单!$K$4:$K$4003,"自用消耗",出库单!$U$4:$U$4003,"正常",出库单!$C$4:$C$4003,"&gt;="&amp;账期起,出库单!$C$4:$C$4003,"&lt;="&amp;账期止))</f>
        <v/>
      </c>
      <c r="Q793" s="26">
        <f>IF($A793="","",ROUND(SUMIFS(出库单!$S$4:$S$4003,出库单!$D$4:$D$4003,$A793,出库单!$K$4:$K$4003,"自用消耗",出库单!$U$4:$U$4003,"正常",出库单!$C$4:$C$4003,"&gt;="&amp;账期起,出库单!$C$4:$C$4003,"&lt;="&amp;账期止),0))</f>
        <v/>
      </c>
      <c r="R793" s="27">
        <f>IF($A793="","",SUMIFS(出库单!$J$4:$J$4003,出库单!$D$4:$D$4003,$A793,出库单!$K$4:$K$4003,"对外销售",出库单!$U$4:$U$4003,"正常",出库单!$C$4:$C$4003,"&gt;="&amp;账期起,出库单!$C$4:$C$4003,"&lt;="&amp;账期止))</f>
        <v/>
      </c>
      <c r="S793" s="26">
        <f>IF($A793="","",ROUND(SUMIFS(出库单!$S$4:$S$4003,出库单!$D$4:$D$4003,$A793,出库单!$K$4:$K$4003,"对外销售",出库单!$U$4:$U$4003,"正常",出库单!$C$4:$C$4003,"&gt;="&amp;账期起,出库单!$C$4:$C$4003,"&lt;="&amp;账期止),0))</f>
        <v/>
      </c>
      <c r="T793" s="27">
        <f>IF($A793="","",SUMIFS(出库单!$J$4:$J$4003,出库单!$D$4:$D$4003,$A793,出库单!$K$4:$K$4003,"盘亏",出库单!$U$4:$U$4003,"正常",出库单!$C$4:$C$4003,"&gt;="&amp;账期起,出库单!$C$4:$C$4003,"&lt;="&amp;账期止))</f>
        <v/>
      </c>
      <c r="U793" s="26">
        <f>IF($A793="","",ROUND(SUMIFS(出库单!$S$4:$S$4003,出库单!$D$4:$D$4003,$A793,出库单!$K$4:$K$4003,"盘亏",出库单!$U$4:$U$4003,"正常",出库单!$C$4:$C$4003,"&gt;="&amp;账期起,出库单!$C$4:$C$4003,"&lt;="&amp;账期止),0))</f>
        <v/>
      </c>
      <c r="V793" s="27">
        <f>IF($A793="","",SUMIFS(出库单!$J$4:$J$4003,出库单!$D$4:$D$4003,$A793,出库单!$K$4:$K$4003,"退货给供应商",出库单!$U$4:$U$4003,"正常",出库单!$C$4:$C$4003,"&gt;="&amp;账期起,出库单!$C$4:$C$4003,"&lt;="&amp;账期止))</f>
        <v/>
      </c>
      <c r="W793" s="26">
        <f>IF($A793="","",ROUND(SUMIFS(出库单!$S$4:$S$4003,出库单!$D$4:$D$4003,$A793,出库单!$K$4:$K$4003,"退货给供应商",出库单!$U$4:$U$4003,"正常",出库单!$C$4:$C$4003,"&gt;="&amp;账期起,出库单!$C$4:$C$4003,"&lt;="&amp;账期止),0))</f>
        <v/>
      </c>
      <c r="X793" s="27">
        <f>IF($A793="","",ROUND(N($G793)+$I793+$L793+$N793-$P793-$R793-$T793-$V793,3))</f>
        <v/>
      </c>
      <c r="Y793" s="26">
        <f>IF($A793="","",ROUND(N($H793)+$J793+$M793+$O793-$Q793-$S793-$U793-$W793,0))</f>
        <v/>
      </c>
      <c r="Z793" s="24">
        <f>IF($A793="","",IF(COUNTIFS(入库单!$G$4:$G$2503,$A793,入库单!$Y$4:$Y$2503,"待补价")+COUNTIFS(入库单!$G$4:$G$2503,$A793,入库单!$Y$4:$Y$2503,"暂估")&gt;0,"不可信","可信"))</f>
        <v/>
      </c>
      <c r="AA793" s="24">
        <f>IF($A793="","",IF($X793&lt;-0.001,"※账面负库存，查一下是不是漏记入库",IF(AND(ROUND($X793,3)=0,ABS($Y793)&gt;1),"※数量已经是 0，金额还挂着 "&amp;TEXT($Y793,"#,##0")&amp;" 先令",IF(AND($X793&gt;0,$Y793&lt;=0,$K793=0),"※有数量没金额（这个物料一直没填过进价）",IF($Z793="不可信","△成本含待补价/暂估，毛利仅供参考","")))))</f>
        <v/>
      </c>
    </row>
    <row r="794">
      <c r="A794" s="24">
        <f>IF(物料档案!$A793="","",物料档案!$A793)</f>
        <v/>
      </c>
      <c r="B794" s="24">
        <f>IF($A794="","",IFERROR(VLOOKUP($A794,物料档案!$A$4:$P$1203,3,0),""))</f>
        <v/>
      </c>
      <c r="C794" s="24">
        <f>IF($A794="","",IFERROR(VLOOKUP($A794,物料档案!$A$4:$P$1203,4,0),""))</f>
        <v/>
      </c>
      <c r="D794" s="24">
        <f>IF($A794="","",IFERROR(VLOOKUP($A794,物料档案!$A$4:$P$1203,5,0),""))</f>
        <v/>
      </c>
      <c r="E794" s="24">
        <f>IF($A794="","",IFERROR(VLOOKUP($A794,物料档案!$A$4:$P$1203,2,0),""))</f>
        <v/>
      </c>
      <c r="F794" s="24">
        <f>IF($A794="","",IFERROR(VLOOKUP($A794,物料档案!$A$4:$P$1203,6,0),""))</f>
        <v/>
      </c>
      <c r="G794" s="23" t="n"/>
      <c r="H794" s="32" t="n"/>
      <c r="I794" s="27">
        <f>IF($A794="","",SUMIFS(入库单!$K$4:$K$2503,入库单!$G$4:$G$2503,$A794,入库单!$X$4:$X$2503,"采购入库",入库单!$Z$4:$Z$2503,"正常",入库单!$C$4:$C$2503,"&gt;="&amp;账期起,入库单!$C$4:$C$2503,"&lt;="&amp;账期止))</f>
        <v/>
      </c>
      <c r="J794" s="26">
        <f>IF($A794="","",SUMIFS(入库单!$V$4:$V$2503,入库单!$G$4:$G$2503,$A794,入库单!$X$4:$X$2503,"采购入库",入库单!$Z$4:$Z$2503,"正常",入库单!$C$4:$C$2503,"&gt;="&amp;账期起,入库单!$C$4:$C$2503,"&lt;="&amp;账期止))</f>
        <v/>
      </c>
      <c r="K794" s="26">
        <f>IF($A794="","",IFERROR(ROUND((N($H794)+N($J794))/(N($G794)+N($I794)),2),0))</f>
        <v/>
      </c>
      <c r="L794" s="27">
        <f>IF($A794="","",SUMIFS(入库单!$K$4:$K$2503,入库单!$G$4:$G$2503,$A794,入库单!$X$4:$X$2503,"盘盈",入库单!$Z$4:$Z$2503,"正常",入库单!$C$4:$C$2503,"&gt;="&amp;账期起,入库单!$C$4:$C$2503,"&lt;="&amp;账期止))</f>
        <v/>
      </c>
      <c r="M794" s="26">
        <f>IF($A794="","",ROUND($L794*$K794,0))</f>
        <v/>
      </c>
      <c r="N794" s="27">
        <f>IF($A794="","",SUMIFS(入库单!$K$4:$K$2503,入库单!$G$4:$G$2503,$A794,入库单!$X$4:$X$2503,"矿区退库",入库单!$Z$4:$Z$2503,"正常",入库单!$C$4:$C$2503,"&gt;="&amp;账期起,入库单!$C$4:$C$2503,"&lt;="&amp;账期止))</f>
        <v/>
      </c>
      <c r="O794" s="26">
        <f>IF($A794="","",ROUND($N794*$K794,0))</f>
        <v/>
      </c>
      <c r="P794" s="27">
        <f>IF($A794="","",SUMIFS(出库单!$J$4:$J$4003,出库单!$D$4:$D$4003,$A794,出库单!$K$4:$K$4003,"自用消耗",出库单!$U$4:$U$4003,"正常",出库单!$C$4:$C$4003,"&gt;="&amp;账期起,出库单!$C$4:$C$4003,"&lt;="&amp;账期止))</f>
        <v/>
      </c>
      <c r="Q794" s="26">
        <f>IF($A794="","",ROUND(SUMIFS(出库单!$S$4:$S$4003,出库单!$D$4:$D$4003,$A794,出库单!$K$4:$K$4003,"自用消耗",出库单!$U$4:$U$4003,"正常",出库单!$C$4:$C$4003,"&gt;="&amp;账期起,出库单!$C$4:$C$4003,"&lt;="&amp;账期止),0))</f>
        <v/>
      </c>
      <c r="R794" s="27">
        <f>IF($A794="","",SUMIFS(出库单!$J$4:$J$4003,出库单!$D$4:$D$4003,$A794,出库单!$K$4:$K$4003,"对外销售",出库单!$U$4:$U$4003,"正常",出库单!$C$4:$C$4003,"&gt;="&amp;账期起,出库单!$C$4:$C$4003,"&lt;="&amp;账期止))</f>
        <v/>
      </c>
      <c r="S794" s="26">
        <f>IF($A794="","",ROUND(SUMIFS(出库单!$S$4:$S$4003,出库单!$D$4:$D$4003,$A794,出库单!$K$4:$K$4003,"对外销售",出库单!$U$4:$U$4003,"正常",出库单!$C$4:$C$4003,"&gt;="&amp;账期起,出库单!$C$4:$C$4003,"&lt;="&amp;账期止),0))</f>
        <v/>
      </c>
      <c r="T794" s="27">
        <f>IF($A794="","",SUMIFS(出库单!$J$4:$J$4003,出库单!$D$4:$D$4003,$A794,出库单!$K$4:$K$4003,"盘亏",出库单!$U$4:$U$4003,"正常",出库单!$C$4:$C$4003,"&gt;="&amp;账期起,出库单!$C$4:$C$4003,"&lt;="&amp;账期止))</f>
        <v/>
      </c>
      <c r="U794" s="26">
        <f>IF($A794="","",ROUND(SUMIFS(出库单!$S$4:$S$4003,出库单!$D$4:$D$4003,$A794,出库单!$K$4:$K$4003,"盘亏",出库单!$U$4:$U$4003,"正常",出库单!$C$4:$C$4003,"&gt;="&amp;账期起,出库单!$C$4:$C$4003,"&lt;="&amp;账期止),0))</f>
        <v/>
      </c>
      <c r="V794" s="27">
        <f>IF($A794="","",SUMIFS(出库单!$J$4:$J$4003,出库单!$D$4:$D$4003,$A794,出库单!$K$4:$K$4003,"退货给供应商",出库单!$U$4:$U$4003,"正常",出库单!$C$4:$C$4003,"&gt;="&amp;账期起,出库单!$C$4:$C$4003,"&lt;="&amp;账期止))</f>
        <v/>
      </c>
      <c r="W794" s="26">
        <f>IF($A794="","",ROUND(SUMIFS(出库单!$S$4:$S$4003,出库单!$D$4:$D$4003,$A794,出库单!$K$4:$K$4003,"退货给供应商",出库单!$U$4:$U$4003,"正常",出库单!$C$4:$C$4003,"&gt;="&amp;账期起,出库单!$C$4:$C$4003,"&lt;="&amp;账期止),0))</f>
        <v/>
      </c>
      <c r="X794" s="27">
        <f>IF($A794="","",ROUND(N($G794)+$I794+$L794+$N794-$P794-$R794-$T794-$V794,3))</f>
        <v/>
      </c>
      <c r="Y794" s="26">
        <f>IF($A794="","",ROUND(N($H794)+$J794+$M794+$O794-$Q794-$S794-$U794-$W794,0))</f>
        <v/>
      </c>
      <c r="Z794" s="24">
        <f>IF($A794="","",IF(COUNTIFS(入库单!$G$4:$G$2503,$A794,入库单!$Y$4:$Y$2503,"待补价")+COUNTIFS(入库单!$G$4:$G$2503,$A794,入库单!$Y$4:$Y$2503,"暂估")&gt;0,"不可信","可信"))</f>
        <v/>
      </c>
      <c r="AA794" s="24">
        <f>IF($A794="","",IF($X794&lt;-0.001,"※账面负库存，查一下是不是漏记入库",IF(AND(ROUND($X794,3)=0,ABS($Y794)&gt;1),"※数量已经是 0，金额还挂着 "&amp;TEXT($Y794,"#,##0")&amp;" 先令",IF(AND($X794&gt;0,$Y794&lt;=0,$K794=0),"※有数量没金额（这个物料一直没填过进价）",IF($Z794="不可信","△成本含待补价/暂估，毛利仅供参考","")))))</f>
        <v/>
      </c>
    </row>
    <row r="795">
      <c r="A795" s="24">
        <f>IF(物料档案!$A794="","",物料档案!$A794)</f>
        <v/>
      </c>
      <c r="B795" s="24">
        <f>IF($A795="","",IFERROR(VLOOKUP($A795,物料档案!$A$4:$P$1203,3,0),""))</f>
        <v/>
      </c>
      <c r="C795" s="24">
        <f>IF($A795="","",IFERROR(VLOOKUP($A795,物料档案!$A$4:$P$1203,4,0),""))</f>
        <v/>
      </c>
      <c r="D795" s="24">
        <f>IF($A795="","",IFERROR(VLOOKUP($A795,物料档案!$A$4:$P$1203,5,0),""))</f>
        <v/>
      </c>
      <c r="E795" s="24">
        <f>IF($A795="","",IFERROR(VLOOKUP($A795,物料档案!$A$4:$P$1203,2,0),""))</f>
        <v/>
      </c>
      <c r="F795" s="24">
        <f>IF($A795="","",IFERROR(VLOOKUP($A795,物料档案!$A$4:$P$1203,6,0),""))</f>
        <v/>
      </c>
      <c r="G795" s="23" t="n"/>
      <c r="H795" s="32" t="n"/>
      <c r="I795" s="27">
        <f>IF($A795="","",SUMIFS(入库单!$K$4:$K$2503,入库单!$G$4:$G$2503,$A795,入库单!$X$4:$X$2503,"采购入库",入库单!$Z$4:$Z$2503,"正常",入库单!$C$4:$C$2503,"&gt;="&amp;账期起,入库单!$C$4:$C$2503,"&lt;="&amp;账期止))</f>
        <v/>
      </c>
      <c r="J795" s="26">
        <f>IF($A795="","",SUMIFS(入库单!$V$4:$V$2503,入库单!$G$4:$G$2503,$A795,入库单!$X$4:$X$2503,"采购入库",入库单!$Z$4:$Z$2503,"正常",入库单!$C$4:$C$2503,"&gt;="&amp;账期起,入库单!$C$4:$C$2503,"&lt;="&amp;账期止))</f>
        <v/>
      </c>
      <c r="K795" s="26">
        <f>IF($A795="","",IFERROR(ROUND((N($H795)+N($J795))/(N($G795)+N($I795)),2),0))</f>
        <v/>
      </c>
      <c r="L795" s="27">
        <f>IF($A795="","",SUMIFS(入库单!$K$4:$K$2503,入库单!$G$4:$G$2503,$A795,入库单!$X$4:$X$2503,"盘盈",入库单!$Z$4:$Z$2503,"正常",入库单!$C$4:$C$2503,"&gt;="&amp;账期起,入库单!$C$4:$C$2503,"&lt;="&amp;账期止))</f>
        <v/>
      </c>
      <c r="M795" s="26">
        <f>IF($A795="","",ROUND($L795*$K795,0))</f>
        <v/>
      </c>
      <c r="N795" s="27">
        <f>IF($A795="","",SUMIFS(入库单!$K$4:$K$2503,入库单!$G$4:$G$2503,$A795,入库单!$X$4:$X$2503,"矿区退库",入库单!$Z$4:$Z$2503,"正常",入库单!$C$4:$C$2503,"&gt;="&amp;账期起,入库单!$C$4:$C$2503,"&lt;="&amp;账期止))</f>
        <v/>
      </c>
      <c r="O795" s="26">
        <f>IF($A795="","",ROUND($N795*$K795,0))</f>
        <v/>
      </c>
      <c r="P795" s="27">
        <f>IF($A795="","",SUMIFS(出库单!$J$4:$J$4003,出库单!$D$4:$D$4003,$A795,出库单!$K$4:$K$4003,"自用消耗",出库单!$U$4:$U$4003,"正常",出库单!$C$4:$C$4003,"&gt;="&amp;账期起,出库单!$C$4:$C$4003,"&lt;="&amp;账期止))</f>
        <v/>
      </c>
      <c r="Q795" s="26">
        <f>IF($A795="","",ROUND(SUMIFS(出库单!$S$4:$S$4003,出库单!$D$4:$D$4003,$A795,出库单!$K$4:$K$4003,"自用消耗",出库单!$U$4:$U$4003,"正常",出库单!$C$4:$C$4003,"&gt;="&amp;账期起,出库单!$C$4:$C$4003,"&lt;="&amp;账期止),0))</f>
        <v/>
      </c>
      <c r="R795" s="27">
        <f>IF($A795="","",SUMIFS(出库单!$J$4:$J$4003,出库单!$D$4:$D$4003,$A795,出库单!$K$4:$K$4003,"对外销售",出库单!$U$4:$U$4003,"正常",出库单!$C$4:$C$4003,"&gt;="&amp;账期起,出库单!$C$4:$C$4003,"&lt;="&amp;账期止))</f>
        <v/>
      </c>
      <c r="S795" s="26">
        <f>IF($A795="","",ROUND(SUMIFS(出库单!$S$4:$S$4003,出库单!$D$4:$D$4003,$A795,出库单!$K$4:$K$4003,"对外销售",出库单!$U$4:$U$4003,"正常",出库单!$C$4:$C$4003,"&gt;="&amp;账期起,出库单!$C$4:$C$4003,"&lt;="&amp;账期止),0))</f>
        <v/>
      </c>
      <c r="T795" s="27">
        <f>IF($A795="","",SUMIFS(出库单!$J$4:$J$4003,出库单!$D$4:$D$4003,$A795,出库单!$K$4:$K$4003,"盘亏",出库单!$U$4:$U$4003,"正常",出库单!$C$4:$C$4003,"&gt;="&amp;账期起,出库单!$C$4:$C$4003,"&lt;="&amp;账期止))</f>
        <v/>
      </c>
      <c r="U795" s="26">
        <f>IF($A795="","",ROUND(SUMIFS(出库单!$S$4:$S$4003,出库单!$D$4:$D$4003,$A795,出库单!$K$4:$K$4003,"盘亏",出库单!$U$4:$U$4003,"正常",出库单!$C$4:$C$4003,"&gt;="&amp;账期起,出库单!$C$4:$C$4003,"&lt;="&amp;账期止),0))</f>
        <v/>
      </c>
      <c r="V795" s="27">
        <f>IF($A795="","",SUMIFS(出库单!$J$4:$J$4003,出库单!$D$4:$D$4003,$A795,出库单!$K$4:$K$4003,"退货给供应商",出库单!$U$4:$U$4003,"正常",出库单!$C$4:$C$4003,"&gt;="&amp;账期起,出库单!$C$4:$C$4003,"&lt;="&amp;账期止))</f>
        <v/>
      </c>
      <c r="W795" s="26">
        <f>IF($A795="","",ROUND(SUMIFS(出库单!$S$4:$S$4003,出库单!$D$4:$D$4003,$A795,出库单!$K$4:$K$4003,"退货给供应商",出库单!$U$4:$U$4003,"正常",出库单!$C$4:$C$4003,"&gt;="&amp;账期起,出库单!$C$4:$C$4003,"&lt;="&amp;账期止),0))</f>
        <v/>
      </c>
      <c r="X795" s="27">
        <f>IF($A795="","",ROUND(N($G795)+$I795+$L795+$N795-$P795-$R795-$T795-$V795,3))</f>
        <v/>
      </c>
      <c r="Y795" s="26">
        <f>IF($A795="","",ROUND(N($H795)+$J795+$M795+$O795-$Q795-$S795-$U795-$W795,0))</f>
        <v/>
      </c>
      <c r="Z795" s="24">
        <f>IF($A795="","",IF(COUNTIFS(入库单!$G$4:$G$2503,$A795,入库单!$Y$4:$Y$2503,"待补价")+COUNTIFS(入库单!$G$4:$G$2503,$A795,入库单!$Y$4:$Y$2503,"暂估")&gt;0,"不可信","可信"))</f>
        <v/>
      </c>
      <c r="AA795" s="24">
        <f>IF($A795="","",IF($X795&lt;-0.001,"※账面负库存，查一下是不是漏记入库",IF(AND(ROUND($X795,3)=0,ABS($Y795)&gt;1),"※数量已经是 0，金额还挂着 "&amp;TEXT($Y795,"#,##0")&amp;" 先令",IF(AND($X795&gt;0,$Y795&lt;=0,$K795=0),"※有数量没金额（这个物料一直没填过进价）",IF($Z795="不可信","△成本含待补价/暂估，毛利仅供参考","")))))</f>
        <v/>
      </c>
    </row>
    <row r="796">
      <c r="A796" s="24">
        <f>IF(物料档案!$A795="","",物料档案!$A795)</f>
        <v/>
      </c>
      <c r="B796" s="24">
        <f>IF($A796="","",IFERROR(VLOOKUP($A796,物料档案!$A$4:$P$1203,3,0),""))</f>
        <v/>
      </c>
      <c r="C796" s="24">
        <f>IF($A796="","",IFERROR(VLOOKUP($A796,物料档案!$A$4:$P$1203,4,0),""))</f>
        <v/>
      </c>
      <c r="D796" s="24">
        <f>IF($A796="","",IFERROR(VLOOKUP($A796,物料档案!$A$4:$P$1203,5,0),""))</f>
        <v/>
      </c>
      <c r="E796" s="24">
        <f>IF($A796="","",IFERROR(VLOOKUP($A796,物料档案!$A$4:$P$1203,2,0),""))</f>
        <v/>
      </c>
      <c r="F796" s="24">
        <f>IF($A796="","",IFERROR(VLOOKUP($A796,物料档案!$A$4:$P$1203,6,0),""))</f>
        <v/>
      </c>
      <c r="G796" s="23" t="n"/>
      <c r="H796" s="32" t="n"/>
      <c r="I796" s="27">
        <f>IF($A796="","",SUMIFS(入库单!$K$4:$K$2503,入库单!$G$4:$G$2503,$A796,入库单!$X$4:$X$2503,"采购入库",入库单!$Z$4:$Z$2503,"正常",入库单!$C$4:$C$2503,"&gt;="&amp;账期起,入库单!$C$4:$C$2503,"&lt;="&amp;账期止))</f>
        <v/>
      </c>
      <c r="J796" s="26">
        <f>IF($A796="","",SUMIFS(入库单!$V$4:$V$2503,入库单!$G$4:$G$2503,$A796,入库单!$X$4:$X$2503,"采购入库",入库单!$Z$4:$Z$2503,"正常",入库单!$C$4:$C$2503,"&gt;="&amp;账期起,入库单!$C$4:$C$2503,"&lt;="&amp;账期止))</f>
        <v/>
      </c>
      <c r="K796" s="26">
        <f>IF($A796="","",IFERROR(ROUND((N($H796)+N($J796))/(N($G796)+N($I796)),2),0))</f>
        <v/>
      </c>
      <c r="L796" s="27">
        <f>IF($A796="","",SUMIFS(入库单!$K$4:$K$2503,入库单!$G$4:$G$2503,$A796,入库单!$X$4:$X$2503,"盘盈",入库单!$Z$4:$Z$2503,"正常",入库单!$C$4:$C$2503,"&gt;="&amp;账期起,入库单!$C$4:$C$2503,"&lt;="&amp;账期止))</f>
        <v/>
      </c>
      <c r="M796" s="26">
        <f>IF($A796="","",ROUND($L796*$K796,0))</f>
        <v/>
      </c>
      <c r="N796" s="27">
        <f>IF($A796="","",SUMIFS(入库单!$K$4:$K$2503,入库单!$G$4:$G$2503,$A796,入库单!$X$4:$X$2503,"矿区退库",入库单!$Z$4:$Z$2503,"正常",入库单!$C$4:$C$2503,"&gt;="&amp;账期起,入库单!$C$4:$C$2503,"&lt;="&amp;账期止))</f>
        <v/>
      </c>
      <c r="O796" s="26">
        <f>IF($A796="","",ROUND($N796*$K796,0))</f>
        <v/>
      </c>
      <c r="P796" s="27">
        <f>IF($A796="","",SUMIFS(出库单!$J$4:$J$4003,出库单!$D$4:$D$4003,$A796,出库单!$K$4:$K$4003,"自用消耗",出库单!$U$4:$U$4003,"正常",出库单!$C$4:$C$4003,"&gt;="&amp;账期起,出库单!$C$4:$C$4003,"&lt;="&amp;账期止))</f>
        <v/>
      </c>
      <c r="Q796" s="26">
        <f>IF($A796="","",ROUND(SUMIFS(出库单!$S$4:$S$4003,出库单!$D$4:$D$4003,$A796,出库单!$K$4:$K$4003,"自用消耗",出库单!$U$4:$U$4003,"正常",出库单!$C$4:$C$4003,"&gt;="&amp;账期起,出库单!$C$4:$C$4003,"&lt;="&amp;账期止),0))</f>
        <v/>
      </c>
      <c r="R796" s="27">
        <f>IF($A796="","",SUMIFS(出库单!$J$4:$J$4003,出库单!$D$4:$D$4003,$A796,出库单!$K$4:$K$4003,"对外销售",出库单!$U$4:$U$4003,"正常",出库单!$C$4:$C$4003,"&gt;="&amp;账期起,出库单!$C$4:$C$4003,"&lt;="&amp;账期止))</f>
        <v/>
      </c>
      <c r="S796" s="26">
        <f>IF($A796="","",ROUND(SUMIFS(出库单!$S$4:$S$4003,出库单!$D$4:$D$4003,$A796,出库单!$K$4:$K$4003,"对外销售",出库单!$U$4:$U$4003,"正常",出库单!$C$4:$C$4003,"&gt;="&amp;账期起,出库单!$C$4:$C$4003,"&lt;="&amp;账期止),0))</f>
        <v/>
      </c>
      <c r="T796" s="27">
        <f>IF($A796="","",SUMIFS(出库单!$J$4:$J$4003,出库单!$D$4:$D$4003,$A796,出库单!$K$4:$K$4003,"盘亏",出库单!$U$4:$U$4003,"正常",出库单!$C$4:$C$4003,"&gt;="&amp;账期起,出库单!$C$4:$C$4003,"&lt;="&amp;账期止))</f>
        <v/>
      </c>
      <c r="U796" s="26">
        <f>IF($A796="","",ROUND(SUMIFS(出库单!$S$4:$S$4003,出库单!$D$4:$D$4003,$A796,出库单!$K$4:$K$4003,"盘亏",出库单!$U$4:$U$4003,"正常",出库单!$C$4:$C$4003,"&gt;="&amp;账期起,出库单!$C$4:$C$4003,"&lt;="&amp;账期止),0))</f>
        <v/>
      </c>
      <c r="V796" s="27">
        <f>IF($A796="","",SUMIFS(出库单!$J$4:$J$4003,出库单!$D$4:$D$4003,$A796,出库单!$K$4:$K$4003,"退货给供应商",出库单!$U$4:$U$4003,"正常",出库单!$C$4:$C$4003,"&gt;="&amp;账期起,出库单!$C$4:$C$4003,"&lt;="&amp;账期止))</f>
        <v/>
      </c>
      <c r="W796" s="26">
        <f>IF($A796="","",ROUND(SUMIFS(出库单!$S$4:$S$4003,出库单!$D$4:$D$4003,$A796,出库单!$K$4:$K$4003,"退货给供应商",出库单!$U$4:$U$4003,"正常",出库单!$C$4:$C$4003,"&gt;="&amp;账期起,出库单!$C$4:$C$4003,"&lt;="&amp;账期止),0))</f>
        <v/>
      </c>
      <c r="X796" s="27">
        <f>IF($A796="","",ROUND(N($G796)+$I796+$L796+$N796-$P796-$R796-$T796-$V796,3))</f>
        <v/>
      </c>
      <c r="Y796" s="26">
        <f>IF($A796="","",ROUND(N($H796)+$J796+$M796+$O796-$Q796-$S796-$U796-$W796,0))</f>
        <v/>
      </c>
      <c r="Z796" s="24">
        <f>IF($A796="","",IF(COUNTIFS(入库单!$G$4:$G$2503,$A796,入库单!$Y$4:$Y$2503,"待补价")+COUNTIFS(入库单!$G$4:$G$2503,$A796,入库单!$Y$4:$Y$2503,"暂估")&gt;0,"不可信","可信"))</f>
        <v/>
      </c>
      <c r="AA796" s="24">
        <f>IF($A796="","",IF($X796&lt;-0.001,"※账面负库存，查一下是不是漏记入库",IF(AND(ROUND($X796,3)=0,ABS($Y796)&gt;1),"※数量已经是 0，金额还挂着 "&amp;TEXT($Y796,"#,##0")&amp;" 先令",IF(AND($X796&gt;0,$Y796&lt;=0,$K796=0),"※有数量没金额（这个物料一直没填过进价）",IF($Z796="不可信","△成本含待补价/暂估，毛利仅供参考","")))))</f>
        <v/>
      </c>
    </row>
    <row r="797">
      <c r="A797" s="24">
        <f>IF(物料档案!$A796="","",物料档案!$A796)</f>
        <v/>
      </c>
      <c r="B797" s="24">
        <f>IF($A797="","",IFERROR(VLOOKUP($A797,物料档案!$A$4:$P$1203,3,0),""))</f>
        <v/>
      </c>
      <c r="C797" s="24">
        <f>IF($A797="","",IFERROR(VLOOKUP($A797,物料档案!$A$4:$P$1203,4,0),""))</f>
        <v/>
      </c>
      <c r="D797" s="24">
        <f>IF($A797="","",IFERROR(VLOOKUP($A797,物料档案!$A$4:$P$1203,5,0),""))</f>
        <v/>
      </c>
      <c r="E797" s="24">
        <f>IF($A797="","",IFERROR(VLOOKUP($A797,物料档案!$A$4:$P$1203,2,0),""))</f>
        <v/>
      </c>
      <c r="F797" s="24">
        <f>IF($A797="","",IFERROR(VLOOKUP($A797,物料档案!$A$4:$P$1203,6,0),""))</f>
        <v/>
      </c>
      <c r="G797" s="23" t="n"/>
      <c r="H797" s="32" t="n"/>
      <c r="I797" s="27">
        <f>IF($A797="","",SUMIFS(入库单!$K$4:$K$2503,入库单!$G$4:$G$2503,$A797,入库单!$X$4:$X$2503,"采购入库",入库单!$Z$4:$Z$2503,"正常",入库单!$C$4:$C$2503,"&gt;="&amp;账期起,入库单!$C$4:$C$2503,"&lt;="&amp;账期止))</f>
        <v/>
      </c>
      <c r="J797" s="26">
        <f>IF($A797="","",SUMIFS(入库单!$V$4:$V$2503,入库单!$G$4:$G$2503,$A797,入库单!$X$4:$X$2503,"采购入库",入库单!$Z$4:$Z$2503,"正常",入库单!$C$4:$C$2503,"&gt;="&amp;账期起,入库单!$C$4:$C$2503,"&lt;="&amp;账期止))</f>
        <v/>
      </c>
      <c r="K797" s="26">
        <f>IF($A797="","",IFERROR(ROUND((N($H797)+N($J797))/(N($G797)+N($I797)),2),0))</f>
        <v/>
      </c>
      <c r="L797" s="27">
        <f>IF($A797="","",SUMIFS(入库单!$K$4:$K$2503,入库单!$G$4:$G$2503,$A797,入库单!$X$4:$X$2503,"盘盈",入库单!$Z$4:$Z$2503,"正常",入库单!$C$4:$C$2503,"&gt;="&amp;账期起,入库单!$C$4:$C$2503,"&lt;="&amp;账期止))</f>
        <v/>
      </c>
      <c r="M797" s="26">
        <f>IF($A797="","",ROUND($L797*$K797,0))</f>
        <v/>
      </c>
      <c r="N797" s="27">
        <f>IF($A797="","",SUMIFS(入库单!$K$4:$K$2503,入库单!$G$4:$G$2503,$A797,入库单!$X$4:$X$2503,"矿区退库",入库单!$Z$4:$Z$2503,"正常",入库单!$C$4:$C$2503,"&gt;="&amp;账期起,入库单!$C$4:$C$2503,"&lt;="&amp;账期止))</f>
        <v/>
      </c>
      <c r="O797" s="26">
        <f>IF($A797="","",ROUND($N797*$K797,0))</f>
        <v/>
      </c>
      <c r="P797" s="27">
        <f>IF($A797="","",SUMIFS(出库单!$J$4:$J$4003,出库单!$D$4:$D$4003,$A797,出库单!$K$4:$K$4003,"自用消耗",出库单!$U$4:$U$4003,"正常",出库单!$C$4:$C$4003,"&gt;="&amp;账期起,出库单!$C$4:$C$4003,"&lt;="&amp;账期止))</f>
        <v/>
      </c>
      <c r="Q797" s="26">
        <f>IF($A797="","",ROUND(SUMIFS(出库单!$S$4:$S$4003,出库单!$D$4:$D$4003,$A797,出库单!$K$4:$K$4003,"自用消耗",出库单!$U$4:$U$4003,"正常",出库单!$C$4:$C$4003,"&gt;="&amp;账期起,出库单!$C$4:$C$4003,"&lt;="&amp;账期止),0))</f>
        <v/>
      </c>
      <c r="R797" s="27">
        <f>IF($A797="","",SUMIFS(出库单!$J$4:$J$4003,出库单!$D$4:$D$4003,$A797,出库单!$K$4:$K$4003,"对外销售",出库单!$U$4:$U$4003,"正常",出库单!$C$4:$C$4003,"&gt;="&amp;账期起,出库单!$C$4:$C$4003,"&lt;="&amp;账期止))</f>
        <v/>
      </c>
      <c r="S797" s="26">
        <f>IF($A797="","",ROUND(SUMIFS(出库单!$S$4:$S$4003,出库单!$D$4:$D$4003,$A797,出库单!$K$4:$K$4003,"对外销售",出库单!$U$4:$U$4003,"正常",出库单!$C$4:$C$4003,"&gt;="&amp;账期起,出库单!$C$4:$C$4003,"&lt;="&amp;账期止),0))</f>
        <v/>
      </c>
      <c r="T797" s="27">
        <f>IF($A797="","",SUMIFS(出库单!$J$4:$J$4003,出库单!$D$4:$D$4003,$A797,出库单!$K$4:$K$4003,"盘亏",出库单!$U$4:$U$4003,"正常",出库单!$C$4:$C$4003,"&gt;="&amp;账期起,出库单!$C$4:$C$4003,"&lt;="&amp;账期止))</f>
        <v/>
      </c>
      <c r="U797" s="26">
        <f>IF($A797="","",ROUND(SUMIFS(出库单!$S$4:$S$4003,出库单!$D$4:$D$4003,$A797,出库单!$K$4:$K$4003,"盘亏",出库单!$U$4:$U$4003,"正常",出库单!$C$4:$C$4003,"&gt;="&amp;账期起,出库单!$C$4:$C$4003,"&lt;="&amp;账期止),0))</f>
        <v/>
      </c>
      <c r="V797" s="27">
        <f>IF($A797="","",SUMIFS(出库单!$J$4:$J$4003,出库单!$D$4:$D$4003,$A797,出库单!$K$4:$K$4003,"退货给供应商",出库单!$U$4:$U$4003,"正常",出库单!$C$4:$C$4003,"&gt;="&amp;账期起,出库单!$C$4:$C$4003,"&lt;="&amp;账期止))</f>
        <v/>
      </c>
      <c r="W797" s="26">
        <f>IF($A797="","",ROUND(SUMIFS(出库单!$S$4:$S$4003,出库单!$D$4:$D$4003,$A797,出库单!$K$4:$K$4003,"退货给供应商",出库单!$U$4:$U$4003,"正常",出库单!$C$4:$C$4003,"&gt;="&amp;账期起,出库单!$C$4:$C$4003,"&lt;="&amp;账期止),0))</f>
        <v/>
      </c>
      <c r="X797" s="27">
        <f>IF($A797="","",ROUND(N($G797)+$I797+$L797+$N797-$P797-$R797-$T797-$V797,3))</f>
        <v/>
      </c>
      <c r="Y797" s="26">
        <f>IF($A797="","",ROUND(N($H797)+$J797+$M797+$O797-$Q797-$S797-$U797-$W797,0))</f>
        <v/>
      </c>
      <c r="Z797" s="24">
        <f>IF($A797="","",IF(COUNTIFS(入库单!$G$4:$G$2503,$A797,入库单!$Y$4:$Y$2503,"待补价")+COUNTIFS(入库单!$G$4:$G$2503,$A797,入库单!$Y$4:$Y$2503,"暂估")&gt;0,"不可信","可信"))</f>
        <v/>
      </c>
      <c r="AA797" s="24">
        <f>IF($A797="","",IF($X797&lt;-0.001,"※账面负库存，查一下是不是漏记入库",IF(AND(ROUND($X797,3)=0,ABS($Y797)&gt;1),"※数量已经是 0，金额还挂着 "&amp;TEXT($Y797,"#,##0")&amp;" 先令",IF(AND($X797&gt;0,$Y797&lt;=0,$K797=0),"※有数量没金额（这个物料一直没填过进价）",IF($Z797="不可信","△成本含待补价/暂估，毛利仅供参考","")))))</f>
        <v/>
      </c>
    </row>
    <row r="798">
      <c r="A798" s="24">
        <f>IF(物料档案!$A797="","",物料档案!$A797)</f>
        <v/>
      </c>
      <c r="B798" s="24">
        <f>IF($A798="","",IFERROR(VLOOKUP($A798,物料档案!$A$4:$P$1203,3,0),""))</f>
        <v/>
      </c>
      <c r="C798" s="24">
        <f>IF($A798="","",IFERROR(VLOOKUP($A798,物料档案!$A$4:$P$1203,4,0),""))</f>
        <v/>
      </c>
      <c r="D798" s="24">
        <f>IF($A798="","",IFERROR(VLOOKUP($A798,物料档案!$A$4:$P$1203,5,0),""))</f>
        <v/>
      </c>
      <c r="E798" s="24">
        <f>IF($A798="","",IFERROR(VLOOKUP($A798,物料档案!$A$4:$P$1203,2,0),""))</f>
        <v/>
      </c>
      <c r="F798" s="24">
        <f>IF($A798="","",IFERROR(VLOOKUP($A798,物料档案!$A$4:$P$1203,6,0),""))</f>
        <v/>
      </c>
      <c r="G798" s="23" t="n"/>
      <c r="H798" s="32" t="n"/>
      <c r="I798" s="27">
        <f>IF($A798="","",SUMIFS(入库单!$K$4:$K$2503,入库单!$G$4:$G$2503,$A798,入库单!$X$4:$X$2503,"采购入库",入库单!$Z$4:$Z$2503,"正常",入库单!$C$4:$C$2503,"&gt;="&amp;账期起,入库单!$C$4:$C$2503,"&lt;="&amp;账期止))</f>
        <v/>
      </c>
      <c r="J798" s="26">
        <f>IF($A798="","",SUMIFS(入库单!$V$4:$V$2503,入库单!$G$4:$G$2503,$A798,入库单!$X$4:$X$2503,"采购入库",入库单!$Z$4:$Z$2503,"正常",入库单!$C$4:$C$2503,"&gt;="&amp;账期起,入库单!$C$4:$C$2503,"&lt;="&amp;账期止))</f>
        <v/>
      </c>
      <c r="K798" s="26">
        <f>IF($A798="","",IFERROR(ROUND((N($H798)+N($J798))/(N($G798)+N($I798)),2),0))</f>
        <v/>
      </c>
      <c r="L798" s="27">
        <f>IF($A798="","",SUMIFS(入库单!$K$4:$K$2503,入库单!$G$4:$G$2503,$A798,入库单!$X$4:$X$2503,"盘盈",入库单!$Z$4:$Z$2503,"正常",入库单!$C$4:$C$2503,"&gt;="&amp;账期起,入库单!$C$4:$C$2503,"&lt;="&amp;账期止))</f>
        <v/>
      </c>
      <c r="M798" s="26">
        <f>IF($A798="","",ROUND($L798*$K798,0))</f>
        <v/>
      </c>
      <c r="N798" s="27">
        <f>IF($A798="","",SUMIFS(入库单!$K$4:$K$2503,入库单!$G$4:$G$2503,$A798,入库单!$X$4:$X$2503,"矿区退库",入库单!$Z$4:$Z$2503,"正常",入库单!$C$4:$C$2503,"&gt;="&amp;账期起,入库单!$C$4:$C$2503,"&lt;="&amp;账期止))</f>
        <v/>
      </c>
      <c r="O798" s="26">
        <f>IF($A798="","",ROUND($N798*$K798,0))</f>
        <v/>
      </c>
      <c r="P798" s="27">
        <f>IF($A798="","",SUMIFS(出库单!$J$4:$J$4003,出库单!$D$4:$D$4003,$A798,出库单!$K$4:$K$4003,"自用消耗",出库单!$U$4:$U$4003,"正常",出库单!$C$4:$C$4003,"&gt;="&amp;账期起,出库单!$C$4:$C$4003,"&lt;="&amp;账期止))</f>
        <v/>
      </c>
      <c r="Q798" s="26">
        <f>IF($A798="","",ROUND(SUMIFS(出库单!$S$4:$S$4003,出库单!$D$4:$D$4003,$A798,出库单!$K$4:$K$4003,"自用消耗",出库单!$U$4:$U$4003,"正常",出库单!$C$4:$C$4003,"&gt;="&amp;账期起,出库单!$C$4:$C$4003,"&lt;="&amp;账期止),0))</f>
        <v/>
      </c>
      <c r="R798" s="27">
        <f>IF($A798="","",SUMIFS(出库单!$J$4:$J$4003,出库单!$D$4:$D$4003,$A798,出库单!$K$4:$K$4003,"对外销售",出库单!$U$4:$U$4003,"正常",出库单!$C$4:$C$4003,"&gt;="&amp;账期起,出库单!$C$4:$C$4003,"&lt;="&amp;账期止))</f>
        <v/>
      </c>
      <c r="S798" s="26">
        <f>IF($A798="","",ROUND(SUMIFS(出库单!$S$4:$S$4003,出库单!$D$4:$D$4003,$A798,出库单!$K$4:$K$4003,"对外销售",出库单!$U$4:$U$4003,"正常",出库单!$C$4:$C$4003,"&gt;="&amp;账期起,出库单!$C$4:$C$4003,"&lt;="&amp;账期止),0))</f>
        <v/>
      </c>
      <c r="T798" s="27">
        <f>IF($A798="","",SUMIFS(出库单!$J$4:$J$4003,出库单!$D$4:$D$4003,$A798,出库单!$K$4:$K$4003,"盘亏",出库单!$U$4:$U$4003,"正常",出库单!$C$4:$C$4003,"&gt;="&amp;账期起,出库单!$C$4:$C$4003,"&lt;="&amp;账期止))</f>
        <v/>
      </c>
      <c r="U798" s="26">
        <f>IF($A798="","",ROUND(SUMIFS(出库单!$S$4:$S$4003,出库单!$D$4:$D$4003,$A798,出库单!$K$4:$K$4003,"盘亏",出库单!$U$4:$U$4003,"正常",出库单!$C$4:$C$4003,"&gt;="&amp;账期起,出库单!$C$4:$C$4003,"&lt;="&amp;账期止),0))</f>
        <v/>
      </c>
      <c r="V798" s="27">
        <f>IF($A798="","",SUMIFS(出库单!$J$4:$J$4003,出库单!$D$4:$D$4003,$A798,出库单!$K$4:$K$4003,"退货给供应商",出库单!$U$4:$U$4003,"正常",出库单!$C$4:$C$4003,"&gt;="&amp;账期起,出库单!$C$4:$C$4003,"&lt;="&amp;账期止))</f>
        <v/>
      </c>
      <c r="W798" s="26">
        <f>IF($A798="","",ROUND(SUMIFS(出库单!$S$4:$S$4003,出库单!$D$4:$D$4003,$A798,出库单!$K$4:$K$4003,"退货给供应商",出库单!$U$4:$U$4003,"正常",出库单!$C$4:$C$4003,"&gt;="&amp;账期起,出库单!$C$4:$C$4003,"&lt;="&amp;账期止),0))</f>
        <v/>
      </c>
      <c r="X798" s="27">
        <f>IF($A798="","",ROUND(N($G798)+$I798+$L798+$N798-$P798-$R798-$T798-$V798,3))</f>
        <v/>
      </c>
      <c r="Y798" s="26">
        <f>IF($A798="","",ROUND(N($H798)+$J798+$M798+$O798-$Q798-$S798-$U798-$W798,0))</f>
        <v/>
      </c>
      <c r="Z798" s="24">
        <f>IF($A798="","",IF(COUNTIFS(入库单!$G$4:$G$2503,$A798,入库单!$Y$4:$Y$2503,"待补价")+COUNTIFS(入库单!$G$4:$G$2503,$A798,入库单!$Y$4:$Y$2503,"暂估")&gt;0,"不可信","可信"))</f>
        <v/>
      </c>
      <c r="AA798" s="24">
        <f>IF($A798="","",IF($X798&lt;-0.001,"※账面负库存，查一下是不是漏记入库",IF(AND(ROUND($X798,3)=0,ABS($Y798)&gt;1),"※数量已经是 0，金额还挂着 "&amp;TEXT($Y798,"#,##0")&amp;" 先令",IF(AND($X798&gt;0,$Y798&lt;=0,$K798=0),"※有数量没金额（这个物料一直没填过进价）",IF($Z798="不可信","△成本含待补价/暂估，毛利仅供参考","")))))</f>
        <v/>
      </c>
    </row>
    <row r="799">
      <c r="A799" s="24">
        <f>IF(物料档案!$A798="","",物料档案!$A798)</f>
        <v/>
      </c>
      <c r="B799" s="24">
        <f>IF($A799="","",IFERROR(VLOOKUP($A799,物料档案!$A$4:$P$1203,3,0),""))</f>
        <v/>
      </c>
      <c r="C799" s="24">
        <f>IF($A799="","",IFERROR(VLOOKUP($A799,物料档案!$A$4:$P$1203,4,0),""))</f>
        <v/>
      </c>
      <c r="D799" s="24">
        <f>IF($A799="","",IFERROR(VLOOKUP($A799,物料档案!$A$4:$P$1203,5,0),""))</f>
        <v/>
      </c>
      <c r="E799" s="24">
        <f>IF($A799="","",IFERROR(VLOOKUP($A799,物料档案!$A$4:$P$1203,2,0),""))</f>
        <v/>
      </c>
      <c r="F799" s="24">
        <f>IF($A799="","",IFERROR(VLOOKUP($A799,物料档案!$A$4:$P$1203,6,0),""))</f>
        <v/>
      </c>
      <c r="G799" s="23" t="n"/>
      <c r="H799" s="32" t="n"/>
      <c r="I799" s="27">
        <f>IF($A799="","",SUMIFS(入库单!$K$4:$K$2503,入库单!$G$4:$G$2503,$A799,入库单!$X$4:$X$2503,"采购入库",入库单!$Z$4:$Z$2503,"正常",入库单!$C$4:$C$2503,"&gt;="&amp;账期起,入库单!$C$4:$C$2503,"&lt;="&amp;账期止))</f>
        <v/>
      </c>
      <c r="J799" s="26">
        <f>IF($A799="","",SUMIFS(入库单!$V$4:$V$2503,入库单!$G$4:$G$2503,$A799,入库单!$X$4:$X$2503,"采购入库",入库单!$Z$4:$Z$2503,"正常",入库单!$C$4:$C$2503,"&gt;="&amp;账期起,入库单!$C$4:$C$2503,"&lt;="&amp;账期止))</f>
        <v/>
      </c>
      <c r="K799" s="26">
        <f>IF($A799="","",IFERROR(ROUND((N($H799)+N($J799))/(N($G799)+N($I799)),2),0))</f>
        <v/>
      </c>
      <c r="L799" s="27">
        <f>IF($A799="","",SUMIFS(入库单!$K$4:$K$2503,入库单!$G$4:$G$2503,$A799,入库单!$X$4:$X$2503,"盘盈",入库单!$Z$4:$Z$2503,"正常",入库单!$C$4:$C$2503,"&gt;="&amp;账期起,入库单!$C$4:$C$2503,"&lt;="&amp;账期止))</f>
        <v/>
      </c>
      <c r="M799" s="26">
        <f>IF($A799="","",ROUND($L799*$K799,0))</f>
        <v/>
      </c>
      <c r="N799" s="27">
        <f>IF($A799="","",SUMIFS(入库单!$K$4:$K$2503,入库单!$G$4:$G$2503,$A799,入库单!$X$4:$X$2503,"矿区退库",入库单!$Z$4:$Z$2503,"正常",入库单!$C$4:$C$2503,"&gt;="&amp;账期起,入库单!$C$4:$C$2503,"&lt;="&amp;账期止))</f>
        <v/>
      </c>
      <c r="O799" s="26">
        <f>IF($A799="","",ROUND($N799*$K799,0))</f>
        <v/>
      </c>
      <c r="P799" s="27">
        <f>IF($A799="","",SUMIFS(出库单!$J$4:$J$4003,出库单!$D$4:$D$4003,$A799,出库单!$K$4:$K$4003,"自用消耗",出库单!$U$4:$U$4003,"正常",出库单!$C$4:$C$4003,"&gt;="&amp;账期起,出库单!$C$4:$C$4003,"&lt;="&amp;账期止))</f>
        <v/>
      </c>
      <c r="Q799" s="26">
        <f>IF($A799="","",ROUND(SUMIFS(出库单!$S$4:$S$4003,出库单!$D$4:$D$4003,$A799,出库单!$K$4:$K$4003,"自用消耗",出库单!$U$4:$U$4003,"正常",出库单!$C$4:$C$4003,"&gt;="&amp;账期起,出库单!$C$4:$C$4003,"&lt;="&amp;账期止),0))</f>
        <v/>
      </c>
      <c r="R799" s="27">
        <f>IF($A799="","",SUMIFS(出库单!$J$4:$J$4003,出库单!$D$4:$D$4003,$A799,出库单!$K$4:$K$4003,"对外销售",出库单!$U$4:$U$4003,"正常",出库单!$C$4:$C$4003,"&gt;="&amp;账期起,出库单!$C$4:$C$4003,"&lt;="&amp;账期止))</f>
        <v/>
      </c>
      <c r="S799" s="26">
        <f>IF($A799="","",ROUND(SUMIFS(出库单!$S$4:$S$4003,出库单!$D$4:$D$4003,$A799,出库单!$K$4:$K$4003,"对外销售",出库单!$U$4:$U$4003,"正常",出库单!$C$4:$C$4003,"&gt;="&amp;账期起,出库单!$C$4:$C$4003,"&lt;="&amp;账期止),0))</f>
        <v/>
      </c>
      <c r="T799" s="27">
        <f>IF($A799="","",SUMIFS(出库单!$J$4:$J$4003,出库单!$D$4:$D$4003,$A799,出库单!$K$4:$K$4003,"盘亏",出库单!$U$4:$U$4003,"正常",出库单!$C$4:$C$4003,"&gt;="&amp;账期起,出库单!$C$4:$C$4003,"&lt;="&amp;账期止))</f>
        <v/>
      </c>
      <c r="U799" s="26">
        <f>IF($A799="","",ROUND(SUMIFS(出库单!$S$4:$S$4003,出库单!$D$4:$D$4003,$A799,出库单!$K$4:$K$4003,"盘亏",出库单!$U$4:$U$4003,"正常",出库单!$C$4:$C$4003,"&gt;="&amp;账期起,出库单!$C$4:$C$4003,"&lt;="&amp;账期止),0))</f>
        <v/>
      </c>
      <c r="V799" s="27">
        <f>IF($A799="","",SUMIFS(出库单!$J$4:$J$4003,出库单!$D$4:$D$4003,$A799,出库单!$K$4:$K$4003,"退货给供应商",出库单!$U$4:$U$4003,"正常",出库单!$C$4:$C$4003,"&gt;="&amp;账期起,出库单!$C$4:$C$4003,"&lt;="&amp;账期止))</f>
        <v/>
      </c>
      <c r="W799" s="26">
        <f>IF($A799="","",ROUND(SUMIFS(出库单!$S$4:$S$4003,出库单!$D$4:$D$4003,$A799,出库单!$K$4:$K$4003,"退货给供应商",出库单!$U$4:$U$4003,"正常",出库单!$C$4:$C$4003,"&gt;="&amp;账期起,出库单!$C$4:$C$4003,"&lt;="&amp;账期止),0))</f>
        <v/>
      </c>
      <c r="X799" s="27">
        <f>IF($A799="","",ROUND(N($G799)+$I799+$L799+$N799-$P799-$R799-$T799-$V799,3))</f>
        <v/>
      </c>
      <c r="Y799" s="26">
        <f>IF($A799="","",ROUND(N($H799)+$J799+$M799+$O799-$Q799-$S799-$U799-$W799,0))</f>
        <v/>
      </c>
      <c r="Z799" s="24">
        <f>IF($A799="","",IF(COUNTIFS(入库单!$G$4:$G$2503,$A799,入库单!$Y$4:$Y$2503,"待补价")+COUNTIFS(入库单!$G$4:$G$2503,$A799,入库单!$Y$4:$Y$2503,"暂估")&gt;0,"不可信","可信"))</f>
        <v/>
      </c>
      <c r="AA799" s="24">
        <f>IF($A799="","",IF($X799&lt;-0.001,"※账面负库存，查一下是不是漏记入库",IF(AND(ROUND($X799,3)=0,ABS($Y799)&gt;1),"※数量已经是 0，金额还挂着 "&amp;TEXT($Y799,"#,##0")&amp;" 先令",IF(AND($X799&gt;0,$Y799&lt;=0,$K799=0),"※有数量没金额（这个物料一直没填过进价）",IF($Z799="不可信","△成本含待补价/暂估，毛利仅供参考","")))))</f>
        <v/>
      </c>
    </row>
    <row r="800">
      <c r="A800" s="24">
        <f>IF(物料档案!$A799="","",物料档案!$A799)</f>
        <v/>
      </c>
      <c r="B800" s="24">
        <f>IF($A800="","",IFERROR(VLOOKUP($A800,物料档案!$A$4:$P$1203,3,0),""))</f>
        <v/>
      </c>
      <c r="C800" s="24">
        <f>IF($A800="","",IFERROR(VLOOKUP($A800,物料档案!$A$4:$P$1203,4,0),""))</f>
        <v/>
      </c>
      <c r="D800" s="24">
        <f>IF($A800="","",IFERROR(VLOOKUP($A800,物料档案!$A$4:$P$1203,5,0),""))</f>
        <v/>
      </c>
      <c r="E800" s="24">
        <f>IF($A800="","",IFERROR(VLOOKUP($A800,物料档案!$A$4:$P$1203,2,0),""))</f>
        <v/>
      </c>
      <c r="F800" s="24">
        <f>IF($A800="","",IFERROR(VLOOKUP($A800,物料档案!$A$4:$P$1203,6,0),""))</f>
        <v/>
      </c>
      <c r="G800" s="23" t="n"/>
      <c r="H800" s="32" t="n"/>
      <c r="I800" s="27">
        <f>IF($A800="","",SUMIFS(入库单!$K$4:$K$2503,入库单!$G$4:$G$2503,$A800,入库单!$X$4:$X$2503,"采购入库",入库单!$Z$4:$Z$2503,"正常",入库单!$C$4:$C$2503,"&gt;="&amp;账期起,入库单!$C$4:$C$2503,"&lt;="&amp;账期止))</f>
        <v/>
      </c>
      <c r="J800" s="26">
        <f>IF($A800="","",SUMIFS(入库单!$V$4:$V$2503,入库单!$G$4:$G$2503,$A800,入库单!$X$4:$X$2503,"采购入库",入库单!$Z$4:$Z$2503,"正常",入库单!$C$4:$C$2503,"&gt;="&amp;账期起,入库单!$C$4:$C$2503,"&lt;="&amp;账期止))</f>
        <v/>
      </c>
      <c r="K800" s="26">
        <f>IF($A800="","",IFERROR(ROUND((N($H800)+N($J800))/(N($G800)+N($I800)),2),0))</f>
        <v/>
      </c>
      <c r="L800" s="27">
        <f>IF($A800="","",SUMIFS(入库单!$K$4:$K$2503,入库单!$G$4:$G$2503,$A800,入库单!$X$4:$X$2503,"盘盈",入库单!$Z$4:$Z$2503,"正常",入库单!$C$4:$C$2503,"&gt;="&amp;账期起,入库单!$C$4:$C$2503,"&lt;="&amp;账期止))</f>
        <v/>
      </c>
      <c r="M800" s="26">
        <f>IF($A800="","",ROUND($L800*$K800,0))</f>
        <v/>
      </c>
      <c r="N800" s="27">
        <f>IF($A800="","",SUMIFS(入库单!$K$4:$K$2503,入库单!$G$4:$G$2503,$A800,入库单!$X$4:$X$2503,"矿区退库",入库单!$Z$4:$Z$2503,"正常",入库单!$C$4:$C$2503,"&gt;="&amp;账期起,入库单!$C$4:$C$2503,"&lt;="&amp;账期止))</f>
        <v/>
      </c>
      <c r="O800" s="26">
        <f>IF($A800="","",ROUND($N800*$K800,0))</f>
        <v/>
      </c>
      <c r="P800" s="27">
        <f>IF($A800="","",SUMIFS(出库单!$J$4:$J$4003,出库单!$D$4:$D$4003,$A800,出库单!$K$4:$K$4003,"自用消耗",出库单!$U$4:$U$4003,"正常",出库单!$C$4:$C$4003,"&gt;="&amp;账期起,出库单!$C$4:$C$4003,"&lt;="&amp;账期止))</f>
        <v/>
      </c>
      <c r="Q800" s="26">
        <f>IF($A800="","",ROUND(SUMIFS(出库单!$S$4:$S$4003,出库单!$D$4:$D$4003,$A800,出库单!$K$4:$K$4003,"自用消耗",出库单!$U$4:$U$4003,"正常",出库单!$C$4:$C$4003,"&gt;="&amp;账期起,出库单!$C$4:$C$4003,"&lt;="&amp;账期止),0))</f>
        <v/>
      </c>
      <c r="R800" s="27">
        <f>IF($A800="","",SUMIFS(出库单!$J$4:$J$4003,出库单!$D$4:$D$4003,$A800,出库单!$K$4:$K$4003,"对外销售",出库单!$U$4:$U$4003,"正常",出库单!$C$4:$C$4003,"&gt;="&amp;账期起,出库单!$C$4:$C$4003,"&lt;="&amp;账期止))</f>
        <v/>
      </c>
      <c r="S800" s="26">
        <f>IF($A800="","",ROUND(SUMIFS(出库单!$S$4:$S$4003,出库单!$D$4:$D$4003,$A800,出库单!$K$4:$K$4003,"对外销售",出库单!$U$4:$U$4003,"正常",出库单!$C$4:$C$4003,"&gt;="&amp;账期起,出库单!$C$4:$C$4003,"&lt;="&amp;账期止),0))</f>
        <v/>
      </c>
      <c r="T800" s="27">
        <f>IF($A800="","",SUMIFS(出库单!$J$4:$J$4003,出库单!$D$4:$D$4003,$A800,出库单!$K$4:$K$4003,"盘亏",出库单!$U$4:$U$4003,"正常",出库单!$C$4:$C$4003,"&gt;="&amp;账期起,出库单!$C$4:$C$4003,"&lt;="&amp;账期止))</f>
        <v/>
      </c>
      <c r="U800" s="26">
        <f>IF($A800="","",ROUND(SUMIFS(出库单!$S$4:$S$4003,出库单!$D$4:$D$4003,$A800,出库单!$K$4:$K$4003,"盘亏",出库单!$U$4:$U$4003,"正常",出库单!$C$4:$C$4003,"&gt;="&amp;账期起,出库单!$C$4:$C$4003,"&lt;="&amp;账期止),0))</f>
        <v/>
      </c>
      <c r="V800" s="27">
        <f>IF($A800="","",SUMIFS(出库单!$J$4:$J$4003,出库单!$D$4:$D$4003,$A800,出库单!$K$4:$K$4003,"退货给供应商",出库单!$U$4:$U$4003,"正常",出库单!$C$4:$C$4003,"&gt;="&amp;账期起,出库单!$C$4:$C$4003,"&lt;="&amp;账期止))</f>
        <v/>
      </c>
      <c r="W800" s="26">
        <f>IF($A800="","",ROUND(SUMIFS(出库单!$S$4:$S$4003,出库单!$D$4:$D$4003,$A800,出库单!$K$4:$K$4003,"退货给供应商",出库单!$U$4:$U$4003,"正常",出库单!$C$4:$C$4003,"&gt;="&amp;账期起,出库单!$C$4:$C$4003,"&lt;="&amp;账期止),0))</f>
        <v/>
      </c>
      <c r="X800" s="27">
        <f>IF($A800="","",ROUND(N($G800)+$I800+$L800+$N800-$P800-$R800-$T800-$V800,3))</f>
        <v/>
      </c>
      <c r="Y800" s="26">
        <f>IF($A800="","",ROUND(N($H800)+$J800+$M800+$O800-$Q800-$S800-$U800-$W800,0))</f>
        <v/>
      </c>
      <c r="Z800" s="24">
        <f>IF($A800="","",IF(COUNTIFS(入库单!$G$4:$G$2503,$A800,入库单!$Y$4:$Y$2503,"待补价")+COUNTIFS(入库单!$G$4:$G$2503,$A800,入库单!$Y$4:$Y$2503,"暂估")&gt;0,"不可信","可信"))</f>
        <v/>
      </c>
      <c r="AA800" s="24">
        <f>IF($A800="","",IF($X800&lt;-0.001,"※账面负库存，查一下是不是漏记入库",IF(AND(ROUND($X800,3)=0,ABS($Y800)&gt;1),"※数量已经是 0，金额还挂着 "&amp;TEXT($Y800,"#,##0")&amp;" 先令",IF(AND($X800&gt;0,$Y800&lt;=0,$K800=0),"※有数量没金额（这个物料一直没填过进价）",IF($Z800="不可信","△成本含待补价/暂估，毛利仅供参考","")))))</f>
        <v/>
      </c>
    </row>
    <row r="801">
      <c r="A801" s="24">
        <f>IF(物料档案!$A800="","",物料档案!$A800)</f>
        <v/>
      </c>
      <c r="B801" s="24">
        <f>IF($A801="","",IFERROR(VLOOKUP($A801,物料档案!$A$4:$P$1203,3,0),""))</f>
        <v/>
      </c>
      <c r="C801" s="24">
        <f>IF($A801="","",IFERROR(VLOOKUP($A801,物料档案!$A$4:$P$1203,4,0),""))</f>
        <v/>
      </c>
      <c r="D801" s="24">
        <f>IF($A801="","",IFERROR(VLOOKUP($A801,物料档案!$A$4:$P$1203,5,0),""))</f>
        <v/>
      </c>
      <c r="E801" s="24">
        <f>IF($A801="","",IFERROR(VLOOKUP($A801,物料档案!$A$4:$P$1203,2,0),""))</f>
        <v/>
      </c>
      <c r="F801" s="24">
        <f>IF($A801="","",IFERROR(VLOOKUP($A801,物料档案!$A$4:$P$1203,6,0),""))</f>
        <v/>
      </c>
      <c r="G801" s="23" t="n"/>
      <c r="H801" s="32" t="n"/>
      <c r="I801" s="27">
        <f>IF($A801="","",SUMIFS(入库单!$K$4:$K$2503,入库单!$G$4:$G$2503,$A801,入库单!$X$4:$X$2503,"采购入库",入库单!$Z$4:$Z$2503,"正常",入库单!$C$4:$C$2503,"&gt;="&amp;账期起,入库单!$C$4:$C$2503,"&lt;="&amp;账期止))</f>
        <v/>
      </c>
      <c r="J801" s="26">
        <f>IF($A801="","",SUMIFS(入库单!$V$4:$V$2503,入库单!$G$4:$G$2503,$A801,入库单!$X$4:$X$2503,"采购入库",入库单!$Z$4:$Z$2503,"正常",入库单!$C$4:$C$2503,"&gt;="&amp;账期起,入库单!$C$4:$C$2503,"&lt;="&amp;账期止))</f>
        <v/>
      </c>
      <c r="K801" s="26">
        <f>IF($A801="","",IFERROR(ROUND((N($H801)+N($J801))/(N($G801)+N($I801)),2),0))</f>
        <v/>
      </c>
      <c r="L801" s="27">
        <f>IF($A801="","",SUMIFS(入库单!$K$4:$K$2503,入库单!$G$4:$G$2503,$A801,入库单!$X$4:$X$2503,"盘盈",入库单!$Z$4:$Z$2503,"正常",入库单!$C$4:$C$2503,"&gt;="&amp;账期起,入库单!$C$4:$C$2503,"&lt;="&amp;账期止))</f>
        <v/>
      </c>
      <c r="M801" s="26">
        <f>IF($A801="","",ROUND($L801*$K801,0))</f>
        <v/>
      </c>
      <c r="N801" s="27">
        <f>IF($A801="","",SUMIFS(入库单!$K$4:$K$2503,入库单!$G$4:$G$2503,$A801,入库单!$X$4:$X$2503,"矿区退库",入库单!$Z$4:$Z$2503,"正常",入库单!$C$4:$C$2503,"&gt;="&amp;账期起,入库单!$C$4:$C$2503,"&lt;="&amp;账期止))</f>
        <v/>
      </c>
      <c r="O801" s="26">
        <f>IF($A801="","",ROUND($N801*$K801,0))</f>
        <v/>
      </c>
      <c r="P801" s="27">
        <f>IF($A801="","",SUMIFS(出库单!$J$4:$J$4003,出库单!$D$4:$D$4003,$A801,出库单!$K$4:$K$4003,"自用消耗",出库单!$U$4:$U$4003,"正常",出库单!$C$4:$C$4003,"&gt;="&amp;账期起,出库单!$C$4:$C$4003,"&lt;="&amp;账期止))</f>
        <v/>
      </c>
      <c r="Q801" s="26">
        <f>IF($A801="","",ROUND(SUMIFS(出库单!$S$4:$S$4003,出库单!$D$4:$D$4003,$A801,出库单!$K$4:$K$4003,"自用消耗",出库单!$U$4:$U$4003,"正常",出库单!$C$4:$C$4003,"&gt;="&amp;账期起,出库单!$C$4:$C$4003,"&lt;="&amp;账期止),0))</f>
        <v/>
      </c>
      <c r="R801" s="27">
        <f>IF($A801="","",SUMIFS(出库单!$J$4:$J$4003,出库单!$D$4:$D$4003,$A801,出库单!$K$4:$K$4003,"对外销售",出库单!$U$4:$U$4003,"正常",出库单!$C$4:$C$4003,"&gt;="&amp;账期起,出库单!$C$4:$C$4003,"&lt;="&amp;账期止))</f>
        <v/>
      </c>
      <c r="S801" s="26">
        <f>IF($A801="","",ROUND(SUMIFS(出库单!$S$4:$S$4003,出库单!$D$4:$D$4003,$A801,出库单!$K$4:$K$4003,"对外销售",出库单!$U$4:$U$4003,"正常",出库单!$C$4:$C$4003,"&gt;="&amp;账期起,出库单!$C$4:$C$4003,"&lt;="&amp;账期止),0))</f>
        <v/>
      </c>
      <c r="T801" s="27">
        <f>IF($A801="","",SUMIFS(出库单!$J$4:$J$4003,出库单!$D$4:$D$4003,$A801,出库单!$K$4:$K$4003,"盘亏",出库单!$U$4:$U$4003,"正常",出库单!$C$4:$C$4003,"&gt;="&amp;账期起,出库单!$C$4:$C$4003,"&lt;="&amp;账期止))</f>
        <v/>
      </c>
      <c r="U801" s="26">
        <f>IF($A801="","",ROUND(SUMIFS(出库单!$S$4:$S$4003,出库单!$D$4:$D$4003,$A801,出库单!$K$4:$K$4003,"盘亏",出库单!$U$4:$U$4003,"正常",出库单!$C$4:$C$4003,"&gt;="&amp;账期起,出库单!$C$4:$C$4003,"&lt;="&amp;账期止),0))</f>
        <v/>
      </c>
      <c r="V801" s="27">
        <f>IF($A801="","",SUMIFS(出库单!$J$4:$J$4003,出库单!$D$4:$D$4003,$A801,出库单!$K$4:$K$4003,"退货给供应商",出库单!$U$4:$U$4003,"正常",出库单!$C$4:$C$4003,"&gt;="&amp;账期起,出库单!$C$4:$C$4003,"&lt;="&amp;账期止))</f>
        <v/>
      </c>
      <c r="W801" s="26">
        <f>IF($A801="","",ROUND(SUMIFS(出库单!$S$4:$S$4003,出库单!$D$4:$D$4003,$A801,出库单!$K$4:$K$4003,"退货给供应商",出库单!$U$4:$U$4003,"正常",出库单!$C$4:$C$4003,"&gt;="&amp;账期起,出库单!$C$4:$C$4003,"&lt;="&amp;账期止),0))</f>
        <v/>
      </c>
      <c r="X801" s="27">
        <f>IF($A801="","",ROUND(N($G801)+$I801+$L801+$N801-$P801-$R801-$T801-$V801,3))</f>
        <v/>
      </c>
      <c r="Y801" s="26">
        <f>IF($A801="","",ROUND(N($H801)+$J801+$M801+$O801-$Q801-$S801-$U801-$W801,0))</f>
        <v/>
      </c>
      <c r="Z801" s="24">
        <f>IF($A801="","",IF(COUNTIFS(入库单!$G$4:$G$2503,$A801,入库单!$Y$4:$Y$2503,"待补价")+COUNTIFS(入库单!$G$4:$G$2503,$A801,入库单!$Y$4:$Y$2503,"暂估")&gt;0,"不可信","可信"))</f>
        <v/>
      </c>
      <c r="AA801" s="24">
        <f>IF($A801="","",IF($X801&lt;-0.001,"※账面负库存，查一下是不是漏记入库",IF(AND(ROUND($X801,3)=0,ABS($Y801)&gt;1),"※数量已经是 0，金额还挂着 "&amp;TEXT($Y801,"#,##0")&amp;" 先令",IF(AND($X801&gt;0,$Y801&lt;=0,$K801=0),"※有数量没金额（这个物料一直没填过进价）",IF($Z801="不可信","△成本含待补价/暂估，毛利仅供参考","")))))</f>
        <v/>
      </c>
    </row>
    <row r="802">
      <c r="A802" s="24">
        <f>IF(物料档案!$A801="","",物料档案!$A801)</f>
        <v/>
      </c>
      <c r="B802" s="24">
        <f>IF($A802="","",IFERROR(VLOOKUP($A802,物料档案!$A$4:$P$1203,3,0),""))</f>
        <v/>
      </c>
      <c r="C802" s="24">
        <f>IF($A802="","",IFERROR(VLOOKUP($A802,物料档案!$A$4:$P$1203,4,0),""))</f>
        <v/>
      </c>
      <c r="D802" s="24">
        <f>IF($A802="","",IFERROR(VLOOKUP($A802,物料档案!$A$4:$P$1203,5,0),""))</f>
        <v/>
      </c>
      <c r="E802" s="24">
        <f>IF($A802="","",IFERROR(VLOOKUP($A802,物料档案!$A$4:$P$1203,2,0),""))</f>
        <v/>
      </c>
      <c r="F802" s="24">
        <f>IF($A802="","",IFERROR(VLOOKUP($A802,物料档案!$A$4:$P$1203,6,0),""))</f>
        <v/>
      </c>
      <c r="G802" s="23" t="n"/>
      <c r="H802" s="32" t="n"/>
      <c r="I802" s="27">
        <f>IF($A802="","",SUMIFS(入库单!$K$4:$K$2503,入库单!$G$4:$G$2503,$A802,入库单!$X$4:$X$2503,"采购入库",入库单!$Z$4:$Z$2503,"正常",入库单!$C$4:$C$2503,"&gt;="&amp;账期起,入库单!$C$4:$C$2503,"&lt;="&amp;账期止))</f>
        <v/>
      </c>
      <c r="J802" s="26">
        <f>IF($A802="","",SUMIFS(入库单!$V$4:$V$2503,入库单!$G$4:$G$2503,$A802,入库单!$X$4:$X$2503,"采购入库",入库单!$Z$4:$Z$2503,"正常",入库单!$C$4:$C$2503,"&gt;="&amp;账期起,入库单!$C$4:$C$2503,"&lt;="&amp;账期止))</f>
        <v/>
      </c>
      <c r="K802" s="26">
        <f>IF($A802="","",IFERROR(ROUND((N($H802)+N($J802))/(N($G802)+N($I802)),2),0))</f>
        <v/>
      </c>
      <c r="L802" s="27">
        <f>IF($A802="","",SUMIFS(入库单!$K$4:$K$2503,入库单!$G$4:$G$2503,$A802,入库单!$X$4:$X$2503,"盘盈",入库单!$Z$4:$Z$2503,"正常",入库单!$C$4:$C$2503,"&gt;="&amp;账期起,入库单!$C$4:$C$2503,"&lt;="&amp;账期止))</f>
        <v/>
      </c>
      <c r="M802" s="26">
        <f>IF($A802="","",ROUND($L802*$K802,0))</f>
        <v/>
      </c>
      <c r="N802" s="27">
        <f>IF($A802="","",SUMIFS(入库单!$K$4:$K$2503,入库单!$G$4:$G$2503,$A802,入库单!$X$4:$X$2503,"矿区退库",入库单!$Z$4:$Z$2503,"正常",入库单!$C$4:$C$2503,"&gt;="&amp;账期起,入库单!$C$4:$C$2503,"&lt;="&amp;账期止))</f>
        <v/>
      </c>
      <c r="O802" s="26">
        <f>IF($A802="","",ROUND($N802*$K802,0))</f>
        <v/>
      </c>
      <c r="P802" s="27">
        <f>IF($A802="","",SUMIFS(出库单!$J$4:$J$4003,出库单!$D$4:$D$4003,$A802,出库单!$K$4:$K$4003,"自用消耗",出库单!$U$4:$U$4003,"正常",出库单!$C$4:$C$4003,"&gt;="&amp;账期起,出库单!$C$4:$C$4003,"&lt;="&amp;账期止))</f>
        <v/>
      </c>
      <c r="Q802" s="26">
        <f>IF($A802="","",ROUND(SUMIFS(出库单!$S$4:$S$4003,出库单!$D$4:$D$4003,$A802,出库单!$K$4:$K$4003,"自用消耗",出库单!$U$4:$U$4003,"正常",出库单!$C$4:$C$4003,"&gt;="&amp;账期起,出库单!$C$4:$C$4003,"&lt;="&amp;账期止),0))</f>
        <v/>
      </c>
      <c r="R802" s="27">
        <f>IF($A802="","",SUMIFS(出库单!$J$4:$J$4003,出库单!$D$4:$D$4003,$A802,出库单!$K$4:$K$4003,"对外销售",出库单!$U$4:$U$4003,"正常",出库单!$C$4:$C$4003,"&gt;="&amp;账期起,出库单!$C$4:$C$4003,"&lt;="&amp;账期止))</f>
        <v/>
      </c>
      <c r="S802" s="26">
        <f>IF($A802="","",ROUND(SUMIFS(出库单!$S$4:$S$4003,出库单!$D$4:$D$4003,$A802,出库单!$K$4:$K$4003,"对外销售",出库单!$U$4:$U$4003,"正常",出库单!$C$4:$C$4003,"&gt;="&amp;账期起,出库单!$C$4:$C$4003,"&lt;="&amp;账期止),0))</f>
        <v/>
      </c>
      <c r="T802" s="27">
        <f>IF($A802="","",SUMIFS(出库单!$J$4:$J$4003,出库单!$D$4:$D$4003,$A802,出库单!$K$4:$K$4003,"盘亏",出库单!$U$4:$U$4003,"正常",出库单!$C$4:$C$4003,"&gt;="&amp;账期起,出库单!$C$4:$C$4003,"&lt;="&amp;账期止))</f>
        <v/>
      </c>
      <c r="U802" s="26">
        <f>IF($A802="","",ROUND(SUMIFS(出库单!$S$4:$S$4003,出库单!$D$4:$D$4003,$A802,出库单!$K$4:$K$4003,"盘亏",出库单!$U$4:$U$4003,"正常",出库单!$C$4:$C$4003,"&gt;="&amp;账期起,出库单!$C$4:$C$4003,"&lt;="&amp;账期止),0))</f>
        <v/>
      </c>
      <c r="V802" s="27">
        <f>IF($A802="","",SUMIFS(出库单!$J$4:$J$4003,出库单!$D$4:$D$4003,$A802,出库单!$K$4:$K$4003,"退货给供应商",出库单!$U$4:$U$4003,"正常",出库单!$C$4:$C$4003,"&gt;="&amp;账期起,出库单!$C$4:$C$4003,"&lt;="&amp;账期止))</f>
        <v/>
      </c>
      <c r="W802" s="26">
        <f>IF($A802="","",ROUND(SUMIFS(出库单!$S$4:$S$4003,出库单!$D$4:$D$4003,$A802,出库单!$K$4:$K$4003,"退货给供应商",出库单!$U$4:$U$4003,"正常",出库单!$C$4:$C$4003,"&gt;="&amp;账期起,出库单!$C$4:$C$4003,"&lt;="&amp;账期止),0))</f>
        <v/>
      </c>
      <c r="X802" s="27">
        <f>IF($A802="","",ROUND(N($G802)+$I802+$L802+$N802-$P802-$R802-$T802-$V802,3))</f>
        <v/>
      </c>
      <c r="Y802" s="26">
        <f>IF($A802="","",ROUND(N($H802)+$J802+$M802+$O802-$Q802-$S802-$U802-$W802,0))</f>
        <v/>
      </c>
      <c r="Z802" s="24">
        <f>IF($A802="","",IF(COUNTIFS(入库单!$G$4:$G$2503,$A802,入库单!$Y$4:$Y$2503,"待补价")+COUNTIFS(入库单!$G$4:$G$2503,$A802,入库单!$Y$4:$Y$2503,"暂估")&gt;0,"不可信","可信"))</f>
        <v/>
      </c>
      <c r="AA802" s="24">
        <f>IF($A802="","",IF($X802&lt;-0.001,"※账面负库存，查一下是不是漏记入库",IF(AND(ROUND($X802,3)=0,ABS($Y802)&gt;1),"※数量已经是 0，金额还挂着 "&amp;TEXT($Y802,"#,##0")&amp;" 先令",IF(AND($X802&gt;0,$Y802&lt;=0,$K802=0),"※有数量没金额（这个物料一直没填过进价）",IF($Z802="不可信","△成本含待补价/暂估，毛利仅供参考","")))))</f>
        <v/>
      </c>
    </row>
    <row r="803">
      <c r="A803" s="24">
        <f>IF(物料档案!$A802="","",物料档案!$A802)</f>
        <v/>
      </c>
      <c r="B803" s="24">
        <f>IF($A803="","",IFERROR(VLOOKUP($A803,物料档案!$A$4:$P$1203,3,0),""))</f>
        <v/>
      </c>
      <c r="C803" s="24">
        <f>IF($A803="","",IFERROR(VLOOKUP($A803,物料档案!$A$4:$P$1203,4,0),""))</f>
        <v/>
      </c>
      <c r="D803" s="24">
        <f>IF($A803="","",IFERROR(VLOOKUP($A803,物料档案!$A$4:$P$1203,5,0),""))</f>
        <v/>
      </c>
      <c r="E803" s="24">
        <f>IF($A803="","",IFERROR(VLOOKUP($A803,物料档案!$A$4:$P$1203,2,0),""))</f>
        <v/>
      </c>
      <c r="F803" s="24">
        <f>IF($A803="","",IFERROR(VLOOKUP($A803,物料档案!$A$4:$P$1203,6,0),""))</f>
        <v/>
      </c>
      <c r="G803" s="23" t="n"/>
      <c r="H803" s="32" t="n"/>
      <c r="I803" s="27">
        <f>IF($A803="","",SUMIFS(入库单!$K$4:$K$2503,入库单!$G$4:$G$2503,$A803,入库单!$X$4:$X$2503,"采购入库",入库单!$Z$4:$Z$2503,"正常",入库单!$C$4:$C$2503,"&gt;="&amp;账期起,入库单!$C$4:$C$2503,"&lt;="&amp;账期止))</f>
        <v/>
      </c>
      <c r="J803" s="26">
        <f>IF($A803="","",SUMIFS(入库单!$V$4:$V$2503,入库单!$G$4:$G$2503,$A803,入库单!$X$4:$X$2503,"采购入库",入库单!$Z$4:$Z$2503,"正常",入库单!$C$4:$C$2503,"&gt;="&amp;账期起,入库单!$C$4:$C$2503,"&lt;="&amp;账期止))</f>
        <v/>
      </c>
      <c r="K803" s="26">
        <f>IF($A803="","",IFERROR(ROUND((N($H803)+N($J803))/(N($G803)+N($I803)),2),0))</f>
        <v/>
      </c>
      <c r="L803" s="27">
        <f>IF($A803="","",SUMIFS(入库单!$K$4:$K$2503,入库单!$G$4:$G$2503,$A803,入库单!$X$4:$X$2503,"盘盈",入库单!$Z$4:$Z$2503,"正常",入库单!$C$4:$C$2503,"&gt;="&amp;账期起,入库单!$C$4:$C$2503,"&lt;="&amp;账期止))</f>
        <v/>
      </c>
      <c r="M803" s="26">
        <f>IF($A803="","",ROUND($L803*$K803,0))</f>
        <v/>
      </c>
      <c r="N803" s="27">
        <f>IF($A803="","",SUMIFS(入库单!$K$4:$K$2503,入库单!$G$4:$G$2503,$A803,入库单!$X$4:$X$2503,"矿区退库",入库单!$Z$4:$Z$2503,"正常",入库单!$C$4:$C$2503,"&gt;="&amp;账期起,入库单!$C$4:$C$2503,"&lt;="&amp;账期止))</f>
        <v/>
      </c>
      <c r="O803" s="26">
        <f>IF($A803="","",ROUND($N803*$K803,0))</f>
        <v/>
      </c>
      <c r="P803" s="27">
        <f>IF($A803="","",SUMIFS(出库单!$J$4:$J$4003,出库单!$D$4:$D$4003,$A803,出库单!$K$4:$K$4003,"自用消耗",出库单!$U$4:$U$4003,"正常",出库单!$C$4:$C$4003,"&gt;="&amp;账期起,出库单!$C$4:$C$4003,"&lt;="&amp;账期止))</f>
        <v/>
      </c>
      <c r="Q803" s="26">
        <f>IF($A803="","",ROUND(SUMIFS(出库单!$S$4:$S$4003,出库单!$D$4:$D$4003,$A803,出库单!$K$4:$K$4003,"自用消耗",出库单!$U$4:$U$4003,"正常",出库单!$C$4:$C$4003,"&gt;="&amp;账期起,出库单!$C$4:$C$4003,"&lt;="&amp;账期止),0))</f>
        <v/>
      </c>
      <c r="R803" s="27">
        <f>IF($A803="","",SUMIFS(出库单!$J$4:$J$4003,出库单!$D$4:$D$4003,$A803,出库单!$K$4:$K$4003,"对外销售",出库单!$U$4:$U$4003,"正常",出库单!$C$4:$C$4003,"&gt;="&amp;账期起,出库单!$C$4:$C$4003,"&lt;="&amp;账期止))</f>
        <v/>
      </c>
      <c r="S803" s="26">
        <f>IF($A803="","",ROUND(SUMIFS(出库单!$S$4:$S$4003,出库单!$D$4:$D$4003,$A803,出库单!$K$4:$K$4003,"对外销售",出库单!$U$4:$U$4003,"正常",出库单!$C$4:$C$4003,"&gt;="&amp;账期起,出库单!$C$4:$C$4003,"&lt;="&amp;账期止),0))</f>
        <v/>
      </c>
      <c r="T803" s="27">
        <f>IF($A803="","",SUMIFS(出库单!$J$4:$J$4003,出库单!$D$4:$D$4003,$A803,出库单!$K$4:$K$4003,"盘亏",出库单!$U$4:$U$4003,"正常",出库单!$C$4:$C$4003,"&gt;="&amp;账期起,出库单!$C$4:$C$4003,"&lt;="&amp;账期止))</f>
        <v/>
      </c>
      <c r="U803" s="26">
        <f>IF($A803="","",ROUND(SUMIFS(出库单!$S$4:$S$4003,出库单!$D$4:$D$4003,$A803,出库单!$K$4:$K$4003,"盘亏",出库单!$U$4:$U$4003,"正常",出库单!$C$4:$C$4003,"&gt;="&amp;账期起,出库单!$C$4:$C$4003,"&lt;="&amp;账期止),0))</f>
        <v/>
      </c>
      <c r="V803" s="27">
        <f>IF($A803="","",SUMIFS(出库单!$J$4:$J$4003,出库单!$D$4:$D$4003,$A803,出库单!$K$4:$K$4003,"退货给供应商",出库单!$U$4:$U$4003,"正常",出库单!$C$4:$C$4003,"&gt;="&amp;账期起,出库单!$C$4:$C$4003,"&lt;="&amp;账期止))</f>
        <v/>
      </c>
      <c r="W803" s="26">
        <f>IF($A803="","",ROUND(SUMIFS(出库单!$S$4:$S$4003,出库单!$D$4:$D$4003,$A803,出库单!$K$4:$K$4003,"退货给供应商",出库单!$U$4:$U$4003,"正常",出库单!$C$4:$C$4003,"&gt;="&amp;账期起,出库单!$C$4:$C$4003,"&lt;="&amp;账期止),0))</f>
        <v/>
      </c>
      <c r="X803" s="27">
        <f>IF($A803="","",ROUND(N($G803)+$I803+$L803+$N803-$P803-$R803-$T803-$V803,3))</f>
        <v/>
      </c>
      <c r="Y803" s="26">
        <f>IF($A803="","",ROUND(N($H803)+$J803+$M803+$O803-$Q803-$S803-$U803-$W803,0))</f>
        <v/>
      </c>
      <c r="Z803" s="24">
        <f>IF($A803="","",IF(COUNTIFS(入库单!$G$4:$G$2503,$A803,入库单!$Y$4:$Y$2503,"待补价")+COUNTIFS(入库单!$G$4:$G$2503,$A803,入库单!$Y$4:$Y$2503,"暂估")&gt;0,"不可信","可信"))</f>
        <v/>
      </c>
      <c r="AA803" s="24">
        <f>IF($A803="","",IF($X803&lt;-0.001,"※账面负库存，查一下是不是漏记入库",IF(AND(ROUND($X803,3)=0,ABS($Y803)&gt;1),"※数量已经是 0，金额还挂着 "&amp;TEXT($Y803,"#,##0")&amp;" 先令",IF(AND($X803&gt;0,$Y803&lt;=0,$K803=0),"※有数量没金额（这个物料一直没填过进价）",IF($Z803="不可信","△成本含待补价/暂估，毛利仅供参考","")))))</f>
        <v/>
      </c>
    </row>
    <row r="804">
      <c r="A804" s="24">
        <f>IF(物料档案!$A803="","",物料档案!$A803)</f>
        <v/>
      </c>
      <c r="B804" s="24">
        <f>IF($A804="","",IFERROR(VLOOKUP($A804,物料档案!$A$4:$P$1203,3,0),""))</f>
        <v/>
      </c>
      <c r="C804" s="24">
        <f>IF($A804="","",IFERROR(VLOOKUP($A804,物料档案!$A$4:$P$1203,4,0),""))</f>
        <v/>
      </c>
      <c r="D804" s="24">
        <f>IF($A804="","",IFERROR(VLOOKUP($A804,物料档案!$A$4:$P$1203,5,0),""))</f>
        <v/>
      </c>
      <c r="E804" s="24">
        <f>IF($A804="","",IFERROR(VLOOKUP($A804,物料档案!$A$4:$P$1203,2,0),""))</f>
        <v/>
      </c>
      <c r="F804" s="24">
        <f>IF($A804="","",IFERROR(VLOOKUP($A804,物料档案!$A$4:$P$1203,6,0),""))</f>
        <v/>
      </c>
      <c r="G804" s="23" t="n"/>
      <c r="H804" s="32" t="n"/>
      <c r="I804" s="27">
        <f>IF($A804="","",SUMIFS(入库单!$K$4:$K$2503,入库单!$G$4:$G$2503,$A804,入库单!$X$4:$X$2503,"采购入库",入库单!$Z$4:$Z$2503,"正常",入库单!$C$4:$C$2503,"&gt;="&amp;账期起,入库单!$C$4:$C$2503,"&lt;="&amp;账期止))</f>
        <v/>
      </c>
      <c r="J804" s="26">
        <f>IF($A804="","",SUMIFS(入库单!$V$4:$V$2503,入库单!$G$4:$G$2503,$A804,入库单!$X$4:$X$2503,"采购入库",入库单!$Z$4:$Z$2503,"正常",入库单!$C$4:$C$2503,"&gt;="&amp;账期起,入库单!$C$4:$C$2503,"&lt;="&amp;账期止))</f>
        <v/>
      </c>
      <c r="K804" s="26">
        <f>IF($A804="","",IFERROR(ROUND((N($H804)+N($J804))/(N($G804)+N($I804)),2),0))</f>
        <v/>
      </c>
      <c r="L804" s="27">
        <f>IF($A804="","",SUMIFS(入库单!$K$4:$K$2503,入库单!$G$4:$G$2503,$A804,入库单!$X$4:$X$2503,"盘盈",入库单!$Z$4:$Z$2503,"正常",入库单!$C$4:$C$2503,"&gt;="&amp;账期起,入库单!$C$4:$C$2503,"&lt;="&amp;账期止))</f>
        <v/>
      </c>
      <c r="M804" s="26">
        <f>IF($A804="","",ROUND($L804*$K804,0))</f>
        <v/>
      </c>
      <c r="N804" s="27">
        <f>IF($A804="","",SUMIFS(入库单!$K$4:$K$2503,入库单!$G$4:$G$2503,$A804,入库单!$X$4:$X$2503,"矿区退库",入库单!$Z$4:$Z$2503,"正常",入库单!$C$4:$C$2503,"&gt;="&amp;账期起,入库单!$C$4:$C$2503,"&lt;="&amp;账期止))</f>
        <v/>
      </c>
      <c r="O804" s="26">
        <f>IF($A804="","",ROUND($N804*$K804,0))</f>
        <v/>
      </c>
      <c r="P804" s="27">
        <f>IF($A804="","",SUMIFS(出库单!$J$4:$J$4003,出库单!$D$4:$D$4003,$A804,出库单!$K$4:$K$4003,"自用消耗",出库单!$U$4:$U$4003,"正常",出库单!$C$4:$C$4003,"&gt;="&amp;账期起,出库单!$C$4:$C$4003,"&lt;="&amp;账期止))</f>
        <v/>
      </c>
      <c r="Q804" s="26">
        <f>IF($A804="","",ROUND(SUMIFS(出库单!$S$4:$S$4003,出库单!$D$4:$D$4003,$A804,出库单!$K$4:$K$4003,"自用消耗",出库单!$U$4:$U$4003,"正常",出库单!$C$4:$C$4003,"&gt;="&amp;账期起,出库单!$C$4:$C$4003,"&lt;="&amp;账期止),0))</f>
        <v/>
      </c>
      <c r="R804" s="27">
        <f>IF($A804="","",SUMIFS(出库单!$J$4:$J$4003,出库单!$D$4:$D$4003,$A804,出库单!$K$4:$K$4003,"对外销售",出库单!$U$4:$U$4003,"正常",出库单!$C$4:$C$4003,"&gt;="&amp;账期起,出库单!$C$4:$C$4003,"&lt;="&amp;账期止))</f>
        <v/>
      </c>
      <c r="S804" s="26">
        <f>IF($A804="","",ROUND(SUMIFS(出库单!$S$4:$S$4003,出库单!$D$4:$D$4003,$A804,出库单!$K$4:$K$4003,"对外销售",出库单!$U$4:$U$4003,"正常",出库单!$C$4:$C$4003,"&gt;="&amp;账期起,出库单!$C$4:$C$4003,"&lt;="&amp;账期止),0))</f>
        <v/>
      </c>
      <c r="T804" s="27">
        <f>IF($A804="","",SUMIFS(出库单!$J$4:$J$4003,出库单!$D$4:$D$4003,$A804,出库单!$K$4:$K$4003,"盘亏",出库单!$U$4:$U$4003,"正常",出库单!$C$4:$C$4003,"&gt;="&amp;账期起,出库单!$C$4:$C$4003,"&lt;="&amp;账期止))</f>
        <v/>
      </c>
      <c r="U804" s="26">
        <f>IF($A804="","",ROUND(SUMIFS(出库单!$S$4:$S$4003,出库单!$D$4:$D$4003,$A804,出库单!$K$4:$K$4003,"盘亏",出库单!$U$4:$U$4003,"正常",出库单!$C$4:$C$4003,"&gt;="&amp;账期起,出库单!$C$4:$C$4003,"&lt;="&amp;账期止),0))</f>
        <v/>
      </c>
      <c r="V804" s="27">
        <f>IF($A804="","",SUMIFS(出库单!$J$4:$J$4003,出库单!$D$4:$D$4003,$A804,出库单!$K$4:$K$4003,"退货给供应商",出库单!$U$4:$U$4003,"正常",出库单!$C$4:$C$4003,"&gt;="&amp;账期起,出库单!$C$4:$C$4003,"&lt;="&amp;账期止))</f>
        <v/>
      </c>
      <c r="W804" s="26">
        <f>IF($A804="","",ROUND(SUMIFS(出库单!$S$4:$S$4003,出库单!$D$4:$D$4003,$A804,出库单!$K$4:$K$4003,"退货给供应商",出库单!$U$4:$U$4003,"正常",出库单!$C$4:$C$4003,"&gt;="&amp;账期起,出库单!$C$4:$C$4003,"&lt;="&amp;账期止),0))</f>
        <v/>
      </c>
      <c r="X804" s="27">
        <f>IF($A804="","",ROUND(N($G804)+$I804+$L804+$N804-$P804-$R804-$T804-$V804,3))</f>
        <v/>
      </c>
      <c r="Y804" s="26">
        <f>IF($A804="","",ROUND(N($H804)+$J804+$M804+$O804-$Q804-$S804-$U804-$W804,0))</f>
        <v/>
      </c>
      <c r="Z804" s="24">
        <f>IF($A804="","",IF(COUNTIFS(入库单!$G$4:$G$2503,$A804,入库单!$Y$4:$Y$2503,"待补价")+COUNTIFS(入库单!$G$4:$G$2503,$A804,入库单!$Y$4:$Y$2503,"暂估")&gt;0,"不可信","可信"))</f>
        <v/>
      </c>
      <c r="AA804" s="24">
        <f>IF($A804="","",IF($X804&lt;-0.001,"※账面负库存，查一下是不是漏记入库",IF(AND(ROUND($X804,3)=0,ABS($Y804)&gt;1),"※数量已经是 0，金额还挂着 "&amp;TEXT($Y804,"#,##0")&amp;" 先令",IF(AND($X804&gt;0,$Y804&lt;=0,$K804=0),"※有数量没金额（这个物料一直没填过进价）",IF($Z804="不可信","△成本含待补价/暂估，毛利仅供参考","")))))</f>
        <v/>
      </c>
    </row>
    <row r="805">
      <c r="A805" s="24">
        <f>IF(物料档案!$A804="","",物料档案!$A804)</f>
        <v/>
      </c>
      <c r="B805" s="24">
        <f>IF($A805="","",IFERROR(VLOOKUP($A805,物料档案!$A$4:$P$1203,3,0),""))</f>
        <v/>
      </c>
      <c r="C805" s="24">
        <f>IF($A805="","",IFERROR(VLOOKUP($A805,物料档案!$A$4:$P$1203,4,0),""))</f>
        <v/>
      </c>
      <c r="D805" s="24">
        <f>IF($A805="","",IFERROR(VLOOKUP($A805,物料档案!$A$4:$P$1203,5,0),""))</f>
        <v/>
      </c>
      <c r="E805" s="24">
        <f>IF($A805="","",IFERROR(VLOOKUP($A805,物料档案!$A$4:$P$1203,2,0),""))</f>
        <v/>
      </c>
      <c r="F805" s="24">
        <f>IF($A805="","",IFERROR(VLOOKUP($A805,物料档案!$A$4:$P$1203,6,0),""))</f>
        <v/>
      </c>
      <c r="G805" s="23" t="n"/>
      <c r="H805" s="32" t="n"/>
      <c r="I805" s="27">
        <f>IF($A805="","",SUMIFS(入库单!$K$4:$K$2503,入库单!$G$4:$G$2503,$A805,入库单!$X$4:$X$2503,"采购入库",入库单!$Z$4:$Z$2503,"正常",入库单!$C$4:$C$2503,"&gt;="&amp;账期起,入库单!$C$4:$C$2503,"&lt;="&amp;账期止))</f>
        <v/>
      </c>
      <c r="J805" s="26">
        <f>IF($A805="","",SUMIFS(入库单!$V$4:$V$2503,入库单!$G$4:$G$2503,$A805,入库单!$X$4:$X$2503,"采购入库",入库单!$Z$4:$Z$2503,"正常",入库单!$C$4:$C$2503,"&gt;="&amp;账期起,入库单!$C$4:$C$2503,"&lt;="&amp;账期止))</f>
        <v/>
      </c>
      <c r="K805" s="26">
        <f>IF($A805="","",IFERROR(ROUND((N($H805)+N($J805))/(N($G805)+N($I805)),2),0))</f>
        <v/>
      </c>
      <c r="L805" s="27">
        <f>IF($A805="","",SUMIFS(入库单!$K$4:$K$2503,入库单!$G$4:$G$2503,$A805,入库单!$X$4:$X$2503,"盘盈",入库单!$Z$4:$Z$2503,"正常",入库单!$C$4:$C$2503,"&gt;="&amp;账期起,入库单!$C$4:$C$2503,"&lt;="&amp;账期止))</f>
        <v/>
      </c>
      <c r="M805" s="26">
        <f>IF($A805="","",ROUND($L805*$K805,0))</f>
        <v/>
      </c>
      <c r="N805" s="27">
        <f>IF($A805="","",SUMIFS(入库单!$K$4:$K$2503,入库单!$G$4:$G$2503,$A805,入库单!$X$4:$X$2503,"矿区退库",入库单!$Z$4:$Z$2503,"正常",入库单!$C$4:$C$2503,"&gt;="&amp;账期起,入库单!$C$4:$C$2503,"&lt;="&amp;账期止))</f>
        <v/>
      </c>
      <c r="O805" s="26">
        <f>IF($A805="","",ROUND($N805*$K805,0))</f>
        <v/>
      </c>
      <c r="P805" s="27">
        <f>IF($A805="","",SUMIFS(出库单!$J$4:$J$4003,出库单!$D$4:$D$4003,$A805,出库单!$K$4:$K$4003,"自用消耗",出库单!$U$4:$U$4003,"正常",出库单!$C$4:$C$4003,"&gt;="&amp;账期起,出库单!$C$4:$C$4003,"&lt;="&amp;账期止))</f>
        <v/>
      </c>
      <c r="Q805" s="26">
        <f>IF($A805="","",ROUND(SUMIFS(出库单!$S$4:$S$4003,出库单!$D$4:$D$4003,$A805,出库单!$K$4:$K$4003,"自用消耗",出库单!$U$4:$U$4003,"正常",出库单!$C$4:$C$4003,"&gt;="&amp;账期起,出库单!$C$4:$C$4003,"&lt;="&amp;账期止),0))</f>
        <v/>
      </c>
      <c r="R805" s="27">
        <f>IF($A805="","",SUMIFS(出库单!$J$4:$J$4003,出库单!$D$4:$D$4003,$A805,出库单!$K$4:$K$4003,"对外销售",出库单!$U$4:$U$4003,"正常",出库单!$C$4:$C$4003,"&gt;="&amp;账期起,出库单!$C$4:$C$4003,"&lt;="&amp;账期止))</f>
        <v/>
      </c>
      <c r="S805" s="26">
        <f>IF($A805="","",ROUND(SUMIFS(出库单!$S$4:$S$4003,出库单!$D$4:$D$4003,$A805,出库单!$K$4:$K$4003,"对外销售",出库单!$U$4:$U$4003,"正常",出库单!$C$4:$C$4003,"&gt;="&amp;账期起,出库单!$C$4:$C$4003,"&lt;="&amp;账期止),0))</f>
        <v/>
      </c>
      <c r="T805" s="27">
        <f>IF($A805="","",SUMIFS(出库单!$J$4:$J$4003,出库单!$D$4:$D$4003,$A805,出库单!$K$4:$K$4003,"盘亏",出库单!$U$4:$U$4003,"正常",出库单!$C$4:$C$4003,"&gt;="&amp;账期起,出库单!$C$4:$C$4003,"&lt;="&amp;账期止))</f>
        <v/>
      </c>
      <c r="U805" s="26">
        <f>IF($A805="","",ROUND(SUMIFS(出库单!$S$4:$S$4003,出库单!$D$4:$D$4003,$A805,出库单!$K$4:$K$4003,"盘亏",出库单!$U$4:$U$4003,"正常",出库单!$C$4:$C$4003,"&gt;="&amp;账期起,出库单!$C$4:$C$4003,"&lt;="&amp;账期止),0))</f>
        <v/>
      </c>
      <c r="V805" s="27">
        <f>IF($A805="","",SUMIFS(出库单!$J$4:$J$4003,出库单!$D$4:$D$4003,$A805,出库单!$K$4:$K$4003,"退货给供应商",出库单!$U$4:$U$4003,"正常",出库单!$C$4:$C$4003,"&gt;="&amp;账期起,出库单!$C$4:$C$4003,"&lt;="&amp;账期止))</f>
        <v/>
      </c>
      <c r="W805" s="26">
        <f>IF($A805="","",ROUND(SUMIFS(出库单!$S$4:$S$4003,出库单!$D$4:$D$4003,$A805,出库单!$K$4:$K$4003,"退货给供应商",出库单!$U$4:$U$4003,"正常",出库单!$C$4:$C$4003,"&gt;="&amp;账期起,出库单!$C$4:$C$4003,"&lt;="&amp;账期止),0))</f>
        <v/>
      </c>
      <c r="X805" s="27">
        <f>IF($A805="","",ROUND(N($G805)+$I805+$L805+$N805-$P805-$R805-$T805-$V805,3))</f>
        <v/>
      </c>
      <c r="Y805" s="26">
        <f>IF($A805="","",ROUND(N($H805)+$J805+$M805+$O805-$Q805-$S805-$U805-$W805,0))</f>
        <v/>
      </c>
      <c r="Z805" s="24">
        <f>IF($A805="","",IF(COUNTIFS(入库单!$G$4:$G$2503,$A805,入库单!$Y$4:$Y$2503,"待补价")+COUNTIFS(入库单!$G$4:$G$2503,$A805,入库单!$Y$4:$Y$2503,"暂估")&gt;0,"不可信","可信"))</f>
        <v/>
      </c>
      <c r="AA805" s="24">
        <f>IF($A805="","",IF($X805&lt;-0.001,"※账面负库存，查一下是不是漏记入库",IF(AND(ROUND($X805,3)=0,ABS($Y805)&gt;1),"※数量已经是 0，金额还挂着 "&amp;TEXT($Y805,"#,##0")&amp;" 先令",IF(AND($X805&gt;0,$Y805&lt;=0,$K805=0),"※有数量没金额（这个物料一直没填过进价）",IF($Z805="不可信","△成本含待补价/暂估，毛利仅供参考","")))))</f>
        <v/>
      </c>
    </row>
    <row r="806">
      <c r="A806" s="24">
        <f>IF(物料档案!$A805="","",物料档案!$A805)</f>
        <v/>
      </c>
      <c r="B806" s="24">
        <f>IF($A806="","",IFERROR(VLOOKUP($A806,物料档案!$A$4:$P$1203,3,0),""))</f>
        <v/>
      </c>
      <c r="C806" s="24">
        <f>IF($A806="","",IFERROR(VLOOKUP($A806,物料档案!$A$4:$P$1203,4,0),""))</f>
        <v/>
      </c>
      <c r="D806" s="24">
        <f>IF($A806="","",IFERROR(VLOOKUP($A806,物料档案!$A$4:$P$1203,5,0),""))</f>
        <v/>
      </c>
      <c r="E806" s="24">
        <f>IF($A806="","",IFERROR(VLOOKUP($A806,物料档案!$A$4:$P$1203,2,0),""))</f>
        <v/>
      </c>
      <c r="F806" s="24">
        <f>IF($A806="","",IFERROR(VLOOKUP($A806,物料档案!$A$4:$P$1203,6,0),""))</f>
        <v/>
      </c>
      <c r="G806" s="23" t="n"/>
      <c r="H806" s="32" t="n"/>
      <c r="I806" s="27">
        <f>IF($A806="","",SUMIFS(入库单!$K$4:$K$2503,入库单!$G$4:$G$2503,$A806,入库单!$X$4:$X$2503,"采购入库",入库单!$Z$4:$Z$2503,"正常",入库单!$C$4:$C$2503,"&gt;="&amp;账期起,入库单!$C$4:$C$2503,"&lt;="&amp;账期止))</f>
        <v/>
      </c>
      <c r="J806" s="26">
        <f>IF($A806="","",SUMIFS(入库单!$V$4:$V$2503,入库单!$G$4:$G$2503,$A806,入库单!$X$4:$X$2503,"采购入库",入库单!$Z$4:$Z$2503,"正常",入库单!$C$4:$C$2503,"&gt;="&amp;账期起,入库单!$C$4:$C$2503,"&lt;="&amp;账期止))</f>
        <v/>
      </c>
      <c r="K806" s="26">
        <f>IF($A806="","",IFERROR(ROUND((N($H806)+N($J806))/(N($G806)+N($I806)),2),0))</f>
        <v/>
      </c>
      <c r="L806" s="27">
        <f>IF($A806="","",SUMIFS(入库单!$K$4:$K$2503,入库单!$G$4:$G$2503,$A806,入库单!$X$4:$X$2503,"盘盈",入库单!$Z$4:$Z$2503,"正常",入库单!$C$4:$C$2503,"&gt;="&amp;账期起,入库单!$C$4:$C$2503,"&lt;="&amp;账期止))</f>
        <v/>
      </c>
      <c r="M806" s="26">
        <f>IF($A806="","",ROUND($L806*$K806,0))</f>
        <v/>
      </c>
      <c r="N806" s="27">
        <f>IF($A806="","",SUMIFS(入库单!$K$4:$K$2503,入库单!$G$4:$G$2503,$A806,入库单!$X$4:$X$2503,"矿区退库",入库单!$Z$4:$Z$2503,"正常",入库单!$C$4:$C$2503,"&gt;="&amp;账期起,入库单!$C$4:$C$2503,"&lt;="&amp;账期止))</f>
        <v/>
      </c>
      <c r="O806" s="26">
        <f>IF($A806="","",ROUND($N806*$K806,0))</f>
        <v/>
      </c>
      <c r="P806" s="27">
        <f>IF($A806="","",SUMIFS(出库单!$J$4:$J$4003,出库单!$D$4:$D$4003,$A806,出库单!$K$4:$K$4003,"自用消耗",出库单!$U$4:$U$4003,"正常",出库单!$C$4:$C$4003,"&gt;="&amp;账期起,出库单!$C$4:$C$4003,"&lt;="&amp;账期止))</f>
        <v/>
      </c>
      <c r="Q806" s="26">
        <f>IF($A806="","",ROUND(SUMIFS(出库单!$S$4:$S$4003,出库单!$D$4:$D$4003,$A806,出库单!$K$4:$K$4003,"自用消耗",出库单!$U$4:$U$4003,"正常",出库单!$C$4:$C$4003,"&gt;="&amp;账期起,出库单!$C$4:$C$4003,"&lt;="&amp;账期止),0))</f>
        <v/>
      </c>
      <c r="R806" s="27">
        <f>IF($A806="","",SUMIFS(出库单!$J$4:$J$4003,出库单!$D$4:$D$4003,$A806,出库单!$K$4:$K$4003,"对外销售",出库单!$U$4:$U$4003,"正常",出库单!$C$4:$C$4003,"&gt;="&amp;账期起,出库单!$C$4:$C$4003,"&lt;="&amp;账期止))</f>
        <v/>
      </c>
      <c r="S806" s="26">
        <f>IF($A806="","",ROUND(SUMIFS(出库单!$S$4:$S$4003,出库单!$D$4:$D$4003,$A806,出库单!$K$4:$K$4003,"对外销售",出库单!$U$4:$U$4003,"正常",出库单!$C$4:$C$4003,"&gt;="&amp;账期起,出库单!$C$4:$C$4003,"&lt;="&amp;账期止),0))</f>
        <v/>
      </c>
      <c r="T806" s="27">
        <f>IF($A806="","",SUMIFS(出库单!$J$4:$J$4003,出库单!$D$4:$D$4003,$A806,出库单!$K$4:$K$4003,"盘亏",出库单!$U$4:$U$4003,"正常",出库单!$C$4:$C$4003,"&gt;="&amp;账期起,出库单!$C$4:$C$4003,"&lt;="&amp;账期止))</f>
        <v/>
      </c>
      <c r="U806" s="26">
        <f>IF($A806="","",ROUND(SUMIFS(出库单!$S$4:$S$4003,出库单!$D$4:$D$4003,$A806,出库单!$K$4:$K$4003,"盘亏",出库单!$U$4:$U$4003,"正常",出库单!$C$4:$C$4003,"&gt;="&amp;账期起,出库单!$C$4:$C$4003,"&lt;="&amp;账期止),0))</f>
        <v/>
      </c>
      <c r="V806" s="27">
        <f>IF($A806="","",SUMIFS(出库单!$J$4:$J$4003,出库单!$D$4:$D$4003,$A806,出库单!$K$4:$K$4003,"退货给供应商",出库单!$U$4:$U$4003,"正常",出库单!$C$4:$C$4003,"&gt;="&amp;账期起,出库单!$C$4:$C$4003,"&lt;="&amp;账期止))</f>
        <v/>
      </c>
      <c r="W806" s="26">
        <f>IF($A806="","",ROUND(SUMIFS(出库单!$S$4:$S$4003,出库单!$D$4:$D$4003,$A806,出库单!$K$4:$K$4003,"退货给供应商",出库单!$U$4:$U$4003,"正常",出库单!$C$4:$C$4003,"&gt;="&amp;账期起,出库单!$C$4:$C$4003,"&lt;="&amp;账期止),0))</f>
        <v/>
      </c>
      <c r="X806" s="27">
        <f>IF($A806="","",ROUND(N($G806)+$I806+$L806+$N806-$P806-$R806-$T806-$V806,3))</f>
        <v/>
      </c>
      <c r="Y806" s="26">
        <f>IF($A806="","",ROUND(N($H806)+$J806+$M806+$O806-$Q806-$S806-$U806-$W806,0))</f>
        <v/>
      </c>
      <c r="Z806" s="24">
        <f>IF($A806="","",IF(COUNTIFS(入库单!$G$4:$G$2503,$A806,入库单!$Y$4:$Y$2503,"待补价")+COUNTIFS(入库单!$G$4:$G$2503,$A806,入库单!$Y$4:$Y$2503,"暂估")&gt;0,"不可信","可信"))</f>
        <v/>
      </c>
      <c r="AA806" s="24">
        <f>IF($A806="","",IF($X806&lt;-0.001,"※账面负库存，查一下是不是漏记入库",IF(AND(ROUND($X806,3)=0,ABS($Y806)&gt;1),"※数量已经是 0，金额还挂着 "&amp;TEXT($Y806,"#,##0")&amp;" 先令",IF(AND($X806&gt;0,$Y806&lt;=0,$K806=0),"※有数量没金额（这个物料一直没填过进价）",IF($Z806="不可信","△成本含待补价/暂估，毛利仅供参考","")))))</f>
        <v/>
      </c>
    </row>
    <row r="807">
      <c r="A807" s="24">
        <f>IF(物料档案!$A806="","",物料档案!$A806)</f>
        <v/>
      </c>
      <c r="B807" s="24">
        <f>IF($A807="","",IFERROR(VLOOKUP($A807,物料档案!$A$4:$P$1203,3,0),""))</f>
        <v/>
      </c>
      <c r="C807" s="24">
        <f>IF($A807="","",IFERROR(VLOOKUP($A807,物料档案!$A$4:$P$1203,4,0),""))</f>
        <v/>
      </c>
      <c r="D807" s="24">
        <f>IF($A807="","",IFERROR(VLOOKUP($A807,物料档案!$A$4:$P$1203,5,0),""))</f>
        <v/>
      </c>
      <c r="E807" s="24">
        <f>IF($A807="","",IFERROR(VLOOKUP($A807,物料档案!$A$4:$P$1203,2,0),""))</f>
        <v/>
      </c>
      <c r="F807" s="24">
        <f>IF($A807="","",IFERROR(VLOOKUP($A807,物料档案!$A$4:$P$1203,6,0),""))</f>
        <v/>
      </c>
      <c r="G807" s="23" t="n"/>
      <c r="H807" s="32" t="n"/>
      <c r="I807" s="27">
        <f>IF($A807="","",SUMIFS(入库单!$K$4:$K$2503,入库单!$G$4:$G$2503,$A807,入库单!$X$4:$X$2503,"采购入库",入库单!$Z$4:$Z$2503,"正常",入库单!$C$4:$C$2503,"&gt;="&amp;账期起,入库单!$C$4:$C$2503,"&lt;="&amp;账期止))</f>
        <v/>
      </c>
      <c r="J807" s="26">
        <f>IF($A807="","",SUMIFS(入库单!$V$4:$V$2503,入库单!$G$4:$G$2503,$A807,入库单!$X$4:$X$2503,"采购入库",入库单!$Z$4:$Z$2503,"正常",入库单!$C$4:$C$2503,"&gt;="&amp;账期起,入库单!$C$4:$C$2503,"&lt;="&amp;账期止))</f>
        <v/>
      </c>
      <c r="K807" s="26">
        <f>IF($A807="","",IFERROR(ROUND((N($H807)+N($J807))/(N($G807)+N($I807)),2),0))</f>
        <v/>
      </c>
      <c r="L807" s="27">
        <f>IF($A807="","",SUMIFS(入库单!$K$4:$K$2503,入库单!$G$4:$G$2503,$A807,入库单!$X$4:$X$2503,"盘盈",入库单!$Z$4:$Z$2503,"正常",入库单!$C$4:$C$2503,"&gt;="&amp;账期起,入库单!$C$4:$C$2503,"&lt;="&amp;账期止))</f>
        <v/>
      </c>
      <c r="M807" s="26">
        <f>IF($A807="","",ROUND($L807*$K807,0))</f>
        <v/>
      </c>
      <c r="N807" s="27">
        <f>IF($A807="","",SUMIFS(入库单!$K$4:$K$2503,入库单!$G$4:$G$2503,$A807,入库单!$X$4:$X$2503,"矿区退库",入库单!$Z$4:$Z$2503,"正常",入库单!$C$4:$C$2503,"&gt;="&amp;账期起,入库单!$C$4:$C$2503,"&lt;="&amp;账期止))</f>
        <v/>
      </c>
      <c r="O807" s="26">
        <f>IF($A807="","",ROUND($N807*$K807,0))</f>
        <v/>
      </c>
      <c r="P807" s="27">
        <f>IF($A807="","",SUMIFS(出库单!$J$4:$J$4003,出库单!$D$4:$D$4003,$A807,出库单!$K$4:$K$4003,"自用消耗",出库单!$U$4:$U$4003,"正常",出库单!$C$4:$C$4003,"&gt;="&amp;账期起,出库单!$C$4:$C$4003,"&lt;="&amp;账期止))</f>
        <v/>
      </c>
      <c r="Q807" s="26">
        <f>IF($A807="","",ROUND(SUMIFS(出库单!$S$4:$S$4003,出库单!$D$4:$D$4003,$A807,出库单!$K$4:$K$4003,"自用消耗",出库单!$U$4:$U$4003,"正常",出库单!$C$4:$C$4003,"&gt;="&amp;账期起,出库单!$C$4:$C$4003,"&lt;="&amp;账期止),0))</f>
        <v/>
      </c>
      <c r="R807" s="27">
        <f>IF($A807="","",SUMIFS(出库单!$J$4:$J$4003,出库单!$D$4:$D$4003,$A807,出库单!$K$4:$K$4003,"对外销售",出库单!$U$4:$U$4003,"正常",出库单!$C$4:$C$4003,"&gt;="&amp;账期起,出库单!$C$4:$C$4003,"&lt;="&amp;账期止))</f>
        <v/>
      </c>
      <c r="S807" s="26">
        <f>IF($A807="","",ROUND(SUMIFS(出库单!$S$4:$S$4003,出库单!$D$4:$D$4003,$A807,出库单!$K$4:$K$4003,"对外销售",出库单!$U$4:$U$4003,"正常",出库单!$C$4:$C$4003,"&gt;="&amp;账期起,出库单!$C$4:$C$4003,"&lt;="&amp;账期止),0))</f>
        <v/>
      </c>
      <c r="T807" s="27">
        <f>IF($A807="","",SUMIFS(出库单!$J$4:$J$4003,出库单!$D$4:$D$4003,$A807,出库单!$K$4:$K$4003,"盘亏",出库单!$U$4:$U$4003,"正常",出库单!$C$4:$C$4003,"&gt;="&amp;账期起,出库单!$C$4:$C$4003,"&lt;="&amp;账期止))</f>
        <v/>
      </c>
      <c r="U807" s="26">
        <f>IF($A807="","",ROUND(SUMIFS(出库单!$S$4:$S$4003,出库单!$D$4:$D$4003,$A807,出库单!$K$4:$K$4003,"盘亏",出库单!$U$4:$U$4003,"正常",出库单!$C$4:$C$4003,"&gt;="&amp;账期起,出库单!$C$4:$C$4003,"&lt;="&amp;账期止),0))</f>
        <v/>
      </c>
      <c r="V807" s="27">
        <f>IF($A807="","",SUMIFS(出库单!$J$4:$J$4003,出库单!$D$4:$D$4003,$A807,出库单!$K$4:$K$4003,"退货给供应商",出库单!$U$4:$U$4003,"正常",出库单!$C$4:$C$4003,"&gt;="&amp;账期起,出库单!$C$4:$C$4003,"&lt;="&amp;账期止))</f>
        <v/>
      </c>
      <c r="W807" s="26">
        <f>IF($A807="","",ROUND(SUMIFS(出库单!$S$4:$S$4003,出库单!$D$4:$D$4003,$A807,出库单!$K$4:$K$4003,"退货给供应商",出库单!$U$4:$U$4003,"正常",出库单!$C$4:$C$4003,"&gt;="&amp;账期起,出库单!$C$4:$C$4003,"&lt;="&amp;账期止),0))</f>
        <v/>
      </c>
      <c r="X807" s="27">
        <f>IF($A807="","",ROUND(N($G807)+$I807+$L807+$N807-$P807-$R807-$T807-$V807,3))</f>
        <v/>
      </c>
      <c r="Y807" s="26">
        <f>IF($A807="","",ROUND(N($H807)+$J807+$M807+$O807-$Q807-$S807-$U807-$W807,0))</f>
        <v/>
      </c>
      <c r="Z807" s="24">
        <f>IF($A807="","",IF(COUNTIFS(入库单!$G$4:$G$2503,$A807,入库单!$Y$4:$Y$2503,"待补价")+COUNTIFS(入库单!$G$4:$G$2503,$A807,入库单!$Y$4:$Y$2503,"暂估")&gt;0,"不可信","可信"))</f>
        <v/>
      </c>
      <c r="AA807" s="24">
        <f>IF($A807="","",IF($X807&lt;-0.001,"※账面负库存，查一下是不是漏记入库",IF(AND(ROUND($X807,3)=0,ABS($Y807)&gt;1),"※数量已经是 0，金额还挂着 "&amp;TEXT($Y807,"#,##0")&amp;" 先令",IF(AND($X807&gt;0,$Y807&lt;=0,$K807=0),"※有数量没金额（这个物料一直没填过进价）",IF($Z807="不可信","△成本含待补价/暂估，毛利仅供参考","")))))</f>
        <v/>
      </c>
    </row>
    <row r="808">
      <c r="A808" s="24">
        <f>IF(物料档案!$A807="","",物料档案!$A807)</f>
        <v/>
      </c>
      <c r="B808" s="24">
        <f>IF($A808="","",IFERROR(VLOOKUP($A808,物料档案!$A$4:$P$1203,3,0),""))</f>
        <v/>
      </c>
      <c r="C808" s="24">
        <f>IF($A808="","",IFERROR(VLOOKUP($A808,物料档案!$A$4:$P$1203,4,0),""))</f>
        <v/>
      </c>
      <c r="D808" s="24">
        <f>IF($A808="","",IFERROR(VLOOKUP($A808,物料档案!$A$4:$P$1203,5,0),""))</f>
        <v/>
      </c>
      <c r="E808" s="24">
        <f>IF($A808="","",IFERROR(VLOOKUP($A808,物料档案!$A$4:$P$1203,2,0),""))</f>
        <v/>
      </c>
      <c r="F808" s="24">
        <f>IF($A808="","",IFERROR(VLOOKUP($A808,物料档案!$A$4:$P$1203,6,0),""))</f>
        <v/>
      </c>
      <c r="G808" s="23" t="n"/>
      <c r="H808" s="32" t="n"/>
      <c r="I808" s="27">
        <f>IF($A808="","",SUMIFS(入库单!$K$4:$K$2503,入库单!$G$4:$G$2503,$A808,入库单!$X$4:$X$2503,"采购入库",入库单!$Z$4:$Z$2503,"正常",入库单!$C$4:$C$2503,"&gt;="&amp;账期起,入库单!$C$4:$C$2503,"&lt;="&amp;账期止))</f>
        <v/>
      </c>
      <c r="J808" s="26">
        <f>IF($A808="","",SUMIFS(入库单!$V$4:$V$2503,入库单!$G$4:$G$2503,$A808,入库单!$X$4:$X$2503,"采购入库",入库单!$Z$4:$Z$2503,"正常",入库单!$C$4:$C$2503,"&gt;="&amp;账期起,入库单!$C$4:$C$2503,"&lt;="&amp;账期止))</f>
        <v/>
      </c>
      <c r="K808" s="26">
        <f>IF($A808="","",IFERROR(ROUND((N($H808)+N($J808))/(N($G808)+N($I808)),2),0))</f>
        <v/>
      </c>
      <c r="L808" s="27">
        <f>IF($A808="","",SUMIFS(入库单!$K$4:$K$2503,入库单!$G$4:$G$2503,$A808,入库单!$X$4:$X$2503,"盘盈",入库单!$Z$4:$Z$2503,"正常",入库单!$C$4:$C$2503,"&gt;="&amp;账期起,入库单!$C$4:$C$2503,"&lt;="&amp;账期止))</f>
        <v/>
      </c>
      <c r="M808" s="26">
        <f>IF($A808="","",ROUND($L808*$K808,0))</f>
        <v/>
      </c>
      <c r="N808" s="27">
        <f>IF($A808="","",SUMIFS(入库单!$K$4:$K$2503,入库单!$G$4:$G$2503,$A808,入库单!$X$4:$X$2503,"矿区退库",入库单!$Z$4:$Z$2503,"正常",入库单!$C$4:$C$2503,"&gt;="&amp;账期起,入库单!$C$4:$C$2503,"&lt;="&amp;账期止))</f>
        <v/>
      </c>
      <c r="O808" s="26">
        <f>IF($A808="","",ROUND($N808*$K808,0))</f>
        <v/>
      </c>
      <c r="P808" s="27">
        <f>IF($A808="","",SUMIFS(出库单!$J$4:$J$4003,出库单!$D$4:$D$4003,$A808,出库单!$K$4:$K$4003,"自用消耗",出库单!$U$4:$U$4003,"正常",出库单!$C$4:$C$4003,"&gt;="&amp;账期起,出库单!$C$4:$C$4003,"&lt;="&amp;账期止))</f>
        <v/>
      </c>
      <c r="Q808" s="26">
        <f>IF($A808="","",ROUND(SUMIFS(出库单!$S$4:$S$4003,出库单!$D$4:$D$4003,$A808,出库单!$K$4:$K$4003,"自用消耗",出库单!$U$4:$U$4003,"正常",出库单!$C$4:$C$4003,"&gt;="&amp;账期起,出库单!$C$4:$C$4003,"&lt;="&amp;账期止),0))</f>
        <v/>
      </c>
      <c r="R808" s="27">
        <f>IF($A808="","",SUMIFS(出库单!$J$4:$J$4003,出库单!$D$4:$D$4003,$A808,出库单!$K$4:$K$4003,"对外销售",出库单!$U$4:$U$4003,"正常",出库单!$C$4:$C$4003,"&gt;="&amp;账期起,出库单!$C$4:$C$4003,"&lt;="&amp;账期止))</f>
        <v/>
      </c>
      <c r="S808" s="26">
        <f>IF($A808="","",ROUND(SUMIFS(出库单!$S$4:$S$4003,出库单!$D$4:$D$4003,$A808,出库单!$K$4:$K$4003,"对外销售",出库单!$U$4:$U$4003,"正常",出库单!$C$4:$C$4003,"&gt;="&amp;账期起,出库单!$C$4:$C$4003,"&lt;="&amp;账期止),0))</f>
        <v/>
      </c>
      <c r="T808" s="27">
        <f>IF($A808="","",SUMIFS(出库单!$J$4:$J$4003,出库单!$D$4:$D$4003,$A808,出库单!$K$4:$K$4003,"盘亏",出库单!$U$4:$U$4003,"正常",出库单!$C$4:$C$4003,"&gt;="&amp;账期起,出库单!$C$4:$C$4003,"&lt;="&amp;账期止))</f>
        <v/>
      </c>
      <c r="U808" s="26">
        <f>IF($A808="","",ROUND(SUMIFS(出库单!$S$4:$S$4003,出库单!$D$4:$D$4003,$A808,出库单!$K$4:$K$4003,"盘亏",出库单!$U$4:$U$4003,"正常",出库单!$C$4:$C$4003,"&gt;="&amp;账期起,出库单!$C$4:$C$4003,"&lt;="&amp;账期止),0))</f>
        <v/>
      </c>
      <c r="V808" s="27">
        <f>IF($A808="","",SUMIFS(出库单!$J$4:$J$4003,出库单!$D$4:$D$4003,$A808,出库单!$K$4:$K$4003,"退货给供应商",出库单!$U$4:$U$4003,"正常",出库单!$C$4:$C$4003,"&gt;="&amp;账期起,出库单!$C$4:$C$4003,"&lt;="&amp;账期止))</f>
        <v/>
      </c>
      <c r="W808" s="26">
        <f>IF($A808="","",ROUND(SUMIFS(出库单!$S$4:$S$4003,出库单!$D$4:$D$4003,$A808,出库单!$K$4:$K$4003,"退货给供应商",出库单!$U$4:$U$4003,"正常",出库单!$C$4:$C$4003,"&gt;="&amp;账期起,出库单!$C$4:$C$4003,"&lt;="&amp;账期止),0))</f>
        <v/>
      </c>
      <c r="X808" s="27">
        <f>IF($A808="","",ROUND(N($G808)+$I808+$L808+$N808-$P808-$R808-$T808-$V808,3))</f>
        <v/>
      </c>
      <c r="Y808" s="26">
        <f>IF($A808="","",ROUND(N($H808)+$J808+$M808+$O808-$Q808-$S808-$U808-$W808,0))</f>
        <v/>
      </c>
      <c r="Z808" s="24">
        <f>IF($A808="","",IF(COUNTIFS(入库单!$G$4:$G$2503,$A808,入库单!$Y$4:$Y$2503,"待补价")+COUNTIFS(入库单!$G$4:$G$2503,$A808,入库单!$Y$4:$Y$2503,"暂估")&gt;0,"不可信","可信"))</f>
        <v/>
      </c>
      <c r="AA808" s="24">
        <f>IF($A808="","",IF($X808&lt;-0.001,"※账面负库存，查一下是不是漏记入库",IF(AND(ROUND($X808,3)=0,ABS($Y808)&gt;1),"※数量已经是 0，金额还挂着 "&amp;TEXT($Y808,"#,##0")&amp;" 先令",IF(AND($X808&gt;0,$Y808&lt;=0,$K808=0),"※有数量没金额（这个物料一直没填过进价）",IF($Z808="不可信","△成本含待补价/暂估，毛利仅供参考","")))))</f>
        <v/>
      </c>
    </row>
    <row r="809">
      <c r="A809" s="24">
        <f>IF(物料档案!$A808="","",物料档案!$A808)</f>
        <v/>
      </c>
      <c r="B809" s="24">
        <f>IF($A809="","",IFERROR(VLOOKUP($A809,物料档案!$A$4:$P$1203,3,0),""))</f>
        <v/>
      </c>
      <c r="C809" s="24">
        <f>IF($A809="","",IFERROR(VLOOKUP($A809,物料档案!$A$4:$P$1203,4,0),""))</f>
        <v/>
      </c>
      <c r="D809" s="24">
        <f>IF($A809="","",IFERROR(VLOOKUP($A809,物料档案!$A$4:$P$1203,5,0),""))</f>
        <v/>
      </c>
      <c r="E809" s="24">
        <f>IF($A809="","",IFERROR(VLOOKUP($A809,物料档案!$A$4:$P$1203,2,0),""))</f>
        <v/>
      </c>
      <c r="F809" s="24">
        <f>IF($A809="","",IFERROR(VLOOKUP($A809,物料档案!$A$4:$P$1203,6,0),""))</f>
        <v/>
      </c>
      <c r="G809" s="23" t="n"/>
      <c r="H809" s="32" t="n"/>
      <c r="I809" s="27">
        <f>IF($A809="","",SUMIFS(入库单!$K$4:$K$2503,入库单!$G$4:$G$2503,$A809,入库单!$X$4:$X$2503,"采购入库",入库单!$Z$4:$Z$2503,"正常",入库单!$C$4:$C$2503,"&gt;="&amp;账期起,入库单!$C$4:$C$2503,"&lt;="&amp;账期止))</f>
        <v/>
      </c>
      <c r="J809" s="26">
        <f>IF($A809="","",SUMIFS(入库单!$V$4:$V$2503,入库单!$G$4:$G$2503,$A809,入库单!$X$4:$X$2503,"采购入库",入库单!$Z$4:$Z$2503,"正常",入库单!$C$4:$C$2503,"&gt;="&amp;账期起,入库单!$C$4:$C$2503,"&lt;="&amp;账期止))</f>
        <v/>
      </c>
      <c r="K809" s="26">
        <f>IF($A809="","",IFERROR(ROUND((N($H809)+N($J809))/(N($G809)+N($I809)),2),0))</f>
        <v/>
      </c>
      <c r="L809" s="27">
        <f>IF($A809="","",SUMIFS(入库单!$K$4:$K$2503,入库单!$G$4:$G$2503,$A809,入库单!$X$4:$X$2503,"盘盈",入库单!$Z$4:$Z$2503,"正常",入库单!$C$4:$C$2503,"&gt;="&amp;账期起,入库单!$C$4:$C$2503,"&lt;="&amp;账期止))</f>
        <v/>
      </c>
      <c r="M809" s="26">
        <f>IF($A809="","",ROUND($L809*$K809,0))</f>
        <v/>
      </c>
      <c r="N809" s="27">
        <f>IF($A809="","",SUMIFS(入库单!$K$4:$K$2503,入库单!$G$4:$G$2503,$A809,入库单!$X$4:$X$2503,"矿区退库",入库单!$Z$4:$Z$2503,"正常",入库单!$C$4:$C$2503,"&gt;="&amp;账期起,入库单!$C$4:$C$2503,"&lt;="&amp;账期止))</f>
        <v/>
      </c>
      <c r="O809" s="26">
        <f>IF($A809="","",ROUND($N809*$K809,0))</f>
        <v/>
      </c>
      <c r="P809" s="27">
        <f>IF($A809="","",SUMIFS(出库单!$J$4:$J$4003,出库单!$D$4:$D$4003,$A809,出库单!$K$4:$K$4003,"自用消耗",出库单!$U$4:$U$4003,"正常",出库单!$C$4:$C$4003,"&gt;="&amp;账期起,出库单!$C$4:$C$4003,"&lt;="&amp;账期止))</f>
        <v/>
      </c>
      <c r="Q809" s="26">
        <f>IF($A809="","",ROUND(SUMIFS(出库单!$S$4:$S$4003,出库单!$D$4:$D$4003,$A809,出库单!$K$4:$K$4003,"自用消耗",出库单!$U$4:$U$4003,"正常",出库单!$C$4:$C$4003,"&gt;="&amp;账期起,出库单!$C$4:$C$4003,"&lt;="&amp;账期止),0))</f>
        <v/>
      </c>
      <c r="R809" s="27">
        <f>IF($A809="","",SUMIFS(出库单!$J$4:$J$4003,出库单!$D$4:$D$4003,$A809,出库单!$K$4:$K$4003,"对外销售",出库单!$U$4:$U$4003,"正常",出库单!$C$4:$C$4003,"&gt;="&amp;账期起,出库单!$C$4:$C$4003,"&lt;="&amp;账期止))</f>
        <v/>
      </c>
      <c r="S809" s="26">
        <f>IF($A809="","",ROUND(SUMIFS(出库单!$S$4:$S$4003,出库单!$D$4:$D$4003,$A809,出库单!$K$4:$K$4003,"对外销售",出库单!$U$4:$U$4003,"正常",出库单!$C$4:$C$4003,"&gt;="&amp;账期起,出库单!$C$4:$C$4003,"&lt;="&amp;账期止),0))</f>
        <v/>
      </c>
      <c r="T809" s="27">
        <f>IF($A809="","",SUMIFS(出库单!$J$4:$J$4003,出库单!$D$4:$D$4003,$A809,出库单!$K$4:$K$4003,"盘亏",出库单!$U$4:$U$4003,"正常",出库单!$C$4:$C$4003,"&gt;="&amp;账期起,出库单!$C$4:$C$4003,"&lt;="&amp;账期止))</f>
        <v/>
      </c>
      <c r="U809" s="26">
        <f>IF($A809="","",ROUND(SUMIFS(出库单!$S$4:$S$4003,出库单!$D$4:$D$4003,$A809,出库单!$K$4:$K$4003,"盘亏",出库单!$U$4:$U$4003,"正常",出库单!$C$4:$C$4003,"&gt;="&amp;账期起,出库单!$C$4:$C$4003,"&lt;="&amp;账期止),0))</f>
        <v/>
      </c>
      <c r="V809" s="27">
        <f>IF($A809="","",SUMIFS(出库单!$J$4:$J$4003,出库单!$D$4:$D$4003,$A809,出库单!$K$4:$K$4003,"退货给供应商",出库单!$U$4:$U$4003,"正常",出库单!$C$4:$C$4003,"&gt;="&amp;账期起,出库单!$C$4:$C$4003,"&lt;="&amp;账期止))</f>
        <v/>
      </c>
      <c r="W809" s="26">
        <f>IF($A809="","",ROUND(SUMIFS(出库单!$S$4:$S$4003,出库单!$D$4:$D$4003,$A809,出库单!$K$4:$K$4003,"退货给供应商",出库单!$U$4:$U$4003,"正常",出库单!$C$4:$C$4003,"&gt;="&amp;账期起,出库单!$C$4:$C$4003,"&lt;="&amp;账期止),0))</f>
        <v/>
      </c>
      <c r="X809" s="27">
        <f>IF($A809="","",ROUND(N($G809)+$I809+$L809+$N809-$P809-$R809-$T809-$V809,3))</f>
        <v/>
      </c>
      <c r="Y809" s="26">
        <f>IF($A809="","",ROUND(N($H809)+$J809+$M809+$O809-$Q809-$S809-$U809-$W809,0))</f>
        <v/>
      </c>
      <c r="Z809" s="24">
        <f>IF($A809="","",IF(COUNTIFS(入库单!$G$4:$G$2503,$A809,入库单!$Y$4:$Y$2503,"待补价")+COUNTIFS(入库单!$G$4:$G$2503,$A809,入库单!$Y$4:$Y$2503,"暂估")&gt;0,"不可信","可信"))</f>
        <v/>
      </c>
      <c r="AA809" s="24">
        <f>IF($A809="","",IF($X809&lt;-0.001,"※账面负库存，查一下是不是漏记入库",IF(AND(ROUND($X809,3)=0,ABS($Y809)&gt;1),"※数量已经是 0，金额还挂着 "&amp;TEXT($Y809,"#,##0")&amp;" 先令",IF(AND($X809&gt;0,$Y809&lt;=0,$K809=0),"※有数量没金额（这个物料一直没填过进价）",IF($Z809="不可信","△成本含待补价/暂估，毛利仅供参考","")))))</f>
        <v/>
      </c>
    </row>
    <row r="810">
      <c r="A810" s="24">
        <f>IF(物料档案!$A809="","",物料档案!$A809)</f>
        <v/>
      </c>
      <c r="B810" s="24">
        <f>IF($A810="","",IFERROR(VLOOKUP($A810,物料档案!$A$4:$P$1203,3,0),""))</f>
        <v/>
      </c>
      <c r="C810" s="24">
        <f>IF($A810="","",IFERROR(VLOOKUP($A810,物料档案!$A$4:$P$1203,4,0),""))</f>
        <v/>
      </c>
      <c r="D810" s="24">
        <f>IF($A810="","",IFERROR(VLOOKUP($A810,物料档案!$A$4:$P$1203,5,0),""))</f>
        <v/>
      </c>
      <c r="E810" s="24">
        <f>IF($A810="","",IFERROR(VLOOKUP($A810,物料档案!$A$4:$P$1203,2,0),""))</f>
        <v/>
      </c>
      <c r="F810" s="24">
        <f>IF($A810="","",IFERROR(VLOOKUP($A810,物料档案!$A$4:$P$1203,6,0),""))</f>
        <v/>
      </c>
      <c r="G810" s="23" t="n"/>
      <c r="H810" s="32" t="n"/>
      <c r="I810" s="27">
        <f>IF($A810="","",SUMIFS(入库单!$K$4:$K$2503,入库单!$G$4:$G$2503,$A810,入库单!$X$4:$X$2503,"采购入库",入库单!$Z$4:$Z$2503,"正常",入库单!$C$4:$C$2503,"&gt;="&amp;账期起,入库单!$C$4:$C$2503,"&lt;="&amp;账期止))</f>
        <v/>
      </c>
      <c r="J810" s="26">
        <f>IF($A810="","",SUMIFS(入库单!$V$4:$V$2503,入库单!$G$4:$G$2503,$A810,入库单!$X$4:$X$2503,"采购入库",入库单!$Z$4:$Z$2503,"正常",入库单!$C$4:$C$2503,"&gt;="&amp;账期起,入库单!$C$4:$C$2503,"&lt;="&amp;账期止))</f>
        <v/>
      </c>
      <c r="K810" s="26">
        <f>IF($A810="","",IFERROR(ROUND((N($H810)+N($J810))/(N($G810)+N($I810)),2),0))</f>
        <v/>
      </c>
      <c r="L810" s="27">
        <f>IF($A810="","",SUMIFS(入库单!$K$4:$K$2503,入库单!$G$4:$G$2503,$A810,入库单!$X$4:$X$2503,"盘盈",入库单!$Z$4:$Z$2503,"正常",入库单!$C$4:$C$2503,"&gt;="&amp;账期起,入库单!$C$4:$C$2503,"&lt;="&amp;账期止))</f>
        <v/>
      </c>
      <c r="M810" s="26">
        <f>IF($A810="","",ROUND($L810*$K810,0))</f>
        <v/>
      </c>
      <c r="N810" s="27">
        <f>IF($A810="","",SUMIFS(入库单!$K$4:$K$2503,入库单!$G$4:$G$2503,$A810,入库单!$X$4:$X$2503,"矿区退库",入库单!$Z$4:$Z$2503,"正常",入库单!$C$4:$C$2503,"&gt;="&amp;账期起,入库单!$C$4:$C$2503,"&lt;="&amp;账期止))</f>
        <v/>
      </c>
      <c r="O810" s="26">
        <f>IF($A810="","",ROUND($N810*$K810,0))</f>
        <v/>
      </c>
      <c r="P810" s="27">
        <f>IF($A810="","",SUMIFS(出库单!$J$4:$J$4003,出库单!$D$4:$D$4003,$A810,出库单!$K$4:$K$4003,"自用消耗",出库单!$U$4:$U$4003,"正常",出库单!$C$4:$C$4003,"&gt;="&amp;账期起,出库单!$C$4:$C$4003,"&lt;="&amp;账期止))</f>
        <v/>
      </c>
      <c r="Q810" s="26">
        <f>IF($A810="","",ROUND(SUMIFS(出库单!$S$4:$S$4003,出库单!$D$4:$D$4003,$A810,出库单!$K$4:$K$4003,"自用消耗",出库单!$U$4:$U$4003,"正常",出库单!$C$4:$C$4003,"&gt;="&amp;账期起,出库单!$C$4:$C$4003,"&lt;="&amp;账期止),0))</f>
        <v/>
      </c>
      <c r="R810" s="27">
        <f>IF($A810="","",SUMIFS(出库单!$J$4:$J$4003,出库单!$D$4:$D$4003,$A810,出库单!$K$4:$K$4003,"对外销售",出库单!$U$4:$U$4003,"正常",出库单!$C$4:$C$4003,"&gt;="&amp;账期起,出库单!$C$4:$C$4003,"&lt;="&amp;账期止))</f>
        <v/>
      </c>
      <c r="S810" s="26">
        <f>IF($A810="","",ROUND(SUMIFS(出库单!$S$4:$S$4003,出库单!$D$4:$D$4003,$A810,出库单!$K$4:$K$4003,"对外销售",出库单!$U$4:$U$4003,"正常",出库单!$C$4:$C$4003,"&gt;="&amp;账期起,出库单!$C$4:$C$4003,"&lt;="&amp;账期止),0))</f>
        <v/>
      </c>
      <c r="T810" s="27">
        <f>IF($A810="","",SUMIFS(出库单!$J$4:$J$4003,出库单!$D$4:$D$4003,$A810,出库单!$K$4:$K$4003,"盘亏",出库单!$U$4:$U$4003,"正常",出库单!$C$4:$C$4003,"&gt;="&amp;账期起,出库单!$C$4:$C$4003,"&lt;="&amp;账期止))</f>
        <v/>
      </c>
      <c r="U810" s="26">
        <f>IF($A810="","",ROUND(SUMIFS(出库单!$S$4:$S$4003,出库单!$D$4:$D$4003,$A810,出库单!$K$4:$K$4003,"盘亏",出库单!$U$4:$U$4003,"正常",出库单!$C$4:$C$4003,"&gt;="&amp;账期起,出库单!$C$4:$C$4003,"&lt;="&amp;账期止),0))</f>
        <v/>
      </c>
      <c r="V810" s="27">
        <f>IF($A810="","",SUMIFS(出库单!$J$4:$J$4003,出库单!$D$4:$D$4003,$A810,出库单!$K$4:$K$4003,"退货给供应商",出库单!$U$4:$U$4003,"正常",出库单!$C$4:$C$4003,"&gt;="&amp;账期起,出库单!$C$4:$C$4003,"&lt;="&amp;账期止))</f>
        <v/>
      </c>
      <c r="W810" s="26">
        <f>IF($A810="","",ROUND(SUMIFS(出库单!$S$4:$S$4003,出库单!$D$4:$D$4003,$A810,出库单!$K$4:$K$4003,"退货给供应商",出库单!$U$4:$U$4003,"正常",出库单!$C$4:$C$4003,"&gt;="&amp;账期起,出库单!$C$4:$C$4003,"&lt;="&amp;账期止),0))</f>
        <v/>
      </c>
      <c r="X810" s="27">
        <f>IF($A810="","",ROUND(N($G810)+$I810+$L810+$N810-$P810-$R810-$T810-$V810,3))</f>
        <v/>
      </c>
      <c r="Y810" s="26">
        <f>IF($A810="","",ROUND(N($H810)+$J810+$M810+$O810-$Q810-$S810-$U810-$W810,0))</f>
        <v/>
      </c>
      <c r="Z810" s="24">
        <f>IF($A810="","",IF(COUNTIFS(入库单!$G$4:$G$2503,$A810,入库单!$Y$4:$Y$2503,"待补价")+COUNTIFS(入库单!$G$4:$G$2503,$A810,入库单!$Y$4:$Y$2503,"暂估")&gt;0,"不可信","可信"))</f>
        <v/>
      </c>
      <c r="AA810" s="24">
        <f>IF($A810="","",IF($X810&lt;-0.001,"※账面负库存，查一下是不是漏记入库",IF(AND(ROUND($X810,3)=0,ABS($Y810)&gt;1),"※数量已经是 0，金额还挂着 "&amp;TEXT($Y810,"#,##0")&amp;" 先令",IF(AND($X810&gt;0,$Y810&lt;=0,$K810=0),"※有数量没金额（这个物料一直没填过进价）",IF($Z810="不可信","△成本含待补价/暂估，毛利仅供参考","")))))</f>
        <v/>
      </c>
    </row>
    <row r="811">
      <c r="A811" s="24">
        <f>IF(物料档案!$A810="","",物料档案!$A810)</f>
        <v/>
      </c>
      <c r="B811" s="24">
        <f>IF($A811="","",IFERROR(VLOOKUP($A811,物料档案!$A$4:$P$1203,3,0),""))</f>
        <v/>
      </c>
      <c r="C811" s="24">
        <f>IF($A811="","",IFERROR(VLOOKUP($A811,物料档案!$A$4:$P$1203,4,0),""))</f>
        <v/>
      </c>
      <c r="D811" s="24">
        <f>IF($A811="","",IFERROR(VLOOKUP($A811,物料档案!$A$4:$P$1203,5,0),""))</f>
        <v/>
      </c>
      <c r="E811" s="24">
        <f>IF($A811="","",IFERROR(VLOOKUP($A811,物料档案!$A$4:$P$1203,2,0),""))</f>
        <v/>
      </c>
      <c r="F811" s="24">
        <f>IF($A811="","",IFERROR(VLOOKUP($A811,物料档案!$A$4:$P$1203,6,0),""))</f>
        <v/>
      </c>
      <c r="G811" s="23" t="n"/>
      <c r="H811" s="32" t="n"/>
      <c r="I811" s="27">
        <f>IF($A811="","",SUMIFS(入库单!$K$4:$K$2503,入库单!$G$4:$G$2503,$A811,入库单!$X$4:$X$2503,"采购入库",入库单!$Z$4:$Z$2503,"正常",入库单!$C$4:$C$2503,"&gt;="&amp;账期起,入库单!$C$4:$C$2503,"&lt;="&amp;账期止))</f>
        <v/>
      </c>
      <c r="J811" s="26">
        <f>IF($A811="","",SUMIFS(入库单!$V$4:$V$2503,入库单!$G$4:$G$2503,$A811,入库单!$X$4:$X$2503,"采购入库",入库单!$Z$4:$Z$2503,"正常",入库单!$C$4:$C$2503,"&gt;="&amp;账期起,入库单!$C$4:$C$2503,"&lt;="&amp;账期止))</f>
        <v/>
      </c>
      <c r="K811" s="26">
        <f>IF($A811="","",IFERROR(ROUND((N($H811)+N($J811))/(N($G811)+N($I811)),2),0))</f>
        <v/>
      </c>
      <c r="L811" s="27">
        <f>IF($A811="","",SUMIFS(入库单!$K$4:$K$2503,入库单!$G$4:$G$2503,$A811,入库单!$X$4:$X$2503,"盘盈",入库单!$Z$4:$Z$2503,"正常",入库单!$C$4:$C$2503,"&gt;="&amp;账期起,入库单!$C$4:$C$2503,"&lt;="&amp;账期止))</f>
        <v/>
      </c>
      <c r="M811" s="26">
        <f>IF($A811="","",ROUND($L811*$K811,0))</f>
        <v/>
      </c>
      <c r="N811" s="27">
        <f>IF($A811="","",SUMIFS(入库单!$K$4:$K$2503,入库单!$G$4:$G$2503,$A811,入库单!$X$4:$X$2503,"矿区退库",入库单!$Z$4:$Z$2503,"正常",入库单!$C$4:$C$2503,"&gt;="&amp;账期起,入库单!$C$4:$C$2503,"&lt;="&amp;账期止))</f>
        <v/>
      </c>
      <c r="O811" s="26">
        <f>IF($A811="","",ROUND($N811*$K811,0))</f>
        <v/>
      </c>
      <c r="P811" s="27">
        <f>IF($A811="","",SUMIFS(出库单!$J$4:$J$4003,出库单!$D$4:$D$4003,$A811,出库单!$K$4:$K$4003,"自用消耗",出库单!$U$4:$U$4003,"正常",出库单!$C$4:$C$4003,"&gt;="&amp;账期起,出库单!$C$4:$C$4003,"&lt;="&amp;账期止))</f>
        <v/>
      </c>
      <c r="Q811" s="26">
        <f>IF($A811="","",ROUND(SUMIFS(出库单!$S$4:$S$4003,出库单!$D$4:$D$4003,$A811,出库单!$K$4:$K$4003,"自用消耗",出库单!$U$4:$U$4003,"正常",出库单!$C$4:$C$4003,"&gt;="&amp;账期起,出库单!$C$4:$C$4003,"&lt;="&amp;账期止),0))</f>
        <v/>
      </c>
      <c r="R811" s="27">
        <f>IF($A811="","",SUMIFS(出库单!$J$4:$J$4003,出库单!$D$4:$D$4003,$A811,出库单!$K$4:$K$4003,"对外销售",出库单!$U$4:$U$4003,"正常",出库单!$C$4:$C$4003,"&gt;="&amp;账期起,出库单!$C$4:$C$4003,"&lt;="&amp;账期止))</f>
        <v/>
      </c>
      <c r="S811" s="26">
        <f>IF($A811="","",ROUND(SUMIFS(出库单!$S$4:$S$4003,出库单!$D$4:$D$4003,$A811,出库单!$K$4:$K$4003,"对外销售",出库单!$U$4:$U$4003,"正常",出库单!$C$4:$C$4003,"&gt;="&amp;账期起,出库单!$C$4:$C$4003,"&lt;="&amp;账期止),0))</f>
        <v/>
      </c>
      <c r="T811" s="27">
        <f>IF($A811="","",SUMIFS(出库单!$J$4:$J$4003,出库单!$D$4:$D$4003,$A811,出库单!$K$4:$K$4003,"盘亏",出库单!$U$4:$U$4003,"正常",出库单!$C$4:$C$4003,"&gt;="&amp;账期起,出库单!$C$4:$C$4003,"&lt;="&amp;账期止))</f>
        <v/>
      </c>
      <c r="U811" s="26">
        <f>IF($A811="","",ROUND(SUMIFS(出库单!$S$4:$S$4003,出库单!$D$4:$D$4003,$A811,出库单!$K$4:$K$4003,"盘亏",出库单!$U$4:$U$4003,"正常",出库单!$C$4:$C$4003,"&gt;="&amp;账期起,出库单!$C$4:$C$4003,"&lt;="&amp;账期止),0))</f>
        <v/>
      </c>
      <c r="V811" s="27">
        <f>IF($A811="","",SUMIFS(出库单!$J$4:$J$4003,出库单!$D$4:$D$4003,$A811,出库单!$K$4:$K$4003,"退货给供应商",出库单!$U$4:$U$4003,"正常",出库单!$C$4:$C$4003,"&gt;="&amp;账期起,出库单!$C$4:$C$4003,"&lt;="&amp;账期止))</f>
        <v/>
      </c>
      <c r="W811" s="26">
        <f>IF($A811="","",ROUND(SUMIFS(出库单!$S$4:$S$4003,出库单!$D$4:$D$4003,$A811,出库单!$K$4:$K$4003,"退货给供应商",出库单!$U$4:$U$4003,"正常",出库单!$C$4:$C$4003,"&gt;="&amp;账期起,出库单!$C$4:$C$4003,"&lt;="&amp;账期止),0))</f>
        <v/>
      </c>
      <c r="X811" s="27">
        <f>IF($A811="","",ROUND(N($G811)+$I811+$L811+$N811-$P811-$R811-$T811-$V811,3))</f>
        <v/>
      </c>
      <c r="Y811" s="26">
        <f>IF($A811="","",ROUND(N($H811)+$J811+$M811+$O811-$Q811-$S811-$U811-$W811,0))</f>
        <v/>
      </c>
      <c r="Z811" s="24">
        <f>IF($A811="","",IF(COUNTIFS(入库单!$G$4:$G$2503,$A811,入库单!$Y$4:$Y$2503,"待补价")+COUNTIFS(入库单!$G$4:$G$2503,$A811,入库单!$Y$4:$Y$2503,"暂估")&gt;0,"不可信","可信"))</f>
        <v/>
      </c>
      <c r="AA811" s="24">
        <f>IF($A811="","",IF($X811&lt;-0.001,"※账面负库存，查一下是不是漏记入库",IF(AND(ROUND($X811,3)=0,ABS($Y811)&gt;1),"※数量已经是 0，金额还挂着 "&amp;TEXT($Y811,"#,##0")&amp;" 先令",IF(AND($X811&gt;0,$Y811&lt;=0,$K811=0),"※有数量没金额（这个物料一直没填过进价）",IF($Z811="不可信","△成本含待补价/暂估，毛利仅供参考","")))))</f>
        <v/>
      </c>
    </row>
    <row r="812">
      <c r="A812" s="24">
        <f>IF(物料档案!$A811="","",物料档案!$A811)</f>
        <v/>
      </c>
      <c r="B812" s="24">
        <f>IF($A812="","",IFERROR(VLOOKUP($A812,物料档案!$A$4:$P$1203,3,0),""))</f>
        <v/>
      </c>
      <c r="C812" s="24">
        <f>IF($A812="","",IFERROR(VLOOKUP($A812,物料档案!$A$4:$P$1203,4,0),""))</f>
        <v/>
      </c>
      <c r="D812" s="24">
        <f>IF($A812="","",IFERROR(VLOOKUP($A812,物料档案!$A$4:$P$1203,5,0),""))</f>
        <v/>
      </c>
      <c r="E812" s="24">
        <f>IF($A812="","",IFERROR(VLOOKUP($A812,物料档案!$A$4:$P$1203,2,0),""))</f>
        <v/>
      </c>
      <c r="F812" s="24">
        <f>IF($A812="","",IFERROR(VLOOKUP($A812,物料档案!$A$4:$P$1203,6,0),""))</f>
        <v/>
      </c>
      <c r="G812" s="23" t="n"/>
      <c r="H812" s="32" t="n"/>
      <c r="I812" s="27">
        <f>IF($A812="","",SUMIFS(入库单!$K$4:$K$2503,入库单!$G$4:$G$2503,$A812,入库单!$X$4:$X$2503,"采购入库",入库单!$Z$4:$Z$2503,"正常",入库单!$C$4:$C$2503,"&gt;="&amp;账期起,入库单!$C$4:$C$2503,"&lt;="&amp;账期止))</f>
        <v/>
      </c>
      <c r="J812" s="26">
        <f>IF($A812="","",SUMIFS(入库单!$V$4:$V$2503,入库单!$G$4:$G$2503,$A812,入库单!$X$4:$X$2503,"采购入库",入库单!$Z$4:$Z$2503,"正常",入库单!$C$4:$C$2503,"&gt;="&amp;账期起,入库单!$C$4:$C$2503,"&lt;="&amp;账期止))</f>
        <v/>
      </c>
      <c r="K812" s="26">
        <f>IF($A812="","",IFERROR(ROUND((N($H812)+N($J812))/(N($G812)+N($I812)),2),0))</f>
        <v/>
      </c>
      <c r="L812" s="27">
        <f>IF($A812="","",SUMIFS(入库单!$K$4:$K$2503,入库单!$G$4:$G$2503,$A812,入库单!$X$4:$X$2503,"盘盈",入库单!$Z$4:$Z$2503,"正常",入库单!$C$4:$C$2503,"&gt;="&amp;账期起,入库单!$C$4:$C$2503,"&lt;="&amp;账期止))</f>
        <v/>
      </c>
      <c r="M812" s="26">
        <f>IF($A812="","",ROUND($L812*$K812,0))</f>
        <v/>
      </c>
      <c r="N812" s="27">
        <f>IF($A812="","",SUMIFS(入库单!$K$4:$K$2503,入库单!$G$4:$G$2503,$A812,入库单!$X$4:$X$2503,"矿区退库",入库单!$Z$4:$Z$2503,"正常",入库单!$C$4:$C$2503,"&gt;="&amp;账期起,入库单!$C$4:$C$2503,"&lt;="&amp;账期止))</f>
        <v/>
      </c>
      <c r="O812" s="26">
        <f>IF($A812="","",ROUND($N812*$K812,0))</f>
        <v/>
      </c>
      <c r="P812" s="27">
        <f>IF($A812="","",SUMIFS(出库单!$J$4:$J$4003,出库单!$D$4:$D$4003,$A812,出库单!$K$4:$K$4003,"自用消耗",出库单!$U$4:$U$4003,"正常",出库单!$C$4:$C$4003,"&gt;="&amp;账期起,出库单!$C$4:$C$4003,"&lt;="&amp;账期止))</f>
        <v/>
      </c>
      <c r="Q812" s="26">
        <f>IF($A812="","",ROUND(SUMIFS(出库单!$S$4:$S$4003,出库单!$D$4:$D$4003,$A812,出库单!$K$4:$K$4003,"自用消耗",出库单!$U$4:$U$4003,"正常",出库单!$C$4:$C$4003,"&gt;="&amp;账期起,出库单!$C$4:$C$4003,"&lt;="&amp;账期止),0))</f>
        <v/>
      </c>
      <c r="R812" s="27">
        <f>IF($A812="","",SUMIFS(出库单!$J$4:$J$4003,出库单!$D$4:$D$4003,$A812,出库单!$K$4:$K$4003,"对外销售",出库单!$U$4:$U$4003,"正常",出库单!$C$4:$C$4003,"&gt;="&amp;账期起,出库单!$C$4:$C$4003,"&lt;="&amp;账期止))</f>
        <v/>
      </c>
      <c r="S812" s="26">
        <f>IF($A812="","",ROUND(SUMIFS(出库单!$S$4:$S$4003,出库单!$D$4:$D$4003,$A812,出库单!$K$4:$K$4003,"对外销售",出库单!$U$4:$U$4003,"正常",出库单!$C$4:$C$4003,"&gt;="&amp;账期起,出库单!$C$4:$C$4003,"&lt;="&amp;账期止),0))</f>
        <v/>
      </c>
      <c r="T812" s="27">
        <f>IF($A812="","",SUMIFS(出库单!$J$4:$J$4003,出库单!$D$4:$D$4003,$A812,出库单!$K$4:$K$4003,"盘亏",出库单!$U$4:$U$4003,"正常",出库单!$C$4:$C$4003,"&gt;="&amp;账期起,出库单!$C$4:$C$4003,"&lt;="&amp;账期止))</f>
        <v/>
      </c>
      <c r="U812" s="26">
        <f>IF($A812="","",ROUND(SUMIFS(出库单!$S$4:$S$4003,出库单!$D$4:$D$4003,$A812,出库单!$K$4:$K$4003,"盘亏",出库单!$U$4:$U$4003,"正常",出库单!$C$4:$C$4003,"&gt;="&amp;账期起,出库单!$C$4:$C$4003,"&lt;="&amp;账期止),0))</f>
        <v/>
      </c>
      <c r="V812" s="27">
        <f>IF($A812="","",SUMIFS(出库单!$J$4:$J$4003,出库单!$D$4:$D$4003,$A812,出库单!$K$4:$K$4003,"退货给供应商",出库单!$U$4:$U$4003,"正常",出库单!$C$4:$C$4003,"&gt;="&amp;账期起,出库单!$C$4:$C$4003,"&lt;="&amp;账期止))</f>
        <v/>
      </c>
      <c r="W812" s="26">
        <f>IF($A812="","",ROUND(SUMIFS(出库单!$S$4:$S$4003,出库单!$D$4:$D$4003,$A812,出库单!$K$4:$K$4003,"退货给供应商",出库单!$U$4:$U$4003,"正常",出库单!$C$4:$C$4003,"&gt;="&amp;账期起,出库单!$C$4:$C$4003,"&lt;="&amp;账期止),0))</f>
        <v/>
      </c>
      <c r="X812" s="27">
        <f>IF($A812="","",ROUND(N($G812)+$I812+$L812+$N812-$P812-$R812-$T812-$V812,3))</f>
        <v/>
      </c>
      <c r="Y812" s="26">
        <f>IF($A812="","",ROUND(N($H812)+$J812+$M812+$O812-$Q812-$S812-$U812-$W812,0))</f>
        <v/>
      </c>
      <c r="Z812" s="24">
        <f>IF($A812="","",IF(COUNTIFS(入库单!$G$4:$G$2503,$A812,入库单!$Y$4:$Y$2503,"待补价")+COUNTIFS(入库单!$G$4:$G$2503,$A812,入库单!$Y$4:$Y$2503,"暂估")&gt;0,"不可信","可信"))</f>
        <v/>
      </c>
      <c r="AA812" s="24">
        <f>IF($A812="","",IF($X812&lt;-0.001,"※账面负库存，查一下是不是漏记入库",IF(AND(ROUND($X812,3)=0,ABS($Y812)&gt;1),"※数量已经是 0，金额还挂着 "&amp;TEXT($Y812,"#,##0")&amp;" 先令",IF(AND($X812&gt;0,$Y812&lt;=0,$K812=0),"※有数量没金额（这个物料一直没填过进价）",IF($Z812="不可信","△成本含待补价/暂估，毛利仅供参考","")))))</f>
        <v/>
      </c>
    </row>
    <row r="813">
      <c r="A813" s="24">
        <f>IF(物料档案!$A812="","",物料档案!$A812)</f>
        <v/>
      </c>
      <c r="B813" s="24">
        <f>IF($A813="","",IFERROR(VLOOKUP($A813,物料档案!$A$4:$P$1203,3,0),""))</f>
        <v/>
      </c>
      <c r="C813" s="24">
        <f>IF($A813="","",IFERROR(VLOOKUP($A813,物料档案!$A$4:$P$1203,4,0),""))</f>
        <v/>
      </c>
      <c r="D813" s="24">
        <f>IF($A813="","",IFERROR(VLOOKUP($A813,物料档案!$A$4:$P$1203,5,0),""))</f>
        <v/>
      </c>
      <c r="E813" s="24">
        <f>IF($A813="","",IFERROR(VLOOKUP($A813,物料档案!$A$4:$P$1203,2,0),""))</f>
        <v/>
      </c>
      <c r="F813" s="24">
        <f>IF($A813="","",IFERROR(VLOOKUP($A813,物料档案!$A$4:$P$1203,6,0),""))</f>
        <v/>
      </c>
      <c r="G813" s="23" t="n"/>
      <c r="H813" s="32" t="n"/>
      <c r="I813" s="27">
        <f>IF($A813="","",SUMIFS(入库单!$K$4:$K$2503,入库单!$G$4:$G$2503,$A813,入库单!$X$4:$X$2503,"采购入库",入库单!$Z$4:$Z$2503,"正常",入库单!$C$4:$C$2503,"&gt;="&amp;账期起,入库单!$C$4:$C$2503,"&lt;="&amp;账期止))</f>
        <v/>
      </c>
      <c r="J813" s="26">
        <f>IF($A813="","",SUMIFS(入库单!$V$4:$V$2503,入库单!$G$4:$G$2503,$A813,入库单!$X$4:$X$2503,"采购入库",入库单!$Z$4:$Z$2503,"正常",入库单!$C$4:$C$2503,"&gt;="&amp;账期起,入库单!$C$4:$C$2503,"&lt;="&amp;账期止))</f>
        <v/>
      </c>
      <c r="K813" s="26">
        <f>IF($A813="","",IFERROR(ROUND((N($H813)+N($J813))/(N($G813)+N($I813)),2),0))</f>
        <v/>
      </c>
      <c r="L813" s="27">
        <f>IF($A813="","",SUMIFS(入库单!$K$4:$K$2503,入库单!$G$4:$G$2503,$A813,入库单!$X$4:$X$2503,"盘盈",入库单!$Z$4:$Z$2503,"正常",入库单!$C$4:$C$2503,"&gt;="&amp;账期起,入库单!$C$4:$C$2503,"&lt;="&amp;账期止))</f>
        <v/>
      </c>
      <c r="M813" s="26">
        <f>IF($A813="","",ROUND($L813*$K813,0))</f>
        <v/>
      </c>
      <c r="N813" s="27">
        <f>IF($A813="","",SUMIFS(入库单!$K$4:$K$2503,入库单!$G$4:$G$2503,$A813,入库单!$X$4:$X$2503,"矿区退库",入库单!$Z$4:$Z$2503,"正常",入库单!$C$4:$C$2503,"&gt;="&amp;账期起,入库单!$C$4:$C$2503,"&lt;="&amp;账期止))</f>
        <v/>
      </c>
      <c r="O813" s="26">
        <f>IF($A813="","",ROUND($N813*$K813,0))</f>
        <v/>
      </c>
      <c r="P813" s="27">
        <f>IF($A813="","",SUMIFS(出库单!$J$4:$J$4003,出库单!$D$4:$D$4003,$A813,出库单!$K$4:$K$4003,"自用消耗",出库单!$U$4:$U$4003,"正常",出库单!$C$4:$C$4003,"&gt;="&amp;账期起,出库单!$C$4:$C$4003,"&lt;="&amp;账期止))</f>
        <v/>
      </c>
      <c r="Q813" s="26">
        <f>IF($A813="","",ROUND(SUMIFS(出库单!$S$4:$S$4003,出库单!$D$4:$D$4003,$A813,出库单!$K$4:$K$4003,"自用消耗",出库单!$U$4:$U$4003,"正常",出库单!$C$4:$C$4003,"&gt;="&amp;账期起,出库单!$C$4:$C$4003,"&lt;="&amp;账期止),0))</f>
        <v/>
      </c>
      <c r="R813" s="27">
        <f>IF($A813="","",SUMIFS(出库单!$J$4:$J$4003,出库单!$D$4:$D$4003,$A813,出库单!$K$4:$K$4003,"对外销售",出库单!$U$4:$U$4003,"正常",出库单!$C$4:$C$4003,"&gt;="&amp;账期起,出库单!$C$4:$C$4003,"&lt;="&amp;账期止))</f>
        <v/>
      </c>
      <c r="S813" s="26">
        <f>IF($A813="","",ROUND(SUMIFS(出库单!$S$4:$S$4003,出库单!$D$4:$D$4003,$A813,出库单!$K$4:$K$4003,"对外销售",出库单!$U$4:$U$4003,"正常",出库单!$C$4:$C$4003,"&gt;="&amp;账期起,出库单!$C$4:$C$4003,"&lt;="&amp;账期止),0))</f>
        <v/>
      </c>
      <c r="T813" s="27">
        <f>IF($A813="","",SUMIFS(出库单!$J$4:$J$4003,出库单!$D$4:$D$4003,$A813,出库单!$K$4:$K$4003,"盘亏",出库单!$U$4:$U$4003,"正常",出库单!$C$4:$C$4003,"&gt;="&amp;账期起,出库单!$C$4:$C$4003,"&lt;="&amp;账期止))</f>
        <v/>
      </c>
      <c r="U813" s="26">
        <f>IF($A813="","",ROUND(SUMIFS(出库单!$S$4:$S$4003,出库单!$D$4:$D$4003,$A813,出库单!$K$4:$K$4003,"盘亏",出库单!$U$4:$U$4003,"正常",出库单!$C$4:$C$4003,"&gt;="&amp;账期起,出库单!$C$4:$C$4003,"&lt;="&amp;账期止),0))</f>
        <v/>
      </c>
      <c r="V813" s="27">
        <f>IF($A813="","",SUMIFS(出库单!$J$4:$J$4003,出库单!$D$4:$D$4003,$A813,出库单!$K$4:$K$4003,"退货给供应商",出库单!$U$4:$U$4003,"正常",出库单!$C$4:$C$4003,"&gt;="&amp;账期起,出库单!$C$4:$C$4003,"&lt;="&amp;账期止))</f>
        <v/>
      </c>
      <c r="W813" s="26">
        <f>IF($A813="","",ROUND(SUMIFS(出库单!$S$4:$S$4003,出库单!$D$4:$D$4003,$A813,出库单!$K$4:$K$4003,"退货给供应商",出库单!$U$4:$U$4003,"正常",出库单!$C$4:$C$4003,"&gt;="&amp;账期起,出库单!$C$4:$C$4003,"&lt;="&amp;账期止),0))</f>
        <v/>
      </c>
      <c r="X813" s="27">
        <f>IF($A813="","",ROUND(N($G813)+$I813+$L813+$N813-$P813-$R813-$T813-$V813,3))</f>
        <v/>
      </c>
      <c r="Y813" s="26">
        <f>IF($A813="","",ROUND(N($H813)+$J813+$M813+$O813-$Q813-$S813-$U813-$W813,0))</f>
        <v/>
      </c>
      <c r="Z813" s="24">
        <f>IF($A813="","",IF(COUNTIFS(入库单!$G$4:$G$2503,$A813,入库单!$Y$4:$Y$2503,"待补价")+COUNTIFS(入库单!$G$4:$G$2503,$A813,入库单!$Y$4:$Y$2503,"暂估")&gt;0,"不可信","可信"))</f>
        <v/>
      </c>
      <c r="AA813" s="24">
        <f>IF($A813="","",IF($X813&lt;-0.001,"※账面负库存，查一下是不是漏记入库",IF(AND(ROUND($X813,3)=0,ABS($Y813)&gt;1),"※数量已经是 0，金额还挂着 "&amp;TEXT($Y813,"#,##0")&amp;" 先令",IF(AND($X813&gt;0,$Y813&lt;=0,$K813=0),"※有数量没金额（这个物料一直没填过进价）",IF($Z813="不可信","△成本含待补价/暂估，毛利仅供参考","")))))</f>
        <v/>
      </c>
    </row>
    <row r="814">
      <c r="A814" s="24">
        <f>IF(物料档案!$A813="","",物料档案!$A813)</f>
        <v/>
      </c>
      <c r="B814" s="24">
        <f>IF($A814="","",IFERROR(VLOOKUP($A814,物料档案!$A$4:$P$1203,3,0),""))</f>
        <v/>
      </c>
      <c r="C814" s="24">
        <f>IF($A814="","",IFERROR(VLOOKUP($A814,物料档案!$A$4:$P$1203,4,0),""))</f>
        <v/>
      </c>
      <c r="D814" s="24">
        <f>IF($A814="","",IFERROR(VLOOKUP($A814,物料档案!$A$4:$P$1203,5,0),""))</f>
        <v/>
      </c>
      <c r="E814" s="24">
        <f>IF($A814="","",IFERROR(VLOOKUP($A814,物料档案!$A$4:$P$1203,2,0),""))</f>
        <v/>
      </c>
      <c r="F814" s="24">
        <f>IF($A814="","",IFERROR(VLOOKUP($A814,物料档案!$A$4:$P$1203,6,0),""))</f>
        <v/>
      </c>
      <c r="G814" s="23" t="n"/>
      <c r="H814" s="32" t="n"/>
      <c r="I814" s="27">
        <f>IF($A814="","",SUMIFS(入库单!$K$4:$K$2503,入库单!$G$4:$G$2503,$A814,入库单!$X$4:$X$2503,"采购入库",入库单!$Z$4:$Z$2503,"正常",入库单!$C$4:$C$2503,"&gt;="&amp;账期起,入库单!$C$4:$C$2503,"&lt;="&amp;账期止))</f>
        <v/>
      </c>
      <c r="J814" s="26">
        <f>IF($A814="","",SUMIFS(入库单!$V$4:$V$2503,入库单!$G$4:$G$2503,$A814,入库单!$X$4:$X$2503,"采购入库",入库单!$Z$4:$Z$2503,"正常",入库单!$C$4:$C$2503,"&gt;="&amp;账期起,入库单!$C$4:$C$2503,"&lt;="&amp;账期止))</f>
        <v/>
      </c>
      <c r="K814" s="26">
        <f>IF($A814="","",IFERROR(ROUND((N($H814)+N($J814))/(N($G814)+N($I814)),2),0))</f>
        <v/>
      </c>
      <c r="L814" s="27">
        <f>IF($A814="","",SUMIFS(入库单!$K$4:$K$2503,入库单!$G$4:$G$2503,$A814,入库单!$X$4:$X$2503,"盘盈",入库单!$Z$4:$Z$2503,"正常",入库单!$C$4:$C$2503,"&gt;="&amp;账期起,入库单!$C$4:$C$2503,"&lt;="&amp;账期止))</f>
        <v/>
      </c>
      <c r="M814" s="26">
        <f>IF($A814="","",ROUND($L814*$K814,0))</f>
        <v/>
      </c>
      <c r="N814" s="27">
        <f>IF($A814="","",SUMIFS(入库单!$K$4:$K$2503,入库单!$G$4:$G$2503,$A814,入库单!$X$4:$X$2503,"矿区退库",入库单!$Z$4:$Z$2503,"正常",入库单!$C$4:$C$2503,"&gt;="&amp;账期起,入库单!$C$4:$C$2503,"&lt;="&amp;账期止))</f>
        <v/>
      </c>
      <c r="O814" s="26">
        <f>IF($A814="","",ROUND($N814*$K814,0))</f>
        <v/>
      </c>
      <c r="P814" s="27">
        <f>IF($A814="","",SUMIFS(出库单!$J$4:$J$4003,出库单!$D$4:$D$4003,$A814,出库单!$K$4:$K$4003,"自用消耗",出库单!$U$4:$U$4003,"正常",出库单!$C$4:$C$4003,"&gt;="&amp;账期起,出库单!$C$4:$C$4003,"&lt;="&amp;账期止))</f>
        <v/>
      </c>
      <c r="Q814" s="26">
        <f>IF($A814="","",ROUND(SUMIFS(出库单!$S$4:$S$4003,出库单!$D$4:$D$4003,$A814,出库单!$K$4:$K$4003,"自用消耗",出库单!$U$4:$U$4003,"正常",出库单!$C$4:$C$4003,"&gt;="&amp;账期起,出库单!$C$4:$C$4003,"&lt;="&amp;账期止),0))</f>
        <v/>
      </c>
      <c r="R814" s="27">
        <f>IF($A814="","",SUMIFS(出库单!$J$4:$J$4003,出库单!$D$4:$D$4003,$A814,出库单!$K$4:$K$4003,"对外销售",出库单!$U$4:$U$4003,"正常",出库单!$C$4:$C$4003,"&gt;="&amp;账期起,出库单!$C$4:$C$4003,"&lt;="&amp;账期止))</f>
        <v/>
      </c>
      <c r="S814" s="26">
        <f>IF($A814="","",ROUND(SUMIFS(出库单!$S$4:$S$4003,出库单!$D$4:$D$4003,$A814,出库单!$K$4:$K$4003,"对外销售",出库单!$U$4:$U$4003,"正常",出库单!$C$4:$C$4003,"&gt;="&amp;账期起,出库单!$C$4:$C$4003,"&lt;="&amp;账期止),0))</f>
        <v/>
      </c>
      <c r="T814" s="27">
        <f>IF($A814="","",SUMIFS(出库单!$J$4:$J$4003,出库单!$D$4:$D$4003,$A814,出库单!$K$4:$K$4003,"盘亏",出库单!$U$4:$U$4003,"正常",出库单!$C$4:$C$4003,"&gt;="&amp;账期起,出库单!$C$4:$C$4003,"&lt;="&amp;账期止))</f>
        <v/>
      </c>
      <c r="U814" s="26">
        <f>IF($A814="","",ROUND(SUMIFS(出库单!$S$4:$S$4003,出库单!$D$4:$D$4003,$A814,出库单!$K$4:$K$4003,"盘亏",出库单!$U$4:$U$4003,"正常",出库单!$C$4:$C$4003,"&gt;="&amp;账期起,出库单!$C$4:$C$4003,"&lt;="&amp;账期止),0))</f>
        <v/>
      </c>
      <c r="V814" s="27">
        <f>IF($A814="","",SUMIFS(出库单!$J$4:$J$4003,出库单!$D$4:$D$4003,$A814,出库单!$K$4:$K$4003,"退货给供应商",出库单!$U$4:$U$4003,"正常",出库单!$C$4:$C$4003,"&gt;="&amp;账期起,出库单!$C$4:$C$4003,"&lt;="&amp;账期止))</f>
        <v/>
      </c>
      <c r="W814" s="26">
        <f>IF($A814="","",ROUND(SUMIFS(出库单!$S$4:$S$4003,出库单!$D$4:$D$4003,$A814,出库单!$K$4:$K$4003,"退货给供应商",出库单!$U$4:$U$4003,"正常",出库单!$C$4:$C$4003,"&gt;="&amp;账期起,出库单!$C$4:$C$4003,"&lt;="&amp;账期止),0))</f>
        <v/>
      </c>
      <c r="X814" s="27">
        <f>IF($A814="","",ROUND(N($G814)+$I814+$L814+$N814-$P814-$R814-$T814-$V814,3))</f>
        <v/>
      </c>
      <c r="Y814" s="26">
        <f>IF($A814="","",ROUND(N($H814)+$J814+$M814+$O814-$Q814-$S814-$U814-$W814,0))</f>
        <v/>
      </c>
      <c r="Z814" s="24">
        <f>IF($A814="","",IF(COUNTIFS(入库单!$G$4:$G$2503,$A814,入库单!$Y$4:$Y$2503,"待补价")+COUNTIFS(入库单!$G$4:$G$2503,$A814,入库单!$Y$4:$Y$2503,"暂估")&gt;0,"不可信","可信"))</f>
        <v/>
      </c>
      <c r="AA814" s="24">
        <f>IF($A814="","",IF($X814&lt;-0.001,"※账面负库存，查一下是不是漏记入库",IF(AND(ROUND($X814,3)=0,ABS($Y814)&gt;1),"※数量已经是 0，金额还挂着 "&amp;TEXT($Y814,"#,##0")&amp;" 先令",IF(AND($X814&gt;0,$Y814&lt;=0,$K814=0),"※有数量没金额（这个物料一直没填过进价）",IF($Z814="不可信","△成本含待补价/暂估，毛利仅供参考","")))))</f>
        <v/>
      </c>
    </row>
    <row r="815">
      <c r="A815" s="24">
        <f>IF(物料档案!$A814="","",物料档案!$A814)</f>
        <v/>
      </c>
      <c r="B815" s="24">
        <f>IF($A815="","",IFERROR(VLOOKUP($A815,物料档案!$A$4:$P$1203,3,0),""))</f>
        <v/>
      </c>
      <c r="C815" s="24">
        <f>IF($A815="","",IFERROR(VLOOKUP($A815,物料档案!$A$4:$P$1203,4,0),""))</f>
        <v/>
      </c>
      <c r="D815" s="24">
        <f>IF($A815="","",IFERROR(VLOOKUP($A815,物料档案!$A$4:$P$1203,5,0),""))</f>
        <v/>
      </c>
      <c r="E815" s="24">
        <f>IF($A815="","",IFERROR(VLOOKUP($A815,物料档案!$A$4:$P$1203,2,0),""))</f>
        <v/>
      </c>
      <c r="F815" s="24">
        <f>IF($A815="","",IFERROR(VLOOKUP($A815,物料档案!$A$4:$P$1203,6,0),""))</f>
        <v/>
      </c>
      <c r="G815" s="23" t="n"/>
      <c r="H815" s="32" t="n"/>
      <c r="I815" s="27">
        <f>IF($A815="","",SUMIFS(入库单!$K$4:$K$2503,入库单!$G$4:$G$2503,$A815,入库单!$X$4:$X$2503,"采购入库",入库单!$Z$4:$Z$2503,"正常",入库单!$C$4:$C$2503,"&gt;="&amp;账期起,入库单!$C$4:$C$2503,"&lt;="&amp;账期止))</f>
        <v/>
      </c>
      <c r="J815" s="26">
        <f>IF($A815="","",SUMIFS(入库单!$V$4:$V$2503,入库单!$G$4:$G$2503,$A815,入库单!$X$4:$X$2503,"采购入库",入库单!$Z$4:$Z$2503,"正常",入库单!$C$4:$C$2503,"&gt;="&amp;账期起,入库单!$C$4:$C$2503,"&lt;="&amp;账期止))</f>
        <v/>
      </c>
      <c r="K815" s="26">
        <f>IF($A815="","",IFERROR(ROUND((N($H815)+N($J815))/(N($G815)+N($I815)),2),0))</f>
        <v/>
      </c>
      <c r="L815" s="27">
        <f>IF($A815="","",SUMIFS(入库单!$K$4:$K$2503,入库单!$G$4:$G$2503,$A815,入库单!$X$4:$X$2503,"盘盈",入库单!$Z$4:$Z$2503,"正常",入库单!$C$4:$C$2503,"&gt;="&amp;账期起,入库单!$C$4:$C$2503,"&lt;="&amp;账期止))</f>
        <v/>
      </c>
      <c r="M815" s="26">
        <f>IF($A815="","",ROUND($L815*$K815,0))</f>
        <v/>
      </c>
      <c r="N815" s="27">
        <f>IF($A815="","",SUMIFS(入库单!$K$4:$K$2503,入库单!$G$4:$G$2503,$A815,入库单!$X$4:$X$2503,"矿区退库",入库单!$Z$4:$Z$2503,"正常",入库单!$C$4:$C$2503,"&gt;="&amp;账期起,入库单!$C$4:$C$2503,"&lt;="&amp;账期止))</f>
        <v/>
      </c>
      <c r="O815" s="26">
        <f>IF($A815="","",ROUND($N815*$K815,0))</f>
        <v/>
      </c>
      <c r="P815" s="27">
        <f>IF($A815="","",SUMIFS(出库单!$J$4:$J$4003,出库单!$D$4:$D$4003,$A815,出库单!$K$4:$K$4003,"自用消耗",出库单!$U$4:$U$4003,"正常",出库单!$C$4:$C$4003,"&gt;="&amp;账期起,出库单!$C$4:$C$4003,"&lt;="&amp;账期止))</f>
        <v/>
      </c>
      <c r="Q815" s="26">
        <f>IF($A815="","",ROUND(SUMIFS(出库单!$S$4:$S$4003,出库单!$D$4:$D$4003,$A815,出库单!$K$4:$K$4003,"自用消耗",出库单!$U$4:$U$4003,"正常",出库单!$C$4:$C$4003,"&gt;="&amp;账期起,出库单!$C$4:$C$4003,"&lt;="&amp;账期止),0))</f>
        <v/>
      </c>
      <c r="R815" s="27">
        <f>IF($A815="","",SUMIFS(出库单!$J$4:$J$4003,出库单!$D$4:$D$4003,$A815,出库单!$K$4:$K$4003,"对外销售",出库单!$U$4:$U$4003,"正常",出库单!$C$4:$C$4003,"&gt;="&amp;账期起,出库单!$C$4:$C$4003,"&lt;="&amp;账期止))</f>
        <v/>
      </c>
      <c r="S815" s="26">
        <f>IF($A815="","",ROUND(SUMIFS(出库单!$S$4:$S$4003,出库单!$D$4:$D$4003,$A815,出库单!$K$4:$K$4003,"对外销售",出库单!$U$4:$U$4003,"正常",出库单!$C$4:$C$4003,"&gt;="&amp;账期起,出库单!$C$4:$C$4003,"&lt;="&amp;账期止),0))</f>
        <v/>
      </c>
      <c r="T815" s="27">
        <f>IF($A815="","",SUMIFS(出库单!$J$4:$J$4003,出库单!$D$4:$D$4003,$A815,出库单!$K$4:$K$4003,"盘亏",出库单!$U$4:$U$4003,"正常",出库单!$C$4:$C$4003,"&gt;="&amp;账期起,出库单!$C$4:$C$4003,"&lt;="&amp;账期止))</f>
        <v/>
      </c>
      <c r="U815" s="26">
        <f>IF($A815="","",ROUND(SUMIFS(出库单!$S$4:$S$4003,出库单!$D$4:$D$4003,$A815,出库单!$K$4:$K$4003,"盘亏",出库单!$U$4:$U$4003,"正常",出库单!$C$4:$C$4003,"&gt;="&amp;账期起,出库单!$C$4:$C$4003,"&lt;="&amp;账期止),0))</f>
        <v/>
      </c>
      <c r="V815" s="27">
        <f>IF($A815="","",SUMIFS(出库单!$J$4:$J$4003,出库单!$D$4:$D$4003,$A815,出库单!$K$4:$K$4003,"退货给供应商",出库单!$U$4:$U$4003,"正常",出库单!$C$4:$C$4003,"&gt;="&amp;账期起,出库单!$C$4:$C$4003,"&lt;="&amp;账期止))</f>
        <v/>
      </c>
      <c r="W815" s="26">
        <f>IF($A815="","",ROUND(SUMIFS(出库单!$S$4:$S$4003,出库单!$D$4:$D$4003,$A815,出库单!$K$4:$K$4003,"退货给供应商",出库单!$U$4:$U$4003,"正常",出库单!$C$4:$C$4003,"&gt;="&amp;账期起,出库单!$C$4:$C$4003,"&lt;="&amp;账期止),0))</f>
        <v/>
      </c>
      <c r="X815" s="27">
        <f>IF($A815="","",ROUND(N($G815)+$I815+$L815+$N815-$P815-$R815-$T815-$V815,3))</f>
        <v/>
      </c>
      <c r="Y815" s="26">
        <f>IF($A815="","",ROUND(N($H815)+$J815+$M815+$O815-$Q815-$S815-$U815-$W815,0))</f>
        <v/>
      </c>
      <c r="Z815" s="24">
        <f>IF($A815="","",IF(COUNTIFS(入库单!$G$4:$G$2503,$A815,入库单!$Y$4:$Y$2503,"待补价")+COUNTIFS(入库单!$G$4:$G$2503,$A815,入库单!$Y$4:$Y$2503,"暂估")&gt;0,"不可信","可信"))</f>
        <v/>
      </c>
      <c r="AA815" s="24">
        <f>IF($A815="","",IF($X815&lt;-0.001,"※账面负库存，查一下是不是漏记入库",IF(AND(ROUND($X815,3)=0,ABS($Y815)&gt;1),"※数量已经是 0，金额还挂着 "&amp;TEXT($Y815,"#,##0")&amp;" 先令",IF(AND($X815&gt;0,$Y815&lt;=0,$K815=0),"※有数量没金额（这个物料一直没填过进价）",IF($Z815="不可信","△成本含待补价/暂估，毛利仅供参考","")))))</f>
        <v/>
      </c>
    </row>
    <row r="816">
      <c r="A816" s="24">
        <f>IF(物料档案!$A815="","",物料档案!$A815)</f>
        <v/>
      </c>
      <c r="B816" s="24">
        <f>IF($A816="","",IFERROR(VLOOKUP($A816,物料档案!$A$4:$P$1203,3,0),""))</f>
        <v/>
      </c>
      <c r="C816" s="24">
        <f>IF($A816="","",IFERROR(VLOOKUP($A816,物料档案!$A$4:$P$1203,4,0),""))</f>
        <v/>
      </c>
      <c r="D816" s="24">
        <f>IF($A816="","",IFERROR(VLOOKUP($A816,物料档案!$A$4:$P$1203,5,0),""))</f>
        <v/>
      </c>
      <c r="E816" s="24">
        <f>IF($A816="","",IFERROR(VLOOKUP($A816,物料档案!$A$4:$P$1203,2,0),""))</f>
        <v/>
      </c>
      <c r="F816" s="24">
        <f>IF($A816="","",IFERROR(VLOOKUP($A816,物料档案!$A$4:$P$1203,6,0),""))</f>
        <v/>
      </c>
      <c r="G816" s="23" t="n"/>
      <c r="H816" s="32" t="n"/>
      <c r="I816" s="27">
        <f>IF($A816="","",SUMIFS(入库单!$K$4:$K$2503,入库单!$G$4:$G$2503,$A816,入库单!$X$4:$X$2503,"采购入库",入库单!$Z$4:$Z$2503,"正常",入库单!$C$4:$C$2503,"&gt;="&amp;账期起,入库单!$C$4:$C$2503,"&lt;="&amp;账期止))</f>
        <v/>
      </c>
      <c r="J816" s="26">
        <f>IF($A816="","",SUMIFS(入库单!$V$4:$V$2503,入库单!$G$4:$G$2503,$A816,入库单!$X$4:$X$2503,"采购入库",入库单!$Z$4:$Z$2503,"正常",入库单!$C$4:$C$2503,"&gt;="&amp;账期起,入库单!$C$4:$C$2503,"&lt;="&amp;账期止))</f>
        <v/>
      </c>
      <c r="K816" s="26">
        <f>IF($A816="","",IFERROR(ROUND((N($H816)+N($J816))/(N($G816)+N($I816)),2),0))</f>
        <v/>
      </c>
      <c r="L816" s="27">
        <f>IF($A816="","",SUMIFS(入库单!$K$4:$K$2503,入库单!$G$4:$G$2503,$A816,入库单!$X$4:$X$2503,"盘盈",入库单!$Z$4:$Z$2503,"正常",入库单!$C$4:$C$2503,"&gt;="&amp;账期起,入库单!$C$4:$C$2503,"&lt;="&amp;账期止))</f>
        <v/>
      </c>
      <c r="M816" s="26">
        <f>IF($A816="","",ROUND($L816*$K816,0))</f>
        <v/>
      </c>
      <c r="N816" s="27">
        <f>IF($A816="","",SUMIFS(入库单!$K$4:$K$2503,入库单!$G$4:$G$2503,$A816,入库单!$X$4:$X$2503,"矿区退库",入库单!$Z$4:$Z$2503,"正常",入库单!$C$4:$C$2503,"&gt;="&amp;账期起,入库单!$C$4:$C$2503,"&lt;="&amp;账期止))</f>
        <v/>
      </c>
      <c r="O816" s="26">
        <f>IF($A816="","",ROUND($N816*$K816,0))</f>
        <v/>
      </c>
      <c r="P816" s="27">
        <f>IF($A816="","",SUMIFS(出库单!$J$4:$J$4003,出库单!$D$4:$D$4003,$A816,出库单!$K$4:$K$4003,"自用消耗",出库单!$U$4:$U$4003,"正常",出库单!$C$4:$C$4003,"&gt;="&amp;账期起,出库单!$C$4:$C$4003,"&lt;="&amp;账期止))</f>
        <v/>
      </c>
      <c r="Q816" s="26">
        <f>IF($A816="","",ROUND(SUMIFS(出库单!$S$4:$S$4003,出库单!$D$4:$D$4003,$A816,出库单!$K$4:$K$4003,"自用消耗",出库单!$U$4:$U$4003,"正常",出库单!$C$4:$C$4003,"&gt;="&amp;账期起,出库单!$C$4:$C$4003,"&lt;="&amp;账期止),0))</f>
        <v/>
      </c>
      <c r="R816" s="27">
        <f>IF($A816="","",SUMIFS(出库单!$J$4:$J$4003,出库单!$D$4:$D$4003,$A816,出库单!$K$4:$K$4003,"对外销售",出库单!$U$4:$U$4003,"正常",出库单!$C$4:$C$4003,"&gt;="&amp;账期起,出库单!$C$4:$C$4003,"&lt;="&amp;账期止))</f>
        <v/>
      </c>
      <c r="S816" s="26">
        <f>IF($A816="","",ROUND(SUMIFS(出库单!$S$4:$S$4003,出库单!$D$4:$D$4003,$A816,出库单!$K$4:$K$4003,"对外销售",出库单!$U$4:$U$4003,"正常",出库单!$C$4:$C$4003,"&gt;="&amp;账期起,出库单!$C$4:$C$4003,"&lt;="&amp;账期止),0))</f>
        <v/>
      </c>
      <c r="T816" s="27">
        <f>IF($A816="","",SUMIFS(出库单!$J$4:$J$4003,出库单!$D$4:$D$4003,$A816,出库单!$K$4:$K$4003,"盘亏",出库单!$U$4:$U$4003,"正常",出库单!$C$4:$C$4003,"&gt;="&amp;账期起,出库单!$C$4:$C$4003,"&lt;="&amp;账期止))</f>
        <v/>
      </c>
      <c r="U816" s="26">
        <f>IF($A816="","",ROUND(SUMIFS(出库单!$S$4:$S$4003,出库单!$D$4:$D$4003,$A816,出库单!$K$4:$K$4003,"盘亏",出库单!$U$4:$U$4003,"正常",出库单!$C$4:$C$4003,"&gt;="&amp;账期起,出库单!$C$4:$C$4003,"&lt;="&amp;账期止),0))</f>
        <v/>
      </c>
      <c r="V816" s="27">
        <f>IF($A816="","",SUMIFS(出库单!$J$4:$J$4003,出库单!$D$4:$D$4003,$A816,出库单!$K$4:$K$4003,"退货给供应商",出库单!$U$4:$U$4003,"正常",出库单!$C$4:$C$4003,"&gt;="&amp;账期起,出库单!$C$4:$C$4003,"&lt;="&amp;账期止))</f>
        <v/>
      </c>
      <c r="W816" s="26">
        <f>IF($A816="","",ROUND(SUMIFS(出库单!$S$4:$S$4003,出库单!$D$4:$D$4003,$A816,出库单!$K$4:$K$4003,"退货给供应商",出库单!$U$4:$U$4003,"正常",出库单!$C$4:$C$4003,"&gt;="&amp;账期起,出库单!$C$4:$C$4003,"&lt;="&amp;账期止),0))</f>
        <v/>
      </c>
      <c r="X816" s="27">
        <f>IF($A816="","",ROUND(N($G816)+$I816+$L816+$N816-$P816-$R816-$T816-$V816,3))</f>
        <v/>
      </c>
      <c r="Y816" s="26">
        <f>IF($A816="","",ROUND(N($H816)+$J816+$M816+$O816-$Q816-$S816-$U816-$W816,0))</f>
        <v/>
      </c>
      <c r="Z816" s="24">
        <f>IF($A816="","",IF(COUNTIFS(入库单!$G$4:$G$2503,$A816,入库单!$Y$4:$Y$2503,"待补价")+COUNTIFS(入库单!$G$4:$G$2503,$A816,入库单!$Y$4:$Y$2503,"暂估")&gt;0,"不可信","可信"))</f>
        <v/>
      </c>
      <c r="AA816" s="24">
        <f>IF($A816="","",IF($X816&lt;-0.001,"※账面负库存，查一下是不是漏记入库",IF(AND(ROUND($X816,3)=0,ABS($Y816)&gt;1),"※数量已经是 0，金额还挂着 "&amp;TEXT($Y816,"#,##0")&amp;" 先令",IF(AND($X816&gt;0,$Y816&lt;=0,$K816=0),"※有数量没金额（这个物料一直没填过进价）",IF($Z816="不可信","△成本含待补价/暂估，毛利仅供参考","")))))</f>
        <v/>
      </c>
    </row>
    <row r="817">
      <c r="A817" s="24">
        <f>IF(物料档案!$A816="","",物料档案!$A816)</f>
        <v/>
      </c>
      <c r="B817" s="24">
        <f>IF($A817="","",IFERROR(VLOOKUP($A817,物料档案!$A$4:$P$1203,3,0),""))</f>
        <v/>
      </c>
      <c r="C817" s="24">
        <f>IF($A817="","",IFERROR(VLOOKUP($A817,物料档案!$A$4:$P$1203,4,0),""))</f>
        <v/>
      </c>
      <c r="D817" s="24">
        <f>IF($A817="","",IFERROR(VLOOKUP($A817,物料档案!$A$4:$P$1203,5,0),""))</f>
        <v/>
      </c>
      <c r="E817" s="24">
        <f>IF($A817="","",IFERROR(VLOOKUP($A817,物料档案!$A$4:$P$1203,2,0),""))</f>
        <v/>
      </c>
      <c r="F817" s="24">
        <f>IF($A817="","",IFERROR(VLOOKUP($A817,物料档案!$A$4:$P$1203,6,0),""))</f>
        <v/>
      </c>
      <c r="G817" s="23" t="n"/>
      <c r="H817" s="32" t="n"/>
      <c r="I817" s="27">
        <f>IF($A817="","",SUMIFS(入库单!$K$4:$K$2503,入库单!$G$4:$G$2503,$A817,入库单!$X$4:$X$2503,"采购入库",入库单!$Z$4:$Z$2503,"正常",入库单!$C$4:$C$2503,"&gt;="&amp;账期起,入库单!$C$4:$C$2503,"&lt;="&amp;账期止))</f>
        <v/>
      </c>
      <c r="J817" s="26">
        <f>IF($A817="","",SUMIFS(入库单!$V$4:$V$2503,入库单!$G$4:$G$2503,$A817,入库单!$X$4:$X$2503,"采购入库",入库单!$Z$4:$Z$2503,"正常",入库单!$C$4:$C$2503,"&gt;="&amp;账期起,入库单!$C$4:$C$2503,"&lt;="&amp;账期止))</f>
        <v/>
      </c>
      <c r="K817" s="26">
        <f>IF($A817="","",IFERROR(ROUND((N($H817)+N($J817))/(N($G817)+N($I817)),2),0))</f>
        <v/>
      </c>
      <c r="L817" s="27">
        <f>IF($A817="","",SUMIFS(入库单!$K$4:$K$2503,入库单!$G$4:$G$2503,$A817,入库单!$X$4:$X$2503,"盘盈",入库单!$Z$4:$Z$2503,"正常",入库单!$C$4:$C$2503,"&gt;="&amp;账期起,入库单!$C$4:$C$2503,"&lt;="&amp;账期止))</f>
        <v/>
      </c>
      <c r="M817" s="26">
        <f>IF($A817="","",ROUND($L817*$K817,0))</f>
        <v/>
      </c>
      <c r="N817" s="27">
        <f>IF($A817="","",SUMIFS(入库单!$K$4:$K$2503,入库单!$G$4:$G$2503,$A817,入库单!$X$4:$X$2503,"矿区退库",入库单!$Z$4:$Z$2503,"正常",入库单!$C$4:$C$2503,"&gt;="&amp;账期起,入库单!$C$4:$C$2503,"&lt;="&amp;账期止))</f>
        <v/>
      </c>
      <c r="O817" s="26">
        <f>IF($A817="","",ROUND($N817*$K817,0))</f>
        <v/>
      </c>
      <c r="P817" s="27">
        <f>IF($A817="","",SUMIFS(出库单!$J$4:$J$4003,出库单!$D$4:$D$4003,$A817,出库单!$K$4:$K$4003,"自用消耗",出库单!$U$4:$U$4003,"正常",出库单!$C$4:$C$4003,"&gt;="&amp;账期起,出库单!$C$4:$C$4003,"&lt;="&amp;账期止))</f>
        <v/>
      </c>
      <c r="Q817" s="26">
        <f>IF($A817="","",ROUND(SUMIFS(出库单!$S$4:$S$4003,出库单!$D$4:$D$4003,$A817,出库单!$K$4:$K$4003,"自用消耗",出库单!$U$4:$U$4003,"正常",出库单!$C$4:$C$4003,"&gt;="&amp;账期起,出库单!$C$4:$C$4003,"&lt;="&amp;账期止),0))</f>
        <v/>
      </c>
      <c r="R817" s="27">
        <f>IF($A817="","",SUMIFS(出库单!$J$4:$J$4003,出库单!$D$4:$D$4003,$A817,出库单!$K$4:$K$4003,"对外销售",出库单!$U$4:$U$4003,"正常",出库单!$C$4:$C$4003,"&gt;="&amp;账期起,出库单!$C$4:$C$4003,"&lt;="&amp;账期止))</f>
        <v/>
      </c>
      <c r="S817" s="26">
        <f>IF($A817="","",ROUND(SUMIFS(出库单!$S$4:$S$4003,出库单!$D$4:$D$4003,$A817,出库单!$K$4:$K$4003,"对外销售",出库单!$U$4:$U$4003,"正常",出库单!$C$4:$C$4003,"&gt;="&amp;账期起,出库单!$C$4:$C$4003,"&lt;="&amp;账期止),0))</f>
        <v/>
      </c>
      <c r="T817" s="27">
        <f>IF($A817="","",SUMIFS(出库单!$J$4:$J$4003,出库单!$D$4:$D$4003,$A817,出库单!$K$4:$K$4003,"盘亏",出库单!$U$4:$U$4003,"正常",出库单!$C$4:$C$4003,"&gt;="&amp;账期起,出库单!$C$4:$C$4003,"&lt;="&amp;账期止))</f>
        <v/>
      </c>
      <c r="U817" s="26">
        <f>IF($A817="","",ROUND(SUMIFS(出库单!$S$4:$S$4003,出库单!$D$4:$D$4003,$A817,出库单!$K$4:$K$4003,"盘亏",出库单!$U$4:$U$4003,"正常",出库单!$C$4:$C$4003,"&gt;="&amp;账期起,出库单!$C$4:$C$4003,"&lt;="&amp;账期止),0))</f>
        <v/>
      </c>
      <c r="V817" s="27">
        <f>IF($A817="","",SUMIFS(出库单!$J$4:$J$4003,出库单!$D$4:$D$4003,$A817,出库单!$K$4:$K$4003,"退货给供应商",出库单!$U$4:$U$4003,"正常",出库单!$C$4:$C$4003,"&gt;="&amp;账期起,出库单!$C$4:$C$4003,"&lt;="&amp;账期止))</f>
        <v/>
      </c>
      <c r="W817" s="26">
        <f>IF($A817="","",ROUND(SUMIFS(出库单!$S$4:$S$4003,出库单!$D$4:$D$4003,$A817,出库单!$K$4:$K$4003,"退货给供应商",出库单!$U$4:$U$4003,"正常",出库单!$C$4:$C$4003,"&gt;="&amp;账期起,出库单!$C$4:$C$4003,"&lt;="&amp;账期止),0))</f>
        <v/>
      </c>
      <c r="X817" s="27">
        <f>IF($A817="","",ROUND(N($G817)+$I817+$L817+$N817-$P817-$R817-$T817-$V817,3))</f>
        <v/>
      </c>
      <c r="Y817" s="26">
        <f>IF($A817="","",ROUND(N($H817)+$J817+$M817+$O817-$Q817-$S817-$U817-$W817,0))</f>
        <v/>
      </c>
      <c r="Z817" s="24">
        <f>IF($A817="","",IF(COUNTIFS(入库单!$G$4:$G$2503,$A817,入库单!$Y$4:$Y$2503,"待补价")+COUNTIFS(入库单!$G$4:$G$2503,$A817,入库单!$Y$4:$Y$2503,"暂估")&gt;0,"不可信","可信"))</f>
        <v/>
      </c>
      <c r="AA817" s="24">
        <f>IF($A817="","",IF($X817&lt;-0.001,"※账面负库存，查一下是不是漏记入库",IF(AND(ROUND($X817,3)=0,ABS($Y817)&gt;1),"※数量已经是 0，金额还挂着 "&amp;TEXT($Y817,"#,##0")&amp;" 先令",IF(AND($X817&gt;0,$Y817&lt;=0,$K817=0),"※有数量没金额（这个物料一直没填过进价）",IF($Z817="不可信","△成本含待补价/暂估，毛利仅供参考","")))))</f>
        <v/>
      </c>
    </row>
    <row r="818">
      <c r="A818" s="24">
        <f>IF(物料档案!$A817="","",物料档案!$A817)</f>
        <v/>
      </c>
      <c r="B818" s="24">
        <f>IF($A818="","",IFERROR(VLOOKUP($A818,物料档案!$A$4:$P$1203,3,0),""))</f>
        <v/>
      </c>
      <c r="C818" s="24">
        <f>IF($A818="","",IFERROR(VLOOKUP($A818,物料档案!$A$4:$P$1203,4,0),""))</f>
        <v/>
      </c>
      <c r="D818" s="24">
        <f>IF($A818="","",IFERROR(VLOOKUP($A818,物料档案!$A$4:$P$1203,5,0),""))</f>
        <v/>
      </c>
      <c r="E818" s="24">
        <f>IF($A818="","",IFERROR(VLOOKUP($A818,物料档案!$A$4:$P$1203,2,0),""))</f>
        <v/>
      </c>
      <c r="F818" s="24">
        <f>IF($A818="","",IFERROR(VLOOKUP($A818,物料档案!$A$4:$P$1203,6,0),""))</f>
        <v/>
      </c>
      <c r="G818" s="23" t="n"/>
      <c r="H818" s="32" t="n"/>
      <c r="I818" s="27">
        <f>IF($A818="","",SUMIFS(入库单!$K$4:$K$2503,入库单!$G$4:$G$2503,$A818,入库单!$X$4:$X$2503,"采购入库",入库单!$Z$4:$Z$2503,"正常",入库单!$C$4:$C$2503,"&gt;="&amp;账期起,入库单!$C$4:$C$2503,"&lt;="&amp;账期止))</f>
        <v/>
      </c>
      <c r="J818" s="26">
        <f>IF($A818="","",SUMIFS(入库单!$V$4:$V$2503,入库单!$G$4:$G$2503,$A818,入库单!$X$4:$X$2503,"采购入库",入库单!$Z$4:$Z$2503,"正常",入库单!$C$4:$C$2503,"&gt;="&amp;账期起,入库单!$C$4:$C$2503,"&lt;="&amp;账期止))</f>
        <v/>
      </c>
      <c r="K818" s="26">
        <f>IF($A818="","",IFERROR(ROUND((N($H818)+N($J818))/(N($G818)+N($I818)),2),0))</f>
        <v/>
      </c>
      <c r="L818" s="27">
        <f>IF($A818="","",SUMIFS(入库单!$K$4:$K$2503,入库单!$G$4:$G$2503,$A818,入库单!$X$4:$X$2503,"盘盈",入库单!$Z$4:$Z$2503,"正常",入库单!$C$4:$C$2503,"&gt;="&amp;账期起,入库单!$C$4:$C$2503,"&lt;="&amp;账期止))</f>
        <v/>
      </c>
      <c r="M818" s="26">
        <f>IF($A818="","",ROUND($L818*$K818,0))</f>
        <v/>
      </c>
      <c r="N818" s="27">
        <f>IF($A818="","",SUMIFS(入库单!$K$4:$K$2503,入库单!$G$4:$G$2503,$A818,入库单!$X$4:$X$2503,"矿区退库",入库单!$Z$4:$Z$2503,"正常",入库单!$C$4:$C$2503,"&gt;="&amp;账期起,入库单!$C$4:$C$2503,"&lt;="&amp;账期止))</f>
        <v/>
      </c>
      <c r="O818" s="26">
        <f>IF($A818="","",ROUND($N818*$K818,0))</f>
        <v/>
      </c>
      <c r="P818" s="27">
        <f>IF($A818="","",SUMIFS(出库单!$J$4:$J$4003,出库单!$D$4:$D$4003,$A818,出库单!$K$4:$K$4003,"自用消耗",出库单!$U$4:$U$4003,"正常",出库单!$C$4:$C$4003,"&gt;="&amp;账期起,出库单!$C$4:$C$4003,"&lt;="&amp;账期止))</f>
        <v/>
      </c>
      <c r="Q818" s="26">
        <f>IF($A818="","",ROUND(SUMIFS(出库单!$S$4:$S$4003,出库单!$D$4:$D$4003,$A818,出库单!$K$4:$K$4003,"自用消耗",出库单!$U$4:$U$4003,"正常",出库单!$C$4:$C$4003,"&gt;="&amp;账期起,出库单!$C$4:$C$4003,"&lt;="&amp;账期止),0))</f>
        <v/>
      </c>
      <c r="R818" s="27">
        <f>IF($A818="","",SUMIFS(出库单!$J$4:$J$4003,出库单!$D$4:$D$4003,$A818,出库单!$K$4:$K$4003,"对外销售",出库单!$U$4:$U$4003,"正常",出库单!$C$4:$C$4003,"&gt;="&amp;账期起,出库单!$C$4:$C$4003,"&lt;="&amp;账期止))</f>
        <v/>
      </c>
      <c r="S818" s="26">
        <f>IF($A818="","",ROUND(SUMIFS(出库单!$S$4:$S$4003,出库单!$D$4:$D$4003,$A818,出库单!$K$4:$K$4003,"对外销售",出库单!$U$4:$U$4003,"正常",出库单!$C$4:$C$4003,"&gt;="&amp;账期起,出库单!$C$4:$C$4003,"&lt;="&amp;账期止),0))</f>
        <v/>
      </c>
      <c r="T818" s="27">
        <f>IF($A818="","",SUMIFS(出库单!$J$4:$J$4003,出库单!$D$4:$D$4003,$A818,出库单!$K$4:$K$4003,"盘亏",出库单!$U$4:$U$4003,"正常",出库单!$C$4:$C$4003,"&gt;="&amp;账期起,出库单!$C$4:$C$4003,"&lt;="&amp;账期止))</f>
        <v/>
      </c>
      <c r="U818" s="26">
        <f>IF($A818="","",ROUND(SUMIFS(出库单!$S$4:$S$4003,出库单!$D$4:$D$4003,$A818,出库单!$K$4:$K$4003,"盘亏",出库单!$U$4:$U$4003,"正常",出库单!$C$4:$C$4003,"&gt;="&amp;账期起,出库单!$C$4:$C$4003,"&lt;="&amp;账期止),0))</f>
        <v/>
      </c>
      <c r="V818" s="27">
        <f>IF($A818="","",SUMIFS(出库单!$J$4:$J$4003,出库单!$D$4:$D$4003,$A818,出库单!$K$4:$K$4003,"退货给供应商",出库单!$U$4:$U$4003,"正常",出库单!$C$4:$C$4003,"&gt;="&amp;账期起,出库单!$C$4:$C$4003,"&lt;="&amp;账期止))</f>
        <v/>
      </c>
      <c r="W818" s="26">
        <f>IF($A818="","",ROUND(SUMIFS(出库单!$S$4:$S$4003,出库单!$D$4:$D$4003,$A818,出库单!$K$4:$K$4003,"退货给供应商",出库单!$U$4:$U$4003,"正常",出库单!$C$4:$C$4003,"&gt;="&amp;账期起,出库单!$C$4:$C$4003,"&lt;="&amp;账期止),0))</f>
        <v/>
      </c>
      <c r="X818" s="27">
        <f>IF($A818="","",ROUND(N($G818)+$I818+$L818+$N818-$P818-$R818-$T818-$V818,3))</f>
        <v/>
      </c>
      <c r="Y818" s="26">
        <f>IF($A818="","",ROUND(N($H818)+$J818+$M818+$O818-$Q818-$S818-$U818-$W818,0))</f>
        <v/>
      </c>
      <c r="Z818" s="24">
        <f>IF($A818="","",IF(COUNTIFS(入库单!$G$4:$G$2503,$A818,入库单!$Y$4:$Y$2503,"待补价")+COUNTIFS(入库单!$G$4:$G$2503,$A818,入库单!$Y$4:$Y$2503,"暂估")&gt;0,"不可信","可信"))</f>
        <v/>
      </c>
      <c r="AA818" s="24">
        <f>IF($A818="","",IF($X818&lt;-0.001,"※账面负库存，查一下是不是漏记入库",IF(AND(ROUND($X818,3)=0,ABS($Y818)&gt;1),"※数量已经是 0，金额还挂着 "&amp;TEXT($Y818,"#,##0")&amp;" 先令",IF(AND($X818&gt;0,$Y818&lt;=0,$K818=0),"※有数量没金额（这个物料一直没填过进价）",IF($Z818="不可信","△成本含待补价/暂估，毛利仅供参考","")))))</f>
        <v/>
      </c>
    </row>
    <row r="819">
      <c r="A819" s="24">
        <f>IF(物料档案!$A818="","",物料档案!$A818)</f>
        <v/>
      </c>
      <c r="B819" s="24">
        <f>IF($A819="","",IFERROR(VLOOKUP($A819,物料档案!$A$4:$P$1203,3,0),""))</f>
        <v/>
      </c>
      <c r="C819" s="24">
        <f>IF($A819="","",IFERROR(VLOOKUP($A819,物料档案!$A$4:$P$1203,4,0),""))</f>
        <v/>
      </c>
      <c r="D819" s="24">
        <f>IF($A819="","",IFERROR(VLOOKUP($A819,物料档案!$A$4:$P$1203,5,0),""))</f>
        <v/>
      </c>
      <c r="E819" s="24">
        <f>IF($A819="","",IFERROR(VLOOKUP($A819,物料档案!$A$4:$P$1203,2,0),""))</f>
        <v/>
      </c>
      <c r="F819" s="24">
        <f>IF($A819="","",IFERROR(VLOOKUP($A819,物料档案!$A$4:$P$1203,6,0),""))</f>
        <v/>
      </c>
      <c r="G819" s="23" t="n"/>
      <c r="H819" s="32" t="n"/>
      <c r="I819" s="27">
        <f>IF($A819="","",SUMIFS(入库单!$K$4:$K$2503,入库单!$G$4:$G$2503,$A819,入库单!$X$4:$X$2503,"采购入库",入库单!$Z$4:$Z$2503,"正常",入库单!$C$4:$C$2503,"&gt;="&amp;账期起,入库单!$C$4:$C$2503,"&lt;="&amp;账期止))</f>
        <v/>
      </c>
      <c r="J819" s="26">
        <f>IF($A819="","",SUMIFS(入库单!$V$4:$V$2503,入库单!$G$4:$G$2503,$A819,入库单!$X$4:$X$2503,"采购入库",入库单!$Z$4:$Z$2503,"正常",入库单!$C$4:$C$2503,"&gt;="&amp;账期起,入库单!$C$4:$C$2503,"&lt;="&amp;账期止))</f>
        <v/>
      </c>
      <c r="K819" s="26">
        <f>IF($A819="","",IFERROR(ROUND((N($H819)+N($J819))/(N($G819)+N($I819)),2),0))</f>
        <v/>
      </c>
      <c r="L819" s="27">
        <f>IF($A819="","",SUMIFS(入库单!$K$4:$K$2503,入库单!$G$4:$G$2503,$A819,入库单!$X$4:$X$2503,"盘盈",入库单!$Z$4:$Z$2503,"正常",入库单!$C$4:$C$2503,"&gt;="&amp;账期起,入库单!$C$4:$C$2503,"&lt;="&amp;账期止))</f>
        <v/>
      </c>
      <c r="M819" s="26">
        <f>IF($A819="","",ROUND($L819*$K819,0))</f>
        <v/>
      </c>
      <c r="N819" s="27">
        <f>IF($A819="","",SUMIFS(入库单!$K$4:$K$2503,入库单!$G$4:$G$2503,$A819,入库单!$X$4:$X$2503,"矿区退库",入库单!$Z$4:$Z$2503,"正常",入库单!$C$4:$C$2503,"&gt;="&amp;账期起,入库单!$C$4:$C$2503,"&lt;="&amp;账期止))</f>
        <v/>
      </c>
      <c r="O819" s="26">
        <f>IF($A819="","",ROUND($N819*$K819,0))</f>
        <v/>
      </c>
      <c r="P819" s="27">
        <f>IF($A819="","",SUMIFS(出库单!$J$4:$J$4003,出库单!$D$4:$D$4003,$A819,出库单!$K$4:$K$4003,"自用消耗",出库单!$U$4:$U$4003,"正常",出库单!$C$4:$C$4003,"&gt;="&amp;账期起,出库单!$C$4:$C$4003,"&lt;="&amp;账期止))</f>
        <v/>
      </c>
      <c r="Q819" s="26">
        <f>IF($A819="","",ROUND(SUMIFS(出库单!$S$4:$S$4003,出库单!$D$4:$D$4003,$A819,出库单!$K$4:$K$4003,"自用消耗",出库单!$U$4:$U$4003,"正常",出库单!$C$4:$C$4003,"&gt;="&amp;账期起,出库单!$C$4:$C$4003,"&lt;="&amp;账期止),0))</f>
        <v/>
      </c>
      <c r="R819" s="27">
        <f>IF($A819="","",SUMIFS(出库单!$J$4:$J$4003,出库单!$D$4:$D$4003,$A819,出库单!$K$4:$K$4003,"对外销售",出库单!$U$4:$U$4003,"正常",出库单!$C$4:$C$4003,"&gt;="&amp;账期起,出库单!$C$4:$C$4003,"&lt;="&amp;账期止))</f>
        <v/>
      </c>
      <c r="S819" s="26">
        <f>IF($A819="","",ROUND(SUMIFS(出库单!$S$4:$S$4003,出库单!$D$4:$D$4003,$A819,出库单!$K$4:$K$4003,"对外销售",出库单!$U$4:$U$4003,"正常",出库单!$C$4:$C$4003,"&gt;="&amp;账期起,出库单!$C$4:$C$4003,"&lt;="&amp;账期止),0))</f>
        <v/>
      </c>
      <c r="T819" s="27">
        <f>IF($A819="","",SUMIFS(出库单!$J$4:$J$4003,出库单!$D$4:$D$4003,$A819,出库单!$K$4:$K$4003,"盘亏",出库单!$U$4:$U$4003,"正常",出库单!$C$4:$C$4003,"&gt;="&amp;账期起,出库单!$C$4:$C$4003,"&lt;="&amp;账期止))</f>
        <v/>
      </c>
      <c r="U819" s="26">
        <f>IF($A819="","",ROUND(SUMIFS(出库单!$S$4:$S$4003,出库单!$D$4:$D$4003,$A819,出库单!$K$4:$K$4003,"盘亏",出库单!$U$4:$U$4003,"正常",出库单!$C$4:$C$4003,"&gt;="&amp;账期起,出库单!$C$4:$C$4003,"&lt;="&amp;账期止),0))</f>
        <v/>
      </c>
      <c r="V819" s="27">
        <f>IF($A819="","",SUMIFS(出库单!$J$4:$J$4003,出库单!$D$4:$D$4003,$A819,出库单!$K$4:$K$4003,"退货给供应商",出库单!$U$4:$U$4003,"正常",出库单!$C$4:$C$4003,"&gt;="&amp;账期起,出库单!$C$4:$C$4003,"&lt;="&amp;账期止))</f>
        <v/>
      </c>
      <c r="W819" s="26">
        <f>IF($A819="","",ROUND(SUMIFS(出库单!$S$4:$S$4003,出库单!$D$4:$D$4003,$A819,出库单!$K$4:$K$4003,"退货给供应商",出库单!$U$4:$U$4003,"正常",出库单!$C$4:$C$4003,"&gt;="&amp;账期起,出库单!$C$4:$C$4003,"&lt;="&amp;账期止),0))</f>
        <v/>
      </c>
      <c r="X819" s="27">
        <f>IF($A819="","",ROUND(N($G819)+$I819+$L819+$N819-$P819-$R819-$T819-$V819,3))</f>
        <v/>
      </c>
      <c r="Y819" s="26">
        <f>IF($A819="","",ROUND(N($H819)+$J819+$M819+$O819-$Q819-$S819-$U819-$W819,0))</f>
        <v/>
      </c>
      <c r="Z819" s="24">
        <f>IF($A819="","",IF(COUNTIFS(入库单!$G$4:$G$2503,$A819,入库单!$Y$4:$Y$2503,"待补价")+COUNTIFS(入库单!$G$4:$G$2503,$A819,入库单!$Y$4:$Y$2503,"暂估")&gt;0,"不可信","可信"))</f>
        <v/>
      </c>
      <c r="AA819" s="24">
        <f>IF($A819="","",IF($X819&lt;-0.001,"※账面负库存，查一下是不是漏记入库",IF(AND(ROUND($X819,3)=0,ABS($Y819)&gt;1),"※数量已经是 0，金额还挂着 "&amp;TEXT($Y819,"#,##0")&amp;" 先令",IF(AND($X819&gt;0,$Y819&lt;=0,$K819=0),"※有数量没金额（这个物料一直没填过进价）",IF($Z819="不可信","△成本含待补价/暂估，毛利仅供参考","")))))</f>
        <v/>
      </c>
    </row>
    <row r="820">
      <c r="A820" s="24">
        <f>IF(物料档案!$A819="","",物料档案!$A819)</f>
        <v/>
      </c>
      <c r="B820" s="24">
        <f>IF($A820="","",IFERROR(VLOOKUP($A820,物料档案!$A$4:$P$1203,3,0),""))</f>
        <v/>
      </c>
      <c r="C820" s="24">
        <f>IF($A820="","",IFERROR(VLOOKUP($A820,物料档案!$A$4:$P$1203,4,0),""))</f>
        <v/>
      </c>
      <c r="D820" s="24">
        <f>IF($A820="","",IFERROR(VLOOKUP($A820,物料档案!$A$4:$P$1203,5,0),""))</f>
        <v/>
      </c>
      <c r="E820" s="24">
        <f>IF($A820="","",IFERROR(VLOOKUP($A820,物料档案!$A$4:$P$1203,2,0),""))</f>
        <v/>
      </c>
      <c r="F820" s="24">
        <f>IF($A820="","",IFERROR(VLOOKUP($A820,物料档案!$A$4:$P$1203,6,0),""))</f>
        <v/>
      </c>
      <c r="G820" s="23" t="n"/>
      <c r="H820" s="32" t="n"/>
      <c r="I820" s="27">
        <f>IF($A820="","",SUMIFS(入库单!$K$4:$K$2503,入库单!$G$4:$G$2503,$A820,入库单!$X$4:$X$2503,"采购入库",入库单!$Z$4:$Z$2503,"正常",入库单!$C$4:$C$2503,"&gt;="&amp;账期起,入库单!$C$4:$C$2503,"&lt;="&amp;账期止))</f>
        <v/>
      </c>
      <c r="J820" s="26">
        <f>IF($A820="","",SUMIFS(入库单!$V$4:$V$2503,入库单!$G$4:$G$2503,$A820,入库单!$X$4:$X$2503,"采购入库",入库单!$Z$4:$Z$2503,"正常",入库单!$C$4:$C$2503,"&gt;="&amp;账期起,入库单!$C$4:$C$2503,"&lt;="&amp;账期止))</f>
        <v/>
      </c>
      <c r="K820" s="26">
        <f>IF($A820="","",IFERROR(ROUND((N($H820)+N($J820))/(N($G820)+N($I820)),2),0))</f>
        <v/>
      </c>
      <c r="L820" s="27">
        <f>IF($A820="","",SUMIFS(入库单!$K$4:$K$2503,入库单!$G$4:$G$2503,$A820,入库单!$X$4:$X$2503,"盘盈",入库单!$Z$4:$Z$2503,"正常",入库单!$C$4:$C$2503,"&gt;="&amp;账期起,入库单!$C$4:$C$2503,"&lt;="&amp;账期止))</f>
        <v/>
      </c>
      <c r="M820" s="26">
        <f>IF($A820="","",ROUND($L820*$K820,0))</f>
        <v/>
      </c>
      <c r="N820" s="27">
        <f>IF($A820="","",SUMIFS(入库单!$K$4:$K$2503,入库单!$G$4:$G$2503,$A820,入库单!$X$4:$X$2503,"矿区退库",入库单!$Z$4:$Z$2503,"正常",入库单!$C$4:$C$2503,"&gt;="&amp;账期起,入库单!$C$4:$C$2503,"&lt;="&amp;账期止))</f>
        <v/>
      </c>
      <c r="O820" s="26">
        <f>IF($A820="","",ROUND($N820*$K820,0))</f>
        <v/>
      </c>
      <c r="P820" s="27">
        <f>IF($A820="","",SUMIFS(出库单!$J$4:$J$4003,出库单!$D$4:$D$4003,$A820,出库单!$K$4:$K$4003,"自用消耗",出库单!$U$4:$U$4003,"正常",出库单!$C$4:$C$4003,"&gt;="&amp;账期起,出库单!$C$4:$C$4003,"&lt;="&amp;账期止))</f>
        <v/>
      </c>
      <c r="Q820" s="26">
        <f>IF($A820="","",ROUND(SUMIFS(出库单!$S$4:$S$4003,出库单!$D$4:$D$4003,$A820,出库单!$K$4:$K$4003,"自用消耗",出库单!$U$4:$U$4003,"正常",出库单!$C$4:$C$4003,"&gt;="&amp;账期起,出库单!$C$4:$C$4003,"&lt;="&amp;账期止),0))</f>
        <v/>
      </c>
      <c r="R820" s="27">
        <f>IF($A820="","",SUMIFS(出库单!$J$4:$J$4003,出库单!$D$4:$D$4003,$A820,出库单!$K$4:$K$4003,"对外销售",出库单!$U$4:$U$4003,"正常",出库单!$C$4:$C$4003,"&gt;="&amp;账期起,出库单!$C$4:$C$4003,"&lt;="&amp;账期止))</f>
        <v/>
      </c>
      <c r="S820" s="26">
        <f>IF($A820="","",ROUND(SUMIFS(出库单!$S$4:$S$4003,出库单!$D$4:$D$4003,$A820,出库单!$K$4:$K$4003,"对外销售",出库单!$U$4:$U$4003,"正常",出库单!$C$4:$C$4003,"&gt;="&amp;账期起,出库单!$C$4:$C$4003,"&lt;="&amp;账期止),0))</f>
        <v/>
      </c>
      <c r="T820" s="27">
        <f>IF($A820="","",SUMIFS(出库单!$J$4:$J$4003,出库单!$D$4:$D$4003,$A820,出库单!$K$4:$K$4003,"盘亏",出库单!$U$4:$U$4003,"正常",出库单!$C$4:$C$4003,"&gt;="&amp;账期起,出库单!$C$4:$C$4003,"&lt;="&amp;账期止))</f>
        <v/>
      </c>
      <c r="U820" s="26">
        <f>IF($A820="","",ROUND(SUMIFS(出库单!$S$4:$S$4003,出库单!$D$4:$D$4003,$A820,出库单!$K$4:$K$4003,"盘亏",出库单!$U$4:$U$4003,"正常",出库单!$C$4:$C$4003,"&gt;="&amp;账期起,出库单!$C$4:$C$4003,"&lt;="&amp;账期止),0))</f>
        <v/>
      </c>
      <c r="V820" s="27">
        <f>IF($A820="","",SUMIFS(出库单!$J$4:$J$4003,出库单!$D$4:$D$4003,$A820,出库单!$K$4:$K$4003,"退货给供应商",出库单!$U$4:$U$4003,"正常",出库单!$C$4:$C$4003,"&gt;="&amp;账期起,出库单!$C$4:$C$4003,"&lt;="&amp;账期止))</f>
        <v/>
      </c>
      <c r="W820" s="26">
        <f>IF($A820="","",ROUND(SUMIFS(出库单!$S$4:$S$4003,出库单!$D$4:$D$4003,$A820,出库单!$K$4:$K$4003,"退货给供应商",出库单!$U$4:$U$4003,"正常",出库单!$C$4:$C$4003,"&gt;="&amp;账期起,出库单!$C$4:$C$4003,"&lt;="&amp;账期止),0))</f>
        <v/>
      </c>
      <c r="X820" s="27">
        <f>IF($A820="","",ROUND(N($G820)+$I820+$L820+$N820-$P820-$R820-$T820-$V820,3))</f>
        <v/>
      </c>
      <c r="Y820" s="26">
        <f>IF($A820="","",ROUND(N($H820)+$J820+$M820+$O820-$Q820-$S820-$U820-$W820,0))</f>
        <v/>
      </c>
      <c r="Z820" s="24">
        <f>IF($A820="","",IF(COUNTIFS(入库单!$G$4:$G$2503,$A820,入库单!$Y$4:$Y$2503,"待补价")+COUNTIFS(入库单!$G$4:$G$2503,$A820,入库单!$Y$4:$Y$2503,"暂估")&gt;0,"不可信","可信"))</f>
        <v/>
      </c>
      <c r="AA820" s="24">
        <f>IF($A820="","",IF($X820&lt;-0.001,"※账面负库存，查一下是不是漏记入库",IF(AND(ROUND($X820,3)=0,ABS($Y820)&gt;1),"※数量已经是 0，金额还挂着 "&amp;TEXT($Y820,"#,##0")&amp;" 先令",IF(AND($X820&gt;0,$Y820&lt;=0,$K820=0),"※有数量没金额（这个物料一直没填过进价）",IF($Z820="不可信","△成本含待补价/暂估，毛利仅供参考","")))))</f>
        <v/>
      </c>
    </row>
    <row r="821">
      <c r="A821" s="24">
        <f>IF(物料档案!$A820="","",物料档案!$A820)</f>
        <v/>
      </c>
      <c r="B821" s="24">
        <f>IF($A821="","",IFERROR(VLOOKUP($A821,物料档案!$A$4:$P$1203,3,0),""))</f>
        <v/>
      </c>
      <c r="C821" s="24">
        <f>IF($A821="","",IFERROR(VLOOKUP($A821,物料档案!$A$4:$P$1203,4,0),""))</f>
        <v/>
      </c>
      <c r="D821" s="24">
        <f>IF($A821="","",IFERROR(VLOOKUP($A821,物料档案!$A$4:$P$1203,5,0),""))</f>
        <v/>
      </c>
      <c r="E821" s="24">
        <f>IF($A821="","",IFERROR(VLOOKUP($A821,物料档案!$A$4:$P$1203,2,0),""))</f>
        <v/>
      </c>
      <c r="F821" s="24">
        <f>IF($A821="","",IFERROR(VLOOKUP($A821,物料档案!$A$4:$P$1203,6,0),""))</f>
        <v/>
      </c>
      <c r="G821" s="23" t="n"/>
      <c r="H821" s="32" t="n"/>
      <c r="I821" s="27">
        <f>IF($A821="","",SUMIFS(入库单!$K$4:$K$2503,入库单!$G$4:$G$2503,$A821,入库单!$X$4:$X$2503,"采购入库",入库单!$Z$4:$Z$2503,"正常",入库单!$C$4:$C$2503,"&gt;="&amp;账期起,入库单!$C$4:$C$2503,"&lt;="&amp;账期止))</f>
        <v/>
      </c>
      <c r="J821" s="26">
        <f>IF($A821="","",SUMIFS(入库单!$V$4:$V$2503,入库单!$G$4:$G$2503,$A821,入库单!$X$4:$X$2503,"采购入库",入库单!$Z$4:$Z$2503,"正常",入库单!$C$4:$C$2503,"&gt;="&amp;账期起,入库单!$C$4:$C$2503,"&lt;="&amp;账期止))</f>
        <v/>
      </c>
      <c r="K821" s="26">
        <f>IF($A821="","",IFERROR(ROUND((N($H821)+N($J821))/(N($G821)+N($I821)),2),0))</f>
        <v/>
      </c>
      <c r="L821" s="27">
        <f>IF($A821="","",SUMIFS(入库单!$K$4:$K$2503,入库单!$G$4:$G$2503,$A821,入库单!$X$4:$X$2503,"盘盈",入库单!$Z$4:$Z$2503,"正常",入库单!$C$4:$C$2503,"&gt;="&amp;账期起,入库单!$C$4:$C$2503,"&lt;="&amp;账期止))</f>
        <v/>
      </c>
      <c r="M821" s="26">
        <f>IF($A821="","",ROUND($L821*$K821,0))</f>
        <v/>
      </c>
      <c r="N821" s="27">
        <f>IF($A821="","",SUMIFS(入库单!$K$4:$K$2503,入库单!$G$4:$G$2503,$A821,入库单!$X$4:$X$2503,"矿区退库",入库单!$Z$4:$Z$2503,"正常",入库单!$C$4:$C$2503,"&gt;="&amp;账期起,入库单!$C$4:$C$2503,"&lt;="&amp;账期止))</f>
        <v/>
      </c>
      <c r="O821" s="26">
        <f>IF($A821="","",ROUND($N821*$K821,0))</f>
        <v/>
      </c>
      <c r="P821" s="27">
        <f>IF($A821="","",SUMIFS(出库单!$J$4:$J$4003,出库单!$D$4:$D$4003,$A821,出库单!$K$4:$K$4003,"自用消耗",出库单!$U$4:$U$4003,"正常",出库单!$C$4:$C$4003,"&gt;="&amp;账期起,出库单!$C$4:$C$4003,"&lt;="&amp;账期止))</f>
        <v/>
      </c>
      <c r="Q821" s="26">
        <f>IF($A821="","",ROUND(SUMIFS(出库单!$S$4:$S$4003,出库单!$D$4:$D$4003,$A821,出库单!$K$4:$K$4003,"自用消耗",出库单!$U$4:$U$4003,"正常",出库单!$C$4:$C$4003,"&gt;="&amp;账期起,出库单!$C$4:$C$4003,"&lt;="&amp;账期止),0))</f>
        <v/>
      </c>
      <c r="R821" s="27">
        <f>IF($A821="","",SUMIFS(出库单!$J$4:$J$4003,出库单!$D$4:$D$4003,$A821,出库单!$K$4:$K$4003,"对外销售",出库单!$U$4:$U$4003,"正常",出库单!$C$4:$C$4003,"&gt;="&amp;账期起,出库单!$C$4:$C$4003,"&lt;="&amp;账期止))</f>
        <v/>
      </c>
      <c r="S821" s="26">
        <f>IF($A821="","",ROUND(SUMIFS(出库单!$S$4:$S$4003,出库单!$D$4:$D$4003,$A821,出库单!$K$4:$K$4003,"对外销售",出库单!$U$4:$U$4003,"正常",出库单!$C$4:$C$4003,"&gt;="&amp;账期起,出库单!$C$4:$C$4003,"&lt;="&amp;账期止),0))</f>
        <v/>
      </c>
      <c r="T821" s="27">
        <f>IF($A821="","",SUMIFS(出库单!$J$4:$J$4003,出库单!$D$4:$D$4003,$A821,出库单!$K$4:$K$4003,"盘亏",出库单!$U$4:$U$4003,"正常",出库单!$C$4:$C$4003,"&gt;="&amp;账期起,出库单!$C$4:$C$4003,"&lt;="&amp;账期止))</f>
        <v/>
      </c>
      <c r="U821" s="26">
        <f>IF($A821="","",ROUND(SUMIFS(出库单!$S$4:$S$4003,出库单!$D$4:$D$4003,$A821,出库单!$K$4:$K$4003,"盘亏",出库单!$U$4:$U$4003,"正常",出库单!$C$4:$C$4003,"&gt;="&amp;账期起,出库单!$C$4:$C$4003,"&lt;="&amp;账期止),0))</f>
        <v/>
      </c>
      <c r="V821" s="27">
        <f>IF($A821="","",SUMIFS(出库单!$J$4:$J$4003,出库单!$D$4:$D$4003,$A821,出库单!$K$4:$K$4003,"退货给供应商",出库单!$U$4:$U$4003,"正常",出库单!$C$4:$C$4003,"&gt;="&amp;账期起,出库单!$C$4:$C$4003,"&lt;="&amp;账期止))</f>
        <v/>
      </c>
      <c r="W821" s="26">
        <f>IF($A821="","",ROUND(SUMIFS(出库单!$S$4:$S$4003,出库单!$D$4:$D$4003,$A821,出库单!$K$4:$K$4003,"退货给供应商",出库单!$U$4:$U$4003,"正常",出库单!$C$4:$C$4003,"&gt;="&amp;账期起,出库单!$C$4:$C$4003,"&lt;="&amp;账期止),0))</f>
        <v/>
      </c>
      <c r="X821" s="27">
        <f>IF($A821="","",ROUND(N($G821)+$I821+$L821+$N821-$P821-$R821-$T821-$V821,3))</f>
        <v/>
      </c>
      <c r="Y821" s="26">
        <f>IF($A821="","",ROUND(N($H821)+$J821+$M821+$O821-$Q821-$S821-$U821-$W821,0))</f>
        <v/>
      </c>
      <c r="Z821" s="24">
        <f>IF($A821="","",IF(COUNTIFS(入库单!$G$4:$G$2503,$A821,入库单!$Y$4:$Y$2503,"待补价")+COUNTIFS(入库单!$G$4:$G$2503,$A821,入库单!$Y$4:$Y$2503,"暂估")&gt;0,"不可信","可信"))</f>
        <v/>
      </c>
      <c r="AA821" s="24">
        <f>IF($A821="","",IF($X821&lt;-0.001,"※账面负库存，查一下是不是漏记入库",IF(AND(ROUND($X821,3)=0,ABS($Y821)&gt;1),"※数量已经是 0，金额还挂着 "&amp;TEXT($Y821,"#,##0")&amp;" 先令",IF(AND($X821&gt;0,$Y821&lt;=0,$K821=0),"※有数量没金额（这个物料一直没填过进价）",IF($Z821="不可信","△成本含待补价/暂估，毛利仅供参考","")))))</f>
        <v/>
      </c>
    </row>
    <row r="822">
      <c r="A822" s="24">
        <f>IF(物料档案!$A821="","",物料档案!$A821)</f>
        <v/>
      </c>
      <c r="B822" s="24">
        <f>IF($A822="","",IFERROR(VLOOKUP($A822,物料档案!$A$4:$P$1203,3,0),""))</f>
        <v/>
      </c>
      <c r="C822" s="24">
        <f>IF($A822="","",IFERROR(VLOOKUP($A822,物料档案!$A$4:$P$1203,4,0),""))</f>
        <v/>
      </c>
      <c r="D822" s="24">
        <f>IF($A822="","",IFERROR(VLOOKUP($A822,物料档案!$A$4:$P$1203,5,0),""))</f>
        <v/>
      </c>
      <c r="E822" s="24">
        <f>IF($A822="","",IFERROR(VLOOKUP($A822,物料档案!$A$4:$P$1203,2,0),""))</f>
        <v/>
      </c>
      <c r="F822" s="24">
        <f>IF($A822="","",IFERROR(VLOOKUP($A822,物料档案!$A$4:$P$1203,6,0),""))</f>
        <v/>
      </c>
      <c r="G822" s="23" t="n"/>
      <c r="H822" s="32" t="n"/>
      <c r="I822" s="27">
        <f>IF($A822="","",SUMIFS(入库单!$K$4:$K$2503,入库单!$G$4:$G$2503,$A822,入库单!$X$4:$X$2503,"采购入库",入库单!$Z$4:$Z$2503,"正常",入库单!$C$4:$C$2503,"&gt;="&amp;账期起,入库单!$C$4:$C$2503,"&lt;="&amp;账期止))</f>
        <v/>
      </c>
      <c r="J822" s="26">
        <f>IF($A822="","",SUMIFS(入库单!$V$4:$V$2503,入库单!$G$4:$G$2503,$A822,入库单!$X$4:$X$2503,"采购入库",入库单!$Z$4:$Z$2503,"正常",入库单!$C$4:$C$2503,"&gt;="&amp;账期起,入库单!$C$4:$C$2503,"&lt;="&amp;账期止))</f>
        <v/>
      </c>
      <c r="K822" s="26">
        <f>IF($A822="","",IFERROR(ROUND((N($H822)+N($J822))/(N($G822)+N($I822)),2),0))</f>
        <v/>
      </c>
      <c r="L822" s="27">
        <f>IF($A822="","",SUMIFS(入库单!$K$4:$K$2503,入库单!$G$4:$G$2503,$A822,入库单!$X$4:$X$2503,"盘盈",入库单!$Z$4:$Z$2503,"正常",入库单!$C$4:$C$2503,"&gt;="&amp;账期起,入库单!$C$4:$C$2503,"&lt;="&amp;账期止))</f>
        <v/>
      </c>
      <c r="M822" s="26">
        <f>IF($A822="","",ROUND($L822*$K822,0))</f>
        <v/>
      </c>
      <c r="N822" s="27">
        <f>IF($A822="","",SUMIFS(入库单!$K$4:$K$2503,入库单!$G$4:$G$2503,$A822,入库单!$X$4:$X$2503,"矿区退库",入库单!$Z$4:$Z$2503,"正常",入库单!$C$4:$C$2503,"&gt;="&amp;账期起,入库单!$C$4:$C$2503,"&lt;="&amp;账期止))</f>
        <v/>
      </c>
      <c r="O822" s="26">
        <f>IF($A822="","",ROUND($N822*$K822,0))</f>
        <v/>
      </c>
      <c r="P822" s="27">
        <f>IF($A822="","",SUMIFS(出库单!$J$4:$J$4003,出库单!$D$4:$D$4003,$A822,出库单!$K$4:$K$4003,"自用消耗",出库单!$U$4:$U$4003,"正常",出库单!$C$4:$C$4003,"&gt;="&amp;账期起,出库单!$C$4:$C$4003,"&lt;="&amp;账期止))</f>
        <v/>
      </c>
      <c r="Q822" s="26">
        <f>IF($A822="","",ROUND(SUMIFS(出库单!$S$4:$S$4003,出库单!$D$4:$D$4003,$A822,出库单!$K$4:$K$4003,"自用消耗",出库单!$U$4:$U$4003,"正常",出库单!$C$4:$C$4003,"&gt;="&amp;账期起,出库单!$C$4:$C$4003,"&lt;="&amp;账期止),0))</f>
        <v/>
      </c>
      <c r="R822" s="27">
        <f>IF($A822="","",SUMIFS(出库单!$J$4:$J$4003,出库单!$D$4:$D$4003,$A822,出库单!$K$4:$K$4003,"对外销售",出库单!$U$4:$U$4003,"正常",出库单!$C$4:$C$4003,"&gt;="&amp;账期起,出库单!$C$4:$C$4003,"&lt;="&amp;账期止))</f>
        <v/>
      </c>
      <c r="S822" s="26">
        <f>IF($A822="","",ROUND(SUMIFS(出库单!$S$4:$S$4003,出库单!$D$4:$D$4003,$A822,出库单!$K$4:$K$4003,"对外销售",出库单!$U$4:$U$4003,"正常",出库单!$C$4:$C$4003,"&gt;="&amp;账期起,出库单!$C$4:$C$4003,"&lt;="&amp;账期止),0))</f>
        <v/>
      </c>
      <c r="T822" s="27">
        <f>IF($A822="","",SUMIFS(出库单!$J$4:$J$4003,出库单!$D$4:$D$4003,$A822,出库单!$K$4:$K$4003,"盘亏",出库单!$U$4:$U$4003,"正常",出库单!$C$4:$C$4003,"&gt;="&amp;账期起,出库单!$C$4:$C$4003,"&lt;="&amp;账期止))</f>
        <v/>
      </c>
      <c r="U822" s="26">
        <f>IF($A822="","",ROUND(SUMIFS(出库单!$S$4:$S$4003,出库单!$D$4:$D$4003,$A822,出库单!$K$4:$K$4003,"盘亏",出库单!$U$4:$U$4003,"正常",出库单!$C$4:$C$4003,"&gt;="&amp;账期起,出库单!$C$4:$C$4003,"&lt;="&amp;账期止),0))</f>
        <v/>
      </c>
      <c r="V822" s="27">
        <f>IF($A822="","",SUMIFS(出库单!$J$4:$J$4003,出库单!$D$4:$D$4003,$A822,出库单!$K$4:$K$4003,"退货给供应商",出库单!$U$4:$U$4003,"正常",出库单!$C$4:$C$4003,"&gt;="&amp;账期起,出库单!$C$4:$C$4003,"&lt;="&amp;账期止))</f>
        <v/>
      </c>
      <c r="W822" s="26">
        <f>IF($A822="","",ROUND(SUMIFS(出库单!$S$4:$S$4003,出库单!$D$4:$D$4003,$A822,出库单!$K$4:$K$4003,"退货给供应商",出库单!$U$4:$U$4003,"正常",出库单!$C$4:$C$4003,"&gt;="&amp;账期起,出库单!$C$4:$C$4003,"&lt;="&amp;账期止),0))</f>
        <v/>
      </c>
      <c r="X822" s="27">
        <f>IF($A822="","",ROUND(N($G822)+$I822+$L822+$N822-$P822-$R822-$T822-$V822,3))</f>
        <v/>
      </c>
      <c r="Y822" s="26">
        <f>IF($A822="","",ROUND(N($H822)+$J822+$M822+$O822-$Q822-$S822-$U822-$W822,0))</f>
        <v/>
      </c>
      <c r="Z822" s="24">
        <f>IF($A822="","",IF(COUNTIFS(入库单!$G$4:$G$2503,$A822,入库单!$Y$4:$Y$2503,"待补价")+COUNTIFS(入库单!$G$4:$G$2503,$A822,入库单!$Y$4:$Y$2503,"暂估")&gt;0,"不可信","可信"))</f>
        <v/>
      </c>
      <c r="AA822" s="24">
        <f>IF($A822="","",IF($X822&lt;-0.001,"※账面负库存，查一下是不是漏记入库",IF(AND(ROUND($X822,3)=0,ABS($Y822)&gt;1),"※数量已经是 0，金额还挂着 "&amp;TEXT($Y822,"#,##0")&amp;" 先令",IF(AND($X822&gt;0,$Y822&lt;=0,$K822=0),"※有数量没金额（这个物料一直没填过进价）",IF($Z822="不可信","△成本含待补价/暂估，毛利仅供参考","")))))</f>
        <v/>
      </c>
    </row>
    <row r="823">
      <c r="A823" s="24">
        <f>IF(物料档案!$A822="","",物料档案!$A822)</f>
        <v/>
      </c>
      <c r="B823" s="24">
        <f>IF($A823="","",IFERROR(VLOOKUP($A823,物料档案!$A$4:$P$1203,3,0),""))</f>
        <v/>
      </c>
      <c r="C823" s="24">
        <f>IF($A823="","",IFERROR(VLOOKUP($A823,物料档案!$A$4:$P$1203,4,0),""))</f>
        <v/>
      </c>
      <c r="D823" s="24">
        <f>IF($A823="","",IFERROR(VLOOKUP($A823,物料档案!$A$4:$P$1203,5,0),""))</f>
        <v/>
      </c>
      <c r="E823" s="24">
        <f>IF($A823="","",IFERROR(VLOOKUP($A823,物料档案!$A$4:$P$1203,2,0),""))</f>
        <v/>
      </c>
      <c r="F823" s="24">
        <f>IF($A823="","",IFERROR(VLOOKUP($A823,物料档案!$A$4:$P$1203,6,0),""))</f>
        <v/>
      </c>
      <c r="G823" s="23" t="n"/>
      <c r="H823" s="32" t="n"/>
      <c r="I823" s="27">
        <f>IF($A823="","",SUMIFS(入库单!$K$4:$K$2503,入库单!$G$4:$G$2503,$A823,入库单!$X$4:$X$2503,"采购入库",入库单!$Z$4:$Z$2503,"正常",入库单!$C$4:$C$2503,"&gt;="&amp;账期起,入库单!$C$4:$C$2503,"&lt;="&amp;账期止))</f>
        <v/>
      </c>
      <c r="J823" s="26">
        <f>IF($A823="","",SUMIFS(入库单!$V$4:$V$2503,入库单!$G$4:$G$2503,$A823,入库单!$X$4:$X$2503,"采购入库",入库单!$Z$4:$Z$2503,"正常",入库单!$C$4:$C$2503,"&gt;="&amp;账期起,入库单!$C$4:$C$2503,"&lt;="&amp;账期止))</f>
        <v/>
      </c>
      <c r="K823" s="26">
        <f>IF($A823="","",IFERROR(ROUND((N($H823)+N($J823))/(N($G823)+N($I823)),2),0))</f>
        <v/>
      </c>
      <c r="L823" s="27">
        <f>IF($A823="","",SUMIFS(入库单!$K$4:$K$2503,入库单!$G$4:$G$2503,$A823,入库单!$X$4:$X$2503,"盘盈",入库单!$Z$4:$Z$2503,"正常",入库单!$C$4:$C$2503,"&gt;="&amp;账期起,入库单!$C$4:$C$2503,"&lt;="&amp;账期止))</f>
        <v/>
      </c>
      <c r="M823" s="26">
        <f>IF($A823="","",ROUND($L823*$K823,0))</f>
        <v/>
      </c>
      <c r="N823" s="27">
        <f>IF($A823="","",SUMIFS(入库单!$K$4:$K$2503,入库单!$G$4:$G$2503,$A823,入库单!$X$4:$X$2503,"矿区退库",入库单!$Z$4:$Z$2503,"正常",入库单!$C$4:$C$2503,"&gt;="&amp;账期起,入库单!$C$4:$C$2503,"&lt;="&amp;账期止))</f>
        <v/>
      </c>
      <c r="O823" s="26">
        <f>IF($A823="","",ROUND($N823*$K823,0))</f>
        <v/>
      </c>
      <c r="P823" s="27">
        <f>IF($A823="","",SUMIFS(出库单!$J$4:$J$4003,出库单!$D$4:$D$4003,$A823,出库单!$K$4:$K$4003,"自用消耗",出库单!$U$4:$U$4003,"正常",出库单!$C$4:$C$4003,"&gt;="&amp;账期起,出库单!$C$4:$C$4003,"&lt;="&amp;账期止))</f>
        <v/>
      </c>
      <c r="Q823" s="26">
        <f>IF($A823="","",ROUND(SUMIFS(出库单!$S$4:$S$4003,出库单!$D$4:$D$4003,$A823,出库单!$K$4:$K$4003,"自用消耗",出库单!$U$4:$U$4003,"正常",出库单!$C$4:$C$4003,"&gt;="&amp;账期起,出库单!$C$4:$C$4003,"&lt;="&amp;账期止),0))</f>
        <v/>
      </c>
      <c r="R823" s="27">
        <f>IF($A823="","",SUMIFS(出库单!$J$4:$J$4003,出库单!$D$4:$D$4003,$A823,出库单!$K$4:$K$4003,"对外销售",出库单!$U$4:$U$4003,"正常",出库单!$C$4:$C$4003,"&gt;="&amp;账期起,出库单!$C$4:$C$4003,"&lt;="&amp;账期止))</f>
        <v/>
      </c>
      <c r="S823" s="26">
        <f>IF($A823="","",ROUND(SUMIFS(出库单!$S$4:$S$4003,出库单!$D$4:$D$4003,$A823,出库单!$K$4:$K$4003,"对外销售",出库单!$U$4:$U$4003,"正常",出库单!$C$4:$C$4003,"&gt;="&amp;账期起,出库单!$C$4:$C$4003,"&lt;="&amp;账期止),0))</f>
        <v/>
      </c>
      <c r="T823" s="27">
        <f>IF($A823="","",SUMIFS(出库单!$J$4:$J$4003,出库单!$D$4:$D$4003,$A823,出库单!$K$4:$K$4003,"盘亏",出库单!$U$4:$U$4003,"正常",出库单!$C$4:$C$4003,"&gt;="&amp;账期起,出库单!$C$4:$C$4003,"&lt;="&amp;账期止))</f>
        <v/>
      </c>
      <c r="U823" s="26">
        <f>IF($A823="","",ROUND(SUMIFS(出库单!$S$4:$S$4003,出库单!$D$4:$D$4003,$A823,出库单!$K$4:$K$4003,"盘亏",出库单!$U$4:$U$4003,"正常",出库单!$C$4:$C$4003,"&gt;="&amp;账期起,出库单!$C$4:$C$4003,"&lt;="&amp;账期止),0))</f>
        <v/>
      </c>
      <c r="V823" s="27">
        <f>IF($A823="","",SUMIFS(出库单!$J$4:$J$4003,出库单!$D$4:$D$4003,$A823,出库单!$K$4:$K$4003,"退货给供应商",出库单!$U$4:$U$4003,"正常",出库单!$C$4:$C$4003,"&gt;="&amp;账期起,出库单!$C$4:$C$4003,"&lt;="&amp;账期止))</f>
        <v/>
      </c>
      <c r="W823" s="26">
        <f>IF($A823="","",ROUND(SUMIFS(出库单!$S$4:$S$4003,出库单!$D$4:$D$4003,$A823,出库单!$K$4:$K$4003,"退货给供应商",出库单!$U$4:$U$4003,"正常",出库单!$C$4:$C$4003,"&gt;="&amp;账期起,出库单!$C$4:$C$4003,"&lt;="&amp;账期止),0))</f>
        <v/>
      </c>
      <c r="X823" s="27">
        <f>IF($A823="","",ROUND(N($G823)+$I823+$L823+$N823-$P823-$R823-$T823-$V823,3))</f>
        <v/>
      </c>
      <c r="Y823" s="26">
        <f>IF($A823="","",ROUND(N($H823)+$J823+$M823+$O823-$Q823-$S823-$U823-$W823,0))</f>
        <v/>
      </c>
      <c r="Z823" s="24">
        <f>IF($A823="","",IF(COUNTIFS(入库单!$G$4:$G$2503,$A823,入库单!$Y$4:$Y$2503,"待补价")+COUNTIFS(入库单!$G$4:$G$2503,$A823,入库单!$Y$4:$Y$2503,"暂估")&gt;0,"不可信","可信"))</f>
        <v/>
      </c>
      <c r="AA823" s="24">
        <f>IF($A823="","",IF($X823&lt;-0.001,"※账面负库存，查一下是不是漏记入库",IF(AND(ROUND($X823,3)=0,ABS($Y823)&gt;1),"※数量已经是 0，金额还挂着 "&amp;TEXT($Y823,"#,##0")&amp;" 先令",IF(AND($X823&gt;0,$Y823&lt;=0,$K823=0),"※有数量没金额（这个物料一直没填过进价）",IF($Z823="不可信","△成本含待补价/暂估，毛利仅供参考","")))))</f>
        <v/>
      </c>
    </row>
    <row r="824">
      <c r="A824" s="24">
        <f>IF(物料档案!$A823="","",物料档案!$A823)</f>
        <v/>
      </c>
      <c r="B824" s="24">
        <f>IF($A824="","",IFERROR(VLOOKUP($A824,物料档案!$A$4:$P$1203,3,0),""))</f>
        <v/>
      </c>
      <c r="C824" s="24">
        <f>IF($A824="","",IFERROR(VLOOKUP($A824,物料档案!$A$4:$P$1203,4,0),""))</f>
        <v/>
      </c>
      <c r="D824" s="24">
        <f>IF($A824="","",IFERROR(VLOOKUP($A824,物料档案!$A$4:$P$1203,5,0),""))</f>
        <v/>
      </c>
      <c r="E824" s="24">
        <f>IF($A824="","",IFERROR(VLOOKUP($A824,物料档案!$A$4:$P$1203,2,0),""))</f>
        <v/>
      </c>
      <c r="F824" s="24">
        <f>IF($A824="","",IFERROR(VLOOKUP($A824,物料档案!$A$4:$P$1203,6,0),""))</f>
        <v/>
      </c>
      <c r="G824" s="23" t="n"/>
      <c r="H824" s="32" t="n"/>
      <c r="I824" s="27">
        <f>IF($A824="","",SUMIFS(入库单!$K$4:$K$2503,入库单!$G$4:$G$2503,$A824,入库单!$X$4:$X$2503,"采购入库",入库单!$Z$4:$Z$2503,"正常",入库单!$C$4:$C$2503,"&gt;="&amp;账期起,入库单!$C$4:$C$2503,"&lt;="&amp;账期止))</f>
        <v/>
      </c>
      <c r="J824" s="26">
        <f>IF($A824="","",SUMIFS(入库单!$V$4:$V$2503,入库单!$G$4:$G$2503,$A824,入库单!$X$4:$X$2503,"采购入库",入库单!$Z$4:$Z$2503,"正常",入库单!$C$4:$C$2503,"&gt;="&amp;账期起,入库单!$C$4:$C$2503,"&lt;="&amp;账期止))</f>
        <v/>
      </c>
      <c r="K824" s="26">
        <f>IF($A824="","",IFERROR(ROUND((N($H824)+N($J824))/(N($G824)+N($I824)),2),0))</f>
        <v/>
      </c>
      <c r="L824" s="27">
        <f>IF($A824="","",SUMIFS(入库单!$K$4:$K$2503,入库单!$G$4:$G$2503,$A824,入库单!$X$4:$X$2503,"盘盈",入库单!$Z$4:$Z$2503,"正常",入库单!$C$4:$C$2503,"&gt;="&amp;账期起,入库单!$C$4:$C$2503,"&lt;="&amp;账期止))</f>
        <v/>
      </c>
      <c r="M824" s="26">
        <f>IF($A824="","",ROUND($L824*$K824,0))</f>
        <v/>
      </c>
      <c r="N824" s="27">
        <f>IF($A824="","",SUMIFS(入库单!$K$4:$K$2503,入库单!$G$4:$G$2503,$A824,入库单!$X$4:$X$2503,"矿区退库",入库单!$Z$4:$Z$2503,"正常",入库单!$C$4:$C$2503,"&gt;="&amp;账期起,入库单!$C$4:$C$2503,"&lt;="&amp;账期止))</f>
        <v/>
      </c>
      <c r="O824" s="26">
        <f>IF($A824="","",ROUND($N824*$K824,0))</f>
        <v/>
      </c>
      <c r="P824" s="27">
        <f>IF($A824="","",SUMIFS(出库单!$J$4:$J$4003,出库单!$D$4:$D$4003,$A824,出库单!$K$4:$K$4003,"自用消耗",出库单!$U$4:$U$4003,"正常",出库单!$C$4:$C$4003,"&gt;="&amp;账期起,出库单!$C$4:$C$4003,"&lt;="&amp;账期止))</f>
        <v/>
      </c>
      <c r="Q824" s="26">
        <f>IF($A824="","",ROUND(SUMIFS(出库单!$S$4:$S$4003,出库单!$D$4:$D$4003,$A824,出库单!$K$4:$K$4003,"自用消耗",出库单!$U$4:$U$4003,"正常",出库单!$C$4:$C$4003,"&gt;="&amp;账期起,出库单!$C$4:$C$4003,"&lt;="&amp;账期止),0))</f>
        <v/>
      </c>
      <c r="R824" s="27">
        <f>IF($A824="","",SUMIFS(出库单!$J$4:$J$4003,出库单!$D$4:$D$4003,$A824,出库单!$K$4:$K$4003,"对外销售",出库单!$U$4:$U$4003,"正常",出库单!$C$4:$C$4003,"&gt;="&amp;账期起,出库单!$C$4:$C$4003,"&lt;="&amp;账期止))</f>
        <v/>
      </c>
      <c r="S824" s="26">
        <f>IF($A824="","",ROUND(SUMIFS(出库单!$S$4:$S$4003,出库单!$D$4:$D$4003,$A824,出库单!$K$4:$K$4003,"对外销售",出库单!$U$4:$U$4003,"正常",出库单!$C$4:$C$4003,"&gt;="&amp;账期起,出库单!$C$4:$C$4003,"&lt;="&amp;账期止),0))</f>
        <v/>
      </c>
      <c r="T824" s="27">
        <f>IF($A824="","",SUMIFS(出库单!$J$4:$J$4003,出库单!$D$4:$D$4003,$A824,出库单!$K$4:$K$4003,"盘亏",出库单!$U$4:$U$4003,"正常",出库单!$C$4:$C$4003,"&gt;="&amp;账期起,出库单!$C$4:$C$4003,"&lt;="&amp;账期止))</f>
        <v/>
      </c>
      <c r="U824" s="26">
        <f>IF($A824="","",ROUND(SUMIFS(出库单!$S$4:$S$4003,出库单!$D$4:$D$4003,$A824,出库单!$K$4:$K$4003,"盘亏",出库单!$U$4:$U$4003,"正常",出库单!$C$4:$C$4003,"&gt;="&amp;账期起,出库单!$C$4:$C$4003,"&lt;="&amp;账期止),0))</f>
        <v/>
      </c>
      <c r="V824" s="27">
        <f>IF($A824="","",SUMIFS(出库单!$J$4:$J$4003,出库单!$D$4:$D$4003,$A824,出库单!$K$4:$K$4003,"退货给供应商",出库单!$U$4:$U$4003,"正常",出库单!$C$4:$C$4003,"&gt;="&amp;账期起,出库单!$C$4:$C$4003,"&lt;="&amp;账期止))</f>
        <v/>
      </c>
      <c r="W824" s="26">
        <f>IF($A824="","",ROUND(SUMIFS(出库单!$S$4:$S$4003,出库单!$D$4:$D$4003,$A824,出库单!$K$4:$K$4003,"退货给供应商",出库单!$U$4:$U$4003,"正常",出库单!$C$4:$C$4003,"&gt;="&amp;账期起,出库单!$C$4:$C$4003,"&lt;="&amp;账期止),0))</f>
        <v/>
      </c>
      <c r="X824" s="27">
        <f>IF($A824="","",ROUND(N($G824)+$I824+$L824+$N824-$P824-$R824-$T824-$V824,3))</f>
        <v/>
      </c>
      <c r="Y824" s="26">
        <f>IF($A824="","",ROUND(N($H824)+$J824+$M824+$O824-$Q824-$S824-$U824-$W824,0))</f>
        <v/>
      </c>
      <c r="Z824" s="24">
        <f>IF($A824="","",IF(COUNTIFS(入库单!$G$4:$G$2503,$A824,入库单!$Y$4:$Y$2503,"待补价")+COUNTIFS(入库单!$G$4:$G$2503,$A824,入库单!$Y$4:$Y$2503,"暂估")&gt;0,"不可信","可信"))</f>
        <v/>
      </c>
      <c r="AA824" s="24">
        <f>IF($A824="","",IF($X824&lt;-0.001,"※账面负库存，查一下是不是漏记入库",IF(AND(ROUND($X824,3)=0,ABS($Y824)&gt;1),"※数量已经是 0，金额还挂着 "&amp;TEXT($Y824,"#,##0")&amp;" 先令",IF(AND($X824&gt;0,$Y824&lt;=0,$K824=0),"※有数量没金额（这个物料一直没填过进价）",IF($Z824="不可信","△成本含待补价/暂估，毛利仅供参考","")))))</f>
        <v/>
      </c>
    </row>
    <row r="825">
      <c r="A825" s="24">
        <f>IF(物料档案!$A824="","",物料档案!$A824)</f>
        <v/>
      </c>
      <c r="B825" s="24">
        <f>IF($A825="","",IFERROR(VLOOKUP($A825,物料档案!$A$4:$P$1203,3,0),""))</f>
        <v/>
      </c>
      <c r="C825" s="24">
        <f>IF($A825="","",IFERROR(VLOOKUP($A825,物料档案!$A$4:$P$1203,4,0),""))</f>
        <v/>
      </c>
      <c r="D825" s="24">
        <f>IF($A825="","",IFERROR(VLOOKUP($A825,物料档案!$A$4:$P$1203,5,0),""))</f>
        <v/>
      </c>
      <c r="E825" s="24">
        <f>IF($A825="","",IFERROR(VLOOKUP($A825,物料档案!$A$4:$P$1203,2,0),""))</f>
        <v/>
      </c>
      <c r="F825" s="24">
        <f>IF($A825="","",IFERROR(VLOOKUP($A825,物料档案!$A$4:$P$1203,6,0),""))</f>
        <v/>
      </c>
      <c r="G825" s="23" t="n"/>
      <c r="H825" s="32" t="n"/>
      <c r="I825" s="27">
        <f>IF($A825="","",SUMIFS(入库单!$K$4:$K$2503,入库单!$G$4:$G$2503,$A825,入库单!$X$4:$X$2503,"采购入库",入库单!$Z$4:$Z$2503,"正常",入库单!$C$4:$C$2503,"&gt;="&amp;账期起,入库单!$C$4:$C$2503,"&lt;="&amp;账期止))</f>
        <v/>
      </c>
      <c r="J825" s="26">
        <f>IF($A825="","",SUMIFS(入库单!$V$4:$V$2503,入库单!$G$4:$G$2503,$A825,入库单!$X$4:$X$2503,"采购入库",入库单!$Z$4:$Z$2503,"正常",入库单!$C$4:$C$2503,"&gt;="&amp;账期起,入库单!$C$4:$C$2503,"&lt;="&amp;账期止))</f>
        <v/>
      </c>
      <c r="K825" s="26">
        <f>IF($A825="","",IFERROR(ROUND((N($H825)+N($J825))/(N($G825)+N($I825)),2),0))</f>
        <v/>
      </c>
      <c r="L825" s="27">
        <f>IF($A825="","",SUMIFS(入库单!$K$4:$K$2503,入库单!$G$4:$G$2503,$A825,入库单!$X$4:$X$2503,"盘盈",入库单!$Z$4:$Z$2503,"正常",入库单!$C$4:$C$2503,"&gt;="&amp;账期起,入库单!$C$4:$C$2503,"&lt;="&amp;账期止))</f>
        <v/>
      </c>
      <c r="M825" s="26">
        <f>IF($A825="","",ROUND($L825*$K825,0))</f>
        <v/>
      </c>
      <c r="N825" s="27">
        <f>IF($A825="","",SUMIFS(入库单!$K$4:$K$2503,入库单!$G$4:$G$2503,$A825,入库单!$X$4:$X$2503,"矿区退库",入库单!$Z$4:$Z$2503,"正常",入库单!$C$4:$C$2503,"&gt;="&amp;账期起,入库单!$C$4:$C$2503,"&lt;="&amp;账期止))</f>
        <v/>
      </c>
      <c r="O825" s="26">
        <f>IF($A825="","",ROUND($N825*$K825,0))</f>
        <v/>
      </c>
      <c r="P825" s="27">
        <f>IF($A825="","",SUMIFS(出库单!$J$4:$J$4003,出库单!$D$4:$D$4003,$A825,出库单!$K$4:$K$4003,"自用消耗",出库单!$U$4:$U$4003,"正常",出库单!$C$4:$C$4003,"&gt;="&amp;账期起,出库单!$C$4:$C$4003,"&lt;="&amp;账期止))</f>
        <v/>
      </c>
      <c r="Q825" s="26">
        <f>IF($A825="","",ROUND(SUMIFS(出库单!$S$4:$S$4003,出库单!$D$4:$D$4003,$A825,出库单!$K$4:$K$4003,"自用消耗",出库单!$U$4:$U$4003,"正常",出库单!$C$4:$C$4003,"&gt;="&amp;账期起,出库单!$C$4:$C$4003,"&lt;="&amp;账期止),0))</f>
        <v/>
      </c>
      <c r="R825" s="27">
        <f>IF($A825="","",SUMIFS(出库单!$J$4:$J$4003,出库单!$D$4:$D$4003,$A825,出库单!$K$4:$K$4003,"对外销售",出库单!$U$4:$U$4003,"正常",出库单!$C$4:$C$4003,"&gt;="&amp;账期起,出库单!$C$4:$C$4003,"&lt;="&amp;账期止))</f>
        <v/>
      </c>
      <c r="S825" s="26">
        <f>IF($A825="","",ROUND(SUMIFS(出库单!$S$4:$S$4003,出库单!$D$4:$D$4003,$A825,出库单!$K$4:$K$4003,"对外销售",出库单!$U$4:$U$4003,"正常",出库单!$C$4:$C$4003,"&gt;="&amp;账期起,出库单!$C$4:$C$4003,"&lt;="&amp;账期止),0))</f>
        <v/>
      </c>
      <c r="T825" s="27">
        <f>IF($A825="","",SUMIFS(出库单!$J$4:$J$4003,出库单!$D$4:$D$4003,$A825,出库单!$K$4:$K$4003,"盘亏",出库单!$U$4:$U$4003,"正常",出库单!$C$4:$C$4003,"&gt;="&amp;账期起,出库单!$C$4:$C$4003,"&lt;="&amp;账期止))</f>
        <v/>
      </c>
      <c r="U825" s="26">
        <f>IF($A825="","",ROUND(SUMIFS(出库单!$S$4:$S$4003,出库单!$D$4:$D$4003,$A825,出库单!$K$4:$K$4003,"盘亏",出库单!$U$4:$U$4003,"正常",出库单!$C$4:$C$4003,"&gt;="&amp;账期起,出库单!$C$4:$C$4003,"&lt;="&amp;账期止),0))</f>
        <v/>
      </c>
      <c r="V825" s="27">
        <f>IF($A825="","",SUMIFS(出库单!$J$4:$J$4003,出库单!$D$4:$D$4003,$A825,出库单!$K$4:$K$4003,"退货给供应商",出库单!$U$4:$U$4003,"正常",出库单!$C$4:$C$4003,"&gt;="&amp;账期起,出库单!$C$4:$C$4003,"&lt;="&amp;账期止))</f>
        <v/>
      </c>
      <c r="W825" s="26">
        <f>IF($A825="","",ROUND(SUMIFS(出库单!$S$4:$S$4003,出库单!$D$4:$D$4003,$A825,出库单!$K$4:$K$4003,"退货给供应商",出库单!$U$4:$U$4003,"正常",出库单!$C$4:$C$4003,"&gt;="&amp;账期起,出库单!$C$4:$C$4003,"&lt;="&amp;账期止),0))</f>
        <v/>
      </c>
      <c r="X825" s="27">
        <f>IF($A825="","",ROUND(N($G825)+$I825+$L825+$N825-$P825-$R825-$T825-$V825,3))</f>
        <v/>
      </c>
      <c r="Y825" s="26">
        <f>IF($A825="","",ROUND(N($H825)+$J825+$M825+$O825-$Q825-$S825-$U825-$W825,0))</f>
        <v/>
      </c>
      <c r="Z825" s="24">
        <f>IF($A825="","",IF(COUNTIFS(入库单!$G$4:$G$2503,$A825,入库单!$Y$4:$Y$2503,"待补价")+COUNTIFS(入库单!$G$4:$G$2503,$A825,入库单!$Y$4:$Y$2503,"暂估")&gt;0,"不可信","可信"))</f>
        <v/>
      </c>
      <c r="AA825" s="24">
        <f>IF($A825="","",IF($X825&lt;-0.001,"※账面负库存，查一下是不是漏记入库",IF(AND(ROUND($X825,3)=0,ABS($Y825)&gt;1),"※数量已经是 0，金额还挂着 "&amp;TEXT($Y825,"#,##0")&amp;" 先令",IF(AND($X825&gt;0,$Y825&lt;=0,$K825=0),"※有数量没金额（这个物料一直没填过进价）",IF($Z825="不可信","△成本含待补价/暂估，毛利仅供参考","")))))</f>
        <v/>
      </c>
    </row>
    <row r="826">
      <c r="A826" s="24">
        <f>IF(物料档案!$A825="","",物料档案!$A825)</f>
        <v/>
      </c>
      <c r="B826" s="24">
        <f>IF($A826="","",IFERROR(VLOOKUP($A826,物料档案!$A$4:$P$1203,3,0),""))</f>
        <v/>
      </c>
      <c r="C826" s="24">
        <f>IF($A826="","",IFERROR(VLOOKUP($A826,物料档案!$A$4:$P$1203,4,0),""))</f>
        <v/>
      </c>
      <c r="D826" s="24">
        <f>IF($A826="","",IFERROR(VLOOKUP($A826,物料档案!$A$4:$P$1203,5,0),""))</f>
        <v/>
      </c>
      <c r="E826" s="24">
        <f>IF($A826="","",IFERROR(VLOOKUP($A826,物料档案!$A$4:$P$1203,2,0),""))</f>
        <v/>
      </c>
      <c r="F826" s="24">
        <f>IF($A826="","",IFERROR(VLOOKUP($A826,物料档案!$A$4:$P$1203,6,0),""))</f>
        <v/>
      </c>
      <c r="G826" s="23" t="n"/>
      <c r="H826" s="32" t="n"/>
      <c r="I826" s="27">
        <f>IF($A826="","",SUMIFS(入库单!$K$4:$K$2503,入库单!$G$4:$G$2503,$A826,入库单!$X$4:$X$2503,"采购入库",入库单!$Z$4:$Z$2503,"正常",入库单!$C$4:$C$2503,"&gt;="&amp;账期起,入库单!$C$4:$C$2503,"&lt;="&amp;账期止))</f>
        <v/>
      </c>
      <c r="J826" s="26">
        <f>IF($A826="","",SUMIFS(入库单!$V$4:$V$2503,入库单!$G$4:$G$2503,$A826,入库单!$X$4:$X$2503,"采购入库",入库单!$Z$4:$Z$2503,"正常",入库单!$C$4:$C$2503,"&gt;="&amp;账期起,入库单!$C$4:$C$2503,"&lt;="&amp;账期止))</f>
        <v/>
      </c>
      <c r="K826" s="26">
        <f>IF($A826="","",IFERROR(ROUND((N($H826)+N($J826))/(N($G826)+N($I826)),2),0))</f>
        <v/>
      </c>
      <c r="L826" s="27">
        <f>IF($A826="","",SUMIFS(入库单!$K$4:$K$2503,入库单!$G$4:$G$2503,$A826,入库单!$X$4:$X$2503,"盘盈",入库单!$Z$4:$Z$2503,"正常",入库单!$C$4:$C$2503,"&gt;="&amp;账期起,入库单!$C$4:$C$2503,"&lt;="&amp;账期止))</f>
        <v/>
      </c>
      <c r="M826" s="26">
        <f>IF($A826="","",ROUND($L826*$K826,0))</f>
        <v/>
      </c>
      <c r="N826" s="27">
        <f>IF($A826="","",SUMIFS(入库单!$K$4:$K$2503,入库单!$G$4:$G$2503,$A826,入库单!$X$4:$X$2503,"矿区退库",入库单!$Z$4:$Z$2503,"正常",入库单!$C$4:$C$2503,"&gt;="&amp;账期起,入库单!$C$4:$C$2503,"&lt;="&amp;账期止))</f>
        <v/>
      </c>
      <c r="O826" s="26">
        <f>IF($A826="","",ROUND($N826*$K826,0))</f>
        <v/>
      </c>
      <c r="P826" s="27">
        <f>IF($A826="","",SUMIFS(出库单!$J$4:$J$4003,出库单!$D$4:$D$4003,$A826,出库单!$K$4:$K$4003,"自用消耗",出库单!$U$4:$U$4003,"正常",出库单!$C$4:$C$4003,"&gt;="&amp;账期起,出库单!$C$4:$C$4003,"&lt;="&amp;账期止))</f>
        <v/>
      </c>
      <c r="Q826" s="26">
        <f>IF($A826="","",ROUND(SUMIFS(出库单!$S$4:$S$4003,出库单!$D$4:$D$4003,$A826,出库单!$K$4:$K$4003,"自用消耗",出库单!$U$4:$U$4003,"正常",出库单!$C$4:$C$4003,"&gt;="&amp;账期起,出库单!$C$4:$C$4003,"&lt;="&amp;账期止),0))</f>
        <v/>
      </c>
      <c r="R826" s="27">
        <f>IF($A826="","",SUMIFS(出库单!$J$4:$J$4003,出库单!$D$4:$D$4003,$A826,出库单!$K$4:$K$4003,"对外销售",出库单!$U$4:$U$4003,"正常",出库单!$C$4:$C$4003,"&gt;="&amp;账期起,出库单!$C$4:$C$4003,"&lt;="&amp;账期止))</f>
        <v/>
      </c>
      <c r="S826" s="26">
        <f>IF($A826="","",ROUND(SUMIFS(出库单!$S$4:$S$4003,出库单!$D$4:$D$4003,$A826,出库单!$K$4:$K$4003,"对外销售",出库单!$U$4:$U$4003,"正常",出库单!$C$4:$C$4003,"&gt;="&amp;账期起,出库单!$C$4:$C$4003,"&lt;="&amp;账期止),0))</f>
        <v/>
      </c>
      <c r="T826" s="27">
        <f>IF($A826="","",SUMIFS(出库单!$J$4:$J$4003,出库单!$D$4:$D$4003,$A826,出库单!$K$4:$K$4003,"盘亏",出库单!$U$4:$U$4003,"正常",出库单!$C$4:$C$4003,"&gt;="&amp;账期起,出库单!$C$4:$C$4003,"&lt;="&amp;账期止))</f>
        <v/>
      </c>
      <c r="U826" s="26">
        <f>IF($A826="","",ROUND(SUMIFS(出库单!$S$4:$S$4003,出库单!$D$4:$D$4003,$A826,出库单!$K$4:$K$4003,"盘亏",出库单!$U$4:$U$4003,"正常",出库单!$C$4:$C$4003,"&gt;="&amp;账期起,出库单!$C$4:$C$4003,"&lt;="&amp;账期止),0))</f>
        <v/>
      </c>
      <c r="V826" s="27">
        <f>IF($A826="","",SUMIFS(出库单!$J$4:$J$4003,出库单!$D$4:$D$4003,$A826,出库单!$K$4:$K$4003,"退货给供应商",出库单!$U$4:$U$4003,"正常",出库单!$C$4:$C$4003,"&gt;="&amp;账期起,出库单!$C$4:$C$4003,"&lt;="&amp;账期止))</f>
        <v/>
      </c>
      <c r="W826" s="26">
        <f>IF($A826="","",ROUND(SUMIFS(出库单!$S$4:$S$4003,出库单!$D$4:$D$4003,$A826,出库单!$K$4:$K$4003,"退货给供应商",出库单!$U$4:$U$4003,"正常",出库单!$C$4:$C$4003,"&gt;="&amp;账期起,出库单!$C$4:$C$4003,"&lt;="&amp;账期止),0))</f>
        <v/>
      </c>
      <c r="X826" s="27">
        <f>IF($A826="","",ROUND(N($G826)+$I826+$L826+$N826-$P826-$R826-$T826-$V826,3))</f>
        <v/>
      </c>
      <c r="Y826" s="26">
        <f>IF($A826="","",ROUND(N($H826)+$J826+$M826+$O826-$Q826-$S826-$U826-$W826,0))</f>
        <v/>
      </c>
      <c r="Z826" s="24">
        <f>IF($A826="","",IF(COUNTIFS(入库单!$G$4:$G$2503,$A826,入库单!$Y$4:$Y$2503,"待补价")+COUNTIFS(入库单!$G$4:$G$2503,$A826,入库单!$Y$4:$Y$2503,"暂估")&gt;0,"不可信","可信"))</f>
        <v/>
      </c>
      <c r="AA826" s="24">
        <f>IF($A826="","",IF($X826&lt;-0.001,"※账面负库存，查一下是不是漏记入库",IF(AND(ROUND($X826,3)=0,ABS($Y826)&gt;1),"※数量已经是 0，金额还挂着 "&amp;TEXT($Y826,"#,##0")&amp;" 先令",IF(AND($X826&gt;0,$Y826&lt;=0,$K826=0),"※有数量没金额（这个物料一直没填过进价）",IF($Z826="不可信","△成本含待补价/暂估，毛利仅供参考","")))))</f>
        <v/>
      </c>
    </row>
    <row r="827">
      <c r="A827" s="24">
        <f>IF(物料档案!$A826="","",物料档案!$A826)</f>
        <v/>
      </c>
      <c r="B827" s="24">
        <f>IF($A827="","",IFERROR(VLOOKUP($A827,物料档案!$A$4:$P$1203,3,0),""))</f>
        <v/>
      </c>
      <c r="C827" s="24">
        <f>IF($A827="","",IFERROR(VLOOKUP($A827,物料档案!$A$4:$P$1203,4,0),""))</f>
        <v/>
      </c>
      <c r="D827" s="24">
        <f>IF($A827="","",IFERROR(VLOOKUP($A827,物料档案!$A$4:$P$1203,5,0),""))</f>
        <v/>
      </c>
      <c r="E827" s="24">
        <f>IF($A827="","",IFERROR(VLOOKUP($A827,物料档案!$A$4:$P$1203,2,0),""))</f>
        <v/>
      </c>
      <c r="F827" s="24">
        <f>IF($A827="","",IFERROR(VLOOKUP($A827,物料档案!$A$4:$P$1203,6,0),""))</f>
        <v/>
      </c>
      <c r="G827" s="23" t="n"/>
      <c r="H827" s="32" t="n"/>
      <c r="I827" s="27">
        <f>IF($A827="","",SUMIFS(入库单!$K$4:$K$2503,入库单!$G$4:$G$2503,$A827,入库单!$X$4:$X$2503,"采购入库",入库单!$Z$4:$Z$2503,"正常",入库单!$C$4:$C$2503,"&gt;="&amp;账期起,入库单!$C$4:$C$2503,"&lt;="&amp;账期止))</f>
        <v/>
      </c>
      <c r="J827" s="26">
        <f>IF($A827="","",SUMIFS(入库单!$V$4:$V$2503,入库单!$G$4:$G$2503,$A827,入库单!$X$4:$X$2503,"采购入库",入库单!$Z$4:$Z$2503,"正常",入库单!$C$4:$C$2503,"&gt;="&amp;账期起,入库单!$C$4:$C$2503,"&lt;="&amp;账期止))</f>
        <v/>
      </c>
      <c r="K827" s="26">
        <f>IF($A827="","",IFERROR(ROUND((N($H827)+N($J827))/(N($G827)+N($I827)),2),0))</f>
        <v/>
      </c>
      <c r="L827" s="27">
        <f>IF($A827="","",SUMIFS(入库单!$K$4:$K$2503,入库单!$G$4:$G$2503,$A827,入库单!$X$4:$X$2503,"盘盈",入库单!$Z$4:$Z$2503,"正常",入库单!$C$4:$C$2503,"&gt;="&amp;账期起,入库单!$C$4:$C$2503,"&lt;="&amp;账期止))</f>
        <v/>
      </c>
      <c r="M827" s="26">
        <f>IF($A827="","",ROUND($L827*$K827,0))</f>
        <v/>
      </c>
      <c r="N827" s="27">
        <f>IF($A827="","",SUMIFS(入库单!$K$4:$K$2503,入库单!$G$4:$G$2503,$A827,入库单!$X$4:$X$2503,"矿区退库",入库单!$Z$4:$Z$2503,"正常",入库单!$C$4:$C$2503,"&gt;="&amp;账期起,入库单!$C$4:$C$2503,"&lt;="&amp;账期止))</f>
        <v/>
      </c>
      <c r="O827" s="26">
        <f>IF($A827="","",ROUND($N827*$K827,0))</f>
        <v/>
      </c>
      <c r="P827" s="27">
        <f>IF($A827="","",SUMIFS(出库单!$J$4:$J$4003,出库单!$D$4:$D$4003,$A827,出库单!$K$4:$K$4003,"自用消耗",出库单!$U$4:$U$4003,"正常",出库单!$C$4:$C$4003,"&gt;="&amp;账期起,出库单!$C$4:$C$4003,"&lt;="&amp;账期止))</f>
        <v/>
      </c>
      <c r="Q827" s="26">
        <f>IF($A827="","",ROUND(SUMIFS(出库单!$S$4:$S$4003,出库单!$D$4:$D$4003,$A827,出库单!$K$4:$K$4003,"自用消耗",出库单!$U$4:$U$4003,"正常",出库单!$C$4:$C$4003,"&gt;="&amp;账期起,出库单!$C$4:$C$4003,"&lt;="&amp;账期止),0))</f>
        <v/>
      </c>
      <c r="R827" s="27">
        <f>IF($A827="","",SUMIFS(出库单!$J$4:$J$4003,出库单!$D$4:$D$4003,$A827,出库单!$K$4:$K$4003,"对外销售",出库单!$U$4:$U$4003,"正常",出库单!$C$4:$C$4003,"&gt;="&amp;账期起,出库单!$C$4:$C$4003,"&lt;="&amp;账期止))</f>
        <v/>
      </c>
      <c r="S827" s="26">
        <f>IF($A827="","",ROUND(SUMIFS(出库单!$S$4:$S$4003,出库单!$D$4:$D$4003,$A827,出库单!$K$4:$K$4003,"对外销售",出库单!$U$4:$U$4003,"正常",出库单!$C$4:$C$4003,"&gt;="&amp;账期起,出库单!$C$4:$C$4003,"&lt;="&amp;账期止),0))</f>
        <v/>
      </c>
      <c r="T827" s="27">
        <f>IF($A827="","",SUMIFS(出库单!$J$4:$J$4003,出库单!$D$4:$D$4003,$A827,出库单!$K$4:$K$4003,"盘亏",出库单!$U$4:$U$4003,"正常",出库单!$C$4:$C$4003,"&gt;="&amp;账期起,出库单!$C$4:$C$4003,"&lt;="&amp;账期止))</f>
        <v/>
      </c>
      <c r="U827" s="26">
        <f>IF($A827="","",ROUND(SUMIFS(出库单!$S$4:$S$4003,出库单!$D$4:$D$4003,$A827,出库单!$K$4:$K$4003,"盘亏",出库单!$U$4:$U$4003,"正常",出库单!$C$4:$C$4003,"&gt;="&amp;账期起,出库单!$C$4:$C$4003,"&lt;="&amp;账期止),0))</f>
        <v/>
      </c>
      <c r="V827" s="27">
        <f>IF($A827="","",SUMIFS(出库单!$J$4:$J$4003,出库单!$D$4:$D$4003,$A827,出库单!$K$4:$K$4003,"退货给供应商",出库单!$U$4:$U$4003,"正常",出库单!$C$4:$C$4003,"&gt;="&amp;账期起,出库单!$C$4:$C$4003,"&lt;="&amp;账期止))</f>
        <v/>
      </c>
      <c r="W827" s="26">
        <f>IF($A827="","",ROUND(SUMIFS(出库单!$S$4:$S$4003,出库单!$D$4:$D$4003,$A827,出库单!$K$4:$K$4003,"退货给供应商",出库单!$U$4:$U$4003,"正常",出库单!$C$4:$C$4003,"&gt;="&amp;账期起,出库单!$C$4:$C$4003,"&lt;="&amp;账期止),0))</f>
        <v/>
      </c>
      <c r="X827" s="27">
        <f>IF($A827="","",ROUND(N($G827)+$I827+$L827+$N827-$P827-$R827-$T827-$V827,3))</f>
        <v/>
      </c>
      <c r="Y827" s="26">
        <f>IF($A827="","",ROUND(N($H827)+$J827+$M827+$O827-$Q827-$S827-$U827-$W827,0))</f>
        <v/>
      </c>
      <c r="Z827" s="24">
        <f>IF($A827="","",IF(COUNTIFS(入库单!$G$4:$G$2503,$A827,入库单!$Y$4:$Y$2503,"待补价")+COUNTIFS(入库单!$G$4:$G$2503,$A827,入库单!$Y$4:$Y$2503,"暂估")&gt;0,"不可信","可信"))</f>
        <v/>
      </c>
      <c r="AA827" s="24">
        <f>IF($A827="","",IF($X827&lt;-0.001,"※账面负库存，查一下是不是漏记入库",IF(AND(ROUND($X827,3)=0,ABS($Y827)&gt;1),"※数量已经是 0，金额还挂着 "&amp;TEXT($Y827,"#,##0")&amp;" 先令",IF(AND($X827&gt;0,$Y827&lt;=0,$K827=0),"※有数量没金额（这个物料一直没填过进价）",IF($Z827="不可信","△成本含待补价/暂估，毛利仅供参考","")))))</f>
        <v/>
      </c>
    </row>
    <row r="828">
      <c r="A828" s="24">
        <f>IF(物料档案!$A827="","",物料档案!$A827)</f>
        <v/>
      </c>
      <c r="B828" s="24">
        <f>IF($A828="","",IFERROR(VLOOKUP($A828,物料档案!$A$4:$P$1203,3,0),""))</f>
        <v/>
      </c>
      <c r="C828" s="24">
        <f>IF($A828="","",IFERROR(VLOOKUP($A828,物料档案!$A$4:$P$1203,4,0),""))</f>
        <v/>
      </c>
      <c r="D828" s="24">
        <f>IF($A828="","",IFERROR(VLOOKUP($A828,物料档案!$A$4:$P$1203,5,0),""))</f>
        <v/>
      </c>
      <c r="E828" s="24">
        <f>IF($A828="","",IFERROR(VLOOKUP($A828,物料档案!$A$4:$P$1203,2,0),""))</f>
        <v/>
      </c>
      <c r="F828" s="24">
        <f>IF($A828="","",IFERROR(VLOOKUP($A828,物料档案!$A$4:$P$1203,6,0),""))</f>
        <v/>
      </c>
      <c r="G828" s="23" t="n"/>
      <c r="H828" s="32" t="n"/>
      <c r="I828" s="27">
        <f>IF($A828="","",SUMIFS(入库单!$K$4:$K$2503,入库单!$G$4:$G$2503,$A828,入库单!$X$4:$X$2503,"采购入库",入库单!$Z$4:$Z$2503,"正常",入库单!$C$4:$C$2503,"&gt;="&amp;账期起,入库单!$C$4:$C$2503,"&lt;="&amp;账期止))</f>
        <v/>
      </c>
      <c r="J828" s="26">
        <f>IF($A828="","",SUMIFS(入库单!$V$4:$V$2503,入库单!$G$4:$G$2503,$A828,入库单!$X$4:$X$2503,"采购入库",入库单!$Z$4:$Z$2503,"正常",入库单!$C$4:$C$2503,"&gt;="&amp;账期起,入库单!$C$4:$C$2503,"&lt;="&amp;账期止))</f>
        <v/>
      </c>
      <c r="K828" s="26">
        <f>IF($A828="","",IFERROR(ROUND((N($H828)+N($J828))/(N($G828)+N($I828)),2),0))</f>
        <v/>
      </c>
      <c r="L828" s="27">
        <f>IF($A828="","",SUMIFS(入库单!$K$4:$K$2503,入库单!$G$4:$G$2503,$A828,入库单!$X$4:$X$2503,"盘盈",入库单!$Z$4:$Z$2503,"正常",入库单!$C$4:$C$2503,"&gt;="&amp;账期起,入库单!$C$4:$C$2503,"&lt;="&amp;账期止))</f>
        <v/>
      </c>
      <c r="M828" s="26">
        <f>IF($A828="","",ROUND($L828*$K828,0))</f>
        <v/>
      </c>
      <c r="N828" s="27">
        <f>IF($A828="","",SUMIFS(入库单!$K$4:$K$2503,入库单!$G$4:$G$2503,$A828,入库单!$X$4:$X$2503,"矿区退库",入库单!$Z$4:$Z$2503,"正常",入库单!$C$4:$C$2503,"&gt;="&amp;账期起,入库单!$C$4:$C$2503,"&lt;="&amp;账期止))</f>
        <v/>
      </c>
      <c r="O828" s="26">
        <f>IF($A828="","",ROUND($N828*$K828,0))</f>
        <v/>
      </c>
      <c r="P828" s="27">
        <f>IF($A828="","",SUMIFS(出库单!$J$4:$J$4003,出库单!$D$4:$D$4003,$A828,出库单!$K$4:$K$4003,"自用消耗",出库单!$U$4:$U$4003,"正常",出库单!$C$4:$C$4003,"&gt;="&amp;账期起,出库单!$C$4:$C$4003,"&lt;="&amp;账期止))</f>
        <v/>
      </c>
      <c r="Q828" s="26">
        <f>IF($A828="","",ROUND(SUMIFS(出库单!$S$4:$S$4003,出库单!$D$4:$D$4003,$A828,出库单!$K$4:$K$4003,"自用消耗",出库单!$U$4:$U$4003,"正常",出库单!$C$4:$C$4003,"&gt;="&amp;账期起,出库单!$C$4:$C$4003,"&lt;="&amp;账期止),0))</f>
        <v/>
      </c>
      <c r="R828" s="27">
        <f>IF($A828="","",SUMIFS(出库单!$J$4:$J$4003,出库单!$D$4:$D$4003,$A828,出库单!$K$4:$K$4003,"对外销售",出库单!$U$4:$U$4003,"正常",出库单!$C$4:$C$4003,"&gt;="&amp;账期起,出库单!$C$4:$C$4003,"&lt;="&amp;账期止))</f>
        <v/>
      </c>
      <c r="S828" s="26">
        <f>IF($A828="","",ROUND(SUMIFS(出库单!$S$4:$S$4003,出库单!$D$4:$D$4003,$A828,出库单!$K$4:$K$4003,"对外销售",出库单!$U$4:$U$4003,"正常",出库单!$C$4:$C$4003,"&gt;="&amp;账期起,出库单!$C$4:$C$4003,"&lt;="&amp;账期止),0))</f>
        <v/>
      </c>
      <c r="T828" s="27">
        <f>IF($A828="","",SUMIFS(出库单!$J$4:$J$4003,出库单!$D$4:$D$4003,$A828,出库单!$K$4:$K$4003,"盘亏",出库单!$U$4:$U$4003,"正常",出库单!$C$4:$C$4003,"&gt;="&amp;账期起,出库单!$C$4:$C$4003,"&lt;="&amp;账期止))</f>
        <v/>
      </c>
      <c r="U828" s="26">
        <f>IF($A828="","",ROUND(SUMIFS(出库单!$S$4:$S$4003,出库单!$D$4:$D$4003,$A828,出库单!$K$4:$K$4003,"盘亏",出库单!$U$4:$U$4003,"正常",出库单!$C$4:$C$4003,"&gt;="&amp;账期起,出库单!$C$4:$C$4003,"&lt;="&amp;账期止),0))</f>
        <v/>
      </c>
      <c r="V828" s="27">
        <f>IF($A828="","",SUMIFS(出库单!$J$4:$J$4003,出库单!$D$4:$D$4003,$A828,出库单!$K$4:$K$4003,"退货给供应商",出库单!$U$4:$U$4003,"正常",出库单!$C$4:$C$4003,"&gt;="&amp;账期起,出库单!$C$4:$C$4003,"&lt;="&amp;账期止))</f>
        <v/>
      </c>
      <c r="W828" s="26">
        <f>IF($A828="","",ROUND(SUMIFS(出库单!$S$4:$S$4003,出库单!$D$4:$D$4003,$A828,出库单!$K$4:$K$4003,"退货给供应商",出库单!$U$4:$U$4003,"正常",出库单!$C$4:$C$4003,"&gt;="&amp;账期起,出库单!$C$4:$C$4003,"&lt;="&amp;账期止),0))</f>
        <v/>
      </c>
      <c r="X828" s="27">
        <f>IF($A828="","",ROUND(N($G828)+$I828+$L828+$N828-$P828-$R828-$T828-$V828,3))</f>
        <v/>
      </c>
      <c r="Y828" s="26">
        <f>IF($A828="","",ROUND(N($H828)+$J828+$M828+$O828-$Q828-$S828-$U828-$W828,0))</f>
        <v/>
      </c>
      <c r="Z828" s="24">
        <f>IF($A828="","",IF(COUNTIFS(入库单!$G$4:$G$2503,$A828,入库单!$Y$4:$Y$2503,"待补价")+COUNTIFS(入库单!$G$4:$G$2503,$A828,入库单!$Y$4:$Y$2503,"暂估")&gt;0,"不可信","可信"))</f>
        <v/>
      </c>
      <c r="AA828" s="24">
        <f>IF($A828="","",IF($X828&lt;-0.001,"※账面负库存，查一下是不是漏记入库",IF(AND(ROUND($X828,3)=0,ABS($Y828)&gt;1),"※数量已经是 0，金额还挂着 "&amp;TEXT($Y828,"#,##0")&amp;" 先令",IF(AND($X828&gt;0,$Y828&lt;=0,$K828=0),"※有数量没金额（这个物料一直没填过进价）",IF($Z828="不可信","△成本含待补价/暂估，毛利仅供参考","")))))</f>
        <v/>
      </c>
    </row>
    <row r="829">
      <c r="A829" s="24">
        <f>IF(物料档案!$A828="","",物料档案!$A828)</f>
        <v/>
      </c>
      <c r="B829" s="24">
        <f>IF($A829="","",IFERROR(VLOOKUP($A829,物料档案!$A$4:$P$1203,3,0),""))</f>
        <v/>
      </c>
      <c r="C829" s="24">
        <f>IF($A829="","",IFERROR(VLOOKUP($A829,物料档案!$A$4:$P$1203,4,0),""))</f>
        <v/>
      </c>
      <c r="D829" s="24">
        <f>IF($A829="","",IFERROR(VLOOKUP($A829,物料档案!$A$4:$P$1203,5,0),""))</f>
        <v/>
      </c>
      <c r="E829" s="24">
        <f>IF($A829="","",IFERROR(VLOOKUP($A829,物料档案!$A$4:$P$1203,2,0),""))</f>
        <v/>
      </c>
      <c r="F829" s="24">
        <f>IF($A829="","",IFERROR(VLOOKUP($A829,物料档案!$A$4:$P$1203,6,0),""))</f>
        <v/>
      </c>
      <c r="G829" s="23" t="n"/>
      <c r="H829" s="32" t="n"/>
      <c r="I829" s="27">
        <f>IF($A829="","",SUMIFS(入库单!$K$4:$K$2503,入库单!$G$4:$G$2503,$A829,入库单!$X$4:$X$2503,"采购入库",入库单!$Z$4:$Z$2503,"正常",入库单!$C$4:$C$2503,"&gt;="&amp;账期起,入库单!$C$4:$C$2503,"&lt;="&amp;账期止))</f>
        <v/>
      </c>
      <c r="J829" s="26">
        <f>IF($A829="","",SUMIFS(入库单!$V$4:$V$2503,入库单!$G$4:$G$2503,$A829,入库单!$X$4:$X$2503,"采购入库",入库单!$Z$4:$Z$2503,"正常",入库单!$C$4:$C$2503,"&gt;="&amp;账期起,入库单!$C$4:$C$2503,"&lt;="&amp;账期止))</f>
        <v/>
      </c>
      <c r="K829" s="26">
        <f>IF($A829="","",IFERROR(ROUND((N($H829)+N($J829))/(N($G829)+N($I829)),2),0))</f>
        <v/>
      </c>
      <c r="L829" s="27">
        <f>IF($A829="","",SUMIFS(入库单!$K$4:$K$2503,入库单!$G$4:$G$2503,$A829,入库单!$X$4:$X$2503,"盘盈",入库单!$Z$4:$Z$2503,"正常",入库单!$C$4:$C$2503,"&gt;="&amp;账期起,入库单!$C$4:$C$2503,"&lt;="&amp;账期止))</f>
        <v/>
      </c>
      <c r="M829" s="26">
        <f>IF($A829="","",ROUND($L829*$K829,0))</f>
        <v/>
      </c>
      <c r="N829" s="27">
        <f>IF($A829="","",SUMIFS(入库单!$K$4:$K$2503,入库单!$G$4:$G$2503,$A829,入库单!$X$4:$X$2503,"矿区退库",入库单!$Z$4:$Z$2503,"正常",入库单!$C$4:$C$2503,"&gt;="&amp;账期起,入库单!$C$4:$C$2503,"&lt;="&amp;账期止))</f>
        <v/>
      </c>
      <c r="O829" s="26">
        <f>IF($A829="","",ROUND($N829*$K829,0))</f>
        <v/>
      </c>
      <c r="P829" s="27">
        <f>IF($A829="","",SUMIFS(出库单!$J$4:$J$4003,出库单!$D$4:$D$4003,$A829,出库单!$K$4:$K$4003,"自用消耗",出库单!$U$4:$U$4003,"正常",出库单!$C$4:$C$4003,"&gt;="&amp;账期起,出库单!$C$4:$C$4003,"&lt;="&amp;账期止))</f>
        <v/>
      </c>
      <c r="Q829" s="26">
        <f>IF($A829="","",ROUND(SUMIFS(出库单!$S$4:$S$4003,出库单!$D$4:$D$4003,$A829,出库单!$K$4:$K$4003,"自用消耗",出库单!$U$4:$U$4003,"正常",出库单!$C$4:$C$4003,"&gt;="&amp;账期起,出库单!$C$4:$C$4003,"&lt;="&amp;账期止),0))</f>
        <v/>
      </c>
      <c r="R829" s="27">
        <f>IF($A829="","",SUMIFS(出库单!$J$4:$J$4003,出库单!$D$4:$D$4003,$A829,出库单!$K$4:$K$4003,"对外销售",出库单!$U$4:$U$4003,"正常",出库单!$C$4:$C$4003,"&gt;="&amp;账期起,出库单!$C$4:$C$4003,"&lt;="&amp;账期止))</f>
        <v/>
      </c>
      <c r="S829" s="26">
        <f>IF($A829="","",ROUND(SUMIFS(出库单!$S$4:$S$4003,出库单!$D$4:$D$4003,$A829,出库单!$K$4:$K$4003,"对外销售",出库单!$U$4:$U$4003,"正常",出库单!$C$4:$C$4003,"&gt;="&amp;账期起,出库单!$C$4:$C$4003,"&lt;="&amp;账期止),0))</f>
        <v/>
      </c>
      <c r="T829" s="27">
        <f>IF($A829="","",SUMIFS(出库单!$J$4:$J$4003,出库单!$D$4:$D$4003,$A829,出库单!$K$4:$K$4003,"盘亏",出库单!$U$4:$U$4003,"正常",出库单!$C$4:$C$4003,"&gt;="&amp;账期起,出库单!$C$4:$C$4003,"&lt;="&amp;账期止))</f>
        <v/>
      </c>
      <c r="U829" s="26">
        <f>IF($A829="","",ROUND(SUMIFS(出库单!$S$4:$S$4003,出库单!$D$4:$D$4003,$A829,出库单!$K$4:$K$4003,"盘亏",出库单!$U$4:$U$4003,"正常",出库单!$C$4:$C$4003,"&gt;="&amp;账期起,出库单!$C$4:$C$4003,"&lt;="&amp;账期止),0))</f>
        <v/>
      </c>
      <c r="V829" s="27">
        <f>IF($A829="","",SUMIFS(出库单!$J$4:$J$4003,出库单!$D$4:$D$4003,$A829,出库单!$K$4:$K$4003,"退货给供应商",出库单!$U$4:$U$4003,"正常",出库单!$C$4:$C$4003,"&gt;="&amp;账期起,出库单!$C$4:$C$4003,"&lt;="&amp;账期止))</f>
        <v/>
      </c>
      <c r="W829" s="26">
        <f>IF($A829="","",ROUND(SUMIFS(出库单!$S$4:$S$4003,出库单!$D$4:$D$4003,$A829,出库单!$K$4:$K$4003,"退货给供应商",出库单!$U$4:$U$4003,"正常",出库单!$C$4:$C$4003,"&gt;="&amp;账期起,出库单!$C$4:$C$4003,"&lt;="&amp;账期止),0))</f>
        <v/>
      </c>
      <c r="X829" s="27">
        <f>IF($A829="","",ROUND(N($G829)+$I829+$L829+$N829-$P829-$R829-$T829-$V829,3))</f>
        <v/>
      </c>
      <c r="Y829" s="26">
        <f>IF($A829="","",ROUND(N($H829)+$J829+$M829+$O829-$Q829-$S829-$U829-$W829,0))</f>
        <v/>
      </c>
      <c r="Z829" s="24">
        <f>IF($A829="","",IF(COUNTIFS(入库单!$G$4:$G$2503,$A829,入库单!$Y$4:$Y$2503,"待补价")+COUNTIFS(入库单!$G$4:$G$2503,$A829,入库单!$Y$4:$Y$2503,"暂估")&gt;0,"不可信","可信"))</f>
        <v/>
      </c>
      <c r="AA829" s="24">
        <f>IF($A829="","",IF($X829&lt;-0.001,"※账面负库存，查一下是不是漏记入库",IF(AND(ROUND($X829,3)=0,ABS($Y829)&gt;1),"※数量已经是 0，金额还挂着 "&amp;TEXT($Y829,"#,##0")&amp;" 先令",IF(AND($X829&gt;0,$Y829&lt;=0,$K829=0),"※有数量没金额（这个物料一直没填过进价）",IF($Z829="不可信","△成本含待补价/暂估，毛利仅供参考","")))))</f>
        <v/>
      </c>
    </row>
    <row r="830">
      <c r="A830" s="24">
        <f>IF(物料档案!$A829="","",物料档案!$A829)</f>
        <v/>
      </c>
      <c r="B830" s="24">
        <f>IF($A830="","",IFERROR(VLOOKUP($A830,物料档案!$A$4:$P$1203,3,0),""))</f>
        <v/>
      </c>
      <c r="C830" s="24">
        <f>IF($A830="","",IFERROR(VLOOKUP($A830,物料档案!$A$4:$P$1203,4,0),""))</f>
        <v/>
      </c>
      <c r="D830" s="24">
        <f>IF($A830="","",IFERROR(VLOOKUP($A830,物料档案!$A$4:$P$1203,5,0),""))</f>
        <v/>
      </c>
      <c r="E830" s="24">
        <f>IF($A830="","",IFERROR(VLOOKUP($A830,物料档案!$A$4:$P$1203,2,0),""))</f>
        <v/>
      </c>
      <c r="F830" s="24">
        <f>IF($A830="","",IFERROR(VLOOKUP($A830,物料档案!$A$4:$P$1203,6,0),""))</f>
        <v/>
      </c>
      <c r="G830" s="23" t="n"/>
      <c r="H830" s="32" t="n"/>
      <c r="I830" s="27">
        <f>IF($A830="","",SUMIFS(入库单!$K$4:$K$2503,入库单!$G$4:$G$2503,$A830,入库单!$X$4:$X$2503,"采购入库",入库单!$Z$4:$Z$2503,"正常",入库单!$C$4:$C$2503,"&gt;="&amp;账期起,入库单!$C$4:$C$2503,"&lt;="&amp;账期止))</f>
        <v/>
      </c>
      <c r="J830" s="26">
        <f>IF($A830="","",SUMIFS(入库单!$V$4:$V$2503,入库单!$G$4:$G$2503,$A830,入库单!$X$4:$X$2503,"采购入库",入库单!$Z$4:$Z$2503,"正常",入库单!$C$4:$C$2503,"&gt;="&amp;账期起,入库单!$C$4:$C$2503,"&lt;="&amp;账期止))</f>
        <v/>
      </c>
      <c r="K830" s="26">
        <f>IF($A830="","",IFERROR(ROUND((N($H830)+N($J830))/(N($G830)+N($I830)),2),0))</f>
        <v/>
      </c>
      <c r="L830" s="27">
        <f>IF($A830="","",SUMIFS(入库单!$K$4:$K$2503,入库单!$G$4:$G$2503,$A830,入库单!$X$4:$X$2503,"盘盈",入库单!$Z$4:$Z$2503,"正常",入库单!$C$4:$C$2503,"&gt;="&amp;账期起,入库单!$C$4:$C$2503,"&lt;="&amp;账期止))</f>
        <v/>
      </c>
      <c r="M830" s="26">
        <f>IF($A830="","",ROUND($L830*$K830,0))</f>
        <v/>
      </c>
      <c r="N830" s="27">
        <f>IF($A830="","",SUMIFS(入库单!$K$4:$K$2503,入库单!$G$4:$G$2503,$A830,入库单!$X$4:$X$2503,"矿区退库",入库单!$Z$4:$Z$2503,"正常",入库单!$C$4:$C$2503,"&gt;="&amp;账期起,入库单!$C$4:$C$2503,"&lt;="&amp;账期止))</f>
        <v/>
      </c>
      <c r="O830" s="26">
        <f>IF($A830="","",ROUND($N830*$K830,0))</f>
        <v/>
      </c>
      <c r="P830" s="27">
        <f>IF($A830="","",SUMIFS(出库单!$J$4:$J$4003,出库单!$D$4:$D$4003,$A830,出库单!$K$4:$K$4003,"自用消耗",出库单!$U$4:$U$4003,"正常",出库单!$C$4:$C$4003,"&gt;="&amp;账期起,出库单!$C$4:$C$4003,"&lt;="&amp;账期止))</f>
        <v/>
      </c>
      <c r="Q830" s="26">
        <f>IF($A830="","",ROUND(SUMIFS(出库单!$S$4:$S$4003,出库单!$D$4:$D$4003,$A830,出库单!$K$4:$K$4003,"自用消耗",出库单!$U$4:$U$4003,"正常",出库单!$C$4:$C$4003,"&gt;="&amp;账期起,出库单!$C$4:$C$4003,"&lt;="&amp;账期止),0))</f>
        <v/>
      </c>
      <c r="R830" s="27">
        <f>IF($A830="","",SUMIFS(出库单!$J$4:$J$4003,出库单!$D$4:$D$4003,$A830,出库单!$K$4:$K$4003,"对外销售",出库单!$U$4:$U$4003,"正常",出库单!$C$4:$C$4003,"&gt;="&amp;账期起,出库单!$C$4:$C$4003,"&lt;="&amp;账期止))</f>
        <v/>
      </c>
      <c r="S830" s="26">
        <f>IF($A830="","",ROUND(SUMIFS(出库单!$S$4:$S$4003,出库单!$D$4:$D$4003,$A830,出库单!$K$4:$K$4003,"对外销售",出库单!$U$4:$U$4003,"正常",出库单!$C$4:$C$4003,"&gt;="&amp;账期起,出库单!$C$4:$C$4003,"&lt;="&amp;账期止),0))</f>
        <v/>
      </c>
      <c r="T830" s="27">
        <f>IF($A830="","",SUMIFS(出库单!$J$4:$J$4003,出库单!$D$4:$D$4003,$A830,出库单!$K$4:$K$4003,"盘亏",出库单!$U$4:$U$4003,"正常",出库单!$C$4:$C$4003,"&gt;="&amp;账期起,出库单!$C$4:$C$4003,"&lt;="&amp;账期止))</f>
        <v/>
      </c>
      <c r="U830" s="26">
        <f>IF($A830="","",ROUND(SUMIFS(出库单!$S$4:$S$4003,出库单!$D$4:$D$4003,$A830,出库单!$K$4:$K$4003,"盘亏",出库单!$U$4:$U$4003,"正常",出库单!$C$4:$C$4003,"&gt;="&amp;账期起,出库单!$C$4:$C$4003,"&lt;="&amp;账期止),0))</f>
        <v/>
      </c>
      <c r="V830" s="27">
        <f>IF($A830="","",SUMIFS(出库单!$J$4:$J$4003,出库单!$D$4:$D$4003,$A830,出库单!$K$4:$K$4003,"退货给供应商",出库单!$U$4:$U$4003,"正常",出库单!$C$4:$C$4003,"&gt;="&amp;账期起,出库单!$C$4:$C$4003,"&lt;="&amp;账期止))</f>
        <v/>
      </c>
      <c r="W830" s="26">
        <f>IF($A830="","",ROUND(SUMIFS(出库单!$S$4:$S$4003,出库单!$D$4:$D$4003,$A830,出库单!$K$4:$K$4003,"退货给供应商",出库单!$U$4:$U$4003,"正常",出库单!$C$4:$C$4003,"&gt;="&amp;账期起,出库单!$C$4:$C$4003,"&lt;="&amp;账期止),0))</f>
        <v/>
      </c>
      <c r="X830" s="27">
        <f>IF($A830="","",ROUND(N($G830)+$I830+$L830+$N830-$P830-$R830-$T830-$V830,3))</f>
        <v/>
      </c>
      <c r="Y830" s="26">
        <f>IF($A830="","",ROUND(N($H830)+$J830+$M830+$O830-$Q830-$S830-$U830-$W830,0))</f>
        <v/>
      </c>
      <c r="Z830" s="24">
        <f>IF($A830="","",IF(COUNTIFS(入库单!$G$4:$G$2503,$A830,入库单!$Y$4:$Y$2503,"待补价")+COUNTIFS(入库单!$G$4:$G$2503,$A830,入库单!$Y$4:$Y$2503,"暂估")&gt;0,"不可信","可信"))</f>
        <v/>
      </c>
      <c r="AA830" s="24">
        <f>IF($A830="","",IF($X830&lt;-0.001,"※账面负库存，查一下是不是漏记入库",IF(AND(ROUND($X830,3)=0,ABS($Y830)&gt;1),"※数量已经是 0，金额还挂着 "&amp;TEXT($Y830,"#,##0")&amp;" 先令",IF(AND($X830&gt;0,$Y830&lt;=0,$K830=0),"※有数量没金额（这个物料一直没填过进价）",IF($Z830="不可信","△成本含待补价/暂估，毛利仅供参考","")))))</f>
        <v/>
      </c>
    </row>
    <row r="831">
      <c r="A831" s="24">
        <f>IF(物料档案!$A830="","",物料档案!$A830)</f>
        <v/>
      </c>
      <c r="B831" s="24">
        <f>IF($A831="","",IFERROR(VLOOKUP($A831,物料档案!$A$4:$P$1203,3,0),""))</f>
        <v/>
      </c>
      <c r="C831" s="24">
        <f>IF($A831="","",IFERROR(VLOOKUP($A831,物料档案!$A$4:$P$1203,4,0),""))</f>
        <v/>
      </c>
      <c r="D831" s="24">
        <f>IF($A831="","",IFERROR(VLOOKUP($A831,物料档案!$A$4:$P$1203,5,0),""))</f>
        <v/>
      </c>
      <c r="E831" s="24">
        <f>IF($A831="","",IFERROR(VLOOKUP($A831,物料档案!$A$4:$P$1203,2,0),""))</f>
        <v/>
      </c>
      <c r="F831" s="24">
        <f>IF($A831="","",IFERROR(VLOOKUP($A831,物料档案!$A$4:$P$1203,6,0),""))</f>
        <v/>
      </c>
      <c r="G831" s="23" t="n"/>
      <c r="H831" s="32" t="n"/>
      <c r="I831" s="27">
        <f>IF($A831="","",SUMIFS(入库单!$K$4:$K$2503,入库单!$G$4:$G$2503,$A831,入库单!$X$4:$X$2503,"采购入库",入库单!$Z$4:$Z$2503,"正常",入库单!$C$4:$C$2503,"&gt;="&amp;账期起,入库单!$C$4:$C$2503,"&lt;="&amp;账期止))</f>
        <v/>
      </c>
      <c r="J831" s="26">
        <f>IF($A831="","",SUMIFS(入库单!$V$4:$V$2503,入库单!$G$4:$G$2503,$A831,入库单!$X$4:$X$2503,"采购入库",入库单!$Z$4:$Z$2503,"正常",入库单!$C$4:$C$2503,"&gt;="&amp;账期起,入库单!$C$4:$C$2503,"&lt;="&amp;账期止))</f>
        <v/>
      </c>
      <c r="K831" s="26">
        <f>IF($A831="","",IFERROR(ROUND((N($H831)+N($J831))/(N($G831)+N($I831)),2),0))</f>
        <v/>
      </c>
      <c r="L831" s="27">
        <f>IF($A831="","",SUMIFS(入库单!$K$4:$K$2503,入库单!$G$4:$G$2503,$A831,入库单!$X$4:$X$2503,"盘盈",入库单!$Z$4:$Z$2503,"正常",入库单!$C$4:$C$2503,"&gt;="&amp;账期起,入库单!$C$4:$C$2503,"&lt;="&amp;账期止))</f>
        <v/>
      </c>
      <c r="M831" s="26">
        <f>IF($A831="","",ROUND($L831*$K831,0))</f>
        <v/>
      </c>
      <c r="N831" s="27">
        <f>IF($A831="","",SUMIFS(入库单!$K$4:$K$2503,入库单!$G$4:$G$2503,$A831,入库单!$X$4:$X$2503,"矿区退库",入库单!$Z$4:$Z$2503,"正常",入库单!$C$4:$C$2503,"&gt;="&amp;账期起,入库单!$C$4:$C$2503,"&lt;="&amp;账期止))</f>
        <v/>
      </c>
      <c r="O831" s="26">
        <f>IF($A831="","",ROUND($N831*$K831,0))</f>
        <v/>
      </c>
      <c r="P831" s="27">
        <f>IF($A831="","",SUMIFS(出库单!$J$4:$J$4003,出库单!$D$4:$D$4003,$A831,出库单!$K$4:$K$4003,"自用消耗",出库单!$U$4:$U$4003,"正常",出库单!$C$4:$C$4003,"&gt;="&amp;账期起,出库单!$C$4:$C$4003,"&lt;="&amp;账期止))</f>
        <v/>
      </c>
      <c r="Q831" s="26">
        <f>IF($A831="","",ROUND(SUMIFS(出库单!$S$4:$S$4003,出库单!$D$4:$D$4003,$A831,出库单!$K$4:$K$4003,"自用消耗",出库单!$U$4:$U$4003,"正常",出库单!$C$4:$C$4003,"&gt;="&amp;账期起,出库单!$C$4:$C$4003,"&lt;="&amp;账期止),0))</f>
        <v/>
      </c>
      <c r="R831" s="27">
        <f>IF($A831="","",SUMIFS(出库单!$J$4:$J$4003,出库单!$D$4:$D$4003,$A831,出库单!$K$4:$K$4003,"对外销售",出库单!$U$4:$U$4003,"正常",出库单!$C$4:$C$4003,"&gt;="&amp;账期起,出库单!$C$4:$C$4003,"&lt;="&amp;账期止))</f>
        <v/>
      </c>
      <c r="S831" s="26">
        <f>IF($A831="","",ROUND(SUMIFS(出库单!$S$4:$S$4003,出库单!$D$4:$D$4003,$A831,出库单!$K$4:$K$4003,"对外销售",出库单!$U$4:$U$4003,"正常",出库单!$C$4:$C$4003,"&gt;="&amp;账期起,出库单!$C$4:$C$4003,"&lt;="&amp;账期止),0))</f>
        <v/>
      </c>
      <c r="T831" s="27">
        <f>IF($A831="","",SUMIFS(出库单!$J$4:$J$4003,出库单!$D$4:$D$4003,$A831,出库单!$K$4:$K$4003,"盘亏",出库单!$U$4:$U$4003,"正常",出库单!$C$4:$C$4003,"&gt;="&amp;账期起,出库单!$C$4:$C$4003,"&lt;="&amp;账期止))</f>
        <v/>
      </c>
      <c r="U831" s="26">
        <f>IF($A831="","",ROUND(SUMIFS(出库单!$S$4:$S$4003,出库单!$D$4:$D$4003,$A831,出库单!$K$4:$K$4003,"盘亏",出库单!$U$4:$U$4003,"正常",出库单!$C$4:$C$4003,"&gt;="&amp;账期起,出库单!$C$4:$C$4003,"&lt;="&amp;账期止),0))</f>
        <v/>
      </c>
      <c r="V831" s="27">
        <f>IF($A831="","",SUMIFS(出库单!$J$4:$J$4003,出库单!$D$4:$D$4003,$A831,出库单!$K$4:$K$4003,"退货给供应商",出库单!$U$4:$U$4003,"正常",出库单!$C$4:$C$4003,"&gt;="&amp;账期起,出库单!$C$4:$C$4003,"&lt;="&amp;账期止))</f>
        <v/>
      </c>
      <c r="W831" s="26">
        <f>IF($A831="","",ROUND(SUMIFS(出库单!$S$4:$S$4003,出库单!$D$4:$D$4003,$A831,出库单!$K$4:$K$4003,"退货给供应商",出库单!$U$4:$U$4003,"正常",出库单!$C$4:$C$4003,"&gt;="&amp;账期起,出库单!$C$4:$C$4003,"&lt;="&amp;账期止),0))</f>
        <v/>
      </c>
      <c r="X831" s="27">
        <f>IF($A831="","",ROUND(N($G831)+$I831+$L831+$N831-$P831-$R831-$T831-$V831,3))</f>
        <v/>
      </c>
      <c r="Y831" s="26">
        <f>IF($A831="","",ROUND(N($H831)+$J831+$M831+$O831-$Q831-$S831-$U831-$W831,0))</f>
        <v/>
      </c>
      <c r="Z831" s="24">
        <f>IF($A831="","",IF(COUNTIFS(入库单!$G$4:$G$2503,$A831,入库单!$Y$4:$Y$2503,"待补价")+COUNTIFS(入库单!$G$4:$G$2503,$A831,入库单!$Y$4:$Y$2503,"暂估")&gt;0,"不可信","可信"))</f>
        <v/>
      </c>
      <c r="AA831" s="24">
        <f>IF($A831="","",IF($X831&lt;-0.001,"※账面负库存，查一下是不是漏记入库",IF(AND(ROUND($X831,3)=0,ABS($Y831)&gt;1),"※数量已经是 0，金额还挂着 "&amp;TEXT($Y831,"#,##0")&amp;" 先令",IF(AND($X831&gt;0,$Y831&lt;=0,$K831=0),"※有数量没金额（这个物料一直没填过进价）",IF($Z831="不可信","△成本含待补价/暂估，毛利仅供参考","")))))</f>
        <v/>
      </c>
    </row>
    <row r="832">
      <c r="A832" s="24">
        <f>IF(物料档案!$A831="","",物料档案!$A831)</f>
        <v/>
      </c>
      <c r="B832" s="24">
        <f>IF($A832="","",IFERROR(VLOOKUP($A832,物料档案!$A$4:$P$1203,3,0),""))</f>
        <v/>
      </c>
      <c r="C832" s="24">
        <f>IF($A832="","",IFERROR(VLOOKUP($A832,物料档案!$A$4:$P$1203,4,0),""))</f>
        <v/>
      </c>
      <c r="D832" s="24">
        <f>IF($A832="","",IFERROR(VLOOKUP($A832,物料档案!$A$4:$P$1203,5,0),""))</f>
        <v/>
      </c>
      <c r="E832" s="24">
        <f>IF($A832="","",IFERROR(VLOOKUP($A832,物料档案!$A$4:$P$1203,2,0),""))</f>
        <v/>
      </c>
      <c r="F832" s="24">
        <f>IF($A832="","",IFERROR(VLOOKUP($A832,物料档案!$A$4:$P$1203,6,0),""))</f>
        <v/>
      </c>
      <c r="G832" s="23" t="n"/>
      <c r="H832" s="32" t="n"/>
      <c r="I832" s="27">
        <f>IF($A832="","",SUMIFS(入库单!$K$4:$K$2503,入库单!$G$4:$G$2503,$A832,入库单!$X$4:$X$2503,"采购入库",入库单!$Z$4:$Z$2503,"正常",入库单!$C$4:$C$2503,"&gt;="&amp;账期起,入库单!$C$4:$C$2503,"&lt;="&amp;账期止))</f>
        <v/>
      </c>
      <c r="J832" s="26">
        <f>IF($A832="","",SUMIFS(入库单!$V$4:$V$2503,入库单!$G$4:$G$2503,$A832,入库单!$X$4:$X$2503,"采购入库",入库单!$Z$4:$Z$2503,"正常",入库单!$C$4:$C$2503,"&gt;="&amp;账期起,入库单!$C$4:$C$2503,"&lt;="&amp;账期止))</f>
        <v/>
      </c>
      <c r="K832" s="26">
        <f>IF($A832="","",IFERROR(ROUND((N($H832)+N($J832))/(N($G832)+N($I832)),2),0))</f>
        <v/>
      </c>
      <c r="L832" s="27">
        <f>IF($A832="","",SUMIFS(入库单!$K$4:$K$2503,入库单!$G$4:$G$2503,$A832,入库单!$X$4:$X$2503,"盘盈",入库单!$Z$4:$Z$2503,"正常",入库单!$C$4:$C$2503,"&gt;="&amp;账期起,入库单!$C$4:$C$2503,"&lt;="&amp;账期止))</f>
        <v/>
      </c>
      <c r="M832" s="26">
        <f>IF($A832="","",ROUND($L832*$K832,0))</f>
        <v/>
      </c>
      <c r="N832" s="27">
        <f>IF($A832="","",SUMIFS(入库单!$K$4:$K$2503,入库单!$G$4:$G$2503,$A832,入库单!$X$4:$X$2503,"矿区退库",入库单!$Z$4:$Z$2503,"正常",入库单!$C$4:$C$2503,"&gt;="&amp;账期起,入库单!$C$4:$C$2503,"&lt;="&amp;账期止))</f>
        <v/>
      </c>
      <c r="O832" s="26">
        <f>IF($A832="","",ROUND($N832*$K832,0))</f>
        <v/>
      </c>
      <c r="P832" s="27">
        <f>IF($A832="","",SUMIFS(出库单!$J$4:$J$4003,出库单!$D$4:$D$4003,$A832,出库单!$K$4:$K$4003,"自用消耗",出库单!$U$4:$U$4003,"正常",出库单!$C$4:$C$4003,"&gt;="&amp;账期起,出库单!$C$4:$C$4003,"&lt;="&amp;账期止))</f>
        <v/>
      </c>
      <c r="Q832" s="26">
        <f>IF($A832="","",ROUND(SUMIFS(出库单!$S$4:$S$4003,出库单!$D$4:$D$4003,$A832,出库单!$K$4:$K$4003,"自用消耗",出库单!$U$4:$U$4003,"正常",出库单!$C$4:$C$4003,"&gt;="&amp;账期起,出库单!$C$4:$C$4003,"&lt;="&amp;账期止),0))</f>
        <v/>
      </c>
      <c r="R832" s="27">
        <f>IF($A832="","",SUMIFS(出库单!$J$4:$J$4003,出库单!$D$4:$D$4003,$A832,出库单!$K$4:$K$4003,"对外销售",出库单!$U$4:$U$4003,"正常",出库单!$C$4:$C$4003,"&gt;="&amp;账期起,出库单!$C$4:$C$4003,"&lt;="&amp;账期止))</f>
        <v/>
      </c>
      <c r="S832" s="26">
        <f>IF($A832="","",ROUND(SUMIFS(出库单!$S$4:$S$4003,出库单!$D$4:$D$4003,$A832,出库单!$K$4:$K$4003,"对外销售",出库单!$U$4:$U$4003,"正常",出库单!$C$4:$C$4003,"&gt;="&amp;账期起,出库单!$C$4:$C$4003,"&lt;="&amp;账期止),0))</f>
        <v/>
      </c>
      <c r="T832" s="27">
        <f>IF($A832="","",SUMIFS(出库单!$J$4:$J$4003,出库单!$D$4:$D$4003,$A832,出库单!$K$4:$K$4003,"盘亏",出库单!$U$4:$U$4003,"正常",出库单!$C$4:$C$4003,"&gt;="&amp;账期起,出库单!$C$4:$C$4003,"&lt;="&amp;账期止))</f>
        <v/>
      </c>
      <c r="U832" s="26">
        <f>IF($A832="","",ROUND(SUMIFS(出库单!$S$4:$S$4003,出库单!$D$4:$D$4003,$A832,出库单!$K$4:$K$4003,"盘亏",出库单!$U$4:$U$4003,"正常",出库单!$C$4:$C$4003,"&gt;="&amp;账期起,出库单!$C$4:$C$4003,"&lt;="&amp;账期止),0))</f>
        <v/>
      </c>
      <c r="V832" s="27">
        <f>IF($A832="","",SUMIFS(出库单!$J$4:$J$4003,出库单!$D$4:$D$4003,$A832,出库单!$K$4:$K$4003,"退货给供应商",出库单!$U$4:$U$4003,"正常",出库单!$C$4:$C$4003,"&gt;="&amp;账期起,出库单!$C$4:$C$4003,"&lt;="&amp;账期止))</f>
        <v/>
      </c>
      <c r="W832" s="26">
        <f>IF($A832="","",ROUND(SUMIFS(出库单!$S$4:$S$4003,出库单!$D$4:$D$4003,$A832,出库单!$K$4:$K$4003,"退货给供应商",出库单!$U$4:$U$4003,"正常",出库单!$C$4:$C$4003,"&gt;="&amp;账期起,出库单!$C$4:$C$4003,"&lt;="&amp;账期止),0))</f>
        <v/>
      </c>
      <c r="X832" s="27">
        <f>IF($A832="","",ROUND(N($G832)+$I832+$L832+$N832-$P832-$R832-$T832-$V832,3))</f>
        <v/>
      </c>
      <c r="Y832" s="26">
        <f>IF($A832="","",ROUND(N($H832)+$J832+$M832+$O832-$Q832-$S832-$U832-$W832,0))</f>
        <v/>
      </c>
      <c r="Z832" s="24">
        <f>IF($A832="","",IF(COUNTIFS(入库单!$G$4:$G$2503,$A832,入库单!$Y$4:$Y$2503,"待补价")+COUNTIFS(入库单!$G$4:$G$2503,$A832,入库单!$Y$4:$Y$2503,"暂估")&gt;0,"不可信","可信"))</f>
        <v/>
      </c>
      <c r="AA832" s="24">
        <f>IF($A832="","",IF($X832&lt;-0.001,"※账面负库存，查一下是不是漏记入库",IF(AND(ROUND($X832,3)=0,ABS($Y832)&gt;1),"※数量已经是 0，金额还挂着 "&amp;TEXT($Y832,"#,##0")&amp;" 先令",IF(AND($X832&gt;0,$Y832&lt;=0,$K832=0),"※有数量没金额（这个物料一直没填过进价）",IF($Z832="不可信","△成本含待补价/暂估，毛利仅供参考","")))))</f>
        <v/>
      </c>
    </row>
    <row r="833">
      <c r="A833" s="24">
        <f>IF(物料档案!$A832="","",物料档案!$A832)</f>
        <v/>
      </c>
      <c r="B833" s="24">
        <f>IF($A833="","",IFERROR(VLOOKUP($A833,物料档案!$A$4:$P$1203,3,0),""))</f>
        <v/>
      </c>
      <c r="C833" s="24">
        <f>IF($A833="","",IFERROR(VLOOKUP($A833,物料档案!$A$4:$P$1203,4,0),""))</f>
        <v/>
      </c>
      <c r="D833" s="24">
        <f>IF($A833="","",IFERROR(VLOOKUP($A833,物料档案!$A$4:$P$1203,5,0),""))</f>
        <v/>
      </c>
      <c r="E833" s="24">
        <f>IF($A833="","",IFERROR(VLOOKUP($A833,物料档案!$A$4:$P$1203,2,0),""))</f>
        <v/>
      </c>
      <c r="F833" s="24">
        <f>IF($A833="","",IFERROR(VLOOKUP($A833,物料档案!$A$4:$P$1203,6,0),""))</f>
        <v/>
      </c>
      <c r="G833" s="23" t="n"/>
      <c r="H833" s="32" t="n"/>
      <c r="I833" s="27">
        <f>IF($A833="","",SUMIFS(入库单!$K$4:$K$2503,入库单!$G$4:$G$2503,$A833,入库单!$X$4:$X$2503,"采购入库",入库单!$Z$4:$Z$2503,"正常",入库单!$C$4:$C$2503,"&gt;="&amp;账期起,入库单!$C$4:$C$2503,"&lt;="&amp;账期止))</f>
        <v/>
      </c>
      <c r="J833" s="26">
        <f>IF($A833="","",SUMIFS(入库单!$V$4:$V$2503,入库单!$G$4:$G$2503,$A833,入库单!$X$4:$X$2503,"采购入库",入库单!$Z$4:$Z$2503,"正常",入库单!$C$4:$C$2503,"&gt;="&amp;账期起,入库单!$C$4:$C$2503,"&lt;="&amp;账期止))</f>
        <v/>
      </c>
      <c r="K833" s="26">
        <f>IF($A833="","",IFERROR(ROUND((N($H833)+N($J833))/(N($G833)+N($I833)),2),0))</f>
        <v/>
      </c>
      <c r="L833" s="27">
        <f>IF($A833="","",SUMIFS(入库单!$K$4:$K$2503,入库单!$G$4:$G$2503,$A833,入库单!$X$4:$X$2503,"盘盈",入库单!$Z$4:$Z$2503,"正常",入库单!$C$4:$C$2503,"&gt;="&amp;账期起,入库单!$C$4:$C$2503,"&lt;="&amp;账期止))</f>
        <v/>
      </c>
      <c r="M833" s="26">
        <f>IF($A833="","",ROUND($L833*$K833,0))</f>
        <v/>
      </c>
      <c r="N833" s="27">
        <f>IF($A833="","",SUMIFS(入库单!$K$4:$K$2503,入库单!$G$4:$G$2503,$A833,入库单!$X$4:$X$2503,"矿区退库",入库单!$Z$4:$Z$2503,"正常",入库单!$C$4:$C$2503,"&gt;="&amp;账期起,入库单!$C$4:$C$2503,"&lt;="&amp;账期止))</f>
        <v/>
      </c>
      <c r="O833" s="26">
        <f>IF($A833="","",ROUND($N833*$K833,0))</f>
        <v/>
      </c>
      <c r="P833" s="27">
        <f>IF($A833="","",SUMIFS(出库单!$J$4:$J$4003,出库单!$D$4:$D$4003,$A833,出库单!$K$4:$K$4003,"自用消耗",出库单!$U$4:$U$4003,"正常",出库单!$C$4:$C$4003,"&gt;="&amp;账期起,出库单!$C$4:$C$4003,"&lt;="&amp;账期止))</f>
        <v/>
      </c>
      <c r="Q833" s="26">
        <f>IF($A833="","",ROUND(SUMIFS(出库单!$S$4:$S$4003,出库单!$D$4:$D$4003,$A833,出库单!$K$4:$K$4003,"自用消耗",出库单!$U$4:$U$4003,"正常",出库单!$C$4:$C$4003,"&gt;="&amp;账期起,出库单!$C$4:$C$4003,"&lt;="&amp;账期止),0))</f>
        <v/>
      </c>
      <c r="R833" s="27">
        <f>IF($A833="","",SUMIFS(出库单!$J$4:$J$4003,出库单!$D$4:$D$4003,$A833,出库单!$K$4:$K$4003,"对外销售",出库单!$U$4:$U$4003,"正常",出库单!$C$4:$C$4003,"&gt;="&amp;账期起,出库单!$C$4:$C$4003,"&lt;="&amp;账期止))</f>
        <v/>
      </c>
      <c r="S833" s="26">
        <f>IF($A833="","",ROUND(SUMIFS(出库单!$S$4:$S$4003,出库单!$D$4:$D$4003,$A833,出库单!$K$4:$K$4003,"对外销售",出库单!$U$4:$U$4003,"正常",出库单!$C$4:$C$4003,"&gt;="&amp;账期起,出库单!$C$4:$C$4003,"&lt;="&amp;账期止),0))</f>
        <v/>
      </c>
      <c r="T833" s="27">
        <f>IF($A833="","",SUMIFS(出库单!$J$4:$J$4003,出库单!$D$4:$D$4003,$A833,出库单!$K$4:$K$4003,"盘亏",出库单!$U$4:$U$4003,"正常",出库单!$C$4:$C$4003,"&gt;="&amp;账期起,出库单!$C$4:$C$4003,"&lt;="&amp;账期止))</f>
        <v/>
      </c>
      <c r="U833" s="26">
        <f>IF($A833="","",ROUND(SUMIFS(出库单!$S$4:$S$4003,出库单!$D$4:$D$4003,$A833,出库单!$K$4:$K$4003,"盘亏",出库单!$U$4:$U$4003,"正常",出库单!$C$4:$C$4003,"&gt;="&amp;账期起,出库单!$C$4:$C$4003,"&lt;="&amp;账期止),0))</f>
        <v/>
      </c>
      <c r="V833" s="27">
        <f>IF($A833="","",SUMIFS(出库单!$J$4:$J$4003,出库单!$D$4:$D$4003,$A833,出库单!$K$4:$K$4003,"退货给供应商",出库单!$U$4:$U$4003,"正常",出库单!$C$4:$C$4003,"&gt;="&amp;账期起,出库单!$C$4:$C$4003,"&lt;="&amp;账期止))</f>
        <v/>
      </c>
      <c r="W833" s="26">
        <f>IF($A833="","",ROUND(SUMIFS(出库单!$S$4:$S$4003,出库单!$D$4:$D$4003,$A833,出库单!$K$4:$K$4003,"退货给供应商",出库单!$U$4:$U$4003,"正常",出库单!$C$4:$C$4003,"&gt;="&amp;账期起,出库单!$C$4:$C$4003,"&lt;="&amp;账期止),0))</f>
        <v/>
      </c>
      <c r="X833" s="27">
        <f>IF($A833="","",ROUND(N($G833)+$I833+$L833+$N833-$P833-$R833-$T833-$V833,3))</f>
        <v/>
      </c>
      <c r="Y833" s="26">
        <f>IF($A833="","",ROUND(N($H833)+$J833+$M833+$O833-$Q833-$S833-$U833-$W833,0))</f>
        <v/>
      </c>
      <c r="Z833" s="24">
        <f>IF($A833="","",IF(COUNTIFS(入库单!$G$4:$G$2503,$A833,入库单!$Y$4:$Y$2503,"待补价")+COUNTIFS(入库单!$G$4:$G$2503,$A833,入库单!$Y$4:$Y$2503,"暂估")&gt;0,"不可信","可信"))</f>
        <v/>
      </c>
      <c r="AA833" s="24">
        <f>IF($A833="","",IF($X833&lt;-0.001,"※账面负库存，查一下是不是漏记入库",IF(AND(ROUND($X833,3)=0,ABS($Y833)&gt;1),"※数量已经是 0，金额还挂着 "&amp;TEXT($Y833,"#,##0")&amp;" 先令",IF(AND($X833&gt;0,$Y833&lt;=0,$K833=0),"※有数量没金额（这个物料一直没填过进价）",IF($Z833="不可信","△成本含待补价/暂估，毛利仅供参考","")))))</f>
        <v/>
      </c>
    </row>
    <row r="834">
      <c r="A834" s="24">
        <f>IF(物料档案!$A833="","",物料档案!$A833)</f>
        <v/>
      </c>
      <c r="B834" s="24">
        <f>IF($A834="","",IFERROR(VLOOKUP($A834,物料档案!$A$4:$P$1203,3,0),""))</f>
        <v/>
      </c>
      <c r="C834" s="24">
        <f>IF($A834="","",IFERROR(VLOOKUP($A834,物料档案!$A$4:$P$1203,4,0),""))</f>
        <v/>
      </c>
      <c r="D834" s="24">
        <f>IF($A834="","",IFERROR(VLOOKUP($A834,物料档案!$A$4:$P$1203,5,0),""))</f>
        <v/>
      </c>
      <c r="E834" s="24">
        <f>IF($A834="","",IFERROR(VLOOKUP($A834,物料档案!$A$4:$P$1203,2,0),""))</f>
        <v/>
      </c>
      <c r="F834" s="24">
        <f>IF($A834="","",IFERROR(VLOOKUP($A834,物料档案!$A$4:$P$1203,6,0),""))</f>
        <v/>
      </c>
      <c r="G834" s="23" t="n"/>
      <c r="H834" s="32" t="n"/>
      <c r="I834" s="27">
        <f>IF($A834="","",SUMIFS(入库单!$K$4:$K$2503,入库单!$G$4:$G$2503,$A834,入库单!$X$4:$X$2503,"采购入库",入库单!$Z$4:$Z$2503,"正常",入库单!$C$4:$C$2503,"&gt;="&amp;账期起,入库单!$C$4:$C$2503,"&lt;="&amp;账期止))</f>
        <v/>
      </c>
      <c r="J834" s="26">
        <f>IF($A834="","",SUMIFS(入库单!$V$4:$V$2503,入库单!$G$4:$G$2503,$A834,入库单!$X$4:$X$2503,"采购入库",入库单!$Z$4:$Z$2503,"正常",入库单!$C$4:$C$2503,"&gt;="&amp;账期起,入库单!$C$4:$C$2503,"&lt;="&amp;账期止))</f>
        <v/>
      </c>
      <c r="K834" s="26">
        <f>IF($A834="","",IFERROR(ROUND((N($H834)+N($J834))/(N($G834)+N($I834)),2),0))</f>
        <v/>
      </c>
      <c r="L834" s="27">
        <f>IF($A834="","",SUMIFS(入库单!$K$4:$K$2503,入库单!$G$4:$G$2503,$A834,入库单!$X$4:$X$2503,"盘盈",入库单!$Z$4:$Z$2503,"正常",入库单!$C$4:$C$2503,"&gt;="&amp;账期起,入库单!$C$4:$C$2503,"&lt;="&amp;账期止))</f>
        <v/>
      </c>
      <c r="M834" s="26">
        <f>IF($A834="","",ROUND($L834*$K834,0))</f>
        <v/>
      </c>
      <c r="N834" s="27">
        <f>IF($A834="","",SUMIFS(入库单!$K$4:$K$2503,入库单!$G$4:$G$2503,$A834,入库单!$X$4:$X$2503,"矿区退库",入库单!$Z$4:$Z$2503,"正常",入库单!$C$4:$C$2503,"&gt;="&amp;账期起,入库单!$C$4:$C$2503,"&lt;="&amp;账期止))</f>
        <v/>
      </c>
      <c r="O834" s="26">
        <f>IF($A834="","",ROUND($N834*$K834,0))</f>
        <v/>
      </c>
      <c r="P834" s="27">
        <f>IF($A834="","",SUMIFS(出库单!$J$4:$J$4003,出库单!$D$4:$D$4003,$A834,出库单!$K$4:$K$4003,"自用消耗",出库单!$U$4:$U$4003,"正常",出库单!$C$4:$C$4003,"&gt;="&amp;账期起,出库单!$C$4:$C$4003,"&lt;="&amp;账期止))</f>
        <v/>
      </c>
      <c r="Q834" s="26">
        <f>IF($A834="","",ROUND(SUMIFS(出库单!$S$4:$S$4003,出库单!$D$4:$D$4003,$A834,出库单!$K$4:$K$4003,"自用消耗",出库单!$U$4:$U$4003,"正常",出库单!$C$4:$C$4003,"&gt;="&amp;账期起,出库单!$C$4:$C$4003,"&lt;="&amp;账期止),0))</f>
        <v/>
      </c>
      <c r="R834" s="27">
        <f>IF($A834="","",SUMIFS(出库单!$J$4:$J$4003,出库单!$D$4:$D$4003,$A834,出库单!$K$4:$K$4003,"对外销售",出库单!$U$4:$U$4003,"正常",出库单!$C$4:$C$4003,"&gt;="&amp;账期起,出库单!$C$4:$C$4003,"&lt;="&amp;账期止))</f>
        <v/>
      </c>
      <c r="S834" s="26">
        <f>IF($A834="","",ROUND(SUMIFS(出库单!$S$4:$S$4003,出库单!$D$4:$D$4003,$A834,出库单!$K$4:$K$4003,"对外销售",出库单!$U$4:$U$4003,"正常",出库单!$C$4:$C$4003,"&gt;="&amp;账期起,出库单!$C$4:$C$4003,"&lt;="&amp;账期止),0))</f>
        <v/>
      </c>
      <c r="T834" s="27">
        <f>IF($A834="","",SUMIFS(出库单!$J$4:$J$4003,出库单!$D$4:$D$4003,$A834,出库单!$K$4:$K$4003,"盘亏",出库单!$U$4:$U$4003,"正常",出库单!$C$4:$C$4003,"&gt;="&amp;账期起,出库单!$C$4:$C$4003,"&lt;="&amp;账期止))</f>
        <v/>
      </c>
      <c r="U834" s="26">
        <f>IF($A834="","",ROUND(SUMIFS(出库单!$S$4:$S$4003,出库单!$D$4:$D$4003,$A834,出库单!$K$4:$K$4003,"盘亏",出库单!$U$4:$U$4003,"正常",出库单!$C$4:$C$4003,"&gt;="&amp;账期起,出库单!$C$4:$C$4003,"&lt;="&amp;账期止),0))</f>
        <v/>
      </c>
      <c r="V834" s="27">
        <f>IF($A834="","",SUMIFS(出库单!$J$4:$J$4003,出库单!$D$4:$D$4003,$A834,出库单!$K$4:$K$4003,"退货给供应商",出库单!$U$4:$U$4003,"正常",出库单!$C$4:$C$4003,"&gt;="&amp;账期起,出库单!$C$4:$C$4003,"&lt;="&amp;账期止))</f>
        <v/>
      </c>
      <c r="W834" s="26">
        <f>IF($A834="","",ROUND(SUMIFS(出库单!$S$4:$S$4003,出库单!$D$4:$D$4003,$A834,出库单!$K$4:$K$4003,"退货给供应商",出库单!$U$4:$U$4003,"正常",出库单!$C$4:$C$4003,"&gt;="&amp;账期起,出库单!$C$4:$C$4003,"&lt;="&amp;账期止),0))</f>
        <v/>
      </c>
      <c r="X834" s="27">
        <f>IF($A834="","",ROUND(N($G834)+$I834+$L834+$N834-$P834-$R834-$T834-$V834,3))</f>
        <v/>
      </c>
      <c r="Y834" s="26">
        <f>IF($A834="","",ROUND(N($H834)+$J834+$M834+$O834-$Q834-$S834-$U834-$W834,0))</f>
        <v/>
      </c>
      <c r="Z834" s="24">
        <f>IF($A834="","",IF(COUNTIFS(入库单!$G$4:$G$2503,$A834,入库单!$Y$4:$Y$2503,"待补价")+COUNTIFS(入库单!$G$4:$G$2503,$A834,入库单!$Y$4:$Y$2503,"暂估")&gt;0,"不可信","可信"))</f>
        <v/>
      </c>
      <c r="AA834" s="24">
        <f>IF($A834="","",IF($X834&lt;-0.001,"※账面负库存，查一下是不是漏记入库",IF(AND(ROUND($X834,3)=0,ABS($Y834)&gt;1),"※数量已经是 0，金额还挂着 "&amp;TEXT($Y834,"#,##0")&amp;" 先令",IF(AND($X834&gt;0,$Y834&lt;=0,$K834=0),"※有数量没金额（这个物料一直没填过进价）",IF($Z834="不可信","△成本含待补价/暂估，毛利仅供参考","")))))</f>
        <v/>
      </c>
    </row>
    <row r="835">
      <c r="A835" s="24">
        <f>IF(物料档案!$A834="","",物料档案!$A834)</f>
        <v/>
      </c>
      <c r="B835" s="24">
        <f>IF($A835="","",IFERROR(VLOOKUP($A835,物料档案!$A$4:$P$1203,3,0),""))</f>
        <v/>
      </c>
      <c r="C835" s="24">
        <f>IF($A835="","",IFERROR(VLOOKUP($A835,物料档案!$A$4:$P$1203,4,0),""))</f>
        <v/>
      </c>
      <c r="D835" s="24">
        <f>IF($A835="","",IFERROR(VLOOKUP($A835,物料档案!$A$4:$P$1203,5,0),""))</f>
        <v/>
      </c>
      <c r="E835" s="24">
        <f>IF($A835="","",IFERROR(VLOOKUP($A835,物料档案!$A$4:$P$1203,2,0),""))</f>
        <v/>
      </c>
      <c r="F835" s="24">
        <f>IF($A835="","",IFERROR(VLOOKUP($A835,物料档案!$A$4:$P$1203,6,0),""))</f>
        <v/>
      </c>
      <c r="G835" s="23" t="n"/>
      <c r="H835" s="32" t="n"/>
      <c r="I835" s="27">
        <f>IF($A835="","",SUMIFS(入库单!$K$4:$K$2503,入库单!$G$4:$G$2503,$A835,入库单!$X$4:$X$2503,"采购入库",入库单!$Z$4:$Z$2503,"正常",入库单!$C$4:$C$2503,"&gt;="&amp;账期起,入库单!$C$4:$C$2503,"&lt;="&amp;账期止))</f>
        <v/>
      </c>
      <c r="J835" s="26">
        <f>IF($A835="","",SUMIFS(入库单!$V$4:$V$2503,入库单!$G$4:$G$2503,$A835,入库单!$X$4:$X$2503,"采购入库",入库单!$Z$4:$Z$2503,"正常",入库单!$C$4:$C$2503,"&gt;="&amp;账期起,入库单!$C$4:$C$2503,"&lt;="&amp;账期止))</f>
        <v/>
      </c>
      <c r="K835" s="26">
        <f>IF($A835="","",IFERROR(ROUND((N($H835)+N($J835))/(N($G835)+N($I835)),2),0))</f>
        <v/>
      </c>
      <c r="L835" s="27">
        <f>IF($A835="","",SUMIFS(入库单!$K$4:$K$2503,入库单!$G$4:$G$2503,$A835,入库单!$X$4:$X$2503,"盘盈",入库单!$Z$4:$Z$2503,"正常",入库单!$C$4:$C$2503,"&gt;="&amp;账期起,入库单!$C$4:$C$2503,"&lt;="&amp;账期止))</f>
        <v/>
      </c>
      <c r="M835" s="26">
        <f>IF($A835="","",ROUND($L835*$K835,0))</f>
        <v/>
      </c>
      <c r="N835" s="27">
        <f>IF($A835="","",SUMIFS(入库单!$K$4:$K$2503,入库单!$G$4:$G$2503,$A835,入库单!$X$4:$X$2503,"矿区退库",入库单!$Z$4:$Z$2503,"正常",入库单!$C$4:$C$2503,"&gt;="&amp;账期起,入库单!$C$4:$C$2503,"&lt;="&amp;账期止))</f>
        <v/>
      </c>
      <c r="O835" s="26">
        <f>IF($A835="","",ROUND($N835*$K835,0))</f>
        <v/>
      </c>
      <c r="P835" s="27">
        <f>IF($A835="","",SUMIFS(出库单!$J$4:$J$4003,出库单!$D$4:$D$4003,$A835,出库单!$K$4:$K$4003,"自用消耗",出库单!$U$4:$U$4003,"正常",出库单!$C$4:$C$4003,"&gt;="&amp;账期起,出库单!$C$4:$C$4003,"&lt;="&amp;账期止))</f>
        <v/>
      </c>
      <c r="Q835" s="26">
        <f>IF($A835="","",ROUND(SUMIFS(出库单!$S$4:$S$4003,出库单!$D$4:$D$4003,$A835,出库单!$K$4:$K$4003,"自用消耗",出库单!$U$4:$U$4003,"正常",出库单!$C$4:$C$4003,"&gt;="&amp;账期起,出库单!$C$4:$C$4003,"&lt;="&amp;账期止),0))</f>
        <v/>
      </c>
      <c r="R835" s="27">
        <f>IF($A835="","",SUMIFS(出库单!$J$4:$J$4003,出库单!$D$4:$D$4003,$A835,出库单!$K$4:$K$4003,"对外销售",出库单!$U$4:$U$4003,"正常",出库单!$C$4:$C$4003,"&gt;="&amp;账期起,出库单!$C$4:$C$4003,"&lt;="&amp;账期止))</f>
        <v/>
      </c>
      <c r="S835" s="26">
        <f>IF($A835="","",ROUND(SUMIFS(出库单!$S$4:$S$4003,出库单!$D$4:$D$4003,$A835,出库单!$K$4:$K$4003,"对外销售",出库单!$U$4:$U$4003,"正常",出库单!$C$4:$C$4003,"&gt;="&amp;账期起,出库单!$C$4:$C$4003,"&lt;="&amp;账期止),0))</f>
        <v/>
      </c>
      <c r="T835" s="27">
        <f>IF($A835="","",SUMIFS(出库单!$J$4:$J$4003,出库单!$D$4:$D$4003,$A835,出库单!$K$4:$K$4003,"盘亏",出库单!$U$4:$U$4003,"正常",出库单!$C$4:$C$4003,"&gt;="&amp;账期起,出库单!$C$4:$C$4003,"&lt;="&amp;账期止))</f>
        <v/>
      </c>
      <c r="U835" s="26">
        <f>IF($A835="","",ROUND(SUMIFS(出库单!$S$4:$S$4003,出库单!$D$4:$D$4003,$A835,出库单!$K$4:$K$4003,"盘亏",出库单!$U$4:$U$4003,"正常",出库单!$C$4:$C$4003,"&gt;="&amp;账期起,出库单!$C$4:$C$4003,"&lt;="&amp;账期止),0))</f>
        <v/>
      </c>
      <c r="V835" s="27">
        <f>IF($A835="","",SUMIFS(出库单!$J$4:$J$4003,出库单!$D$4:$D$4003,$A835,出库单!$K$4:$K$4003,"退货给供应商",出库单!$U$4:$U$4003,"正常",出库单!$C$4:$C$4003,"&gt;="&amp;账期起,出库单!$C$4:$C$4003,"&lt;="&amp;账期止))</f>
        <v/>
      </c>
      <c r="W835" s="26">
        <f>IF($A835="","",ROUND(SUMIFS(出库单!$S$4:$S$4003,出库单!$D$4:$D$4003,$A835,出库单!$K$4:$K$4003,"退货给供应商",出库单!$U$4:$U$4003,"正常",出库单!$C$4:$C$4003,"&gt;="&amp;账期起,出库单!$C$4:$C$4003,"&lt;="&amp;账期止),0))</f>
        <v/>
      </c>
      <c r="X835" s="27">
        <f>IF($A835="","",ROUND(N($G835)+$I835+$L835+$N835-$P835-$R835-$T835-$V835,3))</f>
        <v/>
      </c>
      <c r="Y835" s="26">
        <f>IF($A835="","",ROUND(N($H835)+$J835+$M835+$O835-$Q835-$S835-$U835-$W835,0))</f>
        <v/>
      </c>
      <c r="Z835" s="24">
        <f>IF($A835="","",IF(COUNTIFS(入库单!$G$4:$G$2503,$A835,入库单!$Y$4:$Y$2503,"待补价")+COUNTIFS(入库单!$G$4:$G$2503,$A835,入库单!$Y$4:$Y$2503,"暂估")&gt;0,"不可信","可信"))</f>
        <v/>
      </c>
      <c r="AA835" s="24">
        <f>IF($A835="","",IF($X835&lt;-0.001,"※账面负库存，查一下是不是漏记入库",IF(AND(ROUND($X835,3)=0,ABS($Y835)&gt;1),"※数量已经是 0，金额还挂着 "&amp;TEXT($Y835,"#,##0")&amp;" 先令",IF(AND($X835&gt;0,$Y835&lt;=0,$K835=0),"※有数量没金额（这个物料一直没填过进价）",IF($Z835="不可信","△成本含待补价/暂估，毛利仅供参考","")))))</f>
        <v/>
      </c>
    </row>
    <row r="836">
      <c r="A836" s="24">
        <f>IF(物料档案!$A835="","",物料档案!$A835)</f>
        <v/>
      </c>
      <c r="B836" s="24">
        <f>IF($A836="","",IFERROR(VLOOKUP($A836,物料档案!$A$4:$P$1203,3,0),""))</f>
        <v/>
      </c>
      <c r="C836" s="24">
        <f>IF($A836="","",IFERROR(VLOOKUP($A836,物料档案!$A$4:$P$1203,4,0),""))</f>
        <v/>
      </c>
      <c r="D836" s="24">
        <f>IF($A836="","",IFERROR(VLOOKUP($A836,物料档案!$A$4:$P$1203,5,0),""))</f>
        <v/>
      </c>
      <c r="E836" s="24">
        <f>IF($A836="","",IFERROR(VLOOKUP($A836,物料档案!$A$4:$P$1203,2,0),""))</f>
        <v/>
      </c>
      <c r="F836" s="24">
        <f>IF($A836="","",IFERROR(VLOOKUP($A836,物料档案!$A$4:$P$1203,6,0),""))</f>
        <v/>
      </c>
      <c r="G836" s="23" t="n"/>
      <c r="H836" s="32" t="n"/>
      <c r="I836" s="27">
        <f>IF($A836="","",SUMIFS(入库单!$K$4:$K$2503,入库单!$G$4:$G$2503,$A836,入库单!$X$4:$X$2503,"采购入库",入库单!$Z$4:$Z$2503,"正常",入库单!$C$4:$C$2503,"&gt;="&amp;账期起,入库单!$C$4:$C$2503,"&lt;="&amp;账期止))</f>
        <v/>
      </c>
      <c r="J836" s="26">
        <f>IF($A836="","",SUMIFS(入库单!$V$4:$V$2503,入库单!$G$4:$G$2503,$A836,入库单!$X$4:$X$2503,"采购入库",入库单!$Z$4:$Z$2503,"正常",入库单!$C$4:$C$2503,"&gt;="&amp;账期起,入库单!$C$4:$C$2503,"&lt;="&amp;账期止))</f>
        <v/>
      </c>
      <c r="K836" s="26">
        <f>IF($A836="","",IFERROR(ROUND((N($H836)+N($J836))/(N($G836)+N($I836)),2),0))</f>
        <v/>
      </c>
      <c r="L836" s="27">
        <f>IF($A836="","",SUMIFS(入库单!$K$4:$K$2503,入库单!$G$4:$G$2503,$A836,入库单!$X$4:$X$2503,"盘盈",入库单!$Z$4:$Z$2503,"正常",入库单!$C$4:$C$2503,"&gt;="&amp;账期起,入库单!$C$4:$C$2503,"&lt;="&amp;账期止))</f>
        <v/>
      </c>
      <c r="M836" s="26">
        <f>IF($A836="","",ROUND($L836*$K836,0))</f>
        <v/>
      </c>
      <c r="N836" s="27">
        <f>IF($A836="","",SUMIFS(入库单!$K$4:$K$2503,入库单!$G$4:$G$2503,$A836,入库单!$X$4:$X$2503,"矿区退库",入库单!$Z$4:$Z$2503,"正常",入库单!$C$4:$C$2503,"&gt;="&amp;账期起,入库单!$C$4:$C$2503,"&lt;="&amp;账期止))</f>
        <v/>
      </c>
      <c r="O836" s="26">
        <f>IF($A836="","",ROUND($N836*$K836,0))</f>
        <v/>
      </c>
      <c r="P836" s="27">
        <f>IF($A836="","",SUMIFS(出库单!$J$4:$J$4003,出库单!$D$4:$D$4003,$A836,出库单!$K$4:$K$4003,"自用消耗",出库单!$U$4:$U$4003,"正常",出库单!$C$4:$C$4003,"&gt;="&amp;账期起,出库单!$C$4:$C$4003,"&lt;="&amp;账期止))</f>
        <v/>
      </c>
      <c r="Q836" s="26">
        <f>IF($A836="","",ROUND(SUMIFS(出库单!$S$4:$S$4003,出库单!$D$4:$D$4003,$A836,出库单!$K$4:$K$4003,"自用消耗",出库单!$U$4:$U$4003,"正常",出库单!$C$4:$C$4003,"&gt;="&amp;账期起,出库单!$C$4:$C$4003,"&lt;="&amp;账期止),0))</f>
        <v/>
      </c>
      <c r="R836" s="27">
        <f>IF($A836="","",SUMIFS(出库单!$J$4:$J$4003,出库单!$D$4:$D$4003,$A836,出库单!$K$4:$K$4003,"对外销售",出库单!$U$4:$U$4003,"正常",出库单!$C$4:$C$4003,"&gt;="&amp;账期起,出库单!$C$4:$C$4003,"&lt;="&amp;账期止))</f>
        <v/>
      </c>
      <c r="S836" s="26">
        <f>IF($A836="","",ROUND(SUMIFS(出库单!$S$4:$S$4003,出库单!$D$4:$D$4003,$A836,出库单!$K$4:$K$4003,"对外销售",出库单!$U$4:$U$4003,"正常",出库单!$C$4:$C$4003,"&gt;="&amp;账期起,出库单!$C$4:$C$4003,"&lt;="&amp;账期止),0))</f>
        <v/>
      </c>
      <c r="T836" s="27">
        <f>IF($A836="","",SUMIFS(出库单!$J$4:$J$4003,出库单!$D$4:$D$4003,$A836,出库单!$K$4:$K$4003,"盘亏",出库单!$U$4:$U$4003,"正常",出库单!$C$4:$C$4003,"&gt;="&amp;账期起,出库单!$C$4:$C$4003,"&lt;="&amp;账期止))</f>
        <v/>
      </c>
      <c r="U836" s="26">
        <f>IF($A836="","",ROUND(SUMIFS(出库单!$S$4:$S$4003,出库单!$D$4:$D$4003,$A836,出库单!$K$4:$K$4003,"盘亏",出库单!$U$4:$U$4003,"正常",出库单!$C$4:$C$4003,"&gt;="&amp;账期起,出库单!$C$4:$C$4003,"&lt;="&amp;账期止),0))</f>
        <v/>
      </c>
      <c r="V836" s="27">
        <f>IF($A836="","",SUMIFS(出库单!$J$4:$J$4003,出库单!$D$4:$D$4003,$A836,出库单!$K$4:$K$4003,"退货给供应商",出库单!$U$4:$U$4003,"正常",出库单!$C$4:$C$4003,"&gt;="&amp;账期起,出库单!$C$4:$C$4003,"&lt;="&amp;账期止))</f>
        <v/>
      </c>
      <c r="W836" s="26">
        <f>IF($A836="","",ROUND(SUMIFS(出库单!$S$4:$S$4003,出库单!$D$4:$D$4003,$A836,出库单!$K$4:$K$4003,"退货给供应商",出库单!$U$4:$U$4003,"正常",出库单!$C$4:$C$4003,"&gt;="&amp;账期起,出库单!$C$4:$C$4003,"&lt;="&amp;账期止),0))</f>
        <v/>
      </c>
      <c r="X836" s="27">
        <f>IF($A836="","",ROUND(N($G836)+$I836+$L836+$N836-$P836-$R836-$T836-$V836,3))</f>
        <v/>
      </c>
      <c r="Y836" s="26">
        <f>IF($A836="","",ROUND(N($H836)+$J836+$M836+$O836-$Q836-$S836-$U836-$W836,0))</f>
        <v/>
      </c>
      <c r="Z836" s="24">
        <f>IF($A836="","",IF(COUNTIFS(入库单!$G$4:$G$2503,$A836,入库单!$Y$4:$Y$2503,"待补价")+COUNTIFS(入库单!$G$4:$G$2503,$A836,入库单!$Y$4:$Y$2503,"暂估")&gt;0,"不可信","可信"))</f>
        <v/>
      </c>
      <c r="AA836" s="24">
        <f>IF($A836="","",IF($X836&lt;-0.001,"※账面负库存，查一下是不是漏记入库",IF(AND(ROUND($X836,3)=0,ABS($Y836)&gt;1),"※数量已经是 0，金额还挂着 "&amp;TEXT($Y836,"#,##0")&amp;" 先令",IF(AND($X836&gt;0,$Y836&lt;=0,$K836=0),"※有数量没金额（这个物料一直没填过进价）",IF($Z836="不可信","△成本含待补价/暂估，毛利仅供参考","")))))</f>
        <v/>
      </c>
    </row>
    <row r="837">
      <c r="A837" s="24">
        <f>IF(物料档案!$A836="","",物料档案!$A836)</f>
        <v/>
      </c>
      <c r="B837" s="24">
        <f>IF($A837="","",IFERROR(VLOOKUP($A837,物料档案!$A$4:$P$1203,3,0),""))</f>
        <v/>
      </c>
      <c r="C837" s="24">
        <f>IF($A837="","",IFERROR(VLOOKUP($A837,物料档案!$A$4:$P$1203,4,0),""))</f>
        <v/>
      </c>
      <c r="D837" s="24">
        <f>IF($A837="","",IFERROR(VLOOKUP($A837,物料档案!$A$4:$P$1203,5,0),""))</f>
        <v/>
      </c>
      <c r="E837" s="24">
        <f>IF($A837="","",IFERROR(VLOOKUP($A837,物料档案!$A$4:$P$1203,2,0),""))</f>
        <v/>
      </c>
      <c r="F837" s="24">
        <f>IF($A837="","",IFERROR(VLOOKUP($A837,物料档案!$A$4:$P$1203,6,0),""))</f>
        <v/>
      </c>
      <c r="G837" s="23" t="n"/>
      <c r="H837" s="32" t="n"/>
      <c r="I837" s="27">
        <f>IF($A837="","",SUMIFS(入库单!$K$4:$K$2503,入库单!$G$4:$G$2503,$A837,入库单!$X$4:$X$2503,"采购入库",入库单!$Z$4:$Z$2503,"正常",入库单!$C$4:$C$2503,"&gt;="&amp;账期起,入库单!$C$4:$C$2503,"&lt;="&amp;账期止))</f>
        <v/>
      </c>
      <c r="J837" s="26">
        <f>IF($A837="","",SUMIFS(入库单!$V$4:$V$2503,入库单!$G$4:$G$2503,$A837,入库单!$X$4:$X$2503,"采购入库",入库单!$Z$4:$Z$2503,"正常",入库单!$C$4:$C$2503,"&gt;="&amp;账期起,入库单!$C$4:$C$2503,"&lt;="&amp;账期止))</f>
        <v/>
      </c>
      <c r="K837" s="26">
        <f>IF($A837="","",IFERROR(ROUND((N($H837)+N($J837))/(N($G837)+N($I837)),2),0))</f>
        <v/>
      </c>
      <c r="L837" s="27">
        <f>IF($A837="","",SUMIFS(入库单!$K$4:$K$2503,入库单!$G$4:$G$2503,$A837,入库单!$X$4:$X$2503,"盘盈",入库单!$Z$4:$Z$2503,"正常",入库单!$C$4:$C$2503,"&gt;="&amp;账期起,入库单!$C$4:$C$2503,"&lt;="&amp;账期止))</f>
        <v/>
      </c>
      <c r="M837" s="26">
        <f>IF($A837="","",ROUND($L837*$K837,0))</f>
        <v/>
      </c>
      <c r="N837" s="27">
        <f>IF($A837="","",SUMIFS(入库单!$K$4:$K$2503,入库单!$G$4:$G$2503,$A837,入库单!$X$4:$X$2503,"矿区退库",入库单!$Z$4:$Z$2503,"正常",入库单!$C$4:$C$2503,"&gt;="&amp;账期起,入库单!$C$4:$C$2503,"&lt;="&amp;账期止))</f>
        <v/>
      </c>
      <c r="O837" s="26">
        <f>IF($A837="","",ROUND($N837*$K837,0))</f>
        <v/>
      </c>
      <c r="P837" s="27">
        <f>IF($A837="","",SUMIFS(出库单!$J$4:$J$4003,出库单!$D$4:$D$4003,$A837,出库单!$K$4:$K$4003,"自用消耗",出库单!$U$4:$U$4003,"正常",出库单!$C$4:$C$4003,"&gt;="&amp;账期起,出库单!$C$4:$C$4003,"&lt;="&amp;账期止))</f>
        <v/>
      </c>
      <c r="Q837" s="26">
        <f>IF($A837="","",ROUND(SUMIFS(出库单!$S$4:$S$4003,出库单!$D$4:$D$4003,$A837,出库单!$K$4:$K$4003,"自用消耗",出库单!$U$4:$U$4003,"正常",出库单!$C$4:$C$4003,"&gt;="&amp;账期起,出库单!$C$4:$C$4003,"&lt;="&amp;账期止),0))</f>
        <v/>
      </c>
      <c r="R837" s="27">
        <f>IF($A837="","",SUMIFS(出库单!$J$4:$J$4003,出库单!$D$4:$D$4003,$A837,出库单!$K$4:$K$4003,"对外销售",出库单!$U$4:$U$4003,"正常",出库单!$C$4:$C$4003,"&gt;="&amp;账期起,出库单!$C$4:$C$4003,"&lt;="&amp;账期止))</f>
        <v/>
      </c>
      <c r="S837" s="26">
        <f>IF($A837="","",ROUND(SUMIFS(出库单!$S$4:$S$4003,出库单!$D$4:$D$4003,$A837,出库单!$K$4:$K$4003,"对外销售",出库单!$U$4:$U$4003,"正常",出库单!$C$4:$C$4003,"&gt;="&amp;账期起,出库单!$C$4:$C$4003,"&lt;="&amp;账期止),0))</f>
        <v/>
      </c>
      <c r="T837" s="27">
        <f>IF($A837="","",SUMIFS(出库单!$J$4:$J$4003,出库单!$D$4:$D$4003,$A837,出库单!$K$4:$K$4003,"盘亏",出库单!$U$4:$U$4003,"正常",出库单!$C$4:$C$4003,"&gt;="&amp;账期起,出库单!$C$4:$C$4003,"&lt;="&amp;账期止))</f>
        <v/>
      </c>
      <c r="U837" s="26">
        <f>IF($A837="","",ROUND(SUMIFS(出库单!$S$4:$S$4003,出库单!$D$4:$D$4003,$A837,出库单!$K$4:$K$4003,"盘亏",出库单!$U$4:$U$4003,"正常",出库单!$C$4:$C$4003,"&gt;="&amp;账期起,出库单!$C$4:$C$4003,"&lt;="&amp;账期止),0))</f>
        <v/>
      </c>
      <c r="V837" s="27">
        <f>IF($A837="","",SUMIFS(出库单!$J$4:$J$4003,出库单!$D$4:$D$4003,$A837,出库单!$K$4:$K$4003,"退货给供应商",出库单!$U$4:$U$4003,"正常",出库单!$C$4:$C$4003,"&gt;="&amp;账期起,出库单!$C$4:$C$4003,"&lt;="&amp;账期止))</f>
        <v/>
      </c>
      <c r="W837" s="26">
        <f>IF($A837="","",ROUND(SUMIFS(出库单!$S$4:$S$4003,出库单!$D$4:$D$4003,$A837,出库单!$K$4:$K$4003,"退货给供应商",出库单!$U$4:$U$4003,"正常",出库单!$C$4:$C$4003,"&gt;="&amp;账期起,出库单!$C$4:$C$4003,"&lt;="&amp;账期止),0))</f>
        <v/>
      </c>
      <c r="X837" s="27">
        <f>IF($A837="","",ROUND(N($G837)+$I837+$L837+$N837-$P837-$R837-$T837-$V837,3))</f>
        <v/>
      </c>
      <c r="Y837" s="26">
        <f>IF($A837="","",ROUND(N($H837)+$J837+$M837+$O837-$Q837-$S837-$U837-$W837,0))</f>
        <v/>
      </c>
      <c r="Z837" s="24">
        <f>IF($A837="","",IF(COUNTIFS(入库单!$G$4:$G$2503,$A837,入库单!$Y$4:$Y$2503,"待补价")+COUNTIFS(入库单!$G$4:$G$2503,$A837,入库单!$Y$4:$Y$2503,"暂估")&gt;0,"不可信","可信"))</f>
        <v/>
      </c>
      <c r="AA837" s="24">
        <f>IF($A837="","",IF($X837&lt;-0.001,"※账面负库存，查一下是不是漏记入库",IF(AND(ROUND($X837,3)=0,ABS($Y837)&gt;1),"※数量已经是 0，金额还挂着 "&amp;TEXT($Y837,"#,##0")&amp;" 先令",IF(AND($X837&gt;0,$Y837&lt;=0,$K837=0),"※有数量没金额（这个物料一直没填过进价）",IF($Z837="不可信","△成本含待补价/暂估，毛利仅供参考","")))))</f>
        <v/>
      </c>
    </row>
    <row r="838">
      <c r="A838" s="24">
        <f>IF(物料档案!$A837="","",物料档案!$A837)</f>
        <v/>
      </c>
      <c r="B838" s="24">
        <f>IF($A838="","",IFERROR(VLOOKUP($A838,物料档案!$A$4:$P$1203,3,0),""))</f>
        <v/>
      </c>
      <c r="C838" s="24">
        <f>IF($A838="","",IFERROR(VLOOKUP($A838,物料档案!$A$4:$P$1203,4,0),""))</f>
        <v/>
      </c>
      <c r="D838" s="24">
        <f>IF($A838="","",IFERROR(VLOOKUP($A838,物料档案!$A$4:$P$1203,5,0),""))</f>
        <v/>
      </c>
      <c r="E838" s="24">
        <f>IF($A838="","",IFERROR(VLOOKUP($A838,物料档案!$A$4:$P$1203,2,0),""))</f>
        <v/>
      </c>
      <c r="F838" s="24">
        <f>IF($A838="","",IFERROR(VLOOKUP($A838,物料档案!$A$4:$P$1203,6,0),""))</f>
        <v/>
      </c>
      <c r="G838" s="23" t="n"/>
      <c r="H838" s="32" t="n"/>
      <c r="I838" s="27">
        <f>IF($A838="","",SUMIFS(入库单!$K$4:$K$2503,入库单!$G$4:$G$2503,$A838,入库单!$X$4:$X$2503,"采购入库",入库单!$Z$4:$Z$2503,"正常",入库单!$C$4:$C$2503,"&gt;="&amp;账期起,入库单!$C$4:$C$2503,"&lt;="&amp;账期止))</f>
        <v/>
      </c>
      <c r="J838" s="26">
        <f>IF($A838="","",SUMIFS(入库单!$V$4:$V$2503,入库单!$G$4:$G$2503,$A838,入库单!$X$4:$X$2503,"采购入库",入库单!$Z$4:$Z$2503,"正常",入库单!$C$4:$C$2503,"&gt;="&amp;账期起,入库单!$C$4:$C$2503,"&lt;="&amp;账期止))</f>
        <v/>
      </c>
      <c r="K838" s="26">
        <f>IF($A838="","",IFERROR(ROUND((N($H838)+N($J838))/(N($G838)+N($I838)),2),0))</f>
        <v/>
      </c>
      <c r="L838" s="27">
        <f>IF($A838="","",SUMIFS(入库单!$K$4:$K$2503,入库单!$G$4:$G$2503,$A838,入库单!$X$4:$X$2503,"盘盈",入库单!$Z$4:$Z$2503,"正常",入库单!$C$4:$C$2503,"&gt;="&amp;账期起,入库单!$C$4:$C$2503,"&lt;="&amp;账期止))</f>
        <v/>
      </c>
      <c r="M838" s="26">
        <f>IF($A838="","",ROUND($L838*$K838,0))</f>
        <v/>
      </c>
      <c r="N838" s="27">
        <f>IF($A838="","",SUMIFS(入库单!$K$4:$K$2503,入库单!$G$4:$G$2503,$A838,入库单!$X$4:$X$2503,"矿区退库",入库单!$Z$4:$Z$2503,"正常",入库单!$C$4:$C$2503,"&gt;="&amp;账期起,入库单!$C$4:$C$2503,"&lt;="&amp;账期止))</f>
        <v/>
      </c>
      <c r="O838" s="26">
        <f>IF($A838="","",ROUND($N838*$K838,0))</f>
        <v/>
      </c>
      <c r="P838" s="27">
        <f>IF($A838="","",SUMIFS(出库单!$J$4:$J$4003,出库单!$D$4:$D$4003,$A838,出库单!$K$4:$K$4003,"自用消耗",出库单!$U$4:$U$4003,"正常",出库单!$C$4:$C$4003,"&gt;="&amp;账期起,出库单!$C$4:$C$4003,"&lt;="&amp;账期止))</f>
        <v/>
      </c>
      <c r="Q838" s="26">
        <f>IF($A838="","",ROUND(SUMIFS(出库单!$S$4:$S$4003,出库单!$D$4:$D$4003,$A838,出库单!$K$4:$K$4003,"自用消耗",出库单!$U$4:$U$4003,"正常",出库单!$C$4:$C$4003,"&gt;="&amp;账期起,出库单!$C$4:$C$4003,"&lt;="&amp;账期止),0))</f>
        <v/>
      </c>
      <c r="R838" s="27">
        <f>IF($A838="","",SUMIFS(出库单!$J$4:$J$4003,出库单!$D$4:$D$4003,$A838,出库单!$K$4:$K$4003,"对外销售",出库单!$U$4:$U$4003,"正常",出库单!$C$4:$C$4003,"&gt;="&amp;账期起,出库单!$C$4:$C$4003,"&lt;="&amp;账期止))</f>
        <v/>
      </c>
      <c r="S838" s="26">
        <f>IF($A838="","",ROUND(SUMIFS(出库单!$S$4:$S$4003,出库单!$D$4:$D$4003,$A838,出库单!$K$4:$K$4003,"对外销售",出库单!$U$4:$U$4003,"正常",出库单!$C$4:$C$4003,"&gt;="&amp;账期起,出库单!$C$4:$C$4003,"&lt;="&amp;账期止),0))</f>
        <v/>
      </c>
      <c r="T838" s="27">
        <f>IF($A838="","",SUMIFS(出库单!$J$4:$J$4003,出库单!$D$4:$D$4003,$A838,出库单!$K$4:$K$4003,"盘亏",出库单!$U$4:$U$4003,"正常",出库单!$C$4:$C$4003,"&gt;="&amp;账期起,出库单!$C$4:$C$4003,"&lt;="&amp;账期止))</f>
        <v/>
      </c>
      <c r="U838" s="26">
        <f>IF($A838="","",ROUND(SUMIFS(出库单!$S$4:$S$4003,出库单!$D$4:$D$4003,$A838,出库单!$K$4:$K$4003,"盘亏",出库单!$U$4:$U$4003,"正常",出库单!$C$4:$C$4003,"&gt;="&amp;账期起,出库单!$C$4:$C$4003,"&lt;="&amp;账期止),0))</f>
        <v/>
      </c>
      <c r="V838" s="27">
        <f>IF($A838="","",SUMIFS(出库单!$J$4:$J$4003,出库单!$D$4:$D$4003,$A838,出库单!$K$4:$K$4003,"退货给供应商",出库单!$U$4:$U$4003,"正常",出库单!$C$4:$C$4003,"&gt;="&amp;账期起,出库单!$C$4:$C$4003,"&lt;="&amp;账期止))</f>
        <v/>
      </c>
      <c r="W838" s="26">
        <f>IF($A838="","",ROUND(SUMIFS(出库单!$S$4:$S$4003,出库单!$D$4:$D$4003,$A838,出库单!$K$4:$K$4003,"退货给供应商",出库单!$U$4:$U$4003,"正常",出库单!$C$4:$C$4003,"&gt;="&amp;账期起,出库单!$C$4:$C$4003,"&lt;="&amp;账期止),0))</f>
        <v/>
      </c>
      <c r="X838" s="27">
        <f>IF($A838="","",ROUND(N($G838)+$I838+$L838+$N838-$P838-$R838-$T838-$V838,3))</f>
        <v/>
      </c>
      <c r="Y838" s="26">
        <f>IF($A838="","",ROUND(N($H838)+$J838+$M838+$O838-$Q838-$S838-$U838-$W838,0))</f>
        <v/>
      </c>
      <c r="Z838" s="24">
        <f>IF($A838="","",IF(COUNTIFS(入库单!$G$4:$G$2503,$A838,入库单!$Y$4:$Y$2503,"待补价")+COUNTIFS(入库单!$G$4:$G$2503,$A838,入库单!$Y$4:$Y$2503,"暂估")&gt;0,"不可信","可信"))</f>
        <v/>
      </c>
      <c r="AA838" s="24">
        <f>IF($A838="","",IF($X838&lt;-0.001,"※账面负库存，查一下是不是漏记入库",IF(AND(ROUND($X838,3)=0,ABS($Y838)&gt;1),"※数量已经是 0，金额还挂着 "&amp;TEXT($Y838,"#,##0")&amp;" 先令",IF(AND($X838&gt;0,$Y838&lt;=0,$K838=0),"※有数量没金额（这个物料一直没填过进价）",IF($Z838="不可信","△成本含待补价/暂估，毛利仅供参考","")))))</f>
        <v/>
      </c>
    </row>
    <row r="839">
      <c r="A839" s="24">
        <f>IF(物料档案!$A838="","",物料档案!$A838)</f>
        <v/>
      </c>
      <c r="B839" s="24">
        <f>IF($A839="","",IFERROR(VLOOKUP($A839,物料档案!$A$4:$P$1203,3,0),""))</f>
        <v/>
      </c>
      <c r="C839" s="24">
        <f>IF($A839="","",IFERROR(VLOOKUP($A839,物料档案!$A$4:$P$1203,4,0),""))</f>
        <v/>
      </c>
      <c r="D839" s="24">
        <f>IF($A839="","",IFERROR(VLOOKUP($A839,物料档案!$A$4:$P$1203,5,0),""))</f>
        <v/>
      </c>
      <c r="E839" s="24">
        <f>IF($A839="","",IFERROR(VLOOKUP($A839,物料档案!$A$4:$P$1203,2,0),""))</f>
        <v/>
      </c>
      <c r="F839" s="24">
        <f>IF($A839="","",IFERROR(VLOOKUP($A839,物料档案!$A$4:$P$1203,6,0),""))</f>
        <v/>
      </c>
      <c r="G839" s="23" t="n"/>
      <c r="H839" s="32" t="n"/>
      <c r="I839" s="27">
        <f>IF($A839="","",SUMIFS(入库单!$K$4:$K$2503,入库单!$G$4:$G$2503,$A839,入库单!$X$4:$X$2503,"采购入库",入库单!$Z$4:$Z$2503,"正常",入库单!$C$4:$C$2503,"&gt;="&amp;账期起,入库单!$C$4:$C$2503,"&lt;="&amp;账期止))</f>
        <v/>
      </c>
      <c r="J839" s="26">
        <f>IF($A839="","",SUMIFS(入库单!$V$4:$V$2503,入库单!$G$4:$G$2503,$A839,入库单!$X$4:$X$2503,"采购入库",入库单!$Z$4:$Z$2503,"正常",入库单!$C$4:$C$2503,"&gt;="&amp;账期起,入库单!$C$4:$C$2503,"&lt;="&amp;账期止))</f>
        <v/>
      </c>
      <c r="K839" s="26">
        <f>IF($A839="","",IFERROR(ROUND((N($H839)+N($J839))/(N($G839)+N($I839)),2),0))</f>
        <v/>
      </c>
      <c r="L839" s="27">
        <f>IF($A839="","",SUMIFS(入库单!$K$4:$K$2503,入库单!$G$4:$G$2503,$A839,入库单!$X$4:$X$2503,"盘盈",入库单!$Z$4:$Z$2503,"正常",入库单!$C$4:$C$2503,"&gt;="&amp;账期起,入库单!$C$4:$C$2503,"&lt;="&amp;账期止))</f>
        <v/>
      </c>
      <c r="M839" s="26">
        <f>IF($A839="","",ROUND($L839*$K839,0))</f>
        <v/>
      </c>
      <c r="N839" s="27">
        <f>IF($A839="","",SUMIFS(入库单!$K$4:$K$2503,入库单!$G$4:$G$2503,$A839,入库单!$X$4:$X$2503,"矿区退库",入库单!$Z$4:$Z$2503,"正常",入库单!$C$4:$C$2503,"&gt;="&amp;账期起,入库单!$C$4:$C$2503,"&lt;="&amp;账期止))</f>
        <v/>
      </c>
      <c r="O839" s="26">
        <f>IF($A839="","",ROUND($N839*$K839,0))</f>
        <v/>
      </c>
      <c r="P839" s="27">
        <f>IF($A839="","",SUMIFS(出库单!$J$4:$J$4003,出库单!$D$4:$D$4003,$A839,出库单!$K$4:$K$4003,"自用消耗",出库单!$U$4:$U$4003,"正常",出库单!$C$4:$C$4003,"&gt;="&amp;账期起,出库单!$C$4:$C$4003,"&lt;="&amp;账期止))</f>
        <v/>
      </c>
      <c r="Q839" s="26">
        <f>IF($A839="","",ROUND(SUMIFS(出库单!$S$4:$S$4003,出库单!$D$4:$D$4003,$A839,出库单!$K$4:$K$4003,"自用消耗",出库单!$U$4:$U$4003,"正常",出库单!$C$4:$C$4003,"&gt;="&amp;账期起,出库单!$C$4:$C$4003,"&lt;="&amp;账期止),0))</f>
        <v/>
      </c>
      <c r="R839" s="27">
        <f>IF($A839="","",SUMIFS(出库单!$J$4:$J$4003,出库单!$D$4:$D$4003,$A839,出库单!$K$4:$K$4003,"对外销售",出库单!$U$4:$U$4003,"正常",出库单!$C$4:$C$4003,"&gt;="&amp;账期起,出库单!$C$4:$C$4003,"&lt;="&amp;账期止))</f>
        <v/>
      </c>
      <c r="S839" s="26">
        <f>IF($A839="","",ROUND(SUMIFS(出库单!$S$4:$S$4003,出库单!$D$4:$D$4003,$A839,出库单!$K$4:$K$4003,"对外销售",出库单!$U$4:$U$4003,"正常",出库单!$C$4:$C$4003,"&gt;="&amp;账期起,出库单!$C$4:$C$4003,"&lt;="&amp;账期止),0))</f>
        <v/>
      </c>
      <c r="T839" s="27">
        <f>IF($A839="","",SUMIFS(出库单!$J$4:$J$4003,出库单!$D$4:$D$4003,$A839,出库单!$K$4:$K$4003,"盘亏",出库单!$U$4:$U$4003,"正常",出库单!$C$4:$C$4003,"&gt;="&amp;账期起,出库单!$C$4:$C$4003,"&lt;="&amp;账期止))</f>
        <v/>
      </c>
      <c r="U839" s="26">
        <f>IF($A839="","",ROUND(SUMIFS(出库单!$S$4:$S$4003,出库单!$D$4:$D$4003,$A839,出库单!$K$4:$K$4003,"盘亏",出库单!$U$4:$U$4003,"正常",出库单!$C$4:$C$4003,"&gt;="&amp;账期起,出库单!$C$4:$C$4003,"&lt;="&amp;账期止),0))</f>
        <v/>
      </c>
      <c r="V839" s="27">
        <f>IF($A839="","",SUMIFS(出库单!$J$4:$J$4003,出库单!$D$4:$D$4003,$A839,出库单!$K$4:$K$4003,"退货给供应商",出库单!$U$4:$U$4003,"正常",出库单!$C$4:$C$4003,"&gt;="&amp;账期起,出库单!$C$4:$C$4003,"&lt;="&amp;账期止))</f>
        <v/>
      </c>
      <c r="W839" s="26">
        <f>IF($A839="","",ROUND(SUMIFS(出库单!$S$4:$S$4003,出库单!$D$4:$D$4003,$A839,出库单!$K$4:$K$4003,"退货给供应商",出库单!$U$4:$U$4003,"正常",出库单!$C$4:$C$4003,"&gt;="&amp;账期起,出库单!$C$4:$C$4003,"&lt;="&amp;账期止),0))</f>
        <v/>
      </c>
      <c r="X839" s="27">
        <f>IF($A839="","",ROUND(N($G839)+$I839+$L839+$N839-$P839-$R839-$T839-$V839,3))</f>
        <v/>
      </c>
      <c r="Y839" s="26">
        <f>IF($A839="","",ROUND(N($H839)+$J839+$M839+$O839-$Q839-$S839-$U839-$W839,0))</f>
        <v/>
      </c>
      <c r="Z839" s="24">
        <f>IF($A839="","",IF(COUNTIFS(入库单!$G$4:$G$2503,$A839,入库单!$Y$4:$Y$2503,"待补价")+COUNTIFS(入库单!$G$4:$G$2503,$A839,入库单!$Y$4:$Y$2503,"暂估")&gt;0,"不可信","可信"))</f>
        <v/>
      </c>
      <c r="AA839" s="24">
        <f>IF($A839="","",IF($X839&lt;-0.001,"※账面负库存，查一下是不是漏记入库",IF(AND(ROUND($X839,3)=0,ABS($Y839)&gt;1),"※数量已经是 0，金额还挂着 "&amp;TEXT($Y839,"#,##0")&amp;" 先令",IF(AND($X839&gt;0,$Y839&lt;=0,$K839=0),"※有数量没金额（这个物料一直没填过进价）",IF($Z839="不可信","△成本含待补价/暂估，毛利仅供参考","")))))</f>
        <v/>
      </c>
    </row>
    <row r="840">
      <c r="A840" s="24">
        <f>IF(物料档案!$A839="","",物料档案!$A839)</f>
        <v/>
      </c>
      <c r="B840" s="24">
        <f>IF($A840="","",IFERROR(VLOOKUP($A840,物料档案!$A$4:$P$1203,3,0),""))</f>
        <v/>
      </c>
      <c r="C840" s="24">
        <f>IF($A840="","",IFERROR(VLOOKUP($A840,物料档案!$A$4:$P$1203,4,0),""))</f>
        <v/>
      </c>
      <c r="D840" s="24">
        <f>IF($A840="","",IFERROR(VLOOKUP($A840,物料档案!$A$4:$P$1203,5,0),""))</f>
        <v/>
      </c>
      <c r="E840" s="24">
        <f>IF($A840="","",IFERROR(VLOOKUP($A840,物料档案!$A$4:$P$1203,2,0),""))</f>
        <v/>
      </c>
      <c r="F840" s="24">
        <f>IF($A840="","",IFERROR(VLOOKUP($A840,物料档案!$A$4:$P$1203,6,0),""))</f>
        <v/>
      </c>
      <c r="G840" s="23" t="n"/>
      <c r="H840" s="32" t="n"/>
      <c r="I840" s="27">
        <f>IF($A840="","",SUMIFS(入库单!$K$4:$K$2503,入库单!$G$4:$G$2503,$A840,入库单!$X$4:$X$2503,"采购入库",入库单!$Z$4:$Z$2503,"正常",入库单!$C$4:$C$2503,"&gt;="&amp;账期起,入库单!$C$4:$C$2503,"&lt;="&amp;账期止))</f>
        <v/>
      </c>
      <c r="J840" s="26">
        <f>IF($A840="","",SUMIFS(入库单!$V$4:$V$2503,入库单!$G$4:$G$2503,$A840,入库单!$X$4:$X$2503,"采购入库",入库单!$Z$4:$Z$2503,"正常",入库单!$C$4:$C$2503,"&gt;="&amp;账期起,入库单!$C$4:$C$2503,"&lt;="&amp;账期止))</f>
        <v/>
      </c>
      <c r="K840" s="26">
        <f>IF($A840="","",IFERROR(ROUND((N($H840)+N($J840))/(N($G840)+N($I840)),2),0))</f>
        <v/>
      </c>
      <c r="L840" s="27">
        <f>IF($A840="","",SUMIFS(入库单!$K$4:$K$2503,入库单!$G$4:$G$2503,$A840,入库单!$X$4:$X$2503,"盘盈",入库单!$Z$4:$Z$2503,"正常",入库单!$C$4:$C$2503,"&gt;="&amp;账期起,入库单!$C$4:$C$2503,"&lt;="&amp;账期止))</f>
        <v/>
      </c>
      <c r="M840" s="26">
        <f>IF($A840="","",ROUND($L840*$K840,0))</f>
        <v/>
      </c>
      <c r="N840" s="27">
        <f>IF($A840="","",SUMIFS(入库单!$K$4:$K$2503,入库单!$G$4:$G$2503,$A840,入库单!$X$4:$X$2503,"矿区退库",入库单!$Z$4:$Z$2503,"正常",入库单!$C$4:$C$2503,"&gt;="&amp;账期起,入库单!$C$4:$C$2503,"&lt;="&amp;账期止))</f>
        <v/>
      </c>
      <c r="O840" s="26">
        <f>IF($A840="","",ROUND($N840*$K840,0))</f>
        <v/>
      </c>
      <c r="P840" s="27">
        <f>IF($A840="","",SUMIFS(出库单!$J$4:$J$4003,出库单!$D$4:$D$4003,$A840,出库单!$K$4:$K$4003,"自用消耗",出库单!$U$4:$U$4003,"正常",出库单!$C$4:$C$4003,"&gt;="&amp;账期起,出库单!$C$4:$C$4003,"&lt;="&amp;账期止))</f>
        <v/>
      </c>
      <c r="Q840" s="26">
        <f>IF($A840="","",ROUND(SUMIFS(出库单!$S$4:$S$4003,出库单!$D$4:$D$4003,$A840,出库单!$K$4:$K$4003,"自用消耗",出库单!$U$4:$U$4003,"正常",出库单!$C$4:$C$4003,"&gt;="&amp;账期起,出库单!$C$4:$C$4003,"&lt;="&amp;账期止),0))</f>
        <v/>
      </c>
      <c r="R840" s="27">
        <f>IF($A840="","",SUMIFS(出库单!$J$4:$J$4003,出库单!$D$4:$D$4003,$A840,出库单!$K$4:$K$4003,"对外销售",出库单!$U$4:$U$4003,"正常",出库单!$C$4:$C$4003,"&gt;="&amp;账期起,出库单!$C$4:$C$4003,"&lt;="&amp;账期止))</f>
        <v/>
      </c>
      <c r="S840" s="26">
        <f>IF($A840="","",ROUND(SUMIFS(出库单!$S$4:$S$4003,出库单!$D$4:$D$4003,$A840,出库单!$K$4:$K$4003,"对外销售",出库单!$U$4:$U$4003,"正常",出库单!$C$4:$C$4003,"&gt;="&amp;账期起,出库单!$C$4:$C$4003,"&lt;="&amp;账期止),0))</f>
        <v/>
      </c>
      <c r="T840" s="27">
        <f>IF($A840="","",SUMIFS(出库单!$J$4:$J$4003,出库单!$D$4:$D$4003,$A840,出库单!$K$4:$K$4003,"盘亏",出库单!$U$4:$U$4003,"正常",出库单!$C$4:$C$4003,"&gt;="&amp;账期起,出库单!$C$4:$C$4003,"&lt;="&amp;账期止))</f>
        <v/>
      </c>
      <c r="U840" s="26">
        <f>IF($A840="","",ROUND(SUMIFS(出库单!$S$4:$S$4003,出库单!$D$4:$D$4003,$A840,出库单!$K$4:$K$4003,"盘亏",出库单!$U$4:$U$4003,"正常",出库单!$C$4:$C$4003,"&gt;="&amp;账期起,出库单!$C$4:$C$4003,"&lt;="&amp;账期止),0))</f>
        <v/>
      </c>
      <c r="V840" s="27">
        <f>IF($A840="","",SUMIFS(出库单!$J$4:$J$4003,出库单!$D$4:$D$4003,$A840,出库单!$K$4:$K$4003,"退货给供应商",出库单!$U$4:$U$4003,"正常",出库单!$C$4:$C$4003,"&gt;="&amp;账期起,出库单!$C$4:$C$4003,"&lt;="&amp;账期止))</f>
        <v/>
      </c>
      <c r="W840" s="26">
        <f>IF($A840="","",ROUND(SUMIFS(出库单!$S$4:$S$4003,出库单!$D$4:$D$4003,$A840,出库单!$K$4:$K$4003,"退货给供应商",出库单!$U$4:$U$4003,"正常",出库单!$C$4:$C$4003,"&gt;="&amp;账期起,出库单!$C$4:$C$4003,"&lt;="&amp;账期止),0))</f>
        <v/>
      </c>
      <c r="X840" s="27">
        <f>IF($A840="","",ROUND(N($G840)+$I840+$L840+$N840-$P840-$R840-$T840-$V840,3))</f>
        <v/>
      </c>
      <c r="Y840" s="26">
        <f>IF($A840="","",ROUND(N($H840)+$J840+$M840+$O840-$Q840-$S840-$U840-$W840,0))</f>
        <v/>
      </c>
      <c r="Z840" s="24">
        <f>IF($A840="","",IF(COUNTIFS(入库单!$G$4:$G$2503,$A840,入库单!$Y$4:$Y$2503,"待补价")+COUNTIFS(入库单!$G$4:$G$2503,$A840,入库单!$Y$4:$Y$2503,"暂估")&gt;0,"不可信","可信"))</f>
        <v/>
      </c>
      <c r="AA840" s="24">
        <f>IF($A840="","",IF($X840&lt;-0.001,"※账面负库存，查一下是不是漏记入库",IF(AND(ROUND($X840,3)=0,ABS($Y840)&gt;1),"※数量已经是 0，金额还挂着 "&amp;TEXT($Y840,"#,##0")&amp;" 先令",IF(AND($X840&gt;0,$Y840&lt;=0,$K840=0),"※有数量没金额（这个物料一直没填过进价）",IF($Z840="不可信","△成本含待补价/暂估，毛利仅供参考","")))))</f>
        <v/>
      </c>
    </row>
    <row r="841">
      <c r="A841" s="24">
        <f>IF(物料档案!$A840="","",物料档案!$A840)</f>
        <v/>
      </c>
      <c r="B841" s="24">
        <f>IF($A841="","",IFERROR(VLOOKUP($A841,物料档案!$A$4:$P$1203,3,0),""))</f>
        <v/>
      </c>
      <c r="C841" s="24">
        <f>IF($A841="","",IFERROR(VLOOKUP($A841,物料档案!$A$4:$P$1203,4,0),""))</f>
        <v/>
      </c>
      <c r="D841" s="24">
        <f>IF($A841="","",IFERROR(VLOOKUP($A841,物料档案!$A$4:$P$1203,5,0),""))</f>
        <v/>
      </c>
      <c r="E841" s="24">
        <f>IF($A841="","",IFERROR(VLOOKUP($A841,物料档案!$A$4:$P$1203,2,0),""))</f>
        <v/>
      </c>
      <c r="F841" s="24">
        <f>IF($A841="","",IFERROR(VLOOKUP($A841,物料档案!$A$4:$P$1203,6,0),""))</f>
        <v/>
      </c>
      <c r="G841" s="23" t="n"/>
      <c r="H841" s="32" t="n"/>
      <c r="I841" s="27">
        <f>IF($A841="","",SUMIFS(入库单!$K$4:$K$2503,入库单!$G$4:$G$2503,$A841,入库单!$X$4:$X$2503,"采购入库",入库单!$Z$4:$Z$2503,"正常",入库单!$C$4:$C$2503,"&gt;="&amp;账期起,入库单!$C$4:$C$2503,"&lt;="&amp;账期止))</f>
        <v/>
      </c>
      <c r="J841" s="26">
        <f>IF($A841="","",SUMIFS(入库单!$V$4:$V$2503,入库单!$G$4:$G$2503,$A841,入库单!$X$4:$X$2503,"采购入库",入库单!$Z$4:$Z$2503,"正常",入库单!$C$4:$C$2503,"&gt;="&amp;账期起,入库单!$C$4:$C$2503,"&lt;="&amp;账期止))</f>
        <v/>
      </c>
      <c r="K841" s="26">
        <f>IF($A841="","",IFERROR(ROUND((N($H841)+N($J841))/(N($G841)+N($I841)),2),0))</f>
        <v/>
      </c>
      <c r="L841" s="27">
        <f>IF($A841="","",SUMIFS(入库单!$K$4:$K$2503,入库单!$G$4:$G$2503,$A841,入库单!$X$4:$X$2503,"盘盈",入库单!$Z$4:$Z$2503,"正常",入库单!$C$4:$C$2503,"&gt;="&amp;账期起,入库单!$C$4:$C$2503,"&lt;="&amp;账期止))</f>
        <v/>
      </c>
      <c r="M841" s="26">
        <f>IF($A841="","",ROUND($L841*$K841,0))</f>
        <v/>
      </c>
      <c r="N841" s="27">
        <f>IF($A841="","",SUMIFS(入库单!$K$4:$K$2503,入库单!$G$4:$G$2503,$A841,入库单!$X$4:$X$2503,"矿区退库",入库单!$Z$4:$Z$2503,"正常",入库单!$C$4:$C$2503,"&gt;="&amp;账期起,入库单!$C$4:$C$2503,"&lt;="&amp;账期止))</f>
        <v/>
      </c>
      <c r="O841" s="26">
        <f>IF($A841="","",ROUND($N841*$K841,0))</f>
        <v/>
      </c>
      <c r="P841" s="27">
        <f>IF($A841="","",SUMIFS(出库单!$J$4:$J$4003,出库单!$D$4:$D$4003,$A841,出库单!$K$4:$K$4003,"自用消耗",出库单!$U$4:$U$4003,"正常",出库单!$C$4:$C$4003,"&gt;="&amp;账期起,出库单!$C$4:$C$4003,"&lt;="&amp;账期止))</f>
        <v/>
      </c>
      <c r="Q841" s="26">
        <f>IF($A841="","",ROUND(SUMIFS(出库单!$S$4:$S$4003,出库单!$D$4:$D$4003,$A841,出库单!$K$4:$K$4003,"自用消耗",出库单!$U$4:$U$4003,"正常",出库单!$C$4:$C$4003,"&gt;="&amp;账期起,出库单!$C$4:$C$4003,"&lt;="&amp;账期止),0))</f>
        <v/>
      </c>
      <c r="R841" s="27">
        <f>IF($A841="","",SUMIFS(出库单!$J$4:$J$4003,出库单!$D$4:$D$4003,$A841,出库单!$K$4:$K$4003,"对外销售",出库单!$U$4:$U$4003,"正常",出库单!$C$4:$C$4003,"&gt;="&amp;账期起,出库单!$C$4:$C$4003,"&lt;="&amp;账期止))</f>
        <v/>
      </c>
      <c r="S841" s="26">
        <f>IF($A841="","",ROUND(SUMIFS(出库单!$S$4:$S$4003,出库单!$D$4:$D$4003,$A841,出库单!$K$4:$K$4003,"对外销售",出库单!$U$4:$U$4003,"正常",出库单!$C$4:$C$4003,"&gt;="&amp;账期起,出库单!$C$4:$C$4003,"&lt;="&amp;账期止),0))</f>
        <v/>
      </c>
      <c r="T841" s="27">
        <f>IF($A841="","",SUMIFS(出库单!$J$4:$J$4003,出库单!$D$4:$D$4003,$A841,出库单!$K$4:$K$4003,"盘亏",出库单!$U$4:$U$4003,"正常",出库单!$C$4:$C$4003,"&gt;="&amp;账期起,出库单!$C$4:$C$4003,"&lt;="&amp;账期止))</f>
        <v/>
      </c>
      <c r="U841" s="26">
        <f>IF($A841="","",ROUND(SUMIFS(出库单!$S$4:$S$4003,出库单!$D$4:$D$4003,$A841,出库单!$K$4:$K$4003,"盘亏",出库单!$U$4:$U$4003,"正常",出库单!$C$4:$C$4003,"&gt;="&amp;账期起,出库单!$C$4:$C$4003,"&lt;="&amp;账期止),0))</f>
        <v/>
      </c>
      <c r="V841" s="27">
        <f>IF($A841="","",SUMIFS(出库单!$J$4:$J$4003,出库单!$D$4:$D$4003,$A841,出库单!$K$4:$K$4003,"退货给供应商",出库单!$U$4:$U$4003,"正常",出库单!$C$4:$C$4003,"&gt;="&amp;账期起,出库单!$C$4:$C$4003,"&lt;="&amp;账期止))</f>
        <v/>
      </c>
      <c r="W841" s="26">
        <f>IF($A841="","",ROUND(SUMIFS(出库单!$S$4:$S$4003,出库单!$D$4:$D$4003,$A841,出库单!$K$4:$K$4003,"退货给供应商",出库单!$U$4:$U$4003,"正常",出库单!$C$4:$C$4003,"&gt;="&amp;账期起,出库单!$C$4:$C$4003,"&lt;="&amp;账期止),0))</f>
        <v/>
      </c>
      <c r="X841" s="27">
        <f>IF($A841="","",ROUND(N($G841)+$I841+$L841+$N841-$P841-$R841-$T841-$V841,3))</f>
        <v/>
      </c>
      <c r="Y841" s="26">
        <f>IF($A841="","",ROUND(N($H841)+$J841+$M841+$O841-$Q841-$S841-$U841-$W841,0))</f>
        <v/>
      </c>
      <c r="Z841" s="24">
        <f>IF($A841="","",IF(COUNTIFS(入库单!$G$4:$G$2503,$A841,入库单!$Y$4:$Y$2503,"待补价")+COUNTIFS(入库单!$G$4:$G$2503,$A841,入库单!$Y$4:$Y$2503,"暂估")&gt;0,"不可信","可信"))</f>
        <v/>
      </c>
      <c r="AA841" s="24">
        <f>IF($A841="","",IF($X841&lt;-0.001,"※账面负库存，查一下是不是漏记入库",IF(AND(ROUND($X841,3)=0,ABS($Y841)&gt;1),"※数量已经是 0，金额还挂着 "&amp;TEXT($Y841,"#,##0")&amp;" 先令",IF(AND($X841&gt;0,$Y841&lt;=0,$K841=0),"※有数量没金额（这个物料一直没填过进价）",IF($Z841="不可信","△成本含待补价/暂估，毛利仅供参考","")))))</f>
        <v/>
      </c>
    </row>
    <row r="842">
      <c r="A842" s="24">
        <f>IF(物料档案!$A841="","",物料档案!$A841)</f>
        <v/>
      </c>
      <c r="B842" s="24">
        <f>IF($A842="","",IFERROR(VLOOKUP($A842,物料档案!$A$4:$P$1203,3,0),""))</f>
        <v/>
      </c>
      <c r="C842" s="24">
        <f>IF($A842="","",IFERROR(VLOOKUP($A842,物料档案!$A$4:$P$1203,4,0),""))</f>
        <v/>
      </c>
      <c r="D842" s="24">
        <f>IF($A842="","",IFERROR(VLOOKUP($A842,物料档案!$A$4:$P$1203,5,0),""))</f>
        <v/>
      </c>
      <c r="E842" s="24">
        <f>IF($A842="","",IFERROR(VLOOKUP($A842,物料档案!$A$4:$P$1203,2,0),""))</f>
        <v/>
      </c>
      <c r="F842" s="24">
        <f>IF($A842="","",IFERROR(VLOOKUP($A842,物料档案!$A$4:$P$1203,6,0),""))</f>
        <v/>
      </c>
      <c r="G842" s="23" t="n"/>
      <c r="H842" s="32" t="n"/>
      <c r="I842" s="27">
        <f>IF($A842="","",SUMIFS(入库单!$K$4:$K$2503,入库单!$G$4:$G$2503,$A842,入库单!$X$4:$X$2503,"采购入库",入库单!$Z$4:$Z$2503,"正常",入库单!$C$4:$C$2503,"&gt;="&amp;账期起,入库单!$C$4:$C$2503,"&lt;="&amp;账期止))</f>
        <v/>
      </c>
      <c r="J842" s="26">
        <f>IF($A842="","",SUMIFS(入库单!$V$4:$V$2503,入库单!$G$4:$G$2503,$A842,入库单!$X$4:$X$2503,"采购入库",入库单!$Z$4:$Z$2503,"正常",入库单!$C$4:$C$2503,"&gt;="&amp;账期起,入库单!$C$4:$C$2503,"&lt;="&amp;账期止))</f>
        <v/>
      </c>
      <c r="K842" s="26">
        <f>IF($A842="","",IFERROR(ROUND((N($H842)+N($J842))/(N($G842)+N($I842)),2),0))</f>
        <v/>
      </c>
      <c r="L842" s="27">
        <f>IF($A842="","",SUMIFS(入库单!$K$4:$K$2503,入库单!$G$4:$G$2503,$A842,入库单!$X$4:$X$2503,"盘盈",入库单!$Z$4:$Z$2503,"正常",入库单!$C$4:$C$2503,"&gt;="&amp;账期起,入库单!$C$4:$C$2503,"&lt;="&amp;账期止))</f>
        <v/>
      </c>
      <c r="M842" s="26">
        <f>IF($A842="","",ROUND($L842*$K842,0))</f>
        <v/>
      </c>
      <c r="N842" s="27">
        <f>IF($A842="","",SUMIFS(入库单!$K$4:$K$2503,入库单!$G$4:$G$2503,$A842,入库单!$X$4:$X$2503,"矿区退库",入库单!$Z$4:$Z$2503,"正常",入库单!$C$4:$C$2503,"&gt;="&amp;账期起,入库单!$C$4:$C$2503,"&lt;="&amp;账期止))</f>
        <v/>
      </c>
      <c r="O842" s="26">
        <f>IF($A842="","",ROUND($N842*$K842,0))</f>
        <v/>
      </c>
      <c r="P842" s="27">
        <f>IF($A842="","",SUMIFS(出库单!$J$4:$J$4003,出库单!$D$4:$D$4003,$A842,出库单!$K$4:$K$4003,"自用消耗",出库单!$U$4:$U$4003,"正常",出库单!$C$4:$C$4003,"&gt;="&amp;账期起,出库单!$C$4:$C$4003,"&lt;="&amp;账期止))</f>
        <v/>
      </c>
      <c r="Q842" s="26">
        <f>IF($A842="","",ROUND(SUMIFS(出库单!$S$4:$S$4003,出库单!$D$4:$D$4003,$A842,出库单!$K$4:$K$4003,"自用消耗",出库单!$U$4:$U$4003,"正常",出库单!$C$4:$C$4003,"&gt;="&amp;账期起,出库单!$C$4:$C$4003,"&lt;="&amp;账期止),0))</f>
        <v/>
      </c>
      <c r="R842" s="27">
        <f>IF($A842="","",SUMIFS(出库单!$J$4:$J$4003,出库单!$D$4:$D$4003,$A842,出库单!$K$4:$K$4003,"对外销售",出库单!$U$4:$U$4003,"正常",出库单!$C$4:$C$4003,"&gt;="&amp;账期起,出库单!$C$4:$C$4003,"&lt;="&amp;账期止))</f>
        <v/>
      </c>
      <c r="S842" s="26">
        <f>IF($A842="","",ROUND(SUMIFS(出库单!$S$4:$S$4003,出库单!$D$4:$D$4003,$A842,出库单!$K$4:$K$4003,"对外销售",出库单!$U$4:$U$4003,"正常",出库单!$C$4:$C$4003,"&gt;="&amp;账期起,出库单!$C$4:$C$4003,"&lt;="&amp;账期止),0))</f>
        <v/>
      </c>
      <c r="T842" s="27">
        <f>IF($A842="","",SUMIFS(出库单!$J$4:$J$4003,出库单!$D$4:$D$4003,$A842,出库单!$K$4:$K$4003,"盘亏",出库单!$U$4:$U$4003,"正常",出库单!$C$4:$C$4003,"&gt;="&amp;账期起,出库单!$C$4:$C$4003,"&lt;="&amp;账期止))</f>
        <v/>
      </c>
      <c r="U842" s="26">
        <f>IF($A842="","",ROUND(SUMIFS(出库单!$S$4:$S$4003,出库单!$D$4:$D$4003,$A842,出库单!$K$4:$K$4003,"盘亏",出库单!$U$4:$U$4003,"正常",出库单!$C$4:$C$4003,"&gt;="&amp;账期起,出库单!$C$4:$C$4003,"&lt;="&amp;账期止),0))</f>
        <v/>
      </c>
      <c r="V842" s="27">
        <f>IF($A842="","",SUMIFS(出库单!$J$4:$J$4003,出库单!$D$4:$D$4003,$A842,出库单!$K$4:$K$4003,"退货给供应商",出库单!$U$4:$U$4003,"正常",出库单!$C$4:$C$4003,"&gt;="&amp;账期起,出库单!$C$4:$C$4003,"&lt;="&amp;账期止))</f>
        <v/>
      </c>
      <c r="W842" s="26">
        <f>IF($A842="","",ROUND(SUMIFS(出库单!$S$4:$S$4003,出库单!$D$4:$D$4003,$A842,出库单!$K$4:$K$4003,"退货给供应商",出库单!$U$4:$U$4003,"正常",出库单!$C$4:$C$4003,"&gt;="&amp;账期起,出库单!$C$4:$C$4003,"&lt;="&amp;账期止),0))</f>
        <v/>
      </c>
      <c r="X842" s="27">
        <f>IF($A842="","",ROUND(N($G842)+$I842+$L842+$N842-$P842-$R842-$T842-$V842,3))</f>
        <v/>
      </c>
      <c r="Y842" s="26">
        <f>IF($A842="","",ROUND(N($H842)+$J842+$M842+$O842-$Q842-$S842-$U842-$W842,0))</f>
        <v/>
      </c>
      <c r="Z842" s="24">
        <f>IF($A842="","",IF(COUNTIFS(入库单!$G$4:$G$2503,$A842,入库单!$Y$4:$Y$2503,"待补价")+COUNTIFS(入库单!$G$4:$G$2503,$A842,入库单!$Y$4:$Y$2503,"暂估")&gt;0,"不可信","可信"))</f>
        <v/>
      </c>
      <c r="AA842" s="24">
        <f>IF($A842="","",IF($X842&lt;-0.001,"※账面负库存，查一下是不是漏记入库",IF(AND(ROUND($X842,3)=0,ABS($Y842)&gt;1),"※数量已经是 0，金额还挂着 "&amp;TEXT($Y842,"#,##0")&amp;" 先令",IF(AND($X842&gt;0,$Y842&lt;=0,$K842=0),"※有数量没金额（这个物料一直没填过进价）",IF($Z842="不可信","△成本含待补价/暂估，毛利仅供参考","")))))</f>
        <v/>
      </c>
    </row>
    <row r="843">
      <c r="A843" s="24">
        <f>IF(物料档案!$A842="","",物料档案!$A842)</f>
        <v/>
      </c>
      <c r="B843" s="24">
        <f>IF($A843="","",IFERROR(VLOOKUP($A843,物料档案!$A$4:$P$1203,3,0),""))</f>
        <v/>
      </c>
      <c r="C843" s="24">
        <f>IF($A843="","",IFERROR(VLOOKUP($A843,物料档案!$A$4:$P$1203,4,0),""))</f>
        <v/>
      </c>
      <c r="D843" s="24">
        <f>IF($A843="","",IFERROR(VLOOKUP($A843,物料档案!$A$4:$P$1203,5,0),""))</f>
        <v/>
      </c>
      <c r="E843" s="24">
        <f>IF($A843="","",IFERROR(VLOOKUP($A843,物料档案!$A$4:$P$1203,2,0),""))</f>
        <v/>
      </c>
      <c r="F843" s="24">
        <f>IF($A843="","",IFERROR(VLOOKUP($A843,物料档案!$A$4:$P$1203,6,0),""))</f>
        <v/>
      </c>
      <c r="G843" s="23" t="n"/>
      <c r="H843" s="32" t="n"/>
      <c r="I843" s="27">
        <f>IF($A843="","",SUMIFS(入库单!$K$4:$K$2503,入库单!$G$4:$G$2503,$A843,入库单!$X$4:$X$2503,"采购入库",入库单!$Z$4:$Z$2503,"正常",入库单!$C$4:$C$2503,"&gt;="&amp;账期起,入库单!$C$4:$C$2503,"&lt;="&amp;账期止))</f>
        <v/>
      </c>
      <c r="J843" s="26">
        <f>IF($A843="","",SUMIFS(入库单!$V$4:$V$2503,入库单!$G$4:$G$2503,$A843,入库单!$X$4:$X$2503,"采购入库",入库单!$Z$4:$Z$2503,"正常",入库单!$C$4:$C$2503,"&gt;="&amp;账期起,入库单!$C$4:$C$2503,"&lt;="&amp;账期止))</f>
        <v/>
      </c>
      <c r="K843" s="26">
        <f>IF($A843="","",IFERROR(ROUND((N($H843)+N($J843))/(N($G843)+N($I843)),2),0))</f>
        <v/>
      </c>
      <c r="L843" s="27">
        <f>IF($A843="","",SUMIFS(入库单!$K$4:$K$2503,入库单!$G$4:$G$2503,$A843,入库单!$X$4:$X$2503,"盘盈",入库单!$Z$4:$Z$2503,"正常",入库单!$C$4:$C$2503,"&gt;="&amp;账期起,入库单!$C$4:$C$2503,"&lt;="&amp;账期止))</f>
        <v/>
      </c>
      <c r="M843" s="26">
        <f>IF($A843="","",ROUND($L843*$K843,0))</f>
        <v/>
      </c>
      <c r="N843" s="27">
        <f>IF($A843="","",SUMIFS(入库单!$K$4:$K$2503,入库单!$G$4:$G$2503,$A843,入库单!$X$4:$X$2503,"矿区退库",入库单!$Z$4:$Z$2503,"正常",入库单!$C$4:$C$2503,"&gt;="&amp;账期起,入库单!$C$4:$C$2503,"&lt;="&amp;账期止))</f>
        <v/>
      </c>
      <c r="O843" s="26">
        <f>IF($A843="","",ROUND($N843*$K843,0))</f>
        <v/>
      </c>
      <c r="P843" s="27">
        <f>IF($A843="","",SUMIFS(出库单!$J$4:$J$4003,出库单!$D$4:$D$4003,$A843,出库单!$K$4:$K$4003,"自用消耗",出库单!$U$4:$U$4003,"正常",出库单!$C$4:$C$4003,"&gt;="&amp;账期起,出库单!$C$4:$C$4003,"&lt;="&amp;账期止))</f>
        <v/>
      </c>
      <c r="Q843" s="26">
        <f>IF($A843="","",ROUND(SUMIFS(出库单!$S$4:$S$4003,出库单!$D$4:$D$4003,$A843,出库单!$K$4:$K$4003,"自用消耗",出库单!$U$4:$U$4003,"正常",出库单!$C$4:$C$4003,"&gt;="&amp;账期起,出库单!$C$4:$C$4003,"&lt;="&amp;账期止),0))</f>
        <v/>
      </c>
      <c r="R843" s="27">
        <f>IF($A843="","",SUMIFS(出库单!$J$4:$J$4003,出库单!$D$4:$D$4003,$A843,出库单!$K$4:$K$4003,"对外销售",出库单!$U$4:$U$4003,"正常",出库单!$C$4:$C$4003,"&gt;="&amp;账期起,出库单!$C$4:$C$4003,"&lt;="&amp;账期止))</f>
        <v/>
      </c>
      <c r="S843" s="26">
        <f>IF($A843="","",ROUND(SUMIFS(出库单!$S$4:$S$4003,出库单!$D$4:$D$4003,$A843,出库单!$K$4:$K$4003,"对外销售",出库单!$U$4:$U$4003,"正常",出库单!$C$4:$C$4003,"&gt;="&amp;账期起,出库单!$C$4:$C$4003,"&lt;="&amp;账期止),0))</f>
        <v/>
      </c>
      <c r="T843" s="27">
        <f>IF($A843="","",SUMIFS(出库单!$J$4:$J$4003,出库单!$D$4:$D$4003,$A843,出库单!$K$4:$K$4003,"盘亏",出库单!$U$4:$U$4003,"正常",出库单!$C$4:$C$4003,"&gt;="&amp;账期起,出库单!$C$4:$C$4003,"&lt;="&amp;账期止))</f>
        <v/>
      </c>
      <c r="U843" s="26">
        <f>IF($A843="","",ROUND(SUMIFS(出库单!$S$4:$S$4003,出库单!$D$4:$D$4003,$A843,出库单!$K$4:$K$4003,"盘亏",出库单!$U$4:$U$4003,"正常",出库单!$C$4:$C$4003,"&gt;="&amp;账期起,出库单!$C$4:$C$4003,"&lt;="&amp;账期止),0))</f>
        <v/>
      </c>
      <c r="V843" s="27">
        <f>IF($A843="","",SUMIFS(出库单!$J$4:$J$4003,出库单!$D$4:$D$4003,$A843,出库单!$K$4:$K$4003,"退货给供应商",出库单!$U$4:$U$4003,"正常",出库单!$C$4:$C$4003,"&gt;="&amp;账期起,出库单!$C$4:$C$4003,"&lt;="&amp;账期止))</f>
        <v/>
      </c>
      <c r="W843" s="26">
        <f>IF($A843="","",ROUND(SUMIFS(出库单!$S$4:$S$4003,出库单!$D$4:$D$4003,$A843,出库单!$K$4:$K$4003,"退货给供应商",出库单!$U$4:$U$4003,"正常",出库单!$C$4:$C$4003,"&gt;="&amp;账期起,出库单!$C$4:$C$4003,"&lt;="&amp;账期止),0))</f>
        <v/>
      </c>
      <c r="X843" s="27">
        <f>IF($A843="","",ROUND(N($G843)+$I843+$L843+$N843-$P843-$R843-$T843-$V843,3))</f>
        <v/>
      </c>
      <c r="Y843" s="26">
        <f>IF($A843="","",ROUND(N($H843)+$J843+$M843+$O843-$Q843-$S843-$U843-$W843,0))</f>
        <v/>
      </c>
      <c r="Z843" s="24">
        <f>IF($A843="","",IF(COUNTIFS(入库单!$G$4:$G$2503,$A843,入库单!$Y$4:$Y$2503,"待补价")+COUNTIFS(入库单!$G$4:$G$2503,$A843,入库单!$Y$4:$Y$2503,"暂估")&gt;0,"不可信","可信"))</f>
        <v/>
      </c>
      <c r="AA843" s="24">
        <f>IF($A843="","",IF($X843&lt;-0.001,"※账面负库存，查一下是不是漏记入库",IF(AND(ROUND($X843,3)=0,ABS($Y843)&gt;1),"※数量已经是 0，金额还挂着 "&amp;TEXT($Y843,"#,##0")&amp;" 先令",IF(AND($X843&gt;0,$Y843&lt;=0,$K843=0),"※有数量没金额（这个物料一直没填过进价）",IF($Z843="不可信","△成本含待补价/暂估，毛利仅供参考","")))))</f>
        <v/>
      </c>
    </row>
    <row r="844">
      <c r="A844" s="24">
        <f>IF(物料档案!$A843="","",物料档案!$A843)</f>
        <v/>
      </c>
      <c r="B844" s="24">
        <f>IF($A844="","",IFERROR(VLOOKUP($A844,物料档案!$A$4:$P$1203,3,0),""))</f>
        <v/>
      </c>
      <c r="C844" s="24">
        <f>IF($A844="","",IFERROR(VLOOKUP($A844,物料档案!$A$4:$P$1203,4,0),""))</f>
        <v/>
      </c>
      <c r="D844" s="24">
        <f>IF($A844="","",IFERROR(VLOOKUP($A844,物料档案!$A$4:$P$1203,5,0),""))</f>
        <v/>
      </c>
      <c r="E844" s="24">
        <f>IF($A844="","",IFERROR(VLOOKUP($A844,物料档案!$A$4:$P$1203,2,0),""))</f>
        <v/>
      </c>
      <c r="F844" s="24">
        <f>IF($A844="","",IFERROR(VLOOKUP($A844,物料档案!$A$4:$P$1203,6,0),""))</f>
        <v/>
      </c>
      <c r="G844" s="23" t="n"/>
      <c r="H844" s="32" t="n"/>
      <c r="I844" s="27">
        <f>IF($A844="","",SUMIFS(入库单!$K$4:$K$2503,入库单!$G$4:$G$2503,$A844,入库单!$X$4:$X$2503,"采购入库",入库单!$Z$4:$Z$2503,"正常",入库单!$C$4:$C$2503,"&gt;="&amp;账期起,入库单!$C$4:$C$2503,"&lt;="&amp;账期止))</f>
        <v/>
      </c>
      <c r="J844" s="26">
        <f>IF($A844="","",SUMIFS(入库单!$V$4:$V$2503,入库单!$G$4:$G$2503,$A844,入库单!$X$4:$X$2503,"采购入库",入库单!$Z$4:$Z$2503,"正常",入库单!$C$4:$C$2503,"&gt;="&amp;账期起,入库单!$C$4:$C$2503,"&lt;="&amp;账期止))</f>
        <v/>
      </c>
      <c r="K844" s="26">
        <f>IF($A844="","",IFERROR(ROUND((N($H844)+N($J844))/(N($G844)+N($I844)),2),0))</f>
        <v/>
      </c>
      <c r="L844" s="27">
        <f>IF($A844="","",SUMIFS(入库单!$K$4:$K$2503,入库单!$G$4:$G$2503,$A844,入库单!$X$4:$X$2503,"盘盈",入库单!$Z$4:$Z$2503,"正常",入库单!$C$4:$C$2503,"&gt;="&amp;账期起,入库单!$C$4:$C$2503,"&lt;="&amp;账期止))</f>
        <v/>
      </c>
      <c r="M844" s="26">
        <f>IF($A844="","",ROUND($L844*$K844,0))</f>
        <v/>
      </c>
      <c r="N844" s="27">
        <f>IF($A844="","",SUMIFS(入库单!$K$4:$K$2503,入库单!$G$4:$G$2503,$A844,入库单!$X$4:$X$2503,"矿区退库",入库单!$Z$4:$Z$2503,"正常",入库单!$C$4:$C$2503,"&gt;="&amp;账期起,入库单!$C$4:$C$2503,"&lt;="&amp;账期止))</f>
        <v/>
      </c>
      <c r="O844" s="26">
        <f>IF($A844="","",ROUND($N844*$K844,0))</f>
        <v/>
      </c>
      <c r="P844" s="27">
        <f>IF($A844="","",SUMIFS(出库单!$J$4:$J$4003,出库单!$D$4:$D$4003,$A844,出库单!$K$4:$K$4003,"自用消耗",出库单!$U$4:$U$4003,"正常",出库单!$C$4:$C$4003,"&gt;="&amp;账期起,出库单!$C$4:$C$4003,"&lt;="&amp;账期止))</f>
        <v/>
      </c>
      <c r="Q844" s="26">
        <f>IF($A844="","",ROUND(SUMIFS(出库单!$S$4:$S$4003,出库单!$D$4:$D$4003,$A844,出库单!$K$4:$K$4003,"自用消耗",出库单!$U$4:$U$4003,"正常",出库单!$C$4:$C$4003,"&gt;="&amp;账期起,出库单!$C$4:$C$4003,"&lt;="&amp;账期止),0))</f>
        <v/>
      </c>
      <c r="R844" s="27">
        <f>IF($A844="","",SUMIFS(出库单!$J$4:$J$4003,出库单!$D$4:$D$4003,$A844,出库单!$K$4:$K$4003,"对外销售",出库单!$U$4:$U$4003,"正常",出库单!$C$4:$C$4003,"&gt;="&amp;账期起,出库单!$C$4:$C$4003,"&lt;="&amp;账期止))</f>
        <v/>
      </c>
      <c r="S844" s="26">
        <f>IF($A844="","",ROUND(SUMIFS(出库单!$S$4:$S$4003,出库单!$D$4:$D$4003,$A844,出库单!$K$4:$K$4003,"对外销售",出库单!$U$4:$U$4003,"正常",出库单!$C$4:$C$4003,"&gt;="&amp;账期起,出库单!$C$4:$C$4003,"&lt;="&amp;账期止),0))</f>
        <v/>
      </c>
      <c r="T844" s="27">
        <f>IF($A844="","",SUMIFS(出库单!$J$4:$J$4003,出库单!$D$4:$D$4003,$A844,出库单!$K$4:$K$4003,"盘亏",出库单!$U$4:$U$4003,"正常",出库单!$C$4:$C$4003,"&gt;="&amp;账期起,出库单!$C$4:$C$4003,"&lt;="&amp;账期止))</f>
        <v/>
      </c>
      <c r="U844" s="26">
        <f>IF($A844="","",ROUND(SUMIFS(出库单!$S$4:$S$4003,出库单!$D$4:$D$4003,$A844,出库单!$K$4:$K$4003,"盘亏",出库单!$U$4:$U$4003,"正常",出库单!$C$4:$C$4003,"&gt;="&amp;账期起,出库单!$C$4:$C$4003,"&lt;="&amp;账期止),0))</f>
        <v/>
      </c>
      <c r="V844" s="27">
        <f>IF($A844="","",SUMIFS(出库单!$J$4:$J$4003,出库单!$D$4:$D$4003,$A844,出库单!$K$4:$K$4003,"退货给供应商",出库单!$U$4:$U$4003,"正常",出库单!$C$4:$C$4003,"&gt;="&amp;账期起,出库单!$C$4:$C$4003,"&lt;="&amp;账期止))</f>
        <v/>
      </c>
      <c r="W844" s="26">
        <f>IF($A844="","",ROUND(SUMIFS(出库单!$S$4:$S$4003,出库单!$D$4:$D$4003,$A844,出库单!$K$4:$K$4003,"退货给供应商",出库单!$U$4:$U$4003,"正常",出库单!$C$4:$C$4003,"&gt;="&amp;账期起,出库单!$C$4:$C$4003,"&lt;="&amp;账期止),0))</f>
        <v/>
      </c>
      <c r="X844" s="27">
        <f>IF($A844="","",ROUND(N($G844)+$I844+$L844+$N844-$P844-$R844-$T844-$V844,3))</f>
        <v/>
      </c>
      <c r="Y844" s="26">
        <f>IF($A844="","",ROUND(N($H844)+$J844+$M844+$O844-$Q844-$S844-$U844-$W844,0))</f>
        <v/>
      </c>
      <c r="Z844" s="24">
        <f>IF($A844="","",IF(COUNTIFS(入库单!$G$4:$G$2503,$A844,入库单!$Y$4:$Y$2503,"待补价")+COUNTIFS(入库单!$G$4:$G$2503,$A844,入库单!$Y$4:$Y$2503,"暂估")&gt;0,"不可信","可信"))</f>
        <v/>
      </c>
      <c r="AA844" s="24">
        <f>IF($A844="","",IF($X844&lt;-0.001,"※账面负库存，查一下是不是漏记入库",IF(AND(ROUND($X844,3)=0,ABS($Y844)&gt;1),"※数量已经是 0，金额还挂着 "&amp;TEXT($Y844,"#,##0")&amp;" 先令",IF(AND($X844&gt;0,$Y844&lt;=0,$K844=0),"※有数量没金额（这个物料一直没填过进价）",IF($Z844="不可信","△成本含待补价/暂估，毛利仅供参考","")))))</f>
        <v/>
      </c>
    </row>
    <row r="845">
      <c r="A845" s="24">
        <f>IF(物料档案!$A844="","",物料档案!$A844)</f>
        <v/>
      </c>
      <c r="B845" s="24">
        <f>IF($A845="","",IFERROR(VLOOKUP($A845,物料档案!$A$4:$P$1203,3,0),""))</f>
        <v/>
      </c>
      <c r="C845" s="24">
        <f>IF($A845="","",IFERROR(VLOOKUP($A845,物料档案!$A$4:$P$1203,4,0),""))</f>
        <v/>
      </c>
      <c r="D845" s="24">
        <f>IF($A845="","",IFERROR(VLOOKUP($A845,物料档案!$A$4:$P$1203,5,0),""))</f>
        <v/>
      </c>
      <c r="E845" s="24">
        <f>IF($A845="","",IFERROR(VLOOKUP($A845,物料档案!$A$4:$P$1203,2,0),""))</f>
        <v/>
      </c>
      <c r="F845" s="24">
        <f>IF($A845="","",IFERROR(VLOOKUP($A845,物料档案!$A$4:$P$1203,6,0),""))</f>
        <v/>
      </c>
      <c r="G845" s="23" t="n"/>
      <c r="H845" s="32" t="n"/>
      <c r="I845" s="27">
        <f>IF($A845="","",SUMIFS(入库单!$K$4:$K$2503,入库单!$G$4:$G$2503,$A845,入库单!$X$4:$X$2503,"采购入库",入库单!$Z$4:$Z$2503,"正常",入库单!$C$4:$C$2503,"&gt;="&amp;账期起,入库单!$C$4:$C$2503,"&lt;="&amp;账期止))</f>
        <v/>
      </c>
      <c r="J845" s="26">
        <f>IF($A845="","",SUMIFS(入库单!$V$4:$V$2503,入库单!$G$4:$G$2503,$A845,入库单!$X$4:$X$2503,"采购入库",入库单!$Z$4:$Z$2503,"正常",入库单!$C$4:$C$2503,"&gt;="&amp;账期起,入库单!$C$4:$C$2503,"&lt;="&amp;账期止))</f>
        <v/>
      </c>
      <c r="K845" s="26">
        <f>IF($A845="","",IFERROR(ROUND((N($H845)+N($J845))/(N($G845)+N($I845)),2),0))</f>
        <v/>
      </c>
      <c r="L845" s="27">
        <f>IF($A845="","",SUMIFS(入库单!$K$4:$K$2503,入库单!$G$4:$G$2503,$A845,入库单!$X$4:$X$2503,"盘盈",入库单!$Z$4:$Z$2503,"正常",入库单!$C$4:$C$2503,"&gt;="&amp;账期起,入库单!$C$4:$C$2503,"&lt;="&amp;账期止))</f>
        <v/>
      </c>
      <c r="M845" s="26">
        <f>IF($A845="","",ROUND($L845*$K845,0))</f>
        <v/>
      </c>
      <c r="N845" s="27">
        <f>IF($A845="","",SUMIFS(入库单!$K$4:$K$2503,入库单!$G$4:$G$2503,$A845,入库单!$X$4:$X$2503,"矿区退库",入库单!$Z$4:$Z$2503,"正常",入库单!$C$4:$C$2503,"&gt;="&amp;账期起,入库单!$C$4:$C$2503,"&lt;="&amp;账期止))</f>
        <v/>
      </c>
      <c r="O845" s="26">
        <f>IF($A845="","",ROUND($N845*$K845,0))</f>
        <v/>
      </c>
      <c r="P845" s="27">
        <f>IF($A845="","",SUMIFS(出库单!$J$4:$J$4003,出库单!$D$4:$D$4003,$A845,出库单!$K$4:$K$4003,"自用消耗",出库单!$U$4:$U$4003,"正常",出库单!$C$4:$C$4003,"&gt;="&amp;账期起,出库单!$C$4:$C$4003,"&lt;="&amp;账期止))</f>
        <v/>
      </c>
      <c r="Q845" s="26">
        <f>IF($A845="","",ROUND(SUMIFS(出库单!$S$4:$S$4003,出库单!$D$4:$D$4003,$A845,出库单!$K$4:$K$4003,"自用消耗",出库单!$U$4:$U$4003,"正常",出库单!$C$4:$C$4003,"&gt;="&amp;账期起,出库单!$C$4:$C$4003,"&lt;="&amp;账期止),0))</f>
        <v/>
      </c>
      <c r="R845" s="27">
        <f>IF($A845="","",SUMIFS(出库单!$J$4:$J$4003,出库单!$D$4:$D$4003,$A845,出库单!$K$4:$K$4003,"对外销售",出库单!$U$4:$U$4003,"正常",出库单!$C$4:$C$4003,"&gt;="&amp;账期起,出库单!$C$4:$C$4003,"&lt;="&amp;账期止))</f>
        <v/>
      </c>
      <c r="S845" s="26">
        <f>IF($A845="","",ROUND(SUMIFS(出库单!$S$4:$S$4003,出库单!$D$4:$D$4003,$A845,出库单!$K$4:$K$4003,"对外销售",出库单!$U$4:$U$4003,"正常",出库单!$C$4:$C$4003,"&gt;="&amp;账期起,出库单!$C$4:$C$4003,"&lt;="&amp;账期止),0))</f>
        <v/>
      </c>
      <c r="T845" s="27">
        <f>IF($A845="","",SUMIFS(出库单!$J$4:$J$4003,出库单!$D$4:$D$4003,$A845,出库单!$K$4:$K$4003,"盘亏",出库单!$U$4:$U$4003,"正常",出库单!$C$4:$C$4003,"&gt;="&amp;账期起,出库单!$C$4:$C$4003,"&lt;="&amp;账期止))</f>
        <v/>
      </c>
      <c r="U845" s="26">
        <f>IF($A845="","",ROUND(SUMIFS(出库单!$S$4:$S$4003,出库单!$D$4:$D$4003,$A845,出库单!$K$4:$K$4003,"盘亏",出库单!$U$4:$U$4003,"正常",出库单!$C$4:$C$4003,"&gt;="&amp;账期起,出库单!$C$4:$C$4003,"&lt;="&amp;账期止),0))</f>
        <v/>
      </c>
      <c r="V845" s="27">
        <f>IF($A845="","",SUMIFS(出库单!$J$4:$J$4003,出库单!$D$4:$D$4003,$A845,出库单!$K$4:$K$4003,"退货给供应商",出库单!$U$4:$U$4003,"正常",出库单!$C$4:$C$4003,"&gt;="&amp;账期起,出库单!$C$4:$C$4003,"&lt;="&amp;账期止))</f>
        <v/>
      </c>
      <c r="W845" s="26">
        <f>IF($A845="","",ROUND(SUMIFS(出库单!$S$4:$S$4003,出库单!$D$4:$D$4003,$A845,出库单!$K$4:$K$4003,"退货给供应商",出库单!$U$4:$U$4003,"正常",出库单!$C$4:$C$4003,"&gt;="&amp;账期起,出库单!$C$4:$C$4003,"&lt;="&amp;账期止),0))</f>
        <v/>
      </c>
      <c r="X845" s="27">
        <f>IF($A845="","",ROUND(N($G845)+$I845+$L845+$N845-$P845-$R845-$T845-$V845,3))</f>
        <v/>
      </c>
      <c r="Y845" s="26">
        <f>IF($A845="","",ROUND(N($H845)+$J845+$M845+$O845-$Q845-$S845-$U845-$W845,0))</f>
        <v/>
      </c>
      <c r="Z845" s="24">
        <f>IF($A845="","",IF(COUNTIFS(入库单!$G$4:$G$2503,$A845,入库单!$Y$4:$Y$2503,"待补价")+COUNTIFS(入库单!$G$4:$G$2503,$A845,入库单!$Y$4:$Y$2503,"暂估")&gt;0,"不可信","可信"))</f>
        <v/>
      </c>
      <c r="AA845" s="24">
        <f>IF($A845="","",IF($X845&lt;-0.001,"※账面负库存，查一下是不是漏记入库",IF(AND(ROUND($X845,3)=0,ABS($Y845)&gt;1),"※数量已经是 0，金额还挂着 "&amp;TEXT($Y845,"#,##0")&amp;" 先令",IF(AND($X845&gt;0,$Y845&lt;=0,$K845=0),"※有数量没金额（这个物料一直没填过进价）",IF($Z845="不可信","△成本含待补价/暂估，毛利仅供参考","")))))</f>
        <v/>
      </c>
    </row>
    <row r="846">
      <c r="A846" s="24">
        <f>IF(物料档案!$A845="","",物料档案!$A845)</f>
        <v/>
      </c>
      <c r="B846" s="24">
        <f>IF($A846="","",IFERROR(VLOOKUP($A846,物料档案!$A$4:$P$1203,3,0),""))</f>
        <v/>
      </c>
      <c r="C846" s="24">
        <f>IF($A846="","",IFERROR(VLOOKUP($A846,物料档案!$A$4:$P$1203,4,0),""))</f>
        <v/>
      </c>
      <c r="D846" s="24">
        <f>IF($A846="","",IFERROR(VLOOKUP($A846,物料档案!$A$4:$P$1203,5,0),""))</f>
        <v/>
      </c>
      <c r="E846" s="24">
        <f>IF($A846="","",IFERROR(VLOOKUP($A846,物料档案!$A$4:$P$1203,2,0),""))</f>
        <v/>
      </c>
      <c r="F846" s="24">
        <f>IF($A846="","",IFERROR(VLOOKUP($A846,物料档案!$A$4:$P$1203,6,0),""))</f>
        <v/>
      </c>
      <c r="G846" s="23" t="n"/>
      <c r="H846" s="32" t="n"/>
      <c r="I846" s="27">
        <f>IF($A846="","",SUMIFS(入库单!$K$4:$K$2503,入库单!$G$4:$G$2503,$A846,入库单!$X$4:$X$2503,"采购入库",入库单!$Z$4:$Z$2503,"正常",入库单!$C$4:$C$2503,"&gt;="&amp;账期起,入库单!$C$4:$C$2503,"&lt;="&amp;账期止))</f>
        <v/>
      </c>
      <c r="J846" s="26">
        <f>IF($A846="","",SUMIFS(入库单!$V$4:$V$2503,入库单!$G$4:$G$2503,$A846,入库单!$X$4:$X$2503,"采购入库",入库单!$Z$4:$Z$2503,"正常",入库单!$C$4:$C$2503,"&gt;="&amp;账期起,入库单!$C$4:$C$2503,"&lt;="&amp;账期止))</f>
        <v/>
      </c>
      <c r="K846" s="26">
        <f>IF($A846="","",IFERROR(ROUND((N($H846)+N($J846))/(N($G846)+N($I846)),2),0))</f>
        <v/>
      </c>
      <c r="L846" s="27">
        <f>IF($A846="","",SUMIFS(入库单!$K$4:$K$2503,入库单!$G$4:$G$2503,$A846,入库单!$X$4:$X$2503,"盘盈",入库单!$Z$4:$Z$2503,"正常",入库单!$C$4:$C$2503,"&gt;="&amp;账期起,入库单!$C$4:$C$2503,"&lt;="&amp;账期止))</f>
        <v/>
      </c>
      <c r="M846" s="26">
        <f>IF($A846="","",ROUND($L846*$K846,0))</f>
        <v/>
      </c>
      <c r="N846" s="27">
        <f>IF($A846="","",SUMIFS(入库单!$K$4:$K$2503,入库单!$G$4:$G$2503,$A846,入库单!$X$4:$X$2503,"矿区退库",入库单!$Z$4:$Z$2503,"正常",入库单!$C$4:$C$2503,"&gt;="&amp;账期起,入库单!$C$4:$C$2503,"&lt;="&amp;账期止))</f>
        <v/>
      </c>
      <c r="O846" s="26">
        <f>IF($A846="","",ROUND($N846*$K846,0))</f>
        <v/>
      </c>
      <c r="P846" s="27">
        <f>IF($A846="","",SUMIFS(出库单!$J$4:$J$4003,出库单!$D$4:$D$4003,$A846,出库单!$K$4:$K$4003,"自用消耗",出库单!$U$4:$U$4003,"正常",出库单!$C$4:$C$4003,"&gt;="&amp;账期起,出库单!$C$4:$C$4003,"&lt;="&amp;账期止))</f>
        <v/>
      </c>
      <c r="Q846" s="26">
        <f>IF($A846="","",ROUND(SUMIFS(出库单!$S$4:$S$4003,出库单!$D$4:$D$4003,$A846,出库单!$K$4:$K$4003,"自用消耗",出库单!$U$4:$U$4003,"正常",出库单!$C$4:$C$4003,"&gt;="&amp;账期起,出库单!$C$4:$C$4003,"&lt;="&amp;账期止),0))</f>
        <v/>
      </c>
      <c r="R846" s="27">
        <f>IF($A846="","",SUMIFS(出库单!$J$4:$J$4003,出库单!$D$4:$D$4003,$A846,出库单!$K$4:$K$4003,"对外销售",出库单!$U$4:$U$4003,"正常",出库单!$C$4:$C$4003,"&gt;="&amp;账期起,出库单!$C$4:$C$4003,"&lt;="&amp;账期止))</f>
        <v/>
      </c>
      <c r="S846" s="26">
        <f>IF($A846="","",ROUND(SUMIFS(出库单!$S$4:$S$4003,出库单!$D$4:$D$4003,$A846,出库单!$K$4:$K$4003,"对外销售",出库单!$U$4:$U$4003,"正常",出库单!$C$4:$C$4003,"&gt;="&amp;账期起,出库单!$C$4:$C$4003,"&lt;="&amp;账期止),0))</f>
        <v/>
      </c>
      <c r="T846" s="27">
        <f>IF($A846="","",SUMIFS(出库单!$J$4:$J$4003,出库单!$D$4:$D$4003,$A846,出库单!$K$4:$K$4003,"盘亏",出库单!$U$4:$U$4003,"正常",出库单!$C$4:$C$4003,"&gt;="&amp;账期起,出库单!$C$4:$C$4003,"&lt;="&amp;账期止))</f>
        <v/>
      </c>
      <c r="U846" s="26">
        <f>IF($A846="","",ROUND(SUMIFS(出库单!$S$4:$S$4003,出库单!$D$4:$D$4003,$A846,出库单!$K$4:$K$4003,"盘亏",出库单!$U$4:$U$4003,"正常",出库单!$C$4:$C$4003,"&gt;="&amp;账期起,出库单!$C$4:$C$4003,"&lt;="&amp;账期止),0))</f>
        <v/>
      </c>
      <c r="V846" s="27">
        <f>IF($A846="","",SUMIFS(出库单!$J$4:$J$4003,出库单!$D$4:$D$4003,$A846,出库单!$K$4:$K$4003,"退货给供应商",出库单!$U$4:$U$4003,"正常",出库单!$C$4:$C$4003,"&gt;="&amp;账期起,出库单!$C$4:$C$4003,"&lt;="&amp;账期止))</f>
        <v/>
      </c>
      <c r="W846" s="26">
        <f>IF($A846="","",ROUND(SUMIFS(出库单!$S$4:$S$4003,出库单!$D$4:$D$4003,$A846,出库单!$K$4:$K$4003,"退货给供应商",出库单!$U$4:$U$4003,"正常",出库单!$C$4:$C$4003,"&gt;="&amp;账期起,出库单!$C$4:$C$4003,"&lt;="&amp;账期止),0))</f>
        <v/>
      </c>
      <c r="X846" s="27">
        <f>IF($A846="","",ROUND(N($G846)+$I846+$L846+$N846-$P846-$R846-$T846-$V846,3))</f>
        <v/>
      </c>
      <c r="Y846" s="26">
        <f>IF($A846="","",ROUND(N($H846)+$J846+$M846+$O846-$Q846-$S846-$U846-$W846,0))</f>
        <v/>
      </c>
      <c r="Z846" s="24">
        <f>IF($A846="","",IF(COUNTIFS(入库单!$G$4:$G$2503,$A846,入库单!$Y$4:$Y$2503,"待补价")+COUNTIFS(入库单!$G$4:$G$2503,$A846,入库单!$Y$4:$Y$2503,"暂估")&gt;0,"不可信","可信"))</f>
        <v/>
      </c>
      <c r="AA846" s="24">
        <f>IF($A846="","",IF($X846&lt;-0.001,"※账面负库存，查一下是不是漏记入库",IF(AND(ROUND($X846,3)=0,ABS($Y846)&gt;1),"※数量已经是 0，金额还挂着 "&amp;TEXT($Y846,"#,##0")&amp;" 先令",IF(AND($X846&gt;0,$Y846&lt;=0,$K846=0),"※有数量没金额（这个物料一直没填过进价）",IF($Z846="不可信","△成本含待补价/暂估，毛利仅供参考","")))))</f>
        <v/>
      </c>
    </row>
    <row r="847">
      <c r="A847" s="24">
        <f>IF(物料档案!$A846="","",物料档案!$A846)</f>
        <v/>
      </c>
      <c r="B847" s="24">
        <f>IF($A847="","",IFERROR(VLOOKUP($A847,物料档案!$A$4:$P$1203,3,0),""))</f>
        <v/>
      </c>
      <c r="C847" s="24">
        <f>IF($A847="","",IFERROR(VLOOKUP($A847,物料档案!$A$4:$P$1203,4,0),""))</f>
        <v/>
      </c>
      <c r="D847" s="24">
        <f>IF($A847="","",IFERROR(VLOOKUP($A847,物料档案!$A$4:$P$1203,5,0),""))</f>
        <v/>
      </c>
      <c r="E847" s="24">
        <f>IF($A847="","",IFERROR(VLOOKUP($A847,物料档案!$A$4:$P$1203,2,0),""))</f>
        <v/>
      </c>
      <c r="F847" s="24">
        <f>IF($A847="","",IFERROR(VLOOKUP($A847,物料档案!$A$4:$P$1203,6,0),""))</f>
        <v/>
      </c>
      <c r="G847" s="23" t="n"/>
      <c r="H847" s="32" t="n"/>
      <c r="I847" s="27">
        <f>IF($A847="","",SUMIFS(入库单!$K$4:$K$2503,入库单!$G$4:$G$2503,$A847,入库单!$X$4:$X$2503,"采购入库",入库单!$Z$4:$Z$2503,"正常",入库单!$C$4:$C$2503,"&gt;="&amp;账期起,入库单!$C$4:$C$2503,"&lt;="&amp;账期止))</f>
        <v/>
      </c>
      <c r="J847" s="26">
        <f>IF($A847="","",SUMIFS(入库单!$V$4:$V$2503,入库单!$G$4:$G$2503,$A847,入库单!$X$4:$X$2503,"采购入库",入库单!$Z$4:$Z$2503,"正常",入库单!$C$4:$C$2503,"&gt;="&amp;账期起,入库单!$C$4:$C$2503,"&lt;="&amp;账期止))</f>
        <v/>
      </c>
      <c r="K847" s="26">
        <f>IF($A847="","",IFERROR(ROUND((N($H847)+N($J847))/(N($G847)+N($I847)),2),0))</f>
        <v/>
      </c>
      <c r="L847" s="27">
        <f>IF($A847="","",SUMIFS(入库单!$K$4:$K$2503,入库单!$G$4:$G$2503,$A847,入库单!$X$4:$X$2503,"盘盈",入库单!$Z$4:$Z$2503,"正常",入库单!$C$4:$C$2503,"&gt;="&amp;账期起,入库单!$C$4:$C$2503,"&lt;="&amp;账期止))</f>
        <v/>
      </c>
      <c r="M847" s="26">
        <f>IF($A847="","",ROUND($L847*$K847,0))</f>
        <v/>
      </c>
      <c r="N847" s="27">
        <f>IF($A847="","",SUMIFS(入库单!$K$4:$K$2503,入库单!$G$4:$G$2503,$A847,入库单!$X$4:$X$2503,"矿区退库",入库单!$Z$4:$Z$2503,"正常",入库单!$C$4:$C$2503,"&gt;="&amp;账期起,入库单!$C$4:$C$2503,"&lt;="&amp;账期止))</f>
        <v/>
      </c>
      <c r="O847" s="26">
        <f>IF($A847="","",ROUND($N847*$K847,0))</f>
        <v/>
      </c>
      <c r="P847" s="27">
        <f>IF($A847="","",SUMIFS(出库单!$J$4:$J$4003,出库单!$D$4:$D$4003,$A847,出库单!$K$4:$K$4003,"自用消耗",出库单!$U$4:$U$4003,"正常",出库单!$C$4:$C$4003,"&gt;="&amp;账期起,出库单!$C$4:$C$4003,"&lt;="&amp;账期止))</f>
        <v/>
      </c>
      <c r="Q847" s="26">
        <f>IF($A847="","",ROUND(SUMIFS(出库单!$S$4:$S$4003,出库单!$D$4:$D$4003,$A847,出库单!$K$4:$K$4003,"自用消耗",出库单!$U$4:$U$4003,"正常",出库单!$C$4:$C$4003,"&gt;="&amp;账期起,出库单!$C$4:$C$4003,"&lt;="&amp;账期止),0))</f>
        <v/>
      </c>
      <c r="R847" s="27">
        <f>IF($A847="","",SUMIFS(出库单!$J$4:$J$4003,出库单!$D$4:$D$4003,$A847,出库单!$K$4:$K$4003,"对外销售",出库单!$U$4:$U$4003,"正常",出库单!$C$4:$C$4003,"&gt;="&amp;账期起,出库单!$C$4:$C$4003,"&lt;="&amp;账期止))</f>
        <v/>
      </c>
      <c r="S847" s="26">
        <f>IF($A847="","",ROUND(SUMIFS(出库单!$S$4:$S$4003,出库单!$D$4:$D$4003,$A847,出库单!$K$4:$K$4003,"对外销售",出库单!$U$4:$U$4003,"正常",出库单!$C$4:$C$4003,"&gt;="&amp;账期起,出库单!$C$4:$C$4003,"&lt;="&amp;账期止),0))</f>
        <v/>
      </c>
      <c r="T847" s="27">
        <f>IF($A847="","",SUMIFS(出库单!$J$4:$J$4003,出库单!$D$4:$D$4003,$A847,出库单!$K$4:$K$4003,"盘亏",出库单!$U$4:$U$4003,"正常",出库单!$C$4:$C$4003,"&gt;="&amp;账期起,出库单!$C$4:$C$4003,"&lt;="&amp;账期止))</f>
        <v/>
      </c>
      <c r="U847" s="26">
        <f>IF($A847="","",ROUND(SUMIFS(出库单!$S$4:$S$4003,出库单!$D$4:$D$4003,$A847,出库单!$K$4:$K$4003,"盘亏",出库单!$U$4:$U$4003,"正常",出库单!$C$4:$C$4003,"&gt;="&amp;账期起,出库单!$C$4:$C$4003,"&lt;="&amp;账期止),0))</f>
        <v/>
      </c>
      <c r="V847" s="27">
        <f>IF($A847="","",SUMIFS(出库单!$J$4:$J$4003,出库单!$D$4:$D$4003,$A847,出库单!$K$4:$K$4003,"退货给供应商",出库单!$U$4:$U$4003,"正常",出库单!$C$4:$C$4003,"&gt;="&amp;账期起,出库单!$C$4:$C$4003,"&lt;="&amp;账期止))</f>
        <v/>
      </c>
      <c r="W847" s="26">
        <f>IF($A847="","",ROUND(SUMIFS(出库单!$S$4:$S$4003,出库单!$D$4:$D$4003,$A847,出库单!$K$4:$K$4003,"退货给供应商",出库单!$U$4:$U$4003,"正常",出库单!$C$4:$C$4003,"&gt;="&amp;账期起,出库单!$C$4:$C$4003,"&lt;="&amp;账期止),0))</f>
        <v/>
      </c>
      <c r="X847" s="27">
        <f>IF($A847="","",ROUND(N($G847)+$I847+$L847+$N847-$P847-$R847-$T847-$V847,3))</f>
        <v/>
      </c>
      <c r="Y847" s="26">
        <f>IF($A847="","",ROUND(N($H847)+$J847+$M847+$O847-$Q847-$S847-$U847-$W847,0))</f>
        <v/>
      </c>
      <c r="Z847" s="24">
        <f>IF($A847="","",IF(COUNTIFS(入库单!$G$4:$G$2503,$A847,入库单!$Y$4:$Y$2503,"待补价")+COUNTIFS(入库单!$G$4:$G$2503,$A847,入库单!$Y$4:$Y$2503,"暂估")&gt;0,"不可信","可信"))</f>
        <v/>
      </c>
      <c r="AA847" s="24">
        <f>IF($A847="","",IF($X847&lt;-0.001,"※账面负库存，查一下是不是漏记入库",IF(AND(ROUND($X847,3)=0,ABS($Y847)&gt;1),"※数量已经是 0，金额还挂着 "&amp;TEXT($Y847,"#,##0")&amp;" 先令",IF(AND($X847&gt;0,$Y847&lt;=0,$K847=0),"※有数量没金额（这个物料一直没填过进价）",IF($Z847="不可信","△成本含待补价/暂估，毛利仅供参考","")))))</f>
        <v/>
      </c>
    </row>
    <row r="848">
      <c r="A848" s="24">
        <f>IF(物料档案!$A847="","",物料档案!$A847)</f>
        <v/>
      </c>
      <c r="B848" s="24">
        <f>IF($A848="","",IFERROR(VLOOKUP($A848,物料档案!$A$4:$P$1203,3,0),""))</f>
        <v/>
      </c>
      <c r="C848" s="24">
        <f>IF($A848="","",IFERROR(VLOOKUP($A848,物料档案!$A$4:$P$1203,4,0),""))</f>
        <v/>
      </c>
      <c r="D848" s="24">
        <f>IF($A848="","",IFERROR(VLOOKUP($A848,物料档案!$A$4:$P$1203,5,0),""))</f>
        <v/>
      </c>
      <c r="E848" s="24">
        <f>IF($A848="","",IFERROR(VLOOKUP($A848,物料档案!$A$4:$P$1203,2,0),""))</f>
        <v/>
      </c>
      <c r="F848" s="24">
        <f>IF($A848="","",IFERROR(VLOOKUP($A848,物料档案!$A$4:$P$1203,6,0),""))</f>
        <v/>
      </c>
      <c r="G848" s="23" t="n"/>
      <c r="H848" s="32" t="n"/>
      <c r="I848" s="27">
        <f>IF($A848="","",SUMIFS(入库单!$K$4:$K$2503,入库单!$G$4:$G$2503,$A848,入库单!$X$4:$X$2503,"采购入库",入库单!$Z$4:$Z$2503,"正常",入库单!$C$4:$C$2503,"&gt;="&amp;账期起,入库单!$C$4:$C$2503,"&lt;="&amp;账期止))</f>
        <v/>
      </c>
      <c r="J848" s="26">
        <f>IF($A848="","",SUMIFS(入库单!$V$4:$V$2503,入库单!$G$4:$G$2503,$A848,入库单!$X$4:$X$2503,"采购入库",入库单!$Z$4:$Z$2503,"正常",入库单!$C$4:$C$2503,"&gt;="&amp;账期起,入库单!$C$4:$C$2503,"&lt;="&amp;账期止))</f>
        <v/>
      </c>
      <c r="K848" s="26">
        <f>IF($A848="","",IFERROR(ROUND((N($H848)+N($J848))/(N($G848)+N($I848)),2),0))</f>
        <v/>
      </c>
      <c r="L848" s="27">
        <f>IF($A848="","",SUMIFS(入库单!$K$4:$K$2503,入库单!$G$4:$G$2503,$A848,入库单!$X$4:$X$2503,"盘盈",入库单!$Z$4:$Z$2503,"正常",入库单!$C$4:$C$2503,"&gt;="&amp;账期起,入库单!$C$4:$C$2503,"&lt;="&amp;账期止))</f>
        <v/>
      </c>
      <c r="M848" s="26">
        <f>IF($A848="","",ROUND($L848*$K848,0))</f>
        <v/>
      </c>
      <c r="N848" s="27">
        <f>IF($A848="","",SUMIFS(入库单!$K$4:$K$2503,入库单!$G$4:$G$2503,$A848,入库单!$X$4:$X$2503,"矿区退库",入库单!$Z$4:$Z$2503,"正常",入库单!$C$4:$C$2503,"&gt;="&amp;账期起,入库单!$C$4:$C$2503,"&lt;="&amp;账期止))</f>
        <v/>
      </c>
      <c r="O848" s="26">
        <f>IF($A848="","",ROUND($N848*$K848,0))</f>
        <v/>
      </c>
      <c r="P848" s="27">
        <f>IF($A848="","",SUMIFS(出库单!$J$4:$J$4003,出库单!$D$4:$D$4003,$A848,出库单!$K$4:$K$4003,"自用消耗",出库单!$U$4:$U$4003,"正常",出库单!$C$4:$C$4003,"&gt;="&amp;账期起,出库单!$C$4:$C$4003,"&lt;="&amp;账期止))</f>
        <v/>
      </c>
      <c r="Q848" s="26">
        <f>IF($A848="","",ROUND(SUMIFS(出库单!$S$4:$S$4003,出库单!$D$4:$D$4003,$A848,出库单!$K$4:$K$4003,"自用消耗",出库单!$U$4:$U$4003,"正常",出库单!$C$4:$C$4003,"&gt;="&amp;账期起,出库单!$C$4:$C$4003,"&lt;="&amp;账期止),0))</f>
        <v/>
      </c>
      <c r="R848" s="27">
        <f>IF($A848="","",SUMIFS(出库单!$J$4:$J$4003,出库单!$D$4:$D$4003,$A848,出库单!$K$4:$K$4003,"对外销售",出库单!$U$4:$U$4003,"正常",出库单!$C$4:$C$4003,"&gt;="&amp;账期起,出库单!$C$4:$C$4003,"&lt;="&amp;账期止))</f>
        <v/>
      </c>
      <c r="S848" s="26">
        <f>IF($A848="","",ROUND(SUMIFS(出库单!$S$4:$S$4003,出库单!$D$4:$D$4003,$A848,出库单!$K$4:$K$4003,"对外销售",出库单!$U$4:$U$4003,"正常",出库单!$C$4:$C$4003,"&gt;="&amp;账期起,出库单!$C$4:$C$4003,"&lt;="&amp;账期止),0))</f>
        <v/>
      </c>
      <c r="T848" s="27">
        <f>IF($A848="","",SUMIFS(出库单!$J$4:$J$4003,出库单!$D$4:$D$4003,$A848,出库单!$K$4:$K$4003,"盘亏",出库单!$U$4:$U$4003,"正常",出库单!$C$4:$C$4003,"&gt;="&amp;账期起,出库单!$C$4:$C$4003,"&lt;="&amp;账期止))</f>
        <v/>
      </c>
      <c r="U848" s="26">
        <f>IF($A848="","",ROUND(SUMIFS(出库单!$S$4:$S$4003,出库单!$D$4:$D$4003,$A848,出库单!$K$4:$K$4003,"盘亏",出库单!$U$4:$U$4003,"正常",出库单!$C$4:$C$4003,"&gt;="&amp;账期起,出库单!$C$4:$C$4003,"&lt;="&amp;账期止),0))</f>
        <v/>
      </c>
      <c r="V848" s="27">
        <f>IF($A848="","",SUMIFS(出库单!$J$4:$J$4003,出库单!$D$4:$D$4003,$A848,出库单!$K$4:$K$4003,"退货给供应商",出库单!$U$4:$U$4003,"正常",出库单!$C$4:$C$4003,"&gt;="&amp;账期起,出库单!$C$4:$C$4003,"&lt;="&amp;账期止))</f>
        <v/>
      </c>
      <c r="W848" s="26">
        <f>IF($A848="","",ROUND(SUMIFS(出库单!$S$4:$S$4003,出库单!$D$4:$D$4003,$A848,出库单!$K$4:$K$4003,"退货给供应商",出库单!$U$4:$U$4003,"正常",出库单!$C$4:$C$4003,"&gt;="&amp;账期起,出库单!$C$4:$C$4003,"&lt;="&amp;账期止),0))</f>
        <v/>
      </c>
      <c r="X848" s="27">
        <f>IF($A848="","",ROUND(N($G848)+$I848+$L848+$N848-$P848-$R848-$T848-$V848,3))</f>
        <v/>
      </c>
      <c r="Y848" s="26">
        <f>IF($A848="","",ROUND(N($H848)+$J848+$M848+$O848-$Q848-$S848-$U848-$W848,0))</f>
        <v/>
      </c>
      <c r="Z848" s="24">
        <f>IF($A848="","",IF(COUNTIFS(入库单!$G$4:$G$2503,$A848,入库单!$Y$4:$Y$2503,"待补价")+COUNTIFS(入库单!$G$4:$G$2503,$A848,入库单!$Y$4:$Y$2503,"暂估")&gt;0,"不可信","可信"))</f>
        <v/>
      </c>
      <c r="AA848" s="24">
        <f>IF($A848="","",IF($X848&lt;-0.001,"※账面负库存，查一下是不是漏记入库",IF(AND(ROUND($X848,3)=0,ABS($Y848)&gt;1),"※数量已经是 0，金额还挂着 "&amp;TEXT($Y848,"#,##0")&amp;" 先令",IF(AND($X848&gt;0,$Y848&lt;=0,$K848=0),"※有数量没金额（这个物料一直没填过进价）",IF($Z848="不可信","△成本含待补价/暂估，毛利仅供参考","")))))</f>
        <v/>
      </c>
    </row>
    <row r="849">
      <c r="A849" s="24">
        <f>IF(物料档案!$A848="","",物料档案!$A848)</f>
        <v/>
      </c>
      <c r="B849" s="24">
        <f>IF($A849="","",IFERROR(VLOOKUP($A849,物料档案!$A$4:$P$1203,3,0),""))</f>
        <v/>
      </c>
      <c r="C849" s="24">
        <f>IF($A849="","",IFERROR(VLOOKUP($A849,物料档案!$A$4:$P$1203,4,0),""))</f>
        <v/>
      </c>
      <c r="D849" s="24">
        <f>IF($A849="","",IFERROR(VLOOKUP($A849,物料档案!$A$4:$P$1203,5,0),""))</f>
        <v/>
      </c>
      <c r="E849" s="24">
        <f>IF($A849="","",IFERROR(VLOOKUP($A849,物料档案!$A$4:$P$1203,2,0),""))</f>
        <v/>
      </c>
      <c r="F849" s="24">
        <f>IF($A849="","",IFERROR(VLOOKUP($A849,物料档案!$A$4:$P$1203,6,0),""))</f>
        <v/>
      </c>
      <c r="G849" s="23" t="n"/>
      <c r="H849" s="32" t="n"/>
      <c r="I849" s="27">
        <f>IF($A849="","",SUMIFS(入库单!$K$4:$K$2503,入库单!$G$4:$G$2503,$A849,入库单!$X$4:$X$2503,"采购入库",入库单!$Z$4:$Z$2503,"正常",入库单!$C$4:$C$2503,"&gt;="&amp;账期起,入库单!$C$4:$C$2503,"&lt;="&amp;账期止))</f>
        <v/>
      </c>
      <c r="J849" s="26">
        <f>IF($A849="","",SUMIFS(入库单!$V$4:$V$2503,入库单!$G$4:$G$2503,$A849,入库单!$X$4:$X$2503,"采购入库",入库单!$Z$4:$Z$2503,"正常",入库单!$C$4:$C$2503,"&gt;="&amp;账期起,入库单!$C$4:$C$2503,"&lt;="&amp;账期止))</f>
        <v/>
      </c>
      <c r="K849" s="26">
        <f>IF($A849="","",IFERROR(ROUND((N($H849)+N($J849))/(N($G849)+N($I849)),2),0))</f>
        <v/>
      </c>
      <c r="L849" s="27">
        <f>IF($A849="","",SUMIFS(入库单!$K$4:$K$2503,入库单!$G$4:$G$2503,$A849,入库单!$X$4:$X$2503,"盘盈",入库单!$Z$4:$Z$2503,"正常",入库单!$C$4:$C$2503,"&gt;="&amp;账期起,入库单!$C$4:$C$2503,"&lt;="&amp;账期止))</f>
        <v/>
      </c>
      <c r="M849" s="26">
        <f>IF($A849="","",ROUND($L849*$K849,0))</f>
        <v/>
      </c>
      <c r="N849" s="27">
        <f>IF($A849="","",SUMIFS(入库单!$K$4:$K$2503,入库单!$G$4:$G$2503,$A849,入库单!$X$4:$X$2503,"矿区退库",入库单!$Z$4:$Z$2503,"正常",入库单!$C$4:$C$2503,"&gt;="&amp;账期起,入库单!$C$4:$C$2503,"&lt;="&amp;账期止))</f>
        <v/>
      </c>
      <c r="O849" s="26">
        <f>IF($A849="","",ROUND($N849*$K849,0))</f>
        <v/>
      </c>
      <c r="P849" s="27">
        <f>IF($A849="","",SUMIFS(出库单!$J$4:$J$4003,出库单!$D$4:$D$4003,$A849,出库单!$K$4:$K$4003,"自用消耗",出库单!$U$4:$U$4003,"正常",出库单!$C$4:$C$4003,"&gt;="&amp;账期起,出库单!$C$4:$C$4003,"&lt;="&amp;账期止))</f>
        <v/>
      </c>
      <c r="Q849" s="26">
        <f>IF($A849="","",ROUND(SUMIFS(出库单!$S$4:$S$4003,出库单!$D$4:$D$4003,$A849,出库单!$K$4:$K$4003,"自用消耗",出库单!$U$4:$U$4003,"正常",出库单!$C$4:$C$4003,"&gt;="&amp;账期起,出库单!$C$4:$C$4003,"&lt;="&amp;账期止),0))</f>
        <v/>
      </c>
      <c r="R849" s="27">
        <f>IF($A849="","",SUMIFS(出库单!$J$4:$J$4003,出库单!$D$4:$D$4003,$A849,出库单!$K$4:$K$4003,"对外销售",出库单!$U$4:$U$4003,"正常",出库单!$C$4:$C$4003,"&gt;="&amp;账期起,出库单!$C$4:$C$4003,"&lt;="&amp;账期止))</f>
        <v/>
      </c>
      <c r="S849" s="26">
        <f>IF($A849="","",ROUND(SUMIFS(出库单!$S$4:$S$4003,出库单!$D$4:$D$4003,$A849,出库单!$K$4:$K$4003,"对外销售",出库单!$U$4:$U$4003,"正常",出库单!$C$4:$C$4003,"&gt;="&amp;账期起,出库单!$C$4:$C$4003,"&lt;="&amp;账期止),0))</f>
        <v/>
      </c>
      <c r="T849" s="27">
        <f>IF($A849="","",SUMIFS(出库单!$J$4:$J$4003,出库单!$D$4:$D$4003,$A849,出库单!$K$4:$K$4003,"盘亏",出库单!$U$4:$U$4003,"正常",出库单!$C$4:$C$4003,"&gt;="&amp;账期起,出库单!$C$4:$C$4003,"&lt;="&amp;账期止))</f>
        <v/>
      </c>
      <c r="U849" s="26">
        <f>IF($A849="","",ROUND(SUMIFS(出库单!$S$4:$S$4003,出库单!$D$4:$D$4003,$A849,出库单!$K$4:$K$4003,"盘亏",出库单!$U$4:$U$4003,"正常",出库单!$C$4:$C$4003,"&gt;="&amp;账期起,出库单!$C$4:$C$4003,"&lt;="&amp;账期止),0))</f>
        <v/>
      </c>
      <c r="V849" s="27">
        <f>IF($A849="","",SUMIFS(出库单!$J$4:$J$4003,出库单!$D$4:$D$4003,$A849,出库单!$K$4:$K$4003,"退货给供应商",出库单!$U$4:$U$4003,"正常",出库单!$C$4:$C$4003,"&gt;="&amp;账期起,出库单!$C$4:$C$4003,"&lt;="&amp;账期止))</f>
        <v/>
      </c>
      <c r="W849" s="26">
        <f>IF($A849="","",ROUND(SUMIFS(出库单!$S$4:$S$4003,出库单!$D$4:$D$4003,$A849,出库单!$K$4:$K$4003,"退货给供应商",出库单!$U$4:$U$4003,"正常",出库单!$C$4:$C$4003,"&gt;="&amp;账期起,出库单!$C$4:$C$4003,"&lt;="&amp;账期止),0))</f>
        <v/>
      </c>
      <c r="X849" s="27">
        <f>IF($A849="","",ROUND(N($G849)+$I849+$L849+$N849-$P849-$R849-$T849-$V849,3))</f>
        <v/>
      </c>
      <c r="Y849" s="26">
        <f>IF($A849="","",ROUND(N($H849)+$J849+$M849+$O849-$Q849-$S849-$U849-$W849,0))</f>
        <v/>
      </c>
      <c r="Z849" s="24">
        <f>IF($A849="","",IF(COUNTIFS(入库单!$G$4:$G$2503,$A849,入库单!$Y$4:$Y$2503,"待补价")+COUNTIFS(入库单!$G$4:$G$2503,$A849,入库单!$Y$4:$Y$2503,"暂估")&gt;0,"不可信","可信"))</f>
        <v/>
      </c>
      <c r="AA849" s="24">
        <f>IF($A849="","",IF($X849&lt;-0.001,"※账面负库存，查一下是不是漏记入库",IF(AND(ROUND($X849,3)=0,ABS($Y849)&gt;1),"※数量已经是 0，金额还挂着 "&amp;TEXT($Y849,"#,##0")&amp;" 先令",IF(AND($X849&gt;0,$Y849&lt;=0,$K849=0),"※有数量没金额（这个物料一直没填过进价）",IF($Z849="不可信","△成本含待补价/暂估，毛利仅供参考","")))))</f>
        <v/>
      </c>
    </row>
    <row r="850">
      <c r="A850" s="24">
        <f>IF(物料档案!$A849="","",物料档案!$A849)</f>
        <v/>
      </c>
      <c r="B850" s="24">
        <f>IF($A850="","",IFERROR(VLOOKUP($A850,物料档案!$A$4:$P$1203,3,0),""))</f>
        <v/>
      </c>
      <c r="C850" s="24">
        <f>IF($A850="","",IFERROR(VLOOKUP($A850,物料档案!$A$4:$P$1203,4,0),""))</f>
        <v/>
      </c>
      <c r="D850" s="24">
        <f>IF($A850="","",IFERROR(VLOOKUP($A850,物料档案!$A$4:$P$1203,5,0),""))</f>
        <v/>
      </c>
      <c r="E850" s="24">
        <f>IF($A850="","",IFERROR(VLOOKUP($A850,物料档案!$A$4:$P$1203,2,0),""))</f>
        <v/>
      </c>
      <c r="F850" s="24">
        <f>IF($A850="","",IFERROR(VLOOKUP($A850,物料档案!$A$4:$P$1203,6,0),""))</f>
        <v/>
      </c>
      <c r="G850" s="23" t="n"/>
      <c r="H850" s="32" t="n"/>
      <c r="I850" s="27">
        <f>IF($A850="","",SUMIFS(入库单!$K$4:$K$2503,入库单!$G$4:$G$2503,$A850,入库单!$X$4:$X$2503,"采购入库",入库单!$Z$4:$Z$2503,"正常",入库单!$C$4:$C$2503,"&gt;="&amp;账期起,入库单!$C$4:$C$2503,"&lt;="&amp;账期止))</f>
        <v/>
      </c>
      <c r="J850" s="26">
        <f>IF($A850="","",SUMIFS(入库单!$V$4:$V$2503,入库单!$G$4:$G$2503,$A850,入库单!$X$4:$X$2503,"采购入库",入库单!$Z$4:$Z$2503,"正常",入库单!$C$4:$C$2503,"&gt;="&amp;账期起,入库单!$C$4:$C$2503,"&lt;="&amp;账期止))</f>
        <v/>
      </c>
      <c r="K850" s="26">
        <f>IF($A850="","",IFERROR(ROUND((N($H850)+N($J850))/(N($G850)+N($I850)),2),0))</f>
        <v/>
      </c>
      <c r="L850" s="27">
        <f>IF($A850="","",SUMIFS(入库单!$K$4:$K$2503,入库单!$G$4:$G$2503,$A850,入库单!$X$4:$X$2503,"盘盈",入库单!$Z$4:$Z$2503,"正常",入库单!$C$4:$C$2503,"&gt;="&amp;账期起,入库单!$C$4:$C$2503,"&lt;="&amp;账期止))</f>
        <v/>
      </c>
      <c r="M850" s="26">
        <f>IF($A850="","",ROUND($L850*$K850,0))</f>
        <v/>
      </c>
      <c r="N850" s="27">
        <f>IF($A850="","",SUMIFS(入库单!$K$4:$K$2503,入库单!$G$4:$G$2503,$A850,入库单!$X$4:$X$2503,"矿区退库",入库单!$Z$4:$Z$2503,"正常",入库单!$C$4:$C$2503,"&gt;="&amp;账期起,入库单!$C$4:$C$2503,"&lt;="&amp;账期止))</f>
        <v/>
      </c>
      <c r="O850" s="26">
        <f>IF($A850="","",ROUND($N850*$K850,0))</f>
        <v/>
      </c>
      <c r="P850" s="27">
        <f>IF($A850="","",SUMIFS(出库单!$J$4:$J$4003,出库单!$D$4:$D$4003,$A850,出库单!$K$4:$K$4003,"自用消耗",出库单!$U$4:$U$4003,"正常",出库单!$C$4:$C$4003,"&gt;="&amp;账期起,出库单!$C$4:$C$4003,"&lt;="&amp;账期止))</f>
        <v/>
      </c>
      <c r="Q850" s="26">
        <f>IF($A850="","",ROUND(SUMIFS(出库单!$S$4:$S$4003,出库单!$D$4:$D$4003,$A850,出库单!$K$4:$K$4003,"自用消耗",出库单!$U$4:$U$4003,"正常",出库单!$C$4:$C$4003,"&gt;="&amp;账期起,出库单!$C$4:$C$4003,"&lt;="&amp;账期止),0))</f>
        <v/>
      </c>
      <c r="R850" s="27">
        <f>IF($A850="","",SUMIFS(出库单!$J$4:$J$4003,出库单!$D$4:$D$4003,$A850,出库单!$K$4:$K$4003,"对外销售",出库单!$U$4:$U$4003,"正常",出库单!$C$4:$C$4003,"&gt;="&amp;账期起,出库单!$C$4:$C$4003,"&lt;="&amp;账期止))</f>
        <v/>
      </c>
      <c r="S850" s="26">
        <f>IF($A850="","",ROUND(SUMIFS(出库单!$S$4:$S$4003,出库单!$D$4:$D$4003,$A850,出库单!$K$4:$K$4003,"对外销售",出库单!$U$4:$U$4003,"正常",出库单!$C$4:$C$4003,"&gt;="&amp;账期起,出库单!$C$4:$C$4003,"&lt;="&amp;账期止),0))</f>
        <v/>
      </c>
      <c r="T850" s="27">
        <f>IF($A850="","",SUMIFS(出库单!$J$4:$J$4003,出库单!$D$4:$D$4003,$A850,出库单!$K$4:$K$4003,"盘亏",出库单!$U$4:$U$4003,"正常",出库单!$C$4:$C$4003,"&gt;="&amp;账期起,出库单!$C$4:$C$4003,"&lt;="&amp;账期止))</f>
        <v/>
      </c>
      <c r="U850" s="26">
        <f>IF($A850="","",ROUND(SUMIFS(出库单!$S$4:$S$4003,出库单!$D$4:$D$4003,$A850,出库单!$K$4:$K$4003,"盘亏",出库单!$U$4:$U$4003,"正常",出库单!$C$4:$C$4003,"&gt;="&amp;账期起,出库单!$C$4:$C$4003,"&lt;="&amp;账期止),0))</f>
        <v/>
      </c>
      <c r="V850" s="27">
        <f>IF($A850="","",SUMIFS(出库单!$J$4:$J$4003,出库单!$D$4:$D$4003,$A850,出库单!$K$4:$K$4003,"退货给供应商",出库单!$U$4:$U$4003,"正常",出库单!$C$4:$C$4003,"&gt;="&amp;账期起,出库单!$C$4:$C$4003,"&lt;="&amp;账期止))</f>
        <v/>
      </c>
      <c r="W850" s="26">
        <f>IF($A850="","",ROUND(SUMIFS(出库单!$S$4:$S$4003,出库单!$D$4:$D$4003,$A850,出库单!$K$4:$K$4003,"退货给供应商",出库单!$U$4:$U$4003,"正常",出库单!$C$4:$C$4003,"&gt;="&amp;账期起,出库单!$C$4:$C$4003,"&lt;="&amp;账期止),0))</f>
        <v/>
      </c>
      <c r="X850" s="27">
        <f>IF($A850="","",ROUND(N($G850)+$I850+$L850+$N850-$P850-$R850-$T850-$V850,3))</f>
        <v/>
      </c>
      <c r="Y850" s="26">
        <f>IF($A850="","",ROUND(N($H850)+$J850+$M850+$O850-$Q850-$S850-$U850-$W850,0))</f>
        <v/>
      </c>
      <c r="Z850" s="24">
        <f>IF($A850="","",IF(COUNTIFS(入库单!$G$4:$G$2503,$A850,入库单!$Y$4:$Y$2503,"待补价")+COUNTIFS(入库单!$G$4:$G$2503,$A850,入库单!$Y$4:$Y$2503,"暂估")&gt;0,"不可信","可信"))</f>
        <v/>
      </c>
      <c r="AA850" s="24">
        <f>IF($A850="","",IF($X850&lt;-0.001,"※账面负库存，查一下是不是漏记入库",IF(AND(ROUND($X850,3)=0,ABS($Y850)&gt;1),"※数量已经是 0，金额还挂着 "&amp;TEXT($Y850,"#,##0")&amp;" 先令",IF(AND($X850&gt;0,$Y850&lt;=0,$K850=0),"※有数量没金额（这个物料一直没填过进价）",IF($Z850="不可信","△成本含待补价/暂估，毛利仅供参考","")))))</f>
        <v/>
      </c>
    </row>
    <row r="851">
      <c r="A851" s="24">
        <f>IF(物料档案!$A850="","",物料档案!$A850)</f>
        <v/>
      </c>
      <c r="B851" s="24">
        <f>IF($A851="","",IFERROR(VLOOKUP($A851,物料档案!$A$4:$P$1203,3,0),""))</f>
        <v/>
      </c>
      <c r="C851" s="24">
        <f>IF($A851="","",IFERROR(VLOOKUP($A851,物料档案!$A$4:$P$1203,4,0),""))</f>
        <v/>
      </c>
      <c r="D851" s="24">
        <f>IF($A851="","",IFERROR(VLOOKUP($A851,物料档案!$A$4:$P$1203,5,0),""))</f>
        <v/>
      </c>
      <c r="E851" s="24">
        <f>IF($A851="","",IFERROR(VLOOKUP($A851,物料档案!$A$4:$P$1203,2,0),""))</f>
        <v/>
      </c>
      <c r="F851" s="24">
        <f>IF($A851="","",IFERROR(VLOOKUP($A851,物料档案!$A$4:$P$1203,6,0),""))</f>
        <v/>
      </c>
      <c r="G851" s="23" t="n"/>
      <c r="H851" s="32" t="n"/>
      <c r="I851" s="27">
        <f>IF($A851="","",SUMIFS(入库单!$K$4:$K$2503,入库单!$G$4:$G$2503,$A851,入库单!$X$4:$X$2503,"采购入库",入库单!$Z$4:$Z$2503,"正常",入库单!$C$4:$C$2503,"&gt;="&amp;账期起,入库单!$C$4:$C$2503,"&lt;="&amp;账期止))</f>
        <v/>
      </c>
      <c r="J851" s="26">
        <f>IF($A851="","",SUMIFS(入库单!$V$4:$V$2503,入库单!$G$4:$G$2503,$A851,入库单!$X$4:$X$2503,"采购入库",入库单!$Z$4:$Z$2503,"正常",入库单!$C$4:$C$2503,"&gt;="&amp;账期起,入库单!$C$4:$C$2503,"&lt;="&amp;账期止))</f>
        <v/>
      </c>
      <c r="K851" s="26">
        <f>IF($A851="","",IFERROR(ROUND((N($H851)+N($J851))/(N($G851)+N($I851)),2),0))</f>
        <v/>
      </c>
      <c r="L851" s="27">
        <f>IF($A851="","",SUMIFS(入库单!$K$4:$K$2503,入库单!$G$4:$G$2503,$A851,入库单!$X$4:$X$2503,"盘盈",入库单!$Z$4:$Z$2503,"正常",入库单!$C$4:$C$2503,"&gt;="&amp;账期起,入库单!$C$4:$C$2503,"&lt;="&amp;账期止))</f>
        <v/>
      </c>
      <c r="M851" s="26">
        <f>IF($A851="","",ROUND($L851*$K851,0))</f>
        <v/>
      </c>
      <c r="N851" s="27">
        <f>IF($A851="","",SUMIFS(入库单!$K$4:$K$2503,入库单!$G$4:$G$2503,$A851,入库单!$X$4:$X$2503,"矿区退库",入库单!$Z$4:$Z$2503,"正常",入库单!$C$4:$C$2503,"&gt;="&amp;账期起,入库单!$C$4:$C$2503,"&lt;="&amp;账期止))</f>
        <v/>
      </c>
      <c r="O851" s="26">
        <f>IF($A851="","",ROUND($N851*$K851,0))</f>
        <v/>
      </c>
      <c r="P851" s="27">
        <f>IF($A851="","",SUMIFS(出库单!$J$4:$J$4003,出库单!$D$4:$D$4003,$A851,出库单!$K$4:$K$4003,"自用消耗",出库单!$U$4:$U$4003,"正常",出库单!$C$4:$C$4003,"&gt;="&amp;账期起,出库单!$C$4:$C$4003,"&lt;="&amp;账期止))</f>
        <v/>
      </c>
      <c r="Q851" s="26">
        <f>IF($A851="","",ROUND(SUMIFS(出库单!$S$4:$S$4003,出库单!$D$4:$D$4003,$A851,出库单!$K$4:$K$4003,"自用消耗",出库单!$U$4:$U$4003,"正常",出库单!$C$4:$C$4003,"&gt;="&amp;账期起,出库单!$C$4:$C$4003,"&lt;="&amp;账期止),0))</f>
        <v/>
      </c>
      <c r="R851" s="27">
        <f>IF($A851="","",SUMIFS(出库单!$J$4:$J$4003,出库单!$D$4:$D$4003,$A851,出库单!$K$4:$K$4003,"对外销售",出库单!$U$4:$U$4003,"正常",出库单!$C$4:$C$4003,"&gt;="&amp;账期起,出库单!$C$4:$C$4003,"&lt;="&amp;账期止))</f>
        <v/>
      </c>
      <c r="S851" s="26">
        <f>IF($A851="","",ROUND(SUMIFS(出库单!$S$4:$S$4003,出库单!$D$4:$D$4003,$A851,出库单!$K$4:$K$4003,"对外销售",出库单!$U$4:$U$4003,"正常",出库单!$C$4:$C$4003,"&gt;="&amp;账期起,出库单!$C$4:$C$4003,"&lt;="&amp;账期止),0))</f>
        <v/>
      </c>
      <c r="T851" s="27">
        <f>IF($A851="","",SUMIFS(出库单!$J$4:$J$4003,出库单!$D$4:$D$4003,$A851,出库单!$K$4:$K$4003,"盘亏",出库单!$U$4:$U$4003,"正常",出库单!$C$4:$C$4003,"&gt;="&amp;账期起,出库单!$C$4:$C$4003,"&lt;="&amp;账期止))</f>
        <v/>
      </c>
      <c r="U851" s="26">
        <f>IF($A851="","",ROUND(SUMIFS(出库单!$S$4:$S$4003,出库单!$D$4:$D$4003,$A851,出库单!$K$4:$K$4003,"盘亏",出库单!$U$4:$U$4003,"正常",出库单!$C$4:$C$4003,"&gt;="&amp;账期起,出库单!$C$4:$C$4003,"&lt;="&amp;账期止),0))</f>
        <v/>
      </c>
      <c r="V851" s="27">
        <f>IF($A851="","",SUMIFS(出库单!$J$4:$J$4003,出库单!$D$4:$D$4003,$A851,出库单!$K$4:$K$4003,"退货给供应商",出库单!$U$4:$U$4003,"正常",出库单!$C$4:$C$4003,"&gt;="&amp;账期起,出库单!$C$4:$C$4003,"&lt;="&amp;账期止))</f>
        <v/>
      </c>
      <c r="W851" s="26">
        <f>IF($A851="","",ROUND(SUMIFS(出库单!$S$4:$S$4003,出库单!$D$4:$D$4003,$A851,出库单!$K$4:$K$4003,"退货给供应商",出库单!$U$4:$U$4003,"正常",出库单!$C$4:$C$4003,"&gt;="&amp;账期起,出库单!$C$4:$C$4003,"&lt;="&amp;账期止),0))</f>
        <v/>
      </c>
      <c r="X851" s="27">
        <f>IF($A851="","",ROUND(N($G851)+$I851+$L851+$N851-$P851-$R851-$T851-$V851,3))</f>
        <v/>
      </c>
      <c r="Y851" s="26">
        <f>IF($A851="","",ROUND(N($H851)+$J851+$M851+$O851-$Q851-$S851-$U851-$W851,0))</f>
        <v/>
      </c>
      <c r="Z851" s="24">
        <f>IF($A851="","",IF(COUNTIFS(入库单!$G$4:$G$2503,$A851,入库单!$Y$4:$Y$2503,"待补价")+COUNTIFS(入库单!$G$4:$G$2503,$A851,入库单!$Y$4:$Y$2503,"暂估")&gt;0,"不可信","可信"))</f>
        <v/>
      </c>
      <c r="AA851" s="24">
        <f>IF($A851="","",IF($X851&lt;-0.001,"※账面负库存，查一下是不是漏记入库",IF(AND(ROUND($X851,3)=0,ABS($Y851)&gt;1),"※数量已经是 0，金额还挂着 "&amp;TEXT($Y851,"#,##0")&amp;" 先令",IF(AND($X851&gt;0,$Y851&lt;=0,$K851=0),"※有数量没金额（这个物料一直没填过进价）",IF($Z851="不可信","△成本含待补价/暂估，毛利仅供参考","")))))</f>
        <v/>
      </c>
    </row>
    <row r="852">
      <c r="A852" s="24">
        <f>IF(物料档案!$A851="","",物料档案!$A851)</f>
        <v/>
      </c>
      <c r="B852" s="24">
        <f>IF($A852="","",IFERROR(VLOOKUP($A852,物料档案!$A$4:$P$1203,3,0),""))</f>
        <v/>
      </c>
      <c r="C852" s="24">
        <f>IF($A852="","",IFERROR(VLOOKUP($A852,物料档案!$A$4:$P$1203,4,0),""))</f>
        <v/>
      </c>
      <c r="D852" s="24">
        <f>IF($A852="","",IFERROR(VLOOKUP($A852,物料档案!$A$4:$P$1203,5,0),""))</f>
        <v/>
      </c>
      <c r="E852" s="24">
        <f>IF($A852="","",IFERROR(VLOOKUP($A852,物料档案!$A$4:$P$1203,2,0),""))</f>
        <v/>
      </c>
      <c r="F852" s="24">
        <f>IF($A852="","",IFERROR(VLOOKUP($A852,物料档案!$A$4:$P$1203,6,0),""))</f>
        <v/>
      </c>
      <c r="G852" s="23" t="n"/>
      <c r="H852" s="32" t="n"/>
      <c r="I852" s="27">
        <f>IF($A852="","",SUMIFS(入库单!$K$4:$K$2503,入库单!$G$4:$G$2503,$A852,入库单!$X$4:$X$2503,"采购入库",入库单!$Z$4:$Z$2503,"正常",入库单!$C$4:$C$2503,"&gt;="&amp;账期起,入库单!$C$4:$C$2503,"&lt;="&amp;账期止))</f>
        <v/>
      </c>
      <c r="J852" s="26">
        <f>IF($A852="","",SUMIFS(入库单!$V$4:$V$2503,入库单!$G$4:$G$2503,$A852,入库单!$X$4:$X$2503,"采购入库",入库单!$Z$4:$Z$2503,"正常",入库单!$C$4:$C$2503,"&gt;="&amp;账期起,入库单!$C$4:$C$2503,"&lt;="&amp;账期止))</f>
        <v/>
      </c>
      <c r="K852" s="26">
        <f>IF($A852="","",IFERROR(ROUND((N($H852)+N($J852))/(N($G852)+N($I852)),2),0))</f>
        <v/>
      </c>
      <c r="L852" s="27">
        <f>IF($A852="","",SUMIFS(入库单!$K$4:$K$2503,入库单!$G$4:$G$2503,$A852,入库单!$X$4:$X$2503,"盘盈",入库单!$Z$4:$Z$2503,"正常",入库单!$C$4:$C$2503,"&gt;="&amp;账期起,入库单!$C$4:$C$2503,"&lt;="&amp;账期止))</f>
        <v/>
      </c>
      <c r="M852" s="26">
        <f>IF($A852="","",ROUND($L852*$K852,0))</f>
        <v/>
      </c>
      <c r="N852" s="27">
        <f>IF($A852="","",SUMIFS(入库单!$K$4:$K$2503,入库单!$G$4:$G$2503,$A852,入库单!$X$4:$X$2503,"矿区退库",入库单!$Z$4:$Z$2503,"正常",入库单!$C$4:$C$2503,"&gt;="&amp;账期起,入库单!$C$4:$C$2503,"&lt;="&amp;账期止))</f>
        <v/>
      </c>
      <c r="O852" s="26">
        <f>IF($A852="","",ROUND($N852*$K852,0))</f>
        <v/>
      </c>
      <c r="P852" s="27">
        <f>IF($A852="","",SUMIFS(出库单!$J$4:$J$4003,出库单!$D$4:$D$4003,$A852,出库单!$K$4:$K$4003,"自用消耗",出库单!$U$4:$U$4003,"正常",出库单!$C$4:$C$4003,"&gt;="&amp;账期起,出库单!$C$4:$C$4003,"&lt;="&amp;账期止))</f>
        <v/>
      </c>
      <c r="Q852" s="26">
        <f>IF($A852="","",ROUND(SUMIFS(出库单!$S$4:$S$4003,出库单!$D$4:$D$4003,$A852,出库单!$K$4:$K$4003,"自用消耗",出库单!$U$4:$U$4003,"正常",出库单!$C$4:$C$4003,"&gt;="&amp;账期起,出库单!$C$4:$C$4003,"&lt;="&amp;账期止),0))</f>
        <v/>
      </c>
      <c r="R852" s="27">
        <f>IF($A852="","",SUMIFS(出库单!$J$4:$J$4003,出库单!$D$4:$D$4003,$A852,出库单!$K$4:$K$4003,"对外销售",出库单!$U$4:$U$4003,"正常",出库单!$C$4:$C$4003,"&gt;="&amp;账期起,出库单!$C$4:$C$4003,"&lt;="&amp;账期止))</f>
        <v/>
      </c>
      <c r="S852" s="26">
        <f>IF($A852="","",ROUND(SUMIFS(出库单!$S$4:$S$4003,出库单!$D$4:$D$4003,$A852,出库单!$K$4:$K$4003,"对外销售",出库单!$U$4:$U$4003,"正常",出库单!$C$4:$C$4003,"&gt;="&amp;账期起,出库单!$C$4:$C$4003,"&lt;="&amp;账期止),0))</f>
        <v/>
      </c>
      <c r="T852" s="27">
        <f>IF($A852="","",SUMIFS(出库单!$J$4:$J$4003,出库单!$D$4:$D$4003,$A852,出库单!$K$4:$K$4003,"盘亏",出库单!$U$4:$U$4003,"正常",出库单!$C$4:$C$4003,"&gt;="&amp;账期起,出库单!$C$4:$C$4003,"&lt;="&amp;账期止))</f>
        <v/>
      </c>
      <c r="U852" s="26">
        <f>IF($A852="","",ROUND(SUMIFS(出库单!$S$4:$S$4003,出库单!$D$4:$D$4003,$A852,出库单!$K$4:$K$4003,"盘亏",出库单!$U$4:$U$4003,"正常",出库单!$C$4:$C$4003,"&gt;="&amp;账期起,出库单!$C$4:$C$4003,"&lt;="&amp;账期止),0))</f>
        <v/>
      </c>
      <c r="V852" s="27">
        <f>IF($A852="","",SUMIFS(出库单!$J$4:$J$4003,出库单!$D$4:$D$4003,$A852,出库单!$K$4:$K$4003,"退货给供应商",出库单!$U$4:$U$4003,"正常",出库单!$C$4:$C$4003,"&gt;="&amp;账期起,出库单!$C$4:$C$4003,"&lt;="&amp;账期止))</f>
        <v/>
      </c>
      <c r="W852" s="26">
        <f>IF($A852="","",ROUND(SUMIFS(出库单!$S$4:$S$4003,出库单!$D$4:$D$4003,$A852,出库单!$K$4:$K$4003,"退货给供应商",出库单!$U$4:$U$4003,"正常",出库单!$C$4:$C$4003,"&gt;="&amp;账期起,出库单!$C$4:$C$4003,"&lt;="&amp;账期止),0))</f>
        <v/>
      </c>
      <c r="X852" s="27">
        <f>IF($A852="","",ROUND(N($G852)+$I852+$L852+$N852-$P852-$R852-$T852-$V852,3))</f>
        <v/>
      </c>
      <c r="Y852" s="26">
        <f>IF($A852="","",ROUND(N($H852)+$J852+$M852+$O852-$Q852-$S852-$U852-$W852,0))</f>
        <v/>
      </c>
      <c r="Z852" s="24">
        <f>IF($A852="","",IF(COUNTIFS(入库单!$G$4:$G$2503,$A852,入库单!$Y$4:$Y$2503,"待补价")+COUNTIFS(入库单!$G$4:$G$2503,$A852,入库单!$Y$4:$Y$2503,"暂估")&gt;0,"不可信","可信"))</f>
        <v/>
      </c>
      <c r="AA852" s="24">
        <f>IF($A852="","",IF($X852&lt;-0.001,"※账面负库存，查一下是不是漏记入库",IF(AND(ROUND($X852,3)=0,ABS($Y852)&gt;1),"※数量已经是 0，金额还挂着 "&amp;TEXT($Y852,"#,##0")&amp;" 先令",IF(AND($X852&gt;0,$Y852&lt;=0,$K852=0),"※有数量没金额（这个物料一直没填过进价）",IF($Z852="不可信","△成本含待补价/暂估，毛利仅供参考","")))))</f>
        <v/>
      </c>
    </row>
    <row r="853">
      <c r="A853" s="24">
        <f>IF(物料档案!$A852="","",物料档案!$A852)</f>
        <v/>
      </c>
      <c r="B853" s="24">
        <f>IF($A853="","",IFERROR(VLOOKUP($A853,物料档案!$A$4:$P$1203,3,0),""))</f>
        <v/>
      </c>
      <c r="C853" s="24">
        <f>IF($A853="","",IFERROR(VLOOKUP($A853,物料档案!$A$4:$P$1203,4,0),""))</f>
        <v/>
      </c>
      <c r="D853" s="24">
        <f>IF($A853="","",IFERROR(VLOOKUP($A853,物料档案!$A$4:$P$1203,5,0),""))</f>
        <v/>
      </c>
      <c r="E853" s="24">
        <f>IF($A853="","",IFERROR(VLOOKUP($A853,物料档案!$A$4:$P$1203,2,0),""))</f>
        <v/>
      </c>
      <c r="F853" s="24">
        <f>IF($A853="","",IFERROR(VLOOKUP($A853,物料档案!$A$4:$P$1203,6,0),""))</f>
        <v/>
      </c>
      <c r="G853" s="23" t="n"/>
      <c r="H853" s="32" t="n"/>
      <c r="I853" s="27">
        <f>IF($A853="","",SUMIFS(入库单!$K$4:$K$2503,入库单!$G$4:$G$2503,$A853,入库单!$X$4:$X$2503,"采购入库",入库单!$Z$4:$Z$2503,"正常",入库单!$C$4:$C$2503,"&gt;="&amp;账期起,入库单!$C$4:$C$2503,"&lt;="&amp;账期止))</f>
        <v/>
      </c>
      <c r="J853" s="26">
        <f>IF($A853="","",SUMIFS(入库单!$V$4:$V$2503,入库单!$G$4:$G$2503,$A853,入库单!$X$4:$X$2503,"采购入库",入库单!$Z$4:$Z$2503,"正常",入库单!$C$4:$C$2503,"&gt;="&amp;账期起,入库单!$C$4:$C$2503,"&lt;="&amp;账期止))</f>
        <v/>
      </c>
      <c r="K853" s="26">
        <f>IF($A853="","",IFERROR(ROUND((N($H853)+N($J853))/(N($G853)+N($I853)),2),0))</f>
        <v/>
      </c>
      <c r="L853" s="27">
        <f>IF($A853="","",SUMIFS(入库单!$K$4:$K$2503,入库单!$G$4:$G$2503,$A853,入库单!$X$4:$X$2503,"盘盈",入库单!$Z$4:$Z$2503,"正常",入库单!$C$4:$C$2503,"&gt;="&amp;账期起,入库单!$C$4:$C$2503,"&lt;="&amp;账期止))</f>
        <v/>
      </c>
      <c r="M853" s="26">
        <f>IF($A853="","",ROUND($L853*$K853,0))</f>
        <v/>
      </c>
      <c r="N853" s="27">
        <f>IF($A853="","",SUMIFS(入库单!$K$4:$K$2503,入库单!$G$4:$G$2503,$A853,入库单!$X$4:$X$2503,"矿区退库",入库单!$Z$4:$Z$2503,"正常",入库单!$C$4:$C$2503,"&gt;="&amp;账期起,入库单!$C$4:$C$2503,"&lt;="&amp;账期止))</f>
        <v/>
      </c>
      <c r="O853" s="26">
        <f>IF($A853="","",ROUND($N853*$K853,0))</f>
        <v/>
      </c>
      <c r="P853" s="27">
        <f>IF($A853="","",SUMIFS(出库单!$J$4:$J$4003,出库单!$D$4:$D$4003,$A853,出库单!$K$4:$K$4003,"自用消耗",出库单!$U$4:$U$4003,"正常",出库单!$C$4:$C$4003,"&gt;="&amp;账期起,出库单!$C$4:$C$4003,"&lt;="&amp;账期止))</f>
        <v/>
      </c>
      <c r="Q853" s="26">
        <f>IF($A853="","",ROUND(SUMIFS(出库单!$S$4:$S$4003,出库单!$D$4:$D$4003,$A853,出库单!$K$4:$K$4003,"自用消耗",出库单!$U$4:$U$4003,"正常",出库单!$C$4:$C$4003,"&gt;="&amp;账期起,出库单!$C$4:$C$4003,"&lt;="&amp;账期止),0))</f>
        <v/>
      </c>
      <c r="R853" s="27">
        <f>IF($A853="","",SUMIFS(出库单!$J$4:$J$4003,出库单!$D$4:$D$4003,$A853,出库单!$K$4:$K$4003,"对外销售",出库单!$U$4:$U$4003,"正常",出库单!$C$4:$C$4003,"&gt;="&amp;账期起,出库单!$C$4:$C$4003,"&lt;="&amp;账期止))</f>
        <v/>
      </c>
      <c r="S853" s="26">
        <f>IF($A853="","",ROUND(SUMIFS(出库单!$S$4:$S$4003,出库单!$D$4:$D$4003,$A853,出库单!$K$4:$K$4003,"对外销售",出库单!$U$4:$U$4003,"正常",出库单!$C$4:$C$4003,"&gt;="&amp;账期起,出库单!$C$4:$C$4003,"&lt;="&amp;账期止),0))</f>
        <v/>
      </c>
      <c r="T853" s="27">
        <f>IF($A853="","",SUMIFS(出库单!$J$4:$J$4003,出库单!$D$4:$D$4003,$A853,出库单!$K$4:$K$4003,"盘亏",出库单!$U$4:$U$4003,"正常",出库单!$C$4:$C$4003,"&gt;="&amp;账期起,出库单!$C$4:$C$4003,"&lt;="&amp;账期止))</f>
        <v/>
      </c>
      <c r="U853" s="26">
        <f>IF($A853="","",ROUND(SUMIFS(出库单!$S$4:$S$4003,出库单!$D$4:$D$4003,$A853,出库单!$K$4:$K$4003,"盘亏",出库单!$U$4:$U$4003,"正常",出库单!$C$4:$C$4003,"&gt;="&amp;账期起,出库单!$C$4:$C$4003,"&lt;="&amp;账期止),0))</f>
        <v/>
      </c>
      <c r="V853" s="27">
        <f>IF($A853="","",SUMIFS(出库单!$J$4:$J$4003,出库单!$D$4:$D$4003,$A853,出库单!$K$4:$K$4003,"退货给供应商",出库单!$U$4:$U$4003,"正常",出库单!$C$4:$C$4003,"&gt;="&amp;账期起,出库单!$C$4:$C$4003,"&lt;="&amp;账期止))</f>
        <v/>
      </c>
      <c r="W853" s="26">
        <f>IF($A853="","",ROUND(SUMIFS(出库单!$S$4:$S$4003,出库单!$D$4:$D$4003,$A853,出库单!$K$4:$K$4003,"退货给供应商",出库单!$U$4:$U$4003,"正常",出库单!$C$4:$C$4003,"&gt;="&amp;账期起,出库单!$C$4:$C$4003,"&lt;="&amp;账期止),0))</f>
        <v/>
      </c>
      <c r="X853" s="27">
        <f>IF($A853="","",ROUND(N($G853)+$I853+$L853+$N853-$P853-$R853-$T853-$V853,3))</f>
        <v/>
      </c>
      <c r="Y853" s="26">
        <f>IF($A853="","",ROUND(N($H853)+$J853+$M853+$O853-$Q853-$S853-$U853-$W853,0))</f>
        <v/>
      </c>
      <c r="Z853" s="24">
        <f>IF($A853="","",IF(COUNTIFS(入库单!$G$4:$G$2503,$A853,入库单!$Y$4:$Y$2503,"待补价")+COUNTIFS(入库单!$G$4:$G$2503,$A853,入库单!$Y$4:$Y$2503,"暂估")&gt;0,"不可信","可信"))</f>
        <v/>
      </c>
      <c r="AA853" s="24">
        <f>IF($A853="","",IF($X853&lt;-0.001,"※账面负库存，查一下是不是漏记入库",IF(AND(ROUND($X853,3)=0,ABS($Y853)&gt;1),"※数量已经是 0，金额还挂着 "&amp;TEXT($Y853,"#,##0")&amp;" 先令",IF(AND($X853&gt;0,$Y853&lt;=0,$K853=0),"※有数量没金额（这个物料一直没填过进价）",IF($Z853="不可信","△成本含待补价/暂估，毛利仅供参考","")))))</f>
        <v/>
      </c>
    </row>
    <row r="854">
      <c r="A854" s="24">
        <f>IF(物料档案!$A853="","",物料档案!$A853)</f>
        <v/>
      </c>
      <c r="B854" s="24">
        <f>IF($A854="","",IFERROR(VLOOKUP($A854,物料档案!$A$4:$P$1203,3,0),""))</f>
        <v/>
      </c>
      <c r="C854" s="24">
        <f>IF($A854="","",IFERROR(VLOOKUP($A854,物料档案!$A$4:$P$1203,4,0),""))</f>
        <v/>
      </c>
      <c r="D854" s="24">
        <f>IF($A854="","",IFERROR(VLOOKUP($A854,物料档案!$A$4:$P$1203,5,0),""))</f>
        <v/>
      </c>
      <c r="E854" s="24">
        <f>IF($A854="","",IFERROR(VLOOKUP($A854,物料档案!$A$4:$P$1203,2,0),""))</f>
        <v/>
      </c>
      <c r="F854" s="24">
        <f>IF($A854="","",IFERROR(VLOOKUP($A854,物料档案!$A$4:$P$1203,6,0),""))</f>
        <v/>
      </c>
      <c r="G854" s="23" t="n"/>
      <c r="H854" s="32" t="n"/>
      <c r="I854" s="27">
        <f>IF($A854="","",SUMIFS(入库单!$K$4:$K$2503,入库单!$G$4:$G$2503,$A854,入库单!$X$4:$X$2503,"采购入库",入库单!$Z$4:$Z$2503,"正常",入库单!$C$4:$C$2503,"&gt;="&amp;账期起,入库单!$C$4:$C$2503,"&lt;="&amp;账期止))</f>
        <v/>
      </c>
      <c r="J854" s="26">
        <f>IF($A854="","",SUMIFS(入库单!$V$4:$V$2503,入库单!$G$4:$G$2503,$A854,入库单!$X$4:$X$2503,"采购入库",入库单!$Z$4:$Z$2503,"正常",入库单!$C$4:$C$2503,"&gt;="&amp;账期起,入库单!$C$4:$C$2503,"&lt;="&amp;账期止))</f>
        <v/>
      </c>
      <c r="K854" s="26">
        <f>IF($A854="","",IFERROR(ROUND((N($H854)+N($J854))/(N($G854)+N($I854)),2),0))</f>
        <v/>
      </c>
      <c r="L854" s="27">
        <f>IF($A854="","",SUMIFS(入库单!$K$4:$K$2503,入库单!$G$4:$G$2503,$A854,入库单!$X$4:$X$2503,"盘盈",入库单!$Z$4:$Z$2503,"正常",入库单!$C$4:$C$2503,"&gt;="&amp;账期起,入库单!$C$4:$C$2503,"&lt;="&amp;账期止))</f>
        <v/>
      </c>
      <c r="M854" s="26">
        <f>IF($A854="","",ROUND($L854*$K854,0))</f>
        <v/>
      </c>
      <c r="N854" s="27">
        <f>IF($A854="","",SUMIFS(入库单!$K$4:$K$2503,入库单!$G$4:$G$2503,$A854,入库单!$X$4:$X$2503,"矿区退库",入库单!$Z$4:$Z$2503,"正常",入库单!$C$4:$C$2503,"&gt;="&amp;账期起,入库单!$C$4:$C$2503,"&lt;="&amp;账期止))</f>
        <v/>
      </c>
      <c r="O854" s="26">
        <f>IF($A854="","",ROUND($N854*$K854,0))</f>
        <v/>
      </c>
      <c r="P854" s="27">
        <f>IF($A854="","",SUMIFS(出库单!$J$4:$J$4003,出库单!$D$4:$D$4003,$A854,出库单!$K$4:$K$4003,"自用消耗",出库单!$U$4:$U$4003,"正常",出库单!$C$4:$C$4003,"&gt;="&amp;账期起,出库单!$C$4:$C$4003,"&lt;="&amp;账期止))</f>
        <v/>
      </c>
      <c r="Q854" s="26">
        <f>IF($A854="","",ROUND(SUMIFS(出库单!$S$4:$S$4003,出库单!$D$4:$D$4003,$A854,出库单!$K$4:$K$4003,"自用消耗",出库单!$U$4:$U$4003,"正常",出库单!$C$4:$C$4003,"&gt;="&amp;账期起,出库单!$C$4:$C$4003,"&lt;="&amp;账期止),0))</f>
        <v/>
      </c>
      <c r="R854" s="27">
        <f>IF($A854="","",SUMIFS(出库单!$J$4:$J$4003,出库单!$D$4:$D$4003,$A854,出库单!$K$4:$K$4003,"对外销售",出库单!$U$4:$U$4003,"正常",出库单!$C$4:$C$4003,"&gt;="&amp;账期起,出库单!$C$4:$C$4003,"&lt;="&amp;账期止))</f>
        <v/>
      </c>
      <c r="S854" s="26">
        <f>IF($A854="","",ROUND(SUMIFS(出库单!$S$4:$S$4003,出库单!$D$4:$D$4003,$A854,出库单!$K$4:$K$4003,"对外销售",出库单!$U$4:$U$4003,"正常",出库单!$C$4:$C$4003,"&gt;="&amp;账期起,出库单!$C$4:$C$4003,"&lt;="&amp;账期止),0))</f>
        <v/>
      </c>
      <c r="T854" s="27">
        <f>IF($A854="","",SUMIFS(出库单!$J$4:$J$4003,出库单!$D$4:$D$4003,$A854,出库单!$K$4:$K$4003,"盘亏",出库单!$U$4:$U$4003,"正常",出库单!$C$4:$C$4003,"&gt;="&amp;账期起,出库单!$C$4:$C$4003,"&lt;="&amp;账期止))</f>
        <v/>
      </c>
      <c r="U854" s="26">
        <f>IF($A854="","",ROUND(SUMIFS(出库单!$S$4:$S$4003,出库单!$D$4:$D$4003,$A854,出库单!$K$4:$K$4003,"盘亏",出库单!$U$4:$U$4003,"正常",出库单!$C$4:$C$4003,"&gt;="&amp;账期起,出库单!$C$4:$C$4003,"&lt;="&amp;账期止),0))</f>
        <v/>
      </c>
      <c r="V854" s="27">
        <f>IF($A854="","",SUMIFS(出库单!$J$4:$J$4003,出库单!$D$4:$D$4003,$A854,出库单!$K$4:$K$4003,"退货给供应商",出库单!$U$4:$U$4003,"正常",出库单!$C$4:$C$4003,"&gt;="&amp;账期起,出库单!$C$4:$C$4003,"&lt;="&amp;账期止))</f>
        <v/>
      </c>
      <c r="W854" s="26">
        <f>IF($A854="","",ROUND(SUMIFS(出库单!$S$4:$S$4003,出库单!$D$4:$D$4003,$A854,出库单!$K$4:$K$4003,"退货给供应商",出库单!$U$4:$U$4003,"正常",出库单!$C$4:$C$4003,"&gt;="&amp;账期起,出库单!$C$4:$C$4003,"&lt;="&amp;账期止),0))</f>
        <v/>
      </c>
      <c r="X854" s="27">
        <f>IF($A854="","",ROUND(N($G854)+$I854+$L854+$N854-$P854-$R854-$T854-$V854,3))</f>
        <v/>
      </c>
      <c r="Y854" s="26">
        <f>IF($A854="","",ROUND(N($H854)+$J854+$M854+$O854-$Q854-$S854-$U854-$W854,0))</f>
        <v/>
      </c>
      <c r="Z854" s="24">
        <f>IF($A854="","",IF(COUNTIFS(入库单!$G$4:$G$2503,$A854,入库单!$Y$4:$Y$2503,"待补价")+COUNTIFS(入库单!$G$4:$G$2503,$A854,入库单!$Y$4:$Y$2503,"暂估")&gt;0,"不可信","可信"))</f>
        <v/>
      </c>
      <c r="AA854" s="24">
        <f>IF($A854="","",IF($X854&lt;-0.001,"※账面负库存，查一下是不是漏记入库",IF(AND(ROUND($X854,3)=0,ABS($Y854)&gt;1),"※数量已经是 0，金额还挂着 "&amp;TEXT($Y854,"#,##0")&amp;" 先令",IF(AND($X854&gt;0,$Y854&lt;=0,$K854=0),"※有数量没金额（这个物料一直没填过进价）",IF($Z854="不可信","△成本含待补价/暂估，毛利仅供参考","")))))</f>
        <v/>
      </c>
    </row>
    <row r="855">
      <c r="A855" s="24">
        <f>IF(物料档案!$A854="","",物料档案!$A854)</f>
        <v/>
      </c>
      <c r="B855" s="24">
        <f>IF($A855="","",IFERROR(VLOOKUP($A855,物料档案!$A$4:$P$1203,3,0),""))</f>
        <v/>
      </c>
      <c r="C855" s="24">
        <f>IF($A855="","",IFERROR(VLOOKUP($A855,物料档案!$A$4:$P$1203,4,0),""))</f>
        <v/>
      </c>
      <c r="D855" s="24">
        <f>IF($A855="","",IFERROR(VLOOKUP($A855,物料档案!$A$4:$P$1203,5,0),""))</f>
        <v/>
      </c>
      <c r="E855" s="24">
        <f>IF($A855="","",IFERROR(VLOOKUP($A855,物料档案!$A$4:$P$1203,2,0),""))</f>
        <v/>
      </c>
      <c r="F855" s="24">
        <f>IF($A855="","",IFERROR(VLOOKUP($A855,物料档案!$A$4:$P$1203,6,0),""))</f>
        <v/>
      </c>
      <c r="G855" s="23" t="n"/>
      <c r="H855" s="32" t="n"/>
      <c r="I855" s="27">
        <f>IF($A855="","",SUMIFS(入库单!$K$4:$K$2503,入库单!$G$4:$G$2503,$A855,入库单!$X$4:$X$2503,"采购入库",入库单!$Z$4:$Z$2503,"正常",入库单!$C$4:$C$2503,"&gt;="&amp;账期起,入库单!$C$4:$C$2503,"&lt;="&amp;账期止))</f>
        <v/>
      </c>
      <c r="J855" s="26">
        <f>IF($A855="","",SUMIFS(入库单!$V$4:$V$2503,入库单!$G$4:$G$2503,$A855,入库单!$X$4:$X$2503,"采购入库",入库单!$Z$4:$Z$2503,"正常",入库单!$C$4:$C$2503,"&gt;="&amp;账期起,入库单!$C$4:$C$2503,"&lt;="&amp;账期止))</f>
        <v/>
      </c>
      <c r="K855" s="26">
        <f>IF($A855="","",IFERROR(ROUND((N($H855)+N($J855))/(N($G855)+N($I855)),2),0))</f>
        <v/>
      </c>
      <c r="L855" s="27">
        <f>IF($A855="","",SUMIFS(入库单!$K$4:$K$2503,入库单!$G$4:$G$2503,$A855,入库单!$X$4:$X$2503,"盘盈",入库单!$Z$4:$Z$2503,"正常",入库单!$C$4:$C$2503,"&gt;="&amp;账期起,入库单!$C$4:$C$2503,"&lt;="&amp;账期止))</f>
        <v/>
      </c>
      <c r="M855" s="26">
        <f>IF($A855="","",ROUND($L855*$K855,0))</f>
        <v/>
      </c>
      <c r="N855" s="27">
        <f>IF($A855="","",SUMIFS(入库单!$K$4:$K$2503,入库单!$G$4:$G$2503,$A855,入库单!$X$4:$X$2503,"矿区退库",入库单!$Z$4:$Z$2503,"正常",入库单!$C$4:$C$2503,"&gt;="&amp;账期起,入库单!$C$4:$C$2503,"&lt;="&amp;账期止))</f>
        <v/>
      </c>
      <c r="O855" s="26">
        <f>IF($A855="","",ROUND($N855*$K855,0))</f>
        <v/>
      </c>
      <c r="P855" s="27">
        <f>IF($A855="","",SUMIFS(出库单!$J$4:$J$4003,出库单!$D$4:$D$4003,$A855,出库单!$K$4:$K$4003,"自用消耗",出库单!$U$4:$U$4003,"正常",出库单!$C$4:$C$4003,"&gt;="&amp;账期起,出库单!$C$4:$C$4003,"&lt;="&amp;账期止))</f>
        <v/>
      </c>
      <c r="Q855" s="26">
        <f>IF($A855="","",ROUND(SUMIFS(出库单!$S$4:$S$4003,出库单!$D$4:$D$4003,$A855,出库单!$K$4:$K$4003,"自用消耗",出库单!$U$4:$U$4003,"正常",出库单!$C$4:$C$4003,"&gt;="&amp;账期起,出库单!$C$4:$C$4003,"&lt;="&amp;账期止),0))</f>
        <v/>
      </c>
      <c r="R855" s="27">
        <f>IF($A855="","",SUMIFS(出库单!$J$4:$J$4003,出库单!$D$4:$D$4003,$A855,出库单!$K$4:$K$4003,"对外销售",出库单!$U$4:$U$4003,"正常",出库单!$C$4:$C$4003,"&gt;="&amp;账期起,出库单!$C$4:$C$4003,"&lt;="&amp;账期止))</f>
        <v/>
      </c>
      <c r="S855" s="26">
        <f>IF($A855="","",ROUND(SUMIFS(出库单!$S$4:$S$4003,出库单!$D$4:$D$4003,$A855,出库单!$K$4:$K$4003,"对外销售",出库单!$U$4:$U$4003,"正常",出库单!$C$4:$C$4003,"&gt;="&amp;账期起,出库单!$C$4:$C$4003,"&lt;="&amp;账期止),0))</f>
        <v/>
      </c>
      <c r="T855" s="27">
        <f>IF($A855="","",SUMIFS(出库单!$J$4:$J$4003,出库单!$D$4:$D$4003,$A855,出库单!$K$4:$K$4003,"盘亏",出库单!$U$4:$U$4003,"正常",出库单!$C$4:$C$4003,"&gt;="&amp;账期起,出库单!$C$4:$C$4003,"&lt;="&amp;账期止))</f>
        <v/>
      </c>
      <c r="U855" s="26">
        <f>IF($A855="","",ROUND(SUMIFS(出库单!$S$4:$S$4003,出库单!$D$4:$D$4003,$A855,出库单!$K$4:$K$4003,"盘亏",出库单!$U$4:$U$4003,"正常",出库单!$C$4:$C$4003,"&gt;="&amp;账期起,出库单!$C$4:$C$4003,"&lt;="&amp;账期止),0))</f>
        <v/>
      </c>
      <c r="V855" s="27">
        <f>IF($A855="","",SUMIFS(出库单!$J$4:$J$4003,出库单!$D$4:$D$4003,$A855,出库单!$K$4:$K$4003,"退货给供应商",出库单!$U$4:$U$4003,"正常",出库单!$C$4:$C$4003,"&gt;="&amp;账期起,出库单!$C$4:$C$4003,"&lt;="&amp;账期止))</f>
        <v/>
      </c>
      <c r="W855" s="26">
        <f>IF($A855="","",ROUND(SUMIFS(出库单!$S$4:$S$4003,出库单!$D$4:$D$4003,$A855,出库单!$K$4:$K$4003,"退货给供应商",出库单!$U$4:$U$4003,"正常",出库单!$C$4:$C$4003,"&gt;="&amp;账期起,出库单!$C$4:$C$4003,"&lt;="&amp;账期止),0))</f>
        <v/>
      </c>
      <c r="X855" s="27">
        <f>IF($A855="","",ROUND(N($G855)+$I855+$L855+$N855-$P855-$R855-$T855-$V855,3))</f>
        <v/>
      </c>
      <c r="Y855" s="26">
        <f>IF($A855="","",ROUND(N($H855)+$J855+$M855+$O855-$Q855-$S855-$U855-$W855,0))</f>
        <v/>
      </c>
      <c r="Z855" s="24">
        <f>IF($A855="","",IF(COUNTIFS(入库单!$G$4:$G$2503,$A855,入库单!$Y$4:$Y$2503,"待补价")+COUNTIFS(入库单!$G$4:$G$2503,$A855,入库单!$Y$4:$Y$2503,"暂估")&gt;0,"不可信","可信"))</f>
        <v/>
      </c>
      <c r="AA855" s="24">
        <f>IF($A855="","",IF($X855&lt;-0.001,"※账面负库存，查一下是不是漏记入库",IF(AND(ROUND($X855,3)=0,ABS($Y855)&gt;1),"※数量已经是 0，金额还挂着 "&amp;TEXT($Y855,"#,##0")&amp;" 先令",IF(AND($X855&gt;0,$Y855&lt;=0,$K855=0),"※有数量没金额（这个物料一直没填过进价）",IF($Z855="不可信","△成本含待补价/暂估，毛利仅供参考","")))))</f>
        <v/>
      </c>
    </row>
    <row r="856">
      <c r="A856" s="24">
        <f>IF(物料档案!$A855="","",物料档案!$A855)</f>
        <v/>
      </c>
      <c r="B856" s="24">
        <f>IF($A856="","",IFERROR(VLOOKUP($A856,物料档案!$A$4:$P$1203,3,0),""))</f>
        <v/>
      </c>
      <c r="C856" s="24">
        <f>IF($A856="","",IFERROR(VLOOKUP($A856,物料档案!$A$4:$P$1203,4,0),""))</f>
        <v/>
      </c>
      <c r="D856" s="24">
        <f>IF($A856="","",IFERROR(VLOOKUP($A856,物料档案!$A$4:$P$1203,5,0),""))</f>
        <v/>
      </c>
      <c r="E856" s="24">
        <f>IF($A856="","",IFERROR(VLOOKUP($A856,物料档案!$A$4:$P$1203,2,0),""))</f>
        <v/>
      </c>
      <c r="F856" s="24">
        <f>IF($A856="","",IFERROR(VLOOKUP($A856,物料档案!$A$4:$P$1203,6,0),""))</f>
        <v/>
      </c>
      <c r="G856" s="23" t="n"/>
      <c r="H856" s="32" t="n"/>
      <c r="I856" s="27">
        <f>IF($A856="","",SUMIFS(入库单!$K$4:$K$2503,入库单!$G$4:$G$2503,$A856,入库单!$X$4:$X$2503,"采购入库",入库单!$Z$4:$Z$2503,"正常",入库单!$C$4:$C$2503,"&gt;="&amp;账期起,入库单!$C$4:$C$2503,"&lt;="&amp;账期止))</f>
        <v/>
      </c>
      <c r="J856" s="26">
        <f>IF($A856="","",SUMIFS(入库单!$V$4:$V$2503,入库单!$G$4:$G$2503,$A856,入库单!$X$4:$X$2503,"采购入库",入库单!$Z$4:$Z$2503,"正常",入库单!$C$4:$C$2503,"&gt;="&amp;账期起,入库单!$C$4:$C$2503,"&lt;="&amp;账期止))</f>
        <v/>
      </c>
      <c r="K856" s="26">
        <f>IF($A856="","",IFERROR(ROUND((N($H856)+N($J856))/(N($G856)+N($I856)),2),0))</f>
        <v/>
      </c>
      <c r="L856" s="27">
        <f>IF($A856="","",SUMIFS(入库单!$K$4:$K$2503,入库单!$G$4:$G$2503,$A856,入库单!$X$4:$X$2503,"盘盈",入库单!$Z$4:$Z$2503,"正常",入库单!$C$4:$C$2503,"&gt;="&amp;账期起,入库单!$C$4:$C$2503,"&lt;="&amp;账期止))</f>
        <v/>
      </c>
      <c r="M856" s="26">
        <f>IF($A856="","",ROUND($L856*$K856,0))</f>
        <v/>
      </c>
      <c r="N856" s="27">
        <f>IF($A856="","",SUMIFS(入库单!$K$4:$K$2503,入库单!$G$4:$G$2503,$A856,入库单!$X$4:$X$2503,"矿区退库",入库单!$Z$4:$Z$2503,"正常",入库单!$C$4:$C$2503,"&gt;="&amp;账期起,入库单!$C$4:$C$2503,"&lt;="&amp;账期止))</f>
        <v/>
      </c>
      <c r="O856" s="26">
        <f>IF($A856="","",ROUND($N856*$K856,0))</f>
        <v/>
      </c>
      <c r="P856" s="27">
        <f>IF($A856="","",SUMIFS(出库单!$J$4:$J$4003,出库单!$D$4:$D$4003,$A856,出库单!$K$4:$K$4003,"自用消耗",出库单!$U$4:$U$4003,"正常",出库单!$C$4:$C$4003,"&gt;="&amp;账期起,出库单!$C$4:$C$4003,"&lt;="&amp;账期止))</f>
        <v/>
      </c>
      <c r="Q856" s="26">
        <f>IF($A856="","",ROUND(SUMIFS(出库单!$S$4:$S$4003,出库单!$D$4:$D$4003,$A856,出库单!$K$4:$K$4003,"自用消耗",出库单!$U$4:$U$4003,"正常",出库单!$C$4:$C$4003,"&gt;="&amp;账期起,出库单!$C$4:$C$4003,"&lt;="&amp;账期止),0))</f>
        <v/>
      </c>
      <c r="R856" s="27">
        <f>IF($A856="","",SUMIFS(出库单!$J$4:$J$4003,出库单!$D$4:$D$4003,$A856,出库单!$K$4:$K$4003,"对外销售",出库单!$U$4:$U$4003,"正常",出库单!$C$4:$C$4003,"&gt;="&amp;账期起,出库单!$C$4:$C$4003,"&lt;="&amp;账期止))</f>
        <v/>
      </c>
      <c r="S856" s="26">
        <f>IF($A856="","",ROUND(SUMIFS(出库单!$S$4:$S$4003,出库单!$D$4:$D$4003,$A856,出库单!$K$4:$K$4003,"对外销售",出库单!$U$4:$U$4003,"正常",出库单!$C$4:$C$4003,"&gt;="&amp;账期起,出库单!$C$4:$C$4003,"&lt;="&amp;账期止),0))</f>
        <v/>
      </c>
      <c r="T856" s="27">
        <f>IF($A856="","",SUMIFS(出库单!$J$4:$J$4003,出库单!$D$4:$D$4003,$A856,出库单!$K$4:$K$4003,"盘亏",出库单!$U$4:$U$4003,"正常",出库单!$C$4:$C$4003,"&gt;="&amp;账期起,出库单!$C$4:$C$4003,"&lt;="&amp;账期止))</f>
        <v/>
      </c>
      <c r="U856" s="26">
        <f>IF($A856="","",ROUND(SUMIFS(出库单!$S$4:$S$4003,出库单!$D$4:$D$4003,$A856,出库单!$K$4:$K$4003,"盘亏",出库单!$U$4:$U$4003,"正常",出库单!$C$4:$C$4003,"&gt;="&amp;账期起,出库单!$C$4:$C$4003,"&lt;="&amp;账期止),0))</f>
        <v/>
      </c>
      <c r="V856" s="27">
        <f>IF($A856="","",SUMIFS(出库单!$J$4:$J$4003,出库单!$D$4:$D$4003,$A856,出库单!$K$4:$K$4003,"退货给供应商",出库单!$U$4:$U$4003,"正常",出库单!$C$4:$C$4003,"&gt;="&amp;账期起,出库单!$C$4:$C$4003,"&lt;="&amp;账期止))</f>
        <v/>
      </c>
      <c r="W856" s="26">
        <f>IF($A856="","",ROUND(SUMIFS(出库单!$S$4:$S$4003,出库单!$D$4:$D$4003,$A856,出库单!$K$4:$K$4003,"退货给供应商",出库单!$U$4:$U$4003,"正常",出库单!$C$4:$C$4003,"&gt;="&amp;账期起,出库单!$C$4:$C$4003,"&lt;="&amp;账期止),0))</f>
        <v/>
      </c>
      <c r="X856" s="27">
        <f>IF($A856="","",ROUND(N($G856)+$I856+$L856+$N856-$P856-$R856-$T856-$V856,3))</f>
        <v/>
      </c>
      <c r="Y856" s="26">
        <f>IF($A856="","",ROUND(N($H856)+$J856+$M856+$O856-$Q856-$S856-$U856-$W856,0))</f>
        <v/>
      </c>
      <c r="Z856" s="24">
        <f>IF($A856="","",IF(COUNTIFS(入库单!$G$4:$G$2503,$A856,入库单!$Y$4:$Y$2503,"待补价")+COUNTIFS(入库单!$G$4:$G$2503,$A856,入库单!$Y$4:$Y$2503,"暂估")&gt;0,"不可信","可信"))</f>
        <v/>
      </c>
      <c r="AA856" s="24">
        <f>IF($A856="","",IF($X856&lt;-0.001,"※账面负库存，查一下是不是漏记入库",IF(AND(ROUND($X856,3)=0,ABS($Y856)&gt;1),"※数量已经是 0，金额还挂着 "&amp;TEXT($Y856,"#,##0")&amp;" 先令",IF(AND($X856&gt;0,$Y856&lt;=0,$K856=0),"※有数量没金额（这个物料一直没填过进价）",IF($Z856="不可信","△成本含待补价/暂估，毛利仅供参考","")))))</f>
        <v/>
      </c>
    </row>
    <row r="857">
      <c r="A857" s="24">
        <f>IF(物料档案!$A856="","",物料档案!$A856)</f>
        <v/>
      </c>
      <c r="B857" s="24">
        <f>IF($A857="","",IFERROR(VLOOKUP($A857,物料档案!$A$4:$P$1203,3,0),""))</f>
        <v/>
      </c>
      <c r="C857" s="24">
        <f>IF($A857="","",IFERROR(VLOOKUP($A857,物料档案!$A$4:$P$1203,4,0),""))</f>
        <v/>
      </c>
      <c r="D857" s="24">
        <f>IF($A857="","",IFERROR(VLOOKUP($A857,物料档案!$A$4:$P$1203,5,0),""))</f>
        <v/>
      </c>
      <c r="E857" s="24">
        <f>IF($A857="","",IFERROR(VLOOKUP($A857,物料档案!$A$4:$P$1203,2,0),""))</f>
        <v/>
      </c>
      <c r="F857" s="24">
        <f>IF($A857="","",IFERROR(VLOOKUP($A857,物料档案!$A$4:$P$1203,6,0),""))</f>
        <v/>
      </c>
      <c r="G857" s="23" t="n"/>
      <c r="H857" s="32" t="n"/>
      <c r="I857" s="27">
        <f>IF($A857="","",SUMIFS(入库单!$K$4:$K$2503,入库单!$G$4:$G$2503,$A857,入库单!$X$4:$X$2503,"采购入库",入库单!$Z$4:$Z$2503,"正常",入库单!$C$4:$C$2503,"&gt;="&amp;账期起,入库单!$C$4:$C$2503,"&lt;="&amp;账期止))</f>
        <v/>
      </c>
      <c r="J857" s="26">
        <f>IF($A857="","",SUMIFS(入库单!$V$4:$V$2503,入库单!$G$4:$G$2503,$A857,入库单!$X$4:$X$2503,"采购入库",入库单!$Z$4:$Z$2503,"正常",入库单!$C$4:$C$2503,"&gt;="&amp;账期起,入库单!$C$4:$C$2503,"&lt;="&amp;账期止))</f>
        <v/>
      </c>
      <c r="K857" s="26">
        <f>IF($A857="","",IFERROR(ROUND((N($H857)+N($J857))/(N($G857)+N($I857)),2),0))</f>
        <v/>
      </c>
      <c r="L857" s="27">
        <f>IF($A857="","",SUMIFS(入库单!$K$4:$K$2503,入库单!$G$4:$G$2503,$A857,入库单!$X$4:$X$2503,"盘盈",入库单!$Z$4:$Z$2503,"正常",入库单!$C$4:$C$2503,"&gt;="&amp;账期起,入库单!$C$4:$C$2503,"&lt;="&amp;账期止))</f>
        <v/>
      </c>
      <c r="M857" s="26">
        <f>IF($A857="","",ROUND($L857*$K857,0))</f>
        <v/>
      </c>
      <c r="N857" s="27">
        <f>IF($A857="","",SUMIFS(入库单!$K$4:$K$2503,入库单!$G$4:$G$2503,$A857,入库单!$X$4:$X$2503,"矿区退库",入库单!$Z$4:$Z$2503,"正常",入库单!$C$4:$C$2503,"&gt;="&amp;账期起,入库单!$C$4:$C$2503,"&lt;="&amp;账期止))</f>
        <v/>
      </c>
      <c r="O857" s="26">
        <f>IF($A857="","",ROUND($N857*$K857,0))</f>
        <v/>
      </c>
      <c r="P857" s="27">
        <f>IF($A857="","",SUMIFS(出库单!$J$4:$J$4003,出库单!$D$4:$D$4003,$A857,出库单!$K$4:$K$4003,"自用消耗",出库单!$U$4:$U$4003,"正常",出库单!$C$4:$C$4003,"&gt;="&amp;账期起,出库单!$C$4:$C$4003,"&lt;="&amp;账期止))</f>
        <v/>
      </c>
      <c r="Q857" s="26">
        <f>IF($A857="","",ROUND(SUMIFS(出库单!$S$4:$S$4003,出库单!$D$4:$D$4003,$A857,出库单!$K$4:$K$4003,"自用消耗",出库单!$U$4:$U$4003,"正常",出库单!$C$4:$C$4003,"&gt;="&amp;账期起,出库单!$C$4:$C$4003,"&lt;="&amp;账期止),0))</f>
        <v/>
      </c>
      <c r="R857" s="27">
        <f>IF($A857="","",SUMIFS(出库单!$J$4:$J$4003,出库单!$D$4:$D$4003,$A857,出库单!$K$4:$K$4003,"对外销售",出库单!$U$4:$U$4003,"正常",出库单!$C$4:$C$4003,"&gt;="&amp;账期起,出库单!$C$4:$C$4003,"&lt;="&amp;账期止))</f>
        <v/>
      </c>
      <c r="S857" s="26">
        <f>IF($A857="","",ROUND(SUMIFS(出库单!$S$4:$S$4003,出库单!$D$4:$D$4003,$A857,出库单!$K$4:$K$4003,"对外销售",出库单!$U$4:$U$4003,"正常",出库单!$C$4:$C$4003,"&gt;="&amp;账期起,出库单!$C$4:$C$4003,"&lt;="&amp;账期止),0))</f>
        <v/>
      </c>
      <c r="T857" s="27">
        <f>IF($A857="","",SUMIFS(出库单!$J$4:$J$4003,出库单!$D$4:$D$4003,$A857,出库单!$K$4:$K$4003,"盘亏",出库单!$U$4:$U$4003,"正常",出库单!$C$4:$C$4003,"&gt;="&amp;账期起,出库单!$C$4:$C$4003,"&lt;="&amp;账期止))</f>
        <v/>
      </c>
      <c r="U857" s="26">
        <f>IF($A857="","",ROUND(SUMIFS(出库单!$S$4:$S$4003,出库单!$D$4:$D$4003,$A857,出库单!$K$4:$K$4003,"盘亏",出库单!$U$4:$U$4003,"正常",出库单!$C$4:$C$4003,"&gt;="&amp;账期起,出库单!$C$4:$C$4003,"&lt;="&amp;账期止),0))</f>
        <v/>
      </c>
      <c r="V857" s="27">
        <f>IF($A857="","",SUMIFS(出库单!$J$4:$J$4003,出库单!$D$4:$D$4003,$A857,出库单!$K$4:$K$4003,"退货给供应商",出库单!$U$4:$U$4003,"正常",出库单!$C$4:$C$4003,"&gt;="&amp;账期起,出库单!$C$4:$C$4003,"&lt;="&amp;账期止))</f>
        <v/>
      </c>
      <c r="W857" s="26">
        <f>IF($A857="","",ROUND(SUMIFS(出库单!$S$4:$S$4003,出库单!$D$4:$D$4003,$A857,出库单!$K$4:$K$4003,"退货给供应商",出库单!$U$4:$U$4003,"正常",出库单!$C$4:$C$4003,"&gt;="&amp;账期起,出库单!$C$4:$C$4003,"&lt;="&amp;账期止),0))</f>
        <v/>
      </c>
      <c r="X857" s="27">
        <f>IF($A857="","",ROUND(N($G857)+$I857+$L857+$N857-$P857-$R857-$T857-$V857,3))</f>
        <v/>
      </c>
      <c r="Y857" s="26">
        <f>IF($A857="","",ROUND(N($H857)+$J857+$M857+$O857-$Q857-$S857-$U857-$W857,0))</f>
        <v/>
      </c>
      <c r="Z857" s="24">
        <f>IF($A857="","",IF(COUNTIFS(入库单!$G$4:$G$2503,$A857,入库单!$Y$4:$Y$2503,"待补价")+COUNTIFS(入库单!$G$4:$G$2503,$A857,入库单!$Y$4:$Y$2503,"暂估")&gt;0,"不可信","可信"))</f>
        <v/>
      </c>
      <c r="AA857" s="24">
        <f>IF($A857="","",IF($X857&lt;-0.001,"※账面负库存，查一下是不是漏记入库",IF(AND(ROUND($X857,3)=0,ABS($Y857)&gt;1),"※数量已经是 0，金额还挂着 "&amp;TEXT($Y857,"#,##0")&amp;" 先令",IF(AND($X857&gt;0,$Y857&lt;=0,$K857=0),"※有数量没金额（这个物料一直没填过进价）",IF($Z857="不可信","△成本含待补价/暂估，毛利仅供参考","")))))</f>
        <v/>
      </c>
    </row>
    <row r="858">
      <c r="A858" s="24">
        <f>IF(物料档案!$A857="","",物料档案!$A857)</f>
        <v/>
      </c>
      <c r="B858" s="24">
        <f>IF($A858="","",IFERROR(VLOOKUP($A858,物料档案!$A$4:$P$1203,3,0),""))</f>
        <v/>
      </c>
      <c r="C858" s="24">
        <f>IF($A858="","",IFERROR(VLOOKUP($A858,物料档案!$A$4:$P$1203,4,0),""))</f>
        <v/>
      </c>
      <c r="D858" s="24">
        <f>IF($A858="","",IFERROR(VLOOKUP($A858,物料档案!$A$4:$P$1203,5,0),""))</f>
        <v/>
      </c>
      <c r="E858" s="24">
        <f>IF($A858="","",IFERROR(VLOOKUP($A858,物料档案!$A$4:$P$1203,2,0),""))</f>
        <v/>
      </c>
      <c r="F858" s="24">
        <f>IF($A858="","",IFERROR(VLOOKUP($A858,物料档案!$A$4:$P$1203,6,0),""))</f>
        <v/>
      </c>
      <c r="G858" s="23" t="n"/>
      <c r="H858" s="32" t="n"/>
      <c r="I858" s="27">
        <f>IF($A858="","",SUMIFS(入库单!$K$4:$K$2503,入库单!$G$4:$G$2503,$A858,入库单!$X$4:$X$2503,"采购入库",入库单!$Z$4:$Z$2503,"正常",入库单!$C$4:$C$2503,"&gt;="&amp;账期起,入库单!$C$4:$C$2503,"&lt;="&amp;账期止))</f>
        <v/>
      </c>
      <c r="J858" s="26">
        <f>IF($A858="","",SUMIFS(入库单!$V$4:$V$2503,入库单!$G$4:$G$2503,$A858,入库单!$X$4:$X$2503,"采购入库",入库单!$Z$4:$Z$2503,"正常",入库单!$C$4:$C$2503,"&gt;="&amp;账期起,入库单!$C$4:$C$2503,"&lt;="&amp;账期止))</f>
        <v/>
      </c>
      <c r="K858" s="26">
        <f>IF($A858="","",IFERROR(ROUND((N($H858)+N($J858))/(N($G858)+N($I858)),2),0))</f>
        <v/>
      </c>
      <c r="L858" s="27">
        <f>IF($A858="","",SUMIFS(入库单!$K$4:$K$2503,入库单!$G$4:$G$2503,$A858,入库单!$X$4:$X$2503,"盘盈",入库单!$Z$4:$Z$2503,"正常",入库单!$C$4:$C$2503,"&gt;="&amp;账期起,入库单!$C$4:$C$2503,"&lt;="&amp;账期止))</f>
        <v/>
      </c>
      <c r="M858" s="26">
        <f>IF($A858="","",ROUND($L858*$K858,0))</f>
        <v/>
      </c>
      <c r="N858" s="27">
        <f>IF($A858="","",SUMIFS(入库单!$K$4:$K$2503,入库单!$G$4:$G$2503,$A858,入库单!$X$4:$X$2503,"矿区退库",入库单!$Z$4:$Z$2503,"正常",入库单!$C$4:$C$2503,"&gt;="&amp;账期起,入库单!$C$4:$C$2503,"&lt;="&amp;账期止))</f>
        <v/>
      </c>
      <c r="O858" s="26">
        <f>IF($A858="","",ROUND($N858*$K858,0))</f>
        <v/>
      </c>
      <c r="P858" s="27">
        <f>IF($A858="","",SUMIFS(出库单!$J$4:$J$4003,出库单!$D$4:$D$4003,$A858,出库单!$K$4:$K$4003,"自用消耗",出库单!$U$4:$U$4003,"正常",出库单!$C$4:$C$4003,"&gt;="&amp;账期起,出库单!$C$4:$C$4003,"&lt;="&amp;账期止))</f>
        <v/>
      </c>
      <c r="Q858" s="26">
        <f>IF($A858="","",ROUND(SUMIFS(出库单!$S$4:$S$4003,出库单!$D$4:$D$4003,$A858,出库单!$K$4:$K$4003,"自用消耗",出库单!$U$4:$U$4003,"正常",出库单!$C$4:$C$4003,"&gt;="&amp;账期起,出库单!$C$4:$C$4003,"&lt;="&amp;账期止),0))</f>
        <v/>
      </c>
      <c r="R858" s="27">
        <f>IF($A858="","",SUMIFS(出库单!$J$4:$J$4003,出库单!$D$4:$D$4003,$A858,出库单!$K$4:$K$4003,"对外销售",出库单!$U$4:$U$4003,"正常",出库单!$C$4:$C$4003,"&gt;="&amp;账期起,出库单!$C$4:$C$4003,"&lt;="&amp;账期止))</f>
        <v/>
      </c>
      <c r="S858" s="26">
        <f>IF($A858="","",ROUND(SUMIFS(出库单!$S$4:$S$4003,出库单!$D$4:$D$4003,$A858,出库单!$K$4:$K$4003,"对外销售",出库单!$U$4:$U$4003,"正常",出库单!$C$4:$C$4003,"&gt;="&amp;账期起,出库单!$C$4:$C$4003,"&lt;="&amp;账期止),0))</f>
        <v/>
      </c>
      <c r="T858" s="27">
        <f>IF($A858="","",SUMIFS(出库单!$J$4:$J$4003,出库单!$D$4:$D$4003,$A858,出库单!$K$4:$K$4003,"盘亏",出库单!$U$4:$U$4003,"正常",出库单!$C$4:$C$4003,"&gt;="&amp;账期起,出库单!$C$4:$C$4003,"&lt;="&amp;账期止))</f>
        <v/>
      </c>
      <c r="U858" s="26">
        <f>IF($A858="","",ROUND(SUMIFS(出库单!$S$4:$S$4003,出库单!$D$4:$D$4003,$A858,出库单!$K$4:$K$4003,"盘亏",出库单!$U$4:$U$4003,"正常",出库单!$C$4:$C$4003,"&gt;="&amp;账期起,出库单!$C$4:$C$4003,"&lt;="&amp;账期止),0))</f>
        <v/>
      </c>
      <c r="V858" s="27">
        <f>IF($A858="","",SUMIFS(出库单!$J$4:$J$4003,出库单!$D$4:$D$4003,$A858,出库单!$K$4:$K$4003,"退货给供应商",出库单!$U$4:$U$4003,"正常",出库单!$C$4:$C$4003,"&gt;="&amp;账期起,出库单!$C$4:$C$4003,"&lt;="&amp;账期止))</f>
        <v/>
      </c>
      <c r="W858" s="26">
        <f>IF($A858="","",ROUND(SUMIFS(出库单!$S$4:$S$4003,出库单!$D$4:$D$4003,$A858,出库单!$K$4:$K$4003,"退货给供应商",出库单!$U$4:$U$4003,"正常",出库单!$C$4:$C$4003,"&gt;="&amp;账期起,出库单!$C$4:$C$4003,"&lt;="&amp;账期止),0))</f>
        <v/>
      </c>
      <c r="X858" s="27">
        <f>IF($A858="","",ROUND(N($G858)+$I858+$L858+$N858-$P858-$R858-$T858-$V858,3))</f>
        <v/>
      </c>
      <c r="Y858" s="26">
        <f>IF($A858="","",ROUND(N($H858)+$J858+$M858+$O858-$Q858-$S858-$U858-$W858,0))</f>
        <v/>
      </c>
      <c r="Z858" s="24">
        <f>IF($A858="","",IF(COUNTIFS(入库单!$G$4:$G$2503,$A858,入库单!$Y$4:$Y$2503,"待补价")+COUNTIFS(入库单!$G$4:$G$2503,$A858,入库单!$Y$4:$Y$2503,"暂估")&gt;0,"不可信","可信"))</f>
        <v/>
      </c>
      <c r="AA858" s="24">
        <f>IF($A858="","",IF($X858&lt;-0.001,"※账面负库存，查一下是不是漏记入库",IF(AND(ROUND($X858,3)=0,ABS($Y858)&gt;1),"※数量已经是 0，金额还挂着 "&amp;TEXT($Y858,"#,##0")&amp;" 先令",IF(AND($X858&gt;0,$Y858&lt;=0,$K858=0),"※有数量没金额（这个物料一直没填过进价）",IF($Z858="不可信","△成本含待补价/暂估，毛利仅供参考","")))))</f>
        <v/>
      </c>
    </row>
    <row r="859">
      <c r="A859" s="24">
        <f>IF(物料档案!$A858="","",物料档案!$A858)</f>
        <v/>
      </c>
      <c r="B859" s="24">
        <f>IF($A859="","",IFERROR(VLOOKUP($A859,物料档案!$A$4:$P$1203,3,0),""))</f>
        <v/>
      </c>
      <c r="C859" s="24">
        <f>IF($A859="","",IFERROR(VLOOKUP($A859,物料档案!$A$4:$P$1203,4,0),""))</f>
        <v/>
      </c>
      <c r="D859" s="24">
        <f>IF($A859="","",IFERROR(VLOOKUP($A859,物料档案!$A$4:$P$1203,5,0),""))</f>
        <v/>
      </c>
      <c r="E859" s="24">
        <f>IF($A859="","",IFERROR(VLOOKUP($A859,物料档案!$A$4:$P$1203,2,0),""))</f>
        <v/>
      </c>
      <c r="F859" s="24">
        <f>IF($A859="","",IFERROR(VLOOKUP($A859,物料档案!$A$4:$P$1203,6,0),""))</f>
        <v/>
      </c>
      <c r="G859" s="23" t="n"/>
      <c r="H859" s="32" t="n"/>
      <c r="I859" s="27">
        <f>IF($A859="","",SUMIFS(入库单!$K$4:$K$2503,入库单!$G$4:$G$2503,$A859,入库单!$X$4:$X$2503,"采购入库",入库单!$Z$4:$Z$2503,"正常",入库单!$C$4:$C$2503,"&gt;="&amp;账期起,入库单!$C$4:$C$2503,"&lt;="&amp;账期止))</f>
        <v/>
      </c>
      <c r="J859" s="26">
        <f>IF($A859="","",SUMIFS(入库单!$V$4:$V$2503,入库单!$G$4:$G$2503,$A859,入库单!$X$4:$X$2503,"采购入库",入库单!$Z$4:$Z$2503,"正常",入库单!$C$4:$C$2503,"&gt;="&amp;账期起,入库单!$C$4:$C$2503,"&lt;="&amp;账期止))</f>
        <v/>
      </c>
      <c r="K859" s="26">
        <f>IF($A859="","",IFERROR(ROUND((N($H859)+N($J859))/(N($G859)+N($I859)),2),0))</f>
        <v/>
      </c>
      <c r="L859" s="27">
        <f>IF($A859="","",SUMIFS(入库单!$K$4:$K$2503,入库单!$G$4:$G$2503,$A859,入库单!$X$4:$X$2503,"盘盈",入库单!$Z$4:$Z$2503,"正常",入库单!$C$4:$C$2503,"&gt;="&amp;账期起,入库单!$C$4:$C$2503,"&lt;="&amp;账期止))</f>
        <v/>
      </c>
      <c r="M859" s="26">
        <f>IF($A859="","",ROUND($L859*$K859,0))</f>
        <v/>
      </c>
      <c r="N859" s="27">
        <f>IF($A859="","",SUMIFS(入库单!$K$4:$K$2503,入库单!$G$4:$G$2503,$A859,入库单!$X$4:$X$2503,"矿区退库",入库单!$Z$4:$Z$2503,"正常",入库单!$C$4:$C$2503,"&gt;="&amp;账期起,入库单!$C$4:$C$2503,"&lt;="&amp;账期止))</f>
        <v/>
      </c>
      <c r="O859" s="26">
        <f>IF($A859="","",ROUND($N859*$K859,0))</f>
        <v/>
      </c>
      <c r="P859" s="27">
        <f>IF($A859="","",SUMIFS(出库单!$J$4:$J$4003,出库单!$D$4:$D$4003,$A859,出库单!$K$4:$K$4003,"自用消耗",出库单!$U$4:$U$4003,"正常",出库单!$C$4:$C$4003,"&gt;="&amp;账期起,出库单!$C$4:$C$4003,"&lt;="&amp;账期止))</f>
        <v/>
      </c>
      <c r="Q859" s="26">
        <f>IF($A859="","",ROUND(SUMIFS(出库单!$S$4:$S$4003,出库单!$D$4:$D$4003,$A859,出库单!$K$4:$K$4003,"自用消耗",出库单!$U$4:$U$4003,"正常",出库单!$C$4:$C$4003,"&gt;="&amp;账期起,出库单!$C$4:$C$4003,"&lt;="&amp;账期止),0))</f>
        <v/>
      </c>
      <c r="R859" s="27">
        <f>IF($A859="","",SUMIFS(出库单!$J$4:$J$4003,出库单!$D$4:$D$4003,$A859,出库单!$K$4:$K$4003,"对外销售",出库单!$U$4:$U$4003,"正常",出库单!$C$4:$C$4003,"&gt;="&amp;账期起,出库单!$C$4:$C$4003,"&lt;="&amp;账期止))</f>
        <v/>
      </c>
      <c r="S859" s="26">
        <f>IF($A859="","",ROUND(SUMIFS(出库单!$S$4:$S$4003,出库单!$D$4:$D$4003,$A859,出库单!$K$4:$K$4003,"对外销售",出库单!$U$4:$U$4003,"正常",出库单!$C$4:$C$4003,"&gt;="&amp;账期起,出库单!$C$4:$C$4003,"&lt;="&amp;账期止),0))</f>
        <v/>
      </c>
      <c r="T859" s="27">
        <f>IF($A859="","",SUMIFS(出库单!$J$4:$J$4003,出库单!$D$4:$D$4003,$A859,出库单!$K$4:$K$4003,"盘亏",出库单!$U$4:$U$4003,"正常",出库单!$C$4:$C$4003,"&gt;="&amp;账期起,出库单!$C$4:$C$4003,"&lt;="&amp;账期止))</f>
        <v/>
      </c>
      <c r="U859" s="26">
        <f>IF($A859="","",ROUND(SUMIFS(出库单!$S$4:$S$4003,出库单!$D$4:$D$4003,$A859,出库单!$K$4:$K$4003,"盘亏",出库单!$U$4:$U$4003,"正常",出库单!$C$4:$C$4003,"&gt;="&amp;账期起,出库单!$C$4:$C$4003,"&lt;="&amp;账期止),0))</f>
        <v/>
      </c>
      <c r="V859" s="27">
        <f>IF($A859="","",SUMIFS(出库单!$J$4:$J$4003,出库单!$D$4:$D$4003,$A859,出库单!$K$4:$K$4003,"退货给供应商",出库单!$U$4:$U$4003,"正常",出库单!$C$4:$C$4003,"&gt;="&amp;账期起,出库单!$C$4:$C$4003,"&lt;="&amp;账期止))</f>
        <v/>
      </c>
      <c r="W859" s="26">
        <f>IF($A859="","",ROUND(SUMIFS(出库单!$S$4:$S$4003,出库单!$D$4:$D$4003,$A859,出库单!$K$4:$K$4003,"退货给供应商",出库单!$U$4:$U$4003,"正常",出库单!$C$4:$C$4003,"&gt;="&amp;账期起,出库单!$C$4:$C$4003,"&lt;="&amp;账期止),0))</f>
        <v/>
      </c>
      <c r="X859" s="27">
        <f>IF($A859="","",ROUND(N($G859)+$I859+$L859+$N859-$P859-$R859-$T859-$V859,3))</f>
        <v/>
      </c>
      <c r="Y859" s="26">
        <f>IF($A859="","",ROUND(N($H859)+$J859+$M859+$O859-$Q859-$S859-$U859-$W859,0))</f>
        <v/>
      </c>
      <c r="Z859" s="24">
        <f>IF($A859="","",IF(COUNTIFS(入库单!$G$4:$G$2503,$A859,入库单!$Y$4:$Y$2503,"待补价")+COUNTIFS(入库单!$G$4:$G$2503,$A859,入库单!$Y$4:$Y$2503,"暂估")&gt;0,"不可信","可信"))</f>
        <v/>
      </c>
      <c r="AA859" s="24">
        <f>IF($A859="","",IF($X859&lt;-0.001,"※账面负库存，查一下是不是漏记入库",IF(AND(ROUND($X859,3)=0,ABS($Y859)&gt;1),"※数量已经是 0，金额还挂着 "&amp;TEXT($Y859,"#,##0")&amp;" 先令",IF(AND($X859&gt;0,$Y859&lt;=0,$K859=0),"※有数量没金额（这个物料一直没填过进价）",IF($Z859="不可信","△成本含待补价/暂估，毛利仅供参考","")))))</f>
        <v/>
      </c>
    </row>
    <row r="860">
      <c r="A860" s="24">
        <f>IF(物料档案!$A859="","",物料档案!$A859)</f>
        <v/>
      </c>
      <c r="B860" s="24">
        <f>IF($A860="","",IFERROR(VLOOKUP($A860,物料档案!$A$4:$P$1203,3,0),""))</f>
        <v/>
      </c>
      <c r="C860" s="24">
        <f>IF($A860="","",IFERROR(VLOOKUP($A860,物料档案!$A$4:$P$1203,4,0),""))</f>
        <v/>
      </c>
      <c r="D860" s="24">
        <f>IF($A860="","",IFERROR(VLOOKUP($A860,物料档案!$A$4:$P$1203,5,0),""))</f>
        <v/>
      </c>
      <c r="E860" s="24">
        <f>IF($A860="","",IFERROR(VLOOKUP($A860,物料档案!$A$4:$P$1203,2,0),""))</f>
        <v/>
      </c>
      <c r="F860" s="24">
        <f>IF($A860="","",IFERROR(VLOOKUP($A860,物料档案!$A$4:$P$1203,6,0),""))</f>
        <v/>
      </c>
      <c r="G860" s="23" t="n"/>
      <c r="H860" s="32" t="n"/>
      <c r="I860" s="27">
        <f>IF($A860="","",SUMIFS(入库单!$K$4:$K$2503,入库单!$G$4:$G$2503,$A860,入库单!$X$4:$X$2503,"采购入库",入库单!$Z$4:$Z$2503,"正常",入库单!$C$4:$C$2503,"&gt;="&amp;账期起,入库单!$C$4:$C$2503,"&lt;="&amp;账期止))</f>
        <v/>
      </c>
      <c r="J860" s="26">
        <f>IF($A860="","",SUMIFS(入库单!$V$4:$V$2503,入库单!$G$4:$G$2503,$A860,入库单!$X$4:$X$2503,"采购入库",入库单!$Z$4:$Z$2503,"正常",入库单!$C$4:$C$2503,"&gt;="&amp;账期起,入库单!$C$4:$C$2503,"&lt;="&amp;账期止))</f>
        <v/>
      </c>
      <c r="K860" s="26">
        <f>IF($A860="","",IFERROR(ROUND((N($H860)+N($J860))/(N($G860)+N($I860)),2),0))</f>
        <v/>
      </c>
      <c r="L860" s="27">
        <f>IF($A860="","",SUMIFS(入库单!$K$4:$K$2503,入库单!$G$4:$G$2503,$A860,入库单!$X$4:$X$2503,"盘盈",入库单!$Z$4:$Z$2503,"正常",入库单!$C$4:$C$2503,"&gt;="&amp;账期起,入库单!$C$4:$C$2503,"&lt;="&amp;账期止))</f>
        <v/>
      </c>
      <c r="M860" s="26">
        <f>IF($A860="","",ROUND($L860*$K860,0))</f>
        <v/>
      </c>
      <c r="N860" s="27">
        <f>IF($A860="","",SUMIFS(入库单!$K$4:$K$2503,入库单!$G$4:$G$2503,$A860,入库单!$X$4:$X$2503,"矿区退库",入库单!$Z$4:$Z$2503,"正常",入库单!$C$4:$C$2503,"&gt;="&amp;账期起,入库单!$C$4:$C$2503,"&lt;="&amp;账期止))</f>
        <v/>
      </c>
      <c r="O860" s="26">
        <f>IF($A860="","",ROUND($N860*$K860,0))</f>
        <v/>
      </c>
      <c r="P860" s="27">
        <f>IF($A860="","",SUMIFS(出库单!$J$4:$J$4003,出库单!$D$4:$D$4003,$A860,出库单!$K$4:$K$4003,"自用消耗",出库单!$U$4:$U$4003,"正常",出库单!$C$4:$C$4003,"&gt;="&amp;账期起,出库单!$C$4:$C$4003,"&lt;="&amp;账期止))</f>
        <v/>
      </c>
      <c r="Q860" s="26">
        <f>IF($A860="","",ROUND(SUMIFS(出库单!$S$4:$S$4003,出库单!$D$4:$D$4003,$A860,出库单!$K$4:$K$4003,"自用消耗",出库单!$U$4:$U$4003,"正常",出库单!$C$4:$C$4003,"&gt;="&amp;账期起,出库单!$C$4:$C$4003,"&lt;="&amp;账期止),0))</f>
        <v/>
      </c>
      <c r="R860" s="27">
        <f>IF($A860="","",SUMIFS(出库单!$J$4:$J$4003,出库单!$D$4:$D$4003,$A860,出库单!$K$4:$K$4003,"对外销售",出库单!$U$4:$U$4003,"正常",出库单!$C$4:$C$4003,"&gt;="&amp;账期起,出库单!$C$4:$C$4003,"&lt;="&amp;账期止))</f>
        <v/>
      </c>
      <c r="S860" s="26">
        <f>IF($A860="","",ROUND(SUMIFS(出库单!$S$4:$S$4003,出库单!$D$4:$D$4003,$A860,出库单!$K$4:$K$4003,"对外销售",出库单!$U$4:$U$4003,"正常",出库单!$C$4:$C$4003,"&gt;="&amp;账期起,出库单!$C$4:$C$4003,"&lt;="&amp;账期止),0))</f>
        <v/>
      </c>
      <c r="T860" s="27">
        <f>IF($A860="","",SUMIFS(出库单!$J$4:$J$4003,出库单!$D$4:$D$4003,$A860,出库单!$K$4:$K$4003,"盘亏",出库单!$U$4:$U$4003,"正常",出库单!$C$4:$C$4003,"&gt;="&amp;账期起,出库单!$C$4:$C$4003,"&lt;="&amp;账期止))</f>
        <v/>
      </c>
      <c r="U860" s="26">
        <f>IF($A860="","",ROUND(SUMIFS(出库单!$S$4:$S$4003,出库单!$D$4:$D$4003,$A860,出库单!$K$4:$K$4003,"盘亏",出库单!$U$4:$U$4003,"正常",出库单!$C$4:$C$4003,"&gt;="&amp;账期起,出库单!$C$4:$C$4003,"&lt;="&amp;账期止),0))</f>
        <v/>
      </c>
      <c r="V860" s="27">
        <f>IF($A860="","",SUMIFS(出库单!$J$4:$J$4003,出库单!$D$4:$D$4003,$A860,出库单!$K$4:$K$4003,"退货给供应商",出库单!$U$4:$U$4003,"正常",出库单!$C$4:$C$4003,"&gt;="&amp;账期起,出库单!$C$4:$C$4003,"&lt;="&amp;账期止))</f>
        <v/>
      </c>
      <c r="W860" s="26">
        <f>IF($A860="","",ROUND(SUMIFS(出库单!$S$4:$S$4003,出库单!$D$4:$D$4003,$A860,出库单!$K$4:$K$4003,"退货给供应商",出库单!$U$4:$U$4003,"正常",出库单!$C$4:$C$4003,"&gt;="&amp;账期起,出库单!$C$4:$C$4003,"&lt;="&amp;账期止),0))</f>
        <v/>
      </c>
      <c r="X860" s="27">
        <f>IF($A860="","",ROUND(N($G860)+$I860+$L860+$N860-$P860-$R860-$T860-$V860,3))</f>
        <v/>
      </c>
      <c r="Y860" s="26">
        <f>IF($A860="","",ROUND(N($H860)+$J860+$M860+$O860-$Q860-$S860-$U860-$W860,0))</f>
        <v/>
      </c>
      <c r="Z860" s="24">
        <f>IF($A860="","",IF(COUNTIFS(入库单!$G$4:$G$2503,$A860,入库单!$Y$4:$Y$2503,"待补价")+COUNTIFS(入库单!$G$4:$G$2503,$A860,入库单!$Y$4:$Y$2503,"暂估")&gt;0,"不可信","可信"))</f>
        <v/>
      </c>
      <c r="AA860" s="24">
        <f>IF($A860="","",IF($X860&lt;-0.001,"※账面负库存，查一下是不是漏记入库",IF(AND(ROUND($X860,3)=0,ABS($Y860)&gt;1),"※数量已经是 0，金额还挂着 "&amp;TEXT($Y860,"#,##0")&amp;" 先令",IF(AND($X860&gt;0,$Y860&lt;=0,$K860=0),"※有数量没金额（这个物料一直没填过进价）",IF($Z860="不可信","△成本含待补价/暂估，毛利仅供参考","")))))</f>
        <v/>
      </c>
    </row>
    <row r="861">
      <c r="A861" s="24">
        <f>IF(物料档案!$A860="","",物料档案!$A860)</f>
        <v/>
      </c>
      <c r="B861" s="24">
        <f>IF($A861="","",IFERROR(VLOOKUP($A861,物料档案!$A$4:$P$1203,3,0),""))</f>
        <v/>
      </c>
      <c r="C861" s="24">
        <f>IF($A861="","",IFERROR(VLOOKUP($A861,物料档案!$A$4:$P$1203,4,0),""))</f>
        <v/>
      </c>
      <c r="D861" s="24">
        <f>IF($A861="","",IFERROR(VLOOKUP($A861,物料档案!$A$4:$P$1203,5,0),""))</f>
        <v/>
      </c>
      <c r="E861" s="24">
        <f>IF($A861="","",IFERROR(VLOOKUP($A861,物料档案!$A$4:$P$1203,2,0),""))</f>
        <v/>
      </c>
      <c r="F861" s="24">
        <f>IF($A861="","",IFERROR(VLOOKUP($A861,物料档案!$A$4:$P$1203,6,0),""))</f>
        <v/>
      </c>
      <c r="G861" s="23" t="n"/>
      <c r="H861" s="32" t="n"/>
      <c r="I861" s="27">
        <f>IF($A861="","",SUMIFS(入库单!$K$4:$K$2503,入库单!$G$4:$G$2503,$A861,入库单!$X$4:$X$2503,"采购入库",入库单!$Z$4:$Z$2503,"正常",入库单!$C$4:$C$2503,"&gt;="&amp;账期起,入库单!$C$4:$C$2503,"&lt;="&amp;账期止))</f>
        <v/>
      </c>
      <c r="J861" s="26">
        <f>IF($A861="","",SUMIFS(入库单!$V$4:$V$2503,入库单!$G$4:$G$2503,$A861,入库单!$X$4:$X$2503,"采购入库",入库单!$Z$4:$Z$2503,"正常",入库单!$C$4:$C$2503,"&gt;="&amp;账期起,入库单!$C$4:$C$2503,"&lt;="&amp;账期止))</f>
        <v/>
      </c>
      <c r="K861" s="26">
        <f>IF($A861="","",IFERROR(ROUND((N($H861)+N($J861))/(N($G861)+N($I861)),2),0))</f>
        <v/>
      </c>
      <c r="L861" s="27">
        <f>IF($A861="","",SUMIFS(入库单!$K$4:$K$2503,入库单!$G$4:$G$2503,$A861,入库单!$X$4:$X$2503,"盘盈",入库单!$Z$4:$Z$2503,"正常",入库单!$C$4:$C$2503,"&gt;="&amp;账期起,入库单!$C$4:$C$2503,"&lt;="&amp;账期止))</f>
        <v/>
      </c>
      <c r="M861" s="26">
        <f>IF($A861="","",ROUND($L861*$K861,0))</f>
        <v/>
      </c>
      <c r="N861" s="27">
        <f>IF($A861="","",SUMIFS(入库单!$K$4:$K$2503,入库单!$G$4:$G$2503,$A861,入库单!$X$4:$X$2503,"矿区退库",入库单!$Z$4:$Z$2503,"正常",入库单!$C$4:$C$2503,"&gt;="&amp;账期起,入库单!$C$4:$C$2503,"&lt;="&amp;账期止))</f>
        <v/>
      </c>
      <c r="O861" s="26">
        <f>IF($A861="","",ROUND($N861*$K861,0))</f>
        <v/>
      </c>
      <c r="P861" s="27">
        <f>IF($A861="","",SUMIFS(出库单!$J$4:$J$4003,出库单!$D$4:$D$4003,$A861,出库单!$K$4:$K$4003,"自用消耗",出库单!$U$4:$U$4003,"正常",出库单!$C$4:$C$4003,"&gt;="&amp;账期起,出库单!$C$4:$C$4003,"&lt;="&amp;账期止))</f>
        <v/>
      </c>
      <c r="Q861" s="26">
        <f>IF($A861="","",ROUND(SUMIFS(出库单!$S$4:$S$4003,出库单!$D$4:$D$4003,$A861,出库单!$K$4:$K$4003,"自用消耗",出库单!$U$4:$U$4003,"正常",出库单!$C$4:$C$4003,"&gt;="&amp;账期起,出库单!$C$4:$C$4003,"&lt;="&amp;账期止),0))</f>
        <v/>
      </c>
      <c r="R861" s="27">
        <f>IF($A861="","",SUMIFS(出库单!$J$4:$J$4003,出库单!$D$4:$D$4003,$A861,出库单!$K$4:$K$4003,"对外销售",出库单!$U$4:$U$4003,"正常",出库单!$C$4:$C$4003,"&gt;="&amp;账期起,出库单!$C$4:$C$4003,"&lt;="&amp;账期止))</f>
        <v/>
      </c>
      <c r="S861" s="26">
        <f>IF($A861="","",ROUND(SUMIFS(出库单!$S$4:$S$4003,出库单!$D$4:$D$4003,$A861,出库单!$K$4:$K$4003,"对外销售",出库单!$U$4:$U$4003,"正常",出库单!$C$4:$C$4003,"&gt;="&amp;账期起,出库单!$C$4:$C$4003,"&lt;="&amp;账期止),0))</f>
        <v/>
      </c>
      <c r="T861" s="27">
        <f>IF($A861="","",SUMIFS(出库单!$J$4:$J$4003,出库单!$D$4:$D$4003,$A861,出库单!$K$4:$K$4003,"盘亏",出库单!$U$4:$U$4003,"正常",出库单!$C$4:$C$4003,"&gt;="&amp;账期起,出库单!$C$4:$C$4003,"&lt;="&amp;账期止))</f>
        <v/>
      </c>
      <c r="U861" s="26">
        <f>IF($A861="","",ROUND(SUMIFS(出库单!$S$4:$S$4003,出库单!$D$4:$D$4003,$A861,出库单!$K$4:$K$4003,"盘亏",出库单!$U$4:$U$4003,"正常",出库单!$C$4:$C$4003,"&gt;="&amp;账期起,出库单!$C$4:$C$4003,"&lt;="&amp;账期止),0))</f>
        <v/>
      </c>
      <c r="V861" s="27">
        <f>IF($A861="","",SUMIFS(出库单!$J$4:$J$4003,出库单!$D$4:$D$4003,$A861,出库单!$K$4:$K$4003,"退货给供应商",出库单!$U$4:$U$4003,"正常",出库单!$C$4:$C$4003,"&gt;="&amp;账期起,出库单!$C$4:$C$4003,"&lt;="&amp;账期止))</f>
        <v/>
      </c>
      <c r="W861" s="26">
        <f>IF($A861="","",ROUND(SUMIFS(出库单!$S$4:$S$4003,出库单!$D$4:$D$4003,$A861,出库单!$K$4:$K$4003,"退货给供应商",出库单!$U$4:$U$4003,"正常",出库单!$C$4:$C$4003,"&gt;="&amp;账期起,出库单!$C$4:$C$4003,"&lt;="&amp;账期止),0))</f>
        <v/>
      </c>
      <c r="X861" s="27">
        <f>IF($A861="","",ROUND(N($G861)+$I861+$L861+$N861-$P861-$R861-$T861-$V861,3))</f>
        <v/>
      </c>
      <c r="Y861" s="26">
        <f>IF($A861="","",ROUND(N($H861)+$J861+$M861+$O861-$Q861-$S861-$U861-$W861,0))</f>
        <v/>
      </c>
      <c r="Z861" s="24">
        <f>IF($A861="","",IF(COUNTIFS(入库单!$G$4:$G$2503,$A861,入库单!$Y$4:$Y$2503,"待补价")+COUNTIFS(入库单!$G$4:$G$2503,$A861,入库单!$Y$4:$Y$2503,"暂估")&gt;0,"不可信","可信"))</f>
        <v/>
      </c>
      <c r="AA861" s="24">
        <f>IF($A861="","",IF($X861&lt;-0.001,"※账面负库存，查一下是不是漏记入库",IF(AND(ROUND($X861,3)=0,ABS($Y861)&gt;1),"※数量已经是 0，金额还挂着 "&amp;TEXT($Y861,"#,##0")&amp;" 先令",IF(AND($X861&gt;0,$Y861&lt;=0,$K861=0),"※有数量没金额（这个物料一直没填过进价）",IF($Z861="不可信","△成本含待补价/暂估，毛利仅供参考","")))))</f>
        <v/>
      </c>
    </row>
    <row r="862">
      <c r="A862" s="24">
        <f>IF(物料档案!$A861="","",物料档案!$A861)</f>
        <v/>
      </c>
      <c r="B862" s="24">
        <f>IF($A862="","",IFERROR(VLOOKUP($A862,物料档案!$A$4:$P$1203,3,0),""))</f>
        <v/>
      </c>
      <c r="C862" s="24">
        <f>IF($A862="","",IFERROR(VLOOKUP($A862,物料档案!$A$4:$P$1203,4,0),""))</f>
        <v/>
      </c>
      <c r="D862" s="24">
        <f>IF($A862="","",IFERROR(VLOOKUP($A862,物料档案!$A$4:$P$1203,5,0),""))</f>
        <v/>
      </c>
      <c r="E862" s="24">
        <f>IF($A862="","",IFERROR(VLOOKUP($A862,物料档案!$A$4:$P$1203,2,0),""))</f>
        <v/>
      </c>
      <c r="F862" s="24">
        <f>IF($A862="","",IFERROR(VLOOKUP($A862,物料档案!$A$4:$P$1203,6,0),""))</f>
        <v/>
      </c>
      <c r="G862" s="23" t="n"/>
      <c r="H862" s="32" t="n"/>
      <c r="I862" s="27">
        <f>IF($A862="","",SUMIFS(入库单!$K$4:$K$2503,入库单!$G$4:$G$2503,$A862,入库单!$X$4:$X$2503,"采购入库",入库单!$Z$4:$Z$2503,"正常",入库单!$C$4:$C$2503,"&gt;="&amp;账期起,入库单!$C$4:$C$2503,"&lt;="&amp;账期止))</f>
        <v/>
      </c>
      <c r="J862" s="26">
        <f>IF($A862="","",SUMIFS(入库单!$V$4:$V$2503,入库单!$G$4:$G$2503,$A862,入库单!$X$4:$X$2503,"采购入库",入库单!$Z$4:$Z$2503,"正常",入库单!$C$4:$C$2503,"&gt;="&amp;账期起,入库单!$C$4:$C$2503,"&lt;="&amp;账期止))</f>
        <v/>
      </c>
      <c r="K862" s="26">
        <f>IF($A862="","",IFERROR(ROUND((N($H862)+N($J862))/(N($G862)+N($I862)),2),0))</f>
        <v/>
      </c>
      <c r="L862" s="27">
        <f>IF($A862="","",SUMIFS(入库单!$K$4:$K$2503,入库单!$G$4:$G$2503,$A862,入库单!$X$4:$X$2503,"盘盈",入库单!$Z$4:$Z$2503,"正常",入库单!$C$4:$C$2503,"&gt;="&amp;账期起,入库单!$C$4:$C$2503,"&lt;="&amp;账期止))</f>
        <v/>
      </c>
      <c r="M862" s="26">
        <f>IF($A862="","",ROUND($L862*$K862,0))</f>
        <v/>
      </c>
      <c r="N862" s="27">
        <f>IF($A862="","",SUMIFS(入库单!$K$4:$K$2503,入库单!$G$4:$G$2503,$A862,入库单!$X$4:$X$2503,"矿区退库",入库单!$Z$4:$Z$2503,"正常",入库单!$C$4:$C$2503,"&gt;="&amp;账期起,入库单!$C$4:$C$2503,"&lt;="&amp;账期止))</f>
        <v/>
      </c>
      <c r="O862" s="26">
        <f>IF($A862="","",ROUND($N862*$K862,0))</f>
        <v/>
      </c>
      <c r="P862" s="27">
        <f>IF($A862="","",SUMIFS(出库单!$J$4:$J$4003,出库单!$D$4:$D$4003,$A862,出库单!$K$4:$K$4003,"自用消耗",出库单!$U$4:$U$4003,"正常",出库单!$C$4:$C$4003,"&gt;="&amp;账期起,出库单!$C$4:$C$4003,"&lt;="&amp;账期止))</f>
        <v/>
      </c>
      <c r="Q862" s="26">
        <f>IF($A862="","",ROUND(SUMIFS(出库单!$S$4:$S$4003,出库单!$D$4:$D$4003,$A862,出库单!$K$4:$K$4003,"自用消耗",出库单!$U$4:$U$4003,"正常",出库单!$C$4:$C$4003,"&gt;="&amp;账期起,出库单!$C$4:$C$4003,"&lt;="&amp;账期止),0))</f>
        <v/>
      </c>
      <c r="R862" s="27">
        <f>IF($A862="","",SUMIFS(出库单!$J$4:$J$4003,出库单!$D$4:$D$4003,$A862,出库单!$K$4:$K$4003,"对外销售",出库单!$U$4:$U$4003,"正常",出库单!$C$4:$C$4003,"&gt;="&amp;账期起,出库单!$C$4:$C$4003,"&lt;="&amp;账期止))</f>
        <v/>
      </c>
      <c r="S862" s="26">
        <f>IF($A862="","",ROUND(SUMIFS(出库单!$S$4:$S$4003,出库单!$D$4:$D$4003,$A862,出库单!$K$4:$K$4003,"对外销售",出库单!$U$4:$U$4003,"正常",出库单!$C$4:$C$4003,"&gt;="&amp;账期起,出库单!$C$4:$C$4003,"&lt;="&amp;账期止),0))</f>
        <v/>
      </c>
      <c r="T862" s="27">
        <f>IF($A862="","",SUMIFS(出库单!$J$4:$J$4003,出库单!$D$4:$D$4003,$A862,出库单!$K$4:$K$4003,"盘亏",出库单!$U$4:$U$4003,"正常",出库单!$C$4:$C$4003,"&gt;="&amp;账期起,出库单!$C$4:$C$4003,"&lt;="&amp;账期止))</f>
        <v/>
      </c>
      <c r="U862" s="26">
        <f>IF($A862="","",ROUND(SUMIFS(出库单!$S$4:$S$4003,出库单!$D$4:$D$4003,$A862,出库单!$K$4:$K$4003,"盘亏",出库单!$U$4:$U$4003,"正常",出库单!$C$4:$C$4003,"&gt;="&amp;账期起,出库单!$C$4:$C$4003,"&lt;="&amp;账期止),0))</f>
        <v/>
      </c>
      <c r="V862" s="27">
        <f>IF($A862="","",SUMIFS(出库单!$J$4:$J$4003,出库单!$D$4:$D$4003,$A862,出库单!$K$4:$K$4003,"退货给供应商",出库单!$U$4:$U$4003,"正常",出库单!$C$4:$C$4003,"&gt;="&amp;账期起,出库单!$C$4:$C$4003,"&lt;="&amp;账期止))</f>
        <v/>
      </c>
      <c r="W862" s="26">
        <f>IF($A862="","",ROUND(SUMIFS(出库单!$S$4:$S$4003,出库单!$D$4:$D$4003,$A862,出库单!$K$4:$K$4003,"退货给供应商",出库单!$U$4:$U$4003,"正常",出库单!$C$4:$C$4003,"&gt;="&amp;账期起,出库单!$C$4:$C$4003,"&lt;="&amp;账期止),0))</f>
        <v/>
      </c>
      <c r="X862" s="27">
        <f>IF($A862="","",ROUND(N($G862)+$I862+$L862+$N862-$P862-$R862-$T862-$V862,3))</f>
        <v/>
      </c>
      <c r="Y862" s="26">
        <f>IF($A862="","",ROUND(N($H862)+$J862+$M862+$O862-$Q862-$S862-$U862-$W862,0))</f>
        <v/>
      </c>
      <c r="Z862" s="24">
        <f>IF($A862="","",IF(COUNTIFS(入库单!$G$4:$G$2503,$A862,入库单!$Y$4:$Y$2503,"待补价")+COUNTIFS(入库单!$G$4:$G$2503,$A862,入库单!$Y$4:$Y$2503,"暂估")&gt;0,"不可信","可信"))</f>
        <v/>
      </c>
      <c r="AA862" s="24">
        <f>IF($A862="","",IF($X862&lt;-0.001,"※账面负库存，查一下是不是漏记入库",IF(AND(ROUND($X862,3)=0,ABS($Y862)&gt;1),"※数量已经是 0，金额还挂着 "&amp;TEXT($Y862,"#,##0")&amp;" 先令",IF(AND($X862&gt;0,$Y862&lt;=0,$K862=0),"※有数量没金额（这个物料一直没填过进价）",IF($Z862="不可信","△成本含待补价/暂估，毛利仅供参考","")))))</f>
        <v/>
      </c>
    </row>
    <row r="863">
      <c r="A863" s="24">
        <f>IF(物料档案!$A862="","",物料档案!$A862)</f>
        <v/>
      </c>
      <c r="B863" s="24">
        <f>IF($A863="","",IFERROR(VLOOKUP($A863,物料档案!$A$4:$P$1203,3,0),""))</f>
        <v/>
      </c>
      <c r="C863" s="24">
        <f>IF($A863="","",IFERROR(VLOOKUP($A863,物料档案!$A$4:$P$1203,4,0),""))</f>
        <v/>
      </c>
      <c r="D863" s="24">
        <f>IF($A863="","",IFERROR(VLOOKUP($A863,物料档案!$A$4:$P$1203,5,0),""))</f>
        <v/>
      </c>
      <c r="E863" s="24">
        <f>IF($A863="","",IFERROR(VLOOKUP($A863,物料档案!$A$4:$P$1203,2,0),""))</f>
        <v/>
      </c>
      <c r="F863" s="24">
        <f>IF($A863="","",IFERROR(VLOOKUP($A863,物料档案!$A$4:$P$1203,6,0),""))</f>
        <v/>
      </c>
      <c r="G863" s="23" t="n"/>
      <c r="H863" s="32" t="n"/>
      <c r="I863" s="27">
        <f>IF($A863="","",SUMIFS(入库单!$K$4:$K$2503,入库单!$G$4:$G$2503,$A863,入库单!$X$4:$X$2503,"采购入库",入库单!$Z$4:$Z$2503,"正常",入库单!$C$4:$C$2503,"&gt;="&amp;账期起,入库单!$C$4:$C$2503,"&lt;="&amp;账期止))</f>
        <v/>
      </c>
      <c r="J863" s="26">
        <f>IF($A863="","",SUMIFS(入库单!$V$4:$V$2503,入库单!$G$4:$G$2503,$A863,入库单!$X$4:$X$2503,"采购入库",入库单!$Z$4:$Z$2503,"正常",入库单!$C$4:$C$2503,"&gt;="&amp;账期起,入库单!$C$4:$C$2503,"&lt;="&amp;账期止))</f>
        <v/>
      </c>
      <c r="K863" s="26">
        <f>IF($A863="","",IFERROR(ROUND((N($H863)+N($J863))/(N($G863)+N($I863)),2),0))</f>
        <v/>
      </c>
      <c r="L863" s="27">
        <f>IF($A863="","",SUMIFS(入库单!$K$4:$K$2503,入库单!$G$4:$G$2503,$A863,入库单!$X$4:$X$2503,"盘盈",入库单!$Z$4:$Z$2503,"正常",入库单!$C$4:$C$2503,"&gt;="&amp;账期起,入库单!$C$4:$C$2503,"&lt;="&amp;账期止))</f>
        <v/>
      </c>
      <c r="M863" s="26">
        <f>IF($A863="","",ROUND($L863*$K863,0))</f>
        <v/>
      </c>
      <c r="N863" s="27">
        <f>IF($A863="","",SUMIFS(入库单!$K$4:$K$2503,入库单!$G$4:$G$2503,$A863,入库单!$X$4:$X$2503,"矿区退库",入库单!$Z$4:$Z$2503,"正常",入库单!$C$4:$C$2503,"&gt;="&amp;账期起,入库单!$C$4:$C$2503,"&lt;="&amp;账期止))</f>
        <v/>
      </c>
      <c r="O863" s="26">
        <f>IF($A863="","",ROUND($N863*$K863,0))</f>
        <v/>
      </c>
      <c r="P863" s="27">
        <f>IF($A863="","",SUMIFS(出库单!$J$4:$J$4003,出库单!$D$4:$D$4003,$A863,出库单!$K$4:$K$4003,"自用消耗",出库单!$U$4:$U$4003,"正常",出库单!$C$4:$C$4003,"&gt;="&amp;账期起,出库单!$C$4:$C$4003,"&lt;="&amp;账期止))</f>
        <v/>
      </c>
      <c r="Q863" s="26">
        <f>IF($A863="","",ROUND(SUMIFS(出库单!$S$4:$S$4003,出库单!$D$4:$D$4003,$A863,出库单!$K$4:$K$4003,"自用消耗",出库单!$U$4:$U$4003,"正常",出库单!$C$4:$C$4003,"&gt;="&amp;账期起,出库单!$C$4:$C$4003,"&lt;="&amp;账期止),0))</f>
        <v/>
      </c>
      <c r="R863" s="27">
        <f>IF($A863="","",SUMIFS(出库单!$J$4:$J$4003,出库单!$D$4:$D$4003,$A863,出库单!$K$4:$K$4003,"对外销售",出库单!$U$4:$U$4003,"正常",出库单!$C$4:$C$4003,"&gt;="&amp;账期起,出库单!$C$4:$C$4003,"&lt;="&amp;账期止))</f>
        <v/>
      </c>
      <c r="S863" s="26">
        <f>IF($A863="","",ROUND(SUMIFS(出库单!$S$4:$S$4003,出库单!$D$4:$D$4003,$A863,出库单!$K$4:$K$4003,"对外销售",出库单!$U$4:$U$4003,"正常",出库单!$C$4:$C$4003,"&gt;="&amp;账期起,出库单!$C$4:$C$4003,"&lt;="&amp;账期止),0))</f>
        <v/>
      </c>
      <c r="T863" s="27">
        <f>IF($A863="","",SUMIFS(出库单!$J$4:$J$4003,出库单!$D$4:$D$4003,$A863,出库单!$K$4:$K$4003,"盘亏",出库单!$U$4:$U$4003,"正常",出库单!$C$4:$C$4003,"&gt;="&amp;账期起,出库单!$C$4:$C$4003,"&lt;="&amp;账期止))</f>
        <v/>
      </c>
      <c r="U863" s="26">
        <f>IF($A863="","",ROUND(SUMIFS(出库单!$S$4:$S$4003,出库单!$D$4:$D$4003,$A863,出库单!$K$4:$K$4003,"盘亏",出库单!$U$4:$U$4003,"正常",出库单!$C$4:$C$4003,"&gt;="&amp;账期起,出库单!$C$4:$C$4003,"&lt;="&amp;账期止),0))</f>
        <v/>
      </c>
      <c r="V863" s="27">
        <f>IF($A863="","",SUMIFS(出库单!$J$4:$J$4003,出库单!$D$4:$D$4003,$A863,出库单!$K$4:$K$4003,"退货给供应商",出库单!$U$4:$U$4003,"正常",出库单!$C$4:$C$4003,"&gt;="&amp;账期起,出库单!$C$4:$C$4003,"&lt;="&amp;账期止))</f>
        <v/>
      </c>
      <c r="W863" s="26">
        <f>IF($A863="","",ROUND(SUMIFS(出库单!$S$4:$S$4003,出库单!$D$4:$D$4003,$A863,出库单!$K$4:$K$4003,"退货给供应商",出库单!$U$4:$U$4003,"正常",出库单!$C$4:$C$4003,"&gt;="&amp;账期起,出库单!$C$4:$C$4003,"&lt;="&amp;账期止),0))</f>
        <v/>
      </c>
      <c r="X863" s="27">
        <f>IF($A863="","",ROUND(N($G863)+$I863+$L863+$N863-$P863-$R863-$T863-$V863,3))</f>
        <v/>
      </c>
      <c r="Y863" s="26">
        <f>IF($A863="","",ROUND(N($H863)+$J863+$M863+$O863-$Q863-$S863-$U863-$W863,0))</f>
        <v/>
      </c>
      <c r="Z863" s="24">
        <f>IF($A863="","",IF(COUNTIFS(入库单!$G$4:$G$2503,$A863,入库单!$Y$4:$Y$2503,"待补价")+COUNTIFS(入库单!$G$4:$G$2503,$A863,入库单!$Y$4:$Y$2503,"暂估")&gt;0,"不可信","可信"))</f>
        <v/>
      </c>
      <c r="AA863" s="24">
        <f>IF($A863="","",IF($X863&lt;-0.001,"※账面负库存，查一下是不是漏记入库",IF(AND(ROUND($X863,3)=0,ABS($Y863)&gt;1),"※数量已经是 0，金额还挂着 "&amp;TEXT($Y863,"#,##0")&amp;" 先令",IF(AND($X863&gt;0,$Y863&lt;=0,$K863=0),"※有数量没金额（这个物料一直没填过进价）",IF($Z863="不可信","△成本含待补价/暂估，毛利仅供参考","")))))</f>
        <v/>
      </c>
    </row>
    <row r="864">
      <c r="A864" s="24">
        <f>IF(物料档案!$A863="","",物料档案!$A863)</f>
        <v/>
      </c>
      <c r="B864" s="24">
        <f>IF($A864="","",IFERROR(VLOOKUP($A864,物料档案!$A$4:$P$1203,3,0),""))</f>
        <v/>
      </c>
      <c r="C864" s="24">
        <f>IF($A864="","",IFERROR(VLOOKUP($A864,物料档案!$A$4:$P$1203,4,0),""))</f>
        <v/>
      </c>
      <c r="D864" s="24">
        <f>IF($A864="","",IFERROR(VLOOKUP($A864,物料档案!$A$4:$P$1203,5,0),""))</f>
        <v/>
      </c>
      <c r="E864" s="24">
        <f>IF($A864="","",IFERROR(VLOOKUP($A864,物料档案!$A$4:$P$1203,2,0),""))</f>
        <v/>
      </c>
      <c r="F864" s="24">
        <f>IF($A864="","",IFERROR(VLOOKUP($A864,物料档案!$A$4:$P$1203,6,0),""))</f>
        <v/>
      </c>
      <c r="G864" s="23" t="n"/>
      <c r="H864" s="32" t="n"/>
      <c r="I864" s="27">
        <f>IF($A864="","",SUMIFS(入库单!$K$4:$K$2503,入库单!$G$4:$G$2503,$A864,入库单!$X$4:$X$2503,"采购入库",入库单!$Z$4:$Z$2503,"正常",入库单!$C$4:$C$2503,"&gt;="&amp;账期起,入库单!$C$4:$C$2503,"&lt;="&amp;账期止))</f>
        <v/>
      </c>
      <c r="J864" s="26">
        <f>IF($A864="","",SUMIFS(入库单!$V$4:$V$2503,入库单!$G$4:$G$2503,$A864,入库单!$X$4:$X$2503,"采购入库",入库单!$Z$4:$Z$2503,"正常",入库单!$C$4:$C$2503,"&gt;="&amp;账期起,入库单!$C$4:$C$2503,"&lt;="&amp;账期止))</f>
        <v/>
      </c>
      <c r="K864" s="26">
        <f>IF($A864="","",IFERROR(ROUND((N($H864)+N($J864))/(N($G864)+N($I864)),2),0))</f>
        <v/>
      </c>
      <c r="L864" s="27">
        <f>IF($A864="","",SUMIFS(入库单!$K$4:$K$2503,入库单!$G$4:$G$2503,$A864,入库单!$X$4:$X$2503,"盘盈",入库单!$Z$4:$Z$2503,"正常",入库单!$C$4:$C$2503,"&gt;="&amp;账期起,入库单!$C$4:$C$2503,"&lt;="&amp;账期止))</f>
        <v/>
      </c>
      <c r="M864" s="26">
        <f>IF($A864="","",ROUND($L864*$K864,0))</f>
        <v/>
      </c>
      <c r="N864" s="27">
        <f>IF($A864="","",SUMIFS(入库单!$K$4:$K$2503,入库单!$G$4:$G$2503,$A864,入库单!$X$4:$X$2503,"矿区退库",入库单!$Z$4:$Z$2503,"正常",入库单!$C$4:$C$2503,"&gt;="&amp;账期起,入库单!$C$4:$C$2503,"&lt;="&amp;账期止))</f>
        <v/>
      </c>
      <c r="O864" s="26">
        <f>IF($A864="","",ROUND($N864*$K864,0))</f>
        <v/>
      </c>
      <c r="P864" s="27">
        <f>IF($A864="","",SUMIFS(出库单!$J$4:$J$4003,出库单!$D$4:$D$4003,$A864,出库单!$K$4:$K$4003,"自用消耗",出库单!$U$4:$U$4003,"正常",出库单!$C$4:$C$4003,"&gt;="&amp;账期起,出库单!$C$4:$C$4003,"&lt;="&amp;账期止))</f>
        <v/>
      </c>
      <c r="Q864" s="26">
        <f>IF($A864="","",ROUND(SUMIFS(出库单!$S$4:$S$4003,出库单!$D$4:$D$4003,$A864,出库单!$K$4:$K$4003,"自用消耗",出库单!$U$4:$U$4003,"正常",出库单!$C$4:$C$4003,"&gt;="&amp;账期起,出库单!$C$4:$C$4003,"&lt;="&amp;账期止),0))</f>
        <v/>
      </c>
      <c r="R864" s="27">
        <f>IF($A864="","",SUMIFS(出库单!$J$4:$J$4003,出库单!$D$4:$D$4003,$A864,出库单!$K$4:$K$4003,"对外销售",出库单!$U$4:$U$4003,"正常",出库单!$C$4:$C$4003,"&gt;="&amp;账期起,出库单!$C$4:$C$4003,"&lt;="&amp;账期止))</f>
        <v/>
      </c>
      <c r="S864" s="26">
        <f>IF($A864="","",ROUND(SUMIFS(出库单!$S$4:$S$4003,出库单!$D$4:$D$4003,$A864,出库单!$K$4:$K$4003,"对外销售",出库单!$U$4:$U$4003,"正常",出库单!$C$4:$C$4003,"&gt;="&amp;账期起,出库单!$C$4:$C$4003,"&lt;="&amp;账期止),0))</f>
        <v/>
      </c>
      <c r="T864" s="27">
        <f>IF($A864="","",SUMIFS(出库单!$J$4:$J$4003,出库单!$D$4:$D$4003,$A864,出库单!$K$4:$K$4003,"盘亏",出库单!$U$4:$U$4003,"正常",出库单!$C$4:$C$4003,"&gt;="&amp;账期起,出库单!$C$4:$C$4003,"&lt;="&amp;账期止))</f>
        <v/>
      </c>
      <c r="U864" s="26">
        <f>IF($A864="","",ROUND(SUMIFS(出库单!$S$4:$S$4003,出库单!$D$4:$D$4003,$A864,出库单!$K$4:$K$4003,"盘亏",出库单!$U$4:$U$4003,"正常",出库单!$C$4:$C$4003,"&gt;="&amp;账期起,出库单!$C$4:$C$4003,"&lt;="&amp;账期止),0))</f>
        <v/>
      </c>
      <c r="V864" s="27">
        <f>IF($A864="","",SUMIFS(出库单!$J$4:$J$4003,出库单!$D$4:$D$4003,$A864,出库单!$K$4:$K$4003,"退货给供应商",出库单!$U$4:$U$4003,"正常",出库单!$C$4:$C$4003,"&gt;="&amp;账期起,出库单!$C$4:$C$4003,"&lt;="&amp;账期止))</f>
        <v/>
      </c>
      <c r="W864" s="26">
        <f>IF($A864="","",ROUND(SUMIFS(出库单!$S$4:$S$4003,出库单!$D$4:$D$4003,$A864,出库单!$K$4:$K$4003,"退货给供应商",出库单!$U$4:$U$4003,"正常",出库单!$C$4:$C$4003,"&gt;="&amp;账期起,出库单!$C$4:$C$4003,"&lt;="&amp;账期止),0))</f>
        <v/>
      </c>
      <c r="X864" s="27">
        <f>IF($A864="","",ROUND(N($G864)+$I864+$L864+$N864-$P864-$R864-$T864-$V864,3))</f>
        <v/>
      </c>
      <c r="Y864" s="26">
        <f>IF($A864="","",ROUND(N($H864)+$J864+$M864+$O864-$Q864-$S864-$U864-$W864,0))</f>
        <v/>
      </c>
      <c r="Z864" s="24">
        <f>IF($A864="","",IF(COUNTIFS(入库单!$G$4:$G$2503,$A864,入库单!$Y$4:$Y$2503,"待补价")+COUNTIFS(入库单!$G$4:$G$2503,$A864,入库单!$Y$4:$Y$2503,"暂估")&gt;0,"不可信","可信"))</f>
        <v/>
      </c>
      <c r="AA864" s="24">
        <f>IF($A864="","",IF($X864&lt;-0.001,"※账面负库存，查一下是不是漏记入库",IF(AND(ROUND($X864,3)=0,ABS($Y864)&gt;1),"※数量已经是 0，金额还挂着 "&amp;TEXT($Y864,"#,##0")&amp;" 先令",IF(AND($X864&gt;0,$Y864&lt;=0,$K864=0),"※有数量没金额（这个物料一直没填过进价）",IF($Z864="不可信","△成本含待补价/暂估，毛利仅供参考","")))))</f>
        <v/>
      </c>
    </row>
    <row r="865">
      <c r="A865" s="24">
        <f>IF(物料档案!$A864="","",物料档案!$A864)</f>
        <v/>
      </c>
      <c r="B865" s="24">
        <f>IF($A865="","",IFERROR(VLOOKUP($A865,物料档案!$A$4:$P$1203,3,0),""))</f>
        <v/>
      </c>
      <c r="C865" s="24">
        <f>IF($A865="","",IFERROR(VLOOKUP($A865,物料档案!$A$4:$P$1203,4,0),""))</f>
        <v/>
      </c>
      <c r="D865" s="24">
        <f>IF($A865="","",IFERROR(VLOOKUP($A865,物料档案!$A$4:$P$1203,5,0),""))</f>
        <v/>
      </c>
      <c r="E865" s="24">
        <f>IF($A865="","",IFERROR(VLOOKUP($A865,物料档案!$A$4:$P$1203,2,0),""))</f>
        <v/>
      </c>
      <c r="F865" s="24">
        <f>IF($A865="","",IFERROR(VLOOKUP($A865,物料档案!$A$4:$P$1203,6,0),""))</f>
        <v/>
      </c>
      <c r="G865" s="23" t="n"/>
      <c r="H865" s="32" t="n"/>
      <c r="I865" s="27">
        <f>IF($A865="","",SUMIFS(入库单!$K$4:$K$2503,入库单!$G$4:$G$2503,$A865,入库单!$X$4:$X$2503,"采购入库",入库单!$Z$4:$Z$2503,"正常",入库单!$C$4:$C$2503,"&gt;="&amp;账期起,入库单!$C$4:$C$2503,"&lt;="&amp;账期止))</f>
        <v/>
      </c>
      <c r="J865" s="26">
        <f>IF($A865="","",SUMIFS(入库单!$V$4:$V$2503,入库单!$G$4:$G$2503,$A865,入库单!$X$4:$X$2503,"采购入库",入库单!$Z$4:$Z$2503,"正常",入库单!$C$4:$C$2503,"&gt;="&amp;账期起,入库单!$C$4:$C$2503,"&lt;="&amp;账期止))</f>
        <v/>
      </c>
      <c r="K865" s="26">
        <f>IF($A865="","",IFERROR(ROUND((N($H865)+N($J865))/(N($G865)+N($I865)),2),0))</f>
        <v/>
      </c>
      <c r="L865" s="27">
        <f>IF($A865="","",SUMIFS(入库单!$K$4:$K$2503,入库单!$G$4:$G$2503,$A865,入库单!$X$4:$X$2503,"盘盈",入库单!$Z$4:$Z$2503,"正常",入库单!$C$4:$C$2503,"&gt;="&amp;账期起,入库单!$C$4:$C$2503,"&lt;="&amp;账期止))</f>
        <v/>
      </c>
      <c r="M865" s="26">
        <f>IF($A865="","",ROUND($L865*$K865,0))</f>
        <v/>
      </c>
      <c r="N865" s="27">
        <f>IF($A865="","",SUMIFS(入库单!$K$4:$K$2503,入库单!$G$4:$G$2503,$A865,入库单!$X$4:$X$2503,"矿区退库",入库单!$Z$4:$Z$2503,"正常",入库单!$C$4:$C$2503,"&gt;="&amp;账期起,入库单!$C$4:$C$2503,"&lt;="&amp;账期止))</f>
        <v/>
      </c>
      <c r="O865" s="26">
        <f>IF($A865="","",ROUND($N865*$K865,0))</f>
        <v/>
      </c>
      <c r="P865" s="27">
        <f>IF($A865="","",SUMIFS(出库单!$J$4:$J$4003,出库单!$D$4:$D$4003,$A865,出库单!$K$4:$K$4003,"自用消耗",出库单!$U$4:$U$4003,"正常",出库单!$C$4:$C$4003,"&gt;="&amp;账期起,出库单!$C$4:$C$4003,"&lt;="&amp;账期止))</f>
        <v/>
      </c>
      <c r="Q865" s="26">
        <f>IF($A865="","",ROUND(SUMIFS(出库单!$S$4:$S$4003,出库单!$D$4:$D$4003,$A865,出库单!$K$4:$K$4003,"自用消耗",出库单!$U$4:$U$4003,"正常",出库单!$C$4:$C$4003,"&gt;="&amp;账期起,出库单!$C$4:$C$4003,"&lt;="&amp;账期止),0))</f>
        <v/>
      </c>
      <c r="R865" s="27">
        <f>IF($A865="","",SUMIFS(出库单!$J$4:$J$4003,出库单!$D$4:$D$4003,$A865,出库单!$K$4:$K$4003,"对外销售",出库单!$U$4:$U$4003,"正常",出库单!$C$4:$C$4003,"&gt;="&amp;账期起,出库单!$C$4:$C$4003,"&lt;="&amp;账期止))</f>
        <v/>
      </c>
      <c r="S865" s="26">
        <f>IF($A865="","",ROUND(SUMIFS(出库单!$S$4:$S$4003,出库单!$D$4:$D$4003,$A865,出库单!$K$4:$K$4003,"对外销售",出库单!$U$4:$U$4003,"正常",出库单!$C$4:$C$4003,"&gt;="&amp;账期起,出库单!$C$4:$C$4003,"&lt;="&amp;账期止),0))</f>
        <v/>
      </c>
      <c r="T865" s="27">
        <f>IF($A865="","",SUMIFS(出库单!$J$4:$J$4003,出库单!$D$4:$D$4003,$A865,出库单!$K$4:$K$4003,"盘亏",出库单!$U$4:$U$4003,"正常",出库单!$C$4:$C$4003,"&gt;="&amp;账期起,出库单!$C$4:$C$4003,"&lt;="&amp;账期止))</f>
        <v/>
      </c>
      <c r="U865" s="26">
        <f>IF($A865="","",ROUND(SUMIFS(出库单!$S$4:$S$4003,出库单!$D$4:$D$4003,$A865,出库单!$K$4:$K$4003,"盘亏",出库单!$U$4:$U$4003,"正常",出库单!$C$4:$C$4003,"&gt;="&amp;账期起,出库单!$C$4:$C$4003,"&lt;="&amp;账期止),0))</f>
        <v/>
      </c>
      <c r="V865" s="27">
        <f>IF($A865="","",SUMIFS(出库单!$J$4:$J$4003,出库单!$D$4:$D$4003,$A865,出库单!$K$4:$K$4003,"退货给供应商",出库单!$U$4:$U$4003,"正常",出库单!$C$4:$C$4003,"&gt;="&amp;账期起,出库单!$C$4:$C$4003,"&lt;="&amp;账期止))</f>
        <v/>
      </c>
      <c r="W865" s="26">
        <f>IF($A865="","",ROUND(SUMIFS(出库单!$S$4:$S$4003,出库单!$D$4:$D$4003,$A865,出库单!$K$4:$K$4003,"退货给供应商",出库单!$U$4:$U$4003,"正常",出库单!$C$4:$C$4003,"&gt;="&amp;账期起,出库单!$C$4:$C$4003,"&lt;="&amp;账期止),0))</f>
        <v/>
      </c>
      <c r="X865" s="27">
        <f>IF($A865="","",ROUND(N($G865)+$I865+$L865+$N865-$P865-$R865-$T865-$V865,3))</f>
        <v/>
      </c>
      <c r="Y865" s="26">
        <f>IF($A865="","",ROUND(N($H865)+$J865+$M865+$O865-$Q865-$S865-$U865-$W865,0))</f>
        <v/>
      </c>
      <c r="Z865" s="24">
        <f>IF($A865="","",IF(COUNTIFS(入库单!$G$4:$G$2503,$A865,入库单!$Y$4:$Y$2503,"待补价")+COUNTIFS(入库单!$G$4:$G$2503,$A865,入库单!$Y$4:$Y$2503,"暂估")&gt;0,"不可信","可信"))</f>
        <v/>
      </c>
      <c r="AA865" s="24">
        <f>IF($A865="","",IF($X865&lt;-0.001,"※账面负库存，查一下是不是漏记入库",IF(AND(ROUND($X865,3)=0,ABS($Y865)&gt;1),"※数量已经是 0，金额还挂着 "&amp;TEXT($Y865,"#,##0")&amp;" 先令",IF(AND($X865&gt;0,$Y865&lt;=0,$K865=0),"※有数量没金额（这个物料一直没填过进价）",IF($Z865="不可信","△成本含待补价/暂估，毛利仅供参考","")))))</f>
        <v/>
      </c>
    </row>
    <row r="866">
      <c r="A866" s="24">
        <f>IF(物料档案!$A865="","",物料档案!$A865)</f>
        <v/>
      </c>
      <c r="B866" s="24">
        <f>IF($A866="","",IFERROR(VLOOKUP($A866,物料档案!$A$4:$P$1203,3,0),""))</f>
        <v/>
      </c>
      <c r="C866" s="24">
        <f>IF($A866="","",IFERROR(VLOOKUP($A866,物料档案!$A$4:$P$1203,4,0),""))</f>
        <v/>
      </c>
      <c r="D866" s="24">
        <f>IF($A866="","",IFERROR(VLOOKUP($A866,物料档案!$A$4:$P$1203,5,0),""))</f>
        <v/>
      </c>
      <c r="E866" s="24">
        <f>IF($A866="","",IFERROR(VLOOKUP($A866,物料档案!$A$4:$P$1203,2,0),""))</f>
        <v/>
      </c>
      <c r="F866" s="24">
        <f>IF($A866="","",IFERROR(VLOOKUP($A866,物料档案!$A$4:$P$1203,6,0),""))</f>
        <v/>
      </c>
      <c r="G866" s="23" t="n"/>
      <c r="H866" s="32" t="n"/>
      <c r="I866" s="27">
        <f>IF($A866="","",SUMIFS(入库单!$K$4:$K$2503,入库单!$G$4:$G$2503,$A866,入库单!$X$4:$X$2503,"采购入库",入库单!$Z$4:$Z$2503,"正常",入库单!$C$4:$C$2503,"&gt;="&amp;账期起,入库单!$C$4:$C$2503,"&lt;="&amp;账期止))</f>
        <v/>
      </c>
      <c r="J866" s="26">
        <f>IF($A866="","",SUMIFS(入库单!$V$4:$V$2503,入库单!$G$4:$G$2503,$A866,入库单!$X$4:$X$2503,"采购入库",入库单!$Z$4:$Z$2503,"正常",入库单!$C$4:$C$2503,"&gt;="&amp;账期起,入库单!$C$4:$C$2503,"&lt;="&amp;账期止))</f>
        <v/>
      </c>
      <c r="K866" s="26">
        <f>IF($A866="","",IFERROR(ROUND((N($H866)+N($J866))/(N($G866)+N($I866)),2),0))</f>
        <v/>
      </c>
      <c r="L866" s="27">
        <f>IF($A866="","",SUMIFS(入库单!$K$4:$K$2503,入库单!$G$4:$G$2503,$A866,入库单!$X$4:$X$2503,"盘盈",入库单!$Z$4:$Z$2503,"正常",入库单!$C$4:$C$2503,"&gt;="&amp;账期起,入库单!$C$4:$C$2503,"&lt;="&amp;账期止))</f>
        <v/>
      </c>
      <c r="M866" s="26">
        <f>IF($A866="","",ROUND($L866*$K866,0))</f>
        <v/>
      </c>
      <c r="N866" s="27">
        <f>IF($A866="","",SUMIFS(入库单!$K$4:$K$2503,入库单!$G$4:$G$2503,$A866,入库单!$X$4:$X$2503,"矿区退库",入库单!$Z$4:$Z$2503,"正常",入库单!$C$4:$C$2503,"&gt;="&amp;账期起,入库单!$C$4:$C$2503,"&lt;="&amp;账期止))</f>
        <v/>
      </c>
      <c r="O866" s="26">
        <f>IF($A866="","",ROUND($N866*$K866,0))</f>
        <v/>
      </c>
      <c r="P866" s="27">
        <f>IF($A866="","",SUMIFS(出库单!$J$4:$J$4003,出库单!$D$4:$D$4003,$A866,出库单!$K$4:$K$4003,"自用消耗",出库单!$U$4:$U$4003,"正常",出库单!$C$4:$C$4003,"&gt;="&amp;账期起,出库单!$C$4:$C$4003,"&lt;="&amp;账期止))</f>
        <v/>
      </c>
      <c r="Q866" s="26">
        <f>IF($A866="","",ROUND(SUMIFS(出库单!$S$4:$S$4003,出库单!$D$4:$D$4003,$A866,出库单!$K$4:$K$4003,"自用消耗",出库单!$U$4:$U$4003,"正常",出库单!$C$4:$C$4003,"&gt;="&amp;账期起,出库单!$C$4:$C$4003,"&lt;="&amp;账期止),0))</f>
        <v/>
      </c>
      <c r="R866" s="27">
        <f>IF($A866="","",SUMIFS(出库单!$J$4:$J$4003,出库单!$D$4:$D$4003,$A866,出库单!$K$4:$K$4003,"对外销售",出库单!$U$4:$U$4003,"正常",出库单!$C$4:$C$4003,"&gt;="&amp;账期起,出库单!$C$4:$C$4003,"&lt;="&amp;账期止))</f>
        <v/>
      </c>
      <c r="S866" s="26">
        <f>IF($A866="","",ROUND(SUMIFS(出库单!$S$4:$S$4003,出库单!$D$4:$D$4003,$A866,出库单!$K$4:$K$4003,"对外销售",出库单!$U$4:$U$4003,"正常",出库单!$C$4:$C$4003,"&gt;="&amp;账期起,出库单!$C$4:$C$4003,"&lt;="&amp;账期止),0))</f>
        <v/>
      </c>
      <c r="T866" s="27">
        <f>IF($A866="","",SUMIFS(出库单!$J$4:$J$4003,出库单!$D$4:$D$4003,$A866,出库单!$K$4:$K$4003,"盘亏",出库单!$U$4:$U$4003,"正常",出库单!$C$4:$C$4003,"&gt;="&amp;账期起,出库单!$C$4:$C$4003,"&lt;="&amp;账期止))</f>
        <v/>
      </c>
      <c r="U866" s="26">
        <f>IF($A866="","",ROUND(SUMIFS(出库单!$S$4:$S$4003,出库单!$D$4:$D$4003,$A866,出库单!$K$4:$K$4003,"盘亏",出库单!$U$4:$U$4003,"正常",出库单!$C$4:$C$4003,"&gt;="&amp;账期起,出库单!$C$4:$C$4003,"&lt;="&amp;账期止),0))</f>
        <v/>
      </c>
      <c r="V866" s="27">
        <f>IF($A866="","",SUMIFS(出库单!$J$4:$J$4003,出库单!$D$4:$D$4003,$A866,出库单!$K$4:$K$4003,"退货给供应商",出库单!$U$4:$U$4003,"正常",出库单!$C$4:$C$4003,"&gt;="&amp;账期起,出库单!$C$4:$C$4003,"&lt;="&amp;账期止))</f>
        <v/>
      </c>
      <c r="W866" s="26">
        <f>IF($A866="","",ROUND(SUMIFS(出库单!$S$4:$S$4003,出库单!$D$4:$D$4003,$A866,出库单!$K$4:$K$4003,"退货给供应商",出库单!$U$4:$U$4003,"正常",出库单!$C$4:$C$4003,"&gt;="&amp;账期起,出库单!$C$4:$C$4003,"&lt;="&amp;账期止),0))</f>
        <v/>
      </c>
      <c r="X866" s="27">
        <f>IF($A866="","",ROUND(N($G866)+$I866+$L866+$N866-$P866-$R866-$T866-$V866,3))</f>
        <v/>
      </c>
      <c r="Y866" s="26">
        <f>IF($A866="","",ROUND(N($H866)+$J866+$M866+$O866-$Q866-$S866-$U866-$W866,0))</f>
        <v/>
      </c>
      <c r="Z866" s="24">
        <f>IF($A866="","",IF(COUNTIFS(入库单!$G$4:$G$2503,$A866,入库单!$Y$4:$Y$2503,"待补价")+COUNTIFS(入库单!$G$4:$G$2503,$A866,入库单!$Y$4:$Y$2503,"暂估")&gt;0,"不可信","可信"))</f>
        <v/>
      </c>
      <c r="AA866" s="24">
        <f>IF($A866="","",IF($X866&lt;-0.001,"※账面负库存，查一下是不是漏记入库",IF(AND(ROUND($X866,3)=0,ABS($Y866)&gt;1),"※数量已经是 0，金额还挂着 "&amp;TEXT($Y866,"#,##0")&amp;" 先令",IF(AND($X866&gt;0,$Y866&lt;=0,$K866=0),"※有数量没金额（这个物料一直没填过进价）",IF($Z866="不可信","△成本含待补价/暂估，毛利仅供参考","")))))</f>
        <v/>
      </c>
    </row>
    <row r="867">
      <c r="A867" s="24">
        <f>IF(物料档案!$A866="","",物料档案!$A866)</f>
        <v/>
      </c>
      <c r="B867" s="24">
        <f>IF($A867="","",IFERROR(VLOOKUP($A867,物料档案!$A$4:$P$1203,3,0),""))</f>
        <v/>
      </c>
      <c r="C867" s="24">
        <f>IF($A867="","",IFERROR(VLOOKUP($A867,物料档案!$A$4:$P$1203,4,0),""))</f>
        <v/>
      </c>
      <c r="D867" s="24">
        <f>IF($A867="","",IFERROR(VLOOKUP($A867,物料档案!$A$4:$P$1203,5,0),""))</f>
        <v/>
      </c>
      <c r="E867" s="24">
        <f>IF($A867="","",IFERROR(VLOOKUP($A867,物料档案!$A$4:$P$1203,2,0),""))</f>
        <v/>
      </c>
      <c r="F867" s="24">
        <f>IF($A867="","",IFERROR(VLOOKUP($A867,物料档案!$A$4:$P$1203,6,0),""))</f>
        <v/>
      </c>
      <c r="G867" s="23" t="n"/>
      <c r="H867" s="32" t="n"/>
      <c r="I867" s="27">
        <f>IF($A867="","",SUMIFS(入库单!$K$4:$K$2503,入库单!$G$4:$G$2503,$A867,入库单!$X$4:$X$2503,"采购入库",入库单!$Z$4:$Z$2503,"正常",入库单!$C$4:$C$2503,"&gt;="&amp;账期起,入库单!$C$4:$C$2503,"&lt;="&amp;账期止))</f>
        <v/>
      </c>
      <c r="J867" s="26">
        <f>IF($A867="","",SUMIFS(入库单!$V$4:$V$2503,入库单!$G$4:$G$2503,$A867,入库单!$X$4:$X$2503,"采购入库",入库单!$Z$4:$Z$2503,"正常",入库单!$C$4:$C$2503,"&gt;="&amp;账期起,入库单!$C$4:$C$2503,"&lt;="&amp;账期止))</f>
        <v/>
      </c>
      <c r="K867" s="26">
        <f>IF($A867="","",IFERROR(ROUND((N($H867)+N($J867))/(N($G867)+N($I867)),2),0))</f>
        <v/>
      </c>
      <c r="L867" s="27">
        <f>IF($A867="","",SUMIFS(入库单!$K$4:$K$2503,入库单!$G$4:$G$2503,$A867,入库单!$X$4:$X$2503,"盘盈",入库单!$Z$4:$Z$2503,"正常",入库单!$C$4:$C$2503,"&gt;="&amp;账期起,入库单!$C$4:$C$2503,"&lt;="&amp;账期止))</f>
        <v/>
      </c>
      <c r="M867" s="26">
        <f>IF($A867="","",ROUND($L867*$K867,0))</f>
        <v/>
      </c>
      <c r="N867" s="27">
        <f>IF($A867="","",SUMIFS(入库单!$K$4:$K$2503,入库单!$G$4:$G$2503,$A867,入库单!$X$4:$X$2503,"矿区退库",入库单!$Z$4:$Z$2503,"正常",入库单!$C$4:$C$2503,"&gt;="&amp;账期起,入库单!$C$4:$C$2503,"&lt;="&amp;账期止))</f>
        <v/>
      </c>
      <c r="O867" s="26">
        <f>IF($A867="","",ROUND($N867*$K867,0))</f>
        <v/>
      </c>
      <c r="P867" s="27">
        <f>IF($A867="","",SUMIFS(出库单!$J$4:$J$4003,出库单!$D$4:$D$4003,$A867,出库单!$K$4:$K$4003,"自用消耗",出库单!$U$4:$U$4003,"正常",出库单!$C$4:$C$4003,"&gt;="&amp;账期起,出库单!$C$4:$C$4003,"&lt;="&amp;账期止))</f>
        <v/>
      </c>
      <c r="Q867" s="26">
        <f>IF($A867="","",ROUND(SUMIFS(出库单!$S$4:$S$4003,出库单!$D$4:$D$4003,$A867,出库单!$K$4:$K$4003,"自用消耗",出库单!$U$4:$U$4003,"正常",出库单!$C$4:$C$4003,"&gt;="&amp;账期起,出库单!$C$4:$C$4003,"&lt;="&amp;账期止),0))</f>
        <v/>
      </c>
      <c r="R867" s="27">
        <f>IF($A867="","",SUMIFS(出库单!$J$4:$J$4003,出库单!$D$4:$D$4003,$A867,出库单!$K$4:$K$4003,"对外销售",出库单!$U$4:$U$4003,"正常",出库单!$C$4:$C$4003,"&gt;="&amp;账期起,出库单!$C$4:$C$4003,"&lt;="&amp;账期止))</f>
        <v/>
      </c>
      <c r="S867" s="26">
        <f>IF($A867="","",ROUND(SUMIFS(出库单!$S$4:$S$4003,出库单!$D$4:$D$4003,$A867,出库单!$K$4:$K$4003,"对外销售",出库单!$U$4:$U$4003,"正常",出库单!$C$4:$C$4003,"&gt;="&amp;账期起,出库单!$C$4:$C$4003,"&lt;="&amp;账期止),0))</f>
        <v/>
      </c>
      <c r="T867" s="27">
        <f>IF($A867="","",SUMIFS(出库单!$J$4:$J$4003,出库单!$D$4:$D$4003,$A867,出库单!$K$4:$K$4003,"盘亏",出库单!$U$4:$U$4003,"正常",出库单!$C$4:$C$4003,"&gt;="&amp;账期起,出库单!$C$4:$C$4003,"&lt;="&amp;账期止))</f>
        <v/>
      </c>
      <c r="U867" s="26">
        <f>IF($A867="","",ROUND(SUMIFS(出库单!$S$4:$S$4003,出库单!$D$4:$D$4003,$A867,出库单!$K$4:$K$4003,"盘亏",出库单!$U$4:$U$4003,"正常",出库单!$C$4:$C$4003,"&gt;="&amp;账期起,出库单!$C$4:$C$4003,"&lt;="&amp;账期止),0))</f>
        <v/>
      </c>
      <c r="V867" s="27">
        <f>IF($A867="","",SUMIFS(出库单!$J$4:$J$4003,出库单!$D$4:$D$4003,$A867,出库单!$K$4:$K$4003,"退货给供应商",出库单!$U$4:$U$4003,"正常",出库单!$C$4:$C$4003,"&gt;="&amp;账期起,出库单!$C$4:$C$4003,"&lt;="&amp;账期止))</f>
        <v/>
      </c>
      <c r="W867" s="26">
        <f>IF($A867="","",ROUND(SUMIFS(出库单!$S$4:$S$4003,出库单!$D$4:$D$4003,$A867,出库单!$K$4:$K$4003,"退货给供应商",出库单!$U$4:$U$4003,"正常",出库单!$C$4:$C$4003,"&gt;="&amp;账期起,出库单!$C$4:$C$4003,"&lt;="&amp;账期止),0))</f>
        <v/>
      </c>
      <c r="X867" s="27">
        <f>IF($A867="","",ROUND(N($G867)+$I867+$L867+$N867-$P867-$R867-$T867-$V867,3))</f>
        <v/>
      </c>
      <c r="Y867" s="26">
        <f>IF($A867="","",ROUND(N($H867)+$J867+$M867+$O867-$Q867-$S867-$U867-$W867,0))</f>
        <v/>
      </c>
      <c r="Z867" s="24">
        <f>IF($A867="","",IF(COUNTIFS(入库单!$G$4:$G$2503,$A867,入库单!$Y$4:$Y$2503,"待补价")+COUNTIFS(入库单!$G$4:$G$2503,$A867,入库单!$Y$4:$Y$2503,"暂估")&gt;0,"不可信","可信"))</f>
        <v/>
      </c>
      <c r="AA867" s="24">
        <f>IF($A867="","",IF($X867&lt;-0.001,"※账面负库存，查一下是不是漏记入库",IF(AND(ROUND($X867,3)=0,ABS($Y867)&gt;1),"※数量已经是 0，金额还挂着 "&amp;TEXT($Y867,"#,##0")&amp;" 先令",IF(AND($X867&gt;0,$Y867&lt;=0,$K867=0),"※有数量没金额（这个物料一直没填过进价）",IF($Z867="不可信","△成本含待补价/暂估，毛利仅供参考","")))))</f>
        <v/>
      </c>
    </row>
    <row r="868">
      <c r="A868" s="24">
        <f>IF(物料档案!$A867="","",物料档案!$A867)</f>
        <v/>
      </c>
      <c r="B868" s="24">
        <f>IF($A868="","",IFERROR(VLOOKUP($A868,物料档案!$A$4:$P$1203,3,0),""))</f>
        <v/>
      </c>
      <c r="C868" s="24">
        <f>IF($A868="","",IFERROR(VLOOKUP($A868,物料档案!$A$4:$P$1203,4,0),""))</f>
        <v/>
      </c>
      <c r="D868" s="24">
        <f>IF($A868="","",IFERROR(VLOOKUP($A868,物料档案!$A$4:$P$1203,5,0),""))</f>
        <v/>
      </c>
      <c r="E868" s="24">
        <f>IF($A868="","",IFERROR(VLOOKUP($A868,物料档案!$A$4:$P$1203,2,0),""))</f>
        <v/>
      </c>
      <c r="F868" s="24">
        <f>IF($A868="","",IFERROR(VLOOKUP($A868,物料档案!$A$4:$P$1203,6,0),""))</f>
        <v/>
      </c>
      <c r="G868" s="23" t="n"/>
      <c r="H868" s="32" t="n"/>
      <c r="I868" s="27">
        <f>IF($A868="","",SUMIFS(入库单!$K$4:$K$2503,入库单!$G$4:$G$2503,$A868,入库单!$X$4:$X$2503,"采购入库",入库单!$Z$4:$Z$2503,"正常",入库单!$C$4:$C$2503,"&gt;="&amp;账期起,入库单!$C$4:$C$2503,"&lt;="&amp;账期止))</f>
        <v/>
      </c>
      <c r="J868" s="26">
        <f>IF($A868="","",SUMIFS(入库单!$V$4:$V$2503,入库单!$G$4:$G$2503,$A868,入库单!$X$4:$X$2503,"采购入库",入库单!$Z$4:$Z$2503,"正常",入库单!$C$4:$C$2503,"&gt;="&amp;账期起,入库单!$C$4:$C$2503,"&lt;="&amp;账期止))</f>
        <v/>
      </c>
      <c r="K868" s="26">
        <f>IF($A868="","",IFERROR(ROUND((N($H868)+N($J868))/(N($G868)+N($I868)),2),0))</f>
        <v/>
      </c>
      <c r="L868" s="27">
        <f>IF($A868="","",SUMIFS(入库单!$K$4:$K$2503,入库单!$G$4:$G$2503,$A868,入库单!$X$4:$X$2503,"盘盈",入库单!$Z$4:$Z$2503,"正常",入库单!$C$4:$C$2503,"&gt;="&amp;账期起,入库单!$C$4:$C$2503,"&lt;="&amp;账期止))</f>
        <v/>
      </c>
      <c r="M868" s="26">
        <f>IF($A868="","",ROUND($L868*$K868,0))</f>
        <v/>
      </c>
      <c r="N868" s="27">
        <f>IF($A868="","",SUMIFS(入库单!$K$4:$K$2503,入库单!$G$4:$G$2503,$A868,入库单!$X$4:$X$2503,"矿区退库",入库单!$Z$4:$Z$2503,"正常",入库单!$C$4:$C$2503,"&gt;="&amp;账期起,入库单!$C$4:$C$2503,"&lt;="&amp;账期止))</f>
        <v/>
      </c>
      <c r="O868" s="26">
        <f>IF($A868="","",ROUND($N868*$K868,0))</f>
        <v/>
      </c>
      <c r="P868" s="27">
        <f>IF($A868="","",SUMIFS(出库单!$J$4:$J$4003,出库单!$D$4:$D$4003,$A868,出库单!$K$4:$K$4003,"自用消耗",出库单!$U$4:$U$4003,"正常",出库单!$C$4:$C$4003,"&gt;="&amp;账期起,出库单!$C$4:$C$4003,"&lt;="&amp;账期止))</f>
        <v/>
      </c>
      <c r="Q868" s="26">
        <f>IF($A868="","",ROUND(SUMIFS(出库单!$S$4:$S$4003,出库单!$D$4:$D$4003,$A868,出库单!$K$4:$K$4003,"自用消耗",出库单!$U$4:$U$4003,"正常",出库单!$C$4:$C$4003,"&gt;="&amp;账期起,出库单!$C$4:$C$4003,"&lt;="&amp;账期止),0))</f>
        <v/>
      </c>
      <c r="R868" s="27">
        <f>IF($A868="","",SUMIFS(出库单!$J$4:$J$4003,出库单!$D$4:$D$4003,$A868,出库单!$K$4:$K$4003,"对外销售",出库单!$U$4:$U$4003,"正常",出库单!$C$4:$C$4003,"&gt;="&amp;账期起,出库单!$C$4:$C$4003,"&lt;="&amp;账期止))</f>
        <v/>
      </c>
      <c r="S868" s="26">
        <f>IF($A868="","",ROUND(SUMIFS(出库单!$S$4:$S$4003,出库单!$D$4:$D$4003,$A868,出库单!$K$4:$K$4003,"对外销售",出库单!$U$4:$U$4003,"正常",出库单!$C$4:$C$4003,"&gt;="&amp;账期起,出库单!$C$4:$C$4003,"&lt;="&amp;账期止),0))</f>
        <v/>
      </c>
      <c r="T868" s="27">
        <f>IF($A868="","",SUMIFS(出库单!$J$4:$J$4003,出库单!$D$4:$D$4003,$A868,出库单!$K$4:$K$4003,"盘亏",出库单!$U$4:$U$4003,"正常",出库单!$C$4:$C$4003,"&gt;="&amp;账期起,出库单!$C$4:$C$4003,"&lt;="&amp;账期止))</f>
        <v/>
      </c>
      <c r="U868" s="26">
        <f>IF($A868="","",ROUND(SUMIFS(出库单!$S$4:$S$4003,出库单!$D$4:$D$4003,$A868,出库单!$K$4:$K$4003,"盘亏",出库单!$U$4:$U$4003,"正常",出库单!$C$4:$C$4003,"&gt;="&amp;账期起,出库单!$C$4:$C$4003,"&lt;="&amp;账期止),0))</f>
        <v/>
      </c>
      <c r="V868" s="27">
        <f>IF($A868="","",SUMIFS(出库单!$J$4:$J$4003,出库单!$D$4:$D$4003,$A868,出库单!$K$4:$K$4003,"退货给供应商",出库单!$U$4:$U$4003,"正常",出库单!$C$4:$C$4003,"&gt;="&amp;账期起,出库单!$C$4:$C$4003,"&lt;="&amp;账期止))</f>
        <v/>
      </c>
      <c r="W868" s="26">
        <f>IF($A868="","",ROUND(SUMIFS(出库单!$S$4:$S$4003,出库单!$D$4:$D$4003,$A868,出库单!$K$4:$K$4003,"退货给供应商",出库单!$U$4:$U$4003,"正常",出库单!$C$4:$C$4003,"&gt;="&amp;账期起,出库单!$C$4:$C$4003,"&lt;="&amp;账期止),0))</f>
        <v/>
      </c>
      <c r="X868" s="27">
        <f>IF($A868="","",ROUND(N($G868)+$I868+$L868+$N868-$P868-$R868-$T868-$V868,3))</f>
        <v/>
      </c>
      <c r="Y868" s="26">
        <f>IF($A868="","",ROUND(N($H868)+$J868+$M868+$O868-$Q868-$S868-$U868-$W868,0))</f>
        <v/>
      </c>
      <c r="Z868" s="24">
        <f>IF($A868="","",IF(COUNTIFS(入库单!$G$4:$G$2503,$A868,入库单!$Y$4:$Y$2503,"待补价")+COUNTIFS(入库单!$G$4:$G$2503,$A868,入库单!$Y$4:$Y$2503,"暂估")&gt;0,"不可信","可信"))</f>
        <v/>
      </c>
      <c r="AA868" s="24">
        <f>IF($A868="","",IF($X868&lt;-0.001,"※账面负库存，查一下是不是漏记入库",IF(AND(ROUND($X868,3)=0,ABS($Y868)&gt;1),"※数量已经是 0，金额还挂着 "&amp;TEXT($Y868,"#,##0")&amp;" 先令",IF(AND($X868&gt;0,$Y868&lt;=0,$K868=0),"※有数量没金额（这个物料一直没填过进价）",IF($Z868="不可信","△成本含待补价/暂估，毛利仅供参考","")))))</f>
        <v/>
      </c>
    </row>
    <row r="869">
      <c r="A869" s="24">
        <f>IF(物料档案!$A868="","",物料档案!$A868)</f>
        <v/>
      </c>
      <c r="B869" s="24">
        <f>IF($A869="","",IFERROR(VLOOKUP($A869,物料档案!$A$4:$P$1203,3,0),""))</f>
        <v/>
      </c>
      <c r="C869" s="24">
        <f>IF($A869="","",IFERROR(VLOOKUP($A869,物料档案!$A$4:$P$1203,4,0),""))</f>
        <v/>
      </c>
      <c r="D869" s="24">
        <f>IF($A869="","",IFERROR(VLOOKUP($A869,物料档案!$A$4:$P$1203,5,0),""))</f>
        <v/>
      </c>
      <c r="E869" s="24">
        <f>IF($A869="","",IFERROR(VLOOKUP($A869,物料档案!$A$4:$P$1203,2,0),""))</f>
        <v/>
      </c>
      <c r="F869" s="24">
        <f>IF($A869="","",IFERROR(VLOOKUP($A869,物料档案!$A$4:$P$1203,6,0),""))</f>
        <v/>
      </c>
      <c r="G869" s="23" t="n"/>
      <c r="H869" s="32" t="n"/>
      <c r="I869" s="27">
        <f>IF($A869="","",SUMIFS(入库单!$K$4:$K$2503,入库单!$G$4:$G$2503,$A869,入库单!$X$4:$X$2503,"采购入库",入库单!$Z$4:$Z$2503,"正常",入库单!$C$4:$C$2503,"&gt;="&amp;账期起,入库单!$C$4:$C$2503,"&lt;="&amp;账期止))</f>
        <v/>
      </c>
      <c r="J869" s="26">
        <f>IF($A869="","",SUMIFS(入库单!$V$4:$V$2503,入库单!$G$4:$G$2503,$A869,入库单!$X$4:$X$2503,"采购入库",入库单!$Z$4:$Z$2503,"正常",入库单!$C$4:$C$2503,"&gt;="&amp;账期起,入库单!$C$4:$C$2503,"&lt;="&amp;账期止))</f>
        <v/>
      </c>
      <c r="K869" s="26">
        <f>IF($A869="","",IFERROR(ROUND((N($H869)+N($J869))/(N($G869)+N($I869)),2),0))</f>
        <v/>
      </c>
      <c r="L869" s="27">
        <f>IF($A869="","",SUMIFS(入库单!$K$4:$K$2503,入库单!$G$4:$G$2503,$A869,入库单!$X$4:$X$2503,"盘盈",入库单!$Z$4:$Z$2503,"正常",入库单!$C$4:$C$2503,"&gt;="&amp;账期起,入库单!$C$4:$C$2503,"&lt;="&amp;账期止))</f>
        <v/>
      </c>
      <c r="M869" s="26">
        <f>IF($A869="","",ROUND($L869*$K869,0))</f>
        <v/>
      </c>
      <c r="N869" s="27">
        <f>IF($A869="","",SUMIFS(入库单!$K$4:$K$2503,入库单!$G$4:$G$2503,$A869,入库单!$X$4:$X$2503,"矿区退库",入库单!$Z$4:$Z$2503,"正常",入库单!$C$4:$C$2503,"&gt;="&amp;账期起,入库单!$C$4:$C$2503,"&lt;="&amp;账期止))</f>
        <v/>
      </c>
      <c r="O869" s="26">
        <f>IF($A869="","",ROUND($N869*$K869,0))</f>
        <v/>
      </c>
      <c r="P869" s="27">
        <f>IF($A869="","",SUMIFS(出库单!$J$4:$J$4003,出库单!$D$4:$D$4003,$A869,出库单!$K$4:$K$4003,"自用消耗",出库单!$U$4:$U$4003,"正常",出库单!$C$4:$C$4003,"&gt;="&amp;账期起,出库单!$C$4:$C$4003,"&lt;="&amp;账期止))</f>
        <v/>
      </c>
      <c r="Q869" s="26">
        <f>IF($A869="","",ROUND(SUMIFS(出库单!$S$4:$S$4003,出库单!$D$4:$D$4003,$A869,出库单!$K$4:$K$4003,"自用消耗",出库单!$U$4:$U$4003,"正常",出库单!$C$4:$C$4003,"&gt;="&amp;账期起,出库单!$C$4:$C$4003,"&lt;="&amp;账期止),0))</f>
        <v/>
      </c>
      <c r="R869" s="27">
        <f>IF($A869="","",SUMIFS(出库单!$J$4:$J$4003,出库单!$D$4:$D$4003,$A869,出库单!$K$4:$K$4003,"对外销售",出库单!$U$4:$U$4003,"正常",出库单!$C$4:$C$4003,"&gt;="&amp;账期起,出库单!$C$4:$C$4003,"&lt;="&amp;账期止))</f>
        <v/>
      </c>
      <c r="S869" s="26">
        <f>IF($A869="","",ROUND(SUMIFS(出库单!$S$4:$S$4003,出库单!$D$4:$D$4003,$A869,出库单!$K$4:$K$4003,"对外销售",出库单!$U$4:$U$4003,"正常",出库单!$C$4:$C$4003,"&gt;="&amp;账期起,出库单!$C$4:$C$4003,"&lt;="&amp;账期止),0))</f>
        <v/>
      </c>
      <c r="T869" s="27">
        <f>IF($A869="","",SUMIFS(出库单!$J$4:$J$4003,出库单!$D$4:$D$4003,$A869,出库单!$K$4:$K$4003,"盘亏",出库单!$U$4:$U$4003,"正常",出库单!$C$4:$C$4003,"&gt;="&amp;账期起,出库单!$C$4:$C$4003,"&lt;="&amp;账期止))</f>
        <v/>
      </c>
      <c r="U869" s="26">
        <f>IF($A869="","",ROUND(SUMIFS(出库单!$S$4:$S$4003,出库单!$D$4:$D$4003,$A869,出库单!$K$4:$K$4003,"盘亏",出库单!$U$4:$U$4003,"正常",出库单!$C$4:$C$4003,"&gt;="&amp;账期起,出库单!$C$4:$C$4003,"&lt;="&amp;账期止),0))</f>
        <v/>
      </c>
      <c r="V869" s="27">
        <f>IF($A869="","",SUMIFS(出库单!$J$4:$J$4003,出库单!$D$4:$D$4003,$A869,出库单!$K$4:$K$4003,"退货给供应商",出库单!$U$4:$U$4003,"正常",出库单!$C$4:$C$4003,"&gt;="&amp;账期起,出库单!$C$4:$C$4003,"&lt;="&amp;账期止))</f>
        <v/>
      </c>
      <c r="W869" s="26">
        <f>IF($A869="","",ROUND(SUMIFS(出库单!$S$4:$S$4003,出库单!$D$4:$D$4003,$A869,出库单!$K$4:$K$4003,"退货给供应商",出库单!$U$4:$U$4003,"正常",出库单!$C$4:$C$4003,"&gt;="&amp;账期起,出库单!$C$4:$C$4003,"&lt;="&amp;账期止),0))</f>
        <v/>
      </c>
      <c r="X869" s="27">
        <f>IF($A869="","",ROUND(N($G869)+$I869+$L869+$N869-$P869-$R869-$T869-$V869,3))</f>
        <v/>
      </c>
      <c r="Y869" s="26">
        <f>IF($A869="","",ROUND(N($H869)+$J869+$M869+$O869-$Q869-$S869-$U869-$W869,0))</f>
        <v/>
      </c>
      <c r="Z869" s="24">
        <f>IF($A869="","",IF(COUNTIFS(入库单!$G$4:$G$2503,$A869,入库单!$Y$4:$Y$2503,"待补价")+COUNTIFS(入库单!$G$4:$G$2503,$A869,入库单!$Y$4:$Y$2503,"暂估")&gt;0,"不可信","可信"))</f>
        <v/>
      </c>
      <c r="AA869" s="24">
        <f>IF($A869="","",IF($X869&lt;-0.001,"※账面负库存，查一下是不是漏记入库",IF(AND(ROUND($X869,3)=0,ABS($Y869)&gt;1),"※数量已经是 0，金额还挂着 "&amp;TEXT($Y869,"#,##0")&amp;" 先令",IF(AND($X869&gt;0,$Y869&lt;=0,$K869=0),"※有数量没金额（这个物料一直没填过进价）",IF($Z869="不可信","△成本含待补价/暂估，毛利仅供参考","")))))</f>
        <v/>
      </c>
    </row>
    <row r="870">
      <c r="A870" s="24">
        <f>IF(物料档案!$A869="","",物料档案!$A869)</f>
        <v/>
      </c>
      <c r="B870" s="24">
        <f>IF($A870="","",IFERROR(VLOOKUP($A870,物料档案!$A$4:$P$1203,3,0),""))</f>
        <v/>
      </c>
      <c r="C870" s="24">
        <f>IF($A870="","",IFERROR(VLOOKUP($A870,物料档案!$A$4:$P$1203,4,0),""))</f>
        <v/>
      </c>
      <c r="D870" s="24">
        <f>IF($A870="","",IFERROR(VLOOKUP($A870,物料档案!$A$4:$P$1203,5,0),""))</f>
        <v/>
      </c>
      <c r="E870" s="24">
        <f>IF($A870="","",IFERROR(VLOOKUP($A870,物料档案!$A$4:$P$1203,2,0),""))</f>
        <v/>
      </c>
      <c r="F870" s="24">
        <f>IF($A870="","",IFERROR(VLOOKUP($A870,物料档案!$A$4:$P$1203,6,0),""))</f>
        <v/>
      </c>
      <c r="G870" s="23" t="n"/>
      <c r="H870" s="32" t="n"/>
      <c r="I870" s="27">
        <f>IF($A870="","",SUMIFS(入库单!$K$4:$K$2503,入库单!$G$4:$G$2503,$A870,入库单!$X$4:$X$2503,"采购入库",入库单!$Z$4:$Z$2503,"正常",入库单!$C$4:$C$2503,"&gt;="&amp;账期起,入库单!$C$4:$C$2503,"&lt;="&amp;账期止))</f>
        <v/>
      </c>
      <c r="J870" s="26">
        <f>IF($A870="","",SUMIFS(入库单!$V$4:$V$2503,入库单!$G$4:$G$2503,$A870,入库单!$X$4:$X$2503,"采购入库",入库单!$Z$4:$Z$2503,"正常",入库单!$C$4:$C$2503,"&gt;="&amp;账期起,入库单!$C$4:$C$2503,"&lt;="&amp;账期止))</f>
        <v/>
      </c>
      <c r="K870" s="26">
        <f>IF($A870="","",IFERROR(ROUND((N($H870)+N($J870))/(N($G870)+N($I870)),2),0))</f>
        <v/>
      </c>
      <c r="L870" s="27">
        <f>IF($A870="","",SUMIFS(入库单!$K$4:$K$2503,入库单!$G$4:$G$2503,$A870,入库单!$X$4:$X$2503,"盘盈",入库单!$Z$4:$Z$2503,"正常",入库单!$C$4:$C$2503,"&gt;="&amp;账期起,入库单!$C$4:$C$2503,"&lt;="&amp;账期止))</f>
        <v/>
      </c>
      <c r="M870" s="26">
        <f>IF($A870="","",ROUND($L870*$K870,0))</f>
        <v/>
      </c>
      <c r="N870" s="27">
        <f>IF($A870="","",SUMIFS(入库单!$K$4:$K$2503,入库单!$G$4:$G$2503,$A870,入库单!$X$4:$X$2503,"矿区退库",入库单!$Z$4:$Z$2503,"正常",入库单!$C$4:$C$2503,"&gt;="&amp;账期起,入库单!$C$4:$C$2503,"&lt;="&amp;账期止))</f>
        <v/>
      </c>
      <c r="O870" s="26">
        <f>IF($A870="","",ROUND($N870*$K870,0))</f>
        <v/>
      </c>
      <c r="P870" s="27">
        <f>IF($A870="","",SUMIFS(出库单!$J$4:$J$4003,出库单!$D$4:$D$4003,$A870,出库单!$K$4:$K$4003,"自用消耗",出库单!$U$4:$U$4003,"正常",出库单!$C$4:$C$4003,"&gt;="&amp;账期起,出库单!$C$4:$C$4003,"&lt;="&amp;账期止))</f>
        <v/>
      </c>
      <c r="Q870" s="26">
        <f>IF($A870="","",ROUND(SUMIFS(出库单!$S$4:$S$4003,出库单!$D$4:$D$4003,$A870,出库单!$K$4:$K$4003,"自用消耗",出库单!$U$4:$U$4003,"正常",出库单!$C$4:$C$4003,"&gt;="&amp;账期起,出库单!$C$4:$C$4003,"&lt;="&amp;账期止),0))</f>
        <v/>
      </c>
      <c r="R870" s="27">
        <f>IF($A870="","",SUMIFS(出库单!$J$4:$J$4003,出库单!$D$4:$D$4003,$A870,出库单!$K$4:$K$4003,"对外销售",出库单!$U$4:$U$4003,"正常",出库单!$C$4:$C$4003,"&gt;="&amp;账期起,出库单!$C$4:$C$4003,"&lt;="&amp;账期止))</f>
        <v/>
      </c>
      <c r="S870" s="26">
        <f>IF($A870="","",ROUND(SUMIFS(出库单!$S$4:$S$4003,出库单!$D$4:$D$4003,$A870,出库单!$K$4:$K$4003,"对外销售",出库单!$U$4:$U$4003,"正常",出库单!$C$4:$C$4003,"&gt;="&amp;账期起,出库单!$C$4:$C$4003,"&lt;="&amp;账期止),0))</f>
        <v/>
      </c>
      <c r="T870" s="27">
        <f>IF($A870="","",SUMIFS(出库单!$J$4:$J$4003,出库单!$D$4:$D$4003,$A870,出库单!$K$4:$K$4003,"盘亏",出库单!$U$4:$U$4003,"正常",出库单!$C$4:$C$4003,"&gt;="&amp;账期起,出库单!$C$4:$C$4003,"&lt;="&amp;账期止))</f>
        <v/>
      </c>
      <c r="U870" s="26">
        <f>IF($A870="","",ROUND(SUMIFS(出库单!$S$4:$S$4003,出库单!$D$4:$D$4003,$A870,出库单!$K$4:$K$4003,"盘亏",出库单!$U$4:$U$4003,"正常",出库单!$C$4:$C$4003,"&gt;="&amp;账期起,出库单!$C$4:$C$4003,"&lt;="&amp;账期止),0))</f>
        <v/>
      </c>
      <c r="V870" s="27">
        <f>IF($A870="","",SUMIFS(出库单!$J$4:$J$4003,出库单!$D$4:$D$4003,$A870,出库单!$K$4:$K$4003,"退货给供应商",出库单!$U$4:$U$4003,"正常",出库单!$C$4:$C$4003,"&gt;="&amp;账期起,出库单!$C$4:$C$4003,"&lt;="&amp;账期止))</f>
        <v/>
      </c>
      <c r="W870" s="26">
        <f>IF($A870="","",ROUND(SUMIFS(出库单!$S$4:$S$4003,出库单!$D$4:$D$4003,$A870,出库单!$K$4:$K$4003,"退货给供应商",出库单!$U$4:$U$4003,"正常",出库单!$C$4:$C$4003,"&gt;="&amp;账期起,出库单!$C$4:$C$4003,"&lt;="&amp;账期止),0))</f>
        <v/>
      </c>
      <c r="X870" s="27">
        <f>IF($A870="","",ROUND(N($G870)+$I870+$L870+$N870-$P870-$R870-$T870-$V870,3))</f>
        <v/>
      </c>
      <c r="Y870" s="26">
        <f>IF($A870="","",ROUND(N($H870)+$J870+$M870+$O870-$Q870-$S870-$U870-$W870,0))</f>
        <v/>
      </c>
      <c r="Z870" s="24">
        <f>IF($A870="","",IF(COUNTIFS(入库单!$G$4:$G$2503,$A870,入库单!$Y$4:$Y$2503,"待补价")+COUNTIFS(入库单!$G$4:$G$2503,$A870,入库单!$Y$4:$Y$2503,"暂估")&gt;0,"不可信","可信"))</f>
        <v/>
      </c>
      <c r="AA870" s="24">
        <f>IF($A870="","",IF($X870&lt;-0.001,"※账面负库存，查一下是不是漏记入库",IF(AND(ROUND($X870,3)=0,ABS($Y870)&gt;1),"※数量已经是 0，金额还挂着 "&amp;TEXT($Y870,"#,##0")&amp;" 先令",IF(AND($X870&gt;0,$Y870&lt;=0,$K870=0),"※有数量没金额（这个物料一直没填过进价）",IF($Z870="不可信","△成本含待补价/暂估，毛利仅供参考","")))))</f>
        <v/>
      </c>
    </row>
    <row r="871">
      <c r="A871" s="24">
        <f>IF(物料档案!$A870="","",物料档案!$A870)</f>
        <v/>
      </c>
      <c r="B871" s="24">
        <f>IF($A871="","",IFERROR(VLOOKUP($A871,物料档案!$A$4:$P$1203,3,0),""))</f>
        <v/>
      </c>
      <c r="C871" s="24">
        <f>IF($A871="","",IFERROR(VLOOKUP($A871,物料档案!$A$4:$P$1203,4,0),""))</f>
        <v/>
      </c>
      <c r="D871" s="24">
        <f>IF($A871="","",IFERROR(VLOOKUP($A871,物料档案!$A$4:$P$1203,5,0),""))</f>
        <v/>
      </c>
      <c r="E871" s="24">
        <f>IF($A871="","",IFERROR(VLOOKUP($A871,物料档案!$A$4:$P$1203,2,0),""))</f>
        <v/>
      </c>
      <c r="F871" s="24">
        <f>IF($A871="","",IFERROR(VLOOKUP($A871,物料档案!$A$4:$P$1203,6,0),""))</f>
        <v/>
      </c>
      <c r="G871" s="23" t="n"/>
      <c r="H871" s="32" t="n"/>
      <c r="I871" s="27">
        <f>IF($A871="","",SUMIFS(入库单!$K$4:$K$2503,入库单!$G$4:$G$2503,$A871,入库单!$X$4:$X$2503,"采购入库",入库单!$Z$4:$Z$2503,"正常",入库单!$C$4:$C$2503,"&gt;="&amp;账期起,入库单!$C$4:$C$2503,"&lt;="&amp;账期止))</f>
        <v/>
      </c>
      <c r="J871" s="26">
        <f>IF($A871="","",SUMIFS(入库单!$V$4:$V$2503,入库单!$G$4:$G$2503,$A871,入库单!$X$4:$X$2503,"采购入库",入库单!$Z$4:$Z$2503,"正常",入库单!$C$4:$C$2503,"&gt;="&amp;账期起,入库单!$C$4:$C$2503,"&lt;="&amp;账期止))</f>
        <v/>
      </c>
      <c r="K871" s="26">
        <f>IF($A871="","",IFERROR(ROUND((N($H871)+N($J871))/(N($G871)+N($I871)),2),0))</f>
        <v/>
      </c>
      <c r="L871" s="27">
        <f>IF($A871="","",SUMIFS(入库单!$K$4:$K$2503,入库单!$G$4:$G$2503,$A871,入库单!$X$4:$X$2503,"盘盈",入库单!$Z$4:$Z$2503,"正常",入库单!$C$4:$C$2503,"&gt;="&amp;账期起,入库单!$C$4:$C$2503,"&lt;="&amp;账期止))</f>
        <v/>
      </c>
      <c r="M871" s="26">
        <f>IF($A871="","",ROUND($L871*$K871,0))</f>
        <v/>
      </c>
      <c r="N871" s="27">
        <f>IF($A871="","",SUMIFS(入库单!$K$4:$K$2503,入库单!$G$4:$G$2503,$A871,入库单!$X$4:$X$2503,"矿区退库",入库单!$Z$4:$Z$2503,"正常",入库单!$C$4:$C$2503,"&gt;="&amp;账期起,入库单!$C$4:$C$2503,"&lt;="&amp;账期止))</f>
        <v/>
      </c>
      <c r="O871" s="26">
        <f>IF($A871="","",ROUND($N871*$K871,0))</f>
        <v/>
      </c>
      <c r="P871" s="27">
        <f>IF($A871="","",SUMIFS(出库单!$J$4:$J$4003,出库单!$D$4:$D$4003,$A871,出库单!$K$4:$K$4003,"自用消耗",出库单!$U$4:$U$4003,"正常",出库单!$C$4:$C$4003,"&gt;="&amp;账期起,出库单!$C$4:$C$4003,"&lt;="&amp;账期止))</f>
        <v/>
      </c>
      <c r="Q871" s="26">
        <f>IF($A871="","",ROUND(SUMIFS(出库单!$S$4:$S$4003,出库单!$D$4:$D$4003,$A871,出库单!$K$4:$K$4003,"自用消耗",出库单!$U$4:$U$4003,"正常",出库单!$C$4:$C$4003,"&gt;="&amp;账期起,出库单!$C$4:$C$4003,"&lt;="&amp;账期止),0))</f>
        <v/>
      </c>
      <c r="R871" s="27">
        <f>IF($A871="","",SUMIFS(出库单!$J$4:$J$4003,出库单!$D$4:$D$4003,$A871,出库单!$K$4:$K$4003,"对外销售",出库单!$U$4:$U$4003,"正常",出库单!$C$4:$C$4003,"&gt;="&amp;账期起,出库单!$C$4:$C$4003,"&lt;="&amp;账期止))</f>
        <v/>
      </c>
      <c r="S871" s="26">
        <f>IF($A871="","",ROUND(SUMIFS(出库单!$S$4:$S$4003,出库单!$D$4:$D$4003,$A871,出库单!$K$4:$K$4003,"对外销售",出库单!$U$4:$U$4003,"正常",出库单!$C$4:$C$4003,"&gt;="&amp;账期起,出库单!$C$4:$C$4003,"&lt;="&amp;账期止),0))</f>
        <v/>
      </c>
      <c r="T871" s="27">
        <f>IF($A871="","",SUMIFS(出库单!$J$4:$J$4003,出库单!$D$4:$D$4003,$A871,出库单!$K$4:$K$4003,"盘亏",出库单!$U$4:$U$4003,"正常",出库单!$C$4:$C$4003,"&gt;="&amp;账期起,出库单!$C$4:$C$4003,"&lt;="&amp;账期止))</f>
        <v/>
      </c>
      <c r="U871" s="26">
        <f>IF($A871="","",ROUND(SUMIFS(出库单!$S$4:$S$4003,出库单!$D$4:$D$4003,$A871,出库单!$K$4:$K$4003,"盘亏",出库单!$U$4:$U$4003,"正常",出库单!$C$4:$C$4003,"&gt;="&amp;账期起,出库单!$C$4:$C$4003,"&lt;="&amp;账期止),0))</f>
        <v/>
      </c>
      <c r="V871" s="27">
        <f>IF($A871="","",SUMIFS(出库单!$J$4:$J$4003,出库单!$D$4:$D$4003,$A871,出库单!$K$4:$K$4003,"退货给供应商",出库单!$U$4:$U$4003,"正常",出库单!$C$4:$C$4003,"&gt;="&amp;账期起,出库单!$C$4:$C$4003,"&lt;="&amp;账期止))</f>
        <v/>
      </c>
      <c r="W871" s="26">
        <f>IF($A871="","",ROUND(SUMIFS(出库单!$S$4:$S$4003,出库单!$D$4:$D$4003,$A871,出库单!$K$4:$K$4003,"退货给供应商",出库单!$U$4:$U$4003,"正常",出库单!$C$4:$C$4003,"&gt;="&amp;账期起,出库单!$C$4:$C$4003,"&lt;="&amp;账期止),0))</f>
        <v/>
      </c>
      <c r="X871" s="27">
        <f>IF($A871="","",ROUND(N($G871)+$I871+$L871+$N871-$P871-$R871-$T871-$V871,3))</f>
        <v/>
      </c>
      <c r="Y871" s="26">
        <f>IF($A871="","",ROUND(N($H871)+$J871+$M871+$O871-$Q871-$S871-$U871-$W871,0))</f>
        <v/>
      </c>
      <c r="Z871" s="24">
        <f>IF($A871="","",IF(COUNTIFS(入库单!$G$4:$G$2503,$A871,入库单!$Y$4:$Y$2503,"待补价")+COUNTIFS(入库单!$G$4:$G$2503,$A871,入库单!$Y$4:$Y$2503,"暂估")&gt;0,"不可信","可信"))</f>
        <v/>
      </c>
      <c r="AA871" s="24">
        <f>IF($A871="","",IF($X871&lt;-0.001,"※账面负库存，查一下是不是漏记入库",IF(AND(ROUND($X871,3)=0,ABS($Y871)&gt;1),"※数量已经是 0，金额还挂着 "&amp;TEXT($Y871,"#,##0")&amp;" 先令",IF(AND($X871&gt;0,$Y871&lt;=0,$K871=0),"※有数量没金额（这个物料一直没填过进价）",IF($Z871="不可信","△成本含待补价/暂估，毛利仅供参考","")))))</f>
        <v/>
      </c>
    </row>
    <row r="872">
      <c r="A872" s="24">
        <f>IF(物料档案!$A871="","",物料档案!$A871)</f>
        <v/>
      </c>
      <c r="B872" s="24">
        <f>IF($A872="","",IFERROR(VLOOKUP($A872,物料档案!$A$4:$P$1203,3,0),""))</f>
        <v/>
      </c>
      <c r="C872" s="24">
        <f>IF($A872="","",IFERROR(VLOOKUP($A872,物料档案!$A$4:$P$1203,4,0),""))</f>
        <v/>
      </c>
      <c r="D872" s="24">
        <f>IF($A872="","",IFERROR(VLOOKUP($A872,物料档案!$A$4:$P$1203,5,0),""))</f>
        <v/>
      </c>
      <c r="E872" s="24">
        <f>IF($A872="","",IFERROR(VLOOKUP($A872,物料档案!$A$4:$P$1203,2,0),""))</f>
        <v/>
      </c>
      <c r="F872" s="24">
        <f>IF($A872="","",IFERROR(VLOOKUP($A872,物料档案!$A$4:$P$1203,6,0),""))</f>
        <v/>
      </c>
      <c r="G872" s="23" t="n"/>
      <c r="H872" s="32" t="n"/>
      <c r="I872" s="27">
        <f>IF($A872="","",SUMIFS(入库单!$K$4:$K$2503,入库单!$G$4:$G$2503,$A872,入库单!$X$4:$X$2503,"采购入库",入库单!$Z$4:$Z$2503,"正常",入库单!$C$4:$C$2503,"&gt;="&amp;账期起,入库单!$C$4:$C$2503,"&lt;="&amp;账期止))</f>
        <v/>
      </c>
      <c r="J872" s="26">
        <f>IF($A872="","",SUMIFS(入库单!$V$4:$V$2503,入库单!$G$4:$G$2503,$A872,入库单!$X$4:$X$2503,"采购入库",入库单!$Z$4:$Z$2503,"正常",入库单!$C$4:$C$2503,"&gt;="&amp;账期起,入库单!$C$4:$C$2503,"&lt;="&amp;账期止))</f>
        <v/>
      </c>
      <c r="K872" s="26">
        <f>IF($A872="","",IFERROR(ROUND((N($H872)+N($J872))/(N($G872)+N($I872)),2),0))</f>
        <v/>
      </c>
      <c r="L872" s="27">
        <f>IF($A872="","",SUMIFS(入库单!$K$4:$K$2503,入库单!$G$4:$G$2503,$A872,入库单!$X$4:$X$2503,"盘盈",入库单!$Z$4:$Z$2503,"正常",入库单!$C$4:$C$2503,"&gt;="&amp;账期起,入库单!$C$4:$C$2503,"&lt;="&amp;账期止))</f>
        <v/>
      </c>
      <c r="M872" s="26">
        <f>IF($A872="","",ROUND($L872*$K872,0))</f>
        <v/>
      </c>
      <c r="N872" s="27">
        <f>IF($A872="","",SUMIFS(入库单!$K$4:$K$2503,入库单!$G$4:$G$2503,$A872,入库单!$X$4:$X$2503,"矿区退库",入库单!$Z$4:$Z$2503,"正常",入库单!$C$4:$C$2503,"&gt;="&amp;账期起,入库单!$C$4:$C$2503,"&lt;="&amp;账期止))</f>
        <v/>
      </c>
      <c r="O872" s="26">
        <f>IF($A872="","",ROUND($N872*$K872,0))</f>
        <v/>
      </c>
      <c r="P872" s="27">
        <f>IF($A872="","",SUMIFS(出库单!$J$4:$J$4003,出库单!$D$4:$D$4003,$A872,出库单!$K$4:$K$4003,"自用消耗",出库单!$U$4:$U$4003,"正常",出库单!$C$4:$C$4003,"&gt;="&amp;账期起,出库单!$C$4:$C$4003,"&lt;="&amp;账期止))</f>
        <v/>
      </c>
      <c r="Q872" s="26">
        <f>IF($A872="","",ROUND(SUMIFS(出库单!$S$4:$S$4003,出库单!$D$4:$D$4003,$A872,出库单!$K$4:$K$4003,"自用消耗",出库单!$U$4:$U$4003,"正常",出库单!$C$4:$C$4003,"&gt;="&amp;账期起,出库单!$C$4:$C$4003,"&lt;="&amp;账期止),0))</f>
        <v/>
      </c>
      <c r="R872" s="27">
        <f>IF($A872="","",SUMIFS(出库单!$J$4:$J$4003,出库单!$D$4:$D$4003,$A872,出库单!$K$4:$K$4003,"对外销售",出库单!$U$4:$U$4003,"正常",出库单!$C$4:$C$4003,"&gt;="&amp;账期起,出库单!$C$4:$C$4003,"&lt;="&amp;账期止))</f>
        <v/>
      </c>
      <c r="S872" s="26">
        <f>IF($A872="","",ROUND(SUMIFS(出库单!$S$4:$S$4003,出库单!$D$4:$D$4003,$A872,出库单!$K$4:$K$4003,"对外销售",出库单!$U$4:$U$4003,"正常",出库单!$C$4:$C$4003,"&gt;="&amp;账期起,出库单!$C$4:$C$4003,"&lt;="&amp;账期止),0))</f>
        <v/>
      </c>
      <c r="T872" s="27">
        <f>IF($A872="","",SUMIFS(出库单!$J$4:$J$4003,出库单!$D$4:$D$4003,$A872,出库单!$K$4:$K$4003,"盘亏",出库单!$U$4:$U$4003,"正常",出库单!$C$4:$C$4003,"&gt;="&amp;账期起,出库单!$C$4:$C$4003,"&lt;="&amp;账期止))</f>
        <v/>
      </c>
      <c r="U872" s="26">
        <f>IF($A872="","",ROUND(SUMIFS(出库单!$S$4:$S$4003,出库单!$D$4:$D$4003,$A872,出库单!$K$4:$K$4003,"盘亏",出库单!$U$4:$U$4003,"正常",出库单!$C$4:$C$4003,"&gt;="&amp;账期起,出库单!$C$4:$C$4003,"&lt;="&amp;账期止),0))</f>
        <v/>
      </c>
      <c r="V872" s="27">
        <f>IF($A872="","",SUMIFS(出库单!$J$4:$J$4003,出库单!$D$4:$D$4003,$A872,出库单!$K$4:$K$4003,"退货给供应商",出库单!$U$4:$U$4003,"正常",出库单!$C$4:$C$4003,"&gt;="&amp;账期起,出库单!$C$4:$C$4003,"&lt;="&amp;账期止))</f>
        <v/>
      </c>
      <c r="W872" s="26">
        <f>IF($A872="","",ROUND(SUMIFS(出库单!$S$4:$S$4003,出库单!$D$4:$D$4003,$A872,出库单!$K$4:$K$4003,"退货给供应商",出库单!$U$4:$U$4003,"正常",出库单!$C$4:$C$4003,"&gt;="&amp;账期起,出库单!$C$4:$C$4003,"&lt;="&amp;账期止),0))</f>
        <v/>
      </c>
      <c r="X872" s="27">
        <f>IF($A872="","",ROUND(N($G872)+$I872+$L872+$N872-$P872-$R872-$T872-$V872,3))</f>
        <v/>
      </c>
      <c r="Y872" s="26">
        <f>IF($A872="","",ROUND(N($H872)+$J872+$M872+$O872-$Q872-$S872-$U872-$W872,0))</f>
        <v/>
      </c>
      <c r="Z872" s="24">
        <f>IF($A872="","",IF(COUNTIFS(入库单!$G$4:$G$2503,$A872,入库单!$Y$4:$Y$2503,"待补价")+COUNTIFS(入库单!$G$4:$G$2503,$A872,入库单!$Y$4:$Y$2503,"暂估")&gt;0,"不可信","可信"))</f>
        <v/>
      </c>
      <c r="AA872" s="24">
        <f>IF($A872="","",IF($X872&lt;-0.001,"※账面负库存，查一下是不是漏记入库",IF(AND(ROUND($X872,3)=0,ABS($Y872)&gt;1),"※数量已经是 0，金额还挂着 "&amp;TEXT($Y872,"#,##0")&amp;" 先令",IF(AND($X872&gt;0,$Y872&lt;=0,$K872=0),"※有数量没金额（这个物料一直没填过进价）",IF($Z872="不可信","△成本含待补价/暂估，毛利仅供参考","")))))</f>
        <v/>
      </c>
    </row>
    <row r="873">
      <c r="A873" s="24">
        <f>IF(物料档案!$A872="","",物料档案!$A872)</f>
        <v/>
      </c>
      <c r="B873" s="24">
        <f>IF($A873="","",IFERROR(VLOOKUP($A873,物料档案!$A$4:$P$1203,3,0),""))</f>
        <v/>
      </c>
      <c r="C873" s="24">
        <f>IF($A873="","",IFERROR(VLOOKUP($A873,物料档案!$A$4:$P$1203,4,0),""))</f>
        <v/>
      </c>
      <c r="D873" s="24">
        <f>IF($A873="","",IFERROR(VLOOKUP($A873,物料档案!$A$4:$P$1203,5,0),""))</f>
        <v/>
      </c>
      <c r="E873" s="24">
        <f>IF($A873="","",IFERROR(VLOOKUP($A873,物料档案!$A$4:$P$1203,2,0),""))</f>
        <v/>
      </c>
      <c r="F873" s="24">
        <f>IF($A873="","",IFERROR(VLOOKUP($A873,物料档案!$A$4:$P$1203,6,0),""))</f>
        <v/>
      </c>
      <c r="G873" s="23" t="n"/>
      <c r="H873" s="32" t="n"/>
      <c r="I873" s="27">
        <f>IF($A873="","",SUMIFS(入库单!$K$4:$K$2503,入库单!$G$4:$G$2503,$A873,入库单!$X$4:$X$2503,"采购入库",入库单!$Z$4:$Z$2503,"正常",入库单!$C$4:$C$2503,"&gt;="&amp;账期起,入库单!$C$4:$C$2503,"&lt;="&amp;账期止))</f>
        <v/>
      </c>
      <c r="J873" s="26">
        <f>IF($A873="","",SUMIFS(入库单!$V$4:$V$2503,入库单!$G$4:$G$2503,$A873,入库单!$X$4:$X$2503,"采购入库",入库单!$Z$4:$Z$2503,"正常",入库单!$C$4:$C$2503,"&gt;="&amp;账期起,入库单!$C$4:$C$2503,"&lt;="&amp;账期止))</f>
        <v/>
      </c>
      <c r="K873" s="26">
        <f>IF($A873="","",IFERROR(ROUND((N($H873)+N($J873))/(N($G873)+N($I873)),2),0))</f>
        <v/>
      </c>
      <c r="L873" s="27">
        <f>IF($A873="","",SUMIFS(入库单!$K$4:$K$2503,入库单!$G$4:$G$2503,$A873,入库单!$X$4:$X$2503,"盘盈",入库单!$Z$4:$Z$2503,"正常",入库单!$C$4:$C$2503,"&gt;="&amp;账期起,入库单!$C$4:$C$2503,"&lt;="&amp;账期止))</f>
        <v/>
      </c>
      <c r="M873" s="26">
        <f>IF($A873="","",ROUND($L873*$K873,0))</f>
        <v/>
      </c>
      <c r="N873" s="27">
        <f>IF($A873="","",SUMIFS(入库单!$K$4:$K$2503,入库单!$G$4:$G$2503,$A873,入库单!$X$4:$X$2503,"矿区退库",入库单!$Z$4:$Z$2503,"正常",入库单!$C$4:$C$2503,"&gt;="&amp;账期起,入库单!$C$4:$C$2503,"&lt;="&amp;账期止))</f>
        <v/>
      </c>
      <c r="O873" s="26">
        <f>IF($A873="","",ROUND($N873*$K873,0))</f>
        <v/>
      </c>
      <c r="P873" s="27">
        <f>IF($A873="","",SUMIFS(出库单!$J$4:$J$4003,出库单!$D$4:$D$4003,$A873,出库单!$K$4:$K$4003,"自用消耗",出库单!$U$4:$U$4003,"正常",出库单!$C$4:$C$4003,"&gt;="&amp;账期起,出库单!$C$4:$C$4003,"&lt;="&amp;账期止))</f>
        <v/>
      </c>
      <c r="Q873" s="26">
        <f>IF($A873="","",ROUND(SUMIFS(出库单!$S$4:$S$4003,出库单!$D$4:$D$4003,$A873,出库单!$K$4:$K$4003,"自用消耗",出库单!$U$4:$U$4003,"正常",出库单!$C$4:$C$4003,"&gt;="&amp;账期起,出库单!$C$4:$C$4003,"&lt;="&amp;账期止),0))</f>
        <v/>
      </c>
      <c r="R873" s="27">
        <f>IF($A873="","",SUMIFS(出库单!$J$4:$J$4003,出库单!$D$4:$D$4003,$A873,出库单!$K$4:$K$4003,"对外销售",出库单!$U$4:$U$4003,"正常",出库单!$C$4:$C$4003,"&gt;="&amp;账期起,出库单!$C$4:$C$4003,"&lt;="&amp;账期止))</f>
        <v/>
      </c>
      <c r="S873" s="26">
        <f>IF($A873="","",ROUND(SUMIFS(出库单!$S$4:$S$4003,出库单!$D$4:$D$4003,$A873,出库单!$K$4:$K$4003,"对外销售",出库单!$U$4:$U$4003,"正常",出库单!$C$4:$C$4003,"&gt;="&amp;账期起,出库单!$C$4:$C$4003,"&lt;="&amp;账期止),0))</f>
        <v/>
      </c>
      <c r="T873" s="27">
        <f>IF($A873="","",SUMIFS(出库单!$J$4:$J$4003,出库单!$D$4:$D$4003,$A873,出库单!$K$4:$K$4003,"盘亏",出库单!$U$4:$U$4003,"正常",出库单!$C$4:$C$4003,"&gt;="&amp;账期起,出库单!$C$4:$C$4003,"&lt;="&amp;账期止))</f>
        <v/>
      </c>
      <c r="U873" s="26">
        <f>IF($A873="","",ROUND(SUMIFS(出库单!$S$4:$S$4003,出库单!$D$4:$D$4003,$A873,出库单!$K$4:$K$4003,"盘亏",出库单!$U$4:$U$4003,"正常",出库单!$C$4:$C$4003,"&gt;="&amp;账期起,出库单!$C$4:$C$4003,"&lt;="&amp;账期止),0))</f>
        <v/>
      </c>
      <c r="V873" s="27">
        <f>IF($A873="","",SUMIFS(出库单!$J$4:$J$4003,出库单!$D$4:$D$4003,$A873,出库单!$K$4:$K$4003,"退货给供应商",出库单!$U$4:$U$4003,"正常",出库单!$C$4:$C$4003,"&gt;="&amp;账期起,出库单!$C$4:$C$4003,"&lt;="&amp;账期止))</f>
        <v/>
      </c>
      <c r="W873" s="26">
        <f>IF($A873="","",ROUND(SUMIFS(出库单!$S$4:$S$4003,出库单!$D$4:$D$4003,$A873,出库单!$K$4:$K$4003,"退货给供应商",出库单!$U$4:$U$4003,"正常",出库单!$C$4:$C$4003,"&gt;="&amp;账期起,出库单!$C$4:$C$4003,"&lt;="&amp;账期止),0))</f>
        <v/>
      </c>
      <c r="X873" s="27">
        <f>IF($A873="","",ROUND(N($G873)+$I873+$L873+$N873-$P873-$R873-$T873-$V873,3))</f>
        <v/>
      </c>
      <c r="Y873" s="26">
        <f>IF($A873="","",ROUND(N($H873)+$J873+$M873+$O873-$Q873-$S873-$U873-$W873,0))</f>
        <v/>
      </c>
      <c r="Z873" s="24">
        <f>IF($A873="","",IF(COUNTIFS(入库单!$G$4:$G$2503,$A873,入库单!$Y$4:$Y$2503,"待补价")+COUNTIFS(入库单!$G$4:$G$2503,$A873,入库单!$Y$4:$Y$2503,"暂估")&gt;0,"不可信","可信"))</f>
        <v/>
      </c>
      <c r="AA873" s="24">
        <f>IF($A873="","",IF($X873&lt;-0.001,"※账面负库存，查一下是不是漏记入库",IF(AND(ROUND($X873,3)=0,ABS($Y873)&gt;1),"※数量已经是 0，金额还挂着 "&amp;TEXT($Y873,"#,##0")&amp;" 先令",IF(AND($X873&gt;0,$Y873&lt;=0,$K873=0),"※有数量没金额（这个物料一直没填过进价）",IF($Z873="不可信","△成本含待补价/暂估，毛利仅供参考","")))))</f>
        <v/>
      </c>
    </row>
    <row r="874">
      <c r="A874" s="24">
        <f>IF(物料档案!$A873="","",物料档案!$A873)</f>
        <v/>
      </c>
      <c r="B874" s="24">
        <f>IF($A874="","",IFERROR(VLOOKUP($A874,物料档案!$A$4:$P$1203,3,0),""))</f>
        <v/>
      </c>
      <c r="C874" s="24">
        <f>IF($A874="","",IFERROR(VLOOKUP($A874,物料档案!$A$4:$P$1203,4,0),""))</f>
        <v/>
      </c>
      <c r="D874" s="24">
        <f>IF($A874="","",IFERROR(VLOOKUP($A874,物料档案!$A$4:$P$1203,5,0),""))</f>
        <v/>
      </c>
      <c r="E874" s="24">
        <f>IF($A874="","",IFERROR(VLOOKUP($A874,物料档案!$A$4:$P$1203,2,0),""))</f>
        <v/>
      </c>
      <c r="F874" s="24">
        <f>IF($A874="","",IFERROR(VLOOKUP($A874,物料档案!$A$4:$P$1203,6,0),""))</f>
        <v/>
      </c>
      <c r="G874" s="23" t="n"/>
      <c r="H874" s="32" t="n"/>
      <c r="I874" s="27">
        <f>IF($A874="","",SUMIFS(入库单!$K$4:$K$2503,入库单!$G$4:$G$2503,$A874,入库单!$X$4:$X$2503,"采购入库",入库单!$Z$4:$Z$2503,"正常",入库单!$C$4:$C$2503,"&gt;="&amp;账期起,入库单!$C$4:$C$2503,"&lt;="&amp;账期止))</f>
        <v/>
      </c>
      <c r="J874" s="26">
        <f>IF($A874="","",SUMIFS(入库单!$V$4:$V$2503,入库单!$G$4:$G$2503,$A874,入库单!$X$4:$X$2503,"采购入库",入库单!$Z$4:$Z$2503,"正常",入库单!$C$4:$C$2503,"&gt;="&amp;账期起,入库单!$C$4:$C$2503,"&lt;="&amp;账期止))</f>
        <v/>
      </c>
      <c r="K874" s="26">
        <f>IF($A874="","",IFERROR(ROUND((N($H874)+N($J874))/(N($G874)+N($I874)),2),0))</f>
        <v/>
      </c>
      <c r="L874" s="27">
        <f>IF($A874="","",SUMIFS(入库单!$K$4:$K$2503,入库单!$G$4:$G$2503,$A874,入库单!$X$4:$X$2503,"盘盈",入库单!$Z$4:$Z$2503,"正常",入库单!$C$4:$C$2503,"&gt;="&amp;账期起,入库单!$C$4:$C$2503,"&lt;="&amp;账期止))</f>
        <v/>
      </c>
      <c r="M874" s="26">
        <f>IF($A874="","",ROUND($L874*$K874,0))</f>
        <v/>
      </c>
      <c r="N874" s="27">
        <f>IF($A874="","",SUMIFS(入库单!$K$4:$K$2503,入库单!$G$4:$G$2503,$A874,入库单!$X$4:$X$2503,"矿区退库",入库单!$Z$4:$Z$2503,"正常",入库单!$C$4:$C$2503,"&gt;="&amp;账期起,入库单!$C$4:$C$2503,"&lt;="&amp;账期止))</f>
        <v/>
      </c>
      <c r="O874" s="26">
        <f>IF($A874="","",ROUND($N874*$K874,0))</f>
        <v/>
      </c>
      <c r="P874" s="27">
        <f>IF($A874="","",SUMIFS(出库单!$J$4:$J$4003,出库单!$D$4:$D$4003,$A874,出库单!$K$4:$K$4003,"自用消耗",出库单!$U$4:$U$4003,"正常",出库单!$C$4:$C$4003,"&gt;="&amp;账期起,出库单!$C$4:$C$4003,"&lt;="&amp;账期止))</f>
        <v/>
      </c>
      <c r="Q874" s="26">
        <f>IF($A874="","",ROUND(SUMIFS(出库单!$S$4:$S$4003,出库单!$D$4:$D$4003,$A874,出库单!$K$4:$K$4003,"自用消耗",出库单!$U$4:$U$4003,"正常",出库单!$C$4:$C$4003,"&gt;="&amp;账期起,出库单!$C$4:$C$4003,"&lt;="&amp;账期止),0))</f>
        <v/>
      </c>
      <c r="R874" s="27">
        <f>IF($A874="","",SUMIFS(出库单!$J$4:$J$4003,出库单!$D$4:$D$4003,$A874,出库单!$K$4:$K$4003,"对外销售",出库单!$U$4:$U$4003,"正常",出库单!$C$4:$C$4003,"&gt;="&amp;账期起,出库单!$C$4:$C$4003,"&lt;="&amp;账期止))</f>
        <v/>
      </c>
      <c r="S874" s="26">
        <f>IF($A874="","",ROUND(SUMIFS(出库单!$S$4:$S$4003,出库单!$D$4:$D$4003,$A874,出库单!$K$4:$K$4003,"对外销售",出库单!$U$4:$U$4003,"正常",出库单!$C$4:$C$4003,"&gt;="&amp;账期起,出库单!$C$4:$C$4003,"&lt;="&amp;账期止),0))</f>
        <v/>
      </c>
      <c r="T874" s="27">
        <f>IF($A874="","",SUMIFS(出库单!$J$4:$J$4003,出库单!$D$4:$D$4003,$A874,出库单!$K$4:$K$4003,"盘亏",出库单!$U$4:$U$4003,"正常",出库单!$C$4:$C$4003,"&gt;="&amp;账期起,出库单!$C$4:$C$4003,"&lt;="&amp;账期止))</f>
        <v/>
      </c>
      <c r="U874" s="26">
        <f>IF($A874="","",ROUND(SUMIFS(出库单!$S$4:$S$4003,出库单!$D$4:$D$4003,$A874,出库单!$K$4:$K$4003,"盘亏",出库单!$U$4:$U$4003,"正常",出库单!$C$4:$C$4003,"&gt;="&amp;账期起,出库单!$C$4:$C$4003,"&lt;="&amp;账期止),0))</f>
        <v/>
      </c>
      <c r="V874" s="27">
        <f>IF($A874="","",SUMIFS(出库单!$J$4:$J$4003,出库单!$D$4:$D$4003,$A874,出库单!$K$4:$K$4003,"退货给供应商",出库单!$U$4:$U$4003,"正常",出库单!$C$4:$C$4003,"&gt;="&amp;账期起,出库单!$C$4:$C$4003,"&lt;="&amp;账期止))</f>
        <v/>
      </c>
      <c r="W874" s="26">
        <f>IF($A874="","",ROUND(SUMIFS(出库单!$S$4:$S$4003,出库单!$D$4:$D$4003,$A874,出库单!$K$4:$K$4003,"退货给供应商",出库单!$U$4:$U$4003,"正常",出库单!$C$4:$C$4003,"&gt;="&amp;账期起,出库单!$C$4:$C$4003,"&lt;="&amp;账期止),0))</f>
        <v/>
      </c>
      <c r="X874" s="27">
        <f>IF($A874="","",ROUND(N($G874)+$I874+$L874+$N874-$P874-$R874-$T874-$V874,3))</f>
        <v/>
      </c>
      <c r="Y874" s="26">
        <f>IF($A874="","",ROUND(N($H874)+$J874+$M874+$O874-$Q874-$S874-$U874-$W874,0))</f>
        <v/>
      </c>
      <c r="Z874" s="24">
        <f>IF($A874="","",IF(COUNTIFS(入库单!$G$4:$G$2503,$A874,入库单!$Y$4:$Y$2503,"待补价")+COUNTIFS(入库单!$G$4:$G$2503,$A874,入库单!$Y$4:$Y$2503,"暂估")&gt;0,"不可信","可信"))</f>
        <v/>
      </c>
      <c r="AA874" s="24">
        <f>IF($A874="","",IF($X874&lt;-0.001,"※账面负库存，查一下是不是漏记入库",IF(AND(ROUND($X874,3)=0,ABS($Y874)&gt;1),"※数量已经是 0，金额还挂着 "&amp;TEXT($Y874,"#,##0")&amp;" 先令",IF(AND($X874&gt;0,$Y874&lt;=0,$K874=0),"※有数量没金额（这个物料一直没填过进价）",IF($Z874="不可信","△成本含待补价/暂估，毛利仅供参考","")))))</f>
        <v/>
      </c>
    </row>
    <row r="875">
      <c r="A875" s="24">
        <f>IF(物料档案!$A874="","",物料档案!$A874)</f>
        <v/>
      </c>
      <c r="B875" s="24">
        <f>IF($A875="","",IFERROR(VLOOKUP($A875,物料档案!$A$4:$P$1203,3,0),""))</f>
        <v/>
      </c>
      <c r="C875" s="24">
        <f>IF($A875="","",IFERROR(VLOOKUP($A875,物料档案!$A$4:$P$1203,4,0),""))</f>
        <v/>
      </c>
      <c r="D875" s="24">
        <f>IF($A875="","",IFERROR(VLOOKUP($A875,物料档案!$A$4:$P$1203,5,0),""))</f>
        <v/>
      </c>
      <c r="E875" s="24">
        <f>IF($A875="","",IFERROR(VLOOKUP($A875,物料档案!$A$4:$P$1203,2,0),""))</f>
        <v/>
      </c>
      <c r="F875" s="24">
        <f>IF($A875="","",IFERROR(VLOOKUP($A875,物料档案!$A$4:$P$1203,6,0),""))</f>
        <v/>
      </c>
      <c r="G875" s="23" t="n"/>
      <c r="H875" s="32" t="n"/>
      <c r="I875" s="27">
        <f>IF($A875="","",SUMIFS(入库单!$K$4:$K$2503,入库单!$G$4:$G$2503,$A875,入库单!$X$4:$X$2503,"采购入库",入库单!$Z$4:$Z$2503,"正常",入库单!$C$4:$C$2503,"&gt;="&amp;账期起,入库单!$C$4:$C$2503,"&lt;="&amp;账期止))</f>
        <v/>
      </c>
      <c r="J875" s="26">
        <f>IF($A875="","",SUMIFS(入库单!$V$4:$V$2503,入库单!$G$4:$G$2503,$A875,入库单!$X$4:$X$2503,"采购入库",入库单!$Z$4:$Z$2503,"正常",入库单!$C$4:$C$2503,"&gt;="&amp;账期起,入库单!$C$4:$C$2503,"&lt;="&amp;账期止))</f>
        <v/>
      </c>
      <c r="K875" s="26">
        <f>IF($A875="","",IFERROR(ROUND((N($H875)+N($J875))/(N($G875)+N($I875)),2),0))</f>
        <v/>
      </c>
      <c r="L875" s="27">
        <f>IF($A875="","",SUMIFS(入库单!$K$4:$K$2503,入库单!$G$4:$G$2503,$A875,入库单!$X$4:$X$2503,"盘盈",入库单!$Z$4:$Z$2503,"正常",入库单!$C$4:$C$2503,"&gt;="&amp;账期起,入库单!$C$4:$C$2503,"&lt;="&amp;账期止))</f>
        <v/>
      </c>
      <c r="M875" s="26">
        <f>IF($A875="","",ROUND($L875*$K875,0))</f>
        <v/>
      </c>
      <c r="N875" s="27">
        <f>IF($A875="","",SUMIFS(入库单!$K$4:$K$2503,入库单!$G$4:$G$2503,$A875,入库单!$X$4:$X$2503,"矿区退库",入库单!$Z$4:$Z$2503,"正常",入库单!$C$4:$C$2503,"&gt;="&amp;账期起,入库单!$C$4:$C$2503,"&lt;="&amp;账期止))</f>
        <v/>
      </c>
      <c r="O875" s="26">
        <f>IF($A875="","",ROUND($N875*$K875,0))</f>
        <v/>
      </c>
      <c r="P875" s="27">
        <f>IF($A875="","",SUMIFS(出库单!$J$4:$J$4003,出库单!$D$4:$D$4003,$A875,出库单!$K$4:$K$4003,"自用消耗",出库单!$U$4:$U$4003,"正常",出库单!$C$4:$C$4003,"&gt;="&amp;账期起,出库单!$C$4:$C$4003,"&lt;="&amp;账期止))</f>
        <v/>
      </c>
      <c r="Q875" s="26">
        <f>IF($A875="","",ROUND(SUMIFS(出库单!$S$4:$S$4003,出库单!$D$4:$D$4003,$A875,出库单!$K$4:$K$4003,"自用消耗",出库单!$U$4:$U$4003,"正常",出库单!$C$4:$C$4003,"&gt;="&amp;账期起,出库单!$C$4:$C$4003,"&lt;="&amp;账期止),0))</f>
        <v/>
      </c>
      <c r="R875" s="27">
        <f>IF($A875="","",SUMIFS(出库单!$J$4:$J$4003,出库单!$D$4:$D$4003,$A875,出库单!$K$4:$K$4003,"对外销售",出库单!$U$4:$U$4003,"正常",出库单!$C$4:$C$4003,"&gt;="&amp;账期起,出库单!$C$4:$C$4003,"&lt;="&amp;账期止))</f>
        <v/>
      </c>
      <c r="S875" s="26">
        <f>IF($A875="","",ROUND(SUMIFS(出库单!$S$4:$S$4003,出库单!$D$4:$D$4003,$A875,出库单!$K$4:$K$4003,"对外销售",出库单!$U$4:$U$4003,"正常",出库单!$C$4:$C$4003,"&gt;="&amp;账期起,出库单!$C$4:$C$4003,"&lt;="&amp;账期止),0))</f>
        <v/>
      </c>
      <c r="T875" s="27">
        <f>IF($A875="","",SUMIFS(出库单!$J$4:$J$4003,出库单!$D$4:$D$4003,$A875,出库单!$K$4:$K$4003,"盘亏",出库单!$U$4:$U$4003,"正常",出库单!$C$4:$C$4003,"&gt;="&amp;账期起,出库单!$C$4:$C$4003,"&lt;="&amp;账期止))</f>
        <v/>
      </c>
      <c r="U875" s="26">
        <f>IF($A875="","",ROUND(SUMIFS(出库单!$S$4:$S$4003,出库单!$D$4:$D$4003,$A875,出库单!$K$4:$K$4003,"盘亏",出库单!$U$4:$U$4003,"正常",出库单!$C$4:$C$4003,"&gt;="&amp;账期起,出库单!$C$4:$C$4003,"&lt;="&amp;账期止),0))</f>
        <v/>
      </c>
      <c r="V875" s="27">
        <f>IF($A875="","",SUMIFS(出库单!$J$4:$J$4003,出库单!$D$4:$D$4003,$A875,出库单!$K$4:$K$4003,"退货给供应商",出库单!$U$4:$U$4003,"正常",出库单!$C$4:$C$4003,"&gt;="&amp;账期起,出库单!$C$4:$C$4003,"&lt;="&amp;账期止))</f>
        <v/>
      </c>
      <c r="W875" s="26">
        <f>IF($A875="","",ROUND(SUMIFS(出库单!$S$4:$S$4003,出库单!$D$4:$D$4003,$A875,出库单!$K$4:$K$4003,"退货给供应商",出库单!$U$4:$U$4003,"正常",出库单!$C$4:$C$4003,"&gt;="&amp;账期起,出库单!$C$4:$C$4003,"&lt;="&amp;账期止),0))</f>
        <v/>
      </c>
      <c r="X875" s="27">
        <f>IF($A875="","",ROUND(N($G875)+$I875+$L875+$N875-$P875-$R875-$T875-$V875,3))</f>
        <v/>
      </c>
      <c r="Y875" s="26">
        <f>IF($A875="","",ROUND(N($H875)+$J875+$M875+$O875-$Q875-$S875-$U875-$W875,0))</f>
        <v/>
      </c>
      <c r="Z875" s="24">
        <f>IF($A875="","",IF(COUNTIFS(入库单!$G$4:$G$2503,$A875,入库单!$Y$4:$Y$2503,"待补价")+COUNTIFS(入库单!$G$4:$G$2503,$A875,入库单!$Y$4:$Y$2503,"暂估")&gt;0,"不可信","可信"))</f>
        <v/>
      </c>
      <c r="AA875" s="24">
        <f>IF($A875="","",IF($X875&lt;-0.001,"※账面负库存，查一下是不是漏记入库",IF(AND(ROUND($X875,3)=0,ABS($Y875)&gt;1),"※数量已经是 0，金额还挂着 "&amp;TEXT($Y875,"#,##0")&amp;" 先令",IF(AND($X875&gt;0,$Y875&lt;=0,$K875=0),"※有数量没金额（这个物料一直没填过进价）",IF($Z875="不可信","△成本含待补价/暂估，毛利仅供参考","")))))</f>
        <v/>
      </c>
    </row>
    <row r="876">
      <c r="A876" s="24">
        <f>IF(物料档案!$A875="","",物料档案!$A875)</f>
        <v/>
      </c>
      <c r="B876" s="24">
        <f>IF($A876="","",IFERROR(VLOOKUP($A876,物料档案!$A$4:$P$1203,3,0),""))</f>
        <v/>
      </c>
      <c r="C876" s="24">
        <f>IF($A876="","",IFERROR(VLOOKUP($A876,物料档案!$A$4:$P$1203,4,0),""))</f>
        <v/>
      </c>
      <c r="D876" s="24">
        <f>IF($A876="","",IFERROR(VLOOKUP($A876,物料档案!$A$4:$P$1203,5,0),""))</f>
        <v/>
      </c>
      <c r="E876" s="24">
        <f>IF($A876="","",IFERROR(VLOOKUP($A876,物料档案!$A$4:$P$1203,2,0),""))</f>
        <v/>
      </c>
      <c r="F876" s="24">
        <f>IF($A876="","",IFERROR(VLOOKUP($A876,物料档案!$A$4:$P$1203,6,0),""))</f>
        <v/>
      </c>
      <c r="G876" s="23" t="n"/>
      <c r="H876" s="32" t="n"/>
      <c r="I876" s="27">
        <f>IF($A876="","",SUMIFS(入库单!$K$4:$K$2503,入库单!$G$4:$G$2503,$A876,入库单!$X$4:$X$2503,"采购入库",入库单!$Z$4:$Z$2503,"正常",入库单!$C$4:$C$2503,"&gt;="&amp;账期起,入库单!$C$4:$C$2503,"&lt;="&amp;账期止))</f>
        <v/>
      </c>
      <c r="J876" s="26">
        <f>IF($A876="","",SUMIFS(入库单!$V$4:$V$2503,入库单!$G$4:$G$2503,$A876,入库单!$X$4:$X$2503,"采购入库",入库单!$Z$4:$Z$2503,"正常",入库单!$C$4:$C$2503,"&gt;="&amp;账期起,入库单!$C$4:$C$2503,"&lt;="&amp;账期止))</f>
        <v/>
      </c>
      <c r="K876" s="26">
        <f>IF($A876="","",IFERROR(ROUND((N($H876)+N($J876))/(N($G876)+N($I876)),2),0))</f>
        <v/>
      </c>
      <c r="L876" s="27">
        <f>IF($A876="","",SUMIFS(入库单!$K$4:$K$2503,入库单!$G$4:$G$2503,$A876,入库单!$X$4:$X$2503,"盘盈",入库单!$Z$4:$Z$2503,"正常",入库单!$C$4:$C$2503,"&gt;="&amp;账期起,入库单!$C$4:$C$2503,"&lt;="&amp;账期止))</f>
        <v/>
      </c>
      <c r="M876" s="26">
        <f>IF($A876="","",ROUND($L876*$K876,0))</f>
        <v/>
      </c>
      <c r="N876" s="27">
        <f>IF($A876="","",SUMIFS(入库单!$K$4:$K$2503,入库单!$G$4:$G$2503,$A876,入库单!$X$4:$X$2503,"矿区退库",入库单!$Z$4:$Z$2503,"正常",入库单!$C$4:$C$2503,"&gt;="&amp;账期起,入库单!$C$4:$C$2503,"&lt;="&amp;账期止))</f>
        <v/>
      </c>
      <c r="O876" s="26">
        <f>IF($A876="","",ROUND($N876*$K876,0))</f>
        <v/>
      </c>
      <c r="P876" s="27">
        <f>IF($A876="","",SUMIFS(出库单!$J$4:$J$4003,出库单!$D$4:$D$4003,$A876,出库单!$K$4:$K$4003,"自用消耗",出库单!$U$4:$U$4003,"正常",出库单!$C$4:$C$4003,"&gt;="&amp;账期起,出库单!$C$4:$C$4003,"&lt;="&amp;账期止))</f>
        <v/>
      </c>
      <c r="Q876" s="26">
        <f>IF($A876="","",ROUND(SUMIFS(出库单!$S$4:$S$4003,出库单!$D$4:$D$4003,$A876,出库单!$K$4:$K$4003,"自用消耗",出库单!$U$4:$U$4003,"正常",出库单!$C$4:$C$4003,"&gt;="&amp;账期起,出库单!$C$4:$C$4003,"&lt;="&amp;账期止),0))</f>
        <v/>
      </c>
      <c r="R876" s="27">
        <f>IF($A876="","",SUMIFS(出库单!$J$4:$J$4003,出库单!$D$4:$D$4003,$A876,出库单!$K$4:$K$4003,"对外销售",出库单!$U$4:$U$4003,"正常",出库单!$C$4:$C$4003,"&gt;="&amp;账期起,出库单!$C$4:$C$4003,"&lt;="&amp;账期止))</f>
        <v/>
      </c>
      <c r="S876" s="26">
        <f>IF($A876="","",ROUND(SUMIFS(出库单!$S$4:$S$4003,出库单!$D$4:$D$4003,$A876,出库单!$K$4:$K$4003,"对外销售",出库单!$U$4:$U$4003,"正常",出库单!$C$4:$C$4003,"&gt;="&amp;账期起,出库单!$C$4:$C$4003,"&lt;="&amp;账期止),0))</f>
        <v/>
      </c>
      <c r="T876" s="27">
        <f>IF($A876="","",SUMIFS(出库单!$J$4:$J$4003,出库单!$D$4:$D$4003,$A876,出库单!$K$4:$K$4003,"盘亏",出库单!$U$4:$U$4003,"正常",出库单!$C$4:$C$4003,"&gt;="&amp;账期起,出库单!$C$4:$C$4003,"&lt;="&amp;账期止))</f>
        <v/>
      </c>
      <c r="U876" s="26">
        <f>IF($A876="","",ROUND(SUMIFS(出库单!$S$4:$S$4003,出库单!$D$4:$D$4003,$A876,出库单!$K$4:$K$4003,"盘亏",出库单!$U$4:$U$4003,"正常",出库单!$C$4:$C$4003,"&gt;="&amp;账期起,出库单!$C$4:$C$4003,"&lt;="&amp;账期止),0))</f>
        <v/>
      </c>
      <c r="V876" s="27">
        <f>IF($A876="","",SUMIFS(出库单!$J$4:$J$4003,出库单!$D$4:$D$4003,$A876,出库单!$K$4:$K$4003,"退货给供应商",出库单!$U$4:$U$4003,"正常",出库单!$C$4:$C$4003,"&gt;="&amp;账期起,出库单!$C$4:$C$4003,"&lt;="&amp;账期止))</f>
        <v/>
      </c>
      <c r="W876" s="26">
        <f>IF($A876="","",ROUND(SUMIFS(出库单!$S$4:$S$4003,出库单!$D$4:$D$4003,$A876,出库单!$K$4:$K$4003,"退货给供应商",出库单!$U$4:$U$4003,"正常",出库单!$C$4:$C$4003,"&gt;="&amp;账期起,出库单!$C$4:$C$4003,"&lt;="&amp;账期止),0))</f>
        <v/>
      </c>
      <c r="X876" s="27">
        <f>IF($A876="","",ROUND(N($G876)+$I876+$L876+$N876-$P876-$R876-$T876-$V876,3))</f>
        <v/>
      </c>
      <c r="Y876" s="26">
        <f>IF($A876="","",ROUND(N($H876)+$J876+$M876+$O876-$Q876-$S876-$U876-$W876,0))</f>
        <v/>
      </c>
      <c r="Z876" s="24">
        <f>IF($A876="","",IF(COUNTIFS(入库单!$G$4:$G$2503,$A876,入库单!$Y$4:$Y$2503,"待补价")+COUNTIFS(入库单!$G$4:$G$2503,$A876,入库单!$Y$4:$Y$2503,"暂估")&gt;0,"不可信","可信"))</f>
        <v/>
      </c>
      <c r="AA876" s="24">
        <f>IF($A876="","",IF($X876&lt;-0.001,"※账面负库存，查一下是不是漏记入库",IF(AND(ROUND($X876,3)=0,ABS($Y876)&gt;1),"※数量已经是 0，金额还挂着 "&amp;TEXT($Y876,"#,##0")&amp;" 先令",IF(AND($X876&gt;0,$Y876&lt;=0,$K876=0),"※有数量没金额（这个物料一直没填过进价）",IF($Z876="不可信","△成本含待补价/暂估，毛利仅供参考","")))))</f>
        <v/>
      </c>
    </row>
    <row r="877">
      <c r="A877" s="24">
        <f>IF(物料档案!$A876="","",物料档案!$A876)</f>
        <v/>
      </c>
      <c r="B877" s="24">
        <f>IF($A877="","",IFERROR(VLOOKUP($A877,物料档案!$A$4:$P$1203,3,0),""))</f>
        <v/>
      </c>
      <c r="C877" s="24">
        <f>IF($A877="","",IFERROR(VLOOKUP($A877,物料档案!$A$4:$P$1203,4,0),""))</f>
        <v/>
      </c>
      <c r="D877" s="24">
        <f>IF($A877="","",IFERROR(VLOOKUP($A877,物料档案!$A$4:$P$1203,5,0),""))</f>
        <v/>
      </c>
      <c r="E877" s="24">
        <f>IF($A877="","",IFERROR(VLOOKUP($A877,物料档案!$A$4:$P$1203,2,0),""))</f>
        <v/>
      </c>
      <c r="F877" s="24">
        <f>IF($A877="","",IFERROR(VLOOKUP($A877,物料档案!$A$4:$P$1203,6,0),""))</f>
        <v/>
      </c>
      <c r="G877" s="23" t="n"/>
      <c r="H877" s="32" t="n"/>
      <c r="I877" s="27">
        <f>IF($A877="","",SUMIFS(入库单!$K$4:$K$2503,入库单!$G$4:$G$2503,$A877,入库单!$X$4:$X$2503,"采购入库",入库单!$Z$4:$Z$2503,"正常",入库单!$C$4:$C$2503,"&gt;="&amp;账期起,入库单!$C$4:$C$2503,"&lt;="&amp;账期止))</f>
        <v/>
      </c>
      <c r="J877" s="26">
        <f>IF($A877="","",SUMIFS(入库单!$V$4:$V$2503,入库单!$G$4:$G$2503,$A877,入库单!$X$4:$X$2503,"采购入库",入库单!$Z$4:$Z$2503,"正常",入库单!$C$4:$C$2503,"&gt;="&amp;账期起,入库单!$C$4:$C$2503,"&lt;="&amp;账期止))</f>
        <v/>
      </c>
      <c r="K877" s="26">
        <f>IF($A877="","",IFERROR(ROUND((N($H877)+N($J877))/(N($G877)+N($I877)),2),0))</f>
        <v/>
      </c>
      <c r="L877" s="27">
        <f>IF($A877="","",SUMIFS(入库单!$K$4:$K$2503,入库单!$G$4:$G$2503,$A877,入库单!$X$4:$X$2503,"盘盈",入库单!$Z$4:$Z$2503,"正常",入库单!$C$4:$C$2503,"&gt;="&amp;账期起,入库单!$C$4:$C$2503,"&lt;="&amp;账期止))</f>
        <v/>
      </c>
      <c r="M877" s="26">
        <f>IF($A877="","",ROUND($L877*$K877,0))</f>
        <v/>
      </c>
      <c r="N877" s="27">
        <f>IF($A877="","",SUMIFS(入库单!$K$4:$K$2503,入库单!$G$4:$G$2503,$A877,入库单!$X$4:$X$2503,"矿区退库",入库单!$Z$4:$Z$2503,"正常",入库单!$C$4:$C$2503,"&gt;="&amp;账期起,入库单!$C$4:$C$2503,"&lt;="&amp;账期止))</f>
        <v/>
      </c>
      <c r="O877" s="26">
        <f>IF($A877="","",ROUND($N877*$K877,0))</f>
        <v/>
      </c>
      <c r="P877" s="27">
        <f>IF($A877="","",SUMIFS(出库单!$J$4:$J$4003,出库单!$D$4:$D$4003,$A877,出库单!$K$4:$K$4003,"自用消耗",出库单!$U$4:$U$4003,"正常",出库单!$C$4:$C$4003,"&gt;="&amp;账期起,出库单!$C$4:$C$4003,"&lt;="&amp;账期止))</f>
        <v/>
      </c>
      <c r="Q877" s="26">
        <f>IF($A877="","",ROUND(SUMIFS(出库单!$S$4:$S$4003,出库单!$D$4:$D$4003,$A877,出库单!$K$4:$K$4003,"自用消耗",出库单!$U$4:$U$4003,"正常",出库单!$C$4:$C$4003,"&gt;="&amp;账期起,出库单!$C$4:$C$4003,"&lt;="&amp;账期止),0))</f>
        <v/>
      </c>
      <c r="R877" s="27">
        <f>IF($A877="","",SUMIFS(出库单!$J$4:$J$4003,出库单!$D$4:$D$4003,$A877,出库单!$K$4:$K$4003,"对外销售",出库单!$U$4:$U$4003,"正常",出库单!$C$4:$C$4003,"&gt;="&amp;账期起,出库单!$C$4:$C$4003,"&lt;="&amp;账期止))</f>
        <v/>
      </c>
      <c r="S877" s="26">
        <f>IF($A877="","",ROUND(SUMIFS(出库单!$S$4:$S$4003,出库单!$D$4:$D$4003,$A877,出库单!$K$4:$K$4003,"对外销售",出库单!$U$4:$U$4003,"正常",出库单!$C$4:$C$4003,"&gt;="&amp;账期起,出库单!$C$4:$C$4003,"&lt;="&amp;账期止),0))</f>
        <v/>
      </c>
      <c r="T877" s="27">
        <f>IF($A877="","",SUMIFS(出库单!$J$4:$J$4003,出库单!$D$4:$D$4003,$A877,出库单!$K$4:$K$4003,"盘亏",出库单!$U$4:$U$4003,"正常",出库单!$C$4:$C$4003,"&gt;="&amp;账期起,出库单!$C$4:$C$4003,"&lt;="&amp;账期止))</f>
        <v/>
      </c>
      <c r="U877" s="26">
        <f>IF($A877="","",ROUND(SUMIFS(出库单!$S$4:$S$4003,出库单!$D$4:$D$4003,$A877,出库单!$K$4:$K$4003,"盘亏",出库单!$U$4:$U$4003,"正常",出库单!$C$4:$C$4003,"&gt;="&amp;账期起,出库单!$C$4:$C$4003,"&lt;="&amp;账期止),0))</f>
        <v/>
      </c>
      <c r="V877" s="27">
        <f>IF($A877="","",SUMIFS(出库单!$J$4:$J$4003,出库单!$D$4:$D$4003,$A877,出库单!$K$4:$K$4003,"退货给供应商",出库单!$U$4:$U$4003,"正常",出库单!$C$4:$C$4003,"&gt;="&amp;账期起,出库单!$C$4:$C$4003,"&lt;="&amp;账期止))</f>
        <v/>
      </c>
      <c r="W877" s="26">
        <f>IF($A877="","",ROUND(SUMIFS(出库单!$S$4:$S$4003,出库单!$D$4:$D$4003,$A877,出库单!$K$4:$K$4003,"退货给供应商",出库单!$U$4:$U$4003,"正常",出库单!$C$4:$C$4003,"&gt;="&amp;账期起,出库单!$C$4:$C$4003,"&lt;="&amp;账期止),0))</f>
        <v/>
      </c>
      <c r="X877" s="27">
        <f>IF($A877="","",ROUND(N($G877)+$I877+$L877+$N877-$P877-$R877-$T877-$V877,3))</f>
        <v/>
      </c>
      <c r="Y877" s="26">
        <f>IF($A877="","",ROUND(N($H877)+$J877+$M877+$O877-$Q877-$S877-$U877-$W877,0))</f>
        <v/>
      </c>
      <c r="Z877" s="24">
        <f>IF($A877="","",IF(COUNTIFS(入库单!$G$4:$G$2503,$A877,入库单!$Y$4:$Y$2503,"待补价")+COUNTIFS(入库单!$G$4:$G$2503,$A877,入库单!$Y$4:$Y$2503,"暂估")&gt;0,"不可信","可信"))</f>
        <v/>
      </c>
      <c r="AA877" s="24">
        <f>IF($A877="","",IF($X877&lt;-0.001,"※账面负库存，查一下是不是漏记入库",IF(AND(ROUND($X877,3)=0,ABS($Y877)&gt;1),"※数量已经是 0，金额还挂着 "&amp;TEXT($Y877,"#,##0")&amp;" 先令",IF(AND($X877&gt;0,$Y877&lt;=0,$K877=0),"※有数量没金额（这个物料一直没填过进价）",IF($Z877="不可信","△成本含待补价/暂估，毛利仅供参考","")))))</f>
        <v/>
      </c>
    </row>
    <row r="878">
      <c r="A878" s="24">
        <f>IF(物料档案!$A877="","",物料档案!$A877)</f>
        <v/>
      </c>
      <c r="B878" s="24">
        <f>IF($A878="","",IFERROR(VLOOKUP($A878,物料档案!$A$4:$P$1203,3,0),""))</f>
        <v/>
      </c>
      <c r="C878" s="24">
        <f>IF($A878="","",IFERROR(VLOOKUP($A878,物料档案!$A$4:$P$1203,4,0),""))</f>
        <v/>
      </c>
      <c r="D878" s="24">
        <f>IF($A878="","",IFERROR(VLOOKUP($A878,物料档案!$A$4:$P$1203,5,0),""))</f>
        <v/>
      </c>
      <c r="E878" s="24">
        <f>IF($A878="","",IFERROR(VLOOKUP($A878,物料档案!$A$4:$P$1203,2,0),""))</f>
        <v/>
      </c>
      <c r="F878" s="24">
        <f>IF($A878="","",IFERROR(VLOOKUP($A878,物料档案!$A$4:$P$1203,6,0),""))</f>
        <v/>
      </c>
      <c r="G878" s="23" t="n"/>
      <c r="H878" s="32" t="n"/>
      <c r="I878" s="27">
        <f>IF($A878="","",SUMIFS(入库单!$K$4:$K$2503,入库单!$G$4:$G$2503,$A878,入库单!$X$4:$X$2503,"采购入库",入库单!$Z$4:$Z$2503,"正常",入库单!$C$4:$C$2503,"&gt;="&amp;账期起,入库单!$C$4:$C$2503,"&lt;="&amp;账期止))</f>
        <v/>
      </c>
      <c r="J878" s="26">
        <f>IF($A878="","",SUMIFS(入库单!$V$4:$V$2503,入库单!$G$4:$G$2503,$A878,入库单!$X$4:$X$2503,"采购入库",入库单!$Z$4:$Z$2503,"正常",入库单!$C$4:$C$2503,"&gt;="&amp;账期起,入库单!$C$4:$C$2503,"&lt;="&amp;账期止))</f>
        <v/>
      </c>
      <c r="K878" s="26">
        <f>IF($A878="","",IFERROR(ROUND((N($H878)+N($J878))/(N($G878)+N($I878)),2),0))</f>
        <v/>
      </c>
      <c r="L878" s="27">
        <f>IF($A878="","",SUMIFS(入库单!$K$4:$K$2503,入库单!$G$4:$G$2503,$A878,入库单!$X$4:$X$2503,"盘盈",入库单!$Z$4:$Z$2503,"正常",入库单!$C$4:$C$2503,"&gt;="&amp;账期起,入库单!$C$4:$C$2503,"&lt;="&amp;账期止))</f>
        <v/>
      </c>
      <c r="M878" s="26">
        <f>IF($A878="","",ROUND($L878*$K878,0))</f>
        <v/>
      </c>
      <c r="N878" s="27">
        <f>IF($A878="","",SUMIFS(入库单!$K$4:$K$2503,入库单!$G$4:$G$2503,$A878,入库单!$X$4:$X$2503,"矿区退库",入库单!$Z$4:$Z$2503,"正常",入库单!$C$4:$C$2503,"&gt;="&amp;账期起,入库单!$C$4:$C$2503,"&lt;="&amp;账期止))</f>
        <v/>
      </c>
      <c r="O878" s="26">
        <f>IF($A878="","",ROUND($N878*$K878,0))</f>
        <v/>
      </c>
      <c r="P878" s="27">
        <f>IF($A878="","",SUMIFS(出库单!$J$4:$J$4003,出库单!$D$4:$D$4003,$A878,出库单!$K$4:$K$4003,"自用消耗",出库单!$U$4:$U$4003,"正常",出库单!$C$4:$C$4003,"&gt;="&amp;账期起,出库单!$C$4:$C$4003,"&lt;="&amp;账期止))</f>
        <v/>
      </c>
      <c r="Q878" s="26">
        <f>IF($A878="","",ROUND(SUMIFS(出库单!$S$4:$S$4003,出库单!$D$4:$D$4003,$A878,出库单!$K$4:$K$4003,"自用消耗",出库单!$U$4:$U$4003,"正常",出库单!$C$4:$C$4003,"&gt;="&amp;账期起,出库单!$C$4:$C$4003,"&lt;="&amp;账期止),0))</f>
        <v/>
      </c>
      <c r="R878" s="27">
        <f>IF($A878="","",SUMIFS(出库单!$J$4:$J$4003,出库单!$D$4:$D$4003,$A878,出库单!$K$4:$K$4003,"对外销售",出库单!$U$4:$U$4003,"正常",出库单!$C$4:$C$4003,"&gt;="&amp;账期起,出库单!$C$4:$C$4003,"&lt;="&amp;账期止))</f>
        <v/>
      </c>
      <c r="S878" s="26">
        <f>IF($A878="","",ROUND(SUMIFS(出库单!$S$4:$S$4003,出库单!$D$4:$D$4003,$A878,出库单!$K$4:$K$4003,"对外销售",出库单!$U$4:$U$4003,"正常",出库单!$C$4:$C$4003,"&gt;="&amp;账期起,出库单!$C$4:$C$4003,"&lt;="&amp;账期止),0))</f>
        <v/>
      </c>
      <c r="T878" s="27">
        <f>IF($A878="","",SUMIFS(出库单!$J$4:$J$4003,出库单!$D$4:$D$4003,$A878,出库单!$K$4:$K$4003,"盘亏",出库单!$U$4:$U$4003,"正常",出库单!$C$4:$C$4003,"&gt;="&amp;账期起,出库单!$C$4:$C$4003,"&lt;="&amp;账期止))</f>
        <v/>
      </c>
      <c r="U878" s="26">
        <f>IF($A878="","",ROUND(SUMIFS(出库单!$S$4:$S$4003,出库单!$D$4:$D$4003,$A878,出库单!$K$4:$K$4003,"盘亏",出库单!$U$4:$U$4003,"正常",出库单!$C$4:$C$4003,"&gt;="&amp;账期起,出库单!$C$4:$C$4003,"&lt;="&amp;账期止),0))</f>
        <v/>
      </c>
      <c r="V878" s="27">
        <f>IF($A878="","",SUMIFS(出库单!$J$4:$J$4003,出库单!$D$4:$D$4003,$A878,出库单!$K$4:$K$4003,"退货给供应商",出库单!$U$4:$U$4003,"正常",出库单!$C$4:$C$4003,"&gt;="&amp;账期起,出库单!$C$4:$C$4003,"&lt;="&amp;账期止))</f>
        <v/>
      </c>
      <c r="W878" s="26">
        <f>IF($A878="","",ROUND(SUMIFS(出库单!$S$4:$S$4003,出库单!$D$4:$D$4003,$A878,出库单!$K$4:$K$4003,"退货给供应商",出库单!$U$4:$U$4003,"正常",出库单!$C$4:$C$4003,"&gt;="&amp;账期起,出库单!$C$4:$C$4003,"&lt;="&amp;账期止),0))</f>
        <v/>
      </c>
      <c r="X878" s="27">
        <f>IF($A878="","",ROUND(N($G878)+$I878+$L878+$N878-$P878-$R878-$T878-$V878,3))</f>
        <v/>
      </c>
      <c r="Y878" s="26">
        <f>IF($A878="","",ROUND(N($H878)+$J878+$M878+$O878-$Q878-$S878-$U878-$W878,0))</f>
        <v/>
      </c>
      <c r="Z878" s="24">
        <f>IF($A878="","",IF(COUNTIFS(入库单!$G$4:$G$2503,$A878,入库单!$Y$4:$Y$2503,"待补价")+COUNTIFS(入库单!$G$4:$G$2503,$A878,入库单!$Y$4:$Y$2503,"暂估")&gt;0,"不可信","可信"))</f>
        <v/>
      </c>
      <c r="AA878" s="24">
        <f>IF($A878="","",IF($X878&lt;-0.001,"※账面负库存，查一下是不是漏记入库",IF(AND(ROUND($X878,3)=0,ABS($Y878)&gt;1),"※数量已经是 0，金额还挂着 "&amp;TEXT($Y878,"#,##0")&amp;" 先令",IF(AND($X878&gt;0,$Y878&lt;=0,$K878=0),"※有数量没金额（这个物料一直没填过进价）",IF($Z878="不可信","△成本含待补价/暂估，毛利仅供参考","")))))</f>
        <v/>
      </c>
    </row>
    <row r="879">
      <c r="A879" s="24">
        <f>IF(物料档案!$A878="","",物料档案!$A878)</f>
        <v/>
      </c>
      <c r="B879" s="24">
        <f>IF($A879="","",IFERROR(VLOOKUP($A879,物料档案!$A$4:$P$1203,3,0),""))</f>
        <v/>
      </c>
      <c r="C879" s="24">
        <f>IF($A879="","",IFERROR(VLOOKUP($A879,物料档案!$A$4:$P$1203,4,0),""))</f>
        <v/>
      </c>
      <c r="D879" s="24">
        <f>IF($A879="","",IFERROR(VLOOKUP($A879,物料档案!$A$4:$P$1203,5,0),""))</f>
        <v/>
      </c>
      <c r="E879" s="24">
        <f>IF($A879="","",IFERROR(VLOOKUP($A879,物料档案!$A$4:$P$1203,2,0),""))</f>
        <v/>
      </c>
      <c r="F879" s="24">
        <f>IF($A879="","",IFERROR(VLOOKUP($A879,物料档案!$A$4:$P$1203,6,0),""))</f>
        <v/>
      </c>
      <c r="G879" s="23" t="n"/>
      <c r="H879" s="32" t="n"/>
      <c r="I879" s="27">
        <f>IF($A879="","",SUMIFS(入库单!$K$4:$K$2503,入库单!$G$4:$G$2503,$A879,入库单!$X$4:$X$2503,"采购入库",入库单!$Z$4:$Z$2503,"正常",入库单!$C$4:$C$2503,"&gt;="&amp;账期起,入库单!$C$4:$C$2503,"&lt;="&amp;账期止))</f>
        <v/>
      </c>
      <c r="J879" s="26">
        <f>IF($A879="","",SUMIFS(入库单!$V$4:$V$2503,入库单!$G$4:$G$2503,$A879,入库单!$X$4:$X$2503,"采购入库",入库单!$Z$4:$Z$2503,"正常",入库单!$C$4:$C$2503,"&gt;="&amp;账期起,入库单!$C$4:$C$2503,"&lt;="&amp;账期止))</f>
        <v/>
      </c>
      <c r="K879" s="26">
        <f>IF($A879="","",IFERROR(ROUND((N($H879)+N($J879))/(N($G879)+N($I879)),2),0))</f>
        <v/>
      </c>
      <c r="L879" s="27">
        <f>IF($A879="","",SUMIFS(入库单!$K$4:$K$2503,入库单!$G$4:$G$2503,$A879,入库单!$X$4:$X$2503,"盘盈",入库单!$Z$4:$Z$2503,"正常",入库单!$C$4:$C$2503,"&gt;="&amp;账期起,入库单!$C$4:$C$2503,"&lt;="&amp;账期止))</f>
        <v/>
      </c>
      <c r="M879" s="26">
        <f>IF($A879="","",ROUND($L879*$K879,0))</f>
        <v/>
      </c>
      <c r="N879" s="27">
        <f>IF($A879="","",SUMIFS(入库单!$K$4:$K$2503,入库单!$G$4:$G$2503,$A879,入库单!$X$4:$X$2503,"矿区退库",入库单!$Z$4:$Z$2503,"正常",入库单!$C$4:$C$2503,"&gt;="&amp;账期起,入库单!$C$4:$C$2503,"&lt;="&amp;账期止))</f>
        <v/>
      </c>
      <c r="O879" s="26">
        <f>IF($A879="","",ROUND($N879*$K879,0))</f>
        <v/>
      </c>
      <c r="P879" s="27">
        <f>IF($A879="","",SUMIFS(出库单!$J$4:$J$4003,出库单!$D$4:$D$4003,$A879,出库单!$K$4:$K$4003,"自用消耗",出库单!$U$4:$U$4003,"正常",出库单!$C$4:$C$4003,"&gt;="&amp;账期起,出库单!$C$4:$C$4003,"&lt;="&amp;账期止))</f>
        <v/>
      </c>
      <c r="Q879" s="26">
        <f>IF($A879="","",ROUND(SUMIFS(出库单!$S$4:$S$4003,出库单!$D$4:$D$4003,$A879,出库单!$K$4:$K$4003,"自用消耗",出库单!$U$4:$U$4003,"正常",出库单!$C$4:$C$4003,"&gt;="&amp;账期起,出库单!$C$4:$C$4003,"&lt;="&amp;账期止),0))</f>
        <v/>
      </c>
      <c r="R879" s="27">
        <f>IF($A879="","",SUMIFS(出库单!$J$4:$J$4003,出库单!$D$4:$D$4003,$A879,出库单!$K$4:$K$4003,"对外销售",出库单!$U$4:$U$4003,"正常",出库单!$C$4:$C$4003,"&gt;="&amp;账期起,出库单!$C$4:$C$4003,"&lt;="&amp;账期止))</f>
        <v/>
      </c>
      <c r="S879" s="26">
        <f>IF($A879="","",ROUND(SUMIFS(出库单!$S$4:$S$4003,出库单!$D$4:$D$4003,$A879,出库单!$K$4:$K$4003,"对外销售",出库单!$U$4:$U$4003,"正常",出库单!$C$4:$C$4003,"&gt;="&amp;账期起,出库单!$C$4:$C$4003,"&lt;="&amp;账期止),0))</f>
        <v/>
      </c>
      <c r="T879" s="27">
        <f>IF($A879="","",SUMIFS(出库单!$J$4:$J$4003,出库单!$D$4:$D$4003,$A879,出库单!$K$4:$K$4003,"盘亏",出库单!$U$4:$U$4003,"正常",出库单!$C$4:$C$4003,"&gt;="&amp;账期起,出库单!$C$4:$C$4003,"&lt;="&amp;账期止))</f>
        <v/>
      </c>
      <c r="U879" s="26">
        <f>IF($A879="","",ROUND(SUMIFS(出库单!$S$4:$S$4003,出库单!$D$4:$D$4003,$A879,出库单!$K$4:$K$4003,"盘亏",出库单!$U$4:$U$4003,"正常",出库单!$C$4:$C$4003,"&gt;="&amp;账期起,出库单!$C$4:$C$4003,"&lt;="&amp;账期止),0))</f>
        <v/>
      </c>
      <c r="V879" s="27">
        <f>IF($A879="","",SUMIFS(出库单!$J$4:$J$4003,出库单!$D$4:$D$4003,$A879,出库单!$K$4:$K$4003,"退货给供应商",出库单!$U$4:$U$4003,"正常",出库单!$C$4:$C$4003,"&gt;="&amp;账期起,出库单!$C$4:$C$4003,"&lt;="&amp;账期止))</f>
        <v/>
      </c>
      <c r="W879" s="26">
        <f>IF($A879="","",ROUND(SUMIFS(出库单!$S$4:$S$4003,出库单!$D$4:$D$4003,$A879,出库单!$K$4:$K$4003,"退货给供应商",出库单!$U$4:$U$4003,"正常",出库单!$C$4:$C$4003,"&gt;="&amp;账期起,出库单!$C$4:$C$4003,"&lt;="&amp;账期止),0))</f>
        <v/>
      </c>
      <c r="X879" s="27">
        <f>IF($A879="","",ROUND(N($G879)+$I879+$L879+$N879-$P879-$R879-$T879-$V879,3))</f>
        <v/>
      </c>
      <c r="Y879" s="26">
        <f>IF($A879="","",ROUND(N($H879)+$J879+$M879+$O879-$Q879-$S879-$U879-$W879,0))</f>
        <v/>
      </c>
      <c r="Z879" s="24">
        <f>IF($A879="","",IF(COUNTIFS(入库单!$G$4:$G$2503,$A879,入库单!$Y$4:$Y$2503,"待补价")+COUNTIFS(入库单!$G$4:$G$2503,$A879,入库单!$Y$4:$Y$2503,"暂估")&gt;0,"不可信","可信"))</f>
        <v/>
      </c>
      <c r="AA879" s="24">
        <f>IF($A879="","",IF($X879&lt;-0.001,"※账面负库存，查一下是不是漏记入库",IF(AND(ROUND($X879,3)=0,ABS($Y879)&gt;1),"※数量已经是 0，金额还挂着 "&amp;TEXT($Y879,"#,##0")&amp;" 先令",IF(AND($X879&gt;0,$Y879&lt;=0,$K879=0),"※有数量没金额（这个物料一直没填过进价）",IF($Z879="不可信","△成本含待补价/暂估，毛利仅供参考","")))))</f>
        <v/>
      </c>
    </row>
    <row r="880">
      <c r="A880" s="24">
        <f>IF(物料档案!$A879="","",物料档案!$A879)</f>
        <v/>
      </c>
      <c r="B880" s="24">
        <f>IF($A880="","",IFERROR(VLOOKUP($A880,物料档案!$A$4:$P$1203,3,0),""))</f>
        <v/>
      </c>
      <c r="C880" s="24">
        <f>IF($A880="","",IFERROR(VLOOKUP($A880,物料档案!$A$4:$P$1203,4,0),""))</f>
        <v/>
      </c>
      <c r="D880" s="24">
        <f>IF($A880="","",IFERROR(VLOOKUP($A880,物料档案!$A$4:$P$1203,5,0),""))</f>
        <v/>
      </c>
      <c r="E880" s="24">
        <f>IF($A880="","",IFERROR(VLOOKUP($A880,物料档案!$A$4:$P$1203,2,0),""))</f>
        <v/>
      </c>
      <c r="F880" s="24">
        <f>IF($A880="","",IFERROR(VLOOKUP($A880,物料档案!$A$4:$P$1203,6,0),""))</f>
        <v/>
      </c>
      <c r="G880" s="23" t="n"/>
      <c r="H880" s="32" t="n"/>
      <c r="I880" s="27">
        <f>IF($A880="","",SUMIFS(入库单!$K$4:$K$2503,入库单!$G$4:$G$2503,$A880,入库单!$X$4:$X$2503,"采购入库",入库单!$Z$4:$Z$2503,"正常",入库单!$C$4:$C$2503,"&gt;="&amp;账期起,入库单!$C$4:$C$2503,"&lt;="&amp;账期止))</f>
        <v/>
      </c>
      <c r="J880" s="26">
        <f>IF($A880="","",SUMIFS(入库单!$V$4:$V$2503,入库单!$G$4:$G$2503,$A880,入库单!$X$4:$X$2503,"采购入库",入库单!$Z$4:$Z$2503,"正常",入库单!$C$4:$C$2503,"&gt;="&amp;账期起,入库单!$C$4:$C$2503,"&lt;="&amp;账期止))</f>
        <v/>
      </c>
      <c r="K880" s="26">
        <f>IF($A880="","",IFERROR(ROUND((N($H880)+N($J880))/(N($G880)+N($I880)),2),0))</f>
        <v/>
      </c>
      <c r="L880" s="27">
        <f>IF($A880="","",SUMIFS(入库单!$K$4:$K$2503,入库单!$G$4:$G$2503,$A880,入库单!$X$4:$X$2503,"盘盈",入库单!$Z$4:$Z$2503,"正常",入库单!$C$4:$C$2503,"&gt;="&amp;账期起,入库单!$C$4:$C$2503,"&lt;="&amp;账期止))</f>
        <v/>
      </c>
      <c r="M880" s="26">
        <f>IF($A880="","",ROUND($L880*$K880,0))</f>
        <v/>
      </c>
      <c r="N880" s="27">
        <f>IF($A880="","",SUMIFS(入库单!$K$4:$K$2503,入库单!$G$4:$G$2503,$A880,入库单!$X$4:$X$2503,"矿区退库",入库单!$Z$4:$Z$2503,"正常",入库单!$C$4:$C$2503,"&gt;="&amp;账期起,入库单!$C$4:$C$2503,"&lt;="&amp;账期止))</f>
        <v/>
      </c>
      <c r="O880" s="26">
        <f>IF($A880="","",ROUND($N880*$K880,0))</f>
        <v/>
      </c>
      <c r="P880" s="27">
        <f>IF($A880="","",SUMIFS(出库单!$J$4:$J$4003,出库单!$D$4:$D$4003,$A880,出库单!$K$4:$K$4003,"自用消耗",出库单!$U$4:$U$4003,"正常",出库单!$C$4:$C$4003,"&gt;="&amp;账期起,出库单!$C$4:$C$4003,"&lt;="&amp;账期止))</f>
        <v/>
      </c>
      <c r="Q880" s="26">
        <f>IF($A880="","",ROUND(SUMIFS(出库单!$S$4:$S$4003,出库单!$D$4:$D$4003,$A880,出库单!$K$4:$K$4003,"自用消耗",出库单!$U$4:$U$4003,"正常",出库单!$C$4:$C$4003,"&gt;="&amp;账期起,出库单!$C$4:$C$4003,"&lt;="&amp;账期止),0))</f>
        <v/>
      </c>
      <c r="R880" s="27">
        <f>IF($A880="","",SUMIFS(出库单!$J$4:$J$4003,出库单!$D$4:$D$4003,$A880,出库单!$K$4:$K$4003,"对外销售",出库单!$U$4:$U$4003,"正常",出库单!$C$4:$C$4003,"&gt;="&amp;账期起,出库单!$C$4:$C$4003,"&lt;="&amp;账期止))</f>
        <v/>
      </c>
      <c r="S880" s="26">
        <f>IF($A880="","",ROUND(SUMIFS(出库单!$S$4:$S$4003,出库单!$D$4:$D$4003,$A880,出库单!$K$4:$K$4003,"对外销售",出库单!$U$4:$U$4003,"正常",出库单!$C$4:$C$4003,"&gt;="&amp;账期起,出库单!$C$4:$C$4003,"&lt;="&amp;账期止),0))</f>
        <v/>
      </c>
      <c r="T880" s="27">
        <f>IF($A880="","",SUMIFS(出库单!$J$4:$J$4003,出库单!$D$4:$D$4003,$A880,出库单!$K$4:$K$4003,"盘亏",出库单!$U$4:$U$4003,"正常",出库单!$C$4:$C$4003,"&gt;="&amp;账期起,出库单!$C$4:$C$4003,"&lt;="&amp;账期止))</f>
        <v/>
      </c>
      <c r="U880" s="26">
        <f>IF($A880="","",ROUND(SUMIFS(出库单!$S$4:$S$4003,出库单!$D$4:$D$4003,$A880,出库单!$K$4:$K$4003,"盘亏",出库单!$U$4:$U$4003,"正常",出库单!$C$4:$C$4003,"&gt;="&amp;账期起,出库单!$C$4:$C$4003,"&lt;="&amp;账期止),0))</f>
        <v/>
      </c>
      <c r="V880" s="27">
        <f>IF($A880="","",SUMIFS(出库单!$J$4:$J$4003,出库单!$D$4:$D$4003,$A880,出库单!$K$4:$K$4003,"退货给供应商",出库单!$U$4:$U$4003,"正常",出库单!$C$4:$C$4003,"&gt;="&amp;账期起,出库单!$C$4:$C$4003,"&lt;="&amp;账期止))</f>
        <v/>
      </c>
      <c r="W880" s="26">
        <f>IF($A880="","",ROUND(SUMIFS(出库单!$S$4:$S$4003,出库单!$D$4:$D$4003,$A880,出库单!$K$4:$K$4003,"退货给供应商",出库单!$U$4:$U$4003,"正常",出库单!$C$4:$C$4003,"&gt;="&amp;账期起,出库单!$C$4:$C$4003,"&lt;="&amp;账期止),0))</f>
        <v/>
      </c>
      <c r="X880" s="27">
        <f>IF($A880="","",ROUND(N($G880)+$I880+$L880+$N880-$P880-$R880-$T880-$V880,3))</f>
        <v/>
      </c>
      <c r="Y880" s="26">
        <f>IF($A880="","",ROUND(N($H880)+$J880+$M880+$O880-$Q880-$S880-$U880-$W880,0))</f>
        <v/>
      </c>
      <c r="Z880" s="24">
        <f>IF($A880="","",IF(COUNTIFS(入库单!$G$4:$G$2503,$A880,入库单!$Y$4:$Y$2503,"待补价")+COUNTIFS(入库单!$G$4:$G$2503,$A880,入库单!$Y$4:$Y$2503,"暂估")&gt;0,"不可信","可信"))</f>
        <v/>
      </c>
      <c r="AA880" s="24">
        <f>IF($A880="","",IF($X880&lt;-0.001,"※账面负库存，查一下是不是漏记入库",IF(AND(ROUND($X880,3)=0,ABS($Y880)&gt;1),"※数量已经是 0，金额还挂着 "&amp;TEXT($Y880,"#,##0")&amp;" 先令",IF(AND($X880&gt;0,$Y880&lt;=0,$K880=0),"※有数量没金额（这个物料一直没填过进价）",IF($Z880="不可信","△成本含待补价/暂估，毛利仅供参考","")))))</f>
        <v/>
      </c>
    </row>
    <row r="881">
      <c r="A881" s="24">
        <f>IF(物料档案!$A880="","",物料档案!$A880)</f>
        <v/>
      </c>
      <c r="B881" s="24">
        <f>IF($A881="","",IFERROR(VLOOKUP($A881,物料档案!$A$4:$P$1203,3,0),""))</f>
        <v/>
      </c>
      <c r="C881" s="24">
        <f>IF($A881="","",IFERROR(VLOOKUP($A881,物料档案!$A$4:$P$1203,4,0),""))</f>
        <v/>
      </c>
      <c r="D881" s="24">
        <f>IF($A881="","",IFERROR(VLOOKUP($A881,物料档案!$A$4:$P$1203,5,0),""))</f>
        <v/>
      </c>
      <c r="E881" s="24">
        <f>IF($A881="","",IFERROR(VLOOKUP($A881,物料档案!$A$4:$P$1203,2,0),""))</f>
        <v/>
      </c>
      <c r="F881" s="24">
        <f>IF($A881="","",IFERROR(VLOOKUP($A881,物料档案!$A$4:$P$1203,6,0),""))</f>
        <v/>
      </c>
      <c r="G881" s="23" t="n"/>
      <c r="H881" s="32" t="n"/>
      <c r="I881" s="27">
        <f>IF($A881="","",SUMIFS(入库单!$K$4:$K$2503,入库单!$G$4:$G$2503,$A881,入库单!$X$4:$X$2503,"采购入库",入库单!$Z$4:$Z$2503,"正常",入库单!$C$4:$C$2503,"&gt;="&amp;账期起,入库单!$C$4:$C$2503,"&lt;="&amp;账期止))</f>
        <v/>
      </c>
      <c r="J881" s="26">
        <f>IF($A881="","",SUMIFS(入库单!$V$4:$V$2503,入库单!$G$4:$G$2503,$A881,入库单!$X$4:$X$2503,"采购入库",入库单!$Z$4:$Z$2503,"正常",入库单!$C$4:$C$2503,"&gt;="&amp;账期起,入库单!$C$4:$C$2503,"&lt;="&amp;账期止))</f>
        <v/>
      </c>
      <c r="K881" s="26">
        <f>IF($A881="","",IFERROR(ROUND((N($H881)+N($J881))/(N($G881)+N($I881)),2),0))</f>
        <v/>
      </c>
      <c r="L881" s="27">
        <f>IF($A881="","",SUMIFS(入库单!$K$4:$K$2503,入库单!$G$4:$G$2503,$A881,入库单!$X$4:$X$2503,"盘盈",入库单!$Z$4:$Z$2503,"正常",入库单!$C$4:$C$2503,"&gt;="&amp;账期起,入库单!$C$4:$C$2503,"&lt;="&amp;账期止))</f>
        <v/>
      </c>
      <c r="M881" s="26">
        <f>IF($A881="","",ROUND($L881*$K881,0))</f>
        <v/>
      </c>
      <c r="N881" s="27">
        <f>IF($A881="","",SUMIFS(入库单!$K$4:$K$2503,入库单!$G$4:$G$2503,$A881,入库单!$X$4:$X$2503,"矿区退库",入库单!$Z$4:$Z$2503,"正常",入库单!$C$4:$C$2503,"&gt;="&amp;账期起,入库单!$C$4:$C$2503,"&lt;="&amp;账期止))</f>
        <v/>
      </c>
      <c r="O881" s="26">
        <f>IF($A881="","",ROUND($N881*$K881,0))</f>
        <v/>
      </c>
      <c r="P881" s="27">
        <f>IF($A881="","",SUMIFS(出库单!$J$4:$J$4003,出库单!$D$4:$D$4003,$A881,出库单!$K$4:$K$4003,"自用消耗",出库单!$U$4:$U$4003,"正常",出库单!$C$4:$C$4003,"&gt;="&amp;账期起,出库单!$C$4:$C$4003,"&lt;="&amp;账期止))</f>
        <v/>
      </c>
      <c r="Q881" s="26">
        <f>IF($A881="","",ROUND(SUMIFS(出库单!$S$4:$S$4003,出库单!$D$4:$D$4003,$A881,出库单!$K$4:$K$4003,"自用消耗",出库单!$U$4:$U$4003,"正常",出库单!$C$4:$C$4003,"&gt;="&amp;账期起,出库单!$C$4:$C$4003,"&lt;="&amp;账期止),0))</f>
        <v/>
      </c>
      <c r="R881" s="27">
        <f>IF($A881="","",SUMIFS(出库单!$J$4:$J$4003,出库单!$D$4:$D$4003,$A881,出库单!$K$4:$K$4003,"对外销售",出库单!$U$4:$U$4003,"正常",出库单!$C$4:$C$4003,"&gt;="&amp;账期起,出库单!$C$4:$C$4003,"&lt;="&amp;账期止))</f>
        <v/>
      </c>
      <c r="S881" s="26">
        <f>IF($A881="","",ROUND(SUMIFS(出库单!$S$4:$S$4003,出库单!$D$4:$D$4003,$A881,出库单!$K$4:$K$4003,"对外销售",出库单!$U$4:$U$4003,"正常",出库单!$C$4:$C$4003,"&gt;="&amp;账期起,出库单!$C$4:$C$4003,"&lt;="&amp;账期止),0))</f>
        <v/>
      </c>
      <c r="T881" s="27">
        <f>IF($A881="","",SUMIFS(出库单!$J$4:$J$4003,出库单!$D$4:$D$4003,$A881,出库单!$K$4:$K$4003,"盘亏",出库单!$U$4:$U$4003,"正常",出库单!$C$4:$C$4003,"&gt;="&amp;账期起,出库单!$C$4:$C$4003,"&lt;="&amp;账期止))</f>
        <v/>
      </c>
      <c r="U881" s="26">
        <f>IF($A881="","",ROUND(SUMIFS(出库单!$S$4:$S$4003,出库单!$D$4:$D$4003,$A881,出库单!$K$4:$K$4003,"盘亏",出库单!$U$4:$U$4003,"正常",出库单!$C$4:$C$4003,"&gt;="&amp;账期起,出库单!$C$4:$C$4003,"&lt;="&amp;账期止),0))</f>
        <v/>
      </c>
      <c r="V881" s="27">
        <f>IF($A881="","",SUMIFS(出库单!$J$4:$J$4003,出库单!$D$4:$D$4003,$A881,出库单!$K$4:$K$4003,"退货给供应商",出库单!$U$4:$U$4003,"正常",出库单!$C$4:$C$4003,"&gt;="&amp;账期起,出库单!$C$4:$C$4003,"&lt;="&amp;账期止))</f>
        <v/>
      </c>
      <c r="W881" s="26">
        <f>IF($A881="","",ROUND(SUMIFS(出库单!$S$4:$S$4003,出库单!$D$4:$D$4003,$A881,出库单!$K$4:$K$4003,"退货给供应商",出库单!$U$4:$U$4003,"正常",出库单!$C$4:$C$4003,"&gt;="&amp;账期起,出库单!$C$4:$C$4003,"&lt;="&amp;账期止),0))</f>
        <v/>
      </c>
      <c r="X881" s="27">
        <f>IF($A881="","",ROUND(N($G881)+$I881+$L881+$N881-$P881-$R881-$T881-$V881,3))</f>
        <v/>
      </c>
      <c r="Y881" s="26">
        <f>IF($A881="","",ROUND(N($H881)+$J881+$M881+$O881-$Q881-$S881-$U881-$W881,0))</f>
        <v/>
      </c>
      <c r="Z881" s="24">
        <f>IF($A881="","",IF(COUNTIFS(入库单!$G$4:$G$2503,$A881,入库单!$Y$4:$Y$2503,"待补价")+COUNTIFS(入库单!$G$4:$G$2503,$A881,入库单!$Y$4:$Y$2503,"暂估")&gt;0,"不可信","可信"))</f>
        <v/>
      </c>
      <c r="AA881" s="24">
        <f>IF($A881="","",IF($X881&lt;-0.001,"※账面负库存，查一下是不是漏记入库",IF(AND(ROUND($X881,3)=0,ABS($Y881)&gt;1),"※数量已经是 0，金额还挂着 "&amp;TEXT($Y881,"#,##0")&amp;" 先令",IF(AND($X881&gt;0,$Y881&lt;=0,$K881=0),"※有数量没金额（这个物料一直没填过进价）",IF($Z881="不可信","△成本含待补价/暂估，毛利仅供参考","")))))</f>
        <v/>
      </c>
    </row>
    <row r="882">
      <c r="A882" s="24">
        <f>IF(物料档案!$A881="","",物料档案!$A881)</f>
        <v/>
      </c>
      <c r="B882" s="24">
        <f>IF($A882="","",IFERROR(VLOOKUP($A882,物料档案!$A$4:$P$1203,3,0),""))</f>
        <v/>
      </c>
      <c r="C882" s="24">
        <f>IF($A882="","",IFERROR(VLOOKUP($A882,物料档案!$A$4:$P$1203,4,0),""))</f>
        <v/>
      </c>
      <c r="D882" s="24">
        <f>IF($A882="","",IFERROR(VLOOKUP($A882,物料档案!$A$4:$P$1203,5,0),""))</f>
        <v/>
      </c>
      <c r="E882" s="24">
        <f>IF($A882="","",IFERROR(VLOOKUP($A882,物料档案!$A$4:$P$1203,2,0),""))</f>
        <v/>
      </c>
      <c r="F882" s="24">
        <f>IF($A882="","",IFERROR(VLOOKUP($A882,物料档案!$A$4:$P$1203,6,0),""))</f>
        <v/>
      </c>
      <c r="G882" s="23" t="n"/>
      <c r="H882" s="32" t="n"/>
      <c r="I882" s="27">
        <f>IF($A882="","",SUMIFS(入库单!$K$4:$K$2503,入库单!$G$4:$G$2503,$A882,入库单!$X$4:$X$2503,"采购入库",入库单!$Z$4:$Z$2503,"正常",入库单!$C$4:$C$2503,"&gt;="&amp;账期起,入库单!$C$4:$C$2503,"&lt;="&amp;账期止))</f>
        <v/>
      </c>
      <c r="J882" s="26">
        <f>IF($A882="","",SUMIFS(入库单!$V$4:$V$2503,入库单!$G$4:$G$2503,$A882,入库单!$X$4:$X$2503,"采购入库",入库单!$Z$4:$Z$2503,"正常",入库单!$C$4:$C$2503,"&gt;="&amp;账期起,入库单!$C$4:$C$2503,"&lt;="&amp;账期止))</f>
        <v/>
      </c>
      <c r="K882" s="26">
        <f>IF($A882="","",IFERROR(ROUND((N($H882)+N($J882))/(N($G882)+N($I882)),2),0))</f>
        <v/>
      </c>
      <c r="L882" s="27">
        <f>IF($A882="","",SUMIFS(入库单!$K$4:$K$2503,入库单!$G$4:$G$2503,$A882,入库单!$X$4:$X$2503,"盘盈",入库单!$Z$4:$Z$2503,"正常",入库单!$C$4:$C$2503,"&gt;="&amp;账期起,入库单!$C$4:$C$2503,"&lt;="&amp;账期止))</f>
        <v/>
      </c>
      <c r="M882" s="26">
        <f>IF($A882="","",ROUND($L882*$K882,0))</f>
        <v/>
      </c>
      <c r="N882" s="27">
        <f>IF($A882="","",SUMIFS(入库单!$K$4:$K$2503,入库单!$G$4:$G$2503,$A882,入库单!$X$4:$X$2503,"矿区退库",入库单!$Z$4:$Z$2503,"正常",入库单!$C$4:$C$2503,"&gt;="&amp;账期起,入库单!$C$4:$C$2503,"&lt;="&amp;账期止))</f>
        <v/>
      </c>
      <c r="O882" s="26">
        <f>IF($A882="","",ROUND($N882*$K882,0))</f>
        <v/>
      </c>
      <c r="P882" s="27">
        <f>IF($A882="","",SUMIFS(出库单!$J$4:$J$4003,出库单!$D$4:$D$4003,$A882,出库单!$K$4:$K$4003,"自用消耗",出库单!$U$4:$U$4003,"正常",出库单!$C$4:$C$4003,"&gt;="&amp;账期起,出库单!$C$4:$C$4003,"&lt;="&amp;账期止))</f>
        <v/>
      </c>
      <c r="Q882" s="26">
        <f>IF($A882="","",ROUND(SUMIFS(出库单!$S$4:$S$4003,出库单!$D$4:$D$4003,$A882,出库单!$K$4:$K$4003,"自用消耗",出库单!$U$4:$U$4003,"正常",出库单!$C$4:$C$4003,"&gt;="&amp;账期起,出库单!$C$4:$C$4003,"&lt;="&amp;账期止),0))</f>
        <v/>
      </c>
      <c r="R882" s="27">
        <f>IF($A882="","",SUMIFS(出库单!$J$4:$J$4003,出库单!$D$4:$D$4003,$A882,出库单!$K$4:$K$4003,"对外销售",出库单!$U$4:$U$4003,"正常",出库单!$C$4:$C$4003,"&gt;="&amp;账期起,出库单!$C$4:$C$4003,"&lt;="&amp;账期止))</f>
        <v/>
      </c>
      <c r="S882" s="26">
        <f>IF($A882="","",ROUND(SUMIFS(出库单!$S$4:$S$4003,出库单!$D$4:$D$4003,$A882,出库单!$K$4:$K$4003,"对外销售",出库单!$U$4:$U$4003,"正常",出库单!$C$4:$C$4003,"&gt;="&amp;账期起,出库单!$C$4:$C$4003,"&lt;="&amp;账期止),0))</f>
        <v/>
      </c>
      <c r="T882" s="27">
        <f>IF($A882="","",SUMIFS(出库单!$J$4:$J$4003,出库单!$D$4:$D$4003,$A882,出库单!$K$4:$K$4003,"盘亏",出库单!$U$4:$U$4003,"正常",出库单!$C$4:$C$4003,"&gt;="&amp;账期起,出库单!$C$4:$C$4003,"&lt;="&amp;账期止))</f>
        <v/>
      </c>
      <c r="U882" s="26">
        <f>IF($A882="","",ROUND(SUMIFS(出库单!$S$4:$S$4003,出库单!$D$4:$D$4003,$A882,出库单!$K$4:$K$4003,"盘亏",出库单!$U$4:$U$4003,"正常",出库单!$C$4:$C$4003,"&gt;="&amp;账期起,出库单!$C$4:$C$4003,"&lt;="&amp;账期止),0))</f>
        <v/>
      </c>
      <c r="V882" s="27">
        <f>IF($A882="","",SUMIFS(出库单!$J$4:$J$4003,出库单!$D$4:$D$4003,$A882,出库单!$K$4:$K$4003,"退货给供应商",出库单!$U$4:$U$4003,"正常",出库单!$C$4:$C$4003,"&gt;="&amp;账期起,出库单!$C$4:$C$4003,"&lt;="&amp;账期止))</f>
        <v/>
      </c>
      <c r="W882" s="26">
        <f>IF($A882="","",ROUND(SUMIFS(出库单!$S$4:$S$4003,出库单!$D$4:$D$4003,$A882,出库单!$K$4:$K$4003,"退货给供应商",出库单!$U$4:$U$4003,"正常",出库单!$C$4:$C$4003,"&gt;="&amp;账期起,出库单!$C$4:$C$4003,"&lt;="&amp;账期止),0))</f>
        <v/>
      </c>
      <c r="X882" s="27">
        <f>IF($A882="","",ROUND(N($G882)+$I882+$L882+$N882-$P882-$R882-$T882-$V882,3))</f>
        <v/>
      </c>
      <c r="Y882" s="26">
        <f>IF($A882="","",ROUND(N($H882)+$J882+$M882+$O882-$Q882-$S882-$U882-$W882,0))</f>
        <v/>
      </c>
      <c r="Z882" s="24">
        <f>IF($A882="","",IF(COUNTIFS(入库单!$G$4:$G$2503,$A882,入库单!$Y$4:$Y$2503,"待补价")+COUNTIFS(入库单!$G$4:$G$2503,$A882,入库单!$Y$4:$Y$2503,"暂估")&gt;0,"不可信","可信"))</f>
        <v/>
      </c>
      <c r="AA882" s="24">
        <f>IF($A882="","",IF($X882&lt;-0.001,"※账面负库存，查一下是不是漏记入库",IF(AND(ROUND($X882,3)=0,ABS($Y882)&gt;1),"※数量已经是 0，金额还挂着 "&amp;TEXT($Y882,"#,##0")&amp;" 先令",IF(AND($X882&gt;0,$Y882&lt;=0,$K882=0),"※有数量没金额（这个物料一直没填过进价）",IF($Z882="不可信","△成本含待补价/暂估，毛利仅供参考","")))))</f>
        <v/>
      </c>
    </row>
    <row r="883">
      <c r="A883" s="24">
        <f>IF(物料档案!$A882="","",物料档案!$A882)</f>
        <v/>
      </c>
      <c r="B883" s="24">
        <f>IF($A883="","",IFERROR(VLOOKUP($A883,物料档案!$A$4:$P$1203,3,0),""))</f>
        <v/>
      </c>
      <c r="C883" s="24">
        <f>IF($A883="","",IFERROR(VLOOKUP($A883,物料档案!$A$4:$P$1203,4,0),""))</f>
        <v/>
      </c>
      <c r="D883" s="24">
        <f>IF($A883="","",IFERROR(VLOOKUP($A883,物料档案!$A$4:$P$1203,5,0),""))</f>
        <v/>
      </c>
      <c r="E883" s="24">
        <f>IF($A883="","",IFERROR(VLOOKUP($A883,物料档案!$A$4:$P$1203,2,0),""))</f>
        <v/>
      </c>
      <c r="F883" s="24">
        <f>IF($A883="","",IFERROR(VLOOKUP($A883,物料档案!$A$4:$P$1203,6,0),""))</f>
        <v/>
      </c>
      <c r="G883" s="23" t="n"/>
      <c r="H883" s="32" t="n"/>
      <c r="I883" s="27">
        <f>IF($A883="","",SUMIFS(入库单!$K$4:$K$2503,入库单!$G$4:$G$2503,$A883,入库单!$X$4:$X$2503,"采购入库",入库单!$Z$4:$Z$2503,"正常",入库单!$C$4:$C$2503,"&gt;="&amp;账期起,入库单!$C$4:$C$2503,"&lt;="&amp;账期止))</f>
        <v/>
      </c>
      <c r="J883" s="26">
        <f>IF($A883="","",SUMIFS(入库单!$V$4:$V$2503,入库单!$G$4:$G$2503,$A883,入库单!$X$4:$X$2503,"采购入库",入库单!$Z$4:$Z$2503,"正常",入库单!$C$4:$C$2503,"&gt;="&amp;账期起,入库单!$C$4:$C$2503,"&lt;="&amp;账期止))</f>
        <v/>
      </c>
      <c r="K883" s="26">
        <f>IF($A883="","",IFERROR(ROUND((N($H883)+N($J883))/(N($G883)+N($I883)),2),0))</f>
        <v/>
      </c>
      <c r="L883" s="27">
        <f>IF($A883="","",SUMIFS(入库单!$K$4:$K$2503,入库单!$G$4:$G$2503,$A883,入库单!$X$4:$X$2503,"盘盈",入库单!$Z$4:$Z$2503,"正常",入库单!$C$4:$C$2503,"&gt;="&amp;账期起,入库单!$C$4:$C$2503,"&lt;="&amp;账期止))</f>
        <v/>
      </c>
      <c r="M883" s="26">
        <f>IF($A883="","",ROUND($L883*$K883,0))</f>
        <v/>
      </c>
      <c r="N883" s="27">
        <f>IF($A883="","",SUMIFS(入库单!$K$4:$K$2503,入库单!$G$4:$G$2503,$A883,入库单!$X$4:$X$2503,"矿区退库",入库单!$Z$4:$Z$2503,"正常",入库单!$C$4:$C$2503,"&gt;="&amp;账期起,入库单!$C$4:$C$2503,"&lt;="&amp;账期止))</f>
        <v/>
      </c>
      <c r="O883" s="26">
        <f>IF($A883="","",ROUND($N883*$K883,0))</f>
        <v/>
      </c>
      <c r="P883" s="27">
        <f>IF($A883="","",SUMIFS(出库单!$J$4:$J$4003,出库单!$D$4:$D$4003,$A883,出库单!$K$4:$K$4003,"自用消耗",出库单!$U$4:$U$4003,"正常",出库单!$C$4:$C$4003,"&gt;="&amp;账期起,出库单!$C$4:$C$4003,"&lt;="&amp;账期止))</f>
        <v/>
      </c>
      <c r="Q883" s="26">
        <f>IF($A883="","",ROUND(SUMIFS(出库单!$S$4:$S$4003,出库单!$D$4:$D$4003,$A883,出库单!$K$4:$K$4003,"自用消耗",出库单!$U$4:$U$4003,"正常",出库单!$C$4:$C$4003,"&gt;="&amp;账期起,出库单!$C$4:$C$4003,"&lt;="&amp;账期止),0))</f>
        <v/>
      </c>
      <c r="R883" s="27">
        <f>IF($A883="","",SUMIFS(出库单!$J$4:$J$4003,出库单!$D$4:$D$4003,$A883,出库单!$K$4:$K$4003,"对外销售",出库单!$U$4:$U$4003,"正常",出库单!$C$4:$C$4003,"&gt;="&amp;账期起,出库单!$C$4:$C$4003,"&lt;="&amp;账期止))</f>
        <v/>
      </c>
      <c r="S883" s="26">
        <f>IF($A883="","",ROUND(SUMIFS(出库单!$S$4:$S$4003,出库单!$D$4:$D$4003,$A883,出库单!$K$4:$K$4003,"对外销售",出库单!$U$4:$U$4003,"正常",出库单!$C$4:$C$4003,"&gt;="&amp;账期起,出库单!$C$4:$C$4003,"&lt;="&amp;账期止),0))</f>
        <v/>
      </c>
      <c r="T883" s="27">
        <f>IF($A883="","",SUMIFS(出库单!$J$4:$J$4003,出库单!$D$4:$D$4003,$A883,出库单!$K$4:$K$4003,"盘亏",出库单!$U$4:$U$4003,"正常",出库单!$C$4:$C$4003,"&gt;="&amp;账期起,出库单!$C$4:$C$4003,"&lt;="&amp;账期止))</f>
        <v/>
      </c>
      <c r="U883" s="26">
        <f>IF($A883="","",ROUND(SUMIFS(出库单!$S$4:$S$4003,出库单!$D$4:$D$4003,$A883,出库单!$K$4:$K$4003,"盘亏",出库单!$U$4:$U$4003,"正常",出库单!$C$4:$C$4003,"&gt;="&amp;账期起,出库单!$C$4:$C$4003,"&lt;="&amp;账期止),0))</f>
        <v/>
      </c>
      <c r="V883" s="27">
        <f>IF($A883="","",SUMIFS(出库单!$J$4:$J$4003,出库单!$D$4:$D$4003,$A883,出库单!$K$4:$K$4003,"退货给供应商",出库单!$U$4:$U$4003,"正常",出库单!$C$4:$C$4003,"&gt;="&amp;账期起,出库单!$C$4:$C$4003,"&lt;="&amp;账期止))</f>
        <v/>
      </c>
      <c r="W883" s="26">
        <f>IF($A883="","",ROUND(SUMIFS(出库单!$S$4:$S$4003,出库单!$D$4:$D$4003,$A883,出库单!$K$4:$K$4003,"退货给供应商",出库单!$U$4:$U$4003,"正常",出库单!$C$4:$C$4003,"&gt;="&amp;账期起,出库单!$C$4:$C$4003,"&lt;="&amp;账期止),0))</f>
        <v/>
      </c>
      <c r="X883" s="27">
        <f>IF($A883="","",ROUND(N($G883)+$I883+$L883+$N883-$P883-$R883-$T883-$V883,3))</f>
        <v/>
      </c>
      <c r="Y883" s="26">
        <f>IF($A883="","",ROUND(N($H883)+$J883+$M883+$O883-$Q883-$S883-$U883-$W883,0))</f>
        <v/>
      </c>
      <c r="Z883" s="24">
        <f>IF($A883="","",IF(COUNTIFS(入库单!$G$4:$G$2503,$A883,入库单!$Y$4:$Y$2503,"待补价")+COUNTIFS(入库单!$G$4:$G$2503,$A883,入库单!$Y$4:$Y$2503,"暂估")&gt;0,"不可信","可信"))</f>
        <v/>
      </c>
      <c r="AA883" s="24">
        <f>IF($A883="","",IF($X883&lt;-0.001,"※账面负库存，查一下是不是漏记入库",IF(AND(ROUND($X883,3)=0,ABS($Y883)&gt;1),"※数量已经是 0，金额还挂着 "&amp;TEXT($Y883,"#,##0")&amp;" 先令",IF(AND($X883&gt;0,$Y883&lt;=0,$K883=0),"※有数量没金额（这个物料一直没填过进价）",IF($Z883="不可信","△成本含待补价/暂估，毛利仅供参考","")))))</f>
        <v/>
      </c>
    </row>
    <row r="884">
      <c r="A884" s="24">
        <f>IF(物料档案!$A883="","",物料档案!$A883)</f>
        <v/>
      </c>
      <c r="B884" s="24">
        <f>IF($A884="","",IFERROR(VLOOKUP($A884,物料档案!$A$4:$P$1203,3,0),""))</f>
        <v/>
      </c>
      <c r="C884" s="24">
        <f>IF($A884="","",IFERROR(VLOOKUP($A884,物料档案!$A$4:$P$1203,4,0),""))</f>
        <v/>
      </c>
      <c r="D884" s="24">
        <f>IF($A884="","",IFERROR(VLOOKUP($A884,物料档案!$A$4:$P$1203,5,0),""))</f>
        <v/>
      </c>
      <c r="E884" s="24">
        <f>IF($A884="","",IFERROR(VLOOKUP($A884,物料档案!$A$4:$P$1203,2,0),""))</f>
        <v/>
      </c>
      <c r="F884" s="24">
        <f>IF($A884="","",IFERROR(VLOOKUP($A884,物料档案!$A$4:$P$1203,6,0),""))</f>
        <v/>
      </c>
      <c r="G884" s="23" t="n"/>
      <c r="H884" s="32" t="n"/>
      <c r="I884" s="27">
        <f>IF($A884="","",SUMIFS(入库单!$K$4:$K$2503,入库单!$G$4:$G$2503,$A884,入库单!$X$4:$X$2503,"采购入库",入库单!$Z$4:$Z$2503,"正常",入库单!$C$4:$C$2503,"&gt;="&amp;账期起,入库单!$C$4:$C$2503,"&lt;="&amp;账期止))</f>
        <v/>
      </c>
      <c r="J884" s="26">
        <f>IF($A884="","",SUMIFS(入库单!$V$4:$V$2503,入库单!$G$4:$G$2503,$A884,入库单!$X$4:$X$2503,"采购入库",入库单!$Z$4:$Z$2503,"正常",入库单!$C$4:$C$2503,"&gt;="&amp;账期起,入库单!$C$4:$C$2503,"&lt;="&amp;账期止))</f>
        <v/>
      </c>
      <c r="K884" s="26">
        <f>IF($A884="","",IFERROR(ROUND((N($H884)+N($J884))/(N($G884)+N($I884)),2),0))</f>
        <v/>
      </c>
      <c r="L884" s="27">
        <f>IF($A884="","",SUMIFS(入库单!$K$4:$K$2503,入库单!$G$4:$G$2503,$A884,入库单!$X$4:$X$2503,"盘盈",入库单!$Z$4:$Z$2503,"正常",入库单!$C$4:$C$2503,"&gt;="&amp;账期起,入库单!$C$4:$C$2503,"&lt;="&amp;账期止))</f>
        <v/>
      </c>
      <c r="M884" s="26">
        <f>IF($A884="","",ROUND($L884*$K884,0))</f>
        <v/>
      </c>
      <c r="N884" s="27">
        <f>IF($A884="","",SUMIFS(入库单!$K$4:$K$2503,入库单!$G$4:$G$2503,$A884,入库单!$X$4:$X$2503,"矿区退库",入库单!$Z$4:$Z$2503,"正常",入库单!$C$4:$C$2503,"&gt;="&amp;账期起,入库单!$C$4:$C$2503,"&lt;="&amp;账期止))</f>
        <v/>
      </c>
      <c r="O884" s="26">
        <f>IF($A884="","",ROUND($N884*$K884,0))</f>
        <v/>
      </c>
      <c r="P884" s="27">
        <f>IF($A884="","",SUMIFS(出库单!$J$4:$J$4003,出库单!$D$4:$D$4003,$A884,出库单!$K$4:$K$4003,"自用消耗",出库单!$U$4:$U$4003,"正常",出库单!$C$4:$C$4003,"&gt;="&amp;账期起,出库单!$C$4:$C$4003,"&lt;="&amp;账期止))</f>
        <v/>
      </c>
      <c r="Q884" s="26">
        <f>IF($A884="","",ROUND(SUMIFS(出库单!$S$4:$S$4003,出库单!$D$4:$D$4003,$A884,出库单!$K$4:$K$4003,"自用消耗",出库单!$U$4:$U$4003,"正常",出库单!$C$4:$C$4003,"&gt;="&amp;账期起,出库单!$C$4:$C$4003,"&lt;="&amp;账期止),0))</f>
        <v/>
      </c>
      <c r="R884" s="27">
        <f>IF($A884="","",SUMIFS(出库单!$J$4:$J$4003,出库单!$D$4:$D$4003,$A884,出库单!$K$4:$K$4003,"对外销售",出库单!$U$4:$U$4003,"正常",出库单!$C$4:$C$4003,"&gt;="&amp;账期起,出库单!$C$4:$C$4003,"&lt;="&amp;账期止))</f>
        <v/>
      </c>
      <c r="S884" s="26">
        <f>IF($A884="","",ROUND(SUMIFS(出库单!$S$4:$S$4003,出库单!$D$4:$D$4003,$A884,出库单!$K$4:$K$4003,"对外销售",出库单!$U$4:$U$4003,"正常",出库单!$C$4:$C$4003,"&gt;="&amp;账期起,出库单!$C$4:$C$4003,"&lt;="&amp;账期止),0))</f>
        <v/>
      </c>
      <c r="T884" s="27">
        <f>IF($A884="","",SUMIFS(出库单!$J$4:$J$4003,出库单!$D$4:$D$4003,$A884,出库单!$K$4:$K$4003,"盘亏",出库单!$U$4:$U$4003,"正常",出库单!$C$4:$C$4003,"&gt;="&amp;账期起,出库单!$C$4:$C$4003,"&lt;="&amp;账期止))</f>
        <v/>
      </c>
      <c r="U884" s="26">
        <f>IF($A884="","",ROUND(SUMIFS(出库单!$S$4:$S$4003,出库单!$D$4:$D$4003,$A884,出库单!$K$4:$K$4003,"盘亏",出库单!$U$4:$U$4003,"正常",出库单!$C$4:$C$4003,"&gt;="&amp;账期起,出库单!$C$4:$C$4003,"&lt;="&amp;账期止),0))</f>
        <v/>
      </c>
      <c r="V884" s="27">
        <f>IF($A884="","",SUMIFS(出库单!$J$4:$J$4003,出库单!$D$4:$D$4003,$A884,出库单!$K$4:$K$4003,"退货给供应商",出库单!$U$4:$U$4003,"正常",出库单!$C$4:$C$4003,"&gt;="&amp;账期起,出库单!$C$4:$C$4003,"&lt;="&amp;账期止))</f>
        <v/>
      </c>
      <c r="W884" s="26">
        <f>IF($A884="","",ROUND(SUMIFS(出库单!$S$4:$S$4003,出库单!$D$4:$D$4003,$A884,出库单!$K$4:$K$4003,"退货给供应商",出库单!$U$4:$U$4003,"正常",出库单!$C$4:$C$4003,"&gt;="&amp;账期起,出库单!$C$4:$C$4003,"&lt;="&amp;账期止),0))</f>
        <v/>
      </c>
      <c r="X884" s="27">
        <f>IF($A884="","",ROUND(N($G884)+$I884+$L884+$N884-$P884-$R884-$T884-$V884,3))</f>
        <v/>
      </c>
      <c r="Y884" s="26">
        <f>IF($A884="","",ROUND(N($H884)+$J884+$M884+$O884-$Q884-$S884-$U884-$W884,0))</f>
        <v/>
      </c>
      <c r="Z884" s="24">
        <f>IF($A884="","",IF(COUNTIFS(入库单!$G$4:$G$2503,$A884,入库单!$Y$4:$Y$2503,"待补价")+COUNTIFS(入库单!$G$4:$G$2503,$A884,入库单!$Y$4:$Y$2503,"暂估")&gt;0,"不可信","可信"))</f>
        <v/>
      </c>
      <c r="AA884" s="24">
        <f>IF($A884="","",IF($X884&lt;-0.001,"※账面负库存，查一下是不是漏记入库",IF(AND(ROUND($X884,3)=0,ABS($Y884)&gt;1),"※数量已经是 0，金额还挂着 "&amp;TEXT($Y884,"#,##0")&amp;" 先令",IF(AND($X884&gt;0,$Y884&lt;=0,$K884=0),"※有数量没金额（这个物料一直没填过进价）",IF($Z884="不可信","△成本含待补价/暂估，毛利仅供参考","")))))</f>
        <v/>
      </c>
    </row>
    <row r="885">
      <c r="A885" s="24">
        <f>IF(物料档案!$A884="","",物料档案!$A884)</f>
        <v/>
      </c>
      <c r="B885" s="24">
        <f>IF($A885="","",IFERROR(VLOOKUP($A885,物料档案!$A$4:$P$1203,3,0),""))</f>
        <v/>
      </c>
      <c r="C885" s="24">
        <f>IF($A885="","",IFERROR(VLOOKUP($A885,物料档案!$A$4:$P$1203,4,0),""))</f>
        <v/>
      </c>
      <c r="D885" s="24">
        <f>IF($A885="","",IFERROR(VLOOKUP($A885,物料档案!$A$4:$P$1203,5,0),""))</f>
        <v/>
      </c>
      <c r="E885" s="24">
        <f>IF($A885="","",IFERROR(VLOOKUP($A885,物料档案!$A$4:$P$1203,2,0),""))</f>
        <v/>
      </c>
      <c r="F885" s="24">
        <f>IF($A885="","",IFERROR(VLOOKUP($A885,物料档案!$A$4:$P$1203,6,0),""))</f>
        <v/>
      </c>
      <c r="G885" s="23" t="n"/>
      <c r="H885" s="32" t="n"/>
      <c r="I885" s="27">
        <f>IF($A885="","",SUMIFS(入库单!$K$4:$K$2503,入库单!$G$4:$G$2503,$A885,入库单!$X$4:$X$2503,"采购入库",入库单!$Z$4:$Z$2503,"正常",入库单!$C$4:$C$2503,"&gt;="&amp;账期起,入库单!$C$4:$C$2503,"&lt;="&amp;账期止))</f>
        <v/>
      </c>
      <c r="J885" s="26">
        <f>IF($A885="","",SUMIFS(入库单!$V$4:$V$2503,入库单!$G$4:$G$2503,$A885,入库单!$X$4:$X$2503,"采购入库",入库单!$Z$4:$Z$2503,"正常",入库单!$C$4:$C$2503,"&gt;="&amp;账期起,入库单!$C$4:$C$2503,"&lt;="&amp;账期止))</f>
        <v/>
      </c>
      <c r="K885" s="26">
        <f>IF($A885="","",IFERROR(ROUND((N($H885)+N($J885))/(N($G885)+N($I885)),2),0))</f>
        <v/>
      </c>
      <c r="L885" s="27">
        <f>IF($A885="","",SUMIFS(入库单!$K$4:$K$2503,入库单!$G$4:$G$2503,$A885,入库单!$X$4:$X$2503,"盘盈",入库单!$Z$4:$Z$2503,"正常",入库单!$C$4:$C$2503,"&gt;="&amp;账期起,入库单!$C$4:$C$2503,"&lt;="&amp;账期止))</f>
        <v/>
      </c>
      <c r="M885" s="26">
        <f>IF($A885="","",ROUND($L885*$K885,0))</f>
        <v/>
      </c>
      <c r="N885" s="27">
        <f>IF($A885="","",SUMIFS(入库单!$K$4:$K$2503,入库单!$G$4:$G$2503,$A885,入库单!$X$4:$X$2503,"矿区退库",入库单!$Z$4:$Z$2503,"正常",入库单!$C$4:$C$2503,"&gt;="&amp;账期起,入库单!$C$4:$C$2503,"&lt;="&amp;账期止))</f>
        <v/>
      </c>
      <c r="O885" s="26">
        <f>IF($A885="","",ROUND($N885*$K885,0))</f>
        <v/>
      </c>
      <c r="P885" s="27">
        <f>IF($A885="","",SUMIFS(出库单!$J$4:$J$4003,出库单!$D$4:$D$4003,$A885,出库单!$K$4:$K$4003,"自用消耗",出库单!$U$4:$U$4003,"正常",出库单!$C$4:$C$4003,"&gt;="&amp;账期起,出库单!$C$4:$C$4003,"&lt;="&amp;账期止))</f>
        <v/>
      </c>
      <c r="Q885" s="26">
        <f>IF($A885="","",ROUND(SUMIFS(出库单!$S$4:$S$4003,出库单!$D$4:$D$4003,$A885,出库单!$K$4:$K$4003,"自用消耗",出库单!$U$4:$U$4003,"正常",出库单!$C$4:$C$4003,"&gt;="&amp;账期起,出库单!$C$4:$C$4003,"&lt;="&amp;账期止),0))</f>
        <v/>
      </c>
      <c r="R885" s="27">
        <f>IF($A885="","",SUMIFS(出库单!$J$4:$J$4003,出库单!$D$4:$D$4003,$A885,出库单!$K$4:$K$4003,"对外销售",出库单!$U$4:$U$4003,"正常",出库单!$C$4:$C$4003,"&gt;="&amp;账期起,出库单!$C$4:$C$4003,"&lt;="&amp;账期止))</f>
        <v/>
      </c>
      <c r="S885" s="26">
        <f>IF($A885="","",ROUND(SUMIFS(出库单!$S$4:$S$4003,出库单!$D$4:$D$4003,$A885,出库单!$K$4:$K$4003,"对外销售",出库单!$U$4:$U$4003,"正常",出库单!$C$4:$C$4003,"&gt;="&amp;账期起,出库单!$C$4:$C$4003,"&lt;="&amp;账期止),0))</f>
        <v/>
      </c>
      <c r="T885" s="27">
        <f>IF($A885="","",SUMIFS(出库单!$J$4:$J$4003,出库单!$D$4:$D$4003,$A885,出库单!$K$4:$K$4003,"盘亏",出库单!$U$4:$U$4003,"正常",出库单!$C$4:$C$4003,"&gt;="&amp;账期起,出库单!$C$4:$C$4003,"&lt;="&amp;账期止))</f>
        <v/>
      </c>
      <c r="U885" s="26">
        <f>IF($A885="","",ROUND(SUMIFS(出库单!$S$4:$S$4003,出库单!$D$4:$D$4003,$A885,出库单!$K$4:$K$4003,"盘亏",出库单!$U$4:$U$4003,"正常",出库单!$C$4:$C$4003,"&gt;="&amp;账期起,出库单!$C$4:$C$4003,"&lt;="&amp;账期止),0))</f>
        <v/>
      </c>
      <c r="V885" s="27">
        <f>IF($A885="","",SUMIFS(出库单!$J$4:$J$4003,出库单!$D$4:$D$4003,$A885,出库单!$K$4:$K$4003,"退货给供应商",出库单!$U$4:$U$4003,"正常",出库单!$C$4:$C$4003,"&gt;="&amp;账期起,出库单!$C$4:$C$4003,"&lt;="&amp;账期止))</f>
        <v/>
      </c>
      <c r="W885" s="26">
        <f>IF($A885="","",ROUND(SUMIFS(出库单!$S$4:$S$4003,出库单!$D$4:$D$4003,$A885,出库单!$K$4:$K$4003,"退货给供应商",出库单!$U$4:$U$4003,"正常",出库单!$C$4:$C$4003,"&gt;="&amp;账期起,出库单!$C$4:$C$4003,"&lt;="&amp;账期止),0))</f>
        <v/>
      </c>
      <c r="X885" s="27">
        <f>IF($A885="","",ROUND(N($G885)+$I885+$L885+$N885-$P885-$R885-$T885-$V885,3))</f>
        <v/>
      </c>
      <c r="Y885" s="26">
        <f>IF($A885="","",ROUND(N($H885)+$J885+$M885+$O885-$Q885-$S885-$U885-$W885,0))</f>
        <v/>
      </c>
      <c r="Z885" s="24">
        <f>IF($A885="","",IF(COUNTIFS(入库单!$G$4:$G$2503,$A885,入库单!$Y$4:$Y$2503,"待补价")+COUNTIFS(入库单!$G$4:$G$2503,$A885,入库单!$Y$4:$Y$2503,"暂估")&gt;0,"不可信","可信"))</f>
        <v/>
      </c>
      <c r="AA885" s="24">
        <f>IF($A885="","",IF($X885&lt;-0.001,"※账面负库存，查一下是不是漏记入库",IF(AND(ROUND($X885,3)=0,ABS($Y885)&gt;1),"※数量已经是 0，金额还挂着 "&amp;TEXT($Y885,"#,##0")&amp;" 先令",IF(AND($X885&gt;0,$Y885&lt;=0,$K885=0),"※有数量没金额（这个物料一直没填过进价）",IF($Z885="不可信","△成本含待补价/暂估，毛利仅供参考","")))))</f>
        <v/>
      </c>
    </row>
    <row r="886">
      <c r="A886" s="24">
        <f>IF(物料档案!$A885="","",物料档案!$A885)</f>
        <v/>
      </c>
      <c r="B886" s="24">
        <f>IF($A886="","",IFERROR(VLOOKUP($A886,物料档案!$A$4:$P$1203,3,0),""))</f>
        <v/>
      </c>
      <c r="C886" s="24">
        <f>IF($A886="","",IFERROR(VLOOKUP($A886,物料档案!$A$4:$P$1203,4,0),""))</f>
        <v/>
      </c>
      <c r="D886" s="24">
        <f>IF($A886="","",IFERROR(VLOOKUP($A886,物料档案!$A$4:$P$1203,5,0),""))</f>
        <v/>
      </c>
      <c r="E886" s="24">
        <f>IF($A886="","",IFERROR(VLOOKUP($A886,物料档案!$A$4:$P$1203,2,0),""))</f>
        <v/>
      </c>
      <c r="F886" s="24">
        <f>IF($A886="","",IFERROR(VLOOKUP($A886,物料档案!$A$4:$P$1203,6,0),""))</f>
        <v/>
      </c>
      <c r="G886" s="23" t="n"/>
      <c r="H886" s="32" t="n"/>
      <c r="I886" s="27">
        <f>IF($A886="","",SUMIFS(入库单!$K$4:$K$2503,入库单!$G$4:$G$2503,$A886,入库单!$X$4:$X$2503,"采购入库",入库单!$Z$4:$Z$2503,"正常",入库单!$C$4:$C$2503,"&gt;="&amp;账期起,入库单!$C$4:$C$2503,"&lt;="&amp;账期止))</f>
        <v/>
      </c>
      <c r="J886" s="26">
        <f>IF($A886="","",SUMIFS(入库单!$V$4:$V$2503,入库单!$G$4:$G$2503,$A886,入库单!$X$4:$X$2503,"采购入库",入库单!$Z$4:$Z$2503,"正常",入库单!$C$4:$C$2503,"&gt;="&amp;账期起,入库单!$C$4:$C$2503,"&lt;="&amp;账期止))</f>
        <v/>
      </c>
      <c r="K886" s="26">
        <f>IF($A886="","",IFERROR(ROUND((N($H886)+N($J886))/(N($G886)+N($I886)),2),0))</f>
        <v/>
      </c>
      <c r="L886" s="27">
        <f>IF($A886="","",SUMIFS(入库单!$K$4:$K$2503,入库单!$G$4:$G$2503,$A886,入库单!$X$4:$X$2503,"盘盈",入库单!$Z$4:$Z$2503,"正常",入库单!$C$4:$C$2503,"&gt;="&amp;账期起,入库单!$C$4:$C$2503,"&lt;="&amp;账期止))</f>
        <v/>
      </c>
      <c r="M886" s="26">
        <f>IF($A886="","",ROUND($L886*$K886,0))</f>
        <v/>
      </c>
      <c r="N886" s="27">
        <f>IF($A886="","",SUMIFS(入库单!$K$4:$K$2503,入库单!$G$4:$G$2503,$A886,入库单!$X$4:$X$2503,"矿区退库",入库单!$Z$4:$Z$2503,"正常",入库单!$C$4:$C$2503,"&gt;="&amp;账期起,入库单!$C$4:$C$2503,"&lt;="&amp;账期止))</f>
        <v/>
      </c>
      <c r="O886" s="26">
        <f>IF($A886="","",ROUND($N886*$K886,0))</f>
        <v/>
      </c>
      <c r="P886" s="27">
        <f>IF($A886="","",SUMIFS(出库单!$J$4:$J$4003,出库单!$D$4:$D$4003,$A886,出库单!$K$4:$K$4003,"自用消耗",出库单!$U$4:$U$4003,"正常",出库单!$C$4:$C$4003,"&gt;="&amp;账期起,出库单!$C$4:$C$4003,"&lt;="&amp;账期止))</f>
        <v/>
      </c>
      <c r="Q886" s="26">
        <f>IF($A886="","",ROUND(SUMIFS(出库单!$S$4:$S$4003,出库单!$D$4:$D$4003,$A886,出库单!$K$4:$K$4003,"自用消耗",出库单!$U$4:$U$4003,"正常",出库单!$C$4:$C$4003,"&gt;="&amp;账期起,出库单!$C$4:$C$4003,"&lt;="&amp;账期止),0))</f>
        <v/>
      </c>
      <c r="R886" s="27">
        <f>IF($A886="","",SUMIFS(出库单!$J$4:$J$4003,出库单!$D$4:$D$4003,$A886,出库单!$K$4:$K$4003,"对外销售",出库单!$U$4:$U$4003,"正常",出库单!$C$4:$C$4003,"&gt;="&amp;账期起,出库单!$C$4:$C$4003,"&lt;="&amp;账期止))</f>
        <v/>
      </c>
      <c r="S886" s="26">
        <f>IF($A886="","",ROUND(SUMIFS(出库单!$S$4:$S$4003,出库单!$D$4:$D$4003,$A886,出库单!$K$4:$K$4003,"对外销售",出库单!$U$4:$U$4003,"正常",出库单!$C$4:$C$4003,"&gt;="&amp;账期起,出库单!$C$4:$C$4003,"&lt;="&amp;账期止),0))</f>
        <v/>
      </c>
      <c r="T886" s="27">
        <f>IF($A886="","",SUMIFS(出库单!$J$4:$J$4003,出库单!$D$4:$D$4003,$A886,出库单!$K$4:$K$4003,"盘亏",出库单!$U$4:$U$4003,"正常",出库单!$C$4:$C$4003,"&gt;="&amp;账期起,出库单!$C$4:$C$4003,"&lt;="&amp;账期止))</f>
        <v/>
      </c>
      <c r="U886" s="26">
        <f>IF($A886="","",ROUND(SUMIFS(出库单!$S$4:$S$4003,出库单!$D$4:$D$4003,$A886,出库单!$K$4:$K$4003,"盘亏",出库单!$U$4:$U$4003,"正常",出库单!$C$4:$C$4003,"&gt;="&amp;账期起,出库单!$C$4:$C$4003,"&lt;="&amp;账期止),0))</f>
        <v/>
      </c>
      <c r="V886" s="27">
        <f>IF($A886="","",SUMIFS(出库单!$J$4:$J$4003,出库单!$D$4:$D$4003,$A886,出库单!$K$4:$K$4003,"退货给供应商",出库单!$U$4:$U$4003,"正常",出库单!$C$4:$C$4003,"&gt;="&amp;账期起,出库单!$C$4:$C$4003,"&lt;="&amp;账期止))</f>
        <v/>
      </c>
      <c r="W886" s="26">
        <f>IF($A886="","",ROUND(SUMIFS(出库单!$S$4:$S$4003,出库单!$D$4:$D$4003,$A886,出库单!$K$4:$K$4003,"退货给供应商",出库单!$U$4:$U$4003,"正常",出库单!$C$4:$C$4003,"&gt;="&amp;账期起,出库单!$C$4:$C$4003,"&lt;="&amp;账期止),0))</f>
        <v/>
      </c>
      <c r="X886" s="27">
        <f>IF($A886="","",ROUND(N($G886)+$I886+$L886+$N886-$P886-$R886-$T886-$V886,3))</f>
        <v/>
      </c>
      <c r="Y886" s="26">
        <f>IF($A886="","",ROUND(N($H886)+$J886+$M886+$O886-$Q886-$S886-$U886-$W886,0))</f>
        <v/>
      </c>
      <c r="Z886" s="24">
        <f>IF($A886="","",IF(COUNTIFS(入库单!$G$4:$G$2503,$A886,入库单!$Y$4:$Y$2503,"待补价")+COUNTIFS(入库单!$G$4:$G$2503,$A886,入库单!$Y$4:$Y$2503,"暂估")&gt;0,"不可信","可信"))</f>
        <v/>
      </c>
      <c r="AA886" s="24">
        <f>IF($A886="","",IF($X886&lt;-0.001,"※账面负库存，查一下是不是漏记入库",IF(AND(ROUND($X886,3)=0,ABS($Y886)&gt;1),"※数量已经是 0，金额还挂着 "&amp;TEXT($Y886,"#,##0")&amp;" 先令",IF(AND($X886&gt;0,$Y886&lt;=0,$K886=0),"※有数量没金额（这个物料一直没填过进价）",IF($Z886="不可信","△成本含待补价/暂估，毛利仅供参考","")))))</f>
        <v/>
      </c>
    </row>
    <row r="887">
      <c r="A887" s="24">
        <f>IF(物料档案!$A886="","",物料档案!$A886)</f>
        <v/>
      </c>
      <c r="B887" s="24">
        <f>IF($A887="","",IFERROR(VLOOKUP($A887,物料档案!$A$4:$P$1203,3,0),""))</f>
        <v/>
      </c>
      <c r="C887" s="24">
        <f>IF($A887="","",IFERROR(VLOOKUP($A887,物料档案!$A$4:$P$1203,4,0),""))</f>
        <v/>
      </c>
      <c r="D887" s="24">
        <f>IF($A887="","",IFERROR(VLOOKUP($A887,物料档案!$A$4:$P$1203,5,0),""))</f>
        <v/>
      </c>
      <c r="E887" s="24">
        <f>IF($A887="","",IFERROR(VLOOKUP($A887,物料档案!$A$4:$P$1203,2,0),""))</f>
        <v/>
      </c>
      <c r="F887" s="24">
        <f>IF($A887="","",IFERROR(VLOOKUP($A887,物料档案!$A$4:$P$1203,6,0),""))</f>
        <v/>
      </c>
      <c r="G887" s="23" t="n"/>
      <c r="H887" s="32" t="n"/>
      <c r="I887" s="27">
        <f>IF($A887="","",SUMIFS(入库单!$K$4:$K$2503,入库单!$G$4:$G$2503,$A887,入库单!$X$4:$X$2503,"采购入库",入库单!$Z$4:$Z$2503,"正常",入库单!$C$4:$C$2503,"&gt;="&amp;账期起,入库单!$C$4:$C$2503,"&lt;="&amp;账期止))</f>
        <v/>
      </c>
      <c r="J887" s="26">
        <f>IF($A887="","",SUMIFS(入库单!$V$4:$V$2503,入库单!$G$4:$G$2503,$A887,入库单!$X$4:$X$2503,"采购入库",入库单!$Z$4:$Z$2503,"正常",入库单!$C$4:$C$2503,"&gt;="&amp;账期起,入库单!$C$4:$C$2503,"&lt;="&amp;账期止))</f>
        <v/>
      </c>
      <c r="K887" s="26">
        <f>IF($A887="","",IFERROR(ROUND((N($H887)+N($J887))/(N($G887)+N($I887)),2),0))</f>
        <v/>
      </c>
      <c r="L887" s="27">
        <f>IF($A887="","",SUMIFS(入库单!$K$4:$K$2503,入库单!$G$4:$G$2503,$A887,入库单!$X$4:$X$2503,"盘盈",入库单!$Z$4:$Z$2503,"正常",入库单!$C$4:$C$2503,"&gt;="&amp;账期起,入库单!$C$4:$C$2503,"&lt;="&amp;账期止))</f>
        <v/>
      </c>
      <c r="M887" s="26">
        <f>IF($A887="","",ROUND($L887*$K887,0))</f>
        <v/>
      </c>
      <c r="N887" s="27">
        <f>IF($A887="","",SUMIFS(入库单!$K$4:$K$2503,入库单!$G$4:$G$2503,$A887,入库单!$X$4:$X$2503,"矿区退库",入库单!$Z$4:$Z$2503,"正常",入库单!$C$4:$C$2503,"&gt;="&amp;账期起,入库单!$C$4:$C$2503,"&lt;="&amp;账期止))</f>
        <v/>
      </c>
      <c r="O887" s="26">
        <f>IF($A887="","",ROUND($N887*$K887,0))</f>
        <v/>
      </c>
      <c r="P887" s="27">
        <f>IF($A887="","",SUMIFS(出库单!$J$4:$J$4003,出库单!$D$4:$D$4003,$A887,出库单!$K$4:$K$4003,"自用消耗",出库单!$U$4:$U$4003,"正常",出库单!$C$4:$C$4003,"&gt;="&amp;账期起,出库单!$C$4:$C$4003,"&lt;="&amp;账期止))</f>
        <v/>
      </c>
      <c r="Q887" s="26">
        <f>IF($A887="","",ROUND(SUMIFS(出库单!$S$4:$S$4003,出库单!$D$4:$D$4003,$A887,出库单!$K$4:$K$4003,"自用消耗",出库单!$U$4:$U$4003,"正常",出库单!$C$4:$C$4003,"&gt;="&amp;账期起,出库单!$C$4:$C$4003,"&lt;="&amp;账期止),0))</f>
        <v/>
      </c>
      <c r="R887" s="27">
        <f>IF($A887="","",SUMIFS(出库单!$J$4:$J$4003,出库单!$D$4:$D$4003,$A887,出库单!$K$4:$K$4003,"对外销售",出库单!$U$4:$U$4003,"正常",出库单!$C$4:$C$4003,"&gt;="&amp;账期起,出库单!$C$4:$C$4003,"&lt;="&amp;账期止))</f>
        <v/>
      </c>
      <c r="S887" s="26">
        <f>IF($A887="","",ROUND(SUMIFS(出库单!$S$4:$S$4003,出库单!$D$4:$D$4003,$A887,出库单!$K$4:$K$4003,"对外销售",出库单!$U$4:$U$4003,"正常",出库单!$C$4:$C$4003,"&gt;="&amp;账期起,出库单!$C$4:$C$4003,"&lt;="&amp;账期止),0))</f>
        <v/>
      </c>
      <c r="T887" s="27">
        <f>IF($A887="","",SUMIFS(出库单!$J$4:$J$4003,出库单!$D$4:$D$4003,$A887,出库单!$K$4:$K$4003,"盘亏",出库单!$U$4:$U$4003,"正常",出库单!$C$4:$C$4003,"&gt;="&amp;账期起,出库单!$C$4:$C$4003,"&lt;="&amp;账期止))</f>
        <v/>
      </c>
      <c r="U887" s="26">
        <f>IF($A887="","",ROUND(SUMIFS(出库单!$S$4:$S$4003,出库单!$D$4:$D$4003,$A887,出库单!$K$4:$K$4003,"盘亏",出库单!$U$4:$U$4003,"正常",出库单!$C$4:$C$4003,"&gt;="&amp;账期起,出库单!$C$4:$C$4003,"&lt;="&amp;账期止),0))</f>
        <v/>
      </c>
      <c r="V887" s="27">
        <f>IF($A887="","",SUMIFS(出库单!$J$4:$J$4003,出库单!$D$4:$D$4003,$A887,出库单!$K$4:$K$4003,"退货给供应商",出库单!$U$4:$U$4003,"正常",出库单!$C$4:$C$4003,"&gt;="&amp;账期起,出库单!$C$4:$C$4003,"&lt;="&amp;账期止))</f>
        <v/>
      </c>
      <c r="W887" s="26">
        <f>IF($A887="","",ROUND(SUMIFS(出库单!$S$4:$S$4003,出库单!$D$4:$D$4003,$A887,出库单!$K$4:$K$4003,"退货给供应商",出库单!$U$4:$U$4003,"正常",出库单!$C$4:$C$4003,"&gt;="&amp;账期起,出库单!$C$4:$C$4003,"&lt;="&amp;账期止),0))</f>
        <v/>
      </c>
      <c r="X887" s="27">
        <f>IF($A887="","",ROUND(N($G887)+$I887+$L887+$N887-$P887-$R887-$T887-$V887,3))</f>
        <v/>
      </c>
      <c r="Y887" s="26">
        <f>IF($A887="","",ROUND(N($H887)+$J887+$M887+$O887-$Q887-$S887-$U887-$W887,0))</f>
        <v/>
      </c>
      <c r="Z887" s="24">
        <f>IF($A887="","",IF(COUNTIFS(入库单!$G$4:$G$2503,$A887,入库单!$Y$4:$Y$2503,"待补价")+COUNTIFS(入库单!$G$4:$G$2503,$A887,入库单!$Y$4:$Y$2503,"暂估")&gt;0,"不可信","可信"))</f>
        <v/>
      </c>
      <c r="AA887" s="24">
        <f>IF($A887="","",IF($X887&lt;-0.001,"※账面负库存，查一下是不是漏记入库",IF(AND(ROUND($X887,3)=0,ABS($Y887)&gt;1),"※数量已经是 0，金额还挂着 "&amp;TEXT($Y887,"#,##0")&amp;" 先令",IF(AND($X887&gt;0,$Y887&lt;=0,$K887=0),"※有数量没金额（这个物料一直没填过进价）",IF($Z887="不可信","△成本含待补价/暂估，毛利仅供参考","")))))</f>
        <v/>
      </c>
    </row>
    <row r="888">
      <c r="A888" s="24">
        <f>IF(物料档案!$A887="","",物料档案!$A887)</f>
        <v/>
      </c>
      <c r="B888" s="24">
        <f>IF($A888="","",IFERROR(VLOOKUP($A888,物料档案!$A$4:$P$1203,3,0),""))</f>
        <v/>
      </c>
      <c r="C888" s="24">
        <f>IF($A888="","",IFERROR(VLOOKUP($A888,物料档案!$A$4:$P$1203,4,0),""))</f>
        <v/>
      </c>
      <c r="D888" s="24">
        <f>IF($A888="","",IFERROR(VLOOKUP($A888,物料档案!$A$4:$P$1203,5,0),""))</f>
        <v/>
      </c>
      <c r="E888" s="24">
        <f>IF($A888="","",IFERROR(VLOOKUP($A888,物料档案!$A$4:$P$1203,2,0),""))</f>
        <v/>
      </c>
      <c r="F888" s="24">
        <f>IF($A888="","",IFERROR(VLOOKUP($A888,物料档案!$A$4:$P$1203,6,0),""))</f>
        <v/>
      </c>
      <c r="G888" s="23" t="n"/>
      <c r="H888" s="32" t="n"/>
      <c r="I888" s="27">
        <f>IF($A888="","",SUMIFS(入库单!$K$4:$K$2503,入库单!$G$4:$G$2503,$A888,入库单!$X$4:$X$2503,"采购入库",入库单!$Z$4:$Z$2503,"正常",入库单!$C$4:$C$2503,"&gt;="&amp;账期起,入库单!$C$4:$C$2503,"&lt;="&amp;账期止))</f>
        <v/>
      </c>
      <c r="J888" s="26">
        <f>IF($A888="","",SUMIFS(入库单!$V$4:$V$2503,入库单!$G$4:$G$2503,$A888,入库单!$X$4:$X$2503,"采购入库",入库单!$Z$4:$Z$2503,"正常",入库单!$C$4:$C$2503,"&gt;="&amp;账期起,入库单!$C$4:$C$2503,"&lt;="&amp;账期止))</f>
        <v/>
      </c>
      <c r="K888" s="26">
        <f>IF($A888="","",IFERROR(ROUND((N($H888)+N($J888))/(N($G888)+N($I888)),2),0))</f>
        <v/>
      </c>
      <c r="L888" s="27">
        <f>IF($A888="","",SUMIFS(入库单!$K$4:$K$2503,入库单!$G$4:$G$2503,$A888,入库单!$X$4:$X$2503,"盘盈",入库单!$Z$4:$Z$2503,"正常",入库单!$C$4:$C$2503,"&gt;="&amp;账期起,入库单!$C$4:$C$2503,"&lt;="&amp;账期止))</f>
        <v/>
      </c>
      <c r="M888" s="26">
        <f>IF($A888="","",ROUND($L888*$K888,0))</f>
        <v/>
      </c>
      <c r="N888" s="27">
        <f>IF($A888="","",SUMIFS(入库单!$K$4:$K$2503,入库单!$G$4:$G$2503,$A888,入库单!$X$4:$X$2503,"矿区退库",入库单!$Z$4:$Z$2503,"正常",入库单!$C$4:$C$2503,"&gt;="&amp;账期起,入库单!$C$4:$C$2503,"&lt;="&amp;账期止))</f>
        <v/>
      </c>
      <c r="O888" s="26">
        <f>IF($A888="","",ROUND($N888*$K888,0))</f>
        <v/>
      </c>
      <c r="P888" s="27">
        <f>IF($A888="","",SUMIFS(出库单!$J$4:$J$4003,出库单!$D$4:$D$4003,$A888,出库单!$K$4:$K$4003,"自用消耗",出库单!$U$4:$U$4003,"正常",出库单!$C$4:$C$4003,"&gt;="&amp;账期起,出库单!$C$4:$C$4003,"&lt;="&amp;账期止))</f>
        <v/>
      </c>
      <c r="Q888" s="26">
        <f>IF($A888="","",ROUND(SUMIFS(出库单!$S$4:$S$4003,出库单!$D$4:$D$4003,$A888,出库单!$K$4:$K$4003,"自用消耗",出库单!$U$4:$U$4003,"正常",出库单!$C$4:$C$4003,"&gt;="&amp;账期起,出库单!$C$4:$C$4003,"&lt;="&amp;账期止),0))</f>
        <v/>
      </c>
      <c r="R888" s="27">
        <f>IF($A888="","",SUMIFS(出库单!$J$4:$J$4003,出库单!$D$4:$D$4003,$A888,出库单!$K$4:$K$4003,"对外销售",出库单!$U$4:$U$4003,"正常",出库单!$C$4:$C$4003,"&gt;="&amp;账期起,出库单!$C$4:$C$4003,"&lt;="&amp;账期止))</f>
        <v/>
      </c>
      <c r="S888" s="26">
        <f>IF($A888="","",ROUND(SUMIFS(出库单!$S$4:$S$4003,出库单!$D$4:$D$4003,$A888,出库单!$K$4:$K$4003,"对外销售",出库单!$U$4:$U$4003,"正常",出库单!$C$4:$C$4003,"&gt;="&amp;账期起,出库单!$C$4:$C$4003,"&lt;="&amp;账期止),0))</f>
        <v/>
      </c>
      <c r="T888" s="27">
        <f>IF($A888="","",SUMIFS(出库单!$J$4:$J$4003,出库单!$D$4:$D$4003,$A888,出库单!$K$4:$K$4003,"盘亏",出库单!$U$4:$U$4003,"正常",出库单!$C$4:$C$4003,"&gt;="&amp;账期起,出库单!$C$4:$C$4003,"&lt;="&amp;账期止))</f>
        <v/>
      </c>
      <c r="U888" s="26">
        <f>IF($A888="","",ROUND(SUMIFS(出库单!$S$4:$S$4003,出库单!$D$4:$D$4003,$A888,出库单!$K$4:$K$4003,"盘亏",出库单!$U$4:$U$4003,"正常",出库单!$C$4:$C$4003,"&gt;="&amp;账期起,出库单!$C$4:$C$4003,"&lt;="&amp;账期止),0))</f>
        <v/>
      </c>
      <c r="V888" s="27">
        <f>IF($A888="","",SUMIFS(出库单!$J$4:$J$4003,出库单!$D$4:$D$4003,$A888,出库单!$K$4:$K$4003,"退货给供应商",出库单!$U$4:$U$4003,"正常",出库单!$C$4:$C$4003,"&gt;="&amp;账期起,出库单!$C$4:$C$4003,"&lt;="&amp;账期止))</f>
        <v/>
      </c>
      <c r="W888" s="26">
        <f>IF($A888="","",ROUND(SUMIFS(出库单!$S$4:$S$4003,出库单!$D$4:$D$4003,$A888,出库单!$K$4:$K$4003,"退货给供应商",出库单!$U$4:$U$4003,"正常",出库单!$C$4:$C$4003,"&gt;="&amp;账期起,出库单!$C$4:$C$4003,"&lt;="&amp;账期止),0))</f>
        <v/>
      </c>
      <c r="X888" s="27">
        <f>IF($A888="","",ROUND(N($G888)+$I888+$L888+$N888-$P888-$R888-$T888-$V888,3))</f>
        <v/>
      </c>
      <c r="Y888" s="26">
        <f>IF($A888="","",ROUND(N($H888)+$J888+$M888+$O888-$Q888-$S888-$U888-$W888,0))</f>
        <v/>
      </c>
      <c r="Z888" s="24">
        <f>IF($A888="","",IF(COUNTIFS(入库单!$G$4:$G$2503,$A888,入库单!$Y$4:$Y$2503,"待补价")+COUNTIFS(入库单!$G$4:$G$2503,$A888,入库单!$Y$4:$Y$2503,"暂估")&gt;0,"不可信","可信"))</f>
        <v/>
      </c>
      <c r="AA888" s="24">
        <f>IF($A888="","",IF($X888&lt;-0.001,"※账面负库存，查一下是不是漏记入库",IF(AND(ROUND($X888,3)=0,ABS($Y888)&gt;1),"※数量已经是 0，金额还挂着 "&amp;TEXT($Y888,"#,##0")&amp;" 先令",IF(AND($X888&gt;0,$Y888&lt;=0,$K888=0),"※有数量没金额（这个物料一直没填过进价）",IF($Z888="不可信","△成本含待补价/暂估，毛利仅供参考","")))))</f>
        <v/>
      </c>
    </row>
    <row r="889">
      <c r="A889" s="24">
        <f>IF(物料档案!$A888="","",物料档案!$A888)</f>
        <v/>
      </c>
      <c r="B889" s="24">
        <f>IF($A889="","",IFERROR(VLOOKUP($A889,物料档案!$A$4:$P$1203,3,0),""))</f>
        <v/>
      </c>
      <c r="C889" s="24">
        <f>IF($A889="","",IFERROR(VLOOKUP($A889,物料档案!$A$4:$P$1203,4,0),""))</f>
        <v/>
      </c>
      <c r="D889" s="24">
        <f>IF($A889="","",IFERROR(VLOOKUP($A889,物料档案!$A$4:$P$1203,5,0),""))</f>
        <v/>
      </c>
      <c r="E889" s="24">
        <f>IF($A889="","",IFERROR(VLOOKUP($A889,物料档案!$A$4:$P$1203,2,0),""))</f>
        <v/>
      </c>
      <c r="F889" s="24">
        <f>IF($A889="","",IFERROR(VLOOKUP($A889,物料档案!$A$4:$P$1203,6,0),""))</f>
        <v/>
      </c>
      <c r="G889" s="23" t="n"/>
      <c r="H889" s="32" t="n"/>
      <c r="I889" s="27">
        <f>IF($A889="","",SUMIFS(入库单!$K$4:$K$2503,入库单!$G$4:$G$2503,$A889,入库单!$X$4:$X$2503,"采购入库",入库单!$Z$4:$Z$2503,"正常",入库单!$C$4:$C$2503,"&gt;="&amp;账期起,入库单!$C$4:$C$2503,"&lt;="&amp;账期止))</f>
        <v/>
      </c>
      <c r="J889" s="26">
        <f>IF($A889="","",SUMIFS(入库单!$V$4:$V$2503,入库单!$G$4:$G$2503,$A889,入库单!$X$4:$X$2503,"采购入库",入库单!$Z$4:$Z$2503,"正常",入库单!$C$4:$C$2503,"&gt;="&amp;账期起,入库单!$C$4:$C$2503,"&lt;="&amp;账期止))</f>
        <v/>
      </c>
      <c r="K889" s="26">
        <f>IF($A889="","",IFERROR(ROUND((N($H889)+N($J889))/(N($G889)+N($I889)),2),0))</f>
        <v/>
      </c>
      <c r="L889" s="27">
        <f>IF($A889="","",SUMIFS(入库单!$K$4:$K$2503,入库单!$G$4:$G$2503,$A889,入库单!$X$4:$X$2503,"盘盈",入库单!$Z$4:$Z$2503,"正常",入库单!$C$4:$C$2503,"&gt;="&amp;账期起,入库单!$C$4:$C$2503,"&lt;="&amp;账期止))</f>
        <v/>
      </c>
      <c r="M889" s="26">
        <f>IF($A889="","",ROUND($L889*$K889,0))</f>
        <v/>
      </c>
      <c r="N889" s="27">
        <f>IF($A889="","",SUMIFS(入库单!$K$4:$K$2503,入库单!$G$4:$G$2503,$A889,入库单!$X$4:$X$2503,"矿区退库",入库单!$Z$4:$Z$2503,"正常",入库单!$C$4:$C$2503,"&gt;="&amp;账期起,入库单!$C$4:$C$2503,"&lt;="&amp;账期止))</f>
        <v/>
      </c>
      <c r="O889" s="26">
        <f>IF($A889="","",ROUND($N889*$K889,0))</f>
        <v/>
      </c>
      <c r="P889" s="27">
        <f>IF($A889="","",SUMIFS(出库单!$J$4:$J$4003,出库单!$D$4:$D$4003,$A889,出库单!$K$4:$K$4003,"自用消耗",出库单!$U$4:$U$4003,"正常",出库单!$C$4:$C$4003,"&gt;="&amp;账期起,出库单!$C$4:$C$4003,"&lt;="&amp;账期止))</f>
        <v/>
      </c>
      <c r="Q889" s="26">
        <f>IF($A889="","",ROUND(SUMIFS(出库单!$S$4:$S$4003,出库单!$D$4:$D$4003,$A889,出库单!$K$4:$K$4003,"自用消耗",出库单!$U$4:$U$4003,"正常",出库单!$C$4:$C$4003,"&gt;="&amp;账期起,出库单!$C$4:$C$4003,"&lt;="&amp;账期止),0))</f>
        <v/>
      </c>
      <c r="R889" s="27">
        <f>IF($A889="","",SUMIFS(出库单!$J$4:$J$4003,出库单!$D$4:$D$4003,$A889,出库单!$K$4:$K$4003,"对外销售",出库单!$U$4:$U$4003,"正常",出库单!$C$4:$C$4003,"&gt;="&amp;账期起,出库单!$C$4:$C$4003,"&lt;="&amp;账期止))</f>
        <v/>
      </c>
      <c r="S889" s="26">
        <f>IF($A889="","",ROUND(SUMIFS(出库单!$S$4:$S$4003,出库单!$D$4:$D$4003,$A889,出库单!$K$4:$K$4003,"对外销售",出库单!$U$4:$U$4003,"正常",出库单!$C$4:$C$4003,"&gt;="&amp;账期起,出库单!$C$4:$C$4003,"&lt;="&amp;账期止),0))</f>
        <v/>
      </c>
      <c r="T889" s="27">
        <f>IF($A889="","",SUMIFS(出库单!$J$4:$J$4003,出库单!$D$4:$D$4003,$A889,出库单!$K$4:$K$4003,"盘亏",出库单!$U$4:$U$4003,"正常",出库单!$C$4:$C$4003,"&gt;="&amp;账期起,出库单!$C$4:$C$4003,"&lt;="&amp;账期止))</f>
        <v/>
      </c>
      <c r="U889" s="26">
        <f>IF($A889="","",ROUND(SUMIFS(出库单!$S$4:$S$4003,出库单!$D$4:$D$4003,$A889,出库单!$K$4:$K$4003,"盘亏",出库单!$U$4:$U$4003,"正常",出库单!$C$4:$C$4003,"&gt;="&amp;账期起,出库单!$C$4:$C$4003,"&lt;="&amp;账期止),0))</f>
        <v/>
      </c>
      <c r="V889" s="27">
        <f>IF($A889="","",SUMIFS(出库单!$J$4:$J$4003,出库单!$D$4:$D$4003,$A889,出库单!$K$4:$K$4003,"退货给供应商",出库单!$U$4:$U$4003,"正常",出库单!$C$4:$C$4003,"&gt;="&amp;账期起,出库单!$C$4:$C$4003,"&lt;="&amp;账期止))</f>
        <v/>
      </c>
      <c r="W889" s="26">
        <f>IF($A889="","",ROUND(SUMIFS(出库单!$S$4:$S$4003,出库单!$D$4:$D$4003,$A889,出库单!$K$4:$K$4003,"退货给供应商",出库单!$U$4:$U$4003,"正常",出库单!$C$4:$C$4003,"&gt;="&amp;账期起,出库单!$C$4:$C$4003,"&lt;="&amp;账期止),0))</f>
        <v/>
      </c>
      <c r="X889" s="27">
        <f>IF($A889="","",ROUND(N($G889)+$I889+$L889+$N889-$P889-$R889-$T889-$V889,3))</f>
        <v/>
      </c>
      <c r="Y889" s="26">
        <f>IF($A889="","",ROUND(N($H889)+$J889+$M889+$O889-$Q889-$S889-$U889-$W889,0))</f>
        <v/>
      </c>
      <c r="Z889" s="24">
        <f>IF($A889="","",IF(COUNTIFS(入库单!$G$4:$G$2503,$A889,入库单!$Y$4:$Y$2503,"待补价")+COUNTIFS(入库单!$G$4:$G$2503,$A889,入库单!$Y$4:$Y$2503,"暂估")&gt;0,"不可信","可信"))</f>
        <v/>
      </c>
      <c r="AA889" s="24">
        <f>IF($A889="","",IF($X889&lt;-0.001,"※账面负库存，查一下是不是漏记入库",IF(AND(ROUND($X889,3)=0,ABS($Y889)&gt;1),"※数量已经是 0，金额还挂着 "&amp;TEXT($Y889,"#,##0")&amp;" 先令",IF(AND($X889&gt;0,$Y889&lt;=0,$K889=0),"※有数量没金额（这个物料一直没填过进价）",IF($Z889="不可信","△成本含待补价/暂估，毛利仅供参考","")))))</f>
        <v/>
      </c>
    </row>
    <row r="890">
      <c r="A890" s="24">
        <f>IF(物料档案!$A889="","",物料档案!$A889)</f>
        <v/>
      </c>
      <c r="B890" s="24">
        <f>IF($A890="","",IFERROR(VLOOKUP($A890,物料档案!$A$4:$P$1203,3,0),""))</f>
        <v/>
      </c>
      <c r="C890" s="24">
        <f>IF($A890="","",IFERROR(VLOOKUP($A890,物料档案!$A$4:$P$1203,4,0),""))</f>
        <v/>
      </c>
      <c r="D890" s="24">
        <f>IF($A890="","",IFERROR(VLOOKUP($A890,物料档案!$A$4:$P$1203,5,0),""))</f>
        <v/>
      </c>
      <c r="E890" s="24">
        <f>IF($A890="","",IFERROR(VLOOKUP($A890,物料档案!$A$4:$P$1203,2,0),""))</f>
        <v/>
      </c>
      <c r="F890" s="24">
        <f>IF($A890="","",IFERROR(VLOOKUP($A890,物料档案!$A$4:$P$1203,6,0),""))</f>
        <v/>
      </c>
      <c r="G890" s="23" t="n"/>
      <c r="H890" s="32" t="n"/>
      <c r="I890" s="27">
        <f>IF($A890="","",SUMIFS(入库单!$K$4:$K$2503,入库单!$G$4:$G$2503,$A890,入库单!$X$4:$X$2503,"采购入库",入库单!$Z$4:$Z$2503,"正常",入库单!$C$4:$C$2503,"&gt;="&amp;账期起,入库单!$C$4:$C$2503,"&lt;="&amp;账期止))</f>
        <v/>
      </c>
      <c r="J890" s="26">
        <f>IF($A890="","",SUMIFS(入库单!$V$4:$V$2503,入库单!$G$4:$G$2503,$A890,入库单!$X$4:$X$2503,"采购入库",入库单!$Z$4:$Z$2503,"正常",入库单!$C$4:$C$2503,"&gt;="&amp;账期起,入库单!$C$4:$C$2503,"&lt;="&amp;账期止))</f>
        <v/>
      </c>
      <c r="K890" s="26">
        <f>IF($A890="","",IFERROR(ROUND((N($H890)+N($J890))/(N($G890)+N($I890)),2),0))</f>
        <v/>
      </c>
      <c r="L890" s="27">
        <f>IF($A890="","",SUMIFS(入库单!$K$4:$K$2503,入库单!$G$4:$G$2503,$A890,入库单!$X$4:$X$2503,"盘盈",入库单!$Z$4:$Z$2503,"正常",入库单!$C$4:$C$2503,"&gt;="&amp;账期起,入库单!$C$4:$C$2503,"&lt;="&amp;账期止))</f>
        <v/>
      </c>
      <c r="M890" s="26">
        <f>IF($A890="","",ROUND($L890*$K890,0))</f>
        <v/>
      </c>
      <c r="N890" s="27">
        <f>IF($A890="","",SUMIFS(入库单!$K$4:$K$2503,入库单!$G$4:$G$2503,$A890,入库单!$X$4:$X$2503,"矿区退库",入库单!$Z$4:$Z$2503,"正常",入库单!$C$4:$C$2503,"&gt;="&amp;账期起,入库单!$C$4:$C$2503,"&lt;="&amp;账期止))</f>
        <v/>
      </c>
      <c r="O890" s="26">
        <f>IF($A890="","",ROUND($N890*$K890,0))</f>
        <v/>
      </c>
      <c r="P890" s="27">
        <f>IF($A890="","",SUMIFS(出库单!$J$4:$J$4003,出库单!$D$4:$D$4003,$A890,出库单!$K$4:$K$4003,"自用消耗",出库单!$U$4:$U$4003,"正常",出库单!$C$4:$C$4003,"&gt;="&amp;账期起,出库单!$C$4:$C$4003,"&lt;="&amp;账期止))</f>
        <v/>
      </c>
      <c r="Q890" s="26">
        <f>IF($A890="","",ROUND(SUMIFS(出库单!$S$4:$S$4003,出库单!$D$4:$D$4003,$A890,出库单!$K$4:$K$4003,"自用消耗",出库单!$U$4:$U$4003,"正常",出库单!$C$4:$C$4003,"&gt;="&amp;账期起,出库单!$C$4:$C$4003,"&lt;="&amp;账期止),0))</f>
        <v/>
      </c>
      <c r="R890" s="27">
        <f>IF($A890="","",SUMIFS(出库单!$J$4:$J$4003,出库单!$D$4:$D$4003,$A890,出库单!$K$4:$K$4003,"对外销售",出库单!$U$4:$U$4003,"正常",出库单!$C$4:$C$4003,"&gt;="&amp;账期起,出库单!$C$4:$C$4003,"&lt;="&amp;账期止))</f>
        <v/>
      </c>
      <c r="S890" s="26">
        <f>IF($A890="","",ROUND(SUMIFS(出库单!$S$4:$S$4003,出库单!$D$4:$D$4003,$A890,出库单!$K$4:$K$4003,"对外销售",出库单!$U$4:$U$4003,"正常",出库单!$C$4:$C$4003,"&gt;="&amp;账期起,出库单!$C$4:$C$4003,"&lt;="&amp;账期止),0))</f>
        <v/>
      </c>
      <c r="T890" s="27">
        <f>IF($A890="","",SUMIFS(出库单!$J$4:$J$4003,出库单!$D$4:$D$4003,$A890,出库单!$K$4:$K$4003,"盘亏",出库单!$U$4:$U$4003,"正常",出库单!$C$4:$C$4003,"&gt;="&amp;账期起,出库单!$C$4:$C$4003,"&lt;="&amp;账期止))</f>
        <v/>
      </c>
      <c r="U890" s="26">
        <f>IF($A890="","",ROUND(SUMIFS(出库单!$S$4:$S$4003,出库单!$D$4:$D$4003,$A890,出库单!$K$4:$K$4003,"盘亏",出库单!$U$4:$U$4003,"正常",出库单!$C$4:$C$4003,"&gt;="&amp;账期起,出库单!$C$4:$C$4003,"&lt;="&amp;账期止),0))</f>
        <v/>
      </c>
      <c r="V890" s="27">
        <f>IF($A890="","",SUMIFS(出库单!$J$4:$J$4003,出库单!$D$4:$D$4003,$A890,出库单!$K$4:$K$4003,"退货给供应商",出库单!$U$4:$U$4003,"正常",出库单!$C$4:$C$4003,"&gt;="&amp;账期起,出库单!$C$4:$C$4003,"&lt;="&amp;账期止))</f>
        <v/>
      </c>
      <c r="W890" s="26">
        <f>IF($A890="","",ROUND(SUMIFS(出库单!$S$4:$S$4003,出库单!$D$4:$D$4003,$A890,出库单!$K$4:$K$4003,"退货给供应商",出库单!$U$4:$U$4003,"正常",出库单!$C$4:$C$4003,"&gt;="&amp;账期起,出库单!$C$4:$C$4003,"&lt;="&amp;账期止),0))</f>
        <v/>
      </c>
      <c r="X890" s="27">
        <f>IF($A890="","",ROUND(N($G890)+$I890+$L890+$N890-$P890-$R890-$T890-$V890,3))</f>
        <v/>
      </c>
      <c r="Y890" s="26">
        <f>IF($A890="","",ROUND(N($H890)+$J890+$M890+$O890-$Q890-$S890-$U890-$W890,0))</f>
        <v/>
      </c>
      <c r="Z890" s="24">
        <f>IF($A890="","",IF(COUNTIFS(入库单!$G$4:$G$2503,$A890,入库单!$Y$4:$Y$2503,"待补价")+COUNTIFS(入库单!$G$4:$G$2503,$A890,入库单!$Y$4:$Y$2503,"暂估")&gt;0,"不可信","可信"))</f>
        <v/>
      </c>
      <c r="AA890" s="24">
        <f>IF($A890="","",IF($X890&lt;-0.001,"※账面负库存，查一下是不是漏记入库",IF(AND(ROUND($X890,3)=0,ABS($Y890)&gt;1),"※数量已经是 0，金额还挂着 "&amp;TEXT($Y890,"#,##0")&amp;" 先令",IF(AND($X890&gt;0,$Y890&lt;=0,$K890=0),"※有数量没金额（这个物料一直没填过进价）",IF($Z890="不可信","△成本含待补价/暂估，毛利仅供参考","")))))</f>
        <v/>
      </c>
    </row>
    <row r="891">
      <c r="A891" s="24">
        <f>IF(物料档案!$A890="","",物料档案!$A890)</f>
        <v/>
      </c>
      <c r="B891" s="24">
        <f>IF($A891="","",IFERROR(VLOOKUP($A891,物料档案!$A$4:$P$1203,3,0),""))</f>
        <v/>
      </c>
      <c r="C891" s="24">
        <f>IF($A891="","",IFERROR(VLOOKUP($A891,物料档案!$A$4:$P$1203,4,0),""))</f>
        <v/>
      </c>
      <c r="D891" s="24">
        <f>IF($A891="","",IFERROR(VLOOKUP($A891,物料档案!$A$4:$P$1203,5,0),""))</f>
        <v/>
      </c>
      <c r="E891" s="24">
        <f>IF($A891="","",IFERROR(VLOOKUP($A891,物料档案!$A$4:$P$1203,2,0),""))</f>
        <v/>
      </c>
      <c r="F891" s="24">
        <f>IF($A891="","",IFERROR(VLOOKUP($A891,物料档案!$A$4:$P$1203,6,0),""))</f>
        <v/>
      </c>
      <c r="G891" s="23" t="n"/>
      <c r="H891" s="32" t="n"/>
      <c r="I891" s="27">
        <f>IF($A891="","",SUMIFS(入库单!$K$4:$K$2503,入库单!$G$4:$G$2503,$A891,入库单!$X$4:$X$2503,"采购入库",入库单!$Z$4:$Z$2503,"正常",入库单!$C$4:$C$2503,"&gt;="&amp;账期起,入库单!$C$4:$C$2503,"&lt;="&amp;账期止))</f>
        <v/>
      </c>
      <c r="J891" s="26">
        <f>IF($A891="","",SUMIFS(入库单!$V$4:$V$2503,入库单!$G$4:$G$2503,$A891,入库单!$X$4:$X$2503,"采购入库",入库单!$Z$4:$Z$2503,"正常",入库单!$C$4:$C$2503,"&gt;="&amp;账期起,入库单!$C$4:$C$2503,"&lt;="&amp;账期止))</f>
        <v/>
      </c>
      <c r="K891" s="26">
        <f>IF($A891="","",IFERROR(ROUND((N($H891)+N($J891))/(N($G891)+N($I891)),2),0))</f>
        <v/>
      </c>
      <c r="L891" s="27">
        <f>IF($A891="","",SUMIFS(入库单!$K$4:$K$2503,入库单!$G$4:$G$2503,$A891,入库单!$X$4:$X$2503,"盘盈",入库单!$Z$4:$Z$2503,"正常",入库单!$C$4:$C$2503,"&gt;="&amp;账期起,入库单!$C$4:$C$2503,"&lt;="&amp;账期止))</f>
        <v/>
      </c>
      <c r="M891" s="26">
        <f>IF($A891="","",ROUND($L891*$K891,0))</f>
        <v/>
      </c>
      <c r="N891" s="27">
        <f>IF($A891="","",SUMIFS(入库单!$K$4:$K$2503,入库单!$G$4:$G$2503,$A891,入库单!$X$4:$X$2503,"矿区退库",入库单!$Z$4:$Z$2503,"正常",入库单!$C$4:$C$2503,"&gt;="&amp;账期起,入库单!$C$4:$C$2503,"&lt;="&amp;账期止))</f>
        <v/>
      </c>
      <c r="O891" s="26">
        <f>IF($A891="","",ROUND($N891*$K891,0))</f>
        <v/>
      </c>
      <c r="P891" s="27">
        <f>IF($A891="","",SUMIFS(出库单!$J$4:$J$4003,出库单!$D$4:$D$4003,$A891,出库单!$K$4:$K$4003,"自用消耗",出库单!$U$4:$U$4003,"正常",出库单!$C$4:$C$4003,"&gt;="&amp;账期起,出库单!$C$4:$C$4003,"&lt;="&amp;账期止))</f>
        <v/>
      </c>
      <c r="Q891" s="26">
        <f>IF($A891="","",ROUND(SUMIFS(出库单!$S$4:$S$4003,出库单!$D$4:$D$4003,$A891,出库单!$K$4:$K$4003,"自用消耗",出库单!$U$4:$U$4003,"正常",出库单!$C$4:$C$4003,"&gt;="&amp;账期起,出库单!$C$4:$C$4003,"&lt;="&amp;账期止),0))</f>
        <v/>
      </c>
      <c r="R891" s="27">
        <f>IF($A891="","",SUMIFS(出库单!$J$4:$J$4003,出库单!$D$4:$D$4003,$A891,出库单!$K$4:$K$4003,"对外销售",出库单!$U$4:$U$4003,"正常",出库单!$C$4:$C$4003,"&gt;="&amp;账期起,出库单!$C$4:$C$4003,"&lt;="&amp;账期止))</f>
        <v/>
      </c>
      <c r="S891" s="26">
        <f>IF($A891="","",ROUND(SUMIFS(出库单!$S$4:$S$4003,出库单!$D$4:$D$4003,$A891,出库单!$K$4:$K$4003,"对外销售",出库单!$U$4:$U$4003,"正常",出库单!$C$4:$C$4003,"&gt;="&amp;账期起,出库单!$C$4:$C$4003,"&lt;="&amp;账期止),0))</f>
        <v/>
      </c>
      <c r="T891" s="27">
        <f>IF($A891="","",SUMIFS(出库单!$J$4:$J$4003,出库单!$D$4:$D$4003,$A891,出库单!$K$4:$K$4003,"盘亏",出库单!$U$4:$U$4003,"正常",出库单!$C$4:$C$4003,"&gt;="&amp;账期起,出库单!$C$4:$C$4003,"&lt;="&amp;账期止))</f>
        <v/>
      </c>
      <c r="U891" s="26">
        <f>IF($A891="","",ROUND(SUMIFS(出库单!$S$4:$S$4003,出库单!$D$4:$D$4003,$A891,出库单!$K$4:$K$4003,"盘亏",出库单!$U$4:$U$4003,"正常",出库单!$C$4:$C$4003,"&gt;="&amp;账期起,出库单!$C$4:$C$4003,"&lt;="&amp;账期止),0))</f>
        <v/>
      </c>
      <c r="V891" s="27">
        <f>IF($A891="","",SUMIFS(出库单!$J$4:$J$4003,出库单!$D$4:$D$4003,$A891,出库单!$K$4:$K$4003,"退货给供应商",出库单!$U$4:$U$4003,"正常",出库单!$C$4:$C$4003,"&gt;="&amp;账期起,出库单!$C$4:$C$4003,"&lt;="&amp;账期止))</f>
        <v/>
      </c>
      <c r="W891" s="26">
        <f>IF($A891="","",ROUND(SUMIFS(出库单!$S$4:$S$4003,出库单!$D$4:$D$4003,$A891,出库单!$K$4:$K$4003,"退货给供应商",出库单!$U$4:$U$4003,"正常",出库单!$C$4:$C$4003,"&gt;="&amp;账期起,出库单!$C$4:$C$4003,"&lt;="&amp;账期止),0))</f>
        <v/>
      </c>
      <c r="X891" s="27">
        <f>IF($A891="","",ROUND(N($G891)+$I891+$L891+$N891-$P891-$R891-$T891-$V891,3))</f>
        <v/>
      </c>
      <c r="Y891" s="26">
        <f>IF($A891="","",ROUND(N($H891)+$J891+$M891+$O891-$Q891-$S891-$U891-$W891,0))</f>
        <v/>
      </c>
      <c r="Z891" s="24">
        <f>IF($A891="","",IF(COUNTIFS(入库单!$G$4:$G$2503,$A891,入库单!$Y$4:$Y$2503,"待补价")+COUNTIFS(入库单!$G$4:$G$2503,$A891,入库单!$Y$4:$Y$2503,"暂估")&gt;0,"不可信","可信"))</f>
        <v/>
      </c>
      <c r="AA891" s="24">
        <f>IF($A891="","",IF($X891&lt;-0.001,"※账面负库存，查一下是不是漏记入库",IF(AND(ROUND($X891,3)=0,ABS($Y891)&gt;1),"※数量已经是 0，金额还挂着 "&amp;TEXT($Y891,"#,##0")&amp;" 先令",IF(AND($X891&gt;0,$Y891&lt;=0,$K891=0),"※有数量没金额（这个物料一直没填过进价）",IF($Z891="不可信","△成本含待补价/暂估，毛利仅供参考","")))))</f>
        <v/>
      </c>
    </row>
    <row r="892">
      <c r="A892" s="24">
        <f>IF(物料档案!$A891="","",物料档案!$A891)</f>
        <v/>
      </c>
      <c r="B892" s="24">
        <f>IF($A892="","",IFERROR(VLOOKUP($A892,物料档案!$A$4:$P$1203,3,0),""))</f>
        <v/>
      </c>
      <c r="C892" s="24">
        <f>IF($A892="","",IFERROR(VLOOKUP($A892,物料档案!$A$4:$P$1203,4,0),""))</f>
        <v/>
      </c>
      <c r="D892" s="24">
        <f>IF($A892="","",IFERROR(VLOOKUP($A892,物料档案!$A$4:$P$1203,5,0),""))</f>
        <v/>
      </c>
      <c r="E892" s="24">
        <f>IF($A892="","",IFERROR(VLOOKUP($A892,物料档案!$A$4:$P$1203,2,0),""))</f>
        <v/>
      </c>
      <c r="F892" s="24">
        <f>IF($A892="","",IFERROR(VLOOKUP($A892,物料档案!$A$4:$P$1203,6,0),""))</f>
        <v/>
      </c>
      <c r="G892" s="23" t="n"/>
      <c r="H892" s="32" t="n"/>
      <c r="I892" s="27">
        <f>IF($A892="","",SUMIFS(入库单!$K$4:$K$2503,入库单!$G$4:$G$2503,$A892,入库单!$X$4:$X$2503,"采购入库",入库单!$Z$4:$Z$2503,"正常",入库单!$C$4:$C$2503,"&gt;="&amp;账期起,入库单!$C$4:$C$2503,"&lt;="&amp;账期止))</f>
        <v/>
      </c>
      <c r="J892" s="26">
        <f>IF($A892="","",SUMIFS(入库单!$V$4:$V$2503,入库单!$G$4:$G$2503,$A892,入库单!$X$4:$X$2503,"采购入库",入库单!$Z$4:$Z$2503,"正常",入库单!$C$4:$C$2503,"&gt;="&amp;账期起,入库单!$C$4:$C$2503,"&lt;="&amp;账期止))</f>
        <v/>
      </c>
      <c r="K892" s="26">
        <f>IF($A892="","",IFERROR(ROUND((N($H892)+N($J892))/(N($G892)+N($I892)),2),0))</f>
        <v/>
      </c>
      <c r="L892" s="27">
        <f>IF($A892="","",SUMIFS(入库单!$K$4:$K$2503,入库单!$G$4:$G$2503,$A892,入库单!$X$4:$X$2503,"盘盈",入库单!$Z$4:$Z$2503,"正常",入库单!$C$4:$C$2503,"&gt;="&amp;账期起,入库单!$C$4:$C$2503,"&lt;="&amp;账期止))</f>
        <v/>
      </c>
      <c r="M892" s="26">
        <f>IF($A892="","",ROUND($L892*$K892,0))</f>
        <v/>
      </c>
      <c r="N892" s="27">
        <f>IF($A892="","",SUMIFS(入库单!$K$4:$K$2503,入库单!$G$4:$G$2503,$A892,入库单!$X$4:$X$2503,"矿区退库",入库单!$Z$4:$Z$2503,"正常",入库单!$C$4:$C$2503,"&gt;="&amp;账期起,入库单!$C$4:$C$2503,"&lt;="&amp;账期止))</f>
        <v/>
      </c>
      <c r="O892" s="26">
        <f>IF($A892="","",ROUND($N892*$K892,0))</f>
        <v/>
      </c>
      <c r="P892" s="27">
        <f>IF($A892="","",SUMIFS(出库单!$J$4:$J$4003,出库单!$D$4:$D$4003,$A892,出库单!$K$4:$K$4003,"自用消耗",出库单!$U$4:$U$4003,"正常",出库单!$C$4:$C$4003,"&gt;="&amp;账期起,出库单!$C$4:$C$4003,"&lt;="&amp;账期止))</f>
        <v/>
      </c>
      <c r="Q892" s="26">
        <f>IF($A892="","",ROUND(SUMIFS(出库单!$S$4:$S$4003,出库单!$D$4:$D$4003,$A892,出库单!$K$4:$K$4003,"自用消耗",出库单!$U$4:$U$4003,"正常",出库单!$C$4:$C$4003,"&gt;="&amp;账期起,出库单!$C$4:$C$4003,"&lt;="&amp;账期止),0))</f>
        <v/>
      </c>
      <c r="R892" s="27">
        <f>IF($A892="","",SUMIFS(出库单!$J$4:$J$4003,出库单!$D$4:$D$4003,$A892,出库单!$K$4:$K$4003,"对外销售",出库单!$U$4:$U$4003,"正常",出库单!$C$4:$C$4003,"&gt;="&amp;账期起,出库单!$C$4:$C$4003,"&lt;="&amp;账期止))</f>
        <v/>
      </c>
      <c r="S892" s="26">
        <f>IF($A892="","",ROUND(SUMIFS(出库单!$S$4:$S$4003,出库单!$D$4:$D$4003,$A892,出库单!$K$4:$K$4003,"对外销售",出库单!$U$4:$U$4003,"正常",出库单!$C$4:$C$4003,"&gt;="&amp;账期起,出库单!$C$4:$C$4003,"&lt;="&amp;账期止),0))</f>
        <v/>
      </c>
      <c r="T892" s="27">
        <f>IF($A892="","",SUMIFS(出库单!$J$4:$J$4003,出库单!$D$4:$D$4003,$A892,出库单!$K$4:$K$4003,"盘亏",出库单!$U$4:$U$4003,"正常",出库单!$C$4:$C$4003,"&gt;="&amp;账期起,出库单!$C$4:$C$4003,"&lt;="&amp;账期止))</f>
        <v/>
      </c>
      <c r="U892" s="26">
        <f>IF($A892="","",ROUND(SUMIFS(出库单!$S$4:$S$4003,出库单!$D$4:$D$4003,$A892,出库单!$K$4:$K$4003,"盘亏",出库单!$U$4:$U$4003,"正常",出库单!$C$4:$C$4003,"&gt;="&amp;账期起,出库单!$C$4:$C$4003,"&lt;="&amp;账期止),0))</f>
        <v/>
      </c>
      <c r="V892" s="27">
        <f>IF($A892="","",SUMIFS(出库单!$J$4:$J$4003,出库单!$D$4:$D$4003,$A892,出库单!$K$4:$K$4003,"退货给供应商",出库单!$U$4:$U$4003,"正常",出库单!$C$4:$C$4003,"&gt;="&amp;账期起,出库单!$C$4:$C$4003,"&lt;="&amp;账期止))</f>
        <v/>
      </c>
      <c r="W892" s="26">
        <f>IF($A892="","",ROUND(SUMIFS(出库单!$S$4:$S$4003,出库单!$D$4:$D$4003,$A892,出库单!$K$4:$K$4003,"退货给供应商",出库单!$U$4:$U$4003,"正常",出库单!$C$4:$C$4003,"&gt;="&amp;账期起,出库单!$C$4:$C$4003,"&lt;="&amp;账期止),0))</f>
        <v/>
      </c>
      <c r="X892" s="27">
        <f>IF($A892="","",ROUND(N($G892)+$I892+$L892+$N892-$P892-$R892-$T892-$V892,3))</f>
        <v/>
      </c>
      <c r="Y892" s="26">
        <f>IF($A892="","",ROUND(N($H892)+$J892+$M892+$O892-$Q892-$S892-$U892-$W892,0))</f>
        <v/>
      </c>
      <c r="Z892" s="24">
        <f>IF($A892="","",IF(COUNTIFS(入库单!$G$4:$G$2503,$A892,入库单!$Y$4:$Y$2503,"待补价")+COUNTIFS(入库单!$G$4:$G$2503,$A892,入库单!$Y$4:$Y$2503,"暂估")&gt;0,"不可信","可信"))</f>
        <v/>
      </c>
      <c r="AA892" s="24">
        <f>IF($A892="","",IF($X892&lt;-0.001,"※账面负库存，查一下是不是漏记入库",IF(AND(ROUND($X892,3)=0,ABS($Y892)&gt;1),"※数量已经是 0，金额还挂着 "&amp;TEXT($Y892,"#,##0")&amp;" 先令",IF(AND($X892&gt;0,$Y892&lt;=0,$K892=0),"※有数量没金额（这个物料一直没填过进价）",IF($Z892="不可信","△成本含待补价/暂估，毛利仅供参考","")))))</f>
        <v/>
      </c>
    </row>
    <row r="893">
      <c r="A893" s="24">
        <f>IF(物料档案!$A892="","",物料档案!$A892)</f>
        <v/>
      </c>
      <c r="B893" s="24">
        <f>IF($A893="","",IFERROR(VLOOKUP($A893,物料档案!$A$4:$P$1203,3,0),""))</f>
        <v/>
      </c>
      <c r="C893" s="24">
        <f>IF($A893="","",IFERROR(VLOOKUP($A893,物料档案!$A$4:$P$1203,4,0),""))</f>
        <v/>
      </c>
      <c r="D893" s="24">
        <f>IF($A893="","",IFERROR(VLOOKUP($A893,物料档案!$A$4:$P$1203,5,0),""))</f>
        <v/>
      </c>
      <c r="E893" s="24">
        <f>IF($A893="","",IFERROR(VLOOKUP($A893,物料档案!$A$4:$P$1203,2,0),""))</f>
        <v/>
      </c>
      <c r="F893" s="24">
        <f>IF($A893="","",IFERROR(VLOOKUP($A893,物料档案!$A$4:$P$1203,6,0),""))</f>
        <v/>
      </c>
      <c r="G893" s="23" t="n"/>
      <c r="H893" s="32" t="n"/>
      <c r="I893" s="27">
        <f>IF($A893="","",SUMIFS(入库单!$K$4:$K$2503,入库单!$G$4:$G$2503,$A893,入库单!$X$4:$X$2503,"采购入库",入库单!$Z$4:$Z$2503,"正常",入库单!$C$4:$C$2503,"&gt;="&amp;账期起,入库单!$C$4:$C$2503,"&lt;="&amp;账期止))</f>
        <v/>
      </c>
      <c r="J893" s="26">
        <f>IF($A893="","",SUMIFS(入库单!$V$4:$V$2503,入库单!$G$4:$G$2503,$A893,入库单!$X$4:$X$2503,"采购入库",入库单!$Z$4:$Z$2503,"正常",入库单!$C$4:$C$2503,"&gt;="&amp;账期起,入库单!$C$4:$C$2503,"&lt;="&amp;账期止))</f>
        <v/>
      </c>
      <c r="K893" s="26">
        <f>IF($A893="","",IFERROR(ROUND((N($H893)+N($J893))/(N($G893)+N($I893)),2),0))</f>
        <v/>
      </c>
      <c r="L893" s="27">
        <f>IF($A893="","",SUMIFS(入库单!$K$4:$K$2503,入库单!$G$4:$G$2503,$A893,入库单!$X$4:$X$2503,"盘盈",入库单!$Z$4:$Z$2503,"正常",入库单!$C$4:$C$2503,"&gt;="&amp;账期起,入库单!$C$4:$C$2503,"&lt;="&amp;账期止))</f>
        <v/>
      </c>
      <c r="M893" s="26">
        <f>IF($A893="","",ROUND($L893*$K893,0))</f>
        <v/>
      </c>
      <c r="N893" s="27">
        <f>IF($A893="","",SUMIFS(入库单!$K$4:$K$2503,入库单!$G$4:$G$2503,$A893,入库单!$X$4:$X$2503,"矿区退库",入库单!$Z$4:$Z$2503,"正常",入库单!$C$4:$C$2503,"&gt;="&amp;账期起,入库单!$C$4:$C$2503,"&lt;="&amp;账期止))</f>
        <v/>
      </c>
      <c r="O893" s="26">
        <f>IF($A893="","",ROUND($N893*$K893,0))</f>
        <v/>
      </c>
      <c r="P893" s="27">
        <f>IF($A893="","",SUMIFS(出库单!$J$4:$J$4003,出库单!$D$4:$D$4003,$A893,出库单!$K$4:$K$4003,"自用消耗",出库单!$U$4:$U$4003,"正常",出库单!$C$4:$C$4003,"&gt;="&amp;账期起,出库单!$C$4:$C$4003,"&lt;="&amp;账期止))</f>
        <v/>
      </c>
      <c r="Q893" s="26">
        <f>IF($A893="","",ROUND(SUMIFS(出库单!$S$4:$S$4003,出库单!$D$4:$D$4003,$A893,出库单!$K$4:$K$4003,"自用消耗",出库单!$U$4:$U$4003,"正常",出库单!$C$4:$C$4003,"&gt;="&amp;账期起,出库单!$C$4:$C$4003,"&lt;="&amp;账期止),0))</f>
        <v/>
      </c>
      <c r="R893" s="27">
        <f>IF($A893="","",SUMIFS(出库单!$J$4:$J$4003,出库单!$D$4:$D$4003,$A893,出库单!$K$4:$K$4003,"对外销售",出库单!$U$4:$U$4003,"正常",出库单!$C$4:$C$4003,"&gt;="&amp;账期起,出库单!$C$4:$C$4003,"&lt;="&amp;账期止))</f>
        <v/>
      </c>
      <c r="S893" s="26">
        <f>IF($A893="","",ROUND(SUMIFS(出库单!$S$4:$S$4003,出库单!$D$4:$D$4003,$A893,出库单!$K$4:$K$4003,"对外销售",出库单!$U$4:$U$4003,"正常",出库单!$C$4:$C$4003,"&gt;="&amp;账期起,出库单!$C$4:$C$4003,"&lt;="&amp;账期止),0))</f>
        <v/>
      </c>
      <c r="T893" s="27">
        <f>IF($A893="","",SUMIFS(出库单!$J$4:$J$4003,出库单!$D$4:$D$4003,$A893,出库单!$K$4:$K$4003,"盘亏",出库单!$U$4:$U$4003,"正常",出库单!$C$4:$C$4003,"&gt;="&amp;账期起,出库单!$C$4:$C$4003,"&lt;="&amp;账期止))</f>
        <v/>
      </c>
      <c r="U893" s="26">
        <f>IF($A893="","",ROUND(SUMIFS(出库单!$S$4:$S$4003,出库单!$D$4:$D$4003,$A893,出库单!$K$4:$K$4003,"盘亏",出库单!$U$4:$U$4003,"正常",出库单!$C$4:$C$4003,"&gt;="&amp;账期起,出库单!$C$4:$C$4003,"&lt;="&amp;账期止),0))</f>
        <v/>
      </c>
      <c r="V893" s="27">
        <f>IF($A893="","",SUMIFS(出库单!$J$4:$J$4003,出库单!$D$4:$D$4003,$A893,出库单!$K$4:$K$4003,"退货给供应商",出库单!$U$4:$U$4003,"正常",出库单!$C$4:$C$4003,"&gt;="&amp;账期起,出库单!$C$4:$C$4003,"&lt;="&amp;账期止))</f>
        <v/>
      </c>
      <c r="W893" s="26">
        <f>IF($A893="","",ROUND(SUMIFS(出库单!$S$4:$S$4003,出库单!$D$4:$D$4003,$A893,出库单!$K$4:$K$4003,"退货给供应商",出库单!$U$4:$U$4003,"正常",出库单!$C$4:$C$4003,"&gt;="&amp;账期起,出库单!$C$4:$C$4003,"&lt;="&amp;账期止),0))</f>
        <v/>
      </c>
      <c r="X893" s="27">
        <f>IF($A893="","",ROUND(N($G893)+$I893+$L893+$N893-$P893-$R893-$T893-$V893,3))</f>
        <v/>
      </c>
      <c r="Y893" s="26">
        <f>IF($A893="","",ROUND(N($H893)+$J893+$M893+$O893-$Q893-$S893-$U893-$W893,0))</f>
        <v/>
      </c>
      <c r="Z893" s="24">
        <f>IF($A893="","",IF(COUNTIFS(入库单!$G$4:$G$2503,$A893,入库单!$Y$4:$Y$2503,"待补价")+COUNTIFS(入库单!$G$4:$G$2503,$A893,入库单!$Y$4:$Y$2503,"暂估")&gt;0,"不可信","可信"))</f>
        <v/>
      </c>
      <c r="AA893" s="24">
        <f>IF($A893="","",IF($X893&lt;-0.001,"※账面负库存，查一下是不是漏记入库",IF(AND(ROUND($X893,3)=0,ABS($Y893)&gt;1),"※数量已经是 0，金额还挂着 "&amp;TEXT($Y893,"#,##0")&amp;" 先令",IF(AND($X893&gt;0,$Y893&lt;=0,$K893=0),"※有数量没金额（这个物料一直没填过进价）",IF($Z893="不可信","△成本含待补价/暂估，毛利仅供参考","")))))</f>
        <v/>
      </c>
    </row>
    <row r="894">
      <c r="A894" s="24">
        <f>IF(物料档案!$A893="","",物料档案!$A893)</f>
        <v/>
      </c>
      <c r="B894" s="24">
        <f>IF($A894="","",IFERROR(VLOOKUP($A894,物料档案!$A$4:$P$1203,3,0),""))</f>
        <v/>
      </c>
      <c r="C894" s="24">
        <f>IF($A894="","",IFERROR(VLOOKUP($A894,物料档案!$A$4:$P$1203,4,0),""))</f>
        <v/>
      </c>
      <c r="D894" s="24">
        <f>IF($A894="","",IFERROR(VLOOKUP($A894,物料档案!$A$4:$P$1203,5,0),""))</f>
        <v/>
      </c>
      <c r="E894" s="24">
        <f>IF($A894="","",IFERROR(VLOOKUP($A894,物料档案!$A$4:$P$1203,2,0),""))</f>
        <v/>
      </c>
      <c r="F894" s="24">
        <f>IF($A894="","",IFERROR(VLOOKUP($A894,物料档案!$A$4:$P$1203,6,0),""))</f>
        <v/>
      </c>
      <c r="G894" s="23" t="n"/>
      <c r="H894" s="32" t="n"/>
      <c r="I894" s="27">
        <f>IF($A894="","",SUMIFS(入库单!$K$4:$K$2503,入库单!$G$4:$G$2503,$A894,入库单!$X$4:$X$2503,"采购入库",入库单!$Z$4:$Z$2503,"正常",入库单!$C$4:$C$2503,"&gt;="&amp;账期起,入库单!$C$4:$C$2503,"&lt;="&amp;账期止))</f>
        <v/>
      </c>
      <c r="J894" s="26">
        <f>IF($A894="","",SUMIFS(入库单!$V$4:$V$2503,入库单!$G$4:$G$2503,$A894,入库单!$X$4:$X$2503,"采购入库",入库单!$Z$4:$Z$2503,"正常",入库单!$C$4:$C$2503,"&gt;="&amp;账期起,入库单!$C$4:$C$2503,"&lt;="&amp;账期止))</f>
        <v/>
      </c>
      <c r="K894" s="26">
        <f>IF($A894="","",IFERROR(ROUND((N($H894)+N($J894))/(N($G894)+N($I894)),2),0))</f>
        <v/>
      </c>
      <c r="L894" s="27">
        <f>IF($A894="","",SUMIFS(入库单!$K$4:$K$2503,入库单!$G$4:$G$2503,$A894,入库单!$X$4:$X$2503,"盘盈",入库单!$Z$4:$Z$2503,"正常",入库单!$C$4:$C$2503,"&gt;="&amp;账期起,入库单!$C$4:$C$2503,"&lt;="&amp;账期止))</f>
        <v/>
      </c>
      <c r="M894" s="26">
        <f>IF($A894="","",ROUND($L894*$K894,0))</f>
        <v/>
      </c>
      <c r="N894" s="27">
        <f>IF($A894="","",SUMIFS(入库单!$K$4:$K$2503,入库单!$G$4:$G$2503,$A894,入库单!$X$4:$X$2503,"矿区退库",入库单!$Z$4:$Z$2503,"正常",入库单!$C$4:$C$2503,"&gt;="&amp;账期起,入库单!$C$4:$C$2503,"&lt;="&amp;账期止))</f>
        <v/>
      </c>
      <c r="O894" s="26">
        <f>IF($A894="","",ROUND($N894*$K894,0))</f>
        <v/>
      </c>
      <c r="P894" s="27">
        <f>IF($A894="","",SUMIFS(出库单!$J$4:$J$4003,出库单!$D$4:$D$4003,$A894,出库单!$K$4:$K$4003,"自用消耗",出库单!$U$4:$U$4003,"正常",出库单!$C$4:$C$4003,"&gt;="&amp;账期起,出库单!$C$4:$C$4003,"&lt;="&amp;账期止))</f>
        <v/>
      </c>
      <c r="Q894" s="26">
        <f>IF($A894="","",ROUND(SUMIFS(出库单!$S$4:$S$4003,出库单!$D$4:$D$4003,$A894,出库单!$K$4:$K$4003,"自用消耗",出库单!$U$4:$U$4003,"正常",出库单!$C$4:$C$4003,"&gt;="&amp;账期起,出库单!$C$4:$C$4003,"&lt;="&amp;账期止),0))</f>
        <v/>
      </c>
      <c r="R894" s="27">
        <f>IF($A894="","",SUMIFS(出库单!$J$4:$J$4003,出库单!$D$4:$D$4003,$A894,出库单!$K$4:$K$4003,"对外销售",出库单!$U$4:$U$4003,"正常",出库单!$C$4:$C$4003,"&gt;="&amp;账期起,出库单!$C$4:$C$4003,"&lt;="&amp;账期止))</f>
        <v/>
      </c>
      <c r="S894" s="26">
        <f>IF($A894="","",ROUND(SUMIFS(出库单!$S$4:$S$4003,出库单!$D$4:$D$4003,$A894,出库单!$K$4:$K$4003,"对外销售",出库单!$U$4:$U$4003,"正常",出库单!$C$4:$C$4003,"&gt;="&amp;账期起,出库单!$C$4:$C$4003,"&lt;="&amp;账期止),0))</f>
        <v/>
      </c>
      <c r="T894" s="27">
        <f>IF($A894="","",SUMIFS(出库单!$J$4:$J$4003,出库单!$D$4:$D$4003,$A894,出库单!$K$4:$K$4003,"盘亏",出库单!$U$4:$U$4003,"正常",出库单!$C$4:$C$4003,"&gt;="&amp;账期起,出库单!$C$4:$C$4003,"&lt;="&amp;账期止))</f>
        <v/>
      </c>
      <c r="U894" s="26">
        <f>IF($A894="","",ROUND(SUMIFS(出库单!$S$4:$S$4003,出库单!$D$4:$D$4003,$A894,出库单!$K$4:$K$4003,"盘亏",出库单!$U$4:$U$4003,"正常",出库单!$C$4:$C$4003,"&gt;="&amp;账期起,出库单!$C$4:$C$4003,"&lt;="&amp;账期止),0))</f>
        <v/>
      </c>
      <c r="V894" s="27">
        <f>IF($A894="","",SUMIFS(出库单!$J$4:$J$4003,出库单!$D$4:$D$4003,$A894,出库单!$K$4:$K$4003,"退货给供应商",出库单!$U$4:$U$4003,"正常",出库单!$C$4:$C$4003,"&gt;="&amp;账期起,出库单!$C$4:$C$4003,"&lt;="&amp;账期止))</f>
        <v/>
      </c>
      <c r="W894" s="26">
        <f>IF($A894="","",ROUND(SUMIFS(出库单!$S$4:$S$4003,出库单!$D$4:$D$4003,$A894,出库单!$K$4:$K$4003,"退货给供应商",出库单!$U$4:$U$4003,"正常",出库单!$C$4:$C$4003,"&gt;="&amp;账期起,出库单!$C$4:$C$4003,"&lt;="&amp;账期止),0))</f>
        <v/>
      </c>
      <c r="X894" s="27">
        <f>IF($A894="","",ROUND(N($G894)+$I894+$L894+$N894-$P894-$R894-$T894-$V894,3))</f>
        <v/>
      </c>
      <c r="Y894" s="26">
        <f>IF($A894="","",ROUND(N($H894)+$J894+$M894+$O894-$Q894-$S894-$U894-$W894,0))</f>
        <v/>
      </c>
      <c r="Z894" s="24">
        <f>IF($A894="","",IF(COUNTIFS(入库单!$G$4:$G$2503,$A894,入库单!$Y$4:$Y$2503,"待补价")+COUNTIFS(入库单!$G$4:$G$2503,$A894,入库单!$Y$4:$Y$2503,"暂估")&gt;0,"不可信","可信"))</f>
        <v/>
      </c>
      <c r="AA894" s="24">
        <f>IF($A894="","",IF($X894&lt;-0.001,"※账面负库存，查一下是不是漏记入库",IF(AND(ROUND($X894,3)=0,ABS($Y894)&gt;1),"※数量已经是 0，金额还挂着 "&amp;TEXT($Y894,"#,##0")&amp;" 先令",IF(AND($X894&gt;0,$Y894&lt;=0,$K894=0),"※有数量没金额（这个物料一直没填过进价）",IF($Z894="不可信","△成本含待补价/暂估，毛利仅供参考","")))))</f>
        <v/>
      </c>
    </row>
    <row r="895">
      <c r="A895" s="24">
        <f>IF(物料档案!$A894="","",物料档案!$A894)</f>
        <v/>
      </c>
      <c r="B895" s="24">
        <f>IF($A895="","",IFERROR(VLOOKUP($A895,物料档案!$A$4:$P$1203,3,0),""))</f>
        <v/>
      </c>
      <c r="C895" s="24">
        <f>IF($A895="","",IFERROR(VLOOKUP($A895,物料档案!$A$4:$P$1203,4,0),""))</f>
        <v/>
      </c>
      <c r="D895" s="24">
        <f>IF($A895="","",IFERROR(VLOOKUP($A895,物料档案!$A$4:$P$1203,5,0),""))</f>
        <v/>
      </c>
      <c r="E895" s="24">
        <f>IF($A895="","",IFERROR(VLOOKUP($A895,物料档案!$A$4:$P$1203,2,0),""))</f>
        <v/>
      </c>
      <c r="F895" s="24">
        <f>IF($A895="","",IFERROR(VLOOKUP($A895,物料档案!$A$4:$P$1203,6,0),""))</f>
        <v/>
      </c>
      <c r="G895" s="23" t="n"/>
      <c r="H895" s="32" t="n"/>
      <c r="I895" s="27">
        <f>IF($A895="","",SUMIFS(入库单!$K$4:$K$2503,入库单!$G$4:$G$2503,$A895,入库单!$X$4:$X$2503,"采购入库",入库单!$Z$4:$Z$2503,"正常",入库单!$C$4:$C$2503,"&gt;="&amp;账期起,入库单!$C$4:$C$2503,"&lt;="&amp;账期止))</f>
        <v/>
      </c>
      <c r="J895" s="26">
        <f>IF($A895="","",SUMIFS(入库单!$V$4:$V$2503,入库单!$G$4:$G$2503,$A895,入库单!$X$4:$X$2503,"采购入库",入库单!$Z$4:$Z$2503,"正常",入库单!$C$4:$C$2503,"&gt;="&amp;账期起,入库单!$C$4:$C$2503,"&lt;="&amp;账期止))</f>
        <v/>
      </c>
      <c r="K895" s="26">
        <f>IF($A895="","",IFERROR(ROUND((N($H895)+N($J895))/(N($G895)+N($I895)),2),0))</f>
        <v/>
      </c>
      <c r="L895" s="27">
        <f>IF($A895="","",SUMIFS(入库单!$K$4:$K$2503,入库单!$G$4:$G$2503,$A895,入库单!$X$4:$X$2503,"盘盈",入库单!$Z$4:$Z$2503,"正常",入库单!$C$4:$C$2503,"&gt;="&amp;账期起,入库单!$C$4:$C$2503,"&lt;="&amp;账期止))</f>
        <v/>
      </c>
      <c r="M895" s="26">
        <f>IF($A895="","",ROUND($L895*$K895,0))</f>
        <v/>
      </c>
      <c r="N895" s="27">
        <f>IF($A895="","",SUMIFS(入库单!$K$4:$K$2503,入库单!$G$4:$G$2503,$A895,入库单!$X$4:$X$2503,"矿区退库",入库单!$Z$4:$Z$2503,"正常",入库单!$C$4:$C$2503,"&gt;="&amp;账期起,入库单!$C$4:$C$2503,"&lt;="&amp;账期止))</f>
        <v/>
      </c>
      <c r="O895" s="26">
        <f>IF($A895="","",ROUND($N895*$K895,0))</f>
        <v/>
      </c>
      <c r="P895" s="27">
        <f>IF($A895="","",SUMIFS(出库单!$J$4:$J$4003,出库单!$D$4:$D$4003,$A895,出库单!$K$4:$K$4003,"自用消耗",出库单!$U$4:$U$4003,"正常",出库单!$C$4:$C$4003,"&gt;="&amp;账期起,出库单!$C$4:$C$4003,"&lt;="&amp;账期止))</f>
        <v/>
      </c>
      <c r="Q895" s="26">
        <f>IF($A895="","",ROUND(SUMIFS(出库单!$S$4:$S$4003,出库单!$D$4:$D$4003,$A895,出库单!$K$4:$K$4003,"自用消耗",出库单!$U$4:$U$4003,"正常",出库单!$C$4:$C$4003,"&gt;="&amp;账期起,出库单!$C$4:$C$4003,"&lt;="&amp;账期止),0))</f>
        <v/>
      </c>
      <c r="R895" s="27">
        <f>IF($A895="","",SUMIFS(出库单!$J$4:$J$4003,出库单!$D$4:$D$4003,$A895,出库单!$K$4:$K$4003,"对外销售",出库单!$U$4:$U$4003,"正常",出库单!$C$4:$C$4003,"&gt;="&amp;账期起,出库单!$C$4:$C$4003,"&lt;="&amp;账期止))</f>
        <v/>
      </c>
      <c r="S895" s="26">
        <f>IF($A895="","",ROUND(SUMIFS(出库单!$S$4:$S$4003,出库单!$D$4:$D$4003,$A895,出库单!$K$4:$K$4003,"对外销售",出库单!$U$4:$U$4003,"正常",出库单!$C$4:$C$4003,"&gt;="&amp;账期起,出库单!$C$4:$C$4003,"&lt;="&amp;账期止),0))</f>
        <v/>
      </c>
      <c r="T895" s="27">
        <f>IF($A895="","",SUMIFS(出库单!$J$4:$J$4003,出库单!$D$4:$D$4003,$A895,出库单!$K$4:$K$4003,"盘亏",出库单!$U$4:$U$4003,"正常",出库单!$C$4:$C$4003,"&gt;="&amp;账期起,出库单!$C$4:$C$4003,"&lt;="&amp;账期止))</f>
        <v/>
      </c>
      <c r="U895" s="26">
        <f>IF($A895="","",ROUND(SUMIFS(出库单!$S$4:$S$4003,出库单!$D$4:$D$4003,$A895,出库单!$K$4:$K$4003,"盘亏",出库单!$U$4:$U$4003,"正常",出库单!$C$4:$C$4003,"&gt;="&amp;账期起,出库单!$C$4:$C$4003,"&lt;="&amp;账期止),0))</f>
        <v/>
      </c>
      <c r="V895" s="27">
        <f>IF($A895="","",SUMIFS(出库单!$J$4:$J$4003,出库单!$D$4:$D$4003,$A895,出库单!$K$4:$K$4003,"退货给供应商",出库单!$U$4:$U$4003,"正常",出库单!$C$4:$C$4003,"&gt;="&amp;账期起,出库单!$C$4:$C$4003,"&lt;="&amp;账期止))</f>
        <v/>
      </c>
      <c r="W895" s="26">
        <f>IF($A895="","",ROUND(SUMIFS(出库单!$S$4:$S$4003,出库单!$D$4:$D$4003,$A895,出库单!$K$4:$K$4003,"退货给供应商",出库单!$U$4:$U$4003,"正常",出库单!$C$4:$C$4003,"&gt;="&amp;账期起,出库单!$C$4:$C$4003,"&lt;="&amp;账期止),0))</f>
        <v/>
      </c>
      <c r="X895" s="27">
        <f>IF($A895="","",ROUND(N($G895)+$I895+$L895+$N895-$P895-$R895-$T895-$V895,3))</f>
        <v/>
      </c>
      <c r="Y895" s="26">
        <f>IF($A895="","",ROUND(N($H895)+$J895+$M895+$O895-$Q895-$S895-$U895-$W895,0))</f>
        <v/>
      </c>
      <c r="Z895" s="24">
        <f>IF($A895="","",IF(COUNTIFS(入库单!$G$4:$G$2503,$A895,入库单!$Y$4:$Y$2503,"待补价")+COUNTIFS(入库单!$G$4:$G$2503,$A895,入库单!$Y$4:$Y$2503,"暂估")&gt;0,"不可信","可信"))</f>
        <v/>
      </c>
      <c r="AA895" s="24">
        <f>IF($A895="","",IF($X895&lt;-0.001,"※账面负库存，查一下是不是漏记入库",IF(AND(ROUND($X895,3)=0,ABS($Y895)&gt;1),"※数量已经是 0，金额还挂着 "&amp;TEXT($Y895,"#,##0")&amp;" 先令",IF(AND($X895&gt;0,$Y895&lt;=0,$K895=0),"※有数量没金额（这个物料一直没填过进价）",IF($Z895="不可信","△成本含待补价/暂估，毛利仅供参考","")))))</f>
        <v/>
      </c>
    </row>
    <row r="896">
      <c r="A896" s="24">
        <f>IF(物料档案!$A895="","",物料档案!$A895)</f>
        <v/>
      </c>
      <c r="B896" s="24">
        <f>IF($A896="","",IFERROR(VLOOKUP($A896,物料档案!$A$4:$P$1203,3,0),""))</f>
        <v/>
      </c>
      <c r="C896" s="24">
        <f>IF($A896="","",IFERROR(VLOOKUP($A896,物料档案!$A$4:$P$1203,4,0),""))</f>
        <v/>
      </c>
      <c r="D896" s="24">
        <f>IF($A896="","",IFERROR(VLOOKUP($A896,物料档案!$A$4:$P$1203,5,0),""))</f>
        <v/>
      </c>
      <c r="E896" s="24">
        <f>IF($A896="","",IFERROR(VLOOKUP($A896,物料档案!$A$4:$P$1203,2,0),""))</f>
        <v/>
      </c>
      <c r="F896" s="24">
        <f>IF($A896="","",IFERROR(VLOOKUP($A896,物料档案!$A$4:$P$1203,6,0),""))</f>
        <v/>
      </c>
      <c r="G896" s="23" t="n"/>
      <c r="H896" s="32" t="n"/>
      <c r="I896" s="27">
        <f>IF($A896="","",SUMIFS(入库单!$K$4:$K$2503,入库单!$G$4:$G$2503,$A896,入库单!$X$4:$X$2503,"采购入库",入库单!$Z$4:$Z$2503,"正常",入库单!$C$4:$C$2503,"&gt;="&amp;账期起,入库单!$C$4:$C$2503,"&lt;="&amp;账期止))</f>
        <v/>
      </c>
      <c r="J896" s="26">
        <f>IF($A896="","",SUMIFS(入库单!$V$4:$V$2503,入库单!$G$4:$G$2503,$A896,入库单!$X$4:$X$2503,"采购入库",入库单!$Z$4:$Z$2503,"正常",入库单!$C$4:$C$2503,"&gt;="&amp;账期起,入库单!$C$4:$C$2503,"&lt;="&amp;账期止))</f>
        <v/>
      </c>
      <c r="K896" s="26">
        <f>IF($A896="","",IFERROR(ROUND((N($H896)+N($J896))/(N($G896)+N($I896)),2),0))</f>
        <v/>
      </c>
      <c r="L896" s="27">
        <f>IF($A896="","",SUMIFS(入库单!$K$4:$K$2503,入库单!$G$4:$G$2503,$A896,入库单!$X$4:$X$2503,"盘盈",入库单!$Z$4:$Z$2503,"正常",入库单!$C$4:$C$2503,"&gt;="&amp;账期起,入库单!$C$4:$C$2503,"&lt;="&amp;账期止))</f>
        <v/>
      </c>
      <c r="M896" s="26">
        <f>IF($A896="","",ROUND($L896*$K896,0))</f>
        <v/>
      </c>
      <c r="N896" s="27">
        <f>IF($A896="","",SUMIFS(入库单!$K$4:$K$2503,入库单!$G$4:$G$2503,$A896,入库单!$X$4:$X$2503,"矿区退库",入库单!$Z$4:$Z$2503,"正常",入库单!$C$4:$C$2503,"&gt;="&amp;账期起,入库单!$C$4:$C$2503,"&lt;="&amp;账期止))</f>
        <v/>
      </c>
      <c r="O896" s="26">
        <f>IF($A896="","",ROUND($N896*$K896,0))</f>
        <v/>
      </c>
      <c r="P896" s="27">
        <f>IF($A896="","",SUMIFS(出库单!$J$4:$J$4003,出库单!$D$4:$D$4003,$A896,出库单!$K$4:$K$4003,"自用消耗",出库单!$U$4:$U$4003,"正常",出库单!$C$4:$C$4003,"&gt;="&amp;账期起,出库单!$C$4:$C$4003,"&lt;="&amp;账期止))</f>
        <v/>
      </c>
      <c r="Q896" s="26">
        <f>IF($A896="","",ROUND(SUMIFS(出库单!$S$4:$S$4003,出库单!$D$4:$D$4003,$A896,出库单!$K$4:$K$4003,"自用消耗",出库单!$U$4:$U$4003,"正常",出库单!$C$4:$C$4003,"&gt;="&amp;账期起,出库单!$C$4:$C$4003,"&lt;="&amp;账期止),0))</f>
        <v/>
      </c>
      <c r="R896" s="27">
        <f>IF($A896="","",SUMIFS(出库单!$J$4:$J$4003,出库单!$D$4:$D$4003,$A896,出库单!$K$4:$K$4003,"对外销售",出库单!$U$4:$U$4003,"正常",出库单!$C$4:$C$4003,"&gt;="&amp;账期起,出库单!$C$4:$C$4003,"&lt;="&amp;账期止))</f>
        <v/>
      </c>
      <c r="S896" s="26">
        <f>IF($A896="","",ROUND(SUMIFS(出库单!$S$4:$S$4003,出库单!$D$4:$D$4003,$A896,出库单!$K$4:$K$4003,"对外销售",出库单!$U$4:$U$4003,"正常",出库单!$C$4:$C$4003,"&gt;="&amp;账期起,出库单!$C$4:$C$4003,"&lt;="&amp;账期止),0))</f>
        <v/>
      </c>
      <c r="T896" s="27">
        <f>IF($A896="","",SUMIFS(出库单!$J$4:$J$4003,出库单!$D$4:$D$4003,$A896,出库单!$K$4:$K$4003,"盘亏",出库单!$U$4:$U$4003,"正常",出库单!$C$4:$C$4003,"&gt;="&amp;账期起,出库单!$C$4:$C$4003,"&lt;="&amp;账期止))</f>
        <v/>
      </c>
      <c r="U896" s="26">
        <f>IF($A896="","",ROUND(SUMIFS(出库单!$S$4:$S$4003,出库单!$D$4:$D$4003,$A896,出库单!$K$4:$K$4003,"盘亏",出库单!$U$4:$U$4003,"正常",出库单!$C$4:$C$4003,"&gt;="&amp;账期起,出库单!$C$4:$C$4003,"&lt;="&amp;账期止),0))</f>
        <v/>
      </c>
      <c r="V896" s="27">
        <f>IF($A896="","",SUMIFS(出库单!$J$4:$J$4003,出库单!$D$4:$D$4003,$A896,出库单!$K$4:$K$4003,"退货给供应商",出库单!$U$4:$U$4003,"正常",出库单!$C$4:$C$4003,"&gt;="&amp;账期起,出库单!$C$4:$C$4003,"&lt;="&amp;账期止))</f>
        <v/>
      </c>
      <c r="W896" s="26">
        <f>IF($A896="","",ROUND(SUMIFS(出库单!$S$4:$S$4003,出库单!$D$4:$D$4003,$A896,出库单!$K$4:$K$4003,"退货给供应商",出库单!$U$4:$U$4003,"正常",出库单!$C$4:$C$4003,"&gt;="&amp;账期起,出库单!$C$4:$C$4003,"&lt;="&amp;账期止),0))</f>
        <v/>
      </c>
      <c r="X896" s="27">
        <f>IF($A896="","",ROUND(N($G896)+$I896+$L896+$N896-$P896-$R896-$T896-$V896,3))</f>
        <v/>
      </c>
      <c r="Y896" s="26">
        <f>IF($A896="","",ROUND(N($H896)+$J896+$M896+$O896-$Q896-$S896-$U896-$W896,0))</f>
        <v/>
      </c>
      <c r="Z896" s="24">
        <f>IF($A896="","",IF(COUNTIFS(入库单!$G$4:$G$2503,$A896,入库单!$Y$4:$Y$2503,"待补价")+COUNTIFS(入库单!$G$4:$G$2503,$A896,入库单!$Y$4:$Y$2503,"暂估")&gt;0,"不可信","可信"))</f>
        <v/>
      </c>
      <c r="AA896" s="24">
        <f>IF($A896="","",IF($X896&lt;-0.001,"※账面负库存，查一下是不是漏记入库",IF(AND(ROUND($X896,3)=0,ABS($Y896)&gt;1),"※数量已经是 0，金额还挂着 "&amp;TEXT($Y896,"#,##0")&amp;" 先令",IF(AND($X896&gt;0,$Y896&lt;=0,$K896=0),"※有数量没金额（这个物料一直没填过进价）",IF($Z896="不可信","△成本含待补价/暂估，毛利仅供参考","")))))</f>
        <v/>
      </c>
    </row>
    <row r="897">
      <c r="A897" s="24">
        <f>IF(物料档案!$A896="","",物料档案!$A896)</f>
        <v/>
      </c>
      <c r="B897" s="24">
        <f>IF($A897="","",IFERROR(VLOOKUP($A897,物料档案!$A$4:$P$1203,3,0),""))</f>
        <v/>
      </c>
      <c r="C897" s="24">
        <f>IF($A897="","",IFERROR(VLOOKUP($A897,物料档案!$A$4:$P$1203,4,0),""))</f>
        <v/>
      </c>
      <c r="D897" s="24">
        <f>IF($A897="","",IFERROR(VLOOKUP($A897,物料档案!$A$4:$P$1203,5,0),""))</f>
        <v/>
      </c>
      <c r="E897" s="24">
        <f>IF($A897="","",IFERROR(VLOOKUP($A897,物料档案!$A$4:$P$1203,2,0),""))</f>
        <v/>
      </c>
      <c r="F897" s="24">
        <f>IF($A897="","",IFERROR(VLOOKUP($A897,物料档案!$A$4:$P$1203,6,0),""))</f>
        <v/>
      </c>
      <c r="G897" s="23" t="n"/>
      <c r="H897" s="32" t="n"/>
      <c r="I897" s="27">
        <f>IF($A897="","",SUMIFS(入库单!$K$4:$K$2503,入库单!$G$4:$G$2503,$A897,入库单!$X$4:$X$2503,"采购入库",入库单!$Z$4:$Z$2503,"正常",入库单!$C$4:$C$2503,"&gt;="&amp;账期起,入库单!$C$4:$C$2503,"&lt;="&amp;账期止))</f>
        <v/>
      </c>
      <c r="J897" s="26">
        <f>IF($A897="","",SUMIFS(入库单!$V$4:$V$2503,入库单!$G$4:$G$2503,$A897,入库单!$X$4:$X$2503,"采购入库",入库单!$Z$4:$Z$2503,"正常",入库单!$C$4:$C$2503,"&gt;="&amp;账期起,入库单!$C$4:$C$2503,"&lt;="&amp;账期止))</f>
        <v/>
      </c>
      <c r="K897" s="26">
        <f>IF($A897="","",IFERROR(ROUND((N($H897)+N($J897))/(N($G897)+N($I897)),2),0))</f>
        <v/>
      </c>
      <c r="L897" s="27">
        <f>IF($A897="","",SUMIFS(入库单!$K$4:$K$2503,入库单!$G$4:$G$2503,$A897,入库单!$X$4:$X$2503,"盘盈",入库单!$Z$4:$Z$2503,"正常",入库单!$C$4:$C$2503,"&gt;="&amp;账期起,入库单!$C$4:$C$2503,"&lt;="&amp;账期止))</f>
        <v/>
      </c>
      <c r="M897" s="26">
        <f>IF($A897="","",ROUND($L897*$K897,0))</f>
        <v/>
      </c>
      <c r="N897" s="27">
        <f>IF($A897="","",SUMIFS(入库单!$K$4:$K$2503,入库单!$G$4:$G$2503,$A897,入库单!$X$4:$X$2503,"矿区退库",入库单!$Z$4:$Z$2503,"正常",入库单!$C$4:$C$2503,"&gt;="&amp;账期起,入库单!$C$4:$C$2503,"&lt;="&amp;账期止))</f>
        <v/>
      </c>
      <c r="O897" s="26">
        <f>IF($A897="","",ROUND($N897*$K897,0))</f>
        <v/>
      </c>
      <c r="P897" s="27">
        <f>IF($A897="","",SUMIFS(出库单!$J$4:$J$4003,出库单!$D$4:$D$4003,$A897,出库单!$K$4:$K$4003,"自用消耗",出库单!$U$4:$U$4003,"正常",出库单!$C$4:$C$4003,"&gt;="&amp;账期起,出库单!$C$4:$C$4003,"&lt;="&amp;账期止))</f>
        <v/>
      </c>
      <c r="Q897" s="26">
        <f>IF($A897="","",ROUND(SUMIFS(出库单!$S$4:$S$4003,出库单!$D$4:$D$4003,$A897,出库单!$K$4:$K$4003,"自用消耗",出库单!$U$4:$U$4003,"正常",出库单!$C$4:$C$4003,"&gt;="&amp;账期起,出库单!$C$4:$C$4003,"&lt;="&amp;账期止),0))</f>
        <v/>
      </c>
      <c r="R897" s="27">
        <f>IF($A897="","",SUMIFS(出库单!$J$4:$J$4003,出库单!$D$4:$D$4003,$A897,出库单!$K$4:$K$4003,"对外销售",出库单!$U$4:$U$4003,"正常",出库单!$C$4:$C$4003,"&gt;="&amp;账期起,出库单!$C$4:$C$4003,"&lt;="&amp;账期止))</f>
        <v/>
      </c>
      <c r="S897" s="26">
        <f>IF($A897="","",ROUND(SUMIFS(出库单!$S$4:$S$4003,出库单!$D$4:$D$4003,$A897,出库单!$K$4:$K$4003,"对外销售",出库单!$U$4:$U$4003,"正常",出库单!$C$4:$C$4003,"&gt;="&amp;账期起,出库单!$C$4:$C$4003,"&lt;="&amp;账期止),0))</f>
        <v/>
      </c>
      <c r="T897" s="27">
        <f>IF($A897="","",SUMIFS(出库单!$J$4:$J$4003,出库单!$D$4:$D$4003,$A897,出库单!$K$4:$K$4003,"盘亏",出库单!$U$4:$U$4003,"正常",出库单!$C$4:$C$4003,"&gt;="&amp;账期起,出库单!$C$4:$C$4003,"&lt;="&amp;账期止))</f>
        <v/>
      </c>
      <c r="U897" s="26">
        <f>IF($A897="","",ROUND(SUMIFS(出库单!$S$4:$S$4003,出库单!$D$4:$D$4003,$A897,出库单!$K$4:$K$4003,"盘亏",出库单!$U$4:$U$4003,"正常",出库单!$C$4:$C$4003,"&gt;="&amp;账期起,出库单!$C$4:$C$4003,"&lt;="&amp;账期止),0))</f>
        <v/>
      </c>
      <c r="V897" s="27">
        <f>IF($A897="","",SUMIFS(出库单!$J$4:$J$4003,出库单!$D$4:$D$4003,$A897,出库单!$K$4:$K$4003,"退货给供应商",出库单!$U$4:$U$4003,"正常",出库单!$C$4:$C$4003,"&gt;="&amp;账期起,出库单!$C$4:$C$4003,"&lt;="&amp;账期止))</f>
        <v/>
      </c>
      <c r="W897" s="26">
        <f>IF($A897="","",ROUND(SUMIFS(出库单!$S$4:$S$4003,出库单!$D$4:$D$4003,$A897,出库单!$K$4:$K$4003,"退货给供应商",出库单!$U$4:$U$4003,"正常",出库单!$C$4:$C$4003,"&gt;="&amp;账期起,出库单!$C$4:$C$4003,"&lt;="&amp;账期止),0))</f>
        <v/>
      </c>
      <c r="X897" s="27">
        <f>IF($A897="","",ROUND(N($G897)+$I897+$L897+$N897-$P897-$R897-$T897-$V897,3))</f>
        <v/>
      </c>
      <c r="Y897" s="26">
        <f>IF($A897="","",ROUND(N($H897)+$J897+$M897+$O897-$Q897-$S897-$U897-$W897,0))</f>
        <v/>
      </c>
      <c r="Z897" s="24">
        <f>IF($A897="","",IF(COUNTIFS(入库单!$G$4:$G$2503,$A897,入库单!$Y$4:$Y$2503,"待补价")+COUNTIFS(入库单!$G$4:$G$2503,$A897,入库单!$Y$4:$Y$2503,"暂估")&gt;0,"不可信","可信"))</f>
        <v/>
      </c>
      <c r="AA897" s="24">
        <f>IF($A897="","",IF($X897&lt;-0.001,"※账面负库存，查一下是不是漏记入库",IF(AND(ROUND($X897,3)=0,ABS($Y897)&gt;1),"※数量已经是 0，金额还挂着 "&amp;TEXT($Y897,"#,##0")&amp;" 先令",IF(AND($X897&gt;0,$Y897&lt;=0,$K897=0),"※有数量没金额（这个物料一直没填过进价）",IF($Z897="不可信","△成本含待补价/暂估，毛利仅供参考","")))))</f>
        <v/>
      </c>
    </row>
    <row r="898">
      <c r="A898" s="24">
        <f>IF(物料档案!$A897="","",物料档案!$A897)</f>
        <v/>
      </c>
      <c r="B898" s="24">
        <f>IF($A898="","",IFERROR(VLOOKUP($A898,物料档案!$A$4:$P$1203,3,0),""))</f>
        <v/>
      </c>
      <c r="C898" s="24">
        <f>IF($A898="","",IFERROR(VLOOKUP($A898,物料档案!$A$4:$P$1203,4,0),""))</f>
        <v/>
      </c>
      <c r="D898" s="24">
        <f>IF($A898="","",IFERROR(VLOOKUP($A898,物料档案!$A$4:$P$1203,5,0),""))</f>
        <v/>
      </c>
      <c r="E898" s="24">
        <f>IF($A898="","",IFERROR(VLOOKUP($A898,物料档案!$A$4:$P$1203,2,0),""))</f>
        <v/>
      </c>
      <c r="F898" s="24">
        <f>IF($A898="","",IFERROR(VLOOKUP($A898,物料档案!$A$4:$P$1203,6,0),""))</f>
        <v/>
      </c>
      <c r="G898" s="23" t="n"/>
      <c r="H898" s="32" t="n"/>
      <c r="I898" s="27">
        <f>IF($A898="","",SUMIFS(入库单!$K$4:$K$2503,入库单!$G$4:$G$2503,$A898,入库单!$X$4:$X$2503,"采购入库",入库单!$Z$4:$Z$2503,"正常",入库单!$C$4:$C$2503,"&gt;="&amp;账期起,入库单!$C$4:$C$2503,"&lt;="&amp;账期止))</f>
        <v/>
      </c>
      <c r="J898" s="26">
        <f>IF($A898="","",SUMIFS(入库单!$V$4:$V$2503,入库单!$G$4:$G$2503,$A898,入库单!$X$4:$X$2503,"采购入库",入库单!$Z$4:$Z$2503,"正常",入库单!$C$4:$C$2503,"&gt;="&amp;账期起,入库单!$C$4:$C$2503,"&lt;="&amp;账期止))</f>
        <v/>
      </c>
      <c r="K898" s="26">
        <f>IF($A898="","",IFERROR(ROUND((N($H898)+N($J898))/(N($G898)+N($I898)),2),0))</f>
        <v/>
      </c>
      <c r="L898" s="27">
        <f>IF($A898="","",SUMIFS(入库单!$K$4:$K$2503,入库单!$G$4:$G$2503,$A898,入库单!$X$4:$X$2503,"盘盈",入库单!$Z$4:$Z$2503,"正常",入库单!$C$4:$C$2503,"&gt;="&amp;账期起,入库单!$C$4:$C$2503,"&lt;="&amp;账期止))</f>
        <v/>
      </c>
      <c r="M898" s="26">
        <f>IF($A898="","",ROUND($L898*$K898,0))</f>
        <v/>
      </c>
      <c r="N898" s="27">
        <f>IF($A898="","",SUMIFS(入库单!$K$4:$K$2503,入库单!$G$4:$G$2503,$A898,入库单!$X$4:$X$2503,"矿区退库",入库单!$Z$4:$Z$2503,"正常",入库单!$C$4:$C$2503,"&gt;="&amp;账期起,入库单!$C$4:$C$2503,"&lt;="&amp;账期止))</f>
        <v/>
      </c>
      <c r="O898" s="26">
        <f>IF($A898="","",ROUND($N898*$K898,0))</f>
        <v/>
      </c>
      <c r="P898" s="27">
        <f>IF($A898="","",SUMIFS(出库单!$J$4:$J$4003,出库单!$D$4:$D$4003,$A898,出库单!$K$4:$K$4003,"自用消耗",出库单!$U$4:$U$4003,"正常",出库单!$C$4:$C$4003,"&gt;="&amp;账期起,出库单!$C$4:$C$4003,"&lt;="&amp;账期止))</f>
        <v/>
      </c>
      <c r="Q898" s="26">
        <f>IF($A898="","",ROUND(SUMIFS(出库单!$S$4:$S$4003,出库单!$D$4:$D$4003,$A898,出库单!$K$4:$K$4003,"自用消耗",出库单!$U$4:$U$4003,"正常",出库单!$C$4:$C$4003,"&gt;="&amp;账期起,出库单!$C$4:$C$4003,"&lt;="&amp;账期止),0))</f>
        <v/>
      </c>
      <c r="R898" s="27">
        <f>IF($A898="","",SUMIFS(出库单!$J$4:$J$4003,出库单!$D$4:$D$4003,$A898,出库单!$K$4:$K$4003,"对外销售",出库单!$U$4:$U$4003,"正常",出库单!$C$4:$C$4003,"&gt;="&amp;账期起,出库单!$C$4:$C$4003,"&lt;="&amp;账期止))</f>
        <v/>
      </c>
      <c r="S898" s="26">
        <f>IF($A898="","",ROUND(SUMIFS(出库单!$S$4:$S$4003,出库单!$D$4:$D$4003,$A898,出库单!$K$4:$K$4003,"对外销售",出库单!$U$4:$U$4003,"正常",出库单!$C$4:$C$4003,"&gt;="&amp;账期起,出库单!$C$4:$C$4003,"&lt;="&amp;账期止),0))</f>
        <v/>
      </c>
      <c r="T898" s="27">
        <f>IF($A898="","",SUMIFS(出库单!$J$4:$J$4003,出库单!$D$4:$D$4003,$A898,出库单!$K$4:$K$4003,"盘亏",出库单!$U$4:$U$4003,"正常",出库单!$C$4:$C$4003,"&gt;="&amp;账期起,出库单!$C$4:$C$4003,"&lt;="&amp;账期止))</f>
        <v/>
      </c>
      <c r="U898" s="26">
        <f>IF($A898="","",ROUND(SUMIFS(出库单!$S$4:$S$4003,出库单!$D$4:$D$4003,$A898,出库单!$K$4:$K$4003,"盘亏",出库单!$U$4:$U$4003,"正常",出库单!$C$4:$C$4003,"&gt;="&amp;账期起,出库单!$C$4:$C$4003,"&lt;="&amp;账期止),0))</f>
        <v/>
      </c>
      <c r="V898" s="27">
        <f>IF($A898="","",SUMIFS(出库单!$J$4:$J$4003,出库单!$D$4:$D$4003,$A898,出库单!$K$4:$K$4003,"退货给供应商",出库单!$U$4:$U$4003,"正常",出库单!$C$4:$C$4003,"&gt;="&amp;账期起,出库单!$C$4:$C$4003,"&lt;="&amp;账期止))</f>
        <v/>
      </c>
      <c r="W898" s="26">
        <f>IF($A898="","",ROUND(SUMIFS(出库单!$S$4:$S$4003,出库单!$D$4:$D$4003,$A898,出库单!$K$4:$K$4003,"退货给供应商",出库单!$U$4:$U$4003,"正常",出库单!$C$4:$C$4003,"&gt;="&amp;账期起,出库单!$C$4:$C$4003,"&lt;="&amp;账期止),0))</f>
        <v/>
      </c>
      <c r="X898" s="27">
        <f>IF($A898="","",ROUND(N($G898)+$I898+$L898+$N898-$P898-$R898-$T898-$V898,3))</f>
        <v/>
      </c>
      <c r="Y898" s="26">
        <f>IF($A898="","",ROUND(N($H898)+$J898+$M898+$O898-$Q898-$S898-$U898-$W898,0))</f>
        <v/>
      </c>
      <c r="Z898" s="24">
        <f>IF($A898="","",IF(COUNTIFS(入库单!$G$4:$G$2503,$A898,入库单!$Y$4:$Y$2503,"待补价")+COUNTIFS(入库单!$G$4:$G$2503,$A898,入库单!$Y$4:$Y$2503,"暂估")&gt;0,"不可信","可信"))</f>
        <v/>
      </c>
      <c r="AA898" s="24">
        <f>IF($A898="","",IF($X898&lt;-0.001,"※账面负库存，查一下是不是漏记入库",IF(AND(ROUND($X898,3)=0,ABS($Y898)&gt;1),"※数量已经是 0，金额还挂着 "&amp;TEXT($Y898,"#,##0")&amp;" 先令",IF(AND($X898&gt;0,$Y898&lt;=0,$K898=0),"※有数量没金额（这个物料一直没填过进价）",IF($Z898="不可信","△成本含待补价/暂估，毛利仅供参考","")))))</f>
        <v/>
      </c>
    </row>
    <row r="899">
      <c r="A899" s="24">
        <f>IF(物料档案!$A898="","",物料档案!$A898)</f>
        <v/>
      </c>
      <c r="B899" s="24">
        <f>IF($A899="","",IFERROR(VLOOKUP($A899,物料档案!$A$4:$P$1203,3,0),""))</f>
        <v/>
      </c>
      <c r="C899" s="24">
        <f>IF($A899="","",IFERROR(VLOOKUP($A899,物料档案!$A$4:$P$1203,4,0),""))</f>
        <v/>
      </c>
      <c r="D899" s="24">
        <f>IF($A899="","",IFERROR(VLOOKUP($A899,物料档案!$A$4:$P$1203,5,0),""))</f>
        <v/>
      </c>
      <c r="E899" s="24">
        <f>IF($A899="","",IFERROR(VLOOKUP($A899,物料档案!$A$4:$P$1203,2,0),""))</f>
        <v/>
      </c>
      <c r="F899" s="24">
        <f>IF($A899="","",IFERROR(VLOOKUP($A899,物料档案!$A$4:$P$1203,6,0),""))</f>
        <v/>
      </c>
      <c r="G899" s="23" t="n"/>
      <c r="H899" s="32" t="n"/>
      <c r="I899" s="27">
        <f>IF($A899="","",SUMIFS(入库单!$K$4:$K$2503,入库单!$G$4:$G$2503,$A899,入库单!$X$4:$X$2503,"采购入库",入库单!$Z$4:$Z$2503,"正常",入库单!$C$4:$C$2503,"&gt;="&amp;账期起,入库单!$C$4:$C$2503,"&lt;="&amp;账期止))</f>
        <v/>
      </c>
      <c r="J899" s="26">
        <f>IF($A899="","",SUMIFS(入库单!$V$4:$V$2503,入库单!$G$4:$G$2503,$A899,入库单!$X$4:$X$2503,"采购入库",入库单!$Z$4:$Z$2503,"正常",入库单!$C$4:$C$2503,"&gt;="&amp;账期起,入库单!$C$4:$C$2503,"&lt;="&amp;账期止))</f>
        <v/>
      </c>
      <c r="K899" s="26">
        <f>IF($A899="","",IFERROR(ROUND((N($H899)+N($J899))/(N($G899)+N($I899)),2),0))</f>
        <v/>
      </c>
      <c r="L899" s="27">
        <f>IF($A899="","",SUMIFS(入库单!$K$4:$K$2503,入库单!$G$4:$G$2503,$A899,入库单!$X$4:$X$2503,"盘盈",入库单!$Z$4:$Z$2503,"正常",入库单!$C$4:$C$2503,"&gt;="&amp;账期起,入库单!$C$4:$C$2503,"&lt;="&amp;账期止))</f>
        <v/>
      </c>
      <c r="M899" s="26">
        <f>IF($A899="","",ROUND($L899*$K899,0))</f>
        <v/>
      </c>
      <c r="N899" s="27">
        <f>IF($A899="","",SUMIFS(入库单!$K$4:$K$2503,入库单!$G$4:$G$2503,$A899,入库单!$X$4:$X$2503,"矿区退库",入库单!$Z$4:$Z$2503,"正常",入库单!$C$4:$C$2503,"&gt;="&amp;账期起,入库单!$C$4:$C$2503,"&lt;="&amp;账期止))</f>
        <v/>
      </c>
      <c r="O899" s="26">
        <f>IF($A899="","",ROUND($N899*$K899,0))</f>
        <v/>
      </c>
      <c r="P899" s="27">
        <f>IF($A899="","",SUMIFS(出库单!$J$4:$J$4003,出库单!$D$4:$D$4003,$A899,出库单!$K$4:$K$4003,"自用消耗",出库单!$U$4:$U$4003,"正常",出库单!$C$4:$C$4003,"&gt;="&amp;账期起,出库单!$C$4:$C$4003,"&lt;="&amp;账期止))</f>
        <v/>
      </c>
      <c r="Q899" s="26">
        <f>IF($A899="","",ROUND(SUMIFS(出库单!$S$4:$S$4003,出库单!$D$4:$D$4003,$A899,出库单!$K$4:$K$4003,"自用消耗",出库单!$U$4:$U$4003,"正常",出库单!$C$4:$C$4003,"&gt;="&amp;账期起,出库单!$C$4:$C$4003,"&lt;="&amp;账期止),0))</f>
        <v/>
      </c>
      <c r="R899" s="27">
        <f>IF($A899="","",SUMIFS(出库单!$J$4:$J$4003,出库单!$D$4:$D$4003,$A899,出库单!$K$4:$K$4003,"对外销售",出库单!$U$4:$U$4003,"正常",出库单!$C$4:$C$4003,"&gt;="&amp;账期起,出库单!$C$4:$C$4003,"&lt;="&amp;账期止))</f>
        <v/>
      </c>
      <c r="S899" s="26">
        <f>IF($A899="","",ROUND(SUMIFS(出库单!$S$4:$S$4003,出库单!$D$4:$D$4003,$A899,出库单!$K$4:$K$4003,"对外销售",出库单!$U$4:$U$4003,"正常",出库单!$C$4:$C$4003,"&gt;="&amp;账期起,出库单!$C$4:$C$4003,"&lt;="&amp;账期止),0))</f>
        <v/>
      </c>
      <c r="T899" s="27">
        <f>IF($A899="","",SUMIFS(出库单!$J$4:$J$4003,出库单!$D$4:$D$4003,$A899,出库单!$K$4:$K$4003,"盘亏",出库单!$U$4:$U$4003,"正常",出库单!$C$4:$C$4003,"&gt;="&amp;账期起,出库单!$C$4:$C$4003,"&lt;="&amp;账期止))</f>
        <v/>
      </c>
      <c r="U899" s="26">
        <f>IF($A899="","",ROUND(SUMIFS(出库单!$S$4:$S$4003,出库单!$D$4:$D$4003,$A899,出库单!$K$4:$K$4003,"盘亏",出库单!$U$4:$U$4003,"正常",出库单!$C$4:$C$4003,"&gt;="&amp;账期起,出库单!$C$4:$C$4003,"&lt;="&amp;账期止),0))</f>
        <v/>
      </c>
      <c r="V899" s="27">
        <f>IF($A899="","",SUMIFS(出库单!$J$4:$J$4003,出库单!$D$4:$D$4003,$A899,出库单!$K$4:$K$4003,"退货给供应商",出库单!$U$4:$U$4003,"正常",出库单!$C$4:$C$4003,"&gt;="&amp;账期起,出库单!$C$4:$C$4003,"&lt;="&amp;账期止))</f>
        <v/>
      </c>
      <c r="W899" s="26">
        <f>IF($A899="","",ROUND(SUMIFS(出库单!$S$4:$S$4003,出库单!$D$4:$D$4003,$A899,出库单!$K$4:$K$4003,"退货给供应商",出库单!$U$4:$U$4003,"正常",出库单!$C$4:$C$4003,"&gt;="&amp;账期起,出库单!$C$4:$C$4003,"&lt;="&amp;账期止),0))</f>
        <v/>
      </c>
      <c r="X899" s="27">
        <f>IF($A899="","",ROUND(N($G899)+$I899+$L899+$N899-$P899-$R899-$T899-$V899,3))</f>
        <v/>
      </c>
      <c r="Y899" s="26">
        <f>IF($A899="","",ROUND(N($H899)+$J899+$M899+$O899-$Q899-$S899-$U899-$W899,0))</f>
        <v/>
      </c>
      <c r="Z899" s="24">
        <f>IF($A899="","",IF(COUNTIFS(入库单!$G$4:$G$2503,$A899,入库单!$Y$4:$Y$2503,"待补价")+COUNTIFS(入库单!$G$4:$G$2503,$A899,入库单!$Y$4:$Y$2503,"暂估")&gt;0,"不可信","可信"))</f>
        <v/>
      </c>
      <c r="AA899" s="24">
        <f>IF($A899="","",IF($X899&lt;-0.001,"※账面负库存，查一下是不是漏记入库",IF(AND(ROUND($X899,3)=0,ABS($Y899)&gt;1),"※数量已经是 0，金额还挂着 "&amp;TEXT($Y899,"#,##0")&amp;" 先令",IF(AND($X899&gt;0,$Y899&lt;=0,$K899=0),"※有数量没金额（这个物料一直没填过进价）",IF($Z899="不可信","△成本含待补价/暂估，毛利仅供参考","")))))</f>
        <v/>
      </c>
    </row>
    <row r="900">
      <c r="A900" s="24">
        <f>IF(物料档案!$A899="","",物料档案!$A899)</f>
        <v/>
      </c>
      <c r="B900" s="24">
        <f>IF($A900="","",IFERROR(VLOOKUP($A900,物料档案!$A$4:$P$1203,3,0),""))</f>
        <v/>
      </c>
      <c r="C900" s="24">
        <f>IF($A900="","",IFERROR(VLOOKUP($A900,物料档案!$A$4:$P$1203,4,0),""))</f>
        <v/>
      </c>
      <c r="D900" s="24">
        <f>IF($A900="","",IFERROR(VLOOKUP($A900,物料档案!$A$4:$P$1203,5,0),""))</f>
        <v/>
      </c>
      <c r="E900" s="24">
        <f>IF($A900="","",IFERROR(VLOOKUP($A900,物料档案!$A$4:$P$1203,2,0),""))</f>
        <v/>
      </c>
      <c r="F900" s="24">
        <f>IF($A900="","",IFERROR(VLOOKUP($A900,物料档案!$A$4:$P$1203,6,0),""))</f>
        <v/>
      </c>
      <c r="G900" s="23" t="n"/>
      <c r="H900" s="32" t="n"/>
      <c r="I900" s="27">
        <f>IF($A900="","",SUMIFS(入库单!$K$4:$K$2503,入库单!$G$4:$G$2503,$A900,入库单!$X$4:$X$2503,"采购入库",入库单!$Z$4:$Z$2503,"正常",入库单!$C$4:$C$2503,"&gt;="&amp;账期起,入库单!$C$4:$C$2503,"&lt;="&amp;账期止))</f>
        <v/>
      </c>
      <c r="J900" s="26">
        <f>IF($A900="","",SUMIFS(入库单!$V$4:$V$2503,入库单!$G$4:$G$2503,$A900,入库单!$X$4:$X$2503,"采购入库",入库单!$Z$4:$Z$2503,"正常",入库单!$C$4:$C$2503,"&gt;="&amp;账期起,入库单!$C$4:$C$2503,"&lt;="&amp;账期止))</f>
        <v/>
      </c>
      <c r="K900" s="26">
        <f>IF($A900="","",IFERROR(ROUND((N($H900)+N($J900))/(N($G900)+N($I900)),2),0))</f>
        <v/>
      </c>
      <c r="L900" s="27">
        <f>IF($A900="","",SUMIFS(入库单!$K$4:$K$2503,入库单!$G$4:$G$2503,$A900,入库单!$X$4:$X$2503,"盘盈",入库单!$Z$4:$Z$2503,"正常",入库单!$C$4:$C$2503,"&gt;="&amp;账期起,入库单!$C$4:$C$2503,"&lt;="&amp;账期止))</f>
        <v/>
      </c>
      <c r="M900" s="26">
        <f>IF($A900="","",ROUND($L900*$K900,0))</f>
        <v/>
      </c>
      <c r="N900" s="27">
        <f>IF($A900="","",SUMIFS(入库单!$K$4:$K$2503,入库单!$G$4:$G$2503,$A900,入库单!$X$4:$X$2503,"矿区退库",入库单!$Z$4:$Z$2503,"正常",入库单!$C$4:$C$2503,"&gt;="&amp;账期起,入库单!$C$4:$C$2503,"&lt;="&amp;账期止))</f>
        <v/>
      </c>
      <c r="O900" s="26">
        <f>IF($A900="","",ROUND($N900*$K900,0))</f>
        <v/>
      </c>
      <c r="P900" s="27">
        <f>IF($A900="","",SUMIFS(出库单!$J$4:$J$4003,出库单!$D$4:$D$4003,$A900,出库单!$K$4:$K$4003,"自用消耗",出库单!$U$4:$U$4003,"正常",出库单!$C$4:$C$4003,"&gt;="&amp;账期起,出库单!$C$4:$C$4003,"&lt;="&amp;账期止))</f>
        <v/>
      </c>
      <c r="Q900" s="26">
        <f>IF($A900="","",ROUND(SUMIFS(出库单!$S$4:$S$4003,出库单!$D$4:$D$4003,$A900,出库单!$K$4:$K$4003,"自用消耗",出库单!$U$4:$U$4003,"正常",出库单!$C$4:$C$4003,"&gt;="&amp;账期起,出库单!$C$4:$C$4003,"&lt;="&amp;账期止),0))</f>
        <v/>
      </c>
      <c r="R900" s="27">
        <f>IF($A900="","",SUMIFS(出库单!$J$4:$J$4003,出库单!$D$4:$D$4003,$A900,出库单!$K$4:$K$4003,"对外销售",出库单!$U$4:$U$4003,"正常",出库单!$C$4:$C$4003,"&gt;="&amp;账期起,出库单!$C$4:$C$4003,"&lt;="&amp;账期止))</f>
        <v/>
      </c>
      <c r="S900" s="26">
        <f>IF($A900="","",ROUND(SUMIFS(出库单!$S$4:$S$4003,出库单!$D$4:$D$4003,$A900,出库单!$K$4:$K$4003,"对外销售",出库单!$U$4:$U$4003,"正常",出库单!$C$4:$C$4003,"&gt;="&amp;账期起,出库单!$C$4:$C$4003,"&lt;="&amp;账期止),0))</f>
        <v/>
      </c>
      <c r="T900" s="27">
        <f>IF($A900="","",SUMIFS(出库单!$J$4:$J$4003,出库单!$D$4:$D$4003,$A900,出库单!$K$4:$K$4003,"盘亏",出库单!$U$4:$U$4003,"正常",出库单!$C$4:$C$4003,"&gt;="&amp;账期起,出库单!$C$4:$C$4003,"&lt;="&amp;账期止))</f>
        <v/>
      </c>
      <c r="U900" s="26">
        <f>IF($A900="","",ROUND(SUMIFS(出库单!$S$4:$S$4003,出库单!$D$4:$D$4003,$A900,出库单!$K$4:$K$4003,"盘亏",出库单!$U$4:$U$4003,"正常",出库单!$C$4:$C$4003,"&gt;="&amp;账期起,出库单!$C$4:$C$4003,"&lt;="&amp;账期止),0))</f>
        <v/>
      </c>
      <c r="V900" s="27">
        <f>IF($A900="","",SUMIFS(出库单!$J$4:$J$4003,出库单!$D$4:$D$4003,$A900,出库单!$K$4:$K$4003,"退货给供应商",出库单!$U$4:$U$4003,"正常",出库单!$C$4:$C$4003,"&gt;="&amp;账期起,出库单!$C$4:$C$4003,"&lt;="&amp;账期止))</f>
        <v/>
      </c>
      <c r="W900" s="26">
        <f>IF($A900="","",ROUND(SUMIFS(出库单!$S$4:$S$4003,出库单!$D$4:$D$4003,$A900,出库单!$K$4:$K$4003,"退货给供应商",出库单!$U$4:$U$4003,"正常",出库单!$C$4:$C$4003,"&gt;="&amp;账期起,出库单!$C$4:$C$4003,"&lt;="&amp;账期止),0))</f>
        <v/>
      </c>
      <c r="X900" s="27">
        <f>IF($A900="","",ROUND(N($G900)+$I900+$L900+$N900-$P900-$R900-$T900-$V900,3))</f>
        <v/>
      </c>
      <c r="Y900" s="26">
        <f>IF($A900="","",ROUND(N($H900)+$J900+$M900+$O900-$Q900-$S900-$U900-$W900,0))</f>
        <v/>
      </c>
      <c r="Z900" s="24">
        <f>IF($A900="","",IF(COUNTIFS(入库单!$G$4:$G$2503,$A900,入库单!$Y$4:$Y$2503,"待补价")+COUNTIFS(入库单!$G$4:$G$2503,$A900,入库单!$Y$4:$Y$2503,"暂估")&gt;0,"不可信","可信"))</f>
        <v/>
      </c>
      <c r="AA900" s="24">
        <f>IF($A900="","",IF($X900&lt;-0.001,"※账面负库存，查一下是不是漏记入库",IF(AND(ROUND($X900,3)=0,ABS($Y900)&gt;1),"※数量已经是 0，金额还挂着 "&amp;TEXT($Y900,"#,##0")&amp;" 先令",IF(AND($X900&gt;0,$Y900&lt;=0,$K900=0),"※有数量没金额（这个物料一直没填过进价）",IF($Z900="不可信","△成本含待补价/暂估，毛利仅供参考","")))))</f>
        <v/>
      </c>
    </row>
    <row r="901">
      <c r="A901" s="24">
        <f>IF(物料档案!$A900="","",物料档案!$A900)</f>
        <v/>
      </c>
      <c r="B901" s="24">
        <f>IF($A901="","",IFERROR(VLOOKUP($A901,物料档案!$A$4:$P$1203,3,0),""))</f>
        <v/>
      </c>
      <c r="C901" s="24">
        <f>IF($A901="","",IFERROR(VLOOKUP($A901,物料档案!$A$4:$P$1203,4,0),""))</f>
        <v/>
      </c>
      <c r="D901" s="24">
        <f>IF($A901="","",IFERROR(VLOOKUP($A901,物料档案!$A$4:$P$1203,5,0),""))</f>
        <v/>
      </c>
      <c r="E901" s="24">
        <f>IF($A901="","",IFERROR(VLOOKUP($A901,物料档案!$A$4:$P$1203,2,0),""))</f>
        <v/>
      </c>
      <c r="F901" s="24">
        <f>IF($A901="","",IFERROR(VLOOKUP($A901,物料档案!$A$4:$P$1203,6,0),""))</f>
        <v/>
      </c>
      <c r="G901" s="23" t="n"/>
      <c r="H901" s="32" t="n"/>
      <c r="I901" s="27">
        <f>IF($A901="","",SUMIFS(入库单!$K$4:$K$2503,入库单!$G$4:$G$2503,$A901,入库单!$X$4:$X$2503,"采购入库",入库单!$Z$4:$Z$2503,"正常",入库单!$C$4:$C$2503,"&gt;="&amp;账期起,入库单!$C$4:$C$2503,"&lt;="&amp;账期止))</f>
        <v/>
      </c>
      <c r="J901" s="26">
        <f>IF($A901="","",SUMIFS(入库单!$V$4:$V$2503,入库单!$G$4:$G$2503,$A901,入库单!$X$4:$X$2503,"采购入库",入库单!$Z$4:$Z$2503,"正常",入库单!$C$4:$C$2503,"&gt;="&amp;账期起,入库单!$C$4:$C$2503,"&lt;="&amp;账期止))</f>
        <v/>
      </c>
      <c r="K901" s="26">
        <f>IF($A901="","",IFERROR(ROUND((N($H901)+N($J901))/(N($G901)+N($I901)),2),0))</f>
        <v/>
      </c>
      <c r="L901" s="27">
        <f>IF($A901="","",SUMIFS(入库单!$K$4:$K$2503,入库单!$G$4:$G$2503,$A901,入库单!$X$4:$X$2503,"盘盈",入库单!$Z$4:$Z$2503,"正常",入库单!$C$4:$C$2503,"&gt;="&amp;账期起,入库单!$C$4:$C$2503,"&lt;="&amp;账期止))</f>
        <v/>
      </c>
      <c r="M901" s="26">
        <f>IF($A901="","",ROUND($L901*$K901,0))</f>
        <v/>
      </c>
      <c r="N901" s="27">
        <f>IF($A901="","",SUMIFS(入库单!$K$4:$K$2503,入库单!$G$4:$G$2503,$A901,入库单!$X$4:$X$2503,"矿区退库",入库单!$Z$4:$Z$2503,"正常",入库单!$C$4:$C$2503,"&gt;="&amp;账期起,入库单!$C$4:$C$2503,"&lt;="&amp;账期止))</f>
        <v/>
      </c>
      <c r="O901" s="26">
        <f>IF($A901="","",ROUND($N901*$K901,0))</f>
        <v/>
      </c>
      <c r="P901" s="27">
        <f>IF($A901="","",SUMIFS(出库单!$J$4:$J$4003,出库单!$D$4:$D$4003,$A901,出库单!$K$4:$K$4003,"自用消耗",出库单!$U$4:$U$4003,"正常",出库单!$C$4:$C$4003,"&gt;="&amp;账期起,出库单!$C$4:$C$4003,"&lt;="&amp;账期止))</f>
        <v/>
      </c>
      <c r="Q901" s="26">
        <f>IF($A901="","",ROUND(SUMIFS(出库单!$S$4:$S$4003,出库单!$D$4:$D$4003,$A901,出库单!$K$4:$K$4003,"自用消耗",出库单!$U$4:$U$4003,"正常",出库单!$C$4:$C$4003,"&gt;="&amp;账期起,出库单!$C$4:$C$4003,"&lt;="&amp;账期止),0))</f>
        <v/>
      </c>
      <c r="R901" s="27">
        <f>IF($A901="","",SUMIFS(出库单!$J$4:$J$4003,出库单!$D$4:$D$4003,$A901,出库单!$K$4:$K$4003,"对外销售",出库单!$U$4:$U$4003,"正常",出库单!$C$4:$C$4003,"&gt;="&amp;账期起,出库单!$C$4:$C$4003,"&lt;="&amp;账期止))</f>
        <v/>
      </c>
      <c r="S901" s="26">
        <f>IF($A901="","",ROUND(SUMIFS(出库单!$S$4:$S$4003,出库单!$D$4:$D$4003,$A901,出库单!$K$4:$K$4003,"对外销售",出库单!$U$4:$U$4003,"正常",出库单!$C$4:$C$4003,"&gt;="&amp;账期起,出库单!$C$4:$C$4003,"&lt;="&amp;账期止),0))</f>
        <v/>
      </c>
      <c r="T901" s="27">
        <f>IF($A901="","",SUMIFS(出库单!$J$4:$J$4003,出库单!$D$4:$D$4003,$A901,出库单!$K$4:$K$4003,"盘亏",出库单!$U$4:$U$4003,"正常",出库单!$C$4:$C$4003,"&gt;="&amp;账期起,出库单!$C$4:$C$4003,"&lt;="&amp;账期止))</f>
        <v/>
      </c>
      <c r="U901" s="26">
        <f>IF($A901="","",ROUND(SUMIFS(出库单!$S$4:$S$4003,出库单!$D$4:$D$4003,$A901,出库单!$K$4:$K$4003,"盘亏",出库单!$U$4:$U$4003,"正常",出库单!$C$4:$C$4003,"&gt;="&amp;账期起,出库单!$C$4:$C$4003,"&lt;="&amp;账期止),0))</f>
        <v/>
      </c>
      <c r="V901" s="27">
        <f>IF($A901="","",SUMIFS(出库单!$J$4:$J$4003,出库单!$D$4:$D$4003,$A901,出库单!$K$4:$K$4003,"退货给供应商",出库单!$U$4:$U$4003,"正常",出库单!$C$4:$C$4003,"&gt;="&amp;账期起,出库单!$C$4:$C$4003,"&lt;="&amp;账期止))</f>
        <v/>
      </c>
      <c r="W901" s="26">
        <f>IF($A901="","",ROUND(SUMIFS(出库单!$S$4:$S$4003,出库单!$D$4:$D$4003,$A901,出库单!$K$4:$K$4003,"退货给供应商",出库单!$U$4:$U$4003,"正常",出库单!$C$4:$C$4003,"&gt;="&amp;账期起,出库单!$C$4:$C$4003,"&lt;="&amp;账期止),0))</f>
        <v/>
      </c>
      <c r="X901" s="27">
        <f>IF($A901="","",ROUND(N($G901)+$I901+$L901+$N901-$P901-$R901-$T901-$V901,3))</f>
        <v/>
      </c>
      <c r="Y901" s="26">
        <f>IF($A901="","",ROUND(N($H901)+$J901+$M901+$O901-$Q901-$S901-$U901-$W901,0))</f>
        <v/>
      </c>
      <c r="Z901" s="24">
        <f>IF($A901="","",IF(COUNTIFS(入库单!$G$4:$G$2503,$A901,入库单!$Y$4:$Y$2503,"待补价")+COUNTIFS(入库单!$G$4:$G$2503,$A901,入库单!$Y$4:$Y$2503,"暂估")&gt;0,"不可信","可信"))</f>
        <v/>
      </c>
      <c r="AA901" s="24">
        <f>IF($A901="","",IF($X901&lt;-0.001,"※账面负库存，查一下是不是漏记入库",IF(AND(ROUND($X901,3)=0,ABS($Y901)&gt;1),"※数量已经是 0，金额还挂着 "&amp;TEXT($Y901,"#,##0")&amp;" 先令",IF(AND($X901&gt;0,$Y901&lt;=0,$K901=0),"※有数量没金额（这个物料一直没填过进价）",IF($Z901="不可信","△成本含待补价/暂估，毛利仅供参考","")))))</f>
        <v/>
      </c>
    </row>
    <row r="902">
      <c r="A902" s="24">
        <f>IF(物料档案!$A901="","",物料档案!$A901)</f>
        <v/>
      </c>
      <c r="B902" s="24">
        <f>IF($A902="","",IFERROR(VLOOKUP($A902,物料档案!$A$4:$P$1203,3,0),""))</f>
        <v/>
      </c>
      <c r="C902" s="24">
        <f>IF($A902="","",IFERROR(VLOOKUP($A902,物料档案!$A$4:$P$1203,4,0),""))</f>
        <v/>
      </c>
      <c r="D902" s="24">
        <f>IF($A902="","",IFERROR(VLOOKUP($A902,物料档案!$A$4:$P$1203,5,0),""))</f>
        <v/>
      </c>
      <c r="E902" s="24">
        <f>IF($A902="","",IFERROR(VLOOKUP($A902,物料档案!$A$4:$P$1203,2,0),""))</f>
        <v/>
      </c>
      <c r="F902" s="24">
        <f>IF($A902="","",IFERROR(VLOOKUP($A902,物料档案!$A$4:$P$1203,6,0),""))</f>
        <v/>
      </c>
      <c r="G902" s="23" t="n"/>
      <c r="H902" s="32" t="n"/>
      <c r="I902" s="27">
        <f>IF($A902="","",SUMIFS(入库单!$K$4:$K$2503,入库单!$G$4:$G$2503,$A902,入库单!$X$4:$X$2503,"采购入库",入库单!$Z$4:$Z$2503,"正常",入库单!$C$4:$C$2503,"&gt;="&amp;账期起,入库单!$C$4:$C$2503,"&lt;="&amp;账期止))</f>
        <v/>
      </c>
      <c r="J902" s="26">
        <f>IF($A902="","",SUMIFS(入库单!$V$4:$V$2503,入库单!$G$4:$G$2503,$A902,入库单!$X$4:$X$2503,"采购入库",入库单!$Z$4:$Z$2503,"正常",入库单!$C$4:$C$2503,"&gt;="&amp;账期起,入库单!$C$4:$C$2503,"&lt;="&amp;账期止))</f>
        <v/>
      </c>
      <c r="K902" s="26">
        <f>IF($A902="","",IFERROR(ROUND((N($H902)+N($J902))/(N($G902)+N($I902)),2),0))</f>
        <v/>
      </c>
      <c r="L902" s="27">
        <f>IF($A902="","",SUMIFS(入库单!$K$4:$K$2503,入库单!$G$4:$G$2503,$A902,入库单!$X$4:$X$2503,"盘盈",入库单!$Z$4:$Z$2503,"正常",入库单!$C$4:$C$2503,"&gt;="&amp;账期起,入库单!$C$4:$C$2503,"&lt;="&amp;账期止))</f>
        <v/>
      </c>
      <c r="M902" s="26">
        <f>IF($A902="","",ROUND($L902*$K902,0))</f>
        <v/>
      </c>
      <c r="N902" s="27">
        <f>IF($A902="","",SUMIFS(入库单!$K$4:$K$2503,入库单!$G$4:$G$2503,$A902,入库单!$X$4:$X$2503,"矿区退库",入库单!$Z$4:$Z$2503,"正常",入库单!$C$4:$C$2503,"&gt;="&amp;账期起,入库单!$C$4:$C$2503,"&lt;="&amp;账期止))</f>
        <v/>
      </c>
      <c r="O902" s="26">
        <f>IF($A902="","",ROUND($N902*$K902,0))</f>
        <v/>
      </c>
      <c r="P902" s="27">
        <f>IF($A902="","",SUMIFS(出库单!$J$4:$J$4003,出库单!$D$4:$D$4003,$A902,出库单!$K$4:$K$4003,"自用消耗",出库单!$U$4:$U$4003,"正常",出库单!$C$4:$C$4003,"&gt;="&amp;账期起,出库单!$C$4:$C$4003,"&lt;="&amp;账期止))</f>
        <v/>
      </c>
      <c r="Q902" s="26">
        <f>IF($A902="","",ROUND(SUMIFS(出库单!$S$4:$S$4003,出库单!$D$4:$D$4003,$A902,出库单!$K$4:$K$4003,"自用消耗",出库单!$U$4:$U$4003,"正常",出库单!$C$4:$C$4003,"&gt;="&amp;账期起,出库单!$C$4:$C$4003,"&lt;="&amp;账期止),0))</f>
        <v/>
      </c>
      <c r="R902" s="27">
        <f>IF($A902="","",SUMIFS(出库单!$J$4:$J$4003,出库单!$D$4:$D$4003,$A902,出库单!$K$4:$K$4003,"对外销售",出库单!$U$4:$U$4003,"正常",出库单!$C$4:$C$4003,"&gt;="&amp;账期起,出库单!$C$4:$C$4003,"&lt;="&amp;账期止))</f>
        <v/>
      </c>
      <c r="S902" s="26">
        <f>IF($A902="","",ROUND(SUMIFS(出库单!$S$4:$S$4003,出库单!$D$4:$D$4003,$A902,出库单!$K$4:$K$4003,"对外销售",出库单!$U$4:$U$4003,"正常",出库单!$C$4:$C$4003,"&gt;="&amp;账期起,出库单!$C$4:$C$4003,"&lt;="&amp;账期止),0))</f>
        <v/>
      </c>
      <c r="T902" s="27">
        <f>IF($A902="","",SUMIFS(出库单!$J$4:$J$4003,出库单!$D$4:$D$4003,$A902,出库单!$K$4:$K$4003,"盘亏",出库单!$U$4:$U$4003,"正常",出库单!$C$4:$C$4003,"&gt;="&amp;账期起,出库单!$C$4:$C$4003,"&lt;="&amp;账期止))</f>
        <v/>
      </c>
      <c r="U902" s="26">
        <f>IF($A902="","",ROUND(SUMIFS(出库单!$S$4:$S$4003,出库单!$D$4:$D$4003,$A902,出库单!$K$4:$K$4003,"盘亏",出库单!$U$4:$U$4003,"正常",出库单!$C$4:$C$4003,"&gt;="&amp;账期起,出库单!$C$4:$C$4003,"&lt;="&amp;账期止),0))</f>
        <v/>
      </c>
      <c r="V902" s="27">
        <f>IF($A902="","",SUMIFS(出库单!$J$4:$J$4003,出库单!$D$4:$D$4003,$A902,出库单!$K$4:$K$4003,"退货给供应商",出库单!$U$4:$U$4003,"正常",出库单!$C$4:$C$4003,"&gt;="&amp;账期起,出库单!$C$4:$C$4003,"&lt;="&amp;账期止))</f>
        <v/>
      </c>
      <c r="W902" s="26">
        <f>IF($A902="","",ROUND(SUMIFS(出库单!$S$4:$S$4003,出库单!$D$4:$D$4003,$A902,出库单!$K$4:$K$4003,"退货给供应商",出库单!$U$4:$U$4003,"正常",出库单!$C$4:$C$4003,"&gt;="&amp;账期起,出库单!$C$4:$C$4003,"&lt;="&amp;账期止),0))</f>
        <v/>
      </c>
      <c r="X902" s="27">
        <f>IF($A902="","",ROUND(N($G902)+$I902+$L902+$N902-$P902-$R902-$T902-$V902,3))</f>
        <v/>
      </c>
      <c r="Y902" s="26">
        <f>IF($A902="","",ROUND(N($H902)+$J902+$M902+$O902-$Q902-$S902-$U902-$W902,0))</f>
        <v/>
      </c>
      <c r="Z902" s="24">
        <f>IF($A902="","",IF(COUNTIFS(入库单!$G$4:$G$2503,$A902,入库单!$Y$4:$Y$2503,"待补价")+COUNTIFS(入库单!$G$4:$G$2503,$A902,入库单!$Y$4:$Y$2503,"暂估")&gt;0,"不可信","可信"))</f>
        <v/>
      </c>
      <c r="AA902" s="24">
        <f>IF($A902="","",IF($X902&lt;-0.001,"※账面负库存，查一下是不是漏记入库",IF(AND(ROUND($X902,3)=0,ABS($Y902)&gt;1),"※数量已经是 0，金额还挂着 "&amp;TEXT($Y902,"#,##0")&amp;" 先令",IF(AND($X902&gt;0,$Y902&lt;=0,$K902=0),"※有数量没金额（这个物料一直没填过进价）",IF($Z902="不可信","△成本含待补价/暂估，毛利仅供参考","")))))</f>
        <v/>
      </c>
    </row>
    <row r="903">
      <c r="A903" s="24">
        <f>IF(物料档案!$A902="","",物料档案!$A902)</f>
        <v/>
      </c>
      <c r="B903" s="24">
        <f>IF($A903="","",IFERROR(VLOOKUP($A903,物料档案!$A$4:$P$1203,3,0),""))</f>
        <v/>
      </c>
      <c r="C903" s="24">
        <f>IF($A903="","",IFERROR(VLOOKUP($A903,物料档案!$A$4:$P$1203,4,0),""))</f>
        <v/>
      </c>
      <c r="D903" s="24">
        <f>IF($A903="","",IFERROR(VLOOKUP($A903,物料档案!$A$4:$P$1203,5,0),""))</f>
        <v/>
      </c>
      <c r="E903" s="24">
        <f>IF($A903="","",IFERROR(VLOOKUP($A903,物料档案!$A$4:$P$1203,2,0),""))</f>
        <v/>
      </c>
      <c r="F903" s="24">
        <f>IF($A903="","",IFERROR(VLOOKUP($A903,物料档案!$A$4:$P$1203,6,0),""))</f>
        <v/>
      </c>
      <c r="G903" s="23" t="n"/>
      <c r="H903" s="32" t="n"/>
      <c r="I903" s="27">
        <f>IF($A903="","",SUMIFS(入库单!$K$4:$K$2503,入库单!$G$4:$G$2503,$A903,入库单!$X$4:$X$2503,"采购入库",入库单!$Z$4:$Z$2503,"正常",入库单!$C$4:$C$2503,"&gt;="&amp;账期起,入库单!$C$4:$C$2503,"&lt;="&amp;账期止))</f>
        <v/>
      </c>
      <c r="J903" s="26">
        <f>IF($A903="","",SUMIFS(入库单!$V$4:$V$2503,入库单!$G$4:$G$2503,$A903,入库单!$X$4:$X$2503,"采购入库",入库单!$Z$4:$Z$2503,"正常",入库单!$C$4:$C$2503,"&gt;="&amp;账期起,入库单!$C$4:$C$2503,"&lt;="&amp;账期止))</f>
        <v/>
      </c>
      <c r="K903" s="26">
        <f>IF($A903="","",IFERROR(ROUND((N($H903)+N($J903))/(N($G903)+N($I903)),2),0))</f>
        <v/>
      </c>
      <c r="L903" s="27">
        <f>IF($A903="","",SUMIFS(入库单!$K$4:$K$2503,入库单!$G$4:$G$2503,$A903,入库单!$X$4:$X$2503,"盘盈",入库单!$Z$4:$Z$2503,"正常",入库单!$C$4:$C$2503,"&gt;="&amp;账期起,入库单!$C$4:$C$2503,"&lt;="&amp;账期止))</f>
        <v/>
      </c>
      <c r="M903" s="26">
        <f>IF($A903="","",ROUND($L903*$K903,0))</f>
        <v/>
      </c>
      <c r="N903" s="27">
        <f>IF($A903="","",SUMIFS(入库单!$K$4:$K$2503,入库单!$G$4:$G$2503,$A903,入库单!$X$4:$X$2503,"矿区退库",入库单!$Z$4:$Z$2503,"正常",入库单!$C$4:$C$2503,"&gt;="&amp;账期起,入库单!$C$4:$C$2503,"&lt;="&amp;账期止))</f>
        <v/>
      </c>
      <c r="O903" s="26">
        <f>IF($A903="","",ROUND($N903*$K903,0))</f>
        <v/>
      </c>
      <c r="P903" s="27">
        <f>IF($A903="","",SUMIFS(出库单!$J$4:$J$4003,出库单!$D$4:$D$4003,$A903,出库单!$K$4:$K$4003,"自用消耗",出库单!$U$4:$U$4003,"正常",出库单!$C$4:$C$4003,"&gt;="&amp;账期起,出库单!$C$4:$C$4003,"&lt;="&amp;账期止))</f>
        <v/>
      </c>
      <c r="Q903" s="26">
        <f>IF($A903="","",ROUND(SUMIFS(出库单!$S$4:$S$4003,出库单!$D$4:$D$4003,$A903,出库单!$K$4:$K$4003,"自用消耗",出库单!$U$4:$U$4003,"正常",出库单!$C$4:$C$4003,"&gt;="&amp;账期起,出库单!$C$4:$C$4003,"&lt;="&amp;账期止),0))</f>
        <v/>
      </c>
      <c r="R903" s="27">
        <f>IF($A903="","",SUMIFS(出库单!$J$4:$J$4003,出库单!$D$4:$D$4003,$A903,出库单!$K$4:$K$4003,"对外销售",出库单!$U$4:$U$4003,"正常",出库单!$C$4:$C$4003,"&gt;="&amp;账期起,出库单!$C$4:$C$4003,"&lt;="&amp;账期止))</f>
        <v/>
      </c>
      <c r="S903" s="26">
        <f>IF($A903="","",ROUND(SUMIFS(出库单!$S$4:$S$4003,出库单!$D$4:$D$4003,$A903,出库单!$K$4:$K$4003,"对外销售",出库单!$U$4:$U$4003,"正常",出库单!$C$4:$C$4003,"&gt;="&amp;账期起,出库单!$C$4:$C$4003,"&lt;="&amp;账期止),0))</f>
        <v/>
      </c>
      <c r="T903" s="27">
        <f>IF($A903="","",SUMIFS(出库单!$J$4:$J$4003,出库单!$D$4:$D$4003,$A903,出库单!$K$4:$K$4003,"盘亏",出库单!$U$4:$U$4003,"正常",出库单!$C$4:$C$4003,"&gt;="&amp;账期起,出库单!$C$4:$C$4003,"&lt;="&amp;账期止))</f>
        <v/>
      </c>
      <c r="U903" s="26">
        <f>IF($A903="","",ROUND(SUMIFS(出库单!$S$4:$S$4003,出库单!$D$4:$D$4003,$A903,出库单!$K$4:$K$4003,"盘亏",出库单!$U$4:$U$4003,"正常",出库单!$C$4:$C$4003,"&gt;="&amp;账期起,出库单!$C$4:$C$4003,"&lt;="&amp;账期止),0))</f>
        <v/>
      </c>
      <c r="V903" s="27">
        <f>IF($A903="","",SUMIFS(出库单!$J$4:$J$4003,出库单!$D$4:$D$4003,$A903,出库单!$K$4:$K$4003,"退货给供应商",出库单!$U$4:$U$4003,"正常",出库单!$C$4:$C$4003,"&gt;="&amp;账期起,出库单!$C$4:$C$4003,"&lt;="&amp;账期止))</f>
        <v/>
      </c>
      <c r="W903" s="26">
        <f>IF($A903="","",ROUND(SUMIFS(出库单!$S$4:$S$4003,出库单!$D$4:$D$4003,$A903,出库单!$K$4:$K$4003,"退货给供应商",出库单!$U$4:$U$4003,"正常",出库单!$C$4:$C$4003,"&gt;="&amp;账期起,出库单!$C$4:$C$4003,"&lt;="&amp;账期止),0))</f>
        <v/>
      </c>
      <c r="X903" s="27">
        <f>IF($A903="","",ROUND(N($G903)+$I903+$L903+$N903-$P903-$R903-$T903-$V903,3))</f>
        <v/>
      </c>
      <c r="Y903" s="26">
        <f>IF($A903="","",ROUND(N($H903)+$J903+$M903+$O903-$Q903-$S903-$U903-$W903,0))</f>
        <v/>
      </c>
      <c r="Z903" s="24">
        <f>IF($A903="","",IF(COUNTIFS(入库单!$G$4:$G$2503,$A903,入库单!$Y$4:$Y$2503,"待补价")+COUNTIFS(入库单!$G$4:$G$2503,$A903,入库单!$Y$4:$Y$2503,"暂估")&gt;0,"不可信","可信"))</f>
        <v/>
      </c>
      <c r="AA903" s="24">
        <f>IF($A903="","",IF($X903&lt;-0.001,"※账面负库存，查一下是不是漏记入库",IF(AND(ROUND($X903,3)=0,ABS($Y903)&gt;1),"※数量已经是 0，金额还挂着 "&amp;TEXT($Y903,"#,##0")&amp;" 先令",IF(AND($X903&gt;0,$Y903&lt;=0,$K903=0),"※有数量没金额（这个物料一直没填过进价）",IF($Z903="不可信","△成本含待补价/暂估，毛利仅供参考","")))))</f>
        <v/>
      </c>
    </row>
    <row r="904">
      <c r="A904" s="24">
        <f>IF(物料档案!$A903="","",物料档案!$A903)</f>
        <v/>
      </c>
      <c r="B904" s="24">
        <f>IF($A904="","",IFERROR(VLOOKUP($A904,物料档案!$A$4:$P$1203,3,0),""))</f>
        <v/>
      </c>
      <c r="C904" s="24">
        <f>IF($A904="","",IFERROR(VLOOKUP($A904,物料档案!$A$4:$P$1203,4,0),""))</f>
        <v/>
      </c>
      <c r="D904" s="24">
        <f>IF($A904="","",IFERROR(VLOOKUP($A904,物料档案!$A$4:$P$1203,5,0),""))</f>
        <v/>
      </c>
      <c r="E904" s="24">
        <f>IF($A904="","",IFERROR(VLOOKUP($A904,物料档案!$A$4:$P$1203,2,0),""))</f>
        <v/>
      </c>
      <c r="F904" s="24">
        <f>IF($A904="","",IFERROR(VLOOKUP($A904,物料档案!$A$4:$P$1203,6,0),""))</f>
        <v/>
      </c>
      <c r="G904" s="23" t="n"/>
      <c r="H904" s="32" t="n"/>
      <c r="I904" s="27">
        <f>IF($A904="","",SUMIFS(入库单!$K$4:$K$2503,入库单!$G$4:$G$2503,$A904,入库单!$X$4:$X$2503,"采购入库",入库单!$Z$4:$Z$2503,"正常",入库单!$C$4:$C$2503,"&gt;="&amp;账期起,入库单!$C$4:$C$2503,"&lt;="&amp;账期止))</f>
        <v/>
      </c>
      <c r="J904" s="26">
        <f>IF($A904="","",SUMIFS(入库单!$V$4:$V$2503,入库单!$G$4:$G$2503,$A904,入库单!$X$4:$X$2503,"采购入库",入库单!$Z$4:$Z$2503,"正常",入库单!$C$4:$C$2503,"&gt;="&amp;账期起,入库单!$C$4:$C$2503,"&lt;="&amp;账期止))</f>
        <v/>
      </c>
      <c r="K904" s="26">
        <f>IF($A904="","",IFERROR(ROUND((N($H904)+N($J904))/(N($G904)+N($I904)),2),0))</f>
        <v/>
      </c>
      <c r="L904" s="27">
        <f>IF($A904="","",SUMIFS(入库单!$K$4:$K$2503,入库单!$G$4:$G$2503,$A904,入库单!$X$4:$X$2503,"盘盈",入库单!$Z$4:$Z$2503,"正常",入库单!$C$4:$C$2503,"&gt;="&amp;账期起,入库单!$C$4:$C$2503,"&lt;="&amp;账期止))</f>
        <v/>
      </c>
      <c r="M904" s="26">
        <f>IF($A904="","",ROUND($L904*$K904,0))</f>
        <v/>
      </c>
      <c r="N904" s="27">
        <f>IF($A904="","",SUMIFS(入库单!$K$4:$K$2503,入库单!$G$4:$G$2503,$A904,入库单!$X$4:$X$2503,"矿区退库",入库单!$Z$4:$Z$2503,"正常",入库单!$C$4:$C$2503,"&gt;="&amp;账期起,入库单!$C$4:$C$2503,"&lt;="&amp;账期止))</f>
        <v/>
      </c>
      <c r="O904" s="26">
        <f>IF($A904="","",ROUND($N904*$K904,0))</f>
        <v/>
      </c>
      <c r="P904" s="27">
        <f>IF($A904="","",SUMIFS(出库单!$J$4:$J$4003,出库单!$D$4:$D$4003,$A904,出库单!$K$4:$K$4003,"自用消耗",出库单!$U$4:$U$4003,"正常",出库单!$C$4:$C$4003,"&gt;="&amp;账期起,出库单!$C$4:$C$4003,"&lt;="&amp;账期止))</f>
        <v/>
      </c>
      <c r="Q904" s="26">
        <f>IF($A904="","",ROUND(SUMIFS(出库单!$S$4:$S$4003,出库单!$D$4:$D$4003,$A904,出库单!$K$4:$K$4003,"自用消耗",出库单!$U$4:$U$4003,"正常",出库单!$C$4:$C$4003,"&gt;="&amp;账期起,出库单!$C$4:$C$4003,"&lt;="&amp;账期止),0))</f>
        <v/>
      </c>
      <c r="R904" s="27">
        <f>IF($A904="","",SUMIFS(出库单!$J$4:$J$4003,出库单!$D$4:$D$4003,$A904,出库单!$K$4:$K$4003,"对外销售",出库单!$U$4:$U$4003,"正常",出库单!$C$4:$C$4003,"&gt;="&amp;账期起,出库单!$C$4:$C$4003,"&lt;="&amp;账期止))</f>
        <v/>
      </c>
      <c r="S904" s="26">
        <f>IF($A904="","",ROUND(SUMIFS(出库单!$S$4:$S$4003,出库单!$D$4:$D$4003,$A904,出库单!$K$4:$K$4003,"对外销售",出库单!$U$4:$U$4003,"正常",出库单!$C$4:$C$4003,"&gt;="&amp;账期起,出库单!$C$4:$C$4003,"&lt;="&amp;账期止),0))</f>
        <v/>
      </c>
      <c r="T904" s="27">
        <f>IF($A904="","",SUMIFS(出库单!$J$4:$J$4003,出库单!$D$4:$D$4003,$A904,出库单!$K$4:$K$4003,"盘亏",出库单!$U$4:$U$4003,"正常",出库单!$C$4:$C$4003,"&gt;="&amp;账期起,出库单!$C$4:$C$4003,"&lt;="&amp;账期止))</f>
        <v/>
      </c>
      <c r="U904" s="26">
        <f>IF($A904="","",ROUND(SUMIFS(出库单!$S$4:$S$4003,出库单!$D$4:$D$4003,$A904,出库单!$K$4:$K$4003,"盘亏",出库单!$U$4:$U$4003,"正常",出库单!$C$4:$C$4003,"&gt;="&amp;账期起,出库单!$C$4:$C$4003,"&lt;="&amp;账期止),0))</f>
        <v/>
      </c>
      <c r="V904" s="27">
        <f>IF($A904="","",SUMIFS(出库单!$J$4:$J$4003,出库单!$D$4:$D$4003,$A904,出库单!$K$4:$K$4003,"退货给供应商",出库单!$U$4:$U$4003,"正常",出库单!$C$4:$C$4003,"&gt;="&amp;账期起,出库单!$C$4:$C$4003,"&lt;="&amp;账期止))</f>
        <v/>
      </c>
      <c r="W904" s="26">
        <f>IF($A904="","",ROUND(SUMIFS(出库单!$S$4:$S$4003,出库单!$D$4:$D$4003,$A904,出库单!$K$4:$K$4003,"退货给供应商",出库单!$U$4:$U$4003,"正常",出库单!$C$4:$C$4003,"&gt;="&amp;账期起,出库单!$C$4:$C$4003,"&lt;="&amp;账期止),0))</f>
        <v/>
      </c>
      <c r="X904" s="27">
        <f>IF($A904="","",ROUND(N($G904)+$I904+$L904+$N904-$P904-$R904-$T904-$V904,3))</f>
        <v/>
      </c>
      <c r="Y904" s="26">
        <f>IF($A904="","",ROUND(N($H904)+$J904+$M904+$O904-$Q904-$S904-$U904-$W904,0))</f>
        <v/>
      </c>
      <c r="Z904" s="24">
        <f>IF($A904="","",IF(COUNTIFS(入库单!$G$4:$G$2503,$A904,入库单!$Y$4:$Y$2503,"待补价")+COUNTIFS(入库单!$G$4:$G$2503,$A904,入库单!$Y$4:$Y$2503,"暂估")&gt;0,"不可信","可信"))</f>
        <v/>
      </c>
      <c r="AA904" s="24">
        <f>IF($A904="","",IF($X904&lt;-0.001,"※账面负库存，查一下是不是漏记入库",IF(AND(ROUND($X904,3)=0,ABS($Y904)&gt;1),"※数量已经是 0，金额还挂着 "&amp;TEXT($Y904,"#,##0")&amp;" 先令",IF(AND($X904&gt;0,$Y904&lt;=0,$K904=0),"※有数量没金额（这个物料一直没填过进价）",IF($Z904="不可信","△成本含待补价/暂估，毛利仅供参考","")))))</f>
        <v/>
      </c>
    </row>
    <row r="905">
      <c r="A905" s="24">
        <f>IF(物料档案!$A904="","",物料档案!$A904)</f>
        <v/>
      </c>
      <c r="B905" s="24">
        <f>IF($A905="","",IFERROR(VLOOKUP($A905,物料档案!$A$4:$P$1203,3,0),""))</f>
        <v/>
      </c>
      <c r="C905" s="24">
        <f>IF($A905="","",IFERROR(VLOOKUP($A905,物料档案!$A$4:$P$1203,4,0),""))</f>
        <v/>
      </c>
      <c r="D905" s="24">
        <f>IF($A905="","",IFERROR(VLOOKUP($A905,物料档案!$A$4:$P$1203,5,0),""))</f>
        <v/>
      </c>
      <c r="E905" s="24">
        <f>IF($A905="","",IFERROR(VLOOKUP($A905,物料档案!$A$4:$P$1203,2,0),""))</f>
        <v/>
      </c>
      <c r="F905" s="24">
        <f>IF($A905="","",IFERROR(VLOOKUP($A905,物料档案!$A$4:$P$1203,6,0),""))</f>
        <v/>
      </c>
      <c r="G905" s="23" t="n"/>
      <c r="H905" s="32" t="n"/>
      <c r="I905" s="27">
        <f>IF($A905="","",SUMIFS(入库单!$K$4:$K$2503,入库单!$G$4:$G$2503,$A905,入库单!$X$4:$X$2503,"采购入库",入库单!$Z$4:$Z$2503,"正常",入库单!$C$4:$C$2503,"&gt;="&amp;账期起,入库单!$C$4:$C$2503,"&lt;="&amp;账期止))</f>
        <v/>
      </c>
      <c r="J905" s="26">
        <f>IF($A905="","",SUMIFS(入库单!$V$4:$V$2503,入库单!$G$4:$G$2503,$A905,入库单!$X$4:$X$2503,"采购入库",入库单!$Z$4:$Z$2503,"正常",入库单!$C$4:$C$2503,"&gt;="&amp;账期起,入库单!$C$4:$C$2503,"&lt;="&amp;账期止))</f>
        <v/>
      </c>
      <c r="K905" s="26">
        <f>IF($A905="","",IFERROR(ROUND((N($H905)+N($J905))/(N($G905)+N($I905)),2),0))</f>
        <v/>
      </c>
      <c r="L905" s="27">
        <f>IF($A905="","",SUMIFS(入库单!$K$4:$K$2503,入库单!$G$4:$G$2503,$A905,入库单!$X$4:$X$2503,"盘盈",入库单!$Z$4:$Z$2503,"正常",入库单!$C$4:$C$2503,"&gt;="&amp;账期起,入库单!$C$4:$C$2503,"&lt;="&amp;账期止))</f>
        <v/>
      </c>
      <c r="M905" s="26">
        <f>IF($A905="","",ROUND($L905*$K905,0))</f>
        <v/>
      </c>
      <c r="N905" s="27">
        <f>IF($A905="","",SUMIFS(入库单!$K$4:$K$2503,入库单!$G$4:$G$2503,$A905,入库单!$X$4:$X$2503,"矿区退库",入库单!$Z$4:$Z$2503,"正常",入库单!$C$4:$C$2503,"&gt;="&amp;账期起,入库单!$C$4:$C$2503,"&lt;="&amp;账期止))</f>
        <v/>
      </c>
      <c r="O905" s="26">
        <f>IF($A905="","",ROUND($N905*$K905,0))</f>
        <v/>
      </c>
      <c r="P905" s="27">
        <f>IF($A905="","",SUMIFS(出库单!$J$4:$J$4003,出库单!$D$4:$D$4003,$A905,出库单!$K$4:$K$4003,"自用消耗",出库单!$U$4:$U$4003,"正常",出库单!$C$4:$C$4003,"&gt;="&amp;账期起,出库单!$C$4:$C$4003,"&lt;="&amp;账期止))</f>
        <v/>
      </c>
      <c r="Q905" s="26">
        <f>IF($A905="","",ROUND(SUMIFS(出库单!$S$4:$S$4003,出库单!$D$4:$D$4003,$A905,出库单!$K$4:$K$4003,"自用消耗",出库单!$U$4:$U$4003,"正常",出库单!$C$4:$C$4003,"&gt;="&amp;账期起,出库单!$C$4:$C$4003,"&lt;="&amp;账期止),0))</f>
        <v/>
      </c>
      <c r="R905" s="27">
        <f>IF($A905="","",SUMIFS(出库单!$J$4:$J$4003,出库单!$D$4:$D$4003,$A905,出库单!$K$4:$K$4003,"对外销售",出库单!$U$4:$U$4003,"正常",出库单!$C$4:$C$4003,"&gt;="&amp;账期起,出库单!$C$4:$C$4003,"&lt;="&amp;账期止))</f>
        <v/>
      </c>
      <c r="S905" s="26">
        <f>IF($A905="","",ROUND(SUMIFS(出库单!$S$4:$S$4003,出库单!$D$4:$D$4003,$A905,出库单!$K$4:$K$4003,"对外销售",出库单!$U$4:$U$4003,"正常",出库单!$C$4:$C$4003,"&gt;="&amp;账期起,出库单!$C$4:$C$4003,"&lt;="&amp;账期止),0))</f>
        <v/>
      </c>
      <c r="T905" s="27">
        <f>IF($A905="","",SUMIFS(出库单!$J$4:$J$4003,出库单!$D$4:$D$4003,$A905,出库单!$K$4:$K$4003,"盘亏",出库单!$U$4:$U$4003,"正常",出库单!$C$4:$C$4003,"&gt;="&amp;账期起,出库单!$C$4:$C$4003,"&lt;="&amp;账期止))</f>
        <v/>
      </c>
      <c r="U905" s="26">
        <f>IF($A905="","",ROUND(SUMIFS(出库单!$S$4:$S$4003,出库单!$D$4:$D$4003,$A905,出库单!$K$4:$K$4003,"盘亏",出库单!$U$4:$U$4003,"正常",出库单!$C$4:$C$4003,"&gt;="&amp;账期起,出库单!$C$4:$C$4003,"&lt;="&amp;账期止),0))</f>
        <v/>
      </c>
      <c r="V905" s="27">
        <f>IF($A905="","",SUMIFS(出库单!$J$4:$J$4003,出库单!$D$4:$D$4003,$A905,出库单!$K$4:$K$4003,"退货给供应商",出库单!$U$4:$U$4003,"正常",出库单!$C$4:$C$4003,"&gt;="&amp;账期起,出库单!$C$4:$C$4003,"&lt;="&amp;账期止))</f>
        <v/>
      </c>
      <c r="W905" s="26">
        <f>IF($A905="","",ROUND(SUMIFS(出库单!$S$4:$S$4003,出库单!$D$4:$D$4003,$A905,出库单!$K$4:$K$4003,"退货给供应商",出库单!$U$4:$U$4003,"正常",出库单!$C$4:$C$4003,"&gt;="&amp;账期起,出库单!$C$4:$C$4003,"&lt;="&amp;账期止),0))</f>
        <v/>
      </c>
      <c r="X905" s="27">
        <f>IF($A905="","",ROUND(N($G905)+$I905+$L905+$N905-$P905-$R905-$T905-$V905,3))</f>
        <v/>
      </c>
      <c r="Y905" s="26">
        <f>IF($A905="","",ROUND(N($H905)+$J905+$M905+$O905-$Q905-$S905-$U905-$W905,0))</f>
        <v/>
      </c>
      <c r="Z905" s="24">
        <f>IF($A905="","",IF(COUNTIFS(入库单!$G$4:$G$2503,$A905,入库单!$Y$4:$Y$2503,"待补价")+COUNTIFS(入库单!$G$4:$G$2503,$A905,入库单!$Y$4:$Y$2503,"暂估")&gt;0,"不可信","可信"))</f>
        <v/>
      </c>
      <c r="AA905" s="24">
        <f>IF($A905="","",IF($X905&lt;-0.001,"※账面负库存，查一下是不是漏记入库",IF(AND(ROUND($X905,3)=0,ABS($Y905)&gt;1),"※数量已经是 0，金额还挂着 "&amp;TEXT($Y905,"#,##0")&amp;" 先令",IF(AND($X905&gt;0,$Y905&lt;=0,$K905=0),"※有数量没金额（这个物料一直没填过进价）",IF($Z905="不可信","△成本含待补价/暂估，毛利仅供参考","")))))</f>
        <v/>
      </c>
    </row>
    <row r="906">
      <c r="A906" s="24">
        <f>IF(物料档案!$A905="","",物料档案!$A905)</f>
        <v/>
      </c>
      <c r="B906" s="24">
        <f>IF($A906="","",IFERROR(VLOOKUP($A906,物料档案!$A$4:$P$1203,3,0),""))</f>
        <v/>
      </c>
      <c r="C906" s="24">
        <f>IF($A906="","",IFERROR(VLOOKUP($A906,物料档案!$A$4:$P$1203,4,0),""))</f>
        <v/>
      </c>
      <c r="D906" s="24">
        <f>IF($A906="","",IFERROR(VLOOKUP($A906,物料档案!$A$4:$P$1203,5,0),""))</f>
        <v/>
      </c>
      <c r="E906" s="24">
        <f>IF($A906="","",IFERROR(VLOOKUP($A906,物料档案!$A$4:$P$1203,2,0),""))</f>
        <v/>
      </c>
      <c r="F906" s="24">
        <f>IF($A906="","",IFERROR(VLOOKUP($A906,物料档案!$A$4:$P$1203,6,0),""))</f>
        <v/>
      </c>
      <c r="G906" s="23" t="n"/>
      <c r="H906" s="32" t="n"/>
      <c r="I906" s="27">
        <f>IF($A906="","",SUMIFS(入库单!$K$4:$K$2503,入库单!$G$4:$G$2503,$A906,入库单!$X$4:$X$2503,"采购入库",入库单!$Z$4:$Z$2503,"正常",入库单!$C$4:$C$2503,"&gt;="&amp;账期起,入库单!$C$4:$C$2503,"&lt;="&amp;账期止))</f>
        <v/>
      </c>
      <c r="J906" s="26">
        <f>IF($A906="","",SUMIFS(入库单!$V$4:$V$2503,入库单!$G$4:$G$2503,$A906,入库单!$X$4:$X$2503,"采购入库",入库单!$Z$4:$Z$2503,"正常",入库单!$C$4:$C$2503,"&gt;="&amp;账期起,入库单!$C$4:$C$2503,"&lt;="&amp;账期止))</f>
        <v/>
      </c>
      <c r="K906" s="26">
        <f>IF($A906="","",IFERROR(ROUND((N($H906)+N($J906))/(N($G906)+N($I906)),2),0))</f>
        <v/>
      </c>
      <c r="L906" s="27">
        <f>IF($A906="","",SUMIFS(入库单!$K$4:$K$2503,入库单!$G$4:$G$2503,$A906,入库单!$X$4:$X$2503,"盘盈",入库单!$Z$4:$Z$2503,"正常",入库单!$C$4:$C$2503,"&gt;="&amp;账期起,入库单!$C$4:$C$2503,"&lt;="&amp;账期止))</f>
        <v/>
      </c>
      <c r="M906" s="26">
        <f>IF($A906="","",ROUND($L906*$K906,0))</f>
        <v/>
      </c>
      <c r="N906" s="27">
        <f>IF($A906="","",SUMIFS(入库单!$K$4:$K$2503,入库单!$G$4:$G$2503,$A906,入库单!$X$4:$X$2503,"矿区退库",入库单!$Z$4:$Z$2503,"正常",入库单!$C$4:$C$2503,"&gt;="&amp;账期起,入库单!$C$4:$C$2503,"&lt;="&amp;账期止))</f>
        <v/>
      </c>
      <c r="O906" s="26">
        <f>IF($A906="","",ROUND($N906*$K906,0))</f>
        <v/>
      </c>
      <c r="P906" s="27">
        <f>IF($A906="","",SUMIFS(出库单!$J$4:$J$4003,出库单!$D$4:$D$4003,$A906,出库单!$K$4:$K$4003,"自用消耗",出库单!$U$4:$U$4003,"正常",出库单!$C$4:$C$4003,"&gt;="&amp;账期起,出库单!$C$4:$C$4003,"&lt;="&amp;账期止))</f>
        <v/>
      </c>
      <c r="Q906" s="26">
        <f>IF($A906="","",ROUND(SUMIFS(出库单!$S$4:$S$4003,出库单!$D$4:$D$4003,$A906,出库单!$K$4:$K$4003,"自用消耗",出库单!$U$4:$U$4003,"正常",出库单!$C$4:$C$4003,"&gt;="&amp;账期起,出库单!$C$4:$C$4003,"&lt;="&amp;账期止),0))</f>
        <v/>
      </c>
      <c r="R906" s="27">
        <f>IF($A906="","",SUMIFS(出库单!$J$4:$J$4003,出库单!$D$4:$D$4003,$A906,出库单!$K$4:$K$4003,"对外销售",出库单!$U$4:$U$4003,"正常",出库单!$C$4:$C$4003,"&gt;="&amp;账期起,出库单!$C$4:$C$4003,"&lt;="&amp;账期止))</f>
        <v/>
      </c>
      <c r="S906" s="26">
        <f>IF($A906="","",ROUND(SUMIFS(出库单!$S$4:$S$4003,出库单!$D$4:$D$4003,$A906,出库单!$K$4:$K$4003,"对外销售",出库单!$U$4:$U$4003,"正常",出库单!$C$4:$C$4003,"&gt;="&amp;账期起,出库单!$C$4:$C$4003,"&lt;="&amp;账期止),0))</f>
        <v/>
      </c>
      <c r="T906" s="27">
        <f>IF($A906="","",SUMIFS(出库单!$J$4:$J$4003,出库单!$D$4:$D$4003,$A906,出库单!$K$4:$K$4003,"盘亏",出库单!$U$4:$U$4003,"正常",出库单!$C$4:$C$4003,"&gt;="&amp;账期起,出库单!$C$4:$C$4003,"&lt;="&amp;账期止))</f>
        <v/>
      </c>
      <c r="U906" s="26">
        <f>IF($A906="","",ROUND(SUMIFS(出库单!$S$4:$S$4003,出库单!$D$4:$D$4003,$A906,出库单!$K$4:$K$4003,"盘亏",出库单!$U$4:$U$4003,"正常",出库单!$C$4:$C$4003,"&gt;="&amp;账期起,出库单!$C$4:$C$4003,"&lt;="&amp;账期止),0))</f>
        <v/>
      </c>
      <c r="V906" s="27">
        <f>IF($A906="","",SUMIFS(出库单!$J$4:$J$4003,出库单!$D$4:$D$4003,$A906,出库单!$K$4:$K$4003,"退货给供应商",出库单!$U$4:$U$4003,"正常",出库单!$C$4:$C$4003,"&gt;="&amp;账期起,出库单!$C$4:$C$4003,"&lt;="&amp;账期止))</f>
        <v/>
      </c>
      <c r="W906" s="26">
        <f>IF($A906="","",ROUND(SUMIFS(出库单!$S$4:$S$4003,出库单!$D$4:$D$4003,$A906,出库单!$K$4:$K$4003,"退货给供应商",出库单!$U$4:$U$4003,"正常",出库单!$C$4:$C$4003,"&gt;="&amp;账期起,出库单!$C$4:$C$4003,"&lt;="&amp;账期止),0))</f>
        <v/>
      </c>
      <c r="X906" s="27">
        <f>IF($A906="","",ROUND(N($G906)+$I906+$L906+$N906-$P906-$R906-$T906-$V906,3))</f>
        <v/>
      </c>
      <c r="Y906" s="26">
        <f>IF($A906="","",ROUND(N($H906)+$J906+$M906+$O906-$Q906-$S906-$U906-$W906,0))</f>
        <v/>
      </c>
      <c r="Z906" s="24">
        <f>IF($A906="","",IF(COUNTIFS(入库单!$G$4:$G$2503,$A906,入库单!$Y$4:$Y$2503,"待补价")+COUNTIFS(入库单!$G$4:$G$2503,$A906,入库单!$Y$4:$Y$2503,"暂估")&gt;0,"不可信","可信"))</f>
        <v/>
      </c>
      <c r="AA906" s="24">
        <f>IF($A906="","",IF($X906&lt;-0.001,"※账面负库存，查一下是不是漏记入库",IF(AND(ROUND($X906,3)=0,ABS($Y906)&gt;1),"※数量已经是 0，金额还挂着 "&amp;TEXT($Y906,"#,##0")&amp;" 先令",IF(AND($X906&gt;0,$Y906&lt;=0,$K906=0),"※有数量没金额（这个物料一直没填过进价）",IF($Z906="不可信","△成本含待补价/暂估，毛利仅供参考","")))))</f>
        <v/>
      </c>
    </row>
    <row r="907">
      <c r="A907" s="24">
        <f>IF(物料档案!$A906="","",物料档案!$A906)</f>
        <v/>
      </c>
      <c r="B907" s="24">
        <f>IF($A907="","",IFERROR(VLOOKUP($A907,物料档案!$A$4:$P$1203,3,0),""))</f>
        <v/>
      </c>
      <c r="C907" s="24">
        <f>IF($A907="","",IFERROR(VLOOKUP($A907,物料档案!$A$4:$P$1203,4,0),""))</f>
        <v/>
      </c>
      <c r="D907" s="24">
        <f>IF($A907="","",IFERROR(VLOOKUP($A907,物料档案!$A$4:$P$1203,5,0),""))</f>
        <v/>
      </c>
      <c r="E907" s="24">
        <f>IF($A907="","",IFERROR(VLOOKUP($A907,物料档案!$A$4:$P$1203,2,0),""))</f>
        <v/>
      </c>
      <c r="F907" s="24">
        <f>IF($A907="","",IFERROR(VLOOKUP($A907,物料档案!$A$4:$P$1203,6,0),""))</f>
        <v/>
      </c>
      <c r="G907" s="23" t="n"/>
      <c r="H907" s="32" t="n"/>
      <c r="I907" s="27">
        <f>IF($A907="","",SUMIFS(入库单!$K$4:$K$2503,入库单!$G$4:$G$2503,$A907,入库单!$X$4:$X$2503,"采购入库",入库单!$Z$4:$Z$2503,"正常",入库单!$C$4:$C$2503,"&gt;="&amp;账期起,入库单!$C$4:$C$2503,"&lt;="&amp;账期止))</f>
        <v/>
      </c>
      <c r="J907" s="26">
        <f>IF($A907="","",SUMIFS(入库单!$V$4:$V$2503,入库单!$G$4:$G$2503,$A907,入库单!$X$4:$X$2503,"采购入库",入库单!$Z$4:$Z$2503,"正常",入库单!$C$4:$C$2503,"&gt;="&amp;账期起,入库单!$C$4:$C$2503,"&lt;="&amp;账期止))</f>
        <v/>
      </c>
      <c r="K907" s="26">
        <f>IF($A907="","",IFERROR(ROUND((N($H907)+N($J907))/(N($G907)+N($I907)),2),0))</f>
        <v/>
      </c>
      <c r="L907" s="27">
        <f>IF($A907="","",SUMIFS(入库单!$K$4:$K$2503,入库单!$G$4:$G$2503,$A907,入库单!$X$4:$X$2503,"盘盈",入库单!$Z$4:$Z$2503,"正常",入库单!$C$4:$C$2503,"&gt;="&amp;账期起,入库单!$C$4:$C$2503,"&lt;="&amp;账期止))</f>
        <v/>
      </c>
      <c r="M907" s="26">
        <f>IF($A907="","",ROUND($L907*$K907,0))</f>
        <v/>
      </c>
      <c r="N907" s="27">
        <f>IF($A907="","",SUMIFS(入库单!$K$4:$K$2503,入库单!$G$4:$G$2503,$A907,入库单!$X$4:$X$2503,"矿区退库",入库单!$Z$4:$Z$2503,"正常",入库单!$C$4:$C$2503,"&gt;="&amp;账期起,入库单!$C$4:$C$2503,"&lt;="&amp;账期止))</f>
        <v/>
      </c>
      <c r="O907" s="26">
        <f>IF($A907="","",ROUND($N907*$K907,0))</f>
        <v/>
      </c>
      <c r="P907" s="27">
        <f>IF($A907="","",SUMIFS(出库单!$J$4:$J$4003,出库单!$D$4:$D$4003,$A907,出库单!$K$4:$K$4003,"自用消耗",出库单!$U$4:$U$4003,"正常",出库单!$C$4:$C$4003,"&gt;="&amp;账期起,出库单!$C$4:$C$4003,"&lt;="&amp;账期止))</f>
        <v/>
      </c>
      <c r="Q907" s="26">
        <f>IF($A907="","",ROUND(SUMIFS(出库单!$S$4:$S$4003,出库单!$D$4:$D$4003,$A907,出库单!$K$4:$K$4003,"自用消耗",出库单!$U$4:$U$4003,"正常",出库单!$C$4:$C$4003,"&gt;="&amp;账期起,出库单!$C$4:$C$4003,"&lt;="&amp;账期止),0))</f>
        <v/>
      </c>
      <c r="R907" s="27">
        <f>IF($A907="","",SUMIFS(出库单!$J$4:$J$4003,出库单!$D$4:$D$4003,$A907,出库单!$K$4:$K$4003,"对外销售",出库单!$U$4:$U$4003,"正常",出库单!$C$4:$C$4003,"&gt;="&amp;账期起,出库单!$C$4:$C$4003,"&lt;="&amp;账期止))</f>
        <v/>
      </c>
      <c r="S907" s="26">
        <f>IF($A907="","",ROUND(SUMIFS(出库单!$S$4:$S$4003,出库单!$D$4:$D$4003,$A907,出库单!$K$4:$K$4003,"对外销售",出库单!$U$4:$U$4003,"正常",出库单!$C$4:$C$4003,"&gt;="&amp;账期起,出库单!$C$4:$C$4003,"&lt;="&amp;账期止),0))</f>
        <v/>
      </c>
      <c r="T907" s="27">
        <f>IF($A907="","",SUMIFS(出库单!$J$4:$J$4003,出库单!$D$4:$D$4003,$A907,出库单!$K$4:$K$4003,"盘亏",出库单!$U$4:$U$4003,"正常",出库单!$C$4:$C$4003,"&gt;="&amp;账期起,出库单!$C$4:$C$4003,"&lt;="&amp;账期止))</f>
        <v/>
      </c>
      <c r="U907" s="26">
        <f>IF($A907="","",ROUND(SUMIFS(出库单!$S$4:$S$4003,出库单!$D$4:$D$4003,$A907,出库单!$K$4:$K$4003,"盘亏",出库单!$U$4:$U$4003,"正常",出库单!$C$4:$C$4003,"&gt;="&amp;账期起,出库单!$C$4:$C$4003,"&lt;="&amp;账期止),0))</f>
        <v/>
      </c>
      <c r="V907" s="27">
        <f>IF($A907="","",SUMIFS(出库单!$J$4:$J$4003,出库单!$D$4:$D$4003,$A907,出库单!$K$4:$K$4003,"退货给供应商",出库单!$U$4:$U$4003,"正常",出库单!$C$4:$C$4003,"&gt;="&amp;账期起,出库单!$C$4:$C$4003,"&lt;="&amp;账期止))</f>
        <v/>
      </c>
      <c r="W907" s="26">
        <f>IF($A907="","",ROUND(SUMIFS(出库单!$S$4:$S$4003,出库单!$D$4:$D$4003,$A907,出库单!$K$4:$K$4003,"退货给供应商",出库单!$U$4:$U$4003,"正常",出库单!$C$4:$C$4003,"&gt;="&amp;账期起,出库单!$C$4:$C$4003,"&lt;="&amp;账期止),0))</f>
        <v/>
      </c>
      <c r="X907" s="27">
        <f>IF($A907="","",ROUND(N($G907)+$I907+$L907+$N907-$P907-$R907-$T907-$V907,3))</f>
        <v/>
      </c>
      <c r="Y907" s="26">
        <f>IF($A907="","",ROUND(N($H907)+$J907+$M907+$O907-$Q907-$S907-$U907-$W907,0))</f>
        <v/>
      </c>
      <c r="Z907" s="24">
        <f>IF($A907="","",IF(COUNTIFS(入库单!$G$4:$G$2503,$A907,入库单!$Y$4:$Y$2503,"待补价")+COUNTIFS(入库单!$G$4:$G$2503,$A907,入库单!$Y$4:$Y$2503,"暂估")&gt;0,"不可信","可信"))</f>
        <v/>
      </c>
      <c r="AA907" s="24">
        <f>IF($A907="","",IF($X907&lt;-0.001,"※账面负库存，查一下是不是漏记入库",IF(AND(ROUND($X907,3)=0,ABS($Y907)&gt;1),"※数量已经是 0，金额还挂着 "&amp;TEXT($Y907,"#,##0")&amp;" 先令",IF(AND($X907&gt;0,$Y907&lt;=0,$K907=0),"※有数量没金额（这个物料一直没填过进价）",IF($Z907="不可信","△成本含待补价/暂估，毛利仅供参考","")))))</f>
        <v/>
      </c>
    </row>
    <row r="908">
      <c r="A908" s="24">
        <f>IF(物料档案!$A907="","",物料档案!$A907)</f>
        <v/>
      </c>
      <c r="B908" s="24">
        <f>IF($A908="","",IFERROR(VLOOKUP($A908,物料档案!$A$4:$P$1203,3,0),""))</f>
        <v/>
      </c>
      <c r="C908" s="24">
        <f>IF($A908="","",IFERROR(VLOOKUP($A908,物料档案!$A$4:$P$1203,4,0),""))</f>
        <v/>
      </c>
      <c r="D908" s="24">
        <f>IF($A908="","",IFERROR(VLOOKUP($A908,物料档案!$A$4:$P$1203,5,0),""))</f>
        <v/>
      </c>
      <c r="E908" s="24">
        <f>IF($A908="","",IFERROR(VLOOKUP($A908,物料档案!$A$4:$P$1203,2,0),""))</f>
        <v/>
      </c>
      <c r="F908" s="24">
        <f>IF($A908="","",IFERROR(VLOOKUP($A908,物料档案!$A$4:$P$1203,6,0),""))</f>
        <v/>
      </c>
      <c r="G908" s="23" t="n"/>
      <c r="H908" s="32" t="n"/>
      <c r="I908" s="27">
        <f>IF($A908="","",SUMIFS(入库单!$K$4:$K$2503,入库单!$G$4:$G$2503,$A908,入库单!$X$4:$X$2503,"采购入库",入库单!$Z$4:$Z$2503,"正常",入库单!$C$4:$C$2503,"&gt;="&amp;账期起,入库单!$C$4:$C$2503,"&lt;="&amp;账期止))</f>
        <v/>
      </c>
      <c r="J908" s="26">
        <f>IF($A908="","",SUMIFS(入库单!$V$4:$V$2503,入库单!$G$4:$G$2503,$A908,入库单!$X$4:$X$2503,"采购入库",入库单!$Z$4:$Z$2503,"正常",入库单!$C$4:$C$2503,"&gt;="&amp;账期起,入库单!$C$4:$C$2503,"&lt;="&amp;账期止))</f>
        <v/>
      </c>
      <c r="K908" s="26">
        <f>IF($A908="","",IFERROR(ROUND((N($H908)+N($J908))/(N($G908)+N($I908)),2),0))</f>
        <v/>
      </c>
      <c r="L908" s="27">
        <f>IF($A908="","",SUMIFS(入库单!$K$4:$K$2503,入库单!$G$4:$G$2503,$A908,入库单!$X$4:$X$2503,"盘盈",入库单!$Z$4:$Z$2503,"正常",入库单!$C$4:$C$2503,"&gt;="&amp;账期起,入库单!$C$4:$C$2503,"&lt;="&amp;账期止))</f>
        <v/>
      </c>
      <c r="M908" s="26">
        <f>IF($A908="","",ROUND($L908*$K908,0))</f>
        <v/>
      </c>
      <c r="N908" s="27">
        <f>IF($A908="","",SUMIFS(入库单!$K$4:$K$2503,入库单!$G$4:$G$2503,$A908,入库单!$X$4:$X$2503,"矿区退库",入库单!$Z$4:$Z$2503,"正常",入库单!$C$4:$C$2503,"&gt;="&amp;账期起,入库单!$C$4:$C$2503,"&lt;="&amp;账期止))</f>
        <v/>
      </c>
      <c r="O908" s="26">
        <f>IF($A908="","",ROUND($N908*$K908,0))</f>
        <v/>
      </c>
      <c r="P908" s="27">
        <f>IF($A908="","",SUMIFS(出库单!$J$4:$J$4003,出库单!$D$4:$D$4003,$A908,出库单!$K$4:$K$4003,"自用消耗",出库单!$U$4:$U$4003,"正常",出库单!$C$4:$C$4003,"&gt;="&amp;账期起,出库单!$C$4:$C$4003,"&lt;="&amp;账期止))</f>
        <v/>
      </c>
      <c r="Q908" s="26">
        <f>IF($A908="","",ROUND(SUMIFS(出库单!$S$4:$S$4003,出库单!$D$4:$D$4003,$A908,出库单!$K$4:$K$4003,"自用消耗",出库单!$U$4:$U$4003,"正常",出库单!$C$4:$C$4003,"&gt;="&amp;账期起,出库单!$C$4:$C$4003,"&lt;="&amp;账期止),0))</f>
        <v/>
      </c>
      <c r="R908" s="27">
        <f>IF($A908="","",SUMIFS(出库单!$J$4:$J$4003,出库单!$D$4:$D$4003,$A908,出库单!$K$4:$K$4003,"对外销售",出库单!$U$4:$U$4003,"正常",出库单!$C$4:$C$4003,"&gt;="&amp;账期起,出库单!$C$4:$C$4003,"&lt;="&amp;账期止))</f>
        <v/>
      </c>
      <c r="S908" s="26">
        <f>IF($A908="","",ROUND(SUMIFS(出库单!$S$4:$S$4003,出库单!$D$4:$D$4003,$A908,出库单!$K$4:$K$4003,"对外销售",出库单!$U$4:$U$4003,"正常",出库单!$C$4:$C$4003,"&gt;="&amp;账期起,出库单!$C$4:$C$4003,"&lt;="&amp;账期止),0))</f>
        <v/>
      </c>
      <c r="T908" s="27">
        <f>IF($A908="","",SUMIFS(出库单!$J$4:$J$4003,出库单!$D$4:$D$4003,$A908,出库单!$K$4:$K$4003,"盘亏",出库单!$U$4:$U$4003,"正常",出库单!$C$4:$C$4003,"&gt;="&amp;账期起,出库单!$C$4:$C$4003,"&lt;="&amp;账期止))</f>
        <v/>
      </c>
      <c r="U908" s="26">
        <f>IF($A908="","",ROUND(SUMIFS(出库单!$S$4:$S$4003,出库单!$D$4:$D$4003,$A908,出库单!$K$4:$K$4003,"盘亏",出库单!$U$4:$U$4003,"正常",出库单!$C$4:$C$4003,"&gt;="&amp;账期起,出库单!$C$4:$C$4003,"&lt;="&amp;账期止),0))</f>
        <v/>
      </c>
      <c r="V908" s="27">
        <f>IF($A908="","",SUMIFS(出库单!$J$4:$J$4003,出库单!$D$4:$D$4003,$A908,出库单!$K$4:$K$4003,"退货给供应商",出库单!$U$4:$U$4003,"正常",出库单!$C$4:$C$4003,"&gt;="&amp;账期起,出库单!$C$4:$C$4003,"&lt;="&amp;账期止))</f>
        <v/>
      </c>
      <c r="W908" s="26">
        <f>IF($A908="","",ROUND(SUMIFS(出库单!$S$4:$S$4003,出库单!$D$4:$D$4003,$A908,出库单!$K$4:$K$4003,"退货给供应商",出库单!$U$4:$U$4003,"正常",出库单!$C$4:$C$4003,"&gt;="&amp;账期起,出库单!$C$4:$C$4003,"&lt;="&amp;账期止),0))</f>
        <v/>
      </c>
      <c r="X908" s="27">
        <f>IF($A908="","",ROUND(N($G908)+$I908+$L908+$N908-$P908-$R908-$T908-$V908,3))</f>
        <v/>
      </c>
      <c r="Y908" s="26">
        <f>IF($A908="","",ROUND(N($H908)+$J908+$M908+$O908-$Q908-$S908-$U908-$W908,0))</f>
        <v/>
      </c>
      <c r="Z908" s="24">
        <f>IF($A908="","",IF(COUNTIFS(入库单!$G$4:$G$2503,$A908,入库单!$Y$4:$Y$2503,"待补价")+COUNTIFS(入库单!$G$4:$G$2503,$A908,入库单!$Y$4:$Y$2503,"暂估")&gt;0,"不可信","可信"))</f>
        <v/>
      </c>
      <c r="AA908" s="24">
        <f>IF($A908="","",IF($X908&lt;-0.001,"※账面负库存，查一下是不是漏记入库",IF(AND(ROUND($X908,3)=0,ABS($Y908)&gt;1),"※数量已经是 0，金额还挂着 "&amp;TEXT($Y908,"#,##0")&amp;" 先令",IF(AND($X908&gt;0,$Y908&lt;=0,$K908=0),"※有数量没金额（这个物料一直没填过进价）",IF($Z908="不可信","△成本含待补价/暂估，毛利仅供参考","")))))</f>
        <v/>
      </c>
    </row>
    <row r="909">
      <c r="A909" s="24">
        <f>IF(物料档案!$A908="","",物料档案!$A908)</f>
        <v/>
      </c>
      <c r="B909" s="24">
        <f>IF($A909="","",IFERROR(VLOOKUP($A909,物料档案!$A$4:$P$1203,3,0),""))</f>
        <v/>
      </c>
      <c r="C909" s="24">
        <f>IF($A909="","",IFERROR(VLOOKUP($A909,物料档案!$A$4:$P$1203,4,0),""))</f>
        <v/>
      </c>
      <c r="D909" s="24">
        <f>IF($A909="","",IFERROR(VLOOKUP($A909,物料档案!$A$4:$P$1203,5,0),""))</f>
        <v/>
      </c>
      <c r="E909" s="24">
        <f>IF($A909="","",IFERROR(VLOOKUP($A909,物料档案!$A$4:$P$1203,2,0),""))</f>
        <v/>
      </c>
      <c r="F909" s="24">
        <f>IF($A909="","",IFERROR(VLOOKUP($A909,物料档案!$A$4:$P$1203,6,0),""))</f>
        <v/>
      </c>
      <c r="G909" s="23" t="n"/>
      <c r="H909" s="32" t="n"/>
      <c r="I909" s="27">
        <f>IF($A909="","",SUMIFS(入库单!$K$4:$K$2503,入库单!$G$4:$G$2503,$A909,入库单!$X$4:$X$2503,"采购入库",入库单!$Z$4:$Z$2503,"正常",入库单!$C$4:$C$2503,"&gt;="&amp;账期起,入库单!$C$4:$C$2503,"&lt;="&amp;账期止))</f>
        <v/>
      </c>
      <c r="J909" s="26">
        <f>IF($A909="","",SUMIFS(入库单!$V$4:$V$2503,入库单!$G$4:$G$2503,$A909,入库单!$X$4:$X$2503,"采购入库",入库单!$Z$4:$Z$2503,"正常",入库单!$C$4:$C$2503,"&gt;="&amp;账期起,入库单!$C$4:$C$2503,"&lt;="&amp;账期止))</f>
        <v/>
      </c>
      <c r="K909" s="26">
        <f>IF($A909="","",IFERROR(ROUND((N($H909)+N($J909))/(N($G909)+N($I909)),2),0))</f>
        <v/>
      </c>
      <c r="L909" s="27">
        <f>IF($A909="","",SUMIFS(入库单!$K$4:$K$2503,入库单!$G$4:$G$2503,$A909,入库单!$X$4:$X$2503,"盘盈",入库单!$Z$4:$Z$2503,"正常",入库单!$C$4:$C$2503,"&gt;="&amp;账期起,入库单!$C$4:$C$2503,"&lt;="&amp;账期止))</f>
        <v/>
      </c>
      <c r="M909" s="26">
        <f>IF($A909="","",ROUND($L909*$K909,0))</f>
        <v/>
      </c>
      <c r="N909" s="27">
        <f>IF($A909="","",SUMIFS(入库单!$K$4:$K$2503,入库单!$G$4:$G$2503,$A909,入库单!$X$4:$X$2503,"矿区退库",入库单!$Z$4:$Z$2503,"正常",入库单!$C$4:$C$2503,"&gt;="&amp;账期起,入库单!$C$4:$C$2503,"&lt;="&amp;账期止))</f>
        <v/>
      </c>
      <c r="O909" s="26">
        <f>IF($A909="","",ROUND($N909*$K909,0))</f>
        <v/>
      </c>
      <c r="P909" s="27">
        <f>IF($A909="","",SUMIFS(出库单!$J$4:$J$4003,出库单!$D$4:$D$4003,$A909,出库单!$K$4:$K$4003,"自用消耗",出库单!$U$4:$U$4003,"正常",出库单!$C$4:$C$4003,"&gt;="&amp;账期起,出库单!$C$4:$C$4003,"&lt;="&amp;账期止))</f>
        <v/>
      </c>
      <c r="Q909" s="26">
        <f>IF($A909="","",ROUND(SUMIFS(出库单!$S$4:$S$4003,出库单!$D$4:$D$4003,$A909,出库单!$K$4:$K$4003,"自用消耗",出库单!$U$4:$U$4003,"正常",出库单!$C$4:$C$4003,"&gt;="&amp;账期起,出库单!$C$4:$C$4003,"&lt;="&amp;账期止),0))</f>
        <v/>
      </c>
      <c r="R909" s="27">
        <f>IF($A909="","",SUMIFS(出库单!$J$4:$J$4003,出库单!$D$4:$D$4003,$A909,出库单!$K$4:$K$4003,"对外销售",出库单!$U$4:$U$4003,"正常",出库单!$C$4:$C$4003,"&gt;="&amp;账期起,出库单!$C$4:$C$4003,"&lt;="&amp;账期止))</f>
        <v/>
      </c>
      <c r="S909" s="26">
        <f>IF($A909="","",ROUND(SUMIFS(出库单!$S$4:$S$4003,出库单!$D$4:$D$4003,$A909,出库单!$K$4:$K$4003,"对外销售",出库单!$U$4:$U$4003,"正常",出库单!$C$4:$C$4003,"&gt;="&amp;账期起,出库单!$C$4:$C$4003,"&lt;="&amp;账期止),0))</f>
        <v/>
      </c>
      <c r="T909" s="27">
        <f>IF($A909="","",SUMIFS(出库单!$J$4:$J$4003,出库单!$D$4:$D$4003,$A909,出库单!$K$4:$K$4003,"盘亏",出库单!$U$4:$U$4003,"正常",出库单!$C$4:$C$4003,"&gt;="&amp;账期起,出库单!$C$4:$C$4003,"&lt;="&amp;账期止))</f>
        <v/>
      </c>
      <c r="U909" s="26">
        <f>IF($A909="","",ROUND(SUMIFS(出库单!$S$4:$S$4003,出库单!$D$4:$D$4003,$A909,出库单!$K$4:$K$4003,"盘亏",出库单!$U$4:$U$4003,"正常",出库单!$C$4:$C$4003,"&gt;="&amp;账期起,出库单!$C$4:$C$4003,"&lt;="&amp;账期止),0))</f>
        <v/>
      </c>
      <c r="V909" s="27">
        <f>IF($A909="","",SUMIFS(出库单!$J$4:$J$4003,出库单!$D$4:$D$4003,$A909,出库单!$K$4:$K$4003,"退货给供应商",出库单!$U$4:$U$4003,"正常",出库单!$C$4:$C$4003,"&gt;="&amp;账期起,出库单!$C$4:$C$4003,"&lt;="&amp;账期止))</f>
        <v/>
      </c>
      <c r="W909" s="26">
        <f>IF($A909="","",ROUND(SUMIFS(出库单!$S$4:$S$4003,出库单!$D$4:$D$4003,$A909,出库单!$K$4:$K$4003,"退货给供应商",出库单!$U$4:$U$4003,"正常",出库单!$C$4:$C$4003,"&gt;="&amp;账期起,出库单!$C$4:$C$4003,"&lt;="&amp;账期止),0))</f>
        <v/>
      </c>
      <c r="X909" s="27">
        <f>IF($A909="","",ROUND(N($G909)+$I909+$L909+$N909-$P909-$R909-$T909-$V909,3))</f>
        <v/>
      </c>
      <c r="Y909" s="26">
        <f>IF($A909="","",ROUND(N($H909)+$J909+$M909+$O909-$Q909-$S909-$U909-$W909,0))</f>
        <v/>
      </c>
      <c r="Z909" s="24">
        <f>IF($A909="","",IF(COUNTIFS(入库单!$G$4:$G$2503,$A909,入库单!$Y$4:$Y$2503,"待补价")+COUNTIFS(入库单!$G$4:$G$2503,$A909,入库单!$Y$4:$Y$2503,"暂估")&gt;0,"不可信","可信"))</f>
        <v/>
      </c>
      <c r="AA909" s="24">
        <f>IF($A909="","",IF($X909&lt;-0.001,"※账面负库存，查一下是不是漏记入库",IF(AND(ROUND($X909,3)=0,ABS($Y909)&gt;1),"※数量已经是 0，金额还挂着 "&amp;TEXT($Y909,"#,##0")&amp;" 先令",IF(AND($X909&gt;0,$Y909&lt;=0,$K909=0),"※有数量没金额（这个物料一直没填过进价）",IF($Z909="不可信","△成本含待补价/暂估，毛利仅供参考","")))))</f>
        <v/>
      </c>
    </row>
    <row r="910">
      <c r="A910" s="24">
        <f>IF(物料档案!$A909="","",物料档案!$A909)</f>
        <v/>
      </c>
      <c r="B910" s="24">
        <f>IF($A910="","",IFERROR(VLOOKUP($A910,物料档案!$A$4:$P$1203,3,0),""))</f>
        <v/>
      </c>
      <c r="C910" s="24">
        <f>IF($A910="","",IFERROR(VLOOKUP($A910,物料档案!$A$4:$P$1203,4,0),""))</f>
        <v/>
      </c>
      <c r="D910" s="24">
        <f>IF($A910="","",IFERROR(VLOOKUP($A910,物料档案!$A$4:$P$1203,5,0),""))</f>
        <v/>
      </c>
      <c r="E910" s="24">
        <f>IF($A910="","",IFERROR(VLOOKUP($A910,物料档案!$A$4:$P$1203,2,0),""))</f>
        <v/>
      </c>
      <c r="F910" s="24">
        <f>IF($A910="","",IFERROR(VLOOKUP($A910,物料档案!$A$4:$P$1203,6,0),""))</f>
        <v/>
      </c>
      <c r="G910" s="23" t="n"/>
      <c r="H910" s="32" t="n"/>
      <c r="I910" s="27">
        <f>IF($A910="","",SUMIFS(入库单!$K$4:$K$2503,入库单!$G$4:$G$2503,$A910,入库单!$X$4:$X$2503,"采购入库",入库单!$Z$4:$Z$2503,"正常",入库单!$C$4:$C$2503,"&gt;="&amp;账期起,入库单!$C$4:$C$2503,"&lt;="&amp;账期止))</f>
        <v/>
      </c>
      <c r="J910" s="26">
        <f>IF($A910="","",SUMIFS(入库单!$V$4:$V$2503,入库单!$G$4:$G$2503,$A910,入库单!$X$4:$X$2503,"采购入库",入库单!$Z$4:$Z$2503,"正常",入库单!$C$4:$C$2503,"&gt;="&amp;账期起,入库单!$C$4:$C$2503,"&lt;="&amp;账期止))</f>
        <v/>
      </c>
      <c r="K910" s="26">
        <f>IF($A910="","",IFERROR(ROUND((N($H910)+N($J910))/(N($G910)+N($I910)),2),0))</f>
        <v/>
      </c>
      <c r="L910" s="27">
        <f>IF($A910="","",SUMIFS(入库单!$K$4:$K$2503,入库单!$G$4:$G$2503,$A910,入库单!$X$4:$X$2503,"盘盈",入库单!$Z$4:$Z$2503,"正常",入库单!$C$4:$C$2503,"&gt;="&amp;账期起,入库单!$C$4:$C$2503,"&lt;="&amp;账期止))</f>
        <v/>
      </c>
      <c r="M910" s="26">
        <f>IF($A910="","",ROUND($L910*$K910,0))</f>
        <v/>
      </c>
      <c r="N910" s="27">
        <f>IF($A910="","",SUMIFS(入库单!$K$4:$K$2503,入库单!$G$4:$G$2503,$A910,入库单!$X$4:$X$2503,"矿区退库",入库单!$Z$4:$Z$2503,"正常",入库单!$C$4:$C$2503,"&gt;="&amp;账期起,入库单!$C$4:$C$2503,"&lt;="&amp;账期止))</f>
        <v/>
      </c>
      <c r="O910" s="26">
        <f>IF($A910="","",ROUND($N910*$K910,0))</f>
        <v/>
      </c>
      <c r="P910" s="27">
        <f>IF($A910="","",SUMIFS(出库单!$J$4:$J$4003,出库单!$D$4:$D$4003,$A910,出库单!$K$4:$K$4003,"自用消耗",出库单!$U$4:$U$4003,"正常",出库单!$C$4:$C$4003,"&gt;="&amp;账期起,出库单!$C$4:$C$4003,"&lt;="&amp;账期止))</f>
        <v/>
      </c>
      <c r="Q910" s="26">
        <f>IF($A910="","",ROUND(SUMIFS(出库单!$S$4:$S$4003,出库单!$D$4:$D$4003,$A910,出库单!$K$4:$K$4003,"自用消耗",出库单!$U$4:$U$4003,"正常",出库单!$C$4:$C$4003,"&gt;="&amp;账期起,出库单!$C$4:$C$4003,"&lt;="&amp;账期止),0))</f>
        <v/>
      </c>
      <c r="R910" s="27">
        <f>IF($A910="","",SUMIFS(出库单!$J$4:$J$4003,出库单!$D$4:$D$4003,$A910,出库单!$K$4:$K$4003,"对外销售",出库单!$U$4:$U$4003,"正常",出库单!$C$4:$C$4003,"&gt;="&amp;账期起,出库单!$C$4:$C$4003,"&lt;="&amp;账期止))</f>
        <v/>
      </c>
      <c r="S910" s="26">
        <f>IF($A910="","",ROUND(SUMIFS(出库单!$S$4:$S$4003,出库单!$D$4:$D$4003,$A910,出库单!$K$4:$K$4003,"对外销售",出库单!$U$4:$U$4003,"正常",出库单!$C$4:$C$4003,"&gt;="&amp;账期起,出库单!$C$4:$C$4003,"&lt;="&amp;账期止),0))</f>
        <v/>
      </c>
      <c r="T910" s="27">
        <f>IF($A910="","",SUMIFS(出库单!$J$4:$J$4003,出库单!$D$4:$D$4003,$A910,出库单!$K$4:$K$4003,"盘亏",出库单!$U$4:$U$4003,"正常",出库单!$C$4:$C$4003,"&gt;="&amp;账期起,出库单!$C$4:$C$4003,"&lt;="&amp;账期止))</f>
        <v/>
      </c>
      <c r="U910" s="26">
        <f>IF($A910="","",ROUND(SUMIFS(出库单!$S$4:$S$4003,出库单!$D$4:$D$4003,$A910,出库单!$K$4:$K$4003,"盘亏",出库单!$U$4:$U$4003,"正常",出库单!$C$4:$C$4003,"&gt;="&amp;账期起,出库单!$C$4:$C$4003,"&lt;="&amp;账期止),0))</f>
        <v/>
      </c>
      <c r="V910" s="27">
        <f>IF($A910="","",SUMIFS(出库单!$J$4:$J$4003,出库单!$D$4:$D$4003,$A910,出库单!$K$4:$K$4003,"退货给供应商",出库单!$U$4:$U$4003,"正常",出库单!$C$4:$C$4003,"&gt;="&amp;账期起,出库单!$C$4:$C$4003,"&lt;="&amp;账期止))</f>
        <v/>
      </c>
      <c r="W910" s="26">
        <f>IF($A910="","",ROUND(SUMIFS(出库单!$S$4:$S$4003,出库单!$D$4:$D$4003,$A910,出库单!$K$4:$K$4003,"退货给供应商",出库单!$U$4:$U$4003,"正常",出库单!$C$4:$C$4003,"&gt;="&amp;账期起,出库单!$C$4:$C$4003,"&lt;="&amp;账期止),0))</f>
        <v/>
      </c>
      <c r="X910" s="27">
        <f>IF($A910="","",ROUND(N($G910)+$I910+$L910+$N910-$P910-$R910-$T910-$V910,3))</f>
        <v/>
      </c>
      <c r="Y910" s="26">
        <f>IF($A910="","",ROUND(N($H910)+$J910+$M910+$O910-$Q910-$S910-$U910-$W910,0))</f>
        <v/>
      </c>
      <c r="Z910" s="24">
        <f>IF($A910="","",IF(COUNTIFS(入库单!$G$4:$G$2503,$A910,入库单!$Y$4:$Y$2503,"待补价")+COUNTIFS(入库单!$G$4:$G$2503,$A910,入库单!$Y$4:$Y$2503,"暂估")&gt;0,"不可信","可信"))</f>
        <v/>
      </c>
      <c r="AA910" s="24">
        <f>IF($A910="","",IF($X910&lt;-0.001,"※账面负库存，查一下是不是漏记入库",IF(AND(ROUND($X910,3)=0,ABS($Y910)&gt;1),"※数量已经是 0，金额还挂着 "&amp;TEXT($Y910,"#,##0")&amp;" 先令",IF(AND($X910&gt;0,$Y910&lt;=0,$K910=0),"※有数量没金额（这个物料一直没填过进价）",IF($Z910="不可信","△成本含待补价/暂估，毛利仅供参考","")))))</f>
        <v/>
      </c>
    </row>
    <row r="911">
      <c r="A911" s="24">
        <f>IF(物料档案!$A910="","",物料档案!$A910)</f>
        <v/>
      </c>
      <c r="B911" s="24">
        <f>IF($A911="","",IFERROR(VLOOKUP($A911,物料档案!$A$4:$P$1203,3,0),""))</f>
        <v/>
      </c>
      <c r="C911" s="24">
        <f>IF($A911="","",IFERROR(VLOOKUP($A911,物料档案!$A$4:$P$1203,4,0),""))</f>
        <v/>
      </c>
      <c r="D911" s="24">
        <f>IF($A911="","",IFERROR(VLOOKUP($A911,物料档案!$A$4:$P$1203,5,0),""))</f>
        <v/>
      </c>
      <c r="E911" s="24">
        <f>IF($A911="","",IFERROR(VLOOKUP($A911,物料档案!$A$4:$P$1203,2,0),""))</f>
        <v/>
      </c>
      <c r="F911" s="24">
        <f>IF($A911="","",IFERROR(VLOOKUP($A911,物料档案!$A$4:$P$1203,6,0),""))</f>
        <v/>
      </c>
      <c r="G911" s="23" t="n"/>
      <c r="H911" s="32" t="n"/>
      <c r="I911" s="27">
        <f>IF($A911="","",SUMIFS(入库单!$K$4:$K$2503,入库单!$G$4:$G$2503,$A911,入库单!$X$4:$X$2503,"采购入库",入库单!$Z$4:$Z$2503,"正常",入库单!$C$4:$C$2503,"&gt;="&amp;账期起,入库单!$C$4:$C$2503,"&lt;="&amp;账期止))</f>
        <v/>
      </c>
      <c r="J911" s="26">
        <f>IF($A911="","",SUMIFS(入库单!$V$4:$V$2503,入库单!$G$4:$G$2503,$A911,入库单!$X$4:$X$2503,"采购入库",入库单!$Z$4:$Z$2503,"正常",入库单!$C$4:$C$2503,"&gt;="&amp;账期起,入库单!$C$4:$C$2503,"&lt;="&amp;账期止))</f>
        <v/>
      </c>
      <c r="K911" s="26">
        <f>IF($A911="","",IFERROR(ROUND((N($H911)+N($J911))/(N($G911)+N($I911)),2),0))</f>
        <v/>
      </c>
      <c r="L911" s="27">
        <f>IF($A911="","",SUMIFS(入库单!$K$4:$K$2503,入库单!$G$4:$G$2503,$A911,入库单!$X$4:$X$2503,"盘盈",入库单!$Z$4:$Z$2503,"正常",入库单!$C$4:$C$2503,"&gt;="&amp;账期起,入库单!$C$4:$C$2503,"&lt;="&amp;账期止))</f>
        <v/>
      </c>
      <c r="M911" s="26">
        <f>IF($A911="","",ROUND($L911*$K911,0))</f>
        <v/>
      </c>
      <c r="N911" s="27">
        <f>IF($A911="","",SUMIFS(入库单!$K$4:$K$2503,入库单!$G$4:$G$2503,$A911,入库单!$X$4:$X$2503,"矿区退库",入库单!$Z$4:$Z$2503,"正常",入库单!$C$4:$C$2503,"&gt;="&amp;账期起,入库单!$C$4:$C$2503,"&lt;="&amp;账期止))</f>
        <v/>
      </c>
      <c r="O911" s="26">
        <f>IF($A911="","",ROUND($N911*$K911,0))</f>
        <v/>
      </c>
      <c r="P911" s="27">
        <f>IF($A911="","",SUMIFS(出库单!$J$4:$J$4003,出库单!$D$4:$D$4003,$A911,出库单!$K$4:$K$4003,"自用消耗",出库单!$U$4:$U$4003,"正常",出库单!$C$4:$C$4003,"&gt;="&amp;账期起,出库单!$C$4:$C$4003,"&lt;="&amp;账期止))</f>
        <v/>
      </c>
      <c r="Q911" s="26">
        <f>IF($A911="","",ROUND(SUMIFS(出库单!$S$4:$S$4003,出库单!$D$4:$D$4003,$A911,出库单!$K$4:$K$4003,"自用消耗",出库单!$U$4:$U$4003,"正常",出库单!$C$4:$C$4003,"&gt;="&amp;账期起,出库单!$C$4:$C$4003,"&lt;="&amp;账期止),0))</f>
        <v/>
      </c>
      <c r="R911" s="27">
        <f>IF($A911="","",SUMIFS(出库单!$J$4:$J$4003,出库单!$D$4:$D$4003,$A911,出库单!$K$4:$K$4003,"对外销售",出库单!$U$4:$U$4003,"正常",出库单!$C$4:$C$4003,"&gt;="&amp;账期起,出库单!$C$4:$C$4003,"&lt;="&amp;账期止))</f>
        <v/>
      </c>
      <c r="S911" s="26">
        <f>IF($A911="","",ROUND(SUMIFS(出库单!$S$4:$S$4003,出库单!$D$4:$D$4003,$A911,出库单!$K$4:$K$4003,"对外销售",出库单!$U$4:$U$4003,"正常",出库单!$C$4:$C$4003,"&gt;="&amp;账期起,出库单!$C$4:$C$4003,"&lt;="&amp;账期止),0))</f>
        <v/>
      </c>
      <c r="T911" s="27">
        <f>IF($A911="","",SUMIFS(出库单!$J$4:$J$4003,出库单!$D$4:$D$4003,$A911,出库单!$K$4:$K$4003,"盘亏",出库单!$U$4:$U$4003,"正常",出库单!$C$4:$C$4003,"&gt;="&amp;账期起,出库单!$C$4:$C$4003,"&lt;="&amp;账期止))</f>
        <v/>
      </c>
      <c r="U911" s="26">
        <f>IF($A911="","",ROUND(SUMIFS(出库单!$S$4:$S$4003,出库单!$D$4:$D$4003,$A911,出库单!$K$4:$K$4003,"盘亏",出库单!$U$4:$U$4003,"正常",出库单!$C$4:$C$4003,"&gt;="&amp;账期起,出库单!$C$4:$C$4003,"&lt;="&amp;账期止),0))</f>
        <v/>
      </c>
      <c r="V911" s="27">
        <f>IF($A911="","",SUMIFS(出库单!$J$4:$J$4003,出库单!$D$4:$D$4003,$A911,出库单!$K$4:$K$4003,"退货给供应商",出库单!$U$4:$U$4003,"正常",出库单!$C$4:$C$4003,"&gt;="&amp;账期起,出库单!$C$4:$C$4003,"&lt;="&amp;账期止))</f>
        <v/>
      </c>
      <c r="W911" s="26">
        <f>IF($A911="","",ROUND(SUMIFS(出库单!$S$4:$S$4003,出库单!$D$4:$D$4003,$A911,出库单!$K$4:$K$4003,"退货给供应商",出库单!$U$4:$U$4003,"正常",出库单!$C$4:$C$4003,"&gt;="&amp;账期起,出库单!$C$4:$C$4003,"&lt;="&amp;账期止),0))</f>
        <v/>
      </c>
      <c r="X911" s="27">
        <f>IF($A911="","",ROUND(N($G911)+$I911+$L911+$N911-$P911-$R911-$T911-$V911,3))</f>
        <v/>
      </c>
      <c r="Y911" s="26">
        <f>IF($A911="","",ROUND(N($H911)+$J911+$M911+$O911-$Q911-$S911-$U911-$W911,0))</f>
        <v/>
      </c>
      <c r="Z911" s="24">
        <f>IF($A911="","",IF(COUNTIFS(入库单!$G$4:$G$2503,$A911,入库单!$Y$4:$Y$2503,"待补价")+COUNTIFS(入库单!$G$4:$G$2503,$A911,入库单!$Y$4:$Y$2503,"暂估")&gt;0,"不可信","可信"))</f>
        <v/>
      </c>
      <c r="AA911" s="24">
        <f>IF($A911="","",IF($X911&lt;-0.001,"※账面负库存，查一下是不是漏记入库",IF(AND(ROUND($X911,3)=0,ABS($Y911)&gt;1),"※数量已经是 0，金额还挂着 "&amp;TEXT($Y911,"#,##0")&amp;" 先令",IF(AND($X911&gt;0,$Y911&lt;=0,$K911=0),"※有数量没金额（这个物料一直没填过进价）",IF($Z911="不可信","△成本含待补价/暂估，毛利仅供参考","")))))</f>
        <v/>
      </c>
    </row>
    <row r="912">
      <c r="A912" s="24">
        <f>IF(物料档案!$A911="","",物料档案!$A911)</f>
        <v/>
      </c>
      <c r="B912" s="24">
        <f>IF($A912="","",IFERROR(VLOOKUP($A912,物料档案!$A$4:$P$1203,3,0),""))</f>
        <v/>
      </c>
      <c r="C912" s="24">
        <f>IF($A912="","",IFERROR(VLOOKUP($A912,物料档案!$A$4:$P$1203,4,0),""))</f>
        <v/>
      </c>
      <c r="D912" s="24">
        <f>IF($A912="","",IFERROR(VLOOKUP($A912,物料档案!$A$4:$P$1203,5,0),""))</f>
        <v/>
      </c>
      <c r="E912" s="24">
        <f>IF($A912="","",IFERROR(VLOOKUP($A912,物料档案!$A$4:$P$1203,2,0),""))</f>
        <v/>
      </c>
      <c r="F912" s="24">
        <f>IF($A912="","",IFERROR(VLOOKUP($A912,物料档案!$A$4:$P$1203,6,0),""))</f>
        <v/>
      </c>
      <c r="G912" s="23" t="n"/>
      <c r="H912" s="32" t="n"/>
      <c r="I912" s="27">
        <f>IF($A912="","",SUMIFS(入库单!$K$4:$K$2503,入库单!$G$4:$G$2503,$A912,入库单!$X$4:$X$2503,"采购入库",入库单!$Z$4:$Z$2503,"正常",入库单!$C$4:$C$2503,"&gt;="&amp;账期起,入库单!$C$4:$C$2503,"&lt;="&amp;账期止))</f>
        <v/>
      </c>
      <c r="J912" s="26">
        <f>IF($A912="","",SUMIFS(入库单!$V$4:$V$2503,入库单!$G$4:$G$2503,$A912,入库单!$X$4:$X$2503,"采购入库",入库单!$Z$4:$Z$2503,"正常",入库单!$C$4:$C$2503,"&gt;="&amp;账期起,入库单!$C$4:$C$2503,"&lt;="&amp;账期止))</f>
        <v/>
      </c>
      <c r="K912" s="26">
        <f>IF($A912="","",IFERROR(ROUND((N($H912)+N($J912))/(N($G912)+N($I912)),2),0))</f>
        <v/>
      </c>
      <c r="L912" s="27">
        <f>IF($A912="","",SUMIFS(入库单!$K$4:$K$2503,入库单!$G$4:$G$2503,$A912,入库单!$X$4:$X$2503,"盘盈",入库单!$Z$4:$Z$2503,"正常",入库单!$C$4:$C$2503,"&gt;="&amp;账期起,入库单!$C$4:$C$2503,"&lt;="&amp;账期止))</f>
        <v/>
      </c>
      <c r="M912" s="26">
        <f>IF($A912="","",ROUND($L912*$K912,0))</f>
        <v/>
      </c>
      <c r="N912" s="27">
        <f>IF($A912="","",SUMIFS(入库单!$K$4:$K$2503,入库单!$G$4:$G$2503,$A912,入库单!$X$4:$X$2503,"矿区退库",入库单!$Z$4:$Z$2503,"正常",入库单!$C$4:$C$2503,"&gt;="&amp;账期起,入库单!$C$4:$C$2503,"&lt;="&amp;账期止))</f>
        <v/>
      </c>
      <c r="O912" s="26">
        <f>IF($A912="","",ROUND($N912*$K912,0))</f>
        <v/>
      </c>
      <c r="P912" s="27">
        <f>IF($A912="","",SUMIFS(出库单!$J$4:$J$4003,出库单!$D$4:$D$4003,$A912,出库单!$K$4:$K$4003,"自用消耗",出库单!$U$4:$U$4003,"正常",出库单!$C$4:$C$4003,"&gt;="&amp;账期起,出库单!$C$4:$C$4003,"&lt;="&amp;账期止))</f>
        <v/>
      </c>
      <c r="Q912" s="26">
        <f>IF($A912="","",ROUND(SUMIFS(出库单!$S$4:$S$4003,出库单!$D$4:$D$4003,$A912,出库单!$K$4:$K$4003,"自用消耗",出库单!$U$4:$U$4003,"正常",出库单!$C$4:$C$4003,"&gt;="&amp;账期起,出库单!$C$4:$C$4003,"&lt;="&amp;账期止),0))</f>
        <v/>
      </c>
      <c r="R912" s="27">
        <f>IF($A912="","",SUMIFS(出库单!$J$4:$J$4003,出库单!$D$4:$D$4003,$A912,出库单!$K$4:$K$4003,"对外销售",出库单!$U$4:$U$4003,"正常",出库单!$C$4:$C$4003,"&gt;="&amp;账期起,出库单!$C$4:$C$4003,"&lt;="&amp;账期止))</f>
        <v/>
      </c>
      <c r="S912" s="26">
        <f>IF($A912="","",ROUND(SUMIFS(出库单!$S$4:$S$4003,出库单!$D$4:$D$4003,$A912,出库单!$K$4:$K$4003,"对外销售",出库单!$U$4:$U$4003,"正常",出库单!$C$4:$C$4003,"&gt;="&amp;账期起,出库单!$C$4:$C$4003,"&lt;="&amp;账期止),0))</f>
        <v/>
      </c>
      <c r="T912" s="27">
        <f>IF($A912="","",SUMIFS(出库单!$J$4:$J$4003,出库单!$D$4:$D$4003,$A912,出库单!$K$4:$K$4003,"盘亏",出库单!$U$4:$U$4003,"正常",出库单!$C$4:$C$4003,"&gt;="&amp;账期起,出库单!$C$4:$C$4003,"&lt;="&amp;账期止))</f>
        <v/>
      </c>
      <c r="U912" s="26">
        <f>IF($A912="","",ROUND(SUMIFS(出库单!$S$4:$S$4003,出库单!$D$4:$D$4003,$A912,出库单!$K$4:$K$4003,"盘亏",出库单!$U$4:$U$4003,"正常",出库单!$C$4:$C$4003,"&gt;="&amp;账期起,出库单!$C$4:$C$4003,"&lt;="&amp;账期止),0))</f>
        <v/>
      </c>
      <c r="V912" s="27">
        <f>IF($A912="","",SUMIFS(出库单!$J$4:$J$4003,出库单!$D$4:$D$4003,$A912,出库单!$K$4:$K$4003,"退货给供应商",出库单!$U$4:$U$4003,"正常",出库单!$C$4:$C$4003,"&gt;="&amp;账期起,出库单!$C$4:$C$4003,"&lt;="&amp;账期止))</f>
        <v/>
      </c>
      <c r="W912" s="26">
        <f>IF($A912="","",ROUND(SUMIFS(出库单!$S$4:$S$4003,出库单!$D$4:$D$4003,$A912,出库单!$K$4:$K$4003,"退货给供应商",出库单!$U$4:$U$4003,"正常",出库单!$C$4:$C$4003,"&gt;="&amp;账期起,出库单!$C$4:$C$4003,"&lt;="&amp;账期止),0))</f>
        <v/>
      </c>
      <c r="X912" s="27">
        <f>IF($A912="","",ROUND(N($G912)+$I912+$L912+$N912-$P912-$R912-$T912-$V912,3))</f>
        <v/>
      </c>
      <c r="Y912" s="26">
        <f>IF($A912="","",ROUND(N($H912)+$J912+$M912+$O912-$Q912-$S912-$U912-$W912,0))</f>
        <v/>
      </c>
      <c r="Z912" s="24">
        <f>IF($A912="","",IF(COUNTIFS(入库单!$G$4:$G$2503,$A912,入库单!$Y$4:$Y$2503,"待补价")+COUNTIFS(入库单!$G$4:$G$2503,$A912,入库单!$Y$4:$Y$2503,"暂估")&gt;0,"不可信","可信"))</f>
        <v/>
      </c>
      <c r="AA912" s="24">
        <f>IF($A912="","",IF($X912&lt;-0.001,"※账面负库存，查一下是不是漏记入库",IF(AND(ROUND($X912,3)=0,ABS($Y912)&gt;1),"※数量已经是 0，金额还挂着 "&amp;TEXT($Y912,"#,##0")&amp;" 先令",IF(AND($X912&gt;0,$Y912&lt;=0,$K912=0),"※有数量没金额（这个物料一直没填过进价）",IF($Z912="不可信","△成本含待补价/暂估，毛利仅供参考","")))))</f>
        <v/>
      </c>
    </row>
    <row r="913">
      <c r="A913" s="24">
        <f>IF(物料档案!$A912="","",物料档案!$A912)</f>
        <v/>
      </c>
      <c r="B913" s="24">
        <f>IF($A913="","",IFERROR(VLOOKUP($A913,物料档案!$A$4:$P$1203,3,0),""))</f>
        <v/>
      </c>
      <c r="C913" s="24">
        <f>IF($A913="","",IFERROR(VLOOKUP($A913,物料档案!$A$4:$P$1203,4,0),""))</f>
        <v/>
      </c>
      <c r="D913" s="24">
        <f>IF($A913="","",IFERROR(VLOOKUP($A913,物料档案!$A$4:$P$1203,5,0),""))</f>
        <v/>
      </c>
      <c r="E913" s="24">
        <f>IF($A913="","",IFERROR(VLOOKUP($A913,物料档案!$A$4:$P$1203,2,0),""))</f>
        <v/>
      </c>
      <c r="F913" s="24">
        <f>IF($A913="","",IFERROR(VLOOKUP($A913,物料档案!$A$4:$P$1203,6,0),""))</f>
        <v/>
      </c>
      <c r="G913" s="23" t="n"/>
      <c r="H913" s="32" t="n"/>
      <c r="I913" s="27">
        <f>IF($A913="","",SUMIFS(入库单!$K$4:$K$2503,入库单!$G$4:$G$2503,$A913,入库单!$X$4:$X$2503,"采购入库",入库单!$Z$4:$Z$2503,"正常",入库单!$C$4:$C$2503,"&gt;="&amp;账期起,入库单!$C$4:$C$2503,"&lt;="&amp;账期止))</f>
        <v/>
      </c>
      <c r="J913" s="26">
        <f>IF($A913="","",SUMIFS(入库单!$V$4:$V$2503,入库单!$G$4:$G$2503,$A913,入库单!$X$4:$X$2503,"采购入库",入库单!$Z$4:$Z$2503,"正常",入库单!$C$4:$C$2503,"&gt;="&amp;账期起,入库单!$C$4:$C$2503,"&lt;="&amp;账期止))</f>
        <v/>
      </c>
      <c r="K913" s="26">
        <f>IF($A913="","",IFERROR(ROUND((N($H913)+N($J913))/(N($G913)+N($I913)),2),0))</f>
        <v/>
      </c>
      <c r="L913" s="27">
        <f>IF($A913="","",SUMIFS(入库单!$K$4:$K$2503,入库单!$G$4:$G$2503,$A913,入库单!$X$4:$X$2503,"盘盈",入库单!$Z$4:$Z$2503,"正常",入库单!$C$4:$C$2503,"&gt;="&amp;账期起,入库单!$C$4:$C$2503,"&lt;="&amp;账期止))</f>
        <v/>
      </c>
      <c r="M913" s="26">
        <f>IF($A913="","",ROUND($L913*$K913,0))</f>
        <v/>
      </c>
      <c r="N913" s="27">
        <f>IF($A913="","",SUMIFS(入库单!$K$4:$K$2503,入库单!$G$4:$G$2503,$A913,入库单!$X$4:$X$2503,"矿区退库",入库单!$Z$4:$Z$2503,"正常",入库单!$C$4:$C$2503,"&gt;="&amp;账期起,入库单!$C$4:$C$2503,"&lt;="&amp;账期止))</f>
        <v/>
      </c>
      <c r="O913" s="26">
        <f>IF($A913="","",ROUND($N913*$K913,0))</f>
        <v/>
      </c>
      <c r="P913" s="27">
        <f>IF($A913="","",SUMIFS(出库单!$J$4:$J$4003,出库单!$D$4:$D$4003,$A913,出库单!$K$4:$K$4003,"自用消耗",出库单!$U$4:$U$4003,"正常",出库单!$C$4:$C$4003,"&gt;="&amp;账期起,出库单!$C$4:$C$4003,"&lt;="&amp;账期止))</f>
        <v/>
      </c>
      <c r="Q913" s="26">
        <f>IF($A913="","",ROUND(SUMIFS(出库单!$S$4:$S$4003,出库单!$D$4:$D$4003,$A913,出库单!$K$4:$K$4003,"自用消耗",出库单!$U$4:$U$4003,"正常",出库单!$C$4:$C$4003,"&gt;="&amp;账期起,出库单!$C$4:$C$4003,"&lt;="&amp;账期止),0))</f>
        <v/>
      </c>
      <c r="R913" s="27">
        <f>IF($A913="","",SUMIFS(出库单!$J$4:$J$4003,出库单!$D$4:$D$4003,$A913,出库单!$K$4:$K$4003,"对外销售",出库单!$U$4:$U$4003,"正常",出库单!$C$4:$C$4003,"&gt;="&amp;账期起,出库单!$C$4:$C$4003,"&lt;="&amp;账期止))</f>
        <v/>
      </c>
      <c r="S913" s="26">
        <f>IF($A913="","",ROUND(SUMIFS(出库单!$S$4:$S$4003,出库单!$D$4:$D$4003,$A913,出库单!$K$4:$K$4003,"对外销售",出库单!$U$4:$U$4003,"正常",出库单!$C$4:$C$4003,"&gt;="&amp;账期起,出库单!$C$4:$C$4003,"&lt;="&amp;账期止),0))</f>
        <v/>
      </c>
      <c r="T913" s="27">
        <f>IF($A913="","",SUMIFS(出库单!$J$4:$J$4003,出库单!$D$4:$D$4003,$A913,出库单!$K$4:$K$4003,"盘亏",出库单!$U$4:$U$4003,"正常",出库单!$C$4:$C$4003,"&gt;="&amp;账期起,出库单!$C$4:$C$4003,"&lt;="&amp;账期止))</f>
        <v/>
      </c>
      <c r="U913" s="26">
        <f>IF($A913="","",ROUND(SUMIFS(出库单!$S$4:$S$4003,出库单!$D$4:$D$4003,$A913,出库单!$K$4:$K$4003,"盘亏",出库单!$U$4:$U$4003,"正常",出库单!$C$4:$C$4003,"&gt;="&amp;账期起,出库单!$C$4:$C$4003,"&lt;="&amp;账期止),0))</f>
        <v/>
      </c>
      <c r="V913" s="27">
        <f>IF($A913="","",SUMIFS(出库单!$J$4:$J$4003,出库单!$D$4:$D$4003,$A913,出库单!$K$4:$K$4003,"退货给供应商",出库单!$U$4:$U$4003,"正常",出库单!$C$4:$C$4003,"&gt;="&amp;账期起,出库单!$C$4:$C$4003,"&lt;="&amp;账期止))</f>
        <v/>
      </c>
      <c r="W913" s="26">
        <f>IF($A913="","",ROUND(SUMIFS(出库单!$S$4:$S$4003,出库单!$D$4:$D$4003,$A913,出库单!$K$4:$K$4003,"退货给供应商",出库单!$U$4:$U$4003,"正常",出库单!$C$4:$C$4003,"&gt;="&amp;账期起,出库单!$C$4:$C$4003,"&lt;="&amp;账期止),0))</f>
        <v/>
      </c>
      <c r="X913" s="27">
        <f>IF($A913="","",ROUND(N($G913)+$I913+$L913+$N913-$P913-$R913-$T913-$V913,3))</f>
        <v/>
      </c>
      <c r="Y913" s="26">
        <f>IF($A913="","",ROUND(N($H913)+$J913+$M913+$O913-$Q913-$S913-$U913-$W913,0))</f>
        <v/>
      </c>
      <c r="Z913" s="24">
        <f>IF($A913="","",IF(COUNTIFS(入库单!$G$4:$G$2503,$A913,入库单!$Y$4:$Y$2503,"待补价")+COUNTIFS(入库单!$G$4:$G$2503,$A913,入库单!$Y$4:$Y$2503,"暂估")&gt;0,"不可信","可信"))</f>
        <v/>
      </c>
      <c r="AA913" s="24">
        <f>IF($A913="","",IF($X913&lt;-0.001,"※账面负库存，查一下是不是漏记入库",IF(AND(ROUND($X913,3)=0,ABS($Y913)&gt;1),"※数量已经是 0，金额还挂着 "&amp;TEXT($Y913,"#,##0")&amp;" 先令",IF(AND($X913&gt;0,$Y913&lt;=0,$K913=0),"※有数量没金额（这个物料一直没填过进价）",IF($Z913="不可信","△成本含待补价/暂估，毛利仅供参考","")))))</f>
        <v/>
      </c>
    </row>
    <row r="914">
      <c r="A914" s="24">
        <f>IF(物料档案!$A913="","",物料档案!$A913)</f>
        <v/>
      </c>
      <c r="B914" s="24">
        <f>IF($A914="","",IFERROR(VLOOKUP($A914,物料档案!$A$4:$P$1203,3,0),""))</f>
        <v/>
      </c>
      <c r="C914" s="24">
        <f>IF($A914="","",IFERROR(VLOOKUP($A914,物料档案!$A$4:$P$1203,4,0),""))</f>
        <v/>
      </c>
      <c r="D914" s="24">
        <f>IF($A914="","",IFERROR(VLOOKUP($A914,物料档案!$A$4:$P$1203,5,0),""))</f>
        <v/>
      </c>
      <c r="E914" s="24">
        <f>IF($A914="","",IFERROR(VLOOKUP($A914,物料档案!$A$4:$P$1203,2,0),""))</f>
        <v/>
      </c>
      <c r="F914" s="24">
        <f>IF($A914="","",IFERROR(VLOOKUP($A914,物料档案!$A$4:$P$1203,6,0),""))</f>
        <v/>
      </c>
      <c r="G914" s="23" t="n"/>
      <c r="H914" s="32" t="n"/>
      <c r="I914" s="27">
        <f>IF($A914="","",SUMIFS(入库单!$K$4:$K$2503,入库单!$G$4:$G$2503,$A914,入库单!$X$4:$X$2503,"采购入库",入库单!$Z$4:$Z$2503,"正常",入库单!$C$4:$C$2503,"&gt;="&amp;账期起,入库单!$C$4:$C$2503,"&lt;="&amp;账期止))</f>
        <v/>
      </c>
      <c r="J914" s="26">
        <f>IF($A914="","",SUMIFS(入库单!$V$4:$V$2503,入库单!$G$4:$G$2503,$A914,入库单!$X$4:$X$2503,"采购入库",入库单!$Z$4:$Z$2503,"正常",入库单!$C$4:$C$2503,"&gt;="&amp;账期起,入库单!$C$4:$C$2503,"&lt;="&amp;账期止))</f>
        <v/>
      </c>
      <c r="K914" s="26">
        <f>IF($A914="","",IFERROR(ROUND((N($H914)+N($J914))/(N($G914)+N($I914)),2),0))</f>
        <v/>
      </c>
      <c r="L914" s="27">
        <f>IF($A914="","",SUMIFS(入库单!$K$4:$K$2503,入库单!$G$4:$G$2503,$A914,入库单!$X$4:$X$2503,"盘盈",入库单!$Z$4:$Z$2503,"正常",入库单!$C$4:$C$2503,"&gt;="&amp;账期起,入库单!$C$4:$C$2503,"&lt;="&amp;账期止))</f>
        <v/>
      </c>
      <c r="M914" s="26">
        <f>IF($A914="","",ROUND($L914*$K914,0))</f>
        <v/>
      </c>
      <c r="N914" s="27">
        <f>IF($A914="","",SUMIFS(入库单!$K$4:$K$2503,入库单!$G$4:$G$2503,$A914,入库单!$X$4:$X$2503,"矿区退库",入库单!$Z$4:$Z$2503,"正常",入库单!$C$4:$C$2503,"&gt;="&amp;账期起,入库单!$C$4:$C$2503,"&lt;="&amp;账期止))</f>
        <v/>
      </c>
      <c r="O914" s="26">
        <f>IF($A914="","",ROUND($N914*$K914,0))</f>
        <v/>
      </c>
      <c r="P914" s="27">
        <f>IF($A914="","",SUMIFS(出库单!$J$4:$J$4003,出库单!$D$4:$D$4003,$A914,出库单!$K$4:$K$4003,"自用消耗",出库单!$U$4:$U$4003,"正常",出库单!$C$4:$C$4003,"&gt;="&amp;账期起,出库单!$C$4:$C$4003,"&lt;="&amp;账期止))</f>
        <v/>
      </c>
      <c r="Q914" s="26">
        <f>IF($A914="","",ROUND(SUMIFS(出库单!$S$4:$S$4003,出库单!$D$4:$D$4003,$A914,出库单!$K$4:$K$4003,"自用消耗",出库单!$U$4:$U$4003,"正常",出库单!$C$4:$C$4003,"&gt;="&amp;账期起,出库单!$C$4:$C$4003,"&lt;="&amp;账期止),0))</f>
        <v/>
      </c>
      <c r="R914" s="27">
        <f>IF($A914="","",SUMIFS(出库单!$J$4:$J$4003,出库单!$D$4:$D$4003,$A914,出库单!$K$4:$K$4003,"对外销售",出库单!$U$4:$U$4003,"正常",出库单!$C$4:$C$4003,"&gt;="&amp;账期起,出库单!$C$4:$C$4003,"&lt;="&amp;账期止))</f>
        <v/>
      </c>
      <c r="S914" s="26">
        <f>IF($A914="","",ROUND(SUMIFS(出库单!$S$4:$S$4003,出库单!$D$4:$D$4003,$A914,出库单!$K$4:$K$4003,"对外销售",出库单!$U$4:$U$4003,"正常",出库单!$C$4:$C$4003,"&gt;="&amp;账期起,出库单!$C$4:$C$4003,"&lt;="&amp;账期止),0))</f>
        <v/>
      </c>
      <c r="T914" s="27">
        <f>IF($A914="","",SUMIFS(出库单!$J$4:$J$4003,出库单!$D$4:$D$4003,$A914,出库单!$K$4:$K$4003,"盘亏",出库单!$U$4:$U$4003,"正常",出库单!$C$4:$C$4003,"&gt;="&amp;账期起,出库单!$C$4:$C$4003,"&lt;="&amp;账期止))</f>
        <v/>
      </c>
      <c r="U914" s="26">
        <f>IF($A914="","",ROUND(SUMIFS(出库单!$S$4:$S$4003,出库单!$D$4:$D$4003,$A914,出库单!$K$4:$K$4003,"盘亏",出库单!$U$4:$U$4003,"正常",出库单!$C$4:$C$4003,"&gt;="&amp;账期起,出库单!$C$4:$C$4003,"&lt;="&amp;账期止),0))</f>
        <v/>
      </c>
      <c r="V914" s="27">
        <f>IF($A914="","",SUMIFS(出库单!$J$4:$J$4003,出库单!$D$4:$D$4003,$A914,出库单!$K$4:$K$4003,"退货给供应商",出库单!$U$4:$U$4003,"正常",出库单!$C$4:$C$4003,"&gt;="&amp;账期起,出库单!$C$4:$C$4003,"&lt;="&amp;账期止))</f>
        <v/>
      </c>
      <c r="W914" s="26">
        <f>IF($A914="","",ROUND(SUMIFS(出库单!$S$4:$S$4003,出库单!$D$4:$D$4003,$A914,出库单!$K$4:$K$4003,"退货给供应商",出库单!$U$4:$U$4003,"正常",出库单!$C$4:$C$4003,"&gt;="&amp;账期起,出库单!$C$4:$C$4003,"&lt;="&amp;账期止),0))</f>
        <v/>
      </c>
      <c r="X914" s="27">
        <f>IF($A914="","",ROUND(N($G914)+$I914+$L914+$N914-$P914-$R914-$T914-$V914,3))</f>
        <v/>
      </c>
      <c r="Y914" s="26">
        <f>IF($A914="","",ROUND(N($H914)+$J914+$M914+$O914-$Q914-$S914-$U914-$W914,0))</f>
        <v/>
      </c>
      <c r="Z914" s="24">
        <f>IF($A914="","",IF(COUNTIFS(入库单!$G$4:$G$2503,$A914,入库单!$Y$4:$Y$2503,"待补价")+COUNTIFS(入库单!$G$4:$G$2503,$A914,入库单!$Y$4:$Y$2503,"暂估")&gt;0,"不可信","可信"))</f>
        <v/>
      </c>
      <c r="AA914" s="24">
        <f>IF($A914="","",IF($X914&lt;-0.001,"※账面负库存，查一下是不是漏记入库",IF(AND(ROUND($X914,3)=0,ABS($Y914)&gt;1),"※数量已经是 0，金额还挂着 "&amp;TEXT($Y914,"#,##0")&amp;" 先令",IF(AND($X914&gt;0,$Y914&lt;=0,$K914=0),"※有数量没金额（这个物料一直没填过进价）",IF($Z914="不可信","△成本含待补价/暂估，毛利仅供参考","")))))</f>
        <v/>
      </c>
    </row>
    <row r="915">
      <c r="A915" s="24">
        <f>IF(物料档案!$A914="","",物料档案!$A914)</f>
        <v/>
      </c>
      <c r="B915" s="24">
        <f>IF($A915="","",IFERROR(VLOOKUP($A915,物料档案!$A$4:$P$1203,3,0),""))</f>
        <v/>
      </c>
      <c r="C915" s="24">
        <f>IF($A915="","",IFERROR(VLOOKUP($A915,物料档案!$A$4:$P$1203,4,0),""))</f>
        <v/>
      </c>
      <c r="D915" s="24">
        <f>IF($A915="","",IFERROR(VLOOKUP($A915,物料档案!$A$4:$P$1203,5,0),""))</f>
        <v/>
      </c>
      <c r="E915" s="24">
        <f>IF($A915="","",IFERROR(VLOOKUP($A915,物料档案!$A$4:$P$1203,2,0),""))</f>
        <v/>
      </c>
      <c r="F915" s="24">
        <f>IF($A915="","",IFERROR(VLOOKUP($A915,物料档案!$A$4:$P$1203,6,0),""))</f>
        <v/>
      </c>
      <c r="G915" s="23" t="n"/>
      <c r="H915" s="32" t="n"/>
      <c r="I915" s="27">
        <f>IF($A915="","",SUMIFS(入库单!$K$4:$K$2503,入库单!$G$4:$G$2503,$A915,入库单!$X$4:$X$2503,"采购入库",入库单!$Z$4:$Z$2503,"正常",入库单!$C$4:$C$2503,"&gt;="&amp;账期起,入库单!$C$4:$C$2503,"&lt;="&amp;账期止))</f>
        <v/>
      </c>
      <c r="J915" s="26">
        <f>IF($A915="","",SUMIFS(入库单!$V$4:$V$2503,入库单!$G$4:$G$2503,$A915,入库单!$X$4:$X$2503,"采购入库",入库单!$Z$4:$Z$2503,"正常",入库单!$C$4:$C$2503,"&gt;="&amp;账期起,入库单!$C$4:$C$2503,"&lt;="&amp;账期止))</f>
        <v/>
      </c>
      <c r="K915" s="26">
        <f>IF($A915="","",IFERROR(ROUND((N($H915)+N($J915))/(N($G915)+N($I915)),2),0))</f>
        <v/>
      </c>
      <c r="L915" s="27">
        <f>IF($A915="","",SUMIFS(入库单!$K$4:$K$2503,入库单!$G$4:$G$2503,$A915,入库单!$X$4:$X$2503,"盘盈",入库单!$Z$4:$Z$2503,"正常",入库单!$C$4:$C$2503,"&gt;="&amp;账期起,入库单!$C$4:$C$2503,"&lt;="&amp;账期止))</f>
        <v/>
      </c>
      <c r="M915" s="26">
        <f>IF($A915="","",ROUND($L915*$K915,0))</f>
        <v/>
      </c>
      <c r="N915" s="27">
        <f>IF($A915="","",SUMIFS(入库单!$K$4:$K$2503,入库单!$G$4:$G$2503,$A915,入库单!$X$4:$X$2503,"矿区退库",入库单!$Z$4:$Z$2503,"正常",入库单!$C$4:$C$2503,"&gt;="&amp;账期起,入库单!$C$4:$C$2503,"&lt;="&amp;账期止))</f>
        <v/>
      </c>
      <c r="O915" s="26">
        <f>IF($A915="","",ROUND($N915*$K915,0))</f>
        <v/>
      </c>
      <c r="P915" s="27">
        <f>IF($A915="","",SUMIFS(出库单!$J$4:$J$4003,出库单!$D$4:$D$4003,$A915,出库单!$K$4:$K$4003,"自用消耗",出库单!$U$4:$U$4003,"正常",出库单!$C$4:$C$4003,"&gt;="&amp;账期起,出库单!$C$4:$C$4003,"&lt;="&amp;账期止))</f>
        <v/>
      </c>
      <c r="Q915" s="26">
        <f>IF($A915="","",ROUND(SUMIFS(出库单!$S$4:$S$4003,出库单!$D$4:$D$4003,$A915,出库单!$K$4:$K$4003,"自用消耗",出库单!$U$4:$U$4003,"正常",出库单!$C$4:$C$4003,"&gt;="&amp;账期起,出库单!$C$4:$C$4003,"&lt;="&amp;账期止),0))</f>
        <v/>
      </c>
      <c r="R915" s="27">
        <f>IF($A915="","",SUMIFS(出库单!$J$4:$J$4003,出库单!$D$4:$D$4003,$A915,出库单!$K$4:$K$4003,"对外销售",出库单!$U$4:$U$4003,"正常",出库单!$C$4:$C$4003,"&gt;="&amp;账期起,出库单!$C$4:$C$4003,"&lt;="&amp;账期止))</f>
        <v/>
      </c>
      <c r="S915" s="26">
        <f>IF($A915="","",ROUND(SUMIFS(出库单!$S$4:$S$4003,出库单!$D$4:$D$4003,$A915,出库单!$K$4:$K$4003,"对外销售",出库单!$U$4:$U$4003,"正常",出库单!$C$4:$C$4003,"&gt;="&amp;账期起,出库单!$C$4:$C$4003,"&lt;="&amp;账期止),0))</f>
        <v/>
      </c>
      <c r="T915" s="27">
        <f>IF($A915="","",SUMIFS(出库单!$J$4:$J$4003,出库单!$D$4:$D$4003,$A915,出库单!$K$4:$K$4003,"盘亏",出库单!$U$4:$U$4003,"正常",出库单!$C$4:$C$4003,"&gt;="&amp;账期起,出库单!$C$4:$C$4003,"&lt;="&amp;账期止))</f>
        <v/>
      </c>
      <c r="U915" s="26">
        <f>IF($A915="","",ROUND(SUMIFS(出库单!$S$4:$S$4003,出库单!$D$4:$D$4003,$A915,出库单!$K$4:$K$4003,"盘亏",出库单!$U$4:$U$4003,"正常",出库单!$C$4:$C$4003,"&gt;="&amp;账期起,出库单!$C$4:$C$4003,"&lt;="&amp;账期止),0))</f>
        <v/>
      </c>
      <c r="V915" s="27">
        <f>IF($A915="","",SUMIFS(出库单!$J$4:$J$4003,出库单!$D$4:$D$4003,$A915,出库单!$K$4:$K$4003,"退货给供应商",出库单!$U$4:$U$4003,"正常",出库单!$C$4:$C$4003,"&gt;="&amp;账期起,出库单!$C$4:$C$4003,"&lt;="&amp;账期止))</f>
        <v/>
      </c>
      <c r="W915" s="26">
        <f>IF($A915="","",ROUND(SUMIFS(出库单!$S$4:$S$4003,出库单!$D$4:$D$4003,$A915,出库单!$K$4:$K$4003,"退货给供应商",出库单!$U$4:$U$4003,"正常",出库单!$C$4:$C$4003,"&gt;="&amp;账期起,出库单!$C$4:$C$4003,"&lt;="&amp;账期止),0))</f>
        <v/>
      </c>
      <c r="X915" s="27">
        <f>IF($A915="","",ROUND(N($G915)+$I915+$L915+$N915-$P915-$R915-$T915-$V915,3))</f>
        <v/>
      </c>
      <c r="Y915" s="26">
        <f>IF($A915="","",ROUND(N($H915)+$J915+$M915+$O915-$Q915-$S915-$U915-$W915,0))</f>
        <v/>
      </c>
      <c r="Z915" s="24">
        <f>IF($A915="","",IF(COUNTIFS(入库单!$G$4:$G$2503,$A915,入库单!$Y$4:$Y$2503,"待补价")+COUNTIFS(入库单!$G$4:$G$2503,$A915,入库单!$Y$4:$Y$2503,"暂估")&gt;0,"不可信","可信"))</f>
        <v/>
      </c>
      <c r="AA915" s="24">
        <f>IF($A915="","",IF($X915&lt;-0.001,"※账面负库存，查一下是不是漏记入库",IF(AND(ROUND($X915,3)=0,ABS($Y915)&gt;1),"※数量已经是 0，金额还挂着 "&amp;TEXT($Y915,"#,##0")&amp;" 先令",IF(AND($X915&gt;0,$Y915&lt;=0,$K915=0),"※有数量没金额（这个物料一直没填过进价）",IF($Z915="不可信","△成本含待补价/暂估，毛利仅供参考","")))))</f>
        <v/>
      </c>
    </row>
    <row r="916">
      <c r="A916" s="24">
        <f>IF(物料档案!$A915="","",物料档案!$A915)</f>
        <v/>
      </c>
      <c r="B916" s="24">
        <f>IF($A916="","",IFERROR(VLOOKUP($A916,物料档案!$A$4:$P$1203,3,0),""))</f>
        <v/>
      </c>
      <c r="C916" s="24">
        <f>IF($A916="","",IFERROR(VLOOKUP($A916,物料档案!$A$4:$P$1203,4,0),""))</f>
        <v/>
      </c>
      <c r="D916" s="24">
        <f>IF($A916="","",IFERROR(VLOOKUP($A916,物料档案!$A$4:$P$1203,5,0),""))</f>
        <v/>
      </c>
      <c r="E916" s="24">
        <f>IF($A916="","",IFERROR(VLOOKUP($A916,物料档案!$A$4:$P$1203,2,0),""))</f>
        <v/>
      </c>
      <c r="F916" s="24">
        <f>IF($A916="","",IFERROR(VLOOKUP($A916,物料档案!$A$4:$P$1203,6,0),""))</f>
        <v/>
      </c>
      <c r="G916" s="23" t="n"/>
      <c r="H916" s="32" t="n"/>
      <c r="I916" s="27">
        <f>IF($A916="","",SUMIFS(入库单!$K$4:$K$2503,入库单!$G$4:$G$2503,$A916,入库单!$X$4:$X$2503,"采购入库",入库单!$Z$4:$Z$2503,"正常",入库单!$C$4:$C$2503,"&gt;="&amp;账期起,入库单!$C$4:$C$2503,"&lt;="&amp;账期止))</f>
        <v/>
      </c>
      <c r="J916" s="26">
        <f>IF($A916="","",SUMIFS(入库单!$V$4:$V$2503,入库单!$G$4:$G$2503,$A916,入库单!$X$4:$X$2503,"采购入库",入库单!$Z$4:$Z$2503,"正常",入库单!$C$4:$C$2503,"&gt;="&amp;账期起,入库单!$C$4:$C$2503,"&lt;="&amp;账期止))</f>
        <v/>
      </c>
      <c r="K916" s="26">
        <f>IF($A916="","",IFERROR(ROUND((N($H916)+N($J916))/(N($G916)+N($I916)),2),0))</f>
        <v/>
      </c>
      <c r="L916" s="27">
        <f>IF($A916="","",SUMIFS(入库单!$K$4:$K$2503,入库单!$G$4:$G$2503,$A916,入库单!$X$4:$X$2503,"盘盈",入库单!$Z$4:$Z$2503,"正常",入库单!$C$4:$C$2503,"&gt;="&amp;账期起,入库单!$C$4:$C$2503,"&lt;="&amp;账期止))</f>
        <v/>
      </c>
      <c r="M916" s="26">
        <f>IF($A916="","",ROUND($L916*$K916,0))</f>
        <v/>
      </c>
      <c r="N916" s="27">
        <f>IF($A916="","",SUMIFS(入库单!$K$4:$K$2503,入库单!$G$4:$G$2503,$A916,入库单!$X$4:$X$2503,"矿区退库",入库单!$Z$4:$Z$2503,"正常",入库单!$C$4:$C$2503,"&gt;="&amp;账期起,入库单!$C$4:$C$2503,"&lt;="&amp;账期止))</f>
        <v/>
      </c>
      <c r="O916" s="26">
        <f>IF($A916="","",ROUND($N916*$K916,0))</f>
        <v/>
      </c>
      <c r="P916" s="27">
        <f>IF($A916="","",SUMIFS(出库单!$J$4:$J$4003,出库单!$D$4:$D$4003,$A916,出库单!$K$4:$K$4003,"自用消耗",出库单!$U$4:$U$4003,"正常",出库单!$C$4:$C$4003,"&gt;="&amp;账期起,出库单!$C$4:$C$4003,"&lt;="&amp;账期止))</f>
        <v/>
      </c>
      <c r="Q916" s="26">
        <f>IF($A916="","",ROUND(SUMIFS(出库单!$S$4:$S$4003,出库单!$D$4:$D$4003,$A916,出库单!$K$4:$K$4003,"自用消耗",出库单!$U$4:$U$4003,"正常",出库单!$C$4:$C$4003,"&gt;="&amp;账期起,出库单!$C$4:$C$4003,"&lt;="&amp;账期止),0))</f>
        <v/>
      </c>
      <c r="R916" s="27">
        <f>IF($A916="","",SUMIFS(出库单!$J$4:$J$4003,出库单!$D$4:$D$4003,$A916,出库单!$K$4:$K$4003,"对外销售",出库单!$U$4:$U$4003,"正常",出库单!$C$4:$C$4003,"&gt;="&amp;账期起,出库单!$C$4:$C$4003,"&lt;="&amp;账期止))</f>
        <v/>
      </c>
      <c r="S916" s="26">
        <f>IF($A916="","",ROUND(SUMIFS(出库单!$S$4:$S$4003,出库单!$D$4:$D$4003,$A916,出库单!$K$4:$K$4003,"对外销售",出库单!$U$4:$U$4003,"正常",出库单!$C$4:$C$4003,"&gt;="&amp;账期起,出库单!$C$4:$C$4003,"&lt;="&amp;账期止),0))</f>
        <v/>
      </c>
      <c r="T916" s="27">
        <f>IF($A916="","",SUMIFS(出库单!$J$4:$J$4003,出库单!$D$4:$D$4003,$A916,出库单!$K$4:$K$4003,"盘亏",出库单!$U$4:$U$4003,"正常",出库单!$C$4:$C$4003,"&gt;="&amp;账期起,出库单!$C$4:$C$4003,"&lt;="&amp;账期止))</f>
        <v/>
      </c>
      <c r="U916" s="26">
        <f>IF($A916="","",ROUND(SUMIFS(出库单!$S$4:$S$4003,出库单!$D$4:$D$4003,$A916,出库单!$K$4:$K$4003,"盘亏",出库单!$U$4:$U$4003,"正常",出库单!$C$4:$C$4003,"&gt;="&amp;账期起,出库单!$C$4:$C$4003,"&lt;="&amp;账期止),0))</f>
        <v/>
      </c>
      <c r="V916" s="27">
        <f>IF($A916="","",SUMIFS(出库单!$J$4:$J$4003,出库单!$D$4:$D$4003,$A916,出库单!$K$4:$K$4003,"退货给供应商",出库单!$U$4:$U$4003,"正常",出库单!$C$4:$C$4003,"&gt;="&amp;账期起,出库单!$C$4:$C$4003,"&lt;="&amp;账期止))</f>
        <v/>
      </c>
      <c r="W916" s="26">
        <f>IF($A916="","",ROUND(SUMIFS(出库单!$S$4:$S$4003,出库单!$D$4:$D$4003,$A916,出库单!$K$4:$K$4003,"退货给供应商",出库单!$U$4:$U$4003,"正常",出库单!$C$4:$C$4003,"&gt;="&amp;账期起,出库单!$C$4:$C$4003,"&lt;="&amp;账期止),0))</f>
        <v/>
      </c>
      <c r="X916" s="27">
        <f>IF($A916="","",ROUND(N($G916)+$I916+$L916+$N916-$P916-$R916-$T916-$V916,3))</f>
        <v/>
      </c>
      <c r="Y916" s="26">
        <f>IF($A916="","",ROUND(N($H916)+$J916+$M916+$O916-$Q916-$S916-$U916-$W916,0))</f>
        <v/>
      </c>
      <c r="Z916" s="24">
        <f>IF($A916="","",IF(COUNTIFS(入库单!$G$4:$G$2503,$A916,入库单!$Y$4:$Y$2503,"待补价")+COUNTIFS(入库单!$G$4:$G$2503,$A916,入库单!$Y$4:$Y$2503,"暂估")&gt;0,"不可信","可信"))</f>
        <v/>
      </c>
      <c r="AA916" s="24">
        <f>IF($A916="","",IF($X916&lt;-0.001,"※账面负库存，查一下是不是漏记入库",IF(AND(ROUND($X916,3)=0,ABS($Y916)&gt;1),"※数量已经是 0，金额还挂着 "&amp;TEXT($Y916,"#,##0")&amp;" 先令",IF(AND($X916&gt;0,$Y916&lt;=0,$K916=0),"※有数量没金额（这个物料一直没填过进价）",IF($Z916="不可信","△成本含待补价/暂估，毛利仅供参考","")))))</f>
        <v/>
      </c>
    </row>
    <row r="917">
      <c r="A917" s="24">
        <f>IF(物料档案!$A916="","",物料档案!$A916)</f>
        <v/>
      </c>
      <c r="B917" s="24">
        <f>IF($A917="","",IFERROR(VLOOKUP($A917,物料档案!$A$4:$P$1203,3,0),""))</f>
        <v/>
      </c>
      <c r="C917" s="24">
        <f>IF($A917="","",IFERROR(VLOOKUP($A917,物料档案!$A$4:$P$1203,4,0),""))</f>
        <v/>
      </c>
      <c r="D917" s="24">
        <f>IF($A917="","",IFERROR(VLOOKUP($A917,物料档案!$A$4:$P$1203,5,0),""))</f>
        <v/>
      </c>
      <c r="E917" s="24">
        <f>IF($A917="","",IFERROR(VLOOKUP($A917,物料档案!$A$4:$P$1203,2,0),""))</f>
        <v/>
      </c>
      <c r="F917" s="24">
        <f>IF($A917="","",IFERROR(VLOOKUP($A917,物料档案!$A$4:$P$1203,6,0),""))</f>
        <v/>
      </c>
      <c r="G917" s="23" t="n"/>
      <c r="H917" s="32" t="n"/>
      <c r="I917" s="27">
        <f>IF($A917="","",SUMIFS(入库单!$K$4:$K$2503,入库单!$G$4:$G$2503,$A917,入库单!$X$4:$X$2503,"采购入库",入库单!$Z$4:$Z$2503,"正常",入库单!$C$4:$C$2503,"&gt;="&amp;账期起,入库单!$C$4:$C$2503,"&lt;="&amp;账期止))</f>
        <v/>
      </c>
      <c r="J917" s="26">
        <f>IF($A917="","",SUMIFS(入库单!$V$4:$V$2503,入库单!$G$4:$G$2503,$A917,入库单!$X$4:$X$2503,"采购入库",入库单!$Z$4:$Z$2503,"正常",入库单!$C$4:$C$2503,"&gt;="&amp;账期起,入库单!$C$4:$C$2503,"&lt;="&amp;账期止))</f>
        <v/>
      </c>
      <c r="K917" s="26">
        <f>IF($A917="","",IFERROR(ROUND((N($H917)+N($J917))/(N($G917)+N($I917)),2),0))</f>
        <v/>
      </c>
      <c r="L917" s="27">
        <f>IF($A917="","",SUMIFS(入库单!$K$4:$K$2503,入库单!$G$4:$G$2503,$A917,入库单!$X$4:$X$2503,"盘盈",入库单!$Z$4:$Z$2503,"正常",入库单!$C$4:$C$2503,"&gt;="&amp;账期起,入库单!$C$4:$C$2503,"&lt;="&amp;账期止))</f>
        <v/>
      </c>
      <c r="M917" s="26">
        <f>IF($A917="","",ROUND($L917*$K917,0))</f>
        <v/>
      </c>
      <c r="N917" s="27">
        <f>IF($A917="","",SUMIFS(入库单!$K$4:$K$2503,入库单!$G$4:$G$2503,$A917,入库单!$X$4:$X$2503,"矿区退库",入库单!$Z$4:$Z$2503,"正常",入库单!$C$4:$C$2503,"&gt;="&amp;账期起,入库单!$C$4:$C$2503,"&lt;="&amp;账期止))</f>
        <v/>
      </c>
      <c r="O917" s="26">
        <f>IF($A917="","",ROUND($N917*$K917,0))</f>
        <v/>
      </c>
      <c r="P917" s="27">
        <f>IF($A917="","",SUMIFS(出库单!$J$4:$J$4003,出库单!$D$4:$D$4003,$A917,出库单!$K$4:$K$4003,"自用消耗",出库单!$U$4:$U$4003,"正常",出库单!$C$4:$C$4003,"&gt;="&amp;账期起,出库单!$C$4:$C$4003,"&lt;="&amp;账期止))</f>
        <v/>
      </c>
      <c r="Q917" s="26">
        <f>IF($A917="","",ROUND(SUMIFS(出库单!$S$4:$S$4003,出库单!$D$4:$D$4003,$A917,出库单!$K$4:$K$4003,"自用消耗",出库单!$U$4:$U$4003,"正常",出库单!$C$4:$C$4003,"&gt;="&amp;账期起,出库单!$C$4:$C$4003,"&lt;="&amp;账期止),0))</f>
        <v/>
      </c>
      <c r="R917" s="27">
        <f>IF($A917="","",SUMIFS(出库单!$J$4:$J$4003,出库单!$D$4:$D$4003,$A917,出库单!$K$4:$K$4003,"对外销售",出库单!$U$4:$U$4003,"正常",出库单!$C$4:$C$4003,"&gt;="&amp;账期起,出库单!$C$4:$C$4003,"&lt;="&amp;账期止))</f>
        <v/>
      </c>
      <c r="S917" s="26">
        <f>IF($A917="","",ROUND(SUMIFS(出库单!$S$4:$S$4003,出库单!$D$4:$D$4003,$A917,出库单!$K$4:$K$4003,"对外销售",出库单!$U$4:$U$4003,"正常",出库单!$C$4:$C$4003,"&gt;="&amp;账期起,出库单!$C$4:$C$4003,"&lt;="&amp;账期止),0))</f>
        <v/>
      </c>
      <c r="T917" s="27">
        <f>IF($A917="","",SUMIFS(出库单!$J$4:$J$4003,出库单!$D$4:$D$4003,$A917,出库单!$K$4:$K$4003,"盘亏",出库单!$U$4:$U$4003,"正常",出库单!$C$4:$C$4003,"&gt;="&amp;账期起,出库单!$C$4:$C$4003,"&lt;="&amp;账期止))</f>
        <v/>
      </c>
      <c r="U917" s="26">
        <f>IF($A917="","",ROUND(SUMIFS(出库单!$S$4:$S$4003,出库单!$D$4:$D$4003,$A917,出库单!$K$4:$K$4003,"盘亏",出库单!$U$4:$U$4003,"正常",出库单!$C$4:$C$4003,"&gt;="&amp;账期起,出库单!$C$4:$C$4003,"&lt;="&amp;账期止),0))</f>
        <v/>
      </c>
      <c r="V917" s="27">
        <f>IF($A917="","",SUMIFS(出库单!$J$4:$J$4003,出库单!$D$4:$D$4003,$A917,出库单!$K$4:$K$4003,"退货给供应商",出库单!$U$4:$U$4003,"正常",出库单!$C$4:$C$4003,"&gt;="&amp;账期起,出库单!$C$4:$C$4003,"&lt;="&amp;账期止))</f>
        <v/>
      </c>
      <c r="W917" s="26">
        <f>IF($A917="","",ROUND(SUMIFS(出库单!$S$4:$S$4003,出库单!$D$4:$D$4003,$A917,出库单!$K$4:$K$4003,"退货给供应商",出库单!$U$4:$U$4003,"正常",出库单!$C$4:$C$4003,"&gt;="&amp;账期起,出库单!$C$4:$C$4003,"&lt;="&amp;账期止),0))</f>
        <v/>
      </c>
      <c r="X917" s="27">
        <f>IF($A917="","",ROUND(N($G917)+$I917+$L917+$N917-$P917-$R917-$T917-$V917,3))</f>
        <v/>
      </c>
      <c r="Y917" s="26">
        <f>IF($A917="","",ROUND(N($H917)+$J917+$M917+$O917-$Q917-$S917-$U917-$W917,0))</f>
        <v/>
      </c>
      <c r="Z917" s="24">
        <f>IF($A917="","",IF(COUNTIFS(入库单!$G$4:$G$2503,$A917,入库单!$Y$4:$Y$2503,"待补价")+COUNTIFS(入库单!$G$4:$G$2503,$A917,入库单!$Y$4:$Y$2503,"暂估")&gt;0,"不可信","可信"))</f>
        <v/>
      </c>
      <c r="AA917" s="24">
        <f>IF($A917="","",IF($X917&lt;-0.001,"※账面负库存，查一下是不是漏记入库",IF(AND(ROUND($X917,3)=0,ABS($Y917)&gt;1),"※数量已经是 0，金额还挂着 "&amp;TEXT($Y917,"#,##0")&amp;" 先令",IF(AND($X917&gt;0,$Y917&lt;=0,$K917=0),"※有数量没金额（这个物料一直没填过进价）",IF($Z917="不可信","△成本含待补价/暂估，毛利仅供参考","")))))</f>
        <v/>
      </c>
    </row>
    <row r="918">
      <c r="A918" s="24">
        <f>IF(物料档案!$A917="","",物料档案!$A917)</f>
        <v/>
      </c>
      <c r="B918" s="24">
        <f>IF($A918="","",IFERROR(VLOOKUP($A918,物料档案!$A$4:$P$1203,3,0),""))</f>
        <v/>
      </c>
      <c r="C918" s="24">
        <f>IF($A918="","",IFERROR(VLOOKUP($A918,物料档案!$A$4:$P$1203,4,0),""))</f>
        <v/>
      </c>
      <c r="D918" s="24">
        <f>IF($A918="","",IFERROR(VLOOKUP($A918,物料档案!$A$4:$P$1203,5,0),""))</f>
        <v/>
      </c>
      <c r="E918" s="24">
        <f>IF($A918="","",IFERROR(VLOOKUP($A918,物料档案!$A$4:$P$1203,2,0),""))</f>
        <v/>
      </c>
      <c r="F918" s="24">
        <f>IF($A918="","",IFERROR(VLOOKUP($A918,物料档案!$A$4:$P$1203,6,0),""))</f>
        <v/>
      </c>
      <c r="G918" s="23" t="n"/>
      <c r="H918" s="32" t="n"/>
      <c r="I918" s="27">
        <f>IF($A918="","",SUMIFS(入库单!$K$4:$K$2503,入库单!$G$4:$G$2503,$A918,入库单!$X$4:$X$2503,"采购入库",入库单!$Z$4:$Z$2503,"正常",入库单!$C$4:$C$2503,"&gt;="&amp;账期起,入库单!$C$4:$C$2503,"&lt;="&amp;账期止))</f>
        <v/>
      </c>
      <c r="J918" s="26">
        <f>IF($A918="","",SUMIFS(入库单!$V$4:$V$2503,入库单!$G$4:$G$2503,$A918,入库单!$X$4:$X$2503,"采购入库",入库单!$Z$4:$Z$2503,"正常",入库单!$C$4:$C$2503,"&gt;="&amp;账期起,入库单!$C$4:$C$2503,"&lt;="&amp;账期止))</f>
        <v/>
      </c>
      <c r="K918" s="26">
        <f>IF($A918="","",IFERROR(ROUND((N($H918)+N($J918))/(N($G918)+N($I918)),2),0))</f>
        <v/>
      </c>
      <c r="L918" s="27">
        <f>IF($A918="","",SUMIFS(入库单!$K$4:$K$2503,入库单!$G$4:$G$2503,$A918,入库单!$X$4:$X$2503,"盘盈",入库单!$Z$4:$Z$2503,"正常",入库单!$C$4:$C$2503,"&gt;="&amp;账期起,入库单!$C$4:$C$2503,"&lt;="&amp;账期止))</f>
        <v/>
      </c>
      <c r="M918" s="26">
        <f>IF($A918="","",ROUND($L918*$K918,0))</f>
        <v/>
      </c>
      <c r="N918" s="27">
        <f>IF($A918="","",SUMIFS(入库单!$K$4:$K$2503,入库单!$G$4:$G$2503,$A918,入库单!$X$4:$X$2503,"矿区退库",入库单!$Z$4:$Z$2503,"正常",入库单!$C$4:$C$2503,"&gt;="&amp;账期起,入库单!$C$4:$C$2503,"&lt;="&amp;账期止))</f>
        <v/>
      </c>
      <c r="O918" s="26">
        <f>IF($A918="","",ROUND($N918*$K918,0))</f>
        <v/>
      </c>
      <c r="P918" s="27">
        <f>IF($A918="","",SUMIFS(出库单!$J$4:$J$4003,出库单!$D$4:$D$4003,$A918,出库单!$K$4:$K$4003,"自用消耗",出库单!$U$4:$U$4003,"正常",出库单!$C$4:$C$4003,"&gt;="&amp;账期起,出库单!$C$4:$C$4003,"&lt;="&amp;账期止))</f>
        <v/>
      </c>
      <c r="Q918" s="26">
        <f>IF($A918="","",ROUND(SUMIFS(出库单!$S$4:$S$4003,出库单!$D$4:$D$4003,$A918,出库单!$K$4:$K$4003,"自用消耗",出库单!$U$4:$U$4003,"正常",出库单!$C$4:$C$4003,"&gt;="&amp;账期起,出库单!$C$4:$C$4003,"&lt;="&amp;账期止),0))</f>
        <v/>
      </c>
      <c r="R918" s="27">
        <f>IF($A918="","",SUMIFS(出库单!$J$4:$J$4003,出库单!$D$4:$D$4003,$A918,出库单!$K$4:$K$4003,"对外销售",出库单!$U$4:$U$4003,"正常",出库单!$C$4:$C$4003,"&gt;="&amp;账期起,出库单!$C$4:$C$4003,"&lt;="&amp;账期止))</f>
        <v/>
      </c>
      <c r="S918" s="26">
        <f>IF($A918="","",ROUND(SUMIFS(出库单!$S$4:$S$4003,出库单!$D$4:$D$4003,$A918,出库单!$K$4:$K$4003,"对外销售",出库单!$U$4:$U$4003,"正常",出库单!$C$4:$C$4003,"&gt;="&amp;账期起,出库单!$C$4:$C$4003,"&lt;="&amp;账期止),0))</f>
        <v/>
      </c>
      <c r="T918" s="27">
        <f>IF($A918="","",SUMIFS(出库单!$J$4:$J$4003,出库单!$D$4:$D$4003,$A918,出库单!$K$4:$K$4003,"盘亏",出库单!$U$4:$U$4003,"正常",出库单!$C$4:$C$4003,"&gt;="&amp;账期起,出库单!$C$4:$C$4003,"&lt;="&amp;账期止))</f>
        <v/>
      </c>
      <c r="U918" s="26">
        <f>IF($A918="","",ROUND(SUMIFS(出库单!$S$4:$S$4003,出库单!$D$4:$D$4003,$A918,出库单!$K$4:$K$4003,"盘亏",出库单!$U$4:$U$4003,"正常",出库单!$C$4:$C$4003,"&gt;="&amp;账期起,出库单!$C$4:$C$4003,"&lt;="&amp;账期止),0))</f>
        <v/>
      </c>
      <c r="V918" s="27">
        <f>IF($A918="","",SUMIFS(出库单!$J$4:$J$4003,出库单!$D$4:$D$4003,$A918,出库单!$K$4:$K$4003,"退货给供应商",出库单!$U$4:$U$4003,"正常",出库单!$C$4:$C$4003,"&gt;="&amp;账期起,出库单!$C$4:$C$4003,"&lt;="&amp;账期止))</f>
        <v/>
      </c>
      <c r="W918" s="26">
        <f>IF($A918="","",ROUND(SUMIFS(出库单!$S$4:$S$4003,出库单!$D$4:$D$4003,$A918,出库单!$K$4:$K$4003,"退货给供应商",出库单!$U$4:$U$4003,"正常",出库单!$C$4:$C$4003,"&gt;="&amp;账期起,出库单!$C$4:$C$4003,"&lt;="&amp;账期止),0))</f>
        <v/>
      </c>
      <c r="X918" s="27">
        <f>IF($A918="","",ROUND(N($G918)+$I918+$L918+$N918-$P918-$R918-$T918-$V918,3))</f>
        <v/>
      </c>
      <c r="Y918" s="26">
        <f>IF($A918="","",ROUND(N($H918)+$J918+$M918+$O918-$Q918-$S918-$U918-$W918,0))</f>
        <v/>
      </c>
      <c r="Z918" s="24">
        <f>IF($A918="","",IF(COUNTIFS(入库单!$G$4:$G$2503,$A918,入库单!$Y$4:$Y$2503,"待补价")+COUNTIFS(入库单!$G$4:$G$2503,$A918,入库单!$Y$4:$Y$2503,"暂估")&gt;0,"不可信","可信"))</f>
        <v/>
      </c>
      <c r="AA918" s="24">
        <f>IF($A918="","",IF($X918&lt;-0.001,"※账面负库存，查一下是不是漏记入库",IF(AND(ROUND($X918,3)=0,ABS($Y918)&gt;1),"※数量已经是 0，金额还挂着 "&amp;TEXT($Y918,"#,##0")&amp;" 先令",IF(AND($X918&gt;0,$Y918&lt;=0,$K918=0),"※有数量没金额（这个物料一直没填过进价）",IF($Z918="不可信","△成本含待补价/暂估，毛利仅供参考","")))))</f>
        <v/>
      </c>
    </row>
    <row r="919">
      <c r="A919" s="24">
        <f>IF(物料档案!$A918="","",物料档案!$A918)</f>
        <v/>
      </c>
      <c r="B919" s="24">
        <f>IF($A919="","",IFERROR(VLOOKUP($A919,物料档案!$A$4:$P$1203,3,0),""))</f>
        <v/>
      </c>
      <c r="C919" s="24">
        <f>IF($A919="","",IFERROR(VLOOKUP($A919,物料档案!$A$4:$P$1203,4,0),""))</f>
        <v/>
      </c>
      <c r="D919" s="24">
        <f>IF($A919="","",IFERROR(VLOOKUP($A919,物料档案!$A$4:$P$1203,5,0),""))</f>
        <v/>
      </c>
      <c r="E919" s="24">
        <f>IF($A919="","",IFERROR(VLOOKUP($A919,物料档案!$A$4:$P$1203,2,0),""))</f>
        <v/>
      </c>
      <c r="F919" s="24">
        <f>IF($A919="","",IFERROR(VLOOKUP($A919,物料档案!$A$4:$P$1203,6,0),""))</f>
        <v/>
      </c>
      <c r="G919" s="23" t="n"/>
      <c r="H919" s="32" t="n"/>
      <c r="I919" s="27">
        <f>IF($A919="","",SUMIFS(入库单!$K$4:$K$2503,入库单!$G$4:$G$2503,$A919,入库单!$X$4:$X$2503,"采购入库",入库单!$Z$4:$Z$2503,"正常",入库单!$C$4:$C$2503,"&gt;="&amp;账期起,入库单!$C$4:$C$2503,"&lt;="&amp;账期止))</f>
        <v/>
      </c>
      <c r="J919" s="26">
        <f>IF($A919="","",SUMIFS(入库单!$V$4:$V$2503,入库单!$G$4:$G$2503,$A919,入库单!$X$4:$X$2503,"采购入库",入库单!$Z$4:$Z$2503,"正常",入库单!$C$4:$C$2503,"&gt;="&amp;账期起,入库单!$C$4:$C$2503,"&lt;="&amp;账期止))</f>
        <v/>
      </c>
      <c r="K919" s="26">
        <f>IF($A919="","",IFERROR(ROUND((N($H919)+N($J919))/(N($G919)+N($I919)),2),0))</f>
        <v/>
      </c>
      <c r="L919" s="27">
        <f>IF($A919="","",SUMIFS(入库单!$K$4:$K$2503,入库单!$G$4:$G$2503,$A919,入库单!$X$4:$X$2503,"盘盈",入库单!$Z$4:$Z$2503,"正常",入库单!$C$4:$C$2503,"&gt;="&amp;账期起,入库单!$C$4:$C$2503,"&lt;="&amp;账期止))</f>
        <v/>
      </c>
      <c r="M919" s="26">
        <f>IF($A919="","",ROUND($L919*$K919,0))</f>
        <v/>
      </c>
      <c r="N919" s="27">
        <f>IF($A919="","",SUMIFS(入库单!$K$4:$K$2503,入库单!$G$4:$G$2503,$A919,入库单!$X$4:$X$2503,"矿区退库",入库单!$Z$4:$Z$2503,"正常",入库单!$C$4:$C$2503,"&gt;="&amp;账期起,入库单!$C$4:$C$2503,"&lt;="&amp;账期止))</f>
        <v/>
      </c>
      <c r="O919" s="26">
        <f>IF($A919="","",ROUND($N919*$K919,0))</f>
        <v/>
      </c>
      <c r="P919" s="27">
        <f>IF($A919="","",SUMIFS(出库单!$J$4:$J$4003,出库单!$D$4:$D$4003,$A919,出库单!$K$4:$K$4003,"自用消耗",出库单!$U$4:$U$4003,"正常",出库单!$C$4:$C$4003,"&gt;="&amp;账期起,出库单!$C$4:$C$4003,"&lt;="&amp;账期止))</f>
        <v/>
      </c>
      <c r="Q919" s="26">
        <f>IF($A919="","",ROUND(SUMIFS(出库单!$S$4:$S$4003,出库单!$D$4:$D$4003,$A919,出库单!$K$4:$K$4003,"自用消耗",出库单!$U$4:$U$4003,"正常",出库单!$C$4:$C$4003,"&gt;="&amp;账期起,出库单!$C$4:$C$4003,"&lt;="&amp;账期止),0))</f>
        <v/>
      </c>
      <c r="R919" s="27">
        <f>IF($A919="","",SUMIFS(出库单!$J$4:$J$4003,出库单!$D$4:$D$4003,$A919,出库单!$K$4:$K$4003,"对外销售",出库单!$U$4:$U$4003,"正常",出库单!$C$4:$C$4003,"&gt;="&amp;账期起,出库单!$C$4:$C$4003,"&lt;="&amp;账期止))</f>
        <v/>
      </c>
      <c r="S919" s="26">
        <f>IF($A919="","",ROUND(SUMIFS(出库单!$S$4:$S$4003,出库单!$D$4:$D$4003,$A919,出库单!$K$4:$K$4003,"对外销售",出库单!$U$4:$U$4003,"正常",出库单!$C$4:$C$4003,"&gt;="&amp;账期起,出库单!$C$4:$C$4003,"&lt;="&amp;账期止),0))</f>
        <v/>
      </c>
      <c r="T919" s="27">
        <f>IF($A919="","",SUMIFS(出库单!$J$4:$J$4003,出库单!$D$4:$D$4003,$A919,出库单!$K$4:$K$4003,"盘亏",出库单!$U$4:$U$4003,"正常",出库单!$C$4:$C$4003,"&gt;="&amp;账期起,出库单!$C$4:$C$4003,"&lt;="&amp;账期止))</f>
        <v/>
      </c>
      <c r="U919" s="26">
        <f>IF($A919="","",ROUND(SUMIFS(出库单!$S$4:$S$4003,出库单!$D$4:$D$4003,$A919,出库单!$K$4:$K$4003,"盘亏",出库单!$U$4:$U$4003,"正常",出库单!$C$4:$C$4003,"&gt;="&amp;账期起,出库单!$C$4:$C$4003,"&lt;="&amp;账期止),0))</f>
        <v/>
      </c>
      <c r="V919" s="27">
        <f>IF($A919="","",SUMIFS(出库单!$J$4:$J$4003,出库单!$D$4:$D$4003,$A919,出库单!$K$4:$K$4003,"退货给供应商",出库单!$U$4:$U$4003,"正常",出库单!$C$4:$C$4003,"&gt;="&amp;账期起,出库单!$C$4:$C$4003,"&lt;="&amp;账期止))</f>
        <v/>
      </c>
      <c r="W919" s="26">
        <f>IF($A919="","",ROUND(SUMIFS(出库单!$S$4:$S$4003,出库单!$D$4:$D$4003,$A919,出库单!$K$4:$K$4003,"退货给供应商",出库单!$U$4:$U$4003,"正常",出库单!$C$4:$C$4003,"&gt;="&amp;账期起,出库单!$C$4:$C$4003,"&lt;="&amp;账期止),0))</f>
        <v/>
      </c>
      <c r="X919" s="27">
        <f>IF($A919="","",ROUND(N($G919)+$I919+$L919+$N919-$P919-$R919-$T919-$V919,3))</f>
        <v/>
      </c>
      <c r="Y919" s="26">
        <f>IF($A919="","",ROUND(N($H919)+$J919+$M919+$O919-$Q919-$S919-$U919-$W919,0))</f>
        <v/>
      </c>
      <c r="Z919" s="24">
        <f>IF($A919="","",IF(COUNTIFS(入库单!$G$4:$G$2503,$A919,入库单!$Y$4:$Y$2503,"待补价")+COUNTIFS(入库单!$G$4:$G$2503,$A919,入库单!$Y$4:$Y$2503,"暂估")&gt;0,"不可信","可信"))</f>
        <v/>
      </c>
      <c r="AA919" s="24">
        <f>IF($A919="","",IF($X919&lt;-0.001,"※账面负库存，查一下是不是漏记入库",IF(AND(ROUND($X919,3)=0,ABS($Y919)&gt;1),"※数量已经是 0，金额还挂着 "&amp;TEXT($Y919,"#,##0")&amp;" 先令",IF(AND($X919&gt;0,$Y919&lt;=0,$K919=0),"※有数量没金额（这个物料一直没填过进价）",IF($Z919="不可信","△成本含待补价/暂估，毛利仅供参考","")))))</f>
        <v/>
      </c>
    </row>
    <row r="920">
      <c r="A920" s="24">
        <f>IF(物料档案!$A919="","",物料档案!$A919)</f>
        <v/>
      </c>
      <c r="B920" s="24">
        <f>IF($A920="","",IFERROR(VLOOKUP($A920,物料档案!$A$4:$P$1203,3,0),""))</f>
        <v/>
      </c>
      <c r="C920" s="24">
        <f>IF($A920="","",IFERROR(VLOOKUP($A920,物料档案!$A$4:$P$1203,4,0),""))</f>
        <v/>
      </c>
      <c r="D920" s="24">
        <f>IF($A920="","",IFERROR(VLOOKUP($A920,物料档案!$A$4:$P$1203,5,0),""))</f>
        <v/>
      </c>
      <c r="E920" s="24">
        <f>IF($A920="","",IFERROR(VLOOKUP($A920,物料档案!$A$4:$P$1203,2,0),""))</f>
        <v/>
      </c>
      <c r="F920" s="24">
        <f>IF($A920="","",IFERROR(VLOOKUP($A920,物料档案!$A$4:$P$1203,6,0),""))</f>
        <v/>
      </c>
      <c r="G920" s="23" t="n"/>
      <c r="H920" s="32" t="n"/>
      <c r="I920" s="27">
        <f>IF($A920="","",SUMIFS(入库单!$K$4:$K$2503,入库单!$G$4:$G$2503,$A920,入库单!$X$4:$X$2503,"采购入库",入库单!$Z$4:$Z$2503,"正常",入库单!$C$4:$C$2503,"&gt;="&amp;账期起,入库单!$C$4:$C$2503,"&lt;="&amp;账期止))</f>
        <v/>
      </c>
      <c r="J920" s="26">
        <f>IF($A920="","",SUMIFS(入库单!$V$4:$V$2503,入库单!$G$4:$G$2503,$A920,入库单!$X$4:$X$2503,"采购入库",入库单!$Z$4:$Z$2503,"正常",入库单!$C$4:$C$2503,"&gt;="&amp;账期起,入库单!$C$4:$C$2503,"&lt;="&amp;账期止))</f>
        <v/>
      </c>
      <c r="K920" s="26">
        <f>IF($A920="","",IFERROR(ROUND((N($H920)+N($J920))/(N($G920)+N($I920)),2),0))</f>
        <v/>
      </c>
      <c r="L920" s="27">
        <f>IF($A920="","",SUMIFS(入库单!$K$4:$K$2503,入库单!$G$4:$G$2503,$A920,入库单!$X$4:$X$2503,"盘盈",入库单!$Z$4:$Z$2503,"正常",入库单!$C$4:$C$2503,"&gt;="&amp;账期起,入库单!$C$4:$C$2503,"&lt;="&amp;账期止))</f>
        <v/>
      </c>
      <c r="M920" s="26">
        <f>IF($A920="","",ROUND($L920*$K920,0))</f>
        <v/>
      </c>
      <c r="N920" s="27">
        <f>IF($A920="","",SUMIFS(入库单!$K$4:$K$2503,入库单!$G$4:$G$2503,$A920,入库单!$X$4:$X$2503,"矿区退库",入库单!$Z$4:$Z$2503,"正常",入库单!$C$4:$C$2503,"&gt;="&amp;账期起,入库单!$C$4:$C$2503,"&lt;="&amp;账期止))</f>
        <v/>
      </c>
      <c r="O920" s="26">
        <f>IF($A920="","",ROUND($N920*$K920,0))</f>
        <v/>
      </c>
      <c r="P920" s="27">
        <f>IF($A920="","",SUMIFS(出库单!$J$4:$J$4003,出库单!$D$4:$D$4003,$A920,出库单!$K$4:$K$4003,"自用消耗",出库单!$U$4:$U$4003,"正常",出库单!$C$4:$C$4003,"&gt;="&amp;账期起,出库单!$C$4:$C$4003,"&lt;="&amp;账期止))</f>
        <v/>
      </c>
      <c r="Q920" s="26">
        <f>IF($A920="","",ROUND(SUMIFS(出库单!$S$4:$S$4003,出库单!$D$4:$D$4003,$A920,出库单!$K$4:$K$4003,"自用消耗",出库单!$U$4:$U$4003,"正常",出库单!$C$4:$C$4003,"&gt;="&amp;账期起,出库单!$C$4:$C$4003,"&lt;="&amp;账期止),0))</f>
        <v/>
      </c>
      <c r="R920" s="27">
        <f>IF($A920="","",SUMIFS(出库单!$J$4:$J$4003,出库单!$D$4:$D$4003,$A920,出库单!$K$4:$K$4003,"对外销售",出库单!$U$4:$U$4003,"正常",出库单!$C$4:$C$4003,"&gt;="&amp;账期起,出库单!$C$4:$C$4003,"&lt;="&amp;账期止))</f>
        <v/>
      </c>
      <c r="S920" s="26">
        <f>IF($A920="","",ROUND(SUMIFS(出库单!$S$4:$S$4003,出库单!$D$4:$D$4003,$A920,出库单!$K$4:$K$4003,"对外销售",出库单!$U$4:$U$4003,"正常",出库单!$C$4:$C$4003,"&gt;="&amp;账期起,出库单!$C$4:$C$4003,"&lt;="&amp;账期止),0))</f>
        <v/>
      </c>
      <c r="T920" s="27">
        <f>IF($A920="","",SUMIFS(出库单!$J$4:$J$4003,出库单!$D$4:$D$4003,$A920,出库单!$K$4:$K$4003,"盘亏",出库单!$U$4:$U$4003,"正常",出库单!$C$4:$C$4003,"&gt;="&amp;账期起,出库单!$C$4:$C$4003,"&lt;="&amp;账期止))</f>
        <v/>
      </c>
      <c r="U920" s="26">
        <f>IF($A920="","",ROUND(SUMIFS(出库单!$S$4:$S$4003,出库单!$D$4:$D$4003,$A920,出库单!$K$4:$K$4003,"盘亏",出库单!$U$4:$U$4003,"正常",出库单!$C$4:$C$4003,"&gt;="&amp;账期起,出库单!$C$4:$C$4003,"&lt;="&amp;账期止),0))</f>
        <v/>
      </c>
      <c r="V920" s="27">
        <f>IF($A920="","",SUMIFS(出库单!$J$4:$J$4003,出库单!$D$4:$D$4003,$A920,出库单!$K$4:$K$4003,"退货给供应商",出库单!$U$4:$U$4003,"正常",出库单!$C$4:$C$4003,"&gt;="&amp;账期起,出库单!$C$4:$C$4003,"&lt;="&amp;账期止))</f>
        <v/>
      </c>
      <c r="W920" s="26">
        <f>IF($A920="","",ROUND(SUMIFS(出库单!$S$4:$S$4003,出库单!$D$4:$D$4003,$A920,出库单!$K$4:$K$4003,"退货给供应商",出库单!$U$4:$U$4003,"正常",出库单!$C$4:$C$4003,"&gt;="&amp;账期起,出库单!$C$4:$C$4003,"&lt;="&amp;账期止),0))</f>
        <v/>
      </c>
      <c r="X920" s="27">
        <f>IF($A920="","",ROUND(N($G920)+$I920+$L920+$N920-$P920-$R920-$T920-$V920,3))</f>
        <v/>
      </c>
      <c r="Y920" s="26">
        <f>IF($A920="","",ROUND(N($H920)+$J920+$M920+$O920-$Q920-$S920-$U920-$W920,0))</f>
        <v/>
      </c>
      <c r="Z920" s="24">
        <f>IF($A920="","",IF(COUNTIFS(入库单!$G$4:$G$2503,$A920,入库单!$Y$4:$Y$2503,"待补价")+COUNTIFS(入库单!$G$4:$G$2503,$A920,入库单!$Y$4:$Y$2503,"暂估")&gt;0,"不可信","可信"))</f>
        <v/>
      </c>
      <c r="AA920" s="24">
        <f>IF($A920="","",IF($X920&lt;-0.001,"※账面负库存，查一下是不是漏记入库",IF(AND(ROUND($X920,3)=0,ABS($Y920)&gt;1),"※数量已经是 0，金额还挂着 "&amp;TEXT($Y920,"#,##0")&amp;" 先令",IF(AND($X920&gt;0,$Y920&lt;=0,$K920=0),"※有数量没金额（这个物料一直没填过进价）",IF($Z920="不可信","△成本含待补价/暂估，毛利仅供参考","")))))</f>
        <v/>
      </c>
    </row>
    <row r="921">
      <c r="A921" s="24">
        <f>IF(物料档案!$A920="","",物料档案!$A920)</f>
        <v/>
      </c>
      <c r="B921" s="24">
        <f>IF($A921="","",IFERROR(VLOOKUP($A921,物料档案!$A$4:$P$1203,3,0),""))</f>
        <v/>
      </c>
      <c r="C921" s="24">
        <f>IF($A921="","",IFERROR(VLOOKUP($A921,物料档案!$A$4:$P$1203,4,0),""))</f>
        <v/>
      </c>
      <c r="D921" s="24">
        <f>IF($A921="","",IFERROR(VLOOKUP($A921,物料档案!$A$4:$P$1203,5,0),""))</f>
        <v/>
      </c>
      <c r="E921" s="24">
        <f>IF($A921="","",IFERROR(VLOOKUP($A921,物料档案!$A$4:$P$1203,2,0),""))</f>
        <v/>
      </c>
      <c r="F921" s="24">
        <f>IF($A921="","",IFERROR(VLOOKUP($A921,物料档案!$A$4:$P$1203,6,0),""))</f>
        <v/>
      </c>
      <c r="G921" s="23" t="n"/>
      <c r="H921" s="32" t="n"/>
      <c r="I921" s="27">
        <f>IF($A921="","",SUMIFS(入库单!$K$4:$K$2503,入库单!$G$4:$G$2503,$A921,入库单!$X$4:$X$2503,"采购入库",入库单!$Z$4:$Z$2503,"正常",入库单!$C$4:$C$2503,"&gt;="&amp;账期起,入库单!$C$4:$C$2503,"&lt;="&amp;账期止))</f>
        <v/>
      </c>
      <c r="J921" s="26">
        <f>IF($A921="","",SUMIFS(入库单!$V$4:$V$2503,入库单!$G$4:$G$2503,$A921,入库单!$X$4:$X$2503,"采购入库",入库单!$Z$4:$Z$2503,"正常",入库单!$C$4:$C$2503,"&gt;="&amp;账期起,入库单!$C$4:$C$2503,"&lt;="&amp;账期止))</f>
        <v/>
      </c>
      <c r="K921" s="26">
        <f>IF($A921="","",IFERROR(ROUND((N($H921)+N($J921))/(N($G921)+N($I921)),2),0))</f>
        <v/>
      </c>
      <c r="L921" s="27">
        <f>IF($A921="","",SUMIFS(入库单!$K$4:$K$2503,入库单!$G$4:$G$2503,$A921,入库单!$X$4:$X$2503,"盘盈",入库单!$Z$4:$Z$2503,"正常",入库单!$C$4:$C$2503,"&gt;="&amp;账期起,入库单!$C$4:$C$2503,"&lt;="&amp;账期止))</f>
        <v/>
      </c>
      <c r="M921" s="26">
        <f>IF($A921="","",ROUND($L921*$K921,0))</f>
        <v/>
      </c>
      <c r="N921" s="27">
        <f>IF($A921="","",SUMIFS(入库单!$K$4:$K$2503,入库单!$G$4:$G$2503,$A921,入库单!$X$4:$X$2503,"矿区退库",入库单!$Z$4:$Z$2503,"正常",入库单!$C$4:$C$2503,"&gt;="&amp;账期起,入库单!$C$4:$C$2503,"&lt;="&amp;账期止))</f>
        <v/>
      </c>
      <c r="O921" s="26">
        <f>IF($A921="","",ROUND($N921*$K921,0))</f>
        <v/>
      </c>
      <c r="P921" s="27">
        <f>IF($A921="","",SUMIFS(出库单!$J$4:$J$4003,出库单!$D$4:$D$4003,$A921,出库单!$K$4:$K$4003,"自用消耗",出库单!$U$4:$U$4003,"正常",出库单!$C$4:$C$4003,"&gt;="&amp;账期起,出库单!$C$4:$C$4003,"&lt;="&amp;账期止))</f>
        <v/>
      </c>
      <c r="Q921" s="26">
        <f>IF($A921="","",ROUND(SUMIFS(出库单!$S$4:$S$4003,出库单!$D$4:$D$4003,$A921,出库单!$K$4:$K$4003,"自用消耗",出库单!$U$4:$U$4003,"正常",出库单!$C$4:$C$4003,"&gt;="&amp;账期起,出库单!$C$4:$C$4003,"&lt;="&amp;账期止),0))</f>
        <v/>
      </c>
      <c r="R921" s="27">
        <f>IF($A921="","",SUMIFS(出库单!$J$4:$J$4003,出库单!$D$4:$D$4003,$A921,出库单!$K$4:$K$4003,"对外销售",出库单!$U$4:$U$4003,"正常",出库单!$C$4:$C$4003,"&gt;="&amp;账期起,出库单!$C$4:$C$4003,"&lt;="&amp;账期止))</f>
        <v/>
      </c>
      <c r="S921" s="26">
        <f>IF($A921="","",ROUND(SUMIFS(出库单!$S$4:$S$4003,出库单!$D$4:$D$4003,$A921,出库单!$K$4:$K$4003,"对外销售",出库单!$U$4:$U$4003,"正常",出库单!$C$4:$C$4003,"&gt;="&amp;账期起,出库单!$C$4:$C$4003,"&lt;="&amp;账期止),0))</f>
        <v/>
      </c>
      <c r="T921" s="27">
        <f>IF($A921="","",SUMIFS(出库单!$J$4:$J$4003,出库单!$D$4:$D$4003,$A921,出库单!$K$4:$K$4003,"盘亏",出库单!$U$4:$U$4003,"正常",出库单!$C$4:$C$4003,"&gt;="&amp;账期起,出库单!$C$4:$C$4003,"&lt;="&amp;账期止))</f>
        <v/>
      </c>
      <c r="U921" s="26">
        <f>IF($A921="","",ROUND(SUMIFS(出库单!$S$4:$S$4003,出库单!$D$4:$D$4003,$A921,出库单!$K$4:$K$4003,"盘亏",出库单!$U$4:$U$4003,"正常",出库单!$C$4:$C$4003,"&gt;="&amp;账期起,出库单!$C$4:$C$4003,"&lt;="&amp;账期止),0))</f>
        <v/>
      </c>
      <c r="V921" s="27">
        <f>IF($A921="","",SUMIFS(出库单!$J$4:$J$4003,出库单!$D$4:$D$4003,$A921,出库单!$K$4:$K$4003,"退货给供应商",出库单!$U$4:$U$4003,"正常",出库单!$C$4:$C$4003,"&gt;="&amp;账期起,出库单!$C$4:$C$4003,"&lt;="&amp;账期止))</f>
        <v/>
      </c>
      <c r="W921" s="26">
        <f>IF($A921="","",ROUND(SUMIFS(出库单!$S$4:$S$4003,出库单!$D$4:$D$4003,$A921,出库单!$K$4:$K$4003,"退货给供应商",出库单!$U$4:$U$4003,"正常",出库单!$C$4:$C$4003,"&gt;="&amp;账期起,出库单!$C$4:$C$4003,"&lt;="&amp;账期止),0))</f>
        <v/>
      </c>
      <c r="X921" s="27">
        <f>IF($A921="","",ROUND(N($G921)+$I921+$L921+$N921-$P921-$R921-$T921-$V921,3))</f>
        <v/>
      </c>
      <c r="Y921" s="26">
        <f>IF($A921="","",ROUND(N($H921)+$J921+$M921+$O921-$Q921-$S921-$U921-$W921,0))</f>
        <v/>
      </c>
      <c r="Z921" s="24">
        <f>IF($A921="","",IF(COUNTIFS(入库单!$G$4:$G$2503,$A921,入库单!$Y$4:$Y$2503,"待补价")+COUNTIFS(入库单!$G$4:$G$2503,$A921,入库单!$Y$4:$Y$2503,"暂估")&gt;0,"不可信","可信"))</f>
        <v/>
      </c>
      <c r="AA921" s="24">
        <f>IF($A921="","",IF($X921&lt;-0.001,"※账面负库存，查一下是不是漏记入库",IF(AND(ROUND($X921,3)=0,ABS($Y921)&gt;1),"※数量已经是 0，金额还挂着 "&amp;TEXT($Y921,"#,##0")&amp;" 先令",IF(AND($X921&gt;0,$Y921&lt;=0,$K921=0),"※有数量没金额（这个物料一直没填过进价）",IF($Z921="不可信","△成本含待补价/暂估，毛利仅供参考","")))))</f>
        <v/>
      </c>
    </row>
    <row r="922">
      <c r="A922" s="24">
        <f>IF(物料档案!$A921="","",物料档案!$A921)</f>
        <v/>
      </c>
      <c r="B922" s="24">
        <f>IF($A922="","",IFERROR(VLOOKUP($A922,物料档案!$A$4:$P$1203,3,0),""))</f>
        <v/>
      </c>
      <c r="C922" s="24">
        <f>IF($A922="","",IFERROR(VLOOKUP($A922,物料档案!$A$4:$P$1203,4,0),""))</f>
        <v/>
      </c>
      <c r="D922" s="24">
        <f>IF($A922="","",IFERROR(VLOOKUP($A922,物料档案!$A$4:$P$1203,5,0),""))</f>
        <v/>
      </c>
      <c r="E922" s="24">
        <f>IF($A922="","",IFERROR(VLOOKUP($A922,物料档案!$A$4:$P$1203,2,0),""))</f>
        <v/>
      </c>
      <c r="F922" s="24">
        <f>IF($A922="","",IFERROR(VLOOKUP($A922,物料档案!$A$4:$P$1203,6,0),""))</f>
        <v/>
      </c>
      <c r="G922" s="23" t="n"/>
      <c r="H922" s="32" t="n"/>
      <c r="I922" s="27">
        <f>IF($A922="","",SUMIFS(入库单!$K$4:$K$2503,入库单!$G$4:$G$2503,$A922,入库单!$X$4:$X$2503,"采购入库",入库单!$Z$4:$Z$2503,"正常",入库单!$C$4:$C$2503,"&gt;="&amp;账期起,入库单!$C$4:$C$2503,"&lt;="&amp;账期止))</f>
        <v/>
      </c>
      <c r="J922" s="26">
        <f>IF($A922="","",SUMIFS(入库单!$V$4:$V$2503,入库单!$G$4:$G$2503,$A922,入库单!$X$4:$X$2503,"采购入库",入库单!$Z$4:$Z$2503,"正常",入库单!$C$4:$C$2503,"&gt;="&amp;账期起,入库单!$C$4:$C$2503,"&lt;="&amp;账期止))</f>
        <v/>
      </c>
      <c r="K922" s="26">
        <f>IF($A922="","",IFERROR(ROUND((N($H922)+N($J922))/(N($G922)+N($I922)),2),0))</f>
        <v/>
      </c>
      <c r="L922" s="27">
        <f>IF($A922="","",SUMIFS(入库单!$K$4:$K$2503,入库单!$G$4:$G$2503,$A922,入库单!$X$4:$X$2503,"盘盈",入库单!$Z$4:$Z$2503,"正常",入库单!$C$4:$C$2503,"&gt;="&amp;账期起,入库单!$C$4:$C$2503,"&lt;="&amp;账期止))</f>
        <v/>
      </c>
      <c r="M922" s="26">
        <f>IF($A922="","",ROUND($L922*$K922,0))</f>
        <v/>
      </c>
      <c r="N922" s="27">
        <f>IF($A922="","",SUMIFS(入库单!$K$4:$K$2503,入库单!$G$4:$G$2503,$A922,入库单!$X$4:$X$2503,"矿区退库",入库单!$Z$4:$Z$2503,"正常",入库单!$C$4:$C$2503,"&gt;="&amp;账期起,入库单!$C$4:$C$2503,"&lt;="&amp;账期止))</f>
        <v/>
      </c>
      <c r="O922" s="26">
        <f>IF($A922="","",ROUND($N922*$K922,0))</f>
        <v/>
      </c>
      <c r="P922" s="27">
        <f>IF($A922="","",SUMIFS(出库单!$J$4:$J$4003,出库单!$D$4:$D$4003,$A922,出库单!$K$4:$K$4003,"自用消耗",出库单!$U$4:$U$4003,"正常",出库单!$C$4:$C$4003,"&gt;="&amp;账期起,出库单!$C$4:$C$4003,"&lt;="&amp;账期止))</f>
        <v/>
      </c>
      <c r="Q922" s="26">
        <f>IF($A922="","",ROUND(SUMIFS(出库单!$S$4:$S$4003,出库单!$D$4:$D$4003,$A922,出库单!$K$4:$K$4003,"自用消耗",出库单!$U$4:$U$4003,"正常",出库单!$C$4:$C$4003,"&gt;="&amp;账期起,出库单!$C$4:$C$4003,"&lt;="&amp;账期止),0))</f>
        <v/>
      </c>
      <c r="R922" s="27">
        <f>IF($A922="","",SUMIFS(出库单!$J$4:$J$4003,出库单!$D$4:$D$4003,$A922,出库单!$K$4:$K$4003,"对外销售",出库单!$U$4:$U$4003,"正常",出库单!$C$4:$C$4003,"&gt;="&amp;账期起,出库单!$C$4:$C$4003,"&lt;="&amp;账期止))</f>
        <v/>
      </c>
      <c r="S922" s="26">
        <f>IF($A922="","",ROUND(SUMIFS(出库单!$S$4:$S$4003,出库单!$D$4:$D$4003,$A922,出库单!$K$4:$K$4003,"对外销售",出库单!$U$4:$U$4003,"正常",出库单!$C$4:$C$4003,"&gt;="&amp;账期起,出库单!$C$4:$C$4003,"&lt;="&amp;账期止),0))</f>
        <v/>
      </c>
      <c r="T922" s="27">
        <f>IF($A922="","",SUMIFS(出库单!$J$4:$J$4003,出库单!$D$4:$D$4003,$A922,出库单!$K$4:$K$4003,"盘亏",出库单!$U$4:$U$4003,"正常",出库单!$C$4:$C$4003,"&gt;="&amp;账期起,出库单!$C$4:$C$4003,"&lt;="&amp;账期止))</f>
        <v/>
      </c>
      <c r="U922" s="26">
        <f>IF($A922="","",ROUND(SUMIFS(出库单!$S$4:$S$4003,出库单!$D$4:$D$4003,$A922,出库单!$K$4:$K$4003,"盘亏",出库单!$U$4:$U$4003,"正常",出库单!$C$4:$C$4003,"&gt;="&amp;账期起,出库单!$C$4:$C$4003,"&lt;="&amp;账期止),0))</f>
        <v/>
      </c>
      <c r="V922" s="27">
        <f>IF($A922="","",SUMIFS(出库单!$J$4:$J$4003,出库单!$D$4:$D$4003,$A922,出库单!$K$4:$K$4003,"退货给供应商",出库单!$U$4:$U$4003,"正常",出库单!$C$4:$C$4003,"&gt;="&amp;账期起,出库单!$C$4:$C$4003,"&lt;="&amp;账期止))</f>
        <v/>
      </c>
      <c r="W922" s="26">
        <f>IF($A922="","",ROUND(SUMIFS(出库单!$S$4:$S$4003,出库单!$D$4:$D$4003,$A922,出库单!$K$4:$K$4003,"退货给供应商",出库单!$U$4:$U$4003,"正常",出库单!$C$4:$C$4003,"&gt;="&amp;账期起,出库单!$C$4:$C$4003,"&lt;="&amp;账期止),0))</f>
        <v/>
      </c>
      <c r="X922" s="27">
        <f>IF($A922="","",ROUND(N($G922)+$I922+$L922+$N922-$P922-$R922-$T922-$V922,3))</f>
        <v/>
      </c>
      <c r="Y922" s="26">
        <f>IF($A922="","",ROUND(N($H922)+$J922+$M922+$O922-$Q922-$S922-$U922-$W922,0))</f>
        <v/>
      </c>
      <c r="Z922" s="24">
        <f>IF($A922="","",IF(COUNTIFS(入库单!$G$4:$G$2503,$A922,入库单!$Y$4:$Y$2503,"待补价")+COUNTIFS(入库单!$G$4:$G$2503,$A922,入库单!$Y$4:$Y$2503,"暂估")&gt;0,"不可信","可信"))</f>
        <v/>
      </c>
      <c r="AA922" s="24">
        <f>IF($A922="","",IF($X922&lt;-0.001,"※账面负库存，查一下是不是漏记入库",IF(AND(ROUND($X922,3)=0,ABS($Y922)&gt;1),"※数量已经是 0，金额还挂着 "&amp;TEXT($Y922,"#,##0")&amp;" 先令",IF(AND($X922&gt;0,$Y922&lt;=0,$K922=0),"※有数量没金额（这个物料一直没填过进价）",IF($Z922="不可信","△成本含待补价/暂估，毛利仅供参考","")))))</f>
        <v/>
      </c>
    </row>
    <row r="923">
      <c r="A923" s="24">
        <f>IF(物料档案!$A922="","",物料档案!$A922)</f>
        <v/>
      </c>
      <c r="B923" s="24">
        <f>IF($A923="","",IFERROR(VLOOKUP($A923,物料档案!$A$4:$P$1203,3,0),""))</f>
        <v/>
      </c>
      <c r="C923" s="24">
        <f>IF($A923="","",IFERROR(VLOOKUP($A923,物料档案!$A$4:$P$1203,4,0),""))</f>
        <v/>
      </c>
      <c r="D923" s="24">
        <f>IF($A923="","",IFERROR(VLOOKUP($A923,物料档案!$A$4:$P$1203,5,0),""))</f>
        <v/>
      </c>
      <c r="E923" s="24">
        <f>IF($A923="","",IFERROR(VLOOKUP($A923,物料档案!$A$4:$P$1203,2,0),""))</f>
        <v/>
      </c>
      <c r="F923" s="24">
        <f>IF($A923="","",IFERROR(VLOOKUP($A923,物料档案!$A$4:$P$1203,6,0),""))</f>
        <v/>
      </c>
      <c r="G923" s="23" t="n"/>
      <c r="H923" s="32" t="n"/>
      <c r="I923" s="27">
        <f>IF($A923="","",SUMIFS(入库单!$K$4:$K$2503,入库单!$G$4:$G$2503,$A923,入库单!$X$4:$X$2503,"采购入库",入库单!$Z$4:$Z$2503,"正常",入库单!$C$4:$C$2503,"&gt;="&amp;账期起,入库单!$C$4:$C$2503,"&lt;="&amp;账期止))</f>
        <v/>
      </c>
      <c r="J923" s="26">
        <f>IF($A923="","",SUMIFS(入库单!$V$4:$V$2503,入库单!$G$4:$G$2503,$A923,入库单!$X$4:$X$2503,"采购入库",入库单!$Z$4:$Z$2503,"正常",入库单!$C$4:$C$2503,"&gt;="&amp;账期起,入库单!$C$4:$C$2503,"&lt;="&amp;账期止))</f>
        <v/>
      </c>
      <c r="K923" s="26">
        <f>IF($A923="","",IFERROR(ROUND((N($H923)+N($J923))/(N($G923)+N($I923)),2),0))</f>
        <v/>
      </c>
      <c r="L923" s="27">
        <f>IF($A923="","",SUMIFS(入库单!$K$4:$K$2503,入库单!$G$4:$G$2503,$A923,入库单!$X$4:$X$2503,"盘盈",入库单!$Z$4:$Z$2503,"正常",入库单!$C$4:$C$2503,"&gt;="&amp;账期起,入库单!$C$4:$C$2503,"&lt;="&amp;账期止))</f>
        <v/>
      </c>
      <c r="M923" s="26">
        <f>IF($A923="","",ROUND($L923*$K923,0))</f>
        <v/>
      </c>
      <c r="N923" s="27">
        <f>IF($A923="","",SUMIFS(入库单!$K$4:$K$2503,入库单!$G$4:$G$2503,$A923,入库单!$X$4:$X$2503,"矿区退库",入库单!$Z$4:$Z$2503,"正常",入库单!$C$4:$C$2503,"&gt;="&amp;账期起,入库单!$C$4:$C$2503,"&lt;="&amp;账期止))</f>
        <v/>
      </c>
      <c r="O923" s="26">
        <f>IF($A923="","",ROUND($N923*$K923,0))</f>
        <v/>
      </c>
      <c r="P923" s="27">
        <f>IF($A923="","",SUMIFS(出库单!$J$4:$J$4003,出库单!$D$4:$D$4003,$A923,出库单!$K$4:$K$4003,"自用消耗",出库单!$U$4:$U$4003,"正常",出库单!$C$4:$C$4003,"&gt;="&amp;账期起,出库单!$C$4:$C$4003,"&lt;="&amp;账期止))</f>
        <v/>
      </c>
      <c r="Q923" s="26">
        <f>IF($A923="","",ROUND(SUMIFS(出库单!$S$4:$S$4003,出库单!$D$4:$D$4003,$A923,出库单!$K$4:$K$4003,"自用消耗",出库单!$U$4:$U$4003,"正常",出库单!$C$4:$C$4003,"&gt;="&amp;账期起,出库单!$C$4:$C$4003,"&lt;="&amp;账期止),0))</f>
        <v/>
      </c>
      <c r="R923" s="27">
        <f>IF($A923="","",SUMIFS(出库单!$J$4:$J$4003,出库单!$D$4:$D$4003,$A923,出库单!$K$4:$K$4003,"对外销售",出库单!$U$4:$U$4003,"正常",出库单!$C$4:$C$4003,"&gt;="&amp;账期起,出库单!$C$4:$C$4003,"&lt;="&amp;账期止))</f>
        <v/>
      </c>
      <c r="S923" s="26">
        <f>IF($A923="","",ROUND(SUMIFS(出库单!$S$4:$S$4003,出库单!$D$4:$D$4003,$A923,出库单!$K$4:$K$4003,"对外销售",出库单!$U$4:$U$4003,"正常",出库单!$C$4:$C$4003,"&gt;="&amp;账期起,出库单!$C$4:$C$4003,"&lt;="&amp;账期止),0))</f>
        <v/>
      </c>
      <c r="T923" s="27">
        <f>IF($A923="","",SUMIFS(出库单!$J$4:$J$4003,出库单!$D$4:$D$4003,$A923,出库单!$K$4:$K$4003,"盘亏",出库单!$U$4:$U$4003,"正常",出库单!$C$4:$C$4003,"&gt;="&amp;账期起,出库单!$C$4:$C$4003,"&lt;="&amp;账期止))</f>
        <v/>
      </c>
      <c r="U923" s="26">
        <f>IF($A923="","",ROUND(SUMIFS(出库单!$S$4:$S$4003,出库单!$D$4:$D$4003,$A923,出库单!$K$4:$K$4003,"盘亏",出库单!$U$4:$U$4003,"正常",出库单!$C$4:$C$4003,"&gt;="&amp;账期起,出库单!$C$4:$C$4003,"&lt;="&amp;账期止),0))</f>
        <v/>
      </c>
      <c r="V923" s="27">
        <f>IF($A923="","",SUMIFS(出库单!$J$4:$J$4003,出库单!$D$4:$D$4003,$A923,出库单!$K$4:$K$4003,"退货给供应商",出库单!$U$4:$U$4003,"正常",出库单!$C$4:$C$4003,"&gt;="&amp;账期起,出库单!$C$4:$C$4003,"&lt;="&amp;账期止))</f>
        <v/>
      </c>
      <c r="W923" s="26">
        <f>IF($A923="","",ROUND(SUMIFS(出库单!$S$4:$S$4003,出库单!$D$4:$D$4003,$A923,出库单!$K$4:$K$4003,"退货给供应商",出库单!$U$4:$U$4003,"正常",出库单!$C$4:$C$4003,"&gt;="&amp;账期起,出库单!$C$4:$C$4003,"&lt;="&amp;账期止),0))</f>
        <v/>
      </c>
      <c r="X923" s="27">
        <f>IF($A923="","",ROUND(N($G923)+$I923+$L923+$N923-$P923-$R923-$T923-$V923,3))</f>
        <v/>
      </c>
      <c r="Y923" s="26">
        <f>IF($A923="","",ROUND(N($H923)+$J923+$M923+$O923-$Q923-$S923-$U923-$W923,0))</f>
        <v/>
      </c>
      <c r="Z923" s="24">
        <f>IF($A923="","",IF(COUNTIFS(入库单!$G$4:$G$2503,$A923,入库单!$Y$4:$Y$2503,"待补价")+COUNTIFS(入库单!$G$4:$G$2503,$A923,入库单!$Y$4:$Y$2503,"暂估")&gt;0,"不可信","可信"))</f>
        <v/>
      </c>
      <c r="AA923" s="24">
        <f>IF($A923="","",IF($X923&lt;-0.001,"※账面负库存，查一下是不是漏记入库",IF(AND(ROUND($X923,3)=0,ABS($Y923)&gt;1),"※数量已经是 0，金额还挂着 "&amp;TEXT($Y923,"#,##0")&amp;" 先令",IF(AND($X923&gt;0,$Y923&lt;=0,$K923=0),"※有数量没金额（这个物料一直没填过进价）",IF($Z923="不可信","△成本含待补价/暂估，毛利仅供参考","")))))</f>
        <v/>
      </c>
    </row>
    <row r="924">
      <c r="A924" s="24">
        <f>IF(物料档案!$A923="","",物料档案!$A923)</f>
        <v/>
      </c>
      <c r="B924" s="24">
        <f>IF($A924="","",IFERROR(VLOOKUP($A924,物料档案!$A$4:$P$1203,3,0),""))</f>
        <v/>
      </c>
      <c r="C924" s="24">
        <f>IF($A924="","",IFERROR(VLOOKUP($A924,物料档案!$A$4:$P$1203,4,0),""))</f>
        <v/>
      </c>
      <c r="D924" s="24">
        <f>IF($A924="","",IFERROR(VLOOKUP($A924,物料档案!$A$4:$P$1203,5,0),""))</f>
        <v/>
      </c>
      <c r="E924" s="24">
        <f>IF($A924="","",IFERROR(VLOOKUP($A924,物料档案!$A$4:$P$1203,2,0),""))</f>
        <v/>
      </c>
      <c r="F924" s="24">
        <f>IF($A924="","",IFERROR(VLOOKUP($A924,物料档案!$A$4:$P$1203,6,0),""))</f>
        <v/>
      </c>
      <c r="G924" s="23" t="n"/>
      <c r="H924" s="32" t="n"/>
      <c r="I924" s="27">
        <f>IF($A924="","",SUMIFS(入库单!$K$4:$K$2503,入库单!$G$4:$G$2503,$A924,入库单!$X$4:$X$2503,"采购入库",入库单!$Z$4:$Z$2503,"正常",入库单!$C$4:$C$2503,"&gt;="&amp;账期起,入库单!$C$4:$C$2503,"&lt;="&amp;账期止))</f>
        <v/>
      </c>
      <c r="J924" s="26">
        <f>IF($A924="","",SUMIFS(入库单!$V$4:$V$2503,入库单!$G$4:$G$2503,$A924,入库单!$X$4:$X$2503,"采购入库",入库单!$Z$4:$Z$2503,"正常",入库单!$C$4:$C$2503,"&gt;="&amp;账期起,入库单!$C$4:$C$2503,"&lt;="&amp;账期止))</f>
        <v/>
      </c>
      <c r="K924" s="26">
        <f>IF($A924="","",IFERROR(ROUND((N($H924)+N($J924))/(N($G924)+N($I924)),2),0))</f>
        <v/>
      </c>
      <c r="L924" s="27">
        <f>IF($A924="","",SUMIFS(入库单!$K$4:$K$2503,入库单!$G$4:$G$2503,$A924,入库单!$X$4:$X$2503,"盘盈",入库单!$Z$4:$Z$2503,"正常",入库单!$C$4:$C$2503,"&gt;="&amp;账期起,入库单!$C$4:$C$2503,"&lt;="&amp;账期止))</f>
        <v/>
      </c>
      <c r="M924" s="26">
        <f>IF($A924="","",ROUND($L924*$K924,0))</f>
        <v/>
      </c>
      <c r="N924" s="27">
        <f>IF($A924="","",SUMIFS(入库单!$K$4:$K$2503,入库单!$G$4:$G$2503,$A924,入库单!$X$4:$X$2503,"矿区退库",入库单!$Z$4:$Z$2503,"正常",入库单!$C$4:$C$2503,"&gt;="&amp;账期起,入库单!$C$4:$C$2503,"&lt;="&amp;账期止))</f>
        <v/>
      </c>
      <c r="O924" s="26">
        <f>IF($A924="","",ROUND($N924*$K924,0))</f>
        <v/>
      </c>
      <c r="P924" s="27">
        <f>IF($A924="","",SUMIFS(出库单!$J$4:$J$4003,出库单!$D$4:$D$4003,$A924,出库单!$K$4:$K$4003,"自用消耗",出库单!$U$4:$U$4003,"正常",出库单!$C$4:$C$4003,"&gt;="&amp;账期起,出库单!$C$4:$C$4003,"&lt;="&amp;账期止))</f>
        <v/>
      </c>
      <c r="Q924" s="26">
        <f>IF($A924="","",ROUND(SUMIFS(出库单!$S$4:$S$4003,出库单!$D$4:$D$4003,$A924,出库单!$K$4:$K$4003,"自用消耗",出库单!$U$4:$U$4003,"正常",出库单!$C$4:$C$4003,"&gt;="&amp;账期起,出库单!$C$4:$C$4003,"&lt;="&amp;账期止),0))</f>
        <v/>
      </c>
      <c r="R924" s="27">
        <f>IF($A924="","",SUMIFS(出库单!$J$4:$J$4003,出库单!$D$4:$D$4003,$A924,出库单!$K$4:$K$4003,"对外销售",出库单!$U$4:$U$4003,"正常",出库单!$C$4:$C$4003,"&gt;="&amp;账期起,出库单!$C$4:$C$4003,"&lt;="&amp;账期止))</f>
        <v/>
      </c>
      <c r="S924" s="26">
        <f>IF($A924="","",ROUND(SUMIFS(出库单!$S$4:$S$4003,出库单!$D$4:$D$4003,$A924,出库单!$K$4:$K$4003,"对外销售",出库单!$U$4:$U$4003,"正常",出库单!$C$4:$C$4003,"&gt;="&amp;账期起,出库单!$C$4:$C$4003,"&lt;="&amp;账期止),0))</f>
        <v/>
      </c>
      <c r="T924" s="27">
        <f>IF($A924="","",SUMIFS(出库单!$J$4:$J$4003,出库单!$D$4:$D$4003,$A924,出库单!$K$4:$K$4003,"盘亏",出库单!$U$4:$U$4003,"正常",出库单!$C$4:$C$4003,"&gt;="&amp;账期起,出库单!$C$4:$C$4003,"&lt;="&amp;账期止))</f>
        <v/>
      </c>
      <c r="U924" s="26">
        <f>IF($A924="","",ROUND(SUMIFS(出库单!$S$4:$S$4003,出库单!$D$4:$D$4003,$A924,出库单!$K$4:$K$4003,"盘亏",出库单!$U$4:$U$4003,"正常",出库单!$C$4:$C$4003,"&gt;="&amp;账期起,出库单!$C$4:$C$4003,"&lt;="&amp;账期止),0))</f>
        <v/>
      </c>
      <c r="V924" s="27">
        <f>IF($A924="","",SUMIFS(出库单!$J$4:$J$4003,出库单!$D$4:$D$4003,$A924,出库单!$K$4:$K$4003,"退货给供应商",出库单!$U$4:$U$4003,"正常",出库单!$C$4:$C$4003,"&gt;="&amp;账期起,出库单!$C$4:$C$4003,"&lt;="&amp;账期止))</f>
        <v/>
      </c>
      <c r="W924" s="26">
        <f>IF($A924="","",ROUND(SUMIFS(出库单!$S$4:$S$4003,出库单!$D$4:$D$4003,$A924,出库单!$K$4:$K$4003,"退货给供应商",出库单!$U$4:$U$4003,"正常",出库单!$C$4:$C$4003,"&gt;="&amp;账期起,出库单!$C$4:$C$4003,"&lt;="&amp;账期止),0))</f>
        <v/>
      </c>
      <c r="X924" s="27">
        <f>IF($A924="","",ROUND(N($G924)+$I924+$L924+$N924-$P924-$R924-$T924-$V924,3))</f>
        <v/>
      </c>
      <c r="Y924" s="26">
        <f>IF($A924="","",ROUND(N($H924)+$J924+$M924+$O924-$Q924-$S924-$U924-$W924,0))</f>
        <v/>
      </c>
      <c r="Z924" s="24">
        <f>IF($A924="","",IF(COUNTIFS(入库单!$G$4:$G$2503,$A924,入库单!$Y$4:$Y$2503,"待补价")+COUNTIFS(入库单!$G$4:$G$2503,$A924,入库单!$Y$4:$Y$2503,"暂估")&gt;0,"不可信","可信"))</f>
        <v/>
      </c>
      <c r="AA924" s="24">
        <f>IF($A924="","",IF($X924&lt;-0.001,"※账面负库存，查一下是不是漏记入库",IF(AND(ROUND($X924,3)=0,ABS($Y924)&gt;1),"※数量已经是 0，金额还挂着 "&amp;TEXT($Y924,"#,##0")&amp;" 先令",IF(AND($X924&gt;0,$Y924&lt;=0,$K924=0),"※有数量没金额（这个物料一直没填过进价）",IF($Z924="不可信","△成本含待补价/暂估，毛利仅供参考","")))))</f>
        <v/>
      </c>
    </row>
    <row r="925">
      <c r="A925" s="24">
        <f>IF(物料档案!$A924="","",物料档案!$A924)</f>
        <v/>
      </c>
      <c r="B925" s="24">
        <f>IF($A925="","",IFERROR(VLOOKUP($A925,物料档案!$A$4:$P$1203,3,0),""))</f>
        <v/>
      </c>
      <c r="C925" s="24">
        <f>IF($A925="","",IFERROR(VLOOKUP($A925,物料档案!$A$4:$P$1203,4,0),""))</f>
        <v/>
      </c>
      <c r="D925" s="24">
        <f>IF($A925="","",IFERROR(VLOOKUP($A925,物料档案!$A$4:$P$1203,5,0),""))</f>
        <v/>
      </c>
      <c r="E925" s="24">
        <f>IF($A925="","",IFERROR(VLOOKUP($A925,物料档案!$A$4:$P$1203,2,0),""))</f>
        <v/>
      </c>
      <c r="F925" s="24">
        <f>IF($A925="","",IFERROR(VLOOKUP($A925,物料档案!$A$4:$P$1203,6,0),""))</f>
        <v/>
      </c>
      <c r="G925" s="23" t="n"/>
      <c r="H925" s="32" t="n"/>
      <c r="I925" s="27">
        <f>IF($A925="","",SUMIFS(入库单!$K$4:$K$2503,入库单!$G$4:$G$2503,$A925,入库单!$X$4:$X$2503,"采购入库",入库单!$Z$4:$Z$2503,"正常",入库单!$C$4:$C$2503,"&gt;="&amp;账期起,入库单!$C$4:$C$2503,"&lt;="&amp;账期止))</f>
        <v/>
      </c>
      <c r="J925" s="26">
        <f>IF($A925="","",SUMIFS(入库单!$V$4:$V$2503,入库单!$G$4:$G$2503,$A925,入库单!$X$4:$X$2503,"采购入库",入库单!$Z$4:$Z$2503,"正常",入库单!$C$4:$C$2503,"&gt;="&amp;账期起,入库单!$C$4:$C$2503,"&lt;="&amp;账期止))</f>
        <v/>
      </c>
      <c r="K925" s="26">
        <f>IF($A925="","",IFERROR(ROUND((N($H925)+N($J925))/(N($G925)+N($I925)),2),0))</f>
        <v/>
      </c>
      <c r="L925" s="27">
        <f>IF($A925="","",SUMIFS(入库单!$K$4:$K$2503,入库单!$G$4:$G$2503,$A925,入库单!$X$4:$X$2503,"盘盈",入库单!$Z$4:$Z$2503,"正常",入库单!$C$4:$C$2503,"&gt;="&amp;账期起,入库单!$C$4:$C$2503,"&lt;="&amp;账期止))</f>
        <v/>
      </c>
      <c r="M925" s="26">
        <f>IF($A925="","",ROUND($L925*$K925,0))</f>
        <v/>
      </c>
      <c r="N925" s="27">
        <f>IF($A925="","",SUMIFS(入库单!$K$4:$K$2503,入库单!$G$4:$G$2503,$A925,入库单!$X$4:$X$2503,"矿区退库",入库单!$Z$4:$Z$2503,"正常",入库单!$C$4:$C$2503,"&gt;="&amp;账期起,入库单!$C$4:$C$2503,"&lt;="&amp;账期止))</f>
        <v/>
      </c>
      <c r="O925" s="26">
        <f>IF($A925="","",ROUND($N925*$K925,0))</f>
        <v/>
      </c>
      <c r="P925" s="27">
        <f>IF($A925="","",SUMIFS(出库单!$J$4:$J$4003,出库单!$D$4:$D$4003,$A925,出库单!$K$4:$K$4003,"自用消耗",出库单!$U$4:$U$4003,"正常",出库单!$C$4:$C$4003,"&gt;="&amp;账期起,出库单!$C$4:$C$4003,"&lt;="&amp;账期止))</f>
        <v/>
      </c>
      <c r="Q925" s="26">
        <f>IF($A925="","",ROUND(SUMIFS(出库单!$S$4:$S$4003,出库单!$D$4:$D$4003,$A925,出库单!$K$4:$K$4003,"自用消耗",出库单!$U$4:$U$4003,"正常",出库单!$C$4:$C$4003,"&gt;="&amp;账期起,出库单!$C$4:$C$4003,"&lt;="&amp;账期止),0))</f>
        <v/>
      </c>
      <c r="R925" s="27">
        <f>IF($A925="","",SUMIFS(出库单!$J$4:$J$4003,出库单!$D$4:$D$4003,$A925,出库单!$K$4:$K$4003,"对外销售",出库单!$U$4:$U$4003,"正常",出库单!$C$4:$C$4003,"&gt;="&amp;账期起,出库单!$C$4:$C$4003,"&lt;="&amp;账期止))</f>
        <v/>
      </c>
      <c r="S925" s="26">
        <f>IF($A925="","",ROUND(SUMIFS(出库单!$S$4:$S$4003,出库单!$D$4:$D$4003,$A925,出库单!$K$4:$K$4003,"对外销售",出库单!$U$4:$U$4003,"正常",出库单!$C$4:$C$4003,"&gt;="&amp;账期起,出库单!$C$4:$C$4003,"&lt;="&amp;账期止),0))</f>
        <v/>
      </c>
      <c r="T925" s="27">
        <f>IF($A925="","",SUMIFS(出库单!$J$4:$J$4003,出库单!$D$4:$D$4003,$A925,出库单!$K$4:$K$4003,"盘亏",出库单!$U$4:$U$4003,"正常",出库单!$C$4:$C$4003,"&gt;="&amp;账期起,出库单!$C$4:$C$4003,"&lt;="&amp;账期止))</f>
        <v/>
      </c>
      <c r="U925" s="26">
        <f>IF($A925="","",ROUND(SUMIFS(出库单!$S$4:$S$4003,出库单!$D$4:$D$4003,$A925,出库单!$K$4:$K$4003,"盘亏",出库单!$U$4:$U$4003,"正常",出库单!$C$4:$C$4003,"&gt;="&amp;账期起,出库单!$C$4:$C$4003,"&lt;="&amp;账期止),0))</f>
        <v/>
      </c>
      <c r="V925" s="27">
        <f>IF($A925="","",SUMIFS(出库单!$J$4:$J$4003,出库单!$D$4:$D$4003,$A925,出库单!$K$4:$K$4003,"退货给供应商",出库单!$U$4:$U$4003,"正常",出库单!$C$4:$C$4003,"&gt;="&amp;账期起,出库单!$C$4:$C$4003,"&lt;="&amp;账期止))</f>
        <v/>
      </c>
      <c r="W925" s="26">
        <f>IF($A925="","",ROUND(SUMIFS(出库单!$S$4:$S$4003,出库单!$D$4:$D$4003,$A925,出库单!$K$4:$K$4003,"退货给供应商",出库单!$U$4:$U$4003,"正常",出库单!$C$4:$C$4003,"&gt;="&amp;账期起,出库单!$C$4:$C$4003,"&lt;="&amp;账期止),0))</f>
        <v/>
      </c>
      <c r="X925" s="27">
        <f>IF($A925="","",ROUND(N($G925)+$I925+$L925+$N925-$P925-$R925-$T925-$V925,3))</f>
        <v/>
      </c>
      <c r="Y925" s="26">
        <f>IF($A925="","",ROUND(N($H925)+$J925+$M925+$O925-$Q925-$S925-$U925-$W925,0))</f>
        <v/>
      </c>
      <c r="Z925" s="24">
        <f>IF($A925="","",IF(COUNTIFS(入库单!$G$4:$G$2503,$A925,入库单!$Y$4:$Y$2503,"待补价")+COUNTIFS(入库单!$G$4:$G$2503,$A925,入库单!$Y$4:$Y$2503,"暂估")&gt;0,"不可信","可信"))</f>
        <v/>
      </c>
      <c r="AA925" s="24">
        <f>IF($A925="","",IF($X925&lt;-0.001,"※账面负库存，查一下是不是漏记入库",IF(AND(ROUND($X925,3)=0,ABS($Y925)&gt;1),"※数量已经是 0，金额还挂着 "&amp;TEXT($Y925,"#,##0")&amp;" 先令",IF(AND($X925&gt;0,$Y925&lt;=0,$K925=0),"※有数量没金额（这个物料一直没填过进价）",IF($Z925="不可信","△成本含待补价/暂估，毛利仅供参考","")))))</f>
        <v/>
      </c>
    </row>
    <row r="926">
      <c r="A926" s="24">
        <f>IF(物料档案!$A925="","",物料档案!$A925)</f>
        <v/>
      </c>
      <c r="B926" s="24">
        <f>IF($A926="","",IFERROR(VLOOKUP($A926,物料档案!$A$4:$P$1203,3,0),""))</f>
        <v/>
      </c>
      <c r="C926" s="24">
        <f>IF($A926="","",IFERROR(VLOOKUP($A926,物料档案!$A$4:$P$1203,4,0),""))</f>
        <v/>
      </c>
      <c r="D926" s="24">
        <f>IF($A926="","",IFERROR(VLOOKUP($A926,物料档案!$A$4:$P$1203,5,0),""))</f>
        <v/>
      </c>
      <c r="E926" s="24">
        <f>IF($A926="","",IFERROR(VLOOKUP($A926,物料档案!$A$4:$P$1203,2,0),""))</f>
        <v/>
      </c>
      <c r="F926" s="24">
        <f>IF($A926="","",IFERROR(VLOOKUP($A926,物料档案!$A$4:$P$1203,6,0),""))</f>
        <v/>
      </c>
      <c r="G926" s="23" t="n"/>
      <c r="H926" s="32" t="n"/>
      <c r="I926" s="27">
        <f>IF($A926="","",SUMIFS(入库单!$K$4:$K$2503,入库单!$G$4:$G$2503,$A926,入库单!$X$4:$X$2503,"采购入库",入库单!$Z$4:$Z$2503,"正常",入库单!$C$4:$C$2503,"&gt;="&amp;账期起,入库单!$C$4:$C$2503,"&lt;="&amp;账期止))</f>
        <v/>
      </c>
      <c r="J926" s="26">
        <f>IF($A926="","",SUMIFS(入库单!$V$4:$V$2503,入库单!$G$4:$G$2503,$A926,入库单!$X$4:$X$2503,"采购入库",入库单!$Z$4:$Z$2503,"正常",入库单!$C$4:$C$2503,"&gt;="&amp;账期起,入库单!$C$4:$C$2503,"&lt;="&amp;账期止))</f>
        <v/>
      </c>
      <c r="K926" s="26">
        <f>IF($A926="","",IFERROR(ROUND((N($H926)+N($J926))/(N($G926)+N($I926)),2),0))</f>
        <v/>
      </c>
      <c r="L926" s="27">
        <f>IF($A926="","",SUMIFS(入库单!$K$4:$K$2503,入库单!$G$4:$G$2503,$A926,入库单!$X$4:$X$2503,"盘盈",入库单!$Z$4:$Z$2503,"正常",入库单!$C$4:$C$2503,"&gt;="&amp;账期起,入库单!$C$4:$C$2503,"&lt;="&amp;账期止))</f>
        <v/>
      </c>
      <c r="M926" s="26">
        <f>IF($A926="","",ROUND($L926*$K926,0))</f>
        <v/>
      </c>
      <c r="N926" s="27">
        <f>IF($A926="","",SUMIFS(入库单!$K$4:$K$2503,入库单!$G$4:$G$2503,$A926,入库单!$X$4:$X$2503,"矿区退库",入库单!$Z$4:$Z$2503,"正常",入库单!$C$4:$C$2503,"&gt;="&amp;账期起,入库单!$C$4:$C$2503,"&lt;="&amp;账期止))</f>
        <v/>
      </c>
      <c r="O926" s="26">
        <f>IF($A926="","",ROUND($N926*$K926,0))</f>
        <v/>
      </c>
      <c r="P926" s="27">
        <f>IF($A926="","",SUMIFS(出库单!$J$4:$J$4003,出库单!$D$4:$D$4003,$A926,出库单!$K$4:$K$4003,"自用消耗",出库单!$U$4:$U$4003,"正常",出库单!$C$4:$C$4003,"&gt;="&amp;账期起,出库单!$C$4:$C$4003,"&lt;="&amp;账期止))</f>
        <v/>
      </c>
      <c r="Q926" s="26">
        <f>IF($A926="","",ROUND(SUMIFS(出库单!$S$4:$S$4003,出库单!$D$4:$D$4003,$A926,出库单!$K$4:$K$4003,"自用消耗",出库单!$U$4:$U$4003,"正常",出库单!$C$4:$C$4003,"&gt;="&amp;账期起,出库单!$C$4:$C$4003,"&lt;="&amp;账期止),0))</f>
        <v/>
      </c>
      <c r="R926" s="27">
        <f>IF($A926="","",SUMIFS(出库单!$J$4:$J$4003,出库单!$D$4:$D$4003,$A926,出库单!$K$4:$K$4003,"对外销售",出库单!$U$4:$U$4003,"正常",出库单!$C$4:$C$4003,"&gt;="&amp;账期起,出库单!$C$4:$C$4003,"&lt;="&amp;账期止))</f>
        <v/>
      </c>
      <c r="S926" s="26">
        <f>IF($A926="","",ROUND(SUMIFS(出库单!$S$4:$S$4003,出库单!$D$4:$D$4003,$A926,出库单!$K$4:$K$4003,"对外销售",出库单!$U$4:$U$4003,"正常",出库单!$C$4:$C$4003,"&gt;="&amp;账期起,出库单!$C$4:$C$4003,"&lt;="&amp;账期止),0))</f>
        <v/>
      </c>
      <c r="T926" s="27">
        <f>IF($A926="","",SUMIFS(出库单!$J$4:$J$4003,出库单!$D$4:$D$4003,$A926,出库单!$K$4:$K$4003,"盘亏",出库单!$U$4:$U$4003,"正常",出库单!$C$4:$C$4003,"&gt;="&amp;账期起,出库单!$C$4:$C$4003,"&lt;="&amp;账期止))</f>
        <v/>
      </c>
      <c r="U926" s="26">
        <f>IF($A926="","",ROUND(SUMIFS(出库单!$S$4:$S$4003,出库单!$D$4:$D$4003,$A926,出库单!$K$4:$K$4003,"盘亏",出库单!$U$4:$U$4003,"正常",出库单!$C$4:$C$4003,"&gt;="&amp;账期起,出库单!$C$4:$C$4003,"&lt;="&amp;账期止),0))</f>
        <v/>
      </c>
      <c r="V926" s="27">
        <f>IF($A926="","",SUMIFS(出库单!$J$4:$J$4003,出库单!$D$4:$D$4003,$A926,出库单!$K$4:$K$4003,"退货给供应商",出库单!$U$4:$U$4003,"正常",出库单!$C$4:$C$4003,"&gt;="&amp;账期起,出库单!$C$4:$C$4003,"&lt;="&amp;账期止))</f>
        <v/>
      </c>
      <c r="W926" s="26">
        <f>IF($A926="","",ROUND(SUMIFS(出库单!$S$4:$S$4003,出库单!$D$4:$D$4003,$A926,出库单!$K$4:$K$4003,"退货给供应商",出库单!$U$4:$U$4003,"正常",出库单!$C$4:$C$4003,"&gt;="&amp;账期起,出库单!$C$4:$C$4003,"&lt;="&amp;账期止),0))</f>
        <v/>
      </c>
      <c r="X926" s="27">
        <f>IF($A926="","",ROUND(N($G926)+$I926+$L926+$N926-$P926-$R926-$T926-$V926,3))</f>
        <v/>
      </c>
      <c r="Y926" s="26">
        <f>IF($A926="","",ROUND(N($H926)+$J926+$M926+$O926-$Q926-$S926-$U926-$W926,0))</f>
        <v/>
      </c>
      <c r="Z926" s="24">
        <f>IF($A926="","",IF(COUNTIFS(入库单!$G$4:$G$2503,$A926,入库单!$Y$4:$Y$2503,"待补价")+COUNTIFS(入库单!$G$4:$G$2503,$A926,入库单!$Y$4:$Y$2503,"暂估")&gt;0,"不可信","可信"))</f>
        <v/>
      </c>
      <c r="AA926" s="24">
        <f>IF($A926="","",IF($X926&lt;-0.001,"※账面负库存，查一下是不是漏记入库",IF(AND(ROUND($X926,3)=0,ABS($Y926)&gt;1),"※数量已经是 0，金额还挂着 "&amp;TEXT($Y926,"#,##0")&amp;" 先令",IF(AND($X926&gt;0,$Y926&lt;=0,$K926=0),"※有数量没金额（这个物料一直没填过进价）",IF($Z926="不可信","△成本含待补价/暂估，毛利仅供参考","")))))</f>
        <v/>
      </c>
    </row>
    <row r="927">
      <c r="A927" s="24">
        <f>IF(物料档案!$A926="","",物料档案!$A926)</f>
        <v/>
      </c>
      <c r="B927" s="24">
        <f>IF($A927="","",IFERROR(VLOOKUP($A927,物料档案!$A$4:$P$1203,3,0),""))</f>
        <v/>
      </c>
      <c r="C927" s="24">
        <f>IF($A927="","",IFERROR(VLOOKUP($A927,物料档案!$A$4:$P$1203,4,0),""))</f>
        <v/>
      </c>
      <c r="D927" s="24">
        <f>IF($A927="","",IFERROR(VLOOKUP($A927,物料档案!$A$4:$P$1203,5,0),""))</f>
        <v/>
      </c>
      <c r="E927" s="24">
        <f>IF($A927="","",IFERROR(VLOOKUP($A927,物料档案!$A$4:$P$1203,2,0),""))</f>
        <v/>
      </c>
      <c r="F927" s="24">
        <f>IF($A927="","",IFERROR(VLOOKUP($A927,物料档案!$A$4:$P$1203,6,0),""))</f>
        <v/>
      </c>
      <c r="G927" s="23" t="n"/>
      <c r="H927" s="32" t="n"/>
      <c r="I927" s="27">
        <f>IF($A927="","",SUMIFS(入库单!$K$4:$K$2503,入库单!$G$4:$G$2503,$A927,入库单!$X$4:$X$2503,"采购入库",入库单!$Z$4:$Z$2503,"正常",入库单!$C$4:$C$2503,"&gt;="&amp;账期起,入库单!$C$4:$C$2503,"&lt;="&amp;账期止))</f>
        <v/>
      </c>
      <c r="J927" s="26">
        <f>IF($A927="","",SUMIFS(入库单!$V$4:$V$2503,入库单!$G$4:$G$2503,$A927,入库单!$X$4:$X$2503,"采购入库",入库单!$Z$4:$Z$2503,"正常",入库单!$C$4:$C$2503,"&gt;="&amp;账期起,入库单!$C$4:$C$2503,"&lt;="&amp;账期止))</f>
        <v/>
      </c>
      <c r="K927" s="26">
        <f>IF($A927="","",IFERROR(ROUND((N($H927)+N($J927))/(N($G927)+N($I927)),2),0))</f>
        <v/>
      </c>
      <c r="L927" s="27">
        <f>IF($A927="","",SUMIFS(入库单!$K$4:$K$2503,入库单!$G$4:$G$2503,$A927,入库单!$X$4:$X$2503,"盘盈",入库单!$Z$4:$Z$2503,"正常",入库单!$C$4:$C$2503,"&gt;="&amp;账期起,入库单!$C$4:$C$2503,"&lt;="&amp;账期止))</f>
        <v/>
      </c>
      <c r="M927" s="26">
        <f>IF($A927="","",ROUND($L927*$K927,0))</f>
        <v/>
      </c>
      <c r="N927" s="27">
        <f>IF($A927="","",SUMIFS(入库单!$K$4:$K$2503,入库单!$G$4:$G$2503,$A927,入库单!$X$4:$X$2503,"矿区退库",入库单!$Z$4:$Z$2503,"正常",入库单!$C$4:$C$2503,"&gt;="&amp;账期起,入库单!$C$4:$C$2503,"&lt;="&amp;账期止))</f>
        <v/>
      </c>
      <c r="O927" s="26">
        <f>IF($A927="","",ROUND($N927*$K927,0))</f>
        <v/>
      </c>
      <c r="P927" s="27">
        <f>IF($A927="","",SUMIFS(出库单!$J$4:$J$4003,出库单!$D$4:$D$4003,$A927,出库单!$K$4:$K$4003,"自用消耗",出库单!$U$4:$U$4003,"正常",出库单!$C$4:$C$4003,"&gt;="&amp;账期起,出库单!$C$4:$C$4003,"&lt;="&amp;账期止))</f>
        <v/>
      </c>
      <c r="Q927" s="26">
        <f>IF($A927="","",ROUND(SUMIFS(出库单!$S$4:$S$4003,出库单!$D$4:$D$4003,$A927,出库单!$K$4:$K$4003,"自用消耗",出库单!$U$4:$U$4003,"正常",出库单!$C$4:$C$4003,"&gt;="&amp;账期起,出库单!$C$4:$C$4003,"&lt;="&amp;账期止),0))</f>
        <v/>
      </c>
      <c r="R927" s="27">
        <f>IF($A927="","",SUMIFS(出库单!$J$4:$J$4003,出库单!$D$4:$D$4003,$A927,出库单!$K$4:$K$4003,"对外销售",出库单!$U$4:$U$4003,"正常",出库单!$C$4:$C$4003,"&gt;="&amp;账期起,出库单!$C$4:$C$4003,"&lt;="&amp;账期止))</f>
        <v/>
      </c>
      <c r="S927" s="26">
        <f>IF($A927="","",ROUND(SUMIFS(出库单!$S$4:$S$4003,出库单!$D$4:$D$4003,$A927,出库单!$K$4:$K$4003,"对外销售",出库单!$U$4:$U$4003,"正常",出库单!$C$4:$C$4003,"&gt;="&amp;账期起,出库单!$C$4:$C$4003,"&lt;="&amp;账期止),0))</f>
        <v/>
      </c>
      <c r="T927" s="27">
        <f>IF($A927="","",SUMIFS(出库单!$J$4:$J$4003,出库单!$D$4:$D$4003,$A927,出库单!$K$4:$K$4003,"盘亏",出库单!$U$4:$U$4003,"正常",出库单!$C$4:$C$4003,"&gt;="&amp;账期起,出库单!$C$4:$C$4003,"&lt;="&amp;账期止))</f>
        <v/>
      </c>
      <c r="U927" s="26">
        <f>IF($A927="","",ROUND(SUMIFS(出库单!$S$4:$S$4003,出库单!$D$4:$D$4003,$A927,出库单!$K$4:$K$4003,"盘亏",出库单!$U$4:$U$4003,"正常",出库单!$C$4:$C$4003,"&gt;="&amp;账期起,出库单!$C$4:$C$4003,"&lt;="&amp;账期止),0))</f>
        <v/>
      </c>
      <c r="V927" s="27">
        <f>IF($A927="","",SUMIFS(出库单!$J$4:$J$4003,出库单!$D$4:$D$4003,$A927,出库单!$K$4:$K$4003,"退货给供应商",出库单!$U$4:$U$4003,"正常",出库单!$C$4:$C$4003,"&gt;="&amp;账期起,出库单!$C$4:$C$4003,"&lt;="&amp;账期止))</f>
        <v/>
      </c>
      <c r="W927" s="26">
        <f>IF($A927="","",ROUND(SUMIFS(出库单!$S$4:$S$4003,出库单!$D$4:$D$4003,$A927,出库单!$K$4:$K$4003,"退货给供应商",出库单!$U$4:$U$4003,"正常",出库单!$C$4:$C$4003,"&gt;="&amp;账期起,出库单!$C$4:$C$4003,"&lt;="&amp;账期止),0))</f>
        <v/>
      </c>
      <c r="X927" s="27">
        <f>IF($A927="","",ROUND(N($G927)+$I927+$L927+$N927-$P927-$R927-$T927-$V927,3))</f>
        <v/>
      </c>
      <c r="Y927" s="26">
        <f>IF($A927="","",ROUND(N($H927)+$J927+$M927+$O927-$Q927-$S927-$U927-$W927,0))</f>
        <v/>
      </c>
      <c r="Z927" s="24">
        <f>IF($A927="","",IF(COUNTIFS(入库单!$G$4:$G$2503,$A927,入库单!$Y$4:$Y$2503,"待补价")+COUNTIFS(入库单!$G$4:$G$2503,$A927,入库单!$Y$4:$Y$2503,"暂估")&gt;0,"不可信","可信"))</f>
        <v/>
      </c>
      <c r="AA927" s="24">
        <f>IF($A927="","",IF($X927&lt;-0.001,"※账面负库存，查一下是不是漏记入库",IF(AND(ROUND($X927,3)=0,ABS($Y927)&gt;1),"※数量已经是 0，金额还挂着 "&amp;TEXT($Y927,"#,##0")&amp;" 先令",IF(AND($X927&gt;0,$Y927&lt;=0,$K927=0),"※有数量没金额（这个物料一直没填过进价）",IF($Z927="不可信","△成本含待补价/暂估，毛利仅供参考","")))))</f>
        <v/>
      </c>
    </row>
    <row r="928">
      <c r="A928" s="24">
        <f>IF(物料档案!$A927="","",物料档案!$A927)</f>
        <v/>
      </c>
      <c r="B928" s="24">
        <f>IF($A928="","",IFERROR(VLOOKUP($A928,物料档案!$A$4:$P$1203,3,0),""))</f>
        <v/>
      </c>
      <c r="C928" s="24">
        <f>IF($A928="","",IFERROR(VLOOKUP($A928,物料档案!$A$4:$P$1203,4,0),""))</f>
        <v/>
      </c>
      <c r="D928" s="24">
        <f>IF($A928="","",IFERROR(VLOOKUP($A928,物料档案!$A$4:$P$1203,5,0),""))</f>
        <v/>
      </c>
      <c r="E928" s="24">
        <f>IF($A928="","",IFERROR(VLOOKUP($A928,物料档案!$A$4:$P$1203,2,0),""))</f>
        <v/>
      </c>
      <c r="F928" s="24">
        <f>IF($A928="","",IFERROR(VLOOKUP($A928,物料档案!$A$4:$P$1203,6,0),""))</f>
        <v/>
      </c>
      <c r="G928" s="23" t="n"/>
      <c r="H928" s="32" t="n"/>
      <c r="I928" s="27">
        <f>IF($A928="","",SUMIFS(入库单!$K$4:$K$2503,入库单!$G$4:$G$2503,$A928,入库单!$X$4:$X$2503,"采购入库",入库单!$Z$4:$Z$2503,"正常",入库单!$C$4:$C$2503,"&gt;="&amp;账期起,入库单!$C$4:$C$2503,"&lt;="&amp;账期止))</f>
        <v/>
      </c>
      <c r="J928" s="26">
        <f>IF($A928="","",SUMIFS(入库单!$V$4:$V$2503,入库单!$G$4:$G$2503,$A928,入库单!$X$4:$X$2503,"采购入库",入库单!$Z$4:$Z$2503,"正常",入库单!$C$4:$C$2503,"&gt;="&amp;账期起,入库单!$C$4:$C$2503,"&lt;="&amp;账期止))</f>
        <v/>
      </c>
      <c r="K928" s="26">
        <f>IF($A928="","",IFERROR(ROUND((N($H928)+N($J928))/(N($G928)+N($I928)),2),0))</f>
        <v/>
      </c>
      <c r="L928" s="27">
        <f>IF($A928="","",SUMIFS(入库单!$K$4:$K$2503,入库单!$G$4:$G$2503,$A928,入库单!$X$4:$X$2503,"盘盈",入库单!$Z$4:$Z$2503,"正常",入库单!$C$4:$C$2503,"&gt;="&amp;账期起,入库单!$C$4:$C$2503,"&lt;="&amp;账期止))</f>
        <v/>
      </c>
      <c r="M928" s="26">
        <f>IF($A928="","",ROUND($L928*$K928,0))</f>
        <v/>
      </c>
      <c r="N928" s="27">
        <f>IF($A928="","",SUMIFS(入库单!$K$4:$K$2503,入库单!$G$4:$G$2503,$A928,入库单!$X$4:$X$2503,"矿区退库",入库单!$Z$4:$Z$2503,"正常",入库单!$C$4:$C$2503,"&gt;="&amp;账期起,入库单!$C$4:$C$2503,"&lt;="&amp;账期止))</f>
        <v/>
      </c>
      <c r="O928" s="26">
        <f>IF($A928="","",ROUND($N928*$K928,0))</f>
        <v/>
      </c>
      <c r="P928" s="27">
        <f>IF($A928="","",SUMIFS(出库单!$J$4:$J$4003,出库单!$D$4:$D$4003,$A928,出库单!$K$4:$K$4003,"自用消耗",出库单!$U$4:$U$4003,"正常",出库单!$C$4:$C$4003,"&gt;="&amp;账期起,出库单!$C$4:$C$4003,"&lt;="&amp;账期止))</f>
        <v/>
      </c>
      <c r="Q928" s="26">
        <f>IF($A928="","",ROUND(SUMIFS(出库单!$S$4:$S$4003,出库单!$D$4:$D$4003,$A928,出库单!$K$4:$K$4003,"自用消耗",出库单!$U$4:$U$4003,"正常",出库单!$C$4:$C$4003,"&gt;="&amp;账期起,出库单!$C$4:$C$4003,"&lt;="&amp;账期止),0))</f>
        <v/>
      </c>
      <c r="R928" s="27">
        <f>IF($A928="","",SUMIFS(出库单!$J$4:$J$4003,出库单!$D$4:$D$4003,$A928,出库单!$K$4:$K$4003,"对外销售",出库单!$U$4:$U$4003,"正常",出库单!$C$4:$C$4003,"&gt;="&amp;账期起,出库单!$C$4:$C$4003,"&lt;="&amp;账期止))</f>
        <v/>
      </c>
      <c r="S928" s="26">
        <f>IF($A928="","",ROUND(SUMIFS(出库单!$S$4:$S$4003,出库单!$D$4:$D$4003,$A928,出库单!$K$4:$K$4003,"对外销售",出库单!$U$4:$U$4003,"正常",出库单!$C$4:$C$4003,"&gt;="&amp;账期起,出库单!$C$4:$C$4003,"&lt;="&amp;账期止),0))</f>
        <v/>
      </c>
      <c r="T928" s="27">
        <f>IF($A928="","",SUMIFS(出库单!$J$4:$J$4003,出库单!$D$4:$D$4003,$A928,出库单!$K$4:$K$4003,"盘亏",出库单!$U$4:$U$4003,"正常",出库单!$C$4:$C$4003,"&gt;="&amp;账期起,出库单!$C$4:$C$4003,"&lt;="&amp;账期止))</f>
        <v/>
      </c>
      <c r="U928" s="26">
        <f>IF($A928="","",ROUND(SUMIFS(出库单!$S$4:$S$4003,出库单!$D$4:$D$4003,$A928,出库单!$K$4:$K$4003,"盘亏",出库单!$U$4:$U$4003,"正常",出库单!$C$4:$C$4003,"&gt;="&amp;账期起,出库单!$C$4:$C$4003,"&lt;="&amp;账期止),0))</f>
        <v/>
      </c>
      <c r="V928" s="27">
        <f>IF($A928="","",SUMIFS(出库单!$J$4:$J$4003,出库单!$D$4:$D$4003,$A928,出库单!$K$4:$K$4003,"退货给供应商",出库单!$U$4:$U$4003,"正常",出库单!$C$4:$C$4003,"&gt;="&amp;账期起,出库单!$C$4:$C$4003,"&lt;="&amp;账期止))</f>
        <v/>
      </c>
      <c r="W928" s="26">
        <f>IF($A928="","",ROUND(SUMIFS(出库单!$S$4:$S$4003,出库单!$D$4:$D$4003,$A928,出库单!$K$4:$K$4003,"退货给供应商",出库单!$U$4:$U$4003,"正常",出库单!$C$4:$C$4003,"&gt;="&amp;账期起,出库单!$C$4:$C$4003,"&lt;="&amp;账期止),0))</f>
        <v/>
      </c>
      <c r="X928" s="27">
        <f>IF($A928="","",ROUND(N($G928)+$I928+$L928+$N928-$P928-$R928-$T928-$V928,3))</f>
        <v/>
      </c>
      <c r="Y928" s="26">
        <f>IF($A928="","",ROUND(N($H928)+$J928+$M928+$O928-$Q928-$S928-$U928-$W928,0))</f>
        <v/>
      </c>
      <c r="Z928" s="24">
        <f>IF($A928="","",IF(COUNTIFS(入库单!$G$4:$G$2503,$A928,入库单!$Y$4:$Y$2503,"待补价")+COUNTIFS(入库单!$G$4:$G$2503,$A928,入库单!$Y$4:$Y$2503,"暂估")&gt;0,"不可信","可信"))</f>
        <v/>
      </c>
      <c r="AA928" s="24">
        <f>IF($A928="","",IF($X928&lt;-0.001,"※账面负库存，查一下是不是漏记入库",IF(AND(ROUND($X928,3)=0,ABS($Y928)&gt;1),"※数量已经是 0，金额还挂着 "&amp;TEXT($Y928,"#,##0")&amp;" 先令",IF(AND($X928&gt;0,$Y928&lt;=0,$K928=0),"※有数量没金额（这个物料一直没填过进价）",IF($Z928="不可信","△成本含待补价/暂估，毛利仅供参考","")))))</f>
        <v/>
      </c>
    </row>
    <row r="929">
      <c r="A929" s="24">
        <f>IF(物料档案!$A928="","",物料档案!$A928)</f>
        <v/>
      </c>
      <c r="B929" s="24">
        <f>IF($A929="","",IFERROR(VLOOKUP($A929,物料档案!$A$4:$P$1203,3,0),""))</f>
        <v/>
      </c>
      <c r="C929" s="24">
        <f>IF($A929="","",IFERROR(VLOOKUP($A929,物料档案!$A$4:$P$1203,4,0),""))</f>
        <v/>
      </c>
      <c r="D929" s="24">
        <f>IF($A929="","",IFERROR(VLOOKUP($A929,物料档案!$A$4:$P$1203,5,0),""))</f>
        <v/>
      </c>
      <c r="E929" s="24">
        <f>IF($A929="","",IFERROR(VLOOKUP($A929,物料档案!$A$4:$P$1203,2,0),""))</f>
        <v/>
      </c>
      <c r="F929" s="24">
        <f>IF($A929="","",IFERROR(VLOOKUP($A929,物料档案!$A$4:$P$1203,6,0),""))</f>
        <v/>
      </c>
      <c r="G929" s="23" t="n"/>
      <c r="H929" s="32" t="n"/>
      <c r="I929" s="27">
        <f>IF($A929="","",SUMIFS(入库单!$K$4:$K$2503,入库单!$G$4:$G$2503,$A929,入库单!$X$4:$X$2503,"采购入库",入库单!$Z$4:$Z$2503,"正常",入库单!$C$4:$C$2503,"&gt;="&amp;账期起,入库单!$C$4:$C$2503,"&lt;="&amp;账期止))</f>
        <v/>
      </c>
      <c r="J929" s="26">
        <f>IF($A929="","",SUMIFS(入库单!$V$4:$V$2503,入库单!$G$4:$G$2503,$A929,入库单!$X$4:$X$2503,"采购入库",入库单!$Z$4:$Z$2503,"正常",入库单!$C$4:$C$2503,"&gt;="&amp;账期起,入库单!$C$4:$C$2503,"&lt;="&amp;账期止))</f>
        <v/>
      </c>
      <c r="K929" s="26">
        <f>IF($A929="","",IFERROR(ROUND((N($H929)+N($J929))/(N($G929)+N($I929)),2),0))</f>
        <v/>
      </c>
      <c r="L929" s="27">
        <f>IF($A929="","",SUMIFS(入库单!$K$4:$K$2503,入库单!$G$4:$G$2503,$A929,入库单!$X$4:$X$2503,"盘盈",入库单!$Z$4:$Z$2503,"正常",入库单!$C$4:$C$2503,"&gt;="&amp;账期起,入库单!$C$4:$C$2503,"&lt;="&amp;账期止))</f>
        <v/>
      </c>
      <c r="M929" s="26">
        <f>IF($A929="","",ROUND($L929*$K929,0))</f>
        <v/>
      </c>
      <c r="N929" s="27">
        <f>IF($A929="","",SUMIFS(入库单!$K$4:$K$2503,入库单!$G$4:$G$2503,$A929,入库单!$X$4:$X$2503,"矿区退库",入库单!$Z$4:$Z$2503,"正常",入库单!$C$4:$C$2503,"&gt;="&amp;账期起,入库单!$C$4:$C$2503,"&lt;="&amp;账期止))</f>
        <v/>
      </c>
      <c r="O929" s="26">
        <f>IF($A929="","",ROUND($N929*$K929,0))</f>
        <v/>
      </c>
      <c r="P929" s="27">
        <f>IF($A929="","",SUMIFS(出库单!$J$4:$J$4003,出库单!$D$4:$D$4003,$A929,出库单!$K$4:$K$4003,"自用消耗",出库单!$U$4:$U$4003,"正常",出库单!$C$4:$C$4003,"&gt;="&amp;账期起,出库单!$C$4:$C$4003,"&lt;="&amp;账期止))</f>
        <v/>
      </c>
      <c r="Q929" s="26">
        <f>IF($A929="","",ROUND(SUMIFS(出库单!$S$4:$S$4003,出库单!$D$4:$D$4003,$A929,出库单!$K$4:$K$4003,"自用消耗",出库单!$U$4:$U$4003,"正常",出库单!$C$4:$C$4003,"&gt;="&amp;账期起,出库单!$C$4:$C$4003,"&lt;="&amp;账期止),0))</f>
        <v/>
      </c>
      <c r="R929" s="27">
        <f>IF($A929="","",SUMIFS(出库单!$J$4:$J$4003,出库单!$D$4:$D$4003,$A929,出库单!$K$4:$K$4003,"对外销售",出库单!$U$4:$U$4003,"正常",出库单!$C$4:$C$4003,"&gt;="&amp;账期起,出库单!$C$4:$C$4003,"&lt;="&amp;账期止))</f>
        <v/>
      </c>
      <c r="S929" s="26">
        <f>IF($A929="","",ROUND(SUMIFS(出库单!$S$4:$S$4003,出库单!$D$4:$D$4003,$A929,出库单!$K$4:$K$4003,"对外销售",出库单!$U$4:$U$4003,"正常",出库单!$C$4:$C$4003,"&gt;="&amp;账期起,出库单!$C$4:$C$4003,"&lt;="&amp;账期止),0))</f>
        <v/>
      </c>
      <c r="T929" s="27">
        <f>IF($A929="","",SUMIFS(出库单!$J$4:$J$4003,出库单!$D$4:$D$4003,$A929,出库单!$K$4:$K$4003,"盘亏",出库单!$U$4:$U$4003,"正常",出库单!$C$4:$C$4003,"&gt;="&amp;账期起,出库单!$C$4:$C$4003,"&lt;="&amp;账期止))</f>
        <v/>
      </c>
      <c r="U929" s="26">
        <f>IF($A929="","",ROUND(SUMIFS(出库单!$S$4:$S$4003,出库单!$D$4:$D$4003,$A929,出库单!$K$4:$K$4003,"盘亏",出库单!$U$4:$U$4003,"正常",出库单!$C$4:$C$4003,"&gt;="&amp;账期起,出库单!$C$4:$C$4003,"&lt;="&amp;账期止),0))</f>
        <v/>
      </c>
      <c r="V929" s="27">
        <f>IF($A929="","",SUMIFS(出库单!$J$4:$J$4003,出库单!$D$4:$D$4003,$A929,出库单!$K$4:$K$4003,"退货给供应商",出库单!$U$4:$U$4003,"正常",出库单!$C$4:$C$4003,"&gt;="&amp;账期起,出库单!$C$4:$C$4003,"&lt;="&amp;账期止))</f>
        <v/>
      </c>
      <c r="W929" s="26">
        <f>IF($A929="","",ROUND(SUMIFS(出库单!$S$4:$S$4003,出库单!$D$4:$D$4003,$A929,出库单!$K$4:$K$4003,"退货给供应商",出库单!$U$4:$U$4003,"正常",出库单!$C$4:$C$4003,"&gt;="&amp;账期起,出库单!$C$4:$C$4003,"&lt;="&amp;账期止),0))</f>
        <v/>
      </c>
      <c r="X929" s="27">
        <f>IF($A929="","",ROUND(N($G929)+$I929+$L929+$N929-$P929-$R929-$T929-$V929,3))</f>
        <v/>
      </c>
      <c r="Y929" s="26">
        <f>IF($A929="","",ROUND(N($H929)+$J929+$M929+$O929-$Q929-$S929-$U929-$W929,0))</f>
        <v/>
      </c>
      <c r="Z929" s="24">
        <f>IF($A929="","",IF(COUNTIFS(入库单!$G$4:$G$2503,$A929,入库单!$Y$4:$Y$2503,"待补价")+COUNTIFS(入库单!$G$4:$G$2503,$A929,入库单!$Y$4:$Y$2503,"暂估")&gt;0,"不可信","可信"))</f>
        <v/>
      </c>
      <c r="AA929" s="24">
        <f>IF($A929="","",IF($X929&lt;-0.001,"※账面负库存，查一下是不是漏记入库",IF(AND(ROUND($X929,3)=0,ABS($Y929)&gt;1),"※数量已经是 0，金额还挂着 "&amp;TEXT($Y929,"#,##0")&amp;" 先令",IF(AND($X929&gt;0,$Y929&lt;=0,$K929=0),"※有数量没金额（这个物料一直没填过进价）",IF($Z929="不可信","△成本含待补价/暂估，毛利仅供参考","")))))</f>
        <v/>
      </c>
    </row>
    <row r="930">
      <c r="A930" s="24">
        <f>IF(物料档案!$A929="","",物料档案!$A929)</f>
        <v/>
      </c>
      <c r="B930" s="24">
        <f>IF($A930="","",IFERROR(VLOOKUP($A930,物料档案!$A$4:$P$1203,3,0),""))</f>
        <v/>
      </c>
      <c r="C930" s="24">
        <f>IF($A930="","",IFERROR(VLOOKUP($A930,物料档案!$A$4:$P$1203,4,0),""))</f>
        <v/>
      </c>
      <c r="D930" s="24">
        <f>IF($A930="","",IFERROR(VLOOKUP($A930,物料档案!$A$4:$P$1203,5,0),""))</f>
        <v/>
      </c>
      <c r="E930" s="24">
        <f>IF($A930="","",IFERROR(VLOOKUP($A930,物料档案!$A$4:$P$1203,2,0),""))</f>
        <v/>
      </c>
      <c r="F930" s="24">
        <f>IF($A930="","",IFERROR(VLOOKUP($A930,物料档案!$A$4:$P$1203,6,0),""))</f>
        <v/>
      </c>
      <c r="G930" s="23" t="n"/>
      <c r="H930" s="32" t="n"/>
      <c r="I930" s="27">
        <f>IF($A930="","",SUMIFS(入库单!$K$4:$K$2503,入库单!$G$4:$G$2503,$A930,入库单!$X$4:$X$2503,"采购入库",入库单!$Z$4:$Z$2503,"正常",入库单!$C$4:$C$2503,"&gt;="&amp;账期起,入库单!$C$4:$C$2503,"&lt;="&amp;账期止))</f>
        <v/>
      </c>
      <c r="J930" s="26">
        <f>IF($A930="","",SUMIFS(入库单!$V$4:$V$2503,入库单!$G$4:$G$2503,$A930,入库单!$X$4:$X$2503,"采购入库",入库单!$Z$4:$Z$2503,"正常",入库单!$C$4:$C$2503,"&gt;="&amp;账期起,入库单!$C$4:$C$2503,"&lt;="&amp;账期止))</f>
        <v/>
      </c>
      <c r="K930" s="26">
        <f>IF($A930="","",IFERROR(ROUND((N($H930)+N($J930))/(N($G930)+N($I930)),2),0))</f>
        <v/>
      </c>
      <c r="L930" s="27">
        <f>IF($A930="","",SUMIFS(入库单!$K$4:$K$2503,入库单!$G$4:$G$2503,$A930,入库单!$X$4:$X$2503,"盘盈",入库单!$Z$4:$Z$2503,"正常",入库单!$C$4:$C$2503,"&gt;="&amp;账期起,入库单!$C$4:$C$2503,"&lt;="&amp;账期止))</f>
        <v/>
      </c>
      <c r="M930" s="26">
        <f>IF($A930="","",ROUND($L930*$K930,0))</f>
        <v/>
      </c>
      <c r="N930" s="27">
        <f>IF($A930="","",SUMIFS(入库单!$K$4:$K$2503,入库单!$G$4:$G$2503,$A930,入库单!$X$4:$X$2503,"矿区退库",入库单!$Z$4:$Z$2503,"正常",入库单!$C$4:$C$2503,"&gt;="&amp;账期起,入库单!$C$4:$C$2503,"&lt;="&amp;账期止))</f>
        <v/>
      </c>
      <c r="O930" s="26">
        <f>IF($A930="","",ROUND($N930*$K930,0))</f>
        <v/>
      </c>
      <c r="P930" s="27">
        <f>IF($A930="","",SUMIFS(出库单!$J$4:$J$4003,出库单!$D$4:$D$4003,$A930,出库单!$K$4:$K$4003,"自用消耗",出库单!$U$4:$U$4003,"正常",出库单!$C$4:$C$4003,"&gt;="&amp;账期起,出库单!$C$4:$C$4003,"&lt;="&amp;账期止))</f>
        <v/>
      </c>
      <c r="Q930" s="26">
        <f>IF($A930="","",ROUND(SUMIFS(出库单!$S$4:$S$4003,出库单!$D$4:$D$4003,$A930,出库单!$K$4:$K$4003,"自用消耗",出库单!$U$4:$U$4003,"正常",出库单!$C$4:$C$4003,"&gt;="&amp;账期起,出库单!$C$4:$C$4003,"&lt;="&amp;账期止),0))</f>
        <v/>
      </c>
      <c r="R930" s="27">
        <f>IF($A930="","",SUMIFS(出库单!$J$4:$J$4003,出库单!$D$4:$D$4003,$A930,出库单!$K$4:$K$4003,"对外销售",出库单!$U$4:$U$4003,"正常",出库单!$C$4:$C$4003,"&gt;="&amp;账期起,出库单!$C$4:$C$4003,"&lt;="&amp;账期止))</f>
        <v/>
      </c>
      <c r="S930" s="26">
        <f>IF($A930="","",ROUND(SUMIFS(出库单!$S$4:$S$4003,出库单!$D$4:$D$4003,$A930,出库单!$K$4:$K$4003,"对外销售",出库单!$U$4:$U$4003,"正常",出库单!$C$4:$C$4003,"&gt;="&amp;账期起,出库单!$C$4:$C$4003,"&lt;="&amp;账期止),0))</f>
        <v/>
      </c>
      <c r="T930" s="27">
        <f>IF($A930="","",SUMIFS(出库单!$J$4:$J$4003,出库单!$D$4:$D$4003,$A930,出库单!$K$4:$K$4003,"盘亏",出库单!$U$4:$U$4003,"正常",出库单!$C$4:$C$4003,"&gt;="&amp;账期起,出库单!$C$4:$C$4003,"&lt;="&amp;账期止))</f>
        <v/>
      </c>
      <c r="U930" s="26">
        <f>IF($A930="","",ROUND(SUMIFS(出库单!$S$4:$S$4003,出库单!$D$4:$D$4003,$A930,出库单!$K$4:$K$4003,"盘亏",出库单!$U$4:$U$4003,"正常",出库单!$C$4:$C$4003,"&gt;="&amp;账期起,出库单!$C$4:$C$4003,"&lt;="&amp;账期止),0))</f>
        <v/>
      </c>
      <c r="V930" s="27">
        <f>IF($A930="","",SUMIFS(出库单!$J$4:$J$4003,出库单!$D$4:$D$4003,$A930,出库单!$K$4:$K$4003,"退货给供应商",出库单!$U$4:$U$4003,"正常",出库单!$C$4:$C$4003,"&gt;="&amp;账期起,出库单!$C$4:$C$4003,"&lt;="&amp;账期止))</f>
        <v/>
      </c>
      <c r="W930" s="26">
        <f>IF($A930="","",ROUND(SUMIFS(出库单!$S$4:$S$4003,出库单!$D$4:$D$4003,$A930,出库单!$K$4:$K$4003,"退货给供应商",出库单!$U$4:$U$4003,"正常",出库单!$C$4:$C$4003,"&gt;="&amp;账期起,出库单!$C$4:$C$4003,"&lt;="&amp;账期止),0))</f>
        <v/>
      </c>
      <c r="X930" s="27">
        <f>IF($A930="","",ROUND(N($G930)+$I930+$L930+$N930-$P930-$R930-$T930-$V930,3))</f>
        <v/>
      </c>
      <c r="Y930" s="26">
        <f>IF($A930="","",ROUND(N($H930)+$J930+$M930+$O930-$Q930-$S930-$U930-$W930,0))</f>
        <v/>
      </c>
      <c r="Z930" s="24">
        <f>IF($A930="","",IF(COUNTIFS(入库单!$G$4:$G$2503,$A930,入库单!$Y$4:$Y$2503,"待补价")+COUNTIFS(入库单!$G$4:$G$2503,$A930,入库单!$Y$4:$Y$2503,"暂估")&gt;0,"不可信","可信"))</f>
        <v/>
      </c>
      <c r="AA930" s="24">
        <f>IF($A930="","",IF($X930&lt;-0.001,"※账面负库存，查一下是不是漏记入库",IF(AND(ROUND($X930,3)=0,ABS($Y930)&gt;1),"※数量已经是 0，金额还挂着 "&amp;TEXT($Y930,"#,##0")&amp;" 先令",IF(AND($X930&gt;0,$Y930&lt;=0,$K930=0),"※有数量没金额（这个物料一直没填过进价）",IF($Z930="不可信","△成本含待补价/暂估，毛利仅供参考","")))))</f>
        <v/>
      </c>
    </row>
    <row r="931">
      <c r="A931" s="24">
        <f>IF(物料档案!$A930="","",物料档案!$A930)</f>
        <v/>
      </c>
      <c r="B931" s="24">
        <f>IF($A931="","",IFERROR(VLOOKUP($A931,物料档案!$A$4:$P$1203,3,0),""))</f>
        <v/>
      </c>
      <c r="C931" s="24">
        <f>IF($A931="","",IFERROR(VLOOKUP($A931,物料档案!$A$4:$P$1203,4,0),""))</f>
        <v/>
      </c>
      <c r="D931" s="24">
        <f>IF($A931="","",IFERROR(VLOOKUP($A931,物料档案!$A$4:$P$1203,5,0),""))</f>
        <v/>
      </c>
      <c r="E931" s="24">
        <f>IF($A931="","",IFERROR(VLOOKUP($A931,物料档案!$A$4:$P$1203,2,0),""))</f>
        <v/>
      </c>
      <c r="F931" s="24">
        <f>IF($A931="","",IFERROR(VLOOKUP($A931,物料档案!$A$4:$P$1203,6,0),""))</f>
        <v/>
      </c>
      <c r="G931" s="23" t="n"/>
      <c r="H931" s="32" t="n"/>
      <c r="I931" s="27">
        <f>IF($A931="","",SUMIFS(入库单!$K$4:$K$2503,入库单!$G$4:$G$2503,$A931,入库单!$X$4:$X$2503,"采购入库",入库单!$Z$4:$Z$2503,"正常",入库单!$C$4:$C$2503,"&gt;="&amp;账期起,入库单!$C$4:$C$2503,"&lt;="&amp;账期止))</f>
        <v/>
      </c>
      <c r="J931" s="26">
        <f>IF($A931="","",SUMIFS(入库单!$V$4:$V$2503,入库单!$G$4:$G$2503,$A931,入库单!$X$4:$X$2503,"采购入库",入库单!$Z$4:$Z$2503,"正常",入库单!$C$4:$C$2503,"&gt;="&amp;账期起,入库单!$C$4:$C$2503,"&lt;="&amp;账期止))</f>
        <v/>
      </c>
      <c r="K931" s="26">
        <f>IF($A931="","",IFERROR(ROUND((N($H931)+N($J931))/(N($G931)+N($I931)),2),0))</f>
        <v/>
      </c>
      <c r="L931" s="27">
        <f>IF($A931="","",SUMIFS(入库单!$K$4:$K$2503,入库单!$G$4:$G$2503,$A931,入库单!$X$4:$X$2503,"盘盈",入库单!$Z$4:$Z$2503,"正常",入库单!$C$4:$C$2503,"&gt;="&amp;账期起,入库单!$C$4:$C$2503,"&lt;="&amp;账期止))</f>
        <v/>
      </c>
      <c r="M931" s="26">
        <f>IF($A931="","",ROUND($L931*$K931,0))</f>
        <v/>
      </c>
      <c r="N931" s="27">
        <f>IF($A931="","",SUMIFS(入库单!$K$4:$K$2503,入库单!$G$4:$G$2503,$A931,入库单!$X$4:$X$2503,"矿区退库",入库单!$Z$4:$Z$2503,"正常",入库单!$C$4:$C$2503,"&gt;="&amp;账期起,入库单!$C$4:$C$2503,"&lt;="&amp;账期止))</f>
        <v/>
      </c>
      <c r="O931" s="26">
        <f>IF($A931="","",ROUND($N931*$K931,0))</f>
        <v/>
      </c>
      <c r="P931" s="27">
        <f>IF($A931="","",SUMIFS(出库单!$J$4:$J$4003,出库单!$D$4:$D$4003,$A931,出库单!$K$4:$K$4003,"自用消耗",出库单!$U$4:$U$4003,"正常",出库单!$C$4:$C$4003,"&gt;="&amp;账期起,出库单!$C$4:$C$4003,"&lt;="&amp;账期止))</f>
        <v/>
      </c>
      <c r="Q931" s="26">
        <f>IF($A931="","",ROUND(SUMIFS(出库单!$S$4:$S$4003,出库单!$D$4:$D$4003,$A931,出库单!$K$4:$K$4003,"自用消耗",出库单!$U$4:$U$4003,"正常",出库单!$C$4:$C$4003,"&gt;="&amp;账期起,出库单!$C$4:$C$4003,"&lt;="&amp;账期止),0))</f>
        <v/>
      </c>
      <c r="R931" s="27">
        <f>IF($A931="","",SUMIFS(出库单!$J$4:$J$4003,出库单!$D$4:$D$4003,$A931,出库单!$K$4:$K$4003,"对外销售",出库单!$U$4:$U$4003,"正常",出库单!$C$4:$C$4003,"&gt;="&amp;账期起,出库单!$C$4:$C$4003,"&lt;="&amp;账期止))</f>
        <v/>
      </c>
      <c r="S931" s="26">
        <f>IF($A931="","",ROUND(SUMIFS(出库单!$S$4:$S$4003,出库单!$D$4:$D$4003,$A931,出库单!$K$4:$K$4003,"对外销售",出库单!$U$4:$U$4003,"正常",出库单!$C$4:$C$4003,"&gt;="&amp;账期起,出库单!$C$4:$C$4003,"&lt;="&amp;账期止),0))</f>
        <v/>
      </c>
      <c r="T931" s="27">
        <f>IF($A931="","",SUMIFS(出库单!$J$4:$J$4003,出库单!$D$4:$D$4003,$A931,出库单!$K$4:$K$4003,"盘亏",出库单!$U$4:$U$4003,"正常",出库单!$C$4:$C$4003,"&gt;="&amp;账期起,出库单!$C$4:$C$4003,"&lt;="&amp;账期止))</f>
        <v/>
      </c>
      <c r="U931" s="26">
        <f>IF($A931="","",ROUND(SUMIFS(出库单!$S$4:$S$4003,出库单!$D$4:$D$4003,$A931,出库单!$K$4:$K$4003,"盘亏",出库单!$U$4:$U$4003,"正常",出库单!$C$4:$C$4003,"&gt;="&amp;账期起,出库单!$C$4:$C$4003,"&lt;="&amp;账期止),0))</f>
        <v/>
      </c>
      <c r="V931" s="27">
        <f>IF($A931="","",SUMIFS(出库单!$J$4:$J$4003,出库单!$D$4:$D$4003,$A931,出库单!$K$4:$K$4003,"退货给供应商",出库单!$U$4:$U$4003,"正常",出库单!$C$4:$C$4003,"&gt;="&amp;账期起,出库单!$C$4:$C$4003,"&lt;="&amp;账期止))</f>
        <v/>
      </c>
      <c r="W931" s="26">
        <f>IF($A931="","",ROUND(SUMIFS(出库单!$S$4:$S$4003,出库单!$D$4:$D$4003,$A931,出库单!$K$4:$K$4003,"退货给供应商",出库单!$U$4:$U$4003,"正常",出库单!$C$4:$C$4003,"&gt;="&amp;账期起,出库单!$C$4:$C$4003,"&lt;="&amp;账期止),0))</f>
        <v/>
      </c>
      <c r="X931" s="27">
        <f>IF($A931="","",ROUND(N($G931)+$I931+$L931+$N931-$P931-$R931-$T931-$V931,3))</f>
        <v/>
      </c>
      <c r="Y931" s="26">
        <f>IF($A931="","",ROUND(N($H931)+$J931+$M931+$O931-$Q931-$S931-$U931-$W931,0))</f>
        <v/>
      </c>
      <c r="Z931" s="24">
        <f>IF($A931="","",IF(COUNTIFS(入库单!$G$4:$G$2503,$A931,入库单!$Y$4:$Y$2503,"待补价")+COUNTIFS(入库单!$G$4:$G$2503,$A931,入库单!$Y$4:$Y$2503,"暂估")&gt;0,"不可信","可信"))</f>
        <v/>
      </c>
      <c r="AA931" s="24">
        <f>IF($A931="","",IF($X931&lt;-0.001,"※账面负库存，查一下是不是漏记入库",IF(AND(ROUND($X931,3)=0,ABS($Y931)&gt;1),"※数量已经是 0，金额还挂着 "&amp;TEXT($Y931,"#,##0")&amp;" 先令",IF(AND($X931&gt;0,$Y931&lt;=0,$K931=0),"※有数量没金额（这个物料一直没填过进价）",IF($Z931="不可信","△成本含待补价/暂估，毛利仅供参考","")))))</f>
        <v/>
      </c>
    </row>
    <row r="932">
      <c r="A932" s="24">
        <f>IF(物料档案!$A931="","",物料档案!$A931)</f>
        <v/>
      </c>
      <c r="B932" s="24">
        <f>IF($A932="","",IFERROR(VLOOKUP($A932,物料档案!$A$4:$P$1203,3,0),""))</f>
        <v/>
      </c>
      <c r="C932" s="24">
        <f>IF($A932="","",IFERROR(VLOOKUP($A932,物料档案!$A$4:$P$1203,4,0),""))</f>
        <v/>
      </c>
      <c r="D932" s="24">
        <f>IF($A932="","",IFERROR(VLOOKUP($A932,物料档案!$A$4:$P$1203,5,0),""))</f>
        <v/>
      </c>
      <c r="E932" s="24">
        <f>IF($A932="","",IFERROR(VLOOKUP($A932,物料档案!$A$4:$P$1203,2,0),""))</f>
        <v/>
      </c>
      <c r="F932" s="24">
        <f>IF($A932="","",IFERROR(VLOOKUP($A932,物料档案!$A$4:$P$1203,6,0),""))</f>
        <v/>
      </c>
      <c r="G932" s="23" t="n"/>
      <c r="H932" s="32" t="n"/>
      <c r="I932" s="27">
        <f>IF($A932="","",SUMIFS(入库单!$K$4:$K$2503,入库单!$G$4:$G$2503,$A932,入库单!$X$4:$X$2503,"采购入库",入库单!$Z$4:$Z$2503,"正常",入库单!$C$4:$C$2503,"&gt;="&amp;账期起,入库单!$C$4:$C$2503,"&lt;="&amp;账期止))</f>
        <v/>
      </c>
      <c r="J932" s="26">
        <f>IF($A932="","",SUMIFS(入库单!$V$4:$V$2503,入库单!$G$4:$G$2503,$A932,入库单!$X$4:$X$2503,"采购入库",入库单!$Z$4:$Z$2503,"正常",入库单!$C$4:$C$2503,"&gt;="&amp;账期起,入库单!$C$4:$C$2503,"&lt;="&amp;账期止))</f>
        <v/>
      </c>
      <c r="K932" s="26">
        <f>IF($A932="","",IFERROR(ROUND((N($H932)+N($J932))/(N($G932)+N($I932)),2),0))</f>
        <v/>
      </c>
      <c r="L932" s="27">
        <f>IF($A932="","",SUMIFS(入库单!$K$4:$K$2503,入库单!$G$4:$G$2503,$A932,入库单!$X$4:$X$2503,"盘盈",入库单!$Z$4:$Z$2503,"正常",入库单!$C$4:$C$2503,"&gt;="&amp;账期起,入库单!$C$4:$C$2503,"&lt;="&amp;账期止))</f>
        <v/>
      </c>
      <c r="M932" s="26">
        <f>IF($A932="","",ROUND($L932*$K932,0))</f>
        <v/>
      </c>
      <c r="N932" s="27">
        <f>IF($A932="","",SUMIFS(入库单!$K$4:$K$2503,入库单!$G$4:$G$2503,$A932,入库单!$X$4:$X$2503,"矿区退库",入库单!$Z$4:$Z$2503,"正常",入库单!$C$4:$C$2503,"&gt;="&amp;账期起,入库单!$C$4:$C$2503,"&lt;="&amp;账期止))</f>
        <v/>
      </c>
      <c r="O932" s="26">
        <f>IF($A932="","",ROUND($N932*$K932,0))</f>
        <v/>
      </c>
      <c r="P932" s="27">
        <f>IF($A932="","",SUMIFS(出库单!$J$4:$J$4003,出库单!$D$4:$D$4003,$A932,出库单!$K$4:$K$4003,"自用消耗",出库单!$U$4:$U$4003,"正常",出库单!$C$4:$C$4003,"&gt;="&amp;账期起,出库单!$C$4:$C$4003,"&lt;="&amp;账期止))</f>
        <v/>
      </c>
      <c r="Q932" s="26">
        <f>IF($A932="","",ROUND(SUMIFS(出库单!$S$4:$S$4003,出库单!$D$4:$D$4003,$A932,出库单!$K$4:$K$4003,"自用消耗",出库单!$U$4:$U$4003,"正常",出库单!$C$4:$C$4003,"&gt;="&amp;账期起,出库单!$C$4:$C$4003,"&lt;="&amp;账期止),0))</f>
        <v/>
      </c>
      <c r="R932" s="27">
        <f>IF($A932="","",SUMIFS(出库单!$J$4:$J$4003,出库单!$D$4:$D$4003,$A932,出库单!$K$4:$K$4003,"对外销售",出库单!$U$4:$U$4003,"正常",出库单!$C$4:$C$4003,"&gt;="&amp;账期起,出库单!$C$4:$C$4003,"&lt;="&amp;账期止))</f>
        <v/>
      </c>
      <c r="S932" s="26">
        <f>IF($A932="","",ROUND(SUMIFS(出库单!$S$4:$S$4003,出库单!$D$4:$D$4003,$A932,出库单!$K$4:$K$4003,"对外销售",出库单!$U$4:$U$4003,"正常",出库单!$C$4:$C$4003,"&gt;="&amp;账期起,出库单!$C$4:$C$4003,"&lt;="&amp;账期止),0))</f>
        <v/>
      </c>
      <c r="T932" s="27">
        <f>IF($A932="","",SUMIFS(出库单!$J$4:$J$4003,出库单!$D$4:$D$4003,$A932,出库单!$K$4:$K$4003,"盘亏",出库单!$U$4:$U$4003,"正常",出库单!$C$4:$C$4003,"&gt;="&amp;账期起,出库单!$C$4:$C$4003,"&lt;="&amp;账期止))</f>
        <v/>
      </c>
      <c r="U932" s="26">
        <f>IF($A932="","",ROUND(SUMIFS(出库单!$S$4:$S$4003,出库单!$D$4:$D$4003,$A932,出库单!$K$4:$K$4003,"盘亏",出库单!$U$4:$U$4003,"正常",出库单!$C$4:$C$4003,"&gt;="&amp;账期起,出库单!$C$4:$C$4003,"&lt;="&amp;账期止),0))</f>
        <v/>
      </c>
      <c r="V932" s="27">
        <f>IF($A932="","",SUMIFS(出库单!$J$4:$J$4003,出库单!$D$4:$D$4003,$A932,出库单!$K$4:$K$4003,"退货给供应商",出库单!$U$4:$U$4003,"正常",出库单!$C$4:$C$4003,"&gt;="&amp;账期起,出库单!$C$4:$C$4003,"&lt;="&amp;账期止))</f>
        <v/>
      </c>
      <c r="W932" s="26">
        <f>IF($A932="","",ROUND(SUMIFS(出库单!$S$4:$S$4003,出库单!$D$4:$D$4003,$A932,出库单!$K$4:$K$4003,"退货给供应商",出库单!$U$4:$U$4003,"正常",出库单!$C$4:$C$4003,"&gt;="&amp;账期起,出库单!$C$4:$C$4003,"&lt;="&amp;账期止),0))</f>
        <v/>
      </c>
      <c r="X932" s="27">
        <f>IF($A932="","",ROUND(N($G932)+$I932+$L932+$N932-$P932-$R932-$T932-$V932,3))</f>
        <v/>
      </c>
      <c r="Y932" s="26">
        <f>IF($A932="","",ROUND(N($H932)+$J932+$M932+$O932-$Q932-$S932-$U932-$W932,0))</f>
        <v/>
      </c>
      <c r="Z932" s="24">
        <f>IF($A932="","",IF(COUNTIFS(入库单!$G$4:$G$2503,$A932,入库单!$Y$4:$Y$2503,"待补价")+COUNTIFS(入库单!$G$4:$G$2503,$A932,入库单!$Y$4:$Y$2503,"暂估")&gt;0,"不可信","可信"))</f>
        <v/>
      </c>
      <c r="AA932" s="24">
        <f>IF($A932="","",IF($X932&lt;-0.001,"※账面负库存，查一下是不是漏记入库",IF(AND(ROUND($X932,3)=0,ABS($Y932)&gt;1),"※数量已经是 0，金额还挂着 "&amp;TEXT($Y932,"#,##0")&amp;" 先令",IF(AND($X932&gt;0,$Y932&lt;=0,$K932=0),"※有数量没金额（这个物料一直没填过进价）",IF($Z932="不可信","△成本含待补价/暂估，毛利仅供参考","")))))</f>
        <v/>
      </c>
    </row>
    <row r="933">
      <c r="A933" s="24">
        <f>IF(物料档案!$A932="","",物料档案!$A932)</f>
        <v/>
      </c>
      <c r="B933" s="24">
        <f>IF($A933="","",IFERROR(VLOOKUP($A933,物料档案!$A$4:$P$1203,3,0),""))</f>
        <v/>
      </c>
      <c r="C933" s="24">
        <f>IF($A933="","",IFERROR(VLOOKUP($A933,物料档案!$A$4:$P$1203,4,0),""))</f>
        <v/>
      </c>
      <c r="D933" s="24">
        <f>IF($A933="","",IFERROR(VLOOKUP($A933,物料档案!$A$4:$P$1203,5,0),""))</f>
        <v/>
      </c>
      <c r="E933" s="24">
        <f>IF($A933="","",IFERROR(VLOOKUP($A933,物料档案!$A$4:$P$1203,2,0),""))</f>
        <v/>
      </c>
      <c r="F933" s="24">
        <f>IF($A933="","",IFERROR(VLOOKUP($A933,物料档案!$A$4:$P$1203,6,0),""))</f>
        <v/>
      </c>
      <c r="G933" s="23" t="n"/>
      <c r="H933" s="32" t="n"/>
      <c r="I933" s="27">
        <f>IF($A933="","",SUMIFS(入库单!$K$4:$K$2503,入库单!$G$4:$G$2503,$A933,入库单!$X$4:$X$2503,"采购入库",入库单!$Z$4:$Z$2503,"正常",入库单!$C$4:$C$2503,"&gt;="&amp;账期起,入库单!$C$4:$C$2503,"&lt;="&amp;账期止))</f>
        <v/>
      </c>
      <c r="J933" s="26">
        <f>IF($A933="","",SUMIFS(入库单!$V$4:$V$2503,入库单!$G$4:$G$2503,$A933,入库单!$X$4:$X$2503,"采购入库",入库单!$Z$4:$Z$2503,"正常",入库单!$C$4:$C$2503,"&gt;="&amp;账期起,入库单!$C$4:$C$2503,"&lt;="&amp;账期止))</f>
        <v/>
      </c>
      <c r="K933" s="26">
        <f>IF($A933="","",IFERROR(ROUND((N($H933)+N($J933))/(N($G933)+N($I933)),2),0))</f>
        <v/>
      </c>
      <c r="L933" s="27">
        <f>IF($A933="","",SUMIFS(入库单!$K$4:$K$2503,入库单!$G$4:$G$2503,$A933,入库单!$X$4:$X$2503,"盘盈",入库单!$Z$4:$Z$2503,"正常",入库单!$C$4:$C$2503,"&gt;="&amp;账期起,入库单!$C$4:$C$2503,"&lt;="&amp;账期止))</f>
        <v/>
      </c>
      <c r="M933" s="26">
        <f>IF($A933="","",ROUND($L933*$K933,0))</f>
        <v/>
      </c>
      <c r="N933" s="27">
        <f>IF($A933="","",SUMIFS(入库单!$K$4:$K$2503,入库单!$G$4:$G$2503,$A933,入库单!$X$4:$X$2503,"矿区退库",入库单!$Z$4:$Z$2503,"正常",入库单!$C$4:$C$2503,"&gt;="&amp;账期起,入库单!$C$4:$C$2503,"&lt;="&amp;账期止))</f>
        <v/>
      </c>
      <c r="O933" s="26">
        <f>IF($A933="","",ROUND($N933*$K933,0))</f>
        <v/>
      </c>
      <c r="P933" s="27">
        <f>IF($A933="","",SUMIFS(出库单!$J$4:$J$4003,出库单!$D$4:$D$4003,$A933,出库单!$K$4:$K$4003,"自用消耗",出库单!$U$4:$U$4003,"正常",出库单!$C$4:$C$4003,"&gt;="&amp;账期起,出库单!$C$4:$C$4003,"&lt;="&amp;账期止))</f>
        <v/>
      </c>
      <c r="Q933" s="26">
        <f>IF($A933="","",ROUND(SUMIFS(出库单!$S$4:$S$4003,出库单!$D$4:$D$4003,$A933,出库单!$K$4:$K$4003,"自用消耗",出库单!$U$4:$U$4003,"正常",出库单!$C$4:$C$4003,"&gt;="&amp;账期起,出库单!$C$4:$C$4003,"&lt;="&amp;账期止),0))</f>
        <v/>
      </c>
      <c r="R933" s="27">
        <f>IF($A933="","",SUMIFS(出库单!$J$4:$J$4003,出库单!$D$4:$D$4003,$A933,出库单!$K$4:$K$4003,"对外销售",出库单!$U$4:$U$4003,"正常",出库单!$C$4:$C$4003,"&gt;="&amp;账期起,出库单!$C$4:$C$4003,"&lt;="&amp;账期止))</f>
        <v/>
      </c>
      <c r="S933" s="26">
        <f>IF($A933="","",ROUND(SUMIFS(出库单!$S$4:$S$4003,出库单!$D$4:$D$4003,$A933,出库单!$K$4:$K$4003,"对外销售",出库单!$U$4:$U$4003,"正常",出库单!$C$4:$C$4003,"&gt;="&amp;账期起,出库单!$C$4:$C$4003,"&lt;="&amp;账期止),0))</f>
        <v/>
      </c>
      <c r="T933" s="27">
        <f>IF($A933="","",SUMIFS(出库单!$J$4:$J$4003,出库单!$D$4:$D$4003,$A933,出库单!$K$4:$K$4003,"盘亏",出库单!$U$4:$U$4003,"正常",出库单!$C$4:$C$4003,"&gt;="&amp;账期起,出库单!$C$4:$C$4003,"&lt;="&amp;账期止))</f>
        <v/>
      </c>
      <c r="U933" s="26">
        <f>IF($A933="","",ROUND(SUMIFS(出库单!$S$4:$S$4003,出库单!$D$4:$D$4003,$A933,出库单!$K$4:$K$4003,"盘亏",出库单!$U$4:$U$4003,"正常",出库单!$C$4:$C$4003,"&gt;="&amp;账期起,出库单!$C$4:$C$4003,"&lt;="&amp;账期止),0))</f>
        <v/>
      </c>
      <c r="V933" s="27">
        <f>IF($A933="","",SUMIFS(出库单!$J$4:$J$4003,出库单!$D$4:$D$4003,$A933,出库单!$K$4:$K$4003,"退货给供应商",出库单!$U$4:$U$4003,"正常",出库单!$C$4:$C$4003,"&gt;="&amp;账期起,出库单!$C$4:$C$4003,"&lt;="&amp;账期止))</f>
        <v/>
      </c>
      <c r="W933" s="26">
        <f>IF($A933="","",ROUND(SUMIFS(出库单!$S$4:$S$4003,出库单!$D$4:$D$4003,$A933,出库单!$K$4:$K$4003,"退货给供应商",出库单!$U$4:$U$4003,"正常",出库单!$C$4:$C$4003,"&gt;="&amp;账期起,出库单!$C$4:$C$4003,"&lt;="&amp;账期止),0))</f>
        <v/>
      </c>
      <c r="X933" s="27">
        <f>IF($A933="","",ROUND(N($G933)+$I933+$L933+$N933-$P933-$R933-$T933-$V933,3))</f>
        <v/>
      </c>
      <c r="Y933" s="26">
        <f>IF($A933="","",ROUND(N($H933)+$J933+$M933+$O933-$Q933-$S933-$U933-$W933,0))</f>
        <v/>
      </c>
      <c r="Z933" s="24">
        <f>IF($A933="","",IF(COUNTIFS(入库单!$G$4:$G$2503,$A933,入库单!$Y$4:$Y$2503,"待补价")+COUNTIFS(入库单!$G$4:$G$2503,$A933,入库单!$Y$4:$Y$2503,"暂估")&gt;0,"不可信","可信"))</f>
        <v/>
      </c>
      <c r="AA933" s="24">
        <f>IF($A933="","",IF($X933&lt;-0.001,"※账面负库存，查一下是不是漏记入库",IF(AND(ROUND($X933,3)=0,ABS($Y933)&gt;1),"※数量已经是 0，金额还挂着 "&amp;TEXT($Y933,"#,##0")&amp;" 先令",IF(AND($X933&gt;0,$Y933&lt;=0,$K933=0),"※有数量没金额（这个物料一直没填过进价）",IF($Z933="不可信","△成本含待补价/暂估，毛利仅供参考","")))))</f>
        <v/>
      </c>
    </row>
    <row r="934">
      <c r="A934" s="24">
        <f>IF(物料档案!$A933="","",物料档案!$A933)</f>
        <v/>
      </c>
      <c r="B934" s="24">
        <f>IF($A934="","",IFERROR(VLOOKUP($A934,物料档案!$A$4:$P$1203,3,0),""))</f>
        <v/>
      </c>
      <c r="C934" s="24">
        <f>IF($A934="","",IFERROR(VLOOKUP($A934,物料档案!$A$4:$P$1203,4,0),""))</f>
        <v/>
      </c>
      <c r="D934" s="24">
        <f>IF($A934="","",IFERROR(VLOOKUP($A934,物料档案!$A$4:$P$1203,5,0),""))</f>
        <v/>
      </c>
      <c r="E934" s="24">
        <f>IF($A934="","",IFERROR(VLOOKUP($A934,物料档案!$A$4:$P$1203,2,0),""))</f>
        <v/>
      </c>
      <c r="F934" s="24">
        <f>IF($A934="","",IFERROR(VLOOKUP($A934,物料档案!$A$4:$P$1203,6,0),""))</f>
        <v/>
      </c>
      <c r="G934" s="23" t="n"/>
      <c r="H934" s="32" t="n"/>
      <c r="I934" s="27">
        <f>IF($A934="","",SUMIFS(入库单!$K$4:$K$2503,入库单!$G$4:$G$2503,$A934,入库单!$X$4:$X$2503,"采购入库",入库单!$Z$4:$Z$2503,"正常",入库单!$C$4:$C$2503,"&gt;="&amp;账期起,入库单!$C$4:$C$2503,"&lt;="&amp;账期止))</f>
        <v/>
      </c>
      <c r="J934" s="26">
        <f>IF($A934="","",SUMIFS(入库单!$V$4:$V$2503,入库单!$G$4:$G$2503,$A934,入库单!$X$4:$X$2503,"采购入库",入库单!$Z$4:$Z$2503,"正常",入库单!$C$4:$C$2503,"&gt;="&amp;账期起,入库单!$C$4:$C$2503,"&lt;="&amp;账期止))</f>
        <v/>
      </c>
      <c r="K934" s="26">
        <f>IF($A934="","",IFERROR(ROUND((N($H934)+N($J934))/(N($G934)+N($I934)),2),0))</f>
        <v/>
      </c>
      <c r="L934" s="27">
        <f>IF($A934="","",SUMIFS(入库单!$K$4:$K$2503,入库单!$G$4:$G$2503,$A934,入库单!$X$4:$X$2503,"盘盈",入库单!$Z$4:$Z$2503,"正常",入库单!$C$4:$C$2503,"&gt;="&amp;账期起,入库单!$C$4:$C$2503,"&lt;="&amp;账期止))</f>
        <v/>
      </c>
      <c r="M934" s="26">
        <f>IF($A934="","",ROUND($L934*$K934,0))</f>
        <v/>
      </c>
      <c r="N934" s="27">
        <f>IF($A934="","",SUMIFS(入库单!$K$4:$K$2503,入库单!$G$4:$G$2503,$A934,入库单!$X$4:$X$2503,"矿区退库",入库单!$Z$4:$Z$2503,"正常",入库单!$C$4:$C$2503,"&gt;="&amp;账期起,入库单!$C$4:$C$2503,"&lt;="&amp;账期止))</f>
        <v/>
      </c>
      <c r="O934" s="26">
        <f>IF($A934="","",ROUND($N934*$K934,0))</f>
        <v/>
      </c>
      <c r="P934" s="27">
        <f>IF($A934="","",SUMIFS(出库单!$J$4:$J$4003,出库单!$D$4:$D$4003,$A934,出库单!$K$4:$K$4003,"自用消耗",出库单!$U$4:$U$4003,"正常",出库单!$C$4:$C$4003,"&gt;="&amp;账期起,出库单!$C$4:$C$4003,"&lt;="&amp;账期止))</f>
        <v/>
      </c>
      <c r="Q934" s="26">
        <f>IF($A934="","",ROUND(SUMIFS(出库单!$S$4:$S$4003,出库单!$D$4:$D$4003,$A934,出库单!$K$4:$K$4003,"自用消耗",出库单!$U$4:$U$4003,"正常",出库单!$C$4:$C$4003,"&gt;="&amp;账期起,出库单!$C$4:$C$4003,"&lt;="&amp;账期止),0))</f>
        <v/>
      </c>
      <c r="R934" s="27">
        <f>IF($A934="","",SUMIFS(出库单!$J$4:$J$4003,出库单!$D$4:$D$4003,$A934,出库单!$K$4:$K$4003,"对外销售",出库单!$U$4:$U$4003,"正常",出库单!$C$4:$C$4003,"&gt;="&amp;账期起,出库单!$C$4:$C$4003,"&lt;="&amp;账期止))</f>
        <v/>
      </c>
      <c r="S934" s="26">
        <f>IF($A934="","",ROUND(SUMIFS(出库单!$S$4:$S$4003,出库单!$D$4:$D$4003,$A934,出库单!$K$4:$K$4003,"对外销售",出库单!$U$4:$U$4003,"正常",出库单!$C$4:$C$4003,"&gt;="&amp;账期起,出库单!$C$4:$C$4003,"&lt;="&amp;账期止),0))</f>
        <v/>
      </c>
      <c r="T934" s="27">
        <f>IF($A934="","",SUMIFS(出库单!$J$4:$J$4003,出库单!$D$4:$D$4003,$A934,出库单!$K$4:$K$4003,"盘亏",出库单!$U$4:$U$4003,"正常",出库单!$C$4:$C$4003,"&gt;="&amp;账期起,出库单!$C$4:$C$4003,"&lt;="&amp;账期止))</f>
        <v/>
      </c>
      <c r="U934" s="26">
        <f>IF($A934="","",ROUND(SUMIFS(出库单!$S$4:$S$4003,出库单!$D$4:$D$4003,$A934,出库单!$K$4:$K$4003,"盘亏",出库单!$U$4:$U$4003,"正常",出库单!$C$4:$C$4003,"&gt;="&amp;账期起,出库单!$C$4:$C$4003,"&lt;="&amp;账期止),0))</f>
        <v/>
      </c>
      <c r="V934" s="27">
        <f>IF($A934="","",SUMIFS(出库单!$J$4:$J$4003,出库单!$D$4:$D$4003,$A934,出库单!$K$4:$K$4003,"退货给供应商",出库单!$U$4:$U$4003,"正常",出库单!$C$4:$C$4003,"&gt;="&amp;账期起,出库单!$C$4:$C$4003,"&lt;="&amp;账期止))</f>
        <v/>
      </c>
      <c r="W934" s="26">
        <f>IF($A934="","",ROUND(SUMIFS(出库单!$S$4:$S$4003,出库单!$D$4:$D$4003,$A934,出库单!$K$4:$K$4003,"退货给供应商",出库单!$U$4:$U$4003,"正常",出库单!$C$4:$C$4003,"&gt;="&amp;账期起,出库单!$C$4:$C$4003,"&lt;="&amp;账期止),0))</f>
        <v/>
      </c>
      <c r="X934" s="27">
        <f>IF($A934="","",ROUND(N($G934)+$I934+$L934+$N934-$P934-$R934-$T934-$V934,3))</f>
        <v/>
      </c>
      <c r="Y934" s="26">
        <f>IF($A934="","",ROUND(N($H934)+$J934+$M934+$O934-$Q934-$S934-$U934-$W934,0))</f>
        <v/>
      </c>
      <c r="Z934" s="24">
        <f>IF($A934="","",IF(COUNTIFS(入库单!$G$4:$G$2503,$A934,入库单!$Y$4:$Y$2503,"待补价")+COUNTIFS(入库单!$G$4:$G$2503,$A934,入库单!$Y$4:$Y$2503,"暂估")&gt;0,"不可信","可信"))</f>
        <v/>
      </c>
      <c r="AA934" s="24">
        <f>IF($A934="","",IF($X934&lt;-0.001,"※账面负库存，查一下是不是漏记入库",IF(AND(ROUND($X934,3)=0,ABS($Y934)&gt;1),"※数量已经是 0，金额还挂着 "&amp;TEXT($Y934,"#,##0")&amp;" 先令",IF(AND($X934&gt;0,$Y934&lt;=0,$K934=0),"※有数量没金额（这个物料一直没填过进价）",IF($Z934="不可信","△成本含待补价/暂估，毛利仅供参考","")))))</f>
        <v/>
      </c>
    </row>
    <row r="935">
      <c r="A935" s="24">
        <f>IF(物料档案!$A934="","",物料档案!$A934)</f>
        <v/>
      </c>
      <c r="B935" s="24">
        <f>IF($A935="","",IFERROR(VLOOKUP($A935,物料档案!$A$4:$P$1203,3,0),""))</f>
        <v/>
      </c>
      <c r="C935" s="24">
        <f>IF($A935="","",IFERROR(VLOOKUP($A935,物料档案!$A$4:$P$1203,4,0),""))</f>
        <v/>
      </c>
      <c r="D935" s="24">
        <f>IF($A935="","",IFERROR(VLOOKUP($A935,物料档案!$A$4:$P$1203,5,0),""))</f>
        <v/>
      </c>
      <c r="E935" s="24">
        <f>IF($A935="","",IFERROR(VLOOKUP($A935,物料档案!$A$4:$P$1203,2,0),""))</f>
        <v/>
      </c>
      <c r="F935" s="24">
        <f>IF($A935="","",IFERROR(VLOOKUP($A935,物料档案!$A$4:$P$1203,6,0),""))</f>
        <v/>
      </c>
      <c r="G935" s="23" t="n"/>
      <c r="H935" s="32" t="n"/>
      <c r="I935" s="27">
        <f>IF($A935="","",SUMIFS(入库单!$K$4:$K$2503,入库单!$G$4:$G$2503,$A935,入库单!$X$4:$X$2503,"采购入库",入库单!$Z$4:$Z$2503,"正常",入库单!$C$4:$C$2503,"&gt;="&amp;账期起,入库单!$C$4:$C$2503,"&lt;="&amp;账期止))</f>
        <v/>
      </c>
      <c r="J935" s="26">
        <f>IF($A935="","",SUMIFS(入库单!$V$4:$V$2503,入库单!$G$4:$G$2503,$A935,入库单!$X$4:$X$2503,"采购入库",入库单!$Z$4:$Z$2503,"正常",入库单!$C$4:$C$2503,"&gt;="&amp;账期起,入库单!$C$4:$C$2503,"&lt;="&amp;账期止))</f>
        <v/>
      </c>
      <c r="K935" s="26">
        <f>IF($A935="","",IFERROR(ROUND((N($H935)+N($J935))/(N($G935)+N($I935)),2),0))</f>
        <v/>
      </c>
      <c r="L935" s="27">
        <f>IF($A935="","",SUMIFS(入库单!$K$4:$K$2503,入库单!$G$4:$G$2503,$A935,入库单!$X$4:$X$2503,"盘盈",入库单!$Z$4:$Z$2503,"正常",入库单!$C$4:$C$2503,"&gt;="&amp;账期起,入库单!$C$4:$C$2503,"&lt;="&amp;账期止))</f>
        <v/>
      </c>
      <c r="M935" s="26">
        <f>IF($A935="","",ROUND($L935*$K935,0))</f>
        <v/>
      </c>
      <c r="N935" s="27">
        <f>IF($A935="","",SUMIFS(入库单!$K$4:$K$2503,入库单!$G$4:$G$2503,$A935,入库单!$X$4:$X$2503,"矿区退库",入库单!$Z$4:$Z$2503,"正常",入库单!$C$4:$C$2503,"&gt;="&amp;账期起,入库单!$C$4:$C$2503,"&lt;="&amp;账期止))</f>
        <v/>
      </c>
      <c r="O935" s="26">
        <f>IF($A935="","",ROUND($N935*$K935,0))</f>
        <v/>
      </c>
      <c r="P935" s="27">
        <f>IF($A935="","",SUMIFS(出库单!$J$4:$J$4003,出库单!$D$4:$D$4003,$A935,出库单!$K$4:$K$4003,"自用消耗",出库单!$U$4:$U$4003,"正常",出库单!$C$4:$C$4003,"&gt;="&amp;账期起,出库单!$C$4:$C$4003,"&lt;="&amp;账期止))</f>
        <v/>
      </c>
      <c r="Q935" s="26">
        <f>IF($A935="","",ROUND(SUMIFS(出库单!$S$4:$S$4003,出库单!$D$4:$D$4003,$A935,出库单!$K$4:$K$4003,"自用消耗",出库单!$U$4:$U$4003,"正常",出库单!$C$4:$C$4003,"&gt;="&amp;账期起,出库单!$C$4:$C$4003,"&lt;="&amp;账期止),0))</f>
        <v/>
      </c>
      <c r="R935" s="27">
        <f>IF($A935="","",SUMIFS(出库单!$J$4:$J$4003,出库单!$D$4:$D$4003,$A935,出库单!$K$4:$K$4003,"对外销售",出库单!$U$4:$U$4003,"正常",出库单!$C$4:$C$4003,"&gt;="&amp;账期起,出库单!$C$4:$C$4003,"&lt;="&amp;账期止))</f>
        <v/>
      </c>
      <c r="S935" s="26">
        <f>IF($A935="","",ROUND(SUMIFS(出库单!$S$4:$S$4003,出库单!$D$4:$D$4003,$A935,出库单!$K$4:$K$4003,"对外销售",出库单!$U$4:$U$4003,"正常",出库单!$C$4:$C$4003,"&gt;="&amp;账期起,出库单!$C$4:$C$4003,"&lt;="&amp;账期止),0))</f>
        <v/>
      </c>
      <c r="T935" s="27">
        <f>IF($A935="","",SUMIFS(出库单!$J$4:$J$4003,出库单!$D$4:$D$4003,$A935,出库单!$K$4:$K$4003,"盘亏",出库单!$U$4:$U$4003,"正常",出库单!$C$4:$C$4003,"&gt;="&amp;账期起,出库单!$C$4:$C$4003,"&lt;="&amp;账期止))</f>
        <v/>
      </c>
      <c r="U935" s="26">
        <f>IF($A935="","",ROUND(SUMIFS(出库单!$S$4:$S$4003,出库单!$D$4:$D$4003,$A935,出库单!$K$4:$K$4003,"盘亏",出库单!$U$4:$U$4003,"正常",出库单!$C$4:$C$4003,"&gt;="&amp;账期起,出库单!$C$4:$C$4003,"&lt;="&amp;账期止),0))</f>
        <v/>
      </c>
      <c r="V935" s="27">
        <f>IF($A935="","",SUMIFS(出库单!$J$4:$J$4003,出库单!$D$4:$D$4003,$A935,出库单!$K$4:$K$4003,"退货给供应商",出库单!$U$4:$U$4003,"正常",出库单!$C$4:$C$4003,"&gt;="&amp;账期起,出库单!$C$4:$C$4003,"&lt;="&amp;账期止))</f>
        <v/>
      </c>
      <c r="W935" s="26">
        <f>IF($A935="","",ROUND(SUMIFS(出库单!$S$4:$S$4003,出库单!$D$4:$D$4003,$A935,出库单!$K$4:$K$4003,"退货给供应商",出库单!$U$4:$U$4003,"正常",出库单!$C$4:$C$4003,"&gt;="&amp;账期起,出库单!$C$4:$C$4003,"&lt;="&amp;账期止),0))</f>
        <v/>
      </c>
      <c r="X935" s="27">
        <f>IF($A935="","",ROUND(N($G935)+$I935+$L935+$N935-$P935-$R935-$T935-$V935,3))</f>
        <v/>
      </c>
      <c r="Y935" s="26">
        <f>IF($A935="","",ROUND(N($H935)+$J935+$M935+$O935-$Q935-$S935-$U935-$W935,0))</f>
        <v/>
      </c>
      <c r="Z935" s="24">
        <f>IF($A935="","",IF(COUNTIFS(入库单!$G$4:$G$2503,$A935,入库单!$Y$4:$Y$2503,"待补价")+COUNTIFS(入库单!$G$4:$G$2503,$A935,入库单!$Y$4:$Y$2503,"暂估")&gt;0,"不可信","可信"))</f>
        <v/>
      </c>
      <c r="AA935" s="24">
        <f>IF($A935="","",IF($X935&lt;-0.001,"※账面负库存，查一下是不是漏记入库",IF(AND(ROUND($X935,3)=0,ABS($Y935)&gt;1),"※数量已经是 0，金额还挂着 "&amp;TEXT($Y935,"#,##0")&amp;" 先令",IF(AND($X935&gt;0,$Y935&lt;=0,$K935=0),"※有数量没金额（这个物料一直没填过进价）",IF($Z935="不可信","△成本含待补价/暂估，毛利仅供参考","")))))</f>
        <v/>
      </c>
    </row>
    <row r="936">
      <c r="A936" s="24">
        <f>IF(物料档案!$A935="","",物料档案!$A935)</f>
        <v/>
      </c>
      <c r="B936" s="24">
        <f>IF($A936="","",IFERROR(VLOOKUP($A936,物料档案!$A$4:$P$1203,3,0),""))</f>
        <v/>
      </c>
      <c r="C936" s="24">
        <f>IF($A936="","",IFERROR(VLOOKUP($A936,物料档案!$A$4:$P$1203,4,0),""))</f>
        <v/>
      </c>
      <c r="D936" s="24">
        <f>IF($A936="","",IFERROR(VLOOKUP($A936,物料档案!$A$4:$P$1203,5,0),""))</f>
        <v/>
      </c>
      <c r="E936" s="24">
        <f>IF($A936="","",IFERROR(VLOOKUP($A936,物料档案!$A$4:$P$1203,2,0),""))</f>
        <v/>
      </c>
      <c r="F936" s="24">
        <f>IF($A936="","",IFERROR(VLOOKUP($A936,物料档案!$A$4:$P$1203,6,0),""))</f>
        <v/>
      </c>
      <c r="G936" s="23" t="n"/>
      <c r="H936" s="32" t="n"/>
      <c r="I936" s="27">
        <f>IF($A936="","",SUMIFS(入库单!$K$4:$K$2503,入库单!$G$4:$G$2503,$A936,入库单!$X$4:$X$2503,"采购入库",入库单!$Z$4:$Z$2503,"正常",入库单!$C$4:$C$2503,"&gt;="&amp;账期起,入库单!$C$4:$C$2503,"&lt;="&amp;账期止))</f>
        <v/>
      </c>
      <c r="J936" s="26">
        <f>IF($A936="","",SUMIFS(入库单!$V$4:$V$2503,入库单!$G$4:$G$2503,$A936,入库单!$X$4:$X$2503,"采购入库",入库单!$Z$4:$Z$2503,"正常",入库单!$C$4:$C$2503,"&gt;="&amp;账期起,入库单!$C$4:$C$2503,"&lt;="&amp;账期止))</f>
        <v/>
      </c>
      <c r="K936" s="26">
        <f>IF($A936="","",IFERROR(ROUND((N($H936)+N($J936))/(N($G936)+N($I936)),2),0))</f>
        <v/>
      </c>
      <c r="L936" s="27">
        <f>IF($A936="","",SUMIFS(入库单!$K$4:$K$2503,入库单!$G$4:$G$2503,$A936,入库单!$X$4:$X$2503,"盘盈",入库单!$Z$4:$Z$2503,"正常",入库单!$C$4:$C$2503,"&gt;="&amp;账期起,入库单!$C$4:$C$2503,"&lt;="&amp;账期止))</f>
        <v/>
      </c>
      <c r="M936" s="26">
        <f>IF($A936="","",ROUND($L936*$K936,0))</f>
        <v/>
      </c>
      <c r="N936" s="27">
        <f>IF($A936="","",SUMIFS(入库单!$K$4:$K$2503,入库单!$G$4:$G$2503,$A936,入库单!$X$4:$X$2503,"矿区退库",入库单!$Z$4:$Z$2503,"正常",入库单!$C$4:$C$2503,"&gt;="&amp;账期起,入库单!$C$4:$C$2503,"&lt;="&amp;账期止))</f>
        <v/>
      </c>
      <c r="O936" s="26">
        <f>IF($A936="","",ROUND($N936*$K936,0))</f>
        <v/>
      </c>
      <c r="P936" s="27">
        <f>IF($A936="","",SUMIFS(出库单!$J$4:$J$4003,出库单!$D$4:$D$4003,$A936,出库单!$K$4:$K$4003,"自用消耗",出库单!$U$4:$U$4003,"正常",出库单!$C$4:$C$4003,"&gt;="&amp;账期起,出库单!$C$4:$C$4003,"&lt;="&amp;账期止))</f>
        <v/>
      </c>
      <c r="Q936" s="26">
        <f>IF($A936="","",ROUND(SUMIFS(出库单!$S$4:$S$4003,出库单!$D$4:$D$4003,$A936,出库单!$K$4:$K$4003,"自用消耗",出库单!$U$4:$U$4003,"正常",出库单!$C$4:$C$4003,"&gt;="&amp;账期起,出库单!$C$4:$C$4003,"&lt;="&amp;账期止),0))</f>
        <v/>
      </c>
      <c r="R936" s="27">
        <f>IF($A936="","",SUMIFS(出库单!$J$4:$J$4003,出库单!$D$4:$D$4003,$A936,出库单!$K$4:$K$4003,"对外销售",出库单!$U$4:$U$4003,"正常",出库单!$C$4:$C$4003,"&gt;="&amp;账期起,出库单!$C$4:$C$4003,"&lt;="&amp;账期止))</f>
        <v/>
      </c>
      <c r="S936" s="26">
        <f>IF($A936="","",ROUND(SUMIFS(出库单!$S$4:$S$4003,出库单!$D$4:$D$4003,$A936,出库单!$K$4:$K$4003,"对外销售",出库单!$U$4:$U$4003,"正常",出库单!$C$4:$C$4003,"&gt;="&amp;账期起,出库单!$C$4:$C$4003,"&lt;="&amp;账期止),0))</f>
        <v/>
      </c>
      <c r="T936" s="27">
        <f>IF($A936="","",SUMIFS(出库单!$J$4:$J$4003,出库单!$D$4:$D$4003,$A936,出库单!$K$4:$K$4003,"盘亏",出库单!$U$4:$U$4003,"正常",出库单!$C$4:$C$4003,"&gt;="&amp;账期起,出库单!$C$4:$C$4003,"&lt;="&amp;账期止))</f>
        <v/>
      </c>
      <c r="U936" s="26">
        <f>IF($A936="","",ROUND(SUMIFS(出库单!$S$4:$S$4003,出库单!$D$4:$D$4003,$A936,出库单!$K$4:$K$4003,"盘亏",出库单!$U$4:$U$4003,"正常",出库单!$C$4:$C$4003,"&gt;="&amp;账期起,出库单!$C$4:$C$4003,"&lt;="&amp;账期止),0))</f>
        <v/>
      </c>
      <c r="V936" s="27">
        <f>IF($A936="","",SUMIFS(出库单!$J$4:$J$4003,出库单!$D$4:$D$4003,$A936,出库单!$K$4:$K$4003,"退货给供应商",出库单!$U$4:$U$4003,"正常",出库单!$C$4:$C$4003,"&gt;="&amp;账期起,出库单!$C$4:$C$4003,"&lt;="&amp;账期止))</f>
        <v/>
      </c>
      <c r="W936" s="26">
        <f>IF($A936="","",ROUND(SUMIFS(出库单!$S$4:$S$4003,出库单!$D$4:$D$4003,$A936,出库单!$K$4:$K$4003,"退货给供应商",出库单!$U$4:$U$4003,"正常",出库单!$C$4:$C$4003,"&gt;="&amp;账期起,出库单!$C$4:$C$4003,"&lt;="&amp;账期止),0))</f>
        <v/>
      </c>
      <c r="X936" s="27">
        <f>IF($A936="","",ROUND(N($G936)+$I936+$L936+$N936-$P936-$R936-$T936-$V936,3))</f>
        <v/>
      </c>
      <c r="Y936" s="26">
        <f>IF($A936="","",ROUND(N($H936)+$J936+$M936+$O936-$Q936-$S936-$U936-$W936,0))</f>
        <v/>
      </c>
      <c r="Z936" s="24">
        <f>IF($A936="","",IF(COUNTIFS(入库单!$G$4:$G$2503,$A936,入库单!$Y$4:$Y$2503,"待补价")+COUNTIFS(入库单!$G$4:$G$2503,$A936,入库单!$Y$4:$Y$2503,"暂估")&gt;0,"不可信","可信"))</f>
        <v/>
      </c>
      <c r="AA936" s="24">
        <f>IF($A936="","",IF($X936&lt;-0.001,"※账面负库存，查一下是不是漏记入库",IF(AND(ROUND($X936,3)=0,ABS($Y936)&gt;1),"※数量已经是 0，金额还挂着 "&amp;TEXT($Y936,"#,##0")&amp;" 先令",IF(AND($X936&gt;0,$Y936&lt;=0,$K936=0),"※有数量没金额（这个物料一直没填过进价）",IF($Z936="不可信","△成本含待补价/暂估，毛利仅供参考","")))))</f>
        <v/>
      </c>
    </row>
    <row r="937">
      <c r="A937" s="24">
        <f>IF(物料档案!$A936="","",物料档案!$A936)</f>
        <v/>
      </c>
      <c r="B937" s="24">
        <f>IF($A937="","",IFERROR(VLOOKUP($A937,物料档案!$A$4:$P$1203,3,0),""))</f>
        <v/>
      </c>
      <c r="C937" s="24">
        <f>IF($A937="","",IFERROR(VLOOKUP($A937,物料档案!$A$4:$P$1203,4,0),""))</f>
        <v/>
      </c>
      <c r="D937" s="24">
        <f>IF($A937="","",IFERROR(VLOOKUP($A937,物料档案!$A$4:$P$1203,5,0),""))</f>
        <v/>
      </c>
      <c r="E937" s="24">
        <f>IF($A937="","",IFERROR(VLOOKUP($A937,物料档案!$A$4:$P$1203,2,0),""))</f>
        <v/>
      </c>
      <c r="F937" s="24">
        <f>IF($A937="","",IFERROR(VLOOKUP($A937,物料档案!$A$4:$P$1203,6,0),""))</f>
        <v/>
      </c>
      <c r="G937" s="23" t="n"/>
      <c r="H937" s="32" t="n"/>
      <c r="I937" s="27">
        <f>IF($A937="","",SUMIFS(入库单!$K$4:$K$2503,入库单!$G$4:$G$2503,$A937,入库单!$X$4:$X$2503,"采购入库",入库单!$Z$4:$Z$2503,"正常",入库单!$C$4:$C$2503,"&gt;="&amp;账期起,入库单!$C$4:$C$2503,"&lt;="&amp;账期止))</f>
        <v/>
      </c>
      <c r="J937" s="26">
        <f>IF($A937="","",SUMIFS(入库单!$V$4:$V$2503,入库单!$G$4:$G$2503,$A937,入库单!$X$4:$X$2503,"采购入库",入库单!$Z$4:$Z$2503,"正常",入库单!$C$4:$C$2503,"&gt;="&amp;账期起,入库单!$C$4:$C$2503,"&lt;="&amp;账期止))</f>
        <v/>
      </c>
      <c r="K937" s="26">
        <f>IF($A937="","",IFERROR(ROUND((N($H937)+N($J937))/(N($G937)+N($I937)),2),0))</f>
        <v/>
      </c>
      <c r="L937" s="27">
        <f>IF($A937="","",SUMIFS(入库单!$K$4:$K$2503,入库单!$G$4:$G$2503,$A937,入库单!$X$4:$X$2503,"盘盈",入库单!$Z$4:$Z$2503,"正常",入库单!$C$4:$C$2503,"&gt;="&amp;账期起,入库单!$C$4:$C$2503,"&lt;="&amp;账期止))</f>
        <v/>
      </c>
      <c r="M937" s="26">
        <f>IF($A937="","",ROUND($L937*$K937,0))</f>
        <v/>
      </c>
      <c r="N937" s="27">
        <f>IF($A937="","",SUMIFS(入库单!$K$4:$K$2503,入库单!$G$4:$G$2503,$A937,入库单!$X$4:$X$2503,"矿区退库",入库单!$Z$4:$Z$2503,"正常",入库单!$C$4:$C$2503,"&gt;="&amp;账期起,入库单!$C$4:$C$2503,"&lt;="&amp;账期止))</f>
        <v/>
      </c>
      <c r="O937" s="26">
        <f>IF($A937="","",ROUND($N937*$K937,0))</f>
        <v/>
      </c>
      <c r="P937" s="27">
        <f>IF($A937="","",SUMIFS(出库单!$J$4:$J$4003,出库单!$D$4:$D$4003,$A937,出库单!$K$4:$K$4003,"自用消耗",出库单!$U$4:$U$4003,"正常",出库单!$C$4:$C$4003,"&gt;="&amp;账期起,出库单!$C$4:$C$4003,"&lt;="&amp;账期止))</f>
        <v/>
      </c>
      <c r="Q937" s="26">
        <f>IF($A937="","",ROUND(SUMIFS(出库单!$S$4:$S$4003,出库单!$D$4:$D$4003,$A937,出库单!$K$4:$K$4003,"自用消耗",出库单!$U$4:$U$4003,"正常",出库单!$C$4:$C$4003,"&gt;="&amp;账期起,出库单!$C$4:$C$4003,"&lt;="&amp;账期止),0))</f>
        <v/>
      </c>
      <c r="R937" s="27">
        <f>IF($A937="","",SUMIFS(出库单!$J$4:$J$4003,出库单!$D$4:$D$4003,$A937,出库单!$K$4:$K$4003,"对外销售",出库单!$U$4:$U$4003,"正常",出库单!$C$4:$C$4003,"&gt;="&amp;账期起,出库单!$C$4:$C$4003,"&lt;="&amp;账期止))</f>
        <v/>
      </c>
      <c r="S937" s="26">
        <f>IF($A937="","",ROUND(SUMIFS(出库单!$S$4:$S$4003,出库单!$D$4:$D$4003,$A937,出库单!$K$4:$K$4003,"对外销售",出库单!$U$4:$U$4003,"正常",出库单!$C$4:$C$4003,"&gt;="&amp;账期起,出库单!$C$4:$C$4003,"&lt;="&amp;账期止),0))</f>
        <v/>
      </c>
      <c r="T937" s="27">
        <f>IF($A937="","",SUMIFS(出库单!$J$4:$J$4003,出库单!$D$4:$D$4003,$A937,出库单!$K$4:$K$4003,"盘亏",出库单!$U$4:$U$4003,"正常",出库单!$C$4:$C$4003,"&gt;="&amp;账期起,出库单!$C$4:$C$4003,"&lt;="&amp;账期止))</f>
        <v/>
      </c>
      <c r="U937" s="26">
        <f>IF($A937="","",ROUND(SUMIFS(出库单!$S$4:$S$4003,出库单!$D$4:$D$4003,$A937,出库单!$K$4:$K$4003,"盘亏",出库单!$U$4:$U$4003,"正常",出库单!$C$4:$C$4003,"&gt;="&amp;账期起,出库单!$C$4:$C$4003,"&lt;="&amp;账期止),0))</f>
        <v/>
      </c>
      <c r="V937" s="27">
        <f>IF($A937="","",SUMIFS(出库单!$J$4:$J$4003,出库单!$D$4:$D$4003,$A937,出库单!$K$4:$K$4003,"退货给供应商",出库单!$U$4:$U$4003,"正常",出库单!$C$4:$C$4003,"&gt;="&amp;账期起,出库单!$C$4:$C$4003,"&lt;="&amp;账期止))</f>
        <v/>
      </c>
      <c r="W937" s="26">
        <f>IF($A937="","",ROUND(SUMIFS(出库单!$S$4:$S$4003,出库单!$D$4:$D$4003,$A937,出库单!$K$4:$K$4003,"退货给供应商",出库单!$U$4:$U$4003,"正常",出库单!$C$4:$C$4003,"&gt;="&amp;账期起,出库单!$C$4:$C$4003,"&lt;="&amp;账期止),0))</f>
        <v/>
      </c>
      <c r="X937" s="27">
        <f>IF($A937="","",ROUND(N($G937)+$I937+$L937+$N937-$P937-$R937-$T937-$V937,3))</f>
        <v/>
      </c>
      <c r="Y937" s="26">
        <f>IF($A937="","",ROUND(N($H937)+$J937+$M937+$O937-$Q937-$S937-$U937-$W937,0))</f>
        <v/>
      </c>
      <c r="Z937" s="24">
        <f>IF($A937="","",IF(COUNTIFS(入库单!$G$4:$G$2503,$A937,入库单!$Y$4:$Y$2503,"待补价")+COUNTIFS(入库单!$G$4:$G$2503,$A937,入库单!$Y$4:$Y$2503,"暂估")&gt;0,"不可信","可信"))</f>
        <v/>
      </c>
      <c r="AA937" s="24">
        <f>IF($A937="","",IF($X937&lt;-0.001,"※账面负库存，查一下是不是漏记入库",IF(AND(ROUND($X937,3)=0,ABS($Y937)&gt;1),"※数量已经是 0，金额还挂着 "&amp;TEXT($Y937,"#,##0")&amp;" 先令",IF(AND($X937&gt;0,$Y937&lt;=0,$K937=0),"※有数量没金额（这个物料一直没填过进价）",IF($Z937="不可信","△成本含待补价/暂估，毛利仅供参考","")))))</f>
        <v/>
      </c>
    </row>
    <row r="938">
      <c r="A938" s="24">
        <f>IF(物料档案!$A937="","",物料档案!$A937)</f>
        <v/>
      </c>
      <c r="B938" s="24">
        <f>IF($A938="","",IFERROR(VLOOKUP($A938,物料档案!$A$4:$P$1203,3,0),""))</f>
        <v/>
      </c>
      <c r="C938" s="24">
        <f>IF($A938="","",IFERROR(VLOOKUP($A938,物料档案!$A$4:$P$1203,4,0),""))</f>
        <v/>
      </c>
      <c r="D938" s="24">
        <f>IF($A938="","",IFERROR(VLOOKUP($A938,物料档案!$A$4:$P$1203,5,0),""))</f>
        <v/>
      </c>
      <c r="E938" s="24">
        <f>IF($A938="","",IFERROR(VLOOKUP($A938,物料档案!$A$4:$P$1203,2,0),""))</f>
        <v/>
      </c>
      <c r="F938" s="24">
        <f>IF($A938="","",IFERROR(VLOOKUP($A938,物料档案!$A$4:$P$1203,6,0),""))</f>
        <v/>
      </c>
      <c r="G938" s="23" t="n"/>
      <c r="H938" s="32" t="n"/>
      <c r="I938" s="27">
        <f>IF($A938="","",SUMIFS(入库单!$K$4:$K$2503,入库单!$G$4:$G$2503,$A938,入库单!$X$4:$X$2503,"采购入库",入库单!$Z$4:$Z$2503,"正常",入库单!$C$4:$C$2503,"&gt;="&amp;账期起,入库单!$C$4:$C$2503,"&lt;="&amp;账期止))</f>
        <v/>
      </c>
      <c r="J938" s="26">
        <f>IF($A938="","",SUMIFS(入库单!$V$4:$V$2503,入库单!$G$4:$G$2503,$A938,入库单!$X$4:$X$2503,"采购入库",入库单!$Z$4:$Z$2503,"正常",入库单!$C$4:$C$2503,"&gt;="&amp;账期起,入库单!$C$4:$C$2503,"&lt;="&amp;账期止))</f>
        <v/>
      </c>
      <c r="K938" s="26">
        <f>IF($A938="","",IFERROR(ROUND((N($H938)+N($J938))/(N($G938)+N($I938)),2),0))</f>
        <v/>
      </c>
      <c r="L938" s="27">
        <f>IF($A938="","",SUMIFS(入库单!$K$4:$K$2503,入库单!$G$4:$G$2503,$A938,入库单!$X$4:$X$2503,"盘盈",入库单!$Z$4:$Z$2503,"正常",入库单!$C$4:$C$2503,"&gt;="&amp;账期起,入库单!$C$4:$C$2503,"&lt;="&amp;账期止))</f>
        <v/>
      </c>
      <c r="M938" s="26">
        <f>IF($A938="","",ROUND($L938*$K938,0))</f>
        <v/>
      </c>
      <c r="N938" s="27">
        <f>IF($A938="","",SUMIFS(入库单!$K$4:$K$2503,入库单!$G$4:$G$2503,$A938,入库单!$X$4:$X$2503,"矿区退库",入库单!$Z$4:$Z$2503,"正常",入库单!$C$4:$C$2503,"&gt;="&amp;账期起,入库单!$C$4:$C$2503,"&lt;="&amp;账期止))</f>
        <v/>
      </c>
      <c r="O938" s="26">
        <f>IF($A938="","",ROUND($N938*$K938,0))</f>
        <v/>
      </c>
      <c r="P938" s="27">
        <f>IF($A938="","",SUMIFS(出库单!$J$4:$J$4003,出库单!$D$4:$D$4003,$A938,出库单!$K$4:$K$4003,"自用消耗",出库单!$U$4:$U$4003,"正常",出库单!$C$4:$C$4003,"&gt;="&amp;账期起,出库单!$C$4:$C$4003,"&lt;="&amp;账期止))</f>
        <v/>
      </c>
      <c r="Q938" s="26">
        <f>IF($A938="","",ROUND(SUMIFS(出库单!$S$4:$S$4003,出库单!$D$4:$D$4003,$A938,出库单!$K$4:$K$4003,"自用消耗",出库单!$U$4:$U$4003,"正常",出库单!$C$4:$C$4003,"&gt;="&amp;账期起,出库单!$C$4:$C$4003,"&lt;="&amp;账期止),0))</f>
        <v/>
      </c>
      <c r="R938" s="27">
        <f>IF($A938="","",SUMIFS(出库单!$J$4:$J$4003,出库单!$D$4:$D$4003,$A938,出库单!$K$4:$K$4003,"对外销售",出库单!$U$4:$U$4003,"正常",出库单!$C$4:$C$4003,"&gt;="&amp;账期起,出库单!$C$4:$C$4003,"&lt;="&amp;账期止))</f>
        <v/>
      </c>
      <c r="S938" s="26">
        <f>IF($A938="","",ROUND(SUMIFS(出库单!$S$4:$S$4003,出库单!$D$4:$D$4003,$A938,出库单!$K$4:$K$4003,"对外销售",出库单!$U$4:$U$4003,"正常",出库单!$C$4:$C$4003,"&gt;="&amp;账期起,出库单!$C$4:$C$4003,"&lt;="&amp;账期止),0))</f>
        <v/>
      </c>
      <c r="T938" s="27">
        <f>IF($A938="","",SUMIFS(出库单!$J$4:$J$4003,出库单!$D$4:$D$4003,$A938,出库单!$K$4:$K$4003,"盘亏",出库单!$U$4:$U$4003,"正常",出库单!$C$4:$C$4003,"&gt;="&amp;账期起,出库单!$C$4:$C$4003,"&lt;="&amp;账期止))</f>
        <v/>
      </c>
      <c r="U938" s="26">
        <f>IF($A938="","",ROUND(SUMIFS(出库单!$S$4:$S$4003,出库单!$D$4:$D$4003,$A938,出库单!$K$4:$K$4003,"盘亏",出库单!$U$4:$U$4003,"正常",出库单!$C$4:$C$4003,"&gt;="&amp;账期起,出库单!$C$4:$C$4003,"&lt;="&amp;账期止),0))</f>
        <v/>
      </c>
      <c r="V938" s="27">
        <f>IF($A938="","",SUMIFS(出库单!$J$4:$J$4003,出库单!$D$4:$D$4003,$A938,出库单!$K$4:$K$4003,"退货给供应商",出库单!$U$4:$U$4003,"正常",出库单!$C$4:$C$4003,"&gt;="&amp;账期起,出库单!$C$4:$C$4003,"&lt;="&amp;账期止))</f>
        <v/>
      </c>
      <c r="W938" s="26">
        <f>IF($A938="","",ROUND(SUMIFS(出库单!$S$4:$S$4003,出库单!$D$4:$D$4003,$A938,出库单!$K$4:$K$4003,"退货给供应商",出库单!$U$4:$U$4003,"正常",出库单!$C$4:$C$4003,"&gt;="&amp;账期起,出库单!$C$4:$C$4003,"&lt;="&amp;账期止),0))</f>
        <v/>
      </c>
      <c r="X938" s="27">
        <f>IF($A938="","",ROUND(N($G938)+$I938+$L938+$N938-$P938-$R938-$T938-$V938,3))</f>
        <v/>
      </c>
      <c r="Y938" s="26">
        <f>IF($A938="","",ROUND(N($H938)+$J938+$M938+$O938-$Q938-$S938-$U938-$W938,0))</f>
        <v/>
      </c>
      <c r="Z938" s="24">
        <f>IF($A938="","",IF(COUNTIFS(入库单!$G$4:$G$2503,$A938,入库单!$Y$4:$Y$2503,"待补价")+COUNTIFS(入库单!$G$4:$G$2503,$A938,入库单!$Y$4:$Y$2503,"暂估")&gt;0,"不可信","可信"))</f>
        <v/>
      </c>
      <c r="AA938" s="24">
        <f>IF($A938="","",IF($X938&lt;-0.001,"※账面负库存，查一下是不是漏记入库",IF(AND(ROUND($X938,3)=0,ABS($Y938)&gt;1),"※数量已经是 0，金额还挂着 "&amp;TEXT($Y938,"#,##0")&amp;" 先令",IF(AND($X938&gt;0,$Y938&lt;=0,$K938=0),"※有数量没金额（这个物料一直没填过进价）",IF($Z938="不可信","△成本含待补价/暂估，毛利仅供参考","")))))</f>
        <v/>
      </c>
    </row>
    <row r="939">
      <c r="A939" s="24">
        <f>IF(物料档案!$A938="","",物料档案!$A938)</f>
        <v/>
      </c>
      <c r="B939" s="24">
        <f>IF($A939="","",IFERROR(VLOOKUP($A939,物料档案!$A$4:$P$1203,3,0),""))</f>
        <v/>
      </c>
      <c r="C939" s="24">
        <f>IF($A939="","",IFERROR(VLOOKUP($A939,物料档案!$A$4:$P$1203,4,0),""))</f>
        <v/>
      </c>
      <c r="D939" s="24">
        <f>IF($A939="","",IFERROR(VLOOKUP($A939,物料档案!$A$4:$P$1203,5,0),""))</f>
        <v/>
      </c>
      <c r="E939" s="24">
        <f>IF($A939="","",IFERROR(VLOOKUP($A939,物料档案!$A$4:$P$1203,2,0),""))</f>
        <v/>
      </c>
      <c r="F939" s="24">
        <f>IF($A939="","",IFERROR(VLOOKUP($A939,物料档案!$A$4:$P$1203,6,0),""))</f>
        <v/>
      </c>
      <c r="G939" s="23" t="n"/>
      <c r="H939" s="32" t="n"/>
      <c r="I939" s="27">
        <f>IF($A939="","",SUMIFS(入库单!$K$4:$K$2503,入库单!$G$4:$G$2503,$A939,入库单!$X$4:$X$2503,"采购入库",入库单!$Z$4:$Z$2503,"正常",入库单!$C$4:$C$2503,"&gt;="&amp;账期起,入库单!$C$4:$C$2503,"&lt;="&amp;账期止))</f>
        <v/>
      </c>
      <c r="J939" s="26">
        <f>IF($A939="","",SUMIFS(入库单!$V$4:$V$2503,入库单!$G$4:$G$2503,$A939,入库单!$X$4:$X$2503,"采购入库",入库单!$Z$4:$Z$2503,"正常",入库单!$C$4:$C$2503,"&gt;="&amp;账期起,入库单!$C$4:$C$2503,"&lt;="&amp;账期止))</f>
        <v/>
      </c>
      <c r="K939" s="26">
        <f>IF($A939="","",IFERROR(ROUND((N($H939)+N($J939))/(N($G939)+N($I939)),2),0))</f>
        <v/>
      </c>
      <c r="L939" s="27">
        <f>IF($A939="","",SUMIFS(入库单!$K$4:$K$2503,入库单!$G$4:$G$2503,$A939,入库单!$X$4:$X$2503,"盘盈",入库单!$Z$4:$Z$2503,"正常",入库单!$C$4:$C$2503,"&gt;="&amp;账期起,入库单!$C$4:$C$2503,"&lt;="&amp;账期止))</f>
        <v/>
      </c>
      <c r="M939" s="26">
        <f>IF($A939="","",ROUND($L939*$K939,0))</f>
        <v/>
      </c>
      <c r="N939" s="27">
        <f>IF($A939="","",SUMIFS(入库单!$K$4:$K$2503,入库单!$G$4:$G$2503,$A939,入库单!$X$4:$X$2503,"矿区退库",入库单!$Z$4:$Z$2503,"正常",入库单!$C$4:$C$2503,"&gt;="&amp;账期起,入库单!$C$4:$C$2503,"&lt;="&amp;账期止))</f>
        <v/>
      </c>
      <c r="O939" s="26">
        <f>IF($A939="","",ROUND($N939*$K939,0))</f>
        <v/>
      </c>
      <c r="P939" s="27">
        <f>IF($A939="","",SUMIFS(出库单!$J$4:$J$4003,出库单!$D$4:$D$4003,$A939,出库单!$K$4:$K$4003,"自用消耗",出库单!$U$4:$U$4003,"正常",出库单!$C$4:$C$4003,"&gt;="&amp;账期起,出库单!$C$4:$C$4003,"&lt;="&amp;账期止))</f>
        <v/>
      </c>
      <c r="Q939" s="26">
        <f>IF($A939="","",ROUND(SUMIFS(出库单!$S$4:$S$4003,出库单!$D$4:$D$4003,$A939,出库单!$K$4:$K$4003,"自用消耗",出库单!$U$4:$U$4003,"正常",出库单!$C$4:$C$4003,"&gt;="&amp;账期起,出库单!$C$4:$C$4003,"&lt;="&amp;账期止),0))</f>
        <v/>
      </c>
      <c r="R939" s="27">
        <f>IF($A939="","",SUMIFS(出库单!$J$4:$J$4003,出库单!$D$4:$D$4003,$A939,出库单!$K$4:$K$4003,"对外销售",出库单!$U$4:$U$4003,"正常",出库单!$C$4:$C$4003,"&gt;="&amp;账期起,出库单!$C$4:$C$4003,"&lt;="&amp;账期止))</f>
        <v/>
      </c>
      <c r="S939" s="26">
        <f>IF($A939="","",ROUND(SUMIFS(出库单!$S$4:$S$4003,出库单!$D$4:$D$4003,$A939,出库单!$K$4:$K$4003,"对外销售",出库单!$U$4:$U$4003,"正常",出库单!$C$4:$C$4003,"&gt;="&amp;账期起,出库单!$C$4:$C$4003,"&lt;="&amp;账期止),0))</f>
        <v/>
      </c>
      <c r="T939" s="27">
        <f>IF($A939="","",SUMIFS(出库单!$J$4:$J$4003,出库单!$D$4:$D$4003,$A939,出库单!$K$4:$K$4003,"盘亏",出库单!$U$4:$U$4003,"正常",出库单!$C$4:$C$4003,"&gt;="&amp;账期起,出库单!$C$4:$C$4003,"&lt;="&amp;账期止))</f>
        <v/>
      </c>
      <c r="U939" s="26">
        <f>IF($A939="","",ROUND(SUMIFS(出库单!$S$4:$S$4003,出库单!$D$4:$D$4003,$A939,出库单!$K$4:$K$4003,"盘亏",出库单!$U$4:$U$4003,"正常",出库单!$C$4:$C$4003,"&gt;="&amp;账期起,出库单!$C$4:$C$4003,"&lt;="&amp;账期止),0))</f>
        <v/>
      </c>
      <c r="V939" s="27">
        <f>IF($A939="","",SUMIFS(出库单!$J$4:$J$4003,出库单!$D$4:$D$4003,$A939,出库单!$K$4:$K$4003,"退货给供应商",出库单!$U$4:$U$4003,"正常",出库单!$C$4:$C$4003,"&gt;="&amp;账期起,出库单!$C$4:$C$4003,"&lt;="&amp;账期止))</f>
        <v/>
      </c>
      <c r="W939" s="26">
        <f>IF($A939="","",ROUND(SUMIFS(出库单!$S$4:$S$4003,出库单!$D$4:$D$4003,$A939,出库单!$K$4:$K$4003,"退货给供应商",出库单!$U$4:$U$4003,"正常",出库单!$C$4:$C$4003,"&gt;="&amp;账期起,出库单!$C$4:$C$4003,"&lt;="&amp;账期止),0))</f>
        <v/>
      </c>
      <c r="X939" s="27">
        <f>IF($A939="","",ROUND(N($G939)+$I939+$L939+$N939-$P939-$R939-$T939-$V939,3))</f>
        <v/>
      </c>
      <c r="Y939" s="26">
        <f>IF($A939="","",ROUND(N($H939)+$J939+$M939+$O939-$Q939-$S939-$U939-$W939,0))</f>
        <v/>
      </c>
      <c r="Z939" s="24">
        <f>IF($A939="","",IF(COUNTIFS(入库单!$G$4:$G$2503,$A939,入库单!$Y$4:$Y$2503,"待补价")+COUNTIFS(入库单!$G$4:$G$2503,$A939,入库单!$Y$4:$Y$2503,"暂估")&gt;0,"不可信","可信"))</f>
        <v/>
      </c>
      <c r="AA939" s="24">
        <f>IF($A939="","",IF($X939&lt;-0.001,"※账面负库存，查一下是不是漏记入库",IF(AND(ROUND($X939,3)=0,ABS($Y939)&gt;1),"※数量已经是 0，金额还挂着 "&amp;TEXT($Y939,"#,##0")&amp;" 先令",IF(AND($X939&gt;0,$Y939&lt;=0,$K939=0),"※有数量没金额（这个物料一直没填过进价）",IF($Z939="不可信","△成本含待补价/暂估，毛利仅供参考","")))))</f>
        <v/>
      </c>
    </row>
    <row r="940">
      <c r="A940" s="24">
        <f>IF(物料档案!$A939="","",物料档案!$A939)</f>
        <v/>
      </c>
      <c r="B940" s="24">
        <f>IF($A940="","",IFERROR(VLOOKUP($A940,物料档案!$A$4:$P$1203,3,0),""))</f>
        <v/>
      </c>
      <c r="C940" s="24">
        <f>IF($A940="","",IFERROR(VLOOKUP($A940,物料档案!$A$4:$P$1203,4,0),""))</f>
        <v/>
      </c>
      <c r="D940" s="24">
        <f>IF($A940="","",IFERROR(VLOOKUP($A940,物料档案!$A$4:$P$1203,5,0),""))</f>
        <v/>
      </c>
      <c r="E940" s="24">
        <f>IF($A940="","",IFERROR(VLOOKUP($A940,物料档案!$A$4:$P$1203,2,0),""))</f>
        <v/>
      </c>
      <c r="F940" s="24">
        <f>IF($A940="","",IFERROR(VLOOKUP($A940,物料档案!$A$4:$P$1203,6,0),""))</f>
        <v/>
      </c>
      <c r="G940" s="23" t="n"/>
      <c r="H940" s="32" t="n"/>
      <c r="I940" s="27">
        <f>IF($A940="","",SUMIFS(入库单!$K$4:$K$2503,入库单!$G$4:$G$2503,$A940,入库单!$X$4:$X$2503,"采购入库",入库单!$Z$4:$Z$2503,"正常",入库单!$C$4:$C$2503,"&gt;="&amp;账期起,入库单!$C$4:$C$2503,"&lt;="&amp;账期止))</f>
        <v/>
      </c>
      <c r="J940" s="26">
        <f>IF($A940="","",SUMIFS(入库单!$V$4:$V$2503,入库单!$G$4:$G$2503,$A940,入库单!$X$4:$X$2503,"采购入库",入库单!$Z$4:$Z$2503,"正常",入库单!$C$4:$C$2503,"&gt;="&amp;账期起,入库单!$C$4:$C$2503,"&lt;="&amp;账期止))</f>
        <v/>
      </c>
      <c r="K940" s="26">
        <f>IF($A940="","",IFERROR(ROUND((N($H940)+N($J940))/(N($G940)+N($I940)),2),0))</f>
        <v/>
      </c>
      <c r="L940" s="27">
        <f>IF($A940="","",SUMIFS(入库单!$K$4:$K$2503,入库单!$G$4:$G$2503,$A940,入库单!$X$4:$X$2503,"盘盈",入库单!$Z$4:$Z$2503,"正常",入库单!$C$4:$C$2503,"&gt;="&amp;账期起,入库单!$C$4:$C$2503,"&lt;="&amp;账期止))</f>
        <v/>
      </c>
      <c r="M940" s="26">
        <f>IF($A940="","",ROUND($L940*$K940,0))</f>
        <v/>
      </c>
      <c r="N940" s="27">
        <f>IF($A940="","",SUMIFS(入库单!$K$4:$K$2503,入库单!$G$4:$G$2503,$A940,入库单!$X$4:$X$2503,"矿区退库",入库单!$Z$4:$Z$2503,"正常",入库单!$C$4:$C$2503,"&gt;="&amp;账期起,入库单!$C$4:$C$2503,"&lt;="&amp;账期止))</f>
        <v/>
      </c>
      <c r="O940" s="26">
        <f>IF($A940="","",ROUND($N940*$K940,0))</f>
        <v/>
      </c>
      <c r="P940" s="27">
        <f>IF($A940="","",SUMIFS(出库单!$J$4:$J$4003,出库单!$D$4:$D$4003,$A940,出库单!$K$4:$K$4003,"自用消耗",出库单!$U$4:$U$4003,"正常",出库单!$C$4:$C$4003,"&gt;="&amp;账期起,出库单!$C$4:$C$4003,"&lt;="&amp;账期止))</f>
        <v/>
      </c>
      <c r="Q940" s="26">
        <f>IF($A940="","",ROUND(SUMIFS(出库单!$S$4:$S$4003,出库单!$D$4:$D$4003,$A940,出库单!$K$4:$K$4003,"自用消耗",出库单!$U$4:$U$4003,"正常",出库单!$C$4:$C$4003,"&gt;="&amp;账期起,出库单!$C$4:$C$4003,"&lt;="&amp;账期止),0))</f>
        <v/>
      </c>
      <c r="R940" s="27">
        <f>IF($A940="","",SUMIFS(出库单!$J$4:$J$4003,出库单!$D$4:$D$4003,$A940,出库单!$K$4:$K$4003,"对外销售",出库单!$U$4:$U$4003,"正常",出库单!$C$4:$C$4003,"&gt;="&amp;账期起,出库单!$C$4:$C$4003,"&lt;="&amp;账期止))</f>
        <v/>
      </c>
      <c r="S940" s="26">
        <f>IF($A940="","",ROUND(SUMIFS(出库单!$S$4:$S$4003,出库单!$D$4:$D$4003,$A940,出库单!$K$4:$K$4003,"对外销售",出库单!$U$4:$U$4003,"正常",出库单!$C$4:$C$4003,"&gt;="&amp;账期起,出库单!$C$4:$C$4003,"&lt;="&amp;账期止),0))</f>
        <v/>
      </c>
      <c r="T940" s="27">
        <f>IF($A940="","",SUMIFS(出库单!$J$4:$J$4003,出库单!$D$4:$D$4003,$A940,出库单!$K$4:$K$4003,"盘亏",出库单!$U$4:$U$4003,"正常",出库单!$C$4:$C$4003,"&gt;="&amp;账期起,出库单!$C$4:$C$4003,"&lt;="&amp;账期止))</f>
        <v/>
      </c>
      <c r="U940" s="26">
        <f>IF($A940="","",ROUND(SUMIFS(出库单!$S$4:$S$4003,出库单!$D$4:$D$4003,$A940,出库单!$K$4:$K$4003,"盘亏",出库单!$U$4:$U$4003,"正常",出库单!$C$4:$C$4003,"&gt;="&amp;账期起,出库单!$C$4:$C$4003,"&lt;="&amp;账期止),0))</f>
        <v/>
      </c>
      <c r="V940" s="27">
        <f>IF($A940="","",SUMIFS(出库单!$J$4:$J$4003,出库单!$D$4:$D$4003,$A940,出库单!$K$4:$K$4003,"退货给供应商",出库单!$U$4:$U$4003,"正常",出库单!$C$4:$C$4003,"&gt;="&amp;账期起,出库单!$C$4:$C$4003,"&lt;="&amp;账期止))</f>
        <v/>
      </c>
      <c r="W940" s="26">
        <f>IF($A940="","",ROUND(SUMIFS(出库单!$S$4:$S$4003,出库单!$D$4:$D$4003,$A940,出库单!$K$4:$K$4003,"退货给供应商",出库单!$U$4:$U$4003,"正常",出库单!$C$4:$C$4003,"&gt;="&amp;账期起,出库单!$C$4:$C$4003,"&lt;="&amp;账期止),0))</f>
        <v/>
      </c>
      <c r="X940" s="27">
        <f>IF($A940="","",ROUND(N($G940)+$I940+$L940+$N940-$P940-$R940-$T940-$V940,3))</f>
        <v/>
      </c>
      <c r="Y940" s="26">
        <f>IF($A940="","",ROUND(N($H940)+$J940+$M940+$O940-$Q940-$S940-$U940-$W940,0))</f>
        <v/>
      </c>
      <c r="Z940" s="24">
        <f>IF($A940="","",IF(COUNTIFS(入库单!$G$4:$G$2503,$A940,入库单!$Y$4:$Y$2503,"待补价")+COUNTIFS(入库单!$G$4:$G$2503,$A940,入库单!$Y$4:$Y$2503,"暂估")&gt;0,"不可信","可信"))</f>
        <v/>
      </c>
      <c r="AA940" s="24">
        <f>IF($A940="","",IF($X940&lt;-0.001,"※账面负库存，查一下是不是漏记入库",IF(AND(ROUND($X940,3)=0,ABS($Y940)&gt;1),"※数量已经是 0，金额还挂着 "&amp;TEXT($Y940,"#,##0")&amp;" 先令",IF(AND($X940&gt;0,$Y940&lt;=0,$K940=0),"※有数量没金额（这个物料一直没填过进价）",IF($Z940="不可信","△成本含待补价/暂估，毛利仅供参考","")))))</f>
        <v/>
      </c>
    </row>
    <row r="941">
      <c r="A941" s="24">
        <f>IF(物料档案!$A940="","",物料档案!$A940)</f>
        <v/>
      </c>
      <c r="B941" s="24">
        <f>IF($A941="","",IFERROR(VLOOKUP($A941,物料档案!$A$4:$P$1203,3,0),""))</f>
        <v/>
      </c>
      <c r="C941" s="24">
        <f>IF($A941="","",IFERROR(VLOOKUP($A941,物料档案!$A$4:$P$1203,4,0),""))</f>
        <v/>
      </c>
      <c r="D941" s="24">
        <f>IF($A941="","",IFERROR(VLOOKUP($A941,物料档案!$A$4:$P$1203,5,0),""))</f>
        <v/>
      </c>
      <c r="E941" s="24">
        <f>IF($A941="","",IFERROR(VLOOKUP($A941,物料档案!$A$4:$P$1203,2,0),""))</f>
        <v/>
      </c>
      <c r="F941" s="24">
        <f>IF($A941="","",IFERROR(VLOOKUP($A941,物料档案!$A$4:$P$1203,6,0),""))</f>
        <v/>
      </c>
      <c r="G941" s="23" t="n"/>
      <c r="H941" s="32" t="n"/>
      <c r="I941" s="27">
        <f>IF($A941="","",SUMIFS(入库单!$K$4:$K$2503,入库单!$G$4:$G$2503,$A941,入库单!$X$4:$X$2503,"采购入库",入库单!$Z$4:$Z$2503,"正常",入库单!$C$4:$C$2503,"&gt;="&amp;账期起,入库单!$C$4:$C$2503,"&lt;="&amp;账期止))</f>
        <v/>
      </c>
      <c r="J941" s="26">
        <f>IF($A941="","",SUMIFS(入库单!$V$4:$V$2503,入库单!$G$4:$G$2503,$A941,入库单!$X$4:$X$2503,"采购入库",入库单!$Z$4:$Z$2503,"正常",入库单!$C$4:$C$2503,"&gt;="&amp;账期起,入库单!$C$4:$C$2503,"&lt;="&amp;账期止))</f>
        <v/>
      </c>
      <c r="K941" s="26">
        <f>IF($A941="","",IFERROR(ROUND((N($H941)+N($J941))/(N($G941)+N($I941)),2),0))</f>
        <v/>
      </c>
      <c r="L941" s="27">
        <f>IF($A941="","",SUMIFS(入库单!$K$4:$K$2503,入库单!$G$4:$G$2503,$A941,入库单!$X$4:$X$2503,"盘盈",入库单!$Z$4:$Z$2503,"正常",入库单!$C$4:$C$2503,"&gt;="&amp;账期起,入库单!$C$4:$C$2503,"&lt;="&amp;账期止))</f>
        <v/>
      </c>
      <c r="M941" s="26">
        <f>IF($A941="","",ROUND($L941*$K941,0))</f>
        <v/>
      </c>
      <c r="N941" s="27">
        <f>IF($A941="","",SUMIFS(入库单!$K$4:$K$2503,入库单!$G$4:$G$2503,$A941,入库单!$X$4:$X$2503,"矿区退库",入库单!$Z$4:$Z$2503,"正常",入库单!$C$4:$C$2503,"&gt;="&amp;账期起,入库单!$C$4:$C$2503,"&lt;="&amp;账期止))</f>
        <v/>
      </c>
      <c r="O941" s="26">
        <f>IF($A941="","",ROUND($N941*$K941,0))</f>
        <v/>
      </c>
      <c r="P941" s="27">
        <f>IF($A941="","",SUMIFS(出库单!$J$4:$J$4003,出库单!$D$4:$D$4003,$A941,出库单!$K$4:$K$4003,"自用消耗",出库单!$U$4:$U$4003,"正常",出库单!$C$4:$C$4003,"&gt;="&amp;账期起,出库单!$C$4:$C$4003,"&lt;="&amp;账期止))</f>
        <v/>
      </c>
      <c r="Q941" s="26">
        <f>IF($A941="","",ROUND(SUMIFS(出库单!$S$4:$S$4003,出库单!$D$4:$D$4003,$A941,出库单!$K$4:$K$4003,"自用消耗",出库单!$U$4:$U$4003,"正常",出库单!$C$4:$C$4003,"&gt;="&amp;账期起,出库单!$C$4:$C$4003,"&lt;="&amp;账期止),0))</f>
        <v/>
      </c>
      <c r="R941" s="27">
        <f>IF($A941="","",SUMIFS(出库单!$J$4:$J$4003,出库单!$D$4:$D$4003,$A941,出库单!$K$4:$K$4003,"对外销售",出库单!$U$4:$U$4003,"正常",出库单!$C$4:$C$4003,"&gt;="&amp;账期起,出库单!$C$4:$C$4003,"&lt;="&amp;账期止))</f>
        <v/>
      </c>
      <c r="S941" s="26">
        <f>IF($A941="","",ROUND(SUMIFS(出库单!$S$4:$S$4003,出库单!$D$4:$D$4003,$A941,出库单!$K$4:$K$4003,"对外销售",出库单!$U$4:$U$4003,"正常",出库单!$C$4:$C$4003,"&gt;="&amp;账期起,出库单!$C$4:$C$4003,"&lt;="&amp;账期止),0))</f>
        <v/>
      </c>
      <c r="T941" s="27">
        <f>IF($A941="","",SUMIFS(出库单!$J$4:$J$4003,出库单!$D$4:$D$4003,$A941,出库单!$K$4:$K$4003,"盘亏",出库单!$U$4:$U$4003,"正常",出库单!$C$4:$C$4003,"&gt;="&amp;账期起,出库单!$C$4:$C$4003,"&lt;="&amp;账期止))</f>
        <v/>
      </c>
      <c r="U941" s="26">
        <f>IF($A941="","",ROUND(SUMIFS(出库单!$S$4:$S$4003,出库单!$D$4:$D$4003,$A941,出库单!$K$4:$K$4003,"盘亏",出库单!$U$4:$U$4003,"正常",出库单!$C$4:$C$4003,"&gt;="&amp;账期起,出库单!$C$4:$C$4003,"&lt;="&amp;账期止),0))</f>
        <v/>
      </c>
      <c r="V941" s="27">
        <f>IF($A941="","",SUMIFS(出库单!$J$4:$J$4003,出库单!$D$4:$D$4003,$A941,出库单!$K$4:$K$4003,"退货给供应商",出库单!$U$4:$U$4003,"正常",出库单!$C$4:$C$4003,"&gt;="&amp;账期起,出库单!$C$4:$C$4003,"&lt;="&amp;账期止))</f>
        <v/>
      </c>
      <c r="W941" s="26">
        <f>IF($A941="","",ROUND(SUMIFS(出库单!$S$4:$S$4003,出库单!$D$4:$D$4003,$A941,出库单!$K$4:$K$4003,"退货给供应商",出库单!$U$4:$U$4003,"正常",出库单!$C$4:$C$4003,"&gt;="&amp;账期起,出库单!$C$4:$C$4003,"&lt;="&amp;账期止),0))</f>
        <v/>
      </c>
      <c r="X941" s="27">
        <f>IF($A941="","",ROUND(N($G941)+$I941+$L941+$N941-$P941-$R941-$T941-$V941,3))</f>
        <v/>
      </c>
      <c r="Y941" s="26">
        <f>IF($A941="","",ROUND(N($H941)+$J941+$M941+$O941-$Q941-$S941-$U941-$W941,0))</f>
        <v/>
      </c>
      <c r="Z941" s="24">
        <f>IF($A941="","",IF(COUNTIFS(入库单!$G$4:$G$2503,$A941,入库单!$Y$4:$Y$2503,"待补价")+COUNTIFS(入库单!$G$4:$G$2503,$A941,入库单!$Y$4:$Y$2503,"暂估")&gt;0,"不可信","可信"))</f>
        <v/>
      </c>
      <c r="AA941" s="24">
        <f>IF($A941="","",IF($X941&lt;-0.001,"※账面负库存，查一下是不是漏记入库",IF(AND(ROUND($X941,3)=0,ABS($Y941)&gt;1),"※数量已经是 0，金额还挂着 "&amp;TEXT($Y941,"#,##0")&amp;" 先令",IF(AND($X941&gt;0,$Y941&lt;=0,$K941=0),"※有数量没金额（这个物料一直没填过进价）",IF($Z941="不可信","△成本含待补价/暂估，毛利仅供参考","")))))</f>
        <v/>
      </c>
    </row>
    <row r="942">
      <c r="A942" s="24">
        <f>IF(物料档案!$A941="","",物料档案!$A941)</f>
        <v/>
      </c>
      <c r="B942" s="24">
        <f>IF($A942="","",IFERROR(VLOOKUP($A942,物料档案!$A$4:$P$1203,3,0),""))</f>
        <v/>
      </c>
      <c r="C942" s="24">
        <f>IF($A942="","",IFERROR(VLOOKUP($A942,物料档案!$A$4:$P$1203,4,0),""))</f>
        <v/>
      </c>
      <c r="D942" s="24">
        <f>IF($A942="","",IFERROR(VLOOKUP($A942,物料档案!$A$4:$P$1203,5,0),""))</f>
        <v/>
      </c>
      <c r="E942" s="24">
        <f>IF($A942="","",IFERROR(VLOOKUP($A942,物料档案!$A$4:$P$1203,2,0),""))</f>
        <v/>
      </c>
      <c r="F942" s="24">
        <f>IF($A942="","",IFERROR(VLOOKUP($A942,物料档案!$A$4:$P$1203,6,0),""))</f>
        <v/>
      </c>
      <c r="G942" s="23" t="n"/>
      <c r="H942" s="32" t="n"/>
      <c r="I942" s="27">
        <f>IF($A942="","",SUMIFS(入库单!$K$4:$K$2503,入库单!$G$4:$G$2503,$A942,入库单!$X$4:$X$2503,"采购入库",入库单!$Z$4:$Z$2503,"正常",入库单!$C$4:$C$2503,"&gt;="&amp;账期起,入库单!$C$4:$C$2503,"&lt;="&amp;账期止))</f>
        <v/>
      </c>
      <c r="J942" s="26">
        <f>IF($A942="","",SUMIFS(入库单!$V$4:$V$2503,入库单!$G$4:$G$2503,$A942,入库单!$X$4:$X$2503,"采购入库",入库单!$Z$4:$Z$2503,"正常",入库单!$C$4:$C$2503,"&gt;="&amp;账期起,入库单!$C$4:$C$2503,"&lt;="&amp;账期止))</f>
        <v/>
      </c>
      <c r="K942" s="26">
        <f>IF($A942="","",IFERROR(ROUND((N($H942)+N($J942))/(N($G942)+N($I942)),2),0))</f>
        <v/>
      </c>
      <c r="L942" s="27">
        <f>IF($A942="","",SUMIFS(入库单!$K$4:$K$2503,入库单!$G$4:$G$2503,$A942,入库单!$X$4:$X$2503,"盘盈",入库单!$Z$4:$Z$2503,"正常",入库单!$C$4:$C$2503,"&gt;="&amp;账期起,入库单!$C$4:$C$2503,"&lt;="&amp;账期止))</f>
        <v/>
      </c>
      <c r="M942" s="26">
        <f>IF($A942="","",ROUND($L942*$K942,0))</f>
        <v/>
      </c>
      <c r="N942" s="27">
        <f>IF($A942="","",SUMIFS(入库单!$K$4:$K$2503,入库单!$G$4:$G$2503,$A942,入库单!$X$4:$X$2503,"矿区退库",入库单!$Z$4:$Z$2503,"正常",入库单!$C$4:$C$2503,"&gt;="&amp;账期起,入库单!$C$4:$C$2503,"&lt;="&amp;账期止))</f>
        <v/>
      </c>
      <c r="O942" s="26">
        <f>IF($A942="","",ROUND($N942*$K942,0))</f>
        <v/>
      </c>
      <c r="P942" s="27">
        <f>IF($A942="","",SUMIFS(出库单!$J$4:$J$4003,出库单!$D$4:$D$4003,$A942,出库单!$K$4:$K$4003,"自用消耗",出库单!$U$4:$U$4003,"正常",出库单!$C$4:$C$4003,"&gt;="&amp;账期起,出库单!$C$4:$C$4003,"&lt;="&amp;账期止))</f>
        <v/>
      </c>
      <c r="Q942" s="26">
        <f>IF($A942="","",ROUND(SUMIFS(出库单!$S$4:$S$4003,出库单!$D$4:$D$4003,$A942,出库单!$K$4:$K$4003,"自用消耗",出库单!$U$4:$U$4003,"正常",出库单!$C$4:$C$4003,"&gt;="&amp;账期起,出库单!$C$4:$C$4003,"&lt;="&amp;账期止),0))</f>
        <v/>
      </c>
      <c r="R942" s="27">
        <f>IF($A942="","",SUMIFS(出库单!$J$4:$J$4003,出库单!$D$4:$D$4003,$A942,出库单!$K$4:$K$4003,"对外销售",出库单!$U$4:$U$4003,"正常",出库单!$C$4:$C$4003,"&gt;="&amp;账期起,出库单!$C$4:$C$4003,"&lt;="&amp;账期止))</f>
        <v/>
      </c>
      <c r="S942" s="26">
        <f>IF($A942="","",ROUND(SUMIFS(出库单!$S$4:$S$4003,出库单!$D$4:$D$4003,$A942,出库单!$K$4:$K$4003,"对外销售",出库单!$U$4:$U$4003,"正常",出库单!$C$4:$C$4003,"&gt;="&amp;账期起,出库单!$C$4:$C$4003,"&lt;="&amp;账期止),0))</f>
        <v/>
      </c>
      <c r="T942" s="27">
        <f>IF($A942="","",SUMIFS(出库单!$J$4:$J$4003,出库单!$D$4:$D$4003,$A942,出库单!$K$4:$K$4003,"盘亏",出库单!$U$4:$U$4003,"正常",出库单!$C$4:$C$4003,"&gt;="&amp;账期起,出库单!$C$4:$C$4003,"&lt;="&amp;账期止))</f>
        <v/>
      </c>
      <c r="U942" s="26">
        <f>IF($A942="","",ROUND(SUMIFS(出库单!$S$4:$S$4003,出库单!$D$4:$D$4003,$A942,出库单!$K$4:$K$4003,"盘亏",出库单!$U$4:$U$4003,"正常",出库单!$C$4:$C$4003,"&gt;="&amp;账期起,出库单!$C$4:$C$4003,"&lt;="&amp;账期止),0))</f>
        <v/>
      </c>
      <c r="V942" s="27">
        <f>IF($A942="","",SUMIFS(出库单!$J$4:$J$4003,出库单!$D$4:$D$4003,$A942,出库单!$K$4:$K$4003,"退货给供应商",出库单!$U$4:$U$4003,"正常",出库单!$C$4:$C$4003,"&gt;="&amp;账期起,出库单!$C$4:$C$4003,"&lt;="&amp;账期止))</f>
        <v/>
      </c>
      <c r="W942" s="26">
        <f>IF($A942="","",ROUND(SUMIFS(出库单!$S$4:$S$4003,出库单!$D$4:$D$4003,$A942,出库单!$K$4:$K$4003,"退货给供应商",出库单!$U$4:$U$4003,"正常",出库单!$C$4:$C$4003,"&gt;="&amp;账期起,出库单!$C$4:$C$4003,"&lt;="&amp;账期止),0))</f>
        <v/>
      </c>
      <c r="X942" s="27">
        <f>IF($A942="","",ROUND(N($G942)+$I942+$L942+$N942-$P942-$R942-$T942-$V942,3))</f>
        <v/>
      </c>
      <c r="Y942" s="26">
        <f>IF($A942="","",ROUND(N($H942)+$J942+$M942+$O942-$Q942-$S942-$U942-$W942,0))</f>
        <v/>
      </c>
      <c r="Z942" s="24">
        <f>IF($A942="","",IF(COUNTIFS(入库单!$G$4:$G$2503,$A942,入库单!$Y$4:$Y$2503,"待补价")+COUNTIFS(入库单!$G$4:$G$2503,$A942,入库单!$Y$4:$Y$2503,"暂估")&gt;0,"不可信","可信"))</f>
        <v/>
      </c>
      <c r="AA942" s="24">
        <f>IF($A942="","",IF($X942&lt;-0.001,"※账面负库存，查一下是不是漏记入库",IF(AND(ROUND($X942,3)=0,ABS($Y942)&gt;1),"※数量已经是 0，金额还挂着 "&amp;TEXT($Y942,"#,##0")&amp;" 先令",IF(AND($X942&gt;0,$Y942&lt;=0,$K942=0),"※有数量没金额（这个物料一直没填过进价）",IF($Z942="不可信","△成本含待补价/暂估，毛利仅供参考","")))))</f>
        <v/>
      </c>
    </row>
    <row r="943">
      <c r="A943" s="24">
        <f>IF(物料档案!$A942="","",物料档案!$A942)</f>
        <v/>
      </c>
      <c r="B943" s="24">
        <f>IF($A943="","",IFERROR(VLOOKUP($A943,物料档案!$A$4:$P$1203,3,0),""))</f>
        <v/>
      </c>
      <c r="C943" s="24">
        <f>IF($A943="","",IFERROR(VLOOKUP($A943,物料档案!$A$4:$P$1203,4,0),""))</f>
        <v/>
      </c>
      <c r="D943" s="24">
        <f>IF($A943="","",IFERROR(VLOOKUP($A943,物料档案!$A$4:$P$1203,5,0),""))</f>
        <v/>
      </c>
      <c r="E943" s="24">
        <f>IF($A943="","",IFERROR(VLOOKUP($A943,物料档案!$A$4:$P$1203,2,0),""))</f>
        <v/>
      </c>
      <c r="F943" s="24">
        <f>IF($A943="","",IFERROR(VLOOKUP($A943,物料档案!$A$4:$P$1203,6,0),""))</f>
        <v/>
      </c>
      <c r="G943" s="23" t="n"/>
      <c r="H943" s="32" t="n"/>
      <c r="I943" s="27">
        <f>IF($A943="","",SUMIFS(入库单!$K$4:$K$2503,入库单!$G$4:$G$2503,$A943,入库单!$X$4:$X$2503,"采购入库",入库单!$Z$4:$Z$2503,"正常",入库单!$C$4:$C$2503,"&gt;="&amp;账期起,入库单!$C$4:$C$2503,"&lt;="&amp;账期止))</f>
        <v/>
      </c>
      <c r="J943" s="26">
        <f>IF($A943="","",SUMIFS(入库单!$V$4:$V$2503,入库单!$G$4:$G$2503,$A943,入库单!$X$4:$X$2503,"采购入库",入库单!$Z$4:$Z$2503,"正常",入库单!$C$4:$C$2503,"&gt;="&amp;账期起,入库单!$C$4:$C$2503,"&lt;="&amp;账期止))</f>
        <v/>
      </c>
      <c r="K943" s="26">
        <f>IF($A943="","",IFERROR(ROUND((N($H943)+N($J943))/(N($G943)+N($I943)),2),0))</f>
        <v/>
      </c>
      <c r="L943" s="27">
        <f>IF($A943="","",SUMIFS(入库单!$K$4:$K$2503,入库单!$G$4:$G$2503,$A943,入库单!$X$4:$X$2503,"盘盈",入库单!$Z$4:$Z$2503,"正常",入库单!$C$4:$C$2503,"&gt;="&amp;账期起,入库单!$C$4:$C$2503,"&lt;="&amp;账期止))</f>
        <v/>
      </c>
      <c r="M943" s="26">
        <f>IF($A943="","",ROUND($L943*$K943,0))</f>
        <v/>
      </c>
      <c r="N943" s="27">
        <f>IF($A943="","",SUMIFS(入库单!$K$4:$K$2503,入库单!$G$4:$G$2503,$A943,入库单!$X$4:$X$2503,"矿区退库",入库单!$Z$4:$Z$2503,"正常",入库单!$C$4:$C$2503,"&gt;="&amp;账期起,入库单!$C$4:$C$2503,"&lt;="&amp;账期止))</f>
        <v/>
      </c>
      <c r="O943" s="26">
        <f>IF($A943="","",ROUND($N943*$K943,0))</f>
        <v/>
      </c>
      <c r="P943" s="27">
        <f>IF($A943="","",SUMIFS(出库单!$J$4:$J$4003,出库单!$D$4:$D$4003,$A943,出库单!$K$4:$K$4003,"自用消耗",出库单!$U$4:$U$4003,"正常",出库单!$C$4:$C$4003,"&gt;="&amp;账期起,出库单!$C$4:$C$4003,"&lt;="&amp;账期止))</f>
        <v/>
      </c>
      <c r="Q943" s="26">
        <f>IF($A943="","",ROUND(SUMIFS(出库单!$S$4:$S$4003,出库单!$D$4:$D$4003,$A943,出库单!$K$4:$K$4003,"自用消耗",出库单!$U$4:$U$4003,"正常",出库单!$C$4:$C$4003,"&gt;="&amp;账期起,出库单!$C$4:$C$4003,"&lt;="&amp;账期止),0))</f>
        <v/>
      </c>
      <c r="R943" s="27">
        <f>IF($A943="","",SUMIFS(出库单!$J$4:$J$4003,出库单!$D$4:$D$4003,$A943,出库单!$K$4:$K$4003,"对外销售",出库单!$U$4:$U$4003,"正常",出库单!$C$4:$C$4003,"&gt;="&amp;账期起,出库单!$C$4:$C$4003,"&lt;="&amp;账期止))</f>
        <v/>
      </c>
      <c r="S943" s="26">
        <f>IF($A943="","",ROUND(SUMIFS(出库单!$S$4:$S$4003,出库单!$D$4:$D$4003,$A943,出库单!$K$4:$K$4003,"对外销售",出库单!$U$4:$U$4003,"正常",出库单!$C$4:$C$4003,"&gt;="&amp;账期起,出库单!$C$4:$C$4003,"&lt;="&amp;账期止),0))</f>
        <v/>
      </c>
      <c r="T943" s="27">
        <f>IF($A943="","",SUMIFS(出库单!$J$4:$J$4003,出库单!$D$4:$D$4003,$A943,出库单!$K$4:$K$4003,"盘亏",出库单!$U$4:$U$4003,"正常",出库单!$C$4:$C$4003,"&gt;="&amp;账期起,出库单!$C$4:$C$4003,"&lt;="&amp;账期止))</f>
        <v/>
      </c>
      <c r="U943" s="26">
        <f>IF($A943="","",ROUND(SUMIFS(出库单!$S$4:$S$4003,出库单!$D$4:$D$4003,$A943,出库单!$K$4:$K$4003,"盘亏",出库单!$U$4:$U$4003,"正常",出库单!$C$4:$C$4003,"&gt;="&amp;账期起,出库单!$C$4:$C$4003,"&lt;="&amp;账期止),0))</f>
        <v/>
      </c>
      <c r="V943" s="27">
        <f>IF($A943="","",SUMIFS(出库单!$J$4:$J$4003,出库单!$D$4:$D$4003,$A943,出库单!$K$4:$K$4003,"退货给供应商",出库单!$U$4:$U$4003,"正常",出库单!$C$4:$C$4003,"&gt;="&amp;账期起,出库单!$C$4:$C$4003,"&lt;="&amp;账期止))</f>
        <v/>
      </c>
      <c r="W943" s="26">
        <f>IF($A943="","",ROUND(SUMIFS(出库单!$S$4:$S$4003,出库单!$D$4:$D$4003,$A943,出库单!$K$4:$K$4003,"退货给供应商",出库单!$U$4:$U$4003,"正常",出库单!$C$4:$C$4003,"&gt;="&amp;账期起,出库单!$C$4:$C$4003,"&lt;="&amp;账期止),0))</f>
        <v/>
      </c>
      <c r="X943" s="27">
        <f>IF($A943="","",ROUND(N($G943)+$I943+$L943+$N943-$P943-$R943-$T943-$V943,3))</f>
        <v/>
      </c>
      <c r="Y943" s="26">
        <f>IF($A943="","",ROUND(N($H943)+$J943+$M943+$O943-$Q943-$S943-$U943-$W943,0))</f>
        <v/>
      </c>
      <c r="Z943" s="24">
        <f>IF($A943="","",IF(COUNTIFS(入库单!$G$4:$G$2503,$A943,入库单!$Y$4:$Y$2503,"待补价")+COUNTIFS(入库单!$G$4:$G$2503,$A943,入库单!$Y$4:$Y$2503,"暂估")&gt;0,"不可信","可信"))</f>
        <v/>
      </c>
      <c r="AA943" s="24">
        <f>IF($A943="","",IF($X943&lt;-0.001,"※账面负库存，查一下是不是漏记入库",IF(AND(ROUND($X943,3)=0,ABS($Y943)&gt;1),"※数量已经是 0，金额还挂着 "&amp;TEXT($Y943,"#,##0")&amp;" 先令",IF(AND($X943&gt;0,$Y943&lt;=0,$K943=0),"※有数量没金额（这个物料一直没填过进价）",IF($Z943="不可信","△成本含待补价/暂估，毛利仅供参考","")))))</f>
        <v/>
      </c>
    </row>
    <row r="944">
      <c r="A944" s="24">
        <f>IF(物料档案!$A943="","",物料档案!$A943)</f>
        <v/>
      </c>
      <c r="B944" s="24">
        <f>IF($A944="","",IFERROR(VLOOKUP($A944,物料档案!$A$4:$P$1203,3,0),""))</f>
        <v/>
      </c>
      <c r="C944" s="24">
        <f>IF($A944="","",IFERROR(VLOOKUP($A944,物料档案!$A$4:$P$1203,4,0),""))</f>
        <v/>
      </c>
      <c r="D944" s="24">
        <f>IF($A944="","",IFERROR(VLOOKUP($A944,物料档案!$A$4:$P$1203,5,0),""))</f>
        <v/>
      </c>
      <c r="E944" s="24">
        <f>IF($A944="","",IFERROR(VLOOKUP($A944,物料档案!$A$4:$P$1203,2,0),""))</f>
        <v/>
      </c>
      <c r="F944" s="24">
        <f>IF($A944="","",IFERROR(VLOOKUP($A944,物料档案!$A$4:$P$1203,6,0),""))</f>
        <v/>
      </c>
      <c r="G944" s="23" t="n"/>
      <c r="H944" s="32" t="n"/>
      <c r="I944" s="27">
        <f>IF($A944="","",SUMIFS(入库单!$K$4:$K$2503,入库单!$G$4:$G$2503,$A944,入库单!$X$4:$X$2503,"采购入库",入库单!$Z$4:$Z$2503,"正常",入库单!$C$4:$C$2503,"&gt;="&amp;账期起,入库单!$C$4:$C$2503,"&lt;="&amp;账期止))</f>
        <v/>
      </c>
      <c r="J944" s="26">
        <f>IF($A944="","",SUMIFS(入库单!$V$4:$V$2503,入库单!$G$4:$G$2503,$A944,入库单!$X$4:$X$2503,"采购入库",入库单!$Z$4:$Z$2503,"正常",入库单!$C$4:$C$2503,"&gt;="&amp;账期起,入库单!$C$4:$C$2503,"&lt;="&amp;账期止))</f>
        <v/>
      </c>
      <c r="K944" s="26">
        <f>IF($A944="","",IFERROR(ROUND((N($H944)+N($J944))/(N($G944)+N($I944)),2),0))</f>
        <v/>
      </c>
      <c r="L944" s="27">
        <f>IF($A944="","",SUMIFS(入库单!$K$4:$K$2503,入库单!$G$4:$G$2503,$A944,入库单!$X$4:$X$2503,"盘盈",入库单!$Z$4:$Z$2503,"正常",入库单!$C$4:$C$2503,"&gt;="&amp;账期起,入库单!$C$4:$C$2503,"&lt;="&amp;账期止))</f>
        <v/>
      </c>
      <c r="M944" s="26">
        <f>IF($A944="","",ROUND($L944*$K944,0))</f>
        <v/>
      </c>
      <c r="N944" s="27">
        <f>IF($A944="","",SUMIFS(入库单!$K$4:$K$2503,入库单!$G$4:$G$2503,$A944,入库单!$X$4:$X$2503,"矿区退库",入库单!$Z$4:$Z$2503,"正常",入库单!$C$4:$C$2503,"&gt;="&amp;账期起,入库单!$C$4:$C$2503,"&lt;="&amp;账期止))</f>
        <v/>
      </c>
      <c r="O944" s="26">
        <f>IF($A944="","",ROUND($N944*$K944,0))</f>
        <v/>
      </c>
      <c r="P944" s="27">
        <f>IF($A944="","",SUMIFS(出库单!$J$4:$J$4003,出库单!$D$4:$D$4003,$A944,出库单!$K$4:$K$4003,"自用消耗",出库单!$U$4:$U$4003,"正常",出库单!$C$4:$C$4003,"&gt;="&amp;账期起,出库单!$C$4:$C$4003,"&lt;="&amp;账期止))</f>
        <v/>
      </c>
      <c r="Q944" s="26">
        <f>IF($A944="","",ROUND(SUMIFS(出库单!$S$4:$S$4003,出库单!$D$4:$D$4003,$A944,出库单!$K$4:$K$4003,"自用消耗",出库单!$U$4:$U$4003,"正常",出库单!$C$4:$C$4003,"&gt;="&amp;账期起,出库单!$C$4:$C$4003,"&lt;="&amp;账期止),0))</f>
        <v/>
      </c>
      <c r="R944" s="27">
        <f>IF($A944="","",SUMIFS(出库单!$J$4:$J$4003,出库单!$D$4:$D$4003,$A944,出库单!$K$4:$K$4003,"对外销售",出库单!$U$4:$U$4003,"正常",出库单!$C$4:$C$4003,"&gt;="&amp;账期起,出库单!$C$4:$C$4003,"&lt;="&amp;账期止))</f>
        <v/>
      </c>
      <c r="S944" s="26">
        <f>IF($A944="","",ROUND(SUMIFS(出库单!$S$4:$S$4003,出库单!$D$4:$D$4003,$A944,出库单!$K$4:$K$4003,"对外销售",出库单!$U$4:$U$4003,"正常",出库单!$C$4:$C$4003,"&gt;="&amp;账期起,出库单!$C$4:$C$4003,"&lt;="&amp;账期止),0))</f>
        <v/>
      </c>
      <c r="T944" s="27">
        <f>IF($A944="","",SUMIFS(出库单!$J$4:$J$4003,出库单!$D$4:$D$4003,$A944,出库单!$K$4:$K$4003,"盘亏",出库单!$U$4:$U$4003,"正常",出库单!$C$4:$C$4003,"&gt;="&amp;账期起,出库单!$C$4:$C$4003,"&lt;="&amp;账期止))</f>
        <v/>
      </c>
      <c r="U944" s="26">
        <f>IF($A944="","",ROUND(SUMIFS(出库单!$S$4:$S$4003,出库单!$D$4:$D$4003,$A944,出库单!$K$4:$K$4003,"盘亏",出库单!$U$4:$U$4003,"正常",出库单!$C$4:$C$4003,"&gt;="&amp;账期起,出库单!$C$4:$C$4003,"&lt;="&amp;账期止),0))</f>
        <v/>
      </c>
      <c r="V944" s="27">
        <f>IF($A944="","",SUMIFS(出库单!$J$4:$J$4003,出库单!$D$4:$D$4003,$A944,出库单!$K$4:$K$4003,"退货给供应商",出库单!$U$4:$U$4003,"正常",出库单!$C$4:$C$4003,"&gt;="&amp;账期起,出库单!$C$4:$C$4003,"&lt;="&amp;账期止))</f>
        <v/>
      </c>
      <c r="W944" s="26">
        <f>IF($A944="","",ROUND(SUMIFS(出库单!$S$4:$S$4003,出库单!$D$4:$D$4003,$A944,出库单!$K$4:$K$4003,"退货给供应商",出库单!$U$4:$U$4003,"正常",出库单!$C$4:$C$4003,"&gt;="&amp;账期起,出库单!$C$4:$C$4003,"&lt;="&amp;账期止),0))</f>
        <v/>
      </c>
      <c r="X944" s="27">
        <f>IF($A944="","",ROUND(N($G944)+$I944+$L944+$N944-$P944-$R944-$T944-$V944,3))</f>
        <v/>
      </c>
      <c r="Y944" s="26">
        <f>IF($A944="","",ROUND(N($H944)+$J944+$M944+$O944-$Q944-$S944-$U944-$W944,0))</f>
        <v/>
      </c>
      <c r="Z944" s="24">
        <f>IF($A944="","",IF(COUNTIFS(入库单!$G$4:$G$2503,$A944,入库单!$Y$4:$Y$2503,"待补价")+COUNTIFS(入库单!$G$4:$G$2503,$A944,入库单!$Y$4:$Y$2503,"暂估")&gt;0,"不可信","可信"))</f>
        <v/>
      </c>
      <c r="AA944" s="24">
        <f>IF($A944="","",IF($X944&lt;-0.001,"※账面负库存，查一下是不是漏记入库",IF(AND(ROUND($X944,3)=0,ABS($Y944)&gt;1),"※数量已经是 0，金额还挂着 "&amp;TEXT($Y944,"#,##0")&amp;" 先令",IF(AND($X944&gt;0,$Y944&lt;=0,$K944=0),"※有数量没金额（这个物料一直没填过进价）",IF($Z944="不可信","△成本含待补价/暂估，毛利仅供参考","")))))</f>
        <v/>
      </c>
    </row>
    <row r="945">
      <c r="A945" s="24">
        <f>IF(物料档案!$A944="","",物料档案!$A944)</f>
        <v/>
      </c>
      <c r="B945" s="24">
        <f>IF($A945="","",IFERROR(VLOOKUP($A945,物料档案!$A$4:$P$1203,3,0),""))</f>
        <v/>
      </c>
      <c r="C945" s="24">
        <f>IF($A945="","",IFERROR(VLOOKUP($A945,物料档案!$A$4:$P$1203,4,0),""))</f>
        <v/>
      </c>
      <c r="D945" s="24">
        <f>IF($A945="","",IFERROR(VLOOKUP($A945,物料档案!$A$4:$P$1203,5,0),""))</f>
        <v/>
      </c>
      <c r="E945" s="24">
        <f>IF($A945="","",IFERROR(VLOOKUP($A945,物料档案!$A$4:$P$1203,2,0),""))</f>
        <v/>
      </c>
      <c r="F945" s="24">
        <f>IF($A945="","",IFERROR(VLOOKUP($A945,物料档案!$A$4:$P$1203,6,0),""))</f>
        <v/>
      </c>
      <c r="G945" s="23" t="n"/>
      <c r="H945" s="32" t="n"/>
      <c r="I945" s="27">
        <f>IF($A945="","",SUMIFS(入库单!$K$4:$K$2503,入库单!$G$4:$G$2503,$A945,入库单!$X$4:$X$2503,"采购入库",入库单!$Z$4:$Z$2503,"正常",入库单!$C$4:$C$2503,"&gt;="&amp;账期起,入库单!$C$4:$C$2503,"&lt;="&amp;账期止))</f>
        <v/>
      </c>
      <c r="J945" s="26">
        <f>IF($A945="","",SUMIFS(入库单!$V$4:$V$2503,入库单!$G$4:$G$2503,$A945,入库单!$X$4:$X$2503,"采购入库",入库单!$Z$4:$Z$2503,"正常",入库单!$C$4:$C$2503,"&gt;="&amp;账期起,入库单!$C$4:$C$2503,"&lt;="&amp;账期止))</f>
        <v/>
      </c>
      <c r="K945" s="26">
        <f>IF($A945="","",IFERROR(ROUND((N($H945)+N($J945))/(N($G945)+N($I945)),2),0))</f>
        <v/>
      </c>
      <c r="L945" s="27">
        <f>IF($A945="","",SUMIFS(入库单!$K$4:$K$2503,入库单!$G$4:$G$2503,$A945,入库单!$X$4:$X$2503,"盘盈",入库单!$Z$4:$Z$2503,"正常",入库单!$C$4:$C$2503,"&gt;="&amp;账期起,入库单!$C$4:$C$2503,"&lt;="&amp;账期止))</f>
        <v/>
      </c>
      <c r="M945" s="26">
        <f>IF($A945="","",ROUND($L945*$K945,0))</f>
        <v/>
      </c>
      <c r="N945" s="27">
        <f>IF($A945="","",SUMIFS(入库单!$K$4:$K$2503,入库单!$G$4:$G$2503,$A945,入库单!$X$4:$X$2503,"矿区退库",入库单!$Z$4:$Z$2503,"正常",入库单!$C$4:$C$2503,"&gt;="&amp;账期起,入库单!$C$4:$C$2503,"&lt;="&amp;账期止))</f>
        <v/>
      </c>
      <c r="O945" s="26">
        <f>IF($A945="","",ROUND($N945*$K945,0))</f>
        <v/>
      </c>
      <c r="P945" s="27">
        <f>IF($A945="","",SUMIFS(出库单!$J$4:$J$4003,出库单!$D$4:$D$4003,$A945,出库单!$K$4:$K$4003,"自用消耗",出库单!$U$4:$U$4003,"正常",出库单!$C$4:$C$4003,"&gt;="&amp;账期起,出库单!$C$4:$C$4003,"&lt;="&amp;账期止))</f>
        <v/>
      </c>
      <c r="Q945" s="26">
        <f>IF($A945="","",ROUND(SUMIFS(出库单!$S$4:$S$4003,出库单!$D$4:$D$4003,$A945,出库单!$K$4:$K$4003,"自用消耗",出库单!$U$4:$U$4003,"正常",出库单!$C$4:$C$4003,"&gt;="&amp;账期起,出库单!$C$4:$C$4003,"&lt;="&amp;账期止),0))</f>
        <v/>
      </c>
      <c r="R945" s="27">
        <f>IF($A945="","",SUMIFS(出库单!$J$4:$J$4003,出库单!$D$4:$D$4003,$A945,出库单!$K$4:$K$4003,"对外销售",出库单!$U$4:$U$4003,"正常",出库单!$C$4:$C$4003,"&gt;="&amp;账期起,出库单!$C$4:$C$4003,"&lt;="&amp;账期止))</f>
        <v/>
      </c>
      <c r="S945" s="26">
        <f>IF($A945="","",ROUND(SUMIFS(出库单!$S$4:$S$4003,出库单!$D$4:$D$4003,$A945,出库单!$K$4:$K$4003,"对外销售",出库单!$U$4:$U$4003,"正常",出库单!$C$4:$C$4003,"&gt;="&amp;账期起,出库单!$C$4:$C$4003,"&lt;="&amp;账期止),0))</f>
        <v/>
      </c>
      <c r="T945" s="27">
        <f>IF($A945="","",SUMIFS(出库单!$J$4:$J$4003,出库单!$D$4:$D$4003,$A945,出库单!$K$4:$K$4003,"盘亏",出库单!$U$4:$U$4003,"正常",出库单!$C$4:$C$4003,"&gt;="&amp;账期起,出库单!$C$4:$C$4003,"&lt;="&amp;账期止))</f>
        <v/>
      </c>
      <c r="U945" s="26">
        <f>IF($A945="","",ROUND(SUMIFS(出库单!$S$4:$S$4003,出库单!$D$4:$D$4003,$A945,出库单!$K$4:$K$4003,"盘亏",出库单!$U$4:$U$4003,"正常",出库单!$C$4:$C$4003,"&gt;="&amp;账期起,出库单!$C$4:$C$4003,"&lt;="&amp;账期止),0))</f>
        <v/>
      </c>
      <c r="V945" s="27">
        <f>IF($A945="","",SUMIFS(出库单!$J$4:$J$4003,出库单!$D$4:$D$4003,$A945,出库单!$K$4:$K$4003,"退货给供应商",出库单!$U$4:$U$4003,"正常",出库单!$C$4:$C$4003,"&gt;="&amp;账期起,出库单!$C$4:$C$4003,"&lt;="&amp;账期止))</f>
        <v/>
      </c>
      <c r="W945" s="26">
        <f>IF($A945="","",ROUND(SUMIFS(出库单!$S$4:$S$4003,出库单!$D$4:$D$4003,$A945,出库单!$K$4:$K$4003,"退货给供应商",出库单!$U$4:$U$4003,"正常",出库单!$C$4:$C$4003,"&gt;="&amp;账期起,出库单!$C$4:$C$4003,"&lt;="&amp;账期止),0))</f>
        <v/>
      </c>
      <c r="X945" s="27">
        <f>IF($A945="","",ROUND(N($G945)+$I945+$L945+$N945-$P945-$R945-$T945-$V945,3))</f>
        <v/>
      </c>
      <c r="Y945" s="26">
        <f>IF($A945="","",ROUND(N($H945)+$J945+$M945+$O945-$Q945-$S945-$U945-$W945,0))</f>
        <v/>
      </c>
      <c r="Z945" s="24">
        <f>IF($A945="","",IF(COUNTIFS(入库单!$G$4:$G$2503,$A945,入库单!$Y$4:$Y$2503,"待补价")+COUNTIFS(入库单!$G$4:$G$2503,$A945,入库单!$Y$4:$Y$2503,"暂估")&gt;0,"不可信","可信"))</f>
        <v/>
      </c>
      <c r="AA945" s="24">
        <f>IF($A945="","",IF($X945&lt;-0.001,"※账面负库存，查一下是不是漏记入库",IF(AND(ROUND($X945,3)=0,ABS($Y945)&gt;1),"※数量已经是 0，金额还挂着 "&amp;TEXT($Y945,"#,##0")&amp;" 先令",IF(AND($X945&gt;0,$Y945&lt;=0,$K945=0),"※有数量没金额（这个物料一直没填过进价）",IF($Z945="不可信","△成本含待补价/暂估，毛利仅供参考","")))))</f>
        <v/>
      </c>
    </row>
    <row r="946">
      <c r="A946" s="24">
        <f>IF(物料档案!$A945="","",物料档案!$A945)</f>
        <v/>
      </c>
      <c r="B946" s="24">
        <f>IF($A946="","",IFERROR(VLOOKUP($A946,物料档案!$A$4:$P$1203,3,0),""))</f>
        <v/>
      </c>
      <c r="C946" s="24">
        <f>IF($A946="","",IFERROR(VLOOKUP($A946,物料档案!$A$4:$P$1203,4,0),""))</f>
        <v/>
      </c>
      <c r="D946" s="24">
        <f>IF($A946="","",IFERROR(VLOOKUP($A946,物料档案!$A$4:$P$1203,5,0),""))</f>
        <v/>
      </c>
      <c r="E946" s="24">
        <f>IF($A946="","",IFERROR(VLOOKUP($A946,物料档案!$A$4:$P$1203,2,0),""))</f>
        <v/>
      </c>
      <c r="F946" s="24">
        <f>IF($A946="","",IFERROR(VLOOKUP($A946,物料档案!$A$4:$P$1203,6,0),""))</f>
        <v/>
      </c>
      <c r="G946" s="23" t="n"/>
      <c r="H946" s="32" t="n"/>
      <c r="I946" s="27">
        <f>IF($A946="","",SUMIFS(入库单!$K$4:$K$2503,入库单!$G$4:$G$2503,$A946,入库单!$X$4:$X$2503,"采购入库",入库单!$Z$4:$Z$2503,"正常",入库单!$C$4:$C$2503,"&gt;="&amp;账期起,入库单!$C$4:$C$2503,"&lt;="&amp;账期止))</f>
        <v/>
      </c>
      <c r="J946" s="26">
        <f>IF($A946="","",SUMIFS(入库单!$V$4:$V$2503,入库单!$G$4:$G$2503,$A946,入库单!$X$4:$X$2503,"采购入库",入库单!$Z$4:$Z$2503,"正常",入库单!$C$4:$C$2503,"&gt;="&amp;账期起,入库单!$C$4:$C$2503,"&lt;="&amp;账期止))</f>
        <v/>
      </c>
      <c r="K946" s="26">
        <f>IF($A946="","",IFERROR(ROUND((N($H946)+N($J946))/(N($G946)+N($I946)),2),0))</f>
        <v/>
      </c>
      <c r="L946" s="27">
        <f>IF($A946="","",SUMIFS(入库单!$K$4:$K$2503,入库单!$G$4:$G$2503,$A946,入库单!$X$4:$X$2503,"盘盈",入库单!$Z$4:$Z$2503,"正常",入库单!$C$4:$C$2503,"&gt;="&amp;账期起,入库单!$C$4:$C$2503,"&lt;="&amp;账期止))</f>
        <v/>
      </c>
      <c r="M946" s="26">
        <f>IF($A946="","",ROUND($L946*$K946,0))</f>
        <v/>
      </c>
      <c r="N946" s="27">
        <f>IF($A946="","",SUMIFS(入库单!$K$4:$K$2503,入库单!$G$4:$G$2503,$A946,入库单!$X$4:$X$2503,"矿区退库",入库单!$Z$4:$Z$2503,"正常",入库单!$C$4:$C$2503,"&gt;="&amp;账期起,入库单!$C$4:$C$2503,"&lt;="&amp;账期止))</f>
        <v/>
      </c>
      <c r="O946" s="26">
        <f>IF($A946="","",ROUND($N946*$K946,0))</f>
        <v/>
      </c>
      <c r="P946" s="27">
        <f>IF($A946="","",SUMIFS(出库单!$J$4:$J$4003,出库单!$D$4:$D$4003,$A946,出库单!$K$4:$K$4003,"自用消耗",出库单!$U$4:$U$4003,"正常",出库单!$C$4:$C$4003,"&gt;="&amp;账期起,出库单!$C$4:$C$4003,"&lt;="&amp;账期止))</f>
        <v/>
      </c>
      <c r="Q946" s="26">
        <f>IF($A946="","",ROUND(SUMIFS(出库单!$S$4:$S$4003,出库单!$D$4:$D$4003,$A946,出库单!$K$4:$K$4003,"自用消耗",出库单!$U$4:$U$4003,"正常",出库单!$C$4:$C$4003,"&gt;="&amp;账期起,出库单!$C$4:$C$4003,"&lt;="&amp;账期止),0))</f>
        <v/>
      </c>
      <c r="R946" s="27">
        <f>IF($A946="","",SUMIFS(出库单!$J$4:$J$4003,出库单!$D$4:$D$4003,$A946,出库单!$K$4:$K$4003,"对外销售",出库单!$U$4:$U$4003,"正常",出库单!$C$4:$C$4003,"&gt;="&amp;账期起,出库单!$C$4:$C$4003,"&lt;="&amp;账期止))</f>
        <v/>
      </c>
      <c r="S946" s="26">
        <f>IF($A946="","",ROUND(SUMIFS(出库单!$S$4:$S$4003,出库单!$D$4:$D$4003,$A946,出库单!$K$4:$K$4003,"对外销售",出库单!$U$4:$U$4003,"正常",出库单!$C$4:$C$4003,"&gt;="&amp;账期起,出库单!$C$4:$C$4003,"&lt;="&amp;账期止),0))</f>
        <v/>
      </c>
      <c r="T946" s="27">
        <f>IF($A946="","",SUMIFS(出库单!$J$4:$J$4003,出库单!$D$4:$D$4003,$A946,出库单!$K$4:$K$4003,"盘亏",出库单!$U$4:$U$4003,"正常",出库单!$C$4:$C$4003,"&gt;="&amp;账期起,出库单!$C$4:$C$4003,"&lt;="&amp;账期止))</f>
        <v/>
      </c>
      <c r="U946" s="26">
        <f>IF($A946="","",ROUND(SUMIFS(出库单!$S$4:$S$4003,出库单!$D$4:$D$4003,$A946,出库单!$K$4:$K$4003,"盘亏",出库单!$U$4:$U$4003,"正常",出库单!$C$4:$C$4003,"&gt;="&amp;账期起,出库单!$C$4:$C$4003,"&lt;="&amp;账期止),0))</f>
        <v/>
      </c>
      <c r="V946" s="27">
        <f>IF($A946="","",SUMIFS(出库单!$J$4:$J$4003,出库单!$D$4:$D$4003,$A946,出库单!$K$4:$K$4003,"退货给供应商",出库单!$U$4:$U$4003,"正常",出库单!$C$4:$C$4003,"&gt;="&amp;账期起,出库单!$C$4:$C$4003,"&lt;="&amp;账期止))</f>
        <v/>
      </c>
      <c r="W946" s="26">
        <f>IF($A946="","",ROUND(SUMIFS(出库单!$S$4:$S$4003,出库单!$D$4:$D$4003,$A946,出库单!$K$4:$K$4003,"退货给供应商",出库单!$U$4:$U$4003,"正常",出库单!$C$4:$C$4003,"&gt;="&amp;账期起,出库单!$C$4:$C$4003,"&lt;="&amp;账期止),0))</f>
        <v/>
      </c>
      <c r="X946" s="27">
        <f>IF($A946="","",ROUND(N($G946)+$I946+$L946+$N946-$P946-$R946-$T946-$V946,3))</f>
        <v/>
      </c>
      <c r="Y946" s="26">
        <f>IF($A946="","",ROUND(N($H946)+$J946+$M946+$O946-$Q946-$S946-$U946-$W946,0))</f>
        <v/>
      </c>
      <c r="Z946" s="24">
        <f>IF($A946="","",IF(COUNTIFS(入库单!$G$4:$G$2503,$A946,入库单!$Y$4:$Y$2503,"待补价")+COUNTIFS(入库单!$G$4:$G$2503,$A946,入库单!$Y$4:$Y$2503,"暂估")&gt;0,"不可信","可信"))</f>
        <v/>
      </c>
      <c r="AA946" s="24">
        <f>IF($A946="","",IF($X946&lt;-0.001,"※账面负库存，查一下是不是漏记入库",IF(AND(ROUND($X946,3)=0,ABS($Y946)&gt;1),"※数量已经是 0，金额还挂着 "&amp;TEXT($Y946,"#,##0")&amp;" 先令",IF(AND($X946&gt;0,$Y946&lt;=0,$K946=0),"※有数量没金额（这个物料一直没填过进价）",IF($Z946="不可信","△成本含待补价/暂估，毛利仅供参考","")))))</f>
        <v/>
      </c>
    </row>
    <row r="947">
      <c r="A947" s="24">
        <f>IF(物料档案!$A946="","",物料档案!$A946)</f>
        <v/>
      </c>
      <c r="B947" s="24">
        <f>IF($A947="","",IFERROR(VLOOKUP($A947,物料档案!$A$4:$P$1203,3,0),""))</f>
        <v/>
      </c>
      <c r="C947" s="24">
        <f>IF($A947="","",IFERROR(VLOOKUP($A947,物料档案!$A$4:$P$1203,4,0),""))</f>
        <v/>
      </c>
      <c r="D947" s="24">
        <f>IF($A947="","",IFERROR(VLOOKUP($A947,物料档案!$A$4:$P$1203,5,0),""))</f>
        <v/>
      </c>
      <c r="E947" s="24">
        <f>IF($A947="","",IFERROR(VLOOKUP($A947,物料档案!$A$4:$P$1203,2,0),""))</f>
        <v/>
      </c>
      <c r="F947" s="24">
        <f>IF($A947="","",IFERROR(VLOOKUP($A947,物料档案!$A$4:$P$1203,6,0),""))</f>
        <v/>
      </c>
      <c r="G947" s="23" t="n"/>
      <c r="H947" s="32" t="n"/>
      <c r="I947" s="27">
        <f>IF($A947="","",SUMIFS(入库单!$K$4:$K$2503,入库单!$G$4:$G$2503,$A947,入库单!$X$4:$X$2503,"采购入库",入库单!$Z$4:$Z$2503,"正常",入库单!$C$4:$C$2503,"&gt;="&amp;账期起,入库单!$C$4:$C$2503,"&lt;="&amp;账期止))</f>
        <v/>
      </c>
      <c r="J947" s="26">
        <f>IF($A947="","",SUMIFS(入库单!$V$4:$V$2503,入库单!$G$4:$G$2503,$A947,入库单!$X$4:$X$2503,"采购入库",入库单!$Z$4:$Z$2503,"正常",入库单!$C$4:$C$2503,"&gt;="&amp;账期起,入库单!$C$4:$C$2503,"&lt;="&amp;账期止))</f>
        <v/>
      </c>
      <c r="K947" s="26">
        <f>IF($A947="","",IFERROR(ROUND((N($H947)+N($J947))/(N($G947)+N($I947)),2),0))</f>
        <v/>
      </c>
      <c r="L947" s="27">
        <f>IF($A947="","",SUMIFS(入库单!$K$4:$K$2503,入库单!$G$4:$G$2503,$A947,入库单!$X$4:$X$2503,"盘盈",入库单!$Z$4:$Z$2503,"正常",入库单!$C$4:$C$2503,"&gt;="&amp;账期起,入库单!$C$4:$C$2503,"&lt;="&amp;账期止))</f>
        <v/>
      </c>
      <c r="M947" s="26">
        <f>IF($A947="","",ROUND($L947*$K947,0))</f>
        <v/>
      </c>
      <c r="N947" s="27">
        <f>IF($A947="","",SUMIFS(入库单!$K$4:$K$2503,入库单!$G$4:$G$2503,$A947,入库单!$X$4:$X$2503,"矿区退库",入库单!$Z$4:$Z$2503,"正常",入库单!$C$4:$C$2503,"&gt;="&amp;账期起,入库单!$C$4:$C$2503,"&lt;="&amp;账期止))</f>
        <v/>
      </c>
      <c r="O947" s="26">
        <f>IF($A947="","",ROUND($N947*$K947,0))</f>
        <v/>
      </c>
      <c r="P947" s="27">
        <f>IF($A947="","",SUMIFS(出库单!$J$4:$J$4003,出库单!$D$4:$D$4003,$A947,出库单!$K$4:$K$4003,"自用消耗",出库单!$U$4:$U$4003,"正常",出库单!$C$4:$C$4003,"&gt;="&amp;账期起,出库单!$C$4:$C$4003,"&lt;="&amp;账期止))</f>
        <v/>
      </c>
      <c r="Q947" s="26">
        <f>IF($A947="","",ROUND(SUMIFS(出库单!$S$4:$S$4003,出库单!$D$4:$D$4003,$A947,出库单!$K$4:$K$4003,"自用消耗",出库单!$U$4:$U$4003,"正常",出库单!$C$4:$C$4003,"&gt;="&amp;账期起,出库单!$C$4:$C$4003,"&lt;="&amp;账期止),0))</f>
        <v/>
      </c>
      <c r="R947" s="27">
        <f>IF($A947="","",SUMIFS(出库单!$J$4:$J$4003,出库单!$D$4:$D$4003,$A947,出库单!$K$4:$K$4003,"对外销售",出库单!$U$4:$U$4003,"正常",出库单!$C$4:$C$4003,"&gt;="&amp;账期起,出库单!$C$4:$C$4003,"&lt;="&amp;账期止))</f>
        <v/>
      </c>
      <c r="S947" s="26">
        <f>IF($A947="","",ROUND(SUMIFS(出库单!$S$4:$S$4003,出库单!$D$4:$D$4003,$A947,出库单!$K$4:$K$4003,"对外销售",出库单!$U$4:$U$4003,"正常",出库单!$C$4:$C$4003,"&gt;="&amp;账期起,出库单!$C$4:$C$4003,"&lt;="&amp;账期止),0))</f>
        <v/>
      </c>
      <c r="T947" s="27">
        <f>IF($A947="","",SUMIFS(出库单!$J$4:$J$4003,出库单!$D$4:$D$4003,$A947,出库单!$K$4:$K$4003,"盘亏",出库单!$U$4:$U$4003,"正常",出库单!$C$4:$C$4003,"&gt;="&amp;账期起,出库单!$C$4:$C$4003,"&lt;="&amp;账期止))</f>
        <v/>
      </c>
      <c r="U947" s="26">
        <f>IF($A947="","",ROUND(SUMIFS(出库单!$S$4:$S$4003,出库单!$D$4:$D$4003,$A947,出库单!$K$4:$K$4003,"盘亏",出库单!$U$4:$U$4003,"正常",出库单!$C$4:$C$4003,"&gt;="&amp;账期起,出库单!$C$4:$C$4003,"&lt;="&amp;账期止),0))</f>
        <v/>
      </c>
      <c r="V947" s="27">
        <f>IF($A947="","",SUMIFS(出库单!$J$4:$J$4003,出库单!$D$4:$D$4003,$A947,出库单!$K$4:$K$4003,"退货给供应商",出库单!$U$4:$U$4003,"正常",出库单!$C$4:$C$4003,"&gt;="&amp;账期起,出库单!$C$4:$C$4003,"&lt;="&amp;账期止))</f>
        <v/>
      </c>
      <c r="W947" s="26">
        <f>IF($A947="","",ROUND(SUMIFS(出库单!$S$4:$S$4003,出库单!$D$4:$D$4003,$A947,出库单!$K$4:$K$4003,"退货给供应商",出库单!$U$4:$U$4003,"正常",出库单!$C$4:$C$4003,"&gt;="&amp;账期起,出库单!$C$4:$C$4003,"&lt;="&amp;账期止),0))</f>
        <v/>
      </c>
      <c r="X947" s="27">
        <f>IF($A947="","",ROUND(N($G947)+$I947+$L947+$N947-$P947-$R947-$T947-$V947,3))</f>
        <v/>
      </c>
      <c r="Y947" s="26">
        <f>IF($A947="","",ROUND(N($H947)+$J947+$M947+$O947-$Q947-$S947-$U947-$W947,0))</f>
        <v/>
      </c>
      <c r="Z947" s="24">
        <f>IF($A947="","",IF(COUNTIFS(入库单!$G$4:$G$2503,$A947,入库单!$Y$4:$Y$2503,"待补价")+COUNTIFS(入库单!$G$4:$G$2503,$A947,入库单!$Y$4:$Y$2503,"暂估")&gt;0,"不可信","可信"))</f>
        <v/>
      </c>
      <c r="AA947" s="24">
        <f>IF($A947="","",IF($X947&lt;-0.001,"※账面负库存，查一下是不是漏记入库",IF(AND(ROUND($X947,3)=0,ABS($Y947)&gt;1),"※数量已经是 0，金额还挂着 "&amp;TEXT($Y947,"#,##0")&amp;" 先令",IF(AND($X947&gt;0,$Y947&lt;=0,$K947=0),"※有数量没金额（这个物料一直没填过进价）",IF($Z947="不可信","△成本含待补价/暂估，毛利仅供参考","")))))</f>
        <v/>
      </c>
    </row>
    <row r="948">
      <c r="A948" s="24">
        <f>IF(物料档案!$A947="","",物料档案!$A947)</f>
        <v/>
      </c>
      <c r="B948" s="24">
        <f>IF($A948="","",IFERROR(VLOOKUP($A948,物料档案!$A$4:$P$1203,3,0),""))</f>
        <v/>
      </c>
      <c r="C948" s="24">
        <f>IF($A948="","",IFERROR(VLOOKUP($A948,物料档案!$A$4:$P$1203,4,0),""))</f>
        <v/>
      </c>
      <c r="D948" s="24">
        <f>IF($A948="","",IFERROR(VLOOKUP($A948,物料档案!$A$4:$P$1203,5,0),""))</f>
        <v/>
      </c>
      <c r="E948" s="24">
        <f>IF($A948="","",IFERROR(VLOOKUP($A948,物料档案!$A$4:$P$1203,2,0),""))</f>
        <v/>
      </c>
      <c r="F948" s="24">
        <f>IF($A948="","",IFERROR(VLOOKUP($A948,物料档案!$A$4:$P$1203,6,0),""))</f>
        <v/>
      </c>
      <c r="G948" s="23" t="n"/>
      <c r="H948" s="32" t="n"/>
      <c r="I948" s="27">
        <f>IF($A948="","",SUMIFS(入库单!$K$4:$K$2503,入库单!$G$4:$G$2503,$A948,入库单!$X$4:$X$2503,"采购入库",入库单!$Z$4:$Z$2503,"正常",入库单!$C$4:$C$2503,"&gt;="&amp;账期起,入库单!$C$4:$C$2503,"&lt;="&amp;账期止))</f>
        <v/>
      </c>
      <c r="J948" s="26">
        <f>IF($A948="","",SUMIFS(入库单!$V$4:$V$2503,入库单!$G$4:$G$2503,$A948,入库单!$X$4:$X$2503,"采购入库",入库单!$Z$4:$Z$2503,"正常",入库单!$C$4:$C$2503,"&gt;="&amp;账期起,入库单!$C$4:$C$2503,"&lt;="&amp;账期止))</f>
        <v/>
      </c>
      <c r="K948" s="26">
        <f>IF($A948="","",IFERROR(ROUND((N($H948)+N($J948))/(N($G948)+N($I948)),2),0))</f>
        <v/>
      </c>
      <c r="L948" s="27">
        <f>IF($A948="","",SUMIFS(入库单!$K$4:$K$2503,入库单!$G$4:$G$2503,$A948,入库单!$X$4:$X$2503,"盘盈",入库单!$Z$4:$Z$2503,"正常",入库单!$C$4:$C$2503,"&gt;="&amp;账期起,入库单!$C$4:$C$2503,"&lt;="&amp;账期止))</f>
        <v/>
      </c>
      <c r="M948" s="26">
        <f>IF($A948="","",ROUND($L948*$K948,0))</f>
        <v/>
      </c>
      <c r="N948" s="27">
        <f>IF($A948="","",SUMIFS(入库单!$K$4:$K$2503,入库单!$G$4:$G$2503,$A948,入库单!$X$4:$X$2503,"矿区退库",入库单!$Z$4:$Z$2503,"正常",入库单!$C$4:$C$2503,"&gt;="&amp;账期起,入库单!$C$4:$C$2503,"&lt;="&amp;账期止))</f>
        <v/>
      </c>
      <c r="O948" s="26">
        <f>IF($A948="","",ROUND($N948*$K948,0))</f>
        <v/>
      </c>
      <c r="P948" s="27">
        <f>IF($A948="","",SUMIFS(出库单!$J$4:$J$4003,出库单!$D$4:$D$4003,$A948,出库单!$K$4:$K$4003,"自用消耗",出库单!$U$4:$U$4003,"正常",出库单!$C$4:$C$4003,"&gt;="&amp;账期起,出库单!$C$4:$C$4003,"&lt;="&amp;账期止))</f>
        <v/>
      </c>
      <c r="Q948" s="26">
        <f>IF($A948="","",ROUND(SUMIFS(出库单!$S$4:$S$4003,出库单!$D$4:$D$4003,$A948,出库单!$K$4:$K$4003,"自用消耗",出库单!$U$4:$U$4003,"正常",出库单!$C$4:$C$4003,"&gt;="&amp;账期起,出库单!$C$4:$C$4003,"&lt;="&amp;账期止),0))</f>
        <v/>
      </c>
      <c r="R948" s="27">
        <f>IF($A948="","",SUMIFS(出库单!$J$4:$J$4003,出库单!$D$4:$D$4003,$A948,出库单!$K$4:$K$4003,"对外销售",出库单!$U$4:$U$4003,"正常",出库单!$C$4:$C$4003,"&gt;="&amp;账期起,出库单!$C$4:$C$4003,"&lt;="&amp;账期止))</f>
        <v/>
      </c>
      <c r="S948" s="26">
        <f>IF($A948="","",ROUND(SUMIFS(出库单!$S$4:$S$4003,出库单!$D$4:$D$4003,$A948,出库单!$K$4:$K$4003,"对外销售",出库单!$U$4:$U$4003,"正常",出库单!$C$4:$C$4003,"&gt;="&amp;账期起,出库单!$C$4:$C$4003,"&lt;="&amp;账期止),0))</f>
        <v/>
      </c>
      <c r="T948" s="27">
        <f>IF($A948="","",SUMIFS(出库单!$J$4:$J$4003,出库单!$D$4:$D$4003,$A948,出库单!$K$4:$K$4003,"盘亏",出库单!$U$4:$U$4003,"正常",出库单!$C$4:$C$4003,"&gt;="&amp;账期起,出库单!$C$4:$C$4003,"&lt;="&amp;账期止))</f>
        <v/>
      </c>
      <c r="U948" s="26">
        <f>IF($A948="","",ROUND(SUMIFS(出库单!$S$4:$S$4003,出库单!$D$4:$D$4003,$A948,出库单!$K$4:$K$4003,"盘亏",出库单!$U$4:$U$4003,"正常",出库单!$C$4:$C$4003,"&gt;="&amp;账期起,出库单!$C$4:$C$4003,"&lt;="&amp;账期止),0))</f>
        <v/>
      </c>
      <c r="V948" s="27">
        <f>IF($A948="","",SUMIFS(出库单!$J$4:$J$4003,出库单!$D$4:$D$4003,$A948,出库单!$K$4:$K$4003,"退货给供应商",出库单!$U$4:$U$4003,"正常",出库单!$C$4:$C$4003,"&gt;="&amp;账期起,出库单!$C$4:$C$4003,"&lt;="&amp;账期止))</f>
        <v/>
      </c>
      <c r="W948" s="26">
        <f>IF($A948="","",ROUND(SUMIFS(出库单!$S$4:$S$4003,出库单!$D$4:$D$4003,$A948,出库单!$K$4:$K$4003,"退货给供应商",出库单!$U$4:$U$4003,"正常",出库单!$C$4:$C$4003,"&gt;="&amp;账期起,出库单!$C$4:$C$4003,"&lt;="&amp;账期止),0))</f>
        <v/>
      </c>
      <c r="X948" s="27">
        <f>IF($A948="","",ROUND(N($G948)+$I948+$L948+$N948-$P948-$R948-$T948-$V948,3))</f>
        <v/>
      </c>
      <c r="Y948" s="26">
        <f>IF($A948="","",ROUND(N($H948)+$J948+$M948+$O948-$Q948-$S948-$U948-$W948,0))</f>
        <v/>
      </c>
      <c r="Z948" s="24">
        <f>IF($A948="","",IF(COUNTIFS(入库单!$G$4:$G$2503,$A948,入库单!$Y$4:$Y$2503,"待补价")+COUNTIFS(入库单!$G$4:$G$2503,$A948,入库单!$Y$4:$Y$2503,"暂估")&gt;0,"不可信","可信"))</f>
        <v/>
      </c>
      <c r="AA948" s="24">
        <f>IF($A948="","",IF($X948&lt;-0.001,"※账面负库存，查一下是不是漏记入库",IF(AND(ROUND($X948,3)=0,ABS($Y948)&gt;1),"※数量已经是 0，金额还挂着 "&amp;TEXT($Y948,"#,##0")&amp;" 先令",IF(AND($X948&gt;0,$Y948&lt;=0,$K948=0),"※有数量没金额（这个物料一直没填过进价）",IF($Z948="不可信","△成本含待补价/暂估，毛利仅供参考","")))))</f>
        <v/>
      </c>
    </row>
    <row r="949">
      <c r="A949" s="24">
        <f>IF(物料档案!$A948="","",物料档案!$A948)</f>
        <v/>
      </c>
      <c r="B949" s="24">
        <f>IF($A949="","",IFERROR(VLOOKUP($A949,物料档案!$A$4:$P$1203,3,0),""))</f>
        <v/>
      </c>
      <c r="C949" s="24">
        <f>IF($A949="","",IFERROR(VLOOKUP($A949,物料档案!$A$4:$P$1203,4,0),""))</f>
        <v/>
      </c>
      <c r="D949" s="24">
        <f>IF($A949="","",IFERROR(VLOOKUP($A949,物料档案!$A$4:$P$1203,5,0),""))</f>
        <v/>
      </c>
      <c r="E949" s="24">
        <f>IF($A949="","",IFERROR(VLOOKUP($A949,物料档案!$A$4:$P$1203,2,0),""))</f>
        <v/>
      </c>
      <c r="F949" s="24">
        <f>IF($A949="","",IFERROR(VLOOKUP($A949,物料档案!$A$4:$P$1203,6,0),""))</f>
        <v/>
      </c>
      <c r="G949" s="23" t="n"/>
      <c r="H949" s="32" t="n"/>
      <c r="I949" s="27">
        <f>IF($A949="","",SUMIFS(入库单!$K$4:$K$2503,入库单!$G$4:$G$2503,$A949,入库单!$X$4:$X$2503,"采购入库",入库单!$Z$4:$Z$2503,"正常",入库单!$C$4:$C$2503,"&gt;="&amp;账期起,入库单!$C$4:$C$2503,"&lt;="&amp;账期止))</f>
        <v/>
      </c>
      <c r="J949" s="26">
        <f>IF($A949="","",SUMIFS(入库单!$V$4:$V$2503,入库单!$G$4:$G$2503,$A949,入库单!$X$4:$X$2503,"采购入库",入库单!$Z$4:$Z$2503,"正常",入库单!$C$4:$C$2503,"&gt;="&amp;账期起,入库单!$C$4:$C$2503,"&lt;="&amp;账期止))</f>
        <v/>
      </c>
      <c r="K949" s="26">
        <f>IF($A949="","",IFERROR(ROUND((N($H949)+N($J949))/(N($G949)+N($I949)),2),0))</f>
        <v/>
      </c>
      <c r="L949" s="27">
        <f>IF($A949="","",SUMIFS(入库单!$K$4:$K$2503,入库单!$G$4:$G$2503,$A949,入库单!$X$4:$X$2503,"盘盈",入库单!$Z$4:$Z$2503,"正常",入库单!$C$4:$C$2503,"&gt;="&amp;账期起,入库单!$C$4:$C$2503,"&lt;="&amp;账期止))</f>
        <v/>
      </c>
      <c r="M949" s="26">
        <f>IF($A949="","",ROUND($L949*$K949,0))</f>
        <v/>
      </c>
      <c r="N949" s="27">
        <f>IF($A949="","",SUMIFS(入库单!$K$4:$K$2503,入库单!$G$4:$G$2503,$A949,入库单!$X$4:$X$2503,"矿区退库",入库单!$Z$4:$Z$2503,"正常",入库单!$C$4:$C$2503,"&gt;="&amp;账期起,入库单!$C$4:$C$2503,"&lt;="&amp;账期止))</f>
        <v/>
      </c>
      <c r="O949" s="26">
        <f>IF($A949="","",ROUND($N949*$K949,0))</f>
        <v/>
      </c>
      <c r="P949" s="27">
        <f>IF($A949="","",SUMIFS(出库单!$J$4:$J$4003,出库单!$D$4:$D$4003,$A949,出库单!$K$4:$K$4003,"自用消耗",出库单!$U$4:$U$4003,"正常",出库单!$C$4:$C$4003,"&gt;="&amp;账期起,出库单!$C$4:$C$4003,"&lt;="&amp;账期止))</f>
        <v/>
      </c>
      <c r="Q949" s="26">
        <f>IF($A949="","",ROUND(SUMIFS(出库单!$S$4:$S$4003,出库单!$D$4:$D$4003,$A949,出库单!$K$4:$K$4003,"自用消耗",出库单!$U$4:$U$4003,"正常",出库单!$C$4:$C$4003,"&gt;="&amp;账期起,出库单!$C$4:$C$4003,"&lt;="&amp;账期止),0))</f>
        <v/>
      </c>
      <c r="R949" s="27">
        <f>IF($A949="","",SUMIFS(出库单!$J$4:$J$4003,出库单!$D$4:$D$4003,$A949,出库单!$K$4:$K$4003,"对外销售",出库单!$U$4:$U$4003,"正常",出库单!$C$4:$C$4003,"&gt;="&amp;账期起,出库单!$C$4:$C$4003,"&lt;="&amp;账期止))</f>
        <v/>
      </c>
      <c r="S949" s="26">
        <f>IF($A949="","",ROUND(SUMIFS(出库单!$S$4:$S$4003,出库单!$D$4:$D$4003,$A949,出库单!$K$4:$K$4003,"对外销售",出库单!$U$4:$U$4003,"正常",出库单!$C$4:$C$4003,"&gt;="&amp;账期起,出库单!$C$4:$C$4003,"&lt;="&amp;账期止),0))</f>
        <v/>
      </c>
      <c r="T949" s="27">
        <f>IF($A949="","",SUMIFS(出库单!$J$4:$J$4003,出库单!$D$4:$D$4003,$A949,出库单!$K$4:$K$4003,"盘亏",出库单!$U$4:$U$4003,"正常",出库单!$C$4:$C$4003,"&gt;="&amp;账期起,出库单!$C$4:$C$4003,"&lt;="&amp;账期止))</f>
        <v/>
      </c>
      <c r="U949" s="26">
        <f>IF($A949="","",ROUND(SUMIFS(出库单!$S$4:$S$4003,出库单!$D$4:$D$4003,$A949,出库单!$K$4:$K$4003,"盘亏",出库单!$U$4:$U$4003,"正常",出库单!$C$4:$C$4003,"&gt;="&amp;账期起,出库单!$C$4:$C$4003,"&lt;="&amp;账期止),0))</f>
        <v/>
      </c>
      <c r="V949" s="27">
        <f>IF($A949="","",SUMIFS(出库单!$J$4:$J$4003,出库单!$D$4:$D$4003,$A949,出库单!$K$4:$K$4003,"退货给供应商",出库单!$U$4:$U$4003,"正常",出库单!$C$4:$C$4003,"&gt;="&amp;账期起,出库单!$C$4:$C$4003,"&lt;="&amp;账期止))</f>
        <v/>
      </c>
      <c r="W949" s="26">
        <f>IF($A949="","",ROUND(SUMIFS(出库单!$S$4:$S$4003,出库单!$D$4:$D$4003,$A949,出库单!$K$4:$K$4003,"退货给供应商",出库单!$U$4:$U$4003,"正常",出库单!$C$4:$C$4003,"&gt;="&amp;账期起,出库单!$C$4:$C$4003,"&lt;="&amp;账期止),0))</f>
        <v/>
      </c>
      <c r="X949" s="27">
        <f>IF($A949="","",ROUND(N($G949)+$I949+$L949+$N949-$P949-$R949-$T949-$V949,3))</f>
        <v/>
      </c>
      <c r="Y949" s="26">
        <f>IF($A949="","",ROUND(N($H949)+$J949+$M949+$O949-$Q949-$S949-$U949-$W949,0))</f>
        <v/>
      </c>
      <c r="Z949" s="24">
        <f>IF($A949="","",IF(COUNTIFS(入库单!$G$4:$G$2503,$A949,入库单!$Y$4:$Y$2503,"待补价")+COUNTIFS(入库单!$G$4:$G$2503,$A949,入库单!$Y$4:$Y$2503,"暂估")&gt;0,"不可信","可信"))</f>
        <v/>
      </c>
      <c r="AA949" s="24">
        <f>IF($A949="","",IF($X949&lt;-0.001,"※账面负库存，查一下是不是漏记入库",IF(AND(ROUND($X949,3)=0,ABS($Y949)&gt;1),"※数量已经是 0，金额还挂着 "&amp;TEXT($Y949,"#,##0")&amp;" 先令",IF(AND($X949&gt;0,$Y949&lt;=0,$K949=0),"※有数量没金额（这个物料一直没填过进价）",IF($Z949="不可信","△成本含待补价/暂估，毛利仅供参考","")))))</f>
        <v/>
      </c>
    </row>
    <row r="950">
      <c r="A950" s="24">
        <f>IF(物料档案!$A949="","",物料档案!$A949)</f>
        <v/>
      </c>
      <c r="B950" s="24">
        <f>IF($A950="","",IFERROR(VLOOKUP($A950,物料档案!$A$4:$P$1203,3,0),""))</f>
        <v/>
      </c>
      <c r="C950" s="24">
        <f>IF($A950="","",IFERROR(VLOOKUP($A950,物料档案!$A$4:$P$1203,4,0),""))</f>
        <v/>
      </c>
      <c r="D950" s="24">
        <f>IF($A950="","",IFERROR(VLOOKUP($A950,物料档案!$A$4:$P$1203,5,0),""))</f>
        <v/>
      </c>
      <c r="E950" s="24">
        <f>IF($A950="","",IFERROR(VLOOKUP($A950,物料档案!$A$4:$P$1203,2,0),""))</f>
        <v/>
      </c>
      <c r="F950" s="24">
        <f>IF($A950="","",IFERROR(VLOOKUP($A950,物料档案!$A$4:$P$1203,6,0),""))</f>
        <v/>
      </c>
      <c r="G950" s="23" t="n"/>
      <c r="H950" s="32" t="n"/>
      <c r="I950" s="27">
        <f>IF($A950="","",SUMIFS(入库单!$K$4:$K$2503,入库单!$G$4:$G$2503,$A950,入库单!$X$4:$X$2503,"采购入库",入库单!$Z$4:$Z$2503,"正常",入库单!$C$4:$C$2503,"&gt;="&amp;账期起,入库单!$C$4:$C$2503,"&lt;="&amp;账期止))</f>
        <v/>
      </c>
      <c r="J950" s="26">
        <f>IF($A950="","",SUMIFS(入库单!$V$4:$V$2503,入库单!$G$4:$G$2503,$A950,入库单!$X$4:$X$2503,"采购入库",入库单!$Z$4:$Z$2503,"正常",入库单!$C$4:$C$2503,"&gt;="&amp;账期起,入库单!$C$4:$C$2503,"&lt;="&amp;账期止))</f>
        <v/>
      </c>
      <c r="K950" s="26">
        <f>IF($A950="","",IFERROR(ROUND((N($H950)+N($J950))/(N($G950)+N($I950)),2),0))</f>
        <v/>
      </c>
      <c r="L950" s="27">
        <f>IF($A950="","",SUMIFS(入库单!$K$4:$K$2503,入库单!$G$4:$G$2503,$A950,入库单!$X$4:$X$2503,"盘盈",入库单!$Z$4:$Z$2503,"正常",入库单!$C$4:$C$2503,"&gt;="&amp;账期起,入库单!$C$4:$C$2503,"&lt;="&amp;账期止))</f>
        <v/>
      </c>
      <c r="M950" s="26">
        <f>IF($A950="","",ROUND($L950*$K950,0))</f>
        <v/>
      </c>
      <c r="N950" s="27">
        <f>IF($A950="","",SUMIFS(入库单!$K$4:$K$2503,入库单!$G$4:$G$2503,$A950,入库单!$X$4:$X$2503,"矿区退库",入库单!$Z$4:$Z$2503,"正常",入库单!$C$4:$C$2503,"&gt;="&amp;账期起,入库单!$C$4:$C$2503,"&lt;="&amp;账期止))</f>
        <v/>
      </c>
      <c r="O950" s="26">
        <f>IF($A950="","",ROUND($N950*$K950,0))</f>
        <v/>
      </c>
      <c r="P950" s="27">
        <f>IF($A950="","",SUMIFS(出库单!$J$4:$J$4003,出库单!$D$4:$D$4003,$A950,出库单!$K$4:$K$4003,"自用消耗",出库单!$U$4:$U$4003,"正常",出库单!$C$4:$C$4003,"&gt;="&amp;账期起,出库单!$C$4:$C$4003,"&lt;="&amp;账期止))</f>
        <v/>
      </c>
      <c r="Q950" s="26">
        <f>IF($A950="","",ROUND(SUMIFS(出库单!$S$4:$S$4003,出库单!$D$4:$D$4003,$A950,出库单!$K$4:$K$4003,"自用消耗",出库单!$U$4:$U$4003,"正常",出库单!$C$4:$C$4003,"&gt;="&amp;账期起,出库单!$C$4:$C$4003,"&lt;="&amp;账期止),0))</f>
        <v/>
      </c>
      <c r="R950" s="27">
        <f>IF($A950="","",SUMIFS(出库单!$J$4:$J$4003,出库单!$D$4:$D$4003,$A950,出库单!$K$4:$K$4003,"对外销售",出库单!$U$4:$U$4003,"正常",出库单!$C$4:$C$4003,"&gt;="&amp;账期起,出库单!$C$4:$C$4003,"&lt;="&amp;账期止))</f>
        <v/>
      </c>
      <c r="S950" s="26">
        <f>IF($A950="","",ROUND(SUMIFS(出库单!$S$4:$S$4003,出库单!$D$4:$D$4003,$A950,出库单!$K$4:$K$4003,"对外销售",出库单!$U$4:$U$4003,"正常",出库单!$C$4:$C$4003,"&gt;="&amp;账期起,出库单!$C$4:$C$4003,"&lt;="&amp;账期止),0))</f>
        <v/>
      </c>
      <c r="T950" s="27">
        <f>IF($A950="","",SUMIFS(出库单!$J$4:$J$4003,出库单!$D$4:$D$4003,$A950,出库单!$K$4:$K$4003,"盘亏",出库单!$U$4:$U$4003,"正常",出库单!$C$4:$C$4003,"&gt;="&amp;账期起,出库单!$C$4:$C$4003,"&lt;="&amp;账期止))</f>
        <v/>
      </c>
      <c r="U950" s="26">
        <f>IF($A950="","",ROUND(SUMIFS(出库单!$S$4:$S$4003,出库单!$D$4:$D$4003,$A950,出库单!$K$4:$K$4003,"盘亏",出库单!$U$4:$U$4003,"正常",出库单!$C$4:$C$4003,"&gt;="&amp;账期起,出库单!$C$4:$C$4003,"&lt;="&amp;账期止),0))</f>
        <v/>
      </c>
      <c r="V950" s="27">
        <f>IF($A950="","",SUMIFS(出库单!$J$4:$J$4003,出库单!$D$4:$D$4003,$A950,出库单!$K$4:$K$4003,"退货给供应商",出库单!$U$4:$U$4003,"正常",出库单!$C$4:$C$4003,"&gt;="&amp;账期起,出库单!$C$4:$C$4003,"&lt;="&amp;账期止))</f>
        <v/>
      </c>
      <c r="W950" s="26">
        <f>IF($A950="","",ROUND(SUMIFS(出库单!$S$4:$S$4003,出库单!$D$4:$D$4003,$A950,出库单!$K$4:$K$4003,"退货给供应商",出库单!$U$4:$U$4003,"正常",出库单!$C$4:$C$4003,"&gt;="&amp;账期起,出库单!$C$4:$C$4003,"&lt;="&amp;账期止),0))</f>
        <v/>
      </c>
      <c r="X950" s="27">
        <f>IF($A950="","",ROUND(N($G950)+$I950+$L950+$N950-$P950-$R950-$T950-$V950,3))</f>
        <v/>
      </c>
      <c r="Y950" s="26">
        <f>IF($A950="","",ROUND(N($H950)+$J950+$M950+$O950-$Q950-$S950-$U950-$W950,0))</f>
        <v/>
      </c>
      <c r="Z950" s="24">
        <f>IF($A950="","",IF(COUNTIFS(入库单!$G$4:$G$2503,$A950,入库单!$Y$4:$Y$2503,"待补价")+COUNTIFS(入库单!$G$4:$G$2503,$A950,入库单!$Y$4:$Y$2503,"暂估")&gt;0,"不可信","可信"))</f>
        <v/>
      </c>
      <c r="AA950" s="24">
        <f>IF($A950="","",IF($X950&lt;-0.001,"※账面负库存，查一下是不是漏记入库",IF(AND(ROUND($X950,3)=0,ABS($Y950)&gt;1),"※数量已经是 0，金额还挂着 "&amp;TEXT($Y950,"#,##0")&amp;" 先令",IF(AND($X950&gt;0,$Y950&lt;=0,$K950=0),"※有数量没金额（这个物料一直没填过进价）",IF($Z950="不可信","△成本含待补价/暂估，毛利仅供参考","")))))</f>
        <v/>
      </c>
    </row>
    <row r="951">
      <c r="A951" s="24">
        <f>IF(物料档案!$A950="","",物料档案!$A950)</f>
        <v/>
      </c>
      <c r="B951" s="24">
        <f>IF($A951="","",IFERROR(VLOOKUP($A951,物料档案!$A$4:$P$1203,3,0),""))</f>
        <v/>
      </c>
      <c r="C951" s="24">
        <f>IF($A951="","",IFERROR(VLOOKUP($A951,物料档案!$A$4:$P$1203,4,0),""))</f>
        <v/>
      </c>
      <c r="D951" s="24">
        <f>IF($A951="","",IFERROR(VLOOKUP($A951,物料档案!$A$4:$P$1203,5,0),""))</f>
        <v/>
      </c>
      <c r="E951" s="24">
        <f>IF($A951="","",IFERROR(VLOOKUP($A951,物料档案!$A$4:$P$1203,2,0),""))</f>
        <v/>
      </c>
      <c r="F951" s="24">
        <f>IF($A951="","",IFERROR(VLOOKUP($A951,物料档案!$A$4:$P$1203,6,0),""))</f>
        <v/>
      </c>
      <c r="G951" s="23" t="n"/>
      <c r="H951" s="32" t="n"/>
      <c r="I951" s="27">
        <f>IF($A951="","",SUMIFS(入库单!$K$4:$K$2503,入库单!$G$4:$G$2503,$A951,入库单!$X$4:$X$2503,"采购入库",入库单!$Z$4:$Z$2503,"正常",入库单!$C$4:$C$2503,"&gt;="&amp;账期起,入库单!$C$4:$C$2503,"&lt;="&amp;账期止))</f>
        <v/>
      </c>
      <c r="J951" s="26">
        <f>IF($A951="","",SUMIFS(入库单!$V$4:$V$2503,入库单!$G$4:$G$2503,$A951,入库单!$X$4:$X$2503,"采购入库",入库单!$Z$4:$Z$2503,"正常",入库单!$C$4:$C$2503,"&gt;="&amp;账期起,入库单!$C$4:$C$2503,"&lt;="&amp;账期止))</f>
        <v/>
      </c>
      <c r="K951" s="26">
        <f>IF($A951="","",IFERROR(ROUND((N($H951)+N($J951))/(N($G951)+N($I951)),2),0))</f>
        <v/>
      </c>
      <c r="L951" s="27">
        <f>IF($A951="","",SUMIFS(入库单!$K$4:$K$2503,入库单!$G$4:$G$2503,$A951,入库单!$X$4:$X$2503,"盘盈",入库单!$Z$4:$Z$2503,"正常",入库单!$C$4:$C$2503,"&gt;="&amp;账期起,入库单!$C$4:$C$2503,"&lt;="&amp;账期止))</f>
        <v/>
      </c>
      <c r="M951" s="26">
        <f>IF($A951="","",ROUND($L951*$K951,0))</f>
        <v/>
      </c>
      <c r="N951" s="27">
        <f>IF($A951="","",SUMIFS(入库单!$K$4:$K$2503,入库单!$G$4:$G$2503,$A951,入库单!$X$4:$X$2503,"矿区退库",入库单!$Z$4:$Z$2503,"正常",入库单!$C$4:$C$2503,"&gt;="&amp;账期起,入库单!$C$4:$C$2503,"&lt;="&amp;账期止))</f>
        <v/>
      </c>
      <c r="O951" s="26">
        <f>IF($A951="","",ROUND($N951*$K951,0))</f>
        <v/>
      </c>
      <c r="P951" s="27">
        <f>IF($A951="","",SUMIFS(出库单!$J$4:$J$4003,出库单!$D$4:$D$4003,$A951,出库单!$K$4:$K$4003,"自用消耗",出库单!$U$4:$U$4003,"正常",出库单!$C$4:$C$4003,"&gt;="&amp;账期起,出库单!$C$4:$C$4003,"&lt;="&amp;账期止))</f>
        <v/>
      </c>
      <c r="Q951" s="26">
        <f>IF($A951="","",ROUND(SUMIFS(出库单!$S$4:$S$4003,出库单!$D$4:$D$4003,$A951,出库单!$K$4:$K$4003,"自用消耗",出库单!$U$4:$U$4003,"正常",出库单!$C$4:$C$4003,"&gt;="&amp;账期起,出库单!$C$4:$C$4003,"&lt;="&amp;账期止),0))</f>
        <v/>
      </c>
      <c r="R951" s="27">
        <f>IF($A951="","",SUMIFS(出库单!$J$4:$J$4003,出库单!$D$4:$D$4003,$A951,出库单!$K$4:$K$4003,"对外销售",出库单!$U$4:$U$4003,"正常",出库单!$C$4:$C$4003,"&gt;="&amp;账期起,出库单!$C$4:$C$4003,"&lt;="&amp;账期止))</f>
        <v/>
      </c>
      <c r="S951" s="26">
        <f>IF($A951="","",ROUND(SUMIFS(出库单!$S$4:$S$4003,出库单!$D$4:$D$4003,$A951,出库单!$K$4:$K$4003,"对外销售",出库单!$U$4:$U$4003,"正常",出库单!$C$4:$C$4003,"&gt;="&amp;账期起,出库单!$C$4:$C$4003,"&lt;="&amp;账期止),0))</f>
        <v/>
      </c>
      <c r="T951" s="27">
        <f>IF($A951="","",SUMIFS(出库单!$J$4:$J$4003,出库单!$D$4:$D$4003,$A951,出库单!$K$4:$K$4003,"盘亏",出库单!$U$4:$U$4003,"正常",出库单!$C$4:$C$4003,"&gt;="&amp;账期起,出库单!$C$4:$C$4003,"&lt;="&amp;账期止))</f>
        <v/>
      </c>
      <c r="U951" s="26">
        <f>IF($A951="","",ROUND(SUMIFS(出库单!$S$4:$S$4003,出库单!$D$4:$D$4003,$A951,出库单!$K$4:$K$4003,"盘亏",出库单!$U$4:$U$4003,"正常",出库单!$C$4:$C$4003,"&gt;="&amp;账期起,出库单!$C$4:$C$4003,"&lt;="&amp;账期止),0))</f>
        <v/>
      </c>
      <c r="V951" s="27">
        <f>IF($A951="","",SUMIFS(出库单!$J$4:$J$4003,出库单!$D$4:$D$4003,$A951,出库单!$K$4:$K$4003,"退货给供应商",出库单!$U$4:$U$4003,"正常",出库单!$C$4:$C$4003,"&gt;="&amp;账期起,出库单!$C$4:$C$4003,"&lt;="&amp;账期止))</f>
        <v/>
      </c>
      <c r="W951" s="26">
        <f>IF($A951="","",ROUND(SUMIFS(出库单!$S$4:$S$4003,出库单!$D$4:$D$4003,$A951,出库单!$K$4:$K$4003,"退货给供应商",出库单!$U$4:$U$4003,"正常",出库单!$C$4:$C$4003,"&gt;="&amp;账期起,出库单!$C$4:$C$4003,"&lt;="&amp;账期止),0))</f>
        <v/>
      </c>
      <c r="X951" s="27">
        <f>IF($A951="","",ROUND(N($G951)+$I951+$L951+$N951-$P951-$R951-$T951-$V951,3))</f>
        <v/>
      </c>
      <c r="Y951" s="26">
        <f>IF($A951="","",ROUND(N($H951)+$J951+$M951+$O951-$Q951-$S951-$U951-$W951,0))</f>
        <v/>
      </c>
      <c r="Z951" s="24">
        <f>IF($A951="","",IF(COUNTIFS(入库单!$G$4:$G$2503,$A951,入库单!$Y$4:$Y$2503,"待补价")+COUNTIFS(入库单!$G$4:$G$2503,$A951,入库单!$Y$4:$Y$2503,"暂估")&gt;0,"不可信","可信"))</f>
        <v/>
      </c>
      <c r="AA951" s="24">
        <f>IF($A951="","",IF($X951&lt;-0.001,"※账面负库存，查一下是不是漏记入库",IF(AND(ROUND($X951,3)=0,ABS($Y951)&gt;1),"※数量已经是 0，金额还挂着 "&amp;TEXT($Y951,"#,##0")&amp;" 先令",IF(AND($X951&gt;0,$Y951&lt;=0,$K951=0),"※有数量没金额（这个物料一直没填过进价）",IF($Z951="不可信","△成本含待补价/暂估，毛利仅供参考","")))))</f>
        <v/>
      </c>
    </row>
    <row r="952">
      <c r="A952" s="24">
        <f>IF(物料档案!$A951="","",物料档案!$A951)</f>
        <v/>
      </c>
      <c r="B952" s="24">
        <f>IF($A952="","",IFERROR(VLOOKUP($A952,物料档案!$A$4:$P$1203,3,0),""))</f>
        <v/>
      </c>
      <c r="C952" s="24">
        <f>IF($A952="","",IFERROR(VLOOKUP($A952,物料档案!$A$4:$P$1203,4,0),""))</f>
        <v/>
      </c>
      <c r="D952" s="24">
        <f>IF($A952="","",IFERROR(VLOOKUP($A952,物料档案!$A$4:$P$1203,5,0),""))</f>
        <v/>
      </c>
      <c r="E952" s="24">
        <f>IF($A952="","",IFERROR(VLOOKUP($A952,物料档案!$A$4:$P$1203,2,0),""))</f>
        <v/>
      </c>
      <c r="F952" s="24">
        <f>IF($A952="","",IFERROR(VLOOKUP($A952,物料档案!$A$4:$P$1203,6,0),""))</f>
        <v/>
      </c>
      <c r="G952" s="23" t="n"/>
      <c r="H952" s="32" t="n"/>
      <c r="I952" s="27">
        <f>IF($A952="","",SUMIFS(入库单!$K$4:$K$2503,入库单!$G$4:$G$2503,$A952,入库单!$X$4:$X$2503,"采购入库",入库单!$Z$4:$Z$2503,"正常",入库单!$C$4:$C$2503,"&gt;="&amp;账期起,入库单!$C$4:$C$2503,"&lt;="&amp;账期止))</f>
        <v/>
      </c>
      <c r="J952" s="26">
        <f>IF($A952="","",SUMIFS(入库单!$V$4:$V$2503,入库单!$G$4:$G$2503,$A952,入库单!$X$4:$X$2503,"采购入库",入库单!$Z$4:$Z$2503,"正常",入库单!$C$4:$C$2503,"&gt;="&amp;账期起,入库单!$C$4:$C$2503,"&lt;="&amp;账期止))</f>
        <v/>
      </c>
      <c r="K952" s="26">
        <f>IF($A952="","",IFERROR(ROUND((N($H952)+N($J952))/(N($G952)+N($I952)),2),0))</f>
        <v/>
      </c>
      <c r="L952" s="27">
        <f>IF($A952="","",SUMIFS(入库单!$K$4:$K$2503,入库单!$G$4:$G$2503,$A952,入库单!$X$4:$X$2503,"盘盈",入库单!$Z$4:$Z$2503,"正常",入库单!$C$4:$C$2503,"&gt;="&amp;账期起,入库单!$C$4:$C$2503,"&lt;="&amp;账期止))</f>
        <v/>
      </c>
      <c r="M952" s="26">
        <f>IF($A952="","",ROUND($L952*$K952,0))</f>
        <v/>
      </c>
      <c r="N952" s="27">
        <f>IF($A952="","",SUMIFS(入库单!$K$4:$K$2503,入库单!$G$4:$G$2503,$A952,入库单!$X$4:$X$2503,"矿区退库",入库单!$Z$4:$Z$2503,"正常",入库单!$C$4:$C$2503,"&gt;="&amp;账期起,入库单!$C$4:$C$2503,"&lt;="&amp;账期止))</f>
        <v/>
      </c>
      <c r="O952" s="26">
        <f>IF($A952="","",ROUND($N952*$K952,0))</f>
        <v/>
      </c>
      <c r="P952" s="27">
        <f>IF($A952="","",SUMIFS(出库单!$J$4:$J$4003,出库单!$D$4:$D$4003,$A952,出库单!$K$4:$K$4003,"自用消耗",出库单!$U$4:$U$4003,"正常",出库单!$C$4:$C$4003,"&gt;="&amp;账期起,出库单!$C$4:$C$4003,"&lt;="&amp;账期止))</f>
        <v/>
      </c>
      <c r="Q952" s="26">
        <f>IF($A952="","",ROUND(SUMIFS(出库单!$S$4:$S$4003,出库单!$D$4:$D$4003,$A952,出库单!$K$4:$K$4003,"自用消耗",出库单!$U$4:$U$4003,"正常",出库单!$C$4:$C$4003,"&gt;="&amp;账期起,出库单!$C$4:$C$4003,"&lt;="&amp;账期止),0))</f>
        <v/>
      </c>
      <c r="R952" s="27">
        <f>IF($A952="","",SUMIFS(出库单!$J$4:$J$4003,出库单!$D$4:$D$4003,$A952,出库单!$K$4:$K$4003,"对外销售",出库单!$U$4:$U$4003,"正常",出库单!$C$4:$C$4003,"&gt;="&amp;账期起,出库单!$C$4:$C$4003,"&lt;="&amp;账期止))</f>
        <v/>
      </c>
      <c r="S952" s="26">
        <f>IF($A952="","",ROUND(SUMIFS(出库单!$S$4:$S$4003,出库单!$D$4:$D$4003,$A952,出库单!$K$4:$K$4003,"对外销售",出库单!$U$4:$U$4003,"正常",出库单!$C$4:$C$4003,"&gt;="&amp;账期起,出库单!$C$4:$C$4003,"&lt;="&amp;账期止),0))</f>
        <v/>
      </c>
      <c r="T952" s="27">
        <f>IF($A952="","",SUMIFS(出库单!$J$4:$J$4003,出库单!$D$4:$D$4003,$A952,出库单!$K$4:$K$4003,"盘亏",出库单!$U$4:$U$4003,"正常",出库单!$C$4:$C$4003,"&gt;="&amp;账期起,出库单!$C$4:$C$4003,"&lt;="&amp;账期止))</f>
        <v/>
      </c>
      <c r="U952" s="26">
        <f>IF($A952="","",ROUND(SUMIFS(出库单!$S$4:$S$4003,出库单!$D$4:$D$4003,$A952,出库单!$K$4:$K$4003,"盘亏",出库单!$U$4:$U$4003,"正常",出库单!$C$4:$C$4003,"&gt;="&amp;账期起,出库单!$C$4:$C$4003,"&lt;="&amp;账期止),0))</f>
        <v/>
      </c>
      <c r="V952" s="27">
        <f>IF($A952="","",SUMIFS(出库单!$J$4:$J$4003,出库单!$D$4:$D$4003,$A952,出库单!$K$4:$K$4003,"退货给供应商",出库单!$U$4:$U$4003,"正常",出库单!$C$4:$C$4003,"&gt;="&amp;账期起,出库单!$C$4:$C$4003,"&lt;="&amp;账期止))</f>
        <v/>
      </c>
      <c r="W952" s="26">
        <f>IF($A952="","",ROUND(SUMIFS(出库单!$S$4:$S$4003,出库单!$D$4:$D$4003,$A952,出库单!$K$4:$K$4003,"退货给供应商",出库单!$U$4:$U$4003,"正常",出库单!$C$4:$C$4003,"&gt;="&amp;账期起,出库单!$C$4:$C$4003,"&lt;="&amp;账期止),0))</f>
        <v/>
      </c>
      <c r="X952" s="27">
        <f>IF($A952="","",ROUND(N($G952)+$I952+$L952+$N952-$P952-$R952-$T952-$V952,3))</f>
        <v/>
      </c>
      <c r="Y952" s="26">
        <f>IF($A952="","",ROUND(N($H952)+$J952+$M952+$O952-$Q952-$S952-$U952-$W952,0))</f>
        <v/>
      </c>
      <c r="Z952" s="24">
        <f>IF($A952="","",IF(COUNTIFS(入库单!$G$4:$G$2503,$A952,入库单!$Y$4:$Y$2503,"待补价")+COUNTIFS(入库单!$G$4:$G$2503,$A952,入库单!$Y$4:$Y$2503,"暂估")&gt;0,"不可信","可信"))</f>
        <v/>
      </c>
      <c r="AA952" s="24">
        <f>IF($A952="","",IF($X952&lt;-0.001,"※账面负库存，查一下是不是漏记入库",IF(AND(ROUND($X952,3)=0,ABS($Y952)&gt;1),"※数量已经是 0，金额还挂着 "&amp;TEXT($Y952,"#,##0")&amp;" 先令",IF(AND($X952&gt;0,$Y952&lt;=0,$K952=0),"※有数量没金额（这个物料一直没填过进价）",IF($Z952="不可信","△成本含待补价/暂估，毛利仅供参考","")))))</f>
        <v/>
      </c>
    </row>
    <row r="953">
      <c r="A953" s="24">
        <f>IF(物料档案!$A952="","",物料档案!$A952)</f>
        <v/>
      </c>
      <c r="B953" s="24">
        <f>IF($A953="","",IFERROR(VLOOKUP($A953,物料档案!$A$4:$P$1203,3,0),""))</f>
        <v/>
      </c>
      <c r="C953" s="24">
        <f>IF($A953="","",IFERROR(VLOOKUP($A953,物料档案!$A$4:$P$1203,4,0),""))</f>
        <v/>
      </c>
      <c r="D953" s="24">
        <f>IF($A953="","",IFERROR(VLOOKUP($A953,物料档案!$A$4:$P$1203,5,0),""))</f>
        <v/>
      </c>
      <c r="E953" s="24">
        <f>IF($A953="","",IFERROR(VLOOKUP($A953,物料档案!$A$4:$P$1203,2,0),""))</f>
        <v/>
      </c>
      <c r="F953" s="24">
        <f>IF($A953="","",IFERROR(VLOOKUP($A953,物料档案!$A$4:$P$1203,6,0),""))</f>
        <v/>
      </c>
      <c r="G953" s="23" t="n"/>
      <c r="H953" s="32" t="n"/>
      <c r="I953" s="27">
        <f>IF($A953="","",SUMIFS(入库单!$K$4:$K$2503,入库单!$G$4:$G$2503,$A953,入库单!$X$4:$X$2503,"采购入库",入库单!$Z$4:$Z$2503,"正常",入库单!$C$4:$C$2503,"&gt;="&amp;账期起,入库单!$C$4:$C$2503,"&lt;="&amp;账期止))</f>
        <v/>
      </c>
      <c r="J953" s="26">
        <f>IF($A953="","",SUMIFS(入库单!$V$4:$V$2503,入库单!$G$4:$G$2503,$A953,入库单!$X$4:$X$2503,"采购入库",入库单!$Z$4:$Z$2503,"正常",入库单!$C$4:$C$2503,"&gt;="&amp;账期起,入库单!$C$4:$C$2503,"&lt;="&amp;账期止))</f>
        <v/>
      </c>
      <c r="K953" s="26">
        <f>IF($A953="","",IFERROR(ROUND((N($H953)+N($J953))/(N($G953)+N($I953)),2),0))</f>
        <v/>
      </c>
      <c r="L953" s="27">
        <f>IF($A953="","",SUMIFS(入库单!$K$4:$K$2503,入库单!$G$4:$G$2503,$A953,入库单!$X$4:$X$2503,"盘盈",入库单!$Z$4:$Z$2503,"正常",入库单!$C$4:$C$2503,"&gt;="&amp;账期起,入库单!$C$4:$C$2503,"&lt;="&amp;账期止))</f>
        <v/>
      </c>
      <c r="M953" s="26">
        <f>IF($A953="","",ROUND($L953*$K953,0))</f>
        <v/>
      </c>
      <c r="N953" s="27">
        <f>IF($A953="","",SUMIFS(入库单!$K$4:$K$2503,入库单!$G$4:$G$2503,$A953,入库单!$X$4:$X$2503,"矿区退库",入库单!$Z$4:$Z$2503,"正常",入库单!$C$4:$C$2503,"&gt;="&amp;账期起,入库单!$C$4:$C$2503,"&lt;="&amp;账期止))</f>
        <v/>
      </c>
      <c r="O953" s="26">
        <f>IF($A953="","",ROUND($N953*$K953,0))</f>
        <v/>
      </c>
      <c r="P953" s="27">
        <f>IF($A953="","",SUMIFS(出库单!$J$4:$J$4003,出库单!$D$4:$D$4003,$A953,出库单!$K$4:$K$4003,"自用消耗",出库单!$U$4:$U$4003,"正常",出库单!$C$4:$C$4003,"&gt;="&amp;账期起,出库单!$C$4:$C$4003,"&lt;="&amp;账期止))</f>
        <v/>
      </c>
      <c r="Q953" s="26">
        <f>IF($A953="","",ROUND(SUMIFS(出库单!$S$4:$S$4003,出库单!$D$4:$D$4003,$A953,出库单!$K$4:$K$4003,"自用消耗",出库单!$U$4:$U$4003,"正常",出库单!$C$4:$C$4003,"&gt;="&amp;账期起,出库单!$C$4:$C$4003,"&lt;="&amp;账期止),0))</f>
        <v/>
      </c>
      <c r="R953" s="27">
        <f>IF($A953="","",SUMIFS(出库单!$J$4:$J$4003,出库单!$D$4:$D$4003,$A953,出库单!$K$4:$K$4003,"对外销售",出库单!$U$4:$U$4003,"正常",出库单!$C$4:$C$4003,"&gt;="&amp;账期起,出库单!$C$4:$C$4003,"&lt;="&amp;账期止))</f>
        <v/>
      </c>
      <c r="S953" s="26">
        <f>IF($A953="","",ROUND(SUMIFS(出库单!$S$4:$S$4003,出库单!$D$4:$D$4003,$A953,出库单!$K$4:$K$4003,"对外销售",出库单!$U$4:$U$4003,"正常",出库单!$C$4:$C$4003,"&gt;="&amp;账期起,出库单!$C$4:$C$4003,"&lt;="&amp;账期止),0))</f>
        <v/>
      </c>
      <c r="T953" s="27">
        <f>IF($A953="","",SUMIFS(出库单!$J$4:$J$4003,出库单!$D$4:$D$4003,$A953,出库单!$K$4:$K$4003,"盘亏",出库单!$U$4:$U$4003,"正常",出库单!$C$4:$C$4003,"&gt;="&amp;账期起,出库单!$C$4:$C$4003,"&lt;="&amp;账期止))</f>
        <v/>
      </c>
      <c r="U953" s="26">
        <f>IF($A953="","",ROUND(SUMIFS(出库单!$S$4:$S$4003,出库单!$D$4:$D$4003,$A953,出库单!$K$4:$K$4003,"盘亏",出库单!$U$4:$U$4003,"正常",出库单!$C$4:$C$4003,"&gt;="&amp;账期起,出库单!$C$4:$C$4003,"&lt;="&amp;账期止),0))</f>
        <v/>
      </c>
      <c r="V953" s="27">
        <f>IF($A953="","",SUMIFS(出库单!$J$4:$J$4003,出库单!$D$4:$D$4003,$A953,出库单!$K$4:$K$4003,"退货给供应商",出库单!$U$4:$U$4003,"正常",出库单!$C$4:$C$4003,"&gt;="&amp;账期起,出库单!$C$4:$C$4003,"&lt;="&amp;账期止))</f>
        <v/>
      </c>
      <c r="W953" s="26">
        <f>IF($A953="","",ROUND(SUMIFS(出库单!$S$4:$S$4003,出库单!$D$4:$D$4003,$A953,出库单!$K$4:$K$4003,"退货给供应商",出库单!$U$4:$U$4003,"正常",出库单!$C$4:$C$4003,"&gt;="&amp;账期起,出库单!$C$4:$C$4003,"&lt;="&amp;账期止),0))</f>
        <v/>
      </c>
      <c r="X953" s="27">
        <f>IF($A953="","",ROUND(N($G953)+$I953+$L953+$N953-$P953-$R953-$T953-$V953,3))</f>
        <v/>
      </c>
      <c r="Y953" s="26">
        <f>IF($A953="","",ROUND(N($H953)+$J953+$M953+$O953-$Q953-$S953-$U953-$W953,0))</f>
        <v/>
      </c>
      <c r="Z953" s="24">
        <f>IF($A953="","",IF(COUNTIFS(入库单!$G$4:$G$2503,$A953,入库单!$Y$4:$Y$2503,"待补价")+COUNTIFS(入库单!$G$4:$G$2503,$A953,入库单!$Y$4:$Y$2503,"暂估")&gt;0,"不可信","可信"))</f>
        <v/>
      </c>
      <c r="AA953" s="24">
        <f>IF($A953="","",IF($X953&lt;-0.001,"※账面负库存，查一下是不是漏记入库",IF(AND(ROUND($X953,3)=0,ABS($Y953)&gt;1),"※数量已经是 0，金额还挂着 "&amp;TEXT($Y953,"#,##0")&amp;" 先令",IF(AND($X953&gt;0,$Y953&lt;=0,$K953=0),"※有数量没金额（这个物料一直没填过进价）",IF($Z953="不可信","△成本含待补价/暂估，毛利仅供参考","")))))</f>
        <v/>
      </c>
    </row>
    <row r="954">
      <c r="A954" s="24">
        <f>IF(物料档案!$A953="","",物料档案!$A953)</f>
        <v/>
      </c>
      <c r="B954" s="24">
        <f>IF($A954="","",IFERROR(VLOOKUP($A954,物料档案!$A$4:$P$1203,3,0),""))</f>
        <v/>
      </c>
      <c r="C954" s="24">
        <f>IF($A954="","",IFERROR(VLOOKUP($A954,物料档案!$A$4:$P$1203,4,0),""))</f>
        <v/>
      </c>
      <c r="D954" s="24">
        <f>IF($A954="","",IFERROR(VLOOKUP($A954,物料档案!$A$4:$P$1203,5,0),""))</f>
        <v/>
      </c>
      <c r="E954" s="24">
        <f>IF($A954="","",IFERROR(VLOOKUP($A954,物料档案!$A$4:$P$1203,2,0),""))</f>
        <v/>
      </c>
      <c r="F954" s="24">
        <f>IF($A954="","",IFERROR(VLOOKUP($A954,物料档案!$A$4:$P$1203,6,0),""))</f>
        <v/>
      </c>
      <c r="G954" s="23" t="n"/>
      <c r="H954" s="32" t="n"/>
      <c r="I954" s="27">
        <f>IF($A954="","",SUMIFS(入库单!$K$4:$K$2503,入库单!$G$4:$G$2503,$A954,入库单!$X$4:$X$2503,"采购入库",入库单!$Z$4:$Z$2503,"正常",入库单!$C$4:$C$2503,"&gt;="&amp;账期起,入库单!$C$4:$C$2503,"&lt;="&amp;账期止))</f>
        <v/>
      </c>
      <c r="J954" s="26">
        <f>IF($A954="","",SUMIFS(入库单!$V$4:$V$2503,入库单!$G$4:$G$2503,$A954,入库单!$X$4:$X$2503,"采购入库",入库单!$Z$4:$Z$2503,"正常",入库单!$C$4:$C$2503,"&gt;="&amp;账期起,入库单!$C$4:$C$2503,"&lt;="&amp;账期止))</f>
        <v/>
      </c>
      <c r="K954" s="26">
        <f>IF($A954="","",IFERROR(ROUND((N($H954)+N($J954))/(N($G954)+N($I954)),2),0))</f>
        <v/>
      </c>
      <c r="L954" s="27">
        <f>IF($A954="","",SUMIFS(入库单!$K$4:$K$2503,入库单!$G$4:$G$2503,$A954,入库单!$X$4:$X$2503,"盘盈",入库单!$Z$4:$Z$2503,"正常",入库单!$C$4:$C$2503,"&gt;="&amp;账期起,入库单!$C$4:$C$2503,"&lt;="&amp;账期止))</f>
        <v/>
      </c>
      <c r="M954" s="26">
        <f>IF($A954="","",ROUND($L954*$K954,0))</f>
        <v/>
      </c>
      <c r="N954" s="27">
        <f>IF($A954="","",SUMIFS(入库单!$K$4:$K$2503,入库单!$G$4:$G$2503,$A954,入库单!$X$4:$X$2503,"矿区退库",入库单!$Z$4:$Z$2503,"正常",入库单!$C$4:$C$2503,"&gt;="&amp;账期起,入库单!$C$4:$C$2503,"&lt;="&amp;账期止))</f>
        <v/>
      </c>
      <c r="O954" s="26">
        <f>IF($A954="","",ROUND($N954*$K954,0))</f>
        <v/>
      </c>
      <c r="P954" s="27">
        <f>IF($A954="","",SUMIFS(出库单!$J$4:$J$4003,出库单!$D$4:$D$4003,$A954,出库单!$K$4:$K$4003,"自用消耗",出库单!$U$4:$U$4003,"正常",出库单!$C$4:$C$4003,"&gt;="&amp;账期起,出库单!$C$4:$C$4003,"&lt;="&amp;账期止))</f>
        <v/>
      </c>
      <c r="Q954" s="26">
        <f>IF($A954="","",ROUND(SUMIFS(出库单!$S$4:$S$4003,出库单!$D$4:$D$4003,$A954,出库单!$K$4:$K$4003,"自用消耗",出库单!$U$4:$U$4003,"正常",出库单!$C$4:$C$4003,"&gt;="&amp;账期起,出库单!$C$4:$C$4003,"&lt;="&amp;账期止),0))</f>
        <v/>
      </c>
      <c r="R954" s="27">
        <f>IF($A954="","",SUMIFS(出库单!$J$4:$J$4003,出库单!$D$4:$D$4003,$A954,出库单!$K$4:$K$4003,"对外销售",出库单!$U$4:$U$4003,"正常",出库单!$C$4:$C$4003,"&gt;="&amp;账期起,出库单!$C$4:$C$4003,"&lt;="&amp;账期止))</f>
        <v/>
      </c>
      <c r="S954" s="26">
        <f>IF($A954="","",ROUND(SUMIFS(出库单!$S$4:$S$4003,出库单!$D$4:$D$4003,$A954,出库单!$K$4:$K$4003,"对外销售",出库单!$U$4:$U$4003,"正常",出库单!$C$4:$C$4003,"&gt;="&amp;账期起,出库单!$C$4:$C$4003,"&lt;="&amp;账期止),0))</f>
        <v/>
      </c>
      <c r="T954" s="27">
        <f>IF($A954="","",SUMIFS(出库单!$J$4:$J$4003,出库单!$D$4:$D$4003,$A954,出库单!$K$4:$K$4003,"盘亏",出库单!$U$4:$U$4003,"正常",出库单!$C$4:$C$4003,"&gt;="&amp;账期起,出库单!$C$4:$C$4003,"&lt;="&amp;账期止))</f>
        <v/>
      </c>
      <c r="U954" s="26">
        <f>IF($A954="","",ROUND(SUMIFS(出库单!$S$4:$S$4003,出库单!$D$4:$D$4003,$A954,出库单!$K$4:$K$4003,"盘亏",出库单!$U$4:$U$4003,"正常",出库单!$C$4:$C$4003,"&gt;="&amp;账期起,出库单!$C$4:$C$4003,"&lt;="&amp;账期止),0))</f>
        <v/>
      </c>
      <c r="V954" s="27">
        <f>IF($A954="","",SUMIFS(出库单!$J$4:$J$4003,出库单!$D$4:$D$4003,$A954,出库单!$K$4:$K$4003,"退货给供应商",出库单!$U$4:$U$4003,"正常",出库单!$C$4:$C$4003,"&gt;="&amp;账期起,出库单!$C$4:$C$4003,"&lt;="&amp;账期止))</f>
        <v/>
      </c>
      <c r="W954" s="26">
        <f>IF($A954="","",ROUND(SUMIFS(出库单!$S$4:$S$4003,出库单!$D$4:$D$4003,$A954,出库单!$K$4:$K$4003,"退货给供应商",出库单!$U$4:$U$4003,"正常",出库单!$C$4:$C$4003,"&gt;="&amp;账期起,出库单!$C$4:$C$4003,"&lt;="&amp;账期止),0))</f>
        <v/>
      </c>
      <c r="X954" s="27">
        <f>IF($A954="","",ROUND(N($G954)+$I954+$L954+$N954-$P954-$R954-$T954-$V954,3))</f>
        <v/>
      </c>
      <c r="Y954" s="26">
        <f>IF($A954="","",ROUND(N($H954)+$J954+$M954+$O954-$Q954-$S954-$U954-$W954,0))</f>
        <v/>
      </c>
      <c r="Z954" s="24">
        <f>IF($A954="","",IF(COUNTIFS(入库单!$G$4:$G$2503,$A954,入库单!$Y$4:$Y$2503,"待补价")+COUNTIFS(入库单!$G$4:$G$2503,$A954,入库单!$Y$4:$Y$2503,"暂估")&gt;0,"不可信","可信"))</f>
        <v/>
      </c>
      <c r="AA954" s="24">
        <f>IF($A954="","",IF($X954&lt;-0.001,"※账面负库存，查一下是不是漏记入库",IF(AND(ROUND($X954,3)=0,ABS($Y954)&gt;1),"※数量已经是 0，金额还挂着 "&amp;TEXT($Y954,"#,##0")&amp;" 先令",IF(AND($X954&gt;0,$Y954&lt;=0,$K954=0),"※有数量没金额（这个物料一直没填过进价）",IF($Z954="不可信","△成本含待补价/暂估，毛利仅供参考","")))))</f>
        <v/>
      </c>
    </row>
    <row r="955">
      <c r="A955" s="24">
        <f>IF(物料档案!$A954="","",物料档案!$A954)</f>
        <v/>
      </c>
      <c r="B955" s="24">
        <f>IF($A955="","",IFERROR(VLOOKUP($A955,物料档案!$A$4:$P$1203,3,0),""))</f>
        <v/>
      </c>
      <c r="C955" s="24">
        <f>IF($A955="","",IFERROR(VLOOKUP($A955,物料档案!$A$4:$P$1203,4,0),""))</f>
        <v/>
      </c>
      <c r="D955" s="24">
        <f>IF($A955="","",IFERROR(VLOOKUP($A955,物料档案!$A$4:$P$1203,5,0),""))</f>
        <v/>
      </c>
      <c r="E955" s="24">
        <f>IF($A955="","",IFERROR(VLOOKUP($A955,物料档案!$A$4:$P$1203,2,0),""))</f>
        <v/>
      </c>
      <c r="F955" s="24">
        <f>IF($A955="","",IFERROR(VLOOKUP($A955,物料档案!$A$4:$P$1203,6,0),""))</f>
        <v/>
      </c>
      <c r="G955" s="23" t="n"/>
      <c r="H955" s="32" t="n"/>
      <c r="I955" s="27">
        <f>IF($A955="","",SUMIFS(入库单!$K$4:$K$2503,入库单!$G$4:$G$2503,$A955,入库单!$X$4:$X$2503,"采购入库",入库单!$Z$4:$Z$2503,"正常",入库单!$C$4:$C$2503,"&gt;="&amp;账期起,入库单!$C$4:$C$2503,"&lt;="&amp;账期止))</f>
        <v/>
      </c>
      <c r="J955" s="26">
        <f>IF($A955="","",SUMIFS(入库单!$V$4:$V$2503,入库单!$G$4:$G$2503,$A955,入库单!$X$4:$X$2503,"采购入库",入库单!$Z$4:$Z$2503,"正常",入库单!$C$4:$C$2503,"&gt;="&amp;账期起,入库单!$C$4:$C$2503,"&lt;="&amp;账期止))</f>
        <v/>
      </c>
      <c r="K955" s="26">
        <f>IF($A955="","",IFERROR(ROUND((N($H955)+N($J955))/(N($G955)+N($I955)),2),0))</f>
        <v/>
      </c>
      <c r="L955" s="27">
        <f>IF($A955="","",SUMIFS(入库单!$K$4:$K$2503,入库单!$G$4:$G$2503,$A955,入库单!$X$4:$X$2503,"盘盈",入库单!$Z$4:$Z$2503,"正常",入库单!$C$4:$C$2503,"&gt;="&amp;账期起,入库单!$C$4:$C$2503,"&lt;="&amp;账期止))</f>
        <v/>
      </c>
      <c r="M955" s="26">
        <f>IF($A955="","",ROUND($L955*$K955,0))</f>
        <v/>
      </c>
      <c r="N955" s="27">
        <f>IF($A955="","",SUMIFS(入库单!$K$4:$K$2503,入库单!$G$4:$G$2503,$A955,入库单!$X$4:$X$2503,"矿区退库",入库单!$Z$4:$Z$2503,"正常",入库单!$C$4:$C$2503,"&gt;="&amp;账期起,入库单!$C$4:$C$2503,"&lt;="&amp;账期止))</f>
        <v/>
      </c>
      <c r="O955" s="26">
        <f>IF($A955="","",ROUND($N955*$K955,0))</f>
        <v/>
      </c>
      <c r="P955" s="27">
        <f>IF($A955="","",SUMIFS(出库单!$J$4:$J$4003,出库单!$D$4:$D$4003,$A955,出库单!$K$4:$K$4003,"自用消耗",出库单!$U$4:$U$4003,"正常",出库单!$C$4:$C$4003,"&gt;="&amp;账期起,出库单!$C$4:$C$4003,"&lt;="&amp;账期止))</f>
        <v/>
      </c>
      <c r="Q955" s="26">
        <f>IF($A955="","",ROUND(SUMIFS(出库单!$S$4:$S$4003,出库单!$D$4:$D$4003,$A955,出库单!$K$4:$K$4003,"自用消耗",出库单!$U$4:$U$4003,"正常",出库单!$C$4:$C$4003,"&gt;="&amp;账期起,出库单!$C$4:$C$4003,"&lt;="&amp;账期止),0))</f>
        <v/>
      </c>
      <c r="R955" s="27">
        <f>IF($A955="","",SUMIFS(出库单!$J$4:$J$4003,出库单!$D$4:$D$4003,$A955,出库单!$K$4:$K$4003,"对外销售",出库单!$U$4:$U$4003,"正常",出库单!$C$4:$C$4003,"&gt;="&amp;账期起,出库单!$C$4:$C$4003,"&lt;="&amp;账期止))</f>
        <v/>
      </c>
      <c r="S955" s="26">
        <f>IF($A955="","",ROUND(SUMIFS(出库单!$S$4:$S$4003,出库单!$D$4:$D$4003,$A955,出库单!$K$4:$K$4003,"对外销售",出库单!$U$4:$U$4003,"正常",出库单!$C$4:$C$4003,"&gt;="&amp;账期起,出库单!$C$4:$C$4003,"&lt;="&amp;账期止),0))</f>
        <v/>
      </c>
      <c r="T955" s="27">
        <f>IF($A955="","",SUMIFS(出库单!$J$4:$J$4003,出库单!$D$4:$D$4003,$A955,出库单!$K$4:$K$4003,"盘亏",出库单!$U$4:$U$4003,"正常",出库单!$C$4:$C$4003,"&gt;="&amp;账期起,出库单!$C$4:$C$4003,"&lt;="&amp;账期止))</f>
        <v/>
      </c>
      <c r="U955" s="26">
        <f>IF($A955="","",ROUND(SUMIFS(出库单!$S$4:$S$4003,出库单!$D$4:$D$4003,$A955,出库单!$K$4:$K$4003,"盘亏",出库单!$U$4:$U$4003,"正常",出库单!$C$4:$C$4003,"&gt;="&amp;账期起,出库单!$C$4:$C$4003,"&lt;="&amp;账期止),0))</f>
        <v/>
      </c>
      <c r="V955" s="27">
        <f>IF($A955="","",SUMIFS(出库单!$J$4:$J$4003,出库单!$D$4:$D$4003,$A955,出库单!$K$4:$K$4003,"退货给供应商",出库单!$U$4:$U$4003,"正常",出库单!$C$4:$C$4003,"&gt;="&amp;账期起,出库单!$C$4:$C$4003,"&lt;="&amp;账期止))</f>
        <v/>
      </c>
      <c r="W955" s="26">
        <f>IF($A955="","",ROUND(SUMIFS(出库单!$S$4:$S$4003,出库单!$D$4:$D$4003,$A955,出库单!$K$4:$K$4003,"退货给供应商",出库单!$U$4:$U$4003,"正常",出库单!$C$4:$C$4003,"&gt;="&amp;账期起,出库单!$C$4:$C$4003,"&lt;="&amp;账期止),0))</f>
        <v/>
      </c>
      <c r="X955" s="27">
        <f>IF($A955="","",ROUND(N($G955)+$I955+$L955+$N955-$P955-$R955-$T955-$V955,3))</f>
        <v/>
      </c>
      <c r="Y955" s="26">
        <f>IF($A955="","",ROUND(N($H955)+$J955+$M955+$O955-$Q955-$S955-$U955-$W955,0))</f>
        <v/>
      </c>
      <c r="Z955" s="24">
        <f>IF($A955="","",IF(COUNTIFS(入库单!$G$4:$G$2503,$A955,入库单!$Y$4:$Y$2503,"待补价")+COUNTIFS(入库单!$G$4:$G$2503,$A955,入库单!$Y$4:$Y$2503,"暂估")&gt;0,"不可信","可信"))</f>
        <v/>
      </c>
      <c r="AA955" s="24">
        <f>IF($A955="","",IF($X955&lt;-0.001,"※账面负库存，查一下是不是漏记入库",IF(AND(ROUND($X955,3)=0,ABS($Y955)&gt;1),"※数量已经是 0，金额还挂着 "&amp;TEXT($Y955,"#,##0")&amp;" 先令",IF(AND($X955&gt;0,$Y955&lt;=0,$K955=0),"※有数量没金额（这个物料一直没填过进价）",IF($Z955="不可信","△成本含待补价/暂估，毛利仅供参考","")))))</f>
        <v/>
      </c>
    </row>
    <row r="956">
      <c r="A956" s="24">
        <f>IF(物料档案!$A955="","",物料档案!$A955)</f>
        <v/>
      </c>
      <c r="B956" s="24">
        <f>IF($A956="","",IFERROR(VLOOKUP($A956,物料档案!$A$4:$P$1203,3,0),""))</f>
        <v/>
      </c>
      <c r="C956" s="24">
        <f>IF($A956="","",IFERROR(VLOOKUP($A956,物料档案!$A$4:$P$1203,4,0),""))</f>
        <v/>
      </c>
      <c r="D956" s="24">
        <f>IF($A956="","",IFERROR(VLOOKUP($A956,物料档案!$A$4:$P$1203,5,0),""))</f>
        <v/>
      </c>
      <c r="E956" s="24">
        <f>IF($A956="","",IFERROR(VLOOKUP($A956,物料档案!$A$4:$P$1203,2,0),""))</f>
        <v/>
      </c>
      <c r="F956" s="24">
        <f>IF($A956="","",IFERROR(VLOOKUP($A956,物料档案!$A$4:$P$1203,6,0),""))</f>
        <v/>
      </c>
      <c r="G956" s="23" t="n"/>
      <c r="H956" s="32" t="n"/>
      <c r="I956" s="27">
        <f>IF($A956="","",SUMIFS(入库单!$K$4:$K$2503,入库单!$G$4:$G$2503,$A956,入库单!$X$4:$X$2503,"采购入库",入库单!$Z$4:$Z$2503,"正常",入库单!$C$4:$C$2503,"&gt;="&amp;账期起,入库单!$C$4:$C$2503,"&lt;="&amp;账期止))</f>
        <v/>
      </c>
      <c r="J956" s="26">
        <f>IF($A956="","",SUMIFS(入库单!$V$4:$V$2503,入库单!$G$4:$G$2503,$A956,入库单!$X$4:$X$2503,"采购入库",入库单!$Z$4:$Z$2503,"正常",入库单!$C$4:$C$2503,"&gt;="&amp;账期起,入库单!$C$4:$C$2503,"&lt;="&amp;账期止))</f>
        <v/>
      </c>
      <c r="K956" s="26">
        <f>IF($A956="","",IFERROR(ROUND((N($H956)+N($J956))/(N($G956)+N($I956)),2),0))</f>
        <v/>
      </c>
      <c r="L956" s="27">
        <f>IF($A956="","",SUMIFS(入库单!$K$4:$K$2503,入库单!$G$4:$G$2503,$A956,入库单!$X$4:$X$2503,"盘盈",入库单!$Z$4:$Z$2503,"正常",入库单!$C$4:$C$2503,"&gt;="&amp;账期起,入库单!$C$4:$C$2503,"&lt;="&amp;账期止))</f>
        <v/>
      </c>
      <c r="M956" s="26">
        <f>IF($A956="","",ROUND($L956*$K956,0))</f>
        <v/>
      </c>
      <c r="N956" s="27">
        <f>IF($A956="","",SUMIFS(入库单!$K$4:$K$2503,入库单!$G$4:$G$2503,$A956,入库单!$X$4:$X$2503,"矿区退库",入库单!$Z$4:$Z$2503,"正常",入库单!$C$4:$C$2503,"&gt;="&amp;账期起,入库单!$C$4:$C$2503,"&lt;="&amp;账期止))</f>
        <v/>
      </c>
      <c r="O956" s="26">
        <f>IF($A956="","",ROUND($N956*$K956,0))</f>
        <v/>
      </c>
      <c r="P956" s="27">
        <f>IF($A956="","",SUMIFS(出库单!$J$4:$J$4003,出库单!$D$4:$D$4003,$A956,出库单!$K$4:$K$4003,"自用消耗",出库单!$U$4:$U$4003,"正常",出库单!$C$4:$C$4003,"&gt;="&amp;账期起,出库单!$C$4:$C$4003,"&lt;="&amp;账期止))</f>
        <v/>
      </c>
      <c r="Q956" s="26">
        <f>IF($A956="","",ROUND(SUMIFS(出库单!$S$4:$S$4003,出库单!$D$4:$D$4003,$A956,出库单!$K$4:$K$4003,"自用消耗",出库单!$U$4:$U$4003,"正常",出库单!$C$4:$C$4003,"&gt;="&amp;账期起,出库单!$C$4:$C$4003,"&lt;="&amp;账期止),0))</f>
        <v/>
      </c>
      <c r="R956" s="27">
        <f>IF($A956="","",SUMIFS(出库单!$J$4:$J$4003,出库单!$D$4:$D$4003,$A956,出库单!$K$4:$K$4003,"对外销售",出库单!$U$4:$U$4003,"正常",出库单!$C$4:$C$4003,"&gt;="&amp;账期起,出库单!$C$4:$C$4003,"&lt;="&amp;账期止))</f>
        <v/>
      </c>
      <c r="S956" s="26">
        <f>IF($A956="","",ROUND(SUMIFS(出库单!$S$4:$S$4003,出库单!$D$4:$D$4003,$A956,出库单!$K$4:$K$4003,"对外销售",出库单!$U$4:$U$4003,"正常",出库单!$C$4:$C$4003,"&gt;="&amp;账期起,出库单!$C$4:$C$4003,"&lt;="&amp;账期止),0))</f>
        <v/>
      </c>
      <c r="T956" s="27">
        <f>IF($A956="","",SUMIFS(出库单!$J$4:$J$4003,出库单!$D$4:$D$4003,$A956,出库单!$K$4:$K$4003,"盘亏",出库单!$U$4:$U$4003,"正常",出库单!$C$4:$C$4003,"&gt;="&amp;账期起,出库单!$C$4:$C$4003,"&lt;="&amp;账期止))</f>
        <v/>
      </c>
      <c r="U956" s="26">
        <f>IF($A956="","",ROUND(SUMIFS(出库单!$S$4:$S$4003,出库单!$D$4:$D$4003,$A956,出库单!$K$4:$K$4003,"盘亏",出库单!$U$4:$U$4003,"正常",出库单!$C$4:$C$4003,"&gt;="&amp;账期起,出库单!$C$4:$C$4003,"&lt;="&amp;账期止),0))</f>
        <v/>
      </c>
      <c r="V956" s="27">
        <f>IF($A956="","",SUMIFS(出库单!$J$4:$J$4003,出库单!$D$4:$D$4003,$A956,出库单!$K$4:$K$4003,"退货给供应商",出库单!$U$4:$U$4003,"正常",出库单!$C$4:$C$4003,"&gt;="&amp;账期起,出库单!$C$4:$C$4003,"&lt;="&amp;账期止))</f>
        <v/>
      </c>
      <c r="W956" s="26">
        <f>IF($A956="","",ROUND(SUMIFS(出库单!$S$4:$S$4003,出库单!$D$4:$D$4003,$A956,出库单!$K$4:$K$4003,"退货给供应商",出库单!$U$4:$U$4003,"正常",出库单!$C$4:$C$4003,"&gt;="&amp;账期起,出库单!$C$4:$C$4003,"&lt;="&amp;账期止),0))</f>
        <v/>
      </c>
      <c r="X956" s="27">
        <f>IF($A956="","",ROUND(N($G956)+$I956+$L956+$N956-$P956-$R956-$T956-$V956,3))</f>
        <v/>
      </c>
      <c r="Y956" s="26">
        <f>IF($A956="","",ROUND(N($H956)+$J956+$M956+$O956-$Q956-$S956-$U956-$W956,0))</f>
        <v/>
      </c>
      <c r="Z956" s="24">
        <f>IF($A956="","",IF(COUNTIFS(入库单!$G$4:$G$2503,$A956,入库单!$Y$4:$Y$2503,"待补价")+COUNTIFS(入库单!$G$4:$G$2503,$A956,入库单!$Y$4:$Y$2503,"暂估")&gt;0,"不可信","可信"))</f>
        <v/>
      </c>
      <c r="AA956" s="24">
        <f>IF($A956="","",IF($X956&lt;-0.001,"※账面负库存，查一下是不是漏记入库",IF(AND(ROUND($X956,3)=0,ABS($Y956)&gt;1),"※数量已经是 0，金额还挂着 "&amp;TEXT($Y956,"#,##0")&amp;" 先令",IF(AND($X956&gt;0,$Y956&lt;=0,$K956=0),"※有数量没金额（这个物料一直没填过进价）",IF($Z956="不可信","△成本含待补价/暂估，毛利仅供参考","")))))</f>
        <v/>
      </c>
    </row>
    <row r="957">
      <c r="A957" s="24">
        <f>IF(物料档案!$A956="","",物料档案!$A956)</f>
        <v/>
      </c>
      <c r="B957" s="24">
        <f>IF($A957="","",IFERROR(VLOOKUP($A957,物料档案!$A$4:$P$1203,3,0),""))</f>
        <v/>
      </c>
      <c r="C957" s="24">
        <f>IF($A957="","",IFERROR(VLOOKUP($A957,物料档案!$A$4:$P$1203,4,0),""))</f>
        <v/>
      </c>
      <c r="D957" s="24">
        <f>IF($A957="","",IFERROR(VLOOKUP($A957,物料档案!$A$4:$P$1203,5,0),""))</f>
        <v/>
      </c>
      <c r="E957" s="24">
        <f>IF($A957="","",IFERROR(VLOOKUP($A957,物料档案!$A$4:$P$1203,2,0),""))</f>
        <v/>
      </c>
      <c r="F957" s="24">
        <f>IF($A957="","",IFERROR(VLOOKUP($A957,物料档案!$A$4:$P$1203,6,0),""))</f>
        <v/>
      </c>
      <c r="G957" s="23" t="n"/>
      <c r="H957" s="32" t="n"/>
      <c r="I957" s="27">
        <f>IF($A957="","",SUMIFS(入库单!$K$4:$K$2503,入库单!$G$4:$G$2503,$A957,入库单!$X$4:$X$2503,"采购入库",入库单!$Z$4:$Z$2503,"正常",入库单!$C$4:$C$2503,"&gt;="&amp;账期起,入库单!$C$4:$C$2503,"&lt;="&amp;账期止))</f>
        <v/>
      </c>
      <c r="J957" s="26">
        <f>IF($A957="","",SUMIFS(入库单!$V$4:$V$2503,入库单!$G$4:$G$2503,$A957,入库单!$X$4:$X$2503,"采购入库",入库单!$Z$4:$Z$2503,"正常",入库单!$C$4:$C$2503,"&gt;="&amp;账期起,入库单!$C$4:$C$2503,"&lt;="&amp;账期止))</f>
        <v/>
      </c>
      <c r="K957" s="26">
        <f>IF($A957="","",IFERROR(ROUND((N($H957)+N($J957))/(N($G957)+N($I957)),2),0))</f>
        <v/>
      </c>
      <c r="L957" s="27">
        <f>IF($A957="","",SUMIFS(入库单!$K$4:$K$2503,入库单!$G$4:$G$2503,$A957,入库单!$X$4:$X$2503,"盘盈",入库单!$Z$4:$Z$2503,"正常",入库单!$C$4:$C$2503,"&gt;="&amp;账期起,入库单!$C$4:$C$2503,"&lt;="&amp;账期止))</f>
        <v/>
      </c>
      <c r="M957" s="26">
        <f>IF($A957="","",ROUND($L957*$K957,0))</f>
        <v/>
      </c>
      <c r="N957" s="27">
        <f>IF($A957="","",SUMIFS(入库单!$K$4:$K$2503,入库单!$G$4:$G$2503,$A957,入库单!$X$4:$X$2503,"矿区退库",入库单!$Z$4:$Z$2503,"正常",入库单!$C$4:$C$2503,"&gt;="&amp;账期起,入库单!$C$4:$C$2503,"&lt;="&amp;账期止))</f>
        <v/>
      </c>
      <c r="O957" s="26">
        <f>IF($A957="","",ROUND($N957*$K957,0))</f>
        <v/>
      </c>
      <c r="P957" s="27">
        <f>IF($A957="","",SUMIFS(出库单!$J$4:$J$4003,出库单!$D$4:$D$4003,$A957,出库单!$K$4:$K$4003,"自用消耗",出库单!$U$4:$U$4003,"正常",出库单!$C$4:$C$4003,"&gt;="&amp;账期起,出库单!$C$4:$C$4003,"&lt;="&amp;账期止))</f>
        <v/>
      </c>
      <c r="Q957" s="26">
        <f>IF($A957="","",ROUND(SUMIFS(出库单!$S$4:$S$4003,出库单!$D$4:$D$4003,$A957,出库单!$K$4:$K$4003,"自用消耗",出库单!$U$4:$U$4003,"正常",出库单!$C$4:$C$4003,"&gt;="&amp;账期起,出库单!$C$4:$C$4003,"&lt;="&amp;账期止),0))</f>
        <v/>
      </c>
      <c r="R957" s="27">
        <f>IF($A957="","",SUMIFS(出库单!$J$4:$J$4003,出库单!$D$4:$D$4003,$A957,出库单!$K$4:$K$4003,"对外销售",出库单!$U$4:$U$4003,"正常",出库单!$C$4:$C$4003,"&gt;="&amp;账期起,出库单!$C$4:$C$4003,"&lt;="&amp;账期止))</f>
        <v/>
      </c>
      <c r="S957" s="26">
        <f>IF($A957="","",ROUND(SUMIFS(出库单!$S$4:$S$4003,出库单!$D$4:$D$4003,$A957,出库单!$K$4:$K$4003,"对外销售",出库单!$U$4:$U$4003,"正常",出库单!$C$4:$C$4003,"&gt;="&amp;账期起,出库单!$C$4:$C$4003,"&lt;="&amp;账期止),0))</f>
        <v/>
      </c>
      <c r="T957" s="27">
        <f>IF($A957="","",SUMIFS(出库单!$J$4:$J$4003,出库单!$D$4:$D$4003,$A957,出库单!$K$4:$K$4003,"盘亏",出库单!$U$4:$U$4003,"正常",出库单!$C$4:$C$4003,"&gt;="&amp;账期起,出库单!$C$4:$C$4003,"&lt;="&amp;账期止))</f>
        <v/>
      </c>
      <c r="U957" s="26">
        <f>IF($A957="","",ROUND(SUMIFS(出库单!$S$4:$S$4003,出库单!$D$4:$D$4003,$A957,出库单!$K$4:$K$4003,"盘亏",出库单!$U$4:$U$4003,"正常",出库单!$C$4:$C$4003,"&gt;="&amp;账期起,出库单!$C$4:$C$4003,"&lt;="&amp;账期止),0))</f>
        <v/>
      </c>
      <c r="V957" s="27">
        <f>IF($A957="","",SUMIFS(出库单!$J$4:$J$4003,出库单!$D$4:$D$4003,$A957,出库单!$K$4:$K$4003,"退货给供应商",出库单!$U$4:$U$4003,"正常",出库单!$C$4:$C$4003,"&gt;="&amp;账期起,出库单!$C$4:$C$4003,"&lt;="&amp;账期止))</f>
        <v/>
      </c>
      <c r="W957" s="26">
        <f>IF($A957="","",ROUND(SUMIFS(出库单!$S$4:$S$4003,出库单!$D$4:$D$4003,$A957,出库单!$K$4:$K$4003,"退货给供应商",出库单!$U$4:$U$4003,"正常",出库单!$C$4:$C$4003,"&gt;="&amp;账期起,出库单!$C$4:$C$4003,"&lt;="&amp;账期止),0))</f>
        <v/>
      </c>
      <c r="X957" s="27">
        <f>IF($A957="","",ROUND(N($G957)+$I957+$L957+$N957-$P957-$R957-$T957-$V957,3))</f>
        <v/>
      </c>
      <c r="Y957" s="26">
        <f>IF($A957="","",ROUND(N($H957)+$J957+$M957+$O957-$Q957-$S957-$U957-$W957,0))</f>
        <v/>
      </c>
      <c r="Z957" s="24">
        <f>IF($A957="","",IF(COUNTIFS(入库单!$G$4:$G$2503,$A957,入库单!$Y$4:$Y$2503,"待补价")+COUNTIFS(入库单!$G$4:$G$2503,$A957,入库单!$Y$4:$Y$2503,"暂估")&gt;0,"不可信","可信"))</f>
        <v/>
      </c>
      <c r="AA957" s="24">
        <f>IF($A957="","",IF($X957&lt;-0.001,"※账面负库存，查一下是不是漏记入库",IF(AND(ROUND($X957,3)=0,ABS($Y957)&gt;1),"※数量已经是 0，金额还挂着 "&amp;TEXT($Y957,"#,##0")&amp;" 先令",IF(AND($X957&gt;0,$Y957&lt;=0,$K957=0),"※有数量没金额（这个物料一直没填过进价）",IF($Z957="不可信","△成本含待补价/暂估，毛利仅供参考","")))))</f>
        <v/>
      </c>
    </row>
    <row r="958">
      <c r="A958" s="24">
        <f>IF(物料档案!$A957="","",物料档案!$A957)</f>
        <v/>
      </c>
      <c r="B958" s="24">
        <f>IF($A958="","",IFERROR(VLOOKUP($A958,物料档案!$A$4:$P$1203,3,0),""))</f>
        <v/>
      </c>
      <c r="C958" s="24">
        <f>IF($A958="","",IFERROR(VLOOKUP($A958,物料档案!$A$4:$P$1203,4,0),""))</f>
        <v/>
      </c>
      <c r="D958" s="24">
        <f>IF($A958="","",IFERROR(VLOOKUP($A958,物料档案!$A$4:$P$1203,5,0),""))</f>
        <v/>
      </c>
      <c r="E958" s="24">
        <f>IF($A958="","",IFERROR(VLOOKUP($A958,物料档案!$A$4:$P$1203,2,0),""))</f>
        <v/>
      </c>
      <c r="F958" s="24">
        <f>IF($A958="","",IFERROR(VLOOKUP($A958,物料档案!$A$4:$P$1203,6,0),""))</f>
        <v/>
      </c>
      <c r="G958" s="23" t="n"/>
      <c r="H958" s="32" t="n"/>
      <c r="I958" s="27">
        <f>IF($A958="","",SUMIFS(入库单!$K$4:$K$2503,入库单!$G$4:$G$2503,$A958,入库单!$X$4:$X$2503,"采购入库",入库单!$Z$4:$Z$2503,"正常",入库单!$C$4:$C$2503,"&gt;="&amp;账期起,入库单!$C$4:$C$2503,"&lt;="&amp;账期止))</f>
        <v/>
      </c>
      <c r="J958" s="26">
        <f>IF($A958="","",SUMIFS(入库单!$V$4:$V$2503,入库单!$G$4:$G$2503,$A958,入库单!$X$4:$X$2503,"采购入库",入库单!$Z$4:$Z$2503,"正常",入库单!$C$4:$C$2503,"&gt;="&amp;账期起,入库单!$C$4:$C$2503,"&lt;="&amp;账期止))</f>
        <v/>
      </c>
      <c r="K958" s="26">
        <f>IF($A958="","",IFERROR(ROUND((N($H958)+N($J958))/(N($G958)+N($I958)),2),0))</f>
        <v/>
      </c>
      <c r="L958" s="27">
        <f>IF($A958="","",SUMIFS(入库单!$K$4:$K$2503,入库单!$G$4:$G$2503,$A958,入库单!$X$4:$X$2503,"盘盈",入库单!$Z$4:$Z$2503,"正常",入库单!$C$4:$C$2503,"&gt;="&amp;账期起,入库单!$C$4:$C$2503,"&lt;="&amp;账期止))</f>
        <v/>
      </c>
      <c r="M958" s="26">
        <f>IF($A958="","",ROUND($L958*$K958,0))</f>
        <v/>
      </c>
      <c r="N958" s="27">
        <f>IF($A958="","",SUMIFS(入库单!$K$4:$K$2503,入库单!$G$4:$G$2503,$A958,入库单!$X$4:$X$2503,"矿区退库",入库单!$Z$4:$Z$2503,"正常",入库单!$C$4:$C$2503,"&gt;="&amp;账期起,入库单!$C$4:$C$2503,"&lt;="&amp;账期止))</f>
        <v/>
      </c>
      <c r="O958" s="26">
        <f>IF($A958="","",ROUND($N958*$K958,0))</f>
        <v/>
      </c>
      <c r="P958" s="27">
        <f>IF($A958="","",SUMIFS(出库单!$J$4:$J$4003,出库单!$D$4:$D$4003,$A958,出库单!$K$4:$K$4003,"自用消耗",出库单!$U$4:$U$4003,"正常",出库单!$C$4:$C$4003,"&gt;="&amp;账期起,出库单!$C$4:$C$4003,"&lt;="&amp;账期止))</f>
        <v/>
      </c>
      <c r="Q958" s="26">
        <f>IF($A958="","",ROUND(SUMIFS(出库单!$S$4:$S$4003,出库单!$D$4:$D$4003,$A958,出库单!$K$4:$K$4003,"自用消耗",出库单!$U$4:$U$4003,"正常",出库单!$C$4:$C$4003,"&gt;="&amp;账期起,出库单!$C$4:$C$4003,"&lt;="&amp;账期止),0))</f>
        <v/>
      </c>
      <c r="R958" s="27">
        <f>IF($A958="","",SUMIFS(出库单!$J$4:$J$4003,出库单!$D$4:$D$4003,$A958,出库单!$K$4:$K$4003,"对外销售",出库单!$U$4:$U$4003,"正常",出库单!$C$4:$C$4003,"&gt;="&amp;账期起,出库单!$C$4:$C$4003,"&lt;="&amp;账期止))</f>
        <v/>
      </c>
      <c r="S958" s="26">
        <f>IF($A958="","",ROUND(SUMIFS(出库单!$S$4:$S$4003,出库单!$D$4:$D$4003,$A958,出库单!$K$4:$K$4003,"对外销售",出库单!$U$4:$U$4003,"正常",出库单!$C$4:$C$4003,"&gt;="&amp;账期起,出库单!$C$4:$C$4003,"&lt;="&amp;账期止),0))</f>
        <v/>
      </c>
      <c r="T958" s="27">
        <f>IF($A958="","",SUMIFS(出库单!$J$4:$J$4003,出库单!$D$4:$D$4003,$A958,出库单!$K$4:$K$4003,"盘亏",出库单!$U$4:$U$4003,"正常",出库单!$C$4:$C$4003,"&gt;="&amp;账期起,出库单!$C$4:$C$4003,"&lt;="&amp;账期止))</f>
        <v/>
      </c>
      <c r="U958" s="26">
        <f>IF($A958="","",ROUND(SUMIFS(出库单!$S$4:$S$4003,出库单!$D$4:$D$4003,$A958,出库单!$K$4:$K$4003,"盘亏",出库单!$U$4:$U$4003,"正常",出库单!$C$4:$C$4003,"&gt;="&amp;账期起,出库单!$C$4:$C$4003,"&lt;="&amp;账期止),0))</f>
        <v/>
      </c>
      <c r="V958" s="27">
        <f>IF($A958="","",SUMIFS(出库单!$J$4:$J$4003,出库单!$D$4:$D$4003,$A958,出库单!$K$4:$K$4003,"退货给供应商",出库单!$U$4:$U$4003,"正常",出库单!$C$4:$C$4003,"&gt;="&amp;账期起,出库单!$C$4:$C$4003,"&lt;="&amp;账期止))</f>
        <v/>
      </c>
      <c r="W958" s="26">
        <f>IF($A958="","",ROUND(SUMIFS(出库单!$S$4:$S$4003,出库单!$D$4:$D$4003,$A958,出库单!$K$4:$K$4003,"退货给供应商",出库单!$U$4:$U$4003,"正常",出库单!$C$4:$C$4003,"&gt;="&amp;账期起,出库单!$C$4:$C$4003,"&lt;="&amp;账期止),0))</f>
        <v/>
      </c>
      <c r="X958" s="27">
        <f>IF($A958="","",ROUND(N($G958)+$I958+$L958+$N958-$P958-$R958-$T958-$V958,3))</f>
        <v/>
      </c>
      <c r="Y958" s="26">
        <f>IF($A958="","",ROUND(N($H958)+$J958+$M958+$O958-$Q958-$S958-$U958-$W958,0))</f>
        <v/>
      </c>
      <c r="Z958" s="24">
        <f>IF($A958="","",IF(COUNTIFS(入库单!$G$4:$G$2503,$A958,入库单!$Y$4:$Y$2503,"待补价")+COUNTIFS(入库单!$G$4:$G$2503,$A958,入库单!$Y$4:$Y$2503,"暂估")&gt;0,"不可信","可信"))</f>
        <v/>
      </c>
      <c r="AA958" s="24">
        <f>IF($A958="","",IF($X958&lt;-0.001,"※账面负库存，查一下是不是漏记入库",IF(AND(ROUND($X958,3)=0,ABS($Y958)&gt;1),"※数量已经是 0，金额还挂着 "&amp;TEXT($Y958,"#,##0")&amp;" 先令",IF(AND($X958&gt;0,$Y958&lt;=0,$K958=0),"※有数量没金额（这个物料一直没填过进价）",IF($Z958="不可信","△成本含待补价/暂估，毛利仅供参考","")))))</f>
        <v/>
      </c>
    </row>
    <row r="959">
      <c r="A959" s="24">
        <f>IF(物料档案!$A958="","",物料档案!$A958)</f>
        <v/>
      </c>
      <c r="B959" s="24">
        <f>IF($A959="","",IFERROR(VLOOKUP($A959,物料档案!$A$4:$P$1203,3,0),""))</f>
        <v/>
      </c>
      <c r="C959" s="24">
        <f>IF($A959="","",IFERROR(VLOOKUP($A959,物料档案!$A$4:$P$1203,4,0),""))</f>
        <v/>
      </c>
      <c r="D959" s="24">
        <f>IF($A959="","",IFERROR(VLOOKUP($A959,物料档案!$A$4:$P$1203,5,0),""))</f>
        <v/>
      </c>
      <c r="E959" s="24">
        <f>IF($A959="","",IFERROR(VLOOKUP($A959,物料档案!$A$4:$P$1203,2,0),""))</f>
        <v/>
      </c>
      <c r="F959" s="24">
        <f>IF($A959="","",IFERROR(VLOOKUP($A959,物料档案!$A$4:$P$1203,6,0),""))</f>
        <v/>
      </c>
      <c r="G959" s="23" t="n"/>
      <c r="H959" s="32" t="n"/>
      <c r="I959" s="27">
        <f>IF($A959="","",SUMIFS(入库单!$K$4:$K$2503,入库单!$G$4:$G$2503,$A959,入库单!$X$4:$X$2503,"采购入库",入库单!$Z$4:$Z$2503,"正常",入库单!$C$4:$C$2503,"&gt;="&amp;账期起,入库单!$C$4:$C$2503,"&lt;="&amp;账期止))</f>
        <v/>
      </c>
      <c r="J959" s="26">
        <f>IF($A959="","",SUMIFS(入库单!$V$4:$V$2503,入库单!$G$4:$G$2503,$A959,入库单!$X$4:$X$2503,"采购入库",入库单!$Z$4:$Z$2503,"正常",入库单!$C$4:$C$2503,"&gt;="&amp;账期起,入库单!$C$4:$C$2503,"&lt;="&amp;账期止))</f>
        <v/>
      </c>
      <c r="K959" s="26">
        <f>IF($A959="","",IFERROR(ROUND((N($H959)+N($J959))/(N($G959)+N($I959)),2),0))</f>
        <v/>
      </c>
      <c r="L959" s="27">
        <f>IF($A959="","",SUMIFS(入库单!$K$4:$K$2503,入库单!$G$4:$G$2503,$A959,入库单!$X$4:$X$2503,"盘盈",入库单!$Z$4:$Z$2503,"正常",入库单!$C$4:$C$2503,"&gt;="&amp;账期起,入库单!$C$4:$C$2503,"&lt;="&amp;账期止))</f>
        <v/>
      </c>
      <c r="M959" s="26">
        <f>IF($A959="","",ROUND($L959*$K959,0))</f>
        <v/>
      </c>
      <c r="N959" s="27">
        <f>IF($A959="","",SUMIFS(入库单!$K$4:$K$2503,入库单!$G$4:$G$2503,$A959,入库单!$X$4:$X$2503,"矿区退库",入库单!$Z$4:$Z$2503,"正常",入库单!$C$4:$C$2503,"&gt;="&amp;账期起,入库单!$C$4:$C$2503,"&lt;="&amp;账期止))</f>
        <v/>
      </c>
      <c r="O959" s="26">
        <f>IF($A959="","",ROUND($N959*$K959,0))</f>
        <v/>
      </c>
      <c r="P959" s="27">
        <f>IF($A959="","",SUMIFS(出库单!$J$4:$J$4003,出库单!$D$4:$D$4003,$A959,出库单!$K$4:$K$4003,"自用消耗",出库单!$U$4:$U$4003,"正常",出库单!$C$4:$C$4003,"&gt;="&amp;账期起,出库单!$C$4:$C$4003,"&lt;="&amp;账期止))</f>
        <v/>
      </c>
      <c r="Q959" s="26">
        <f>IF($A959="","",ROUND(SUMIFS(出库单!$S$4:$S$4003,出库单!$D$4:$D$4003,$A959,出库单!$K$4:$K$4003,"自用消耗",出库单!$U$4:$U$4003,"正常",出库单!$C$4:$C$4003,"&gt;="&amp;账期起,出库单!$C$4:$C$4003,"&lt;="&amp;账期止),0))</f>
        <v/>
      </c>
      <c r="R959" s="27">
        <f>IF($A959="","",SUMIFS(出库单!$J$4:$J$4003,出库单!$D$4:$D$4003,$A959,出库单!$K$4:$K$4003,"对外销售",出库单!$U$4:$U$4003,"正常",出库单!$C$4:$C$4003,"&gt;="&amp;账期起,出库单!$C$4:$C$4003,"&lt;="&amp;账期止))</f>
        <v/>
      </c>
      <c r="S959" s="26">
        <f>IF($A959="","",ROUND(SUMIFS(出库单!$S$4:$S$4003,出库单!$D$4:$D$4003,$A959,出库单!$K$4:$K$4003,"对外销售",出库单!$U$4:$U$4003,"正常",出库单!$C$4:$C$4003,"&gt;="&amp;账期起,出库单!$C$4:$C$4003,"&lt;="&amp;账期止),0))</f>
        <v/>
      </c>
      <c r="T959" s="27">
        <f>IF($A959="","",SUMIFS(出库单!$J$4:$J$4003,出库单!$D$4:$D$4003,$A959,出库单!$K$4:$K$4003,"盘亏",出库单!$U$4:$U$4003,"正常",出库单!$C$4:$C$4003,"&gt;="&amp;账期起,出库单!$C$4:$C$4003,"&lt;="&amp;账期止))</f>
        <v/>
      </c>
      <c r="U959" s="26">
        <f>IF($A959="","",ROUND(SUMIFS(出库单!$S$4:$S$4003,出库单!$D$4:$D$4003,$A959,出库单!$K$4:$K$4003,"盘亏",出库单!$U$4:$U$4003,"正常",出库单!$C$4:$C$4003,"&gt;="&amp;账期起,出库单!$C$4:$C$4003,"&lt;="&amp;账期止),0))</f>
        <v/>
      </c>
      <c r="V959" s="27">
        <f>IF($A959="","",SUMIFS(出库单!$J$4:$J$4003,出库单!$D$4:$D$4003,$A959,出库单!$K$4:$K$4003,"退货给供应商",出库单!$U$4:$U$4003,"正常",出库单!$C$4:$C$4003,"&gt;="&amp;账期起,出库单!$C$4:$C$4003,"&lt;="&amp;账期止))</f>
        <v/>
      </c>
      <c r="W959" s="26">
        <f>IF($A959="","",ROUND(SUMIFS(出库单!$S$4:$S$4003,出库单!$D$4:$D$4003,$A959,出库单!$K$4:$K$4003,"退货给供应商",出库单!$U$4:$U$4003,"正常",出库单!$C$4:$C$4003,"&gt;="&amp;账期起,出库单!$C$4:$C$4003,"&lt;="&amp;账期止),0))</f>
        <v/>
      </c>
      <c r="X959" s="27">
        <f>IF($A959="","",ROUND(N($G959)+$I959+$L959+$N959-$P959-$R959-$T959-$V959,3))</f>
        <v/>
      </c>
      <c r="Y959" s="26">
        <f>IF($A959="","",ROUND(N($H959)+$J959+$M959+$O959-$Q959-$S959-$U959-$W959,0))</f>
        <v/>
      </c>
      <c r="Z959" s="24">
        <f>IF($A959="","",IF(COUNTIFS(入库单!$G$4:$G$2503,$A959,入库单!$Y$4:$Y$2503,"待补价")+COUNTIFS(入库单!$G$4:$G$2503,$A959,入库单!$Y$4:$Y$2503,"暂估")&gt;0,"不可信","可信"))</f>
        <v/>
      </c>
      <c r="AA959" s="24">
        <f>IF($A959="","",IF($X959&lt;-0.001,"※账面负库存，查一下是不是漏记入库",IF(AND(ROUND($X959,3)=0,ABS($Y959)&gt;1),"※数量已经是 0，金额还挂着 "&amp;TEXT($Y959,"#,##0")&amp;" 先令",IF(AND($X959&gt;0,$Y959&lt;=0,$K959=0),"※有数量没金额（这个物料一直没填过进价）",IF($Z959="不可信","△成本含待补价/暂估，毛利仅供参考","")))))</f>
        <v/>
      </c>
    </row>
    <row r="960">
      <c r="A960" s="24">
        <f>IF(物料档案!$A959="","",物料档案!$A959)</f>
        <v/>
      </c>
      <c r="B960" s="24">
        <f>IF($A960="","",IFERROR(VLOOKUP($A960,物料档案!$A$4:$P$1203,3,0),""))</f>
        <v/>
      </c>
      <c r="C960" s="24">
        <f>IF($A960="","",IFERROR(VLOOKUP($A960,物料档案!$A$4:$P$1203,4,0),""))</f>
        <v/>
      </c>
      <c r="D960" s="24">
        <f>IF($A960="","",IFERROR(VLOOKUP($A960,物料档案!$A$4:$P$1203,5,0),""))</f>
        <v/>
      </c>
      <c r="E960" s="24">
        <f>IF($A960="","",IFERROR(VLOOKUP($A960,物料档案!$A$4:$P$1203,2,0),""))</f>
        <v/>
      </c>
      <c r="F960" s="24">
        <f>IF($A960="","",IFERROR(VLOOKUP($A960,物料档案!$A$4:$P$1203,6,0),""))</f>
        <v/>
      </c>
      <c r="G960" s="23" t="n"/>
      <c r="H960" s="32" t="n"/>
      <c r="I960" s="27">
        <f>IF($A960="","",SUMIFS(入库单!$K$4:$K$2503,入库单!$G$4:$G$2503,$A960,入库单!$X$4:$X$2503,"采购入库",入库单!$Z$4:$Z$2503,"正常",入库单!$C$4:$C$2503,"&gt;="&amp;账期起,入库单!$C$4:$C$2503,"&lt;="&amp;账期止))</f>
        <v/>
      </c>
      <c r="J960" s="26">
        <f>IF($A960="","",SUMIFS(入库单!$V$4:$V$2503,入库单!$G$4:$G$2503,$A960,入库单!$X$4:$X$2503,"采购入库",入库单!$Z$4:$Z$2503,"正常",入库单!$C$4:$C$2503,"&gt;="&amp;账期起,入库单!$C$4:$C$2503,"&lt;="&amp;账期止))</f>
        <v/>
      </c>
      <c r="K960" s="26">
        <f>IF($A960="","",IFERROR(ROUND((N($H960)+N($J960))/(N($G960)+N($I960)),2),0))</f>
        <v/>
      </c>
      <c r="L960" s="27">
        <f>IF($A960="","",SUMIFS(入库单!$K$4:$K$2503,入库单!$G$4:$G$2503,$A960,入库单!$X$4:$X$2503,"盘盈",入库单!$Z$4:$Z$2503,"正常",入库单!$C$4:$C$2503,"&gt;="&amp;账期起,入库单!$C$4:$C$2503,"&lt;="&amp;账期止))</f>
        <v/>
      </c>
      <c r="M960" s="26">
        <f>IF($A960="","",ROUND($L960*$K960,0))</f>
        <v/>
      </c>
      <c r="N960" s="27">
        <f>IF($A960="","",SUMIFS(入库单!$K$4:$K$2503,入库单!$G$4:$G$2503,$A960,入库单!$X$4:$X$2503,"矿区退库",入库单!$Z$4:$Z$2503,"正常",入库单!$C$4:$C$2503,"&gt;="&amp;账期起,入库单!$C$4:$C$2503,"&lt;="&amp;账期止))</f>
        <v/>
      </c>
      <c r="O960" s="26">
        <f>IF($A960="","",ROUND($N960*$K960,0))</f>
        <v/>
      </c>
      <c r="P960" s="27">
        <f>IF($A960="","",SUMIFS(出库单!$J$4:$J$4003,出库单!$D$4:$D$4003,$A960,出库单!$K$4:$K$4003,"自用消耗",出库单!$U$4:$U$4003,"正常",出库单!$C$4:$C$4003,"&gt;="&amp;账期起,出库单!$C$4:$C$4003,"&lt;="&amp;账期止))</f>
        <v/>
      </c>
      <c r="Q960" s="26">
        <f>IF($A960="","",ROUND(SUMIFS(出库单!$S$4:$S$4003,出库单!$D$4:$D$4003,$A960,出库单!$K$4:$K$4003,"自用消耗",出库单!$U$4:$U$4003,"正常",出库单!$C$4:$C$4003,"&gt;="&amp;账期起,出库单!$C$4:$C$4003,"&lt;="&amp;账期止),0))</f>
        <v/>
      </c>
      <c r="R960" s="27">
        <f>IF($A960="","",SUMIFS(出库单!$J$4:$J$4003,出库单!$D$4:$D$4003,$A960,出库单!$K$4:$K$4003,"对外销售",出库单!$U$4:$U$4003,"正常",出库单!$C$4:$C$4003,"&gt;="&amp;账期起,出库单!$C$4:$C$4003,"&lt;="&amp;账期止))</f>
        <v/>
      </c>
      <c r="S960" s="26">
        <f>IF($A960="","",ROUND(SUMIFS(出库单!$S$4:$S$4003,出库单!$D$4:$D$4003,$A960,出库单!$K$4:$K$4003,"对外销售",出库单!$U$4:$U$4003,"正常",出库单!$C$4:$C$4003,"&gt;="&amp;账期起,出库单!$C$4:$C$4003,"&lt;="&amp;账期止),0))</f>
        <v/>
      </c>
      <c r="T960" s="27">
        <f>IF($A960="","",SUMIFS(出库单!$J$4:$J$4003,出库单!$D$4:$D$4003,$A960,出库单!$K$4:$K$4003,"盘亏",出库单!$U$4:$U$4003,"正常",出库单!$C$4:$C$4003,"&gt;="&amp;账期起,出库单!$C$4:$C$4003,"&lt;="&amp;账期止))</f>
        <v/>
      </c>
      <c r="U960" s="26">
        <f>IF($A960="","",ROUND(SUMIFS(出库单!$S$4:$S$4003,出库单!$D$4:$D$4003,$A960,出库单!$K$4:$K$4003,"盘亏",出库单!$U$4:$U$4003,"正常",出库单!$C$4:$C$4003,"&gt;="&amp;账期起,出库单!$C$4:$C$4003,"&lt;="&amp;账期止),0))</f>
        <v/>
      </c>
      <c r="V960" s="27">
        <f>IF($A960="","",SUMIFS(出库单!$J$4:$J$4003,出库单!$D$4:$D$4003,$A960,出库单!$K$4:$K$4003,"退货给供应商",出库单!$U$4:$U$4003,"正常",出库单!$C$4:$C$4003,"&gt;="&amp;账期起,出库单!$C$4:$C$4003,"&lt;="&amp;账期止))</f>
        <v/>
      </c>
      <c r="W960" s="26">
        <f>IF($A960="","",ROUND(SUMIFS(出库单!$S$4:$S$4003,出库单!$D$4:$D$4003,$A960,出库单!$K$4:$K$4003,"退货给供应商",出库单!$U$4:$U$4003,"正常",出库单!$C$4:$C$4003,"&gt;="&amp;账期起,出库单!$C$4:$C$4003,"&lt;="&amp;账期止),0))</f>
        <v/>
      </c>
      <c r="X960" s="27">
        <f>IF($A960="","",ROUND(N($G960)+$I960+$L960+$N960-$P960-$R960-$T960-$V960,3))</f>
        <v/>
      </c>
      <c r="Y960" s="26">
        <f>IF($A960="","",ROUND(N($H960)+$J960+$M960+$O960-$Q960-$S960-$U960-$W960,0))</f>
        <v/>
      </c>
      <c r="Z960" s="24">
        <f>IF($A960="","",IF(COUNTIFS(入库单!$G$4:$G$2503,$A960,入库单!$Y$4:$Y$2503,"待补价")+COUNTIFS(入库单!$G$4:$G$2503,$A960,入库单!$Y$4:$Y$2503,"暂估")&gt;0,"不可信","可信"))</f>
        <v/>
      </c>
      <c r="AA960" s="24">
        <f>IF($A960="","",IF($X960&lt;-0.001,"※账面负库存，查一下是不是漏记入库",IF(AND(ROUND($X960,3)=0,ABS($Y960)&gt;1),"※数量已经是 0，金额还挂着 "&amp;TEXT($Y960,"#,##0")&amp;" 先令",IF(AND($X960&gt;0,$Y960&lt;=0,$K960=0),"※有数量没金额（这个物料一直没填过进价）",IF($Z960="不可信","△成本含待补价/暂估，毛利仅供参考","")))))</f>
        <v/>
      </c>
    </row>
    <row r="961">
      <c r="A961" s="24">
        <f>IF(物料档案!$A960="","",物料档案!$A960)</f>
        <v/>
      </c>
      <c r="B961" s="24">
        <f>IF($A961="","",IFERROR(VLOOKUP($A961,物料档案!$A$4:$P$1203,3,0),""))</f>
        <v/>
      </c>
      <c r="C961" s="24">
        <f>IF($A961="","",IFERROR(VLOOKUP($A961,物料档案!$A$4:$P$1203,4,0),""))</f>
        <v/>
      </c>
      <c r="D961" s="24">
        <f>IF($A961="","",IFERROR(VLOOKUP($A961,物料档案!$A$4:$P$1203,5,0),""))</f>
        <v/>
      </c>
      <c r="E961" s="24">
        <f>IF($A961="","",IFERROR(VLOOKUP($A961,物料档案!$A$4:$P$1203,2,0),""))</f>
        <v/>
      </c>
      <c r="F961" s="24">
        <f>IF($A961="","",IFERROR(VLOOKUP($A961,物料档案!$A$4:$P$1203,6,0),""))</f>
        <v/>
      </c>
      <c r="G961" s="23" t="n"/>
      <c r="H961" s="32" t="n"/>
      <c r="I961" s="27">
        <f>IF($A961="","",SUMIFS(入库单!$K$4:$K$2503,入库单!$G$4:$G$2503,$A961,入库单!$X$4:$X$2503,"采购入库",入库单!$Z$4:$Z$2503,"正常",入库单!$C$4:$C$2503,"&gt;="&amp;账期起,入库单!$C$4:$C$2503,"&lt;="&amp;账期止))</f>
        <v/>
      </c>
      <c r="J961" s="26">
        <f>IF($A961="","",SUMIFS(入库单!$V$4:$V$2503,入库单!$G$4:$G$2503,$A961,入库单!$X$4:$X$2503,"采购入库",入库单!$Z$4:$Z$2503,"正常",入库单!$C$4:$C$2503,"&gt;="&amp;账期起,入库单!$C$4:$C$2503,"&lt;="&amp;账期止))</f>
        <v/>
      </c>
      <c r="K961" s="26">
        <f>IF($A961="","",IFERROR(ROUND((N($H961)+N($J961))/(N($G961)+N($I961)),2),0))</f>
        <v/>
      </c>
      <c r="L961" s="27">
        <f>IF($A961="","",SUMIFS(入库单!$K$4:$K$2503,入库单!$G$4:$G$2503,$A961,入库单!$X$4:$X$2503,"盘盈",入库单!$Z$4:$Z$2503,"正常",入库单!$C$4:$C$2503,"&gt;="&amp;账期起,入库单!$C$4:$C$2503,"&lt;="&amp;账期止))</f>
        <v/>
      </c>
      <c r="M961" s="26">
        <f>IF($A961="","",ROUND($L961*$K961,0))</f>
        <v/>
      </c>
      <c r="N961" s="27">
        <f>IF($A961="","",SUMIFS(入库单!$K$4:$K$2503,入库单!$G$4:$G$2503,$A961,入库单!$X$4:$X$2503,"矿区退库",入库单!$Z$4:$Z$2503,"正常",入库单!$C$4:$C$2503,"&gt;="&amp;账期起,入库单!$C$4:$C$2503,"&lt;="&amp;账期止))</f>
        <v/>
      </c>
      <c r="O961" s="26">
        <f>IF($A961="","",ROUND($N961*$K961,0))</f>
        <v/>
      </c>
      <c r="P961" s="27">
        <f>IF($A961="","",SUMIFS(出库单!$J$4:$J$4003,出库单!$D$4:$D$4003,$A961,出库单!$K$4:$K$4003,"自用消耗",出库单!$U$4:$U$4003,"正常",出库单!$C$4:$C$4003,"&gt;="&amp;账期起,出库单!$C$4:$C$4003,"&lt;="&amp;账期止))</f>
        <v/>
      </c>
      <c r="Q961" s="26">
        <f>IF($A961="","",ROUND(SUMIFS(出库单!$S$4:$S$4003,出库单!$D$4:$D$4003,$A961,出库单!$K$4:$K$4003,"自用消耗",出库单!$U$4:$U$4003,"正常",出库单!$C$4:$C$4003,"&gt;="&amp;账期起,出库单!$C$4:$C$4003,"&lt;="&amp;账期止),0))</f>
        <v/>
      </c>
      <c r="R961" s="27">
        <f>IF($A961="","",SUMIFS(出库单!$J$4:$J$4003,出库单!$D$4:$D$4003,$A961,出库单!$K$4:$K$4003,"对外销售",出库单!$U$4:$U$4003,"正常",出库单!$C$4:$C$4003,"&gt;="&amp;账期起,出库单!$C$4:$C$4003,"&lt;="&amp;账期止))</f>
        <v/>
      </c>
      <c r="S961" s="26">
        <f>IF($A961="","",ROUND(SUMIFS(出库单!$S$4:$S$4003,出库单!$D$4:$D$4003,$A961,出库单!$K$4:$K$4003,"对外销售",出库单!$U$4:$U$4003,"正常",出库单!$C$4:$C$4003,"&gt;="&amp;账期起,出库单!$C$4:$C$4003,"&lt;="&amp;账期止),0))</f>
        <v/>
      </c>
      <c r="T961" s="27">
        <f>IF($A961="","",SUMIFS(出库单!$J$4:$J$4003,出库单!$D$4:$D$4003,$A961,出库单!$K$4:$K$4003,"盘亏",出库单!$U$4:$U$4003,"正常",出库单!$C$4:$C$4003,"&gt;="&amp;账期起,出库单!$C$4:$C$4003,"&lt;="&amp;账期止))</f>
        <v/>
      </c>
      <c r="U961" s="26">
        <f>IF($A961="","",ROUND(SUMIFS(出库单!$S$4:$S$4003,出库单!$D$4:$D$4003,$A961,出库单!$K$4:$K$4003,"盘亏",出库单!$U$4:$U$4003,"正常",出库单!$C$4:$C$4003,"&gt;="&amp;账期起,出库单!$C$4:$C$4003,"&lt;="&amp;账期止),0))</f>
        <v/>
      </c>
      <c r="V961" s="27">
        <f>IF($A961="","",SUMIFS(出库单!$J$4:$J$4003,出库单!$D$4:$D$4003,$A961,出库单!$K$4:$K$4003,"退货给供应商",出库单!$U$4:$U$4003,"正常",出库单!$C$4:$C$4003,"&gt;="&amp;账期起,出库单!$C$4:$C$4003,"&lt;="&amp;账期止))</f>
        <v/>
      </c>
      <c r="W961" s="26">
        <f>IF($A961="","",ROUND(SUMIFS(出库单!$S$4:$S$4003,出库单!$D$4:$D$4003,$A961,出库单!$K$4:$K$4003,"退货给供应商",出库单!$U$4:$U$4003,"正常",出库单!$C$4:$C$4003,"&gt;="&amp;账期起,出库单!$C$4:$C$4003,"&lt;="&amp;账期止),0))</f>
        <v/>
      </c>
      <c r="X961" s="27">
        <f>IF($A961="","",ROUND(N($G961)+$I961+$L961+$N961-$P961-$R961-$T961-$V961,3))</f>
        <v/>
      </c>
      <c r="Y961" s="26">
        <f>IF($A961="","",ROUND(N($H961)+$J961+$M961+$O961-$Q961-$S961-$U961-$W961,0))</f>
        <v/>
      </c>
      <c r="Z961" s="24">
        <f>IF($A961="","",IF(COUNTIFS(入库单!$G$4:$G$2503,$A961,入库单!$Y$4:$Y$2503,"待补价")+COUNTIFS(入库单!$G$4:$G$2503,$A961,入库单!$Y$4:$Y$2503,"暂估")&gt;0,"不可信","可信"))</f>
        <v/>
      </c>
      <c r="AA961" s="24">
        <f>IF($A961="","",IF($X961&lt;-0.001,"※账面负库存，查一下是不是漏记入库",IF(AND(ROUND($X961,3)=0,ABS($Y961)&gt;1),"※数量已经是 0，金额还挂着 "&amp;TEXT($Y961,"#,##0")&amp;" 先令",IF(AND($X961&gt;0,$Y961&lt;=0,$K961=0),"※有数量没金额（这个物料一直没填过进价）",IF($Z961="不可信","△成本含待补价/暂估，毛利仅供参考","")))))</f>
        <v/>
      </c>
    </row>
    <row r="962">
      <c r="A962" s="24">
        <f>IF(物料档案!$A961="","",物料档案!$A961)</f>
        <v/>
      </c>
      <c r="B962" s="24">
        <f>IF($A962="","",IFERROR(VLOOKUP($A962,物料档案!$A$4:$P$1203,3,0),""))</f>
        <v/>
      </c>
      <c r="C962" s="24">
        <f>IF($A962="","",IFERROR(VLOOKUP($A962,物料档案!$A$4:$P$1203,4,0),""))</f>
        <v/>
      </c>
      <c r="D962" s="24">
        <f>IF($A962="","",IFERROR(VLOOKUP($A962,物料档案!$A$4:$P$1203,5,0),""))</f>
        <v/>
      </c>
      <c r="E962" s="24">
        <f>IF($A962="","",IFERROR(VLOOKUP($A962,物料档案!$A$4:$P$1203,2,0),""))</f>
        <v/>
      </c>
      <c r="F962" s="24">
        <f>IF($A962="","",IFERROR(VLOOKUP($A962,物料档案!$A$4:$P$1203,6,0),""))</f>
        <v/>
      </c>
      <c r="G962" s="23" t="n"/>
      <c r="H962" s="32" t="n"/>
      <c r="I962" s="27">
        <f>IF($A962="","",SUMIFS(入库单!$K$4:$K$2503,入库单!$G$4:$G$2503,$A962,入库单!$X$4:$X$2503,"采购入库",入库单!$Z$4:$Z$2503,"正常",入库单!$C$4:$C$2503,"&gt;="&amp;账期起,入库单!$C$4:$C$2503,"&lt;="&amp;账期止))</f>
        <v/>
      </c>
      <c r="J962" s="26">
        <f>IF($A962="","",SUMIFS(入库单!$V$4:$V$2503,入库单!$G$4:$G$2503,$A962,入库单!$X$4:$X$2503,"采购入库",入库单!$Z$4:$Z$2503,"正常",入库单!$C$4:$C$2503,"&gt;="&amp;账期起,入库单!$C$4:$C$2503,"&lt;="&amp;账期止))</f>
        <v/>
      </c>
      <c r="K962" s="26">
        <f>IF($A962="","",IFERROR(ROUND((N($H962)+N($J962))/(N($G962)+N($I962)),2),0))</f>
        <v/>
      </c>
      <c r="L962" s="27">
        <f>IF($A962="","",SUMIFS(入库单!$K$4:$K$2503,入库单!$G$4:$G$2503,$A962,入库单!$X$4:$X$2503,"盘盈",入库单!$Z$4:$Z$2503,"正常",入库单!$C$4:$C$2503,"&gt;="&amp;账期起,入库单!$C$4:$C$2503,"&lt;="&amp;账期止))</f>
        <v/>
      </c>
      <c r="M962" s="26">
        <f>IF($A962="","",ROUND($L962*$K962,0))</f>
        <v/>
      </c>
      <c r="N962" s="27">
        <f>IF($A962="","",SUMIFS(入库单!$K$4:$K$2503,入库单!$G$4:$G$2503,$A962,入库单!$X$4:$X$2503,"矿区退库",入库单!$Z$4:$Z$2503,"正常",入库单!$C$4:$C$2503,"&gt;="&amp;账期起,入库单!$C$4:$C$2503,"&lt;="&amp;账期止))</f>
        <v/>
      </c>
      <c r="O962" s="26">
        <f>IF($A962="","",ROUND($N962*$K962,0))</f>
        <v/>
      </c>
      <c r="P962" s="27">
        <f>IF($A962="","",SUMIFS(出库单!$J$4:$J$4003,出库单!$D$4:$D$4003,$A962,出库单!$K$4:$K$4003,"自用消耗",出库单!$U$4:$U$4003,"正常",出库单!$C$4:$C$4003,"&gt;="&amp;账期起,出库单!$C$4:$C$4003,"&lt;="&amp;账期止))</f>
        <v/>
      </c>
      <c r="Q962" s="26">
        <f>IF($A962="","",ROUND(SUMIFS(出库单!$S$4:$S$4003,出库单!$D$4:$D$4003,$A962,出库单!$K$4:$K$4003,"自用消耗",出库单!$U$4:$U$4003,"正常",出库单!$C$4:$C$4003,"&gt;="&amp;账期起,出库单!$C$4:$C$4003,"&lt;="&amp;账期止),0))</f>
        <v/>
      </c>
      <c r="R962" s="27">
        <f>IF($A962="","",SUMIFS(出库单!$J$4:$J$4003,出库单!$D$4:$D$4003,$A962,出库单!$K$4:$K$4003,"对外销售",出库单!$U$4:$U$4003,"正常",出库单!$C$4:$C$4003,"&gt;="&amp;账期起,出库单!$C$4:$C$4003,"&lt;="&amp;账期止))</f>
        <v/>
      </c>
      <c r="S962" s="26">
        <f>IF($A962="","",ROUND(SUMIFS(出库单!$S$4:$S$4003,出库单!$D$4:$D$4003,$A962,出库单!$K$4:$K$4003,"对外销售",出库单!$U$4:$U$4003,"正常",出库单!$C$4:$C$4003,"&gt;="&amp;账期起,出库单!$C$4:$C$4003,"&lt;="&amp;账期止),0))</f>
        <v/>
      </c>
      <c r="T962" s="27">
        <f>IF($A962="","",SUMIFS(出库单!$J$4:$J$4003,出库单!$D$4:$D$4003,$A962,出库单!$K$4:$K$4003,"盘亏",出库单!$U$4:$U$4003,"正常",出库单!$C$4:$C$4003,"&gt;="&amp;账期起,出库单!$C$4:$C$4003,"&lt;="&amp;账期止))</f>
        <v/>
      </c>
      <c r="U962" s="26">
        <f>IF($A962="","",ROUND(SUMIFS(出库单!$S$4:$S$4003,出库单!$D$4:$D$4003,$A962,出库单!$K$4:$K$4003,"盘亏",出库单!$U$4:$U$4003,"正常",出库单!$C$4:$C$4003,"&gt;="&amp;账期起,出库单!$C$4:$C$4003,"&lt;="&amp;账期止),0))</f>
        <v/>
      </c>
      <c r="V962" s="27">
        <f>IF($A962="","",SUMIFS(出库单!$J$4:$J$4003,出库单!$D$4:$D$4003,$A962,出库单!$K$4:$K$4003,"退货给供应商",出库单!$U$4:$U$4003,"正常",出库单!$C$4:$C$4003,"&gt;="&amp;账期起,出库单!$C$4:$C$4003,"&lt;="&amp;账期止))</f>
        <v/>
      </c>
      <c r="W962" s="26">
        <f>IF($A962="","",ROUND(SUMIFS(出库单!$S$4:$S$4003,出库单!$D$4:$D$4003,$A962,出库单!$K$4:$K$4003,"退货给供应商",出库单!$U$4:$U$4003,"正常",出库单!$C$4:$C$4003,"&gt;="&amp;账期起,出库单!$C$4:$C$4003,"&lt;="&amp;账期止),0))</f>
        <v/>
      </c>
      <c r="X962" s="27">
        <f>IF($A962="","",ROUND(N($G962)+$I962+$L962+$N962-$P962-$R962-$T962-$V962,3))</f>
        <v/>
      </c>
      <c r="Y962" s="26">
        <f>IF($A962="","",ROUND(N($H962)+$J962+$M962+$O962-$Q962-$S962-$U962-$W962,0))</f>
        <v/>
      </c>
      <c r="Z962" s="24">
        <f>IF($A962="","",IF(COUNTIFS(入库单!$G$4:$G$2503,$A962,入库单!$Y$4:$Y$2503,"待补价")+COUNTIFS(入库单!$G$4:$G$2503,$A962,入库单!$Y$4:$Y$2503,"暂估")&gt;0,"不可信","可信"))</f>
        <v/>
      </c>
      <c r="AA962" s="24">
        <f>IF($A962="","",IF($X962&lt;-0.001,"※账面负库存，查一下是不是漏记入库",IF(AND(ROUND($X962,3)=0,ABS($Y962)&gt;1),"※数量已经是 0，金额还挂着 "&amp;TEXT($Y962,"#,##0")&amp;" 先令",IF(AND($X962&gt;0,$Y962&lt;=0,$K962=0),"※有数量没金额（这个物料一直没填过进价）",IF($Z962="不可信","△成本含待补价/暂估，毛利仅供参考","")))))</f>
        <v/>
      </c>
    </row>
    <row r="963">
      <c r="A963" s="24">
        <f>IF(物料档案!$A962="","",物料档案!$A962)</f>
        <v/>
      </c>
      <c r="B963" s="24">
        <f>IF($A963="","",IFERROR(VLOOKUP($A963,物料档案!$A$4:$P$1203,3,0),""))</f>
        <v/>
      </c>
      <c r="C963" s="24">
        <f>IF($A963="","",IFERROR(VLOOKUP($A963,物料档案!$A$4:$P$1203,4,0),""))</f>
        <v/>
      </c>
      <c r="D963" s="24">
        <f>IF($A963="","",IFERROR(VLOOKUP($A963,物料档案!$A$4:$P$1203,5,0),""))</f>
        <v/>
      </c>
      <c r="E963" s="24">
        <f>IF($A963="","",IFERROR(VLOOKUP($A963,物料档案!$A$4:$P$1203,2,0),""))</f>
        <v/>
      </c>
      <c r="F963" s="24">
        <f>IF($A963="","",IFERROR(VLOOKUP($A963,物料档案!$A$4:$P$1203,6,0),""))</f>
        <v/>
      </c>
      <c r="G963" s="23" t="n"/>
      <c r="H963" s="32" t="n"/>
      <c r="I963" s="27">
        <f>IF($A963="","",SUMIFS(入库单!$K$4:$K$2503,入库单!$G$4:$G$2503,$A963,入库单!$X$4:$X$2503,"采购入库",入库单!$Z$4:$Z$2503,"正常",入库单!$C$4:$C$2503,"&gt;="&amp;账期起,入库单!$C$4:$C$2503,"&lt;="&amp;账期止))</f>
        <v/>
      </c>
      <c r="J963" s="26">
        <f>IF($A963="","",SUMIFS(入库单!$V$4:$V$2503,入库单!$G$4:$G$2503,$A963,入库单!$X$4:$X$2503,"采购入库",入库单!$Z$4:$Z$2503,"正常",入库单!$C$4:$C$2503,"&gt;="&amp;账期起,入库单!$C$4:$C$2503,"&lt;="&amp;账期止))</f>
        <v/>
      </c>
      <c r="K963" s="26">
        <f>IF($A963="","",IFERROR(ROUND((N($H963)+N($J963))/(N($G963)+N($I963)),2),0))</f>
        <v/>
      </c>
      <c r="L963" s="27">
        <f>IF($A963="","",SUMIFS(入库单!$K$4:$K$2503,入库单!$G$4:$G$2503,$A963,入库单!$X$4:$X$2503,"盘盈",入库单!$Z$4:$Z$2503,"正常",入库单!$C$4:$C$2503,"&gt;="&amp;账期起,入库单!$C$4:$C$2503,"&lt;="&amp;账期止))</f>
        <v/>
      </c>
      <c r="M963" s="26">
        <f>IF($A963="","",ROUND($L963*$K963,0))</f>
        <v/>
      </c>
      <c r="N963" s="27">
        <f>IF($A963="","",SUMIFS(入库单!$K$4:$K$2503,入库单!$G$4:$G$2503,$A963,入库单!$X$4:$X$2503,"矿区退库",入库单!$Z$4:$Z$2503,"正常",入库单!$C$4:$C$2503,"&gt;="&amp;账期起,入库单!$C$4:$C$2503,"&lt;="&amp;账期止))</f>
        <v/>
      </c>
      <c r="O963" s="26">
        <f>IF($A963="","",ROUND($N963*$K963,0))</f>
        <v/>
      </c>
      <c r="P963" s="27">
        <f>IF($A963="","",SUMIFS(出库单!$J$4:$J$4003,出库单!$D$4:$D$4003,$A963,出库单!$K$4:$K$4003,"自用消耗",出库单!$U$4:$U$4003,"正常",出库单!$C$4:$C$4003,"&gt;="&amp;账期起,出库单!$C$4:$C$4003,"&lt;="&amp;账期止))</f>
        <v/>
      </c>
      <c r="Q963" s="26">
        <f>IF($A963="","",ROUND(SUMIFS(出库单!$S$4:$S$4003,出库单!$D$4:$D$4003,$A963,出库单!$K$4:$K$4003,"自用消耗",出库单!$U$4:$U$4003,"正常",出库单!$C$4:$C$4003,"&gt;="&amp;账期起,出库单!$C$4:$C$4003,"&lt;="&amp;账期止),0))</f>
        <v/>
      </c>
      <c r="R963" s="27">
        <f>IF($A963="","",SUMIFS(出库单!$J$4:$J$4003,出库单!$D$4:$D$4003,$A963,出库单!$K$4:$K$4003,"对外销售",出库单!$U$4:$U$4003,"正常",出库单!$C$4:$C$4003,"&gt;="&amp;账期起,出库单!$C$4:$C$4003,"&lt;="&amp;账期止))</f>
        <v/>
      </c>
      <c r="S963" s="26">
        <f>IF($A963="","",ROUND(SUMIFS(出库单!$S$4:$S$4003,出库单!$D$4:$D$4003,$A963,出库单!$K$4:$K$4003,"对外销售",出库单!$U$4:$U$4003,"正常",出库单!$C$4:$C$4003,"&gt;="&amp;账期起,出库单!$C$4:$C$4003,"&lt;="&amp;账期止),0))</f>
        <v/>
      </c>
      <c r="T963" s="27">
        <f>IF($A963="","",SUMIFS(出库单!$J$4:$J$4003,出库单!$D$4:$D$4003,$A963,出库单!$K$4:$K$4003,"盘亏",出库单!$U$4:$U$4003,"正常",出库单!$C$4:$C$4003,"&gt;="&amp;账期起,出库单!$C$4:$C$4003,"&lt;="&amp;账期止))</f>
        <v/>
      </c>
      <c r="U963" s="26">
        <f>IF($A963="","",ROUND(SUMIFS(出库单!$S$4:$S$4003,出库单!$D$4:$D$4003,$A963,出库单!$K$4:$K$4003,"盘亏",出库单!$U$4:$U$4003,"正常",出库单!$C$4:$C$4003,"&gt;="&amp;账期起,出库单!$C$4:$C$4003,"&lt;="&amp;账期止),0))</f>
        <v/>
      </c>
      <c r="V963" s="27">
        <f>IF($A963="","",SUMIFS(出库单!$J$4:$J$4003,出库单!$D$4:$D$4003,$A963,出库单!$K$4:$K$4003,"退货给供应商",出库单!$U$4:$U$4003,"正常",出库单!$C$4:$C$4003,"&gt;="&amp;账期起,出库单!$C$4:$C$4003,"&lt;="&amp;账期止))</f>
        <v/>
      </c>
      <c r="W963" s="26">
        <f>IF($A963="","",ROUND(SUMIFS(出库单!$S$4:$S$4003,出库单!$D$4:$D$4003,$A963,出库单!$K$4:$K$4003,"退货给供应商",出库单!$U$4:$U$4003,"正常",出库单!$C$4:$C$4003,"&gt;="&amp;账期起,出库单!$C$4:$C$4003,"&lt;="&amp;账期止),0))</f>
        <v/>
      </c>
      <c r="X963" s="27">
        <f>IF($A963="","",ROUND(N($G963)+$I963+$L963+$N963-$P963-$R963-$T963-$V963,3))</f>
        <v/>
      </c>
      <c r="Y963" s="26">
        <f>IF($A963="","",ROUND(N($H963)+$J963+$M963+$O963-$Q963-$S963-$U963-$W963,0))</f>
        <v/>
      </c>
      <c r="Z963" s="24">
        <f>IF($A963="","",IF(COUNTIFS(入库单!$G$4:$G$2503,$A963,入库单!$Y$4:$Y$2503,"待补价")+COUNTIFS(入库单!$G$4:$G$2503,$A963,入库单!$Y$4:$Y$2503,"暂估")&gt;0,"不可信","可信"))</f>
        <v/>
      </c>
      <c r="AA963" s="24">
        <f>IF($A963="","",IF($X963&lt;-0.001,"※账面负库存，查一下是不是漏记入库",IF(AND(ROUND($X963,3)=0,ABS($Y963)&gt;1),"※数量已经是 0，金额还挂着 "&amp;TEXT($Y963,"#,##0")&amp;" 先令",IF(AND($X963&gt;0,$Y963&lt;=0,$K963=0),"※有数量没金额（这个物料一直没填过进价）",IF($Z963="不可信","△成本含待补价/暂估，毛利仅供参考","")))))</f>
        <v/>
      </c>
    </row>
    <row r="964">
      <c r="A964" s="24">
        <f>IF(物料档案!$A963="","",物料档案!$A963)</f>
        <v/>
      </c>
      <c r="B964" s="24">
        <f>IF($A964="","",IFERROR(VLOOKUP($A964,物料档案!$A$4:$P$1203,3,0),""))</f>
        <v/>
      </c>
      <c r="C964" s="24">
        <f>IF($A964="","",IFERROR(VLOOKUP($A964,物料档案!$A$4:$P$1203,4,0),""))</f>
        <v/>
      </c>
      <c r="D964" s="24">
        <f>IF($A964="","",IFERROR(VLOOKUP($A964,物料档案!$A$4:$P$1203,5,0),""))</f>
        <v/>
      </c>
      <c r="E964" s="24">
        <f>IF($A964="","",IFERROR(VLOOKUP($A964,物料档案!$A$4:$P$1203,2,0),""))</f>
        <v/>
      </c>
      <c r="F964" s="24">
        <f>IF($A964="","",IFERROR(VLOOKUP($A964,物料档案!$A$4:$P$1203,6,0),""))</f>
        <v/>
      </c>
      <c r="G964" s="23" t="n"/>
      <c r="H964" s="32" t="n"/>
      <c r="I964" s="27">
        <f>IF($A964="","",SUMIFS(入库单!$K$4:$K$2503,入库单!$G$4:$G$2503,$A964,入库单!$X$4:$X$2503,"采购入库",入库单!$Z$4:$Z$2503,"正常",入库单!$C$4:$C$2503,"&gt;="&amp;账期起,入库单!$C$4:$C$2503,"&lt;="&amp;账期止))</f>
        <v/>
      </c>
      <c r="J964" s="26">
        <f>IF($A964="","",SUMIFS(入库单!$V$4:$V$2503,入库单!$G$4:$G$2503,$A964,入库单!$X$4:$X$2503,"采购入库",入库单!$Z$4:$Z$2503,"正常",入库单!$C$4:$C$2503,"&gt;="&amp;账期起,入库单!$C$4:$C$2503,"&lt;="&amp;账期止))</f>
        <v/>
      </c>
      <c r="K964" s="26">
        <f>IF($A964="","",IFERROR(ROUND((N($H964)+N($J964))/(N($G964)+N($I964)),2),0))</f>
        <v/>
      </c>
      <c r="L964" s="27">
        <f>IF($A964="","",SUMIFS(入库单!$K$4:$K$2503,入库单!$G$4:$G$2503,$A964,入库单!$X$4:$X$2503,"盘盈",入库单!$Z$4:$Z$2503,"正常",入库单!$C$4:$C$2503,"&gt;="&amp;账期起,入库单!$C$4:$C$2503,"&lt;="&amp;账期止))</f>
        <v/>
      </c>
      <c r="M964" s="26">
        <f>IF($A964="","",ROUND($L964*$K964,0))</f>
        <v/>
      </c>
      <c r="N964" s="27">
        <f>IF($A964="","",SUMIFS(入库单!$K$4:$K$2503,入库单!$G$4:$G$2503,$A964,入库单!$X$4:$X$2503,"矿区退库",入库单!$Z$4:$Z$2503,"正常",入库单!$C$4:$C$2503,"&gt;="&amp;账期起,入库单!$C$4:$C$2503,"&lt;="&amp;账期止))</f>
        <v/>
      </c>
      <c r="O964" s="26">
        <f>IF($A964="","",ROUND($N964*$K964,0))</f>
        <v/>
      </c>
      <c r="P964" s="27">
        <f>IF($A964="","",SUMIFS(出库单!$J$4:$J$4003,出库单!$D$4:$D$4003,$A964,出库单!$K$4:$K$4003,"自用消耗",出库单!$U$4:$U$4003,"正常",出库单!$C$4:$C$4003,"&gt;="&amp;账期起,出库单!$C$4:$C$4003,"&lt;="&amp;账期止))</f>
        <v/>
      </c>
      <c r="Q964" s="26">
        <f>IF($A964="","",ROUND(SUMIFS(出库单!$S$4:$S$4003,出库单!$D$4:$D$4003,$A964,出库单!$K$4:$K$4003,"自用消耗",出库单!$U$4:$U$4003,"正常",出库单!$C$4:$C$4003,"&gt;="&amp;账期起,出库单!$C$4:$C$4003,"&lt;="&amp;账期止),0))</f>
        <v/>
      </c>
      <c r="R964" s="27">
        <f>IF($A964="","",SUMIFS(出库单!$J$4:$J$4003,出库单!$D$4:$D$4003,$A964,出库单!$K$4:$K$4003,"对外销售",出库单!$U$4:$U$4003,"正常",出库单!$C$4:$C$4003,"&gt;="&amp;账期起,出库单!$C$4:$C$4003,"&lt;="&amp;账期止))</f>
        <v/>
      </c>
      <c r="S964" s="26">
        <f>IF($A964="","",ROUND(SUMIFS(出库单!$S$4:$S$4003,出库单!$D$4:$D$4003,$A964,出库单!$K$4:$K$4003,"对外销售",出库单!$U$4:$U$4003,"正常",出库单!$C$4:$C$4003,"&gt;="&amp;账期起,出库单!$C$4:$C$4003,"&lt;="&amp;账期止),0))</f>
        <v/>
      </c>
      <c r="T964" s="27">
        <f>IF($A964="","",SUMIFS(出库单!$J$4:$J$4003,出库单!$D$4:$D$4003,$A964,出库单!$K$4:$K$4003,"盘亏",出库单!$U$4:$U$4003,"正常",出库单!$C$4:$C$4003,"&gt;="&amp;账期起,出库单!$C$4:$C$4003,"&lt;="&amp;账期止))</f>
        <v/>
      </c>
      <c r="U964" s="26">
        <f>IF($A964="","",ROUND(SUMIFS(出库单!$S$4:$S$4003,出库单!$D$4:$D$4003,$A964,出库单!$K$4:$K$4003,"盘亏",出库单!$U$4:$U$4003,"正常",出库单!$C$4:$C$4003,"&gt;="&amp;账期起,出库单!$C$4:$C$4003,"&lt;="&amp;账期止),0))</f>
        <v/>
      </c>
      <c r="V964" s="27">
        <f>IF($A964="","",SUMIFS(出库单!$J$4:$J$4003,出库单!$D$4:$D$4003,$A964,出库单!$K$4:$K$4003,"退货给供应商",出库单!$U$4:$U$4003,"正常",出库单!$C$4:$C$4003,"&gt;="&amp;账期起,出库单!$C$4:$C$4003,"&lt;="&amp;账期止))</f>
        <v/>
      </c>
      <c r="W964" s="26">
        <f>IF($A964="","",ROUND(SUMIFS(出库单!$S$4:$S$4003,出库单!$D$4:$D$4003,$A964,出库单!$K$4:$K$4003,"退货给供应商",出库单!$U$4:$U$4003,"正常",出库单!$C$4:$C$4003,"&gt;="&amp;账期起,出库单!$C$4:$C$4003,"&lt;="&amp;账期止),0))</f>
        <v/>
      </c>
      <c r="X964" s="27">
        <f>IF($A964="","",ROUND(N($G964)+$I964+$L964+$N964-$P964-$R964-$T964-$V964,3))</f>
        <v/>
      </c>
      <c r="Y964" s="26">
        <f>IF($A964="","",ROUND(N($H964)+$J964+$M964+$O964-$Q964-$S964-$U964-$W964,0))</f>
        <v/>
      </c>
      <c r="Z964" s="24">
        <f>IF($A964="","",IF(COUNTIFS(入库单!$G$4:$G$2503,$A964,入库单!$Y$4:$Y$2503,"待补价")+COUNTIFS(入库单!$G$4:$G$2503,$A964,入库单!$Y$4:$Y$2503,"暂估")&gt;0,"不可信","可信"))</f>
        <v/>
      </c>
      <c r="AA964" s="24">
        <f>IF($A964="","",IF($X964&lt;-0.001,"※账面负库存，查一下是不是漏记入库",IF(AND(ROUND($X964,3)=0,ABS($Y964)&gt;1),"※数量已经是 0，金额还挂着 "&amp;TEXT($Y964,"#,##0")&amp;" 先令",IF(AND($X964&gt;0,$Y964&lt;=0,$K964=0),"※有数量没金额（这个物料一直没填过进价）",IF($Z964="不可信","△成本含待补价/暂估，毛利仅供参考","")))))</f>
        <v/>
      </c>
    </row>
    <row r="965">
      <c r="A965" s="24">
        <f>IF(物料档案!$A964="","",物料档案!$A964)</f>
        <v/>
      </c>
      <c r="B965" s="24">
        <f>IF($A965="","",IFERROR(VLOOKUP($A965,物料档案!$A$4:$P$1203,3,0),""))</f>
        <v/>
      </c>
      <c r="C965" s="24">
        <f>IF($A965="","",IFERROR(VLOOKUP($A965,物料档案!$A$4:$P$1203,4,0),""))</f>
        <v/>
      </c>
      <c r="D965" s="24">
        <f>IF($A965="","",IFERROR(VLOOKUP($A965,物料档案!$A$4:$P$1203,5,0),""))</f>
        <v/>
      </c>
      <c r="E965" s="24">
        <f>IF($A965="","",IFERROR(VLOOKUP($A965,物料档案!$A$4:$P$1203,2,0),""))</f>
        <v/>
      </c>
      <c r="F965" s="24">
        <f>IF($A965="","",IFERROR(VLOOKUP($A965,物料档案!$A$4:$P$1203,6,0),""))</f>
        <v/>
      </c>
      <c r="G965" s="23" t="n"/>
      <c r="H965" s="32" t="n"/>
      <c r="I965" s="27">
        <f>IF($A965="","",SUMIFS(入库单!$K$4:$K$2503,入库单!$G$4:$G$2503,$A965,入库单!$X$4:$X$2503,"采购入库",入库单!$Z$4:$Z$2503,"正常",入库单!$C$4:$C$2503,"&gt;="&amp;账期起,入库单!$C$4:$C$2503,"&lt;="&amp;账期止))</f>
        <v/>
      </c>
      <c r="J965" s="26">
        <f>IF($A965="","",SUMIFS(入库单!$V$4:$V$2503,入库单!$G$4:$G$2503,$A965,入库单!$X$4:$X$2503,"采购入库",入库单!$Z$4:$Z$2503,"正常",入库单!$C$4:$C$2503,"&gt;="&amp;账期起,入库单!$C$4:$C$2503,"&lt;="&amp;账期止))</f>
        <v/>
      </c>
      <c r="K965" s="26">
        <f>IF($A965="","",IFERROR(ROUND((N($H965)+N($J965))/(N($G965)+N($I965)),2),0))</f>
        <v/>
      </c>
      <c r="L965" s="27">
        <f>IF($A965="","",SUMIFS(入库单!$K$4:$K$2503,入库单!$G$4:$G$2503,$A965,入库单!$X$4:$X$2503,"盘盈",入库单!$Z$4:$Z$2503,"正常",入库单!$C$4:$C$2503,"&gt;="&amp;账期起,入库单!$C$4:$C$2503,"&lt;="&amp;账期止))</f>
        <v/>
      </c>
      <c r="M965" s="26">
        <f>IF($A965="","",ROUND($L965*$K965,0))</f>
        <v/>
      </c>
      <c r="N965" s="27">
        <f>IF($A965="","",SUMIFS(入库单!$K$4:$K$2503,入库单!$G$4:$G$2503,$A965,入库单!$X$4:$X$2503,"矿区退库",入库单!$Z$4:$Z$2503,"正常",入库单!$C$4:$C$2503,"&gt;="&amp;账期起,入库单!$C$4:$C$2503,"&lt;="&amp;账期止))</f>
        <v/>
      </c>
      <c r="O965" s="26">
        <f>IF($A965="","",ROUND($N965*$K965,0))</f>
        <v/>
      </c>
      <c r="P965" s="27">
        <f>IF($A965="","",SUMIFS(出库单!$J$4:$J$4003,出库单!$D$4:$D$4003,$A965,出库单!$K$4:$K$4003,"自用消耗",出库单!$U$4:$U$4003,"正常",出库单!$C$4:$C$4003,"&gt;="&amp;账期起,出库单!$C$4:$C$4003,"&lt;="&amp;账期止))</f>
        <v/>
      </c>
      <c r="Q965" s="26">
        <f>IF($A965="","",ROUND(SUMIFS(出库单!$S$4:$S$4003,出库单!$D$4:$D$4003,$A965,出库单!$K$4:$K$4003,"自用消耗",出库单!$U$4:$U$4003,"正常",出库单!$C$4:$C$4003,"&gt;="&amp;账期起,出库单!$C$4:$C$4003,"&lt;="&amp;账期止),0))</f>
        <v/>
      </c>
      <c r="R965" s="27">
        <f>IF($A965="","",SUMIFS(出库单!$J$4:$J$4003,出库单!$D$4:$D$4003,$A965,出库单!$K$4:$K$4003,"对外销售",出库单!$U$4:$U$4003,"正常",出库单!$C$4:$C$4003,"&gt;="&amp;账期起,出库单!$C$4:$C$4003,"&lt;="&amp;账期止))</f>
        <v/>
      </c>
      <c r="S965" s="26">
        <f>IF($A965="","",ROUND(SUMIFS(出库单!$S$4:$S$4003,出库单!$D$4:$D$4003,$A965,出库单!$K$4:$K$4003,"对外销售",出库单!$U$4:$U$4003,"正常",出库单!$C$4:$C$4003,"&gt;="&amp;账期起,出库单!$C$4:$C$4003,"&lt;="&amp;账期止),0))</f>
        <v/>
      </c>
      <c r="T965" s="27">
        <f>IF($A965="","",SUMIFS(出库单!$J$4:$J$4003,出库单!$D$4:$D$4003,$A965,出库单!$K$4:$K$4003,"盘亏",出库单!$U$4:$U$4003,"正常",出库单!$C$4:$C$4003,"&gt;="&amp;账期起,出库单!$C$4:$C$4003,"&lt;="&amp;账期止))</f>
        <v/>
      </c>
      <c r="U965" s="26">
        <f>IF($A965="","",ROUND(SUMIFS(出库单!$S$4:$S$4003,出库单!$D$4:$D$4003,$A965,出库单!$K$4:$K$4003,"盘亏",出库单!$U$4:$U$4003,"正常",出库单!$C$4:$C$4003,"&gt;="&amp;账期起,出库单!$C$4:$C$4003,"&lt;="&amp;账期止),0))</f>
        <v/>
      </c>
      <c r="V965" s="27">
        <f>IF($A965="","",SUMIFS(出库单!$J$4:$J$4003,出库单!$D$4:$D$4003,$A965,出库单!$K$4:$K$4003,"退货给供应商",出库单!$U$4:$U$4003,"正常",出库单!$C$4:$C$4003,"&gt;="&amp;账期起,出库单!$C$4:$C$4003,"&lt;="&amp;账期止))</f>
        <v/>
      </c>
      <c r="W965" s="26">
        <f>IF($A965="","",ROUND(SUMIFS(出库单!$S$4:$S$4003,出库单!$D$4:$D$4003,$A965,出库单!$K$4:$K$4003,"退货给供应商",出库单!$U$4:$U$4003,"正常",出库单!$C$4:$C$4003,"&gt;="&amp;账期起,出库单!$C$4:$C$4003,"&lt;="&amp;账期止),0))</f>
        <v/>
      </c>
      <c r="X965" s="27">
        <f>IF($A965="","",ROUND(N($G965)+$I965+$L965+$N965-$P965-$R965-$T965-$V965,3))</f>
        <v/>
      </c>
      <c r="Y965" s="26">
        <f>IF($A965="","",ROUND(N($H965)+$J965+$M965+$O965-$Q965-$S965-$U965-$W965,0))</f>
        <v/>
      </c>
      <c r="Z965" s="24">
        <f>IF($A965="","",IF(COUNTIFS(入库单!$G$4:$G$2503,$A965,入库单!$Y$4:$Y$2503,"待补价")+COUNTIFS(入库单!$G$4:$G$2503,$A965,入库单!$Y$4:$Y$2503,"暂估")&gt;0,"不可信","可信"))</f>
        <v/>
      </c>
      <c r="AA965" s="24">
        <f>IF($A965="","",IF($X965&lt;-0.001,"※账面负库存，查一下是不是漏记入库",IF(AND(ROUND($X965,3)=0,ABS($Y965)&gt;1),"※数量已经是 0，金额还挂着 "&amp;TEXT($Y965,"#,##0")&amp;" 先令",IF(AND($X965&gt;0,$Y965&lt;=0,$K965=0),"※有数量没金额（这个物料一直没填过进价）",IF($Z965="不可信","△成本含待补价/暂估，毛利仅供参考","")))))</f>
        <v/>
      </c>
    </row>
    <row r="966">
      <c r="A966" s="24">
        <f>IF(物料档案!$A965="","",物料档案!$A965)</f>
        <v/>
      </c>
      <c r="B966" s="24">
        <f>IF($A966="","",IFERROR(VLOOKUP($A966,物料档案!$A$4:$P$1203,3,0),""))</f>
        <v/>
      </c>
      <c r="C966" s="24">
        <f>IF($A966="","",IFERROR(VLOOKUP($A966,物料档案!$A$4:$P$1203,4,0),""))</f>
        <v/>
      </c>
      <c r="D966" s="24">
        <f>IF($A966="","",IFERROR(VLOOKUP($A966,物料档案!$A$4:$P$1203,5,0),""))</f>
        <v/>
      </c>
      <c r="E966" s="24">
        <f>IF($A966="","",IFERROR(VLOOKUP($A966,物料档案!$A$4:$P$1203,2,0),""))</f>
        <v/>
      </c>
      <c r="F966" s="24">
        <f>IF($A966="","",IFERROR(VLOOKUP($A966,物料档案!$A$4:$P$1203,6,0),""))</f>
        <v/>
      </c>
      <c r="G966" s="23" t="n"/>
      <c r="H966" s="32" t="n"/>
      <c r="I966" s="27">
        <f>IF($A966="","",SUMIFS(入库单!$K$4:$K$2503,入库单!$G$4:$G$2503,$A966,入库单!$X$4:$X$2503,"采购入库",入库单!$Z$4:$Z$2503,"正常",入库单!$C$4:$C$2503,"&gt;="&amp;账期起,入库单!$C$4:$C$2503,"&lt;="&amp;账期止))</f>
        <v/>
      </c>
      <c r="J966" s="26">
        <f>IF($A966="","",SUMIFS(入库单!$V$4:$V$2503,入库单!$G$4:$G$2503,$A966,入库单!$X$4:$X$2503,"采购入库",入库单!$Z$4:$Z$2503,"正常",入库单!$C$4:$C$2503,"&gt;="&amp;账期起,入库单!$C$4:$C$2503,"&lt;="&amp;账期止))</f>
        <v/>
      </c>
      <c r="K966" s="26">
        <f>IF($A966="","",IFERROR(ROUND((N($H966)+N($J966))/(N($G966)+N($I966)),2),0))</f>
        <v/>
      </c>
      <c r="L966" s="27">
        <f>IF($A966="","",SUMIFS(入库单!$K$4:$K$2503,入库单!$G$4:$G$2503,$A966,入库单!$X$4:$X$2503,"盘盈",入库单!$Z$4:$Z$2503,"正常",入库单!$C$4:$C$2503,"&gt;="&amp;账期起,入库单!$C$4:$C$2503,"&lt;="&amp;账期止))</f>
        <v/>
      </c>
      <c r="M966" s="26">
        <f>IF($A966="","",ROUND($L966*$K966,0))</f>
        <v/>
      </c>
      <c r="N966" s="27">
        <f>IF($A966="","",SUMIFS(入库单!$K$4:$K$2503,入库单!$G$4:$G$2503,$A966,入库单!$X$4:$X$2503,"矿区退库",入库单!$Z$4:$Z$2503,"正常",入库单!$C$4:$C$2503,"&gt;="&amp;账期起,入库单!$C$4:$C$2503,"&lt;="&amp;账期止))</f>
        <v/>
      </c>
      <c r="O966" s="26">
        <f>IF($A966="","",ROUND($N966*$K966,0))</f>
        <v/>
      </c>
      <c r="P966" s="27">
        <f>IF($A966="","",SUMIFS(出库单!$J$4:$J$4003,出库单!$D$4:$D$4003,$A966,出库单!$K$4:$K$4003,"自用消耗",出库单!$U$4:$U$4003,"正常",出库单!$C$4:$C$4003,"&gt;="&amp;账期起,出库单!$C$4:$C$4003,"&lt;="&amp;账期止))</f>
        <v/>
      </c>
      <c r="Q966" s="26">
        <f>IF($A966="","",ROUND(SUMIFS(出库单!$S$4:$S$4003,出库单!$D$4:$D$4003,$A966,出库单!$K$4:$K$4003,"自用消耗",出库单!$U$4:$U$4003,"正常",出库单!$C$4:$C$4003,"&gt;="&amp;账期起,出库单!$C$4:$C$4003,"&lt;="&amp;账期止),0))</f>
        <v/>
      </c>
      <c r="R966" s="27">
        <f>IF($A966="","",SUMIFS(出库单!$J$4:$J$4003,出库单!$D$4:$D$4003,$A966,出库单!$K$4:$K$4003,"对外销售",出库单!$U$4:$U$4003,"正常",出库单!$C$4:$C$4003,"&gt;="&amp;账期起,出库单!$C$4:$C$4003,"&lt;="&amp;账期止))</f>
        <v/>
      </c>
      <c r="S966" s="26">
        <f>IF($A966="","",ROUND(SUMIFS(出库单!$S$4:$S$4003,出库单!$D$4:$D$4003,$A966,出库单!$K$4:$K$4003,"对外销售",出库单!$U$4:$U$4003,"正常",出库单!$C$4:$C$4003,"&gt;="&amp;账期起,出库单!$C$4:$C$4003,"&lt;="&amp;账期止),0))</f>
        <v/>
      </c>
      <c r="T966" s="27">
        <f>IF($A966="","",SUMIFS(出库单!$J$4:$J$4003,出库单!$D$4:$D$4003,$A966,出库单!$K$4:$K$4003,"盘亏",出库单!$U$4:$U$4003,"正常",出库单!$C$4:$C$4003,"&gt;="&amp;账期起,出库单!$C$4:$C$4003,"&lt;="&amp;账期止))</f>
        <v/>
      </c>
      <c r="U966" s="26">
        <f>IF($A966="","",ROUND(SUMIFS(出库单!$S$4:$S$4003,出库单!$D$4:$D$4003,$A966,出库单!$K$4:$K$4003,"盘亏",出库单!$U$4:$U$4003,"正常",出库单!$C$4:$C$4003,"&gt;="&amp;账期起,出库单!$C$4:$C$4003,"&lt;="&amp;账期止),0))</f>
        <v/>
      </c>
      <c r="V966" s="27">
        <f>IF($A966="","",SUMIFS(出库单!$J$4:$J$4003,出库单!$D$4:$D$4003,$A966,出库单!$K$4:$K$4003,"退货给供应商",出库单!$U$4:$U$4003,"正常",出库单!$C$4:$C$4003,"&gt;="&amp;账期起,出库单!$C$4:$C$4003,"&lt;="&amp;账期止))</f>
        <v/>
      </c>
      <c r="W966" s="26">
        <f>IF($A966="","",ROUND(SUMIFS(出库单!$S$4:$S$4003,出库单!$D$4:$D$4003,$A966,出库单!$K$4:$K$4003,"退货给供应商",出库单!$U$4:$U$4003,"正常",出库单!$C$4:$C$4003,"&gt;="&amp;账期起,出库单!$C$4:$C$4003,"&lt;="&amp;账期止),0))</f>
        <v/>
      </c>
      <c r="X966" s="27">
        <f>IF($A966="","",ROUND(N($G966)+$I966+$L966+$N966-$P966-$R966-$T966-$V966,3))</f>
        <v/>
      </c>
      <c r="Y966" s="26">
        <f>IF($A966="","",ROUND(N($H966)+$J966+$M966+$O966-$Q966-$S966-$U966-$W966,0))</f>
        <v/>
      </c>
      <c r="Z966" s="24">
        <f>IF($A966="","",IF(COUNTIFS(入库单!$G$4:$G$2503,$A966,入库单!$Y$4:$Y$2503,"待补价")+COUNTIFS(入库单!$G$4:$G$2503,$A966,入库单!$Y$4:$Y$2503,"暂估")&gt;0,"不可信","可信"))</f>
        <v/>
      </c>
      <c r="AA966" s="24">
        <f>IF($A966="","",IF($X966&lt;-0.001,"※账面负库存，查一下是不是漏记入库",IF(AND(ROUND($X966,3)=0,ABS($Y966)&gt;1),"※数量已经是 0，金额还挂着 "&amp;TEXT($Y966,"#,##0")&amp;" 先令",IF(AND($X966&gt;0,$Y966&lt;=0,$K966=0),"※有数量没金额（这个物料一直没填过进价）",IF($Z966="不可信","△成本含待补价/暂估，毛利仅供参考","")))))</f>
        <v/>
      </c>
    </row>
    <row r="967">
      <c r="A967" s="24">
        <f>IF(物料档案!$A966="","",物料档案!$A966)</f>
        <v/>
      </c>
      <c r="B967" s="24">
        <f>IF($A967="","",IFERROR(VLOOKUP($A967,物料档案!$A$4:$P$1203,3,0),""))</f>
        <v/>
      </c>
      <c r="C967" s="24">
        <f>IF($A967="","",IFERROR(VLOOKUP($A967,物料档案!$A$4:$P$1203,4,0),""))</f>
        <v/>
      </c>
      <c r="D967" s="24">
        <f>IF($A967="","",IFERROR(VLOOKUP($A967,物料档案!$A$4:$P$1203,5,0),""))</f>
        <v/>
      </c>
      <c r="E967" s="24">
        <f>IF($A967="","",IFERROR(VLOOKUP($A967,物料档案!$A$4:$P$1203,2,0),""))</f>
        <v/>
      </c>
      <c r="F967" s="24">
        <f>IF($A967="","",IFERROR(VLOOKUP($A967,物料档案!$A$4:$P$1203,6,0),""))</f>
        <v/>
      </c>
      <c r="G967" s="23" t="n"/>
      <c r="H967" s="32" t="n"/>
      <c r="I967" s="27">
        <f>IF($A967="","",SUMIFS(入库单!$K$4:$K$2503,入库单!$G$4:$G$2503,$A967,入库单!$X$4:$X$2503,"采购入库",入库单!$Z$4:$Z$2503,"正常",入库单!$C$4:$C$2503,"&gt;="&amp;账期起,入库单!$C$4:$C$2503,"&lt;="&amp;账期止))</f>
        <v/>
      </c>
      <c r="J967" s="26">
        <f>IF($A967="","",SUMIFS(入库单!$V$4:$V$2503,入库单!$G$4:$G$2503,$A967,入库单!$X$4:$X$2503,"采购入库",入库单!$Z$4:$Z$2503,"正常",入库单!$C$4:$C$2503,"&gt;="&amp;账期起,入库单!$C$4:$C$2503,"&lt;="&amp;账期止))</f>
        <v/>
      </c>
      <c r="K967" s="26">
        <f>IF($A967="","",IFERROR(ROUND((N($H967)+N($J967))/(N($G967)+N($I967)),2),0))</f>
        <v/>
      </c>
      <c r="L967" s="27">
        <f>IF($A967="","",SUMIFS(入库单!$K$4:$K$2503,入库单!$G$4:$G$2503,$A967,入库单!$X$4:$X$2503,"盘盈",入库单!$Z$4:$Z$2503,"正常",入库单!$C$4:$C$2503,"&gt;="&amp;账期起,入库单!$C$4:$C$2503,"&lt;="&amp;账期止))</f>
        <v/>
      </c>
      <c r="M967" s="26">
        <f>IF($A967="","",ROUND($L967*$K967,0))</f>
        <v/>
      </c>
      <c r="N967" s="27">
        <f>IF($A967="","",SUMIFS(入库单!$K$4:$K$2503,入库单!$G$4:$G$2503,$A967,入库单!$X$4:$X$2503,"矿区退库",入库单!$Z$4:$Z$2503,"正常",入库单!$C$4:$C$2503,"&gt;="&amp;账期起,入库单!$C$4:$C$2503,"&lt;="&amp;账期止))</f>
        <v/>
      </c>
      <c r="O967" s="26">
        <f>IF($A967="","",ROUND($N967*$K967,0))</f>
        <v/>
      </c>
      <c r="P967" s="27">
        <f>IF($A967="","",SUMIFS(出库单!$J$4:$J$4003,出库单!$D$4:$D$4003,$A967,出库单!$K$4:$K$4003,"自用消耗",出库单!$U$4:$U$4003,"正常",出库单!$C$4:$C$4003,"&gt;="&amp;账期起,出库单!$C$4:$C$4003,"&lt;="&amp;账期止))</f>
        <v/>
      </c>
      <c r="Q967" s="26">
        <f>IF($A967="","",ROUND(SUMIFS(出库单!$S$4:$S$4003,出库单!$D$4:$D$4003,$A967,出库单!$K$4:$K$4003,"自用消耗",出库单!$U$4:$U$4003,"正常",出库单!$C$4:$C$4003,"&gt;="&amp;账期起,出库单!$C$4:$C$4003,"&lt;="&amp;账期止),0))</f>
        <v/>
      </c>
      <c r="R967" s="27">
        <f>IF($A967="","",SUMIFS(出库单!$J$4:$J$4003,出库单!$D$4:$D$4003,$A967,出库单!$K$4:$K$4003,"对外销售",出库单!$U$4:$U$4003,"正常",出库单!$C$4:$C$4003,"&gt;="&amp;账期起,出库单!$C$4:$C$4003,"&lt;="&amp;账期止))</f>
        <v/>
      </c>
      <c r="S967" s="26">
        <f>IF($A967="","",ROUND(SUMIFS(出库单!$S$4:$S$4003,出库单!$D$4:$D$4003,$A967,出库单!$K$4:$K$4003,"对外销售",出库单!$U$4:$U$4003,"正常",出库单!$C$4:$C$4003,"&gt;="&amp;账期起,出库单!$C$4:$C$4003,"&lt;="&amp;账期止),0))</f>
        <v/>
      </c>
      <c r="T967" s="27">
        <f>IF($A967="","",SUMIFS(出库单!$J$4:$J$4003,出库单!$D$4:$D$4003,$A967,出库单!$K$4:$K$4003,"盘亏",出库单!$U$4:$U$4003,"正常",出库单!$C$4:$C$4003,"&gt;="&amp;账期起,出库单!$C$4:$C$4003,"&lt;="&amp;账期止))</f>
        <v/>
      </c>
      <c r="U967" s="26">
        <f>IF($A967="","",ROUND(SUMIFS(出库单!$S$4:$S$4003,出库单!$D$4:$D$4003,$A967,出库单!$K$4:$K$4003,"盘亏",出库单!$U$4:$U$4003,"正常",出库单!$C$4:$C$4003,"&gt;="&amp;账期起,出库单!$C$4:$C$4003,"&lt;="&amp;账期止),0))</f>
        <v/>
      </c>
      <c r="V967" s="27">
        <f>IF($A967="","",SUMIFS(出库单!$J$4:$J$4003,出库单!$D$4:$D$4003,$A967,出库单!$K$4:$K$4003,"退货给供应商",出库单!$U$4:$U$4003,"正常",出库单!$C$4:$C$4003,"&gt;="&amp;账期起,出库单!$C$4:$C$4003,"&lt;="&amp;账期止))</f>
        <v/>
      </c>
      <c r="W967" s="26">
        <f>IF($A967="","",ROUND(SUMIFS(出库单!$S$4:$S$4003,出库单!$D$4:$D$4003,$A967,出库单!$K$4:$K$4003,"退货给供应商",出库单!$U$4:$U$4003,"正常",出库单!$C$4:$C$4003,"&gt;="&amp;账期起,出库单!$C$4:$C$4003,"&lt;="&amp;账期止),0))</f>
        <v/>
      </c>
      <c r="X967" s="27">
        <f>IF($A967="","",ROUND(N($G967)+$I967+$L967+$N967-$P967-$R967-$T967-$V967,3))</f>
        <v/>
      </c>
      <c r="Y967" s="26">
        <f>IF($A967="","",ROUND(N($H967)+$J967+$M967+$O967-$Q967-$S967-$U967-$W967,0))</f>
        <v/>
      </c>
      <c r="Z967" s="24">
        <f>IF($A967="","",IF(COUNTIFS(入库单!$G$4:$G$2503,$A967,入库单!$Y$4:$Y$2503,"待补价")+COUNTIFS(入库单!$G$4:$G$2503,$A967,入库单!$Y$4:$Y$2503,"暂估")&gt;0,"不可信","可信"))</f>
        <v/>
      </c>
      <c r="AA967" s="24">
        <f>IF($A967="","",IF($X967&lt;-0.001,"※账面负库存，查一下是不是漏记入库",IF(AND(ROUND($X967,3)=0,ABS($Y967)&gt;1),"※数量已经是 0，金额还挂着 "&amp;TEXT($Y967,"#,##0")&amp;" 先令",IF(AND($X967&gt;0,$Y967&lt;=0,$K967=0),"※有数量没金额（这个物料一直没填过进价）",IF($Z967="不可信","△成本含待补价/暂估，毛利仅供参考","")))))</f>
        <v/>
      </c>
    </row>
    <row r="968">
      <c r="A968" s="24">
        <f>IF(物料档案!$A967="","",物料档案!$A967)</f>
        <v/>
      </c>
      <c r="B968" s="24">
        <f>IF($A968="","",IFERROR(VLOOKUP($A968,物料档案!$A$4:$P$1203,3,0),""))</f>
        <v/>
      </c>
      <c r="C968" s="24">
        <f>IF($A968="","",IFERROR(VLOOKUP($A968,物料档案!$A$4:$P$1203,4,0),""))</f>
        <v/>
      </c>
      <c r="D968" s="24">
        <f>IF($A968="","",IFERROR(VLOOKUP($A968,物料档案!$A$4:$P$1203,5,0),""))</f>
        <v/>
      </c>
      <c r="E968" s="24">
        <f>IF($A968="","",IFERROR(VLOOKUP($A968,物料档案!$A$4:$P$1203,2,0),""))</f>
        <v/>
      </c>
      <c r="F968" s="24">
        <f>IF($A968="","",IFERROR(VLOOKUP($A968,物料档案!$A$4:$P$1203,6,0),""))</f>
        <v/>
      </c>
      <c r="G968" s="23" t="n"/>
      <c r="H968" s="32" t="n"/>
      <c r="I968" s="27">
        <f>IF($A968="","",SUMIFS(入库单!$K$4:$K$2503,入库单!$G$4:$G$2503,$A968,入库单!$X$4:$X$2503,"采购入库",入库单!$Z$4:$Z$2503,"正常",入库单!$C$4:$C$2503,"&gt;="&amp;账期起,入库单!$C$4:$C$2503,"&lt;="&amp;账期止))</f>
        <v/>
      </c>
      <c r="J968" s="26">
        <f>IF($A968="","",SUMIFS(入库单!$V$4:$V$2503,入库单!$G$4:$G$2503,$A968,入库单!$X$4:$X$2503,"采购入库",入库单!$Z$4:$Z$2503,"正常",入库单!$C$4:$C$2503,"&gt;="&amp;账期起,入库单!$C$4:$C$2503,"&lt;="&amp;账期止))</f>
        <v/>
      </c>
      <c r="K968" s="26">
        <f>IF($A968="","",IFERROR(ROUND((N($H968)+N($J968))/(N($G968)+N($I968)),2),0))</f>
        <v/>
      </c>
      <c r="L968" s="27">
        <f>IF($A968="","",SUMIFS(入库单!$K$4:$K$2503,入库单!$G$4:$G$2503,$A968,入库单!$X$4:$X$2503,"盘盈",入库单!$Z$4:$Z$2503,"正常",入库单!$C$4:$C$2503,"&gt;="&amp;账期起,入库单!$C$4:$C$2503,"&lt;="&amp;账期止))</f>
        <v/>
      </c>
      <c r="M968" s="26">
        <f>IF($A968="","",ROUND($L968*$K968,0))</f>
        <v/>
      </c>
      <c r="N968" s="27">
        <f>IF($A968="","",SUMIFS(入库单!$K$4:$K$2503,入库单!$G$4:$G$2503,$A968,入库单!$X$4:$X$2503,"矿区退库",入库单!$Z$4:$Z$2503,"正常",入库单!$C$4:$C$2503,"&gt;="&amp;账期起,入库单!$C$4:$C$2503,"&lt;="&amp;账期止))</f>
        <v/>
      </c>
      <c r="O968" s="26">
        <f>IF($A968="","",ROUND($N968*$K968,0))</f>
        <v/>
      </c>
      <c r="P968" s="27">
        <f>IF($A968="","",SUMIFS(出库单!$J$4:$J$4003,出库单!$D$4:$D$4003,$A968,出库单!$K$4:$K$4003,"自用消耗",出库单!$U$4:$U$4003,"正常",出库单!$C$4:$C$4003,"&gt;="&amp;账期起,出库单!$C$4:$C$4003,"&lt;="&amp;账期止))</f>
        <v/>
      </c>
      <c r="Q968" s="26">
        <f>IF($A968="","",ROUND(SUMIFS(出库单!$S$4:$S$4003,出库单!$D$4:$D$4003,$A968,出库单!$K$4:$K$4003,"自用消耗",出库单!$U$4:$U$4003,"正常",出库单!$C$4:$C$4003,"&gt;="&amp;账期起,出库单!$C$4:$C$4003,"&lt;="&amp;账期止),0))</f>
        <v/>
      </c>
      <c r="R968" s="27">
        <f>IF($A968="","",SUMIFS(出库单!$J$4:$J$4003,出库单!$D$4:$D$4003,$A968,出库单!$K$4:$K$4003,"对外销售",出库单!$U$4:$U$4003,"正常",出库单!$C$4:$C$4003,"&gt;="&amp;账期起,出库单!$C$4:$C$4003,"&lt;="&amp;账期止))</f>
        <v/>
      </c>
      <c r="S968" s="26">
        <f>IF($A968="","",ROUND(SUMIFS(出库单!$S$4:$S$4003,出库单!$D$4:$D$4003,$A968,出库单!$K$4:$K$4003,"对外销售",出库单!$U$4:$U$4003,"正常",出库单!$C$4:$C$4003,"&gt;="&amp;账期起,出库单!$C$4:$C$4003,"&lt;="&amp;账期止),0))</f>
        <v/>
      </c>
      <c r="T968" s="27">
        <f>IF($A968="","",SUMIFS(出库单!$J$4:$J$4003,出库单!$D$4:$D$4003,$A968,出库单!$K$4:$K$4003,"盘亏",出库单!$U$4:$U$4003,"正常",出库单!$C$4:$C$4003,"&gt;="&amp;账期起,出库单!$C$4:$C$4003,"&lt;="&amp;账期止))</f>
        <v/>
      </c>
      <c r="U968" s="26">
        <f>IF($A968="","",ROUND(SUMIFS(出库单!$S$4:$S$4003,出库单!$D$4:$D$4003,$A968,出库单!$K$4:$K$4003,"盘亏",出库单!$U$4:$U$4003,"正常",出库单!$C$4:$C$4003,"&gt;="&amp;账期起,出库单!$C$4:$C$4003,"&lt;="&amp;账期止),0))</f>
        <v/>
      </c>
      <c r="V968" s="27">
        <f>IF($A968="","",SUMIFS(出库单!$J$4:$J$4003,出库单!$D$4:$D$4003,$A968,出库单!$K$4:$K$4003,"退货给供应商",出库单!$U$4:$U$4003,"正常",出库单!$C$4:$C$4003,"&gt;="&amp;账期起,出库单!$C$4:$C$4003,"&lt;="&amp;账期止))</f>
        <v/>
      </c>
      <c r="W968" s="26">
        <f>IF($A968="","",ROUND(SUMIFS(出库单!$S$4:$S$4003,出库单!$D$4:$D$4003,$A968,出库单!$K$4:$K$4003,"退货给供应商",出库单!$U$4:$U$4003,"正常",出库单!$C$4:$C$4003,"&gt;="&amp;账期起,出库单!$C$4:$C$4003,"&lt;="&amp;账期止),0))</f>
        <v/>
      </c>
      <c r="X968" s="27">
        <f>IF($A968="","",ROUND(N($G968)+$I968+$L968+$N968-$P968-$R968-$T968-$V968,3))</f>
        <v/>
      </c>
      <c r="Y968" s="26">
        <f>IF($A968="","",ROUND(N($H968)+$J968+$M968+$O968-$Q968-$S968-$U968-$W968,0))</f>
        <v/>
      </c>
      <c r="Z968" s="24">
        <f>IF($A968="","",IF(COUNTIFS(入库单!$G$4:$G$2503,$A968,入库单!$Y$4:$Y$2503,"待补价")+COUNTIFS(入库单!$G$4:$G$2503,$A968,入库单!$Y$4:$Y$2503,"暂估")&gt;0,"不可信","可信"))</f>
        <v/>
      </c>
      <c r="AA968" s="24">
        <f>IF($A968="","",IF($X968&lt;-0.001,"※账面负库存，查一下是不是漏记入库",IF(AND(ROUND($X968,3)=0,ABS($Y968)&gt;1),"※数量已经是 0，金额还挂着 "&amp;TEXT($Y968,"#,##0")&amp;" 先令",IF(AND($X968&gt;0,$Y968&lt;=0,$K968=0),"※有数量没金额（这个物料一直没填过进价）",IF($Z968="不可信","△成本含待补价/暂估，毛利仅供参考","")))))</f>
        <v/>
      </c>
    </row>
    <row r="969">
      <c r="A969" s="24">
        <f>IF(物料档案!$A968="","",物料档案!$A968)</f>
        <v/>
      </c>
      <c r="B969" s="24">
        <f>IF($A969="","",IFERROR(VLOOKUP($A969,物料档案!$A$4:$P$1203,3,0),""))</f>
        <v/>
      </c>
      <c r="C969" s="24">
        <f>IF($A969="","",IFERROR(VLOOKUP($A969,物料档案!$A$4:$P$1203,4,0),""))</f>
        <v/>
      </c>
      <c r="D969" s="24">
        <f>IF($A969="","",IFERROR(VLOOKUP($A969,物料档案!$A$4:$P$1203,5,0),""))</f>
        <v/>
      </c>
      <c r="E969" s="24">
        <f>IF($A969="","",IFERROR(VLOOKUP($A969,物料档案!$A$4:$P$1203,2,0),""))</f>
        <v/>
      </c>
      <c r="F969" s="24">
        <f>IF($A969="","",IFERROR(VLOOKUP($A969,物料档案!$A$4:$P$1203,6,0),""))</f>
        <v/>
      </c>
      <c r="G969" s="23" t="n"/>
      <c r="H969" s="32" t="n"/>
      <c r="I969" s="27">
        <f>IF($A969="","",SUMIFS(入库单!$K$4:$K$2503,入库单!$G$4:$G$2503,$A969,入库单!$X$4:$X$2503,"采购入库",入库单!$Z$4:$Z$2503,"正常",入库单!$C$4:$C$2503,"&gt;="&amp;账期起,入库单!$C$4:$C$2503,"&lt;="&amp;账期止))</f>
        <v/>
      </c>
      <c r="J969" s="26">
        <f>IF($A969="","",SUMIFS(入库单!$V$4:$V$2503,入库单!$G$4:$G$2503,$A969,入库单!$X$4:$X$2503,"采购入库",入库单!$Z$4:$Z$2503,"正常",入库单!$C$4:$C$2503,"&gt;="&amp;账期起,入库单!$C$4:$C$2503,"&lt;="&amp;账期止))</f>
        <v/>
      </c>
      <c r="K969" s="26">
        <f>IF($A969="","",IFERROR(ROUND((N($H969)+N($J969))/(N($G969)+N($I969)),2),0))</f>
        <v/>
      </c>
      <c r="L969" s="27">
        <f>IF($A969="","",SUMIFS(入库单!$K$4:$K$2503,入库单!$G$4:$G$2503,$A969,入库单!$X$4:$X$2503,"盘盈",入库单!$Z$4:$Z$2503,"正常",入库单!$C$4:$C$2503,"&gt;="&amp;账期起,入库单!$C$4:$C$2503,"&lt;="&amp;账期止))</f>
        <v/>
      </c>
      <c r="M969" s="26">
        <f>IF($A969="","",ROUND($L969*$K969,0))</f>
        <v/>
      </c>
      <c r="N969" s="27">
        <f>IF($A969="","",SUMIFS(入库单!$K$4:$K$2503,入库单!$G$4:$G$2503,$A969,入库单!$X$4:$X$2503,"矿区退库",入库单!$Z$4:$Z$2503,"正常",入库单!$C$4:$C$2503,"&gt;="&amp;账期起,入库单!$C$4:$C$2503,"&lt;="&amp;账期止))</f>
        <v/>
      </c>
      <c r="O969" s="26">
        <f>IF($A969="","",ROUND($N969*$K969,0))</f>
        <v/>
      </c>
      <c r="P969" s="27">
        <f>IF($A969="","",SUMIFS(出库单!$J$4:$J$4003,出库单!$D$4:$D$4003,$A969,出库单!$K$4:$K$4003,"自用消耗",出库单!$U$4:$U$4003,"正常",出库单!$C$4:$C$4003,"&gt;="&amp;账期起,出库单!$C$4:$C$4003,"&lt;="&amp;账期止))</f>
        <v/>
      </c>
      <c r="Q969" s="26">
        <f>IF($A969="","",ROUND(SUMIFS(出库单!$S$4:$S$4003,出库单!$D$4:$D$4003,$A969,出库单!$K$4:$K$4003,"自用消耗",出库单!$U$4:$U$4003,"正常",出库单!$C$4:$C$4003,"&gt;="&amp;账期起,出库单!$C$4:$C$4003,"&lt;="&amp;账期止),0))</f>
        <v/>
      </c>
      <c r="R969" s="27">
        <f>IF($A969="","",SUMIFS(出库单!$J$4:$J$4003,出库单!$D$4:$D$4003,$A969,出库单!$K$4:$K$4003,"对外销售",出库单!$U$4:$U$4003,"正常",出库单!$C$4:$C$4003,"&gt;="&amp;账期起,出库单!$C$4:$C$4003,"&lt;="&amp;账期止))</f>
        <v/>
      </c>
      <c r="S969" s="26">
        <f>IF($A969="","",ROUND(SUMIFS(出库单!$S$4:$S$4003,出库单!$D$4:$D$4003,$A969,出库单!$K$4:$K$4003,"对外销售",出库单!$U$4:$U$4003,"正常",出库单!$C$4:$C$4003,"&gt;="&amp;账期起,出库单!$C$4:$C$4003,"&lt;="&amp;账期止),0))</f>
        <v/>
      </c>
      <c r="T969" s="27">
        <f>IF($A969="","",SUMIFS(出库单!$J$4:$J$4003,出库单!$D$4:$D$4003,$A969,出库单!$K$4:$K$4003,"盘亏",出库单!$U$4:$U$4003,"正常",出库单!$C$4:$C$4003,"&gt;="&amp;账期起,出库单!$C$4:$C$4003,"&lt;="&amp;账期止))</f>
        <v/>
      </c>
      <c r="U969" s="26">
        <f>IF($A969="","",ROUND(SUMIFS(出库单!$S$4:$S$4003,出库单!$D$4:$D$4003,$A969,出库单!$K$4:$K$4003,"盘亏",出库单!$U$4:$U$4003,"正常",出库单!$C$4:$C$4003,"&gt;="&amp;账期起,出库单!$C$4:$C$4003,"&lt;="&amp;账期止),0))</f>
        <v/>
      </c>
      <c r="V969" s="27">
        <f>IF($A969="","",SUMIFS(出库单!$J$4:$J$4003,出库单!$D$4:$D$4003,$A969,出库单!$K$4:$K$4003,"退货给供应商",出库单!$U$4:$U$4003,"正常",出库单!$C$4:$C$4003,"&gt;="&amp;账期起,出库单!$C$4:$C$4003,"&lt;="&amp;账期止))</f>
        <v/>
      </c>
      <c r="W969" s="26">
        <f>IF($A969="","",ROUND(SUMIFS(出库单!$S$4:$S$4003,出库单!$D$4:$D$4003,$A969,出库单!$K$4:$K$4003,"退货给供应商",出库单!$U$4:$U$4003,"正常",出库单!$C$4:$C$4003,"&gt;="&amp;账期起,出库单!$C$4:$C$4003,"&lt;="&amp;账期止),0))</f>
        <v/>
      </c>
      <c r="X969" s="27">
        <f>IF($A969="","",ROUND(N($G969)+$I969+$L969+$N969-$P969-$R969-$T969-$V969,3))</f>
        <v/>
      </c>
      <c r="Y969" s="26">
        <f>IF($A969="","",ROUND(N($H969)+$J969+$M969+$O969-$Q969-$S969-$U969-$W969,0))</f>
        <v/>
      </c>
      <c r="Z969" s="24">
        <f>IF($A969="","",IF(COUNTIFS(入库单!$G$4:$G$2503,$A969,入库单!$Y$4:$Y$2503,"待补价")+COUNTIFS(入库单!$G$4:$G$2503,$A969,入库单!$Y$4:$Y$2503,"暂估")&gt;0,"不可信","可信"))</f>
        <v/>
      </c>
      <c r="AA969" s="24">
        <f>IF($A969="","",IF($X969&lt;-0.001,"※账面负库存，查一下是不是漏记入库",IF(AND(ROUND($X969,3)=0,ABS($Y969)&gt;1),"※数量已经是 0，金额还挂着 "&amp;TEXT($Y969,"#,##0")&amp;" 先令",IF(AND($X969&gt;0,$Y969&lt;=0,$K969=0),"※有数量没金额（这个物料一直没填过进价）",IF($Z969="不可信","△成本含待补价/暂估，毛利仅供参考","")))))</f>
        <v/>
      </c>
    </row>
    <row r="970">
      <c r="A970" s="24">
        <f>IF(物料档案!$A969="","",物料档案!$A969)</f>
        <v/>
      </c>
      <c r="B970" s="24">
        <f>IF($A970="","",IFERROR(VLOOKUP($A970,物料档案!$A$4:$P$1203,3,0),""))</f>
        <v/>
      </c>
      <c r="C970" s="24">
        <f>IF($A970="","",IFERROR(VLOOKUP($A970,物料档案!$A$4:$P$1203,4,0),""))</f>
        <v/>
      </c>
      <c r="D970" s="24">
        <f>IF($A970="","",IFERROR(VLOOKUP($A970,物料档案!$A$4:$P$1203,5,0),""))</f>
        <v/>
      </c>
      <c r="E970" s="24">
        <f>IF($A970="","",IFERROR(VLOOKUP($A970,物料档案!$A$4:$P$1203,2,0),""))</f>
        <v/>
      </c>
      <c r="F970" s="24">
        <f>IF($A970="","",IFERROR(VLOOKUP($A970,物料档案!$A$4:$P$1203,6,0),""))</f>
        <v/>
      </c>
      <c r="G970" s="23" t="n"/>
      <c r="H970" s="32" t="n"/>
      <c r="I970" s="27">
        <f>IF($A970="","",SUMIFS(入库单!$K$4:$K$2503,入库单!$G$4:$G$2503,$A970,入库单!$X$4:$X$2503,"采购入库",入库单!$Z$4:$Z$2503,"正常",入库单!$C$4:$C$2503,"&gt;="&amp;账期起,入库单!$C$4:$C$2503,"&lt;="&amp;账期止))</f>
        <v/>
      </c>
      <c r="J970" s="26">
        <f>IF($A970="","",SUMIFS(入库单!$V$4:$V$2503,入库单!$G$4:$G$2503,$A970,入库单!$X$4:$X$2503,"采购入库",入库单!$Z$4:$Z$2503,"正常",入库单!$C$4:$C$2503,"&gt;="&amp;账期起,入库单!$C$4:$C$2503,"&lt;="&amp;账期止))</f>
        <v/>
      </c>
      <c r="K970" s="26">
        <f>IF($A970="","",IFERROR(ROUND((N($H970)+N($J970))/(N($G970)+N($I970)),2),0))</f>
        <v/>
      </c>
      <c r="L970" s="27">
        <f>IF($A970="","",SUMIFS(入库单!$K$4:$K$2503,入库单!$G$4:$G$2503,$A970,入库单!$X$4:$X$2503,"盘盈",入库单!$Z$4:$Z$2503,"正常",入库单!$C$4:$C$2503,"&gt;="&amp;账期起,入库单!$C$4:$C$2503,"&lt;="&amp;账期止))</f>
        <v/>
      </c>
      <c r="M970" s="26">
        <f>IF($A970="","",ROUND($L970*$K970,0))</f>
        <v/>
      </c>
      <c r="N970" s="27">
        <f>IF($A970="","",SUMIFS(入库单!$K$4:$K$2503,入库单!$G$4:$G$2503,$A970,入库单!$X$4:$X$2503,"矿区退库",入库单!$Z$4:$Z$2503,"正常",入库单!$C$4:$C$2503,"&gt;="&amp;账期起,入库单!$C$4:$C$2503,"&lt;="&amp;账期止))</f>
        <v/>
      </c>
      <c r="O970" s="26">
        <f>IF($A970="","",ROUND($N970*$K970,0))</f>
        <v/>
      </c>
      <c r="P970" s="27">
        <f>IF($A970="","",SUMIFS(出库单!$J$4:$J$4003,出库单!$D$4:$D$4003,$A970,出库单!$K$4:$K$4003,"自用消耗",出库单!$U$4:$U$4003,"正常",出库单!$C$4:$C$4003,"&gt;="&amp;账期起,出库单!$C$4:$C$4003,"&lt;="&amp;账期止))</f>
        <v/>
      </c>
      <c r="Q970" s="26">
        <f>IF($A970="","",ROUND(SUMIFS(出库单!$S$4:$S$4003,出库单!$D$4:$D$4003,$A970,出库单!$K$4:$K$4003,"自用消耗",出库单!$U$4:$U$4003,"正常",出库单!$C$4:$C$4003,"&gt;="&amp;账期起,出库单!$C$4:$C$4003,"&lt;="&amp;账期止),0))</f>
        <v/>
      </c>
      <c r="R970" s="27">
        <f>IF($A970="","",SUMIFS(出库单!$J$4:$J$4003,出库单!$D$4:$D$4003,$A970,出库单!$K$4:$K$4003,"对外销售",出库单!$U$4:$U$4003,"正常",出库单!$C$4:$C$4003,"&gt;="&amp;账期起,出库单!$C$4:$C$4003,"&lt;="&amp;账期止))</f>
        <v/>
      </c>
      <c r="S970" s="26">
        <f>IF($A970="","",ROUND(SUMIFS(出库单!$S$4:$S$4003,出库单!$D$4:$D$4003,$A970,出库单!$K$4:$K$4003,"对外销售",出库单!$U$4:$U$4003,"正常",出库单!$C$4:$C$4003,"&gt;="&amp;账期起,出库单!$C$4:$C$4003,"&lt;="&amp;账期止),0))</f>
        <v/>
      </c>
      <c r="T970" s="27">
        <f>IF($A970="","",SUMIFS(出库单!$J$4:$J$4003,出库单!$D$4:$D$4003,$A970,出库单!$K$4:$K$4003,"盘亏",出库单!$U$4:$U$4003,"正常",出库单!$C$4:$C$4003,"&gt;="&amp;账期起,出库单!$C$4:$C$4003,"&lt;="&amp;账期止))</f>
        <v/>
      </c>
      <c r="U970" s="26">
        <f>IF($A970="","",ROUND(SUMIFS(出库单!$S$4:$S$4003,出库单!$D$4:$D$4003,$A970,出库单!$K$4:$K$4003,"盘亏",出库单!$U$4:$U$4003,"正常",出库单!$C$4:$C$4003,"&gt;="&amp;账期起,出库单!$C$4:$C$4003,"&lt;="&amp;账期止),0))</f>
        <v/>
      </c>
      <c r="V970" s="27">
        <f>IF($A970="","",SUMIFS(出库单!$J$4:$J$4003,出库单!$D$4:$D$4003,$A970,出库单!$K$4:$K$4003,"退货给供应商",出库单!$U$4:$U$4003,"正常",出库单!$C$4:$C$4003,"&gt;="&amp;账期起,出库单!$C$4:$C$4003,"&lt;="&amp;账期止))</f>
        <v/>
      </c>
      <c r="W970" s="26">
        <f>IF($A970="","",ROUND(SUMIFS(出库单!$S$4:$S$4003,出库单!$D$4:$D$4003,$A970,出库单!$K$4:$K$4003,"退货给供应商",出库单!$U$4:$U$4003,"正常",出库单!$C$4:$C$4003,"&gt;="&amp;账期起,出库单!$C$4:$C$4003,"&lt;="&amp;账期止),0))</f>
        <v/>
      </c>
      <c r="X970" s="27">
        <f>IF($A970="","",ROUND(N($G970)+$I970+$L970+$N970-$P970-$R970-$T970-$V970,3))</f>
        <v/>
      </c>
      <c r="Y970" s="26">
        <f>IF($A970="","",ROUND(N($H970)+$J970+$M970+$O970-$Q970-$S970-$U970-$W970,0))</f>
        <v/>
      </c>
      <c r="Z970" s="24">
        <f>IF($A970="","",IF(COUNTIFS(入库单!$G$4:$G$2503,$A970,入库单!$Y$4:$Y$2503,"待补价")+COUNTIFS(入库单!$G$4:$G$2503,$A970,入库单!$Y$4:$Y$2503,"暂估")&gt;0,"不可信","可信"))</f>
        <v/>
      </c>
      <c r="AA970" s="24">
        <f>IF($A970="","",IF($X970&lt;-0.001,"※账面负库存，查一下是不是漏记入库",IF(AND(ROUND($X970,3)=0,ABS($Y970)&gt;1),"※数量已经是 0，金额还挂着 "&amp;TEXT($Y970,"#,##0")&amp;" 先令",IF(AND($X970&gt;0,$Y970&lt;=0,$K970=0),"※有数量没金额（这个物料一直没填过进价）",IF($Z970="不可信","△成本含待补价/暂估，毛利仅供参考","")))))</f>
        <v/>
      </c>
    </row>
    <row r="971">
      <c r="A971" s="24">
        <f>IF(物料档案!$A970="","",物料档案!$A970)</f>
        <v/>
      </c>
      <c r="B971" s="24">
        <f>IF($A971="","",IFERROR(VLOOKUP($A971,物料档案!$A$4:$P$1203,3,0),""))</f>
        <v/>
      </c>
      <c r="C971" s="24">
        <f>IF($A971="","",IFERROR(VLOOKUP($A971,物料档案!$A$4:$P$1203,4,0),""))</f>
        <v/>
      </c>
      <c r="D971" s="24">
        <f>IF($A971="","",IFERROR(VLOOKUP($A971,物料档案!$A$4:$P$1203,5,0),""))</f>
        <v/>
      </c>
      <c r="E971" s="24">
        <f>IF($A971="","",IFERROR(VLOOKUP($A971,物料档案!$A$4:$P$1203,2,0),""))</f>
        <v/>
      </c>
      <c r="F971" s="24">
        <f>IF($A971="","",IFERROR(VLOOKUP($A971,物料档案!$A$4:$P$1203,6,0),""))</f>
        <v/>
      </c>
      <c r="G971" s="23" t="n"/>
      <c r="H971" s="32" t="n"/>
      <c r="I971" s="27">
        <f>IF($A971="","",SUMIFS(入库单!$K$4:$K$2503,入库单!$G$4:$G$2503,$A971,入库单!$X$4:$X$2503,"采购入库",入库单!$Z$4:$Z$2503,"正常",入库单!$C$4:$C$2503,"&gt;="&amp;账期起,入库单!$C$4:$C$2503,"&lt;="&amp;账期止))</f>
        <v/>
      </c>
      <c r="J971" s="26">
        <f>IF($A971="","",SUMIFS(入库单!$V$4:$V$2503,入库单!$G$4:$G$2503,$A971,入库单!$X$4:$X$2503,"采购入库",入库单!$Z$4:$Z$2503,"正常",入库单!$C$4:$C$2503,"&gt;="&amp;账期起,入库单!$C$4:$C$2503,"&lt;="&amp;账期止))</f>
        <v/>
      </c>
      <c r="K971" s="26">
        <f>IF($A971="","",IFERROR(ROUND((N($H971)+N($J971))/(N($G971)+N($I971)),2),0))</f>
        <v/>
      </c>
      <c r="L971" s="27">
        <f>IF($A971="","",SUMIFS(入库单!$K$4:$K$2503,入库单!$G$4:$G$2503,$A971,入库单!$X$4:$X$2503,"盘盈",入库单!$Z$4:$Z$2503,"正常",入库单!$C$4:$C$2503,"&gt;="&amp;账期起,入库单!$C$4:$C$2503,"&lt;="&amp;账期止))</f>
        <v/>
      </c>
      <c r="M971" s="26">
        <f>IF($A971="","",ROUND($L971*$K971,0))</f>
        <v/>
      </c>
      <c r="N971" s="27">
        <f>IF($A971="","",SUMIFS(入库单!$K$4:$K$2503,入库单!$G$4:$G$2503,$A971,入库单!$X$4:$X$2503,"矿区退库",入库单!$Z$4:$Z$2503,"正常",入库单!$C$4:$C$2503,"&gt;="&amp;账期起,入库单!$C$4:$C$2503,"&lt;="&amp;账期止))</f>
        <v/>
      </c>
      <c r="O971" s="26">
        <f>IF($A971="","",ROUND($N971*$K971,0))</f>
        <v/>
      </c>
      <c r="P971" s="27">
        <f>IF($A971="","",SUMIFS(出库单!$J$4:$J$4003,出库单!$D$4:$D$4003,$A971,出库单!$K$4:$K$4003,"自用消耗",出库单!$U$4:$U$4003,"正常",出库单!$C$4:$C$4003,"&gt;="&amp;账期起,出库单!$C$4:$C$4003,"&lt;="&amp;账期止))</f>
        <v/>
      </c>
      <c r="Q971" s="26">
        <f>IF($A971="","",ROUND(SUMIFS(出库单!$S$4:$S$4003,出库单!$D$4:$D$4003,$A971,出库单!$K$4:$K$4003,"自用消耗",出库单!$U$4:$U$4003,"正常",出库单!$C$4:$C$4003,"&gt;="&amp;账期起,出库单!$C$4:$C$4003,"&lt;="&amp;账期止),0))</f>
        <v/>
      </c>
      <c r="R971" s="27">
        <f>IF($A971="","",SUMIFS(出库单!$J$4:$J$4003,出库单!$D$4:$D$4003,$A971,出库单!$K$4:$K$4003,"对外销售",出库单!$U$4:$U$4003,"正常",出库单!$C$4:$C$4003,"&gt;="&amp;账期起,出库单!$C$4:$C$4003,"&lt;="&amp;账期止))</f>
        <v/>
      </c>
      <c r="S971" s="26">
        <f>IF($A971="","",ROUND(SUMIFS(出库单!$S$4:$S$4003,出库单!$D$4:$D$4003,$A971,出库单!$K$4:$K$4003,"对外销售",出库单!$U$4:$U$4003,"正常",出库单!$C$4:$C$4003,"&gt;="&amp;账期起,出库单!$C$4:$C$4003,"&lt;="&amp;账期止),0))</f>
        <v/>
      </c>
      <c r="T971" s="27">
        <f>IF($A971="","",SUMIFS(出库单!$J$4:$J$4003,出库单!$D$4:$D$4003,$A971,出库单!$K$4:$K$4003,"盘亏",出库单!$U$4:$U$4003,"正常",出库单!$C$4:$C$4003,"&gt;="&amp;账期起,出库单!$C$4:$C$4003,"&lt;="&amp;账期止))</f>
        <v/>
      </c>
      <c r="U971" s="26">
        <f>IF($A971="","",ROUND(SUMIFS(出库单!$S$4:$S$4003,出库单!$D$4:$D$4003,$A971,出库单!$K$4:$K$4003,"盘亏",出库单!$U$4:$U$4003,"正常",出库单!$C$4:$C$4003,"&gt;="&amp;账期起,出库单!$C$4:$C$4003,"&lt;="&amp;账期止),0))</f>
        <v/>
      </c>
      <c r="V971" s="27">
        <f>IF($A971="","",SUMIFS(出库单!$J$4:$J$4003,出库单!$D$4:$D$4003,$A971,出库单!$K$4:$K$4003,"退货给供应商",出库单!$U$4:$U$4003,"正常",出库单!$C$4:$C$4003,"&gt;="&amp;账期起,出库单!$C$4:$C$4003,"&lt;="&amp;账期止))</f>
        <v/>
      </c>
      <c r="W971" s="26">
        <f>IF($A971="","",ROUND(SUMIFS(出库单!$S$4:$S$4003,出库单!$D$4:$D$4003,$A971,出库单!$K$4:$K$4003,"退货给供应商",出库单!$U$4:$U$4003,"正常",出库单!$C$4:$C$4003,"&gt;="&amp;账期起,出库单!$C$4:$C$4003,"&lt;="&amp;账期止),0))</f>
        <v/>
      </c>
      <c r="X971" s="27">
        <f>IF($A971="","",ROUND(N($G971)+$I971+$L971+$N971-$P971-$R971-$T971-$V971,3))</f>
        <v/>
      </c>
      <c r="Y971" s="26">
        <f>IF($A971="","",ROUND(N($H971)+$J971+$M971+$O971-$Q971-$S971-$U971-$W971,0))</f>
        <v/>
      </c>
      <c r="Z971" s="24">
        <f>IF($A971="","",IF(COUNTIFS(入库单!$G$4:$G$2503,$A971,入库单!$Y$4:$Y$2503,"待补价")+COUNTIFS(入库单!$G$4:$G$2503,$A971,入库单!$Y$4:$Y$2503,"暂估")&gt;0,"不可信","可信"))</f>
        <v/>
      </c>
      <c r="AA971" s="24">
        <f>IF($A971="","",IF($X971&lt;-0.001,"※账面负库存，查一下是不是漏记入库",IF(AND(ROUND($X971,3)=0,ABS($Y971)&gt;1),"※数量已经是 0，金额还挂着 "&amp;TEXT($Y971,"#,##0")&amp;" 先令",IF(AND($X971&gt;0,$Y971&lt;=0,$K971=0),"※有数量没金额（这个物料一直没填过进价）",IF($Z971="不可信","△成本含待补价/暂估，毛利仅供参考","")))))</f>
        <v/>
      </c>
    </row>
    <row r="972">
      <c r="A972" s="24">
        <f>IF(物料档案!$A971="","",物料档案!$A971)</f>
        <v/>
      </c>
      <c r="B972" s="24">
        <f>IF($A972="","",IFERROR(VLOOKUP($A972,物料档案!$A$4:$P$1203,3,0),""))</f>
        <v/>
      </c>
      <c r="C972" s="24">
        <f>IF($A972="","",IFERROR(VLOOKUP($A972,物料档案!$A$4:$P$1203,4,0),""))</f>
        <v/>
      </c>
      <c r="D972" s="24">
        <f>IF($A972="","",IFERROR(VLOOKUP($A972,物料档案!$A$4:$P$1203,5,0),""))</f>
        <v/>
      </c>
      <c r="E972" s="24">
        <f>IF($A972="","",IFERROR(VLOOKUP($A972,物料档案!$A$4:$P$1203,2,0),""))</f>
        <v/>
      </c>
      <c r="F972" s="24">
        <f>IF($A972="","",IFERROR(VLOOKUP($A972,物料档案!$A$4:$P$1203,6,0),""))</f>
        <v/>
      </c>
      <c r="G972" s="23" t="n"/>
      <c r="H972" s="32" t="n"/>
      <c r="I972" s="27">
        <f>IF($A972="","",SUMIFS(入库单!$K$4:$K$2503,入库单!$G$4:$G$2503,$A972,入库单!$X$4:$X$2503,"采购入库",入库单!$Z$4:$Z$2503,"正常",入库单!$C$4:$C$2503,"&gt;="&amp;账期起,入库单!$C$4:$C$2503,"&lt;="&amp;账期止))</f>
        <v/>
      </c>
      <c r="J972" s="26">
        <f>IF($A972="","",SUMIFS(入库单!$V$4:$V$2503,入库单!$G$4:$G$2503,$A972,入库单!$X$4:$X$2503,"采购入库",入库单!$Z$4:$Z$2503,"正常",入库单!$C$4:$C$2503,"&gt;="&amp;账期起,入库单!$C$4:$C$2503,"&lt;="&amp;账期止))</f>
        <v/>
      </c>
      <c r="K972" s="26">
        <f>IF($A972="","",IFERROR(ROUND((N($H972)+N($J972))/(N($G972)+N($I972)),2),0))</f>
        <v/>
      </c>
      <c r="L972" s="27">
        <f>IF($A972="","",SUMIFS(入库单!$K$4:$K$2503,入库单!$G$4:$G$2503,$A972,入库单!$X$4:$X$2503,"盘盈",入库单!$Z$4:$Z$2503,"正常",入库单!$C$4:$C$2503,"&gt;="&amp;账期起,入库单!$C$4:$C$2503,"&lt;="&amp;账期止))</f>
        <v/>
      </c>
      <c r="M972" s="26">
        <f>IF($A972="","",ROUND($L972*$K972,0))</f>
        <v/>
      </c>
      <c r="N972" s="27">
        <f>IF($A972="","",SUMIFS(入库单!$K$4:$K$2503,入库单!$G$4:$G$2503,$A972,入库单!$X$4:$X$2503,"矿区退库",入库单!$Z$4:$Z$2503,"正常",入库单!$C$4:$C$2503,"&gt;="&amp;账期起,入库单!$C$4:$C$2503,"&lt;="&amp;账期止))</f>
        <v/>
      </c>
      <c r="O972" s="26">
        <f>IF($A972="","",ROUND($N972*$K972,0))</f>
        <v/>
      </c>
      <c r="P972" s="27">
        <f>IF($A972="","",SUMIFS(出库单!$J$4:$J$4003,出库单!$D$4:$D$4003,$A972,出库单!$K$4:$K$4003,"自用消耗",出库单!$U$4:$U$4003,"正常",出库单!$C$4:$C$4003,"&gt;="&amp;账期起,出库单!$C$4:$C$4003,"&lt;="&amp;账期止))</f>
        <v/>
      </c>
      <c r="Q972" s="26">
        <f>IF($A972="","",ROUND(SUMIFS(出库单!$S$4:$S$4003,出库单!$D$4:$D$4003,$A972,出库单!$K$4:$K$4003,"自用消耗",出库单!$U$4:$U$4003,"正常",出库单!$C$4:$C$4003,"&gt;="&amp;账期起,出库单!$C$4:$C$4003,"&lt;="&amp;账期止),0))</f>
        <v/>
      </c>
      <c r="R972" s="27">
        <f>IF($A972="","",SUMIFS(出库单!$J$4:$J$4003,出库单!$D$4:$D$4003,$A972,出库单!$K$4:$K$4003,"对外销售",出库单!$U$4:$U$4003,"正常",出库单!$C$4:$C$4003,"&gt;="&amp;账期起,出库单!$C$4:$C$4003,"&lt;="&amp;账期止))</f>
        <v/>
      </c>
      <c r="S972" s="26">
        <f>IF($A972="","",ROUND(SUMIFS(出库单!$S$4:$S$4003,出库单!$D$4:$D$4003,$A972,出库单!$K$4:$K$4003,"对外销售",出库单!$U$4:$U$4003,"正常",出库单!$C$4:$C$4003,"&gt;="&amp;账期起,出库单!$C$4:$C$4003,"&lt;="&amp;账期止),0))</f>
        <v/>
      </c>
      <c r="T972" s="27">
        <f>IF($A972="","",SUMIFS(出库单!$J$4:$J$4003,出库单!$D$4:$D$4003,$A972,出库单!$K$4:$K$4003,"盘亏",出库单!$U$4:$U$4003,"正常",出库单!$C$4:$C$4003,"&gt;="&amp;账期起,出库单!$C$4:$C$4003,"&lt;="&amp;账期止))</f>
        <v/>
      </c>
      <c r="U972" s="26">
        <f>IF($A972="","",ROUND(SUMIFS(出库单!$S$4:$S$4003,出库单!$D$4:$D$4003,$A972,出库单!$K$4:$K$4003,"盘亏",出库单!$U$4:$U$4003,"正常",出库单!$C$4:$C$4003,"&gt;="&amp;账期起,出库单!$C$4:$C$4003,"&lt;="&amp;账期止),0))</f>
        <v/>
      </c>
      <c r="V972" s="27">
        <f>IF($A972="","",SUMIFS(出库单!$J$4:$J$4003,出库单!$D$4:$D$4003,$A972,出库单!$K$4:$K$4003,"退货给供应商",出库单!$U$4:$U$4003,"正常",出库单!$C$4:$C$4003,"&gt;="&amp;账期起,出库单!$C$4:$C$4003,"&lt;="&amp;账期止))</f>
        <v/>
      </c>
      <c r="W972" s="26">
        <f>IF($A972="","",ROUND(SUMIFS(出库单!$S$4:$S$4003,出库单!$D$4:$D$4003,$A972,出库单!$K$4:$K$4003,"退货给供应商",出库单!$U$4:$U$4003,"正常",出库单!$C$4:$C$4003,"&gt;="&amp;账期起,出库单!$C$4:$C$4003,"&lt;="&amp;账期止),0))</f>
        <v/>
      </c>
      <c r="X972" s="27">
        <f>IF($A972="","",ROUND(N($G972)+$I972+$L972+$N972-$P972-$R972-$T972-$V972,3))</f>
        <v/>
      </c>
      <c r="Y972" s="26">
        <f>IF($A972="","",ROUND(N($H972)+$J972+$M972+$O972-$Q972-$S972-$U972-$W972,0))</f>
        <v/>
      </c>
      <c r="Z972" s="24">
        <f>IF($A972="","",IF(COUNTIFS(入库单!$G$4:$G$2503,$A972,入库单!$Y$4:$Y$2503,"待补价")+COUNTIFS(入库单!$G$4:$G$2503,$A972,入库单!$Y$4:$Y$2503,"暂估")&gt;0,"不可信","可信"))</f>
        <v/>
      </c>
      <c r="AA972" s="24">
        <f>IF($A972="","",IF($X972&lt;-0.001,"※账面负库存，查一下是不是漏记入库",IF(AND(ROUND($X972,3)=0,ABS($Y972)&gt;1),"※数量已经是 0，金额还挂着 "&amp;TEXT($Y972,"#,##0")&amp;" 先令",IF(AND($X972&gt;0,$Y972&lt;=0,$K972=0),"※有数量没金额（这个物料一直没填过进价）",IF($Z972="不可信","△成本含待补价/暂估，毛利仅供参考","")))))</f>
        <v/>
      </c>
    </row>
    <row r="973">
      <c r="A973" s="24">
        <f>IF(物料档案!$A972="","",物料档案!$A972)</f>
        <v/>
      </c>
      <c r="B973" s="24">
        <f>IF($A973="","",IFERROR(VLOOKUP($A973,物料档案!$A$4:$P$1203,3,0),""))</f>
        <v/>
      </c>
      <c r="C973" s="24">
        <f>IF($A973="","",IFERROR(VLOOKUP($A973,物料档案!$A$4:$P$1203,4,0),""))</f>
        <v/>
      </c>
      <c r="D973" s="24">
        <f>IF($A973="","",IFERROR(VLOOKUP($A973,物料档案!$A$4:$P$1203,5,0),""))</f>
        <v/>
      </c>
      <c r="E973" s="24">
        <f>IF($A973="","",IFERROR(VLOOKUP($A973,物料档案!$A$4:$P$1203,2,0),""))</f>
        <v/>
      </c>
      <c r="F973" s="24">
        <f>IF($A973="","",IFERROR(VLOOKUP($A973,物料档案!$A$4:$P$1203,6,0),""))</f>
        <v/>
      </c>
      <c r="G973" s="23" t="n"/>
      <c r="H973" s="32" t="n"/>
      <c r="I973" s="27">
        <f>IF($A973="","",SUMIFS(入库单!$K$4:$K$2503,入库单!$G$4:$G$2503,$A973,入库单!$X$4:$X$2503,"采购入库",入库单!$Z$4:$Z$2503,"正常",入库单!$C$4:$C$2503,"&gt;="&amp;账期起,入库单!$C$4:$C$2503,"&lt;="&amp;账期止))</f>
        <v/>
      </c>
      <c r="J973" s="26">
        <f>IF($A973="","",SUMIFS(入库单!$V$4:$V$2503,入库单!$G$4:$G$2503,$A973,入库单!$X$4:$X$2503,"采购入库",入库单!$Z$4:$Z$2503,"正常",入库单!$C$4:$C$2503,"&gt;="&amp;账期起,入库单!$C$4:$C$2503,"&lt;="&amp;账期止))</f>
        <v/>
      </c>
      <c r="K973" s="26">
        <f>IF($A973="","",IFERROR(ROUND((N($H973)+N($J973))/(N($G973)+N($I973)),2),0))</f>
        <v/>
      </c>
      <c r="L973" s="27">
        <f>IF($A973="","",SUMIFS(入库单!$K$4:$K$2503,入库单!$G$4:$G$2503,$A973,入库单!$X$4:$X$2503,"盘盈",入库单!$Z$4:$Z$2503,"正常",入库单!$C$4:$C$2503,"&gt;="&amp;账期起,入库单!$C$4:$C$2503,"&lt;="&amp;账期止))</f>
        <v/>
      </c>
      <c r="M973" s="26">
        <f>IF($A973="","",ROUND($L973*$K973,0))</f>
        <v/>
      </c>
      <c r="N973" s="27">
        <f>IF($A973="","",SUMIFS(入库单!$K$4:$K$2503,入库单!$G$4:$G$2503,$A973,入库单!$X$4:$X$2503,"矿区退库",入库单!$Z$4:$Z$2503,"正常",入库单!$C$4:$C$2503,"&gt;="&amp;账期起,入库单!$C$4:$C$2503,"&lt;="&amp;账期止))</f>
        <v/>
      </c>
      <c r="O973" s="26">
        <f>IF($A973="","",ROUND($N973*$K973,0))</f>
        <v/>
      </c>
      <c r="P973" s="27">
        <f>IF($A973="","",SUMIFS(出库单!$J$4:$J$4003,出库单!$D$4:$D$4003,$A973,出库单!$K$4:$K$4003,"自用消耗",出库单!$U$4:$U$4003,"正常",出库单!$C$4:$C$4003,"&gt;="&amp;账期起,出库单!$C$4:$C$4003,"&lt;="&amp;账期止))</f>
        <v/>
      </c>
      <c r="Q973" s="26">
        <f>IF($A973="","",ROUND(SUMIFS(出库单!$S$4:$S$4003,出库单!$D$4:$D$4003,$A973,出库单!$K$4:$K$4003,"自用消耗",出库单!$U$4:$U$4003,"正常",出库单!$C$4:$C$4003,"&gt;="&amp;账期起,出库单!$C$4:$C$4003,"&lt;="&amp;账期止),0))</f>
        <v/>
      </c>
      <c r="R973" s="27">
        <f>IF($A973="","",SUMIFS(出库单!$J$4:$J$4003,出库单!$D$4:$D$4003,$A973,出库单!$K$4:$K$4003,"对外销售",出库单!$U$4:$U$4003,"正常",出库单!$C$4:$C$4003,"&gt;="&amp;账期起,出库单!$C$4:$C$4003,"&lt;="&amp;账期止))</f>
        <v/>
      </c>
      <c r="S973" s="26">
        <f>IF($A973="","",ROUND(SUMIFS(出库单!$S$4:$S$4003,出库单!$D$4:$D$4003,$A973,出库单!$K$4:$K$4003,"对外销售",出库单!$U$4:$U$4003,"正常",出库单!$C$4:$C$4003,"&gt;="&amp;账期起,出库单!$C$4:$C$4003,"&lt;="&amp;账期止),0))</f>
        <v/>
      </c>
      <c r="T973" s="27">
        <f>IF($A973="","",SUMIFS(出库单!$J$4:$J$4003,出库单!$D$4:$D$4003,$A973,出库单!$K$4:$K$4003,"盘亏",出库单!$U$4:$U$4003,"正常",出库单!$C$4:$C$4003,"&gt;="&amp;账期起,出库单!$C$4:$C$4003,"&lt;="&amp;账期止))</f>
        <v/>
      </c>
      <c r="U973" s="26">
        <f>IF($A973="","",ROUND(SUMIFS(出库单!$S$4:$S$4003,出库单!$D$4:$D$4003,$A973,出库单!$K$4:$K$4003,"盘亏",出库单!$U$4:$U$4003,"正常",出库单!$C$4:$C$4003,"&gt;="&amp;账期起,出库单!$C$4:$C$4003,"&lt;="&amp;账期止),0))</f>
        <v/>
      </c>
      <c r="V973" s="27">
        <f>IF($A973="","",SUMIFS(出库单!$J$4:$J$4003,出库单!$D$4:$D$4003,$A973,出库单!$K$4:$K$4003,"退货给供应商",出库单!$U$4:$U$4003,"正常",出库单!$C$4:$C$4003,"&gt;="&amp;账期起,出库单!$C$4:$C$4003,"&lt;="&amp;账期止))</f>
        <v/>
      </c>
      <c r="W973" s="26">
        <f>IF($A973="","",ROUND(SUMIFS(出库单!$S$4:$S$4003,出库单!$D$4:$D$4003,$A973,出库单!$K$4:$K$4003,"退货给供应商",出库单!$U$4:$U$4003,"正常",出库单!$C$4:$C$4003,"&gt;="&amp;账期起,出库单!$C$4:$C$4003,"&lt;="&amp;账期止),0))</f>
        <v/>
      </c>
      <c r="X973" s="27">
        <f>IF($A973="","",ROUND(N($G973)+$I973+$L973+$N973-$P973-$R973-$T973-$V973,3))</f>
        <v/>
      </c>
      <c r="Y973" s="26">
        <f>IF($A973="","",ROUND(N($H973)+$J973+$M973+$O973-$Q973-$S973-$U973-$W973,0))</f>
        <v/>
      </c>
      <c r="Z973" s="24">
        <f>IF($A973="","",IF(COUNTIFS(入库单!$G$4:$G$2503,$A973,入库单!$Y$4:$Y$2503,"待补价")+COUNTIFS(入库单!$G$4:$G$2503,$A973,入库单!$Y$4:$Y$2503,"暂估")&gt;0,"不可信","可信"))</f>
        <v/>
      </c>
      <c r="AA973" s="24">
        <f>IF($A973="","",IF($X973&lt;-0.001,"※账面负库存，查一下是不是漏记入库",IF(AND(ROUND($X973,3)=0,ABS($Y973)&gt;1),"※数量已经是 0，金额还挂着 "&amp;TEXT($Y973,"#,##0")&amp;" 先令",IF(AND($X973&gt;0,$Y973&lt;=0,$K973=0),"※有数量没金额（这个物料一直没填过进价）",IF($Z973="不可信","△成本含待补价/暂估，毛利仅供参考","")))))</f>
        <v/>
      </c>
    </row>
    <row r="974">
      <c r="A974" s="24">
        <f>IF(物料档案!$A973="","",物料档案!$A973)</f>
        <v/>
      </c>
      <c r="B974" s="24">
        <f>IF($A974="","",IFERROR(VLOOKUP($A974,物料档案!$A$4:$P$1203,3,0),""))</f>
        <v/>
      </c>
      <c r="C974" s="24">
        <f>IF($A974="","",IFERROR(VLOOKUP($A974,物料档案!$A$4:$P$1203,4,0),""))</f>
        <v/>
      </c>
      <c r="D974" s="24">
        <f>IF($A974="","",IFERROR(VLOOKUP($A974,物料档案!$A$4:$P$1203,5,0),""))</f>
        <v/>
      </c>
      <c r="E974" s="24">
        <f>IF($A974="","",IFERROR(VLOOKUP($A974,物料档案!$A$4:$P$1203,2,0),""))</f>
        <v/>
      </c>
      <c r="F974" s="24">
        <f>IF($A974="","",IFERROR(VLOOKUP($A974,物料档案!$A$4:$P$1203,6,0),""))</f>
        <v/>
      </c>
      <c r="G974" s="23" t="n"/>
      <c r="H974" s="32" t="n"/>
      <c r="I974" s="27">
        <f>IF($A974="","",SUMIFS(入库单!$K$4:$K$2503,入库单!$G$4:$G$2503,$A974,入库单!$X$4:$X$2503,"采购入库",入库单!$Z$4:$Z$2503,"正常",入库单!$C$4:$C$2503,"&gt;="&amp;账期起,入库单!$C$4:$C$2503,"&lt;="&amp;账期止))</f>
        <v/>
      </c>
      <c r="J974" s="26">
        <f>IF($A974="","",SUMIFS(入库单!$V$4:$V$2503,入库单!$G$4:$G$2503,$A974,入库单!$X$4:$X$2503,"采购入库",入库单!$Z$4:$Z$2503,"正常",入库单!$C$4:$C$2503,"&gt;="&amp;账期起,入库单!$C$4:$C$2503,"&lt;="&amp;账期止))</f>
        <v/>
      </c>
      <c r="K974" s="26">
        <f>IF($A974="","",IFERROR(ROUND((N($H974)+N($J974))/(N($G974)+N($I974)),2),0))</f>
        <v/>
      </c>
      <c r="L974" s="27">
        <f>IF($A974="","",SUMIFS(入库单!$K$4:$K$2503,入库单!$G$4:$G$2503,$A974,入库单!$X$4:$X$2503,"盘盈",入库单!$Z$4:$Z$2503,"正常",入库单!$C$4:$C$2503,"&gt;="&amp;账期起,入库单!$C$4:$C$2503,"&lt;="&amp;账期止))</f>
        <v/>
      </c>
      <c r="M974" s="26">
        <f>IF($A974="","",ROUND($L974*$K974,0))</f>
        <v/>
      </c>
      <c r="N974" s="27">
        <f>IF($A974="","",SUMIFS(入库单!$K$4:$K$2503,入库单!$G$4:$G$2503,$A974,入库单!$X$4:$X$2503,"矿区退库",入库单!$Z$4:$Z$2503,"正常",入库单!$C$4:$C$2503,"&gt;="&amp;账期起,入库单!$C$4:$C$2503,"&lt;="&amp;账期止))</f>
        <v/>
      </c>
      <c r="O974" s="26">
        <f>IF($A974="","",ROUND($N974*$K974,0))</f>
        <v/>
      </c>
      <c r="P974" s="27">
        <f>IF($A974="","",SUMIFS(出库单!$J$4:$J$4003,出库单!$D$4:$D$4003,$A974,出库单!$K$4:$K$4003,"自用消耗",出库单!$U$4:$U$4003,"正常",出库单!$C$4:$C$4003,"&gt;="&amp;账期起,出库单!$C$4:$C$4003,"&lt;="&amp;账期止))</f>
        <v/>
      </c>
      <c r="Q974" s="26">
        <f>IF($A974="","",ROUND(SUMIFS(出库单!$S$4:$S$4003,出库单!$D$4:$D$4003,$A974,出库单!$K$4:$K$4003,"自用消耗",出库单!$U$4:$U$4003,"正常",出库单!$C$4:$C$4003,"&gt;="&amp;账期起,出库单!$C$4:$C$4003,"&lt;="&amp;账期止),0))</f>
        <v/>
      </c>
      <c r="R974" s="27">
        <f>IF($A974="","",SUMIFS(出库单!$J$4:$J$4003,出库单!$D$4:$D$4003,$A974,出库单!$K$4:$K$4003,"对外销售",出库单!$U$4:$U$4003,"正常",出库单!$C$4:$C$4003,"&gt;="&amp;账期起,出库单!$C$4:$C$4003,"&lt;="&amp;账期止))</f>
        <v/>
      </c>
      <c r="S974" s="26">
        <f>IF($A974="","",ROUND(SUMIFS(出库单!$S$4:$S$4003,出库单!$D$4:$D$4003,$A974,出库单!$K$4:$K$4003,"对外销售",出库单!$U$4:$U$4003,"正常",出库单!$C$4:$C$4003,"&gt;="&amp;账期起,出库单!$C$4:$C$4003,"&lt;="&amp;账期止),0))</f>
        <v/>
      </c>
      <c r="T974" s="27">
        <f>IF($A974="","",SUMIFS(出库单!$J$4:$J$4003,出库单!$D$4:$D$4003,$A974,出库单!$K$4:$K$4003,"盘亏",出库单!$U$4:$U$4003,"正常",出库单!$C$4:$C$4003,"&gt;="&amp;账期起,出库单!$C$4:$C$4003,"&lt;="&amp;账期止))</f>
        <v/>
      </c>
      <c r="U974" s="26">
        <f>IF($A974="","",ROUND(SUMIFS(出库单!$S$4:$S$4003,出库单!$D$4:$D$4003,$A974,出库单!$K$4:$K$4003,"盘亏",出库单!$U$4:$U$4003,"正常",出库单!$C$4:$C$4003,"&gt;="&amp;账期起,出库单!$C$4:$C$4003,"&lt;="&amp;账期止),0))</f>
        <v/>
      </c>
      <c r="V974" s="27">
        <f>IF($A974="","",SUMIFS(出库单!$J$4:$J$4003,出库单!$D$4:$D$4003,$A974,出库单!$K$4:$K$4003,"退货给供应商",出库单!$U$4:$U$4003,"正常",出库单!$C$4:$C$4003,"&gt;="&amp;账期起,出库单!$C$4:$C$4003,"&lt;="&amp;账期止))</f>
        <v/>
      </c>
      <c r="W974" s="26">
        <f>IF($A974="","",ROUND(SUMIFS(出库单!$S$4:$S$4003,出库单!$D$4:$D$4003,$A974,出库单!$K$4:$K$4003,"退货给供应商",出库单!$U$4:$U$4003,"正常",出库单!$C$4:$C$4003,"&gt;="&amp;账期起,出库单!$C$4:$C$4003,"&lt;="&amp;账期止),0))</f>
        <v/>
      </c>
      <c r="X974" s="27">
        <f>IF($A974="","",ROUND(N($G974)+$I974+$L974+$N974-$P974-$R974-$T974-$V974,3))</f>
        <v/>
      </c>
      <c r="Y974" s="26">
        <f>IF($A974="","",ROUND(N($H974)+$J974+$M974+$O974-$Q974-$S974-$U974-$W974,0))</f>
        <v/>
      </c>
      <c r="Z974" s="24">
        <f>IF($A974="","",IF(COUNTIFS(入库单!$G$4:$G$2503,$A974,入库单!$Y$4:$Y$2503,"待补价")+COUNTIFS(入库单!$G$4:$G$2503,$A974,入库单!$Y$4:$Y$2503,"暂估")&gt;0,"不可信","可信"))</f>
        <v/>
      </c>
      <c r="AA974" s="24">
        <f>IF($A974="","",IF($X974&lt;-0.001,"※账面负库存，查一下是不是漏记入库",IF(AND(ROUND($X974,3)=0,ABS($Y974)&gt;1),"※数量已经是 0，金额还挂着 "&amp;TEXT($Y974,"#,##0")&amp;" 先令",IF(AND($X974&gt;0,$Y974&lt;=0,$K974=0),"※有数量没金额（这个物料一直没填过进价）",IF($Z974="不可信","△成本含待补价/暂估，毛利仅供参考","")))))</f>
        <v/>
      </c>
    </row>
    <row r="975">
      <c r="A975" s="24">
        <f>IF(物料档案!$A974="","",物料档案!$A974)</f>
        <v/>
      </c>
      <c r="B975" s="24">
        <f>IF($A975="","",IFERROR(VLOOKUP($A975,物料档案!$A$4:$P$1203,3,0),""))</f>
        <v/>
      </c>
      <c r="C975" s="24">
        <f>IF($A975="","",IFERROR(VLOOKUP($A975,物料档案!$A$4:$P$1203,4,0),""))</f>
        <v/>
      </c>
      <c r="D975" s="24">
        <f>IF($A975="","",IFERROR(VLOOKUP($A975,物料档案!$A$4:$P$1203,5,0),""))</f>
        <v/>
      </c>
      <c r="E975" s="24">
        <f>IF($A975="","",IFERROR(VLOOKUP($A975,物料档案!$A$4:$P$1203,2,0),""))</f>
        <v/>
      </c>
      <c r="F975" s="24">
        <f>IF($A975="","",IFERROR(VLOOKUP($A975,物料档案!$A$4:$P$1203,6,0),""))</f>
        <v/>
      </c>
      <c r="G975" s="23" t="n"/>
      <c r="H975" s="32" t="n"/>
      <c r="I975" s="27">
        <f>IF($A975="","",SUMIFS(入库单!$K$4:$K$2503,入库单!$G$4:$G$2503,$A975,入库单!$X$4:$X$2503,"采购入库",入库单!$Z$4:$Z$2503,"正常",入库单!$C$4:$C$2503,"&gt;="&amp;账期起,入库单!$C$4:$C$2503,"&lt;="&amp;账期止))</f>
        <v/>
      </c>
      <c r="J975" s="26">
        <f>IF($A975="","",SUMIFS(入库单!$V$4:$V$2503,入库单!$G$4:$G$2503,$A975,入库单!$X$4:$X$2503,"采购入库",入库单!$Z$4:$Z$2503,"正常",入库单!$C$4:$C$2503,"&gt;="&amp;账期起,入库单!$C$4:$C$2503,"&lt;="&amp;账期止))</f>
        <v/>
      </c>
      <c r="K975" s="26">
        <f>IF($A975="","",IFERROR(ROUND((N($H975)+N($J975))/(N($G975)+N($I975)),2),0))</f>
        <v/>
      </c>
      <c r="L975" s="27">
        <f>IF($A975="","",SUMIFS(入库单!$K$4:$K$2503,入库单!$G$4:$G$2503,$A975,入库单!$X$4:$X$2503,"盘盈",入库单!$Z$4:$Z$2503,"正常",入库单!$C$4:$C$2503,"&gt;="&amp;账期起,入库单!$C$4:$C$2503,"&lt;="&amp;账期止))</f>
        <v/>
      </c>
      <c r="M975" s="26">
        <f>IF($A975="","",ROUND($L975*$K975,0))</f>
        <v/>
      </c>
      <c r="N975" s="27">
        <f>IF($A975="","",SUMIFS(入库单!$K$4:$K$2503,入库单!$G$4:$G$2503,$A975,入库单!$X$4:$X$2503,"矿区退库",入库单!$Z$4:$Z$2503,"正常",入库单!$C$4:$C$2503,"&gt;="&amp;账期起,入库单!$C$4:$C$2503,"&lt;="&amp;账期止))</f>
        <v/>
      </c>
      <c r="O975" s="26">
        <f>IF($A975="","",ROUND($N975*$K975,0))</f>
        <v/>
      </c>
      <c r="P975" s="27">
        <f>IF($A975="","",SUMIFS(出库单!$J$4:$J$4003,出库单!$D$4:$D$4003,$A975,出库单!$K$4:$K$4003,"自用消耗",出库单!$U$4:$U$4003,"正常",出库单!$C$4:$C$4003,"&gt;="&amp;账期起,出库单!$C$4:$C$4003,"&lt;="&amp;账期止))</f>
        <v/>
      </c>
      <c r="Q975" s="26">
        <f>IF($A975="","",ROUND(SUMIFS(出库单!$S$4:$S$4003,出库单!$D$4:$D$4003,$A975,出库单!$K$4:$K$4003,"自用消耗",出库单!$U$4:$U$4003,"正常",出库单!$C$4:$C$4003,"&gt;="&amp;账期起,出库单!$C$4:$C$4003,"&lt;="&amp;账期止),0))</f>
        <v/>
      </c>
      <c r="R975" s="27">
        <f>IF($A975="","",SUMIFS(出库单!$J$4:$J$4003,出库单!$D$4:$D$4003,$A975,出库单!$K$4:$K$4003,"对外销售",出库单!$U$4:$U$4003,"正常",出库单!$C$4:$C$4003,"&gt;="&amp;账期起,出库单!$C$4:$C$4003,"&lt;="&amp;账期止))</f>
        <v/>
      </c>
      <c r="S975" s="26">
        <f>IF($A975="","",ROUND(SUMIFS(出库单!$S$4:$S$4003,出库单!$D$4:$D$4003,$A975,出库单!$K$4:$K$4003,"对外销售",出库单!$U$4:$U$4003,"正常",出库单!$C$4:$C$4003,"&gt;="&amp;账期起,出库单!$C$4:$C$4003,"&lt;="&amp;账期止),0))</f>
        <v/>
      </c>
      <c r="T975" s="27">
        <f>IF($A975="","",SUMIFS(出库单!$J$4:$J$4003,出库单!$D$4:$D$4003,$A975,出库单!$K$4:$K$4003,"盘亏",出库单!$U$4:$U$4003,"正常",出库单!$C$4:$C$4003,"&gt;="&amp;账期起,出库单!$C$4:$C$4003,"&lt;="&amp;账期止))</f>
        <v/>
      </c>
      <c r="U975" s="26">
        <f>IF($A975="","",ROUND(SUMIFS(出库单!$S$4:$S$4003,出库单!$D$4:$D$4003,$A975,出库单!$K$4:$K$4003,"盘亏",出库单!$U$4:$U$4003,"正常",出库单!$C$4:$C$4003,"&gt;="&amp;账期起,出库单!$C$4:$C$4003,"&lt;="&amp;账期止),0))</f>
        <v/>
      </c>
      <c r="V975" s="27">
        <f>IF($A975="","",SUMIFS(出库单!$J$4:$J$4003,出库单!$D$4:$D$4003,$A975,出库单!$K$4:$K$4003,"退货给供应商",出库单!$U$4:$U$4003,"正常",出库单!$C$4:$C$4003,"&gt;="&amp;账期起,出库单!$C$4:$C$4003,"&lt;="&amp;账期止))</f>
        <v/>
      </c>
      <c r="W975" s="26">
        <f>IF($A975="","",ROUND(SUMIFS(出库单!$S$4:$S$4003,出库单!$D$4:$D$4003,$A975,出库单!$K$4:$K$4003,"退货给供应商",出库单!$U$4:$U$4003,"正常",出库单!$C$4:$C$4003,"&gt;="&amp;账期起,出库单!$C$4:$C$4003,"&lt;="&amp;账期止),0))</f>
        <v/>
      </c>
      <c r="X975" s="27">
        <f>IF($A975="","",ROUND(N($G975)+$I975+$L975+$N975-$P975-$R975-$T975-$V975,3))</f>
        <v/>
      </c>
      <c r="Y975" s="26">
        <f>IF($A975="","",ROUND(N($H975)+$J975+$M975+$O975-$Q975-$S975-$U975-$W975,0))</f>
        <v/>
      </c>
      <c r="Z975" s="24">
        <f>IF($A975="","",IF(COUNTIFS(入库单!$G$4:$G$2503,$A975,入库单!$Y$4:$Y$2503,"待补价")+COUNTIFS(入库单!$G$4:$G$2503,$A975,入库单!$Y$4:$Y$2503,"暂估")&gt;0,"不可信","可信"))</f>
        <v/>
      </c>
      <c r="AA975" s="24">
        <f>IF($A975="","",IF($X975&lt;-0.001,"※账面负库存，查一下是不是漏记入库",IF(AND(ROUND($X975,3)=0,ABS($Y975)&gt;1),"※数量已经是 0，金额还挂着 "&amp;TEXT($Y975,"#,##0")&amp;" 先令",IF(AND($X975&gt;0,$Y975&lt;=0,$K975=0),"※有数量没金额（这个物料一直没填过进价）",IF($Z975="不可信","△成本含待补价/暂估，毛利仅供参考","")))))</f>
        <v/>
      </c>
    </row>
    <row r="976">
      <c r="A976" s="24">
        <f>IF(物料档案!$A975="","",物料档案!$A975)</f>
        <v/>
      </c>
      <c r="B976" s="24">
        <f>IF($A976="","",IFERROR(VLOOKUP($A976,物料档案!$A$4:$P$1203,3,0),""))</f>
        <v/>
      </c>
      <c r="C976" s="24">
        <f>IF($A976="","",IFERROR(VLOOKUP($A976,物料档案!$A$4:$P$1203,4,0),""))</f>
        <v/>
      </c>
      <c r="D976" s="24">
        <f>IF($A976="","",IFERROR(VLOOKUP($A976,物料档案!$A$4:$P$1203,5,0),""))</f>
        <v/>
      </c>
      <c r="E976" s="24">
        <f>IF($A976="","",IFERROR(VLOOKUP($A976,物料档案!$A$4:$P$1203,2,0),""))</f>
        <v/>
      </c>
      <c r="F976" s="24">
        <f>IF($A976="","",IFERROR(VLOOKUP($A976,物料档案!$A$4:$P$1203,6,0),""))</f>
        <v/>
      </c>
      <c r="G976" s="23" t="n"/>
      <c r="H976" s="32" t="n"/>
      <c r="I976" s="27">
        <f>IF($A976="","",SUMIFS(入库单!$K$4:$K$2503,入库单!$G$4:$G$2503,$A976,入库单!$X$4:$X$2503,"采购入库",入库单!$Z$4:$Z$2503,"正常",入库单!$C$4:$C$2503,"&gt;="&amp;账期起,入库单!$C$4:$C$2503,"&lt;="&amp;账期止))</f>
        <v/>
      </c>
      <c r="J976" s="26">
        <f>IF($A976="","",SUMIFS(入库单!$V$4:$V$2503,入库单!$G$4:$G$2503,$A976,入库单!$X$4:$X$2503,"采购入库",入库单!$Z$4:$Z$2503,"正常",入库单!$C$4:$C$2503,"&gt;="&amp;账期起,入库单!$C$4:$C$2503,"&lt;="&amp;账期止))</f>
        <v/>
      </c>
      <c r="K976" s="26">
        <f>IF($A976="","",IFERROR(ROUND((N($H976)+N($J976))/(N($G976)+N($I976)),2),0))</f>
        <v/>
      </c>
      <c r="L976" s="27">
        <f>IF($A976="","",SUMIFS(入库单!$K$4:$K$2503,入库单!$G$4:$G$2503,$A976,入库单!$X$4:$X$2503,"盘盈",入库单!$Z$4:$Z$2503,"正常",入库单!$C$4:$C$2503,"&gt;="&amp;账期起,入库单!$C$4:$C$2503,"&lt;="&amp;账期止))</f>
        <v/>
      </c>
      <c r="M976" s="26">
        <f>IF($A976="","",ROUND($L976*$K976,0))</f>
        <v/>
      </c>
      <c r="N976" s="27">
        <f>IF($A976="","",SUMIFS(入库单!$K$4:$K$2503,入库单!$G$4:$G$2503,$A976,入库单!$X$4:$X$2503,"矿区退库",入库单!$Z$4:$Z$2503,"正常",入库单!$C$4:$C$2503,"&gt;="&amp;账期起,入库单!$C$4:$C$2503,"&lt;="&amp;账期止))</f>
        <v/>
      </c>
      <c r="O976" s="26">
        <f>IF($A976="","",ROUND($N976*$K976,0))</f>
        <v/>
      </c>
      <c r="P976" s="27">
        <f>IF($A976="","",SUMIFS(出库单!$J$4:$J$4003,出库单!$D$4:$D$4003,$A976,出库单!$K$4:$K$4003,"自用消耗",出库单!$U$4:$U$4003,"正常",出库单!$C$4:$C$4003,"&gt;="&amp;账期起,出库单!$C$4:$C$4003,"&lt;="&amp;账期止))</f>
        <v/>
      </c>
      <c r="Q976" s="26">
        <f>IF($A976="","",ROUND(SUMIFS(出库单!$S$4:$S$4003,出库单!$D$4:$D$4003,$A976,出库单!$K$4:$K$4003,"自用消耗",出库单!$U$4:$U$4003,"正常",出库单!$C$4:$C$4003,"&gt;="&amp;账期起,出库单!$C$4:$C$4003,"&lt;="&amp;账期止),0))</f>
        <v/>
      </c>
      <c r="R976" s="27">
        <f>IF($A976="","",SUMIFS(出库单!$J$4:$J$4003,出库单!$D$4:$D$4003,$A976,出库单!$K$4:$K$4003,"对外销售",出库单!$U$4:$U$4003,"正常",出库单!$C$4:$C$4003,"&gt;="&amp;账期起,出库单!$C$4:$C$4003,"&lt;="&amp;账期止))</f>
        <v/>
      </c>
      <c r="S976" s="26">
        <f>IF($A976="","",ROUND(SUMIFS(出库单!$S$4:$S$4003,出库单!$D$4:$D$4003,$A976,出库单!$K$4:$K$4003,"对外销售",出库单!$U$4:$U$4003,"正常",出库单!$C$4:$C$4003,"&gt;="&amp;账期起,出库单!$C$4:$C$4003,"&lt;="&amp;账期止),0))</f>
        <v/>
      </c>
      <c r="T976" s="27">
        <f>IF($A976="","",SUMIFS(出库单!$J$4:$J$4003,出库单!$D$4:$D$4003,$A976,出库单!$K$4:$K$4003,"盘亏",出库单!$U$4:$U$4003,"正常",出库单!$C$4:$C$4003,"&gt;="&amp;账期起,出库单!$C$4:$C$4003,"&lt;="&amp;账期止))</f>
        <v/>
      </c>
      <c r="U976" s="26">
        <f>IF($A976="","",ROUND(SUMIFS(出库单!$S$4:$S$4003,出库单!$D$4:$D$4003,$A976,出库单!$K$4:$K$4003,"盘亏",出库单!$U$4:$U$4003,"正常",出库单!$C$4:$C$4003,"&gt;="&amp;账期起,出库单!$C$4:$C$4003,"&lt;="&amp;账期止),0))</f>
        <v/>
      </c>
      <c r="V976" s="27">
        <f>IF($A976="","",SUMIFS(出库单!$J$4:$J$4003,出库单!$D$4:$D$4003,$A976,出库单!$K$4:$K$4003,"退货给供应商",出库单!$U$4:$U$4003,"正常",出库单!$C$4:$C$4003,"&gt;="&amp;账期起,出库单!$C$4:$C$4003,"&lt;="&amp;账期止))</f>
        <v/>
      </c>
      <c r="W976" s="26">
        <f>IF($A976="","",ROUND(SUMIFS(出库单!$S$4:$S$4003,出库单!$D$4:$D$4003,$A976,出库单!$K$4:$K$4003,"退货给供应商",出库单!$U$4:$U$4003,"正常",出库单!$C$4:$C$4003,"&gt;="&amp;账期起,出库单!$C$4:$C$4003,"&lt;="&amp;账期止),0))</f>
        <v/>
      </c>
      <c r="X976" s="27">
        <f>IF($A976="","",ROUND(N($G976)+$I976+$L976+$N976-$P976-$R976-$T976-$V976,3))</f>
        <v/>
      </c>
      <c r="Y976" s="26">
        <f>IF($A976="","",ROUND(N($H976)+$J976+$M976+$O976-$Q976-$S976-$U976-$W976,0))</f>
        <v/>
      </c>
      <c r="Z976" s="24">
        <f>IF($A976="","",IF(COUNTIFS(入库单!$G$4:$G$2503,$A976,入库单!$Y$4:$Y$2503,"待补价")+COUNTIFS(入库单!$G$4:$G$2503,$A976,入库单!$Y$4:$Y$2503,"暂估")&gt;0,"不可信","可信"))</f>
        <v/>
      </c>
      <c r="AA976" s="24">
        <f>IF($A976="","",IF($X976&lt;-0.001,"※账面负库存，查一下是不是漏记入库",IF(AND(ROUND($X976,3)=0,ABS($Y976)&gt;1),"※数量已经是 0，金额还挂着 "&amp;TEXT($Y976,"#,##0")&amp;" 先令",IF(AND($X976&gt;0,$Y976&lt;=0,$K976=0),"※有数量没金额（这个物料一直没填过进价）",IF($Z976="不可信","△成本含待补价/暂估，毛利仅供参考","")))))</f>
        <v/>
      </c>
    </row>
    <row r="977">
      <c r="A977" s="24">
        <f>IF(物料档案!$A976="","",物料档案!$A976)</f>
        <v/>
      </c>
      <c r="B977" s="24">
        <f>IF($A977="","",IFERROR(VLOOKUP($A977,物料档案!$A$4:$P$1203,3,0),""))</f>
        <v/>
      </c>
      <c r="C977" s="24">
        <f>IF($A977="","",IFERROR(VLOOKUP($A977,物料档案!$A$4:$P$1203,4,0),""))</f>
        <v/>
      </c>
      <c r="D977" s="24">
        <f>IF($A977="","",IFERROR(VLOOKUP($A977,物料档案!$A$4:$P$1203,5,0),""))</f>
        <v/>
      </c>
      <c r="E977" s="24">
        <f>IF($A977="","",IFERROR(VLOOKUP($A977,物料档案!$A$4:$P$1203,2,0),""))</f>
        <v/>
      </c>
      <c r="F977" s="24">
        <f>IF($A977="","",IFERROR(VLOOKUP($A977,物料档案!$A$4:$P$1203,6,0),""))</f>
        <v/>
      </c>
      <c r="G977" s="23" t="n"/>
      <c r="H977" s="32" t="n"/>
      <c r="I977" s="27">
        <f>IF($A977="","",SUMIFS(入库单!$K$4:$K$2503,入库单!$G$4:$G$2503,$A977,入库单!$X$4:$X$2503,"采购入库",入库单!$Z$4:$Z$2503,"正常",入库单!$C$4:$C$2503,"&gt;="&amp;账期起,入库单!$C$4:$C$2503,"&lt;="&amp;账期止))</f>
        <v/>
      </c>
      <c r="J977" s="26">
        <f>IF($A977="","",SUMIFS(入库单!$V$4:$V$2503,入库单!$G$4:$G$2503,$A977,入库单!$X$4:$X$2503,"采购入库",入库单!$Z$4:$Z$2503,"正常",入库单!$C$4:$C$2503,"&gt;="&amp;账期起,入库单!$C$4:$C$2503,"&lt;="&amp;账期止))</f>
        <v/>
      </c>
      <c r="K977" s="26">
        <f>IF($A977="","",IFERROR(ROUND((N($H977)+N($J977))/(N($G977)+N($I977)),2),0))</f>
        <v/>
      </c>
      <c r="L977" s="27">
        <f>IF($A977="","",SUMIFS(入库单!$K$4:$K$2503,入库单!$G$4:$G$2503,$A977,入库单!$X$4:$X$2503,"盘盈",入库单!$Z$4:$Z$2503,"正常",入库单!$C$4:$C$2503,"&gt;="&amp;账期起,入库单!$C$4:$C$2503,"&lt;="&amp;账期止))</f>
        <v/>
      </c>
      <c r="M977" s="26">
        <f>IF($A977="","",ROUND($L977*$K977,0))</f>
        <v/>
      </c>
      <c r="N977" s="27">
        <f>IF($A977="","",SUMIFS(入库单!$K$4:$K$2503,入库单!$G$4:$G$2503,$A977,入库单!$X$4:$X$2503,"矿区退库",入库单!$Z$4:$Z$2503,"正常",入库单!$C$4:$C$2503,"&gt;="&amp;账期起,入库单!$C$4:$C$2503,"&lt;="&amp;账期止))</f>
        <v/>
      </c>
      <c r="O977" s="26">
        <f>IF($A977="","",ROUND($N977*$K977,0))</f>
        <v/>
      </c>
      <c r="P977" s="27">
        <f>IF($A977="","",SUMIFS(出库单!$J$4:$J$4003,出库单!$D$4:$D$4003,$A977,出库单!$K$4:$K$4003,"自用消耗",出库单!$U$4:$U$4003,"正常",出库单!$C$4:$C$4003,"&gt;="&amp;账期起,出库单!$C$4:$C$4003,"&lt;="&amp;账期止))</f>
        <v/>
      </c>
      <c r="Q977" s="26">
        <f>IF($A977="","",ROUND(SUMIFS(出库单!$S$4:$S$4003,出库单!$D$4:$D$4003,$A977,出库单!$K$4:$K$4003,"自用消耗",出库单!$U$4:$U$4003,"正常",出库单!$C$4:$C$4003,"&gt;="&amp;账期起,出库单!$C$4:$C$4003,"&lt;="&amp;账期止),0))</f>
        <v/>
      </c>
      <c r="R977" s="27">
        <f>IF($A977="","",SUMIFS(出库单!$J$4:$J$4003,出库单!$D$4:$D$4003,$A977,出库单!$K$4:$K$4003,"对外销售",出库单!$U$4:$U$4003,"正常",出库单!$C$4:$C$4003,"&gt;="&amp;账期起,出库单!$C$4:$C$4003,"&lt;="&amp;账期止))</f>
        <v/>
      </c>
      <c r="S977" s="26">
        <f>IF($A977="","",ROUND(SUMIFS(出库单!$S$4:$S$4003,出库单!$D$4:$D$4003,$A977,出库单!$K$4:$K$4003,"对外销售",出库单!$U$4:$U$4003,"正常",出库单!$C$4:$C$4003,"&gt;="&amp;账期起,出库单!$C$4:$C$4003,"&lt;="&amp;账期止),0))</f>
        <v/>
      </c>
      <c r="T977" s="27">
        <f>IF($A977="","",SUMIFS(出库单!$J$4:$J$4003,出库单!$D$4:$D$4003,$A977,出库单!$K$4:$K$4003,"盘亏",出库单!$U$4:$U$4003,"正常",出库单!$C$4:$C$4003,"&gt;="&amp;账期起,出库单!$C$4:$C$4003,"&lt;="&amp;账期止))</f>
        <v/>
      </c>
      <c r="U977" s="26">
        <f>IF($A977="","",ROUND(SUMIFS(出库单!$S$4:$S$4003,出库单!$D$4:$D$4003,$A977,出库单!$K$4:$K$4003,"盘亏",出库单!$U$4:$U$4003,"正常",出库单!$C$4:$C$4003,"&gt;="&amp;账期起,出库单!$C$4:$C$4003,"&lt;="&amp;账期止),0))</f>
        <v/>
      </c>
      <c r="V977" s="27">
        <f>IF($A977="","",SUMIFS(出库单!$J$4:$J$4003,出库单!$D$4:$D$4003,$A977,出库单!$K$4:$K$4003,"退货给供应商",出库单!$U$4:$U$4003,"正常",出库单!$C$4:$C$4003,"&gt;="&amp;账期起,出库单!$C$4:$C$4003,"&lt;="&amp;账期止))</f>
        <v/>
      </c>
      <c r="W977" s="26">
        <f>IF($A977="","",ROUND(SUMIFS(出库单!$S$4:$S$4003,出库单!$D$4:$D$4003,$A977,出库单!$K$4:$K$4003,"退货给供应商",出库单!$U$4:$U$4003,"正常",出库单!$C$4:$C$4003,"&gt;="&amp;账期起,出库单!$C$4:$C$4003,"&lt;="&amp;账期止),0))</f>
        <v/>
      </c>
      <c r="X977" s="27">
        <f>IF($A977="","",ROUND(N($G977)+$I977+$L977+$N977-$P977-$R977-$T977-$V977,3))</f>
        <v/>
      </c>
      <c r="Y977" s="26">
        <f>IF($A977="","",ROUND(N($H977)+$J977+$M977+$O977-$Q977-$S977-$U977-$W977,0))</f>
        <v/>
      </c>
      <c r="Z977" s="24">
        <f>IF($A977="","",IF(COUNTIFS(入库单!$G$4:$G$2503,$A977,入库单!$Y$4:$Y$2503,"待补价")+COUNTIFS(入库单!$G$4:$G$2503,$A977,入库单!$Y$4:$Y$2503,"暂估")&gt;0,"不可信","可信"))</f>
        <v/>
      </c>
      <c r="AA977" s="24">
        <f>IF($A977="","",IF($X977&lt;-0.001,"※账面负库存，查一下是不是漏记入库",IF(AND(ROUND($X977,3)=0,ABS($Y977)&gt;1),"※数量已经是 0，金额还挂着 "&amp;TEXT($Y977,"#,##0")&amp;" 先令",IF(AND($X977&gt;0,$Y977&lt;=0,$K977=0),"※有数量没金额（这个物料一直没填过进价）",IF($Z977="不可信","△成本含待补价/暂估，毛利仅供参考","")))))</f>
        <v/>
      </c>
    </row>
    <row r="978">
      <c r="A978" s="24">
        <f>IF(物料档案!$A977="","",物料档案!$A977)</f>
        <v/>
      </c>
      <c r="B978" s="24">
        <f>IF($A978="","",IFERROR(VLOOKUP($A978,物料档案!$A$4:$P$1203,3,0),""))</f>
        <v/>
      </c>
      <c r="C978" s="24">
        <f>IF($A978="","",IFERROR(VLOOKUP($A978,物料档案!$A$4:$P$1203,4,0),""))</f>
        <v/>
      </c>
      <c r="D978" s="24">
        <f>IF($A978="","",IFERROR(VLOOKUP($A978,物料档案!$A$4:$P$1203,5,0),""))</f>
        <v/>
      </c>
      <c r="E978" s="24">
        <f>IF($A978="","",IFERROR(VLOOKUP($A978,物料档案!$A$4:$P$1203,2,0),""))</f>
        <v/>
      </c>
      <c r="F978" s="24">
        <f>IF($A978="","",IFERROR(VLOOKUP($A978,物料档案!$A$4:$P$1203,6,0),""))</f>
        <v/>
      </c>
      <c r="G978" s="23" t="n"/>
      <c r="H978" s="32" t="n"/>
      <c r="I978" s="27">
        <f>IF($A978="","",SUMIFS(入库单!$K$4:$K$2503,入库单!$G$4:$G$2503,$A978,入库单!$X$4:$X$2503,"采购入库",入库单!$Z$4:$Z$2503,"正常",入库单!$C$4:$C$2503,"&gt;="&amp;账期起,入库单!$C$4:$C$2503,"&lt;="&amp;账期止))</f>
        <v/>
      </c>
      <c r="J978" s="26">
        <f>IF($A978="","",SUMIFS(入库单!$V$4:$V$2503,入库单!$G$4:$G$2503,$A978,入库单!$X$4:$X$2503,"采购入库",入库单!$Z$4:$Z$2503,"正常",入库单!$C$4:$C$2503,"&gt;="&amp;账期起,入库单!$C$4:$C$2503,"&lt;="&amp;账期止))</f>
        <v/>
      </c>
      <c r="K978" s="26">
        <f>IF($A978="","",IFERROR(ROUND((N($H978)+N($J978))/(N($G978)+N($I978)),2),0))</f>
        <v/>
      </c>
      <c r="L978" s="27">
        <f>IF($A978="","",SUMIFS(入库单!$K$4:$K$2503,入库单!$G$4:$G$2503,$A978,入库单!$X$4:$X$2503,"盘盈",入库单!$Z$4:$Z$2503,"正常",入库单!$C$4:$C$2503,"&gt;="&amp;账期起,入库单!$C$4:$C$2503,"&lt;="&amp;账期止))</f>
        <v/>
      </c>
      <c r="M978" s="26">
        <f>IF($A978="","",ROUND($L978*$K978,0))</f>
        <v/>
      </c>
      <c r="N978" s="27">
        <f>IF($A978="","",SUMIFS(入库单!$K$4:$K$2503,入库单!$G$4:$G$2503,$A978,入库单!$X$4:$X$2503,"矿区退库",入库单!$Z$4:$Z$2503,"正常",入库单!$C$4:$C$2503,"&gt;="&amp;账期起,入库单!$C$4:$C$2503,"&lt;="&amp;账期止))</f>
        <v/>
      </c>
      <c r="O978" s="26">
        <f>IF($A978="","",ROUND($N978*$K978,0))</f>
        <v/>
      </c>
      <c r="P978" s="27">
        <f>IF($A978="","",SUMIFS(出库单!$J$4:$J$4003,出库单!$D$4:$D$4003,$A978,出库单!$K$4:$K$4003,"自用消耗",出库单!$U$4:$U$4003,"正常",出库单!$C$4:$C$4003,"&gt;="&amp;账期起,出库单!$C$4:$C$4003,"&lt;="&amp;账期止))</f>
        <v/>
      </c>
      <c r="Q978" s="26">
        <f>IF($A978="","",ROUND(SUMIFS(出库单!$S$4:$S$4003,出库单!$D$4:$D$4003,$A978,出库单!$K$4:$K$4003,"自用消耗",出库单!$U$4:$U$4003,"正常",出库单!$C$4:$C$4003,"&gt;="&amp;账期起,出库单!$C$4:$C$4003,"&lt;="&amp;账期止),0))</f>
        <v/>
      </c>
      <c r="R978" s="27">
        <f>IF($A978="","",SUMIFS(出库单!$J$4:$J$4003,出库单!$D$4:$D$4003,$A978,出库单!$K$4:$K$4003,"对外销售",出库单!$U$4:$U$4003,"正常",出库单!$C$4:$C$4003,"&gt;="&amp;账期起,出库单!$C$4:$C$4003,"&lt;="&amp;账期止))</f>
        <v/>
      </c>
      <c r="S978" s="26">
        <f>IF($A978="","",ROUND(SUMIFS(出库单!$S$4:$S$4003,出库单!$D$4:$D$4003,$A978,出库单!$K$4:$K$4003,"对外销售",出库单!$U$4:$U$4003,"正常",出库单!$C$4:$C$4003,"&gt;="&amp;账期起,出库单!$C$4:$C$4003,"&lt;="&amp;账期止),0))</f>
        <v/>
      </c>
      <c r="T978" s="27">
        <f>IF($A978="","",SUMIFS(出库单!$J$4:$J$4003,出库单!$D$4:$D$4003,$A978,出库单!$K$4:$K$4003,"盘亏",出库单!$U$4:$U$4003,"正常",出库单!$C$4:$C$4003,"&gt;="&amp;账期起,出库单!$C$4:$C$4003,"&lt;="&amp;账期止))</f>
        <v/>
      </c>
      <c r="U978" s="26">
        <f>IF($A978="","",ROUND(SUMIFS(出库单!$S$4:$S$4003,出库单!$D$4:$D$4003,$A978,出库单!$K$4:$K$4003,"盘亏",出库单!$U$4:$U$4003,"正常",出库单!$C$4:$C$4003,"&gt;="&amp;账期起,出库单!$C$4:$C$4003,"&lt;="&amp;账期止),0))</f>
        <v/>
      </c>
      <c r="V978" s="27">
        <f>IF($A978="","",SUMIFS(出库单!$J$4:$J$4003,出库单!$D$4:$D$4003,$A978,出库单!$K$4:$K$4003,"退货给供应商",出库单!$U$4:$U$4003,"正常",出库单!$C$4:$C$4003,"&gt;="&amp;账期起,出库单!$C$4:$C$4003,"&lt;="&amp;账期止))</f>
        <v/>
      </c>
      <c r="W978" s="26">
        <f>IF($A978="","",ROUND(SUMIFS(出库单!$S$4:$S$4003,出库单!$D$4:$D$4003,$A978,出库单!$K$4:$K$4003,"退货给供应商",出库单!$U$4:$U$4003,"正常",出库单!$C$4:$C$4003,"&gt;="&amp;账期起,出库单!$C$4:$C$4003,"&lt;="&amp;账期止),0))</f>
        <v/>
      </c>
      <c r="X978" s="27">
        <f>IF($A978="","",ROUND(N($G978)+$I978+$L978+$N978-$P978-$R978-$T978-$V978,3))</f>
        <v/>
      </c>
      <c r="Y978" s="26">
        <f>IF($A978="","",ROUND(N($H978)+$J978+$M978+$O978-$Q978-$S978-$U978-$W978,0))</f>
        <v/>
      </c>
      <c r="Z978" s="24">
        <f>IF($A978="","",IF(COUNTIFS(入库单!$G$4:$G$2503,$A978,入库单!$Y$4:$Y$2503,"待补价")+COUNTIFS(入库单!$G$4:$G$2503,$A978,入库单!$Y$4:$Y$2503,"暂估")&gt;0,"不可信","可信"))</f>
        <v/>
      </c>
      <c r="AA978" s="24">
        <f>IF($A978="","",IF($X978&lt;-0.001,"※账面负库存，查一下是不是漏记入库",IF(AND(ROUND($X978,3)=0,ABS($Y978)&gt;1),"※数量已经是 0，金额还挂着 "&amp;TEXT($Y978,"#,##0")&amp;" 先令",IF(AND($X978&gt;0,$Y978&lt;=0,$K978=0),"※有数量没金额（这个物料一直没填过进价）",IF($Z978="不可信","△成本含待补价/暂估，毛利仅供参考","")))))</f>
        <v/>
      </c>
    </row>
    <row r="979">
      <c r="A979" s="24">
        <f>IF(物料档案!$A978="","",物料档案!$A978)</f>
        <v/>
      </c>
      <c r="B979" s="24">
        <f>IF($A979="","",IFERROR(VLOOKUP($A979,物料档案!$A$4:$P$1203,3,0),""))</f>
        <v/>
      </c>
      <c r="C979" s="24">
        <f>IF($A979="","",IFERROR(VLOOKUP($A979,物料档案!$A$4:$P$1203,4,0),""))</f>
        <v/>
      </c>
      <c r="D979" s="24">
        <f>IF($A979="","",IFERROR(VLOOKUP($A979,物料档案!$A$4:$P$1203,5,0),""))</f>
        <v/>
      </c>
      <c r="E979" s="24">
        <f>IF($A979="","",IFERROR(VLOOKUP($A979,物料档案!$A$4:$P$1203,2,0),""))</f>
        <v/>
      </c>
      <c r="F979" s="24">
        <f>IF($A979="","",IFERROR(VLOOKUP($A979,物料档案!$A$4:$P$1203,6,0),""))</f>
        <v/>
      </c>
      <c r="G979" s="23" t="n"/>
      <c r="H979" s="32" t="n"/>
      <c r="I979" s="27">
        <f>IF($A979="","",SUMIFS(入库单!$K$4:$K$2503,入库单!$G$4:$G$2503,$A979,入库单!$X$4:$X$2503,"采购入库",入库单!$Z$4:$Z$2503,"正常",入库单!$C$4:$C$2503,"&gt;="&amp;账期起,入库单!$C$4:$C$2503,"&lt;="&amp;账期止))</f>
        <v/>
      </c>
      <c r="J979" s="26">
        <f>IF($A979="","",SUMIFS(入库单!$V$4:$V$2503,入库单!$G$4:$G$2503,$A979,入库单!$X$4:$X$2503,"采购入库",入库单!$Z$4:$Z$2503,"正常",入库单!$C$4:$C$2503,"&gt;="&amp;账期起,入库单!$C$4:$C$2503,"&lt;="&amp;账期止))</f>
        <v/>
      </c>
      <c r="K979" s="26">
        <f>IF($A979="","",IFERROR(ROUND((N($H979)+N($J979))/(N($G979)+N($I979)),2),0))</f>
        <v/>
      </c>
      <c r="L979" s="27">
        <f>IF($A979="","",SUMIFS(入库单!$K$4:$K$2503,入库单!$G$4:$G$2503,$A979,入库单!$X$4:$X$2503,"盘盈",入库单!$Z$4:$Z$2503,"正常",入库单!$C$4:$C$2503,"&gt;="&amp;账期起,入库单!$C$4:$C$2503,"&lt;="&amp;账期止))</f>
        <v/>
      </c>
      <c r="M979" s="26">
        <f>IF($A979="","",ROUND($L979*$K979,0))</f>
        <v/>
      </c>
      <c r="N979" s="27">
        <f>IF($A979="","",SUMIFS(入库单!$K$4:$K$2503,入库单!$G$4:$G$2503,$A979,入库单!$X$4:$X$2503,"矿区退库",入库单!$Z$4:$Z$2503,"正常",入库单!$C$4:$C$2503,"&gt;="&amp;账期起,入库单!$C$4:$C$2503,"&lt;="&amp;账期止))</f>
        <v/>
      </c>
      <c r="O979" s="26">
        <f>IF($A979="","",ROUND($N979*$K979,0))</f>
        <v/>
      </c>
      <c r="P979" s="27">
        <f>IF($A979="","",SUMIFS(出库单!$J$4:$J$4003,出库单!$D$4:$D$4003,$A979,出库单!$K$4:$K$4003,"自用消耗",出库单!$U$4:$U$4003,"正常",出库单!$C$4:$C$4003,"&gt;="&amp;账期起,出库单!$C$4:$C$4003,"&lt;="&amp;账期止))</f>
        <v/>
      </c>
      <c r="Q979" s="26">
        <f>IF($A979="","",ROUND(SUMIFS(出库单!$S$4:$S$4003,出库单!$D$4:$D$4003,$A979,出库单!$K$4:$K$4003,"自用消耗",出库单!$U$4:$U$4003,"正常",出库单!$C$4:$C$4003,"&gt;="&amp;账期起,出库单!$C$4:$C$4003,"&lt;="&amp;账期止),0))</f>
        <v/>
      </c>
      <c r="R979" s="27">
        <f>IF($A979="","",SUMIFS(出库单!$J$4:$J$4003,出库单!$D$4:$D$4003,$A979,出库单!$K$4:$K$4003,"对外销售",出库单!$U$4:$U$4003,"正常",出库单!$C$4:$C$4003,"&gt;="&amp;账期起,出库单!$C$4:$C$4003,"&lt;="&amp;账期止))</f>
        <v/>
      </c>
      <c r="S979" s="26">
        <f>IF($A979="","",ROUND(SUMIFS(出库单!$S$4:$S$4003,出库单!$D$4:$D$4003,$A979,出库单!$K$4:$K$4003,"对外销售",出库单!$U$4:$U$4003,"正常",出库单!$C$4:$C$4003,"&gt;="&amp;账期起,出库单!$C$4:$C$4003,"&lt;="&amp;账期止),0))</f>
        <v/>
      </c>
      <c r="T979" s="27">
        <f>IF($A979="","",SUMIFS(出库单!$J$4:$J$4003,出库单!$D$4:$D$4003,$A979,出库单!$K$4:$K$4003,"盘亏",出库单!$U$4:$U$4003,"正常",出库单!$C$4:$C$4003,"&gt;="&amp;账期起,出库单!$C$4:$C$4003,"&lt;="&amp;账期止))</f>
        <v/>
      </c>
      <c r="U979" s="26">
        <f>IF($A979="","",ROUND(SUMIFS(出库单!$S$4:$S$4003,出库单!$D$4:$D$4003,$A979,出库单!$K$4:$K$4003,"盘亏",出库单!$U$4:$U$4003,"正常",出库单!$C$4:$C$4003,"&gt;="&amp;账期起,出库单!$C$4:$C$4003,"&lt;="&amp;账期止),0))</f>
        <v/>
      </c>
      <c r="V979" s="27">
        <f>IF($A979="","",SUMIFS(出库单!$J$4:$J$4003,出库单!$D$4:$D$4003,$A979,出库单!$K$4:$K$4003,"退货给供应商",出库单!$U$4:$U$4003,"正常",出库单!$C$4:$C$4003,"&gt;="&amp;账期起,出库单!$C$4:$C$4003,"&lt;="&amp;账期止))</f>
        <v/>
      </c>
      <c r="W979" s="26">
        <f>IF($A979="","",ROUND(SUMIFS(出库单!$S$4:$S$4003,出库单!$D$4:$D$4003,$A979,出库单!$K$4:$K$4003,"退货给供应商",出库单!$U$4:$U$4003,"正常",出库单!$C$4:$C$4003,"&gt;="&amp;账期起,出库单!$C$4:$C$4003,"&lt;="&amp;账期止),0))</f>
        <v/>
      </c>
      <c r="X979" s="27">
        <f>IF($A979="","",ROUND(N($G979)+$I979+$L979+$N979-$P979-$R979-$T979-$V979,3))</f>
        <v/>
      </c>
      <c r="Y979" s="26">
        <f>IF($A979="","",ROUND(N($H979)+$J979+$M979+$O979-$Q979-$S979-$U979-$W979,0))</f>
        <v/>
      </c>
      <c r="Z979" s="24">
        <f>IF($A979="","",IF(COUNTIFS(入库单!$G$4:$G$2503,$A979,入库单!$Y$4:$Y$2503,"待补价")+COUNTIFS(入库单!$G$4:$G$2503,$A979,入库单!$Y$4:$Y$2503,"暂估")&gt;0,"不可信","可信"))</f>
        <v/>
      </c>
      <c r="AA979" s="24">
        <f>IF($A979="","",IF($X979&lt;-0.001,"※账面负库存，查一下是不是漏记入库",IF(AND(ROUND($X979,3)=0,ABS($Y979)&gt;1),"※数量已经是 0，金额还挂着 "&amp;TEXT($Y979,"#,##0")&amp;" 先令",IF(AND($X979&gt;0,$Y979&lt;=0,$K979=0),"※有数量没金额（这个物料一直没填过进价）",IF($Z979="不可信","△成本含待补价/暂估，毛利仅供参考","")))))</f>
        <v/>
      </c>
    </row>
    <row r="980">
      <c r="A980" s="24">
        <f>IF(物料档案!$A979="","",物料档案!$A979)</f>
        <v/>
      </c>
      <c r="B980" s="24">
        <f>IF($A980="","",IFERROR(VLOOKUP($A980,物料档案!$A$4:$P$1203,3,0),""))</f>
        <v/>
      </c>
      <c r="C980" s="24">
        <f>IF($A980="","",IFERROR(VLOOKUP($A980,物料档案!$A$4:$P$1203,4,0),""))</f>
        <v/>
      </c>
      <c r="D980" s="24">
        <f>IF($A980="","",IFERROR(VLOOKUP($A980,物料档案!$A$4:$P$1203,5,0),""))</f>
        <v/>
      </c>
      <c r="E980" s="24">
        <f>IF($A980="","",IFERROR(VLOOKUP($A980,物料档案!$A$4:$P$1203,2,0),""))</f>
        <v/>
      </c>
      <c r="F980" s="24">
        <f>IF($A980="","",IFERROR(VLOOKUP($A980,物料档案!$A$4:$P$1203,6,0),""))</f>
        <v/>
      </c>
      <c r="G980" s="23" t="n"/>
      <c r="H980" s="32" t="n"/>
      <c r="I980" s="27">
        <f>IF($A980="","",SUMIFS(入库单!$K$4:$K$2503,入库单!$G$4:$G$2503,$A980,入库单!$X$4:$X$2503,"采购入库",入库单!$Z$4:$Z$2503,"正常",入库单!$C$4:$C$2503,"&gt;="&amp;账期起,入库单!$C$4:$C$2503,"&lt;="&amp;账期止))</f>
        <v/>
      </c>
      <c r="J980" s="26">
        <f>IF($A980="","",SUMIFS(入库单!$V$4:$V$2503,入库单!$G$4:$G$2503,$A980,入库单!$X$4:$X$2503,"采购入库",入库单!$Z$4:$Z$2503,"正常",入库单!$C$4:$C$2503,"&gt;="&amp;账期起,入库单!$C$4:$C$2503,"&lt;="&amp;账期止))</f>
        <v/>
      </c>
      <c r="K980" s="26">
        <f>IF($A980="","",IFERROR(ROUND((N($H980)+N($J980))/(N($G980)+N($I980)),2),0))</f>
        <v/>
      </c>
      <c r="L980" s="27">
        <f>IF($A980="","",SUMIFS(入库单!$K$4:$K$2503,入库单!$G$4:$G$2503,$A980,入库单!$X$4:$X$2503,"盘盈",入库单!$Z$4:$Z$2503,"正常",入库单!$C$4:$C$2503,"&gt;="&amp;账期起,入库单!$C$4:$C$2503,"&lt;="&amp;账期止))</f>
        <v/>
      </c>
      <c r="M980" s="26">
        <f>IF($A980="","",ROUND($L980*$K980,0))</f>
        <v/>
      </c>
      <c r="N980" s="27">
        <f>IF($A980="","",SUMIFS(入库单!$K$4:$K$2503,入库单!$G$4:$G$2503,$A980,入库单!$X$4:$X$2503,"矿区退库",入库单!$Z$4:$Z$2503,"正常",入库单!$C$4:$C$2503,"&gt;="&amp;账期起,入库单!$C$4:$C$2503,"&lt;="&amp;账期止))</f>
        <v/>
      </c>
      <c r="O980" s="26">
        <f>IF($A980="","",ROUND($N980*$K980,0))</f>
        <v/>
      </c>
      <c r="P980" s="27">
        <f>IF($A980="","",SUMIFS(出库单!$J$4:$J$4003,出库单!$D$4:$D$4003,$A980,出库单!$K$4:$K$4003,"自用消耗",出库单!$U$4:$U$4003,"正常",出库单!$C$4:$C$4003,"&gt;="&amp;账期起,出库单!$C$4:$C$4003,"&lt;="&amp;账期止))</f>
        <v/>
      </c>
      <c r="Q980" s="26">
        <f>IF($A980="","",ROUND(SUMIFS(出库单!$S$4:$S$4003,出库单!$D$4:$D$4003,$A980,出库单!$K$4:$K$4003,"自用消耗",出库单!$U$4:$U$4003,"正常",出库单!$C$4:$C$4003,"&gt;="&amp;账期起,出库单!$C$4:$C$4003,"&lt;="&amp;账期止),0))</f>
        <v/>
      </c>
      <c r="R980" s="27">
        <f>IF($A980="","",SUMIFS(出库单!$J$4:$J$4003,出库单!$D$4:$D$4003,$A980,出库单!$K$4:$K$4003,"对外销售",出库单!$U$4:$U$4003,"正常",出库单!$C$4:$C$4003,"&gt;="&amp;账期起,出库单!$C$4:$C$4003,"&lt;="&amp;账期止))</f>
        <v/>
      </c>
      <c r="S980" s="26">
        <f>IF($A980="","",ROUND(SUMIFS(出库单!$S$4:$S$4003,出库单!$D$4:$D$4003,$A980,出库单!$K$4:$K$4003,"对外销售",出库单!$U$4:$U$4003,"正常",出库单!$C$4:$C$4003,"&gt;="&amp;账期起,出库单!$C$4:$C$4003,"&lt;="&amp;账期止),0))</f>
        <v/>
      </c>
      <c r="T980" s="27">
        <f>IF($A980="","",SUMIFS(出库单!$J$4:$J$4003,出库单!$D$4:$D$4003,$A980,出库单!$K$4:$K$4003,"盘亏",出库单!$U$4:$U$4003,"正常",出库单!$C$4:$C$4003,"&gt;="&amp;账期起,出库单!$C$4:$C$4003,"&lt;="&amp;账期止))</f>
        <v/>
      </c>
      <c r="U980" s="26">
        <f>IF($A980="","",ROUND(SUMIFS(出库单!$S$4:$S$4003,出库单!$D$4:$D$4003,$A980,出库单!$K$4:$K$4003,"盘亏",出库单!$U$4:$U$4003,"正常",出库单!$C$4:$C$4003,"&gt;="&amp;账期起,出库单!$C$4:$C$4003,"&lt;="&amp;账期止),0))</f>
        <v/>
      </c>
      <c r="V980" s="27">
        <f>IF($A980="","",SUMIFS(出库单!$J$4:$J$4003,出库单!$D$4:$D$4003,$A980,出库单!$K$4:$K$4003,"退货给供应商",出库单!$U$4:$U$4003,"正常",出库单!$C$4:$C$4003,"&gt;="&amp;账期起,出库单!$C$4:$C$4003,"&lt;="&amp;账期止))</f>
        <v/>
      </c>
      <c r="W980" s="26">
        <f>IF($A980="","",ROUND(SUMIFS(出库单!$S$4:$S$4003,出库单!$D$4:$D$4003,$A980,出库单!$K$4:$K$4003,"退货给供应商",出库单!$U$4:$U$4003,"正常",出库单!$C$4:$C$4003,"&gt;="&amp;账期起,出库单!$C$4:$C$4003,"&lt;="&amp;账期止),0))</f>
        <v/>
      </c>
      <c r="X980" s="27">
        <f>IF($A980="","",ROUND(N($G980)+$I980+$L980+$N980-$P980-$R980-$T980-$V980,3))</f>
        <v/>
      </c>
      <c r="Y980" s="26">
        <f>IF($A980="","",ROUND(N($H980)+$J980+$M980+$O980-$Q980-$S980-$U980-$W980,0))</f>
        <v/>
      </c>
      <c r="Z980" s="24">
        <f>IF($A980="","",IF(COUNTIFS(入库单!$G$4:$G$2503,$A980,入库单!$Y$4:$Y$2503,"待补价")+COUNTIFS(入库单!$G$4:$G$2503,$A980,入库单!$Y$4:$Y$2503,"暂估")&gt;0,"不可信","可信"))</f>
        <v/>
      </c>
      <c r="AA980" s="24">
        <f>IF($A980="","",IF($X980&lt;-0.001,"※账面负库存，查一下是不是漏记入库",IF(AND(ROUND($X980,3)=0,ABS($Y980)&gt;1),"※数量已经是 0，金额还挂着 "&amp;TEXT($Y980,"#,##0")&amp;" 先令",IF(AND($X980&gt;0,$Y980&lt;=0,$K980=0),"※有数量没金额（这个物料一直没填过进价）",IF($Z980="不可信","△成本含待补价/暂估，毛利仅供参考","")))))</f>
        <v/>
      </c>
    </row>
    <row r="981">
      <c r="A981" s="24">
        <f>IF(物料档案!$A980="","",物料档案!$A980)</f>
        <v/>
      </c>
      <c r="B981" s="24">
        <f>IF($A981="","",IFERROR(VLOOKUP($A981,物料档案!$A$4:$P$1203,3,0),""))</f>
        <v/>
      </c>
      <c r="C981" s="24">
        <f>IF($A981="","",IFERROR(VLOOKUP($A981,物料档案!$A$4:$P$1203,4,0),""))</f>
        <v/>
      </c>
      <c r="D981" s="24">
        <f>IF($A981="","",IFERROR(VLOOKUP($A981,物料档案!$A$4:$P$1203,5,0),""))</f>
        <v/>
      </c>
      <c r="E981" s="24">
        <f>IF($A981="","",IFERROR(VLOOKUP($A981,物料档案!$A$4:$P$1203,2,0),""))</f>
        <v/>
      </c>
      <c r="F981" s="24">
        <f>IF($A981="","",IFERROR(VLOOKUP($A981,物料档案!$A$4:$P$1203,6,0),""))</f>
        <v/>
      </c>
      <c r="G981" s="23" t="n"/>
      <c r="H981" s="32" t="n"/>
      <c r="I981" s="27">
        <f>IF($A981="","",SUMIFS(入库单!$K$4:$K$2503,入库单!$G$4:$G$2503,$A981,入库单!$X$4:$X$2503,"采购入库",入库单!$Z$4:$Z$2503,"正常",入库单!$C$4:$C$2503,"&gt;="&amp;账期起,入库单!$C$4:$C$2503,"&lt;="&amp;账期止))</f>
        <v/>
      </c>
      <c r="J981" s="26">
        <f>IF($A981="","",SUMIFS(入库单!$V$4:$V$2503,入库单!$G$4:$G$2503,$A981,入库单!$X$4:$X$2503,"采购入库",入库单!$Z$4:$Z$2503,"正常",入库单!$C$4:$C$2503,"&gt;="&amp;账期起,入库单!$C$4:$C$2503,"&lt;="&amp;账期止))</f>
        <v/>
      </c>
      <c r="K981" s="26">
        <f>IF($A981="","",IFERROR(ROUND((N($H981)+N($J981))/(N($G981)+N($I981)),2),0))</f>
        <v/>
      </c>
      <c r="L981" s="27">
        <f>IF($A981="","",SUMIFS(入库单!$K$4:$K$2503,入库单!$G$4:$G$2503,$A981,入库单!$X$4:$X$2503,"盘盈",入库单!$Z$4:$Z$2503,"正常",入库单!$C$4:$C$2503,"&gt;="&amp;账期起,入库单!$C$4:$C$2503,"&lt;="&amp;账期止))</f>
        <v/>
      </c>
      <c r="M981" s="26">
        <f>IF($A981="","",ROUND($L981*$K981,0))</f>
        <v/>
      </c>
      <c r="N981" s="27">
        <f>IF($A981="","",SUMIFS(入库单!$K$4:$K$2503,入库单!$G$4:$G$2503,$A981,入库单!$X$4:$X$2503,"矿区退库",入库单!$Z$4:$Z$2503,"正常",入库单!$C$4:$C$2503,"&gt;="&amp;账期起,入库单!$C$4:$C$2503,"&lt;="&amp;账期止))</f>
        <v/>
      </c>
      <c r="O981" s="26">
        <f>IF($A981="","",ROUND($N981*$K981,0))</f>
        <v/>
      </c>
      <c r="P981" s="27">
        <f>IF($A981="","",SUMIFS(出库单!$J$4:$J$4003,出库单!$D$4:$D$4003,$A981,出库单!$K$4:$K$4003,"自用消耗",出库单!$U$4:$U$4003,"正常",出库单!$C$4:$C$4003,"&gt;="&amp;账期起,出库单!$C$4:$C$4003,"&lt;="&amp;账期止))</f>
        <v/>
      </c>
      <c r="Q981" s="26">
        <f>IF($A981="","",ROUND(SUMIFS(出库单!$S$4:$S$4003,出库单!$D$4:$D$4003,$A981,出库单!$K$4:$K$4003,"自用消耗",出库单!$U$4:$U$4003,"正常",出库单!$C$4:$C$4003,"&gt;="&amp;账期起,出库单!$C$4:$C$4003,"&lt;="&amp;账期止),0))</f>
        <v/>
      </c>
      <c r="R981" s="27">
        <f>IF($A981="","",SUMIFS(出库单!$J$4:$J$4003,出库单!$D$4:$D$4003,$A981,出库单!$K$4:$K$4003,"对外销售",出库单!$U$4:$U$4003,"正常",出库单!$C$4:$C$4003,"&gt;="&amp;账期起,出库单!$C$4:$C$4003,"&lt;="&amp;账期止))</f>
        <v/>
      </c>
      <c r="S981" s="26">
        <f>IF($A981="","",ROUND(SUMIFS(出库单!$S$4:$S$4003,出库单!$D$4:$D$4003,$A981,出库单!$K$4:$K$4003,"对外销售",出库单!$U$4:$U$4003,"正常",出库单!$C$4:$C$4003,"&gt;="&amp;账期起,出库单!$C$4:$C$4003,"&lt;="&amp;账期止),0))</f>
        <v/>
      </c>
      <c r="T981" s="27">
        <f>IF($A981="","",SUMIFS(出库单!$J$4:$J$4003,出库单!$D$4:$D$4003,$A981,出库单!$K$4:$K$4003,"盘亏",出库单!$U$4:$U$4003,"正常",出库单!$C$4:$C$4003,"&gt;="&amp;账期起,出库单!$C$4:$C$4003,"&lt;="&amp;账期止))</f>
        <v/>
      </c>
      <c r="U981" s="26">
        <f>IF($A981="","",ROUND(SUMIFS(出库单!$S$4:$S$4003,出库单!$D$4:$D$4003,$A981,出库单!$K$4:$K$4003,"盘亏",出库单!$U$4:$U$4003,"正常",出库单!$C$4:$C$4003,"&gt;="&amp;账期起,出库单!$C$4:$C$4003,"&lt;="&amp;账期止),0))</f>
        <v/>
      </c>
      <c r="V981" s="27">
        <f>IF($A981="","",SUMIFS(出库单!$J$4:$J$4003,出库单!$D$4:$D$4003,$A981,出库单!$K$4:$K$4003,"退货给供应商",出库单!$U$4:$U$4003,"正常",出库单!$C$4:$C$4003,"&gt;="&amp;账期起,出库单!$C$4:$C$4003,"&lt;="&amp;账期止))</f>
        <v/>
      </c>
      <c r="W981" s="26">
        <f>IF($A981="","",ROUND(SUMIFS(出库单!$S$4:$S$4003,出库单!$D$4:$D$4003,$A981,出库单!$K$4:$K$4003,"退货给供应商",出库单!$U$4:$U$4003,"正常",出库单!$C$4:$C$4003,"&gt;="&amp;账期起,出库单!$C$4:$C$4003,"&lt;="&amp;账期止),0))</f>
        <v/>
      </c>
      <c r="X981" s="27">
        <f>IF($A981="","",ROUND(N($G981)+$I981+$L981+$N981-$P981-$R981-$T981-$V981,3))</f>
        <v/>
      </c>
      <c r="Y981" s="26">
        <f>IF($A981="","",ROUND(N($H981)+$J981+$M981+$O981-$Q981-$S981-$U981-$W981,0))</f>
        <v/>
      </c>
      <c r="Z981" s="24">
        <f>IF($A981="","",IF(COUNTIFS(入库单!$G$4:$G$2503,$A981,入库单!$Y$4:$Y$2503,"待补价")+COUNTIFS(入库单!$G$4:$G$2503,$A981,入库单!$Y$4:$Y$2503,"暂估")&gt;0,"不可信","可信"))</f>
        <v/>
      </c>
      <c r="AA981" s="24">
        <f>IF($A981="","",IF($X981&lt;-0.001,"※账面负库存，查一下是不是漏记入库",IF(AND(ROUND($X981,3)=0,ABS($Y981)&gt;1),"※数量已经是 0，金额还挂着 "&amp;TEXT($Y981,"#,##0")&amp;" 先令",IF(AND($X981&gt;0,$Y981&lt;=0,$K981=0),"※有数量没金额（这个物料一直没填过进价）",IF($Z981="不可信","△成本含待补价/暂估，毛利仅供参考","")))))</f>
        <v/>
      </c>
    </row>
    <row r="982">
      <c r="A982" s="24">
        <f>IF(物料档案!$A981="","",物料档案!$A981)</f>
        <v/>
      </c>
      <c r="B982" s="24">
        <f>IF($A982="","",IFERROR(VLOOKUP($A982,物料档案!$A$4:$P$1203,3,0),""))</f>
        <v/>
      </c>
      <c r="C982" s="24">
        <f>IF($A982="","",IFERROR(VLOOKUP($A982,物料档案!$A$4:$P$1203,4,0),""))</f>
        <v/>
      </c>
      <c r="D982" s="24">
        <f>IF($A982="","",IFERROR(VLOOKUP($A982,物料档案!$A$4:$P$1203,5,0),""))</f>
        <v/>
      </c>
      <c r="E982" s="24">
        <f>IF($A982="","",IFERROR(VLOOKUP($A982,物料档案!$A$4:$P$1203,2,0),""))</f>
        <v/>
      </c>
      <c r="F982" s="24">
        <f>IF($A982="","",IFERROR(VLOOKUP($A982,物料档案!$A$4:$P$1203,6,0),""))</f>
        <v/>
      </c>
      <c r="G982" s="23" t="n"/>
      <c r="H982" s="32" t="n"/>
      <c r="I982" s="27">
        <f>IF($A982="","",SUMIFS(入库单!$K$4:$K$2503,入库单!$G$4:$G$2503,$A982,入库单!$X$4:$X$2503,"采购入库",入库单!$Z$4:$Z$2503,"正常",入库单!$C$4:$C$2503,"&gt;="&amp;账期起,入库单!$C$4:$C$2503,"&lt;="&amp;账期止))</f>
        <v/>
      </c>
      <c r="J982" s="26">
        <f>IF($A982="","",SUMIFS(入库单!$V$4:$V$2503,入库单!$G$4:$G$2503,$A982,入库单!$X$4:$X$2503,"采购入库",入库单!$Z$4:$Z$2503,"正常",入库单!$C$4:$C$2503,"&gt;="&amp;账期起,入库单!$C$4:$C$2503,"&lt;="&amp;账期止))</f>
        <v/>
      </c>
      <c r="K982" s="26">
        <f>IF($A982="","",IFERROR(ROUND((N($H982)+N($J982))/(N($G982)+N($I982)),2),0))</f>
        <v/>
      </c>
      <c r="L982" s="27">
        <f>IF($A982="","",SUMIFS(入库单!$K$4:$K$2503,入库单!$G$4:$G$2503,$A982,入库单!$X$4:$X$2503,"盘盈",入库单!$Z$4:$Z$2503,"正常",入库单!$C$4:$C$2503,"&gt;="&amp;账期起,入库单!$C$4:$C$2503,"&lt;="&amp;账期止))</f>
        <v/>
      </c>
      <c r="M982" s="26">
        <f>IF($A982="","",ROUND($L982*$K982,0))</f>
        <v/>
      </c>
      <c r="N982" s="27">
        <f>IF($A982="","",SUMIFS(入库单!$K$4:$K$2503,入库单!$G$4:$G$2503,$A982,入库单!$X$4:$X$2503,"矿区退库",入库单!$Z$4:$Z$2503,"正常",入库单!$C$4:$C$2503,"&gt;="&amp;账期起,入库单!$C$4:$C$2503,"&lt;="&amp;账期止))</f>
        <v/>
      </c>
      <c r="O982" s="26">
        <f>IF($A982="","",ROUND($N982*$K982,0))</f>
        <v/>
      </c>
      <c r="P982" s="27">
        <f>IF($A982="","",SUMIFS(出库单!$J$4:$J$4003,出库单!$D$4:$D$4003,$A982,出库单!$K$4:$K$4003,"自用消耗",出库单!$U$4:$U$4003,"正常",出库单!$C$4:$C$4003,"&gt;="&amp;账期起,出库单!$C$4:$C$4003,"&lt;="&amp;账期止))</f>
        <v/>
      </c>
      <c r="Q982" s="26">
        <f>IF($A982="","",ROUND(SUMIFS(出库单!$S$4:$S$4003,出库单!$D$4:$D$4003,$A982,出库单!$K$4:$K$4003,"自用消耗",出库单!$U$4:$U$4003,"正常",出库单!$C$4:$C$4003,"&gt;="&amp;账期起,出库单!$C$4:$C$4003,"&lt;="&amp;账期止),0))</f>
        <v/>
      </c>
      <c r="R982" s="27">
        <f>IF($A982="","",SUMIFS(出库单!$J$4:$J$4003,出库单!$D$4:$D$4003,$A982,出库单!$K$4:$K$4003,"对外销售",出库单!$U$4:$U$4003,"正常",出库单!$C$4:$C$4003,"&gt;="&amp;账期起,出库单!$C$4:$C$4003,"&lt;="&amp;账期止))</f>
        <v/>
      </c>
      <c r="S982" s="26">
        <f>IF($A982="","",ROUND(SUMIFS(出库单!$S$4:$S$4003,出库单!$D$4:$D$4003,$A982,出库单!$K$4:$K$4003,"对外销售",出库单!$U$4:$U$4003,"正常",出库单!$C$4:$C$4003,"&gt;="&amp;账期起,出库单!$C$4:$C$4003,"&lt;="&amp;账期止),0))</f>
        <v/>
      </c>
      <c r="T982" s="27">
        <f>IF($A982="","",SUMIFS(出库单!$J$4:$J$4003,出库单!$D$4:$D$4003,$A982,出库单!$K$4:$K$4003,"盘亏",出库单!$U$4:$U$4003,"正常",出库单!$C$4:$C$4003,"&gt;="&amp;账期起,出库单!$C$4:$C$4003,"&lt;="&amp;账期止))</f>
        <v/>
      </c>
      <c r="U982" s="26">
        <f>IF($A982="","",ROUND(SUMIFS(出库单!$S$4:$S$4003,出库单!$D$4:$D$4003,$A982,出库单!$K$4:$K$4003,"盘亏",出库单!$U$4:$U$4003,"正常",出库单!$C$4:$C$4003,"&gt;="&amp;账期起,出库单!$C$4:$C$4003,"&lt;="&amp;账期止),0))</f>
        <v/>
      </c>
      <c r="V982" s="27">
        <f>IF($A982="","",SUMIFS(出库单!$J$4:$J$4003,出库单!$D$4:$D$4003,$A982,出库单!$K$4:$K$4003,"退货给供应商",出库单!$U$4:$U$4003,"正常",出库单!$C$4:$C$4003,"&gt;="&amp;账期起,出库单!$C$4:$C$4003,"&lt;="&amp;账期止))</f>
        <v/>
      </c>
      <c r="W982" s="26">
        <f>IF($A982="","",ROUND(SUMIFS(出库单!$S$4:$S$4003,出库单!$D$4:$D$4003,$A982,出库单!$K$4:$K$4003,"退货给供应商",出库单!$U$4:$U$4003,"正常",出库单!$C$4:$C$4003,"&gt;="&amp;账期起,出库单!$C$4:$C$4003,"&lt;="&amp;账期止),0))</f>
        <v/>
      </c>
      <c r="X982" s="27">
        <f>IF($A982="","",ROUND(N($G982)+$I982+$L982+$N982-$P982-$R982-$T982-$V982,3))</f>
        <v/>
      </c>
      <c r="Y982" s="26">
        <f>IF($A982="","",ROUND(N($H982)+$J982+$M982+$O982-$Q982-$S982-$U982-$W982,0))</f>
        <v/>
      </c>
      <c r="Z982" s="24">
        <f>IF($A982="","",IF(COUNTIFS(入库单!$G$4:$G$2503,$A982,入库单!$Y$4:$Y$2503,"待补价")+COUNTIFS(入库单!$G$4:$G$2503,$A982,入库单!$Y$4:$Y$2503,"暂估")&gt;0,"不可信","可信"))</f>
        <v/>
      </c>
      <c r="AA982" s="24">
        <f>IF($A982="","",IF($X982&lt;-0.001,"※账面负库存，查一下是不是漏记入库",IF(AND(ROUND($X982,3)=0,ABS($Y982)&gt;1),"※数量已经是 0，金额还挂着 "&amp;TEXT($Y982,"#,##0")&amp;" 先令",IF(AND($X982&gt;0,$Y982&lt;=0,$K982=0),"※有数量没金额（这个物料一直没填过进价）",IF($Z982="不可信","△成本含待补价/暂估，毛利仅供参考","")))))</f>
        <v/>
      </c>
    </row>
    <row r="983">
      <c r="A983" s="24">
        <f>IF(物料档案!$A982="","",物料档案!$A982)</f>
        <v/>
      </c>
      <c r="B983" s="24">
        <f>IF($A983="","",IFERROR(VLOOKUP($A983,物料档案!$A$4:$P$1203,3,0),""))</f>
        <v/>
      </c>
      <c r="C983" s="24">
        <f>IF($A983="","",IFERROR(VLOOKUP($A983,物料档案!$A$4:$P$1203,4,0),""))</f>
        <v/>
      </c>
      <c r="D983" s="24">
        <f>IF($A983="","",IFERROR(VLOOKUP($A983,物料档案!$A$4:$P$1203,5,0),""))</f>
        <v/>
      </c>
      <c r="E983" s="24">
        <f>IF($A983="","",IFERROR(VLOOKUP($A983,物料档案!$A$4:$P$1203,2,0),""))</f>
        <v/>
      </c>
      <c r="F983" s="24">
        <f>IF($A983="","",IFERROR(VLOOKUP($A983,物料档案!$A$4:$P$1203,6,0),""))</f>
        <v/>
      </c>
      <c r="G983" s="23" t="n"/>
      <c r="H983" s="32" t="n"/>
      <c r="I983" s="27">
        <f>IF($A983="","",SUMIFS(入库单!$K$4:$K$2503,入库单!$G$4:$G$2503,$A983,入库单!$X$4:$X$2503,"采购入库",入库单!$Z$4:$Z$2503,"正常",入库单!$C$4:$C$2503,"&gt;="&amp;账期起,入库单!$C$4:$C$2503,"&lt;="&amp;账期止))</f>
        <v/>
      </c>
      <c r="J983" s="26">
        <f>IF($A983="","",SUMIFS(入库单!$V$4:$V$2503,入库单!$G$4:$G$2503,$A983,入库单!$X$4:$X$2503,"采购入库",入库单!$Z$4:$Z$2503,"正常",入库单!$C$4:$C$2503,"&gt;="&amp;账期起,入库单!$C$4:$C$2503,"&lt;="&amp;账期止))</f>
        <v/>
      </c>
      <c r="K983" s="26">
        <f>IF($A983="","",IFERROR(ROUND((N($H983)+N($J983))/(N($G983)+N($I983)),2),0))</f>
        <v/>
      </c>
      <c r="L983" s="27">
        <f>IF($A983="","",SUMIFS(入库单!$K$4:$K$2503,入库单!$G$4:$G$2503,$A983,入库单!$X$4:$X$2503,"盘盈",入库单!$Z$4:$Z$2503,"正常",入库单!$C$4:$C$2503,"&gt;="&amp;账期起,入库单!$C$4:$C$2503,"&lt;="&amp;账期止))</f>
        <v/>
      </c>
      <c r="M983" s="26">
        <f>IF($A983="","",ROUND($L983*$K983,0))</f>
        <v/>
      </c>
      <c r="N983" s="27">
        <f>IF($A983="","",SUMIFS(入库单!$K$4:$K$2503,入库单!$G$4:$G$2503,$A983,入库单!$X$4:$X$2503,"矿区退库",入库单!$Z$4:$Z$2503,"正常",入库单!$C$4:$C$2503,"&gt;="&amp;账期起,入库单!$C$4:$C$2503,"&lt;="&amp;账期止))</f>
        <v/>
      </c>
      <c r="O983" s="26">
        <f>IF($A983="","",ROUND($N983*$K983,0))</f>
        <v/>
      </c>
      <c r="P983" s="27">
        <f>IF($A983="","",SUMIFS(出库单!$J$4:$J$4003,出库单!$D$4:$D$4003,$A983,出库单!$K$4:$K$4003,"自用消耗",出库单!$U$4:$U$4003,"正常",出库单!$C$4:$C$4003,"&gt;="&amp;账期起,出库单!$C$4:$C$4003,"&lt;="&amp;账期止))</f>
        <v/>
      </c>
      <c r="Q983" s="26">
        <f>IF($A983="","",ROUND(SUMIFS(出库单!$S$4:$S$4003,出库单!$D$4:$D$4003,$A983,出库单!$K$4:$K$4003,"自用消耗",出库单!$U$4:$U$4003,"正常",出库单!$C$4:$C$4003,"&gt;="&amp;账期起,出库单!$C$4:$C$4003,"&lt;="&amp;账期止),0))</f>
        <v/>
      </c>
      <c r="R983" s="27">
        <f>IF($A983="","",SUMIFS(出库单!$J$4:$J$4003,出库单!$D$4:$D$4003,$A983,出库单!$K$4:$K$4003,"对外销售",出库单!$U$4:$U$4003,"正常",出库单!$C$4:$C$4003,"&gt;="&amp;账期起,出库单!$C$4:$C$4003,"&lt;="&amp;账期止))</f>
        <v/>
      </c>
      <c r="S983" s="26">
        <f>IF($A983="","",ROUND(SUMIFS(出库单!$S$4:$S$4003,出库单!$D$4:$D$4003,$A983,出库单!$K$4:$K$4003,"对外销售",出库单!$U$4:$U$4003,"正常",出库单!$C$4:$C$4003,"&gt;="&amp;账期起,出库单!$C$4:$C$4003,"&lt;="&amp;账期止),0))</f>
        <v/>
      </c>
      <c r="T983" s="27">
        <f>IF($A983="","",SUMIFS(出库单!$J$4:$J$4003,出库单!$D$4:$D$4003,$A983,出库单!$K$4:$K$4003,"盘亏",出库单!$U$4:$U$4003,"正常",出库单!$C$4:$C$4003,"&gt;="&amp;账期起,出库单!$C$4:$C$4003,"&lt;="&amp;账期止))</f>
        <v/>
      </c>
      <c r="U983" s="26">
        <f>IF($A983="","",ROUND(SUMIFS(出库单!$S$4:$S$4003,出库单!$D$4:$D$4003,$A983,出库单!$K$4:$K$4003,"盘亏",出库单!$U$4:$U$4003,"正常",出库单!$C$4:$C$4003,"&gt;="&amp;账期起,出库单!$C$4:$C$4003,"&lt;="&amp;账期止),0))</f>
        <v/>
      </c>
      <c r="V983" s="27">
        <f>IF($A983="","",SUMIFS(出库单!$J$4:$J$4003,出库单!$D$4:$D$4003,$A983,出库单!$K$4:$K$4003,"退货给供应商",出库单!$U$4:$U$4003,"正常",出库单!$C$4:$C$4003,"&gt;="&amp;账期起,出库单!$C$4:$C$4003,"&lt;="&amp;账期止))</f>
        <v/>
      </c>
      <c r="W983" s="26">
        <f>IF($A983="","",ROUND(SUMIFS(出库单!$S$4:$S$4003,出库单!$D$4:$D$4003,$A983,出库单!$K$4:$K$4003,"退货给供应商",出库单!$U$4:$U$4003,"正常",出库单!$C$4:$C$4003,"&gt;="&amp;账期起,出库单!$C$4:$C$4003,"&lt;="&amp;账期止),0))</f>
        <v/>
      </c>
      <c r="X983" s="27">
        <f>IF($A983="","",ROUND(N($G983)+$I983+$L983+$N983-$P983-$R983-$T983-$V983,3))</f>
        <v/>
      </c>
      <c r="Y983" s="26">
        <f>IF($A983="","",ROUND(N($H983)+$J983+$M983+$O983-$Q983-$S983-$U983-$W983,0))</f>
        <v/>
      </c>
      <c r="Z983" s="24">
        <f>IF($A983="","",IF(COUNTIFS(入库单!$G$4:$G$2503,$A983,入库单!$Y$4:$Y$2503,"待补价")+COUNTIFS(入库单!$G$4:$G$2503,$A983,入库单!$Y$4:$Y$2503,"暂估")&gt;0,"不可信","可信"))</f>
        <v/>
      </c>
      <c r="AA983" s="24">
        <f>IF($A983="","",IF($X983&lt;-0.001,"※账面负库存，查一下是不是漏记入库",IF(AND(ROUND($X983,3)=0,ABS($Y983)&gt;1),"※数量已经是 0，金额还挂着 "&amp;TEXT($Y983,"#,##0")&amp;" 先令",IF(AND($X983&gt;0,$Y983&lt;=0,$K983=0),"※有数量没金额（这个物料一直没填过进价）",IF($Z983="不可信","△成本含待补价/暂估，毛利仅供参考","")))))</f>
        <v/>
      </c>
    </row>
    <row r="984">
      <c r="A984" s="24">
        <f>IF(物料档案!$A983="","",物料档案!$A983)</f>
        <v/>
      </c>
      <c r="B984" s="24">
        <f>IF($A984="","",IFERROR(VLOOKUP($A984,物料档案!$A$4:$P$1203,3,0),""))</f>
        <v/>
      </c>
      <c r="C984" s="24">
        <f>IF($A984="","",IFERROR(VLOOKUP($A984,物料档案!$A$4:$P$1203,4,0),""))</f>
        <v/>
      </c>
      <c r="D984" s="24">
        <f>IF($A984="","",IFERROR(VLOOKUP($A984,物料档案!$A$4:$P$1203,5,0),""))</f>
        <v/>
      </c>
      <c r="E984" s="24">
        <f>IF($A984="","",IFERROR(VLOOKUP($A984,物料档案!$A$4:$P$1203,2,0),""))</f>
        <v/>
      </c>
      <c r="F984" s="24">
        <f>IF($A984="","",IFERROR(VLOOKUP($A984,物料档案!$A$4:$P$1203,6,0),""))</f>
        <v/>
      </c>
      <c r="G984" s="23" t="n"/>
      <c r="H984" s="32" t="n"/>
      <c r="I984" s="27">
        <f>IF($A984="","",SUMIFS(入库单!$K$4:$K$2503,入库单!$G$4:$G$2503,$A984,入库单!$X$4:$X$2503,"采购入库",入库单!$Z$4:$Z$2503,"正常",入库单!$C$4:$C$2503,"&gt;="&amp;账期起,入库单!$C$4:$C$2503,"&lt;="&amp;账期止))</f>
        <v/>
      </c>
      <c r="J984" s="26">
        <f>IF($A984="","",SUMIFS(入库单!$V$4:$V$2503,入库单!$G$4:$G$2503,$A984,入库单!$X$4:$X$2503,"采购入库",入库单!$Z$4:$Z$2503,"正常",入库单!$C$4:$C$2503,"&gt;="&amp;账期起,入库单!$C$4:$C$2503,"&lt;="&amp;账期止))</f>
        <v/>
      </c>
      <c r="K984" s="26">
        <f>IF($A984="","",IFERROR(ROUND((N($H984)+N($J984))/(N($G984)+N($I984)),2),0))</f>
        <v/>
      </c>
      <c r="L984" s="27">
        <f>IF($A984="","",SUMIFS(入库单!$K$4:$K$2503,入库单!$G$4:$G$2503,$A984,入库单!$X$4:$X$2503,"盘盈",入库单!$Z$4:$Z$2503,"正常",入库单!$C$4:$C$2503,"&gt;="&amp;账期起,入库单!$C$4:$C$2503,"&lt;="&amp;账期止))</f>
        <v/>
      </c>
      <c r="M984" s="26">
        <f>IF($A984="","",ROUND($L984*$K984,0))</f>
        <v/>
      </c>
      <c r="N984" s="27">
        <f>IF($A984="","",SUMIFS(入库单!$K$4:$K$2503,入库单!$G$4:$G$2503,$A984,入库单!$X$4:$X$2503,"矿区退库",入库单!$Z$4:$Z$2503,"正常",入库单!$C$4:$C$2503,"&gt;="&amp;账期起,入库单!$C$4:$C$2503,"&lt;="&amp;账期止))</f>
        <v/>
      </c>
      <c r="O984" s="26">
        <f>IF($A984="","",ROUND($N984*$K984,0))</f>
        <v/>
      </c>
      <c r="P984" s="27">
        <f>IF($A984="","",SUMIFS(出库单!$J$4:$J$4003,出库单!$D$4:$D$4003,$A984,出库单!$K$4:$K$4003,"自用消耗",出库单!$U$4:$U$4003,"正常",出库单!$C$4:$C$4003,"&gt;="&amp;账期起,出库单!$C$4:$C$4003,"&lt;="&amp;账期止))</f>
        <v/>
      </c>
      <c r="Q984" s="26">
        <f>IF($A984="","",ROUND(SUMIFS(出库单!$S$4:$S$4003,出库单!$D$4:$D$4003,$A984,出库单!$K$4:$K$4003,"自用消耗",出库单!$U$4:$U$4003,"正常",出库单!$C$4:$C$4003,"&gt;="&amp;账期起,出库单!$C$4:$C$4003,"&lt;="&amp;账期止),0))</f>
        <v/>
      </c>
      <c r="R984" s="27">
        <f>IF($A984="","",SUMIFS(出库单!$J$4:$J$4003,出库单!$D$4:$D$4003,$A984,出库单!$K$4:$K$4003,"对外销售",出库单!$U$4:$U$4003,"正常",出库单!$C$4:$C$4003,"&gt;="&amp;账期起,出库单!$C$4:$C$4003,"&lt;="&amp;账期止))</f>
        <v/>
      </c>
      <c r="S984" s="26">
        <f>IF($A984="","",ROUND(SUMIFS(出库单!$S$4:$S$4003,出库单!$D$4:$D$4003,$A984,出库单!$K$4:$K$4003,"对外销售",出库单!$U$4:$U$4003,"正常",出库单!$C$4:$C$4003,"&gt;="&amp;账期起,出库单!$C$4:$C$4003,"&lt;="&amp;账期止),0))</f>
        <v/>
      </c>
      <c r="T984" s="27">
        <f>IF($A984="","",SUMIFS(出库单!$J$4:$J$4003,出库单!$D$4:$D$4003,$A984,出库单!$K$4:$K$4003,"盘亏",出库单!$U$4:$U$4003,"正常",出库单!$C$4:$C$4003,"&gt;="&amp;账期起,出库单!$C$4:$C$4003,"&lt;="&amp;账期止))</f>
        <v/>
      </c>
      <c r="U984" s="26">
        <f>IF($A984="","",ROUND(SUMIFS(出库单!$S$4:$S$4003,出库单!$D$4:$D$4003,$A984,出库单!$K$4:$K$4003,"盘亏",出库单!$U$4:$U$4003,"正常",出库单!$C$4:$C$4003,"&gt;="&amp;账期起,出库单!$C$4:$C$4003,"&lt;="&amp;账期止),0))</f>
        <v/>
      </c>
      <c r="V984" s="27">
        <f>IF($A984="","",SUMIFS(出库单!$J$4:$J$4003,出库单!$D$4:$D$4003,$A984,出库单!$K$4:$K$4003,"退货给供应商",出库单!$U$4:$U$4003,"正常",出库单!$C$4:$C$4003,"&gt;="&amp;账期起,出库单!$C$4:$C$4003,"&lt;="&amp;账期止))</f>
        <v/>
      </c>
      <c r="W984" s="26">
        <f>IF($A984="","",ROUND(SUMIFS(出库单!$S$4:$S$4003,出库单!$D$4:$D$4003,$A984,出库单!$K$4:$K$4003,"退货给供应商",出库单!$U$4:$U$4003,"正常",出库单!$C$4:$C$4003,"&gt;="&amp;账期起,出库单!$C$4:$C$4003,"&lt;="&amp;账期止),0))</f>
        <v/>
      </c>
      <c r="X984" s="27">
        <f>IF($A984="","",ROUND(N($G984)+$I984+$L984+$N984-$P984-$R984-$T984-$V984,3))</f>
        <v/>
      </c>
      <c r="Y984" s="26">
        <f>IF($A984="","",ROUND(N($H984)+$J984+$M984+$O984-$Q984-$S984-$U984-$W984,0))</f>
        <v/>
      </c>
      <c r="Z984" s="24">
        <f>IF($A984="","",IF(COUNTIFS(入库单!$G$4:$G$2503,$A984,入库单!$Y$4:$Y$2503,"待补价")+COUNTIFS(入库单!$G$4:$G$2503,$A984,入库单!$Y$4:$Y$2503,"暂估")&gt;0,"不可信","可信"))</f>
        <v/>
      </c>
      <c r="AA984" s="24">
        <f>IF($A984="","",IF($X984&lt;-0.001,"※账面负库存，查一下是不是漏记入库",IF(AND(ROUND($X984,3)=0,ABS($Y984)&gt;1),"※数量已经是 0，金额还挂着 "&amp;TEXT($Y984,"#,##0")&amp;" 先令",IF(AND($X984&gt;0,$Y984&lt;=0,$K984=0),"※有数量没金额（这个物料一直没填过进价）",IF($Z984="不可信","△成本含待补价/暂估，毛利仅供参考","")))))</f>
        <v/>
      </c>
    </row>
    <row r="985">
      <c r="A985" s="24">
        <f>IF(物料档案!$A984="","",物料档案!$A984)</f>
        <v/>
      </c>
      <c r="B985" s="24">
        <f>IF($A985="","",IFERROR(VLOOKUP($A985,物料档案!$A$4:$P$1203,3,0),""))</f>
        <v/>
      </c>
      <c r="C985" s="24">
        <f>IF($A985="","",IFERROR(VLOOKUP($A985,物料档案!$A$4:$P$1203,4,0),""))</f>
        <v/>
      </c>
      <c r="D985" s="24">
        <f>IF($A985="","",IFERROR(VLOOKUP($A985,物料档案!$A$4:$P$1203,5,0),""))</f>
        <v/>
      </c>
      <c r="E985" s="24">
        <f>IF($A985="","",IFERROR(VLOOKUP($A985,物料档案!$A$4:$P$1203,2,0),""))</f>
        <v/>
      </c>
      <c r="F985" s="24">
        <f>IF($A985="","",IFERROR(VLOOKUP($A985,物料档案!$A$4:$P$1203,6,0),""))</f>
        <v/>
      </c>
      <c r="G985" s="23" t="n"/>
      <c r="H985" s="32" t="n"/>
      <c r="I985" s="27">
        <f>IF($A985="","",SUMIFS(入库单!$K$4:$K$2503,入库单!$G$4:$G$2503,$A985,入库单!$X$4:$X$2503,"采购入库",入库单!$Z$4:$Z$2503,"正常",入库单!$C$4:$C$2503,"&gt;="&amp;账期起,入库单!$C$4:$C$2503,"&lt;="&amp;账期止))</f>
        <v/>
      </c>
      <c r="J985" s="26">
        <f>IF($A985="","",SUMIFS(入库单!$V$4:$V$2503,入库单!$G$4:$G$2503,$A985,入库单!$X$4:$X$2503,"采购入库",入库单!$Z$4:$Z$2503,"正常",入库单!$C$4:$C$2503,"&gt;="&amp;账期起,入库单!$C$4:$C$2503,"&lt;="&amp;账期止))</f>
        <v/>
      </c>
      <c r="K985" s="26">
        <f>IF($A985="","",IFERROR(ROUND((N($H985)+N($J985))/(N($G985)+N($I985)),2),0))</f>
        <v/>
      </c>
      <c r="L985" s="27">
        <f>IF($A985="","",SUMIFS(入库单!$K$4:$K$2503,入库单!$G$4:$G$2503,$A985,入库单!$X$4:$X$2503,"盘盈",入库单!$Z$4:$Z$2503,"正常",入库单!$C$4:$C$2503,"&gt;="&amp;账期起,入库单!$C$4:$C$2503,"&lt;="&amp;账期止))</f>
        <v/>
      </c>
      <c r="M985" s="26">
        <f>IF($A985="","",ROUND($L985*$K985,0))</f>
        <v/>
      </c>
      <c r="N985" s="27">
        <f>IF($A985="","",SUMIFS(入库单!$K$4:$K$2503,入库单!$G$4:$G$2503,$A985,入库单!$X$4:$X$2503,"矿区退库",入库单!$Z$4:$Z$2503,"正常",入库单!$C$4:$C$2503,"&gt;="&amp;账期起,入库单!$C$4:$C$2503,"&lt;="&amp;账期止))</f>
        <v/>
      </c>
      <c r="O985" s="26">
        <f>IF($A985="","",ROUND($N985*$K985,0))</f>
        <v/>
      </c>
      <c r="P985" s="27">
        <f>IF($A985="","",SUMIFS(出库单!$J$4:$J$4003,出库单!$D$4:$D$4003,$A985,出库单!$K$4:$K$4003,"自用消耗",出库单!$U$4:$U$4003,"正常",出库单!$C$4:$C$4003,"&gt;="&amp;账期起,出库单!$C$4:$C$4003,"&lt;="&amp;账期止))</f>
        <v/>
      </c>
      <c r="Q985" s="26">
        <f>IF($A985="","",ROUND(SUMIFS(出库单!$S$4:$S$4003,出库单!$D$4:$D$4003,$A985,出库单!$K$4:$K$4003,"自用消耗",出库单!$U$4:$U$4003,"正常",出库单!$C$4:$C$4003,"&gt;="&amp;账期起,出库单!$C$4:$C$4003,"&lt;="&amp;账期止),0))</f>
        <v/>
      </c>
      <c r="R985" s="27">
        <f>IF($A985="","",SUMIFS(出库单!$J$4:$J$4003,出库单!$D$4:$D$4003,$A985,出库单!$K$4:$K$4003,"对外销售",出库单!$U$4:$U$4003,"正常",出库单!$C$4:$C$4003,"&gt;="&amp;账期起,出库单!$C$4:$C$4003,"&lt;="&amp;账期止))</f>
        <v/>
      </c>
      <c r="S985" s="26">
        <f>IF($A985="","",ROUND(SUMIFS(出库单!$S$4:$S$4003,出库单!$D$4:$D$4003,$A985,出库单!$K$4:$K$4003,"对外销售",出库单!$U$4:$U$4003,"正常",出库单!$C$4:$C$4003,"&gt;="&amp;账期起,出库单!$C$4:$C$4003,"&lt;="&amp;账期止),0))</f>
        <v/>
      </c>
      <c r="T985" s="27">
        <f>IF($A985="","",SUMIFS(出库单!$J$4:$J$4003,出库单!$D$4:$D$4003,$A985,出库单!$K$4:$K$4003,"盘亏",出库单!$U$4:$U$4003,"正常",出库单!$C$4:$C$4003,"&gt;="&amp;账期起,出库单!$C$4:$C$4003,"&lt;="&amp;账期止))</f>
        <v/>
      </c>
      <c r="U985" s="26">
        <f>IF($A985="","",ROUND(SUMIFS(出库单!$S$4:$S$4003,出库单!$D$4:$D$4003,$A985,出库单!$K$4:$K$4003,"盘亏",出库单!$U$4:$U$4003,"正常",出库单!$C$4:$C$4003,"&gt;="&amp;账期起,出库单!$C$4:$C$4003,"&lt;="&amp;账期止),0))</f>
        <v/>
      </c>
      <c r="V985" s="27">
        <f>IF($A985="","",SUMIFS(出库单!$J$4:$J$4003,出库单!$D$4:$D$4003,$A985,出库单!$K$4:$K$4003,"退货给供应商",出库单!$U$4:$U$4003,"正常",出库单!$C$4:$C$4003,"&gt;="&amp;账期起,出库单!$C$4:$C$4003,"&lt;="&amp;账期止))</f>
        <v/>
      </c>
      <c r="W985" s="26">
        <f>IF($A985="","",ROUND(SUMIFS(出库单!$S$4:$S$4003,出库单!$D$4:$D$4003,$A985,出库单!$K$4:$K$4003,"退货给供应商",出库单!$U$4:$U$4003,"正常",出库单!$C$4:$C$4003,"&gt;="&amp;账期起,出库单!$C$4:$C$4003,"&lt;="&amp;账期止),0))</f>
        <v/>
      </c>
      <c r="X985" s="27">
        <f>IF($A985="","",ROUND(N($G985)+$I985+$L985+$N985-$P985-$R985-$T985-$V985,3))</f>
        <v/>
      </c>
      <c r="Y985" s="26">
        <f>IF($A985="","",ROUND(N($H985)+$J985+$M985+$O985-$Q985-$S985-$U985-$W985,0))</f>
        <v/>
      </c>
      <c r="Z985" s="24">
        <f>IF($A985="","",IF(COUNTIFS(入库单!$G$4:$G$2503,$A985,入库单!$Y$4:$Y$2503,"待补价")+COUNTIFS(入库单!$G$4:$G$2503,$A985,入库单!$Y$4:$Y$2503,"暂估")&gt;0,"不可信","可信"))</f>
        <v/>
      </c>
      <c r="AA985" s="24">
        <f>IF($A985="","",IF($X985&lt;-0.001,"※账面负库存，查一下是不是漏记入库",IF(AND(ROUND($X985,3)=0,ABS($Y985)&gt;1),"※数量已经是 0，金额还挂着 "&amp;TEXT($Y985,"#,##0")&amp;" 先令",IF(AND($X985&gt;0,$Y985&lt;=0,$K985=0),"※有数量没金额（这个物料一直没填过进价）",IF($Z985="不可信","△成本含待补价/暂估，毛利仅供参考","")))))</f>
        <v/>
      </c>
    </row>
    <row r="986">
      <c r="A986" s="24">
        <f>IF(物料档案!$A985="","",物料档案!$A985)</f>
        <v/>
      </c>
      <c r="B986" s="24">
        <f>IF($A986="","",IFERROR(VLOOKUP($A986,物料档案!$A$4:$P$1203,3,0),""))</f>
        <v/>
      </c>
      <c r="C986" s="24">
        <f>IF($A986="","",IFERROR(VLOOKUP($A986,物料档案!$A$4:$P$1203,4,0),""))</f>
        <v/>
      </c>
      <c r="D986" s="24">
        <f>IF($A986="","",IFERROR(VLOOKUP($A986,物料档案!$A$4:$P$1203,5,0),""))</f>
        <v/>
      </c>
      <c r="E986" s="24">
        <f>IF($A986="","",IFERROR(VLOOKUP($A986,物料档案!$A$4:$P$1203,2,0),""))</f>
        <v/>
      </c>
      <c r="F986" s="24">
        <f>IF($A986="","",IFERROR(VLOOKUP($A986,物料档案!$A$4:$P$1203,6,0),""))</f>
        <v/>
      </c>
      <c r="G986" s="23" t="n"/>
      <c r="H986" s="32" t="n"/>
      <c r="I986" s="27">
        <f>IF($A986="","",SUMIFS(入库单!$K$4:$K$2503,入库单!$G$4:$G$2503,$A986,入库单!$X$4:$X$2503,"采购入库",入库单!$Z$4:$Z$2503,"正常",入库单!$C$4:$C$2503,"&gt;="&amp;账期起,入库单!$C$4:$C$2503,"&lt;="&amp;账期止))</f>
        <v/>
      </c>
      <c r="J986" s="26">
        <f>IF($A986="","",SUMIFS(入库单!$V$4:$V$2503,入库单!$G$4:$G$2503,$A986,入库单!$X$4:$X$2503,"采购入库",入库单!$Z$4:$Z$2503,"正常",入库单!$C$4:$C$2503,"&gt;="&amp;账期起,入库单!$C$4:$C$2503,"&lt;="&amp;账期止))</f>
        <v/>
      </c>
      <c r="K986" s="26">
        <f>IF($A986="","",IFERROR(ROUND((N($H986)+N($J986))/(N($G986)+N($I986)),2),0))</f>
        <v/>
      </c>
      <c r="L986" s="27">
        <f>IF($A986="","",SUMIFS(入库单!$K$4:$K$2503,入库单!$G$4:$G$2503,$A986,入库单!$X$4:$X$2503,"盘盈",入库单!$Z$4:$Z$2503,"正常",入库单!$C$4:$C$2503,"&gt;="&amp;账期起,入库单!$C$4:$C$2503,"&lt;="&amp;账期止))</f>
        <v/>
      </c>
      <c r="M986" s="26">
        <f>IF($A986="","",ROUND($L986*$K986,0))</f>
        <v/>
      </c>
      <c r="N986" s="27">
        <f>IF($A986="","",SUMIFS(入库单!$K$4:$K$2503,入库单!$G$4:$G$2503,$A986,入库单!$X$4:$X$2503,"矿区退库",入库单!$Z$4:$Z$2503,"正常",入库单!$C$4:$C$2503,"&gt;="&amp;账期起,入库单!$C$4:$C$2503,"&lt;="&amp;账期止))</f>
        <v/>
      </c>
      <c r="O986" s="26">
        <f>IF($A986="","",ROUND($N986*$K986,0))</f>
        <v/>
      </c>
      <c r="P986" s="27">
        <f>IF($A986="","",SUMIFS(出库单!$J$4:$J$4003,出库单!$D$4:$D$4003,$A986,出库单!$K$4:$K$4003,"自用消耗",出库单!$U$4:$U$4003,"正常",出库单!$C$4:$C$4003,"&gt;="&amp;账期起,出库单!$C$4:$C$4003,"&lt;="&amp;账期止))</f>
        <v/>
      </c>
      <c r="Q986" s="26">
        <f>IF($A986="","",ROUND(SUMIFS(出库单!$S$4:$S$4003,出库单!$D$4:$D$4003,$A986,出库单!$K$4:$K$4003,"自用消耗",出库单!$U$4:$U$4003,"正常",出库单!$C$4:$C$4003,"&gt;="&amp;账期起,出库单!$C$4:$C$4003,"&lt;="&amp;账期止),0))</f>
        <v/>
      </c>
      <c r="R986" s="27">
        <f>IF($A986="","",SUMIFS(出库单!$J$4:$J$4003,出库单!$D$4:$D$4003,$A986,出库单!$K$4:$K$4003,"对外销售",出库单!$U$4:$U$4003,"正常",出库单!$C$4:$C$4003,"&gt;="&amp;账期起,出库单!$C$4:$C$4003,"&lt;="&amp;账期止))</f>
        <v/>
      </c>
      <c r="S986" s="26">
        <f>IF($A986="","",ROUND(SUMIFS(出库单!$S$4:$S$4003,出库单!$D$4:$D$4003,$A986,出库单!$K$4:$K$4003,"对外销售",出库单!$U$4:$U$4003,"正常",出库单!$C$4:$C$4003,"&gt;="&amp;账期起,出库单!$C$4:$C$4003,"&lt;="&amp;账期止),0))</f>
        <v/>
      </c>
      <c r="T986" s="27">
        <f>IF($A986="","",SUMIFS(出库单!$J$4:$J$4003,出库单!$D$4:$D$4003,$A986,出库单!$K$4:$K$4003,"盘亏",出库单!$U$4:$U$4003,"正常",出库单!$C$4:$C$4003,"&gt;="&amp;账期起,出库单!$C$4:$C$4003,"&lt;="&amp;账期止))</f>
        <v/>
      </c>
      <c r="U986" s="26">
        <f>IF($A986="","",ROUND(SUMIFS(出库单!$S$4:$S$4003,出库单!$D$4:$D$4003,$A986,出库单!$K$4:$K$4003,"盘亏",出库单!$U$4:$U$4003,"正常",出库单!$C$4:$C$4003,"&gt;="&amp;账期起,出库单!$C$4:$C$4003,"&lt;="&amp;账期止),0))</f>
        <v/>
      </c>
      <c r="V986" s="27">
        <f>IF($A986="","",SUMIFS(出库单!$J$4:$J$4003,出库单!$D$4:$D$4003,$A986,出库单!$K$4:$K$4003,"退货给供应商",出库单!$U$4:$U$4003,"正常",出库单!$C$4:$C$4003,"&gt;="&amp;账期起,出库单!$C$4:$C$4003,"&lt;="&amp;账期止))</f>
        <v/>
      </c>
      <c r="W986" s="26">
        <f>IF($A986="","",ROUND(SUMIFS(出库单!$S$4:$S$4003,出库单!$D$4:$D$4003,$A986,出库单!$K$4:$K$4003,"退货给供应商",出库单!$U$4:$U$4003,"正常",出库单!$C$4:$C$4003,"&gt;="&amp;账期起,出库单!$C$4:$C$4003,"&lt;="&amp;账期止),0))</f>
        <v/>
      </c>
      <c r="X986" s="27">
        <f>IF($A986="","",ROUND(N($G986)+$I986+$L986+$N986-$P986-$R986-$T986-$V986,3))</f>
        <v/>
      </c>
      <c r="Y986" s="26">
        <f>IF($A986="","",ROUND(N($H986)+$J986+$M986+$O986-$Q986-$S986-$U986-$W986,0))</f>
        <v/>
      </c>
      <c r="Z986" s="24">
        <f>IF($A986="","",IF(COUNTIFS(入库单!$G$4:$G$2503,$A986,入库单!$Y$4:$Y$2503,"待补价")+COUNTIFS(入库单!$G$4:$G$2503,$A986,入库单!$Y$4:$Y$2503,"暂估")&gt;0,"不可信","可信"))</f>
        <v/>
      </c>
      <c r="AA986" s="24">
        <f>IF($A986="","",IF($X986&lt;-0.001,"※账面负库存，查一下是不是漏记入库",IF(AND(ROUND($X986,3)=0,ABS($Y986)&gt;1),"※数量已经是 0，金额还挂着 "&amp;TEXT($Y986,"#,##0")&amp;" 先令",IF(AND($X986&gt;0,$Y986&lt;=0,$K986=0),"※有数量没金额（这个物料一直没填过进价）",IF($Z986="不可信","△成本含待补价/暂估，毛利仅供参考","")))))</f>
        <v/>
      </c>
    </row>
    <row r="987">
      <c r="A987" s="24">
        <f>IF(物料档案!$A986="","",物料档案!$A986)</f>
        <v/>
      </c>
      <c r="B987" s="24">
        <f>IF($A987="","",IFERROR(VLOOKUP($A987,物料档案!$A$4:$P$1203,3,0),""))</f>
        <v/>
      </c>
      <c r="C987" s="24">
        <f>IF($A987="","",IFERROR(VLOOKUP($A987,物料档案!$A$4:$P$1203,4,0),""))</f>
        <v/>
      </c>
      <c r="D987" s="24">
        <f>IF($A987="","",IFERROR(VLOOKUP($A987,物料档案!$A$4:$P$1203,5,0),""))</f>
        <v/>
      </c>
      <c r="E987" s="24">
        <f>IF($A987="","",IFERROR(VLOOKUP($A987,物料档案!$A$4:$P$1203,2,0),""))</f>
        <v/>
      </c>
      <c r="F987" s="24">
        <f>IF($A987="","",IFERROR(VLOOKUP($A987,物料档案!$A$4:$P$1203,6,0),""))</f>
        <v/>
      </c>
      <c r="G987" s="23" t="n"/>
      <c r="H987" s="32" t="n"/>
      <c r="I987" s="27">
        <f>IF($A987="","",SUMIFS(入库单!$K$4:$K$2503,入库单!$G$4:$G$2503,$A987,入库单!$X$4:$X$2503,"采购入库",入库单!$Z$4:$Z$2503,"正常",入库单!$C$4:$C$2503,"&gt;="&amp;账期起,入库单!$C$4:$C$2503,"&lt;="&amp;账期止))</f>
        <v/>
      </c>
      <c r="J987" s="26">
        <f>IF($A987="","",SUMIFS(入库单!$V$4:$V$2503,入库单!$G$4:$G$2503,$A987,入库单!$X$4:$X$2503,"采购入库",入库单!$Z$4:$Z$2503,"正常",入库单!$C$4:$C$2503,"&gt;="&amp;账期起,入库单!$C$4:$C$2503,"&lt;="&amp;账期止))</f>
        <v/>
      </c>
      <c r="K987" s="26">
        <f>IF($A987="","",IFERROR(ROUND((N($H987)+N($J987))/(N($G987)+N($I987)),2),0))</f>
        <v/>
      </c>
      <c r="L987" s="27">
        <f>IF($A987="","",SUMIFS(入库单!$K$4:$K$2503,入库单!$G$4:$G$2503,$A987,入库单!$X$4:$X$2503,"盘盈",入库单!$Z$4:$Z$2503,"正常",入库单!$C$4:$C$2503,"&gt;="&amp;账期起,入库单!$C$4:$C$2503,"&lt;="&amp;账期止))</f>
        <v/>
      </c>
      <c r="M987" s="26">
        <f>IF($A987="","",ROUND($L987*$K987,0))</f>
        <v/>
      </c>
      <c r="N987" s="27">
        <f>IF($A987="","",SUMIFS(入库单!$K$4:$K$2503,入库单!$G$4:$G$2503,$A987,入库单!$X$4:$X$2503,"矿区退库",入库单!$Z$4:$Z$2503,"正常",入库单!$C$4:$C$2503,"&gt;="&amp;账期起,入库单!$C$4:$C$2503,"&lt;="&amp;账期止))</f>
        <v/>
      </c>
      <c r="O987" s="26">
        <f>IF($A987="","",ROUND($N987*$K987,0))</f>
        <v/>
      </c>
      <c r="P987" s="27">
        <f>IF($A987="","",SUMIFS(出库单!$J$4:$J$4003,出库单!$D$4:$D$4003,$A987,出库单!$K$4:$K$4003,"自用消耗",出库单!$U$4:$U$4003,"正常",出库单!$C$4:$C$4003,"&gt;="&amp;账期起,出库单!$C$4:$C$4003,"&lt;="&amp;账期止))</f>
        <v/>
      </c>
      <c r="Q987" s="26">
        <f>IF($A987="","",ROUND(SUMIFS(出库单!$S$4:$S$4003,出库单!$D$4:$D$4003,$A987,出库单!$K$4:$K$4003,"自用消耗",出库单!$U$4:$U$4003,"正常",出库单!$C$4:$C$4003,"&gt;="&amp;账期起,出库单!$C$4:$C$4003,"&lt;="&amp;账期止),0))</f>
        <v/>
      </c>
      <c r="R987" s="27">
        <f>IF($A987="","",SUMIFS(出库单!$J$4:$J$4003,出库单!$D$4:$D$4003,$A987,出库单!$K$4:$K$4003,"对外销售",出库单!$U$4:$U$4003,"正常",出库单!$C$4:$C$4003,"&gt;="&amp;账期起,出库单!$C$4:$C$4003,"&lt;="&amp;账期止))</f>
        <v/>
      </c>
      <c r="S987" s="26">
        <f>IF($A987="","",ROUND(SUMIFS(出库单!$S$4:$S$4003,出库单!$D$4:$D$4003,$A987,出库单!$K$4:$K$4003,"对外销售",出库单!$U$4:$U$4003,"正常",出库单!$C$4:$C$4003,"&gt;="&amp;账期起,出库单!$C$4:$C$4003,"&lt;="&amp;账期止),0))</f>
        <v/>
      </c>
      <c r="T987" s="27">
        <f>IF($A987="","",SUMIFS(出库单!$J$4:$J$4003,出库单!$D$4:$D$4003,$A987,出库单!$K$4:$K$4003,"盘亏",出库单!$U$4:$U$4003,"正常",出库单!$C$4:$C$4003,"&gt;="&amp;账期起,出库单!$C$4:$C$4003,"&lt;="&amp;账期止))</f>
        <v/>
      </c>
      <c r="U987" s="26">
        <f>IF($A987="","",ROUND(SUMIFS(出库单!$S$4:$S$4003,出库单!$D$4:$D$4003,$A987,出库单!$K$4:$K$4003,"盘亏",出库单!$U$4:$U$4003,"正常",出库单!$C$4:$C$4003,"&gt;="&amp;账期起,出库单!$C$4:$C$4003,"&lt;="&amp;账期止),0))</f>
        <v/>
      </c>
      <c r="V987" s="27">
        <f>IF($A987="","",SUMIFS(出库单!$J$4:$J$4003,出库单!$D$4:$D$4003,$A987,出库单!$K$4:$K$4003,"退货给供应商",出库单!$U$4:$U$4003,"正常",出库单!$C$4:$C$4003,"&gt;="&amp;账期起,出库单!$C$4:$C$4003,"&lt;="&amp;账期止))</f>
        <v/>
      </c>
      <c r="W987" s="26">
        <f>IF($A987="","",ROUND(SUMIFS(出库单!$S$4:$S$4003,出库单!$D$4:$D$4003,$A987,出库单!$K$4:$K$4003,"退货给供应商",出库单!$U$4:$U$4003,"正常",出库单!$C$4:$C$4003,"&gt;="&amp;账期起,出库单!$C$4:$C$4003,"&lt;="&amp;账期止),0))</f>
        <v/>
      </c>
      <c r="X987" s="27">
        <f>IF($A987="","",ROUND(N($G987)+$I987+$L987+$N987-$P987-$R987-$T987-$V987,3))</f>
        <v/>
      </c>
      <c r="Y987" s="26">
        <f>IF($A987="","",ROUND(N($H987)+$J987+$M987+$O987-$Q987-$S987-$U987-$W987,0))</f>
        <v/>
      </c>
      <c r="Z987" s="24">
        <f>IF($A987="","",IF(COUNTIFS(入库单!$G$4:$G$2503,$A987,入库单!$Y$4:$Y$2503,"待补价")+COUNTIFS(入库单!$G$4:$G$2503,$A987,入库单!$Y$4:$Y$2503,"暂估")&gt;0,"不可信","可信"))</f>
        <v/>
      </c>
      <c r="AA987" s="24">
        <f>IF($A987="","",IF($X987&lt;-0.001,"※账面负库存，查一下是不是漏记入库",IF(AND(ROUND($X987,3)=0,ABS($Y987)&gt;1),"※数量已经是 0，金额还挂着 "&amp;TEXT($Y987,"#,##0")&amp;" 先令",IF(AND($X987&gt;0,$Y987&lt;=0,$K987=0),"※有数量没金额（这个物料一直没填过进价）",IF($Z987="不可信","△成本含待补价/暂估，毛利仅供参考","")))))</f>
        <v/>
      </c>
    </row>
    <row r="988">
      <c r="A988" s="24">
        <f>IF(物料档案!$A987="","",物料档案!$A987)</f>
        <v/>
      </c>
      <c r="B988" s="24">
        <f>IF($A988="","",IFERROR(VLOOKUP($A988,物料档案!$A$4:$P$1203,3,0),""))</f>
        <v/>
      </c>
      <c r="C988" s="24">
        <f>IF($A988="","",IFERROR(VLOOKUP($A988,物料档案!$A$4:$P$1203,4,0),""))</f>
        <v/>
      </c>
      <c r="D988" s="24">
        <f>IF($A988="","",IFERROR(VLOOKUP($A988,物料档案!$A$4:$P$1203,5,0),""))</f>
        <v/>
      </c>
      <c r="E988" s="24">
        <f>IF($A988="","",IFERROR(VLOOKUP($A988,物料档案!$A$4:$P$1203,2,0),""))</f>
        <v/>
      </c>
      <c r="F988" s="24">
        <f>IF($A988="","",IFERROR(VLOOKUP($A988,物料档案!$A$4:$P$1203,6,0),""))</f>
        <v/>
      </c>
      <c r="G988" s="23" t="n"/>
      <c r="H988" s="32" t="n"/>
      <c r="I988" s="27">
        <f>IF($A988="","",SUMIFS(入库单!$K$4:$K$2503,入库单!$G$4:$G$2503,$A988,入库单!$X$4:$X$2503,"采购入库",入库单!$Z$4:$Z$2503,"正常",入库单!$C$4:$C$2503,"&gt;="&amp;账期起,入库单!$C$4:$C$2503,"&lt;="&amp;账期止))</f>
        <v/>
      </c>
      <c r="J988" s="26">
        <f>IF($A988="","",SUMIFS(入库单!$V$4:$V$2503,入库单!$G$4:$G$2503,$A988,入库单!$X$4:$X$2503,"采购入库",入库单!$Z$4:$Z$2503,"正常",入库单!$C$4:$C$2503,"&gt;="&amp;账期起,入库单!$C$4:$C$2503,"&lt;="&amp;账期止))</f>
        <v/>
      </c>
      <c r="K988" s="26">
        <f>IF($A988="","",IFERROR(ROUND((N($H988)+N($J988))/(N($G988)+N($I988)),2),0))</f>
        <v/>
      </c>
      <c r="L988" s="27">
        <f>IF($A988="","",SUMIFS(入库单!$K$4:$K$2503,入库单!$G$4:$G$2503,$A988,入库单!$X$4:$X$2503,"盘盈",入库单!$Z$4:$Z$2503,"正常",入库单!$C$4:$C$2503,"&gt;="&amp;账期起,入库单!$C$4:$C$2503,"&lt;="&amp;账期止))</f>
        <v/>
      </c>
      <c r="M988" s="26">
        <f>IF($A988="","",ROUND($L988*$K988,0))</f>
        <v/>
      </c>
      <c r="N988" s="27">
        <f>IF($A988="","",SUMIFS(入库单!$K$4:$K$2503,入库单!$G$4:$G$2503,$A988,入库单!$X$4:$X$2503,"矿区退库",入库单!$Z$4:$Z$2503,"正常",入库单!$C$4:$C$2503,"&gt;="&amp;账期起,入库单!$C$4:$C$2503,"&lt;="&amp;账期止))</f>
        <v/>
      </c>
      <c r="O988" s="26">
        <f>IF($A988="","",ROUND($N988*$K988,0))</f>
        <v/>
      </c>
      <c r="P988" s="27">
        <f>IF($A988="","",SUMIFS(出库单!$J$4:$J$4003,出库单!$D$4:$D$4003,$A988,出库单!$K$4:$K$4003,"自用消耗",出库单!$U$4:$U$4003,"正常",出库单!$C$4:$C$4003,"&gt;="&amp;账期起,出库单!$C$4:$C$4003,"&lt;="&amp;账期止))</f>
        <v/>
      </c>
      <c r="Q988" s="26">
        <f>IF($A988="","",ROUND(SUMIFS(出库单!$S$4:$S$4003,出库单!$D$4:$D$4003,$A988,出库单!$K$4:$K$4003,"自用消耗",出库单!$U$4:$U$4003,"正常",出库单!$C$4:$C$4003,"&gt;="&amp;账期起,出库单!$C$4:$C$4003,"&lt;="&amp;账期止),0))</f>
        <v/>
      </c>
      <c r="R988" s="27">
        <f>IF($A988="","",SUMIFS(出库单!$J$4:$J$4003,出库单!$D$4:$D$4003,$A988,出库单!$K$4:$K$4003,"对外销售",出库单!$U$4:$U$4003,"正常",出库单!$C$4:$C$4003,"&gt;="&amp;账期起,出库单!$C$4:$C$4003,"&lt;="&amp;账期止))</f>
        <v/>
      </c>
      <c r="S988" s="26">
        <f>IF($A988="","",ROUND(SUMIFS(出库单!$S$4:$S$4003,出库单!$D$4:$D$4003,$A988,出库单!$K$4:$K$4003,"对外销售",出库单!$U$4:$U$4003,"正常",出库单!$C$4:$C$4003,"&gt;="&amp;账期起,出库单!$C$4:$C$4003,"&lt;="&amp;账期止),0))</f>
        <v/>
      </c>
      <c r="T988" s="27">
        <f>IF($A988="","",SUMIFS(出库单!$J$4:$J$4003,出库单!$D$4:$D$4003,$A988,出库单!$K$4:$K$4003,"盘亏",出库单!$U$4:$U$4003,"正常",出库单!$C$4:$C$4003,"&gt;="&amp;账期起,出库单!$C$4:$C$4003,"&lt;="&amp;账期止))</f>
        <v/>
      </c>
      <c r="U988" s="26">
        <f>IF($A988="","",ROUND(SUMIFS(出库单!$S$4:$S$4003,出库单!$D$4:$D$4003,$A988,出库单!$K$4:$K$4003,"盘亏",出库单!$U$4:$U$4003,"正常",出库单!$C$4:$C$4003,"&gt;="&amp;账期起,出库单!$C$4:$C$4003,"&lt;="&amp;账期止),0))</f>
        <v/>
      </c>
      <c r="V988" s="27">
        <f>IF($A988="","",SUMIFS(出库单!$J$4:$J$4003,出库单!$D$4:$D$4003,$A988,出库单!$K$4:$K$4003,"退货给供应商",出库单!$U$4:$U$4003,"正常",出库单!$C$4:$C$4003,"&gt;="&amp;账期起,出库单!$C$4:$C$4003,"&lt;="&amp;账期止))</f>
        <v/>
      </c>
      <c r="W988" s="26">
        <f>IF($A988="","",ROUND(SUMIFS(出库单!$S$4:$S$4003,出库单!$D$4:$D$4003,$A988,出库单!$K$4:$K$4003,"退货给供应商",出库单!$U$4:$U$4003,"正常",出库单!$C$4:$C$4003,"&gt;="&amp;账期起,出库单!$C$4:$C$4003,"&lt;="&amp;账期止),0))</f>
        <v/>
      </c>
      <c r="X988" s="27">
        <f>IF($A988="","",ROUND(N($G988)+$I988+$L988+$N988-$P988-$R988-$T988-$V988,3))</f>
        <v/>
      </c>
      <c r="Y988" s="26">
        <f>IF($A988="","",ROUND(N($H988)+$J988+$M988+$O988-$Q988-$S988-$U988-$W988,0))</f>
        <v/>
      </c>
      <c r="Z988" s="24">
        <f>IF($A988="","",IF(COUNTIFS(入库单!$G$4:$G$2503,$A988,入库单!$Y$4:$Y$2503,"待补价")+COUNTIFS(入库单!$G$4:$G$2503,$A988,入库单!$Y$4:$Y$2503,"暂估")&gt;0,"不可信","可信"))</f>
        <v/>
      </c>
      <c r="AA988" s="24">
        <f>IF($A988="","",IF($X988&lt;-0.001,"※账面负库存，查一下是不是漏记入库",IF(AND(ROUND($X988,3)=0,ABS($Y988)&gt;1),"※数量已经是 0，金额还挂着 "&amp;TEXT($Y988,"#,##0")&amp;" 先令",IF(AND($X988&gt;0,$Y988&lt;=0,$K988=0),"※有数量没金额（这个物料一直没填过进价）",IF($Z988="不可信","△成本含待补价/暂估，毛利仅供参考","")))))</f>
        <v/>
      </c>
    </row>
    <row r="989">
      <c r="A989" s="24">
        <f>IF(物料档案!$A988="","",物料档案!$A988)</f>
        <v/>
      </c>
      <c r="B989" s="24">
        <f>IF($A989="","",IFERROR(VLOOKUP($A989,物料档案!$A$4:$P$1203,3,0),""))</f>
        <v/>
      </c>
      <c r="C989" s="24">
        <f>IF($A989="","",IFERROR(VLOOKUP($A989,物料档案!$A$4:$P$1203,4,0),""))</f>
        <v/>
      </c>
      <c r="D989" s="24">
        <f>IF($A989="","",IFERROR(VLOOKUP($A989,物料档案!$A$4:$P$1203,5,0),""))</f>
        <v/>
      </c>
      <c r="E989" s="24">
        <f>IF($A989="","",IFERROR(VLOOKUP($A989,物料档案!$A$4:$P$1203,2,0),""))</f>
        <v/>
      </c>
      <c r="F989" s="24">
        <f>IF($A989="","",IFERROR(VLOOKUP($A989,物料档案!$A$4:$P$1203,6,0),""))</f>
        <v/>
      </c>
      <c r="G989" s="23" t="n"/>
      <c r="H989" s="32" t="n"/>
      <c r="I989" s="27">
        <f>IF($A989="","",SUMIFS(入库单!$K$4:$K$2503,入库单!$G$4:$G$2503,$A989,入库单!$X$4:$X$2503,"采购入库",入库单!$Z$4:$Z$2503,"正常",入库单!$C$4:$C$2503,"&gt;="&amp;账期起,入库单!$C$4:$C$2503,"&lt;="&amp;账期止))</f>
        <v/>
      </c>
      <c r="J989" s="26">
        <f>IF($A989="","",SUMIFS(入库单!$V$4:$V$2503,入库单!$G$4:$G$2503,$A989,入库单!$X$4:$X$2503,"采购入库",入库单!$Z$4:$Z$2503,"正常",入库单!$C$4:$C$2503,"&gt;="&amp;账期起,入库单!$C$4:$C$2503,"&lt;="&amp;账期止))</f>
        <v/>
      </c>
      <c r="K989" s="26">
        <f>IF($A989="","",IFERROR(ROUND((N($H989)+N($J989))/(N($G989)+N($I989)),2),0))</f>
        <v/>
      </c>
      <c r="L989" s="27">
        <f>IF($A989="","",SUMIFS(入库单!$K$4:$K$2503,入库单!$G$4:$G$2503,$A989,入库单!$X$4:$X$2503,"盘盈",入库单!$Z$4:$Z$2503,"正常",入库单!$C$4:$C$2503,"&gt;="&amp;账期起,入库单!$C$4:$C$2503,"&lt;="&amp;账期止))</f>
        <v/>
      </c>
      <c r="M989" s="26">
        <f>IF($A989="","",ROUND($L989*$K989,0))</f>
        <v/>
      </c>
      <c r="N989" s="27">
        <f>IF($A989="","",SUMIFS(入库单!$K$4:$K$2503,入库单!$G$4:$G$2503,$A989,入库单!$X$4:$X$2503,"矿区退库",入库单!$Z$4:$Z$2503,"正常",入库单!$C$4:$C$2503,"&gt;="&amp;账期起,入库单!$C$4:$C$2503,"&lt;="&amp;账期止))</f>
        <v/>
      </c>
      <c r="O989" s="26">
        <f>IF($A989="","",ROUND($N989*$K989,0))</f>
        <v/>
      </c>
      <c r="P989" s="27">
        <f>IF($A989="","",SUMIFS(出库单!$J$4:$J$4003,出库单!$D$4:$D$4003,$A989,出库单!$K$4:$K$4003,"自用消耗",出库单!$U$4:$U$4003,"正常",出库单!$C$4:$C$4003,"&gt;="&amp;账期起,出库单!$C$4:$C$4003,"&lt;="&amp;账期止))</f>
        <v/>
      </c>
      <c r="Q989" s="26">
        <f>IF($A989="","",ROUND(SUMIFS(出库单!$S$4:$S$4003,出库单!$D$4:$D$4003,$A989,出库单!$K$4:$K$4003,"自用消耗",出库单!$U$4:$U$4003,"正常",出库单!$C$4:$C$4003,"&gt;="&amp;账期起,出库单!$C$4:$C$4003,"&lt;="&amp;账期止),0))</f>
        <v/>
      </c>
      <c r="R989" s="27">
        <f>IF($A989="","",SUMIFS(出库单!$J$4:$J$4003,出库单!$D$4:$D$4003,$A989,出库单!$K$4:$K$4003,"对外销售",出库单!$U$4:$U$4003,"正常",出库单!$C$4:$C$4003,"&gt;="&amp;账期起,出库单!$C$4:$C$4003,"&lt;="&amp;账期止))</f>
        <v/>
      </c>
      <c r="S989" s="26">
        <f>IF($A989="","",ROUND(SUMIFS(出库单!$S$4:$S$4003,出库单!$D$4:$D$4003,$A989,出库单!$K$4:$K$4003,"对外销售",出库单!$U$4:$U$4003,"正常",出库单!$C$4:$C$4003,"&gt;="&amp;账期起,出库单!$C$4:$C$4003,"&lt;="&amp;账期止),0))</f>
        <v/>
      </c>
      <c r="T989" s="27">
        <f>IF($A989="","",SUMIFS(出库单!$J$4:$J$4003,出库单!$D$4:$D$4003,$A989,出库单!$K$4:$K$4003,"盘亏",出库单!$U$4:$U$4003,"正常",出库单!$C$4:$C$4003,"&gt;="&amp;账期起,出库单!$C$4:$C$4003,"&lt;="&amp;账期止))</f>
        <v/>
      </c>
      <c r="U989" s="26">
        <f>IF($A989="","",ROUND(SUMIFS(出库单!$S$4:$S$4003,出库单!$D$4:$D$4003,$A989,出库单!$K$4:$K$4003,"盘亏",出库单!$U$4:$U$4003,"正常",出库单!$C$4:$C$4003,"&gt;="&amp;账期起,出库单!$C$4:$C$4003,"&lt;="&amp;账期止),0))</f>
        <v/>
      </c>
      <c r="V989" s="27">
        <f>IF($A989="","",SUMIFS(出库单!$J$4:$J$4003,出库单!$D$4:$D$4003,$A989,出库单!$K$4:$K$4003,"退货给供应商",出库单!$U$4:$U$4003,"正常",出库单!$C$4:$C$4003,"&gt;="&amp;账期起,出库单!$C$4:$C$4003,"&lt;="&amp;账期止))</f>
        <v/>
      </c>
      <c r="W989" s="26">
        <f>IF($A989="","",ROUND(SUMIFS(出库单!$S$4:$S$4003,出库单!$D$4:$D$4003,$A989,出库单!$K$4:$K$4003,"退货给供应商",出库单!$U$4:$U$4003,"正常",出库单!$C$4:$C$4003,"&gt;="&amp;账期起,出库单!$C$4:$C$4003,"&lt;="&amp;账期止),0))</f>
        <v/>
      </c>
      <c r="X989" s="27">
        <f>IF($A989="","",ROUND(N($G989)+$I989+$L989+$N989-$P989-$R989-$T989-$V989,3))</f>
        <v/>
      </c>
      <c r="Y989" s="26">
        <f>IF($A989="","",ROUND(N($H989)+$J989+$M989+$O989-$Q989-$S989-$U989-$W989,0))</f>
        <v/>
      </c>
      <c r="Z989" s="24">
        <f>IF($A989="","",IF(COUNTIFS(入库单!$G$4:$G$2503,$A989,入库单!$Y$4:$Y$2503,"待补价")+COUNTIFS(入库单!$G$4:$G$2503,$A989,入库单!$Y$4:$Y$2503,"暂估")&gt;0,"不可信","可信"))</f>
        <v/>
      </c>
      <c r="AA989" s="24">
        <f>IF($A989="","",IF($X989&lt;-0.001,"※账面负库存，查一下是不是漏记入库",IF(AND(ROUND($X989,3)=0,ABS($Y989)&gt;1),"※数量已经是 0，金额还挂着 "&amp;TEXT($Y989,"#,##0")&amp;" 先令",IF(AND($X989&gt;0,$Y989&lt;=0,$K989=0),"※有数量没金额（这个物料一直没填过进价）",IF($Z989="不可信","△成本含待补价/暂估，毛利仅供参考","")))))</f>
        <v/>
      </c>
    </row>
    <row r="990">
      <c r="A990" s="24">
        <f>IF(物料档案!$A989="","",物料档案!$A989)</f>
        <v/>
      </c>
      <c r="B990" s="24">
        <f>IF($A990="","",IFERROR(VLOOKUP($A990,物料档案!$A$4:$P$1203,3,0),""))</f>
        <v/>
      </c>
      <c r="C990" s="24">
        <f>IF($A990="","",IFERROR(VLOOKUP($A990,物料档案!$A$4:$P$1203,4,0),""))</f>
        <v/>
      </c>
      <c r="D990" s="24">
        <f>IF($A990="","",IFERROR(VLOOKUP($A990,物料档案!$A$4:$P$1203,5,0),""))</f>
        <v/>
      </c>
      <c r="E990" s="24">
        <f>IF($A990="","",IFERROR(VLOOKUP($A990,物料档案!$A$4:$P$1203,2,0),""))</f>
        <v/>
      </c>
      <c r="F990" s="24">
        <f>IF($A990="","",IFERROR(VLOOKUP($A990,物料档案!$A$4:$P$1203,6,0),""))</f>
        <v/>
      </c>
      <c r="G990" s="23" t="n"/>
      <c r="H990" s="32" t="n"/>
      <c r="I990" s="27">
        <f>IF($A990="","",SUMIFS(入库单!$K$4:$K$2503,入库单!$G$4:$G$2503,$A990,入库单!$X$4:$X$2503,"采购入库",入库单!$Z$4:$Z$2503,"正常",入库单!$C$4:$C$2503,"&gt;="&amp;账期起,入库单!$C$4:$C$2503,"&lt;="&amp;账期止))</f>
        <v/>
      </c>
      <c r="J990" s="26">
        <f>IF($A990="","",SUMIFS(入库单!$V$4:$V$2503,入库单!$G$4:$G$2503,$A990,入库单!$X$4:$X$2503,"采购入库",入库单!$Z$4:$Z$2503,"正常",入库单!$C$4:$C$2503,"&gt;="&amp;账期起,入库单!$C$4:$C$2503,"&lt;="&amp;账期止))</f>
        <v/>
      </c>
      <c r="K990" s="26">
        <f>IF($A990="","",IFERROR(ROUND((N($H990)+N($J990))/(N($G990)+N($I990)),2),0))</f>
        <v/>
      </c>
      <c r="L990" s="27">
        <f>IF($A990="","",SUMIFS(入库单!$K$4:$K$2503,入库单!$G$4:$G$2503,$A990,入库单!$X$4:$X$2503,"盘盈",入库单!$Z$4:$Z$2503,"正常",入库单!$C$4:$C$2503,"&gt;="&amp;账期起,入库单!$C$4:$C$2503,"&lt;="&amp;账期止))</f>
        <v/>
      </c>
      <c r="M990" s="26">
        <f>IF($A990="","",ROUND($L990*$K990,0))</f>
        <v/>
      </c>
      <c r="N990" s="27">
        <f>IF($A990="","",SUMIFS(入库单!$K$4:$K$2503,入库单!$G$4:$G$2503,$A990,入库单!$X$4:$X$2503,"矿区退库",入库单!$Z$4:$Z$2503,"正常",入库单!$C$4:$C$2503,"&gt;="&amp;账期起,入库单!$C$4:$C$2503,"&lt;="&amp;账期止))</f>
        <v/>
      </c>
      <c r="O990" s="26">
        <f>IF($A990="","",ROUND($N990*$K990,0))</f>
        <v/>
      </c>
      <c r="P990" s="27">
        <f>IF($A990="","",SUMIFS(出库单!$J$4:$J$4003,出库单!$D$4:$D$4003,$A990,出库单!$K$4:$K$4003,"自用消耗",出库单!$U$4:$U$4003,"正常",出库单!$C$4:$C$4003,"&gt;="&amp;账期起,出库单!$C$4:$C$4003,"&lt;="&amp;账期止))</f>
        <v/>
      </c>
      <c r="Q990" s="26">
        <f>IF($A990="","",ROUND(SUMIFS(出库单!$S$4:$S$4003,出库单!$D$4:$D$4003,$A990,出库单!$K$4:$K$4003,"自用消耗",出库单!$U$4:$U$4003,"正常",出库单!$C$4:$C$4003,"&gt;="&amp;账期起,出库单!$C$4:$C$4003,"&lt;="&amp;账期止),0))</f>
        <v/>
      </c>
      <c r="R990" s="27">
        <f>IF($A990="","",SUMIFS(出库单!$J$4:$J$4003,出库单!$D$4:$D$4003,$A990,出库单!$K$4:$K$4003,"对外销售",出库单!$U$4:$U$4003,"正常",出库单!$C$4:$C$4003,"&gt;="&amp;账期起,出库单!$C$4:$C$4003,"&lt;="&amp;账期止))</f>
        <v/>
      </c>
      <c r="S990" s="26">
        <f>IF($A990="","",ROUND(SUMIFS(出库单!$S$4:$S$4003,出库单!$D$4:$D$4003,$A990,出库单!$K$4:$K$4003,"对外销售",出库单!$U$4:$U$4003,"正常",出库单!$C$4:$C$4003,"&gt;="&amp;账期起,出库单!$C$4:$C$4003,"&lt;="&amp;账期止),0))</f>
        <v/>
      </c>
      <c r="T990" s="27">
        <f>IF($A990="","",SUMIFS(出库单!$J$4:$J$4003,出库单!$D$4:$D$4003,$A990,出库单!$K$4:$K$4003,"盘亏",出库单!$U$4:$U$4003,"正常",出库单!$C$4:$C$4003,"&gt;="&amp;账期起,出库单!$C$4:$C$4003,"&lt;="&amp;账期止))</f>
        <v/>
      </c>
      <c r="U990" s="26">
        <f>IF($A990="","",ROUND(SUMIFS(出库单!$S$4:$S$4003,出库单!$D$4:$D$4003,$A990,出库单!$K$4:$K$4003,"盘亏",出库单!$U$4:$U$4003,"正常",出库单!$C$4:$C$4003,"&gt;="&amp;账期起,出库单!$C$4:$C$4003,"&lt;="&amp;账期止),0))</f>
        <v/>
      </c>
      <c r="V990" s="27">
        <f>IF($A990="","",SUMIFS(出库单!$J$4:$J$4003,出库单!$D$4:$D$4003,$A990,出库单!$K$4:$K$4003,"退货给供应商",出库单!$U$4:$U$4003,"正常",出库单!$C$4:$C$4003,"&gt;="&amp;账期起,出库单!$C$4:$C$4003,"&lt;="&amp;账期止))</f>
        <v/>
      </c>
      <c r="W990" s="26">
        <f>IF($A990="","",ROUND(SUMIFS(出库单!$S$4:$S$4003,出库单!$D$4:$D$4003,$A990,出库单!$K$4:$K$4003,"退货给供应商",出库单!$U$4:$U$4003,"正常",出库单!$C$4:$C$4003,"&gt;="&amp;账期起,出库单!$C$4:$C$4003,"&lt;="&amp;账期止),0))</f>
        <v/>
      </c>
      <c r="X990" s="27">
        <f>IF($A990="","",ROUND(N($G990)+$I990+$L990+$N990-$P990-$R990-$T990-$V990,3))</f>
        <v/>
      </c>
      <c r="Y990" s="26">
        <f>IF($A990="","",ROUND(N($H990)+$J990+$M990+$O990-$Q990-$S990-$U990-$W990,0))</f>
        <v/>
      </c>
      <c r="Z990" s="24">
        <f>IF($A990="","",IF(COUNTIFS(入库单!$G$4:$G$2503,$A990,入库单!$Y$4:$Y$2503,"待补价")+COUNTIFS(入库单!$G$4:$G$2503,$A990,入库单!$Y$4:$Y$2503,"暂估")&gt;0,"不可信","可信"))</f>
        <v/>
      </c>
      <c r="AA990" s="24">
        <f>IF($A990="","",IF($X990&lt;-0.001,"※账面负库存，查一下是不是漏记入库",IF(AND(ROUND($X990,3)=0,ABS($Y990)&gt;1),"※数量已经是 0，金额还挂着 "&amp;TEXT($Y990,"#,##0")&amp;" 先令",IF(AND($X990&gt;0,$Y990&lt;=0,$K990=0),"※有数量没金额（这个物料一直没填过进价）",IF($Z990="不可信","△成本含待补价/暂估，毛利仅供参考","")))))</f>
        <v/>
      </c>
    </row>
    <row r="991">
      <c r="A991" s="24">
        <f>IF(物料档案!$A990="","",物料档案!$A990)</f>
        <v/>
      </c>
      <c r="B991" s="24">
        <f>IF($A991="","",IFERROR(VLOOKUP($A991,物料档案!$A$4:$P$1203,3,0),""))</f>
        <v/>
      </c>
      <c r="C991" s="24">
        <f>IF($A991="","",IFERROR(VLOOKUP($A991,物料档案!$A$4:$P$1203,4,0),""))</f>
        <v/>
      </c>
      <c r="D991" s="24">
        <f>IF($A991="","",IFERROR(VLOOKUP($A991,物料档案!$A$4:$P$1203,5,0),""))</f>
        <v/>
      </c>
      <c r="E991" s="24">
        <f>IF($A991="","",IFERROR(VLOOKUP($A991,物料档案!$A$4:$P$1203,2,0),""))</f>
        <v/>
      </c>
      <c r="F991" s="24">
        <f>IF($A991="","",IFERROR(VLOOKUP($A991,物料档案!$A$4:$P$1203,6,0),""))</f>
        <v/>
      </c>
      <c r="G991" s="23" t="n"/>
      <c r="H991" s="32" t="n"/>
      <c r="I991" s="27">
        <f>IF($A991="","",SUMIFS(入库单!$K$4:$K$2503,入库单!$G$4:$G$2503,$A991,入库单!$X$4:$X$2503,"采购入库",入库单!$Z$4:$Z$2503,"正常",入库单!$C$4:$C$2503,"&gt;="&amp;账期起,入库单!$C$4:$C$2503,"&lt;="&amp;账期止))</f>
        <v/>
      </c>
      <c r="J991" s="26">
        <f>IF($A991="","",SUMIFS(入库单!$V$4:$V$2503,入库单!$G$4:$G$2503,$A991,入库单!$X$4:$X$2503,"采购入库",入库单!$Z$4:$Z$2503,"正常",入库单!$C$4:$C$2503,"&gt;="&amp;账期起,入库单!$C$4:$C$2503,"&lt;="&amp;账期止))</f>
        <v/>
      </c>
      <c r="K991" s="26">
        <f>IF($A991="","",IFERROR(ROUND((N($H991)+N($J991))/(N($G991)+N($I991)),2),0))</f>
        <v/>
      </c>
      <c r="L991" s="27">
        <f>IF($A991="","",SUMIFS(入库单!$K$4:$K$2503,入库单!$G$4:$G$2503,$A991,入库单!$X$4:$X$2503,"盘盈",入库单!$Z$4:$Z$2503,"正常",入库单!$C$4:$C$2503,"&gt;="&amp;账期起,入库单!$C$4:$C$2503,"&lt;="&amp;账期止))</f>
        <v/>
      </c>
      <c r="M991" s="26">
        <f>IF($A991="","",ROUND($L991*$K991,0))</f>
        <v/>
      </c>
      <c r="N991" s="27">
        <f>IF($A991="","",SUMIFS(入库单!$K$4:$K$2503,入库单!$G$4:$G$2503,$A991,入库单!$X$4:$X$2503,"矿区退库",入库单!$Z$4:$Z$2503,"正常",入库单!$C$4:$C$2503,"&gt;="&amp;账期起,入库单!$C$4:$C$2503,"&lt;="&amp;账期止))</f>
        <v/>
      </c>
      <c r="O991" s="26">
        <f>IF($A991="","",ROUND($N991*$K991,0))</f>
        <v/>
      </c>
      <c r="P991" s="27">
        <f>IF($A991="","",SUMIFS(出库单!$J$4:$J$4003,出库单!$D$4:$D$4003,$A991,出库单!$K$4:$K$4003,"自用消耗",出库单!$U$4:$U$4003,"正常",出库单!$C$4:$C$4003,"&gt;="&amp;账期起,出库单!$C$4:$C$4003,"&lt;="&amp;账期止))</f>
        <v/>
      </c>
      <c r="Q991" s="26">
        <f>IF($A991="","",ROUND(SUMIFS(出库单!$S$4:$S$4003,出库单!$D$4:$D$4003,$A991,出库单!$K$4:$K$4003,"自用消耗",出库单!$U$4:$U$4003,"正常",出库单!$C$4:$C$4003,"&gt;="&amp;账期起,出库单!$C$4:$C$4003,"&lt;="&amp;账期止),0))</f>
        <v/>
      </c>
      <c r="R991" s="27">
        <f>IF($A991="","",SUMIFS(出库单!$J$4:$J$4003,出库单!$D$4:$D$4003,$A991,出库单!$K$4:$K$4003,"对外销售",出库单!$U$4:$U$4003,"正常",出库单!$C$4:$C$4003,"&gt;="&amp;账期起,出库单!$C$4:$C$4003,"&lt;="&amp;账期止))</f>
        <v/>
      </c>
      <c r="S991" s="26">
        <f>IF($A991="","",ROUND(SUMIFS(出库单!$S$4:$S$4003,出库单!$D$4:$D$4003,$A991,出库单!$K$4:$K$4003,"对外销售",出库单!$U$4:$U$4003,"正常",出库单!$C$4:$C$4003,"&gt;="&amp;账期起,出库单!$C$4:$C$4003,"&lt;="&amp;账期止),0))</f>
        <v/>
      </c>
      <c r="T991" s="27">
        <f>IF($A991="","",SUMIFS(出库单!$J$4:$J$4003,出库单!$D$4:$D$4003,$A991,出库单!$K$4:$K$4003,"盘亏",出库单!$U$4:$U$4003,"正常",出库单!$C$4:$C$4003,"&gt;="&amp;账期起,出库单!$C$4:$C$4003,"&lt;="&amp;账期止))</f>
        <v/>
      </c>
      <c r="U991" s="26">
        <f>IF($A991="","",ROUND(SUMIFS(出库单!$S$4:$S$4003,出库单!$D$4:$D$4003,$A991,出库单!$K$4:$K$4003,"盘亏",出库单!$U$4:$U$4003,"正常",出库单!$C$4:$C$4003,"&gt;="&amp;账期起,出库单!$C$4:$C$4003,"&lt;="&amp;账期止),0))</f>
        <v/>
      </c>
      <c r="V991" s="27">
        <f>IF($A991="","",SUMIFS(出库单!$J$4:$J$4003,出库单!$D$4:$D$4003,$A991,出库单!$K$4:$K$4003,"退货给供应商",出库单!$U$4:$U$4003,"正常",出库单!$C$4:$C$4003,"&gt;="&amp;账期起,出库单!$C$4:$C$4003,"&lt;="&amp;账期止))</f>
        <v/>
      </c>
      <c r="W991" s="26">
        <f>IF($A991="","",ROUND(SUMIFS(出库单!$S$4:$S$4003,出库单!$D$4:$D$4003,$A991,出库单!$K$4:$K$4003,"退货给供应商",出库单!$U$4:$U$4003,"正常",出库单!$C$4:$C$4003,"&gt;="&amp;账期起,出库单!$C$4:$C$4003,"&lt;="&amp;账期止),0))</f>
        <v/>
      </c>
      <c r="X991" s="27">
        <f>IF($A991="","",ROUND(N($G991)+$I991+$L991+$N991-$P991-$R991-$T991-$V991,3))</f>
        <v/>
      </c>
      <c r="Y991" s="26">
        <f>IF($A991="","",ROUND(N($H991)+$J991+$M991+$O991-$Q991-$S991-$U991-$W991,0))</f>
        <v/>
      </c>
      <c r="Z991" s="24">
        <f>IF($A991="","",IF(COUNTIFS(入库单!$G$4:$G$2503,$A991,入库单!$Y$4:$Y$2503,"待补价")+COUNTIFS(入库单!$G$4:$G$2503,$A991,入库单!$Y$4:$Y$2503,"暂估")&gt;0,"不可信","可信"))</f>
        <v/>
      </c>
      <c r="AA991" s="24">
        <f>IF($A991="","",IF($X991&lt;-0.001,"※账面负库存，查一下是不是漏记入库",IF(AND(ROUND($X991,3)=0,ABS($Y991)&gt;1),"※数量已经是 0，金额还挂着 "&amp;TEXT($Y991,"#,##0")&amp;" 先令",IF(AND($X991&gt;0,$Y991&lt;=0,$K991=0),"※有数量没金额（这个物料一直没填过进价）",IF($Z991="不可信","△成本含待补价/暂估，毛利仅供参考","")))))</f>
        <v/>
      </c>
    </row>
    <row r="992">
      <c r="A992" s="24">
        <f>IF(物料档案!$A991="","",物料档案!$A991)</f>
        <v/>
      </c>
      <c r="B992" s="24">
        <f>IF($A992="","",IFERROR(VLOOKUP($A992,物料档案!$A$4:$P$1203,3,0),""))</f>
        <v/>
      </c>
      <c r="C992" s="24">
        <f>IF($A992="","",IFERROR(VLOOKUP($A992,物料档案!$A$4:$P$1203,4,0),""))</f>
        <v/>
      </c>
      <c r="D992" s="24">
        <f>IF($A992="","",IFERROR(VLOOKUP($A992,物料档案!$A$4:$P$1203,5,0),""))</f>
        <v/>
      </c>
      <c r="E992" s="24">
        <f>IF($A992="","",IFERROR(VLOOKUP($A992,物料档案!$A$4:$P$1203,2,0),""))</f>
        <v/>
      </c>
      <c r="F992" s="24">
        <f>IF($A992="","",IFERROR(VLOOKUP($A992,物料档案!$A$4:$P$1203,6,0),""))</f>
        <v/>
      </c>
      <c r="G992" s="23" t="n"/>
      <c r="H992" s="32" t="n"/>
      <c r="I992" s="27">
        <f>IF($A992="","",SUMIFS(入库单!$K$4:$K$2503,入库单!$G$4:$G$2503,$A992,入库单!$X$4:$X$2503,"采购入库",入库单!$Z$4:$Z$2503,"正常",入库单!$C$4:$C$2503,"&gt;="&amp;账期起,入库单!$C$4:$C$2503,"&lt;="&amp;账期止))</f>
        <v/>
      </c>
      <c r="J992" s="26">
        <f>IF($A992="","",SUMIFS(入库单!$V$4:$V$2503,入库单!$G$4:$G$2503,$A992,入库单!$X$4:$X$2503,"采购入库",入库单!$Z$4:$Z$2503,"正常",入库单!$C$4:$C$2503,"&gt;="&amp;账期起,入库单!$C$4:$C$2503,"&lt;="&amp;账期止))</f>
        <v/>
      </c>
      <c r="K992" s="26">
        <f>IF($A992="","",IFERROR(ROUND((N($H992)+N($J992))/(N($G992)+N($I992)),2),0))</f>
        <v/>
      </c>
      <c r="L992" s="27">
        <f>IF($A992="","",SUMIFS(入库单!$K$4:$K$2503,入库单!$G$4:$G$2503,$A992,入库单!$X$4:$X$2503,"盘盈",入库单!$Z$4:$Z$2503,"正常",入库单!$C$4:$C$2503,"&gt;="&amp;账期起,入库单!$C$4:$C$2503,"&lt;="&amp;账期止))</f>
        <v/>
      </c>
      <c r="M992" s="26">
        <f>IF($A992="","",ROUND($L992*$K992,0))</f>
        <v/>
      </c>
      <c r="N992" s="27">
        <f>IF($A992="","",SUMIFS(入库单!$K$4:$K$2503,入库单!$G$4:$G$2503,$A992,入库单!$X$4:$X$2503,"矿区退库",入库单!$Z$4:$Z$2503,"正常",入库单!$C$4:$C$2503,"&gt;="&amp;账期起,入库单!$C$4:$C$2503,"&lt;="&amp;账期止))</f>
        <v/>
      </c>
      <c r="O992" s="26">
        <f>IF($A992="","",ROUND($N992*$K992,0))</f>
        <v/>
      </c>
      <c r="P992" s="27">
        <f>IF($A992="","",SUMIFS(出库单!$J$4:$J$4003,出库单!$D$4:$D$4003,$A992,出库单!$K$4:$K$4003,"自用消耗",出库单!$U$4:$U$4003,"正常",出库单!$C$4:$C$4003,"&gt;="&amp;账期起,出库单!$C$4:$C$4003,"&lt;="&amp;账期止))</f>
        <v/>
      </c>
      <c r="Q992" s="26">
        <f>IF($A992="","",ROUND(SUMIFS(出库单!$S$4:$S$4003,出库单!$D$4:$D$4003,$A992,出库单!$K$4:$K$4003,"自用消耗",出库单!$U$4:$U$4003,"正常",出库单!$C$4:$C$4003,"&gt;="&amp;账期起,出库单!$C$4:$C$4003,"&lt;="&amp;账期止),0))</f>
        <v/>
      </c>
      <c r="R992" s="27">
        <f>IF($A992="","",SUMIFS(出库单!$J$4:$J$4003,出库单!$D$4:$D$4003,$A992,出库单!$K$4:$K$4003,"对外销售",出库单!$U$4:$U$4003,"正常",出库单!$C$4:$C$4003,"&gt;="&amp;账期起,出库单!$C$4:$C$4003,"&lt;="&amp;账期止))</f>
        <v/>
      </c>
      <c r="S992" s="26">
        <f>IF($A992="","",ROUND(SUMIFS(出库单!$S$4:$S$4003,出库单!$D$4:$D$4003,$A992,出库单!$K$4:$K$4003,"对外销售",出库单!$U$4:$U$4003,"正常",出库单!$C$4:$C$4003,"&gt;="&amp;账期起,出库单!$C$4:$C$4003,"&lt;="&amp;账期止),0))</f>
        <v/>
      </c>
      <c r="T992" s="27">
        <f>IF($A992="","",SUMIFS(出库单!$J$4:$J$4003,出库单!$D$4:$D$4003,$A992,出库单!$K$4:$K$4003,"盘亏",出库单!$U$4:$U$4003,"正常",出库单!$C$4:$C$4003,"&gt;="&amp;账期起,出库单!$C$4:$C$4003,"&lt;="&amp;账期止))</f>
        <v/>
      </c>
      <c r="U992" s="26">
        <f>IF($A992="","",ROUND(SUMIFS(出库单!$S$4:$S$4003,出库单!$D$4:$D$4003,$A992,出库单!$K$4:$K$4003,"盘亏",出库单!$U$4:$U$4003,"正常",出库单!$C$4:$C$4003,"&gt;="&amp;账期起,出库单!$C$4:$C$4003,"&lt;="&amp;账期止),0))</f>
        <v/>
      </c>
      <c r="V992" s="27">
        <f>IF($A992="","",SUMIFS(出库单!$J$4:$J$4003,出库单!$D$4:$D$4003,$A992,出库单!$K$4:$K$4003,"退货给供应商",出库单!$U$4:$U$4003,"正常",出库单!$C$4:$C$4003,"&gt;="&amp;账期起,出库单!$C$4:$C$4003,"&lt;="&amp;账期止))</f>
        <v/>
      </c>
      <c r="W992" s="26">
        <f>IF($A992="","",ROUND(SUMIFS(出库单!$S$4:$S$4003,出库单!$D$4:$D$4003,$A992,出库单!$K$4:$K$4003,"退货给供应商",出库单!$U$4:$U$4003,"正常",出库单!$C$4:$C$4003,"&gt;="&amp;账期起,出库单!$C$4:$C$4003,"&lt;="&amp;账期止),0))</f>
        <v/>
      </c>
      <c r="X992" s="27">
        <f>IF($A992="","",ROUND(N($G992)+$I992+$L992+$N992-$P992-$R992-$T992-$V992,3))</f>
        <v/>
      </c>
      <c r="Y992" s="26">
        <f>IF($A992="","",ROUND(N($H992)+$J992+$M992+$O992-$Q992-$S992-$U992-$W992,0))</f>
        <v/>
      </c>
      <c r="Z992" s="24">
        <f>IF($A992="","",IF(COUNTIFS(入库单!$G$4:$G$2503,$A992,入库单!$Y$4:$Y$2503,"待补价")+COUNTIFS(入库单!$G$4:$G$2503,$A992,入库单!$Y$4:$Y$2503,"暂估")&gt;0,"不可信","可信"))</f>
        <v/>
      </c>
      <c r="AA992" s="24">
        <f>IF($A992="","",IF($X992&lt;-0.001,"※账面负库存，查一下是不是漏记入库",IF(AND(ROUND($X992,3)=0,ABS($Y992)&gt;1),"※数量已经是 0，金额还挂着 "&amp;TEXT($Y992,"#,##0")&amp;" 先令",IF(AND($X992&gt;0,$Y992&lt;=0,$K992=0),"※有数量没金额（这个物料一直没填过进价）",IF($Z992="不可信","△成本含待补价/暂估，毛利仅供参考","")))))</f>
        <v/>
      </c>
    </row>
    <row r="993">
      <c r="A993" s="24">
        <f>IF(物料档案!$A992="","",物料档案!$A992)</f>
        <v/>
      </c>
      <c r="B993" s="24">
        <f>IF($A993="","",IFERROR(VLOOKUP($A993,物料档案!$A$4:$P$1203,3,0),""))</f>
        <v/>
      </c>
      <c r="C993" s="24">
        <f>IF($A993="","",IFERROR(VLOOKUP($A993,物料档案!$A$4:$P$1203,4,0),""))</f>
        <v/>
      </c>
      <c r="D993" s="24">
        <f>IF($A993="","",IFERROR(VLOOKUP($A993,物料档案!$A$4:$P$1203,5,0),""))</f>
        <v/>
      </c>
      <c r="E993" s="24">
        <f>IF($A993="","",IFERROR(VLOOKUP($A993,物料档案!$A$4:$P$1203,2,0),""))</f>
        <v/>
      </c>
      <c r="F993" s="24">
        <f>IF($A993="","",IFERROR(VLOOKUP($A993,物料档案!$A$4:$P$1203,6,0),""))</f>
        <v/>
      </c>
      <c r="G993" s="23" t="n"/>
      <c r="H993" s="32" t="n"/>
      <c r="I993" s="27">
        <f>IF($A993="","",SUMIFS(入库单!$K$4:$K$2503,入库单!$G$4:$G$2503,$A993,入库单!$X$4:$X$2503,"采购入库",入库单!$Z$4:$Z$2503,"正常",入库单!$C$4:$C$2503,"&gt;="&amp;账期起,入库单!$C$4:$C$2503,"&lt;="&amp;账期止))</f>
        <v/>
      </c>
      <c r="J993" s="26">
        <f>IF($A993="","",SUMIFS(入库单!$V$4:$V$2503,入库单!$G$4:$G$2503,$A993,入库单!$X$4:$X$2503,"采购入库",入库单!$Z$4:$Z$2503,"正常",入库单!$C$4:$C$2503,"&gt;="&amp;账期起,入库单!$C$4:$C$2503,"&lt;="&amp;账期止))</f>
        <v/>
      </c>
      <c r="K993" s="26">
        <f>IF($A993="","",IFERROR(ROUND((N($H993)+N($J993))/(N($G993)+N($I993)),2),0))</f>
        <v/>
      </c>
      <c r="L993" s="27">
        <f>IF($A993="","",SUMIFS(入库单!$K$4:$K$2503,入库单!$G$4:$G$2503,$A993,入库单!$X$4:$X$2503,"盘盈",入库单!$Z$4:$Z$2503,"正常",入库单!$C$4:$C$2503,"&gt;="&amp;账期起,入库单!$C$4:$C$2503,"&lt;="&amp;账期止))</f>
        <v/>
      </c>
      <c r="M993" s="26">
        <f>IF($A993="","",ROUND($L993*$K993,0))</f>
        <v/>
      </c>
      <c r="N993" s="27">
        <f>IF($A993="","",SUMIFS(入库单!$K$4:$K$2503,入库单!$G$4:$G$2503,$A993,入库单!$X$4:$X$2503,"矿区退库",入库单!$Z$4:$Z$2503,"正常",入库单!$C$4:$C$2503,"&gt;="&amp;账期起,入库单!$C$4:$C$2503,"&lt;="&amp;账期止))</f>
        <v/>
      </c>
      <c r="O993" s="26">
        <f>IF($A993="","",ROUND($N993*$K993,0))</f>
        <v/>
      </c>
      <c r="P993" s="27">
        <f>IF($A993="","",SUMIFS(出库单!$J$4:$J$4003,出库单!$D$4:$D$4003,$A993,出库单!$K$4:$K$4003,"自用消耗",出库单!$U$4:$U$4003,"正常",出库单!$C$4:$C$4003,"&gt;="&amp;账期起,出库单!$C$4:$C$4003,"&lt;="&amp;账期止))</f>
        <v/>
      </c>
      <c r="Q993" s="26">
        <f>IF($A993="","",ROUND(SUMIFS(出库单!$S$4:$S$4003,出库单!$D$4:$D$4003,$A993,出库单!$K$4:$K$4003,"自用消耗",出库单!$U$4:$U$4003,"正常",出库单!$C$4:$C$4003,"&gt;="&amp;账期起,出库单!$C$4:$C$4003,"&lt;="&amp;账期止),0))</f>
        <v/>
      </c>
      <c r="R993" s="27">
        <f>IF($A993="","",SUMIFS(出库单!$J$4:$J$4003,出库单!$D$4:$D$4003,$A993,出库单!$K$4:$K$4003,"对外销售",出库单!$U$4:$U$4003,"正常",出库单!$C$4:$C$4003,"&gt;="&amp;账期起,出库单!$C$4:$C$4003,"&lt;="&amp;账期止))</f>
        <v/>
      </c>
      <c r="S993" s="26">
        <f>IF($A993="","",ROUND(SUMIFS(出库单!$S$4:$S$4003,出库单!$D$4:$D$4003,$A993,出库单!$K$4:$K$4003,"对外销售",出库单!$U$4:$U$4003,"正常",出库单!$C$4:$C$4003,"&gt;="&amp;账期起,出库单!$C$4:$C$4003,"&lt;="&amp;账期止),0))</f>
        <v/>
      </c>
      <c r="T993" s="27">
        <f>IF($A993="","",SUMIFS(出库单!$J$4:$J$4003,出库单!$D$4:$D$4003,$A993,出库单!$K$4:$K$4003,"盘亏",出库单!$U$4:$U$4003,"正常",出库单!$C$4:$C$4003,"&gt;="&amp;账期起,出库单!$C$4:$C$4003,"&lt;="&amp;账期止))</f>
        <v/>
      </c>
      <c r="U993" s="26">
        <f>IF($A993="","",ROUND(SUMIFS(出库单!$S$4:$S$4003,出库单!$D$4:$D$4003,$A993,出库单!$K$4:$K$4003,"盘亏",出库单!$U$4:$U$4003,"正常",出库单!$C$4:$C$4003,"&gt;="&amp;账期起,出库单!$C$4:$C$4003,"&lt;="&amp;账期止),0))</f>
        <v/>
      </c>
      <c r="V993" s="27">
        <f>IF($A993="","",SUMIFS(出库单!$J$4:$J$4003,出库单!$D$4:$D$4003,$A993,出库单!$K$4:$K$4003,"退货给供应商",出库单!$U$4:$U$4003,"正常",出库单!$C$4:$C$4003,"&gt;="&amp;账期起,出库单!$C$4:$C$4003,"&lt;="&amp;账期止))</f>
        <v/>
      </c>
      <c r="W993" s="26">
        <f>IF($A993="","",ROUND(SUMIFS(出库单!$S$4:$S$4003,出库单!$D$4:$D$4003,$A993,出库单!$K$4:$K$4003,"退货给供应商",出库单!$U$4:$U$4003,"正常",出库单!$C$4:$C$4003,"&gt;="&amp;账期起,出库单!$C$4:$C$4003,"&lt;="&amp;账期止),0))</f>
        <v/>
      </c>
      <c r="X993" s="27">
        <f>IF($A993="","",ROUND(N($G993)+$I993+$L993+$N993-$P993-$R993-$T993-$V993,3))</f>
        <v/>
      </c>
      <c r="Y993" s="26">
        <f>IF($A993="","",ROUND(N($H993)+$J993+$M993+$O993-$Q993-$S993-$U993-$W993,0))</f>
        <v/>
      </c>
      <c r="Z993" s="24">
        <f>IF($A993="","",IF(COUNTIFS(入库单!$G$4:$G$2503,$A993,入库单!$Y$4:$Y$2503,"待补价")+COUNTIFS(入库单!$G$4:$G$2503,$A993,入库单!$Y$4:$Y$2503,"暂估")&gt;0,"不可信","可信"))</f>
        <v/>
      </c>
      <c r="AA993" s="24">
        <f>IF($A993="","",IF($X993&lt;-0.001,"※账面负库存，查一下是不是漏记入库",IF(AND(ROUND($X993,3)=0,ABS($Y993)&gt;1),"※数量已经是 0，金额还挂着 "&amp;TEXT($Y993,"#,##0")&amp;" 先令",IF(AND($X993&gt;0,$Y993&lt;=0,$K993=0),"※有数量没金额（这个物料一直没填过进价）",IF($Z993="不可信","△成本含待补价/暂估，毛利仅供参考","")))))</f>
        <v/>
      </c>
    </row>
    <row r="994">
      <c r="A994" s="24">
        <f>IF(物料档案!$A993="","",物料档案!$A993)</f>
        <v/>
      </c>
      <c r="B994" s="24">
        <f>IF($A994="","",IFERROR(VLOOKUP($A994,物料档案!$A$4:$P$1203,3,0),""))</f>
        <v/>
      </c>
      <c r="C994" s="24">
        <f>IF($A994="","",IFERROR(VLOOKUP($A994,物料档案!$A$4:$P$1203,4,0),""))</f>
        <v/>
      </c>
      <c r="D994" s="24">
        <f>IF($A994="","",IFERROR(VLOOKUP($A994,物料档案!$A$4:$P$1203,5,0),""))</f>
        <v/>
      </c>
      <c r="E994" s="24">
        <f>IF($A994="","",IFERROR(VLOOKUP($A994,物料档案!$A$4:$P$1203,2,0),""))</f>
        <v/>
      </c>
      <c r="F994" s="24">
        <f>IF($A994="","",IFERROR(VLOOKUP($A994,物料档案!$A$4:$P$1203,6,0),""))</f>
        <v/>
      </c>
      <c r="G994" s="23" t="n"/>
      <c r="H994" s="32" t="n"/>
      <c r="I994" s="27">
        <f>IF($A994="","",SUMIFS(入库单!$K$4:$K$2503,入库单!$G$4:$G$2503,$A994,入库单!$X$4:$X$2503,"采购入库",入库单!$Z$4:$Z$2503,"正常",入库单!$C$4:$C$2503,"&gt;="&amp;账期起,入库单!$C$4:$C$2503,"&lt;="&amp;账期止))</f>
        <v/>
      </c>
      <c r="J994" s="26">
        <f>IF($A994="","",SUMIFS(入库单!$V$4:$V$2503,入库单!$G$4:$G$2503,$A994,入库单!$X$4:$X$2503,"采购入库",入库单!$Z$4:$Z$2503,"正常",入库单!$C$4:$C$2503,"&gt;="&amp;账期起,入库单!$C$4:$C$2503,"&lt;="&amp;账期止))</f>
        <v/>
      </c>
      <c r="K994" s="26">
        <f>IF($A994="","",IFERROR(ROUND((N($H994)+N($J994))/(N($G994)+N($I994)),2),0))</f>
        <v/>
      </c>
      <c r="L994" s="27">
        <f>IF($A994="","",SUMIFS(入库单!$K$4:$K$2503,入库单!$G$4:$G$2503,$A994,入库单!$X$4:$X$2503,"盘盈",入库单!$Z$4:$Z$2503,"正常",入库单!$C$4:$C$2503,"&gt;="&amp;账期起,入库单!$C$4:$C$2503,"&lt;="&amp;账期止))</f>
        <v/>
      </c>
      <c r="M994" s="26">
        <f>IF($A994="","",ROUND($L994*$K994,0))</f>
        <v/>
      </c>
      <c r="N994" s="27">
        <f>IF($A994="","",SUMIFS(入库单!$K$4:$K$2503,入库单!$G$4:$G$2503,$A994,入库单!$X$4:$X$2503,"矿区退库",入库单!$Z$4:$Z$2503,"正常",入库单!$C$4:$C$2503,"&gt;="&amp;账期起,入库单!$C$4:$C$2503,"&lt;="&amp;账期止))</f>
        <v/>
      </c>
      <c r="O994" s="26">
        <f>IF($A994="","",ROUND($N994*$K994,0))</f>
        <v/>
      </c>
      <c r="P994" s="27">
        <f>IF($A994="","",SUMIFS(出库单!$J$4:$J$4003,出库单!$D$4:$D$4003,$A994,出库单!$K$4:$K$4003,"自用消耗",出库单!$U$4:$U$4003,"正常",出库单!$C$4:$C$4003,"&gt;="&amp;账期起,出库单!$C$4:$C$4003,"&lt;="&amp;账期止))</f>
        <v/>
      </c>
      <c r="Q994" s="26">
        <f>IF($A994="","",ROUND(SUMIFS(出库单!$S$4:$S$4003,出库单!$D$4:$D$4003,$A994,出库单!$K$4:$K$4003,"自用消耗",出库单!$U$4:$U$4003,"正常",出库单!$C$4:$C$4003,"&gt;="&amp;账期起,出库单!$C$4:$C$4003,"&lt;="&amp;账期止),0))</f>
        <v/>
      </c>
      <c r="R994" s="27">
        <f>IF($A994="","",SUMIFS(出库单!$J$4:$J$4003,出库单!$D$4:$D$4003,$A994,出库单!$K$4:$K$4003,"对外销售",出库单!$U$4:$U$4003,"正常",出库单!$C$4:$C$4003,"&gt;="&amp;账期起,出库单!$C$4:$C$4003,"&lt;="&amp;账期止))</f>
        <v/>
      </c>
      <c r="S994" s="26">
        <f>IF($A994="","",ROUND(SUMIFS(出库单!$S$4:$S$4003,出库单!$D$4:$D$4003,$A994,出库单!$K$4:$K$4003,"对外销售",出库单!$U$4:$U$4003,"正常",出库单!$C$4:$C$4003,"&gt;="&amp;账期起,出库单!$C$4:$C$4003,"&lt;="&amp;账期止),0))</f>
        <v/>
      </c>
      <c r="T994" s="27">
        <f>IF($A994="","",SUMIFS(出库单!$J$4:$J$4003,出库单!$D$4:$D$4003,$A994,出库单!$K$4:$K$4003,"盘亏",出库单!$U$4:$U$4003,"正常",出库单!$C$4:$C$4003,"&gt;="&amp;账期起,出库单!$C$4:$C$4003,"&lt;="&amp;账期止))</f>
        <v/>
      </c>
      <c r="U994" s="26">
        <f>IF($A994="","",ROUND(SUMIFS(出库单!$S$4:$S$4003,出库单!$D$4:$D$4003,$A994,出库单!$K$4:$K$4003,"盘亏",出库单!$U$4:$U$4003,"正常",出库单!$C$4:$C$4003,"&gt;="&amp;账期起,出库单!$C$4:$C$4003,"&lt;="&amp;账期止),0))</f>
        <v/>
      </c>
      <c r="V994" s="27">
        <f>IF($A994="","",SUMIFS(出库单!$J$4:$J$4003,出库单!$D$4:$D$4003,$A994,出库单!$K$4:$K$4003,"退货给供应商",出库单!$U$4:$U$4003,"正常",出库单!$C$4:$C$4003,"&gt;="&amp;账期起,出库单!$C$4:$C$4003,"&lt;="&amp;账期止))</f>
        <v/>
      </c>
      <c r="W994" s="26">
        <f>IF($A994="","",ROUND(SUMIFS(出库单!$S$4:$S$4003,出库单!$D$4:$D$4003,$A994,出库单!$K$4:$K$4003,"退货给供应商",出库单!$U$4:$U$4003,"正常",出库单!$C$4:$C$4003,"&gt;="&amp;账期起,出库单!$C$4:$C$4003,"&lt;="&amp;账期止),0))</f>
        <v/>
      </c>
      <c r="X994" s="27">
        <f>IF($A994="","",ROUND(N($G994)+$I994+$L994+$N994-$P994-$R994-$T994-$V994,3))</f>
        <v/>
      </c>
      <c r="Y994" s="26">
        <f>IF($A994="","",ROUND(N($H994)+$J994+$M994+$O994-$Q994-$S994-$U994-$W994,0))</f>
        <v/>
      </c>
      <c r="Z994" s="24">
        <f>IF($A994="","",IF(COUNTIFS(入库单!$G$4:$G$2503,$A994,入库单!$Y$4:$Y$2503,"待补价")+COUNTIFS(入库单!$G$4:$G$2503,$A994,入库单!$Y$4:$Y$2503,"暂估")&gt;0,"不可信","可信"))</f>
        <v/>
      </c>
      <c r="AA994" s="24">
        <f>IF($A994="","",IF($X994&lt;-0.001,"※账面负库存，查一下是不是漏记入库",IF(AND(ROUND($X994,3)=0,ABS($Y994)&gt;1),"※数量已经是 0，金额还挂着 "&amp;TEXT($Y994,"#,##0")&amp;" 先令",IF(AND($X994&gt;0,$Y994&lt;=0,$K994=0),"※有数量没金额（这个物料一直没填过进价）",IF($Z994="不可信","△成本含待补价/暂估，毛利仅供参考","")))))</f>
        <v/>
      </c>
    </row>
    <row r="995">
      <c r="A995" s="24">
        <f>IF(物料档案!$A994="","",物料档案!$A994)</f>
        <v/>
      </c>
      <c r="B995" s="24">
        <f>IF($A995="","",IFERROR(VLOOKUP($A995,物料档案!$A$4:$P$1203,3,0),""))</f>
        <v/>
      </c>
      <c r="C995" s="24">
        <f>IF($A995="","",IFERROR(VLOOKUP($A995,物料档案!$A$4:$P$1203,4,0),""))</f>
        <v/>
      </c>
      <c r="D995" s="24">
        <f>IF($A995="","",IFERROR(VLOOKUP($A995,物料档案!$A$4:$P$1203,5,0),""))</f>
        <v/>
      </c>
      <c r="E995" s="24">
        <f>IF($A995="","",IFERROR(VLOOKUP($A995,物料档案!$A$4:$P$1203,2,0),""))</f>
        <v/>
      </c>
      <c r="F995" s="24">
        <f>IF($A995="","",IFERROR(VLOOKUP($A995,物料档案!$A$4:$P$1203,6,0),""))</f>
        <v/>
      </c>
      <c r="G995" s="23" t="n"/>
      <c r="H995" s="32" t="n"/>
      <c r="I995" s="27">
        <f>IF($A995="","",SUMIFS(入库单!$K$4:$K$2503,入库单!$G$4:$G$2503,$A995,入库单!$X$4:$X$2503,"采购入库",入库单!$Z$4:$Z$2503,"正常",入库单!$C$4:$C$2503,"&gt;="&amp;账期起,入库单!$C$4:$C$2503,"&lt;="&amp;账期止))</f>
        <v/>
      </c>
      <c r="J995" s="26">
        <f>IF($A995="","",SUMIFS(入库单!$V$4:$V$2503,入库单!$G$4:$G$2503,$A995,入库单!$X$4:$X$2503,"采购入库",入库单!$Z$4:$Z$2503,"正常",入库单!$C$4:$C$2503,"&gt;="&amp;账期起,入库单!$C$4:$C$2503,"&lt;="&amp;账期止))</f>
        <v/>
      </c>
      <c r="K995" s="26">
        <f>IF($A995="","",IFERROR(ROUND((N($H995)+N($J995))/(N($G995)+N($I995)),2),0))</f>
        <v/>
      </c>
      <c r="L995" s="27">
        <f>IF($A995="","",SUMIFS(入库单!$K$4:$K$2503,入库单!$G$4:$G$2503,$A995,入库单!$X$4:$X$2503,"盘盈",入库单!$Z$4:$Z$2503,"正常",入库单!$C$4:$C$2503,"&gt;="&amp;账期起,入库单!$C$4:$C$2503,"&lt;="&amp;账期止))</f>
        <v/>
      </c>
      <c r="M995" s="26">
        <f>IF($A995="","",ROUND($L995*$K995,0))</f>
        <v/>
      </c>
      <c r="N995" s="27">
        <f>IF($A995="","",SUMIFS(入库单!$K$4:$K$2503,入库单!$G$4:$G$2503,$A995,入库单!$X$4:$X$2503,"矿区退库",入库单!$Z$4:$Z$2503,"正常",入库单!$C$4:$C$2503,"&gt;="&amp;账期起,入库单!$C$4:$C$2503,"&lt;="&amp;账期止))</f>
        <v/>
      </c>
      <c r="O995" s="26">
        <f>IF($A995="","",ROUND($N995*$K995,0))</f>
        <v/>
      </c>
      <c r="P995" s="27">
        <f>IF($A995="","",SUMIFS(出库单!$J$4:$J$4003,出库单!$D$4:$D$4003,$A995,出库单!$K$4:$K$4003,"自用消耗",出库单!$U$4:$U$4003,"正常",出库单!$C$4:$C$4003,"&gt;="&amp;账期起,出库单!$C$4:$C$4003,"&lt;="&amp;账期止))</f>
        <v/>
      </c>
      <c r="Q995" s="26">
        <f>IF($A995="","",ROUND(SUMIFS(出库单!$S$4:$S$4003,出库单!$D$4:$D$4003,$A995,出库单!$K$4:$K$4003,"自用消耗",出库单!$U$4:$U$4003,"正常",出库单!$C$4:$C$4003,"&gt;="&amp;账期起,出库单!$C$4:$C$4003,"&lt;="&amp;账期止),0))</f>
        <v/>
      </c>
      <c r="R995" s="27">
        <f>IF($A995="","",SUMIFS(出库单!$J$4:$J$4003,出库单!$D$4:$D$4003,$A995,出库单!$K$4:$K$4003,"对外销售",出库单!$U$4:$U$4003,"正常",出库单!$C$4:$C$4003,"&gt;="&amp;账期起,出库单!$C$4:$C$4003,"&lt;="&amp;账期止))</f>
        <v/>
      </c>
      <c r="S995" s="26">
        <f>IF($A995="","",ROUND(SUMIFS(出库单!$S$4:$S$4003,出库单!$D$4:$D$4003,$A995,出库单!$K$4:$K$4003,"对外销售",出库单!$U$4:$U$4003,"正常",出库单!$C$4:$C$4003,"&gt;="&amp;账期起,出库单!$C$4:$C$4003,"&lt;="&amp;账期止),0))</f>
        <v/>
      </c>
      <c r="T995" s="27">
        <f>IF($A995="","",SUMIFS(出库单!$J$4:$J$4003,出库单!$D$4:$D$4003,$A995,出库单!$K$4:$K$4003,"盘亏",出库单!$U$4:$U$4003,"正常",出库单!$C$4:$C$4003,"&gt;="&amp;账期起,出库单!$C$4:$C$4003,"&lt;="&amp;账期止))</f>
        <v/>
      </c>
      <c r="U995" s="26">
        <f>IF($A995="","",ROUND(SUMIFS(出库单!$S$4:$S$4003,出库单!$D$4:$D$4003,$A995,出库单!$K$4:$K$4003,"盘亏",出库单!$U$4:$U$4003,"正常",出库单!$C$4:$C$4003,"&gt;="&amp;账期起,出库单!$C$4:$C$4003,"&lt;="&amp;账期止),0))</f>
        <v/>
      </c>
      <c r="V995" s="27">
        <f>IF($A995="","",SUMIFS(出库单!$J$4:$J$4003,出库单!$D$4:$D$4003,$A995,出库单!$K$4:$K$4003,"退货给供应商",出库单!$U$4:$U$4003,"正常",出库单!$C$4:$C$4003,"&gt;="&amp;账期起,出库单!$C$4:$C$4003,"&lt;="&amp;账期止))</f>
        <v/>
      </c>
      <c r="W995" s="26">
        <f>IF($A995="","",ROUND(SUMIFS(出库单!$S$4:$S$4003,出库单!$D$4:$D$4003,$A995,出库单!$K$4:$K$4003,"退货给供应商",出库单!$U$4:$U$4003,"正常",出库单!$C$4:$C$4003,"&gt;="&amp;账期起,出库单!$C$4:$C$4003,"&lt;="&amp;账期止),0))</f>
        <v/>
      </c>
      <c r="X995" s="27">
        <f>IF($A995="","",ROUND(N($G995)+$I995+$L995+$N995-$P995-$R995-$T995-$V995,3))</f>
        <v/>
      </c>
      <c r="Y995" s="26">
        <f>IF($A995="","",ROUND(N($H995)+$J995+$M995+$O995-$Q995-$S995-$U995-$W995,0))</f>
        <v/>
      </c>
      <c r="Z995" s="24">
        <f>IF($A995="","",IF(COUNTIFS(入库单!$G$4:$G$2503,$A995,入库单!$Y$4:$Y$2503,"待补价")+COUNTIFS(入库单!$G$4:$G$2503,$A995,入库单!$Y$4:$Y$2503,"暂估")&gt;0,"不可信","可信"))</f>
        <v/>
      </c>
      <c r="AA995" s="24">
        <f>IF($A995="","",IF($X995&lt;-0.001,"※账面负库存，查一下是不是漏记入库",IF(AND(ROUND($X995,3)=0,ABS($Y995)&gt;1),"※数量已经是 0，金额还挂着 "&amp;TEXT($Y995,"#,##0")&amp;" 先令",IF(AND($X995&gt;0,$Y995&lt;=0,$K995=0),"※有数量没金额（这个物料一直没填过进价）",IF($Z995="不可信","△成本含待补价/暂估，毛利仅供参考","")))))</f>
        <v/>
      </c>
    </row>
    <row r="996">
      <c r="A996" s="24">
        <f>IF(物料档案!$A995="","",物料档案!$A995)</f>
        <v/>
      </c>
      <c r="B996" s="24">
        <f>IF($A996="","",IFERROR(VLOOKUP($A996,物料档案!$A$4:$P$1203,3,0),""))</f>
        <v/>
      </c>
      <c r="C996" s="24">
        <f>IF($A996="","",IFERROR(VLOOKUP($A996,物料档案!$A$4:$P$1203,4,0),""))</f>
        <v/>
      </c>
      <c r="D996" s="24">
        <f>IF($A996="","",IFERROR(VLOOKUP($A996,物料档案!$A$4:$P$1203,5,0),""))</f>
        <v/>
      </c>
      <c r="E996" s="24">
        <f>IF($A996="","",IFERROR(VLOOKUP($A996,物料档案!$A$4:$P$1203,2,0),""))</f>
        <v/>
      </c>
      <c r="F996" s="24">
        <f>IF($A996="","",IFERROR(VLOOKUP($A996,物料档案!$A$4:$P$1203,6,0),""))</f>
        <v/>
      </c>
      <c r="G996" s="23" t="n"/>
      <c r="H996" s="32" t="n"/>
      <c r="I996" s="27">
        <f>IF($A996="","",SUMIFS(入库单!$K$4:$K$2503,入库单!$G$4:$G$2503,$A996,入库单!$X$4:$X$2503,"采购入库",入库单!$Z$4:$Z$2503,"正常",入库单!$C$4:$C$2503,"&gt;="&amp;账期起,入库单!$C$4:$C$2503,"&lt;="&amp;账期止))</f>
        <v/>
      </c>
      <c r="J996" s="26">
        <f>IF($A996="","",SUMIFS(入库单!$V$4:$V$2503,入库单!$G$4:$G$2503,$A996,入库单!$X$4:$X$2503,"采购入库",入库单!$Z$4:$Z$2503,"正常",入库单!$C$4:$C$2503,"&gt;="&amp;账期起,入库单!$C$4:$C$2503,"&lt;="&amp;账期止))</f>
        <v/>
      </c>
      <c r="K996" s="26">
        <f>IF($A996="","",IFERROR(ROUND((N($H996)+N($J996))/(N($G996)+N($I996)),2),0))</f>
        <v/>
      </c>
      <c r="L996" s="27">
        <f>IF($A996="","",SUMIFS(入库单!$K$4:$K$2503,入库单!$G$4:$G$2503,$A996,入库单!$X$4:$X$2503,"盘盈",入库单!$Z$4:$Z$2503,"正常",入库单!$C$4:$C$2503,"&gt;="&amp;账期起,入库单!$C$4:$C$2503,"&lt;="&amp;账期止))</f>
        <v/>
      </c>
      <c r="M996" s="26">
        <f>IF($A996="","",ROUND($L996*$K996,0))</f>
        <v/>
      </c>
      <c r="N996" s="27">
        <f>IF($A996="","",SUMIFS(入库单!$K$4:$K$2503,入库单!$G$4:$G$2503,$A996,入库单!$X$4:$X$2503,"矿区退库",入库单!$Z$4:$Z$2503,"正常",入库单!$C$4:$C$2503,"&gt;="&amp;账期起,入库单!$C$4:$C$2503,"&lt;="&amp;账期止))</f>
        <v/>
      </c>
      <c r="O996" s="26">
        <f>IF($A996="","",ROUND($N996*$K996,0))</f>
        <v/>
      </c>
      <c r="P996" s="27">
        <f>IF($A996="","",SUMIFS(出库单!$J$4:$J$4003,出库单!$D$4:$D$4003,$A996,出库单!$K$4:$K$4003,"自用消耗",出库单!$U$4:$U$4003,"正常",出库单!$C$4:$C$4003,"&gt;="&amp;账期起,出库单!$C$4:$C$4003,"&lt;="&amp;账期止))</f>
        <v/>
      </c>
      <c r="Q996" s="26">
        <f>IF($A996="","",ROUND(SUMIFS(出库单!$S$4:$S$4003,出库单!$D$4:$D$4003,$A996,出库单!$K$4:$K$4003,"自用消耗",出库单!$U$4:$U$4003,"正常",出库单!$C$4:$C$4003,"&gt;="&amp;账期起,出库单!$C$4:$C$4003,"&lt;="&amp;账期止),0))</f>
        <v/>
      </c>
      <c r="R996" s="27">
        <f>IF($A996="","",SUMIFS(出库单!$J$4:$J$4003,出库单!$D$4:$D$4003,$A996,出库单!$K$4:$K$4003,"对外销售",出库单!$U$4:$U$4003,"正常",出库单!$C$4:$C$4003,"&gt;="&amp;账期起,出库单!$C$4:$C$4003,"&lt;="&amp;账期止))</f>
        <v/>
      </c>
      <c r="S996" s="26">
        <f>IF($A996="","",ROUND(SUMIFS(出库单!$S$4:$S$4003,出库单!$D$4:$D$4003,$A996,出库单!$K$4:$K$4003,"对外销售",出库单!$U$4:$U$4003,"正常",出库单!$C$4:$C$4003,"&gt;="&amp;账期起,出库单!$C$4:$C$4003,"&lt;="&amp;账期止),0))</f>
        <v/>
      </c>
      <c r="T996" s="27">
        <f>IF($A996="","",SUMIFS(出库单!$J$4:$J$4003,出库单!$D$4:$D$4003,$A996,出库单!$K$4:$K$4003,"盘亏",出库单!$U$4:$U$4003,"正常",出库单!$C$4:$C$4003,"&gt;="&amp;账期起,出库单!$C$4:$C$4003,"&lt;="&amp;账期止))</f>
        <v/>
      </c>
      <c r="U996" s="26">
        <f>IF($A996="","",ROUND(SUMIFS(出库单!$S$4:$S$4003,出库单!$D$4:$D$4003,$A996,出库单!$K$4:$K$4003,"盘亏",出库单!$U$4:$U$4003,"正常",出库单!$C$4:$C$4003,"&gt;="&amp;账期起,出库单!$C$4:$C$4003,"&lt;="&amp;账期止),0))</f>
        <v/>
      </c>
      <c r="V996" s="27">
        <f>IF($A996="","",SUMIFS(出库单!$J$4:$J$4003,出库单!$D$4:$D$4003,$A996,出库单!$K$4:$K$4003,"退货给供应商",出库单!$U$4:$U$4003,"正常",出库单!$C$4:$C$4003,"&gt;="&amp;账期起,出库单!$C$4:$C$4003,"&lt;="&amp;账期止))</f>
        <v/>
      </c>
      <c r="W996" s="26">
        <f>IF($A996="","",ROUND(SUMIFS(出库单!$S$4:$S$4003,出库单!$D$4:$D$4003,$A996,出库单!$K$4:$K$4003,"退货给供应商",出库单!$U$4:$U$4003,"正常",出库单!$C$4:$C$4003,"&gt;="&amp;账期起,出库单!$C$4:$C$4003,"&lt;="&amp;账期止),0))</f>
        <v/>
      </c>
      <c r="X996" s="27">
        <f>IF($A996="","",ROUND(N($G996)+$I996+$L996+$N996-$P996-$R996-$T996-$V996,3))</f>
        <v/>
      </c>
      <c r="Y996" s="26">
        <f>IF($A996="","",ROUND(N($H996)+$J996+$M996+$O996-$Q996-$S996-$U996-$W996,0))</f>
        <v/>
      </c>
      <c r="Z996" s="24">
        <f>IF($A996="","",IF(COUNTIFS(入库单!$G$4:$G$2503,$A996,入库单!$Y$4:$Y$2503,"待补价")+COUNTIFS(入库单!$G$4:$G$2503,$A996,入库单!$Y$4:$Y$2503,"暂估")&gt;0,"不可信","可信"))</f>
        <v/>
      </c>
      <c r="AA996" s="24">
        <f>IF($A996="","",IF($X996&lt;-0.001,"※账面负库存，查一下是不是漏记入库",IF(AND(ROUND($X996,3)=0,ABS($Y996)&gt;1),"※数量已经是 0，金额还挂着 "&amp;TEXT($Y996,"#,##0")&amp;" 先令",IF(AND($X996&gt;0,$Y996&lt;=0,$K996=0),"※有数量没金额（这个物料一直没填过进价）",IF($Z996="不可信","△成本含待补价/暂估，毛利仅供参考","")))))</f>
        <v/>
      </c>
    </row>
    <row r="997">
      <c r="A997" s="24">
        <f>IF(物料档案!$A996="","",物料档案!$A996)</f>
        <v/>
      </c>
      <c r="B997" s="24">
        <f>IF($A997="","",IFERROR(VLOOKUP($A997,物料档案!$A$4:$P$1203,3,0),""))</f>
        <v/>
      </c>
      <c r="C997" s="24">
        <f>IF($A997="","",IFERROR(VLOOKUP($A997,物料档案!$A$4:$P$1203,4,0),""))</f>
        <v/>
      </c>
      <c r="D997" s="24">
        <f>IF($A997="","",IFERROR(VLOOKUP($A997,物料档案!$A$4:$P$1203,5,0),""))</f>
        <v/>
      </c>
      <c r="E997" s="24">
        <f>IF($A997="","",IFERROR(VLOOKUP($A997,物料档案!$A$4:$P$1203,2,0),""))</f>
        <v/>
      </c>
      <c r="F997" s="24">
        <f>IF($A997="","",IFERROR(VLOOKUP($A997,物料档案!$A$4:$P$1203,6,0),""))</f>
        <v/>
      </c>
      <c r="G997" s="23" t="n"/>
      <c r="H997" s="32" t="n"/>
      <c r="I997" s="27">
        <f>IF($A997="","",SUMIFS(入库单!$K$4:$K$2503,入库单!$G$4:$G$2503,$A997,入库单!$X$4:$X$2503,"采购入库",入库单!$Z$4:$Z$2503,"正常",入库单!$C$4:$C$2503,"&gt;="&amp;账期起,入库单!$C$4:$C$2503,"&lt;="&amp;账期止))</f>
        <v/>
      </c>
      <c r="J997" s="26">
        <f>IF($A997="","",SUMIFS(入库单!$V$4:$V$2503,入库单!$G$4:$G$2503,$A997,入库单!$X$4:$X$2503,"采购入库",入库单!$Z$4:$Z$2503,"正常",入库单!$C$4:$C$2503,"&gt;="&amp;账期起,入库单!$C$4:$C$2503,"&lt;="&amp;账期止))</f>
        <v/>
      </c>
      <c r="K997" s="26">
        <f>IF($A997="","",IFERROR(ROUND((N($H997)+N($J997))/(N($G997)+N($I997)),2),0))</f>
        <v/>
      </c>
      <c r="L997" s="27">
        <f>IF($A997="","",SUMIFS(入库单!$K$4:$K$2503,入库单!$G$4:$G$2503,$A997,入库单!$X$4:$X$2503,"盘盈",入库单!$Z$4:$Z$2503,"正常",入库单!$C$4:$C$2503,"&gt;="&amp;账期起,入库单!$C$4:$C$2503,"&lt;="&amp;账期止))</f>
        <v/>
      </c>
      <c r="M997" s="26">
        <f>IF($A997="","",ROUND($L997*$K997,0))</f>
        <v/>
      </c>
      <c r="N997" s="27">
        <f>IF($A997="","",SUMIFS(入库单!$K$4:$K$2503,入库单!$G$4:$G$2503,$A997,入库单!$X$4:$X$2503,"矿区退库",入库单!$Z$4:$Z$2503,"正常",入库单!$C$4:$C$2503,"&gt;="&amp;账期起,入库单!$C$4:$C$2503,"&lt;="&amp;账期止))</f>
        <v/>
      </c>
      <c r="O997" s="26">
        <f>IF($A997="","",ROUND($N997*$K997,0))</f>
        <v/>
      </c>
      <c r="P997" s="27">
        <f>IF($A997="","",SUMIFS(出库单!$J$4:$J$4003,出库单!$D$4:$D$4003,$A997,出库单!$K$4:$K$4003,"自用消耗",出库单!$U$4:$U$4003,"正常",出库单!$C$4:$C$4003,"&gt;="&amp;账期起,出库单!$C$4:$C$4003,"&lt;="&amp;账期止))</f>
        <v/>
      </c>
      <c r="Q997" s="26">
        <f>IF($A997="","",ROUND(SUMIFS(出库单!$S$4:$S$4003,出库单!$D$4:$D$4003,$A997,出库单!$K$4:$K$4003,"自用消耗",出库单!$U$4:$U$4003,"正常",出库单!$C$4:$C$4003,"&gt;="&amp;账期起,出库单!$C$4:$C$4003,"&lt;="&amp;账期止),0))</f>
        <v/>
      </c>
      <c r="R997" s="27">
        <f>IF($A997="","",SUMIFS(出库单!$J$4:$J$4003,出库单!$D$4:$D$4003,$A997,出库单!$K$4:$K$4003,"对外销售",出库单!$U$4:$U$4003,"正常",出库单!$C$4:$C$4003,"&gt;="&amp;账期起,出库单!$C$4:$C$4003,"&lt;="&amp;账期止))</f>
        <v/>
      </c>
      <c r="S997" s="26">
        <f>IF($A997="","",ROUND(SUMIFS(出库单!$S$4:$S$4003,出库单!$D$4:$D$4003,$A997,出库单!$K$4:$K$4003,"对外销售",出库单!$U$4:$U$4003,"正常",出库单!$C$4:$C$4003,"&gt;="&amp;账期起,出库单!$C$4:$C$4003,"&lt;="&amp;账期止),0))</f>
        <v/>
      </c>
      <c r="T997" s="27">
        <f>IF($A997="","",SUMIFS(出库单!$J$4:$J$4003,出库单!$D$4:$D$4003,$A997,出库单!$K$4:$K$4003,"盘亏",出库单!$U$4:$U$4003,"正常",出库单!$C$4:$C$4003,"&gt;="&amp;账期起,出库单!$C$4:$C$4003,"&lt;="&amp;账期止))</f>
        <v/>
      </c>
      <c r="U997" s="26">
        <f>IF($A997="","",ROUND(SUMIFS(出库单!$S$4:$S$4003,出库单!$D$4:$D$4003,$A997,出库单!$K$4:$K$4003,"盘亏",出库单!$U$4:$U$4003,"正常",出库单!$C$4:$C$4003,"&gt;="&amp;账期起,出库单!$C$4:$C$4003,"&lt;="&amp;账期止),0))</f>
        <v/>
      </c>
      <c r="V997" s="27">
        <f>IF($A997="","",SUMIFS(出库单!$J$4:$J$4003,出库单!$D$4:$D$4003,$A997,出库单!$K$4:$K$4003,"退货给供应商",出库单!$U$4:$U$4003,"正常",出库单!$C$4:$C$4003,"&gt;="&amp;账期起,出库单!$C$4:$C$4003,"&lt;="&amp;账期止))</f>
        <v/>
      </c>
      <c r="W997" s="26">
        <f>IF($A997="","",ROUND(SUMIFS(出库单!$S$4:$S$4003,出库单!$D$4:$D$4003,$A997,出库单!$K$4:$K$4003,"退货给供应商",出库单!$U$4:$U$4003,"正常",出库单!$C$4:$C$4003,"&gt;="&amp;账期起,出库单!$C$4:$C$4003,"&lt;="&amp;账期止),0))</f>
        <v/>
      </c>
      <c r="X997" s="27">
        <f>IF($A997="","",ROUND(N($G997)+$I997+$L997+$N997-$P997-$R997-$T997-$V997,3))</f>
        <v/>
      </c>
      <c r="Y997" s="26">
        <f>IF($A997="","",ROUND(N($H997)+$J997+$M997+$O997-$Q997-$S997-$U997-$W997,0))</f>
        <v/>
      </c>
      <c r="Z997" s="24">
        <f>IF($A997="","",IF(COUNTIFS(入库单!$G$4:$G$2503,$A997,入库单!$Y$4:$Y$2503,"待补价")+COUNTIFS(入库单!$G$4:$G$2503,$A997,入库单!$Y$4:$Y$2503,"暂估")&gt;0,"不可信","可信"))</f>
        <v/>
      </c>
      <c r="AA997" s="24">
        <f>IF($A997="","",IF($X997&lt;-0.001,"※账面负库存，查一下是不是漏记入库",IF(AND(ROUND($X997,3)=0,ABS($Y997)&gt;1),"※数量已经是 0，金额还挂着 "&amp;TEXT($Y997,"#,##0")&amp;" 先令",IF(AND($X997&gt;0,$Y997&lt;=0,$K997=0),"※有数量没金额（这个物料一直没填过进价）",IF($Z997="不可信","△成本含待补价/暂估，毛利仅供参考","")))))</f>
        <v/>
      </c>
    </row>
    <row r="998">
      <c r="A998" s="24">
        <f>IF(物料档案!$A997="","",物料档案!$A997)</f>
        <v/>
      </c>
      <c r="B998" s="24">
        <f>IF($A998="","",IFERROR(VLOOKUP($A998,物料档案!$A$4:$P$1203,3,0),""))</f>
        <v/>
      </c>
      <c r="C998" s="24">
        <f>IF($A998="","",IFERROR(VLOOKUP($A998,物料档案!$A$4:$P$1203,4,0),""))</f>
        <v/>
      </c>
      <c r="D998" s="24">
        <f>IF($A998="","",IFERROR(VLOOKUP($A998,物料档案!$A$4:$P$1203,5,0),""))</f>
        <v/>
      </c>
      <c r="E998" s="24">
        <f>IF($A998="","",IFERROR(VLOOKUP($A998,物料档案!$A$4:$P$1203,2,0),""))</f>
        <v/>
      </c>
      <c r="F998" s="24">
        <f>IF($A998="","",IFERROR(VLOOKUP($A998,物料档案!$A$4:$P$1203,6,0),""))</f>
        <v/>
      </c>
      <c r="G998" s="23" t="n"/>
      <c r="H998" s="32" t="n"/>
      <c r="I998" s="27">
        <f>IF($A998="","",SUMIFS(入库单!$K$4:$K$2503,入库单!$G$4:$G$2503,$A998,入库单!$X$4:$X$2503,"采购入库",入库单!$Z$4:$Z$2503,"正常",入库单!$C$4:$C$2503,"&gt;="&amp;账期起,入库单!$C$4:$C$2503,"&lt;="&amp;账期止))</f>
        <v/>
      </c>
      <c r="J998" s="26">
        <f>IF($A998="","",SUMIFS(入库单!$V$4:$V$2503,入库单!$G$4:$G$2503,$A998,入库单!$X$4:$X$2503,"采购入库",入库单!$Z$4:$Z$2503,"正常",入库单!$C$4:$C$2503,"&gt;="&amp;账期起,入库单!$C$4:$C$2503,"&lt;="&amp;账期止))</f>
        <v/>
      </c>
      <c r="K998" s="26">
        <f>IF($A998="","",IFERROR(ROUND((N($H998)+N($J998))/(N($G998)+N($I998)),2),0))</f>
        <v/>
      </c>
      <c r="L998" s="27">
        <f>IF($A998="","",SUMIFS(入库单!$K$4:$K$2503,入库单!$G$4:$G$2503,$A998,入库单!$X$4:$X$2503,"盘盈",入库单!$Z$4:$Z$2503,"正常",入库单!$C$4:$C$2503,"&gt;="&amp;账期起,入库单!$C$4:$C$2503,"&lt;="&amp;账期止))</f>
        <v/>
      </c>
      <c r="M998" s="26">
        <f>IF($A998="","",ROUND($L998*$K998,0))</f>
        <v/>
      </c>
      <c r="N998" s="27">
        <f>IF($A998="","",SUMIFS(入库单!$K$4:$K$2503,入库单!$G$4:$G$2503,$A998,入库单!$X$4:$X$2503,"矿区退库",入库单!$Z$4:$Z$2503,"正常",入库单!$C$4:$C$2503,"&gt;="&amp;账期起,入库单!$C$4:$C$2503,"&lt;="&amp;账期止))</f>
        <v/>
      </c>
      <c r="O998" s="26">
        <f>IF($A998="","",ROUND($N998*$K998,0))</f>
        <v/>
      </c>
      <c r="P998" s="27">
        <f>IF($A998="","",SUMIFS(出库单!$J$4:$J$4003,出库单!$D$4:$D$4003,$A998,出库单!$K$4:$K$4003,"自用消耗",出库单!$U$4:$U$4003,"正常",出库单!$C$4:$C$4003,"&gt;="&amp;账期起,出库单!$C$4:$C$4003,"&lt;="&amp;账期止))</f>
        <v/>
      </c>
      <c r="Q998" s="26">
        <f>IF($A998="","",ROUND(SUMIFS(出库单!$S$4:$S$4003,出库单!$D$4:$D$4003,$A998,出库单!$K$4:$K$4003,"自用消耗",出库单!$U$4:$U$4003,"正常",出库单!$C$4:$C$4003,"&gt;="&amp;账期起,出库单!$C$4:$C$4003,"&lt;="&amp;账期止),0))</f>
        <v/>
      </c>
      <c r="R998" s="27">
        <f>IF($A998="","",SUMIFS(出库单!$J$4:$J$4003,出库单!$D$4:$D$4003,$A998,出库单!$K$4:$K$4003,"对外销售",出库单!$U$4:$U$4003,"正常",出库单!$C$4:$C$4003,"&gt;="&amp;账期起,出库单!$C$4:$C$4003,"&lt;="&amp;账期止))</f>
        <v/>
      </c>
      <c r="S998" s="26">
        <f>IF($A998="","",ROUND(SUMIFS(出库单!$S$4:$S$4003,出库单!$D$4:$D$4003,$A998,出库单!$K$4:$K$4003,"对外销售",出库单!$U$4:$U$4003,"正常",出库单!$C$4:$C$4003,"&gt;="&amp;账期起,出库单!$C$4:$C$4003,"&lt;="&amp;账期止),0))</f>
        <v/>
      </c>
      <c r="T998" s="27">
        <f>IF($A998="","",SUMIFS(出库单!$J$4:$J$4003,出库单!$D$4:$D$4003,$A998,出库单!$K$4:$K$4003,"盘亏",出库单!$U$4:$U$4003,"正常",出库单!$C$4:$C$4003,"&gt;="&amp;账期起,出库单!$C$4:$C$4003,"&lt;="&amp;账期止))</f>
        <v/>
      </c>
      <c r="U998" s="26">
        <f>IF($A998="","",ROUND(SUMIFS(出库单!$S$4:$S$4003,出库单!$D$4:$D$4003,$A998,出库单!$K$4:$K$4003,"盘亏",出库单!$U$4:$U$4003,"正常",出库单!$C$4:$C$4003,"&gt;="&amp;账期起,出库单!$C$4:$C$4003,"&lt;="&amp;账期止),0))</f>
        <v/>
      </c>
      <c r="V998" s="27">
        <f>IF($A998="","",SUMIFS(出库单!$J$4:$J$4003,出库单!$D$4:$D$4003,$A998,出库单!$K$4:$K$4003,"退货给供应商",出库单!$U$4:$U$4003,"正常",出库单!$C$4:$C$4003,"&gt;="&amp;账期起,出库单!$C$4:$C$4003,"&lt;="&amp;账期止))</f>
        <v/>
      </c>
      <c r="W998" s="26">
        <f>IF($A998="","",ROUND(SUMIFS(出库单!$S$4:$S$4003,出库单!$D$4:$D$4003,$A998,出库单!$K$4:$K$4003,"退货给供应商",出库单!$U$4:$U$4003,"正常",出库单!$C$4:$C$4003,"&gt;="&amp;账期起,出库单!$C$4:$C$4003,"&lt;="&amp;账期止),0))</f>
        <v/>
      </c>
      <c r="X998" s="27">
        <f>IF($A998="","",ROUND(N($G998)+$I998+$L998+$N998-$P998-$R998-$T998-$V998,3))</f>
        <v/>
      </c>
      <c r="Y998" s="26">
        <f>IF($A998="","",ROUND(N($H998)+$J998+$M998+$O998-$Q998-$S998-$U998-$W998,0))</f>
        <v/>
      </c>
      <c r="Z998" s="24">
        <f>IF($A998="","",IF(COUNTIFS(入库单!$G$4:$G$2503,$A998,入库单!$Y$4:$Y$2503,"待补价")+COUNTIFS(入库单!$G$4:$G$2503,$A998,入库单!$Y$4:$Y$2503,"暂估")&gt;0,"不可信","可信"))</f>
        <v/>
      </c>
      <c r="AA998" s="24">
        <f>IF($A998="","",IF($X998&lt;-0.001,"※账面负库存，查一下是不是漏记入库",IF(AND(ROUND($X998,3)=0,ABS($Y998)&gt;1),"※数量已经是 0，金额还挂着 "&amp;TEXT($Y998,"#,##0")&amp;" 先令",IF(AND($X998&gt;0,$Y998&lt;=0,$K998=0),"※有数量没金额（这个物料一直没填过进价）",IF($Z998="不可信","△成本含待补价/暂估，毛利仅供参考","")))))</f>
        <v/>
      </c>
    </row>
    <row r="999">
      <c r="A999" s="24">
        <f>IF(物料档案!$A998="","",物料档案!$A998)</f>
        <v/>
      </c>
      <c r="B999" s="24">
        <f>IF($A999="","",IFERROR(VLOOKUP($A999,物料档案!$A$4:$P$1203,3,0),""))</f>
        <v/>
      </c>
      <c r="C999" s="24">
        <f>IF($A999="","",IFERROR(VLOOKUP($A999,物料档案!$A$4:$P$1203,4,0),""))</f>
        <v/>
      </c>
      <c r="D999" s="24">
        <f>IF($A999="","",IFERROR(VLOOKUP($A999,物料档案!$A$4:$P$1203,5,0),""))</f>
        <v/>
      </c>
      <c r="E999" s="24">
        <f>IF($A999="","",IFERROR(VLOOKUP($A999,物料档案!$A$4:$P$1203,2,0),""))</f>
        <v/>
      </c>
      <c r="F999" s="24">
        <f>IF($A999="","",IFERROR(VLOOKUP($A999,物料档案!$A$4:$P$1203,6,0),""))</f>
        <v/>
      </c>
      <c r="G999" s="23" t="n"/>
      <c r="H999" s="32" t="n"/>
      <c r="I999" s="27">
        <f>IF($A999="","",SUMIFS(入库单!$K$4:$K$2503,入库单!$G$4:$G$2503,$A999,入库单!$X$4:$X$2503,"采购入库",入库单!$Z$4:$Z$2503,"正常",入库单!$C$4:$C$2503,"&gt;="&amp;账期起,入库单!$C$4:$C$2503,"&lt;="&amp;账期止))</f>
        <v/>
      </c>
      <c r="J999" s="26">
        <f>IF($A999="","",SUMIFS(入库单!$V$4:$V$2503,入库单!$G$4:$G$2503,$A999,入库单!$X$4:$X$2503,"采购入库",入库单!$Z$4:$Z$2503,"正常",入库单!$C$4:$C$2503,"&gt;="&amp;账期起,入库单!$C$4:$C$2503,"&lt;="&amp;账期止))</f>
        <v/>
      </c>
      <c r="K999" s="26">
        <f>IF($A999="","",IFERROR(ROUND((N($H999)+N($J999))/(N($G999)+N($I999)),2),0))</f>
        <v/>
      </c>
      <c r="L999" s="27">
        <f>IF($A999="","",SUMIFS(入库单!$K$4:$K$2503,入库单!$G$4:$G$2503,$A999,入库单!$X$4:$X$2503,"盘盈",入库单!$Z$4:$Z$2503,"正常",入库单!$C$4:$C$2503,"&gt;="&amp;账期起,入库单!$C$4:$C$2503,"&lt;="&amp;账期止))</f>
        <v/>
      </c>
      <c r="M999" s="26">
        <f>IF($A999="","",ROUND($L999*$K999,0))</f>
        <v/>
      </c>
      <c r="N999" s="27">
        <f>IF($A999="","",SUMIFS(入库单!$K$4:$K$2503,入库单!$G$4:$G$2503,$A999,入库单!$X$4:$X$2503,"矿区退库",入库单!$Z$4:$Z$2503,"正常",入库单!$C$4:$C$2503,"&gt;="&amp;账期起,入库单!$C$4:$C$2503,"&lt;="&amp;账期止))</f>
        <v/>
      </c>
      <c r="O999" s="26">
        <f>IF($A999="","",ROUND($N999*$K999,0))</f>
        <v/>
      </c>
      <c r="P999" s="27">
        <f>IF($A999="","",SUMIFS(出库单!$J$4:$J$4003,出库单!$D$4:$D$4003,$A999,出库单!$K$4:$K$4003,"自用消耗",出库单!$U$4:$U$4003,"正常",出库单!$C$4:$C$4003,"&gt;="&amp;账期起,出库单!$C$4:$C$4003,"&lt;="&amp;账期止))</f>
        <v/>
      </c>
      <c r="Q999" s="26">
        <f>IF($A999="","",ROUND(SUMIFS(出库单!$S$4:$S$4003,出库单!$D$4:$D$4003,$A999,出库单!$K$4:$K$4003,"自用消耗",出库单!$U$4:$U$4003,"正常",出库单!$C$4:$C$4003,"&gt;="&amp;账期起,出库单!$C$4:$C$4003,"&lt;="&amp;账期止),0))</f>
        <v/>
      </c>
      <c r="R999" s="27">
        <f>IF($A999="","",SUMIFS(出库单!$J$4:$J$4003,出库单!$D$4:$D$4003,$A999,出库单!$K$4:$K$4003,"对外销售",出库单!$U$4:$U$4003,"正常",出库单!$C$4:$C$4003,"&gt;="&amp;账期起,出库单!$C$4:$C$4003,"&lt;="&amp;账期止))</f>
        <v/>
      </c>
      <c r="S999" s="26">
        <f>IF($A999="","",ROUND(SUMIFS(出库单!$S$4:$S$4003,出库单!$D$4:$D$4003,$A999,出库单!$K$4:$K$4003,"对外销售",出库单!$U$4:$U$4003,"正常",出库单!$C$4:$C$4003,"&gt;="&amp;账期起,出库单!$C$4:$C$4003,"&lt;="&amp;账期止),0))</f>
        <v/>
      </c>
      <c r="T999" s="27">
        <f>IF($A999="","",SUMIFS(出库单!$J$4:$J$4003,出库单!$D$4:$D$4003,$A999,出库单!$K$4:$K$4003,"盘亏",出库单!$U$4:$U$4003,"正常",出库单!$C$4:$C$4003,"&gt;="&amp;账期起,出库单!$C$4:$C$4003,"&lt;="&amp;账期止))</f>
        <v/>
      </c>
      <c r="U999" s="26">
        <f>IF($A999="","",ROUND(SUMIFS(出库单!$S$4:$S$4003,出库单!$D$4:$D$4003,$A999,出库单!$K$4:$K$4003,"盘亏",出库单!$U$4:$U$4003,"正常",出库单!$C$4:$C$4003,"&gt;="&amp;账期起,出库单!$C$4:$C$4003,"&lt;="&amp;账期止),0))</f>
        <v/>
      </c>
      <c r="V999" s="27">
        <f>IF($A999="","",SUMIFS(出库单!$J$4:$J$4003,出库单!$D$4:$D$4003,$A999,出库单!$K$4:$K$4003,"退货给供应商",出库单!$U$4:$U$4003,"正常",出库单!$C$4:$C$4003,"&gt;="&amp;账期起,出库单!$C$4:$C$4003,"&lt;="&amp;账期止))</f>
        <v/>
      </c>
      <c r="W999" s="26">
        <f>IF($A999="","",ROUND(SUMIFS(出库单!$S$4:$S$4003,出库单!$D$4:$D$4003,$A999,出库单!$K$4:$K$4003,"退货给供应商",出库单!$U$4:$U$4003,"正常",出库单!$C$4:$C$4003,"&gt;="&amp;账期起,出库单!$C$4:$C$4003,"&lt;="&amp;账期止),0))</f>
        <v/>
      </c>
      <c r="X999" s="27">
        <f>IF($A999="","",ROUND(N($G999)+$I999+$L999+$N999-$P999-$R999-$T999-$V999,3))</f>
        <v/>
      </c>
      <c r="Y999" s="26">
        <f>IF($A999="","",ROUND(N($H999)+$J999+$M999+$O999-$Q999-$S999-$U999-$W999,0))</f>
        <v/>
      </c>
      <c r="Z999" s="24">
        <f>IF($A999="","",IF(COUNTIFS(入库单!$G$4:$G$2503,$A999,入库单!$Y$4:$Y$2503,"待补价")+COUNTIFS(入库单!$G$4:$G$2503,$A999,入库单!$Y$4:$Y$2503,"暂估")&gt;0,"不可信","可信"))</f>
        <v/>
      </c>
      <c r="AA999" s="24">
        <f>IF($A999="","",IF($X999&lt;-0.001,"※账面负库存，查一下是不是漏记入库",IF(AND(ROUND($X999,3)=0,ABS($Y999)&gt;1),"※数量已经是 0，金额还挂着 "&amp;TEXT($Y999,"#,##0")&amp;" 先令",IF(AND($X999&gt;0,$Y999&lt;=0,$K999=0),"※有数量没金额（这个物料一直没填过进价）",IF($Z999="不可信","△成本含待补价/暂估，毛利仅供参考","")))))</f>
        <v/>
      </c>
    </row>
    <row r="1000">
      <c r="A1000" s="24">
        <f>IF(物料档案!$A999="","",物料档案!$A999)</f>
        <v/>
      </c>
      <c r="B1000" s="24">
        <f>IF($A1000="","",IFERROR(VLOOKUP($A1000,物料档案!$A$4:$P$1203,3,0),""))</f>
        <v/>
      </c>
      <c r="C1000" s="24">
        <f>IF($A1000="","",IFERROR(VLOOKUP($A1000,物料档案!$A$4:$P$1203,4,0),""))</f>
        <v/>
      </c>
      <c r="D1000" s="24">
        <f>IF($A1000="","",IFERROR(VLOOKUP($A1000,物料档案!$A$4:$P$1203,5,0),""))</f>
        <v/>
      </c>
      <c r="E1000" s="24">
        <f>IF($A1000="","",IFERROR(VLOOKUP($A1000,物料档案!$A$4:$P$1203,2,0),""))</f>
        <v/>
      </c>
      <c r="F1000" s="24">
        <f>IF($A1000="","",IFERROR(VLOOKUP($A1000,物料档案!$A$4:$P$1203,6,0),""))</f>
        <v/>
      </c>
      <c r="G1000" s="23" t="n"/>
      <c r="H1000" s="32" t="n"/>
      <c r="I1000" s="27">
        <f>IF($A1000="","",SUMIFS(入库单!$K$4:$K$2503,入库单!$G$4:$G$2503,$A1000,入库单!$X$4:$X$2503,"采购入库",入库单!$Z$4:$Z$2503,"正常",入库单!$C$4:$C$2503,"&gt;="&amp;账期起,入库单!$C$4:$C$2503,"&lt;="&amp;账期止))</f>
        <v/>
      </c>
      <c r="J1000" s="26">
        <f>IF($A1000="","",SUMIFS(入库单!$V$4:$V$2503,入库单!$G$4:$G$2503,$A1000,入库单!$X$4:$X$2503,"采购入库",入库单!$Z$4:$Z$2503,"正常",入库单!$C$4:$C$2503,"&gt;="&amp;账期起,入库单!$C$4:$C$2503,"&lt;="&amp;账期止))</f>
        <v/>
      </c>
      <c r="K1000" s="26">
        <f>IF($A1000="","",IFERROR(ROUND((N($H1000)+N($J1000))/(N($G1000)+N($I1000)),2),0))</f>
        <v/>
      </c>
      <c r="L1000" s="27">
        <f>IF($A1000="","",SUMIFS(入库单!$K$4:$K$2503,入库单!$G$4:$G$2503,$A1000,入库单!$X$4:$X$2503,"盘盈",入库单!$Z$4:$Z$2503,"正常",入库单!$C$4:$C$2503,"&gt;="&amp;账期起,入库单!$C$4:$C$2503,"&lt;="&amp;账期止))</f>
        <v/>
      </c>
      <c r="M1000" s="26">
        <f>IF($A1000="","",ROUND($L1000*$K1000,0))</f>
        <v/>
      </c>
      <c r="N1000" s="27">
        <f>IF($A1000="","",SUMIFS(入库单!$K$4:$K$2503,入库单!$G$4:$G$2503,$A1000,入库单!$X$4:$X$2503,"矿区退库",入库单!$Z$4:$Z$2503,"正常",入库单!$C$4:$C$2503,"&gt;="&amp;账期起,入库单!$C$4:$C$2503,"&lt;="&amp;账期止))</f>
        <v/>
      </c>
      <c r="O1000" s="26">
        <f>IF($A1000="","",ROUND($N1000*$K1000,0))</f>
        <v/>
      </c>
      <c r="P1000" s="27">
        <f>IF($A1000="","",SUMIFS(出库单!$J$4:$J$4003,出库单!$D$4:$D$4003,$A1000,出库单!$K$4:$K$4003,"自用消耗",出库单!$U$4:$U$4003,"正常",出库单!$C$4:$C$4003,"&gt;="&amp;账期起,出库单!$C$4:$C$4003,"&lt;="&amp;账期止))</f>
        <v/>
      </c>
      <c r="Q1000" s="26">
        <f>IF($A1000="","",ROUND(SUMIFS(出库单!$S$4:$S$4003,出库单!$D$4:$D$4003,$A1000,出库单!$K$4:$K$4003,"自用消耗",出库单!$U$4:$U$4003,"正常",出库单!$C$4:$C$4003,"&gt;="&amp;账期起,出库单!$C$4:$C$4003,"&lt;="&amp;账期止),0))</f>
        <v/>
      </c>
      <c r="R1000" s="27">
        <f>IF($A1000="","",SUMIFS(出库单!$J$4:$J$4003,出库单!$D$4:$D$4003,$A1000,出库单!$K$4:$K$4003,"对外销售",出库单!$U$4:$U$4003,"正常",出库单!$C$4:$C$4003,"&gt;="&amp;账期起,出库单!$C$4:$C$4003,"&lt;="&amp;账期止))</f>
        <v/>
      </c>
      <c r="S1000" s="26">
        <f>IF($A1000="","",ROUND(SUMIFS(出库单!$S$4:$S$4003,出库单!$D$4:$D$4003,$A1000,出库单!$K$4:$K$4003,"对外销售",出库单!$U$4:$U$4003,"正常",出库单!$C$4:$C$4003,"&gt;="&amp;账期起,出库单!$C$4:$C$4003,"&lt;="&amp;账期止),0))</f>
        <v/>
      </c>
      <c r="T1000" s="27">
        <f>IF($A1000="","",SUMIFS(出库单!$J$4:$J$4003,出库单!$D$4:$D$4003,$A1000,出库单!$K$4:$K$4003,"盘亏",出库单!$U$4:$U$4003,"正常",出库单!$C$4:$C$4003,"&gt;="&amp;账期起,出库单!$C$4:$C$4003,"&lt;="&amp;账期止))</f>
        <v/>
      </c>
      <c r="U1000" s="26">
        <f>IF($A1000="","",ROUND(SUMIFS(出库单!$S$4:$S$4003,出库单!$D$4:$D$4003,$A1000,出库单!$K$4:$K$4003,"盘亏",出库单!$U$4:$U$4003,"正常",出库单!$C$4:$C$4003,"&gt;="&amp;账期起,出库单!$C$4:$C$4003,"&lt;="&amp;账期止),0))</f>
        <v/>
      </c>
      <c r="V1000" s="27">
        <f>IF($A1000="","",SUMIFS(出库单!$J$4:$J$4003,出库单!$D$4:$D$4003,$A1000,出库单!$K$4:$K$4003,"退货给供应商",出库单!$U$4:$U$4003,"正常",出库单!$C$4:$C$4003,"&gt;="&amp;账期起,出库单!$C$4:$C$4003,"&lt;="&amp;账期止))</f>
        <v/>
      </c>
      <c r="W1000" s="26">
        <f>IF($A1000="","",ROUND(SUMIFS(出库单!$S$4:$S$4003,出库单!$D$4:$D$4003,$A1000,出库单!$K$4:$K$4003,"退货给供应商",出库单!$U$4:$U$4003,"正常",出库单!$C$4:$C$4003,"&gt;="&amp;账期起,出库单!$C$4:$C$4003,"&lt;="&amp;账期止),0))</f>
        <v/>
      </c>
      <c r="X1000" s="27">
        <f>IF($A1000="","",ROUND(N($G1000)+$I1000+$L1000+$N1000-$P1000-$R1000-$T1000-$V1000,3))</f>
        <v/>
      </c>
      <c r="Y1000" s="26">
        <f>IF($A1000="","",ROUND(N($H1000)+$J1000+$M1000+$O1000-$Q1000-$S1000-$U1000-$W1000,0))</f>
        <v/>
      </c>
      <c r="Z1000" s="24">
        <f>IF($A1000="","",IF(COUNTIFS(入库单!$G$4:$G$2503,$A1000,入库单!$Y$4:$Y$2503,"待补价")+COUNTIFS(入库单!$G$4:$G$2503,$A1000,入库单!$Y$4:$Y$2503,"暂估")&gt;0,"不可信","可信"))</f>
        <v/>
      </c>
      <c r="AA1000" s="24">
        <f>IF($A1000="","",IF($X1000&lt;-0.001,"※账面负库存，查一下是不是漏记入库",IF(AND(ROUND($X1000,3)=0,ABS($Y1000)&gt;1),"※数量已经是 0，金额还挂着 "&amp;TEXT($Y1000,"#,##0")&amp;" 先令",IF(AND($X1000&gt;0,$Y1000&lt;=0,$K1000=0),"※有数量没金额（这个物料一直没填过进价）",IF($Z1000="不可信","△成本含待补价/暂估，毛利仅供参考","")))))</f>
        <v/>
      </c>
    </row>
    <row r="1001">
      <c r="A1001" s="24">
        <f>IF(物料档案!$A1000="","",物料档案!$A1000)</f>
        <v/>
      </c>
      <c r="B1001" s="24">
        <f>IF($A1001="","",IFERROR(VLOOKUP($A1001,物料档案!$A$4:$P$1203,3,0),""))</f>
        <v/>
      </c>
      <c r="C1001" s="24">
        <f>IF($A1001="","",IFERROR(VLOOKUP($A1001,物料档案!$A$4:$P$1203,4,0),""))</f>
        <v/>
      </c>
      <c r="D1001" s="24">
        <f>IF($A1001="","",IFERROR(VLOOKUP($A1001,物料档案!$A$4:$P$1203,5,0),""))</f>
        <v/>
      </c>
      <c r="E1001" s="24">
        <f>IF($A1001="","",IFERROR(VLOOKUP($A1001,物料档案!$A$4:$P$1203,2,0),""))</f>
        <v/>
      </c>
      <c r="F1001" s="24">
        <f>IF($A1001="","",IFERROR(VLOOKUP($A1001,物料档案!$A$4:$P$1203,6,0),""))</f>
        <v/>
      </c>
      <c r="G1001" s="23" t="n"/>
      <c r="H1001" s="32" t="n"/>
      <c r="I1001" s="27">
        <f>IF($A1001="","",SUMIFS(入库单!$K$4:$K$2503,入库单!$G$4:$G$2503,$A1001,入库单!$X$4:$X$2503,"采购入库",入库单!$Z$4:$Z$2503,"正常",入库单!$C$4:$C$2503,"&gt;="&amp;账期起,入库单!$C$4:$C$2503,"&lt;="&amp;账期止))</f>
        <v/>
      </c>
      <c r="J1001" s="26">
        <f>IF($A1001="","",SUMIFS(入库单!$V$4:$V$2503,入库单!$G$4:$G$2503,$A1001,入库单!$X$4:$X$2503,"采购入库",入库单!$Z$4:$Z$2503,"正常",入库单!$C$4:$C$2503,"&gt;="&amp;账期起,入库单!$C$4:$C$2503,"&lt;="&amp;账期止))</f>
        <v/>
      </c>
      <c r="K1001" s="26">
        <f>IF($A1001="","",IFERROR(ROUND((N($H1001)+N($J1001))/(N($G1001)+N($I1001)),2),0))</f>
        <v/>
      </c>
      <c r="L1001" s="27">
        <f>IF($A1001="","",SUMIFS(入库单!$K$4:$K$2503,入库单!$G$4:$G$2503,$A1001,入库单!$X$4:$X$2503,"盘盈",入库单!$Z$4:$Z$2503,"正常",入库单!$C$4:$C$2503,"&gt;="&amp;账期起,入库单!$C$4:$C$2503,"&lt;="&amp;账期止))</f>
        <v/>
      </c>
      <c r="M1001" s="26">
        <f>IF($A1001="","",ROUND($L1001*$K1001,0))</f>
        <v/>
      </c>
      <c r="N1001" s="27">
        <f>IF($A1001="","",SUMIFS(入库单!$K$4:$K$2503,入库单!$G$4:$G$2503,$A1001,入库单!$X$4:$X$2503,"矿区退库",入库单!$Z$4:$Z$2503,"正常",入库单!$C$4:$C$2503,"&gt;="&amp;账期起,入库单!$C$4:$C$2503,"&lt;="&amp;账期止))</f>
        <v/>
      </c>
      <c r="O1001" s="26">
        <f>IF($A1001="","",ROUND($N1001*$K1001,0))</f>
        <v/>
      </c>
      <c r="P1001" s="27">
        <f>IF($A1001="","",SUMIFS(出库单!$J$4:$J$4003,出库单!$D$4:$D$4003,$A1001,出库单!$K$4:$K$4003,"自用消耗",出库单!$U$4:$U$4003,"正常",出库单!$C$4:$C$4003,"&gt;="&amp;账期起,出库单!$C$4:$C$4003,"&lt;="&amp;账期止))</f>
        <v/>
      </c>
      <c r="Q1001" s="26">
        <f>IF($A1001="","",ROUND(SUMIFS(出库单!$S$4:$S$4003,出库单!$D$4:$D$4003,$A1001,出库单!$K$4:$K$4003,"自用消耗",出库单!$U$4:$U$4003,"正常",出库单!$C$4:$C$4003,"&gt;="&amp;账期起,出库单!$C$4:$C$4003,"&lt;="&amp;账期止),0))</f>
        <v/>
      </c>
      <c r="R1001" s="27">
        <f>IF($A1001="","",SUMIFS(出库单!$J$4:$J$4003,出库单!$D$4:$D$4003,$A1001,出库单!$K$4:$K$4003,"对外销售",出库单!$U$4:$U$4003,"正常",出库单!$C$4:$C$4003,"&gt;="&amp;账期起,出库单!$C$4:$C$4003,"&lt;="&amp;账期止))</f>
        <v/>
      </c>
      <c r="S1001" s="26">
        <f>IF($A1001="","",ROUND(SUMIFS(出库单!$S$4:$S$4003,出库单!$D$4:$D$4003,$A1001,出库单!$K$4:$K$4003,"对外销售",出库单!$U$4:$U$4003,"正常",出库单!$C$4:$C$4003,"&gt;="&amp;账期起,出库单!$C$4:$C$4003,"&lt;="&amp;账期止),0))</f>
        <v/>
      </c>
      <c r="T1001" s="27">
        <f>IF($A1001="","",SUMIFS(出库单!$J$4:$J$4003,出库单!$D$4:$D$4003,$A1001,出库单!$K$4:$K$4003,"盘亏",出库单!$U$4:$U$4003,"正常",出库单!$C$4:$C$4003,"&gt;="&amp;账期起,出库单!$C$4:$C$4003,"&lt;="&amp;账期止))</f>
        <v/>
      </c>
      <c r="U1001" s="26">
        <f>IF($A1001="","",ROUND(SUMIFS(出库单!$S$4:$S$4003,出库单!$D$4:$D$4003,$A1001,出库单!$K$4:$K$4003,"盘亏",出库单!$U$4:$U$4003,"正常",出库单!$C$4:$C$4003,"&gt;="&amp;账期起,出库单!$C$4:$C$4003,"&lt;="&amp;账期止),0))</f>
        <v/>
      </c>
      <c r="V1001" s="27">
        <f>IF($A1001="","",SUMIFS(出库单!$J$4:$J$4003,出库单!$D$4:$D$4003,$A1001,出库单!$K$4:$K$4003,"退货给供应商",出库单!$U$4:$U$4003,"正常",出库单!$C$4:$C$4003,"&gt;="&amp;账期起,出库单!$C$4:$C$4003,"&lt;="&amp;账期止))</f>
        <v/>
      </c>
      <c r="W1001" s="26">
        <f>IF($A1001="","",ROUND(SUMIFS(出库单!$S$4:$S$4003,出库单!$D$4:$D$4003,$A1001,出库单!$K$4:$K$4003,"退货给供应商",出库单!$U$4:$U$4003,"正常",出库单!$C$4:$C$4003,"&gt;="&amp;账期起,出库单!$C$4:$C$4003,"&lt;="&amp;账期止),0))</f>
        <v/>
      </c>
      <c r="X1001" s="27">
        <f>IF($A1001="","",ROUND(N($G1001)+$I1001+$L1001+$N1001-$P1001-$R1001-$T1001-$V1001,3))</f>
        <v/>
      </c>
      <c r="Y1001" s="26">
        <f>IF($A1001="","",ROUND(N($H1001)+$J1001+$M1001+$O1001-$Q1001-$S1001-$U1001-$W1001,0))</f>
        <v/>
      </c>
      <c r="Z1001" s="24">
        <f>IF($A1001="","",IF(COUNTIFS(入库单!$G$4:$G$2503,$A1001,入库单!$Y$4:$Y$2503,"待补价")+COUNTIFS(入库单!$G$4:$G$2503,$A1001,入库单!$Y$4:$Y$2503,"暂估")&gt;0,"不可信","可信"))</f>
        <v/>
      </c>
      <c r="AA1001" s="24">
        <f>IF($A1001="","",IF($X1001&lt;-0.001,"※账面负库存，查一下是不是漏记入库",IF(AND(ROUND($X1001,3)=0,ABS($Y1001)&gt;1),"※数量已经是 0，金额还挂着 "&amp;TEXT($Y1001,"#,##0")&amp;" 先令",IF(AND($X1001&gt;0,$Y1001&lt;=0,$K1001=0),"※有数量没金额（这个物料一直没填过进价）",IF($Z1001="不可信","△成本含待补价/暂估，毛利仅供参考","")))))</f>
        <v/>
      </c>
    </row>
    <row r="1002">
      <c r="A1002" s="24">
        <f>IF(物料档案!$A1001="","",物料档案!$A1001)</f>
        <v/>
      </c>
      <c r="B1002" s="24">
        <f>IF($A1002="","",IFERROR(VLOOKUP($A1002,物料档案!$A$4:$P$1203,3,0),""))</f>
        <v/>
      </c>
      <c r="C1002" s="24">
        <f>IF($A1002="","",IFERROR(VLOOKUP($A1002,物料档案!$A$4:$P$1203,4,0),""))</f>
        <v/>
      </c>
      <c r="D1002" s="24">
        <f>IF($A1002="","",IFERROR(VLOOKUP($A1002,物料档案!$A$4:$P$1203,5,0),""))</f>
        <v/>
      </c>
      <c r="E1002" s="24">
        <f>IF($A1002="","",IFERROR(VLOOKUP($A1002,物料档案!$A$4:$P$1203,2,0),""))</f>
        <v/>
      </c>
      <c r="F1002" s="24">
        <f>IF($A1002="","",IFERROR(VLOOKUP($A1002,物料档案!$A$4:$P$1203,6,0),""))</f>
        <v/>
      </c>
      <c r="G1002" s="23" t="n"/>
      <c r="H1002" s="32" t="n"/>
      <c r="I1002" s="27">
        <f>IF($A1002="","",SUMIFS(入库单!$K$4:$K$2503,入库单!$G$4:$G$2503,$A1002,入库单!$X$4:$X$2503,"采购入库",入库单!$Z$4:$Z$2503,"正常",入库单!$C$4:$C$2503,"&gt;="&amp;账期起,入库单!$C$4:$C$2503,"&lt;="&amp;账期止))</f>
        <v/>
      </c>
      <c r="J1002" s="26">
        <f>IF($A1002="","",SUMIFS(入库单!$V$4:$V$2503,入库单!$G$4:$G$2503,$A1002,入库单!$X$4:$X$2503,"采购入库",入库单!$Z$4:$Z$2503,"正常",入库单!$C$4:$C$2503,"&gt;="&amp;账期起,入库单!$C$4:$C$2503,"&lt;="&amp;账期止))</f>
        <v/>
      </c>
      <c r="K1002" s="26">
        <f>IF($A1002="","",IFERROR(ROUND((N($H1002)+N($J1002))/(N($G1002)+N($I1002)),2),0))</f>
        <v/>
      </c>
      <c r="L1002" s="27">
        <f>IF($A1002="","",SUMIFS(入库单!$K$4:$K$2503,入库单!$G$4:$G$2503,$A1002,入库单!$X$4:$X$2503,"盘盈",入库单!$Z$4:$Z$2503,"正常",入库单!$C$4:$C$2503,"&gt;="&amp;账期起,入库单!$C$4:$C$2503,"&lt;="&amp;账期止))</f>
        <v/>
      </c>
      <c r="M1002" s="26">
        <f>IF($A1002="","",ROUND($L1002*$K1002,0))</f>
        <v/>
      </c>
      <c r="N1002" s="27">
        <f>IF($A1002="","",SUMIFS(入库单!$K$4:$K$2503,入库单!$G$4:$G$2503,$A1002,入库单!$X$4:$X$2503,"矿区退库",入库单!$Z$4:$Z$2503,"正常",入库单!$C$4:$C$2503,"&gt;="&amp;账期起,入库单!$C$4:$C$2503,"&lt;="&amp;账期止))</f>
        <v/>
      </c>
      <c r="O1002" s="26">
        <f>IF($A1002="","",ROUND($N1002*$K1002,0))</f>
        <v/>
      </c>
      <c r="P1002" s="27">
        <f>IF($A1002="","",SUMIFS(出库单!$J$4:$J$4003,出库单!$D$4:$D$4003,$A1002,出库单!$K$4:$K$4003,"自用消耗",出库单!$U$4:$U$4003,"正常",出库单!$C$4:$C$4003,"&gt;="&amp;账期起,出库单!$C$4:$C$4003,"&lt;="&amp;账期止))</f>
        <v/>
      </c>
      <c r="Q1002" s="26">
        <f>IF($A1002="","",ROUND(SUMIFS(出库单!$S$4:$S$4003,出库单!$D$4:$D$4003,$A1002,出库单!$K$4:$K$4003,"自用消耗",出库单!$U$4:$U$4003,"正常",出库单!$C$4:$C$4003,"&gt;="&amp;账期起,出库单!$C$4:$C$4003,"&lt;="&amp;账期止),0))</f>
        <v/>
      </c>
      <c r="R1002" s="27">
        <f>IF($A1002="","",SUMIFS(出库单!$J$4:$J$4003,出库单!$D$4:$D$4003,$A1002,出库单!$K$4:$K$4003,"对外销售",出库单!$U$4:$U$4003,"正常",出库单!$C$4:$C$4003,"&gt;="&amp;账期起,出库单!$C$4:$C$4003,"&lt;="&amp;账期止))</f>
        <v/>
      </c>
      <c r="S1002" s="26">
        <f>IF($A1002="","",ROUND(SUMIFS(出库单!$S$4:$S$4003,出库单!$D$4:$D$4003,$A1002,出库单!$K$4:$K$4003,"对外销售",出库单!$U$4:$U$4003,"正常",出库单!$C$4:$C$4003,"&gt;="&amp;账期起,出库单!$C$4:$C$4003,"&lt;="&amp;账期止),0))</f>
        <v/>
      </c>
      <c r="T1002" s="27">
        <f>IF($A1002="","",SUMIFS(出库单!$J$4:$J$4003,出库单!$D$4:$D$4003,$A1002,出库单!$K$4:$K$4003,"盘亏",出库单!$U$4:$U$4003,"正常",出库单!$C$4:$C$4003,"&gt;="&amp;账期起,出库单!$C$4:$C$4003,"&lt;="&amp;账期止))</f>
        <v/>
      </c>
      <c r="U1002" s="26">
        <f>IF($A1002="","",ROUND(SUMIFS(出库单!$S$4:$S$4003,出库单!$D$4:$D$4003,$A1002,出库单!$K$4:$K$4003,"盘亏",出库单!$U$4:$U$4003,"正常",出库单!$C$4:$C$4003,"&gt;="&amp;账期起,出库单!$C$4:$C$4003,"&lt;="&amp;账期止),0))</f>
        <v/>
      </c>
      <c r="V1002" s="27">
        <f>IF($A1002="","",SUMIFS(出库单!$J$4:$J$4003,出库单!$D$4:$D$4003,$A1002,出库单!$K$4:$K$4003,"退货给供应商",出库单!$U$4:$U$4003,"正常",出库单!$C$4:$C$4003,"&gt;="&amp;账期起,出库单!$C$4:$C$4003,"&lt;="&amp;账期止))</f>
        <v/>
      </c>
      <c r="W1002" s="26">
        <f>IF($A1002="","",ROUND(SUMIFS(出库单!$S$4:$S$4003,出库单!$D$4:$D$4003,$A1002,出库单!$K$4:$K$4003,"退货给供应商",出库单!$U$4:$U$4003,"正常",出库单!$C$4:$C$4003,"&gt;="&amp;账期起,出库单!$C$4:$C$4003,"&lt;="&amp;账期止),0))</f>
        <v/>
      </c>
      <c r="X1002" s="27">
        <f>IF($A1002="","",ROUND(N($G1002)+$I1002+$L1002+$N1002-$P1002-$R1002-$T1002-$V1002,3))</f>
        <v/>
      </c>
      <c r="Y1002" s="26">
        <f>IF($A1002="","",ROUND(N($H1002)+$J1002+$M1002+$O1002-$Q1002-$S1002-$U1002-$W1002,0))</f>
        <v/>
      </c>
      <c r="Z1002" s="24">
        <f>IF($A1002="","",IF(COUNTIFS(入库单!$G$4:$G$2503,$A1002,入库单!$Y$4:$Y$2503,"待补价")+COUNTIFS(入库单!$G$4:$G$2503,$A1002,入库单!$Y$4:$Y$2503,"暂估")&gt;0,"不可信","可信"))</f>
        <v/>
      </c>
      <c r="AA1002" s="24">
        <f>IF($A1002="","",IF($X1002&lt;-0.001,"※账面负库存，查一下是不是漏记入库",IF(AND(ROUND($X1002,3)=0,ABS($Y1002)&gt;1),"※数量已经是 0，金额还挂着 "&amp;TEXT($Y1002,"#,##0")&amp;" 先令",IF(AND($X1002&gt;0,$Y1002&lt;=0,$K1002=0),"※有数量没金额（这个物料一直没填过进价）",IF($Z1002="不可信","△成本含待补价/暂估，毛利仅供参考","")))))</f>
        <v/>
      </c>
    </row>
    <row r="1003">
      <c r="A1003" s="24">
        <f>IF(物料档案!$A1002="","",物料档案!$A1002)</f>
        <v/>
      </c>
      <c r="B1003" s="24">
        <f>IF($A1003="","",IFERROR(VLOOKUP($A1003,物料档案!$A$4:$P$1203,3,0),""))</f>
        <v/>
      </c>
      <c r="C1003" s="24">
        <f>IF($A1003="","",IFERROR(VLOOKUP($A1003,物料档案!$A$4:$P$1203,4,0),""))</f>
        <v/>
      </c>
      <c r="D1003" s="24">
        <f>IF($A1003="","",IFERROR(VLOOKUP($A1003,物料档案!$A$4:$P$1203,5,0),""))</f>
        <v/>
      </c>
      <c r="E1003" s="24">
        <f>IF($A1003="","",IFERROR(VLOOKUP($A1003,物料档案!$A$4:$P$1203,2,0),""))</f>
        <v/>
      </c>
      <c r="F1003" s="24">
        <f>IF($A1003="","",IFERROR(VLOOKUP($A1003,物料档案!$A$4:$P$1203,6,0),""))</f>
        <v/>
      </c>
      <c r="G1003" s="23" t="n"/>
      <c r="H1003" s="32" t="n"/>
      <c r="I1003" s="27">
        <f>IF($A1003="","",SUMIFS(入库单!$K$4:$K$2503,入库单!$G$4:$G$2503,$A1003,入库单!$X$4:$X$2503,"采购入库",入库单!$Z$4:$Z$2503,"正常",入库单!$C$4:$C$2503,"&gt;="&amp;账期起,入库单!$C$4:$C$2503,"&lt;="&amp;账期止))</f>
        <v/>
      </c>
      <c r="J1003" s="26">
        <f>IF($A1003="","",SUMIFS(入库单!$V$4:$V$2503,入库单!$G$4:$G$2503,$A1003,入库单!$X$4:$X$2503,"采购入库",入库单!$Z$4:$Z$2503,"正常",入库单!$C$4:$C$2503,"&gt;="&amp;账期起,入库单!$C$4:$C$2503,"&lt;="&amp;账期止))</f>
        <v/>
      </c>
      <c r="K1003" s="26">
        <f>IF($A1003="","",IFERROR(ROUND((N($H1003)+N($J1003))/(N($G1003)+N($I1003)),2),0))</f>
        <v/>
      </c>
      <c r="L1003" s="27">
        <f>IF($A1003="","",SUMIFS(入库单!$K$4:$K$2503,入库单!$G$4:$G$2503,$A1003,入库单!$X$4:$X$2503,"盘盈",入库单!$Z$4:$Z$2503,"正常",入库单!$C$4:$C$2503,"&gt;="&amp;账期起,入库单!$C$4:$C$2503,"&lt;="&amp;账期止))</f>
        <v/>
      </c>
      <c r="M1003" s="26">
        <f>IF($A1003="","",ROUND($L1003*$K1003,0))</f>
        <v/>
      </c>
      <c r="N1003" s="27">
        <f>IF($A1003="","",SUMIFS(入库单!$K$4:$K$2503,入库单!$G$4:$G$2503,$A1003,入库单!$X$4:$X$2503,"矿区退库",入库单!$Z$4:$Z$2503,"正常",入库单!$C$4:$C$2503,"&gt;="&amp;账期起,入库单!$C$4:$C$2503,"&lt;="&amp;账期止))</f>
        <v/>
      </c>
      <c r="O1003" s="26">
        <f>IF($A1003="","",ROUND($N1003*$K1003,0))</f>
        <v/>
      </c>
      <c r="P1003" s="27">
        <f>IF($A1003="","",SUMIFS(出库单!$J$4:$J$4003,出库单!$D$4:$D$4003,$A1003,出库单!$K$4:$K$4003,"自用消耗",出库单!$U$4:$U$4003,"正常",出库单!$C$4:$C$4003,"&gt;="&amp;账期起,出库单!$C$4:$C$4003,"&lt;="&amp;账期止))</f>
        <v/>
      </c>
      <c r="Q1003" s="26">
        <f>IF($A1003="","",ROUND(SUMIFS(出库单!$S$4:$S$4003,出库单!$D$4:$D$4003,$A1003,出库单!$K$4:$K$4003,"自用消耗",出库单!$U$4:$U$4003,"正常",出库单!$C$4:$C$4003,"&gt;="&amp;账期起,出库单!$C$4:$C$4003,"&lt;="&amp;账期止),0))</f>
        <v/>
      </c>
      <c r="R1003" s="27">
        <f>IF($A1003="","",SUMIFS(出库单!$J$4:$J$4003,出库单!$D$4:$D$4003,$A1003,出库单!$K$4:$K$4003,"对外销售",出库单!$U$4:$U$4003,"正常",出库单!$C$4:$C$4003,"&gt;="&amp;账期起,出库单!$C$4:$C$4003,"&lt;="&amp;账期止))</f>
        <v/>
      </c>
      <c r="S1003" s="26">
        <f>IF($A1003="","",ROUND(SUMIFS(出库单!$S$4:$S$4003,出库单!$D$4:$D$4003,$A1003,出库单!$K$4:$K$4003,"对外销售",出库单!$U$4:$U$4003,"正常",出库单!$C$4:$C$4003,"&gt;="&amp;账期起,出库单!$C$4:$C$4003,"&lt;="&amp;账期止),0))</f>
        <v/>
      </c>
      <c r="T1003" s="27">
        <f>IF($A1003="","",SUMIFS(出库单!$J$4:$J$4003,出库单!$D$4:$D$4003,$A1003,出库单!$K$4:$K$4003,"盘亏",出库单!$U$4:$U$4003,"正常",出库单!$C$4:$C$4003,"&gt;="&amp;账期起,出库单!$C$4:$C$4003,"&lt;="&amp;账期止))</f>
        <v/>
      </c>
      <c r="U1003" s="26">
        <f>IF($A1003="","",ROUND(SUMIFS(出库单!$S$4:$S$4003,出库单!$D$4:$D$4003,$A1003,出库单!$K$4:$K$4003,"盘亏",出库单!$U$4:$U$4003,"正常",出库单!$C$4:$C$4003,"&gt;="&amp;账期起,出库单!$C$4:$C$4003,"&lt;="&amp;账期止),0))</f>
        <v/>
      </c>
      <c r="V1003" s="27">
        <f>IF($A1003="","",SUMIFS(出库单!$J$4:$J$4003,出库单!$D$4:$D$4003,$A1003,出库单!$K$4:$K$4003,"退货给供应商",出库单!$U$4:$U$4003,"正常",出库单!$C$4:$C$4003,"&gt;="&amp;账期起,出库单!$C$4:$C$4003,"&lt;="&amp;账期止))</f>
        <v/>
      </c>
      <c r="W1003" s="26">
        <f>IF($A1003="","",ROUND(SUMIFS(出库单!$S$4:$S$4003,出库单!$D$4:$D$4003,$A1003,出库单!$K$4:$K$4003,"退货给供应商",出库单!$U$4:$U$4003,"正常",出库单!$C$4:$C$4003,"&gt;="&amp;账期起,出库单!$C$4:$C$4003,"&lt;="&amp;账期止),0))</f>
        <v/>
      </c>
      <c r="X1003" s="27">
        <f>IF($A1003="","",ROUND(N($G1003)+$I1003+$L1003+$N1003-$P1003-$R1003-$T1003-$V1003,3))</f>
        <v/>
      </c>
      <c r="Y1003" s="26">
        <f>IF($A1003="","",ROUND(N($H1003)+$J1003+$M1003+$O1003-$Q1003-$S1003-$U1003-$W1003,0))</f>
        <v/>
      </c>
      <c r="Z1003" s="24">
        <f>IF($A1003="","",IF(COUNTIFS(入库单!$G$4:$G$2503,$A1003,入库单!$Y$4:$Y$2503,"待补价")+COUNTIFS(入库单!$G$4:$G$2503,$A1003,入库单!$Y$4:$Y$2503,"暂估")&gt;0,"不可信","可信"))</f>
        <v/>
      </c>
      <c r="AA1003" s="24">
        <f>IF($A1003="","",IF($X1003&lt;-0.001,"※账面负库存，查一下是不是漏记入库",IF(AND(ROUND($X1003,3)=0,ABS($Y1003)&gt;1),"※数量已经是 0，金额还挂着 "&amp;TEXT($Y1003,"#,##0")&amp;" 先令",IF(AND($X1003&gt;0,$Y1003&lt;=0,$K1003=0),"※有数量没金额（这个物料一直没填过进价）",IF($Z1003="不可信","△成本含待补价/暂估，毛利仅供参考","")))))</f>
        <v/>
      </c>
    </row>
    <row r="1004">
      <c r="A1004" s="24">
        <f>IF(物料档案!$A1003="","",物料档案!$A1003)</f>
        <v/>
      </c>
      <c r="B1004" s="24">
        <f>IF($A1004="","",IFERROR(VLOOKUP($A1004,物料档案!$A$4:$P$1203,3,0),""))</f>
        <v/>
      </c>
      <c r="C1004" s="24">
        <f>IF($A1004="","",IFERROR(VLOOKUP($A1004,物料档案!$A$4:$P$1203,4,0),""))</f>
        <v/>
      </c>
      <c r="D1004" s="24">
        <f>IF($A1004="","",IFERROR(VLOOKUP($A1004,物料档案!$A$4:$P$1203,5,0),""))</f>
        <v/>
      </c>
      <c r="E1004" s="24">
        <f>IF($A1004="","",IFERROR(VLOOKUP($A1004,物料档案!$A$4:$P$1203,2,0),""))</f>
        <v/>
      </c>
      <c r="F1004" s="24">
        <f>IF($A1004="","",IFERROR(VLOOKUP($A1004,物料档案!$A$4:$P$1203,6,0),""))</f>
        <v/>
      </c>
      <c r="G1004" s="23" t="n"/>
      <c r="H1004" s="32" t="n"/>
      <c r="I1004" s="27">
        <f>IF($A1004="","",SUMIFS(入库单!$K$4:$K$2503,入库单!$G$4:$G$2503,$A1004,入库单!$X$4:$X$2503,"采购入库",入库单!$Z$4:$Z$2503,"正常",入库单!$C$4:$C$2503,"&gt;="&amp;账期起,入库单!$C$4:$C$2503,"&lt;="&amp;账期止))</f>
        <v/>
      </c>
      <c r="J1004" s="26">
        <f>IF($A1004="","",SUMIFS(入库单!$V$4:$V$2503,入库单!$G$4:$G$2503,$A1004,入库单!$X$4:$X$2503,"采购入库",入库单!$Z$4:$Z$2503,"正常",入库单!$C$4:$C$2503,"&gt;="&amp;账期起,入库单!$C$4:$C$2503,"&lt;="&amp;账期止))</f>
        <v/>
      </c>
      <c r="K1004" s="26">
        <f>IF($A1004="","",IFERROR(ROUND((N($H1004)+N($J1004))/(N($G1004)+N($I1004)),2),0))</f>
        <v/>
      </c>
      <c r="L1004" s="27">
        <f>IF($A1004="","",SUMIFS(入库单!$K$4:$K$2503,入库单!$G$4:$G$2503,$A1004,入库单!$X$4:$X$2503,"盘盈",入库单!$Z$4:$Z$2503,"正常",入库单!$C$4:$C$2503,"&gt;="&amp;账期起,入库单!$C$4:$C$2503,"&lt;="&amp;账期止))</f>
        <v/>
      </c>
      <c r="M1004" s="26">
        <f>IF($A1004="","",ROUND($L1004*$K1004,0))</f>
        <v/>
      </c>
      <c r="N1004" s="27">
        <f>IF($A1004="","",SUMIFS(入库单!$K$4:$K$2503,入库单!$G$4:$G$2503,$A1004,入库单!$X$4:$X$2503,"矿区退库",入库单!$Z$4:$Z$2503,"正常",入库单!$C$4:$C$2503,"&gt;="&amp;账期起,入库单!$C$4:$C$2503,"&lt;="&amp;账期止))</f>
        <v/>
      </c>
      <c r="O1004" s="26">
        <f>IF($A1004="","",ROUND($N1004*$K1004,0))</f>
        <v/>
      </c>
      <c r="P1004" s="27">
        <f>IF($A1004="","",SUMIFS(出库单!$J$4:$J$4003,出库单!$D$4:$D$4003,$A1004,出库单!$K$4:$K$4003,"自用消耗",出库单!$U$4:$U$4003,"正常",出库单!$C$4:$C$4003,"&gt;="&amp;账期起,出库单!$C$4:$C$4003,"&lt;="&amp;账期止))</f>
        <v/>
      </c>
      <c r="Q1004" s="26">
        <f>IF($A1004="","",ROUND(SUMIFS(出库单!$S$4:$S$4003,出库单!$D$4:$D$4003,$A1004,出库单!$K$4:$K$4003,"自用消耗",出库单!$U$4:$U$4003,"正常",出库单!$C$4:$C$4003,"&gt;="&amp;账期起,出库单!$C$4:$C$4003,"&lt;="&amp;账期止),0))</f>
        <v/>
      </c>
      <c r="R1004" s="27">
        <f>IF($A1004="","",SUMIFS(出库单!$J$4:$J$4003,出库单!$D$4:$D$4003,$A1004,出库单!$K$4:$K$4003,"对外销售",出库单!$U$4:$U$4003,"正常",出库单!$C$4:$C$4003,"&gt;="&amp;账期起,出库单!$C$4:$C$4003,"&lt;="&amp;账期止))</f>
        <v/>
      </c>
      <c r="S1004" s="26">
        <f>IF($A1004="","",ROUND(SUMIFS(出库单!$S$4:$S$4003,出库单!$D$4:$D$4003,$A1004,出库单!$K$4:$K$4003,"对外销售",出库单!$U$4:$U$4003,"正常",出库单!$C$4:$C$4003,"&gt;="&amp;账期起,出库单!$C$4:$C$4003,"&lt;="&amp;账期止),0))</f>
        <v/>
      </c>
      <c r="T1004" s="27">
        <f>IF($A1004="","",SUMIFS(出库单!$J$4:$J$4003,出库单!$D$4:$D$4003,$A1004,出库单!$K$4:$K$4003,"盘亏",出库单!$U$4:$U$4003,"正常",出库单!$C$4:$C$4003,"&gt;="&amp;账期起,出库单!$C$4:$C$4003,"&lt;="&amp;账期止))</f>
        <v/>
      </c>
      <c r="U1004" s="26">
        <f>IF($A1004="","",ROUND(SUMIFS(出库单!$S$4:$S$4003,出库单!$D$4:$D$4003,$A1004,出库单!$K$4:$K$4003,"盘亏",出库单!$U$4:$U$4003,"正常",出库单!$C$4:$C$4003,"&gt;="&amp;账期起,出库单!$C$4:$C$4003,"&lt;="&amp;账期止),0))</f>
        <v/>
      </c>
      <c r="V1004" s="27">
        <f>IF($A1004="","",SUMIFS(出库单!$J$4:$J$4003,出库单!$D$4:$D$4003,$A1004,出库单!$K$4:$K$4003,"退货给供应商",出库单!$U$4:$U$4003,"正常",出库单!$C$4:$C$4003,"&gt;="&amp;账期起,出库单!$C$4:$C$4003,"&lt;="&amp;账期止))</f>
        <v/>
      </c>
      <c r="W1004" s="26">
        <f>IF($A1004="","",ROUND(SUMIFS(出库单!$S$4:$S$4003,出库单!$D$4:$D$4003,$A1004,出库单!$K$4:$K$4003,"退货给供应商",出库单!$U$4:$U$4003,"正常",出库单!$C$4:$C$4003,"&gt;="&amp;账期起,出库单!$C$4:$C$4003,"&lt;="&amp;账期止),0))</f>
        <v/>
      </c>
      <c r="X1004" s="27">
        <f>IF($A1004="","",ROUND(N($G1004)+$I1004+$L1004+$N1004-$P1004-$R1004-$T1004-$V1004,3))</f>
        <v/>
      </c>
      <c r="Y1004" s="26">
        <f>IF($A1004="","",ROUND(N($H1004)+$J1004+$M1004+$O1004-$Q1004-$S1004-$U1004-$W1004,0))</f>
        <v/>
      </c>
      <c r="Z1004" s="24">
        <f>IF($A1004="","",IF(COUNTIFS(入库单!$G$4:$G$2503,$A1004,入库单!$Y$4:$Y$2503,"待补价")+COUNTIFS(入库单!$G$4:$G$2503,$A1004,入库单!$Y$4:$Y$2503,"暂估")&gt;0,"不可信","可信"))</f>
        <v/>
      </c>
      <c r="AA1004" s="24">
        <f>IF($A1004="","",IF($X1004&lt;-0.001,"※账面负库存，查一下是不是漏记入库",IF(AND(ROUND($X1004,3)=0,ABS($Y1004)&gt;1),"※数量已经是 0，金额还挂着 "&amp;TEXT($Y1004,"#,##0")&amp;" 先令",IF(AND($X1004&gt;0,$Y1004&lt;=0,$K1004=0),"※有数量没金额（这个物料一直没填过进价）",IF($Z1004="不可信","△成本含待补价/暂估，毛利仅供参考","")))))</f>
        <v/>
      </c>
    </row>
    <row r="1005">
      <c r="A1005" s="24">
        <f>IF(物料档案!$A1004="","",物料档案!$A1004)</f>
        <v/>
      </c>
      <c r="B1005" s="24">
        <f>IF($A1005="","",IFERROR(VLOOKUP($A1005,物料档案!$A$4:$P$1203,3,0),""))</f>
        <v/>
      </c>
      <c r="C1005" s="24">
        <f>IF($A1005="","",IFERROR(VLOOKUP($A1005,物料档案!$A$4:$P$1203,4,0),""))</f>
        <v/>
      </c>
      <c r="D1005" s="24">
        <f>IF($A1005="","",IFERROR(VLOOKUP($A1005,物料档案!$A$4:$P$1203,5,0),""))</f>
        <v/>
      </c>
      <c r="E1005" s="24">
        <f>IF($A1005="","",IFERROR(VLOOKUP($A1005,物料档案!$A$4:$P$1203,2,0),""))</f>
        <v/>
      </c>
      <c r="F1005" s="24">
        <f>IF($A1005="","",IFERROR(VLOOKUP($A1005,物料档案!$A$4:$P$1203,6,0),""))</f>
        <v/>
      </c>
      <c r="G1005" s="23" t="n"/>
      <c r="H1005" s="32" t="n"/>
      <c r="I1005" s="27">
        <f>IF($A1005="","",SUMIFS(入库单!$K$4:$K$2503,入库单!$G$4:$G$2503,$A1005,入库单!$X$4:$X$2503,"采购入库",入库单!$Z$4:$Z$2503,"正常",入库单!$C$4:$C$2503,"&gt;="&amp;账期起,入库单!$C$4:$C$2503,"&lt;="&amp;账期止))</f>
        <v/>
      </c>
      <c r="J1005" s="26">
        <f>IF($A1005="","",SUMIFS(入库单!$V$4:$V$2503,入库单!$G$4:$G$2503,$A1005,入库单!$X$4:$X$2503,"采购入库",入库单!$Z$4:$Z$2503,"正常",入库单!$C$4:$C$2503,"&gt;="&amp;账期起,入库单!$C$4:$C$2503,"&lt;="&amp;账期止))</f>
        <v/>
      </c>
      <c r="K1005" s="26">
        <f>IF($A1005="","",IFERROR(ROUND((N($H1005)+N($J1005))/(N($G1005)+N($I1005)),2),0))</f>
        <v/>
      </c>
      <c r="L1005" s="27">
        <f>IF($A1005="","",SUMIFS(入库单!$K$4:$K$2503,入库单!$G$4:$G$2503,$A1005,入库单!$X$4:$X$2503,"盘盈",入库单!$Z$4:$Z$2503,"正常",入库单!$C$4:$C$2503,"&gt;="&amp;账期起,入库单!$C$4:$C$2503,"&lt;="&amp;账期止))</f>
        <v/>
      </c>
      <c r="M1005" s="26">
        <f>IF($A1005="","",ROUND($L1005*$K1005,0))</f>
        <v/>
      </c>
      <c r="N1005" s="27">
        <f>IF($A1005="","",SUMIFS(入库单!$K$4:$K$2503,入库单!$G$4:$G$2503,$A1005,入库单!$X$4:$X$2503,"矿区退库",入库单!$Z$4:$Z$2503,"正常",入库单!$C$4:$C$2503,"&gt;="&amp;账期起,入库单!$C$4:$C$2503,"&lt;="&amp;账期止))</f>
        <v/>
      </c>
      <c r="O1005" s="26">
        <f>IF($A1005="","",ROUND($N1005*$K1005,0))</f>
        <v/>
      </c>
      <c r="P1005" s="27">
        <f>IF($A1005="","",SUMIFS(出库单!$J$4:$J$4003,出库单!$D$4:$D$4003,$A1005,出库单!$K$4:$K$4003,"自用消耗",出库单!$U$4:$U$4003,"正常",出库单!$C$4:$C$4003,"&gt;="&amp;账期起,出库单!$C$4:$C$4003,"&lt;="&amp;账期止))</f>
        <v/>
      </c>
      <c r="Q1005" s="26">
        <f>IF($A1005="","",ROUND(SUMIFS(出库单!$S$4:$S$4003,出库单!$D$4:$D$4003,$A1005,出库单!$K$4:$K$4003,"自用消耗",出库单!$U$4:$U$4003,"正常",出库单!$C$4:$C$4003,"&gt;="&amp;账期起,出库单!$C$4:$C$4003,"&lt;="&amp;账期止),0))</f>
        <v/>
      </c>
      <c r="R1005" s="27">
        <f>IF($A1005="","",SUMIFS(出库单!$J$4:$J$4003,出库单!$D$4:$D$4003,$A1005,出库单!$K$4:$K$4003,"对外销售",出库单!$U$4:$U$4003,"正常",出库单!$C$4:$C$4003,"&gt;="&amp;账期起,出库单!$C$4:$C$4003,"&lt;="&amp;账期止))</f>
        <v/>
      </c>
      <c r="S1005" s="26">
        <f>IF($A1005="","",ROUND(SUMIFS(出库单!$S$4:$S$4003,出库单!$D$4:$D$4003,$A1005,出库单!$K$4:$K$4003,"对外销售",出库单!$U$4:$U$4003,"正常",出库单!$C$4:$C$4003,"&gt;="&amp;账期起,出库单!$C$4:$C$4003,"&lt;="&amp;账期止),0))</f>
        <v/>
      </c>
      <c r="T1005" s="27">
        <f>IF($A1005="","",SUMIFS(出库单!$J$4:$J$4003,出库单!$D$4:$D$4003,$A1005,出库单!$K$4:$K$4003,"盘亏",出库单!$U$4:$U$4003,"正常",出库单!$C$4:$C$4003,"&gt;="&amp;账期起,出库单!$C$4:$C$4003,"&lt;="&amp;账期止))</f>
        <v/>
      </c>
      <c r="U1005" s="26">
        <f>IF($A1005="","",ROUND(SUMIFS(出库单!$S$4:$S$4003,出库单!$D$4:$D$4003,$A1005,出库单!$K$4:$K$4003,"盘亏",出库单!$U$4:$U$4003,"正常",出库单!$C$4:$C$4003,"&gt;="&amp;账期起,出库单!$C$4:$C$4003,"&lt;="&amp;账期止),0))</f>
        <v/>
      </c>
      <c r="V1005" s="27">
        <f>IF($A1005="","",SUMIFS(出库单!$J$4:$J$4003,出库单!$D$4:$D$4003,$A1005,出库单!$K$4:$K$4003,"退货给供应商",出库单!$U$4:$U$4003,"正常",出库单!$C$4:$C$4003,"&gt;="&amp;账期起,出库单!$C$4:$C$4003,"&lt;="&amp;账期止))</f>
        <v/>
      </c>
      <c r="W1005" s="26">
        <f>IF($A1005="","",ROUND(SUMIFS(出库单!$S$4:$S$4003,出库单!$D$4:$D$4003,$A1005,出库单!$K$4:$K$4003,"退货给供应商",出库单!$U$4:$U$4003,"正常",出库单!$C$4:$C$4003,"&gt;="&amp;账期起,出库单!$C$4:$C$4003,"&lt;="&amp;账期止),0))</f>
        <v/>
      </c>
      <c r="X1005" s="27">
        <f>IF($A1005="","",ROUND(N($G1005)+$I1005+$L1005+$N1005-$P1005-$R1005-$T1005-$V1005,3))</f>
        <v/>
      </c>
      <c r="Y1005" s="26">
        <f>IF($A1005="","",ROUND(N($H1005)+$J1005+$M1005+$O1005-$Q1005-$S1005-$U1005-$W1005,0))</f>
        <v/>
      </c>
      <c r="Z1005" s="24">
        <f>IF($A1005="","",IF(COUNTIFS(入库单!$G$4:$G$2503,$A1005,入库单!$Y$4:$Y$2503,"待补价")+COUNTIFS(入库单!$G$4:$G$2503,$A1005,入库单!$Y$4:$Y$2503,"暂估")&gt;0,"不可信","可信"))</f>
        <v/>
      </c>
      <c r="AA1005" s="24">
        <f>IF($A1005="","",IF($X1005&lt;-0.001,"※账面负库存，查一下是不是漏记入库",IF(AND(ROUND($X1005,3)=0,ABS($Y1005)&gt;1),"※数量已经是 0，金额还挂着 "&amp;TEXT($Y1005,"#,##0")&amp;" 先令",IF(AND($X1005&gt;0,$Y1005&lt;=0,$K1005=0),"※有数量没金额（这个物料一直没填过进价）",IF($Z1005="不可信","△成本含待补价/暂估，毛利仅供参考","")))))</f>
        <v/>
      </c>
    </row>
    <row r="1006">
      <c r="A1006" s="24">
        <f>IF(物料档案!$A1005="","",物料档案!$A1005)</f>
        <v/>
      </c>
      <c r="B1006" s="24">
        <f>IF($A1006="","",IFERROR(VLOOKUP($A1006,物料档案!$A$4:$P$1203,3,0),""))</f>
        <v/>
      </c>
      <c r="C1006" s="24">
        <f>IF($A1006="","",IFERROR(VLOOKUP($A1006,物料档案!$A$4:$P$1203,4,0),""))</f>
        <v/>
      </c>
      <c r="D1006" s="24">
        <f>IF($A1006="","",IFERROR(VLOOKUP($A1006,物料档案!$A$4:$P$1203,5,0),""))</f>
        <v/>
      </c>
      <c r="E1006" s="24">
        <f>IF($A1006="","",IFERROR(VLOOKUP($A1006,物料档案!$A$4:$P$1203,2,0),""))</f>
        <v/>
      </c>
      <c r="F1006" s="24">
        <f>IF($A1006="","",IFERROR(VLOOKUP($A1006,物料档案!$A$4:$P$1203,6,0),""))</f>
        <v/>
      </c>
      <c r="G1006" s="23" t="n"/>
      <c r="H1006" s="32" t="n"/>
      <c r="I1006" s="27">
        <f>IF($A1006="","",SUMIFS(入库单!$K$4:$K$2503,入库单!$G$4:$G$2503,$A1006,入库单!$X$4:$X$2503,"采购入库",入库单!$Z$4:$Z$2503,"正常",入库单!$C$4:$C$2503,"&gt;="&amp;账期起,入库单!$C$4:$C$2503,"&lt;="&amp;账期止))</f>
        <v/>
      </c>
      <c r="J1006" s="26">
        <f>IF($A1006="","",SUMIFS(入库单!$V$4:$V$2503,入库单!$G$4:$G$2503,$A1006,入库单!$X$4:$X$2503,"采购入库",入库单!$Z$4:$Z$2503,"正常",入库单!$C$4:$C$2503,"&gt;="&amp;账期起,入库单!$C$4:$C$2503,"&lt;="&amp;账期止))</f>
        <v/>
      </c>
      <c r="K1006" s="26">
        <f>IF($A1006="","",IFERROR(ROUND((N($H1006)+N($J1006))/(N($G1006)+N($I1006)),2),0))</f>
        <v/>
      </c>
      <c r="L1006" s="27">
        <f>IF($A1006="","",SUMIFS(入库单!$K$4:$K$2503,入库单!$G$4:$G$2503,$A1006,入库单!$X$4:$X$2503,"盘盈",入库单!$Z$4:$Z$2503,"正常",入库单!$C$4:$C$2503,"&gt;="&amp;账期起,入库单!$C$4:$C$2503,"&lt;="&amp;账期止))</f>
        <v/>
      </c>
      <c r="M1006" s="26">
        <f>IF($A1006="","",ROUND($L1006*$K1006,0))</f>
        <v/>
      </c>
      <c r="N1006" s="27">
        <f>IF($A1006="","",SUMIFS(入库单!$K$4:$K$2503,入库单!$G$4:$G$2503,$A1006,入库单!$X$4:$X$2503,"矿区退库",入库单!$Z$4:$Z$2503,"正常",入库单!$C$4:$C$2503,"&gt;="&amp;账期起,入库单!$C$4:$C$2503,"&lt;="&amp;账期止))</f>
        <v/>
      </c>
      <c r="O1006" s="26">
        <f>IF($A1006="","",ROUND($N1006*$K1006,0))</f>
        <v/>
      </c>
      <c r="P1006" s="27">
        <f>IF($A1006="","",SUMIFS(出库单!$J$4:$J$4003,出库单!$D$4:$D$4003,$A1006,出库单!$K$4:$K$4003,"自用消耗",出库单!$U$4:$U$4003,"正常",出库单!$C$4:$C$4003,"&gt;="&amp;账期起,出库单!$C$4:$C$4003,"&lt;="&amp;账期止))</f>
        <v/>
      </c>
      <c r="Q1006" s="26">
        <f>IF($A1006="","",ROUND(SUMIFS(出库单!$S$4:$S$4003,出库单!$D$4:$D$4003,$A1006,出库单!$K$4:$K$4003,"自用消耗",出库单!$U$4:$U$4003,"正常",出库单!$C$4:$C$4003,"&gt;="&amp;账期起,出库单!$C$4:$C$4003,"&lt;="&amp;账期止),0))</f>
        <v/>
      </c>
      <c r="R1006" s="27">
        <f>IF($A1006="","",SUMIFS(出库单!$J$4:$J$4003,出库单!$D$4:$D$4003,$A1006,出库单!$K$4:$K$4003,"对外销售",出库单!$U$4:$U$4003,"正常",出库单!$C$4:$C$4003,"&gt;="&amp;账期起,出库单!$C$4:$C$4003,"&lt;="&amp;账期止))</f>
        <v/>
      </c>
      <c r="S1006" s="26">
        <f>IF($A1006="","",ROUND(SUMIFS(出库单!$S$4:$S$4003,出库单!$D$4:$D$4003,$A1006,出库单!$K$4:$K$4003,"对外销售",出库单!$U$4:$U$4003,"正常",出库单!$C$4:$C$4003,"&gt;="&amp;账期起,出库单!$C$4:$C$4003,"&lt;="&amp;账期止),0))</f>
        <v/>
      </c>
      <c r="T1006" s="27">
        <f>IF($A1006="","",SUMIFS(出库单!$J$4:$J$4003,出库单!$D$4:$D$4003,$A1006,出库单!$K$4:$K$4003,"盘亏",出库单!$U$4:$U$4003,"正常",出库单!$C$4:$C$4003,"&gt;="&amp;账期起,出库单!$C$4:$C$4003,"&lt;="&amp;账期止))</f>
        <v/>
      </c>
      <c r="U1006" s="26">
        <f>IF($A1006="","",ROUND(SUMIFS(出库单!$S$4:$S$4003,出库单!$D$4:$D$4003,$A1006,出库单!$K$4:$K$4003,"盘亏",出库单!$U$4:$U$4003,"正常",出库单!$C$4:$C$4003,"&gt;="&amp;账期起,出库单!$C$4:$C$4003,"&lt;="&amp;账期止),0))</f>
        <v/>
      </c>
      <c r="V1006" s="27">
        <f>IF($A1006="","",SUMIFS(出库单!$J$4:$J$4003,出库单!$D$4:$D$4003,$A1006,出库单!$K$4:$K$4003,"退货给供应商",出库单!$U$4:$U$4003,"正常",出库单!$C$4:$C$4003,"&gt;="&amp;账期起,出库单!$C$4:$C$4003,"&lt;="&amp;账期止))</f>
        <v/>
      </c>
      <c r="W1006" s="26">
        <f>IF($A1006="","",ROUND(SUMIFS(出库单!$S$4:$S$4003,出库单!$D$4:$D$4003,$A1006,出库单!$K$4:$K$4003,"退货给供应商",出库单!$U$4:$U$4003,"正常",出库单!$C$4:$C$4003,"&gt;="&amp;账期起,出库单!$C$4:$C$4003,"&lt;="&amp;账期止),0))</f>
        <v/>
      </c>
      <c r="X1006" s="27">
        <f>IF($A1006="","",ROUND(N($G1006)+$I1006+$L1006+$N1006-$P1006-$R1006-$T1006-$V1006,3))</f>
        <v/>
      </c>
      <c r="Y1006" s="26">
        <f>IF($A1006="","",ROUND(N($H1006)+$J1006+$M1006+$O1006-$Q1006-$S1006-$U1006-$W1006,0))</f>
        <v/>
      </c>
      <c r="Z1006" s="24">
        <f>IF($A1006="","",IF(COUNTIFS(入库单!$G$4:$G$2503,$A1006,入库单!$Y$4:$Y$2503,"待补价")+COUNTIFS(入库单!$G$4:$G$2503,$A1006,入库单!$Y$4:$Y$2503,"暂估")&gt;0,"不可信","可信"))</f>
        <v/>
      </c>
      <c r="AA1006" s="24">
        <f>IF($A1006="","",IF($X1006&lt;-0.001,"※账面负库存，查一下是不是漏记入库",IF(AND(ROUND($X1006,3)=0,ABS($Y1006)&gt;1),"※数量已经是 0，金额还挂着 "&amp;TEXT($Y1006,"#,##0")&amp;" 先令",IF(AND($X1006&gt;0,$Y1006&lt;=0,$K1006=0),"※有数量没金额（这个物料一直没填过进价）",IF($Z1006="不可信","△成本含待补价/暂估，毛利仅供参考","")))))</f>
        <v/>
      </c>
    </row>
    <row r="1007">
      <c r="A1007" s="24">
        <f>IF(物料档案!$A1006="","",物料档案!$A1006)</f>
        <v/>
      </c>
      <c r="B1007" s="24">
        <f>IF($A1007="","",IFERROR(VLOOKUP($A1007,物料档案!$A$4:$P$1203,3,0),""))</f>
        <v/>
      </c>
      <c r="C1007" s="24">
        <f>IF($A1007="","",IFERROR(VLOOKUP($A1007,物料档案!$A$4:$P$1203,4,0),""))</f>
        <v/>
      </c>
      <c r="D1007" s="24">
        <f>IF($A1007="","",IFERROR(VLOOKUP($A1007,物料档案!$A$4:$P$1203,5,0),""))</f>
        <v/>
      </c>
      <c r="E1007" s="24">
        <f>IF($A1007="","",IFERROR(VLOOKUP($A1007,物料档案!$A$4:$P$1203,2,0),""))</f>
        <v/>
      </c>
      <c r="F1007" s="24">
        <f>IF($A1007="","",IFERROR(VLOOKUP($A1007,物料档案!$A$4:$P$1203,6,0),""))</f>
        <v/>
      </c>
      <c r="G1007" s="23" t="n"/>
      <c r="H1007" s="32" t="n"/>
      <c r="I1007" s="27">
        <f>IF($A1007="","",SUMIFS(入库单!$K$4:$K$2503,入库单!$G$4:$G$2503,$A1007,入库单!$X$4:$X$2503,"采购入库",入库单!$Z$4:$Z$2503,"正常",入库单!$C$4:$C$2503,"&gt;="&amp;账期起,入库单!$C$4:$C$2503,"&lt;="&amp;账期止))</f>
        <v/>
      </c>
      <c r="J1007" s="26">
        <f>IF($A1007="","",SUMIFS(入库单!$V$4:$V$2503,入库单!$G$4:$G$2503,$A1007,入库单!$X$4:$X$2503,"采购入库",入库单!$Z$4:$Z$2503,"正常",入库单!$C$4:$C$2503,"&gt;="&amp;账期起,入库单!$C$4:$C$2503,"&lt;="&amp;账期止))</f>
        <v/>
      </c>
      <c r="K1007" s="26">
        <f>IF($A1007="","",IFERROR(ROUND((N($H1007)+N($J1007))/(N($G1007)+N($I1007)),2),0))</f>
        <v/>
      </c>
      <c r="L1007" s="27">
        <f>IF($A1007="","",SUMIFS(入库单!$K$4:$K$2503,入库单!$G$4:$G$2503,$A1007,入库单!$X$4:$X$2503,"盘盈",入库单!$Z$4:$Z$2503,"正常",入库单!$C$4:$C$2503,"&gt;="&amp;账期起,入库单!$C$4:$C$2503,"&lt;="&amp;账期止))</f>
        <v/>
      </c>
      <c r="M1007" s="26">
        <f>IF($A1007="","",ROUND($L1007*$K1007,0))</f>
        <v/>
      </c>
      <c r="N1007" s="27">
        <f>IF($A1007="","",SUMIFS(入库单!$K$4:$K$2503,入库单!$G$4:$G$2503,$A1007,入库单!$X$4:$X$2503,"矿区退库",入库单!$Z$4:$Z$2503,"正常",入库单!$C$4:$C$2503,"&gt;="&amp;账期起,入库单!$C$4:$C$2503,"&lt;="&amp;账期止))</f>
        <v/>
      </c>
      <c r="O1007" s="26">
        <f>IF($A1007="","",ROUND($N1007*$K1007,0))</f>
        <v/>
      </c>
      <c r="P1007" s="27">
        <f>IF($A1007="","",SUMIFS(出库单!$J$4:$J$4003,出库单!$D$4:$D$4003,$A1007,出库单!$K$4:$K$4003,"自用消耗",出库单!$U$4:$U$4003,"正常",出库单!$C$4:$C$4003,"&gt;="&amp;账期起,出库单!$C$4:$C$4003,"&lt;="&amp;账期止))</f>
        <v/>
      </c>
      <c r="Q1007" s="26">
        <f>IF($A1007="","",ROUND(SUMIFS(出库单!$S$4:$S$4003,出库单!$D$4:$D$4003,$A1007,出库单!$K$4:$K$4003,"自用消耗",出库单!$U$4:$U$4003,"正常",出库单!$C$4:$C$4003,"&gt;="&amp;账期起,出库单!$C$4:$C$4003,"&lt;="&amp;账期止),0))</f>
        <v/>
      </c>
      <c r="R1007" s="27">
        <f>IF($A1007="","",SUMIFS(出库单!$J$4:$J$4003,出库单!$D$4:$D$4003,$A1007,出库单!$K$4:$K$4003,"对外销售",出库单!$U$4:$U$4003,"正常",出库单!$C$4:$C$4003,"&gt;="&amp;账期起,出库单!$C$4:$C$4003,"&lt;="&amp;账期止))</f>
        <v/>
      </c>
      <c r="S1007" s="26">
        <f>IF($A1007="","",ROUND(SUMIFS(出库单!$S$4:$S$4003,出库单!$D$4:$D$4003,$A1007,出库单!$K$4:$K$4003,"对外销售",出库单!$U$4:$U$4003,"正常",出库单!$C$4:$C$4003,"&gt;="&amp;账期起,出库单!$C$4:$C$4003,"&lt;="&amp;账期止),0))</f>
        <v/>
      </c>
      <c r="T1007" s="27">
        <f>IF($A1007="","",SUMIFS(出库单!$J$4:$J$4003,出库单!$D$4:$D$4003,$A1007,出库单!$K$4:$K$4003,"盘亏",出库单!$U$4:$U$4003,"正常",出库单!$C$4:$C$4003,"&gt;="&amp;账期起,出库单!$C$4:$C$4003,"&lt;="&amp;账期止))</f>
        <v/>
      </c>
      <c r="U1007" s="26">
        <f>IF($A1007="","",ROUND(SUMIFS(出库单!$S$4:$S$4003,出库单!$D$4:$D$4003,$A1007,出库单!$K$4:$K$4003,"盘亏",出库单!$U$4:$U$4003,"正常",出库单!$C$4:$C$4003,"&gt;="&amp;账期起,出库单!$C$4:$C$4003,"&lt;="&amp;账期止),0))</f>
        <v/>
      </c>
      <c r="V1007" s="27">
        <f>IF($A1007="","",SUMIFS(出库单!$J$4:$J$4003,出库单!$D$4:$D$4003,$A1007,出库单!$K$4:$K$4003,"退货给供应商",出库单!$U$4:$U$4003,"正常",出库单!$C$4:$C$4003,"&gt;="&amp;账期起,出库单!$C$4:$C$4003,"&lt;="&amp;账期止))</f>
        <v/>
      </c>
      <c r="W1007" s="26">
        <f>IF($A1007="","",ROUND(SUMIFS(出库单!$S$4:$S$4003,出库单!$D$4:$D$4003,$A1007,出库单!$K$4:$K$4003,"退货给供应商",出库单!$U$4:$U$4003,"正常",出库单!$C$4:$C$4003,"&gt;="&amp;账期起,出库单!$C$4:$C$4003,"&lt;="&amp;账期止),0))</f>
        <v/>
      </c>
      <c r="X1007" s="27">
        <f>IF($A1007="","",ROUND(N($G1007)+$I1007+$L1007+$N1007-$P1007-$R1007-$T1007-$V1007,3))</f>
        <v/>
      </c>
      <c r="Y1007" s="26">
        <f>IF($A1007="","",ROUND(N($H1007)+$J1007+$M1007+$O1007-$Q1007-$S1007-$U1007-$W1007,0))</f>
        <v/>
      </c>
      <c r="Z1007" s="24">
        <f>IF($A1007="","",IF(COUNTIFS(入库单!$G$4:$G$2503,$A1007,入库单!$Y$4:$Y$2503,"待补价")+COUNTIFS(入库单!$G$4:$G$2503,$A1007,入库单!$Y$4:$Y$2503,"暂估")&gt;0,"不可信","可信"))</f>
        <v/>
      </c>
      <c r="AA1007" s="24">
        <f>IF($A1007="","",IF($X1007&lt;-0.001,"※账面负库存，查一下是不是漏记入库",IF(AND(ROUND($X1007,3)=0,ABS($Y1007)&gt;1),"※数量已经是 0，金额还挂着 "&amp;TEXT($Y1007,"#,##0")&amp;" 先令",IF(AND($X1007&gt;0,$Y1007&lt;=0,$K1007=0),"※有数量没金额（这个物料一直没填过进价）",IF($Z1007="不可信","△成本含待补价/暂估，毛利仅供参考","")))))</f>
        <v/>
      </c>
    </row>
    <row r="1008">
      <c r="A1008" s="24">
        <f>IF(物料档案!$A1007="","",物料档案!$A1007)</f>
        <v/>
      </c>
      <c r="B1008" s="24">
        <f>IF($A1008="","",IFERROR(VLOOKUP($A1008,物料档案!$A$4:$P$1203,3,0),""))</f>
        <v/>
      </c>
      <c r="C1008" s="24">
        <f>IF($A1008="","",IFERROR(VLOOKUP($A1008,物料档案!$A$4:$P$1203,4,0),""))</f>
        <v/>
      </c>
      <c r="D1008" s="24">
        <f>IF($A1008="","",IFERROR(VLOOKUP($A1008,物料档案!$A$4:$P$1203,5,0),""))</f>
        <v/>
      </c>
      <c r="E1008" s="24">
        <f>IF($A1008="","",IFERROR(VLOOKUP($A1008,物料档案!$A$4:$P$1203,2,0),""))</f>
        <v/>
      </c>
      <c r="F1008" s="24">
        <f>IF($A1008="","",IFERROR(VLOOKUP($A1008,物料档案!$A$4:$P$1203,6,0),""))</f>
        <v/>
      </c>
      <c r="G1008" s="23" t="n"/>
      <c r="H1008" s="32" t="n"/>
      <c r="I1008" s="27">
        <f>IF($A1008="","",SUMIFS(入库单!$K$4:$K$2503,入库单!$G$4:$G$2503,$A1008,入库单!$X$4:$X$2503,"采购入库",入库单!$Z$4:$Z$2503,"正常",入库单!$C$4:$C$2503,"&gt;="&amp;账期起,入库单!$C$4:$C$2503,"&lt;="&amp;账期止))</f>
        <v/>
      </c>
      <c r="J1008" s="26">
        <f>IF($A1008="","",SUMIFS(入库单!$V$4:$V$2503,入库单!$G$4:$G$2503,$A1008,入库单!$X$4:$X$2503,"采购入库",入库单!$Z$4:$Z$2503,"正常",入库单!$C$4:$C$2503,"&gt;="&amp;账期起,入库单!$C$4:$C$2503,"&lt;="&amp;账期止))</f>
        <v/>
      </c>
      <c r="K1008" s="26">
        <f>IF($A1008="","",IFERROR(ROUND((N($H1008)+N($J1008))/(N($G1008)+N($I1008)),2),0))</f>
        <v/>
      </c>
      <c r="L1008" s="27">
        <f>IF($A1008="","",SUMIFS(入库单!$K$4:$K$2503,入库单!$G$4:$G$2503,$A1008,入库单!$X$4:$X$2503,"盘盈",入库单!$Z$4:$Z$2503,"正常",入库单!$C$4:$C$2503,"&gt;="&amp;账期起,入库单!$C$4:$C$2503,"&lt;="&amp;账期止))</f>
        <v/>
      </c>
      <c r="M1008" s="26">
        <f>IF($A1008="","",ROUND($L1008*$K1008,0))</f>
        <v/>
      </c>
      <c r="N1008" s="27">
        <f>IF($A1008="","",SUMIFS(入库单!$K$4:$K$2503,入库单!$G$4:$G$2503,$A1008,入库单!$X$4:$X$2503,"矿区退库",入库单!$Z$4:$Z$2503,"正常",入库单!$C$4:$C$2503,"&gt;="&amp;账期起,入库单!$C$4:$C$2503,"&lt;="&amp;账期止))</f>
        <v/>
      </c>
      <c r="O1008" s="26">
        <f>IF($A1008="","",ROUND($N1008*$K1008,0))</f>
        <v/>
      </c>
      <c r="P1008" s="27">
        <f>IF($A1008="","",SUMIFS(出库单!$J$4:$J$4003,出库单!$D$4:$D$4003,$A1008,出库单!$K$4:$K$4003,"自用消耗",出库单!$U$4:$U$4003,"正常",出库单!$C$4:$C$4003,"&gt;="&amp;账期起,出库单!$C$4:$C$4003,"&lt;="&amp;账期止))</f>
        <v/>
      </c>
      <c r="Q1008" s="26">
        <f>IF($A1008="","",ROUND(SUMIFS(出库单!$S$4:$S$4003,出库单!$D$4:$D$4003,$A1008,出库单!$K$4:$K$4003,"自用消耗",出库单!$U$4:$U$4003,"正常",出库单!$C$4:$C$4003,"&gt;="&amp;账期起,出库单!$C$4:$C$4003,"&lt;="&amp;账期止),0))</f>
        <v/>
      </c>
      <c r="R1008" s="27">
        <f>IF($A1008="","",SUMIFS(出库单!$J$4:$J$4003,出库单!$D$4:$D$4003,$A1008,出库单!$K$4:$K$4003,"对外销售",出库单!$U$4:$U$4003,"正常",出库单!$C$4:$C$4003,"&gt;="&amp;账期起,出库单!$C$4:$C$4003,"&lt;="&amp;账期止))</f>
        <v/>
      </c>
      <c r="S1008" s="26">
        <f>IF($A1008="","",ROUND(SUMIFS(出库单!$S$4:$S$4003,出库单!$D$4:$D$4003,$A1008,出库单!$K$4:$K$4003,"对外销售",出库单!$U$4:$U$4003,"正常",出库单!$C$4:$C$4003,"&gt;="&amp;账期起,出库单!$C$4:$C$4003,"&lt;="&amp;账期止),0))</f>
        <v/>
      </c>
      <c r="T1008" s="27">
        <f>IF($A1008="","",SUMIFS(出库单!$J$4:$J$4003,出库单!$D$4:$D$4003,$A1008,出库单!$K$4:$K$4003,"盘亏",出库单!$U$4:$U$4003,"正常",出库单!$C$4:$C$4003,"&gt;="&amp;账期起,出库单!$C$4:$C$4003,"&lt;="&amp;账期止))</f>
        <v/>
      </c>
      <c r="U1008" s="26">
        <f>IF($A1008="","",ROUND(SUMIFS(出库单!$S$4:$S$4003,出库单!$D$4:$D$4003,$A1008,出库单!$K$4:$K$4003,"盘亏",出库单!$U$4:$U$4003,"正常",出库单!$C$4:$C$4003,"&gt;="&amp;账期起,出库单!$C$4:$C$4003,"&lt;="&amp;账期止),0))</f>
        <v/>
      </c>
      <c r="V1008" s="27">
        <f>IF($A1008="","",SUMIFS(出库单!$J$4:$J$4003,出库单!$D$4:$D$4003,$A1008,出库单!$K$4:$K$4003,"退货给供应商",出库单!$U$4:$U$4003,"正常",出库单!$C$4:$C$4003,"&gt;="&amp;账期起,出库单!$C$4:$C$4003,"&lt;="&amp;账期止))</f>
        <v/>
      </c>
      <c r="W1008" s="26">
        <f>IF($A1008="","",ROUND(SUMIFS(出库单!$S$4:$S$4003,出库单!$D$4:$D$4003,$A1008,出库单!$K$4:$K$4003,"退货给供应商",出库单!$U$4:$U$4003,"正常",出库单!$C$4:$C$4003,"&gt;="&amp;账期起,出库单!$C$4:$C$4003,"&lt;="&amp;账期止),0))</f>
        <v/>
      </c>
      <c r="X1008" s="27">
        <f>IF($A1008="","",ROUND(N($G1008)+$I1008+$L1008+$N1008-$P1008-$R1008-$T1008-$V1008,3))</f>
        <v/>
      </c>
      <c r="Y1008" s="26">
        <f>IF($A1008="","",ROUND(N($H1008)+$J1008+$M1008+$O1008-$Q1008-$S1008-$U1008-$W1008,0))</f>
        <v/>
      </c>
      <c r="Z1008" s="24">
        <f>IF($A1008="","",IF(COUNTIFS(入库单!$G$4:$G$2503,$A1008,入库单!$Y$4:$Y$2503,"待补价")+COUNTIFS(入库单!$G$4:$G$2503,$A1008,入库单!$Y$4:$Y$2503,"暂估")&gt;0,"不可信","可信"))</f>
        <v/>
      </c>
      <c r="AA1008" s="24">
        <f>IF($A1008="","",IF($X1008&lt;-0.001,"※账面负库存，查一下是不是漏记入库",IF(AND(ROUND($X1008,3)=0,ABS($Y1008)&gt;1),"※数量已经是 0，金额还挂着 "&amp;TEXT($Y1008,"#,##0")&amp;" 先令",IF(AND($X1008&gt;0,$Y1008&lt;=0,$K1008=0),"※有数量没金额（这个物料一直没填过进价）",IF($Z1008="不可信","△成本含待补价/暂估，毛利仅供参考","")))))</f>
        <v/>
      </c>
    </row>
    <row r="1009">
      <c r="A1009" s="24">
        <f>IF(物料档案!$A1008="","",物料档案!$A1008)</f>
        <v/>
      </c>
      <c r="B1009" s="24">
        <f>IF($A1009="","",IFERROR(VLOOKUP($A1009,物料档案!$A$4:$P$1203,3,0),""))</f>
        <v/>
      </c>
      <c r="C1009" s="24">
        <f>IF($A1009="","",IFERROR(VLOOKUP($A1009,物料档案!$A$4:$P$1203,4,0),""))</f>
        <v/>
      </c>
      <c r="D1009" s="24">
        <f>IF($A1009="","",IFERROR(VLOOKUP($A1009,物料档案!$A$4:$P$1203,5,0),""))</f>
        <v/>
      </c>
      <c r="E1009" s="24">
        <f>IF($A1009="","",IFERROR(VLOOKUP($A1009,物料档案!$A$4:$P$1203,2,0),""))</f>
        <v/>
      </c>
      <c r="F1009" s="24">
        <f>IF($A1009="","",IFERROR(VLOOKUP($A1009,物料档案!$A$4:$P$1203,6,0),""))</f>
        <v/>
      </c>
      <c r="G1009" s="23" t="n"/>
      <c r="H1009" s="32" t="n"/>
      <c r="I1009" s="27">
        <f>IF($A1009="","",SUMIFS(入库单!$K$4:$K$2503,入库单!$G$4:$G$2503,$A1009,入库单!$X$4:$X$2503,"采购入库",入库单!$Z$4:$Z$2503,"正常",入库单!$C$4:$C$2503,"&gt;="&amp;账期起,入库单!$C$4:$C$2503,"&lt;="&amp;账期止))</f>
        <v/>
      </c>
      <c r="J1009" s="26">
        <f>IF($A1009="","",SUMIFS(入库单!$V$4:$V$2503,入库单!$G$4:$G$2503,$A1009,入库单!$X$4:$X$2503,"采购入库",入库单!$Z$4:$Z$2503,"正常",入库单!$C$4:$C$2503,"&gt;="&amp;账期起,入库单!$C$4:$C$2503,"&lt;="&amp;账期止))</f>
        <v/>
      </c>
      <c r="K1009" s="26">
        <f>IF($A1009="","",IFERROR(ROUND((N($H1009)+N($J1009))/(N($G1009)+N($I1009)),2),0))</f>
        <v/>
      </c>
      <c r="L1009" s="27">
        <f>IF($A1009="","",SUMIFS(入库单!$K$4:$K$2503,入库单!$G$4:$G$2503,$A1009,入库单!$X$4:$X$2503,"盘盈",入库单!$Z$4:$Z$2503,"正常",入库单!$C$4:$C$2503,"&gt;="&amp;账期起,入库单!$C$4:$C$2503,"&lt;="&amp;账期止))</f>
        <v/>
      </c>
      <c r="M1009" s="26">
        <f>IF($A1009="","",ROUND($L1009*$K1009,0))</f>
        <v/>
      </c>
      <c r="N1009" s="27">
        <f>IF($A1009="","",SUMIFS(入库单!$K$4:$K$2503,入库单!$G$4:$G$2503,$A1009,入库单!$X$4:$X$2503,"矿区退库",入库单!$Z$4:$Z$2503,"正常",入库单!$C$4:$C$2503,"&gt;="&amp;账期起,入库单!$C$4:$C$2503,"&lt;="&amp;账期止))</f>
        <v/>
      </c>
      <c r="O1009" s="26">
        <f>IF($A1009="","",ROUND($N1009*$K1009,0))</f>
        <v/>
      </c>
      <c r="P1009" s="27">
        <f>IF($A1009="","",SUMIFS(出库单!$J$4:$J$4003,出库单!$D$4:$D$4003,$A1009,出库单!$K$4:$K$4003,"自用消耗",出库单!$U$4:$U$4003,"正常",出库单!$C$4:$C$4003,"&gt;="&amp;账期起,出库单!$C$4:$C$4003,"&lt;="&amp;账期止))</f>
        <v/>
      </c>
      <c r="Q1009" s="26">
        <f>IF($A1009="","",ROUND(SUMIFS(出库单!$S$4:$S$4003,出库单!$D$4:$D$4003,$A1009,出库单!$K$4:$K$4003,"自用消耗",出库单!$U$4:$U$4003,"正常",出库单!$C$4:$C$4003,"&gt;="&amp;账期起,出库单!$C$4:$C$4003,"&lt;="&amp;账期止),0))</f>
        <v/>
      </c>
      <c r="R1009" s="27">
        <f>IF($A1009="","",SUMIFS(出库单!$J$4:$J$4003,出库单!$D$4:$D$4003,$A1009,出库单!$K$4:$K$4003,"对外销售",出库单!$U$4:$U$4003,"正常",出库单!$C$4:$C$4003,"&gt;="&amp;账期起,出库单!$C$4:$C$4003,"&lt;="&amp;账期止))</f>
        <v/>
      </c>
      <c r="S1009" s="26">
        <f>IF($A1009="","",ROUND(SUMIFS(出库单!$S$4:$S$4003,出库单!$D$4:$D$4003,$A1009,出库单!$K$4:$K$4003,"对外销售",出库单!$U$4:$U$4003,"正常",出库单!$C$4:$C$4003,"&gt;="&amp;账期起,出库单!$C$4:$C$4003,"&lt;="&amp;账期止),0))</f>
        <v/>
      </c>
      <c r="T1009" s="27">
        <f>IF($A1009="","",SUMIFS(出库单!$J$4:$J$4003,出库单!$D$4:$D$4003,$A1009,出库单!$K$4:$K$4003,"盘亏",出库单!$U$4:$U$4003,"正常",出库单!$C$4:$C$4003,"&gt;="&amp;账期起,出库单!$C$4:$C$4003,"&lt;="&amp;账期止))</f>
        <v/>
      </c>
      <c r="U1009" s="26">
        <f>IF($A1009="","",ROUND(SUMIFS(出库单!$S$4:$S$4003,出库单!$D$4:$D$4003,$A1009,出库单!$K$4:$K$4003,"盘亏",出库单!$U$4:$U$4003,"正常",出库单!$C$4:$C$4003,"&gt;="&amp;账期起,出库单!$C$4:$C$4003,"&lt;="&amp;账期止),0))</f>
        <v/>
      </c>
      <c r="V1009" s="27">
        <f>IF($A1009="","",SUMIFS(出库单!$J$4:$J$4003,出库单!$D$4:$D$4003,$A1009,出库单!$K$4:$K$4003,"退货给供应商",出库单!$U$4:$U$4003,"正常",出库单!$C$4:$C$4003,"&gt;="&amp;账期起,出库单!$C$4:$C$4003,"&lt;="&amp;账期止))</f>
        <v/>
      </c>
      <c r="W1009" s="26">
        <f>IF($A1009="","",ROUND(SUMIFS(出库单!$S$4:$S$4003,出库单!$D$4:$D$4003,$A1009,出库单!$K$4:$K$4003,"退货给供应商",出库单!$U$4:$U$4003,"正常",出库单!$C$4:$C$4003,"&gt;="&amp;账期起,出库单!$C$4:$C$4003,"&lt;="&amp;账期止),0))</f>
        <v/>
      </c>
      <c r="X1009" s="27">
        <f>IF($A1009="","",ROUND(N($G1009)+$I1009+$L1009+$N1009-$P1009-$R1009-$T1009-$V1009,3))</f>
        <v/>
      </c>
      <c r="Y1009" s="26">
        <f>IF($A1009="","",ROUND(N($H1009)+$J1009+$M1009+$O1009-$Q1009-$S1009-$U1009-$W1009,0))</f>
        <v/>
      </c>
      <c r="Z1009" s="24">
        <f>IF($A1009="","",IF(COUNTIFS(入库单!$G$4:$G$2503,$A1009,入库单!$Y$4:$Y$2503,"待补价")+COUNTIFS(入库单!$G$4:$G$2503,$A1009,入库单!$Y$4:$Y$2503,"暂估")&gt;0,"不可信","可信"))</f>
        <v/>
      </c>
      <c r="AA1009" s="24">
        <f>IF($A1009="","",IF($X1009&lt;-0.001,"※账面负库存，查一下是不是漏记入库",IF(AND(ROUND($X1009,3)=0,ABS($Y1009)&gt;1),"※数量已经是 0，金额还挂着 "&amp;TEXT($Y1009,"#,##0")&amp;" 先令",IF(AND($X1009&gt;0,$Y1009&lt;=0,$K1009=0),"※有数量没金额（这个物料一直没填过进价）",IF($Z1009="不可信","△成本含待补价/暂估，毛利仅供参考","")))))</f>
        <v/>
      </c>
    </row>
    <row r="1010">
      <c r="A1010" s="24">
        <f>IF(物料档案!$A1009="","",物料档案!$A1009)</f>
        <v/>
      </c>
      <c r="B1010" s="24">
        <f>IF($A1010="","",IFERROR(VLOOKUP($A1010,物料档案!$A$4:$P$1203,3,0),""))</f>
        <v/>
      </c>
      <c r="C1010" s="24">
        <f>IF($A1010="","",IFERROR(VLOOKUP($A1010,物料档案!$A$4:$P$1203,4,0),""))</f>
        <v/>
      </c>
      <c r="D1010" s="24">
        <f>IF($A1010="","",IFERROR(VLOOKUP($A1010,物料档案!$A$4:$P$1203,5,0),""))</f>
        <v/>
      </c>
      <c r="E1010" s="24">
        <f>IF($A1010="","",IFERROR(VLOOKUP($A1010,物料档案!$A$4:$P$1203,2,0),""))</f>
        <v/>
      </c>
      <c r="F1010" s="24">
        <f>IF($A1010="","",IFERROR(VLOOKUP($A1010,物料档案!$A$4:$P$1203,6,0),""))</f>
        <v/>
      </c>
      <c r="G1010" s="23" t="n"/>
      <c r="H1010" s="32" t="n"/>
      <c r="I1010" s="27">
        <f>IF($A1010="","",SUMIFS(入库单!$K$4:$K$2503,入库单!$G$4:$G$2503,$A1010,入库单!$X$4:$X$2503,"采购入库",入库单!$Z$4:$Z$2503,"正常",入库单!$C$4:$C$2503,"&gt;="&amp;账期起,入库单!$C$4:$C$2503,"&lt;="&amp;账期止))</f>
        <v/>
      </c>
      <c r="J1010" s="26">
        <f>IF($A1010="","",SUMIFS(入库单!$V$4:$V$2503,入库单!$G$4:$G$2503,$A1010,入库单!$X$4:$X$2503,"采购入库",入库单!$Z$4:$Z$2503,"正常",入库单!$C$4:$C$2503,"&gt;="&amp;账期起,入库单!$C$4:$C$2503,"&lt;="&amp;账期止))</f>
        <v/>
      </c>
      <c r="K1010" s="26">
        <f>IF($A1010="","",IFERROR(ROUND((N($H1010)+N($J1010))/(N($G1010)+N($I1010)),2),0))</f>
        <v/>
      </c>
      <c r="L1010" s="27">
        <f>IF($A1010="","",SUMIFS(入库单!$K$4:$K$2503,入库单!$G$4:$G$2503,$A1010,入库单!$X$4:$X$2503,"盘盈",入库单!$Z$4:$Z$2503,"正常",入库单!$C$4:$C$2503,"&gt;="&amp;账期起,入库单!$C$4:$C$2503,"&lt;="&amp;账期止))</f>
        <v/>
      </c>
      <c r="M1010" s="26">
        <f>IF($A1010="","",ROUND($L1010*$K1010,0))</f>
        <v/>
      </c>
      <c r="N1010" s="27">
        <f>IF($A1010="","",SUMIFS(入库单!$K$4:$K$2503,入库单!$G$4:$G$2503,$A1010,入库单!$X$4:$X$2503,"矿区退库",入库单!$Z$4:$Z$2503,"正常",入库单!$C$4:$C$2503,"&gt;="&amp;账期起,入库单!$C$4:$C$2503,"&lt;="&amp;账期止))</f>
        <v/>
      </c>
      <c r="O1010" s="26">
        <f>IF($A1010="","",ROUND($N1010*$K1010,0))</f>
        <v/>
      </c>
      <c r="P1010" s="27">
        <f>IF($A1010="","",SUMIFS(出库单!$J$4:$J$4003,出库单!$D$4:$D$4003,$A1010,出库单!$K$4:$K$4003,"自用消耗",出库单!$U$4:$U$4003,"正常",出库单!$C$4:$C$4003,"&gt;="&amp;账期起,出库单!$C$4:$C$4003,"&lt;="&amp;账期止))</f>
        <v/>
      </c>
      <c r="Q1010" s="26">
        <f>IF($A1010="","",ROUND(SUMIFS(出库单!$S$4:$S$4003,出库单!$D$4:$D$4003,$A1010,出库单!$K$4:$K$4003,"自用消耗",出库单!$U$4:$U$4003,"正常",出库单!$C$4:$C$4003,"&gt;="&amp;账期起,出库单!$C$4:$C$4003,"&lt;="&amp;账期止),0))</f>
        <v/>
      </c>
      <c r="R1010" s="27">
        <f>IF($A1010="","",SUMIFS(出库单!$J$4:$J$4003,出库单!$D$4:$D$4003,$A1010,出库单!$K$4:$K$4003,"对外销售",出库单!$U$4:$U$4003,"正常",出库单!$C$4:$C$4003,"&gt;="&amp;账期起,出库单!$C$4:$C$4003,"&lt;="&amp;账期止))</f>
        <v/>
      </c>
      <c r="S1010" s="26">
        <f>IF($A1010="","",ROUND(SUMIFS(出库单!$S$4:$S$4003,出库单!$D$4:$D$4003,$A1010,出库单!$K$4:$K$4003,"对外销售",出库单!$U$4:$U$4003,"正常",出库单!$C$4:$C$4003,"&gt;="&amp;账期起,出库单!$C$4:$C$4003,"&lt;="&amp;账期止),0))</f>
        <v/>
      </c>
      <c r="T1010" s="27">
        <f>IF($A1010="","",SUMIFS(出库单!$J$4:$J$4003,出库单!$D$4:$D$4003,$A1010,出库单!$K$4:$K$4003,"盘亏",出库单!$U$4:$U$4003,"正常",出库单!$C$4:$C$4003,"&gt;="&amp;账期起,出库单!$C$4:$C$4003,"&lt;="&amp;账期止))</f>
        <v/>
      </c>
      <c r="U1010" s="26">
        <f>IF($A1010="","",ROUND(SUMIFS(出库单!$S$4:$S$4003,出库单!$D$4:$D$4003,$A1010,出库单!$K$4:$K$4003,"盘亏",出库单!$U$4:$U$4003,"正常",出库单!$C$4:$C$4003,"&gt;="&amp;账期起,出库单!$C$4:$C$4003,"&lt;="&amp;账期止),0))</f>
        <v/>
      </c>
      <c r="V1010" s="27">
        <f>IF($A1010="","",SUMIFS(出库单!$J$4:$J$4003,出库单!$D$4:$D$4003,$A1010,出库单!$K$4:$K$4003,"退货给供应商",出库单!$U$4:$U$4003,"正常",出库单!$C$4:$C$4003,"&gt;="&amp;账期起,出库单!$C$4:$C$4003,"&lt;="&amp;账期止))</f>
        <v/>
      </c>
      <c r="W1010" s="26">
        <f>IF($A1010="","",ROUND(SUMIFS(出库单!$S$4:$S$4003,出库单!$D$4:$D$4003,$A1010,出库单!$K$4:$K$4003,"退货给供应商",出库单!$U$4:$U$4003,"正常",出库单!$C$4:$C$4003,"&gt;="&amp;账期起,出库单!$C$4:$C$4003,"&lt;="&amp;账期止),0))</f>
        <v/>
      </c>
      <c r="X1010" s="27">
        <f>IF($A1010="","",ROUND(N($G1010)+$I1010+$L1010+$N1010-$P1010-$R1010-$T1010-$V1010,3))</f>
        <v/>
      </c>
      <c r="Y1010" s="26">
        <f>IF($A1010="","",ROUND(N($H1010)+$J1010+$M1010+$O1010-$Q1010-$S1010-$U1010-$W1010,0))</f>
        <v/>
      </c>
      <c r="Z1010" s="24">
        <f>IF($A1010="","",IF(COUNTIFS(入库单!$G$4:$G$2503,$A1010,入库单!$Y$4:$Y$2503,"待补价")+COUNTIFS(入库单!$G$4:$G$2503,$A1010,入库单!$Y$4:$Y$2503,"暂估")&gt;0,"不可信","可信"))</f>
        <v/>
      </c>
      <c r="AA1010" s="24">
        <f>IF($A1010="","",IF($X1010&lt;-0.001,"※账面负库存，查一下是不是漏记入库",IF(AND(ROUND($X1010,3)=0,ABS($Y1010)&gt;1),"※数量已经是 0，金额还挂着 "&amp;TEXT($Y1010,"#,##0")&amp;" 先令",IF(AND($X1010&gt;0,$Y1010&lt;=0,$K1010=0),"※有数量没金额（这个物料一直没填过进价）",IF($Z1010="不可信","△成本含待补价/暂估，毛利仅供参考","")))))</f>
        <v/>
      </c>
    </row>
    <row r="1011">
      <c r="A1011" s="24">
        <f>IF(物料档案!$A1010="","",物料档案!$A1010)</f>
        <v/>
      </c>
      <c r="B1011" s="24">
        <f>IF($A1011="","",IFERROR(VLOOKUP($A1011,物料档案!$A$4:$P$1203,3,0),""))</f>
        <v/>
      </c>
      <c r="C1011" s="24">
        <f>IF($A1011="","",IFERROR(VLOOKUP($A1011,物料档案!$A$4:$P$1203,4,0),""))</f>
        <v/>
      </c>
      <c r="D1011" s="24">
        <f>IF($A1011="","",IFERROR(VLOOKUP($A1011,物料档案!$A$4:$P$1203,5,0),""))</f>
        <v/>
      </c>
      <c r="E1011" s="24">
        <f>IF($A1011="","",IFERROR(VLOOKUP($A1011,物料档案!$A$4:$P$1203,2,0),""))</f>
        <v/>
      </c>
      <c r="F1011" s="24">
        <f>IF($A1011="","",IFERROR(VLOOKUP($A1011,物料档案!$A$4:$P$1203,6,0),""))</f>
        <v/>
      </c>
      <c r="G1011" s="23" t="n"/>
      <c r="H1011" s="32" t="n"/>
      <c r="I1011" s="27">
        <f>IF($A1011="","",SUMIFS(入库单!$K$4:$K$2503,入库单!$G$4:$G$2503,$A1011,入库单!$X$4:$X$2503,"采购入库",入库单!$Z$4:$Z$2503,"正常",入库单!$C$4:$C$2503,"&gt;="&amp;账期起,入库单!$C$4:$C$2503,"&lt;="&amp;账期止))</f>
        <v/>
      </c>
      <c r="J1011" s="26">
        <f>IF($A1011="","",SUMIFS(入库单!$V$4:$V$2503,入库单!$G$4:$G$2503,$A1011,入库单!$X$4:$X$2503,"采购入库",入库单!$Z$4:$Z$2503,"正常",入库单!$C$4:$C$2503,"&gt;="&amp;账期起,入库单!$C$4:$C$2503,"&lt;="&amp;账期止))</f>
        <v/>
      </c>
      <c r="K1011" s="26">
        <f>IF($A1011="","",IFERROR(ROUND((N($H1011)+N($J1011))/(N($G1011)+N($I1011)),2),0))</f>
        <v/>
      </c>
      <c r="L1011" s="27">
        <f>IF($A1011="","",SUMIFS(入库单!$K$4:$K$2503,入库单!$G$4:$G$2503,$A1011,入库单!$X$4:$X$2503,"盘盈",入库单!$Z$4:$Z$2503,"正常",入库单!$C$4:$C$2503,"&gt;="&amp;账期起,入库单!$C$4:$C$2503,"&lt;="&amp;账期止))</f>
        <v/>
      </c>
      <c r="M1011" s="26">
        <f>IF($A1011="","",ROUND($L1011*$K1011,0))</f>
        <v/>
      </c>
      <c r="N1011" s="27">
        <f>IF($A1011="","",SUMIFS(入库单!$K$4:$K$2503,入库单!$G$4:$G$2503,$A1011,入库单!$X$4:$X$2503,"矿区退库",入库单!$Z$4:$Z$2503,"正常",入库单!$C$4:$C$2503,"&gt;="&amp;账期起,入库单!$C$4:$C$2503,"&lt;="&amp;账期止))</f>
        <v/>
      </c>
      <c r="O1011" s="26">
        <f>IF($A1011="","",ROUND($N1011*$K1011,0))</f>
        <v/>
      </c>
      <c r="P1011" s="27">
        <f>IF($A1011="","",SUMIFS(出库单!$J$4:$J$4003,出库单!$D$4:$D$4003,$A1011,出库单!$K$4:$K$4003,"自用消耗",出库单!$U$4:$U$4003,"正常",出库单!$C$4:$C$4003,"&gt;="&amp;账期起,出库单!$C$4:$C$4003,"&lt;="&amp;账期止))</f>
        <v/>
      </c>
      <c r="Q1011" s="26">
        <f>IF($A1011="","",ROUND(SUMIFS(出库单!$S$4:$S$4003,出库单!$D$4:$D$4003,$A1011,出库单!$K$4:$K$4003,"自用消耗",出库单!$U$4:$U$4003,"正常",出库单!$C$4:$C$4003,"&gt;="&amp;账期起,出库单!$C$4:$C$4003,"&lt;="&amp;账期止),0))</f>
        <v/>
      </c>
      <c r="R1011" s="27">
        <f>IF($A1011="","",SUMIFS(出库单!$J$4:$J$4003,出库单!$D$4:$D$4003,$A1011,出库单!$K$4:$K$4003,"对外销售",出库单!$U$4:$U$4003,"正常",出库单!$C$4:$C$4003,"&gt;="&amp;账期起,出库单!$C$4:$C$4003,"&lt;="&amp;账期止))</f>
        <v/>
      </c>
      <c r="S1011" s="26">
        <f>IF($A1011="","",ROUND(SUMIFS(出库单!$S$4:$S$4003,出库单!$D$4:$D$4003,$A1011,出库单!$K$4:$K$4003,"对外销售",出库单!$U$4:$U$4003,"正常",出库单!$C$4:$C$4003,"&gt;="&amp;账期起,出库单!$C$4:$C$4003,"&lt;="&amp;账期止),0))</f>
        <v/>
      </c>
      <c r="T1011" s="27">
        <f>IF($A1011="","",SUMIFS(出库单!$J$4:$J$4003,出库单!$D$4:$D$4003,$A1011,出库单!$K$4:$K$4003,"盘亏",出库单!$U$4:$U$4003,"正常",出库单!$C$4:$C$4003,"&gt;="&amp;账期起,出库单!$C$4:$C$4003,"&lt;="&amp;账期止))</f>
        <v/>
      </c>
      <c r="U1011" s="26">
        <f>IF($A1011="","",ROUND(SUMIFS(出库单!$S$4:$S$4003,出库单!$D$4:$D$4003,$A1011,出库单!$K$4:$K$4003,"盘亏",出库单!$U$4:$U$4003,"正常",出库单!$C$4:$C$4003,"&gt;="&amp;账期起,出库单!$C$4:$C$4003,"&lt;="&amp;账期止),0))</f>
        <v/>
      </c>
      <c r="V1011" s="27">
        <f>IF($A1011="","",SUMIFS(出库单!$J$4:$J$4003,出库单!$D$4:$D$4003,$A1011,出库单!$K$4:$K$4003,"退货给供应商",出库单!$U$4:$U$4003,"正常",出库单!$C$4:$C$4003,"&gt;="&amp;账期起,出库单!$C$4:$C$4003,"&lt;="&amp;账期止))</f>
        <v/>
      </c>
      <c r="W1011" s="26">
        <f>IF($A1011="","",ROUND(SUMIFS(出库单!$S$4:$S$4003,出库单!$D$4:$D$4003,$A1011,出库单!$K$4:$K$4003,"退货给供应商",出库单!$U$4:$U$4003,"正常",出库单!$C$4:$C$4003,"&gt;="&amp;账期起,出库单!$C$4:$C$4003,"&lt;="&amp;账期止),0))</f>
        <v/>
      </c>
      <c r="X1011" s="27">
        <f>IF($A1011="","",ROUND(N($G1011)+$I1011+$L1011+$N1011-$P1011-$R1011-$T1011-$V1011,3))</f>
        <v/>
      </c>
      <c r="Y1011" s="26">
        <f>IF($A1011="","",ROUND(N($H1011)+$J1011+$M1011+$O1011-$Q1011-$S1011-$U1011-$W1011,0))</f>
        <v/>
      </c>
      <c r="Z1011" s="24">
        <f>IF($A1011="","",IF(COUNTIFS(入库单!$G$4:$G$2503,$A1011,入库单!$Y$4:$Y$2503,"待补价")+COUNTIFS(入库单!$G$4:$G$2503,$A1011,入库单!$Y$4:$Y$2503,"暂估")&gt;0,"不可信","可信"))</f>
        <v/>
      </c>
      <c r="AA1011" s="24">
        <f>IF($A1011="","",IF($X1011&lt;-0.001,"※账面负库存，查一下是不是漏记入库",IF(AND(ROUND($X1011,3)=0,ABS($Y1011)&gt;1),"※数量已经是 0，金额还挂着 "&amp;TEXT($Y1011,"#,##0")&amp;" 先令",IF(AND($X1011&gt;0,$Y1011&lt;=0,$K1011=0),"※有数量没金额（这个物料一直没填过进价）",IF($Z1011="不可信","△成本含待补价/暂估，毛利仅供参考","")))))</f>
        <v/>
      </c>
    </row>
    <row r="1012">
      <c r="A1012" s="24">
        <f>IF(物料档案!$A1011="","",物料档案!$A1011)</f>
        <v/>
      </c>
      <c r="B1012" s="24">
        <f>IF($A1012="","",IFERROR(VLOOKUP($A1012,物料档案!$A$4:$P$1203,3,0),""))</f>
        <v/>
      </c>
      <c r="C1012" s="24">
        <f>IF($A1012="","",IFERROR(VLOOKUP($A1012,物料档案!$A$4:$P$1203,4,0),""))</f>
        <v/>
      </c>
      <c r="D1012" s="24">
        <f>IF($A1012="","",IFERROR(VLOOKUP($A1012,物料档案!$A$4:$P$1203,5,0),""))</f>
        <v/>
      </c>
      <c r="E1012" s="24">
        <f>IF($A1012="","",IFERROR(VLOOKUP($A1012,物料档案!$A$4:$P$1203,2,0),""))</f>
        <v/>
      </c>
      <c r="F1012" s="24">
        <f>IF($A1012="","",IFERROR(VLOOKUP($A1012,物料档案!$A$4:$P$1203,6,0),""))</f>
        <v/>
      </c>
      <c r="G1012" s="23" t="n"/>
      <c r="H1012" s="32" t="n"/>
      <c r="I1012" s="27">
        <f>IF($A1012="","",SUMIFS(入库单!$K$4:$K$2503,入库单!$G$4:$G$2503,$A1012,入库单!$X$4:$X$2503,"采购入库",入库单!$Z$4:$Z$2503,"正常",入库单!$C$4:$C$2503,"&gt;="&amp;账期起,入库单!$C$4:$C$2503,"&lt;="&amp;账期止))</f>
        <v/>
      </c>
      <c r="J1012" s="26">
        <f>IF($A1012="","",SUMIFS(入库单!$V$4:$V$2503,入库单!$G$4:$G$2503,$A1012,入库单!$X$4:$X$2503,"采购入库",入库单!$Z$4:$Z$2503,"正常",入库单!$C$4:$C$2503,"&gt;="&amp;账期起,入库单!$C$4:$C$2503,"&lt;="&amp;账期止))</f>
        <v/>
      </c>
      <c r="K1012" s="26">
        <f>IF($A1012="","",IFERROR(ROUND((N($H1012)+N($J1012))/(N($G1012)+N($I1012)),2),0))</f>
        <v/>
      </c>
      <c r="L1012" s="27">
        <f>IF($A1012="","",SUMIFS(入库单!$K$4:$K$2503,入库单!$G$4:$G$2503,$A1012,入库单!$X$4:$X$2503,"盘盈",入库单!$Z$4:$Z$2503,"正常",入库单!$C$4:$C$2503,"&gt;="&amp;账期起,入库单!$C$4:$C$2503,"&lt;="&amp;账期止))</f>
        <v/>
      </c>
      <c r="M1012" s="26">
        <f>IF($A1012="","",ROUND($L1012*$K1012,0))</f>
        <v/>
      </c>
      <c r="N1012" s="27">
        <f>IF($A1012="","",SUMIFS(入库单!$K$4:$K$2503,入库单!$G$4:$G$2503,$A1012,入库单!$X$4:$X$2503,"矿区退库",入库单!$Z$4:$Z$2503,"正常",入库单!$C$4:$C$2503,"&gt;="&amp;账期起,入库单!$C$4:$C$2503,"&lt;="&amp;账期止))</f>
        <v/>
      </c>
      <c r="O1012" s="26">
        <f>IF($A1012="","",ROUND($N1012*$K1012,0))</f>
        <v/>
      </c>
      <c r="P1012" s="27">
        <f>IF($A1012="","",SUMIFS(出库单!$J$4:$J$4003,出库单!$D$4:$D$4003,$A1012,出库单!$K$4:$K$4003,"自用消耗",出库单!$U$4:$U$4003,"正常",出库单!$C$4:$C$4003,"&gt;="&amp;账期起,出库单!$C$4:$C$4003,"&lt;="&amp;账期止))</f>
        <v/>
      </c>
      <c r="Q1012" s="26">
        <f>IF($A1012="","",ROUND(SUMIFS(出库单!$S$4:$S$4003,出库单!$D$4:$D$4003,$A1012,出库单!$K$4:$K$4003,"自用消耗",出库单!$U$4:$U$4003,"正常",出库单!$C$4:$C$4003,"&gt;="&amp;账期起,出库单!$C$4:$C$4003,"&lt;="&amp;账期止),0))</f>
        <v/>
      </c>
      <c r="R1012" s="27">
        <f>IF($A1012="","",SUMIFS(出库单!$J$4:$J$4003,出库单!$D$4:$D$4003,$A1012,出库单!$K$4:$K$4003,"对外销售",出库单!$U$4:$U$4003,"正常",出库单!$C$4:$C$4003,"&gt;="&amp;账期起,出库单!$C$4:$C$4003,"&lt;="&amp;账期止))</f>
        <v/>
      </c>
      <c r="S1012" s="26">
        <f>IF($A1012="","",ROUND(SUMIFS(出库单!$S$4:$S$4003,出库单!$D$4:$D$4003,$A1012,出库单!$K$4:$K$4003,"对外销售",出库单!$U$4:$U$4003,"正常",出库单!$C$4:$C$4003,"&gt;="&amp;账期起,出库单!$C$4:$C$4003,"&lt;="&amp;账期止),0))</f>
        <v/>
      </c>
      <c r="T1012" s="27">
        <f>IF($A1012="","",SUMIFS(出库单!$J$4:$J$4003,出库单!$D$4:$D$4003,$A1012,出库单!$K$4:$K$4003,"盘亏",出库单!$U$4:$U$4003,"正常",出库单!$C$4:$C$4003,"&gt;="&amp;账期起,出库单!$C$4:$C$4003,"&lt;="&amp;账期止))</f>
        <v/>
      </c>
      <c r="U1012" s="26">
        <f>IF($A1012="","",ROUND(SUMIFS(出库单!$S$4:$S$4003,出库单!$D$4:$D$4003,$A1012,出库单!$K$4:$K$4003,"盘亏",出库单!$U$4:$U$4003,"正常",出库单!$C$4:$C$4003,"&gt;="&amp;账期起,出库单!$C$4:$C$4003,"&lt;="&amp;账期止),0))</f>
        <v/>
      </c>
      <c r="V1012" s="27">
        <f>IF($A1012="","",SUMIFS(出库单!$J$4:$J$4003,出库单!$D$4:$D$4003,$A1012,出库单!$K$4:$K$4003,"退货给供应商",出库单!$U$4:$U$4003,"正常",出库单!$C$4:$C$4003,"&gt;="&amp;账期起,出库单!$C$4:$C$4003,"&lt;="&amp;账期止))</f>
        <v/>
      </c>
      <c r="W1012" s="26">
        <f>IF($A1012="","",ROUND(SUMIFS(出库单!$S$4:$S$4003,出库单!$D$4:$D$4003,$A1012,出库单!$K$4:$K$4003,"退货给供应商",出库单!$U$4:$U$4003,"正常",出库单!$C$4:$C$4003,"&gt;="&amp;账期起,出库单!$C$4:$C$4003,"&lt;="&amp;账期止),0))</f>
        <v/>
      </c>
      <c r="X1012" s="27">
        <f>IF($A1012="","",ROUND(N($G1012)+$I1012+$L1012+$N1012-$P1012-$R1012-$T1012-$V1012,3))</f>
        <v/>
      </c>
      <c r="Y1012" s="26">
        <f>IF($A1012="","",ROUND(N($H1012)+$J1012+$M1012+$O1012-$Q1012-$S1012-$U1012-$W1012,0))</f>
        <v/>
      </c>
      <c r="Z1012" s="24">
        <f>IF($A1012="","",IF(COUNTIFS(入库单!$G$4:$G$2503,$A1012,入库单!$Y$4:$Y$2503,"待补价")+COUNTIFS(入库单!$G$4:$G$2503,$A1012,入库单!$Y$4:$Y$2503,"暂估")&gt;0,"不可信","可信"))</f>
        <v/>
      </c>
      <c r="AA1012" s="24">
        <f>IF($A1012="","",IF($X1012&lt;-0.001,"※账面负库存，查一下是不是漏记入库",IF(AND(ROUND($X1012,3)=0,ABS($Y1012)&gt;1),"※数量已经是 0，金额还挂着 "&amp;TEXT($Y1012,"#,##0")&amp;" 先令",IF(AND($X1012&gt;0,$Y1012&lt;=0,$K1012=0),"※有数量没金额（这个物料一直没填过进价）",IF($Z1012="不可信","△成本含待补价/暂估，毛利仅供参考","")))))</f>
        <v/>
      </c>
    </row>
    <row r="1013">
      <c r="A1013" s="24">
        <f>IF(物料档案!$A1012="","",物料档案!$A1012)</f>
        <v/>
      </c>
      <c r="B1013" s="24">
        <f>IF($A1013="","",IFERROR(VLOOKUP($A1013,物料档案!$A$4:$P$1203,3,0),""))</f>
        <v/>
      </c>
      <c r="C1013" s="24">
        <f>IF($A1013="","",IFERROR(VLOOKUP($A1013,物料档案!$A$4:$P$1203,4,0),""))</f>
        <v/>
      </c>
      <c r="D1013" s="24">
        <f>IF($A1013="","",IFERROR(VLOOKUP($A1013,物料档案!$A$4:$P$1203,5,0),""))</f>
        <v/>
      </c>
      <c r="E1013" s="24">
        <f>IF($A1013="","",IFERROR(VLOOKUP($A1013,物料档案!$A$4:$P$1203,2,0),""))</f>
        <v/>
      </c>
      <c r="F1013" s="24">
        <f>IF($A1013="","",IFERROR(VLOOKUP($A1013,物料档案!$A$4:$P$1203,6,0),""))</f>
        <v/>
      </c>
      <c r="G1013" s="23" t="n"/>
      <c r="H1013" s="32" t="n"/>
      <c r="I1013" s="27">
        <f>IF($A1013="","",SUMIFS(入库单!$K$4:$K$2503,入库单!$G$4:$G$2503,$A1013,入库单!$X$4:$X$2503,"采购入库",入库单!$Z$4:$Z$2503,"正常",入库单!$C$4:$C$2503,"&gt;="&amp;账期起,入库单!$C$4:$C$2503,"&lt;="&amp;账期止))</f>
        <v/>
      </c>
      <c r="J1013" s="26">
        <f>IF($A1013="","",SUMIFS(入库单!$V$4:$V$2503,入库单!$G$4:$G$2503,$A1013,入库单!$X$4:$X$2503,"采购入库",入库单!$Z$4:$Z$2503,"正常",入库单!$C$4:$C$2503,"&gt;="&amp;账期起,入库单!$C$4:$C$2503,"&lt;="&amp;账期止))</f>
        <v/>
      </c>
      <c r="K1013" s="26">
        <f>IF($A1013="","",IFERROR(ROUND((N($H1013)+N($J1013))/(N($G1013)+N($I1013)),2),0))</f>
        <v/>
      </c>
      <c r="L1013" s="27">
        <f>IF($A1013="","",SUMIFS(入库单!$K$4:$K$2503,入库单!$G$4:$G$2503,$A1013,入库单!$X$4:$X$2503,"盘盈",入库单!$Z$4:$Z$2503,"正常",入库单!$C$4:$C$2503,"&gt;="&amp;账期起,入库单!$C$4:$C$2503,"&lt;="&amp;账期止))</f>
        <v/>
      </c>
      <c r="M1013" s="26">
        <f>IF($A1013="","",ROUND($L1013*$K1013,0))</f>
        <v/>
      </c>
      <c r="N1013" s="27">
        <f>IF($A1013="","",SUMIFS(入库单!$K$4:$K$2503,入库单!$G$4:$G$2503,$A1013,入库单!$X$4:$X$2503,"矿区退库",入库单!$Z$4:$Z$2503,"正常",入库单!$C$4:$C$2503,"&gt;="&amp;账期起,入库单!$C$4:$C$2503,"&lt;="&amp;账期止))</f>
        <v/>
      </c>
      <c r="O1013" s="26">
        <f>IF($A1013="","",ROUND($N1013*$K1013,0))</f>
        <v/>
      </c>
      <c r="P1013" s="27">
        <f>IF($A1013="","",SUMIFS(出库单!$J$4:$J$4003,出库单!$D$4:$D$4003,$A1013,出库单!$K$4:$K$4003,"自用消耗",出库单!$U$4:$U$4003,"正常",出库单!$C$4:$C$4003,"&gt;="&amp;账期起,出库单!$C$4:$C$4003,"&lt;="&amp;账期止))</f>
        <v/>
      </c>
      <c r="Q1013" s="26">
        <f>IF($A1013="","",ROUND(SUMIFS(出库单!$S$4:$S$4003,出库单!$D$4:$D$4003,$A1013,出库单!$K$4:$K$4003,"自用消耗",出库单!$U$4:$U$4003,"正常",出库单!$C$4:$C$4003,"&gt;="&amp;账期起,出库单!$C$4:$C$4003,"&lt;="&amp;账期止),0))</f>
        <v/>
      </c>
      <c r="R1013" s="27">
        <f>IF($A1013="","",SUMIFS(出库单!$J$4:$J$4003,出库单!$D$4:$D$4003,$A1013,出库单!$K$4:$K$4003,"对外销售",出库单!$U$4:$U$4003,"正常",出库单!$C$4:$C$4003,"&gt;="&amp;账期起,出库单!$C$4:$C$4003,"&lt;="&amp;账期止))</f>
        <v/>
      </c>
      <c r="S1013" s="26">
        <f>IF($A1013="","",ROUND(SUMIFS(出库单!$S$4:$S$4003,出库单!$D$4:$D$4003,$A1013,出库单!$K$4:$K$4003,"对外销售",出库单!$U$4:$U$4003,"正常",出库单!$C$4:$C$4003,"&gt;="&amp;账期起,出库单!$C$4:$C$4003,"&lt;="&amp;账期止),0))</f>
        <v/>
      </c>
      <c r="T1013" s="27">
        <f>IF($A1013="","",SUMIFS(出库单!$J$4:$J$4003,出库单!$D$4:$D$4003,$A1013,出库单!$K$4:$K$4003,"盘亏",出库单!$U$4:$U$4003,"正常",出库单!$C$4:$C$4003,"&gt;="&amp;账期起,出库单!$C$4:$C$4003,"&lt;="&amp;账期止))</f>
        <v/>
      </c>
      <c r="U1013" s="26">
        <f>IF($A1013="","",ROUND(SUMIFS(出库单!$S$4:$S$4003,出库单!$D$4:$D$4003,$A1013,出库单!$K$4:$K$4003,"盘亏",出库单!$U$4:$U$4003,"正常",出库单!$C$4:$C$4003,"&gt;="&amp;账期起,出库单!$C$4:$C$4003,"&lt;="&amp;账期止),0))</f>
        <v/>
      </c>
      <c r="V1013" s="27">
        <f>IF($A1013="","",SUMIFS(出库单!$J$4:$J$4003,出库单!$D$4:$D$4003,$A1013,出库单!$K$4:$K$4003,"退货给供应商",出库单!$U$4:$U$4003,"正常",出库单!$C$4:$C$4003,"&gt;="&amp;账期起,出库单!$C$4:$C$4003,"&lt;="&amp;账期止))</f>
        <v/>
      </c>
      <c r="W1013" s="26">
        <f>IF($A1013="","",ROUND(SUMIFS(出库单!$S$4:$S$4003,出库单!$D$4:$D$4003,$A1013,出库单!$K$4:$K$4003,"退货给供应商",出库单!$U$4:$U$4003,"正常",出库单!$C$4:$C$4003,"&gt;="&amp;账期起,出库单!$C$4:$C$4003,"&lt;="&amp;账期止),0))</f>
        <v/>
      </c>
      <c r="X1013" s="27">
        <f>IF($A1013="","",ROUND(N($G1013)+$I1013+$L1013+$N1013-$P1013-$R1013-$T1013-$V1013,3))</f>
        <v/>
      </c>
      <c r="Y1013" s="26">
        <f>IF($A1013="","",ROUND(N($H1013)+$J1013+$M1013+$O1013-$Q1013-$S1013-$U1013-$W1013,0))</f>
        <v/>
      </c>
      <c r="Z1013" s="24">
        <f>IF($A1013="","",IF(COUNTIFS(入库单!$G$4:$G$2503,$A1013,入库单!$Y$4:$Y$2503,"待补价")+COUNTIFS(入库单!$G$4:$G$2503,$A1013,入库单!$Y$4:$Y$2503,"暂估")&gt;0,"不可信","可信"))</f>
        <v/>
      </c>
      <c r="AA1013" s="24">
        <f>IF($A1013="","",IF($X1013&lt;-0.001,"※账面负库存，查一下是不是漏记入库",IF(AND(ROUND($X1013,3)=0,ABS($Y1013)&gt;1),"※数量已经是 0，金额还挂着 "&amp;TEXT($Y1013,"#,##0")&amp;" 先令",IF(AND($X1013&gt;0,$Y1013&lt;=0,$K1013=0),"※有数量没金额（这个物料一直没填过进价）",IF($Z1013="不可信","△成本含待补价/暂估，毛利仅供参考","")))))</f>
        <v/>
      </c>
    </row>
    <row r="1014">
      <c r="A1014" s="24">
        <f>IF(物料档案!$A1013="","",物料档案!$A1013)</f>
        <v/>
      </c>
      <c r="B1014" s="24">
        <f>IF($A1014="","",IFERROR(VLOOKUP($A1014,物料档案!$A$4:$P$1203,3,0),""))</f>
        <v/>
      </c>
      <c r="C1014" s="24">
        <f>IF($A1014="","",IFERROR(VLOOKUP($A1014,物料档案!$A$4:$P$1203,4,0),""))</f>
        <v/>
      </c>
      <c r="D1014" s="24">
        <f>IF($A1014="","",IFERROR(VLOOKUP($A1014,物料档案!$A$4:$P$1203,5,0),""))</f>
        <v/>
      </c>
      <c r="E1014" s="24">
        <f>IF($A1014="","",IFERROR(VLOOKUP($A1014,物料档案!$A$4:$P$1203,2,0),""))</f>
        <v/>
      </c>
      <c r="F1014" s="24">
        <f>IF($A1014="","",IFERROR(VLOOKUP($A1014,物料档案!$A$4:$P$1203,6,0),""))</f>
        <v/>
      </c>
      <c r="G1014" s="23" t="n"/>
      <c r="H1014" s="32" t="n"/>
      <c r="I1014" s="27">
        <f>IF($A1014="","",SUMIFS(入库单!$K$4:$K$2503,入库单!$G$4:$G$2503,$A1014,入库单!$X$4:$X$2503,"采购入库",入库单!$Z$4:$Z$2503,"正常",入库单!$C$4:$C$2503,"&gt;="&amp;账期起,入库单!$C$4:$C$2503,"&lt;="&amp;账期止))</f>
        <v/>
      </c>
      <c r="J1014" s="26">
        <f>IF($A1014="","",SUMIFS(入库单!$V$4:$V$2503,入库单!$G$4:$G$2503,$A1014,入库单!$X$4:$X$2503,"采购入库",入库单!$Z$4:$Z$2503,"正常",入库单!$C$4:$C$2503,"&gt;="&amp;账期起,入库单!$C$4:$C$2503,"&lt;="&amp;账期止))</f>
        <v/>
      </c>
      <c r="K1014" s="26">
        <f>IF($A1014="","",IFERROR(ROUND((N($H1014)+N($J1014))/(N($G1014)+N($I1014)),2),0))</f>
        <v/>
      </c>
      <c r="L1014" s="27">
        <f>IF($A1014="","",SUMIFS(入库单!$K$4:$K$2503,入库单!$G$4:$G$2503,$A1014,入库单!$X$4:$X$2503,"盘盈",入库单!$Z$4:$Z$2503,"正常",入库单!$C$4:$C$2503,"&gt;="&amp;账期起,入库单!$C$4:$C$2503,"&lt;="&amp;账期止))</f>
        <v/>
      </c>
      <c r="M1014" s="26">
        <f>IF($A1014="","",ROUND($L1014*$K1014,0))</f>
        <v/>
      </c>
      <c r="N1014" s="27">
        <f>IF($A1014="","",SUMIFS(入库单!$K$4:$K$2503,入库单!$G$4:$G$2503,$A1014,入库单!$X$4:$X$2503,"矿区退库",入库单!$Z$4:$Z$2503,"正常",入库单!$C$4:$C$2503,"&gt;="&amp;账期起,入库单!$C$4:$C$2503,"&lt;="&amp;账期止))</f>
        <v/>
      </c>
      <c r="O1014" s="26">
        <f>IF($A1014="","",ROUND($N1014*$K1014,0))</f>
        <v/>
      </c>
      <c r="P1014" s="27">
        <f>IF($A1014="","",SUMIFS(出库单!$J$4:$J$4003,出库单!$D$4:$D$4003,$A1014,出库单!$K$4:$K$4003,"自用消耗",出库单!$U$4:$U$4003,"正常",出库单!$C$4:$C$4003,"&gt;="&amp;账期起,出库单!$C$4:$C$4003,"&lt;="&amp;账期止))</f>
        <v/>
      </c>
      <c r="Q1014" s="26">
        <f>IF($A1014="","",ROUND(SUMIFS(出库单!$S$4:$S$4003,出库单!$D$4:$D$4003,$A1014,出库单!$K$4:$K$4003,"自用消耗",出库单!$U$4:$U$4003,"正常",出库单!$C$4:$C$4003,"&gt;="&amp;账期起,出库单!$C$4:$C$4003,"&lt;="&amp;账期止),0))</f>
        <v/>
      </c>
      <c r="R1014" s="27">
        <f>IF($A1014="","",SUMIFS(出库单!$J$4:$J$4003,出库单!$D$4:$D$4003,$A1014,出库单!$K$4:$K$4003,"对外销售",出库单!$U$4:$U$4003,"正常",出库单!$C$4:$C$4003,"&gt;="&amp;账期起,出库单!$C$4:$C$4003,"&lt;="&amp;账期止))</f>
        <v/>
      </c>
      <c r="S1014" s="26">
        <f>IF($A1014="","",ROUND(SUMIFS(出库单!$S$4:$S$4003,出库单!$D$4:$D$4003,$A1014,出库单!$K$4:$K$4003,"对外销售",出库单!$U$4:$U$4003,"正常",出库单!$C$4:$C$4003,"&gt;="&amp;账期起,出库单!$C$4:$C$4003,"&lt;="&amp;账期止),0))</f>
        <v/>
      </c>
      <c r="T1014" s="27">
        <f>IF($A1014="","",SUMIFS(出库单!$J$4:$J$4003,出库单!$D$4:$D$4003,$A1014,出库单!$K$4:$K$4003,"盘亏",出库单!$U$4:$U$4003,"正常",出库单!$C$4:$C$4003,"&gt;="&amp;账期起,出库单!$C$4:$C$4003,"&lt;="&amp;账期止))</f>
        <v/>
      </c>
      <c r="U1014" s="26">
        <f>IF($A1014="","",ROUND(SUMIFS(出库单!$S$4:$S$4003,出库单!$D$4:$D$4003,$A1014,出库单!$K$4:$K$4003,"盘亏",出库单!$U$4:$U$4003,"正常",出库单!$C$4:$C$4003,"&gt;="&amp;账期起,出库单!$C$4:$C$4003,"&lt;="&amp;账期止),0))</f>
        <v/>
      </c>
      <c r="V1014" s="27">
        <f>IF($A1014="","",SUMIFS(出库单!$J$4:$J$4003,出库单!$D$4:$D$4003,$A1014,出库单!$K$4:$K$4003,"退货给供应商",出库单!$U$4:$U$4003,"正常",出库单!$C$4:$C$4003,"&gt;="&amp;账期起,出库单!$C$4:$C$4003,"&lt;="&amp;账期止))</f>
        <v/>
      </c>
      <c r="W1014" s="26">
        <f>IF($A1014="","",ROUND(SUMIFS(出库单!$S$4:$S$4003,出库单!$D$4:$D$4003,$A1014,出库单!$K$4:$K$4003,"退货给供应商",出库单!$U$4:$U$4003,"正常",出库单!$C$4:$C$4003,"&gt;="&amp;账期起,出库单!$C$4:$C$4003,"&lt;="&amp;账期止),0))</f>
        <v/>
      </c>
      <c r="X1014" s="27">
        <f>IF($A1014="","",ROUND(N($G1014)+$I1014+$L1014+$N1014-$P1014-$R1014-$T1014-$V1014,3))</f>
        <v/>
      </c>
      <c r="Y1014" s="26">
        <f>IF($A1014="","",ROUND(N($H1014)+$J1014+$M1014+$O1014-$Q1014-$S1014-$U1014-$W1014,0))</f>
        <v/>
      </c>
      <c r="Z1014" s="24">
        <f>IF($A1014="","",IF(COUNTIFS(入库单!$G$4:$G$2503,$A1014,入库单!$Y$4:$Y$2503,"待补价")+COUNTIFS(入库单!$G$4:$G$2503,$A1014,入库单!$Y$4:$Y$2503,"暂估")&gt;0,"不可信","可信"))</f>
        <v/>
      </c>
      <c r="AA1014" s="24">
        <f>IF($A1014="","",IF($X1014&lt;-0.001,"※账面负库存，查一下是不是漏记入库",IF(AND(ROUND($X1014,3)=0,ABS($Y1014)&gt;1),"※数量已经是 0，金额还挂着 "&amp;TEXT($Y1014,"#,##0")&amp;" 先令",IF(AND($X1014&gt;0,$Y1014&lt;=0,$K1014=0),"※有数量没金额（这个物料一直没填过进价）",IF($Z1014="不可信","△成本含待补价/暂估，毛利仅供参考","")))))</f>
        <v/>
      </c>
    </row>
    <row r="1015">
      <c r="A1015" s="24">
        <f>IF(物料档案!$A1014="","",物料档案!$A1014)</f>
        <v/>
      </c>
      <c r="B1015" s="24">
        <f>IF($A1015="","",IFERROR(VLOOKUP($A1015,物料档案!$A$4:$P$1203,3,0),""))</f>
        <v/>
      </c>
      <c r="C1015" s="24">
        <f>IF($A1015="","",IFERROR(VLOOKUP($A1015,物料档案!$A$4:$P$1203,4,0),""))</f>
        <v/>
      </c>
      <c r="D1015" s="24">
        <f>IF($A1015="","",IFERROR(VLOOKUP($A1015,物料档案!$A$4:$P$1203,5,0),""))</f>
        <v/>
      </c>
      <c r="E1015" s="24">
        <f>IF($A1015="","",IFERROR(VLOOKUP($A1015,物料档案!$A$4:$P$1203,2,0),""))</f>
        <v/>
      </c>
      <c r="F1015" s="24">
        <f>IF($A1015="","",IFERROR(VLOOKUP($A1015,物料档案!$A$4:$P$1203,6,0),""))</f>
        <v/>
      </c>
      <c r="G1015" s="23" t="n"/>
      <c r="H1015" s="32" t="n"/>
      <c r="I1015" s="27">
        <f>IF($A1015="","",SUMIFS(入库单!$K$4:$K$2503,入库单!$G$4:$G$2503,$A1015,入库单!$X$4:$X$2503,"采购入库",入库单!$Z$4:$Z$2503,"正常",入库单!$C$4:$C$2503,"&gt;="&amp;账期起,入库单!$C$4:$C$2503,"&lt;="&amp;账期止))</f>
        <v/>
      </c>
      <c r="J1015" s="26">
        <f>IF($A1015="","",SUMIFS(入库单!$V$4:$V$2503,入库单!$G$4:$G$2503,$A1015,入库单!$X$4:$X$2503,"采购入库",入库单!$Z$4:$Z$2503,"正常",入库单!$C$4:$C$2503,"&gt;="&amp;账期起,入库单!$C$4:$C$2503,"&lt;="&amp;账期止))</f>
        <v/>
      </c>
      <c r="K1015" s="26">
        <f>IF($A1015="","",IFERROR(ROUND((N($H1015)+N($J1015))/(N($G1015)+N($I1015)),2),0))</f>
        <v/>
      </c>
      <c r="L1015" s="27">
        <f>IF($A1015="","",SUMIFS(入库单!$K$4:$K$2503,入库单!$G$4:$G$2503,$A1015,入库单!$X$4:$X$2503,"盘盈",入库单!$Z$4:$Z$2503,"正常",入库单!$C$4:$C$2503,"&gt;="&amp;账期起,入库单!$C$4:$C$2503,"&lt;="&amp;账期止))</f>
        <v/>
      </c>
      <c r="M1015" s="26">
        <f>IF($A1015="","",ROUND($L1015*$K1015,0))</f>
        <v/>
      </c>
      <c r="N1015" s="27">
        <f>IF($A1015="","",SUMIFS(入库单!$K$4:$K$2503,入库单!$G$4:$G$2503,$A1015,入库单!$X$4:$X$2503,"矿区退库",入库单!$Z$4:$Z$2503,"正常",入库单!$C$4:$C$2503,"&gt;="&amp;账期起,入库单!$C$4:$C$2503,"&lt;="&amp;账期止))</f>
        <v/>
      </c>
      <c r="O1015" s="26">
        <f>IF($A1015="","",ROUND($N1015*$K1015,0))</f>
        <v/>
      </c>
      <c r="P1015" s="27">
        <f>IF($A1015="","",SUMIFS(出库单!$J$4:$J$4003,出库单!$D$4:$D$4003,$A1015,出库单!$K$4:$K$4003,"自用消耗",出库单!$U$4:$U$4003,"正常",出库单!$C$4:$C$4003,"&gt;="&amp;账期起,出库单!$C$4:$C$4003,"&lt;="&amp;账期止))</f>
        <v/>
      </c>
      <c r="Q1015" s="26">
        <f>IF($A1015="","",ROUND(SUMIFS(出库单!$S$4:$S$4003,出库单!$D$4:$D$4003,$A1015,出库单!$K$4:$K$4003,"自用消耗",出库单!$U$4:$U$4003,"正常",出库单!$C$4:$C$4003,"&gt;="&amp;账期起,出库单!$C$4:$C$4003,"&lt;="&amp;账期止),0))</f>
        <v/>
      </c>
      <c r="R1015" s="27">
        <f>IF($A1015="","",SUMIFS(出库单!$J$4:$J$4003,出库单!$D$4:$D$4003,$A1015,出库单!$K$4:$K$4003,"对外销售",出库单!$U$4:$U$4003,"正常",出库单!$C$4:$C$4003,"&gt;="&amp;账期起,出库单!$C$4:$C$4003,"&lt;="&amp;账期止))</f>
        <v/>
      </c>
      <c r="S1015" s="26">
        <f>IF($A1015="","",ROUND(SUMIFS(出库单!$S$4:$S$4003,出库单!$D$4:$D$4003,$A1015,出库单!$K$4:$K$4003,"对外销售",出库单!$U$4:$U$4003,"正常",出库单!$C$4:$C$4003,"&gt;="&amp;账期起,出库单!$C$4:$C$4003,"&lt;="&amp;账期止),0))</f>
        <v/>
      </c>
      <c r="T1015" s="27">
        <f>IF($A1015="","",SUMIFS(出库单!$J$4:$J$4003,出库单!$D$4:$D$4003,$A1015,出库单!$K$4:$K$4003,"盘亏",出库单!$U$4:$U$4003,"正常",出库单!$C$4:$C$4003,"&gt;="&amp;账期起,出库单!$C$4:$C$4003,"&lt;="&amp;账期止))</f>
        <v/>
      </c>
      <c r="U1015" s="26">
        <f>IF($A1015="","",ROUND(SUMIFS(出库单!$S$4:$S$4003,出库单!$D$4:$D$4003,$A1015,出库单!$K$4:$K$4003,"盘亏",出库单!$U$4:$U$4003,"正常",出库单!$C$4:$C$4003,"&gt;="&amp;账期起,出库单!$C$4:$C$4003,"&lt;="&amp;账期止),0))</f>
        <v/>
      </c>
      <c r="V1015" s="27">
        <f>IF($A1015="","",SUMIFS(出库单!$J$4:$J$4003,出库单!$D$4:$D$4003,$A1015,出库单!$K$4:$K$4003,"退货给供应商",出库单!$U$4:$U$4003,"正常",出库单!$C$4:$C$4003,"&gt;="&amp;账期起,出库单!$C$4:$C$4003,"&lt;="&amp;账期止))</f>
        <v/>
      </c>
      <c r="W1015" s="26">
        <f>IF($A1015="","",ROUND(SUMIFS(出库单!$S$4:$S$4003,出库单!$D$4:$D$4003,$A1015,出库单!$K$4:$K$4003,"退货给供应商",出库单!$U$4:$U$4003,"正常",出库单!$C$4:$C$4003,"&gt;="&amp;账期起,出库单!$C$4:$C$4003,"&lt;="&amp;账期止),0))</f>
        <v/>
      </c>
      <c r="X1015" s="27">
        <f>IF($A1015="","",ROUND(N($G1015)+$I1015+$L1015+$N1015-$P1015-$R1015-$T1015-$V1015,3))</f>
        <v/>
      </c>
      <c r="Y1015" s="26">
        <f>IF($A1015="","",ROUND(N($H1015)+$J1015+$M1015+$O1015-$Q1015-$S1015-$U1015-$W1015,0))</f>
        <v/>
      </c>
      <c r="Z1015" s="24">
        <f>IF($A1015="","",IF(COUNTIFS(入库单!$G$4:$G$2503,$A1015,入库单!$Y$4:$Y$2503,"待补价")+COUNTIFS(入库单!$G$4:$G$2503,$A1015,入库单!$Y$4:$Y$2503,"暂估")&gt;0,"不可信","可信"))</f>
        <v/>
      </c>
      <c r="AA1015" s="24">
        <f>IF($A1015="","",IF($X1015&lt;-0.001,"※账面负库存，查一下是不是漏记入库",IF(AND(ROUND($X1015,3)=0,ABS($Y1015)&gt;1),"※数量已经是 0，金额还挂着 "&amp;TEXT($Y1015,"#,##0")&amp;" 先令",IF(AND($X1015&gt;0,$Y1015&lt;=0,$K1015=0),"※有数量没金额（这个物料一直没填过进价）",IF($Z1015="不可信","△成本含待补价/暂估，毛利仅供参考","")))))</f>
        <v/>
      </c>
    </row>
    <row r="1016">
      <c r="A1016" s="24">
        <f>IF(物料档案!$A1015="","",物料档案!$A1015)</f>
        <v/>
      </c>
      <c r="B1016" s="24">
        <f>IF($A1016="","",IFERROR(VLOOKUP($A1016,物料档案!$A$4:$P$1203,3,0),""))</f>
        <v/>
      </c>
      <c r="C1016" s="24">
        <f>IF($A1016="","",IFERROR(VLOOKUP($A1016,物料档案!$A$4:$P$1203,4,0),""))</f>
        <v/>
      </c>
      <c r="D1016" s="24">
        <f>IF($A1016="","",IFERROR(VLOOKUP($A1016,物料档案!$A$4:$P$1203,5,0),""))</f>
        <v/>
      </c>
      <c r="E1016" s="24">
        <f>IF($A1016="","",IFERROR(VLOOKUP($A1016,物料档案!$A$4:$P$1203,2,0),""))</f>
        <v/>
      </c>
      <c r="F1016" s="24">
        <f>IF($A1016="","",IFERROR(VLOOKUP($A1016,物料档案!$A$4:$P$1203,6,0),""))</f>
        <v/>
      </c>
      <c r="G1016" s="23" t="n"/>
      <c r="H1016" s="32" t="n"/>
      <c r="I1016" s="27">
        <f>IF($A1016="","",SUMIFS(入库单!$K$4:$K$2503,入库单!$G$4:$G$2503,$A1016,入库单!$X$4:$X$2503,"采购入库",入库单!$Z$4:$Z$2503,"正常",入库单!$C$4:$C$2503,"&gt;="&amp;账期起,入库单!$C$4:$C$2503,"&lt;="&amp;账期止))</f>
        <v/>
      </c>
      <c r="J1016" s="26">
        <f>IF($A1016="","",SUMIFS(入库单!$V$4:$V$2503,入库单!$G$4:$G$2503,$A1016,入库单!$X$4:$X$2503,"采购入库",入库单!$Z$4:$Z$2503,"正常",入库单!$C$4:$C$2503,"&gt;="&amp;账期起,入库单!$C$4:$C$2503,"&lt;="&amp;账期止))</f>
        <v/>
      </c>
      <c r="K1016" s="26">
        <f>IF($A1016="","",IFERROR(ROUND((N($H1016)+N($J1016))/(N($G1016)+N($I1016)),2),0))</f>
        <v/>
      </c>
      <c r="L1016" s="27">
        <f>IF($A1016="","",SUMIFS(入库单!$K$4:$K$2503,入库单!$G$4:$G$2503,$A1016,入库单!$X$4:$X$2503,"盘盈",入库单!$Z$4:$Z$2503,"正常",入库单!$C$4:$C$2503,"&gt;="&amp;账期起,入库单!$C$4:$C$2503,"&lt;="&amp;账期止))</f>
        <v/>
      </c>
      <c r="M1016" s="26">
        <f>IF($A1016="","",ROUND($L1016*$K1016,0))</f>
        <v/>
      </c>
      <c r="N1016" s="27">
        <f>IF($A1016="","",SUMIFS(入库单!$K$4:$K$2503,入库单!$G$4:$G$2503,$A1016,入库单!$X$4:$X$2503,"矿区退库",入库单!$Z$4:$Z$2503,"正常",入库单!$C$4:$C$2503,"&gt;="&amp;账期起,入库单!$C$4:$C$2503,"&lt;="&amp;账期止))</f>
        <v/>
      </c>
      <c r="O1016" s="26">
        <f>IF($A1016="","",ROUND($N1016*$K1016,0))</f>
        <v/>
      </c>
      <c r="P1016" s="27">
        <f>IF($A1016="","",SUMIFS(出库单!$J$4:$J$4003,出库单!$D$4:$D$4003,$A1016,出库单!$K$4:$K$4003,"自用消耗",出库单!$U$4:$U$4003,"正常",出库单!$C$4:$C$4003,"&gt;="&amp;账期起,出库单!$C$4:$C$4003,"&lt;="&amp;账期止))</f>
        <v/>
      </c>
      <c r="Q1016" s="26">
        <f>IF($A1016="","",ROUND(SUMIFS(出库单!$S$4:$S$4003,出库单!$D$4:$D$4003,$A1016,出库单!$K$4:$K$4003,"自用消耗",出库单!$U$4:$U$4003,"正常",出库单!$C$4:$C$4003,"&gt;="&amp;账期起,出库单!$C$4:$C$4003,"&lt;="&amp;账期止),0))</f>
        <v/>
      </c>
      <c r="R1016" s="27">
        <f>IF($A1016="","",SUMIFS(出库单!$J$4:$J$4003,出库单!$D$4:$D$4003,$A1016,出库单!$K$4:$K$4003,"对外销售",出库单!$U$4:$U$4003,"正常",出库单!$C$4:$C$4003,"&gt;="&amp;账期起,出库单!$C$4:$C$4003,"&lt;="&amp;账期止))</f>
        <v/>
      </c>
      <c r="S1016" s="26">
        <f>IF($A1016="","",ROUND(SUMIFS(出库单!$S$4:$S$4003,出库单!$D$4:$D$4003,$A1016,出库单!$K$4:$K$4003,"对外销售",出库单!$U$4:$U$4003,"正常",出库单!$C$4:$C$4003,"&gt;="&amp;账期起,出库单!$C$4:$C$4003,"&lt;="&amp;账期止),0))</f>
        <v/>
      </c>
      <c r="T1016" s="27">
        <f>IF($A1016="","",SUMIFS(出库单!$J$4:$J$4003,出库单!$D$4:$D$4003,$A1016,出库单!$K$4:$K$4003,"盘亏",出库单!$U$4:$U$4003,"正常",出库单!$C$4:$C$4003,"&gt;="&amp;账期起,出库单!$C$4:$C$4003,"&lt;="&amp;账期止))</f>
        <v/>
      </c>
      <c r="U1016" s="26">
        <f>IF($A1016="","",ROUND(SUMIFS(出库单!$S$4:$S$4003,出库单!$D$4:$D$4003,$A1016,出库单!$K$4:$K$4003,"盘亏",出库单!$U$4:$U$4003,"正常",出库单!$C$4:$C$4003,"&gt;="&amp;账期起,出库单!$C$4:$C$4003,"&lt;="&amp;账期止),0))</f>
        <v/>
      </c>
      <c r="V1016" s="27">
        <f>IF($A1016="","",SUMIFS(出库单!$J$4:$J$4003,出库单!$D$4:$D$4003,$A1016,出库单!$K$4:$K$4003,"退货给供应商",出库单!$U$4:$U$4003,"正常",出库单!$C$4:$C$4003,"&gt;="&amp;账期起,出库单!$C$4:$C$4003,"&lt;="&amp;账期止))</f>
        <v/>
      </c>
      <c r="W1016" s="26">
        <f>IF($A1016="","",ROUND(SUMIFS(出库单!$S$4:$S$4003,出库单!$D$4:$D$4003,$A1016,出库单!$K$4:$K$4003,"退货给供应商",出库单!$U$4:$U$4003,"正常",出库单!$C$4:$C$4003,"&gt;="&amp;账期起,出库单!$C$4:$C$4003,"&lt;="&amp;账期止),0))</f>
        <v/>
      </c>
      <c r="X1016" s="27">
        <f>IF($A1016="","",ROUND(N($G1016)+$I1016+$L1016+$N1016-$P1016-$R1016-$T1016-$V1016,3))</f>
        <v/>
      </c>
      <c r="Y1016" s="26">
        <f>IF($A1016="","",ROUND(N($H1016)+$J1016+$M1016+$O1016-$Q1016-$S1016-$U1016-$W1016,0))</f>
        <v/>
      </c>
      <c r="Z1016" s="24">
        <f>IF($A1016="","",IF(COUNTIFS(入库单!$G$4:$G$2503,$A1016,入库单!$Y$4:$Y$2503,"待补价")+COUNTIFS(入库单!$G$4:$G$2503,$A1016,入库单!$Y$4:$Y$2503,"暂估")&gt;0,"不可信","可信"))</f>
        <v/>
      </c>
      <c r="AA1016" s="24">
        <f>IF($A1016="","",IF($X1016&lt;-0.001,"※账面负库存，查一下是不是漏记入库",IF(AND(ROUND($X1016,3)=0,ABS($Y1016)&gt;1),"※数量已经是 0，金额还挂着 "&amp;TEXT($Y1016,"#,##0")&amp;" 先令",IF(AND($X1016&gt;0,$Y1016&lt;=0,$K1016=0),"※有数量没金额（这个物料一直没填过进价）",IF($Z1016="不可信","△成本含待补价/暂估，毛利仅供参考","")))))</f>
        <v/>
      </c>
    </row>
    <row r="1017">
      <c r="A1017" s="24">
        <f>IF(物料档案!$A1016="","",物料档案!$A1016)</f>
        <v/>
      </c>
      <c r="B1017" s="24">
        <f>IF($A1017="","",IFERROR(VLOOKUP($A1017,物料档案!$A$4:$P$1203,3,0),""))</f>
        <v/>
      </c>
      <c r="C1017" s="24">
        <f>IF($A1017="","",IFERROR(VLOOKUP($A1017,物料档案!$A$4:$P$1203,4,0),""))</f>
        <v/>
      </c>
      <c r="D1017" s="24">
        <f>IF($A1017="","",IFERROR(VLOOKUP($A1017,物料档案!$A$4:$P$1203,5,0),""))</f>
        <v/>
      </c>
      <c r="E1017" s="24">
        <f>IF($A1017="","",IFERROR(VLOOKUP($A1017,物料档案!$A$4:$P$1203,2,0),""))</f>
        <v/>
      </c>
      <c r="F1017" s="24">
        <f>IF($A1017="","",IFERROR(VLOOKUP($A1017,物料档案!$A$4:$P$1203,6,0),""))</f>
        <v/>
      </c>
      <c r="G1017" s="23" t="n"/>
      <c r="H1017" s="32" t="n"/>
      <c r="I1017" s="27">
        <f>IF($A1017="","",SUMIFS(入库单!$K$4:$K$2503,入库单!$G$4:$G$2503,$A1017,入库单!$X$4:$X$2503,"采购入库",入库单!$Z$4:$Z$2503,"正常",入库单!$C$4:$C$2503,"&gt;="&amp;账期起,入库单!$C$4:$C$2503,"&lt;="&amp;账期止))</f>
        <v/>
      </c>
      <c r="J1017" s="26">
        <f>IF($A1017="","",SUMIFS(入库单!$V$4:$V$2503,入库单!$G$4:$G$2503,$A1017,入库单!$X$4:$X$2503,"采购入库",入库单!$Z$4:$Z$2503,"正常",入库单!$C$4:$C$2503,"&gt;="&amp;账期起,入库单!$C$4:$C$2503,"&lt;="&amp;账期止))</f>
        <v/>
      </c>
      <c r="K1017" s="26">
        <f>IF($A1017="","",IFERROR(ROUND((N($H1017)+N($J1017))/(N($G1017)+N($I1017)),2),0))</f>
        <v/>
      </c>
      <c r="L1017" s="27">
        <f>IF($A1017="","",SUMIFS(入库单!$K$4:$K$2503,入库单!$G$4:$G$2503,$A1017,入库单!$X$4:$X$2503,"盘盈",入库单!$Z$4:$Z$2503,"正常",入库单!$C$4:$C$2503,"&gt;="&amp;账期起,入库单!$C$4:$C$2503,"&lt;="&amp;账期止))</f>
        <v/>
      </c>
      <c r="M1017" s="26">
        <f>IF($A1017="","",ROUND($L1017*$K1017,0))</f>
        <v/>
      </c>
      <c r="N1017" s="27">
        <f>IF($A1017="","",SUMIFS(入库单!$K$4:$K$2503,入库单!$G$4:$G$2503,$A1017,入库单!$X$4:$X$2503,"矿区退库",入库单!$Z$4:$Z$2503,"正常",入库单!$C$4:$C$2503,"&gt;="&amp;账期起,入库单!$C$4:$C$2503,"&lt;="&amp;账期止))</f>
        <v/>
      </c>
      <c r="O1017" s="26">
        <f>IF($A1017="","",ROUND($N1017*$K1017,0))</f>
        <v/>
      </c>
      <c r="P1017" s="27">
        <f>IF($A1017="","",SUMIFS(出库单!$J$4:$J$4003,出库单!$D$4:$D$4003,$A1017,出库单!$K$4:$K$4003,"自用消耗",出库单!$U$4:$U$4003,"正常",出库单!$C$4:$C$4003,"&gt;="&amp;账期起,出库单!$C$4:$C$4003,"&lt;="&amp;账期止))</f>
        <v/>
      </c>
      <c r="Q1017" s="26">
        <f>IF($A1017="","",ROUND(SUMIFS(出库单!$S$4:$S$4003,出库单!$D$4:$D$4003,$A1017,出库单!$K$4:$K$4003,"自用消耗",出库单!$U$4:$U$4003,"正常",出库单!$C$4:$C$4003,"&gt;="&amp;账期起,出库单!$C$4:$C$4003,"&lt;="&amp;账期止),0))</f>
        <v/>
      </c>
      <c r="R1017" s="27">
        <f>IF($A1017="","",SUMIFS(出库单!$J$4:$J$4003,出库单!$D$4:$D$4003,$A1017,出库单!$K$4:$K$4003,"对外销售",出库单!$U$4:$U$4003,"正常",出库单!$C$4:$C$4003,"&gt;="&amp;账期起,出库单!$C$4:$C$4003,"&lt;="&amp;账期止))</f>
        <v/>
      </c>
      <c r="S1017" s="26">
        <f>IF($A1017="","",ROUND(SUMIFS(出库单!$S$4:$S$4003,出库单!$D$4:$D$4003,$A1017,出库单!$K$4:$K$4003,"对外销售",出库单!$U$4:$U$4003,"正常",出库单!$C$4:$C$4003,"&gt;="&amp;账期起,出库单!$C$4:$C$4003,"&lt;="&amp;账期止),0))</f>
        <v/>
      </c>
      <c r="T1017" s="27">
        <f>IF($A1017="","",SUMIFS(出库单!$J$4:$J$4003,出库单!$D$4:$D$4003,$A1017,出库单!$K$4:$K$4003,"盘亏",出库单!$U$4:$U$4003,"正常",出库单!$C$4:$C$4003,"&gt;="&amp;账期起,出库单!$C$4:$C$4003,"&lt;="&amp;账期止))</f>
        <v/>
      </c>
      <c r="U1017" s="26">
        <f>IF($A1017="","",ROUND(SUMIFS(出库单!$S$4:$S$4003,出库单!$D$4:$D$4003,$A1017,出库单!$K$4:$K$4003,"盘亏",出库单!$U$4:$U$4003,"正常",出库单!$C$4:$C$4003,"&gt;="&amp;账期起,出库单!$C$4:$C$4003,"&lt;="&amp;账期止),0))</f>
        <v/>
      </c>
      <c r="V1017" s="27">
        <f>IF($A1017="","",SUMIFS(出库单!$J$4:$J$4003,出库单!$D$4:$D$4003,$A1017,出库单!$K$4:$K$4003,"退货给供应商",出库单!$U$4:$U$4003,"正常",出库单!$C$4:$C$4003,"&gt;="&amp;账期起,出库单!$C$4:$C$4003,"&lt;="&amp;账期止))</f>
        <v/>
      </c>
      <c r="W1017" s="26">
        <f>IF($A1017="","",ROUND(SUMIFS(出库单!$S$4:$S$4003,出库单!$D$4:$D$4003,$A1017,出库单!$K$4:$K$4003,"退货给供应商",出库单!$U$4:$U$4003,"正常",出库单!$C$4:$C$4003,"&gt;="&amp;账期起,出库单!$C$4:$C$4003,"&lt;="&amp;账期止),0))</f>
        <v/>
      </c>
      <c r="X1017" s="27">
        <f>IF($A1017="","",ROUND(N($G1017)+$I1017+$L1017+$N1017-$P1017-$R1017-$T1017-$V1017,3))</f>
        <v/>
      </c>
      <c r="Y1017" s="26">
        <f>IF($A1017="","",ROUND(N($H1017)+$J1017+$M1017+$O1017-$Q1017-$S1017-$U1017-$W1017,0))</f>
        <v/>
      </c>
      <c r="Z1017" s="24">
        <f>IF($A1017="","",IF(COUNTIFS(入库单!$G$4:$G$2503,$A1017,入库单!$Y$4:$Y$2503,"待补价")+COUNTIFS(入库单!$G$4:$G$2503,$A1017,入库单!$Y$4:$Y$2503,"暂估")&gt;0,"不可信","可信"))</f>
        <v/>
      </c>
      <c r="AA1017" s="24">
        <f>IF($A1017="","",IF($X1017&lt;-0.001,"※账面负库存，查一下是不是漏记入库",IF(AND(ROUND($X1017,3)=0,ABS($Y1017)&gt;1),"※数量已经是 0，金额还挂着 "&amp;TEXT($Y1017,"#,##0")&amp;" 先令",IF(AND($X1017&gt;0,$Y1017&lt;=0,$K1017=0),"※有数量没金额（这个物料一直没填过进价）",IF($Z1017="不可信","△成本含待补价/暂估，毛利仅供参考","")))))</f>
        <v/>
      </c>
    </row>
    <row r="1018">
      <c r="A1018" s="24">
        <f>IF(物料档案!$A1017="","",物料档案!$A1017)</f>
        <v/>
      </c>
      <c r="B1018" s="24">
        <f>IF($A1018="","",IFERROR(VLOOKUP($A1018,物料档案!$A$4:$P$1203,3,0),""))</f>
        <v/>
      </c>
      <c r="C1018" s="24">
        <f>IF($A1018="","",IFERROR(VLOOKUP($A1018,物料档案!$A$4:$P$1203,4,0),""))</f>
        <v/>
      </c>
      <c r="D1018" s="24">
        <f>IF($A1018="","",IFERROR(VLOOKUP($A1018,物料档案!$A$4:$P$1203,5,0),""))</f>
        <v/>
      </c>
      <c r="E1018" s="24">
        <f>IF($A1018="","",IFERROR(VLOOKUP($A1018,物料档案!$A$4:$P$1203,2,0),""))</f>
        <v/>
      </c>
      <c r="F1018" s="24">
        <f>IF($A1018="","",IFERROR(VLOOKUP($A1018,物料档案!$A$4:$P$1203,6,0),""))</f>
        <v/>
      </c>
      <c r="G1018" s="23" t="n"/>
      <c r="H1018" s="32" t="n"/>
      <c r="I1018" s="27">
        <f>IF($A1018="","",SUMIFS(入库单!$K$4:$K$2503,入库单!$G$4:$G$2503,$A1018,入库单!$X$4:$X$2503,"采购入库",入库单!$Z$4:$Z$2503,"正常",入库单!$C$4:$C$2503,"&gt;="&amp;账期起,入库单!$C$4:$C$2503,"&lt;="&amp;账期止))</f>
        <v/>
      </c>
      <c r="J1018" s="26">
        <f>IF($A1018="","",SUMIFS(入库单!$V$4:$V$2503,入库单!$G$4:$G$2503,$A1018,入库单!$X$4:$X$2503,"采购入库",入库单!$Z$4:$Z$2503,"正常",入库单!$C$4:$C$2503,"&gt;="&amp;账期起,入库单!$C$4:$C$2503,"&lt;="&amp;账期止))</f>
        <v/>
      </c>
      <c r="K1018" s="26">
        <f>IF($A1018="","",IFERROR(ROUND((N($H1018)+N($J1018))/(N($G1018)+N($I1018)),2),0))</f>
        <v/>
      </c>
      <c r="L1018" s="27">
        <f>IF($A1018="","",SUMIFS(入库单!$K$4:$K$2503,入库单!$G$4:$G$2503,$A1018,入库单!$X$4:$X$2503,"盘盈",入库单!$Z$4:$Z$2503,"正常",入库单!$C$4:$C$2503,"&gt;="&amp;账期起,入库单!$C$4:$C$2503,"&lt;="&amp;账期止))</f>
        <v/>
      </c>
      <c r="M1018" s="26">
        <f>IF($A1018="","",ROUND($L1018*$K1018,0))</f>
        <v/>
      </c>
      <c r="N1018" s="27">
        <f>IF($A1018="","",SUMIFS(入库单!$K$4:$K$2503,入库单!$G$4:$G$2503,$A1018,入库单!$X$4:$X$2503,"矿区退库",入库单!$Z$4:$Z$2503,"正常",入库单!$C$4:$C$2503,"&gt;="&amp;账期起,入库单!$C$4:$C$2503,"&lt;="&amp;账期止))</f>
        <v/>
      </c>
      <c r="O1018" s="26">
        <f>IF($A1018="","",ROUND($N1018*$K1018,0))</f>
        <v/>
      </c>
      <c r="P1018" s="27">
        <f>IF($A1018="","",SUMIFS(出库单!$J$4:$J$4003,出库单!$D$4:$D$4003,$A1018,出库单!$K$4:$K$4003,"自用消耗",出库单!$U$4:$U$4003,"正常",出库单!$C$4:$C$4003,"&gt;="&amp;账期起,出库单!$C$4:$C$4003,"&lt;="&amp;账期止))</f>
        <v/>
      </c>
      <c r="Q1018" s="26">
        <f>IF($A1018="","",ROUND(SUMIFS(出库单!$S$4:$S$4003,出库单!$D$4:$D$4003,$A1018,出库单!$K$4:$K$4003,"自用消耗",出库单!$U$4:$U$4003,"正常",出库单!$C$4:$C$4003,"&gt;="&amp;账期起,出库单!$C$4:$C$4003,"&lt;="&amp;账期止),0))</f>
        <v/>
      </c>
      <c r="R1018" s="27">
        <f>IF($A1018="","",SUMIFS(出库单!$J$4:$J$4003,出库单!$D$4:$D$4003,$A1018,出库单!$K$4:$K$4003,"对外销售",出库单!$U$4:$U$4003,"正常",出库单!$C$4:$C$4003,"&gt;="&amp;账期起,出库单!$C$4:$C$4003,"&lt;="&amp;账期止))</f>
        <v/>
      </c>
      <c r="S1018" s="26">
        <f>IF($A1018="","",ROUND(SUMIFS(出库单!$S$4:$S$4003,出库单!$D$4:$D$4003,$A1018,出库单!$K$4:$K$4003,"对外销售",出库单!$U$4:$U$4003,"正常",出库单!$C$4:$C$4003,"&gt;="&amp;账期起,出库单!$C$4:$C$4003,"&lt;="&amp;账期止),0))</f>
        <v/>
      </c>
      <c r="T1018" s="27">
        <f>IF($A1018="","",SUMIFS(出库单!$J$4:$J$4003,出库单!$D$4:$D$4003,$A1018,出库单!$K$4:$K$4003,"盘亏",出库单!$U$4:$U$4003,"正常",出库单!$C$4:$C$4003,"&gt;="&amp;账期起,出库单!$C$4:$C$4003,"&lt;="&amp;账期止))</f>
        <v/>
      </c>
      <c r="U1018" s="26">
        <f>IF($A1018="","",ROUND(SUMIFS(出库单!$S$4:$S$4003,出库单!$D$4:$D$4003,$A1018,出库单!$K$4:$K$4003,"盘亏",出库单!$U$4:$U$4003,"正常",出库单!$C$4:$C$4003,"&gt;="&amp;账期起,出库单!$C$4:$C$4003,"&lt;="&amp;账期止),0))</f>
        <v/>
      </c>
      <c r="V1018" s="27">
        <f>IF($A1018="","",SUMIFS(出库单!$J$4:$J$4003,出库单!$D$4:$D$4003,$A1018,出库单!$K$4:$K$4003,"退货给供应商",出库单!$U$4:$U$4003,"正常",出库单!$C$4:$C$4003,"&gt;="&amp;账期起,出库单!$C$4:$C$4003,"&lt;="&amp;账期止))</f>
        <v/>
      </c>
      <c r="W1018" s="26">
        <f>IF($A1018="","",ROUND(SUMIFS(出库单!$S$4:$S$4003,出库单!$D$4:$D$4003,$A1018,出库单!$K$4:$K$4003,"退货给供应商",出库单!$U$4:$U$4003,"正常",出库单!$C$4:$C$4003,"&gt;="&amp;账期起,出库单!$C$4:$C$4003,"&lt;="&amp;账期止),0))</f>
        <v/>
      </c>
      <c r="X1018" s="27">
        <f>IF($A1018="","",ROUND(N($G1018)+$I1018+$L1018+$N1018-$P1018-$R1018-$T1018-$V1018,3))</f>
        <v/>
      </c>
      <c r="Y1018" s="26">
        <f>IF($A1018="","",ROUND(N($H1018)+$J1018+$M1018+$O1018-$Q1018-$S1018-$U1018-$W1018,0))</f>
        <v/>
      </c>
      <c r="Z1018" s="24">
        <f>IF($A1018="","",IF(COUNTIFS(入库单!$G$4:$G$2503,$A1018,入库单!$Y$4:$Y$2503,"待补价")+COUNTIFS(入库单!$G$4:$G$2503,$A1018,入库单!$Y$4:$Y$2503,"暂估")&gt;0,"不可信","可信"))</f>
        <v/>
      </c>
      <c r="AA1018" s="24">
        <f>IF($A1018="","",IF($X1018&lt;-0.001,"※账面负库存，查一下是不是漏记入库",IF(AND(ROUND($X1018,3)=0,ABS($Y1018)&gt;1),"※数量已经是 0，金额还挂着 "&amp;TEXT($Y1018,"#,##0")&amp;" 先令",IF(AND($X1018&gt;0,$Y1018&lt;=0,$K1018=0),"※有数量没金额（这个物料一直没填过进价）",IF($Z1018="不可信","△成本含待补价/暂估，毛利仅供参考","")))))</f>
        <v/>
      </c>
    </row>
    <row r="1019">
      <c r="A1019" s="24">
        <f>IF(物料档案!$A1018="","",物料档案!$A1018)</f>
        <v/>
      </c>
      <c r="B1019" s="24">
        <f>IF($A1019="","",IFERROR(VLOOKUP($A1019,物料档案!$A$4:$P$1203,3,0),""))</f>
        <v/>
      </c>
      <c r="C1019" s="24">
        <f>IF($A1019="","",IFERROR(VLOOKUP($A1019,物料档案!$A$4:$P$1203,4,0),""))</f>
        <v/>
      </c>
      <c r="D1019" s="24">
        <f>IF($A1019="","",IFERROR(VLOOKUP($A1019,物料档案!$A$4:$P$1203,5,0),""))</f>
        <v/>
      </c>
      <c r="E1019" s="24">
        <f>IF($A1019="","",IFERROR(VLOOKUP($A1019,物料档案!$A$4:$P$1203,2,0),""))</f>
        <v/>
      </c>
      <c r="F1019" s="24">
        <f>IF($A1019="","",IFERROR(VLOOKUP($A1019,物料档案!$A$4:$P$1203,6,0),""))</f>
        <v/>
      </c>
      <c r="G1019" s="23" t="n"/>
      <c r="H1019" s="32" t="n"/>
      <c r="I1019" s="27">
        <f>IF($A1019="","",SUMIFS(入库单!$K$4:$K$2503,入库单!$G$4:$G$2503,$A1019,入库单!$X$4:$X$2503,"采购入库",入库单!$Z$4:$Z$2503,"正常",入库单!$C$4:$C$2503,"&gt;="&amp;账期起,入库单!$C$4:$C$2503,"&lt;="&amp;账期止))</f>
        <v/>
      </c>
      <c r="J1019" s="26">
        <f>IF($A1019="","",SUMIFS(入库单!$V$4:$V$2503,入库单!$G$4:$G$2503,$A1019,入库单!$X$4:$X$2503,"采购入库",入库单!$Z$4:$Z$2503,"正常",入库单!$C$4:$C$2503,"&gt;="&amp;账期起,入库单!$C$4:$C$2503,"&lt;="&amp;账期止))</f>
        <v/>
      </c>
      <c r="K1019" s="26">
        <f>IF($A1019="","",IFERROR(ROUND((N($H1019)+N($J1019))/(N($G1019)+N($I1019)),2),0))</f>
        <v/>
      </c>
      <c r="L1019" s="27">
        <f>IF($A1019="","",SUMIFS(入库单!$K$4:$K$2503,入库单!$G$4:$G$2503,$A1019,入库单!$X$4:$X$2503,"盘盈",入库单!$Z$4:$Z$2503,"正常",入库单!$C$4:$C$2503,"&gt;="&amp;账期起,入库单!$C$4:$C$2503,"&lt;="&amp;账期止))</f>
        <v/>
      </c>
      <c r="M1019" s="26">
        <f>IF($A1019="","",ROUND($L1019*$K1019,0))</f>
        <v/>
      </c>
      <c r="N1019" s="27">
        <f>IF($A1019="","",SUMIFS(入库单!$K$4:$K$2503,入库单!$G$4:$G$2503,$A1019,入库单!$X$4:$X$2503,"矿区退库",入库单!$Z$4:$Z$2503,"正常",入库单!$C$4:$C$2503,"&gt;="&amp;账期起,入库单!$C$4:$C$2503,"&lt;="&amp;账期止))</f>
        <v/>
      </c>
      <c r="O1019" s="26">
        <f>IF($A1019="","",ROUND($N1019*$K1019,0))</f>
        <v/>
      </c>
      <c r="P1019" s="27">
        <f>IF($A1019="","",SUMIFS(出库单!$J$4:$J$4003,出库单!$D$4:$D$4003,$A1019,出库单!$K$4:$K$4003,"自用消耗",出库单!$U$4:$U$4003,"正常",出库单!$C$4:$C$4003,"&gt;="&amp;账期起,出库单!$C$4:$C$4003,"&lt;="&amp;账期止))</f>
        <v/>
      </c>
      <c r="Q1019" s="26">
        <f>IF($A1019="","",ROUND(SUMIFS(出库单!$S$4:$S$4003,出库单!$D$4:$D$4003,$A1019,出库单!$K$4:$K$4003,"自用消耗",出库单!$U$4:$U$4003,"正常",出库单!$C$4:$C$4003,"&gt;="&amp;账期起,出库单!$C$4:$C$4003,"&lt;="&amp;账期止),0))</f>
        <v/>
      </c>
      <c r="R1019" s="27">
        <f>IF($A1019="","",SUMIFS(出库单!$J$4:$J$4003,出库单!$D$4:$D$4003,$A1019,出库单!$K$4:$K$4003,"对外销售",出库单!$U$4:$U$4003,"正常",出库单!$C$4:$C$4003,"&gt;="&amp;账期起,出库单!$C$4:$C$4003,"&lt;="&amp;账期止))</f>
        <v/>
      </c>
      <c r="S1019" s="26">
        <f>IF($A1019="","",ROUND(SUMIFS(出库单!$S$4:$S$4003,出库单!$D$4:$D$4003,$A1019,出库单!$K$4:$K$4003,"对外销售",出库单!$U$4:$U$4003,"正常",出库单!$C$4:$C$4003,"&gt;="&amp;账期起,出库单!$C$4:$C$4003,"&lt;="&amp;账期止),0))</f>
        <v/>
      </c>
      <c r="T1019" s="27">
        <f>IF($A1019="","",SUMIFS(出库单!$J$4:$J$4003,出库单!$D$4:$D$4003,$A1019,出库单!$K$4:$K$4003,"盘亏",出库单!$U$4:$U$4003,"正常",出库单!$C$4:$C$4003,"&gt;="&amp;账期起,出库单!$C$4:$C$4003,"&lt;="&amp;账期止))</f>
        <v/>
      </c>
      <c r="U1019" s="26">
        <f>IF($A1019="","",ROUND(SUMIFS(出库单!$S$4:$S$4003,出库单!$D$4:$D$4003,$A1019,出库单!$K$4:$K$4003,"盘亏",出库单!$U$4:$U$4003,"正常",出库单!$C$4:$C$4003,"&gt;="&amp;账期起,出库单!$C$4:$C$4003,"&lt;="&amp;账期止),0))</f>
        <v/>
      </c>
      <c r="V1019" s="27">
        <f>IF($A1019="","",SUMIFS(出库单!$J$4:$J$4003,出库单!$D$4:$D$4003,$A1019,出库单!$K$4:$K$4003,"退货给供应商",出库单!$U$4:$U$4003,"正常",出库单!$C$4:$C$4003,"&gt;="&amp;账期起,出库单!$C$4:$C$4003,"&lt;="&amp;账期止))</f>
        <v/>
      </c>
      <c r="W1019" s="26">
        <f>IF($A1019="","",ROUND(SUMIFS(出库单!$S$4:$S$4003,出库单!$D$4:$D$4003,$A1019,出库单!$K$4:$K$4003,"退货给供应商",出库单!$U$4:$U$4003,"正常",出库单!$C$4:$C$4003,"&gt;="&amp;账期起,出库单!$C$4:$C$4003,"&lt;="&amp;账期止),0))</f>
        <v/>
      </c>
      <c r="X1019" s="27">
        <f>IF($A1019="","",ROUND(N($G1019)+$I1019+$L1019+$N1019-$P1019-$R1019-$T1019-$V1019,3))</f>
        <v/>
      </c>
      <c r="Y1019" s="26">
        <f>IF($A1019="","",ROUND(N($H1019)+$J1019+$M1019+$O1019-$Q1019-$S1019-$U1019-$W1019,0))</f>
        <v/>
      </c>
      <c r="Z1019" s="24">
        <f>IF($A1019="","",IF(COUNTIFS(入库单!$G$4:$G$2503,$A1019,入库单!$Y$4:$Y$2503,"待补价")+COUNTIFS(入库单!$G$4:$G$2503,$A1019,入库单!$Y$4:$Y$2503,"暂估")&gt;0,"不可信","可信"))</f>
        <v/>
      </c>
      <c r="AA1019" s="24">
        <f>IF($A1019="","",IF($X1019&lt;-0.001,"※账面负库存，查一下是不是漏记入库",IF(AND(ROUND($X1019,3)=0,ABS($Y1019)&gt;1),"※数量已经是 0，金额还挂着 "&amp;TEXT($Y1019,"#,##0")&amp;" 先令",IF(AND($X1019&gt;0,$Y1019&lt;=0,$K1019=0),"※有数量没金额（这个物料一直没填过进价）",IF($Z1019="不可信","△成本含待补价/暂估，毛利仅供参考","")))))</f>
        <v/>
      </c>
    </row>
    <row r="1020">
      <c r="A1020" s="24">
        <f>IF(物料档案!$A1019="","",物料档案!$A1019)</f>
        <v/>
      </c>
      <c r="B1020" s="24">
        <f>IF($A1020="","",IFERROR(VLOOKUP($A1020,物料档案!$A$4:$P$1203,3,0),""))</f>
        <v/>
      </c>
      <c r="C1020" s="24">
        <f>IF($A1020="","",IFERROR(VLOOKUP($A1020,物料档案!$A$4:$P$1203,4,0),""))</f>
        <v/>
      </c>
      <c r="D1020" s="24">
        <f>IF($A1020="","",IFERROR(VLOOKUP($A1020,物料档案!$A$4:$P$1203,5,0),""))</f>
        <v/>
      </c>
      <c r="E1020" s="24">
        <f>IF($A1020="","",IFERROR(VLOOKUP($A1020,物料档案!$A$4:$P$1203,2,0),""))</f>
        <v/>
      </c>
      <c r="F1020" s="24">
        <f>IF($A1020="","",IFERROR(VLOOKUP($A1020,物料档案!$A$4:$P$1203,6,0),""))</f>
        <v/>
      </c>
      <c r="G1020" s="23" t="n"/>
      <c r="H1020" s="32" t="n"/>
      <c r="I1020" s="27">
        <f>IF($A1020="","",SUMIFS(入库单!$K$4:$K$2503,入库单!$G$4:$G$2503,$A1020,入库单!$X$4:$X$2503,"采购入库",入库单!$Z$4:$Z$2503,"正常",入库单!$C$4:$C$2503,"&gt;="&amp;账期起,入库单!$C$4:$C$2503,"&lt;="&amp;账期止))</f>
        <v/>
      </c>
      <c r="J1020" s="26">
        <f>IF($A1020="","",SUMIFS(入库单!$V$4:$V$2503,入库单!$G$4:$G$2503,$A1020,入库单!$X$4:$X$2503,"采购入库",入库单!$Z$4:$Z$2503,"正常",入库单!$C$4:$C$2503,"&gt;="&amp;账期起,入库单!$C$4:$C$2503,"&lt;="&amp;账期止))</f>
        <v/>
      </c>
      <c r="K1020" s="26">
        <f>IF($A1020="","",IFERROR(ROUND((N($H1020)+N($J1020))/(N($G1020)+N($I1020)),2),0))</f>
        <v/>
      </c>
      <c r="L1020" s="27">
        <f>IF($A1020="","",SUMIFS(入库单!$K$4:$K$2503,入库单!$G$4:$G$2503,$A1020,入库单!$X$4:$X$2503,"盘盈",入库单!$Z$4:$Z$2503,"正常",入库单!$C$4:$C$2503,"&gt;="&amp;账期起,入库单!$C$4:$C$2503,"&lt;="&amp;账期止))</f>
        <v/>
      </c>
      <c r="M1020" s="26">
        <f>IF($A1020="","",ROUND($L1020*$K1020,0))</f>
        <v/>
      </c>
      <c r="N1020" s="27">
        <f>IF($A1020="","",SUMIFS(入库单!$K$4:$K$2503,入库单!$G$4:$G$2503,$A1020,入库单!$X$4:$X$2503,"矿区退库",入库单!$Z$4:$Z$2503,"正常",入库单!$C$4:$C$2503,"&gt;="&amp;账期起,入库单!$C$4:$C$2503,"&lt;="&amp;账期止))</f>
        <v/>
      </c>
      <c r="O1020" s="26">
        <f>IF($A1020="","",ROUND($N1020*$K1020,0))</f>
        <v/>
      </c>
      <c r="P1020" s="27">
        <f>IF($A1020="","",SUMIFS(出库单!$J$4:$J$4003,出库单!$D$4:$D$4003,$A1020,出库单!$K$4:$K$4003,"自用消耗",出库单!$U$4:$U$4003,"正常",出库单!$C$4:$C$4003,"&gt;="&amp;账期起,出库单!$C$4:$C$4003,"&lt;="&amp;账期止))</f>
        <v/>
      </c>
      <c r="Q1020" s="26">
        <f>IF($A1020="","",ROUND(SUMIFS(出库单!$S$4:$S$4003,出库单!$D$4:$D$4003,$A1020,出库单!$K$4:$K$4003,"自用消耗",出库单!$U$4:$U$4003,"正常",出库单!$C$4:$C$4003,"&gt;="&amp;账期起,出库单!$C$4:$C$4003,"&lt;="&amp;账期止),0))</f>
        <v/>
      </c>
      <c r="R1020" s="27">
        <f>IF($A1020="","",SUMIFS(出库单!$J$4:$J$4003,出库单!$D$4:$D$4003,$A1020,出库单!$K$4:$K$4003,"对外销售",出库单!$U$4:$U$4003,"正常",出库单!$C$4:$C$4003,"&gt;="&amp;账期起,出库单!$C$4:$C$4003,"&lt;="&amp;账期止))</f>
        <v/>
      </c>
      <c r="S1020" s="26">
        <f>IF($A1020="","",ROUND(SUMIFS(出库单!$S$4:$S$4003,出库单!$D$4:$D$4003,$A1020,出库单!$K$4:$K$4003,"对外销售",出库单!$U$4:$U$4003,"正常",出库单!$C$4:$C$4003,"&gt;="&amp;账期起,出库单!$C$4:$C$4003,"&lt;="&amp;账期止),0))</f>
        <v/>
      </c>
      <c r="T1020" s="27">
        <f>IF($A1020="","",SUMIFS(出库单!$J$4:$J$4003,出库单!$D$4:$D$4003,$A1020,出库单!$K$4:$K$4003,"盘亏",出库单!$U$4:$U$4003,"正常",出库单!$C$4:$C$4003,"&gt;="&amp;账期起,出库单!$C$4:$C$4003,"&lt;="&amp;账期止))</f>
        <v/>
      </c>
      <c r="U1020" s="26">
        <f>IF($A1020="","",ROUND(SUMIFS(出库单!$S$4:$S$4003,出库单!$D$4:$D$4003,$A1020,出库单!$K$4:$K$4003,"盘亏",出库单!$U$4:$U$4003,"正常",出库单!$C$4:$C$4003,"&gt;="&amp;账期起,出库单!$C$4:$C$4003,"&lt;="&amp;账期止),0))</f>
        <v/>
      </c>
      <c r="V1020" s="27">
        <f>IF($A1020="","",SUMIFS(出库单!$J$4:$J$4003,出库单!$D$4:$D$4003,$A1020,出库单!$K$4:$K$4003,"退货给供应商",出库单!$U$4:$U$4003,"正常",出库单!$C$4:$C$4003,"&gt;="&amp;账期起,出库单!$C$4:$C$4003,"&lt;="&amp;账期止))</f>
        <v/>
      </c>
      <c r="W1020" s="26">
        <f>IF($A1020="","",ROUND(SUMIFS(出库单!$S$4:$S$4003,出库单!$D$4:$D$4003,$A1020,出库单!$K$4:$K$4003,"退货给供应商",出库单!$U$4:$U$4003,"正常",出库单!$C$4:$C$4003,"&gt;="&amp;账期起,出库单!$C$4:$C$4003,"&lt;="&amp;账期止),0))</f>
        <v/>
      </c>
      <c r="X1020" s="27">
        <f>IF($A1020="","",ROUND(N($G1020)+$I1020+$L1020+$N1020-$P1020-$R1020-$T1020-$V1020,3))</f>
        <v/>
      </c>
      <c r="Y1020" s="26">
        <f>IF($A1020="","",ROUND(N($H1020)+$J1020+$M1020+$O1020-$Q1020-$S1020-$U1020-$W1020,0))</f>
        <v/>
      </c>
      <c r="Z1020" s="24">
        <f>IF($A1020="","",IF(COUNTIFS(入库单!$G$4:$G$2503,$A1020,入库单!$Y$4:$Y$2503,"待补价")+COUNTIFS(入库单!$G$4:$G$2503,$A1020,入库单!$Y$4:$Y$2503,"暂估")&gt;0,"不可信","可信"))</f>
        <v/>
      </c>
      <c r="AA1020" s="24">
        <f>IF($A1020="","",IF($X1020&lt;-0.001,"※账面负库存，查一下是不是漏记入库",IF(AND(ROUND($X1020,3)=0,ABS($Y1020)&gt;1),"※数量已经是 0，金额还挂着 "&amp;TEXT($Y1020,"#,##0")&amp;" 先令",IF(AND($X1020&gt;0,$Y1020&lt;=0,$K1020=0),"※有数量没金额（这个物料一直没填过进价）",IF($Z1020="不可信","△成本含待补价/暂估，毛利仅供参考","")))))</f>
        <v/>
      </c>
    </row>
    <row r="1021">
      <c r="A1021" s="24">
        <f>IF(物料档案!$A1020="","",物料档案!$A1020)</f>
        <v/>
      </c>
      <c r="B1021" s="24">
        <f>IF($A1021="","",IFERROR(VLOOKUP($A1021,物料档案!$A$4:$P$1203,3,0),""))</f>
        <v/>
      </c>
      <c r="C1021" s="24">
        <f>IF($A1021="","",IFERROR(VLOOKUP($A1021,物料档案!$A$4:$P$1203,4,0),""))</f>
        <v/>
      </c>
      <c r="D1021" s="24">
        <f>IF($A1021="","",IFERROR(VLOOKUP($A1021,物料档案!$A$4:$P$1203,5,0),""))</f>
        <v/>
      </c>
      <c r="E1021" s="24">
        <f>IF($A1021="","",IFERROR(VLOOKUP($A1021,物料档案!$A$4:$P$1203,2,0),""))</f>
        <v/>
      </c>
      <c r="F1021" s="24">
        <f>IF($A1021="","",IFERROR(VLOOKUP($A1021,物料档案!$A$4:$P$1203,6,0),""))</f>
        <v/>
      </c>
      <c r="G1021" s="23" t="n"/>
      <c r="H1021" s="32" t="n"/>
      <c r="I1021" s="27">
        <f>IF($A1021="","",SUMIFS(入库单!$K$4:$K$2503,入库单!$G$4:$G$2503,$A1021,入库单!$X$4:$X$2503,"采购入库",入库单!$Z$4:$Z$2503,"正常",入库单!$C$4:$C$2503,"&gt;="&amp;账期起,入库单!$C$4:$C$2503,"&lt;="&amp;账期止))</f>
        <v/>
      </c>
      <c r="J1021" s="26">
        <f>IF($A1021="","",SUMIFS(入库单!$V$4:$V$2503,入库单!$G$4:$G$2503,$A1021,入库单!$X$4:$X$2503,"采购入库",入库单!$Z$4:$Z$2503,"正常",入库单!$C$4:$C$2503,"&gt;="&amp;账期起,入库单!$C$4:$C$2503,"&lt;="&amp;账期止))</f>
        <v/>
      </c>
      <c r="K1021" s="26">
        <f>IF($A1021="","",IFERROR(ROUND((N($H1021)+N($J1021))/(N($G1021)+N($I1021)),2),0))</f>
        <v/>
      </c>
      <c r="L1021" s="27">
        <f>IF($A1021="","",SUMIFS(入库单!$K$4:$K$2503,入库单!$G$4:$G$2503,$A1021,入库单!$X$4:$X$2503,"盘盈",入库单!$Z$4:$Z$2503,"正常",入库单!$C$4:$C$2503,"&gt;="&amp;账期起,入库单!$C$4:$C$2503,"&lt;="&amp;账期止))</f>
        <v/>
      </c>
      <c r="M1021" s="26">
        <f>IF($A1021="","",ROUND($L1021*$K1021,0))</f>
        <v/>
      </c>
      <c r="N1021" s="27">
        <f>IF($A1021="","",SUMIFS(入库单!$K$4:$K$2503,入库单!$G$4:$G$2503,$A1021,入库单!$X$4:$X$2503,"矿区退库",入库单!$Z$4:$Z$2503,"正常",入库单!$C$4:$C$2503,"&gt;="&amp;账期起,入库单!$C$4:$C$2503,"&lt;="&amp;账期止))</f>
        <v/>
      </c>
      <c r="O1021" s="26">
        <f>IF($A1021="","",ROUND($N1021*$K1021,0))</f>
        <v/>
      </c>
      <c r="P1021" s="27">
        <f>IF($A1021="","",SUMIFS(出库单!$J$4:$J$4003,出库单!$D$4:$D$4003,$A1021,出库单!$K$4:$K$4003,"自用消耗",出库单!$U$4:$U$4003,"正常",出库单!$C$4:$C$4003,"&gt;="&amp;账期起,出库单!$C$4:$C$4003,"&lt;="&amp;账期止))</f>
        <v/>
      </c>
      <c r="Q1021" s="26">
        <f>IF($A1021="","",ROUND(SUMIFS(出库单!$S$4:$S$4003,出库单!$D$4:$D$4003,$A1021,出库单!$K$4:$K$4003,"自用消耗",出库单!$U$4:$U$4003,"正常",出库单!$C$4:$C$4003,"&gt;="&amp;账期起,出库单!$C$4:$C$4003,"&lt;="&amp;账期止),0))</f>
        <v/>
      </c>
      <c r="R1021" s="27">
        <f>IF($A1021="","",SUMIFS(出库单!$J$4:$J$4003,出库单!$D$4:$D$4003,$A1021,出库单!$K$4:$K$4003,"对外销售",出库单!$U$4:$U$4003,"正常",出库单!$C$4:$C$4003,"&gt;="&amp;账期起,出库单!$C$4:$C$4003,"&lt;="&amp;账期止))</f>
        <v/>
      </c>
      <c r="S1021" s="26">
        <f>IF($A1021="","",ROUND(SUMIFS(出库单!$S$4:$S$4003,出库单!$D$4:$D$4003,$A1021,出库单!$K$4:$K$4003,"对外销售",出库单!$U$4:$U$4003,"正常",出库单!$C$4:$C$4003,"&gt;="&amp;账期起,出库单!$C$4:$C$4003,"&lt;="&amp;账期止),0))</f>
        <v/>
      </c>
      <c r="T1021" s="27">
        <f>IF($A1021="","",SUMIFS(出库单!$J$4:$J$4003,出库单!$D$4:$D$4003,$A1021,出库单!$K$4:$K$4003,"盘亏",出库单!$U$4:$U$4003,"正常",出库单!$C$4:$C$4003,"&gt;="&amp;账期起,出库单!$C$4:$C$4003,"&lt;="&amp;账期止))</f>
        <v/>
      </c>
      <c r="U1021" s="26">
        <f>IF($A1021="","",ROUND(SUMIFS(出库单!$S$4:$S$4003,出库单!$D$4:$D$4003,$A1021,出库单!$K$4:$K$4003,"盘亏",出库单!$U$4:$U$4003,"正常",出库单!$C$4:$C$4003,"&gt;="&amp;账期起,出库单!$C$4:$C$4003,"&lt;="&amp;账期止),0))</f>
        <v/>
      </c>
      <c r="V1021" s="27">
        <f>IF($A1021="","",SUMIFS(出库单!$J$4:$J$4003,出库单!$D$4:$D$4003,$A1021,出库单!$K$4:$K$4003,"退货给供应商",出库单!$U$4:$U$4003,"正常",出库单!$C$4:$C$4003,"&gt;="&amp;账期起,出库单!$C$4:$C$4003,"&lt;="&amp;账期止))</f>
        <v/>
      </c>
      <c r="W1021" s="26">
        <f>IF($A1021="","",ROUND(SUMIFS(出库单!$S$4:$S$4003,出库单!$D$4:$D$4003,$A1021,出库单!$K$4:$K$4003,"退货给供应商",出库单!$U$4:$U$4003,"正常",出库单!$C$4:$C$4003,"&gt;="&amp;账期起,出库单!$C$4:$C$4003,"&lt;="&amp;账期止),0))</f>
        <v/>
      </c>
      <c r="X1021" s="27">
        <f>IF($A1021="","",ROUND(N($G1021)+$I1021+$L1021+$N1021-$P1021-$R1021-$T1021-$V1021,3))</f>
        <v/>
      </c>
      <c r="Y1021" s="26">
        <f>IF($A1021="","",ROUND(N($H1021)+$J1021+$M1021+$O1021-$Q1021-$S1021-$U1021-$W1021,0))</f>
        <v/>
      </c>
      <c r="Z1021" s="24">
        <f>IF($A1021="","",IF(COUNTIFS(入库单!$G$4:$G$2503,$A1021,入库单!$Y$4:$Y$2503,"待补价")+COUNTIFS(入库单!$G$4:$G$2503,$A1021,入库单!$Y$4:$Y$2503,"暂估")&gt;0,"不可信","可信"))</f>
        <v/>
      </c>
      <c r="AA1021" s="24">
        <f>IF($A1021="","",IF($X1021&lt;-0.001,"※账面负库存，查一下是不是漏记入库",IF(AND(ROUND($X1021,3)=0,ABS($Y1021)&gt;1),"※数量已经是 0，金额还挂着 "&amp;TEXT($Y1021,"#,##0")&amp;" 先令",IF(AND($X1021&gt;0,$Y1021&lt;=0,$K1021=0),"※有数量没金额（这个物料一直没填过进价）",IF($Z1021="不可信","△成本含待补价/暂估，毛利仅供参考","")))))</f>
        <v/>
      </c>
    </row>
    <row r="1022">
      <c r="A1022" s="24">
        <f>IF(物料档案!$A1021="","",物料档案!$A1021)</f>
        <v/>
      </c>
      <c r="B1022" s="24">
        <f>IF($A1022="","",IFERROR(VLOOKUP($A1022,物料档案!$A$4:$P$1203,3,0),""))</f>
        <v/>
      </c>
      <c r="C1022" s="24">
        <f>IF($A1022="","",IFERROR(VLOOKUP($A1022,物料档案!$A$4:$P$1203,4,0),""))</f>
        <v/>
      </c>
      <c r="D1022" s="24">
        <f>IF($A1022="","",IFERROR(VLOOKUP($A1022,物料档案!$A$4:$P$1203,5,0),""))</f>
        <v/>
      </c>
      <c r="E1022" s="24">
        <f>IF($A1022="","",IFERROR(VLOOKUP($A1022,物料档案!$A$4:$P$1203,2,0),""))</f>
        <v/>
      </c>
      <c r="F1022" s="24">
        <f>IF($A1022="","",IFERROR(VLOOKUP($A1022,物料档案!$A$4:$P$1203,6,0),""))</f>
        <v/>
      </c>
      <c r="G1022" s="23" t="n"/>
      <c r="H1022" s="32" t="n"/>
      <c r="I1022" s="27">
        <f>IF($A1022="","",SUMIFS(入库单!$K$4:$K$2503,入库单!$G$4:$G$2503,$A1022,入库单!$X$4:$X$2503,"采购入库",入库单!$Z$4:$Z$2503,"正常",入库单!$C$4:$C$2503,"&gt;="&amp;账期起,入库单!$C$4:$C$2503,"&lt;="&amp;账期止))</f>
        <v/>
      </c>
      <c r="J1022" s="26">
        <f>IF($A1022="","",SUMIFS(入库单!$V$4:$V$2503,入库单!$G$4:$G$2503,$A1022,入库单!$X$4:$X$2503,"采购入库",入库单!$Z$4:$Z$2503,"正常",入库单!$C$4:$C$2503,"&gt;="&amp;账期起,入库单!$C$4:$C$2503,"&lt;="&amp;账期止))</f>
        <v/>
      </c>
      <c r="K1022" s="26">
        <f>IF($A1022="","",IFERROR(ROUND((N($H1022)+N($J1022))/(N($G1022)+N($I1022)),2),0))</f>
        <v/>
      </c>
      <c r="L1022" s="27">
        <f>IF($A1022="","",SUMIFS(入库单!$K$4:$K$2503,入库单!$G$4:$G$2503,$A1022,入库单!$X$4:$X$2503,"盘盈",入库单!$Z$4:$Z$2503,"正常",入库单!$C$4:$C$2503,"&gt;="&amp;账期起,入库单!$C$4:$C$2503,"&lt;="&amp;账期止))</f>
        <v/>
      </c>
      <c r="M1022" s="26">
        <f>IF($A1022="","",ROUND($L1022*$K1022,0))</f>
        <v/>
      </c>
      <c r="N1022" s="27">
        <f>IF($A1022="","",SUMIFS(入库单!$K$4:$K$2503,入库单!$G$4:$G$2503,$A1022,入库单!$X$4:$X$2503,"矿区退库",入库单!$Z$4:$Z$2503,"正常",入库单!$C$4:$C$2503,"&gt;="&amp;账期起,入库单!$C$4:$C$2503,"&lt;="&amp;账期止))</f>
        <v/>
      </c>
      <c r="O1022" s="26">
        <f>IF($A1022="","",ROUND($N1022*$K1022,0))</f>
        <v/>
      </c>
      <c r="P1022" s="27">
        <f>IF($A1022="","",SUMIFS(出库单!$J$4:$J$4003,出库单!$D$4:$D$4003,$A1022,出库单!$K$4:$K$4003,"自用消耗",出库单!$U$4:$U$4003,"正常",出库单!$C$4:$C$4003,"&gt;="&amp;账期起,出库单!$C$4:$C$4003,"&lt;="&amp;账期止))</f>
        <v/>
      </c>
      <c r="Q1022" s="26">
        <f>IF($A1022="","",ROUND(SUMIFS(出库单!$S$4:$S$4003,出库单!$D$4:$D$4003,$A1022,出库单!$K$4:$K$4003,"自用消耗",出库单!$U$4:$U$4003,"正常",出库单!$C$4:$C$4003,"&gt;="&amp;账期起,出库单!$C$4:$C$4003,"&lt;="&amp;账期止),0))</f>
        <v/>
      </c>
      <c r="R1022" s="27">
        <f>IF($A1022="","",SUMIFS(出库单!$J$4:$J$4003,出库单!$D$4:$D$4003,$A1022,出库单!$K$4:$K$4003,"对外销售",出库单!$U$4:$U$4003,"正常",出库单!$C$4:$C$4003,"&gt;="&amp;账期起,出库单!$C$4:$C$4003,"&lt;="&amp;账期止))</f>
        <v/>
      </c>
      <c r="S1022" s="26">
        <f>IF($A1022="","",ROUND(SUMIFS(出库单!$S$4:$S$4003,出库单!$D$4:$D$4003,$A1022,出库单!$K$4:$K$4003,"对外销售",出库单!$U$4:$U$4003,"正常",出库单!$C$4:$C$4003,"&gt;="&amp;账期起,出库单!$C$4:$C$4003,"&lt;="&amp;账期止),0))</f>
        <v/>
      </c>
      <c r="T1022" s="27">
        <f>IF($A1022="","",SUMIFS(出库单!$J$4:$J$4003,出库单!$D$4:$D$4003,$A1022,出库单!$K$4:$K$4003,"盘亏",出库单!$U$4:$U$4003,"正常",出库单!$C$4:$C$4003,"&gt;="&amp;账期起,出库单!$C$4:$C$4003,"&lt;="&amp;账期止))</f>
        <v/>
      </c>
      <c r="U1022" s="26">
        <f>IF($A1022="","",ROUND(SUMIFS(出库单!$S$4:$S$4003,出库单!$D$4:$D$4003,$A1022,出库单!$K$4:$K$4003,"盘亏",出库单!$U$4:$U$4003,"正常",出库单!$C$4:$C$4003,"&gt;="&amp;账期起,出库单!$C$4:$C$4003,"&lt;="&amp;账期止),0))</f>
        <v/>
      </c>
      <c r="V1022" s="27">
        <f>IF($A1022="","",SUMIFS(出库单!$J$4:$J$4003,出库单!$D$4:$D$4003,$A1022,出库单!$K$4:$K$4003,"退货给供应商",出库单!$U$4:$U$4003,"正常",出库单!$C$4:$C$4003,"&gt;="&amp;账期起,出库单!$C$4:$C$4003,"&lt;="&amp;账期止))</f>
        <v/>
      </c>
      <c r="W1022" s="26">
        <f>IF($A1022="","",ROUND(SUMIFS(出库单!$S$4:$S$4003,出库单!$D$4:$D$4003,$A1022,出库单!$K$4:$K$4003,"退货给供应商",出库单!$U$4:$U$4003,"正常",出库单!$C$4:$C$4003,"&gt;="&amp;账期起,出库单!$C$4:$C$4003,"&lt;="&amp;账期止),0))</f>
        <v/>
      </c>
      <c r="X1022" s="27">
        <f>IF($A1022="","",ROUND(N($G1022)+$I1022+$L1022+$N1022-$P1022-$R1022-$T1022-$V1022,3))</f>
        <v/>
      </c>
      <c r="Y1022" s="26">
        <f>IF($A1022="","",ROUND(N($H1022)+$J1022+$M1022+$O1022-$Q1022-$S1022-$U1022-$W1022,0))</f>
        <v/>
      </c>
      <c r="Z1022" s="24">
        <f>IF($A1022="","",IF(COUNTIFS(入库单!$G$4:$G$2503,$A1022,入库单!$Y$4:$Y$2503,"待补价")+COUNTIFS(入库单!$G$4:$G$2503,$A1022,入库单!$Y$4:$Y$2503,"暂估")&gt;0,"不可信","可信"))</f>
        <v/>
      </c>
      <c r="AA1022" s="24">
        <f>IF($A1022="","",IF($X1022&lt;-0.001,"※账面负库存，查一下是不是漏记入库",IF(AND(ROUND($X1022,3)=0,ABS($Y1022)&gt;1),"※数量已经是 0，金额还挂着 "&amp;TEXT($Y1022,"#,##0")&amp;" 先令",IF(AND($X1022&gt;0,$Y1022&lt;=0,$K1022=0),"※有数量没金额（这个物料一直没填过进价）",IF($Z1022="不可信","△成本含待补价/暂估，毛利仅供参考","")))))</f>
        <v/>
      </c>
    </row>
    <row r="1023">
      <c r="A1023" s="24">
        <f>IF(物料档案!$A1022="","",物料档案!$A1022)</f>
        <v/>
      </c>
      <c r="B1023" s="24">
        <f>IF($A1023="","",IFERROR(VLOOKUP($A1023,物料档案!$A$4:$P$1203,3,0),""))</f>
        <v/>
      </c>
      <c r="C1023" s="24">
        <f>IF($A1023="","",IFERROR(VLOOKUP($A1023,物料档案!$A$4:$P$1203,4,0),""))</f>
        <v/>
      </c>
      <c r="D1023" s="24">
        <f>IF($A1023="","",IFERROR(VLOOKUP($A1023,物料档案!$A$4:$P$1203,5,0),""))</f>
        <v/>
      </c>
      <c r="E1023" s="24">
        <f>IF($A1023="","",IFERROR(VLOOKUP($A1023,物料档案!$A$4:$P$1203,2,0),""))</f>
        <v/>
      </c>
      <c r="F1023" s="24">
        <f>IF($A1023="","",IFERROR(VLOOKUP($A1023,物料档案!$A$4:$P$1203,6,0),""))</f>
        <v/>
      </c>
      <c r="G1023" s="23" t="n"/>
      <c r="H1023" s="32" t="n"/>
      <c r="I1023" s="27">
        <f>IF($A1023="","",SUMIFS(入库单!$K$4:$K$2503,入库单!$G$4:$G$2503,$A1023,入库单!$X$4:$X$2503,"采购入库",入库单!$Z$4:$Z$2503,"正常",入库单!$C$4:$C$2503,"&gt;="&amp;账期起,入库单!$C$4:$C$2503,"&lt;="&amp;账期止))</f>
        <v/>
      </c>
      <c r="J1023" s="26">
        <f>IF($A1023="","",SUMIFS(入库单!$V$4:$V$2503,入库单!$G$4:$G$2503,$A1023,入库单!$X$4:$X$2503,"采购入库",入库单!$Z$4:$Z$2503,"正常",入库单!$C$4:$C$2503,"&gt;="&amp;账期起,入库单!$C$4:$C$2503,"&lt;="&amp;账期止))</f>
        <v/>
      </c>
      <c r="K1023" s="26">
        <f>IF($A1023="","",IFERROR(ROUND((N($H1023)+N($J1023))/(N($G1023)+N($I1023)),2),0))</f>
        <v/>
      </c>
      <c r="L1023" s="27">
        <f>IF($A1023="","",SUMIFS(入库单!$K$4:$K$2503,入库单!$G$4:$G$2503,$A1023,入库单!$X$4:$X$2503,"盘盈",入库单!$Z$4:$Z$2503,"正常",入库单!$C$4:$C$2503,"&gt;="&amp;账期起,入库单!$C$4:$C$2503,"&lt;="&amp;账期止))</f>
        <v/>
      </c>
      <c r="M1023" s="26">
        <f>IF($A1023="","",ROUND($L1023*$K1023,0))</f>
        <v/>
      </c>
      <c r="N1023" s="27">
        <f>IF($A1023="","",SUMIFS(入库单!$K$4:$K$2503,入库单!$G$4:$G$2503,$A1023,入库单!$X$4:$X$2503,"矿区退库",入库单!$Z$4:$Z$2503,"正常",入库单!$C$4:$C$2503,"&gt;="&amp;账期起,入库单!$C$4:$C$2503,"&lt;="&amp;账期止))</f>
        <v/>
      </c>
      <c r="O1023" s="26">
        <f>IF($A1023="","",ROUND($N1023*$K1023,0))</f>
        <v/>
      </c>
      <c r="P1023" s="27">
        <f>IF($A1023="","",SUMIFS(出库单!$J$4:$J$4003,出库单!$D$4:$D$4003,$A1023,出库单!$K$4:$K$4003,"自用消耗",出库单!$U$4:$U$4003,"正常",出库单!$C$4:$C$4003,"&gt;="&amp;账期起,出库单!$C$4:$C$4003,"&lt;="&amp;账期止))</f>
        <v/>
      </c>
      <c r="Q1023" s="26">
        <f>IF($A1023="","",ROUND(SUMIFS(出库单!$S$4:$S$4003,出库单!$D$4:$D$4003,$A1023,出库单!$K$4:$K$4003,"自用消耗",出库单!$U$4:$U$4003,"正常",出库单!$C$4:$C$4003,"&gt;="&amp;账期起,出库单!$C$4:$C$4003,"&lt;="&amp;账期止),0))</f>
        <v/>
      </c>
      <c r="R1023" s="27">
        <f>IF($A1023="","",SUMIFS(出库单!$J$4:$J$4003,出库单!$D$4:$D$4003,$A1023,出库单!$K$4:$K$4003,"对外销售",出库单!$U$4:$U$4003,"正常",出库单!$C$4:$C$4003,"&gt;="&amp;账期起,出库单!$C$4:$C$4003,"&lt;="&amp;账期止))</f>
        <v/>
      </c>
      <c r="S1023" s="26">
        <f>IF($A1023="","",ROUND(SUMIFS(出库单!$S$4:$S$4003,出库单!$D$4:$D$4003,$A1023,出库单!$K$4:$K$4003,"对外销售",出库单!$U$4:$U$4003,"正常",出库单!$C$4:$C$4003,"&gt;="&amp;账期起,出库单!$C$4:$C$4003,"&lt;="&amp;账期止),0))</f>
        <v/>
      </c>
      <c r="T1023" s="27">
        <f>IF($A1023="","",SUMIFS(出库单!$J$4:$J$4003,出库单!$D$4:$D$4003,$A1023,出库单!$K$4:$K$4003,"盘亏",出库单!$U$4:$U$4003,"正常",出库单!$C$4:$C$4003,"&gt;="&amp;账期起,出库单!$C$4:$C$4003,"&lt;="&amp;账期止))</f>
        <v/>
      </c>
      <c r="U1023" s="26">
        <f>IF($A1023="","",ROUND(SUMIFS(出库单!$S$4:$S$4003,出库单!$D$4:$D$4003,$A1023,出库单!$K$4:$K$4003,"盘亏",出库单!$U$4:$U$4003,"正常",出库单!$C$4:$C$4003,"&gt;="&amp;账期起,出库单!$C$4:$C$4003,"&lt;="&amp;账期止),0))</f>
        <v/>
      </c>
      <c r="V1023" s="27">
        <f>IF($A1023="","",SUMIFS(出库单!$J$4:$J$4003,出库单!$D$4:$D$4003,$A1023,出库单!$K$4:$K$4003,"退货给供应商",出库单!$U$4:$U$4003,"正常",出库单!$C$4:$C$4003,"&gt;="&amp;账期起,出库单!$C$4:$C$4003,"&lt;="&amp;账期止))</f>
        <v/>
      </c>
      <c r="W1023" s="26">
        <f>IF($A1023="","",ROUND(SUMIFS(出库单!$S$4:$S$4003,出库单!$D$4:$D$4003,$A1023,出库单!$K$4:$K$4003,"退货给供应商",出库单!$U$4:$U$4003,"正常",出库单!$C$4:$C$4003,"&gt;="&amp;账期起,出库单!$C$4:$C$4003,"&lt;="&amp;账期止),0))</f>
        <v/>
      </c>
      <c r="X1023" s="27">
        <f>IF($A1023="","",ROUND(N($G1023)+$I1023+$L1023+$N1023-$P1023-$R1023-$T1023-$V1023,3))</f>
        <v/>
      </c>
      <c r="Y1023" s="26">
        <f>IF($A1023="","",ROUND(N($H1023)+$J1023+$M1023+$O1023-$Q1023-$S1023-$U1023-$W1023,0))</f>
        <v/>
      </c>
      <c r="Z1023" s="24">
        <f>IF($A1023="","",IF(COUNTIFS(入库单!$G$4:$G$2503,$A1023,入库单!$Y$4:$Y$2503,"待补价")+COUNTIFS(入库单!$G$4:$G$2503,$A1023,入库单!$Y$4:$Y$2503,"暂估")&gt;0,"不可信","可信"))</f>
        <v/>
      </c>
      <c r="AA1023" s="24">
        <f>IF($A1023="","",IF($X1023&lt;-0.001,"※账面负库存，查一下是不是漏记入库",IF(AND(ROUND($X1023,3)=0,ABS($Y1023)&gt;1),"※数量已经是 0，金额还挂着 "&amp;TEXT($Y1023,"#,##0")&amp;" 先令",IF(AND($X1023&gt;0,$Y1023&lt;=0,$K1023=0),"※有数量没金额（这个物料一直没填过进价）",IF($Z1023="不可信","△成本含待补价/暂估，毛利仅供参考","")))))</f>
        <v/>
      </c>
    </row>
    <row r="1024">
      <c r="A1024" s="24">
        <f>IF(物料档案!$A1023="","",物料档案!$A1023)</f>
        <v/>
      </c>
      <c r="B1024" s="24">
        <f>IF($A1024="","",IFERROR(VLOOKUP($A1024,物料档案!$A$4:$P$1203,3,0),""))</f>
        <v/>
      </c>
      <c r="C1024" s="24">
        <f>IF($A1024="","",IFERROR(VLOOKUP($A1024,物料档案!$A$4:$P$1203,4,0),""))</f>
        <v/>
      </c>
      <c r="D1024" s="24">
        <f>IF($A1024="","",IFERROR(VLOOKUP($A1024,物料档案!$A$4:$P$1203,5,0),""))</f>
        <v/>
      </c>
      <c r="E1024" s="24">
        <f>IF($A1024="","",IFERROR(VLOOKUP($A1024,物料档案!$A$4:$P$1203,2,0),""))</f>
        <v/>
      </c>
      <c r="F1024" s="24">
        <f>IF($A1024="","",IFERROR(VLOOKUP($A1024,物料档案!$A$4:$P$1203,6,0),""))</f>
        <v/>
      </c>
      <c r="G1024" s="23" t="n"/>
      <c r="H1024" s="32" t="n"/>
      <c r="I1024" s="27">
        <f>IF($A1024="","",SUMIFS(入库单!$K$4:$K$2503,入库单!$G$4:$G$2503,$A1024,入库单!$X$4:$X$2503,"采购入库",入库单!$Z$4:$Z$2503,"正常",入库单!$C$4:$C$2503,"&gt;="&amp;账期起,入库单!$C$4:$C$2503,"&lt;="&amp;账期止))</f>
        <v/>
      </c>
      <c r="J1024" s="26">
        <f>IF($A1024="","",SUMIFS(入库单!$V$4:$V$2503,入库单!$G$4:$G$2503,$A1024,入库单!$X$4:$X$2503,"采购入库",入库单!$Z$4:$Z$2503,"正常",入库单!$C$4:$C$2503,"&gt;="&amp;账期起,入库单!$C$4:$C$2503,"&lt;="&amp;账期止))</f>
        <v/>
      </c>
      <c r="K1024" s="26">
        <f>IF($A1024="","",IFERROR(ROUND((N($H1024)+N($J1024))/(N($G1024)+N($I1024)),2),0))</f>
        <v/>
      </c>
      <c r="L1024" s="27">
        <f>IF($A1024="","",SUMIFS(入库单!$K$4:$K$2503,入库单!$G$4:$G$2503,$A1024,入库单!$X$4:$X$2503,"盘盈",入库单!$Z$4:$Z$2503,"正常",入库单!$C$4:$C$2503,"&gt;="&amp;账期起,入库单!$C$4:$C$2503,"&lt;="&amp;账期止))</f>
        <v/>
      </c>
      <c r="M1024" s="26">
        <f>IF($A1024="","",ROUND($L1024*$K1024,0))</f>
        <v/>
      </c>
      <c r="N1024" s="27">
        <f>IF($A1024="","",SUMIFS(入库单!$K$4:$K$2503,入库单!$G$4:$G$2503,$A1024,入库单!$X$4:$X$2503,"矿区退库",入库单!$Z$4:$Z$2503,"正常",入库单!$C$4:$C$2503,"&gt;="&amp;账期起,入库单!$C$4:$C$2503,"&lt;="&amp;账期止))</f>
        <v/>
      </c>
      <c r="O1024" s="26">
        <f>IF($A1024="","",ROUND($N1024*$K1024,0))</f>
        <v/>
      </c>
      <c r="P1024" s="27">
        <f>IF($A1024="","",SUMIFS(出库单!$J$4:$J$4003,出库单!$D$4:$D$4003,$A1024,出库单!$K$4:$K$4003,"自用消耗",出库单!$U$4:$U$4003,"正常",出库单!$C$4:$C$4003,"&gt;="&amp;账期起,出库单!$C$4:$C$4003,"&lt;="&amp;账期止))</f>
        <v/>
      </c>
      <c r="Q1024" s="26">
        <f>IF($A1024="","",ROUND(SUMIFS(出库单!$S$4:$S$4003,出库单!$D$4:$D$4003,$A1024,出库单!$K$4:$K$4003,"自用消耗",出库单!$U$4:$U$4003,"正常",出库单!$C$4:$C$4003,"&gt;="&amp;账期起,出库单!$C$4:$C$4003,"&lt;="&amp;账期止),0))</f>
        <v/>
      </c>
      <c r="R1024" s="27">
        <f>IF($A1024="","",SUMIFS(出库单!$J$4:$J$4003,出库单!$D$4:$D$4003,$A1024,出库单!$K$4:$K$4003,"对外销售",出库单!$U$4:$U$4003,"正常",出库单!$C$4:$C$4003,"&gt;="&amp;账期起,出库单!$C$4:$C$4003,"&lt;="&amp;账期止))</f>
        <v/>
      </c>
      <c r="S1024" s="26">
        <f>IF($A1024="","",ROUND(SUMIFS(出库单!$S$4:$S$4003,出库单!$D$4:$D$4003,$A1024,出库单!$K$4:$K$4003,"对外销售",出库单!$U$4:$U$4003,"正常",出库单!$C$4:$C$4003,"&gt;="&amp;账期起,出库单!$C$4:$C$4003,"&lt;="&amp;账期止),0))</f>
        <v/>
      </c>
      <c r="T1024" s="27">
        <f>IF($A1024="","",SUMIFS(出库单!$J$4:$J$4003,出库单!$D$4:$D$4003,$A1024,出库单!$K$4:$K$4003,"盘亏",出库单!$U$4:$U$4003,"正常",出库单!$C$4:$C$4003,"&gt;="&amp;账期起,出库单!$C$4:$C$4003,"&lt;="&amp;账期止))</f>
        <v/>
      </c>
      <c r="U1024" s="26">
        <f>IF($A1024="","",ROUND(SUMIFS(出库单!$S$4:$S$4003,出库单!$D$4:$D$4003,$A1024,出库单!$K$4:$K$4003,"盘亏",出库单!$U$4:$U$4003,"正常",出库单!$C$4:$C$4003,"&gt;="&amp;账期起,出库单!$C$4:$C$4003,"&lt;="&amp;账期止),0))</f>
        <v/>
      </c>
      <c r="V1024" s="27">
        <f>IF($A1024="","",SUMIFS(出库单!$J$4:$J$4003,出库单!$D$4:$D$4003,$A1024,出库单!$K$4:$K$4003,"退货给供应商",出库单!$U$4:$U$4003,"正常",出库单!$C$4:$C$4003,"&gt;="&amp;账期起,出库单!$C$4:$C$4003,"&lt;="&amp;账期止))</f>
        <v/>
      </c>
      <c r="W1024" s="26">
        <f>IF($A1024="","",ROUND(SUMIFS(出库单!$S$4:$S$4003,出库单!$D$4:$D$4003,$A1024,出库单!$K$4:$K$4003,"退货给供应商",出库单!$U$4:$U$4003,"正常",出库单!$C$4:$C$4003,"&gt;="&amp;账期起,出库单!$C$4:$C$4003,"&lt;="&amp;账期止),0))</f>
        <v/>
      </c>
      <c r="X1024" s="27">
        <f>IF($A1024="","",ROUND(N($G1024)+$I1024+$L1024+$N1024-$P1024-$R1024-$T1024-$V1024,3))</f>
        <v/>
      </c>
      <c r="Y1024" s="26">
        <f>IF($A1024="","",ROUND(N($H1024)+$J1024+$M1024+$O1024-$Q1024-$S1024-$U1024-$W1024,0))</f>
        <v/>
      </c>
      <c r="Z1024" s="24">
        <f>IF($A1024="","",IF(COUNTIFS(入库单!$G$4:$G$2503,$A1024,入库单!$Y$4:$Y$2503,"待补价")+COUNTIFS(入库单!$G$4:$G$2503,$A1024,入库单!$Y$4:$Y$2503,"暂估")&gt;0,"不可信","可信"))</f>
        <v/>
      </c>
      <c r="AA1024" s="24">
        <f>IF($A1024="","",IF($X1024&lt;-0.001,"※账面负库存，查一下是不是漏记入库",IF(AND(ROUND($X1024,3)=0,ABS($Y1024)&gt;1),"※数量已经是 0，金额还挂着 "&amp;TEXT($Y1024,"#,##0")&amp;" 先令",IF(AND($X1024&gt;0,$Y1024&lt;=0,$K1024=0),"※有数量没金额（这个物料一直没填过进价）",IF($Z1024="不可信","△成本含待补价/暂估，毛利仅供参考","")))))</f>
        <v/>
      </c>
    </row>
    <row r="1025">
      <c r="A1025" s="24">
        <f>IF(物料档案!$A1024="","",物料档案!$A1024)</f>
        <v/>
      </c>
      <c r="B1025" s="24">
        <f>IF($A1025="","",IFERROR(VLOOKUP($A1025,物料档案!$A$4:$P$1203,3,0),""))</f>
        <v/>
      </c>
      <c r="C1025" s="24">
        <f>IF($A1025="","",IFERROR(VLOOKUP($A1025,物料档案!$A$4:$P$1203,4,0),""))</f>
        <v/>
      </c>
      <c r="D1025" s="24">
        <f>IF($A1025="","",IFERROR(VLOOKUP($A1025,物料档案!$A$4:$P$1203,5,0),""))</f>
        <v/>
      </c>
      <c r="E1025" s="24">
        <f>IF($A1025="","",IFERROR(VLOOKUP($A1025,物料档案!$A$4:$P$1203,2,0),""))</f>
        <v/>
      </c>
      <c r="F1025" s="24">
        <f>IF($A1025="","",IFERROR(VLOOKUP($A1025,物料档案!$A$4:$P$1203,6,0),""))</f>
        <v/>
      </c>
      <c r="G1025" s="23" t="n"/>
      <c r="H1025" s="32" t="n"/>
      <c r="I1025" s="27">
        <f>IF($A1025="","",SUMIFS(入库单!$K$4:$K$2503,入库单!$G$4:$G$2503,$A1025,入库单!$X$4:$X$2503,"采购入库",入库单!$Z$4:$Z$2503,"正常",入库单!$C$4:$C$2503,"&gt;="&amp;账期起,入库单!$C$4:$C$2503,"&lt;="&amp;账期止))</f>
        <v/>
      </c>
      <c r="J1025" s="26">
        <f>IF($A1025="","",SUMIFS(入库单!$V$4:$V$2503,入库单!$G$4:$G$2503,$A1025,入库单!$X$4:$X$2503,"采购入库",入库单!$Z$4:$Z$2503,"正常",入库单!$C$4:$C$2503,"&gt;="&amp;账期起,入库单!$C$4:$C$2503,"&lt;="&amp;账期止))</f>
        <v/>
      </c>
      <c r="K1025" s="26">
        <f>IF($A1025="","",IFERROR(ROUND((N($H1025)+N($J1025))/(N($G1025)+N($I1025)),2),0))</f>
        <v/>
      </c>
      <c r="L1025" s="27">
        <f>IF($A1025="","",SUMIFS(入库单!$K$4:$K$2503,入库单!$G$4:$G$2503,$A1025,入库单!$X$4:$X$2503,"盘盈",入库单!$Z$4:$Z$2503,"正常",入库单!$C$4:$C$2503,"&gt;="&amp;账期起,入库单!$C$4:$C$2503,"&lt;="&amp;账期止))</f>
        <v/>
      </c>
      <c r="M1025" s="26">
        <f>IF($A1025="","",ROUND($L1025*$K1025,0))</f>
        <v/>
      </c>
      <c r="N1025" s="27">
        <f>IF($A1025="","",SUMIFS(入库单!$K$4:$K$2503,入库单!$G$4:$G$2503,$A1025,入库单!$X$4:$X$2503,"矿区退库",入库单!$Z$4:$Z$2503,"正常",入库单!$C$4:$C$2503,"&gt;="&amp;账期起,入库单!$C$4:$C$2503,"&lt;="&amp;账期止))</f>
        <v/>
      </c>
      <c r="O1025" s="26">
        <f>IF($A1025="","",ROUND($N1025*$K1025,0))</f>
        <v/>
      </c>
      <c r="P1025" s="27">
        <f>IF($A1025="","",SUMIFS(出库单!$J$4:$J$4003,出库单!$D$4:$D$4003,$A1025,出库单!$K$4:$K$4003,"自用消耗",出库单!$U$4:$U$4003,"正常",出库单!$C$4:$C$4003,"&gt;="&amp;账期起,出库单!$C$4:$C$4003,"&lt;="&amp;账期止))</f>
        <v/>
      </c>
      <c r="Q1025" s="26">
        <f>IF($A1025="","",ROUND(SUMIFS(出库单!$S$4:$S$4003,出库单!$D$4:$D$4003,$A1025,出库单!$K$4:$K$4003,"自用消耗",出库单!$U$4:$U$4003,"正常",出库单!$C$4:$C$4003,"&gt;="&amp;账期起,出库单!$C$4:$C$4003,"&lt;="&amp;账期止),0))</f>
        <v/>
      </c>
      <c r="R1025" s="27">
        <f>IF($A1025="","",SUMIFS(出库单!$J$4:$J$4003,出库单!$D$4:$D$4003,$A1025,出库单!$K$4:$K$4003,"对外销售",出库单!$U$4:$U$4003,"正常",出库单!$C$4:$C$4003,"&gt;="&amp;账期起,出库单!$C$4:$C$4003,"&lt;="&amp;账期止))</f>
        <v/>
      </c>
      <c r="S1025" s="26">
        <f>IF($A1025="","",ROUND(SUMIFS(出库单!$S$4:$S$4003,出库单!$D$4:$D$4003,$A1025,出库单!$K$4:$K$4003,"对外销售",出库单!$U$4:$U$4003,"正常",出库单!$C$4:$C$4003,"&gt;="&amp;账期起,出库单!$C$4:$C$4003,"&lt;="&amp;账期止),0))</f>
        <v/>
      </c>
      <c r="T1025" s="27">
        <f>IF($A1025="","",SUMIFS(出库单!$J$4:$J$4003,出库单!$D$4:$D$4003,$A1025,出库单!$K$4:$K$4003,"盘亏",出库单!$U$4:$U$4003,"正常",出库单!$C$4:$C$4003,"&gt;="&amp;账期起,出库单!$C$4:$C$4003,"&lt;="&amp;账期止))</f>
        <v/>
      </c>
      <c r="U1025" s="26">
        <f>IF($A1025="","",ROUND(SUMIFS(出库单!$S$4:$S$4003,出库单!$D$4:$D$4003,$A1025,出库单!$K$4:$K$4003,"盘亏",出库单!$U$4:$U$4003,"正常",出库单!$C$4:$C$4003,"&gt;="&amp;账期起,出库单!$C$4:$C$4003,"&lt;="&amp;账期止),0))</f>
        <v/>
      </c>
      <c r="V1025" s="27">
        <f>IF($A1025="","",SUMIFS(出库单!$J$4:$J$4003,出库单!$D$4:$D$4003,$A1025,出库单!$K$4:$K$4003,"退货给供应商",出库单!$U$4:$U$4003,"正常",出库单!$C$4:$C$4003,"&gt;="&amp;账期起,出库单!$C$4:$C$4003,"&lt;="&amp;账期止))</f>
        <v/>
      </c>
      <c r="W1025" s="26">
        <f>IF($A1025="","",ROUND(SUMIFS(出库单!$S$4:$S$4003,出库单!$D$4:$D$4003,$A1025,出库单!$K$4:$K$4003,"退货给供应商",出库单!$U$4:$U$4003,"正常",出库单!$C$4:$C$4003,"&gt;="&amp;账期起,出库单!$C$4:$C$4003,"&lt;="&amp;账期止),0))</f>
        <v/>
      </c>
      <c r="X1025" s="27">
        <f>IF($A1025="","",ROUND(N($G1025)+$I1025+$L1025+$N1025-$P1025-$R1025-$T1025-$V1025,3))</f>
        <v/>
      </c>
      <c r="Y1025" s="26">
        <f>IF($A1025="","",ROUND(N($H1025)+$J1025+$M1025+$O1025-$Q1025-$S1025-$U1025-$W1025,0))</f>
        <v/>
      </c>
      <c r="Z1025" s="24">
        <f>IF($A1025="","",IF(COUNTIFS(入库单!$G$4:$G$2503,$A1025,入库单!$Y$4:$Y$2503,"待补价")+COUNTIFS(入库单!$G$4:$G$2503,$A1025,入库单!$Y$4:$Y$2503,"暂估")&gt;0,"不可信","可信"))</f>
        <v/>
      </c>
      <c r="AA1025" s="24">
        <f>IF($A1025="","",IF($X1025&lt;-0.001,"※账面负库存，查一下是不是漏记入库",IF(AND(ROUND($X1025,3)=0,ABS($Y1025)&gt;1),"※数量已经是 0，金额还挂着 "&amp;TEXT($Y1025,"#,##0")&amp;" 先令",IF(AND($X1025&gt;0,$Y1025&lt;=0,$K1025=0),"※有数量没金额（这个物料一直没填过进价）",IF($Z1025="不可信","△成本含待补价/暂估，毛利仅供参考","")))))</f>
        <v/>
      </c>
    </row>
    <row r="1026">
      <c r="A1026" s="24">
        <f>IF(物料档案!$A1025="","",物料档案!$A1025)</f>
        <v/>
      </c>
      <c r="B1026" s="24">
        <f>IF($A1026="","",IFERROR(VLOOKUP($A1026,物料档案!$A$4:$P$1203,3,0),""))</f>
        <v/>
      </c>
      <c r="C1026" s="24">
        <f>IF($A1026="","",IFERROR(VLOOKUP($A1026,物料档案!$A$4:$P$1203,4,0),""))</f>
        <v/>
      </c>
      <c r="D1026" s="24">
        <f>IF($A1026="","",IFERROR(VLOOKUP($A1026,物料档案!$A$4:$P$1203,5,0),""))</f>
        <v/>
      </c>
      <c r="E1026" s="24">
        <f>IF($A1026="","",IFERROR(VLOOKUP($A1026,物料档案!$A$4:$P$1203,2,0),""))</f>
        <v/>
      </c>
      <c r="F1026" s="24">
        <f>IF($A1026="","",IFERROR(VLOOKUP($A1026,物料档案!$A$4:$P$1203,6,0),""))</f>
        <v/>
      </c>
      <c r="G1026" s="23" t="n"/>
      <c r="H1026" s="32" t="n"/>
      <c r="I1026" s="27">
        <f>IF($A1026="","",SUMIFS(入库单!$K$4:$K$2503,入库单!$G$4:$G$2503,$A1026,入库单!$X$4:$X$2503,"采购入库",入库单!$Z$4:$Z$2503,"正常",入库单!$C$4:$C$2503,"&gt;="&amp;账期起,入库单!$C$4:$C$2503,"&lt;="&amp;账期止))</f>
        <v/>
      </c>
      <c r="J1026" s="26">
        <f>IF($A1026="","",SUMIFS(入库单!$V$4:$V$2503,入库单!$G$4:$G$2503,$A1026,入库单!$X$4:$X$2503,"采购入库",入库单!$Z$4:$Z$2503,"正常",入库单!$C$4:$C$2503,"&gt;="&amp;账期起,入库单!$C$4:$C$2503,"&lt;="&amp;账期止))</f>
        <v/>
      </c>
      <c r="K1026" s="26">
        <f>IF($A1026="","",IFERROR(ROUND((N($H1026)+N($J1026))/(N($G1026)+N($I1026)),2),0))</f>
        <v/>
      </c>
      <c r="L1026" s="27">
        <f>IF($A1026="","",SUMIFS(入库单!$K$4:$K$2503,入库单!$G$4:$G$2503,$A1026,入库单!$X$4:$X$2503,"盘盈",入库单!$Z$4:$Z$2503,"正常",入库单!$C$4:$C$2503,"&gt;="&amp;账期起,入库单!$C$4:$C$2503,"&lt;="&amp;账期止))</f>
        <v/>
      </c>
      <c r="M1026" s="26">
        <f>IF($A1026="","",ROUND($L1026*$K1026,0))</f>
        <v/>
      </c>
      <c r="N1026" s="27">
        <f>IF($A1026="","",SUMIFS(入库单!$K$4:$K$2503,入库单!$G$4:$G$2503,$A1026,入库单!$X$4:$X$2503,"矿区退库",入库单!$Z$4:$Z$2503,"正常",入库单!$C$4:$C$2503,"&gt;="&amp;账期起,入库单!$C$4:$C$2503,"&lt;="&amp;账期止))</f>
        <v/>
      </c>
      <c r="O1026" s="26">
        <f>IF($A1026="","",ROUND($N1026*$K1026,0))</f>
        <v/>
      </c>
      <c r="P1026" s="27">
        <f>IF($A1026="","",SUMIFS(出库单!$J$4:$J$4003,出库单!$D$4:$D$4003,$A1026,出库单!$K$4:$K$4003,"自用消耗",出库单!$U$4:$U$4003,"正常",出库单!$C$4:$C$4003,"&gt;="&amp;账期起,出库单!$C$4:$C$4003,"&lt;="&amp;账期止))</f>
        <v/>
      </c>
      <c r="Q1026" s="26">
        <f>IF($A1026="","",ROUND(SUMIFS(出库单!$S$4:$S$4003,出库单!$D$4:$D$4003,$A1026,出库单!$K$4:$K$4003,"自用消耗",出库单!$U$4:$U$4003,"正常",出库单!$C$4:$C$4003,"&gt;="&amp;账期起,出库单!$C$4:$C$4003,"&lt;="&amp;账期止),0))</f>
        <v/>
      </c>
      <c r="R1026" s="27">
        <f>IF($A1026="","",SUMIFS(出库单!$J$4:$J$4003,出库单!$D$4:$D$4003,$A1026,出库单!$K$4:$K$4003,"对外销售",出库单!$U$4:$U$4003,"正常",出库单!$C$4:$C$4003,"&gt;="&amp;账期起,出库单!$C$4:$C$4003,"&lt;="&amp;账期止))</f>
        <v/>
      </c>
      <c r="S1026" s="26">
        <f>IF($A1026="","",ROUND(SUMIFS(出库单!$S$4:$S$4003,出库单!$D$4:$D$4003,$A1026,出库单!$K$4:$K$4003,"对外销售",出库单!$U$4:$U$4003,"正常",出库单!$C$4:$C$4003,"&gt;="&amp;账期起,出库单!$C$4:$C$4003,"&lt;="&amp;账期止),0))</f>
        <v/>
      </c>
      <c r="T1026" s="27">
        <f>IF($A1026="","",SUMIFS(出库单!$J$4:$J$4003,出库单!$D$4:$D$4003,$A1026,出库单!$K$4:$K$4003,"盘亏",出库单!$U$4:$U$4003,"正常",出库单!$C$4:$C$4003,"&gt;="&amp;账期起,出库单!$C$4:$C$4003,"&lt;="&amp;账期止))</f>
        <v/>
      </c>
      <c r="U1026" s="26">
        <f>IF($A1026="","",ROUND(SUMIFS(出库单!$S$4:$S$4003,出库单!$D$4:$D$4003,$A1026,出库单!$K$4:$K$4003,"盘亏",出库单!$U$4:$U$4003,"正常",出库单!$C$4:$C$4003,"&gt;="&amp;账期起,出库单!$C$4:$C$4003,"&lt;="&amp;账期止),0))</f>
        <v/>
      </c>
      <c r="V1026" s="27">
        <f>IF($A1026="","",SUMIFS(出库单!$J$4:$J$4003,出库单!$D$4:$D$4003,$A1026,出库单!$K$4:$K$4003,"退货给供应商",出库单!$U$4:$U$4003,"正常",出库单!$C$4:$C$4003,"&gt;="&amp;账期起,出库单!$C$4:$C$4003,"&lt;="&amp;账期止))</f>
        <v/>
      </c>
      <c r="W1026" s="26">
        <f>IF($A1026="","",ROUND(SUMIFS(出库单!$S$4:$S$4003,出库单!$D$4:$D$4003,$A1026,出库单!$K$4:$K$4003,"退货给供应商",出库单!$U$4:$U$4003,"正常",出库单!$C$4:$C$4003,"&gt;="&amp;账期起,出库单!$C$4:$C$4003,"&lt;="&amp;账期止),0))</f>
        <v/>
      </c>
      <c r="X1026" s="27">
        <f>IF($A1026="","",ROUND(N($G1026)+$I1026+$L1026+$N1026-$P1026-$R1026-$T1026-$V1026,3))</f>
        <v/>
      </c>
      <c r="Y1026" s="26">
        <f>IF($A1026="","",ROUND(N($H1026)+$J1026+$M1026+$O1026-$Q1026-$S1026-$U1026-$W1026,0))</f>
        <v/>
      </c>
      <c r="Z1026" s="24">
        <f>IF($A1026="","",IF(COUNTIFS(入库单!$G$4:$G$2503,$A1026,入库单!$Y$4:$Y$2503,"待补价")+COUNTIFS(入库单!$G$4:$G$2503,$A1026,入库单!$Y$4:$Y$2503,"暂估")&gt;0,"不可信","可信"))</f>
        <v/>
      </c>
      <c r="AA1026" s="24">
        <f>IF($A1026="","",IF($X1026&lt;-0.001,"※账面负库存，查一下是不是漏记入库",IF(AND(ROUND($X1026,3)=0,ABS($Y1026)&gt;1),"※数量已经是 0，金额还挂着 "&amp;TEXT($Y1026,"#,##0")&amp;" 先令",IF(AND($X1026&gt;0,$Y1026&lt;=0,$K1026=0),"※有数量没金额（这个物料一直没填过进价）",IF($Z1026="不可信","△成本含待补价/暂估，毛利仅供参考","")))))</f>
        <v/>
      </c>
    </row>
    <row r="1027">
      <c r="A1027" s="24">
        <f>IF(物料档案!$A1026="","",物料档案!$A1026)</f>
        <v/>
      </c>
      <c r="B1027" s="24">
        <f>IF($A1027="","",IFERROR(VLOOKUP($A1027,物料档案!$A$4:$P$1203,3,0),""))</f>
        <v/>
      </c>
      <c r="C1027" s="24">
        <f>IF($A1027="","",IFERROR(VLOOKUP($A1027,物料档案!$A$4:$P$1203,4,0),""))</f>
        <v/>
      </c>
      <c r="D1027" s="24">
        <f>IF($A1027="","",IFERROR(VLOOKUP($A1027,物料档案!$A$4:$P$1203,5,0),""))</f>
        <v/>
      </c>
      <c r="E1027" s="24">
        <f>IF($A1027="","",IFERROR(VLOOKUP($A1027,物料档案!$A$4:$P$1203,2,0),""))</f>
        <v/>
      </c>
      <c r="F1027" s="24">
        <f>IF($A1027="","",IFERROR(VLOOKUP($A1027,物料档案!$A$4:$P$1203,6,0),""))</f>
        <v/>
      </c>
      <c r="G1027" s="23" t="n"/>
      <c r="H1027" s="32" t="n"/>
      <c r="I1027" s="27">
        <f>IF($A1027="","",SUMIFS(入库单!$K$4:$K$2503,入库单!$G$4:$G$2503,$A1027,入库单!$X$4:$X$2503,"采购入库",入库单!$Z$4:$Z$2503,"正常",入库单!$C$4:$C$2503,"&gt;="&amp;账期起,入库单!$C$4:$C$2503,"&lt;="&amp;账期止))</f>
        <v/>
      </c>
      <c r="J1027" s="26">
        <f>IF($A1027="","",SUMIFS(入库单!$V$4:$V$2503,入库单!$G$4:$G$2503,$A1027,入库单!$X$4:$X$2503,"采购入库",入库单!$Z$4:$Z$2503,"正常",入库单!$C$4:$C$2503,"&gt;="&amp;账期起,入库单!$C$4:$C$2503,"&lt;="&amp;账期止))</f>
        <v/>
      </c>
      <c r="K1027" s="26">
        <f>IF($A1027="","",IFERROR(ROUND((N($H1027)+N($J1027))/(N($G1027)+N($I1027)),2),0))</f>
        <v/>
      </c>
      <c r="L1027" s="27">
        <f>IF($A1027="","",SUMIFS(入库单!$K$4:$K$2503,入库单!$G$4:$G$2503,$A1027,入库单!$X$4:$X$2503,"盘盈",入库单!$Z$4:$Z$2503,"正常",入库单!$C$4:$C$2503,"&gt;="&amp;账期起,入库单!$C$4:$C$2503,"&lt;="&amp;账期止))</f>
        <v/>
      </c>
      <c r="M1027" s="26">
        <f>IF($A1027="","",ROUND($L1027*$K1027,0))</f>
        <v/>
      </c>
      <c r="N1027" s="27">
        <f>IF($A1027="","",SUMIFS(入库单!$K$4:$K$2503,入库单!$G$4:$G$2503,$A1027,入库单!$X$4:$X$2503,"矿区退库",入库单!$Z$4:$Z$2503,"正常",入库单!$C$4:$C$2503,"&gt;="&amp;账期起,入库单!$C$4:$C$2503,"&lt;="&amp;账期止))</f>
        <v/>
      </c>
      <c r="O1027" s="26">
        <f>IF($A1027="","",ROUND($N1027*$K1027,0))</f>
        <v/>
      </c>
      <c r="P1027" s="27">
        <f>IF($A1027="","",SUMIFS(出库单!$J$4:$J$4003,出库单!$D$4:$D$4003,$A1027,出库单!$K$4:$K$4003,"自用消耗",出库单!$U$4:$U$4003,"正常",出库单!$C$4:$C$4003,"&gt;="&amp;账期起,出库单!$C$4:$C$4003,"&lt;="&amp;账期止))</f>
        <v/>
      </c>
      <c r="Q1027" s="26">
        <f>IF($A1027="","",ROUND(SUMIFS(出库单!$S$4:$S$4003,出库单!$D$4:$D$4003,$A1027,出库单!$K$4:$K$4003,"自用消耗",出库单!$U$4:$U$4003,"正常",出库单!$C$4:$C$4003,"&gt;="&amp;账期起,出库单!$C$4:$C$4003,"&lt;="&amp;账期止),0))</f>
        <v/>
      </c>
      <c r="R1027" s="27">
        <f>IF($A1027="","",SUMIFS(出库单!$J$4:$J$4003,出库单!$D$4:$D$4003,$A1027,出库单!$K$4:$K$4003,"对外销售",出库单!$U$4:$U$4003,"正常",出库单!$C$4:$C$4003,"&gt;="&amp;账期起,出库单!$C$4:$C$4003,"&lt;="&amp;账期止))</f>
        <v/>
      </c>
      <c r="S1027" s="26">
        <f>IF($A1027="","",ROUND(SUMIFS(出库单!$S$4:$S$4003,出库单!$D$4:$D$4003,$A1027,出库单!$K$4:$K$4003,"对外销售",出库单!$U$4:$U$4003,"正常",出库单!$C$4:$C$4003,"&gt;="&amp;账期起,出库单!$C$4:$C$4003,"&lt;="&amp;账期止),0))</f>
        <v/>
      </c>
      <c r="T1027" s="27">
        <f>IF($A1027="","",SUMIFS(出库单!$J$4:$J$4003,出库单!$D$4:$D$4003,$A1027,出库单!$K$4:$K$4003,"盘亏",出库单!$U$4:$U$4003,"正常",出库单!$C$4:$C$4003,"&gt;="&amp;账期起,出库单!$C$4:$C$4003,"&lt;="&amp;账期止))</f>
        <v/>
      </c>
      <c r="U1027" s="26">
        <f>IF($A1027="","",ROUND(SUMIFS(出库单!$S$4:$S$4003,出库单!$D$4:$D$4003,$A1027,出库单!$K$4:$K$4003,"盘亏",出库单!$U$4:$U$4003,"正常",出库单!$C$4:$C$4003,"&gt;="&amp;账期起,出库单!$C$4:$C$4003,"&lt;="&amp;账期止),0))</f>
        <v/>
      </c>
      <c r="V1027" s="27">
        <f>IF($A1027="","",SUMIFS(出库单!$J$4:$J$4003,出库单!$D$4:$D$4003,$A1027,出库单!$K$4:$K$4003,"退货给供应商",出库单!$U$4:$U$4003,"正常",出库单!$C$4:$C$4003,"&gt;="&amp;账期起,出库单!$C$4:$C$4003,"&lt;="&amp;账期止))</f>
        <v/>
      </c>
      <c r="W1027" s="26">
        <f>IF($A1027="","",ROUND(SUMIFS(出库单!$S$4:$S$4003,出库单!$D$4:$D$4003,$A1027,出库单!$K$4:$K$4003,"退货给供应商",出库单!$U$4:$U$4003,"正常",出库单!$C$4:$C$4003,"&gt;="&amp;账期起,出库单!$C$4:$C$4003,"&lt;="&amp;账期止),0))</f>
        <v/>
      </c>
      <c r="X1027" s="27">
        <f>IF($A1027="","",ROUND(N($G1027)+$I1027+$L1027+$N1027-$P1027-$R1027-$T1027-$V1027,3))</f>
        <v/>
      </c>
      <c r="Y1027" s="26">
        <f>IF($A1027="","",ROUND(N($H1027)+$J1027+$M1027+$O1027-$Q1027-$S1027-$U1027-$W1027,0))</f>
        <v/>
      </c>
      <c r="Z1027" s="24">
        <f>IF($A1027="","",IF(COUNTIFS(入库单!$G$4:$G$2503,$A1027,入库单!$Y$4:$Y$2503,"待补价")+COUNTIFS(入库单!$G$4:$G$2503,$A1027,入库单!$Y$4:$Y$2503,"暂估")&gt;0,"不可信","可信"))</f>
        <v/>
      </c>
      <c r="AA1027" s="24">
        <f>IF($A1027="","",IF($X1027&lt;-0.001,"※账面负库存，查一下是不是漏记入库",IF(AND(ROUND($X1027,3)=0,ABS($Y1027)&gt;1),"※数量已经是 0，金额还挂着 "&amp;TEXT($Y1027,"#,##0")&amp;" 先令",IF(AND($X1027&gt;0,$Y1027&lt;=0,$K1027=0),"※有数量没金额（这个物料一直没填过进价）",IF($Z1027="不可信","△成本含待补价/暂估，毛利仅供参考","")))))</f>
        <v/>
      </c>
    </row>
    <row r="1028">
      <c r="A1028" s="24">
        <f>IF(物料档案!$A1027="","",物料档案!$A1027)</f>
        <v/>
      </c>
      <c r="B1028" s="24">
        <f>IF($A1028="","",IFERROR(VLOOKUP($A1028,物料档案!$A$4:$P$1203,3,0),""))</f>
        <v/>
      </c>
      <c r="C1028" s="24">
        <f>IF($A1028="","",IFERROR(VLOOKUP($A1028,物料档案!$A$4:$P$1203,4,0),""))</f>
        <v/>
      </c>
      <c r="D1028" s="24">
        <f>IF($A1028="","",IFERROR(VLOOKUP($A1028,物料档案!$A$4:$P$1203,5,0),""))</f>
        <v/>
      </c>
      <c r="E1028" s="24">
        <f>IF($A1028="","",IFERROR(VLOOKUP($A1028,物料档案!$A$4:$P$1203,2,0),""))</f>
        <v/>
      </c>
      <c r="F1028" s="24">
        <f>IF($A1028="","",IFERROR(VLOOKUP($A1028,物料档案!$A$4:$P$1203,6,0),""))</f>
        <v/>
      </c>
      <c r="G1028" s="23" t="n"/>
      <c r="H1028" s="32" t="n"/>
      <c r="I1028" s="27">
        <f>IF($A1028="","",SUMIFS(入库单!$K$4:$K$2503,入库单!$G$4:$G$2503,$A1028,入库单!$X$4:$X$2503,"采购入库",入库单!$Z$4:$Z$2503,"正常",入库单!$C$4:$C$2503,"&gt;="&amp;账期起,入库单!$C$4:$C$2503,"&lt;="&amp;账期止))</f>
        <v/>
      </c>
      <c r="J1028" s="26">
        <f>IF($A1028="","",SUMIFS(入库单!$V$4:$V$2503,入库单!$G$4:$G$2503,$A1028,入库单!$X$4:$X$2503,"采购入库",入库单!$Z$4:$Z$2503,"正常",入库单!$C$4:$C$2503,"&gt;="&amp;账期起,入库单!$C$4:$C$2503,"&lt;="&amp;账期止))</f>
        <v/>
      </c>
      <c r="K1028" s="26">
        <f>IF($A1028="","",IFERROR(ROUND((N($H1028)+N($J1028))/(N($G1028)+N($I1028)),2),0))</f>
        <v/>
      </c>
      <c r="L1028" s="27">
        <f>IF($A1028="","",SUMIFS(入库单!$K$4:$K$2503,入库单!$G$4:$G$2503,$A1028,入库单!$X$4:$X$2503,"盘盈",入库单!$Z$4:$Z$2503,"正常",入库单!$C$4:$C$2503,"&gt;="&amp;账期起,入库单!$C$4:$C$2503,"&lt;="&amp;账期止))</f>
        <v/>
      </c>
      <c r="M1028" s="26">
        <f>IF($A1028="","",ROUND($L1028*$K1028,0))</f>
        <v/>
      </c>
      <c r="N1028" s="27">
        <f>IF($A1028="","",SUMIFS(入库单!$K$4:$K$2503,入库单!$G$4:$G$2503,$A1028,入库单!$X$4:$X$2503,"矿区退库",入库单!$Z$4:$Z$2503,"正常",入库单!$C$4:$C$2503,"&gt;="&amp;账期起,入库单!$C$4:$C$2503,"&lt;="&amp;账期止))</f>
        <v/>
      </c>
      <c r="O1028" s="26">
        <f>IF($A1028="","",ROUND($N1028*$K1028,0))</f>
        <v/>
      </c>
      <c r="P1028" s="27">
        <f>IF($A1028="","",SUMIFS(出库单!$J$4:$J$4003,出库单!$D$4:$D$4003,$A1028,出库单!$K$4:$K$4003,"自用消耗",出库单!$U$4:$U$4003,"正常",出库单!$C$4:$C$4003,"&gt;="&amp;账期起,出库单!$C$4:$C$4003,"&lt;="&amp;账期止))</f>
        <v/>
      </c>
      <c r="Q1028" s="26">
        <f>IF($A1028="","",ROUND(SUMIFS(出库单!$S$4:$S$4003,出库单!$D$4:$D$4003,$A1028,出库单!$K$4:$K$4003,"自用消耗",出库单!$U$4:$U$4003,"正常",出库单!$C$4:$C$4003,"&gt;="&amp;账期起,出库单!$C$4:$C$4003,"&lt;="&amp;账期止),0))</f>
        <v/>
      </c>
      <c r="R1028" s="27">
        <f>IF($A1028="","",SUMIFS(出库单!$J$4:$J$4003,出库单!$D$4:$D$4003,$A1028,出库单!$K$4:$K$4003,"对外销售",出库单!$U$4:$U$4003,"正常",出库单!$C$4:$C$4003,"&gt;="&amp;账期起,出库单!$C$4:$C$4003,"&lt;="&amp;账期止))</f>
        <v/>
      </c>
      <c r="S1028" s="26">
        <f>IF($A1028="","",ROUND(SUMIFS(出库单!$S$4:$S$4003,出库单!$D$4:$D$4003,$A1028,出库单!$K$4:$K$4003,"对外销售",出库单!$U$4:$U$4003,"正常",出库单!$C$4:$C$4003,"&gt;="&amp;账期起,出库单!$C$4:$C$4003,"&lt;="&amp;账期止),0))</f>
        <v/>
      </c>
      <c r="T1028" s="27">
        <f>IF($A1028="","",SUMIFS(出库单!$J$4:$J$4003,出库单!$D$4:$D$4003,$A1028,出库单!$K$4:$K$4003,"盘亏",出库单!$U$4:$U$4003,"正常",出库单!$C$4:$C$4003,"&gt;="&amp;账期起,出库单!$C$4:$C$4003,"&lt;="&amp;账期止))</f>
        <v/>
      </c>
      <c r="U1028" s="26">
        <f>IF($A1028="","",ROUND(SUMIFS(出库单!$S$4:$S$4003,出库单!$D$4:$D$4003,$A1028,出库单!$K$4:$K$4003,"盘亏",出库单!$U$4:$U$4003,"正常",出库单!$C$4:$C$4003,"&gt;="&amp;账期起,出库单!$C$4:$C$4003,"&lt;="&amp;账期止),0))</f>
        <v/>
      </c>
      <c r="V1028" s="27">
        <f>IF($A1028="","",SUMIFS(出库单!$J$4:$J$4003,出库单!$D$4:$D$4003,$A1028,出库单!$K$4:$K$4003,"退货给供应商",出库单!$U$4:$U$4003,"正常",出库单!$C$4:$C$4003,"&gt;="&amp;账期起,出库单!$C$4:$C$4003,"&lt;="&amp;账期止))</f>
        <v/>
      </c>
      <c r="W1028" s="26">
        <f>IF($A1028="","",ROUND(SUMIFS(出库单!$S$4:$S$4003,出库单!$D$4:$D$4003,$A1028,出库单!$K$4:$K$4003,"退货给供应商",出库单!$U$4:$U$4003,"正常",出库单!$C$4:$C$4003,"&gt;="&amp;账期起,出库单!$C$4:$C$4003,"&lt;="&amp;账期止),0))</f>
        <v/>
      </c>
      <c r="X1028" s="27">
        <f>IF($A1028="","",ROUND(N($G1028)+$I1028+$L1028+$N1028-$P1028-$R1028-$T1028-$V1028,3))</f>
        <v/>
      </c>
      <c r="Y1028" s="26">
        <f>IF($A1028="","",ROUND(N($H1028)+$J1028+$M1028+$O1028-$Q1028-$S1028-$U1028-$W1028,0))</f>
        <v/>
      </c>
      <c r="Z1028" s="24">
        <f>IF($A1028="","",IF(COUNTIFS(入库单!$G$4:$G$2503,$A1028,入库单!$Y$4:$Y$2503,"待补价")+COUNTIFS(入库单!$G$4:$G$2503,$A1028,入库单!$Y$4:$Y$2503,"暂估")&gt;0,"不可信","可信"))</f>
        <v/>
      </c>
      <c r="AA1028" s="24">
        <f>IF($A1028="","",IF($X1028&lt;-0.001,"※账面负库存，查一下是不是漏记入库",IF(AND(ROUND($X1028,3)=0,ABS($Y1028)&gt;1),"※数量已经是 0，金额还挂着 "&amp;TEXT($Y1028,"#,##0")&amp;" 先令",IF(AND($X1028&gt;0,$Y1028&lt;=0,$K1028=0),"※有数量没金额（这个物料一直没填过进价）",IF($Z1028="不可信","△成本含待补价/暂估，毛利仅供参考","")))))</f>
        <v/>
      </c>
    </row>
    <row r="1029">
      <c r="A1029" s="24">
        <f>IF(物料档案!$A1028="","",物料档案!$A1028)</f>
        <v/>
      </c>
      <c r="B1029" s="24">
        <f>IF($A1029="","",IFERROR(VLOOKUP($A1029,物料档案!$A$4:$P$1203,3,0),""))</f>
        <v/>
      </c>
      <c r="C1029" s="24">
        <f>IF($A1029="","",IFERROR(VLOOKUP($A1029,物料档案!$A$4:$P$1203,4,0),""))</f>
        <v/>
      </c>
      <c r="D1029" s="24">
        <f>IF($A1029="","",IFERROR(VLOOKUP($A1029,物料档案!$A$4:$P$1203,5,0),""))</f>
        <v/>
      </c>
      <c r="E1029" s="24">
        <f>IF($A1029="","",IFERROR(VLOOKUP($A1029,物料档案!$A$4:$P$1203,2,0),""))</f>
        <v/>
      </c>
      <c r="F1029" s="24">
        <f>IF($A1029="","",IFERROR(VLOOKUP($A1029,物料档案!$A$4:$P$1203,6,0),""))</f>
        <v/>
      </c>
      <c r="G1029" s="23" t="n"/>
      <c r="H1029" s="32" t="n"/>
      <c r="I1029" s="27">
        <f>IF($A1029="","",SUMIFS(入库单!$K$4:$K$2503,入库单!$G$4:$G$2503,$A1029,入库单!$X$4:$X$2503,"采购入库",入库单!$Z$4:$Z$2503,"正常",入库单!$C$4:$C$2503,"&gt;="&amp;账期起,入库单!$C$4:$C$2503,"&lt;="&amp;账期止))</f>
        <v/>
      </c>
      <c r="J1029" s="26">
        <f>IF($A1029="","",SUMIFS(入库单!$V$4:$V$2503,入库单!$G$4:$G$2503,$A1029,入库单!$X$4:$X$2503,"采购入库",入库单!$Z$4:$Z$2503,"正常",入库单!$C$4:$C$2503,"&gt;="&amp;账期起,入库单!$C$4:$C$2503,"&lt;="&amp;账期止))</f>
        <v/>
      </c>
      <c r="K1029" s="26">
        <f>IF($A1029="","",IFERROR(ROUND((N($H1029)+N($J1029))/(N($G1029)+N($I1029)),2),0))</f>
        <v/>
      </c>
      <c r="L1029" s="27">
        <f>IF($A1029="","",SUMIFS(入库单!$K$4:$K$2503,入库单!$G$4:$G$2503,$A1029,入库单!$X$4:$X$2503,"盘盈",入库单!$Z$4:$Z$2503,"正常",入库单!$C$4:$C$2503,"&gt;="&amp;账期起,入库单!$C$4:$C$2503,"&lt;="&amp;账期止))</f>
        <v/>
      </c>
      <c r="M1029" s="26">
        <f>IF($A1029="","",ROUND($L1029*$K1029,0))</f>
        <v/>
      </c>
      <c r="N1029" s="27">
        <f>IF($A1029="","",SUMIFS(入库单!$K$4:$K$2503,入库单!$G$4:$G$2503,$A1029,入库单!$X$4:$X$2503,"矿区退库",入库单!$Z$4:$Z$2503,"正常",入库单!$C$4:$C$2503,"&gt;="&amp;账期起,入库单!$C$4:$C$2503,"&lt;="&amp;账期止))</f>
        <v/>
      </c>
      <c r="O1029" s="26">
        <f>IF($A1029="","",ROUND($N1029*$K1029,0))</f>
        <v/>
      </c>
      <c r="P1029" s="27">
        <f>IF($A1029="","",SUMIFS(出库单!$J$4:$J$4003,出库单!$D$4:$D$4003,$A1029,出库单!$K$4:$K$4003,"自用消耗",出库单!$U$4:$U$4003,"正常",出库单!$C$4:$C$4003,"&gt;="&amp;账期起,出库单!$C$4:$C$4003,"&lt;="&amp;账期止))</f>
        <v/>
      </c>
      <c r="Q1029" s="26">
        <f>IF($A1029="","",ROUND(SUMIFS(出库单!$S$4:$S$4003,出库单!$D$4:$D$4003,$A1029,出库单!$K$4:$K$4003,"自用消耗",出库单!$U$4:$U$4003,"正常",出库单!$C$4:$C$4003,"&gt;="&amp;账期起,出库单!$C$4:$C$4003,"&lt;="&amp;账期止),0))</f>
        <v/>
      </c>
      <c r="R1029" s="27">
        <f>IF($A1029="","",SUMIFS(出库单!$J$4:$J$4003,出库单!$D$4:$D$4003,$A1029,出库单!$K$4:$K$4003,"对外销售",出库单!$U$4:$U$4003,"正常",出库单!$C$4:$C$4003,"&gt;="&amp;账期起,出库单!$C$4:$C$4003,"&lt;="&amp;账期止))</f>
        <v/>
      </c>
      <c r="S1029" s="26">
        <f>IF($A1029="","",ROUND(SUMIFS(出库单!$S$4:$S$4003,出库单!$D$4:$D$4003,$A1029,出库单!$K$4:$K$4003,"对外销售",出库单!$U$4:$U$4003,"正常",出库单!$C$4:$C$4003,"&gt;="&amp;账期起,出库单!$C$4:$C$4003,"&lt;="&amp;账期止),0))</f>
        <v/>
      </c>
      <c r="T1029" s="27">
        <f>IF($A1029="","",SUMIFS(出库单!$J$4:$J$4003,出库单!$D$4:$D$4003,$A1029,出库单!$K$4:$K$4003,"盘亏",出库单!$U$4:$U$4003,"正常",出库单!$C$4:$C$4003,"&gt;="&amp;账期起,出库单!$C$4:$C$4003,"&lt;="&amp;账期止))</f>
        <v/>
      </c>
      <c r="U1029" s="26">
        <f>IF($A1029="","",ROUND(SUMIFS(出库单!$S$4:$S$4003,出库单!$D$4:$D$4003,$A1029,出库单!$K$4:$K$4003,"盘亏",出库单!$U$4:$U$4003,"正常",出库单!$C$4:$C$4003,"&gt;="&amp;账期起,出库单!$C$4:$C$4003,"&lt;="&amp;账期止),0))</f>
        <v/>
      </c>
      <c r="V1029" s="27">
        <f>IF($A1029="","",SUMIFS(出库单!$J$4:$J$4003,出库单!$D$4:$D$4003,$A1029,出库单!$K$4:$K$4003,"退货给供应商",出库单!$U$4:$U$4003,"正常",出库单!$C$4:$C$4003,"&gt;="&amp;账期起,出库单!$C$4:$C$4003,"&lt;="&amp;账期止))</f>
        <v/>
      </c>
      <c r="W1029" s="26">
        <f>IF($A1029="","",ROUND(SUMIFS(出库单!$S$4:$S$4003,出库单!$D$4:$D$4003,$A1029,出库单!$K$4:$K$4003,"退货给供应商",出库单!$U$4:$U$4003,"正常",出库单!$C$4:$C$4003,"&gt;="&amp;账期起,出库单!$C$4:$C$4003,"&lt;="&amp;账期止),0))</f>
        <v/>
      </c>
      <c r="X1029" s="27">
        <f>IF($A1029="","",ROUND(N($G1029)+$I1029+$L1029+$N1029-$P1029-$R1029-$T1029-$V1029,3))</f>
        <v/>
      </c>
      <c r="Y1029" s="26">
        <f>IF($A1029="","",ROUND(N($H1029)+$J1029+$M1029+$O1029-$Q1029-$S1029-$U1029-$W1029,0))</f>
        <v/>
      </c>
      <c r="Z1029" s="24">
        <f>IF($A1029="","",IF(COUNTIFS(入库单!$G$4:$G$2503,$A1029,入库单!$Y$4:$Y$2503,"待补价")+COUNTIFS(入库单!$G$4:$G$2503,$A1029,入库单!$Y$4:$Y$2503,"暂估")&gt;0,"不可信","可信"))</f>
        <v/>
      </c>
      <c r="AA1029" s="24">
        <f>IF($A1029="","",IF($X1029&lt;-0.001,"※账面负库存，查一下是不是漏记入库",IF(AND(ROUND($X1029,3)=0,ABS($Y1029)&gt;1),"※数量已经是 0，金额还挂着 "&amp;TEXT($Y1029,"#,##0")&amp;" 先令",IF(AND($X1029&gt;0,$Y1029&lt;=0,$K1029=0),"※有数量没金额（这个物料一直没填过进价）",IF($Z1029="不可信","△成本含待补价/暂估，毛利仅供参考","")))))</f>
        <v/>
      </c>
    </row>
    <row r="1030">
      <c r="A1030" s="24">
        <f>IF(物料档案!$A1029="","",物料档案!$A1029)</f>
        <v/>
      </c>
      <c r="B1030" s="24">
        <f>IF($A1030="","",IFERROR(VLOOKUP($A1030,物料档案!$A$4:$P$1203,3,0),""))</f>
        <v/>
      </c>
      <c r="C1030" s="24">
        <f>IF($A1030="","",IFERROR(VLOOKUP($A1030,物料档案!$A$4:$P$1203,4,0),""))</f>
        <v/>
      </c>
      <c r="D1030" s="24">
        <f>IF($A1030="","",IFERROR(VLOOKUP($A1030,物料档案!$A$4:$P$1203,5,0),""))</f>
        <v/>
      </c>
      <c r="E1030" s="24">
        <f>IF($A1030="","",IFERROR(VLOOKUP($A1030,物料档案!$A$4:$P$1203,2,0),""))</f>
        <v/>
      </c>
      <c r="F1030" s="24">
        <f>IF($A1030="","",IFERROR(VLOOKUP($A1030,物料档案!$A$4:$P$1203,6,0),""))</f>
        <v/>
      </c>
      <c r="G1030" s="23" t="n"/>
      <c r="H1030" s="32" t="n"/>
      <c r="I1030" s="27">
        <f>IF($A1030="","",SUMIFS(入库单!$K$4:$K$2503,入库单!$G$4:$G$2503,$A1030,入库单!$X$4:$X$2503,"采购入库",入库单!$Z$4:$Z$2503,"正常",入库单!$C$4:$C$2503,"&gt;="&amp;账期起,入库单!$C$4:$C$2503,"&lt;="&amp;账期止))</f>
        <v/>
      </c>
      <c r="J1030" s="26">
        <f>IF($A1030="","",SUMIFS(入库单!$V$4:$V$2503,入库单!$G$4:$G$2503,$A1030,入库单!$X$4:$X$2503,"采购入库",入库单!$Z$4:$Z$2503,"正常",入库单!$C$4:$C$2503,"&gt;="&amp;账期起,入库单!$C$4:$C$2503,"&lt;="&amp;账期止))</f>
        <v/>
      </c>
      <c r="K1030" s="26">
        <f>IF($A1030="","",IFERROR(ROUND((N($H1030)+N($J1030))/(N($G1030)+N($I1030)),2),0))</f>
        <v/>
      </c>
      <c r="L1030" s="27">
        <f>IF($A1030="","",SUMIFS(入库单!$K$4:$K$2503,入库单!$G$4:$G$2503,$A1030,入库单!$X$4:$X$2503,"盘盈",入库单!$Z$4:$Z$2503,"正常",入库单!$C$4:$C$2503,"&gt;="&amp;账期起,入库单!$C$4:$C$2503,"&lt;="&amp;账期止))</f>
        <v/>
      </c>
      <c r="M1030" s="26">
        <f>IF($A1030="","",ROUND($L1030*$K1030,0))</f>
        <v/>
      </c>
      <c r="N1030" s="27">
        <f>IF($A1030="","",SUMIFS(入库单!$K$4:$K$2503,入库单!$G$4:$G$2503,$A1030,入库单!$X$4:$X$2503,"矿区退库",入库单!$Z$4:$Z$2503,"正常",入库单!$C$4:$C$2503,"&gt;="&amp;账期起,入库单!$C$4:$C$2503,"&lt;="&amp;账期止))</f>
        <v/>
      </c>
      <c r="O1030" s="26">
        <f>IF($A1030="","",ROUND($N1030*$K1030,0))</f>
        <v/>
      </c>
      <c r="P1030" s="27">
        <f>IF($A1030="","",SUMIFS(出库单!$J$4:$J$4003,出库单!$D$4:$D$4003,$A1030,出库单!$K$4:$K$4003,"自用消耗",出库单!$U$4:$U$4003,"正常",出库单!$C$4:$C$4003,"&gt;="&amp;账期起,出库单!$C$4:$C$4003,"&lt;="&amp;账期止))</f>
        <v/>
      </c>
      <c r="Q1030" s="26">
        <f>IF($A1030="","",ROUND(SUMIFS(出库单!$S$4:$S$4003,出库单!$D$4:$D$4003,$A1030,出库单!$K$4:$K$4003,"自用消耗",出库单!$U$4:$U$4003,"正常",出库单!$C$4:$C$4003,"&gt;="&amp;账期起,出库单!$C$4:$C$4003,"&lt;="&amp;账期止),0))</f>
        <v/>
      </c>
      <c r="R1030" s="27">
        <f>IF($A1030="","",SUMIFS(出库单!$J$4:$J$4003,出库单!$D$4:$D$4003,$A1030,出库单!$K$4:$K$4003,"对外销售",出库单!$U$4:$U$4003,"正常",出库单!$C$4:$C$4003,"&gt;="&amp;账期起,出库单!$C$4:$C$4003,"&lt;="&amp;账期止))</f>
        <v/>
      </c>
      <c r="S1030" s="26">
        <f>IF($A1030="","",ROUND(SUMIFS(出库单!$S$4:$S$4003,出库单!$D$4:$D$4003,$A1030,出库单!$K$4:$K$4003,"对外销售",出库单!$U$4:$U$4003,"正常",出库单!$C$4:$C$4003,"&gt;="&amp;账期起,出库单!$C$4:$C$4003,"&lt;="&amp;账期止),0))</f>
        <v/>
      </c>
      <c r="T1030" s="27">
        <f>IF($A1030="","",SUMIFS(出库单!$J$4:$J$4003,出库单!$D$4:$D$4003,$A1030,出库单!$K$4:$K$4003,"盘亏",出库单!$U$4:$U$4003,"正常",出库单!$C$4:$C$4003,"&gt;="&amp;账期起,出库单!$C$4:$C$4003,"&lt;="&amp;账期止))</f>
        <v/>
      </c>
      <c r="U1030" s="26">
        <f>IF($A1030="","",ROUND(SUMIFS(出库单!$S$4:$S$4003,出库单!$D$4:$D$4003,$A1030,出库单!$K$4:$K$4003,"盘亏",出库单!$U$4:$U$4003,"正常",出库单!$C$4:$C$4003,"&gt;="&amp;账期起,出库单!$C$4:$C$4003,"&lt;="&amp;账期止),0))</f>
        <v/>
      </c>
      <c r="V1030" s="27">
        <f>IF($A1030="","",SUMIFS(出库单!$J$4:$J$4003,出库单!$D$4:$D$4003,$A1030,出库单!$K$4:$K$4003,"退货给供应商",出库单!$U$4:$U$4003,"正常",出库单!$C$4:$C$4003,"&gt;="&amp;账期起,出库单!$C$4:$C$4003,"&lt;="&amp;账期止))</f>
        <v/>
      </c>
      <c r="W1030" s="26">
        <f>IF($A1030="","",ROUND(SUMIFS(出库单!$S$4:$S$4003,出库单!$D$4:$D$4003,$A1030,出库单!$K$4:$K$4003,"退货给供应商",出库单!$U$4:$U$4003,"正常",出库单!$C$4:$C$4003,"&gt;="&amp;账期起,出库单!$C$4:$C$4003,"&lt;="&amp;账期止),0))</f>
        <v/>
      </c>
      <c r="X1030" s="27">
        <f>IF($A1030="","",ROUND(N($G1030)+$I1030+$L1030+$N1030-$P1030-$R1030-$T1030-$V1030,3))</f>
        <v/>
      </c>
      <c r="Y1030" s="26">
        <f>IF($A1030="","",ROUND(N($H1030)+$J1030+$M1030+$O1030-$Q1030-$S1030-$U1030-$W1030,0))</f>
        <v/>
      </c>
      <c r="Z1030" s="24">
        <f>IF($A1030="","",IF(COUNTIFS(入库单!$G$4:$G$2503,$A1030,入库单!$Y$4:$Y$2503,"待补价")+COUNTIFS(入库单!$G$4:$G$2503,$A1030,入库单!$Y$4:$Y$2503,"暂估")&gt;0,"不可信","可信"))</f>
        <v/>
      </c>
      <c r="AA1030" s="24">
        <f>IF($A1030="","",IF($X1030&lt;-0.001,"※账面负库存，查一下是不是漏记入库",IF(AND(ROUND($X1030,3)=0,ABS($Y1030)&gt;1),"※数量已经是 0，金额还挂着 "&amp;TEXT($Y1030,"#,##0")&amp;" 先令",IF(AND($X1030&gt;0,$Y1030&lt;=0,$K1030=0),"※有数量没金额（这个物料一直没填过进价）",IF($Z1030="不可信","△成本含待补价/暂估，毛利仅供参考","")))))</f>
        <v/>
      </c>
    </row>
    <row r="1031">
      <c r="A1031" s="24">
        <f>IF(物料档案!$A1030="","",物料档案!$A1030)</f>
        <v/>
      </c>
      <c r="B1031" s="24">
        <f>IF($A1031="","",IFERROR(VLOOKUP($A1031,物料档案!$A$4:$P$1203,3,0),""))</f>
        <v/>
      </c>
      <c r="C1031" s="24">
        <f>IF($A1031="","",IFERROR(VLOOKUP($A1031,物料档案!$A$4:$P$1203,4,0),""))</f>
        <v/>
      </c>
      <c r="D1031" s="24">
        <f>IF($A1031="","",IFERROR(VLOOKUP($A1031,物料档案!$A$4:$P$1203,5,0),""))</f>
        <v/>
      </c>
      <c r="E1031" s="24">
        <f>IF($A1031="","",IFERROR(VLOOKUP($A1031,物料档案!$A$4:$P$1203,2,0),""))</f>
        <v/>
      </c>
      <c r="F1031" s="24">
        <f>IF($A1031="","",IFERROR(VLOOKUP($A1031,物料档案!$A$4:$P$1203,6,0),""))</f>
        <v/>
      </c>
      <c r="G1031" s="23" t="n"/>
      <c r="H1031" s="32" t="n"/>
      <c r="I1031" s="27">
        <f>IF($A1031="","",SUMIFS(入库单!$K$4:$K$2503,入库单!$G$4:$G$2503,$A1031,入库单!$X$4:$X$2503,"采购入库",入库单!$Z$4:$Z$2503,"正常",入库单!$C$4:$C$2503,"&gt;="&amp;账期起,入库单!$C$4:$C$2503,"&lt;="&amp;账期止))</f>
        <v/>
      </c>
      <c r="J1031" s="26">
        <f>IF($A1031="","",SUMIFS(入库单!$V$4:$V$2503,入库单!$G$4:$G$2503,$A1031,入库单!$X$4:$X$2503,"采购入库",入库单!$Z$4:$Z$2503,"正常",入库单!$C$4:$C$2503,"&gt;="&amp;账期起,入库单!$C$4:$C$2503,"&lt;="&amp;账期止))</f>
        <v/>
      </c>
      <c r="K1031" s="26">
        <f>IF($A1031="","",IFERROR(ROUND((N($H1031)+N($J1031))/(N($G1031)+N($I1031)),2),0))</f>
        <v/>
      </c>
      <c r="L1031" s="27">
        <f>IF($A1031="","",SUMIFS(入库单!$K$4:$K$2503,入库单!$G$4:$G$2503,$A1031,入库单!$X$4:$X$2503,"盘盈",入库单!$Z$4:$Z$2503,"正常",入库单!$C$4:$C$2503,"&gt;="&amp;账期起,入库单!$C$4:$C$2503,"&lt;="&amp;账期止))</f>
        <v/>
      </c>
      <c r="M1031" s="26">
        <f>IF($A1031="","",ROUND($L1031*$K1031,0))</f>
        <v/>
      </c>
      <c r="N1031" s="27">
        <f>IF($A1031="","",SUMIFS(入库单!$K$4:$K$2503,入库单!$G$4:$G$2503,$A1031,入库单!$X$4:$X$2503,"矿区退库",入库单!$Z$4:$Z$2503,"正常",入库单!$C$4:$C$2503,"&gt;="&amp;账期起,入库单!$C$4:$C$2503,"&lt;="&amp;账期止))</f>
        <v/>
      </c>
      <c r="O1031" s="26">
        <f>IF($A1031="","",ROUND($N1031*$K1031,0))</f>
        <v/>
      </c>
      <c r="P1031" s="27">
        <f>IF($A1031="","",SUMIFS(出库单!$J$4:$J$4003,出库单!$D$4:$D$4003,$A1031,出库单!$K$4:$K$4003,"自用消耗",出库单!$U$4:$U$4003,"正常",出库单!$C$4:$C$4003,"&gt;="&amp;账期起,出库单!$C$4:$C$4003,"&lt;="&amp;账期止))</f>
        <v/>
      </c>
      <c r="Q1031" s="26">
        <f>IF($A1031="","",ROUND(SUMIFS(出库单!$S$4:$S$4003,出库单!$D$4:$D$4003,$A1031,出库单!$K$4:$K$4003,"自用消耗",出库单!$U$4:$U$4003,"正常",出库单!$C$4:$C$4003,"&gt;="&amp;账期起,出库单!$C$4:$C$4003,"&lt;="&amp;账期止),0))</f>
        <v/>
      </c>
      <c r="R1031" s="27">
        <f>IF($A1031="","",SUMIFS(出库单!$J$4:$J$4003,出库单!$D$4:$D$4003,$A1031,出库单!$K$4:$K$4003,"对外销售",出库单!$U$4:$U$4003,"正常",出库单!$C$4:$C$4003,"&gt;="&amp;账期起,出库单!$C$4:$C$4003,"&lt;="&amp;账期止))</f>
        <v/>
      </c>
      <c r="S1031" s="26">
        <f>IF($A1031="","",ROUND(SUMIFS(出库单!$S$4:$S$4003,出库单!$D$4:$D$4003,$A1031,出库单!$K$4:$K$4003,"对外销售",出库单!$U$4:$U$4003,"正常",出库单!$C$4:$C$4003,"&gt;="&amp;账期起,出库单!$C$4:$C$4003,"&lt;="&amp;账期止),0))</f>
        <v/>
      </c>
      <c r="T1031" s="27">
        <f>IF($A1031="","",SUMIFS(出库单!$J$4:$J$4003,出库单!$D$4:$D$4003,$A1031,出库单!$K$4:$K$4003,"盘亏",出库单!$U$4:$U$4003,"正常",出库单!$C$4:$C$4003,"&gt;="&amp;账期起,出库单!$C$4:$C$4003,"&lt;="&amp;账期止))</f>
        <v/>
      </c>
      <c r="U1031" s="26">
        <f>IF($A1031="","",ROUND(SUMIFS(出库单!$S$4:$S$4003,出库单!$D$4:$D$4003,$A1031,出库单!$K$4:$K$4003,"盘亏",出库单!$U$4:$U$4003,"正常",出库单!$C$4:$C$4003,"&gt;="&amp;账期起,出库单!$C$4:$C$4003,"&lt;="&amp;账期止),0))</f>
        <v/>
      </c>
      <c r="V1031" s="27">
        <f>IF($A1031="","",SUMIFS(出库单!$J$4:$J$4003,出库单!$D$4:$D$4003,$A1031,出库单!$K$4:$K$4003,"退货给供应商",出库单!$U$4:$U$4003,"正常",出库单!$C$4:$C$4003,"&gt;="&amp;账期起,出库单!$C$4:$C$4003,"&lt;="&amp;账期止))</f>
        <v/>
      </c>
      <c r="W1031" s="26">
        <f>IF($A1031="","",ROUND(SUMIFS(出库单!$S$4:$S$4003,出库单!$D$4:$D$4003,$A1031,出库单!$K$4:$K$4003,"退货给供应商",出库单!$U$4:$U$4003,"正常",出库单!$C$4:$C$4003,"&gt;="&amp;账期起,出库单!$C$4:$C$4003,"&lt;="&amp;账期止),0))</f>
        <v/>
      </c>
      <c r="X1031" s="27">
        <f>IF($A1031="","",ROUND(N($G1031)+$I1031+$L1031+$N1031-$P1031-$R1031-$T1031-$V1031,3))</f>
        <v/>
      </c>
      <c r="Y1031" s="26">
        <f>IF($A1031="","",ROUND(N($H1031)+$J1031+$M1031+$O1031-$Q1031-$S1031-$U1031-$W1031,0))</f>
        <v/>
      </c>
      <c r="Z1031" s="24">
        <f>IF($A1031="","",IF(COUNTIFS(入库单!$G$4:$G$2503,$A1031,入库单!$Y$4:$Y$2503,"待补价")+COUNTIFS(入库单!$G$4:$G$2503,$A1031,入库单!$Y$4:$Y$2503,"暂估")&gt;0,"不可信","可信"))</f>
        <v/>
      </c>
      <c r="AA1031" s="24">
        <f>IF($A1031="","",IF($X1031&lt;-0.001,"※账面负库存，查一下是不是漏记入库",IF(AND(ROUND($X1031,3)=0,ABS($Y1031)&gt;1),"※数量已经是 0，金额还挂着 "&amp;TEXT($Y1031,"#,##0")&amp;" 先令",IF(AND($X1031&gt;0,$Y1031&lt;=0,$K1031=0),"※有数量没金额（这个物料一直没填过进价）",IF($Z1031="不可信","△成本含待补价/暂估，毛利仅供参考","")))))</f>
        <v/>
      </c>
    </row>
    <row r="1032">
      <c r="A1032" s="24">
        <f>IF(物料档案!$A1031="","",物料档案!$A1031)</f>
        <v/>
      </c>
      <c r="B1032" s="24">
        <f>IF($A1032="","",IFERROR(VLOOKUP($A1032,物料档案!$A$4:$P$1203,3,0),""))</f>
        <v/>
      </c>
      <c r="C1032" s="24">
        <f>IF($A1032="","",IFERROR(VLOOKUP($A1032,物料档案!$A$4:$P$1203,4,0),""))</f>
        <v/>
      </c>
      <c r="D1032" s="24">
        <f>IF($A1032="","",IFERROR(VLOOKUP($A1032,物料档案!$A$4:$P$1203,5,0),""))</f>
        <v/>
      </c>
      <c r="E1032" s="24">
        <f>IF($A1032="","",IFERROR(VLOOKUP($A1032,物料档案!$A$4:$P$1203,2,0),""))</f>
        <v/>
      </c>
      <c r="F1032" s="24">
        <f>IF($A1032="","",IFERROR(VLOOKUP($A1032,物料档案!$A$4:$P$1203,6,0),""))</f>
        <v/>
      </c>
      <c r="G1032" s="23" t="n"/>
      <c r="H1032" s="32" t="n"/>
      <c r="I1032" s="27">
        <f>IF($A1032="","",SUMIFS(入库单!$K$4:$K$2503,入库单!$G$4:$G$2503,$A1032,入库单!$X$4:$X$2503,"采购入库",入库单!$Z$4:$Z$2503,"正常",入库单!$C$4:$C$2503,"&gt;="&amp;账期起,入库单!$C$4:$C$2503,"&lt;="&amp;账期止))</f>
        <v/>
      </c>
      <c r="J1032" s="26">
        <f>IF($A1032="","",SUMIFS(入库单!$V$4:$V$2503,入库单!$G$4:$G$2503,$A1032,入库单!$X$4:$X$2503,"采购入库",入库单!$Z$4:$Z$2503,"正常",入库单!$C$4:$C$2503,"&gt;="&amp;账期起,入库单!$C$4:$C$2503,"&lt;="&amp;账期止))</f>
        <v/>
      </c>
      <c r="K1032" s="26">
        <f>IF($A1032="","",IFERROR(ROUND((N($H1032)+N($J1032))/(N($G1032)+N($I1032)),2),0))</f>
        <v/>
      </c>
      <c r="L1032" s="27">
        <f>IF($A1032="","",SUMIFS(入库单!$K$4:$K$2503,入库单!$G$4:$G$2503,$A1032,入库单!$X$4:$X$2503,"盘盈",入库单!$Z$4:$Z$2503,"正常",入库单!$C$4:$C$2503,"&gt;="&amp;账期起,入库单!$C$4:$C$2503,"&lt;="&amp;账期止))</f>
        <v/>
      </c>
      <c r="M1032" s="26">
        <f>IF($A1032="","",ROUND($L1032*$K1032,0))</f>
        <v/>
      </c>
      <c r="N1032" s="27">
        <f>IF($A1032="","",SUMIFS(入库单!$K$4:$K$2503,入库单!$G$4:$G$2503,$A1032,入库单!$X$4:$X$2503,"矿区退库",入库单!$Z$4:$Z$2503,"正常",入库单!$C$4:$C$2503,"&gt;="&amp;账期起,入库单!$C$4:$C$2503,"&lt;="&amp;账期止))</f>
        <v/>
      </c>
      <c r="O1032" s="26">
        <f>IF($A1032="","",ROUND($N1032*$K1032,0))</f>
        <v/>
      </c>
      <c r="P1032" s="27">
        <f>IF($A1032="","",SUMIFS(出库单!$J$4:$J$4003,出库单!$D$4:$D$4003,$A1032,出库单!$K$4:$K$4003,"自用消耗",出库单!$U$4:$U$4003,"正常",出库单!$C$4:$C$4003,"&gt;="&amp;账期起,出库单!$C$4:$C$4003,"&lt;="&amp;账期止))</f>
        <v/>
      </c>
      <c r="Q1032" s="26">
        <f>IF($A1032="","",ROUND(SUMIFS(出库单!$S$4:$S$4003,出库单!$D$4:$D$4003,$A1032,出库单!$K$4:$K$4003,"自用消耗",出库单!$U$4:$U$4003,"正常",出库单!$C$4:$C$4003,"&gt;="&amp;账期起,出库单!$C$4:$C$4003,"&lt;="&amp;账期止),0))</f>
        <v/>
      </c>
      <c r="R1032" s="27">
        <f>IF($A1032="","",SUMIFS(出库单!$J$4:$J$4003,出库单!$D$4:$D$4003,$A1032,出库单!$K$4:$K$4003,"对外销售",出库单!$U$4:$U$4003,"正常",出库单!$C$4:$C$4003,"&gt;="&amp;账期起,出库单!$C$4:$C$4003,"&lt;="&amp;账期止))</f>
        <v/>
      </c>
      <c r="S1032" s="26">
        <f>IF($A1032="","",ROUND(SUMIFS(出库单!$S$4:$S$4003,出库单!$D$4:$D$4003,$A1032,出库单!$K$4:$K$4003,"对外销售",出库单!$U$4:$U$4003,"正常",出库单!$C$4:$C$4003,"&gt;="&amp;账期起,出库单!$C$4:$C$4003,"&lt;="&amp;账期止),0))</f>
        <v/>
      </c>
      <c r="T1032" s="27">
        <f>IF($A1032="","",SUMIFS(出库单!$J$4:$J$4003,出库单!$D$4:$D$4003,$A1032,出库单!$K$4:$K$4003,"盘亏",出库单!$U$4:$U$4003,"正常",出库单!$C$4:$C$4003,"&gt;="&amp;账期起,出库单!$C$4:$C$4003,"&lt;="&amp;账期止))</f>
        <v/>
      </c>
      <c r="U1032" s="26">
        <f>IF($A1032="","",ROUND(SUMIFS(出库单!$S$4:$S$4003,出库单!$D$4:$D$4003,$A1032,出库单!$K$4:$K$4003,"盘亏",出库单!$U$4:$U$4003,"正常",出库单!$C$4:$C$4003,"&gt;="&amp;账期起,出库单!$C$4:$C$4003,"&lt;="&amp;账期止),0))</f>
        <v/>
      </c>
      <c r="V1032" s="27">
        <f>IF($A1032="","",SUMIFS(出库单!$J$4:$J$4003,出库单!$D$4:$D$4003,$A1032,出库单!$K$4:$K$4003,"退货给供应商",出库单!$U$4:$U$4003,"正常",出库单!$C$4:$C$4003,"&gt;="&amp;账期起,出库单!$C$4:$C$4003,"&lt;="&amp;账期止))</f>
        <v/>
      </c>
      <c r="W1032" s="26">
        <f>IF($A1032="","",ROUND(SUMIFS(出库单!$S$4:$S$4003,出库单!$D$4:$D$4003,$A1032,出库单!$K$4:$K$4003,"退货给供应商",出库单!$U$4:$U$4003,"正常",出库单!$C$4:$C$4003,"&gt;="&amp;账期起,出库单!$C$4:$C$4003,"&lt;="&amp;账期止),0))</f>
        <v/>
      </c>
      <c r="X1032" s="27">
        <f>IF($A1032="","",ROUND(N($G1032)+$I1032+$L1032+$N1032-$P1032-$R1032-$T1032-$V1032,3))</f>
        <v/>
      </c>
      <c r="Y1032" s="26">
        <f>IF($A1032="","",ROUND(N($H1032)+$J1032+$M1032+$O1032-$Q1032-$S1032-$U1032-$W1032,0))</f>
        <v/>
      </c>
      <c r="Z1032" s="24">
        <f>IF($A1032="","",IF(COUNTIFS(入库单!$G$4:$G$2503,$A1032,入库单!$Y$4:$Y$2503,"待补价")+COUNTIFS(入库单!$G$4:$G$2503,$A1032,入库单!$Y$4:$Y$2503,"暂估")&gt;0,"不可信","可信"))</f>
        <v/>
      </c>
      <c r="AA1032" s="24">
        <f>IF($A1032="","",IF($X1032&lt;-0.001,"※账面负库存，查一下是不是漏记入库",IF(AND(ROUND($X1032,3)=0,ABS($Y1032)&gt;1),"※数量已经是 0，金额还挂着 "&amp;TEXT($Y1032,"#,##0")&amp;" 先令",IF(AND($X1032&gt;0,$Y1032&lt;=0,$K1032=0),"※有数量没金额（这个物料一直没填过进价）",IF($Z1032="不可信","△成本含待补价/暂估，毛利仅供参考","")))))</f>
        <v/>
      </c>
    </row>
    <row r="1033">
      <c r="A1033" s="24">
        <f>IF(物料档案!$A1032="","",物料档案!$A1032)</f>
        <v/>
      </c>
      <c r="B1033" s="24">
        <f>IF($A1033="","",IFERROR(VLOOKUP($A1033,物料档案!$A$4:$P$1203,3,0),""))</f>
        <v/>
      </c>
      <c r="C1033" s="24">
        <f>IF($A1033="","",IFERROR(VLOOKUP($A1033,物料档案!$A$4:$P$1203,4,0),""))</f>
        <v/>
      </c>
      <c r="D1033" s="24">
        <f>IF($A1033="","",IFERROR(VLOOKUP($A1033,物料档案!$A$4:$P$1203,5,0),""))</f>
        <v/>
      </c>
      <c r="E1033" s="24">
        <f>IF($A1033="","",IFERROR(VLOOKUP($A1033,物料档案!$A$4:$P$1203,2,0),""))</f>
        <v/>
      </c>
      <c r="F1033" s="24">
        <f>IF($A1033="","",IFERROR(VLOOKUP($A1033,物料档案!$A$4:$P$1203,6,0),""))</f>
        <v/>
      </c>
      <c r="G1033" s="23" t="n"/>
      <c r="H1033" s="32" t="n"/>
      <c r="I1033" s="27">
        <f>IF($A1033="","",SUMIFS(入库单!$K$4:$K$2503,入库单!$G$4:$G$2503,$A1033,入库单!$X$4:$X$2503,"采购入库",入库单!$Z$4:$Z$2503,"正常",入库单!$C$4:$C$2503,"&gt;="&amp;账期起,入库单!$C$4:$C$2503,"&lt;="&amp;账期止))</f>
        <v/>
      </c>
      <c r="J1033" s="26">
        <f>IF($A1033="","",SUMIFS(入库单!$V$4:$V$2503,入库单!$G$4:$G$2503,$A1033,入库单!$X$4:$X$2503,"采购入库",入库单!$Z$4:$Z$2503,"正常",入库单!$C$4:$C$2503,"&gt;="&amp;账期起,入库单!$C$4:$C$2503,"&lt;="&amp;账期止))</f>
        <v/>
      </c>
      <c r="K1033" s="26">
        <f>IF($A1033="","",IFERROR(ROUND((N($H1033)+N($J1033))/(N($G1033)+N($I1033)),2),0))</f>
        <v/>
      </c>
      <c r="L1033" s="27">
        <f>IF($A1033="","",SUMIFS(入库单!$K$4:$K$2503,入库单!$G$4:$G$2503,$A1033,入库单!$X$4:$X$2503,"盘盈",入库单!$Z$4:$Z$2503,"正常",入库单!$C$4:$C$2503,"&gt;="&amp;账期起,入库单!$C$4:$C$2503,"&lt;="&amp;账期止))</f>
        <v/>
      </c>
      <c r="M1033" s="26">
        <f>IF($A1033="","",ROUND($L1033*$K1033,0))</f>
        <v/>
      </c>
      <c r="N1033" s="27">
        <f>IF($A1033="","",SUMIFS(入库单!$K$4:$K$2503,入库单!$G$4:$G$2503,$A1033,入库单!$X$4:$X$2503,"矿区退库",入库单!$Z$4:$Z$2503,"正常",入库单!$C$4:$C$2503,"&gt;="&amp;账期起,入库单!$C$4:$C$2503,"&lt;="&amp;账期止))</f>
        <v/>
      </c>
      <c r="O1033" s="26">
        <f>IF($A1033="","",ROUND($N1033*$K1033,0))</f>
        <v/>
      </c>
      <c r="P1033" s="27">
        <f>IF($A1033="","",SUMIFS(出库单!$J$4:$J$4003,出库单!$D$4:$D$4003,$A1033,出库单!$K$4:$K$4003,"自用消耗",出库单!$U$4:$U$4003,"正常",出库单!$C$4:$C$4003,"&gt;="&amp;账期起,出库单!$C$4:$C$4003,"&lt;="&amp;账期止))</f>
        <v/>
      </c>
      <c r="Q1033" s="26">
        <f>IF($A1033="","",ROUND(SUMIFS(出库单!$S$4:$S$4003,出库单!$D$4:$D$4003,$A1033,出库单!$K$4:$K$4003,"自用消耗",出库单!$U$4:$U$4003,"正常",出库单!$C$4:$C$4003,"&gt;="&amp;账期起,出库单!$C$4:$C$4003,"&lt;="&amp;账期止),0))</f>
        <v/>
      </c>
      <c r="R1033" s="27">
        <f>IF($A1033="","",SUMIFS(出库单!$J$4:$J$4003,出库单!$D$4:$D$4003,$A1033,出库单!$K$4:$K$4003,"对外销售",出库单!$U$4:$U$4003,"正常",出库单!$C$4:$C$4003,"&gt;="&amp;账期起,出库单!$C$4:$C$4003,"&lt;="&amp;账期止))</f>
        <v/>
      </c>
      <c r="S1033" s="26">
        <f>IF($A1033="","",ROUND(SUMIFS(出库单!$S$4:$S$4003,出库单!$D$4:$D$4003,$A1033,出库单!$K$4:$K$4003,"对外销售",出库单!$U$4:$U$4003,"正常",出库单!$C$4:$C$4003,"&gt;="&amp;账期起,出库单!$C$4:$C$4003,"&lt;="&amp;账期止),0))</f>
        <v/>
      </c>
      <c r="T1033" s="27">
        <f>IF($A1033="","",SUMIFS(出库单!$J$4:$J$4003,出库单!$D$4:$D$4003,$A1033,出库单!$K$4:$K$4003,"盘亏",出库单!$U$4:$U$4003,"正常",出库单!$C$4:$C$4003,"&gt;="&amp;账期起,出库单!$C$4:$C$4003,"&lt;="&amp;账期止))</f>
        <v/>
      </c>
      <c r="U1033" s="26">
        <f>IF($A1033="","",ROUND(SUMIFS(出库单!$S$4:$S$4003,出库单!$D$4:$D$4003,$A1033,出库单!$K$4:$K$4003,"盘亏",出库单!$U$4:$U$4003,"正常",出库单!$C$4:$C$4003,"&gt;="&amp;账期起,出库单!$C$4:$C$4003,"&lt;="&amp;账期止),0))</f>
        <v/>
      </c>
      <c r="V1033" s="27">
        <f>IF($A1033="","",SUMIFS(出库单!$J$4:$J$4003,出库单!$D$4:$D$4003,$A1033,出库单!$K$4:$K$4003,"退货给供应商",出库单!$U$4:$U$4003,"正常",出库单!$C$4:$C$4003,"&gt;="&amp;账期起,出库单!$C$4:$C$4003,"&lt;="&amp;账期止))</f>
        <v/>
      </c>
      <c r="W1033" s="26">
        <f>IF($A1033="","",ROUND(SUMIFS(出库单!$S$4:$S$4003,出库单!$D$4:$D$4003,$A1033,出库单!$K$4:$K$4003,"退货给供应商",出库单!$U$4:$U$4003,"正常",出库单!$C$4:$C$4003,"&gt;="&amp;账期起,出库单!$C$4:$C$4003,"&lt;="&amp;账期止),0))</f>
        <v/>
      </c>
      <c r="X1033" s="27">
        <f>IF($A1033="","",ROUND(N($G1033)+$I1033+$L1033+$N1033-$P1033-$R1033-$T1033-$V1033,3))</f>
        <v/>
      </c>
      <c r="Y1033" s="26">
        <f>IF($A1033="","",ROUND(N($H1033)+$J1033+$M1033+$O1033-$Q1033-$S1033-$U1033-$W1033,0))</f>
        <v/>
      </c>
      <c r="Z1033" s="24">
        <f>IF($A1033="","",IF(COUNTIFS(入库单!$G$4:$G$2503,$A1033,入库单!$Y$4:$Y$2503,"待补价")+COUNTIFS(入库单!$G$4:$G$2503,$A1033,入库单!$Y$4:$Y$2503,"暂估")&gt;0,"不可信","可信"))</f>
        <v/>
      </c>
      <c r="AA1033" s="24">
        <f>IF($A1033="","",IF($X1033&lt;-0.001,"※账面负库存，查一下是不是漏记入库",IF(AND(ROUND($X1033,3)=0,ABS($Y1033)&gt;1),"※数量已经是 0，金额还挂着 "&amp;TEXT($Y1033,"#,##0")&amp;" 先令",IF(AND($X1033&gt;0,$Y1033&lt;=0,$K1033=0),"※有数量没金额（这个物料一直没填过进价）",IF($Z1033="不可信","△成本含待补价/暂估，毛利仅供参考","")))))</f>
        <v/>
      </c>
    </row>
    <row r="1034">
      <c r="A1034" s="24">
        <f>IF(物料档案!$A1033="","",物料档案!$A1033)</f>
        <v/>
      </c>
      <c r="B1034" s="24">
        <f>IF($A1034="","",IFERROR(VLOOKUP($A1034,物料档案!$A$4:$P$1203,3,0),""))</f>
        <v/>
      </c>
      <c r="C1034" s="24">
        <f>IF($A1034="","",IFERROR(VLOOKUP($A1034,物料档案!$A$4:$P$1203,4,0),""))</f>
        <v/>
      </c>
      <c r="D1034" s="24">
        <f>IF($A1034="","",IFERROR(VLOOKUP($A1034,物料档案!$A$4:$P$1203,5,0),""))</f>
        <v/>
      </c>
      <c r="E1034" s="24">
        <f>IF($A1034="","",IFERROR(VLOOKUP($A1034,物料档案!$A$4:$P$1203,2,0),""))</f>
        <v/>
      </c>
      <c r="F1034" s="24">
        <f>IF($A1034="","",IFERROR(VLOOKUP($A1034,物料档案!$A$4:$P$1203,6,0),""))</f>
        <v/>
      </c>
      <c r="G1034" s="23" t="n"/>
      <c r="H1034" s="32" t="n"/>
      <c r="I1034" s="27">
        <f>IF($A1034="","",SUMIFS(入库单!$K$4:$K$2503,入库单!$G$4:$G$2503,$A1034,入库单!$X$4:$X$2503,"采购入库",入库单!$Z$4:$Z$2503,"正常",入库单!$C$4:$C$2503,"&gt;="&amp;账期起,入库单!$C$4:$C$2503,"&lt;="&amp;账期止))</f>
        <v/>
      </c>
      <c r="J1034" s="26">
        <f>IF($A1034="","",SUMIFS(入库单!$V$4:$V$2503,入库单!$G$4:$G$2503,$A1034,入库单!$X$4:$X$2503,"采购入库",入库单!$Z$4:$Z$2503,"正常",入库单!$C$4:$C$2503,"&gt;="&amp;账期起,入库单!$C$4:$C$2503,"&lt;="&amp;账期止))</f>
        <v/>
      </c>
      <c r="K1034" s="26">
        <f>IF($A1034="","",IFERROR(ROUND((N($H1034)+N($J1034))/(N($G1034)+N($I1034)),2),0))</f>
        <v/>
      </c>
      <c r="L1034" s="27">
        <f>IF($A1034="","",SUMIFS(入库单!$K$4:$K$2503,入库单!$G$4:$G$2503,$A1034,入库单!$X$4:$X$2503,"盘盈",入库单!$Z$4:$Z$2503,"正常",入库单!$C$4:$C$2503,"&gt;="&amp;账期起,入库单!$C$4:$C$2503,"&lt;="&amp;账期止))</f>
        <v/>
      </c>
      <c r="M1034" s="26">
        <f>IF($A1034="","",ROUND($L1034*$K1034,0))</f>
        <v/>
      </c>
      <c r="N1034" s="27">
        <f>IF($A1034="","",SUMIFS(入库单!$K$4:$K$2503,入库单!$G$4:$G$2503,$A1034,入库单!$X$4:$X$2503,"矿区退库",入库单!$Z$4:$Z$2503,"正常",入库单!$C$4:$C$2503,"&gt;="&amp;账期起,入库单!$C$4:$C$2503,"&lt;="&amp;账期止))</f>
        <v/>
      </c>
      <c r="O1034" s="26">
        <f>IF($A1034="","",ROUND($N1034*$K1034,0))</f>
        <v/>
      </c>
      <c r="P1034" s="27">
        <f>IF($A1034="","",SUMIFS(出库单!$J$4:$J$4003,出库单!$D$4:$D$4003,$A1034,出库单!$K$4:$K$4003,"自用消耗",出库单!$U$4:$U$4003,"正常",出库单!$C$4:$C$4003,"&gt;="&amp;账期起,出库单!$C$4:$C$4003,"&lt;="&amp;账期止))</f>
        <v/>
      </c>
      <c r="Q1034" s="26">
        <f>IF($A1034="","",ROUND(SUMIFS(出库单!$S$4:$S$4003,出库单!$D$4:$D$4003,$A1034,出库单!$K$4:$K$4003,"自用消耗",出库单!$U$4:$U$4003,"正常",出库单!$C$4:$C$4003,"&gt;="&amp;账期起,出库单!$C$4:$C$4003,"&lt;="&amp;账期止),0))</f>
        <v/>
      </c>
      <c r="R1034" s="27">
        <f>IF($A1034="","",SUMIFS(出库单!$J$4:$J$4003,出库单!$D$4:$D$4003,$A1034,出库单!$K$4:$K$4003,"对外销售",出库单!$U$4:$U$4003,"正常",出库单!$C$4:$C$4003,"&gt;="&amp;账期起,出库单!$C$4:$C$4003,"&lt;="&amp;账期止))</f>
        <v/>
      </c>
      <c r="S1034" s="26">
        <f>IF($A1034="","",ROUND(SUMIFS(出库单!$S$4:$S$4003,出库单!$D$4:$D$4003,$A1034,出库单!$K$4:$K$4003,"对外销售",出库单!$U$4:$U$4003,"正常",出库单!$C$4:$C$4003,"&gt;="&amp;账期起,出库单!$C$4:$C$4003,"&lt;="&amp;账期止),0))</f>
        <v/>
      </c>
      <c r="T1034" s="27">
        <f>IF($A1034="","",SUMIFS(出库单!$J$4:$J$4003,出库单!$D$4:$D$4003,$A1034,出库单!$K$4:$K$4003,"盘亏",出库单!$U$4:$U$4003,"正常",出库单!$C$4:$C$4003,"&gt;="&amp;账期起,出库单!$C$4:$C$4003,"&lt;="&amp;账期止))</f>
        <v/>
      </c>
      <c r="U1034" s="26">
        <f>IF($A1034="","",ROUND(SUMIFS(出库单!$S$4:$S$4003,出库单!$D$4:$D$4003,$A1034,出库单!$K$4:$K$4003,"盘亏",出库单!$U$4:$U$4003,"正常",出库单!$C$4:$C$4003,"&gt;="&amp;账期起,出库单!$C$4:$C$4003,"&lt;="&amp;账期止),0))</f>
        <v/>
      </c>
      <c r="V1034" s="27">
        <f>IF($A1034="","",SUMIFS(出库单!$J$4:$J$4003,出库单!$D$4:$D$4003,$A1034,出库单!$K$4:$K$4003,"退货给供应商",出库单!$U$4:$U$4003,"正常",出库单!$C$4:$C$4003,"&gt;="&amp;账期起,出库单!$C$4:$C$4003,"&lt;="&amp;账期止))</f>
        <v/>
      </c>
      <c r="W1034" s="26">
        <f>IF($A1034="","",ROUND(SUMIFS(出库单!$S$4:$S$4003,出库单!$D$4:$D$4003,$A1034,出库单!$K$4:$K$4003,"退货给供应商",出库单!$U$4:$U$4003,"正常",出库单!$C$4:$C$4003,"&gt;="&amp;账期起,出库单!$C$4:$C$4003,"&lt;="&amp;账期止),0))</f>
        <v/>
      </c>
      <c r="X1034" s="27">
        <f>IF($A1034="","",ROUND(N($G1034)+$I1034+$L1034+$N1034-$P1034-$R1034-$T1034-$V1034,3))</f>
        <v/>
      </c>
      <c r="Y1034" s="26">
        <f>IF($A1034="","",ROUND(N($H1034)+$J1034+$M1034+$O1034-$Q1034-$S1034-$U1034-$W1034,0))</f>
        <v/>
      </c>
      <c r="Z1034" s="24">
        <f>IF($A1034="","",IF(COUNTIFS(入库单!$G$4:$G$2503,$A1034,入库单!$Y$4:$Y$2503,"待补价")+COUNTIFS(入库单!$G$4:$G$2503,$A1034,入库单!$Y$4:$Y$2503,"暂估")&gt;0,"不可信","可信"))</f>
        <v/>
      </c>
      <c r="AA1034" s="24">
        <f>IF($A1034="","",IF($X1034&lt;-0.001,"※账面负库存，查一下是不是漏记入库",IF(AND(ROUND($X1034,3)=0,ABS($Y1034)&gt;1),"※数量已经是 0，金额还挂着 "&amp;TEXT($Y1034,"#,##0")&amp;" 先令",IF(AND($X1034&gt;0,$Y1034&lt;=0,$K1034=0),"※有数量没金额（这个物料一直没填过进价）",IF($Z1034="不可信","△成本含待补价/暂估，毛利仅供参考","")))))</f>
        <v/>
      </c>
    </row>
    <row r="1035">
      <c r="A1035" s="24">
        <f>IF(物料档案!$A1034="","",物料档案!$A1034)</f>
        <v/>
      </c>
      <c r="B1035" s="24">
        <f>IF($A1035="","",IFERROR(VLOOKUP($A1035,物料档案!$A$4:$P$1203,3,0),""))</f>
        <v/>
      </c>
      <c r="C1035" s="24">
        <f>IF($A1035="","",IFERROR(VLOOKUP($A1035,物料档案!$A$4:$P$1203,4,0),""))</f>
        <v/>
      </c>
      <c r="D1035" s="24">
        <f>IF($A1035="","",IFERROR(VLOOKUP($A1035,物料档案!$A$4:$P$1203,5,0),""))</f>
        <v/>
      </c>
      <c r="E1035" s="24">
        <f>IF($A1035="","",IFERROR(VLOOKUP($A1035,物料档案!$A$4:$P$1203,2,0),""))</f>
        <v/>
      </c>
      <c r="F1035" s="24">
        <f>IF($A1035="","",IFERROR(VLOOKUP($A1035,物料档案!$A$4:$P$1203,6,0),""))</f>
        <v/>
      </c>
      <c r="G1035" s="23" t="n"/>
      <c r="H1035" s="32" t="n"/>
      <c r="I1035" s="27">
        <f>IF($A1035="","",SUMIFS(入库单!$K$4:$K$2503,入库单!$G$4:$G$2503,$A1035,入库单!$X$4:$X$2503,"采购入库",入库单!$Z$4:$Z$2503,"正常",入库单!$C$4:$C$2503,"&gt;="&amp;账期起,入库单!$C$4:$C$2503,"&lt;="&amp;账期止))</f>
        <v/>
      </c>
      <c r="J1035" s="26">
        <f>IF($A1035="","",SUMIFS(入库单!$V$4:$V$2503,入库单!$G$4:$G$2503,$A1035,入库单!$X$4:$X$2503,"采购入库",入库单!$Z$4:$Z$2503,"正常",入库单!$C$4:$C$2503,"&gt;="&amp;账期起,入库单!$C$4:$C$2503,"&lt;="&amp;账期止))</f>
        <v/>
      </c>
      <c r="K1035" s="26">
        <f>IF($A1035="","",IFERROR(ROUND((N($H1035)+N($J1035))/(N($G1035)+N($I1035)),2),0))</f>
        <v/>
      </c>
      <c r="L1035" s="27">
        <f>IF($A1035="","",SUMIFS(入库单!$K$4:$K$2503,入库单!$G$4:$G$2503,$A1035,入库单!$X$4:$X$2503,"盘盈",入库单!$Z$4:$Z$2503,"正常",入库单!$C$4:$C$2503,"&gt;="&amp;账期起,入库单!$C$4:$C$2503,"&lt;="&amp;账期止))</f>
        <v/>
      </c>
      <c r="M1035" s="26">
        <f>IF($A1035="","",ROUND($L1035*$K1035,0))</f>
        <v/>
      </c>
      <c r="N1035" s="27">
        <f>IF($A1035="","",SUMIFS(入库单!$K$4:$K$2503,入库单!$G$4:$G$2503,$A1035,入库单!$X$4:$X$2503,"矿区退库",入库单!$Z$4:$Z$2503,"正常",入库单!$C$4:$C$2503,"&gt;="&amp;账期起,入库单!$C$4:$C$2503,"&lt;="&amp;账期止))</f>
        <v/>
      </c>
      <c r="O1035" s="26">
        <f>IF($A1035="","",ROUND($N1035*$K1035,0))</f>
        <v/>
      </c>
      <c r="P1035" s="27">
        <f>IF($A1035="","",SUMIFS(出库单!$J$4:$J$4003,出库单!$D$4:$D$4003,$A1035,出库单!$K$4:$K$4003,"自用消耗",出库单!$U$4:$U$4003,"正常",出库单!$C$4:$C$4003,"&gt;="&amp;账期起,出库单!$C$4:$C$4003,"&lt;="&amp;账期止))</f>
        <v/>
      </c>
      <c r="Q1035" s="26">
        <f>IF($A1035="","",ROUND(SUMIFS(出库单!$S$4:$S$4003,出库单!$D$4:$D$4003,$A1035,出库单!$K$4:$K$4003,"自用消耗",出库单!$U$4:$U$4003,"正常",出库单!$C$4:$C$4003,"&gt;="&amp;账期起,出库单!$C$4:$C$4003,"&lt;="&amp;账期止),0))</f>
        <v/>
      </c>
      <c r="R1035" s="27">
        <f>IF($A1035="","",SUMIFS(出库单!$J$4:$J$4003,出库单!$D$4:$D$4003,$A1035,出库单!$K$4:$K$4003,"对外销售",出库单!$U$4:$U$4003,"正常",出库单!$C$4:$C$4003,"&gt;="&amp;账期起,出库单!$C$4:$C$4003,"&lt;="&amp;账期止))</f>
        <v/>
      </c>
      <c r="S1035" s="26">
        <f>IF($A1035="","",ROUND(SUMIFS(出库单!$S$4:$S$4003,出库单!$D$4:$D$4003,$A1035,出库单!$K$4:$K$4003,"对外销售",出库单!$U$4:$U$4003,"正常",出库单!$C$4:$C$4003,"&gt;="&amp;账期起,出库单!$C$4:$C$4003,"&lt;="&amp;账期止),0))</f>
        <v/>
      </c>
      <c r="T1035" s="27">
        <f>IF($A1035="","",SUMIFS(出库单!$J$4:$J$4003,出库单!$D$4:$D$4003,$A1035,出库单!$K$4:$K$4003,"盘亏",出库单!$U$4:$U$4003,"正常",出库单!$C$4:$C$4003,"&gt;="&amp;账期起,出库单!$C$4:$C$4003,"&lt;="&amp;账期止))</f>
        <v/>
      </c>
      <c r="U1035" s="26">
        <f>IF($A1035="","",ROUND(SUMIFS(出库单!$S$4:$S$4003,出库单!$D$4:$D$4003,$A1035,出库单!$K$4:$K$4003,"盘亏",出库单!$U$4:$U$4003,"正常",出库单!$C$4:$C$4003,"&gt;="&amp;账期起,出库单!$C$4:$C$4003,"&lt;="&amp;账期止),0))</f>
        <v/>
      </c>
      <c r="V1035" s="27">
        <f>IF($A1035="","",SUMIFS(出库单!$J$4:$J$4003,出库单!$D$4:$D$4003,$A1035,出库单!$K$4:$K$4003,"退货给供应商",出库单!$U$4:$U$4003,"正常",出库单!$C$4:$C$4003,"&gt;="&amp;账期起,出库单!$C$4:$C$4003,"&lt;="&amp;账期止))</f>
        <v/>
      </c>
      <c r="W1035" s="26">
        <f>IF($A1035="","",ROUND(SUMIFS(出库单!$S$4:$S$4003,出库单!$D$4:$D$4003,$A1035,出库单!$K$4:$K$4003,"退货给供应商",出库单!$U$4:$U$4003,"正常",出库单!$C$4:$C$4003,"&gt;="&amp;账期起,出库单!$C$4:$C$4003,"&lt;="&amp;账期止),0))</f>
        <v/>
      </c>
      <c r="X1035" s="27">
        <f>IF($A1035="","",ROUND(N($G1035)+$I1035+$L1035+$N1035-$P1035-$R1035-$T1035-$V1035,3))</f>
        <v/>
      </c>
      <c r="Y1035" s="26">
        <f>IF($A1035="","",ROUND(N($H1035)+$J1035+$M1035+$O1035-$Q1035-$S1035-$U1035-$W1035,0))</f>
        <v/>
      </c>
      <c r="Z1035" s="24">
        <f>IF($A1035="","",IF(COUNTIFS(入库单!$G$4:$G$2503,$A1035,入库单!$Y$4:$Y$2503,"待补价")+COUNTIFS(入库单!$G$4:$G$2503,$A1035,入库单!$Y$4:$Y$2503,"暂估")&gt;0,"不可信","可信"))</f>
        <v/>
      </c>
      <c r="AA1035" s="24">
        <f>IF($A1035="","",IF($X1035&lt;-0.001,"※账面负库存，查一下是不是漏记入库",IF(AND(ROUND($X1035,3)=0,ABS($Y1035)&gt;1),"※数量已经是 0，金额还挂着 "&amp;TEXT($Y1035,"#,##0")&amp;" 先令",IF(AND($X1035&gt;0,$Y1035&lt;=0,$K1035=0),"※有数量没金额（这个物料一直没填过进价）",IF($Z1035="不可信","△成本含待补价/暂估，毛利仅供参考","")))))</f>
        <v/>
      </c>
    </row>
    <row r="1036">
      <c r="A1036" s="24">
        <f>IF(物料档案!$A1035="","",物料档案!$A1035)</f>
        <v/>
      </c>
      <c r="B1036" s="24">
        <f>IF($A1036="","",IFERROR(VLOOKUP($A1036,物料档案!$A$4:$P$1203,3,0),""))</f>
        <v/>
      </c>
      <c r="C1036" s="24">
        <f>IF($A1036="","",IFERROR(VLOOKUP($A1036,物料档案!$A$4:$P$1203,4,0),""))</f>
        <v/>
      </c>
      <c r="D1036" s="24">
        <f>IF($A1036="","",IFERROR(VLOOKUP($A1036,物料档案!$A$4:$P$1203,5,0),""))</f>
        <v/>
      </c>
      <c r="E1036" s="24">
        <f>IF($A1036="","",IFERROR(VLOOKUP($A1036,物料档案!$A$4:$P$1203,2,0),""))</f>
        <v/>
      </c>
      <c r="F1036" s="24">
        <f>IF($A1036="","",IFERROR(VLOOKUP($A1036,物料档案!$A$4:$P$1203,6,0),""))</f>
        <v/>
      </c>
      <c r="G1036" s="23" t="n"/>
      <c r="H1036" s="32" t="n"/>
      <c r="I1036" s="27">
        <f>IF($A1036="","",SUMIFS(入库单!$K$4:$K$2503,入库单!$G$4:$G$2503,$A1036,入库单!$X$4:$X$2503,"采购入库",入库单!$Z$4:$Z$2503,"正常",入库单!$C$4:$C$2503,"&gt;="&amp;账期起,入库单!$C$4:$C$2503,"&lt;="&amp;账期止))</f>
        <v/>
      </c>
      <c r="J1036" s="26">
        <f>IF($A1036="","",SUMIFS(入库单!$V$4:$V$2503,入库单!$G$4:$G$2503,$A1036,入库单!$X$4:$X$2503,"采购入库",入库单!$Z$4:$Z$2503,"正常",入库单!$C$4:$C$2503,"&gt;="&amp;账期起,入库单!$C$4:$C$2503,"&lt;="&amp;账期止))</f>
        <v/>
      </c>
      <c r="K1036" s="26">
        <f>IF($A1036="","",IFERROR(ROUND((N($H1036)+N($J1036))/(N($G1036)+N($I1036)),2),0))</f>
        <v/>
      </c>
      <c r="L1036" s="27">
        <f>IF($A1036="","",SUMIFS(入库单!$K$4:$K$2503,入库单!$G$4:$G$2503,$A1036,入库单!$X$4:$X$2503,"盘盈",入库单!$Z$4:$Z$2503,"正常",入库单!$C$4:$C$2503,"&gt;="&amp;账期起,入库单!$C$4:$C$2503,"&lt;="&amp;账期止))</f>
        <v/>
      </c>
      <c r="M1036" s="26">
        <f>IF($A1036="","",ROUND($L1036*$K1036,0))</f>
        <v/>
      </c>
      <c r="N1036" s="27">
        <f>IF($A1036="","",SUMIFS(入库单!$K$4:$K$2503,入库单!$G$4:$G$2503,$A1036,入库单!$X$4:$X$2503,"矿区退库",入库单!$Z$4:$Z$2503,"正常",入库单!$C$4:$C$2503,"&gt;="&amp;账期起,入库单!$C$4:$C$2503,"&lt;="&amp;账期止))</f>
        <v/>
      </c>
      <c r="O1036" s="26">
        <f>IF($A1036="","",ROUND($N1036*$K1036,0))</f>
        <v/>
      </c>
      <c r="P1036" s="27">
        <f>IF($A1036="","",SUMIFS(出库单!$J$4:$J$4003,出库单!$D$4:$D$4003,$A1036,出库单!$K$4:$K$4003,"自用消耗",出库单!$U$4:$U$4003,"正常",出库单!$C$4:$C$4003,"&gt;="&amp;账期起,出库单!$C$4:$C$4003,"&lt;="&amp;账期止))</f>
        <v/>
      </c>
      <c r="Q1036" s="26">
        <f>IF($A1036="","",ROUND(SUMIFS(出库单!$S$4:$S$4003,出库单!$D$4:$D$4003,$A1036,出库单!$K$4:$K$4003,"自用消耗",出库单!$U$4:$U$4003,"正常",出库单!$C$4:$C$4003,"&gt;="&amp;账期起,出库单!$C$4:$C$4003,"&lt;="&amp;账期止),0))</f>
        <v/>
      </c>
      <c r="R1036" s="27">
        <f>IF($A1036="","",SUMIFS(出库单!$J$4:$J$4003,出库单!$D$4:$D$4003,$A1036,出库单!$K$4:$K$4003,"对外销售",出库单!$U$4:$U$4003,"正常",出库单!$C$4:$C$4003,"&gt;="&amp;账期起,出库单!$C$4:$C$4003,"&lt;="&amp;账期止))</f>
        <v/>
      </c>
      <c r="S1036" s="26">
        <f>IF($A1036="","",ROUND(SUMIFS(出库单!$S$4:$S$4003,出库单!$D$4:$D$4003,$A1036,出库单!$K$4:$K$4003,"对外销售",出库单!$U$4:$U$4003,"正常",出库单!$C$4:$C$4003,"&gt;="&amp;账期起,出库单!$C$4:$C$4003,"&lt;="&amp;账期止),0))</f>
        <v/>
      </c>
      <c r="T1036" s="27">
        <f>IF($A1036="","",SUMIFS(出库单!$J$4:$J$4003,出库单!$D$4:$D$4003,$A1036,出库单!$K$4:$K$4003,"盘亏",出库单!$U$4:$U$4003,"正常",出库单!$C$4:$C$4003,"&gt;="&amp;账期起,出库单!$C$4:$C$4003,"&lt;="&amp;账期止))</f>
        <v/>
      </c>
      <c r="U1036" s="26">
        <f>IF($A1036="","",ROUND(SUMIFS(出库单!$S$4:$S$4003,出库单!$D$4:$D$4003,$A1036,出库单!$K$4:$K$4003,"盘亏",出库单!$U$4:$U$4003,"正常",出库单!$C$4:$C$4003,"&gt;="&amp;账期起,出库单!$C$4:$C$4003,"&lt;="&amp;账期止),0))</f>
        <v/>
      </c>
      <c r="V1036" s="27">
        <f>IF($A1036="","",SUMIFS(出库单!$J$4:$J$4003,出库单!$D$4:$D$4003,$A1036,出库单!$K$4:$K$4003,"退货给供应商",出库单!$U$4:$U$4003,"正常",出库单!$C$4:$C$4003,"&gt;="&amp;账期起,出库单!$C$4:$C$4003,"&lt;="&amp;账期止))</f>
        <v/>
      </c>
      <c r="W1036" s="26">
        <f>IF($A1036="","",ROUND(SUMIFS(出库单!$S$4:$S$4003,出库单!$D$4:$D$4003,$A1036,出库单!$K$4:$K$4003,"退货给供应商",出库单!$U$4:$U$4003,"正常",出库单!$C$4:$C$4003,"&gt;="&amp;账期起,出库单!$C$4:$C$4003,"&lt;="&amp;账期止),0))</f>
        <v/>
      </c>
      <c r="X1036" s="27">
        <f>IF($A1036="","",ROUND(N($G1036)+$I1036+$L1036+$N1036-$P1036-$R1036-$T1036-$V1036,3))</f>
        <v/>
      </c>
      <c r="Y1036" s="26">
        <f>IF($A1036="","",ROUND(N($H1036)+$J1036+$M1036+$O1036-$Q1036-$S1036-$U1036-$W1036,0))</f>
        <v/>
      </c>
      <c r="Z1036" s="24">
        <f>IF($A1036="","",IF(COUNTIFS(入库单!$G$4:$G$2503,$A1036,入库单!$Y$4:$Y$2503,"待补价")+COUNTIFS(入库单!$G$4:$G$2503,$A1036,入库单!$Y$4:$Y$2503,"暂估")&gt;0,"不可信","可信"))</f>
        <v/>
      </c>
      <c r="AA1036" s="24">
        <f>IF($A1036="","",IF($X1036&lt;-0.001,"※账面负库存，查一下是不是漏记入库",IF(AND(ROUND($X1036,3)=0,ABS($Y1036)&gt;1),"※数量已经是 0，金额还挂着 "&amp;TEXT($Y1036,"#,##0")&amp;" 先令",IF(AND($X1036&gt;0,$Y1036&lt;=0,$K1036=0),"※有数量没金额（这个物料一直没填过进价）",IF($Z1036="不可信","△成本含待补价/暂估，毛利仅供参考","")))))</f>
        <v/>
      </c>
    </row>
    <row r="1037">
      <c r="A1037" s="24">
        <f>IF(物料档案!$A1036="","",物料档案!$A1036)</f>
        <v/>
      </c>
      <c r="B1037" s="24">
        <f>IF($A1037="","",IFERROR(VLOOKUP($A1037,物料档案!$A$4:$P$1203,3,0),""))</f>
        <v/>
      </c>
      <c r="C1037" s="24">
        <f>IF($A1037="","",IFERROR(VLOOKUP($A1037,物料档案!$A$4:$P$1203,4,0),""))</f>
        <v/>
      </c>
      <c r="D1037" s="24">
        <f>IF($A1037="","",IFERROR(VLOOKUP($A1037,物料档案!$A$4:$P$1203,5,0),""))</f>
        <v/>
      </c>
      <c r="E1037" s="24">
        <f>IF($A1037="","",IFERROR(VLOOKUP($A1037,物料档案!$A$4:$P$1203,2,0),""))</f>
        <v/>
      </c>
      <c r="F1037" s="24">
        <f>IF($A1037="","",IFERROR(VLOOKUP($A1037,物料档案!$A$4:$P$1203,6,0),""))</f>
        <v/>
      </c>
      <c r="G1037" s="23" t="n"/>
      <c r="H1037" s="32" t="n"/>
      <c r="I1037" s="27">
        <f>IF($A1037="","",SUMIFS(入库单!$K$4:$K$2503,入库单!$G$4:$G$2503,$A1037,入库单!$X$4:$X$2503,"采购入库",入库单!$Z$4:$Z$2503,"正常",入库单!$C$4:$C$2503,"&gt;="&amp;账期起,入库单!$C$4:$C$2503,"&lt;="&amp;账期止))</f>
        <v/>
      </c>
      <c r="J1037" s="26">
        <f>IF($A1037="","",SUMIFS(入库单!$V$4:$V$2503,入库单!$G$4:$G$2503,$A1037,入库单!$X$4:$X$2503,"采购入库",入库单!$Z$4:$Z$2503,"正常",入库单!$C$4:$C$2503,"&gt;="&amp;账期起,入库单!$C$4:$C$2503,"&lt;="&amp;账期止))</f>
        <v/>
      </c>
      <c r="K1037" s="26">
        <f>IF($A1037="","",IFERROR(ROUND((N($H1037)+N($J1037))/(N($G1037)+N($I1037)),2),0))</f>
        <v/>
      </c>
      <c r="L1037" s="27">
        <f>IF($A1037="","",SUMIFS(入库单!$K$4:$K$2503,入库单!$G$4:$G$2503,$A1037,入库单!$X$4:$X$2503,"盘盈",入库单!$Z$4:$Z$2503,"正常",入库单!$C$4:$C$2503,"&gt;="&amp;账期起,入库单!$C$4:$C$2503,"&lt;="&amp;账期止))</f>
        <v/>
      </c>
      <c r="M1037" s="26">
        <f>IF($A1037="","",ROUND($L1037*$K1037,0))</f>
        <v/>
      </c>
      <c r="N1037" s="27">
        <f>IF($A1037="","",SUMIFS(入库单!$K$4:$K$2503,入库单!$G$4:$G$2503,$A1037,入库单!$X$4:$X$2503,"矿区退库",入库单!$Z$4:$Z$2503,"正常",入库单!$C$4:$C$2503,"&gt;="&amp;账期起,入库单!$C$4:$C$2503,"&lt;="&amp;账期止))</f>
        <v/>
      </c>
      <c r="O1037" s="26">
        <f>IF($A1037="","",ROUND($N1037*$K1037,0))</f>
        <v/>
      </c>
      <c r="P1037" s="27">
        <f>IF($A1037="","",SUMIFS(出库单!$J$4:$J$4003,出库单!$D$4:$D$4003,$A1037,出库单!$K$4:$K$4003,"自用消耗",出库单!$U$4:$U$4003,"正常",出库单!$C$4:$C$4003,"&gt;="&amp;账期起,出库单!$C$4:$C$4003,"&lt;="&amp;账期止))</f>
        <v/>
      </c>
      <c r="Q1037" s="26">
        <f>IF($A1037="","",ROUND(SUMIFS(出库单!$S$4:$S$4003,出库单!$D$4:$D$4003,$A1037,出库单!$K$4:$K$4003,"自用消耗",出库单!$U$4:$U$4003,"正常",出库单!$C$4:$C$4003,"&gt;="&amp;账期起,出库单!$C$4:$C$4003,"&lt;="&amp;账期止),0))</f>
        <v/>
      </c>
      <c r="R1037" s="27">
        <f>IF($A1037="","",SUMIFS(出库单!$J$4:$J$4003,出库单!$D$4:$D$4003,$A1037,出库单!$K$4:$K$4003,"对外销售",出库单!$U$4:$U$4003,"正常",出库单!$C$4:$C$4003,"&gt;="&amp;账期起,出库单!$C$4:$C$4003,"&lt;="&amp;账期止))</f>
        <v/>
      </c>
      <c r="S1037" s="26">
        <f>IF($A1037="","",ROUND(SUMIFS(出库单!$S$4:$S$4003,出库单!$D$4:$D$4003,$A1037,出库单!$K$4:$K$4003,"对外销售",出库单!$U$4:$U$4003,"正常",出库单!$C$4:$C$4003,"&gt;="&amp;账期起,出库单!$C$4:$C$4003,"&lt;="&amp;账期止),0))</f>
        <v/>
      </c>
      <c r="T1037" s="27">
        <f>IF($A1037="","",SUMIFS(出库单!$J$4:$J$4003,出库单!$D$4:$D$4003,$A1037,出库单!$K$4:$K$4003,"盘亏",出库单!$U$4:$U$4003,"正常",出库单!$C$4:$C$4003,"&gt;="&amp;账期起,出库单!$C$4:$C$4003,"&lt;="&amp;账期止))</f>
        <v/>
      </c>
      <c r="U1037" s="26">
        <f>IF($A1037="","",ROUND(SUMIFS(出库单!$S$4:$S$4003,出库单!$D$4:$D$4003,$A1037,出库单!$K$4:$K$4003,"盘亏",出库单!$U$4:$U$4003,"正常",出库单!$C$4:$C$4003,"&gt;="&amp;账期起,出库单!$C$4:$C$4003,"&lt;="&amp;账期止),0))</f>
        <v/>
      </c>
      <c r="V1037" s="27">
        <f>IF($A1037="","",SUMIFS(出库单!$J$4:$J$4003,出库单!$D$4:$D$4003,$A1037,出库单!$K$4:$K$4003,"退货给供应商",出库单!$U$4:$U$4003,"正常",出库单!$C$4:$C$4003,"&gt;="&amp;账期起,出库单!$C$4:$C$4003,"&lt;="&amp;账期止))</f>
        <v/>
      </c>
      <c r="W1037" s="26">
        <f>IF($A1037="","",ROUND(SUMIFS(出库单!$S$4:$S$4003,出库单!$D$4:$D$4003,$A1037,出库单!$K$4:$K$4003,"退货给供应商",出库单!$U$4:$U$4003,"正常",出库单!$C$4:$C$4003,"&gt;="&amp;账期起,出库单!$C$4:$C$4003,"&lt;="&amp;账期止),0))</f>
        <v/>
      </c>
      <c r="X1037" s="27">
        <f>IF($A1037="","",ROUND(N($G1037)+$I1037+$L1037+$N1037-$P1037-$R1037-$T1037-$V1037,3))</f>
        <v/>
      </c>
      <c r="Y1037" s="26">
        <f>IF($A1037="","",ROUND(N($H1037)+$J1037+$M1037+$O1037-$Q1037-$S1037-$U1037-$W1037,0))</f>
        <v/>
      </c>
      <c r="Z1037" s="24">
        <f>IF($A1037="","",IF(COUNTIFS(入库单!$G$4:$G$2503,$A1037,入库单!$Y$4:$Y$2503,"待补价")+COUNTIFS(入库单!$G$4:$G$2503,$A1037,入库单!$Y$4:$Y$2503,"暂估")&gt;0,"不可信","可信"))</f>
        <v/>
      </c>
      <c r="AA1037" s="24">
        <f>IF($A1037="","",IF($X1037&lt;-0.001,"※账面负库存，查一下是不是漏记入库",IF(AND(ROUND($X1037,3)=0,ABS($Y1037)&gt;1),"※数量已经是 0，金额还挂着 "&amp;TEXT($Y1037,"#,##0")&amp;" 先令",IF(AND($X1037&gt;0,$Y1037&lt;=0,$K1037=0),"※有数量没金额（这个物料一直没填过进价）",IF($Z1037="不可信","△成本含待补价/暂估，毛利仅供参考","")))))</f>
        <v/>
      </c>
    </row>
    <row r="1038">
      <c r="A1038" s="24">
        <f>IF(物料档案!$A1037="","",物料档案!$A1037)</f>
        <v/>
      </c>
      <c r="B1038" s="24">
        <f>IF($A1038="","",IFERROR(VLOOKUP($A1038,物料档案!$A$4:$P$1203,3,0),""))</f>
        <v/>
      </c>
      <c r="C1038" s="24">
        <f>IF($A1038="","",IFERROR(VLOOKUP($A1038,物料档案!$A$4:$P$1203,4,0),""))</f>
        <v/>
      </c>
      <c r="D1038" s="24">
        <f>IF($A1038="","",IFERROR(VLOOKUP($A1038,物料档案!$A$4:$P$1203,5,0),""))</f>
        <v/>
      </c>
      <c r="E1038" s="24">
        <f>IF($A1038="","",IFERROR(VLOOKUP($A1038,物料档案!$A$4:$P$1203,2,0),""))</f>
        <v/>
      </c>
      <c r="F1038" s="24">
        <f>IF($A1038="","",IFERROR(VLOOKUP($A1038,物料档案!$A$4:$P$1203,6,0),""))</f>
        <v/>
      </c>
      <c r="G1038" s="23" t="n"/>
      <c r="H1038" s="32" t="n"/>
      <c r="I1038" s="27">
        <f>IF($A1038="","",SUMIFS(入库单!$K$4:$K$2503,入库单!$G$4:$G$2503,$A1038,入库单!$X$4:$X$2503,"采购入库",入库单!$Z$4:$Z$2503,"正常",入库单!$C$4:$C$2503,"&gt;="&amp;账期起,入库单!$C$4:$C$2503,"&lt;="&amp;账期止))</f>
        <v/>
      </c>
      <c r="J1038" s="26">
        <f>IF($A1038="","",SUMIFS(入库单!$V$4:$V$2503,入库单!$G$4:$G$2503,$A1038,入库单!$X$4:$X$2503,"采购入库",入库单!$Z$4:$Z$2503,"正常",入库单!$C$4:$C$2503,"&gt;="&amp;账期起,入库单!$C$4:$C$2503,"&lt;="&amp;账期止))</f>
        <v/>
      </c>
      <c r="K1038" s="26">
        <f>IF($A1038="","",IFERROR(ROUND((N($H1038)+N($J1038))/(N($G1038)+N($I1038)),2),0))</f>
        <v/>
      </c>
      <c r="L1038" s="27">
        <f>IF($A1038="","",SUMIFS(入库单!$K$4:$K$2503,入库单!$G$4:$G$2503,$A1038,入库单!$X$4:$X$2503,"盘盈",入库单!$Z$4:$Z$2503,"正常",入库单!$C$4:$C$2503,"&gt;="&amp;账期起,入库单!$C$4:$C$2503,"&lt;="&amp;账期止))</f>
        <v/>
      </c>
      <c r="M1038" s="26">
        <f>IF($A1038="","",ROUND($L1038*$K1038,0))</f>
        <v/>
      </c>
      <c r="N1038" s="27">
        <f>IF($A1038="","",SUMIFS(入库单!$K$4:$K$2503,入库单!$G$4:$G$2503,$A1038,入库单!$X$4:$X$2503,"矿区退库",入库单!$Z$4:$Z$2503,"正常",入库单!$C$4:$C$2503,"&gt;="&amp;账期起,入库单!$C$4:$C$2503,"&lt;="&amp;账期止))</f>
        <v/>
      </c>
      <c r="O1038" s="26">
        <f>IF($A1038="","",ROUND($N1038*$K1038,0))</f>
        <v/>
      </c>
      <c r="P1038" s="27">
        <f>IF($A1038="","",SUMIFS(出库单!$J$4:$J$4003,出库单!$D$4:$D$4003,$A1038,出库单!$K$4:$K$4003,"自用消耗",出库单!$U$4:$U$4003,"正常",出库单!$C$4:$C$4003,"&gt;="&amp;账期起,出库单!$C$4:$C$4003,"&lt;="&amp;账期止))</f>
        <v/>
      </c>
      <c r="Q1038" s="26">
        <f>IF($A1038="","",ROUND(SUMIFS(出库单!$S$4:$S$4003,出库单!$D$4:$D$4003,$A1038,出库单!$K$4:$K$4003,"自用消耗",出库单!$U$4:$U$4003,"正常",出库单!$C$4:$C$4003,"&gt;="&amp;账期起,出库单!$C$4:$C$4003,"&lt;="&amp;账期止),0))</f>
        <v/>
      </c>
      <c r="R1038" s="27">
        <f>IF($A1038="","",SUMIFS(出库单!$J$4:$J$4003,出库单!$D$4:$D$4003,$A1038,出库单!$K$4:$K$4003,"对外销售",出库单!$U$4:$U$4003,"正常",出库单!$C$4:$C$4003,"&gt;="&amp;账期起,出库单!$C$4:$C$4003,"&lt;="&amp;账期止))</f>
        <v/>
      </c>
      <c r="S1038" s="26">
        <f>IF($A1038="","",ROUND(SUMIFS(出库单!$S$4:$S$4003,出库单!$D$4:$D$4003,$A1038,出库单!$K$4:$K$4003,"对外销售",出库单!$U$4:$U$4003,"正常",出库单!$C$4:$C$4003,"&gt;="&amp;账期起,出库单!$C$4:$C$4003,"&lt;="&amp;账期止),0))</f>
        <v/>
      </c>
      <c r="T1038" s="27">
        <f>IF($A1038="","",SUMIFS(出库单!$J$4:$J$4003,出库单!$D$4:$D$4003,$A1038,出库单!$K$4:$K$4003,"盘亏",出库单!$U$4:$U$4003,"正常",出库单!$C$4:$C$4003,"&gt;="&amp;账期起,出库单!$C$4:$C$4003,"&lt;="&amp;账期止))</f>
        <v/>
      </c>
      <c r="U1038" s="26">
        <f>IF($A1038="","",ROUND(SUMIFS(出库单!$S$4:$S$4003,出库单!$D$4:$D$4003,$A1038,出库单!$K$4:$K$4003,"盘亏",出库单!$U$4:$U$4003,"正常",出库单!$C$4:$C$4003,"&gt;="&amp;账期起,出库单!$C$4:$C$4003,"&lt;="&amp;账期止),0))</f>
        <v/>
      </c>
      <c r="V1038" s="27">
        <f>IF($A1038="","",SUMIFS(出库单!$J$4:$J$4003,出库单!$D$4:$D$4003,$A1038,出库单!$K$4:$K$4003,"退货给供应商",出库单!$U$4:$U$4003,"正常",出库单!$C$4:$C$4003,"&gt;="&amp;账期起,出库单!$C$4:$C$4003,"&lt;="&amp;账期止))</f>
        <v/>
      </c>
      <c r="W1038" s="26">
        <f>IF($A1038="","",ROUND(SUMIFS(出库单!$S$4:$S$4003,出库单!$D$4:$D$4003,$A1038,出库单!$K$4:$K$4003,"退货给供应商",出库单!$U$4:$U$4003,"正常",出库单!$C$4:$C$4003,"&gt;="&amp;账期起,出库单!$C$4:$C$4003,"&lt;="&amp;账期止),0))</f>
        <v/>
      </c>
      <c r="X1038" s="27">
        <f>IF($A1038="","",ROUND(N($G1038)+$I1038+$L1038+$N1038-$P1038-$R1038-$T1038-$V1038,3))</f>
        <v/>
      </c>
      <c r="Y1038" s="26">
        <f>IF($A1038="","",ROUND(N($H1038)+$J1038+$M1038+$O1038-$Q1038-$S1038-$U1038-$W1038,0))</f>
        <v/>
      </c>
      <c r="Z1038" s="24">
        <f>IF($A1038="","",IF(COUNTIFS(入库单!$G$4:$G$2503,$A1038,入库单!$Y$4:$Y$2503,"待补价")+COUNTIFS(入库单!$G$4:$G$2503,$A1038,入库单!$Y$4:$Y$2503,"暂估")&gt;0,"不可信","可信"))</f>
        <v/>
      </c>
      <c r="AA1038" s="24">
        <f>IF($A1038="","",IF($X1038&lt;-0.001,"※账面负库存，查一下是不是漏记入库",IF(AND(ROUND($X1038,3)=0,ABS($Y1038)&gt;1),"※数量已经是 0，金额还挂着 "&amp;TEXT($Y1038,"#,##0")&amp;" 先令",IF(AND($X1038&gt;0,$Y1038&lt;=0,$K1038=0),"※有数量没金额（这个物料一直没填过进价）",IF($Z1038="不可信","△成本含待补价/暂估，毛利仅供参考","")))))</f>
        <v/>
      </c>
    </row>
    <row r="1039">
      <c r="A1039" s="24">
        <f>IF(物料档案!$A1038="","",物料档案!$A1038)</f>
        <v/>
      </c>
      <c r="B1039" s="24">
        <f>IF($A1039="","",IFERROR(VLOOKUP($A1039,物料档案!$A$4:$P$1203,3,0),""))</f>
        <v/>
      </c>
      <c r="C1039" s="24">
        <f>IF($A1039="","",IFERROR(VLOOKUP($A1039,物料档案!$A$4:$P$1203,4,0),""))</f>
        <v/>
      </c>
      <c r="D1039" s="24">
        <f>IF($A1039="","",IFERROR(VLOOKUP($A1039,物料档案!$A$4:$P$1203,5,0),""))</f>
        <v/>
      </c>
      <c r="E1039" s="24">
        <f>IF($A1039="","",IFERROR(VLOOKUP($A1039,物料档案!$A$4:$P$1203,2,0),""))</f>
        <v/>
      </c>
      <c r="F1039" s="24">
        <f>IF($A1039="","",IFERROR(VLOOKUP($A1039,物料档案!$A$4:$P$1203,6,0),""))</f>
        <v/>
      </c>
      <c r="G1039" s="23" t="n"/>
      <c r="H1039" s="32" t="n"/>
      <c r="I1039" s="27">
        <f>IF($A1039="","",SUMIFS(入库单!$K$4:$K$2503,入库单!$G$4:$G$2503,$A1039,入库单!$X$4:$X$2503,"采购入库",入库单!$Z$4:$Z$2503,"正常",入库单!$C$4:$C$2503,"&gt;="&amp;账期起,入库单!$C$4:$C$2503,"&lt;="&amp;账期止))</f>
        <v/>
      </c>
      <c r="J1039" s="26">
        <f>IF($A1039="","",SUMIFS(入库单!$V$4:$V$2503,入库单!$G$4:$G$2503,$A1039,入库单!$X$4:$X$2503,"采购入库",入库单!$Z$4:$Z$2503,"正常",入库单!$C$4:$C$2503,"&gt;="&amp;账期起,入库单!$C$4:$C$2503,"&lt;="&amp;账期止))</f>
        <v/>
      </c>
      <c r="K1039" s="26">
        <f>IF($A1039="","",IFERROR(ROUND((N($H1039)+N($J1039))/(N($G1039)+N($I1039)),2),0))</f>
        <v/>
      </c>
      <c r="L1039" s="27">
        <f>IF($A1039="","",SUMIFS(入库单!$K$4:$K$2503,入库单!$G$4:$G$2503,$A1039,入库单!$X$4:$X$2503,"盘盈",入库单!$Z$4:$Z$2503,"正常",入库单!$C$4:$C$2503,"&gt;="&amp;账期起,入库单!$C$4:$C$2503,"&lt;="&amp;账期止))</f>
        <v/>
      </c>
      <c r="M1039" s="26">
        <f>IF($A1039="","",ROUND($L1039*$K1039,0))</f>
        <v/>
      </c>
      <c r="N1039" s="27">
        <f>IF($A1039="","",SUMIFS(入库单!$K$4:$K$2503,入库单!$G$4:$G$2503,$A1039,入库单!$X$4:$X$2503,"矿区退库",入库单!$Z$4:$Z$2503,"正常",入库单!$C$4:$C$2503,"&gt;="&amp;账期起,入库单!$C$4:$C$2503,"&lt;="&amp;账期止))</f>
        <v/>
      </c>
      <c r="O1039" s="26">
        <f>IF($A1039="","",ROUND($N1039*$K1039,0))</f>
        <v/>
      </c>
      <c r="P1039" s="27">
        <f>IF($A1039="","",SUMIFS(出库单!$J$4:$J$4003,出库单!$D$4:$D$4003,$A1039,出库单!$K$4:$K$4003,"自用消耗",出库单!$U$4:$U$4003,"正常",出库单!$C$4:$C$4003,"&gt;="&amp;账期起,出库单!$C$4:$C$4003,"&lt;="&amp;账期止))</f>
        <v/>
      </c>
      <c r="Q1039" s="26">
        <f>IF($A1039="","",ROUND(SUMIFS(出库单!$S$4:$S$4003,出库单!$D$4:$D$4003,$A1039,出库单!$K$4:$K$4003,"自用消耗",出库单!$U$4:$U$4003,"正常",出库单!$C$4:$C$4003,"&gt;="&amp;账期起,出库单!$C$4:$C$4003,"&lt;="&amp;账期止),0))</f>
        <v/>
      </c>
      <c r="R1039" s="27">
        <f>IF($A1039="","",SUMIFS(出库单!$J$4:$J$4003,出库单!$D$4:$D$4003,$A1039,出库单!$K$4:$K$4003,"对外销售",出库单!$U$4:$U$4003,"正常",出库单!$C$4:$C$4003,"&gt;="&amp;账期起,出库单!$C$4:$C$4003,"&lt;="&amp;账期止))</f>
        <v/>
      </c>
      <c r="S1039" s="26">
        <f>IF($A1039="","",ROUND(SUMIFS(出库单!$S$4:$S$4003,出库单!$D$4:$D$4003,$A1039,出库单!$K$4:$K$4003,"对外销售",出库单!$U$4:$U$4003,"正常",出库单!$C$4:$C$4003,"&gt;="&amp;账期起,出库单!$C$4:$C$4003,"&lt;="&amp;账期止),0))</f>
        <v/>
      </c>
      <c r="T1039" s="27">
        <f>IF($A1039="","",SUMIFS(出库单!$J$4:$J$4003,出库单!$D$4:$D$4003,$A1039,出库单!$K$4:$K$4003,"盘亏",出库单!$U$4:$U$4003,"正常",出库单!$C$4:$C$4003,"&gt;="&amp;账期起,出库单!$C$4:$C$4003,"&lt;="&amp;账期止))</f>
        <v/>
      </c>
      <c r="U1039" s="26">
        <f>IF($A1039="","",ROUND(SUMIFS(出库单!$S$4:$S$4003,出库单!$D$4:$D$4003,$A1039,出库单!$K$4:$K$4003,"盘亏",出库单!$U$4:$U$4003,"正常",出库单!$C$4:$C$4003,"&gt;="&amp;账期起,出库单!$C$4:$C$4003,"&lt;="&amp;账期止),0))</f>
        <v/>
      </c>
      <c r="V1039" s="27">
        <f>IF($A1039="","",SUMIFS(出库单!$J$4:$J$4003,出库单!$D$4:$D$4003,$A1039,出库单!$K$4:$K$4003,"退货给供应商",出库单!$U$4:$U$4003,"正常",出库单!$C$4:$C$4003,"&gt;="&amp;账期起,出库单!$C$4:$C$4003,"&lt;="&amp;账期止))</f>
        <v/>
      </c>
      <c r="W1039" s="26">
        <f>IF($A1039="","",ROUND(SUMIFS(出库单!$S$4:$S$4003,出库单!$D$4:$D$4003,$A1039,出库单!$K$4:$K$4003,"退货给供应商",出库单!$U$4:$U$4003,"正常",出库单!$C$4:$C$4003,"&gt;="&amp;账期起,出库单!$C$4:$C$4003,"&lt;="&amp;账期止),0))</f>
        <v/>
      </c>
      <c r="X1039" s="27">
        <f>IF($A1039="","",ROUND(N($G1039)+$I1039+$L1039+$N1039-$P1039-$R1039-$T1039-$V1039,3))</f>
        <v/>
      </c>
      <c r="Y1039" s="26">
        <f>IF($A1039="","",ROUND(N($H1039)+$J1039+$M1039+$O1039-$Q1039-$S1039-$U1039-$W1039,0))</f>
        <v/>
      </c>
      <c r="Z1039" s="24">
        <f>IF($A1039="","",IF(COUNTIFS(入库单!$G$4:$G$2503,$A1039,入库单!$Y$4:$Y$2503,"待补价")+COUNTIFS(入库单!$G$4:$G$2503,$A1039,入库单!$Y$4:$Y$2503,"暂估")&gt;0,"不可信","可信"))</f>
        <v/>
      </c>
      <c r="AA1039" s="24">
        <f>IF($A1039="","",IF($X1039&lt;-0.001,"※账面负库存，查一下是不是漏记入库",IF(AND(ROUND($X1039,3)=0,ABS($Y1039)&gt;1),"※数量已经是 0，金额还挂着 "&amp;TEXT($Y1039,"#,##0")&amp;" 先令",IF(AND($X1039&gt;0,$Y1039&lt;=0,$K1039=0),"※有数量没金额（这个物料一直没填过进价）",IF($Z1039="不可信","△成本含待补价/暂估，毛利仅供参考","")))))</f>
        <v/>
      </c>
    </row>
    <row r="1040">
      <c r="A1040" s="24">
        <f>IF(物料档案!$A1039="","",物料档案!$A1039)</f>
        <v/>
      </c>
      <c r="B1040" s="24">
        <f>IF($A1040="","",IFERROR(VLOOKUP($A1040,物料档案!$A$4:$P$1203,3,0),""))</f>
        <v/>
      </c>
      <c r="C1040" s="24">
        <f>IF($A1040="","",IFERROR(VLOOKUP($A1040,物料档案!$A$4:$P$1203,4,0),""))</f>
        <v/>
      </c>
      <c r="D1040" s="24">
        <f>IF($A1040="","",IFERROR(VLOOKUP($A1040,物料档案!$A$4:$P$1203,5,0),""))</f>
        <v/>
      </c>
      <c r="E1040" s="24">
        <f>IF($A1040="","",IFERROR(VLOOKUP($A1040,物料档案!$A$4:$P$1203,2,0),""))</f>
        <v/>
      </c>
      <c r="F1040" s="24">
        <f>IF($A1040="","",IFERROR(VLOOKUP($A1040,物料档案!$A$4:$P$1203,6,0),""))</f>
        <v/>
      </c>
      <c r="G1040" s="23" t="n"/>
      <c r="H1040" s="32" t="n"/>
      <c r="I1040" s="27">
        <f>IF($A1040="","",SUMIFS(入库单!$K$4:$K$2503,入库单!$G$4:$G$2503,$A1040,入库单!$X$4:$X$2503,"采购入库",入库单!$Z$4:$Z$2503,"正常",入库单!$C$4:$C$2503,"&gt;="&amp;账期起,入库单!$C$4:$C$2503,"&lt;="&amp;账期止))</f>
        <v/>
      </c>
      <c r="J1040" s="26">
        <f>IF($A1040="","",SUMIFS(入库单!$V$4:$V$2503,入库单!$G$4:$G$2503,$A1040,入库单!$X$4:$X$2503,"采购入库",入库单!$Z$4:$Z$2503,"正常",入库单!$C$4:$C$2503,"&gt;="&amp;账期起,入库单!$C$4:$C$2503,"&lt;="&amp;账期止))</f>
        <v/>
      </c>
      <c r="K1040" s="26">
        <f>IF($A1040="","",IFERROR(ROUND((N($H1040)+N($J1040))/(N($G1040)+N($I1040)),2),0))</f>
        <v/>
      </c>
      <c r="L1040" s="27">
        <f>IF($A1040="","",SUMIFS(入库单!$K$4:$K$2503,入库单!$G$4:$G$2503,$A1040,入库单!$X$4:$X$2503,"盘盈",入库单!$Z$4:$Z$2503,"正常",入库单!$C$4:$C$2503,"&gt;="&amp;账期起,入库单!$C$4:$C$2503,"&lt;="&amp;账期止))</f>
        <v/>
      </c>
      <c r="M1040" s="26">
        <f>IF($A1040="","",ROUND($L1040*$K1040,0))</f>
        <v/>
      </c>
      <c r="N1040" s="27">
        <f>IF($A1040="","",SUMIFS(入库单!$K$4:$K$2503,入库单!$G$4:$G$2503,$A1040,入库单!$X$4:$X$2503,"矿区退库",入库单!$Z$4:$Z$2503,"正常",入库单!$C$4:$C$2503,"&gt;="&amp;账期起,入库单!$C$4:$C$2503,"&lt;="&amp;账期止))</f>
        <v/>
      </c>
      <c r="O1040" s="26">
        <f>IF($A1040="","",ROUND($N1040*$K1040,0))</f>
        <v/>
      </c>
      <c r="P1040" s="27">
        <f>IF($A1040="","",SUMIFS(出库单!$J$4:$J$4003,出库单!$D$4:$D$4003,$A1040,出库单!$K$4:$K$4003,"自用消耗",出库单!$U$4:$U$4003,"正常",出库单!$C$4:$C$4003,"&gt;="&amp;账期起,出库单!$C$4:$C$4003,"&lt;="&amp;账期止))</f>
        <v/>
      </c>
      <c r="Q1040" s="26">
        <f>IF($A1040="","",ROUND(SUMIFS(出库单!$S$4:$S$4003,出库单!$D$4:$D$4003,$A1040,出库单!$K$4:$K$4003,"自用消耗",出库单!$U$4:$U$4003,"正常",出库单!$C$4:$C$4003,"&gt;="&amp;账期起,出库单!$C$4:$C$4003,"&lt;="&amp;账期止),0))</f>
        <v/>
      </c>
      <c r="R1040" s="27">
        <f>IF($A1040="","",SUMIFS(出库单!$J$4:$J$4003,出库单!$D$4:$D$4003,$A1040,出库单!$K$4:$K$4003,"对外销售",出库单!$U$4:$U$4003,"正常",出库单!$C$4:$C$4003,"&gt;="&amp;账期起,出库单!$C$4:$C$4003,"&lt;="&amp;账期止))</f>
        <v/>
      </c>
      <c r="S1040" s="26">
        <f>IF($A1040="","",ROUND(SUMIFS(出库单!$S$4:$S$4003,出库单!$D$4:$D$4003,$A1040,出库单!$K$4:$K$4003,"对外销售",出库单!$U$4:$U$4003,"正常",出库单!$C$4:$C$4003,"&gt;="&amp;账期起,出库单!$C$4:$C$4003,"&lt;="&amp;账期止),0))</f>
        <v/>
      </c>
      <c r="T1040" s="27">
        <f>IF($A1040="","",SUMIFS(出库单!$J$4:$J$4003,出库单!$D$4:$D$4003,$A1040,出库单!$K$4:$K$4003,"盘亏",出库单!$U$4:$U$4003,"正常",出库单!$C$4:$C$4003,"&gt;="&amp;账期起,出库单!$C$4:$C$4003,"&lt;="&amp;账期止))</f>
        <v/>
      </c>
      <c r="U1040" s="26">
        <f>IF($A1040="","",ROUND(SUMIFS(出库单!$S$4:$S$4003,出库单!$D$4:$D$4003,$A1040,出库单!$K$4:$K$4003,"盘亏",出库单!$U$4:$U$4003,"正常",出库单!$C$4:$C$4003,"&gt;="&amp;账期起,出库单!$C$4:$C$4003,"&lt;="&amp;账期止),0))</f>
        <v/>
      </c>
      <c r="V1040" s="27">
        <f>IF($A1040="","",SUMIFS(出库单!$J$4:$J$4003,出库单!$D$4:$D$4003,$A1040,出库单!$K$4:$K$4003,"退货给供应商",出库单!$U$4:$U$4003,"正常",出库单!$C$4:$C$4003,"&gt;="&amp;账期起,出库单!$C$4:$C$4003,"&lt;="&amp;账期止))</f>
        <v/>
      </c>
      <c r="W1040" s="26">
        <f>IF($A1040="","",ROUND(SUMIFS(出库单!$S$4:$S$4003,出库单!$D$4:$D$4003,$A1040,出库单!$K$4:$K$4003,"退货给供应商",出库单!$U$4:$U$4003,"正常",出库单!$C$4:$C$4003,"&gt;="&amp;账期起,出库单!$C$4:$C$4003,"&lt;="&amp;账期止),0))</f>
        <v/>
      </c>
      <c r="X1040" s="27">
        <f>IF($A1040="","",ROUND(N($G1040)+$I1040+$L1040+$N1040-$P1040-$R1040-$T1040-$V1040,3))</f>
        <v/>
      </c>
      <c r="Y1040" s="26">
        <f>IF($A1040="","",ROUND(N($H1040)+$J1040+$M1040+$O1040-$Q1040-$S1040-$U1040-$W1040,0))</f>
        <v/>
      </c>
      <c r="Z1040" s="24">
        <f>IF($A1040="","",IF(COUNTIFS(入库单!$G$4:$G$2503,$A1040,入库单!$Y$4:$Y$2503,"待补价")+COUNTIFS(入库单!$G$4:$G$2503,$A1040,入库单!$Y$4:$Y$2503,"暂估")&gt;0,"不可信","可信"))</f>
        <v/>
      </c>
      <c r="AA1040" s="24">
        <f>IF($A1040="","",IF($X1040&lt;-0.001,"※账面负库存，查一下是不是漏记入库",IF(AND(ROUND($X1040,3)=0,ABS($Y1040)&gt;1),"※数量已经是 0，金额还挂着 "&amp;TEXT($Y1040,"#,##0")&amp;" 先令",IF(AND($X1040&gt;0,$Y1040&lt;=0,$K1040=0),"※有数量没金额（这个物料一直没填过进价）",IF($Z1040="不可信","△成本含待补价/暂估，毛利仅供参考","")))))</f>
        <v/>
      </c>
    </row>
    <row r="1041">
      <c r="A1041" s="24">
        <f>IF(物料档案!$A1040="","",物料档案!$A1040)</f>
        <v/>
      </c>
      <c r="B1041" s="24">
        <f>IF($A1041="","",IFERROR(VLOOKUP($A1041,物料档案!$A$4:$P$1203,3,0),""))</f>
        <v/>
      </c>
      <c r="C1041" s="24">
        <f>IF($A1041="","",IFERROR(VLOOKUP($A1041,物料档案!$A$4:$P$1203,4,0),""))</f>
        <v/>
      </c>
      <c r="D1041" s="24">
        <f>IF($A1041="","",IFERROR(VLOOKUP($A1041,物料档案!$A$4:$P$1203,5,0),""))</f>
        <v/>
      </c>
      <c r="E1041" s="24">
        <f>IF($A1041="","",IFERROR(VLOOKUP($A1041,物料档案!$A$4:$P$1203,2,0),""))</f>
        <v/>
      </c>
      <c r="F1041" s="24">
        <f>IF($A1041="","",IFERROR(VLOOKUP($A1041,物料档案!$A$4:$P$1203,6,0),""))</f>
        <v/>
      </c>
      <c r="G1041" s="23" t="n"/>
      <c r="H1041" s="32" t="n"/>
      <c r="I1041" s="27">
        <f>IF($A1041="","",SUMIFS(入库单!$K$4:$K$2503,入库单!$G$4:$G$2503,$A1041,入库单!$X$4:$X$2503,"采购入库",入库单!$Z$4:$Z$2503,"正常",入库单!$C$4:$C$2503,"&gt;="&amp;账期起,入库单!$C$4:$C$2503,"&lt;="&amp;账期止))</f>
        <v/>
      </c>
      <c r="J1041" s="26">
        <f>IF($A1041="","",SUMIFS(入库单!$V$4:$V$2503,入库单!$G$4:$G$2503,$A1041,入库单!$X$4:$X$2503,"采购入库",入库单!$Z$4:$Z$2503,"正常",入库单!$C$4:$C$2503,"&gt;="&amp;账期起,入库单!$C$4:$C$2503,"&lt;="&amp;账期止))</f>
        <v/>
      </c>
      <c r="K1041" s="26">
        <f>IF($A1041="","",IFERROR(ROUND((N($H1041)+N($J1041))/(N($G1041)+N($I1041)),2),0))</f>
        <v/>
      </c>
      <c r="L1041" s="27">
        <f>IF($A1041="","",SUMIFS(入库单!$K$4:$K$2503,入库单!$G$4:$G$2503,$A1041,入库单!$X$4:$X$2503,"盘盈",入库单!$Z$4:$Z$2503,"正常",入库单!$C$4:$C$2503,"&gt;="&amp;账期起,入库单!$C$4:$C$2503,"&lt;="&amp;账期止))</f>
        <v/>
      </c>
      <c r="M1041" s="26">
        <f>IF($A1041="","",ROUND($L1041*$K1041,0))</f>
        <v/>
      </c>
      <c r="N1041" s="27">
        <f>IF($A1041="","",SUMIFS(入库单!$K$4:$K$2503,入库单!$G$4:$G$2503,$A1041,入库单!$X$4:$X$2503,"矿区退库",入库单!$Z$4:$Z$2503,"正常",入库单!$C$4:$C$2503,"&gt;="&amp;账期起,入库单!$C$4:$C$2503,"&lt;="&amp;账期止))</f>
        <v/>
      </c>
      <c r="O1041" s="26">
        <f>IF($A1041="","",ROUND($N1041*$K1041,0))</f>
        <v/>
      </c>
      <c r="P1041" s="27">
        <f>IF($A1041="","",SUMIFS(出库单!$J$4:$J$4003,出库单!$D$4:$D$4003,$A1041,出库单!$K$4:$K$4003,"自用消耗",出库单!$U$4:$U$4003,"正常",出库单!$C$4:$C$4003,"&gt;="&amp;账期起,出库单!$C$4:$C$4003,"&lt;="&amp;账期止))</f>
        <v/>
      </c>
      <c r="Q1041" s="26">
        <f>IF($A1041="","",ROUND(SUMIFS(出库单!$S$4:$S$4003,出库单!$D$4:$D$4003,$A1041,出库单!$K$4:$K$4003,"自用消耗",出库单!$U$4:$U$4003,"正常",出库单!$C$4:$C$4003,"&gt;="&amp;账期起,出库单!$C$4:$C$4003,"&lt;="&amp;账期止),0))</f>
        <v/>
      </c>
      <c r="R1041" s="27">
        <f>IF($A1041="","",SUMIFS(出库单!$J$4:$J$4003,出库单!$D$4:$D$4003,$A1041,出库单!$K$4:$K$4003,"对外销售",出库单!$U$4:$U$4003,"正常",出库单!$C$4:$C$4003,"&gt;="&amp;账期起,出库单!$C$4:$C$4003,"&lt;="&amp;账期止))</f>
        <v/>
      </c>
      <c r="S1041" s="26">
        <f>IF($A1041="","",ROUND(SUMIFS(出库单!$S$4:$S$4003,出库单!$D$4:$D$4003,$A1041,出库单!$K$4:$K$4003,"对外销售",出库单!$U$4:$U$4003,"正常",出库单!$C$4:$C$4003,"&gt;="&amp;账期起,出库单!$C$4:$C$4003,"&lt;="&amp;账期止),0))</f>
        <v/>
      </c>
      <c r="T1041" s="27">
        <f>IF($A1041="","",SUMIFS(出库单!$J$4:$J$4003,出库单!$D$4:$D$4003,$A1041,出库单!$K$4:$K$4003,"盘亏",出库单!$U$4:$U$4003,"正常",出库单!$C$4:$C$4003,"&gt;="&amp;账期起,出库单!$C$4:$C$4003,"&lt;="&amp;账期止))</f>
        <v/>
      </c>
      <c r="U1041" s="26">
        <f>IF($A1041="","",ROUND(SUMIFS(出库单!$S$4:$S$4003,出库单!$D$4:$D$4003,$A1041,出库单!$K$4:$K$4003,"盘亏",出库单!$U$4:$U$4003,"正常",出库单!$C$4:$C$4003,"&gt;="&amp;账期起,出库单!$C$4:$C$4003,"&lt;="&amp;账期止),0))</f>
        <v/>
      </c>
      <c r="V1041" s="27">
        <f>IF($A1041="","",SUMIFS(出库单!$J$4:$J$4003,出库单!$D$4:$D$4003,$A1041,出库单!$K$4:$K$4003,"退货给供应商",出库单!$U$4:$U$4003,"正常",出库单!$C$4:$C$4003,"&gt;="&amp;账期起,出库单!$C$4:$C$4003,"&lt;="&amp;账期止))</f>
        <v/>
      </c>
      <c r="W1041" s="26">
        <f>IF($A1041="","",ROUND(SUMIFS(出库单!$S$4:$S$4003,出库单!$D$4:$D$4003,$A1041,出库单!$K$4:$K$4003,"退货给供应商",出库单!$U$4:$U$4003,"正常",出库单!$C$4:$C$4003,"&gt;="&amp;账期起,出库单!$C$4:$C$4003,"&lt;="&amp;账期止),0))</f>
        <v/>
      </c>
      <c r="X1041" s="27">
        <f>IF($A1041="","",ROUND(N($G1041)+$I1041+$L1041+$N1041-$P1041-$R1041-$T1041-$V1041,3))</f>
        <v/>
      </c>
      <c r="Y1041" s="26">
        <f>IF($A1041="","",ROUND(N($H1041)+$J1041+$M1041+$O1041-$Q1041-$S1041-$U1041-$W1041,0))</f>
        <v/>
      </c>
      <c r="Z1041" s="24">
        <f>IF($A1041="","",IF(COUNTIFS(入库单!$G$4:$G$2503,$A1041,入库单!$Y$4:$Y$2503,"待补价")+COUNTIFS(入库单!$G$4:$G$2503,$A1041,入库单!$Y$4:$Y$2503,"暂估")&gt;0,"不可信","可信"))</f>
        <v/>
      </c>
      <c r="AA1041" s="24">
        <f>IF($A1041="","",IF($X1041&lt;-0.001,"※账面负库存，查一下是不是漏记入库",IF(AND(ROUND($X1041,3)=0,ABS($Y1041)&gt;1),"※数量已经是 0，金额还挂着 "&amp;TEXT($Y1041,"#,##0")&amp;" 先令",IF(AND($X1041&gt;0,$Y1041&lt;=0,$K1041=0),"※有数量没金额（这个物料一直没填过进价）",IF($Z1041="不可信","△成本含待补价/暂估，毛利仅供参考","")))))</f>
        <v/>
      </c>
    </row>
    <row r="1042">
      <c r="A1042" s="24">
        <f>IF(物料档案!$A1041="","",物料档案!$A1041)</f>
        <v/>
      </c>
      <c r="B1042" s="24">
        <f>IF($A1042="","",IFERROR(VLOOKUP($A1042,物料档案!$A$4:$P$1203,3,0),""))</f>
        <v/>
      </c>
      <c r="C1042" s="24">
        <f>IF($A1042="","",IFERROR(VLOOKUP($A1042,物料档案!$A$4:$P$1203,4,0),""))</f>
        <v/>
      </c>
      <c r="D1042" s="24">
        <f>IF($A1042="","",IFERROR(VLOOKUP($A1042,物料档案!$A$4:$P$1203,5,0),""))</f>
        <v/>
      </c>
      <c r="E1042" s="24">
        <f>IF($A1042="","",IFERROR(VLOOKUP($A1042,物料档案!$A$4:$P$1203,2,0),""))</f>
        <v/>
      </c>
      <c r="F1042" s="24">
        <f>IF($A1042="","",IFERROR(VLOOKUP($A1042,物料档案!$A$4:$P$1203,6,0),""))</f>
        <v/>
      </c>
      <c r="G1042" s="23" t="n"/>
      <c r="H1042" s="32" t="n"/>
      <c r="I1042" s="27">
        <f>IF($A1042="","",SUMIFS(入库单!$K$4:$K$2503,入库单!$G$4:$G$2503,$A1042,入库单!$X$4:$X$2503,"采购入库",入库单!$Z$4:$Z$2503,"正常",入库单!$C$4:$C$2503,"&gt;="&amp;账期起,入库单!$C$4:$C$2503,"&lt;="&amp;账期止))</f>
        <v/>
      </c>
      <c r="J1042" s="26">
        <f>IF($A1042="","",SUMIFS(入库单!$V$4:$V$2503,入库单!$G$4:$G$2503,$A1042,入库单!$X$4:$X$2503,"采购入库",入库单!$Z$4:$Z$2503,"正常",入库单!$C$4:$C$2503,"&gt;="&amp;账期起,入库单!$C$4:$C$2503,"&lt;="&amp;账期止))</f>
        <v/>
      </c>
      <c r="K1042" s="26">
        <f>IF($A1042="","",IFERROR(ROUND((N($H1042)+N($J1042))/(N($G1042)+N($I1042)),2),0))</f>
        <v/>
      </c>
      <c r="L1042" s="27">
        <f>IF($A1042="","",SUMIFS(入库单!$K$4:$K$2503,入库单!$G$4:$G$2503,$A1042,入库单!$X$4:$X$2503,"盘盈",入库单!$Z$4:$Z$2503,"正常",入库单!$C$4:$C$2503,"&gt;="&amp;账期起,入库单!$C$4:$C$2503,"&lt;="&amp;账期止))</f>
        <v/>
      </c>
      <c r="M1042" s="26">
        <f>IF($A1042="","",ROUND($L1042*$K1042,0))</f>
        <v/>
      </c>
      <c r="N1042" s="27">
        <f>IF($A1042="","",SUMIFS(入库单!$K$4:$K$2503,入库单!$G$4:$G$2503,$A1042,入库单!$X$4:$X$2503,"矿区退库",入库单!$Z$4:$Z$2503,"正常",入库单!$C$4:$C$2503,"&gt;="&amp;账期起,入库单!$C$4:$C$2503,"&lt;="&amp;账期止))</f>
        <v/>
      </c>
      <c r="O1042" s="26">
        <f>IF($A1042="","",ROUND($N1042*$K1042,0))</f>
        <v/>
      </c>
      <c r="P1042" s="27">
        <f>IF($A1042="","",SUMIFS(出库单!$J$4:$J$4003,出库单!$D$4:$D$4003,$A1042,出库单!$K$4:$K$4003,"自用消耗",出库单!$U$4:$U$4003,"正常",出库单!$C$4:$C$4003,"&gt;="&amp;账期起,出库单!$C$4:$C$4003,"&lt;="&amp;账期止))</f>
        <v/>
      </c>
      <c r="Q1042" s="26">
        <f>IF($A1042="","",ROUND(SUMIFS(出库单!$S$4:$S$4003,出库单!$D$4:$D$4003,$A1042,出库单!$K$4:$K$4003,"自用消耗",出库单!$U$4:$U$4003,"正常",出库单!$C$4:$C$4003,"&gt;="&amp;账期起,出库单!$C$4:$C$4003,"&lt;="&amp;账期止),0))</f>
        <v/>
      </c>
      <c r="R1042" s="27">
        <f>IF($A1042="","",SUMIFS(出库单!$J$4:$J$4003,出库单!$D$4:$D$4003,$A1042,出库单!$K$4:$K$4003,"对外销售",出库单!$U$4:$U$4003,"正常",出库单!$C$4:$C$4003,"&gt;="&amp;账期起,出库单!$C$4:$C$4003,"&lt;="&amp;账期止))</f>
        <v/>
      </c>
      <c r="S1042" s="26">
        <f>IF($A1042="","",ROUND(SUMIFS(出库单!$S$4:$S$4003,出库单!$D$4:$D$4003,$A1042,出库单!$K$4:$K$4003,"对外销售",出库单!$U$4:$U$4003,"正常",出库单!$C$4:$C$4003,"&gt;="&amp;账期起,出库单!$C$4:$C$4003,"&lt;="&amp;账期止),0))</f>
        <v/>
      </c>
      <c r="T1042" s="27">
        <f>IF($A1042="","",SUMIFS(出库单!$J$4:$J$4003,出库单!$D$4:$D$4003,$A1042,出库单!$K$4:$K$4003,"盘亏",出库单!$U$4:$U$4003,"正常",出库单!$C$4:$C$4003,"&gt;="&amp;账期起,出库单!$C$4:$C$4003,"&lt;="&amp;账期止))</f>
        <v/>
      </c>
      <c r="U1042" s="26">
        <f>IF($A1042="","",ROUND(SUMIFS(出库单!$S$4:$S$4003,出库单!$D$4:$D$4003,$A1042,出库单!$K$4:$K$4003,"盘亏",出库单!$U$4:$U$4003,"正常",出库单!$C$4:$C$4003,"&gt;="&amp;账期起,出库单!$C$4:$C$4003,"&lt;="&amp;账期止),0))</f>
        <v/>
      </c>
      <c r="V1042" s="27">
        <f>IF($A1042="","",SUMIFS(出库单!$J$4:$J$4003,出库单!$D$4:$D$4003,$A1042,出库单!$K$4:$K$4003,"退货给供应商",出库单!$U$4:$U$4003,"正常",出库单!$C$4:$C$4003,"&gt;="&amp;账期起,出库单!$C$4:$C$4003,"&lt;="&amp;账期止))</f>
        <v/>
      </c>
      <c r="W1042" s="26">
        <f>IF($A1042="","",ROUND(SUMIFS(出库单!$S$4:$S$4003,出库单!$D$4:$D$4003,$A1042,出库单!$K$4:$K$4003,"退货给供应商",出库单!$U$4:$U$4003,"正常",出库单!$C$4:$C$4003,"&gt;="&amp;账期起,出库单!$C$4:$C$4003,"&lt;="&amp;账期止),0))</f>
        <v/>
      </c>
      <c r="X1042" s="27">
        <f>IF($A1042="","",ROUND(N($G1042)+$I1042+$L1042+$N1042-$P1042-$R1042-$T1042-$V1042,3))</f>
        <v/>
      </c>
      <c r="Y1042" s="26">
        <f>IF($A1042="","",ROUND(N($H1042)+$J1042+$M1042+$O1042-$Q1042-$S1042-$U1042-$W1042,0))</f>
        <v/>
      </c>
      <c r="Z1042" s="24">
        <f>IF($A1042="","",IF(COUNTIFS(入库单!$G$4:$G$2503,$A1042,入库单!$Y$4:$Y$2503,"待补价")+COUNTIFS(入库单!$G$4:$G$2503,$A1042,入库单!$Y$4:$Y$2503,"暂估")&gt;0,"不可信","可信"))</f>
        <v/>
      </c>
      <c r="AA1042" s="24">
        <f>IF($A1042="","",IF($X1042&lt;-0.001,"※账面负库存，查一下是不是漏记入库",IF(AND(ROUND($X1042,3)=0,ABS($Y1042)&gt;1),"※数量已经是 0，金额还挂着 "&amp;TEXT($Y1042,"#,##0")&amp;" 先令",IF(AND($X1042&gt;0,$Y1042&lt;=0,$K1042=0),"※有数量没金额（这个物料一直没填过进价）",IF($Z1042="不可信","△成本含待补价/暂估，毛利仅供参考","")))))</f>
        <v/>
      </c>
    </row>
    <row r="1043">
      <c r="A1043" s="24">
        <f>IF(物料档案!$A1042="","",物料档案!$A1042)</f>
        <v/>
      </c>
      <c r="B1043" s="24">
        <f>IF($A1043="","",IFERROR(VLOOKUP($A1043,物料档案!$A$4:$P$1203,3,0),""))</f>
        <v/>
      </c>
      <c r="C1043" s="24">
        <f>IF($A1043="","",IFERROR(VLOOKUP($A1043,物料档案!$A$4:$P$1203,4,0),""))</f>
        <v/>
      </c>
      <c r="D1043" s="24">
        <f>IF($A1043="","",IFERROR(VLOOKUP($A1043,物料档案!$A$4:$P$1203,5,0),""))</f>
        <v/>
      </c>
      <c r="E1043" s="24">
        <f>IF($A1043="","",IFERROR(VLOOKUP($A1043,物料档案!$A$4:$P$1203,2,0),""))</f>
        <v/>
      </c>
      <c r="F1043" s="24">
        <f>IF($A1043="","",IFERROR(VLOOKUP($A1043,物料档案!$A$4:$P$1203,6,0),""))</f>
        <v/>
      </c>
      <c r="G1043" s="23" t="n"/>
      <c r="H1043" s="32" t="n"/>
      <c r="I1043" s="27">
        <f>IF($A1043="","",SUMIFS(入库单!$K$4:$K$2503,入库单!$G$4:$G$2503,$A1043,入库单!$X$4:$X$2503,"采购入库",入库单!$Z$4:$Z$2503,"正常",入库单!$C$4:$C$2503,"&gt;="&amp;账期起,入库单!$C$4:$C$2503,"&lt;="&amp;账期止))</f>
        <v/>
      </c>
      <c r="J1043" s="26">
        <f>IF($A1043="","",SUMIFS(入库单!$V$4:$V$2503,入库单!$G$4:$G$2503,$A1043,入库单!$X$4:$X$2503,"采购入库",入库单!$Z$4:$Z$2503,"正常",入库单!$C$4:$C$2503,"&gt;="&amp;账期起,入库单!$C$4:$C$2503,"&lt;="&amp;账期止))</f>
        <v/>
      </c>
      <c r="K1043" s="26">
        <f>IF($A1043="","",IFERROR(ROUND((N($H1043)+N($J1043))/(N($G1043)+N($I1043)),2),0))</f>
        <v/>
      </c>
      <c r="L1043" s="27">
        <f>IF($A1043="","",SUMIFS(入库单!$K$4:$K$2503,入库单!$G$4:$G$2503,$A1043,入库单!$X$4:$X$2503,"盘盈",入库单!$Z$4:$Z$2503,"正常",入库单!$C$4:$C$2503,"&gt;="&amp;账期起,入库单!$C$4:$C$2503,"&lt;="&amp;账期止))</f>
        <v/>
      </c>
      <c r="M1043" s="26">
        <f>IF($A1043="","",ROUND($L1043*$K1043,0))</f>
        <v/>
      </c>
      <c r="N1043" s="27">
        <f>IF($A1043="","",SUMIFS(入库单!$K$4:$K$2503,入库单!$G$4:$G$2503,$A1043,入库单!$X$4:$X$2503,"矿区退库",入库单!$Z$4:$Z$2503,"正常",入库单!$C$4:$C$2503,"&gt;="&amp;账期起,入库单!$C$4:$C$2503,"&lt;="&amp;账期止))</f>
        <v/>
      </c>
      <c r="O1043" s="26">
        <f>IF($A1043="","",ROUND($N1043*$K1043,0))</f>
        <v/>
      </c>
      <c r="P1043" s="27">
        <f>IF($A1043="","",SUMIFS(出库单!$J$4:$J$4003,出库单!$D$4:$D$4003,$A1043,出库单!$K$4:$K$4003,"自用消耗",出库单!$U$4:$U$4003,"正常",出库单!$C$4:$C$4003,"&gt;="&amp;账期起,出库单!$C$4:$C$4003,"&lt;="&amp;账期止))</f>
        <v/>
      </c>
      <c r="Q1043" s="26">
        <f>IF($A1043="","",ROUND(SUMIFS(出库单!$S$4:$S$4003,出库单!$D$4:$D$4003,$A1043,出库单!$K$4:$K$4003,"自用消耗",出库单!$U$4:$U$4003,"正常",出库单!$C$4:$C$4003,"&gt;="&amp;账期起,出库单!$C$4:$C$4003,"&lt;="&amp;账期止),0))</f>
        <v/>
      </c>
      <c r="R1043" s="27">
        <f>IF($A1043="","",SUMIFS(出库单!$J$4:$J$4003,出库单!$D$4:$D$4003,$A1043,出库单!$K$4:$K$4003,"对外销售",出库单!$U$4:$U$4003,"正常",出库单!$C$4:$C$4003,"&gt;="&amp;账期起,出库单!$C$4:$C$4003,"&lt;="&amp;账期止))</f>
        <v/>
      </c>
      <c r="S1043" s="26">
        <f>IF($A1043="","",ROUND(SUMIFS(出库单!$S$4:$S$4003,出库单!$D$4:$D$4003,$A1043,出库单!$K$4:$K$4003,"对外销售",出库单!$U$4:$U$4003,"正常",出库单!$C$4:$C$4003,"&gt;="&amp;账期起,出库单!$C$4:$C$4003,"&lt;="&amp;账期止),0))</f>
        <v/>
      </c>
      <c r="T1043" s="27">
        <f>IF($A1043="","",SUMIFS(出库单!$J$4:$J$4003,出库单!$D$4:$D$4003,$A1043,出库单!$K$4:$K$4003,"盘亏",出库单!$U$4:$U$4003,"正常",出库单!$C$4:$C$4003,"&gt;="&amp;账期起,出库单!$C$4:$C$4003,"&lt;="&amp;账期止))</f>
        <v/>
      </c>
      <c r="U1043" s="26">
        <f>IF($A1043="","",ROUND(SUMIFS(出库单!$S$4:$S$4003,出库单!$D$4:$D$4003,$A1043,出库单!$K$4:$K$4003,"盘亏",出库单!$U$4:$U$4003,"正常",出库单!$C$4:$C$4003,"&gt;="&amp;账期起,出库单!$C$4:$C$4003,"&lt;="&amp;账期止),0))</f>
        <v/>
      </c>
      <c r="V1043" s="27">
        <f>IF($A1043="","",SUMIFS(出库单!$J$4:$J$4003,出库单!$D$4:$D$4003,$A1043,出库单!$K$4:$K$4003,"退货给供应商",出库单!$U$4:$U$4003,"正常",出库单!$C$4:$C$4003,"&gt;="&amp;账期起,出库单!$C$4:$C$4003,"&lt;="&amp;账期止))</f>
        <v/>
      </c>
      <c r="W1043" s="26">
        <f>IF($A1043="","",ROUND(SUMIFS(出库单!$S$4:$S$4003,出库单!$D$4:$D$4003,$A1043,出库单!$K$4:$K$4003,"退货给供应商",出库单!$U$4:$U$4003,"正常",出库单!$C$4:$C$4003,"&gt;="&amp;账期起,出库单!$C$4:$C$4003,"&lt;="&amp;账期止),0))</f>
        <v/>
      </c>
      <c r="X1043" s="27">
        <f>IF($A1043="","",ROUND(N($G1043)+$I1043+$L1043+$N1043-$P1043-$R1043-$T1043-$V1043,3))</f>
        <v/>
      </c>
      <c r="Y1043" s="26">
        <f>IF($A1043="","",ROUND(N($H1043)+$J1043+$M1043+$O1043-$Q1043-$S1043-$U1043-$W1043,0))</f>
        <v/>
      </c>
      <c r="Z1043" s="24">
        <f>IF($A1043="","",IF(COUNTIFS(入库单!$G$4:$G$2503,$A1043,入库单!$Y$4:$Y$2503,"待补价")+COUNTIFS(入库单!$G$4:$G$2503,$A1043,入库单!$Y$4:$Y$2503,"暂估")&gt;0,"不可信","可信"))</f>
        <v/>
      </c>
      <c r="AA1043" s="24">
        <f>IF($A1043="","",IF($X1043&lt;-0.001,"※账面负库存，查一下是不是漏记入库",IF(AND(ROUND($X1043,3)=0,ABS($Y1043)&gt;1),"※数量已经是 0，金额还挂着 "&amp;TEXT($Y1043,"#,##0")&amp;" 先令",IF(AND($X1043&gt;0,$Y1043&lt;=0,$K1043=0),"※有数量没金额（这个物料一直没填过进价）",IF($Z1043="不可信","△成本含待补价/暂估，毛利仅供参考","")))))</f>
        <v/>
      </c>
    </row>
    <row r="1044">
      <c r="A1044" s="24">
        <f>IF(物料档案!$A1043="","",物料档案!$A1043)</f>
        <v/>
      </c>
      <c r="B1044" s="24">
        <f>IF($A1044="","",IFERROR(VLOOKUP($A1044,物料档案!$A$4:$P$1203,3,0),""))</f>
        <v/>
      </c>
      <c r="C1044" s="24">
        <f>IF($A1044="","",IFERROR(VLOOKUP($A1044,物料档案!$A$4:$P$1203,4,0),""))</f>
        <v/>
      </c>
      <c r="D1044" s="24">
        <f>IF($A1044="","",IFERROR(VLOOKUP($A1044,物料档案!$A$4:$P$1203,5,0),""))</f>
        <v/>
      </c>
      <c r="E1044" s="24">
        <f>IF($A1044="","",IFERROR(VLOOKUP($A1044,物料档案!$A$4:$P$1203,2,0),""))</f>
        <v/>
      </c>
      <c r="F1044" s="24">
        <f>IF($A1044="","",IFERROR(VLOOKUP($A1044,物料档案!$A$4:$P$1203,6,0),""))</f>
        <v/>
      </c>
      <c r="G1044" s="23" t="n"/>
      <c r="H1044" s="32" t="n"/>
      <c r="I1044" s="27">
        <f>IF($A1044="","",SUMIFS(入库单!$K$4:$K$2503,入库单!$G$4:$G$2503,$A1044,入库单!$X$4:$X$2503,"采购入库",入库单!$Z$4:$Z$2503,"正常",入库单!$C$4:$C$2503,"&gt;="&amp;账期起,入库单!$C$4:$C$2503,"&lt;="&amp;账期止))</f>
        <v/>
      </c>
      <c r="J1044" s="26">
        <f>IF($A1044="","",SUMIFS(入库单!$V$4:$V$2503,入库单!$G$4:$G$2503,$A1044,入库单!$X$4:$X$2503,"采购入库",入库单!$Z$4:$Z$2503,"正常",入库单!$C$4:$C$2503,"&gt;="&amp;账期起,入库单!$C$4:$C$2503,"&lt;="&amp;账期止))</f>
        <v/>
      </c>
      <c r="K1044" s="26">
        <f>IF($A1044="","",IFERROR(ROUND((N($H1044)+N($J1044))/(N($G1044)+N($I1044)),2),0))</f>
        <v/>
      </c>
      <c r="L1044" s="27">
        <f>IF($A1044="","",SUMIFS(入库单!$K$4:$K$2503,入库单!$G$4:$G$2503,$A1044,入库单!$X$4:$X$2503,"盘盈",入库单!$Z$4:$Z$2503,"正常",入库单!$C$4:$C$2503,"&gt;="&amp;账期起,入库单!$C$4:$C$2503,"&lt;="&amp;账期止))</f>
        <v/>
      </c>
      <c r="M1044" s="26">
        <f>IF($A1044="","",ROUND($L1044*$K1044,0))</f>
        <v/>
      </c>
      <c r="N1044" s="27">
        <f>IF($A1044="","",SUMIFS(入库单!$K$4:$K$2503,入库单!$G$4:$G$2503,$A1044,入库单!$X$4:$X$2503,"矿区退库",入库单!$Z$4:$Z$2503,"正常",入库单!$C$4:$C$2503,"&gt;="&amp;账期起,入库单!$C$4:$C$2503,"&lt;="&amp;账期止))</f>
        <v/>
      </c>
      <c r="O1044" s="26">
        <f>IF($A1044="","",ROUND($N1044*$K1044,0))</f>
        <v/>
      </c>
      <c r="P1044" s="27">
        <f>IF($A1044="","",SUMIFS(出库单!$J$4:$J$4003,出库单!$D$4:$D$4003,$A1044,出库单!$K$4:$K$4003,"自用消耗",出库单!$U$4:$U$4003,"正常",出库单!$C$4:$C$4003,"&gt;="&amp;账期起,出库单!$C$4:$C$4003,"&lt;="&amp;账期止))</f>
        <v/>
      </c>
      <c r="Q1044" s="26">
        <f>IF($A1044="","",ROUND(SUMIFS(出库单!$S$4:$S$4003,出库单!$D$4:$D$4003,$A1044,出库单!$K$4:$K$4003,"自用消耗",出库单!$U$4:$U$4003,"正常",出库单!$C$4:$C$4003,"&gt;="&amp;账期起,出库单!$C$4:$C$4003,"&lt;="&amp;账期止),0))</f>
        <v/>
      </c>
      <c r="R1044" s="27">
        <f>IF($A1044="","",SUMIFS(出库单!$J$4:$J$4003,出库单!$D$4:$D$4003,$A1044,出库单!$K$4:$K$4003,"对外销售",出库单!$U$4:$U$4003,"正常",出库单!$C$4:$C$4003,"&gt;="&amp;账期起,出库单!$C$4:$C$4003,"&lt;="&amp;账期止))</f>
        <v/>
      </c>
      <c r="S1044" s="26">
        <f>IF($A1044="","",ROUND(SUMIFS(出库单!$S$4:$S$4003,出库单!$D$4:$D$4003,$A1044,出库单!$K$4:$K$4003,"对外销售",出库单!$U$4:$U$4003,"正常",出库单!$C$4:$C$4003,"&gt;="&amp;账期起,出库单!$C$4:$C$4003,"&lt;="&amp;账期止),0))</f>
        <v/>
      </c>
      <c r="T1044" s="27">
        <f>IF($A1044="","",SUMIFS(出库单!$J$4:$J$4003,出库单!$D$4:$D$4003,$A1044,出库单!$K$4:$K$4003,"盘亏",出库单!$U$4:$U$4003,"正常",出库单!$C$4:$C$4003,"&gt;="&amp;账期起,出库单!$C$4:$C$4003,"&lt;="&amp;账期止))</f>
        <v/>
      </c>
      <c r="U1044" s="26">
        <f>IF($A1044="","",ROUND(SUMIFS(出库单!$S$4:$S$4003,出库单!$D$4:$D$4003,$A1044,出库单!$K$4:$K$4003,"盘亏",出库单!$U$4:$U$4003,"正常",出库单!$C$4:$C$4003,"&gt;="&amp;账期起,出库单!$C$4:$C$4003,"&lt;="&amp;账期止),0))</f>
        <v/>
      </c>
      <c r="V1044" s="27">
        <f>IF($A1044="","",SUMIFS(出库单!$J$4:$J$4003,出库单!$D$4:$D$4003,$A1044,出库单!$K$4:$K$4003,"退货给供应商",出库单!$U$4:$U$4003,"正常",出库单!$C$4:$C$4003,"&gt;="&amp;账期起,出库单!$C$4:$C$4003,"&lt;="&amp;账期止))</f>
        <v/>
      </c>
      <c r="W1044" s="26">
        <f>IF($A1044="","",ROUND(SUMIFS(出库单!$S$4:$S$4003,出库单!$D$4:$D$4003,$A1044,出库单!$K$4:$K$4003,"退货给供应商",出库单!$U$4:$U$4003,"正常",出库单!$C$4:$C$4003,"&gt;="&amp;账期起,出库单!$C$4:$C$4003,"&lt;="&amp;账期止),0))</f>
        <v/>
      </c>
      <c r="X1044" s="27">
        <f>IF($A1044="","",ROUND(N($G1044)+$I1044+$L1044+$N1044-$P1044-$R1044-$T1044-$V1044,3))</f>
        <v/>
      </c>
      <c r="Y1044" s="26">
        <f>IF($A1044="","",ROUND(N($H1044)+$J1044+$M1044+$O1044-$Q1044-$S1044-$U1044-$W1044,0))</f>
        <v/>
      </c>
      <c r="Z1044" s="24">
        <f>IF($A1044="","",IF(COUNTIFS(入库单!$G$4:$G$2503,$A1044,入库单!$Y$4:$Y$2503,"待补价")+COUNTIFS(入库单!$G$4:$G$2503,$A1044,入库单!$Y$4:$Y$2503,"暂估")&gt;0,"不可信","可信"))</f>
        <v/>
      </c>
      <c r="AA1044" s="24">
        <f>IF($A1044="","",IF($X1044&lt;-0.001,"※账面负库存，查一下是不是漏记入库",IF(AND(ROUND($X1044,3)=0,ABS($Y1044)&gt;1),"※数量已经是 0，金额还挂着 "&amp;TEXT($Y1044,"#,##0")&amp;" 先令",IF(AND($X1044&gt;0,$Y1044&lt;=0,$K1044=0),"※有数量没金额（这个物料一直没填过进价）",IF($Z1044="不可信","△成本含待补价/暂估，毛利仅供参考","")))))</f>
        <v/>
      </c>
    </row>
    <row r="1045">
      <c r="A1045" s="24">
        <f>IF(物料档案!$A1044="","",物料档案!$A1044)</f>
        <v/>
      </c>
      <c r="B1045" s="24">
        <f>IF($A1045="","",IFERROR(VLOOKUP($A1045,物料档案!$A$4:$P$1203,3,0),""))</f>
        <v/>
      </c>
      <c r="C1045" s="24">
        <f>IF($A1045="","",IFERROR(VLOOKUP($A1045,物料档案!$A$4:$P$1203,4,0),""))</f>
        <v/>
      </c>
      <c r="D1045" s="24">
        <f>IF($A1045="","",IFERROR(VLOOKUP($A1045,物料档案!$A$4:$P$1203,5,0),""))</f>
        <v/>
      </c>
      <c r="E1045" s="24">
        <f>IF($A1045="","",IFERROR(VLOOKUP($A1045,物料档案!$A$4:$P$1203,2,0),""))</f>
        <v/>
      </c>
      <c r="F1045" s="24">
        <f>IF($A1045="","",IFERROR(VLOOKUP($A1045,物料档案!$A$4:$P$1203,6,0),""))</f>
        <v/>
      </c>
      <c r="G1045" s="23" t="n"/>
      <c r="H1045" s="32" t="n"/>
      <c r="I1045" s="27">
        <f>IF($A1045="","",SUMIFS(入库单!$K$4:$K$2503,入库单!$G$4:$G$2503,$A1045,入库单!$X$4:$X$2503,"采购入库",入库单!$Z$4:$Z$2503,"正常",入库单!$C$4:$C$2503,"&gt;="&amp;账期起,入库单!$C$4:$C$2503,"&lt;="&amp;账期止))</f>
        <v/>
      </c>
      <c r="J1045" s="26">
        <f>IF($A1045="","",SUMIFS(入库单!$V$4:$V$2503,入库单!$G$4:$G$2503,$A1045,入库单!$X$4:$X$2503,"采购入库",入库单!$Z$4:$Z$2503,"正常",入库单!$C$4:$C$2503,"&gt;="&amp;账期起,入库单!$C$4:$C$2503,"&lt;="&amp;账期止))</f>
        <v/>
      </c>
      <c r="K1045" s="26">
        <f>IF($A1045="","",IFERROR(ROUND((N($H1045)+N($J1045))/(N($G1045)+N($I1045)),2),0))</f>
        <v/>
      </c>
      <c r="L1045" s="27">
        <f>IF($A1045="","",SUMIFS(入库单!$K$4:$K$2503,入库单!$G$4:$G$2503,$A1045,入库单!$X$4:$X$2503,"盘盈",入库单!$Z$4:$Z$2503,"正常",入库单!$C$4:$C$2503,"&gt;="&amp;账期起,入库单!$C$4:$C$2503,"&lt;="&amp;账期止))</f>
        <v/>
      </c>
      <c r="M1045" s="26">
        <f>IF($A1045="","",ROUND($L1045*$K1045,0))</f>
        <v/>
      </c>
      <c r="N1045" s="27">
        <f>IF($A1045="","",SUMIFS(入库单!$K$4:$K$2503,入库单!$G$4:$G$2503,$A1045,入库单!$X$4:$X$2503,"矿区退库",入库单!$Z$4:$Z$2503,"正常",入库单!$C$4:$C$2503,"&gt;="&amp;账期起,入库单!$C$4:$C$2503,"&lt;="&amp;账期止))</f>
        <v/>
      </c>
      <c r="O1045" s="26">
        <f>IF($A1045="","",ROUND($N1045*$K1045,0))</f>
        <v/>
      </c>
      <c r="P1045" s="27">
        <f>IF($A1045="","",SUMIFS(出库单!$J$4:$J$4003,出库单!$D$4:$D$4003,$A1045,出库单!$K$4:$K$4003,"自用消耗",出库单!$U$4:$U$4003,"正常",出库单!$C$4:$C$4003,"&gt;="&amp;账期起,出库单!$C$4:$C$4003,"&lt;="&amp;账期止))</f>
        <v/>
      </c>
      <c r="Q1045" s="26">
        <f>IF($A1045="","",ROUND(SUMIFS(出库单!$S$4:$S$4003,出库单!$D$4:$D$4003,$A1045,出库单!$K$4:$K$4003,"自用消耗",出库单!$U$4:$U$4003,"正常",出库单!$C$4:$C$4003,"&gt;="&amp;账期起,出库单!$C$4:$C$4003,"&lt;="&amp;账期止),0))</f>
        <v/>
      </c>
      <c r="R1045" s="27">
        <f>IF($A1045="","",SUMIFS(出库单!$J$4:$J$4003,出库单!$D$4:$D$4003,$A1045,出库单!$K$4:$K$4003,"对外销售",出库单!$U$4:$U$4003,"正常",出库单!$C$4:$C$4003,"&gt;="&amp;账期起,出库单!$C$4:$C$4003,"&lt;="&amp;账期止))</f>
        <v/>
      </c>
      <c r="S1045" s="26">
        <f>IF($A1045="","",ROUND(SUMIFS(出库单!$S$4:$S$4003,出库单!$D$4:$D$4003,$A1045,出库单!$K$4:$K$4003,"对外销售",出库单!$U$4:$U$4003,"正常",出库单!$C$4:$C$4003,"&gt;="&amp;账期起,出库单!$C$4:$C$4003,"&lt;="&amp;账期止),0))</f>
        <v/>
      </c>
      <c r="T1045" s="27">
        <f>IF($A1045="","",SUMIFS(出库单!$J$4:$J$4003,出库单!$D$4:$D$4003,$A1045,出库单!$K$4:$K$4003,"盘亏",出库单!$U$4:$U$4003,"正常",出库单!$C$4:$C$4003,"&gt;="&amp;账期起,出库单!$C$4:$C$4003,"&lt;="&amp;账期止))</f>
        <v/>
      </c>
      <c r="U1045" s="26">
        <f>IF($A1045="","",ROUND(SUMIFS(出库单!$S$4:$S$4003,出库单!$D$4:$D$4003,$A1045,出库单!$K$4:$K$4003,"盘亏",出库单!$U$4:$U$4003,"正常",出库单!$C$4:$C$4003,"&gt;="&amp;账期起,出库单!$C$4:$C$4003,"&lt;="&amp;账期止),0))</f>
        <v/>
      </c>
      <c r="V1045" s="27">
        <f>IF($A1045="","",SUMIFS(出库单!$J$4:$J$4003,出库单!$D$4:$D$4003,$A1045,出库单!$K$4:$K$4003,"退货给供应商",出库单!$U$4:$U$4003,"正常",出库单!$C$4:$C$4003,"&gt;="&amp;账期起,出库单!$C$4:$C$4003,"&lt;="&amp;账期止))</f>
        <v/>
      </c>
      <c r="W1045" s="26">
        <f>IF($A1045="","",ROUND(SUMIFS(出库单!$S$4:$S$4003,出库单!$D$4:$D$4003,$A1045,出库单!$K$4:$K$4003,"退货给供应商",出库单!$U$4:$U$4003,"正常",出库单!$C$4:$C$4003,"&gt;="&amp;账期起,出库单!$C$4:$C$4003,"&lt;="&amp;账期止),0))</f>
        <v/>
      </c>
      <c r="X1045" s="27">
        <f>IF($A1045="","",ROUND(N($G1045)+$I1045+$L1045+$N1045-$P1045-$R1045-$T1045-$V1045,3))</f>
        <v/>
      </c>
      <c r="Y1045" s="26">
        <f>IF($A1045="","",ROUND(N($H1045)+$J1045+$M1045+$O1045-$Q1045-$S1045-$U1045-$W1045,0))</f>
        <v/>
      </c>
      <c r="Z1045" s="24">
        <f>IF($A1045="","",IF(COUNTIFS(入库单!$G$4:$G$2503,$A1045,入库单!$Y$4:$Y$2503,"待补价")+COUNTIFS(入库单!$G$4:$G$2503,$A1045,入库单!$Y$4:$Y$2503,"暂估")&gt;0,"不可信","可信"))</f>
        <v/>
      </c>
      <c r="AA1045" s="24">
        <f>IF($A1045="","",IF($X1045&lt;-0.001,"※账面负库存，查一下是不是漏记入库",IF(AND(ROUND($X1045,3)=0,ABS($Y1045)&gt;1),"※数量已经是 0，金额还挂着 "&amp;TEXT($Y1045,"#,##0")&amp;" 先令",IF(AND($X1045&gt;0,$Y1045&lt;=0,$K1045=0),"※有数量没金额（这个物料一直没填过进价）",IF($Z1045="不可信","△成本含待补价/暂估，毛利仅供参考","")))))</f>
        <v/>
      </c>
    </row>
    <row r="1046">
      <c r="A1046" s="24">
        <f>IF(物料档案!$A1045="","",物料档案!$A1045)</f>
        <v/>
      </c>
      <c r="B1046" s="24">
        <f>IF($A1046="","",IFERROR(VLOOKUP($A1046,物料档案!$A$4:$P$1203,3,0),""))</f>
        <v/>
      </c>
      <c r="C1046" s="24">
        <f>IF($A1046="","",IFERROR(VLOOKUP($A1046,物料档案!$A$4:$P$1203,4,0),""))</f>
        <v/>
      </c>
      <c r="D1046" s="24">
        <f>IF($A1046="","",IFERROR(VLOOKUP($A1046,物料档案!$A$4:$P$1203,5,0),""))</f>
        <v/>
      </c>
      <c r="E1046" s="24">
        <f>IF($A1046="","",IFERROR(VLOOKUP($A1046,物料档案!$A$4:$P$1203,2,0),""))</f>
        <v/>
      </c>
      <c r="F1046" s="24">
        <f>IF($A1046="","",IFERROR(VLOOKUP($A1046,物料档案!$A$4:$P$1203,6,0),""))</f>
        <v/>
      </c>
      <c r="G1046" s="23" t="n"/>
      <c r="H1046" s="32" t="n"/>
      <c r="I1046" s="27">
        <f>IF($A1046="","",SUMIFS(入库单!$K$4:$K$2503,入库单!$G$4:$G$2503,$A1046,入库单!$X$4:$X$2503,"采购入库",入库单!$Z$4:$Z$2503,"正常",入库单!$C$4:$C$2503,"&gt;="&amp;账期起,入库单!$C$4:$C$2503,"&lt;="&amp;账期止))</f>
        <v/>
      </c>
      <c r="J1046" s="26">
        <f>IF($A1046="","",SUMIFS(入库单!$V$4:$V$2503,入库单!$G$4:$G$2503,$A1046,入库单!$X$4:$X$2503,"采购入库",入库单!$Z$4:$Z$2503,"正常",入库单!$C$4:$C$2503,"&gt;="&amp;账期起,入库单!$C$4:$C$2503,"&lt;="&amp;账期止))</f>
        <v/>
      </c>
      <c r="K1046" s="26">
        <f>IF($A1046="","",IFERROR(ROUND((N($H1046)+N($J1046))/(N($G1046)+N($I1046)),2),0))</f>
        <v/>
      </c>
      <c r="L1046" s="27">
        <f>IF($A1046="","",SUMIFS(入库单!$K$4:$K$2503,入库单!$G$4:$G$2503,$A1046,入库单!$X$4:$X$2503,"盘盈",入库单!$Z$4:$Z$2503,"正常",入库单!$C$4:$C$2503,"&gt;="&amp;账期起,入库单!$C$4:$C$2503,"&lt;="&amp;账期止))</f>
        <v/>
      </c>
      <c r="M1046" s="26">
        <f>IF($A1046="","",ROUND($L1046*$K1046,0))</f>
        <v/>
      </c>
      <c r="N1046" s="27">
        <f>IF($A1046="","",SUMIFS(入库单!$K$4:$K$2503,入库单!$G$4:$G$2503,$A1046,入库单!$X$4:$X$2503,"矿区退库",入库单!$Z$4:$Z$2503,"正常",入库单!$C$4:$C$2503,"&gt;="&amp;账期起,入库单!$C$4:$C$2503,"&lt;="&amp;账期止))</f>
        <v/>
      </c>
      <c r="O1046" s="26">
        <f>IF($A1046="","",ROUND($N1046*$K1046,0))</f>
        <v/>
      </c>
      <c r="P1046" s="27">
        <f>IF($A1046="","",SUMIFS(出库单!$J$4:$J$4003,出库单!$D$4:$D$4003,$A1046,出库单!$K$4:$K$4003,"自用消耗",出库单!$U$4:$U$4003,"正常",出库单!$C$4:$C$4003,"&gt;="&amp;账期起,出库单!$C$4:$C$4003,"&lt;="&amp;账期止))</f>
        <v/>
      </c>
      <c r="Q1046" s="26">
        <f>IF($A1046="","",ROUND(SUMIFS(出库单!$S$4:$S$4003,出库单!$D$4:$D$4003,$A1046,出库单!$K$4:$K$4003,"自用消耗",出库单!$U$4:$U$4003,"正常",出库单!$C$4:$C$4003,"&gt;="&amp;账期起,出库单!$C$4:$C$4003,"&lt;="&amp;账期止),0))</f>
        <v/>
      </c>
      <c r="R1046" s="27">
        <f>IF($A1046="","",SUMIFS(出库单!$J$4:$J$4003,出库单!$D$4:$D$4003,$A1046,出库单!$K$4:$K$4003,"对外销售",出库单!$U$4:$U$4003,"正常",出库单!$C$4:$C$4003,"&gt;="&amp;账期起,出库单!$C$4:$C$4003,"&lt;="&amp;账期止))</f>
        <v/>
      </c>
      <c r="S1046" s="26">
        <f>IF($A1046="","",ROUND(SUMIFS(出库单!$S$4:$S$4003,出库单!$D$4:$D$4003,$A1046,出库单!$K$4:$K$4003,"对外销售",出库单!$U$4:$U$4003,"正常",出库单!$C$4:$C$4003,"&gt;="&amp;账期起,出库单!$C$4:$C$4003,"&lt;="&amp;账期止),0))</f>
        <v/>
      </c>
      <c r="T1046" s="27">
        <f>IF($A1046="","",SUMIFS(出库单!$J$4:$J$4003,出库单!$D$4:$D$4003,$A1046,出库单!$K$4:$K$4003,"盘亏",出库单!$U$4:$U$4003,"正常",出库单!$C$4:$C$4003,"&gt;="&amp;账期起,出库单!$C$4:$C$4003,"&lt;="&amp;账期止))</f>
        <v/>
      </c>
      <c r="U1046" s="26">
        <f>IF($A1046="","",ROUND(SUMIFS(出库单!$S$4:$S$4003,出库单!$D$4:$D$4003,$A1046,出库单!$K$4:$K$4003,"盘亏",出库单!$U$4:$U$4003,"正常",出库单!$C$4:$C$4003,"&gt;="&amp;账期起,出库单!$C$4:$C$4003,"&lt;="&amp;账期止),0))</f>
        <v/>
      </c>
      <c r="V1046" s="27">
        <f>IF($A1046="","",SUMIFS(出库单!$J$4:$J$4003,出库单!$D$4:$D$4003,$A1046,出库单!$K$4:$K$4003,"退货给供应商",出库单!$U$4:$U$4003,"正常",出库单!$C$4:$C$4003,"&gt;="&amp;账期起,出库单!$C$4:$C$4003,"&lt;="&amp;账期止))</f>
        <v/>
      </c>
      <c r="W1046" s="26">
        <f>IF($A1046="","",ROUND(SUMIFS(出库单!$S$4:$S$4003,出库单!$D$4:$D$4003,$A1046,出库单!$K$4:$K$4003,"退货给供应商",出库单!$U$4:$U$4003,"正常",出库单!$C$4:$C$4003,"&gt;="&amp;账期起,出库单!$C$4:$C$4003,"&lt;="&amp;账期止),0))</f>
        <v/>
      </c>
      <c r="X1046" s="27">
        <f>IF($A1046="","",ROUND(N($G1046)+$I1046+$L1046+$N1046-$P1046-$R1046-$T1046-$V1046,3))</f>
        <v/>
      </c>
      <c r="Y1046" s="26">
        <f>IF($A1046="","",ROUND(N($H1046)+$J1046+$M1046+$O1046-$Q1046-$S1046-$U1046-$W1046,0))</f>
        <v/>
      </c>
      <c r="Z1046" s="24">
        <f>IF($A1046="","",IF(COUNTIFS(入库单!$G$4:$G$2503,$A1046,入库单!$Y$4:$Y$2503,"待补价")+COUNTIFS(入库单!$G$4:$G$2503,$A1046,入库单!$Y$4:$Y$2503,"暂估")&gt;0,"不可信","可信"))</f>
        <v/>
      </c>
      <c r="AA1046" s="24">
        <f>IF($A1046="","",IF($X1046&lt;-0.001,"※账面负库存，查一下是不是漏记入库",IF(AND(ROUND($X1046,3)=0,ABS($Y1046)&gt;1),"※数量已经是 0，金额还挂着 "&amp;TEXT($Y1046,"#,##0")&amp;" 先令",IF(AND($X1046&gt;0,$Y1046&lt;=0,$K1046=0),"※有数量没金额（这个物料一直没填过进价）",IF($Z1046="不可信","△成本含待补价/暂估，毛利仅供参考","")))))</f>
        <v/>
      </c>
    </row>
    <row r="1047">
      <c r="A1047" s="24">
        <f>IF(物料档案!$A1046="","",物料档案!$A1046)</f>
        <v/>
      </c>
      <c r="B1047" s="24">
        <f>IF($A1047="","",IFERROR(VLOOKUP($A1047,物料档案!$A$4:$P$1203,3,0),""))</f>
        <v/>
      </c>
      <c r="C1047" s="24">
        <f>IF($A1047="","",IFERROR(VLOOKUP($A1047,物料档案!$A$4:$P$1203,4,0),""))</f>
        <v/>
      </c>
      <c r="D1047" s="24">
        <f>IF($A1047="","",IFERROR(VLOOKUP($A1047,物料档案!$A$4:$P$1203,5,0),""))</f>
        <v/>
      </c>
      <c r="E1047" s="24">
        <f>IF($A1047="","",IFERROR(VLOOKUP($A1047,物料档案!$A$4:$P$1203,2,0),""))</f>
        <v/>
      </c>
      <c r="F1047" s="24">
        <f>IF($A1047="","",IFERROR(VLOOKUP($A1047,物料档案!$A$4:$P$1203,6,0),""))</f>
        <v/>
      </c>
      <c r="G1047" s="23" t="n"/>
      <c r="H1047" s="32" t="n"/>
      <c r="I1047" s="27">
        <f>IF($A1047="","",SUMIFS(入库单!$K$4:$K$2503,入库单!$G$4:$G$2503,$A1047,入库单!$X$4:$X$2503,"采购入库",入库单!$Z$4:$Z$2503,"正常",入库单!$C$4:$C$2503,"&gt;="&amp;账期起,入库单!$C$4:$C$2503,"&lt;="&amp;账期止))</f>
        <v/>
      </c>
      <c r="J1047" s="26">
        <f>IF($A1047="","",SUMIFS(入库单!$V$4:$V$2503,入库单!$G$4:$G$2503,$A1047,入库单!$X$4:$X$2503,"采购入库",入库单!$Z$4:$Z$2503,"正常",入库单!$C$4:$C$2503,"&gt;="&amp;账期起,入库单!$C$4:$C$2503,"&lt;="&amp;账期止))</f>
        <v/>
      </c>
      <c r="K1047" s="26">
        <f>IF($A1047="","",IFERROR(ROUND((N($H1047)+N($J1047))/(N($G1047)+N($I1047)),2),0))</f>
        <v/>
      </c>
      <c r="L1047" s="27">
        <f>IF($A1047="","",SUMIFS(入库单!$K$4:$K$2503,入库单!$G$4:$G$2503,$A1047,入库单!$X$4:$X$2503,"盘盈",入库单!$Z$4:$Z$2503,"正常",入库单!$C$4:$C$2503,"&gt;="&amp;账期起,入库单!$C$4:$C$2503,"&lt;="&amp;账期止))</f>
        <v/>
      </c>
      <c r="M1047" s="26">
        <f>IF($A1047="","",ROUND($L1047*$K1047,0))</f>
        <v/>
      </c>
      <c r="N1047" s="27">
        <f>IF($A1047="","",SUMIFS(入库单!$K$4:$K$2503,入库单!$G$4:$G$2503,$A1047,入库单!$X$4:$X$2503,"矿区退库",入库单!$Z$4:$Z$2503,"正常",入库单!$C$4:$C$2503,"&gt;="&amp;账期起,入库单!$C$4:$C$2503,"&lt;="&amp;账期止))</f>
        <v/>
      </c>
      <c r="O1047" s="26">
        <f>IF($A1047="","",ROUND($N1047*$K1047,0))</f>
        <v/>
      </c>
      <c r="P1047" s="27">
        <f>IF($A1047="","",SUMIFS(出库单!$J$4:$J$4003,出库单!$D$4:$D$4003,$A1047,出库单!$K$4:$K$4003,"自用消耗",出库单!$U$4:$U$4003,"正常",出库单!$C$4:$C$4003,"&gt;="&amp;账期起,出库单!$C$4:$C$4003,"&lt;="&amp;账期止))</f>
        <v/>
      </c>
      <c r="Q1047" s="26">
        <f>IF($A1047="","",ROUND(SUMIFS(出库单!$S$4:$S$4003,出库单!$D$4:$D$4003,$A1047,出库单!$K$4:$K$4003,"自用消耗",出库单!$U$4:$U$4003,"正常",出库单!$C$4:$C$4003,"&gt;="&amp;账期起,出库单!$C$4:$C$4003,"&lt;="&amp;账期止),0))</f>
        <v/>
      </c>
      <c r="R1047" s="27">
        <f>IF($A1047="","",SUMIFS(出库单!$J$4:$J$4003,出库单!$D$4:$D$4003,$A1047,出库单!$K$4:$K$4003,"对外销售",出库单!$U$4:$U$4003,"正常",出库单!$C$4:$C$4003,"&gt;="&amp;账期起,出库单!$C$4:$C$4003,"&lt;="&amp;账期止))</f>
        <v/>
      </c>
      <c r="S1047" s="26">
        <f>IF($A1047="","",ROUND(SUMIFS(出库单!$S$4:$S$4003,出库单!$D$4:$D$4003,$A1047,出库单!$K$4:$K$4003,"对外销售",出库单!$U$4:$U$4003,"正常",出库单!$C$4:$C$4003,"&gt;="&amp;账期起,出库单!$C$4:$C$4003,"&lt;="&amp;账期止),0))</f>
        <v/>
      </c>
      <c r="T1047" s="27">
        <f>IF($A1047="","",SUMIFS(出库单!$J$4:$J$4003,出库单!$D$4:$D$4003,$A1047,出库单!$K$4:$K$4003,"盘亏",出库单!$U$4:$U$4003,"正常",出库单!$C$4:$C$4003,"&gt;="&amp;账期起,出库单!$C$4:$C$4003,"&lt;="&amp;账期止))</f>
        <v/>
      </c>
      <c r="U1047" s="26">
        <f>IF($A1047="","",ROUND(SUMIFS(出库单!$S$4:$S$4003,出库单!$D$4:$D$4003,$A1047,出库单!$K$4:$K$4003,"盘亏",出库单!$U$4:$U$4003,"正常",出库单!$C$4:$C$4003,"&gt;="&amp;账期起,出库单!$C$4:$C$4003,"&lt;="&amp;账期止),0))</f>
        <v/>
      </c>
      <c r="V1047" s="27">
        <f>IF($A1047="","",SUMIFS(出库单!$J$4:$J$4003,出库单!$D$4:$D$4003,$A1047,出库单!$K$4:$K$4003,"退货给供应商",出库单!$U$4:$U$4003,"正常",出库单!$C$4:$C$4003,"&gt;="&amp;账期起,出库单!$C$4:$C$4003,"&lt;="&amp;账期止))</f>
        <v/>
      </c>
      <c r="W1047" s="26">
        <f>IF($A1047="","",ROUND(SUMIFS(出库单!$S$4:$S$4003,出库单!$D$4:$D$4003,$A1047,出库单!$K$4:$K$4003,"退货给供应商",出库单!$U$4:$U$4003,"正常",出库单!$C$4:$C$4003,"&gt;="&amp;账期起,出库单!$C$4:$C$4003,"&lt;="&amp;账期止),0))</f>
        <v/>
      </c>
      <c r="X1047" s="27">
        <f>IF($A1047="","",ROUND(N($G1047)+$I1047+$L1047+$N1047-$P1047-$R1047-$T1047-$V1047,3))</f>
        <v/>
      </c>
      <c r="Y1047" s="26">
        <f>IF($A1047="","",ROUND(N($H1047)+$J1047+$M1047+$O1047-$Q1047-$S1047-$U1047-$W1047,0))</f>
        <v/>
      </c>
      <c r="Z1047" s="24">
        <f>IF($A1047="","",IF(COUNTIFS(入库单!$G$4:$G$2503,$A1047,入库单!$Y$4:$Y$2503,"待补价")+COUNTIFS(入库单!$G$4:$G$2503,$A1047,入库单!$Y$4:$Y$2503,"暂估")&gt;0,"不可信","可信"))</f>
        <v/>
      </c>
      <c r="AA1047" s="24">
        <f>IF($A1047="","",IF($X1047&lt;-0.001,"※账面负库存，查一下是不是漏记入库",IF(AND(ROUND($X1047,3)=0,ABS($Y1047)&gt;1),"※数量已经是 0，金额还挂着 "&amp;TEXT($Y1047,"#,##0")&amp;" 先令",IF(AND($X1047&gt;0,$Y1047&lt;=0,$K1047=0),"※有数量没金额（这个物料一直没填过进价）",IF($Z1047="不可信","△成本含待补价/暂估，毛利仅供参考","")))))</f>
        <v/>
      </c>
    </row>
    <row r="1048">
      <c r="A1048" s="24">
        <f>IF(物料档案!$A1047="","",物料档案!$A1047)</f>
        <v/>
      </c>
      <c r="B1048" s="24">
        <f>IF($A1048="","",IFERROR(VLOOKUP($A1048,物料档案!$A$4:$P$1203,3,0),""))</f>
        <v/>
      </c>
      <c r="C1048" s="24">
        <f>IF($A1048="","",IFERROR(VLOOKUP($A1048,物料档案!$A$4:$P$1203,4,0),""))</f>
        <v/>
      </c>
      <c r="D1048" s="24">
        <f>IF($A1048="","",IFERROR(VLOOKUP($A1048,物料档案!$A$4:$P$1203,5,0),""))</f>
        <v/>
      </c>
      <c r="E1048" s="24">
        <f>IF($A1048="","",IFERROR(VLOOKUP($A1048,物料档案!$A$4:$P$1203,2,0),""))</f>
        <v/>
      </c>
      <c r="F1048" s="24">
        <f>IF($A1048="","",IFERROR(VLOOKUP($A1048,物料档案!$A$4:$P$1203,6,0),""))</f>
        <v/>
      </c>
      <c r="G1048" s="23" t="n"/>
      <c r="H1048" s="32" t="n"/>
      <c r="I1048" s="27">
        <f>IF($A1048="","",SUMIFS(入库单!$K$4:$K$2503,入库单!$G$4:$G$2503,$A1048,入库单!$X$4:$X$2503,"采购入库",入库单!$Z$4:$Z$2503,"正常",入库单!$C$4:$C$2503,"&gt;="&amp;账期起,入库单!$C$4:$C$2503,"&lt;="&amp;账期止))</f>
        <v/>
      </c>
      <c r="J1048" s="26">
        <f>IF($A1048="","",SUMIFS(入库单!$V$4:$V$2503,入库单!$G$4:$G$2503,$A1048,入库单!$X$4:$X$2503,"采购入库",入库单!$Z$4:$Z$2503,"正常",入库单!$C$4:$C$2503,"&gt;="&amp;账期起,入库单!$C$4:$C$2503,"&lt;="&amp;账期止))</f>
        <v/>
      </c>
      <c r="K1048" s="26">
        <f>IF($A1048="","",IFERROR(ROUND((N($H1048)+N($J1048))/(N($G1048)+N($I1048)),2),0))</f>
        <v/>
      </c>
      <c r="L1048" s="27">
        <f>IF($A1048="","",SUMIFS(入库单!$K$4:$K$2503,入库单!$G$4:$G$2503,$A1048,入库单!$X$4:$X$2503,"盘盈",入库单!$Z$4:$Z$2503,"正常",入库单!$C$4:$C$2503,"&gt;="&amp;账期起,入库单!$C$4:$C$2503,"&lt;="&amp;账期止))</f>
        <v/>
      </c>
      <c r="M1048" s="26">
        <f>IF($A1048="","",ROUND($L1048*$K1048,0))</f>
        <v/>
      </c>
      <c r="N1048" s="27">
        <f>IF($A1048="","",SUMIFS(入库单!$K$4:$K$2503,入库单!$G$4:$G$2503,$A1048,入库单!$X$4:$X$2503,"矿区退库",入库单!$Z$4:$Z$2503,"正常",入库单!$C$4:$C$2503,"&gt;="&amp;账期起,入库单!$C$4:$C$2503,"&lt;="&amp;账期止))</f>
        <v/>
      </c>
      <c r="O1048" s="26">
        <f>IF($A1048="","",ROUND($N1048*$K1048,0))</f>
        <v/>
      </c>
      <c r="P1048" s="27">
        <f>IF($A1048="","",SUMIFS(出库单!$J$4:$J$4003,出库单!$D$4:$D$4003,$A1048,出库单!$K$4:$K$4003,"自用消耗",出库单!$U$4:$U$4003,"正常",出库单!$C$4:$C$4003,"&gt;="&amp;账期起,出库单!$C$4:$C$4003,"&lt;="&amp;账期止))</f>
        <v/>
      </c>
      <c r="Q1048" s="26">
        <f>IF($A1048="","",ROUND(SUMIFS(出库单!$S$4:$S$4003,出库单!$D$4:$D$4003,$A1048,出库单!$K$4:$K$4003,"自用消耗",出库单!$U$4:$U$4003,"正常",出库单!$C$4:$C$4003,"&gt;="&amp;账期起,出库单!$C$4:$C$4003,"&lt;="&amp;账期止),0))</f>
        <v/>
      </c>
      <c r="R1048" s="27">
        <f>IF($A1048="","",SUMIFS(出库单!$J$4:$J$4003,出库单!$D$4:$D$4003,$A1048,出库单!$K$4:$K$4003,"对外销售",出库单!$U$4:$U$4003,"正常",出库单!$C$4:$C$4003,"&gt;="&amp;账期起,出库单!$C$4:$C$4003,"&lt;="&amp;账期止))</f>
        <v/>
      </c>
      <c r="S1048" s="26">
        <f>IF($A1048="","",ROUND(SUMIFS(出库单!$S$4:$S$4003,出库单!$D$4:$D$4003,$A1048,出库单!$K$4:$K$4003,"对外销售",出库单!$U$4:$U$4003,"正常",出库单!$C$4:$C$4003,"&gt;="&amp;账期起,出库单!$C$4:$C$4003,"&lt;="&amp;账期止),0))</f>
        <v/>
      </c>
      <c r="T1048" s="27">
        <f>IF($A1048="","",SUMIFS(出库单!$J$4:$J$4003,出库单!$D$4:$D$4003,$A1048,出库单!$K$4:$K$4003,"盘亏",出库单!$U$4:$U$4003,"正常",出库单!$C$4:$C$4003,"&gt;="&amp;账期起,出库单!$C$4:$C$4003,"&lt;="&amp;账期止))</f>
        <v/>
      </c>
      <c r="U1048" s="26">
        <f>IF($A1048="","",ROUND(SUMIFS(出库单!$S$4:$S$4003,出库单!$D$4:$D$4003,$A1048,出库单!$K$4:$K$4003,"盘亏",出库单!$U$4:$U$4003,"正常",出库单!$C$4:$C$4003,"&gt;="&amp;账期起,出库单!$C$4:$C$4003,"&lt;="&amp;账期止),0))</f>
        <v/>
      </c>
      <c r="V1048" s="27">
        <f>IF($A1048="","",SUMIFS(出库单!$J$4:$J$4003,出库单!$D$4:$D$4003,$A1048,出库单!$K$4:$K$4003,"退货给供应商",出库单!$U$4:$U$4003,"正常",出库单!$C$4:$C$4003,"&gt;="&amp;账期起,出库单!$C$4:$C$4003,"&lt;="&amp;账期止))</f>
        <v/>
      </c>
      <c r="W1048" s="26">
        <f>IF($A1048="","",ROUND(SUMIFS(出库单!$S$4:$S$4003,出库单!$D$4:$D$4003,$A1048,出库单!$K$4:$K$4003,"退货给供应商",出库单!$U$4:$U$4003,"正常",出库单!$C$4:$C$4003,"&gt;="&amp;账期起,出库单!$C$4:$C$4003,"&lt;="&amp;账期止),0))</f>
        <v/>
      </c>
      <c r="X1048" s="27">
        <f>IF($A1048="","",ROUND(N($G1048)+$I1048+$L1048+$N1048-$P1048-$R1048-$T1048-$V1048,3))</f>
        <v/>
      </c>
      <c r="Y1048" s="26">
        <f>IF($A1048="","",ROUND(N($H1048)+$J1048+$M1048+$O1048-$Q1048-$S1048-$U1048-$W1048,0))</f>
        <v/>
      </c>
      <c r="Z1048" s="24">
        <f>IF($A1048="","",IF(COUNTIFS(入库单!$G$4:$G$2503,$A1048,入库单!$Y$4:$Y$2503,"待补价")+COUNTIFS(入库单!$G$4:$G$2503,$A1048,入库单!$Y$4:$Y$2503,"暂估")&gt;0,"不可信","可信"))</f>
        <v/>
      </c>
      <c r="AA1048" s="24">
        <f>IF($A1048="","",IF($X1048&lt;-0.001,"※账面负库存，查一下是不是漏记入库",IF(AND(ROUND($X1048,3)=0,ABS($Y1048)&gt;1),"※数量已经是 0，金额还挂着 "&amp;TEXT($Y1048,"#,##0")&amp;" 先令",IF(AND($X1048&gt;0,$Y1048&lt;=0,$K1048=0),"※有数量没金额（这个物料一直没填过进价）",IF($Z1048="不可信","△成本含待补价/暂估，毛利仅供参考","")))))</f>
        <v/>
      </c>
    </row>
    <row r="1049">
      <c r="A1049" s="24">
        <f>IF(物料档案!$A1048="","",物料档案!$A1048)</f>
        <v/>
      </c>
      <c r="B1049" s="24">
        <f>IF($A1049="","",IFERROR(VLOOKUP($A1049,物料档案!$A$4:$P$1203,3,0),""))</f>
        <v/>
      </c>
      <c r="C1049" s="24">
        <f>IF($A1049="","",IFERROR(VLOOKUP($A1049,物料档案!$A$4:$P$1203,4,0),""))</f>
        <v/>
      </c>
      <c r="D1049" s="24">
        <f>IF($A1049="","",IFERROR(VLOOKUP($A1049,物料档案!$A$4:$P$1203,5,0),""))</f>
        <v/>
      </c>
      <c r="E1049" s="24">
        <f>IF($A1049="","",IFERROR(VLOOKUP($A1049,物料档案!$A$4:$P$1203,2,0),""))</f>
        <v/>
      </c>
      <c r="F1049" s="24">
        <f>IF($A1049="","",IFERROR(VLOOKUP($A1049,物料档案!$A$4:$P$1203,6,0),""))</f>
        <v/>
      </c>
      <c r="G1049" s="23" t="n"/>
      <c r="H1049" s="32" t="n"/>
      <c r="I1049" s="27">
        <f>IF($A1049="","",SUMIFS(入库单!$K$4:$K$2503,入库单!$G$4:$G$2503,$A1049,入库单!$X$4:$X$2503,"采购入库",入库单!$Z$4:$Z$2503,"正常",入库单!$C$4:$C$2503,"&gt;="&amp;账期起,入库单!$C$4:$C$2503,"&lt;="&amp;账期止))</f>
        <v/>
      </c>
      <c r="J1049" s="26">
        <f>IF($A1049="","",SUMIFS(入库单!$V$4:$V$2503,入库单!$G$4:$G$2503,$A1049,入库单!$X$4:$X$2503,"采购入库",入库单!$Z$4:$Z$2503,"正常",入库单!$C$4:$C$2503,"&gt;="&amp;账期起,入库单!$C$4:$C$2503,"&lt;="&amp;账期止))</f>
        <v/>
      </c>
      <c r="K1049" s="26">
        <f>IF($A1049="","",IFERROR(ROUND((N($H1049)+N($J1049))/(N($G1049)+N($I1049)),2),0))</f>
        <v/>
      </c>
      <c r="L1049" s="27">
        <f>IF($A1049="","",SUMIFS(入库单!$K$4:$K$2503,入库单!$G$4:$G$2503,$A1049,入库单!$X$4:$X$2503,"盘盈",入库单!$Z$4:$Z$2503,"正常",入库单!$C$4:$C$2503,"&gt;="&amp;账期起,入库单!$C$4:$C$2503,"&lt;="&amp;账期止))</f>
        <v/>
      </c>
      <c r="M1049" s="26">
        <f>IF($A1049="","",ROUND($L1049*$K1049,0))</f>
        <v/>
      </c>
      <c r="N1049" s="27">
        <f>IF($A1049="","",SUMIFS(入库单!$K$4:$K$2503,入库单!$G$4:$G$2503,$A1049,入库单!$X$4:$X$2503,"矿区退库",入库单!$Z$4:$Z$2503,"正常",入库单!$C$4:$C$2503,"&gt;="&amp;账期起,入库单!$C$4:$C$2503,"&lt;="&amp;账期止))</f>
        <v/>
      </c>
      <c r="O1049" s="26">
        <f>IF($A1049="","",ROUND($N1049*$K1049,0))</f>
        <v/>
      </c>
      <c r="P1049" s="27">
        <f>IF($A1049="","",SUMIFS(出库单!$J$4:$J$4003,出库单!$D$4:$D$4003,$A1049,出库单!$K$4:$K$4003,"自用消耗",出库单!$U$4:$U$4003,"正常",出库单!$C$4:$C$4003,"&gt;="&amp;账期起,出库单!$C$4:$C$4003,"&lt;="&amp;账期止))</f>
        <v/>
      </c>
      <c r="Q1049" s="26">
        <f>IF($A1049="","",ROUND(SUMIFS(出库单!$S$4:$S$4003,出库单!$D$4:$D$4003,$A1049,出库单!$K$4:$K$4003,"自用消耗",出库单!$U$4:$U$4003,"正常",出库单!$C$4:$C$4003,"&gt;="&amp;账期起,出库单!$C$4:$C$4003,"&lt;="&amp;账期止),0))</f>
        <v/>
      </c>
      <c r="R1049" s="27">
        <f>IF($A1049="","",SUMIFS(出库单!$J$4:$J$4003,出库单!$D$4:$D$4003,$A1049,出库单!$K$4:$K$4003,"对外销售",出库单!$U$4:$U$4003,"正常",出库单!$C$4:$C$4003,"&gt;="&amp;账期起,出库单!$C$4:$C$4003,"&lt;="&amp;账期止))</f>
        <v/>
      </c>
      <c r="S1049" s="26">
        <f>IF($A1049="","",ROUND(SUMIFS(出库单!$S$4:$S$4003,出库单!$D$4:$D$4003,$A1049,出库单!$K$4:$K$4003,"对外销售",出库单!$U$4:$U$4003,"正常",出库单!$C$4:$C$4003,"&gt;="&amp;账期起,出库单!$C$4:$C$4003,"&lt;="&amp;账期止),0))</f>
        <v/>
      </c>
      <c r="T1049" s="27">
        <f>IF($A1049="","",SUMIFS(出库单!$J$4:$J$4003,出库单!$D$4:$D$4003,$A1049,出库单!$K$4:$K$4003,"盘亏",出库单!$U$4:$U$4003,"正常",出库单!$C$4:$C$4003,"&gt;="&amp;账期起,出库单!$C$4:$C$4003,"&lt;="&amp;账期止))</f>
        <v/>
      </c>
      <c r="U1049" s="26">
        <f>IF($A1049="","",ROUND(SUMIFS(出库单!$S$4:$S$4003,出库单!$D$4:$D$4003,$A1049,出库单!$K$4:$K$4003,"盘亏",出库单!$U$4:$U$4003,"正常",出库单!$C$4:$C$4003,"&gt;="&amp;账期起,出库单!$C$4:$C$4003,"&lt;="&amp;账期止),0))</f>
        <v/>
      </c>
      <c r="V1049" s="27">
        <f>IF($A1049="","",SUMIFS(出库单!$J$4:$J$4003,出库单!$D$4:$D$4003,$A1049,出库单!$K$4:$K$4003,"退货给供应商",出库单!$U$4:$U$4003,"正常",出库单!$C$4:$C$4003,"&gt;="&amp;账期起,出库单!$C$4:$C$4003,"&lt;="&amp;账期止))</f>
        <v/>
      </c>
      <c r="W1049" s="26">
        <f>IF($A1049="","",ROUND(SUMIFS(出库单!$S$4:$S$4003,出库单!$D$4:$D$4003,$A1049,出库单!$K$4:$K$4003,"退货给供应商",出库单!$U$4:$U$4003,"正常",出库单!$C$4:$C$4003,"&gt;="&amp;账期起,出库单!$C$4:$C$4003,"&lt;="&amp;账期止),0))</f>
        <v/>
      </c>
      <c r="X1049" s="27">
        <f>IF($A1049="","",ROUND(N($G1049)+$I1049+$L1049+$N1049-$P1049-$R1049-$T1049-$V1049,3))</f>
        <v/>
      </c>
      <c r="Y1049" s="26">
        <f>IF($A1049="","",ROUND(N($H1049)+$J1049+$M1049+$O1049-$Q1049-$S1049-$U1049-$W1049,0))</f>
        <v/>
      </c>
      <c r="Z1049" s="24">
        <f>IF($A1049="","",IF(COUNTIFS(入库单!$G$4:$G$2503,$A1049,入库单!$Y$4:$Y$2503,"待补价")+COUNTIFS(入库单!$G$4:$G$2503,$A1049,入库单!$Y$4:$Y$2503,"暂估")&gt;0,"不可信","可信"))</f>
        <v/>
      </c>
      <c r="AA1049" s="24">
        <f>IF($A1049="","",IF($X1049&lt;-0.001,"※账面负库存，查一下是不是漏记入库",IF(AND(ROUND($X1049,3)=0,ABS($Y1049)&gt;1),"※数量已经是 0，金额还挂着 "&amp;TEXT($Y1049,"#,##0")&amp;" 先令",IF(AND($X1049&gt;0,$Y1049&lt;=0,$K1049=0),"※有数量没金额（这个物料一直没填过进价）",IF($Z1049="不可信","△成本含待补价/暂估，毛利仅供参考","")))))</f>
        <v/>
      </c>
    </row>
    <row r="1050">
      <c r="A1050" s="24">
        <f>IF(物料档案!$A1049="","",物料档案!$A1049)</f>
        <v/>
      </c>
      <c r="B1050" s="24">
        <f>IF($A1050="","",IFERROR(VLOOKUP($A1050,物料档案!$A$4:$P$1203,3,0),""))</f>
        <v/>
      </c>
      <c r="C1050" s="24">
        <f>IF($A1050="","",IFERROR(VLOOKUP($A1050,物料档案!$A$4:$P$1203,4,0),""))</f>
        <v/>
      </c>
      <c r="D1050" s="24">
        <f>IF($A1050="","",IFERROR(VLOOKUP($A1050,物料档案!$A$4:$P$1203,5,0),""))</f>
        <v/>
      </c>
      <c r="E1050" s="24">
        <f>IF($A1050="","",IFERROR(VLOOKUP($A1050,物料档案!$A$4:$P$1203,2,0),""))</f>
        <v/>
      </c>
      <c r="F1050" s="24">
        <f>IF($A1050="","",IFERROR(VLOOKUP($A1050,物料档案!$A$4:$P$1203,6,0),""))</f>
        <v/>
      </c>
      <c r="G1050" s="23" t="n"/>
      <c r="H1050" s="32" t="n"/>
      <c r="I1050" s="27">
        <f>IF($A1050="","",SUMIFS(入库单!$K$4:$K$2503,入库单!$G$4:$G$2503,$A1050,入库单!$X$4:$X$2503,"采购入库",入库单!$Z$4:$Z$2503,"正常",入库单!$C$4:$C$2503,"&gt;="&amp;账期起,入库单!$C$4:$C$2503,"&lt;="&amp;账期止))</f>
        <v/>
      </c>
      <c r="J1050" s="26">
        <f>IF($A1050="","",SUMIFS(入库单!$V$4:$V$2503,入库单!$G$4:$G$2503,$A1050,入库单!$X$4:$X$2503,"采购入库",入库单!$Z$4:$Z$2503,"正常",入库单!$C$4:$C$2503,"&gt;="&amp;账期起,入库单!$C$4:$C$2503,"&lt;="&amp;账期止))</f>
        <v/>
      </c>
      <c r="K1050" s="26">
        <f>IF($A1050="","",IFERROR(ROUND((N($H1050)+N($J1050))/(N($G1050)+N($I1050)),2),0))</f>
        <v/>
      </c>
      <c r="L1050" s="27">
        <f>IF($A1050="","",SUMIFS(入库单!$K$4:$K$2503,入库单!$G$4:$G$2503,$A1050,入库单!$X$4:$X$2503,"盘盈",入库单!$Z$4:$Z$2503,"正常",入库单!$C$4:$C$2503,"&gt;="&amp;账期起,入库单!$C$4:$C$2503,"&lt;="&amp;账期止))</f>
        <v/>
      </c>
      <c r="M1050" s="26">
        <f>IF($A1050="","",ROUND($L1050*$K1050,0))</f>
        <v/>
      </c>
      <c r="N1050" s="27">
        <f>IF($A1050="","",SUMIFS(入库单!$K$4:$K$2503,入库单!$G$4:$G$2503,$A1050,入库单!$X$4:$X$2503,"矿区退库",入库单!$Z$4:$Z$2503,"正常",入库单!$C$4:$C$2503,"&gt;="&amp;账期起,入库单!$C$4:$C$2503,"&lt;="&amp;账期止))</f>
        <v/>
      </c>
      <c r="O1050" s="26">
        <f>IF($A1050="","",ROUND($N1050*$K1050,0))</f>
        <v/>
      </c>
      <c r="P1050" s="27">
        <f>IF($A1050="","",SUMIFS(出库单!$J$4:$J$4003,出库单!$D$4:$D$4003,$A1050,出库单!$K$4:$K$4003,"自用消耗",出库单!$U$4:$U$4003,"正常",出库单!$C$4:$C$4003,"&gt;="&amp;账期起,出库单!$C$4:$C$4003,"&lt;="&amp;账期止))</f>
        <v/>
      </c>
      <c r="Q1050" s="26">
        <f>IF($A1050="","",ROUND(SUMIFS(出库单!$S$4:$S$4003,出库单!$D$4:$D$4003,$A1050,出库单!$K$4:$K$4003,"自用消耗",出库单!$U$4:$U$4003,"正常",出库单!$C$4:$C$4003,"&gt;="&amp;账期起,出库单!$C$4:$C$4003,"&lt;="&amp;账期止),0))</f>
        <v/>
      </c>
      <c r="R1050" s="27">
        <f>IF($A1050="","",SUMIFS(出库单!$J$4:$J$4003,出库单!$D$4:$D$4003,$A1050,出库单!$K$4:$K$4003,"对外销售",出库单!$U$4:$U$4003,"正常",出库单!$C$4:$C$4003,"&gt;="&amp;账期起,出库单!$C$4:$C$4003,"&lt;="&amp;账期止))</f>
        <v/>
      </c>
      <c r="S1050" s="26">
        <f>IF($A1050="","",ROUND(SUMIFS(出库单!$S$4:$S$4003,出库单!$D$4:$D$4003,$A1050,出库单!$K$4:$K$4003,"对外销售",出库单!$U$4:$U$4003,"正常",出库单!$C$4:$C$4003,"&gt;="&amp;账期起,出库单!$C$4:$C$4003,"&lt;="&amp;账期止),0))</f>
        <v/>
      </c>
      <c r="T1050" s="27">
        <f>IF($A1050="","",SUMIFS(出库单!$J$4:$J$4003,出库单!$D$4:$D$4003,$A1050,出库单!$K$4:$K$4003,"盘亏",出库单!$U$4:$U$4003,"正常",出库单!$C$4:$C$4003,"&gt;="&amp;账期起,出库单!$C$4:$C$4003,"&lt;="&amp;账期止))</f>
        <v/>
      </c>
      <c r="U1050" s="26">
        <f>IF($A1050="","",ROUND(SUMIFS(出库单!$S$4:$S$4003,出库单!$D$4:$D$4003,$A1050,出库单!$K$4:$K$4003,"盘亏",出库单!$U$4:$U$4003,"正常",出库单!$C$4:$C$4003,"&gt;="&amp;账期起,出库单!$C$4:$C$4003,"&lt;="&amp;账期止),0))</f>
        <v/>
      </c>
      <c r="V1050" s="27">
        <f>IF($A1050="","",SUMIFS(出库单!$J$4:$J$4003,出库单!$D$4:$D$4003,$A1050,出库单!$K$4:$K$4003,"退货给供应商",出库单!$U$4:$U$4003,"正常",出库单!$C$4:$C$4003,"&gt;="&amp;账期起,出库单!$C$4:$C$4003,"&lt;="&amp;账期止))</f>
        <v/>
      </c>
      <c r="W1050" s="26">
        <f>IF($A1050="","",ROUND(SUMIFS(出库单!$S$4:$S$4003,出库单!$D$4:$D$4003,$A1050,出库单!$K$4:$K$4003,"退货给供应商",出库单!$U$4:$U$4003,"正常",出库单!$C$4:$C$4003,"&gt;="&amp;账期起,出库单!$C$4:$C$4003,"&lt;="&amp;账期止),0))</f>
        <v/>
      </c>
      <c r="X1050" s="27">
        <f>IF($A1050="","",ROUND(N($G1050)+$I1050+$L1050+$N1050-$P1050-$R1050-$T1050-$V1050,3))</f>
        <v/>
      </c>
      <c r="Y1050" s="26">
        <f>IF($A1050="","",ROUND(N($H1050)+$J1050+$M1050+$O1050-$Q1050-$S1050-$U1050-$W1050,0))</f>
        <v/>
      </c>
      <c r="Z1050" s="24">
        <f>IF($A1050="","",IF(COUNTIFS(入库单!$G$4:$G$2503,$A1050,入库单!$Y$4:$Y$2503,"待补价")+COUNTIFS(入库单!$G$4:$G$2503,$A1050,入库单!$Y$4:$Y$2503,"暂估")&gt;0,"不可信","可信"))</f>
        <v/>
      </c>
      <c r="AA1050" s="24">
        <f>IF($A1050="","",IF($X1050&lt;-0.001,"※账面负库存，查一下是不是漏记入库",IF(AND(ROUND($X1050,3)=0,ABS($Y1050)&gt;1),"※数量已经是 0，金额还挂着 "&amp;TEXT($Y1050,"#,##0")&amp;" 先令",IF(AND($X1050&gt;0,$Y1050&lt;=0,$K1050=0),"※有数量没金额（这个物料一直没填过进价）",IF($Z1050="不可信","△成本含待补价/暂估，毛利仅供参考","")))))</f>
        <v/>
      </c>
    </row>
    <row r="1051">
      <c r="A1051" s="24">
        <f>IF(物料档案!$A1050="","",物料档案!$A1050)</f>
        <v/>
      </c>
      <c r="B1051" s="24">
        <f>IF($A1051="","",IFERROR(VLOOKUP($A1051,物料档案!$A$4:$P$1203,3,0),""))</f>
        <v/>
      </c>
      <c r="C1051" s="24">
        <f>IF($A1051="","",IFERROR(VLOOKUP($A1051,物料档案!$A$4:$P$1203,4,0),""))</f>
        <v/>
      </c>
      <c r="D1051" s="24">
        <f>IF($A1051="","",IFERROR(VLOOKUP($A1051,物料档案!$A$4:$P$1203,5,0),""))</f>
        <v/>
      </c>
      <c r="E1051" s="24">
        <f>IF($A1051="","",IFERROR(VLOOKUP($A1051,物料档案!$A$4:$P$1203,2,0),""))</f>
        <v/>
      </c>
      <c r="F1051" s="24">
        <f>IF($A1051="","",IFERROR(VLOOKUP($A1051,物料档案!$A$4:$P$1203,6,0),""))</f>
        <v/>
      </c>
      <c r="G1051" s="23" t="n"/>
      <c r="H1051" s="32" t="n"/>
      <c r="I1051" s="27">
        <f>IF($A1051="","",SUMIFS(入库单!$K$4:$K$2503,入库单!$G$4:$G$2503,$A1051,入库单!$X$4:$X$2503,"采购入库",入库单!$Z$4:$Z$2503,"正常",入库单!$C$4:$C$2503,"&gt;="&amp;账期起,入库单!$C$4:$C$2503,"&lt;="&amp;账期止))</f>
        <v/>
      </c>
      <c r="J1051" s="26">
        <f>IF($A1051="","",SUMIFS(入库单!$V$4:$V$2503,入库单!$G$4:$G$2503,$A1051,入库单!$X$4:$X$2503,"采购入库",入库单!$Z$4:$Z$2503,"正常",入库单!$C$4:$C$2503,"&gt;="&amp;账期起,入库单!$C$4:$C$2503,"&lt;="&amp;账期止))</f>
        <v/>
      </c>
      <c r="K1051" s="26">
        <f>IF($A1051="","",IFERROR(ROUND((N($H1051)+N($J1051))/(N($G1051)+N($I1051)),2),0))</f>
        <v/>
      </c>
      <c r="L1051" s="27">
        <f>IF($A1051="","",SUMIFS(入库单!$K$4:$K$2503,入库单!$G$4:$G$2503,$A1051,入库单!$X$4:$X$2503,"盘盈",入库单!$Z$4:$Z$2503,"正常",入库单!$C$4:$C$2503,"&gt;="&amp;账期起,入库单!$C$4:$C$2503,"&lt;="&amp;账期止))</f>
        <v/>
      </c>
      <c r="M1051" s="26">
        <f>IF($A1051="","",ROUND($L1051*$K1051,0))</f>
        <v/>
      </c>
      <c r="N1051" s="27">
        <f>IF($A1051="","",SUMIFS(入库单!$K$4:$K$2503,入库单!$G$4:$G$2503,$A1051,入库单!$X$4:$X$2503,"矿区退库",入库单!$Z$4:$Z$2503,"正常",入库单!$C$4:$C$2503,"&gt;="&amp;账期起,入库单!$C$4:$C$2503,"&lt;="&amp;账期止))</f>
        <v/>
      </c>
      <c r="O1051" s="26">
        <f>IF($A1051="","",ROUND($N1051*$K1051,0))</f>
        <v/>
      </c>
      <c r="P1051" s="27">
        <f>IF($A1051="","",SUMIFS(出库单!$J$4:$J$4003,出库单!$D$4:$D$4003,$A1051,出库单!$K$4:$K$4003,"自用消耗",出库单!$U$4:$U$4003,"正常",出库单!$C$4:$C$4003,"&gt;="&amp;账期起,出库单!$C$4:$C$4003,"&lt;="&amp;账期止))</f>
        <v/>
      </c>
      <c r="Q1051" s="26">
        <f>IF($A1051="","",ROUND(SUMIFS(出库单!$S$4:$S$4003,出库单!$D$4:$D$4003,$A1051,出库单!$K$4:$K$4003,"自用消耗",出库单!$U$4:$U$4003,"正常",出库单!$C$4:$C$4003,"&gt;="&amp;账期起,出库单!$C$4:$C$4003,"&lt;="&amp;账期止),0))</f>
        <v/>
      </c>
      <c r="R1051" s="27">
        <f>IF($A1051="","",SUMIFS(出库单!$J$4:$J$4003,出库单!$D$4:$D$4003,$A1051,出库单!$K$4:$K$4003,"对外销售",出库单!$U$4:$U$4003,"正常",出库单!$C$4:$C$4003,"&gt;="&amp;账期起,出库单!$C$4:$C$4003,"&lt;="&amp;账期止))</f>
        <v/>
      </c>
      <c r="S1051" s="26">
        <f>IF($A1051="","",ROUND(SUMIFS(出库单!$S$4:$S$4003,出库单!$D$4:$D$4003,$A1051,出库单!$K$4:$K$4003,"对外销售",出库单!$U$4:$U$4003,"正常",出库单!$C$4:$C$4003,"&gt;="&amp;账期起,出库单!$C$4:$C$4003,"&lt;="&amp;账期止),0))</f>
        <v/>
      </c>
      <c r="T1051" s="27">
        <f>IF($A1051="","",SUMIFS(出库单!$J$4:$J$4003,出库单!$D$4:$D$4003,$A1051,出库单!$K$4:$K$4003,"盘亏",出库单!$U$4:$U$4003,"正常",出库单!$C$4:$C$4003,"&gt;="&amp;账期起,出库单!$C$4:$C$4003,"&lt;="&amp;账期止))</f>
        <v/>
      </c>
      <c r="U1051" s="26">
        <f>IF($A1051="","",ROUND(SUMIFS(出库单!$S$4:$S$4003,出库单!$D$4:$D$4003,$A1051,出库单!$K$4:$K$4003,"盘亏",出库单!$U$4:$U$4003,"正常",出库单!$C$4:$C$4003,"&gt;="&amp;账期起,出库单!$C$4:$C$4003,"&lt;="&amp;账期止),0))</f>
        <v/>
      </c>
      <c r="V1051" s="27">
        <f>IF($A1051="","",SUMIFS(出库单!$J$4:$J$4003,出库单!$D$4:$D$4003,$A1051,出库单!$K$4:$K$4003,"退货给供应商",出库单!$U$4:$U$4003,"正常",出库单!$C$4:$C$4003,"&gt;="&amp;账期起,出库单!$C$4:$C$4003,"&lt;="&amp;账期止))</f>
        <v/>
      </c>
      <c r="W1051" s="26">
        <f>IF($A1051="","",ROUND(SUMIFS(出库单!$S$4:$S$4003,出库单!$D$4:$D$4003,$A1051,出库单!$K$4:$K$4003,"退货给供应商",出库单!$U$4:$U$4003,"正常",出库单!$C$4:$C$4003,"&gt;="&amp;账期起,出库单!$C$4:$C$4003,"&lt;="&amp;账期止),0))</f>
        <v/>
      </c>
      <c r="X1051" s="27">
        <f>IF($A1051="","",ROUND(N($G1051)+$I1051+$L1051+$N1051-$P1051-$R1051-$T1051-$V1051,3))</f>
        <v/>
      </c>
      <c r="Y1051" s="26">
        <f>IF($A1051="","",ROUND(N($H1051)+$J1051+$M1051+$O1051-$Q1051-$S1051-$U1051-$W1051,0))</f>
        <v/>
      </c>
      <c r="Z1051" s="24">
        <f>IF($A1051="","",IF(COUNTIFS(入库单!$G$4:$G$2503,$A1051,入库单!$Y$4:$Y$2503,"待补价")+COUNTIFS(入库单!$G$4:$G$2503,$A1051,入库单!$Y$4:$Y$2503,"暂估")&gt;0,"不可信","可信"))</f>
        <v/>
      </c>
      <c r="AA1051" s="24">
        <f>IF($A1051="","",IF($X1051&lt;-0.001,"※账面负库存，查一下是不是漏记入库",IF(AND(ROUND($X1051,3)=0,ABS($Y1051)&gt;1),"※数量已经是 0，金额还挂着 "&amp;TEXT($Y1051,"#,##0")&amp;" 先令",IF(AND($X1051&gt;0,$Y1051&lt;=0,$K1051=0),"※有数量没金额（这个物料一直没填过进价）",IF($Z1051="不可信","△成本含待补价/暂估，毛利仅供参考","")))))</f>
        <v/>
      </c>
    </row>
    <row r="1052">
      <c r="A1052" s="24">
        <f>IF(物料档案!$A1051="","",物料档案!$A1051)</f>
        <v/>
      </c>
      <c r="B1052" s="24">
        <f>IF($A1052="","",IFERROR(VLOOKUP($A1052,物料档案!$A$4:$P$1203,3,0),""))</f>
        <v/>
      </c>
      <c r="C1052" s="24">
        <f>IF($A1052="","",IFERROR(VLOOKUP($A1052,物料档案!$A$4:$P$1203,4,0),""))</f>
        <v/>
      </c>
      <c r="D1052" s="24">
        <f>IF($A1052="","",IFERROR(VLOOKUP($A1052,物料档案!$A$4:$P$1203,5,0),""))</f>
        <v/>
      </c>
      <c r="E1052" s="24">
        <f>IF($A1052="","",IFERROR(VLOOKUP($A1052,物料档案!$A$4:$P$1203,2,0),""))</f>
        <v/>
      </c>
      <c r="F1052" s="24">
        <f>IF($A1052="","",IFERROR(VLOOKUP($A1052,物料档案!$A$4:$P$1203,6,0),""))</f>
        <v/>
      </c>
      <c r="G1052" s="23" t="n"/>
      <c r="H1052" s="32" t="n"/>
      <c r="I1052" s="27">
        <f>IF($A1052="","",SUMIFS(入库单!$K$4:$K$2503,入库单!$G$4:$G$2503,$A1052,入库单!$X$4:$X$2503,"采购入库",入库单!$Z$4:$Z$2503,"正常",入库单!$C$4:$C$2503,"&gt;="&amp;账期起,入库单!$C$4:$C$2503,"&lt;="&amp;账期止))</f>
        <v/>
      </c>
      <c r="J1052" s="26">
        <f>IF($A1052="","",SUMIFS(入库单!$V$4:$V$2503,入库单!$G$4:$G$2503,$A1052,入库单!$X$4:$X$2503,"采购入库",入库单!$Z$4:$Z$2503,"正常",入库单!$C$4:$C$2503,"&gt;="&amp;账期起,入库单!$C$4:$C$2503,"&lt;="&amp;账期止))</f>
        <v/>
      </c>
      <c r="K1052" s="26">
        <f>IF($A1052="","",IFERROR(ROUND((N($H1052)+N($J1052))/(N($G1052)+N($I1052)),2),0))</f>
        <v/>
      </c>
      <c r="L1052" s="27">
        <f>IF($A1052="","",SUMIFS(入库单!$K$4:$K$2503,入库单!$G$4:$G$2503,$A1052,入库单!$X$4:$X$2503,"盘盈",入库单!$Z$4:$Z$2503,"正常",入库单!$C$4:$C$2503,"&gt;="&amp;账期起,入库单!$C$4:$C$2503,"&lt;="&amp;账期止))</f>
        <v/>
      </c>
      <c r="M1052" s="26">
        <f>IF($A1052="","",ROUND($L1052*$K1052,0))</f>
        <v/>
      </c>
      <c r="N1052" s="27">
        <f>IF($A1052="","",SUMIFS(入库单!$K$4:$K$2503,入库单!$G$4:$G$2503,$A1052,入库单!$X$4:$X$2503,"矿区退库",入库单!$Z$4:$Z$2503,"正常",入库单!$C$4:$C$2503,"&gt;="&amp;账期起,入库单!$C$4:$C$2503,"&lt;="&amp;账期止))</f>
        <v/>
      </c>
      <c r="O1052" s="26">
        <f>IF($A1052="","",ROUND($N1052*$K1052,0))</f>
        <v/>
      </c>
      <c r="P1052" s="27">
        <f>IF($A1052="","",SUMIFS(出库单!$J$4:$J$4003,出库单!$D$4:$D$4003,$A1052,出库单!$K$4:$K$4003,"自用消耗",出库单!$U$4:$U$4003,"正常",出库单!$C$4:$C$4003,"&gt;="&amp;账期起,出库单!$C$4:$C$4003,"&lt;="&amp;账期止))</f>
        <v/>
      </c>
      <c r="Q1052" s="26">
        <f>IF($A1052="","",ROUND(SUMIFS(出库单!$S$4:$S$4003,出库单!$D$4:$D$4003,$A1052,出库单!$K$4:$K$4003,"自用消耗",出库单!$U$4:$U$4003,"正常",出库单!$C$4:$C$4003,"&gt;="&amp;账期起,出库单!$C$4:$C$4003,"&lt;="&amp;账期止),0))</f>
        <v/>
      </c>
      <c r="R1052" s="27">
        <f>IF($A1052="","",SUMIFS(出库单!$J$4:$J$4003,出库单!$D$4:$D$4003,$A1052,出库单!$K$4:$K$4003,"对外销售",出库单!$U$4:$U$4003,"正常",出库单!$C$4:$C$4003,"&gt;="&amp;账期起,出库单!$C$4:$C$4003,"&lt;="&amp;账期止))</f>
        <v/>
      </c>
      <c r="S1052" s="26">
        <f>IF($A1052="","",ROUND(SUMIFS(出库单!$S$4:$S$4003,出库单!$D$4:$D$4003,$A1052,出库单!$K$4:$K$4003,"对外销售",出库单!$U$4:$U$4003,"正常",出库单!$C$4:$C$4003,"&gt;="&amp;账期起,出库单!$C$4:$C$4003,"&lt;="&amp;账期止),0))</f>
        <v/>
      </c>
      <c r="T1052" s="27">
        <f>IF($A1052="","",SUMIFS(出库单!$J$4:$J$4003,出库单!$D$4:$D$4003,$A1052,出库单!$K$4:$K$4003,"盘亏",出库单!$U$4:$U$4003,"正常",出库单!$C$4:$C$4003,"&gt;="&amp;账期起,出库单!$C$4:$C$4003,"&lt;="&amp;账期止))</f>
        <v/>
      </c>
      <c r="U1052" s="26">
        <f>IF($A1052="","",ROUND(SUMIFS(出库单!$S$4:$S$4003,出库单!$D$4:$D$4003,$A1052,出库单!$K$4:$K$4003,"盘亏",出库单!$U$4:$U$4003,"正常",出库单!$C$4:$C$4003,"&gt;="&amp;账期起,出库单!$C$4:$C$4003,"&lt;="&amp;账期止),0))</f>
        <v/>
      </c>
      <c r="V1052" s="27">
        <f>IF($A1052="","",SUMIFS(出库单!$J$4:$J$4003,出库单!$D$4:$D$4003,$A1052,出库单!$K$4:$K$4003,"退货给供应商",出库单!$U$4:$U$4003,"正常",出库单!$C$4:$C$4003,"&gt;="&amp;账期起,出库单!$C$4:$C$4003,"&lt;="&amp;账期止))</f>
        <v/>
      </c>
      <c r="W1052" s="26">
        <f>IF($A1052="","",ROUND(SUMIFS(出库单!$S$4:$S$4003,出库单!$D$4:$D$4003,$A1052,出库单!$K$4:$K$4003,"退货给供应商",出库单!$U$4:$U$4003,"正常",出库单!$C$4:$C$4003,"&gt;="&amp;账期起,出库单!$C$4:$C$4003,"&lt;="&amp;账期止),0))</f>
        <v/>
      </c>
      <c r="X1052" s="27">
        <f>IF($A1052="","",ROUND(N($G1052)+$I1052+$L1052+$N1052-$P1052-$R1052-$T1052-$V1052,3))</f>
        <v/>
      </c>
      <c r="Y1052" s="26">
        <f>IF($A1052="","",ROUND(N($H1052)+$J1052+$M1052+$O1052-$Q1052-$S1052-$U1052-$W1052,0))</f>
        <v/>
      </c>
      <c r="Z1052" s="24">
        <f>IF($A1052="","",IF(COUNTIFS(入库单!$G$4:$G$2503,$A1052,入库单!$Y$4:$Y$2503,"待补价")+COUNTIFS(入库单!$G$4:$G$2503,$A1052,入库单!$Y$4:$Y$2503,"暂估")&gt;0,"不可信","可信"))</f>
        <v/>
      </c>
      <c r="AA1052" s="24">
        <f>IF($A1052="","",IF($X1052&lt;-0.001,"※账面负库存，查一下是不是漏记入库",IF(AND(ROUND($X1052,3)=0,ABS($Y1052)&gt;1),"※数量已经是 0，金额还挂着 "&amp;TEXT($Y1052,"#,##0")&amp;" 先令",IF(AND($X1052&gt;0,$Y1052&lt;=0,$K1052=0),"※有数量没金额（这个物料一直没填过进价）",IF($Z1052="不可信","△成本含待补价/暂估，毛利仅供参考","")))))</f>
        <v/>
      </c>
    </row>
    <row r="1053">
      <c r="A1053" s="24">
        <f>IF(物料档案!$A1052="","",物料档案!$A1052)</f>
        <v/>
      </c>
      <c r="B1053" s="24">
        <f>IF($A1053="","",IFERROR(VLOOKUP($A1053,物料档案!$A$4:$P$1203,3,0),""))</f>
        <v/>
      </c>
      <c r="C1053" s="24">
        <f>IF($A1053="","",IFERROR(VLOOKUP($A1053,物料档案!$A$4:$P$1203,4,0),""))</f>
        <v/>
      </c>
      <c r="D1053" s="24">
        <f>IF($A1053="","",IFERROR(VLOOKUP($A1053,物料档案!$A$4:$P$1203,5,0),""))</f>
        <v/>
      </c>
      <c r="E1053" s="24">
        <f>IF($A1053="","",IFERROR(VLOOKUP($A1053,物料档案!$A$4:$P$1203,2,0),""))</f>
        <v/>
      </c>
      <c r="F1053" s="24">
        <f>IF($A1053="","",IFERROR(VLOOKUP($A1053,物料档案!$A$4:$P$1203,6,0),""))</f>
        <v/>
      </c>
      <c r="G1053" s="23" t="n"/>
      <c r="H1053" s="32" t="n"/>
      <c r="I1053" s="27">
        <f>IF($A1053="","",SUMIFS(入库单!$K$4:$K$2503,入库单!$G$4:$G$2503,$A1053,入库单!$X$4:$X$2503,"采购入库",入库单!$Z$4:$Z$2503,"正常",入库单!$C$4:$C$2503,"&gt;="&amp;账期起,入库单!$C$4:$C$2503,"&lt;="&amp;账期止))</f>
        <v/>
      </c>
      <c r="J1053" s="26">
        <f>IF($A1053="","",SUMIFS(入库单!$V$4:$V$2503,入库单!$G$4:$G$2503,$A1053,入库单!$X$4:$X$2503,"采购入库",入库单!$Z$4:$Z$2503,"正常",入库单!$C$4:$C$2503,"&gt;="&amp;账期起,入库单!$C$4:$C$2503,"&lt;="&amp;账期止))</f>
        <v/>
      </c>
      <c r="K1053" s="26">
        <f>IF($A1053="","",IFERROR(ROUND((N($H1053)+N($J1053))/(N($G1053)+N($I1053)),2),0))</f>
        <v/>
      </c>
      <c r="L1053" s="27">
        <f>IF($A1053="","",SUMIFS(入库单!$K$4:$K$2503,入库单!$G$4:$G$2503,$A1053,入库单!$X$4:$X$2503,"盘盈",入库单!$Z$4:$Z$2503,"正常",入库单!$C$4:$C$2503,"&gt;="&amp;账期起,入库单!$C$4:$C$2503,"&lt;="&amp;账期止))</f>
        <v/>
      </c>
      <c r="M1053" s="26">
        <f>IF($A1053="","",ROUND($L1053*$K1053,0))</f>
        <v/>
      </c>
      <c r="N1053" s="27">
        <f>IF($A1053="","",SUMIFS(入库单!$K$4:$K$2503,入库单!$G$4:$G$2503,$A1053,入库单!$X$4:$X$2503,"矿区退库",入库单!$Z$4:$Z$2503,"正常",入库单!$C$4:$C$2503,"&gt;="&amp;账期起,入库单!$C$4:$C$2503,"&lt;="&amp;账期止))</f>
        <v/>
      </c>
      <c r="O1053" s="26">
        <f>IF($A1053="","",ROUND($N1053*$K1053,0))</f>
        <v/>
      </c>
      <c r="P1053" s="27">
        <f>IF($A1053="","",SUMIFS(出库单!$J$4:$J$4003,出库单!$D$4:$D$4003,$A1053,出库单!$K$4:$K$4003,"自用消耗",出库单!$U$4:$U$4003,"正常",出库单!$C$4:$C$4003,"&gt;="&amp;账期起,出库单!$C$4:$C$4003,"&lt;="&amp;账期止))</f>
        <v/>
      </c>
      <c r="Q1053" s="26">
        <f>IF($A1053="","",ROUND(SUMIFS(出库单!$S$4:$S$4003,出库单!$D$4:$D$4003,$A1053,出库单!$K$4:$K$4003,"自用消耗",出库单!$U$4:$U$4003,"正常",出库单!$C$4:$C$4003,"&gt;="&amp;账期起,出库单!$C$4:$C$4003,"&lt;="&amp;账期止),0))</f>
        <v/>
      </c>
      <c r="R1053" s="27">
        <f>IF($A1053="","",SUMIFS(出库单!$J$4:$J$4003,出库单!$D$4:$D$4003,$A1053,出库单!$K$4:$K$4003,"对外销售",出库单!$U$4:$U$4003,"正常",出库单!$C$4:$C$4003,"&gt;="&amp;账期起,出库单!$C$4:$C$4003,"&lt;="&amp;账期止))</f>
        <v/>
      </c>
      <c r="S1053" s="26">
        <f>IF($A1053="","",ROUND(SUMIFS(出库单!$S$4:$S$4003,出库单!$D$4:$D$4003,$A1053,出库单!$K$4:$K$4003,"对外销售",出库单!$U$4:$U$4003,"正常",出库单!$C$4:$C$4003,"&gt;="&amp;账期起,出库单!$C$4:$C$4003,"&lt;="&amp;账期止),0))</f>
        <v/>
      </c>
      <c r="T1053" s="27">
        <f>IF($A1053="","",SUMIFS(出库单!$J$4:$J$4003,出库单!$D$4:$D$4003,$A1053,出库单!$K$4:$K$4003,"盘亏",出库单!$U$4:$U$4003,"正常",出库单!$C$4:$C$4003,"&gt;="&amp;账期起,出库单!$C$4:$C$4003,"&lt;="&amp;账期止))</f>
        <v/>
      </c>
      <c r="U1053" s="26">
        <f>IF($A1053="","",ROUND(SUMIFS(出库单!$S$4:$S$4003,出库单!$D$4:$D$4003,$A1053,出库单!$K$4:$K$4003,"盘亏",出库单!$U$4:$U$4003,"正常",出库单!$C$4:$C$4003,"&gt;="&amp;账期起,出库单!$C$4:$C$4003,"&lt;="&amp;账期止),0))</f>
        <v/>
      </c>
      <c r="V1053" s="27">
        <f>IF($A1053="","",SUMIFS(出库单!$J$4:$J$4003,出库单!$D$4:$D$4003,$A1053,出库单!$K$4:$K$4003,"退货给供应商",出库单!$U$4:$U$4003,"正常",出库单!$C$4:$C$4003,"&gt;="&amp;账期起,出库单!$C$4:$C$4003,"&lt;="&amp;账期止))</f>
        <v/>
      </c>
      <c r="W1053" s="26">
        <f>IF($A1053="","",ROUND(SUMIFS(出库单!$S$4:$S$4003,出库单!$D$4:$D$4003,$A1053,出库单!$K$4:$K$4003,"退货给供应商",出库单!$U$4:$U$4003,"正常",出库单!$C$4:$C$4003,"&gt;="&amp;账期起,出库单!$C$4:$C$4003,"&lt;="&amp;账期止),0))</f>
        <v/>
      </c>
      <c r="X1053" s="27">
        <f>IF($A1053="","",ROUND(N($G1053)+$I1053+$L1053+$N1053-$P1053-$R1053-$T1053-$V1053,3))</f>
        <v/>
      </c>
      <c r="Y1053" s="26">
        <f>IF($A1053="","",ROUND(N($H1053)+$J1053+$M1053+$O1053-$Q1053-$S1053-$U1053-$W1053,0))</f>
        <v/>
      </c>
      <c r="Z1053" s="24">
        <f>IF($A1053="","",IF(COUNTIFS(入库单!$G$4:$G$2503,$A1053,入库单!$Y$4:$Y$2503,"待补价")+COUNTIFS(入库单!$G$4:$G$2503,$A1053,入库单!$Y$4:$Y$2503,"暂估")&gt;0,"不可信","可信"))</f>
        <v/>
      </c>
      <c r="AA1053" s="24">
        <f>IF($A1053="","",IF($X1053&lt;-0.001,"※账面负库存，查一下是不是漏记入库",IF(AND(ROUND($X1053,3)=0,ABS($Y1053)&gt;1),"※数量已经是 0，金额还挂着 "&amp;TEXT($Y1053,"#,##0")&amp;" 先令",IF(AND($X1053&gt;0,$Y1053&lt;=0,$K1053=0),"※有数量没金额（这个物料一直没填过进价）",IF($Z1053="不可信","△成本含待补价/暂估，毛利仅供参考","")))))</f>
        <v/>
      </c>
    </row>
    <row r="1054">
      <c r="A1054" s="24">
        <f>IF(物料档案!$A1053="","",物料档案!$A1053)</f>
        <v/>
      </c>
      <c r="B1054" s="24">
        <f>IF($A1054="","",IFERROR(VLOOKUP($A1054,物料档案!$A$4:$P$1203,3,0),""))</f>
        <v/>
      </c>
      <c r="C1054" s="24">
        <f>IF($A1054="","",IFERROR(VLOOKUP($A1054,物料档案!$A$4:$P$1203,4,0),""))</f>
        <v/>
      </c>
      <c r="D1054" s="24">
        <f>IF($A1054="","",IFERROR(VLOOKUP($A1054,物料档案!$A$4:$P$1203,5,0),""))</f>
        <v/>
      </c>
      <c r="E1054" s="24">
        <f>IF($A1054="","",IFERROR(VLOOKUP($A1054,物料档案!$A$4:$P$1203,2,0),""))</f>
        <v/>
      </c>
      <c r="F1054" s="24">
        <f>IF($A1054="","",IFERROR(VLOOKUP($A1054,物料档案!$A$4:$P$1203,6,0),""))</f>
        <v/>
      </c>
      <c r="G1054" s="23" t="n"/>
      <c r="H1054" s="32" t="n"/>
      <c r="I1054" s="27">
        <f>IF($A1054="","",SUMIFS(入库单!$K$4:$K$2503,入库单!$G$4:$G$2503,$A1054,入库单!$X$4:$X$2503,"采购入库",入库单!$Z$4:$Z$2503,"正常",入库单!$C$4:$C$2503,"&gt;="&amp;账期起,入库单!$C$4:$C$2503,"&lt;="&amp;账期止))</f>
        <v/>
      </c>
      <c r="J1054" s="26">
        <f>IF($A1054="","",SUMIFS(入库单!$V$4:$V$2503,入库单!$G$4:$G$2503,$A1054,入库单!$X$4:$X$2503,"采购入库",入库单!$Z$4:$Z$2503,"正常",入库单!$C$4:$C$2503,"&gt;="&amp;账期起,入库单!$C$4:$C$2503,"&lt;="&amp;账期止))</f>
        <v/>
      </c>
      <c r="K1054" s="26">
        <f>IF($A1054="","",IFERROR(ROUND((N($H1054)+N($J1054))/(N($G1054)+N($I1054)),2),0))</f>
        <v/>
      </c>
      <c r="L1054" s="27">
        <f>IF($A1054="","",SUMIFS(入库单!$K$4:$K$2503,入库单!$G$4:$G$2503,$A1054,入库单!$X$4:$X$2503,"盘盈",入库单!$Z$4:$Z$2503,"正常",入库单!$C$4:$C$2503,"&gt;="&amp;账期起,入库单!$C$4:$C$2503,"&lt;="&amp;账期止))</f>
        <v/>
      </c>
      <c r="M1054" s="26">
        <f>IF($A1054="","",ROUND($L1054*$K1054,0))</f>
        <v/>
      </c>
      <c r="N1054" s="27">
        <f>IF($A1054="","",SUMIFS(入库单!$K$4:$K$2503,入库单!$G$4:$G$2503,$A1054,入库单!$X$4:$X$2503,"矿区退库",入库单!$Z$4:$Z$2503,"正常",入库单!$C$4:$C$2503,"&gt;="&amp;账期起,入库单!$C$4:$C$2503,"&lt;="&amp;账期止))</f>
        <v/>
      </c>
      <c r="O1054" s="26">
        <f>IF($A1054="","",ROUND($N1054*$K1054,0))</f>
        <v/>
      </c>
      <c r="P1054" s="27">
        <f>IF($A1054="","",SUMIFS(出库单!$J$4:$J$4003,出库单!$D$4:$D$4003,$A1054,出库单!$K$4:$K$4003,"自用消耗",出库单!$U$4:$U$4003,"正常",出库单!$C$4:$C$4003,"&gt;="&amp;账期起,出库单!$C$4:$C$4003,"&lt;="&amp;账期止))</f>
        <v/>
      </c>
      <c r="Q1054" s="26">
        <f>IF($A1054="","",ROUND(SUMIFS(出库单!$S$4:$S$4003,出库单!$D$4:$D$4003,$A1054,出库单!$K$4:$K$4003,"自用消耗",出库单!$U$4:$U$4003,"正常",出库单!$C$4:$C$4003,"&gt;="&amp;账期起,出库单!$C$4:$C$4003,"&lt;="&amp;账期止),0))</f>
        <v/>
      </c>
      <c r="R1054" s="27">
        <f>IF($A1054="","",SUMIFS(出库单!$J$4:$J$4003,出库单!$D$4:$D$4003,$A1054,出库单!$K$4:$K$4003,"对外销售",出库单!$U$4:$U$4003,"正常",出库单!$C$4:$C$4003,"&gt;="&amp;账期起,出库单!$C$4:$C$4003,"&lt;="&amp;账期止))</f>
        <v/>
      </c>
      <c r="S1054" s="26">
        <f>IF($A1054="","",ROUND(SUMIFS(出库单!$S$4:$S$4003,出库单!$D$4:$D$4003,$A1054,出库单!$K$4:$K$4003,"对外销售",出库单!$U$4:$U$4003,"正常",出库单!$C$4:$C$4003,"&gt;="&amp;账期起,出库单!$C$4:$C$4003,"&lt;="&amp;账期止),0))</f>
        <v/>
      </c>
      <c r="T1054" s="27">
        <f>IF($A1054="","",SUMIFS(出库单!$J$4:$J$4003,出库单!$D$4:$D$4003,$A1054,出库单!$K$4:$K$4003,"盘亏",出库单!$U$4:$U$4003,"正常",出库单!$C$4:$C$4003,"&gt;="&amp;账期起,出库单!$C$4:$C$4003,"&lt;="&amp;账期止))</f>
        <v/>
      </c>
      <c r="U1054" s="26">
        <f>IF($A1054="","",ROUND(SUMIFS(出库单!$S$4:$S$4003,出库单!$D$4:$D$4003,$A1054,出库单!$K$4:$K$4003,"盘亏",出库单!$U$4:$U$4003,"正常",出库单!$C$4:$C$4003,"&gt;="&amp;账期起,出库单!$C$4:$C$4003,"&lt;="&amp;账期止),0))</f>
        <v/>
      </c>
      <c r="V1054" s="27">
        <f>IF($A1054="","",SUMIFS(出库单!$J$4:$J$4003,出库单!$D$4:$D$4003,$A1054,出库单!$K$4:$K$4003,"退货给供应商",出库单!$U$4:$U$4003,"正常",出库单!$C$4:$C$4003,"&gt;="&amp;账期起,出库单!$C$4:$C$4003,"&lt;="&amp;账期止))</f>
        <v/>
      </c>
      <c r="W1054" s="26">
        <f>IF($A1054="","",ROUND(SUMIFS(出库单!$S$4:$S$4003,出库单!$D$4:$D$4003,$A1054,出库单!$K$4:$K$4003,"退货给供应商",出库单!$U$4:$U$4003,"正常",出库单!$C$4:$C$4003,"&gt;="&amp;账期起,出库单!$C$4:$C$4003,"&lt;="&amp;账期止),0))</f>
        <v/>
      </c>
      <c r="X1054" s="27">
        <f>IF($A1054="","",ROUND(N($G1054)+$I1054+$L1054+$N1054-$P1054-$R1054-$T1054-$V1054,3))</f>
        <v/>
      </c>
      <c r="Y1054" s="26">
        <f>IF($A1054="","",ROUND(N($H1054)+$J1054+$M1054+$O1054-$Q1054-$S1054-$U1054-$W1054,0))</f>
        <v/>
      </c>
      <c r="Z1054" s="24">
        <f>IF($A1054="","",IF(COUNTIFS(入库单!$G$4:$G$2503,$A1054,入库单!$Y$4:$Y$2503,"待补价")+COUNTIFS(入库单!$G$4:$G$2503,$A1054,入库单!$Y$4:$Y$2503,"暂估")&gt;0,"不可信","可信"))</f>
        <v/>
      </c>
      <c r="AA1054" s="24">
        <f>IF($A1054="","",IF($X1054&lt;-0.001,"※账面负库存，查一下是不是漏记入库",IF(AND(ROUND($X1054,3)=0,ABS($Y1054)&gt;1),"※数量已经是 0，金额还挂着 "&amp;TEXT($Y1054,"#,##0")&amp;" 先令",IF(AND($X1054&gt;0,$Y1054&lt;=0,$K1054=0),"※有数量没金额（这个物料一直没填过进价）",IF($Z1054="不可信","△成本含待补价/暂估，毛利仅供参考","")))))</f>
        <v/>
      </c>
    </row>
    <row r="1055">
      <c r="A1055" s="24">
        <f>IF(物料档案!$A1054="","",物料档案!$A1054)</f>
        <v/>
      </c>
      <c r="B1055" s="24">
        <f>IF($A1055="","",IFERROR(VLOOKUP($A1055,物料档案!$A$4:$P$1203,3,0),""))</f>
        <v/>
      </c>
      <c r="C1055" s="24">
        <f>IF($A1055="","",IFERROR(VLOOKUP($A1055,物料档案!$A$4:$P$1203,4,0),""))</f>
        <v/>
      </c>
      <c r="D1055" s="24">
        <f>IF($A1055="","",IFERROR(VLOOKUP($A1055,物料档案!$A$4:$P$1203,5,0),""))</f>
        <v/>
      </c>
      <c r="E1055" s="24">
        <f>IF($A1055="","",IFERROR(VLOOKUP($A1055,物料档案!$A$4:$P$1203,2,0),""))</f>
        <v/>
      </c>
      <c r="F1055" s="24">
        <f>IF($A1055="","",IFERROR(VLOOKUP($A1055,物料档案!$A$4:$P$1203,6,0),""))</f>
        <v/>
      </c>
      <c r="G1055" s="23" t="n"/>
      <c r="H1055" s="32" t="n"/>
      <c r="I1055" s="27">
        <f>IF($A1055="","",SUMIFS(入库单!$K$4:$K$2503,入库单!$G$4:$G$2503,$A1055,入库单!$X$4:$X$2503,"采购入库",入库单!$Z$4:$Z$2503,"正常",入库单!$C$4:$C$2503,"&gt;="&amp;账期起,入库单!$C$4:$C$2503,"&lt;="&amp;账期止))</f>
        <v/>
      </c>
      <c r="J1055" s="26">
        <f>IF($A1055="","",SUMIFS(入库单!$V$4:$V$2503,入库单!$G$4:$G$2503,$A1055,入库单!$X$4:$X$2503,"采购入库",入库单!$Z$4:$Z$2503,"正常",入库单!$C$4:$C$2503,"&gt;="&amp;账期起,入库单!$C$4:$C$2503,"&lt;="&amp;账期止))</f>
        <v/>
      </c>
      <c r="K1055" s="26">
        <f>IF($A1055="","",IFERROR(ROUND((N($H1055)+N($J1055))/(N($G1055)+N($I1055)),2),0))</f>
        <v/>
      </c>
      <c r="L1055" s="27">
        <f>IF($A1055="","",SUMIFS(入库单!$K$4:$K$2503,入库单!$G$4:$G$2503,$A1055,入库单!$X$4:$X$2503,"盘盈",入库单!$Z$4:$Z$2503,"正常",入库单!$C$4:$C$2503,"&gt;="&amp;账期起,入库单!$C$4:$C$2503,"&lt;="&amp;账期止))</f>
        <v/>
      </c>
      <c r="M1055" s="26">
        <f>IF($A1055="","",ROUND($L1055*$K1055,0))</f>
        <v/>
      </c>
      <c r="N1055" s="27">
        <f>IF($A1055="","",SUMIFS(入库单!$K$4:$K$2503,入库单!$G$4:$G$2503,$A1055,入库单!$X$4:$X$2503,"矿区退库",入库单!$Z$4:$Z$2503,"正常",入库单!$C$4:$C$2503,"&gt;="&amp;账期起,入库单!$C$4:$C$2503,"&lt;="&amp;账期止))</f>
        <v/>
      </c>
      <c r="O1055" s="26">
        <f>IF($A1055="","",ROUND($N1055*$K1055,0))</f>
        <v/>
      </c>
      <c r="P1055" s="27">
        <f>IF($A1055="","",SUMIFS(出库单!$J$4:$J$4003,出库单!$D$4:$D$4003,$A1055,出库单!$K$4:$K$4003,"自用消耗",出库单!$U$4:$U$4003,"正常",出库单!$C$4:$C$4003,"&gt;="&amp;账期起,出库单!$C$4:$C$4003,"&lt;="&amp;账期止))</f>
        <v/>
      </c>
      <c r="Q1055" s="26">
        <f>IF($A1055="","",ROUND(SUMIFS(出库单!$S$4:$S$4003,出库单!$D$4:$D$4003,$A1055,出库单!$K$4:$K$4003,"自用消耗",出库单!$U$4:$U$4003,"正常",出库单!$C$4:$C$4003,"&gt;="&amp;账期起,出库单!$C$4:$C$4003,"&lt;="&amp;账期止),0))</f>
        <v/>
      </c>
      <c r="R1055" s="27">
        <f>IF($A1055="","",SUMIFS(出库单!$J$4:$J$4003,出库单!$D$4:$D$4003,$A1055,出库单!$K$4:$K$4003,"对外销售",出库单!$U$4:$U$4003,"正常",出库单!$C$4:$C$4003,"&gt;="&amp;账期起,出库单!$C$4:$C$4003,"&lt;="&amp;账期止))</f>
        <v/>
      </c>
      <c r="S1055" s="26">
        <f>IF($A1055="","",ROUND(SUMIFS(出库单!$S$4:$S$4003,出库单!$D$4:$D$4003,$A1055,出库单!$K$4:$K$4003,"对外销售",出库单!$U$4:$U$4003,"正常",出库单!$C$4:$C$4003,"&gt;="&amp;账期起,出库单!$C$4:$C$4003,"&lt;="&amp;账期止),0))</f>
        <v/>
      </c>
      <c r="T1055" s="27">
        <f>IF($A1055="","",SUMIFS(出库单!$J$4:$J$4003,出库单!$D$4:$D$4003,$A1055,出库单!$K$4:$K$4003,"盘亏",出库单!$U$4:$U$4003,"正常",出库单!$C$4:$C$4003,"&gt;="&amp;账期起,出库单!$C$4:$C$4003,"&lt;="&amp;账期止))</f>
        <v/>
      </c>
      <c r="U1055" s="26">
        <f>IF($A1055="","",ROUND(SUMIFS(出库单!$S$4:$S$4003,出库单!$D$4:$D$4003,$A1055,出库单!$K$4:$K$4003,"盘亏",出库单!$U$4:$U$4003,"正常",出库单!$C$4:$C$4003,"&gt;="&amp;账期起,出库单!$C$4:$C$4003,"&lt;="&amp;账期止),0))</f>
        <v/>
      </c>
      <c r="V1055" s="27">
        <f>IF($A1055="","",SUMIFS(出库单!$J$4:$J$4003,出库单!$D$4:$D$4003,$A1055,出库单!$K$4:$K$4003,"退货给供应商",出库单!$U$4:$U$4003,"正常",出库单!$C$4:$C$4003,"&gt;="&amp;账期起,出库单!$C$4:$C$4003,"&lt;="&amp;账期止))</f>
        <v/>
      </c>
      <c r="W1055" s="26">
        <f>IF($A1055="","",ROUND(SUMIFS(出库单!$S$4:$S$4003,出库单!$D$4:$D$4003,$A1055,出库单!$K$4:$K$4003,"退货给供应商",出库单!$U$4:$U$4003,"正常",出库单!$C$4:$C$4003,"&gt;="&amp;账期起,出库单!$C$4:$C$4003,"&lt;="&amp;账期止),0))</f>
        <v/>
      </c>
      <c r="X1055" s="27">
        <f>IF($A1055="","",ROUND(N($G1055)+$I1055+$L1055+$N1055-$P1055-$R1055-$T1055-$V1055,3))</f>
        <v/>
      </c>
      <c r="Y1055" s="26">
        <f>IF($A1055="","",ROUND(N($H1055)+$J1055+$M1055+$O1055-$Q1055-$S1055-$U1055-$W1055,0))</f>
        <v/>
      </c>
      <c r="Z1055" s="24">
        <f>IF($A1055="","",IF(COUNTIFS(入库单!$G$4:$G$2503,$A1055,入库单!$Y$4:$Y$2503,"待补价")+COUNTIFS(入库单!$G$4:$G$2503,$A1055,入库单!$Y$4:$Y$2503,"暂估")&gt;0,"不可信","可信"))</f>
        <v/>
      </c>
      <c r="AA1055" s="24">
        <f>IF($A1055="","",IF($X1055&lt;-0.001,"※账面负库存，查一下是不是漏记入库",IF(AND(ROUND($X1055,3)=0,ABS($Y1055)&gt;1),"※数量已经是 0，金额还挂着 "&amp;TEXT($Y1055,"#,##0")&amp;" 先令",IF(AND($X1055&gt;0,$Y1055&lt;=0,$K1055=0),"※有数量没金额（这个物料一直没填过进价）",IF($Z1055="不可信","△成本含待补价/暂估，毛利仅供参考","")))))</f>
        <v/>
      </c>
    </row>
    <row r="1056">
      <c r="A1056" s="24">
        <f>IF(物料档案!$A1055="","",物料档案!$A1055)</f>
        <v/>
      </c>
      <c r="B1056" s="24">
        <f>IF($A1056="","",IFERROR(VLOOKUP($A1056,物料档案!$A$4:$P$1203,3,0),""))</f>
        <v/>
      </c>
      <c r="C1056" s="24">
        <f>IF($A1056="","",IFERROR(VLOOKUP($A1056,物料档案!$A$4:$P$1203,4,0),""))</f>
        <v/>
      </c>
      <c r="D1056" s="24">
        <f>IF($A1056="","",IFERROR(VLOOKUP($A1056,物料档案!$A$4:$P$1203,5,0),""))</f>
        <v/>
      </c>
      <c r="E1056" s="24">
        <f>IF($A1056="","",IFERROR(VLOOKUP($A1056,物料档案!$A$4:$P$1203,2,0),""))</f>
        <v/>
      </c>
      <c r="F1056" s="24">
        <f>IF($A1056="","",IFERROR(VLOOKUP($A1056,物料档案!$A$4:$P$1203,6,0),""))</f>
        <v/>
      </c>
      <c r="G1056" s="23" t="n"/>
      <c r="H1056" s="32" t="n"/>
      <c r="I1056" s="27">
        <f>IF($A1056="","",SUMIFS(入库单!$K$4:$K$2503,入库单!$G$4:$G$2503,$A1056,入库单!$X$4:$X$2503,"采购入库",入库单!$Z$4:$Z$2503,"正常",入库单!$C$4:$C$2503,"&gt;="&amp;账期起,入库单!$C$4:$C$2503,"&lt;="&amp;账期止))</f>
        <v/>
      </c>
      <c r="J1056" s="26">
        <f>IF($A1056="","",SUMIFS(入库单!$V$4:$V$2503,入库单!$G$4:$G$2503,$A1056,入库单!$X$4:$X$2503,"采购入库",入库单!$Z$4:$Z$2503,"正常",入库单!$C$4:$C$2503,"&gt;="&amp;账期起,入库单!$C$4:$C$2503,"&lt;="&amp;账期止))</f>
        <v/>
      </c>
      <c r="K1056" s="26">
        <f>IF($A1056="","",IFERROR(ROUND((N($H1056)+N($J1056))/(N($G1056)+N($I1056)),2),0))</f>
        <v/>
      </c>
      <c r="L1056" s="27">
        <f>IF($A1056="","",SUMIFS(入库单!$K$4:$K$2503,入库单!$G$4:$G$2503,$A1056,入库单!$X$4:$X$2503,"盘盈",入库单!$Z$4:$Z$2503,"正常",入库单!$C$4:$C$2503,"&gt;="&amp;账期起,入库单!$C$4:$C$2503,"&lt;="&amp;账期止))</f>
        <v/>
      </c>
      <c r="M1056" s="26">
        <f>IF($A1056="","",ROUND($L1056*$K1056,0))</f>
        <v/>
      </c>
      <c r="N1056" s="27">
        <f>IF($A1056="","",SUMIFS(入库单!$K$4:$K$2503,入库单!$G$4:$G$2503,$A1056,入库单!$X$4:$X$2503,"矿区退库",入库单!$Z$4:$Z$2503,"正常",入库单!$C$4:$C$2503,"&gt;="&amp;账期起,入库单!$C$4:$C$2503,"&lt;="&amp;账期止))</f>
        <v/>
      </c>
      <c r="O1056" s="26">
        <f>IF($A1056="","",ROUND($N1056*$K1056,0))</f>
        <v/>
      </c>
      <c r="P1056" s="27">
        <f>IF($A1056="","",SUMIFS(出库单!$J$4:$J$4003,出库单!$D$4:$D$4003,$A1056,出库单!$K$4:$K$4003,"自用消耗",出库单!$U$4:$U$4003,"正常",出库单!$C$4:$C$4003,"&gt;="&amp;账期起,出库单!$C$4:$C$4003,"&lt;="&amp;账期止))</f>
        <v/>
      </c>
      <c r="Q1056" s="26">
        <f>IF($A1056="","",ROUND(SUMIFS(出库单!$S$4:$S$4003,出库单!$D$4:$D$4003,$A1056,出库单!$K$4:$K$4003,"自用消耗",出库单!$U$4:$U$4003,"正常",出库单!$C$4:$C$4003,"&gt;="&amp;账期起,出库单!$C$4:$C$4003,"&lt;="&amp;账期止),0))</f>
        <v/>
      </c>
      <c r="R1056" s="27">
        <f>IF($A1056="","",SUMIFS(出库单!$J$4:$J$4003,出库单!$D$4:$D$4003,$A1056,出库单!$K$4:$K$4003,"对外销售",出库单!$U$4:$U$4003,"正常",出库单!$C$4:$C$4003,"&gt;="&amp;账期起,出库单!$C$4:$C$4003,"&lt;="&amp;账期止))</f>
        <v/>
      </c>
      <c r="S1056" s="26">
        <f>IF($A1056="","",ROUND(SUMIFS(出库单!$S$4:$S$4003,出库单!$D$4:$D$4003,$A1056,出库单!$K$4:$K$4003,"对外销售",出库单!$U$4:$U$4003,"正常",出库单!$C$4:$C$4003,"&gt;="&amp;账期起,出库单!$C$4:$C$4003,"&lt;="&amp;账期止),0))</f>
        <v/>
      </c>
      <c r="T1056" s="27">
        <f>IF($A1056="","",SUMIFS(出库单!$J$4:$J$4003,出库单!$D$4:$D$4003,$A1056,出库单!$K$4:$K$4003,"盘亏",出库单!$U$4:$U$4003,"正常",出库单!$C$4:$C$4003,"&gt;="&amp;账期起,出库单!$C$4:$C$4003,"&lt;="&amp;账期止))</f>
        <v/>
      </c>
      <c r="U1056" s="26">
        <f>IF($A1056="","",ROUND(SUMIFS(出库单!$S$4:$S$4003,出库单!$D$4:$D$4003,$A1056,出库单!$K$4:$K$4003,"盘亏",出库单!$U$4:$U$4003,"正常",出库单!$C$4:$C$4003,"&gt;="&amp;账期起,出库单!$C$4:$C$4003,"&lt;="&amp;账期止),0))</f>
        <v/>
      </c>
      <c r="V1056" s="27">
        <f>IF($A1056="","",SUMIFS(出库单!$J$4:$J$4003,出库单!$D$4:$D$4003,$A1056,出库单!$K$4:$K$4003,"退货给供应商",出库单!$U$4:$U$4003,"正常",出库单!$C$4:$C$4003,"&gt;="&amp;账期起,出库单!$C$4:$C$4003,"&lt;="&amp;账期止))</f>
        <v/>
      </c>
      <c r="W1056" s="26">
        <f>IF($A1056="","",ROUND(SUMIFS(出库单!$S$4:$S$4003,出库单!$D$4:$D$4003,$A1056,出库单!$K$4:$K$4003,"退货给供应商",出库单!$U$4:$U$4003,"正常",出库单!$C$4:$C$4003,"&gt;="&amp;账期起,出库单!$C$4:$C$4003,"&lt;="&amp;账期止),0))</f>
        <v/>
      </c>
      <c r="X1056" s="27">
        <f>IF($A1056="","",ROUND(N($G1056)+$I1056+$L1056+$N1056-$P1056-$R1056-$T1056-$V1056,3))</f>
        <v/>
      </c>
      <c r="Y1056" s="26">
        <f>IF($A1056="","",ROUND(N($H1056)+$J1056+$M1056+$O1056-$Q1056-$S1056-$U1056-$W1056,0))</f>
        <v/>
      </c>
      <c r="Z1056" s="24">
        <f>IF($A1056="","",IF(COUNTIFS(入库单!$G$4:$G$2503,$A1056,入库单!$Y$4:$Y$2503,"待补价")+COUNTIFS(入库单!$G$4:$G$2503,$A1056,入库单!$Y$4:$Y$2503,"暂估")&gt;0,"不可信","可信"))</f>
        <v/>
      </c>
      <c r="AA1056" s="24">
        <f>IF($A1056="","",IF($X1056&lt;-0.001,"※账面负库存，查一下是不是漏记入库",IF(AND(ROUND($X1056,3)=0,ABS($Y1056)&gt;1),"※数量已经是 0，金额还挂着 "&amp;TEXT($Y1056,"#,##0")&amp;" 先令",IF(AND($X1056&gt;0,$Y1056&lt;=0,$K1056=0),"※有数量没金额（这个物料一直没填过进价）",IF($Z1056="不可信","△成本含待补价/暂估，毛利仅供参考","")))))</f>
        <v/>
      </c>
    </row>
    <row r="1057">
      <c r="A1057" s="24">
        <f>IF(物料档案!$A1056="","",物料档案!$A1056)</f>
        <v/>
      </c>
      <c r="B1057" s="24">
        <f>IF($A1057="","",IFERROR(VLOOKUP($A1057,物料档案!$A$4:$P$1203,3,0),""))</f>
        <v/>
      </c>
      <c r="C1057" s="24">
        <f>IF($A1057="","",IFERROR(VLOOKUP($A1057,物料档案!$A$4:$P$1203,4,0),""))</f>
        <v/>
      </c>
      <c r="D1057" s="24">
        <f>IF($A1057="","",IFERROR(VLOOKUP($A1057,物料档案!$A$4:$P$1203,5,0),""))</f>
        <v/>
      </c>
      <c r="E1057" s="24">
        <f>IF($A1057="","",IFERROR(VLOOKUP($A1057,物料档案!$A$4:$P$1203,2,0),""))</f>
        <v/>
      </c>
      <c r="F1057" s="24">
        <f>IF($A1057="","",IFERROR(VLOOKUP($A1057,物料档案!$A$4:$P$1203,6,0),""))</f>
        <v/>
      </c>
      <c r="G1057" s="23" t="n"/>
      <c r="H1057" s="32" t="n"/>
      <c r="I1057" s="27">
        <f>IF($A1057="","",SUMIFS(入库单!$K$4:$K$2503,入库单!$G$4:$G$2503,$A1057,入库单!$X$4:$X$2503,"采购入库",入库单!$Z$4:$Z$2503,"正常",入库单!$C$4:$C$2503,"&gt;="&amp;账期起,入库单!$C$4:$C$2503,"&lt;="&amp;账期止))</f>
        <v/>
      </c>
      <c r="J1057" s="26">
        <f>IF($A1057="","",SUMIFS(入库单!$V$4:$V$2503,入库单!$G$4:$G$2503,$A1057,入库单!$X$4:$X$2503,"采购入库",入库单!$Z$4:$Z$2503,"正常",入库单!$C$4:$C$2503,"&gt;="&amp;账期起,入库单!$C$4:$C$2503,"&lt;="&amp;账期止))</f>
        <v/>
      </c>
      <c r="K1057" s="26">
        <f>IF($A1057="","",IFERROR(ROUND((N($H1057)+N($J1057))/(N($G1057)+N($I1057)),2),0))</f>
        <v/>
      </c>
      <c r="L1057" s="27">
        <f>IF($A1057="","",SUMIFS(入库单!$K$4:$K$2503,入库单!$G$4:$G$2503,$A1057,入库单!$X$4:$X$2503,"盘盈",入库单!$Z$4:$Z$2503,"正常",入库单!$C$4:$C$2503,"&gt;="&amp;账期起,入库单!$C$4:$C$2503,"&lt;="&amp;账期止))</f>
        <v/>
      </c>
      <c r="M1057" s="26">
        <f>IF($A1057="","",ROUND($L1057*$K1057,0))</f>
        <v/>
      </c>
      <c r="N1057" s="27">
        <f>IF($A1057="","",SUMIFS(入库单!$K$4:$K$2503,入库单!$G$4:$G$2503,$A1057,入库单!$X$4:$X$2503,"矿区退库",入库单!$Z$4:$Z$2503,"正常",入库单!$C$4:$C$2503,"&gt;="&amp;账期起,入库单!$C$4:$C$2503,"&lt;="&amp;账期止))</f>
        <v/>
      </c>
      <c r="O1057" s="26">
        <f>IF($A1057="","",ROUND($N1057*$K1057,0))</f>
        <v/>
      </c>
      <c r="P1057" s="27">
        <f>IF($A1057="","",SUMIFS(出库单!$J$4:$J$4003,出库单!$D$4:$D$4003,$A1057,出库单!$K$4:$K$4003,"自用消耗",出库单!$U$4:$U$4003,"正常",出库单!$C$4:$C$4003,"&gt;="&amp;账期起,出库单!$C$4:$C$4003,"&lt;="&amp;账期止))</f>
        <v/>
      </c>
      <c r="Q1057" s="26">
        <f>IF($A1057="","",ROUND(SUMIFS(出库单!$S$4:$S$4003,出库单!$D$4:$D$4003,$A1057,出库单!$K$4:$K$4003,"自用消耗",出库单!$U$4:$U$4003,"正常",出库单!$C$4:$C$4003,"&gt;="&amp;账期起,出库单!$C$4:$C$4003,"&lt;="&amp;账期止),0))</f>
        <v/>
      </c>
      <c r="R1057" s="27">
        <f>IF($A1057="","",SUMIFS(出库单!$J$4:$J$4003,出库单!$D$4:$D$4003,$A1057,出库单!$K$4:$K$4003,"对外销售",出库单!$U$4:$U$4003,"正常",出库单!$C$4:$C$4003,"&gt;="&amp;账期起,出库单!$C$4:$C$4003,"&lt;="&amp;账期止))</f>
        <v/>
      </c>
      <c r="S1057" s="26">
        <f>IF($A1057="","",ROUND(SUMIFS(出库单!$S$4:$S$4003,出库单!$D$4:$D$4003,$A1057,出库单!$K$4:$K$4003,"对外销售",出库单!$U$4:$U$4003,"正常",出库单!$C$4:$C$4003,"&gt;="&amp;账期起,出库单!$C$4:$C$4003,"&lt;="&amp;账期止),0))</f>
        <v/>
      </c>
      <c r="T1057" s="27">
        <f>IF($A1057="","",SUMIFS(出库单!$J$4:$J$4003,出库单!$D$4:$D$4003,$A1057,出库单!$K$4:$K$4003,"盘亏",出库单!$U$4:$U$4003,"正常",出库单!$C$4:$C$4003,"&gt;="&amp;账期起,出库单!$C$4:$C$4003,"&lt;="&amp;账期止))</f>
        <v/>
      </c>
      <c r="U1057" s="26">
        <f>IF($A1057="","",ROUND(SUMIFS(出库单!$S$4:$S$4003,出库单!$D$4:$D$4003,$A1057,出库单!$K$4:$K$4003,"盘亏",出库单!$U$4:$U$4003,"正常",出库单!$C$4:$C$4003,"&gt;="&amp;账期起,出库单!$C$4:$C$4003,"&lt;="&amp;账期止),0))</f>
        <v/>
      </c>
      <c r="V1057" s="27">
        <f>IF($A1057="","",SUMIFS(出库单!$J$4:$J$4003,出库单!$D$4:$D$4003,$A1057,出库单!$K$4:$K$4003,"退货给供应商",出库单!$U$4:$U$4003,"正常",出库单!$C$4:$C$4003,"&gt;="&amp;账期起,出库单!$C$4:$C$4003,"&lt;="&amp;账期止))</f>
        <v/>
      </c>
      <c r="W1057" s="26">
        <f>IF($A1057="","",ROUND(SUMIFS(出库单!$S$4:$S$4003,出库单!$D$4:$D$4003,$A1057,出库单!$K$4:$K$4003,"退货给供应商",出库单!$U$4:$U$4003,"正常",出库单!$C$4:$C$4003,"&gt;="&amp;账期起,出库单!$C$4:$C$4003,"&lt;="&amp;账期止),0))</f>
        <v/>
      </c>
      <c r="X1057" s="27">
        <f>IF($A1057="","",ROUND(N($G1057)+$I1057+$L1057+$N1057-$P1057-$R1057-$T1057-$V1057,3))</f>
        <v/>
      </c>
      <c r="Y1057" s="26">
        <f>IF($A1057="","",ROUND(N($H1057)+$J1057+$M1057+$O1057-$Q1057-$S1057-$U1057-$W1057,0))</f>
        <v/>
      </c>
      <c r="Z1057" s="24">
        <f>IF($A1057="","",IF(COUNTIFS(入库单!$G$4:$G$2503,$A1057,入库单!$Y$4:$Y$2503,"待补价")+COUNTIFS(入库单!$G$4:$G$2503,$A1057,入库单!$Y$4:$Y$2503,"暂估")&gt;0,"不可信","可信"))</f>
        <v/>
      </c>
      <c r="AA1057" s="24">
        <f>IF($A1057="","",IF($X1057&lt;-0.001,"※账面负库存，查一下是不是漏记入库",IF(AND(ROUND($X1057,3)=0,ABS($Y1057)&gt;1),"※数量已经是 0，金额还挂着 "&amp;TEXT($Y1057,"#,##0")&amp;" 先令",IF(AND($X1057&gt;0,$Y1057&lt;=0,$K1057=0),"※有数量没金额（这个物料一直没填过进价）",IF($Z1057="不可信","△成本含待补价/暂估，毛利仅供参考","")))))</f>
        <v/>
      </c>
    </row>
    <row r="1058">
      <c r="A1058" s="24">
        <f>IF(物料档案!$A1057="","",物料档案!$A1057)</f>
        <v/>
      </c>
      <c r="B1058" s="24">
        <f>IF($A1058="","",IFERROR(VLOOKUP($A1058,物料档案!$A$4:$P$1203,3,0),""))</f>
        <v/>
      </c>
      <c r="C1058" s="24">
        <f>IF($A1058="","",IFERROR(VLOOKUP($A1058,物料档案!$A$4:$P$1203,4,0),""))</f>
        <v/>
      </c>
      <c r="D1058" s="24">
        <f>IF($A1058="","",IFERROR(VLOOKUP($A1058,物料档案!$A$4:$P$1203,5,0),""))</f>
        <v/>
      </c>
      <c r="E1058" s="24">
        <f>IF($A1058="","",IFERROR(VLOOKUP($A1058,物料档案!$A$4:$P$1203,2,0),""))</f>
        <v/>
      </c>
      <c r="F1058" s="24">
        <f>IF($A1058="","",IFERROR(VLOOKUP($A1058,物料档案!$A$4:$P$1203,6,0),""))</f>
        <v/>
      </c>
      <c r="G1058" s="23" t="n"/>
      <c r="H1058" s="32" t="n"/>
      <c r="I1058" s="27">
        <f>IF($A1058="","",SUMIFS(入库单!$K$4:$K$2503,入库单!$G$4:$G$2503,$A1058,入库单!$X$4:$X$2503,"采购入库",入库单!$Z$4:$Z$2503,"正常",入库单!$C$4:$C$2503,"&gt;="&amp;账期起,入库单!$C$4:$C$2503,"&lt;="&amp;账期止))</f>
        <v/>
      </c>
      <c r="J1058" s="26">
        <f>IF($A1058="","",SUMIFS(入库单!$V$4:$V$2503,入库单!$G$4:$G$2503,$A1058,入库单!$X$4:$X$2503,"采购入库",入库单!$Z$4:$Z$2503,"正常",入库单!$C$4:$C$2503,"&gt;="&amp;账期起,入库单!$C$4:$C$2503,"&lt;="&amp;账期止))</f>
        <v/>
      </c>
      <c r="K1058" s="26">
        <f>IF($A1058="","",IFERROR(ROUND((N($H1058)+N($J1058))/(N($G1058)+N($I1058)),2),0))</f>
        <v/>
      </c>
      <c r="L1058" s="27">
        <f>IF($A1058="","",SUMIFS(入库单!$K$4:$K$2503,入库单!$G$4:$G$2503,$A1058,入库单!$X$4:$X$2503,"盘盈",入库单!$Z$4:$Z$2503,"正常",入库单!$C$4:$C$2503,"&gt;="&amp;账期起,入库单!$C$4:$C$2503,"&lt;="&amp;账期止))</f>
        <v/>
      </c>
      <c r="M1058" s="26">
        <f>IF($A1058="","",ROUND($L1058*$K1058,0))</f>
        <v/>
      </c>
      <c r="N1058" s="27">
        <f>IF($A1058="","",SUMIFS(入库单!$K$4:$K$2503,入库单!$G$4:$G$2503,$A1058,入库单!$X$4:$X$2503,"矿区退库",入库单!$Z$4:$Z$2503,"正常",入库单!$C$4:$C$2503,"&gt;="&amp;账期起,入库单!$C$4:$C$2503,"&lt;="&amp;账期止))</f>
        <v/>
      </c>
      <c r="O1058" s="26">
        <f>IF($A1058="","",ROUND($N1058*$K1058,0))</f>
        <v/>
      </c>
      <c r="P1058" s="27">
        <f>IF($A1058="","",SUMIFS(出库单!$J$4:$J$4003,出库单!$D$4:$D$4003,$A1058,出库单!$K$4:$K$4003,"自用消耗",出库单!$U$4:$U$4003,"正常",出库单!$C$4:$C$4003,"&gt;="&amp;账期起,出库单!$C$4:$C$4003,"&lt;="&amp;账期止))</f>
        <v/>
      </c>
      <c r="Q1058" s="26">
        <f>IF($A1058="","",ROUND(SUMIFS(出库单!$S$4:$S$4003,出库单!$D$4:$D$4003,$A1058,出库单!$K$4:$K$4003,"自用消耗",出库单!$U$4:$U$4003,"正常",出库单!$C$4:$C$4003,"&gt;="&amp;账期起,出库单!$C$4:$C$4003,"&lt;="&amp;账期止),0))</f>
        <v/>
      </c>
      <c r="R1058" s="27">
        <f>IF($A1058="","",SUMIFS(出库单!$J$4:$J$4003,出库单!$D$4:$D$4003,$A1058,出库单!$K$4:$K$4003,"对外销售",出库单!$U$4:$U$4003,"正常",出库单!$C$4:$C$4003,"&gt;="&amp;账期起,出库单!$C$4:$C$4003,"&lt;="&amp;账期止))</f>
        <v/>
      </c>
      <c r="S1058" s="26">
        <f>IF($A1058="","",ROUND(SUMIFS(出库单!$S$4:$S$4003,出库单!$D$4:$D$4003,$A1058,出库单!$K$4:$K$4003,"对外销售",出库单!$U$4:$U$4003,"正常",出库单!$C$4:$C$4003,"&gt;="&amp;账期起,出库单!$C$4:$C$4003,"&lt;="&amp;账期止),0))</f>
        <v/>
      </c>
      <c r="T1058" s="27">
        <f>IF($A1058="","",SUMIFS(出库单!$J$4:$J$4003,出库单!$D$4:$D$4003,$A1058,出库单!$K$4:$K$4003,"盘亏",出库单!$U$4:$U$4003,"正常",出库单!$C$4:$C$4003,"&gt;="&amp;账期起,出库单!$C$4:$C$4003,"&lt;="&amp;账期止))</f>
        <v/>
      </c>
      <c r="U1058" s="26">
        <f>IF($A1058="","",ROUND(SUMIFS(出库单!$S$4:$S$4003,出库单!$D$4:$D$4003,$A1058,出库单!$K$4:$K$4003,"盘亏",出库单!$U$4:$U$4003,"正常",出库单!$C$4:$C$4003,"&gt;="&amp;账期起,出库单!$C$4:$C$4003,"&lt;="&amp;账期止),0))</f>
        <v/>
      </c>
      <c r="V1058" s="27">
        <f>IF($A1058="","",SUMIFS(出库单!$J$4:$J$4003,出库单!$D$4:$D$4003,$A1058,出库单!$K$4:$K$4003,"退货给供应商",出库单!$U$4:$U$4003,"正常",出库单!$C$4:$C$4003,"&gt;="&amp;账期起,出库单!$C$4:$C$4003,"&lt;="&amp;账期止))</f>
        <v/>
      </c>
      <c r="W1058" s="26">
        <f>IF($A1058="","",ROUND(SUMIFS(出库单!$S$4:$S$4003,出库单!$D$4:$D$4003,$A1058,出库单!$K$4:$K$4003,"退货给供应商",出库单!$U$4:$U$4003,"正常",出库单!$C$4:$C$4003,"&gt;="&amp;账期起,出库单!$C$4:$C$4003,"&lt;="&amp;账期止),0))</f>
        <v/>
      </c>
      <c r="X1058" s="27">
        <f>IF($A1058="","",ROUND(N($G1058)+$I1058+$L1058+$N1058-$P1058-$R1058-$T1058-$V1058,3))</f>
        <v/>
      </c>
      <c r="Y1058" s="26">
        <f>IF($A1058="","",ROUND(N($H1058)+$J1058+$M1058+$O1058-$Q1058-$S1058-$U1058-$W1058,0))</f>
        <v/>
      </c>
      <c r="Z1058" s="24">
        <f>IF($A1058="","",IF(COUNTIFS(入库单!$G$4:$G$2503,$A1058,入库单!$Y$4:$Y$2503,"待补价")+COUNTIFS(入库单!$G$4:$G$2503,$A1058,入库单!$Y$4:$Y$2503,"暂估")&gt;0,"不可信","可信"))</f>
        <v/>
      </c>
      <c r="AA1058" s="24">
        <f>IF($A1058="","",IF($X1058&lt;-0.001,"※账面负库存，查一下是不是漏记入库",IF(AND(ROUND($X1058,3)=0,ABS($Y1058)&gt;1),"※数量已经是 0，金额还挂着 "&amp;TEXT($Y1058,"#,##0")&amp;" 先令",IF(AND($X1058&gt;0,$Y1058&lt;=0,$K1058=0),"※有数量没金额（这个物料一直没填过进价）",IF($Z1058="不可信","△成本含待补价/暂估，毛利仅供参考","")))))</f>
        <v/>
      </c>
    </row>
    <row r="1059">
      <c r="A1059" s="24">
        <f>IF(物料档案!$A1058="","",物料档案!$A1058)</f>
        <v/>
      </c>
      <c r="B1059" s="24">
        <f>IF($A1059="","",IFERROR(VLOOKUP($A1059,物料档案!$A$4:$P$1203,3,0),""))</f>
        <v/>
      </c>
      <c r="C1059" s="24">
        <f>IF($A1059="","",IFERROR(VLOOKUP($A1059,物料档案!$A$4:$P$1203,4,0),""))</f>
        <v/>
      </c>
      <c r="D1059" s="24">
        <f>IF($A1059="","",IFERROR(VLOOKUP($A1059,物料档案!$A$4:$P$1203,5,0),""))</f>
        <v/>
      </c>
      <c r="E1059" s="24">
        <f>IF($A1059="","",IFERROR(VLOOKUP($A1059,物料档案!$A$4:$P$1203,2,0),""))</f>
        <v/>
      </c>
      <c r="F1059" s="24">
        <f>IF($A1059="","",IFERROR(VLOOKUP($A1059,物料档案!$A$4:$P$1203,6,0),""))</f>
        <v/>
      </c>
      <c r="G1059" s="23" t="n"/>
      <c r="H1059" s="32" t="n"/>
      <c r="I1059" s="27">
        <f>IF($A1059="","",SUMIFS(入库单!$K$4:$K$2503,入库单!$G$4:$G$2503,$A1059,入库单!$X$4:$X$2503,"采购入库",入库单!$Z$4:$Z$2503,"正常",入库单!$C$4:$C$2503,"&gt;="&amp;账期起,入库单!$C$4:$C$2503,"&lt;="&amp;账期止))</f>
        <v/>
      </c>
      <c r="J1059" s="26">
        <f>IF($A1059="","",SUMIFS(入库单!$V$4:$V$2503,入库单!$G$4:$G$2503,$A1059,入库单!$X$4:$X$2503,"采购入库",入库单!$Z$4:$Z$2503,"正常",入库单!$C$4:$C$2503,"&gt;="&amp;账期起,入库单!$C$4:$C$2503,"&lt;="&amp;账期止))</f>
        <v/>
      </c>
      <c r="K1059" s="26">
        <f>IF($A1059="","",IFERROR(ROUND((N($H1059)+N($J1059))/(N($G1059)+N($I1059)),2),0))</f>
        <v/>
      </c>
      <c r="L1059" s="27">
        <f>IF($A1059="","",SUMIFS(入库单!$K$4:$K$2503,入库单!$G$4:$G$2503,$A1059,入库单!$X$4:$X$2503,"盘盈",入库单!$Z$4:$Z$2503,"正常",入库单!$C$4:$C$2503,"&gt;="&amp;账期起,入库单!$C$4:$C$2503,"&lt;="&amp;账期止))</f>
        <v/>
      </c>
      <c r="M1059" s="26">
        <f>IF($A1059="","",ROUND($L1059*$K1059,0))</f>
        <v/>
      </c>
      <c r="N1059" s="27">
        <f>IF($A1059="","",SUMIFS(入库单!$K$4:$K$2503,入库单!$G$4:$G$2503,$A1059,入库单!$X$4:$X$2503,"矿区退库",入库单!$Z$4:$Z$2503,"正常",入库单!$C$4:$C$2503,"&gt;="&amp;账期起,入库单!$C$4:$C$2503,"&lt;="&amp;账期止))</f>
        <v/>
      </c>
      <c r="O1059" s="26">
        <f>IF($A1059="","",ROUND($N1059*$K1059,0))</f>
        <v/>
      </c>
      <c r="P1059" s="27">
        <f>IF($A1059="","",SUMIFS(出库单!$J$4:$J$4003,出库单!$D$4:$D$4003,$A1059,出库单!$K$4:$K$4003,"自用消耗",出库单!$U$4:$U$4003,"正常",出库单!$C$4:$C$4003,"&gt;="&amp;账期起,出库单!$C$4:$C$4003,"&lt;="&amp;账期止))</f>
        <v/>
      </c>
      <c r="Q1059" s="26">
        <f>IF($A1059="","",ROUND(SUMIFS(出库单!$S$4:$S$4003,出库单!$D$4:$D$4003,$A1059,出库单!$K$4:$K$4003,"自用消耗",出库单!$U$4:$U$4003,"正常",出库单!$C$4:$C$4003,"&gt;="&amp;账期起,出库单!$C$4:$C$4003,"&lt;="&amp;账期止),0))</f>
        <v/>
      </c>
      <c r="R1059" s="27">
        <f>IF($A1059="","",SUMIFS(出库单!$J$4:$J$4003,出库单!$D$4:$D$4003,$A1059,出库单!$K$4:$K$4003,"对外销售",出库单!$U$4:$U$4003,"正常",出库单!$C$4:$C$4003,"&gt;="&amp;账期起,出库单!$C$4:$C$4003,"&lt;="&amp;账期止))</f>
        <v/>
      </c>
      <c r="S1059" s="26">
        <f>IF($A1059="","",ROUND(SUMIFS(出库单!$S$4:$S$4003,出库单!$D$4:$D$4003,$A1059,出库单!$K$4:$K$4003,"对外销售",出库单!$U$4:$U$4003,"正常",出库单!$C$4:$C$4003,"&gt;="&amp;账期起,出库单!$C$4:$C$4003,"&lt;="&amp;账期止),0))</f>
        <v/>
      </c>
      <c r="T1059" s="27">
        <f>IF($A1059="","",SUMIFS(出库单!$J$4:$J$4003,出库单!$D$4:$D$4003,$A1059,出库单!$K$4:$K$4003,"盘亏",出库单!$U$4:$U$4003,"正常",出库单!$C$4:$C$4003,"&gt;="&amp;账期起,出库单!$C$4:$C$4003,"&lt;="&amp;账期止))</f>
        <v/>
      </c>
      <c r="U1059" s="26">
        <f>IF($A1059="","",ROUND(SUMIFS(出库单!$S$4:$S$4003,出库单!$D$4:$D$4003,$A1059,出库单!$K$4:$K$4003,"盘亏",出库单!$U$4:$U$4003,"正常",出库单!$C$4:$C$4003,"&gt;="&amp;账期起,出库单!$C$4:$C$4003,"&lt;="&amp;账期止),0))</f>
        <v/>
      </c>
      <c r="V1059" s="27">
        <f>IF($A1059="","",SUMIFS(出库单!$J$4:$J$4003,出库单!$D$4:$D$4003,$A1059,出库单!$K$4:$K$4003,"退货给供应商",出库单!$U$4:$U$4003,"正常",出库单!$C$4:$C$4003,"&gt;="&amp;账期起,出库单!$C$4:$C$4003,"&lt;="&amp;账期止))</f>
        <v/>
      </c>
      <c r="W1059" s="26">
        <f>IF($A1059="","",ROUND(SUMIFS(出库单!$S$4:$S$4003,出库单!$D$4:$D$4003,$A1059,出库单!$K$4:$K$4003,"退货给供应商",出库单!$U$4:$U$4003,"正常",出库单!$C$4:$C$4003,"&gt;="&amp;账期起,出库单!$C$4:$C$4003,"&lt;="&amp;账期止),0))</f>
        <v/>
      </c>
      <c r="X1059" s="27">
        <f>IF($A1059="","",ROUND(N($G1059)+$I1059+$L1059+$N1059-$P1059-$R1059-$T1059-$V1059,3))</f>
        <v/>
      </c>
      <c r="Y1059" s="26">
        <f>IF($A1059="","",ROUND(N($H1059)+$J1059+$M1059+$O1059-$Q1059-$S1059-$U1059-$W1059,0))</f>
        <v/>
      </c>
      <c r="Z1059" s="24">
        <f>IF($A1059="","",IF(COUNTIFS(入库单!$G$4:$G$2503,$A1059,入库单!$Y$4:$Y$2503,"待补价")+COUNTIFS(入库单!$G$4:$G$2503,$A1059,入库单!$Y$4:$Y$2503,"暂估")&gt;0,"不可信","可信"))</f>
        <v/>
      </c>
      <c r="AA1059" s="24">
        <f>IF($A1059="","",IF($X1059&lt;-0.001,"※账面负库存，查一下是不是漏记入库",IF(AND(ROUND($X1059,3)=0,ABS($Y1059)&gt;1),"※数量已经是 0，金额还挂着 "&amp;TEXT($Y1059,"#,##0")&amp;" 先令",IF(AND($X1059&gt;0,$Y1059&lt;=0,$K1059=0),"※有数量没金额（这个物料一直没填过进价）",IF($Z1059="不可信","△成本含待补价/暂估，毛利仅供参考","")))))</f>
        <v/>
      </c>
    </row>
    <row r="1060">
      <c r="A1060" s="24">
        <f>IF(物料档案!$A1059="","",物料档案!$A1059)</f>
        <v/>
      </c>
      <c r="B1060" s="24">
        <f>IF($A1060="","",IFERROR(VLOOKUP($A1060,物料档案!$A$4:$P$1203,3,0),""))</f>
        <v/>
      </c>
      <c r="C1060" s="24">
        <f>IF($A1060="","",IFERROR(VLOOKUP($A1060,物料档案!$A$4:$P$1203,4,0),""))</f>
        <v/>
      </c>
      <c r="D1060" s="24">
        <f>IF($A1060="","",IFERROR(VLOOKUP($A1060,物料档案!$A$4:$P$1203,5,0),""))</f>
        <v/>
      </c>
      <c r="E1060" s="24">
        <f>IF($A1060="","",IFERROR(VLOOKUP($A1060,物料档案!$A$4:$P$1203,2,0),""))</f>
        <v/>
      </c>
      <c r="F1060" s="24">
        <f>IF($A1060="","",IFERROR(VLOOKUP($A1060,物料档案!$A$4:$P$1203,6,0),""))</f>
        <v/>
      </c>
      <c r="G1060" s="23" t="n"/>
      <c r="H1060" s="32" t="n"/>
      <c r="I1060" s="27">
        <f>IF($A1060="","",SUMIFS(入库单!$K$4:$K$2503,入库单!$G$4:$G$2503,$A1060,入库单!$X$4:$X$2503,"采购入库",入库单!$Z$4:$Z$2503,"正常",入库单!$C$4:$C$2503,"&gt;="&amp;账期起,入库单!$C$4:$C$2503,"&lt;="&amp;账期止))</f>
        <v/>
      </c>
      <c r="J1060" s="26">
        <f>IF($A1060="","",SUMIFS(入库单!$V$4:$V$2503,入库单!$G$4:$G$2503,$A1060,入库单!$X$4:$X$2503,"采购入库",入库单!$Z$4:$Z$2503,"正常",入库单!$C$4:$C$2503,"&gt;="&amp;账期起,入库单!$C$4:$C$2503,"&lt;="&amp;账期止))</f>
        <v/>
      </c>
      <c r="K1060" s="26">
        <f>IF($A1060="","",IFERROR(ROUND((N($H1060)+N($J1060))/(N($G1060)+N($I1060)),2),0))</f>
        <v/>
      </c>
      <c r="L1060" s="27">
        <f>IF($A1060="","",SUMIFS(入库单!$K$4:$K$2503,入库单!$G$4:$G$2503,$A1060,入库单!$X$4:$X$2503,"盘盈",入库单!$Z$4:$Z$2503,"正常",入库单!$C$4:$C$2503,"&gt;="&amp;账期起,入库单!$C$4:$C$2503,"&lt;="&amp;账期止))</f>
        <v/>
      </c>
      <c r="M1060" s="26">
        <f>IF($A1060="","",ROUND($L1060*$K1060,0))</f>
        <v/>
      </c>
      <c r="N1060" s="27">
        <f>IF($A1060="","",SUMIFS(入库单!$K$4:$K$2503,入库单!$G$4:$G$2503,$A1060,入库单!$X$4:$X$2503,"矿区退库",入库单!$Z$4:$Z$2503,"正常",入库单!$C$4:$C$2503,"&gt;="&amp;账期起,入库单!$C$4:$C$2503,"&lt;="&amp;账期止))</f>
        <v/>
      </c>
      <c r="O1060" s="26">
        <f>IF($A1060="","",ROUND($N1060*$K1060,0))</f>
        <v/>
      </c>
      <c r="P1060" s="27">
        <f>IF($A1060="","",SUMIFS(出库单!$J$4:$J$4003,出库单!$D$4:$D$4003,$A1060,出库单!$K$4:$K$4003,"自用消耗",出库单!$U$4:$U$4003,"正常",出库单!$C$4:$C$4003,"&gt;="&amp;账期起,出库单!$C$4:$C$4003,"&lt;="&amp;账期止))</f>
        <v/>
      </c>
      <c r="Q1060" s="26">
        <f>IF($A1060="","",ROUND(SUMIFS(出库单!$S$4:$S$4003,出库单!$D$4:$D$4003,$A1060,出库单!$K$4:$K$4003,"自用消耗",出库单!$U$4:$U$4003,"正常",出库单!$C$4:$C$4003,"&gt;="&amp;账期起,出库单!$C$4:$C$4003,"&lt;="&amp;账期止),0))</f>
        <v/>
      </c>
      <c r="R1060" s="27">
        <f>IF($A1060="","",SUMIFS(出库单!$J$4:$J$4003,出库单!$D$4:$D$4003,$A1060,出库单!$K$4:$K$4003,"对外销售",出库单!$U$4:$U$4003,"正常",出库单!$C$4:$C$4003,"&gt;="&amp;账期起,出库单!$C$4:$C$4003,"&lt;="&amp;账期止))</f>
        <v/>
      </c>
      <c r="S1060" s="26">
        <f>IF($A1060="","",ROUND(SUMIFS(出库单!$S$4:$S$4003,出库单!$D$4:$D$4003,$A1060,出库单!$K$4:$K$4003,"对外销售",出库单!$U$4:$U$4003,"正常",出库单!$C$4:$C$4003,"&gt;="&amp;账期起,出库单!$C$4:$C$4003,"&lt;="&amp;账期止),0))</f>
        <v/>
      </c>
      <c r="T1060" s="27">
        <f>IF($A1060="","",SUMIFS(出库单!$J$4:$J$4003,出库单!$D$4:$D$4003,$A1060,出库单!$K$4:$K$4003,"盘亏",出库单!$U$4:$U$4003,"正常",出库单!$C$4:$C$4003,"&gt;="&amp;账期起,出库单!$C$4:$C$4003,"&lt;="&amp;账期止))</f>
        <v/>
      </c>
      <c r="U1060" s="26">
        <f>IF($A1060="","",ROUND(SUMIFS(出库单!$S$4:$S$4003,出库单!$D$4:$D$4003,$A1060,出库单!$K$4:$K$4003,"盘亏",出库单!$U$4:$U$4003,"正常",出库单!$C$4:$C$4003,"&gt;="&amp;账期起,出库单!$C$4:$C$4003,"&lt;="&amp;账期止),0))</f>
        <v/>
      </c>
      <c r="V1060" s="27">
        <f>IF($A1060="","",SUMIFS(出库单!$J$4:$J$4003,出库单!$D$4:$D$4003,$A1060,出库单!$K$4:$K$4003,"退货给供应商",出库单!$U$4:$U$4003,"正常",出库单!$C$4:$C$4003,"&gt;="&amp;账期起,出库单!$C$4:$C$4003,"&lt;="&amp;账期止))</f>
        <v/>
      </c>
      <c r="W1060" s="26">
        <f>IF($A1060="","",ROUND(SUMIFS(出库单!$S$4:$S$4003,出库单!$D$4:$D$4003,$A1060,出库单!$K$4:$K$4003,"退货给供应商",出库单!$U$4:$U$4003,"正常",出库单!$C$4:$C$4003,"&gt;="&amp;账期起,出库单!$C$4:$C$4003,"&lt;="&amp;账期止),0))</f>
        <v/>
      </c>
      <c r="X1060" s="27">
        <f>IF($A1060="","",ROUND(N($G1060)+$I1060+$L1060+$N1060-$P1060-$R1060-$T1060-$V1060,3))</f>
        <v/>
      </c>
      <c r="Y1060" s="26">
        <f>IF($A1060="","",ROUND(N($H1060)+$J1060+$M1060+$O1060-$Q1060-$S1060-$U1060-$W1060,0))</f>
        <v/>
      </c>
      <c r="Z1060" s="24">
        <f>IF($A1060="","",IF(COUNTIFS(入库单!$G$4:$G$2503,$A1060,入库单!$Y$4:$Y$2503,"待补价")+COUNTIFS(入库单!$G$4:$G$2503,$A1060,入库单!$Y$4:$Y$2503,"暂估")&gt;0,"不可信","可信"))</f>
        <v/>
      </c>
      <c r="AA1060" s="24">
        <f>IF($A1060="","",IF($X1060&lt;-0.001,"※账面负库存，查一下是不是漏记入库",IF(AND(ROUND($X1060,3)=0,ABS($Y1060)&gt;1),"※数量已经是 0，金额还挂着 "&amp;TEXT($Y1060,"#,##0")&amp;" 先令",IF(AND($X1060&gt;0,$Y1060&lt;=0,$K1060=0),"※有数量没金额（这个物料一直没填过进价）",IF($Z1060="不可信","△成本含待补价/暂估，毛利仅供参考","")))))</f>
        <v/>
      </c>
    </row>
    <row r="1061">
      <c r="A1061" s="24">
        <f>IF(物料档案!$A1060="","",物料档案!$A1060)</f>
        <v/>
      </c>
      <c r="B1061" s="24">
        <f>IF($A1061="","",IFERROR(VLOOKUP($A1061,物料档案!$A$4:$P$1203,3,0),""))</f>
        <v/>
      </c>
      <c r="C1061" s="24">
        <f>IF($A1061="","",IFERROR(VLOOKUP($A1061,物料档案!$A$4:$P$1203,4,0),""))</f>
        <v/>
      </c>
      <c r="D1061" s="24">
        <f>IF($A1061="","",IFERROR(VLOOKUP($A1061,物料档案!$A$4:$P$1203,5,0),""))</f>
        <v/>
      </c>
      <c r="E1061" s="24">
        <f>IF($A1061="","",IFERROR(VLOOKUP($A1061,物料档案!$A$4:$P$1203,2,0),""))</f>
        <v/>
      </c>
      <c r="F1061" s="24">
        <f>IF($A1061="","",IFERROR(VLOOKUP($A1061,物料档案!$A$4:$P$1203,6,0),""))</f>
        <v/>
      </c>
      <c r="G1061" s="23" t="n"/>
      <c r="H1061" s="32" t="n"/>
      <c r="I1061" s="27">
        <f>IF($A1061="","",SUMIFS(入库单!$K$4:$K$2503,入库单!$G$4:$G$2503,$A1061,入库单!$X$4:$X$2503,"采购入库",入库单!$Z$4:$Z$2503,"正常",入库单!$C$4:$C$2503,"&gt;="&amp;账期起,入库单!$C$4:$C$2503,"&lt;="&amp;账期止))</f>
        <v/>
      </c>
      <c r="J1061" s="26">
        <f>IF($A1061="","",SUMIFS(入库单!$V$4:$V$2503,入库单!$G$4:$G$2503,$A1061,入库单!$X$4:$X$2503,"采购入库",入库单!$Z$4:$Z$2503,"正常",入库单!$C$4:$C$2503,"&gt;="&amp;账期起,入库单!$C$4:$C$2503,"&lt;="&amp;账期止))</f>
        <v/>
      </c>
      <c r="K1061" s="26">
        <f>IF($A1061="","",IFERROR(ROUND((N($H1061)+N($J1061))/(N($G1061)+N($I1061)),2),0))</f>
        <v/>
      </c>
      <c r="L1061" s="27">
        <f>IF($A1061="","",SUMIFS(入库单!$K$4:$K$2503,入库单!$G$4:$G$2503,$A1061,入库单!$X$4:$X$2503,"盘盈",入库单!$Z$4:$Z$2503,"正常",入库单!$C$4:$C$2503,"&gt;="&amp;账期起,入库单!$C$4:$C$2503,"&lt;="&amp;账期止))</f>
        <v/>
      </c>
      <c r="M1061" s="26">
        <f>IF($A1061="","",ROUND($L1061*$K1061,0))</f>
        <v/>
      </c>
      <c r="N1061" s="27">
        <f>IF($A1061="","",SUMIFS(入库单!$K$4:$K$2503,入库单!$G$4:$G$2503,$A1061,入库单!$X$4:$X$2503,"矿区退库",入库单!$Z$4:$Z$2503,"正常",入库单!$C$4:$C$2503,"&gt;="&amp;账期起,入库单!$C$4:$C$2503,"&lt;="&amp;账期止))</f>
        <v/>
      </c>
      <c r="O1061" s="26">
        <f>IF($A1061="","",ROUND($N1061*$K1061,0))</f>
        <v/>
      </c>
      <c r="P1061" s="27">
        <f>IF($A1061="","",SUMIFS(出库单!$J$4:$J$4003,出库单!$D$4:$D$4003,$A1061,出库单!$K$4:$K$4003,"自用消耗",出库单!$U$4:$U$4003,"正常",出库单!$C$4:$C$4003,"&gt;="&amp;账期起,出库单!$C$4:$C$4003,"&lt;="&amp;账期止))</f>
        <v/>
      </c>
      <c r="Q1061" s="26">
        <f>IF($A1061="","",ROUND(SUMIFS(出库单!$S$4:$S$4003,出库单!$D$4:$D$4003,$A1061,出库单!$K$4:$K$4003,"自用消耗",出库单!$U$4:$U$4003,"正常",出库单!$C$4:$C$4003,"&gt;="&amp;账期起,出库单!$C$4:$C$4003,"&lt;="&amp;账期止),0))</f>
        <v/>
      </c>
      <c r="R1061" s="27">
        <f>IF($A1061="","",SUMIFS(出库单!$J$4:$J$4003,出库单!$D$4:$D$4003,$A1061,出库单!$K$4:$K$4003,"对外销售",出库单!$U$4:$U$4003,"正常",出库单!$C$4:$C$4003,"&gt;="&amp;账期起,出库单!$C$4:$C$4003,"&lt;="&amp;账期止))</f>
        <v/>
      </c>
      <c r="S1061" s="26">
        <f>IF($A1061="","",ROUND(SUMIFS(出库单!$S$4:$S$4003,出库单!$D$4:$D$4003,$A1061,出库单!$K$4:$K$4003,"对外销售",出库单!$U$4:$U$4003,"正常",出库单!$C$4:$C$4003,"&gt;="&amp;账期起,出库单!$C$4:$C$4003,"&lt;="&amp;账期止),0))</f>
        <v/>
      </c>
      <c r="T1061" s="27">
        <f>IF($A1061="","",SUMIFS(出库单!$J$4:$J$4003,出库单!$D$4:$D$4003,$A1061,出库单!$K$4:$K$4003,"盘亏",出库单!$U$4:$U$4003,"正常",出库单!$C$4:$C$4003,"&gt;="&amp;账期起,出库单!$C$4:$C$4003,"&lt;="&amp;账期止))</f>
        <v/>
      </c>
      <c r="U1061" s="26">
        <f>IF($A1061="","",ROUND(SUMIFS(出库单!$S$4:$S$4003,出库单!$D$4:$D$4003,$A1061,出库单!$K$4:$K$4003,"盘亏",出库单!$U$4:$U$4003,"正常",出库单!$C$4:$C$4003,"&gt;="&amp;账期起,出库单!$C$4:$C$4003,"&lt;="&amp;账期止),0))</f>
        <v/>
      </c>
      <c r="V1061" s="27">
        <f>IF($A1061="","",SUMIFS(出库单!$J$4:$J$4003,出库单!$D$4:$D$4003,$A1061,出库单!$K$4:$K$4003,"退货给供应商",出库单!$U$4:$U$4003,"正常",出库单!$C$4:$C$4003,"&gt;="&amp;账期起,出库单!$C$4:$C$4003,"&lt;="&amp;账期止))</f>
        <v/>
      </c>
      <c r="W1061" s="26">
        <f>IF($A1061="","",ROUND(SUMIFS(出库单!$S$4:$S$4003,出库单!$D$4:$D$4003,$A1061,出库单!$K$4:$K$4003,"退货给供应商",出库单!$U$4:$U$4003,"正常",出库单!$C$4:$C$4003,"&gt;="&amp;账期起,出库单!$C$4:$C$4003,"&lt;="&amp;账期止),0))</f>
        <v/>
      </c>
      <c r="X1061" s="27">
        <f>IF($A1061="","",ROUND(N($G1061)+$I1061+$L1061+$N1061-$P1061-$R1061-$T1061-$V1061,3))</f>
        <v/>
      </c>
      <c r="Y1061" s="26">
        <f>IF($A1061="","",ROUND(N($H1061)+$J1061+$M1061+$O1061-$Q1061-$S1061-$U1061-$W1061,0))</f>
        <v/>
      </c>
      <c r="Z1061" s="24">
        <f>IF($A1061="","",IF(COUNTIFS(入库单!$G$4:$G$2503,$A1061,入库单!$Y$4:$Y$2503,"待补价")+COUNTIFS(入库单!$G$4:$G$2503,$A1061,入库单!$Y$4:$Y$2503,"暂估")&gt;0,"不可信","可信"))</f>
        <v/>
      </c>
      <c r="AA1061" s="24">
        <f>IF($A1061="","",IF($X1061&lt;-0.001,"※账面负库存，查一下是不是漏记入库",IF(AND(ROUND($X1061,3)=0,ABS($Y1061)&gt;1),"※数量已经是 0，金额还挂着 "&amp;TEXT($Y1061,"#,##0")&amp;" 先令",IF(AND($X1061&gt;0,$Y1061&lt;=0,$K1061=0),"※有数量没金额（这个物料一直没填过进价）",IF($Z1061="不可信","△成本含待补价/暂估，毛利仅供参考","")))))</f>
        <v/>
      </c>
    </row>
    <row r="1062">
      <c r="A1062" s="24">
        <f>IF(物料档案!$A1061="","",物料档案!$A1061)</f>
        <v/>
      </c>
      <c r="B1062" s="24">
        <f>IF($A1062="","",IFERROR(VLOOKUP($A1062,物料档案!$A$4:$P$1203,3,0),""))</f>
        <v/>
      </c>
      <c r="C1062" s="24">
        <f>IF($A1062="","",IFERROR(VLOOKUP($A1062,物料档案!$A$4:$P$1203,4,0),""))</f>
        <v/>
      </c>
      <c r="D1062" s="24">
        <f>IF($A1062="","",IFERROR(VLOOKUP($A1062,物料档案!$A$4:$P$1203,5,0),""))</f>
        <v/>
      </c>
      <c r="E1062" s="24">
        <f>IF($A1062="","",IFERROR(VLOOKUP($A1062,物料档案!$A$4:$P$1203,2,0),""))</f>
        <v/>
      </c>
      <c r="F1062" s="24">
        <f>IF($A1062="","",IFERROR(VLOOKUP($A1062,物料档案!$A$4:$P$1203,6,0),""))</f>
        <v/>
      </c>
      <c r="G1062" s="23" t="n"/>
      <c r="H1062" s="32" t="n"/>
      <c r="I1062" s="27">
        <f>IF($A1062="","",SUMIFS(入库单!$K$4:$K$2503,入库单!$G$4:$G$2503,$A1062,入库单!$X$4:$X$2503,"采购入库",入库单!$Z$4:$Z$2503,"正常",入库单!$C$4:$C$2503,"&gt;="&amp;账期起,入库单!$C$4:$C$2503,"&lt;="&amp;账期止))</f>
        <v/>
      </c>
      <c r="J1062" s="26">
        <f>IF($A1062="","",SUMIFS(入库单!$V$4:$V$2503,入库单!$G$4:$G$2503,$A1062,入库单!$X$4:$X$2503,"采购入库",入库单!$Z$4:$Z$2503,"正常",入库单!$C$4:$C$2503,"&gt;="&amp;账期起,入库单!$C$4:$C$2503,"&lt;="&amp;账期止))</f>
        <v/>
      </c>
      <c r="K1062" s="26">
        <f>IF($A1062="","",IFERROR(ROUND((N($H1062)+N($J1062))/(N($G1062)+N($I1062)),2),0))</f>
        <v/>
      </c>
      <c r="L1062" s="27">
        <f>IF($A1062="","",SUMIFS(入库单!$K$4:$K$2503,入库单!$G$4:$G$2503,$A1062,入库单!$X$4:$X$2503,"盘盈",入库单!$Z$4:$Z$2503,"正常",入库单!$C$4:$C$2503,"&gt;="&amp;账期起,入库单!$C$4:$C$2503,"&lt;="&amp;账期止))</f>
        <v/>
      </c>
      <c r="M1062" s="26">
        <f>IF($A1062="","",ROUND($L1062*$K1062,0))</f>
        <v/>
      </c>
      <c r="N1062" s="27">
        <f>IF($A1062="","",SUMIFS(入库单!$K$4:$K$2503,入库单!$G$4:$G$2503,$A1062,入库单!$X$4:$X$2503,"矿区退库",入库单!$Z$4:$Z$2503,"正常",入库单!$C$4:$C$2503,"&gt;="&amp;账期起,入库单!$C$4:$C$2503,"&lt;="&amp;账期止))</f>
        <v/>
      </c>
      <c r="O1062" s="26">
        <f>IF($A1062="","",ROUND($N1062*$K1062,0))</f>
        <v/>
      </c>
      <c r="P1062" s="27">
        <f>IF($A1062="","",SUMIFS(出库单!$J$4:$J$4003,出库单!$D$4:$D$4003,$A1062,出库单!$K$4:$K$4003,"自用消耗",出库单!$U$4:$U$4003,"正常",出库单!$C$4:$C$4003,"&gt;="&amp;账期起,出库单!$C$4:$C$4003,"&lt;="&amp;账期止))</f>
        <v/>
      </c>
      <c r="Q1062" s="26">
        <f>IF($A1062="","",ROUND(SUMIFS(出库单!$S$4:$S$4003,出库单!$D$4:$D$4003,$A1062,出库单!$K$4:$K$4003,"自用消耗",出库单!$U$4:$U$4003,"正常",出库单!$C$4:$C$4003,"&gt;="&amp;账期起,出库单!$C$4:$C$4003,"&lt;="&amp;账期止),0))</f>
        <v/>
      </c>
      <c r="R1062" s="27">
        <f>IF($A1062="","",SUMIFS(出库单!$J$4:$J$4003,出库单!$D$4:$D$4003,$A1062,出库单!$K$4:$K$4003,"对外销售",出库单!$U$4:$U$4003,"正常",出库单!$C$4:$C$4003,"&gt;="&amp;账期起,出库单!$C$4:$C$4003,"&lt;="&amp;账期止))</f>
        <v/>
      </c>
      <c r="S1062" s="26">
        <f>IF($A1062="","",ROUND(SUMIFS(出库单!$S$4:$S$4003,出库单!$D$4:$D$4003,$A1062,出库单!$K$4:$K$4003,"对外销售",出库单!$U$4:$U$4003,"正常",出库单!$C$4:$C$4003,"&gt;="&amp;账期起,出库单!$C$4:$C$4003,"&lt;="&amp;账期止),0))</f>
        <v/>
      </c>
      <c r="T1062" s="27">
        <f>IF($A1062="","",SUMIFS(出库单!$J$4:$J$4003,出库单!$D$4:$D$4003,$A1062,出库单!$K$4:$K$4003,"盘亏",出库单!$U$4:$U$4003,"正常",出库单!$C$4:$C$4003,"&gt;="&amp;账期起,出库单!$C$4:$C$4003,"&lt;="&amp;账期止))</f>
        <v/>
      </c>
      <c r="U1062" s="26">
        <f>IF($A1062="","",ROUND(SUMIFS(出库单!$S$4:$S$4003,出库单!$D$4:$D$4003,$A1062,出库单!$K$4:$K$4003,"盘亏",出库单!$U$4:$U$4003,"正常",出库单!$C$4:$C$4003,"&gt;="&amp;账期起,出库单!$C$4:$C$4003,"&lt;="&amp;账期止),0))</f>
        <v/>
      </c>
      <c r="V1062" s="27">
        <f>IF($A1062="","",SUMIFS(出库单!$J$4:$J$4003,出库单!$D$4:$D$4003,$A1062,出库单!$K$4:$K$4003,"退货给供应商",出库单!$U$4:$U$4003,"正常",出库单!$C$4:$C$4003,"&gt;="&amp;账期起,出库单!$C$4:$C$4003,"&lt;="&amp;账期止))</f>
        <v/>
      </c>
      <c r="W1062" s="26">
        <f>IF($A1062="","",ROUND(SUMIFS(出库单!$S$4:$S$4003,出库单!$D$4:$D$4003,$A1062,出库单!$K$4:$K$4003,"退货给供应商",出库单!$U$4:$U$4003,"正常",出库单!$C$4:$C$4003,"&gt;="&amp;账期起,出库单!$C$4:$C$4003,"&lt;="&amp;账期止),0))</f>
        <v/>
      </c>
      <c r="X1062" s="27">
        <f>IF($A1062="","",ROUND(N($G1062)+$I1062+$L1062+$N1062-$P1062-$R1062-$T1062-$V1062,3))</f>
        <v/>
      </c>
      <c r="Y1062" s="26">
        <f>IF($A1062="","",ROUND(N($H1062)+$J1062+$M1062+$O1062-$Q1062-$S1062-$U1062-$W1062,0))</f>
        <v/>
      </c>
      <c r="Z1062" s="24">
        <f>IF($A1062="","",IF(COUNTIFS(入库单!$G$4:$G$2503,$A1062,入库单!$Y$4:$Y$2503,"待补价")+COUNTIFS(入库单!$G$4:$G$2503,$A1062,入库单!$Y$4:$Y$2503,"暂估")&gt;0,"不可信","可信"))</f>
        <v/>
      </c>
      <c r="AA1062" s="24">
        <f>IF($A1062="","",IF($X1062&lt;-0.001,"※账面负库存，查一下是不是漏记入库",IF(AND(ROUND($X1062,3)=0,ABS($Y1062)&gt;1),"※数量已经是 0，金额还挂着 "&amp;TEXT($Y1062,"#,##0")&amp;" 先令",IF(AND($X1062&gt;0,$Y1062&lt;=0,$K1062=0),"※有数量没金额（这个物料一直没填过进价）",IF($Z1062="不可信","△成本含待补价/暂估，毛利仅供参考","")))))</f>
        <v/>
      </c>
    </row>
    <row r="1063">
      <c r="A1063" s="24">
        <f>IF(物料档案!$A1062="","",物料档案!$A1062)</f>
        <v/>
      </c>
      <c r="B1063" s="24">
        <f>IF($A1063="","",IFERROR(VLOOKUP($A1063,物料档案!$A$4:$P$1203,3,0),""))</f>
        <v/>
      </c>
      <c r="C1063" s="24">
        <f>IF($A1063="","",IFERROR(VLOOKUP($A1063,物料档案!$A$4:$P$1203,4,0),""))</f>
        <v/>
      </c>
      <c r="D1063" s="24">
        <f>IF($A1063="","",IFERROR(VLOOKUP($A1063,物料档案!$A$4:$P$1203,5,0),""))</f>
        <v/>
      </c>
      <c r="E1063" s="24">
        <f>IF($A1063="","",IFERROR(VLOOKUP($A1063,物料档案!$A$4:$P$1203,2,0),""))</f>
        <v/>
      </c>
      <c r="F1063" s="24">
        <f>IF($A1063="","",IFERROR(VLOOKUP($A1063,物料档案!$A$4:$P$1203,6,0),""))</f>
        <v/>
      </c>
      <c r="G1063" s="23" t="n"/>
      <c r="H1063" s="32" t="n"/>
      <c r="I1063" s="27">
        <f>IF($A1063="","",SUMIFS(入库单!$K$4:$K$2503,入库单!$G$4:$G$2503,$A1063,入库单!$X$4:$X$2503,"采购入库",入库单!$Z$4:$Z$2503,"正常",入库单!$C$4:$C$2503,"&gt;="&amp;账期起,入库单!$C$4:$C$2503,"&lt;="&amp;账期止))</f>
        <v/>
      </c>
      <c r="J1063" s="26">
        <f>IF($A1063="","",SUMIFS(入库单!$V$4:$V$2503,入库单!$G$4:$G$2503,$A1063,入库单!$X$4:$X$2503,"采购入库",入库单!$Z$4:$Z$2503,"正常",入库单!$C$4:$C$2503,"&gt;="&amp;账期起,入库单!$C$4:$C$2503,"&lt;="&amp;账期止))</f>
        <v/>
      </c>
      <c r="K1063" s="26">
        <f>IF($A1063="","",IFERROR(ROUND((N($H1063)+N($J1063))/(N($G1063)+N($I1063)),2),0))</f>
        <v/>
      </c>
      <c r="L1063" s="27">
        <f>IF($A1063="","",SUMIFS(入库单!$K$4:$K$2503,入库单!$G$4:$G$2503,$A1063,入库单!$X$4:$X$2503,"盘盈",入库单!$Z$4:$Z$2503,"正常",入库单!$C$4:$C$2503,"&gt;="&amp;账期起,入库单!$C$4:$C$2503,"&lt;="&amp;账期止))</f>
        <v/>
      </c>
      <c r="M1063" s="26">
        <f>IF($A1063="","",ROUND($L1063*$K1063,0))</f>
        <v/>
      </c>
      <c r="N1063" s="27">
        <f>IF($A1063="","",SUMIFS(入库单!$K$4:$K$2503,入库单!$G$4:$G$2503,$A1063,入库单!$X$4:$X$2503,"矿区退库",入库单!$Z$4:$Z$2503,"正常",入库单!$C$4:$C$2503,"&gt;="&amp;账期起,入库单!$C$4:$C$2503,"&lt;="&amp;账期止))</f>
        <v/>
      </c>
      <c r="O1063" s="26">
        <f>IF($A1063="","",ROUND($N1063*$K1063,0))</f>
        <v/>
      </c>
      <c r="P1063" s="27">
        <f>IF($A1063="","",SUMIFS(出库单!$J$4:$J$4003,出库单!$D$4:$D$4003,$A1063,出库单!$K$4:$K$4003,"自用消耗",出库单!$U$4:$U$4003,"正常",出库单!$C$4:$C$4003,"&gt;="&amp;账期起,出库单!$C$4:$C$4003,"&lt;="&amp;账期止))</f>
        <v/>
      </c>
      <c r="Q1063" s="26">
        <f>IF($A1063="","",ROUND(SUMIFS(出库单!$S$4:$S$4003,出库单!$D$4:$D$4003,$A1063,出库单!$K$4:$K$4003,"自用消耗",出库单!$U$4:$U$4003,"正常",出库单!$C$4:$C$4003,"&gt;="&amp;账期起,出库单!$C$4:$C$4003,"&lt;="&amp;账期止),0))</f>
        <v/>
      </c>
      <c r="R1063" s="27">
        <f>IF($A1063="","",SUMIFS(出库单!$J$4:$J$4003,出库单!$D$4:$D$4003,$A1063,出库单!$K$4:$K$4003,"对外销售",出库单!$U$4:$U$4003,"正常",出库单!$C$4:$C$4003,"&gt;="&amp;账期起,出库单!$C$4:$C$4003,"&lt;="&amp;账期止))</f>
        <v/>
      </c>
      <c r="S1063" s="26">
        <f>IF($A1063="","",ROUND(SUMIFS(出库单!$S$4:$S$4003,出库单!$D$4:$D$4003,$A1063,出库单!$K$4:$K$4003,"对外销售",出库单!$U$4:$U$4003,"正常",出库单!$C$4:$C$4003,"&gt;="&amp;账期起,出库单!$C$4:$C$4003,"&lt;="&amp;账期止),0))</f>
        <v/>
      </c>
      <c r="T1063" s="27">
        <f>IF($A1063="","",SUMIFS(出库单!$J$4:$J$4003,出库单!$D$4:$D$4003,$A1063,出库单!$K$4:$K$4003,"盘亏",出库单!$U$4:$U$4003,"正常",出库单!$C$4:$C$4003,"&gt;="&amp;账期起,出库单!$C$4:$C$4003,"&lt;="&amp;账期止))</f>
        <v/>
      </c>
      <c r="U1063" s="26">
        <f>IF($A1063="","",ROUND(SUMIFS(出库单!$S$4:$S$4003,出库单!$D$4:$D$4003,$A1063,出库单!$K$4:$K$4003,"盘亏",出库单!$U$4:$U$4003,"正常",出库单!$C$4:$C$4003,"&gt;="&amp;账期起,出库单!$C$4:$C$4003,"&lt;="&amp;账期止),0))</f>
        <v/>
      </c>
      <c r="V1063" s="27">
        <f>IF($A1063="","",SUMIFS(出库单!$J$4:$J$4003,出库单!$D$4:$D$4003,$A1063,出库单!$K$4:$K$4003,"退货给供应商",出库单!$U$4:$U$4003,"正常",出库单!$C$4:$C$4003,"&gt;="&amp;账期起,出库单!$C$4:$C$4003,"&lt;="&amp;账期止))</f>
        <v/>
      </c>
      <c r="W1063" s="26">
        <f>IF($A1063="","",ROUND(SUMIFS(出库单!$S$4:$S$4003,出库单!$D$4:$D$4003,$A1063,出库单!$K$4:$K$4003,"退货给供应商",出库单!$U$4:$U$4003,"正常",出库单!$C$4:$C$4003,"&gt;="&amp;账期起,出库单!$C$4:$C$4003,"&lt;="&amp;账期止),0))</f>
        <v/>
      </c>
      <c r="X1063" s="27">
        <f>IF($A1063="","",ROUND(N($G1063)+$I1063+$L1063+$N1063-$P1063-$R1063-$T1063-$V1063,3))</f>
        <v/>
      </c>
      <c r="Y1063" s="26">
        <f>IF($A1063="","",ROUND(N($H1063)+$J1063+$M1063+$O1063-$Q1063-$S1063-$U1063-$W1063,0))</f>
        <v/>
      </c>
      <c r="Z1063" s="24">
        <f>IF($A1063="","",IF(COUNTIFS(入库单!$G$4:$G$2503,$A1063,入库单!$Y$4:$Y$2503,"待补价")+COUNTIFS(入库单!$G$4:$G$2503,$A1063,入库单!$Y$4:$Y$2503,"暂估")&gt;0,"不可信","可信"))</f>
        <v/>
      </c>
      <c r="AA1063" s="24">
        <f>IF($A1063="","",IF($X1063&lt;-0.001,"※账面负库存，查一下是不是漏记入库",IF(AND(ROUND($X1063,3)=0,ABS($Y1063)&gt;1),"※数量已经是 0，金额还挂着 "&amp;TEXT($Y1063,"#,##0")&amp;" 先令",IF(AND($X1063&gt;0,$Y1063&lt;=0,$K1063=0),"※有数量没金额（这个物料一直没填过进价）",IF($Z1063="不可信","△成本含待补价/暂估，毛利仅供参考","")))))</f>
        <v/>
      </c>
    </row>
    <row r="1064">
      <c r="A1064" s="24">
        <f>IF(物料档案!$A1063="","",物料档案!$A1063)</f>
        <v/>
      </c>
      <c r="B1064" s="24">
        <f>IF($A1064="","",IFERROR(VLOOKUP($A1064,物料档案!$A$4:$P$1203,3,0),""))</f>
        <v/>
      </c>
      <c r="C1064" s="24">
        <f>IF($A1064="","",IFERROR(VLOOKUP($A1064,物料档案!$A$4:$P$1203,4,0),""))</f>
        <v/>
      </c>
      <c r="D1064" s="24">
        <f>IF($A1064="","",IFERROR(VLOOKUP($A1064,物料档案!$A$4:$P$1203,5,0),""))</f>
        <v/>
      </c>
      <c r="E1064" s="24">
        <f>IF($A1064="","",IFERROR(VLOOKUP($A1064,物料档案!$A$4:$P$1203,2,0),""))</f>
        <v/>
      </c>
      <c r="F1064" s="24">
        <f>IF($A1064="","",IFERROR(VLOOKUP($A1064,物料档案!$A$4:$P$1203,6,0),""))</f>
        <v/>
      </c>
      <c r="G1064" s="23" t="n"/>
      <c r="H1064" s="32" t="n"/>
      <c r="I1064" s="27">
        <f>IF($A1064="","",SUMIFS(入库单!$K$4:$K$2503,入库单!$G$4:$G$2503,$A1064,入库单!$X$4:$X$2503,"采购入库",入库单!$Z$4:$Z$2503,"正常",入库单!$C$4:$C$2503,"&gt;="&amp;账期起,入库单!$C$4:$C$2503,"&lt;="&amp;账期止))</f>
        <v/>
      </c>
      <c r="J1064" s="26">
        <f>IF($A1064="","",SUMIFS(入库单!$V$4:$V$2503,入库单!$G$4:$G$2503,$A1064,入库单!$X$4:$X$2503,"采购入库",入库单!$Z$4:$Z$2503,"正常",入库单!$C$4:$C$2503,"&gt;="&amp;账期起,入库单!$C$4:$C$2503,"&lt;="&amp;账期止))</f>
        <v/>
      </c>
      <c r="K1064" s="26">
        <f>IF($A1064="","",IFERROR(ROUND((N($H1064)+N($J1064))/(N($G1064)+N($I1064)),2),0))</f>
        <v/>
      </c>
      <c r="L1064" s="27">
        <f>IF($A1064="","",SUMIFS(入库单!$K$4:$K$2503,入库单!$G$4:$G$2503,$A1064,入库单!$X$4:$X$2503,"盘盈",入库单!$Z$4:$Z$2503,"正常",入库单!$C$4:$C$2503,"&gt;="&amp;账期起,入库单!$C$4:$C$2503,"&lt;="&amp;账期止))</f>
        <v/>
      </c>
      <c r="M1064" s="26">
        <f>IF($A1064="","",ROUND($L1064*$K1064,0))</f>
        <v/>
      </c>
      <c r="N1064" s="27">
        <f>IF($A1064="","",SUMIFS(入库单!$K$4:$K$2503,入库单!$G$4:$G$2503,$A1064,入库单!$X$4:$X$2503,"矿区退库",入库单!$Z$4:$Z$2503,"正常",入库单!$C$4:$C$2503,"&gt;="&amp;账期起,入库单!$C$4:$C$2503,"&lt;="&amp;账期止))</f>
        <v/>
      </c>
      <c r="O1064" s="26">
        <f>IF($A1064="","",ROUND($N1064*$K1064,0))</f>
        <v/>
      </c>
      <c r="P1064" s="27">
        <f>IF($A1064="","",SUMIFS(出库单!$J$4:$J$4003,出库单!$D$4:$D$4003,$A1064,出库单!$K$4:$K$4003,"自用消耗",出库单!$U$4:$U$4003,"正常",出库单!$C$4:$C$4003,"&gt;="&amp;账期起,出库单!$C$4:$C$4003,"&lt;="&amp;账期止))</f>
        <v/>
      </c>
      <c r="Q1064" s="26">
        <f>IF($A1064="","",ROUND(SUMIFS(出库单!$S$4:$S$4003,出库单!$D$4:$D$4003,$A1064,出库单!$K$4:$K$4003,"自用消耗",出库单!$U$4:$U$4003,"正常",出库单!$C$4:$C$4003,"&gt;="&amp;账期起,出库单!$C$4:$C$4003,"&lt;="&amp;账期止),0))</f>
        <v/>
      </c>
      <c r="R1064" s="27">
        <f>IF($A1064="","",SUMIFS(出库单!$J$4:$J$4003,出库单!$D$4:$D$4003,$A1064,出库单!$K$4:$K$4003,"对外销售",出库单!$U$4:$U$4003,"正常",出库单!$C$4:$C$4003,"&gt;="&amp;账期起,出库单!$C$4:$C$4003,"&lt;="&amp;账期止))</f>
        <v/>
      </c>
      <c r="S1064" s="26">
        <f>IF($A1064="","",ROUND(SUMIFS(出库单!$S$4:$S$4003,出库单!$D$4:$D$4003,$A1064,出库单!$K$4:$K$4003,"对外销售",出库单!$U$4:$U$4003,"正常",出库单!$C$4:$C$4003,"&gt;="&amp;账期起,出库单!$C$4:$C$4003,"&lt;="&amp;账期止),0))</f>
        <v/>
      </c>
      <c r="T1064" s="27">
        <f>IF($A1064="","",SUMIFS(出库单!$J$4:$J$4003,出库单!$D$4:$D$4003,$A1064,出库单!$K$4:$K$4003,"盘亏",出库单!$U$4:$U$4003,"正常",出库单!$C$4:$C$4003,"&gt;="&amp;账期起,出库单!$C$4:$C$4003,"&lt;="&amp;账期止))</f>
        <v/>
      </c>
      <c r="U1064" s="26">
        <f>IF($A1064="","",ROUND(SUMIFS(出库单!$S$4:$S$4003,出库单!$D$4:$D$4003,$A1064,出库单!$K$4:$K$4003,"盘亏",出库单!$U$4:$U$4003,"正常",出库单!$C$4:$C$4003,"&gt;="&amp;账期起,出库单!$C$4:$C$4003,"&lt;="&amp;账期止),0))</f>
        <v/>
      </c>
      <c r="V1064" s="27">
        <f>IF($A1064="","",SUMIFS(出库单!$J$4:$J$4003,出库单!$D$4:$D$4003,$A1064,出库单!$K$4:$K$4003,"退货给供应商",出库单!$U$4:$U$4003,"正常",出库单!$C$4:$C$4003,"&gt;="&amp;账期起,出库单!$C$4:$C$4003,"&lt;="&amp;账期止))</f>
        <v/>
      </c>
      <c r="W1064" s="26">
        <f>IF($A1064="","",ROUND(SUMIFS(出库单!$S$4:$S$4003,出库单!$D$4:$D$4003,$A1064,出库单!$K$4:$K$4003,"退货给供应商",出库单!$U$4:$U$4003,"正常",出库单!$C$4:$C$4003,"&gt;="&amp;账期起,出库单!$C$4:$C$4003,"&lt;="&amp;账期止),0))</f>
        <v/>
      </c>
      <c r="X1064" s="27">
        <f>IF($A1064="","",ROUND(N($G1064)+$I1064+$L1064+$N1064-$P1064-$R1064-$T1064-$V1064,3))</f>
        <v/>
      </c>
      <c r="Y1064" s="26">
        <f>IF($A1064="","",ROUND(N($H1064)+$J1064+$M1064+$O1064-$Q1064-$S1064-$U1064-$W1064,0))</f>
        <v/>
      </c>
      <c r="Z1064" s="24">
        <f>IF($A1064="","",IF(COUNTIFS(入库单!$G$4:$G$2503,$A1064,入库单!$Y$4:$Y$2503,"待补价")+COUNTIFS(入库单!$G$4:$G$2503,$A1064,入库单!$Y$4:$Y$2503,"暂估")&gt;0,"不可信","可信"))</f>
        <v/>
      </c>
      <c r="AA1064" s="24">
        <f>IF($A1064="","",IF($X1064&lt;-0.001,"※账面负库存，查一下是不是漏记入库",IF(AND(ROUND($X1064,3)=0,ABS($Y1064)&gt;1),"※数量已经是 0，金额还挂着 "&amp;TEXT($Y1064,"#,##0")&amp;" 先令",IF(AND($X1064&gt;0,$Y1064&lt;=0,$K1064=0),"※有数量没金额（这个物料一直没填过进价）",IF($Z1064="不可信","△成本含待补价/暂估，毛利仅供参考","")))))</f>
        <v/>
      </c>
    </row>
    <row r="1065">
      <c r="A1065" s="24">
        <f>IF(物料档案!$A1064="","",物料档案!$A1064)</f>
        <v/>
      </c>
      <c r="B1065" s="24">
        <f>IF($A1065="","",IFERROR(VLOOKUP($A1065,物料档案!$A$4:$P$1203,3,0),""))</f>
        <v/>
      </c>
      <c r="C1065" s="24">
        <f>IF($A1065="","",IFERROR(VLOOKUP($A1065,物料档案!$A$4:$P$1203,4,0),""))</f>
        <v/>
      </c>
      <c r="D1065" s="24">
        <f>IF($A1065="","",IFERROR(VLOOKUP($A1065,物料档案!$A$4:$P$1203,5,0),""))</f>
        <v/>
      </c>
      <c r="E1065" s="24">
        <f>IF($A1065="","",IFERROR(VLOOKUP($A1065,物料档案!$A$4:$P$1203,2,0),""))</f>
        <v/>
      </c>
      <c r="F1065" s="24">
        <f>IF($A1065="","",IFERROR(VLOOKUP($A1065,物料档案!$A$4:$P$1203,6,0),""))</f>
        <v/>
      </c>
      <c r="G1065" s="23" t="n"/>
      <c r="H1065" s="32" t="n"/>
      <c r="I1065" s="27">
        <f>IF($A1065="","",SUMIFS(入库单!$K$4:$K$2503,入库单!$G$4:$G$2503,$A1065,入库单!$X$4:$X$2503,"采购入库",入库单!$Z$4:$Z$2503,"正常",入库单!$C$4:$C$2503,"&gt;="&amp;账期起,入库单!$C$4:$C$2503,"&lt;="&amp;账期止))</f>
        <v/>
      </c>
      <c r="J1065" s="26">
        <f>IF($A1065="","",SUMIFS(入库单!$V$4:$V$2503,入库单!$G$4:$G$2503,$A1065,入库单!$X$4:$X$2503,"采购入库",入库单!$Z$4:$Z$2503,"正常",入库单!$C$4:$C$2503,"&gt;="&amp;账期起,入库单!$C$4:$C$2503,"&lt;="&amp;账期止))</f>
        <v/>
      </c>
      <c r="K1065" s="26">
        <f>IF($A1065="","",IFERROR(ROUND((N($H1065)+N($J1065))/(N($G1065)+N($I1065)),2),0))</f>
        <v/>
      </c>
      <c r="L1065" s="27">
        <f>IF($A1065="","",SUMIFS(入库单!$K$4:$K$2503,入库单!$G$4:$G$2503,$A1065,入库单!$X$4:$X$2503,"盘盈",入库单!$Z$4:$Z$2503,"正常",入库单!$C$4:$C$2503,"&gt;="&amp;账期起,入库单!$C$4:$C$2503,"&lt;="&amp;账期止))</f>
        <v/>
      </c>
      <c r="M1065" s="26">
        <f>IF($A1065="","",ROUND($L1065*$K1065,0))</f>
        <v/>
      </c>
      <c r="N1065" s="27">
        <f>IF($A1065="","",SUMIFS(入库单!$K$4:$K$2503,入库单!$G$4:$G$2503,$A1065,入库单!$X$4:$X$2503,"矿区退库",入库单!$Z$4:$Z$2503,"正常",入库单!$C$4:$C$2503,"&gt;="&amp;账期起,入库单!$C$4:$C$2503,"&lt;="&amp;账期止))</f>
        <v/>
      </c>
      <c r="O1065" s="26">
        <f>IF($A1065="","",ROUND($N1065*$K1065,0))</f>
        <v/>
      </c>
      <c r="P1065" s="27">
        <f>IF($A1065="","",SUMIFS(出库单!$J$4:$J$4003,出库单!$D$4:$D$4003,$A1065,出库单!$K$4:$K$4003,"自用消耗",出库单!$U$4:$U$4003,"正常",出库单!$C$4:$C$4003,"&gt;="&amp;账期起,出库单!$C$4:$C$4003,"&lt;="&amp;账期止))</f>
        <v/>
      </c>
      <c r="Q1065" s="26">
        <f>IF($A1065="","",ROUND(SUMIFS(出库单!$S$4:$S$4003,出库单!$D$4:$D$4003,$A1065,出库单!$K$4:$K$4003,"自用消耗",出库单!$U$4:$U$4003,"正常",出库单!$C$4:$C$4003,"&gt;="&amp;账期起,出库单!$C$4:$C$4003,"&lt;="&amp;账期止),0))</f>
        <v/>
      </c>
      <c r="R1065" s="27">
        <f>IF($A1065="","",SUMIFS(出库单!$J$4:$J$4003,出库单!$D$4:$D$4003,$A1065,出库单!$K$4:$K$4003,"对外销售",出库单!$U$4:$U$4003,"正常",出库单!$C$4:$C$4003,"&gt;="&amp;账期起,出库单!$C$4:$C$4003,"&lt;="&amp;账期止))</f>
        <v/>
      </c>
      <c r="S1065" s="26">
        <f>IF($A1065="","",ROUND(SUMIFS(出库单!$S$4:$S$4003,出库单!$D$4:$D$4003,$A1065,出库单!$K$4:$K$4003,"对外销售",出库单!$U$4:$U$4003,"正常",出库单!$C$4:$C$4003,"&gt;="&amp;账期起,出库单!$C$4:$C$4003,"&lt;="&amp;账期止),0))</f>
        <v/>
      </c>
      <c r="T1065" s="27">
        <f>IF($A1065="","",SUMIFS(出库单!$J$4:$J$4003,出库单!$D$4:$D$4003,$A1065,出库单!$K$4:$K$4003,"盘亏",出库单!$U$4:$U$4003,"正常",出库单!$C$4:$C$4003,"&gt;="&amp;账期起,出库单!$C$4:$C$4003,"&lt;="&amp;账期止))</f>
        <v/>
      </c>
      <c r="U1065" s="26">
        <f>IF($A1065="","",ROUND(SUMIFS(出库单!$S$4:$S$4003,出库单!$D$4:$D$4003,$A1065,出库单!$K$4:$K$4003,"盘亏",出库单!$U$4:$U$4003,"正常",出库单!$C$4:$C$4003,"&gt;="&amp;账期起,出库单!$C$4:$C$4003,"&lt;="&amp;账期止),0))</f>
        <v/>
      </c>
      <c r="V1065" s="27">
        <f>IF($A1065="","",SUMIFS(出库单!$J$4:$J$4003,出库单!$D$4:$D$4003,$A1065,出库单!$K$4:$K$4003,"退货给供应商",出库单!$U$4:$U$4003,"正常",出库单!$C$4:$C$4003,"&gt;="&amp;账期起,出库单!$C$4:$C$4003,"&lt;="&amp;账期止))</f>
        <v/>
      </c>
      <c r="W1065" s="26">
        <f>IF($A1065="","",ROUND(SUMIFS(出库单!$S$4:$S$4003,出库单!$D$4:$D$4003,$A1065,出库单!$K$4:$K$4003,"退货给供应商",出库单!$U$4:$U$4003,"正常",出库单!$C$4:$C$4003,"&gt;="&amp;账期起,出库单!$C$4:$C$4003,"&lt;="&amp;账期止),0))</f>
        <v/>
      </c>
      <c r="X1065" s="27">
        <f>IF($A1065="","",ROUND(N($G1065)+$I1065+$L1065+$N1065-$P1065-$R1065-$T1065-$V1065,3))</f>
        <v/>
      </c>
      <c r="Y1065" s="26">
        <f>IF($A1065="","",ROUND(N($H1065)+$J1065+$M1065+$O1065-$Q1065-$S1065-$U1065-$W1065,0))</f>
        <v/>
      </c>
      <c r="Z1065" s="24">
        <f>IF($A1065="","",IF(COUNTIFS(入库单!$G$4:$G$2503,$A1065,入库单!$Y$4:$Y$2503,"待补价")+COUNTIFS(入库单!$G$4:$G$2503,$A1065,入库单!$Y$4:$Y$2503,"暂估")&gt;0,"不可信","可信"))</f>
        <v/>
      </c>
      <c r="AA1065" s="24">
        <f>IF($A1065="","",IF($X1065&lt;-0.001,"※账面负库存，查一下是不是漏记入库",IF(AND(ROUND($X1065,3)=0,ABS($Y1065)&gt;1),"※数量已经是 0，金额还挂着 "&amp;TEXT($Y1065,"#,##0")&amp;" 先令",IF(AND($X1065&gt;0,$Y1065&lt;=0,$K1065=0),"※有数量没金额（这个物料一直没填过进价）",IF($Z1065="不可信","△成本含待补价/暂估，毛利仅供参考","")))))</f>
        <v/>
      </c>
    </row>
    <row r="1066">
      <c r="A1066" s="24">
        <f>IF(物料档案!$A1065="","",物料档案!$A1065)</f>
        <v/>
      </c>
      <c r="B1066" s="24">
        <f>IF($A1066="","",IFERROR(VLOOKUP($A1066,物料档案!$A$4:$P$1203,3,0),""))</f>
        <v/>
      </c>
      <c r="C1066" s="24">
        <f>IF($A1066="","",IFERROR(VLOOKUP($A1066,物料档案!$A$4:$P$1203,4,0),""))</f>
        <v/>
      </c>
      <c r="D1066" s="24">
        <f>IF($A1066="","",IFERROR(VLOOKUP($A1066,物料档案!$A$4:$P$1203,5,0),""))</f>
        <v/>
      </c>
      <c r="E1066" s="24">
        <f>IF($A1066="","",IFERROR(VLOOKUP($A1066,物料档案!$A$4:$P$1203,2,0),""))</f>
        <v/>
      </c>
      <c r="F1066" s="24">
        <f>IF($A1066="","",IFERROR(VLOOKUP($A1066,物料档案!$A$4:$P$1203,6,0),""))</f>
        <v/>
      </c>
      <c r="G1066" s="23" t="n"/>
      <c r="H1066" s="32" t="n"/>
      <c r="I1066" s="27">
        <f>IF($A1066="","",SUMIFS(入库单!$K$4:$K$2503,入库单!$G$4:$G$2503,$A1066,入库单!$X$4:$X$2503,"采购入库",入库单!$Z$4:$Z$2503,"正常",入库单!$C$4:$C$2503,"&gt;="&amp;账期起,入库单!$C$4:$C$2503,"&lt;="&amp;账期止))</f>
        <v/>
      </c>
      <c r="J1066" s="26">
        <f>IF($A1066="","",SUMIFS(入库单!$V$4:$V$2503,入库单!$G$4:$G$2503,$A1066,入库单!$X$4:$X$2503,"采购入库",入库单!$Z$4:$Z$2503,"正常",入库单!$C$4:$C$2503,"&gt;="&amp;账期起,入库单!$C$4:$C$2503,"&lt;="&amp;账期止))</f>
        <v/>
      </c>
      <c r="K1066" s="26">
        <f>IF($A1066="","",IFERROR(ROUND((N($H1066)+N($J1066))/(N($G1066)+N($I1066)),2),0))</f>
        <v/>
      </c>
      <c r="L1066" s="27">
        <f>IF($A1066="","",SUMIFS(入库单!$K$4:$K$2503,入库单!$G$4:$G$2503,$A1066,入库单!$X$4:$X$2503,"盘盈",入库单!$Z$4:$Z$2503,"正常",入库单!$C$4:$C$2503,"&gt;="&amp;账期起,入库单!$C$4:$C$2503,"&lt;="&amp;账期止))</f>
        <v/>
      </c>
      <c r="M1066" s="26">
        <f>IF($A1066="","",ROUND($L1066*$K1066,0))</f>
        <v/>
      </c>
      <c r="N1066" s="27">
        <f>IF($A1066="","",SUMIFS(入库单!$K$4:$K$2503,入库单!$G$4:$G$2503,$A1066,入库单!$X$4:$X$2503,"矿区退库",入库单!$Z$4:$Z$2503,"正常",入库单!$C$4:$C$2503,"&gt;="&amp;账期起,入库单!$C$4:$C$2503,"&lt;="&amp;账期止))</f>
        <v/>
      </c>
      <c r="O1066" s="26">
        <f>IF($A1066="","",ROUND($N1066*$K1066,0))</f>
        <v/>
      </c>
      <c r="P1066" s="27">
        <f>IF($A1066="","",SUMIFS(出库单!$J$4:$J$4003,出库单!$D$4:$D$4003,$A1066,出库单!$K$4:$K$4003,"自用消耗",出库单!$U$4:$U$4003,"正常",出库单!$C$4:$C$4003,"&gt;="&amp;账期起,出库单!$C$4:$C$4003,"&lt;="&amp;账期止))</f>
        <v/>
      </c>
      <c r="Q1066" s="26">
        <f>IF($A1066="","",ROUND(SUMIFS(出库单!$S$4:$S$4003,出库单!$D$4:$D$4003,$A1066,出库单!$K$4:$K$4003,"自用消耗",出库单!$U$4:$U$4003,"正常",出库单!$C$4:$C$4003,"&gt;="&amp;账期起,出库单!$C$4:$C$4003,"&lt;="&amp;账期止),0))</f>
        <v/>
      </c>
      <c r="R1066" s="27">
        <f>IF($A1066="","",SUMIFS(出库单!$J$4:$J$4003,出库单!$D$4:$D$4003,$A1066,出库单!$K$4:$K$4003,"对外销售",出库单!$U$4:$U$4003,"正常",出库单!$C$4:$C$4003,"&gt;="&amp;账期起,出库单!$C$4:$C$4003,"&lt;="&amp;账期止))</f>
        <v/>
      </c>
      <c r="S1066" s="26">
        <f>IF($A1066="","",ROUND(SUMIFS(出库单!$S$4:$S$4003,出库单!$D$4:$D$4003,$A1066,出库单!$K$4:$K$4003,"对外销售",出库单!$U$4:$U$4003,"正常",出库单!$C$4:$C$4003,"&gt;="&amp;账期起,出库单!$C$4:$C$4003,"&lt;="&amp;账期止),0))</f>
        <v/>
      </c>
      <c r="T1066" s="27">
        <f>IF($A1066="","",SUMIFS(出库单!$J$4:$J$4003,出库单!$D$4:$D$4003,$A1066,出库单!$K$4:$K$4003,"盘亏",出库单!$U$4:$U$4003,"正常",出库单!$C$4:$C$4003,"&gt;="&amp;账期起,出库单!$C$4:$C$4003,"&lt;="&amp;账期止))</f>
        <v/>
      </c>
      <c r="U1066" s="26">
        <f>IF($A1066="","",ROUND(SUMIFS(出库单!$S$4:$S$4003,出库单!$D$4:$D$4003,$A1066,出库单!$K$4:$K$4003,"盘亏",出库单!$U$4:$U$4003,"正常",出库单!$C$4:$C$4003,"&gt;="&amp;账期起,出库单!$C$4:$C$4003,"&lt;="&amp;账期止),0))</f>
        <v/>
      </c>
      <c r="V1066" s="27">
        <f>IF($A1066="","",SUMIFS(出库单!$J$4:$J$4003,出库单!$D$4:$D$4003,$A1066,出库单!$K$4:$K$4003,"退货给供应商",出库单!$U$4:$U$4003,"正常",出库单!$C$4:$C$4003,"&gt;="&amp;账期起,出库单!$C$4:$C$4003,"&lt;="&amp;账期止))</f>
        <v/>
      </c>
      <c r="W1066" s="26">
        <f>IF($A1066="","",ROUND(SUMIFS(出库单!$S$4:$S$4003,出库单!$D$4:$D$4003,$A1066,出库单!$K$4:$K$4003,"退货给供应商",出库单!$U$4:$U$4003,"正常",出库单!$C$4:$C$4003,"&gt;="&amp;账期起,出库单!$C$4:$C$4003,"&lt;="&amp;账期止),0))</f>
        <v/>
      </c>
      <c r="X1066" s="27">
        <f>IF($A1066="","",ROUND(N($G1066)+$I1066+$L1066+$N1066-$P1066-$R1066-$T1066-$V1066,3))</f>
        <v/>
      </c>
      <c r="Y1066" s="26">
        <f>IF($A1066="","",ROUND(N($H1066)+$J1066+$M1066+$O1066-$Q1066-$S1066-$U1066-$W1066,0))</f>
        <v/>
      </c>
      <c r="Z1066" s="24">
        <f>IF($A1066="","",IF(COUNTIFS(入库单!$G$4:$G$2503,$A1066,入库单!$Y$4:$Y$2503,"待补价")+COUNTIFS(入库单!$G$4:$G$2503,$A1066,入库单!$Y$4:$Y$2503,"暂估")&gt;0,"不可信","可信"))</f>
        <v/>
      </c>
      <c r="AA1066" s="24">
        <f>IF($A1066="","",IF($X1066&lt;-0.001,"※账面负库存，查一下是不是漏记入库",IF(AND(ROUND($X1066,3)=0,ABS($Y1066)&gt;1),"※数量已经是 0，金额还挂着 "&amp;TEXT($Y1066,"#,##0")&amp;" 先令",IF(AND($X1066&gt;0,$Y1066&lt;=0,$K1066=0),"※有数量没金额（这个物料一直没填过进价）",IF($Z1066="不可信","△成本含待补价/暂估，毛利仅供参考","")))))</f>
        <v/>
      </c>
    </row>
    <row r="1067">
      <c r="A1067" s="24">
        <f>IF(物料档案!$A1066="","",物料档案!$A1066)</f>
        <v/>
      </c>
      <c r="B1067" s="24">
        <f>IF($A1067="","",IFERROR(VLOOKUP($A1067,物料档案!$A$4:$P$1203,3,0),""))</f>
        <v/>
      </c>
      <c r="C1067" s="24">
        <f>IF($A1067="","",IFERROR(VLOOKUP($A1067,物料档案!$A$4:$P$1203,4,0),""))</f>
        <v/>
      </c>
      <c r="D1067" s="24">
        <f>IF($A1067="","",IFERROR(VLOOKUP($A1067,物料档案!$A$4:$P$1203,5,0),""))</f>
        <v/>
      </c>
      <c r="E1067" s="24">
        <f>IF($A1067="","",IFERROR(VLOOKUP($A1067,物料档案!$A$4:$P$1203,2,0),""))</f>
        <v/>
      </c>
      <c r="F1067" s="24">
        <f>IF($A1067="","",IFERROR(VLOOKUP($A1067,物料档案!$A$4:$P$1203,6,0),""))</f>
        <v/>
      </c>
      <c r="G1067" s="23" t="n"/>
      <c r="H1067" s="32" t="n"/>
      <c r="I1067" s="27">
        <f>IF($A1067="","",SUMIFS(入库单!$K$4:$K$2503,入库单!$G$4:$G$2503,$A1067,入库单!$X$4:$X$2503,"采购入库",入库单!$Z$4:$Z$2503,"正常",入库单!$C$4:$C$2503,"&gt;="&amp;账期起,入库单!$C$4:$C$2503,"&lt;="&amp;账期止))</f>
        <v/>
      </c>
      <c r="J1067" s="26">
        <f>IF($A1067="","",SUMIFS(入库单!$V$4:$V$2503,入库单!$G$4:$G$2503,$A1067,入库单!$X$4:$X$2503,"采购入库",入库单!$Z$4:$Z$2503,"正常",入库单!$C$4:$C$2503,"&gt;="&amp;账期起,入库单!$C$4:$C$2503,"&lt;="&amp;账期止))</f>
        <v/>
      </c>
      <c r="K1067" s="26">
        <f>IF($A1067="","",IFERROR(ROUND((N($H1067)+N($J1067))/(N($G1067)+N($I1067)),2),0))</f>
        <v/>
      </c>
      <c r="L1067" s="27">
        <f>IF($A1067="","",SUMIFS(入库单!$K$4:$K$2503,入库单!$G$4:$G$2503,$A1067,入库单!$X$4:$X$2503,"盘盈",入库单!$Z$4:$Z$2503,"正常",入库单!$C$4:$C$2503,"&gt;="&amp;账期起,入库单!$C$4:$C$2503,"&lt;="&amp;账期止))</f>
        <v/>
      </c>
      <c r="M1067" s="26">
        <f>IF($A1067="","",ROUND($L1067*$K1067,0))</f>
        <v/>
      </c>
      <c r="N1067" s="27">
        <f>IF($A1067="","",SUMIFS(入库单!$K$4:$K$2503,入库单!$G$4:$G$2503,$A1067,入库单!$X$4:$X$2503,"矿区退库",入库单!$Z$4:$Z$2503,"正常",入库单!$C$4:$C$2503,"&gt;="&amp;账期起,入库单!$C$4:$C$2503,"&lt;="&amp;账期止))</f>
        <v/>
      </c>
      <c r="O1067" s="26">
        <f>IF($A1067="","",ROUND($N1067*$K1067,0))</f>
        <v/>
      </c>
      <c r="P1067" s="27">
        <f>IF($A1067="","",SUMIFS(出库单!$J$4:$J$4003,出库单!$D$4:$D$4003,$A1067,出库单!$K$4:$K$4003,"自用消耗",出库单!$U$4:$U$4003,"正常",出库单!$C$4:$C$4003,"&gt;="&amp;账期起,出库单!$C$4:$C$4003,"&lt;="&amp;账期止))</f>
        <v/>
      </c>
      <c r="Q1067" s="26">
        <f>IF($A1067="","",ROUND(SUMIFS(出库单!$S$4:$S$4003,出库单!$D$4:$D$4003,$A1067,出库单!$K$4:$K$4003,"自用消耗",出库单!$U$4:$U$4003,"正常",出库单!$C$4:$C$4003,"&gt;="&amp;账期起,出库单!$C$4:$C$4003,"&lt;="&amp;账期止),0))</f>
        <v/>
      </c>
      <c r="R1067" s="27">
        <f>IF($A1067="","",SUMIFS(出库单!$J$4:$J$4003,出库单!$D$4:$D$4003,$A1067,出库单!$K$4:$K$4003,"对外销售",出库单!$U$4:$U$4003,"正常",出库单!$C$4:$C$4003,"&gt;="&amp;账期起,出库单!$C$4:$C$4003,"&lt;="&amp;账期止))</f>
        <v/>
      </c>
      <c r="S1067" s="26">
        <f>IF($A1067="","",ROUND(SUMIFS(出库单!$S$4:$S$4003,出库单!$D$4:$D$4003,$A1067,出库单!$K$4:$K$4003,"对外销售",出库单!$U$4:$U$4003,"正常",出库单!$C$4:$C$4003,"&gt;="&amp;账期起,出库单!$C$4:$C$4003,"&lt;="&amp;账期止),0))</f>
        <v/>
      </c>
      <c r="T1067" s="27">
        <f>IF($A1067="","",SUMIFS(出库单!$J$4:$J$4003,出库单!$D$4:$D$4003,$A1067,出库单!$K$4:$K$4003,"盘亏",出库单!$U$4:$U$4003,"正常",出库单!$C$4:$C$4003,"&gt;="&amp;账期起,出库单!$C$4:$C$4003,"&lt;="&amp;账期止))</f>
        <v/>
      </c>
      <c r="U1067" s="26">
        <f>IF($A1067="","",ROUND(SUMIFS(出库单!$S$4:$S$4003,出库单!$D$4:$D$4003,$A1067,出库单!$K$4:$K$4003,"盘亏",出库单!$U$4:$U$4003,"正常",出库单!$C$4:$C$4003,"&gt;="&amp;账期起,出库单!$C$4:$C$4003,"&lt;="&amp;账期止),0))</f>
        <v/>
      </c>
      <c r="V1067" s="27">
        <f>IF($A1067="","",SUMIFS(出库单!$J$4:$J$4003,出库单!$D$4:$D$4003,$A1067,出库单!$K$4:$K$4003,"退货给供应商",出库单!$U$4:$U$4003,"正常",出库单!$C$4:$C$4003,"&gt;="&amp;账期起,出库单!$C$4:$C$4003,"&lt;="&amp;账期止))</f>
        <v/>
      </c>
      <c r="W1067" s="26">
        <f>IF($A1067="","",ROUND(SUMIFS(出库单!$S$4:$S$4003,出库单!$D$4:$D$4003,$A1067,出库单!$K$4:$K$4003,"退货给供应商",出库单!$U$4:$U$4003,"正常",出库单!$C$4:$C$4003,"&gt;="&amp;账期起,出库单!$C$4:$C$4003,"&lt;="&amp;账期止),0))</f>
        <v/>
      </c>
      <c r="X1067" s="27">
        <f>IF($A1067="","",ROUND(N($G1067)+$I1067+$L1067+$N1067-$P1067-$R1067-$T1067-$V1067,3))</f>
        <v/>
      </c>
      <c r="Y1067" s="26">
        <f>IF($A1067="","",ROUND(N($H1067)+$J1067+$M1067+$O1067-$Q1067-$S1067-$U1067-$W1067,0))</f>
        <v/>
      </c>
      <c r="Z1067" s="24">
        <f>IF($A1067="","",IF(COUNTIFS(入库单!$G$4:$G$2503,$A1067,入库单!$Y$4:$Y$2503,"待补价")+COUNTIFS(入库单!$G$4:$G$2503,$A1067,入库单!$Y$4:$Y$2503,"暂估")&gt;0,"不可信","可信"))</f>
        <v/>
      </c>
      <c r="AA1067" s="24">
        <f>IF($A1067="","",IF($X1067&lt;-0.001,"※账面负库存，查一下是不是漏记入库",IF(AND(ROUND($X1067,3)=0,ABS($Y1067)&gt;1),"※数量已经是 0，金额还挂着 "&amp;TEXT($Y1067,"#,##0")&amp;" 先令",IF(AND($X1067&gt;0,$Y1067&lt;=0,$K1067=0),"※有数量没金额（这个物料一直没填过进价）",IF($Z1067="不可信","△成本含待补价/暂估，毛利仅供参考","")))))</f>
        <v/>
      </c>
    </row>
    <row r="1068">
      <c r="A1068" s="24">
        <f>IF(物料档案!$A1067="","",物料档案!$A1067)</f>
        <v/>
      </c>
      <c r="B1068" s="24">
        <f>IF($A1068="","",IFERROR(VLOOKUP($A1068,物料档案!$A$4:$P$1203,3,0),""))</f>
        <v/>
      </c>
      <c r="C1068" s="24">
        <f>IF($A1068="","",IFERROR(VLOOKUP($A1068,物料档案!$A$4:$P$1203,4,0),""))</f>
        <v/>
      </c>
      <c r="D1068" s="24">
        <f>IF($A1068="","",IFERROR(VLOOKUP($A1068,物料档案!$A$4:$P$1203,5,0),""))</f>
        <v/>
      </c>
      <c r="E1068" s="24">
        <f>IF($A1068="","",IFERROR(VLOOKUP($A1068,物料档案!$A$4:$P$1203,2,0),""))</f>
        <v/>
      </c>
      <c r="F1068" s="24">
        <f>IF($A1068="","",IFERROR(VLOOKUP($A1068,物料档案!$A$4:$P$1203,6,0),""))</f>
        <v/>
      </c>
      <c r="G1068" s="23" t="n"/>
      <c r="H1068" s="32" t="n"/>
      <c r="I1068" s="27">
        <f>IF($A1068="","",SUMIFS(入库单!$K$4:$K$2503,入库单!$G$4:$G$2503,$A1068,入库单!$X$4:$X$2503,"采购入库",入库单!$Z$4:$Z$2503,"正常",入库单!$C$4:$C$2503,"&gt;="&amp;账期起,入库单!$C$4:$C$2503,"&lt;="&amp;账期止))</f>
        <v/>
      </c>
      <c r="J1068" s="26">
        <f>IF($A1068="","",SUMIFS(入库单!$V$4:$V$2503,入库单!$G$4:$G$2503,$A1068,入库单!$X$4:$X$2503,"采购入库",入库单!$Z$4:$Z$2503,"正常",入库单!$C$4:$C$2503,"&gt;="&amp;账期起,入库单!$C$4:$C$2503,"&lt;="&amp;账期止))</f>
        <v/>
      </c>
      <c r="K1068" s="26">
        <f>IF($A1068="","",IFERROR(ROUND((N($H1068)+N($J1068))/(N($G1068)+N($I1068)),2),0))</f>
        <v/>
      </c>
      <c r="L1068" s="27">
        <f>IF($A1068="","",SUMIFS(入库单!$K$4:$K$2503,入库单!$G$4:$G$2503,$A1068,入库单!$X$4:$X$2503,"盘盈",入库单!$Z$4:$Z$2503,"正常",入库单!$C$4:$C$2503,"&gt;="&amp;账期起,入库单!$C$4:$C$2503,"&lt;="&amp;账期止))</f>
        <v/>
      </c>
      <c r="M1068" s="26">
        <f>IF($A1068="","",ROUND($L1068*$K1068,0))</f>
        <v/>
      </c>
      <c r="N1068" s="27">
        <f>IF($A1068="","",SUMIFS(入库单!$K$4:$K$2503,入库单!$G$4:$G$2503,$A1068,入库单!$X$4:$X$2503,"矿区退库",入库单!$Z$4:$Z$2503,"正常",入库单!$C$4:$C$2503,"&gt;="&amp;账期起,入库单!$C$4:$C$2503,"&lt;="&amp;账期止))</f>
        <v/>
      </c>
      <c r="O1068" s="26">
        <f>IF($A1068="","",ROUND($N1068*$K1068,0))</f>
        <v/>
      </c>
      <c r="P1068" s="27">
        <f>IF($A1068="","",SUMIFS(出库单!$J$4:$J$4003,出库单!$D$4:$D$4003,$A1068,出库单!$K$4:$K$4003,"自用消耗",出库单!$U$4:$U$4003,"正常",出库单!$C$4:$C$4003,"&gt;="&amp;账期起,出库单!$C$4:$C$4003,"&lt;="&amp;账期止))</f>
        <v/>
      </c>
      <c r="Q1068" s="26">
        <f>IF($A1068="","",ROUND(SUMIFS(出库单!$S$4:$S$4003,出库单!$D$4:$D$4003,$A1068,出库单!$K$4:$K$4003,"自用消耗",出库单!$U$4:$U$4003,"正常",出库单!$C$4:$C$4003,"&gt;="&amp;账期起,出库单!$C$4:$C$4003,"&lt;="&amp;账期止),0))</f>
        <v/>
      </c>
      <c r="R1068" s="27">
        <f>IF($A1068="","",SUMIFS(出库单!$J$4:$J$4003,出库单!$D$4:$D$4003,$A1068,出库单!$K$4:$K$4003,"对外销售",出库单!$U$4:$U$4003,"正常",出库单!$C$4:$C$4003,"&gt;="&amp;账期起,出库单!$C$4:$C$4003,"&lt;="&amp;账期止))</f>
        <v/>
      </c>
      <c r="S1068" s="26">
        <f>IF($A1068="","",ROUND(SUMIFS(出库单!$S$4:$S$4003,出库单!$D$4:$D$4003,$A1068,出库单!$K$4:$K$4003,"对外销售",出库单!$U$4:$U$4003,"正常",出库单!$C$4:$C$4003,"&gt;="&amp;账期起,出库单!$C$4:$C$4003,"&lt;="&amp;账期止),0))</f>
        <v/>
      </c>
      <c r="T1068" s="27">
        <f>IF($A1068="","",SUMIFS(出库单!$J$4:$J$4003,出库单!$D$4:$D$4003,$A1068,出库单!$K$4:$K$4003,"盘亏",出库单!$U$4:$U$4003,"正常",出库单!$C$4:$C$4003,"&gt;="&amp;账期起,出库单!$C$4:$C$4003,"&lt;="&amp;账期止))</f>
        <v/>
      </c>
      <c r="U1068" s="26">
        <f>IF($A1068="","",ROUND(SUMIFS(出库单!$S$4:$S$4003,出库单!$D$4:$D$4003,$A1068,出库单!$K$4:$K$4003,"盘亏",出库单!$U$4:$U$4003,"正常",出库单!$C$4:$C$4003,"&gt;="&amp;账期起,出库单!$C$4:$C$4003,"&lt;="&amp;账期止),0))</f>
        <v/>
      </c>
      <c r="V1068" s="27">
        <f>IF($A1068="","",SUMIFS(出库单!$J$4:$J$4003,出库单!$D$4:$D$4003,$A1068,出库单!$K$4:$K$4003,"退货给供应商",出库单!$U$4:$U$4003,"正常",出库单!$C$4:$C$4003,"&gt;="&amp;账期起,出库单!$C$4:$C$4003,"&lt;="&amp;账期止))</f>
        <v/>
      </c>
      <c r="W1068" s="26">
        <f>IF($A1068="","",ROUND(SUMIFS(出库单!$S$4:$S$4003,出库单!$D$4:$D$4003,$A1068,出库单!$K$4:$K$4003,"退货给供应商",出库单!$U$4:$U$4003,"正常",出库单!$C$4:$C$4003,"&gt;="&amp;账期起,出库单!$C$4:$C$4003,"&lt;="&amp;账期止),0))</f>
        <v/>
      </c>
      <c r="X1068" s="27">
        <f>IF($A1068="","",ROUND(N($G1068)+$I1068+$L1068+$N1068-$P1068-$R1068-$T1068-$V1068,3))</f>
        <v/>
      </c>
      <c r="Y1068" s="26">
        <f>IF($A1068="","",ROUND(N($H1068)+$J1068+$M1068+$O1068-$Q1068-$S1068-$U1068-$W1068,0))</f>
        <v/>
      </c>
      <c r="Z1068" s="24">
        <f>IF($A1068="","",IF(COUNTIFS(入库单!$G$4:$G$2503,$A1068,入库单!$Y$4:$Y$2503,"待补价")+COUNTIFS(入库单!$G$4:$G$2503,$A1068,入库单!$Y$4:$Y$2503,"暂估")&gt;0,"不可信","可信"))</f>
        <v/>
      </c>
      <c r="AA1068" s="24">
        <f>IF($A1068="","",IF($X1068&lt;-0.001,"※账面负库存，查一下是不是漏记入库",IF(AND(ROUND($X1068,3)=0,ABS($Y1068)&gt;1),"※数量已经是 0，金额还挂着 "&amp;TEXT($Y1068,"#,##0")&amp;" 先令",IF(AND($X1068&gt;0,$Y1068&lt;=0,$K1068=0),"※有数量没金额（这个物料一直没填过进价）",IF($Z1068="不可信","△成本含待补价/暂估，毛利仅供参考","")))))</f>
        <v/>
      </c>
    </row>
    <row r="1069">
      <c r="A1069" s="24">
        <f>IF(物料档案!$A1068="","",物料档案!$A1068)</f>
        <v/>
      </c>
      <c r="B1069" s="24">
        <f>IF($A1069="","",IFERROR(VLOOKUP($A1069,物料档案!$A$4:$P$1203,3,0),""))</f>
        <v/>
      </c>
      <c r="C1069" s="24">
        <f>IF($A1069="","",IFERROR(VLOOKUP($A1069,物料档案!$A$4:$P$1203,4,0),""))</f>
        <v/>
      </c>
      <c r="D1069" s="24">
        <f>IF($A1069="","",IFERROR(VLOOKUP($A1069,物料档案!$A$4:$P$1203,5,0),""))</f>
        <v/>
      </c>
      <c r="E1069" s="24">
        <f>IF($A1069="","",IFERROR(VLOOKUP($A1069,物料档案!$A$4:$P$1203,2,0),""))</f>
        <v/>
      </c>
      <c r="F1069" s="24">
        <f>IF($A1069="","",IFERROR(VLOOKUP($A1069,物料档案!$A$4:$P$1203,6,0),""))</f>
        <v/>
      </c>
      <c r="G1069" s="23" t="n"/>
      <c r="H1069" s="32" t="n"/>
      <c r="I1069" s="27">
        <f>IF($A1069="","",SUMIFS(入库单!$K$4:$K$2503,入库单!$G$4:$G$2503,$A1069,入库单!$X$4:$X$2503,"采购入库",入库单!$Z$4:$Z$2503,"正常",入库单!$C$4:$C$2503,"&gt;="&amp;账期起,入库单!$C$4:$C$2503,"&lt;="&amp;账期止))</f>
        <v/>
      </c>
      <c r="J1069" s="26">
        <f>IF($A1069="","",SUMIFS(入库单!$V$4:$V$2503,入库单!$G$4:$G$2503,$A1069,入库单!$X$4:$X$2503,"采购入库",入库单!$Z$4:$Z$2503,"正常",入库单!$C$4:$C$2503,"&gt;="&amp;账期起,入库单!$C$4:$C$2503,"&lt;="&amp;账期止))</f>
        <v/>
      </c>
      <c r="K1069" s="26">
        <f>IF($A1069="","",IFERROR(ROUND((N($H1069)+N($J1069))/(N($G1069)+N($I1069)),2),0))</f>
        <v/>
      </c>
      <c r="L1069" s="27">
        <f>IF($A1069="","",SUMIFS(入库单!$K$4:$K$2503,入库单!$G$4:$G$2503,$A1069,入库单!$X$4:$X$2503,"盘盈",入库单!$Z$4:$Z$2503,"正常",入库单!$C$4:$C$2503,"&gt;="&amp;账期起,入库单!$C$4:$C$2503,"&lt;="&amp;账期止))</f>
        <v/>
      </c>
      <c r="M1069" s="26">
        <f>IF($A1069="","",ROUND($L1069*$K1069,0))</f>
        <v/>
      </c>
      <c r="N1069" s="27">
        <f>IF($A1069="","",SUMIFS(入库单!$K$4:$K$2503,入库单!$G$4:$G$2503,$A1069,入库单!$X$4:$X$2503,"矿区退库",入库单!$Z$4:$Z$2503,"正常",入库单!$C$4:$C$2503,"&gt;="&amp;账期起,入库单!$C$4:$C$2503,"&lt;="&amp;账期止))</f>
        <v/>
      </c>
      <c r="O1069" s="26">
        <f>IF($A1069="","",ROUND($N1069*$K1069,0))</f>
        <v/>
      </c>
      <c r="P1069" s="27">
        <f>IF($A1069="","",SUMIFS(出库单!$J$4:$J$4003,出库单!$D$4:$D$4003,$A1069,出库单!$K$4:$K$4003,"自用消耗",出库单!$U$4:$U$4003,"正常",出库单!$C$4:$C$4003,"&gt;="&amp;账期起,出库单!$C$4:$C$4003,"&lt;="&amp;账期止))</f>
        <v/>
      </c>
      <c r="Q1069" s="26">
        <f>IF($A1069="","",ROUND(SUMIFS(出库单!$S$4:$S$4003,出库单!$D$4:$D$4003,$A1069,出库单!$K$4:$K$4003,"自用消耗",出库单!$U$4:$U$4003,"正常",出库单!$C$4:$C$4003,"&gt;="&amp;账期起,出库单!$C$4:$C$4003,"&lt;="&amp;账期止),0))</f>
        <v/>
      </c>
      <c r="R1069" s="27">
        <f>IF($A1069="","",SUMIFS(出库单!$J$4:$J$4003,出库单!$D$4:$D$4003,$A1069,出库单!$K$4:$K$4003,"对外销售",出库单!$U$4:$U$4003,"正常",出库单!$C$4:$C$4003,"&gt;="&amp;账期起,出库单!$C$4:$C$4003,"&lt;="&amp;账期止))</f>
        <v/>
      </c>
      <c r="S1069" s="26">
        <f>IF($A1069="","",ROUND(SUMIFS(出库单!$S$4:$S$4003,出库单!$D$4:$D$4003,$A1069,出库单!$K$4:$K$4003,"对外销售",出库单!$U$4:$U$4003,"正常",出库单!$C$4:$C$4003,"&gt;="&amp;账期起,出库单!$C$4:$C$4003,"&lt;="&amp;账期止),0))</f>
        <v/>
      </c>
      <c r="T1069" s="27">
        <f>IF($A1069="","",SUMIFS(出库单!$J$4:$J$4003,出库单!$D$4:$D$4003,$A1069,出库单!$K$4:$K$4003,"盘亏",出库单!$U$4:$U$4003,"正常",出库单!$C$4:$C$4003,"&gt;="&amp;账期起,出库单!$C$4:$C$4003,"&lt;="&amp;账期止))</f>
        <v/>
      </c>
      <c r="U1069" s="26">
        <f>IF($A1069="","",ROUND(SUMIFS(出库单!$S$4:$S$4003,出库单!$D$4:$D$4003,$A1069,出库单!$K$4:$K$4003,"盘亏",出库单!$U$4:$U$4003,"正常",出库单!$C$4:$C$4003,"&gt;="&amp;账期起,出库单!$C$4:$C$4003,"&lt;="&amp;账期止),0))</f>
        <v/>
      </c>
      <c r="V1069" s="27">
        <f>IF($A1069="","",SUMIFS(出库单!$J$4:$J$4003,出库单!$D$4:$D$4003,$A1069,出库单!$K$4:$K$4003,"退货给供应商",出库单!$U$4:$U$4003,"正常",出库单!$C$4:$C$4003,"&gt;="&amp;账期起,出库单!$C$4:$C$4003,"&lt;="&amp;账期止))</f>
        <v/>
      </c>
      <c r="W1069" s="26">
        <f>IF($A1069="","",ROUND(SUMIFS(出库单!$S$4:$S$4003,出库单!$D$4:$D$4003,$A1069,出库单!$K$4:$K$4003,"退货给供应商",出库单!$U$4:$U$4003,"正常",出库单!$C$4:$C$4003,"&gt;="&amp;账期起,出库单!$C$4:$C$4003,"&lt;="&amp;账期止),0))</f>
        <v/>
      </c>
      <c r="X1069" s="27">
        <f>IF($A1069="","",ROUND(N($G1069)+$I1069+$L1069+$N1069-$P1069-$R1069-$T1069-$V1069,3))</f>
        <v/>
      </c>
      <c r="Y1069" s="26">
        <f>IF($A1069="","",ROUND(N($H1069)+$J1069+$M1069+$O1069-$Q1069-$S1069-$U1069-$W1069,0))</f>
        <v/>
      </c>
      <c r="Z1069" s="24">
        <f>IF($A1069="","",IF(COUNTIFS(入库单!$G$4:$G$2503,$A1069,入库单!$Y$4:$Y$2503,"待补价")+COUNTIFS(入库单!$G$4:$G$2503,$A1069,入库单!$Y$4:$Y$2503,"暂估")&gt;0,"不可信","可信"))</f>
        <v/>
      </c>
      <c r="AA1069" s="24">
        <f>IF($A1069="","",IF($X1069&lt;-0.001,"※账面负库存，查一下是不是漏记入库",IF(AND(ROUND($X1069,3)=0,ABS($Y1069)&gt;1),"※数量已经是 0，金额还挂着 "&amp;TEXT($Y1069,"#,##0")&amp;" 先令",IF(AND($X1069&gt;0,$Y1069&lt;=0,$K1069=0),"※有数量没金额（这个物料一直没填过进价）",IF($Z1069="不可信","△成本含待补价/暂估，毛利仅供参考","")))))</f>
        <v/>
      </c>
    </row>
    <row r="1070">
      <c r="A1070" s="24">
        <f>IF(物料档案!$A1069="","",物料档案!$A1069)</f>
        <v/>
      </c>
      <c r="B1070" s="24">
        <f>IF($A1070="","",IFERROR(VLOOKUP($A1070,物料档案!$A$4:$P$1203,3,0),""))</f>
        <v/>
      </c>
      <c r="C1070" s="24">
        <f>IF($A1070="","",IFERROR(VLOOKUP($A1070,物料档案!$A$4:$P$1203,4,0),""))</f>
        <v/>
      </c>
      <c r="D1070" s="24">
        <f>IF($A1070="","",IFERROR(VLOOKUP($A1070,物料档案!$A$4:$P$1203,5,0),""))</f>
        <v/>
      </c>
      <c r="E1070" s="24">
        <f>IF($A1070="","",IFERROR(VLOOKUP($A1070,物料档案!$A$4:$P$1203,2,0),""))</f>
        <v/>
      </c>
      <c r="F1070" s="24">
        <f>IF($A1070="","",IFERROR(VLOOKUP($A1070,物料档案!$A$4:$P$1203,6,0),""))</f>
        <v/>
      </c>
      <c r="G1070" s="23" t="n"/>
      <c r="H1070" s="32" t="n"/>
      <c r="I1070" s="27">
        <f>IF($A1070="","",SUMIFS(入库单!$K$4:$K$2503,入库单!$G$4:$G$2503,$A1070,入库单!$X$4:$X$2503,"采购入库",入库单!$Z$4:$Z$2503,"正常",入库单!$C$4:$C$2503,"&gt;="&amp;账期起,入库单!$C$4:$C$2503,"&lt;="&amp;账期止))</f>
        <v/>
      </c>
      <c r="J1070" s="26">
        <f>IF($A1070="","",SUMIFS(入库单!$V$4:$V$2503,入库单!$G$4:$G$2503,$A1070,入库单!$X$4:$X$2503,"采购入库",入库单!$Z$4:$Z$2503,"正常",入库单!$C$4:$C$2503,"&gt;="&amp;账期起,入库单!$C$4:$C$2503,"&lt;="&amp;账期止))</f>
        <v/>
      </c>
      <c r="K1070" s="26">
        <f>IF($A1070="","",IFERROR(ROUND((N($H1070)+N($J1070))/(N($G1070)+N($I1070)),2),0))</f>
        <v/>
      </c>
      <c r="L1070" s="27">
        <f>IF($A1070="","",SUMIFS(入库单!$K$4:$K$2503,入库单!$G$4:$G$2503,$A1070,入库单!$X$4:$X$2503,"盘盈",入库单!$Z$4:$Z$2503,"正常",入库单!$C$4:$C$2503,"&gt;="&amp;账期起,入库单!$C$4:$C$2503,"&lt;="&amp;账期止))</f>
        <v/>
      </c>
      <c r="M1070" s="26">
        <f>IF($A1070="","",ROUND($L1070*$K1070,0))</f>
        <v/>
      </c>
      <c r="N1070" s="27">
        <f>IF($A1070="","",SUMIFS(入库单!$K$4:$K$2503,入库单!$G$4:$G$2503,$A1070,入库单!$X$4:$X$2503,"矿区退库",入库单!$Z$4:$Z$2503,"正常",入库单!$C$4:$C$2503,"&gt;="&amp;账期起,入库单!$C$4:$C$2503,"&lt;="&amp;账期止))</f>
        <v/>
      </c>
      <c r="O1070" s="26">
        <f>IF($A1070="","",ROUND($N1070*$K1070,0))</f>
        <v/>
      </c>
      <c r="P1070" s="27">
        <f>IF($A1070="","",SUMIFS(出库单!$J$4:$J$4003,出库单!$D$4:$D$4003,$A1070,出库单!$K$4:$K$4003,"自用消耗",出库单!$U$4:$U$4003,"正常",出库单!$C$4:$C$4003,"&gt;="&amp;账期起,出库单!$C$4:$C$4003,"&lt;="&amp;账期止))</f>
        <v/>
      </c>
      <c r="Q1070" s="26">
        <f>IF($A1070="","",ROUND(SUMIFS(出库单!$S$4:$S$4003,出库单!$D$4:$D$4003,$A1070,出库单!$K$4:$K$4003,"自用消耗",出库单!$U$4:$U$4003,"正常",出库单!$C$4:$C$4003,"&gt;="&amp;账期起,出库单!$C$4:$C$4003,"&lt;="&amp;账期止),0))</f>
        <v/>
      </c>
      <c r="R1070" s="27">
        <f>IF($A1070="","",SUMIFS(出库单!$J$4:$J$4003,出库单!$D$4:$D$4003,$A1070,出库单!$K$4:$K$4003,"对外销售",出库单!$U$4:$U$4003,"正常",出库单!$C$4:$C$4003,"&gt;="&amp;账期起,出库单!$C$4:$C$4003,"&lt;="&amp;账期止))</f>
        <v/>
      </c>
      <c r="S1070" s="26">
        <f>IF($A1070="","",ROUND(SUMIFS(出库单!$S$4:$S$4003,出库单!$D$4:$D$4003,$A1070,出库单!$K$4:$K$4003,"对外销售",出库单!$U$4:$U$4003,"正常",出库单!$C$4:$C$4003,"&gt;="&amp;账期起,出库单!$C$4:$C$4003,"&lt;="&amp;账期止),0))</f>
        <v/>
      </c>
      <c r="T1070" s="27">
        <f>IF($A1070="","",SUMIFS(出库单!$J$4:$J$4003,出库单!$D$4:$D$4003,$A1070,出库单!$K$4:$K$4003,"盘亏",出库单!$U$4:$U$4003,"正常",出库单!$C$4:$C$4003,"&gt;="&amp;账期起,出库单!$C$4:$C$4003,"&lt;="&amp;账期止))</f>
        <v/>
      </c>
      <c r="U1070" s="26">
        <f>IF($A1070="","",ROUND(SUMIFS(出库单!$S$4:$S$4003,出库单!$D$4:$D$4003,$A1070,出库单!$K$4:$K$4003,"盘亏",出库单!$U$4:$U$4003,"正常",出库单!$C$4:$C$4003,"&gt;="&amp;账期起,出库单!$C$4:$C$4003,"&lt;="&amp;账期止),0))</f>
        <v/>
      </c>
      <c r="V1070" s="27">
        <f>IF($A1070="","",SUMIFS(出库单!$J$4:$J$4003,出库单!$D$4:$D$4003,$A1070,出库单!$K$4:$K$4003,"退货给供应商",出库单!$U$4:$U$4003,"正常",出库单!$C$4:$C$4003,"&gt;="&amp;账期起,出库单!$C$4:$C$4003,"&lt;="&amp;账期止))</f>
        <v/>
      </c>
      <c r="W1070" s="26">
        <f>IF($A1070="","",ROUND(SUMIFS(出库单!$S$4:$S$4003,出库单!$D$4:$D$4003,$A1070,出库单!$K$4:$K$4003,"退货给供应商",出库单!$U$4:$U$4003,"正常",出库单!$C$4:$C$4003,"&gt;="&amp;账期起,出库单!$C$4:$C$4003,"&lt;="&amp;账期止),0))</f>
        <v/>
      </c>
      <c r="X1070" s="27">
        <f>IF($A1070="","",ROUND(N($G1070)+$I1070+$L1070+$N1070-$P1070-$R1070-$T1070-$V1070,3))</f>
        <v/>
      </c>
      <c r="Y1070" s="26">
        <f>IF($A1070="","",ROUND(N($H1070)+$J1070+$M1070+$O1070-$Q1070-$S1070-$U1070-$W1070,0))</f>
        <v/>
      </c>
      <c r="Z1070" s="24">
        <f>IF($A1070="","",IF(COUNTIFS(入库单!$G$4:$G$2503,$A1070,入库单!$Y$4:$Y$2503,"待补价")+COUNTIFS(入库单!$G$4:$G$2503,$A1070,入库单!$Y$4:$Y$2503,"暂估")&gt;0,"不可信","可信"))</f>
        <v/>
      </c>
      <c r="AA1070" s="24">
        <f>IF($A1070="","",IF($X1070&lt;-0.001,"※账面负库存，查一下是不是漏记入库",IF(AND(ROUND($X1070,3)=0,ABS($Y1070)&gt;1),"※数量已经是 0，金额还挂着 "&amp;TEXT($Y1070,"#,##0")&amp;" 先令",IF(AND($X1070&gt;0,$Y1070&lt;=0,$K1070=0),"※有数量没金额（这个物料一直没填过进价）",IF($Z1070="不可信","△成本含待补价/暂估，毛利仅供参考","")))))</f>
        <v/>
      </c>
    </row>
    <row r="1071">
      <c r="A1071" s="24">
        <f>IF(物料档案!$A1070="","",物料档案!$A1070)</f>
        <v/>
      </c>
      <c r="B1071" s="24">
        <f>IF($A1071="","",IFERROR(VLOOKUP($A1071,物料档案!$A$4:$P$1203,3,0),""))</f>
        <v/>
      </c>
      <c r="C1071" s="24">
        <f>IF($A1071="","",IFERROR(VLOOKUP($A1071,物料档案!$A$4:$P$1203,4,0),""))</f>
        <v/>
      </c>
      <c r="D1071" s="24">
        <f>IF($A1071="","",IFERROR(VLOOKUP($A1071,物料档案!$A$4:$P$1203,5,0),""))</f>
        <v/>
      </c>
      <c r="E1071" s="24">
        <f>IF($A1071="","",IFERROR(VLOOKUP($A1071,物料档案!$A$4:$P$1203,2,0),""))</f>
        <v/>
      </c>
      <c r="F1071" s="24">
        <f>IF($A1071="","",IFERROR(VLOOKUP($A1071,物料档案!$A$4:$P$1203,6,0),""))</f>
        <v/>
      </c>
      <c r="G1071" s="23" t="n"/>
      <c r="H1071" s="32" t="n"/>
      <c r="I1071" s="27">
        <f>IF($A1071="","",SUMIFS(入库单!$K$4:$K$2503,入库单!$G$4:$G$2503,$A1071,入库单!$X$4:$X$2503,"采购入库",入库单!$Z$4:$Z$2503,"正常",入库单!$C$4:$C$2503,"&gt;="&amp;账期起,入库单!$C$4:$C$2503,"&lt;="&amp;账期止))</f>
        <v/>
      </c>
      <c r="J1071" s="26">
        <f>IF($A1071="","",SUMIFS(入库单!$V$4:$V$2503,入库单!$G$4:$G$2503,$A1071,入库单!$X$4:$X$2503,"采购入库",入库单!$Z$4:$Z$2503,"正常",入库单!$C$4:$C$2503,"&gt;="&amp;账期起,入库单!$C$4:$C$2503,"&lt;="&amp;账期止))</f>
        <v/>
      </c>
      <c r="K1071" s="26">
        <f>IF($A1071="","",IFERROR(ROUND((N($H1071)+N($J1071))/(N($G1071)+N($I1071)),2),0))</f>
        <v/>
      </c>
      <c r="L1071" s="27">
        <f>IF($A1071="","",SUMIFS(入库单!$K$4:$K$2503,入库单!$G$4:$G$2503,$A1071,入库单!$X$4:$X$2503,"盘盈",入库单!$Z$4:$Z$2503,"正常",入库单!$C$4:$C$2503,"&gt;="&amp;账期起,入库单!$C$4:$C$2503,"&lt;="&amp;账期止))</f>
        <v/>
      </c>
      <c r="M1071" s="26">
        <f>IF($A1071="","",ROUND($L1071*$K1071,0))</f>
        <v/>
      </c>
      <c r="N1071" s="27">
        <f>IF($A1071="","",SUMIFS(入库单!$K$4:$K$2503,入库单!$G$4:$G$2503,$A1071,入库单!$X$4:$X$2503,"矿区退库",入库单!$Z$4:$Z$2503,"正常",入库单!$C$4:$C$2503,"&gt;="&amp;账期起,入库单!$C$4:$C$2503,"&lt;="&amp;账期止))</f>
        <v/>
      </c>
      <c r="O1071" s="26">
        <f>IF($A1071="","",ROUND($N1071*$K1071,0))</f>
        <v/>
      </c>
      <c r="P1071" s="27">
        <f>IF($A1071="","",SUMIFS(出库单!$J$4:$J$4003,出库单!$D$4:$D$4003,$A1071,出库单!$K$4:$K$4003,"自用消耗",出库单!$U$4:$U$4003,"正常",出库单!$C$4:$C$4003,"&gt;="&amp;账期起,出库单!$C$4:$C$4003,"&lt;="&amp;账期止))</f>
        <v/>
      </c>
      <c r="Q1071" s="26">
        <f>IF($A1071="","",ROUND(SUMIFS(出库单!$S$4:$S$4003,出库单!$D$4:$D$4003,$A1071,出库单!$K$4:$K$4003,"自用消耗",出库单!$U$4:$U$4003,"正常",出库单!$C$4:$C$4003,"&gt;="&amp;账期起,出库单!$C$4:$C$4003,"&lt;="&amp;账期止),0))</f>
        <v/>
      </c>
      <c r="R1071" s="27">
        <f>IF($A1071="","",SUMIFS(出库单!$J$4:$J$4003,出库单!$D$4:$D$4003,$A1071,出库单!$K$4:$K$4003,"对外销售",出库单!$U$4:$U$4003,"正常",出库单!$C$4:$C$4003,"&gt;="&amp;账期起,出库单!$C$4:$C$4003,"&lt;="&amp;账期止))</f>
        <v/>
      </c>
      <c r="S1071" s="26">
        <f>IF($A1071="","",ROUND(SUMIFS(出库单!$S$4:$S$4003,出库单!$D$4:$D$4003,$A1071,出库单!$K$4:$K$4003,"对外销售",出库单!$U$4:$U$4003,"正常",出库单!$C$4:$C$4003,"&gt;="&amp;账期起,出库单!$C$4:$C$4003,"&lt;="&amp;账期止),0))</f>
        <v/>
      </c>
      <c r="T1071" s="27">
        <f>IF($A1071="","",SUMIFS(出库单!$J$4:$J$4003,出库单!$D$4:$D$4003,$A1071,出库单!$K$4:$K$4003,"盘亏",出库单!$U$4:$U$4003,"正常",出库单!$C$4:$C$4003,"&gt;="&amp;账期起,出库单!$C$4:$C$4003,"&lt;="&amp;账期止))</f>
        <v/>
      </c>
      <c r="U1071" s="26">
        <f>IF($A1071="","",ROUND(SUMIFS(出库单!$S$4:$S$4003,出库单!$D$4:$D$4003,$A1071,出库单!$K$4:$K$4003,"盘亏",出库单!$U$4:$U$4003,"正常",出库单!$C$4:$C$4003,"&gt;="&amp;账期起,出库单!$C$4:$C$4003,"&lt;="&amp;账期止),0))</f>
        <v/>
      </c>
      <c r="V1071" s="27">
        <f>IF($A1071="","",SUMIFS(出库单!$J$4:$J$4003,出库单!$D$4:$D$4003,$A1071,出库单!$K$4:$K$4003,"退货给供应商",出库单!$U$4:$U$4003,"正常",出库单!$C$4:$C$4003,"&gt;="&amp;账期起,出库单!$C$4:$C$4003,"&lt;="&amp;账期止))</f>
        <v/>
      </c>
      <c r="W1071" s="26">
        <f>IF($A1071="","",ROUND(SUMIFS(出库单!$S$4:$S$4003,出库单!$D$4:$D$4003,$A1071,出库单!$K$4:$K$4003,"退货给供应商",出库单!$U$4:$U$4003,"正常",出库单!$C$4:$C$4003,"&gt;="&amp;账期起,出库单!$C$4:$C$4003,"&lt;="&amp;账期止),0))</f>
        <v/>
      </c>
      <c r="X1071" s="27">
        <f>IF($A1071="","",ROUND(N($G1071)+$I1071+$L1071+$N1071-$P1071-$R1071-$T1071-$V1071,3))</f>
        <v/>
      </c>
      <c r="Y1071" s="26">
        <f>IF($A1071="","",ROUND(N($H1071)+$J1071+$M1071+$O1071-$Q1071-$S1071-$U1071-$W1071,0))</f>
        <v/>
      </c>
      <c r="Z1071" s="24">
        <f>IF($A1071="","",IF(COUNTIFS(入库单!$G$4:$G$2503,$A1071,入库单!$Y$4:$Y$2503,"待补价")+COUNTIFS(入库单!$G$4:$G$2503,$A1071,入库单!$Y$4:$Y$2503,"暂估")&gt;0,"不可信","可信"))</f>
        <v/>
      </c>
      <c r="AA1071" s="24">
        <f>IF($A1071="","",IF($X1071&lt;-0.001,"※账面负库存，查一下是不是漏记入库",IF(AND(ROUND($X1071,3)=0,ABS($Y1071)&gt;1),"※数量已经是 0，金额还挂着 "&amp;TEXT($Y1071,"#,##0")&amp;" 先令",IF(AND($X1071&gt;0,$Y1071&lt;=0,$K1071=0),"※有数量没金额（这个物料一直没填过进价）",IF($Z1071="不可信","△成本含待补价/暂估，毛利仅供参考","")))))</f>
        <v/>
      </c>
    </row>
    <row r="1072">
      <c r="A1072" s="24">
        <f>IF(物料档案!$A1071="","",物料档案!$A1071)</f>
        <v/>
      </c>
      <c r="B1072" s="24">
        <f>IF($A1072="","",IFERROR(VLOOKUP($A1072,物料档案!$A$4:$P$1203,3,0),""))</f>
        <v/>
      </c>
      <c r="C1072" s="24">
        <f>IF($A1072="","",IFERROR(VLOOKUP($A1072,物料档案!$A$4:$P$1203,4,0),""))</f>
        <v/>
      </c>
      <c r="D1072" s="24">
        <f>IF($A1072="","",IFERROR(VLOOKUP($A1072,物料档案!$A$4:$P$1203,5,0),""))</f>
        <v/>
      </c>
      <c r="E1072" s="24">
        <f>IF($A1072="","",IFERROR(VLOOKUP($A1072,物料档案!$A$4:$P$1203,2,0),""))</f>
        <v/>
      </c>
      <c r="F1072" s="24">
        <f>IF($A1072="","",IFERROR(VLOOKUP($A1072,物料档案!$A$4:$P$1203,6,0),""))</f>
        <v/>
      </c>
      <c r="G1072" s="23" t="n"/>
      <c r="H1072" s="32" t="n"/>
      <c r="I1072" s="27">
        <f>IF($A1072="","",SUMIFS(入库单!$K$4:$K$2503,入库单!$G$4:$G$2503,$A1072,入库单!$X$4:$X$2503,"采购入库",入库单!$Z$4:$Z$2503,"正常",入库单!$C$4:$C$2503,"&gt;="&amp;账期起,入库单!$C$4:$C$2503,"&lt;="&amp;账期止))</f>
        <v/>
      </c>
      <c r="J1072" s="26">
        <f>IF($A1072="","",SUMIFS(入库单!$V$4:$V$2503,入库单!$G$4:$G$2503,$A1072,入库单!$X$4:$X$2503,"采购入库",入库单!$Z$4:$Z$2503,"正常",入库单!$C$4:$C$2503,"&gt;="&amp;账期起,入库单!$C$4:$C$2503,"&lt;="&amp;账期止))</f>
        <v/>
      </c>
      <c r="K1072" s="26">
        <f>IF($A1072="","",IFERROR(ROUND((N($H1072)+N($J1072))/(N($G1072)+N($I1072)),2),0))</f>
        <v/>
      </c>
      <c r="L1072" s="27">
        <f>IF($A1072="","",SUMIFS(入库单!$K$4:$K$2503,入库单!$G$4:$G$2503,$A1072,入库单!$X$4:$X$2503,"盘盈",入库单!$Z$4:$Z$2503,"正常",入库单!$C$4:$C$2503,"&gt;="&amp;账期起,入库单!$C$4:$C$2503,"&lt;="&amp;账期止))</f>
        <v/>
      </c>
      <c r="M1072" s="26">
        <f>IF($A1072="","",ROUND($L1072*$K1072,0))</f>
        <v/>
      </c>
      <c r="N1072" s="27">
        <f>IF($A1072="","",SUMIFS(入库单!$K$4:$K$2503,入库单!$G$4:$G$2503,$A1072,入库单!$X$4:$X$2503,"矿区退库",入库单!$Z$4:$Z$2503,"正常",入库单!$C$4:$C$2503,"&gt;="&amp;账期起,入库单!$C$4:$C$2503,"&lt;="&amp;账期止))</f>
        <v/>
      </c>
      <c r="O1072" s="26">
        <f>IF($A1072="","",ROUND($N1072*$K1072,0))</f>
        <v/>
      </c>
      <c r="P1072" s="27">
        <f>IF($A1072="","",SUMIFS(出库单!$J$4:$J$4003,出库单!$D$4:$D$4003,$A1072,出库单!$K$4:$K$4003,"自用消耗",出库单!$U$4:$U$4003,"正常",出库单!$C$4:$C$4003,"&gt;="&amp;账期起,出库单!$C$4:$C$4003,"&lt;="&amp;账期止))</f>
        <v/>
      </c>
      <c r="Q1072" s="26">
        <f>IF($A1072="","",ROUND(SUMIFS(出库单!$S$4:$S$4003,出库单!$D$4:$D$4003,$A1072,出库单!$K$4:$K$4003,"自用消耗",出库单!$U$4:$U$4003,"正常",出库单!$C$4:$C$4003,"&gt;="&amp;账期起,出库单!$C$4:$C$4003,"&lt;="&amp;账期止),0))</f>
        <v/>
      </c>
      <c r="R1072" s="27">
        <f>IF($A1072="","",SUMIFS(出库单!$J$4:$J$4003,出库单!$D$4:$D$4003,$A1072,出库单!$K$4:$K$4003,"对外销售",出库单!$U$4:$U$4003,"正常",出库单!$C$4:$C$4003,"&gt;="&amp;账期起,出库单!$C$4:$C$4003,"&lt;="&amp;账期止))</f>
        <v/>
      </c>
      <c r="S1072" s="26">
        <f>IF($A1072="","",ROUND(SUMIFS(出库单!$S$4:$S$4003,出库单!$D$4:$D$4003,$A1072,出库单!$K$4:$K$4003,"对外销售",出库单!$U$4:$U$4003,"正常",出库单!$C$4:$C$4003,"&gt;="&amp;账期起,出库单!$C$4:$C$4003,"&lt;="&amp;账期止),0))</f>
        <v/>
      </c>
      <c r="T1072" s="27">
        <f>IF($A1072="","",SUMIFS(出库单!$J$4:$J$4003,出库单!$D$4:$D$4003,$A1072,出库单!$K$4:$K$4003,"盘亏",出库单!$U$4:$U$4003,"正常",出库单!$C$4:$C$4003,"&gt;="&amp;账期起,出库单!$C$4:$C$4003,"&lt;="&amp;账期止))</f>
        <v/>
      </c>
      <c r="U1072" s="26">
        <f>IF($A1072="","",ROUND(SUMIFS(出库单!$S$4:$S$4003,出库单!$D$4:$D$4003,$A1072,出库单!$K$4:$K$4003,"盘亏",出库单!$U$4:$U$4003,"正常",出库单!$C$4:$C$4003,"&gt;="&amp;账期起,出库单!$C$4:$C$4003,"&lt;="&amp;账期止),0))</f>
        <v/>
      </c>
      <c r="V1072" s="27">
        <f>IF($A1072="","",SUMIFS(出库单!$J$4:$J$4003,出库单!$D$4:$D$4003,$A1072,出库单!$K$4:$K$4003,"退货给供应商",出库单!$U$4:$U$4003,"正常",出库单!$C$4:$C$4003,"&gt;="&amp;账期起,出库单!$C$4:$C$4003,"&lt;="&amp;账期止))</f>
        <v/>
      </c>
      <c r="W1072" s="26">
        <f>IF($A1072="","",ROUND(SUMIFS(出库单!$S$4:$S$4003,出库单!$D$4:$D$4003,$A1072,出库单!$K$4:$K$4003,"退货给供应商",出库单!$U$4:$U$4003,"正常",出库单!$C$4:$C$4003,"&gt;="&amp;账期起,出库单!$C$4:$C$4003,"&lt;="&amp;账期止),0))</f>
        <v/>
      </c>
      <c r="X1072" s="27">
        <f>IF($A1072="","",ROUND(N($G1072)+$I1072+$L1072+$N1072-$P1072-$R1072-$T1072-$V1072,3))</f>
        <v/>
      </c>
      <c r="Y1072" s="26">
        <f>IF($A1072="","",ROUND(N($H1072)+$J1072+$M1072+$O1072-$Q1072-$S1072-$U1072-$W1072,0))</f>
        <v/>
      </c>
      <c r="Z1072" s="24">
        <f>IF($A1072="","",IF(COUNTIFS(入库单!$G$4:$G$2503,$A1072,入库单!$Y$4:$Y$2503,"待补价")+COUNTIFS(入库单!$G$4:$G$2503,$A1072,入库单!$Y$4:$Y$2503,"暂估")&gt;0,"不可信","可信"))</f>
        <v/>
      </c>
      <c r="AA1072" s="24">
        <f>IF($A1072="","",IF($X1072&lt;-0.001,"※账面负库存，查一下是不是漏记入库",IF(AND(ROUND($X1072,3)=0,ABS($Y1072)&gt;1),"※数量已经是 0，金额还挂着 "&amp;TEXT($Y1072,"#,##0")&amp;" 先令",IF(AND($X1072&gt;0,$Y1072&lt;=0,$K1072=0),"※有数量没金额（这个物料一直没填过进价）",IF($Z1072="不可信","△成本含待补价/暂估，毛利仅供参考","")))))</f>
        <v/>
      </c>
    </row>
    <row r="1073">
      <c r="A1073" s="24">
        <f>IF(物料档案!$A1072="","",物料档案!$A1072)</f>
        <v/>
      </c>
      <c r="B1073" s="24">
        <f>IF($A1073="","",IFERROR(VLOOKUP($A1073,物料档案!$A$4:$P$1203,3,0),""))</f>
        <v/>
      </c>
      <c r="C1073" s="24">
        <f>IF($A1073="","",IFERROR(VLOOKUP($A1073,物料档案!$A$4:$P$1203,4,0),""))</f>
        <v/>
      </c>
      <c r="D1073" s="24">
        <f>IF($A1073="","",IFERROR(VLOOKUP($A1073,物料档案!$A$4:$P$1203,5,0),""))</f>
        <v/>
      </c>
      <c r="E1073" s="24">
        <f>IF($A1073="","",IFERROR(VLOOKUP($A1073,物料档案!$A$4:$P$1203,2,0),""))</f>
        <v/>
      </c>
      <c r="F1073" s="24">
        <f>IF($A1073="","",IFERROR(VLOOKUP($A1073,物料档案!$A$4:$P$1203,6,0),""))</f>
        <v/>
      </c>
      <c r="G1073" s="23" t="n"/>
      <c r="H1073" s="32" t="n"/>
      <c r="I1073" s="27">
        <f>IF($A1073="","",SUMIFS(入库单!$K$4:$K$2503,入库单!$G$4:$G$2503,$A1073,入库单!$X$4:$X$2503,"采购入库",入库单!$Z$4:$Z$2503,"正常",入库单!$C$4:$C$2503,"&gt;="&amp;账期起,入库单!$C$4:$C$2503,"&lt;="&amp;账期止))</f>
        <v/>
      </c>
      <c r="J1073" s="26">
        <f>IF($A1073="","",SUMIFS(入库单!$V$4:$V$2503,入库单!$G$4:$G$2503,$A1073,入库单!$X$4:$X$2503,"采购入库",入库单!$Z$4:$Z$2503,"正常",入库单!$C$4:$C$2503,"&gt;="&amp;账期起,入库单!$C$4:$C$2503,"&lt;="&amp;账期止))</f>
        <v/>
      </c>
      <c r="K1073" s="26">
        <f>IF($A1073="","",IFERROR(ROUND((N($H1073)+N($J1073))/(N($G1073)+N($I1073)),2),0))</f>
        <v/>
      </c>
      <c r="L1073" s="27">
        <f>IF($A1073="","",SUMIFS(入库单!$K$4:$K$2503,入库单!$G$4:$G$2503,$A1073,入库单!$X$4:$X$2503,"盘盈",入库单!$Z$4:$Z$2503,"正常",入库单!$C$4:$C$2503,"&gt;="&amp;账期起,入库单!$C$4:$C$2503,"&lt;="&amp;账期止))</f>
        <v/>
      </c>
      <c r="M1073" s="26">
        <f>IF($A1073="","",ROUND($L1073*$K1073,0))</f>
        <v/>
      </c>
      <c r="N1073" s="27">
        <f>IF($A1073="","",SUMIFS(入库单!$K$4:$K$2503,入库单!$G$4:$G$2503,$A1073,入库单!$X$4:$X$2503,"矿区退库",入库单!$Z$4:$Z$2503,"正常",入库单!$C$4:$C$2503,"&gt;="&amp;账期起,入库单!$C$4:$C$2503,"&lt;="&amp;账期止))</f>
        <v/>
      </c>
      <c r="O1073" s="26">
        <f>IF($A1073="","",ROUND($N1073*$K1073,0))</f>
        <v/>
      </c>
      <c r="P1073" s="27">
        <f>IF($A1073="","",SUMIFS(出库单!$J$4:$J$4003,出库单!$D$4:$D$4003,$A1073,出库单!$K$4:$K$4003,"自用消耗",出库单!$U$4:$U$4003,"正常",出库单!$C$4:$C$4003,"&gt;="&amp;账期起,出库单!$C$4:$C$4003,"&lt;="&amp;账期止))</f>
        <v/>
      </c>
      <c r="Q1073" s="26">
        <f>IF($A1073="","",ROUND(SUMIFS(出库单!$S$4:$S$4003,出库单!$D$4:$D$4003,$A1073,出库单!$K$4:$K$4003,"自用消耗",出库单!$U$4:$U$4003,"正常",出库单!$C$4:$C$4003,"&gt;="&amp;账期起,出库单!$C$4:$C$4003,"&lt;="&amp;账期止),0))</f>
        <v/>
      </c>
      <c r="R1073" s="27">
        <f>IF($A1073="","",SUMIFS(出库单!$J$4:$J$4003,出库单!$D$4:$D$4003,$A1073,出库单!$K$4:$K$4003,"对外销售",出库单!$U$4:$U$4003,"正常",出库单!$C$4:$C$4003,"&gt;="&amp;账期起,出库单!$C$4:$C$4003,"&lt;="&amp;账期止))</f>
        <v/>
      </c>
      <c r="S1073" s="26">
        <f>IF($A1073="","",ROUND(SUMIFS(出库单!$S$4:$S$4003,出库单!$D$4:$D$4003,$A1073,出库单!$K$4:$K$4003,"对外销售",出库单!$U$4:$U$4003,"正常",出库单!$C$4:$C$4003,"&gt;="&amp;账期起,出库单!$C$4:$C$4003,"&lt;="&amp;账期止),0))</f>
        <v/>
      </c>
      <c r="T1073" s="27">
        <f>IF($A1073="","",SUMIFS(出库单!$J$4:$J$4003,出库单!$D$4:$D$4003,$A1073,出库单!$K$4:$K$4003,"盘亏",出库单!$U$4:$U$4003,"正常",出库单!$C$4:$C$4003,"&gt;="&amp;账期起,出库单!$C$4:$C$4003,"&lt;="&amp;账期止))</f>
        <v/>
      </c>
      <c r="U1073" s="26">
        <f>IF($A1073="","",ROUND(SUMIFS(出库单!$S$4:$S$4003,出库单!$D$4:$D$4003,$A1073,出库单!$K$4:$K$4003,"盘亏",出库单!$U$4:$U$4003,"正常",出库单!$C$4:$C$4003,"&gt;="&amp;账期起,出库单!$C$4:$C$4003,"&lt;="&amp;账期止),0))</f>
        <v/>
      </c>
      <c r="V1073" s="27">
        <f>IF($A1073="","",SUMIFS(出库单!$J$4:$J$4003,出库单!$D$4:$D$4003,$A1073,出库单!$K$4:$K$4003,"退货给供应商",出库单!$U$4:$U$4003,"正常",出库单!$C$4:$C$4003,"&gt;="&amp;账期起,出库单!$C$4:$C$4003,"&lt;="&amp;账期止))</f>
        <v/>
      </c>
      <c r="W1073" s="26">
        <f>IF($A1073="","",ROUND(SUMIFS(出库单!$S$4:$S$4003,出库单!$D$4:$D$4003,$A1073,出库单!$K$4:$K$4003,"退货给供应商",出库单!$U$4:$U$4003,"正常",出库单!$C$4:$C$4003,"&gt;="&amp;账期起,出库单!$C$4:$C$4003,"&lt;="&amp;账期止),0))</f>
        <v/>
      </c>
      <c r="X1073" s="27">
        <f>IF($A1073="","",ROUND(N($G1073)+$I1073+$L1073+$N1073-$P1073-$R1073-$T1073-$V1073,3))</f>
        <v/>
      </c>
      <c r="Y1073" s="26">
        <f>IF($A1073="","",ROUND(N($H1073)+$J1073+$M1073+$O1073-$Q1073-$S1073-$U1073-$W1073,0))</f>
        <v/>
      </c>
      <c r="Z1073" s="24">
        <f>IF($A1073="","",IF(COUNTIFS(入库单!$G$4:$G$2503,$A1073,入库单!$Y$4:$Y$2503,"待补价")+COUNTIFS(入库单!$G$4:$G$2503,$A1073,入库单!$Y$4:$Y$2503,"暂估")&gt;0,"不可信","可信"))</f>
        <v/>
      </c>
      <c r="AA1073" s="24">
        <f>IF($A1073="","",IF($X1073&lt;-0.001,"※账面负库存，查一下是不是漏记入库",IF(AND(ROUND($X1073,3)=0,ABS($Y1073)&gt;1),"※数量已经是 0，金额还挂着 "&amp;TEXT($Y1073,"#,##0")&amp;" 先令",IF(AND($X1073&gt;0,$Y1073&lt;=0,$K1073=0),"※有数量没金额（这个物料一直没填过进价）",IF($Z1073="不可信","△成本含待补价/暂估，毛利仅供参考","")))))</f>
        <v/>
      </c>
    </row>
    <row r="1074">
      <c r="A1074" s="24">
        <f>IF(物料档案!$A1073="","",物料档案!$A1073)</f>
        <v/>
      </c>
      <c r="B1074" s="24">
        <f>IF($A1074="","",IFERROR(VLOOKUP($A1074,物料档案!$A$4:$P$1203,3,0),""))</f>
        <v/>
      </c>
      <c r="C1074" s="24">
        <f>IF($A1074="","",IFERROR(VLOOKUP($A1074,物料档案!$A$4:$P$1203,4,0),""))</f>
        <v/>
      </c>
      <c r="D1074" s="24">
        <f>IF($A1074="","",IFERROR(VLOOKUP($A1074,物料档案!$A$4:$P$1203,5,0),""))</f>
        <v/>
      </c>
      <c r="E1074" s="24">
        <f>IF($A1074="","",IFERROR(VLOOKUP($A1074,物料档案!$A$4:$P$1203,2,0),""))</f>
        <v/>
      </c>
      <c r="F1074" s="24">
        <f>IF($A1074="","",IFERROR(VLOOKUP($A1074,物料档案!$A$4:$P$1203,6,0),""))</f>
        <v/>
      </c>
      <c r="G1074" s="23" t="n"/>
      <c r="H1074" s="32" t="n"/>
      <c r="I1074" s="27">
        <f>IF($A1074="","",SUMIFS(入库单!$K$4:$K$2503,入库单!$G$4:$G$2503,$A1074,入库单!$X$4:$X$2503,"采购入库",入库单!$Z$4:$Z$2503,"正常",入库单!$C$4:$C$2503,"&gt;="&amp;账期起,入库单!$C$4:$C$2503,"&lt;="&amp;账期止))</f>
        <v/>
      </c>
      <c r="J1074" s="26">
        <f>IF($A1074="","",SUMIFS(入库单!$V$4:$V$2503,入库单!$G$4:$G$2503,$A1074,入库单!$X$4:$X$2503,"采购入库",入库单!$Z$4:$Z$2503,"正常",入库单!$C$4:$C$2503,"&gt;="&amp;账期起,入库单!$C$4:$C$2503,"&lt;="&amp;账期止))</f>
        <v/>
      </c>
      <c r="K1074" s="26">
        <f>IF($A1074="","",IFERROR(ROUND((N($H1074)+N($J1074))/(N($G1074)+N($I1074)),2),0))</f>
        <v/>
      </c>
      <c r="L1074" s="27">
        <f>IF($A1074="","",SUMIFS(入库单!$K$4:$K$2503,入库单!$G$4:$G$2503,$A1074,入库单!$X$4:$X$2503,"盘盈",入库单!$Z$4:$Z$2503,"正常",入库单!$C$4:$C$2503,"&gt;="&amp;账期起,入库单!$C$4:$C$2503,"&lt;="&amp;账期止))</f>
        <v/>
      </c>
      <c r="M1074" s="26">
        <f>IF($A1074="","",ROUND($L1074*$K1074,0))</f>
        <v/>
      </c>
      <c r="N1074" s="27">
        <f>IF($A1074="","",SUMIFS(入库单!$K$4:$K$2503,入库单!$G$4:$G$2503,$A1074,入库单!$X$4:$X$2503,"矿区退库",入库单!$Z$4:$Z$2503,"正常",入库单!$C$4:$C$2503,"&gt;="&amp;账期起,入库单!$C$4:$C$2503,"&lt;="&amp;账期止))</f>
        <v/>
      </c>
      <c r="O1074" s="26">
        <f>IF($A1074="","",ROUND($N1074*$K1074,0))</f>
        <v/>
      </c>
      <c r="P1074" s="27">
        <f>IF($A1074="","",SUMIFS(出库单!$J$4:$J$4003,出库单!$D$4:$D$4003,$A1074,出库单!$K$4:$K$4003,"自用消耗",出库单!$U$4:$U$4003,"正常",出库单!$C$4:$C$4003,"&gt;="&amp;账期起,出库单!$C$4:$C$4003,"&lt;="&amp;账期止))</f>
        <v/>
      </c>
      <c r="Q1074" s="26">
        <f>IF($A1074="","",ROUND(SUMIFS(出库单!$S$4:$S$4003,出库单!$D$4:$D$4003,$A1074,出库单!$K$4:$K$4003,"自用消耗",出库单!$U$4:$U$4003,"正常",出库单!$C$4:$C$4003,"&gt;="&amp;账期起,出库单!$C$4:$C$4003,"&lt;="&amp;账期止),0))</f>
        <v/>
      </c>
      <c r="R1074" s="27">
        <f>IF($A1074="","",SUMIFS(出库单!$J$4:$J$4003,出库单!$D$4:$D$4003,$A1074,出库单!$K$4:$K$4003,"对外销售",出库单!$U$4:$U$4003,"正常",出库单!$C$4:$C$4003,"&gt;="&amp;账期起,出库单!$C$4:$C$4003,"&lt;="&amp;账期止))</f>
        <v/>
      </c>
      <c r="S1074" s="26">
        <f>IF($A1074="","",ROUND(SUMIFS(出库单!$S$4:$S$4003,出库单!$D$4:$D$4003,$A1074,出库单!$K$4:$K$4003,"对外销售",出库单!$U$4:$U$4003,"正常",出库单!$C$4:$C$4003,"&gt;="&amp;账期起,出库单!$C$4:$C$4003,"&lt;="&amp;账期止),0))</f>
        <v/>
      </c>
      <c r="T1074" s="27">
        <f>IF($A1074="","",SUMIFS(出库单!$J$4:$J$4003,出库单!$D$4:$D$4003,$A1074,出库单!$K$4:$K$4003,"盘亏",出库单!$U$4:$U$4003,"正常",出库单!$C$4:$C$4003,"&gt;="&amp;账期起,出库单!$C$4:$C$4003,"&lt;="&amp;账期止))</f>
        <v/>
      </c>
      <c r="U1074" s="26">
        <f>IF($A1074="","",ROUND(SUMIFS(出库单!$S$4:$S$4003,出库单!$D$4:$D$4003,$A1074,出库单!$K$4:$K$4003,"盘亏",出库单!$U$4:$U$4003,"正常",出库单!$C$4:$C$4003,"&gt;="&amp;账期起,出库单!$C$4:$C$4003,"&lt;="&amp;账期止),0))</f>
        <v/>
      </c>
      <c r="V1074" s="27">
        <f>IF($A1074="","",SUMIFS(出库单!$J$4:$J$4003,出库单!$D$4:$D$4003,$A1074,出库单!$K$4:$K$4003,"退货给供应商",出库单!$U$4:$U$4003,"正常",出库单!$C$4:$C$4003,"&gt;="&amp;账期起,出库单!$C$4:$C$4003,"&lt;="&amp;账期止))</f>
        <v/>
      </c>
      <c r="W1074" s="26">
        <f>IF($A1074="","",ROUND(SUMIFS(出库单!$S$4:$S$4003,出库单!$D$4:$D$4003,$A1074,出库单!$K$4:$K$4003,"退货给供应商",出库单!$U$4:$U$4003,"正常",出库单!$C$4:$C$4003,"&gt;="&amp;账期起,出库单!$C$4:$C$4003,"&lt;="&amp;账期止),0))</f>
        <v/>
      </c>
      <c r="X1074" s="27">
        <f>IF($A1074="","",ROUND(N($G1074)+$I1074+$L1074+$N1074-$P1074-$R1074-$T1074-$V1074,3))</f>
        <v/>
      </c>
      <c r="Y1074" s="26">
        <f>IF($A1074="","",ROUND(N($H1074)+$J1074+$M1074+$O1074-$Q1074-$S1074-$U1074-$W1074,0))</f>
        <v/>
      </c>
      <c r="Z1074" s="24">
        <f>IF($A1074="","",IF(COUNTIFS(入库单!$G$4:$G$2503,$A1074,入库单!$Y$4:$Y$2503,"待补价")+COUNTIFS(入库单!$G$4:$G$2503,$A1074,入库单!$Y$4:$Y$2503,"暂估")&gt;0,"不可信","可信"))</f>
        <v/>
      </c>
      <c r="AA1074" s="24">
        <f>IF($A1074="","",IF($X1074&lt;-0.001,"※账面负库存，查一下是不是漏记入库",IF(AND(ROUND($X1074,3)=0,ABS($Y1074)&gt;1),"※数量已经是 0，金额还挂着 "&amp;TEXT($Y1074,"#,##0")&amp;" 先令",IF(AND($X1074&gt;0,$Y1074&lt;=0,$K1074=0),"※有数量没金额（这个物料一直没填过进价）",IF($Z1074="不可信","△成本含待补价/暂估，毛利仅供参考","")))))</f>
        <v/>
      </c>
    </row>
    <row r="1075">
      <c r="A1075" s="24">
        <f>IF(物料档案!$A1074="","",物料档案!$A1074)</f>
        <v/>
      </c>
      <c r="B1075" s="24">
        <f>IF($A1075="","",IFERROR(VLOOKUP($A1075,物料档案!$A$4:$P$1203,3,0),""))</f>
        <v/>
      </c>
      <c r="C1075" s="24">
        <f>IF($A1075="","",IFERROR(VLOOKUP($A1075,物料档案!$A$4:$P$1203,4,0),""))</f>
        <v/>
      </c>
      <c r="D1075" s="24">
        <f>IF($A1075="","",IFERROR(VLOOKUP($A1075,物料档案!$A$4:$P$1203,5,0),""))</f>
        <v/>
      </c>
      <c r="E1075" s="24">
        <f>IF($A1075="","",IFERROR(VLOOKUP($A1075,物料档案!$A$4:$P$1203,2,0),""))</f>
        <v/>
      </c>
      <c r="F1075" s="24">
        <f>IF($A1075="","",IFERROR(VLOOKUP($A1075,物料档案!$A$4:$P$1203,6,0),""))</f>
        <v/>
      </c>
      <c r="G1075" s="23" t="n"/>
      <c r="H1075" s="32" t="n"/>
      <c r="I1075" s="27">
        <f>IF($A1075="","",SUMIFS(入库单!$K$4:$K$2503,入库单!$G$4:$G$2503,$A1075,入库单!$X$4:$X$2503,"采购入库",入库单!$Z$4:$Z$2503,"正常",入库单!$C$4:$C$2503,"&gt;="&amp;账期起,入库单!$C$4:$C$2503,"&lt;="&amp;账期止))</f>
        <v/>
      </c>
      <c r="J1075" s="26">
        <f>IF($A1075="","",SUMIFS(入库单!$V$4:$V$2503,入库单!$G$4:$G$2503,$A1075,入库单!$X$4:$X$2503,"采购入库",入库单!$Z$4:$Z$2503,"正常",入库单!$C$4:$C$2503,"&gt;="&amp;账期起,入库单!$C$4:$C$2503,"&lt;="&amp;账期止))</f>
        <v/>
      </c>
      <c r="K1075" s="26">
        <f>IF($A1075="","",IFERROR(ROUND((N($H1075)+N($J1075))/(N($G1075)+N($I1075)),2),0))</f>
        <v/>
      </c>
      <c r="L1075" s="27">
        <f>IF($A1075="","",SUMIFS(入库单!$K$4:$K$2503,入库单!$G$4:$G$2503,$A1075,入库单!$X$4:$X$2503,"盘盈",入库单!$Z$4:$Z$2503,"正常",入库单!$C$4:$C$2503,"&gt;="&amp;账期起,入库单!$C$4:$C$2503,"&lt;="&amp;账期止))</f>
        <v/>
      </c>
      <c r="M1075" s="26">
        <f>IF($A1075="","",ROUND($L1075*$K1075,0))</f>
        <v/>
      </c>
      <c r="N1075" s="27">
        <f>IF($A1075="","",SUMIFS(入库单!$K$4:$K$2503,入库单!$G$4:$G$2503,$A1075,入库单!$X$4:$X$2503,"矿区退库",入库单!$Z$4:$Z$2503,"正常",入库单!$C$4:$C$2503,"&gt;="&amp;账期起,入库单!$C$4:$C$2503,"&lt;="&amp;账期止))</f>
        <v/>
      </c>
      <c r="O1075" s="26">
        <f>IF($A1075="","",ROUND($N1075*$K1075,0))</f>
        <v/>
      </c>
      <c r="P1075" s="27">
        <f>IF($A1075="","",SUMIFS(出库单!$J$4:$J$4003,出库单!$D$4:$D$4003,$A1075,出库单!$K$4:$K$4003,"自用消耗",出库单!$U$4:$U$4003,"正常",出库单!$C$4:$C$4003,"&gt;="&amp;账期起,出库单!$C$4:$C$4003,"&lt;="&amp;账期止))</f>
        <v/>
      </c>
      <c r="Q1075" s="26">
        <f>IF($A1075="","",ROUND(SUMIFS(出库单!$S$4:$S$4003,出库单!$D$4:$D$4003,$A1075,出库单!$K$4:$K$4003,"自用消耗",出库单!$U$4:$U$4003,"正常",出库单!$C$4:$C$4003,"&gt;="&amp;账期起,出库单!$C$4:$C$4003,"&lt;="&amp;账期止),0))</f>
        <v/>
      </c>
      <c r="R1075" s="27">
        <f>IF($A1075="","",SUMIFS(出库单!$J$4:$J$4003,出库单!$D$4:$D$4003,$A1075,出库单!$K$4:$K$4003,"对外销售",出库单!$U$4:$U$4003,"正常",出库单!$C$4:$C$4003,"&gt;="&amp;账期起,出库单!$C$4:$C$4003,"&lt;="&amp;账期止))</f>
        <v/>
      </c>
      <c r="S1075" s="26">
        <f>IF($A1075="","",ROUND(SUMIFS(出库单!$S$4:$S$4003,出库单!$D$4:$D$4003,$A1075,出库单!$K$4:$K$4003,"对外销售",出库单!$U$4:$U$4003,"正常",出库单!$C$4:$C$4003,"&gt;="&amp;账期起,出库单!$C$4:$C$4003,"&lt;="&amp;账期止),0))</f>
        <v/>
      </c>
      <c r="T1075" s="27">
        <f>IF($A1075="","",SUMIFS(出库单!$J$4:$J$4003,出库单!$D$4:$D$4003,$A1075,出库单!$K$4:$K$4003,"盘亏",出库单!$U$4:$U$4003,"正常",出库单!$C$4:$C$4003,"&gt;="&amp;账期起,出库单!$C$4:$C$4003,"&lt;="&amp;账期止))</f>
        <v/>
      </c>
      <c r="U1075" s="26">
        <f>IF($A1075="","",ROUND(SUMIFS(出库单!$S$4:$S$4003,出库单!$D$4:$D$4003,$A1075,出库单!$K$4:$K$4003,"盘亏",出库单!$U$4:$U$4003,"正常",出库单!$C$4:$C$4003,"&gt;="&amp;账期起,出库单!$C$4:$C$4003,"&lt;="&amp;账期止),0))</f>
        <v/>
      </c>
      <c r="V1075" s="27">
        <f>IF($A1075="","",SUMIFS(出库单!$J$4:$J$4003,出库单!$D$4:$D$4003,$A1075,出库单!$K$4:$K$4003,"退货给供应商",出库单!$U$4:$U$4003,"正常",出库单!$C$4:$C$4003,"&gt;="&amp;账期起,出库单!$C$4:$C$4003,"&lt;="&amp;账期止))</f>
        <v/>
      </c>
      <c r="W1075" s="26">
        <f>IF($A1075="","",ROUND(SUMIFS(出库单!$S$4:$S$4003,出库单!$D$4:$D$4003,$A1075,出库单!$K$4:$K$4003,"退货给供应商",出库单!$U$4:$U$4003,"正常",出库单!$C$4:$C$4003,"&gt;="&amp;账期起,出库单!$C$4:$C$4003,"&lt;="&amp;账期止),0))</f>
        <v/>
      </c>
      <c r="X1075" s="27">
        <f>IF($A1075="","",ROUND(N($G1075)+$I1075+$L1075+$N1075-$P1075-$R1075-$T1075-$V1075,3))</f>
        <v/>
      </c>
      <c r="Y1075" s="26">
        <f>IF($A1075="","",ROUND(N($H1075)+$J1075+$M1075+$O1075-$Q1075-$S1075-$U1075-$W1075,0))</f>
        <v/>
      </c>
      <c r="Z1075" s="24">
        <f>IF($A1075="","",IF(COUNTIFS(入库单!$G$4:$G$2503,$A1075,入库单!$Y$4:$Y$2503,"待补价")+COUNTIFS(入库单!$G$4:$G$2503,$A1075,入库单!$Y$4:$Y$2503,"暂估")&gt;0,"不可信","可信"))</f>
        <v/>
      </c>
      <c r="AA1075" s="24">
        <f>IF($A1075="","",IF($X1075&lt;-0.001,"※账面负库存，查一下是不是漏记入库",IF(AND(ROUND($X1075,3)=0,ABS($Y1075)&gt;1),"※数量已经是 0，金额还挂着 "&amp;TEXT($Y1075,"#,##0")&amp;" 先令",IF(AND($X1075&gt;0,$Y1075&lt;=0,$K1075=0),"※有数量没金额（这个物料一直没填过进价）",IF($Z1075="不可信","△成本含待补价/暂估，毛利仅供参考","")))))</f>
        <v/>
      </c>
    </row>
    <row r="1076">
      <c r="A1076" s="24">
        <f>IF(物料档案!$A1075="","",物料档案!$A1075)</f>
        <v/>
      </c>
      <c r="B1076" s="24">
        <f>IF($A1076="","",IFERROR(VLOOKUP($A1076,物料档案!$A$4:$P$1203,3,0),""))</f>
        <v/>
      </c>
      <c r="C1076" s="24">
        <f>IF($A1076="","",IFERROR(VLOOKUP($A1076,物料档案!$A$4:$P$1203,4,0),""))</f>
        <v/>
      </c>
      <c r="D1076" s="24">
        <f>IF($A1076="","",IFERROR(VLOOKUP($A1076,物料档案!$A$4:$P$1203,5,0),""))</f>
        <v/>
      </c>
      <c r="E1076" s="24">
        <f>IF($A1076="","",IFERROR(VLOOKUP($A1076,物料档案!$A$4:$P$1203,2,0),""))</f>
        <v/>
      </c>
      <c r="F1076" s="24">
        <f>IF($A1076="","",IFERROR(VLOOKUP($A1076,物料档案!$A$4:$P$1203,6,0),""))</f>
        <v/>
      </c>
      <c r="G1076" s="23" t="n"/>
      <c r="H1076" s="32" t="n"/>
      <c r="I1076" s="27">
        <f>IF($A1076="","",SUMIFS(入库单!$K$4:$K$2503,入库单!$G$4:$G$2503,$A1076,入库单!$X$4:$X$2503,"采购入库",入库单!$Z$4:$Z$2503,"正常",入库单!$C$4:$C$2503,"&gt;="&amp;账期起,入库单!$C$4:$C$2503,"&lt;="&amp;账期止))</f>
        <v/>
      </c>
      <c r="J1076" s="26">
        <f>IF($A1076="","",SUMIFS(入库单!$V$4:$V$2503,入库单!$G$4:$G$2503,$A1076,入库单!$X$4:$X$2503,"采购入库",入库单!$Z$4:$Z$2503,"正常",入库单!$C$4:$C$2503,"&gt;="&amp;账期起,入库单!$C$4:$C$2503,"&lt;="&amp;账期止))</f>
        <v/>
      </c>
      <c r="K1076" s="26">
        <f>IF($A1076="","",IFERROR(ROUND((N($H1076)+N($J1076))/(N($G1076)+N($I1076)),2),0))</f>
        <v/>
      </c>
      <c r="L1076" s="27">
        <f>IF($A1076="","",SUMIFS(入库单!$K$4:$K$2503,入库单!$G$4:$G$2503,$A1076,入库单!$X$4:$X$2503,"盘盈",入库单!$Z$4:$Z$2503,"正常",入库单!$C$4:$C$2503,"&gt;="&amp;账期起,入库单!$C$4:$C$2503,"&lt;="&amp;账期止))</f>
        <v/>
      </c>
      <c r="M1076" s="26">
        <f>IF($A1076="","",ROUND($L1076*$K1076,0))</f>
        <v/>
      </c>
      <c r="N1076" s="27">
        <f>IF($A1076="","",SUMIFS(入库单!$K$4:$K$2503,入库单!$G$4:$G$2503,$A1076,入库单!$X$4:$X$2503,"矿区退库",入库单!$Z$4:$Z$2503,"正常",入库单!$C$4:$C$2503,"&gt;="&amp;账期起,入库单!$C$4:$C$2503,"&lt;="&amp;账期止))</f>
        <v/>
      </c>
      <c r="O1076" s="26">
        <f>IF($A1076="","",ROUND($N1076*$K1076,0))</f>
        <v/>
      </c>
      <c r="P1076" s="27">
        <f>IF($A1076="","",SUMIFS(出库单!$J$4:$J$4003,出库单!$D$4:$D$4003,$A1076,出库单!$K$4:$K$4003,"自用消耗",出库单!$U$4:$U$4003,"正常",出库单!$C$4:$C$4003,"&gt;="&amp;账期起,出库单!$C$4:$C$4003,"&lt;="&amp;账期止))</f>
        <v/>
      </c>
      <c r="Q1076" s="26">
        <f>IF($A1076="","",ROUND(SUMIFS(出库单!$S$4:$S$4003,出库单!$D$4:$D$4003,$A1076,出库单!$K$4:$K$4003,"自用消耗",出库单!$U$4:$U$4003,"正常",出库单!$C$4:$C$4003,"&gt;="&amp;账期起,出库单!$C$4:$C$4003,"&lt;="&amp;账期止),0))</f>
        <v/>
      </c>
      <c r="R1076" s="27">
        <f>IF($A1076="","",SUMIFS(出库单!$J$4:$J$4003,出库单!$D$4:$D$4003,$A1076,出库单!$K$4:$K$4003,"对外销售",出库单!$U$4:$U$4003,"正常",出库单!$C$4:$C$4003,"&gt;="&amp;账期起,出库单!$C$4:$C$4003,"&lt;="&amp;账期止))</f>
        <v/>
      </c>
      <c r="S1076" s="26">
        <f>IF($A1076="","",ROUND(SUMIFS(出库单!$S$4:$S$4003,出库单!$D$4:$D$4003,$A1076,出库单!$K$4:$K$4003,"对外销售",出库单!$U$4:$U$4003,"正常",出库单!$C$4:$C$4003,"&gt;="&amp;账期起,出库单!$C$4:$C$4003,"&lt;="&amp;账期止),0))</f>
        <v/>
      </c>
      <c r="T1076" s="27">
        <f>IF($A1076="","",SUMIFS(出库单!$J$4:$J$4003,出库单!$D$4:$D$4003,$A1076,出库单!$K$4:$K$4003,"盘亏",出库单!$U$4:$U$4003,"正常",出库单!$C$4:$C$4003,"&gt;="&amp;账期起,出库单!$C$4:$C$4003,"&lt;="&amp;账期止))</f>
        <v/>
      </c>
      <c r="U1076" s="26">
        <f>IF($A1076="","",ROUND(SUMIFS(出库单!$S$4:$S$4003,出库单!$D$4:$D$4003,$A1076,出库单!$K$4:$K$4003,"盘亏",出库单!$U$4:$U$4003,"正常",出库单!$C$4:$C$4003,"&gt;="&amp;账期起,出库单!$C$4:$C$4003,"&lt;="&amp;账期止),0))</f>
        <v/>
      </c>
      <c r="V1076" s="27">
        <f>IF($A1076="","",SUMIFS(出库单!$J$4:$J$4003,出库单!$D$4:$D$4003,$A1076,出库单!$K$4:$K$4003,"退货给供应商",出库单!$U$4:$U$4003,"正常",出库单!$C$4:$C$4003,"&gt;="&amp;账期起,出库单!$C$4:$C$4003,"&lt;="&amp;账期止))</f>
        <v/>
      </c>
      <c r="W1076" s="26">
        <f>IF($A1076="","",ROUND(SUMIFS(出库单!$S$4:$S$4003,出库单!$D$4:$D$4003,$A1076,出库单!$K$4:$K$4003,"退货给供应商",出库单!$U$4:$U$4003,"正常",出库单!$C$4:$C$4003,"&gt;="&amp;账期起,出库单!$C$4:$C$4003,"&lt;="&amp;账期止),0))</f>
        <v/>
      </c>
      <c r="X1076" s="27">
        <f>IF($A1076="","",ROUND(N($G1076)+$I1076+$L1076+$N1076-$P1076-$R1076-$T1076-$V1076,3))</f>
        <v/>
      </c>
      <c r="Y1076" s="26">
        <f>IF($A1076="","",ROUND(N($H1076)+$J1076+$M1076+$O1076-$Q1076-$S1076-$U1076-$W1076,0))</f>
        <v/>
      </c>
      <c r="Z1076" s="24">
        <f>IF($A1076="","",IF(COUNTIFS(入库单!$G$4:$G$2503,$A1076,入库单!$Y$4:$Y$2503,"待补价")+COUNTIFS(入库单!$G$4:$G$2503,$A1076,入库单!$Y$4:$Y$2503,"暂估")&gt;0,"不可信","可信"))</f>
        <v/>
      </c>
      <c r="AA1076" s="24">
        <f>IF($A1076="","",IF($X1076&lt;-0.001,"※账面负库存，查一下是不是漏记入库",IF(AND(ROUND($X1076,3)=0,ABS($Y1076)&gt;1),"※数量已经是 0，金额还挂着 "&amp;TEXT($Y1076,"#,##0")&amp;" 先令",IF(AND($X1076&gt;0,$Y1076&lt;=0,$K1076=0),"※有数量没金额（这个物料一直没填过进价）",IF($Z1076="不可信","△成本含待补价/暂估，毛利仅供参考","")))))</f>
        <v/>
      </c>
    </row>
    <row r="1077">
      <c r="A1077" s="24">
        <f>IF(物料档案!$A1076="","",物料档案!$A1076)</f>
        <v/>
      </c>
      <c r="B1077" s="24">
        <f>IF($A1077="","",IFERROR(VLOOKUP($A1077,物料档案!$A$4:$P$1203,3,0),""))</f>
        <v/>
      </c>
      <c r="C1077" s="24">
        <f>IF($A1077="","",IFERROR(VLOOKUP($A1077,物料档案!$A$4:$P$1203,4,0),""))</f>
        <v/>
      </c>
      <c r="D1077" s="24">
        <f>IF($A1077="","",IFERROR(VLOOKUP($A1077,物料档案!$A$4:$P$1203,5,0),""))</f>
        <v/>
      </c>
      <c r="E1077" s="24">
        <f>IF($A1077="","",IFERROR(VLOOKUP($A1077,物料档案!$A$4:$P$1203,2,0),""))</f>
        <v/>
      </c>
      <c r="F1077" s="24">
        <f>IF($A1077="","",IFERROR(VLOOKUP($A1077,物料档案!$A$4:$P$1203,6,0),""))</f>
        <v/>
      </c>
      <c r="G1077" s="23" t="n"/>
      <c r="H1077" s="32" t="n"/>
      <c r="I1077" s="27">
        <f>IF($A1077="","",SUMIFS(入库单!$K$4:$K$2503,入库单!$G$4:$G$2503,$A1077,入库单!$X$4:$X$2503,"采购入库",入库单!$Z$4:$Z$2503,"正常",入库单!$C$4:$C$2503,"&gt;="&amp;账期起,入库单!$C$4:$C$2503,"&lt;="&amp;账期止))</f>
        <v/>
      </c>
      <c r="J1077" s="26">
        <f>IF($A1077="","",SUMIFS(入库单!$V$4:$V$2503,入库单!$G$4:$G$2503,$A1077,入库单!$X$4:$X$2503,"采购入库",入库单!$Z$4:$Z$2503,"正常",入库单!$C$4:$C$2503,"&gt;="&amp;账期起,入库单!$C$4:$C$2503,"&lt;="&amp;账期止))</f>
        <v/>
      </c>
      <c r="K1077" s="26">
        <f>IF($A1077="","",IFERROR(ROUND((N($H1077)+N($J1077))/(N($G1077)+N($I1077)),2),0))</f>
        <v/>
      </c>
      <c r="L1077" s="27">
        <f>IF($A1077="","",SUMIFS(入库单!$K$4:$K$2503,入库单!$G$4:$G$2503,$A1077,入库单!$X$4:$X$2503,"盘盈",入库单!$Z$4:$Z$2503,"正常",入库单!$C$4:$C$2503,"&gt;="&amp;账期起,入库单!$C$4:$C$2503,"&lt;="&amp;账期止))</f>
        <v/>
      </c>
      <c r="M1077" s="26">
        <f>IF($A1077="","",ROUND($L1077*$K1077,0))</f>
        <v/>
      </c>
      <c r="N1077" s="27">
        <f>IF($A1077="","",SUMIFS(入库单!$K$4:$K$2503,入库单!$G$4:$G$2503,$A1077,入库单!$X$4:$X$2503,"矿区退库",入库单!$Z$4:$Z$2503,"正常",入库单!$C$4:$C$2503,"&gt;="&amp;账期起,入库单!$C$4:$C$2503,"&lt;="&amp;账期止))</f>
        <v/>
      </c>
      <c r="O1077" s="26">
        <f>IF($A1077="","",ROUND($N1077*$K1077,0))</f>
        <v/>
      </c>
      <c r="P1077" s="27">
        <f>IF($A1077="","",SUMIFS(出库单!$J$4:$J$4003,出库单!$D$4:$D$4003,$A1077,出库单!$K$4:$K$4003,"自用消耗",出库单!$U$4:$U$4003,"正常",出库单!$C$4:$C$4003,"&gt;="&amp;账期起,出库单!$C$4:$C$4003,"&lt;="&amp;账期止))</f>
        <v/>
      </c>
      <c r="Q1077" s="26">
        <f>IF($A1077="","",ROUND(SUMIFS(出库单!$S$4:$S$4003,出库单!$D$4:$D$4003,$A1077,出库单!$K$4:$K$4003,"自用消耗",出库单!$U$4:$U$4003,"正常",出库单!$C$4:$C$4003,"&gt;="&amp;账期起,出库单!$C$4:$C$4003,"&lt;="&amp;账期止),0))</f>
        <v/>
      </c>
      <c r="R1077" s="27">
        <f>IF($A1077="","",SUMIFS(出库单!$J$4:$J$4003,出库单!$D$4:$D$4003,$A1077,出库单!$K$4:$K$4003,"对外销售",出库单!$U$4:$U$4003,"正常",出库单!$C$4:$C$4003,"&gt;="&amp;账期起,出库单!$C$4:$C$4003,"&lt;="&amp;账期止))</f>
        <v/>
      </c>
      <c r="S1077" s="26">
        <f>IF($A1077="","",ROUND(SUMIFS(出库单!$S$4:$S$4003,出库单!$D$4:$D$4003,$A1077,出库单!$K$4:$K$4003,"对外销售",出库单!$U$4:$U$4003,"正常",出库单!$C$4:$C$4003,"&gt;="&amp;账期起,出库单!$C$4:$C$4003,"&lt;="&amp;账期止),0))</f>
        <v/>
      </c>
      <c r="T1077" s="27">
        <f>IF($A1077="","",SUMIFS(出库单!$J$4:$J$4003,出库单!$D$4:$D$4003,$A1077,出库单!$K$4:$K$4003,"盘亏",出库单!$U$4:$U$4003,"正常",出库单!$C$4:$C$4003,"&gt;="&amp;账期起,出库单!$C$4:$C$4003,"&lt;="&amp;账期止))</f>
        <v/>
      </c>
      <c r="U1077" s="26">
        <f>IF($A1077="","",ROUND(SUMIFS(出库单!$S$4:$S$4003,出库单!$D$4:$D$4003,$A1077,出库单!$K$4:$K$4003,"盘亏",出库单!$U$4:$U$4003,"正常",出库单!$C$4:$C$4003,"&gt;="&amp;账期起,出库单!$C$4:$C$4003,"&lt;="&amp;账期止),0))</f>
        <v/>
      </c>
      <c r="V1077" s="27">
        <f>IF($A1077="","",SUMIFS(出库单!$J$4:$J$4003,出库单!$D$4:$D$4003,$A1077,出库单!$K$4:$K$4003,"退货给供应商",出库单!$U$4:$U$4003,"正常",出库单!$C$4:$C$4003,"&gt;="&amp;账期起,出库单!$C$4:$C$4003,"&lt;="&amp;账期止))</f>
        <v/>
      </c>
      <c r="W1077" s="26">
        <f>IF($A1077="","",ROUND(SUMIFS(出库单!$S$4:$S$4003,出库单!$D$4:$D$4003,$A1077,出库单!$K$4:$K$4003,"退货给供应商",出库单!$U$4:$U$4003,"正常",出库单!$C$4:$C$4003,"&gt;="&amp;账期起,出库单!$C$4:$C$4003,"&lt;="&amp;账期止),0))</f>
        <v/>
      </c>
      <c r="X1077" s="27">
        <f>IF($A1077="","",ROUND(N($G1077)+$I1077+$L1077+$N1077-$P1077-$R1077-$T1077-$V1077,3))</f>
        <v/>
      </c>
      <c r="Y1077" s="26">
        <f>IF($A1077="","",ROUND(N($H1077)+$J1077+$M1077+$O1077-$Q1077-$S1077-$U1077-$W1077,0))</f>
        <v/>
      </c>
      <c r="Z1077" s="24">
        <f>IF($A1077="","",IF(COUNTIFS(入库单!$G$4:$G$2503,$A1077,入库单!$Y$4:$Y$2503,"待补价")+COUNTIFS(入库单!$G$4:$G$2503,$A1077,入库单!$Y$4:$Y$2503,"暂估")&gt;0,"不可信","可信"))</f>
        <v/>
      </c>
      <c r="AA1077" s="24">
        <f>IF($A1077="","",IF($X1077&lt;-0.001,"※账面负库存，查一下是不是漏记入库",IF(AND(ROUND($X1077,3)=0,ABS($Y1077)&gt;1),"※数量已经是 0，金额还挂着 "&amp;TEXT($Y1077,"#,##0")&amp;" 先令",IF(AND($X1077&gt;0,$Y1077&lt;=0,$K1077=0),"※有数量没金额（这个物料一直没填过进价）",IF($Z1077="不可信","△成本含待补价/暂估，毛利仅供参考","")))))</f>
        <v/>
      </c>
    </row>
    <row r="1078">
      <c r="A1078" s="24">
        <f>IF(物料档案!$A1077="","",物料档案!$A1077)</f>
        <v/>
      </c>
      <c r="B1078" s="24">
        <f>IF($A1078="","",IFERROR(VLOOKUP($A1078,物料档案!$A$4:$P$1203,3,0),""))</f>
        <v/>
      </c>
      <c r="C1078" s="24">
        <f>IF($A1078="","",IFERROR(VLOOKUP($A1078,物料档案!$A$4:$P$1203,4,0),""))</f>
        <v/>
      </c>
      <c r="D1078" s="24">
        <f>IF($A1078="","",IFERROR(VLOOKUP($A1078,物料档案!$A$4:$P$1203,5,0),""))</f>
        <v/>
      </c>
      <c r="E1078" s="24">
        <f>IF($A1078="","",IFERROR(VLOOKUP($A1078,物料档案!$A$4:$P$1203,2,0),""))</f>
        <v/>
      </c>
      <c r="F1078" s="24">
        <f>IF($A1078="","",IFERROR(VLOOKUP($A1078,物料档案!$A$4:$P$1203,6,0),""))</f>
        <v/>
      </c>
      <c r="G1078" s="23" t="n"/>
      <c r="H1078" s="32" t="n"/>
      <c r="I1078" s="27">
        <f>IF($A1078="","",SUMIFS(入库单!$K$4:$K$2503,入库单!$G$4:$G$2503,$A1078,入库单!$X$4:$X$2503,"采购入库",入库单!$Z$4:$Z$2503,"正常",入库单!$C$4:$C$2503,"&gt;="&amp;账期起,入库单!$C$4:$C$2503,"&lt;="&amp;账期止))</f>
        <v/>
      </c>
      <c r="J1078" s="26">
        <f>IF($A1078="","",SUMIFS(入库单!$V$4:$V$2503,入库单!$G$4:$G$2503,$A1078,入库单!$X$4:$X$2503,"采购入库",入库单!$Z$4:$Z$2503,"正常",入库单!$C$4:$C$2503,"&gt;="&amp;账期起,入库单!$C$4:$C$2503,"&lt;="&amp;账期止))</f>
        <v/>
      </c>
      <c r="K1078" s="26">
        <f>IF($A1078="","",IFERROR(ROUND((N($H1078)+N($J1078))/(N($G1078)+N($I1078)),2),0))</f>
        <v/>
      </c>
      <c r="L1078" s="27">
        <f>IF($A1078="","",SUMIFS(入库单!$K$4:$K$2503,入库单!$G$4:$G$2503,$A1078,入库单!$X$4:$X$2503,"盘盈",入库单!$Z$4:$Z$2503,"正常",入库单!$C$4:$C$2503,"&gt;="&amp;账期起,入库单!$C$4:$C$2503,"&lt;="&amp;账期止))</f>
        <v/>
      </c>
      <c r="M1078" s="26">
        <f>IF($A1078="","",ROUND($L1078*$K1078,0))</f>
        <v/>
      </c>
      <c r="N1078" s="27">
        <f>IF($A1078="","",SUMIFS(入库单!$K$4:$K$2503,入库单!$G$4:$G$2503,$A1078,入库单!$X$4:$X$2503,"矿区退库",入库单!$Z$4:$Z$2503,"正常",入库单!$C$4:$C$2503,"&gt;="&amp;账期起,入库单!$C$4:$C$2503,"&lt;="&amp;账期止))</f>
        <v/>
      </c>
      <c r="O1078" s="26">
        <f>IF($A1078="","",ROUND($N1078*$K1078,0))</f>
        <v/>
      </c>
      <c r="P1078" s="27">
        <f>IF($A1078="","",SUMIFS(出库单!$J$4:$J$4003,出库单!$D$4:$D$4003,$A1078,出库单!$K$4:$K$4003,"自用消耗",出库单!$U$4:$U$4003,"正常",出库单!$C$4:$C$4003,"&gt;="&amp;账期起,出库单!$C$4:$C$4003,"&lt;="&amp;账期止))</f>
        <v/>
      </c>
      <c r="Q1078" s="26">
        <f>IF($A1078="","",ROUND(SUMIFS(出库单!$S$4:$S$4003,出库单!$D$4:$D$4003,$A1078,出库单!$K$4:$K$4003,"自用消耗",出库单!$U$4:$U$4003,"正常",出库单!$C$4:$C$4003,"&gt;="&amp;账期起,出库单!$C$4:$C$4003,"&lt;="&amp;账期止),0))</f>
        <v/>
      </c>
      <c r="R1078" s="27">
        <f>IF($A1078="","",SUMIFS(出库单!$J$4:$J$4003,出库单!$D$4:$D$4003,$A1078,出库单!$K$4:$K$4003,"对外销售",出库单!$U$4:$U$4003,"正常",出库单!$C$4:$C$4003,"&gt;="&amp;账期起,出库单!$C$4:$C$4003,"&lt;="&amp;账期止))</f>
        <v/>
      </c>
      <c r="S1078" s="26">
        <f>IF($A1078="","",ROUND(SUMIFS(出库单!$S$4:$S$4003,出库单!$D$4:$D$4003,$A1078,出库单!$K$4:$K$4003,"对外销售",出库单!$U$4:$U$4003,"正常",出库单!$C$4:$C$4003,"&gt;="&amp;账期起,出库单!$C$4:$C$4003,"&lt;="&amp;账期止),0))</f>
        <v/>
      </c>
      <c r="T1078" s="27">
        <f>IF($A1078="","",SUMIFS(出库单!$J$4:$J$4003,出库单!$D$4:$D$4003,$A1078,出库单!$K$4:$K$4003,"盘亏",出库单!$U$4:$U$4003,"正常",出库单!$C$4:$C$4003,"&gt;="&amp;账期起,出库单!$C$4:$C$4003,"&lt;="&amp;账期止))</f>
        <v/>
      </c>
      <c r="U1078" s="26">
        <f>IF($A1078="","",ROUND(SUMIFS(出库单!$S$4:$S$4003,出库单!$D$4:$D$4003,$A1078,出库单!$K$4:$K$4003,"盘亏",出库单!$U$4:$U$4003,"正常",出库单!$C$4:$C$4003,"&gt;="&amp;账期起,出库单!$C$4:$C$4003,"&lt;="&amp;账期止),0))</f>
        <v/>
      </c>
      <c r="V1078" s="27">
        <f>IF($A1078="","",SUMIFS(出库单!$J$4:$J$4003,出库单!$D$4:$D$4003,$A1078,出库单!$K$4:$K$4003,"退货给供应商",出库单!$U$4:$U$4003,"正常",出库单!$C$4:$C$4003,"&gt;="&amp;账期起,出库单!$C$4:$C$4003,"&lt;="&amp;账期止))</f>
        <v/>
      </c>
      <c r="W1078" s="26">
        <f>IF($A1078="","",ROUND(SUMIFS(出库单!$S$4:$S$4003,出库单!$D$4:$D$4003,$A1078,出库单!$K$4:$K$4003,"退货给供应商",出库单!$U$4:$U$4003,"正常",出库单!$C$4:$C$4003,"&gt;="&amp;账期起,出库单!$C$4:$C$4003,"&lt;="&amp;账期止),0))</f>
        <v/>
      </c>
      <c r="X1078" s="27">
        <f>IF($A1078="","",ROUND(N($G1078)+$I1078+$L1078+$N1078-$P1078-$R1078-$T1078-$V1078,3))</f>
        <v/>
      </c>
      <c r="Y1078" s="26">
        <f>IF($A1078="","",ROUND(N($H1078)+$J1078+$M1078+$O1078-$Q1078-$S1078-$U1078-$W1078,0))</f>
        <v/>
      </c>
      <c r="Z1078" s="24">
        <f>IF($A1078="","",IF(COUNTIFS(入库单!$G$4:$G$2503,$A1078,入库单!$Y$4:$Y$2503,"待补价")+COUNTIFS(入库单!$G$4:$G$2503,$A1078,入库单!$Y$4:$Y$2503,"暂估")&gt;0,"不可信","可信"))</f>
        <v/>
      </c>
      <c r="AA1078" s="24">
        <f>IF($A1078="","",IF($X1078&lt;-0.001,"※账面负库存，查一下是不是漏记入库",IF(AND(ROUND($X1078,3)=0,ABS($Y1078)&gt;1),"※数量已经是 0，金额还挂着 "&amp;TEXT($Y1078,"#,##0")&amp;" 先令",IF(AND($X1078&gt;0,$Y1078&lt;=0,$K1078=0),"※有数量没金额（这个物料一直没填过进价）",IF($Z1078="不可信","△成本含待补价/暂估，毛利仅供参考","")))))</f>
        <v/>
      </c>
    </row>
    <row r="1079">
      <c r="A1079" s="24">
        <f>IF(物料档案!$A1078="","",物料档案!$A1078)</f>
        <v/>
      </c>
      <c r="B1079" s="24">
        <f>IF($A1079="","",IFERROR(VLOOKUP($A1079,物料档案!$A$4:$P$1203,3,0),""))</f>
        <v/>
      </c>
      <c r="C1079" s="24">
        <f>IF($A1079="","",IFERROR(VLOOKUP($A1079,物料档案!$A$4:$P$1203,4,0),""))</f>
        <v/>
      </c>
      <c r="D1079" s="24">
        <f>IF($A1079="","",IFERROR(VLOOKUP($A1079,物料档案!$A$4:$P$1203,5,0),""))</f>
        <v/>
      </c>
      <c r="E1079" s="24">
        <f>IF($A1079="","",IFERROR(VLOOKUP($A1079,物料档案!$A$4:$P$1203,2,0),""))</f>
        <v/>
      </c>
      <c r="F1079" s="24">
        <f>IF($A1079="","",IFERROR(VLOOKUP($A1079,物料档案!$A$4:$P$1203,6,0),""))</f>
        <v/>
      </c>
      <c r="G1079" s="23" t="n"/>
      <c r="H1079" s="32" t="n"/>
      <c r="I1079" s="27">
        <f>IF($A1079="","",SUMIFS(入库单!$K$4:$K$2503,入库单!$G$4:$G$2503,$A1079,入库单!$X$4:$X$2503,"采购入库",入库单!$Z$4:$Z$2503,"正常",入库单!$C$4:$C$2503,"&gt;="&amp;账期起,入库单!$C$4:$C$2503,"&lt;="&amp;账期止))</f>
        <v/>
      </c>
      <c r="J1079" s="26">
        <f>IF($A1079="","",SUMIFS(入库单!$V$4:$V$2503,入库单!$G$4:$G$2503,$A1079,入库单!$X$4:$X$2503,"采购入库",入库单!$Z$4:$Z$2503,"正常",入库单!$C$4:$C$2503,"&gt;="&amp;账期起,入库单!$C$4:$C$2503,"&lt;="&amp;账期止))</f>
        <v/>
      </c>
      <c r="K1079" s="26">
        <f>IF($A1079="","",IFERROR(ROUND((N($H1079)+N($J1079))/(N($G1079)+N($I1079)),2),0))</f>
        <v/>
      </c>
      <c r="L1079" s="27">
        <f>IF($A1079="","",SUMIFS(入库单!$K$4:$K$2503,入库单!$G$4:$G$2503,$A1079,入库单!$X$4:$X$2503,"盘盈",入库单!$Z$4:$Z$2503,"正常",入库单!$C$4:$C$2503,"&gt;="&amp;账期起,入库单!$C$4:$C$2503,"&lt;="&amp;账期止))</f>
        <v/>
      </c>
      <c r="M1079" s="26">
        <f>IF($A1079="","",ROUND($L1079*$K1079,0))</f>
        <v/>
      </c>
      <c r="N1079" s="27">
        <f>IF($A1079="","",SUMIFS(入库单!$K$4:$K$2503,入库单!$G$4:$G$2503,$A1079,入库单!$X$4:$X$2503,"矿区退库",入库单!$Z$4:$Z$2503,"正常",入库单!$C$4:$C$2503,"&gt;="&amp;账期起,入库单!$C$4:$C$2503,"&lt;="&amp;账期止))</f>
        <v/>
      </c>
      <c r="O1079" s="26">
        <f>IF($A1079="","",ROUND($N1079*$K1079,0))</f>
        <v/>
      </c>
      <c r="P1079" s="27">
        <f>IF($A1079="","",SUMIFS(出库单!$J$4:$J$4003,出库单!$D$4:$D$4003,$A1079,出库单!$K$4:$K$4003,"自用消耗",出库单!$U$4:$U$4003,"正常",出库单!$C$4:$C$4003,"&gt;="&amp;账期起,出库单!$C$4:$C$4003,"&lt;="&amp;账期止))</f>
        <v/>
      </c>
      <c r="Q1079" s="26">
        <f>IF($A1079="","",ROUND(SUMIFS(出库单!$S$4:$S$4003,出库单!$D$4:$D$4003,$A1079,出库单!$K$4:$K$4003,"自用消耗",出库单!$U$4:$U$4003,"正常",出库单!$C$4:$C$4003,"&gt;="&amp;账期起,出库单!$C$4:$C$4003,"&lt;="&amp;账期止),0))</f>
        <v/>
      </c>
      <c r="R1079" s="27">
        <f>IF($A1079="","",SUMIFS(出库单!$J$4:$J$4003,出库单!$D$4:$D$4003,$A1079,出库单!$K$4:$K$4003,"对外销售",出库单!$U$4:$U$4003,"正常",出库单!$C$4:$C$4003,"&gt;="&amp;账期起,出库单!$C$4:$C$4003,"&lt;="&amp;账期止))</f>
        <v/>
      </c>
      <c r="S1079" s="26">
        <f>IF($A1079="","",ROUND(SUMIFS(出库单!$S$4:$S$4003,出库单!$D$4:$D$4003,$A1079,出库单!$K$4:$K$4003,"对外销售",出库单!$U$4:$U$4003,"正常",出库单!$C$4:$C$4003,"&gt;="&amp;账期起,出库单!$C$4:$C$4003,"&lt;="&amp;账期止),0))</f>
        <v/>
      </c>
      <c r="T1079" s="27">
        <f>IF($A1079="","",SUMIFS(出库单!$J$4:$J$4003,出库单!$D$4:$D$4003,$A1079,出库单!$K$4:$K$4003,"盘亏",出库单!$U$4:$U$4003,"正常",出库单!$C$4:$C$4003,"&gt;="&amp;账期起,出库单!$C$4:$C$4003,"&lt;="&amp;账期止))</f>
        <v/>
      </c>
      <c r="U1079" s="26">
        <f>IF($A1079="","",ROUND(SUMIFS(出库单!$S$4:$S$4003,出库单!$D$4:$D$4003,$A1079,出库单!$K$4:$K$4003,"盘亏",出库单!$U$4:$U$4003,"正常",出库单!$C$4:$C$4003,"&gt;="&amp;账期起,出库单!$C$4:$C$4003,"&lt;="&amp;账期止),0))</f>
        <v/>
      </c>
      <c r="V1079" s="27">
        <f>IF($A1079="","",SUMIFS(出库单!$J$4:$J$4003,出库单!$D$4:$D$4003,$A1079,出库单!$K$4:$K$4003,"退货给供应商",出库单!$U$4:$U$4003,"正常",出库单!$C$4:$C$4003,"&gt;="&amp;账期起,出库单!$C$4:$C$4003,"&lt;="&amp;账期止))</f>
        <v/>
      </c>
      <c r="W1079" s="26">
        <f>IF($A1079="","",ROUND(SUMIFS(出库单!$S$4:$S$4003,出库单!$D$4:$D$4003,$A1079,出库单!$K$4:$K$4003,"退货给供应商",出库单!$U$4:$U$4003,"正常",出库单!$C$4:$C$4003,"&gt;="&amp;账期起,出库单!$C$4:$C$4003,"&lt;="&amp;账期止),0))</f>
        <v/>
      </c>
      <c r="X1079" s="27">
        <f>IF($A1079="","",ROUND(N($G1079)+$I1079+$L1079+$N1079-$P1079-$R1079-$T1079-$V1079,3))</f>
        <v/>
      </c>
      <c r="Y1079" s="26">
        <f>IF($A1079="","",ROUND(N($H1079)+$J1079+$M1079+$O1079-$Q1079-$S1079-$U1079-$W1079,0))</f>
        <v/>
      </c>
      <c r="Z1079" s="24">
        <f>IF($A1079="","",IF(COUNTIFS(入库单!$G$4:$G$2503,$A1079,入库单!$Y$4:$Y$2503,"待补价")+COUNTIFS(入库单!$G$4:$G$2503,$A1079,入库单!$Y$4:$Y$2503,"暂估")&gt;0,"不可信","可信"))</f>
        <v/>
      </c>
      <c r="AA1079" s="24">
        <f>IF($A1079="","",IF($X1079&lt;-0.001,"※账面负库存，查一下是不是漏记入库",IF(AND(ROUND($X1079,3)=0,ABS($Y1079)&gt;1),"※数量已经是 0，金额还挂着 "&amp;TEXT($Y1079,"#,##0")&amp;" 先令",IF(AND($X1079&gt;0,$Y1079&lt;=0,$K1079=0),"※有数量没金额（这个物料一直没填过进价）",IF($Z1079="不可信","△成本含待补价/暂估，毛利仅供参考","")))))</f>
        <v/>
      </c>
    </row>
    <row r="1080">
      <c r="A1080" s="24">
        <f>IF(物料档案!$A1079="","",物料档案!$A1079)</f>
        <v/>
      </c>
      <c r="B1080" s="24">
        <f>IF($A1080="","",IFERROR(VLOOKUP($A1080,物料档案!$A$4:$P$1203,3,0),""))</f>
        <v/>
      </c>
      <c r="C1080" s="24">
        <f>IF($A1080="","",IFERROR(VLOOKUP($A1080,物料档案!$A$4:$P$1203,4,0),""))</f>
        <v/>
      </c>
      <c r="D1080" s="24">
        <f>IF($A1080="","",IFERROR(VLOOKUP($A1080,物料档案!$A$4:$P$1203,5,0),""))</f>
        <v/>
      </c>
      <c r="E1080" s="24">
        <f>IF($A1080="","",IFERROR(VLOOKUP($A1080,物料档案!$A$4:$P$1203,2,0),""))</f>
        <v/>
      </c>
      <c r="F1080" s="24">
        <f>IF($A1080="","",IFERROR(VLOOKUP($A1080,物料档案!$A$4:$P$1203,6,0),""))</f>
        <v/>
      </c>
      <c r="G1080" s="23" t="n"/>
      <c r="H1080" s="32" t="n"/>
      <c r="I1080" s="27">
        <f>IF($A1080="","",SUMIFS(入库单!$K$4:$K$2503,入库单!$G$4:$G$2503,$A1080,入库单!$X$4:$X$2503,"采购入库",入库单!$Z$4:$Z$2503,"正常",入库单!$C$4:$C$2503,"&gt;="&amp;账期起,入库单!$C$4:$C$2503,"&lt;="&amp;账期止))</f>
        <v/>
      </c>
      <c r="J1080" s="26">
        <f>IF($A1080="","",SUMIFS(入库单!$V$4:$V$2503,入库单!$G$4:$G$2503,$A1080,入库单!$X$4:$X$2503,"采购入库",入库单!$Z$4:$Z$2503,"正常",入库单!$C$4:$C$2503,"&gt;="&amp;账期起,入库单!$C$4:$C$2503,"&lt;="&amp;账期止))</f>
        <v/>
      </c>
      <c r="K1080" s="26">
        <f>IF($A1080="","",IFERROR(ROUND((N($H1080)+N($J1080))/(N($G1080)+N($I1080)),2),0))</f>
        <v/>
      </c>
      <c r="L1080" s="27">
        <f>IF($A1080="","",SUMIFS(入库单!$K$4:$K$2503,入库单!$G$4:$G$2503,$A1080,入库单!$X$4:$X$2503,"盘盈",入库单!$Z$4:$Z$2503,"正常",入库单!$C$4:$C$2503,"&gt;="&amp;账期起,入库单!$C$4:$C$2503,"&lt;="&amp;账期止))</f>
        <v/>
      </c>
      <c r="M1080" s="26">
        <f>IF($A1080="","",ROUND($L1080*$K1080,0))</f>
        <v/>
      </c>
      <c r="N1080" s="27">
        <f>IF($A1080="","",SUMIFS(入库单!$K$4:$K$2503,入库单!$G$4:$G$2503,$A1080,入库单!$X$4:$X$2503,"矿区退库",入库单!$Z$4:$Z$2503,"正常",入库单!$C$4:$C$2503,"&gt;="&amp;账期起,入库单!$C$4:$C$2503,"&lt;="&amp;账期止))</f>
        <v/>
      </c>
      <c r="O1080" s="26">
        <f>IF($A1080="","",ROUND($N1080*$K1080,0))</f>
        <v/>
      </c>
      <c r="P1080" s="27">
        <f>IF($A1080="","",SUMIFS(出库单!$J$4:$J$4003,出库单!$D$4:$D$4003,$A1080,出库单!$K$4:$K$4003,"自用消耗",出库单!$U$4:$U$4003,"正常",出库单!$C$4:$C$4003,"&gt;="&amp;账期起,出库单!$C$4:$C$4003,"&lt;="&amp;账期止))</f>
        <v/>
      </c>
      <c r="Q1080" s="26">
        <f>IF($A1080="","",ROUND(SUMIFS(出库单!$S$4:$S$4003,出库单!$D$4:$D$4003,$A1080,出库单!$K$4:$K$4003,"自用消耗",出库单!$U$4:$U$4003,"正常",出库单!$C$4:$C$4003,"&gt;="&amp;账期起,出库单!$C$4:$C$4003,"&lt;="&amp;账期止),0))</f>
        <v/>
      </c>
      <c r="R1080" s="27">
        <f>IF($A1080="","",SUMIFS(出库单!$J$4:$J$4003,出库单!$D$4:$D$4003,$A1080,出库单!$K$4:$K$4003,"对外销售",出库单!$U$4:$U$4003,"正常",出库单!$C$4:$C$4003,"&gt;="&amp;账期起,出库单!$C$4:$C$4003,"&lt;="&amp;账期止))</f>
        <v/>
      </c>
      <c r="S1080" s="26">
        <f>IF($A1080="","",ROUND(SUMIFS(出库单!$S$4:$S$4003,出库单!$D$4:$D$4003,$A1080,出库单!$K$4:$K$4003,"对外销售",出库单!$U$4:$U$4003,"正常",出库单!$C$4:$C$4003,"&gt;="&amp;账期起,出库单!$C$4:$C$4003,"&lt;="&amp;账期止),0))</f>
        <v/>
      </c>
      <c r="T1080" s="27">
        <f>IF($A1080="","",SUMIFS(出库单!$J$4:$J$4003,出库单!$D$4:$D$4003,$A1080,出库单!$K$4:$K$4003,"盘亏",出库单!$U$4:$U$4003,"正常",出库单!$C$4:$C$4003,"&gt;="&amp;账期起,出库单!$C$4:$C$4003,"&lt;="&amp;账期止))</f>
        <v/>
      </c>
      <c r="U1080" s="26">
        <f>IF($A1080="","",ROUND(SUMIFS(出库单!$S$4:$S$4003,出库单!$D$4:$D$4003,$A1080,出库单!$K$4:$K$4003,"盘亏",出库单!$U$4:$U$4003,"正常",出库单!$C$4:$C$4003,"&gt;="&amp;账期起,出库单!$C$4:$C$4003,"&lt;="&amp;账期止),0))</f>
        <v/>
      </c>
      <c r="V1080" s="27">
        <f>IF($A1080="","",SUMIFS(出库单!$J$4:$J$4003,出库单!$D$4:$D$4003,$A1080,出库单!$K$4:$K$4003,"退货给供应商",出库单!$U$4:$U$4003,"正常",出库单!$C$4:$C$4003,"&gt;="&amp;账期起,出库单!$C$4:$C$4003,"&lt;="&amp;账期止))</f>
        <v/>
      </c>
      <c r="W1080" s="26">
        <f>IF($A1080="","",ROUND(SUMIFS(出库单!$S$4:$S$4003,出库单!$D$4:$D$4003,$A1080,出库单!$K$4:$K$4003,"退货给供应商",出库单!$U$4:$U$4003,"正常",出库单!$C$4:$C$4003,"&gt;="&amp;账期起,出库单!$C$4:$C$4003,"&lt;="&amp;账期止),0))</f>
        <v/>
      </c>
      <c r="X1080" s="27">
        <f>IF($A1080="","",ROUND(N($G1080)+$I1080+$L1080+$N1080-$P1080-$R1080-$T1080-$V1080,3))</f>
        <v/>
      </c>
      <c r="Y1080" s="26">
        <f>IF($A1080="","",ROUND(N($H1080)+$J1080+$M1080+$O1080-$Q1080-$S1080-$U1080-$W1080,0))</f>
        <v/>
      </c>
      <c r="Z1080" s="24">
        <f>IF($A1080="","",IF(COUNTIFS(入库单!$G$4:$G$2503,$A1080,入库单!$Y$4:$Y$2503,"待补价")+COUNTIFS(入库单!$G$4:$G$2503,$A1080,入库单!$Y$4:$Y$2503,"暂估")&gt;0,"不可信","可信"))</f>
        <v/>
      </c>
      <c r="AA1080" s="24">
        <f>IF($A1080="","",IF($X1080&lt;-0.001,"※账面负库存，查一下是不是漏记入库",IF(AND(ROUND($X1080,3)=0,ABS($Y1080)&gt;1),"※数量已经是 0，金额还挂着 "&amp;TEXT($Y1080,"#,##0")&amp;" 先令",IF(AND($X1080&gt;0,$Y1080&lt;=0,$K1080=0),"※有数量没金额（这个物料一直没填过进价）",IF($Z1080="不可信","△成本含待补价/暂估，毛利仅供参考","")))))</f>
        <v/>
      </c>
    </row>
    <row r="1081">
      <c r="A1081" s="24">
        <f>IF(物料档案!$A1080="","",物料档案!$A1080)</f>
        <v/>
      </c>
      <c r="B1081" s="24">
        <f>IF($A1081="","",IFERROR(VLOOKUP($A1081,物料档案!$A$4:$P$1203,3,0),""))</f>
        <v/>
      </c>
      <c r="C1081" s="24">
        <f>IF($A1081="","",IFERROR(VLOOKUP($A1081,物料档案!$A$4:$P$1203,4,0),""))</f>
        <v/>
      </c>
      <c r="D1081" s="24">
        <f>IF($A1081="","",IFERROR(VLOOKUP($A1081,物料档案!$A$4:$P$1203,5,0),""))</f>
        <v/>
      </c>
      <c r="E1081" s="24">
        <f>IF($A1081="","",IFERROR(VLOOKUP($A1081,物料档案!$A$4:$P$1203,2,0),""))</f>
        <v/>
      </c>
      <c r="F1081" s="24">
        <f>IF($A1081="","",IFERROR(VLOOKUP($A1081,物料档案!$A$4:$P$1203,6,0),""))</f>
        <v/>
      </c>
      <c r="G1081" s="23" t="n"/>
      <c r="H1081" s="32" t="n"/>
      <c r="I1081" s="27">
        <f>IF($A1081="","",SUMIFS(入库单!$K$4:$K$2503,入库单!$G$4:$G$2503,$A1081,入库单!$X$4:$X$2503,"采购入库",入库单!$Z$4:$Z$2503,"正常",入库单!$C$4:$C$2503,"&gt;="&amp;账期起,入库单!$C$4:$C$2503,"&lt;="&amp;账期止))</f>
        <v/>
      </c>
      <c r="J1081" s="26">
        <f>IF($A1081="","",SUMIFS(入库单!$V$4:$V$2503,入库单!$G$4:$G$2503,$A1081,入库单!$X$4:$X$2503,"采购入库",入库单!$Z$4:$Z$2503,"正常",入库单!$C$4:$C$2503,"&gt;="&amp;账期起,入库单!$C$4:$C$2503,"&lt;="&amp;账期止))</f>
        <v/>
      </c>
      <c r="K1081" s="26">
        <f>IF($A1081="","",IFERROR(ROUND((N($H1081)+N($J1081))/(N($G1081)+N($I1081)),2),0))</f>
        <v/>
      </c>
      <c r="L1081" s="27">
        <f>IF($A1081="","",SUMIFS(入库单!$K$4:$K$2503,入库单!$G$4:$G$2503,$A1081,入库单!$X$4:$X$2503,"盘盈",入库单!$Z$4:$Z$2503,"正常",入库单!$C$4:$C$2503,"&gt;="&amp;账期起,入库单!$C$4:$C$2503,"&lt;="&amp;账期止))</f>
        <v/>
      </c>
      <c r="M1081" s="26">
        <f>IF($A1081="","",ROUND($L1081*$K1081,0))</f>
        <v/>
      </c>
      <c r="N1081" s="27">
        <f>IF($A1081="","",SUMIFS(入库单!$K$4:$K$2503,入库单!$G$4:$G$2503,$A1081,入库单!$X$4:$X$2503,"矿区退库",入库单!$Z$4:$Z$2503,"正常",入库单!$C$4:$C$2503,"&gt;="&amp;账期起,入库单!$C$4:$C$2503,"&lt;="&amp;账期止))</f>
        <v/>
      </c>
      <c r="O1081" s="26">
        <f>IF($A1081="","",ROUND($N1081*$K1081,0))</f>
        <v/>
      </c>
      <c r="P1081" s="27">
        <f>IF($A1081="","",SUMIFS(出库单!$J$4:$J$4003,出库单!$D$4:$D$4003,$A1081,出库单!$K$4:$K$4003,"自用消耗",出库单!$U$4:$U$4003,"正常",出库单!$C$4:$C$4003,"&gt;="&amp;账期起,出库单!$C$4:$C$4003,"&lt;="&amp;账期止))</f>
        <v/>
      </c>
      <c r="Q1081" s="26">
        <f>IF($A1081="","",ROUND(SUMIFS(出库单!$S$4:$S$4003,出库单!$D$4:$D$4003,$A1081,出库单!$K$4:$K$4003,"自用消耗",出库单!$U$4:$U$4003,"正常",出库单!$C$4:$C$4003,"&gt;="&amp;账期起,出库单!$C$4:$C$4003,"&lt;="&amp;账期止),0))</f>
        <v/>
      </c>
      <c r="R1081" s="27">
        <f>IF($A1081="","",SUMIFS(出库单!$J$4:$J$4003,出库单!$D$4:$D$4003,$A1081,出库单!$K$4:$K$4003,"对外销售",出库单!$U$4:$U$4003,"正常",出库单!$C$4:$C$4003,"&gt;="&amp;账期起,出库单!$C$4:$C$4003,"&lt;="&amp;账期止))</f>
        <v/>
      </c>
      <c r="S1081" s="26">
        <f>IF($A1081="","",ROUND(SUMIFS(出库单!$S$4:$S$4003,出库单!$D$4:$D$4003,$A1081,出库单!$K$4:$K$4003,"对外销售",出库单!$U$4:$U$4003,"正常",出库单!$C$4:$C$4003,"&gt;="&amp;账期起,出库单!$C$4:$C$4003,"&lt;="&amp;账期止),0))</f>
        <v/>
      </c>
      <c r="T1081" s="27">
        <f>IF($A1081="","",SUMIFS(出库单!$J$4:$J$4003,出库单!$D$4:$D$4003,$A1081,出库单!$K$4:$K$4003,"盘亏",出库单!$U$4:$U$4003,"正常",出库单!$C$4:$C$4003,"&gt;="&amp;账期起,出库单!$C$4:$C$4003,"&lt;="&amp;账期止))</f>
        <v/>
      </c>
      <c r="U1081" s="26">
        <f>IF($A1081="","",ROUND(SUMIFS(出库单!$S$4:$S$4003,出库单!$D$4:$D$4003,$A1081,出库单!$K$4:$K$4003,"盘亏",出库单!$U$4:$U$4003,"正常",出库单!$C$4:$C$4003,"&gt;="&amp;账期起,出库单!$C$4:$C$4003,"&lt;="&amp;账期止),0))</f>
        <v/>
      </c>
      <c r="V1081" s="27">
        <f>IF($A1081="","",SUMIFS(出库单!$J$4:$J$4003,出库单!$D$4:$D$4003,$A1081,出库单!$K$4:$K$4003,"退货给供应商",出库单!$U$4:$U$4003,"正常",出库单!$C$4:$C$4003,"&gt;="&amp;账期起,出库单!$C$4:$C$4003,"&lt;="&amp;账期止))</f>
        <v/>
      </c>
      <c r="W1081" s="26">
        <f>IF($A1081="","",ROUND(SUMIFS(出库单!$S$4:$S$4003,出库单!$D$4:$D$4003,$A1081,出库单!$K$4:$K$4003,"退货给供应商",出库单!$U$4:$U$4003,"正常",出库单!$C$4:$C$4003,"&gt;="&amp;账期起,出库单!$C$4:$C$4003,"&lt;="&amp;账期止),0))</f>
        <v/>
      </c>
      <c r="X1081" s="27">
        <f>IF($A1081="","",ROUND(N($G1081)+$I1081+$L1081+$N1081-$P1081-$R1081-$T1081-$V1081,3))</f>
        <v/>
      </c>
      <c r="Y1081" s="26">
        <f>IF($A1081="","",ROUND(N($H1081)+$J1081+$M1081+$O1081-$Q1081-$S1081-$U1081-$W1081,0))</f>
        <v/>
      </c>
      <c r="Z1081" s="24">
        <f>IF($A1081="","",IF(COUNTIFS(入库单!$G$4:$G$2503,$A1081,入库单!$Y$4:$Y$2503,"待补价")+COUNTIFS(入库单!$G$4:$G$2503,$A1081,入库单!$Y$4:$Y$2503,"暂估")&gt;0,"不可信","可信"))</f>
        <v/>
      </c>
      <c r="AA1081" s="24">
        <f>IF($A1081="","",IF($X1081&lt;-0.001,"※账面负库存，查一下是不是漏记入库",IF(AND(ROUND($X1081,3)=0,ABS($Y1081)&gt;1),"※数量已经是 0，金额还挂着 "&amp;TEXT($Y1081,"#,##0")&amp;" 先令",IF(AND($X1081&gt;0,$Y1081&lt;=0,$K1081=0),"※有数量没金额（这个物料一直没填过进价）",IF($Z1081="不可信","△成本含待补价/暂估，毛利仅供参考","")))))</f>
        <v/>
      </c>
    </row>
    <row r="1082">
      <c r="A1082" s="24">
        <f>IF(物料档案!$A1081="","",物料档案!$A1081)</f>
        <v/>
      </c>
      <c r="B1082" s="24">
        <f>IF($A1082="","",IFERROR(VLOOKUP($A1082,物料档案!$A$4:$P$1203,3,0),""))</f>
        <v/>
      </c>
      <c r="C1082" s="24">
        <f>IF($A1082="","",IFERROR(VLOOKUP($A1082,物料档案!$A$4:$P$1203,4,0),""))</f>
        <v/>
      </c>
      <c r="D1082" s="24">
        <f>IF($A1082="","",IFERROR(VLOOKUP($A1082,物料档案!$A$4:$P$1203,5,0),""))</f>
        <v/>
      </c>
      <c r="E1082" s="24">
        <f>IF($A1082="","",IFERROR(VLOOKUP($A1082,物料档案!$A$4:$P$1203,2,0),""))</f>
        <v/>
      </c>
      <c r="F1082" s="24">
        <f>IF($A1082="","",IFERROR(VLOOKUP($A1082,物料档案!$A$4:$P$1203,6,0),""))</f>
        <v/>
      </c>
      <c r="G1082" s="23" t="n"/>
      <c r="H1082" s="32" t="n"/>
      <c r="I1082" s="27">
        <f>IF($A1082="","",SUMIFS(入库单!$K$4:$K$2503,入库单!$G$4:$G$2503,$A1082,入库单!$X$4:$X$2503,"采购入库",入库单!$Z$4:$Z$2503,"正常",入库单!$C$4:$C$2503,"&gt;="&amp;账期起,入库单!$C$4:$C$2503,"&lt;="&amp;账期止))</f>
        <v/>
      </c>
      <c r="J1082" s="26">
        <f>IF($A1082="","",SUMIFS(入库单!$V$4:$V$2503,入库单!$G$4:$G$2503,$A1082,入库单!$X$4:$X$2503,"采购入库",入库单!$Z$4:$Z$2503,"正常",入库单!$C$4:$C$2503,"&gt;="&amp;账期起,入库单!$C$4:$C$2503,"&lt;="&amp;账期止))</f>
        <v/>
      </c>
      <c r="K1082" s="26">
        <f>IF($A1082="","",IFERROR(ROUND((N($H1082)+N($J1082))/(N($G1082)+N($I1082)),2),0))</f>
        <v/>
      </c>
      <c r="L1082" s="27">
        <f>IF($A1082="","",SUMIFS(入库单!$K$4:$K$2503,入库单!$G$4:$G$2503,$A1082,入库单!$X$4:$X$2503,"盘盈",入库单!$Z$4:$Z$2503,"正常",入库单!$C$4:$C$2503,"&gt;="&amp;账期起,入库单!$C$4:$C$2503,"&lt;="&amp;账期止))</f>
        <v/>
      </c>
      <c r="M1082" s="26">
        <f>IF($A1082="","",ROUND($L1082*$K1082,0))</f>
        <v/>
      </c>
      <c r="N1082" s="27">
        <f>IF($A1082="","",SUMIFS(入库单!$K$4:$K$2503,入库单!$G$4:$G$2503,$A1082,入库单!$X$4:$X$2503,"矿区退库",入库单!$Z$4:$Z$2503,"正常",入库单!$C$4:$C$2503,"&gt;="&amp;账期起,入库单!$C$4:$C$2503,"&lt;="&amp;账期止))</f>
        <v/>
      </c>
      <c r="O1082" s="26">
        <f>IF($A1082="","",ROUND($N1082*$K1082,0))</f>
        <v/>
      </c>
      <c r="P1082" s="27">
        <f>IF($A1082="","",SUMIFS(出库单!$J$4:$J$4003,出库单!$D$4:$D$4003,$A1082,出库单!$K$4:$K$4003,"自用消耗",出库单!$U$4:$U$4003,"正常",出库单!$C$4:$C$4003,"&gt;="&amp;账期起,出库单!$C$4:$C$4003,"&lt;="&amp;账期止))</f>
        <v/>
      </c>
      <c r="Q1082" s="26">
        <f>IF($A1082="","",ROUND(SUMIFS(出库单!$S$4:$S$4003,出库单!$D$4:$D$4003,$A1082,出库单!$K$4:$K$4003,"自用消耗",出库单!$U$4:$U$4003,"正常",出库单!$C$4:$C$4003,"&gt;="&amp;账期起,出库单!$C$4:$C$4003,"&lt;="&amp;账期止),0))</f>
        <v/>
      </c>
      <c r="R1082" s="27">
        <f>IF($A1082="","",SUMIFS(出库单!$J$4:$J$4003,出库单!$D$4:$D$4003,$A1082,出库单!$K$4:$K$4003,"对外销售",出库单!$U$4:$U$4003,"正常",出库单!$C$4:$C$4003,"&gt;="&amp;账期起,出库单!$C$4:$C$4003,"&lt;="&amp;账期止))</f>
        <v/>
      </c>
      <c r="S1082" s="26">
        <f>IF($A1082="","",ROUND(SUMIFS(出库单!$S$4:$S$4003,出库单!$D$4:$D$4003,$A1082,出库单!$K$4:$K$4003,"对外销售",出库单!$U$4:$U$4003,"正常",出库单!$C$4:$C$4003,"&gt;="&amp;账期起,出库单!$C$4:$C$4003,"&lt;="&amp;账期止),0))</f>
        <v/>
      </c>
      <c r="T1082" s="27">
        <f>IF($A1082="","",SUMIFS(出库单!$J$4:$J$4003,出库单!$D$4:$D$4003,$A1082,出库单!$K$4:$K$4003,"盘亏",出库单!$U$4:$U$4003,"正常",出库单!$C$4:$C$4003,"&gt;="&amp;账期起,出库单!$C$4:$C$4003,"&lt;="&amp;账期止))</f>
        <v/>
      </c>
      <c r="U1082" s="26">
        <f>IF($A1082="","",ROUND(SUMIFS(出库单!$S$4:$S$4003,出库单!$D$4:$D$4003,$A1082,出库单!$K$4:$K$4003,"盘亏",出库单!$U$4:$U$4003,"正常",出库单!$C$4:$C$4003,"&gt;="&amp;账期起,出库单!$C$4:$C$4003,"&lt;="&amp;账期止),0))</f>
        <v/>
      </c>
      <c r="V1082" s="27">
        <f>IF($A1082="","",SUMIFS(出库单!$J$4:$J$4003,出库单!$D$4:$D$4003,$A1082,出库单!$K$4:$K$4003,"退货给供应商",出库单!$U$4:$U$4003,"正常",出库单!$C$4:$C$4003,"&gt;="&amp;账期起,出库单!$C$4:$C$4003,"&lt;="&amp;账期止))</f>
        <v/>
      </c>
      <c r="W1082" s="26">
        <f>IF($A1082="","",ROUND(SUMIFS(出库单!$S$4:$S$4003,出库单!$D$4:$D$4003,$A1082,出库单!$K$4:$K$4003,"退货给供应商",出库单!$U$4:$U$4003,"正常",出库单!$C$4:$C$4003,"&gt;="&amp;账期起,出库单!$C$4:$C$4003,"&lt;="&amp;账期止),0))</f>
        <v/>
      </c>
      <c r="X1082" s="27">
        <f>IF($A1082="","",ROUND(N($G1082)+$I1082+$L1082+$N1082-$P1082-$R1082-$T1082-$V1082,3))</f>
        <v/>
      </c>
      <c r="Y1082" s="26">
        <f>IF($A1082="","",ROUND(N($H1082)+$J1082+$M1082+$O1082-$Q1082-$S1082-$U1082-$W1082,0))</f>
        <v/>
      </c>
      <c r="Z1082" s="24">
        <f>IF($A1082="","",IF(COUNTIFS(入库单!$G$4:$G$2503,$A1082,入库单!$Y$4:$Y$2503,"待补价")+COUNTIFS(入库单!$G$4:$G$2503,$A1082,入库单!$Y$4:$Y$2503,"暂估")&gt;0,"不可信","可信"))</f>
        <v/>
      </c>
      <c r="AA1082" s="24">
        <f>IF($A1082="","",IF($X1082&lt;-0.001,"※账面负库存，查一下是不是漏记入库",IF(AND(ROUND($X1082,3)=0,ABS($Y1082)&gt;1),"※数量已经是 0，金额还挂着 "&amp;TEXT($Y1082,"#,##0")&amp;" 先令",IF(AND($X1082&gt;0,$Y1082&lt;=0,$K1082=0),"※有数量没金额（这个物料一直没填过进价）",IF($Z1082="不可信","△成本含待补价/暂估，毛利仅供参考","")))))</f>
        <v/>
      </c>
    </row>
    <row r="1083">
      <c r="A1083" s="24">
        <f>IF(物料档案!$A1082="","",物料档案!$A1082)</f>
        <v/>
      </c>
      <c r="B1083" s="24">
        <f>IF($A1083="","",IFERROR(VLOOKUP($A1083,物料档案!$A$4:$P$1203,3,0),""))</f>
        <v/>
      </c>
      <c r="C1083" s="24">
        <f>IF($A1083="","",IFERROR(VLOOKUP($A1083,物料档案!$A$4:$P$1203,4,0),""))</f>
        <v/>
      </c>
      <c r="D1083" s="24">
        <f>IF($A1083="","",IFERROR(VLOOKUP($A1083,物料档案!$A$4:$P$1203,5,0),""))</f>
        <v/>
      </c>
      <c r="E1083" s="24">
        <f>IF($A1083="","",IFERROR(VLOOKUP($A1083,物料档案!$A$4:$P$1203,2,0),""))</f>
        <v/>
      </c>
      <c r="F1083" s="24">
        <f>IF($A1083="","",IFERROR(VLOOKUP($A1083,物料档案!$A$4:$P$1203,6,0),""))</f>
        <v/>
      </c>
      <c r="G1083" s="23" t="n"/>
      <c r="H1083" s="32" t="n"/>
      <c r="I1083" s="27">
        <f>IF($A1083="","",SUMIFS(入库单!$K$4:$K$2503,入库单!$G$4:$G$2503,$A1083,入库单!$X$4:$X$2503,"采购入库",入库单!$Z$4:$Z$2503,"正常",入库单!$C$4:$C$2503,"&gt;="&amp;账期起,入库单!$C$4:$C$2503,"&lt;="&amp;账期止))</f>
        <v/>
      </c>
      <c r="J1083" s="26">
        <f>IF($A1083="","",SUMIFS(入库单!$V$4:$V$2503,入库单!$G$4:$G$2503,$A1083,入库单!$X$4:$X$2503,"采购入库",入库单!$Z$4:$Z$2503,"正常",入库单!$C$4:$C$2503,"&gt;="&amp;账期起,入库单!$C$4:$C$2503,"&lt;="&amp;账期止))</f>
        <v/>
      </c>
      <c r="K1083" s="26">
        <f>IF($A1083="","",IFERROR(ROUND((N($H1083)+N($J1083))/(N($G1083)+N($I1083)),2),0))</f>
        <v/>
      </c>
      <c r="L1083" s="27">
        <f>IF($A1083="","",SUMIFS(入库单!$K$4:$K$2503,入库单!$G$4:$G$2503,$A1083,入库单!$X$4:$X$2503,"盘盈",入库单!$Z$4:$Z$2503,"正常",入库单!$C$4:$C$2503,"&gt;="&amp;账期起,入库单!$C$4:$C$2503,"&lt;="&amp;账期止))</f>
        <v/>
      </c>
      <c r="M1083" s="26">
        <f>IF($A1083="","",ROUND($L1083*$K1083,0))</f>
        <v/>
      </c>
      <c r="N1083" s="27">
        <f>IF($A1083="","",SUMIFS(入库单!$K$4:$K$2503,入库单!$G$4:$G$2503,$A1083,入库单!$X$4:$X$2503,"矿区退库",入库单!$Z$4:$Z$2503,"正常",入库单!$C$4:$C$2503,"&gt;="&amp;账期起,入库单!$C$4:$C$2503,"&lt;="&amp;账期止))</f>
        <v/>
      </c>
      <c r="O1083" s="26">
        <f>IF($A1083="","",ROUND($N1083*$K1083,0))</f>
        <v/>
      </c>
      <c r="P1083" s="27">
        <f>IF($A1083="","",SUMIFS(出库单!$J$4:$J$4003,出库单!$D$4:$D$4003,$A1083,出库单!$K$4:$K$4003,"自用消耗",出库单!$U$4:$U$4003,"正常",出库单!$C$4:$C$4003,"&gt;="&amp;账期起,出库单!$C$4:$C$4003,"&lt;="&amp;账期止))</f>
        <v/>
      </c>
      <c r="Q1083" s="26">
        <f>IF($A1083="","",ROUND(SUMIFS(出库单!$S$4:$S$4003,出库单!$D$4:$D$4003,$A1083,出库单!$K$4:$K$4003,"自用消耗",出库单!$U$4:$U$4003,"正常",出库单!$C$4:$C$4003,"&gt;="&amp;账期起,出库单!$C$4:$C$4003,"&lt;="&amp;账期止),0))</f>
        <v/>
      </c>
      <c r="R1083" s="27">
        <f>IF($A1083="","",SUMIFS(出库单!$J$4:$J$4003,出库单!$D$4:$D$4003,$A1083,出库单!$K$4:$K$4003,"对外销售",出库单!$U$4:$U$4003,"正常",出库单!$C$4:$C$4003,"&gt;="&amp;账期起,出库单!$C$4:$C$4003,"&lt;="&amp;账期止))</f>
        <v/>
      </c>
      <c r="S1083" s="26">
        <f>IF($A1083="","",ROUND(SUMIFS(出库单!$S$4:$S$4003,出库单!$D$4:$D$4003,$A1083,出库单!$K$4:$K$4003,"对外销售",出库单!$U$4:$U$4003,"正常",出库单!$C$4:$C$4003,"&gt;="&amp;账期起,出库单!$C$4:$C$4003,"&lt;="&amp;账期止),0))</f>
        <v/>
      </c>
      <c r="T1083" s="27">
        <f>IF($A1083="","",SUMIFS(出库单!$J$4:$J$4003,出库单!$D$4:$D$4003,$A1083,出库单!$K$4:$K$4003,"盘亏",出库单!$U$4:$U$4003,"正常",出库单!$C$4:$C$4003,"&gt;="&amp;账期起,出库单!$C$4:$C$4003,"&lt;="&amp;账期止))</f>
        <v/>
      </c>
      <c r="U1083" s="26">
        <f>IF($A1083="","",ROUND(SUMIFS(出库单!$S$4:$S$4003,出库单!$D$4:$D$4003,$A1083,出库单!$K$4:$K$4003,"盘亏",出库单!$U$4:$U$4003,"正常",出库单!$C$4:$C$4003,"&gt;="&amp;账期起,出库单!$C$4:$C$4003,"&lt;="&amp;账期止),0))</f>
        <v/>
      </c>
      <c r="V1083" s="27">
        <f>IF($A1083="","",SUMIFS(出库单!$J$4:$J$4003,出库单!$D$4:$D$4003,$A1083,出库单!$K$4:$K$4003,"退货给供应商",出库单!$U$4:$U$4003,"正常",出库单!$C$4:$C$4003,"&gt;="&amp;账期起,出库单!$C$4:$C$4003,"&lt;="&amp;账期止))</f>
        <v/>
      </c>
      <c r="W1083" s="26">
        <f>IF($A1083="","",ROUND(SUMIFS(出库单!$S$4:$S$4003,出库单!$D$4:$D$4003,$A1083,出库单!$K$4:$K$4003,"退货给供应商",出库单!$U$4:$U$4003,"正常",出库单!$C$4:$C$4003,"&gt;="&amp;账期起,出库单!$C$4:$C$4003,"&lt;="&amp;账期止),0))</f>
        <v/>
      </c>
      <c r="X1083" s="27">
        <f>IF($A1083="","",ROUND(N($G1083)+$I1083+$L1083+$N1083-$P1083-$R1083-$T1083-$V1083,3))</f>
        <v/>
      </c>
      <c r="Y1083" s="26">
        <f>IF($A1083="","",ROUND(N($H1083)+$J1083+$M1083+$O1083-$Q1083-$S1083-$U1083-$W1083,0))</f>
        <v/>
      </c>
      <c r="Z1083" s="24">
        <f>IF($A1083="","",IF(COUNTIFS(入库单!$G$4:$G$2503,$A1083,入库单!$Y$4:$Y$2503,"待补价")+COUNTIFS(入库单!$G$4:$G$2503,$A1083,入库单!$Y$4:$Y$2503,"暂估")&gt;0,"不可信","可信"))</f>
        <v/>
      </c>
      <c r="AA1083" s="24">
        <f>IF($A1083="","",IF($X1083&lt;-0.001,"※账面负库存，查一下是不是漏记入库",IF(AND(ROUND($X1083,3)=0,ABS($Y1083)&gt;1),"※数量已经是 0，金额还挂着 "&amp;TEXT($Y1083,"#,##0")&amp;" 先令",IF(AND($X1083&gt;0,$Y1083&lt;=0,$K1083=0),"※有数量没金额（这个物料一直没填过进价）",IF($Z1083="不可信","△成本含待补价/暂估，毛利仅供参考","")))))</f>
        <v/>
      </c>
    </row>
    <row r="1084">
      <c r="A1084" s="24">
        <f>IF(物料档案!$A1083="","",物料档案!$A1083)</f>
        <v/>
      </c>
      <c r="B1084" s="24">
        <f>IF($A1084="","",IFERROR(VLOOKUP($A1084,物料档案!$A$4:$P$1203,3,0),""))</f>
        <v/>
      </c>
      <c r="C1084" s="24">
        <f>IF($A1084="","",IFERROR(VLOOKUP($A1084,物料档案!$A$4:$P$1203,4,0),""))</f>
        <v/>
      </c>
      <c r="D1084" s="24">
        <f>IF($A1084="","",IFERROR(VLOOKUP($A1084,物料档案!$A$4:$P$1203,5,0),""))</f>
        <v/>
      </c>
      <c r="E1084" s="24">
        <f>IF($A1084="","",IFERROR(VLOOKUP($A1084,物料档案!$A$4:$P$1203,2,0),""))</f>
        <v/>
      </c>
      <c r="F1084" s="24">
        <f>IF($A1084="","",IFERROR(VLOOKUP($A1084,物料档案!$A$4:$P$1203,6,0),""))</f>
        <v/>
      </c>
      <c r="G1084" s="23" t="n"/>
      <c r="H1084" s="32" t="n"/>
      <c r="I1084" s="27">
        <f>IF($A1084="","",SUMIFS(入库单!$K$4:$K$2503,入库单!$G$4:$G$2503,$A1084,入库单!$X$4:$X$2503,"采购入库",入库单!$Z$4:$Z$2503,"正常",入库单!$C$4:$C$2503,"&gt;="&amp;账期起,入库单!$C$4:$C$2503,"&lt;="&amp;账期止))</f>
        <v/>
      </c>
      <c r="J1084" s="26">
        <f>IF($A1084="","",SUMIFS(入库单!$V$4:$V$2503,入库单!$G$4:$G$2503,$A1084,入库单!$X$4:$X$2503,"采购入库",入库单!$Z$4:$Z$2503,"正常",入库单!$C$4:$C$2503,"&gt;="&amp;账期起,入库单!$C$4:$C$2503,"&lt;="&amp;账期止))</f>
        <v/>
      </c>
      <c r="K1084" s="26">
        <f>IF($A1084="","",IFERROR(ROUND((N($H1084)+N($J1084))/(N($G1084)+N($I1084)),2),0))</f>
        <v/>
      </c>
      <c r="L1084" s="27">
        <f>IF($A1084="","",SUMIFS(入库单!$K$4:$K$2503,入库单!$G$4:$G$2503,$A1084,入库单!$X$4:$X$2503,"盘盈",入库单!$Z$4:$Z$2503,"正常",入库单!$C$4:$C$2503,"&gt;="&amp;账期起,入库单!$C$4:$C$2503,"&lt;="&amp;账期止))</f>
        <v/>
      </c>
      <c r="M1084" s="26">
        <f>IF($A1084="","",ROUND($L1084*$K1084,0))</f>
        <v/>
      </c>
      <c r="N1084" s="27">
        <f>IF($A1084="","",SUMIFS(入库单!$K$4:$K$2503,入库单!$G$4:$G$2503,$A1084,入库单!$X$4:$X$2503,"矿区退库",入库单!$Z$4:$Z$2503,"正常",入库单!$C$4:$C$2503,"&gt;="&amp;账期起,入库单!$C$4:$C$2503,"&lt;="&amp;账期止))</f>
        <v/>
      </c>
      <c r="O1084" s="26">
        <f>IF($A1084="","",ROUND($N1084*$K1084,0))</f>
        <v/>
      </c>
      <c r="P1084" s="27">
        <f>IF($A1084="","",SUMIFS(出库单!$J$4:$J$4003,出库单!$D$4:$D$4003,$A1084,出库单!$K$4:$K$4003,"自用消耗",出库单!$U$4:$U$4003,"正常",出库单!$C$4:$C$4003,"&gt;="&amp;账期起,出库单!$C$4:$C$4003,"&lt;="&amp;账期止))</f>
        <v/>
      </c>
      <c r="Q1084" s="26">
        <f>IF($A1084="","",ROUND(SUMIFS(出库单!$S$4:$S$4003,出库单!$D$4:$D$4003,$A1084,出库单!$K$4:$K$4003,"自用消耗",出库单!$U$4:$U$4003,"正常",出库单!$C$4:$C$4003,"&gt;="&amp;账期起,出库单!$C$4:$C$4003,"&lt;="&amp;账期止),0))</f>
        <v/>
      </c>
      <c r="R1084" s="27">
        <f>IF($A1084="","",SUMIFS(出库单!$J$4:$J$4003,出库单!$D$4:$D$4003,$A1084,出库单!$K$4:$K$4003,"对外销售",出库单!$U$4:$U$4003,"正常",出库单!$C$4:$C$4003,"&gt;="&amp;账期起,出库单!$C$4:$C$4003,"&lt;="&amp;账期止))</f>
        <v/>
      </c>
      <c r="S1084" s="26">
        <f>IF($A1084="","",ROUND(SUMIFS(出库单!$S$4:$S$4003,出库单!$D$4:$D$4003,$A1084,出库单!$K$4:$K$4003,"对外销售",出库单!$U$4:$U$4003,"正常",出库单!$C$4:$C$4003,"&gt;="&amp;账期起,出库单!$C$4:$C$4003,"&lt;="&amp;账期止),0))</f>
        <v/>
      </c>
      <c r="T1084" s="27">
        <f>IF($A1084="","",SUMIFS(出库单!$J$4:$J$4003,出库单!$D$4:$D$4003,$A1084,出库单!$K$4:$K$4003,"盘亏",出库单!$U$4:$U$4003,"正常",出库单!$C$4:$C$4003,"&gt;="&amp;账期起,出库单!$C$4:$C$4003,"&lt;="&amp;账期止))</f>
        <v/>
      </c>
      <c r="U1084" s="26">
        <f>IF($A1084="","",ROUND(SUMIFS(出库单!$S$4:$S$4003,出库单!$D$4:$D$4003,$A1084,出库单!$K$4:$K$4003,"盘亏",出库单!$U$4:$U$4003,"正常",出库单!$C$4:$C$4003,"&gt;="&amp;账期起,出库单!$C$4:$C$4003,"&lt;="&amp;账期止),0))</f>
        <v/>
      </c>
      <c r="V1084" s="27">
        <f>IF($A1084="","",SUMIFS(出库单!$J$4:$J$4003,出库单!$D$4:$D$4003,$A1084,出库单!$K$4:$K$4003,"退货给供应商",出库单!$U$4:$U$4003,"正常",出库单!$C$4:$C$4003,"&gt;="&amp;账期起,出库单!$C$4:$C$4003,"&lt;="&amp;账期止))</f>
        <v/>
      </c>
      <c r="W1084" s="26">
        <f>IF($A1084="","",ROUND(SUMIFS(出库单!$S$4:$S$4003,出库单!$D$4:$D$4003,$A1084,出库单!$K$4:$K$4003,"退货给供应商",出库单!$U$4:$U$4003,"正常",出库单!$C$4:$C$4003,"&gt;="&amp;账期起,出库单!$C$4:$C$4003,"&lt;="&amp;账期止),0))</f>
        <v/>
      </c>
      <c r="X1084" s="27">
        <f>IF($A1084="","",ROUND(N($G1084)+$I1084+$L1084+$N1084-$P1084-$R1084-$T1084-$V1084,3))</f>
        <v/>
      </c>
      <c r="Y1084" s="26">
        <f>IF($A1084="","",ROUND(N($H1084)+$J1084+$M1084+$O1084-$Q1084-$S1084-$U1084-$W1084,0))</f>
        <v/>
      </c>
      <c r="Z1084" s="24">
        <f>IF($A1084="","",IF(COUNTIFS(入库单!$G$4:$G$2503,$A1084,入库单!$Y$4:$Y$2503,"待补价")+COUNTIFS(入库单!$G$4:$G$2503,$A1084,入库单!$Y$4:$Y$2503,"暂估")&gt;0,"不可信","可信"))</f>
        <v/>
      </c>
      <c r="AA1084" s="24">
        <f>IF($A1084="","",IF($X1084&lt;-0.001,"※账面负库存，查一下是不是漏记入库",IF(AND(ROUND($X1084,3)=0,ABS($Y1084)&gt;1),"※数量已经是 0，金额还挂着 "&amp;TEXT($Y1084,"#,##0")&amp;" 先令",IF(AND($X1084&gt;0,$Y1084&lt;=0,$K1084=0),"※有数量没金额（这个物料一直没填过进价）",IF($Z1084="不可信","△成本含待补价/暂估，毛利仅供参考","")))))</f>
        <v/>
      </c>
    </row>
    <row r="1085">
      <c r="A1085" s="24">
        <f>IF(物料档案!$A1084="","",物料档案!$A1084)</f>
        <v/>
      </c>
      <c r="B1085" s="24">
        <f>IF($A1085="","",IFERROR(VLOOKUP($A1085,物料档案!$A$4:$P$1203,3,0),""))</f>
        <v/>
      </c>
      <c r="C1085" s="24">
        <f>IF($A1085="","",IFERROR(VLOOKUP($A1085,物料档案!$A$4:$P$1203,4,0),""))</f>
        <v/>
      </c>
      <c r="D1085" s="24">
        <f>IF($A1085="","",IFERROR(VLOOKUP($A1085,物料档案!$A$4:$P$1203,5,0),""))</f>
        <v/>
      </c>
      <c r="E1085" s="24">
        <f>IF($A1085="","",IFERROR(VLOOKUP($A1085,物料档案!$A$4:$P$1203,2,0),""))</f>
        <v/>
      </c>
      <c r="F1085" s="24">
        <f>IF($A1085="","",IFERROR(VLOOKUP($A1085,物料档案!$A$4:$P$1203,6,0),""))</f>
        <v/>
      </c>
      <c r="G1085" s="23" t="n"/>
      <c r="H1085" s="32" t="n"/>
      <c r="I1085" s="27">
        <f>IF($A1085="","",SUMIFS(入库单!$K$4:$K$2503,入库单!$G$4:$G$2503,$A1085,入库单!$X$4:$X$2503,"采购入库",入库单!$Z$4:$Z$2503,"正常",入库单!$C$4:$C$2503,"&gt;="&amp;账期起,入库单!$C$4:$C$2503,"&lt;="&amp;账期止))</f>
        <v/>
      </c>
      <c r="J1085" s="26">
        <f>IF($A1085="","",SUMIFS(入库单!$V$4:$V$2503,入库单!$G$4:$G$2503,$A1085,入库单!$X$4:$X$2503,"采购入库",入库单!$Z$4:$Z$2503,"正常",入库单!$C$4:$C$2503,"&gt;="&amp;账期起,入库单!$C$4:$C$2503,"&lt;="&amp;账期止))</f>
        <v/>
      </c>
      <c r="K1085" s="26">
        <f>IF($A1085="","",IFERROR(ROUND((N($H1085)+N($J1085))/(N($G1085)+N($I1085)),2),0))</f>
        <v/>
      </c>
      <c r="L1085" s="27">
        <f>IF($A1085="","",SUMIFS(入库单!$K$4:$K$2503,入库单!$G$4:$G$2503,$A1085,入库单!$X$4:$X$2503,"盘盈",入库单!$Z$4:$Z$2503,"正常",入库单!$C$4:$C$2503,"&gt;="&amp;账期起,入库单!$C$4:$C$2503,"&lt;="&amp;账期止))</f>
        <v/>
      </c>
      <c r="M1085" s="26">
        <f>IF($A1085="","",ROUND($L1085*$K1085,0))</f>
        <v/>
      </c>
      <c r="N1085" s="27">
        <f>IF($A1085="","",SUMIFS(入库单!$K$4:$K$2503,入库单!$G$4:$G$2503,$A1085,入库单!$X$4:$X$2503,"矿区退库",入库单!$Z$4:$Z$2503,"正常",入库单!$C$4:$C$2503,"&gt;="&amp;账期起,入库单!$C$4:$C$2503,"&lt;="&amp;账期止))</f>
        <v/>
      </c>
      <c r="O1085" s="26">
        <f>IF($A1085="","",ROUND($N1085*$K1085,0))</f>
        <v/>
      </c>
      <c r="P1085" s="27">
        <f>IF($A1085="","",SUMIFS(出库单!$J$4:$J$4003,出库单!$D$4:$D$4003,$A1085,出库单!$K$4:$K$4003,"自用消耗",出库单!$U$4:$U$4003,"正常",出库单!$C$4:$C$4003,"&gt;="&amp;账期起,出库单!$C$4:$C$4003,"&lt;="&amp;账期止))</f>
        <v/>
      </c>
      <c r="Q1085" s="26">
        <f>IF($A1085="","",ROUND(SUMIFS(出库单!$S$4:$S$4003,出库单!$D$4:$D$4003,$A1085,出库单!$K$4:$K$4003,"自用消耗",出库单!$U$4:$U$4003,"正常",出库单!$C$4:$C$4003,"&gt;="&amp;账期起,出库单!$C$4:$C$4003,"&lt;="&amp;账期止),0))</f>
        <v/>
      </c>
      <c r="R1085" s="27">
        <f>IF($A1085="","",SUMIFS(出库单!$J$4:$J$4003,出库单!$D$4:$D$4003,$A1085,出库单!$K$4:$K$4003,"对外销售",出库单!$U$4:$U$4003,"正常",出库单!$C$4:$C$4003,"&gt;="&amp;账期起,出库单!$C$4:$C$4003,"&lt;="&amp;账期止))</f>
        <v/>
      </c>
      <c r="S1085" s="26">
        <f>IF($A1085="","",ROUND(SUMIFS(出库单!$S$4:$S$4003,出库单!$D$4:$D$4003,$A1085,出库单!$K$4:$K$4003,"对外销售",出库单!$U$4:$U$4003,"正常",出库单!$C$4:$C$4003,"&gt;="&amp;账期起,出库单!$C$4:$C$4003,"&lt;="&amp;账期止),0))</f>
        <v/>
      </c>
      <c r="T1085" s="27">
        <f>IF($A1085="","",SUMIFS(出库单!$J$4:$J$4003,出库单!$D$4:$D$4003,$A1085,出库单!$K$4:$K$4003,"盘亏",出库单!$U$4:$U$4003,"正常",出库单!$C$4:$C$4003,"&gt;="&amp;账期起,出库单!$C$4:$C$4003,"&lt;="&amp;账期止))</f>
        <v/>
      </c>
      <c r="U1085" s="26">
        <f>IF($A1085="","",ROUND(SUMIFS(出库单!$S$4:$S$4003,出库单!$D$4:$D$4003,$A1085,出库单!$K$4:$K$4003,"盘亏",出库单!$U$4:$U$4003,"正常",出库单!$C$4:$C$4003,"&gt;="&amp;账期起,出库单!$C$4:$C$4003,"&lt;="&amp;账期止),0))</f>
        <v/>
      </c>
      <c r="V1085" s="27">
        <f>IF($A1085="","",SUMIFS(出库单!$J$4:$J$4003,出库单!$D$4:$D$4003,$A1085,出库单!$K$4:$K$4003,"退货给供应商",出库单!$U$4:$U$4003,"正常",出库单!$C$4:$C$4003,"&gt;="&amp;账期起,出库单!$C$4:$C$4003,"&lt;="&amp;账期止))</f>
        <v/>
      </c>
      <c r="W1085" s="26">
        <f>IF($A1085="","",ROUND(SUMIFS(出库单!$S$4:$S$4003,出库单!$D$4:$D$4003,$A1085,出库单!$K$4:$K$4003,"退货给供应商",出库单!$U$4:$U$4003,"正常",出库单!$C$4:$C$4003,"&gt;="&amp;账期起,出库单!$C$4:$C$4003,"&lt;="&amp;账期止),0))</f>
        <v/>
      </c>
      <c r="X1085" s="27">
        <f>IF($A1085="","",ROUND(N($G1085)+$I1085+$L1085+$N1085-$P1085-$R1085-$T1085-$V1085,3))</f>
        <v/>
      </c>
      <c r="Y1085" s="26">
        <f>IF($A1085="","",ROUND(N($H1085)+$J1085+$M1085+$O1085-$Q1085-$S1085-$U1085-$W1085,0))</f>
        <v/>
      </c>
      <c r="Z1085" s="24">
        <f>IF($A1085="","",IF(COUNTIFS(入库单!$G$4:$G$2503,$A1085,入库单!$Y$4:$Y$2503,"待补价")+COUNTIFS(入库单!$G$4:$G$2503,$A1085,入库单!$Y$4:$Y$2503,"暂估")&gt;0,"不可信","可信"))</f>
        <v/>
      </c>
      <c r="AA1085" s="24">
        <f>IF($A1085="","",IF($X1085&lt;-0.001,"※账面负库存，查一下是不是漏记入库",IF(AND(ROUND($X1085,3)=0,ABS($Y1085)&gt;1),"※数量已经是 0，金额还挂着 "&amp;TEXT($Y1085,"#,##0")&amp;" 先令",IF(AND($X1085&gt;0,$Y1085&lt;=0,$K1085=0),"※有数量没金额（这个物料一直没填过进价）",IF($Z1085="不可信","△成本含待补价/暂估，毛利仅供参考","")))))</f>
        <v/>
      </c>
    </row>
    <row r="1086">
      <c r="A1086" s="24">
        <f>IF(物料档案!$A1085="","",物料档案!$A1085)</f>
        <v/>
      </c>
      <c r="B1086" s="24">
        <f>IF($A1086="","",IFERROR(VLOOKUP($A1086,物料档案!$A$4:$P$1203,3,0),""))</f>
        <v/>
      </c>
      <c r="C1086" s="24">
        <f>IF($A1086="","",IFERROR(VLOOKUP($A1086,物料档案!$A$4:$P$1203,4,0),""))</f>
        <v/>
      </c>
      <c r="D1086" s="24">
        <f>IF($A1086="","",IFERROR(VLOOKUP($A1086,物料档案!$A$4:$P$1203,5,0),""))</f>
        <v/>
      </c>
      <c r="E1086" s="24">
        <f>IF($A1086="","",IFERROR(VLOOKUP($A1086,物料档案!$A$4:$P$1203,2,0),""))</f>
        <v/>
      </c>
      <c r="F1086" s="24">
        <f>IF($A1086="","",IFERROR(VLOOKUP($A1086,物料档案!$A$4:$P$1203,6,0),""))</f>
        <v/>
      </c>
      <c r="G1086" s="23" t="n"/>
      <c r="H1086" s="32" t="n"/>
      <c r="I1086" s="27">
        <f>IF($A1086="","",SUMIFS(入库单!$K$4:$K$2503,入库单!$G$4:$G$2503,$A1086,入库单!$X$4:$X$2503,"采购入库",入库单!$Z$4:$Z$2503,"正常",入库单!$C$4:$C$2503,"&gt;="&amp;账期起,入库单!$C$4:$C$2503,"&lt;="&amp;账期止))</f>
        <v/>
      </c>
      <c r="J1086" s="26">
        <f>IF($A1086="","",SUMIFS(入库单!$V$4:$V$2503,入库单!$G$4:$G$2503,$A1086,入库单!$X$4:$X$2503,"采购入库",入库单!$Z$4:$Z$2503,"正常",入库单!$C$4:$C$2503,"&gt;="&amp;账期起,入库单!$C$4:$C$2503,"&lt;="&amp;账期止))</f>
        <v/>
      </c>
      <c r="K1086" s="26">
        <f>IF($A1086="","",IFERROR(ROUND((N($H1086)+N($J1086))/(N($G1086)+N($I1086)),2),0))</f>
        <v/>
      </c>
      <c r="L1086" s="27">
        <f>IF($A1086="","",SUMIFS(入库单!$K$4:$K$2503,入库单!$G$4:$G$2503,$A1086,入库单!$X$4:$X$2503,"盘盈",入库单!$Z$4:$Z$2503,"正常",入库单!$C$4:$C$2503,"&gt;="&amp;账期起,入库单!$C$4:$C$2503,"&lt;="&amp;账期止))</f>
        <v/>
      </c>
      <c r="M1086" s="26">
        <f>IF($A1086="","",ROUND($L1086*$K1086,0))</f>
        <v/>
      </c>
      <c r="N1086" s="27">
        <f>IF($A1086="","",SUMIFS(入库单!$K$4:$K$2503,入库单!$G$4:$G$2503,$A1086,入库单!$X$4:$X$2503,"矿区退库",入库单!$Z$4:$Z$2503,"正常",入库单!$C$4:$C$2503,"&gt;="&amp;账期起,入库单!$C$4:$C$2503,"&lt;="&amp;账期止))</f>
        <v/>
      </c>
      <c r="O1086" s="26">
        <f>IF($A1086="","",ROUND($N1086*$K1086,0))</f>
        <v/>
      </c>
      <c r="P1086" s="27">
        <f>IF($A1086="","",SUMIFS(出库单!$J$4:$J$4003,出库单!$D$4:$D$4003,$A1086,出库单!$K$4:$K$4003,"自用消耗",出库单!$U$4:$U$4003,"正常",出库单!$C$4:$C$4003,"&gt;="&amp;账期起,出库单!$C$4:$C$4003,"&lt;="&amp;账期止))</f>
        <v/>
      </c>
      <c r="Q1086" s="26">
        <f>IF($A1086="","",ROUND(SUMIFS(出库单!$S$4:$S$4003,出库单!$D$4:$D$4003,$A1086,出库单!$K$4:$K$4003,"自用消耗",出库单!$U$4:$U$4003,"正常",出库单!$C$4:$C$4003,"&gt;="&amp;账期起,出库单!$C$4:$C$4003,"&lt;="&amp;账期止),0))</f>
        <v/>
      </c>
      <c r="R1086" s="27">
        <f>IF($A1086="","",SUMIFS(出库单!$J$4:$J$4003,出库单!$D$4:$D$4003,$A1086,出库单!$K$4:$K$4003,"对外销售",出库单!$U$4:$U$4003,"正常",出库单!$C$4:$C$4003,"&gt;="&amp;账期起,出库单!$C$4:$C$4003,"&lt;="&amp;账期止))</f>
        <v/>
      </c>
      <c r="S1086" s="26">
        <f>IF($A1086="","",ROUND(SUMIFS(出库单!$S$4:$S$4003,出库单!$D$4:$D$4003,$A1086,出库单!$K$4:$K$4003,"对外销售",出库单!$U$4:$U$4003,"正常",出库单!$C$4:$C$4003,"&gt;="&amp;账期起,出库单!$C$4:$C$4003,"&lt;="&amp;账期止),0))</f>
        <v/>
      </c>
      <c r="T1086" s="27">
        <f>IF($A1086="","",SUMIFS(出库单!$J$4:$J$4003,出库单!$D$4:$D$4003,$A1086,出库单!$K$4:$K$4003,"盘亏",出库单!$U$4:$U$4003,"正常",出库单!$C$4:$C$4003,"&gt;="&amp;账期起,出库单!$C$4:$C$4003,"&lt;="&amp;账期止))</f>
        <v/>
      </c>
      <c r="U1086" s="26">
        <f>IF($A1086="","",ROUND(SUMIFS(出库单!$S$4:$S$4003,出库单!$D$4:$D$4003,$A1086,出库单!$K$4:$K$4003,"盘亏",出库单!$U$4:$U$4003,"正常",出库单!$C$4:$C$4003,"&gt;="&amp;账期起,出库单!$C$4:$C$4003,"&lt;="&amp;账期止),0))</f>
        <v/>
      </c>
      <c r="V1086" s="27">
        <f>IF($A1086="","",SUMIFS(出库单!$J$4:$J$4003,出库单!$D$4:$D$4003,$A1086,出库单!$K$4:$K$4003,"退货给供应商",出库单!$U$4:$U$4003,"正常",出库单!$C$4:$C$4003,"&gt;="&amp;账期起,出库单!$C$4:$C$4003,"&lt;="&amp;账期止))</f>
        <v/>
      </c>
      <c r="W1086" s="26">
        <f>IF($A1086="","",ROUND(SUMIFS(出库单!$S$4:$S$4003,出库单!$D$4:$D$4003,$A1086,出库单!$K$4:$K$4003,"退货给供应商",出库单!$U$4:$U$4003,"正常",出库单!$C$4:$C$4003,"&gt;="&amp;账期起,出库单!$C$4:$C$4003,"&lt;="&amp;账期止),0))</f>
        <v/>
      </c>
      <c r="X1086" s="27">
        <f>IF($A1086="","",ROUND(N($G1086)+$I1086+$L1086+$N1086-$P1086-$R1086-$T1086-$V1086,3))</f>
        <v/>
      </c>
      <c r="Y1086" s="26">
        <f>IF($A1086="","",ROUND(N($H1086)+$J1086+$M1086+$O1086-$Q1086-$S1086-$U1086-$W1086,0))</f>
        <v/>
      </c>
      <c r="Z1086" s="24">
        <f>IF($A1086="","",IF(COUNTIFS(入库单!$G$4:$G$2503,$A1086,入库单!$Y$4:$Y$2503,"待补价")+COUNTIFS(入库单!$G$4:$G$2503,$A1086,入库单!$Y$4:$Y$2503,"暂估")&gt;0,"不可信","可信"))</f>
        <v/>
      </c>
      <c r="AA1086" s="24">
        <f>IF($A1086="","",IF($X1086&lt;-0.001,"※账面负库存，查一下是不是漏记入库",IF(AND(ROUND($X1086,3)=0,ABS($Y1086)&gt;1),"※数量已经是 0，金额还挂着 "&amp;TEXT($Y1086,"#,##0")&amp;" 先令",IF(AND($X1086&gt;0,$Y1086&lt;=0,$K1086=0),"※有数量没金额（这个物料一直没填过进价）",IF($Z1086="不可信","△成本含待补价/暂估，毛利仅供参考","")))))</f>
        <v/>
      </c>
    </row>
    <row r="1087">
      <c r="A1087" s="24">
        <f>IF(物料档案!$A1086="","",物料档案!$A1086)</f>
        <v/>
      </c>
      <c r="B1087" s="24">
        <f>IF($A1087="","",IFERROR(VLOOKUP($A1087,物料档案!$A$4:$P$1203,3,0),""))</f>
        <v/>
      </c>
      <c r="C1087" s="24">
        <f>IF($A1087="","",IFERROR(VLOOKUP($A1087,物料档案!$A$4:$P$1203,4,0),""))</f>
        <v/>
      </c>
      <c r="D1087" s="24">
        <f>IF($A1087="","",IFERROR(VLOOKUP($A1087,物料档案!$A$4:$P$1203,5,0),""))</f>
        <v/>
      </c>
      <c r="E1087" s="24">
        <f>IF($A1087="","",IFERROR(VLOOKUP($A1087,物料档案!$A$4:$P$1203,2,0),""))</f>
        <v/>
      </c>
      <c r="F1087" s="24">
        <f>IF($A1087="","",IFERROR(VLOOKUP($A1087,物料档案!$A$4:$P$1203,6,0),""))</f>
        <v/>
      </c>
      <c r="G1087" s="23" t="n"/>
      <c r="H1087" s="32" t="n"/>
      <c r="I1087" s="27">
        <f>IF($A1087="","",SUMIFS(入库单!$K$4:$K$2503,入库单!$G$4:$G$2503,$A1087,入库单!$X$4:$X$2503,"采购入库",入库单!$Z$4:$Z$2503,"正常",入库单!$C$4:$C$2503,"&gt;="&amp;账期起,入库单!$C$4:$C$2503,"&lt;="&amp;账期止))</f>
        <v/>
      </c>
      <c r="J1087" s="26">
        <f>IF($A1087="","",SUMIFS(入库单!$V$4:$V$2503,入库单!$G$4:$G$2503,$A1087,入库单!$X$4:$X$2503,"采购入库",入库单!$Z$4:$Z$2503,"正常",入库单!$C$4:$C$2503,"&gt;="&amp;账期起,入库单!$C$4:$C$2503,"&lt;="&amp;账期止))</f>
        <v/>
      </c>
      <c r="K1087" s="26">
        <f>IF($A1087="","",IFERROR(ROUND((N($H1087)+N($J1087))/(N($G1087)+N($I1087)),2),0))</f>
        <v/>
      </c>
      <c r="L1087" s="27">
        <f>IF($A1087="","",SUMIFS(入库单!$K$4:$K$2503,入库单!$G$4:$G$2503,$A1087,入库单!$X$4:$X$2503,"盘盈",入库单!$Z$4:$Z$2503,"正常",入库单!$C$4:$C$2503,"&gt;="&amp;账期起,入库单!$C$4:$C$2503,"&lt;="&amp;账期止))</f>
        <v/>
      </c>
      <c r="M1087" s="26">
        <f>IF($A1087="","",ROUND($L1087*$K1087,0))</f>
        <v/>
      </c>
      <c r="N1087" s="27">
        <f>IF($A1087="","",SUMIFS(入库单!$K$4:$K$2503,入库单!$G$4:$G$2503,$A1087,入库单!$X$4:$X$2503,"矿区退库",入库单!$Z$4:$Z$2503,"正常",入库单!$C$4:$C$2503,"&gt;="&amp;账期起,入库单!$C$4:$C$2503,"&lt;="&amp;账期止))</f>
        <v/>
      </c>
      <c r="O1087" s="26">
        <f>IF($A1087="","",ROUND($N1087*$K1087,0))</f>
        <v/>
      </c>
      <c r="P1087" s="27">
        <f>IF($A1087="","",SUMIFS(出库单!$J$4:$J$4003,出库单!$D$4:$D$4003,$A1087,出库单!$K$4:$K$4003,"自用消耗",出库单!$U$4:$U$4003,"正常",出库单!$C$4:$C$4003,"&gt;="&amp;账期起,出库单!$C$4:$C$4003,"&lt;="&amp;账期止))</f>
        <v/>
      </c>
      <c r="Q1087" s="26">
        <f>IF($A1087="","",ROUND(SUMIFS(出库单!$S$4:$S$4003,出库单!$D$4:$D$4003,$A1087,出库单!$K$4:$K$4003,"自用消耗",出库单!$U$4:$U$4003,"正常",出库单!$C$4:$C$4003,"&gt;="&amp;账期起,出库单!$C$4:$C$4003,"&lt;="&amp;账期止),0))</f>
        <v/>
      </c>
      <c r="R1087" s="27">
        <f>IF($A1087="","",SUMIFS(出库单!$J$4:$J$4003,出库单!$D$4:$D$4003,$A1087,出库单!$K$4:$K$4003,"对外销售",出库单!$U$4:$U$4003,"正常",出库单!$C$4:$C$4003,"&gt;="&amp;账期起,出库单!$C$4:$C$4003,"&lt;="&amp;账期止))</f>
        <v/>
      </c>
      <c r="S1087" s="26">
        <f>IF($A1087="","",ROUND(SUMIFS(出库单!$S$4:$S$4003,出库单!$D$4:$D$4003,$A1087,出库单!$K$4:$K$4003,"对外销售",出库单!$U$4:$U$4003,"正常",出库单!$C$4:$C$4003,"&gt;="&amp;账期起,出库单!$C$4:$C$4003,"&lt;="&amp;账期止),0))</f>
        <v/>
      </c>
      <c r="T1087" s="27">
        <f>IF($A1087="","",SUMIFS(出库单!$J$4:$J$4003,出库单!$D$4:$D$4003,$A1087,出库单!$K$4:$K$4003,"盘亏",出库单!$U$4:$U$4003,"正常",出库单!$C$4:$C$4003,"&gt;="&amp;账期起,出库单!$C$4:$C$4003,"&lt;="&amp;账期止))</f>
        <v/>
      </c>
      <c r="U1087" s="26">
        <f>IF($A1087="","",ROUND(SUMIFS(出库单!$S$4:$S$4003,出库单!$D$4:$D$4003,$A1087,出库单!$K$4:$K$4003,"盘亏",出库单!$U$4:$U$4003,"正常",出库单!$C$4:$C$4003,"&gt;="&amp;账期起,出库单!$C$4:$C$4003,"&lt;="&amp;账期止),0))</f>
        <v/>
      </c>
      <c r="V1087" s="27">
        <f>IF($A1087="","",SUMIFS(出库单!$J$4:$J$4003,出库单!$D$4:$D$4003,$A1087,出库单!$K$4:$K$4003,"退货给供应商",出库单!$U$4:$U$4003,"正常",出库单!$C$4:$C$4003,"&gt;="&amp;账期起,出库单!$C$4:$C$4003,"&lt;="&amp;账期止))</f>
        <v/>
      </c>
      <c r="W1087" s="26">
        <f>IF($A1087="","",ROUND(SUMIFS(出库单!$S$4:$S$4003,出库单!$D$4:$D$4003,$A1087,出库单!$K$4:$K$4003,"退货给供应商",出库单!$U$4:$U$4003,"正常",出库单!$C$4:$C$4003,"&gt;="&amp;账期起,出库单!$C$4:$C$4003,"&lt;="&amp;账期止),0))</f>
        <v/>
      </c>
      <c r="X1087" s="27">
        <f>IF($A1087="","",ROUND(N($G1087)+$I1087+$L1087+$N1087-$P1087-$R1087-$T1087-$V1087,3))</f>
        <v/>
      </c>
      <c r="Y1087" s="26">
        <f>IF($A1087="","",ROUND(N($H1087)+$J1087+$M1087+$O1087-$Q1087-$S1087-$U1087-$W1087,0))</f>
        <v/>
      </c>
      <c r="Z1087" s="24">
        <f>IF($A1087="","",IF(COUNTIFS(入库单!$G$4:$G$2503,$A1087,入库单!$Y$4:$Y$2503,"待补价")+COUNTIFS(入库单!$G$4:$G$2503,$A1087,入库单!$Y$4:$Y$2503,"暂估")&gt;0,"不可信","可信"))</f>
        <v/>
      </c>
      <c r="AA1087" s="24">
        <f>IF($A1087="","",IF($X1087&lt;-0.001,"※账面负库存，查一下是不是漏记入库",IF(AND(ROUND($X1087,3)=0,ABS($Y1087)&gt;1),"※数量已经是 0，金额还挂着 "&amp;TEXT($Y1087,"#,##0")&amp;" 先令",IF(AND($X1087&gt;0,$Y1087&lt;=0,$K1087=0),"※有数量没金额（这个物料一直没填过进价）",IF($Z1087="不可信","△成本含待补价/暂估，毛利仅供参考","")))))</f>
        <v/>
      </c>
    </row>
    <row r="1088">
      <c r="A1088" s="24">
        <f>IF(物料档案!$A1087="","",物料档案!$A1087)</f>
        <v/>
      </c>
      <c r="B1088" s="24">
        <f>IF($A1088="","",IFERROR(VLOOKUP($A1088,物料档案!$A$4:$P$1203,3,0),""))</f>
        <v/>
      </c>
      <c r="C1088" s="24">
        <f>IF($A1088="","",IFERROR(VLOOKUP($A1088,物料档案!$A$4:$P$1203,4,0),""))</f>
        <v/>
      </c>
      <c r="D1088" s="24">
        <f>IF($A1088="","",IFERROR(VLOOKUP($A1088,物料档案!$A$4:$P$1203,5,0),""))</f>
        <v/>
      </c>
      <c r="E1088" s="24">
        <f>IF($A1088="","",IFERROR(VLOOKUP($A1088,物料档案!$A$4:$P$1203,2,0),""))</f>
        <v/>
      </c>
      <c r="F1088" s="24">
        <f>IF($A1088="","",IFERROR(VLOOKUP($A1088,物料档案!$A$4:$P$1203,6,0),""))</f>
        <v/>
      </c>
      <c r="G1088" s="23" t="n"/>
      <c r="H1088" s="32" t="n"/>
      <c r="I1088" s="27">
        <f>IF($A1088="","",SUMIFS(入库单!$K$4:$K$2503,入库单!$G$4:$G$2503,$A1088,入库单!$X$4:$X$2503,"采购入库",入库单!$Z$4:$Z$2503,"正常",入库单!$C$4:$C$2503,"&gt;="&amp;账期起,入库单!$C$4:$C$2503,"&lt;="&amp;账期止))</f>
        <v/>
      </c>
      <c r="J1088" s="26">
        <f>IF($A1088="","",SUMIFS(入库单!$V$4:$V$2503,入库单!$G$4:$G$2503,$A1088,入库单!$X$4:$X$2503,"采购入库",入库单!$Z$4:$Z$2503,"正常",入库单!$C$4:$C$2503,"&gt;="&amp;账期起,入库单!$C$4:$C$2503,"&lt;="&amp;账期止))</f>
        <v/>
      </c>
      <c r="K1088" s="26">
        <f>IF($A1088="","",IFERROR(ROUND((N($H1088)+N($J1088))/(N($G1088)+N($I1088)),2),0))</f>
        <v/>
      </c>
      <c r="L1088" s="27">
        <f>IF($A1088="","",SUMIFS(入库单!$K$4:$K$2503,入库单!$G$4:$G$2503,$A1088,入库单!$X$4:$X$2503,"盘盈",入库单!$Z$4:$Z$2503,"正常",入库单!$C$4:$C$2503,"&gt;="&amp;账期起,入库单!$C$4:$C$2503,"&lt;="&amp;账期止))</f>
        <v/>
      </c>
      <c r="M1088" s="26">
        <f>IF($A1088="","",ROUND($L1088*$K1088,0))</f>
        <v/>
      </c>
      <c r="N1088" s="27">
        <f>IF($A1088="","",SUMIFS(入库单!$K$4:$K$2503,入库单!$G$4:$G$2503,$A1088,入库单!$X$4:$X$2503,"矿区退库",入库单!$Z$4:$Z$2503,"正常",入库单!$C$4:$C$2503,"&gt;="&amp;账期起,入库单!$C$4:$C$2503,"&lt;="&amp;账期止))</f>
        <v/>
      </c>
      <c r="O1088" s="26">
        <f>IF($A1088="","",ROUND($N1088*$K1088,0))</f>
        <v/>
      </c>
      <c r="P1088" s="27">
        <f>IF($A1088="","",SUMIFS(出库单!$J$4:$J$4003,出库单!$D$4:$D$4003,$A1088,出库单!$K$4:$K$4003,"自用消耗",出库单!$U$4:$U$4003,"正常",出库单!$C$4:$C$4003,"&gt;="&amp;账期起,出库单!$C$4:$C$4003,"&lt;="&amp;账期止))</f>
        <v/>
      </c>
      <c r="Q1088" s="26">
        <f>IF($A1088="","",ROUND(SUMIFS(出库单!$S$4:$S$4003,出库单!$D$4:$D$4003,$A1088,出库单!$K$4:$K$4003,"自用消耗",出库单!$U$4:$U$4003,"正常",出库单!$C$4:$C$4003,"&gt;="&amp;账期起,出库单!$C$4:$C$4003,"&lt;="&amp;账期止),0))</f>
        <v/>
      </c>
      <c r="R1088" s="27">
        <f>IF($A1088="","",SUMIFS(出库单!$J$4:$J$4003,出库单!$D$4:$D$4003,$A1088,出库单!$K$4:$K$4003,"对外销售",出库单!$U$4:$U$4003,"正常",出库单!$C$4:$C$4003,"&gt;="&amp;账期起,出库单!$C$4:$C$4003,"&lt;="&amp;账期止))</f>
        <v/>
      </c>
      <c r="S1088" s="26">
        <f>IF($A1088="","",ROUND(SUMIFS(出库单!$S$4:$S$4003,出库单!$D$4:$D$4003,$A1088,出库单!$K$4:$K$4003,"对外销售",出库单!$U$4:$U$4003,"正常",出库单!$C$4:$C$4003,"&gt;="&amp;账期起,出库单!$C$4:$C$4003,"&lt;="&amp;账期止),0))</f>
        <v/>
      </c>
      <c r="T1088" s="27">
        <f>IF($A1088="","",SUMIFS(出库单!$J$4:$J$4003,出库单!$D$4:$D$4003,$A1088,出库单!$K$4:$K$4003,"盘亏",出库单!$U$4:$U$4003,"正常",出库单!$C$4:$C$4003,"&gt;="&amp;账期起,出库单!$C$4:$C$4003,"&lt;="&amp;账期止))</f>
        <v/>
      </c>
      <c r="U1088" s="26">
        <f>IF($A1088="","",ROUND(SUMIFS(出库单!$S$4:$S$4003,出库单!$D$4:$D$4003,$A1088,出库单!$K$4:$K$4003,"盘亏",出库单!$U$4:$U$4003,"正常",出库单!$C$4:$C$4003,"&gt;="&amp;账期起,出库单!$C$4:$C$4003,"&lt;="&amp;账期止),0))</f>
        <v/>
      </c>
      <c r="V1088" s="27">
        <f>IF($A1088="","",SUMIFS(出库单!$J$4:$J$4003,出库单!$D$4:$D$4003,$A1088,出库单!$K$4:$K$4003,"退货给供应商",出库单!$U$4:$U$4003,"正常",出库单!$C$4:$C$4003,"&gt;="&amp;账期起,出库单!$C$4:$C$4003,"&lt;="&amp;账期止))</f>
        <v/>
      </c>
      <c r="W1088" s="26">
        <f>IF($A1088="","",ROUND(SUMIFS(出库单!$S$4:$S$4003,出库单!$D$4:$D$4003,$A1088,出库单!$K$4:$K$4003,"退货给供应商",出库单!$U$4:$U$4003,"正常",出库单!$C$4:$C$4003,"&gt;="&amp;账期起,出库单!$C$4:$C$4003,"&lt;="&amp;账期止),0))</f>
        <v/>
      </c>
      <c r="X1088" s="27">
        <f>IF($A1088="","",ROUND(N($G1088)+$I1088+$L1088+$N1088-$P1088-$R1088-$T1088-$V1088,3))</f>
        <v/>
      </c>
      <c r="Y1088" s="26">
        <f>IF($A1088="","",ROUND(N($H1088)+$J1088+$M1088+$O1088-$Q1088-$S1088-$U1088-$W1088,0))</f>
        <v/>
      </c>
      <c r="Z1088" s="24">
        <f>IF($A1088="","",IF(COUNTIFS(入库单!$G$4:$G$2503,$A1088,入库单!$Y$4:$Y$2503,"待补价")+COUNTIFS(入库单!$G$4:$G$2503,$A1088,入库单!$Y$4:$Y$2503,"暂估")&gt;0,"不可信","可信"))</f>
        <v/>
      </c>
      <c r="AA1088" s="24">
        <f>IF($A1088="","",IF($X1088&lt;-0.001,"※账面负库存，查一下是不是漏记入库",IF(AND(ROUND($X1088,3)=0,ABS($Y1088)&gt;1),"※数量已经是 0，金额还挂着 "&amp;TEXT($Y1088,"#,##0")&amp;" 先令",IF(AND($X1088&gt;0,$Y1088&lt;=0,$K1088=0),"※有数量没金额（这个物料一直没填过进价）",IF($Z1088="不可信","△成本含待补价/暂估，毛利仅供参考","")))))</f>
        <v/>
      </c>
    </row>
    <row r="1089">
      <c r="A1089" s="24">
        <f>IF(物料档案!$A1088="","",物料档案!$A1088)</f>
        <v/>
      </c>
      <c r="B1089" s="24">
        <f>IF($A1089="","",IFERROR(VLOOKUP($A1089,物料档案!$A$4:$P$1203,3,0),""))</f>
        <v/>
      </c>
      <c r="C1089" s="24">
        <f>IF($A1089="","",IFERROR(VLOOKUP($A1089,物料档案!$A$4:$P$1203,4,0),""))</f>
        <v/>
      </c>
      <c r="D1089" s="24">
        <f>IF($A1089="","",IFERROR(VLOOKUP($A1089,物料档案!$A$4:$P$1203,5,0),""))</f>
        <v/>
      </c>
      <c r="E1089" s="24">
        <f>IF($A1089="","",IFERROR(VLOOKUP($A1089,物料档案!$A$4:$P$1203,2,0),""))</f>
        <v/>
      </c>
      <c r="F1089" s="24">
        <f>IF($A1089="","",IFERROR(VLOOKUP($A1089,物料档案!$A$4:$P$1203,6,0),""))</f>
        <v/>
      </c>
      <c r="G1089" s="23" t="n"/>
      <c r="H1089" s="32" t="n"/>
      <c r="I1089" s="27">
        <f>IF($A1089="","",SUMIFS(入库单!$K$4:$K$2503,入库单!$G$4:$G$2503,$A1089,入库单!$X$4:$X$2503,"采购入库",入库单!$Z$4:$Z$2503,"正常",入库单!$C$4:$C$2503,"&gt;="&amp;账期起,入库单!$C$4:$C$2503,"&lt;="&amp;账期止))</f>
        <v/>
      </c>
      <c r="J1089" s="26">
        <f>IF($A1089="","",SUMIFS(入库单!$V$4:$V$2503,入库单!$G$4:$G$2503,$A1089,入库单!$X$4:$X$2503,"采购入库",入库单!$Z$4:$Z$2503,"正常",入库单!$C$4:$C$2503,"&gt;="&amp;账期起,入库单!$C$4:$C$2503,"&lt;="&amp;账期止))</f>
        <v/>
      </c>
      <c r="K1089" s="26">
        <f>IF($A1089="","",IFERROR(ROUND((N($H1089)+N($J1089))/(N($G1089)+N($I1089)),2),0))</f>
        <v/>
      </c>
      <c r="L1089" s="27">
        <f>IF($A1089="","",SUMIFS(入库单!$K$4:$K$2503,入库单!$G$4:$G$2503,$A1089,入库单!$X$4:$X$2503,"盘盈",入库单!$Z$4:$Z$2503,"正常",入库单!$C$4:$C$2503,"&gt;="&amp;账期起,入库单!$C$4:$C$2503,"&lt;="&amp;账期止))</f>
        <v/>
      </c>
      <c r="M1089" s="26">
        <f>IF($A1089="","",ROUND($L1089*$K1089,0))</f>
        <v/>
      </c>
      <c r="N1089" s="27">
        <f>IF($A1089="","",SUMIFS(入库单!$K$4:$K$2503,入库单!$G$4:$G$2503,$A1089,入库单!$X$4:$X$2503,"矿区退库",入库单!$Z$4:$Z$2503,"正常",入库单!$C$4:$C$2503,"&gt;="&amp;账期起,入库单!$C$4:$C$2503,"&lt;="&amp;账期止))</f>
        <v/>
      </c>
      <c r="O1089" s="26">
        <f>IF($A1089="","",ROUND($N1089*$K1089,0))</f>
        <v/>
      </c>
      <c r="P1089" s="27">
        <f>IF($A1089="","",SUMIFS(出库单!$J$4:$J$4003,出库单!$D$4:$D$4003,$A1089,出库单!$K$4:$K$4003,"自用消耗",出库单!$U$4:$U$4003,"正常",出库单!$C$4:$C$4003,"&gt;="&amp;账期起,出库单!$C$4:$C$4003,"&lt;="&amp;账期止))</f>
        <v/>
      </c>
      <c r="Q1089" s="26">
        <f>IF($A1089="","",ROUND(SUMIFS(出库单!$S$4:$S$4003,出库单!$D$4:$D$4003,$A1089,出库单!$K$4:$K$4003,"自用消耗",出库单!$U$4:$U$4003,"正常",出库单!$C$4:$C$4003,"&gt;="&amp;账期起,出库单!$C$4:$C$4003,"&lt;="&amp;账期止),0))</f>
        <v/>
      </c>
      <c r="R1089" s="27">
        <f>IF($A1089="","",SUMIFS(出库单!$J$4:$J$4003,出库单!$D$4:$D$4003,$A1089,出库单!$K$4:$K$4003,"对外销售",出库单!$U$4:$U$4003,"正常",出库单!$C$4:$C$4003,"&gt;="&amp;账期起,出库单!$C$4:$C$4003,"&lt;="&amp;账期止))</f>
        <v/>
      </c>
      <c r="S1089" s="26">
        <f>IF($A1089="","",ROUND(SUMIFS(出库单!$S$4:$S$4003,出库单!$D$4:$D$4003,$A1089,出库单!$K$4:$K$4003,"对外销售",出库单!$U$4:$U$4003,"正常",出库单!$C$4:$C$4003,"&gt;="&amp;账期起,出库单!$C$4:$C$4003,"&lt;="&amp;账期止),0))</f>
        <v/>
      </c>
      <c r="T1089" s="27">
        <f>IF($A1089="","",SUMIFS(出库单!$J$4:$J$4003,出库单!$D$4:$D$4003,$A1089,出库单!$K$4:$K$4003,"盘亏",出库单!$U$4:$U$4003,"正常",出库单!$C$4:$C$4003,"&gt;="&amp;账期起,出库单!$C$4:$C$4003,"&lt;="&amp;账期止))</f>
        <v/>
      </c>
      <c r="U1089" s="26">
        <f>IF($A1089="","",ROUND(SUMIFS(出库单!$S$4:$S$4003,出库单!$D$4:$D$4003,$A1089,出库单!$K$4:$K$4003,"盘亏",出库单!$U$4:$U$4003,"正常",出库单!$C$4:$C$4003,"&gt;="&amp;账期起,出库单!$C$4:$C$4003,"&lt;="&amp;账期止),0))</f>
        <v/>
      </c>
      <c r="V1089" s="27">
        <f>IF($A1089="","",SUMIFS(出库单!$J$4:$J$4003,出库单!$D$4:$D$4003,$A1089,出库单!$K$4:$K$4003,"退货给供应商",出库单!$U$4:$U$4003,"正常",出库单!$C$4:$C$4003,"&gt;="&amp;账期起,出库单!$C$4:$C$4003,"&lt;="&amp;账期止))</f>
        <v/>
      </c>
      <c r="W1089" s="26">
        <f>IF($A1089="","",ROUND(SUMIFS(出库单!$S$4:$S$4003,出库单!$D$4:$D$4003,$A1089,出库单!$K$4:$K$4003,"退货给供应商",出库单!$U$4:$U$4003,"正常",出库单!$C$4:$C$4003,"&gt;="&amp;账期起,出库单!$C$4:$C$4003,"&lt;="&amp;账期止),0))</f>
        <v/>
      </c>
      <c r="X1089" s="27">
        <f>IF($A1089="","",ROUND(N($G1089)+$I1089+$L1089+$N1089-$P1089-$R1089-$T1089-$V1089,3))</f>
        <v/>
      </c>
      <c r="Y1089" s="26">
        <f>IF($A1089="","",ROUND(N($H1089)+$J1089+$M1089+$O1089-$Q1089-$S1089-$U1089-$W1089,0))</f>
        <v/>
      </c>
      <c r="Z1089" s="24">
        <f>IF($A1089="","",IF(COUNTIFS(入库单!$G$4:$G$2503,$A1089,入库单!$Y$4:$Y$2503,"待补价")+COUNTIFS(入库单!$G$4:$G$2503,$A1089,入库单!$Y$4:$Y$2503,"暂估")&gt;0,"不可信","可信"))</f>
        <v/>
      </c>
      <c r="AA1089" s="24">
        <f>IF($A1089="","",IF($X1089&lt;-0.001,"※账面负库存，查一下是不是漏记入库",IF(AND(ROUND($X1089,3)=0,ABS($Y1089)&gt;1),"※数量已经是 0，金额还挂着 "&amp;TEXT($Y1089,"#,##0")&amp;" 先令",IF(AND($X1089&gt;0,$Y1089&lt;=0,$K1089=0),"※有数量没金额（这个物料一直没填过进价）",IF($Z1089="不可信","△成本含待补价/暂估，毛利仅供参考","")))))</f>
        <v/>
      </c>
    </row>
    <row r="1090">
      <c r="A1090" s="24">
        <f>IF(物料档案!$A1089="","",物料档案!$A1089)</f>
        <v/>
      </c>
      <c r="B1090" s="24">
        <f>IF($A1090="","",IFERROR(VLOOKUP($A1090,物料档案!$A$4:$P$1203,3,0),""))</f>
        <v/>
      </c>
      <c r="C1090" s="24">
        <f>IF($A1090="","",IFERROR(VLOOKUP($A1090,物料档案!$A$4:$P$1203,4,0),""))</f>
        <v/>
      </c>
      <c r="D1090" s="24">
        <f>IF($A1090="","",IFERROR(VLOOKUP($A1090,物料档案!$A$4:$P$1203,5,0),""))</f>
        <v/>
      </c>
      <c r="E1090" s="24">
        <f>IF($A1090="","",IFERROR(VLOOKUP($A1090,物料档案!$A$4:$P$1203,2,0),""))</f>
        <v/>
      </c>
      <c r="F1090" s="24">
        <f>IF($A1090="","",IFERROR(VLOOKUP($A1090,物料档案!$A$4:$P$1203,6,0),""))</f>
        <v/>
      </c>
      <c r="G1090" s="23" t="n"/>
      <c r="H1090" s="32" t="n"/>
      <c r="I1090" s="27">
        <f>IF($A1090="","",SUMIFS(入库单!$K$4:$K$2503,入库单!$G$4:$G$2503,$A1090,入库单!$X$4:$X$2503,"采购入库",入库单!$Z$4:$Z$2503,"正常",入库单!$C$4:$C$2503,"&gt;="&amp;账期起,入库单!$C$4:$C$2503,"&lt;="&amp;账期止))</f>
        <v/>
      </c>
      <c r="J1090" s="26">
        <f>IF($A1090="","",SUMIFS(入库单!$V$4:$V$2503,入库单!$G$4:$G$2503,$A1090,入库单!$X$4:$X$2503,"采购入库",入库单!$Z$4:$Z$2503,"正常",入库单!$C$4:$C$2503,"&gt;="&amp;账期起,入库单!$C$4:$C$2503,"&lt;="&amp;账期止))</f>
        <v/>
      </c>
      <c r="K1090" s="26">
        <f>IF($A1090="","",IFERROR(ROUND((N($H1090)+N($J1090))/(N($G1090)+N($I1090)),2),0))</f>
        <v/>
      </c>
      <c r="L1090" s="27">
        <f>IF($A1090="","",SUMIFS(入库单!$K$4:$K$2503,入库单!$G$4:$G$2503,$A1090,入库单!$X$4:$X$2503,"盘盈",入库单!$Z$4:$Z$2503,"正常",入库单!$C$4:$C$2503,"&gt;="&amp;账期起,入库单!$C$4:$C$2503,"&lt;="&amp;账期止))</f>
        <v/>
      </c>
      <c r="M1090" s="26">
        <f>IF($A1090="","",ROUND($L1090*$K1090,0))</f>
        <v/>
      </c>
      <c r="N1090" s="27">
        <f>IF($A1090="","",SUMIFS(入库单!$K$4:$K$2503,入库单!$G$4:$G$2503,$A1090,入库单!$X$4:$X$2503,"矿区退库",入库单!$Z$4:$Z$2503,"正常",入库单!$C$4:$C$2503,"&gt;="&amp;账期起,入库单!$C$4:$C$2503,"&lt;="&amp;账期止))</f>
        <v/>
      </c>
      <c r="O1090" s="26">
        <f>IF($A1090="","",ROUND($N1090*$K1090,0))</f>
        <v/>
      </c>
      <c r="P1090" s="27">
        <f>IF($A1090="","",SUMIFS(出库单!$J$4:$J$4003,出库单!$D$4:$D$4003,$A1090,出库单!$K$4:$K$4003,"自用消耗",出库单!$U$4:$U$4003,"正常",出库单!$C$4:$C$4003,"&gt;="&amp;账期起,出库单!$C$4:$C$4003,"&lt;="&amp;账期止))</f>
        <v/>
      </c>
      <c r="Q1090" s="26">
        <f>IF($A1090="","",ROUND(SUMIFS(出库单!$S$4:$S$4003,出库单!$D$4:$D$4003,$A1090,出库单!$K$4:$K$4003,"自用消耗",出库单!$U$4:$U$4003,"正常",出库单!$C$4:$C$4003,"&gt;="&amp;账期起,出库单!$C$4:$C$4003,"&lt;="&amp;账期止),0))</f>
        <v/>
      </c>
      <c r="R1090" s="27">
        <f>IF($A1090="","",SUMIFS(出库单!$J$4:$J$4003,出库单!$D$4:$D$4003,$A1090,出库单!$K$4:$K$4003,"对外销售",出库单!$U$4:$U$4003,"正常",出库单!$C$4:$C$4003,"&gt;="&amp;账期起,出库单!$C$4:$C$4003,"&lt;="&amp;账期止))</f>
        <v/>
      </c>
      <c r="S1090" s="26">
        <f>IF($A1090="","",ROUND(SUMIFS(出库单!$S$4:$S$4003,出库单!$D$4:$D$4003,$A1090,出库单!$K$4:$K$4003,"对外销售",出库单!$U$4:$U$4003,"正常",出库单!$C$4:$C$4003,"&gt;="&amp;账期起,出库单!$C$4:$C$4003,"&lt;="&amp;账期止),0))</f>
        <v/>
      </c>
      <c r="T1090" s="27">
        <f>IF($A1090="","",SUMIFS(出库单!$J$4:$J$4003,出库单!$D$4:$D$4003,$A1090,出库单!$K$4:$K$4003,"盘亏",出库单!$U$4:$U$4003,"正常",出库单!$C$4:$C$4003,"&gt;="&amp;账期起,出库单!$C$4:$C$4003,"&lt;="&amp;账期止))</f>
        <v/>
      </c>
      <c r="U1090" s="26">
        <f>IF($A1090="","",ROUND(SUMIFS(出库单!$S$4:$S$4003,出库单!$D$4:$D$4003,$A1090,出库单!$K$4:$K$4003,"盘亏",出库单!$U$4:$U$4003,"正常",出库单!$C$4:$C$4003,"&gt;="&amp;账期起,出库单!$C$4:$C$4003,"&lt;="&amp;账期止),0))</f>
        <v/>
      </c>
      <c r="V1090" s="27">
        <f>IF($A1090="","",SUMIFS(出库单!$J$4:$J$4003,出库单!$D$4:$D$4003,$A1090,出库单!$K$4:$K$4003,"退货给供应商",出库单!$U$4:$U$4003,"正常",出库单!$C$4:$C$4003,"&gt;="&amp;账期起,出库单!$C$4:$C$4003,"&lt;="&amp;账期止))</f>
        <v/>
      </c>
      <c r="W1090" s="26">
        <f>IF($A1090="","",ROUND(SUMIFS(出库单!$S$4:$S$4003,出库单!$D$4:$D$4003,$A1090,出库单!$K$4:$K$4003,"退货给供应商",出库单!$U$4:$U$4003,"正常",出库单!$C$4:$C$4003,"&gt;="&amp;账期起,出库单!$C$4:$C$4003,"&lt;="&amp;账期止),0))</f>
        <v/>
      </c>
      <c r="X1090" s="27">
        <f>IF($A1090="","",ROUND(N($G1090)+$I1090+$L1090+$N1090-$P1090-$R1090-$T1090-$V1090,3))</f>
        <v/>
      </c>
      <c r="Y1090" s="26">
        <f>IF($A1090="","",ROUND(N($H1090)+$J1090+$M1090+$O1090-$Q1090-$S1090-$U1090-$W1090,0))</f>
        <v/>
      </c>
      <c r="Z1090" s="24">
        <f>IF($A1090="","",IF(COUNTIFS(入库单!$G$4:$G$2503,$A1090,入库单!$Y$4:$Y$2503,"待补价")+COUNTIFS(入库单!$G$4:$G$2503,$A1090,入库单!$Y$4:$Y$2503,"暂估")&gt;0,"不可信","可信"))</f>
        <v/>
      </c>
      <c r="AA1090" s="24">
        <f>IF($A1090="","",IF($X1090&lt;-0.001,"※账面负库存，查一下是不是漏记入库",IF(AND(ROUND($X1090,3)=0,ABS($Y1090)&gt;1),"※数量已经是 0，金额还挂着 "&amp;TEXT($Y1090,"#,##0")&amp;" 先令",IF(AND($X1090&gt;0,$Y1090&lt;=0,$K1090=0),"※有数量没金额（这个物料一直没填过进价）",IF($Z1090="不可信","△成本含待补价/暂估，毛利仅供参考","")))))</f>
        <v/>
      </c>
    </row>
    <row r="1091">
      <c r="A1091" s="24">
        <f>IF(物料档案!$A1090="","",物料档案!$A1090)</f>
        <v/>
      </c>
      <c r="B1091" s="24">
        <f>IF($A1091="","",IFERROR(VLOOKUP($A1091,物料档案!$A$4:$P$1203,3,0),""))</f>
        <v/>
      </c>
      <c r="C1091" s="24">
        <f>IF($A1091="","",IFERROR(VLOOKUP($A1091,物料档案!$A$4:$P$1203,4,0),""))</f>
        <v/>
      </c>
      <c r="D1091" s="24">
        <f>IF($A1091="","",IFERROR(VLOOKUP($A1091,物料档案!$A$4:$P$1203,5,0),""))</f>
        <v/>
      </c>
      <c r="E1091" s="24">
        <f>IF($A1091="","",IFERROR(VLOOKUP($A1091,物料档案!$A$4:$P$1203,2,0),""))</f>
        <v/>
      </c>
      <c r="F1091" s="24">
        <f>IF($A1091="","",IFERROR(VLOOKUP($A1091,物料档案!$A$4:$P$1203,6,0),""))</f>
        <v/>
      </c>
      <c r="G1091" s="23" t="n"/>
      <c r="H1091" s="32" t="n"/>
      <c r="I1091" s="27">
        <f>IF($A1091="","",SUMIFS(入库单!$K$4:$K$2503,入库单!$G$4:$G$2503,$A1091,入库单!$X$4:$X$2503,"采购入库",入库单!$Z$4:$Z$2503,"正常",入库单!$C$4:$C$2503,"&gt;="&amp;账期起,入库单!$C$4:$C$2503,"&lt;="&amp;账期止))</f>
        <v/>
      </c>
      <c r="J1091" s="26">
        <f>IF($A1091="","",SUMIFS(入库单!$V$4:$V$2503,入库单!$G$4:$G$2503,$A1091,入库单!$X$4:$X$2503,"采购入库",入库单!$Z$4:$Z$2503,"正常",入库单!$C$4:$C$2503,"&gt;="&amp;账期起,入库单!$C$4:$C$2503,"&lt;="&amp;账期止))</f>
        <v/>
      </c>
      <c r="K1091" s="26">
        <f>IF($A1091="","",IFERROR(ROUND((N($H1091)+N($J1091))/(N($G1091)+N($I1091)),2),0))</f>
        <v/>
      </c>
      <c r="L1091" s="27">
        <f>IF($A1091="","",SUMIFS(入库单!$K$4:$K$2503,入库单!$G$4:$G$2503,$A1091,入库单!$X$4:$X$2503,"盘盈",入库单!$Z$4:$Z$2503,"正常",入库单!$C$4:$C$2503,"&gt;="&amp;账期起,入库单!$C$4:$C$2503,"&lt;="&amp;账期止))</f>
        <v/>
      </c>
      <c r="M1091" s="26">
        <f>IF($A1091="","",ROUND($L1091*$K1091,0))</f>
        <v/>
      </c>
      <c r="N1091" s="27">
        <f>IF($A1091="","",SUMIFS(入库单!$K$4:$K$2503,入库单!$G$4:$G$2503,$A1091,入库单!$X$4:$X$2503,"矿区退库",入库单!$Z$4:$Z$2503,"正常",入库单!$C$4:$C$2503,"&gt;="&amp;账期起,入库单!$C$4:$C$2503,"&lt;="&amp;账期止))</f>
        <v/>
      </c>
      <c r="O1091" s="26">
        <f>IF($A1091="","",ROUND($N1091*$K1091,0))</f>
        <v/>
      </c>
      <c r="P1091" s="27">
        <f>IF($A1091="","",SUMIFS(出库单!$J$4:$J$4003,出库单!$D$4:$D$4003,$A1091,出库单!$K$4:$K$4003,"自用消耗",出库单!$U$4:$U$4003,"正常",出库单!$C$4:$C$4003,"&gt;="&amp;账期起,出库单!$C$4:$C$4003,"&lt;="&amp;账期止))</f>
        <v/>
      </c>
      <c r="Q1091" s="26">
        <f>IF($A1091="","",ROUND(SUMIFS(出库单!$S$4:$S$4003,出库单!$D$4:$D$4003,$A1091,出库单!$K$4:$K$4003,"自用消耗",出库单!$U$4:$U$4003,"正常",出库单!$C$4:$C$4003,"&gt;="&amp;账期起,出库单!$C$4:$C$4003,"&lt;="&amp;账期止),0))</f>
        <v/>
      </c>
      <c r="R1091" s="27">
        <f>IF($A1091="","",SUMIFS(出库单!$J$4:$J$4003,出库单!$D$4:$D$4003,$A1091,出库单!$K$4:$K$4003,"对外销售",出库单!$U$4:$U$4003,"正常",出库单!$C$4:$C$4003,"&gt;="&amp;账期起,出库单!$C$4:$C$4003,"&lt;="&amp;账期止))</f>
        <v/>
      </c>
      <c r="S1091" s="26">
        <f>IF($A1091="","",ROUND(SUMIFS(出库单!$S$4:$S$4003,出库单!$D$4:$D$4003,$A1091,出库单!$K$4:$K$4003,"对外销售",出库单!$U$4:$U$4003,"正常",出库单!$C$4:$C$4003,"&gt;="&amp;账期起,出库单!$C$4:$C$4003,"&lt;="&amp;账期止),0))</f>
        <v/>
      </c>
      <c r="T1091" s="27">
        <f>IF($A1091="","",SUMIFS(出库单!$J$4:$J$4003,出库单!$D$4:$D$4003,$A1091,出库单!$K$4:$K$4003,"盘亏",出库单!$U$4:$U$4003,"正常",出库单!$C$4:$C$4003,"&gt;="&amp;账期起,出库单!$C$4:$C$4003,"&lt;="&amp;账期止))</f>
        <v/>
      </c>
      <c r="U1091" s="26">
        <f>IF($A1091="","",ROUND(SUMIFS(出库单!$S$4:$S$4003,出库单!$D$4:$D$4003,$A1091,出库单!$K$4:$K$4003,"盘亏",出库单!$U$4:$U$4003,"正常",出库单!$C$4:$C$4003,"&gt;="&amp;账期起,出库单!$C$4:$C$4003,"&lt;="&amp;账期止),0))</f>
        <v/>
      </c>
      <c r="V1091" s="27">
        <f>IF($A1091="","",SUMIFS(出库单!$J$4:$J$4003,出库单!$D$4:$D$4003,$A1091,出库单!$K$4:$K$4003,"退货给供应商",出库单!$U$4:$U$4003,"正常",出库单!$C$4:$C$4003,"&gt;="&amp;账期起,出库单!$C$4:$C$4003,"&lt;="&amp;账期止))</f>
        <v/>
      </c>
      <c r="W1091" s="26">
        <f>IF($A1091="","",ROUND(SUMIFS(出库单!$S$4:$S$4003,出库单!$D$4:$D$4003,$A1091,出库单!$K$4:$K$4003,"退货给供应商",出库单!$U$4:$U$4003,"正常",出库单!$C$4:$C$4003,"&gt;="&amp;账期起,出库单!$C$4:$C$4003,"&lt;="&amp;账期止),0))</f>
        <v/>
      </c>
      <c r="X1091" s="27">
        <f>IF($A1091="","",ROUND(N($G1091)+$I1091+$L1091+$N1091-$P1091-$R1091-$T1091-$V1091,3))</f>
        <v/>
      </c>
      <c r="Y1091" s="26">
        <f>IF($A1091="","",ROUND(N($H1091)+$J1091+$M1091+$O1091-$Q1091-$S1091-$U1091-$W1091,0))</f>
        <v/>
      </c>
      <c r="Z1091" s="24">
        <f>IF($A1091="","",IF(COUNTIFS(入库单!$G$4:$G$2503,$A1091,入库单!$Y$4:$Y$2503,"待补价")+COUNTIFS(入库单!$G$4:$G$2503,$A1091,入库单!$Y$4:$Y$2503,"暂估")&gt;0,"不可信","可信"))</f>
        <v/>
      </c>
      <c r="AA1091" s="24">
        <f>IF($A1091="","",IF($X1091&lt;-0.001,"※账面负库存，查一下是不是漏记入库",IF(AND(ROUND($X1091,3)=0,ABS($Y1091)&gt;1),"※数量已经是 0，金额还挂着 "&amp;TEXT($Y1091,"#,##0")&amp;" 先令",IF(AND($X1091&gt;0,$Y1091&lt;=0,$K1091=0),"※有数量没金额（这个物料一直没填过进价）",IF($Z1091="不可信","△成本含待补价/暂估，毛利仅供参考","")))))</f>
        <v/>
      </c>
    </row>
    <row r="1092">
      <c r="A1092" s="24">
        <f>IF(物料档案!$A1091="","",物料档案!$A1091)</f>
        <v/>
      </c>
      <c r="B1092" s="24">
        <f>IF($A1092="","",IFERROR(VLOOKUP($A1092,物料档案!$A$4:$P$1203,3,0),""))</f>
        <v/>
      </c>
      <c r="C1092" s="24">
        <f>IF($A1092="","",IFERROR(VLOOKUP($A1092,物料档案!$A$4:$P$1203,4,0),""))</f>
        <v/>
      </c>
      <c r="D1092" s="24">
        <f>IF($A1092="","",IFERROR(VLOOKUP($A1092,物料档案!$A$4:$P$1203,5,0),""))</f>
        <v/>
      </c>
      <c r="E1092" s="24">
        <f>IF($A1092="","",IFERROR(VLOOKUP($A1092,物料档案!$A$4:$P$1203,2,0),""))</f>
        <v/>
      </c>
      <c r="F1092" s="24">
        <f>IF($A1092="","",IFERROR(VLOOKUP($A1092,物料档案!$A$4:$P$1203,6,0),""))</f>
        <v/>
      </c>
      <c r="G1092" s="23" t="n"/>
      <c r="H1092" s="32" t="n"/>
      <c r="I1092" s="27">
        <f>IF($A1092="","",SUMIFS(入库单!$K$4:$K$2503,入库单!$G$4:$G$2503,$A1092,入库单!$X$4:$X$2503,"采购入库",入库单!$Z$4:$Z$2503,"正常",入库单!$C$4:$C$2503,"&gt;="&amp;账期起,入库单!$C$4:$C$2503,"&lt;="&amp;账期止))</f>
        <v/>
      </c>
      <c r="J1092" s="26">
        <f>IF($A1092="","",SUMIFS(入库单!$V$4:$V$2503,入库单!$G$4:$G$2503,$A1092,入库单!$X$4:$X$2503,"采购入库",入库单!$Z$4:$Z$2503,"正常",入库单!$C$4:$C$2503,"&gt;="&amp;账期起,入库单!$C$4:$C$2503,"&lt;="&amp;账期止))</f>
        <v/>
      </c>
      <c r="K1092" s="26">
        <f>IF($A1092="","",IFERROR(ROUND((N($H1092)+N($J1092))/(N($G1092)+N($I1092)),2),0))</f>
        <v/>
      </c>
      <c r="L1092" s="27">
        <f>IF($A1092="","",SUMIFS(入库单!$K$4:$K$2503,入库单!$G$4:$G$2503,$A1092,入库单!$X$4:$X$2503,"盘盈",入库单!$Z$4:$Z$2503,"正常",入库单!$C$4:$C$2503,"&gt;="&amp;账期起,入库单!$C$4:$C$2503,"&lt;="&amp;账期止))</f>
        <v/>
      </c>
      <c r="M1092" s="26">
        <f>IF($A1092="","",ROUND($L1092*$K1092,0))</f>
        <v/>
      </c>
      <c r="N1092" s="27">
        <f>IF($A1092="","",SUMIFS(入库单!$K$4:$K$2503,入库单!$G$4:$G$2503,$A1092,入库单!$X$4:$X$2503,"矿区退库",入库单!$Z$4:$Z$2503,"正常",入库单!$C$4:$C$2503,"&gt;="&amp;账期起,入库单!$C$4:$C$2503,"&lt;="&amp;账期止))</f>
        <v/>
      </c>
      <c r="O1092" s="26">
        <f>IF($A1092="","",ROUND($N1092*$K1092,0))</f>
        <v/>
      </c>
      <c r="P1092" s="27">
        <f>IF($A1092="","",SUMIFS(出库单!$J$4:$J$4003,出库单!$D$4:$D$4003,$A1092,出库单!$K$4:$K$4003,"自用消耗",出库单!$U$4:$U$4003,"正常",出库单!$C$4:$C$4003,"&gt;="&amp;账期起,出库单!$C$4:$C$4003,"&lt;="&amp;账期止))</f>
        <v/>
      </c>
      <c r="Q1092" s="26">
        <f>IF($A1092="","",ROUND(SUMIFS(出库单!$S$4:$S$4003,出库单!$D$4:$D$4003,$A1092,出库单!$K$4:$K$4003,"自用消耗",出库单!$U$4:$U$4003,"正常",出库单!$C$4:$C$4003,"&gt;="&amp;账期起,出库单!$C$4:$C$4003,"&lt;="&amp;账期止),0))</f>
        <v/>
      </c>
      <c r="R1092" s="27">
        <f>IF($A1092="","",SUMIFS(出库单!$J$4:$J$4003,出库单!$D$4:$D$4003,$A1092,出库单!$K$4:$K$4003,"对外销售",出库单!$U$4:$U$4003,"正常",出库单!$C$4:$C$4003,"&gt;="&amp;账期起,出库单!$C$4:$C$4003,"&lt;="&amp;账期止))</f>
        <v/>
      </c>
      <c r="S1092" s="26">
        <f>IF($A1092="","",ROUND(SUMIFS(出库单!$S$4:$S$4003,出库单!$D$4:$D$4003,$A1092,出库单!$K$4:$K$4003,"对外销售",出库单!$U$4:$U$4003,"正常",出库单!$C$4:$C$4003,"&gt;="&amp;账期起,出库单!$C$4:$C$4003,"&lt;="&amp;账期止),0))</f>
        <v/>
      </c>
      <c r="T1092" s="27">
        <f>IF($A1092="","",SUMIFS(出库单!$J$4:$J$4003,出库单!$D$4:$D$4003,$A1092,出库单!$K$4:$K$4003,"盘亏",出库单!$U$4:$U$4003,"正常",出库单!$C$4:$C$4003,"&gt;="&amp;账期起,出库单!$C$4:$C$4003,"&lt;="&amp;账期止))</f>
        <v/>
      </c>
      <c r="U1092" s="26">
        <f>IF($A1092="","",ROUND(SUMIFS(出库单!$S$4:$S$4003,出库单!$D$4:$D$4003,$A1092,出库单!$K$4:$K$4003,"盘亏",出库单!$U$4:$U$4003,"正常",出库单!$C$4:$C$4003,"&gt;="&amp;账期起,出库单!$C$4:$C$4003,"&lt;="&amp;账期止),0))</f>
        <v/>
      </c>
      <c r="V1092" s="27">
        <f>IF($A1092="","",SUMIFS(出库单!$J$4:$J$4003,出库单!$D$4:$D$4003,$A1092,出库单!$K$4:$K$4003,"退货给供应商",出库单!$U$4:$U$4003,"正常",出库单!$C$4:$C$4003,"&gt;="&amp;账期起,出库单!$C$4:$C$4003,"&lt;="&amp;账期止))</f>
        <v/>
      </c>
      <c r="W1092" s="26">
        <f>IF($A1092="","",ROUND(SUMIFS(出库单!$S$4:$S$4003,出库单!$D$4:$D$4003,$A1092,出库单!$K$4:$K$4003,"退货给供应商",出库单!$U$4:$U$4003,"正常",出库单!$C$4:$C$4003,"&gt;="&amp;账期起,出库单!$C$4:$C$4003,"&lt;="&amp;账期止),0))</f>
        <v/>
      </c>
      <c r="X1092" s="27">
        <f>IF($A1092="","",ROUND(N($G1092)+$I1092+$L1092+$N1092-$P1092-$R1092-$T1092-$V1092,3))</f>
        <v/>
      </c>
      <c r="Y1092" s="26">
        <f>IF($A1092="","",ROUND(N($H1092)+$J1092+$M1092+$O1092-$Q1092-$S1092-$U1092-$W1092,0))</f>
        <v/>
      </c>
      <c r="Z1092" s="24">
        <f>IF($A1092="","",IF(COUNTIFS(入库单!$G$4:$G$2503,$A1092,入库单!$Y$4:$Y$2503,"待补价")+COUNTIFS(入库单!$G$4:$G$2503,$A1092,入库单!$Y$4:$Y$2503,"暂估")&gt;0,"不可信","可信"))</f>
        <v/>
      </c>
      <c r="AA1092" s="24">
        <f>IF($A1092="","",IF($X1092&lt;-0.001,"※账面负库存，查一下是不是漏记入库",IF(AND(ROUND($X1092,3)=0,ABS($Y1092)&gt;1),"※数量已经是 0，金额还挂着 "&amp;TEXT($Y1092,"#,##0")&amp;" 先令",IF(AND($X1092&gt;0,$Y1092&lt;=0,$K1092=0),"※有数量没金额（这个物料一直没填过进价）",IF($Z1092="不可信","△成本含待补价/暂估，毛利仅供参考","")))))</f>
        <v/>
      </c>
    </row>
    <row r="1093">
      <c r="A1093" s="24">
        <f>IF(物料档案!$A1092="","",物料档案!$A1092)</f>
        <v/>
      </c>
      <c r="B1093" s="24">
        <f>IF($A1093="","",IFERROR(VLOOKUP($A1093,物料档案!$A$4:$P$1203,3,0),""))</f>
        <v/>
      </c>
      <c r="C1093" s="24">
        <f>IF($A1093="","",IFERROR(VLOOKUP($A1093,物料档案!$A$4:$P$1203,4,0),""))</f>
        <v/>
      </c>
      <c r="D1093" s="24">
        <f>IF($A1093="","",IFERROR(VLOOKUP($A1093,物料档案!$A$4:$P$1203,5,0),""))</f>
        <v/>
      </c>
      <c r="E1093" s="24">
        <f>IF($A1093="","",IFERROR(VLOOKUP($A1093,物料档案!$A$4:$P$1203,2,0),""))</f>
        <v/>
      </c>
      <c r="F1093" s="24">
        <f>IF($A1093="","",IFERROR(VLOOKUP($A1093,物料档案!$A$4:$P$1203,6,0),""))</f>
        <v/>
      </c>
      <c r="G1093" s="23" t="n"/>
      <c r="H1093" s="32" t="n"/>
      <c r="I1093" s="27">
        <f>IF($A1093="","",SUMIFS(入库单!$K$4:$K$2503,入库单!$G$4:$G$2503,$A1093,入库单!$X$4:$X$2503,"采购入库",入库单!$Z$4:$Z$2503,"正常",入库单!$C$4:$C$2503,"&gt;="&amp;账期起,入库单!$C$4:$C$2503,"&lt;="&amp;账期止))</f>
        <v/>
      </c>
      <c r="J1093" s="26">
        <f>IF($A1093="","",SUMIFS(入库单!$V$4:$V$2503,入库单!$G$4:$G$2503,$A1093,入库单!$X$4:$X$2503,"采购入库",入库单!$Z$4:$Z$2503,"正常",入库单!$C$4:$C$2503,"&gt;="&amp;账期起,入库单!$C$4:$C$2503,"&lt;="&amp;账期止))</f>
        <v/>
      </c>
      <c r="K1093" s="26">
        <f>IF($A1093="","",IFERROR(ROUND((N($H1093)+N($J1093))/(N($G1093)+N($I1093)),2),0))</f>
        <v/>
      </c>
      <c r="L1093" s="27">
        <f>IF($A1093="","",SUMIFS(入库单!$K$4:$K$2503,入库单!$G$4:$G$2503,$A1093,入库单!$X$4:$X$2503,"盘盈",入库单!$Z$4:$Z$2503,"正常",入库单!$C$4:$C$2503,"&gt;="&amp;账期起,入库单!$C$4:$C$2503,"&lt;="&amp;账期止))</f>
        <v/>
      </c>
      <c r="M1093" s="26">
        <f>IF($A1093="","",ROUND($L1093*$K1093,0))</f>
        <v/>
      </c>
      <c r="N1093" s="27">
        <f>IF($A1093="","",SUMIFS(入库单!$K$4:$K$2503,入库单!$G$4:$G$2503,$A1093,入库单!$X$4:$X$2503,"矿区退库",入库单!$Z$4:$Z$2503,"正常",入库单!$C$4:$C$2503,"&gt;="&amp;账期起,入库单!$C$4:$C$2503,"&lt;="&amp;账期止))</f>
        <v/>
      </c>
      <c r="O1093" s="26">
        <f>IF($A1093="","",ROUND($N1093*$K1093,0))</f>
        <v/>
      </c>
      <c r="P1093" s="27">
        <f>IF($A1093="","",SUMIFS(出库单!$J$4:$J$4003,出库单!$D$4:$D$4003,$A1093,出库单!$K$4:$K$4003,"自用消耗",出库单!$U$4:$U$4003,"正常",出库单!$C$4:$C$4003,"&gt;="&amp;账期起,出库单!$C$4:$C$4003,"&lt;="&amp;账期止))</f>
        <v/>
      </c>
      <c r="Q1093" s="26">
        <f>IF($A1093="","",ROUND(SUMIFS(出库单!$S$4:$S$4003,出库单!$D$4:$D$4003,$A1093,出库单!$K$4:$K$4003,"自用消耗",出库单!$U$4:$U$4003,"正常",出库单!$C$4:$C$4003,"&gt;="&amp;账期起,出库单!$C$4:$C$4003,"&lt;="&amp;账期止),0))</f>
        <v/>
      </c>
      <c r="R1093" s="27">
        <f>IF($A1093="","",SUMIFS(出库单!$J$4:$J$4003,出库单!$D$4:$D$4003,$A1093,出库单!$K$4:$K$4003,"对外销售",出库单!$U$4:$U$4003,"正常",出库单!$C$4:$C$4003,"&gt;="&amp;账期起,出库单!$C$4:$C$4003,"&lt;="&amp;账期止))</f>
        <v/>
      </c>
      <c r="S1093" s="26">
        <f>IF($A1093="","",ROUND(SUMIFS(出库单!$S$4:$S$4003,出库单!$D$4:$D$4003,$A1093,出库单!$K$4:$K$4003,"对外销售",出库单!$U$4:$U$4003,"正常",出库单!$C$4:$C$4003,"&gt;="&amp;账期起,出库单!$C$4:$C$4003,"&lt;="&amp;账期止),0))</f>
        <v/>
      </c>
      <c r="T1093" s="27">
        <f>IF($A1093="","",SUMIFS(出库单!$J$4:$J$4003,出库单!$D$4:$D$4003,$A1093,出库单!$K$4:$K$4003,"盘亏",出库单!$U$4:$U$4003,"正常",出库单!$C$4:$C$4003,"&gt;="&amp;账期起,出库单!$C$4:$C$4003,"&lt;="&amp;账期止))</f>
        <v/>
      </c>
      <c r="U1093" s="26">
        <f>IF($A1093="","",ROUND(SUMIFS(出库单!$S$4:$S$4003,出库单!$D$4:$D$4003,$A1093,出库单!$K$4:$K$4003,"盘亏",出库单!$U$4:$U$4003,"正常",出库单!$C$4:$C$4003,"&gt;="&amp;账期起,出库单!$C$4:$C$4003,"&lt;="&amp;账期止),0))</f>
        <v/>
      </c>
      <c r="V1093" s="27">
        <f>IF($A1093="","",SUMIFS(出库单!$J$4:$J$4003,出库单!$D$4:$D$4003,$A1093,出库单!$K$4:$K$4003,"退货给供应商",出库单!$U$4:$U$4003,"正常",出库单!$C$4:$C$4003,"&gt;="&amp;账期起,出库单!$C$4:$C$4003,"&lt;="&amp;账期止))</f>
        <v/>
      </c>
      <c r="W1093" s="26">
        <f>IF($A1093="","",ROUND(SUMIFS(出库单!$S$4:$S$4003,出库单!$D$4:$D$4003,$A1093,出库单!$K$4:$K$4003,"退货给供应商",出库单!$U$4:$U$4003,"正常",出库单!$C$4:$C$4003,"&gt;="&amp;账期起,出库单!$C$4:$C$4003,"&lt;="&amp;账期止),0))</f>
        <v/>
      </c>
      <c r="X1093" s="27">
        <f>IF($A1093="","",ROUND(N($G1093)+$I1093+$L1093+$N1093-$P1093-$R1093-$T1093-$V1093,3))</f>
        <v/>
      </c>
      <c r="Y1093" s="26">
        <f>IF($A1093="","",ROUND(N($H1093)+$J1093+$M1093+$O1093-$Q1093-$S1093-$U1093-$W1093,0))</f>
        <v/>
      </c>
      <c r="Z1093" s="24">
        <f>IF($A1093="","",IF(COUNTIFS(入库单!$G$4:$G$2503,$A1093,入库单!$Y$4:$Y$2503,"待补价")+COUNTIFS(入库单!$G$4:$G$2503,$A1093,入库单!$Y$4:$Y$2503,"暂估")&gt;0,"不可信","可信"))</f>
        <v/>
      </c>
      <c r="AA1093" s="24">
        <f>IF($A1093="","",IF($X1093&lt;-0.001,"※账面负库存，查一下是不是漏记入库",IF(AND(ROUND($X1093,3)=0,ABS($Y1093)&gt;1),"※数量已经是 0，金额还挂着 "&amp;TEXT($Y1093,"#,##0")&amp;" 先令",IF(AND($X1093&gt;0,$Y1093&lt;=0,$K1093=0),"※有数量没金额（这个物料一直没填过进价）",IF($Z1093="不可信","△成本含待补价/暂估，毛利仅供参考","")))))</f>
        <v/>
      </c>
    </row>
    <row r="1094">
      <c r="A1094" s="24">
        <f>IF(物料档案!$A1093="","",物料档案!$A1093)</f>
        <v/>
      </c>
      <c r="B1094" s="24">
        <f>IF($A1094="","",IFERROR(VLOOKUP($A1094,物料档案!$A$4:$P$1203,3,0),""))</f>
        <v/>
      </c>
      <c r="C1094" s="24">
        <f>IF($A1094="","",IFERROR(VLOOKUP($A1094,物料档案!$A$4:$P$1203,4,0),""))</f>
        <v/>
      </c>
      <c r="D1094" s="24">
        <f>IF($A1094="","",IFERROR(VLOOKUP($A1094,物料档案!$A$4:$P$1203,5,0),""))</f>
        <v/>
      </c>
      <c r="E1094" s="24">
        <f>IF($A1094="","",IFERROR(VLOOKUP($A1094,物料档案!$A$4:$P$1203,2,0),""))</f>
        <v/>
      </c>
      <c r="F1094" s="24">
        <f>IF($A1094="","",IFERROR(VLOOKUP($A1094,物料档案!$A$4:$P$1203,6,0),""))</f>
        <v/>
      </c>
      <c r="G1094" s="23" t="n"/>
      <c r="H1094" s="32" t="n"/>
      <c r="I1094" s="27">
        <f>IF($A1094="","",SUMIFS(入库单!$K$4:$K$2503,入库单!$G$4:$G$2503,$A1094,入库单!$X$4:$X$2503,"采购入库",入库单!$Z$4:$Z$2503,"正常",入库单!$C$4:$C$2503,"&gt;="&amp;账期起,入库单!$C$4:$C$2503,"&lt;="&amp;账期止))</f>
        <v/>
      </c>
      <c r="J1094" s="26">
        <f>IF($A1094="","",SUMIFS(入库单!$V$4:$V$2503,入库单!$G$4:$G$2503,$A1094,入库单!$X$4:$X$2503,"采购入库",入库单!$Z$4:$Z$2503,"正常",入库单!$C$4:$C$2503,"&gt;="&amp;账期起,入库单!$C$4:$C$2503,"&lt;="&amp;账期止))</f>
        <v/>
      </c>
      <c r="K1094" s="26">
        <f>IF($A1094="","",IFERROR(ROUND((N($H1094)+N($J1094))/(N($G1094)+N($I1094)),2),0))</f>
        <v/>
      </c>
      <c r="L1094" s="27">
        <f>IF($A1094="","",SUMIFS(入库单!$K$4:$K$2503,入库单!$G$4:$G$2503,$A1094,入库单!$X$4:$X$2503,"盘盈",入库单!$Z$4:$Z$2503,"正常",入库单!$C$4:$C$2503,"&gt;="&amp;账期起,入库单!$C$4:$C$2503,"&lt;="&amp;账期止))</f>
        <v/>
      </c>
      <c r="M1094" s="26">
        <f>IF($A1094="","",ROUND($L1094*$K1094,0))</f>
        <v/>
      </c>
      <c r="N1094" s="27">
        <f>IF($A1094="","",SUMIFS(入库单!$K$4:$K$2503,入库单!$G$4:$G$2503,$A1094,入库单!$X$4:$X$2503,"矿区退库",入库单!$Z$4:$Z$2503,"正常",入库单!$C$4:$C$2503,"&gt;="&amp;账期起,入库单!$C$4:$C$2503,"&lt;="&amp;账期止))</f>
        <v/>
      </c>
      <c r="O1094" s="26">
        <f>IF($A1094="","",ROUND($N1094*$K1094,0))</f>
        <v/>
      </c>
      <c r="P1094" s="27">
        <f>IF($A1094="","",SUMIFS(出库单!$J$4:$J$4003,出库单!$D$4:$D$4003,$A1094,出库单!$K$4:$K$4003,"自用消耗",出库单!$U$4:$U$4003,"正常",出库单!$C$4:$C$4003,"&gt;="&amp;账期起,出库单!$C$4:$C$4003,"&lt;="&amp;账期止))</f>
        <v/>
      </c>
      <c r="Q1094" s="26">
        <f>IF($A1094="","",ROUND(SUMIFS(出库单!$S$4:$S$4003,出库单!$D$4:$D$4003,$A1094,出库单!$K$4:$K$4003,"自用消耗",出库单!$U$4:$U$4003,"正常",出库单!$C$4:$C$4003,"&gt;="&amp;账期起,出库单!$C$4:$C$4003,"&lt;="&amp;账期止),0))</f>
        <v/>
      </c>
      <c r="R1094" s="27">
        <f>IF($A1094="","",SUMIFS(出库单!$J$4:$J$4003,出库单!$D$4:$D$4003,$A1094,出库单!$K$4:$K$4003,"对外销售",出库单!$U$4:$U$4003,"正常",出库单!$C$4:$C$4003,"&gt;="&amp;账期起,出库单!$C$4:$C$4003,"&lt;="&amp;账期止))</f>
        <v/>
      </c>
      <c r="S1094" s="26">
        <f>IF($A1094="","",ROUND(SUMIFS(出库单!$S$4:$S$4003,出库单!$D$4:$D$4003,$A1094,出库单!$K$4:$K$4003,"对外销售",出库单!$U$4:$U$4003,"正常",出库单!$C$4:$C$4003,"&gt;="&amp;账期起,出库单!$C$4:$C$4003,"&lt;="&amp;账期止),0))</f>
        <v/>
      </c>
      <c r="T1094" s="27">
        <f>IF($A1094="","",SUMIFS(出库单!$J$4:$J$4003,出库单!$D$4:$D$4003,$A1094,出库单!$K$4:$K$4003,"盘亏",出库单!$U$4:$U$4003,"正常",出库单!$C$4:$C$4003,"&gt;="&amp;账期起,出库单!$C$4:$C$4003,"&lt;="&amp;账期止))</f>
        <v/>
      </c>
      <c r="U1094" s="26">
        <f>IF($A1094="","",ROUND(SUMIFS(出库单!$S$4:$S$4003,出库单!$D$4:$D$4003,$A1094,出库单!$K$4:$K$4003,"盘亏",出库单!$U$4:$U$4003,"正常",出库单!$C$4:$C$4003,"&gt;="&amp;账期起,出库单!$C$4:$C$4003,"&lt;="&amp;账期止),0))</f>
        <v/>
      </c>
      <c r="V1094" s="27">
        <f>IF($A1094="","",SUMIFS(出库单!$J$4:$J$4003,出库单!$D$4:$D$4003,$A1094,出库单!$K$4:$K$4003,"退货给供应商",出库单!$U$4:$U$4003,"正常",出库单!$C$4:$C$4003,"&gt;="&amp;账期起,出库单!$C$4:$C$4003,"&lt;="&amp;账期止))</f>
        <v/>
      </c>
      <c r="W1094" s="26">
        <f>IF($A1094="","",ROUND(SUMIFS(出库单!$S$4:$S$4003,出库单!$D$4:$D$4003,$A1094,出库单!$K$4:$K$4003,"退货给供应商",出库单!$U$4:$U$4003,"正常",出库单!$C$4:$C$4003,"&gt;="&amp;账期起,出库单!$C$4:$C$4003,"&lt;="&amp;账期止),0))</f>
        <v/>
      </c>
      <c r="X1094" s="27">
        <f>IF($A1094="","",ROUND(N($G1094)+$I1094+$L1094+$N1094-$P1094-$R1094-$T1094-$V1094,3))</f>
        <v/>
      </c>
      <c r="Y1094" s="26">
        <f>IF($A1094="","",ROUND(N($H1094)+$J1094+$M1094+$O1094-$Q1094-$S1094-$U1094-$W1094,0))</f>
        <v/>
      </c>
      <c r="Z1094" s="24">
        <f>IF($A1094="","",IF(COUNTIFS(入库单!$G$4:$G$2503,$A1094,入库单!$Y$4:$Y$2503,"待补价")+COUNTIFS(入库单!$G$4:$G$2503,$A1094,入库单!$Y$4:$Y$2503,"暂估")&gt;0,"不可信","可信"))</f>
        <v/>
      </c>
      <c r="AA1094" s="24">
        <f>IF($A1094="","",IF($X1094&lt;-0.001,"※账面负库存，查一下是不是漏记入库",IF(AND(ROUND($X1094,3)=0,ABS($Y1094)&gt;1),"※数量已经是 0，金额还挂着 "&amp;TEXT($Y1094,"#,##0")&amp;" 先令",IF(AND($X1094&gt;0,$Y1094&lt;=0,$K1094=0),"※有数量没金额（这个物料一直没填过进价）",IF($Z1094="不可信","△成本含待补价/暂估，毛利仅供参考","")))))</f>
        <v/>
      </c>
    </row>
    <row r="1095">
      <c r="A1095" s="24">
        <f>IF(物料档案!$A1094="","",物料档案!$A1094)</f>
        <v/>
      </c>
      <c r="B1095" s="24">
        <f>IF($A1095="","",IFERROR(VLOOKUP($A1095,物料档案!$A$4:$P$1203,3,0),""))</f>
        <v/>
      </c>
      <c r="C1095" s="24">
        <f>IF($A1095="","",IFERROR(VLOOKUP($A1095,物料档案!$A$4:$P$1203,4,0),""))</f>
        <v/>
      </c>
      <c r="D1095" s="24">
        <f>IF($A1095="","",IFERROR(VLOOKUP($A1095,物料档案!$A$4:$P$1203,5,0),""))</f>
        <v/>
      </c>
      <c r="E1095" s="24">
        <f>IF($A1095="","",IFERROR(VLOOKUP($A1095,物料档案!$A$4:$P$1203,2,0),""))</f>
        <v/>
      </c>
      <c r="F1095" s="24">
        <f>IF($A1095="","",IFERROR(VLOOKUP($A1095,物料档案!$A$4:$P$1203,6,0),""))</f>
        <v/>
      </c>
      <c r="G1095" s="23" t="n"/>
      <c r="H1095" s="32" t="n"/>
      <c r="I1095" s="27">
        <f>IF($A1095="","",SUMIFS(入库单!$K$4:$K$2503,入库单!$G$4:$G$2503,$A1095,入库单!$X$4:$X$2503,"采购入库",入库单!$Z$4:$Z$2503,"正常",入库单!$C$4:$C$2503,"&gt;="&amp;账期起,入库单!$C$4:$C$2503,"&lt;="&amp;账期止))</f>
        <v/>
      </c>
      <c r="J1095" s="26">
        <f>IF($A1095="","",SUMIFS(入库单!$V$4:$V$2503,入库单!$G$4:$G$2503,$A1095,入库单!$X$4:$X$2503,"采购入库",入库单!$Z$4:$Z$2503,"正常",入库单!$C$4:$C$2503,"&gt;="&amp;账期起,入库单!$C$4:$C$2503,"&lt;="&amp;账期止))</f>
        <v/>
      </c>
      <c r="K1095" s="26">
        <f>IF($A1095="","",IFERROR(ROUND((N($H1095)+N($J1095))/(N($G1095)+N($I1095)),2),0))</f>
        <v/>
      </c>
      <c r="L1095" s="27">
        <f>IF($A1095="","",SUMIFS(入库单!$K$4:$K$2503,入库单!$G$4:$G$2503,$A1095,入库单!$X$4:$X$2503,"盘盈",入库单!$Z$4:$Z$2503,"正常",入库单!$C$4:$C$2503,"&gt;="&amp;账期起,入库单!$C$4:$C$2503,"&lt;="&amp;账期止))</f>
        <v/>
      </c>
      <c r="M1095" s="26">
        <f>IF($A1095="","",ROUND($L1095*$K1095,0))</f>
        <v/>
      </c>
      <c r="N1095" s="27">
        <f>IF($A1095="","",SUMIFS(入库单!$K$4:$K$2503,入库单!$G$4:$G$2503,$A1095,入库单!$X$4:$X$2503,"矿区退库",入库单!$Z$4:$Z$2503,"正常",入库单!$C$4:$C$2503,"&gt;="&amp;账期起,入库单!$C$4:$C$2503,"&lt;="&amp;账期止))</f>
        <v/>
      </c>
      <c r="O1095" s="26">
        <f>IF($A1095="","",ROUND($N1095*$K1095,0))</f>
        <v/>
      </c>
      <c r="P1095" s="27">
        <f>IF($A1095="","",SUMIFS(出库单!$J$4:$J$4003,出库单!$D$4:$D$4003,$A1095,出库单!$K$4:$K$4003,"自用消耗",出库单!$U$4:$U$4003,"正常",出库单!$C$4:$C$4003,"&gt;="&amp;账期起,出库单!$C$4:$C$4003,"&lt;="&amp;账期止))</f>
        <v/>
      </c>
      <c r="Q1095" s="26">
        <f>IF($A1095="","",ROUND(SUMIFS(出库单!$S$4:$S$4003,出库单!$D$4:$D$4003,$A1095,出库单!$K$4:$K$4003,"自用消耗",出库单!$U$4:$U$4003,"正常",出库单!$C$4:$C$4003,"&gt;="&amp;账期起,出库单!$C$4:$C$4003,"&lt;="&amp;账期止),0))</f>
        <v/>
      </c>
      <c r="R1095" s="27">
        <f>IF($A1095="","",SUMIFS(出库单!$J$4:$J$4003,出库单!$D$4:$D$4003,$A1095,出库单!$K$4:$K$4003,"对外销售",出库单!$U$4:$U$4003,"正常",出库单!$C$4:$C$4003,"&gt;="&amp;账期起,出库单!$C$4:$C$4003,"&lt;="&amp;账期止))</f>
        <v/>
      </c>
      <c r="S1095" s="26">
        <f>IF($A1095="","",ROUND(SUMIFS(出库单!$S$4:$S$4003,出库单!$D$4:$D$4003,$A1095,出库单!$K$4:$K$4003,"对外销售",出库单!$U$4:$U$4003,"正常",出库单!$C$4:$C$4003,"&gt;="&amp;账期起,出库单!$C$4:$C$4003,"&lt;="&amp;账期止),0))</f>
        <v/>
      </c>
      <c r="T1095" s="27">
        <f>IF($A1095="","",SUMIFS(出库单!$J$4:$J$4003,出库单!$D$4:$D$4003,$A1095,出库单!$K$4:$K$4003,"盘亏",出库单!$U$4:$U$4003,"正常",出库单!$C$4:$C$4003,"&gt;="&amp;账期起,出库单!$C$4:$C$4003,"&lt;="&amp;账期止))</f>
        <v/>
      </c>
      <c r="U1095" s="26">
        <f>IF($A1095="","",ROUND(SUMIFS(出库单!$S$4:$S$4003,出库单!$D$4:$D$4003,$A1095,出库单!$K$4:$K$4003,"盘亏",出库单!$U$4:$U$4003,"正常",出库单!$C$4:$C$4003,"&gt;="&amp;账期起,出库单!$C$4:$C$4003,"&lt;="&amp;账期止),0))</f>
        <v/>
      </c>
      <c r="V1095" s="27">
        <f>IF($A1095="","",SUMIFS(出库单!$J$4:$J$4003,出库单!$D$4:$D$4003,$A1095,出库单!$K$4:$K$4003,"退货给供应商",出库单!$U$4:$U$4003,"正常",出库单!$C$4:$C$4003,"&gt;="&amp;账期起,出库单!$C$4:$C$4003,"&lt;="&amp;账期止))</f>
        <v/>
      </c>
      <c r="W1095" s="26">
        <f>IF($A1095="","",ROUND(SUMIFS(出库单!$S$4:$S$4003,出库单!$D$4:$D$4003,$A1095,出库单!$K$4:$K$4003,"退货给供应商",出库单!$U$4:$U$4003,"正常",出库单!$C$4:$C$4003,"&gt;="&amp;账期起,出库单!$C$4:$C$4003,"&lt;="&amp;账期止),0))</f>
        <v/>
      </c>
      <c r="X1095" s="27">
        <f>IF($A1095="","",ROUND(N($G1095)+$I1095+$L1095+$N1095-$P1095-$R1095-$T1095-$V1095,3))</f>
        <v/>
      </c>
      <c r="Y1095" s="26">
        <f>IF($A1095="","",ROUND(N($H1095)+$J1095+$M1095+$O1095-$Q1095-$S1095-$U1095-$W1095,0))</f>
        <v/>
      </c>
      <c r="Z1095" s="24">
        <f>IF($A1095="","",IF(COUNTIFS(入库单!$G$4:$G$2503,$A1095,入库单!$Y$4:$Y$2503,"待补价")+COUNTIFS(入库单!$G$4:$G$2503,$A1095,入库单!$Y$4:$Y$2503,"暂估")&gt;0,"不可信","可信"))</f>
        <v/>
      </c>
      <c r="AA1095" s="24">
        <f>IF($A1095="","",IF($X1095&lt;-0.001,"※账面负库存，查一下是不是漏记入库",IF(AND(ROUND($X1095,3)=0,ABS($Y1095)&gt;1),"※数量已经是 0，金额还挂着 "&amp;TEXT($Y1095,"#,##0")&amp;" 先令",IF(AND($X1095&gt;0,$Y1095&lt;=0,$K1095=0),"※有数量没金额（这个物料一直没填过进价）",IF($Z1095="不可信","△成本含待补价/暂估，毛利仅供参考","")))))</f>
        <v/>
      </c>
    </row>
    <row r="1096">
      <c r="A1096" s="24">
        <f>IF(物料档案!$A1095="","",物料档案!$A1095)</f>
        <v/>
      </c>
      <c r="B1096" s="24">
        <f>IF($A1096="","",IFERROR(VLOOKUP($A1096,物料档案!$A$4:$P$1203,3,0),""))</f>
        <v/>
      </c>
      <c r="C1096" s="24">
        <f>IF($A1096="","",IFERROR(VLOOKUP($A1096,物料档案!$A$4:$P$1203,4,0),""))</f>
        <v/>
      </c>
      <c r="D1096" s="24">
        <f>IF($A1096="","",IFERROR(VLOOKUP($A1096,物料档案!$A$4:$P$1203,5,0),""))</f>
        <v/>
      </c>
      <c r="E1096" s="24">
        <f>IF($A1096="","",IFERROR(VLOOKUP($A1096,物料档案!$A$4:$P$1203,2,0),""))</f>
        <v/>
      </c>
      <c r="F1096" s="24">
        <f>IF($A1096="","",IFERROR(VLOOKUP($A1096,物料档案!$A$4:$P$1203,6,0),""))</f>
        <v/>
      </c>
      <c r="G1096" s="23" t="n"/>
      <c r="H1096" s="32" t="n"/>
      <c r="I1096" s="27">
        <f>IF($A1096="","",SUMIFS(入库单!$K$4:$K$2503,入库单!$G$4:$G$2503,$A1096,入库单!$X$4:$X$2503,"采购入库",入库单!$Z$4:$Z$2503,"正常",入库单!$C$4:$C$2503,"&gt;="&amp;账期起,入库单!$C$4:$C$2503,"&lt;="&amp;账期止))</f>
        <v/>
      </c>
      <c r="J1096" s="26">
        <f>IF($A1096="","",SUMIFS(入库单!$V$4:$V$2503,入库单!$G$4:$G$2503,$A1096,入库单!$X$4:$X$2503,"采购入库",入库单!$Z$4:$Z$2503,"正常",入库单!$C$4:$C$2503,"&gt;="&amp;账期起,入库单!$C$4:$C$2503,"&lt;="&amp;账期止))</f>
        <v/>
      </c>
      <c r="K1096" s="26">
        <f>IF($A1096="","",IFERROR(ROUND((N($H1096)+N($J1096))/(N($G1096)+N($I1096)),2),0))</f>
        <v/>
      </c>
      <c r="L1096" s="27">
        <f>IF($A1096="","",SUMIFS(入库单!$K$4:$K$2503,入库单!$G$4:$G$2503,$A1096,入库单!$X$4:$X$2503,"盘盈",入库单!$Z$4:$Z$2503,"正常",入库单!$C$4:$C$2503,"&gt;="&amp;账期起,入库单!$C$4:$C$2503,"&lt;="&amp;账期止))</f>
        <v/>
      </c>
      <c r="M1096" s="26">
        <f>IF($A1096="","",ROUND($L1096*$K1096,0))</f>
        <v/>
      </c>
      <c r="N1096" s="27">
        <f>IF($A1096="","",SUMIFS(入库单!$K$4:$K$2503,入库单!$G$4:$G$2503,$A1096,入库单!$X$4:$X$2503,"矿区退库",入库单!$Z$4:$Z$2503,"正常",入库单!$C$4:$C$2503,"&gt;="&amp;账期起,入库单!$C$4:$C$2503,"&lt;="&amp;账期止))</f>
        <v/>
      </c>
      <c r="O1096" s="26">
        <f>IF($A1096="","",ROUND($N1096*$K1096,0))</f>
        <v/>
      </c>
      <c r="P1096" s="27">
        <f>IF($A1096="","",SUMIFS(出库单!$J$4:$J$4003,出库单!$D$4:$D$4003,$A1096,出库单!$K$4:$K$4003,"自用消耗",出库单!$U$4:$U$4003,"正常",出库单!$C$4:$C$4003,"&gt;="&amp;账期起,出库单!$C$4:$C$4003,"&lt;="&amp;账期止))</f>
        <v/>
      </c>
      <c r="Q1096" s="26">
        <f>IF($A1096="","",ROUND(SUMIFS(出库单!$S$4:$S$4003,出库单!$D$4:$D$4003,$A1096,出库单!$K$4:$K$4003,"自用消耗",出库单!$U$4:$U$4003,"正常",出库单!$C$4:$C$4003,"&gt;="&amp;账期起,出库单!$C$4:$C$4003,"&lt;="&amp;账期止),0))</f>
        <v/>
      </c>
      <c r="R1096" s="27">
        <f>IF($A1096="","",SUMIFS(出库单!$J$4:$J$4003,出库单!$D$4:$D$4003,$A1096,出库单!$K$4:$K$4003,"对外销售",出库单!$U$4:$U$4003,"正常",出库单!$C$4:$C$4003,"&gt;="&amp;账期起,出库单!$C$4:$C$4003,"&lt;="&amp;账期止))</f>
        <v/>
      </c>
      <c r="S1096" s="26">
        <f>IF($A1096="","",ROUND(SUMIFS(出库单!$S$4:$S$4003,出库单!$D$4:$D$4003,$A1096,出库单!$K$4:$K$4003,"对外销售",出库单!$U$4:$U$4003,"正常",出库单!$C$4:$C$4003,"&gt;="&amp;账期起,出库单!$C$4:$C$4003,"&lt;="&amp;账期止),0))</f>
        <v/>
      </c>
      <c r="T1096" s="27">
        <f>IF($A1096="","",SUMIFS(出库单!$J$4:$J$4003,出库单!$D$4:$D$4003,$A1096,出库单!$K$4:$K$4003,"盘亏",出库单!$U$4:$U$4003,"正常",出库单!$C$4:$C$4003,"&gt;="&amp;账期起,出库单!$C$4:$C$4003,"&lt;="&amp;账期止))</f>
        <v/>
      </c>
      <c r="U1096" s="26">
        <f>IF($A1096="","",ROUND(SUMIFS(出库单!$S$4:$S$4003,出库单!$D$4:$D$4003,$A1096,出库单!$K$4:$K$4003,"盘亏",出库单!$U$4:$U$4003,"正常",出库单!$C$4:$C$4003,"&gt;="&amp;账期起,出库单!$C$4:$C$4003,"&lt;="&amp;账期止),0))</f>
        <v/>
      </c>
      <c r="V1096" s="27">
        <f>IF($A1096="","",SUMIFS(出库单!$J$4:$J$4003,出库单!$D$4:$D$4003,$A1096,出库单!$K$4:$K$4003,"退货给供应商",出库单!$U$4:$U$4003,"正常",出库单!$C$4:$C$4003,"&gt;="&amp;账期起,出库单!$C$4:$C$4003,"&lt;="&amp;账期止))</f>
        <v/>
      </c>
      <c r="W1096" s="26">
        <f>IF($A1096="","",ROUND(SUMIFS(出库单!$S$4:$S$4003,出库单!$D$4:$D$4003,$A1096,出库单!$K$4:$K$4003,"退货给供应商",出库单!$U$4:$U$4003,"正常",出库单!$C$4:$C$4003,"&gt;="&amp;账期起,出库单!$C$4:$C$4003,"&lt;="&amp;账期止),0))</f>
        <v/>
      </c>
      <c r="X1096" s="27">
        <f>IF($A1096="","",ROUND(N($G1096)+$I1096+$L1096+$N1096-$P1096-$R1096-$T1096-$V1096,3))</f>
        <v/>
      </c>
      <c r="Y1096" s="26">
        <f>IF($A1096="","",ROUND(N($H1096)+$J1096+$M1096+$O1096-$Q1096-$S1096-$U1096-$W1096,0))</f>
        <v/>
      </c>
      <c r="Z1096" s="24">
        <f>IF($A1096="","",IF(COUNTIFS(入库单!$G$4:$G$2503,$A1096,入库单!$Y$4:$Y$2503,"待补价")+COUNTIFS(入库单!$G$4:$G$2503,$A1096,入库单!$Y$4:$Y$2503,"暂估")&gt;0,"不可信","可信"))</f>
        <v/>
      </c>
      <c r="AA1096" s="24">
        <f>IF($A1096="","",IF($X1096&lt;-0.001,"※账面负库存，查一下是不是漏记入库",IF(AND(ROUND($X1096,3)=0,ABS($Y1096)&gt;1),"※数量已经是 0，金额还挂着 "&amp;TEXT($Y1096,"#,##0")&amp;" 先令",IF(AND($X1096&gt;0,$Y1096&lt;=0,$K1096=0),"※有数量没金额（这个物料一直没填过进价）",IF($Z1096="不可信","△成本含待补价/暂估，毛利仅供参考","")))))</f>
        <v/>
      </c>
    </row>
    <row r="1097">
      <c r="A1097" s="24">
        <f>IF(物料档案!$A1096="","",物料档案!$A1096)</f>
        <v/>
      </c>
      <c r="B1097" s="24">
        <f>IF($A1097="","",IFERROR(VLOOKUP($A1097,物料档案!$A$4:$P$1203,3,0),""))</f>
        <v/>
      </c>
      <c r="C1097" s="24">
        <f>IF($A1097="","",IFERROR(VLOOKUP($A1097,物料档案!$A$4:$P$1203,4,0),""))</f>
        <v/>
      </c>
      <c r="D1097" s="24">
        <f>IF($A1097="","",IFERROR(VLOOKUP($A1097,物料档案!$A$4:$P$1203,5,0),""))</f>
        <v/>
      </c>
      <c r="E1097" s="24">
        <f>IF($A1097="","",IFERROR(VLOOKUP($A1097,物料档案!$A$4:$P$1203,2,0),""))</f>
        <v/>
      </c>
      <c r="F1097" s="24">
        <f>IF($A1097="","",IFERROR(VLOOKUP($A1097,物料档案!$A$4:$P$1203,6,0),""))</f>
        <v/>
      </c>
      <c r="G1097" s="23" t="n"/>
      <c r="H1097" s="32" t="n"/>
      <c r="I1097" s="27">
        <f>IF($A1097="","",SUMIFS(入库单!$K$4:$K$2503,入库单!$G$4:$G$2503,$A1097,入库单!$X$4:$X$2503,"采购入库",入库单!$Z$4:$Z$2503,"正常",入库单!$C$4:$C$2503,"&gt;="&amp;账期起,入库单!$C$4:$C$2503,"&lt;="&amp;账期止))</f>
        <v/>
      </c>
      <c r="J1097" s="26">
        <f>IF($A1097="","",SUMIFS(入库单!$V$4:$V$2503,入库单!$G$4:$G$2503,$A1097,入库单!$X$4:$X$2503,"采购入库",入库单!$Z$4:$Z$2503,"正常",入库单!$C$4:$C$2503,"&gt;="&amp;账期起,入库单!$C$4:$C$2503,"&lt;="&amp;账期止))</f>
        <v/>
      </c>
      <c r="K1097" s="26">
        <f>IF($A1097="","",IFERROR(ROUND((N($H1097)+N($J1097))/(N($G1097)+N($I1097)),2),0))</f>
        <v/>
      </c>
      <c r="L1097" s="27">
        <f>IF($A1097="","",SUMIFS(入库单!$K$4:$K$2503,入库单!$G$4:$G$2503,$A1097,入库单!$X$4:$X$2503,"盘盈",入库单!$Z$4:$Z$2503,"正常",入库单!$C$4:$C$2503,"&gt;="&amp;账期起,入库单!$C$4:$C$2503,"&lt;="&amp;账期止))</f>
        <v/>
      </c>
      <c r="M1097" s="26">
        <f>IF($A1097="","",ROUND($L1097*$K1097,0))</f>
        <v/>
      </c>
      <c r="N1097" s="27">
        <f>IF($A1097="","",SUMIFS(入库单!$K$4:$K$2503,入库单!$G$4:$G$2503,$A1097,入库单!$X$4:$X$2503,"矿区退库",入库单!$Z$4:$Z$2503,"正常",入库单!$C$4:$C$2503,"&gt;="&amp;账期起,入库单!$C$4:$C$2503,"&lt;="&amp;账期止))</f>
        <v/>
      </c>
      <c r="O1097" s="26">
        <f>IF($A1097="","",ROUND($N1097*$K1097,0))</f>
        <v/>
      </c>
      <c r="P1097" s="27">
        <f>IF($A1097="","",SUMIFS(出库单!$J$4:$J$4003,出库单!$D$4:$D$4003,$A1097,出库单!$K$4:$K$4003,"自用消耗",出库单!$U$4:$U$4003,"正常",出库单!$C$4:$C$4003,"&gt;="&amp;账期起,出库单!$C$4:$C$4003,"&lt;="&amp;账期止))</f>
        <v/>
      </c>
      <c r="Q1097" s="26">
        <f>IF($A1097="","",ROUND(SUMIFS(出库单!$S$4:$S$4003,出库单!$D$4:$D$4003,$A1097,出库单!$K$4:$K$4003,"自用消耗",出库单!$U$4:$U$4003,"正常",出库单!$C$4:$C$4003,"&gt;="&amp;账期起,出库单!$C$4:$C$4003,"&lt;="&amp;账期止),0))</f>
        <v/>
      </c>
      <c r="R1097" s="27">
        <f>IF($A1097="","",SUMIFS(出库单!$J$4:$J$4003,出库单!$D$4:$D$4003,$A1097,出库单!$K$4:$K$4003,"对外销售",出库单!$U$4:$U$4003,"正常",出库单!$C$4:$C$4003,"&gt;="&amp;账期起,出库单!$C$4:$C$4003,"&lt;="&amp;账期止))</f>
        <v/>
      </c>
      <c r="S1097" s="26">
        <f>IF($A1097="","",ROUND(SUMIFS(出库单!$S$4:$S$4003,出库单!$D$4:$D$4003,$A1097,出库单!$K$4:$K$4003,"对外销售",出库单!$U$4:$U$4003,"正常",出库单!$C$4:$C$4003,"&gt;="&amp;账期起,出库单!$C$4:$C$4003,"&lt;="&amp;账期止),0))</f>
        <v/>
      </c>
      <c r="T1097" s="27">
        <f>IF($A1097="","",SUMIFS(出库单!$J$4:$J$4003,出库单!$D$4:$D$4003,$A1097,出库单!$K$4:$K$4003,"盘亏",出库单!$U$4:$U$4003,"正常",出库单!$C$4:$C$4003,"&gt;="&amp;账期起,出库单!$C$4:$C$4003,"&lt;="&amp;账期止))</f>
        <v/>
      </c>
      <c r="U1097" s="26">
        <f>IF($A1097="","",ROUND(SUMIFS(出库单!$S$4:$S$4003,出库单!$D$4:$D$4003,$A1097,出库单!$K$4:$K$4003,"盘亏",出库单!$U$4:$U$4003,"正常",出库单!$C$4:$C$4003,"&gt;="&amp;账期起,出库单!$C$4:$C$4003,"&lt;="&amp;账期止),0))</f>
        <v/>
      </c>
      <c r="V1097" s="27">
        <f>IF($A1097="","",SUMIFS(出库单!$J$4:$J$4003,出库单!$D$4:$D$4003,$A1097,出库单!$K$4:$K$4003,"退货给供应商",出库单!$U$4:$U$4003,"正常",出库单!$C$4:$C$4003,"&gt;="&amp;账期起,出库单!$C$4:$C$4003,"&lt;="&amp;账期止))</f>
        <v/>
      </c>
      <c r="W1097" s="26">
        <f>IF($A1097="","",ROUND(SUMIFS(出库单!$S$4:$S$4003,出库单!$D$4:$D$4003,$A1097,出库单!$K$4:$K$4003,"退货给供应商",出库单!$U$4:$U$4003,"正常",出库单!$C$4:$C$4003,"&gt;="&amp;账期起,出库单!$C$4:$C$4003,"&lt;="&amp;账期止),0))</f>
        <v/>
      </c>
      <c r="X1097" s="27">
        <f>IF($A1097="","",ROUND(N($G1097)+$I1097+$L1097+$N1097-$P1097-$R1097-$T1097-$V1097,3))</f>
        <v/>
      </c>
      <c r="Y1097" s="26">
        <f>IF($A1097="","",ROUND(N($H1097)+$J1097+$M1097+$O1097-$Q1097-$S1097-$U1097-$W1097,0))</f>
        <v/>
      </c>
      <c r="Z1097" s="24">
        <f>IF($A1097="","",IF(COUNTIFS(入库单!$G$4:$G$2503,$A1097,入库单!$Y$4:$Y$2503,"待补价")+COUNTIFS(入库单!$G$4:$G$2503,$A1097,入库单!$Y$4:$Y$2503,"暂估")&gt;0,"不可信","可信"))</f>
        <v/>
      </c>
      <c r="AA1097" s="24">
        <f>IF($A1097="","",IF($X1097&lt;-0.001,"※账面负库存，查一下是不是漏记入库",IF(AND(ROUND($X1097,3)=0,ABS($Y1097)&gt;1),"※数量已经是 0，金额还挂着 "&amp;TEXT($Y1097,"#,##0")&amp;" 先令",IF(AND($X1097&gt;0,$Y1097&lt;=0,$K1097=0),"※有数量没金额（这个物料一直没填过进价）",IF($Z1097="不可信","△成本含待补价/暂估，毛利仅供参考","")))))</f>
        <v/>
      </c>
    </row>
    <row r="1098">
      <c r="A1098" s="24">
        <f>IF(物料档案!$A1097="","",物料档案!$A1097)</f>
        <v/>
      </c>
      <c r="B1098" s="24">
        <f>IF($A1098="","",IFERROR(VLOOKUP($A1098,物料档案!$A$4:$P$1203,3,0),""))</f>
        <v/>
      </c>
      <c r="C1098" s="24">
        <f>IF($A1098="","",IFERROR(VLOOKUP($A1098,物料档案!$A$4:$P$1203,4,0),""))</f>
        <v/>
      </c>
      <c r="D1098" s="24">
        <f>IF($A1098="","",IFERROR(VLOOKUP($A1098,物料档案!$A$4:$P$1203,5,0),""))</f>
        <v/>
      </c>
      <c r="E1098" s="24">
        <f>IF($A1098="","",IFERROR(VLOOKUP($A1098,物料档案!$A$4:$P$1203,2,0),""))</f>
        <v/>
      </c>
      <c r="F1098" s="24">
        <f>IF($A1098="","",IFERROR(VLOOKUP($A1098,物料档案!$A$4:$P$1203,6,0),""))</f>
        <v/>
      </c>
      <c r="G1098" s="23" t="n"/>
      <c r="H1098" s="32" t="n"/>
      <c r="I1098" s="27">
        <f>IF($A1098="","",SUMIFS(入库单!$K$4:$K$2503,入库单!$G$4:$G$2503,$A1098,入库单!$X$4:$X$2503,"采购入库",入库单!$Z$4:$Z$2503,"正常",入库单!$C$4:$C$2503,"&gt;="&amp;账期起,入库单!$C$4:$C$2503,"&lt;="&amp;账期止))</f>
        <v/>
      </c>
      <c r="J1098" s="26">
        <f>IF($A1098="","",SUMIFS(入库单!$V$4:$V$2503,入库单!$G$4:$G$2503,$A1098,入库单!$X$4:$X$2503,"采购入库",入库单!$Z$4:$Z$2503,"正常",入库单!$C$4:$C$2503,"&gt;="&amp;账期起,入库单!$C$4:$C$2503,"&lt;="&amp;账期止))</f>
        <v/>
      </c>
      <c r="K1098" s="26">
        <f>IF($A1098="","",IFERROR(ROUND((N($H1098)+N($J1098))/(N($G1098)+N($I1098)),2),0))</f>
        <v/>
      </c>
      <c r="L1098" s="27">
        <f>IF($A1098="","",SUMIFS(入库单!$K$4:$K$2503,入库单!$G$4:$G$2503,$A1098,入库单!$X$4:$X$2503,"盘盈",入库单!$Z$4:$Z$2503,"正常",入库单!$C$4:$C$2503,"&gt;="&amp;账期起,入库单!$C$4:$C$2503,"&lt;="&amp;账期止))</f>
        <v/>
      </c>
      <c r="M1098" s="26">
        <f>IF($A1098="","",ROUND($L1098*$K1098,0))</f>
        <v/>
      </c>
      <c r="N1098" s="27">
        <f>IF($A1098="","",SUMIFS(入库单!$K$4:$K$2503,入库单!$G$4:$G$2503,$A1098,入库单!$X$4:$X$2503,"矿区退库",入库单!$Z$4:$Z$2503,"正常",入库单!$C$4:$C$2503,"&gt;="&amp;账期起,入库单!$C$4:$C$2503,"&lt;="&amp;账期止))</f>
        <v/>
      </c>
      <c r="O1098" s="26">
        <f>IF($A1098="","",ROUND($N1098*$K1098,0))</f>
        <v/>
      </c>
      <c r="P1098" s="27">
        <f>IF($A1098="","",SUMIFS(出库单!$J$4:$J$4003,出库单!$D$4:$D$4003,$A1098,出库单!$K$4:$K$4003,"自用消耗",出库单!$U$4:$U$4003,"正常",出库单!$C$4:$C$4003,"&gt;="&amp;账期起,出库单!$C$4:$C$4003,"&lt;="&amp;账期止))</f>
        <v/>
      </c>
      <c r="Q1098" s="26">
        <f>IF($A1098="","",ROUND(SUMIFS(出库单!$S$4:$S$4003,出库单!$D$4:$D$4003,$A1098,出库单!$K$4:$K$4003,"自用消耗",出库单!$U$4:$U$4003,"正常",出库单!$C$4:$C$4003,"&gt;="&amp;账期起,出库单!$C$4:$C$4003,"&lt;="&amp;账期止),0))</f>
        <v/>
      </c>
      <c r="R1098" s="27">
        <f>IF($A1098="","",SUMIFS(出库单!$J$4:$J$4003,出库单!$D$4:$D$4003,$A1098,出库单!$K$4:$K$4003,"对外销售",出库单!$U$4:$U$4003,"正常",出库单!$C$4:$C$4003,"&gt;="&amp;账期起,出库单!$C$4:$C$4003,"&lt;="&amp;账期止))</f>
        <v/>
      </c>
      <c r="S1098" s="26">
        <f>IF($A1098="","",ROUND(SUMIFS(出库单!$S$4:$S$4003,出库单!$D$4:$D$4003,$A1098,出库单!$K$4:$K$4003,"对外销售",出库单!$U$4:$U$4003,"正常",出库单!$C$4:$C$4003,"&gt;="&amp;账期起,出库单!$C$4:$C$4003,"&lt;="&amp;账期止),0))</f>
        <v/>
      </c>
      <c r="T1098" s="27">
        <f>IF($A1098="","",SUMIFS(出库单!$J$4:$J$4003,出库单!$D$4:$D$4003,$A1098,出库单!$K$4:$K$4003,"盘亏",出库单!$U$4:$U$4003,"正常",出库单!$C$4:$C$4003,"&gt;="&amp;账期起,出库单!$C$4:$C$4003,"&lt;="&amp;账期止))</f>
        <v/>
      </c>
      <c r="U1098" s="26">
        <f>IF($A1098="","",ROUND(SUMIFS(出库单!$S$4:$S$4003,出库单!$D$4:$D$4003,$A1098,出库单!$K$4:$K$4003,"盘亏",出库单!$U$4:$U$4003,"正常",出库单!$C$4:$C$4003,"&gt;="&amp;账期起,出库单!$C$4:$C$4003,"&lt;="&amp;账期止),0))</f>
        <v/>
      </c>
      <c r="V1098" s="27">
        <f>IF($A1098="","",SUMIFS(出库单!$J$4:$J$4003,出库单!$D$4:$D$4003,$A1098,出库单!$K$4:$K$4003,"退货给供应商",出库单!$U$4:$U$4003,"正常",出库单!$C$4:$C$4003,"&gt;="&amp;账期起,出库单!$C$4:$C$4003,"&lt;="&amp;账期止))</f>
        <v/>
      </c>
      <c r="W1098" s="26">
        <f>IF($A1098="","",ROUND(SUMIFS(出库单!$S$4:$S$4003,出库单!$D$4:$D$4003,$A1098,出库单!$K$4:$K$4003,"退货给供应商",出库单!$U$4:$U$4003,"正常",出库单!$C$4:$C$4003,"&gt;="&amp;账期起,出库单!$C$4:$C$4003,"&lt;="&amp;账期止),0))</f>
        <v/>
      </c>
      <c r="X1098" s="27">
        <f>IF($A1098="","",ROUND(N($G1098)+$I1098+$L1098+$N1098-$P1098-$R1098-$T1098-$V1098,3))</f>
        <v/>
      </c>
      <c r="Y1098" s="26">
        <f>IF($A1098="","",ROUND(N($H1098)+$J1098+$M1098+$O1098-$Q1098-$S1098-$U1098-$W1098,0))</f>
        <v/>
      </c>
      <c r="Z1098" s="24">
        <f>IF($A1098="","",IF(COUNTIFS(入库单!$G$4:$G$2503,$A1098,入库单!$Y$4:$Y$2503,"待补价")+COUNTIFS(入库单!$G$4:$G$2503,$A1098,入库单!$Y$4:$Y$2503,"暂估")&gt;0,"不可信","可信"))</f>
        <v/>
      </c>
      <c r="AA1098" s="24">
        <f>IF($A1098="","",IF($X1098&lt;-0.001,"※账面负库存，查一下是不是漏记入库",IF(AND(ROUND($X1098,3)=0,ABS($Y1098)&gt;1),"※数量已经是 0，金额还挂着 "&amp;TEXT($Y1098,"#,##0")&amp;" 先令",IF(AND($X1098&gt;0,$Y1098&lt;=0,$K1098=0),"※有数量没金额（这个物料一直没填过进价）",IF($Z1098="不可信","△成本含待补价/暂估，毛利仅供参考","")))))</f>
        <v/>
      </c>
    </row>
    <row r="1099">
      <c r="A1099" s="24">
        <f>IF(物料档案!$A1098="","",物料档案!$A1098)</f>
        <v/>
      </c>
      <c r="B1099" s="24">
        <f>IF($A1099="","",IFERROR(VLOOKUP($A1099,物料档案!$A$4:$P$1203,3,0),""))</f>
        <v/>
      </c>
      <c r="C1099" s="24">
        <f>IF($A1099="","",IFERROR(VLOOKUP($A1099,物料档案!$A$4:$P$1203,4,0),""))</f>
        <v/>
      </c>
      <c r="D1099" s="24">
        <f>IF($A1099="","",IFERROR(VLOOKUP($A1099,物料档案!$A$4:$P$1203,5,0),""))</f>
        <v/>
      </c>
      <c r="E1099" s="24">
        <f>IF($A1099="","",IFERROR(VLOOKUP($A1099,物料档案!$A$4:$P$1203,2,0),""))</f>
        <v/>
      </c>
      <c r="F1099" s="24">
        <f>IF($A1099="","",IFERROR(VLOOKUP($A1099,物料档案!$A$4:$P$1203,6,0),""))</f>
        <v/>
      </c>
      <c r="G1099" s="23" t="n"/>
      <c r="H1099" s="32" t="n"/>
      <c r="I1099" s="27">
        <f>IF($A1099="","",SUMIFS(入库单!$K$4:$K$2503,入库单!$G$4:$G$2503,$A1099,入库单!$X$4:$X$2503,"采购入库",入库单!$Z$4:$Z$2503,"正常",入库单!$C$4:$C$2503,"&gt;="&amp;账期起,入库单!$C$4:$C$2503,"&lt;="&amp;账期止))</f>
        <v/>
      </c>
      <c r="J1099" s="26">
        <f>IF($A1099="","",SUMIFS(入库单!$V$4:$V$2503,入库单!$G$4:$G$2503,$A1099,入库单!$X$4:$X$2503,"采购入库",入库单!$Z$4:$Z$2503,"正常",入库单!$C$4:$C$2503,"&gt;="&amp;账期起,入库单!$C$4:$C$2503,"&lt;="&amp;账期止))</f>
        <v/>
      </c>
      <c r="K1099" s="26">
        <f>IF($A1099="","",IFERROR(ROUND((N($H1099)+N($J1099))/(N($G1099)+N($I1099)),2),0))</f>
        <v/>
      </c>
      <c r="L1099" s="27">
        <f>IF($A1099="","",SUMIFS(入库单!$K$4:$K$2503,入库单!$G$4:$G$2503,$A1099,入库单!$X$4:$X$2503,"盘盈",入库单!$Z$4:$Z$2503,"正常",入库单!$C$4:$C$2503,"&gt;="&amp;账期起,入库单!$C$4:$C$2503,"&lt;="&amp;账期止))</f>
        <v/>
      </c>
      <c r="M1099" s="26">
        <f>IF($A1099="","",ROUND($L1099*$K1099,0))</f>
        <v/>
      </c>
      <c r="N1099" s="27">
        <f>IF($A1099="","",SUMIFS(入库单!$K$4:$K$2503,入库单!$G$4:$G$2503,$A1099,入库单!$X$4:$X$2503,"矿区退库",入库单!$Z$4:$Z$2503,"正常",入库单!$C$4:$C$2503,"&gt;="&amp;账期起,入库单!$C$4:$C$2503,"&lt;="&amp;账期止))</f>
        <v/>
      </c>
      <c r="O1099" s="26">
        <f>IF($A1099="","",ROUND($N1099*$K1099,0))</f>
        <v/>
      </c>
      <c r="P1099" s="27">
        <f>IF($A1099="","",SUMIFS(出库单!$J$4:$J$4003,出库单!$D$4:$D$4003,$A1099,出库单!$K$4:$K$4003,"自用消耗",出库单!$U$4:$U$4003,"正常",出库单!$C$4:$C$4003,"&gt;="&amp;账期起,出库单!$C$4:$C$4003,"&lt;="&amp;账期止))</f>
        <v/>
      </c>
      <c r="Q1099" s="26">
        <f>IF($A1099="","",ROUND(SUMIFS(出库单!$S$4:$S$4003,出库单!$D$4:$D$4003,$A1099,出库单!$K$4:$K$4003,"自用消耗",出库单!$U$4:$U$4003,"正常",出库单!$C$4:$C$4003,"&gt;="&amp;账期起,出库单!$C$4:$C$4003,"&lt;="&amp;账期止),0))</f>
        <v/>
      </c>
      <c r="R1099" s="27">
        <f>IF($A1099="","",SUMIFS(出库单!$J$4:$J$4003,出库单!$D$4:$D$4003,$A1099,出库单!$K$4:$K$4003,"对外销售",出库单!$U$4:$U$4003,"正常",出库单!$C$4:$C$4003,"&gt;="&amp;账期起,出库单!$C$4:$C$4003,"&lt;="&amp;账期止))</f>
        <v/>
      </c>
      <c r="S1099" s="26">
        <f>IF($A1099="","",ROUND(SUMIFS(出库单!$S$4:$S$4003,出库单!$D$4:$D$4003,$A1099,出库单!$K$4:$K$4003,"对外销售",出库单!$U$4:$U$4003,"正常",出库单!$C$4:$C$4003,"&gt;="&amp;账期起,出库单!$C$4:$C$4003,"&lt;="&amp;账期止),0))</f>
        <v/>
      </c>
      <c r="T1099" s="27">
        <f>IF($A1099="","",SUMIFS(出库单!$J$4:$J$4003,出库单!$D$4:$D$4003,$A1099,出库单!$K$4:$K$4003,"盘亏",出库单!$U$4:$U$4003,"正常",出库单!$C$4:$C$4003,"&gt;="&amp;账期起,出库单!$C$4:$C$4003,"&lt;="&amp;账期止))</f>
        <v/>
      </c>
      <c r="U1099" s="26">
        <f>IF($A1099="","",ROUND(SUMIFS(出库单!$S$4:$S$4003,出库单!$D$4:$D$4003,$A1099,出库单!$K$4:$K$4003,"盘亏",出库单!$U$4:$U$4003,"正常",出库单!$C$4:$C$4003,"&gt;="&amp;账期起,出库单!$C$4:$C$4003,"&lt;="&amp;账期止),0))</f>
        <v/>
      </c>
      <c r="V1099" s="27">
        <f>IF($A1099="","",SUMIFS(出库单!$J$4:$J$4003,出库单!$D$4:$D$4003,$A1099,出库单!$K$4:$K$4003,"退货给供应商",出库单!$U$4:$U$4003,"正常",出库单!$C$4:$C$4003,"&gt;="&amp;账期起,出库单!$C$4:$C$4003,"&lt;="&amp;账期止))</f>
        <v/>
      </c>
      <c r="W1099" s="26">
        <f>IF($A1099="","",ROUND(SUMIFS(出库单!$S$4:$S$4003,出库单!$D$4:$D$4003,$A1099,出库单!$K$4:$K$4003,"退货给供应商",出库单!$U$4:$U$4003,"正常",出库单!$C$4:$C$4003,"&gt;="&amp;账期起,出库单!$C$4:$C$4003,"&lt;="&amp;账期止),0))</f>
        <v/>
      </c>
      <c r="X1099" s="27">
        <f>IF($A1099="","",ROUND(N($G1099)+$I1099+$L1099+$N1099-$P1099-$R1099-$T1099-$V1099,3))</f>
        <v/>
      </c>
      <c r="Y1099" s="26">
        <f>IF($A1099="","",ROUND(N($H1099)+$J1099+$M1099+$O1099-$Q1099-$S1099-$U1099-$W1099,0))</f>
        <v/>
      </c>
      <c r="Z1099" s="24">
        <f>IF($A1099="","",IF(COUNTIFS(入库单!$G$4:$G$2503,$A1099,入库单!$Y$4:$Y$2503,"待补价")+COUNTIFS(入库单!$G$4:$G$2503,$A1099,入库单!$Y$4:$Y$2503,"暂估")&gt;0,"不可信","可信"))</f>
        <v/>
      </c>
      <c r="AA1099" s="24">
        <f>IF($A1099="","",IF($X1099&lt;-0.001,"※账面负库存，查一下是不是漏记入库",IF(AND(ROUND($X1099,3)=0,ABS($Y1099)&gt;1),"※数量已经是 0，金额还挂着 "&amp;TEXT($Y1099,"#,##0")&amp;" 先令",IF(AND($X1099&gt;0,$Y1099&lt;=0,$K1099=0),"※有数量没金额（这个物料一直没填过进价）",IF($Z1099="不可信","△成本含待补价/暂估，毛利仅供参考","")))))</f>
        <v/>
      </c>
    </row>
    <row r="1100">
      <c r="A1100" s="24">
        <f>IF(物料档案!$A1099="","",物料档案!$A1099)</f>
        <v/>
      </c>
      <c r="B1100" s="24">
        <f>IF($A1100="","",IFERROR(VLOOKUP($A1100,物料档案!$A$4:$P$1203,3,0),""))</f>
        <v/>
      </c>
      <c r="C1100" s="24">
        <f>IF($A1100="","",IFERROR(VLOOKUP($A1100,物料档案!$A$4:$P$1203,4,0),""))</f>
        <v/>
      </c>
      <c r="D1100" s="24">
        <f>IF($A1100="","",IFERROR(VLOOKUP($A1100,物料档案!$A$4:$P$1203,5,0),""))</f>
        <v/>
      </c>
      <c r="E1100" s="24">
        <f>IF($A1100="","",IFERROR(VLOOKUP($A1100,物料档案!$A$4:$P$1203,2,0),""))</f>
        <v/>
      </c>
      <c r="F1100" s="24">
        <f>IF($A1100="","",IFERROR(VLOOKUP($A1100,物料档案!$A$4:$P$1203,6,0),""))</f>
        <v/>
      </c>
      <c r="G1100" s="23" t="n"/>
      <c r="H1100" s="32" t="n"/>
      <c r="I1100" s="27">
        <f>IF($A1100="","",SUMIFS(入库单!$K$4:$K$2503,入库单!$G$4:$G$2503,$A1100,入库单!$X$4:$X$2503,"采购入库",入库单!$Z$4:$Z$2503,"正常",入库单!$C$4:$C$2503,"&gt;="&amp;账期起,入库单!$C$4:$C$2503,"&lt;="&amp;账期止))</f>
        <v/>
      </c>
      <c r="J1100" s="26">
        <f>IF($A1100="","",SUMIFS(入库单!$V$4:$V$2503,入库单!$G$4:$G$2503,$A1100,入库单!$X$4:$X$2503,"采购入库",入库单!$Z$4:$Z$2503,"正常",入库单!$C$4:$C$2503,"&gt;="&amp;账期起,入库单!$C$4:$C$2503,"&lt;="&amp;账期止))</f>
        <v/>
      </c>
      <c r="K1100" s="26">
        <f>IF($A1100="","",IFERROR(ROUND((N($H1100)+N($J1100))/(N($G1100)+N($I1100)),2),0))</f>
        <v/>
      </c>
      <c r="L1100" s="27">
        <f>IF($A1100="","",SUMIFS(入库单!$K$4:$K$2503,入库单!$G$4:$G$2503,$A1100,入库单!$X$4:$X$2503,"盘盈",入库单!$Z$4:$Z$2503,"正常",入库单!$C$4:$C$2503,"&gt;="&amp;账期起,入库单!$C$4:$C$2503,"&lt;="&amp;账期止))</f>
        <v/>
      </c>
      <c r="M1100" s="26">
        <f>IF($A1100="","",ROUND($L1100*$K1100,0))</f>
        <v/>
      </c>
      <c r="N1100" s="27">
        <f>IF($A1100="","",SUMIFS(入库单!$K$4:$K$2503,入库单!$G$4:$G$2503,$A1100,入库单!$X$4:$X$2503,"矿区退库",入库单!$Z$4:$Z$2503,"正常",入库单!$C$4:$C$2503,"&gt;="&amp;账期起,入库单!$C$4:$C$2503,"&lt;="&amp;账期止))</f>
        <v/>
      </c>
      <c r="O1100" s="26">
        <f>IF($A1100="","",ROUND($N1100*$K1100,0))</f>
        <v/>
      </c>
      <c r="P1100" s="27">
        <f>IF($A1100="","",SUMIFS(出库单!$J$4:$J$4003,出库单!$D$4:$D$4003,$A1100,出库单!$K$4:$K$4003,"自用消耗",出库单!$U$4:$U$4003,"正常",出库单!$C$4:$C$4003,"&gt;="&amp;账期起,出库单!$C$4:$C$4003,"&lt;="&amp;账期止))</f>
        <v/>
      </c>
      <c r="Q1100" s="26">
        <f>IF($A1100="","",ROUND(SUMIFS(出库单!$S$4:$S$4003,出库单!$D$4:$D$4003,$A1100,出库单!$K$4:$K$4003,"自用消耗",出库单!$U$4:$U$4003,"正常",出库单!$C$4:$C$4003,"&gt;="&amp;账期起,出库单!$C$4:$C$4003,"&lt;="&amp;账期止),0))</f>
        <v/>
      </c>
      <c r="R1100" s="27">
        <f>IF($A1100="","",SUMIFS(出库单!$J$4:$J$4003,出库单!$D$4:$D$4003,$A1100,出库单!$K$4:$K$4003,"对外销售",出库单!$U$4:$U$4003,"正常",出库单!$C$4:$C$4003,"&gt;="&amp;账期起,出库单!$C$4:$C$4003,"&lt;="&amp;账期止))</f>
        <v/>
      </c>
      <c r="S1100" s="26">
        <f>IF($A1100="","",ROUND(SUMIFS(出库单!$S$4:$S$4003,出库单!$D$4:$D$4003,$A1100,出库单!$K$4:$K$4003,"对外销售",出库单!$U$4:$U$4003,"正常",出库单!$C$4:$C$4003,"&gt;="&amp;账期起,出库单!$C$4:$C$4003,"&lt;="&amp;账期止),0))</f>
        <v/>
      </c>
      <c r="T1100" s="27">
        <f>IF($A1100="","",SUMIFS(出库单!$J$4:$J$4003,出库单!$D$4:$D$4003,$A1100,出库单!$K$4:$K$4003,"盘亏",出库单!$U$4:$U$4003,"正常",出库单!$C$4:$C$4003,"&gt;="&amp;账期起,出库单!$C$4:$C$4003,"&lt;="&amp;账期止))</f>
        <v/>
      </c>
      <c r="U1100" s="26">
        <f>IF($A1100="","",ROUND(SUMIFS(出库单!$S$4:$S$4003,出库单!$D$4:$D$4003,$A1100,出库单!$K$4:$K$4003,"盘亏",出库单!$U$4:$U$4003,"正常",出库单!$C$4:$C$4003,"&gt;="&amp;账期起,出库单!$C$4:$C$4003,"&lt;="&amp;账期止),0))</f>
        <v/>
      </c>
      <c r="V1100" s="27">
        <f>IF($A1100="","",SUMIFS(出库单!$J$4:$J$4003,出库单!$D$4:$D$4003,$A1100,出库单!$K$4:$K$4003,"退货给供应商",出库单!$U$4:$U$4003,"正常",出库单!$C$4:$C$4003,"&gt;="&amp;账期起,出库单!$C$4:$C$4003,"&lt;="&amp;账期止))</f>
        <v/>
      </c>
      <c r="W1100" s="26">
        <f>IF($A1100="","",ROUND(SUMIFS(出库单!$S$4:$S$4003,出库单!$D$4:$D$4003,$A1100,出库单!$K$4:$K$4003,"退货给供应商",出库单!$U$4:$U$4003,"正常",出库单!$C$4:$C$4003,"&gt;="&amp;账期起,出库单!$C$4:$C$4003,"&lt;="&amp;账期止),0))</f>
        <v/>
      </c>
      <c r="X1100" s="27">
        <f>IF($A1100="","",ROUND(N($G1100)+$I1100+$L1100+$N1100-$P1100-$R1100-$T1100-$V1100,3))</f>
        <v/>
      </c>
      <c r="Y1100" s="26">
        <f>IF($A1100="","",ROUND(N($H1100)+$J1100+$M1100+$O1100-$Q1100-$S1100-$U1100-$W1100,0))</f>
        <v/>
      </c>
      <c r="Z1100" s="24">
        <f>IF($A1100="","",IF(COUNTIFS(入库单!$G$4:$G$2503,$A1100,入库单!$Y$4:$Y$2503,"待补价")+COUNTIFS(入库单!$G$4:$G$2503,$A1100,入库单!$Y$4:$Y$2503,"暂估")&gt;0,"不可信","可信"))</f>
        <v/>
      </c>
      <c r="AA1100" s="24">
        <f>IF($A1100="","",IF($X1100&lt;-0.001,"※账面负库存，查一下是不是漏记入库",IF(AND(ROUND($X1100,3)=0,ABS($Y1100)&gt;1),"※数量已经是 0，金额还挂着 "&amp;TEXT($Y1100,"#,##0")&amp;" 先令",IF(AND($X1100&gt;0,$Y1100&lt;=0,$K1100=0),"※有数量没金额（这个物料一直没填过进价）",IF($Z1100="不可信","△成本含待补价/暂估，毛利仅供参考","")))))</f>
        <v/>
      </c>
    </row>
    <row r="1101">
      <c r="A1101" s="24">
        <f>IF(物料档案!$A1100="","",物料档案!$A1100)</f>
        <v/>
      </c>
      <c r="B1101" s="24">
        <f>IF($A1101="","",IFERROR(VLOOKUP($A1101,物料档案!$A$4:$P$1203,3,0),""))</f>
        <v/>
      </c>
      <c r="C1101" s="24">
        <f>IF($A1101="","",IFERROR(VLOOKUP($A1101,物料档案!$A$4:$P$1203,4,0),""))</f>
        <v/>
      </c>
      <c r="D1101" s="24">
        <f>IF($A1101="","",IFERROR(VLOOKUP($A1101,物料档案!$A$4:$P$1203,5,0),""))</f>
        <v/>
      </c>
      <c r="E1101" s="24">
        <f>IF($A1101="","",IFERROR(VLOOKUP($A1101,物料档案!$A$4:$P$1203,2,0),""))</f>
        <v/>
      </c>
      <c r="F1101" s="24">
        <f>IF($A1101="","",IFERROR(VLOOKUP($A1101,物料档案!$A$4:$P$1203,6,0),""))</f>
        <v/>
      </c>
      <c r="G1101" s="23" t="n"/>
      <c r="H1101" s="32" t="n"/>
      <c r="I1101" s="27">
        <f>IF($A1101="","",SUMIFS(入库单!$K$4:$K$2503,入库单!$G$4:$G$2503,$A1101,入库单!$X$4:$X$2503,"采购入库",入库单!$Z$4:$Z$2503,"正常",入库单!$C$4:$C$2503,"&gt;="&amp;账期起,入库单!$C$4:$C$2503,"&lt;="&amp;账期止))</f>
        <v/>
      </c>
      <c r="J1101" s="26">
        <f>IF($A1101="","",SUMIFS(入库单!$V$4:$V$2503,入库单!$G$4:$G$2503,$A1101,入库单!$X$4:$X$2503,"采购入库",入库单!$Z$4:$Z$2503,"正常",入库单!$C$4:$C$2503,"&gt;="&amp;账期起,入库单!$C$4:$C$2503,"&lt;="&amp;账期止))</f>
        <v/>
      </c>
      <c r="K1101" s="26">
        <f>IF($A1101="","",IFERROR(ROUND((N($H1101)+N($J1101))/(N($G1101)+N($I1101)),2),0))</f>
        <v/>
      </c>
      <c r="L1101" s="27">
        <f>IF($A1101="","",SUMIFS(入库单!$K$4:$K$2503,入库单!$G$4:$G$2503,$A1101,入库单!$X$4:$X$2503,"盘盈",入库单!$Z$4:$Z$2503,"正常",入库单!$C$4:$C$2503,"&gt;="&amp;账期起,入库单!$C$4:$C$2503,"&lt;="&amp;账期止))</f>
        <v/>
      </c>
      <c r="M1101" s="26">
        <f>IF($A1101="","",ROUND($L1101*$K1101,0))</f>
        <v/>
      </c>
      <c r="N1101" s="27">
        <f>IF($A1101="","",SUMIFS(入库单!$K$4:$K$2503,入库单!$G$4:$G$2503,$A1101,入库单!$X$4:$X$2503,"矿区退库",入库单!$Z$4:$Z$2503,"正常",入库单!$C$4:$C$2503,"&gt;="&amp;账期起,入库单!$C$4:$C$2503,"&lt;="&amp;账期止))</f>
        <v/>
      </c>
      <c r="O1101" s="26">
        <f>IF($A1101="","",ROUND($N1101*$K1101,0))</f>
        <v/>
      </c>
      <c r="P1101" s="27">
        <f>IF($A1101="","",SUMIFS(出库单!$J$4:$J$4003,出库单!$D$4:$D$4003,$A1101,出库单!$K$4:$K$4003,"自用消耗",出库单!$U$4:$U$4003,"正常",出库单!$C$4:$C$4003,"&gt;="&amp;账期起,出库单!$C$4:$C$4003,"&lt;="&amp;账期止))</f>
        <v/>
      </c>
      <c r="Q1101" s="26">
        <f>IF($A1101="","",ROUND(SUMIFS(出库单!$S$4:$S$4003,出库单!$D$4:$D$4003,$A1101,出库单!$K$4:$K$4003,"自用消耗",出库单!$U$4:$U$4003,"正常",出库单!$C$4:$C$4003,"&gt;="&amp;账期起,出库单!$C$4:$C$4003,"&lt;="&amp;账期止),0))</f>
        <v/>
      </c>
      <c r="R1101" s="27">
        <f>IF($A1101="","",SUMIFS(出库单!$J$4:$J$4003,出库单!$D$4:$D$4003,$A1101,出库单!$K$4:$K$4003,"对外销售",出库单!$U$4:$U$4003,"正常",出库单!$C$4:$C$4003,"&gt;="&amp;账期起,出库单!$C$4:$C$4003,"&lt;="&amp;账期止))</f>
        <v/>
      </c>
      <c r="S1101" s="26">
        <f>IF($A1101="","",ROUND(SUMIFS(出库单!$S$4:$S$4003,出库单!$D$4:$D$4003,$A1101,出库单!$K$4:$K$4003,"对外销售",出库单!$U$4:$U$4003,"正常",出库单!$C$4:$C$4003,"&gt;="&amp;账期起,出库单!$C$4:$C$4003,"&lt;="&amp;账期止),0))</f>
        <v/>
      </c>
      <c r="T1101" s="27">
        <f>IF($A1101="","",SUMIFS(出库单!$J$4:$J$4003,出库单!$D$4:$D$4003,$A1101,出库单!$K$4:$K$4003,"盘亏",出库单!$U$4:$U$4003,"正常",出库单!$C$4:$C$4003,"&gt;="&amp;账期起,出库单!$C$4:$C$4003,"&lt;="&amp;账期止))</f>
        <v/>
      </c>
      <c r="U1101" s="26">
        <f>IF($A1101="","",ROUND(SUMIFS(出库单!$S$4:$S$4003,出库单!$D$4:$D$4003,$A1101,出库单!$K$4:$K$4003,"盘亏",出库单!$U$4:$U$4003,"正常",出库单!$C$4:$C$4003,"&gt;="&amp;账期起,出库单!$C$4:$C$4003,"&lt;="&amp;账期止),0))</f>
        <v/>
      </c>
      <c r="V1101" s="27">
        <f>IF($A1101="","",SUMIFS(出库单!$J$4:$J$4003,出库单!$D$4:$D$4003,$A1101,出库单!$K$4:$K$4003,"退货给供应商",出库单!$U$4:$U$4003,"正常",出库单!$C$4:$C$4003,"&gt;="&amp;账期起,出库单!$C$4:$C$4003,"&lt;="&amp;账期止))</f>
        <v/>
      </c>
      <c r="W1101" s="26">
        <f>IF($A1101="","",ROUND(SUMIFS(出库单!$S$4:$S$4003,出库单!$D$4:$D$4003,$A1101,出库单!$K$4:$K$4003,"退货给供应商",出库单!$U$4:$U$4003,"正常",出库单!$C$4:$C$4003,"&gt;="&amp;账期起,出库单!$C$4:$C$4003,"&lt;="&amp;账期止),0))</f>
        <v/>
      </c>
      <c r="X1101" s="27">
        <f>IF($A1101="","",ROUND(N($G1101)+$I1101+$L1101+$N1101-$P1101-$R1101-$T1101-$V1101,3))</f>
        <v/>
      </c>
      <c r="Y1101" s="26">
        <f>IF($A1101="","",ROUND(N($H1101)+$J1101+$M1101+$O1101-$Q1101-$S1101-$U1101-$W1101,0))</f>
        <v/>
      </c>
      <c r="Z1101" s="24">
        <f>IF($A1101="","",IF(COUNTIFS(入库单!$G$4:$G$2503,$A1101,入库单!$Y$4:$Y$2503,"待补价")+COUNTIFS(入库单!$G$4:$G$2503,$A1101,入库单!$Y$4:$Y$2503,"暂估")&gt;0,"不可信","可信"))</f>
        <v/>
      </c>
      <c r="AA1101" s="24">
        <f>IF($A1101="","",IF($X1101&lt;-0.001,"※账面负库存，查一下是不是漏记入库",IF(AND(ROUND($X1101,3)=0,ABS($Y1101)&gt;1),"※数量已经是 0，金额还挂着 "&amp;TEXT($Y1101,"#,##0")&amp;" 先令",IF(AND($X1101&gt;0,$Y1101&lt;=0,$K1101=0),"※有数量没金额（这个物料一直没填过进价）",IF($Z1101="不可信","△成本含待补价/暂估，毛利仅供参考","")))))</f>
        <v/>
      </c>
    </row>
    <row r="1102">
      <c r="A1102" s="24">
        <f>IF(物料档案!$A1101="","",物料档案!$A1101)</f>
        <v/>
      </c>
      <c r="B1102" s="24">
        <f>IF($A1102="","",IFERROR(VLOOKUP($A1102,物料档案!$A$4:$P$1203,3,0),""))</f>
        <v/>
      </c>
      <c r="C1102" s="24">
        <f>IF($A1102="","",IFERROR(VLOOKUP($A1102,物料档案!$A$4:$P$1203,4,0),""))</f>
        <v/>
      </c>
      <c r="D1102" s="24">
        <f>IF($A1102="","",IFERROR(VLOOKUP($A1102,物料档案!$A$4:$P$1203,5,0),""))</f>
        <v/>
      </c>
      <c r="E1102" s="24">
        <f>IF($A1102="","",IFERROR(VLOOKUP($A1102,物料档案!$A$4:$P$1203,2,0),""))</f>
        <v/>
      </c>
      <c r="F1102" s="24">
        <f>IF($A1102="","",IFERROR(VLOOKUP($A1102,物料档案!$A$4:$P$1203,6,0),""))</f>
        <v/>
      </c>
      <c r="G1102" s="23" t="n"/>
      <c r="H1102" s="32" t="n"/>
      <c r="I1102" s="27">
        <f>IF($A1102="","",SUMIFS(入库单!$K$4:$K$2503,入库单!$G$4:$G$2503,$A1102,入库单!$X$4:$X$2503,"采购入库",入库单!$Z$4:$Z$2503,"正常",入库单!$C$4:$C$2503,"&gt;="&amp;账期起,入库单!$C$4:$C$2503,"&lt;="&amp;账期止))</f>
        <v/>
      </c>
      <c r="J1102" s="26">
        <f>IF($A1102="","",SUMIFS(入库单!$V$4:$V$2503,入库单!$G$4:$G$2503,$A1102,入库单!$X$4:$X$2503,"采购入库",入库单!$Z$4:$Z$2503,"正常",入库单!$C$4:$C$2503,"&gt;="&amp;账期起,入库单!$C$4:$C$2503,"&lt;="&amp;账期止))</f>
        <v/>
      </c>
      <c r="K1102" s="26">
        <f>IF($A1102="","",IFERROR(ROUND((N($H1102)+N($J1102))/(N($G1102)+N($I1102)),2),0))</f>
        <v/>
      </c>
      <c r="L1102" s="27">
        <f>IF($A1102="","",SUMIFS(入库单!$K$4:$K$2503,入库单!$G$4:$G$2503,$A1102,入库单!$X$4:$X$2503,"盘盈",入库单!$Z$4:$Z$2503,"正常",入库单!$C$4:$C$2503,"&gt;="&amp;账期起,入库单!$C$4:$C$2503,"&lt;="&amp;账期止))</f>
        <v/>
      </c>
      <c r="M1102" s="26">
        <f>IF($A1102="","",ROUND($L1102*$K1102,0))</f>
        <v/>
      </c>
      <c r="N1102" s="27">
        <f>IF($A1102="","",SUMIFS(入库单!$K$4:$K$2503,入库单!$G$4:$G$2503,$A1102,入库单!$X$4:$X$2503,"矿区退库",入库单!$Z$4:$Z$2503,"正常",入库单!$C$4:$C$2503,"&gt;="&amp;账期起,入库单!$C$4:$C$2503,"&lt;="&amp;账期止))</f>
        <v/>
      </c>
      <c r="O1102" s="26">
        <f>IF($A1102="","",ROUND($N1102*$K1102,0))</f>
        <v/>
      </c>
      <c r="P1102" s="27">
        <f>IF($A1102="","",SUMIFS(出库单!$J$4:$J$4003,出库单!$D$4:$D$4003,$A1102,出库单!$K$4:$K$4003,"自用消耗",出库单!$U$4:$U$4003,"正常",出库单!$C$4:$C$4003,"&gt;="&amp;账期起,出库单!$C$4:$C$4003,"&lt;="&amp;账期止))</f>
        <v/>
      </c>
      <c r="Q1102" s="26">
        <f>IF($A1102="","",ROUND(SUMIFS(出库单!$S$4:$S$4003,出库单!$D$4:$D$4003,$A1102,出库单!$K$4:$K$4003,"自用消耗",出库单!$U$4:$U$4003,"正常",出库单!$C$4:$C$4003,"&gt;="&amp;账期起,出库单!$C$4:$C$4003,"&lt;="&amp;账期止),0))</f>
        <v/>
      </c>
      <c r="R1102" s="27">
        <f>IF($A1102="","",SUMIFS(出库单!$J$4:$J$4003,出库单!$D$4:$D$4003,$A1102,出库单!$K$4:$K$4003,"对外销售",出库单!$U$4:$U$4003,"正常",出库单!$C$4:$C$4003,"&gt;="&amp;账期起,出库单!$C$4:$C$4003,"&lt;="&amp;账期止))</f>
        <v/>
      </c>
      <c r="S1102" s="26">
        <f>IF($A1102="","",ROUND(SUMIFS(出库单!$S$4:$S$4003,出库单!$D$4:$D$4003,$A1102,出库单!$K$4:$K$4003,"对外销售",出库单!$U$4:$U$4003,"正常",出库单!$C$4:$C$4003,"&gt;="&amp;账期起,出库单!$C$4:$C$4003,"&lt;="&amp;账期止),0))</f>
        <v/>
      </c>
      <c r="T1102" s="27">
        <f>IF($A1102="","",SUMIFS(出库单!$J$4:$J$4003,出库单!$D$4:$D$4003,$A1102,出库单!$K$4:$K$4003,"盘亏",出库单!$U$4:$U$4003,"正常",出库单!$C$4:$C$4003,"&gt;="&amp;账期起,出库单!$C$4:$C$4003,"&lt;="&amp;账期止))</f>
        <v/>
      </c>
      <c r="U1102" s="26">
        <f>IF($A1102="","",ROUND(SUMIFS(出库单!$S$4:$S$4003,出库单!$D$4:$D$4003,$A1102,出库单!$K$4:$K$4003,"盘亏",出库单!$U$4:$U$4003,"正常",出库单!$C$4:$C$4003,"&gt;="&amp;账期起,出库单!$C$4:$C$4003,"&lt;="&amp;账期止),0))</f>
        <v/>
      </c>
      <c r="V1102" s="27">
        <f>IF($A1102="","",SUMIFS(出库单!$J$4:$J$4003,出库单!$D$4:$D$4003,$A1102,出库单!$K$4:$K$4003,"退货给供应商",出库单!$U$4:$U$4003,"正常",出库单!$C$4:$C$4003,"&gt;="&amp;账期起,出库单!$C$4:$C$4003,"&lt;="&amp;账期止))</f>
        <v/>
      </c>
      <c r="W1102" s="26">
        <f>IF($A1102="","",ROUND(SUMIFS(出库单!$S$4:$S$4003,出库单!$D$4:$D$4003,$A1102,出库单!$K$4:$K$4003,"退货给供应商",出库单!$U$4:$U$4003,"正常",出库单!$C$4:$C$4003,"&gt;="&amp;账期起,出库单!$C$4:$C$4003,"&lt;="&amp;账期止),0))</f>
        <v/>
      </c>
      <c r="X1102" s="27">
        <f>IF($A1102="","",ROUND(N($G1102)+$I1102+$L1102+$N1102-$P1102-$R1102-$T1102-$V1102,3))</f>
        <v/>
      </c>
      <c r="Y1102" s="26">
        <f>IF($A1102="","",ROUND(N($H1102)+$J1102+$M1102+$O1102-$Q1102-$S1102-$U1102-$W1102,0))</f>
        <v/>
      </c>
      <c r="Z1102" s="24">
        <f>IF($A1102="","",IF(COUNTIFS(入库单!$G$4:$G$2503,$A1102,入库单!$Y$4:$Y$2503,"待补价")+COUNTIFS(入库单!$G$4:$G$2503,$A1102,入库单!$Y$4:$Y$2503,"暂估")&gt;0,"不可信","可信"))</f>
        <v/>
      </c>
      <c r="AA1102" s="24">
        <f>IF($A1102="","",IF($X1102&lt;-0.001,"※账面负库存，查一下是不是漏记入库",IF(AND(ROUND($X1102,3)=0,ABS($Y1102)&gt;1),"※数量已经是 0，金额还挂着 "&amp;TEXT($Y1102,"#,##0")&amp;" 先令",IF(AND($X1102&gt;0,$Y1102&lt;=0,$K1102=0),"※有数量没金额（这个物料一直没填过进价）",IF($Z1102="不可信","△成本含待补价/暂估，毛利仅供参考","")))))</f>
        <v/>
      </c>
    </row>
    <row r="1103">
      <c r="A1103" s="24">
        <f>IF(物料档案!$A1102="","",物料档案!$A1102)</f>
        <v/>
      </c>
      <c r="B1103" s="24">
        <f>IF($A1103="","",IFERROR(VLOOKUP($A1103,物料档案!$A$4:$P$1203,3,0),""))</f>
        <v/>
      </c>
      <c r="C1103" s="24">
        <f>IF($A1103="","",IFERROR(VLOOKUP($A1103,物料档案!$A$4:$P$1203,4,0),""))</f>
        <v/>
      </c>
      <c r="D1103" s="24">
        <f>IF($A1103="","",IFERROR(VLOOKUP($A1103,物料档案!$A$4:$P$1203,5,0),""))</f>
        <v/>
      </c>
      <c r="E1103" s="24">
        <f>IF($A1103="","",IFERROR(VLOOKUP($A1103,物料档案!$A$4:$P$1203,2,0),""))</f>
        <v/>
      </c>
      <c r="F1103" s="24">
        <f>IF($A1103="","",IFERROR(VLOOKUP($A1103,物料档案!$A$4:$P$1203,6,0),""))</f>
        <v/>
      </c>
      <c r="G1103" s="23" t="n"/>
      <c r="H1103" s="32" t="n"/>
      <c r="I1103" s="27">
        <f>IF($A1103="","",SUMIFS(入库单!$K$4:$K$2503,入库单!$G$4:$G$2503,$A1103,入库单!$X$4:$X$2503,"采购入库",入库单!$Z$4:$Z$2503,"正常",入库单!$C$4:$C$2503,"&gt;="&amp;账期起,入库单!$C$4:$C$2503,"&lt;="&amp;账期止))</f>
        <v/>
      </c>
      <c r="J1103" s="26">
        <f>IF($A1103="","",SUMIFS(入库单!$V$4:$V$2503,入库单!$G$4:$G$2503,$A1103,入库单!$X$4:$X$2503,"采购入库",入库单!$Z$4:$Z$2503,"正常",入库单!$C$4:$C$2503,"&gt;="&amp;账期起,入库单!$C$4:$C$2503,"&lt;="&amp;账期止))</f>
        <v/>
      </c>
      <c r="K1103" s="26">
        <f>IF($A1103="","",IFERROR(ROUND((N($H1103)+N($J1103))/(N($G1103)+N($I1103)),2),0))</f>
        <v/>
      </c>
      <c r="L1103" s="27">
        <f>IF($A1103="","",SUMIFS(入库单!$K$4:$K$2503,入库单!$G$4:$G$2503,$A1103,入库单!$X$4:$X$2503,"盘盈",入库单!$Z$4:$Z$2503,"正常",入库单!$C$4:$C$2503,"&gt;="&amp;账期起,入库单!$C$4:$C$2503,"&lt;="&amp;账期止))</f>
        <v/>
      </c>
      <c r="M1103" s="26">
        <f>IF($A1103="","",ROUND($L1103*$K1103,0))</f>
        <v/>
      </c>
      <c r="N1103" s="27">
        <f>IF($A1103="","",SUMIFS(入库单!$K$4:$K$2503,入库单!$G$4:$G$2503,$A1103,入库单!$X$4:$X$2503,"矿区退库",入库单!$Z$4:$Z$2503,"正常",入库单!$C$4:$C$2503,"&gt;="&amp;账期起,入库单!$C$4:$C$2503,"&lt;="&amp;账期止))</f>
        <v/>
      </c>
      <c r="O1103" s="26">
        <f>IF($A1103="","",ROUND($N1103*$K1103,0))</f>
        <v/>
      </c>
      <c r="P1103" s="27">
        <f>IF($A1103="","",SUMIFS(出库单!$J$4:$J$4003,出库单!$D$4:$D$4003,$A1103,出库单!$K$4:$K$4003,"自用消耗",出库单!$U$4:$U$4003,"正常",出库单!$C$4:$C$4003,"&gt;="&amp;账期起,出库单!$C$4:$C$4003,"&lt;="&amp;账期止))</f>
        <v/>
      </c>
      <c r="Q1103" s="26">
        <f>IF($A1103="","",ROUND(SUMIFS(出库单!$S$4:$S$4003,出库单!$D$4:$D$4003,$A1103,出库单!$K$4:$K$4003,"自用消耗",出库单!$U$4:$U$4003,"正常",出库单!$C$4:$C$4003,"&gt;="&amp;账期起,出库单!$C$4:$C$4003,"&lt;="&amp;账期止),0))</f>
        <v/>
      </c>
      <c r="R1103" s="27">
        <f>IF($A1103="","",SUMIFS(出库单!$J$4:$J$4003,出库单!$D$4:$D$4003,$A1103,出库单!$K$4:$K$4003,"对外销售",出库单!$U$4:$U$4003,"正常",出库单!$C$4:$C$4003,"&gt;="&amp;账期起,出库单!$C$4:$C$4003,"&lt;="&amp;账期止))</f>
        <v/>
      </c>
      <c r="S1103" s="26">
        <f>IF($A1103="","",ROUND(SUMIFS(出库单!$S$4:$S$4003,出库单!$D$4:$D$4003,$A1103,出库单!$K$4:$K$4003,"对外销售",出库单!$U$4:$U$4003,"正常",出库单!$C$4:$C$4003,"&gt;="&amp;账期起,出库单!$C$4:$C$4003,"&lt;="&amp;账期止),0))</f>
        <v/>
      </c>
      <c r="T1103" s="27">
        <f>IF($A1103="","",SUMIFS(出库单!$J$4:$J$4003,出库单!$D$4:$D$4003,$A1103,出库单!$K$4:$K$4003,"盘亏",出库单!$U$4:$U$4003,"正常",出库单!$C$4:$C$4003,"&gt;="&amp;账期起,出库单!$C$4:$C$4003,"&lt;="&amp;账期止))</f>
        <v/>
      </c>
      <c r="U1103" s="26">
        <f>IF($A1103="","",ROUND(SUMIFS(出库单!$S$4:$S$4003,出库单!$D$4:$D$4003,$A1103,出库单!$K$4:$K$4003,"盘亏",出库单!$U$4:$U$4003,"正常",出库单!$C$4:$C$4003,"&gt;="&amp;账期起,出库单!$C$4:$C$4003,"&lt;="&amp;账期止),0))</f>
        <v/>
      </c>
      <c r="V1103" s="27">
        <f>IF($A1103="","",SUMIFS(出库单!$J$4:$J$4003,出库单!$D$4:$D$4003,$A1103,出库单!$K$4:$K$4003,"退货给供应商",出库单!$U$4:$U$4003,"正常",出库单!$C$4:$C$4003,"&gt;="&amp;账期起,出库单!$C$4:$C$4003,"&lt;="&amp;账期止))</f>
        <v/>
      </c>
      <c r="W1103" s="26">
        <f>IF($A1103="","",ROUND(SUMIFS(出库单!$S$4:$S$4003,出库单!$D$4:$D$4003,$A1103,出库单!$K$4:$K$4003,"退货给供应商",出库单!$U$4:$U$4003,"正常",出库单!$C$4:$C$4003,"&gt;="&amp;账期起,出库单!$C$4:$C$4003,"&lt;="&amp;账期止),0))</f>
        <v/>
      </c>
      <c r="X1103" s="27">
        <f>IF($A1103="","",ROUND(N($G1103)+$I1103+$L1103+$N1103-$P1103-$R1103-$T1103-$V1103,3))</f>
        <v/>
      </c>
      <c r="Y1103" s="26">
        <f>IF($A1103="","",ROUND(N($H1103)+$J1103+$M1103+$O1103-$Q1103-$S1103-$U1103-$W1103,0))</f>
        <v/>
      </c>
      <c r="Z1103" s="24">
        <f>IF($A1103="","",IF(COUNTIFS(入库单!$G$4:$G$2503,$A1103,入库单!$Y$4:$Y$2503,"待补价")+COUNTIFS(入库单!$G$4:$G$2503,$A1103,入库单!$Y$4:$Y$2503,"暂估")&gt;0,"不可信","可信"))</f>
        <v/>
      </c>
      <c r="AA1103" s="24">
        <f>IF($A1103="","",IF($X1103&lt;-0.001,"※账面负库存，查一下是不是漏记入库",IF(AND(ROUND($X1103,3)=0,ABS($Y1103)&gt;1),"※数量已经是 0，金额还挂着 "&amp;TEXT($Y1103,"#,##0")&amp;" 先令",IF(AND($X1103&gt;0,$Y1103&lt;=0,$K1103=0),"※有数量没金额（这个物料一直没填过进价）",IF($Z1103="不可信","△成本含待补价/暂估，毛利仅供参考","")))))</f>
        <v/>
      </c>
    </row>
    <row r="1104">
      <c r="A1104" s="24">
        <f>IF(物料档案!$A1103="","",物料档案!$A1103)</f>
        <v/>
      </c>
      <c r="B1104" s="24">
        <f>IF($A1104="","",IFERROR(VLOOKUP($A1104,物料档案!$A$4:$P$1203,3,0),""))</f>
        <v/>
      </c>
      <c r="C1104" s="24">
        <f>IF($A1104="","",IFERROR(VLOOKUP($A1104,物料档案!$A$4:$P$1203,4,0),""))</f>
        <v/>
      </c>
      <c r="D1104" s="24">
        <f>IF($A1104="","",IFERROR(VLOOKUP($A1104,物料档案!$A$4:$P$1203,5,0),""))</f>
        <v/>
      </c>
      <c r="E1104" s="24">
        <f>IF($A1104="","",IFERROR(VLOOKUP($A1104,物料档案!$A$4:$P$1203,2,0),""))</f>
        <v/>
      </c>
      <c r="F1104" s="24">
        <f>IF($A1104="","",IFERROR(VLOOKUP($A1104,物料档案!$A$4:$P$1203,6,0),""))</f>
        <v/>
      </c>
      <c r="G1104" s="23" t="n"/>
      <c r="H1104" s="32" t="n"/>
      <c r="I1104" s="27">
        <f>IF($A1104="","",SUMIFS(入库单!$K$4:$K$2503,入库单!$G$4:$G$2503,$A1104,入库单!$X$4:$X$2503,"采购入库",入库单!$Z$4:$Z$2503,"正常",入库单!$C$4:$C$2503,"&gt;="&amp;账期起,入库单!$C$4:$C$2503,"&lt;="&amp;账期止))</f>
        <v/>
      </c>
      <c r="J1104" s="26">
        <f>IF($A1104="","",SUMIFS(入库单!$V$4:$V$2503,入库单!$G$4:$G$2503,$A1104,入库单!$X$4:$X$2503,"采购入库",入库单!$Z$4:$Z$2503,"正常",入库单!$C$4:$C$2503,"&gt;="&amp;账期起,入库单!$C$4:$C$2503,"&lt;="&amp;账期止))</f>
        <v/>
      </c>
      <c r="K1104" s="26">
        <f>IF($A1104="","",IFERROR(ROUND((N($H1104)+N($J1104))/(N($G1104)+N($I1104)),2),0))</f>
        <v/>
      </c>
      <c r="L1104" s="27">
        <f>IF($A1104="","",SUMIFS(入库单!$K$4:$K$2503,入库单!$G$4:$G$2503,$A1104,入库单!$X$4:$X$2503,"盘盈",入库单!$Z$4:$Z$2503,"正常",入库单!$C$4:$C$2503,"&gt;="&amp;账期起,入库单!$C$4:$C$2503,"&lt;="&amp;账期止))</f>
        <v/>
      </c>
      <c r="M1104" s="26">
        <f>IF($A1104="","",ROUND($L1104*$K1104,0))</f>
        <v/>
      </c>
      <c r="N1104" s="27">
        <f>IF($A1104="","",SUMIFS(入库单!$K$4:$K$2503,入库单!$G$4:$G$2503,$A1104,入库单!$X$4:$X$2503,"矿区退库",入库单!$Z$4:$Z$2503,"正常",入库单!$C$4:$C$2503,"&gt;="&amp;账期起,入库单!$C$4:$C$2503,"&lt;="&amp;账期止))</f>
        <v/>
      </c>
      <c r="O1104" s="26">
        <f>IF($A1104="","",ROUND($N1104*$K1104,0))</f>
        <v/>
      </c>
      <c r="P1104" s="27">
        <f>IF($A1104="","",SUMIFS(出库单!$J$4:$J$4003,出库单!$D$4:$D$4003,$A1104,出库单!$K$4:$K$4003,"自用消耗",出库单!$U$4:$U$4003,"正常",出库单!$C$4:$C$4003,"&gt;="&amp;账期起,出库单!$C$4:$C$4003,"&lt;="&amp;账期止))</f>
        <v/>
      </c>
      <c r="Q1104" s="26">
        <f>IF($A1104="","",ROUND(SUMIFS(出库单!$S$4:$S$4003,出库单!$D$4:$D$4003,$A1104,出库单!$K$4:$K$4003,"自用消耗",出库单!$U$4:$U$4003,"正常",出库单!$C$4:$C$4003,"&gt;="&amp;账期起,出库单!$C$4:$C$4003,"&lt;="&amp;账期止),0))</f>
        <v/>
      </c>
      <c r="R1104" s="27">
        <f>IF($A1104="","",SUMIFS(出库单!$J$4:$J$4003,出库单!$D$4:$D$4003,$A1104,出库单!$K$4:$K$4003,"对外销售",出库单!$U$4:$U$4003,"正常",出库单!$C$4:$C$4003,"&gt;="&amp;账期起,出库单!$C$4:$C$4003,"&lt;="&amp;账期止))</f>
        <v/>
      </c>
      <c r="S1104" s="26">
        <f>IF($A1104="","",ROUND(SUMIFS(出库单!$S$4:$S$4003,出库单!$D$4:$D$4003,$A1104,出库单!$K$4:$K$4003,"对外销售",出库单!$U$4:$U$4003,"正常",出库单!$C$4:$C$4003,"&gt;="&amp;账期起,出库单!$C$4:$C$4003,"&lt;="&amp;账期止),0))</f>
        <v/>
      </c>
      <c r="T1104" s="27">
        <f>IF($A1104="","",SUMIFS(出库单!$J$4:$J$4003,出库单!$D$4:$D$4003,$A1104,出库单!$K$4:$K$4003,"盘亏",出库单!$U$4:$U$4003,"正常",出库单!$C$4:$C$4003,"&gt;="&amp;账期起,出库单!$C$4:$C$4003,"&lt;="&amp;账期止))</f>
        <v/>
      </c>
      <c r="U1104" s="26">
        <f>IF($A1104="","",ROUND(SUMIFS(出库单!$S$4:$S$4003,出库单!$D$4:$D$4003,$A1104,出库单!$K$4:$K$4003,"盘亏",出库单!$U$4:$U$4003,"正常",出库单!$C$4:$C$4003,"&gt;="&amp;账期起,出库单!$C$4:$C$4003,"&lt;="&amp;账期止),0))</f>
        <v/>
      </c>
      <c r="V1104" s="27">
        <f>IF($A1104="","",SUMIFS(出库单!$J$4:$J$4003,出库单!$D$4:$D$4003,$A1104,出库单!$K$4:$K$4003,"退货给供应商",出库单!$U$4:$U$4003,"正常",出库单!$C$4:$C$4003,"&gt;="&amp;账期起,出库单!$C$4:$C$4003,"&lt;="&amp;账期止))</f>
        <v/>
      </c>
      <c r="W1104" s="26">
        <f>IF($A1104="","",ROUND(SUMIFS(出库单!$S$4:$S$4003,出库单!$D$4:$D$4003,$A1104,出库单!$K$4:$K$4003,"退货给供应商",出库单!$U$4:$U$4003,"正常",出库单!$C$4:$C$4003,"&gt;="&amp;账期起,出库单!$C$4:$C$4003,"&lt;="&amp;账期止),0))</f>
        <v/>
      </c>
      <c r="X1104" s="27">
        <f>IF($A1104="","",ROUND(N($G1104)+$I1104+$L1104+$N1104-$P1104-$R1104-$T1104-$V1104,3))</f>
        <v/>
      </c>
      <c r="Y1104" s="26">
        <f>IF($A1104="","",ROUND(N($H1104)+$J1104+$M1104+$O1104-$Q1104-$S1104-$U1104-$W1104,0))</f>
        <v/>
      </c>
      <c r="Z1104" s="24">
        <f>IF($A1104="","",IF(COUNTIFS(入库单!$G$4:$G$2503,$A1104,入库单!$Y$4:$Y$2503,"待补价")+COUNTIFS(入库单!$G$4:$G$2503,$A1104,入库单!$Y$4:$Y$2503,"暂估")&gt;0,"不可信","可信"))</f>
        <v/>
      </c>
      <c r="AA1104" s="24">
        <f>IF($A1104="","",IF($X1104&lt;-0.001,"※账面负库存，查一下是不是漏记入库",IF(AND(ROUND($X1104,3)=0,ABS($Y1104)&gt;1),"※数量已经是 0，金额还挂着 "&amp;TEXT($Y1104,"#,##0")&amp;" 先令",IF(AND($X1104&gt;0,$Y1104&lt;=0,$K1104=0),"※有数量没金额（这个物料一直没填过进价）",IF($Z1104="不可信","△成本含待补价/暂估，毛利仅供参考","")))))</f>
        <v/>
      </c>
    </row>
    <row r="1105">
      <c r="A1105" s="24">
        <f>IF(物料档案!$A1104="","",物料档案!$A1104)</f>
        <v/>
      </c>
      <c r="B1105" s="24">
        <f>IF($A1105="","",IFERROR(VLOOKUP($A1105,物料档案!$A$4:$P$1203,3,0),""))</f>
        <v/>
      </c>
      <c r="C1105" s="24">
        <f>IF($A1105="","",IFERROR(VLOOKUP($A1105,物料档案!$A$4:$P$1203,4,0),""))</f>
        <v/>
      </c>
      <c r="D1105" s="24">
        <f>IF($A1105="","",IFERROR(VLOOKUP($A1105,物料档案!$A$4:$P$1203,5,0),""))</f>
        <v/>
      </c>
      <c r="E1105" s="24">
        <f>IF($A1105="","",IFERROR(VLOOKUP($A1105,物料档案!$A$4:$P$1203,2,0),""))</f>
        <v/>
      </c>
      <c r="F1105" s="24">
        <f>IF($A1105="","",IFERROR(VLOOKUP($A1105,物料档案!$A$4:$P$1203,6,0),""))</f>
        <v/>
      </c>
      <c r="G1105" s="23" t="n"/>
      <c r="H1105" s="32" t="n"/>
      <c r="I1105" s="27">
        <f>IF($A1105="","",SUMIFS(入库单!$K$4:$K$2503,入库单!$G$4:$G$2503,$A1105,入库单!$X$4:$X$2503,"采购入库",入库单!$Z$4:$Z$2503,"正常",入库单!$C$4:$C$2503,"&gt;="&amp;账期起,入库单!$C$4:$C$2503,"&lt;="&amp;账期止))</f>
        <v/>
      </c>
      <c r="J1105" s="26">
        <f>IF($A1105="","",SUMIFS(入库单!$V$4:$V$2503,入库单!$G$4:$G$2503,$A1105,入库单!$X$4:$X$2503,"采购入库",入库单!$Z$4:$Z$2503,"正常",入库单!$C$4:$C$2503,"&gt;="&amp;账期起,入库单!$C$4:$C$2503,"&lt;="&amp;账期止))</f>
        <v/>
      </c>
      <c r="K1105" s="26">
        <f>IF($A1105="","",IFERROR(ROUND((N($H1105)+N($J1105))/(N($G1105)+N($I1105)),2),0))</f>
        <v/>
      </c>
      <c r="L1105" s="27">
        <f>IF($A1105="","",SUMIFS(入库单!$K$4:$K$2503,入库单!$G$4:$G$2503,$A1105,入库单!$X$4:$X$2503,"盘盈",入库单!$Z$4:$Z$2503,"正常",入库单!$C$4:$C$2503,"&gt;="&amp;账期起,入库单!$C$4:$C$2503,"&lt;="&amp;账期止))</f>
        <v/>
      </c>
      <c r="M1105" s="26">
        <f>IF($A1105="","",ROUND($L1105*$K1105,0))</f>
        <v/>
      </c>
      <c r="N1105" s="27">
        <f>IF($A1105="","",SUMIFS(入库单!$K$4:$K$2503,入库单!$G$4:$G$2503,$A1105,入库单!$X$4:$X$2503,"矿区退库",入库单!$Z$4:$Z$2503,"正常",入库单!$C$4:$C$2503,"&gt;="&amp;账期起,入库单!$C$4:$C$2503,"&lt;="&amp;账期止))</f>
        <v/>
      </c>
      <c r="O1105" s="26">
        <f>IF($A1105="","",ROUND($N1105*$K1105,0))</f>
        <v/>
      </c>
      <c r="P1105" s="27">
        <f>IF($A1105="","",SUMIFS(出库单!$J$4:$J$4003,出库单!$D$4:$D$4003,$A1105,出库单!$K$4:$K$4003,"自用消耗",出库单!$U$4:$U$4003,"正常",出库单!$C$4:$C$4003,"&gt;="&amp;账期起,出库单!$C$4:$C$4003,"&lt;="&amp;账期止))</f>
        <v/>
      </c>
      <c r="Q1105" s="26">
        <f>IF($A1105="","",ROUND(SUMIFS(出库单!$S$4:$S$4003,出库单!$D$4:$D$4003,$A1105,出库单!$K$4:$K$4003,"自用消耗",出库单!$U$4:$U$4003,"正常",出库单!$C$4:$C$4003,"&gt;="&amp;账期起,出库单!$C$4:$C$4003,"&lt;="&amp;账期止),0))</f>
        <v/>
      </c>
      <c r="R1105" s="27">
        <f>IF($A1105="","",SUMIFS(出库单!$J$4:$J$4003,出库单!$D$4:$D$4003,$A1105,出库单!$K$4:$K$4003,"对外销售",出库单!$U$4:$U$4003,"正常",出库单!$C$4:$C$4003,"&gt;="&amp;账期起,出库单!$C$4:$C$4003,"&lt;="&amp;账期止))</f>
        <v/>
      </c>
      <c r="S1105" s="26">
        <f>IF($A1105="","",ROUND(SUMIFS(出库单!$S$4:$S$4003,出库单!$D$4:$D$4003,$A1105,出库单!$K$4:$K$4003,"对外销售",出库单!$U$4:$U$4003,"正常",出库单!$C$4:$C$4003,"&gt;="&amp;账期起,出库单!$C$4:$C$4003,"&lt;="&amp;账期止),0))</f>
        <v/>
      </c>
      <c r="T1105" s="27">
        <f>IF($A1105="","",SUMIFS(出库单!$J$4:$J$4003,出库单!$D$4:$D$4003,$A1105,出库单!$K$4:$K$4003,"盘亏",出库单!$U$4:$U$4003,"正常",出库单!$C$4:$C$4003,"&gt;="&amp;账期起,出库单!$C$4:$C$4003,"&lt;="&amp;账期止))</f>
        <v/>
      </c>
      <c r="U1105" s="26">
        <f>IF($A1105="","",ROUND(SUMIFS(出库单!$S$4:$S$4003,出库单!$D$4:$D$4003,$A1105,出库单!$K$4:$K$4003,"盘亏",出库单!$U$4:$U$4003,"正常",出库单!$C$4:$C$4003,"&gt;="&amp;账期起,出库单!$C$4:$C$4003,"&lt;="&amp;账期止),0))</f>
        <v/>
      </c>
      <c r="V1105" s="27">
        <f>IF($A1105="","",SUMIFS(出库单!$J$4:$J$4003,出库单!$D$4:$D$4003,$A1105,出库单!$K$4:$K$4003,"退货给供应商",出库单!$U$4:$U$4003,"正常",出库单!$C$4:$C$4003,"&gt;="&amp;账期起,出库单!$C$4:$C$4003,"&lt;="&amp;账期止))</f>
        <v/>
      </c>
      <c r="W1105" s="26">
        <f>IF($A1105="","",ROUND(SUMIFS(出库单!$S$4:$S$4003,出库单!$D$4:$D$4003,$A1105,出库单!$K$4:$K$4003,"退货给供应商",出库单!$U$4:$U$4003,"正常",出库单!$C$4:$C$4003,"&gt;="&amp;账期起,出库单!$C$4:$C$4003,"&lt;="&amp;账期止),0))</f>
        <v/>
      </c>
      <c r="X1105" s="27">
        <f>IF($A1105="","",ROUND(N($G1105)+$I1105+$L1105+$N1105-$P1105-$R1105-$T1105-$V1105,3))</f>
        <v/>
      </c>
      <c r="Y1105" s="26">
        <f>IF($A1105="","",ROUND(N($H1105)+$J1105+$M1105+$O1105-$Q1105-$S1105-$U1105-$W1105,0))</f>
        <v/>
      </c>
      <c r="Z1105" s="24">
        <f>IF($A1105="","",IF(COUNTIFS(入库单!$G$4:$G$2503,$A1105,入库单!$Y$4:$Y$2503,"待补价")+COUNTIFS(入库单!$G$4:$G$2503,$A1105,入库单!$Y$4:$Y$2503,"暂估")&gt;0,"不可信","可信"))</f>
        <v/>
      </c>
      <c r="AA1105" s="24">
        <f>IF($A1105="","",IF($X1105&lt;-0.001,"※账面负库存，查一下是不是漏记入库",IF(AND(ROUND($X1105,3)=0,ABS($Y1105)&gt;1),"※数量已经是 0，金额还挂着 "&amp;TEXT($Y1105,"#,##0")&amp;" 先令",IF(AND($X1105&gt;0,$Y1105&lt;=0,$K1105=0),"※有数量没金额（这个物料一直没填过进价）",IF($Z1105="不可信","△成本含待补价/暂估，毛利仅供参考","")))))</f>
        <v/>
      </c>
    </row>
    <row r="1106">
      <c r="A1106" s="24">
        <f>IF(物料档案!$A1105="","",物料档案!$A1105)</f>
        <v/>
      </c>
      <c r="B1106" s="24">
        <f>IF($A1106="","",IFERROR(VLOOKUP($A1106,物料档案!$A$4:$P$1203,3,0),""))</f>
        <v/>
      </c>
      <c r="C1106" s="24">
        <f>IF($A1106="","",IFERROR(VLOOKUP($A1106,物料档案!$A$4:$P$1203,4,0),""))</f>
        <v/>
      </c>
      <c r="D1106" s="24">
        <f>IF($A1106="","",IFERROR(VLOOKUP($A1106,物料档案!$A$4:$P$1203,5,0),""))</f>
        <v/>
      </c>
      <c r="E1106" s="24">
        <f>IF($A1106="","",IFERROR(VLOOKUP($A1106,物料档案!$A$4:$P$1203,2,0),""))</f>
        <v/>
      </c>
      <c r="F1106" s="24">
        <f>IF($A1106="","",IFERROR(VLOOKUP($A1106,物料档案!$A$4:$P$1203,6,0),""))</f>
        <v/>
      </c>
      <c r="G1106" s="23" t="n"/>
      <c r="H1106" s="32" t="n"/>
      <c r="I1106" s="27">
        <f>IF($A1106="","",SUMIFS(入库单!$K$4:$K$2503,入库单!$G$4:$G$2503,$A1106,入库单!$X$4:$X$2503,"采购入库",入库单!$Z$4:$Z$2503,"正常",入库单!$C$4:$C$2503,"&gt;="&amp;账期起,入库单!$C$4:$C$2503,"&lt;="&amp;账期止))</f>
        <v/>
      </c>
      <c r="J1106" s="26">
        <f>IF($A1106="","",SUMIFS(入库单!$V$4:$V$2503,入库单!$G$4:$G$2503,$A1106,入库单!$X$4:$X$2503,"采购入库",入库单!$Z$4:$Z$2503,"正常",入库单!$C$4:$C$2503,"&gt;="&amp;账期起,入库单!$C$4:$C$2503,"&lt;="&amp;账期止))</f>
        <v/>
      </c>
      <c r="K1106" s="26">
        <f>IF($A1106="","",IFERROR(ROUND((N($H1106)+N($J1106))/(N($G1106)+N($I1106)),2),0))</f>
        <v/>
      </c>
      <c r="L1106" s="27">
        <f>IF($A1106="","",SUMIFS(入库单!$K$4:$K$2503,入库单!$G$4:$G$2503,$A1106,入库单!$X$4:$X$2503,"盘盈",入库单!$Z$4:$Z$2503,"正常",入库单!$C$4:$C$2503,"&gt;="&amp;账期起,入库单!$C$4:$C$2503,"&lt;="&amp;账期止))</f>
        <v/>
      </c>
      <c r="M1106" s="26">
        <f>IF($A1106="","",ROUND($L1106*$K1106,0))</f>
        <v/>
      </c>
      <c r="N1106" s="27">
        <f>IF($A1106="","",SUMIFS(入库单!$K$4:$K$2503,入库单!$G$4:$G$2503,$A1106,入库单!$X$4:$X$2503,"矿区退库",入库单!$Z$4:$Z$2503,"正常",入库单!$C$4:$C$2503,"&gt;="&amp;账期起,入库单!$C$4:$C$2503,"&lt;="&amp;账期止))</f>
        <v/>
      </c>
      <c r="O1106" s="26">
        <f>IF($A1106="","",ROUND($N1106*$K1106,0))</f>
        <v/>
      </c>
      <c r="P1106" s="27">
        <f>IF($A1106="","",SUMIFS(出库单!$J$4:$J$4003,出库单!$D$4:$D$4003,$A1106,出库单!$K$4:$K$4003,"自用消耗",出库单!$U$4:$U$4003,"正常",出库单!$C$4:$C$4003,"&gt;="&amp;账期起,出库单!$C$4:$C$4003,"&lt;="&amp;账期止))</f>
        <v/>
      </c>
      <c r="Q1106" s="26">
        <f>IF($A1106="","",ROUND(SUMIFS(出库单!$S$4:$S$4003,出库单!$D$4:$D$4003,$A1106,出库单!$K$4:$K$4003,"自用消耗",出库单!$U$4:$U$4003,"正常",出库单!$C$4:$C$4003,"&gt;="&amp;账期起,出库单!$C$4:$C$4003,"&lt;="&amp;账期止),0))</f>
        <v/>
      </c>
      <c r="R1106" s="27">
        <f>IF($A1106="","",SUMIFS(出库单!$J$4:$J$4003,出库单!$D$4:$D$4003,$A1106,出库单!$K$4:$K$4003,"对外销售",出库单!$U$4:$U$4003,"正常",出库单!$C$4:$C$4003,"&gt;="&amp;账期起,出库单!$C$4:$C$4003,"&lt;="&amp;账期止))</f>
        <v/>
      </c>
      <c r="S1106" s="26">
        <f>IF($A1106="","",ROUND(SUMIFS(出库单!$S$4:$S$4003,出库单!$D$4:$D$4003,$A1106,出库单!$K$4:$K$4003,"对外销售",出库单!$U$4:$U$4003,"正常",出库单!$C$4:$C$4003,"&gt;="&amp;账期起,出库单!$C$4:$C$4003,"&lt;="&amp;账期止),0))</f>
        <v/>
      </c>
      <c r="T1106" s="27">
        <f>IF($A1106="","",SUMIFS(出库单!$J$4:$J$4003,出库单!$D$4:$D$4003,$A1106,出库单!$K$4:$K$4003,"盘亏",出库单!$U$4:$U$4003,"正常",出库单!$C$4:$C$4003,"&gt;="&amp;账期起,出库单!$C$4:$C$4003,"&lt;="&amp;账期止))</f>
        <v/>
      </c>
      <c r="U1106" s="26">
        <f>IF($A1106="","",ROUND(SUMIFS(出库单!$S$4:$S$4003,出库单!$D$4:$D$4003,$A1106,出库单!$K$4:$K$4003,"盘亏",出库单!$U$4:$U$4003,"正常",出库单!$C$4:$C$4003,"&gt;="&amp;账期起,出库单!$C$4:$C$4003,"&lt;="&amp;账期止),0))</f>
        <v/>
      </c>
      <c r="V1106" s="27">
        <f>IF($A1106="","",SUMIFS(出库单!$J$4:$J$4003,出库单!$D$4:$D$4003,$A1106,出库单!$K$4:$K$4003,"退货给供应商",出库单!$U$4:$U$4003,"正常",出库单!$C$4:$C$4003,"&gt;="&amp;账期起,出库单!$C$4:$C$4003,"&lt;="&amp;账期止))</f>
        <v/>
      </c>
      <c r="W1106" s="26">
        <f>IF($A1106="","",ROUND(SUMIFS(出库单!$S$4:$S$4003,出库单!$D$4:$D$4003,$A1106,出库单!$K$4:$K$4003,"退货给供应商",出库单!$U$4:$U$4003,"正常",出库单!$C$4:$C$4003,"&gt;="&amp;账期起,出库单!$C$4:$C$4003,"&lt;="&amp;账期止),0))</f>
        <v/>
      </c>
      <c r="X1106" s="27">
        <f>IF($A1106="","",ROUND(N($G1106)+$I1106+$L1106+$N1106-$P1106-$R1106-$T1106-$V1106,3))</f>
        <v/>
      </c>
      <c r="Y1106" s="26">
        <f>IF($A1106="","",ROUND(N($H1106)+$J1106+$M1106+$O1106-$Q1106-$S1106-$U1106-$W1106,0))</f>
        <v/>
      </c>
      <c r="Z1106" s="24">
        <f>IF($A1106="","",IF(COUNTIFS(入库单!$G$4:$G$2503,$A1106,入库单!$Y$4:$Y$2503,"待补价")+COUNTIFS(入库单!$G$4:$G$2503,$A1106,入库单!$Y$4:$Y$2503,"暂估")&gt;0,"不可信","可信"))</f>
        <v/>
      </c>
      <c r="AA1106" s="24">
        <f>IF($A1106="","",IF($X1106&lt;-0.001,"※账面负库存，查一下是不是漏记入库",IF(AND(ROUND($X1106,3)=0,ABS($Y1106)&gt;1),"※数量已经是 0，金额还挂着 "&amp;TEXT($Y1106,"#,##0")&amp;" 先令",IF(AND($X1106&gt;0,$Y1106&lt;=0,$K1106=0),"※有数量没金额（这个物料一直没填过进价）",IF($Z1106="不可信","△成本含待补价/暂估，毛利仅供参考","")))))</f>
        <v/>
      </c>
    </row>
    <row r="1107">
      <c r="A1107" s="24">
        <f>IF(物料档案!$A1106="","",物料档案!$A1106)</f>
        <v/>
      </c>
      <c r="B1107" s="24">
        <f>IF($A1107="","",IFERROR(VLOOKUP($A1107,物料档案!$A$4:$P$1203,3,0),""))</f>
        <v/>
      </c>
      <c r="C1107" s="24">
        <f>IF($A1107="","",IFERROR(VLOOKUP($A1107,物料档案!$A$4:$P$1203,4,0),""))</f>
        <v/>
      </c>
      <c r="D1107" s="24">
        <f>IF($A1107="","",IFERROR(VLOOKUP($A1107,物料档案!$A$4:$P$1203,5,0),""))</f>
        <v/>
      </c>
      <c r="E1107" s="24">
        <f>IF($A1107="","",IFERROR(VLOOKUP($A1107,物料档案!$A$4:$P$1203,2,0),""))</f>
        <v/>
      </c>
      <c r="F1107" s="24">
        <f>IF($A1107="","",IFERROR(VLOOKUP($A1107,物料档案!$A$4:$P$1203,6,0),""))</f>
        <v/>
      </c>
      <c r="G1107" s="23" t="n"/>
      <c r="H1107" s="32" t="n"/>
      <c r="I1107" s="27">
        <f>IF($A1107="","",SUMIFS(入库单!$K$4:$K$2503,入库单!$G$4:$G$2503,$A1107,入库单!$X$4:$X$2503,"采购入库",入库单!$Z$4:$Z$2503,"正常",入库单!$C$4:$C$2503,"&gt;="&amp;账期起,入库单!$C$4:$C$2503,"&lt;="&amp;账期止))</f>
        <v/>
      </c>
      <c r="J1107" s="26">
        <f>IF($A1107="","",SUMIFS(入库单!$V$4:$V$2503,入库单!$G$4:$G$2503,$A1107,入库单!$X$4:$X$2503,"采购入库",入库单!$Z$4:$Z$2503,"正常",入库单!$C$4:$C$2503,"&gt;="&amp;账期起,入库单!$C$4:$C$2503,"&lt;="&amp;账期止))</f>
        <v/>
      </c>
      <c r="K1107" s="26">
        <f>IF($A1107="","",IFERROR(ROUND((N($H1107)+N($J1107))/(N($G1107)+N($I1107)),2),0))</f>
        <v/>
      </c>
      <c r="L1107" s="27">
        <f>IF($A1107="","",SUMIFS(入库单!$K$4:$K$2503,入库单!$G$4:$G$2503,$A1107,入库单!$X$4:$X$2503,"盘盈",入库单!$Z$4:$Z$2503,"正常",入库单!$C$4:$C$2503,"&gt;="&amp;账期起,入库单!$C$4:$C$2503,"&lt;="&amp;账期止))</f>
        <v/>
      </c>
      <c r="M1107" s="26">
        <f>IF($A1107="","",ROUND($L1107*$K1107,0))</f>
        <v/>
      </c>
      <c r="N1107" s="27">
        <f>IF($A1107="","",SUMIFS(入库单!$K$4:$K$2503,入库单!$G$4:$G$2503,$A1107,入库单!$X$4:$X$2503,"矿区退库",入库单!$Z$4:$Z$2503,"正常",入库单!$C$4:$C$2503,"&gt;="&amp;账期起,入库单!$C$4:$C$2503,"&lt;="&amp;账期止))</f>
        <v/>
      </c>
      <c r="O1107" s="26">
        <f>IF($A1107="","",ROUND($N1107*$K1107,0))</f>
        <v/>
      </c>
      <c r="P1107" s="27">
        <f>IF($A1107="","",SUMIFS(出库单!$J$4:$J$4003,出库单!$D$4:$D$4003,$A1107,出库单!$K$4:$K$4003,"自用消耗",出库单!$U$4:$U$4003,"正常",出库单!$C$4:$C$4003,"&gt;="&amp;账期起,出库单!$C$4:$C$4003,"&lt;="&amp;账期止))</f>
        <v/>
      </c>
      <c r="Q1107" s="26">
        <f>IF($A1107="","",ROUND(SUMIFS(出库单!$S$4:$S$4003,出库单!$D$4:$D$4003,$A1107,出库单!$K$4:$K$4003,"自用消耗",出库单!$U$4:$U$4003,"正常",出库单!$C$4:$C$4003,"&gt;="&amp;账期起,出库单!$C$4:$C$4003,"&lt;="&amp;账期止),0))</f>
        <v/>
      </c>
      <c r="R1107" s="27">
        <f>IF($A1107="","",SUMIFS(出库单!$J$4:$J$4003,出库单!$D$4:$D$4003,$A1107,出库单!$K$4:$K$4003,"对外销售",出库单!$U$4:$U$4003,"正常",出库单!$C$4:$C$4003,"&gt;="&amp;账期起,出库单!$C$4:$C$4003,"&lt;="&amp;账期止))</f>
        <v/>
      </c>
      <c r="S1107" s="26">
        <f>IF($A1107="","",ROUND(SUMIFS(出库单!$S$4:$S$4003,出库单!$D$4:$D$4003,$A1107,出库单!$K$4:$K$4003,"对外销售",出库单!$U$4:$U$4003,"正常",出库单!$C$4:$C$4003,"&gt;="&amp;账期起,出库单!$C$4:$C$4003,"&lt;="&amp;账期止),0))</f>
        <v/>
      </c>
      <c r="T1107" s="27">
        <f>IF($A1107="","",SUMIFS(出库单!$J$4:$J$4003,出库单!$D$4:$D$4003,$A1107,出库单!$K$4:$K$4003,"盘亏",出库单!$U$4:$U$4003,"正常",出库单!$C$4:$C$4003,"&gt;="&amp;账期起,出库单!$C$4:$C$4003,"&lt;="&amp;账期止))</f>
        <v/>
      </c>
      <c r="U1107" s="26">
        <f>IF($A1107="","",ROUND(SUMIFS(出库单!$S$4:$S$4003,出库单!$D$4:$D$4003,$A1107,出库单!$K$4:$K$4003,"盘亏",出库单!$U$4:$U$4003,"正常",出库单!$C$4:$C$4003,"&gt;="&amp;账期起,出库单!$C$4:$C$4003,"&lt;="&amp;账期止),0))</f>
        <v/>
      </c>
      <c r="V1107" s="27">
        <f>IF($A1107="","",SUMIFS(出库单!$J$4:$J$4003,出库单!$D$4:$D$4003,$A1107,出库单!$K$4:$K$4003,"退货给供应商",出库单!$U$4:$U$4003,"正常",出库单!$C$4:$C$4003,"&gt;="&amp;账期起,出库单!$C$4:$C$4003,"&lt;="&amp;账期止))</f>
        <v/>
      </c>
      <c r="W1107" s="26">
        <f>IF($A1107="","",ROUND(SUMIFS(出库单!$S$4:$S$4003,出库单!$D$4:$D$4003,$A1107,出库单!$K$4:$K$4003,"退货给供应商",出库单!$U$4:$U$4003,"正常",出库单!$C$4:$C$4003,"&gt;="&amp;账期起,出库单!$C$4:$C$4003,"&lt;="&amp;账期止),0))</f>
        <v/>
      </c>
      <c r="X1107" s="27">
        <f>IF($A1107="","",ROUND(N($G1107)+$I1107+$L1107+$N1107-$P1107-$R1107-$T1107-$V1107,3))</f>
        <v/>
      </c>
      <c r="Y1107" s="26">
        <f>IF($A1107="","",ROUND(N($H1107)+$J1107+$M1107+$O1107-$Q1107-$S1107-$U1107-$W1107,0))</f>
        <v/>
      </c>
      <c r="Z1107" s="24">
        <f>IF($A1107="","",IF(COUNTIFS(入库单!$G$4:$G$2503,$A1107,入库单!$Y$4:$Y$2503,"待补价")+COUNTIFS(入库单!$G$4:$G$2503,$A1107,入库单!$Y$4:$Y$2503,"暂估")&gt;0,"不可信","可信"))</f>
        <v/>
      </c>
      <c r="AA1107" s="24">
        <f>IF($A1107="","",IF($X1107&lt;-0.001,"※账面负库存，查一下是不是漏记入库",IF(AND(ROUND($X1107,3)=0,ABS($Y1107)&gt;1),"※数量已经是 0，金额还挂着 "&amp;TEXT($Y1107,"#,##0")&amp;" 先令",IF(AND($X1107&gt;0,$Y1107&lt;=0,$K1107=0),"※有数量没金额（这个物料一直没填过进价）",IF($Z1107="不可信","△成本含待补价/暂估，毛利仅供参考","")))))</f>
        <v/>
      </c>
    </row>
    <row r="1108">
      <c r="A1108" s="24">
        <f>IF(物料档案!$A1107="","",物料档案!$A1107)</f>
        <v/>
      </c>
      <c r="B1108" s="24">
        <f>IF($A1108="","",IFERROR(VLOOKUP($A1108,物料档案!$A$4:$P$1203,3,0),""))</f>
        <v/>
      </c>
      <c r="C1108" s="24">
        <f>IF($A1108="","",IFERROR(VLOOKUP($A1108,物料档案!$A$4:$P$1203,4,0),""))</f>
        <v/>
      </c>
      <c r="D1108" s="24">
        <f>IF($A1108="","",IFERROR(VLOOKUP($A1108,物料档案!$A$4:$P$1203,5,0),""))</f>
        <v/>
      </c>
      <c r="E1108" s="24">
        <f>IF($A1108="","",IFERROR(VLOOKUP($A1108,物料档案!$A$4:$P$1203,2,0),""))</f>
        <v/>
      </c>
      <c r="F1108" s="24">
        <f>IF($A1108="","",IFERROR(VLOOKUP($A1108,物料档案!$A$4:$P$1203,6,0),""))</f>
        <v/>
      </c>
      <c r="G1108" s="23" t="n"/>
      <c r="H1108" s="32" t="n"/>
      <c r="I1108" s="27">
        <f>IF($A1108="","",SUMIFS(入库单!$K$4:$K$2503,入库单!$G$4:$G$2503,$A1108,入库单!$X$4:$X$2503,"采购入库",入库单!$Z$4:$Z$2503,"正常",入库单!$C$4:$C$2503,"&gt;="&amp;账期起,入库单!$C$4:$C$2503,"&lt;="&amp;账期止))</f>
        <v/>
      </c>
      <c r="J1108" s="26">
        <f>IF($A1108="","",SUMIFS(入库单!$V$4:$V$2503,入库单!$G$4:$G$2503,$A1108,入库单!$X$4:$X$2503,"采购入库",入库单!$Z$4:$Z$2503,"正常",入库单!$C$4:$C$2503,"&gt;="&amp;账期起,入库单!$C$4:$C$2503,"&lt;="&amp;账期止))</f>
        <v/>
      </c>
      <c r="K1108" s="26">
        <f>IF($A1108="","",IFERROR(ROUND((N($H1108)+N($J1108))/(N($G1108)+N($I1108)),2),0))</f>
        <v/>
      </c>
      <c r="L1108" s="27">
        <f>IF($A1108="","",SUMIFS(入库单!$K$4:$K$2503,入库单!$G$4:$G$2503,$A1108,入库单!$X$4:$X$2503,"盘盈",入库单!$Z$4:$Z$2503,"正常",入库单!$C$4:$C$2503,"&gt;="&amp;账期起,入库单!$C$4:$C$2503,"&lt;="&amp;账期止))</f>
        <v/>
      </c>
      <c r="M1108" s="26">
        <f>IF($A1108="","",ROUND($L1108*$K1108,0))</f>
        <v/>
      </c>
      <c r="N1108" s="27">
        <f>IF($A1108="","",SUMIFS(入库单!$K$4:$K$2503,入库单!$G$4:$G$2503,$A1108,入库单!$X$4:$X$2503,"矿区退库",入库单!$Z$4:$Z$2503,"正常",入库单!$C$4:$C$2503,"&gt;="&amp;账期起,入库单!$C$4:$C$2503,"&lt;="&amp;账期止))</f>
        <v/>
      </c>
      <c r="O1108" s="26">
        <f>IF($A1108="","",ROUND($N1108*$K1108,0))</f>
        <v/>
      </c>
      <c r="P1108" s="27">
        <f>IF($A1108="","",SUMIFS(出库单!$J$4:$J$4003,出库单!$D$4:$D$4003,$A1108,出库单!$K$4:$K$4003,"自用消耗",出库单!$U$4:$U$4003,"正常",出库单!$C$4:$C$4003,"&gt;="&amp;账期起,出库单!$C$4:$C$4003,"&lt;="&amp;账期止))</f>
        <v/>
      </c>
      <c r="Q1108" s="26">
        <f>IF($A1108="","",ROUND(SUMIFS(出库单!$S$4:$S$4003,出库单!$D$4:$D$4003,$A1108,出库单!$K$4:$K$4003,"自用消耗",出库单!$U$4:$U$4003,"正常",出库单!$C$4:$C$4003,"&gt;="&amp;账期起,出库单!$C$4:$C$4003,"&lt;="&amp;账期止),0))</f>
        <v/>
      </c>
      <c r="R1108" s="27">
        <f>IF($A1108="","",SUMIFS(出库单!$J$4:$J$4003,出库单!$D$4:$D$4003,$A1108,出库单!$K$4:$K$4003,"对外销售",出库单!$U$4:$U$4003,"正常",出库单!$C$4:$C$4003,"&gt;="&amp;账期起,出库单!$C$4:$C$4003,"&lt;="&amp;账期止))</f>
        <v/>
      </c>
      <c r="S1108" s="26">
        <f>IF($A1108="","",ROUND(SUMIFS(出库单!$S$4:$S$4003,出库单!$D$4:$D$4003,$A1108,出库单!$K$4:$K$4003,"对外销售",出库单!$U$4:$U$4003,"正常",出库单!$C$4:$C$4003,"&gt;="&amp;账期起,出库单!$C$4:$C$4003,"&lt;="&amp;账期止),0))</f>
        <v/>
      </c>
      <c r="T1108" s="27">
        <f>IF($A1108="","",SUMIFS(出库单!$J$4:$J$4003,出库单!$D$4:$D$4003,$A1108,出库单!$K$4:$K$4003,"盘亏",出库单!$U$4:$U$4003,"正常",出库单!$C$4:$C$4003,"&gt;="&amp;账期起,出库单!$C$4:$C$4003,"&lt;="&amp;账期止))</f>
        <v/>
      </c>
      <c r="U1108" s="26">
        <f>IF($A1108="","",ROUND(SUMIFS(出库单!$S$4:$S$4003,出库单!$D$4:$D$4003,$A1108,出库单!$K$4:$K$4003,"盘亏",出库单!$U$4:$U$4003,"正常",出库单!$C$4:$C$4003,"&gt;="&amp;账期起,出库单!$C$4:$C$4003,"&lt;="&amp;账期止),0))</f>
        <v/>
      </c>
      <c r="V1108" s="27">
        <f>IF($A1108="","",SUMIFS(出库单!$J$4:$J$4003,出库单!$D$4:$D$4003,$A1108,出库单!$K$4:$K$4003,"退货给供应商",出库单!$U$4:$U$4003,"正常",出库单!$C$4:$C$4003,"&gt;="&amp;账期起,出库单!$C$4:$C$4003,"&lt;="&amp;账期止))</f>
        <v/>
      </c>
      <c r="W1108" s="26">
        <f>IF($A1108="","",ROUND(SUMIFS(出库单!$S$4:$S$4003,出库单!$D$4:$D$4003,$A1108,出库单!$K$4:$K$4003,"退货给供应商",出库单!$U$4:$U$4003,"正常",出库单!$C$4:$C$4003,"&gt;="&amp;账期起,出库单!$C$4:$C$4003,"&lt;="&amp;账期止),0))</f>
        <v/>
      </c>
      <c r="X1108" s="27">
        <f>IF($A1108="","",ROUND(N($G1108)+$I1108+$L1108+$N1108-$P1108-$R1108-$T1108-$V1108,3))</f>
        <v/>
      </c>
      <c r="Y1108" s="26">
        <f>IF($A1108="","",ROUND(N($H1108)+$J1108+$M1108+$O1108-$Q1108-$S1108-$U1108-$W1108,0))</f>
        <v/>
      </c>
      <c r="Z1108" s="24">
        <f>IF($A1108="","",IF(COUNTIFS(入库单!$G$4:$G$2503,$A1108,入库单!$Y$4:$Y$2503,"待补价")+COUNTIFS(入库单!$G$4:$G$2503,$A1108,入库单!$Y$4:$Y$2503,"暂估")&gt;0,"不可信","可信"))</f>
        <v/>
      </c>
      <c r="AA1108" s="24">
        <f>IF($A1108="","",IF($X1108&lt;-0.001,"※账面负库存，查一下是不是漏记入库",IF(AND(ROUND($X1108,3)=0,ABS($Y1108)&gt;1),"※数量已经是 0，金额还挂着 "&amp;TEXT($Y1108,"#,##0")&amp;" 先令",IF(AND($X1108&gt;0,$Y1108&lt;=0,$K1108=0),"※有数量没金额（这个物料一直没填过进价）",IF($Z1108="不可信","△成本含待补价/暂估，毛利仅供参考","")))))</f>
        <v/>
      </c>
    </row>
    <row r="1109">
      <c r="A1109" s="24">
        <f>IF(物料档案!$A1108="","",物料档案!$A1108)</f>
        <v/>
      </c>
      <c r="B1109" s="24">
        <f>IF($A1109="","",IFERROR(VLOOKUP($A1109,物料档案!$A$4:$P$1203,3,0),""))</f>
        <v/>
      </c>
      <c r="C1109" s="24">
        <f>IF($A1109="","",IFERROR(VLOOKUP($A1109,物料档案!$A$4:$P$1203,4,0),""))</f>
        <v/>
      </c>
      <c r="D1109" s="24">
        <f>IF($A1109="","",IFERROR(VLOOKUP($A1109,物料档案!$A$4:$P$1203,5,0),""))</f>
        <v/>
      </c>
      <c r="E1109" s="24">
        <f>IF($A1109="","",IFERROR(VLOOKUP($A1109,物料档案!$A$4:$P$1203,2,0),""))</f>
        <v/>
      </c>
      <c r="F1109" s="24">
        <f>IF($A1109="","",IFERROR(VLOOKUP($A1109,物料档案!$A$4:$P$1203,6,0),""))</f>
        <v/>
      </c>
      <c r="G1109" s="23" t="n"/>
      <c r="H1109" s="32" t="n"/>
      <c r="I1109" s="27">
        <f>IF($A1109="","",SUMIFS(入库单!$K$4:$K$2503,入库单!$G$4:$G$2503,$A1109,入库单!$X$4:$X$2503,"采购入库",入库单!$Z$4:$Z$2503,"正常",入库单!$C$4:$C$2503,"&gt;="&amp;账期起,入库单!$C$4:$C$2503,"&lt;="&amp;账期止))</f>
        <v/>
      </c>
      <c r="J1109" s="26">
        <f>IF($A1109="","",SUMIFS(入库单!$V$4:$V$2503,入库单!$G$4:$G$2503,$A1109,入库单!$X$4:$X$2503,"采购入库",入库单!$Z$4:$Z$2503,"正常",入库单!$C$4:$C$2503,"&gt;="&amp;账期起,入库单!$C$4:$C$2503,"&lt;="&amp;账期止))</f>
        <v/>
      </c>
      <c r="K1109" s="26">
        <f>IF($A1109="","",IFERROR(ROUND((N($H1109)+N($J1109))/(N($G1109)+N($I1109)),2),0))</f>
        <v/>
      </c>
      <c r="L1109" s="27">
        <f>IF($A1109="","",SUMIFS(入库单!$K$4:$K$2503,入库单!$G$4:$G$2503,$A1109,入库单!$X$4:$X$2503,"盘盈",入库单!$Z$4:$Z$2503,"正常",入库单!$C$4:$C$2503,"&gt;="&amp;账期起,入库单!$C$4:$C$2503,"&lt;="&amp;账期止))</f>
        <v/>
      </c>
      <c r="M1109" s="26">
        <f>IF($A1109="","",ROUND($L1109*$K1109,0))</f>
        <v/>
      </c>
      <c r="N1109" s="27">
        <f>IF($A1109="","",SUMIFS(入库单!$K$4:$K$2503,入库单!$G$4:$G$2503,$A1109,入库单!$X$4:$X$2503,"矿区退库",入库单!$Z$4:$Z$2503,"正常",入库单!$C$4:$C$2503,"&gt;="&amp;账期起,入库单!$C$4:$C$2503,"&lt;="&amp;账期止))</f>
        <v/>
      </c>
      <c r="O1109" s="26">
        <f>IF($A1109="","",ROUND($N1109*$K1109,0))</f>
        <v/>
      </c>
      <c r="P1109" s="27">
        <f>IF($A1109="","",SUMIFS(出库单!$J$4:$J$4003,出库单!$D$4:$D$4003,$A1109,出库单!$K$4:$K$4003,"自用消耗",出库单!$U$4:$U$4003,"正常",出库单!$C$4:$C$4003,"&gt;="&amp;账期起,出库单!$C$4:$C$4003,"&lt;="&amp;账期止))</f>
        <v/>
      </c>
      <c r="Q1109" s="26">
        <f>IF($A1109="","",ROUND(SUMIFS(出库单!$S$4:$S$4003,出库单!$D$4:$D$4003,$A1109,出库单!$K$4:$K$4003,"自用消耗",出库单!$U$4:$U$4003,"正常",出库单!$C$4:$C$4003,"&gt;="&amp;账期起,出库单!$C$4:$C$4003,"&lt;="&amp;账期止),0))</f>
        <v/>
      </c>
      <c r="R1109" s="27">
        <f>IF($A1109="","",SUMIFS(出库单!$J$4:$J$4003,出库单!$D$4:$D$4003,$A1109,出库单!$K$4:$K$4003,"对外销售",出库单!$U$4:$U$4003,"正常",出库单!$C$4:$C$4003,"&gt;="&amp;账期起,出库单!$C$4:$C$4003,"&lt;="&amp;账期止))</f>
        <v/>
      </c>
      <c r="S1109" s="26">
        <f>IF($A1109="","",ROUND(SUMIFS(出库单!$S$4:$S$4003,出库单!$D$4:$D$4003,$A1109,出库单!$K$4:$K$4003,"对外销售",出库单!$U$4:$U$4003,"正常",出库单!$C$4:$C$4003,"&gt;="&amp;账期起,出库单!$C$4:$C$4003,"&lt;="&amp;账期止),0))</f>
        <v/>
      </c>
      <c r="T1109" s="27">
        <f>IF($A1109="","",SUMIFS(出库单!$J$4:$J$4003,出库单!$D$4:$D$4003,$A1109,出库单!$K$4:$K$4003,"盘亏",出库单!$U$4:$U$4003,"正常",出库单!$C$4:$C$4003,"&gt;="&amp;账期起,出库单!$C$4:$C$4003,"&lt;="&amp;账期止))</f>
        <v/>
      </c>
      <c r="U1109" s="26">
        <f>IF($A1109="","",ROUND(SUMIFS(出库单!$S$4:$S$4003,出库单!$D$4:$D$4003,$A1109,出库单!$K$4:$K$4003,"盘亏",出库单!$U$4:$U$4003,"正常",出库单!$C$4:$C$4003,"&gt;="&amp;账期起,出库单!$C$4:$C$4003,"&lt;="&amp;账期止),0))</f>
        <v/>
      </c>
      <c r="V1109" s="27">
        <f>IF($A1109="","",SUMIFS(出库单!$J$4:$J$4003,出库单!$D$4:$D$4003,$A1109,出库单!$K$4:$K$4003,"退货给供应商",出库单!$U$4:$U$4003,"正常",出库单!$C$4:$C$4003,"&gt;="&amp;账期起,出库单!$C$4:$C$4003,"&lt;="&amp;账期止))</f>
        <v/>
      </c>
      <c r="W1109" s="26">
        <f>IF($A1109="","",ROUND(SUMIFS(出库单!$S$4:$S$4003,出库单!$D$4:$D$4003,$A1109,出库单!$K$4:$K$4003,"退货给供应商",出库单!$U$4:$U$4003,"正常",出库单!$C$4:$C$4003,"&gt;="&amp;账期起,出库单!$C$4:$C$4003,"&lt;="&amp;账期止),0))</f>
        <v/>
      </c>
      <c r="X1109" s="27">
        <f>IF($A1109="","",ROUND(N($G1109)+$I1109+$L1109+$N1109-$P1109-$R1109-$T1109-$V1109,3))</f>
        <v/>
      </c>
      <c r="Y1109" s="26">
        <f>IF($A1109="","",ROUND(N($H1109)+$J1109+$M1109+$O1109-$Q1109-$S1109-$U1109-$W1109,0))</f>
        <v/>
      </c>
      <c r="Z1109" s="24">
        <f>IF($A1109="","",IF(COUNTIFS(入库单!$G$4:$G$2503,$A1109,入库单!$Y$4:$Y$2503,"待补价")+COUNTIFS(入库单!$G$4:$G$2503,$A1109,入库单!$Y$4:$Y$2503,"暂估")&gt;0,"不可信","可信"))</f>
        <v/>
      </c>
      <c r="AA1109" s="24">
        <f>IF($A1109="","",IF($X1109&lt;-0.001,"※账面负库存，查一下是不是漏记入库",IF(AND(ROUND($X1109,3)=0,ABS($Y1109)&gt;1),"※数量已经是 0，金额还挂着 "&amp;TEXT($Y1109,"#,##0")&amp;" 先令",IF(AND($X1109&gt;0,$Y1109&lt;=0,$K1109=0),"※有数量没金额（这个物料一直没填过进价）",IF($Z1109="不可信","△成本含待补价/暂估，毛利仅供参考","")))))</f>
        <v/>
      </c>
    </row>
    <row r="1110">
      <c r="A1110" s="24">
        <f>IF(物料档案!$A1109="","",物料档案!$A1109)</f>
        <v/>
      </c>
      <c r="B1110" s="24">
        <f>IF($A1110="","",IFERROR(VLOOKUP($A1110,物料档案!$A$4:$P$1203,3,0),""))</f>
        <v/>
      </c>
      <c r="C1110" s="24">
        <f>IF($A1110="","",IFERROR(VLOOKUP($A1110,物料档案!$A$4:$P$1203,4,0),""))</f>
        <v/>
      </c>
      <c r="D1110" s="24">
        <f>IF($A1110="","",IFERROR(VLOOKUP($A1110,物料档案!$A$4:$P$1203,5,0),""))</f>
        <v/>
      </c>
      <c r="E1110" s="24">
        <f>IF($A1110="","",IFERROR(VLOOKUP($A1110,物料档案!$A$4:$P$1203,2,0),""))</f>
        <v/>
      </c>
      <c r="F1110" s="24">
        <f>IF($A1110="","",IFERROR(VLOOKUP($A1110,物料档案!$A$4:$P$1203,6,0),""))</f>
        <v/>
      </c>
      <c r="G1110" s="23" t="n"/>
      <c r="H1110" s="32" t="n"/>
      <c r="I1110" s="27">
        <f>IF($A1110="","",SUMIFS(入库单!$K$4:$K$2503,入库单!$G$4:$G$2503,$A1110,入库单!$X$4:$X$2503,"采购入库",入库单!$Z$4:$Z$2503,"正常",入库单!$C$4:$C$2503,"&gt;="&amp;账期起,入库单!$C$4:$C$2503,"&lt;="&amp;账期止))</f>
        <v/>
      </c>
      <c r="J1110" s="26">
        <f>IF($A1110="","",SUMIFS(入库单!$V$4:$V$2503,入库单!$G$4:$G$2503,$A1110,入库单!$X$4:$X$2503,"采购入库",入库单!$Z$4:$Z$2503,"正常",入库单!$C$4:$C$2503,"&gt;="&amp;账期起,入库单!$C$4:$C$2503,"&lt;="&amp;账期止))</f>
        <v/>
      </c>
      <c r="K1110" s="26">
        <f>IF($A1110="","",IFERROR(ROUND((N($H1110)+N($J1110))/(N($G1110)+N($I1110)),2),0))</f>
        <v/>
      </c>
      <c r="L1110" s="27">
        <f>IF($A1110="","",SUMIFS(入库单!$K$4:$K$2503,入库单!$G$4:$G$2503,$A1110,入库单!$X$4:$X$2503,"盘盈",入库单!$Z$4:$Z$2503,"正常",入库单!$C$4:$C$2503,"&gt;="&amp;账期起,入库单!$C$4:$C$2503,"&lt;="&amp;账期止))</f>
        <v/>
      </c>
      <c r="M1110" s="26">
        <f>IF($A1110="","",ROUND($L1110*$K1110,0))</f>
        <v/>
      </c>
      <c r="N1110" s="27">
        <f>IF($A1110="","",SUMIFS(入库单!$K$4:$K$2503,入库单!$G$4:$G$2503,$A1110,入库单!$X$4:$X$2503,"矿区退库",入库单!$Z$4:$Z$2503,"正常",入库单!$C$4:$C$2503,"&gt;="&amp;账期起,入库单!$C$4:$C$2503,"&lt;="&amp;账期止))</f>
        <v/>
      </c>
      <c r="O1110" s="26">
        <f>IF($A1110="","",ROUND($N1110*$K1110,0))</f>
        <v/>
      </c>
      <c r="P1110" s="27">
        <f>IF($A1110="","",SUMIFS(出库单!$J$4:$J$4003,出库单!$D$4:$D$4003,$A1110,出库单!$K$4:$K$4003,"自用消耗",出库单!$U$4:$U$4003,"正常",出库单!$C$4:$C$4003,"&gt;="&amp;账期起,出库单!$C$4:$C$4003,"&lt;="&amp;账期止))</f>
        <v/>
      </c>
      <c r="Q1110" s="26">
        <f>IF($A1110="","",ROUND(SUMIFS(出库单!$S$4:$S$4003,出库单!$D$4:$D$4003,$A1110,出库单!$K$4:$K$4003,"自用消耗",出库单!$U$4:$U$4003,"正常",出库单!$C$4:$C$4003,"&gt;="&amp;账期起,出库单!$C$4:$C$4003,"&lt;="&amp;账期止),0))</f>
        <v/>
      </c>
      <c r="R1110" s="27">
        <f>IF($A1110="","",SUMIFS(出库单!$J$4:$J$4003,出库单!$D$4:$D$4003,$A1110,出库单!$K$4:$K$4003,"对外销售",出库单!$U$4:$U$4003,"正常",出库单!$C$4:$C$4003,"&gt;="&amp;账期起,出库单!$C$4:$C$4003,"&lt;="&amp;账期止))</f>
        <v/>
      </c>
      <c r="S1110" s="26">
        <f>IF($A1110="","",ROUND(SUMIFS(出库单!$S$4:$S$4003,出库单!$D$4:$D$4003,$A1110,出库单!$K$4:$K$4003,"对外销售",出库单!$U$4:$U$4003,"正常",出库单!$C$4:$C$4003,"&gt;="&amp;账期起,出库单!$C$4:$C$4003,"&lt;="&amp;账期止),0))</f>
        <v/>
      </c>
      <c r="T1110" s="27">
        <f>IF($A1110="","",SUMIFS(出库单!$J$4:$J$4003,出库单!$D$4:$D$4003,$A1110,出库单!$K$4:$K$4003,"盘亏",出库单!$U$4:$U$4003,"正常",出库单!$C$4:$C$4003,"&gt;="&amp;账期起,出库单!$C$4:$C$4003,"&lt;="&amp;账期止))</f>
        <v/>
      </c>
      <c r="U1110" s="26">
        <f>IF($A1110="","",ROUND(SUMIFS(出库单!$S$4:$S$4003,出库单!$D$4:$D$4003,$A1110,出库单!$K$4:$K$4003,"盘亏",出库单!$U$4:$U$4003,"正常",出库单!$C$4:$C$4003,"&gt;="&amp;账期起,出库单!$C$4:$C$4003,"&lt;="&amp;账期止),0))</f>
        <v/>
      </c>
      <c r="V1110" s="27">
        <f>IF($A1110="","",SUMIFS(出库单!$J$4:$J$4003,出库单!$D$4:$D$4003,$A1110,出库单!$K$4:$K$4003,"退货给供应商",出库单!$U$4:$U$4003,"正常",出库单!$C$4:$C$4003,"&gt;="&amp;账期起,出库单!$C$4:$C$4003,"&lt;="&amp;账期止))</f>
        <v/>
      </c>
      <c r="W1110" s="26">
        <f>IF($A1110="","",ROUND(SUMIFS(出库单!$S$4:$S$4003,出库单!$D$4:$D$4003,$A1110,出库单!$K$4:$K$4003,"退货给供应商",出库单!$U$4:$U$4003,"正常",出库单!$C$4:$C$4003,"&gt;="&amp;账期起,出库单!$C$4:$C$4003,"&lt;="&amp;账期止),0))</f>
        <v/>
      </c>
      <c r="X1110" s="27">
        <f>IF($A1110="","",ROUND(N($G1110)+$I1110+$L1110+$N1110-$P1110-$R1110-$T1110-$V1110,3))</f>
        <v/>
      </c>
      <c r="Y1110" s="26">
        <f>IF($A1110="","",ROUND(N($H1110)+$J1110+$M1110+$O1110-$Q1110-$S1110-$U1110-$W1110,0))</f>
        <v/>
      </c>
      <c r="Z1110" s="24">
        <f>IF($A1110="","",IF(COUNTIFS(入库单!$G$4:$G$2503,$A1110,入库单!$Y$4:$Y$2503,"待补价")+COUNTIFS(入库单!$G$4:$G$2503,$A1110,入库单!$Y$4:$Y$2503,"暂估")&gt;0,"不可信","可信"))</f>
        <v/>
      </c>
      <c r="AA1110" s="24">
        <f>IF($A1110="","",IF($X1110&lt;-0.001,"※账面负库存，查一下是不是漏记入库",IF(AND(ROUND($X1110,3)=0,ABS($Y1110)&gt;1),"※数量已经是 0，金额还挂着 "&amp;TEXT($Y1110,"#,##0")&amp;" 先令",IF(AND($X1110&gt;0,$Y1110&lt;=0,$K1110=0),"※有数量没金额（这个物料一直没填过进价）",IF($Z1110="不可信","△成本含待补价/暂估，毛利仅供参考","")))))</f>
        <v/>
      </c>
    </row>
    <row r="1111">
      <c r="A1111" s="24">
        <f>IF(物料档案!$A1110="","",物料档案!$A1110)</f>
        <v/>
      </c>
      <c r="B1111" s="24">
        <f>IF($A1111="","",IFERROR(VLOOKUP($A1111,物料档案!$A$4:$P$1203,3,0),""))</f>
        <v/>
      </c>
      <c r="C1111" s="24">
        <f>IF($A1111="","",IFERROR(VLOOKUP($A1111,物料档案!$A$4:$P$1203,4,0),""))</f>
        <v/>
      </c>
      <c r="D1111" s="24">
        <f>IF($A1111="","",IFERROR(VLOOKUP($A1111,物料档案!$A$4:$P$1203,5,0),""))</f>
        <v/>
      </c>
      <c r="E1111" s="24">
        <f>IF($A1111="","",IFERROR(VLOOKUP($A1111,物料档案!$A$4:$P$1203,2,0),""))</f>
        <v/>
      </c>
      <c r="F1111" s="24">
        <f>IF($A1111="","",IFERROR(VLOOKUP($A1111,物料档案!$A$4:$P$1203,6,0),""))</f>
        <v/>
      </c>
      <c r="G1111" s="23" t="n"/>
      <c r="H1111" s="32" t="n"/>
      <c r="I1111" s="27">
        <f>IF($A1111="","",SUMIFS(入库单!$K$4:$K$2503,入库单!$G$4:$G$2503,$A1111,入库单!$X$4:$X$2503,"采购入库",入库单!$Z$4:$Z$2503,"正常",入库单!$C$4:$C$2503,"&gt;="&amp;账期起,入库单!$C$4:$C$2503,"&lt;="&amp;账期止))</f>
        <v/>
      </c>
      <c r="J1111" s="26">
        <f>IF($A1111="","",SUMIFS(入库单!$V$4:$V$2503,入库单!$G$4:$G$2503,$A1111,入库单!$X$4:$X$2503,"采购入库",入库单!$Z$4:$Z$2503,"正常",入库单!$C$4:$C$2503,"&gt;="&amp;账期起,入库单!$C$4:$C$2503,"&lt;="&amp;账期止))</f>
        <v/>
      </c>
      <c r="K1111" s="26">
        <f>IF($A1111="","",IFERROR(ROUND((N($H1111)+N($J1111))/(N($G1111)+N($I1111)),2),0))</f>
        <v/>
      </c>
      <c r="L1111" s="27">
        <f>IF($A1111="","",SUMIFS(入库单!$K$4:$K$2503,入库单!$G$4:$G$2503,$A1111,入库单!$X$4:$X$2503,"盘盈",入库单!$Z$4:$Z$2503,"正常",入库单!$C$4:$C$2503,"&gt;="&amp;账期起,入库单!$C$4:$C$2503,"&lt;="&amp;账期止))</f>
        <v/>
      </c>
      <c r="M1111" s="26">
        <f>IF($A1111="","",ROUND($L1111*$K1111,0))</f>
        <v/>
      </c>
      <c r="N1111" s="27">
        <f>IF($A1111="","",SUMIFS(入库单!$K$4:$K$2503,入库单!$G$4:$G$2503,$A1111,入库单!$X$4:$X$2503,"矿区退库",入库单!$Z$4:$Z$2503,"正常",入库单!$C$4:$C$2503,"&gt;="&amp;账期起,入库单!$C$4:$C$2503,"&lt;="&amp;账期止))</f>
        <v/>
      </c>
      <c r="O1111" s="26">
        <f>IF($A1111="","",ROUND($N1111*$K1111,0))</f>
        <v/>
      </c>
      <c r="P1111" s="27">
        <f>IF($A1111="","",SUMIFS(出库单!$J$4:$J$4003,出库单!$D$4:$D$4003,$A1111,出库单!$K$4:$K$4003,"自用消耗",出库单!$U$4:$U$4003,"正常",出库单!$C$4:$C$4003,"&gt;="&amp;账期起,出库单!$C$4:$C$4003,"&lt;="&amp;账期止))</f>
        <v/>
      </c>
      <c r="Q1111" s="26">
        <f>IF($A1111="","",ROUND(SUMIFS(出库单!$S$4:$S$4003,出库单!$D$4:$D$4003,$A1111,出库单!$K$4:$K$4003,"自用消耗",出库单!$U$4:$U$4003,"正常",出库单!$C$4:$C$4003,"&gt;="&amp;账期起,出库单!$C$4:$C$4003,"&lt;="&amp;账期止),0))</f>
        <v/>
      </c>
      <c r="R1111" s="27">
        <f>IF($A1111="","",SUMIFS(出库单!$J$4:$J$4003,出库单!$D$4:$D$4003,$A1111,出库单!$K$4:$K$4003,"对外销售",出库单!$U$4:$U$4003,"正常",出库单!$C$4:$C$4003,"&gt;="&amp;账期起,出库单!$C$4:$C$4003,"&lt;="&amp;账期止))</f>
        <v/>
      </c>
      <c r="S1111" s="26">
        <f>IF($A1111="","",ROUND(SUMIFS(出库单!$S$4:$S$4003,出库单!$D$4:$D$4003,$A1111,出库单!$K$4:$K$4003,"对外销售",出库单!$U$4:$U$4003,"正常",出库单!$C$4:$C$4003,"&gt;="&amp;账期起,出库单!$C$4:$C$4003,"&lt;="&amp;账期止),0))</f>
        <v/>
      </c>
      <c r="T1111" s="27">
        <f>IF($A1111="","",SUMIFS(出库单!$J$4:$J$4003,出库单!$D$4:$D$4003,$A1111,出库单!$K$4:$K$4003,"盘亏",出库单!$U$4:$U$4003,"正常",出库单!$C$4:$C$4003,"&gt;="&amp;账期起,出库单!$C$4:$C$4003,"&lt;="&amp;账期止))</f>
        <v/>
      </c>
      <c r="U1111" s="26">
        <f>IF($A1111="","",ROUND(SUMIFS(出库单!$S$4:$S$4003,出库单!$D$4:$D$4003,$A1111,出库单!$K$4:$K$4003,"盘亏",出库单!$U$4:$U$4003,"正常",出库单!$C$4:$C$4003,"&gt;="&amp;账期起,出库单!$C$4:$C$4003,"&lt;="&amp;账期止),0))</f>
        <v/>
      </c>
      <c r="V1111" s="27">
        <f>IF($A1111="","",SUMIFS(出库单!$J$4:$J$4003,出库单!$D$4:$D$4003,$A1111,出库单!$K$4:$K$4003,"退货给供应商",出库单!$U$4:$U$4003,"正常",出库单!$C$4:$C$4003,"&gt;="&amp;账期起,出库单!$C$4:$C$4003,"&lt;="&amp;账期止))</f>
        <v/>
      </c>
      <c r="W1111" s="26">
        <f>IF($A1111="","",ROUND(SUMIFS(出库单!$S$4:$S$4003,出库单!$D$4:$D$4003,$A1111,出库单!$K$4:$K$4003,"退货给供应商",出库单!$U$4:$U$4003,"正常",出库单!$C$4:$C$4003,"&gt;="&amp;账期起,出库单!$C$4:$C$4003,"&lt;="&amp;账期止),0))</f>
        <v/>
      </c>
      <c r="X1111" s="27">
        <f>IF($A1111="","",ROUND(N($G1111)+$I1111+$L1111+$N1111-$P1111-$R1111-$T1111-$V1111,3))</f>
        <v/>
      </c>
      <c r="Y1111" s="26">
        <f>IF($A1111="","",ROUND(N($H1111)+$J1111+$M1111+$O1111-$Q1111-$S1111-$U1111-$W1111,0))</f>
        <v/>
      </c>
      <c r="Z1111" s="24">
        <f>IF($A1111="","",IF(COUNTIFS(入库单!$G$4:$G$2503,$A1111,入库单!$Y$4:$Y$2503,"待补价")+COUNTIFS(入库单!$G$4:$G$2503,$A1111,入库单!$Y$4:$Y$2503,"暂估")&gt;0,"不可信","可信"))</f>
        <v/>
      </c>
      <c r="AA1111" s="24">
        <f>IF($A1111="","",IF($X1111&lt;-0.001,"※账面负库存，查一下是不是漏记入库",IF(AND(ROUND($X1111,3)=0,ABS($Y1111)&gt;1),"※数量已经是 0，金额还挂着 "&amp;TEXT($Y1111,"#,##0")&amp;" 先令",IF(AND($X1111&gt;0,$Y1111&lt;=0,$K1111=0),"※有数量没金额（这个物料一直没填过进价）",IF($Z1111="不可信","△成本含待补价/暂估，毛利仅供参考","")))))</f>
        <v/>
      </c>
    </row>
    <row r="1112">
      <c r="A1112" s="24">
        <f>IF(物料档案!$A1111="","",物料档案!$A1111)</f>
        <v/>
      </c>
      <c r="B1112" s="24">
        <f>IF($A1112="","",IFERROR(VLOOKUP($A1112,物料档案!$A$4:$P$1203,3,0),""))</f>
        <v/>
      </c>
      <c r="C1112" s="24">
        <f>IF($A1112="","",IFERROR(VLOOKUP($A1112,物料档案!$A$4:$P$1203,4,0),""))</f>
        <v/>
      </c>
      <c r="D1112" s="24">
        <f>IF($A1112="","",IFERROR(VLOOKUP($A1112,物料档案!$A$4:$P$1203,5,0),""))</f>
        <v/>
      </c>
      <c r="E1112" s="24">
        <f>IF($A1112="","",IFERROR(VLOOKUP($A1112,物料档案!$A$4:$P$1203,2,0),""))</f>
        <v/>
      </c>
      <c r="F1112" s="24">
        <f>IF($A1112="","",IFERROR(VLOOKUP($A1112,物料档案!$A$4:$P$1203,6,0),""))</f>
        <v/>
      </c>
      <c r="G1112" s="23" t="n"/>
      <c r="H1112" s="32" t="n"/>
      <c r="I1112" s="27">
        <f>IF($A1112="","",SUMIFS(入库单!$K$4:$K$2503,入库单!$G$4:$G$2503,$A1112,入库单!$X$4:$X$2503,"采购入库",入库单!$Z$4:$Z$2503,"正常",入库单!$C$4:$C$2503,"&gt;="&amp;账期起,入库单!$C$4:$C$2503,"&lt;="&amp;账期止))</f>
        <v/>
      </c>
      <c r="J1112" s="26">
        <f>IF($A1112="","",SUMIFS(入库单!$V$4:$V$2503,入库单!$G$4:$G$2503,$A1112,入库单!$X$4:$X$2503,"采购入库",入库单!$Z$4:$Z$2503,"正常",入库单!$C$4:$C$2503,"&gt;="&amp;账期起,入库单!$C$4:$C$2503,"&lt;="&amp;账期止))</f>
        <v/>
      </c>
      <c r="K1112" s="26">
        <f>IF($A1112="","",IFERROR(ROUND((N($H1112)+N($J1112))/(N($G1112)+N($I1112)),2),0))</f>
        <v/>
      </c>
      <c r="L1112" s="27">
        <f>IF($A1112="","",SUMIFS(入库单!$K$4:$K$2503,入库单!$G$4:$G$2503,$A1112,入库单!$X$4:$X$2503,"盘盈",入库单!$Z$4:$Z$2503,"正常",入库单!$C$4:$C$2503,"&gt;="&amp;账期起,入库单!$C$4:$C$2503,"&lt;="&amp;账期止))</f>
        <v/>
      </c>
      <c r="M1112" s="26">
        <f>IF($A1112="","",ROUND($L1112*$K1112,0))</f>
        <v/>
      </c>
      <c r="N1112" s="27">
        <f>IF($A1112="","",SUMIFS(入库单!$K$4:$K$2503,入库单!$G$4:$G$2503,$A1112,入库单!$X$4:$X$2503,"矿区退库",入库单!$Z$4:$Z$2503,"正常",入库单!$C$4:$C$2503,"&gt;="&amp;账期起,入库单!$C$4:$C$2503,"&lt;="&amp;账期止))</f>
        <v/>
      </c>
      <c r="O1112" s="26">
        <f>IF($A1112="","",ROUND($N1112*$K1112,0))</f>
        <v/>
      </c>
      <c r="P1112" s="27">
        <f>IF($A1112="","",SUMIFS(出库单!$J$4:$J$4003,出库单!$D$4:$D$4003,$A1112,出库单!$K$4:$K$4003,"自用消耗",出库单!$U$4:$U$4003,"正常",出库单!$C$4:$C$4003,"&gt;="&amp;账期起,出库单!$C$4:$C$4003,"&lt;="&amp;账期止))</f>
        <v/>
      </c>
      <c r="Q1112" s="26">
        <f>IF($A1112="","",ROUND(SUMIFS(出库单!$S$4:$S$4003,出库单!$D$4:$D$4003,$A1112,出库单!$K$4:$K$4003,"自用消耗",出库单!$U$4:$U$4003,"正常",出库单!$C$4:$C$4003,"&gt;="&amp;账期起,出库单!$C$4:$C$4003,"&lt;="&amp;账期止),0))</f>
        <v/>
      </c>
      <c r="R1112" s="27">
        <f>IF($A1112="","",SUMIFS(出库单!$J$4:$J$4003,出库单!$D$4:$D$4003,$A1112,出库单!$K$4:$K$4003,"对外销售",出库单!$U$4:$U$4003,"正常",出库单!$C$4:$C$4003,"&gt;="&amp;账期起,出库单!$C$4:$C$4003,"&lt;="&amp;账期止))</f>
        <v/>
      </c>
      <c r="S1112" s="26">
        <f>IF($A1112="","",ROUND(SUMIFS(出库单!$S$4:$S$4003,出库单!$D$4:$D$4003,$A1112,出库单!$K$4:$K$4003,"对外销售",出库单!$U$4:$U$4003,"正常",出库单!$C$4:$C$4003,"&gt;="&amp;账期起,出库单!$C$4:$C$4003,"&lt;="&amp;账期止),0))</f>
        <v/>
      </c>
      <c r="T1112" s="27">
        <f>IF($A1112="","",SUMIFS(出库单!$J$4:$J$4003,出库单!$D$4:$D$4003,$A1112,出库单!$K$4:$K$4003,"盘亏",出库单!$U$4:$U$4003,"正常",出库单!$C$4:$C$4003,"&gt;="&amp;账期起,出库单!$C$4:$C$4003,"&lt;="&amp;账期止))</f>
        <v/>
      </c>
      <c r="U1112" s="26">
        <f>IF($A1112="","",ROUND(SUMIFS(出库单!$S$4:$S$4003,出库单!$D$4:$D$4003,$A1112,出库单!$K$4:$K$4003,"盘亏",出库单!$U$4:$U$4003,"正常",出库单!$C$4:$C$4003,"&gt;="&amp;账期起,出库单!$C$4:$C$4003,"&lt;="&amp;账期止),0))</f>
        <v/>
      </c>
      <c r="V1112" s="27">
        <f>IF($A1112="","",SUMIFS(出库单!$J$4:$J$4003,出库单!$D$4:$D$4003,$A1112,出库单!$K$4:$K$4003,"退货给供应商",出库单!$U$4:$U$4003,"正常",出库单!$C$4:$C$4003,"&gt;="&amp;账期起,出库单!$C$4:$C$4003,"&lt;="&amp;账期止))</f>
        <v/>
      </c>
      <c r="W1112" s="26">
        <f>IF($A1112="","",ROUND(SUMIFS(出库单!$S$4:$S$4003,出库单!$D$4:$D$4003,$A1112,出库单!$K$4:$K$4003,"退货给供应商",出库单!$U$4:$U$4003,"正常",出库单!$C$4:$C$4003,"&gt;="&amp;账期起,出库单!$C$4:$C$4003,"&lt;="&amp;账期止),0))</f>
        <v/>
      </c>
      <c r="X1112" s="27">
        <f>IF($A1112="","",ROUND(N($G1112)+$I1112+$L1112+$N1112-$P1112-$R1112-$T1112-$V1112,3))</f>
        <v/>
      </c>
      <c r="Y1112" s="26">
        <f>IF($A1112="","",ROUND(N($H1112)+$J1112+$M1112+$O1112-$Q1112-$S1112-$U1112-$W1112,0))</f>
        <v/>
      </c>
      <c r="Z1112" s="24">
        <f>IF($A1112="","",IF(COUNTIFS(入库单!$G$4:$G$2503,$A1112,入库单!$Y$4:$Y$2503,"待补价")+COUNTIFS(入库单!$G$4:$G$2503,$A1112,入库单!$Y$4:$Y$2503,"暂估")&gt;0,"不可信","可信"))</f>
        <v/>
      </c>
      <c r="AA1112" s="24">
        <f>IF($A1112="","",IF($X1112&lt;-0.001,"※账面负库存，查一下是不是漏记入库",IF(AND(ROUND($X1112,3)=0,ABS($Y1112)&gt;1),"※数量已经是 0，金额还挂着 "&amp;TEXT($Y1112,"#,##0")&amp;" 先令",IF(AND($X1112&gt;0,$Y1112&lt;=0,$K1112=0),"※有数量没金额（这个物料一直没填过进价）",IF($Z1112="不可信","△成本含待补价/暂估，毛利仅供参考","")))))</f>
        <v/>
      </c>
    </row>
    <row r="1113">
      <c r="A1113" s="24">
        <f>IF(物料档案!$A1112="","",物料档案!$A1112)</f>
        <v/>
      </c>
      <c r="B1113" s="24">
        <f>IF($A1113="","",IFERROR(VLOOKUP($A1113,物料档案!$A$4:$P$1203,3,0),""))</f>
        <v/>
      </c>
      <c r="C1113" s="24">
        <f>IF($A1113="","",IFERROR(VLOOKUP($A1113,物料档案!$A$4:$P$1203,4,0),""))</f>
        <v/>
      </c>
      <c r="D1113" s="24">
        <f>IF($A1113="","",IFERROR(VLOOKUP($A1113,物料档案!$A$4:$P$1203,5,0),""))</f>
        <v/>
      </c>
      <c r="E1113" s="24">
        <f>IF($A1113="","",IFERROR(VLOOKUP($A1113,物料档案!$A$4:$P$1203,2,0),""))</f>
        <v/>
      </c>
      <c r="F1113" s="24">
        <f>IF($A1113="","",IFERROR(VLOOKUP($A1113,物料档案!$A$4:$P$1203,6,0),""))</f>
        <v/>
      </c>
      <c r="G1113" s="23" t="n"/>
      <c r="H1113" s="32" t="n"/>
      <c r="I1113" s="27">
        <f>IF($A1113="","",SUMIFS(入库单!$K$4:$K$2503,入库单!$G$4:$G$2503,$A1113,入库单!$X$4:$X$2503,"采购入库",入库单!$Z$4:$Z$2503,"正常",入库单!$C$4:$C$2503,"&gt;="&amp;账期起,入库单!$C$4:$C$2503,"&lt;="&amp;账期止))</f>
        <v/>
      </c>
      <c r="J1113" s="26">
        <f>IF($A1113="","",SUMIFS(入库单!$V$4:$V$2503,入库单!$G$4:$G$2503,$A1113,入库单!$X$4:$X$2503,"采购入库",入库单!$Z$4:$Z$2503,"正常",入库单!$C$4:$C$2503,"&gt;="&amp;账期起,入库单!$C$4:$C$2503,"&lt;="&amp;账期止))</f>
        <v/>
      </c>
      <c r="K1113" s="26">
        <f>IF($A1113="","",IFERROR(ROUND((N($H1113)+N($J1113))/(N($G1113)+N($I1113)),2),0))</f>
        <v/>
      </c>
      <c r="L1113" s="27">
        <f>IF($A1113="","",SUMIFS(入库单!$K$4:$K$2503,入库单!$G$4:$G$2503,$A1113,入库单!$X$4:$X$2503,"盘盈",入库单!$Z$4:$Z$2503,"正常",入库单!$C$4:$C$2503,"&gt;="&amp;账期起,入库单!$C$4:$C$2503,"&lt;="&amp;账期止))</f>
        <v/>
      </c>
      <c r="M1113" s="26">
        <f>IF($A1113="","",ROUND($L1113*$K1113,0))</f>
        <v/>
      </c>
      <c r="N1113" s="27">
        <f>IF($A1113="","",SUMIFS(入库单!$K$4:$K$2503,入库单!$G$4:$G$2503,$A1113,入库单!$X$4:$X$2503,"矿区退库",入库单!$Z$4:$Z$2503,"正常",入库单!$C$4:$C$2503,"&gt;="&amp;账期起,入库单!$C$4:$C$2503,"&lt;="&amp;账期止))</f>
        <v/>
      </c>
      <c r="O1113" s="26">
        <f>IF($A1113="","",ROUND($N1113*$K1113,0))</f>
        <v/>
      </c>
      <c r="P1113" s="27">
        <f>IF($A1113="","",SUMIFS(出库单!$J$4:$J$4003,出库单!$D$4:$D$4003,$A1113,出库单!$K$4:$K$4003,"自用消耗",出库单!$U$4:$U$4003,"正常",出库单!$C$4:$C$4003,"&gt;="&amp;账期起,出库单!$C$4:$C$4003,"&lt;="&amp;账期止))</f>
        <v/>
      </c>
      <c r="Q1113" s="26">
        <f>IF($A1113="","",ROUND(SUMIFS(出库单!$S$4:$S$4003,出库单!$D$4:$D$4003,$A1113,出库单!$K$4:$K$4003,"自用消耗",出库单!$U$4:$U$4003,"正常",出库单!$C$4:$C$4003,"&gt;="&amp;账期起,出库单!$C$4:$C$4003,"&lt;="&amp;账期止),0))</f>
        <v/>
      </c>
      <c r="R1113" s="27">
        <f>IF($A1113="","",SUMIFS(出库单!$J$4:$J$4003,出库单!$D$4:$D$4003,$A1113,出库单!$K$4:$K$4003,"对外销售",出库单!$U$4:$U$4003,"正常",出库单!$C$4:$C$4003,"&gt;="&amp;账期起,出库单!$C$4:$C$4003,"&lt;="&amp;账期止))</f>
        <v/>
      </c>
      <c r="S1113" s="26">
        <f>IF($A1113="","",ROUND(SUMIFS(出库单!$S$4:$S$4003,出库单!$D$4:$D$4003,$A1113,出库单!$K$4:$K$4003,"对外销售",出库单!$U$4:$U$4003,"正常",出库单!$C$4:$C$4003,"&gt;="&amp;账期起,出库单!$C$4:$C$4003,"&lt;="&amp;账期止),0))</f>
        <v/>
      </c>
      <c r="T1113" s="27">
        <f>IF($A1113="","",SUMIFS(出库单!$J$4:$J$4003,出库单!$D$4:$D$4003,$A1113,出库单!$K$4:$K$4003,"盘亏",出库单!$U$4:$U$4003,"正常",出库单!$C$4:$C$4003,"&gt;="&amp;账期起,出库单!$C$4:$C$4003,"&lt;="&amp;账期止))</f>
        <v/>
      </c>
      <c r="U1113" s="26">
        <f>IF($A1113="","",ROUND(SUMIFS(出库单!$S$4:$S$4003,出库单!$D$4:$D$4003,$A1113,出库单!$K$4:$K$4003,"盘亏",出库单!$U$4:$U$4003,"正常",出库单!$C$4:$C$4003,"&gt;="&amp;账期起,出库单!$C$4:$C$4003,"&lt;="&amp;账期止),0))</f>
        <v/>
      </c>
      <c r="V1113" s="27">
        <f>IF($A1113="","",SUMIFS(出库单!$J$4:$J$4003,出库单!$D$4:$D$4003,$A1113,出库单!$K$4:$K$4003,"退货给供应商",出库单!$U$4:$U$4003,"正常",出库单!$C$4:$C$4003,"&gt;="&amp;账期起,出库单!$C$4:$C$4003,"&lt;="&amp;账期止))</f>
        <v/>
      </c>
      <c r="W1113" s="26">
        <f>IF($A1113="","",ROUND(SUMIFS(出库单!$S$4:$S$4003,出库单!$D$4:$D$4003,$A1113,出库单!$K$4:$K$4003,"退货给供应商",出库单!$U$4:$U$4003,"正常",出库单!$C$4:$C$4003,"&gt;="&amp;账期起,出库单!$C$4:$C$4003,"&lt;="&amp;账期止),0))</f>
        <v/>
      </c>
      <c r="X1113" s="27">
        <f>IF($A1113="","",ROUND(N($G1113)+$I1113+$L1113+$N1113-$P1113-$R1113-$T1113-$V1113,3))</f>
        <v/>
      </c>
      <c r="Y1113" s="26">
        <f>IF($A1113="","",ROUND(N($H1113)+$J1113+$M1113+$O1113-$Q1113-$S1113-$U1113-$W1113,0))</f>
        <v/>
      </c>
      <c r="Z1113" s="24">
        <f>IF($A1113="","",IF(COUNTIFS(入库单!$G$4:$G$2503,$A1113,入库单!$Y$4:$Y$2503,"待补价")+COUNTIFS(入库单!$G$4:$G$2503,$A1113,入库单!$Y$4:$Y$2503,"暂估")&gt;0,"不可信","可信"))</f>
        <v/>
      </c>
      <c r="AA1113" s="24">
        <f>IF($A1113="","",IF($X1113&lt;-0.001,"※账面负库存，查一下是不是漏记入库",IF(AND(ROUND($X1113,3)=0,ABS($Y1113)&gt;1),"※数量已经是 0，金额还挂着 "&amp;TEXT($Y1113,"#,##0")&amp;" 先令",IF(AND($X1113&gt;0,$Y1113&lt;=0,$K1113=0),"※有数量没金额（这个物料一直没填过进价）",IF($Z1113="不可信","△成本含待补价/暂估，毛利仅供参考","")))))</f>
        <v/>
      </c>
    </row>
    <row r="1114">
      <c r="A1114" s="24">
        <f>IF(物料档案!$A1113="","",物料档案!$A1113)</f>
        <v/>
      </c>
      <c r="B1114" s="24">
        <f>IF($A1114="","",IFERROR(VLOOKUP($A1114,物料档案!$A$4:$P$1203,3,0),""))</f>
        <v/>
      </c>
      <c r="C1114" s="24">
        <f>IF($A1114="","",IFERROR(VLOOKUP($A1114,物料档案!$A$4:$P$1203,4,0),""))</f>
        <v/>
      </c>
      <c r="D1114" s="24">
        <f>IF($A1114="","",IFERROR(VLOOKUP($A1114,物料档案!$A$4:$P$1203,5,0),""))</f>
        <v/>
      </c>
      <c r="E1114" s="24">
        <f>IF($A1114="","",IFERROR(VLOOKUP($A1114,物料档案!$A$4:$P$1203,2,0),""))</f>
        <v/>
      </c>
      <c r="F1114" s="24">
        <f>IF($A1114="","",IFERROR(VLOOKUP($A1114,物料档案!$A$4:$P$1203,6,0),""))</f>
        <v/>
      </c>
      <c r="G1114" s="23" t="n"/>
      <c r="H1114" s="32" t="n"/>
      <c r="I1114" s="27">
        <f>IF($A1114="","",SUMIFS(入库单!$K$4:$K$2503,入库单!$G$4:$G$2503,$A1114,入库单!$X$4:$X$2503,"采购入库",入库单!$Z$4:$Z$2503,"正常",入库单!$C$4:$C$2503,"&gt;="&amp;账期起,入库单!$C$4:$C$2503,"&lt;="&amp;账期止))</f>
        <v/>
      </c>
      <c r="J1114" s="26">
        <f>IF($A1114="","",SUMIFS(入库单!$V$4:$V$2503,入库单!$G$4:$G$2503,$A1114,入库单!$X$4:$X$2503,"采购入库",入库单!$Z$4:$Z$2503,"正常",入库单!$C$4:$C$2503,"&gt;="&amp;账期起,入库单!$C$4:$C$2503,"&lt;="&amp;账期止))</f>
        <v/>
      </c>
      <c r="K1114" s="26">
        <f>IF($A1114="","",IFERROR(ROUND((N($H1114)+N($J1114))/(N($G1114)+N($I1114)),2),0))</f>
        <v/>
      </c>
      <c r="L1114" s="27">
        <f>IF($A1114="","",SUMIFS(入库单!$K$4:$K$2503,入库单!$G$4:$G$2503,$A1114,入库单!$X$4:$X$2503,"盘盈",入库单!$Z$4:$Z$2503,"正常",入库单!$C$4:$C$2503,"&gt;="&amp;账期起,入库单!$C$4:$C$2503,"&lt;="&amp;账期止))</f>
        <v/>
      </c>
      <c r="M1114" s="26">
        <f>IF($A1114="","",ROUND($L1114*$K1114,0))</f>
        <v/>
      </c>
      <c r="N1114" s="27">
        <f>IF($A1114="","",SUMIFS(入库单!$K$4:$K$2503,入库单!$G$4:$G$2503,$A1114,入库单!$X$4:$X$2503,"矿区退库",入库单!$Z$4:$Z$2503,"正常",入库单!$C$4:$C$2503,"&gt;="&amp;账期起,入库单!$C$4:$C$2503,"&lt;="&amp;账期止))</f>
        <v/>
      </c>
      <c r="O1114" s="26">
        <f>IF($A1114="","",ROUND($N1114*$K1114,0))</f>
        <v/>
      </c>
      <c r="P1114" s="27">
        <f>IF($A1114="","",SUMIFS(出库单!$J$4:$J$4003,出库单!$D$4:$D$4003,$A1114,出库单!$K$4:$K$4003,"自用消耗",出库单!$U$4:$U$4003,"正常",出库单!$C$4:$C$4003,"&gt;="&amp;账期起,出库单!$C$4:$C$4003,"&lt;="&amp;账期止))</f>
        <v/>
      </c>
      <c r="Q1114" s="26">
        <f>IF($A1114="","",ROUND(SUMIFS(出库单!$S$4:$S$4003,出库单!$D$4:$D$4003,$A1114,出库单!$K$4:$K$4003,"自用消耗",出库单!$U$4:$U$4003,"正常",出库单!$C$4:$C$4003,"&gt;="&amp;账期起,出库单!$C$4:$C$4003,"&lt;="&amp;账期止),0))</f>
        <v/>
      </c>
      <c r="R1114" s="27">
        <f>IF($A1114="","",SUMIFS(出库单!$J$4:$J$4003,出库单!$D$4:$D$4003,$A1114,出库单!$K$4:$K$4003,"对外销售",出库单!$U$4:$U$4003,"正常",出库单!$C$4:$C$4003,"&gt;="&amp;账期起,出库单!$C$4:$C$4003,"&lt;="&amp;账期止))</f>
        <v/>
      </c>
      <c r="S1114" s="26">
        <f>IF($A1114="","",ROUND(SUMIFS(出库单!$S$4:$S$4003,出库单!$D$4:$D$4003,$A1114,出库单!$K$4:$K$4003,"对外销售",出库单!$U$4:$U$4003,"正常",出库单!$C$4:$C$4003,"&gt;="&amp;账期起,出库单!$C$4:$C$4003,"&lt;="&amp;账期止),0))</f>
        <v/>
      </c>
      <c r="T1114" s="27">
        <f>IF($A1114="","",SUMIFS(出库单!$J$4:$J$4003,出库单!$D$4:$D$4003,$A1114,出库单!$K$4:$K$4003,"盘亏",出库单!$U$4:$U$4003,"正常",出库单!$C$4:$C$4003,"&gt;="&amp;账期起,出库单!$C$4:$C$4003,"&lt;="&amp;账期止))</f>
        <v/>
      </c>
      <c r="U1114" s="26">
        <f>IF($A1114="","",ROUND(SUMIFS(出库单!$S$4:$S$4003,出库单!$D$4:$D$4003,$A1114,出库单!$K$4:$K$4003,"盘亏",出库单!$U$4:$U$4003,"正常",出库单!$C$4:$C$4003,"&gt;="&amp;账期起,出库单!$C$4:$C$4003,"&lt;="&amp;账期止),0))</f>
        <v/>
      </c>
      <c r="V1114" s="27">
        <f>IF($A1114="","",SUMIFS(出库单!$J$4:$J$4003,出库单!$D$4:$D$4003,$A1114,出库单!$K$4:$K$4003,"退货给供应商",出库单!$U$4:$U$4003,"正常",出库单!$C$4:$C$4003,"&gt;="&amp;账期起,出库单!$C$4:$C$4003,"&lt;="&amp;账期止))</f>
        <v/>
      </c>
      <c r="W1114" s="26">
        <f>IF($A1114="","",ROUND(SUMIFS(出库单!$S$4:$S$4003,出库单!$D$4:$D$4003,$A1114,出库单!$K$4:$K$4003,"退货给供应商",出库单!$U$4:$U$4003,"正常",出库单!$C$4:$C$4003,"&gt;="&amp;账期起,出库单!$C$4:$C$4003,"&lt;="&amp;账期止),0))</f>
        <v/>
      </c>
      <c r="X1114" s="27">
        <f>IF($A1114="","",ROUND(N($G1114)+$I1114+$L1114+$N1114-$P1114-$R1114-$T1114-$V1114,3))</f>
        <v/>
      </c>
      <c r="Y1114" s="26">
        <f>IF($A1114="","",ROUND(N($H1114)+$J1114+$M1114+$O1114-$Q1114-$S1114-$U1114-$W1114,0))</f>
        <v/>
      </c>
      <c r="Z1114" s="24">
        <f>IF($A1114="","",IF(COUNTIFS(入库单!$G$4:$G$2503,$A1114,入库单!$Y$4:$Y$2503,"待补价")+COUNTIFS(入库单!$G$4:$G$2503,$A1114,入库单!$Y$4:$Y$2503,"暂估")&gt;0,"不可信","可信"))</f>
        <v/>
      </c>
      <c r="AA1114" s="24">
        <f>IF($A1114="","",IF($X1114&lt;-0.001,"※账面负库存，查一下是不是漏记入库",IF(AND(ROUND($X1114,3)=0,ABS($Y1114)&gt;1),"※数量已经是 0，金额还挂着 "&amp;TEXT($Y1114,"#,##0")&amp;" 先令",IF(AND($X1114&gt;0,$Y1114&lt;=0,$K1114=0),"※有数量没金额（这个物料一直没填过进价）",IF($Z1114="不可信","△成本含待补价/暂估，毛利仅供参考","")))))</f>
        <v/>
      </c>
    </row>
    <row r="1115">
      <c r="A1115" s="24">
        <f>IF(物料档案!$A1114="","",物料档案!$A1114)</f>
        <v/>
      </c>
      <c r="B1115" s="24">
        <f>IF($A1115="","",IFERROR(VLOOKUP($A1115,物料档案!$A$4:$P$1203,3,0),""))</f>
        <v/>
      </c>
      <c r="C1115" s="24">
        <f>IF($A1115="","",IFERROR(VLOOKUP($A1115,物料档案!$A$4:$P$1203,4,0),""))</f>
        <v/>
      </c>
      <c r="D1115" s="24">
        <f>IF($A1115="","",IFERROR(VLOOKUP($A1115,物料档案!$A$4:$P$1203,5,0),""))</f>
        <v/>
      </c>
      <c r="E1115" s="24">
        <f>IF($A1115="","",IFERROR(VLOOKUP($A1115,物料档案!$A$4:$P$1203,2,0),""))</f>
        <v/>
      </c>
      <c r="F1115" s="24">
        <f>IF($A1115="","",IFERROR(VLOOKUP($A1115,物料档案!$A$4:$P$1203,6,0),""))</f>
        <v/>
      </c>
      <c r="G1115" s="23" t="n"/>
      <c r="H1115" s="32" t="n"/>
      <c r="I1115" s="27">
        <f>IF($A1115="","",SUMIFS(入库单!$K$4:$K$2503,入库单!$G$4:$G$2503,$A1115,入库单!$X$4:$X$2503,"采购入库",入库单!$Z$4:$Z$2503,"正常",入库单!$C$4:$C$2503,"&gt;="&amp;账期起,入库单!$C$4:$C$2503,"&lt;="&amp;账期止))</f>
        <v/>
      </c>
      <c r="J1115" s="26">
        <f>IF($A1115="","",SUMIFS(入库单!$V$4:$V$2503,入库单!$G$4:$G$2503,$A1115,入库单!$X$4:$X$2503,"采购入库",入库单!$Z$4:$Z$2503,"正常",入库单!$C$4:$C$2503,"&gt;="&amp;账期起,入库单!$C$4:$C$2503,"&lt;="&amp;账期止))</f>
        <v/>
      </c>
      <c r="K1115" s="26">
        <f>IF($A1115="","",IFERROR(ROUND((N($H1115)+N($J1115))/(N($G1115)+N($I1115)),2),0))</f>
        <v/>
      </c>
      <c r="L1115" s="27">
        <f>IF($A1115="","",SUMIFS(入库单!$K$4:$K$2503,入库单!$G$4:$G$2503,$A1115,入库单!$X$4:$X$2503,"盘盈",入库单!$Z$4:$Z$2503,"正常",入库单!$C$4:$C$2503,"&gt;="&amp;账期起,入库单!$C$4:$C$2503,"&lt;="&amp;账期止))</f>
        <v/>
      </c>
      <c r="M1115" s="26">
        <f>IF($A1115="","",ROUND($L1115*$K1115,0))</f>
        <v/>
      </c>
      <c r="N1115" s="27">
        <f>IF($A1115="","",SUMIFS(入库单!$K$4:$K$2503,入库单!$G$4:$G$2503,$A1115,入库单!$X$4:$X$2503,"矿区退库",入库单!$Z$4:$Z$2503,"正常",入库单!$C$4:$C$2503,"&gt;="&amp;账期起,入库单!$C$4:$C$2503,"&lt;="&amp;账期止))</f>
        <v/>
      </c>
      <c r="O1115" s="26">
        <f>IF($A1115="","",ROUND($N1115*$K1115,0))</f>
        <v/>
      </c>
      <c r="P1115" s="27">
        <f>IF($A1115="","",SUMIFS(出库单!$J$4:$J$4003,出库单!$D$4:$D$4003,$A1115,出库单!$K$4:$K$4003,"自用消耗",出库单!$U$4:$U$4003,"正常",出库单!$C$4:$C$4003,"&gt;="&amp;账期起,出库单!$C$4:$C$4003,"&lt;="&amp;账期止))</f>
        <v/>
      </c>
      <c r="Q1115" s="26">
        <f>IF($A1115="","",ROUND(SUMIFS(出库单!$S$4:$S$4003,出库单!$D$4:$D$4003,$A1115,出库单!$K$4:$K$4003,"自用消耗",出库单!$U$4:$U$4003,"正常",出库单!$C$4:$C$4003,"&gt;="&amp;账期起,出库单!$C$4:$C$4003,"&lt;="&amp;账期止),0))</f>
        <v/>
      </c>
      <c r="R1115" s="27">
        <f>IF($A1115="","",SUMIFS(出库单!$J$4:$J$4003,出库单!$D$4:$D$4003,$A1115,出库单!$K$4:$K$4003,"对外销售",出库单!$U$4:$U$4003,"正常",出库单!$C$4:$C$4003,"&gt;="&amp;账期起,出库单!$C$4:$C$4003,"&lt;="&amp;账期止))</f>
        <v/>
      </c>
      <c r="S1115" s="26">
        <f>IF($A1115="","",ROUND(SUMIFS(出库单!$S$4:$S$4003,出库单!$D$4:$D$4003,$A1115,出库单!$K$4:$K$4003,"对外销售",出库单!$U$4:$U$4003,"正常",出库单!$C$4:$C$4003,"&gt;="&amp;账期起,出库单!$C$4:$C$4003,"&lt;="&amp;账期止),0))</f>
        <v/>
      </c>
      <c r="T1115" s="27">
        <f>IF($A1115="","",SUMIFS(出库单!$J$4:$J$4003,出库单!$D$4:$D$4003,$A1115,出库单!$K$4:$K$4003,"盘亏",出库单!$U$4:$U$4003,"正常",出库单!$C$4:$C$4003,"&gt;="&amp;账期起,出库单!$C$4:$C$4003,"&lt;="&amp;账期止))</f>
        <v/>
      </c>
      <c r="U1115" s="26">
        <f>IF($A1115="","",ROUND(SUMIFS(出库单!$S$4:$S$4003,出库单!$D$4:$D$4003,$A1115,出库单!$K$4:$K$4003,"盘亏",出库单!$U$4:$U$4003,"正常",出库单!$C$4:$C$4003,"&gt;="&amp;账期起,出库单!$C$4:$C$4003,"&lt;="&amp;账期止),0))</f>
        <v/>
      </c>
      <c r="V1115" s="27">
        <f>IF($A1115="","",SUMIFS(出库单!$J$4:$J$4003,出库单!$D$4:$D$4003,$A1115,出库单!$K$4:$K$4003,"退货给供应商",出库单!$U$4:$U$4003,"正常",出库单!$C$4:$C$4003,"&gt;="&amp;账期起,出库单!$C$4:$C$4003,"&lt;="&amp;账期止))</f>
        <v/>
      </c>
      <c r="W1115" s="26">
        <f>IF($A1115="","",ROUND(SUMIFS(出库单!$S$4:$S$4003,出库单!$D$4:$D$4003,$A1115,出库单!$K$4:$K$4003,"退货给供应商",出库单!$U$4:$U$4003,"正常",出库单!$C$4:$C$4003,"&gt;="&amp;账期起,出库单!$C$4:$C$4003,"&lt;="&amp;账期止),0))</f>
        <v/>
      </c>
      <c r="X1115" s="27">
        <f>IF($A1115="","",ROUND(N($G1115)+$I1115+$L1115+$N1115-$P1115-$R1115-$T1115-$V1115,3))</f>
        <v/>
      </c>
      <c r="Y1115" s="26">
        <f>IF($A1115="","",ROUND(N($H1115)+$J1115+$M1115+$O1115-$Q1115-$S1115-$U1115-$W1115,0))</f>
        <v/>
      </c>
      <c r="Z1115" s="24">
        <f>IF($A1115="","",IF(COUNTIFS(入库单!$G$4:$G$2503,$A1115,入库单!$Y$4:$Y$2503,"待补价")+COUNTIFS(入库单!$G$4:$G$2503,$A1115,入库单!$Y$4:$Y$2503,"暂估")&gt;0,"不可信","可信"))</f>
        <v/>
      </c>
      <c r="AA1115" s="24">
        <f>IF($A1115="","",IF($X1115&lt;-0.001,"※账面负库存，查一下是不是漏记入库",IF(AND(ROUND($X1115,3)=0,ABS($Y1115)&gt;1),"※数量已经是 0，金额还挂着 "&amp;TEXT($Y1115,"#,##0")&amp;" 先令",IF(AND($X1115&gt;0,$Y1115&lt;=0,$K1115=0),"※有数量没金额（这个物料一直没填过进价）",IF($Z1115="不可信","△成本含待补价/暂估，毛利仅供参考","")))))</f>
        <v/>
      </c>
    </row>
    <row r="1116">
      <c r="A1116" s="24">
        <f>IF(物料档案!$A1115="","",物料档案!$A1115)</f>
        <v/>
      </c>
      <c r="B1116" s="24">
        <f>IF($A1116="","",IFERROR(VLOOKUP($A1116,物料档案!$A$4:$P$1203,3,0),""))</f>
        <v/>
      </c>
      <c r="C1116" s="24">
        <f>IF($A1116="","",IFERROR(VLOOKUP($A1116,物料档案!$A$4:$P$1203,4,0),""))</f>
        <v/>
      </c>
      <c r="D1116" s="24">
        <f>IF($A1116="","",IFERROR(VLOOKUP($A1116,物料档案!$A$4:$P$1203,5,0),""))</f>
        <v/>
      </c>
      <c r="E1116" s="24">
        <f>IF($A1116="","",IFERROR(VLOOKUP($A1116,物料档案!$A$4:$P$1203,2,0),""))</f>
        <v/>
      </c>
      <c r="F1116" s="24">
        <f>IF($A1116="","",IFERROR(VLOOKUP($A1116,物料档案!$A$4:$P$1203,6,0),""))</f>
        <v/>
      </c>
      <c r="G1116" s="23" t="n"/>
      <c r="H1116" s="32" t="n"/>
      <c r="I1116" s="27">
        <f>IF($A1116="","",SUMIFS(入库单!$K$4:$K$2503,入库单!$G$4:$G$2503,$A1116,入库单!$X$4:$X$2503,"采购入库",入库单!$Z$4:$Z$2503,"正常",入库单!$C$4:$C$2503,"&gt;="&amp;账期起,入库单!$C$4:$C$2503,"&lt;="&amp;账期止))</f>
        <v/>
      </c>
      <c r="J1116" s="26">
        <f>IF($A1116="","",SUMIFS(入库单!$V$4:$V$2503,入库单!$G$4:$G$2503,$A1116,入库单!$X$4:$X$2503,"采购入库",入库单!$Z$4:$Z$2503,"正常",入库单!$C$4:$C$2503,"&gt;="&amp;账期起,入库单!$C$4:$C$2503,"&lt;="&amp;账期止))</f>
        <v/>
      </c>
      <c r="K1116" s="26">
        <f>IF($A1116="","",IFERROR(ROUND((N($H1116)+N($J1116))/(N($G1116)+N($I1116)),2),0))</f>
        <v/>
      </c>
      <c r="L1116" s="27">
        <f>IF($A1116="","",SUMIFS(入库单!$K$4:$K$2503,入库单!$G$4:$G$2503,$A1116,入库单!$X$4:$X$2503,"盘盈",入库单!$Z$4:$Z$2503,"正常",入库单!$C$4:$C$2503,"&gt;="&amp;账期起,入库单!$C$4:$C$2503,"&lt;="&amp;账期止))</f>
        <v/>
      </c>
      <c r="M1116" s="26">
        <f>IF($A1116="","",ROUND($L1116*$K1116,0))</f>
        <v/>
      </c>
      <c r="N1116" s="27">
        <f>IF($A1116="","",SUMIFS(入库单!$K$4:$K$2503,入库单!$G$4:$G$2503,$A1116,入库单!$X$4:$X$2503,"矿区退库",入库单!$Z$4:$Z$2503,"正常",入库单!$C$4:$C$2503,"&gt;="&amp;账期起,入库单!$C$4:$C$2503,"&lt;="&amp;账期止))</f>
        <v/>
      </c>
      <c r="O1116" s="26">
        <f>IF($A1116="","",ROUND($N1116*$K1116,0))</f>
        <v/>
      </c>
      <c r="P1116" s="27">
        <f>IF($A1116="","",SUMIFS(出库单!$J$4:$J$4003,出库单!$D$4:$D$4003,$A1116,出库单!$K$4:$K$4003,"自用消耗",出库单!$U$4:$U$4003,"正常",出库单!$C$4:$C$4003,"&gt;="&amp;账期起,出库单!$C$4:$C$4003,"&lt;="&amp;账期止))</f>
        <v/>
      </c>
      <c r="Q1116" s="26">
        <f>IF($A1116="","",ROUND(SUMIFS(出库单!$S$4:$S$4003,出库单!$D$4:$D$4003,$A1116,出库单!$K$4:$K$4003,"自用消耗",出库单!$U$4:$U$4003,"正常",出库单!$C$4:$C$4003,"&gt;="&amp;账期起,出库单!$C$4:$C$4003,"&lt;="&amp;账期止),0))</f>
        <v/>
      </c>
      <c r="R1116" s="27">
        <f>IF($A1116="","",SUMIFS(出库单!$J$4:$J$4003,出库单!$D$4:$D$4003,$A1116,出库单!$K$4:$K$4003,"对外销售",出库单!$U$4:$U$4003,"正常",出库单!$C$4:$C$4003,"&gt;="&amp;账期起,出库单!$C$4:$C$4003,"&lt;="&amp;账期止))</f>
        <v/>
      </c>
      <c r="S1116" s="26">
        <f>IF($A1116="","",ROUND(SUMIFS(出库单!$S$4:$S$4003,出库单!$D$4:$D$4003,$A1116,出库单!$K$4:$K$4003,"对外销售",出库单!$U$4:$U$4003,"正常",出库单!$C$4:$C$4003,"&gt;="&amp;账期起,出库单!$C$4:$C$4003,"&lt;="&amp;账期止),0))</f>
        <v/>
      </c>
      <c r="T1116" s="27">
        <f>IF($A1116="","",SUMIFS(出库单!$J$4:$J$4003,出库单!$D$4:$D$4003,$A1116,出库单!$K$4:$K$4003,"盘亏",出库单!$U$4:$U$4003,"正常",出库单!$C$4:$C$4003,"&gt;="&amp;账期起,出库单!$C$4:$C$4003,"&lt;="&amp;账期止))</f>
        <v/>
      </c>
      <c r="U1116" s="26">
        <f>IF($A1116="","",ROUND(SUMIFS(出库单!$S$4:$S$4003,出库单!$D$4:$D$4003,$A1116,出库单!$K$4:$K$4003,"盘亏",出库单!$U$4:$U$4003,"正常",出库单!$C$4:$C$4003,"&gt;="&amp;账期起,出库单!$C$4:$C$4003,"&lt;="&amp;账期止),0))</f>
        <v/>
      </c>
      <c r="V1116" s="27">
        <f>IF($A1116="","",SUMIFS(出库单!$J$4:$J$4003,出库单!$D$4:$D$4003,$A1116,出库单!$K$4:$K$4003,"退货给供应商",出库单!$U$4:$U$4003,"正常",出库单!$C$4:$C$4003,"&gt;="&amp;账期起,出库单!$C$4:$C$4003,"&lt;="&amp;账期止))</f>
        <v/>
      </c>
      <c r="W1116" s="26">
        <f>IF($A1116="","",ROUND(SUMIFS(出库单!$S$4:$S$4003,出库单!$D$4:$D$4003,$A1116,出库单!$K$4:$K$4003,"退货给供应商",出库单!$U$4:$U$4003,"正常",出库单!$C$4:$C$4003,"&gt;="&amp;账期起,出库单!$C$4:$C$4003,"&lt;="&amp;账期止),0))</f>
        <v/>
      </c>
      <c r="X1116" s="27">
        <f>IF($A1116="","",ROUND(N($G1116)+$I1116+$L1116+$N1116-$P1116-$R1116-$T1116-$V1116,3))</f>
        <v/>
      </c>
      <c r="Y1116" s="26">
        <f>IF($A1116="","",ROUND(N($H1116)+$J1116+$M1116+$O1116-$Q1116-$S1116-$U1116-$W1116,0))</f>
        <v/>
      </c>
      <c r="Z1116" s="24">
        <f>IF($A1116="","",IF(COUNTIFS(入库单!$G$4:$G$2503,$A1116,入库单!$Y$4:$Y$2503,"待补价")+COUNTIFS(入库单!$G$4:$G$2503,$A1116,入库单!$Y$4:$Y$2503,"暂估")&gt;0,"不可信","可信"))</f>
        <v/>
      </c>
      <c r="AA1116" s="24">
        <f>IF($A1116="","",IF($X1116&lt;-0.001,"※账面负库存，查一下是不是漏记入库",IF(AND(ROUND($X1116,3)=0,ABS($Y1116)&gt;1),"※数量已经是 0，金额还挂着 "&amp;TEXT($Y1116,"#,##0")&amp;" 先令",IF(AND($X1116&gt;0,$Y1116&lt;=0,$K1116=0),"※有数量没金额（这个物料一直没填过进价）",IF($Z1116="不可信","△成本含待补价/暂估，毛利仅供参考","")))))</f>
        <v/>
      </c>
    </row>
    <row r="1117">
      <c r="A1117" s="24">
        <f>IF(物料档案!$A1116="","",物料档案!$A1116)</f>
        <v/>
      </c>
      <c r="B1117" s="24">
        <f>IF($A1117="","",IFERROR(VLOOKUP($A1117,物料档案!$A$4:$P$1203,3,0),""))</f>
        <v/>
      </c>
      <c r="C1117" s="24">
        <f>IF($A1117="","",IFERROR(VLOOKUP($A1117,物料档案!$A$4:$P$1203,4,0),""))</f>
        <v/>
      </c>
      <c r="D1117" s="24">
        <f>IF($A1117="","",IFERROR(VLOOKUP($A1117,物料档案!$A$4:$P$1203,5,0),""))</f>
        <v/>
      </c>
      <c r="E1117" s="24">
        <f>IF($A1117="","",IFERROR(VLOOKUP($A1117,物料档案!$A$4:$P$1203,2,0),""))</f>
        <v/>
      </c>
      <c r="F1117" s="24">
        <f>IF($A1117="","",IFERROR(VLOOKUP($A1117,物料档案!$A$4:$P$1203,6,0),""))</f>
        <v/>
      </c>
      <c r="G1117" s="23" t="n"/>
      <c r="H1117" s="32" t="n"/>
      <c r="I1117" s="27">
        <f>IF($A1117="","",SUMIFS(入库单!$K$4:$K$2503,入库单!$G$4:$G$2503,$A1117,入库单!$X$4:$X$2503,"采购入库",入库单!$Z$4:$Z$2503,"正常",入库单!$C$4:$C$2503,"&gt;="&amp;账期起,入库单!$C$4:$C$2503,"&lt;="&amp;账期止))</f>
        <v/>
      </c>
      <c r="J1117" s="26">
        <f>IF($A1117="","",SUMIFS(入库单!$V$4:$V$2503,入库单!$G$4:$G$2503,$A1117,入库单!$X$4:$X$2503,"采购入库",入库单!$Z$4:$Z$2503,"正常",入库单!$C$4:$C$2503,"&gt;="&amp;账期起,入库单!$C$4:$C$2503,"&lt;="&amp;账期止))</f>
        <v/>
      </c>
      <c r="K1117" s="26">
        <f>IF($A1117="","",IFERROR(ROUND((N($H1117)+N($J1117))/(N($G1117)+N($I1117)),2),0))</f>
        <v/>
      </c>
      <c r="L1117" s="27">
        <f>IF($A1117="","",SUMIFS(入库单!$K$4:$K$2503,入库单!$G$4:$G$2503,$A1117,入库单!$X$4:$X$2503,"盘盈",入库单!$Z$4:$Z$2503,"正常",入库单!$C$4:$C$2503,"&gt;="&amp;账期起,入库单!$C$4:$C$2503,"&lt;="&amp;账期止))</f>
        <v/>
      </c>
      <c r="M1117" s="26">
        <f>IF($A1117="","",ROUND($L1117*$K1117,0))</f>
        <v/>
      </c>
      <c r="N1117" s="27">
        <f>IF($A1117="","",SUMIFS(入库单!$K$4:$K$2503,入库单!$G$4:$G$2503,$A1117,入库单!$X$4:$X$2503,"矿区退库",入库单!$Z$4:$Z$2503,"正常",入库单!$C$4:$C$2503,"&gt;="&amp;账期起,入库单!$C$4:$C$2503,"&lt;="&amp;账期止))</f>
        <v/>
      </c>
      <c r="O1117" s="26">
        <f>IF($A1117="","",ROUND($N1117*$K1117,0))</f>
        <v/>
      </c>
      <c r="P1117" s="27">
        <f>IF($A1117="","",SUMIFS(出库单!$J$4:$J$4003,出库单!$D$4:$D$4003,$A1117,出库单!$K$4:$K$4003,"自用消耗",出库单!$U$4:$U$4003,"正常",出库单!$C$4:$C$4003,"&gt;="&amp;账期起,出库单!$C$4:$C$4003,"&lt;="&amp;账期止))</f>
        <v/>
      </c>
      <c r="Q1117" s="26">
        <f>IF($A1117="","",ROUND(SUMIFS(出库单!$S$4:$S$4003,出库单!$D$4:$D$4003,$A1117,出库单!$K$4:$K$4003,"自用消耗",出库单!$U$4:$U$4003,"正常",出库单!$C$4:$C$4003,"&gt;="&amp;账期起,出库单!$C$4:$C$4003,"&lt;="&amp;账期止),0))</f>
        <v/>
      </c>
      <c r="R1117" s="27">
        <f>IF($A1117="","",SUMIFS(出库单!$J$4:$J$4003,出库单!$D$4:$D$4003,$A1117,出库单!$K$4:$K$4003,"对外销售",出库单!$U$4:$U$4003,"正常",出库单!$C$4:$C$4003,"&gt;="&amp;账期起,出库单!$C$4:$C$4003,"&lt;="&amp;账期止))</f>
        <v/>
      </c>
      <c r="S1117" s="26">
        <f>IF($A1117="","",ROUND(SUMIFS(出库单!$S$4:$S$4003,出库单!$D$4:$D$4003,$A1117,出库单!$K$4:$K$4003,"对外销售",出库单!$U$4:$U$4003,"正常",出库单!$C$4:$C$4003,"&gt;="&amp;账期起,出库单!$C$4:$C$4003,"&lt;="&amp;账期止),0))</f>
        <v/>
      </c>
      <c r="T1117" s="27">
        <f>IF($A1117="","",SUMIFS(出库单!$J$4:$J$4003,出库单!$D$4:$D$4003,$A1117,出库单!$K$4:$K$4003,"盘亏",出库单!$U$4:$U$4003,"正常",出库单!$C$4:$C$4003,"&gt;="&amp;账期起,出库单!$C$4:$C$4003,"&lt;="&amp;账期止))</f>
        <v/>
      </c>
      <c r="U1117" s="26">
        <f>IF($A1117="","",ROUND(SUMIFS(出库单!$S$4:$S$4003,出库单!$D$4:$D$4003,$A1117,出库单!$K$4:$K$4003,"盘亏",出库单!$U$4:$U$4003,"正常",出库单!$C$4:$C$4003,"&gt;="&amp;账期起,出库单!$C$4:$C$4003,"&lt;="&amp;账期止),0))</f>
        <v/>
      </c>
      <c r="V1117" s="27">
        <f>IF($A1117="","",SUMIFS(出库单!$J$4:$J$4003,出库单!$D$4:$D$4003,$A1117,出库单!$K$4:$K$4003,"退货给供应商",出库单!$U$4:$U$4003,"正常",出库单!$C$4:$C$4003,"&gt;="&amp;账期起,出库单!$C$4:$C$4003,"&lt;="&amp;账期止))</f>
        <v/>
      </c>
      <c r="W1117" s="26">
        <f>IF($A1117="","",ROUND(SUMIFS(出库单!$S$4:$S$4003,出库单!$D$4:$D$4003,$A1117,出库单!$K$4:$K$4003,"退货给供应商",出库单!$U$4:$U$4003,"正常",出库单!$C$4:$C$4003,"&gt;="&amp;账期起,出库单!$C$4:$C$4003,"&lt;="&amp;账期止),0))</f>
        <v/>
      </c>
      <c r="X1117" s="27">
        <f>IF($A1117="","",ROUND(N($G1117)+$I1117+$L1117+$N1117-$P1117-$R1117-$T1117-$V1117,3))</f>
        <v/>
      </c>
      <c r="Y1117" s="26">
        <f>IF($A1117="","",ROUND(N($H1117)+$J1117+$M1117+$O1117-$Q1117-$S1117-$U1117-$W1117,0))</f>
        <v/>
      </c>
      <c r="Z1117" s="24">
        <f>IF($A1117="","",IF(COUNTIFS(入库单!$G$4:$G$2503,$A1117,入库单!$Y$4:$Y$2503,"待补价")+COUNTIFS(入库单!$G$4:$G$2503,$A1117,入库单!$Y$4:$Y$2503,"暂估")&gt;0,"不可信","可信"))</f>
        <v/>
      </c>
      <c r="AA1117" s="24">
        <f>IF($A1117="","",IF($X1117&lt;-0.001,"※账面负库存，查一下是不是漏记入库",IF(AND(ROUND($X1117,3)=0,ABS($Y1117)&gt;1),"※数量已经是 0，金额还挂着 "&amp;TEXT($Y1117,"#,##0")&amp;" 先令",IF(AND($X1117&gt;0,$Y1117&lt;=0,$K1117=0),"※有数量没金额（这个物料一直没填过进价）",IF($Z1117="不可信","△成本含待补价/暂估，毛利仅供参考","")))))</f>
        <v/>
      </c>
    </row>
    <row r="1118">
      <c r="A1118" s="24">
        <f>IF(物料档案!$A1117="","",物料档案!$A1117)</f>
        <v/>
      </c>
      <c r="B1118" s="24">
        <f>IF($A1118="","",IFERROR(VLOOKUP($A1118,物料档案!$A$4:$P$1203,3,0),""))</f>
        <v/>
      </c>
      <c r="C1118" s="24">
        <f>IF($A1118="","",IFERROR(VLOOKUP($A1118,物料档案!$A$4:$P$1203,4,0),""))</f>
        <v/>
      </c>
      <c r="D1118" s="24">
        <f>IF($A1118="","",IFERROR(VLOOKUP($A1118,物料档案!$A$4:$P$1203,5,0),""))</f>
        <v/>
      </c>
      <c r="E1118" s="24">
        <f>IF($A1118="","",IFERROR(VLOOKUP($A1118,物料档案!$A$4:$P$1203,2,0),""))</f>
        <v/>
      </c>
      <c r="F1118" s="24">
        <f>IF($A1118="","",IFERROR(VLOOKUP($A1118,物料档案!$A$4:$P$1203,6,0),""))</f>
        <v/>
      </c>
      <c r="G1118" s="23" t="n"/>
      <c r="H1118" s="32" t="n"/>
      <c r="I1118" s="27">
        <f>IF($A1118="","",SUMIFS(入库单!$K$4:$K$2503,入库单!$G$4:$G$2503,$A1118,入库单!$X$4:$X$2503,"采购入库",入库单!$Z$4:$Z$2503,"正常",入库单!$C$4:$C$2503,"&gt;="&amp;账期起,入库单!$C$4:$C$2503,"&lt;="&amp;账期止))</f>
        <v/>
      </c>
      <c r="J1118" s="26">
        <f>IF($A1118="","",SUMIFS(入库单!$V$4:$V$2503,入库单!$G$4:$G$2503,$A1118,入库单!$X$4:$X$2503,"采购入库",入库单!$Z$4:$Z$2503,"正常",入库单!$C$4:$C$2503,"&gt;="&amp;账期起,入库单!$C$4:$C$2503,"&lt;="&amp;账期止))</f>
        <v/>
      </c>
      <c r="K1118" s="26">
        <f>IF($A1118="","",IFERROR(ROUND((N($H1118)+N($J1118))/(N($G1118)+N($I1118)),2),0))</f>
        <v/>
      </c>
      <c r="L1118" s="27">
        <f>IF($A1118="","",SUMIFS(入库单!$K$4:$K$2503,入库单!$G$4:$G$2503,$A1118,入库单!$X$4:$X$2503,"盘盈",入库单!$Z$4:$Z$2503,"正常",入库单!$C$4:$C$2503,"&gt;="&amp;账期起,入库单!$C$4:$C$2503,"&lt;="&amp;账期止))</f>
        <v/>
      </c>
      <c r="M1118" s="26">
        <f>IF($A1118="","",ROUND($L1118*$K1118,0))</f>
        <v/>
      </c>
      <c r="N1118" s="27">
        <f>IF($A1118="","",SUMIFS(入库单!$K$4:$K$2503,入库单!$G$4:$G$2503,$A1118,入库单!$X$4:$X$2503,"矿区退库",入库单!$Z$4:$Z$2503,"正常",入库单!$C$4:$C$2503,"&gt;="&amp;账期起,入库单!$C$4:$C$2503,"&lt;="&amp;账期止))</f>
        <v/>
      </c>
      <c r="O1118" s="26">
        <f>IF($A1118="","",ROUND($N1118*$K1118,0))</f>
        <v/>
      </c>
      <c r="P1118" s="27">
        <f>IF($A1118="","",SUMIFS(出库单!$J$4:$J$4003,出库单!$D$4:$D$4003,$A1118,出库单!$K$4:$K$4003,"自用消耗",出库单!$U$4:$U$4003,"正常",出库单!$C$4:$C$4003,"&gt;="&amp;账期起,出库单!$C$4:$C$4003,"&lt;="&amp;账期止))</f>
        <v/>
      </c>
      <c r="Q1118" s="26">
        <f>IF($A1118="","",ROUND(SUMIFS(出库单!$S$4:$S$4003,出库单!$D$4:$D$4003,$A1118,出库单!$K$4:$K$4003,"自用消耗",出库单!$U$4:$U$4003,"正常",出库单!$C$4:$C$4003,"&gt;="&amp;账期起,出库单!$C$4:$C$4003,"&lt;="&amp;账期止),0))</f>
        <v/>
      </c>
      <c r="R1118" s="27">
        <f>IF($A1118="","",SUMIFS(出库单!$J$4:$J$4003,出库单!$D$4:$D$4003,$A1118,出库单!$K$4:$K$4003,"对外销售",出库单!$U$4:$U$4003,"正常",出库单!$C$4:$C$4003,"&gt;="&amp;账期起,出库单!$C$4:$C$4003,"&lt;="&amp;账期止))</f>
        <v/>
      </c>
      <c r="S1118" s="26">
        <f>IF($A1118="","",ROUND(SUMIFS(出库单!$S$4:$S$4003,出库单!$D$4:$D$4003,$A1118,出库单!$K$4:$K$4003,"对外销售",出库单!$U$4:$U$4003,"正常",出库单!$C$4:$C$4003,"&gt;="&amp;账期起,出库单!$C$4:$C$4003,"&lt;="&amp;账期止),0))</f>
        <v/>
      </c>
      <c r="T1118" s="27">
        <f>IF($A1118="","",SUMIFS(出库单!$J$4:$J$4003,出库单!$D$4:$D$4003,$A1118,出库单!$K$4:$K$4003,"盘亏",出库单!$U$4:$U$4003,"正常",出库单!$C$4:$C$4003,"&gt;="&amp;账期起,出库单!$C$4:$C$4003,"&lt;="&amp;账期止))</f>
        <v/>
      </c>
      <c r="U1118" s="26">
        <f>IF($A1118="","",ROUND(SUMIFS(出库单!$S$4:$S$4003,出库单!$D$4:$D$4003,$A1118,出库单!$K$4:$K$4003,"盘亏",出库单!$U$4:$U$4003,"正常",出库单!$C$4:$C$4003,"&gt;="&amp;账期起,出库单!$C$4:$C$4003,"&lt;="&amp;账期止),0))</f>
        <v/>
      </c>
      <c r="V1118" s="27">
        <f>IF($A1118="","",SUMIFS(出库单!$J$4:$J$4003,出库单!$D$4:$D$4003,$A1118,出库单!$K$4:$K$4003,"退货给供应商",出库单!$U$4:$U$4003,"正常",出库单!$C$4:$C$4003,"&gt;="&amp;账期起,出库单!$C$4:$C$4003,"&lt;="&amp;账期止))</f>
        <v/>
      </c>
      <c r="W1118" s="26">
        <f>IF($A1118="","",ROUND(SUMIFS(出库单!$S$4:$S$4003,出库单!$D$4:$D$4003,$A1118,出库单!$K$4:$K$4003,"退货给供应商",出库单!$U$4:$U$4003,"正常",出库单!$C$4:$C$4003,"&gt;="&amp;账期起,出库单!$C$4:$C$4003,"&lt;="&amp;账期止),0))</f>
        <v/>
      </c>
      <c r="X1118" s="27">
        <f>IF($A1118="","",ROUND(N($G1118)+$I1118+$L1118+$N1118-$P1118-$R1118-$T1118-$V1118,3))</f>
        <v/>
      </c>
      <c r="Y1118" s="26">
        <f>IF($A1118="","",ROUND(N($H1118)+$J1118+$M1118+$O1118-$Q1118-$S1118-$U1118-$W1118,0))</f>
        <v/>
      </c>
      <c r="Z1118" s="24">
        <f>IF($A1118="","",IF(COUNTIFS(入库单!$G$4:$G$2503,$A1118,入库单!$Y$4:$Y$2503,"待补价")+COUNTIFS(入库单!$G$4:$G$2503,$A1118,入库单!$Y$4:$Y$2503,"暂估")&gt;0,"不可信","可信"))</f>
        <v/>
      </c>
      <c r="AA1118" s="24">
        <f>IF($A1118="","",IF($X1118&lt;-0.001,"※账面负库存，查一下是不是漏记入库",IF(AND(ROUND($X1118,3)=0,ABS($Y1118)&gt;1),"※数量已经是 0，金额还挂着 "&amp;TEXT($Y1118,"#,##0")&amp;" 先令",IF(AND($X1118&gt;0,$Y1118&lt;=0,$K1118=0),"※有数量没金额（这个物料一直没填过进价）",IF($Z1118="不可信","△成本含待补价/暂估，毛利仅供参考","")))))</f>
        <v/>
      </c>
    </row>
    <row r="1119">
      <c r="A1119" s="24">
        <f>IF(物料档案!$A1118="","",物料档案!$A1118)</f>
        <v/>
      </c>
      <c r="B1119" s="24">
        <f>IF($A1119="","",IFERROR(VLOOKUP($A1119,物料档案!$A$4:$P$1203,3,0),""))</f>
        <v/>
      </c>
      <c r="C1119" s="24">
        <f>IF($A1119="","",IFERROR(VLOOKUP($A1119,物料档案!$A$4:$P$1203,4,0),""))</f>
        <v/>
      </c>
      <c r="D1119" s="24">
        <f>IF($A1119="","",IFERROR(VLOOKUP($A1119,物料档案!$A$4:$P$1203,5,0),""))</f>
        <v/>
      </c>
      <c r="E1119" s="24">
        <f>IF($A1119="","",IFERROR(VLOOKUP($A1119,物料档案!$A$4:$P$1203,2,0),""))</f>
        <v/>
      </c>
      <c r="F1119" s="24">
        <f>IF($A1119="","",IFERROR(VLOOKUP($A1119,物料档案!$A$4:$P$1203,6,0),""))</f>
        <v/>
      </c>
      <c r="G1119" s="23" t="n"/>
      <c r="H1119" s="32" t="n"/>
      <c r="I1119" s="27">
        <f>IF($A1119="","",SUMIFS(入库单!$K$4:$K$2503,入库单!$G$4:$G$2503,$A1119,入库单!$X$4:$X$2503,"采购入库",入库单!$Z$4:$Z$2503,"正常",入库单!$C$4:$C$2503,"&gt;="&amp;账期起,入库单!$C$4:$C$2503,"&lt;="&amp;账期止))</f>
        <v/>
      </c>
      <c r="J1119" s="26">
        <f>IF($A1119="","",SUMIFS(入库单!$V$4:$V$2503,入库单!$G$4:$G$2503,$A1119,入库单!$X$4:$X$2503,"采购入库",入库单!$Z$4:$Z$2503,"正常",入库单!$C$4:$C$2503,"&gt;="&amp;账期起,入库单!$C$4:$C$2503,"&lt;="&amp;账期止))</f>
        <v/>
      </c>
      <c r="K1119" s="26">
        <f>IF($A1119="","",IFERROR(ROUND((N($H1119)+N($J1119))/(N($G1119)+N($I1119)),2),0))</f>
        <v/>
      </c>
      <c r="L1119" s="27">
        <f>IF($A1119="","",SUMIFS(入库单!$K$4:$K$2503,入库单!$G$4:$G$2503,$A1119,入库单!$X$4:$X$2503,"盘盈",入库单!$Z$4:$Z$2503,"正常",入库单!$C$4:$C$2503,"&gt;="&amp;账期起,入库单!$C$4:$C$2503,"&lt;="&amp;账期止))</f>
        <v/>
      </c>
      <c r="M1119" s="26">
        <f>IF($A1119="","",ROUND($L1119*$K1119,0))</f>
        <v/>
      </c>
      <c r="N1119" s="27">
        <f>IF($A1119="","",SUMIFS(入库单!$K$4:$K$2503,入库单!$G$4:$G$2503,$A1119,入库单!$X$4:$X$2503,"矿区退库",入库单!$Z$4:$Z$2503,"正常",入库单!$C$4:$C$2503,"&gt;="&amp;账期起,入库单!$C$4:$C$2503,"&lt;="&amp;账期止))</f>
        <v/>
      </c>
      <c r="O1119" s="26">
        <f>IF($A1119="","",ROUND($N1119*$K1119,0))</f>
        <v/>
      </c>
      <c r="P1119" s="27">
        <f>IF($A1119="","",SUMIFS(出库单!$J$4:$J$4003,出库单!$D$4:$D$4003,$A1119,出库单!$K$4:$K$4003,"自用消耗",出库单!$U$4:$U$4003,"正常",出库单!$C$4:$C$4003,"&gt;="&amp;账期起,出库单!$C$4:$C$4003,"&lt;="&amp;账期止))</f>
        <v/>
      </c>
      <c r="Q1119" s="26">
        <f>IF($A1119="","",ROUND(SUMIFS(出库单!$S$4:$S$4003,出库单!$D$4:$D$4003,$A1119,出库单!$K$4:$K$4003,"自用消耗",出库单!$U$4:$U$4003,"正常",出库单!$C$4:$C$4003,"&gt;="&amp;账期起,出库单!$C$4:$C$4003,"&lt;="&amp;账期止),0))</f>
        <v/>
      </c>
      <c r="R1119" s="27">
        <f>IF($A1119="","",SUMIFS(出库单!$J$4:$J$4003,出库单!$D$4:$D$4003,$A1119,出库单!$K$4:$K$4003,"对外销售",出库单!$U$4:$U$4003,"正常",出库单!$C$4:$C$4003,"&gt;="&amp;账期起,出库单!$C$4:$C$4003,"&lt;="&amp;账期止))</f>
        <v/>
      </c>
      <c r="S1119" s="26">
        <f>IF($A1119="","",ROUND(SUMIFS(出库单!$S$4:$S$4003,出库单!$D$4:$D$4003,$A1119,出库单!$K$4:$K$4003,"对外销售",出库单!$U$4:$U$4003,"正常",出库单!$C$4:$C$4003,"&gt;="&amp;账期起,出库单!$C$4:$C$4003,"&lt;="&amp;账期止),0))</f>
        <v/>
      </c>
      <c r="T1119" s="27">
        <f>IF($A1119="","",SUMIFS(出库单!$J$4:$J$4003,出库单!$D$4:$D$4003,$A1119,出库单!$K$4:$K$4003,"盘亏",出库单!$U$4:$U$4003,"正常",出库单!$C$4:$C$4003,"&gt;="&amp;账期起,出库单!$C$4:$C$4003,"&lt;="&amp;账期止))</f>
        <v/>
      </c>
      <c r="U1119" s="26">
        <f>IF($A1119="","",ROUND(SUMIFS(出库单!$S$4:$S$4003,出库单!$D$4:$D$4003,$A1119,出库单!$K$4:$K$4003,"盘亏",出库单!$U$4:$U$4003,"正常",出库单!$C$4:$C$4003,"&gt;="&amp;账期起,出库单!$C$4:$C$4003,"&lt;="&amp;账期止),0))</f>
        <v/>
      </c>
      <c r="V1119" s="27">
        <f>IF($A1119="","",SUMIFS(出库单!$J$4:$J$4003,出库单!$D$4:$D$4003,$A1119,出库单!$K$4:$K$4003,"退货给供应商",出库单!$U$4:$U$4003,"正常",出库单!$C$4:$C$4003,"&gt;="&amp;账期起,出库单!$C$4:$C$4003,"&lt;="&amp;账期止))</f>
        <v/>
      </c>
      <c r="W1119" s="26">
        <f>IF($A1119="","",ROUND(SUMIFS(出库单!$S$4:$S$4003,出库单!$D$4:$D$4003,$A1119,出库单!$K$4:$K$4003,"退货给供应商",出库单!$U$4:$U$4003,"正常",出库单!$C$4:$C$4003,"&gt;="&amp;账期起,出库单!$C$4:$C$4003,"&lt;="&amp;账期止),0))</f>
        <v/>
      </c>
      <c r="X1119" s="27">
        <f>IF($A1119="","",ROUND(N($G1119)+$I1119+$L1119+$N1119-$P1119-$R1119-$T1119-$V1119,3))</f>
        <v/>
      </c>
      <c r="Y1119" s="26">
        <f>IF($A1119="","",ROUND(N($H1119)+$J1119+$M1119+$O1119-$Q1119-$S1119-$U1119-$W1119,0))</f>
        <v/>
      </c>
      <c r="Z1119" s="24">
        <f>IF($A1119="","",IF(COUNTIFS(入库单!$G$4:$G$2503,$A1119,入库单!$Y$4:$Y$2503,"待补价")+COUNTIFS(入库单!$G$4:$G$2503,$A1119,入库单!$Y$4:$Y$2503,"暂估")&gt;0,"不可信","可信"))</f>
        <v/>
      </c>
      <c r="AA1119" s="24">
        <f>IF($A1119="","",IF($X1119&lt;-0.001,"※账面负库存，查一下是不是漏记入库",IF(AND(ROUND($X1119,3)=0,ABS($Y1119)&gt;1),"※数量已经是 0，金额还挂着 "&amp;TEXT($Y1119,"#,##0")&amp;" 先令",IF(AND($X1119&gt;0,$Y1119&lt;=0,$K1119=0),"※有数量没金额（这个物料一直没填过进价）",IF($Z1119="不可信","△成本含待补价/暂估，毛利仅供参考","")))))</f>
        <v/>
      </c>
    </row>
    <row r="1120">
      <c r="A1120" s="24">
        <f>IF(物料档案!$A1119="","",物料档案!$A1119)</f>
        <v/>
      </c>
      <c r="B1120" s="24">
        <f>IF($A1120="","",IFERROR(VLOOKUP($A1120,物料档案!$A$4:$P$1203,3,0),""))</f>
        <v/>
      </c>
      <c r="C1120" s="24">
        <f>IF($A1120="","",IFERROR(VLOOKUP($A1120,物料档案!$A$4:$P$1203,4,0),""))</f>
        <v/>
      </c>
      <c r="D1120" s="24">
        <f>IF($A1120="","",IFERROR(VLOOKUP($A1120,物料档案!$A$4:$P$1203,5,0),""))</f>
        <v/>
      </c>
      <c r="E1120" s="24">
        <f>IF($A1120="","",IFERROR(VLOOKUP($A1120,物料档案!$A$4:$P$1203,2,0),""))</f>
        <v/>
      </c>
      <c r="F1120" s="24">
        <f>IF($A1120="","",IFERROR(VLOOKUP($A1120,物料档案!$A$4:$P$1203,6,0),""))</f>
        <v/>
      </c>
      <c r="G1120" s="23" t="n"/>
      <c r="H1120" s="32" t="n"/>
      <c r="I1120" s="27">
        <f>IF($A1120="","",SUMIFS(入库单!$K$4:$K$2503,入库单!$G$4:$G$2503,$A1120,入库单!$X$4:$X$2503,"采购入库",入库单!$Z$4:$Z$2503,"正常",入库单!$C$4:$C$2503,"&gt;="&amp;账期起,入库单!$C$4:$C$2503,"&lt;="&amp;账期止))</f>
        <v/>
      </c>
      <c r="J1120" s="26">
        <f>IF($A1120="","",SUMIFS(入库单!$V$4:$V$2503,入库单!$G$4:$G$2503,$A1120,入库单!$X$4:$X$2503,"采购入库",入库单!$Z$4:$Z$2503,"正常",入库单!$C$4:$C$2503,"&gt;="&amp;账期起,入库单!$C$4:$C$2503,"&lt;="&amp;账期止))</f>
        <v/>
      </c>
      <c r="K1120" s="26">
        <f>IF($A1120="","",IFERROR(ROUND((N($H1120)+N($J1120))/(N($G1120)+N($I1120)),2),0))</f>
        <v/>
      </c>
      <c r="L1120" s="27">
        <f>IF($A1120="","",SUMIFS(入库单!$K$4:$K$2503,入库单!$G$4:$G$2503,$A1120,入库单!$X$4:$X$2503,"盘盈",入库单!$Z$4:$Z$2503,"正常",入库单!$C$4:$C$2503,"&gt;="&amp;账期起,入库单!$C$4:$C$2503,"&lt;="&amp;账期止))</f>
        <v/>
      </c>
      <c r="M1120" s="26">
        <f>IF($A1120="","",ROUND($L1120*$K1120,0))</f>
        <v/>
      </c>
      <c r="N1120" s="27">
        <f>IF($A1120="","",SUMIFS(入库单!$K$4:$K$2503,入库单!$G$4:$G$2503,$A1120,入库单!$X$4:$X$2503,"矿区退库",入库单!$Z$4:$Z$2503,"正常",入库单!$C$4:$C$2503,"&gt;="&amp;账期起,入库单!$C$4:$C$2503,"&lt;="&amp;账期止))</f>
        <v/>
      </c>
      <c r="O1120" s="26">
        <f>IF($A1120="","",ROUND($N1120*$K1120,0))</f>
        <v/>
      </c>
      <c r="P1120" s="27">
        <f>IF($A1120="","",SUMIFS(出库单!$J$4:$J$4003,出库单!$D$4:$D$4003,$A1120,出库单!$K$4:$K$4003,"自用消耗",出库单!$U$4:$U$4003,"正常",出库单!$C$4:$C$4003,"&gt;="&amp;账期起,出库单!$C$4:$C$4003,"&lt;="&amp;账期止))</f>
        <v/>
      </c>
      <c r="Q1120" s="26">
        <f>IF($A1120="","",ROUND(SUMIFS(出库单!$S$4:$S$4003,出库单!$D$4:$D$4003,$A1120,出库单!$K$4:$K$4003,"自用消耗",出库单!$U$4:$U$4003,"正常",出库单!$C$4:$C$4003,"&gt;="&amp;账期起,出库单!$C$4:$C$4003,"&lt;="&amp;账期止),0))</f>
        <v/>
      </c>
      <c r="R1120" s="27">
        <f>IF($A1120="","",SUMIFS(出库单!$J$4:$J$4003,出库单!$D$4:$D$4003,$A1120,出库单!$K$4:$K$4003,"对外销售",出库单!$U$4:$U$4003,"正常",出库单!$C$4:$C$4003,"&gt;="&amp;账期起,出库单!$C$4:$C$4003,"&lt;="&amp;账期止))</f>
        <v/>
      </c>
      <c r="S1120" s="26">
        <f>IF($A1120="","",ROUND(SUMIFS(出库单!$S$4:$S$4003,出库单!$D$4:$D$4003,$A1120,出库单!$K$4:$K$4003,"对外销售",出库单!$U$4:$U$4003,"正常",出库单!$C$4:$C$4003,"&gt;="&amp;账期起,出库单!$C$4:$C$4003,"&lt;="&amp;账期止),0))</f>
        <v/>
      </c>
      <c r="T1120" s="27">
        <f>IF($A1120="","",SUMIFS(出库单!$J$4:$J$4003,出库单!$D$4:$D$4003,$A1120,出库单!$K$4:$K$4003,"盘亏",出库单!$U$4:$U$4003,"正常",出库单!$C$4:$C$4003,"&gt;="&amp;账期起,出库单!$C$4:$C$4003,"&lt;="&amp;账期止))</f>
        <v/>
      </c>
      <c r="U1120" s="26">
        <f>IF($A1120="","",ROUND(SUMIFS(出库单!$S$4:$S$4003,出库单!$D$4:$D$4003,$A1120,出库单!$K$4:$K$4003,"盘亏",出库单!$U$4:$U$4003,"正常",出库单!$C$4:$C$4003,"&gt;="&amp;账期起,出库单!$C$4:$C$4003,"&lt;="&amp;账期止),0))</f>
        <v/>
      </c>
      <c r="V1120" s="27">
        <f>IF($A1120="","",SUMIFS(出库单!$J$4:$J$4003,出库单!$D$4:$D$4003,$A1120,出库单!$K$4:$K$4003,"退货给供应商",出库单!$U$4:$U$4003,"正常",出库单!$C$4:$C$4003,"&gt;="&amp;账期起,出库单!$C$4:$C$4003,"&lt;="&amp;账期止))</f>
        <v/>
      </c>
      <c r="W1120" s="26">
        <f>IF($A1120="","",ROUND(SUMIFS(出库单!$S$4:$S$4003,出库单!$D$4:$D$4003,$A1120,出库单!$K$4:$K$4003,"退货给供应商",出库单!$U$4:$U$4003,"正常",出库单!$C$4:$C$4003,"&gt;="&amp;账期起,出库单!$C$4:$C$4003,"&lt;="&amp;账期止),0))</f>
        <v/>
      </c>
      <c r="X1120" s="27">
        <f>IF($A1120="","",ROUND(N($G1120)+$I1120+$L1120+$N1120-$P1120-$R1120-$T1120-$V1120,3))</f>
        <v/>
      </c>
      <c r="Y1120" s="26">
        <f>IF($A1120="","",ROUND(N($H1120)+$J1120+$M1120+$O1120-$Q1120-$S1120-$U1120-$W1120,0))</f>
        <v/>
      </c>
      <c r="Z1120" s="24">
        <f>IF($A1120="","",IF(COUNTIFS(入库单!$G$4:$G$2503,$A1120,入库单!$Y$4:$Y$2503,"待补价")+COUNTIFS(入库单!$G$4:$G$2503,$A1120,入库单!$Y$4:$Y$2503,"暂估")&gt;0,"不可信","可信"))</f>
        <v/>
      </c>
      <c r="AA1120" s="24">
        <f>IF($A1120="","",IF($X1120&lt;-0.001,"※账面负库存，查一下是不是漏记入库",IF(AND(ROUND($X1120,3)=0,ABS($Y1120)&gt;1),"※数量已经是 0，金额还挂着 "&amp;TEXT($Y1120,"#,##0")&amp;" 先令",IF(AND($X1120&gt;0,$Y1120&lt;=0,$K1120=0),"※有数量没金额（这个物料一直没填过进价）",IF($Z1120="不可信","△成本含待补价/暂估，毛利仅供参考","")))))</f>
        <v/>
      </c>
    </row>
    <row r="1121">
      <c r="A1121" s="24">
        <f>IF(物料档案!$A1120="","",物料档案!$A1120)</f>
        <v/>
      </c>
      <c r="B1121" s="24">
        <f>IF($A1121="","",IFERROR(VLOOKUP($A1121,物料档案!$A$4:$P$1203,3,0),""))</f>
        <v/>
      </c>
      <c r="C1121" s="24">
        <f>IF($A1121="","",IFERROR(VLOOKUP($A1121,物料档案!$A$4:$P$1203,4,0),""))</f>
        <v/>
      </c>
      <c r="D1121" s="24">
        <f>IF($A1121="","",IFERROR(VLOOKUP($A1121,物料档案!$A$4:$P$1203,5,0),""))</f>
        <v/>
      </c>
      <c r="E1121" s="24">
        <f>IF($A1121="","",IFERROR(VLOOKUP($A1121,物料档案!$A$4:$P$1203,2,0),""))</f>
        <v/>
      </c>
      <c r="F1121" s="24">
        <f>IF($A1121="","",IFERROR(VLOOKUP($A1121,物料档案!$A$4:$P$1203,6,0),""))</f>
        <v/>
      </c>
      <c r="G1121" s="23" t="n"/>
      <c r="H1121" s="32" t="n"/>
      <c r="I1121" s="27">
        <f>IF($A1121="","",SUMIFS(入库单!$K$4:$K$2503,入库单!$G$4:$G$2503,$A1121,入库单!$X$4:$X$2503,"采购入库",入库单!$Z$4:$Z$2503,"正常",入库单!$C$4:$C$2503,"&gt;="&amp;账期起,入库单!$C$4:$C$2503,"&lt;="&amp;账期止))</f>
        <v/>
      </c>
      <c r="J1121" s="26">
        <f>IF($A1121="","",SUMIFS(入库单!$V$4:$V$2503,入库单!$G$4:$G$2503,$A1121,入库单!$X$4:$X$2503,"采购入库",入库单!$Z$4:$Z$2503,"正常",入库单!$C$4:$C$2503,"&gt;="&amp;账期起,入库单!$C$4:$C$2503,"&lt;="&amp;账期止))</f>
        <v/>
      </c>
      <c r="K1121" s="26">
        <f>IF($A1121="","",IFERROR(ROUND((N($H1121)+N($J1121))/(N($G1121)+N($I1121)),2),0))</f>
        <v/>
      </c>
      <c r="L1121" s="27">
        <f>IF($A1121="","",SUMIFS(入库单!$K$4:$K$2503,入库单!$G$4:$G$2503,$A1121,入库单!$X$4:$X$2503,"盘盈",入库单!$Z$4:$Z$2503,"正常",入库单!$C$4:$C$2503,"&gt;="&amp;账期起,入库单!$C$4:$C$2503,"&lt;="&amp;账期止))</f>
        <v/>
      </c>
      <c r="M1121" s="26">
        <f>IF($A1121="","",ROUND($L1121*$K1121,0))</f>
        <v/>
      </c>
      <c r="N1121" s="27">
        <f>IF($A1121="","",SUMIFS(入库单!$K$4:$K$2503,入库单!$G$4:$G$2503,$A1121,入库单!$X$4:$X$2503,"矿区退库",入库单!$Z$4:$Z$2503,"正常",入库单!$C$4:$C$2503,"&gt;="&amp;账期起,入库单!$C$4:$C$2503,"&lt;="&amp;账期止))</f>
        <v/>
      </c>
      <c r="O1121" s="26">
        <f>IF($A1121="","",ROUND($N1121*$K1121,0))</f>
        <v/>
      </c>
      <c r="P1121" s="27">
        <f>IF($A1121="","",SUMIFS(出库单!$J$4:$J$4003,出库单!$D$4:$D$4003,$A1121,出库单!$K$4:$K$4003,"自用消耗",出库单!$U$4:$U$4003,"正常",出库单!$C$4:$C$4003,"&gt;="&amp;账期起,出库单!$C$4:$C$4003,"&lt;="&amp;账期止))</f>
        <v/>
      </c>
      <c r="Q1121" s="26">
        <f>IF($A1121="","",ROUND(SUMIFS(出库单!$S$4:$S$4003,出库单!$D$4:$D$4003,$A1121,出库单!$K$4:$K$4003,"自用消耗",出库单!$U$4:$U$4003,"正常",出库单!$C$4:$C$4003,"&gt;="&amp;账期起,出库单!$C$4:$C$4003,"&lt;="&amp;账期止),0))</f>
        <v/>
      </c>
      <c r="R1121" s="27">
        <f>IF($A1121="","",SUMIFS(出库单!$J$4:$J$4003,出库单!$D$4:$D$4003,$A1121,出库单!$K$4:$K$4003,"对外销售",出库单!$U$4:$U$4003,"正常",出库单!$C$4:$C$4003,"&gt;="&amp;账期起,出库单!$C$4:$C$4003,"&lt;="&amp;账期止))</f>
        <v/>
      </c>
      <c r="S1121" s="26">
        <f>IF($A1121="","",ROUND(SUMIFS(出库单!$S$4:$S$4003,出库单!$D$4:$D$4003,$A1121,出库单!$K$4:$K$4003,"对外销售",出库单!$U$4:$U$4003,"正常",出库单!$C$4:$C$4003,"&gt;="&amp;账期起,出库单!$C$4:$C$4003,"&lt;="&amp;账期止),0))</f>
        <v/>
      </c>
      <c r="T1121" s="27">
        <f>IF($A1121="","",SUMIFS(出库单!$J$4:$J$4003,出库单!$D$4:$D$4003,$A1121,出库单!$K$4:$K$4003,"盘亏",出库单!$U$4:$U$4003,"正常",出库单!$C$4:$C$4003,"&gt;="&amp;账期起,出库单!$C$4:$C$4003,"&lt;="&amp;账期止))</f>
        <v/>
      </c>
      <c r="U1121" s="26">
        <f>IF($A1121="","",ROUND(SUMIFS(出库单!$S$4:$S$4003,出库单!$D$4:$D$4003,$A1121,出库单!$K$4:$K$4003,"盘亏",出库单!$U$4:$U$4003,"正常",出库单!$C$4:$C$4003,"&gt;="&amp;账期起,出库单!$C$4:$C$4003,"&lt;="&amp;账期止),0))</f>
        <v/>
      </c>
      <c r="V1121" s="27">
        <f>IF($A1121="","",SUMIFS(出库单!$J$4:$J$4003,出库单!$D$4:$D$4003,$A1121,出库单!$K$4:$K$4003,"退货给供应商",出库单!$U$4:$U$4003,"正常",出库单!$C$4:$C$4003,"&gt;="&amp;账期起,出库单!$C$4:$C$4003,"&lt;="&amp;账期止))</f>
        <v/>
      </c>
      <c r="W1121" s="26">
        <f>IF($A1121="","",ROUND(SUMIFS(出库单!$S$4:$S$4003,出库单!$D$4:$D$4003,$A1121,出库单!$K$4:$K$4003,"退货给供应商",出库单!$U$4:$U$4003,"正常",出库单!$C$4:$C$4003,"&gt;="&amp;账期起,出库单!$C$4:$C$4003,"&lt;="&amp;账期止),0))</f>
        <v/>
      </c>
      <c r="X1121" s="27">
        <f>IF($A1121="","",ROUND(N($G1121)+$I1121+$L1121+$N1121-$P1121-$R1121-$T1121-$V1121,3))</f>
        <v/>
      </c>
      <c r="Y1121" s="26">
        <f>IF($A1121="","",ROUND(N($H1121)+$J1121+$M1121+$O1121-$Q1121-$S1121-$U1121-$W1121,0))</f>
        <v/>
      </c>
      <c r="Z1121" s="24">
        <f>IF($A1121="","",IF(COUNTIFS(入库单!$G$4:$G$2503,$A1121,入库单!$Y$4:$Y$2503,"待补价")+COUNTIFS(入库单!$G$4:$G$2503,$A1121,入库单!$Y$4:$Y$2503,"暂估")&gt;0,"不可信","可信"))</f>
        <v/>
      </c>
      <c r="AA1121" s="24">
        <f>IF($A1121="","",IF($X1121&lt;-0.001,"※账面负库存，查一下是不是漏记入库",IF(AND(ROUND($X1121,3)=0,ABS($Y1121)&gt;1),"※数量已经是 0，金额还挂着 "&amp;TEXT($Y1121,"#,##0")&amp;" 先令",IF(AND($X1121&gt;0,$Y1121&lt;=0,$K1121=0),"※有数量没金额（这个物料一直没填过进价）",IF($Z1121="不可信","△成本含待补价/暂估，毛利仅供参考","")))))</f>
        <v/>
      </c>
    </row>
    <row r="1122">
      <c r="A1122" s="24">
        <f>IF(物料档案!$A1121="","",物料档案!$A1121)</f>
        <v/>
      </c>
      <c r="B1122" s="24">
        <f>IF($A1122="","",IFERROR(VLOOKUP($A1122,物料档案!$A$4:$P$1203,3,0),""))</f>
        <v/>
      </c>
      <c r="C1122" s="24">
        <f>IF($A1122="","",IFERROR(VLOOKUP($A1122,物料档案!$A$4:$P$1203,4,0),""))</f>
        <v/>
      </c>
      <c r="D1122" s="24">
        <f>IF($A1122="","",IFERROR(VLOOKUP($A1122,物料档案!$A$4:$P$1203,5,0),""))</f>
        <v/>
      </c>
      <c r="E1122" s="24">
        <f>IF($A1122="","",IFERROR(VLOOKUP($A1122,物料档案!$A$4:$P$1203,2,0),""))</f>
        <v/>
      </c>
      <c r="F1122" s="24">
        <f>IF($A1122="","",IFERROR(VLOOKUP($A1122,物料档案!$A$4:$P$1203,6,0),""))</f>
        <v/>
      </c>
      <c r="G1122" s="23" t="n"/>
      <c r="H1122" s="32" t="n"/>
      <c r="I1122" s="27">
        <f>IF($A1122="","",SUMIFS(入库单!$K$4:$K$2503,入库单!$G$4:$G$2503,$A1122,入库单!$X$4:$X$2503,"采购入库",入库单!$Z$4:$Z$2503,"正常",入库单!$C$4:$C$2503,"&gt;="&amp;账期起,入库单!$C$4:$C$2503,"&lt;="&amp;账期止))</f>
        <v/>
      </c>
      <c r="J1122" s="26">
        <f>IF($A1122="","",SUMIFS(入库单!$V$4:$V$2503,入库单!$G$4:$G$2503,$A1122,入库单!$X$4:$X$2503,"采购入库",入库单!$Z$4:$Z$2503,"正常",入库单!$C$4:$C$2503,"&gt;="&amp;账期起,入库单!$C$4:$C$2503,"&lt;="&amp;账期止))</f>
        <v/>
      </c>
      <c r="K1122" s="26">
        <f>IF($A1122="","",IFERROR(ROUND((N($H1122)+N($J1122))/(N($G1122)+N($I1122)),2),0))</f>
        <v/>
      </c>
      <c r="L1122" s="27">
        <f>IF($A1122="","",SUMIFS(入库单!$K$4:$K$2503,入库单!$G$4:$G$2503,$A1122,入库单!$X$4:$X$2503,"盘盈",入库单!$Z$4:$Z$2503,"正常",入库单!$C$4:$C$2503,"&gt;="&amp;账期起,入库单!$C$4:$C$2503,"&lt;="&amp;账期止))</f>
        <v/>
      </c>
      <c r="M1122" s="26">
        <f>IF($A1122="","",ROUND($L1122*$K1122,0))</f>
        <v/>
      </c>
      <c r="N1122" s="27">
        <f>IF($A1122="","",SUMIFS(入库单!$K$4:$K$2503,入库单!$G$4:$G$2503,$A1122,入库单!$X$4:$X$2503,"矿区退库",入库单!$Z$4:$Z$2503,"正常",入库单!$C$4:$C$2503,"&gt;="&amp;账期起,入库单!$C$4:$C$2503,"&lt;="&amp;账期止))</f>
        <v/>
      </c>
      <c r="O1122" s="26">
        <f>IF($A1122="","",ROUND($N1122*$K1122,0))</f>
        <v/>
      </c>
      <c r="P1122" s="27">
        <f>IF($A1122="","",SUMIFS(出库单!$J$4:$J$4003,出库单!$D$4:$D$4003,$A1122,出库单!$K$4:$K$4003,"自用消耗",出库单!$U$4:$U$4003,"正常",出库单!$C$4:$C$4003,"&gt;="&amp;账期起,出库单!$C$4:$C$4003,"&lt;="&amp;账期止))</f>
        <v/>
      </c>
      <c r="Q1122" s="26">
        <f>IF($A1122="","",ROUND(SUMIFS(出库单!$S$4:$S$4003,出库单!$D$4:$D$4003,$A1122,出库单!$K$4:$K$4003,"自用消耗",出库单!$U$4:$U$4003,"正常",出库单!$C$4:$C$4003,"&gt;="&amp;账期起,出库单!$C$4:$C$4003,"&lt;="&amp;账期止),0))</f>
        <v/>
      </c>
      <c r="R1122" s="27">
        <f>IF($A1122="","",SUMIFS(出库单!$J$4:$J$4003,出库单!$D$4:$D$4003,$A1122,出库单!$K$4:$K$4003,"对外销售",出库单!$U$4:$U$4003,"正常",出库单!$C$4:$C$4003,"&gt;="&amp;账期起,出库单!$C$4:$C$4003,"&lt;="&amp;账期止))</f>
        <v/>
      </c>
      <c r="S1122" s="26">
        <f>IF($A1122="","",ROUND(SUMIFS(出库单!$S$4:$S$4003,出库单!$D$4:$D$4003,$A1122,出库单!$K$4:$K$4003,"对外销售",出库单!$U$4:$U$4003,"正常",出库单!$C$4:$C$4003,"&gt;="&amp;账期起,出库单!$C$4:$C$4003,"&lt;="&amp;账期止),0))</f>
        <v/>
      </c>
      <c r="T1122" s="27">
        <f>IF($A1122="","",SUMIFS(出库单!$J$4:$J$4003,出库单!$D$4:$D$4003,$A1122,出库单!$K$4:$K$4003,"盘亏",出库单!$U$4:$U$4003,"正常",出库单!$C$4:$C$4003,"&gt;="&amp;账期起,出库单!$C$4:$C$4003,"&lt;="&amp;账期止))</f>
        <v/>
      </c>
      <c r="U1122" s="26">
        <f>IF($A1122="","",ROUND(SUMIFS(出库单!$S$4:$S$4003,出库单!$D$4:$D$4003,$A1122,出库单!$K$4:$K$4003,"盘亏",出库单!$U$4:$U$4003,"正常",出库单!$C$4:$C$4003,"&gt;="&amp;账期起,出库单!$C$4:$C$4003,"&lt;="&amp;账期止),0))</f>
        <v/>
      </c>
      <c r="V1122" s="27">
        <f>IF($A1122="","",SUMIFS(出库单!$J$4:$J$4003,出库单!$D$4:$D$4003,$A1122,出库单!$K$4:$K$4003,"退货给供应商",出库单!$U$4:$U$4003,"正常",出库单!$C$4:$C$4003,"&gt;="&amp;账期起,出库单!$C$4:$C$4003,"&lt;="&amp;账期止))</f>
        <v/>
      </c>
      <c r="W1122" s="26">
        <f>IF($A1122="","",ROUND(SUMIFS(出库单!$S$4:$S$4003,出库单!$D$4:$D$4003,$A1122,出库单!$K$4:$K$4003,"退货给供应商",出库单!$U$4:$U$4003,"正常",出库单!$C$4:$C$4003,"&gt;="&amp;账期起,出库单!$C$4:$C$4003,"&lt;="&amp;账期止),0))</f>
        <v/>
      </c>
      <c r="X1122" s="27">
        <f>IF($A1122="","",ROUND(N($G1122)+$I1122+$L1122+$N1122-$P1122-$R1122-$T1122-$V1122,3))</f>
        <v/>
      </c>
      <c r="Y1122" s="26">
        <f>IF($A1122="","",ROUND(N($H1122)+$J1122+$M1122+$O1122-$Q1122-$S1122-$U1122-$W1122,0))</f>
        <v/>
      </c>
      <c r="Z1122" s="24">
        <f>IF($A1122="","",IF(COUNTIFS(入库单!$G$4:$G$2503,$A1122,入库单!$Y$4:$Y$2503,"待补价")+COUNTIFS(入库单!$G$4:$G$2503,$A1122,入库单!$Y$4:$Y$2503,"暂估")&gt;0,"不可信","可信"))</f>
        <v/>
      </c>
      <c r="AA1122" s="24">
        <f>IF($A1122="","",IF($X1122&lt;-0.001,"※账面负库存，查一下是不是漏记入库",IF(AND(ROUND($X1122,3)=0,ABS($Y1122)&gt;1),"※数量已经是 0，金额还挂着 "&amp;TEXT($Y1122,"#,##0")&amp;" 先令",IF(AND($X1122&gt;0,$Y1122&lt;=0,$K1122=0),"※有数量没金额（这个物料一直没填过进价）",IF($Z1122="不可信","△成本含待补价/暂估，毛利仅供参考","")))))</f>
        <v/>
      </c>
    </row>
    <row r="1123">
      <c r="A1123" s="24">
        <f>IF(物料档案!$A1122="","",物料档案!$A1122)</f>
        <v/>
      </c>
      <c r="B1123" s="24">
        <f>IF($A1123="","",IFERROR(VLOOKUP($A1123,物料档案!$A$4:$P$1203,3,0),""))</f>
        <v/>
      </c>
      <c r="C1123" s="24">
        <f>IF($A1123="","",IFERROR(VLOOKUP($A1123,物料档案!$A$4:$P$1203,4,0),""))</f>
        <v/>
      </c>
      <c r="D1123" s="24">
        <f>IF($A1123="","",IFERROR(VLOOKUP($A1123,物料档案!$A$4:$P$1203,5,0),""))</f>
        <v/>
      </c>
      <c r="E1123" s="24">
        <f>IF($A1123="","",IFERROR(VLOOKUP($A1123,物料档案!$A$4:$P$1203,2,0),""))</f>
        <v/>
      </c>
      <c r="F1123" s="24">
        <f>IF($A1123="","",IFERROR(VLOOKUP($A1123,物料档案!$A$4:$P$1203,6,0),""))</f>
        <v/>
      </c>
      <c r="G1123" s="23" t="n"/>
      <c r="H1123" s="32" t="n"/>
      <c r="I1123" s="27">
        <f>IF($A1123="","",SUMIFS(入库单!$K$4:$K$2503,入库单!$G$4:$G$2503,$A1123,入库单!$X$4:$X$2503,"采购入库",入库单!$Z$4:$Z$2503,"正常",入库单!$C$4:$C$2503,"&gt;="&amp;账期起,入库单!$C$4:$C$2503,"&lt;="&amp;账期止))</f>
        <v/>
      </c>
      <c r="J1123" s="26">
        <f>IF($A1123="","",SUMIFS(入库单!$V$4:$V$2503,入库单!$G$4:$G$2503,$A1123,入库单!$X$4:$X$2503,"采购入库",入库单!$Z$4:$Z$2503,"正常",入库单!$C$4:$C$2503,"&gt;="&amp;账期起,入库单!$C$4:$C$2503,"&lt;="&amp;账期止))</f>
        <v/>
      </c>
      <c r="K1123" s="26">
        <f>IF($A1123="","",IFERROR(ROUND((N($H1123)+N($J1123))/(N($G1123)+N($I1123)),2),0))</f>
        <v/>
      </c>
      <c r="L1123" s="27">
        <f>IF($A1123="","",SUMIFS(入库单!$K$4:$K$2503,入库单!$G$4:$G$2503,$A1123,入库单!$X$4:$X$2503,"盘盈",入库单!$Z$4:$Z$2503,"正常",入库单!$C$4:$C$2503,"&gt;="&amp;账期起,入库单!$C$4:$C$2503,"&lt;="&amp;账期止))</f>
        <v/>
      </c>
      <c r="M1123" s="26">
        <f>IF($A1123="","",ROUND($L1123*$K1123,0))</f>
        <v/>
      </c>
      <c r="N1123" s="27">
        <f>IF($A1123="","",SUMIFS(入库单!$K$4:$K$2503,入库单!$G$4:$G$2503,$A1123,入库单!$X$4:$X$2503,"矿区退库",入库单!$Z$4:$Z$2503,"正常",入库单!$C$4:$C$2503,"&gt;="&amp;账期起,入库单!$C$4:$C$2503,"&lt;="&amp;账期止))</f>
        <v/>
      </c>
      <c r="O1123" s="26">
        <f>IF($A1123="","",ROUND($N1123*$K1123,0))</f>
        <v/>
      </c>
      <c r="P1123" s="27">
        <f>IF($A1123="","",SUMIFS(出库单!$J$4:$J$4003,出库单!$D$4:$D$4003,$A1123,出库单!$K$4:$K$4003,"自用消耗",出库单!$U$4:$U$4003,"正常",出库单!$C$4:$C$4003,"&gt;="&amp;账期起,出库单!$C$4:$C$4003,"&lt;="&amp;账期止))</f>
        <v/>
      </c>
      <c r="Q1123" s="26">
        <f>IF($A1123="","",ROUND(SUMIFS(出库单!$S$4:$S$4003,出库单!$D$4:$D$4003,$A1123,出库单!$K$4:$K$4003,"自用消耗",出库单!$U$4:$U$4003,"正常",出库单!$C$4:$C$4003,"&gt;="&amp;账期起,出库单!$C$4:$C$4003,"&lt;="&amp;账期止),0))</f>
        <v/>
      </c>
      <c r="R1123" s="27">
        <f>IF($A1123="","",SUMIFS(出库单!$J$4:$J$4003,出库单!$D$4:$D$4003,$A1123,出库单!$K$4:$K$4003,"对外销售",出库单!$U$4:$U$4003,"正常",出库单!$C$4:$C$4003,"&gt;="&amp;账期起,出库单!$C$4:$C$4003,"&lt;="&amp;账期止))</f>
        <v/>
      </c>
      <c r="S1123" s="26">
        <f>IF($A1123="","",ROUND(SUMIFS(出库单!$S$4:$S$4003,出库单!$D$4:$D$4003,$A1123,出库单!$K$4:$K$4003,"对外销售",出库单!$U$4:$U$4003,"正常",出库单!$C$4:$C$4003,"&gt;="&amp;账期起,出库单!$C$4:$C$4003,"&lt;="&amp;账期止),0))</f>
        <v/>
      </c>
      <c r="T1123" s="27">
        <f>IF($A1123="","",SUMIFS(出库单!$J$4:$J$4003,出库单!$D$4:$D$4003,$A1123,出库单!$K$4:$K$4003,"盘亏",出库单!$U$4:$U$4003,"正常",出库单!$C$4:$C$4003,"&gt;="&amp;账期起,出库单!$C$4:$C$4003,"&lt;="&amp;账期止))</f>
        <v/>
      </c>
      <c r="U1123" s="26">
        <f>IF($A1123="","",ROUND(SUMIFS(出库单!$S$4:$S$4003,出库单!$D$4:$D$4003,$A1123,出库单!$K$4:$K$4003,"盘亏",出库单!$U$4:$U$4003,"正常",出库单!$C$4:$C$4003,"&gt;="&amp;账期起,出库单!$C$4:$C$4003,"&lt;="&amp;账期止),0))</f>
        <v/>
      </c>
      <c r="V1123" s="27">
        <f>IF($A1123="","",SUMIFS(出库单!$J$4:$J$4003,出库单!$D$4:$D$4003,$A1123,出库单!$K$4:$K$4003,"退货给供应商",出库单!$U$4:$U$4003,"正常",出库单!$C$4:$C$4003,"&gt;="&amp;账期起,出库单!$C$4:$C$4003,"&lt;="&amp;账期止))</f>
        <v/>
      </c>
      <c r="W1123" s="26">
        <f>IF($A1123="","",ROUND(SUMIFS(出库单!$S$4:$S$4003,出库单!$D$4:$D$4003,$A1123,出库单!$K$4:$K$4003,"退货给供应商",出库单!$U$4:$U$4003,"正常",出库单!$C$4:$C$4003,"&gt;="&amp;账期起,出库单!$C$4:$C$4003,"&lt;="&amp;账期止),0))</f>
        <v/>
      </c>
      <c r="X1123" s="27">
        <f>IF($A1123="","",ROUND(N($G1123)+$I1123+$L1123+$N1123-$P1123-$R1123-$T1123-$V1123,3))</f>
        <v/>
      </c>
      <c r="Y1123" s="26">
        <f>IF($A1123="","",ROUND(N($H1123)+$J1123+$M1123+$O1123-$Q1123-$S1123-$U1123-$W1123,0))</f>
        <v/>
      </c>
      <c r="Z1123" s="24">
        <f>IF($A1123="","",IF(COUNTIFS(入库单!$G$4:$G$2503,$A1123,入库单!$Y$4:$Y$2503,"待补价")+COUNTIFS(入库单!$G$4:$G$2503,$A1123,入库单!$Y$4:$Y$2503,"暂估")&gt;0,"不可信","可信"))</f>
        <v/>
      </c>
      <c r="AA1123" s="24">
        <f>IF($A1123="","",IF($X1123&lt;-0.001,"※账面负库存，查一下是不是漏记入库",IF(AND(ROUND($X1123,3)=0,ABS($Y1123)&gt;1),"※数量已经是 0，金额还挂着 "&amp;TEXT($Y1123,"#,##0")&amp;" 先令",IF(AND($X1123&gt;0,$Y1123&lt;=0,$K1123=0),"※有数量没金额（这个物料一直没填过进价）",IF($Z1123="不可信","△成本含待补价/暂估，毛利仅供参考","")))))</f>
        <v/>
      </c>
    </row>
    <row r="1124">
      <c r="A1124" s="24">
        <f>IF(物料档案!$A1123="","",物料档案!$A1123)</f>
        <v/>
      </c>
      <c r="B1124" s="24">
        <f>IF($A1124="","",IFERROR(VLOOKUP($A1124,物料档案!$A$4:$P$1203,3,0),""))</f>
        <v/>
      </c>
      <c r="C1124" s="24">
        <f>IF($A1124="","",IFERROR(VLOOKUP($A1124,物料档案!$A$4:$P$1203,4,0),""))</f>
        <v/>
      </c>
      <c r="D1124" s="24">
        <f>IF($A1124="","",IFERROR(VLOOKUP($A1124,物料档案!$A$4:$P$1203,5,0),""))</f>
        <v/>
      </c>
      <c r="E1124" s="24">
        <f>IF($A1124="","",IFERROR(VLOOKUP($A1124,物料档案!$A$4:$P$1203,2,0),""))</f>
        <v/>
      </c>
      <c r="F1124" s="24">
        <f>IF($A1124="","",IFERROR(VLOOKUP($A1124,物料档案!$A$4:$P$1203,6,0),""))</f>
        <v/>
      </c>
      <c r="G1124" s="23" t="n"/>
      <c r="H1124" s="32" t="n"/>
      <c r="I1124" s="27">
        <f>IF($A1124="","",SUMIFS(入库单!$K$4:$K$2503,入库单!$G$4:$G$2503,$A1124,入库单!$X$4:$X$2503,"采购入库",入库单!$Z$4:$Z$2503,"正常",入库单!$C$4:$C$2503,"&gt;="&amp;账期起,入库单!$C$4:$C$2503,"&lt;="&amp;账期止))</f>
        <v/>
      </c>
      <c r="J1124" s="26">
        <f>IF($A1124="","",SUMIFS(入库单!$V$4:$V$2503,入库单!$G$4:$G$2503,$A1124,入库单!$X$4:$X$2503,"采购入库",入库单!$Z$4:$Z$2503,"正常",入库单!$C$4:$C$2503,"&gt;="&amp;账期起,入库单!$C$4:$C$2503,"&lt;="&amp;账期止))</f>
        <v/>
      </c>
      <c r="K1124" s="26">
        <f>IF($A1124="","",IFERROR(ROUND((N($H1124)+N($J1124))/(N($G1124)+N($I1124)),2),0))</f>
        <v/>
      </c>
      <c r="L1124" s="27">
        <f>IF($A1124="","",SUMIFS(入库单!$K$4:$K$2503,入库单!$G$4:$G$2503,$A1124,入库单!$X$4:$X$2503,"盘盈",入库单!$Z$4:$Z$2503,"正常",入库单!$C$4:$C$2503,"&gt;="&amp;账期起,入库单!$C$4:$C$2503,"&lt;="&amp;账期止))</f>
        <v/>
      </c>
      <c r="M1124" s="26">
        <f>IF($A1124="","",ROUND($L1124*$K1124,0))</f>
        <v/>
      </c>
      <c r="N1124" s="27">
        <f>IF($A1124="","",SUMIFS(入库单!$K$4:$K$2503,入库单!$G$4:$G$2503,$A1124,入库单!$X$4:$X$2503,"矿区退库",入库单!$Z$4:$Z$2503,"正常",入库单!$C$4:$C$2503,"&gt;="&amp;账期起,入库单!$C$4:$C$2503,"&lt;="&amp;账期止))</f>
        <v/>
      </c>
      <c r="O1124" s="26">
        <f>IF($A1124="","",ROUND($N1124*$K1124,0))</f>
        <v/>
      </c>
      <c r="P1124" s="27">
        <f>IF($A1124="","",SUMIFS(出库单!$J$4:$J$4003,出库单!$D$4:$D$4003,$A1124,出库单!$K$4:$K$4003,"自用消耗",出库单!$U$4:$U$4003,"正常",出库单!$C$4:$C$4003,"&gt;="&amp;账期起,出库单!$C$4:$C$4003,"&lt;="&amp;账期止))</f>
        <v/>
      </c>
      <c r="Q1124" s="26">
        <f>IF($A1124="","",ROUND(SUMIFS(出库单!$S$4:$S$4003,出库单!$D$4:$D$4003,$A1124,出库单!$K$4:$K$4003,"自用消耗",出库单!$U$4:$U$4003,"正常",出库单!$C$4:$C$4003,"&gt;="&amp;账期起,出库单!$C$4:$C$4003,"&lt;="&amp;账期止),0))</f>
        <v/>
      </c>
      <c r="R1124" s="27">
        <f>IF($A1124="","",SUMIFS(出库单!$J$4:$J$4003,出库单!$D$4:$D$4003,$A1124,出库单!$K$4:$K$4003,"对外销售",出库单!$U$4:$U$4003,"正常",出库单!$C$4:$C$4003,"&gt;="&amp;账期起,出库单!$C$4:$C$4003,"&lt;="&amp;账期止))</f>
        <v/>
      </c>
      <c r="S1124" s="26">
        <f>IF($A1124="","",ROUND(SUMIFS(出库单!$S$4:$S$4003,出库单!$D$4:$D$4003,$A1124,出库单!$K$4:$K$4003,"对外销售",出库单!$U$4:$U$4003,"正常",出库单!$C$4:$C$4003,"&gt;="&amp;账期起,出库单!$C$4:$C$4003,"&lt;="&amp;账期止),0))</f>
        <v/>
      </c>
      <c r="T1124" s="27">
        <f>IF($A1124="","",SUMIFS(出库单!$J$4:$J$4003,出库单!$D$4:$D$4003,$A1124,出库单!$K$4:$K$4003,"盘亏",出库单!$U$4:$U$4003,"正常",出库单!$C$4:$C$4003,"&gt;="&amp;账期起,出库单!$C$4:$C$4003,"&lt;="&amp;账期止))</f>
        <v/>
      </c>
      <c r="U1124" s="26">
        <f>IF($A1124="","",ROUND(SUMIFS(出库单!$S$4:$S$4003,出库单!$D$4:$D$4003,$A1124,出库单!$K$4:$K$4003,"盘亏",出库单!$U$4:$U$4003,"正常",出库单!$C$4:$C$4003,"&gt;="&amp;账期起,出库单!$C$4:$C$4003,"&lt;="&amp;账期止),0))</f>
        <v/>
      </c>
      <c r="V1124" s="27">
        <f>IF($A1124="","",SUMIFS(出库单!$J$4:$J$4003,出库单!$D$4:$D$4003,$A1124,出库单!$K$4:$K$4003,"退货给供应商",出库单!$U$4:$U$4003,"正常",出库单!$C$4:$C$4003,"&gt;="&amp;账期起,出库单!$C$4:$C$4003,"&lt;="&amp;账期止))</f>
        <v/>
      </c>
      <c r="W1124" s="26">
        <f>IF($A1124="","",ROUND(SUMIFS(出库单!$S$4:$S$4003,出库单!$D$4:$D$4003,$A1124,出库单!$K$4:$K$4003,"退货给供应商",出库单!$U$4:$U$4003,"正常",出库单!$C$4:$C$4003,"&gt;="&amp;账期起,出库单!$C$4:$C$4003,"&lt;="&amp;账期止),0))</f>
        <v/>
      </c>
      <c r="X1124" s="27">
        <f>IF($A1124="","",ROUND(N($G1124)+$I1124+$L1124+$N1124-$P1124-$R1124-$T1124-$V1124,3))</f>
        <v/>
      </c>
      <c r="Y1124" s="26">
        <f>IF($A1124="","",ROUND(N($H1124)+$J1124+$M1124+$O1124-$Q1124-$S1124-$U1124-$W1124,0))</f>
        <v/>
      </c>
      <c r="Z1124" s="24">
        <f>IF($A1124="","",IF(COUNTIFS(入库单!$G$4:$G$2503,$A1124,入库单!$Y$4:$Y$2503,"待补价")+COUNTIFS(入库单!$G$4:$G$2503,$A1124,入库单!$Y$4:$Y$2503,"暂估")&gt;0,"不可信","可信"))</f>
        <v/>
      </c>
      <c r="AA1124" s="24">
        <f>IF($A1124="","",IF($X1124&lt;-0.001,"※账面负库存，查一下是不是漏记入库",IF(AND(ROUND($X1124,3)=0,ABS($Y1124)&gt;1),"※数量已经是 0，金额还挂着 "&amp;TEXT($Y1124,"#,##0")&amp;" 先令",IF(AND($X1124&gt;0,$Y1124&lt;=0,$K1124=0),"※有数量没金额（这个物料一直没填过进价）",IF($Z1124="不可信","△成本含待补价/暂估，毛利仅供参考","")))))</f>
        <v/>
      </c>
    </row>
    <row r="1125">
      <c r="A1125" s="24">
        <f>IF(物料档案!$A1124="","",物料档案!$A1124)</f>
        <v/>
      </c>
      <c r="B1125" s="24">
        <f>IF($A1125="","",IFERROR(VLOOKUP($A1125,物料档案!$A$4:$P$1203,3,0),""))</f>
        <v/>
      </c>
      <c r="C1125" s="24">
        <f>IF($A1125="","",IFERROR(VLOOKUP($A1125,物料档案!$A$4:$P$1203,4,0),""))</f>
        <v/>
      </c>
      <c r="D1125" s="24">
        <f>IF($A1125="","",IFERROR(VLOOKUP($A1125,物料档案!$A$4:$P$1203,5,0),""))</f>
        <v/>
      </c>
      <c r="E1125" s="24">
        <f>IF($A1125="","",IFERROR(VLOOKUP($A1125,物料档案!$A$4:$P$1203,2,0),""))</f>
        <v/>
      </c>
      <c r="F1125" s="24">
        <f>IF($A1125="","",IFERROR(VLOOKUP($A1125,物料档案!$A$4:$P$1203,6,0),""))</f>
        <v/>
      </c>
      <c r="G1125" s="23" t="n"/>
      <c r="H1125" s="32" t="n"/>
      <c r="I1125" s="27">
        <f>IF($A1125="","",SUMIFS(入库单!$K$4:$K$2503,入库单!$G$4:$G$2503,$A1125,入库单!$X$4:$X$2503,"采购入库",入库单!$Z$4:$Z$2503,"正常",入库单!$C$4:$C$2503,"&gt;="&amp;账期起,入库单!$C$4:$C$2503,"&lt;="&amp;账期止))</f>
        <v/>
      </c>
      <c r="J1125" s="26">
        <f>IF($A1125="","",SUMIFS(入库单!$V$4:$V$2503,入库单!$G$4:$G$2503,$A1125,入库单!$X$4:$X$2503,"采购入库",入库单!$Z$4:$Z$2503,"正常",入库单!$C$4:$C$2503,"&gt;="&amp;账期起,入库单!$C$4:$C$2503,"&lt;="&amp;账期止))</f>
        <v/>
      </c>
      <c r="K1125" s="26">
        <f>IF($A1125="","",IFERROR(ROUND((N($H1125)+N($J1125))/(N($G1125)+N($I1125)),2),0))</f>
        <v/>
      </c>
      <c r="L1125" s="27">
        <f>IF($A1125="","",SUMIFS(入库单!$K$4:$K$2503,入库单!$G$4:$G$2503,$A1125,入库单!$X$4:$X$2503,"盘盈",入库单!$Z$4:$Z$2503,"正常",入库单!$C$4:$C$2503,"&gt;="&amp;账期起,入库单!$C$4:$C$2503,"&lt;="&amp;账期止))</f>
        <v/>
      </c>
      <c r="M1125" s="26">
        <f>IF($A1125="","",ROUND($L1125*$K1125,0))</f>
        <v/>
      </c>
      <c r="N1125" s="27">
        <f>IF($A1125="","",SUMIFS(入库单!$K$4:$K$2503,入库单!$G$4:$G$2503,$A1125,入库单!$X$4:$X$2503,"矿区退库",入库单!$Z$4:$Z$2503,"正常",入库单!$C$4:$C$2503,"&gt;="&amp;账期起,入库单!$C$4:$C$2503,"&lt;="&amp;账期止))</f>
        <v/>
      </c>
      <c r="O1125" s="26">
        <f>IF($A1125="","",ROUND($N1125*$K1125,0))</f>
        <v/>
      </c>
      <c r="P1125" s="27">
        <f>IF($A1125="","",SUMIFS(出库单!$J$4:$J$4003,出库单!$D$4:$D$4003,$A1125,出库单!$K$4:$K$4003,"自用消耗",出库单!$U$4:$U$4003,"正常",出库单!$C$4:$C$4003,"&gt;="&amp;账期起,出库单!$C$4:$C$4003,"&lt;="&amp;账期止))</f>
        <v/>
      </c>
      <c r="Q1125" s="26">
        <f>IF($A1125="","",ROUND(SUMIFS(出库单!$S$4:$S$4003,出库单!$D$4:$D$4003,$A1125,出库单!$K$4:$K$4003,"自用消耗",出库单!$U$4:$U$4003,"正常",出库单!$C$4:$C$4003,"&gt;="&amp;账期起,出库单!$C$4:$C$4003,"&lt;="&amp;账期止),0))</f>
        <v/>
      </c>
      <c r="R1125" s="27">
        <f>IF($A1125="","",SUMIFS(出库单!$J$4:$J$4003,出库单!$D$4:$D$4003,$A1125,出库单!$K$4:$K$4003,"对外销售",出库单!$U$4:$U$4003,"正常",出库单!$C$4:$C$4003,"&gt;="&amp;账期起,出库单!$C$4:$C$4003,"&lt;="&amp;账期止))</f>
        <v/>
      </c>
      <c r="S1125" s="26">
        <f>IF($A1125="","",ROUND(SUMIFS(出库单!$S$4:$S$4003,出库单!$D$4:$D$4003,$A1125,出库单!$K$4:$K$4003,"对外销售",出库单!$U$4:$U$4003,"正常",出库单!$C$4:$C$4003,"&gt;="&amp;账期起,出库单!$C$4:$C$4003,"&lt;="&amp;账期止),0))</f>
        <v/>
      </c>
      <c r="T1125" s="27">
        <f>IF($A1125="","",SUMIFS(出库单!$J$4:$J$4003,出库单!$D$4:$D$4003,$A1125,出库单!$K$4:$K$4003,"盘亏",出库单!$U$4:$U$4003,"正常",出库单!$C$4:$C$4003,"&gt;="&amp;账期起,出库单!$C$4:$C$4003,"&lt;="&amp;账期止))</f>
        <v/>
      </c>
      <c r="U1125" s="26">
        <f>IF($A1125="","",ROUND(SUMIFS(出库单!$S$4:$S$4003,出库单!$D$4:$D$4003,$A1125,出库单!$K$4:$K$4003,"盘亏",出库单!$U$4:$U$4003,"正常",出库单!$C$4:$C$4003,"&gt;="&amp;账期起,出库单!$C$4:$C$4003,"&lt;="&amp;账期止),0))</f>
        <v/>
      </c>
      <c r="V1125" s="27">
        <f>IF($A1125="","",SUMIFS(出库单!$J$4:$J$4003,出库单!$D$4:$D$4003,$A1125,出库单!$K$4:$K$4003,"退货给供应商",出库单!$U$4:$U$4003,"正常",出库单!$C$4:$C$4003,"&gt;="&amp;账期起,出库单!$C$4:$C$4003,"&lt;="&amp;账期止))</f>
        <v/>
      </c>
      <c r="W1125" s="26">
        <f>IF($A1125="","",ROUND(SUMIFS(出库单!$S$4:$S$4003,出库单!$D$4:$D$4003,$A1125,出库单!$K$4:$K$4003,"退货给供应商",出库单!$U$4:$U$4003,"正常",出库单!$C$4:$C$4003,"&gt;="&amp;账期起,出库单!$C$4:$C$4003,"&lt;="&amp;账期止),0))</f>
        <v/>
      </c>
      <c r="X1125" s="27">
        <f>IF($A1125="","",ROUND(N($G1125)+$I1125+$L1125+$N1125-$P1125-$R1125-$T1125-$V1125,3))</f>
        <v/>
      </c>
      <c r="Y1125" s="26">
        <f>IF($A1125="","",ROUND(N($H1125)+$J1125+$M1125+$O1125-$Q1125-$S1125-$U1125-$W1125,0))</f>
        <v/>
      </c>
      <c r="Z1125" s="24">
        <f>IF($A1125="","",IF(COUNTIFS(入库单!$G$4:$G$2503,$A1125,入库单!$Y$4:$Y$2503,"待补价")+COUNTIFS(入库单!$G$4:$G$2503,$A1125,入库单!$Y$4:$Y$2503,"暂估")&gt;0,"不可信","可信"))</f>
        <v/>
      </c>
      <c r="AA1125" s="24">
        <f>IF($A1125="","",IF($X1125&lt;-0.001,"※账面负库存，查一下是不是漏记入库",IF(AND(ROUND($X1125,3)=0,ABS($Y1125)&gt;1),"※数量已经是 0，金额还挂着 "&amp;TEXT($Y1125,"#,##0")&amp;" 先令",IF(AND($X1125&gt;0,$Y1125&lt;=0,$K1125=0),"※有数量没金额（这个物料一直没填过进价）",IF($Z1125="不可信","△成本含待补价/暂估，毛利仅供参考","")))))</f>
        <v/>
      </c>
    </row>
    <row r="1126">
      <c r="A1126" s="24">
        <f>IF(物料档案!$A1125="","",物料档案!$A1125)</f>
        <v/>
      </c>
      <c r="B1126" s="24">
        <f>IF($A1126="","",IFERROR(VLOOKUP($A1126,物料档案!$A$4:$P$1203,3,0),""))</f>
        <v/>
      </c>
      <c r="C1126" s="24">
        <f>IF($A1126="","",IFERROR(VLOOKUP($A1126,物料档案!$A$4:$P$1203,4,0),""))</f>
        <v/>
      </c>
      <c r="D1126" s="24">
        <f>IF($A1126="","",IFERROR(VLOOKUP($A1126,物料档案!$A$4:$P$1203,5,0),""))</f>
        <v/>
      </c>
      <c r="E1126" s="24">
        <f>IF($A1126="","",IFERROR(VLOOKUP($A1126,物料档案!$A$4:$P$1203,2,0),""))</f>
        <v/>
      </c>
      <c r="F1126" s="24">
        <f>IF($A1126="","",IFERROR(VLOOKUP($A1126,物料档案!$A$4:$P$1203,6,0),""))</f>
        <v/>
      </c>
      <c r="G1126" s="23" t="n"/>
      <c r="H1126" s="32" t="n"/>
      <c r="I1126" s="27">
        <f>IF($A1126="","",SUMIFS(入库单!$K$4:$K$2503,入库单!$G$4:$G$2503,$A1126,入库单!$X$4:$X$2503,"采购入库",入库单!$Z$4:$Z$2503,"正常",入库单!$C$4:$C$2503,"&gt;="&amp;账期起,入库单!$C$4:$C$2503,"&lt;="&amp;账期止))</f>
        <v/>
      </c>
      <c r="J1126" s="26">
        <f>IF($A1126="","",SUMIFS(入库单!$V$4:$V$2503,入库单!$G$4:$G$2503,$A1126,入库单!$X$4:$X$2503,"采购入库",入库单!$Z$4:$Z$2503,"正常",入库单!$C$4:$C$2503,"&gt;="&amp;账期起,入库单!$C$4:$C$2503,"&lt;="&amp;账期止))</f>
        <v/>
      </c>
      <c r="K1126" s="26">
        <f>IF($A1126="","",IFERROR(ROUND((N($H1126)+N($J1126))/(N($G1126)+N($I1126)),2),0))</f>
        <v/>
      </c>
      <c r="L1126" s="27">
        <f>IF($A1126="","",SUMIFS(入库单!$K$4:$K$2503,入库单!$G$4:$G$2503,$A1126,入库单!$X$4:$X$2503,"盘盈",入库单!$Z$4:$Z$2503,"正常",入库单!$C$4:$C$2503,"&gt;="&amp;账期起,入库单!$C$4:$C$2503,"&lt;="&amp;账期止))</f>
        <v/>
      </c>
      <c r="M1126" s="26">
        <f>IF($A1126="","",ROUND($L1126*$K1126,0))</f>
        <v/>
      </c>
      <c r="N1126" s="27">
        <f>IF($A1126="","",SUMIFS(入库单!$K$4:$K$2503,入库单!$G$4:$G$2503,$A1126,入库单!$X$4:$X$2503,"矿区退库",入库单!$Z$4:$Z$2503,"正常",入库单!$C$4:$C$2503,"&gt;="&amp;账期起,入库单!$C$4:$C$2503,"&lt;="&amp;账期止))</f>
        <v/>
      </c>
      <c r="O1126" s="26">
        <f>IF($A1126="","",ROUND($N1126*$K1126,0))</f>
        <v/>
      </c>
      <c r="P1126" s="27">
        <f>IF($A1126="","",SUMIFS(出库单!$J$4:$J$4003,出库单!$D$4:$D$4003,$A1126,出库单!$K$4:$K$4003,"自用消耗",出库单!$U$4:$U$4003,"正常",出库单!$C$4:$C$4003,"&gt;="&amp;账期起,出库单!$C$4:$C$4003,"&lt;="&amp;账期止))</f>
        <v/>
      </c>
      <c r="Q1126" s="26">
        <f>IF($A1126="","",ROUND(SUMIFS(出库单!$S$4:$S$4003,出库单!$D$4:$D$4003,$A1126,出库单!$K$4:$K$4003,"自用消耗",出库单!$U$4:$U$4003,"正常",出库单!$C$4:$C$4003,"&gt;="&amp;账期起,出库单!$C$4:$C$4003,"&lt;="&amp;账期止),0))</f>
        <v/>
      </c>
      <c r="R1126" s="27">
        <f>IF($A1126="","",SUMIFS(出库单!$J$4:$J$4003,出库单!$D$4:$D$4003,$A1126,出库单!$K$4:$K$4003,"对外销售",出库单!$U$4:$U$4003,"正常",出库单!$C$4:$C$4003,"&gt;="&amp;账期起,出库单!$C$4:$C$4003,"&lt;="&amp;账期止))</f>
        <v/>
      </c>
      <c r="S1126" s="26">
        <f>IF($A1126="","",ROUND(SUMIFS(出库单!$S$4:$S$4003,出库单!$D$4:$D$4003,$A1126,出库单!$K$4:$K$4003,"对外销售",出库单!$U$4:$U$4003,"正常",出库单!$C$4:$C$4003,"&gt;="&amp;账期起,出库单!$C$4:$C$4003,"&lt;="&amp;账期止),0))</f>
        <v/>
      </c>
      <c r="T1126" s="27">
        <f>IF($A1126="","",SUMIFS(出库单!$J$4:$J$4003,出库单!$D$4:$D$4003,$A1126,出库单!$K$4:$K$4003,"盘亏",出库单!$U$4:$U$4003,"正常",出库单!$C$4:$C$4003,"&gt;="&amp;账期起,出库单!$C$4:$C$4003,"&lt;="&amp;账期止))</f>
        <v/>
      </c>
      <c r="U1126" s="26">
        <f>IF($A1126="","",ROUND(SUMIFS(出库单!$S$4:$S$4003,出库单!$D$4:$D$4003,$A1126,出库单!$K$4:$K$4003,"盘亏",出库单!$U$4:$U$4003,"正常",出库单!$C$4:$C$4003,"&gt;="&amp;账期起,出库单!$C$4:$C$4003,"&lt;="&amp;账期止),0))</f>
        <v/>
      </c>
      <c r="V1126" s="27">
        <f>IF($A1126="","",SUMIFS(出库单!$J$4:$J$4003,出库单!$D$4:$D$4003,$A1126,出库单!$K$4:$K$4003,"退货给供应商",出库单!$U$4:$U$4003,"正常",出库单!$C$4:$C$4003,"&gt;="&amp;账期起,出库单!$C$4:$C$4003,"&lt;="&amp;账期止))</f>
        <v/>
      </c>
      <c r="W1126" s="26">
        <f>IF($A1126="","",ROUND(SUMIFS(出库单!$S$4:$S$4003,出库单!$D$4:$D$4003,$A1126,出库单!$K$4:$K$4003,"退货给供应商",出库单!$U$4:$U$4003,"正常",出库单!$C$4:$C$4003,"&gt;="&amp;账期起,出库单!$C$4:$C$4003,"&lt;="&amp;账期止),0))</f>
        <v/>
      </c>
      <c r="X1126" s="27">
        <f>IF($A1126="","",ROUND(N($G1126)+$I1126+$L1126+$N1126-$P1126-$R1126-$T1126-$V1126,3))</f>
        <v/>
      </c>
      <c r="Y1126" s="26">
        <f>IF($A1126="","",ROUND(N($H1126)+$J1126+$M1126+$O1126-$Q1126-$S1126-$U1126-$W1126,0))</f>
        <v/>
      </c>
      <c r="Z1126" s="24">
        <f>IF($A1126="","",IF(COUNTIFS(入库单!$G$4:$G$2503,$A1126,入库单!$Y$4:$Y$2503,"待补价")+COUNTIFS(入库单!$G$4:$G$2503,$A1126,入库单!$Y$4:$Y$2503,"暂估")&gt;0,"不可信","可信"))</f>
        <v/>
      </c>
      <c r="AA1126" s="24">
        <f>IF($A1126="","",IF($X1126&lt;-0.001,"※账面负库存，查一下是不是漏记入库",IF(AND(ROUND($X1126,3)=0,ABS($Y1126)&gt;1),"※数量已经是 0，金额还挂着 "&amp;TEXT($Y1126,"#,##0")&amp;" 先令",IF(AND($X1126&gt;0,$Y1126&lt;=0,$K1126=0),"※有数量没金额（这个物料一直没填过进价）",IF($Z1126="不可信","△成本含待补价/暂估，毛利仅供参考","")))))</f>
        <v/>
      </c>
    </row>
    <row r="1127">
      <c r="A1127" s="24">
        <f>IF(物料档案!$A1126="","",物料档案!$A1126)</f>
        <v/>
      </c>
      <c r="B1127" s="24">
        <f>IF($A1127="","",IFERROR(VLOOKUP($A1127,物料档案!$A$4:$P$1203,3,0),""))</f>
        <v/>
      </c>
      <c r="C1127" s="24">
        <f>IF($A1127="","",IFERROR(VLOOKUP($A1127,物料档案!$A$4:$P$1203,4,0),""))</f>
        <v/>
      </c>
      <c r="D1127" s="24">
        <f>IF($A1127="","",IFERROR(VLOOKUP($A1127,物料档案!$A$4:$P$1203,5,0),""))</f>
        <v/>
      </c>
      <c r="E1127" s="24">
        <f>IF($A1127="","",IFERROR(VLOOKUP($A1127,物料档案!$A$4:$P$1203,2,0),""))</f>
        <v/>
      </c>
      <c r="F1127" s="24">
        <f>IF($A1127="","",IFERROR(VLOOKUP($A1127,物料档案!$A$4:$P$1203,6,0),""))</f>
        <v/>
      </c>
      <c r="G1127" s="23" t="n"/>
      <c r="H1127" s="32" t="n"/>
      <c r="I1127" s="27">
        <f>IF($A1127="","",SUMIFS(入库单!$K$4:$K$2503,入库单!$G$4:$G$2503,$A1127,入库单!$X$4:$X$2503,"采购入库",入库单!$Z$4:$Z$2503,"正常",入库单!$C$4:$C$2503,"&gt;="&amp;账期起,入库单!$C$4:$C$2503,"&lt;="&amp;账期止))</f>
        <v/>
      </c>
      <c r="J1127" s="26">
        <f>IF($A1127="","",SUMIFS(入库单!$V$4:$V$2503,入库单!$G$4:$G$2503,$A1127,入库单!$X$4:$X$2503,"采购入库",入库单!$Z$4:$Z$2503,"正常",入库单!$C$4:$C$2503,"&gt;="&amp;账期起,入库单!$C$4:$C$2503,"&lt;="&amp;账期止))</f>
        <v/>
      </c>
      <c r="K1127" s="26">
        <f>IF($A1127="","",IFERROR(ROUND((N($H1127)+N($J1127))/(N($G1127)+N($I1127)),2),0))</f>
        <v/>
      </c>
      <c r="L1127" s="27">
        <f>IF($A1127="","",SUMIFS(入库单!$K$4:$K$2503,入库单!$G$4:$G$2503,$A1127,入库单!$X$4:$X$2503,"盘盈",入库单!$Z$4:$Z$2503,"正常",入库单!$C$4:$C$2503,"&gt;="&amp;账期起,入库单!$C$4:$C$2503,"&lt;="&amp;账期止))</f>
        <v/>
      </c>
      <c r="M1127" s="26">
        <f>IF($A1127="","",ROUND($L1127*$K1127,0))</f>
        <v/>
      </c>
      <c r="N1127" s="27">
        <f>IF($A1127="","",SUMIFS(入库单!$K$4:$K$2503,入库单!$G$4:$G$2503,$A1127,入库单!$X$4:$X$2503,"矿区退库",入库单!$Z$4:$Z$2503,"正常",入库单!$C$4:$C$2503,"&gt;="&amp;账期起,入库单!$C$4:$C$2503,"&lt;="&amp;账期止))</f>
        <v/>
      </c>
      <c r="O1127" s="26">
        <f>IF($A1127="","",ROUND($N1127*$K1127,0))</f>
        <v/>
      </c>
      <c r="P1127" s="27">
        <f>IF($A1127="","",SUMIFS(出库单!$J$4:$J$4003,出库单!$D$4:$D$4003,$A1127,出库单!$K$4:$K$4003,"自用消耗",出库单!$U$4:$U$4003,"正常",出库单!$C$4:$C$4003,"&gt;="&amp;账期起,出库单!$C$4:$C$4003,"&lt;="&amp;账期止))</f>
        <v/>
      </c>
      <c r="Q1127" s="26">
        <f>IF($A1127="","",ROUND(SUMIFS(出库单!$S$4:$S$4003,出库单!$D$4:$D$4003,$A1127,出库单!$K$4:$K$4003,"自用消耗",出库单!$U$4:$U$4003,"正常",出库单!$C$4:$C$4003,"&gt;="&amp;账期起,出库单!$C$4:$C$4003,"&lt;="&amp;账期止),0))</f>
        <v/>
      </c>
      <c r="R1127" s="27">
        <f>IF($A1127="","",SUMIFS(出库单!$J$4:$J$4003,出库单!$D$4:$D$4003,$A1127,出库单!$K$4:$K$4003,"对外销售",出库单!$U$4:$U$4003,"正常",出库单!$C$4:$C$4003,"&gt;="&amp;账期起,出库单!$C$4:$C$4003,"&lt;="&amp;账期止))</f>
        <v/>
      </c>
      <c r="S1127" s="26">
        <f>IF($A1127="","",ROUND(SUMIFS(出库单!$S$4:$S$4003,出库单!$D$4:$D$4003,$A1127,出库单!$K$4:$K$4003,"对外销售",出库单!$U$4:$U$4003,"正常",出库单!$C$4:$C$4003,"&gt;="&amp;账期起,出库单!$C$4:$C$4003,"&lt;="&amp;账期止),0))</f>
        <v/>
      </c>
      <c r="T1127" s="27">
        <f>IF($A1127="","",SUMIFS(出库单!$J$4:$J$4003,出库单!$D$4:$D$4003,$A1127,出库单!$K$4:$K$4003,"盘亏",出库单!$U$4:$U$4003,"正常",出库单!$C$4:$C$4003,"&gt;="&amp;账期起,出库单!$C$4:$C$4003,"&lt;="&amp;账期止))</f>
        <v/>
      </c>
      <c r="U1127" s="26">
        <f>IF($A1127="","",ROUND(SUMIFS(出库单!$S$4:$S$4003,出库单!$D$4:$D$4003,$A1127,出库单!$K$4:$K$4003,"盘亏",出库单!$U$4:$U$4003,"正常",出库单!$C$4:$C$4003,"&gt;="&amp;账期起,出库单!$C$4:$C$4003,"&lt;="&amp;账期止),0))</f>
        <v/>
      </c>
      <c r="V1127" s="27">
        <f>IF($A1127="","",SUMIFS(出库单!$J$4:$J$4003,出库单!$D$4:$D$4003,$A1127,出库单!$K$4:$K$4003,"退货给供应商",出库单!$U$4:$U$4003,"正常",出库单!$C$4:$C$4003,"&gt;="&amp;账期起,出库单!$C$4:$C$4003,"&lt;="&amp;账期止))</f>
        <v/>
      </c>
      <c r="W1127" s="26">
        <f>IF($A1127="","",ROUND(SUMIFS(出库单!$S$4:$S$4003,出库单!$D$4:$D$4003,$A1127,出库单!$K$4:$K$4003,"退货给供应商",出库单!$U$4:$U$4003,"正常",出库单!$C$4:$C$4003,"&gt;="&amp;账期起,出库单!$C$4:$C$4003,"&lt;="&amp;账期止),0))</f>
        <v/>
      </c>
      <c r="X1127" s="27">
        <f>IF($A1127="","",ROUND(N($G1127)+$I1127+$L1127+$N1127-$P1127-$R1127-$T1127-$V1127,3))</f>
        <v/>
      </c>
      <c r="Y1127" s="26">
        <f>IF($A1127="","",ROUND(N($H1127)+$J1127+$M1127+$O1127-$Q1127-$S1127-$U1127-$W1127,0))</f>
        <v/>
      </c>
      <c r="Z1127" s="24">
        <f>IF($A1127="","",IF(COUNTIFS(入库单!$G$4:$G$2503,$A1127,入库单!$Y$4:$Y$2503,"待补价")+COUNTIFS(入库单!$G$4:$G$2503,$A1127,入库单!$Y$4:$Y$2503,"暂估")&gt;0,"不可信","可信"))</f>
        <v/>
      </c>
      <c r="AA1127" s="24">
        <f>IF($A1127="","",IF($X1127&lt;-0.001,"※账面负库存，查一下是不是漏记入库",IF(AND(ROUND($X1127,3)=0,ABS($Y1127)&gt;1),"※数量已经是 0，金额还挂着 "&amp;TEXT($Y1127,"#,##0")&amp;" 先令",IF(AND($X1127&gt;0,$Y1127&lt;=0,$K1127=0),"※有数量没金额（这个物料一直没填过进价）",IF($Z1127="不可信","△成本含待补价/暂估，毛利仅供参考","")))))</f>
        <v/>
      </c>
    </row>
    <row r="1128">
      <c r="A1128" s="24">
        <f>IF(物料档案!$A1127="","",物料档案!$A1127)</f>
        <v/>
      </c>
      <c r="B1128" s="24">
        <f>IF($A1128="","",IFERROR(VLOOKUP($A1128,物料档案!$A$4:$P$1203,3,0),""))</f>
        <v/>
      </c>
      <c r="C1128" s="24">
        <f>IF($A1128="","",IFERROR(VLOOKUP($A1128,物料档案!$A$4:$P$1203,4,0),""))</f>
        <v/>
      </c>
      <c r="D1128" s="24">
        <f>IF($A1128="","",IFERROR(VLOOKUP($A1128,物料档案!$A$4:$P$1203,5,0),""))</f>
        <v/>
      </c>
      <c r="E1128" s="24">
        <f>IF($A1128="","",IFERROR(VLOOKUP($A1128,物料档案!$A$4:$P$1203,2,0),""))</f>
        <v/>
      </c>
      <c r="F1128" s="24">
        <f>IF($A1128="","",IFERROR(VLOOKUP($A1128,物料档案!$A$4:$P$1203,6,0),""))</f>
        <v/>
      </c>
      <c r="G1128" s="23" t="n"/>
      <c r="H1128" s="32" t="n"/>
      <c r="I1128" s="27">
        <f>IF($A1128="","",SUMIFS(入库单!$K$4:$K$2503,入库单!$G$4:$G$2503,$A1128,入库单!$X$4:$X$2503,"采购入库",入库单!$Z$4:$Z$2503,"正常",入库单!$C$4:$C$2503,"&gt;="&amp;账期起,入库单!$C$4:$C$2503,"&lt;="&amp;账期止))</f>
        <v/>
      </c>
      <c r="J1128" s="26">
        <f>IF($A1128="","",SUMIFS(入库单!$V$4:$V$2503,入库单!$G$4:$G$2503,$A1128,入库单!$X$4:$X$2503,"采购入库",入库单!$Z$4:$Z$2503,"正常",入库单!$C$4:$C$2503,"&gt;="&amp;账期起,入库单!$C$4:$C$2503,"&lt;="&amp;账期止))</f>
        <v/>
      </c>
      <c r="K1128" s="26">
        <f>IF($A1128="","",IFERROR(ROUND((N($H1128)+N($J1128))/(N($G1128)+N($I1128)),2),0))</f>
        <v/>
      </c>
      <c r="L1128" s="27">
        <f>IF($A1128="","",SUMIFS(入库单!$K$4:$K$2503,入库单!$G$4:$G$2503,$A1128,入库单!$X$4:$X$2503,"盘盈",入库单!$Z$4:$Z$2503,"正常",入库单!$C$4:$C$2503,"&gt;="&amp;账期起,入库单!$C$4:$C$2503,"&lt;="&amp;账期止))</f>
        <v/>
      </c>
      <c r="M1128" s="26">
        <f>IF($A1128="","",ROUND($L1128*$K1128,0))</f>
        <v/>
      </c>
      <c r="N1128" s="27">
        <f>IF($A1128="","",SUMIFS(入库单!$K$4:$K$2503,入库单!$G$4:$G$2503,$A1128,入库单!$X$4:$X$2503,"矿区退库",入库单!$Z$4:$Z$2503,"正常",入库单!$C$4:$C$2503,"&gt;="&amp;账期起,入库单!$C$4:$C$2503,"&lt;="&amp;账期止))</f>
        <v/>
      </c>
      <c r="O1128" s="26">
        <f>IF($A1128="","",ROUND($N1128*$K1128,0))</f>
        <v/>
      </c>
      <c r="P1128" s="27">
        <f>IF($A1128="","",SUMIFS(出库单!$J$4:$J$4003,出库单!$D$4:$D$4003,$A1128,出库单!$K$4:$K$4003,"自用消耗",出库单!$U$4:$U$4003,"正常",出库单!$C$4:$C$4003,"&gt;="&amp;账期起,出库单!$C$4:$C$4003,"&lt;="&amp;账期止))</f>
        <v/>
      </c>
      <c r="Q1128" s="26">
        <f>IF($A1128="","",ROUND(SUMIFS(出库单!$S$4:$S$4003,出库单!$D$4:$D$4003,$A1128,出库单!$K$4:$K$4003,"自用消耗",出库单!$U$4:$U$4003,"正常",出库单!$C$4:$C$4003,"&gt;="&amp;账期起,出库单!$C$4:$C$4003,"&lt;="&amp;账期止),0))</f>
        <v/>
      </c>
      <c r="R1128" s="27">
        <f>IF($A1128="","",SUMIFS(出库单!$J$4:$J$4003,出库单!$D$4:$D$4003,$A1128,出库单!$K$4:$K$4003,"对外销售",出库单!$U$4:$U$4003,"正常",出库单!$C$4:$C$4003,"&gt;="&amp;账期起,出库单!$C$4:$C$4003,"&lt;="&amp;账期止))</f>
        <v/>
      </c>
      <c r="S1128" s="26">
        <f>IF($A1128="","",ROUND(SUMIFS(出库单!$S$4:$S$4003,出库单!$D$4:$D$4003,$A1128,出库单!$K$4:$K$4003,"对外销售",出库单!$U$4:$U$4003,"正常",出库单!$C$4:$C$4003,"&gt;="&amp;账期起,出库单!$C$4:$C$4003,"&lt;="&amp;账期止),0))</f>
        <v/>
      </c>
      <c r="T1128" s="27">
        <f>IF($A1128="","",SUMIFS(出库单!$J$4:$J$4003,出库单!$D$4:$D$4003,$A1128,出库单!$K$4:$K$4003,"盘亏",出库单!$U$4:$U$4003,"正常",出库单!$C$4:$C$4003,"&gt;="&amp;账期起,出库单!$C$4:$C$4003,"&lt;="&amp;账期止))</f>
        <v/>
      </c>
      <c r="U1128" s="26">
        <f>IF($A1128="","",ROUND(SUMIFS(出库单!$S$4:$S$4003,出库单!$D$4:$D$4003,$A1128,出库单!$K$4:$K$4003,"盘亏",出库单!$U$4:$U$4003,"正常",出库单!$C$4:$C$4003,"&gt;="&amp;账期起,出库单!$C$4:$C$4003,"&lt;="&amp;账期止),0))</f>
        <v/>
      </c>
      <c r="V1128" s="27">
        <f>IF($A1128="","",SUMIFS(出库单!$J$4:$J$4003,出库单!$D$4:$D$4003,$A1128,出库单!$K$4:$K$4003,"退货给供应商",出库单!$U$4:$U$4003,"正常",出库单!$C$4:$C$4003,"&gt;="&amp;账期起,出库单!$C$4:$C$4003,"&lt;="&amp;账期止))</f>
        <v/>
      </c>
      <c r="W1128" s="26">
        <f>IF($A1128="","",ROUND(SUMIFS(出库单!$S$4:$S$4003,出库单!$D$4:$D$4003,$A1128,出库单!$K$4:$K$4003,"退货给供应商",出库单!$U$4:$U$4003,"正常",出库单!$C$4:$C$4003,"&gt;="&amp;账期起,出库单!$C$4:$C$4003,"&lt;="&amp;账期止),0))</f>
        <v/>
      </c>
      <c r="X1128" s="27">
        <f>IF($A1128="","",ROUND(N($G1128)+$I1128+$L1128+$N1128-$P1128-$R1128-$T1128-$V1128,3))</f>
        <v/>
      </c>
      <c r="Y1128" s="26">
        <f>IF($A1128="","",ROUND(N($H1128)+$J1128+$M1128+$O1128-$Q1128-$S1128-$U1128-$W1128,0))</f>
        <v/>
      </c>
      <c r="Z1128" s="24">
        <f>IF($A1128="","",IF(COUNTIFS(入库单!$G$4:$G$2503,$A1128,入库单!$Y$4:$Y$2503,"待补价")+COUNTIFS(入库单!$G$4:$G$2503,$A1128,入库单!$Y$4:$Y$2503,"暂估")&gt;0,"不可信","可信"))</f>
        <v/>
      </c>
      <c r="AA1128" s="24">
        <f>IF($A1128="","",IF($X1128&lt;-0.001,"※账面负库存，查一下是不是漏记入库",IF(AND(ROUND($X1128,3)=0,ABS($Y1128)&gt;1),"※数量已经是 0，金额还挂着 "&amp;TEXT($Y1128,"#,##0")&amp;" 先令",IF(AND($X1128&gt;0,$Y1128&lt;=0,$K1128=0),"※有数量没金额（这个物料一直没填过进价）",IF($Z1128="不可信","△成本含待补价/暂估，毛利仅供参考","")))))</f>
        <v/>
      </c>
    </row>
    <row r="1129">
      <c r="A1129" s="24">
        <f>IF(物料档案!$A1128="","",物料档案!$A1128)</f>
        <v/>
      </c>
      <c r="B1129" s="24">
        <f>IF($A1129="","",IFERROR(VLOOKUP($A1129,物料档案!$A$4:$P$1203,3,0),""))</f>
        <v/>
      </c>
      <c r="C1129" s="24">
        <f>IF($A1129="","",IFERROR(VLOOKUP($A1129,物料档案!$A$4:$P$1203,4,0),""))</f>
        <v/>
      </c>
      <c r="D1129" s="24">
        <f>IF($A1129="","",IFERROR(VLOOKUP($A1129,物料档案!$A$4:$P$1203,5,0),""))</f>
        <v/>
      </c>
      <c r="E1129" s="24">
        <f>IF($A1129="","",IFERROR(VLOOKUP($A1129,物料档案!$A$4:$P$1203,2,0),""))</f>
        <v/>
      </c>
      <c r="F1129" s="24">
        <f>IF($A1129="","",IFERROR(VLOOKUP($A1129,物料档案!$A$4:$P$1203,6,0),""))</f>
        <v/>
      </c>
      <c r="G1129" s="23" t="n"/>
      <c r="H1129" s="32" t="n"/>
      <c r="I1129" s="27">
        <f>IF($A1129="","",SUMIFS(入库单!$K$4:$K$2503,入库单!$G$4:$G$2503,$A1129,入库单!$X$4:$X$2503,"采购入库",入库单!$Z$4:$Z$2503,"正常",入库单!$C$4:$C$2503,"&gt;="&amp;账期起,入库单!$C$4:$C$2503,"&lt;="&amp;账期止))</f>
        <v/>
      </c>
      <c r="J1129" s="26">
        <f>IF($A1129="","",SUMIFS(入库单!$V$4:$V$2503,入库单!$G$4:$G$2503,$A1129,入库单!$X$4:$X$2503,"采购入库",入库单!$Z$4:$Z$2503,"正常",入库单!$C$4:$C$2503,"&gt;="&amp;账期起,入库单!$C$4:$C$2503,"&lt;="&amp;账期止))</f>
        <v/>
      </c>
      <c r="K1129" s="26">
        <f>IF($A1129="","",IFERROR(ROUND((N($H1129)+N($J1129))/(N($G1129)+N($I1129)),2),0))</f>
        <v/>
      </c>
      <c r="L1129" s="27">
        <f>IF($A1129="","",SUMIFS(入库单!$K$4:$K$2503,入库单!$G$4:$G$2503,$A1129,入库单!$X$4:$X$2503,"盘盈",入库单!$Z$4:$Z$2503,"正常",入库单!$C$4:$C$2503,"&gt;="&amp;账期起,入库单!$C$4:$C$2503,"&lt;="&amp;账期止))</f>
        <v/>
      </c>
      <c r="M1129" s="26">
        <f>IF($A1129="","",ROUND($L1129*$K1129,0))</f>
        <v/>
      </c>
      <c r="N1129" s="27">
        <f>IF($A1129="","",SUMIFS(入库单!$K$4:$K$2503,入库单!$G$4:$G$2503,$A1129,入库单!$X$4:$X$2503,"矿区退库",入库单!$Z$4:$Z$2503,"正常",入库单!$C$4:$C$2503,"&gt;="&amp;账期起,入库单!$C$4:$C$2503,"&lt;="&amp;账期止))</f>
        <v/>
      </c>
      <c r="O1129" s="26">
        <f>IF($A1129="","",ROUND($N1129*$K1129,0))</f>
        <v/>
      </c>
      <c r="P1129" s="27">
        <f>IF($A1129="","",SUMIFS(出库单!$J$4:$J$4003,出库单!$D$4:$D$4003,$A1129,出库单!$K$4:$K$4003,"自用消耗",出库单!$U$4:$U$4003,"正常",出库单!$C$4:$C$4003,"&gt;="&amp;账期起,出库单!$C$4:$C$4003,"&lt;="&amp;账期止))</f>
        <v/>
      </c>
      <c r="Q1129" s="26">
        <f>IF($A1129="","",ROUND(SUMIFS(出库单!$S$4:$S$4003,出库单!$D$4:$D$4003,$A1129,出库单!$K$4:$K$4003,"自用消耗",出库单!$U$4:$U$4003,"正常",出库单!$C$4:$C$4003,"&gt;="&amp;账期起,出库单!$C$4:$C$4003,"&lt;="&amp;账期止),0))</f>
        <v/>
      </c>
      <c r="R1129" s="27">
        <f>IF($A1129="","",SUMIFS(出库单!$J$4:$J$4003,出库单!$D$4:$D$4003,$A1129,出库单!$K$4:$K$4003,"对外销售",出库单!$U$4:$U$4003,"正常",出库单!$C$4:$C$4003,"&gt;="&amp;账期起,出库单!$C$4:$C$4003,"&lt;="&amp;账期止))</f>
        <v/>
      </c>
      <c r="S1129" s="26">
        <f>IF($A1129="","",ROUND(SUMIFS(出库单!$S$4:$S$4003,出库单!$D$4:$D$4003,$A1129,出库单!$K$4:$K$4003,"对外销售",出库单!$U$4:$U$4003,"正常",出库单!$C$4:$C$4003,"&gt;="&amp;账期起,出库单!$C$4:$C$4003,"&lt;="&amp;账期止),0))</f>
        <v/>
      </c>
      <c r="T1129" s="27">
        <f>IF($A1129="","",SUMIFS(出库单!$J$4:$J$4003,出库单!$D$4:$D$4003,$A1129,出库单!$K$4:$K$4003,"盘亏",出库单!$U$4:$U$4003,"正常",出库单!$C$4:$C$4003,"&gt;="&amp;账期起,出库单!$C$4:$C$4003,"&lt;="&amp;账期止))</f>
        <v/>
      </c>
      <c r="U1129" s="26">
        <f>IF($A1129="","",ROUND(SUMIFS(出库单!$S$4:$S$4003,出库单!$D$4:$D$4003,$A1129,出库单!$K$4:$K$4003,"盘亏",出库单!$U$4:$U$4003,"正常",出库单!$C$4:$C$4003,"&gt;="&amp;账期起,出库单!$C$4:$C$4003,"&lt;="&amp;账期止),0))</f>
        <v/>
      </c>
      <c r="V1129" s="27">
        <f>IF($A1129="","",SUMIFS(出库单!$J$4:$J$4003,出库单!$D$4:$D$4003,$A1129,出库单!$K$4:$K$4003,"退货给供应商",出库单!$U$4:$U$4003,"正常",出库单!$C$4:$C$4003,"&gt;="&amp;账期起,出库单!$C$4:$C$4003,"&lt;="&amp;账期止))</f>
        <v/>
      </c>
      <c r="W1129" s="26">
        <f>IF($A1129="","",ROUND(SUMIFS(出库单!$S$4:$S$4003,出库单!$D$4:$D$4003,$A1129,出库单!$K$4:$K$4003,"退货给供应商",出库单!$U$4:$U$4003,"正常",出库单!$C$4:$C$4003,"&gt;="&amp;账期起,出库单!$C$4:$C$4003,"&lt;="&amp;账期止),0))</f>
        <v/>
      </c>
      <c r="X1129" s="27">
        <f>IF($A1129="","",ROUND(N($G1129)+$I1129+$L1129+$N1129-$P1129-$R1129-$T1129-$V1129,3))</f>
        <v/>
      </c>
      <c r="Y1129" s="26">
        <f>IF($A1129="","",ROUND(N($H1129)+$J1129+$M1129+$O1129-$Q1129-$S1129-$U1129-$W1129,0))</f>
        <v/>
      </c>
      <c r="Z1129" s="24">
        <f>IF($A1129="","",IF(COUNTIFS(入库单!$G$4:$G$2503,$A1129,入库单!$Y$4:$Y$2503,"待补价")+COUNTIFS(入库单!$G$4:$G$2503,$A1129,入库单!$Y$4:$Y$2503,"暂估")&gt;0,"不可信","可信"))</f>
        <v/>
      </c>
      <c r="AA1129" s="24">
        <f>IF($A1129="","",IF($X1129&lt;-0.001,"※账面负库存，查一下是不是漏记入库",IF(AND(ROUND($X1129,3)=0,ABS($Y1129)&gt;1),"※数量已经是 0，金额还挂着 "&amp;TEXT($Y1129,"#,##0")&amp;" 先令",IF(AND($X1129&gt;0,$Y1129&lt;=0,$K1129=0),"※有数量没金额（这个物料一直没填过进价）",IF($Z1129="不可信","△成本含待补价/暂估，毛利仅供参考","")))))</f>
        <v/>
      </c>
    </row>
    <row r="1130">
      <c r="A1130" s="24">
        <f>IF(物料档案!$A1129="","",物料档案!$A1129)</f>
        <v/>
      </c>
      <c r="B1130" s="24">
        <f>IF($A1130="","",IFERROR(VLOOKUP($A1130,物料档案!$A$4:$P$1203,3,0),""))</f>
        <v/>
      </c>
      <c r="C1130" s="24">
        <f>IF($A1130="","",IFERROR(VLOOKUP($A1130,物料档案!$A$4:$P$1203,4,0),""))</f>
        <v/>
      </c>
      <c r="D1130" s="24">
        <f>IF($A1130="","",IFERROR(VLOOKUP($A1130,物料档案!$A$4:$P$1203,5,0),""))</f>
        <v/>
      </c>
      <c r="E1130" s="24">
        <f>IF($A1130="","",IFERROR(VLOOKUP($A1130,物料档案!$A$4:$P$1203,2,0),""))</f>
        <v/>
      </c>
      <c r="F1130" s="24">
        <f>IF($A1130="","",IFERROR(VLOOKUP($A1130,物料档案!$A$4:$P$1203,6,0),""))</f>
        <v/>
      </c>
      <c r="G1130" s="23" t="n"/>
      <c r="H1130" s="32" t="n"/>
      <c r="I1130" s="27">
        <f>IF($A1130="","",SUMIFS(入库单!$K$4:$K$2503,入库单!$G$4:$G$2503,$A1130,入库单!$X$4:$X$2503,"采购入库",入库单!$Z$4:$Z$2503,"正常",入库单!$C$4:$C$2503,"&gt;="&amp;账期起,入库单!$C$4:$C$2503,"&lt;="&amp;账期止))</f>
        <v/>
      </c>
      <c r="J1130" s="26">
        <f>IF($A1130="","",SUMIFS(入库单!$V$4:$V$2503,入库单!$G$4:$G$2503,$A1130,入库单!$X$4:$X$2503,"采购入库",入库单!$Z$4:$Z$2503,"正常",入库单!$C$4:$C$2503,"&gt;="&amp;账期起,入库单!$C$4:$C$2503,"&lt;="&amp;账期止))</f>
        <v/>
      </c>
      <c r="K1130" s="26">
        <f>IF($A1130="","",IFERROR(ROUND((N($H1130)+N($J1130))/(N($G1130)+N($I1130)),2),0))</f>
        <v/>
      </c>
      <c r="L1130" s="27">
        <f>IF($A1130="","",SUMIFS(入库单!$K$4:$K$2503,入库单!$G$4:$G$2503,$A1130,入库单!$X$4:$X$2503,"盘盈",入库单!$Z$4:$Z$2503,"正常",入库单!$C$4:$C$2503,"&gt;="&amp;账期起,入库单!$C$4:$C$2503,"&lt;="&amp;账期止))</f>
        <v/>
      </c>
      <c r="M1130" s="26">
        <f>IF($A1130="","",ROUND($L1130*$K1130,0))</f>
        <v/>
      </c>
      <c r="N1130" s="27">
        <f>IF($A1130="","",SUMIFS(入库单!$K$4:$K$2503,入库单!$G$4:$G$2503,$A1130,入库单!$X$4:$X$2503,"矿区退库",入库单!$Z$4:$Z$2503,"正常",入库单!$C$4:$C$2503,"&gt;="&amp;账期起,入库单!$C$4:$C$2503,"&lt;="&amp;账期止))</f>
        <v/>
      </c>
      <c r="O1130" s="26">
        <f>IF($A1130="","",ROUND($N1130*$K1130,0))</f>
        <v/>
      </c>
      <c r="P1130" s="27">
        <f>IF($A1130="","",SUMIFS(出库单!$J$4:$J$4003,出库单!$D$4:$D$4003,$A1130,出库单!$K$4:$K$4003,"自用消耗",出库单!$U$4:$U$4003,"正常",出库单!$C$4:$C$4003,"&gt;="&amp;账期起,出库单!$C$4:$C$4003,"&lt;="&amp;账期止))</f>
        <v/>
      </c>
      <c r="Q1130" s="26">
        <f>IF($A1130="","",ROUND(SUMIFS(出库单!$S$4:$S$4003,出库单!$D$4:$D$4003,$A1130,出库单!$K$4:$K$4003,"自用消耗",出库单!$U$4:$U$4003,"正常",出库单!$C$4:$C$4003,"&gt;="&amp;账期起,出库单!$C$4:$C$4003,"&lt;="&amp;账期止),0))</f>
        <v/>
      </c>
      <c r="R1130" s="27">
        <f>IF($A1130="","",SUMIFS(出库单!$J$4:$J$4003,出库单!$D$4:$D$4003,$A1130,出库单!$K$4:$K$4003,"对外销售",出库单!$U$4:$U$4003,"正常",出库单!$C$4:$C$4003,"&gt;="&amp;账期起,出库单!$C$4:$C$4003,"&lt;="&amp;账期止))</f>
        <v/>
      </c>
      <c r="S1130" s="26">
        <f>IF($A1130="","",ROUND(SUMIFS(出库单!$S$4:$S$4003,出库单!$D$4:$D$4003,$A1130,出库单!$K$4:$K$4003,"对外销售",出库单!$U$4:$U$4003,"正常",出库单!$C$4:$C$4003,"&gt;="&amp;账期起,出库单!$C$4:$C$4003,"&lt;="&amp;账期止),0))</f>
        <v/>
      </c>
      <c r="T1130" s="27">
        <f>IF($A1130="","",SUMIFS(出库单!$J$4:$J$4003,出库单!$D$4:$D$4003,$A1130,出库单!$K$4:$K$4003,"盘亏",出库单!$U$4:$U$4003,"正常",出库单!$C$4:$C$4003,"&gt;="&amp;账期起,出库单!$C$4:$C$4003,"&lt;="&amp;账期止))</f>
        <v/>
      </c>
      <c r="U1130" s="26">
        <f>IF($A1130="","",ROUND(SUMIFS(出库单!$S$4:$S$4003,出库单!$D$4:$D$4003,$A1130,出库单!$K$4:$K$4003,"盘亏",出库单!$U$4:$U$4003,"正常",出库单!$C$4:$C$4003,"&gt;="&amp;账期起,出库单!$C$4:$C$4003,"&lt;="&amp;账期止),0))</f>
        <v/>
      </c>
      <c r="V1130" s="27">
        <f>IF($A1130="","",SUMIFS(出库单!$J$4:$J$4003,出库单!$D$4:$D$4003,$A1130,出库单!$K$4:$K$4003,"退货给供应商",出库单!$U$4:$U$4003,"正常",出库单!$C$4:$C$4003,"&gt;="&amp;账期起,出库单!$C$4:$C$4003,"&lt;="&amp;账期止))</f>
        <v/>
      </c>
      <c r="W1130" s="26">
        <f>IF($A1130="","",ROUND(SUMIFS(出库单!$S$4:$S$4003,出库单!$D$4:$D$4003,$A1130,出库单!$K$4:$K$4003,"退货给供应商",出库单!$U$4:$U$4003,"正常",出库单!$C$4:$C$4003,"&gt;="&amp;账期起,出库单!$C$4:$C$4003,"&lt;="&amp;账期止),0))</f>
        <v/>
      </c>
      <c r="X1130" s="27">
        <f>IF($A1130="","",ROUND(N($G1130)+$I1130+$L1130+$N1130-$P1130-$R1130-$T1130-$V1130,3))</f>
        <v/>
      </c>
      <c r="Y1130" s="26">
        <f>IF($A1130="","",ROUND(N($H1130)+$J1130+$M1130+$O1130-$Q1130-$S1130-$U1130-$W1130,0))</f>
        <v/>
      </c>
      <c r="Z1130" s="24">
        <f>IF($A1130="","",IF(COUNTIFS(入库单!$G$4:$G$2503,$A1130,入库单!$Y$4:$Y$2503,"待补价")+COUNTIFS(入库单!$G$4:$G$2503,$A1130,入库单!$Y$4:$Y$2503,"暂估")&gt;0,"不可信","可信"))</f>
        <v/>
      </c>
      <c r="AA1130" s="24">
        <f>IF($A1130="","",IF($X1130&lt;-0.001,"※账面负库存，查一下是不是漏记入库",IF(AND(ROUND($X1130,3)=0,ABS($Y1130)&gt;1),"※数量已经是 0，金额还挂着 "&amp;TEXT($Y1130,"#,##0")&amp;" 先令",IF(AND($X1130&gt;0,$Y1130&lt;=0,$K1130=0),"※有数量没金额（这个物料一直没填过进价）",IF($Z1130="不可信","△成本含待补价/暂估，毛利仅供参考","")))))</f>
        <v/>
      </c>
    </row>
    <row r="1131">
      <c r="A1131" s="24">
        <f>IF(物料档案!$A1130="","",物料档案!$A1130)</f>
        <v/>
      </c>
      <c r="B1131" s="24">
        <f>IF($A1131="","",IFERROR(VLOOKUP($A1131,物料档案!$A$4:$P$1203,3,0),""))</f>
        <v/>
      </c>
      <c r="C1131" s="24">
        <f>IF($A1131="","",IFERROR(VLOOKUP($A1131,物料档案!$A$4:$P$1203,4,0),""))</f>
        <v/>
      </c>
      <c r="D1131" s="24">
        <f>IF($A1131="","",IFERROR(VLOOKUP($A1131,物料档案!$A$4:$P$1203,5,0),""))</f>
        <v/>
      </c>
      <c r="E1131" s="24">
        <f>IF($A1131="","",IFERROR(VLOOKUP($A1131,物料档案!$A$4:$P$1203,2,0),""))</f>
        <v/>
      </c>
      <c r="F1131" s="24">
        <f>IF($A1131="","",IFERROR(VLOOKUP($A1131,物料档案!$A$4:$P$1203,6,0),""))</f>
        <v/>
      </c>
      <c r="G1131" s="23" t="n"/>
      <c r="H1131" s="32" t="n"/>
      <c r="I1131" s="27">
        <f>IF($A1131="","",SUMIFS(入库单!$K$4:$K$2503,入库单!$G$4:$G$2503,$A1131,入库单!$X$4:$X$2503,"采购入库",入库单!$Z$4:$Z$2503,"正常",入库单!$C$4:$C$2503,"&gt;="&amp;账期起,入库单!$C$4:$C$2503,"&lt;="&amp;账期止))</f>
        <v/>
      </c>
      <c r="J1131" s="26">
        <f>IF($A1131="","",SUMIFS(入库单!$V$4:$V$2503,入库单!$G$4:$G$2503,$A1131,入库单!$X$4:$X$2503,"采购入库",入库单!$Z$4:$Z$2503,"正常",入库单!$C$4:$C$2503,"&gt;="&amp;账期起,入库单!$C$4:$C$2503,"&lt;="&amp;账期止))</f>
        <v/>
      </c>
      <c r="K1131" s="26">
        <f>IF($A1131="","",IFERROR(ROUND((N($H1131)+N($J1131))/(N($G1131)+N($I1131)),2),0))</f>
        <v/>
      </c>
      <c r="L1131" s="27">
        <f>IF($A1131="","",SUMIFS(入库单!$K$4:$K$2503,入库单!$G$4:$G$2503,$A1131,入库单!$X$4:$X$2503,"盘盈",入库单!$Z$4:$Z$2503,"正常",入库单!$C$4:$C$2503,"&gt;="&amp;账期起,入库单!$C$4:$C$2503,"&lt;="&amp;账期止))</f>
        <v/>
      </c>
      <c r="M1131" s="26">
        <f>IF($A1131="","",ROUND($L1131*$K1131,0))</f>
        <v/>
      </c>
      <c r="N1131" s="27">
        <f>IF($A1131="","",SUMIFS(入库单!$K$4:$K$2503,入库单!$G$4:$G$2503,$A1131,入库单!$X$4:$X$2503,"矿区退库",入库单!$Z$4:$Z$2503,"正常",入库单!$C$4:$C$2503,"&gt;="&amp;账期起,入库单!$C$4:$C$2503,"&lt;="&amp;账期止))</f>
        <v/>
      </c>
      <c r="O1131" s="26">
        <f>IF($A1131="","",ROUND($N1131*$K1131,0))</f>
        <v/>
      </c>
      <c r="P1131" s="27">
        <f>IF($A1131="","",SUMIFS(出库单!$J$4:$J$4003,出库单!$D$4:$D$4003,$A1131,出库单!$K$4:$K$4003,"自用消耗",出库单!$U$4:$U$4003,"正常",出库单!$C$4:$C$4003,"&gt;="&amp;账期起,出库单!$C$4:$C$4003,"&lt;="&amp;账期止))</f>
        <v/>
      </c>
      <c r="Q1131" s="26">
        <f>IF($A1131="","",ROUND(SUMIFS(出库单!$S$4:$S$4003,出库单!$D$4:$D$4003,$A1131,出库单!$K$4:$K$4003,"自用消耗",出库单!$U$4:$U$4003,"正常",出库单!$C$4:$C$4003,"&gt;="&amp;账期起,出库单!$C$4:$C$4003,"&lt;="&amp;账期止),0))</f>
        <v/>
      </c>
      <c r="R1131" s="27">
        <f>IF($A1131="","",SUMIFS(出库单!$J$4:$J$4003,出库单!$D$4:$D$4003,$A1131,出库单!$K$4:$K$4003,"对外销售",出库单!$U$4:$U$4003,"正常",出库单!$C$4:$C$4003,"&gt;="&amp;账期起,出库单!$C$4:$C$4003,"&lt;="&amp;账期止))</f>
        <v/>
      </c>
      <c r="S1131" s="26">
        <f>IF($A1131="","",ROUND(SUMIFS(出库单!$S$4:$S$4003,出库单!$D$4:$D$4003,$A1131,出库单!$K$4:$K$4003,"对外销售",出库单!$U$4:$U$4003,"正常",出库单!$C$4:$C$4003,"&gt;="&amp;账期起,出库单!$C$4:$C$4003,"&lt;="&amp;账期止),0))</f>
        <v/>
      </c>
      <c r="T1131" s="27">
        <f>IF($A1131="","",SUMIFS(出库单!$J$4:$J$4003,出库单!$D$4:$D$4003,$A1131,出库单!$K$4:$K$4003,"盘亏",出库单!$U$4:$U$4003,"正常",出库单!$C$4:$C$4003,"&gt;="&amp;账期起,出库单!$C$4:$C$4003,"&lt;="&amp;账期止))</f>
        <v/>
      </c>
      <c r="U1131" s="26">
        <f>IF($A1131="","",ROUND(SUMIFS(出库单!$S$4:$S$4003,出库单!$D$4:$D$4003,$A1131,出库单!$K$4:$K$4003,"盘亏",出库单!$U$4:$U$4003,"正常",出库单!$C$4:$C$4003,"&gt;="&amp;账期起,出库单!$C$4:$C$4003,"&lt;="&amp;账期止),0))</f>
        <v/>
      </c>
      <c r="V1131" s="27">
        <f>IF($A1131="","",SUMIFS(出库单!$J$4:$J$4003,出库单!$D$4:$D$4003,$A1131,出库单!$K$4:$K$4003,"退货给供应商",出库单!$U$4:$U$4003,"正常",出库单!$C$4:$C$4003,"&gt;="&amp;账期起,出库单!$C$4:$C$4003,"&lt;="&amp;账期止))</f>
        <v/>
      </c>
      <c r="W1131" s="26">
        <f>IF($A1131="","",ROUND(SUMIFS(出库单!$S$4:$S$4003,出库单!$D$4:$D$4003,$A1131,出库单!$K$4:$K$4003,"退货给供应商",出库单!$U$4:$U$4003,"正常",出库单!$C$4:$C$4003,"&gt;="&amp;账期起,出库单!$C$4:$C$4003,"&lt;="&amp;账期止),0))</f>
        <v/>
      </c>
      <c r="X1131" s="27">
        <f>IF($A1131="","",ROUND(N($G1131)+$I1131+$L1131+$N1131-$P1131-$R1131-$T1131-$V1131,3))</f>
        <v/>
      </c>
      <c r="Y1131" s="26">
        <f>IF($A1131="","",ROUND(N($H1131)+$J1131+$M1131+$O1131-$Q1131-$S1131-$U1131-$W1131,0))</f>
        <v/>
      </c>
      <c r="Z1131" s="24">
        <f>IF($A1131="","",IF(COUNTIFS(入库单!$G$4:$G$2503,$A1131,入库单!$Y$4:$Y$2503,"待补价")+COUNTIFS(入库单!$G$4:$G$2503,$A1131,入库单!$Y$4:$Y$2503,"暂估")&gt;0,"不可信","可信"))</f>
        <v/>
      </c>
      <c r="AA1131" s="24">
        <f>IF($A1131="","",IF($X1131&lt;-0.001,"※账面负库存，查一下是不是漏记入库",IF(AND(ROUND($X1131,3)=0,ABS($Y1131)&gt;1),"※数量已经是 0，金额还挂着 "&amp;TEXT($Y1131,"#,##0")&amp;" 先令",IF(AND($X1131&gt;0,$Y1131&lt;=0,$K1131=0),"※有数量没金额（这个物料一直没填过进价）",IF($Z1131="不可信","△成本含待补价/暂估，毛利仅供参考","")))))</f>
        <v/>
      </c>
    </row>
    <row r="1132">
      <c r="A1132" s="24">
        <f>IF(物料档案!$A1131="","",物料档案!$A1131)</f>
        <v/>
      </c>
      <c r="B1132" s="24">
        <f>IF($A1132="","",IFERROR(VLOOKUP($A1132,物料档案!$A$4:$P$1203,3,0),""))</f>
        <v/>
      </c>
      <c r="C1132" s="24">
        <f>IF($A1132="","",IFERROR(VLOOKUP($A1132,物料档案!$A$4:$P$1203,4,0),""))</f>
        <v/>
      </c>
      <c r="D1132" s="24">
        <f>IF($A1132="","",IFERROR(VLOOKUP($A1132,物料档案!$A$4:$P$1203,5,0),""))</f>
        <v/>
      </c>
      <c r="E1132" s="24">
        <f>IF($A1132="","",IFERROR(VLOOKUP($A1132,物料档案!$A$4:$P$1203,2,0),""))</f>
        <v/>
      </c>
      <c r="F1132" s="24">
        <f>IF($A1132="","",IFERROR(VLOOKUP($A1132,物料档案!$A$4:$P$1203,6,0),""))</f>
        <v/>
      </c>
      <c r="G1132" s="23" t="n"/>
      <c r="H1132" s="32" t="n"/>
      <c r="I1132" s="27">
        <f>IF($A1132="","",SUMIFS(入库单!$K$4:$K$2503,入库单!$G$4:$G$2503,$A1132,入库单!$X$4:$X$2503,"采购入库",入库单!$Z$4:$Z$2503,"正常",入库单!$C$4:$C$2503,"&gt;="&amp;账期起,入库单!$C$4:$C$2503,"&lt;="&amp;账期止))</f>
        <v/>
      </c>
      <c r="J1132" s="26">
        <f>IF($A1132="","",SUMIFS(入库单!$V$4:$V$2503,入库单!$G$4:$G$2503,$A1132,入库单!$X$4:$X$2503,"采购入库",入库单!$Z$4:$Z$2503,"正常",入库单!$C$4:$C$2503,"&gt;="&amp;账期起,入库单!$C$4:$C$2503,"&lt;="&amp;账期止))</f>
        <v/>
      </c>
      <c r="K1132" s="26">
        <f>IF($A1132="","",IFERROR(ROUND((N($H1132)+N($J1132))/(N($G1132)+N($I1132)),2),0))</f>
        <v/>
      </c>
      <c r="L1132" s="27">
        <f>IF($A1132="","",SUMIFS(入库单!$K$4:$K$2503,入库单!$G$4:$G$2503,$A1132,入库单!$X$4:$X$2503,"盘盈",入库单!$Z$4:$Z$2503,"正常",入库单!$C$4:$C$2503,"&gt;="&amp;账期起,入库单!$C$4:$C$2503,"&lt;="&amp;账期止))</f>
        <v/>
      </c>
      <c r="M1132" s="26">
        <f>IF($A1132="","",ROUND($L1132*$K1132,0))</f>
        <v/>
      </c>
      <c r="N1132" s="27">
        <f>IF($A1132="","",SUMIFS(入库单!$K$4:$K$2503,入库单!$G$4:$G$2503,$A1132,入库单!$X$4:$X$2503,"矿区退库",入库单!$Z$4:$Z$2503,"正常",入库单!$C$4:$C$2503,"&gt;="&amp;账期起,入库单!$C$4:$C$2503,"&lt;="&amp;账期止))</f>
        <v/>
      </c>
      <c r="O1132" s="26">
        <f>IF($A1132="","",ROUND($N1132*$K1132,0))</f>
        <v/>
      </c>
      <c r="P1132" s="27">
        <f>IF($A1132="","",SUMIFS(出库单!$J$4:$J$4003,出库单!$D$4:$D$4003,$A1132,出库单!$K$4:$K$4003,"自用消耗",出库单!$U$4:$U$4003,"正常",出库单!$C$4:$C$4003,"&gt;="&amp;账期起,出库单!$C$4:$C$4003,"&lt;="&amp;账期止))</f>
        <v/>
      </c>
      <c r="Q1132" s="26">
        <f>IF($A1132="","",ROUND(SUMIFS(出库单!$S$4:$S$4003,出库单!$D$4:$D$4003,$A1132,出库单!$K$4:$K$4003,"自用消耗",出库单!$U$4:$U$4003,"正常",出库单!$C$4:$C$4003,"&gt;="&amp;账期起,出库单!$C$4:$C$4003,"&lt;="&amp;账期止),0))</f>
        <v/>
      </c>
      <c r="R1132" s="27">
        <f>IF($A1132="","",SUMIFS(出库单!$J$4:$J$4003,出库单!$D$4:$D$4003,$A1132,出库单!$K$4:$K$4003,"对外销售",出库单!$U$4:$U$4003,"正常",出库单!$C$4:$C$4003,"&gt;="&amp;账期起,出库单!$C$4:$C$4003,"&lt;="&amp;账期止))</f>
        <v/>
      </c>
      <c r="S1132" s="26">
        <f>IF($A1132="","",ROUND(SUMIFS(出库单!$S$4:$S$4003,出库单!$D$4:$D$4003,$A1132,出库单!$K$4:$K$4003,"对外销售",出库单!$U$4:$U$4003,"正常",出库单!$C$4:$C$4003,"&gt;="&amp;账期起,出库单!$C$4:$C$4003,"&lt;="&amp;账期止),0))</f>
        <v/>
      </c>
      <c r="T1132" s="27">
        <f>IF($A1132="","",SUMIFS(出库单!$J$4:$J$4003,出库单!$D$4:$D$4003,$A1132,出库单!$K$4:$K$4003,"盘亏",出库单!$U$4:$U$4003,"正常",出库单!$C$4:$C$4003,"&gt;="&amp;账期起,出库单!$C$4:$C$4003,"&lt;="&amp;账期止))</f>
        <v/>
      </c>
      <c r="U1132" s="26">
        <f>IF($A1132="","",ROUND(SUMIFS(出库单!$S$4:$S$4003,出库单!$D$4:$D$4003,$A1132,出库单!$K$4:$K$4003,"盘亏",出库单!$U$4:$U$4003,"正常",出库单!$C$4:$C$4003,"&gt;="&amp;账期起,出库单!$C$4:$C$4003,"&lt;="&amp;账期止),0))</f>
        <v/>
      </c>
      <c r="V1132" s="27">
        <f>IF($A1132="","",SUMIFS(出库单!$J$4:$J$4003,出库单!$D$4:$D$4003,$A1132,出库单!$K$4:$K$4003,"退货给供应商",出库单!$U$4:$U$4003,"正常",出库单!$C$4:$C$4003,"&gt;="&amp;账期起,出库单!$C$4:$C$4003,"&lt;="&amp;账期止))</f>
        <v/>
      </c>
      <c r="W1132" s="26">
        <f>IF($A1132="","",ROUND(SUMIFS(出库单!$S$4:$S$4003,出库单!$D$4:$D$4003,$A1132,出库单!$K$4:$K$4003,"退货给供应商",出库单!$U$4:$U$4003,"正常",出库单!$C$4:$C$4003,"&gt;="&amp;账期起,出库单!$C$4:$C$4003,"&lt;="&amp;账期止),0))</f>
        <v/>
      </c>
      <c r="X1132" s="27">
        <f>IF($A1132="","",ROUND(N($G1132)+$I1132+$L1132+$N1132-$P1132-$R1132-$T1132-$V1132,3))</f>
        <v/>
      </c>
      <c r="Y1132" s="26">
        <f>IF($A1132="","",ROUND(N($H1132)+$J1132+$M1132+$O1132-$Q1132-$S1132-$U1132-$W1132,0))</f>
        <v/>
      </c>
      <c r="Z1132" s="24">
        <f>IF($A1132="","",IF(COUNTIFS(入库单!$G$4:$G$2503,$A1132,入库单!$Y$4:$Y$2503,"待补价")+COUNTIFS(入库单!$G$4:$G$2503,$A1132,入库单!$Y$4:$Y$2503,"暂估")&gt;0,"不可信","可信"))</f>
        <v/>
      </c>
      <c r="AA1132" s="24">
        <f>IF($A1132="","",IF($X1132&lt;-0.001,"※账面负库存，查一下是不是漏记入库",IF(AND(ROUND($X1132,3)=0,ABS($Y1132)&gt;1),"※数量已经是 0，金额还挂着 "&amp;TEXT($Y1132,"#,##0")&amp;" 先令",IF(AND($X1132&gt;0,$Y1132&lt;=0,$K1132=0),"※有数量没金额（这个物料一直没填过进价）",IF($Z1132="不可信","△成本含待补价/暂估，毛利仅供参考","")))))</f>
        <v/>
      </c>
    </row>
    <row r="1133">
      <c r="A1133" s="24">
        <f>IF(物料档案!$A1132="","",物料档案!$A1132)</f>
        <v/>
      </c>
      <c r="B1133" s="24">
        <f>IF($A1133="","",IFERROR(VLOOKUP($A1133,物料档案!$A$4:$P$1203,3,0),""))</f>
        <v/>
      </c>
      <c r="C1133" s="24">
        <f>IF($A1133="","",IFERROR(VLOOKUP($A1133,物料档案!$A$4:$P$1203,4,0),""))</f>
        <v/>
      </c>
      <c r="D1133" s="24">
        <f>IF($A1133="","",IFERROR(VLOOKUP($A1133,物料档案!$A$4:$P$1203,5,0),""))</f>
        <v/>
      </c>
      <c r="E1133" s="24">
        <f>IF($A1133="","",IFERROR(VLOOKUP($A1133,物料档案!$A$4:$P$1203,2,0),""))</f>
        <v/>
      </c>
      <c r="F1133" s="24">
        <f>IF($A1133="","",IFERROR(VLOOKUP($A1133,物料档案!$A$4:$P$1203,6,0),""))</f>
        <v/>
      </c>
      <c r="G1133" s="23" t="n"/>
      <c r="H1133" s="32" t="n"/>
      <c r="I1133" s="27">
        <f>IF($A1133="","",SUMIFS(入库单!$K$4:$K$2503,入库单!$G$4:$G$2503,$A1133,入库单!$X$4:$X$2503,"采购入库",入库单!$Z$4:$Z$2503,"正常",入库单!$C$4:$C$2503,"&gt;="&amp;账期起,入库单!$C$4:$C$2503,"&lt;="&amp;账期止))</f>
        <v/>
      </c>
      <c r="J1133" s="26">
        <f>IF($A1133="","",SUMIFS(入库单!$V$4:$V$2503,入库单!$G$4:$G$2503,$A1133,入库单!$X$4:$X$2503,"采购入库",入库单!$Z$4:$Z$2503,"正常",入库单!$C$4:$C$2503,"&gt;="&amp;账期起,入库单!$C$4:$C$2503,"&lt;="&amp;账期止))</f>
        <v/>
      </c>
      <c r="K1133" s="26">
        <f>IF($A1133="","",IFERROR(ROUND((N($H1133)+N($J1133))/(N($G1133)+N($I1133)),2),0))</f>
        <v/>
      </c>
      <c r="L1133" s="27">
        <f>IF($A1133="","",SUMIFS(入库单!$K$4:$K$2503,入库单!$G$4:$G$2503,$A1133,入库单!$X$4:$X$2503,"盘盈",入库单!$Z$4:$Z$2503,"正常",入库单!$C$4:$C$2503,"&gt;="&amp;账期起,入库单!$C$4:$C$2503,"&lt;="&amp;账期止))</f>
        <v/>
      </c>
      <c r="M1133" s="26">
        <f>IF($A1133="","",ROUND($L1133*$K1133,0))</f>
        <v/>
      </c>
      <c r="N1133" s="27">
        <f>IF($A1133="","",SUMIFS(入库单!$K$4:$K$2503,入库单!$G$4:$G$2503,$A1133,入库单!$X$4:$X$2503,"矿区退库",入库单!$Z$4:$Z$2503,"正常",入库单!$C$4:$C$2503,"&gt;="&amp;账期起,入库单!$C$4:$C$2503,"&lt;="&amp;账期止))</f>
        <v/>
      </c>
      <c r="O1133" s="26">
        <f>IF($A1133="","",ROUND($N1133*$K1133,0))</f>
        <v/>
      </c>
      <c r="P1133" s="27">
        <f>IF($A1133="","",SUMIFS(出库单!$J$4:$J$4003,出库单!$D$4:$D$4003,$A1133,出库单!$K$4:$K$4003,"自用消耗",出库单!$U$4:$U$4003,"正常",出库单!$C$4:$C$4003,"&gt;="&amp;账期起,出库单!$C$4:$C$4003,"&lt;="&amp;账期止))</f>
        <v/>
      </c>
      <c r="Q1133" s="26">
        <f>IF($A1133="","",ROUND(SUMIFS(出库单!$S$4:$S$4003,出库单!$D$4:$D$4003,$A1133,出库单!$K$4:$K$4003,"自用消耗",出库单!$U$4:$U$4003,"正常",出库单!$C$4:$C$4003,"&gt;="&amp;账期起,出库单!$C$4:$C$4003,"&lt;="&amp;账期止),0))</f>
        <v/>
      </c>
      <c r="R1133" s="27">
        <f>IF($A1133="","",SUMIFS(出库单!$J$4:$J$4003,出库单!$D$4:$D$4003,$A1133,出库单!$K$4:$K$4003,"对外销售",出库单!$U$4:$U$4003,"正常",出库单!$C$4:$C$4003,"&gt;="&amp;账期起,出库单!$C$4:$C$4003,"&lt;="&amp;账期止))</f>
        <v/>
      </c>
      <c r="S1133" s="26">
        <f>IF($A1133="","",ROUND(SUMIFS(出库单!$S$4:$S$4003,出库单!$D$4:$D$4003,$A1133,出库单!$K$4:$K$4003,"对外销售",出库单!$U$4:$U$4003,"正常",出库单!$C$4:$C$4003,"&gt;="&amp;账期起,出库单!$C$4:$C$4003,"&lt;="&amp;账期止),0))</f>
        <v/>
      </c>
      <c r="T1133" s="27">
        <f>IF($A1133="","",SUMIFS(出库单!$J$4:$J$4003,出库单!$D$4:$D$4003,$A1133,出库单!$K$4:$K$4003,"盘亏",出库单!$U$4:$U$4003,"正常",出库单!$C$4:$C$4003,"&gt;="&amp;账期起,出库单!$C$4:$C$4003,"&lt;="&amp;账期止))</f>
        <v/>
      </c>
      <c r="U1133" s="26">
        <f>IF($A1133="","",ROUND(SUMIFS(出库单!$S$4:$S$4003,出库单!$D$4:$D$4003,$A1133,出库单!$K$4:$K$4003,"盘亏",出库单!$U$4:$U$4003,"正常",出库单!$C$4:$C$4003,"&gt;="&amp;账期起,出库单!$C$4:$C$4003,"&lt;="&amp;账期止),0))</f>
        <v/>
      </c>
      <c r="V1133" s="27">
        <f>IF($A1133="","",SUMIFS(出库单!$J$4:$J$4003,出库单!$D$4:$D$4003,$A1133,出库单!$K$4:$K$4003,"退货给供应商",出库单!$U$4:$U$4003,"正常",出库单!$C$4:$C$4003,"&gt;="&amp;账期起,出库单!$C$4:$C$4003,"&lt;="&amp;账期止))</f>
        <v/>
      </c>
      <c r="W1133" s="26">
        <f>IF($A1133="","",ROUND(SUMIFS(出库单!$S$4:$S$4003,出库单!$D$4:$D$4003,$A1133,出库单!$K$4:$K$4003,"退货给供应商",出库单!$U$4:$U$4003,"正常",出库单!$C$4:$C$4003,"&gt;="&amp;账期起,出库单!$C$4:$C$4003,"&lt;="&amp;账期止),0))</f>
        <v/>
      </c>
      <c r="X1133" s="27">
        <f>IF($A1133="","",ROUND(N($G1133)+$I1133+$L1133+$N1133-$P1133-$R1133-$T1133-$V1133,3))</f>
        <v/>
      </c>
      <c r="Y1133" s="26">
        <f>IF($A1133="","",ROUND(N($H1133)+$J1133+$M1133+$O1133-$Q1133-$S1133-$U1133-$W1133,0))</f>
        <v/>
      </c>
      <c r="Z1133" s="24">
        <f>IF($A1133="","",IF(COUNTIFS(入库单!$G$4:$G$2503,$A1133,入库单!$Y$4:$Y$2503,"待补价")+COUNTIFS(入库单!$G$4:$G$2503,$A1133,入库单!$Y$4:$Y$2503,"暂估")&gt;0,"不可信","可信"))</f>
        <v/>
      </c>
      <c r="AA1133" s="24">
        <f>IF($A1133="","",IF($X1133&lt;-0.001,"※账面负库存，查一下是不是漏记入库",IF(AND(ROUND($X1133,3)=0,ABS($Y1133)&gt;1),"※数量已经是 0，金额还挂着 "&amp;TEXT($Y1133,"#,##0")&amp;" 先令",IF(AND($X1133&gt;0,$Y1133&lt;=0,$K1133=0),"※有数量没金额（这个物料一直没填过进价）",IF($Z1133="不可信","△成本含待补价/暂估，毛利仅供参考","")))))</f>
        <v/>
      </c>
    </row>
    <row r="1134">
      <c r="A1134" s="24">
        <f>IF(物料档案!$A1133="","",物料档案!$A1133)</f>
        <v/>
      </c>
      <c r="B1134" s="24">
        <f>IF($A1134="","",IFERROR(VLOOKUP($A1134,物料档案!$A$4:$P$1203,3,0),""))</f>
        <v/>
      </c>
      <c r="C1134" s="24">
        <f>IF($A1134="","",IFERROR(VLOOKUP($A1134,物料档案!$A$4:$P$1203,4,0),""))</f>
        <v/>
      </c>
      <c r="D1134" s="24">
        <f>IF($A1134="","",IFERROR(VLOOKUP($A1134,物料档案!$A$4:$P$1203,5,0),""))</f>
        <v/>
      </c>
      <c r="E1134" s="24">
        <f>IF($A1134="","",IFERROR(VLOOKUP($A1134,物料档案!$A$4:$P$1203,2,0),""))</f>
        <v/>
      </c>
      <c r="F1134" s="24">
        <f>IF($A1134="","",IFERROR(VLOOKUP($A1134,物料档案!$A$4:$P$1203,6,0),""))</f>
        <v/>
      </c>
      <c r="G1134" s="23" t="n"/>
      <c r="H1134" s="32" t="n"/>
      <c r="I1134" s="27">
        <f>IF($A1134="","",SUMIFS(入库单!$K$4:$K$2503,入库单!$G$4:$G$2503,$A1134,入库单!$X$4:$X$2503,"采购入库",入库单!$Z$4:$Z$2503,"正常",入库单!$C$4:$C$2503,"&gt;="&amp;账期起,入库单!$C$4:$C$2503,"&lt;="&amp;账期止))</f>
        <v/>
      </c>
      <c r="J1134" s="26">
        <f>IF($A1134="","",SUMIFS(入库单!$V$4:$V$2503,入库单!$G$4:$G$2503,$A1134,入库单!$X$4:$X$2503,"采购入库",入库单!$Z$4:$Z$2503,"正常",入库单!$C$4:$C$2503,"&gt;="&amp;账期起,入库单!$C$4:$C$2503,"&lt;="&amp;账期止))</f>
        <v/>
      </c>
      <c r="K1134" s="26">
        <f>IF($A1134="","",IFERROR(ROUND((N($H1134)+N($J1134))/(N($G1134)+N($I1134)),2),0))</f>
        <v/>
      </c>
      <c r="L1134" s="27">
        <f>IF($A1134="","",SUMIFS(入库单!$K$4:$K$2503,入库单!$G$4:$G$2503,$A1134,入库单!$X$4:$X$2503,"盘盈",入库单!$Z$4:$Z$2503,"正常",入库单!$C$4:$C$2503,"&gt;="&amp;账期起,入库单!$C$4:$C$2503,"&lt;="&amp;账期止))</f>
        <v/>
      </c>
      <c r="M1134" s="26">
        <f>IF($A1134="","",ROUND($L1134*$K1134,0))</f>
        <v/>
      </c>
      <c r="N1134" s="27">
        <f>IF($A1134="","",SUMIFS(入库单!$K$4:$K$2503,入库单!$G$4:$G$2503,$A1134,入库单!$X$4:$X$2503,"矿区退库",入库单!$Z$4:$Z$2503,"正常",入库单!$C$4:$C$2503,"&gt;="&amp;账期起,入库单!$C$4:$C$2503,"&lt;="&amp;账期止))</f>
        <v/>
      </c>
      <c r="O1134" s="26">
        <f>IF($A1134="","",ROUND($N1134*$K1134,0))</f>
        <v/>
      </c>
      <c r="P1134" s="27">
        <f>IF($A1134="","",SUMIFS(出库单!$J$4:$J$4003,出库单!$D$4:$D$4003,$A1134,出库单!$K$4:$K$4003,"自用消耗",出库单!$U$4:$U$4003,"正常",出库单!$C$4:$C$4003,"&gt;="&amp;账期起,出库单!$C$4:$C$4003,"&lt;="&amp;账期止))</f>
        <v/>
      </c>
      <c r="Q1134" s="26">
        <f>IF($A1134="","",ROUND(SUMIFS(出库单!$S$4:$S$4003,出库单!$D$4:$D$4003,$A1134,出库单!$K$4:$K$4003,"自用消耗",出库单!$U$4:$U$4003,"正常",出库单!$C$4:$C$4003,"&gt;="&amp;账期起,出库单!$C$4:$C$4003,"&lt;="&amp;账期止),0))</f>
        <v/>
      </c>
      <c r="R1134" s="27">
        <f>IF($A1134="","",SUMIFS(出库单!$J$4:$J$4003,出库单!$D$4:$D$4003,$A1134,出库单!$K$4:$K$4003,"对外销售",出库单!$U$4:$U$4003,"正常",出库单!$C$4:$C$4003,"&gt;="&amp;账期起,出库单!$C$4:$C$4003,"&lt;="&amp;账期止))</f>
        <v/>
      </c>
      <c r="S1134" s="26">
        <f>IF($A1134="","",ROUND(SUMIFS(出库单!$S$4:$S$4003,出库单!$D$4:$D$4003,$A1134,出库单!$K$4:$K$4003,"对外销售",出库单!$U$4:$U$4003,"正常",出库单!$C$4:$C$4003,"&gt;="&amp;账期起,出库单!$C$4:$C$4003,"&lt;="&amp;账期止),0))</f>
        <v/>
      </c>
      <c r="T1134" s="27">
        <f>IF($A1134="","",SUMIFS(出库单!$J$4:$J$4003,出库单!$D$4:$D$4003,$A1134,出库单!$K$4:$K$4003,"盘亏",出库单!$U$4:$U$4003,"正常",出库单!$C$4:$C$4003,"&gt;="&amp;账期起,出库单!$C$4:$C$4003,"&lt;="&amp;账期止))</f>
        <v/>
      </c>
      <c r="U1134" s="26">
        <f>IF($A1134="","",ROUND(SUMIFS(出库单!$S$4:$S$4003,出库单!$D$4:$D$4003,$A1134,出库单!$K$4:$K$4003,"盘亏",出库单!$U$4:$U$4003,"正常",出库单!$C$4:$C$4003,"&gt;="&amp;账期起,出库单!$C$4:$C$4003,"&lt;="&amp;账期止),0))</f>
        <v/>
      </c>
      <c r="V1134" s="27">
        <f>IF($A1134="","",SUMIFS(出库单!$J$4:$J$4003,出库单!$D$4:$D$4003,$A1134,出库单!$K$4:$K$4003,"退货给供应商",出库单!$U$4:$U$4003,"正常",出库单!$C$4:$C$4003,"&gt;="&amp;账期起,出库单!$C$4:$C$4003,"&lt;="&amp;账期止))</f>
        <v/>
      </c>
      <c r="W1134" s="26">
        <f>IF($A1134="","",ROUND(SUMIFS(出库单!$S$4:$S$4003,出库单!$D$4:$D$4003,$A1134,出库单!$K$4:$K$4003,"退货给供应商",出库单!$U$4:$U$4003,"正常",出库单!$C$4:$C$4003,"&gt;="&amp;账期起,出库单!$C$4:$C$4003,"&lt;="&amp;账期止),0))</f>
        <v/>
      </c>
      <c r="X1134" s="27">
        <f>IF($A1134="","",ROUND(N($G1134)+$I1134+$L1134+$N1134-$P1134-$R1134-$T1134-$V1134,3))</f>
        <v/>
      </c>
      <c r="Y1134" s="26">
        <f>IF($A1134="","",ROUND(N($H1134)+$J1134+$M1134+$O1134-$Q1134-$S1134-$U1134-$W1134,0))</f>
        <v/>
      </c>
      <c r="Z1134" s="24">
        <f>IF($A1134="","",IF(COUNTIFS(入库单!$G$4:$G$2503,$A1134,入库单!$Y$4:$Y$2503,"待补价")+COUNTIFS(入库单!$G$4:$G$2503,$A1134,入库单!$Y$4:$Y$2503,"暂估")&gt;0,"不可信","可信"))</f>
        <v/>
      </c>
      <c r="AA1134" s="24">
        <f>IF($A1134="","",IF($X1134&lt;-0.001,"※账面负库存，查一下是不是漏记入库",IF(AND(ROUND($X1134,3)=0,ABS($Y1134)&gt;1),"※数量已经是 0，金额还挂着 "&amp;TEXT($Y1134,"#,##0")&amp;" 先令",IF(AND($X1134&gt;0,$Y1134&lt;=0,$K1134=0),"※有数量没金额（这个物料一直没填过进价）",IF($Z1134="不可信","△成本含待补价/暂估，毛利仅供参考","")))))</f>
        <v/>
      </c>
    </row>
    <row r="1135">
      <c r="A1135" s="24">
        <f>IF(物料档案!$A1134="","",物料档案!$A1134)</f>
        <v/>
      </c>
      <c r="B1135" s="24">
        <f>IF($A1135="","",IFERROR(VLOOKUP($A1135,物料档案!$A$4:$P$1203,3,0),""))</f>
        <v/>
      </c>
      <c r="C1135" s="24">
        <f>IF($A1135="","",IFERROR(VLOOKUP($A1135,物料档案!$A$4:$P$1203,4,0),""))</f>
        <v/>
      </c>
      <c r="D1135" s="24">
        <f>IF($A1135="","",IFERROR(VLOOKUP($A1135,物料档案!$A$4:$P$1203,5,0),""))</f>
        <v/>
      </c>
      <c r="E1135" s="24">
        <f>IF($A1135="","",IFERROR(VLOOKUP($A1135,物料档案!$A$4:$P$1203,2,0),""))</f>
        <v/>
      </c>
      <c r="F1135" s="24">
        <f>IF($A1135="","",IFERROR(VLOOKUP($A1135,物料档案!$A$4:$P$1203,6,0),""))</f>
        <v/>
      </c>
      <c r="G1135" s="23" t="n"/>
      <c r="H1135" s="32" t="n"/>
      <c r="I1135" s="27">
        <f>IF($A1135="","",SUMIFS(入库单!$K$4:$K$2503,入库单!$G$4:$G$2503,$A1135,入库单!$X$4:$X$2503,"采购入库",入库单!$Z$4:$Z$2503,"正常",入库单!$C$4:$C$2503,"&gt;="&amp;账期起,入库单!$C$4:$C$2503,"&lt;="&amp;账期止))</f>
        <v/>
      </c>
      <c r="J1135" s="26">
        <f>IF($A1135="","",SUMIFS(入库单!$V$4:$V$2503,入库单!$G$4:$G$2503,$A1135,入库单!$X$4:$X$2503,"采购入库",入库单!$Z$4:$Z$2503,"正常",入库单!$C$4:$C$2503,"&gt;="&amp;账期起,入库单!$C$4:$C$2503,"&lt;="&amp;账期止))</f>
        <v/>
      </c>
      <c r="K1135" s="26">
        <f>IF($A1135="","",IFERROR(ROUND((N($H1135)+N($J1135))/(N($G1135)+N($I1135)),2),0))</f>
        <v/>
      </c>
      <c r="L1135" s="27">
        <f>IF($A1135="","",SUMIFS(入库单!$K$4:$K$2503,入库单!$G$4:$G$2503,$A1135,入库单!$X$4:$X$2503,"盘盈",入库单!$Z$4:$Z$2503,"正常",入库单!$C$4:$C$2503,"&gt;="&amp;账期起,入库单!$C$4:$C$2503,"&lt;="&amp;账期止))</f>
        <v/>
      </c>
      <c r="M1135" s="26">
        <f>IF($A1135="","",ROUND($L1135*$K1135,0))</f>
        <v/>
      </c>
      <c r="N1135" s="27">
        <f>IF($A1135="","",SUMIFS(入库单!$K$4:$K$2503,入库单!$G$4:$G$2503,$A1135,入库单!$X$4:$X$2503,"矿区退库",入库单!$Z$4:$Z$2503,"正常",入库单!$C$4:$C$2503,"&gt;="&amp;账期起,入库单!$C$4:$C$2503,"&lt;="&amp;账期止))</f>
        <v/>
      </c>
      <c r="O1135" s="26">
        <f>IF($A1135="","",ROUND($N1135*$K1135,0))</f>
        <v/>
      </c>
      <c r="P1135" s="27">
        <f>IF($A1135="","",SUMIFS(出库单!$J$4:$J$4003,出库单!$D$4:$D$4003,$A1135,出库单!$K$4:$K$4003,"自用消耗",出库单!$U$4:$U$4003,"正常",出库单!$C$4:$C$4003,"&gt;="&amp;账期起,出库单!$C$4:$C$4003,"&lt;="&amp;账期止))</f>
        <v/>
      </c>
      <c r="Q1135" s="26">
        <f>IF($A1135="","",ROUND(SUMIFS(出库单!$S$4:$S$4003,出库单!$D$4:$D$4003,$A1135,出库单!$K$4:$K$4003,"自用消耗",出库单!$U$4:$U$4003,"正常",出库单!$C$4:$C$4003,"&gt;="&amp;账期起,出库单!$C$4:$C$4003,"&lt;="&amp;账期止),0))</f>
        <v/>
      </c>
      <c r="R1135" s="27">
        <f>IF($A1135="","",SUMIFS(出库单!$J$4:$J$4003,出库单!$D$4:$D$4003,$A1135,出库单!$K$4:$K$4003,"对外销售",出库单!$U$4:$U$4003,"正常",出库单!$C$4:$C$4003,"&gt;="&amp;账期起,出库单!$C$4:$C$4003,"&lt;="&amp;账期止))</f>
        <v/>
      </c>
      <c r="S1135" s="26">
        <f>IF($A1135="","",ROUND(SUMIFS(出库单!$S$4:$S$4003,出库单!$D$4:$D$4003,$A1135,出库单!$K$4:$K$4003,"对外销售",出库单!$U$4:$U$4003,"正常",出库单!$C$4:$C$4003,"&gt;="&amp;账期起,出库单!$C$4:$C$4003,"&lt;="&amp;账期止),0))</f>
        <v/>
      </c>
      <c r="T1135" s="27">
        <f>IF($A1135="","",SUMIFS(出库单!$J$4:$J$4003,出库单!$D$4:$D$4003,$A1135,出库单!$K$4:$K$4003,"盘亏",出库单!$U$4:$U$4003,"正常",出库单!$C$4:$C$4003,"&gt;="&amp;账期起,出库单!$C$4:$C$4003,"&lt;="&amp;账期止))</f>
        <v/>
      </c>
      <c r="U1135" s="26">
        <f>IF($A1135="","",ROUND(SUMIFS(出库单!$S$4:$S$4003,出库单!$D$4:$D$4003,$A1135,出库单!$K$4:$K$4003,"盘亏",出库单!$U$4:$U$4003,"正常",出库单!$C$4:$C$4003,"&gt;="&amp;账期起,出库单!$C$4:$C$4003,"&lt;="&amp;账期止),0))</f>
        <v/>
      </c>
      <c r="V1135" s="27">
        <f>IF($A1135="","",SUMIFS(出库单!$J$4:$J$4003,出库单!$D$4:$D$4003,$A1135,出库单!$K$4:$K$4003,"退货给供应商",出库单!$U$4:$U$4003,"正常",出库单!$C$4:$C$4003,"&gt;="&amp;账期起,出库单!$C$4:$C$4003,"&lt;="&amp;账期止))</f>
        <v/>
      </c>
      <c r="W1135" s="26">
        <f>IF($A1135="","",ROUND(SUMIFS(出库单!$S$4:$S$4003,出库单!$D$4:$D$4003,$A1135,出库单!$K$4:$K$4003,"退货给供应商",出库单!$U$4:$U$4003,"正常",出库单!$C$4:$C$4003,"&gt;="&amp;账期起,出库单!$C$4:$C$4003,"&lt;="&amp;账期止),0))</f>
        <v/>
      </c>
      <c r="X1135" s="27">
        <f>IF($A1135="","",ROUND(N($G1135)+$I1135+$L1135+$N1135-$P1135-$R1135-$T1135-$V1135,3))</f>
        <v/>
      </c>
      <c r="Y1135" s="26">
        <f>IF($A1135="","",ROUND(N($H1135)+$J1135+$M1135+$O1135-$Q1135-$S1135-$U1135-$W1135,0))</f>
        <v/>
      </c>
      <c r="Z1135" s="24">
        <f>IF($A1135="","",IF(COUNTIFS(入库单!$G$4:$G$2503,$A1135,入库单!$Y$4:$Y$2503,"待补价")+COUNTIFS(入库单!$G$4:$G$2503,$A1135,入库单!$Y$4:$Y$2503,"暂估")&gt;0,"不可信","可信"))</f>
        <v/>
      </c>
      <c r="AA1135" s="24">
        <f>IF($A1135="","",IF($X1135&lt;-0.001,"※账面负库存，查一下是不是漏记入库",IF(AND(ROUND($X1135,3)=0,ABS($Y1135)&gt;1),"※数量已经是 0，金额还挂着 "&amp;TEXT($Y1135,"#,##0")&amp;" 先令",IF(AND($X1135&gt;0,$Y1135&lt;=0,$K1135=0),"※有数量没金额（这个物料一直没填过进价）",IF($Z1135="不可信","△成本含待补价/暂估，毛利仅供参考","")))))</f>
        <v/>
      </c>
    </row>
    <row r="1136">
      <c r="A1136" s="24">
        <f>IF(物料档案!$A1135="","",物料档案!$A1135)</f>
        <v/>
      </c>
      <c r="B1136" s="24">
        <f>IF($A1136="","",IFERROR(VLOOKUP($A1136,物料档案!$A$4:$P$1203,3,0),""))</f>
        <v/>
      </c>
      <c r="C1136" s="24">
        <f>IF($A1136="","",IFERROR(VLOOKUP($A1136,物料档案!$A$4:$P$1203,4,0),""))</f>
        <v/>
      </c>
      <c r="D1136" s="24">
        <f>IF($A1136="","",IFERROR(VLOOKUP($A1136,物料档案!$A$4:$P$1203,5,0),""))</f>
        <v/>
      </c>
      <c r="E1136" s="24">
        <f>IF($A1136="","",IFERROR(VLOOKUP($A1136,物料档案!$A$4:$P$1203,2,0),""))</f>
        <v/>
      </c>
      <c r="F1136" s="24">
        <f>IF($A1136="","",IFERROR(VLOOKUP($A1136,物料档案!$A$4:$P$1203,6,0),""))</f>
        <v/>
      </c>
      <c r="G1136" s="23" t="n"/>
      <c r="H1136" s="32" t="n"/>
      <c r="I1136" s="27">
        <f>IF($A1136="","",SUMIFS(入库单!$K$4:$K$2503,入库单!$G$4:$G$2503,$A1136,入库单!$X$4:$X$2503,"采购入库",入库单!$Z$4:$Z$2503,"正常",入库单!$C$4:$C$2503,"&gt;="&amp;账期起,入库单!$C$4:$C$2503,"&lt;="&amp;账期止))</f>
        <v/>
      </c>
      <c r="J1136" s="26">
        <f>IF($A1136="","",SUMIFS(入库单!$V$4:$V$2503,入库单!$G$4:$G$2503,$A1136,入库单!$X$4:$X$2503,"采购入库",入库单!$Z$4:$Z$2503,"正常",入库单!$C$4:$C$2503,"&gt;="&amp;账期起,入库单!$C$4:$C$2503,"&lt;="&amp;账期止))</f>
        <v/>
      </c>
      <c r="K1136" s="26">
        <f>IF($A1136="","",IFERROR(ROUND((N($H1136)+N($J1136))/(N($G1136)+N($I1136)),2),0))</f>
        <v/>
      </c>
      <c r="L1136" s="27">
        <f>IF($A1136="","",SUMIFS(入库单!$K$4:$K$2503,入库单!$G$4:$G$2503,$A1136,入库单!$X$4:$X$2503,"盘盈",入库单!$Z$4:$Z$2503,"正常",入库单!$C$4:$C$2503,"&gt;="&amp;账期起,入库单!$C$4:$C$2503,"&lt;="&amp;账期止))</f>
        <v/>
      </c>
      <c r="M1136" s="26">
        <f>IF($A1136="","",ROUND($L1136*$K1136,0))</f>
        <v/>
      </c>
      <c r="N1136" s="27">
        <f>IF($A1136="","",SUMIFS(入库单!$K$4:$K$2503,入库单!$G$4:$G$2503,$A1136,入库单!$X$4:$X$2503,"矿区退库",入库单!$Z$4:$Z$2503,"正常",入库单!$C$4:$C$2503,"&gt;="&amp;账期起,入库单!$C$4:$C$2503,"&lt;="&amp;账期止))</f>
        <v/>
      </c>
      <c r="O1136" s="26">
        <f>IF($A1136="","",ROUND($N1136*$K1136,0))</f>
        <v/>
      </c>
      <c r="P1136" s="27">
        <f>IF($A1136="","",SUMIFS(出库单!$J$4:$J$4003,出库单!$D$4:$D$4003,$A1136,出库单!$K$4:$K$4003,"自用消耗",出库单!$U$4:$U$4003,"正常",出库单!$C$4:$C$4003,"&gt;="&amp;账期起,出库单!$C$4:$C$4003,"&lt;="&amp;账期止))</f>
        <v/>
      </c>
      <c r="Q1136" s="26">
        <f>IF($A1136="","",ROUND(SUMIFS(出库单!$S$4:$S$4003,出库单!$D$4:$D$4003,$A1136,出库单!$K$4:$K$4003,"自用消耗",出库单!$U$4:$U$4003,"正常",出库单!$C$4:$C$4003,"&gt;="&amp;账期起,出库单!$C$4:$C$4003,"&lt;="&amp;账期止),0))</f>
        <v/>
      </c>
      <c r="R1136" s="27">
        <f>IF($A1136="","",SUMIFS(出库单!$J$4:$J$4003,出库单!$D$4:$D$4003,$A1136,出库单!$K$4:$K$4003,"对外销售",出库单!$U$4:$U$4003,"正常",出库单!$C$4:$C$4003,"&gt;="&amp;账期起,出库单!$C$4:$C$4003,"&lt;="&amp;账期止))</f>
        <v/>
      </c>
      <c r="S1136" s="26">
        <f>IF($A1136="","",ROUND(SUMIFS(出库单!$S$4:$S$4003,出库单!$D$4:$D$4003,$A1136,出库单!$K$4:$K$4003,"对外销售",出库单!$U$4:$U$4003,"正常",出库单!$C$4:$C$4003,"&gt;="&amp;账期起,出库单!$C$4:$C$4003,"&lt;="&amp;账期止),0))</f>
        <v/>
      </c>
      <c r="T1136" s="27">
        <f>IF($A1136="","",SUMIFS(出库单!$J$4:$J$4003,出库单!$D$4:$D$4003,$A1136,出库单!$K$4:$K$4003,"盘亏",出库单!$U$4:$U$4003,"正常",出库单!$C$4:$C$4003,"&gt;="&amp;账期起,出库单!$C$4:$C$4003,"&lt;="&amp;账期止))</f>
        <v/>
      </c>
      <c r="U1136" s="26">
        <f>IF($A1136="","",ROUND(SUMIFS(出库单!$S$4:$S$4003,出库单!$D$4:$D$4003,$A1136,出库单!$K$4:$K$4003,"盘亏",出库单!$U$4:$U$4003,"正常",出库单!$C$4:$C$4003,"&gt;="&amp;账期起,出库单!$C$4:$C$4003,"&lt;="&amp;账期止),0))</f>
        <v/>
      </c>
      <c r="V1136" s="27">
        <f>IF($A1136="","",SUMIFS(出库单!$J$4:$J$4003,出库单!$D$4:$D$4003,$A1136,出库单!$K$4:$K$4003,"退货给供应商",出库单!$U$4:$U$4003,"正常",出库单!$C$4:$C$4003,"&gt;="&amp;账期起,出库单!$C$4:$C$4003,"&lt;="&amp;账期止))</f>
        <v/>
      </c>
      <c r="W1136" s="26">
        <f>IF($A1136="","",ROUND(SUMIFS(出库单!$S$4:$S$4003,出库单!$D$4:$D$4003,$A1136,出库单!$K$4:$K$4003,"退货给供应商",出库单!$U$4:$U$4003,"正常",出库单!$C$4:$C$4003,"&gt;="&amp;账期起,出库单!$C$4:$C$4003,"&lt;="&amp;账期止),0))</f>
        <v/>
      </c>
      <c r="X1136" s="27">
        <f>IF($A1136="","",ROUND(N($G1136)+$I1136+$L1136+$N1136-$P1136-$R1136-$T1136-$V1136,3))</f>
        <v/>
      </c>
      <c r="Y1136" s="26">
        <f>IF($A1136="","",ROUND(N($H1136)+$J1136+$M1136+$O1136-$Q1136-$S1136-$U1136-$W1136,0))</f>
        <v/>
      </c>
      <c r="Z1136" s="24">
        <f>IF($A1136="","",IF(COUNTIFS(入库单!$G$4:$G$2503,$A1136,入库单!$Y$4:$Y$2503,"待补价")+COUNTIFS(入库单!$G$4:$G$2503,$A1136,入库单!$Y$4:$Y$2503,"暂估")&gt;0,"不可信","可信"))</f>
        <v/>
      </c>
      <c r="AA1136" s="24">
        <f>IF($A1136="","",IF($X1136&lt;-0.001,"※账面负库存，查一下是不是漏记入库",IF(AND(ROUND($X1136,3)=0,ABS($Y1136)&gt;1),"※数量已经是 0，金额还挂着 "&amp;TEXT($Y1136,"#,##0")&amp;" 先令",IF(AND($X1136&gt;0,$Y1136&lt;=0,$K1136=0),"※有数量没金额（这个物料一直没填过进价）",IF($Z1136="不可信","△成本含待补价/暂估，毛利仅供参考","")))))</f>
        <v/>
      </c>
    </row>
    <row r="1137">
      <c r="A1137" s="24">
        <f>IF(物料档案!$A1136="","",物料档案!$A1136)</f>
        <v/>
      </c>
      <c r="B1137" s="24">
        <f>IF($A1137="","",IFERROR(VLOOKUP($A1137,物料档案!$A$4:$P$1203,3,0),""))</f>
        <v/>
      </c>
      <c r="C1137" s="24">
        <f>IF($A1137="","",IFERROR(VLOOKUP($A1137,物料档案!$A$4:$P$1203,4,0),""))</f>
        <v/>
      </c>
      <c r="D1137" s="24">
        <f>IF($A1137="","",IFERROR(VLOOKUP($A1137,物料档案!$A$4:$P$1203,5,0),""))</f>
        <v/>
      </c>
      <c r="E1137" s="24">
        <f>IF($A1137="","",IFERROR(VLOOKUP($A1137,物料档案!$A$4:$P$1203,2,0),""))</f>
        <v/>
      </c>
      <c r="F1137" s="24">
        <f>IF($A1137="","",IFERROR(VLOOKUP($A1137,物料档案!$A$4:$P$1203,6,0),""))</f>
        <v/>
      </c>
      <c r="G1137" s="23" t="n"/>
      <c r="H1137" s="32" t="n"/>
      <c r="I1137" s="27">
        <f>IF($A1137="","",SUMIFS(入库单!$K$4:$K$2503,入库单!$G$4:$G$2503,$A1137,入库单!$X$4:$X$2503,"采购入库",入库单!$Z$4:$Z$2503,"正常",入库单!$C$4:$C$2503,"&gt;="&amp;账期起,入库单!$C$4:$C$2503,"&lt;="&amp;账期止))</f>
        <v/>
      </c>
      <c r="J1137" s="26">
        <f>IF($A1137="","",SUMIFS(入库单!$V$4:$V$2503,入库单!$G$4:$G$2503,$A1137,入库单!$X$4:$X$2503,"采购入库",入库单!$Z$4:$Z$2503,"正常",入库单!$C$4:$C$2503,"&gt;="&amp;账期起,入库单!$C$4:$C$2503,"&lt;="&amp;账期止))</f>
        <v/>
      </c>
      <c r="K1137" s="26">
        <f>IF($A1137="","",IFERROR(ROUND((N($H1137)+N($J1137))/(N($G1137)+N($I1137)),2),0))</f>
        <v/>
      </c>
      <c r="L1137" s="27">
        <f>IF($A1137="","",SUMIFS(入库单!$K$4:$K$2503,入库单!$G$4:$G$2503,$A1137,入库单!$X$4:$X$2503,"盘盈",入库单!$Z$4:$Z$2503,"正常",入库单!$C$4:$C$2503,"&gt;="&amp;账期起,入库单!$C$4:$C$2503,"&lt;="&amp;账期止))</f>
        <v/>
      </c>
      <c r="M1137" s="26">
        <f>IF($A1137="","",ROUND($L1137*$K1137,0))</f>
        <v/>
      </c>
      <c r="N1137" s="27">
        <f>IF($A1137="","",SUMIFS(入库单!$K$4:$K$2503,入库单!$G$4:$G$2503,$A1137,入库单!$X$4:$X$2503,"矿区退库",入库单!$Z$4:$Z$2503,"正常",入库单!$C$4:$C$2503,"&gt;="&amp;账期起,入库单!$C$4:$C$2503,"&lt;="&amp;账期止))</f>
        <v/>
      </c>
      <c r="O1137" s="26">
        <f>IF($A1137="","",ROUND($N1137*$K1137,0))</f>
        <v/>
      </c>
      <c r="P1137" s="27">
        <f>IF($A1137="","",SUMIFS(出库单!$J$4:$J$4003,出库单!$D$4:$D$4003,$A1137,出库单!$K$4:$K$4003,"自用消耗",出库单!$U$4:$U$4003,"正常",出库单!$C$4:$C$4003,"&gt;="&amp;账期起,出库单!$C$4:$C$4003,"&lt;="&amp;账期止))</f>
        <v/>
      </c>
      <c r="Q1137" s="26">
        <f>IF($A1137="","",ROUND(SUMIFS(出库单!$S$4:$S$4003,出库单!$D$4:$D$4003,$A1137,出库单!$K$4:$K$4003,"自用消耗",出库单!$U$4:$U$4003,"正常",出库单!$C$4:$C$4003,"&gt;="&amp;账期起,出库单!$C$4:$C$4003,"&lt;="&amp;账期止),0))</f>
        <v/>
      </c>
      <c r="R1137" s="27">
        <f>IF($A1137="","",SUMIFS(出库单!$J$4:$J$4003,出库单!$D$4:$D$4003,$A1137,出库单!$K$4:$K$4003,"对外销售",出库单!$U$4:$U$4003,"正常",出库单!$C$4:$C$4003,"&gt;="&amp;账期起,出库单!$C$4:$C$4003,"&lt;="&amp;账期止))</f>
        <v/>
      </c>
      <c r="S1137" s="26">
        <f>IF($A1137="","",ROUND(SUMIFS(出库单!$S$4:$S$4003,出库单!$D$4:$D$4003,$A1137,出库单!$K$4:$K$4003,"对外销售",出库单!$U$4:$U$4003,"正常",出库单!$C$4:$C$4003,"&gt;="&amp;账期起,出库单!$C$4:$C$4003,"&lt;="&amp;账期止),0))</f>
        <v/>
      </c>
      <c r="T1137" s="27">
        <f>IF($A1137="","",SUMIFS(出库单!$J$4:$J$4003,出库单!$D$4:$D$4003,$A1137,出库单!$K$4:$K$4003,"盘亏",出库单!$U$4:$U$4003,"正常",出库单!$C$4:$C$4003,"&gt;="&amp;账期起,出库单!$C$4:$C$4003,"&lt;="&amp;账期止))</f>
        <v/>
      </c>
      <c r="U1137" s="26">
        <f>IF($A1137="","",ROUND(SUMIFS(出库单!$S$4:$S$4003,出库单!$D$4:$D$4003,$A1137,出库单!$K$4:$K$4003,"盘亏",出库单!$U$4:$U$4003,"正常",出库单!$C$4:$C$4003,"&gt;="&amp;账期起,出库单!$C$4:$C$4003,"&lt;="&amp;账期止),0))</f>
        <v/>
      </c>
      <c r="V1137" s="27">
        <f>IF($A1137="","",SUMIFS(出库单!$J$4:$J$4003,出库单!$D$4:$D$4003,$A1137,出库单!$K$4:$K$4003,"退货给供应商",出库单!$U$4:$U$4003,"正常",出库单!$C$4:$C$4003,"&gt;="&amp;账期起,出库单!$C$4:$C$4003,"&lt;="&amp;账期止))</f>
        <v/>
      </c>
      <c r="W1137" s="26">
        <f>IF($A1137="","",ROUND(SUMIFS(出库单!$S$4:$S$4003,出库单!$D$4:$D$4003,$A1137,出库单!$K$4:$K$4003,"退货给供应商",出库单!$U$4:$U$4003,"正常",出库单!$C$4:$C$4003,"&gt;="&amp;账期起,出库单!$C$4:$C$4003,"&lt;="&amp;账期止),0))</f>
        <v/>
      </c>
      <c r="X1137" s="27">
        <f>IF($A1137="","",ROUND(N($G1137)+$I1137+$L1137+$N1137-$P1137-$R1137-$T1137-$V1137,3))</f>
        <v/>
      </c>
      <c r="Y1137" s="26">
        <f>IF($A1137="","",ROUND(N($H1137)+$J1137+$M1137+$O1137-$Q1137-$S1137-$U1137-$W1137,0))</f>
        <v/>
      </c>
      <c r="Z1137" s="24">
        <f>IF($A1137="","",IF(COUNTIFS(入库单!$G$4:$G$2503,$A1137,入库单!$Y$4:$Y$2503,"待补价")+COUNTIFS(入库单!$G$4:$G$2503,$A1137,入库单!$Y$4:$Y$2503,"暂估")&gt;0,"不可信","可信"))</f>
        <v/>
      </c>
      <c r="AA1137" s="24">
        <f>IF($A1137="","",IF($X1137&lt;-0.001,"※账面负库存，查一下是不是漏记入库",IF(AND(ROUND($X1137,3)=0,ABS($Y1137)&gt;1),"※数量已经是 0，金额还挂着 "&amp;TEXT($Y1137,"#,##0")&amp;" 先令",IF(AND($X1137&gt;0,$Y1137&lt;=0,$K1137=0),"※有数量没金额（这个物料一直没填过进价）",IF($Z1137="不可信","△成本含待补价/暂估，毛利仅供参考","")))))</f>
        <v/>
      </c>
    </row>
    <row r="1138">
      <c r="A1138" s="24">
        <f>IF(物料档案!$A1137="","",物料档案!$A1137)</f>
        <v/>
      </c>
      <c r="B1138" s="24">
        <f>IF($A1138="","",IFERROR(VLOOKUP($A1138,物料档案!$A$4:$P$1203,3,0),""))</f>
        <v/>
      </c>
      <c r="C1138" s="24">
        <f>IF($A1138="","",IFERROR(VLOOKUP($A1138,物料档案!$A$4:$P$1203,4,0),""))</f>
        <v/>
      </c>
      <c r="D1138" s="24">
        <f>IF($A1138="","",IFERROR(VLOOKUP($A1138,物料档案!$A$4:$P$1203,5,0),""))</f>
        <v/>
      </c>
      <c r="E1138" s="24">
        <f>IF($A1138="","",IFERROR(VLOOKUP($A1138,物料档案!$A$4:$P$1203,2,0),""))</f>
        <v/>
      </c>
      <c r="F1138" s="24">
        <f>IF($A1138="","",IFERROR(VLOOKUP($A1138,物料档案!$A$4:$P$1203,6,0),""))</f>
        <v/>
      </c>
      <c r="G1138" s="23" t="n"/>
      <c r="H1138" s="32" t="n"/>
      <c r="I1138" s="27">
        <f>IF($A1138="","",SUMIFS(入库单!$K$4:$K$2503,入库单!$G$4:$G$2503,$A1138,入库单!$X$4:$X$2503,"采购入库",入库单!$Z$4:$Z$2503,"正常",入库单!$C$4:$C$2503,"&gt;="&amp;账期起,入库单!$C$4:$C$2503,"&lt;="&amp;账期止))</f>
        <v/>
      </c>
      <c r="J1138" s="26">
        <f>IF($A1138="","",SUMIFS(入库单!$V$4:$V$2503,入库单!$G$4:$G$2503,$A1138,入库单!$X$4:$X$2503,"采购入库",入库单!$Z$4:$Z$2503,"正常",入库单!$C$4:$C$2503,"&gt;="&amp;账期起,入库单!$C$4:$C$2503,"&lt;="&amp;账期止))</f>
        <v/>
      </c>
      <c r="K1138" s="26">
        <f>IF($A1138="","",IFERROR(ROUND((N($H1138)+N($J1138))/(N($G1138)+N($I1138)),2),0))</f>
        <v/>
      </c>
      <c r="L1138" s="27">
        <f>IF($A1138="","",SUMIFS(入库单!$K$4:$K$2503,入库单!$G$4:$G$2503,$A1138,入库单!$X$4:$X$2503,"盘盈",入库单!$Z$4:$Z$2503,"正常",入库单!$C$4:$C$2503,"&gt;="&amp;账期起,入库单!$C$4:$C$2503,"&lt;="&amp;账期止))</f>
        <v/>
      </c>
      <c r="M1138" s="26">
        <f>IF($A1138="","",ROUND($L1138*$K1138,0))</f>
        <v/>
      </c>
      <c r="N1138" s="27">
        <f>IF($A1138="","",SUMIFS(入库单!$K$4:$K$2503,入库单!$G$4:$G$2503,$A1138,入库单!$X$4:$X$2503,"矿区退库",入库单!$Z$4:$Z$2503,"正常",入库单!$C$4:$C$2503,"&gt;="&amp;账期起,入库单!$C$4:$C$2503,"&lt;="&amp;账期止))</f>
        <v/>
      </c>
      <c r="O1138" s="26">
        <f>IF($A1138="","",ROUND($N1138*$K1138,0))</f>
        <v/>
      </c>
      <c r="P1138" s="27">
        <f>IF($A1138="","",SUMIFS(出库单!$J$4:$J$4003,出库单!$D$4:$D$4003,$A1138,出库单!$K$4:$K$4003,"自用消耗",出库单!$U$4:$U$4003,"正常",出库单!$C$4:$C$4003,"&gt;="&amp;账期起,出库单!$C$4:$C$4003,"&lt;="&amp;账期止))</f>
        <v/>
      </c>
      <c r="Q1138" s="26">
        <f>IF($A1138="","",ROUND(SUMIFS(出库单!$S$4:$S$4003,出库单!$D$4:$D$4003,$A1138,出库单!$K$4:$K$4003,"自用消耗",出库单!$U$4:$U$4003,"正常",出库单!$C$4:$C$4003,"&gt;="&amp;账期起,出库单!$C$4:$C$4003,"&lt;="&amp;账期止),0))</f>
        <v/>
      </c>
      <c r="R1138" s="27">
        <f>IF($A1138="","",SUMIFS(出库单!$J$4:$J$4003,出库单!$D$4:$D$4003,$A1138,出库单!$K$4:$K$4003,"对外销售",出库单!$U$4:$U$4003,"正常",出库单!$C$4:$C$4003,"&gt;="&amp;账期起,出库单!$C$4:$C$4003,"&lt;="&amp;账期止))</f>
        <v/>
      </c>
      <c r="S1138" s="26">
        <f>IF($A1138="","",ROUND(SUMIFS(出库单!$S$4:$S$4003,出库单!$D$4:$D$4003,$A1138,出库单!$K$4:$K$4003,"对外销售",出库单!$U$4:$U$4003,"正常",出库单!$C$4:$C$4003,"&gt;="&amp;账期起,出库单!$C$4:$C$4003,"&lt;="&amp;账期止),0))</f>
        <v/>
      </c>
      <c r="T1138" s="27">
        <f>IF($A1138="","",SUMIFS(出库单!$J$4:$J$4003,出库单!$D$4:$D$4003,$A1138,出库单!$K$4:$K$4003,"盘亏",出库单!$U$4:$U$4003,"正常",出库单!$C$4:$C$4003,"&gt;="&amp;账期起,出库单!$C$4:$C$4003,"&lt;="&amp;账期止))</f>
        <v/>
      </c>
      <c r="U1138" s="26">
        <f>IF($A1138="","",ROUND(SUMIFS(出库单!$S$4:$S$4003,出库单!$D$4:$D$4003,$A1138,出库单!$K$4:$K$4003,"盘亏",出库单!$U$4:$U$4003,"正常",出库单!$C$4:$C$4003,"&gt;="&amp;账期起,出库单!$C$4:$C$4003,"&lt;="&amp;账期止),0))</f>
        <v/>
      </c>
      <c r="V1138" s="27">
        <f>IF($A1138="","",SUMIFS(出库单!$J$4:$J$4003,出库单!$D$4:$D$4003,$A1138,出库单!$K$4:$K$4003,"退货给供应商",出库单!$U$4:$U$4003,"正常",出库单!$C$4:$C$4003,"&gt;="&amp;账期起,出库单!$C$4:$C$4003,"&lt;="&amp;账期止))</f>
        <v/>
      </c>
      <c r="W1138" s="26">
        <f>IF($A1138="","",ROUND(SUMIFS(出库单!$S$4:$S$4003,出库单!$D$4:$D$4003,$A1138,出库单!$K$4:$K$4003,"退货给供应商",出库单!$U$4:$U$4003,"正常",出库单!$C$4:$C$4003,"&gt;="&amp;账期起,出库单!$C$4:$C$4003,"&lt;="&amp;账期止),0))</f>
        <v/>
      </c>
      <c r="X1138" s="27">
        <f>IF($A1138="","",ROUND(N($G1138)+$I1138+$L1138+$N1138-$P1138-$R1138-$T1138-$V1138,3))</f>
        <v/>
      </c>
      <c r="Y1138" s="26">
        <f>IF($A1138="","",ROUND(N($H1138)+$J1138+$M1138+$O1138-$Q1138-$S1138-$U1138-$W1138,0))</f>
        <v/>
      </c>
      <c r="Z1138" s="24">
        <f>IF($A1138="","",IF(COUNTIFS(入库单!$G$4:$G$2503,$A1138,入库单!$Y$4:$Y$2503,"待补价")+COUNTIFS(入库单!$G$4:$G$2503,$A1138,入库单!$Y$4:$Y$2503,"暂估")&gt;0,"不可信","可信"))</f>
        <v/>
      </c>
      <c r="AA1138" s="24">
        <f>IF($A1138="","",IF($X1138&lt;-0.001,"※账面负库存，查一下是不是漏记入库",IF(AND(ROUND($X1138,3)=0,ABS($Y1138)&gt;1),"※数量已经是 0，金额还挂着 "&amp;TEXT($Y1138,"#,##0")&amp;" 先令",IF(AND($X1138&gt;0,$Y1138&lt;=0,$K1138=0),"※有数量没金额（这个物料一直没填过进价）",IF($Z1138="不可信","△成本含待补价/暂估，毛利仅供参考","")))))</f>
        <v/>
      </c>
    </row>
    <row r="1139">
      <c r="A1139" s="24">
        <f>IF(物料档案!$A1138="","",物料档案!$A1138)</f>
        <v/>
      </c>
      <c r="B1139" s="24">
        <f>IF($A1139="","",IFERROR(VLOOKUP($A1139,物料档案!$A$4:$P$1203,3,0),""))</f>
        <v/>
      </c>
      <c r="C1139" s="24">
        <f>IF($A1139="","",IFERROR(VLOOKUP($A1139,物料档案!$A$4:$P$1203,4,0),""))</f>
        <v/>
      </c>
      <c r="D1139" s="24">
        <f>IF($A1139="","",IFERROR(VLOOKUP($A1139,物料档案!$A$4:$P$1203,5,0),""))</f>
        <v/>
      </c>
      <c r="E1139" s="24">
        <f>IF($A1139="","",IFERROR(VLOOKUP($A1139,物料档案!$A$4:$P$1203,2,0),""))</f>
        <v/>
      </c>
      <c r="F1139" s="24">
        <f>IF($A1139="","",IFERROR(VLOOKUP($A1139,物料档案!$A$4:$P$1203,6,0),""))</f>
        <v/>
      </c>
      <c r="G1139" s="23" t="n"/>
      <c r="H1139" s="32" t="n"/>
      <c r="I1139" s="27">
        <f>IF($A1139="","",SUMIFS(入库单!$K$4:$K$2503,入库单!$G$4:$G$2503,$A1139,入库单!$X$4:$X$2503,"采购入库",入库单!$Z$4:$Z$2503,"正常",入库单!$C$4:$C$2503,"&gt;="&amp;账期起,入库单!$C$4:$C$2503,"&lt;="&amp;账期止))</f>
        <v/>
      </c>
      <c r="J1139" s="26">
        <f>IF($A1139="","",SUMIFS(入库单!$V$4:$V$2503,入库单!$G$4:$G$2503,$A1139,入库单!$X$4:$X$2503,"采购入库",入库单!$Z$4:$Z$2503,"正常",入库单!$C$4:$C$2503,"&gt;="&amp;账期起,入库单!$C$4:$C$2503,"&lt;="&amp;账期止))</f>
        <v/>
      </c>
      <c r="K1139" s="26">
        <f>IF($A1139="","",IFERROR(ROUND((N($H1139)+N($J1139))/(N($G1139)+N($I1139)),2),0))</f>
        <v/>
      </c>
      <c r="L1139" s="27">
        <f>IF($A1139="","",SUMIFS(入库单!$K$4:$K$2503,入库单!$G$4:$G$2503,$A1139,入库单!$X$4:$X$2503,"盘盈",入库单!$Z$4:$Z$2503,"正常",入库单!$C$4:$C$2503,"&gt;="&amp;账期起,入库单!$C$4:$C$2503,"&lt;="&amp;账期止))</f>
        <v/>
      </c>
      <c r="M1139" s="26">
        <f>IF($A1139="","",ROUND($L1139*$K1139,0))</f>
        <v/>
      </c>
      <c r="N1139" s="27">
        <f>IF($A1139="","",SUMIFS(入库单!$K$4:$K$2503,入库单!$G$4:$G$2503,$A1139,入库单!$X$4:$X$2503,"矿区退库",入库单!$Z$4:$Z$2503,"正常",入库单!$C$4:$C$2503,"&gt;="&amp;账期起,入库单!$C$4:$C$2503,"&lt;="&amp;账期止))</f>
        <v/>
      </c>
      <c r="O1139" s="26">
        <f>IF($A1139="","",ROUND($N1139*$K1139,0))</f>
        <v/>
      </c>
      <c r="P1139" s="27">
        <f>IF($A1139="","",SUMIFS(出库单!$J$4:$J$4003,出库单!$D$4:$D$4003,$A1139,出库单!$K$4:$K$4003,"自用消耗",出库单!$U$4:$U$4003,"正常",出库单!$C$4:$C$4003,"&gt;="&amp;账期起,出库单!$C$4:$C$4003,"&lt;="&amp;账期止))</f>
        <v/>
      </c>
      <c r="Q1139" s="26">
        <f>IF($A1139="","",ROUND(SUMIFS(出库单!$S$4:$S$4003,出库单!$D$4:$D$4003,$A1139,出库单!$K$4:$K$4003,"自用消耗",出库单!$U$4:$U$4003,"正常",出库单!$C$4:$C$4003,"&gt;="&amp;账期起,出库单!$C$4:$C$4003,"&lt;="&amp;账期止),0))</f>
        <v/>
      </c>
      <c r="R1139" s="27">
        <f>IF($A1139="","",SUMIFS(出库单!$J$4:$J$4003,出库单!$D$4:$D$4003,$A1139,出库单!$K$4:$K$4003,"对外销售",出库单!$U$4:$U$4003,"正常",出库单!$C$4:$C$4003,"&gt;="&amp;账期起,出库单!$C$4:$C$4003,"&lt;="&amp;账期止))</f>
        <v/>
      </c>
      <c r="S1139" s="26">
        <f>IF($A1139="","",ROUND(SUMIFS(出库单!$S$4:$S$4003,出库单!$D$4:$D$4003,$A1139,出库单!$K$4:$K$4003,"对外销售",出库单!$U$4:$U$4003,"正常",出库单!$C$4:$C$4003,"&gt;="&amp;账期起,出库单!$C$4:$C$4003,"&lt;="&amp;账期止),0))</f>
        <v/>
      </c>
      <c r="T1139" s="27">
        <f>IF($A1139="","",SUMIFS(出库单!$J$4:$J$4003,出库单!$D$4:$D$4003,$A1139,出库单!$K$4:$K$4003,"盘亏",出库单!$U$4:$U$4003,"正常",出库单!$C$4:$C$4003,"&gt;="&amp;账期起,出库单!$C$4:$C$4003,"&lt;="&amp;账期止))</f>
        <v/>
      </c>
      <c r="U1139" s="26">
        <f>IF($A1139="","",ROUND(SUMIFS(出库单!$S$4:$S$4003,出库单!$D$4:$D$4003,$A1139,出库单!$K$4:$K$4003,"盘亏",出库单!$U$4:$U$4003,"正常",出库单!$C$4:$C$4003,"&gt;="&amp;账期起,出库单!$C$4:$C$4003,"&lt;="&amp;账期止),0))</f>
        <v/>
      </c>
      <c r="V1139" s="27">
        <f>IF($A1139="","",SUMIFS(出库单!$J$4:$J$4003,出库单!$D$4:$D$4003,$A1139,出库单!$K$4:$K$4003,"退货给供应商",出库单!$U$4:$U$4003,"正常",出库单!$C$4:$C$4003,"&gt;="&amp;账期起,出库单!$C$4:$C$4003,"&lt;="&amp;账期止))</f>
        <v/>
      </c>
      <c r="W1139" s="26">
        <f>IF($A1139="","",ROUND(SUMIFS(出库单!$S$4:$S$4003,出库单!$D$4:$D$4003,$A1139,出库单!$K$4:$K$4003,"退货给供应商",出库单!$U$4:$U$4003,"正常",出库单!$C$4:$C$4003,"&gt;="&amp;账期起,出库单!$C$4:$C$4003,"&lt;="&amp;账期止),0))</f>
        <v/>
      </c>
      <c r="X1139" s="27">
        <f>IF($A1139="","",ROUND(N($G1139)+$I1139+$L1139+$N1139-$P1139-$R1139-$T1139-$V1139,3))</f>
        <v/>
      </c>
      <c r="Y1139" s="26">
        <f>IF($A1139="","",ROUND(N($H1139)+$J1139+$M1139+$O1139-$Q1139-$S1139-$U1139-$W1139,0))</f>
        <v/>
      </c>
      <c r="Z1139" s="24">
        <f>IF($A1139="","",IF(COUNTIFS(入库单!$G$4:$G$2503,$A1139,入库单!$Y$4:$Y$2503,"待补价")+COUNTIFS(入库单!$G$4:$G$2503,$A1139,入库单!$Y$4:$Y$2503,"暂估")&gt;0,"不可信","可信"))</f>
        <v/>
      </c>
      <c r="AA1139" s="24">
        <f>IF($A1139="","",IF($X1139&lt;-0.001,"※账面负库存，查一下是不是漏记入库",IF(AND(ROUND($X1139,3)=0,ABS($Y1139)&gt;1),"※数量已经是 0，金额还挂着 "&amp;TEXT($Y1139,"#,##0")&amp;" 先令",IF(AND($X1139&gt;0,$Y1139&lt;=0,$K1139=0),"※有数量没金额（这个物料一直没填过进价）",IF($Z1139="不可信","△成本含待补价/暂估，毛利仅供参考","")))))</f>
        <v/>
      </c>
    </row>
    <row r="1140">
      <c r="A1140" s="24">
        <f>IF(物料档案!$A1139="","",物料档案!$A1139)</f>
        <v/>
      </c>
      <c r="B1140" s="24">
        <f>IF($A1140="","",IFERROR(VLOOKUP($A1140,物料档案!$A$4:$P$1203,3,0),""))</f>
        <v/>
      </c>
      <c r="C1140" s="24">
        <f>IF($A1140="","",IFERROR(VLOOKUP($A1140,物料档案!$A$4:$P$1203,4,0),""))</f>
        <v/>
      </c>
      <c r="D1140" s="24">
        <f>IF($A1140="","",IFERROR(VLOOKUP($A1140,物料档案!$A$4:$P$1203,5,0),""))</f>
        <v/>
      </c>
      <c r="E1140" s="24">
        <f>IF($A1140="","",IFERROR(VLOOKUP($A1140,物料档案!$A$4:$P$1203,2,0),""))</f>
        <v/>
      </c>
      <c r="F1140" s="24">
        <f>IF($A1140="","",IFERROR(VLOOKUP($A1140,物料档案!$A$4:$P$1203,6,0),""))</f>
        <v/>
      </c>
      <c r="G1140" s="23" t="n"/>
      <c r="H1140" s="32" t="n"/>
      <c r="I1140" s="27">
        <f>IF($A1140="","",SUMIFS(入库单!$K$4:$K$2503,入库单!$G$4:$G$2503,$A1140,入库单!$X$4:$X$2503,"采购入库",入库单!$Z$4:$Z$2503,"正常",入库单!$C$4:$C$2503,"&gt;="&amp;账期起,入库单!$C$4:$C$2503,"&lt;="&amp;账期止))</f>
        <v/>
      </c>
      <c r="J1140" s="26">
        <f>IF($A1140="","",SUMIFS(入库单!$V$4:$V$2503,入库单!$G$4:$G$2503,$A1140,入库单!$X$4:$X$2503,"采购入库",入库单!$Z$4:$Z$2503,"正常",入库单!$C$4:$C$2503,"&gt;="&amp;账期起,入库单!$C$4:$C$2503,"&lt;="&amp;账期止))</f>
        <v/>
      </c>
      <c r="K1140" s="26">
        <f>IF($A1140="","",IFERROR(ROUND((N($H1140)+N($J1140))/(N($G1140)+N($I1140)),2),0))</f>
        <v/>
      </c>
      <c r="L1140" s="27">
        <f>IF($A1140="","",SUMIFS(入库单!$K$4:$K$2503,入库单!$G$4:$G$2503,$A1140,入库单!$X$4:$X$2503,"盘盈",入库单!$Z$4:$Z$2503,"正常",入库单!$C$4:$C$2503,"&gt;="&amp;账期起,入库单!$C$4:$C$2503,"&lt;="&amp;账期止))</f>
        <v/>
      </c>
      <c r="M1140" s="26">
        <f>IF($A1140="","",ROUND($L1140*$K1140,0))</f>
        <v/>
      </c>
      <c r="N1140" s="27">
        <f>IF($A1140="","",SUMIFS(入库单!$K$4:$K$2503,入库单!$G$4:$G$2503,$A1140,入库单!$X$4:$X$2503,"矿区退库",入库单!$Z$4:$Z$2503,"正常",入库单!$C$4:$C$2503,"&gt;="&amp;账期起,入库单!$C$4:$C$2503,"&lt;="&amp;账期止))</f>
        <v/>
      </c>
      <c r="O1140" s="26">
        <f>IF($A1140="","",ROUND($N1140*$K1140,0))</f>
        <v/>
      </c>
      <c r="P1140" s="27">
        <f>IF($A1140="","",SUMIFS(出库单!$J$4:$J$4003,出库单!$D$4:$D$4003,$A1140,出库单!$K$4:$K$4003,"自用消耗",出库单!$U$4:$U$4003,"正常",出库单!$C$4:$C$4003,"&gt;="&amp;账期起,出库单!$C$4:$C$4003,"&lt;="&amp;账期止))</f>
        <v/>
      </c>
      <c r="Q1140" s="26">
        <f>IF($A1140="","",ROUND(SUMIFS(出库单!$S$4:$S$4003,出库单!$D$4:$D$4003,$A1140,出库单!$K$4:$K$4003,"自用消耗",出库单!$U$4:$U$4003,"正常",出库单!$C$4:$C$4003,"&gt;="&amp;账期起,出库单!$C$4:$C$4003,"&lt;="&amp;账期止),0))</f>
        <v/>
      </c>
      <c r="R1140" s="27">
        <f>IF($A1140="","",SUMIFS(出库单!$J$4:$J$4003,出库单!$D$4:$D$4003,$A1140,出库单!$K$4:$K$4003,"对外销售",出库单!$U$4:$U$4003,"正常",出库单!$C$4:$C$4003,"&gt;="&amp;账期起,出库单!$C$4:$C$4003,"&lt;="&amp;账期止))</f>
        <v/>
      </c>
      <c r="S1140" s="26">
        <f>IF($A1140="","",ROUND(SUMIFS(出库单!$S$4:$S$4003,出库单!$D$4:$D$4003,$A1140,出库单!$K$4:$K$4003,"对外销售",出库单!$U$4:$U$4003,"正常",出库单!$C$4:$C$4003,"&gt;="&amp;账期起,出库单!$C$4:$C$4003,"&lt;="&amp;账期止),0))</f>
        <v/>
      </c>
      <c r="T1140" s="27">
        <f>IF($A1140="","",SUMIFS(出库单!$J$4:$J$4003,出库单!$D$4:$D$4003,$A1140,出库单!$K$4:$K$4003,"盘亏",出库单!$U$4:$U$4003,"正常",出库单!$C$4:$C$4003,"&gt;="&amp;账期起,出库单!$C$4:$C$4003,"&lt;="&amp;账期止))</f>
        <v/>
      </c>
      <c r="U1140" s="26">
        <f>IF($A1140="","",ROUND(SUMIFS(出库单!$S$4:$S$4003,出库单!$D$4:$D$4003,$A1140,出库单!$K$4:$K$4003,"盘亏",出库单!$U$4:$U$4003,"正常",出库单!$C$4:$C$4003,"&gt;="&amp;账期起,出库单!$C$4:$C$4003,"&lt;="&amp;账期止),0))</f>
        <v/>
      </c>
      <c r="V1140" s="27">
        <f>IF($A1140="","",SUMIFS(出库单!$J$4:$J$4003,出库单!$D$4:$D$4003,$A1140,出库单!$K$4:$K$4003,"退货给供应商",出库单!$U$4:$U$4003,"正常",出库单!$C$4:$C$4003,"&gt;="&amp;账期起,出库单!$C$4:$C$4003,"&lt;="&amp;账期止))</f>
        <v/>
      </c>
      <c r="W1140" s="26">
        <f>IF($A1140="","",ROUND(SUMIFS(出库单!$S$4:$S$4003,出库单!$D$4:$D$4003,$A1140,出库单!$K$4:$K$4003,"退货给供应商",出库单!$U$4:$U$4003,"正常",出库单!$C$4:$C$4003,"&gt;="&amp;账期起,出库单!$C$4:$C$4003,"&lt;="&amp;账期止),0))</f>
        <v/>
      </c>
      <c r="X1140" s="27">
        <f>IF($A1140="","",ROUND(N($G1140)+$I1140+$L1140+$N1140-$P1140-$R1140-$T1140-$V1140,3))</f>
        <v/>
      </c>
      <c r="Y1140" s="26">
        <f>IF($A1140="","",ROUND(N($H1140)+$J1140+$M1140+$O1140-$Q1140-$S1140-$U1140-$W1140,0))</f>
        <v/>
      </c>
      <c r="Z1140" s="24">
        <f>IF($A1140="","",IF(COUNTIFS(入库单!$G$4:$G$2503,$A1140,入库单!$Y$4:$Y$2503,"待补价")+COUNTIFS(入库单!$G$4:$G$2503,$A1140,入库单!$Y$4:$Y$2503,"暂估")&gt;0,"不可信","可信"))</f>
        <v/>
      </c>
      <c r="AA1140" s="24">
        <f>IF($A1140="","",IF($X1140&lt;-0.001,"※账面负库存，查一下是不是漏记入库",IF(AND(ROUND($X1140,3)=0,ABS($Y1140)&gt;1),"※数量已经是 0，金额还挂着 "&amp;TEXT($Y1140,"#,##0")&amp;" 先令",IF(AND($X1140&gt;0,$Y1140&lt;=0,$K1140=0),"※有数量没金额（这个物料一直没填过进价）",IF($Z1140="不可信","△成本含待补价/暂估，毛利仅供参考","")))))</f>
        <v/>
      </c>
    </row>
    <row r="1141">
      <c r="A1141" s="24">
        <f>IF(物料档案!$A1140="","",物料档案!$A1140)</f>
        <v/>
      </c>
      <c r="B1141" s="24">
        <f>IF($A1141="","",IFERROR(VLOOKUP($A1141,物料档案!$A$4:$P$1203,3,0),""))</f>
        <v/>
      </c>
      <c r="C1141" s="24">
        <f>IF($A1141="","",IFERROR(VLOOKUP($A1141,物料档案!$A$4:$P$1203,4,0),""))</f>
        <v/>
      </c>
      <c r="D1141" s="24">
        <f>IF($A1141="","",IFERROR(VLOOKUP($A1141,物料档案!$A$4:$P$1203,5,0),""))</f>
        <v/>
      </c>
      <c r="E1141" s="24">
        <f>IF($A1141="","",IFERROR(VLOOKUP($A1141,物料档案!$A$4:$P$1203,2,0),""))</f>
        <v/>
      </c>
      <c r="F1141" s="24">
        <f>IF($A1141="","",IFERROR(VLOOKUP($A1141,物料档案!$A$4:$P$1203,6,0),""))</f>
        <v/>
      </c>
      <c r="G1141" s="23" t="n"/>
      <c r="H1141" s="32" t="n"/>
      <c r="I1141" s="27">
        <f>IF($A1141="","",SUMIFS(入库单!$K$4:$K$2503,入库单!$G$4:$G$2503,$A1141,入库单!$X$4:$X$2503,"采购入库",入库单!$Z$4:$Z$2503,"正常",入库单!$C$4:$C$2503,"&gt;="&amp;账期起,入库单!$C$4:$C$2503,"&lt;="&amp;账期止))</f>
        <v/>
      </c>
      <c r="J1141" s="26">
        <f>IF($A1141="","",SUMIFS(入库单!$V$4:$V$2503,入库单!$G$4:$G$2503,$A1141,入库单!$X$4:$X$2503,"采购入库",入库单!$Z$4:$Z$2503,"正常",入库单!$C$4:$C$2503,"&gt;="&amp;账期起,入库单!$C$4:$C$2503,"&lt;="&amp;账期止))</f>
        <v/>
      </c>
      <c r="K1141" s="26">
        <f>IF($A1141="","",IFERROR(ROUND((N($H1141)+N($J1141))/(N($G1141)+N($I1141)),2),0))</f>
        <v/>
      </c>
      <c r="L1141" s="27">
        <f>IF($A1141="","",SUMIFS(入库单!$K$4:$K$2503,入库单!$G$4:$G$2503,$A1141,入库单!$X$4:$X$2503,"盘盈",入库单!$Z$4:$Z$2503,"正常",入库单!$C$4:$C$2503,"&gt;="&amp;账期起,入库单!$C$4:$C$2503,"&lt;="&amp;账期止))</f>
        <v/>
      </c>
      <c r="M1141" s="26">
        <f>IF($A1141="","",ROUND($L1141*$K1141,0))</f>
        <v/>
      </c>
      <c r="N1141" s="27">
        <f>IF($A1141="","",SUMIFS(入库单!$K$4:$K$2503,入库单!$G$4:$G$2503,$A1141,入库单!$X$4:$X$2503,"矿区退库",入库单!$Z$4:$Z$2503,"正常",入库单!$C$4:$C$2503,"&gt;="&amp;账期起,入库单!$C$4:$C$2503,"&lt;="&amp;账期止))</f>
        <v/>
      </c>
      <c r="O1141" s="26">
        <f>IF($A1141="","",ROUND($N1141*$K1141,0))</f>
        <v/>
      </c>
      <c r="P1141" s="27">
        <f>IF($A1141="","",SUMIFS(出库单!$J$4:$J$4003,出库单!$D$4:$D$4003,$A1141,出库单!$K$4:$K$4003,"自用消耗",出库单!$U$4:$U$4003,"正常",出库单!$C$4:$C$4003,"&gt;="&amp;账期起,出库单!$C$4:$C$4003,"&lt;="&amp;账期止))</f>
        <v/>
      </c>
      <c r="Q1141" s="26">
        <f>IF($A1141="","",ROUND(SUMIFS(出库单!$S$4:$S$4003,出库单!$D$4:$D$4003,$A1141,出库单!$K$4:$K$4003,"自用消耗",出库单!$U$4:$U$4003,"正常",出库单!$C$4:$C$4003,"&gt;="&amp;账期起,出库单!$C$4:$C$4003,"&lt;="&amp;账期止),0))</f>
        <v/>
      </c>
      <c r="R1141" s="27">
        <f>IF($A1141="","",SUMIFS(出库单!$J$4:$J$4003,出库单!$D$4:$D$4003,$A1141,出库单!$K$4:$K$4003,"对外销售",出库单!$U$4:$U$4003,"正常",出库单!$C$4:$C$4003,"&gt;="&amp;账期起,出库单!$C$4:$C$4003,"&lt;="&amp;账期止))</f>
        <v/>
      </c>
      <c r="S1141" s="26">
        <f>IF($A1141="","",ROUND(SUMIFS(出库单!$S$4:$S$4003,出库单!$D$4:$D$4003,$A1141,出库单!$K$4:$K$4003,"对外销售",出库单!$U$4:$U$4003,"正常",出库单!$C$4:$C$4003,"&gt;="&amp;账期起,出库单!$C$4:$C$4003,"&lt;="&amp;账期止),0))</f>
        <v/>
      </c>
      <c r="T1141" s="27">
        <f>IF($A1141="","",SUMIFS(出库单!$J$4:$J$4003,出库单!$D$4:$D$4003,$A1141,出库单!$K$4:$K$4003,"盘亏",出库单!$U$4:$U$4003,"正常",出库单!$C$4:$C$4003,"&gt;="&amp;账期起,出库单!$C$4:$C$4003,"&lt;="&amp;账期止))</f>
        <v/>
      </c>
      <c r="U1141" s="26">
        <f>IF($A1141="","",ROUND(SUMIFS(出库单!$S$4:$S$4003,出库单!$D$4:$D$4003,$A1141,出库单!$K$4:$K$4003,"盘亏",出库单!$U$4:$U$4003,"正常",出库单!$C$4:$C$4003,"&gt;="&amp;账期起,出库单!$C$4:$C$4003,"&lt;="&amp;账期止),0))</f>
        <v/>
      </c>
      <c r="V1141" s="27">
        <f>IF($A1141="","",SUMIFS(出库单!$J$4:$J$4003,出库单!$D$4:$D$4003,$A1141,出库单!$K$4:$K$4003,"退货给供应商",出库单!$U$4:$U$4003,"正常",出库单!$C$4:$C$4003,"&gt;="&amp;账期起,出库单!$C$4:$C$4003,"&lt;="&amp;账期止))</f>
        <v/>
      </c>
      <c r="W1141" s="26">
        <f>IF($A1141="","",ROUND(SUMIFS(出库单!$S$4:$S$4003,出库单!$D$4:$D$4003,$A1141,出库单!$K$4:$K$4003,"退货给供应商",出库单!$U$4:$U$4003,"正常",出库单!$C$4:$C$4003,"&gt;="&amp;账期起,出库单!$C$4:$C$4003,"&lt;="&amp;账期止),0))</f>
        <v/>
      </c>
      <c r="X1141" s="27">
        <f>IF($A1141="","",ROUND(N($G1141)+$I1141+$L1141+$N1141-$P1141-$R1141-$T1141-$V1141,3))</f>
        <v/>
      </c>
      <c r="Y1141" s="26">
        <f>IF($A1141="","",ROUND(N($H1141)+$J1141+$M1141+$O1141-$Q1141-$S1141-$U1141-$W1141,0))</f>
        <v/>
      </c>
      <c r="Z1141" s="24">
        <f>IF($A1141="","",IF(COUNTIFS(入库单!$G$4:$G$2503,$A1141,入库单!$Y$4:$Y$2503,"待补价")+COUNTIFS(入库单!$G$4:$G$2503,$A1141,入库单!$Y$4:$Y$2503,"暂估")&gt;0,"不可信","可信"))</f>
        <v/>
      </c>
      <c r="AA1141" s="24">
        <f>IF($A1141="","",IF($X1141&lt;-0.001,"※账面负库存，查一下是不是漏记入库",IF(AND(ROUND($X1141,3)=0,ABS($Y1141)&gt;1),"※数量已经是 0，金额还挂着 "&amp;TEXT($Y1141,"#,##0")&amp;" 先令",IF(AND($X1141&gt;0,$Y1141&lt;=0,$K1141=0),"※有数量没金额（这个物料一直没填过进价）",IF($Z1141="不可信","△成本含待补价/暂估，毛利仅供参考","")))))</f>
        <v/>
      </c>
    </row>
    <row r="1142">
      <c r="A1142" s="24">
        <f>IF(物料档案!$A1141="","",物料档案!$A1141)</f>
        <v/>
      </c>
      <c r="B1142" s="24">
        <f>IF($A1142="","",IFERROR(VLOOKUP($A1142,物料档案!$A$4:$P$1203,3,0),""))</f>
        <v/>
      </c>
      <c r="C1142" s="24">
        <f>IF($A1142="","",IFERROR(VLOOKUP($A1142,物料档案!$A$4:$P$1203,4,0),""))</f>
        <v/>
      </c>
      <c r="D1142" s="24">
        <f>IF($A1142="","",IFERROR(VLOOKUP($A1142,物料档案!$A$4:$P$1203,5,0),""))</f>
        <v/>
      </c>
      <c r="E1142" s="24">
        <f>IF($A1142="","",IFERROR(VLOOKUP($A1142,物料档案!$A$4:$P$1203,2,0),""))</f>
        <v/>
      </c>
      <c r="F1142" s="24">
        <f>IF($A1142="","",IFERROR(VLOOKUP($A1142,物料档案!$A$4:$P$1203,6,0),""))</f>
        <v/>
      </c>
      <c r="G1142" s="23" t="n"/>
      <c r="H1142" s="32" t="n"/>
      <c r="I1142" s="27">
        <f>IF($A1142="","",SUMIFS(入库单!$K$4:$K$2503,入库单!$G$4:$G$2503,$A1142,入库单!$X$4:$X$2503,"采购入库",入库单!$Z$4:$Z$2503,"正常",入库单!$C$4:$C$2503,"&gt;="&amp;账期起,入库单!$C$4:$C$2503,"&lt;="&amp;账期止))</f>
        <v/>
      </c>
      <c r="J1142" s="26">
        <f>IF($A1142="","",SUMIFS(入库单!$V$4:$V$2503,入库单!$G$4:$G$2503,$A1142,入库单!$X$4:$X$2503,"采购入库",入库单!$Z$4:$Z$2503,"正常",入库单!$C$4:$C$2503,"&gt;="&amp;账期起,入库单!$C$4:$C$2503,"&lt;="&amp;账期止))</f>
        <v/>
      </c>
      <c r="K1142" s="26">
        <f>IF($A1142="","",IFERROR(ROUND((N($H1142)+N($J1142))/(N($G1142)+N($I1142)),2),0))</f>
        <v/>
      </c>
      <c r="L1142" s="27">
        <f>IF($A1142="","",SUMIFS(入库单!$K$4:$K$2503,入库单!$G$4:$G$2503,$A1142,入库单!$X$4:$X$2503,"盘盈",入库单!$Z$4:$Z$2503,"正常",入库单!$C$4:$C$2503,"&gt;="&amp;账期起,入库单!$C$4:$C$2503,"&lt;="&amp;账期止))</f>
        <v/>
      </c>
      <c r="M1142" s="26">
        <f>IF($A1142="","",ROUND($L1142*$K1142,0))</f>
        <v/>
      </c>
      <c r="N1142" s="27">
        <f>IF($A1142="","",SUMIFS(入库单!$K$4:$K$2503,入库单!$G$4:$G$2503,$A1142,入库单!$X$4:$X$2503,"矿区退库",入库单!$Z$4:$Z$2503,"正常",入库单!$C$4:$C$2503,"&gt;="&amp;账期起,入库单!$C$4:$C$2503,"&lt;="&amp;账期止))</f>
        <v/>
      </c>
      <c r="O1142" s="26">
        <f>IF($A1142="","",ROUND($N1142*$K1142,0))</f>
        <v/>
      </c>
      <c r="P1142" s="27">
        <f>IF($A1142="","",SUMIFS(出库单!$J$4:$J$4003,出库单!$D$4:$D$4003,$A1142,出库单!$K$4:$K$4003,"自用消耗",出库单!$U$4:$U$4003,"正常",出库单!$C$4:$C$4003,"&gt;="&amp;账期起,出库单!$C$4:$C$4003,"&lt;="&amp;账期止))</f>
        <v/>
      </c>
      <c r="Q1142" s="26">
        <f>IF($A1142="","",ROUND(SUMIFS(出库单!$S$4:$S$4003,出库单!$D$4:$D$4003,$A1142,出库单!$K$4:$K$4003,"自用消耗",出库单!$U$4:$U$4003,"正常",出库单!$C$4:$C$4003,"&gt;="&amp;账期起,出库单!$C$4:$C$4003,"&lt;="&amp;账期止),0))</f>
        <v/>
      </c>
      <c r="R1142" s="27">
        <f>IF($A1142="","",SUMIFS(出库单!$J$4:$J$4003,出库单!$D$4:$D$4003,$A1142,出库单!$K$4:$K$4003,"对外销售",出库单!$U$4:$U$4003,"正常",出库单!$C$4:$C$4003,"&gt;="&amp;账期起,出库单!$C$4:$C$4003,"&lt;="&amp;账期止))</f>
        <v/>
      </c>
      <c r="S1142" s="26">
        <f>IF($A1142="","",ROUND(SUMIFS(出库单!$S$4:$S$4003,出库单!$D$4:$D$4003,$A1142,出库单!$K$4:$K$4003,"对外销售",出库单!$U$4:$U$4003,"正常",出库单!$C$4:$C$4003,"&gt;="&amp;账期起,出库单!$C$4:$C$4003,"&lt;="&amp;账期止),0))</f>
        <v/>
      </c>
      <c r="T1142" s="27">
        <f>IF($A1142="","",SUMIFS(出库单!$J$4:$J$4003,出库单!$D$4:$D$4003,$A1142,出库单!$K$4:$K$4003,"盘亏",出库单!$U$4:$U$4003,"正常",出库单!$C$4:$C$4003,"&gt;="&amp;账期起,出库单!$C$4:$C$4003,"&lt;="&amp;账期止))</f>
        <v/>
      </c>
      <c r="U1142" s="26">
        <f>IF($A1142="","",ROUND(SUMIFS(出库单!$S$4:$S$4003,出库单!$D$4:$D$4003,$A1142,出库单!$K$4:$K$4003,"盘亏",出库单!$U$4:$U$4003,"正常",出库单!$C$4:$C$4003,"&gt;="&amp;账期起,出库单!$C$4:$C$4003,"&lt;="&amp;账期止),0))</f>
        <v/>
      </c>
      <c r="V1142" s="27">
        <f>IF($A1142="","",SUMIFS(出库单!$J$4:$J$4003,出库单!$D$4:$D$4003,$A1142,出库单!$K$4:$K$4003,"退货给供应商",出库单!$U$4:$U$4003,"正常",出库单!$C$4:$C$4003,"&gt;="&amp;账期起,出库单!$C$4:$C$4003,"&lt;="&amp;账期止))</f>
        <v/>
      </c>
      <c r="W1142" s="26">
        <f>IF($A1142="","",ROUND(SUMIFS(出库单!$S$4:$S$4003,出库单!$D$4:$D$4003,$A1142,出库单!$K$4:$K$4003,"退货给供应商",出库单!$U$4:$U$4003,"正常",出库单!$C$4:$C$4003,"&gt;="&amp;账期起,出库单!$C$4:$C$4003,"&lt;="&amp;账期止),0))</f>
        <v/>
      </c>
      <c r="X1142" s="27">
        <f>IF($A1142="","",ROUND(N($G1142)+$I1142+$L1142+$N1142-$P1142-$R1142-$T1142-$V1142,3))</f>
        <v/>
      </c>
      <c r="Y1142" s="26">
        <f>IF($A1142="","",ROUND(N($H1142)+$J1142+$M1142+$O1142-$Q1142-$S1142-$U1142-$W1142,0))</f>
        <v/>
      </c>
      <c r="Z1142" s="24">
        <f>IF($A1142="","",IF(COUNTIFS(入库单!$G$4:$G$2503,$A1142,入库单!$Y$4:$Y$2503,"待补价")+COUNTIFS(入库单!$G$4:$G$2503,$A1142,入库单!$Y$4:$Y$2503,"暂估")&gt;0,"不可信","可信"))</f>
        <v/>
      </c>
      <c r="AA1142" s="24">
        <f>IF($A1142="","",IF($X1142&lt;-0.001,"※账面负库存，查一下是不是漏记入库",IF(AND(ROUND($X1142,3)=0,ABS($Y1142)&gt;1),"※数量已经是 0，金额还挂着 "&amp;TEXT($Y1142,"#,##0")&amp;" 先令",IF(AND($X1142&gt;0,$Y1142&lt;=0,$K1142=0),"※有数量没金额（这个物料一直没填过进价）",IF($Z1142="不可信","△成本含待补价/暂估，毛利仅供参考","")))))</f>
        <v/>
      </c>
    </row>
    <row r="1143">
      <c r="A1143" s="24">
        <f>IF(物料档案!$A1142="","",物料档案!$A1142)</f>
        <v/>
      </c>
      <c r="B1143" s="24">
        <f>IF($A1143="","",IFERROR(VLOOKUP($A1143,物料档案!$A$4:$P$1203,3,0),""))</f>
        <v/>
      </c>
      <c r="C1143" s="24">
        <f>IF($A1143="","",IFERROR(VLOOKUP($A1143,物料档案!$A$4:$P$1203,4,0),""))</f>
        <v/>
      </c>
      <c r="D1143" s="24">
        <f>IF($A1143="","",IFERROR(VLOOKUP($A1143,物料档案!$A$4:$P$1203,5,0),""))</f>
        <v/>
      </c>
      <c r="E1143" s="24">
        <f>IF($A1143="","",IFERROR(VLOOKUP($A1143,物料档案!$A$4:$P$1203,2,0),""))</f>
        <v/>
      </c>
      <c r="F1143" s="24">
        <f>IF($A1143="","",IFERROR(VLOOKUP($A1143,物料档案!$A$4:$P$1203,6,0),""))</f>
        <v/>
      </c>
      <c r="G1143" s="23" t="n"/>
      <c r="H1143" s="32" t="n"/>
      <c r="I1143" s="27">
        <f>IF($A1143="","",SUMIFS(入库单!$K$4:$K$2503,入库单!$G$4:$G$2503,$A1143,入库单!$X$4:$X$2503,"采购入库",入库单!$Z$4:$Z$2503,"正常",入库单!$C$4:$C$2503,"&gt;="&amp;账期起,入库单!$C$4:$C$2503,"&lt;="&amp;账期止))</f>
        <v/>
      </c>
      <c r="J1143" s="26">
        <f>IF($A1143="","",SUMIFS(入库单!$V$4:$V$2503,入库单!$G$4:$G$2503,$A1143,入库单!$X$4:$X$2503,"采购入库",入库单!$Z$4:$Z$2503,"正常",入库单!$C$4:$C$2503,"&gt;="&amp;账期起,入库单!$C$4:$C$2503,"&lt;="&amp;账期止))</f>
        <v/>
      </c>
      <c r="K1143" s="26">
        <f>IF($A1143="","",IFERROR(ROUND((N($H1143)+N($J1143))/(N($G1143)+N($I1143)),2),0))</f>
        <v/>
      </c>
      <c r="L1143" s="27">
        <f>IF($A1143="","",SUMIFS(入库单!$K$4:$K$2503,入库单!$G$4:$G$2503,$A1143,入库单!$X$4:$X$2503,"盘盈",入库单!$Z$4:$Z$2503,"正常",入库单!$C$4:$C$2503,"&gt;="&amp;账期起,入库单!$C$4:$C$2503,"&lt;="&amp;账期止))</f>
        <v/>
      </c>
      <c r="M1143" s="26">
        <f>IF($A1143="","",ROUND($L1143*$K1143,0))</f>
        <v/>
      </c>
      <c r="N1143" s="27">
        <f>IF($A1143="","",SUMIFS(入库单!$K$4:$K$2503,入库单!$G$4:$G$2503,$A1143,入库单!$X$4:$X$2503,"矿区退库",入库单!$Z$4:$Z$2503,"正常",入库单!$C$4:$C$2503,"&gt;="&amp;账期起,入库单!$C$4:$C$2503,"&lt;="&amp;账期止))</f>
        <v/>
      </c>
      <c r="O1143" s="26">
        <f>IF($A1143="","",ROUND($N1143*$K1143,0))</f>
        <v/>
      </c>
      <c r="P1143" s="27">
        <f>IF($A1143="","",SUMIFS(出库单!$J$4:$J$4003,出库单!$D$4:$D$4003,$A1143,出库单!$K$4:$K$4003,"自用消耗",出库单!$U$4:$U$4003,"正常",出库单!$C$4:$C$4003,"&gt;="&amp;账期起,出库单!$C$4:$C$4003,"&lt;="&amp;账期止))</f>
        <v/>
      </c>
      <c r="Q1143" s="26">
        <f>IF($A1143="","",ROUND(SUMIFS(出库单!$S$4:$S$4003,出库单!$D$4:$D$4003,$A1143,出库单!$K$4:$K$4003,"自用消耗",出库单!$U$4:$U$4003,"正常",出库单!$C$4:$C$4003,"&gt;="&amp;账期起,出库单!$C$4:$C$4003,"&lt;="&amp;账期止),0))</f>
        <v/>
      </c>
      <c r="R1143" s="27">
        <f>IF($A1143="","",SUMIFS(出库单!$J$4:$J$4003,出库单!$D$4:$D$4003,$A1143,出库单!$K$4:$K$4003,"对外销售",出库单!$U$4:$U$4003,"正常",出库单!$C$4:$C$4003,"&gt;="&amp;账期起,出库单!$C$4:$C$4003,"&lt;="&amp;账期止))</f>
        <v/>
      </c>
      <c r="S1143" s="26">
        <f>IF($A1143="","",ROUND(SUMIFS(出库单!$S$4:$S$4003,出库单!$D$4:$D$4003,$A1143,出库单!$K$4:$K$4003,"对外销售",出库单!$U$4:$U$4003,"正常",出库单!$C$4:$C$4003,"&gt;="&amp;账期起,出库单!$C$4:$C$4003,"&lt;="&amp;账期止),0))</f>
        <v/>
      </c>
      <c r="T1143" s="27">
        <f>IF($A1143="","",SUMIFS(出库单!$J$4:$J$4003,出库单!$D$4:$D$4003,$A1143,出库单!$K$4:$K$4003,"盘亏",出库单!$U$4:$U$4003,"正常",出库单!$C$4:$C$4003,"&gt;="&amp;账期起,出库单!$C$4:$C$4003,"&lt;="&amp;账期止))</f>
        <v/>
      </c>
      <c r="U1143" s="26">
        <f>IF($A1143="","",ROUND(SUMIFS(出库单!$S$4:$S$4003,出库单!$D$4:$D$4003,$A1143,出库单!$K$4:$K$4003,"盘亏",出库单!$U$4:$U$4003,"正常",出库单!$C$4:$C$4003,"&gt;="&amp;账期起,出库单!$C$4:$C$4003,"&lt;="&amp;账期止),0))</f>
        <v/>
      </c>
      <c r="V1143" s="27">
        <f>IF($A1143="","",SUMIFS(出库单!$J$4:$J$4003,出库单!$D$4:$D$4003,$A1143,出库单!$K$4:$K$4003,"退货给供应商",出库单!$U$4:$U$4003,"正常",出库单!$C$4:$C$4003,"&gt;="&amp;账期起,出库单!$C$4:$C$4003,"&lt;="&amp;账期止))</f>
        <v/>
      </c>
      <c r="W1143" s="26">
        <f>IF($A1143="","",ROUND(SUMIFS(出库单!$S$4:$S$4003,出库单!$D$4:$D$4003,$A1143,出库单!$K$4:$K$4003,"退货给供应商",出库单!$U$4:$U$4003,"正常",出库单!$C$4:$C$4003,"&gt;="&amp;账期起,出库单!$C$4:$C$4003,"&lt;="&amp;账期止),0))</f>
        <v/>
      </c>
      <c r="X1143" s="27">
        <f>IF($A1143="","",ROUND(N($G1143)+$I1143+$L1143+$N1143-$P1143-$R1143-$T1143-$V1143,3))</f>
        <v/>
      </c>
      <c r="Y1143" s="26">
        <f>IF($A1143="","",ROUND(N($H1143)+$J1143+$M1143+$O1143-$Q1143-$S1143-$U1143-$W1143,0))</f>
        <v/>
      </c>
      <c r="Z1143" s="24">
        <f>IF($A1143="","",IF(COUNTIFS(入库单!$G$4:$G$2503,$A1143,入库单!$Y$4:$Y$2503,"待补价")+COUNTIFS(入库单!$G$4:$G$2503,$A1143,入库单!$Y$4:$Y$2503,"暂估")&gt;0,"不可信","可信"))</f>
        <v/>
      </c>
      <c r="AA1143" s="24">
        <f>IF($A1143="","",IF($X1143&lt;-0.001,"※账面负库存，查一下是不是漏记入库",IF(AND(ROUND($X1143,3)=0,ABS($Y1143)&gt;1),"※数量已经是 0，金额还挂着 "&amp;TEXT($Y1143,"#,##0")&amp;" 先令",IF(AND($X1143&gt;0,$Y1143&lt;=0,$K1143=0),"※有数量没金额（这个物料一直没填过进价）",IF($Z1143="不可信","△成本含待补价/暂估，毛利仅供参考","")))))</f>
        <v/>
      </c>
    </row>
    <row r="1144">
      <c r="A1144" s="24">
        <f>IF(物料档案!$A1143="","",物料档案!$A1143)</f>
        <v/>
      </c>
      <c r="B1144" s="24">
        <f>IF($A1144="","",IFERROR(VLOOKUP($A1144,物料档案!$A$4:$P$1203,3,0),""))</f>
        <v/>
      </c>
      <c r="C1144" s="24">
        <f>IF($A1144="","",IFERROR(VLOOKUP($A1144,物料档案!$A$4:$P$1203,4,0),""))</f>
        <v/>
      </c>
      <c r="D1144" s="24">
        <f>IF($A1144="","",IFERROR(VLOOKUP($A1144,物料档案!$A$4:$P$1203,5,0),""))</f>
        <v/>
      </c>
      <c r="E1144" s="24">
        <f>IF($A1144="","",IFERROR(VLOOKUP($A1144,物料档案!$A$4:$P$1203,2,0),""))</f>
        <v/>
      </c>
      <c r="F1144" s="24">
        <f>IF($A1144="","",IFERROR(VLOOKUP($A1144,物料档案!$A$4:$P$1203,6,0),""))</f>
        <v/>
      </c>
      <c r="G1144" s="23" t="n"/>
      <c r="H1144" s="32" t="n"/>
      <c r="I1144" s="27">
        <f>IF($A1144="","",SUMIFS(入库单!$K$4:$K$2503,入库单!$G$4:$G$2503,$A1144,入库单!$X$4:$X$2503,"采购入库",入库单!$Z$4:$Z$2503,"正常",入库单!$C$4:$C$2503,"&gt;="&amp;账期起,入库单!$C$4:$C$2503,"&lt;="&amp;账期止))</f>
        <v/>
      </c>
      <c r="J1144" s="26">
        <f>IF($A1144="","",SUMIFS(入库单!$V$4:$V$2503,入库单!$G$4:$G$2503,$A1144,入库单!$X$4:$X$2503,"采购入库",入库单!$Z$4:$Z$2503,"正常",入库单!$C$4:$C$2503,"&gt;="&amp;账期起,入库单!$C$4:$C$2503,"&lt;="&amp;账期止))</f>
        <v/>
      </c>
      <c r="K1144" s="26">
        <f>IF($A1144="","",IFERROR(ROUND((N($H1144)+N($J1144))/(N($G1144)+N($I1144)),2),0))</f>
        <v/>
      </c>
      <c r="L1144" s="27">
        <f>IF($A1144="","",SUMIFS(入库单!$K$4:$K$2503,入库单!$G$4:$G$2503,$A1144,入库单!$X$4:$X$2503,"盘盈",入库单!$Z$4:$Z$2503,"正常",入库单!$C$4:$C$2503,"&gt;="&amp;账期起,入库单!$C$4:$C$2503,"&lt;="&amp;账期止))</f>
        <v/>
      </c>
      <c r="M1144" s="26">
        <f>IF($A1144="","",ROUND($L1144*$K1144,0))</f>
        <v/>
      </c>
      <c r="N1144" s="27">
        <f>IF($A1144="","",SUMIFS(入库单!$K$4:$K$2503,入库单!$G$4:$G$2503,$A1144,入库单!$X$4:$X$2503,"矿区退库",入库单!$Z$4:$Z$2503,"正常",入库单!$C$4:$C$2503,"&gt;="&amp;账期起,入库单!$C$4:$C$2503,"&lt;="&amp;账期止))</f>
        <v/>
      </c>
      <c r="O1144" s="26">
        <f>IF($A1144="","",ROUND($N1144*$K1144,0))</f>
        <v/>
      </c>
      <c r="P1144" s="27">
        <f>IF($A1144="","",SUMIFS(出库单!$J$4:$J$4003,出库单!$D$4:$D$4003,$A1144,出库单!$K$4:$K$4003,"自用消耗",出库单!$U$4:$U$4003,"正常",出库单!$C$4:$C$4003,"&gt;="&amp;账期起,出库单!$C$4:$C$4003,"&lt;="&amp;账期止))</f>
        <v/>
      </c>
      <c r="Q1144" s="26">
        <f>IF($A1144="","",ROUND(SUMIFS(出库单!$S$4:$S$4003,出库单!$D$4:$D$4003,$A1144,出库单!$K$4:$K$4003,"自用消耗",出库单!$U$4:$U$4003,"正常",出库单!$C$4:$C$4003,"&gt;="&amp;账期起,出库单!$C$4:$C$4003,"&lt;="&amp;账期止),0))</f>
        <v/>
      </c>
      <c r="R1144" s="27">
        <f>IF($A1144="","",SUMIFS(出库单!$J$4:$J$4003,出库单!$D$4:$D$4003,$A1144,出库单!$K$4:$K$4003,"对外销售",出库单!$U$4:$U$4003,"正常",出库单!$C$4:$C$4003,"&gt;="&amp;账期起,出库单!$C$4:$C$4003,"&lt;="&amp;账期止))</f>
        <v/>
      </c>
      <c r="S1144" s="26">
        <f>IF($A1144="","",ROUND(SUMIFS(出库单!$S$4:$S$4003,出库单!$D$4:$D$4003,$A1144,出库单!$K$4:$K$4003,"对外销售",出库单!$U$4:$U$4003,"正常",出库单!$C$4:$C$4003,"&gt;="&amp;账期起,出库单!$C$4:$C$4003,"&lt;="&amp;账期止),0))</f>
        <v/>
      </c>
      <c r="T1144" s="27">
        <f>IF($A1144="","",SUMIFS(出库单!$J$4:$J$4003,出库单!$D$4:$D$4003,$A1144,出库单!$K$4:$K$4003,"盘亏",出库单!$U$4:$U$4003,"正常",出库单!$C$4:$C$4003,"&gt;="&amp;账期起,出库单!$C$4:$C$4003,"&lt;="&amp;账期止))</f>
        <v/>
      </c>
      <c r="U1144" s="26">
        <f>IF($A1144="","",ROUND(SUMIFS(出库单!$S$4:$S$4003,出库单!$D$4:$D$4003,$A1144,出库单!$K$4:$K$4003,"盘亏",出库单!$U$4:$U$4003,"正常",出库单!$C$4:$C$4003,"&gt;="&amp;账期起,出库单!$C$4:$C$4003,"&lt;="&amp;账期止),0))</f>
        <v/>
      </c>
      <c r="V1144" s="27">
        <f>IF($A1144="","",SUMIFS(出库单!$J$4:$J$4003,出库单!$D$4:$D$4003,$A1144,出库单!$K$4:$K$4003,"退货给供应商",出库单!$U$4:$U$4003,"正常",出库单!$C$4:$C$4003,"&gt;="&amp;账期起,出库单!$C$4:$C$4003,"&lt;="&amp;账期止))</f>
        <v/>
      </c>
      <c r="W1144" s="26">
        <f>IF($A1144="","",ROUND(SUMIFS(出库单!$S$4:$S$4003,出库单!$D$4:$D$4003,$A1144,出库单!$K$4:$K$4003,"退货给供应商",出库单!$U$4:$U$4003,"正常",出库单!$C$4:$C$4003,"&gt;="&amp;账期起,出库单!$C$4:$C$4003,"&lt;="&amp;账期止),0))</f>
        <v/>
      </c>
      <c r="X1144" s="27">
        <f>IF($A1144="","",ROUND(N($G1144)+$I1144+$L1144+$N1144-$P1144-$R1144-$T1144-$V1144,3))</f>
        <v/>
      </c>
      <c r="Y1144" s="26">
        <f>IF($A1144="","",ROUND(N($H1144)+$J1144+$M1144+$O1144-$Q1144-$S1144-$U1144-$W1144,0))</f>
        <v/>
      </c>
      <c r="Z1144" s="24">
        <f>IF($A1144="","",IF(COUNTIFS(入库单!$G$4:$G$2503,$A1144,入库单!$Y$4:$Y$2503,"待补价")+COUNTIFS(入库单!$G$4:$G$2503,$A1144,入库单!$Y$4:$Y$2503,"暂估")&gt;0,"不可信","可信"))</f>
        <v/>
      </c>
      <c r="AA1144" s="24">
        <f>IF($A1144="","",IF($X1144&lt;-0.001,"※账面负库存，查一下是不是漏记入库",IF(AND(ROUND($X1144,3)=0,ABS($Y1144)&gt;1),"※数量已经是 0，金额还挂着 "&amp;TEXT($Y1144,"#,##0")&amp;" 先令",IF(AND($X1144&gt;0,$Y1144&lt;=0,$K1144=0),"※有数量没金额（这个物料一直没填过进价）",IF($Z1144="不可信","△成本含待补价/暂估，毛利仅供参考","")))))</f>
        <v/>
      </c>
    </row>
    <row r="1145">
      <c r="A1145" s="24">
        <f>IF(物料档案!$A1144="","",物料档案!$A1144)</f>
        <v/>
      </c>
      <c r="B1145" s="24">
        <f>IF($A1145="","",IFERROR(VLOOKUP($A1145,物料档案!$A$4:$P$1203,3,0),""))</f>
        <v/>
      </c>
      <c r="C1145" s="24">
        <f>IF($A1145="","",IFERROR(VLOOKUP($A1145,物料档案!$A$4:$P$1203,4,0),""))</f>
        <v/>
      </c>
      <c r="D1145" s="24">
        <f>IF($A1145="","",IFERROR(VLOOKUP($A1145,物料档案!$A$4:$P$1203,5,0),""))</f>
        <v/>
      </c>
      <c r="E1145" s="24">
        <f>IF($A1145="","",IFERROR(VLOOKUP($A1145,物料档案!$A$4:$P$1203,2,0),""))</f>
        <v/>
      </c>
      <c r="F1145" s="24">
        <f>IF($A1145="","",IFERROR(VLOOKUP($A1145,物料档案!$A$4:$P$1203,6,0),""))</f>
        <v/>
      </c>
      <c r="G1145" s="23" t="n"/>
      <c r="H1145" s="32" t="n"/>
      <c r="I1145" s="27">
        <f>IF($A1145="","",SUMIFS(入库单!$K$4:$K$2503,入库单!$G$4:$G$2503,$A1145,入库单!$X$4:$X$2503,"采购入库",入库单!$Z$4:$Z$2503,"正常",入库单!$C$4:$C$2503,"&gt;="&amp;账期起,入库单!$C$4:$C$2503,"&lt;="&amp;账期止))</f>
        <v/>
      </c>
      <c r="J1145" s="26">
        <f>IF($A1145="","",SUMIFS(入库单!$V$4:$V$2503,入库单!$G$4:$G$2503,$A1145,入库单!$X$4:$X$2503,"采购入库",入库单!$Z$4:$Z$2503,"正常",入库单!$C$4:$C$2503,"&gt;="&amp;账期起,入库单!$C$4:$C$2503,"&lt;="&amp;账期止))</f>
        <v/>
      </c>
      <c r="K1145" s="26">
        <f>IF($A1145="","",IFERROR(ROUND((N($H1145)+N($J1145))/(N($G1145)+N($I1145)),2),0))</f>
        <v/>
      </c>
      <c r="L1145" s="27">
        <f>IF($A1145="","",SUMIFS(入库单!$K$4:$K$2503,入库单!$G$4:$G$2503,$A1145,入库单!$X$4:$X$2503,"盘盈",入库单!$Z$4:$Z$2503,"正常",入库单!$C$4:$C$2503,"&gt;="&amp;账期起,入库单!$C$4:$C$2503,"&lt;="&amp;账期止))</f>
        <v/>
      </c>
      <c r="M1145" s="26">
        <f>IF($A1145="","",ROUND($L1145*$K1145,0))</f>
        <v/>
      </c>
      <c r="N1145" s="27">
        <f>IF($A1145="","",SUMIFS(入库单!$K$4:$K$2503,入库单!$G$4:$G$2503,$A1145,入库单!$X$4:$X$2503,"矿区退库",入库单!$Z$4:$Z$2503,"正常",入库单!$C$4:$C$2503,"&gt;="&amp;账期起,入库单!$C$4:$C$2503,"&lt;="&amp;账期止))</f>
        <v/>
      </c>
      <c r="O1145" s="26">
        <f>IF($A1145="","",ROUND($N1145*$K1145,0))</f>
        <v/>
      </c>
      <c r="P1145" s="27">
        <f>IF($A1145="","",SUMIFS(出库单!$J$4:$J$4003,出库单!$D$4:$D$4003,$A1145,出库单!$K$4:$K$4003,"自用消耗",出库单!$U$4:$U$4003,"正常",出库单!$C$4:$C$4003,"&gt;="&amp;账期起,出库单!$C$4:$C$4003,"&lt;="&amp;账期止))</f>
        <v/>
      </c>
      <c r="Q1145" s="26">
        <f>IF($A1145="","",ROUND(SUMIFS(出库单!$S$4:$S$4003,出库单!$D$4:$D$4003,$A1145,出库单!$K$4:$K$4003,"自用消耗",出库单!$U$4:$U$4003,"正常",出库单!$C$4:$C$4003,"&gt;="&amp;账期起,出库单!$C$4:$C$4003,"&lt;="&amp;账期止),0))</f>
        <v/>
      </c>
      <c r="R1145" s="27">
        <f>IF($A1145="","",SUMIFS(出库单!$J$4:$J$4003,出库单!$D$4:$D$4003,$A1145,出库单!$K$4:$K$4003,"对外销售",出库单!$U$4:$U$4003,"正常",出库单!$C$4:$C$4003,"&gt;="&amp;账期起,出库单!$C$4:$C$4003,"&lt;="&amp;账期止))</f>
        <v/>
      </c>
      <c r="S1145" s="26">
        <f>IF($A1145="","",ROUND(SUMIFS(出库单!$S$4:$S$4003,出库单!$D$4:$D$4003,$A1145,出库单!$K$4:$K$4003,"对外销售",出库单!$U$4:$U$4003,"正常",出库单!$C$4:$C$4003,"&gt;="&amp;账期起,出库单!$C$4:$C$4003,"&lt;="&amp;账期止),0))</f>
        <v/>
      </c>
      <c r="T1145" s="27">
        <f>IF($A1145="","",SUMIFS(出库单!$J$4:$J$4003,出库单!$D$4:$D$4003,$A1145,出库单!$K$4:$K$4003,"盘亏",出库单!$U$4:$U$4003,"正常",出库单!$C$4:$C$4003,"&gt;="&amp;账期起,出库单!$C$4:$C$4003,"&lt;="&amp;账期止))</f>
        <v/>
      </c>
      <c r="U1145" s="26">
        <f>IF($A1145="","",ROUND(SUMIFS(出库单!$S$4:$S$4003,出库单!$D$4:$D$4003,$A1145,出库单!$K$4:$K$4003,"盘亏",出库单!$U$4:$U$4003,"正常",出库单!$C$4:$C$4003,"&gt;="&amp;账期起,出库单!$C$4:$C$4003,"&lt;="&amp;账期止),0))</f>
        <v/>
      </c>
      <c r="V1145" s="27">
        <f>IF($A1145="","",SUMIFS(出库单!$J$4:$J$4003,出库单!$D$4:$D$4003,$A1145,出库单!$K$4:$K$4003,"退货给供应商",出库单!$U$4:$U$4003,"正常",出库单!$C$4:$C$4003,"&gt;="&amp;账期起,出库单!$C$4:$C$4003,"&lt;="&amp;账期止))</f>
        <v/>
      </c>
      <c r="W1145" s="26">
        <f>IF($A1145="","",ROUND(SUMIFS(出库单!$S$4:$S$4003,出库单!$D$4:$D$4003,$A1145,出库单!$K$4:$K$4003,"退货给供应商",出库单!$U$4:$U$4003,"正常",出库单!$C$4:$C$4003,"&gt;="&amp;账期起,出库单!$C$4:$C$4003,"&lt;="&amp;账期止),0))</f>
        <v/>
      </c>
      <c r="X1145" s="27">
        <f>IF($A1145="","",ROUND(N($G1145)+$I1145+$L1145+$N1145-$P1145-$R1145-$T1145-$V1145,3))</f>
        <v/>
      </c>
      <c r="Y1145" s="26">
        <f>IF($A1145="","",ROUND(N($H1145)+$J1145+$M1145+$O1145-$Q1145-$S1145-$U1145-$W1145,0))</f>
        <v/>
      </c>
      <c r="Z1145" s="24">
        <f>IF($A1145="","",IF(COUNTIFS(入库单!$G$4:$G$2503,$A1145,入库单!$Y$4:$Y$2503,"待补价")+COUNTIFS(入库单!$G$4:$G$2503,$A1145,入库单!$Y$4:$Y$2503,"暂估")&gt;0,"不可信","可信"))</f>
        <v/>
      </c>
      <c r="AA1145" s="24">
        <f>IF($A1145="","",IF($X1145&lt;-0.001,"※账面负库存，查一下是不是漏记入库",IF(AND(ROUND($X1145,3)=0,ABS($Y1145)&gt;1),"※数量已经是 0，金额还挂着 "&amp;TEXT($Y1145,"#,##0")&amp;" 先令",IF(AND($X1145&gt;0,$Y1145&lt;=0,$K1145=0),"※有数量没金额（这个物料一直没填过进价）",IF($Z1145="不可信","△成本含待补价/暂估，毛利仅供参考","")))))</f>
        <v/>
      </c>
    </row>
    <row r="1146">
      <c r="A1146" s="24">
        <f>IF(物料档案!$A1145="","",物料档案!$A1145)</f>
        <v/>
      </c>
      <c r="B1146" s="24">
        <f>IF($A1146="","",IFERROR(VLOOKUP($A1146,物料档案!$A$4:$P$1203,3,0),""))</f>
        <v/>
      </c>
      <c r="C1146" s="24">
        <f>IF($A1146="","",IFERROR(VLOOKUP($A1146,物料档案!$A$4:$P$1203,4,0),""))</f>
        <v/>
      </c>
      <c r="D1146" s="24">
        <f>IF($A1146="","",IFERROR(VLOOKUP($A1146,物料档案!$A$4:$P$1203,5,0),""))</f>
        <v/>
      </c>
      <c r="E1146" s="24">
        <f>IF($A1146="","",IFERROR(VLOOKUP($A1146,物料档案!$A$4:$P$1203,2,0),""))</f>
        <v/>
      </c>
      <c r="F1146" s="24">
        <f>IF($A1146="","",IFERROR(VLOOKUP($A1146,物料档案!$A$4:$P$1203,6,0),""))</f>
        <v/>
      </c>
      <c r="G1146" s="23" t="n"/>
      <c r="H1146" s="32" t="n"/>
      <c r="I1146" s="27">
        <f>IF($A1146="","",SUMIFS(入库单!$K$4:$K$2503,入库单!$G$4:$G$2503,$A1146,入库单!$X$4:$X$2503,"采购入库",入库单!$Z$4:$Z$2503,"正常",入库单!$C$4:$C$2503,"&gt;="&amp;账期起,入库单!$C$4:$C$2503,"&lt;="&amp;账期止))</f>
        <v/>
      </c>
      <c r="J1146" s="26">
        <f>IF($A1146="","",SUMIFS(入库单!$V$4:$V$2503,入库单!$G$4:$G$2503,$A1146,入库单!$X$4:$X$2503,"采购入库",入库单!$Z$4:$Z$2503,"正常",入库单!$C$4:$C$2503,"&gt;="&amp;账期起,入库单!$C$4:$C$2503,"&lt;="&amp;账期止))</f>
        <v/>
      </c>
      <c r="K1146" s="26">
        <f>IF($A1146="","",IFERROR(ROUND((N($H1146)+N($J1146))/(N($G1146)+N($I1146)),2),0))</f>
        <v/>
      </c>
      <c r="L1146" s="27">
        <f>IF($A1146="","",SUMIFS(入库单!$K$4:$K$2503,入库单!$G$4:$G$2503,$A1146,入库单!$X$4:$X$2503,"盘盈",入库单!$Z$4:$Z$2503,"正常",入库单!$C$4:$C$2503,"&gt;="&amp;账期起,入库单!$C$4:$C$2503,"&lt;="&amp;账期止))</f>
        <v/>
      </c>
      <c r="M1146" s="26">
        <f>IF($A1146="","",ROUND($L1146*$K1146,0))</f>
        <v/>
      </c>
      <c r="N1146" s="27">
        <f>IF($A1146="","",SUMIFS(入库单!$K$4:$K$2503,入库单!$G$4:$G$2503,$A1146,入库单!$X$4:$X$2503,"矿区退库",入库单!$Z$4:$Z$2503,"正常",入库单!$C$4:$C$2503,"&gt;="&amp;账期起,入库单!$C$4:$C$2503,"&lt;="&amp;账期止))</f>
        <v/>
      </c>
      <c r="O1146" s="26">
        <f>IF($A1146="","",ROUND($N1146*$K1146,0))</f>
        <v/>
      </c>
      <c r="P1146" s="27">
        <f>IF($A1146="","",SUMIFS(出库单!$J$4:$J$4003,出库单!$D$4:$D$4003,$A1146,出库单!$K$4:$K$4003,"自用消耗",出库单!$U$4:$U$4003,"正常",出库单!$C$4:$C$4003,"&gt;="&amp;账期起,出库单!$C$4:$C$4003,"&lt;="&amp;账期止))</f>
        <v/>
      </c>
      <c r="Q1146" s="26">
        <f>IF($A1146="","",ROUND(SUMIFS(出库单!$S$4:$S$4003,出库单!$D$4:$D$4003,$A1146,出库单!$K$4:$K$4003,"自用消耗",出库单!$U$4:$U$4003,"正常",出库单!$C$4:$C$4003,"&gt;="&amp;账期起,出库单!$C$4:$C$4003,"&lt;="&amp;账期止),0))</f>
        <v/>
      </c>
      <c r="R1146" s="27">
        <f>IF($A1146="","",SUMIFS(出库单!$J$4:$J$4003,出库单!$D$4:$D$4003,$A1146,出库单!$K$4:$K$4003,"对外销售",出库单!$U$4:$U$4003,"正常",出库单!$C$4:$C$4003,"&gt;="&amp;账期起,出库单!$C$4:$C$4003,"&lt;="&amp;账期止))</f>
        <v/>
      </c>
      <c r="S1146" s="26">
        <f>IF($A1146="","",ROUND(SUMIFS(出库单!$S$4:$S$4003,出库单!$D$4:$D$4003,$A1146,出库单!$K$4:$K$4003,"对外销售",出库单!$U$4:$U$4003,"正常",出库单!$C$4:$C$4003,"&gt;="&amp;账期起,出库单!$C$4:$C$4003,"&lt;="&amp;账期止),0))</f>
        <v/>
      </c>
      <c r="T1146" s="27">
        <f>IF($A1146="","",SUMIFS(出库单!$J$4:$J$4003,出库单!$D$4:$D$4003,$A1146,出库单!$K$4:$K$4003,"盘亏",出库单!$U$4:$U$4003,"正常",出库单!$C$4:$C$4003,"&gt;="&amp;账期起,出库单!$C$4:$C$4003,"&lt;="&amp;账期止))</f>
        <v/>
      </c>
      <c r="U1146" s="26">
        <f>IF($A1146="","",ROUND(SUMIFS(出库单!$S$4:$S$4003,出库单!$D$4:$D$4003,$A1146,出库单!$K$4:$K$4003,"盘亏",出库单!$U$4:$U$4003,"正常",出库单!$C$4:$C$4003,"&gt;="&amp;账期起,出库单!$C$4:$C$4003,"&lt;="&amp;账期止),0))</f>
        <v/>
      </c>
      <c r="V1146" s="27">
        <f>IF($A1146="","",SUMIFS(出库单!$J$4:$J$4003,出库单!$D$4:$D$4003,$A1146,出库单!$K$4:$K$4003,"退货给供应商",出库单!$U$4:$U$4003,"正常",出库单!$C$4:$C$4003,"&gt;="&amp;账期起,出库单!$C$4:$C$4003,"&lt;="&amp;账期止))</f>
        <v/>
      </c>
      <c r="W1146" s="26">
        <f>IF($A1146="","",ROUND(SUMIFS(出库单!$S$4:$S$4003,出库单!$D$4:$D$4003,$A1146,出库单!$K$4:$K$4003,"退货给供应商",出库单!$U$4:$U$4003,"正常",出库单!$C$4:$C$4003,"&gt;="&amp;账期起,出库单!$C$4:$C$4003,"&lt;="&amp;账期止),0))</f>
        <v/>
      </c>
      <c r="X1146" s="27">
        <f>IF($A1146="","",ROUND(N($G1146)+$I1146+$L1146+$N1146-$P1146-$R1146-$T1146-$V1146,3))</f>
        <v/>
      </c>
      <c r="Y1146" s="26">
        <f>IF($A1146="","",ROUND(N($H1146)+$J1146+$M1146+$O1146-$Q1146-$S1146-$U1146-$W1146,0))</f>
        <v/>
      </c>
      <c r="Z1146" s="24">
        <f>IF($A1146="","",IF(COUNTIFS(入库单!$G$4:$G$2503,$A1146,入库单!$Y$4:$Y$2503,"待补价")+COUNTIFS(入库单!$G$4:$G$2503,$A1146,入库单!$Y$4:$Y$2503,"暂估")&gt;0,"不可信","可信"))</f>
        <v/>
      </c>
      <c r="AA1146" s="24">
        <f>IF($A1146="","",IF($X1146&lt;-0.001,"※账面负库存，查一下是不是漏记入库",IF(AND(ROUND($X1146,3)=0,ABS($Y1146)&gt;1),"※数量已经是 0，金额还挂着 "&amp;TEXT($Y1146,"#,##0")&amp;" 先令",IF(AND($X1146&gt;0,$Y1146&lt;=0,$K1146=0),"※有数量没金额（这个物料一直没填过进价）",IF($Z1146="不可信","△成本含待补价/暂估，毛利仅供参考","")))))</f>
        <v/>
      </c>
    </row>
    <row r="1147">
      <c r="A1147" s="24">
        <f>IF(物料档案!$A1146="","",物料档案!$A1146)</f>
        <v/>
      </c>
      <c r="B1147" s="24">
        <f>IF($A1147="","",IFERROR(VLOOKUP($A1147,物料档案!$A$4:$P$1203,3,0),""))</f>
        <v/>
      </c>
      <c r="C1147" s="24">
        <f>IF($A1147="","",IFERROR(VLOOKUP($A1147,物料档案!$A$4:$P$1203,4,0),""))</f>
        <v/>
      </c>
      <c r="D1147" s="24">
        <f>IF($A1147="","",IFERROR(VLOOKUP($A1147,物料档案!$A$4:$P$1203,5,0),""))</f>
        <v/>
      </c>
      <c r="E1147" s="24">
        <f>IF($A1147="","",IFERROR(VLOOKUP($A1147,物料档案!$A$4:$P$1203,2,0),""))</f>
        <v/>
      </c>
      <c r="F1147" s="24">
        <f>IF($A1147="","",IFERROR(VLOOKUP($A1147,物料档案!$A$4:$P$1203,6,0),""))</f>
        <v/>
      </c>
      <c r="G1147" s="23" t="n"/>
      <c r="H1147" s="32" t="n"/>
      <c r="I1147" s="27">
        <f>IF($A1147="","",SUMIFS(入库单!$K$4:$K$2503,入库单!$G$4:$G$2503,$A1147,入库单!$X$4:$X$2503,"采购入库",入库单!$Z$4:$Z$2503,"正常",入库单!$C$4:$C$2503,"&gt;="&amp;账期起,入库单!$C$4:$C$2503,"&lt;="&amp;账期止))</f>
        <v/>
      </c>
      <c r="J1147" s="26">
        <f>IF($A1147="","",SUMIFS(入库单!$V$4:$V$2503,入库单!$G$4:$G$2503,$A1147,入库单!$X$4:$X$2503,"采购入库",入库单!$Z$4:$Z$2503,"正常",入库单!$C$4:$C$2503,"&gt;="&amp;账期起,入库单!$C$4:$C$2503,"&lt;="&amp;账期止))</f>
        <v/>
      </c>
      <c r="K1147" s="26">
        <f>IF($A1147="","",IFERROR(ROUND((N($H1147)+N($J1147))/(N($G1147)+N($I1147)),2),0))</f>
        <v/>
      </c>
      <c r="L1147" s="27">
        <f>IF($A1147="","",SUMIFS(入库单!$K$4:$K$2503,入库单!$G$4:$G$2503,$A1147,入库单!$X$4:$X$2503,"盘盈",入库单!$Z$4:$Z$2503,"正常",入库单!$C$4:$C$2503,"&gt;="&amp;账期起,入库单!$C$4:$C$2503,"&lt;="&amp;账期止))</f>
        <v/>
      </c>
      <c r="M1147" s="26">
        <f>IF($A1147="","",ROUND($L1147*$K1147,0))</f>
        <v/>
      </c>
      <c r="N1147" s="27">
        <f>IF($A1147="","",SUMIFS(入库单!$K$4:$K$2503,入库单!$G$4:$G$2503,$A1147,入库单!$X$4:$X$2503,"矿区退库",入库单!$Z$4:$Z$2503,"正常",入库单!$C$4:$C$2503,"&gt;="&amp;账期起,入库单!$C$4:$C$2503,"&lt;="&amp;账期止))</f>
        <v/>
      </c>
      <c r="O1147" s="26">
        <f>IF($A1147="","",ROUND($N1147*$K1147,0))</f>
        <v/>
      </c>
      <c r="P1147" s="27">
        <f>IF($A1147="","",SUMIFS(出库单!$J$4:$J$4003,出库单!$D$4:$D$4003,$A1147,出库单!$K$4:$K$4003,"自用消耗",出库单!$U$4:$U$4003,"正常",出库单!$C$4:$C$4003,"&gt;="&amp;账期起,出库单!$C$4:$C$4003,"&lt;="&amp;账期止))</f>
        <v/>
      </c>
      <c r="Q1147" s="26">
        <f>IF($A1147="","",ROUND(SUMIFS(出库单!$S$4:$S$4003,出库单!$D$4:$D$4003,$A1147,出库单!$K$4:$K$4003,"自用消耗",出库单!$U$4:$U$4003,"正常",出库单!$C$4:$C$4003,"&gt;="&amp;账期起,出库单!$C$4:$C$4003,"&lt;="&amp;账期止),0))</f>
        <v/>
      </c>
      <c r="R1147" s="27">
        <f>IF($A1147="","",SUMIFS(出库单!$J$4:$J$4003,出库单!$D$4:$D$4003,$A1147,出库单!$K$4:$K$4003,"对外销售",出库单!$U$4:$U$4003,"正常",出库单!$C$4:$C$4003,"&gt;="&amp;账期起,出库单!$C$4:$C$4003,"&lt;="&amp;账期止))</f>
        <v/>
      </c>
      <c r="S1147" s="26">
        <f>IF($A1147="","",ROUND(SUMIFS(出库单!$S$4:$S$4003,出库单!$D$4:$D$4003,$A1147,出库单!$K$4:$K$4003,"对外销售",出库单!$U$4:$U$4003,"正常",出库单!$C$4:$C$4003,"&gt;="&amp;账期起,出库单!$C$4:$C$4003,"&lt;="&amp;账期止),0))</f>
        <v/>
      </c>
      <c r="T1147" s="27">
        <f>IF($A1147="","",SUMIFS(出库单!$J$4:$J$4003,出库单!$D$4:$D$4003,$A1147,出库单!$K$4:$K$4003,"盘亏",出库单!$U$4:$U$4003,"正常",出库单!$C$4:$C$4003,"&gt;="&amp;账期起,出库单!$C$4:$C$4003,"&lt;="&amp;账期止))</f>
        <v/>
      </c>
      <c r="U1147" s="26">
        <f>IF($A1147="","",ROUND(SUMIFS(出库单!$S$4:$S$4003,出库单!$D$4:$D$4003,$A1147,出库单!$K$4:$K$4003,"盘亏",出库单!$U$4:$U$4003,"正常",出库单!$C$4:$C$4003,"&gt;="&amp;账期起,出库单!$C$4:$C$4003,"&lt;="&amp;账期止),0))</f>
        <v/>
      </c>
      <c r="V1147" s="27">
        <f>IF($A1147="","",SUMIFS(出库单!$J$4:$J$4003,出库单!$D$4:$D$4003,$A1147,出库单!$K$4:$K$4003,"退货给供应商",出库单!$U$4:$U$4003,"正常",出库单!$C$4:$C$4003,"&gt;="&amp;账期起,出库单!$C$4:$C$4003,"&lt;="&amp;账期止))</f>
        <v/>
      </c>
      <c r="W1147" s="26">
        <f>IF($A1147="","",ROUND(SUMIFS(出库单!$S$4:$S$4003,出库单!$D$4:$D$4003,$A1147,出库单!$K$4:$K$4003,"退货给供应商",出库单!$U$4:$U$4003,"正常",出库单!$C$4:$C$4003,"&gt;="&amp;账期起,出库单!$C$4:$C$4003,"&lt;="&amp;账期止),0))</f>
        <v/>
      </c>
      <c r="X1147" s="27">
        <f>IF($A1147="","",ROUND(N($G1147)+$I1147+$L1147+$N1147-$P1147-$R1147-$T1147-$V1147,3))</f>
        <v/>
      </c>
      <c r="Y1147" s="26">
        <f>IF($A1147="","",ROUND(N($H1147)+$J1147+$M1147+$O1147-$Q1147-$S1147-$U1147-$W1147,0))</f>
        <v/>
      </c>
      <c r="Z1147" s="24">
        <f>IF($A1147="","",IF(COUNTIFS(入库单!$G$4:$G$2503,$A1147,入库单!$Y$4:$Y$2503,"待补价")+COUNTIFS(入库单!$G$4:$G$2503,$A1147,入库单!$Y$4:$Y$2503,"暂估")&gt;0,"不可信","可信"))</f>
        <v/>
      </c>
      <c r="AA1147" s="24">
        <f>IF($A1147="","",IF($X1147&lt;-0.001,"※账面负库存，查一下是不是漏记入库",IF(AND(ROUND($X1147,3)=0,ABS($Y1147)&gt;1),"※数量已经是 0，金额还挂着 "&amp;TEXT($Y1147,"#,##0")&amp;" 先令",IF(AND($X1147&gt;0,$Y1147&lt;=0,$K1147=0),"※有数量没金额（这个物料一直没填过进价）",IF($Z1147="不可信","△成本含待补价/暂估，毛利仅供参考","")))))</f>
        <v/>
      </c>
    </row>
    <row r="1148">
      <c r="A1148" s="24">
        <f>IF(物料档案!$A1147="","",物料档案!$A1147)</f>
        <v/>
      </c>
      <c r="B1148" s="24">
        <f>IF($A1148="","",IFERROR(VLOOKUP($A1148,物料档案!$A$4:$P$1203,3,0),""))</f>
        <v/>
      </c>
      <c r="C1148" s="24">
        <f>IF($A1148="","",IFERROR(VLOOKUP($A1148,物料档案!$A$4:$P$1203,4,0),""))</f>
        <v/>
      </c>
      <c r="D1148" s="24">
        <f>IF($A1148="","",IFERROR(VLOOKUP($A1148,物料档案!$A$4:$P$1203,5,0),""))</f>
        <v/>
      </c>
      <c r="E1148" s="24">
        <f>IF($A1148="","",IFERROR(VLOOKUP($A1148,物料档案!$A$4:$P$1203,2,0),""))</f>
        <v/>
      </c>
      <c r="F1148" s="24">
        <f>IF($A1148="","",IFERROR(VLOOKUP($A1148,物料档案!$A$4:$P$1203,6,0),""))</f>
        <v/>
      </c>
      <c r="G1148" s="23" t="n"/>
      <c r="H1148" s="32" t="n"/>
      <c r="I1148" s="27">
        <f>IF($A1148="","",SUMIFS(入库单!$K$4:$K$2503,入库单!$G$4:$G$2503,$A1148,入库单!$X$4:$X$2503,"采购入库",入库单!$Z$4:$Z$2503,"正常",入库单!$C$4:$C$2503,"&gt;="&amp;账期起,入库单!$C$4:$C$2503,"&lt;="&amp;账期止))</f>
        <v/>
      </c>
      <c r="J1148" s="26">
        <f>IF($A1148="","",SUMIFS(入库单!$V$4:$V$2503,入库单!$G$4:$G$2503,$A1148,入库单!$X$4:$X$2503,"采购入库",入库单!$Z$4:$Z$2503,"正常",入库单!$C$4:$C$2503,"&gt;="&amp;账期起,入库单!$C$4:$C$2503,"&lt;="&amp;账期止))</f>
        <v/>
      </c>
      <c r="K1148" s="26">
        <f>IF($A1148="","",IFERROR(ROUND((N($H1148)+N($J1148))/(N($G1148)+N($I1148)),2),0))</f>
        <v/>
      </c>
      <c r="L1148" s="27">
        <f>IF($A1148="","",SUMIFS(入库单!$K$4:$K$2503,入库单!$G$4:$G$2503,$A1148,入库单!$X$4:$X$2503,"盘盈",入库单!$Z$4:$Z$2503,"正常",入库单!$C$4:$C$2503,"&gt;="&amp;账期起,入库单!$C$4:$C$2503,"&lt;="&amp;账期止))</f>
        <v/>
      </c>
      <c r="M1148" s="26">
        <f>IF($A1148="","",ROUND($L1148*$K1148,0))</f>
        <v/>
      </c>
      <c r="N1148" s="27">
        <f>IF($A1148="","",SUMIFS(入库单!$K$4:$K$2503,入库单!$G$4:$G$2503,$A1148,入库单!$X$4:$X$2503,"矿区退库",入库单!$Z$4:$Z$2503,"正常",入库单!$C$4:$C$2503,"&gt;="&amp;账期起,入库单!$C$4:$C$2503,"&lt;="&amp;账期止))</f>
        <v/>
      </c>
      <c r="O1148" s="26">
        <f>IF($A1148="","",ROUND($N1148*$K1148,0))</f>
        <v/>
      </c>
      <c r="P1148" s="27">
        <f>IF($A1148="","",SUMIFS(出库单!$J$4:$J$4003,出库单!$D$4:$D$4003,$A1148,出库单!$K$4:$K$4003,"自用消耗",出库单!$U$4:$U$4003,"正常",出库单!$C$4:$C$4003,"&gt;="&amp;账期起,出库单!$C$4:$C$4003,"&lt;="&amp;账期止))</f>
        <v/>
      </c>
      <c r="Q1148" s="26">
        <f>IF($A1148="","",ROUND(SUMIFS(出库单!$S$4:$S$4003,出库单!$D$4:$D$4003,$A1148,出库单!$K$4:$K$4003,"自用消耗",出库单!$U$4:$U$4003,"正常",出库单!$C$4:$C$4003,"&gt;="&amp;账期起,出库单!$C$4:$C$4003,"&lt;="&amp;账期止),0))</f>
        <v/>
      </c>
      <c r="R1148" s="27">
        <f>IF($A1148="","",SUMIFS(出库单!$J$4:$J$4003,出库单!$D$4:$D$4003,$A1148,出库单!$K$4:$K$4003,"对外销售",出库单!$U$4:$U$4003,"正常",出库单!$C$4:$C$4003,"&gt;="&amp;账期起,出库单!$C$4:$C$4003,"&lt;="&amp;账期止))</f>
        <v/>
      </c>
      <c r="S1148" s="26">
        <f>IF($A1148="","",ROUND(SUMIFS(出库单!$S$4:$S$4003,出库单!$D$4:$D$4003,$A1148,出库单!$K$4:$K$4003,"对外销售",出库单!$U$4:$U$4003,"正常",出库单!$C$4:$C$4003,"&gt;="&amp;账期起,出库单!$C$4:$C$4003,"&lt;="&amp;账期止),0))</f>
        <v/>
      </c>
      <c r="T1148" s="27">
        <f>IF($A1148="","",SUMIFS(出库单!$J$4:$J$4003,出库单!$D$4:$D$4003,$A1148,出库单!$K$4:$K$4003,"盘亏",出库单!$U$4:$U$4003,"正常",出库单!$C$4:$C$4003,"&gt;="&amp;账期起,出库单!$C$4:$C$4003,"&lt;="&amp;账期止))</f>
        <v/>
      </c>
      <c r="U1148" s="26">
        <f>IF($A1148="","",ROUND(SUMIFS(出库单!$S$4:$S$4003,出库单!$D$4:$D$4003,$A1148,出库单!$K$4:$K$4003,"盘亏",出库单!$U$4:$U$4003,"正常",出库单!$C$4:$C$4003,"&gt;="&amp;账期起,出库单!$C$4:$C$4003,"&lt;="&amp;账期止),0))</f>
        <v/>
      </c>
      <c r="V1148" s="27">
        <f>IF($A1148="","",SUMIFS(出库单!$J$4:$J$4003,出库单!$D$4:$D$4003,$A1148,出库单!$K$4:$K$4003,"退货给供应商",出库单!$U$4:$U$4003,"正常",出库单!$C$4:$C$4003,"&gt;="&amp;账期起,出库单!$C$4:$C$4003,"&lt;="&amp;账期止))</f>
        <v/>
      </c>
      <c r="W1148" s="26">
        <f>IF($A1148="","",ROUND(SUMIFS(出库单!$S$4:$S$4003,出库单!$D$4:$D$4003,$A1148,出库单!$K$4:$K$4003,"退货给供应商",出库单!$U$4:$U$4003,"正常",出库单!$C$4:$C$4003,"&gt;="&amp;账期起,出库单!$C$4:$C$4003,"&lt;="&amp;账期止),0))</f>
        <v/>
      </c>
      <c r="X1148" s="27">
        <f>IF($A1148="","",ROUND(N($G1148)+$I1148+$L1148+$N1148-$P1148-$R1148-$T1148-$V1148,3))</f>
        <v/>
      </c>
      <c r="Y1148" s="26">
        <f>IF($A1148="","",ROUND(N($H1148)+$J1148+$M1148+$O1148-$Q1148-$S1148-$U1148-$W1148,0))</f>
        <v/>
      </c>
      <c r="Z1148" s="24">
        <f>IF($A1148="","",IF(COUNTIFS(入库单!$G$4:$G$2503,$A1148,入库单!$Y$4:$Y$2503,"待补价")+COUNTIFS(入库单!$G$4:$G$2503,$A1148,入库单!$Y$4:$Y$2503,"暂估")&gt;0,"不可信","可信"))</f>
        <v/>
      </c>
      <c r="AA1148" s="24">
        <f>IF($A1148="","",IF($X1148&lt;-0.001,"※账面负库存，查一下是不是漏记入库",IF(AND(ROUND($X1148,3)=0,ABS($Y1148)&gt;1),"※数量已经是 0，金额还挂着 "&amp;TEXT($Y1148,"#,##0")&amp;" 先令",IF(AND($X1148&gt;0,$Y1148&lt;=0,$K1148=0),"※有数量没金额（这个物料一直没填过进价）",IF($Z1148="不可信","△成本含待补价/暂估，毛利仅供参考","")))))</f>
        <v/>
      </c>
    </row>
    <row r="1149">
      <c r="A1149" s="24">
        <f>IF(物料档案!$A1148="","",物料档案!$A1148)</f>
        <v/>
      </c>
      <c r="B1149" s="24">
        <f>IF($A1149="","",IFERROR(VLOOKUP($A1149,物料档案!$A$4:$P$1203,3,0),""))</f>
        <v/>
      </c>
      <c r="C1149" s="24">
        <f>IF($A1149="","",IFERROR(VLOOKUP($A1149,物料档案!$A$4:$P$1203,4,0),""))</f>
        <v/>
      </c>
      <c r="D1149" s="24">
        <f>IF($A1149="","",IFERROR(VLOOKUP($A1149,物料档案!$A$4:$P$1203,5,0),""))</f>
        <v/>
      </c>
      <c r="E1149" s="24">
        <f>IF($A1149="","",IFERROR(VLOOKUP($A1149,物料档案!$A$4:$P$1203,2,0),""))</f>
        <v/>
      </c>
      <c r="F1149" s="24">
        <f>IF($A1149="","",IFERROR(VLOOKUP($A1149,物料档案!$A$4:$P$1203,6,0),""))</f>
        <v/>
      </c>
      <c r="G1149" s="23" t="n"/>
      <c r="H1149" s="32" t="n"/>
      <c r="I1149" s="27">
        <f>IF($A1149="","",SUMIFS(入库单!$K$4:$K$2503,入库单!$G$4:$G$2503,$A1149,入库单!$X$4:$X$2503,"采购入库",入库单!$Z$4:$Z$2503,"正常",入库单!$C$4:$C$2503,"&gt;="&amp;账期起,入库单!$C$4:$C$2503,"&lt;="&amp;账期止))</f>
        <v/>
      </c>
      <c r="J1149" s="26">
        <f>IF($A1149="","",SUMIFS(入库单!$V$4:$V$2503,入库单!$G$4:$G$2503,$A1149,入库单!$X$4:$X$2503,"采购入库",入库单!$Z$4:$Z$2503,"正常",入库单!$C$4:$C$2503,"&gt;="&amp;账期起,入库单!$C$4:$C$2503,"&lt;="&amp;账期止))</f>
        <v/>
      </c>
      <c r="K1149" s="26">
        <f>IF($A1149="","",IFERROR(ROUND((N($H1149)+N($J1149))/(N($G1149)+N($I1149)),2),0))</f>
        <v/>
      </c>
      <c r="L1149" s="27">
        <f>IF($A1149="","",SUMIFS(入库单!$K$4:$K$2503,入库单!$G$4:$G$2503,$A1149,入库单!$X$4:$X$2503,"盘盈",入库单!$Z$4:$Z$2503,"正常",入库单!$C$4:$C$2503,"&gt;="&amp;账期起,入库单!$C$4:$C$2503,"&lt;="&amp;账期止))</f>
        <v/>
      </c>
      <c r="M1149" s="26">
        <f>IF($A1149="","",ROUND($L1149*$K1149,0))</f>
        <v/>
      </c>
      <c r="N1149" s="27">
        <f>IF($A1149="","",SUMIFS(入库单!$K$4:$K$2503,入库单!$G$4:$G$2503,$A1149,入库单!$X$4:$X$2503,"矿区退库",入库单!$Z$4:$Z$2503,"正常",入库单!$C$4:$C$2503,"&gt;="&amp;账期起,入库单!$C$4:$C$2503,"&lt;="&amp;账期止))</f>
        <v/>
      </c>
      <c r="O1149" s="26">
        <f>IF($A1149="","",ROUND($N1149*$K1149,0))</f>
        <v/>
      </c>
      <c r="P1149" s="27">
        <f>IF($A1149="","",SUMIFS(出库单!$J$4:$J$4003,出库单!$D$4:$D$4003,$A1149,出库单!$K$4:$K$4003,"自用消耗",出库单!$U$4:$U$4003,"正常",出库单!$C$4:$C$4003,"&gt;="&amp;账期起,出库单!$C$4:$C$4003,"&lt;="&amp;账期止))</f>
        <v/>
      </c>
      <c r="Q1149" s="26">
        <f>IF($A1149="","",ROUND(SUMIFS(出库单!$S$4:$S$4003,出库单!$D$4:$D$4003,$A1149,出库单!$K$4:$K$4003,"自用消耗",出库单!$U$4:$U$4003,"正常",出库单!$C$4:$C$4003,"&gt;="&amp;账期起,出库单!$C$4:$C$4003,"&lt;="&amp;账期止),0))</f>
        <v/>
      </c>
      <c r="R1149" s="27">
        <f>IF($A1149="","",SUMIFS(出库单!$J$4:$J$4003,出库单!$D$4:$D$4003,$A1149,出库单!$K$4:$K$4003,"对外销售",出库单!$U$4:$U$4003,"正常",出库单!$C$4:$C$4003,"&gt;="&amp;账期起,出库单!$C$4:$C$4003,"&lt;="&amp;账期止))</f>
        <v/>
      </c>
      <c r="S1149" s="26">
        <f>IF($A1149="","",ROUND(SUMIFS(出库单!$S$4:$S$4003,出库单!$D$4:$D$4003,$A1149,出库单!$K$4:$K$4003,"对外销售",出库单!$U$4:$U$4003,"正常",出库单!$C$4:$C$4003,"&gt;="&amp;账期起,出库单!$C$4:$C$4003,"&lt;="&amp;账期止),0))</f>
        <v/>
      </c>
      <c r="T1149" s="27">
        <f>IF($A1149="","",SUMIFS(出库单!$J$4:$J$4003,出库单!$D$4:$D$4003,$A1149,出库单!$K$4:$K$4003,"盘亏",出库单!$U$4:$U$4003,"正常",出库单!$C$4:$C$4003,"&gt;="&amp;账期起,出库单!$C$4:$C$4003,"&lt;="&amp;账期止))</f>
        <v/>
      </c>
      <c r="U1149" s="26">
        <f>IF($A1149="","",ROUND(SUMIFS(出库单!$S$4:$S$4003,出库单!$D$4:$D$4003,$A1149,出库单!$K$4:$K$4003,"盘亏",出库单!$U$4:$U$4003,"正常",出库单!$C$4:$C$4003,"&gt;="&amp;账期起,出库单!$C$4:$C$4003,"&lt;="&amp;账期止),0))</f>
        <v/>
      </c>
      <c r="V1149" s="27">
        <f>IF($A1149="","",SUMIFS(出库单!$J$4:$J$4003,出库单!$D$4:$D$4003,$A1149,出库单!$K$4:$K$4003,"退货给供应商",出库单!$U$4:$U$4003,"正常",出库单!$C$4:$C$4003,"&gt;="&amp;账期起,出库单!$C$4:$C$4003,"&lt;="&amp;账期止))</f>
        <v/>
      </c>
      <c r="W1149" s="26">
        <f>IF($A1149="","",ROUND(SUMIFS(出库单!$S$4:$S$4003,出库单!$D$4:$D$4003,$A1149,出库单!$K$4:$K$4003,"退货给供应商",出库单!$U$4:$U$4003,"正常",出库单!$C$4:$C$4003,"&gt;="&amp;账期起,出库单!$C$4:$C$4003,"&lt;="&amp;账期止),0))</f>
        <v/>
      </c>
      <c r="X1149" s="27">
        <f>IF($A1149="","",ROUND(N($G1149)+$I1149+$L1149+$N1149-$P1149-$R1149-$T1149-$V1149,3))</f>
        <v/>
      </c>
      <c r="Y1149" s="26">
        <f>IF($A1149="","",ROUND(N($H1149)+$J1149+$M1149+$O1149-$Q1149-$S1149-$U1149-$W1149,0))</f>
        <v/>
      </c>
      <c r="Z1149" s="24">
        <f>IF($A1149="","",IF(COUNTIFS(入库单!$G$4:$G$2503,$A1149,入库单!$Y$4:$Y$2503,"待补价")+COUNTIFS(入库单!$G$4:$G$2503,$A1149,入库单!$Y$4:$Y$2503,"暂估")&gt;0,"不可信","可信"))</f>
        <v/>
      </c>
      <c r="AA1149" s="24">
        <f>IF($A1149="","",IF($X1149&lt;-0.001,"※账面负库存，查一下是不是漏记入库",IF(AND(ROUND($X1149,3)=0,ABS($Y1149)&gt;1),"※数量已经是 0，金额还挂着 "&amp;TEXT($Y1149,"#,##0")&amp;" 先令",IF(AND($X1149&gt;0,$Y1149&lt;=0,$K1149=0),"※有数量没金额（这个物料一直没填过进价）",IF($Z1149="不可信","△成本含待补价/暂估，毛利仅供参考","")))))</f>
        <v/>
      </c>
    </row>
    <row r="1150">
      <c r="A1150" s="24">
        <f>IF(物料档案!$A1149="","",物料档案!$A1149)</f>
        <v/>
      </c>
      <c r="B1150" s="24">
        <f>IF($A1150="","",IFERROR(VLOOKUP($A1150,物料档案!$A$4:$P$1203,3,0),""))</f>
        <v/>
      </c>
      <c r="C1150" s="24">
        <f>IF($A1150="","",IFERROR(VLOOKUP($A1150,物料档案!$A$4:$P$1203,4,0),""))</f>
        <v/>
      </c>
      <c r="D1150" s="24">
        <f>IF($A1150="","",IFERROR(VLOOKUP($A1150,物料档案!$A$4:$P$1203,5,0),""))</f>
        <v/>
      </c>
      <c r="E1150" s="24">
        <f>IF($A1150="","",IFERROR(VLOOKUP($A1150,物料档案!$A$4:$P$1203,2,0),""))</f>
        <v/>
      </c>
      <c r="F1150" s="24">
        <f>IF($A1150="","",IFERROR(VLOOKUP($A1150,物料档案!$A$4:$P$1203,6,0),""))</f>
        <v/>
      </c>
      <c r="G1150" s="23" t="n"/>
      <c r="H1150" s="32" t="n"/>
      <c r="I1150" s="27">
        <f>IF($A1150="","",SUMIFS(入库单!$K$4:$K$2503,入库单!$G$4:$G$2503,$A1150,入库单!$X$4:$X$2503,"采购入库",入库单!$Z$4:$Z$2503,"正常",入库单!$C$4:$C$2503,"&gt;="&amp;账期起,入库单!$C$4:$C$2503,"&lt;="&amp;账期止))</f>
        <v/>
      </c>
      <c r="J1150" s="26">
        <f>IF($A1150="","",SUMIFS(入库单!$V$4:$V$2503,入库单!$G$4:$G$2503,$A1150,入库单!$X$4:$X$2503,"采购入库",入库单!$Z$4:$Z$2503,"正常",入库单!$C$4:$C$2503,"&gt;="&amp;账期起,入库单!$C$4:$C$2503,"&lt;="&amp;账期止))</f>
        <v/>
      </c>
      <c r="K1150" s="26">
        <f>IF($A1150="","",IFERROR(ROUND((N($H1150)+N($J1150))/(N($G1150)+N($I1150)),2),0))</f>
        <v/>
      </c>
      <c r="L1150" s="27">
        <f>IF($A1150="","",SUMIFS(入库单!$K$4:$K$2503,入库单!$G$4:$G$2503,$A1150,入库单!$X$4:$X$2503,"盘盈",入库单!$Z$4:$Z$2503,"正常",入库单!$C$4:$C$2503,"&gt;="&amp;账期起,入库单!$C$4:$C$2503,"&lt;="&amp;账期止))</f>
        <v/>
      </c>
      <c r="M1150" s="26">
        <f>IF($A1150="","",ROUND($L1150*$K1150,0))</f>
        <v/>
      </c>
      <c r="N1150" s="27">
        <f>IF($A1150="","",SUMIFS(入库单!$K$4:$K$2503,入库单!$G$4:$G$2503,$A1150,入库单!$X$4:$X$2503,"矿区退库",入库单!$Z$4:$Z$2503,"正常",入库单!$C$4:$C$2503,"&gt;="&amp;账期起,入库单!$C$4:$C$2503,"&lt;="&amp;账期止))</f>
        <v/>
      </c>
      <c r="O1150" s="26">
        <f>IF($A1150="","",ROUND($N1150*$K1150,0))</f>
        <v/>
      </c>
      <c r="P1150" s="27">
        <f>IF($A1150="","",SUMIFS(出库单!$J$4:$J$4003,出库单!$D$4:$D$4003,$A1150,出库单!$K$4:$K$4003,"自用消耗",出库单!$U$4:$U$4003,"正常",出库单!$C$4:$C$4003,"&gt;="&amp;账期起,出库单!$C$4:$C$4003,"&lt;="&amp;账期止))</f>
        <v/>
      </c>
      <c r="Q1150" s="26">
        <f>IF($A1150="","",ROUND(SUMIFS(出库单!$S$4:$S$4003,出库单!$D$4:$D$4003,$A1150,出库单!$K$4:$K$4003,"自用消耗",出库单!$U$4:$U$4003,"正常",出库单!$C$4:$C$4003,"&gt;="&amp;账期起,出库单!$C$4:$C$4003,"&lt;="&amp;账期止),0))</f>
        <v/>
      </c>
      <c r="R1150" s="27">
        <f>IF($A1150="","",SUMIFS(出库单!$J$4:$J$4003,出库单!$D$4:$D$4003,$A1150,出库单!$K$4:$K$4003,"对外销售",出库单!$U$4:$U$4003,"正常",出库单!$C$4:$C$4003,"&gt;="&amp;账期起,出库单!$C$4:$C$4003,"&lt;="&amp;账期止))</f>
        <v/>
      </c>
      <c r="S1150" s="26">
        <f>IF($A1150="","",ROUND(SUMIFS(出库单!$S$4:$S$4003,出库单!$D$4:$D$4003,$A1150,出库单!$K$4:$K$4003,"对外销售",出库单!$U$4:$U$4003,"正常",出库单!$C$4:$C$4003,"&gt;="&amp;账期起,出库单!$C$4:$C$4003,"&lt;="&amp;账期止),0))</f>
        <v/>
      </c>
      <c r="T1150" s="27">
        <f>IF($A1150="","",SUMIFS(出库单!$J$4:$J$4003,出库单!$D$4:$D$4003,$A1150,出库单!$K$4:$K$4003,"盘亏",出库单!$U$4:$U$4003,"正常",出库单!$C$4:$C$4003,"&gt;="&amp;账期起,出库单!$C$4:$C$4003,"&lt;="&amp;账期止))</f>
        <v/>
      </c>
      <c r="U1150" s="26">
        <f>IF($A1150="","",ROUND(SUMIFS(出库单!$S$4:$S$4003,出库单!$D$4:$D$4003,$A1150,出库单!$K$4:$K$4003,"盘亏",出库单!$U$4:$U$4003,"正常",出库单!$C$4:$C$4003,"&gt;="&amp;账期起,出库单!$C$4:$C$4003,"&lt;="&amp;账期止),0))</f>
        <v/>
      </c>
      <c r="V1150" s="27">
        <f>IF($A1150="","",SUMIFS(出库单!$J$4:$J$4003,出库单!$D$4:$D$4003,$A1150,出库单!$K$4:$K$4003,"退货给供应商",出库单!$U$4:$U$4003,"正常",出库单!$C$4:$C$4003,"&gt;="&amp;账期起,出库单!$C$4:$C$4003,"&lt;="&amp;账期止))</f>
        <v/>
      </c>
      <c r="W1150" s="26">
        <f>IF($A1150="","",ROUND(SUMIFS(出库单!$S$4:$S$4003,出库单!$D$4:$D$4003,$A1150,出库单!$K$4:$K$4003,"退货给供应商",出库单!$U$4:$U$4003,"正常",出库单!$C$4:$C$4003,"&gt;="&amp;账期起,出库单!$C$4:$C$4003,"&lt;="&amp;账期止),0))</f>
        <v/>
      </c>
      <c r="X1150" s="27">
        <f>IF($A1150="","",ROUND(N($G1150)+$I1150+$L1150+$N1150-$P1150-$R1150-$T1150-$V1150,3))</f>
        <v/>
      </c>
      <c r="Y1150" s="26">
        <f>IF($A1150="","",ROUND(N($H1150)+$J1150+$M1150+$O1150-$Q1150-$S1150-$U1150-$W1150,0))</f>
        <v/>
      </c>
      <c r="Z1150" s="24">
        <f>IF($A1150="","",IF(COUNTIFS(入库单!$G$4:$G$2503,$A1150,入库单!$Y$4:$Y$2503,"待补价")+COUNTIFS(入库单!$G$4:$G$2503,$A1150,入库单!$Y$4:$Y$2503,"暂估")&gt;0,"不可信","可信"))</f>
        <v/>
      </c>
      <c r="AA1150" s="24">
        <f>IF($A1150="","",IF($X1150&lt;-0.001,"※账面负库存，查一下是不是漏记入库",IF(AND(ROUND($X1150,3)=0,ABS($Y1150)&gt;1),"※数量已经是 0，金额还挂着 "&amp;TEXT($Y1150,"#,##0")&amp;" 先令",IF(AND($X1150&gt;0,$Y1150&lt;=0,$K1150=0),"※有数量没金额（这个物料一直没填过进价）",IF($Z1150="不可信","△成本含待补价/暂估，毛利仅供参考","")))))</f>
        <v/>
      </c>
    </row>
    <row r="1151">
      <c r="A1151" s="24">
        <f>IF(物料档案!$A1150="","",物料档案!$A1150)</f>
        <v/>
      </c>
      <c r="B1151" s="24">
        <f>IF($A1151="","",IFERROR(VLOOKUP($A1151,物料档案!$A$4:$P$1203,3,0),""))</f>
        <v/>
      </c>
      <c r="C1151" s="24">
        <f>IF($A1151="","",IFERROR(VLOOKUP($A1151,物料档案!$A$4:$P$1203,4,0),""))</f>
        <v/>
      </c>
      <c r="D1151" s="24">
        <f>IF($A1151="","",IFERROR(VLOOKUP($A1151,物料档案!$A$4:$P$1203,5,0),""))</f>
        <v/>
      </c>
      <c r="E1151" s="24">
        <f>IF($A1151="","",IFERROR(VLOOKUP($A1151,物料档案!$A$4:$P$1203,2,0),""))</f>
        <v/>
      </c>
      <c r="F1151" s="24">
        <f>IF($A1151="","",IFERROR(VLOOKUP($A1151,物料档案!$A$4:$P$1203,6,0),""))</f>
        <v/>
      </c>
      <c r="G1151" s="23" t="n"/>
      <c r="H1151" s="32" t="n"/>
      <c r="I1151" s="27">
        <f>IF($A1151="","",SUMIFS(入库单!$K$4:$K$2503,入库单!$G$4:$G$2503,$A1151,入库单!$X$4:$X$2503,"采购入库",入库单!$Z$4:$Z$2503,"正常",入库单!$C$4:$C$2503,"&gt;="&amp;账期起,入库单!$C$4:$C$2503,"&lt;="&amp;账期止))</f>
        <v/>
      </c>
      <c r="J1151" s="26">
        <f>IF($A1151="","",SUMIFS(入库单!$V$4:$V$2503,入库单!$G$4:$G$2503,$A1151,入库单!$X$4:$X$2503,"采购入库",入库单!$Z$4:$Z$2503,"正常",入库单!$C$4:$C$2503,"&gt;="&amp;账期起,入库单!$C$4:$C$2503,"&lt;="&amp;账期止))</f>
        <v/>
      </c>
      <c r="K1151" s="26">
        <f>IF($A1151="","",IFERROR(ROUND((N($H1151)+N($J1151))/(N($G1151)+N($I1151)),2),0))</f>
        <v/>
      </c>
      <c r="L1151" s="27">
        <f>IF($A1151="","",SUMIFS(入库单!$K$4:$K$2503,入库单!$G$4:$G$2503,$A1151,入库单!$X$4:$X$2503,"盘盈",入库单!$Z$4:$Z$2503,"正常",入库单!$C$4:$C$2503,"&gt;="&amp;账期起,入库单!$C$4:$C$2503,"&lt;="&amp;账期止))</f>
        <v/>
      </c>
      <c r="M1151" s="26">
        <f>IF($A1151="","",ROUND($L1151*$K1151,0))</f>
        <v/>
      </c>
      <c r="N1151" s="27">
        <f>IF($A1151="","",SUMIFS(入库单!$K$4:$K$2503,入库单!$G$4:$G$2503,$A1151,入库单!$X$4:$X$2503,"矿区退库",入库单!$Z$4:$Z$2503,"正常",入库单!$C$4:$C$2503,"&gt;="&amp;账期起,入库单!$C$4:$C$2503,"&lt;="&amp;账期止))</f>
        <v/>
      </c>
      <c r="O1151" s="26">
        <f>IF($A1151="","",ROUND($N1151*$K1151,0))</f>
        <v/>
      </c>
      <c r="P1151" s="27">
        <f>IF($A1151="","",SUMIFS(出库单!$J$4:$J$4003,出库单!$D$4:$D$4003,$A1151,出库单!$K$4:$K$4003,"自用消耗",出库单!$U$4:$U$4003,"正常",出库单!$C$4:$C$4003,"&gt;="&amp;账期起,出库单!$C$4:$C$4003,"&lt;="&amp;账期止))</f>
        <v/>
      </c>
      <c r="Q1151" s="26">
        <f>IF($A1151="","",ROUND(SUMIFS(出库单!$S$4:$S$4003,出库单!$D$4:$D$4003,$A1151,出库单!$K$4:$K$4003,"自用消耗",出库单!$U$4:$U$4003,"正常",出库单!$C$4:$C$4003,"&gt;="&amp;账期起,出库单!$C$4:$C$4003,"&lt;="&amp;账期止),0))</f>
        <v/>
      </c>
      <c r="R1151" s="27">
        <f>IF($A1151="","",SUMIFS(出库单!$J$4:$J$4003,出库单!$D$4:$D$4003,$A1151,出库单!$K$4:$K$4003,"对外销售",出库单!$U$4:$U$4003,"正常",出库单!$C$4:$C$4003,"&gt;="&amp;账期起,出库单!$C$4:$C$4003,"&lt;="&amp;账期止))</f>
        <v/>
      </c>
      <c r="S1151" s="26">
        <f>IF($A1151="","",ROUND(SUMIFS(出库单!$S$4:$S$4003,出库单!$D$4:$D$4003,$A1151,出库单!$K$4:$K$4003,"对外销售",出库单!$U$4:$U$4003,"正常",出库单!$C$4:$C$4003,"&gt;="&amp;账期起,出库单!$C$4:$C$4003,"&lt;="&amp;账期止),0))</f>
        <v/>
      </c>
      <c r="T1151" s="27">
        <f>IF($A1151="","",SUMIFS(出库单!$J$4:$J$4003,出库单!$D$4:$D$4003,$A1151,出库单!$K$4:$K$4003,"盘亏",出库单!$U$4:$U$4003,"正常",出库单!$C$4:$C$4003,"&gt;="&amp;账期起,出库单!$C$4:$C$4003,"&lt;="&amp;账期止))</f>
        <v/>
      </c>
      <c r="U1151" s="26">
        <f>IF($A1151="","",ROUND(SUMIFS(出库单!$S$4:$S$4003,出库单!$D$4:$D$4003,$A1151,出库单!$K$4:$K$4003,"盘亏",出库单!$U$4:$U$4003,"正常",出库单!$C$4:$C$4003,"&gt;="&amp;账期起,出库单!$C$4:$C$4003,"&lt;="&amp;账期止),0))</f>
        <v/>
      </c>
      <c r="V1151" s="27">
        <f>IF($A1151="","",SUMIFS(出库单!$J$4:$J$4003,出库单!$D$4:$D$4003,$A1151,出库单!$K$4:$K$4003,"退货给供应商",出库单!$U$4:$U$4003,"正常",出库单!$C$4:$C$4003,"&gt;="&amp;账期起,出库单!$C$4:$C$4003,"&lt;="&amp;账期止))</f>
        <v/>
      </c>
      <c r="W1151" s="26">
        <f>IF($A1151="","",ROUND(SUMIFS(出库单!$S$4:$S$4003,出库单!$D$4:$D$4003,$A1151,出库单!$K$4:$K$4003,"退货给供应商",出库单!$U$4:$U$4003,"正常",出库单!$C$4:$C$4003,"&gt;="&amp;账期起,出库单!$C$4:$C$4003,"&lt;="&amp;账期止),0))</f>
        <v/>
      </c>
      <c r="X1151" s="27">
        <f>IF($A1151="","",ROUND(N($G1151)+$I1151+$L1151+$N1151-$P1151-$R1151-$T1151-$V1151,3))</f>
        <v/>
      </c>
      <c r="Y1151" s="26">
        <f>IF($A1151="","",ROUND(N($H1151)+$J1151+$M1151+$O1151-$Q1151-$S1151-$U1151-$W1151,0))</f>
        <v/>
      </c>
      <c r="Z1151" s="24">
        <f>IF($A1151="","",IF(COUNTIFS(入库单!$G$4:$G$2503,$A1151,入库单!$Y$4:$Y$2503,"待补价")+COUNTIFS(入库单!$G$4:$G$2503,$A1151,入库单!$Y$4:$Y$2503,"暂估")&gt;0,"不可信","可信"))</f>
        <v/>
      </c>
      <c r="AA1151" s="24">
        <f>IF($A1151="","",IF($X1151&lt;-0.001,"※账面负库存，查一下是不是漏记入库",IF(AND(ROUND($X1151,3)=0,ABS($Y1151)&gt;1),"※数量已经是 0，金额还挂着 "&amp;TEXT($Y1151,"#,##0")&amp;" 先令",IF(AND($X1151&gt;0,$Y1151&lt;=0,$K1151=0),"※有数量没金额（这个物料一直没填过进价）",IF($Z1151="不可信","△成本含待补价/暂估，毛利仅供参考","")))))</f>
        <v/>
      </c>
    </row>
    <row r="1152">
      <c r="A1152" s="24">
        <f>IF(物料档案!$A1151="","",物料档案!$A1151)</f>
        <v/>
      </c>
      <c r="B1152" s="24">
        <f>IF($A1152="","",IFERROR(VLOOKUP($A1152,物料档案!$A$4:$P$1203,3,0),""))</f>
        <v/>
      </c>
      <c r="C1152" s="24">
        <f>IF($A1152="","",IFERROR(VLOOKUP($A1152,物料档案!$A$4:$P$1203,4,0),""))</f>
        <v/>
      </c>
      <c r="D1152" s="24">
        <f>IF($A1152="","",IFERROR(VLOOKUP($A1152,物料档案!$A$4:$P$1203,5,0),""))</f>
        <v/>
      </c>
      <c r="E1152" s="24">
        <f>IF($A1152="","",IFERROR(VLOOKUP($A1152,物料档案!$A$4:$P$1203,2,0),""))</f>
        <v/>
      </c>
      <c r="F1152" s="24">
        <f>IF($A1152="","",IFERROR(VLOOKUP($A1152,物料档案!$A$4:$P$1203,6,0),""))</f>
        <v/>
      </c>
      <c r="G1152" s="23" t="n"/>
      <c r="H1152" s="32" t="n"/>
      <c r="I1152" s="27">
        <f>IF($A1152="","",SUMIFS(入库单!$K$4:$K$2503,入库单!$G$4:$G$2503,$A1152,入库单!$X$4:$X$2503,"采购入库",入库单!$Z$4:$Z$2503,"正常",入库单!$C$4:$C$2503,"&gt;="&amp;账期起,入库单!$C$4:$C$2503,"&lt;="&amp;账期止))</f>
        <v/>
      </c>
      <c r="J1152" s="26">
        <f>IF($A1152="","",SUMIFS(入库单!$V$4:$V$2503,入库单!$G$4:$G$2503,$A1152,入库单!$X$4:$X$2503,"采购入库",入库单!$Z$4:$Z$2503,"正常",入库单!$C$4:$C$2503,"&gt;="&amp;账期起,入库单!$C$4:$C$2503,"&lt;="&amp;账期止))</f>
        <v/>
      </c>
      <c r="K1152" s="26">
        <f>IF($A1152="","",IFERROR(ROUND((N($H1152)+N($J1152))/(N($G1152)+N($I1152)),2),0))</f>
        <v/>
      </c>
      <c r="L1152" s="27">
        <f>IF($A1152="","",SUMIFS(入库单!$K$4:$K$2503,入库单!$G$4:$G$2503,$A1152,入库单!$X$4:$X$2503,"盘盈",入库单!$Z$4:$Z$2503,"正常",入库单!$C$4:$C$2503,"&gt;="&amp;账期起,入库单!$C$4:$C$2503,"&lt;="&amp;账期止))</f>
        <v/>
      </c>
      <c r="M1152" s="26">
        <f>IF($A1152="","",ROUND($L1152*$K1152,0))</f>
        <v/>
      </c>
      <c r="N1152" s="27">
        <f>IF($A1152="","",SUMIFS(入库单!$K$4:$K$2503,入库单!$G$4:$G$2503,$A1152,入库单!$X$4:$X$2503,"矿区退库",入库单!$Z$4:$Z$2503,"正常",入库单!$C$4:$C$2503,"&gt;="&amp;账期起,入库单!$C$4:$C$2503,"&lt;="&amp;账期止))</f>
        <v/>
      </c>
      <c r="O1152" s="26">
        <f>IF($A1152="","",ROUND($N1152*$K1152,0))</f>
        <v/>
      </c>
      <c r="P1152" s="27">
        <f>IF($A1152="","",SUMIFS(出库单!$J$4:$J$4003,出库单!$D$4:$D$4003,$A1152,出库单!$K$4:$K$4003,"自用消耗",出库单!$U$4:$U$4003,"正常",出库单!$C$4:$C$4003,"&gt;="&amp;账期起,出库单!$C$4:$C$4003,"&lt;="&amp;账期止))</f>
        <v/>
      </c>
      <c r="Q1152" s="26">
        <f>IF($A1152="","",ROUND(SUMIFS(出库单!$S$4:$S$4003,出库单!$D$4:$D$4003,$A1152,出库单!$K$4:$K$4003,"自用消耗",出库单!$U$4:$U$4003,"正常",出库单!$C$4:$C$4003,"&gt;="&amp;账期起,出库单!$C$4:$C$4003,"&lt;="&amp;账期止),0))</f>
        <v/>
      </c>
      <c r="R1152" s="27">
        <f>IF($A1152="","",SUMIFS(出库单!$J$4:$J$4003,出库单!$D$4:$D$4003,$A1152,出库单!$K$4:$K$4003,"对外销售",出库单!$U$4:$U$4003,"正常",出库单!$C$4:$C$4003,"&gt;="&amp;账期起,出库单!$C$4:$C$4003,"&lt;="&amp;账期止))</f>
        <v/>
      </c>
      <c r="S1152" s="26">
        <f>IF($A1152="","",ROUND(SUMIFS(出库单!$S$4:$S$4003,出库单!$D$4:$D$4003,$A1152,出库单!$K$4:$K$4003,"对外销售",出库单!$U$4:$U$4003,"正常",出库单!$C$4:$C$4003,"&gt;="&amp;账期起,出库单!$C$4:$C$4003,"&lt;="&amp;账期止),0))</f>
        <v/>
      </c>
      <c r="T1152" s="27">
        <f>IF($A1152="","",SUMIFS(出库单!$J$4:$J$4003,出库单!$D$4:$D$4003,$A1152,出库单!$K$4:$K$4003,"盘亏",出库单!$U$4:$U$4003,"正常",出库单!$C$4:$C$4003,"&gt;="&amp;账期起,出库单!$C$4:$C$4003,"&lt;="&amp;账期止))</f>
        <v/>
      </c>
      <c r="U1152" s="26">
        <f>IF($A1152="","",ROUND(SUMIFS(出库单!$S$4:$S$4003,出库单!$D$4:$D$4003,$A1152,出库单!$K$4:$K$4003,"盘亏",出库单!$U$4:$U$4003,"正常",出库单!$C$4:$C$4003,"&gt;="&amp;账期起,出库单!$C$4:$C$4003,"&lt;="&amp;账期止),0))</f>
        <v/>
      </c>
      <c r="V1152" s="27">
        <f>IF($A1152="","",SUMIFS(出库单!$J$4:$J$4003,出库单!$D$4:$D$4003,$A1152,出库单!$K$4:$K$4003,"退货给供应商",出库单!$U$4:$U$4003,"正常",出库单!$C$4:$C$4003,"&gt;="&amp;账期起,出库单!$C$4:$C$4003,"&lt;="&amp;账期止))</f>
        <v/>
      </c>
      <c r="W1152" s="26">
        <f>IF($A1152="","",ROUND(SUMIFS(出库单!$S$4:$S$4003,出库单!$D$4:$D$4003,$A1152,出库单!$K$4:$K$4003,"退货给供应商",出库单!$U$4:$U$4003,"正常",出库单!$C$4:$C$4003,"&gt;="&amp;账期起,出库单!$C$4:$C$4003,"&lt;="&amp;账期止),0))</f>
        <v/>
      </c>
      <c r="X1152" s="27">
        <f>IF($A1152="","",ROUND(N($G1152)+$I1152+$L1152+$N1152-$P1152-$R1152-$T1152-$V1152,3))</f>
        <v/>
      </c>
      <c r="Y1152" s="26">
        <f>IF($A1152="","",ROUND(N($H1152)+$J1152+$M1152+$O1152-$Q1152-$S1152-$U1152-$W1152,0))</f>
        <v/>
      </c>
      <c r="Z1152" s="24">
        <f>IF($A1152="","",IF(COUNTIFS(入库单!$G$4:$G$2503,$A1152,入库单!$Y$4:$Y$2503,"待补价")+COUNTIFS(入库单!$G$4:$G$2503,$A1152,入库单!$Y$4:$Y$2503,"暂估")&gt;0,"不可信","可信"))</f>
        <v/>
      </c>
      <c r="AA1152" s="24">
        <f>IF($A1152="","",IF($X1152&lt;-0.001,"※账面负库存，查一下是不是漏记入库",IF(AND(ROUND($X1152,3)=0,ABS($Y1152)&gt;1),"※数量已经是 0，金额还挂着 "&amp;TEXT($Y1152,"#,##0")&amp;" 先令",IF(AND($X1152&gt;0,$Y1152&lt;=0,$K1152=0),"※有数量没金额（这个物料一直没填过进价）",IF($Z1152="不可信","△成本含待补价/暂估，毛利仅供参考","")))))</f>
        <v/>
      </c>
    </row>
    <row r="1153">
      <c r="A1153" s="24">
        <f>IF(物料档案!$A1152="","",物料档案!$A1152)</f>
        <v/>
      </c>
      <c r="B1153" s="24">
        <f>IF($A1153="","",IFERROR(VLOOKUP($A1153,物料档案!$A$4:$P$1203,3,0),""))</f>
        <v/>
      </c>
      <c r="C1153" s="24">
        <f>IF($A1153="","",IFERROR(VLOOKUP($A1153,物料档案!$A$4:$P$1203,4,0),""))</f>
        <v/>
      </c>
      <c r="D1153" s="24">
        <f>IF($A1153="","",IFERROR(VLOOKUP($A1153,物料档案!$A$4:$P$1203,5,0),""))</f>
        <v/>
      </c>
      <c r="E1153" s="24">
        <f>IF($A1153="","",IFERROR(VLOOKUP($A1153,物料档案!$A$4:$P$1203,2,0),""))</f>
        <v/>
      </c>
      <c r="F1153" s="24">
        <f>IF($A1153="","",IFERROR(VLOOKUP($A1153,物料档案!$A$4:$P$1203,6,0),""))</f>
        <v/>
      </c>
      <c r="G1153" s="23" t="n"/>
      <c r="H1153" s="32" t="n"/>
      <c r="I1153" s="27">
        <f>IF($A1153="","",SUMIFS(入库单!$K$4:$K$2503,入库单!$G$4:$G$2503,$A1153,入库单!$X$4:$X$2503,"采购入库",入库单!$Z$4:$Z$2503,"正常",入库单!$C$4:$C$2503,"&gt;="&amp;账期起,入库单!$C$4:$C$2503,"&lt;="&amp;账期止))</f>
        <v/>
      </c>
      <c r="J1153" s="26">
        <f>IF($A1153="","",SUMIFS(入库单!$V$4:$V$2503,入库单!$G$4:$G$2503,$A1153,入库单!$X$4:$X$2503,"采购入库",入库单!$Z$4:$Z$2503,"正常",入库单!$C$4:$C$2503,"&gt;="&amp;账期起,入库单!$C$4:$C$2503,"&lt;="&amp;账期止))</f>
        <v/>
      </c>
      <c r="K1153" s="26">
        <f>IF($A1153="","",IFERROR(ROUND((N($H1153)+N($J1153))/(N($G1153)+N($I1153)),2),0))</f>
        <v/>
      </c>
      <c r="L1153" s="27">
        <f>IF($A1153="","",SUMIFS(入库单!$K$4:$K$2503,入库单!$G$4:$G$2503,$A1153,入库单!$X$4:$X$2503,"盘盈",入库单!$Z$4:$Z$2503,"正常",入库单!$C$4:$C$2503,"&gt;="&amp;账期起,入库单!$C$4:$C$2503,"&lt;="&amp;账期止))</f>
        <v/>
      </c>
      <c r="M1153" s="26">
        <f>IF($A1153="","",ROUND($L1153*$K1153,0))</f>
        <v/>
      </c>
      <c r="N1153" s="27">
        <f>IF($A1153="","",SUMIFS(入库单!$K$4:$K$2503,入库单!$G$4:$G$2503,$A1153,入库单!$X$4:$X$2503,"矿区退库",入库单!$Z$4:$Z$2503,"正常",入库单!$C$4:$C$2503,"&gt;="&amp;账期起,入库单!$C$4:$C$2503,"&lt;="&amp;账期止))</f>
        <v/>
      </c>
      <c r="O1153" s="26">
        <f>IF($A1153="","",ROUND($N1153*$K1153,0))</f>
        <v/>
      </c>
      <c r="P1153" s="27">
        <f>IF($A1153="","",SUMIFS(出库单!$J$4:$J$4003,出库单!$D$4:$D$4003,$A1153,出库单!$K$4:$K$4003,"自用消耗",出库单!$U$4:$U$4003,"正常",出库单!$C$4:$C$4003,"&gt;="&amp;账期起,出库单!$C$4:$C$4003,"&lt;="&amp;账期止))</f>
        <v/>
      </c>
      <c r="Q1153" s="26">
        <f>IF($A1153="","",ROUND(SUMIFS(出库单!$S$4:$S$4003,出库单!$D$4:$D$4003,$A1153,出库单!$K$4:$K$4003,"自用消耗",出库单!$U$4:$U$4003,"正常",出库单!$C$4:$C$4003,"&gt;="&amp;账期起,出库单!$C$4:$C$4003,"&lt;="&amp;账期止),0))</f>
        <v/>
      </c>
      <c r="R1153" s="27">
        <f>IF($A1153="","",SUMIFS(出库单!$J$4:$J$4003,出库单!$D$4:$D$4003,$A1153,出库单!$K$4:$K$4003,"对外销售",出库单!$U$4:$U$4003,"正常",出库单!$C$4:$C$4003,"&gt;="&amp;账期起,出库单!$C$4:$C$4003,"&lt;="&amp;账期止))</f>
        <v/>
      </c>
      <c r="S1153" s="26">
        <f>IF($A1153="","",ROUND(SUMIFS(出库单!$S$4:$S$4003,出库单!$D$4:$D$4003,$A1153,出库单!$K$4:$K$4003,"对外销售",出库单!$U$4:$U$4003,"正常",出库单!$C$4:$C$4003,"&gt;="&amp;账期起,出库单!$C$4:$C$4003,"&lt;="&amp;账期止),0))</f>
        <v/>
      </c>
      <c r="T1153" s="27">
        <f>IF($A1153="","",SUMIFS(出库单!$J$4:$J$4003,出库单!$D$4:$D$4003,$A1153,出库单!$K$4:$K$4003,"盘亏",出库单!$U$4:$U$4003,"正常",出库单!$C$4:$C$4003,"&gt;="&amp;账期起,出库单!$C$4:$C$4003,"&lt;="&amp;账期止))</f>
        <v/>
      </c>
      <c r="U1153" s="26">
        <f>IF($A1153="","",ROUND(SUMIFS(出库单!$S$4:$S$4003,出库单!$D$4:$D$4003,$A1153,出库单!$K$4:$K$4003,"盘亏",出库单!$U$4:$U$4003,"正常",出库单!$C$4:$C$4003,"&gt;="&amp;账期起,出库单!$C$4:$C$4003,"&lt;="&amp;账期止),0))</f>
        <v/>
      </c>
      <c r="V1153" s="27">
        <f>IF($A1153="","",SUMIFS(出库单!$J$4:$J$4003,出库单!$D$4:$D$4003,$A1153,出库单!$K$4:$K$4003,"退货给供应商",出库单!$U$4:$U$4003,"正常",出库单!$C$4:$C$4003,"&gt;="&amp;账期起,出库单!$C$4:$C$4003,"&lt;="&amp;账期止))</f>
        <v/>
      </c>
      <c r="W1153" s="26">
        <f>IF($A1153="","",ROUND(SUMIFS(出库单!$S$4:$S$4003,出库单!$D$4:$D$4003,$A1153,出库单!$K$4:$K$4003,"退货给供应商",出库单!$U$4:$U$4003,"正常",出库单!$C$4:$C$4003,"&gt;="&amp;账期起,出库单!$C$4:$C$4003,"&lt;="&amp;账期止),0))</f>
        <v/>
      </c>
      <c r="X1153" s="27">
        <f>IF($A1153="","",ROUND(N($G1153)+$I1153+$L1153+$N1153-$P1153-$R1153-$T1153-$V1153,3))</f>
        <v/>
      </c>
      <c r="Y1153" s="26">
        <f>IF($A1153="","",ROUND(N($H1153)+$J1153+$M1153+$O1153-$Q1153-$S1153-$U1153-$W1153,0))</f>
        <v/>
      </c>
      <c r="Z1153" s="24">
        <f>IF($A1153="","",IF(COUNTIFS(入库单!$G$4:$G$2503,$A1153,入库单!$Y$4:$Y$2503,"待补价")+COUNTIFS(入库单!$G$4:$G$2503,$A1153,入库单!$Y$4:$Y$2503,"暂估")&gt;0,"不可信","可信"))</f>
        <v/>
      </c>
      <c r="AA1153" s="24">
        <f>IF($A1153="","",IF($X1153&lt;-0.001,"※账面负库存，查一下是不是漏记入库",IF(AND(ROUND($X1153,3)=0,ABS($Y1153)&gt;1),"※数量已经是 0，金额还挂着 "&amp;TEXT($Y1153,"#,##0")&amp;" 先令",IF(AND($X1153&gt;0,$Y1153&lt;=0,$K1153=0),"※有数量没金额（这个物料一直没填过进价）",IF($Z1153="不可信","△成本含待补价/暂估，毛利仅供参考","")))))</f>
        <v/>
      </c>
    </row>
    <row r="1154">
      <c r="A1154" s="24">
        <f>IF(物料档案!$A1153="","",物料档案!$A1153)</f>
        <v/>
      </c>
      <c r="B1154" s="24">
        <f>IF($A1154="","",IFERROR(VLOOKUP($A1154,物料档案!$A$4:$P$1203,3,0),""))</f>
        <v/>
      </c>
      <c r="C1154" s="24">
        <f>IF($A1154="","",IFERROR(VLOOKUP($A1154,物料档案!$A$4:$P$1203,4,0),""))</f>
        <v/>
      </c>
      <c r="D1154" s="24">
        <f>IF($A1154="","",IFERROR(VLOOKUP($A1154,物料档案!$A$4:$P$1203,5,0),""))</f>
        <v/>
      </c>
      <c r="E1154" s="24">
        <f>IF($A1154="","",IFERROR(VLOOKUP($A1154,物料档案!$A$4:$P$1203,2,0),""))</f>
        <v/>
      </c>
      <c r="F1154" s="24">
        <f>IF($A1154="","",IFERROR(VLOOKUP($A1154,物料档案!$A$4:$P$1203,6,0),""))</f>
        <v/>
      </c>
      <c r="G1154" s="23" t="n"/>
      <c r="H1154" s="32" t="n"/>
      <c r="I1154" s="27">
        <f>IF($A1154="","",SUMIFS(入库单!$K$4:$K$2503,入库单!$G$4:$G$2503,$A1154,入库单!$X$4:$X$2503,"采购入库",入库单!$Z$4:$Z$2503,"正常",入库单!$C$4:$C$2503,"&gt;="&amp;账期起,入库单!$C$4:$C$2503,"&lt;="&amp;账期止))</f>
        <v/>
      </c>
      <c r="J1154" s="26">
        <f>IF($A1154="","",SUMIFS(入库单!$V$4:$V$2503,入库单!$G$4:$G$2503,$A1154,入库单!$X$4:$X$2503,"采购入库",入库单!$Z$4:$Z$2503,"正常",入库单!$C$4:$C$2503,"&gt;="&amp;账期起,入库单!$C$4:$C$2503,"&lt;="&amp;账期止))</f>
        <v/>
      </c>
      <c r="K1154" s="26">
        <f>IF($A1154="","",IFERROR(ROUND((N($H1154)+N($J1154))/(N($G1154)+N($I1154)),2),0))</f>
        <v/>
      </c>
      <c r="L1154" s="27">
        <f>IF($A1154="","",SUMIFS(入库单!$K$4:$K$2503,入库单!$G$4:$G$2503,$A1154,入库单!$X$4:$X$2503,"盘盈",入库单!$Z$4:$Z$2503,"正常",入库单!$C$4:$C$2503,"&gt;="&amp;账期起,入库单!$C$4:$C$2503,"&lt;="&amp;账期止))</f>
        <v/>
      </c>
      <c r="M1154" s="26">
        <f>IF($A1154="","",ROUND($L1154*$K1154,0))</f>
        <v/>
      </c>
      <c r="N1154" s="27">
        <f>IF($A1154="","",SUMIFS(入库单!$K$4:$K$2503,入库单!$G$4:$G$2503,$A1154,入库单!$X$4:$X$2503,"矿区退库",入库单!$Z$4:$Z$2503,"正常",入库单!$C$4:$C$2503,"&gt;="&amp;账期起,入库单!$C$4:$C$2503,"&lt;="&amp;账期止))</f>
        <v/>
      </c>
      <c r="O1154" s="26">
        <f>IF($A1154="","",ROUND($N1154*$K1154,0))</f>
        <v/>
      </c>
      <c r="P1154" s="27">
        <f>IF($A1154="","",SUMIFS(出库单!$J$4:$J$4003,出库单!$D$4:$D$4003,$A1154,出库单!$K$4:$K$4003,"自用消耗",出库单!$U$4:$U$4003,"正常",出库单!$C$4:$C$4003,"&gt;="&amp;账期起,出库单!$C$4:$C$4003,"&lt;="&amp;账期止))</f>
        <v/>
      </c>
      <c r="Q1154" s="26">
        <f>IF($A1154="","",ROUND(SUMIFS(出库单!$S$4:$S$4003,出库单!$D$4:$D$4003,$A1154,出库单!$K$4:$K$4003,"自用消耗",出库单!$U$4:$U$4003,"正常",出库单!$C$4:$C$4003,"&gt;="&amp;账期起,出库单!$C$4:$C$4003,"&lt;="&amp;账期止),0))</f>
        <v/>
      </c>
      <c r="R1154" s="27">
        <f>IF($A1154="","",SUMIFS(出库单!$J$4:$J$4003,出库单!$D$4:$D$4003,$A1154,出库单!$K$4:$K$4003,"对外销售",出库单!$U$4:$U$4003,"正常",出库单!$C$4:$C$4003,"&gt;="&amp;账期起,出库单!$C$4:$C$4003,"&lt;="&amp;账期止))</f>
        <v/>
      </c>
      <c r="S1154" s="26">
        <f>IF($A1154="","",ROUND(SUMIFS(出库单!$S$4:$S$4003,出库单!$D$4:$D$4003,$A1154,出库单!$K$4:$K$4003,"对外销售",出库单!$U$4:$U$4003,"正常",出库单!$C$4:$C$4003,"&gt;="&amp;账期起,出库单!$C$4:$C$4003,"&lt;="&amp;账期止),0))</f>
        <v/>
      </c>
      <c r="T1154" s="27">
        <f>IF($A1154="","",SUMIFS(出库单!$J$4:$J$4003,出库单!$D$4:$D$4003,$A1154,出库单!$K$4:$K$4003,"盘亏",出库单!$U$4:$U$4003,"正常",出库单!$C$4:$C$4003,"&gt;="&amp;账期起,出库单!$C$4:$C$4003,"&lt;="&amp;账期止))</f>
        <v/>
      </c>
      <c r="U1154" s="26">
        <f>IF($A1154="","",ROUND(SUMIFS(出库单!$S$4:$S$4003,出库单!$D$4:$D$4003,$A1154,出库单!$K$4:$K$4003,"盘亏",出库单!$U$4:$U$4003,"正常",出库单!$C$4:$C$4003,"&gt;="&amp;账期起,出库单!$C$4:$C$4003,"&lt;="&amp;账期止),0))</f>
        <v/>
      </c>
      <c r="V1154" s="27">
        <f>IF($A1154="","",SUMIFS(出库单!$J$4:$J$4003,出库单!$D$4:$D$4003,$A1154,出库单!$K$4:$K$4003,"退货给供应商",出库单!$U$4:$U$4003,"正常",出库单!$C$4:$C$4003,"&gt;="&amp;账期起,出库单!$C$4:$C$4003,"&lt;="&amp;账期止))</f>
        <v/>
      </c>
      <c r="W1154" s="26">
        <f>IF($A1154="","",ROUND(SUMIFS(出库单!$S$4:$S$4003,出库单!$D$4:$D$4003,$A1154,出库单!$K$4:$K$4003,"退货给供应商",出库单!$U$4:$U$4003,"正常",出库单!$C$4:$C$4003,"&gt;="&amp;账期起,出库单!$C$4:$C$4003,"&lt;="&amp;账期止),0))</f>
        <v/>
      </c>
      <c r="X1154" s="27">
        <f>IF($A1154="","",ROUND(N($G1154)+$I1154+$L1154+$N1154-$P1154-$R1154-$T1154-$V1154,3))</f>
        <v/>
      </c>
      <c r="Y1154" s="26">
        <f>IF($A1154="","",ROUND(N($H1154)+$J1154+$M1154+$O1154-$Q1154-$S1154-$U1154-$W1154,0))</f>
        <v/>
      </c>
      <c r="Z1154" s="24">
        <f>IF($A1154="","",IF(COUNTIFS(入库单!$G$4:$G$2503,$A1154,入库单!$Y$4:$Y$2503,"待补价")+COUNTIFS(入库单!$G$4:$G$2503,$A1154,入库单!$Y$4:$Y$2503,"暂估")&gt;0,"不可信","可信"))</f>
        <v/>
      </c>
      <c r="AA1154" s="24">
        <f>IF($A1154="","",IF($X1154&lt;-0.001,"※账面负库存，查一下是不是漏记入库",IF(AND(ROUND($X1154,3)=0,ABS($Y1154)&gt;1),"※数量已经是 0，金额还挂着 "&amp;TEXT($Y1154,"#,##0")&amp;" 先令",IF(AND($X1154&gt;0,$Y1154&lt;=0,$K1154=0),"※有数量没金额（这个物料一直没填过进价）",IF($Z1154="不可信","△成本含待补价/暂估，毛利仅供参考","")))))</f>
        <v/>
      </c>
    </row>
    <row r="1155">
      <c r="A1155" s="24">
        <f>IF(物料档案!$A1154="","",物料档案!$A1154)</f>
        <v/>
      </c>
      <c r="B1155" s="24">
        <f>IF($A1155="","",IFERROR(VLOOKUP($A1155,物料档案!$A$4:$P$1203,3,0),""))</f>
        <v/>
      </c>
      <c r="C1155" s="24">
        <f>IF($A1155="","",IFERROR(VLOOKUP($A1155,物料档案!$A$4:$P$1203,4,0),""))</f>
        <v/>
      </c>
      <c r="D1155" s="24">
        <f>IF($A1155="","",IFERROR(VLOOKUP($A1155,物料档案!$A$4:$P$1203,5,0),""))</f>
        <v/>
      </c>
      <c r="E1155" s="24">
        <f>IF($A1155="","",IFERROR(VLOOKUP($A1155,物料档案!$A$4:$P$1203,2,0),""))</f>
        <v/>
      </c>
      <c r="F1155" s="24">
        <f>IF($A1155="","",IFERROR(VLOOKUP($A1155,物料档案!$A$4:$P$1203,6,0),""))</f>
        <v/>
      </c>
      <c r="G1155" s="23" t="n"/>
      <c r="H1155" s="32" t="n"/>
      <c r="I1155" s="27">
        <f>IF($A1155="","",SUMIFS(入库单!$K$4:$K$2503,入库单!$G$4:$G$2503,$A1155,入库单!$X$4:$X$2503,"采购入库",入库单!$Z$4:$Z$2503,"正常",入库单!$C$4:$C$2503,"&gt;="&amp;账期起,入库单!$C$4:$C$2503,"&lt;="&amp;账期止))</f>
        <v/>
      </c>
      <c r="J1155" s="26">
        <f>IF($A1155="","",SUMIFS(入库单!$V$4:$V$2503,入库单!$G$4:$G$2503,$A1155,入库单!$X$4:$X$2503,"采购入库",入库单!$Z$4:$Z$2503,"正常",入库单!$C$4:$C$2503,"&gt;="&amp;账期起,入库单!$C$4:$C$2503,"&lt;="&amp;账期止))</f>
        <v/>
      </c>
      <c r="K1155" s="26">
        <f>IF($A1155="","",IFERROR(ROUND((N($H1155)+N($J1155))/(N($G1155)+N($I1155)),2),0))</f>
        <v/>
      </c>
      <c r="L1155" s="27">
        <f>IF($A1155="","",SUMIFS(入库单!$K$4:$K$2503,入库单!$G$4:$G$2503,$A1155,入库单!$X$4:$X$2503,"盘盈",入库单!$Z$4:$Z$2503,"正常",入库单!$C$4:$C$2503,"&gt;="&amp;账期起,入库单!$C$4:$C$2503,"&lt;="&amp;账期止))</f>
        <v/>
      </c>
      <c r="M1155" s="26">
        <f>IF($A1155="","",ROUND($L1155*$K1155,0))</f>
        <v/>
      </c>
      <c r="N1155" s="27">
        <f>IF($A1155="","",SUMIFS(入库单!$K$4:$K$2503,入库单!$G$4:$G$2503,$A1155,入库单!$X$4:$X$2503,"矿区退库",入库单!$Z$4:$Z$2503,"正常",入库单!$C$4:$C$2503,"&gt;="&amp;账期起,入库单!$C$4:$C$2503,"&lt;="&amp;账期止))</f>
        <v/>
      </c>
      <c r="O1155" s="26">
        <f>IF($A1155="","",ROUND($N1155*$K1155,0))</f>
        <v/>
      </c>
      <c r="P1155" s="27">
        <f>IF($A1155="","",SUMIFS(出库单!$J$4:$J$4003,出库单!$D$4:$D$4003,$A1155,出库单!$K$4:$K$4003,"自用消耗",出库单!$U$4:$U$4003,"正常",出库单!$C$4:$C$4003,"&gt;="&amp;账期起,出库单!$C$4:$C$4003,"&lt;="&amp;账期止))</f>
        <v/>
      </c>
      <c r="Q1155" s="26">
        <f>IF($A1155="","",ROUND(SUMIFS(出库单!$S$4:$S$4003,出库单!$D$4:$D$4003,$A1155,出库单!$K$4:$K$4003,"自用消耗",出库单!$U$4:$U$4003,"正常",出库单!$C$4:$C$4003,"&gt;="&amp;账期起,出库单!$C$4:$C$4003,"&lt;="&amp;账期止),0))</f>
        <v/>
      </c>
      <c r="R1155" s="27">
        <f>IF($A1155="","",SUMIFS(出库单!$J$4:$J$4003,出库单!$D$4:$D$4003,$A1155,出库单!$K$4:$K$4003,"对外销售",出库单!$U$4:$U$4003,"正常",出库单!$C$4:$C$4003,"&gt;="&amp;账期起,出库单!$C$4:$C$4003,"&lt;="&amp;账期止))</f>
        <v/>
      </c>
      <c r="S1155" s="26">
        <f>IF($A1155="","",ROUND(SUMIFS(出库单!$S$4:$S$4003,出库单!$D$4:$D$4003,$A1155,出库单!$K$4:$K$4003,"对外销售",出库单!$U$4:$U$4003,"正常",出库单!$C$4:$C$4003,"&gt;="&amp;账期起,出库单!$C$4:$C$4003,"&lt;="&amp;账期止),0))</f>
        <v/>
      </c>
      <c r="T1155" s="27">
        <f>IF($A1155="","",SUMIFS(出库单!$J$4:$J$4003,出库单!$D$4:$D$4003,$A1155,出库单!$K$4:$K$4003,"盘亏",出库单!$U$4:$U$4003,"正常",出库单!$C$4:$C$4003,"&gt;="&amp;账期起,出库单!$C$4:$C$4003,"&lt;="&amp;账期止))</f>
        <v/>
      </c>
      <c r="U1155" s="26">
        <f>IF($A1155="","",ROUND(SUMIFS(出库单!$S$4:$S$4003,出库单!$D$4:$D$4003,$A1155,出库单!$K$4:$K$4003,"盘亏",出库单!$U$4:$U$4003,"正常",出库单!$C$4:$C$4003,"&gt;="&amp;账期起,出库单!$C$4:$C$4003,"&lt;="&amp;账期止),0))</f>
        <v/>
      </c>
      <c r="V1155" s="27">
        <f>IF($A1155="","",SUMIFS(出库单!$J$4:$J$4003,出库单!$D$4:$D$4003,$A1155,出库单!$K$4:$K$4003,"退货给供应商",出库单!$U$4:$U$4003,"正常",出库单!$C$4:$C$4003,"&gt;="&amp;账期起,出库单!$C$4:$C$4003,"&lt;="&amp;账期止))</f>
        <v/>
      </c>
      <c r="W1155" s="26">
        <f>IF($A1155="","",ROUND(SUMIFS(出库单!$S$4:$S$4003,出库单!$D$4:$D$4003,$A1155,出库单!$K$4:$K$4003,"退货给供应商",出库单!$U$4:$U$4003,"正常",出库单!$C$4:$C$4003,"&gt;="&amp;账期起,出库单!$C$4:$C$4003,"&lt;="&amp;账期止),0))</f>
        <v/>
      </c>
      <c r="X1155" s="27">
        <f>IF($A1155="","",ROUND(N($G1155)+$I1155+$L1155+$N1155-$P1155-$R1155-$T1155-$V1155,3))</f>
        <v/>
      </c>
      <c r="Y1155" s="26">
        <f>IF($A1155="","",ROUND(N($H1155)+$J1155+$M1155+$O1155-$Q1155-$S1155-$U1155-$W1155,0))</f>
        <v/>
      </c>
      <c r="Z1155" s="24">
        <f>IF($A1155="","",IF(COUNTIFS(入库单!$G$4:$G$2503,$A1155,入库单!$Y$4:$Y$2503,"待补价")+COUNTIFS(入库单!$G$4:$G$2503,$A1155,入库单!$Y$4:$Y$2503,"暂估")&gt;0,"不可信","可信"))</f>
        <v/>
      </c>
      <c r="AA1155" s="24">
        <f>IF($A1155="","",IF($X1155&lt;-0.001,"※账面负库存，查一下是不是漏记入库",IF(AND(ROUND($X1155,3)=0,ABS($Y1155)&gt;1),"※数量已经是 0，金额还挂着 "&amp;TEXT($Y1155,"#,##0")&amp;" 先令",IF(AND($X1155&gt;0,$Y1155&lt;=0,$K1155=0),"※有数量没金额（这个物料一直没填过进价）",IF($Z1155="不可信","△成本含待补价/暂估，毛利仅供参考","")))))</f>
        <v/>
      </c>
    </row>
    <row r="1156">
      <c r="A1156" s="24">
        <f>IF(物料档案!$A1155="","",物料档案!$A1155)</f>
        <v/>
      </c>
      <c r="B1156" s="24">
        <f>IF($A1156="","",IFERROR(VLOOKUP($A1156,物料档案!$A$4:$P$1203,3,0),""))</f>
        <v/>
      </c>
      <c r="C1156" s="24">
        <f>IF($A1156="","",IFERROR(VLOOKUP($A1156,物料档案!$A$4:$P$1203,4,0),""))</f>
        <v/>
      </c>
      <c r="D1156" s="24">
        <f>IF($A1156="","",IFERROR(VLOOKUP($A1156,物料档案!$A$4:$P$1203,5,0),""))</f>
        <v/>
      </c>
      <c r="E1156" s="24">
        <f>IF($A1156="","",IFERROR(VLOOKUP($A1156,物料档案!$A$4:$P$1203,2,0),""))</f>
        <v/>
      </c>
      <c r="F1156" s="24">
        <f>IF($A1156="","",IFERROR(VLOOKUP($A1156,物料档案!$A$4:$P$1203,6,0),""))</f>
        <v/>
      </c>
      <c r="G1156" s="23" t="n"/>
      <c r="H1156" s="32" t="n"/>
      <c r="I1156" s="27">
        <f>IF($A1156="","",SUMIFS(入库单!$K$4:$K$2503,入库单!$G$4:$G$2503,$A1156,入库单!$X$4:$X$2503,"采购入库",入库单!$Z$4:$Z$2503,"正常",入库单!$C$4:$C$2503,"&gt;="&amp;账期起,入库单!$C$4:$C$2503,"&lt;="&amp;账期止))</f>
        <v/>
      </c>
      <c r="J1156" s="26">
        <f>IF($A1156="","",SUMIFS(入库单!$V$4:$V$2503,入库单!$G$4:$G$2503,$A1156,入库单!$X$4:$X$2503,"采购入库",入库单!$Z$4:$Z$2503,"正常",入库单!$C$4:$C$2503,"&gt;="&amp;账期起,入库单!$C$4:$C$2503,"&lt;="&amp;账期止))</f>
        <v/>
      </c>
      <c r="K1156" s="26">
        <f>IF($A1156="","",IFERROR(ROUND((N($H1156)+N($J1156))/(N($G1156)+N($I1156)),2),0))</f>
        <v/>
      </c>
      <c r="L1156" s="27">
        <f>IF($A1156="","",SUMIFS(入库单!$K$4:$K$2503,入库单!$G$4:$G$2503,$A1156,入库单!$X$4:$X$2503,"盘盈",入库单!$Z$4:$Z$2503,"正常",入库单!$C$4:$C$2503,"&gt;="&amp;账期起,入库单!$C$4:$C$2503,"&lt;="&amp;账期止))</f>
        <v/>
      </c>
      <c r="M1156" s="26">
        <f>IF($A1156="","",ROUND($L1156*$K1156,0))</f>
        <v/>
      </c>
      <c r="N1156" s="27">
        <f>IF($A1156="","",SUMIFS(入库单!$K$4:$K$2503,入库单!$G$4:$G$2503,$A1156,入库单!$X$4:$X$2503,"矿区退库",入库单!$Z$4:$Z$2503,"正常",入库单!$C$4:$C$2503,"&gt;="&amp;账期起,入库单!$C$4:$C$2503,"&lt;="&amp;账期止))</f>
        <v/>
      </c>
      <c r="O1156" s="26">
        <f>IF($A1156="","",ROUND($N1156*$K1156,0))</f>
        <v/>
      </c>
      <c r="P1156" s="27">
        <f>IF($A1156="","",SUMIFS(出库单!$J$4:$J$4003,出库单!$D$4:$D$4003,$A1156,出库单!$K$4:$K$4003,"自用消耗",出库单!$U$4:$U$4003,"正常",出库单!$C$4:$C$4003,"&gt;="&amp;账期起,出库单!$C$4:$C$4003,"&lt;="&amp;账期止))</f>
        <v/>
      </c>
      <c r="Q1156" s="26">
        <f>IF($A1156="","",ROUND(SUMIFS(出库单!$S$4:$S$4003,出库单!$D$4:$D$4003,$A1156,出库单!$K$4:$K$4003,"自用消耗",出库单!$U$4:$U$4003,"正常",出库单!$C$4:$C$4003,"&gt;="&amp;账期起,出库单!$C$4:$C$4003,"&lt;="&amp;账期止),0))</f>
        <v/>
      </c>
      <c r="R1156" s="27">
        <f>IF($A1156="","",SUMIFS(出库单!$J$4:$J$4003,出库单!$D$4:$D$4003,$A1156,出库单!$K$4:$K$4003,"对外销售",出库单!$U$4:$U$4003,"正常",出库单!$C$4:$C$4003,"&gt;="&amp;账期起,出库单!$C$4:$C$4003,"&lt;="&amp;账期止))</f>
        <v/>
      </c>
      <c r="S1156" s="26">
        <f>IF($A1156="","",ROUND(SUMIFS(出库单!$S$4:$S$4003,出库单!$D$4:$D$4003,$A1156,出库单!$K$4:$K$4003,"对外销售",出库单!$U$4:$U$4003,"正常",出库单!$C$4:$C$4003,"&gt;="&amp;账期起,出库单!$C$4:$C$4003,"&lt;="&amp;账期止),0))</f>
        <v/>
      </c>
      <c r="T1156" s="27">
        <f>IF($A1156="","",SUMIFS(出库单!$J$4:$J$4003,出库单!$D$4:$D$4003,$A1156,出库单!$K$4:$K$4003,"盘亏",出库单!$U$4:$U$4003,"正常",出库单!$C$4:$C$4003,"&gt;="&amp;账期起,出库单!$C$4:$C$4003,"&lt;="&amp;账期止))</f>
        <v/>
      </c>
      <c r="U1156" s="26">
        <f>IF($A1156="","",ROUND(SUMIFS(出库单!$S$4:$S$4003,出库单!$D$4:$D$4003,$A1156,出库单!$K$4:$K$4003,"盘亏",出库单!$U$4:$U$4003,"正常",出库单!$C$4:$C$4003,"&gt;="&amp;账期起,出库单!$C$4:$C$4003,"&lt;="&amp;账期止),0))</f>
        <v/>
      </c>
      <c r="V1156" s="27">
        <f>IF($A1156="","",SUMIFS(出库单!$J$4:$J$4003,出库单!$D$4:$D$4003,$A1156,出库单!$K$4:$K$4003,"退货给供应商",出库单!$U$4:$U$4003,"正常",出库单!$C$4:$C$4003,"&gt;="&amp;账期起,出库单!$C$4:$C$4003,"&lt;="&amp;账期止))</f>
        <v/>
      </c>
      <c r="W1156" s="26">
        <f>IF($A1156="","",ROUND(SUMIFS(出库单!$S$4:$S$4003,出库单!$D$4:$D$4003,$A1156,出库单!$K$4:$K$4003,"退货给供应商",出库单!$U$4:$U$4003,"正常",出库单!$C$4:$C$4003,"&gt;="&amp;账期起,出库单!$C$4:$C$4003,"&lt;="&amp;账期止),0))</f>
        <v/>
      </c>
      <c r="X1156" s="27">
        <f>IF($A1156="","",ROUND(N($G1156)+$I1156+$L1156+$N1156-$P1156-$R1156-$T1156-$V1156,3))</f>
        <v/>
      </c>
      <c r="Y1156" s="26">
        <f>IF($A1156="","",ROUND(N($H1156)+$J1156+$M1156+$O1156-$Q1156-$S1156-$U1156-$W1156,0))</f>
        <v/>
      </c>
      <c r="Z1156" s="24">
        <f>IF($A1156="","",IF(COUNTIFS(入库单!$G$4:$G$2503,$A1156,入库单!$Y$4:$Y$2503,"待补价")+COUNTIFS(入库单!$G$4:$G$2503,$A1156,入库单!$Y$4:$Y$2503,"暂估")&gt;0,"不可信","可信"))</f>
        <v/>
      </c>
      <c r="AA1156" s="24">
        <f>IF($A1156="","",IF($X1156&lt;-0.001,"※账面负库存，查一下是不是漏记入库",IF(AND(ROUND($X1156,3)=0,ABS($Y1156)&gt;1),"※数量已经是 0，金额还挂着 "&amp;TEXT($Y1156,"#,##0")&amp;" 先令",IF(AND($X1156&gt;0,$Y1156&lt;=0,$K1156=0),"※有数量没金额（这个物料一直没填过进价）",IF($Z1156="不可信","△成本含待补价/暂估，毛利仅供参考","")))))</f>
        <v/>
      </c>
    </row>
    <row r="1157">
      <c r="A1157" s="24">
        <f>IF(物料档案!$A1156="","",物料档案!$A1156)</f>
        <v/>
      </c>
      <c r="B1157" s="24">
        <f>IF($A1157="","",IFERROR(VLOOKUP($A1157,物料档案!$A$4:$P$1203,3,0),""))</f>
        <v/>
      </c>
      <c r="C1157" s="24">
        <f>IF($A1157="","",IFERROR(VLOOKUP($A1157,物料档案!$A$4:$P$1203,4,0),""))</f>
        <v/>
      </c>
      <c r="D1157" s="24">
        <f>IF($A1157="","",IFERROR(VLOOKUP($A1157,物料档案!$A$4:$P$1203,5,0),""))</f>
        <v/>
      </c>
      <c r="E1157" s="24">
        <f>IF($A1157="","",IFERROR(VLOOKUP($A1157,物料档案!$A$4:$P$1203,2,0),""))</f>
        <v/>
      </c>
      <c r="F1157" s="24">
        <f>IF($A1157="","",IFERROR(VLOOKUP($A1157,物料档案!$A$4:$P$1203,6,0),""))</f>
        <v/>
      </c>
      <c r="G1157" s="23" t="n"/>
      <c r="H1157" s="32" t="n"/>
      <c r="I1157" s="27">
        <f>IF($A1157="","",SUMIFS(入库单!$K$4:$K$2503,入库单!$G$4:$G$2503,$A1157,入库单!$X$4:$X$2503,"采购入库",入库单!$Z$4:$Z$2503,"正常",入库单!$C$4:$C$2503,"&gt;="&amp;账期起,入库单!$C$4:$C$2503,"&lt;="&amp;账期止))</f>
        <v/>
      </c>
      <c r="J1157" s="26">
        <f>IF($A1157="","",SUMIFS(入库单!$V$4:$V$2503,入库单!$G$4:$G$2503,$A1157,入库单!$X$4:$X$2503,"采购入库",入库单!$Z$4:$Z$2503,"正常",入库单!$C$4:$C$2503,"&gt;="&amp;账期起,入库单!$C$4:$C$2503,"&lt;="&amp;账期止))</f>
        <v/>
      </c>
      <c r="K1157" s="26">
        <f>IF($A1157="","",IFERROR(ROUND((N($H1157)+N($J1157))/(N($G1157)+N($I1157)),2),0))</f>
        <v/>
      </c>
      <c r="L1157" s="27">
        <f>IF($A1157="","",SUMIFS(入库单!$K$4:$K$2503,入库单!$G$4:$G$2503,$A1157,入库单!$X$4:$X$2503,"盘盈",入库单!$Z$4:$Z$2503,"正常",入库单!$C$4:$C$2503,"&gt;="&amp;账期起,入库单!$C$4:$C$2503,"&lt;="&amp;账期止))</f>
        <v/>
      </c>
      <c r="M1157" s="26">
        <f>IF($A1157="","",ROUND($L1157*$K1157,0))</f>
        <v/>
      </c>
      <c r="N1157" s="27">
        <f>IF($A1157="","",SUMIFS(入库单!$K$4:$K$2503,入库单!$G$4:$G$2503,$A1157,入库单!$X$4:$X$2503,"矿区退库",入库单!$Z$4:$Z$2503,"正常",入库单!$C$4:$C$2503,"&gt;="&amp;账期起,入库单!$C$4:$C$2503,"&lt;="&amp;账期止))</f>
        <v/>
      </c>
      <c r="O1157" s="26">
        <f>IF($A1157="","",ROUND($N1157*$K1157,0))</f>
        <v/>
      </c>
      <c r="P1157" s="27">
        <f>IF($A1157="","",SUMIFS(出库单!$J$4:$J$4003,出库单!$D$4:$D$4003,$A1157,出库单!$K$4:$K$4003,"自用消耗",出库单!$U$4:$U$4003,"正常",出库单!$C$4:$C$4003,"&gt;="&amp;账期起,出库单!$C$4:$C$4003,"&lt;="&amp;账期止))</f>
        <v/>
      </c>
      <c r="Q1157" s="26">
        <f>IF($A1157="","",ROUND(SUMIFS(出库单!$S$4:$S$4003,出库单!$D$4:$D$4003,$A1157,出库单!$K$4:$K$4003,"自用消耗",出库单!$U$4:$U$4003,"正常",出库单!$C$4:$C$4003,"&gt;="&amp;账期起,出库单!$C$4:$C$4003,"&lt;="&amp;账期止),0))</f>
        <v/>
      </c>
      <c r="R1157" s="27">
        <f>IF($A1157="","",SUMIFS(出库单!$J$4:$J$4003,出库单!$D$4:$D$4003,$A1157,出库单!$K$4:$K$4003,"对外销售",出库单!$U$4:$U$4003,"正常",出库单!$C$4:$C$4003,"&gt;="&amp;账期起,出库单!$C$4:$C$4003,"&lt;="&amp;账期止))</f>
        <v/>
      </c>
      <c r="S1157" s="26">
        <f>IF($A1157="","",ROUND(SUMIFS(出库单!$S$4:$S$4003,出库单!$D$4:$D$4003,$A1157,出库单!$K$4:$K$4003,"对外销售",出库单!$U$4:$U$4003,"正常",出库单!$C$4:$C$4003,"&gt;="&amp;账期起,出库单!$C$4:$C$4003,"&lt;="&amp;账期止),0))</f>
        <v/>
      </c>
      <c r="T1157" s="27">
        <f>IF($A1157="","",SUMIFS(出库单!$J$4:$J$4003,出库单!$D$4:$D$4003,$A1157,出库单!$K$4:$K$4003,"盘亏",出库单!$U$4:$U$4003,"正常",出库单!$C$4:$C$4003,"&gt;="&amp;账期起,出库单!$C$4:$C$4003,"&lt;="&amp;账期止))</f>
        <v/>
      </c>
      <c r="U1157" s="26">
        <f>IF($A1157="","",ROUND(SUMIFS(出库单!$S$4:$S$4003,出库单!$D$4:$D$4003,$A1157,出库单!$K$4:$K$4003,"盘亏",出库单!$U$4:$U$4003,"正常",出库单!$C$4:$C$4003,"&gt;="&amp;账期起,出库单!$C$4:$C$4003,"&lt;="&amp;账期止),0))</f>
        <v/>
      </c>
      <c r="V1157" s="27">
        <f>IF($A1157="","",SUMIFS(出库单!$J$4:$J$4003,出库单!$D$4:$D$4003,$A1157,出库单!$K$4:$K$4003,"退货给供应商",出库单!$U$4:$U$4003,"正常",出库单!$C$4:$C$4003,"&gt;="&amp;账期起,出库单!$C$4:$C$4003,"&lt;="&amp;账期止))</f>
        <v/>
      </c>
      <c r="W1157" s="26">
        <f>IF($A1157="","",ROUND(SUMIFS(出库单!$S$4:$S$4003,出库单!$D$4:$D$4003,$A1157,出库单!$K$4:$K$4003,"退货给供应商",出库单!$U$4:$U$4003,"正常",出库单!$C$4:$C$4003,"&gt;="&amp;账期起,出库单!$C$4:$C$4003,"&lt;="&amp;账期止),0))</f>
        <v/>
      </c>
      <c r="X1157" s="27">
        <f>IF($A1157="","",ROUND(N($G1157)+$I1157+$L1157+$N1157-$P1157-$R1157-$T1157-$V1157,3))</f>
        <v/>
      </c>
      <c r="Y1157" s="26">
        <f>IF($A1157="","",ROUND(N($H1157)+$J1157+$M1157+$O1157-$Q1157-$S1157-$U1157-$W1157,0))</f>
        <v/>
      </c>
      <c r="Z1157" s="24">
        <f>IF($A1157="","",IF(COUNTIFS(入库单!$G$4:$G$2503,$A1157,入库单!$Y$4:$Y$2503,"待补价")+COUNTIFS(入库单!$G$4:$G$2503,$A1157,入库单!$Y$4:$Y$2503,"暂估")&gt;0,"不可信","可信"))</f>
        <v/>
      </c>
      <c r="AA1157" s="24">
        <f>IF($A1157="","",IF($X1157&lt;-0.001,"※账面负库存，查一下是不是漏记入库",IF(AND(ROUND($X1157,3)=0,ABS($Y1157)&gt;1),"※数量已经是 0，金额还挂着 "&amp;TEXT($Y1157,"#,##0")&amp;" 先令",IF(AND($X1157&gt;0,$Y1157&lt;=0,$K1157=0),"※有数量没金额（这个物料一直没填过进价）",IF($Z1157="不可信","△成本含待补价/暂估，毛利仅供参考","")))))</f>
        <v/>
      </c>
    </row>
    <row r="1158">
      <c r="A1158" s="24">
        <f>IF(物料档案!$A1157="","",物料档案!$A1157)</f>
        <v/>
      </c>
      <c r="B1158" s="24">
        <f>IF($A1158="","",IFERROR(VLOOKUP($A1158,物料档案!$A$4:$P$1203,3,0),""))</f>
        <v/>
      </c>
      <c r="C1158" s="24">
        <f>IF($A1158="","",IFERROR(VLOOKUP($A1158,物料档案!$A$4:$P$1203,4,0),""))</f>
        <v/>
      </c>
      <c r="D1158" s="24">
        <f>IF($A1158="","",IFERROR(VLOOKUP($A1158,物料档案!$A$4:$P$1203,5,0),""))</f>
        <v/>
      </c>
      <c r="E1158" s="24">
        <f>IF($A1158="","",IFERROR(VLOOKUP($A1158,物料档案!$A$4:$P$1203,2,0),""))</f>
        <v/>
      </c>
      <c r="F1158" s="24">
        <f>IF($A1158="","",IFERROR(VLOOKUP($A1158,物料档案!$A$4:$P$1203,6,0),""))</f>
        <v/>
      </c>
      <c r="G1158" s="23" t="n"/>
      <c r="H1158" s="32" t="n"/>
      <c r="I1158" s="27">
        <f>IF($A1158="","",SUMIFS(入库单!$K$4:$K$2503,入库单!$G$4:$G$2503,$A1158,入库单!$X$4:$X$2503,"采购入库",入库单!$Z$4:$Z$2503,"正常",入库单!$C$4:$C$2503,"&gt;="&amp;账期起,入库单!$C$4:$C$2503,"&lt;="&amp;账期止))</f>
        <v/>
      </c>
      <c r="J1158" s="26">
        <f>IF($A1158="","",SUMIFS(入库单!$V$4:$V$2503,入库单!$G$4:$G$2503,$A1158,入库单!$X$4:$X$2503,"采购入库",入库单!$Z$4:$Z$2503,"正常",入库单!$C$4:$C$2503,"&gt;="&amp;账期起,入库单!$C$4:$C$2503,"&lt;="&amp;账期止))</f>
        <v/>
      </c>
      <c r="K1158" s="26">
        <f>IF($A1158="","",IFERROR(ROUND((N($H1158)+N($J1158))/(N($G1158)+N($I1158)),2),0))</f>
        <v/>
      </c>
      <c r="L1158" s="27">
        <f>IF($A1158="","",SUMIFS(入库单!$K$4:$K$2503,入库单!$G$4:$G$2503,$A1158,入库单!$X$4:$X$2503,"盘盈",入库单!$Z$4:$Z$2503,"正常",入库单!$C$4:$C$2503,"&gt;="&amp;账期起,入库单!$C$4:$C$2503,"&lt;="&amp;账期止))</f>
        <v/>
      </c>
      <c r="M1158" s="26">
        <f>IF($A1158="","",ROUND($L1158*$K1158,0))</f>
        <v/>
      </c>
      <c r="N1158" s="27">
        <f>IF($A1158="","",SUMIFS(入库单!$K$4:$K$2503,入库单!$G$4:$G$2503,$A1158,入库单!$X$4:$X$2503,"矿区退库",入库单!$Z$4:$Z$2503,"正常",入库单!$C$4:$C$2503,"&gt;="&amp;账期起,入库单!$C$4:$C$2503,"&lt;="&amp;账期止))</f>
        <v/>
      </c>
      <c r="O1158" s="26">
        <f>IF($A1158="","",ROUND($N1158*$K1158,0))</f>
        <v/>
      </c>
      <c r="P1158" s="27">
        <f>IF($A1158="","",SUMIFS(出库单!$J$4:$J$4003,出库单!$D$4:$D$4003,$A1158,出库单!$K$4:$K$4003,"自用消耗",出库单!$U$4:$U$4003,"正常",出库单!$C$4:$C$4003,"&gt;="&amp;账期起,出库单!$C$4:$C$4003,"&lt;="&amp;账期止))</f>
        <v/>
      </c>
      <c r="Q1158" s="26">
        <f>IF($A1158="","",ROUND(SUMIFS(出库单!$S$4:$S$4003,出库单!$D$4:$D$4003,$A1158,出库单!$K$4:$K$4003,"自用消耗",出库单!$U$4:$U$4003,"正常",出库单!$C$4:$C$4003,"&gt;="&amp;账期起,出库单!$C$4:$C$4003,"&lt;="&amp;账期止),0))</f>
        <v/>
      </c>
      <c r="R1158" s="27">
        <f>IF($A1158="","",SUMIFS(出库单!$J$4:$J$4003,出库单!$D$4:$D$4003,$A1158,出库单!$K$4:$K$4003,"对外销售",出库单!$U$4:$U$4003,"正常",出库单!$C$4:$C$4003,"&gt;="&amp;账期起,出库单!$C$4:$C$4003,"&lt;="&amp;账期止))</f>
        <v/>
      </c>
      <c r="S1158" s="26">
        <f>IF($A1158="","",ROUND(SUMIFS(出库单!$S$4:$S$4003,出库单!$D$4:$D$4003,$A1158,出库单!$K$4:$K$4003,"对外销售",出库单!$U$4:$U$4003,"正常",出库单!$C$4:$C$4003,"&gt;="&amp;账期起,出库单!$C$4:$C$4003,"&lt;="&amp;账期止),0))</f>
        <v/>
      </c>
      <c r="T1158" s="27">
        <f>IF($A1158="","",SUMIFS(出库单!$J$4:$J$4003,出库单!$D$4:$D$4003,$A1158,出库单!$K$4:$K$4003,"盘亏",出库单!$U$4:$U$4003,"正常",出库单!$C$4:$C$4003,"&gt;="&amp;账期起,出库单!$C$4:$C$4003,"&lt;="&amp;账期止))</f>
        <v/>
      </c>
      <c r="U1158" s="26">
        <f>IF($A1158="","",ROUND(SUMIFS(出库单!$S$4:$S$4003,出库单!$D$4:$D$4003,$A1158,出库单!$K$4:$K$4003,"盘亏",出库单!$U$4:$U$4003,"正常",出库单!$C$4:$C$4003,"&gt;="&amp;账期起,出库单!$C$4:$C$4003,"&lt;="&amp;账期止),0))</f>
        <v/>
      </c>
      <c r="V1158" s="27">
        <f>IF($A1158="","",SUMIFS(出库单!$J$4:$J$4003,出库单!$D$4:$D$4003,$A1158,出库单!$K$4:$K$4003,"退货给供应商",出库单!$U$4:$U$4003,"正常",出库单!$C$4:$C$4003,"&gt;="&amp;账期起,出库单!$C$4:$C$4003,"&lt;="&amp;账期止))</f>
        <v/>
      </c>
      <c r="W1158" s="26">
        <f>IF($A1158="","",ROUND(SUMIFS(出库单!$S$4:$S$4003,出库单!$D$4:$D$4003,$A1158,出库单!$K$4:$K$4003,"退货给供应商",出库单!$U$4:$U$4003,"正常",出库单!$C$4:$C$4003,"&gt;="&amp;账期起,出库单!$C$4:$C$4003,"&lt;="&amp;账期止),0))</f>
        <v/>
      </c>
      <c r="X1158" s="27">
        <f>IF($A1158="","",ROUND(N($G1158)+$I1158+$L1158+$N1158-$P1158-$R1158-$T1158-$V1158,3))</f>
        <v/>
      </c>
      <c r="Y1158" s="26">
        <f>IF($A1158="","",ROUND(N($H1158)+$J1158+$M1158+$O1158-$Q1158-$S1158-$U1158-$W1158,0))</f>
        <v/>
      </c>
      <c r="Z1158" s="24">
        <f>IF($A1158="","",IF(COUNTIFS(入库单!$G$4:$G$2503,$A1158,入库单!$Y$4:$Y$2503,"待补价")+COUNTIFS(入库单!$G$4:$G$2503,$A1158,入库单!$Y$4:$Y$2503,"暂估")&gt;0,"不可信","可信"))</f>
        <v/>
      </c>
      <c r="AA1158" s="24">
        <f>IF($A1158="","",IF($X1158&lt;-0.001,"※账面负库存，查一下是不是漏记入库",IF(AND(ROUND($X1158,3)=0,ABS($Y1158)&gt;1),"※数量已经是 0，金额还挂着 "&amp;TEXT($Y1158,"#,##0")&amp;" 先令",IF(AND($X1158&gt;0,$Y1158&lt;=0,$K1158=0),"※有数量没金额（这个物料一直没填过进价）",IF($Z1158="不可信","△成本含待补价/暂估，毛利仅供参考","")))))</f>
        <v/>
      </c>
    </row>
    <row r="1159">
      <c r="A1159" s="24">
        <f>IF(物料档案!$A1158="","",物料档案!$A1158)</f>
        <v/>
      </c>
      <c r="B1159" s="24">
        <f>IF($A1159="","",IFERROR(VLOOKUP($A1159,物料档案!$A$4:$P$1203,3,0),""))</f>
        <v/>
      </c>
      <c r="C1159" s="24">
        <f>IF($A1159="","",IFERROR(VLOOKUP($A1159,物料档案!$A$4:$P$1203,4,0),""))</f>
        <v/>
      </c>
      <c r="D1159" s="24">
        <f>IF($A1159="","",IFERROR(VLOOKUP($A1159,物料档案!$A$4:$P$1203,5,0),""))</f>
        <v/>
      </c>
      <c r="E1159" s="24">
        <f>IF($A1159="","",IFERROR(VLOOKUP($A1159,物料档案!$A$4:$P$1203,2,0),""))</f>
        <v/>
      </c>
      <c r="F1159" s="24">
        <f>IF($A1159="","",IFERROR(VLOOKUP($A1159,物料档案!$A$4:$P$1203,6,0),""))</f>
        <v/>
      </c>
      <c r="G1159" s="23" t="n"/>
      <c r="H1159" s="32" t="n"/>
      <c r="I1159" s="27">
        <f>IF($A1159="","",SUMIFS(入库单!$K$4:$K$2503,入库单!$G$4:$G$2503,$A1159,入库单!$X$4:$X$2503,"采购入库",入库单!$Z$4:$Z$2503,"正常",入库单!$C$4:$C$2503,"&gt;="&amp;账期起,入库单!$C$4:$C$2503,"&lt;="&amp;账期止))</f>
        <v/>
      </c>
      <c r="J1159" s="26">
        <f>IF($A1159="","",SUMIFS(入库单!$V$4:$V$2503,入库单!$G$4:$G$2503,$A1159,入库单!$X$4:$X$2503,"采购入库",入库单!$Z$4:$Z$2503,"正常",入库单!$C$4:$C$2503,"&gt;="&amp;账期起,入库单!$C$4:$C$2503,"&lt;="&amp;账期止))</f>
        <v/>
      </c>
      <c r="K1159" s="26">
        <f>IF($A1159="","",IFERROR(ROUND((N($H1159)+N($J1159))/(N($G1159)+N($I1159)),2),0))</f>
        <v/>
      </c>
      <c r="L1159" s="27">
        <f>IF($A1159="","",SUMIFS(入库单!$K$4:$K$2503,入库单!$G$4:$G$2503,$A1159,入库单!$X$4:$X$2503,"盘盈",入库单!$Z$4:$Z$2503,"正常",入库单!$C$4:$C$2503,"&gt;="&amp;账期起,入库单!$C$4:$C$2503,"&lt;="&amp;账期止))</f>
        <v/>
      </c>
      <c r="M1159" s="26">
        <f>IF($A1159="","",ROUND($L1159*$K1159,0))</f>
        <v/>
      </c>
      <c r="N1159" s="27">
        <f>IF($A1159="","",SUMIFS(入库单!$K$4:$K$2503,入库单!$G$4:$G$2503,$A1159,入库单!$X$4:$X$2503,"矿区退库",入库单!$Z$4:$Z$2503,"正常",入库单!$C$4:$C$2503,"&gt;="&amp;账期起,入库单!$C$4:$C$2503,"&lt;="&amp;账期止))</f>
        <v/>
      </c>
      <c r="O1159" s="26">
        <f>IF($A1159="","",ROUND($N1159*$K1159,0))</f>
        <v/>
      </c>
      <c r="P1159" s="27">
        <f>IF($A1159="","",SUMIFS(出库单!$J$4:$J$4003,出库单!$D$4:$D$4003,$A1159,出库单!$K$4:$K$4003,"自用消耗",出库单!$U$4:$U$4003,"正常",出库单!$C$4:$C$4003,"&gt;="&amp;账期起,出库单!$C$4:$C$4003,"&lt;="&amp;账期止))</f>
        <v/>
      </c>
      <c r="Q1159" s="26">
        <f>IF($A1159="","",ROUND(SUMIFS(出库单!$S$4:$S$4003,出库单!$D$4:$D$4003,$A1159,出库单!$K$4:$K$4003,"自用消耗",出库单!$U$4:$U$4003,"正常",出库单!$C$4:$C$4003,"&gt;="&amp;账期起,出库单!$C$4:$C$4003,"&lt;="&amp;账期止),0))</f>
        <v/>
      </c>
      <c r="R1159" s="27">
        <f>IF($A1159="","",SUMIFS(出库单!$J$4:$J$4003,出库单!$D$4:$D$4003,$A1159,出库单!$K$4:$K$4003,"对外销售",出库单!$U$4:$U$4003,"正常",出库单!$C$4:$C$4003,"&gt;="&amp;账期起,出库单!$C$4:$C$4003,"&lt;="&amp;账期止))</f>
        <v/>
      </c>
      <c r="S1159" s="26">
        <f>IF($A1159="","",ROUND(SUMIFS(出库单!$S$4:$S$4003,出库单!$D$4:$D$4003,$A1159,出库单!$K$4:$K$4003,"对外销售",出库单!$U$4:$U$4003,"正常",出库单!$C$4:$C$4003,"&gt;="&amp;账期起,出库单!$C$4:$C$4003,"&lt;="&amp;账期止),0))</f>
        <v/>
      </c>
      <c r="T1159" s="27">
        <f>IF($A1159="","",SUMIFS(出库单!$J$4:$J$4003,出库单!$D$4:$D$4003,$A1159,出库单!$K$4:$K$4003,"盘亏",出库单!$U$4:$U$4003,"正常",出库单!$C$4:$C$4003,"&gt;="&amp;账期起,出库单!$C$4:$C$4003,"&lt;="&amp;账期止))</f>
        <v/>
      </c>
      <c r="U1159" s="26">
        <f>IF($A1159="","",ROUND(SUMIFS(出库单!$S$4:$S$4003,出库单!$D$4:$D$4003,$A1159,出库单!$K$4:$K$4003,"盘亏",出库单!$U$4:$U$4003,"正常",出库单!$C$4:$C$4003,"&gt;="&amp;账期起,出库单!$C$4:$C$4003,"&lt;="&amp;账期止),0))</f>
        <v/>
      </c>
      <c r="V1159" s="27">
        <f>IF($A1159="","",SUMIFS(出库单!$J$4:$J$4003,出库单!$D$4:$D$4003,$A1159,出库单!$K$4:$K$4003,"退货给供应商",出库单!$U$4:$U$4003,"正常",出库单!$C$4:$C$4003,"&gt;="&amp;账期起,出库单!$C$4:$C$4003,"&lt;="&amp;账期止))</f>
        <v/>
      </c>
      <c r="W1159" s="26">
        <f>IF($A1159="","",ROUND(SUMIFS(出库单!$S$4:$S$4003,出库单!$D$4:$D$4003,$A1159,出库单!$K$4:$K$4003,"退货给供应商",出库单!$U$4:$U$4003,"正常",出库单!$C$4:$C$4003,"&gt;="&amp;账期起,出库单!$C$4:$C$4003,"&lt;="&amp;账期止),0))</f>
        <v/>
      </c>
      <c r="X1159" s="27">
        <f>IF($A1159="","",ROUND(N($G1159)+$I1159+$L1159+$N1159-$P1159-$R1159-$T1159-$V1159,3))</f>
        <v/>
      </c>
      <c r="Y1159" s="26">
        <f>IF($A1159="","",ROUND(N($H1159)+$J1159+$M1159+$O1159-$Q1159-$S1159-$U1159-$W1159,0))</f>
        <v/>
      </c>
      <c r="Z1159" s="24">
        <f>IF($A1159="","",IF(COUNTIFS(入库单!$G$4:$G$2503,$A1159,入库单!$Y$4:$Y$2503,"待补价")+COUNTIFS(入库单!$G$4:$G$2503,$A1159,入库单!$Y$4:$Y$2503,"暂估")&gt;0,"不可信","可信"))</f>
        <v/>
      </c>
      <c r="AA1159" s="24">
        <f>IF($A1159="","",IF($X1159&lt;-0.001,"※账面负库存，查一下是不是漏记入库",IF(AND(ROUND($X1159,3)=0,ABS($Y1159)&gt;1),"※数量已经是 0，金额还挂着 "&amp;TEXT($Y1159,"#,##0")&amp;" 先令",IF(AND($X1159&gt;0,$Y1159&lt;=0,$K1159=0),"※有数量没金额（这个物料一直没填过进价）",IF($Z1159="不可信","△成本含待补价/暂估，毛利仅供参考","")))))</f>
        <v/>
      </c>
    </row>
    <row r="1160">
      <c r="A1160" s="24">
        <f>IF(物料档案!$A1159="","",物料档案!$A1159)</f>
        <v/>
      </c>
      <c r="B1160" s="24">
        <f>IF($A1160="","",IFERROR(VLOOKUP($A1160,物料档案!$A$4:$P$1203,3,0),""))</f>
        <v/>
      </c>
      <c r="C1160" s="24">
        <f>IF($A1160="","",IFERROR(VLOOKUP($A1160,物料档案!$A$4:$P$1203,4,0),""))</f>
        <v/>
      </c>
      <c r="D1160" s="24">
        <f>IF($A1160="","",IFERROR(VLOOKUP($A1160,物料档案!$A$4:$P$1203,5,0),""))</f>
        <v/>
      </c>
      <c r="E1160" s="24">
        <f>IF($A1160="","",IFERROR(VLOOKUP($A1160,物料档案!$A$4:$P$1203,2,0),""))</f>
        <v/>
      </c>
      <c r="F1160" s="24">
        <f>IF($A1160="","",IFERROR(VLOOKUP($A1160,物料档案!$A$4:$P$1203,6,0),""))</f>
        <v/>
      </c>
      <c r="G1160" s="23" t="n"/>
      <c r="H1160" s="32" t="n"/>
      <c r="I1160" s="27">
        <f>IF($A1160="","",SUMIFS(入库单!$K$4:$K$2503,入库单!$G$4:$G$2503,$A1160,入库单!$X$4:$X$2503,"采购入库",入库单!$Z$4:$Z$2503,"正常",入库单!$C$4:$C$2503,"&gt;="&amp;账期起,入库单!$C$4:$C$2503,"&lt;="&amp;账期止))</f>
        <v/>
      </c>
      <c r="J1160" s="26">
        <f>IF($A1160="","",SUMIFS(入库单!$V$4:$V$2503,入库单!$G$4:$G$2503,$A1160,入库单!$X$4:$X$2503,"采购入库",入库单!$Z$4:$Z$2503,"正常",入库单!$C$4:$C$2503,"&gt;="&amp;账期起,入库单!$C$4:$C$2503,"&lt;="&amp;账期止))</f>
        <v/>
      </c>
      <c r="K1160" s="26">
        <f>IF($A1160="","",IFERROR(ROUND((N($H1160)+N($J1160))/(N($G1160)+N($I1160)),2),0))</f>
        <v/>
      </c>
      <c r="L1160" s="27">
        <f>IF($A1160="","",SUMIFS(入库单!$K$4:$K$2503,入库单!$G$4:$G$2503,$A1160,入库单!$X$4:$X$2503,"盘盈",入库单!$Z$4:$Z$2503,"正常",入库单!$C$4:$C$2503,"&gt;="&amp;账期起,入库单!$C$4:$C$2503,"&lt;="&amp;账期止))</f>
        <v/>
      </c>
      <c r="M1160" s="26">
        <f>IF($A1160="","",ROUND($L1160*$K1160,0))</f>
        <v/>
      </c>
      <c r="N1160" s="27">
        <f>IF($A1160="","",SUMIFS(入库单!$K$4:$K$2503,入库单!$G$4:$G$2503,$A1160,入库单!$X$4:$X$2503,"矿区退库",入库单!$Z$4:$Z$2503,"正常",入库单!$C$4:$C$2503,"&gt;="&amp;账期起,入库单!$C$4:$C$2503,"&lt;="&amp;账期止))</f>
        <v/>
      </c>
      <c r="O1160" s="26">
        <f>IF($A1160="","",ROUND($N1160*$K1160,0))</f>
        <v/>
      </c>
      <c r="P1160" s="27">
        <f>IF($A1160="","",SUMIFS(出库单!$J$4:$J$4003,出库单!$D$4:$D$4003,$A1160,出库单!$K$4:$K$4003,"自用消耗",出库单!$U$4:$U$4003,"正常",出库单!$C$4:$C$4003,"&gt;="&amp;账期起,出库单!$C$4:$C$4003,"&lt;="&amp;账期止))</f>
        <v/>
      </c>
      <c r="Q1160" s="26">
        <f>IF($A1160="","",ROUND(SUMIFS(出库单!$S$4:$S$4003,出库单!$D$4:$D$4003,$A1160,出库单!$K$4:$K$4003,"自用消耗",出库单!$U$4:$U$4003,"正常",出库单!$C$4:$C$4003,"&gt;="&amp;账期起,出库单!$C$4:$C$4003,"&lt;="&amp;账期止),0))</f>
        <v/>
      </c>
      <c r="R1160" s="27">
        <f>IF($A1160="","",SUMIFS(出库单!$J$4:$J$4003,出库单!$D$4:$D$4003,$A1160,出库单!$K$4:$K$4003,"对外销售",出库单!$U$4:$U$4003,"正常",出库单!$C$4:$C$4003,"&gt;="&amp;账期起,出库单!$C$4:$C$4003,"&lt;="&amp;账期止))</f>
        <v/>
      </c>
      <c r="S1160" s="26">
        <f>IF($A1160="","",ROUND(SUMIFS(出库单!$S$4:$S$4003,出库单!$D$4:$D$4003,$A1160,出库单!$K$4:$K$4003,"对外销售",出库单!$U$4:$U$4003,"正常",出库单!$C$4:$C$4003,"&gt;="&amp;账期起,出库单!$C$4:$C$4003,"&lt;="&amp;账期止),0))</f>
        <v/>
      </c>
      <c r="T1160" s="27">
        <f>IF($A1160="","",SUMIFS(出库单!$J$4:$J$4003,出库单!$D$4:$D$4003,$A1160,出库单!$K$4:$K$4003,"盘亏",出库单!$U$4:$U$4003,"正常",出库单!$C$4:$C$4003,"&gt;="&amp;账期起,出库单!$C$4:$C$4003,"&lt;="&amp;账期止))</f>
        <v/>
      </c>
      <c r="U1160" s="26">
        <f>IF($A1160="","",ROUND(SUMIFS(出库单!$S$4:$S$4003,出库单!$D$4:$D$4003,$A1160,出库单!$K$4:$K$4003,"盘亏",出库单!$U$4:$U$4003,"正常",出库单!$C$4:$C$4003,"&gt;="&amp;账期起,出库单!$C$4:$C$4003,"&lt;="&amp;账期止),0))</f>
        <v/>
      </c>
      <c r="V1160" s="27">
        <f>IF($A1160="","",SUMIFS(出库单!$J$4:$J$4003,出库单!$D$4:$D$4003,$A1160,出库单!$K$4:$K$4003,"退货给供应商",出库单!$U$4:$U$4003,"正常",出库单!$C$4:$C$4003,"&gt;="&amp;账期起,出库单!$C$4:$C$4003,"&lt;="&amp;账期止))</f>
        <v/>
      </c>
      <c r="W1160" s="26">
        <f>IF($A1160="","",ROUND(SUMIFS(出库单!$S$4:$S$4003,出库单!$D$4:$D$4003,$A1160,出库单!$K$4:$K$4003,"退货给供应商",出库单!$U$4:$U$4003,"正常",出库单!$C$4:$C$4003,"&gt;="&amp;账期起,出库单!$C$4:$C$4003,"&lt;="&amp;账期止),0))</f>
        <v/>
      </c>
      <c r="X1160" s="27">
        <f>IF($A1160="","",ROUND(N($G1160)+$I1160+$L1160+$N1160-$P1160-$R1160-$T1160-$V1160,3))</f>
        <v/>
      </c>
      <c r="Y1160" s="26">
        <f>IF($A1160="","",ROUND(N($H1160)+$J1160+$M1160+$O1160-$Q1160-$S1160-$U1160-$W1160,0))</f>
        <v/>
      </c>
      <c r="Z1160" s="24">
        <f>IF($A1160="","",IF(COUNTIFS(入库单!$G$4:$G$2503,$A1160,入库单!$Y$4:$Y$2503,"待补价")+COUNTIFS(入库单!$G$4:$G$2503,$A1160,入库单!$Y$4:$Y$2503,"暂估")&gt;0,"不可信","可信"))</f>
        <v/>
      </c>
      <c r="AA1160" s="24">
        <f>IF($A1160="","",IF($X1160&lt;-0.001,"※账面负库存，查一下是不是漏记入库",IF(AND(ROUND($X1160,3)=0,ABS($Y1160)&gt;1),"※数量已经是 0，金额还挂着 "&amp;TEXT($Y1160,"#,##0")&amp;" 先令",IF(AND($X1160&gt;0,$Y1160&lt;=0,$K1160=0),"※有数量没金额（这个物料一直没填过进价）",IF($Z1160="不可信","△成本含待补价/暂估，毛利仅供参考","")))))</f>
        <v/>
      </c>
    </row>
    <row r="1161">
      <c r="A1161" s="24">
        <f>IF(物料档案!$A1160="","",物料档案!$A1160)</f>
        <v/>
      </c>
      <c r="B1161" s="24">
        <f>IF($A1161="","",IFERROR(VLOOKUP($A1161,物料档案!$A$4:$P$1203,3,0),""))</f>
        <v/>
      </c>
      <c r="C1161" s="24">
        <f>IF($A1161="","",IFERROR(VLOOKUP($A1161,物料档案!$A$4:$P$1203,4,0),""))</f>
        <v/>
      </c>
      <c r="D1161" s="24">
        <f>IF($A1161="","",IFERROR(VLOOKUP($A1161,物料档案!$A$4:$P$1203,5,0),""))</f>
        <v/>
      </c>
      <c r="E1161" s="24">
        <f>IF($A1161="","",IFERROR(VLOOKUP($A1161,物料档案!$A$4:$P$1203,2,0),""))</f>
        <v/>
      </c>
      <c r="F1161" s="24">
        <f>IF($A1161="","",IFERROR(VLOOKUP($A1161,物料档案!$A$4:$P$1203,6,0),""))</f>
        <v/>
      </c>
      <c r="G1161" s="23" t="n"/>
      <c r="H1161" s="32" t="n"/>
      <c r="I1161" s="27">
        <f>IF($A1161="","",SUMIFS(入库单!$K$4:$K$2503,入库单!$G$4:$G$2503,$A1161,入库单!$X$4:$X$2503,"采购入库",入库单!$Z$4:$Z$2503,"正常",入库单!$C$4:$C$2503,"&gt;="&amp;账期起,入库单!$C$4:$C$2503,"&lt;="&amp;账期止))</f>
        <v/>
      </c>
      <c r="J1161" s="26">
        <f>IF($A1161="","",SUMIFS(入库单!$V$4:$V$2503,入库单!$G$4:$G$2503,$A1161,入库单!$X$4:$X$2503,"采购入库",入库单!$Z$4:$Z$2503,"正常",入库单!$C$4:$C$2503,"&gt;="&amp;账期起,入库单!$C$4:$C$2503,"&lt;="&amp;账期止))</f>
        <v/>
      </c>
      <c r="K1161" s="26">
        <f>IF($A1161="","",IFERROR(ROUND((N($H1161)+N($J1161))/(N($G1161)+N($I1161)),2),0))</f>
        <v/>
      </c>
      <c r="L1161" s="27">
        <f>IF($A1161="","",SUMIFS(入库单!$K$4:$K$2503,入库单!$G$4:$G$2503,$A1161,入库单!$X$4:$X$2503,"盘盈",入库单!$Z$4:$Z$2503,"正常",入库单!$C$4:$C$2503,"&gt;="&amp;账期起,入库单!$C$4:$C$2503,"&lt;="&amp;账期止))</f>
        <v/>
      </c>
      <c r="M1161" s="26">
        <f>IF($A1161="","",ROUND($L1161*$K1161,0))</f>
        <v/>
      </c>
      <c r="N1161" s="27">
        <f>IF($A1161="","",SUMIFS(入库单!$K$4:$K$2503,入库单!$G$4:$G$2503,$A1161,入库单!$X$4:$X$2503,"矿区退库",入库单!$Z$4:$Z$2503,"正常",入库单!$C$4:$C$2503,"&gt;="&amp;账期起,入库单!$C$4:$C$2503,"&lt;="&amp;账期止))</f>
        <v/>
      </c>
      <c r="O1161" s="26">
        <f>IF($A1161="","",ROUND($N1161*$K1161,0))</f>
        <v/>
      </c>
      <c r="P1161" s="27">
        <f>IF($A1161="","",SUMIFS(出库单!$J$4:$J$4003,出库单!$D$4:$D$4003,$A1161,出库单!$K$4:$K$4003,"自用消耗",出库单!$U$4:$U$4003,"正常",出库单!$C$4:$C$4003,"&gt;="&amp;账期起,出库单!$C$4:$C$4003,"&lt;="&amp;账期止))</f>
        <v/>
      </c>
      <c r="Q1161" s="26">
        <f>IF($A1161="","",ROUND(SUMIFS(出库单!$S$4:$S$4003,出库单!$D$4:$D$4003,$A1161,出库单!$K$4:$K$4003,"自用消耗",出库单!$U$4:$U$4003,"正常",出库单!$C$4:$C$4003,"&gt;="&amp;账期起,出库单!$C$4:$C$4003,"&lt;="&amp;账期止),0))</f>
        <v/>
      </c>
      <c r="R1161" s="27">
        <f>IF($A1161="","",SUMIFS(出库单!$J$4:$J$4003,出库单!$D$4:$D$4003,$A1161,出库单!$K$4:$K$4003,"对外销售",出库单!$U$4:$U$4003,"正常",出库单!$C$4:$C$4003,"&gt;="&amp;账期起,出库单!$C$4:$C$4003,"&lt;="&amp;账期止))</f>
        <v/>
      </c>
      <c r="S1161" s="26">
        <f>IF($A1161="","",ROUND(SUMIFS(出库单!$S$4:$S$4003,出库单!$D$4:$D$4003,$A1161,出库单!$K$4:$K$4003,"对外销售",出库单!$U$4:$U$4003,"正常",出库单!$C$4:$C$4003,"&gt;="&amp;账期起,出库单!$C$4:$C$4003,"&lt;="&amp;账期止),0))</f>
        <v/>
      </c>
      <c r="T1161" s="27">
        <f>IF($A1161="","",SUMIFS(出库单!$J$4:$J$4003,出库单!$D$4:$D$4003,$A1161,出库单!$K$4:$K$4003,"盘亏",出库单!$U$4:$U$4003,"正常",出库单!$C$4:$C$4003,"&gt;="&amp;账期起,出库单!$C$4:$C$4003,"&lt;="&amp;账期止))</f>
        <v/>
      </c>
      <c r="U1161" s="26">
        <f>IF($A1161="","",ROUND(SUMIFS(出库单!$S$4:$S$4003,出库单!$D$4:$D$4003,$A1161,出库单!$K$4:$K$4003,"盘亏",出库单!$U$4:$U$4003,"正常",出库单!$C$4:$C$4003,"&gt;="&amp;账期起,出库单!$C$4:$C$4003,"&lt;="&amp;账期止),0))</f>
        <v/>
      </c>
      <c r="V1161" s="27">
        <f>IF($A1161="","",SUMIFS(出库单!$J$4:$J$4003,出库单!$D$4:$D$4003,$A1161,出库单!$K$4:$K$4003,"退货给供应商",出库单!$U$4:$U$4003,"正常",出库单!$C$4:$C$4003,"&gt;="&amp;账期起,出库单!$C$4:$C$4003,"&lt;="&amp;账期止))</f>
        <v/>
      </c>
      <c r="W1161" s="26">
        <f>IF($A1161="","",ROUND(SUMIFS(出库单!$S$4:$S$4003,出库单!$D$4:$D$4003,$A1161,出库单!$K$4:$K$4003,"退货给供应商",出库单!$U$4:$U$4003,"正常",出库单!$C$4:$C$4003,"&gt;="&amp;账期起,出库单!$C$4:$C$4003,"&lt;="&amp;账期止),0))</f>
        <v/>
      </c>
      <c r="X1161" s="27">
        <f>IF($A1161="","",ROUND(N($G1161)+$I1161+$L1161+$N1161-$P1161-$R1161-$T1161-$V1161,3))</f>
        <v/>
      </c>
      <c r="Y1161" s="26">
        <f>IF($A1161="","",ROUND(N($H1161)+$J1161+$M1161+$O1161-$Q1161-$S1161-$U1161-$W1161,0))</f>
        <v/>
      </c>
      <c r="Z1161" s="24">
        <f>IF($A1161="","",IF(COUNTIFS(入库单!$G$4:$G$2503,$A1161,入库单!$Y$4:$Y$2503,"待补价")+COUNTIFS(入库单!$G$4:$G$2503,$A1161,入库单!$Y$4:$Y$2503,"暂估")&gt;0,"不可信","可信"))</f>
        <v/>
      </c>
      <c r="AA1161" s="24">
        <f>IF($A1161="","",IF($X1161&lt;-0.001,"※账面负库存，查一下是不是漏记入库",IF(AND(ROUND($X1161,3)=0,ABS($Y1161)&gt;1),"※数量已经是 0，金额还挂着 "&amp;TEXT($Y1161,"#,##0")&amp;" 先令",IF(AND($X1161&gt;0,$Y1161&lt;=0,$K1161=0),"※有数量没金额（这个物料一直没填过进价）",IF($Z1161="不可信","△成本含待补价/暂估，毛利仅供参考","")))))</f>
        <v/>
      </c>
    </row>
    <row r="1162">
      <c r="A1162" s="24">
        <f>IF(物料档案!$A1161="","",物料档案!$A1161)</f>
        <v/>
      </c>
      <c r="B1162" s="24">
        <f>IF($A1162="","",IFERROR(VLOOKUP($A1162,物料档案!$A$4:$P$1203,3,0),""))</f>
        <v/>
      </c>
      <c r="C1162" s="24">
        <f>IF($A1162="","",IFERROR(VLOOKUP($A1162,物料档案!$A$4:$P$1203,4,0),""))</f>
        <v/>
      </c>
      <c r="D1162" s="24">
        <f>IF($A1162="","",IFERROR(VLOOKUP($A1162,物料档案!$A$4:$P$1203,5,0),""))</f>
        <v/>
      </c>
      <c r="E1162" s="24">
        <f>IF($A1162="","",IFERROR(VLOOKUP($A1162,物料档案!$A$4:$P$1203,2,0),""))</f>
        <v/>
      </c>
      <c r="F1162" s="24">
        <f>IF($A1162="","",IFERROR(VLOOKUP($A1162,物料档案!$A$4:$P$1203,6,0),""))</f>
        <v/>
      </c>
      <c r="G1162" s="23" t="n"/>
      <c r="H1162" s="32" t="n"/>
      <c r="I1162" s="27">
        <f>IF($A1162="","",SUMIFS(入库单!$K$4:$K$2503,入库单!$G$4:$G$2503,$A1162,入库单!$X$4:$X$2503,"采购入库",入库单!$Z$4:$Z$2503,"正常",入库单!$C$4:$C$2503,"&gt;="&amp;账期起,入库单!$C$4:$C$2503,"&lt;="&amp;账期止))</f>
        <v/>
      </c>
      <c r="J1162" s="26">
        <f>IF($A1162="","",SUMIFS(入库单!$V$4:$V$2503,入库单!$G$4:$G$2503,$A1162,入库单!$X$4:$X$2503,"采购入库",入库单!$Z$4:$Z$2503,"正常",入库单!$C$4:$C$2503,"&gt;="&amp;账期起,入库单!$C$4:$C$2503,"&lt;="&amp;账期止))</f>
        <v/>
      </c>
      <c r="K1162" s="26">
        <f>IF($A1162="","",IFERROR(ROUND((N($H1162)+N($J1162))/(N($G1162)+N($I1162)),2),0))</f>
        <v/>
      </c>
      <c r="L1162" s="27">
        <f>IF($A1162="","",SUMIFS(入库单!$K$4:$K$2503,入库单!$G$4:$G$2503,$A1162,入库单!$X$4:$X$2503,"盘盈",入库单!$Z$4:$Z$2503,"正常",入库单!$C$4:$C$2503,"&gt;="&amp;账期起,入库单!$C$4:$C$2503,"&lt;="&amp;账期止))</f>
        <v/>
      </c>
      <c r="M1162" s="26">
        <f>IF($A1162="","",ROUND($L1162*$K1162,0))</f>
        <v/>
      </c>
      <c r="N1162" s="27">
        <f>IF($A1162="","",SUMIFS(入库单!$K$4:$K$2503,入库单!$G$4:$G$2503,$A1162,入库单!$X$4:$X$2503,"矿区退库",入库单!$Z$4:$Z$2503,"正常",入库单!$C$4:$C$2503,"&gt;="&amp;账期起,入库单!$C$4:$C$2503,"&lt;="&amp;账期止))</f>
        <v/>
      </c>
      <c r="O1162" s="26">
        <f>IF($A1162="","",ROUND($N1162*$K1162,0))</f>
        <v/>
      </c>
      <c r="P1162" s="27">
        <f>IF($A1162="","",SUMIFS(出库单!$J$4:$J$4003,出库单!$D$4:$D$4003,$A1162,出库单!$K$4:$K$4003,"自用消耗",出库单!$U$4:$U$4003,"正常",出库单!$C$4:$C$4003,"&gt;="&amp;账期起,出库单!$C$4:$C$4003,"&lt;="&amp;账期止))</f>
        <v/>
      </c>
      <c r="Q1162" s="26">
        <f>IF($A1162="","",ROUND(SUMIFS(出库单!$S$4:$S$4003,出库单!$D$4:$D$4003,$A1162,出库单!$K$4:$K$4003,"自用消耗",出库单!$U$4:$U$4003,"正常",出库单!$C$4:$C$4003,"&gt;="&amp;账期起,出库单!$C$4:$C$4003,"&lt;="&amp;账期止),0))</f>
        <v/>
      </c>
      <c r="R1162" s="27">
        <f>IF($A1162="","",SUMIFS(出库单!$J$4:$J$4003,出库单!$D$4:$D$4003,$A1162,出库单!$K$4:$K$4003,"对外销售",出库单!$U$4:$U$4003,"正常",出库单!$C$4:$C$4003,"&gt;="&amp;账期起,出库单!$C$4:$C$4003,"&lt;="&amp;账期止))</f>
        <v/>
      </c>
      <c r="S1162" s="26">
        <f>IF($A1162="","",ROUND(SUMIFS(出库单!$S$4:$S$4003,出库单!$D$4:$D$4003,$A1162,出库单!$K$4:$K$4003,"对外销售",出库单!$U$4:$U$4003,"正常",出库单!$C$4:$C$4003,"&gt;="&amp;账期起,出库单!$C$4:$C$4003,"&lt;="&amp;账期止),0))</f>
        <v/>
      </c>
      <c r="T1162" s="27">
        <f>IF($A1162="","",SUMIFS(出库单!$J$4:$J$4003,出库单!$D$4:$D$4003,$A1162,出库单!$K$4:$K$4003,"盘亏",出库单!$U$4:$U$4003,"正常",出库单!$C$4:$C$4003,"&gt;="&amp;账期起,出库单!$C$4:$C$4003,"&lt;="&amp;账期止))</f>
        <v/>
      </c>
      <c r="U1162" s="26">
        <f>IF($A1162="","",ROUND(SUMIFS(出库单!$S$4:$S$4003,出库单!$D$4:$D$4003,$A1162,出库单!$K$4:$K$4003,"盘亏",出库单!$U$4:$U$4003,"正常",出库单!$C$4:$C$4003,"&gt;="&amp;账期起,出库单!$C$4:$C$4003,"&lt;="&amp;账期止),0))</f>
        <v/>
      </c>
      <c r="V1162" s="27">
        <f>IF($A1162="","",SUMIFS(出库单!$J$4:$J$4003,出库单!$D$4:$D$4003,$A1162,出库单!$K$4:$K$4003,"退货给供应商",出库单!$U$4:$U$4003,"正常",出库单!$C$4:$C$4003,"&gt;="&amp;账期起,出库单!$C$4:$C$4003,"&lt;="&amp;账期止))</f>
        <v/>
      </c>
      <c r="W1162" s="26">
        <f>IF($A1162="","",ROUND(SUMIFS(出库单!$S$4:$S$4003,出库单!$D$4:$D$4003,$A1162,出库单!$K$4:$K$4003,"退货给供应商",出库单!$U$4:$U$4003,"正常",出库单!$C$4:$C$4003,"&gt;="&amp;账期起,出库单!$C$4:$C$4003,"&lt;="&amp;账期止),0))</f>
        <v/>
      </c>
      <c r="X1162" s="27">
        <f>IF($A1162="","",ROUND(N($G1162)+$I1162+$L1162+$N1162-$P1162-$R1162-$T1162-$V1162,3))</f>
        <v/>
      </c>
      <c r="Y1162" s="26">
        <f>IF($A1162="","",ROUND(N($H1162)+$J1162+$M1162+$O1162-$Q1162-$S1162-$U1162-$W1162,0))</f>
        <v/>
      </c>
      <c r="Z1162" s="24">
        <f>IF($A1162="","",IF(COUNTIFS(入库单!$G$4:$G$2503,$A1162,入库单!$Y$4:$Y$2503,"待补价")+COUNTIFS(入库单!$G$4:$G$2503,$A1162,入库单!$Y$4:$Y$2503,"暂估")&gt;0,"不可信","可信"))</f>
        <v/>
      </c>
      <c r="AA1162" s="24">
        <f>IF($A1162="","",IF($X1162&lt;-0.001,"※账面负库存，查一下是不是漏记入库",IF(AND(ROUND($X1162,3)=0,ABS($Y1162)&gt;1),"※数量已经是 0，金额还挂着 "&amp;TEXT($Y1162,"#,##0")&amp;" 先令",IF(AND($X1162&gt;0,$Y1162&lt;=0,$K1162=0),"※有数量没金额（这个物料一直没填过进价）",IF($Z1162="不可信","△成本含待补价/暂估，毛利仅供参考","")))))</f>
        <v/>
      </c>
    </row>
    <row r="1163">
      <c r="A1163" s="24">
        <f>IF(物料档案!$A1162="","",物料档案!$A1162)</f>
        <v/>
      </c>
      <c r="B1163" s="24">
        <f>IF($A1163="","",IFERROR(VLOOKUP($A1163,物料档案!$A$4:$P$1203,3,0),""))</f>
        <v/>
      </c>
      <c r="C1163" s="24">
        <f>IF($A1163="","",IFERROR(VLOOKUP($A1163,物料档案!$A$4:$P$1203,4,0),""))</f>
        <v/>
      </c>
      <c r="D1163" s="24">
        <f>IF($A1163="","",IFERROR(VLOOKUP($A1163,物料档案!$A$4:$P$1203,5,0),""))</f>
        <v/>
      </c>
      <c r="E1163" s="24">
        <f>IF($A1163="","",IFERROR(VLOOKUP($A1163,物料档案!$A$4:$P$1203,2,0),""))</f>
        <v/>
      </c>
      <c r="F1163" s="24">
        <f>IF($A1163="","",IFERROR(VLOOKUP($A1163,物料档案!$A$4:$P$1203,6,0),""))</f>
        <v/>
      </c>
      <c r="G1163" s="23" t="n"/>
      <c r="H1163" s="32" t="n"/>
      <c r="I1163" s="27">
        <f>IF($A1163="","",SUMIFS(入库单!$K$4:$K$2503,入库单!$G$4:$G$2503,$A1163,入库单!$X$4:$X$2503,"采购入库",入库单!$Z$4:$Z$2503,"正常",入库单!$C$4:$C$2503,"&gt;="&amp;账期起,入库单!$C$4:$C$2503,"&lt;="&amp;账期止))</f>
        <v/>
      </c>
      <c r="J1163" s="26">
        <f>IF($A1163="","",SUMIFS(入库单!$V$4:$V$2503,入库单!$G$4:$G$2503,$A1163,入库单!$X$4:$X$2503,"采购入库",入库单!$Z$4:$Z$2503,"正常",入库单!$C$4:$C$2503,"&gt;="&amp;账期起,入库单!$C$4:$C$2503,"&lt;="&amp;账期止))</f>
        <v/>
      </c>
      <c r="K1163" s="26">
        <f>IF($A1163="","",IFERROR(ROUND((N($H1163)+N($J1163))/(N($G1163)+N($I1163)),2),0))</f>
        <v/>
      </c>
      <c r="L1163" s="27">
        <f>IF($A1163="","",SUMIFS(入库单!$K$4:$K$2503,入库单!$G$4:$G$2503,$A1163,入库单!$X$4:$X$2503,"盘盈",入库单!$Z$4:$Z$2503,"正常",入库单!$C$4:$C$2503,"&gt;="&amp;账期起,入库单!$C$4:$C$2503,"&lt;="&amp;账期止))</f>
        <v/>
      </c>
      <c r="M1163" s="26">
        <f>IF($A1163="","",ROUND($L1163*$K1163,0))</f>
        <v/>
      </c>
      <c r="N1163" s="27">
        <f>IF($A1163="","",SUMIFS(入库单!$K$4:$K$2503,入库单!$G$4:$G$2503,$A1163,入库单!$X$4:$X$2503,"矿区退库",入库单!$Z$4:$Z$2503,"正常",入库单!$C$4:$C$2503,"&gt;="&amp;账期起,入库单!$C$4:$C$2503,"&lt;="&amp;账期止))</f>
        <v/>
      </c>
      <c r="O1163" s="26">
        <f>IF($A1163="","",ROUND($N1163*$K1163,0))</f>
        <v/>
      </c>
      <c r="P1163" s="27">
        <f>IF($A1163="","",SUMIFS(出库单!$J$4:$J$4003,出库单!$D$4:$D$4003,$A1163,出库单!$K$4:$K$4003,"自用消耗",出库单!$U$4:$U$4003,"正常",出库单!$C$4:$C$4003,"&gt;="&amp;账期起,出库单!$C$4:$C$4003,"&lt;="&amp;账期止))</f>
        <v/>
      </c>
      <c r="Q1163" s="26">
        <f>IF($A1163="","",ROUND(SUMIFS(出库单!$S$4:$S$4003,出库单!$D$4:$D$4003,$A1163,出库单!$K$4:$K$4003,"自用消耗",出库单!$U$4:$U$4003,"正常",出库单!$C$4:$C$4003,"&gt;="&amp;账期起,出库单!$C$4:$C$4003,"&lt;="&amp;账期止),0))</f>
        <v/>
      </c>
      <c r="R1163" s="27">
        <f>IF($A1163="","",SUMIFS(出库单!$J$4:$J$4003,出库单!$D$4:$D$4003,$A1163,出库单!$K$4:$K$4003,"对外销售",出库单!$U$4:$U$4003,"正常",出库单!$C$4:$C$4003,"&gt;="&amp;账期起,出库单!$C$4:$C$4003,"&lt;="&amp;账期止))</f>
        <v/>
      </c>
      <c r="S1163" s="26">
        <f>IF($A1163="","",ROUND(SUMIFS(出库单!$S$4:$S$4003,出库单!$D$4:$D$4003,$A1163,出库单!$K$4:$K$4003,"对外销售",出库单!$U$4:$U$4003,"正常",出库单!$C$4:$C$4003,"&gt;="&amp;账期起,出库单!$C$4:$C$4003,"&lt;="&amp;账期止),0))</f>
        <v/>
      </c>
      <c r="T1163" s="27">
        <f>IF($A1163="","",SUMIFS(出库单!$J$4:$J$4003,出库单!$D$4:$D$4003,$A1163,出库单!$K$4:$K$4003,"盘亏",出库单!$U$4:$U$4003,"正常",出库单!$C$4:$C$4003,"&gt;="&amp;账期起,出库单!$C$4:$C$4003,"&lt;="&amp;账期止))</f>
        <v/>
      </c>
      <c r="U1163" s="26">
        <f>IF($A1163="","",ROUND(SUMIFS(出库单!$S$4:$S$4003,出库单!$D$4:$D$4003,$A1163,出库单!$K$4:$K$4003,"盘亏",出库单!$U$4:$U$4003,"正常",出库单!$C$4:$C$4003,"&gt;="&amp;账期起,出库单!$C$4:$C$4003,"&lt;="&amp;账期止),0))</f>
        <v/>
      </c>
      <c r="V1163" s="27">
        <f>IF($A1163="","",SUMIFS(出库单!$J$4:$J$4003,出库单!$D$4:$D$4003,$A1163,出库单!$K$4:$K$4003,"退货给供应商",出库单!$U$4:$U$4003,"正常",出库单!$C$4:$C$4003,"&gt;="&amp;账期起,出库单!$C$4:$C$4003,"&lt;="&amp;账期止))</f>
        <v/>
      </c>
      <c r="W1163" s="26">
        <f>IF($A1163="","",ROUND(SUMIFS(出库单!$S$4:$S$4003,出库单!$D$4:$D$4003,$A1163,出库单!$K$4:$K$4003,"退货给供应商",出库单!$U$4:$U$4003,"正常",出库单!$C$4:$C$4003,"&gt;="&amp;账期起,出库单!$C$4:$C$4003,"&lt;="&amp;账期止),0))</f>
        <v/>
      </c>
      <c r="X1163" s="27">
        <f>IF($A1163="","",ROUND(N($G1163)+$I1163+$L1163+$N1163-$P1163-$R1163-$T1163-$V1163,3))</f>
        <v/>
      </c>
      <c r="Y1163" s="26">
        <f>IF($A1163="","",ROUND(N($H1163)+$J1163+$M1163+$O1163-$Q1163-$S1163-$U1163-$W1163,0))</f>
        <v/>
      </c>
      <c r="Z1163" s="24">
        <f>IF($A1163="","",IF(COUNTIFS(入库单!$G$4:$G$2503,$A1163,入库单!$Y$4:$Y$2503,"待补价")+COUNTIFS(入库单!$G$4:$G$2503,$A1163,入库单!$Y$4:$Y$2503,"暂估")&gt;0,"不可信","可信"))</f>
        <v/>
      </c>
      <c r="AA1163" s="24">
        <f>IF($A1163="","",IF($X1163&lt;-0.001,"※账面负库存，查一下是不是漏记入库",IF(AND(ROUND($X1163,3)=0,ABS($Y1163)&gt;1),"※数量已经是 0，金额还挂着 "&amp;TEXT($Y1163,"#,##0")&amp;" 先令",IF(AND($X1163&gt;0,$Y1163&lt;=0,$K1163=0),"※有数量没金额（这个物料一直没填过进价）",IF($Z1163="不可信","△成本含待补价/暂估，毛利仅供参考","")))))</f>
        <v/>
      </c>
    </row>
    <row r="1164">
      <c r="A1164" s="24">
        <f>IF(物料档案!$A1163="","",物料档案!$A1163)</f>
        <v/>
      </c>
      <c r="B1164" s="24">
        <f>IF($A1164="","",IFERROR(VLOOKUP($A1164,物料档案!$A$4:$P$1203,3,0),""))</f>
        <v/>
      </c>
      <c r="C1164" s="24">
        <f>IF($A1164="","",IFERROR(VLOOKUP($A1164,物料档案!$A$4:$P$1203,4,0),""))</f>
        <v/>
      </c>
      <c r="D1164" s="24">
        <f>IF($A1164="","",IFERROR(VLOOKUP($A1164,物料档案!$A$4:$P$1203,5,0),""))</f>
        <v/>
      </c>
      <c r="E1164" s="24">
        <f>IF($A1164="","",IFERROR(VLOOKUP($A1164,物料档案!$A$4:$P$1203,2,0),""))</f>
        <v/>
      </c>
      <c r="F1164" s="24">
        <f>IF($A1164="","",IFERROR(VLOOKUP($A1164,物料档案!$A$4:$P$1203,6,0),""))</f>
        <v/>
      </c>
      <c r="G1164" s="23" t="n"/>
      <c r="H1164" s="32" t="n"/>
      <c r="I1164" s="27">
        <f>IF($A1164="","",SUMIFS(入库单!$K$4:$K$2503,入库单!$G$4:$G$2503,$A1164,入库单!$X$4:$X$2503,"采购入库",入库单!$Z$4:$Z$2503,"正常",入库单!$C$4:$C$2503,"&gt;="&amp;账期起,入库单!$C$4:$C$2503,"&lt;="&amp;账期止))</f>
        <v/>
      </c>
      <c r="J1164" s="26">
        <f>IF($A1164="","",SUMIFS(入库单!$V$4:$V$2503,入库单!$G$4:$G$2503,$A1164,入库单!$X$4:$X$2503,"采购入库",入库单!$Z$4:$Z$2503,"正常",入库单!$C$4:$C$2503,"&gt;="&amp;账期起,入库单!$C$4:$C$2503,"&lt;="&amp;账期止))</f>
        <v/>
      </c>
      <c r="K1164" s="26">
        <f>IF($A1164="","",IFERROR(ROUND((N($H1164)+N($J1164))/(N($G1164)+N($I1164)),2),0))</f>
        <v/>
      </c>
      <c r="L1164" s="27">
        <f>IF($A1164="","",SUMIFS(入库单!$K$4:$K$2503,入库单!$G$4:$G$2503,$A1164,入库单!$X$4:$X$2503,"盘盈",入库单!$Z$4:$Z$2503,"正常",入库单!$C$4:$C$2503,"&gt;="&amp;账期起,入库单!$C$4:$C$2503,"&lt;="&amp;账期止))</f>
        <v/>
      </c>
      <c r="M1164" s="26">
        <f>IF($A1164="","",ROUND($L1164*$K1164,0))</f>
        <v/>
      </c>
      <c r="N1164" s="27">
        <f>IF($A1164="","",SUMIFS(入库单!$K$4:$K$2503,入库单!$G$4:$G$2503,$A1164,入库单!$X$4:$X$2503,"矿区退库",入库单!$Z$4:$Z$2503,"正常",入库单!$C$4:$C$2503,"&gt;="&amp;账期起,入库单!$C$4:$C$2503,"&lt;="&amp;账期止))</f>
        <v/>
      </c>
      <c r="O1164" s="26">
        <f>IF($A1164="","",ROUND($N1164*$K1164,0))</f>
        <v/>
      </c>
      <c r="P1164" s="27">
        <f>IF($A1164="","",SUMIFS(出库单!$J$4:$J$4003,出库单!$D$4:$D$4003,$A1164,出库单!$K$4:$K$4003,"自用消耗",出库单!$U$4:$U$4003,"正常",出库单!$C$4:$C$4003,"&gt;="&amp;账期起,出库单!$C$4:$C$4003,"&lt;="&amp;账期止))</f>
        <v/>
      </c>
      <c r="Q1164" s="26">
        <f>IF($A1164="","",ROUND(SUMIFS(出库单!$S$4:$S$4003,出库单!$D$4:$D$4003,$A1164,出库单!$K$4:$K$4003,"自用消耗",出库单!$U$4:$U$4003,"正常",出库单!$C$4:$C$4003,"&gt;="&amp;账期起,出库单!$C$4:$C$4003,"&lt;="&amp;账期止),0))</f>
        <v/>
      </c>
      <c r="R1164" s="27">
        <f>IF($A1164="","",SUMIFS(出库单!$J$4:$J$4003,出库单!$D$4:$D$4003,$A1164,出库单!$K$4:$K$4003,"对外销售",出库单!$U$4:$U$4003,"正常",出库单!$C$4:$C$4003,"&gt;="&amp;账期起,出库单!$C$4:$C$4003,"&lt;="&amp;账期止))</f>
        <v/>
      </c>
      <c r="S1164" s="26">
        <f>IF($A1164="","",ROUND(SUMIFS(出库单!$S$4:$S$4003,出库单!$D$4:$D$4003,$A1164,出库单!$K$4:$K$4003,"对外销售",出库单!$U$4:$U$4003,"正常",出库单!$C$4:$C$4003,"&gt;="&amp;账期起,出库单!$C$4:$C$4003,"&lt;="&amp;账期止),0))</f>
        <v/>
      </c>
      <c r="T1164" s="27">
        <f>IF($A1164="","",SUMIFS(出库单!$J$4:$J$4003,出库单!$D$4:$D$4003,$A1164,出库单!$K$4:$K$4003,"盘亏",出库单!$U$4:$U$4003,"正常",出库单!$C$4:$C$4003,"&gt;="&amp;账期起,出库单!$C$4:$C$4003,"&lt;="&amp;账期止))</f>
        <v/>
      </c>
      <c r="U1164" s="26">
        <f>IF($A1164="","",ROUND(SUMIFS(出库单!$S$4:$S$4003,出库单!$D$4:$D$4003,$A1164,出库单!$K$4:$K$4003,"盘亏",出库单!$U$4:$U$4003,"正常",出库单!$C$4:$C$4003,"&gt;="&amp;账期起,出库单!$C$4:$C$4003,"&lt;="&amp;账期止),0))</f>
        <v/>
      </c>
      <c r="V1164" s="27">
        <f>IF($A1164="","",SUMIFS(出库单!$J$4:$J$4003,出库单!$D$4:$D$4003,$A1164,出库单!$K$4:$K$4003,"退货给供应商",出库单!$U$4:$U$4003,"正常",出库单!$C$4:$C$4003,"&gt;="&amp;账期起,出库单!$C$4:$C$4003,"&lt;="&amp;账期止))</f>
        <v/>
      </c>
      <c r="W1164" s="26">
        <f>IF($A1164="","",ROUND(SUMIFS(出库单!$S$4:$S$4003,出库单!$D$4:$D$4003,$A1164,出库单!$K$4:$K$4003,"退货给供应商",出库单!$U$4:$U$4003,"正常",出库单!$C$4:$C$4003,"&gt;="&amp;账期起,出库单!$C$4:$C$4003,"&lt;="&amp;账期止),0))</f>
        <v/>
      </c>
      <c r="X1164" s="27">
        <f>IF($A1164="","",ROUND(N($G1164)+$I1164+$L1164+$N1164-$P1164-$R1164-$T1164-$V1164,3))</f>
        <v/>
      </c>
      <c r="Y1164" s="26">
        <f>IF($A1164="","",ROUND(N($H1164)+$J1164+$M1164+$O1164-$Q1164-$S1164-$U1164-$W1164,0))</f>
        <v/>
      </c>
      <c r="Z1164" s="24">
        <f>IF($A1164="","",IF(COUNTIFS(入库单!$G$4:$G$2503,$A1164,入库单!$Y$4:$Y$2503,"待补价")+COUNTIFS(入库单!$G$4:$G$2503,$A1164,入库单!$Y$4:$Y$2503,"暂估")&gt;0,"不可信","可信"))</f>
        <v/>
      </c>
      <c r="AA1164" s="24">
        <f>IF($A1164="","",IF($X1164&lt;-0.001,"※账面负库存，查一下是不是漏记入库",IF(AND(ROUND($X1164,3)=0,ABS($Y1164)&gt;1),"※数量已经是 0，金额还挂着 "&amp;TEXT($Y1164,"#,##0")&amp;" 先令",IF(AND($X1164&gt;0,$Y1164&lt;=0,$K1164=0),"※有数量没金额（这个物料一直没填过进价）",IF($Z1164="不可信","△成本含待补价/暂估，毛利仅供参考","")))))</f>
        <v/>
      </c>
    </row>
    <row r="1165">
      <c r="A1165" s="24">
        <f>IF(物料档案!$A1164="","",物料档案!$A1164)</f>
        <v/>
      </c>
      <c r="B1165" s="24">
        <f>IF($A1165="","",IFERROR(VLOOKUP($A1165,物料档案!$A$4:$P$1203,3,0),""))</f>
        <v/>
      </c>
      <c r="C1165" s="24">
        <f>IF($A1165="","",IFERROR(VLOOKUP($A1165,物料档案!$A$4:$P$1203,4,0),""))</f>
        <v/>
      </c>
      <c r="D1165" s="24">
        <f>IF($A1165="","",IFERROR(VLOOKUP($A1165,物料档案!$A$4:$P$1203,5,0),""))</f>
        <v/>
      </c>
      <c r="E1165" s="24">
        <f>IF($A1165="","",IFERROR(VLOOKUP($A1165,物料档案!$A$4:$P$1203,2,0),""))</f>
        <v/>
      </c>
      <c r="F1165" s="24">
        <f>IF($A1165="","",IFERROR(VLOOKUP($A1165,物料档案!$A$4:$P$1203,6,0),""))</f>
        <v/>
      </c>
      <c r="G1165" s="23" t="n"/>
      <c r="H1165" s="32" t="n"/>
      <c r="I1165" s="27">
        <f>IF($A1165="","",SUMIFS(入库单!$K$4:$K$2503,入库单!$G$4:$G$2503,$A1165,入库单!$X$4:$X$2503,"采购入库",入库单!$Z$4:$Z$2503,"正常",入库单!$C$4:$C$2503,"&gt;="&amp;账期起,入库单!$C$4:$C$2503,"&lt;="&amp;账期止))</f>
        <v/>
      </c>
      <c r="J1165" s="26">
        <f>IF($A1165="","",SUMIFS(入库单!$V$4:$V$2503,入库单!$G$4:$G$2503,$A1165,入库单!$X$4:$X$2503,"采购入库",入库单!$Z$4:$Z$2503,"正常",入库单!$C$4:$C$2503,"&gt;="&amp;账期起,入库单!$C$4:$C$2503,"&lt;="&amp;账期止))</f>
        <v/>
      </c>
      <c r="K1165" s="26">
        <f>IF($A1165="","",IFERROR(ROUND((N($H1165)+N($J1165))/(N($G1165)+N($I1165)),2),0))</f>
        <v/>
      </c>
      <c r="L1165" s="27">
        <f>IF($A1165="","",SUMIFS(入库单!$K$4:$K$2503,入库单!$G$4:$G$2503,$A1165,入库单!$X$4:$X$2503,"盘盈",入库单!$Z$4:$Z$2503,"正常",入库单!$C$4:$C$2503,"&gt;="&amp;账期起,入库单!$C$4:$C$2503,"&lt;="&amp;账期止))</f>
        <v/>
      </c>
      <c r="M1165" s="26">
        <f>IF($A1165="","",ROUND($L1165*$K1165,0))</f>
        <v/>
      </c>
      <c r="N1165" s="27">
        <f>IF($A1165="","",SUMIFS(入库单!$K$4:$K$2503,入库单!$G$4:$G$2503,$A1165,入库单!$X$4:$X$2503,"矿区退库",入库单!$Z$4:$Z$2503,"正常",入库单!$C$4:$C$2503,"&gt;="&amp;账期起,入库单!$C$4:$C$2503,"&lt;="&amp;账期止))</f>
        <v/>
      </c>
      <c r="O1165" s="26">
        <f>IF($A1165="","",ROUND($N1165*$K1165,0))</f>
        <v/>
      </c>
      <c r="P1165" s="27">
        <f>IF($A1165="","",SUMIFS(出库单!$J$4:$J$4003,出库单!$D$4:$D$4003,$A1165,出库单!$K$4:$K$4003,"自用消耗",出库单!$U$4:$U$4003,"正常",出库单!$C$4:$C$4003,"&gt;="&amp;账期起,出库单!$C$4:$C$4003,"&lt;="&amp;账期止))</f>
        <v/>
      </c>
      <c r="Q1165" s="26">
        <f>IF($A1165="","",ROUND(SUMIFS(出库单!$S$4:$S$4003,出库单!$D$4:$D$4003,$A1165,出库单!$K$4:$K$4003,"自用消耗",出库单!$U$4:$U$4003,"正常",出库单!$C$4:$C$4003,"&gt;="&amp;账期起,出库单!$C$4:$C$4003,"&lt;="&amp;账期止),0))</f>
        <v/>
      </c>
      <c r="R1165" s="27">
        <f>IF($A1165="","",SUMIFS(出库单!$J$4:$J$4003,出库单!$D$4:$D$4003,$A1165,出库单!$K$4:$K$4003,"对外销售",出库单!$U$4:$U$4003,"正常",出库单!$C$4:$C$4003,"&gt;="&amp;账期起,出库单!$C$4:$C$4003,"&lt;="&amp;账期止))</f>
        <v/>
      </c>
      <c r="S1165" s="26">
        <f>IF($A1165="","",ROUND(SUMIFS(出库单!$S$4:$S$4003,出库单!$D$4:$D$4003,$A1165,出库单!$K$4:$K$4003,"对外销售",出库单!$U$4:$U$4003,"正常",出库单!$C$4:$C$4003,"&gt;="&amp;账期起,出库单!$C$4:$C$4003,"&lt;="&amp;账期止),0))</f>
        <v/>
      </c>
      <c r="T1165" s="27">
        <f>IF($A1165="","",SUMIFS(出库单!$J$4:$J$4003,出库单!$D$4:$D$4003,$A1165,出库单!$K$4:$K$4003,"盘亏",出库单!$U$4:$U$4003,"正常",出库单!$C$4:$C$4003,"&gt;="&amp;账期起,出库单!$C$4:$C$4003,"&lt;="&amp;账期止))</f>
        <v/>
      </c>
      <c r="U1165" s="26">
        <f>IF($A1165="","",ROUND(SUMIFS(出库单!$S$4:$S$4003,出库单!$D$4:$D$4003,$A1165,出库单!$K$4:$K$4003,"盘亏",出库单!$U$4:$U$4003,"正常",出库单!$C$4:$C$4003,"&gt;="&amp;账期起,出库单!$C$4:$C$4003,"&lt;="&amp;账期止),0))</f>
        <v/>
      </c>
      <c r="V1165" s="27">
        <f>IF($A1165="","",SUMIFS(出库单!$J$4:$J$4003,出库单!$D$4:$D$4003,$A1165,出库单!$K$4:$K$4003,"退货给供应商",出库单!$U$4:$U$4003,"正常",出库单!$C$4:$C$4003,"&gt;="&amp;账期起,出库单!$C$4:$C$4003,"&lt;="&amp;账期止))</f>
        <v/>
      </c>
      <c r="W1165" s="26">
        <f>IF($A1165="","",ROUND(SUMIFS(出库单!$S$4:$S$4003,出库单!$D$4:$D$4003,$A1165,出库单!$K$4:$K$4003,"退货给供应商",出库单!$U$4:$U$4003,"正常",出库单!$C$4:$C$4003,"&gt;="&amp;账期起,出库单!$C$4:$C$4003,"&lt;="&amp;账期止),0))</f>
        <v/>
      </c>
      <c r="X1165" s="27">
        <f>IF($A1165="","",ROUND(N($G1165)+$I1165+$L1165+$N1165-$P1165-$R1165-$T1165-$V1165,3))</f>
        <v/>
      </c>
      <c r="Y1165" s="26">
        <f>IF($A1165="","",ROUND(N($H1165)+$J1165+$M1165+$O1165-$Q1165-$S1165-$U1165-$W1165,0))</f>
        <v/>
      </c>
      <c r="Z1165" s="24">
        <f>IF($A1165="","",IF(COUNTIFS(入库单!$G$4:$G$2503,$A1165,入库单!$Y$4:$Y$2503,"待补价")+COUNTIFS(入库单!$G$4:$G$2503,$A1165,入库单!$Y$4:$Y$2503,"暂估")&gt;0,"不可信","可信"))</f>
        <v/>
      </c>
      <c r="AA1165" s="24">
        <f>IF($A1165="","",IF($X1165&lt;-0.001,"※账面负库存，查一下是不是漏记入库",IF(AND(ROUND($X1165,3)=0,ABS($Y1165)&gt;1),"※数量已经是 0，金额还挂着 "&amp;TEXT($Y1165,"#,##0")&amp;" 先令",IF(AND($X1165&gt;0,$Y1165&lt;=0,$K1165=0),"※有数量没金额（这个物料一直没填过进价）",IF($Z1165="不可信","△成本含待补价/暂估，毛利仅供参考","")))))</f>
        <v/>
      </c>
    </row>
    <row r="1166">
      <c r="A1166" s="24">
        <f>IF(物料档案!$A1165="","",物料档案!$A1165)</f>
        <v/>
      </c>
      <c r="B1166" s="24">
        <f>IF($A1166="","",IFERROR(VLOOKUP($A1166,物料档案!$A$4:$P$1203,3,0),""))</f>
        <v/>
      </c>
      <c r="C1166" s="24">
        <f>IF($A1166="","",IFERROR(VLOOKUP($A1166,物料档案!$A$4:$P$1203,4,0),""))</f>
        <v/>
      </c>
      <c r="D1166" s="24">
        <f>IF($A1166="","",IFERROR(VLOOKUP($A1166,物料档案!$A$4:$P$1203,5,0),""))</f>
        <v/>
      </c>
      <c r="E1166" s="24">
        <f>IF($A1166="","",IFERROR(VLOOKUP($A1166,物料档案!$A$4:$P$1203,2,0),""))</f>
        <v/>
      </c>
      <c r="F1166" s="24">
        <f>IF($A1166="","",IFERROR(VLOOKUP($A1166,物料档案!$A$4:$P$1203,6,0),""))</f>
        <v/>
      </c>
      <c r="G1166" s="23" t="n"/>
      <c r="H1166" s="32" t="n"/>
      <c r="I1166" s="27">
        <f>IF($A1166="","",SUMIFS(入库单!$K$4:$K$2503,入库单!$G$4:$G$2503,$A1166,入库单!$X$4:$X$2503,"采购入库",入库单!$Z$4:$Z$2503,"正常",入库单!$C$4:$C$2503,"&gt;="&amp;账期起,入库单!$C$4:$C$2503,"&lt;="&amp;账期止))</f>
        <v/>
      </c>
      <c r="J1166" s="26">
        <f>IF($A1166="","",SUMIFS(入库单!$V$4:$V$2503,入库单!$G$4:$G$2503,$A1166,入库单!$X$4:$X$2503,"采购入库",入库单!$Z$4:$Z$2503,"正常",入库单!$C$4:$C$2503,"&gt;="&amp;账期起,入库单!$C$4:$C$2503,"&lt;="&amp;账期止))</f>
        <v/>
      </c>
      <c r="K1166" s="26">
        <f>IF($A1166="","",IFERROR(ROUND((N($H1166)+N($J1166))/(N($G1166)+N($I1166)),2),0))</f>
        <v/>
      </c>
      <c r="L1166" s="27">
        <f>IF($A1166="","",SUMIFS(入库单!$K$4:$K$2503,入库单!$G$4:$G$2503,$A1166,入库单!$X$4:$X$2503,"盘盈",入库单!$Z$4:$Z$2503,"正常",入库单!$C$4:$C$2503,"&gt;="&amp;账期起,入库单!$C$4:$C$2503,"&lt;="&amp;账期止))</f>
        <v/>
      </c>
      <c r="M1166" s="26">
        <f>IF($A1166="","",ROUND($L1166*$K1166,0))</f>
        <v/>
      </c>
      <c r="N1166" s="27">
        <f>IF($A1166="","",SUMIFS(入库单!$K$4:$K$2503,入库单!$G$4:$G$2503,$A1166,入库单!$X$4:$X$2503,"矿区退库",入库单!$Z$4:$Z$2503,"正常",入库单!$C$4:$C$2503,"&gt;="&amp;账期起,入库单!$C$4:$C$2503,"&lt;="&amp;账期止))</f>
        <v/>
      </c>
      <c r="O1166" s="26">
        <f>IF($A1166="","",ROUND($N1166*$K1166,0))</f>
        <v/>
      </c>
      <c r="P1166" s="27">
        <f>IF($A1166="","",SUMIFS(出库单!$J$4:$J$4003,出库单!$D$4:$D$4003,$A1166,出库单!$K$4:$K$4003,"自用消耗",出库单!$U$4:$U$4003,"正常",出库单!$C$4:$C$4003,"&gt;="&amp;账期起,出库单!$C$4:$C$4003,"&lt;="&amp;账期止))</f>
        <v/>
      </c>
      <c r="Q1166" s="26">
        <f>IF($A1166="","",ROUND(SUMIFS(出库单!$S$4:$S$4003,出库单!$D$4:$D$4003,$A1166,出库单!$K$4:$K$4003,"自用消耗",出库单!$U$4:$U$4003,"正常",出库单!$C$4:$C$4003,"&gt;="&amp;账期起,出库单!$C$4:$C$4003,"&lt;="&amp;账期止),0))</f>
        <v/>
      </c>
      <c r="R1166" s="27">
        <f>IF($A1166="","",SUMIFS(出库单!$J$4:$J$4003,出库单!$D$4:$D$4003,$A1166,出库单!$K$4:$K$4003,"对外销售",出库单!$U$4:$U$4003,"正常",出库单!$C$4:$C$4003,"&gt;="&amp;账期起,出库单!$C$4:$C$4003,"&lt;="&amp;账期止))</f>
        <v/>
      </c>
      <c r="S1166" s="26">
        <f>IF($A1166="","",ROUND(SUMIFS(出库单!$S$4:$S$4003,出库单!$D$4:$D$4003,$A1166,出库单!$K$4:$K$4003,"对外销售",出库单!$U$4:$U$4003,"正常",出库单!$C$4:$C$4003,"&gt;="&amp;账期起,出库单!$C$4:$C$4003,"&lt;="&amp;账期止),0))</f>
        <v/>
      </c>
      <c r="T1166" s="27">
        <f>IF($A1166="","",SUMIFS(出库单!$J$4:$J$4003,出库单!$D$4:$D$4003,$A1166,出库单!$K$4:$K$4003,"盘亏",出库单!$U$4:$U$4003,"正常",出库单!$C$4:$C$4003,"&gt;="&amp;账期起,出库单!$C$4:$C$4003,"&lt;="&amp;账期止))</f>
        <v/>
      </c>
      <c r="U1166" s="26">
        <f>IF($A1166="","",ROUND(SUMIFS(出库单!$S$4:$S$4003,出库单!$D$4:$D$4003,$A1166,出库单!$K$4:$K$4003,"盘亏",出库单!$U$4:$U$4003,"正常",出库单!$C$4:$C$4003,"&gt;="&amp;账期起,出库单!$C$4:$C$4003,"&lt;="&amp;账期止),0))</f>
        <v/>
      </c>
      <c r="V1166" s="27">
        <f>IF($A1166="","",SUMIFS(出库单!$J$4:$J$4003,出库单!$D$4:$D$4003,$A1166,出库单!$K$4:$K$4003,"退货给供应商",出库单!$U$4:$U$4003,"正常",出库单!$C$4:$C$4003,"&gt;="&amp;账期起,出库单!$C$4:$C$4003,"&lt;="&amp;账期止))</f>
        <v/>
      </c>
      <c r="W1166" s="26">
        <f>IF($A1166="","",ROUND(SUMIFS(出库单!$S$4:$S$4003,出库单!$D$4:$D$4003,$A1166,出库单!$K$4:$K$4003,"退货给供应商",出库单!$U$4:$U$4003,"正常",出库单!$C$4:$C$4003,"&gt;="&amp;账期起,出库单!$C$4:$C$4003,"&lt;="&amp;账期止),0))</f>
        <v/>
      </c>
      <c r="X1166" s="27">
        <f>IF($A1166="","",ROUND(N($G1166)+$I1166+$L1166+$N1166-$P1166-$R1166-$T1166-$V1166,3))</f>
        <v/>
      </c>
      <c r="Y1166" s="26">
        <f>IF($A1166="","",ROUND(N($H1166)+$J1166+$M1166+$O1166-$Q1166-$S1166-$U1166-$W1166,0))</f>
        <v/>
      </c>
      <c r="Z1166" s="24">
        <f>IF($A1166="","",IF(COUNTIFS(入库单!$G$4:$G$2503,$A1166,入库单!$Y$4:$Y$2503,"待补价")+COUNTIFS(入库单!$G$4:$G$2503,$A1166,入库单!$Y$4:$Y$2503,"暂估")&gt;0,"不可信","可信"))</f>
        <v/>
      </c>
      <c r="AA1166" s="24">
        <f>IF($A1166="","",IF($X1166&lt;-0.001,"※账面负库存，查一下是不是漏记入库",IF(AND(ROUND($X1166,3)=0,ABS($Y1166)&gt;1),"※数量已经是 0，金额还挂着 "&amp;TEXT($Y1166,"#,##0")&amp;" 先令",IF(AND($X1166&gt;0,$Y1166&lt;=0,$K1166=0),"※有数量没金额（这个物料一直没填过进价）",IF($Z1166="不可信","△成本含待补价/暂估，毛利仅供参考","")))))</f>
        <v/>
      </c>
    </row>
    <row r="1167">
      <c r="A1167" s="24">
        <f>IF(物料档案!$A1166="","",物料档案!$A1166)</f>
        <v/>
      </c>
      <c r="B1167" s="24">
        <f>IF($A1167="","",IFERROR(VLOOKUP($A1167,物料档案!$A$4:$P$1203,3,0),""))</f>
        <v/>
      </c>
      <c r="C1167" s="24">
        <f>IF($A1167="","",IFERROR(VLOOKUP($A1167,物料档案!$A$4:$P$1203,4,0),""))</f>
        <v/>
      </c>
      <c r="D1167" s="24">
        <f>IF($A1167="","",IFERROR(VLOOKUP($A1167,物料档案!$A$4:$P$1203,5,0),""))</f>
        <v/>
      </c>
      <c r="E1167" s="24">
        <f>IF($A1167="","",IFERROR(VLOOKUP($A1167,物料档案!$A$4:$P$1203,2,0),""))</f>
        <v/>
      </c>
      <c r="F1167" s="24">
        <f>IF($A1167="","",IFERROR(VLOOKUP($A1167,物料档案!$A$4:$P$1203,6,0),""))</f>
        <v/>
      </c>
      <c r="G1167" s="23" t="n"/>
      <c r="H1167" s="32" t="n"/>
      <c r="I1167" s="27">
        <f>IF($A1167="","",SUMIFS(入库单!$K$4:$K$2503,入库单!$G$4:$G$2503,$A1167,入库单!$X$4:$X$2503,"采购入库",入库单!$Z$4:$Z$2503,"正常",入库单!$C$4:$C$2503,"&gt;="&amp;账期起,入库单!$C$4:$C$2503,"&lt;="&amp;账期止))</f>
        <v/>
      </c>
      <c r="J1167" s="26">
        <f>IF($A1167="","",SUMIFS(入库单!$V$4:$V$2503,入库单!$G$4:$G$2503,$A1167,入库单!$X$4:$X$2503,"采购入库",入库单!$Z$4:$Z$2503,"正常",入库单!$C$4:$C$2503,"&gt;="&amp;账期起,入库单!$C$4:$C$2503,"&lt;="&amp;账期止))</f>
        <v/>
      </c>
      <c r="K1167" s="26">
        <f>IF($A1167="","",IFERROR(ROUND((N($H1167)+N($J1167))/(N($G1167)+N($I1167)),2),0))</f>
        <v/>
      </c>
      <c r="L1167" s="27">
        <f>IF($A1167="","",SUMIFS(入库单!$K$4:$K$2503,入库单!$G$4:$G$2503,$A1167,入库单!$X$4:$X$2503,"盘盈",入库单!$Z$4:$Z$2503,"正常",入库单!$C$4:$C$2503,"&gt;="&amp;账期起,入库单!$C$4:$C$2503,"&lt;="&amp;账期止))</f>
        <v/>
      </c>
      <c r="M1167" s="26">
        <f>IF($A1167="","",ROUND($L1167*$K1167,0))</f>
        <v/>
      </c>
      <c r="N1167" s="27">
        <f>IF($A1167="","",SUMIFS(入库单!$K$4:$K$2503,入库单!$G$4:$G$2503,$A1167,入库单!$X$4:$X$2503,"矿区退库",入库单!$Z$4:$Z$2503,"正常",入库单!$C$4:$C$2503,"&gt;="&amp;账期起,入库单!$C$4:$C$2503,"&lt;="&amp;账期止))</f>
        <v/>
      </c>
      <c r="O1167" s="26">
        <f>IF($A1167="","",ROUND($N1167*$K1167,0))</f>
        <v/>
      </c>
      <c r="P1167" s="27">
        <f>IF($A1167="","",SUMIFS(出库单!$J$4:$J$4003,出库单!$D$4:$D$4003,$A1167,出库单!$K$4:$K$4003,"自用消耗",出库单!$U$4:$U$4003,"正常",出库单!$C$4:$C$4003,"&gt;="&amp;账期起,出库单!$C$4:$C$4003,"&lt;="&amp;账期止))</f>
        <v/>
      </c>
      <c r="Q1167" s="26">
        <f>IF($A1167="","",ROUND(SUMIFS(出库单!$S$4:$S$4003,出库单!$D$4:$D$4003,$A1167,出库单!$K$4:$K$4003,"自用消耗",出库单!$U$4:$U$4003,"正常",出库单!$C$4:$C$4003,"&gt;="&amp;账期起,出库单!$C$4:$C$4003,"&lt;="&amp;账期止),0))</f>
        <v/>
      </c>
      <c r="R1167" s="27">
        <f>IF($A1167="","",SUMIFS(出库单!$J$4:$J$4003,出库单!$D$4:$D$4003,$A1167,出库单!$K$4:$K$4003,"对外销售",出库单!$U$4:$U$4003,"正常",出库单!$C$4:$C$4003,"&gt;="&amp;账期起,出库单!$C$4:$C$4003,"&lt;="&amp;账期止))</f>
        <v/>
      </c>
      <c r="S1167" s="26">
        <f>IF($A1167="","",ROUND(SUMIFS(出库单!$S$4:$S$4003,出库单!$D$4:$D$4003,$A1167,出库单!$K$4:$K$4003,"对外销售",出库单!$U$4:$U$4003,"正常",出库单!$C$4:$C$4003,"&gt;="&amp;账期起,出库单!$C$4:$C$4003,"&lt;="&amp;账期止),0))</f>
        <v/>
      </c>
      <c r="T1167" s="27">
        <f>IF($A1167="","",SUMIFS(出库单!$J$4:$J$4003,出库单!$D$4:$D$4003,$A1167,出库单!$K$4:$K$4003,"盘亏",出库单!$U$4:$U$4003,"正常",出库单!$C$4:$C$4003,"&gt;="&amp;账期起,出库单!$C$4:$C$4003,"&lt;="&amp;账期止))</f>
        <v/>
      </c>
      <c r="U1167" s="26">
        <f>IF($A1167="","",ROUND(SUMIFS(出库单!$S$4:$S$4003,出库单!$D$4:$D$4003,$A1167,出库单!$K$4:$K$4003,"盘亏",出库单!$U$4:$U$4003,"正常",出库单!$C$4:$C$4003,"&gt;="&amp;账期起,出库单!$C$4:$C$4003,"&lt;="&amp;账期止),0))</f>
        <v/>
      </c>
      <c r="V1167" s="27">
        <f>IF($A1167="","",SUMIFS(出库单!$J$4:$J$4003,出库单!$D$4:$D$4003,$A1167,出库单!$K$4:$K$4003,"退货给供应商",出库单!$U$4:$U$4003,"正常",出库单!$C$4:$C$4003,"&gt;="&amp;账期起,出库单!$C$4:$C$4003,"&lt;="&amp;账期止))</f>
        <v/>
      </c>
      <c r="W1167" s="26">
        <f>IF($A1167="","",ROUND(SUMIFS(出库单!$S$4:$S$4003,出库单!$D$4:$D$4003,$A1167,出库单!$K$4:$K$4003,"退货给供应商",出库单!$U$4:$U$4003,"正常",出库单!$C$4:$C$4003,"&gt;="&amp;账期起,出库单!$C$4:$C$4003,"&lt;="&amp;账期止),0))</f>
        <v/>
      </c>
      <c r="X1167" s="27">
        <f>IF($A1167="","",ROUND(N($G1167)+$I1167+$L1167+$N1167-$P1167-$R1167-$T1167-$V1167,3))</f>
        <v/>
      </c>
      <c r="Y1167" s="26">
        <f>IF($A1167="","",ROUND(N($H1167)+$J1167+$M1167+$O1167-$Q1167-$S1167-$U1167-$W1167,0))</f>
        <v/>
      </c>
      <c r="Z1167" s="24">
        <f>IF($A1167="","",IF(COUNTIFS(入库单!$G$4:$G$2503,$A1167,入库单!$Y$4:$Y$2503,"待补价")+COUNTIFS(入库单!$G$4:$G$2503,$A1167,入库单!$Y$4:$Y$2503,"暂估")&gt;0,"不可信","可信"))</f>
        <v/>
      </c>
      <c r="AA1167" s="24">
        <f>IF($A1167="","",IF($X1167&lt;-0.001,"※账面负库存，查一下是不是漏记入库",IF(AND(ROUND($X1167,3)=0,ABS($Y1167)&gt;1),"※数量已经是 0，金额还挂着 "&amp;TEXT($Y1167,"#,##0")&amp;" 先令",IF(AND($X1167&gt;0,$Y1167&lt;=0,$K1167=0),"※有数量没金额（这个物料一直没填过进价）",IF($Z1167="不可信","△成本含待补价/暂估，毛利仅供参考","")))))</f>
        <v/>
      </c>
    </row>
    <row r="1168">
      <c r="A1168" s="24">
        <f>IF(物料档案!$A1167="","",物料档案!$A1167)</f>
        <v/>
      </c>
      <c r="B1168" s="24">
        <f>IF($A1168="","",IFERROR(VLOOKUP($A1168,物料档案!$A$4:$P$1203,3,0),""))</f>
        <v/>
      </c>
      <c r="C1168" s="24">
        <f>IF($A1168="","",IFERROR(VLOOKUP($A1168,物料档案!$A$4:$P$1203,4,0),""))</f>
        <v/>
      </c>
      <c r="D1168" s="24">
        <f>IF($A1168="","",IFERROR(VLOOKUP($A1168,物料档案!$A$4:$P$1203,5,0),""))</f>
        <v/>
      </c>
      <c r="E1168" s="24">
        <f>IF($A1168="","",IFERROR(VLOOKUP($A1168,物料档案!$A$4:$P$1203,2,0),""))</f>
        <v/>
      </c>
      <c r="F1168" s="24">
        <f>IF($A1168="","",IFERROR(VLOOKUP($A1168,物料档案!$A$4:$P$1203,6,0),""))</f>
        <v/>
      </c>
      <c r="G1168" s="23" t="n"/>
      <c r="H1168" s="32" t="n"/>
      <c r="I1168" s="27">
        <f>IF($A1168="","",SUMIFS(入库单!$K$4:$K$2503,入库单!$G$4:$G$2503,$A1168,入库单!$X$4:$X$2503,"采购入库",入库单!$Z$4:$Z$2503,"正常",入库单!$C$4:$C$2503,"&gt;="&amp;账期起,入库单!$C$4:$C$2503,"&lt;="&amp;账期止))</f>
        <v/>
      </c>
      <c r="J1168" s="26">
        <f>IF($A1168="","",SUMIFS(入库单!$V$4:$V$2503,入库单!$G$4:$G$2503,$A1168,入库单!$X$4:$X$2503,"采购入库",入库单!$Z$4:$Z$2503,"正常",入库单!$C$4:$C$2503,"&gt;="&amp;账期起,入库单!$C$4:$C$2503,"&lt;="&amp;账期止))</f>
        <v/>
      </c>
      <c r="K1168" s="26">
        <f>IF($A1168="","",IFERROR(ROUND((N($H1168)+N($J1168))/(N($G1168)+N($I1168)),2),0))</f>
        <v/>
      </c>
      <c r="L1168" s="27">
        <f>IF($A1168="","",SUMIFS(入库单!$K$4:$K$2503,入库单!$G$4:$G$2503,$A1168,入库单!$X$4:$X$2503,"盘盈",入库单!$Z$4:$Z$2503,"正常",入库单!$C$4:$C$2503,"&gt;="&amp;账期起,入库单!$C$4:$C$2503,"&lt;="&amp;账期止))</f>
        <v/>
      </c>
      <c r="M1168" s="26">
        <f>IF($A1168="","",ROUND($L1168*$K1168,0))</f>
        <v/>
      </c>
      <c r="N1168" s="27">
        <f>IF($A1168="","",SUMIFS(入库单!$K$4:$K$2503,入库单!$G$4:$G$2503,$A1168,入库单!$X$4:$X$2503,"矿区退库",入库单!$Z$4:$Z$2503,"正常",入库单!$C$4:$C$2503,"&gt;="&amp;账期起,入库单!$C$4:$C$2503,"&lt;="&amp;账期止))</f>
        <v/>
      </c>
      <c r="O1168" s="26">
        <f>IF($A1168="","",ROUND($N1168*$K1168,0))</f>
        <v/>
      </c>
      <c r="P1168" s="27">
        <f>IF($A1168="","",SUMIFS(出库单!$J$4:$J$4003,出库单!$D$4:$D$4003,$A1168,出库单!$K$4:$K$4003,"自用消耗",出库单!$U$4:$U$4003,"正常",出库单!$C$4:$C$4003,"&gt;="&amp;账期起,出库单!$C$4:$C$4003,"&lt;="&amp;账期止))</f>
        <v/>
      </c>
      <c r="Q1168" s="26">
        <f>IF($A1168="","",ROUND(SUMIFS(出库单!$S$4:$S$4003,出库单!$D$4:$D$4003,$A1168,出库单!$K$4:$K$4003,"自用消耗",出库单!$U$4:$U$4003,"正常",出库单!$C$4:$C$4003,"&gt;="&amp;账期起,出库单!$C$4:$C$4003,"&lt;="&amp;账期止),0))</f>
        <v/>
      </c>
      <c r="R1168" s="27">
        <f>IF($A1168="","",SUMIFS(出库单!$J$4:$J$4003,出库单!$D$4:$D$4003,$A1168,出库单!$K$4:$K$4003,"对外销售",出库单!$U$4:$U$4003,"正常",出库单!$C$4:$C$4003,"&gt;="&amp;账期起,出库单!$C$4:$C$4003,"&lt;="&amp;账期止))</f>
        <v/>
      </c>
      <c r="S1168" s="26">
        <f>IF($A1168="","",ROUND(SUMIFS(出库单!$S$4:$S$4003,出库单!$D$4:$D$4003,$A1168,出库单!$K$4:$K$4003,"对外销售",出库单!$U$4:$U$4003,"正常",出库单!$C$4:$C$4003,"&gt;="&amp;账期起,出库单!$C$4:$C$4003,"&lt;="&amp;账期止),0))</f>
        <v/>
      </c>
      <c r="T1168" s="27">
        <f>IF($A1168="","",SUMIFS(出库单!$J$4:$J$4003,出库单!$D$4:$D$4003,$A1168,出库单!$K$4:$K$4003,"盘亏",出库单!$U$4:$U$4003,"正常",出库单!$C$4:$C$4003,"&gt;="&amp;账期起,出库单!$C$4:$C$4003,"&lt;="&amp;账期止))</f>
        <v/>
      </c>
      <c r="U1168" s="26">
        <f>IF($A1168="","",ROUND(SUMIFS(出库单!$S$4:$S$4003,出库单!$D$4:$D$4003,$A1168,出库单!$K$4:$K$4003,"盘亏",出库单!$U$4:$U$4003,"正常",出库单!$C$4:$C$4003,"&gt;="&amp;账期起,出库单!$C$4:$C$4003,"&lt;="&amp;账期止),0))</f>
        <v/>
      </c>
      <c r="V1168" s="27">
        <f>IF($A1168="","",SUMIFS(出库单!$J$4:$J$4003,出库单!$D$4:$D$4003,$A1168,出库单!$K$4:$K$4003,"退货给供应商",出库单!$U$4:$U$4003,"正常",出库单!$C$4:$C$4003,"&gt;="&amp;账期起,出库单!$C$4:$C$4003,"&lt;="&amp;账期止))</f>
        <v/>
      </c>
      <c r="W1168" s="26">
        <f>IF($A1168="","",ROUND(SUMIFS(出库单!$S$4:$S$4003,出库单!$D$4:$D$4003,$A1168,出库单!$K$4:$K$4003,"退货给供应商",出库单!$U$4:$U$4003,"正常",出库单!$C$4:$C$4003,"&gt;="&amp;账期起,出库单!$C$4:$C$4003,"&lt;="&amp;账期止),0))</f>
        <v/>
      </c>
      <c r="X1168" s="27">
        <f>IF($A1168="","",ROUND(N($G1168)+$I1168+$L1168+$N1168-$P1168-$R1168-$T1168-$V1168,3))</f>
        <v/>
      </c>
      <c r="Y1168" s="26">
        <f>IF($A1168="","",ROUND(N($H1168)+$J1168+$M1168+$O1168-$Q1168-$S1168-$U1168-$W1168,0))</f>
        <v/>
      </c>
      <c r="Z1168" s="24">
        <f>IF($A1168="","",IF(COUNTIFS(入库单!$G$4:$G$2503,$A1168,入库单!$Y$4:$Y$2503,"待补价")+COUNTIFS(入库单!$G$4:$G$2503,$A1168,入库单!$Y$4:$Y$2503,"暂估")&gt;0,"不可信","可信"))</f>
        <v/>
      </c>
      <c r="AA1168" s="24">
        <f>IF($A1168="","",IF($X1168&lt;-0.001,"※账面负库存，查一下是不是漏记入库",IF(AND(ROUND($X1168,3)=0,ABS($Y1168)&gt;1),"※数量已经是 0，金额还挂着 "&amp;TEXT($Y1168,"#,##0")&amp;" 先令",IF(AND($X1168&gt;0,$Y1168&lt;=0,$K1168=0),"※有数量没金额（这个物料一直没填过进价）",IF($Z1168="不可信","△成本含待补价/暂估，毛利仅供参考","")))))</f>
        <v/>
      </c>
    </row>
    <row r="1169">
      <c r="A1169" s="24">
        <f>IF(物料档案!$A1168="","",物料档案!$A1168)</f>
        <v/>
      </c>
      <c r="B1169" s="24">
        <f>IF($A1169="","",IFERROR(VLOOKUP($A1169,物料档案!$A$4:$P$1203,3,0),""))</f>
        <v/>
      </c>
      <c r="C1169" s="24">
        <f>IF($A1169="","",IFERROR(VLOOKUP($A1169,物料档案!$A$4:$P$1203,4,0),""))</f>
        <v/>
      </c>
      <c r="D1169" s="24">
        <f>IF($A1169="","",IFERROR(VLOOKUP($A1169,物料档案!$A$4:$P$1203,5,0),""))</f>
        <v/>
      </c>
      <c r="E1169" s="24">
        <f>IF($A1169="","",IFERROR(VLOOKUP($A1169,物料档案!$A$4:$P$1203,2,0),""))</f>
        <v/>
      </c>
      <c r="F1169" s="24">
        <f>IF($A1169="","",IFERROR(VLOOKUP($A1169,物料档案!$A$4:$P$1203,6,0),""))</f>
        <v/>
      </c>
      <c r="G1169" s="23" t="n"/>
      <c r="H1169" s="32" t="n"/>
      <c r="I1169" s="27">
        <f>IF($A1169="","",SUMIFS(入库单!$K$4:$K$2503,入库单!$G$4:$G$2503,$A1169,入库单!$X$4:$X$2503,"采购入库",入库单!$Z$4:$Z$2503,"正常",入库单!$C$4:$C$2503,"&gt;="&amp;账期起,入库单!$C$4:$C$2503,"&lt;="&amp;账期止))</f>
        <v/>
      </c>
      <c r="J1169" s="26">
        <f>IF($A1169="","",SUMIFS(入库单!$V$4:$V$2503,入库单!$G$4:$G$2503,$A1169,入库单!$X$4:$X$2503,"采购入库",入库单!$Z$4:$Z$2503,"正常",入库单!$C$4:$C$2503,"&gt;="&amp;账期起,入库单!$C$4:$C$2503,"&lt;="&amp;账期止))</f>
        <v/>
      </c>
      <c r="K1169" s="26">
        <f>IF($A1169="","",IFERROR(ROUND((N($H1169)+N($J1169))/(N($G1169)+N($I1169)),2),0))</f>
        <v/>
      </c>
      <c r="L1169" s="27">
        <f>IF($A1169="","",SUMIFS(入库单!$K$4:$K$2503,入库单!$G$4:$G$2503,$A1169,入库单!$X$4:$X$2503,"盘盈",入库单!$Z$4:$Z$2503,"正常",入库单!$C$4:$C$2503,"&gt;="&amp;账期起,入库单!$C$4:$C$2503,"&lt;="&amp;账期止))</f>
        <v/>
      </c>
      <c r="M1169" s="26">
        <f>IF($A1169="","",ROUND($L1169*$K1169,0))</f>
        <v/>
      </c>
      <c r="N1169" s="27">
        <f>IF($A1169="","",SUMIFS(入库单!$K$4:$K$2503,入库单!$G$4:$G$2503,$A1169,入库单!$X$4:$X$2503,"矿区退库",入库单!$Z$4:$Z$2503,"正常",入库单!$C$4:$C$2503,"&gt;="&amp;账期起,入库单!$C$4:$C$2503,"&lt;="&amp;账期止))</f>
        <v/>
      </c>
      <c r="O1169" s="26">
        <f>IF($A1169="","",ROUND($N1169*$K1169,0))</f>
        <v/>
      </c>
      <c r="P1169" s="27">
        <f>IF($A1169="","",SUMIFS(出库单!$J$4:$J$4003,出库单!$D$4:$D$4003,$A1169,出库单!$K$4:$K$4003,"自用消耗",出库单!$U$4:$U$4003,"正常",出库单!$C$4:$C$4003,"&gt;="&amp;账期起,出库单!$C$4:$C$4003,"&lt;="&amp;账期止))</f>
        <v/>
      </c>
      <c r="Q1169" s="26">
        <f>IF($A1169="","",ROUND(SUMIFS(出库单!$S$4:$S$4003,出库单!$D$4:$D$4003,$A1169,出库单!$K$4:$K$4003,"自用消耗",出库单!$U$4:$U$4003,"正常",出库单!$C$4:$C$4003,"&gt;="&amp;账期起,出库单!$C$4:$C$4003,"&lt;="&amp;账期止),0))</f>
        <v/>
      </c>
      <c r="R1169" s="27">
        <f>IF($A1169="","",SUMIFS(出库单!$J$4:$J$4003,出库单!$D$4:$D$4003,$A1169,出库单!$K$4:$K$4003,"对外销售",出库单!$U$4:$U$4003,"正常",出库单!$C$4:$C$4003,"&gt;="&amp;账期起,出库单!$C$4:$C$4003,"&lt;="&amp;账期止))</f>
        <v/>
      </c>
      <c r="S1169" s="26">
        <f>IF($A1169="","",ROUND(SUMIFS(出库单!$S$4:$S$4003,出库单!$D$4:$D$4003,$A1169,出库单!$K$4:$K$4003,"对外销售",出库单!$U$4:$U$4003,"正常",出库单!$C$4:$C$4003,"&gt;="&amp;账期起,出库单!$C$4:$C$4003,"&lt;="&amp;账期止),0))</f>
        <v/>
      </c>
      <c r="T1169" s="27">
        <f>IF($A1169="","",SUMIFS(出库单!$J$4:$J$4003,出库单!$D$4:$D$4003,$A1169,出库单!$K$4:$K$4003,"盘亏",出库单!$U$4:$U$4003,"正常",出库单!$C$4:$C$4003,"&gt;="&amp;账期起,出库单!$C$4:$C$4003,"&lt;="&amp;账期止))</f>
        <v/>
      </c>
      <c r="U1169" s="26">
        <f>IF($A1169="","",ROUND(SUMIFS(出库单!$S$4:$S$4003,出库单!$D$4:$D$4003,$A1169,出库单!$K$4:$K$4003,"盘亏",出库单!$U$4:$U$4003,"正常",出库单!$C$4:$C$4003,"&gt;="&amp;账期起,出库单!$C$4:$C$4003,"&lt;="&amp;账期止),0))</f>
        <v/>
      </c>
      <c r="V1169" s="27">
        <f>IF($A1169="","",SUMIFS(出库单!$J$4:$J$4003,出库单!$D$4:$D$4003,$A1169,出库单!$K$4:$K$4003,"退货给供应商",出库单!$U$4:$U$4003,"正常",出库单!$C$4:$C$4003,"&gt;="&amp;账期起,出库单!$C$4:$C$4003,"&lt;="&amp;账期止))</f>
        <v/>
      </c>
      <c r="W1169" s="26">
        <f>IF($A1169="","",ROUND(SUMIFS(出库单!$S$4:$S$4003,出库单!$D$4:$D$4003,$A1169,出库单!$K$4:$K$4003,"退货给供应商",出库单!$U$4:$U$4003,"正常",出库单!$C$4:$C$4003,"&gt;="&amp;账期起,出库单!$C$4:$C$4003,"&lt;="&amp;账期止),0))</f>
        <v/>
      </c>
      <c r="X1169" s="27">
        <f>IF($A1169="","",ROUND(N($G1169)+$I1169+$L1169+$N1169-$P1169-$R1169-$T1169-$V1169,3))</f>
        <v/>
      </c>
      <c r="Y1169" s="26">
        <f>IF($A1169="","",ROUND(N($H1169)+$J1169+$M1169+$O1169-$Q1169-$S1169-$U1169-$W1169,0))</f>
        <v/>
      </c>
      <c r="Z1169" s="24">
        <f>IF($A1169="","",IF(COUNTIFS(入库单!$G$4:$G$2503,$A1169,入库单!$Y$4:$Y$2503,"待补价")+COUNTIFS(入库单!$G$4:$G$2503,$A1169,入库单!$Y$4:$Y$2503,"暂估")&gt;0,"不可信","可信"))</f>
        <v/>
      </c>
      <c r="AA1169" s="24">
        <f>IF($A1169="","",IF($X1169&lt;-0.001,"※账面负库存，查一下是不是漏记入库",IF(AND(ROUND($X1169,3)=0,ABS($Y1169)&gt;1),"※数量已经是 0，金额还挂着 "&amp;TEXT($Y1169,"#,##0")&amp;" 先令",IF(AND($X1169&gt;0,$Y1169&lt;=0,$K1169=0),"※有数量没金额（这个物料一直没填过进价）",IF($Z1169="不可信","△成本含待补价/暂估，毛利仅供参考","")))))</f>
        <v/>
      </c>
    </row>
    <row r="1170">
      <c r="A1170" s="24">
        <f>IF(物料档案!$A1169="","",物料档案!$A1169)</f>
        <v/>
      </c>
      <c r="B1170" s="24">
        <f>IF($A1170="","",IFERROR(VLOOKUP($A1170,物料档案!$A$4:$P$1203,3,0),""))</f>
        <v/>
      </c>
      <c r="C1170" s="24">
        <f>IF($A1170="","",IFERROR(VLOOKUP($A1170,物料档案!$A$4:$P$1203,4,0),""))</f>
        <v/>
      </c>
      <c r="D1170" s="24">
        <f>IF($A1170="","",IFERROR(VLOOKUP($A1170,物料档案!$A$4:$P$1203,5,0),""))</f>
        <v/>
      </c>
      <c r="E1170" s="24">
        <f>IF($A1170="","",IFERROR(VLOOKUP($A1170,物料档案!$A$4:$P$1203,2,0),""))</f>
        <v/>
      </c>
      <c r="F1170" s="24">
        <f>IF($A1170="","",IFERROR(VLOOKUP($A1170,物料档案!$A$4:$P$1203,6,0),""))</f>
        <v/>
      </c>
      <c r="G1170" s="23" t="n"/>
      <c r="H1170" s="32" t="n"/>
      <c r="I1170" s="27">
        <f>IF($A1170="","",SUMIFS(入库单!$K$4:$K$2503,入库单!$G$4:$G$2503,$A1170,入库单!$X$4:$X$2503,"采购入库",入库单!$Z$4:$Z$2503,"正常",入库单!$C$4:$C$2503,"&gt;="&amp;账期起,入库单!$C$4:$C$2503,"&lt;="&amp;账期止))</f>
        <v/>
      </c>
      <c r="J1170" s="26">
        <f>IF($A1170="","",SUMIFS(入库单!$V$4:$V$2503,入库单!$G$4:$G$2503,$A1170,入库单!$X$4:$X$2503,"采购入库",入库单!$Z$4:$Z$2503,"正常",入库单!$C$4:$C$2503,"&gt;="&amp;账期起,入库单!$C$4:$C$2503,"&lt;="&amp;账期止))</f>
        <v/>
      </c>
      <c r="K1170" s="26">
        <f>IF($A1170="","",IFERROR(ROUND((N($H1170)+N($J1170))/(N($G1170)+N($I1170)),2),0))</f>
        <v/>
      </c>
      <c r="L1170" s="27">
        <f>IF($A1170="","",SUMIFS(入库单!$K$4:$K$2503,入库单!$G$4:$G$2503,$A1170,入库单!$X$4:$X$2503,"盘盈",入库单!$Z$4:$Z$2503,"正常",入库单!$C$4:$C$2503,"&gt;="&amp;账期起,入库单!$C$4:$C$2503,"&lt;="&amp;账期止))</f>
        <v/>
      </c>
      <c r="M1170" s="26">
        <f>IF($A1170="","",ROUND($L1170*$K1170,0))</f>
        <v/>
      </c>
      <c r="N1170" s="27">
        <f>IF($A1170="","",SUMIFS(入库单!$K$4:$K$2503,入库单!$G$4:$G$2503,$A1170,入库单!$X$4:$X$2503,"矿区退库",入库单!$Z$4:$Z$2503,"正常",入库单!$C$4:$C$2503,"&gt;="&amp;账期起,入库单!$C$4:$C$2503,"&lt;="&amp;账期止))</f>
        <v/>
      </c>
      <c r="O1170" s="26">
        <f>IF($A1170="","",ROUND($N1170*$K1170,0))</f>
        <v/>
      </c>
      <c r="P1170" s="27">
        <f>IF($A1170="","",SUMIFS(出库单!$J$4:$J$4003,出库单!$D$4:$D$4003,$A1170,出库单!$K$4:$K$4003,"自用消耗",出库单!$U$4:$U$4003,"正常",出库单!$C$4:$C$4003,"&gt;="&amp;账期起,出库单!$C$4:$C$4003,"&lt;="&amp;账期止))</f>
        <v/>
      </c>
      <c r="Q1170" s="26">
        <f>IF($A1170="","",ROUND(SUMIFS(出库单!$S$4:$S$4003,出库单!$D$4:$D$4003,$A1170,出库单!$K$4:$K$4003,"自用消耗",出库单!$U$4:$U$4003,"正常",出库单!$C$4:$C$4003,"&gt;="&amp;账期起,出库单!$C$4:$C$4003,"&lt;="&amp;账期止),0))</f>
        <v/>
      </c>
      <c r="R1170" s="27">
        <f>IF($A1170="","",SUMIFS(出库单!$J$4:$J$4003,出库单!$D$4:$D$4003,$A1170,出库单!$K$4:$K$4003,"对外销售",出库单!$U$4:$U$4003,"正常",出库单!$C$4:$C$4003,"&gt;="&amp;账期起,出库单!$C$4:$C$4003,"&lt;="&amp;账期止))</f>
        <v/>
      </c>
      <c r="S1170" s="26">
        <f>IF($A1170="","",ROUND(SUMIFS(出库单!$S$4:$S$4003,出库单!$D$4:$D$4003,$A1170,出库单!$K$4:$K$4003,"对外销售",出库单!$U$4:$U$4003,"正常",出库单!$C$4:$C$4003,"&gt;="&amp;账期起,出库单!$C$4:$C$4003,"&lt;="&amp;账期止),0))</f>
        <v/>
      </c>
      <c r="T1170" s="27">
        <f>IF($A1170="","",SUMIFS(出库单!$J$4:$J$4003,出库单!$D$4:$D$4003,$A1170,出库单!$K$4:$K$4003,"盘亏",出库单!$U$4:$U$4003,"正常",出库单!$C$4:$C$4003,"&gt;="&amp;账期起,出库单!$C$4:$C$4003,"&lt;="&amp;账期止))</f>
        <v/>
      </c>
      <c r="U1170" s="26">
        <f>IF($A1170="","",ROUND(SUMIFS(出库单!$S$4:$S$4003,出库单!$D$4:$D$4003,$A1170,出库单!$K$4:$K$4003,"盘亏",出库单!$U$4:$U$4003,"正常",出库单!$C$4:$C$4003,"&gt;="&amp;账期起,出库单!$C$4:$C$4003,"&lt;="&amp;账期止),0))</f>
        <v/>
      </c>
      <c r="V1170" s="27">
        <f>IF($A1170="","",SUMIFS(出库单!$J$4:$J$4003,出库单!$D$4:$D$4003,$A1170,出库单!$K$4:$K$4003,"退货给供应商",出库单!$U$4:$U$4003,"正常",出库单!$C$4:$C$4003,"&gt;="&amp;账期起,出库单!$C$4:$C$4003,"&lt;="&amp;账期止))</f>
        <v/>
      </c>
      <c r="W1170" s="26">
        <f>IF($A1170="","",ROUND(SUMIFS(出库单!$S$4:$S$4003,出库单!$D$4:$D$4003,$A1170,出库单!$K$4:$K$4003,"退货给供应商",出库单!$U$4:$U$4003,"正常",出库单!$C$4:$C$4003,"&gt;="&amp;账期起,出库单!$C$4:$C$4003,"&lt;="&amp;账期止),0))</f>
        <v/>
      </c>
      <c r="X1170" s="27">
        <f>IF($A1170="","",ROUND(N($G1170)+$I1170+$L1170+$N1170-$P1170-$R1170-$T1170-$V1170,3))</f>
        <v/>
      </c>
      <c r="Y1170" s="26">
        <f>IF($A1170="","",ROUND(N($H1170)+$J1170+$M1170+$O1170-$Q1170-$S1170-$U1170-$W1170,0))</f>
        <v/>
      </c>
      <c r="Z1170" s="24">
        <f>IF($A1170="","",IF(COUNTIFS(入库单!$G$4:$G$2503,$A1170,入库单!$Y$4:$Y$2503,"待补价")+COUNTIFS(入库单!$G$4:$G$2503,$A1170,入库单!$Y$4:$Y$2503,"暂估")&gt;0,"不可信","可信"))</f>
        <v/>
      </c>
      <c r="AA1170" s="24">
        <f>IF($A1170="","",IF($X1170&lt;-0.001,"※账面负库存，查一下是不是漏记入库",IF(AND(ROUND($X1170,3)=0,ABS($Y1170)&gt;1),"※数量已经是 0，金额还挂着 "&amp;TEXT($Y1170,"#,##0")&amp;" 先令",IF(AND($X1170&gt;0,$Y1170&lt;=0,$K1170=0),"※有数量没金额（这个物料一直没填过进价）",IF($Z1170="不可信","△成本含待补价/暂估，毛利仅供参考","")))))</f>
        <v/>
      </c>
    </row>
    <row r="1171">
      <c r="A1171" s="24">
        <f>IF(物料档案!$A1170="","",物料档案!$A1170)</f>
        <v/>
      </c>
      <c r="B1171" s="24">
        <f>IF($A1171="","",IFERROR(VLOOKUP($A1171,物料档案!$A$4:$P$1203,3,0),""))</f>
        <v/>
      </c>
      <c r="C1171" s="24">
        <f>IF($A1171="","",IFERROR(VLOOKUP($A1171,物料档案!$A$4:$P$1203,4,0),""))</f>
        <v/>
      </c>
      <c r="D1171" s="24">
        <f>IF($A1171="","",IFERROR(VLOOKUP($A1171,物料档案!$A$4:$P$1203,5,0),""))</f>
        <v/>
      </c>
      <c r="E1171" s="24">
        <f>IF($A1171="","",IFERROR(VLOOKUP($A1171,物料档案!$A$4:$P$1203,2,0),""))</f>
        <v/>
      </c>
      <c r="F1171" s="24">
        <f>IF($A1171="","",IFERROR(VLOOKUP($A1171,物料档案!$A$4:$P$1203,6,0),""))</f>
        <v/>
      </c>
      <c r="G1171" s="23" t="n"/>
      <c r="H1171" s="32" t="n"/>
      <c r="I1171" s="27">
        <f>IF($A1171="","",SUMIFS(入库单!$K$4:$K$2503,入库单!$G$4:$G$2503,$A1171,入库单!$X$4:$X$2503,"采购入库",入库单!$Z$4:$Z$2503,"正常",入库单!$C$4:$C$2503,"&gt;="&amp;账期起,入库单!$C$4:$C$2503,"&lt;="&amp;账期止))</f>
        <v/>
      </c>
      <c r="J1171" s="26">
        <f>IF($A1171="","",SUMIFS(入库单!$V$4:$V$2503,入库单!$G$4:$G$2503,$A1171,入库单!$X$4:$X$2503,"采购入库",入库单!$Z$4:$Z$2503,"正常",入库单!$C$4:$C$2503,"&gt;="&amp;账期起,入库单!$C$4:$C$2503,"&lt;="&amp;账期止))</f>
        <v/>
      </c>
      <c r="K1171" s="26">
        <f>IF($A1171="","",IFERROR(ROUND((N($H1171)+N($J1171))/(N($G1171)+N($I1171)),2),0))</f>
        <v/>
      </c>
      <c r="L1171" s="27">
        <f>IF($A1171="","",SUMIFS(入库单!$K$4:$K$2503,入库单!$G$4:$G$2503,$A1171,入库单!$X$4:$X$2503,"盘盈",入库单!$Z$4:$Z$2503,"正常",入库单!$C$4:$C$2503,"&gt;="&amp;账期起,入库单!$C$4:$C$2503,"&lt;="&amp;账期止))</f>
        <v/>
      </c>
      <c r="M1171" s="26">
        <f>IF($A1171="","",ROUND($L1171*$K1171,0))</f>
        <v/>
      </c>
      <c r="N1171" s="27">
        <f>IF($A1171="","",SUMIFS(入库单!$K$4:$K$2503,入库单!$G$4:$G$2503,$A1171,入库单!$X$4:$X$2503,"矿区退库",入库单!$Z$4:$Z$2503,"正常",入库单!$C$4:$C$2503,"&gt;="&amp;账期起,入库单!$C$4:$C$2503,"&lt;="&amp;账期止))</f>
        <v/>
      </c>
      <c r="O1171" s="26">
        <f>IF($A1171="","",ROUND($N1171*$K1171,0))</f>
        <v/>
      </c>
      <c r="P1171" s="27">
        <f>IF($A1171="","",SUMIFS(出库单!$J$4:$J$4003,出库单!$D$4:$D$4003,$A1171,出库单!$K$4:$K$4003,"自用消耗",出库单!$U$4:$U$4003,"正常",出库单!$C$4:$C$4003,"&gt;="&amp;账期起,出库单!$C$4:$C$4003,"&lt;="&amp;账期止))</f>
        <v/>
      </c>
      <c r="Q1171" s="26">
        <f>IF($A1171="","",ROUND(SUMIFS(出库单!$S$4:$S$4003,出库单!$D$4:$D$4003,$A1171,出库单!$K$4:$K$4003,"自用消耗",出库单!$U$4:$U$4003,"正常",出库单!$C$4:$C$4003,"&gt;="&amp;账期起,出库单!$C$4:$C$4003,"&lt;="&amp;账期止),0))</f>
        <v/>
      </c>
      <c r="R1171" s="27">
        <f>IF($A1171="","",SUMIFS(出库单!$J$4:$J$4003,出库单!$D$4:$D$4003,$A1171,出库单!$K$4:$K$4003,"对外销售",出库单!$U$4:$U$4003,"正常",出库单!$C$4:$C$4003,"&gt;="&amp;账期起,出库单!$C$4:$C$4003,"&lt;="&amp;账期止))</f>
        <v/>
      </c>
      <c r="S1171" s="26">
        <f>IF($A1171="","",ROUND(SUMIFS(出库单!$S$4:$S$4003,出库单!$D$4:$D$4003,$A1171,出库单!$K$4:$K$4003,"对外销售",出库单!$U$4:$U$4003,"正常",出库单!$C$4:$C$4003,"&gt;="&amp;账期起,出库单!$C$4:$C$4003,"&lt;="&amp;账期止),0))</f>
        <v/>
      </c>
      <c r="T1171" s="27">
        <f>IF($A1171="","",SUMIFS(出库单!$J$4:$J$4003,出库单!$D$4:$D$4003,$A1171,出库单!$K$4:$K$4003,"盘亏",出库单!$U$4:$U$4003,"正常",出库单!$C$4:$C$4003,"&gt;="&amp;账期起,出库单!$C$4:$C$4003,"&lt;="&amp;账期止))</f>
        <v/>
      </c>
      <c r="U1171" s="26">
        <f>IF($A1171="","",ROUND(SUMIFS(出库单!$S$4:$S$4003,出库单!$D$4:$D$4003,$A1171,出库单!$K$4:$K$4003,"盘亏",出库单!$U$4:$U$4003,"正常",出库单!$C$4:$C$4003,"&gt;="&amp;账期起,出库单!$C$4:$C$4003,"&lt;="&amp;账期止),0))</f>
        <v/>
      </c>
      <c r="V1171" s="27">
        <f>IF($A1171="","",SUMIFS(出库单!$J$4:$J$4003,出库单!$D$4:$D$4003,$A1171,出库单!$K$4:$K$4003,"退货给供应商",出库单!$U$4:$U$4003,"正常",出库单!$C$4:$C$4003,"&gt;="&amp;账期起,出库单!$C$4:$C$4003,"&lt;="&amp;账期止))</f>
        <v/>
      </c>
      <c r="W1171" s="26">
        <f>IF($A1171="","",ROUND(SUMIFS(出库单!$S$4:$S$4003,出库单!$D$4:$D$4003,$A1171,出库单!$K$4:$K$4003,"退货给供应商",出库单!$U$4:$U$4003,"正常",出库单!$C$4:$C$4003,"&gt;="&amp;账期起,出库单!$C$4:$C$4003,"&lt;="&amp;账期止),0))</f>
        <v/>
      </c>
      <c r="X1171" s="27">
        <f>IF($A1171="","",ROUND(N($G1171)+$I1171+$L1171+$N1171-$P1171-$R1171-$T1171-$V1171,3))</f>
        <v/>
      </c>
      <c r="Y1171" s="26">
        <f>IF($A1171="","",ROUND(N($H1171)+$J1171+$M1171+$O1171-$Q1171-$S1171-$U1171-$W1171,0))</f>
        <v/>
      </c>
      <c r="Z1171" s="24">
        <f>IF($A1171="","",IF(COUNTIFS(入库单!$G$4:$G$2503,$A1171,入库单!$Y$4:$Y$2503,"待补价")+COUNTIFS(入库单!$G$4:$G$2503,$A1171,入库单!$Y$4:$Y$2503,"暂估")&gt;0,"不可信","可信"))</f>
        <v/>
      </c>
      <c r="AA1171" s="24">
        <f>IF($A1171="","",IF($X1171&lt;-0.001,"※账面负库存，查一下是不是漏记入库",IF(AND(ROUND($X1171,3)=0,ABS($Y1171)&gt;1),"※数量已经是 0，金额还挂着 "&amp;TEXT($Y1171,"#,##0")&amp;" 先令",IF(AND($X1171&gt;0,$Y1171&lt;=0,$K1171=0),"※有数量没金额（这个物料一直没填过进价）",IF($Z1171="不可信","△成本含待补价/暂估，毛利仅供参考","")))))</f>
        <v/>
      </c>
    </row>
    <row r="1172">
      <c r="A1172" s="24">
        <f>IF(物料档案!$A1171="","",物料档案!$A1171)</f>
        <v/>
      </c>
      <c r="B1172" s="24">
        <f>IF($A1172="","",IFERROR(VLOOKUP($A1172,物料档案!$A$4:$P$1203,3,0),""))</f>
        <v/>
      </c>
      <c r="C1172" s="24">
        <f>IF($A1172="","",IFERROR(VLOOKUP($A1172,物料档案!$A$4:$P$1203,4,0),""))</f>
        <v/>
      </c>
      <c r="D1172" s="24">
        <f>IF($A1172="","",IFERROR(VLOOKUP($A1172,物料档案!$A$4:$P$1203,5,0),""))</f>
        <v/>
      </c>
      <c r="E1172" s="24">
        <f>IF($A1172="","",IFERROR(VLOOKUP($A1172,物料档案!$A$4:$P$1203,2,0),""))</f>
        <v/>
      </c>
      <c r="F1172" s="24">
        <f>IF($A1172="","",IFERROR(VLOOKUP($A1172,物料档案!$A$4:$P$1203,6,0),""))</f>
        <v/>
      </c>
      <c r="G1172" s="23" t="n"/>
      <c r="H1172" s="32" t="n"/>
      <c r="I1172" s="27">
        <f>IF($A1172="","",SUMIFS(入库单!$K$4:$K$2503,入库单!$G$4:$G$2503,$A1172,入库单!$X$4:$X$2503,"采购入库",入库单!$Z$4:$Z$2503,"正常",入库单!$C$4:$C$2503,"&gt;="&amp;账期起,入库单!$C$4:$C$2503,"&lt;="&amp;账期止))</f>
        <v/>
      </c>
      <c r="J1172" s="26">
        <f>IF($A1172="","",SUMIFS(入库单!$V$4:$V$2503,入库单!$G$4:$G$2503,$A1172,入库单!$X$4:$X$2503,"采购入库",入库单!$Z$4:$Z$2503,"正常",入库单!$C$4:$C$2503,"&gt;="&amp;账期起,入库单!$C$4:$C$2503,"&lt;="&amp;账期止))</f>
        <v/>
      </c>
      <c r="K1172" s="26">
        <f>IF($A1172="","",IFERROR(ROUND((N($H1172)+N($J1172))/(N($G1172)+N($I1172)),2),0))</f>
        <v/>
      </c>
      <c r="L1172" s="27">
        <f>IF($A1172="","",SUMIFS(入库单!$K$4:$K$2503,入库单!$G$4:$G$2503,$A1172,入库单!$X$4:$X$2503,"盘盈",入库单!$Z$4:$Z$2503,"正常",入库单!$C$4:$C$2503,"&gt;="&amp;账期起,入库单!$C$4:$C$2503,"&lt;="&amp;账期止))</f>
        <v/>
      </c>
      <c r="M1172" s="26">
        <f>IF($A1172="","",ROUND($L1172*$K1172,0))</f>
        <v/>
      </c>
      <c r="N1172" s="27">
        <f>IF($A1172="","",SUMIFS(入库单!$K$4:$K$2503,入库单!$G$4:$G$2503,$A1172,入库单!$X$4:$X$2503,"矿区退库",入库单!$Z$4:$Z$2503,"正常",入库单!$C$4:$C$2503,"&gt;="&amp;账期起,入库单!$C$4:$C$2503,"&lt;="&amp;账期止))</f>
        <v/>
      </c>
      <c r="O1172" s="26">
        <f>IF($A1172="","",ROUND($N1172*$K1172,0))</f>
        <v/>
      </c>
      <c r="P1172" s="27">
        <f>IF($A1172="","",SUMIFS(出库单!$J$4:$J$4003,出库单!$D$4:$D$4003,$A1172,出库单!$K$4:$K$4003,"自用消耗",出库单!$U$4:$U$4003,"正常",出库单!$C$4:$C$4003,"&gt;="&amp;账期起,出库单!$C$4:$C$4003,"&lt;="&amp;账期止))</f>
        <v/>
      </c>
      <c r="Q1172" s="26">
        <f>IF($A1172="","",ROUND(SUMIFS(出库单!$S$4:$S$4003,出库单!$D$4:$D$4003,$A1172,出库单!$K$4:$K$4003,"自用消耗",出库单!$U$4:$U$4003,"正常",出库单!$C$4:$C$4003,"&gt;="&amp;账期起,出库单!$C$4:$C$4003,"&lt;="&amp;账期止),0))</f>
        <v/>
      </c>
      <c r="R1172" s="27">
        <f>IF($A1172="","",SUMIFS(出库单!$J$4:$J$4003,出库单!$D$4:$D$4003,$A1172,出库单!$K$4:$K$4003,"对外销售",出库单!$U$4:$U$4003,"正常",出库单!$C$4:$C$4003,"&gt;="&amp;账期起,出库单!$C$4:$C$4003,"&lt;="&amp;账期止))</f>
        <v/>
      </c>
      <c r="S1172" s="26">
        <f>IF($A1172="","",ROUND(SUMIFS(出库单!$S$4:$S$4003,出库单!$D$4:$D$4003,$A1172,出库单!$K$4:$K$4003,"对外销售",出库单!$U$4:$U$4003,"正常",出库单!$C$4:$C$4003,"&gt;="&amp;账期起,出库单!$C$4:$C$4003,"&lt;="&amp;账期止),0))</f>
        <v/>
      </c>
      <c r="T1172" s="27">
        <f>IF($A1172="","",SUMIFS(出库单!$J$4:$J$4003,出库单!$D$4:$D$4003,$A1172,出库单!$K$4:$K$4003,"盘亏",出库单!$U$4:$U$4003,"正常",出库单!$C$4:$C$4003,"&gt;="&amp;账期起,出库单!$C$4:$C$4003,"&lt;="&amp;账期止))</f>
        <v/>
      </c>
      <c r="U1172" s="26">
        <f>IF($A1172="","",ROUND(SUMIFS(出库单!$S$4:$S$4003,出库单!$D$4:$D$4003,$A1172,出库单!$K$4:$K$4003,"盘亏",出库单!$U$4:$U$4003,"正常",出库单!$C$4:$C$4003,"&gt;="&amp;账期起,出库单!$C$4:$C$4003,"&lt;="&amp;账期止),0))</f>
        <v/>
      </c>
      <c r="V1172" s="27">
        <f>IF($A1172="","",SUMIFS(出库单!$J$4:$J$4003,出库单!$D$4:$D$4003,$A1172,出库单!$K$4:$K$4003,"退货给供应商",出库单!$U$4:$U$4003,"正常",出库单!$C$4:$C$4003,"&gt;="&amp;账期起,出库单!$C$4:$C$4003,"&lt;="&amp;账期止))</f>
        <v/>
      </c>
      <c r="W1172" s="26">
        <f>IF($A1172="","",ROUND(SUMIFS(出库单!$S$4:$S$4003,出库单!$D$4:$D$4003,$A1172,出库单!$K$4:$K$4003,"退货给供应商",出库单!$U$4:$U$4003,"正常",出库单!$C$4:$C$4003,"&gt;="&amp;账期起,出库单!$C$4:$C$4003,"&lt;="&amp;账期止),0))</f>
        <v/>
      </c>
      <c r="X1172" s="27">
        <f>IF($A1172="","",ROUND(N($G1172)+$I1172+$L1172+$N1172-$P1172-$R1172-$T1172-$V1172,3))</f>
        <v/>
      </c>
      <c r="Y1172" s="26">
        <f>IF($A1172="","",ROUND(N($H1172)+$J1172+$M1172+$O1172-$Q1172-$S1172-$U1172-$W1172,0))</f>
        <v/>
      </c>
      <c r="Z1172" s="24">
        <f>IF($A1172="","",IF(COUNTIFS(入库单!$G$4:$G$2503,$A1172,入库单!$Y$4:$Y$2503,"待补价")+COUNTIFS(入库单!$G$4:$G$2503,$A1172,入库单!$Y$4:$Y$2503,"暂估")&gt;0,"不可信","可信"))</f>
        <v/>
      </c>
      <c r="AA1172" s="24">
        <f>IF($A1172="","",IF($X1172&lt;-0.001,"※账面负库存，查一下是不是漏记入库",IF(AND(ROUND($X1172,3)=0,ABS($Y1172)&gt;1),"※数量已经是 0，金额还挂着 "&amp;TEXT($Y1172,"#,##0")&amp;" 先令",IF(AND($X1172&gt;0,$Y1172&lt;=0,$K1172=0),"※有数量没金额（这个物料一直没填过进价）",IF($Z1172="不可信","△成本含待补价/暂估，毛利仅供参考","")))))</f>
        <v/>
      </c>
    </row>
    <row r="1173">
      <c r="A1173" s="24">
        <f>IF(物料档案!$A1172="","",物料档案!$A1172)</f>
        <v/>
      </c>
      <c r="B1173" s="24">
        <f>IF($A1173="","",IFERROR(VLOOKUP($A1173,物料档案!$A$4:$P$1203,3,0),""))</f>
        <v/>
      </c>
      <c r="C1173" s="24">
        <f>IF($A1173="","",IFERROR(VLOOKUP($A1173,物料档案!$A$4:$P$1203,4,0),""))</f>
        <v/>
      </c>
      <c r="D1173" s="24">
        <f>IF($A1173="","",IFERROR(VLOOKUP($A1173,物料档案!$A$4:$P$1203,5,0),""))</f>
        <v/>
      </c>
      <c r="E1173" s="24">
        <f>IF($A1173="","",IFERROR(VLOOKUP($A1173,物料档案!$A$4:$P$1203,2,0),""))</f>
        <v/>
      </c>
      <c r="F1173" s="24">
        <f>IF($A1173="","",IFERROR(VLOOKUP($A1173,物料档案!$A$4:$P$1203,6,0),""))</f>
        <v/>
      </c>
      <c r="G1173" s="23" t="n"/>
      <c r="H1173" s="32" t="n"/>
      <c r="I1173" s="27">
        <f>IF($A1173="","",SUMIFS(入库单!$K$4:$K$2503,入库单!$G$4:$G$2503,$A1173,入库单!$X$4:$X$2503,"采购入库",入库单!$Z$4:$Z$2503,"正常",入库单!$C$4:$C$2503,"&gt;="&amp;账期起,入库单!$C$4:$C$2503,"&lt;="&amp;账期止))</f>
        <v/>
      </c>
      <c r="J1173" s="26">
        <f>IF($A1173="","",SUMIFS(入库单!$V$4:$V$2503,入库单!$G$4:$G$2503,$A1173,入库单!$X$4:$X$2503,"采购入库",入库单!$Z$4:$Z$2503,"正常",入库单!$C$4:$C$2503,"&gt;="&amp;账期起,入库单!$C$4:$C$2503,"&lt;="&amp;账期止))</f>
        <v/>
      </c>
      <c r="K1173" s="26">
        <f>IF($A1173="","",IFERROR(ROUND((N($H1173)+N($J1173))/(N($G1173)+N($I1173)),2),0))</f>
        <v/>
      </c>
      <c r="L1173" s="27">
        <f>IF($A1173="","",SUMIFS(入库单!$K$4:$K$2503,入库单!$G$4:$G$2503,$A1173,入库单!$X$4:$X$2503,"盘盈",入库单!$Z$4:$Z$2503,"正常",入库单!$C$4:$C$2503,"&gt;="&amp;账期起,入库单!$C$4:$C$2503,"&lt;="&amp;账期止))</f>
        <v/>
      </c>
      <c r="M1173" s="26">
        <f>IF($A1173="","",ROUND($L1173*$K1173,0))</f>
        <v/>
      </c>
      <c r="N1173" s="27">
        <f>IF($A1173="","",SUMIFS(入库单!$K$4:$K$2503,入库单!$G$4:$G$2503,$A1173,入库单!$X$4:$X$2503,"矿区退库",入库单!$Z$4:$Z$2503,"正常",入库单!$C$4:$C$2503,"&gt;="&amp;账期起,入库单!$C$4:$C$2503,"&lt;="&amp;账期止))</f>
        <v/>
      </c>
      <c r="O1173" s="26">
        <f>IF($A1173="","",ROUND($N1173*$K1173,0))</f>
        <v/>
      </c>
      <c r="P1173" s="27">
        <f>IF($A1173="","",SUMIFS(出库单!$J$4:$J$4003,出库单!$D$4:$D$4003,$A1173,出库单!$K$4:$K$4003,"自用消耗",出库单!$U$4:$U$4003,"正常",出库单!$C$4:$C$4003,"&gt;="&amp;账期起,出库单!$C$4:$C$4003,"&lt;="&amp;账期止))</f>
        <v/>
      </c>
      <c r="Q1173" s="26">
        <f>IF($A1173="","",ROUND(SUMIFS(出库单!$S$4:$S$4003,出库单!$D$4:$D$4003,$A1173,出库单!$K$4:$K$4003,"自用消耗",出库单!$U$4:$U$4003,"正常",出库单!$C$4:$C$4003,"&gt;="&amp;账期起,出库单!$C$4:$C$4003,"&lt;="&amp;账期止),0))</f>
        <v/>
      </c>
      <c r="R1173" s="27">
        <f>IF($A1173="","",SUMIFS(出库单!$J$4:$J$4003,出库单!$D$4:$D$4003,$A1173,出库单!$K$4:$K$4003,"对外销售",出库单!$U$4:$U$4003,"正常",出库单!$C$4:$C$4003,"&gt;="&amp;账期起,出库单!$C$4:$C$4003,"&lt;="&amp;账期止))</f>
        <v/>
      </c>
      <c r="S1173" s="26">
        <f>IF($A1173="","",ROUND(SUMIFS(出库单!$S$4:$S$4003,出库单!$D$4:$D$4003,$A1173,出库单!$K$4:$K$4003,"对外销售",出库单!$U$4:$U$4003,"正常",出库单!$C$4:$C$4003,"&gt;="&amp;账期起,出库单!$C$4:$C$4003,"&lt;="&amp;账期止),0))</f>
        <v/>
      </c>
      <c r="T1173" s="27">
        <f>IF($A1173="","",SUMIFS(出库单!$J$4:$J$4003,出库单!$D$4:$D$4003,$A1173,出库单!$K$4:$K$4003,"盘亏",出库单!$U$4:$U$4003,"正常",出库单!$C$4:$C$4003,"&gt;="&amp;账期起,出库单!$C$4:$C$4003,"&lt;="&amp;账期止))</f>
        <v/>
      </c>
      <c r="U1173" s="26">
        <f>IF($A1173="","",ROUND(SUMIFS(出库单!$S$4:$S$4003,出库单!$D$4:$D$4003,$A1173,出库单!$K$4:$K$4003,"盘亏",出库单!$U$4:$U$4003,"正常",出库单!$C$4:$C$4003,"&gt;="&amp;账期起,出库单!$C$4:$C$4003,"&lt;="&amp;账期止),0))</f>
        <v/>
      </c>
      <c r="V1173" s="27">
        <f>IF($A1173="","",SUMIFS(出库单!$J$4:$J$4003,出库单!$D$4:$D$4003,$A1173,出库单!$K$4:$K$4003,"退货给供应商",出库单!$U$4:$U$4003,"正常",出库单!$C$4:$C$4003,"&gt;="&amp;账期起,出库单!$C$4:$C$4003,"&lt;="&amp;账期止))</f>
        <v/>
      </c>
      <c r="W1173" s="26">
        <f>IF($A1173="","",ROUND(SUMIFS(出库单!$S$4:$S$4003,出库单!$D$4:$D$4003,$A1173,出库单!$K$4:$K$4003,"退货给供应商",出库单!$U$4:$U$4003,"正常",出库单!$C$4:$C$4003,"&gt;="&amp;账期起,出库单!$C$4:$C$4003,"&lt;="&amp;账期止),0))</f>
        <v/>
      </c>
      <c r="X1173" s="27">
        <f>IF($A1173="","",ROUND(N($G1173)+$I1173+$L1173+$N1173-$P1173-$R1173-$T1173-$V1173,3))</f>
        <v/>
      </c>
      <c r="Y1173" s="26">
        <f>IF($A1173="","",ROUND(N($H1173)+$J1173+$M1173+$O1173-$Q1173-$S1173-$U1173-$W1173,0))</f>
        <v/>
      </c>
      <c r="Z1173" s="24">
        <f>IF($A1173="","",IF(COUNTIFS(入库单!$G$4:$G$2503,$A1173,入库单!$Y$4:$Y$2503,"待补价")+COUNTIFS(入库单!$G$4:$G$2503,$A1173,入库单!$Y$4:$Y$2503,"暂估")&gt;0,"不可信","可信"))</f>
        <v/>
      </c>
      <c r="AA1173" s="24">
        <f>IF($A1173="","",IF($X1173&lt;-0.001,"※账面负库存，查一下是不是漏记入库",IF(AND(ROUND($X1173,3)=0,ABS($Y1173)&gt;1),"※数量已经是 0，金额还挂着 "&amp;TEXT($Y1173,"#,##0")&amp;" 先令",IF(AND($X1173&gt;0,$Y1173&lt;=0,$K1173=0),"※有数量没金额（这个物料一直没填过进价）",IF($Z1173="不可信","△成本含待补价/暂估，毛利仅供参考","")))))</f>
        <v/>
      </c>
    </row>
    <row r="1174">
      <c r="A1174" s="24">
        <f>IF(物料档案!$A1173="","",物料档案!$A1173)</f>
        <v/>
      </c>
      <c r="B1174" s="24">
        <f>IF($A1174="","",IFERROR(VLOOKUP($A1174,物料档案!$A$4:$P$1203,3,0),""))</f>
        <v/>
      </c>
      <c r="C1174" s="24">
        <f>IF($A1174="","",IFERROR(VLOOKUP($A1174,物料档案!$A$4:$P$1203,4,0),""))</f>
        <v/>
      </c>
      <c r="D1174" s="24">
        <f>IF($A1174="","",IFERROR(VLOOKUP($A1174,物料档案!$A$4:$P$1203,5,0),""))</f>
        <v/>
      </c>
      <c r="E1174" s="24">
        <f>IF($A1174="","",IFERROR(VLOOKUP($A1174,物料档案!$A$4:$P$1203,2,0),""))</f>
        <v/>
      </c>
      <c r="F1174" s="24">
        <f>IF($A1174="","",IFERROR(VLOOKUP($A1174,物料档案!$A$4:$P$1203,6,0),""))</f>
        <v/>
      </c>
      <c r="G1174" s="23" t="n"/>
      <c r="H1174" s="32" t="n"/>
      <c r="I1174" s="27">
        <f>IF($A1174="","",SUMIFS(入库单!$K$4:$K$2503,入库单!$G$4:$G$2503,$A1174,入库单!$X$4:$X$2503,"采购入库",入库单!$Z$4:$Z$2503,"正常",入库单!$C$4:$C$2503,"&gt;="&amp;账期起,入库单!$C$4:$C$2503,"&lt;="&amp;账期止))</f>
        <v/>
      </c>
      <c r="J1174" s="26">
        <f>IF($A1174="","",SUMIFS(入库单!$V$4:$V$2503,入库单!$G$4:$G$2503,$A1174,入库单!$X$4:$X$2503,"采购入库",入库单!$Z$4:$Z$2503,"正常",入库单!$C$4:$C$2503,"&gt;="&amp;账期起,入库单!$C$4:$C$2503,"&lt;="&amp;账期止))</f>
        <v/>
      </c>
      <c r="K1174" s="26">
        <f>IF($A1174="","",IFERROR(ROUND((N($H1174)+N($J1174))/(N($G1174)+N($I1174)),2),0))</f>
        <v/>
      </c>
      <c r="L1174" s="27">
        <f>IF($A1174="","",SUMIFS(入库单!$K$4:$K$2503,入库单!$G$4:$G$2503,$A1174,入库单!$X$4:$X$2503,"盘盈",入库单!$Z$4:$Z$2503,"正常",入库单!$C$4:$C$2503,"&gt;="&amp;账期起,入库单!$C$4:$C$2503,"&lt;="&amp;账期止))</f>
        <v/>
      </c>
      <c r="M1174" s="26">
        <f>IF($A1174="","",ROUND($L1174*$K1174,0))</f>
        <v/>
      </c>
      <c r="N1174" s="27">
        <f>IF($A1174="","",SUMIFS(入库单!$K$4:$K$2503,入库单!$G$4:$G$2503,$A1174,入库单!$X$4:$X$2503,"矿区退库",入库单!$Z$4:$Z$2503,"正常",入库单!$C$4:$C$2503,"&gt;="&amp;账期起,入库单!$C$4:$C$2503,"&lt;="&amp;账期止))</f>
        <v/>
      </c>
      <c r="O1174" s="26">
        <f>IF($A1174="","",ROUND($N1174*$K1174,0))</f>
        <v/>
      </c>
      <c r="P1174" s="27">
        <f>IF($A1174="","",SUMIFS(出库单!$J$4:$J$4003,出库单!$D$4:$D$4003,$A1174,出库单!$K$4:$K$4003,"自用消耗",出库单!$U$4:$U$4003,"正常",出库单!$C$4:$C$4003,"&gt;="&amp;账期起,出库单!$C$4:$C$4003,"&lt;="&amp;账期止))</f>
        <v/>
      </c>
      <c r="Q1174" s="26">
        <f>IF($A1174="","",ROUND(SUMIFS(出库单!$S$4:$S$4003,出库单!$D$4:$D$4003,$A1174,出库单!$K$4:$K$4003,"自用消耗",出库单!$U$4:$U$4003,"正常",出库单!$C$4:$C$4003,"&gt;="&amp;账期起,出库单!$C$4:$C$4003,"&lt;="&amp;账期止),0))</f>
        <v/>
      </c>
      <c r="R1174" s="27">
        <f>IF($A1174="","",SUMIFS(出库单!$J$4:$J$4003,出库单!$D$4:$D$4003,$A1174,出库单!$K$4:$K$4003,"对外销售",出库单!$U$4:$U$4003,"正常",出库单!$C$4:$C$4003,"&gt;="&amp;账期起,出库单!$C$4:$C$4003,"&lt;="&amp;账期止))</f>
        <v/>
      </c>
      <c r="S1174" s="26">
        <f>IF($A1174="","",ROUND(SUMIFS(出库单!$S$4:$S$4003,出库单!$D$4:$D$4003,$A1174,出库单!$K$4:$K$4003,"对外销售",出库单!$U$4:$U$4003,"正常",出库单!$C$4:$C$4003,"&gt;="&amp;账期起,出库单!$C$4:$C$4003,"&lt;="&amp;账期止),0))</f>
        <v/>
      </c>
      <c r="T1174" s="27">
        <f>IF($A1174="","",SUMIFS(出库单!$J$4:$J$4003,出库单!$D$4:$D$4003,$A1174,出库单!$K$4:$K$4003,"盘亏",出库单!$U$4:$U$4003,"正常",出库单!$C$4:$C$4003,"&gt;="&amp;账期起,出库单!$C$4:$C$4003,"&lt;="&amp;账期止))</f>
        <v/>
      </c>
      <c r="U1174" s="26">
        <f>IF($A1174="","",ROUND(SUMIFS(出库单!$S$4:$S$4003,出库单!$D$4:$D$4003,$A1174,出库单!$K$4:$K$4003,"盘亏",出库单!$U$4:$U$4003,"正常",出库单!$C$4:$C$4003,"&gt;="&amp;账期起,出库单!$C$4:$C$4003,"&lt;="&amp;账期止),0))</f>
        <v/>
      </c>
      <c r="V1174" s="27">
        <f>IF($A1174="","",SUMIFS(出库单!$J$4:$J$4003,出库单!$D$4:$D$4003,$A1174,出库单!$K$4:$K$4003,"退货给供应商",出库单!$U$4:$U$4003,"正常",出库单!$C$4:$C$4003,"&gt;="&amp;账期起,出库单!$C$4:$C$4003,"&lt;="&amp;账期止))</f>
        <v/>
      </c>
      <c r="W1174" s="26">
        <f>IF($A1174="","",ROUND(SUMIFS(出库单!$S$4:$S$4003,出库单!$D$4:$D$4003,$A1174,出库单!$K$4:$K$4003,"退货给供应商",出库单!$U$4:$U$4003,"正常",出库单!$C$4:$C$4003,"&gt;="&amp;账期起,出库单!$C$4:$C$4003,"&lt;="&amp;账期止),0))</f>
        <v/>
      </c>
      <c r="X1174" s="27">
        <f>IF($A1174="","",ROUND(N($G1174)+$I1174+$L1174+$N1174-$P1174-$R1174-$T1174-$V1174,3))</f>
        <v/>
      </c>
      <c r="Y1174" s="26">
        <f>IF($A1174="","",ROUND(N($H1174)+$J1174+$M1174+$O1174-$Q1174-$S1174-$U1174-$W1174,0))</f>
        <v/>
      </c>
      <c r="Z1174" s="24">
        <f>IF($A1174="","",IF(COUNTIFS(入库单!$G$4:$G$2503,$A1174,入库单!$Y$4:$Y$2503,"待补价")+COUNTIFS(入库单!$G$4:$G$2503,$A1174,入库单!$Y$4:$Y$2503,"暂估")&gt;0,"不可信","可信"))</f>
        <v/>
      </c>
      <c r="AA1174" s="24">
        <f>IF($A1174="","",IF($X1174&lt;-0.001,"※账面负库存，查一下是不是漏记入库",IF(AND(ROUND($X1174,3)=0,ABS($Y1174)&gt;1),"※数量已经是 0，金额还挂着 "&amp;TEXT($Y1174,"#,##0")&amp;" 先令",IF(AND($X1174&gt;0,$Y1174&lt;=0,$K1174=0),"※有数量没金额（这个物料一直没填过进价）",IF($Z1174="不可信","△成本含待补价/暂估，毛利仅供参考","")))))</f>
        <v/>
      </c>
    </row>
    <row r="1175">
      <c r="A1175" s="24">
        <f>IF(物料档案!$A1174="","",物料档案!$A1174)</f>
        <v/>
      </c>
      <c r="B1175" s="24">
        <f>IF($A1175="","",IFERROR(VLOOKUP($A1175,物料档案!$A$4:$P$1203,3,0),""))</f>
        <v/>
      </c>
      <c r="C1175" s="24">
        <f>IF($A1175="","",IFERROR(VLOOKUP($A1175,物料档案!$A$4:$P$1203,4,0),""))</f>
        <v/>
      </c>
      <c r="D1175" s="24">
        <f>IF($A1175="","",IFERROR(VLOOKUP($A1175,物料档案!$A$4:$P$1203,5,0),""))</f>
        <v/>
      </c>
      <c r="E1175" s="24">
        <f>IF($A1175="","",IFERROR(VLOOKUP($A1175,物料档案!$A$4:$P$1203,2,0),""))</f>
        <v/>
      </c>
      <c r="F1175" s="24">
        <f>IF($A1175="","",IFERROR(VLOOKUP($A1175,物料档案!$A$4:$P$1203,6,0),""))</f>
        <v/>
      </c>
      <c r="G1175" s="23" t="n"/>
      <c r="H1175" s="32" t="n"/>
      <c r="I1175" s="27">
        <f>IF($A1175="","",SUMIFS(入库单!$K$4:$K$2503,入库单!$G$4:$G$2503,$A1175,入库单!$X$4:$X$2503,"采购入库",入库单!$Z$4:$Z$2503,"正常",入库单!$C$4:$C$2503,"&gt;="&amp;账期起,入库单!$C$4:$C$2503,"&lt;="&amp;账期止))</f>
        <v/>
      </c>
      <c r="J1175" s="26">
        <f>IF($A1175="","",SUMIFS(入库单!$V$4:$V$2503,入库单!$G$4:$G$2503,$A1175,入库单!$X$4:$X$2503,"采购入库",入库单!$Z$4:$Z$2503,"正常",入库单!$C$4:$C$2503,"&gt;="&amp;账期起,入库单!$C$4:$C$2503,"&lt;="&amp;账期止))</f>
        <v/>
      </c>
      <c r="K1175" s="26">
        <f>IF($A1175="","",IFERROR(ROUND((N($H1175)+N($J1175))/(N($G1175)+N($I1175)),2),0))</f>
        <v/>
      </c>
      <c r="L1175" s="27">
        <f>IF($A1175="","",SUMIFS(入库单!$K$4:$K$2503,入库单!$G$4:$G$2503,$A1175,入库单!$X$4:$X$2503,"盘盈",入库单!$Z$4:$Z$2503,"正常",入库单!$C$4:$C$2503,"&gt;="&amp;账期起,入库单!$C$4:$C$2503,"&lt;="&amp;账期止))</f>
        <v/>
      </c>
      <c r="M1175" s="26">
        <f>IF($A1175="","",ROUND($L1175*$K1175,0))</f>
        <v/>
      </c>
      <c r="N1175" s="27">
        <f>IF($A1175="","",SUMIFS(入库单!$K$4:$K$2503,入库单!$G$4:$G$2503,$A1175,入库单!$X$4:$X$2503,"矿区退库",入库单!$Z$4:$Z$2503,"正常",入库单!$C$4:$C$2503,"&gt;="&amp;账期起,入库单!$C$4:$C$2503,"&lt;="&amp;账期止))</f>
        <v/>
      </c>
      <c r="O1175" s="26">
        <f>IF($A1175="","",ROUND($N1175*$K1175,0))</f>
        <v/>
      </c>
      <c r="P1175" s="27">
        <f>IF($A1175="","",SUMIFS(出库单!$J$4:$J$4003,出库单!$D$4:$D$4003,$A1175,出库单!$K$4:$K$4003,"自用消耗",出库单!$U$4:$U$4003,"正常",出库单!$C$4:$C$4003,"&gt;="&amp;账期起,出库单!$C$4:$C$4003,"&lt;="&amp;账期止))</f>
        <v/>
      </c>
      <c r="Q1175" s="26">
        <f>IF($A1175="","",ROUND(SUMIFS(出库单!$S$4:$S$4003,出库单!$D$4:$D$4003,$A1175,出库单!$K$4:$K$4003,"自用消耗",出库单!$U$4:$U$4003,"正常",出库单!$C$4:$C$4003,"&gt;="&amp;账期起,出库单!$C$4:$C$4003,"&lt;="&amp;账期止),0))</f>
        <v/>
      </c>
      <c r="R1175" s="27">
        <f>IF($A1175="","",SUMIFS(出库单!$J$4:$J$4003,出库单!$D$4:$D$4003,$A1175,出库单!$K$4:$K$4003,"对外销售",出库单!$U$4:$U$4003,"正常",出库单!$C$4:$C$4003,"&gt;="&amp;账期起,出库单!$C$4:$C$4003,"&lt;="&amp;账期止))</f>
        <v/>
      </c>
      <c r="S1175" s="26">
        <f>IF($A1175="","",ROUND(SUMIFS(出库单!$S$4:$S$4003,出库单!$D$4:$D$4003,$A1175,出库单!$K$4:$K$4003,"对外销售",出库单!$U$4:$U$4003,"正常",出库单!$C$4:$C$4003,"&gt;="&amp;账期起,出库单!$C$4:$C$4003,"&lt;="&amp;账期止),0))</f>
        <v/>
      </c>
      <c r="T1175" s="27">
        <f>IF($A1175="","",SUMIFS(出库单!$J$4:$J$4003,出库单!$D$4:$D$4003,$A1175,出库单!$K$4:$K$4003,"盘亏",出库单!$U$4:$U$4003,"正常",出库单!$C$4:$C$4003,"&gt;="&amp;账期起,出库单!$C$4:$C$4003,"&lt;="&amp;账期止))</f>
        <v/>
      </c>
      <c r="U1175" s="26">
        <f>IF($A1175="","",ROUND(SUMIFS(出库单!$S$4:$S$4003,出库单!$D$4:$D$4003,$A1175,出库单!$K$4:$K$4003,"盘亏",出库单!$U$4:$U$4003,"正常",出库单!$C$4:$C$4003,"&gt;="&amp;账期起,出库单!$C$4:$C$4003,"&lt;="&amp;账期止),0))</f>
        <v/>
      </c>
      <c r="V1175" s="27">
        <f>IF($A1175="","",SUMIFS(出库单!$J$4:$J$4003,出库单!$D$4:$D$4003,$A1175,出库单!$K$4:$K$4003,"退货给供应商",出库单!$U$4:$U$4003,"正常",出库单!$C$4:$C$4003,"&gt;="&amp;账期起,出库单!$C$4:$C$4003,"&lt;="&amp;账期止))</f>
        <v/>
      </c>
      <c r="W1175" s="26">
        <f>IF($A1175="","",ROUND(SUMIFS(出库单!$S$4:$S$4003,出库单!$D$4:$D$4003,$A1175,出库单!$K$4:$K$4003,"退货给供应商",出库单!$U$4:$U$4003,"正常",出库单!$C$4:$C$4003,"&gt;="&amp;账期起,出库单!$C$4:$C$4003,"&lt;="&amp;账期止),0))</f>
        <v/>
      </c>
      <c r="X1175" s="27">
        <f>IF($A1175="","",ROUND(N($G1175)+$I1175+$L1175+$N1175-$P1175-$R1175-$T1175-$V1175,3))</f>
        <v/>
      </c>
      <c r="Y1175" s="26">
        <f>IF($A1175="","",ROUND(N($H1175)+$J1175+$M1175+$O1175-$Q1175-$S1175-$U1175-$W1175,0))</f>
        <v/>
      </c>
      <c r="Z1175" s="24">
        <f>IF($A1175="","",IF(COUNTIFS(入库单!$G$4:$G$2503,$A1175,入库单!$Y$4:$Y$2503,"待补价")+COUNTIFS(入库单!$G$4:$G$2503,$A1175,入库单!$Y$4:$Y$2503,"暂估")&gt;0,"不可信","可信"))</f>
        <v/>
      </c>
      <c r="AA1175" s="24">
        <f>IF($A1175="","",IF($X1175&lt;-0.001,"※账面负库存，查一下是不是漏记入库",IF(AND(ROUND($X1175,3)=0,ABS($Y1175)&gt;1),"※数量已经是 0，金额还挂着 "&amp;TEXT($Y1175,"#,##0")&amp;" 先令",IF(AND($X1175&gt;0,$Y1175&lt;=0,$K1175=0),"※有数量没金额（这个物料一直没填过进价）",IF($Z1175="不可信","△成本含待补价/暂估，毛利仅供参考","")))))</f>
        <v/>
      </c>
    </row>
    <row r="1176">
      <c r="A1176" s="24">
        <f>IF(物料档案!$A1175="","",物料档案!$A1175)</f>
        <v/>
      </c>
      <c r="B1176" s="24">
        <f>IF($A1176="","",IFERROR(VLOOKUP($A1176,物料档案!$A$4:$P$1203,3,0),""))</f>
        <v/>
      </c>
      <c r="C1176" s="24">
        <f>IF($A1176="","",IFERROR(VLOOKUP($A1176,物料档案!$A$4:$P$1203,4,0),""))</f>
        <v/>
      </c>
      <c r="D1176" s="24">
        <f>IF($A1176="","",IFERROR(VLOOKUP($A1176,物料档案!$A$4:$P$1203,5,0),""))</f>
        <v/>
      </c>
      <c r="E1176" s="24">
        <f>IF($A1176="","",IFERROR(VLOOKUP($A1176,物料档案!$A$4:$P$1203,2,0),""))</f>
        <v/>
      </c>
      <c r="F1176" s="24">
        <f>IF($A1176="","",IFERROR(VLOOKUP($A1176,物料档案!$A$4:$P$1203,6,0),""))</f>
        <v/>
      </c>
      <c r="G1176" s="23" t="n"/>
      <c r="H1176" s="32" t="n"/>
      <c r="I1176" s="27">
        <f>IF($A1176="","",SUMIFS(入库单!$K$4:$K$2503,入库单!$G$4:$G$2503,$A1176,入库单!$X$4:$X$2503,"采购入库",入库单!$Z$4:$Z$2503,"正常",入库单!$C$4:$C$2503,"&gt;="&amp;账期起,入库单!$C$4:$C$2503,"&lt;="&amp;账期止))</f>
        <v/>
      </c>
      <c r="J1176" s="26">
        <f>IF($A1176="","",SUMIFS(入库单!$V$4:$V$2503,入库单!$G$4:$G$2503,$A1176,入库单!$X$4:$X$2503,"采购入库",入库单!$Z$4:$Z$2503,"正常",入库单!$C$4:$C$2503,"&gt;="&amp;账期起,入库单!$C$4:$C$2503,"&lt;="&amp;账期止))</f>
        <v/>
      </c>
      <c r="K1176" s="26">
        <f>IF($A1176="","",IFERROR(ROUND((N($H1176)+N($J1176))/(N($G1176)+N($I1176)),2),0))</f>
        <v/>
      </c>
      <c r="L1176" s="27">
        <f>IF($A1176="","",SUMIFS(入库单!$K$4:$K$2503,入库单!$G$4:$G$2503,$A1176,入库单!$X$4:$X$2503,"盘盈",入库单!$Z$4:$Z$2503,"正常",入库单!$C$4:$C$2503,"&gt;="&amp;账期起,入库单!$C$4:$C$2503,"&lt;="&amp;账期止))</f>
        <v/>
      </c>
      <c r="M1176" s="26">
        <f>IF($A1176="","",ROUND($L1176*$K1176,0))</f>
        <v/>
      </c>
      <c r="N1176" s="27">
        <f>IF($A1176="","",SUMIFS(入库单!$K$4:$K$2503,入库单!$G$4:$G$2503,$A1176,入库单!$X$4:$X$2503,"矿区退库",入库单!$Z$4:$Z$2503,"正常",入库单!$C$4:$C$2503,"&gt;="&amp;账期起,入库单!$C$4:$C$2503,"&lt;="&amp;账期止))</f>
        <v/>
      </c>
      <c r="O1176" s="26">
        <f>IF($A1176="","",ROUND($N1176*$K1176,0))</f>
        <v/>
      </c>
      <c r="P1176" s="27">
        <f>IF($A1176="","",SUMIFS(出库单!$J$4:$J$4003,出库单!$D$4:$D$4003,$A1176,出库单!$K$4:$K$4003,"自用消耗",出库单!$U$4:$U$4003,"正常",出库单!$C$4:$C$4003,"&gt;="&amp;账期起,出库单!$C$4:$C$4003,"&lt;="&amp;账期止))</f>
        <v/>
      </c>
      <c r="Q1176" s="26">
        <f>IF($A1176="","",ROUND(SUMIFS(出库单!$S$4:$S$4003,出库单!$D$4:$D$4003,$A1176,出库单!$K$4:$K$4003,"自用消耗",出库单!$U$4:$U$4003,"正常",出库单!$C$4:$C$4003,"&gt;="&amp;账期起,出库单!$C$4:$C$4003,"&lt;="&amp;账期止),0))</f>
        <v/>
      </c>
      <c r="R1176" s="27">
        <f>IF($A1176="","",SUMIFS(出库单!$J$4:$J$4003,出库单!$D$4:$D$4003,$A1176,出库单!$K$4:$K$4003,"对外销售",出库单!$U$4:$U$4003,"正常",出库单!$C$4:$C$4003,"&gt;="&amp;账期起,出库单!$C$4:$C$4003,"&lt;="&amp;账期止))</f>
        <v/>
      </c>
      <c r="S1176" s="26">
        <f>IF($A1176="","",ROUND(SUMIFS(出库单!$S$4:$S$4003,出库单!$D$4:$D$4003,$A1176,出库单!$K$4:$K$4003,"对外销售",出库单!$U$4:$U$4003,"正常",出库单!$C$4:$C$4003,"&gt;="&amp;账期起,出库单!$C$4:$C$4003,"&lt;="&amp;账期止),0))</f>
        <v/>
      </c>
      <c r="T1176" s="27">
        <f>IF($A1176="","",SUMIFS(出库单!$J$4:$J$4003,出库单!$D$4:$D$4003,$A1176,出库单!$K$4:$K$4003,"盘亏",出库单!$U$4:$U$4003,"正常",出库单!$C$4:$C$4003,"&gt;="&amp;账期起,出库单!$C$4:$C$4003,"&lt;="&amp;账期止))</f>
        <v/>
      </c>
      <c r="U1176" s="26">
        <f>IF($A1176="","",ROUND(SUMIFS(出库单!$S$4:$S$4003,出库单!$D$4:$D$4003,$A1176,出库单!$K$4:$K$4003,"盘亏",出库单!$U$4:$U$4003,"正常",出库单!$C$4:$C$4003,"&gt;="&amp;账期起,出库单!$C$4:$C$4003,"&lt;="&amp;账期止),0))</f>
        <v/>
      </c>
      <c r="V1176" s="27">
        <f>IF($A1176="","",SUMIFS(出库单!$J$4:$J$4003,出库单!$D$4:$D$4003,$A1176,出库单!$K$4:$K$4003,"退货给供应商",出库单!$U$4:$U$4003,"正常",出库单!$C$4:$C$4003,"&gt;="&amp;账期起,出库单!$C$4:$C$4003,"&lt;="&amp;账期止))</f>
        <v/>
      </c>
      <c r="W1176" s="26">
        <f>IF($A1176="","",ROUND(SUMIFS(出库单!$S$4:$S$4003,出库单!$D$4:$D$4003,$A1176,出库单!$K$4:$K$4003,"退货给供应商",出库单!$U$4:$U$4003,"正常",出库单!$C$4:$C$4003,"&gt;="&amp;账期起,出库单!$C$4:$C$4003,"&lt;="&amp;账期止),0))</f>
        <v/>
      </c>
      <c r="X1176" s="27">
        <f>IF($A1176="","",ROUND(N($G1176)+$I1176+$L1176+$N1176-$P1176-$R1176-$T1176-$V1176,3))</f>
        <v/>
      </c>
      <c r="Y1176" s="26">
        <f>IF($A1176="","",ROUND(N($H1176)+$J1176+$M1176+$O1176-$Q1176-$S1176-$U1176-$W1176,0))</f>
        <v/>
      </c>
      <c r="Z1176" s="24">
        <f>IF($A1176="","",IF(COUNTIFS(入库单!$G$4:$G$2503,$A1176,入库单!$Y$4:$Y$2503,"待补价")+COUNTIFS(入库单!$G$4:$G$2503,$A1176,入库单!$Y$4:$Y$2503,"暂估")&gt;0,"不可信","可信"))</f>
        <v/>
      </c>
      <c r="AA1176" s="24">
        <f>IF($A1176="","",IF($X1176&lt;-0.001,"※账面负库存，查一下是不是漏记入库",IF(AND(ROUND($X1176,3)=0,ABS($Y1176)&gt;1),"※数量已经是 0，金额还挂着 "&amp;TEXT($Y1176,"#,##0")&amp;" 先令",IF(AND($X1176&gt;0,$Y1176&lt;=0,$K1176=0),"※有数量没金额（这个物料一直没填过进价）",IF($Z1176="不可信","△成本含待补价/暂估，毛利仅供参考","")))))</f>
        <v/>
      </c>
    </row>
    <row r="1177">
      <c r="A1177" s="24">
        <f>IF(物料档案!$A1176="","",物料档案!$A1176)</f>
        <v/>
      </c>
      <c r="B1177" s="24">
        <f>IF($A1177="","",IFERROR(VLOOKUP($A1177,物料档案!$A$4:$P$1203,3,0),""))</f>
        <v/>
      </c>
      <c r="C1177" s="24">
        <f>IF($A1177="","",IFERROR(VLOOKUP($A1177,物料档案!$A$4:$P$1203,4,0),""))</f>
        <v/>
      </c>
      <c r="D1177" s="24">
        <f>IF($A1177="","",IFERROR(VLOOKUP($A1177,物料档案!$A$4:$P$1203,5,0),""))</f>
        <v/>
      </c>
      <c r="E1177" s="24">
        <f>IF($A1177="","",IFERROR(VLOOKUP($A1177,物料档案!$A$4:$P$1203,2,0),""))</f>
        <v/>
      </c>
      <c r="F1177" s="24">
        <f>IF($A1177="","",IFERROR(VLOOKUP($A1177,物料档案!$A$4:$P$1203,6,0),""))</f>
        <v/>
      </c>
      <c r="G1177" s="23" t="n"/>
      <c r="H1177" s="32" t="n"/>
      <c r="I1177" s="27">
        <f>IF($A1177="","",SUMIFS(入库单!$K$4:$K$2503,入库单!$G$4:$G$2503,$A1177,入库单!$X$4:$X$2503,"采购入库",入库单!$Z$4:$Z$2503,"正常",入库单!$C$4:$C$2503,"&gt;="&amp;账期起,入库单!$C$4:$C$2503,"&lt;="&amp;账期止))</f>
        <v/>
      </c>
      <c r="J1177" s="26">
        <f>IF($A1177="","",SUMIFS(入库单!$V$4:$V$2503,入库单!$G$4:$G$2503,$A1177,入库单!$X$4:$X$2503,"采购入库",入库单!$Z$4:$Z$2503,"正常",入库单!$C$4:$C$2503,"&gt;="&amp;账期起,入库单!$C$4:$C$2503,"&lt;="&amp;账期止))</f>
        <v/>
      </c>
      <c r="K1177" s="26">
        <f>IF($A1177="","",IFERROR(ROUND((N($H1177)+N($J1177))/(N($G1177)+N($I1177)),2),0))</f>
        <v/>
      </c>
      <c r="L1177" s="27">
        <f>IF($A1177="","",SUMIFS(入库单!$K$4:$K$2503,入库单!$G$4:$G$2503,$A1177,入库单!$X$4:$X$2503,"盘盈",入库单!$Z$4:$Z$2503,"正常",入库单!$C$4:$C$2503,"&gt;="&amp;账期起,入库单!$C$4:$C$2503,"&lt;="&amp;账期止))</f>
        <v/>
      </c>
      <c r="M1177" s="26">
        <f>IF($A1177="","",ROUND($L1177*$K1177,0))</f>
        <v/>
      </c>
      <c r="N1177" s="27">
        <f>IF($A1177="","",SUMIFS(入库单!$K$4:$K$2503,入库单!$G$4:$G$2503,$A1177,入库单!$X$4:$X$2503,"矿区退库",入库单!$Z$4:$Z$2503,"正常",入库单!$C$4:$C$2503,"&gt;="&amp;账期起,入库单!$C$4:$C$2503,"&lt;="&amp;账期止))</f>
        <v/>
      </c>
      <c r="O1177" s="26">
        <f>IF($A1177="","",ROUND($N1177*$K1177,0))</f>
        <v/>
      </c>
      <c r="P1177" s="27">
        <f>IF($A1177="","",SUMIFS(出库单!$J$4:$J$4003,出库单!$D$4:$D$4003,$A1177,出库单!$K$4:$K$4003,"自用消耗",出库单!$U$4:$U$4003,"正常",出库单!$C$4:$C$4003,"&gt;="&amp;账期起,出库单!$C$4:$C$4003,"&lt;="&amp;账期止))</f>
        <v/>
      </c>
      <c r="Q1177" s="26">
        <f>IF($A1177="","",ROUND(SUMIFS(出库单!$S$4:$S$4003,出库单!$D$4:$D$4003,$A1177,出库单!$K$4:$K$4003,"自用消耗",出库单!$U$4:$U$4003,"正常",出库单!$C$4:$C$4003,"&gt;="&amp;账期起,出库单!$C$4:$C$4003,"&lt;="&amp;账期止),0))</f>
        <v/>
      </c>
      <c r="R1177" s="27">
        <f>IF($A1177="","",SUMIFS(出库单!$J$4:$J$4003,出库单!$D$4:$D$4003,$A1177,出库单!$K$4:$K$4003,"对外销售",出库单!$U$4:$U$4003,"正常",出库单!$C$4:$C$4003,"&gt;="&amp;账期起,出库单!$C$4:$C$4003,"&lt;="&amp;账期止))</f>
        <v/>
      </c>
      <c r="S1177" s="26">
        <f>IF($A1177="","",ROUND(SUMIFS(出库单!$S$4:$S$4003,出库单!$D$4:$D$4003,$A1177,出库单!$K$4:$K$4003,"对外销售",出库单!$U$4:$U$4003,"正常",出库单!$C$4:$C$4003,"&gt;="&amp;账期起,出库单!$C$4:$C$4003,"&lt;="&amp;账期止),0))</f>
        <v/>
      </c>
      <c r="T1177" s="27">
        <f>IF($A1177="","",SUMIFS(出库单!$J$4:$J$4003,出库单!$D$4:$D$4003,$A1177,出库单!$K$4:$K$4003,"盘亏",出库单!$U$4:$U$4003,"正常",出库单!$C$4:$C$4003,"&gt;="&amp;账期起,出库单!$C$4:$C$4003,"&lt;="&amp;账期止))</f>
        <v/>
      </c>
      <c r="U1177" s="26">
        <f>IF($A1177="","",ROUND(SUMIFS(出库单!$S$4:$S$4003,出库单!$D$4:$D$4003,$A1177,出库单!$K$4:$K$4003,"盘亏",出库单!$U$4:$U$4003,"正常",出库单!$C$4:$C$4003,"&gt;="&amp;账期起,出库单!$C$4:$C$4003,"&lt;="&amp;账期止),0))</f>
        <v/>
      </c>
      <c r="V1177" s="27">
        <f>IF($A1177="","",SUMIFS(出库单!$J$4:$J$4003,出库单!$D$4:$D$4003,$A1177,出库单!$K$4:$K$4003,"退货给供应商",出库单!$U$4:$U$4003,"正常",出库单!$C$4:$C$4003,"&gt;="&amp;账期起,出库单!$C$4:$C$4003,"&lt;="&amp;账期止))</f>
        <v/>
      </c>
      <c r="W1177" s="26">
        <f>IF($A1177="","",ROUND(SUMIFS(出库单!$S$4:$S$4003,出库单!$D$4:$D$4003,$A1177,出库单!$K$4:$K$4003,"退货给供应商",出库单!$U$4:$U$4003,"正常",出库单!$C$4:$C$4003,"&gt;="&amp;账期起,出库单!$C$4:$C$4003,"&lt;="&amp;账期止),0))</f>
        <v/>
      </c>
      <c r="X1177" s="27">
        <f>IF($A1177="","",ROUND(N($G1177)+$I1177+$L1177+$N1177-$P1177-$R1177-$T1177-$V1177,3))</f>
        <v/>
      </c>
      <c r="Y1177" s="26">
        <f>IF($A1177="","",ROUND(N($H1177)+$J1177+$M1177+$O1177-$Q1177-$S1177-$U1177-$W1177,0))</f>
        <v/>
      </c>
      <c r="Z1177" s="24">
        <f>IF($A1177="","",IF(COUNTIFS(入库单!$G$4:$G$2503,$A1177,入库单!$Y$4:$Y$2503,"待补价")+COUNTIFS(入库单!$G$4:$G$2503,$A1177,入库单!$Y$4:$Y$2503,"暂估")&gt;0,"不可信","可信"))</f>
        <v/>
      </c>
      <c r="AA1177" s="24">
        <f>IF($A1177="","",IF($X1177&lt;-0.001,"※账面负库存，查一下是不是漏记入库",IF(AND(ROUND($X1177,3)=0,ABS($Y1177)&gt;1),"※数量已经是 0，金额还挂着 "&amp;TEXT($Y1177,"#,##0")&amp;" 先令",IF(AND($X1177&gt;0,$Y1177&lt;=0,$K1177=0),"※有数量没金额（这个物料一直没填过进价）",IF($Z1177="不可信","△成本含待补价/暂估，毛利仅供参考","")))))</f>
        <v/>
      </c>
    </row>
    <row r="1178">
      <c r="A1178" s="24">
        <f>IF(物料档案!$A1177="","",物料档案!$A1177)</f>
        <v/>
      </c>
      <c r="B1178" s="24">
        <f>IF($A1178="","",IFERROR(VLOOKUP($A1178,物料档案!$A$4:$P$1203,3,0),""))</f>
        <v/>
      </c>
      <c r="C1178" s="24">
        <f>IF($A1178="","",IFERROR(VLOOKUP($A1178,物料档案!$A$4:$P$1203,4,0),""))</f>
        <v/>
      </c>
      <c r="D1178" s="24">
        <f>IF($A1178="","",IFERROR(VLOOKUP($A1178,物料档案!$A$4:$P$1203,5,0),""))</f>
        <v/>
      </c>
      <c r="E1178" s="24">
        <f>IF($A1178="","",IFERROR(VLOOKUP($A1178,物料档案!$A$4:$P$1203,2,0),""))</f>
        <v/>
      </c>
      <c r="F1178" s="24">
        <f>IF($A1178="","",IFERROR(VLOOKUP($A1178,物料档案!$A$4:$P$1203,6,0),""))</f>
        <v/>
      </c>
      <c r="G1178" s="23" t="n"/>
      <c r="H1178" s="32" t="n"/>
      <c r="I1178" s="27">
        <f>IF($A1178="","",SUMIFS(入库单!$K$4:$K$2503,入库单!$G$4:$G$2503,$A1178,入库单!$X$4:$X$2503,"采购入库",入库单!$Z$4:$Z$2503,"正常",入库单!$C$4:$C$2503,"&gt;="&amp;账期起,入库单!$C$4:$C$2503,"&lt;="&amp;账期止))</f>
        <v/>
      </c>
      <c r="J1178" s="26">
        <f>IF($A1178="","",SUMIFS(入库单!$V$4:$V$2503,入库单!$G$4:$G$2503,$A1178,入库单!$X$4:$X$2503,"采购入库",入库单!$Z$4:$Z$2503,"正常",入库单!$C$4:$C$2503,"&gt;="&amp;账期起,入库单!$C$4:$C$2503,"&lt;="&amp;账期止))</f>
        <v/>
      </c>
      <c r="K1178" s="26">
        <f>IF($A1178="","",IFERROR(ROUND((N($H1178)+N($J1178))/(N($G1178)+N($I1178)),2),0))</f>
        <v/>
      </c>
      <c r="L1178" s="27">
        <f>IF($A1178="","",SUMIFS(入库单!$K$4:$K$2503,入库单!$G$4:$G$2503,$A1178,入库单!$X$4:$X$2503,"盘盈",入库单!$Z$4:$Z$2503,"正常",入库单!$C$4:$C$2503,"&gt;="&amp;账期起,入库单!$C$4:$C$2503,"&lt;="&amp;账期止))</f>
        <v/>
      </c>
      <c r="M1178" s="26">
        <f>IF($A1178="","",ROUND($L1178*$K1178,0))</f>
        <v/>
      </c>
      <c r="N1178" s="27">
        <f>IF($A1178="","",SUMIFS(入库单!$K$4:$K$2503,入库单!$G$4:$G$2503,$A1178,入库单!$X$4:$X$2503,"矿区退库",入库单!$Z$4:$Z$2503,"正常",入库单!$C$4:$C$2503,"&gt;="&amp;账期起,入库单!$C$4:$C$2503,"&lt;="&amp;账期止))</f>
        <v/>
      </c>
      <c r="O1178" s="26">
        <f>IF($A1178="","",ROUND($N1178*$K1178,0))</f>
        <v/>
      </c>
      <c r="P1178" s="27">
        <f>IF($A1178="","",SUMIFS(出库单!$J$4:$J$4003,出库单!$D$4:$D$4003,$A1178,出库单!$K$4:$K$4003,"自用消耗",出库单!$U$4:$U$4003,"正常",出库单!$C$4:$C$4003,"&gt;="&amp;账期起,出库单!$C$4:$C$4003,"&lt;="&amp;账期止))</f>
        <v/>
      </c>
      <c r="Q1178" s="26">
        <f>IF($A1178="","",ROUND(SUMIFS(出库单!$S$4:$S$4003,出库单!$D$4:$D$4003,$A1178,出库单!$K$4:$K$4003,"自用消耗",出库单!$U$4:$U$4003,"正常",出库单!$C$4:$C$4003,"&gt;="&amp;账期起,出库单!$C$4:$C$4003,"&lt;="&amp;账期止),0))</f>
        <v/>
      </c>
      <c r="R1178" s="27">
        <f>IF($A1178="","",SUMIFS(出库单!$J$4:$J$4003,出库单!$D$4:$D$4003,$A1178,出库单!$K$4:$K$4003,"对外销售",出库单!$U$4:$U$4003,"正常",出库单!$C$4:$C$4003,"&gt;="&amp;账期起,出库单!$C$4:$C$4003,"&lt;="&amp;账期止))</f>
        <v/>
      </c>
      <c r="S1178" s="26">
        <f>IF($A1178="","",ROUND(SUMIFS(出库单!$S$4:$S$4003,出库单!$D$4:$D$4003,$A1178,出库单!$K$4:$K$4003,"对外销售",出库单!$U$4:$U$4003,"正常",出库单!$C$4:$C$4003,"&gt;="&amp;账期起,出库单!$C$4:$C$4003,"&lt;="&amp;账期止),0))</f>
        <v/>
      </c>
      <c r="T1178" s="27">
        <f>IF($A1178="","",SUMIFS(出库单!$J$4:$J$4003,出库单!$D$4:$D$4003,$A1178,出库单!$K$4:$K$4003,"盘亏",出库单!$U$4:$U$4003,"正常",出库单!$C$4:$C$4003,"&gt;="&amp;账期起,出库单!$C$4:$C$4003,"&lt;="&amp;账期止))</f>
        <v/>
      </c>
      <c r="U1178" s="26">
        <f>IF($A1178="","",ROUND(SUMIFS(出库单!$S$4:$S$4003,出库单!$D$4:$D$4003,$A1178,出库单!$K$4:$K$4003,"盘亏",出库单!$U$4:$U$4003,"正常",出库单!$C$4:$C$4003,"&gt;="&amp;账期起,出库单!$C$4:$C$4003,"&lt;="&amp;账期止),0))</f>
        <v/>
      </c>
      <c r="V1178" s="27">
        <f>IF($A1178="","",SUMIFS(出库单!$J$4:$J$4003,出库单!$D$4:$D$4003,$A1178,出库单!$K$4:$K$4003,"退货给供应商",出库单!$U$4:$U$4003,"正常",出库单!$C$4:$C$4003,"&gt;="&amp;账期起,出库单!$C$4:$C$4003,"&lt;="&amp;账期止))</f>
        <v/>
      </c>
      <c r="W1178" s="26">
        <f>IF($A1178="","",ROUND(SUMIFS(出库单!$S$4:$S$4003,出库单!$D$4:$D$4003,$A1178,出库单!$K$4:$K$4003,"退货给供应商",出库单!$U$4:$U$4003,"正常",出库单!$C$4:$C$4003,"&gt;="&amp;账期起,出库单!$C$4:$C$4003,"&lt;="&amp;账期止),0))</f>
        <v/>
      </c>
      <c r="X1178" s="27">
        <f>IF($A1178="","",ROUND(N($G1178)+$I1178+$L1178+$N1178-$P1178-$R1178-$T1178-$V1178,3))</f>
        <v/>
      </c>
      <c r="Y1178" s="26">
        <f>IF($A1178="","",ROUND(N($H1178)+$J1178+$M1178+$O1178-$Q1178-$S1178-$U1178-$W1178,0))</f>
        <v/>
      </c>
      <c r="Z1178" s="24">
        <f>IF($A1178="","",IF(COUNTIFS(入库单!$G$4:$G$2503,$A1178,入库单!$Y$4:$Y$2503,"待补价")+COUNTIFS(入库单!$G$4:$G$2503,$A1178,入库单!$Y$4:$Y$2503,"暂估")&gt;0,"不可信","可信"))</f>
        <v/>
      </c>
      <c r="AA1178" s="24">
        <f>IF($A1178="","",IF($X1178&lt;-0.001,"※账面负库存，查一下是不是漏记入库",IF(AND(ROUND($X1178,3)=0,ABS($Y1178)&gt;1),"※数量已经是 0，金额还挂着 "&amp;TEXT($Y1178,"#,##0")&amp;" 先令",IF(AND($X1178&gt;0,$Y1178&lt;=0,$K1178=0),"※有数量没金额（这个物料一直没填过进价）",IF($Z1178="不可信","△成本含待补价/暂估，毛利仅供参考","")))))</f>
        <v/>
      </c>
    </row>
    <row r="1179">
      <c r="A1179" s="24">
        <f>IF(物料档案!$A1178="","",物料档案!$A1178)</f>
        <v/>
      </c>
      <c r="B1179" s="24">
        <f>IF($A1179="","",IFERROR(VLOOKUP($A1179,物料档案!$A$4:$P$1203,3,0),""))</f>
        <v/>
      </c>
      <c r="C1179" s="24">
        <f>IF($A1179="","",IFERROR(VLOOKUP($A1179,物料档案!$A$4:$P$1203,4,0),""))</f>
        <v/>
      </c>
      <c r="D1179" s="24">
        <f>IF($A1179="","",IFERROR(VLOOKUP($A1179,物料档案!$A$4:$P$1203,5,0),""))</f>
        <v/>
      </c>
      <c r="E1179" s="24">
        <f>IF($A1179="","",IFERROR(VLOOKUP($A1179,物料档案!$A$4:$P$1203,2,0),""))</f>
        <v/>
      </c>
      <c r="F1179" s="24">
        <f>IF($A1179="","",IFERROR(VLOOKUP($A1179,物料档案!$A$4:$P$1203,6,0),""))</f>
        <v/>
      </c>
      <c r="G1179" s="23" t="n"/>
      <c r="H1179" s="32" t="n"/>
      <c r="I1179" s="27">
        <f>IF($A1179="","",SUMIFS(入库单!$K$4:$K$2503,入库单!$G$4:$G$2503,$A1179,入库单!$X$4:$X$2503,"采购入库",入库单!$Z$4:$Z$2503,"正常",入库单!$C$4:$C$2503,"&gt;="&amp;账期起,入库单!$C$4:$C$2503,"&lt;="&amp;账期止))</f>
        <v/>
      </c>
      <c r="J1179" s="26">
        <f>IF($A1179="","",SUMIFS(入库单!$V$4:$V$2503,入库单!$G$4:$G$2503,$A1179,入库单!$X$4:$X$2503,"采购入库",入库单!$Z$4:$Z$2503,"正常",入库单!$C$4:$C$2503,"&gt;="&amp;账期起,入库单!$C$4:$C$2503,"&lt;="&amp;账期止))</f>
        <v/>
      </c>
      <c r="K1179" s="26">
        <f>IF($A1179="","",IFERROR(ROUND((N($H1179)+N($J1179))/(N($G1179)+N($I1179)),2),0))</f>
        <v/>
      </c>
      <c r="L1179" s="27">
        <f>IF($A1179="","",SUMIFS(入库单!$K$4:$K$2503,入库单!$G$4:$G$2503,$A1179,入库单!$X$4:$X$2503,"盘盈",入库单!$Z$4:$Z$2503,"正常",入库单!$C$4:$C$2503,"&gt;="&amp;账期起,入库单!$C$4:$C$2503,"&lt;="&amp;账期止))</f>
        <v/>
      </c>
      <c r="M1179" s="26">
        <f>IF($A1179="","",ROUND($L1179*$K1179,0))</f>
        <v/>
      </c>
      <c r="N1179" s="27">
        <f>IF($A1179="","",SUMIFS(入库单!$K$4:$K$2503,入库单!$G$4:$G$2503,$A1179,入库单!$X$4:$X$2503,"矿区退库",入库单!$Z$4:$Z$2503,"正常",入库单!$C$4:$C$2503,"&gt;="&amp;账期起,入库单!$C$4:$C$2503,"&lt;="&amp;账期止))</f>
        <v/>
      </c>
      <c r="O1179" s="26">
        <f>IF($A1179="","",ROUND($N1179*$K1179,0))</f>
        <v/>
      </c>
      <c r="P1179" s="27">
        <f>IF($A1179="","",SUMIFS(出库单!$J$4:$J$4003,出库单!$D$4:$D$4003,$A1179,出库单!$K$4:$K$4003,"自用消耗",出库单!$U$4:$U$4003,"正常",出库单!$C$4:$C$4003,"&gt;="&amp;账期起,出库单!$C$4:$C$4003,"&lt;="&amp;账期止))</f>
        <v/>
      </c>
      <c r="Q1179" s="26">
        <f>IF($A1179="","",ROUND(SUMIFS(出库单!$S$4:$S$4003,出库单!$D$4:$D$4003,$A1179,出库单!$K$4:$K$4003,"自用消耗",出库单!$U$4:$U$4003,"正常",出库单!$C$4:$C$4003,"&gt;="&amp;账期起,出库单!$C$4:$C$4003,"&lt;="&amp;账期止),0))</f>
        <v/>
      </c>
      <c r="R1179" s="27">
        <f>IF($A1179="","",SUMIFS(出库单!$J$4:$J$4003,出库单!$D$4:$D$4003,$A1179,出库单!$K$4:$K$4003,"对外销售",出库单!$U$4:$U$4003,"正常",出库单!$C$4:$C$4003,"&gt;="&amp;账期起,出库单!$C$4:$C$4003,"&lt;="&amp;账期止))</f>
        <v/>
      </c>
      <c r="S1179" s="26">
        <f>IF($A1179="","",ROUND(SUMIFS(出库单!$S$4:$S$4003,出库单!$D$4:$D$4003,$A1179,出库单!$K$4:$K$4003,"对外销售",出库单!$U$4:$U$4003,"正常",出库单!$C$4:$C$4003,"&gt;="&amp;账期起,出库单!$C$4:$C$4003,"&lt;="&amp;账期止),0))</f>
        <v/>
      </c>
      <c r="T1179" s="27">
        <f>IF($A1179="","",SUMIFS(出库单!$J$4:$J$4003,出库单!$D$4:$D$4003,$A1179,出库单!$K$4:$K$4003,"盘亏",出库单!$U$4:$U$4003,"正常",出库单!$C$4:$C$4003,"&gt;="&amp;账期起,出库单!$C$4:$C$4003,"&lt;="&amp;账期止))</f>
        <v/>
      </c>
      <c r="U1179" s="26">
        <f>IF($A1179="","",ROUND(SUMIFS(出库单!$S$4:$S$4003,出库单!$D$4:$D$4003,$A1179,出库单!$K$4:$K$4003,"盘亏",出库单!$U$4:$U$4003,"正常",出库单!$C$4:$C$4003,"&gt;="&amp;账期起,出库单!$C$4:$C$4003,"&lt;="&amp;账期止),0))</f>
        <v/>
      </c>
      <c r="V1179" s="27">
        <f>IF($A1179="","",SUMIFS(出库单!$J$4:$J$4003,出库单!$D$4:$D$4003,$A1179,出库单!$K$4:$K$4003,"退货给供应商",出库单!$U$4:$U$4003,"正常",出库单!$C$4:$C$4003,"&gt;="&amp;账期起,出库单!$C$4:$C$4003,"&lt;="&amp;账期止))</f>
        <v/>
      </c>
      <c r="W1179" s="26">
        <f>IF($A1179="","",ROUND(SUMIFS(出库单!$S$4:$S$4003,出库单!$D$4:$D$4003,$A1179,出库单!$K$4:$K$4003,"退货给供应商",出库单!$U$4:$U$4003,"正常",出库单!$C$4:$C$4003,"&gt;="&amp;账期起,出库单!$C$4:$C$4003,"&lt;="&amp;账期止),0))</f>
        <v/>
      </c>
      <c r="X1179" s="27">
        <f>IF($A1179="","",ROUND(N($G1179)+$I1179+$L1179+$N1179-$P1179-$R1179-$T1179-$V1179,3))</f>
        <v/>
      </c>
      <c r="Y1179" s="26">
        <f>IF($A1179="","",ROUND(N($H1179)+$J1179+$M1179+$O1179-$Q1179-$S1179-$U1179-$W1179,0))</f>
        <v/>
      </c>
      <c r="Z1179" s="24">
        <f>IF($A1179="","",IF(COUNTIFS(入库单!$G$4:$G$2503,$A1179,入库单!$Y$4:$Y$2503,"待补价")+COUNTIFS(入库单!$G$4:$G$2503,$A1179,入库单!$Y$4:$Y$2503,"暂估")&gt;0,"不可信","可信"))</f>
        <v/>
      </c>
      <c r="AA1179" s="24">
        <f>IF($A1179="","",IF($X1179&lt;-0.001,"※账面负库存，查一下是不是漏记入库",IF(AND(ROUND($X1179,3)=0,ABS($Y1179)&gt;1),"※数量已经是 0，金额还挂着 "&amp;TEXT($Y1179,"#,##0")&amp;" 先令",IF(AND($X1179&gt;0,$Y1179&lt;=0,$K1179=0),"※有数量没金额（这个物料一直没填过进价）",IF($Z1179="不可信","△成本含待补价/暂估，毛利仅供参考","")))))</f>
        <v/>
      </c>
    </row>
    <row r="1180">
      <c r="A1180" s="24">
        <f>IF(物料档案!$A1179="","",物料档案!$A1179)</f>
        <v/>
      </c>
      <c r="B1180" s="24">
        <f>IF($A1180="","",IFERROR(VLOOKUP($A1180,物料档案!$A$4:$P$1203,3,0),""))</f>
        <v/>
      </c>
      <c r="C1180" s="24">
        <f>IF($A1180="","",IFERROR(VLOOKUP($A1180,物料档案!$A$4:$P$1203,4,0),""))</f>
        <v/>
      </c>
      <c r="D1180" s="24">
        <f>IF($A1180="","",IFERROR(VLOOKUP($A1180,物料档案!$A$4:$P$1203,5,0),""))</f>
        <v/>
      </c>
      <c r="E1180" s="24">
        <f>IF($A1180="","",IFERROR(VLOOKUP($A1180,物料档案!$A$4:$P$1203,2,0),""))</f>
        <v/>
      </c>
      <c r="F1180" s="24">
        <f>IF($A1180="","",IFERROR(VLOOKUP($A1180,物料档案!$A$4:$P$1203,6,0),""))</f>
        <v/>
      </c>
      <c r="G1180" s="23" t="n"/>
      <c r="H1180" s="32" t="n"/>
      <c r="I1180" s="27">
        <f>IF($A1180="","",SUMIFS(入库单!$K$4:$K$2503,入库单!$G$4:$G$2503,$A1180,入库单!$X$4:$X$2503,"采购入库",入库单!$Z$4:$Z$2503,"正常",入库单!$C$4:$C$2503,"&gt;="&amp;账期起,入库单!$C$4:$C$2503,"&lt;="&amp;账期止))</f>
        <v/>
      </c>
      <c r="J1180" s="26">
        <f>IF($A1180="","",SUMIFS(入库单!$V$4:$V$2503,入库单!$G$4:$G$2503,$A1180,入库单!$X$4:$X$2503,"采购入库",入库单!$Z$4:$Z$2503,"正常",入库单!$C$4:$C$2503,"&gt;="&amp;账期起,入库单!$C$4:$C$2503,"&lt;="&amp;账期止))</f>
        <v/>
      </c>
      <c r="K1180" s="26">
        <f>IF($A1180="","",IFERROR(ROUND((N($H1180)+N($J1180))/(N($G1180)+N($I1180)),2),0))</f>
        <v/>
      </c>
      <c r="L1180" s="27">
        <f>IF($A1180="","",SUMIFS(入库单!$K$4:$K$2503,入库单!$G$4:$G$2503,$A1180,入库单!$X$4:$X$2503,"盘盈",入库单!$Z$4:$Z$2503,"正常",入库单!$C$4:$C$2503,"&gt;="&amp;账期起,入库单!$C$4:$C$2503,"&lt;="&amp;账期止))</f>
        <v/>
      </c>
      <c r="M1180" s="26">
        <f>IF($A1180="","",ROUND($L1180*$K1180,0))</f>
        <v/>
      </c>
      <c r="N1180" s="27">
        <f>IF($A1180="","",SUMIFS(入库单!$K$4:$K$2503,入库单!$G$4:$G$2503,$A1180,入库单!$X$4:$X$2503,"矿区退库",入库单!$Z$4:$Z$2503,"正常",入库单!$C$4:$C$2503,"&gt;="&amp;账期起,入库单!$C$4:$C$2503,"&lt;="&amp;账期止))</f>
        <v/>
      </c>
      <c r="O1180" s="26">
        <f>IF($A1180="","",ROUND($N1180*$K1180,0))</f>
        <v/>
      </c>
      <c r="P1180" s="27">
        <f>IF($A1180="","",SUMIFS(出库单!$J$4:$J$4003,出库单!$D$4:$D$4003,$A1180,出库单!$K$4:$K$4003,"自用消耗",出库单!$U$4:$U$4003,"正常",出库单!$C$4:$C$4003,"&gt;="&amp;账期起,出库单!$C$4:$C$4003,"&lt;="&amp;账期止))</f>
        <v/>
      </c>
      <c r="Q1180" s="26">
        <f>IF($A1180="","",ROUND(SUMIFS(出库单!$S$4:$S$4003,出库单!$D$4:$D$4003,$A1180,出库单!$K$4:$K$4003,"自用消耗",出库单!$U$4:$U$4003,"正常",出库单!$C$4:$C$4003,"&gt;="&amp;账期起,出库单!$C$4:$C$4003,"&lt;="&amp;账期止),0))</f>
        <v/>
      </c>
      <c r="R1180" s="27">
        <f>IF($A1180="","",SUMIFS(出库单!$J$4:$J$4003,出库单!$D$4:$D$4003,$A1180,出库单!$K$4:$K$4003,"对外销售",出库单!$U$4:$U$4003,"正常",出库单!$C$4:$C$4003,"&gt;="&amp;账期起,出库单!$C$4:$C$4003,"&lt;="&amp;账期止))</f>
        <v/>
      </c>
      <c r="S1180" s="26">
        <f>IF($A1180="","",ROUND(SUMIFS(出库单!$S$4:$S$4003,出库单!$D$4:$D$4003,$A1180,出库单!$K$4:$K$4003,"对外销售",出库单!$U$4:$U$4003,"正常",出库单!$C$4:$C$4003,"&gt;="&amp;账期起,出库单!$C$4:$C$4003,"&lt;="&amp;账期止),0))</f>
        <v/>
      </c>
      <c r="T1180" s="27">
        <f>IF($A1180="","",SUMIFS(出库单!$J$4:$J$4003,出库单!$D$4:$D$4003,$A1180,出库单!$K$4:$K$4003,"盘亏",出库单!$U$4:$U$4003,"正常",出库单!$C$4:$C$4003,"&gt;="&amp;账期起,出库单!$C$4:$C$4003,"&lt;="&amp;账期止))</f>
        <v/>
      </c>
      <c r="U1180" s="26">
        <f>IF($A1180="","",ROUND(SUMIFS(出库单!$S$4:$S$4003,出库单!$D$4:$D$4003,$A1180,出库单!$K$4:$K$4003,"盘亏",出库单!$U$4:$U$4003,"正常",出库单!$C$4:$C$4003,"&gt;="&amp;账期起,出库单!$C$4:$C$4003,"&lt;="&amp;账期止),0))</f>
        <v/>
      </c>
      <c r="V1180" s="27">
        <f>IF($A1180="","",SUMIFS(出库单!$J$4:$J$4003,出库单!$D$4:$D$4003,$A1180,出库单!$K$4:$K$4003,"退货给供应商",出库单!$U$4:$U$4003,"正常",出库单!$C$4:$C$4003,"&gt;="&amp;账期起,出库单!$C$4:$C$4003,"&lt;="&amp;账期止))</f>
        <v/>
      </c>
      <c r="W1180" s="26">
        <f>IF($A1180="","",ROUND(SUMIFS(出库单!$S$4:$S$4003,出库单!$D$4:$D$4003,$A1180,出库单!$K$4:$K$4003,"退货给供应商",出库单!$U$4:$U$4003,"正常",出库单!$C$4:$C$4003,"&gt;="&amp;账期起,出库单!$C$4:$C$4003,"&lt;="&amp;账期止),0))</f>
        <v/>
      </c>
      <c r="X1180" s="27">
        <f>IF($A1180="","",ROUND(N($G1180)+$I1180+$L1180+$N1180-$P1180-$R1180-$T1180-$V1180,3))</f>
        <v/>
      </c>
      <c r="Y1180" s="26">
        <f>IF($A1180="","",ROUND(N($H1180)+$J1180+$M1180+$O1180-$Q1180-$S1180-$U1180-$W1180,0))</f>
        <v/>
      </c>
      <c r="Z1180" s="24">
        <f>IF($A1180="","",IF(COUNTIFS(入库单!$G$4:$G$2503,$A1180,入库单!$Y$4:$Y$2503,"待补价")+COUNTIFS(入库单!$G$4:$G$2503,$A1180,入库单!$Y$4:$Y$2503,"暂估")&gt;0,"不可信","可信"))</f>
        <v/>
      </c>
      <c r="AA1180" s="24">
        <f>IF($A1180="","",IF($X1180&lt;-0.001,"※账面负库存，查一下是不是漏记入库",IF(AND(ROUND($X1180,3)=0,ABS($Y1180)&gt;1),"※数量已经是 0，金额还挂着 "&amp;TEXT($Y1180,"#,##0")&amp;" 先令",IF(AND($X1180&gt;0,$Y1180&lt;=0,$K1180=0),"※有数量没金额（这个物料一直没填过进价）",IF($Z1180="不可信","△成本含待补价/暂估，毛利仅供参考","")))))</f>
        <v/>
      </c>
    </row>
    <row r="1181">
      <c r="A1181" s="24">
        <f>IF(物料档案!$A1180="","",物料档案!$A1180)</f>
        <v/>
      </c>
      <c r="B1181" s="24">
        <f>IF($A1181="","",IFERROR(VLOOKUP($A1181,物料档案!$A$4:$P$1203,3,0),""))</f>
        <v/>
      </c>
      <c r="C1181" s="24">
        <f>IF($A1181="","",IFERROR(VLOOKUP($A1181,物料档案!$A$4:$P$1203,4,0),""))</f>
        <v/>
      </c>
      <c r="D1181" s="24">
        <f>IF($A1181="","",IFERROR(VLOOKUP($A1181,物料档案!$A$4:$P$1203,5,0),""))</f>
        <v/>
      </c>
      <c r="E1181" s="24">
        <f>IF($A1181="","",IFERROR(VLOOKUP($A1181,物料档案!$A$4:$P$1203,2,0),""))</f>
        <v/>
      </c>
      <c r="F1181" s="24">
        <f>IF($A1181="","",IFERROR(VLOOKUP($A1181,物料档案!$A$4:$P$1203,6,0),""))</f>
        <v/>
      </c>
      <c r="G1181" s="23" t="n"/>
      <c r="H1181" s="32" t="n"/>
      <c r="I1181" s="27">
        <f>IF($A1181="","",SUMIFS(入库单!$K$4:$K$2503,入库单!$G$4:$G$2503,$A1181,入库单!$X$4:$X$2503,"采购入库",入库单!$Z$4:$Z$2503,"正常",入库单!$C$4:$C$2503,"&gt;="&amp;账期起,入库单!$C$4:$C$2503,"&lt;="&amp;账期止))</f>
        <v/>
      </c>
      <c r="J1181" s="26">
        <f>IF($A1181="","",SUMIFS(入库单!$V$4:$V$2503,入库单!$G$4:$G$2503,$A1181,入库单!$X$4:$X$2503,"采购入库",入库单!$Z$4:$Z$2503,"正常",入库单!$C$4:$C$2503,"&gt;="&amp;账期起,入库单!$C$4:$C$2503,"&lt;="&amp;账期止))</f>
        <v/>
      </c>
      <c r="K1181" s="26">
        <f>IF($A1181="","",IFERROR(ROUND((N($H1181)+N($J1181))/(N($G1181)+N($I1181)),2),0))</f>
        <v/>
      </c>
      <c r="L1181" s="27">
        <f>IF($A1181="","",SUMIFS(入库单!$K$4:$K$2503,入库单!$G$4:$G$2503,$A1181,入库单!$X$4:$X$2503,"盘盈",入库单!$Z$4:$Z$2503,"正常",入库单!$C$4:$C$2503,"&gt;="&amp;账期起,入库单!$C$4:$C$2503,"&lt;="&amp;账期止))</f>
        <v/>
      </c>
      <c r="M1181" s="26">
        <f>IF($A1181="","",ROUND($L1181*$K1181,0))</f>
        <v/>
      </c>
      <c r="N1181" s="27">
        <f>IF($A1181="","",SUMIFS(入库单!$K$4:$K$2503,入库单!$G$4:$G$2503,$A1181,入库单!$X$4:$X$2503,"矿区退库",入库单!$Z$4:$Z$2503,"正常",入库单!$C$4:$C$2503,"&gt;="&amp;账期起,入库单!$C$4:$C$2503,"&lt;="&amp;账期止))</f>
        <v/>
      </c>
      <c r="O1181" s="26">
        <f>IF($A1181="","",ROUND($N1181*$K1181,0))</f>
        <v/>
      </c>
      <c r="P1181" s="27">
        <f>IF($A1181="","",SUMIFS(出库单!$J$4:$J$4003,出库单!$D$4:$D$4003,$A1181,出库单!$K$4:$K$4003,"自用消耗",出库单!$U$4:$U$4003,"正常",出库单!$C$4:$C$4003,"&gt;="&amp;账期起,出库单!$C$4:$C$4003,"&lt;="&amp;账期止))</f>
        <v/>
      </c>
      <c r="Q1181" s="26">
        <f>IF($A1181="","",ROUND(SUMIFS(出库单!$S$4:$S$4003,出库单!$D$4:$D$4003,$A1181,出库单!$K$4:$K$4003,"自用消耗",出库单!$U$4:$U$4003,"正常",出库单!$C$4:$C$4003,"&gt;="&amp;账期起,出库单!$C$4:$C$4003,"&lt;="&amp;账期止),0))</f>
        <v/>
      </c>
      <c r="R1181" s="27">
        <f>IF($A1181="","",SUMIFS(出库单!$J$4:$J$4003,出库单!$D$4:$D$4003,$A1181,出库单!$K$4:$K$4003,"对外销售",出库单!$U$4:$U$4003,"正常",出库单!$C$4:$C$4003,"&gt;="&amp;账期起,出库单!$C$4:$C$4003,"&lt;="&amp;账期止))</f>
        <v/>
      </c>
      <c r="S1181" s="26">
        <f>IF($A1181="","",ROUND(SUMIFS(出库单!$S$4:$S$4003,出库单!$D$4:$D$4003,$A1181,出库单!$K$4:$K$4003,"对外销售",出库单!$U$4:$U$4003,"正常",出库单!$C$4:$C$4003,"&gt;="&amp;账期起,出库单!$C$4:$C$4003,"&lt;="&amp;账期止),0))</f>
        <v/>
      </c>
      <c r="T1181" s="27">
        <f>IF($A1181="","",SUMIFS(出库单!$J$4:$J$4003,出库单!$D$4:$D$4003,$A1181,出库单!$K$4:$K$4003,"盘亏",出库单!$U$4:$U$4003,"正常",出库单!$C$4:$C$4003,"&gt;="&amp;账期起,出库单!$C$4:$C$4003,"&lt;="&amp;账期止))</f>
        <v/>
      </c>
      <c r="U1181" s="26">
        <f>IF($A1181="","",ROUND(SUMIFS(出库单!$S$4:$S$4003,出库单!$D$4:$D$4003,$A1181,出库单!$K$4:$K$4003,"盘亏",出库单!$U$4:$U$4003,"正常",出库单!$C$4:$C$4003,"&gt;="&amp;账期起,出库单!$C$4:$C$4003,"&lt;="&amp;账期止),0))</f>
        <v/>
      </c>
      <c r="V1181" s="27">
        <f>IF($A1181="","",SUMIFS(出库单!$J$4:$J$4003,出库单!$D$4:$D$4003,$A1181,出库单!$K$4:$K$4003,"退货给供应商",出库单!$U$4:$U$4003,"正常",出库单!$C$4:$C$4003,"&gt;="&amp;账期起,出库单!$C$4:$C$4003,"&lt;="&amp;账期止))</f>
        <v/>
      </c>
      <c r="W1181" s="26">
        <f>IF($A1181="","",ROUND(SUMIFS(出库单!$S$4:$S$4003,出库单!$D$4:$D$4003,$A1181,出库单!$K$4:$K$4003,"退货给供应商",出库单!$U$4:$U$4003,"正常",出库单!$C$4:$C$4003,"&gt;="&amp;账期起,出库单!$C$4:$C$4003,"&lt;="&amp;账期止),0))</f>
        <v/>
      </c>
      <c r="X1181" s="27">
        <f>IF($A1181="","",ROUND(N($G1181)+$I1181+$L1181+$N1181-$P1181-$R1181-$T1181-$V1181,3))</f>
        <v/>
      </c>
      <c r="Y1181" s="26">
        <f>IF($A1181="","",ROUND(N($H1181)+$J1181+$M1181+$O1181-$Q1181-$S1181-$U1181-$W1181,0))</f>
        <v/>
      </c>
      <c r="Z1181" s="24">
        <f>IF($A1181="","",IF(COUNTIFS(入库单!$G$4:$G$2503,$A1181,入库单!$Y$4:$Y$2503,"待补价")+COUNTIFS(入库单!$G$4:$G$2503,$A1181,入库单!$Y$4:$Y$2503,"暂估")&gt;0,"不可信","可信"))</f>
        <v/>
      </c>
      <c r="AA1181" s="24">
        <f>IF($A1181="","",IF($X1181&lt;-0.001,"※账面负库存，查一下是不是漏记入库",IF(AND(ROUND($X1181,3)=0,ABS($Y1181)&gt;1),"※数量已经是 0，金额还挂着 "&amp;TEXT($Y1181,"#,##0")&amp;" 先令",IF(AND($X1181&gt;0,$Y1181&lt;=0,$K1181=0),"※有数量没金额（这个物料一直没填过进价）",IF($Z1181="不可信","△成本含待补价/暂估，毛利仅供参考","")))))</f>
        <v/>
      </c>
    </row>
    <row r="1182">
      <c r="A1182" s="24">
        <f>IF(物料档案!$A1181="","",物料档案!$A1181)</f>
        <v/>
      </c>
      <c r="B1182" s="24">
        <f>IF($A1182="","",IFERROR(VLOOKUP($A1182,物料档案!$A$4:$P$1203,3,0),""))</f>
        <v/>
      </c>
      <c r="C1182" s="24">
        <f>IF($A1182="","",IFERROR(VLOOKUP($A1182,物料档案!$A$4:$P$1203,4,0),""))</f>
        <v/>
      </c>
      <c r="D1182" s="24">
        <f>IF($A1182="","",IFERROR(VLOOKUP($A1182,物料档案!$A$4:$P$1203,5,0),""))</f>
        <v/>
      </c>
      <c r="E1182" s="24">
        <f>IF($A1182="","",IFERROR(VLOOKUP($A1182,物料档案!$A$4:$P$1203,2,0),""))</f>
        <v/>
      </c>
      <c r="F1182" s="24">
        <f>IF($A1182="","",IFERROR(VLOOKUP($A1182,物料档案!$A$4:$P$1203,6,0),""))</f>
        <v/>
      </c>
      <c r="G1182" s="23" t="n"/>
      <c r="H1182" s="32" t="n"/>
      <c r="I1182" s="27">
        <f>IF($A1182="","",SUMIFS(入库单!$K$4:$K$2503,入库单!$G$4:$G$2503,$A1182,入库单!$X$4:$X$2503,"采购入库",入库单!$Z$4:$Z$2503,"正常",入库单!$C$4:$C$2503,"&gt;="&amp;账期起,入库单!$C$4:$C$2503,"&lt;="&amp;账期止))</f>
        <v/>
      </c>
      <c r="J1182" s="26">
        <f>IF($A1182="","",SUMIFS(入库单!$V$4:$V$2503,入库单!$G$4:$G$2503,$A1182,入库单!$X$4:$X$2503,"采购入库",入库单!$Z$4:$Z$2503,"正常",入库单!$C$4:$C$2503,"&gt;="&amp;账期起,入库单!$C$4:$C$2503,"&lt;="&amp;账期止))</f>
        <v/>
      </c>
      <c r="K1182" s="26">
        <f>IF($A1182="","",IFERROR(ROUND((N($H1182)+N($J1182))/(N($G1182)+N($I1182)),2),0))</f>
        <v/>
      </c>
      <c r="L1182" s="27">
        <f>IF($A1182="","",SUMIFS(入库单!$K$4:$K$2503,入库单!$G$4:$G$2503,$A1182,入库单!$X$4:$X$2503,"盘盈",入库单!$Z$4:$Z$2503,"正常",入库单!$C$4:$C$2503,"&gt;="&amp;账期起,入库单!$C$4:$C$2503,"&lt;="&amp;账期止))</f>
        <v/>
      </c>
      <c r="M1182" s="26">
        <f>IF($A1182="","",ROUND($L1182*$K1182,0))</f>
        <v/>
      </c>
      <c r="N1182" s="27">
        <f>IF($A1182="","",SUMIFS(入库单!$K$4:$K$2503,入库单!$G$4:$G$2503,$A1182,入库单!$X$4:$X$2503,"矿区退库",入库单!$Z$4:$Z$2503,"正常",入库单!$C$4:$C$2503,"&gt;="&amp;账期起,入库单!$C$4:$C$2503,"&lt;="&amp;账期止))</f>
        <v/>
      </c>
      <c r="O1182" s="26">
        <f>IF($A1182="","",ROUND($N1182*$K1182,0))</f>
        <v/>
      </c>
      <c r="P1182" s="27">
        <f>IF($A1182="","",SUMIFS(出库单!$J$4:$J$4003,出库单!$D$4:$D$4003,$A1182,出库单!$K$4:$K$4003,"自用消耗",出库单!$U$4:$U$4003,"正常",出库单!$C$4:$C$4003,"&gt;="&amp;账期起,出库单!$C$4:$C$4003,"&lt;="&amp;账期止))</f>
        <v/>
      </c>
      <c r="Q1182" s="26">
        <f>IF($A1182="","",ROUND(SUMIFS(出库单!$S$4:$S$4003,出库单!$D$4:$D$4003,$A1182,出库单!$K$4:$K$4003,"自用消耗",出库单!$U$4:$U$4003,"正常",出库单!$C$4:$C$4003,"&gt;="&amp;账期起,出库单!$C$4:$C$4003,"&lt;="&amp;账期止),0))</f>
        <v/>
      </c>
      <c r="R1182" s="27">
        <f>IF($A1182="","",SUMIFS(出库单!$J$4:$J$4003,出库单!$D$4:$D$4003,$A1182,出库单!$K$4:$K$4003,"对外销售",出库单!$U$4:$U$4003,"正常",出库单!$C$4:$C$4003,"&gt;="&amp;账期起,出库单!$C$4:$C$4003,"&lt;="&amp;账期止))</f>
        <v/>
      </c>
      <c r="S1182" s="26">
        <f>IF($A1182="","",ROUND(SUMIFS(出库单!$S$4:$S$4003,出库单!$D$4:$D$4003,$A1182,出库单!$K$4:$K$4003,"对外销售",出库单!$U$4:$U$4003,"正常",出库单!$C$4:$C$4003,"&gt;="&amp;账期起,出库单!$C$4:$C$4003,"&lt;="&amp;账期止),0))</f>
        <v/>
      </c>
      <c r="T1182" s="27">
        <f>IF($A1182="","",SUMIFS(出库单!$J$4:$J$4003,出库单!$D$4:$D$4003,$A1182,出库单!$K$4:$K$4003,"盘亏",出库单!$U$4:$U$4003,"正常",出库单!$C$4:$C$4003,"&gt;="&amp;账期起,出库单!$C$4:$C$4003,"&lt;="&amp;账期止))</f>
        <v/>
      </c>
      <c r="U1182" s="26">
        <f>IF($A1182="","",ROUND(SUMIFS(出库单!$S$4:$S$4003,出库单!$D$4:$D$4003,$A1182,出库单!$K$4:$K$4003,"盘亏",出库单!$U$4:$U$4003,"正常",出库单!$C$4:$C$4003,"&gt;="&amp;账期起,出库单!$C$4:$C$4003,"&lt;="&amp;账期止),0))</f>
        <v/>
      </c>
      <c r="V1182" s="27">
        <f>IF($A1182="","",SUMIFS(出库单!$J$4:$J$4003,出库单!$D$4:$D$4003,$A1182,出库单!$K$4:$K$4003,"退货给供应商",出库单!$U$4:$U$4003,"正常",出库单!$C$4:$C$4003,"&gt;="&amp;账期起,出库单!$C$4:$C$4003,"&lt;="&amp;账期止))</f>
        <v/>
      </c>
      <c r="W1182" s="26">
        <f>IF($A1182="","",ROUND(SUMIFS(出库单!$S$4:$S$4003,出库单!$D$4:$D$4003,$A1182,出库单!$K$4:$K$4003,"退货给供应商",出库单!$U$4:$U$4003,"正常",出库单!$C$4:$C$4003,"&gt;="&amp;账期起,出库单!$C$4:$C$4003,"&lt;="&amp;账期止),0))</f>
        <v/>
      </c>
      <c r="X1182" s="27">
        <f>IF($A1182="","",ROUND(N($G1182)+$I1182+$L1182+$N1182-$P1182-$R1182-$T1182-$V1182,3))</f>
        <v/>
      </c>
      <c r="Y1182" s="26">
        <f>IF($A1182="","",ROUND(N($H1182)+$J1182+$M1182+$O1182-$Q1182-$S1182-$U1182-$W1182,0))</f>
        <v/>
      </c>
      <c r="Z1182" s="24">
        <f>IF($A1182="","",IF(COUNTIFS(入库单!$G$4:$G$2503,$A1182,入库单!$Y$4:$Y$2503,"待补价")+COUNTIFS(入库单!$G$4:$G$2503,$A1182,入库单!$Y$4:$Y$2503,"暂估")&gt;0,"不可信","可信"))</f>
        <v/>
      </c>
      <c r="AA1182" s="24">
        <f>IF($A1182="","",IF($X1182&lt;-0.001,"※账面负库存，查一下是不是漏记入库",IF(AND(ROUND($X1182,3)=0,ABS($Y1182)&gt;1),"※数量已经是 0，金额还挂着 "&amp;TEXT($Y1182,"#,##0")&amp;" 先令",IF(AND($X1182&gt;0,$Y1182&lt;=0,$K1182=0),"※有数量没金额（这个物料一直没填过进价）",IF($Z1182="不可信","△成本含待补价/暂估，毛利仅供参考","")))))</f>
        <v/>
      </c>
    </row>
    <row r="1183">
      <c r="A1183" s="24">
        <f>IF(物料档案!$A1182="","",物料档案!$A1182)</f>
        <v/>
      </c>
      <c r="B1183" s="24">
        <f>IF($A1183="","",IFERROR(VLOOKUP($A1183,物料档案!$A$4:$P$1203,3,0),""))</f>
        <v/>
      </c>
      <c r="C1183" s="24">
        <f>IF($A1183="","",IFERROR(VLOOKUP($A1183,物料档案!$A$4:$P$1203,4,0),""))</f>
        <v/>
      </c>
      <c r="D1183" s="24">
        <f>IF($A1183="","",IFERROR(VLOOKUP($A1183,物料档案!$A$4:$P$1203,5,0),""))</f>
        <v/>
      </c>
      <c r="E1183" s="24">
        <f>IF($A1183="","",IFERROR(VLOOKUP($A1183,物料档案!$A$4:$P$1203,2,0),""))</f>
        <v/>
      </c>
      <c r="F1183" s="24">
        <f>IF($A1183="","",IFERROR(VLOOKUP($A1183,物料档案!$A$4:$P$1203,6,0),""))</f>
        <v/>
      </c>
      <c r="G1183" s="23" t="n"/>
      <c r="H1183" s="32" t="n"/>
      <c r="I1183" s="27">
        <f>IF($A1183="","",SUMIFS(入库单!$K$4:$K$2503,入库单!$G$4:$G$2503,$A1183,入库单!$X$4:$X$2503,"采购入库",入库单!$Z$4:$Z$2503,"正常",入库单!$C$4:$C$2503,"&gt;="&amp;账期起,入库单!$C$4:$C$2503,"&lt;="&amp;账期止))</f>
        <v/>
      </c>
      <c r="J1183" s="26">
        <f>IF($A1183="","",SUMIFS(入库单!$V$4:$V$2503,入库单!$G$4:$G$2503,$A1183,入库单!$X$4:$X$2503,"采购入库",入库单!$Z$4:$Z$2503,"正常",入库单!$C$4:$C$2503,"&gt;="&amp;账期起,入库单!$C$4:$C$2503,"&lt;="&amp;账期止))</f>
        <v/>
      </c>
      <c r="K1183" s="26">
        <f>IF($A1183="","",IFERROR(ROUND((N($H1183)+N($J1183))/(N($G1183)+N($I1183)),2),0))</f>
        <v/>
      </c>
      <c r="L1183" s="27">
        <f>IF($A1183="","",SUMIFS(入库单!$K$4:$K$2503,入库单!$G$4:$G$2503,$A1183,入库单!$X$4:$X$2503,"盘盈",入库单!$Z$4:$Z$2503,"正常",入库单!$C$4:$C$2503,"&gt;="&amp;账期起,入库单!$C$4:$C$2503,"&lt;="&amp;账期止))</f>
        <v/>
      </c>
      <c r="M1183" s="26">
        <f>IF($A1183="","",ROUND($L1183*$K1183,0))</f>
        <v/>
      </c>
      <c r="N1183" s="27">
        <f>IF($A1183="","",SUMIFS(入库单!$K$4:$K$2503,入库单!$G$4:$G$2503,$A1183,入库单!$X$4:$X$2503,"矿区退库",入库单!$Z$4:$Z$2503,"正常",入库单!$C$4:$C$2503,"&gt;="&amp;账期起,入库单!$C$4:$C$2503,"&lt;="&amp;账期止))</f>
        <v/>
      </c>
      <c r="O1183" s="26">
        <f>IF($A1183="","",ROUND($N1183*$K1183,0))</f>
        <v/>
      </c>
      <c r="P1183" s="27">
        <f>IF($A1183="","",SUMIFS(出库单!$J$4:$J$4003,出库单!$D$4:$D$4003,$A1183,出库单!$K$4:$K$4003,"自用消耗",出库单!$U$4:$U$4003,"正常",出库单!$C$4:$C$4003,"&gt;="&amp;账期起,出库单!$C$4:$C$4003,"&lt;="&amp;账期止))</f>
        <v/>
      </c>
      <c r="Q1183" s="26">
        <f>IF($A1183="","",ROUND(SUMIFS(出库单!$S$4:$S$4003,出库单!$D$4:$D$4003,$A1183,出库单!$K$4:$K$4003,"自用消耗",出库单!$U$4:$U$4003,"正常",出库单!$C$4:$C$4003,"&gt;="&amp;账期起,出库单!$C$4:$C$4003,"&lt;="&amp;账期止),0))</f>
        <v/>
      </c>
      <c r="R1183" s="27">
        <f>IF($A1183="","",SUMIFS(出库单!$J$4:$J$4003,出库单!$D$4:$D$4003,$A1183,出库单!$K$4:$K$4003,"对外销售",出库单!$U$4:$U$4003,"正常",出库单!$C$4:$C$4003,"&gt;="&amp;账期起,出库单!$C$4:$C$4003,"&lt;="&amp;账期止))</f>
        <v/>
      </c>
      <c r="S1183" s="26">
        <f>IF($A1183="","",ROUND(SUMIFS(出库单!$S$4:$S$4003,出库单!$D$4:$D$4003,$A1183,出库单!$K$4:$K$4003,"对外销售",出库单!$U$4:$U$4003,"正常",出库单!$C$4:$C$4003,"&gt;="&amp;账期起,出库单!$C$4:$C$4003,"&lt;="&amp;账期止),0))</f>
        <v/>
      </c>
      <c r="T1183" s="27">
        <f>IF($A1183="","",SUMIFS(出库单!$J$4:$J$4003,出库单!$D$4:$D$4003,$A1183,出库单!$K$4:$K$4003,"盘亏",出库单!$U$4:$U$4003,"正常",出库单!$C$4:$C$4003,"&gt;="&amp;账期起,出库单!$C$4:$C$4003,"&lt;="&amp;账期止))</f>
        <v/>
      </c>
      <c r="U1183" s="26">
        <f>IF($A1183="","",ROUND(SUMIFS(出库单!$S$4:$S$4003,出库单!$D$4:$D$4003,$A1183,出库单!$K$4:$K$4003,"盘亏",出库单!$U$4:$U$4003,"正常",出库单!$C$4:$C$4003,"&gt;="&amp;账期起,出库单!$C$4:$C$4003,"&lt;="&amp;账期止),0))</f>
        <v/>
      </c>
      <c r="V1183" s="27">
        <f>IF($A1183="","",SUMIFS(出库单!$J$4:$J$4003,出库单!$D$4:$D$4003,$A1183,出库单!$K$4:$K$4003,"退货给供应商",出库单!$U$4:$U$4003,"正常",出库单!$C$4:$C$4003,"&gt;="&amp;账期起,出库单!$C$4:$C$4003,"&lt;="&amp;账期止))</f>
        <v/>
      </c>
      <c r="W1183" s="26">
        <f>IF($A1183="","",ROUND(SUMIFS(出库单!$S$4:$S$4003,出库单!$D$4:$D$4003,$A1183,出库单!$K$4:$K$4003,"退货给供应商",出库单!$U$4:$U$4003,"正常",出库单!$C$4:$C$4003,"&gt;="&amp;账期起,出库单!$C$4:$C$4003,"&lt;="&amp;账期止),0))</f>
        <v/>
      </c>
      <c r="X1183" s="27">
        <f>IF($A1183="","",ROUND(N($G1183)+$I1183+$L1183+$N1183-$P1183-$R1183-$T1183-$V1183,3))</f>
        <v/>
      </c>
      <c r="Y1183" s="26">
        <f>IF($A1183="","",ROUND(N($H1183)+$J1183+$M1183+$O1183-$Q1183-$S1183-$U1183-$W1183,0))</f>
        <v/>
      </c>
      <c r="Z1183" s="24">
        <f>IF($A1183="","",IF(COUNTIFS(入库单!$G$4:$G$2503,$A1183,入库单!$Y$4:$Y$2503,"待补价")+COUNTIFS(入库单!$G$4:$G$2503,$A1183,入库单!$Y$4:$Y$2503,"暂估")&gt;0,"不可信","可信"))</f>
        <v/>
      </c>
      <c r="AA1183" s="24">
        <f>IF($A1183="","",IF($X1183&lt;-0.001,"※账面负库存，查一下是不是漏记入库",IF(AND(ROUND($X1183,3)=0,ABS($Y1183)&gt;1),"※数量已经是 0，金额还挂着 "&amp;TEXT($Y1183,"#,##0")&amp;" 先令",IF(AND($X1183&gt;0,$Y1183&lt;=0,$K1183=0),"※有数量没金额（这个物料一直没填过进价）",IF($Z1183="不可信","△成本含待补价/暂估，毛利仅供参考","")))))</f>
        <v/>
      </c>
    </row>
    <row r="1184">
      <c r="A1184" s="24">
        <f>IF(物料档案!$A1183="","",物料档案!$A1183)</f>
        <v/>
      </c>
      <c r="B1184" s="24">
        <f>IF($A1184="","",IFERROR(VLOOKUP($A1184,物料档案!$A$4:$P$1203,3,0),""))</f>
        <v/>
      </c>
      <c r="C1184" s="24">
        <f>IF($A1184="","",IFERROR(VLOOKUP($A1184,物料档案!$A$4:$P$1203,4,0),""))</f>
        <v/>
      </c>
      <c r="D1184" s="24">
        <f>IF($A1184="","",IFERROR(VLOOKUP($A1184,物料档案!$A$4:$P$1203,5,0),""))</f>
        <v/>
      </c>
      <c r="E1184" s="24">
        <f>IF($A1184="","",IFERROR(VLOOKUP($A1184,物料档案!$A$4:$P$1203,2,0),""))</f>
        <v/>
      </c>
      <c r="F1184" s="24">
        <f>IF($A1184="","",IFERROR(VLOOKUP($A1184,物料档案!$A$4:$P$1203,6,0),""))</f>
        <v/>
      </c>
      <c r="G1184" s="23" t="n"/>
      <c r="H1184" s="32" t="n"/>
      <c r="I1184" s="27">
        <f>IF($A1184="","",SUMIFS(入库单!$K$4:$K$2503,入库单!$G$4:$G$2503,$A1184,入库单!$X$4:$X$2503,"采购入库",入库单!$Z$4:$Z$2503,"正常",入库单!$C$4:$C$2503,"&gt;="&amp;账期起,入库单!$C$4:$C$2503,"&lt;="&amp;账期止))</f>
        <v/>
      </c>
      <c r="J1184" s="26">
        <f>IF($A1184="","",SUMIFS(入库单!$V$4:$V$2503,入库单!$G$4:$G$2503,$A1184,入库单!$X$4:$X$2503,"采购入库",入库单!$Z$4:$Z$2503,"正常",入库单!$C$4:$C$2503,"&gt;="&amp;账期起,入库单!$C$4:$C$2503,"&lt;="&amp;账期止))</f>
        <v/>
      </c>
      <c r="K1184" s="26">
        <f>IF($A1184="","",IFERROR(ROUND((N($H1184)+N($J1184))/(N($G1184)+N($I1184)),2),0))</f>
        <v/>
      </c>
      <c r="L1184" s="27">
        <f>IF($A1184="","",SUMIFS(入库单!$K$4:$K$2503,入库单!$G$4:$G$2503,$A1184,入库单!$X$4:$X$2503,"盘盈",入库单!$Z$4:$Z$2503,"正常",入库单!$C$4:$C$2503,"&gt;="&amp;账期起,入库单!$C$4:$C$2503,"&lt;="&amp;账期止))</f>
        <v/>
      </c>
      <c r="M1184" s="26">
        <f>IF($A1184="","",ROUND($L1184*$K1184,0))</f>
        <v/>
      </c>
      <c r="N1184" s="27">
        <f>IF($A1184="","",SUMIFS(入库单!$K$4:$K$2503,入库单!$G$4:$G$2503,$A1184,入库单!$X$4:$X$2503,"矿区退库",入库单!$Z$4:$Z$2503,"正常",入库单!$C$4:$C$2503,"&gt;="&amp;账期起,入库单!$C$4:$C$2503,"&lt;="&amp;账期止))</f>
        <v/>
      </c>
      <c r="O1184" s="26">
        <f>IF($A1184="","",ROUND($N1184*$K1184,0))</f>
        <v/>
      </c>
      <c r="P1184" s="27">
        <f>IF($A1184="","",SUMIFS(出库单!$J$4:$J$4003,出库单!$D$4:$D$4003,$A1184,出库单!$K$4:$K$4003,"自用消耗",出库单!$U$4:$U$4003,"正常",出库单!$C$4:$C$4003,"&gt;="&amp;账期起,出库单!$C$4:$C$4003,"&lt;="&amp;账期止))</f>
        <v/>
      </c>
      <c r="Q1184" s="26">
        <f>IF($A1184="","",ROUND(SUMIFS(出库单!$S$4:$S$4003,出库单!$D$4:$D$4003,$A1184,出库单!$K$4:$K$4003,"自用消耗",出库单!$U$4:$U$4003,"正常",出库单!$C$4:$C$4003,"&gt;="&amp;账期起,出库单!$C$4:$C$4003,"&lt;="&amp;账期止),0))</f>
        <v/>
      </c>
      <c r="R1184" s="27">
        <f>IF($A1184="","",SUMIFS(出库单!$J$4:$J$4003,出库单!$D$4:$D$4003,$A1184,出库单!$K$4:$K$4003,"对外销售",出库单!$U$4:$U$4003,"正常",出库单!$C$4:$C$4003,"&gt;="&amp;账期起,出库单!$C$4:$C$4003,"&lt;="&amp;账期止))</f>
        <v/>
      </c>
      <c r="S1184" s="26">
        <f>IF($A1184="","",ROUND(SUMIFS(出库单!$S$4:$S$4003,出库单!$D$4:$D$4003,$A1184,出库单!$K$4:$K$4003,"对外销售",出库单!$U$4:$U$4003,"正常",出库单!$C$4:$C$4003,"&gt;="&amp;账期起,出库单!$C$4:$C$4003,"&lt;="&amp;账期止),0))</f>
        <v/>
      </c>
      <c r="T1184" s="27">
        <f>IF($A1184="","",SUMIFS(出库单!$J$4:$J$4003,出库单!$D$4:$D$4003,$A1184,出库单!$K$4:$K$4003,"盘亏",出库单!$U$4:$U$4003,"正常",出库单!$C$4:$C$4003,"&gt;="&amp;账期起,出库单!$C$4:$C$4003,"&lt;="&amp;账期止))</f>
        <v/>
      </c>
      <c r="U1184" s="26">
        <f>IF($A1184="","",ROUND(SUMIFS(出库单!$S$4:$S$4003,出库单!$D$4:$D$4003,$A1184,出库单!$K$4:$K$4003,"盘亏",出库单!$U$4:$U$4003,"正常",出库单!$C$4:$C$4003,"&gt;="&amp;账期起,出库单!$C$4:$C$4003,"&lt;="&amp;账期止),0))</f>
        <v/>
      </c>
      <c r="V1184" s="27">
        <f>IF($A1184="","",SUMIFS(出库单!$J$4:$J$4003,出库单!$D$4:$D$4003,$A1184,出库单!$K$4:$K$4003,"退货给供应商",出库单!$U$4:$U$4003,"正常",出库单!$C$4:$C$4003,"&gt;="&amp;账期起,出库单!$C$4:$C$4003,"&lt;="&amp;账期止))</f>
        <v/>
      </c>
      <c r="W1184" s="26">
        <f>IF($A1184="","",ROUND(SUMIFS(出库单!$S$4:$S$4003,出库单!$D$4:$D$4003,$A1184,出库单!$K$4:$K$4003,"退货给供应商",出库单!$U$4:$U$4003,"正常",出库单!$C$4:$C$4003,"&gt;="&amp;账期起,出库单!$C$4:$C$4003,"&lt;="&amp;账期止),0))</f>
        <v/>
      </c>
      <c r="X1184" s="27">
        <f>IF($A1184="","",ROUND(N($G1184)+$I1184+$L1184+$N1184-$P1184-$R1184-$T1184-$V1184,3))</f>
        <v/>
      </c>
      <c r="Y1184" s="26">
        <f>IF($A1184="","",ROUND(N($H1184)+$J1184+$M1184+$O1184-$Q1184-$S1184-$U1184-$W1184,0))</f>
        <v/>
      </c>
      <c r="Z1184" s="24">
        <f>IF($A1184="","",IF(COUNTIFS(入库单!$G$4:$G$2503,$A1184,入库单!$Y$4:$Y$2503,"待补价")+COUNTIFS(入库单!$G$4:$G$2503,$A1184,入库单!$Y$4:$Y$2503,"暂估")&gt;0,"不可信","可信"))</f>
        <v/>
      </c>
      <c r="AA1184" s="24">
        <f>IF($A1184="","",IF($X1184&lt;-0.001,"※账面负库存，查一下是不是漏记入库",IF(AND(ROUND($X1184,3)=0,ABS($Y1184)&gt;1),"※数量已经是 0，金额还挂着 "&amp;TEXT($Y1184,"#,##0")&amp;" 先令",IF(AND($X1184&gt;0,$Y1184&lt;=0,$K1184=0),"※有数量没金额（这个物料一直没填过进价）",IF($Z1184="不可信","△成本含待补价/暂估，毛利仅供参考","")))))</f>
        <v/>
      </c>
    </row>
    <row r="1185">
      <c r="A1185" s="24">
        <f>IF(物料档案!$A1184="","",物料档案!$A1184)</f>
        <v/>
      </c>
      <c r="B1185" s="24">
        <f>IF($A1185="","",IFERROR(VLOOKUP($A1185,物料档案!$A$4:$P$1203,3,0),""))</f>
        <v/>
      </c>
      <c r="C1185" s="24">
        <f>IF($A1185="","",IFERROR(VLOOKUP($A1185,物料档案!$A$4:$P$1203,4,0),""))</f>
        <v/>
      </c>
      <c r="D1185" s="24">
        <f>IF($A1185="","",IFERROR(VLOOKUP($A1185,物料档案!$A$4:$P$1203,5,0),""))</f>
        <v/>
      </c>
      <c r="E1185" s="24">
        <f>IF($A1185="","",IFERROR(VLOOKUP($A1185,物料档案!$A$4:$P$1203,2,0),""))</f>
        <v/>
      </c>
      <c r="F1185" s="24">
        <f>IF($A1185="","",IFERROR(VLOOKUP($A1185,物料档案!$A$4:$P$1203,6,0),""))</f>
        <v/>
      </c>
      <c r="G1185" s="23" t="n"/>
      <c r="H1185" s="32" t="n"/>
      <c r="I1185" s="27">
        <f>IF($A1185="","",SUMIFS(入库单!$K$4:$K$2503,入库单!$G$4:$G$2503,$A1185,入库单!$X$4:$X$2503,"采购入库",入库单!$Z$4:$Z$2503,"正常",入库单!$C$4:$C$2503,"&gt;="&amp;账期起,入库单!$C$4:$C$2503,"&lt;="&amp;账期止))</f>
        <v/>
      </c>
      <c r="J1185" s="26">
        <f>IF($A1185="","",SUMIFS(入库单!$V$4:$V$2503,入库单!$G$4:$G$2503,$A1185,入库单!$X$4:$X$2503,"采购入库",入库单!$Z$4:$Z$2503,"正常",入库单!$C$4:$C$2503,"&gt;="&amp;账期起,入库单!$C$4:$C$2503,"&lt;="&amp;账期止))</f>
        <v/>
      </c>
      <c r="K1185" s="26">
        <f>IF($A1185="","",IFERROR(ROUND((N($H1185)+N($J1185))/(N($G1185)+N($I1185)),2),0))</f>
        <v/>
      </c>
      <c r="L1185" s="27">
        <f>IF($A1185="","",SUMIFS(入库单!$K$4:$K$2503,入库单!$G$4:$G$2503,$A1185,入库单!$X$4:$X$2503,"盘盈",入库单!$Z$4:$Z$2503,"正常",入库单!$C$4:$C$2503,"&gt;="&amp;账期起,入库单!$C$4:$C$2503,"&lt;="&amp;账期止))</f>
        <v/>
      </c>
      <c r="M1185" s="26">
        <f>IF($A1185="","",ROUND($L1185*$K1185,0))</f>
        <v/>
      </c>
      <c r="N1185" s="27">
        <f>IF($A1185="","",SUMIFS(入库单!$K$4:$K$2503,入库单!$G$4:$G$2503,$A1185,入库单!$X$4:$X$2503,"矿区退库",入库单!$Z$4:$Z$2503,"正常",入库单!$C$4:$C$2503,"&gt;="&amp;账期起,入库单!$C$4:$C$2503,"&lt;="&amp;账期止))</f>
        <v/>
      </c>
      <c r="O1185" s="26">
        <f>IF($A1185="","",ROUND($N1185*$K1185,0))</f>
        <v/>
      </c>
      <c r="P1185" s="27">
        <f>IF($A1185="","",SUMIFS(出库单!$J$4:$J$4003,出库单!$D$4:$D$4003,$A1185,出库单!$K$4:$K$4003,"自用消耗",出库单!$U$4:$U$4003,"正常",出库单!$C$4:$C$4003,"&gt;="&amp;账期起,出库单!$C$4:$C$4003,"&lt;="&amp;账期止))</f>
        <v/>
      </c>
      <c r="Q1185" s="26">
        <f>IF($A1185="","",ROUND(SUMIFS(出库单!$S$4:$S$4003,出库单!$D$4:$D$4003,$A1185,出库单!$K$4:$K$4003,"自用消耗",出库单!$U$4:$U$4003,"正常",出库单!$C$4:$C$4003,"&gt;="&amp;账期起,出库单!$C$4:$C$4003,"&lt;="&amp;账期止),0))</f>
        <v/>
      </c>
      <c r="R1185" s="27">
        <f>IF($A1185="","",SUMIFS(出库单!$J$4:$J$4003,出库单!$D$4:$D$4003,$A1185,出库单!$K$4:$K$4003,"对外销售",出库单!$U$4:$U$4003,"正常",出库单!$C$4:$C$4003,"&gt;="&amp;账期起,出库单!$C$4:$C$4003,"&lt;="&amp;账期止))</f>
        <v/>
      </c>
      <c r="S1185" s="26">
        <f>IF($A1185="","",ROUND(SUMIFS(出库单!$S$4:$S$4003,出库单!$D$4:$D$4003,$A1185,出库单!$K$4:$K$4003,"对外销售",出库单!$U$4:$U$4003,"正常",出库单!$C$4:$C$4003,"&gt;="&amp;账期起,出库单!$C$4:$C$4003,"&lt;="&amp;账期止),0))</f>
        <v/>
      </c>
      <c r="T1185" s="27">
        <f>IF($A1185="","",SUMIFS(出库单!$J$4:$J$4003,出库单!$D$4:$D$4003,$A1185,出库单!$K$4:$K$4003,"盘亏",出库单!$U$4:$U$4003,"正常",出库单!$C$4:$C$4003,"&gt;="&amp;账期起,出库单!$C$4:$C$4003,"&lt;="&amp;账期止))</f>
        <v/>
      </c>
      <c r="U1185" s="26">
        <f>IF($A1185="","",ROUND(SUMIFS(出库单!$S$4:$S$4003,出库单!$D$4:$D$4003,$A1185,出库单!$K$4:$K$4003,"盘亏",出库单!$U$4:$U$4003,"正常",出库单!$C$4:$C$4003,"&gt;="&amp;账期起,出库单!$C$4:$C$4003,"&lt;="&amp;账期止),0))</f>
        <v/>
      </c>
      <c r="V1185" s="27">
        <f>IF($A1185="","",SUMIFS(出库单!$J$4:$J$4003,出库单!$D$4:$D$4003,$A1185,出库单!$K$4:$K$4003,"退货给供应商",出库单!$U$4:$U$4003,"正常",出库单!$C$4:$C$4003,"&gt;="&amp;账期起,出库单!$C$4:$C$4003,"&lt;="&amp;账期止))</f>
        <v/>
      </c>
      <c r="W1185" s="26">
        <f>IF($A1185="","",ROUND(SUMIFS(出库单!$S$4:$S$4003,出库单!$D$4:$D$4003,$A1185,出库单!$K$4:$K$4003,"退货给供应商",出库单!$U$4:$U$4003,"正常",出库单!$C$4:$C$4003,"&gt;="&amp;账期起,出库单!$C$4:$C$4003,"&lt;="&amp;账期止),0))</f>
        <v/>
      </c>
      <c r="X1185" s="27">
        <f>IF($A1185="","",ROUND(N($G1185)+$I1185+$L1185+$N1185-$P1185-$R1185-$T1185-$V1185,3))</f>
        <v/>
      </c>
      <c r="Y1185" s="26">
        <f>IF($A1185="","",ROUND(N($H1185)+$J1185+$M1185+$O1185-$Q1185-$S1185-$U1185-$W1185,0))</f>
        <v/>
      </c>
      <c r="Z1185" s="24">
        <f>IF($A1185="","",IF(COUNTIFS(入库单!$G$4:$G$2503,$A1185,入库单!$Y$4:$Y$2503,"待补价")+COUNTIFS(入库单!$G$4:$G$2503,$A1185,入库单!$Y$4:$Y$2503,"暂估")&gt;0,"不可信","可信"))</f>
        <v/>
      </c>
      <c r="AA1185" s="24">
        <f>IF($A1185="","",IF($X1185&lt;-0.001,"※账面负库存，查一下是不是漏记入库",IF(AND(ROUND($X1185,3)=0,ABS($Y1185)&gt;1),"※数量已经是 0，金额还挂着 "&amp;TEXT($Y1185,"#,##0")&amp;" 先令",IF(AND($X1185&gt;0,$Y1185&lt;=0,$K1185=0),"※有数量没金额（这个物料一直没填过进价）",IF($Z1185="不可信","△成本含待补价/暂估，毛利仅供参考","")))))</f>
        <v/>
      </c>
    </row>
    <row r="1186">
      <c r="A1186" s="24">
        <f>IF(物料档案!$A1185="","",物料档案!$A1185)</f>
        <v/>
      </c>
      <c r="B1186" s="24">
        <f>IF($A1186="","",IFERROR(VLOOKUP($A1186,物料档案!$A$4:$P$1203,3,0),""))</f>
        <v/>
      </c>
      <c r="C1186" s="24">
        <f>IF($A1186="","",IFERROR(VLOOKUP($A1186,物料档案!$A$4:$P$1203,4,0),""))</f>
        <v/>
      </c>
      <c r="D1186" s="24">
        <f>IF($A1186="","",IFERROR(VLOOKUP($A1186,物料档案!$A$4:$P$1203,5,0),""))</f>
        <v/>
      </c>
      <c r="E1186" s="24">
        <f>IF($A1186="","",IFERROR(VLOOKUP($A1186,物料档案!$A$4:$P$1203,2,0),""))</f>
        <v/>
      </c>
      <c r="F1186" s="24">
        <f>IF($A1186="","",IFERROR(VLOOKUP($A1186,物料档案!$A$4:$P$1203,6,0),""))</f>
        <v/>
      </c>
      <c r="G1186" s="23" t="n"/>
      <c r="H1186" s="32" t="n"/>
      <c r="I1186" s="27">
        <f>IF($A1186="","",SUMIFS(入库单!$K$4:$K$2503,入库单!$G$4:$G$2503,$A1186,入库单!$X$4:$X$2503,"采购入库",入库单!$Z$4:$Z$2503,"正常",入库单!$C$4:$C$2503,"&gt;="&amp;账期起,入库单!$C$4:$C$2503,"&lt;="&amp;账期止))</f>
        <v/>
      </c>
      <c r="J1186" s="26">
        <f>IF($A1186="","",SUMIFS(入库单!$V$4:$V$2503,入库单!$G$4:$G$2503,$A1186,入库单!$X$4:$X$2503,"采购入库",入库单!$Z$4:$Z$2503,"正常",入库单!$C$4:$C$2503,"&gt;="&amp;账期起,入库单!$C$4:$C$2503,"&lt;="&amp;账期止))</f>
        <v/>
      </c>
      <c r="K1186" s="26">
        <f>IF($A1186="","",IFERROR(ROUND((N($H1186)+N($J1186))/(N($G1186)+N($I1186)),2),0))</f>
        <v/>
      </c>
      <c r="L1186" s="27">
        <f>IF($A1186="","",SUMIFS(入库单!$K$4:$K$2503,入库单!$G$4:$G$2503,$A1186,入库单!$X$4:$X$2503,"盘盈",入库单!$Z$4:$Z$2503,"正常",入库单!$C$4:$C$2503,"&gt;="&amp;账期起,入库单!$C$4:$C$2503,"&lt;="&amp;账期止))</f>
        <v/>
      </c>
      <c r="M1186" s="26">
        <f>IF($A1186="","",ROUND($L1186*$K1186,0))</f>
        <v/>
      </c>
      <c r="N1186" s="27">
        <f>IF($A1186="","",SUMIFS(入库单!$K$4:$K$2503,入库单!$G$4:$G$2503,$A1186,入库单!$X$4:$X$2503,"矿区退库",入库单!$Z$4:$Z$2503,"正常",入库单!$C$4:$C$2503,"&gt;="&amp;账期起,入库单!$C$4:$C$2503,"&lt;="&amp;账期止))</f>
        <v/>
      </c>
      <c r="O1186" s="26">
        <f>IF($A1186="","",ROUND($N1186*$K1186,0))</f>
        <v/>
      </c>
      <c r="P1186" s="27">
        <f>IF($A1186="","",SUMIFS(出库单!$J$4:$J$4003,出库单!$D$4:$D$4003,$A1186,出库单!$K$4:$K$4003,"自用消耗",出库单!$U$4:$U$4003,"正常",出库单!$C$4:$C$4003,"&gt;="&amp;账期起,出库单!$C$4:$C$4003,"&lt;="&amp;账期止))</f>
        <v/>
      </c>
      <c r="Q1186" s="26">
        <f>IF($A1186="","",ROUND(SUMIFS(出库单!$S$4:$S$4003,出库单!$D$4:$D$4003,$A1186,出库单!$K$4:$K$4003,"自用消耗",出库单!$U$4:$U$4003,"正常",出库单!$C$4:$C$4003,"&gt;="&amp;账期起,出库单!$C$4:$C$4003,"&lt;="&amp;账期止),0))</f>
        <v/>
      </c>
      <c r="R1186" s="27">
        <f>IF($A1186="","",SUMIFS(出库单!$J$4:$J$4003,出库单!$D$4:$D$4003,$A1186,出库单!$K$4:$K$4003,"对外销售",出库单!$U$4:$U$4003,"正常",出库单!$C$4:$C$4003,"&gt;="&amp;账期起,出库单!$C$4:$C$4003,"&lt;="&amp;账期止))</f>
        <v/>
      </c>
      <c r="S1186" s="26">
        <f>IF($A1186="","",ROUND(SUMIFS(出库单!$S$4:$S$4003,出库单!$D$4:$D$4003,$A1186,出库单!$K$4:$K$4003,"对外销售",出库单!$U$4:$U$4003,"正常",出库单!$C$4:$C$4003,"&gt;="&amp;账期起,出库单!$C$4:$C$4003,"&lt;="&amp;账期止),0))</f>
        <v/>
      </c>
      <c r="T1186" s="27">
        <f>IF($A1186="","",SUMIFS(出库单!$J$4:$J$4003,出库单!$D$4:$D$4003,$A1186,出库单!$K$4:$K$4003,"盘亏",出库单!$U$4:$U$4003,"正常",出库单!$C$4:$C$4003,"&gt;="&amp;账期起,出库单!$C$4:$C$4003,"&lt;="&amp;账期止))</f>
        <v/>
      </c>
      <c r="U1186" s="26">
        <f>IF($A1186="","",ROUND(SUMIFS(出库单!$S$4:$S$4003,出库单!$D$4:$D$4003,$A1186,出库单!$K$4:$K$4003,"盘亏",出库单!$U$4:$U$4003,"正常",出库单!$C$4:$C$4003,"&gt;="&amp;账期起,出库单!$C$4:$C$4003,"&lt;="&amp;账期止),0))</f>
        <v/>
      </c>
      <c r="V1186" s="27">
        <f>IF($A1186="","",SUMIFS(出库单!$J$4:$J$4003,出库单!$D$4:$D$4003,$A1186,出库单!$K$4:$K$4003,"退货给供应商",出库单!$U$4:$U$4003,"正常",出库单!$C$4:$C$4003,"&gt;="&amp;账期起,出库单!$C$4:$C$4003,"&lt;="&amp;账期止))</f>
        <v/>
      </c>
      <c r="W1186" s="26">
        <f>IF($A1186="","",ROUND(SUMIFS(出库单!$S$4:$S$4003,出库单!$D$4:$D$4003,$A1186,出库单!$K$4:$K$4003,"退货给供应商",出库单!$U$4:$U$4003,"正常",出库单!$C$4:$C$4003,"&gt;="&amp;账期起,出库单!$C$4:$C$4003,"&lt;="&amp;账期止),0))</f>
        <v/>
      </c>
      <c r="X1186" s="27">
        <f>IF($A1186="","",ROUND(N($G1186)+$I1186+$L1186+$N1186-$P1186-$R1186-$T1186-$V1186,3))</f>
        <v/>
      </c>
      <c r="Y1186" s="26">
        <f>IF($A1186="","",ROUND(N($H1186)+$J1186+$M1186+$O1186-$Q1186-$S1186-$U1186-$W1186,0))</f>
        <v/>
      </c>
      <c r="Z1186" s="24">
        <f>IF($A1186="","",IF(COUNTIFS(入库单!$G$4:$G$2503,$A1186,入库单!$Y$4:$Y$2503,"待补价")+COUNTIFS(入库单!$G$4:$G$2503,$A1186,入库单!$Y$4:$Y$2503,"暂估")&gt;0,"不可信","可信"))</f>
        <v/>
      </c>
      <c r="AA1186" s="24">
        <f>IF($A1186="","",IF($X1186&lt;-0.001,"※账面负库存，查一下是不是漏记入库",IF(AND(ROUND($X1186,3)=0,ABS($Y1186)&gt;1),"※数量已经是 0，金额还挂着 "&amp;TEXT($Y1186,"#,##0")&amp;" 先令",IF(AND($X1186&gt;0,$Y1186&lt;=0,$K1186=0),"※有数量没金额（这个物料一直没填过进价）",IF($Z1186="不可信","△成本含待补价/暂估，毛利仅供参考","")))))</f>
        <v/>
      </c>
    </row>
    <row r="1187">
      <c r="A1187" s="24">
        <f>IF(物料档案!$A1186="","",物料档案!$A1186)</f>
        <v/>
      </c>
      <c r="B1187" s="24">
        <f>IF($A1187="","",IFERROR(VLOOKUP($A1187,物料档案!$A$4:$P$1203,3,0),""))</f>
        <v/>
      </c>
      <c r="C1187" s="24">
        <f>IF($A1187="","",IFERROR(VLOOKUP($A1187,物料档案!$A$4:$P$1203,4,0),""))</f>
        <v/>
      </c>
      <c r="D1187" s="24">
        <f>IF($A1187="","",IFERROR(VLOOKUP($A1187,物料档案!$A$4:$P$1203,5,0),""))</f>
        <v/>
      </c>
      <c r="E1187" s="24">
        <f>IF($A1187="","",IFERROR(VLOOKUP($A1187,物料档案!$A$4:$P$1203,2,0),""))</f>
        <v/>
      </c>
      <c r="F1187" s="24">
        <f>IF($A1187="","",IFERROR(VLOOKUP($A1187,物料档案!$A$4:$P$1203,6,0),""))</f>
        <v/>
      </c>
      <c r="G1187" s="23" t="n"/>
      <c r="H1187" s="32" t="n"/>
      <c r="I1187" s="27">
        <f>IF($A1187="","",SUMIFS(入库单!$K$4:$K$2503,入库单!$G$4:$G$2503,$A1187,入库单!$X$4:$X$2503,"采购入库",入库单!$Z$4:$Z$2503,"正常",入库单!$C$4:$C$2503,"&gt;="&amp;账期起,入库单!$C$4:$C$2503,"&lt;="&amp;账期止))</f>
        <v/>
      </c>
      <c r="J1187" s="26">
        <f>IF($A1187="","",SUMIFS(入库单!$V$4:$V$2503,入库单!$G$4:$G$2503,$A1187,入库单!$X$4:$X$2503,"采购入库",入库单!$Z$4:$Z$2503,"正常",入库单!$C$4:$C$2503,"&gt;="&amp;账期起,入库单!$C$4:$C$2503,"&lt;="&amp;账期止))</f>
        <v/>
      </c>
      <c r="K1187" s="26">
        <f>IF($A1187="","",IFERROR(ROUND((N($H1187)+N($J1187))/(N($G1187)+N($I1187)),2),0))</f>
        <v/>
      </c>
      <c r="L1187" s="27">
        <f>IF($A1187="","",SUMIFS(入库单!$K$4:$K$2503,入库单!$G$4:$G$2503,$A1187,入库单!$X$4:$X$2503,"盘盈",入库单!$Z$4:$Z$2503,"正常",入库单!$C$4:$C$2503,"&gt;="&amp;账期起,入库单!$C$4:$C$2503,"&lt;="&amp;账期止))</f>
        <v/>
      </c>
      <c r="M1187" s="26">
        <f>IF($A1187="","",ROUND($L1187*$K1187,0))</f>
        <v/>
      </c>
      <c r="N1187" s="27">
        <f>IF($A1187="","",SUMIFS(入库单!$K$4:$K$2503,入库单!$G$4:$G$2503,$A1187,入库单!$X$4:$X$2503,"矿区退库",入库单!$Z$4:$Z$2503,"正常",入库单!$C$4:$C$2503,"&gt;="&amp;账期起,入库单!$C$4:$C$2503,"&lt;="&amp;账期止))</f>
        <v/>
      </c>
      <c r="O1187" s="26">
        <f>IF($A1187="","",ROUND($N1187*$K1187,0))</f>
        <v/>
      </c>
      <c r="P1187" s="27">
        <f>IF($A1187="","",SUMIFS(出库单!$J$4:$J$4003,出库单!$D$4:$D$4003,$A1187,出库单!$K$4:$K$4003,"自用消耗",出库单!$U$4:$U$4003,"正常",出库单!$C$4:$C$4003,"&gt;="&amp;账期起,出库单!$C$4:$C$4003,"&lt;="&amp;账期止))</f>
        <v/>
      </c>
      <c r="Q1187" s="26">
        <f>IF($A1187="","",ROUND(SUMIFS(出库单!$S$4:$S$4003,出库单!$D$4:$D$4003,$A1187,出库单!$K$4:$K$4003,"自用消耗",出库单!$U$4:$U$4003,"正常",出库单!$C$4:$C$4003,"&gt;="&amp;账期起,出库单!$C$4:$C$4003,"&lt;="&amp;账期止),0))</f>
        <v/>
      </c>
      <c r="R1187" s="27">
        <f>IF($A1187="","",SUMIFS(出库单!$J$4:$J$4003,出库单!$D$4:$D$4003,$A1187,出库单!$K$4:$K$4003,"对外销售",出库单!$U$4:$U$4003,"正常",出库单!$C$4:$C$4003,"&gt;="&amp;账期起,出库单!$C$4:$C$4003,"&lt;="&amp;账期止))</f>
        <v/>
      </c>
      <c r="S1187" s="26">
        <f>IF($A1187="","",ROUND(SUMIFS(出库单!$S$4:$S$4003,出库单!$D$4:$D$4003,$A1187,出库单!$K$4:$K$4003,"对外销售",出库单!$U$4:$U$4003,"正常",出库单!$C$4:$C$4003,"&gt;="&amp;账期起,出库单!$C$4:$C$4003,"&lt;="&amp;账期止),0))</f>
        <v/>
      </c>
      <c r="T1187" s="27">
        <f>IF($A1187="","",SUMIFS(出库单!$J$4:$J$4003,出库单!$D$4:$D$4003,$A1187,出库单!$K$4:$K$4003,"盘亏",出库单!$U$4:$U$4003,"正常",出库单!$C$4:$C$4003,"&gt;="&amp;账期起,出库单!$C$4:$C$4003,"&lt;="&amp;账期止))</f>
        <v/>
      </c>
      <c r="U1187" s="26">
        <f>IF($A1187="","",ROUND(SUMIFS(出库单!$S$4:$S$4003,出库单!$D$4:$D$4003,$A1187,出库单!$K$4:$K$4003,"盘亏",出库单!$U$4:$U$4003,"正常",出库单!$C$4:$C$4003,"&gt;="&amp;账期起,出库单!$C$4:$C$4003,"&lt;="&amp;账期止),0))</f>
        <v/>
      </c>
      <c r="V1187" s="27">
        <f>IF($A1187="","",SUMIFS(出库单!$J$4:$J$4003,出库单!$D$4:$D$4003,$A1187,出库单!$K$4:$K$4003,"退货给供应商",出库单!$U$4:$U$4003,"正常",出库单!$C$4:$C$4003,"&gt;="&amp;账期起,出库单!$C$4:$C$4003,"&lt;="&amp;账期止))</f>
        <v/>
      </c>
      <c r="W1187" s="26">
        <f>IF($A1187="","",ROUND(SUMIFS(出库单!$S$4:$S$4003,出库单!$D$4:$D$4003,$A1187,出库单!$K$4:$K$4003,"退货给供应商",出库单!$U$4:$U$4003,"正常",出库单!$C$4:$C$4003,"&gt;="&amp;账期起,出库单!$C$4:$C$4003,"&lt;="&amp;账期止),0))</f>
        <v/>
      </c>
      <c r="X1187" s="27">
        <f>IF($A1187="","",ROUND(N($G1187)+$I1187+$L1187+$N1187-$P1187-$R1187-$T1187-$V1187,3))</f>
        <v/>
      </c>
      <c r="Y1187" s="26">
        <f>IF($A1187="","",ROUND(N($H1187)+$J1187+$M1187+$O1187-$Q1187-$S1187-$U1187-$W1187,0))</f>
        <v/>
      </c>
      <c r="Z1187" s="24">
        <f>IF($A1187="","",IF(COUNTIFS(入库单!$G$4:$G$2503,$A1187,入库单!$Y$4:$Y$2503,"待补价")+COUNTIFS(入库单!$G$4:$G$2503,$A1187,入库单!$Y$4:$Y$2503,"暂估")&gt;0,"不可信","可信"))</f>
        <v/>
      </c>
      <c r="AA1187" s="24">
        <f>IF($A1187="","",IF($X1187&lt;-0.001,"※账面负库存，查一下是不是漏记入库",IF(AND(ROUND($X1187,3)=0,ABS($Y1187)&gt;1),"※数量已经是 0，金额还挂着 "&amp;TEXT($Y1187,"#,##0")&amp;" 先令",IF(AND($X1187&gt;0,$Y1187&lt;=0,$K1187=0),"※有数量没金额（这个物料一直没填过进价）",IF($Z1187="不可信","△成本含待补价/暂估，毛利仅供参考","")))))</f>
        <v/>
      </c>
    </row>
    <row r="1188">
      <c r="A1188" s="24">
        <f>IF(物料档案!$A1187="","",物料档案!$A1187)</f>
        <v/>
      </c>
      <c r="B1188" s="24">
        <f>IF($A1188="","",IFERROR(VLOOKUP($A1188,物料档案!$A$4:$P$1203,3,0),""))</f>
        <v/>
      </c>
      <c r="C1188" s="24">
        <f>IF($A1188="","",IFERROR(VLOOKUP($A1188,物料档案!$A$4:$P$1203,4,0),""))</f>
        <v/>
      </c>
      <c r="D1188" s="24">
        <f>IF($A1188="","",IFERROR(VLOOKUP($A1188,物料档案!$A$4:$P$1203,5,0),""))</f>
        <v/>
      </c>
      <c r="E1188" s="24">
        <f>IF($A1188="","",IFERROR(VLOOKUP($A1188,物料档案!$A$4:$P$1203,2,0),""))</f>
        <v/>
      </c>
      <c r="F1188" s="24">
        <f>IF($A1188="","",IFERROR(VLOOKUP($A1188,物料档案!$A$4:$P$1203,6,0),""))</f>
        <v/>
      </c>
      <c r="G1188" s="23" t="n"/>
      <c r="H1188" s="32" t="n"/>
      <c r="I1188" s="27">
        <f>IF($A1188="","",SUMIFS(入库单!$K$4:$K$2503,入库单!$G$4:$G$2503,$A1188,入库单!$X$4:$X$2503,"采购入库",入库单!$Z$4:$Z$2503,"正常",入库单!$C$4:$C$2503,"&gt;="&amp;账期起,入库单!$C$4:$C$2503,"&lt;="&amp;账期止))</f>
        <v/>
      </c>
      <c r="J1188" s="26">
        <f>IF($A1188="","",SUMIFS(入库单!$V$4:$V$2503,入库单!$G$4:$G$2503,$A1188,入库单!$X$4:$X$2503,"采购入库",入库单!$Z$4:$Z$2503,"正常",入库单!$C$4:$C$2503,"&gt;="&amp;账期起,入库单!$C$4:$C$2503,"&lt;="&amp;账期止))</f>
        <v/>
      </c>
      <c r="K1188" s="26">
        <f>IF($A1188="","",IFERROR(ROUND((N($H1188)+N($J1188))/(N($G1188)+N($I1188)),2),0))</f>
        <v/>
      </c>
      <c r="L1188" s="27">
        <f>IF($A1188="","",SUMIFS(入库单!$K$4:$K$2503,入库单!$G$4:$G$2503,$A1188,入库单!$X$4:$X$2503,"盘盈",入库单!$Z$4:$Z$2503,"正常",入库单!$C$4:$C$2503,"&gt;="&amp;账期起,入库单!$C$4:$C$2503,"&lt;="&amp;账期止))</f>
        <v/>
      </c>
      <c r="M1188" s="26">
        <f>IF($A1188="","",ROUND($L1188*$K1188,0))</f>
        <v/>
      </c>
      <c r="N1188" s="27">
        <f>IF($A1188="","",SUMIFS(入库单!$K$4:$K$2503,入库单!$G$4:$G$2503,$A1188,入库单!$X$4:$X$2503,"矿区退库",入库单!$Z$4:$Z$2503,"正常",入库单!$C$4:$C$2503,"&gt;="&amp;账期起,入库单!$C$4:$C$2503,"&lt;="&amp;账期止))</f>
        <v/>
      </c>
      <c r="O1188" s="26">
        <f>IF($A1188="","",ROUND($N1188*$K1188,0))</f>
        <v/>
      </c>
      <c r="P1188" s="27">
        <f>IF($A1188="","",SUMIFS(出库单!$J$4:$J$4003,出库单!$D$4:$D$4003,$A1188,出库单!$K$4:$K$4003,"自用消耗",出库单!$U$4:$U$4003,"正常",出库单!$C$4:$C$4003,"&gt;="&amp;账期起,出库单!$C$4:$C$4003,"&lt;="&amp;账期止))</f>
        <v/>
      </c>
      <c r="Q1188" s="26">
        <f>IF($A1188="","",ROUND(SUMIFS(出库单!$S$4:$S$4003,出库单!$D$4:$D$4003,$A1188,出库单!$K$4:$K$4003,"自用消耗",出库单!$U$4:$U$4003,"正常",出库单!$C$4:$C$4003,"&gt;="&amp;账期起,出库单!$C$4:$C$4003,"&lt;="&amp;账期止),0))</f>
        <v/>
      </c>
      <c r="R1188" s="27">
        <f>IF($A1188="","",SUMIFS(出库单!$J$4:$J$4003,出库单!$D$4:$D$4003,$A1188,出库单!$K$4:$K$4003,"对外销售",出库单!$U$4:$U$4003,"正常",出库单!$C$4:$C$4003,"&gt;="&amp;账期起,出库单!$C$4:$C$4003,"&lt;="&amp;账期止))</f>
        <v/>
      </c>
      <c r="S1188" s="26">
        <f>IF($A1188="","",ROUND(SUMIFS(出库单!$S$4:$S$4003,出库单!$D$4:$D$4003,$A1188,出库单!$K$4:$K$4003,"对外销售",出库单!$U$4:$U$4003,"正常",出库单!$C$4:$C$4003,"&gt;="&amp;账期起,出库单!$C$4:$C$4003,"&lt;="&amp;账期止),0))</f>
        <v/>
      </c>
      <c r="T1188" s="27">
        <f>IF($A1188="","",SUMIFS(出库单!$J$4:$J$4003,出库单!$D$4:$D$4003,$A1188,出库单!$K$4:$K$4003,"盘亏",出库单!$U$4:$U$4003,"正常",出库单!$C$4:$C$4003,"&gt;="&amp;账期起,出库单!$C$4:$C$4003,"&lt;="&amp;账期止))</f>
        <v/>
      </c>
      <c r="U1188" s="26">
        <f>IF($A1188="","",ROUND(SUMIFS(出库单!$S$4:$S$4003,出库单!$D$4:$D$4003,$A1188,出库单!$K$4:$K$4003,"盘亏",出库单!$U$4:$U$4003,"正常",出库单!$C$4:$C$4003,"&gt;="&amp;账期起,出库单!$C$4:$C$4003,"&lt;="&amp;账期止),0))</f>
        <v/>
      </c>
      <c r="V1188" s="27">
        <f>IF($A1188="","",SUMIFS(出库单!$J$4:$J$4003,出库单!$D$4:$D$4003,$A1188,出库单!$K$4:$K$4003,"退货给供应商",出库单!$U$4:$U$4003,"正常",出库单!$C$4:$C$4003,"&gt;="&amp;账期起,出库单!$C$4:$C$4003,"&lt;="&amp;账期止))</f>
        <v/>
      </c>
      <c r="W1188" s="26">
        <f>IF($A1188="","",ROUND(SUMIFS(出库单!$S$4:$S$4003,出库单!$D$4:$D$4003,$A1188,出库单!$K$4:$K$4003,"退货给供应商",出库单!$U$4:$U$4003,"正常",出库单!$C$4:$C$4003,"&gt;="&amp;账期起,出库单!$C$4:$C$4003,"&lt;="&amp;账期止),0))</f>
        <v/>
      </c>
      <c r="X1188" s="27">
        <f>IF($A1188="","",ROUND(N($G1188)+$I1188+$L1188+$N1188-$P1188-$R1188-$T1188-$V1188,3))</f>
        <v/>
      </c>
      <c r="Y1188" s="26">
        <f>IF($A1188="","",ROUND(N($H1188)+$J1188+$M1188+$O1188-$Q1188-$S1188-$U1188-$W1188,0))</f>
        <v/>
      </c>
      <c r="Z1188" s="24">
        <f>IF($A1188="","",IF(COUNTIFS(入库单!$G$4:$G$2503,$A1188,入库单!$Y$4:$Y$2503,"待补价")+COUNTIFS(入库单!$G$4:$G$2503,$A1188,入库单!$Y$4:$Y$2503,"暂估")&gt;0,"不可信","可信"))</f>
        <v/>
      </c>
      <c r="AA1188" s="24">
        <f>IF($A1188="","",IF($X1188&lt;-0.001,"※账面负库存，查一下是不是漏记入库",IF(AND(ROUND($X1188,3)=0,ABS($Y1188)&gt;1),"※数量已经是 0，金额还挂着 "&amp;TEXT($Y1188,"#,##0")&amp;" 先令",IF(AND($X1188&gt;0,$Y1188&lt;=0,$K1188=0),"※有数量没金额（这个物料一直没填过进价）",IF($Z1188="不可信","△成本含待补价/暂估，毛利仅供参考","")))))</f>
        <v/>
      </c>
    </row>
    <row r="1189">
      <c r="A1189" s="24">
        <f>IF(物料档案!$A1188="","",物料档案!$A1188)</f>
        <v/>
      </c>
      <c r="B1189" s="24">
        <f>IF($A1189="","",IFERROR(VLOOKUP($A1189,物料档案!$A$4:$P$1203,3,0),""))</f>
        <v/>
      </c>
      <c r="C1189" s="24">
        <f>IF($A1189="","",IFERROR(VLOOKUP($A1189,物料档案!$A$4:$P$1203,4,0),""))</f>
        <v/>
      </c>
      <c r="D1189" s="24">
        <f>IF($A1189="","",IFERROR(VLOOKUP($A1189,物料档案!$A$4:$P$1203,5,0),""))</f>
        <v/>
      </c>
      <c r="E1189" s="24">
        <f>IF($A1189="","",IFERROR(VLOOKUP($A1189,物料档案!$A$4:$P$1203,2,0),""))</f>
        <v/>
      </c>
      <c r="F1189" s="24">
        <f>IF($A1189="","",IFERROR(VLOOKUP($A1189,物料档案!$A$4:$P$1203,6,0),""))</f>
        <v/>
      </c>
      <c r="G1189" s="23" t="n"/>
      <c r="H1189" s="32" t="n"/>
      <c r="I1189" s="27">
        <f>IF($A1189="","",SUMIFS(入库单!$K$4:$K$2503,入库单!$G$4:$G$2503,$A1189,入库单!$X$4:$X$2503,"采购入库",入库单!$Z$4:$Z$2503,"正常",入库单!$C$4:$C$2503,"&gt;="&amp;账期起,入库单!$C$4:$C$2503,"&lt;="&amp;账期止))</f>
        <v/>
      </c>
      <c r="J1189" s="26">
        <f>IF($A1189="","",SUMIFS(入库单!$V$4:$V$2503,入库单!$G$4:$G$2503,$A1189,入库单!$X$4:$X$2503,"采购入库",入库单!$Z$4:$Z$2503,"正常",入库单!$C$4:$C$2503,"&gt;="&amp;账期起,入库单!$C$4:$C$2503,"&lt;="&amp;账期止))</f>
        <v/>
      </c>
      <c r="K1189" s="26">
        <f>IF($A1189="","",IFERROR(ROUND((N($H1189)+N($J1189))/(N($G1189)+N($I1189)),2),0))</f>
        <v/>
      </c>
      <c r="L1189" s="27">
        <f>IF($A1189="","",SUMIFS(入库单!$K$4:$K$2503,入库单!$G$4:$G$2503,$A1189,入库单!$X$4:$X$2503,"盘盈",入库单!$Z$4:$Z$2503,"正常",入库单!$C$4:$C$2503,"&gt;="&amp;账期起,入库单!$C$4:$C$2503,"&lt;="&amp;账期止))</f>
        <v/>
      </c>
      <c r="M1189" s="26">
        <f>IF($A1189="","",ROUND($L1189*$K1189,0))</f>
        <v/>
      </c>
      <c r="N1189" s="27">
        <f>IF($A1189="","",SUMIFS(入库单!$K$4:$K$2503,入库单!$G$4:$G$2503,$A1189,入库单!$X$4:$X$2503,"矿区退库",入库单!$Z$4:$Z$2503,"正常",入库单!$C$4:$C$2503,"&gt;="&amp;账期起,入库单!$C$4:$C$2503,"&lt;="&amp;账期止))</f>
        <v/>
      </c>
      <c r="O1189" s="26">
        <f>IF($A1189="","",ROUND($N1189*$K1189,0))</f>
        <v/>
      </c>
      <c r="P1189" s="27">
        <f>IF($A1189="","",SUMIFS(出库单!$J$4:$J$4003,出库单!$D$4:$D$4003,$A1189,出库单!$K$4:$K$4003,"自用消耗",出库单!$U$4:$U$4003,"正常",出库单!$C$4:$C$4003,"&gt;="&amp;账期起,出库单!$C$4:$C$4003,"&lt;="&amp;账期止))</f>
        <v/>
      </c>
      <c r="Q1189" s="26">
        <f>IF($A1189="","",ROUND(SUMIFS(出库单!$S$4:$S$4003,出库单!$D$4:$D$4003,$A1189,出库单!$K$4:$K$4003,"自用消耗",出库单!$U$4:$U$4003,"正常",出库单!$C$4:$C$4003,"&gt;="&amp;账期起,出库单!$C$4:$C$4003,"&lt;="&amp;账期止),0))</f>
        <v/>
      </c>
      <c r="R1189" s="27">
        <f>IF($A1189="","",SUMIFS(出库单!$J$4:$J$4003,出库单!$D$4:$D$4003,$A1189,出库单!$K$4:$K$4003,"对外销售",出库单!$U$4:$U$4003,"正常",出库单!$C$4:$C$4003,"&gt;="&amp;账期起,出库单!$C$4:$C$4003,"&lt;="&amp;账期止))</f>
        <v/>
      </c>
      <c r="S1189" s="26">
        <f>IF($A1189="","",ROUND(SUMIFS(出库单!$S$4:$S$4003,出库单!$D$4:$D$4003,$A1189,出库单!$K$4:$K$4003,"对外销售",出库单!$U$4:$U$4003,"正常",出库单!$C$4:$C$4003,"&gt;="&amp;账期起,出库单!$C$4:$C$4003,"&lt;="&amp;账期止),0))</f>
        <v/>
      </c>
      <c r="T1189" s="27">
        <f>IF($A1189="","",SUMIFS(出库单!$J$4:$J$4003,出库单!$D$4:$D$4003,$A1189,出库单!$K$4:$K$4003,"盘亏",出库单!$U$4:$U$4003,"正常",出库单!$C$4:$C$4003,"&gt;="&amp;账期起,出库单!$C$4:$C$4003,"&lt;="&amp;账期止))</f>
        <v/>
      </c>
      <c r="U1189" s="26">
        <f>IF($A1189="","",ROUND(SUMIFS(出库单!$S$4:$S$4003,出库单!$D$4:$D$4003,$A1189,出库单!$K$4:$K$4003,"盘亏",出库单!$U$4:$U$4003,"正常",出库单!$C$4:$C$4003,"&gt;="&amp;账期起,出库单!$C$4:$C$4003,"&lt;="&amp;账期止),0))</f>
        <v/>
      </c>
      <c r="V1189" s="27">
        <f>IF($A1189="","",SUMIFS(出库单!$J$4:$J$4003,出库单!$D$4:$D$4003,$A1189,出库单!$K$4:$K$4003,"退货给供应商",出库单!$U$4:$U$4003,"正常",出库单!$C$4:$C$4003,"&gt;="&amp;账期起,出库单!$C$4:$C$4003,"&lt;="&amp;账期止))</f>
        <v/>
      </c>
      <c r="W1189" s="26">
        <f>IF($A1189="","",ROUND(SUMIFS(出库单!$S$4:$S$4003,出库单!$D$4:$D$4003,$A1189,出库单!$K$4:$K$4003,"退货给供应商",出库单!$U$4:$U$4003,"正常",出库单!$C$4:$C$4003,"&gt;="&amp;账期起,出库单!$C$4:$C$4003,"&lt;="&amp;账期止),0))</f>
        <v/>
      </c>
      <c r="X1189" s="27">
        <f>IF($A1189="","",ROUND(N($G1189)+$I1189+$L1189+$N1189-$P1189-$R1189-$T1189-$V1189,3))</f>
        <v/>
      </c>
      <c r="Y1189" s="26">
        <f>IF($A1189="","",ROUND(N($H1189)+$J1189+$M1189+$O1189-$Q1189-$S1189-$U1189-$W1189,0))</f>
        <v/>
      </c>
      <c r="Z1189" s="24">
        <f>IF($A1189="","",IF(COUNTIFS(入库单!$G$4:$G$2503,$A1189,入库单!$Y$4:$Y$2503,"待补价")+COUNTIFS(入库单!$G$4:$G$2503,$A1189,入库单!$Y$4:$Y$2503,"暂估")&gt;0,"不可信","可信"))</f>
        <v/>
      </c>
      <c r="AA1189" s="24">
        <f>IF($A1189="","",IF($X1189&lt;-0.001,"※账面负库存，查一下是不是漏记入库",IF(AND(ROUND($X1189,3)=0,ABS($Y1189)&gt;1),"※数量已经是 0，金额还挂着 "&amp;TEXT($Y1189,"#,##0")&amp;" 先令",IF(AND($X1189&gt;0,$Y1189&lt;=0,$K1189=0),"※有数量没金额（这个物料一直没填过进价）",IF($Z1189="不可信","△成本含待补价/暂估，毛利仅供参考","")))))</f>
        <v/>
      </c>
    </row>
    <row r="1190">
      <c r="A1190" s="24">
        <f>IF(物料档案!$A1189="","",物料档案!$A1189)</f>
        <v/>
      </c>
      <c r="B1190" s="24">
        <f>IF($A1190="","",IFERROR(VLOOKUP($A1190,物料档案!$A$4:$P$1203,3,0),""))</f>
        <v/>
      </c>
      <c r="C1190" s="24">
        <f>IF($A1190="","",IFERROR(VLOOKUP($A1190,物料档案!$A$4:$P$1203,4,0),""))</f>
        <v/>
      </c>
      <c r="D1190" s="24">
        <f>IF($A1190="","",IFERROR(VLOOKUP($A1190,物料档案!$A$4:$P$1203,5,0),""))</f>
        <v/>
      </c>
      <c r="E1190" s="24">
        <f>IF($A1190="","",IFERROR(VLOOKUP($A1190,物料档案!$A$4:$P$1203,2,0),""))</f>
        <v/>
      </c>
      <c r="F1190" s="24">
        <f>IF($A1190="","",IFERROR(VLOOKUP($A1190,物料档案!$A$4:$P$1203,6,0),""))</f>
        <v/>
      </c>
      <c r="G1190" s="23" t="n"/>
      <c r="H1190" s="32" t="n"/>
      <c r="I1190" s="27">
        <f>IF($A1190="","",SUMIFS(入库单!$K$4:$K$2503,入库单!$G$4:$G$2503,$A1190,入库单!$X$4:$X$2503,"采购入库",入库单!$Z$4:$Z$2503,"正常",入库单!$C$4:$C$2503,"&gt;="&amp;账期起,入库单!$C$4:$C$2503,"&lt;="&amp;账期止))</f>
        <v/>
      </c>
      <c r="J1190" s="26">
        <f>IF($A1190="","",SUMIFS(入库单!$V$4:$V$2503,入库单!$G$4:$G$2503,$A1190,入库单!$X$4:$X$2503,"采购入库",入库单!$Z$4:$Z$2503,"正常",入库单!$C$4:$C$2503,"&gt;="&amp;账期起,入库单!$C$4:$C$2503,"&lt;="&amp;账期止))</f>
        <v/>
      </c>
      <c r="K1190" s="26">
        <f>IF($A1190="","",IFERROR(ROUND((N($H1190)+N($J1190))/(N($G1190)+N($I1190)),2),0))</f>
        <v/>
      </c>
      <c r="L1190" s="27">
        <f>IF($A1190="","",SUMIFS(入库单!$K$4:$K$2503,入库单!$G$4:$G$2503,$A1190,入库单!$X$4:$X$2503,"盘盈",入库单!$Z$4:$Z$2503,"正常",入库单!$C$4:$C$2503,"&gt;="&amp;账期起,入库单!$C$4:$C$2503,"&lt;="&amp;账期止))</f>
        <v/>
      </c>
      <c r="M1190" s="26">
        <f>IF($A1190="","",ROUND($L1190*$K1190,0))</f>
        <v/>
      </c>
      <c r="N1190" s="27">
        <f>IF($A1190="","",SUMIFS(入库单!$K$4:$K$2503,入库单!$G$4:$G$2503,$A1190,入库单!$X$4:$X$2503,"矿区退库",入库单!$Z$4:$Z$2503,"正常",入库单!$C$4:$C$2503,"&gt;="&amp;账期起,入库单!$C$4:$C$2503,"&lt;="&amp;账期止))</f>
        <v/>
      </c>
      <c r="O1190" s="26">
        <f>IF($A1190="","",ROUND($N1190*$K1190,0))</f>
        <v/>
      </c>
      <c r="P1190" s="27">
        <f>IF($A1190="","",SUMIFS(出库单!$J$4:$J$4003,出库单!$D$4:$D$4003,$A1190,出库单!$K$4:$K$4003,"自用消耗",出库单!$U$4:$U$4003,"正常",出库单!$C$4:$C$4003,"&gt;="&amp;账期起,出库单!$C$4:$C$4003,"&lt;="&amp;账期止))</f>
        <v/>
      </c>
      <c r="Q1190" s="26">
        <f>IF($A1190="","",ROUND(SUMIFS(出库单!$S$4:$S$4003,出库单!$D$4:$D$4003,$A1190,出库单!$K$4:$K$4003,"自用消耗",出库单!$U$4:$U$4003,"正常",出库单!$C$4:$C$4003,"&gt;="&amp;账期起,出库单!$C$4:$C$4003,"&lt;="&amp;账期止),0))</f>
        <v/>
      </c>
      <c r="R1190" s="27">
        <f>IF($A1190="","",SUMIFS(出库单!$J$4:$J$4003,出库单!$D$4:$D$4003,$A1190,出库单!$K$4:$K$4003,"对外销售",出库单!$U$4:$U$4003,"正常",出库单!$C$4:$C$4003,"&gt;="&amp;账期起,出库单!$C$4:$C$4003,"&lt;="&amp;账期止))</f>
        <v/>
      </c>
      <c r="S1190" s="26">
        <f>IF($A1190="","",ROUND(SUMIFS(出库单!$S$4:$S$4003,出库单!$D$4:$D$4003,$A1190,出库单!$K$4:$K$4003,"对外销售",出库单!$U$4:$U$4003,"正常",出库单!$C$4:$C$4003,"&gt;="&amp;账期起,出库单!$C$4:$C$4003,"&lt;="&amp;账期止),0))</f>
        <v/>
      </c>
      <c r="T1190" s="27">
        <f>IF($A1190="","",SUMIFS(出库单!$J$4:$J$4003,出库单!$D$4:$D$4003,$A1190,出库单!$K$4:$K$4003,"盘亏",出库单!$U$4:$U$4003,"正常",出库单!$C$4:$C$4003,"&gt;="&amp;账期起,出库单!$C$4:$C$4003,"&lt;="&amp;账期止))</f>
        <v/>
      </c>
      <c r="U1190" s="26">
        <f>IF($A1190="","",ROUND(SUMIFS(出库单!$S$4:$S$4003,出库单!$D$4:$D$4003,$A1190,出库单!$K$4:$K$4003,"盘亏",出库单!$U$4:$U$4003,"正常",出库单!$C$4:$C$4003,"&gt;="&amp;账期起,出库单!$C$4:$C$4003,"&lt;="&amp;账期止),0))</f>
        <v/>
      </c>
      <c r="V1190" s="27">
        <f>IF($A1190="","",SUMIFS(出库单!$J$4:$J$4003,出库单!$D$4:$D$4003,$A1190,出库单!$K$4:$K$4003,"退货给供应商",出库单!$U$4:$U$4003,"正常",出库单!$C$4:$C$4003,"&gt;="&amp;账期起,出库单!$C$4:$C$4003,"&lt;="&amp;账期止))</f>
        <v/>
      </c>
      <c r="W1190" s="26">
        <f>IF($A1190="","",ROUND(SUMIFS(出库单!$S$4:$S$4003,出库单!$D$4:$D$4003,$A1190,出库单!$K$4:$K$4003,"退货给供应商",出库单!$U$4:$U$4003,"正常",出库单!$C$4:$C$4003,"&gt;="&amp;账期起,出库单!$C$4:$C$4003,"&lt;="&amp;账期止),0))</f>
        <v/>
      </c>
      <c r="X1190" s="27">
        <f>IF($A1190="","",ROUND(N($G1190)+$I1190+$L1190+$N1190-$P1190-$R1190-$T1190-$V1190,3))</f>
        <v/>
      </c>
      <c r="Y1190" s="26">
        <f>IF($A1190="","",ROUND(N($H1190)+$J1190+$M1190+$O1190-$Q1190-$S1190-$U1190-$W1190,0))</f>
        <v/>
      </c>
      <c r="Z1190" s="24">
        <f>IF($A1190="","",IF(COUNTIFS(入库单!$G$4:$G$2503,$A1190,入库单!$Y$4:$Y$2503,"待补价")+COUNTIFS(入库单!$G$4:$G$2503,$A1190,入库单!$Y$4:$Y$2503,"暂估")&gt;0,"不可信","可信"))</f>
        <v/>
      </c>
      <c r="AA1190" s="24">
        <f>IF($A1190="","",IF($X1190&lt;-0.001,"※账面负库存，查一下是不是漏记入库",IF(AND(ROUND($X1190,3)=0,ABS($Y1190)&gt;1),"※数量已经是 0，金额还挂着 "&amp;TEXT($Y1190,"#,##0")&amp;" 先令",IF(AND($X1190&gt;0,$Y1190&lt;=0,$K1190=0),"※有数量没金额（这个物料一直没填过进价）",IF($Z1190="不可信","△成本含待补价/暂估，毛利仅供参考","")))))</f>
        <v/>
      </c>
    </row>
    <row r="1191">
      <c r="A1191" s="24">
        <f>IF(物料档案!$A1190="","",物料档案!$A1190)</f>
        <v/>
      </c>
      <c r="B1191" s="24">
        <f>IF($A1191="","",IFERROR(VLOOKUP($A1191,物料档案!$A$4:$P$1203,3,0),""))</f>
        <v/>
      </c>
      <c r="C1191" s="24">
        <f>IF($A1191="","",IFERROR(VLOOKUP($A1191,物料档案!$A$4:$P$1203,4,0),""))</f>
        <v/>
      </c>
      <c r="D1191" s="24">
        <f>IF($A1191="","",IFERROR(VLOOKUP($A1191,物料档案!$A$4:$P$1203,5,0),""))</f>
        <v/>
      </c>
      <c r="E1191" s="24">
        <f>IF($A1191="","",IFERROR(VLOOKUP($A1191,物料档案!$A$4:$P$1203,2,0),""))</f>
        <v/>
      </c>
      <c r="F1191" s="24">
        <f>IF($A1191="","",IFERROR(VLOOKUP($A1191,物料档案!$A$4:$P$1203,6,0),""))</f>
        <v/>
      </c>
      <c r="G1191" s="23" t="n"/>
      <c r="H1191" s="32" t="n"/>
      <c r="I1191" s="27">
        <f>IF($A1191="","",SUMIFS(入库单!$K$4:$K$2503,入库单!$G$4:$G$2503,$A1191,入库单!$X$4:$X$2503,"采购入库",入库单!$Z$4:$Z$2503,"正常",入库单!$C$4:$C$2503,"&gt;="&amp;账期起,入库单!$C$4:$C$2503,"&lt;="&amp;账期止))</f>
        <v/>
      </c>
      <c r="J1191" s="26">
        <f>IF($A1191="","",SUMIFS(入库单!$V$4:$V$2503,入库单!$G$4:$G$2503,$A1191,入库单!$X$4:$X$2503,"采购入库",入库单!$Z$4:$Z$2503,"正常",入库单!$C$4:$C$2503,"&gt;="&amp;账期起,入库单!$C$4:$C$2503,"&lt;="&amp;账期止))</f>
        <v/>
      </c>
      <c r="K1191" s="26">
        <f>IF($A1191="","",IFERROR(ROUND((N($H1191)+N($J1191))/(N($G1191)+N($I1191)),2),0))</f>
        <v/>
      </c>
      <c r="L1191" s="27">
        <f>IF($A1191="","",SUMIFS(入库单!$K$4:$K$2503,入库单!$G$4:$G$2503,$A1191,入库单!$X$4:$X$2503,"盘盈",入库单!$Z$4:$Z$2503,"正常",入库单!$C$4:$C$2503,"&gt;="&amp;账期起,入库单!$C$4:$C$2503,"&lt;="&amp;账期止))</f>
        <v/>
      </c>
      <c r="M1191" s="26">
        <f>IF($A1191="","",ROUND($L1191*$K1191,0))</f>
        <v/>
      </c>
      <c r="N1191" s="27">
        <f>IF($A1191="","",SUMIFS(入库单!$K$4:$K$2503,入库单!$G$4:$G$2503,$A1191,入库单!$X$4:$X$2503,"矿区退库",入库单!$Z$4:$Z$2503,"正常",入库单!$C$4:$C$2503,"&gt;="&amp;账期起,入库单!$C$4:$C$2503,"&lt;="&amp;账期止))</f>
        <v/>
      </c>
      <c r="O1191" s="26">
        <f>IF($A1191="","",ROUND($N1191*$K1191,0))</f>
        <v/>
      </c>
      <c r="P1191" s="27">
        <f>IF($A1191="","",SUMIFS(出库单!$J$4:$J$4003,出库单!$D$4:$D$4003,$A1191,出库单!$K$4:$K$4003,"自用消耗",出库单!$U$4:$U$4003,"正常",出库单!$C$4:$C$4003,"&gt;="&amp;账期起,出库单!$C$4:$C$4003,"&lt;="&amp;账期止))</f>
        <v/>
      </c>
      <c r="Q1191" s="26">
        <f>IF($A1191="","",ROUND(SUMIFS(出库单!$S$4:$S$4003,出库单!$D$4:$D$4003,$A1191,出库单!$K$4:$K$4003,"自用消耗",出库单!$U$4:$U$4003,"正常",出库单!$C$4:$C$4003,"&gt;="&amp;账期起,出库单!$C$4:$C$4003,"&lt;="&amp;账期止),0))</f>
        <v/>
      </c>
      <c r="R1191" s="27">
        <f>IF($A1191="","",SUMIFS(出库单!$J$4:$J$4003,出库单!$D$4:$D$4003,$A1191,出库单!$K$4:$K$4003,"对外销售",出库单!$U$4:$U$4003,"正常",出库单!$C$4:$C$4003,"&gt;="&amp;账期起,出库单!$C$4:$C$4003,"&lt;="&amp;账期止))</f>
        <v/>
      </c>
      <c r="S1191" s="26">
        <f>IF($A1191="","",ROUND(SUMIFS(出库单!$S$4:$S$4003,出库单!$D$4:$D$4003,$A1191,出库单!$K$4:$K$4003,"对外销售",出库单!$U$4:$U$4003,"正常",出库单!$C$4:$C$4003,"&gt;="&amp;账期起,出库单!$C$4:$C$4003,"&lt;="&amp;账期止),0))</f>
        <v/>
      </c>
      <c r="T1191" s="27">
        <f>IF($A1191="","",SUMIFS(出库单!$J$4:$J$4003,出库单!$D$4:$D$4003,$A1191,出库单!$K$4:$K$4003,"盘亏",出库单!$U$4:$U$4003,"正常",出库单!$C$4:$C$4003,"&gt;="&amp;账期起,出库单!$C$4:$C$4003,"&lt;="&amp;账期止))</f>
        <v/>
      </c>
      <c r="U1191" s="26">
        <f>IF($A1191="","",ROUND(SUMIFS(出库单!$S$4:$S$4003,出库单!$D$4:$D$4003,$A1191,出库单!$K$4:$K$4003,"盘亏",出库单!$U$4:$U$4003,"正常",出库单!$C$4:$C$4003,"&gt;="&amp;账期起,出库单!$C$4:$C$4003,"&lt;="&amp;账期止),0))</f>
        <v/>
      </c>
      <c r="V1191" s="27">
        <f>IF($A1191="","",SUMIFS(出库单!$J$4:$J$4003,出库单!$D$4:$D$4003,$A1191,出库单!$K$4:$K$4003,"退货给供应商",出库单!$U$4:$U$4003,"正常",出库单!$C$4:$C$4003,"&gt;="&amp;账期起,出库单!$C$4:$C$4003,"&lt;="&amp;账期止))</f>
        <v/>
      </c>
      <c r="W1191" s="26">
        <f>IF($A1191="","",ROUND(SUMIFS(出库单!$S$4:$S$4003,出库单!$D$4:$D$4003,$A1191,出库单!$K$4:$K$4003,"退货给供应商",出库单!$U$4:$U$4003,"正常",出库单!$C$4:$C$4003,"&gt;="&amp;账期起,出库单!$C$4:$C$4003,"&lt;="&amp;账期止),0))</f>
        <v/>
      </c>
      <c r="X1191" s="27">
        <f>IF($A1191="","",ROUND(N($G1191)+$I1191+$L1191+$N1191-$P1191-$R1191-$T1191-$V1191,3))</f>
        <v/>
      </c>
      <c r="Y1191" s="26">
        <f>IF($A1191="","",ROUND(N($H1191)+$J1191+$M1191+$O1191-$Q1191-$S1191-$U1191-$W1191,0))</f>
        <v/>
      </c>
      <c r="Z1191" s="24">
        <f>IF($A1191="","",IF(COUNTIFS(入库单!$G$4:$G$2503,$A1191,入库单!$Y$4:$Y$2503,"待补价")+COUNTIFS(入库单!$G$4:$G$2503,$A1191,入库单!$Y$4:$Y$2503,"暂估")&gt;0,"不可信","可信"))</f>
        <v/>
      </c>
      <c r="AA1191" s="24">
        <f>IF($A1191="","",IF($X1191&lt;-0.001,"※账面负库存，查一下是不是漏记入库",IF(AND(ROUND($X1191,3)=0,ABS($Y1191)&gt;1),"※数量已经是 0，金额还挂着 "&amp;TEXT($Y1191,"#,##0")&amp;" 先令",IF(AND($X1191&gt;0,$Y1191&lt;=0,$K1191=0),"※有数量没金额（这个物料一直没填过进价）",IF($Z1191="不可信","△成本含待补价/暂估，毛利仅供参考","")))))</f>
        <v/>
      </c>
    </row>
    <row r="1192">
      <c r="A1192" s="24">
        <f>IF(物料档案!$A1191="","",物料档案!$A1191)</f>
        <v/>
      </c>
      <c r="B1192" s="24">
        <f>IF($A1192="","",IFERROR(VLOOKUP($A1192,物料档案!$A$4:$P$1203,3,0),""))</f>
        <v/>
      </c>
      <c r="C1192" s="24">
        <f>IF($A1192="","",IFERROR(VLOOKUP($A1192,物料档案!$A$4:$P$1203,4,0),""))</f>
        <v/>
      </c>
      <c r="D1192" s="24">
        <f>IF($A1192="","",IFERROR(VLOOKUP($A1192,物料档案!$A$4:$P$1203,5,0),""))</f>
        <v/>
      </c>
      <c r="E1192" s="24">
        <f>IF($A1192="","",IFERROR(VLOOKUP($A1192,物料档案!$A$4:$P$1203,2,0),""))</f>
        <v/>
      </c>
      <c r="F1192" s="24">
        <f>IF($A1192="","",IFERROR(VLOOKUP($A1192,物料档案!$A$4:$P$1203,6,0),""))</f>
        <v/>
      </c>
      <c r="G1192" s="23" t="n"/>
      <c r="H1192" s="32" t="n"/>
      <c r="I1192" s="27">
        <f>IF($A1192="","",SUMIFS(入库单!$K$4:$K$2503,入库单!$G$4:$G$2503,$A1192,入库单!$X$4:$X$2503,"采购入库",入库单!$Z$4:$Z$2503,"正常",入库单!$C$4:$C$2503,"&gt;="&amp;账期起,入库单!$C$4:$C$2503,"&lt;="&amp;账期止))</f>
        <v/>
      </c>
      <c r="J1192" s="26">
        <f>IF($A1192="","",SUMIFS(入库单!$V$4:$V$2503,入库单!$G$4:$G$2503,$A1192,入库单!$X$4:$X$2503,"采购入库",入库单!$Z$4:$Z$2503,"正常",入库单!$C$4:$C$2503,"&gt;="&amp;账期起,入库单!$C$4:$C$2503,"&lt;="&amp;账期止))</f>
        <v/>
      </c>
      <c r="K1192" s="26">
        <f>IF($A1192="","",IFERROR(ROUND((N($H1192)+N($J1192))/(N($G1192)+N($I1192)),2),0))</f>
        <v/>
      </c>
      <c r="L1192" s="27">
        <f>IF($A1192="","",SUMIFS(入库单!$K$4:$K$2503,入库单!$G$4:$G$2503,$A1192,入库单!$X$4:$X$2503,"盘盈",入库单!$Z$4:$Z$2503,"正常",入库单!$C$4:$C$2503,"&gt;="&amp;账期起,入库单!$C$4:$C$2503,"&lt;="&amp;账期止))</f>
        <v/>
      </c>
      <c r="M1192" s="26">
        <f>IF($A1192="","",ROUND($L1192*$K1192,0))</f>
        <v/>
      </c>
      <c r="N1192" s="27">
        <f>IF($A1192="","",SUMIFS(入库单!$K$4:$K$2503,入库单!$G$4:$G$2503,$A1192,入库单!$X$4:$X$2503,"矿区退库",入库单!$Z$4:$Z$2503,"正常",入库单!$C$4:$C$2503,"&gt;="&amp;账期起,入库单!$C$4:$C$2503,"&lt;="&amp;账期止))</f>
        <v/>
      </c>
      <c r="O1192" s="26">
        <f>IF($A1192="","",ROUND($N1192*$K1192,0))</f>
        <v/>
      </c>
      <c r="P1192" s="27">
        <f>IF($A1192="","",SUMIFS(出库单!$J$4:$J$4003,出库单!$D$4:$D$4003,$A1192,出库单!$K$4:$K$4003,"自用消耗",出库单!$U$4:$U$4003,"正常",出库单!$C$4:$C$4003,"&gt;="&amp;账期起,出库单!$C$4:$C$4003,"&lt;="&amp;账期止))</f>
        <v/>
      </c>
      <c r="Q1192" s="26">
        <f>IF($A1192="","",ROUND(SUMIFS(出库单!$S$4:$S$4003,出库单!$D$4:$D$4003,$A1192,出库单!$K$4:$K$4003,"自用消耗",出库单!$U$4:$U$4003,"正常",出库单!$C$4:$C$4003,"&gt;="&amp;账期起,出库单!$C$4:$C$4003,"&lt;="&amp;账期止),0))</f>
        <v/>
      </c>
      <c r="R1192" s="27">
        <f>IF($A1192="","",SUMIFS(出库单!$J$4:$J$4003,出库单!$D$4:$D$4003,$A1192,出库单!$K$4:$K$4003,"对外销售",出库单!$U$4:$U$4003,"正常",出库单!$C$4:$C$4003,"&gt;="&amp;账期起,出库单!$C$4:$C$4003,"&lt;="&amp;账期止))</f>
        <v/>
      </c>
      <c r="S1192" s="26">
        <f>IF($A1192="","",ROUND(SUMIFS(出库单!$S$4:$S$4003,出库单!$D$4:$D$4003,$A1192,出库单!$K$4:$K$4003,"对外销售",出库单!$U$4:$U$4003,"正常",出库单!$C$4:$C$4003,"&gt;="&amp;账期起,出库单!$C$4:$C$4003,"&lt;="&amp;账期止),0))</f>
        <v/>
      </c>
      <c r="T1192" s="27">
        <f>IF($A1192="","",SUMIFS(出库单!$J$4:$J$4003,出库单!$D$4:$D$4003,$A1192,出库单!$K$4:$K$4003,"盘亏",出库单!$U$4:$U$4003,"正常",出库单!$C$4:$C$4003,"&gt;="&amp;账期起,出库单!$C$4:$C$4003,"&lt;="&amp;账期止))</f>
        <v/>
      </c>
      <c r="U1192" s="26">
        <f>IF($A1192="","",ROUND(SUMIFS(出库单!$S$4:$S$4003,出库单!$D$4:$D$4003,$A1192,出库单!$K$4:$K$4003,"盘亏",出库单!$U$4:$U$4003,"正常",出库单!$C$4:$C$4003,"&gt;="&amp;账期起,出库单!$C$4:$C$4003,"&lt;="&amp;账期止),0))</f>
        <v/>
      </c>
      <c r="V1192" s="27">
        <f>IF($A1192="","",SUMIFS(出库单!$J$4:$J$4003,出库单!$D$4:$D$4003,$A1192,出库单!$K$4:$K$4003,"退货给供应商",出库单!$U$4:$U$4003,"正常",出库单!$C$4:$C$4003,"&gt;="&amp;账期起,出库单!$C$4:$C$4003,"&lt;="&amp;账期止))</f>
        <v/>
      </c>
      <c r="W1192" s="26">
        <f>IF($A1192="","",ROUND(SUMIFS(出库单!$S$4:$S$4003,出库单!$D$4:$D$4003,$A1192,出库单!$K$4:$K$4003,"退货给供应商",出库单!$U$4:$U$4003,"正常",出库单!$C$4:$C$4003,"&gt;="&amp;账期起,出库单!$C$4:$C$4003,"&lt;="&amp;账期止),0))</f>
        <v/>
      </c>
      <c r="X1192" s="27">
        <f>IF($A1192="","",ROUND(N($G1192)+$I1192+$L1192+$N1192-$P1192-$R1192-$T1192-$V1192,3))</f>
        <v/>
      </c>
      <c r="Y1192" s="26">
        <f>IF($A1192="","",ROUND(N($H1192)+$J1192+$M1192+$O1192-$Q1192-$S1192-$U1192-$W1192,0))</f>
        <v/>
      </c>
      <c r="Z1192" s="24">
        <f>IF($A1192="","",IF(COUNTIFS(入库单!$G$4:$G$2503,$A1192,入库单!$Y$4:$Y$2503,"待补价")+COUNTIFS(入库单!$G$4:$G$2503,$A1192,入库单!$Y$4:$Y$2503,"暂估")&gt;0,"不可信","可信"))</f>
        <v/>
      </c>
      <c r="AA1192" s="24">
        <f>IF($A1192="","",IF($X1192&lt;-0.001,"※账面负库存，查一下是不是漏记入库",IF(AND(ROUND($X1192,3)=0,ABS($Y1192)&gt;1),"※数量已经是 0，金额还挂着 "&amp;TEXT($Y1192,"#,##0")&amp;" 先令",IF(AND($X1192&gt;0,$Y1192&lt;=0,$K1192=0),"※有数量没金额（这个物料一直没填过进价）",IF($Z1192="不可信","△成本含待补价/暂估，毛利仅供参考","")))))</f>
        <v/>
      </c>
    </row>
    <row r="1193">
      <c r="A1193" s="24">
        <f>IF(物料档案!$A1192="","",物料档案!$A1192)</f>
        <v/>
      </c>
      <c r="B1193" s="24">
        <f>IF($A1193="","",IFERROR(VLOOKUP($A1193,物料档案!$A$4:$P$1203,3,0),""))</f>
        <v/>
      </c>
      <c r="C1193" s="24">
        <f>IF($A1193="","",IFERROR(VLOOKUP($A1193,物料档案!$A$4:$P$1203,4,0),""))</f>
        <v/>
      </c>
      <c r="D1193" s="24">
        <f>IF($A1193="","",IFERROR(VLOOKUP($A1193,物料档案!$A$4:$P$1203,5,0),""))</f>
        <v/>
      </c>
      <c r="E1193" s="24">
        <f>IF($A1193="","",IFERROR(VLOOKUP($A1193,物料档案!$A$4:$P$1203,2,0),""))</f>
        <v/>
      </c>
      <c r="F1193" s="24">
        <f>IF($A1193="","",IFERROR(VLOOKUP($A1193,物料档案!$A$4:$P$1203,6,0),""))</f>
        <v/>
      </c>
      <c r="G1193" s="23" t="n"/>
      <c r="H1193" s="32" t="n"/>
      <c r="I1193" s="27">
        <f>IF($A1193="","",SUMIFS(入库单!$K$4:$K$2503,入库单!$G$4:$G$2503,$A1193,入库单!$X$4:$X$2503,"采购入库",入库单!$Z$4:$Z$2503,"正常",入库单!$C$4:$C$2503,"&gt;="&amp;账期起,入库单!$C$4:$C$2503,"&lt;="&amp;账期止))</f>
        <v/>
      </c>
      <c r="J1193" s="26">
        <f>IF($A1193="","",SUMIFS(入库单!$V$4:$V$2503,入库单!$G$4:$G$2503,$A1193,入库单!$X$4:$X$2503,"采购入库",入库单!$Z$4:$Z$2503,"正常",入库单!$C$4:$C$2503,"&gt;="&amp;账期起,入库单!$C$4:$C$2503,"&lt;="&amp;账期止))</f>
        <v/>
      </c>
      <c r="K1193" s="26">
        <f>IF($A1193="","",IFERROR(ROUND((N($H1193)+N($J1193))/(N($G1193)+N($I1193)),2),0))</f>
        <v/>
      </c>
      <c r="L1193" s="27">
        <f>IF($A1193="","",SUMIFS(入库单!$K$4:$K$2503,入库单!$G$4:$G$2503,$A1193,入库单!$X$4:$X$2503,"盘盈",入库单!$Z$4:$Z$2503,"正常",入库单!$C$4:$C$2503,"&gt;="&amp;账期起,入库单!$C$4:$C$2503,"&lt;="&amp;账期止))</f>
        <v/>
      </c>
      <c r="M1193" s="26">
        <f>IF($A1193="","",ROUND($L1193*$K1193,0))</f>
        <v/>
      </c>
      <c r="N1193" s="27">
        <f>IF($A1193="","",SUMIFS(入库单!$K$4:$K$2503,入库单!$G$4:$G$2503,$A1193,入库单!$X$4:$X$2503,"矿区退库",入库单!$Z$4:$Z$2503,"正常",入库单!$C$4:$C$2503,"&gt;="&amp;账期起,入库单!$C$4:$C$2503,"&lt;="&amp;账期止))</f>
        <v/>
      </c>
      <c r="O1193" s="26">
        <f>IF($A1193="","",ROUND($N1193*$K1193,0))</f>
        <v/>
      </c>
      <c r="P1193" s="27">
        <f>IF($A1193="","",SUMIFS(出库单!$J$4:$J$4003,出库单!$D$4:$D$4003,$A1193,出库单!$K$4:$K$4003,"自用消耗",出库单!$U$4:$U$4003,"正常",出库单!$C$4:$C$4003,"&gt;="&amp;账期起,出库单!$C$4:$C$4003,"&lt;="&amp;账期止))</f>
        <v/>
      </c>
      <c r="Q1193" s="26">
        <f>IF($A1193="","",ROUND(SUMIFS(出库单!$S$4:$S$4003,出库单!$D$4:$D$4003,$A1193,出库单!$K$4:$K$4003,"自用消耗",出库单!$U$4:$U$4003,"正常",出库单!$C$4:$C$4003,"&gt;="&amp;账期起,出库单!$C$4:$C$4003,"&lt;="&amp;账期止),0))</f>
        <v/>
      </c>
      <c r="R1193" s="27">
        <f>IF($A1193="","",SUMIFS(出库单!$J$4:$J$4003,出库单!$D$4:$D$4003,$A1193,出库单!$K$4:$K$4003,"对外销售",出库单!$U$4:$U$4003,"正常",出库单!$C$4:$C$4003,"&gt;="&amp;账期起,出库单!$C$4:$C$4003,"&lt;="&amp;账期止))</f>
        <v/>
      </c>
      <c r="S1193" s="26">
        <f>IF($A1193="","",ROUND(SUMIFS(出库单!$S$4:$S$4003,出库单!$D$4:$D$4003,$A1193,出库单!$K$4:$K$4003,"对外销售",出库单!$U$4:$U$4003,"正常",出库单!$C$4:$C$4003,"&gt;="&amp;账期起,出库单!$C$4:$C$4003,"&lt;="&amp;账期止),0))</f>
        <v/>
      </c>
      <c r="T1193" s="27">
        <f>IF($A1193="","",SUMIFS(出库单!$J$4:$J$4003,出库单!$D$4:$D$4003,$A1193,出库单!$K$4:$K$4003,"盘亏",出库单!$U$4:$U$4003,"正常",出库单!$C$4:$C$4003,"&gt;="&amp;账期起,出库单!$C$4:$C$4003,"&lt;="&amp;账期止))</f>
        <v/>
      </c>
      <c r="U1193" s="26">
        <f>IF($A1193="","",ROUND(SUMIFS(出库单!$S$4:$S$4003,出库单!$D$4:$D$4003,$A1193,出库单!$K$4:$K$4003,"盘亏",出库单!$U$4:$U$4003,"正常",出库单!$C$4:$C$4003,"&gt;="&amp;账期起,出库单!$C$4:$C$4003,"&lt;="&amp;账期止),0))</f>
        <v/>
      </c>
      <c r="V1193" s="27">
        <f>IF($A1193="","",SUMIFS(出库单!$J$4:$J$4003,出库单!$D$4:$D$4003,$A1193,出库单!$K$4:$K$4003,"退货给供应商",出库单!$U$4:$U$4003,"正常",出库单!$C$4:$C$4003,"&gt;="&amp;账期起,出库单!$C$4:$C$4003,"&lt;="&amp;账期止))</f>
        <v/>
      </c>
      <c r="W1193" s="26">
        <f>IF($A1193="","",ROUND(SUMIFS(出库单!$S$4:$S$4003,出库单!$D$4:$D$4003,$A1193,出库单!$K$4:$K$4003,"退货给供应商",出库单!$U$4:$U$4003,"正常",出库单!$C$4:$C$4003,"&gt;="&amp;账期起,出库单!$C$4:$C$4003,"&lt;="&amp;账期止),0))</f>
        <v/>
      </c>
      <c r="X1193" s="27">
        <f>IF($A1193="","",ROUND(N($G1193)+$I1193+$L1193+$N1193-$P1193-$R1193-$T1193-$V1193,3))</f>
        <v/>
      </c>
      <c r="Y1193" s="26">
        <f>IF($A1193="","",ROUND(N($H1193)+$J1193+$M1193+$O1193-$Q1193-$S1193-$U1193-$W1193,0))</f>
        <v/>
      </c>
      <c r="Z1193" s="24">
        <f>IF($A1193="","",IF(COUNTIFS(入库单!$G$4:$G$2503,$A1193,入库单!$Y$4:$Y$2503,"待补价")+COUNTIFS(入库单!$G$4:$G$2503,$A1193,入库单!$Y$4:$Y$2503,"暂估")&gt;0,"不可信","可信"))</f>
        <v/>
      </c>
      <c r="AA1193" s="24">
        <f>IF($A1193="","",IF($X1193&lt;-0.001,"※账面负库存，查一下是不是漏记入库",IF(AND(ROUND($X1193,3)=0,ABS($Y1193)&gt;1),"※数量已经是 0，金额还挂着 "&amp;TEXT($Y1193,"#,##0")&amp;" 先令",IF(AND($X1193&gt;0,$Y1193&lt;=0,$K1193=0),"※有数量没金额（这个物料一直没填过进价）",IF($Z1193="不可信","△成本含待补价/暂估，毛利仅供参考","")))))</f>
        <v/>
      </c>
    </row>
    <row r="1194">
      <c r="A1194" s="24">
        <f>IF(物料档案!$A1193="","",物料档案!$A1193)</f>
        <v/>
      </c>
      <c r="B1194" s="24">
        <f>IF($A1194="","",IFERROR(VLOOKUP($A1194,物料档案!$A$4:$P$1203,3,0),""))</f>
        <v/>
      </c>
      <c r="C1194" s="24">
        <f>IF($A1194="","",IFERROR(VLOOKUP($A1194,物料档案!$A$4:$P$1203,4,0),""))</f>
        <v/>
      </c>
      <c r="D1194" s="24">
        <f>IF($A1194="","",IFERROR(VLOOKUP($A1194,物料档案!$A$4:$P$1203,5,0),""))</f>
        <v/>
      </c>
      <c r="E1194" s="24">
        <f>IF($A1194="","",IFERROR(VLOOKUP($A1194,物料档案!$A$4:$P$1203,2,0),""))</f>
        <v/>
      </c>
      <c r="F1194" s="24">
        <f>IF($A1194="","",IFERROR(VLOOKUP($A1194,物料档案!$A$4:$P$1203,6,0),""))</f>
        <v/>
      </c>
      <c r="G1194" s="23" t="n"/>
      <c r="H1194" s="32" t="n"/>
      <c r="I1194" s="27">
        <f>IF($A1194="","",SUMIFS(入库单!$K$4:$K$2503,入库单!$G$4:$G$2503,$A1194,入库单!$X$4:$X$2503,"采购入库",入库单!$Z$4:$Z$2503,"正常",入库单!$C$4:$C$2503,"&gt;="&amp;账期起,入库单!$C$4:$C$2503,"&lt;="&amp;账期止))</f>
        <v/>
      </c>
      <c r="J1194" s="26">
        <f>IF($A1194="","",SUMIFS(入库单!$V$4:$V$2503,入库单!$G$4:$G$2503,$A1194,入库单!$X$4:$X$2503,"采购入库",入库单!$Z$4:$Z$2503,"正常",入库单!$C$4:$C$2503,"&gt;="&amp;账期起,入库单!$C$4:$C$2503,"&lt;="&amp;账期止))</f>
        <v/>
      </c>
      <c r="K1194" s="26">
        <f>IF($A1194="","",IFERROR(ROUND((N($H1194)+N($J1194))/(N($G1194)+N($I1194)),2),0))</f>
        <v/>
      </c>
      <c r="L1194" s="27">
        <f>IF($A1194="","",SUMIFS(入库单!$K$4:$K$2503,入库单!$G$4:$G$2503,$A1194,入库单!$X$4:$X$2503,"盘盈",入库单!$Z$4:$Z$2503,"正常",入库单!$C$4:$C$2503,"&gt;="&amp;账期起,入库单!$C$4:$C$2503,"&lt;="&amp;账期止))</f>
        <v/>
      </c>
      <c r="M1194" s="26">
        <f>IF($A1194="","",ROUND($L1194*$K1194,0))</f>
        <v/>
      </c>
      <c r="N1194" s="27">
        <f>IF($A1194="","",SUMIFS(入库单!$K$4:$K$2503,入库单!$G$4:$G$2503,$A1194,入库单!$X$4:$X$2503,"矿区退库",入库单!$Z$4:$Z$2503,"正常",入库单!$C$4:$C$2503,"&gt;="&amp;账期起,入库单!$C$4:$C$2503,"&lt;="&amp;账期止))</f>
        <v/>
      </c>
      <c r="O1194" s="26">
        <f>IF($A1194="","",ROUND($N1194*$K1194,0))</f>
        <v/>
      </c>
      <c r="P1194" s="27">
        <f>IF($A1194="","",SUMIFS(出库单!$J$4:$J$4003,出库单!$D$4:$D$4003,$A1194,出库单!$K$4:$K$4003,"自用消耗",出库单!$U$4:$U$4003,"正常",出库单!$C$4:$C$4003,"&gt;="&amp;账期起,出库单!$C$4:$C$4003,"&lt;="&amp;账期止))</f>
        <v/>
      </c>
      <c r="Q1194" s="26">
        <f>IF($A1194="","",ROUND(SUMIFS(出库单!$S$4:$S$4003,出库单!$D$4:$D$4003,$A1194,出库单!$K$4:$K$4003,"自用消耗",出库单!$U$4:$U$4003,"正常",出库单!$C$4:$C$4003,"&gt;="&amp;账期起,出库单!$C$4:$C$4003,"&lt;="&amp;账期止),0))</f>
        <v/>
      </c>
      <c r="R1194" s="27">
        <f>IF($A1194="","",SUMIFS(出库单!$J$4:$J$4003,出库单!$D$4:$D$4003,$A1194,出库单!$K$4:$K$4003,"对外销售",出库单!$U$4:$U$4003,"正常",出库单!$C$4:$C$4003,"&gt;="&amp;账期起,出库单!$C$4:$C$4003,"&lt;="&amp;账期止))</f>
        <v/>
      </c>
      <c r="S1194" s="26">
        <f>IF($A1194="","",ROUND(SUMIFS(出库单!$S$4:$S$4003,出库单!$D$4:$D$4003,$A1194,出库单!$K$4:$K$4003,"对外销售",出库单!$U$4:$U$4003,"正常",出库单!$C$4:$C$4003,"&gt;="&amp;账期起,出库单!$C$4:$C$4003,"&lt;="&amp;账期止),0))</f>
        <v/>
      </c>
      <c r="T1194" s="27">
        <f>IF($A1194="","",SUMIFS(出库单!$J$4:$J$4003,出库单!$D$4:$D$4003,$A1194,出库单!$K$4:$K$4003,"盘亏",出库单!$U$4:$U$4003,"正常",出库单!$C$4:$C$4003,"&gt;="&amp;账期起,出库单!$C$4:$C$4003,"&lt;="&amp;账期止))</f>
        <v/>
      </c>
      <c r="U1194" s="26">
        <f>IF($A1194="","",ROUND(SUMIFS(出库单!$S$4:$S$4003,出库单!$D$4:$D$4003,$A1194,出库单!$K$4:$K$4003,"盘亏",出库单!$U$4:$U$4003,"正常",出库单!$C$4:$C$4003,"&gt;="&amp;账期起,出库单!$C$4:$C$4003,"&lt;="&amp;账期止),0))</f>
        <v/>
      </c>
      <c r="V1194" s="27">
        <f>IF($A1194="","",SUMIFS(出库单!$J$4:$J$4003,出库单!$D$4:$D$4003,$A1194,出库单!$K$4:$K$4003,"退货给供应商",出库单!$U$4:$U$4003,"正常",出库单!$C$4:$C$4003,"&gt;="&amp;账期起,出库单!$C$4:$C$4003,"&lt;="&amp;账期止))</f>
        <v/>
      </c>
      <c r="W1194" s="26">
        <f>IF($A1194="","",ROUND(SUMIFS(出库单!$S$4:$S$4003,出库单!$D$4:$D$4003,$A1194,出库单!$K$4:$K$4003,"退货给供应商",出库单!$U$4:$U$4003,"正常",出库单!$C$4:$C$4003,"&gt;="&amp;账期起,出库单!$C$4:$C$4003,"&lt;="&amp;账期止),0))</f>
        <v/>
      </c>
      <c r="X1194" s="27">
        <f>IF($A1194="","",ROUND(N($G1194)+$I1194+$L1194+$N1194-$P1194-$R1194-$T1194-$V1194,3))</f>
        <v/>
      </c>
      <c r="Y1194" s="26">
        <f>IF($A1194="","",ROUND(N($H1194)+$J1194+$M1194+$O1194-$Q1194-$S1194-$U1194-$W1194,0))</f>
        <v/>
      </c>
      <c r="Z1194" s="24">
        <f>IF($A1194="","",IF(COUNTIFS(入库单!$G$4:$G$2503,$A1194,入库单!$Y$4:$Y$2503,"待补价")+COUNTIFS(入库单!$G$4:$G$2503,$A1194,入库单!$Y$4:$Y$2503,"暂估")&gt;0,"不可信","可信"))</f>
        <v/>
      </c>
      <c r="AA1194" s="24">
        <f>IF($A1194="","",IF($X1194&lt;-0.001,"※账面负库存，查一下是不是漏记入库",IF(AND(ROUND($X1194,3)=0,ABS($Y1194)&gt;1),"※数量已经是 0，金额还挂着 "&amp;TEXT($Y1194,"#,##0")&amp;" 先令",IF(AND($X1194&gt;0,$Y1194&lt;=0,$K1194=0),"※有数量没金额（这个物料一直没填过进价）",IF($Z1194="不可信","△成本含待补价/暂估，毛利仅供参考","")))))</f>
        <v/>
      </c>
    </row>
    <row r="1195">
      <c r="A1195" s="24">
        <f>IF(物料档案!$A1194="","",物料档案!$A1194)</f>
        <v/>
      </c>
      <c r="B1195" s="24">
        <f>IF($A1195="","",IFERROR(VLOOKUP($A1195,物料档案!$A$4:$P$1203,3,0),""))</f>
        <v/>
      </c>
      <c r="C1195" s="24">
        <f>IF($A1195="","",IFERROR(VLOOKUP($A1195,物料档案!$A$4:$P$1203,4,0),""))</f>
        <v/>
      </c>
      <c r="D1195" s="24">
        <f>IF($A1195="","",IFERROR(VLOOKUP($A1195,物料档案!$A$4:$P$1203,5,0),""))</f>
        <v/>
      </c>
      <c r="E1195" s="24">
        <f>IF($A1195="","",IFERROR(VLOOKUP($A1195,物料档案!$A$4:$P$1203,2,0),""))</f>
        <v/>
      </c>
      <c r="F1195" s="24">
        <f>IF($A1195="","",IFERROR(VLOOKUP($A1195,物料档案!$A$4:$P$1203,6,0),""))</f>
        <v/>
      </c>
      <c r="G1195" s="23" t="n"/>
      <c r="H1195" s="32" t="n"/>
      <c r="I1195" s="27">
        <f>IF($A1195="","",SUMIFS(入库单!$K$4:$K$2503,入库单!$G$4:$G$2503,$A1195,入库单!$X$4:$X$2503,"采购入库",入库单!$Z$4:$Z$2503,"正常",入库单!$C$4:$C$2503,"&gt;="&amp;账期起,入库单!$C$4:$C$2503,"&lt;="&amp;账期止))</f>
        <v/>
      </c>
      <c r="J1195" s="26">
        <f>IF($A1195="","",SUMIFS(入库单!$V$4:$V$2503,入库单!$G$4:$G$2503,$A1195,入库单!$X$4:$X$2503,"采购入库",入库单!$Z$4:$Z$2503,"正常",入库单!$C$4:$C$2503,"&gt;="&amp;账期起,入库单!$C$4:$C$2503,"&lt;="&amp;账期止))</f>
        <v/>
      </c>
      <c r="K1195" s="26">
        <f>IF($A1195="","",IFERROR(ROUND((N($H1195)+N($J1195))/(N($G1195)+N($I1195)),2),0))</f>
        <v/>
      </c>
      <c r="L1195" s="27">
        <f>IF($A1195="","",SUMIFS(入库单!$K$4:$K$2503,入库单!$G$4:$G$2503,$A1195,入库单!$X$4:$X$2503,"盘盈",入库单!$Z$4:$Z$2503,"正常",入库单!$C$4:$C$2503,"&gt;="&amp;账期起,入库单!$C$4:$C$2503,"&lt;="&amp;账期止))</f>
        <v/>
      </c>
      <c r="M1195" s="26">
        <f>IF($A1195="","",ROUND($L1195*$K1195,0))</f>
        <v/>
      </c>
      <c r="N1195" s="27">
        <f>IF($A1195="","",SUMIFS(入库单!$K$4:$K$2503,入库单!$G$4:$G$2503,$A1195,入库单!$X$4:$X$2503,"矿区退库",入库单!$Z$4:$Z$2503,"正常",入库单!$C$4:$C$2503,"&gt;="&amp;账期起,入库单!$C$4:$C$2503,"&lt;="&amp;账期止))</f>
        <v/>
      </c>
      <c r="O1195" s="26">
        <f>IF($A1195="","",ROUND($N1195*$K1195,0))</f>
        <v/>
      </c>
      <c r="P1195" s="27">
        <f>IF($A1195="","",SUMIFS(出库单!$J$4:$J$4003,出库单!$D$4:$D$4003,$A1195,出库单!$K$4:$K$4003,"自用消耗",出库单!$U$4:$U$4003,"正常",出库单!$C$4:$C$4003,"&gt;="&amp;账期起,出库单!$C$4:$C$4003,"&lt;="&amp;账期止))</f>
        <v/>
      </c>
      <c r="Q1195" s="26">
        <f>IF($A1195="","",ROUND(SUMIFS(出库单!$S$4:$S$4003,出库单!$D$4:$D$4003,$A1195,出库单!$K$4:$K$4003,"自用消耗",出库单!$U$4:$U$4003,"正常",出库单!$C$4:$C$4003,"&gt;="&amp;账期起,出库单!$C$4:$C$4003,"&lt;="&amp;账期止),0))</f>
        <v/>
      </c>
      <c r="R1195" s="27">
        <f>IF($A1195="","",SUMIFS(出库单!$J$4:$J$4003,出库单!$D$4:$D$4003,$A1195,出库单!$K$4:$K$4003,"对外销售",出库单!$U$4:$U$4003,"正常",出库单!$C$4:$C$4003,"&gt;="&amp;账期起,出库单!$C$4:$C$4003,"&lt;="&amp;账期止))</f>
        <v/>
      </c>
      <c r="S1195" s="26">
        <f>IF($A1195="","",ROUND(SUMIFS(出库单!$S$4:$S$4003,出库单!$D$4:$D$4003,$A1195,出库单!$K$4:$K$4003,"对外销售",出库单!$U$4:$U$4003,"正常",出库单!$C$4:$C$4003,"&gt;="&amp;账期起,出库单!$C$4:$C$4003,"&lt;="&amp;账期止),0))</f>
        <v/>
      </c>
      <c r="T1195" s="27">
        <f>IF($A1195="","",SUMIFS(出库单!$J$4:$J$4003,出库单!$D$4:$D$4003,$A1195,出库单!$K$4:$K$4003,"盘亏",出库单!$U$4:$U$4003,"正常",出库单!$C$4:$C$4003,"&gt;="&amp;账期起,出库单!$C$4:$C$4003,"&lt;="&amp;账期止))</f>
        <v/>
      </c>
      <c r="U1195" s="26">
        <f>IF($A1195="","",ROUND(SUMIFS(出库单!$S$4:$S$4003,出库单!$D$4:$D$4003,$A1195,出库单!$K$4:$K$4003,"盘亏",出库单!$U$4:$U$4003,"正常",出库单!$C$4:$C$4003,"&gt;="&amp;账期起,出库单!$C$4:$C$4003,"&lt;="&amp;账期止),0))</f>
        <v/>
      </c>
      <c r="V1195" s="27">
        <f>IF($A1195="","",SUMIFS(出库单!$J$4:$J$4003,出库单!$D$4:$D$4003,$A1195,出库单!$K$4:$K$4003,"退货给供应商",出库单!$U$4:$U$4003,"正常",出库单!$C$4:$C$4003,"&gt;="&amp;账期起,出库单!$C$4:$C$4003,"&lt;="&amp;账期止))</f>
        <v/>
      </c>
      <c r="W1195" s="26">
        <f>IF($A1195="","",ROUND(SUMIFS(出库单!$S$4:$S$4003,出库单!$D$4:$D$4003,$A1195,出库单!$K$4:$K$4003,"退货给供应商",出库单!$U$4:$U$4003,"正常",出库单!$C$4:$C$4003,"&gt;="&amp;账期起,出库单!$C$4:$C$4003,"&lt;="&amp;账期止),0))</f>
        <v/>
      </c>
      <c r="X1195" s="27">
        <f>IF($A1195="","",ROUND(N($G1195)+$I1195+$L1195+$N1195-$P1195-$R1195-$T1195-$V1195,3))</f>
        <v/>
      </c>
      <c r="Y1195" s="26">
        <f>IF($A1195="","",ROUND(N($H1195)+$J1195+$M1195+$O1195-$Q1195-$S1195-$U1195-$W1195,0))</f>
        <v/>
      </c>
      <c r="Z1195" s="24">
        <f>IF($A1195="","",IF(COUNTIFS(入库单!$G$4:$G$2503,$A1195,入库单!$Y$4:$Y$2503,"待补价")+COUNTIFS(入库单!$G$4:$G$2503,$A1195,入库单!$Y$4:$Y$2503,"暂估")&gt;0,"不可信","可信"))</f>
        <v/>
      </c>
      <c r="AA1195" s="24">
        <f>IF($A1195="","",IF($X1195&lt;-0.001,"※账面负库存，查一下是不是漏记入库",IF(AND(ROUND($X1195,3)=0,ABS($Y1195)&gt;1),"※数量已经是 0，金额还挂着 "&amp;TEXT($Y1195,"#,##0")&amp;" 先令",IF(AND($X1195&gt;0,$Y1195&lt;=0,$K1195=0),"※有数量没金额（这个物料一直没填过进价）",IF($Z1195="不可信","△成本含待补价/暂估，毛利仅供参考","")))))</f>
        <v/>
      </c>
    </row>
    <row r="1196">
      <c r="A1196" s="24">
        <f>IF(物料档案!$A1195="","",物料档案!$A1195)</f>
        <v/>
      </c>
      <c r="B1196" s="24">
        <f>IF($A1196="","",IFERROR(VLOOKUP($A1196,物料档案!$A$4:$P$1203,3,0),""))</f>
        <v/>
      </c>
      <c r="C1196" s="24">
        <f>IF($A1196="","",IFERROR(VLOOKUP($A1196,物料档案!$A$4:$P$1203,4,0),""))</f>
        <v/>
      </c>
      <c r="D1196" s="24">
        <f>IF($A1196="","",IFERROR(VLOOKUP($A1196,物料档案!$A$4:$P$1203,5,0),""))</f>
        <v/>
      </c>
      <c r="E1196" s="24">
        <f>IF($A1196="","",IFERROR(VLOOKUP($A1196,物料档案!$A$4:$P$1203,2,0),""))</f>
        <v/>
      </c>
      <c r="F1196" s="24">
        <f>IF($A1196="","",IFERROR(VLOOKUP($A1196,物料档案!$A$4:$P$1203,6,0),""))</f>
        <v/>
      </c>
      <c r="G1196" s="23" t="n"/>
      <c r="H1196" s="32" t="n"/>
      <c r="I1196" s="27">
        <f>IF($A1196="","",SUMIFS(入库单!$K$4:$K$2503,入库单!$G$4:$G$2503,$A1196,入库单!$X$4:$X$2503,"采购入库",入库单!$Z$4:$Z$2503,"正常",入库单!$C$4:$C$2503,"&gt;="&amp;账期起,入库单!$C$4:$C$2503,"&lt;="&amp;账期止))</f>
        <v/>
      </c>
      <c r="J1196" s="26">
        <f>IF($A1196="","",SUMIFS(入库单!$V$4:$V$2503,入库单!$G$4:$G$2503,$A1196,入库单!$X$4:$X$2503,"采购入库",入库单!$Z$4:$Z$2503,"正常",入库单!$C$4:$C$2503,"&gt;="&amp;账期起,入库单!$C$4:$C$2503,"&lt;="&amp;账期止))</f>
        <v/>
      </c>
      <c r="K1196" s="26">
        <f>IF($A1196="","",IFERROR(ROUND((N($H1196)+N($J1196))/(N($G1196)+N($I1196)),2),0))</f>
        <v/>
      </c>
      <c r="L1196" s="27">
        <f>IF($A1196="","",SUMIFS(入库单!$K$4:$K$2503,入库单!$G$4:$G$2503,$A1196,入库单!$X$4:$X$2503,"盘盈",入库单!$Z$4:$Z$2503,"正常",入库单!$C$4:$C$2503,"&gt;="&amp;账期起,入库单!$C$4:$C$2503,"&lt;="&amp;账期止))</f>
        <v/>
      </c>
      <c r="M1196" s="26">
        <f>IF($A1196="","",ROUND($L1196*$K1196,0))</f>
        <v/>
      </c>
      <c r="N1196" s="27">
        <f>IF($A1196="","",SUMIFS(入库单!$K$4:$K$2503,入库单!$G$4:$G$2503,$A1196,入库单!$X$4:$X$2503,"矿区退库",入库单!$Z$4:$Z$2503,"正常",入库单!$C$4:$C$2503,"&gt;="&amp;账期起,入库单!$C$4:$C$2503,"&lt;="&amp;账期止))</f>
        <v/>
      </c>
      <c r="O1196" s="26">
        <f>IF($A1196="","",ROUND($N1196*$K1196,0))</f>
        <v/>
      </c>
      <c r="P1196" s="27">
        <f>IF($A1196="","",SUMIFS(出库单!$J$4:$J$4003,出库单!$D$4:$D$4003,$A1196,出库单!$K$4:$K$4003,"自用消耗",出库单!$U$4:$U$4003,"正常",出库单!$C$4:$C$4003,"&gt;="&amp;账期起,出库单!$C$4:$C$4003,"&lt;="&amp;账期止))</f>
        <v/>
      </c>
      <c r="Q1196" s="26">
        <f>IF($A1196="","",ROUND(SUMIFS(出库单!$S$4:$S$4003,出库单!$D$4:$D$4003,$A1196,出库单!$K$4:$K$4003,"自用消耗",出库单!$U$4:$U$4003,"正常",出库单!$C$4:$C$4003,"&gt;="&amp;账期起,出库单!$C$4:$C$4003,"&lt;="&amp;账期止),0))</f>
        <v/>
      </c>
      <c r="R1196" s="27">
        <f>IF($A1196="","",SUMIFS(出库单!$J$4:$J$4003,出库单!$D$4:$D$4003,$A1196,出库单!$K$4:$K$4003,"对外销售",出库单!$U$4:$U$4003,"正常",出库单!$C$4:$C$4003,"&gt;="&amp;账期起,出库单!$C$4:$C$4003,"&lt;="&amp;账期止))</f>
        <v/>
      </c>
      <c r="S1196" s="26">
        <f>IF($A1196="","",ROUND(SUMIFS(出库单!$S$4:$S$4003,出库单!$D$4:$D$4003,$A1196,出库单!$K$4:$K$4003,"对外销售",出库单!$U$4:$U$4003,"正常",出库单!$C$4:$C$4003,"&gt;="&amp;账期起,出库单!$C$4:$C$4003,"&lt;="&amp;账期止),0))</f>
        <v/>
      </c>
      <c r="T1196" s="27">
        <f>IF($A1196="","",SUMIFS(出库单!$J$4:$J$4003,出库单!$D$4:$D$4003,$A1196,出库单!$K$4:$K$4003,"盘亏",出库单!$U$4:$U$4003,"正常",出库单!$C$4:$C$4003,"&gt;="&amp;账期起,出库单!$C$4:$C$4003,"&lt;="&amp;账期止))</f>
        <v/>
      </c>
      <c r="U1196" s="26">
        <f>IF($A1196="","",ROUND(SUMIFS(出库单!$S$4:$S$4003,出库单!$D$4:$D$4003,$A1196,出库单!$K$4:$K$4003,"盘亏",出库单!$U$4:$U$4003,"正常",出库单!$C$4:$C$4003,"&gt;="&amp;账期起,出库单!$C$4:$C$4003,"&lt;="&amp;账期止),0))</f>
        <v/>
      </c>
      <c r="V1196" s="27">
        <f>IF($A1196="","",SUMIFS(出库单!$J$4:$J$4003,出库单!$D$4:$D$4003,$A1196,出库单!$K$4:$K$4003,"退货给供应商",出库单!$U$4:$U$4003,"正常",出库单!$C$4:$C$4003,"&gt;="&amp;账期起,出库单!$C$4:$C$4003,"&lt;="&amp;账期止))</f>
        <v/>
      </c>
      <c r="W1196" s="26">
        <f>IF($A1196="","",ROUND(SUMIFS(出库单!$S$4:$S$4003,出库单!$D$4:$D$4003,$A1196,出库单!$K$4:$K$4003,"退货给供应商",出库单!$U$4:$U$4003,"正常",出库单!$C$4:$C$4003,"&gt;="&amp;账期起,出库单!$C$4:$C$4003,"&lt;="&amp;账期止),0))</f>
        <v/>
      </c>
      <c r="X1196" s="27">
        <f>IF($A1196="","",ROUND(N($G1196)+$I1196+$L1196+$N1196-$P1196-$R1196-$T1196-$V1196,3))</f>
        <v/>
      </c>
      <c r="Y1196" s="26">
        <f>IF($A1196="","",ROUND(N($H1196)+$J1196+$M1196+$O1196-$Q1196-$S1196-$U1196-$W1196,0))</f>
        <v/>
      </c>
      <c r="Z1196" s="24">
        <f>IF($A1196="","",IF(COUNTIFS(入库单!$G$4:$G$2503,$A1196,入库单!$Y$4:$Y$2503,"待补价")+COUNTIFS(入库单!$G$4:$G$2503,$A1196,入库单!$Y$4:$Y$2503,"暂估")&gt;0,"不可信","可信"))</f>
        <v/>
      </c>
      <c r="AA1196" s="24">
        <f>IF($A1196="","",IF($X1196&lt;-0.001,"※账面负库存，查一下是不是漏记入库",IF(AND(ROUND($X1196,3)=0,ABS($Y1196)&gt;1),"※数量已经是 0，金额还挂着 "&amp;TEXT($Y1196,"#,##0")&amp;" 先令",IF(AND($X1196&gt;0,$Y1196&lt;=0,$K1196=0),"※有数量没金额（这个物料一直没填过进价）",IF($Z1196="不可信","△成本含待补价/暂估，毛利仅供参考","")))))</f>
        <v/>
      </c>
    </row>
    <row r="1197">
      <c r="A1197" s="24">
        <f>IF(物料档案!$A1196="","",物料档案!$A1196)</f>
        <v/>
      </c>
      <c r="B1197" s="24">
        <f>IF($A1197="","",IFERROR(VLOOKUP($A1197,物料档案!$A$4:$P$1203,3,0),""))</f>
        <v/>
      </c>
      <c r="C1197" s="24">
        <f>IF($A1197="","",IFERROR(VLOOKUP($A1197,物料档案!$A$4:$P$1203,4,0),""))</f>
        <v/>
      </c>
      <c r="D1197" s="24">
        <f>IF($A1197="","",IFERROR(VLOOKUP($A1197,物料档案!$A$4:$P$1203,5,0),""))</f>
        <v/>
      </c>
      <c r="E1197" s="24">
        <f>IF($A1197="","",IFERROR(VLOOKUP($A1197,物料档案!$A$4:$P$1203,2,0),""))</f>
        <v/>
      </c>
      <c r="F1197" s="24">
        <f>IF($A1197="","",IFERROR(VLOOKUP($A1197,物料档案!$A$4:$P$1203,6,0),""))</f>
        <v/>
      </c>
      <c r="G1197" s="23" t="n"/>
      <c r="H1197" s="32" t="n"/>
      <c r="I1197" s="27">
        <f>IF($A1197="","",SUMIFS(入库单!$K$4:$K$2503,入库单!$G$4:$G$2503,$A1197,入库单!$X$4:$X$2503,"采购入库",入库单!$Z$4:$Z$2503,"正常",入库单!$C$4:$C$2503,"&gt;="&amp;账期起,入库单!$C$4:$C$2503,"&lt;="&amp;账期止))</f>
        <v/>
      </c>
      <c r="J1197" s="26">
        <f>IF($A1197="","",SUMIFS(入库单!$V$4:$V$2503,入库单!$G$4:$G$2503,$A1197,入库单!$X$4:$X$2503,"采购入库",入库单!$Z$4:$Z$2503,"正常",入库单!$C$4:$C$2503,"&gt;="&amp;账期起,入库单!$C$4:$C$2503,"&lt;="&amp;账期止))</f>
        <v/>
      </c>
      <c r="K1197" s="26">
        <f>IF($A1197="","",IFERROR(ROUND((N($H1197)+N($J1197))/(N($G1197)+N($I1197)),2),0))</f>
        <v/>
      </c>
      <c r="L1197" s="27">
        <f>IF($A1197="","",SUMIFS(入库单!$K$4:$K$2503,入库单!$G$4:$G$2503,$A1197,入库单!$X$4:$X$2503,"盘盈",入库单!$Z$4:$Z$2503,"正常",入库单!$C$4:$C$2503,"&gt;="&amp;账期起,入库单!$C$4:$C$2503,"&lt;="&amp;账期止))</f>
        <v/>
      </c>
      <c r="M1197" s="26">
        <f>IF($A1197="","",ROUND($L1197*$K1197,0))</f>
        <v/>
      </c>
      <c r="N1197" s="27">
        <f>IF($A1197="","",SUMIFS(入库单!$K$4:$K$2503,入库单!$G$4:$G$2503,$A1197,入库单!$X$4:$X$2503,"矿区退库",入库单!$Z$4:$Z$2503,"正常",入库单!$C$4:$C$2503,"&gt;="&amp;账期起,入库单!$C$4:$C$2503,"&lt;="&amp;账期止))</f>
        <v/>
      </c>
      <c r="O1197" s="26">
        <f>IF($A1197="","",ROUND($N1197*$K1197,0))</f>
        <v/>
      </c>
      <c r="P1197" s="27">
        <f>IF($A1197="","",SUMIFS(出库单!$J$4:$J$4003,出库单!$D$4:$D$4003,$A1197,出库单!$K$4:$K$4003,"自用消耗",出库单!$U$4:$U$4003,"正常",出库单!$C$4:$C$4003,"&gt;="&amp;账期起,出库单!$C$4:$C$4003,"&lt;="&amp;账期止))</f>
        <v/>
      </c>
      <c r="Q1197" s="26">
        <f>IF($A1197="","",ROUND(SUMIFS(出库单!$S$4:$S$4003,出库单!$D$4:$D$4003,$A1197,出库单!$K$4:$K$4003,"自用消耗",出库单!$U$4:$U$4003,"正常",出库单!$C$4:$C$4003,"&gt;="&amp;账期起,出库单!$C$4:$C$4003,"&lt;="&amp;账期止),0))</f>
        <v/>
      </c>
      <c r="R1197" s="27">
        <f>IF($A1197="","",SUMIFS(出库单!$J$4:$J$4003,出库单!$D$4:$D$4003,$A1197,出库单!$K$4:$K$4003,"对外销售",出库单!$U$4:$U$4003,"正常",出库单!$C$4:$C$4003,"&gt;="&amp;账期起,出库单!$C$4:$C$4003,"&lt;="&amp;账期止))</f>
        <v/>
      </c>
      <c r="S1197" s="26">
        <f>IF($A1197="","",ROUND(SUMIFS(出库单!$S$4:$S$4003,出库单!$D$4:$D$4003,$A1197,出库单!$K$4:$K$4003,"对外销售",出库单!$U$4:$U$4003,"正常",出库单!$C$4:$C$4003,"&gt;="&amp;账期起,出库单!$C$4:$C$4003,"&lt;="&amp;账期止),0))</f>
        <v/>
      </c>
      <c r="T1197" s="27">
        <f>IF($A1197="","",SUMIFS(出库单!$J$4:$J$4003,出库单!$D$4:$D$4003,$A1197,出库单!$K$4:$K$4003,"盘亏",出库单!$U$4:$U$4003,"正常",出库单!$C$4:$C$4003,"&gt;="&amp;账期起,出库单!$C$4:$C$4003,"&lt;="&amp;账期止))</f>
        <v/>
      </c>
      <c r="U1197" s="26">
        <f>IF($A1197="","",ROUND(SUMIFS(出库单!$S$4:$S$4003,出库单!$D$4:$D$4003,$A1197,出库单!$K$4:$K$4003,"盘亏",出库单!$U$4:$U$4003,"正常",出库单!$C$4:$C$4003,"&gt;="&amp;账期起,出库单!$C$4:$C$4003,"&lt;="&amp;账期止),0))</f>
        <v/>
      </c>
      <c r="V1197" s="27">
        <f>IF($A1197="","",SUMIFS(出库单!$J$4:$J$4003,出库单!$D$4:$D$4003,$A1197,出库单!$K$4:$K$4003,"退货给供应商",出库单!$U$4:$U$4003,"正常",出库单!$C$4:$C$4003,"&gt;="&amp;账期起,出库单!$C$4:$C$4003,"&lt;="&amp;账期止))</f>
        <v/>
      </c>
      <c r="W1197" s="26">
        <f>IF($A1197="","",ROUND(SUMIFS(出库单!$S$4:$S$4003,出库单!$D$4:$D$4003,$A1197,出库单!$K$4:$K$4003,"退货给供应商",出库单!$U$4:$U$4003,"正常",出库单!$C$4:$C$4003,"&gt;="&amp;账期起,出库单!$C$4:$C$4003,"&lt;="&amp;账期止),0))</f>
        <v/>
      </c>
      <c r="X1197" s="27">
        <f>IF($A1197="","",ROUND(N($G1197)+$I1197+$L1197+$N1197-$P1197-$R1197-$T1197-$V1197,3))</f>
        <v/>
      </c>
      <c r="Y1197" s="26">
        <f>IF($A1197="","",ROUND(N($H1197)+$J1197+$M1197+$O1197-$Q1197-$S1197-$U1197-$W1197,0))</f>
        <v/>
      </c>
      <c r="Z1197" s="24">
        <f>IF($A1197="","",IF(COUNTIFS(入库单!$G$4:$G$2503,$A1197,入库单!$Y$4:$Y$2503,"待补价")+COUNTIFS(入库单!$G$4:$G$2503,$A1197,入库单!$Y$4:$Y$2503,"暂估")&gt;0,"不可信","可信"))</f>
        <v/>
      </c>
      <c r="AA1197" s="24">
        <f>IF($A1197="","",IF($X1197&lt;-0.001,"※账面负库存，查一下是不是漏记入库",IF(AND(ROUND($X1197,3)=0,ABS($Y1197)&gt;1),"※数量已经是 0，金额还挂着 "&amp;TEXT($Y1197,"#,##0")&amp;" 先令",IF(AND($X1197&gt;0,$Y1197&lt;=0,$K1197=0),"※有数量没金额（这个物料一直没填过进价）",IF($Z1197="不可信","△成本含待补价/暂估，毛利仅供参考","")))))</f>
        <v/>
      </c>
    </row>
    <row r="1198">
      <c r="A1198" s="24">
        <f>IF(物料档案!$A1197="","",物料档案!$A1197)</f>
        <v/>
      </c>
      <c r="B1198" s="24">
        <f>IF($A1198="","",IFERROR(VLOOKUP($A1198,物料档案!$A$4:$P$1203,3,0),""))</f>
        <v/>
      </c>
      <c r="C1198" s="24">
        <f>IF($A1198="","",IFERROR(VLOOKUP($A1198,物料档案!$A$4:$P$1203,4,0),""))</f>
        <v/>
      </c>
      <c r="D1198" s="24">
        <f>IF($A1198="","",IFERROR(VLOOKUP($A1198,物料档案!$A$4:$P$1203,5,0),""))</f>
        <v/>
      </c>
      <c r="E1198" s="24">
        <f>IF($A1198="","",IFERROR(VLOOKUP($A1198,物料档案!$A$4:$P$1203,2,0),""))</f>
        <v/>
      </c>
      <c r="F1198" s="24">
        <f>IF($A1198="","",IFERROR(VLOOKUP($A1198,物料档案!$A$4:$P$1203,6,0),""))</f>
        <v/>
      </c>
      <c r="G1198" s="23" t="n"/>
      <c r="H1198" s="32" t="n"/>
      <c r="I1198" s="27">
        <f>IF($A1198="","",SUMIFS(入库单!$K$4:$K$2503,入库单!$G$4:$G$2503,$A1198,入库单!$X$4:$X$2503,"采购入库",入库单!$Z$4:$Z$2503,"正常",入库单!$C$4:$C$2503,"&gt;="&amp;账期起,入库单!$C$4:$C$2503,"&lt;="&amp;账期止))</f>
        <v/>
      </c>
      <c r="J1198" s="26">
        <f>IF($A1198="","",SUMIFS(入库单!$V$4:$V$2503,入库单!$G$4:$G$2503,$A1198,入库单!$X$4:$X$2503,"采购入库",入库单!$Z$4:$Z$2503,"正常",入库单!$C$4:$C$2503,"&gt;="&amp;账期起,入库单!$C$4:$C$2503,"&lt;="&amp;账期止))</f>
        <v/>
      </c>
      <c r="K1198" s="26">
        <f>IF($A1198="","",IFERROR(ROUND((N($H1198)+N($J1198))/(N($G1198)+N($I1198)),2),0))</f>
        <v/>
      </c>
      <c r="L1198" s="27">
        <f>IF($A1198="","",SUMIFS(入库单!$K$4:$K$2503,入库单!$G$4:$G$2503,$A1198,入库单!$X$4:$X$2503,"盘盈",入库单!$Z$4:$Z$2503,"正常",入库单!$C$4:$C$2503,"&gt;="&amp;账期起,入库单!$C$4:$C$2503,"&lt;="&amp;账期止))</f>
        <v/>
      </c>
      <c r="M1198" s="26">
        <f>IF($A1198="","",ROUND($L1198*$K1198,0))</f>
        <v/>
      </c>
      <c r="N1198" s="27">
        <f>IF($A1198="","",SUMIFS(入库单!$K$4:$K$2503,入库单!$G$4:$G$2503,$A1198,入库单!$X$4:$X$2503,"矿区退库",入库单!$Z$4:$Z$2503,"正常",入库单!$C$4:$C$2503,"&gt;="&amp;账期起,入库单!$C$4:$C$2503,"&lt;="&amp;账期止))</f>
        <v/>
      </c>
      <c r="O1198" s="26">
        <f>IF($A1198="","",ROUND($N1198*$K1198,0))</f>
        <v/>
      </c>
      <c r="P1198" s="27">
        <f>IF($A1198="","",SUMIFS(出库单!$J$4:$J$4003,出库单!$D$4:$D$4003,$A1198,出库单!$K$4:$K$4003,"自用消耗",出库单!$U$4:$U$4003,"正常",出库单!$C$4:$C$4003,"&gt;="&amp;账期起,出库单!$C$4:$C$4003,"&lt;="&amp;账期止))</f>
        <v/>
      </c>
      <c r="Q1198" s="26">
        <f>IF($A1198="","",ROUND(SUMIFS(出库单!$S$4:$S$4003,出库单!$D$4:$D$4003,$A1198,出库单!$K$4:$K$4003,"自用消耗",出库单!$U$4:$U$4003,"正常",出库单!$C$4:$C$4003,"&gt;="&amp;账期起,出库单!$C$4:$C$4003,"&lt;="&amp;账期止),0))</f>
        <v/>
      </c>
      <c r="R1198" s="27">
        <f>IF($A1198="","",SUMIFS(出库单!$J$4:$J$4003,出库单!$D$4:$D$4003,$A1198,出库单!$K$4:$K$4003,"对外销售",出库单!$U$4:$U$4003,"正常",出库单!$C$4:$C$4003,"&gt;="&amp;账期起,出库单!$C$4:$C$4003,"&lt;="&amp;账期止))</f>
        <v/>
      </c>
      <c r="S1198" s="26">
        <f>IF($A1198="","",ROUND(SUMIFS(出库单!$S$4:$S$4003,出库单!$D$4:$D$4003,$A1198,出库单!$K$4:$K$4003,"对外销售",出库单!$U$4:$U$4003,"正常",出库单!$C$4:$C$4003,"&gt;="&amp;账期起,出库单!$C$4:$C$4003,"&lt;="&amp;账期止),0))</f>
        <v/>
      </c>
      <c r="T1198" s="27">
        <f>IF($A1198="","",SUMIFS(出库单!$J$4:$J$4003,出库单!$D$4:$D$4003,$A1198,出库单!$K$4:$K$4003,"盘亏",出库单!$U$4:$U$4003,"正常",出库单!$C$4:$C$4003,"&gt;="&amp;账期起,出库单!$C$4:$C$4003,"&lt;="&amp;账期止))</f>
        <v/>
      </c>
      <c r="U1198" s="26">
        <f>IF($A1198="","",ROUND(SUMIFS(出库单!$S$4:$S$4003,出库单!$D$4:$D$4003,$A1198,出库单!$K$4:$K$4003,"盘亏",出库单!$U$4:$U$4003,"正常",出库单!$C$4:$C$4003,"&gt;="&amp;账期起,出库单!$C$4:$C$4003,"&lt;="&amp;账期止),0))</f>
        <v/>
      </c>
      <c r="V1198" s="27">
        <f>IF($A1198="","",SUMIFS(出库单!$J$4:$J$4003,出库单!$D$4:$D$4003,$A1198,出库单!$K$4:$K$4003,"退货给供应商",出库单!$U$4:$U$4003,"正常",出库单!$C$4:$C$4003,"&gt;="&amp;账期起,出库单!$C$4:$C$4003,"&lt;="&amp;账期止))</f>
        <v/>
      </c>
      <c r="W1198" s="26">
        <f>IF($A1198="","",ROUND(SUMIFS(出库单!$S$4:$S$4003,出库单!$D$4:$D$4003,$A1198,出库单!$K$4:$K$4003,"退货给供应商",出库单!$U$4:$U$4003,"正常",出库单!$C$4:$C$4003,"&gt;="&amp;账期起,出库单!$C$4:$C$4003,"&lt;="&amp;账期止),0))</f>
        <v/>
      </c>
      <c r="X1198" s="27">
        <f>IF($A1198="","",ROUND(N($G1198)+$I1198+$L1198+$N1198-$P1198-$R1198-$T1198-$V1198,3))</f>
        <v/>
      </c>
      <c r="Y1198" s="26">
        <f>IF($A1198="","",ROUND(N($H1198)+$J1198+$M1198+$O1198-$Q1198-$S1198-$U1198-$W1198,0))</f>
        <v/>
      </c>
      <c r="Z1198" s="24">
        <f>IF($A1198="","",IF(COUNTIFS(入库单!$G$4:$G$2503,$A1198,入库单!$Y$4:$Y$2503,"待补价")+COUNTIFS(入库单!$G$4:$G$2503,$A1198,入库单!$Y$4:$Y$2503,"暂估")&gt;0,"不可信","可信"))</f>
        <v/>
      </c>
      <c r="AA1198" s="24">
        <f>IF($A1198="","",IF($X1198&lt;-0.001,"※账面负库存，查一下是不是漏记入库",IF(AND(ROUND($X1198,3)=0,ABS($Y1198)&gt;1),"※数量已经是 0，金额还挂着 "&amp;TEXT($Y1198,"#,##0")&amp;" 先令",IF(AND($X1198&gt;0,$Y1198&lt;=0,$K1198=0),"※有数量没金额（这个物料一直没填过进价）",IF($Z1198="不可信","△成本含待补价/暂估，毛利仅供参考","")))))</f>
        <v/>
      </c>
    </row>
    <row r="1199">
      <c r="A1199" s="24">
        <f>IF(物料档案!$A1198="","",物料档案!$A1198)</f>
        <v/>
      </c>
      <c r="B1199" s="24">
        <f>IF($A1199="","",IFERROR(VLOOKUP($A1199,物料档案!$A$4:$P$1203,3,0),""))</f>
        <v/>
      </c>
      <c r="C1199" s="24">
        <f>IF($A1199="","",IFERROR(VLOOKUP($A1199,物料档案!$A$4:$P$1203,4,0),""))</f>
        <v/>
      </c>
      <c r="D1199" s="24">
        <f>IF($A1199="","",IFERROR(VLOOKUP($A1199,物料档案!$A$4:$P$1203,5,0),""))</f>
        <v/>
      </c>
      <c r="E1199" s="24">
        <f>IF($A1199="","",IFERROR(VLOOKUP($A1199,物料档案!$A$4:$P$1203,2,0),""))</f>
        <v/>
      </c>
      <c r="F1199" s="24">
        <f>IF($A1199="","",IFERROR(VLOOKUP($A1199,物料档案!$A$4:$P$1203,6,0),""))</f>
        <v/>
      </c>
      <c r="G1199" s="23" t="n"/>
      <c r="H1199" s="32" t="n"/>
      <c r="I1199" s="27">
        <f>IF($A1199="","",SUMIFS(入库单!$K$4:$K$2503,入库单!$G$4:$G$2503,$A1199,入库单!$X$4:$X$2503,"采购入库",入库单!$Z$4:$Z$2503,"正常",入库单!$C$4:$C$2503,"&gt;="&amp;账期起,入库单!$C$4:$C$2503,"&lt;="&amp;账期止))</f>
        <v/>
      </c>
      <c r="J1199" s="26">
        <f>IF($A1199="","",SUMIFS(入库单!$V$4:$V$2503,入库单!$G$4:$G$2503,$A1199,入库单!$X$4:$X$2503,"采购入库",入库单!$Z$4:$Z$2503,"正常",入库单!$C$4:$C$2503,"&gt;="&amp;账期起,入库单!$C$4:$C$2503,"&lt;="&amp;账期止))</f>
        <v/>
      </c>
      <c r="K1199" s="26">
        <f>IF($A1199="","",IFERROR(ROUND((N($H1199)+N($J1199))/(N($G1199)+N($I1199)),2),0))</f>
        <v/>
      </c>
      <c r="L1199" s="27">
        <f>IF($A1199="","",SUMIFS(入库单!$K$4:$K$2503,入库单!$G$4:$G$2503,$A1199,入库单!$X$4:$X$2503,"盘盈",入库单!$Z$4:$Z$2503,"正常",入库单!$C$4:$C$2503,"&gt;="&amp;账期起,入库单!$C$4:$C$2503,"&lt;="&amp;账期止))</f>
        <v/>
      </c>
      <c r="M1199" s="26">
        <f>IF($A1199="","",ROUND($L1199*$K1199,0))</f>
        <v/>
      </c>
      <c r="N1199" s="27">
        <f>IF($A1199="","",SUMIFS(入库单!$K$4:$K$2503,入库单!$G$4:$G$2503,$A1199,入库单!$X$4:$X$2503,"矿区退库",入库单!$Z$4:$Z$2503,"正常",入库单!$C$4:$C$2503,"&gt;="&amp;账期起,入库单!$C$4:$C$2503,"&lt;="&amp;账期止))</f>
        <v/>
      </c>
      <c r="O1199" s="26">
        <f>IF($A1199="","",ROUND($N1199*$K1199,0))</f>
        <v/>
      </c>
      <c r="P1199" s="27">
        <f>IF($A1199="","",SUMIFS(出库单!$J$4:$J$4003,出库单!$D$4:$D$4003,$A1199,出库单!$K$4:$K$4003,"自用消耗",出库单!$U$4:$U$4003,"正常",出库单!$C$4:$C$4003,"&gt;="&amp;账期起,出库单!$C$4:$C$4003,"&lt;="&amp;账期止))</f>
        <v/>
      </c>
      <c r="Q1199" s="26">
        <f>IF($A1199="","",ROUND(SUMIFS(出库单!$S$4:$S$4003,出库单!$D$4:$D$4003,$A1199,出库单!$K$4:$K$4003,"自用消耗",出库单!$U$4:$U$4003,"正常",出库单!$C$4:$C$4003,"&gt;="&amp;账期起,出库单!$C$4:$C$4003,"&lt;="&amp;账期止),0))</f>
        <v/>
      </c>
      <c r="R1199" s="27">
        <f>IF($A1199="","",SUMIFS(出库单!$J$4:$J$4003,出库单!$D$4:$D$4003,$A1199,出库单!$K$4:$K$4003,"对外销售",出库单!$U$4:$U$4003,"正常",出库单!$C$4:$C$4003,"&gt;="&amp;账期起,出库单!$C$4:$C$4003,"&lt;="&amp;账期止))</f>
        <v/>
      </c>
      <c r="S1199" s="26">
        <f>IF($A1199="","",ROUND(SUMIFS(出库单!$S$4:$S$4003,出库单!$D$4:$D$4003,$A1199,出库单!$K$4:$K$4003,"对外销售",出库单!$U$4:$U$4003,"正常",出库单!$C$4:$C$4003,"&gt;="&amp;账期起,出库单!$C$4:$C$4003,"&lt;="&amp;账期止),0))</f>
        <v/>
      </c>
      <c r="T1199" s="27">
        <f>IF($A1199="","",SUMIFS(出库单!$J$4:$J$4003,出库单!$D$4:$D$4003,$A1199,出库单!$K$4:$K$4003,"盘亏",出库单!$U$4:$U$4003,"正常",出库单!$C$4:$C$4003,"&gt;="&amp;账期起,出库单!$C$4:$C$4003,"&lt;="&amp;账期止))</f>
        <v/>
      </c>
      <c r="U1199" s="26">
        <f>IF($A1199="","",ROUND(SUMIFS(出库单!$S$4:$S$4003,出库单!$D$4:$D$4003,$A1199,出库单!$K$4:$K$4003,"盘亏",出库单!$U$4:$U$4003,"正常",出库单!$C$4:$C$4003,"&gt;="&amp;账期起,出库单!$C$4:$C$4003,"&lt;="&amp;账期止),0))</f>
        <v/>
      </c>
      <c r="V1199" s="27">
        <f>IF($A1199="","",SUMIFS(出库单!$J$4:$J$4003,出库单!$D$4:$D$4003,$A1199,出库单!$K$4:$K$4003,"退货给供应商",出库单!$U$4:$U$4003,"正常",出库单!$C$4:$C$4003,"&gt;="&amp;账期起,出库单!$C$4:$C$4003,"&lt;="&amp;账期止))</f>
        <v/>
      </c>
      <c r="W1199" s="26">
        <f>IF($A1199="","",ROUND(SUMIFS(出库单!$S$4:$S$4003,出库单!$D$4:$D$4003,$A1199,出库单!$K$4:$K$4003,"退货给供应商",出库单!$U$4:$U$4003,"正常",出库单!$C$4:$C$4003,"&gt;="&amp;账期起,出库单!$C$4:$C$4003,"&lt;="&amp;账期止),0))</f>
        <v/>
      </c>
      <c r="X1199" s="27">
        <f>IF($A1199="","",ROUND(N($G1199)+$I1199+$L1199+$N1199-$P1199-$R1199-$T1199-$V1199,3))</f>
        <v/>
      </c>
      <c r="Y1199" s="26">
        <f>IF($A1199="","",ROUND(N($H1199)+$J1199+$M1199+$O1199-$Q1199-$S1199-$U1199-$W1199,0))</f>
        <v/>
      </c>
      <c r="Z1199" s="24">
        <f>IF($A1199="","",IF(COUNTIFS(入库单!$G$4:$G$2503,$A1199,入库单!$Y$4:$Y$2503,"待补价")+COUNTIFS(入库单!$G$4:$G$2503,$A1199,入库单!$Y$4:$Y$2503,"暂估")&gt;0,"不可信","可信"))</f>
        <v/>
      </c>
      <c r="AA1199" s="24">
        <f>IF($A1199="","",IF($X1199&lt;-0.001,"※账面负库存，查一下是不是漏记入库",IF(AND(ROUND($X1199,3)=0,ABS($Y1199)&gt;1),"※数量已经是 0，金额还挂着 "&amp;TEXT($Y1199,"#,##0")&amp;" 先令",IF(AND($X1199&gt;0,$Y1199&lt;=0,$K1199=0),"※有数量没金额（这个物料一直没填过进价）",IF($Z1199="不可信","△成本含待补价/暂估，毛利仅供参考","")))))</f>
        <v/>
      </c>
    </row>
    <row r="1200">
      <c r="A1200" s="24">
        <f>IF(物料档案!$A1199="","",物料档案!$A1199)</f>
        <v/>
      </c>
      <c r="B1200" s="24">
        <f>IF($A1200="","",IFERROR(VLOOKUP($A1200,物料档案!$A$4:$P$1203,3,0),""))</f>
        <v/>
      </c>
      <c r="C1200" s="24">
        <f>IF($A1200="","",IFERROR(VLOOKUP($A1200,物料档案!$A$4:$P$1203,4,0),""))</f>
        <v/>
      </c>
      <c r="D1200" s="24">
        <f>IF($A1200="","",IFERROR(VLOOKUP($A1200,物料档案!$A$4:$P$1203,5,0),""))</f>
        <v/>
      </c>
      <c r="E1200" s="24">
        <f>IF($A1200="","",IFERROR(VLOOKUP($A1200,物料档案!$A$4:$P$1203,2,0),""))</f>
        <v/>
      </c>
      <c r="F1200" s="24">
        <f>IF($A1200="","",IFERROR(VLOOKUP($A1200,物料档案!$A$4:$P$1203,6,0),""))</f>
        <v/>
      </c>
      <c r="G1200" s="23" t="n"/>
      <c r="H1200" s="32" t="n"/>
      <c r="I1200" s="27">
        <f>IF($A1200="","",SUMIFS(入库单!$K$4:$K$2503,入库单!$G$4:$G$2503,$A1200,入库单!$X$4:$X$2503,"采购入库",入库单!$Z$4:$Z$2503,"正常",入库单!$C$4:$C$2503,"&gt;="&amp;账期起,入库单!$C$4:$C$2503,"&lt;="&amp;账期止))</f>
        <v/>
      </c>
      <c r="J1200" s="26">
        <f>IF($A1200="","",SUMIFS(入库单!$V$4:$V$2503,入库单!$G$4:$G$2503,$A1200,入库单!$X$4:$X$2503,"采购入库",入库单!$Z$4:$Z$2503,"正常",入库单!$C$4:$C$2503,"&gt;="&amp;账期起,入库单!$C$4:$C$2503,"&lt;="&amp;账期止))</f>
        <v/>
      </c>
      <c r="K1200" s="26">
        <f>IF($A1200="","",IFERROR(ROUND((N($H1200)+N($J1200))/(N($G1200)+N($I1200)),2),0))</f>
        <v/>
      </c>
      <c r="L1200" s="27">
        <f>IF($A1200="","",SUMIFS(入库单!$K$4:$K$2503,入库单!$G$4:$G$2503,$A1200,入库单!$X$4:$X$2503,"盘盈",入库单!$Z$4:$Z$2503,"正常",入库单!$C$4:$C$2503,"&gt;="&amp;账期起,入库单!$C$4:$C$2503,"&lt;="&amp;账期止))</f>
        <v/>
      </c>
      <c r="M1200" s="26">
        <f>IF($A1200="","",ROUND($L1200*$K1200,0))</f>
        <v/>
      </c>
      <c r="N1200" s="27">
        <f>IF($A1200="","",SUMIFS(入库单!$K$4:$K$2503,入库单!$G$4:$G$2503,$A1200,入库单!$X$4:$X$2503,"矿区退库",入库单!$Z$4:$Z$2503,"正常",入库单!$C$4:$C$2503,"&gt;="&amp;账期起,入库单!$C$4:$C$2503,"&lt;="&amp;账期止))</f>
        <v/>
      </c>
      <c r="O1200" s="26">
        <f>IF($A1200="","",ROUND($N1200*$K1200,0))</f>
        <v/>
      </c>
      <c r="P1200" s="27">
        <f>IF($A1200="","",SUMIFS(出库单!$J$4:$J$4003,出库单!$D$4:$D$4003,$A1200,出库单!$K$4:$K$4003,"自用消耗",出库单!$U$4:$U$4003,"正常",出库单!$C$4:$C$4003,"&gt;="&amp;账期起,出库单!$C$4:$C$4003,"&lt;="&amp;账期止))</f>
        <v/>
      </c>
      <c r="Q1200" s="26">
        <f>IF($A1200="","",ROUND(SUMIFS(出库单!$S$4:$S$4003,出库单!$D$4:$D$4003,$A1200,出库单!$K$4:$K$4003,"自用消耗",出库单!$U$4:$U$4003,"正常",出库单!$C$4:$C$4003,"&gt;="&amp;账期起,出库单!$C$4:$C$4003,"&lt;="&amp;账期止),0))</f>
        <v/>
      </c>
      <c r="R1200" s="27">
        <f>IF($A1200="","",SUMIFS(出库单!$J$4:$J$4003,出库单!$D$4:$D$4003,$A1200,出库单!$K$4:$K$4003,"对外销售",出库单!$U$4:$U$4003,"正常",出库单!$C$4:$C$4003,"&gt;="&amp;账期起,出库单!$C$4:$C$4003,"&lt;="&amp;账期止))</f>
        <v/>
      </c>
      <c r="S1200" s="26">
        <f>IF($A1200="","",ROUND(SUMIFS(出库单!$S$4:$S$4003,出库单!$D$4:$D$4003,$A1200,出库单!$K$4:$K$4003,"对外销售",出库单!$U$4:$U$4003,"正常",出库单!$C$4:$C$4003,"&gt;="&amp;账期起,出库单!$C$4:$C$4003,"&lt;="&amp;账期止),0))</f>
        <v/>
      </c>
      <c r="T1200" s="27">
        <f>IF($A1200="","",SUMIFS(出库单!$J$4:$J$4003,出库单!$D$4:$D$4003,$A1200,出库单!$K$4:$K$4003,"盘亏",出库单!$U$4:$U$4003,"正常",出库单!$C$4:$C$4003,"&gt;="&amp;账期起,出库单!$C$4:$C$4003,"&lt;="&amp;账期止))</f>
        <v/>
      </c>
      <c r="U1200" s="26">
        <f>IF($A1200="","",ROUND(SUMIFS(出库单!$S$4:$S$4003,出库单!$D$4:$D$4003,$A1200,出库单!$K$4:$K$4003,"盘亏",出库单!$U$4:$U$4003,"正常",出库单!$C$4:$C$4003,"&gt;="&amp;账期起,出库单!$C$4:$C$4003,"&lt;="&amp;账期止),0))</f>
        <v/>
      </c>
      <c r="V1200" s="27">
        <f>IF($A1200="","",SUMIFS(出库单!$J$4:$J$4003,出库单!$D$4:$D$4003,$A1200,出库单!$K$4:$K$4003,"退货给供应商",出库单!$U$4:$U$4003,"正常",出库单!$C$4:$C$4003,"&gt;="&amp;账期起,出库单!$C$4:$C$4003,"&lt;="&amp;账期止))</f>
        <v/>
      </c>
      <c r="W1200" s="26">
        <f>IF($A1200="","",ROUND(SUMIFS(出库单!$S$4:$S$4003,出库单!$D$4:$D$4003,$A1200,出库单!$K$4:$K$4003,"退货给供应商",出库单!$U$4:$U$4003,"正常",出库单!$C$4:$C$4003,"&gt;="&amp;账期起,出库单!$C$4:$C$4003,"&lt;="&amp;账期止),0))</f>
        <v/>
      </c>
      <c r="X1200" s="27">
        <f>IF($A1200="","",ROUND(N($G1200)+$I1200+$L1200+$N1200-$P1200-$R1200-$T1200-$V1200,3))</f>
        <v/>
      </c>
      <c r="Y1200" s="26">
        <f>IF($A1200="","",ROUND(N($H1200)+$J1200+$M1200+$O1200-$Q1200-$S1200-$U1200-$W1200,0))</f>
        <v/>
      </c>
      <c r="Z1200" s="24">
        <f>IF($A1200="","",IF(COUNTIFS(入库单!$G$4:$G$2503,$A1200,入库单!$Y$4:$Y$2503,"待补价")+COUNTIFS(入库单!$G$4:$G$2503,$A1200,入库单!$Y$4:$Y$2503,"暂估")&gt;0,"不可信","可信"))</f>
        <v/>
      </c>
      <c r="AA1200" s="24">
        <f>IF($A1200="","",IF($X1200&lt;-0.001,"※账面负库存，查一下是不是漏记入库",IF(AND(ROUND($X1200,3)=0,ABS($Y1200)&gt;1),"※数量已经是 0，金额还挂着 "&amp;TEXT($Y1200,"#,##0")&amp;" 先令",IF(AND($X1200&gt;0,$Y1200&lt;=0,$K1200=0),"※有数量没金额（这个物料一直没填过进价）",IF($Z1200="不可信","△成本含待补价/暂估，毛利仅供参考","")))))</f>
        <v/>
      </c>
    </row>
    <row r="1201">
      <c r="A1201" s="24">
        <f>IF(物料档案!$A1200="","",物料档案!$A1200)</f>
        <v/>
      </c>
      <c r="B1201" s="24">
        <f>IF($A1201="","",IFERROR(VLOOKUP($A1201,物料档案!$A$4:$P$1203,3,0),""))</f>
        <v/>
      </c>
      <c r="C1201" s="24">
        <f>IF($A1201="","",IFERROR(VLOOKUP($A1201,物料档案!$A$4:$P$1203,4,0),""))</f>
        <v/>
      </c>
      <c r="D1201" s="24">
        <f>IF($A1201="","",IFERROR(VLOOKUP($A1201,物料档案!$A$4:$P$1203,5,0),""))</f>
        <v/>
      </c>
      <c r="E1201" s="24">
        <f>IF($A1201="","",IFERROR(VLOOKUP($A1201,物料档案!$A$4:$P$1203,2,0),""))</f>
        <v/>
      </c>
      <c r="F1201" s="24">
        <f>IF($A1201="","",IFERROR(VLOOKUP($A1201,物料档案!$A$4:$P$1203,6,0),""))</f>
        <v/>
      </c>
      <c r="G1201" s="23" t="n"/>
      <c r="H1201" s="32" t="n"/>
      <c r="I1201" s="27">
        <f>IF($A1201="","",SUMIFS(入库单!$K$4:$K$2503,入库单!$G$4:$G$2503,$A1201,入库单!$X$4:$X$2503,"采购入库",入库单!$Z$4:$Z$2503,"正常",入库单!$C$4:$C$2503,"&gt;="&amp;账期起,入库单!$C$4:$C$2503,"&lt;="&amp;账期止))</f>
        <v/>
      </c>
      <c r="J1201" s="26">
        <f>IF($A1201="","",SUMIFS(入库单!$V$4:$V$2503,入库单!$G$4:$G$2503,$A1201,入库单!$X$4:$X$2503,"采购入库",入库单!$Z$4:$Z$2503,"正常",入库单!$C$4:$C$2503,"&gt;="&amp;账期起,入库单!$C$4:$C$2503,"&lt;="&amp;账期止))</f>
        <v/>
      </c>
      <c r="K1201" s="26">
        <f>IF($A1201="","",IFERROR(ROUND((N($H1201)+N($J1201))/(N($G1201)+N($I1201)),2),0))</f>
        <v/>
      </c>
      <c r="L1201" s="27">
        <f>IF($A1201="","",SUMIFS(入库单!$K$4:$K$2503,入库单!$G$4:$G$2503,$A1201,入库单!$X$4:$X$2503,"盘盈",入库单!$Z$4:$Z$2503,"正常",入库单!$C$4:$C$2503,"&gt;="&amp;账期起,入库单!$C$4:$C$2503,"&lt;="&amp;账期止))</f>
        <v/>
      </c>
      <c r="M1201" s="26">
        <f>IF($A1201="","",ROUND($L1201*$K1201,0))</f>
        <v/>
      </c>
      <c r="N1201" s="27">
        <f>IF($A1201="","",SUMIFS(入库单!$K$4:$K$2503,入库单!$G$4:$G$2503,$A1201,入库单!$X$4:$X$2503,"矿区退库",入库单!$Z$4:$Z$2503,"正常",入库单!$C$4:$C$2503,"&gt;="&amp;账期起,入库单!$C$4:$C$2503,"&lt;="&amp;账期止))</f>
        <v/>
      </c>
      <c r="O1201" s="26">
        <f>IF($A1201="","",ROUND($N1201*$K1201,0))</f>
        <v/>
      </c>
      <c r="P1201" s="27">
        <f>IF($A1201="","",SUMIFS(出库单!$J$4:$J$4003,出库单!$D$4:$D$4003,$A1201,出库单!$K$4:$K$4003,"自用消耗",出库单!$U$4:$U$4003,"正常",出库单!$C$4:$C$4003,"&gt;="&amp;账期起,出库单!$C$4:$C$4003,"&lt;="&amp;账期止))</f>
        <v/>
      </c>
      <c r="Q1201" s="26">
        <f>IF($A1201="","",ROUND(SUMIFS(出库单!$S$4:$S$4003,出库单!$D$4:$D$4003,$A1201,出库单!$K$4:$K$4003,"自用消耗",出库单!$U$4:$U$4003,"正常",出库单!$C$4:$C$4003,"&gt;="&amp;账期起,出库单!$C$4:$C$4003,"&lt;="&amp;账期止),0))</f>
        <v/>
      </c>
      <c r="R1201" s="27">
        <f>IF($A1201="","",SUMIFS(出库单!$J$4:$J$4003,出库单!$D$4:$D$4003,$A1201,出库单!$K$4:$K$4003,"对外销售",出库单!$U$4:$U$4003,"正常",出库单!$C$4:$C$4003,"&gt;="&amp;账期起,出库单!$C$4:$C$4003,"&lt;="&amp;账期止))</f>
        <v/>
      </c>
      <c r="S1201" s="26">
        <f>IF($A1201="","",ROUND(SUMIFS(出库单!$S$4:$S$4003,出库单!$D$4:$D$4003,$A1201,出库单!$K$4:$K$4003,"对外销售",出库单!$U$4:$U$4003,"正常",出库单!$C$4:$C$4003,"&gt;="&amp;账期起,出库单!$C$4:$C$4003,"&lt;="&amp;账期止),0))</f>
        <v/>
      </c>
      <c r="T1201" s="27">
        <f>IF($A1201="","",SUMIFS(出库单!$J$4:$J$4003,出库单!$D$4:$D$4003,$A1201,出库单!$K$4:$K$4003,"盘亏",出库单!$U$4:$U$4003,"正常",出库单!$C$4:$C$4003,"&gt;="&amp;账期起,出库单!$C$4:$C$4003,"&lt;="&amp;账期止))</f>
        <v/>
      </c>
      <c r="U1201" s="26">
        <f>IF($A1201="","",ROUND(SUMIFS(出库单!$S$4:$S$4003,出库单!$D$4:$D$4003,$A1201,出库单!$K$4:$K$4003,"盘亏",出库单!$U$4:$U$4003,"正常",出库单!$C$4:$C$4003,"&gt;="&amp;账期起,出库单!$C$4:$C$4003,"&lt;="&amp;账期止),0))</f>
        <v/>
      </c>
      <c r="V1201" s="27">
        <f>IF($A1201="","",SUMIFS(出库单!$J$4:$J$4003,出库单!$D$4:$D$4003,$A1201,出库单!$K$4:$K$4003,"退货给供应商",出库单!$U$4:$U$4003,"正常",出库单!$C$4:$C$4003,"&gt;="&amp;账期起,出库单!$C$4:$C$4003,"&lt;="&amp;账期止))</f>
        <v/>
      </c>
      <c r="W1201" s="26">
        <f>IF($A1201="","",ROUND(SUMIFS(出库单!$S$4:$S$4003,出库单!$D$4:$D$4003,$A1201,出库单!$K$4:$K$4003,"退货给供应商",出库单!$U$4:$U$4003,"正常",出库单!$C$4:$C$4003,"&gt;="&amp;账期起,出库单!$C$4:$C$4003,"&lt;="&amp;账期止),0))</f>
        <v/>
      </c>
      <c r="X1201" s="27">
        <f>IF($A1201="","",ROUND(N($G1201)+$I1201+$L1201+$N1201-$P1201-$R1201-$T1201-$V1201,3))</f>
        <v/>
      </c>
      <c r="Y1201" s="26">
        <f>IF($A1201="","",ROUND(N($H1201)+$J1201+$M1201+$O1201-$Q1201-$S1201-$U1201-$W1201,0))</f>
        <v/>
      </c>
      <c r="Z1201" s="24">
        <f>IF($A1201="","",IF(COUNTIFS(入库单!$G$4:$G$2503,$A1201,入库单!$Y$4:$Y$2503,"待补价")+COUNTIFS(入库单!$G$4:$G$2503,$A1201,入库单!$Y$4:$Y$2503,"暂估")&gt;0,"不可信","可信"))</f>
        <v/>
      </c>
      <c r="AA1201" s="24">
        <f>IF($A1201="","",IF($X1201&lt;-0.001,"※账面负库存，查一下是不是漏记入库",IF(AND(ROUND($X1201,3)=0,ABS($Y1201)&gt;1),"※数量已经是 0，金额还挂着 "&amp;TEXT($Y1201,"#,##0")&amp;" 先令",IF(AND($X1201&gt;0,$Y1201&lt;=0,$K1201=0),"※有数量没金额（这个物料一直没填过进价）",IF($Z1201="不可信","△成本含待补价/暂估，毛利仅供参考","")))))</f>
        <v/>
      </c>
    </row>
    <row r="1202">
      <c r="A1202" s="24">
        <f>IF(物料档案!$A1201="","",物料档案!$A1201)</f>
        <v/>
      </c>
      <c r="B1202" s="24">
        <f>IF($A1202="","",IFERROR(VLOOKUP($A1202,物料档案!$A$4:$P$1203,3,0),""))</f>
        <v/>
      </c>
      <c r="C1202" s="24">
        <f>IF($A1202="","",IFERROR(VLOOKUP($A1202,物料档案!$A$4:$P$1203,4,0),""))</f>
        <v/>
      </c>
      <c r="D1202" s="24">
        <f>IF($A1202="","",IFERROR(VLOOKUP($A1202,物料档案!$A$4:$P$1203,5,0),""))</f>
        <v/>
      </c>
      <c r="E1202" s="24">
        <f>IF($A1202="","",IFERROR(VLOOKUP($A1202,物料档案!$A$4:$P$1203,2,0),""))</f>
        <v/>
      </c>
      <c r="F1202" s="24">
        <f>IF($A1202="","",IFERROR(VLOOKUP($A1202,物料档案!$A$4:$P$1203,6,0),""))</f>
        <v/>
      </c>
      <c r="G1202" s="23" t="n"/>
      <c r="H1202" s="32" t="n"/>
      <c r="I1202" s="27">
        <f>IF($A1202="","",SUMIFS(入库单!$K$4:$K$2503,入库单!$G$4:$G$2503,$A1202,入库单!$X$4:$X$2503,"采购入库",入库单!$Z$4:$Z$2503,"正常",入库单!$C$4:$C$2503,"&gt;="&amp;账期起,入库单!$C$4:$C$2503,"&lt;="&amp;账期止))</f>
        <v/>
      </c>
      <c r="J1202" s="26">
        <f>IF($A1202="","",SUMIFS(入库单!$V$4:$V$2503,入库单!$G$4:$G$2503,$A1202,入库单!$X$4:$X$2503,"采购入库",入库单!$Z$4:$Z$2503,"正常",入库单!$C$4:$C$2503,"&gt;="&amp;账期起,入库单!$C$4:$C$2503,"&lt;="&amp;账期止))</f>
        <v/>
      </c>
      <c r="K1202" s="26">
        <f>IF($A1202="","",IFERROR(ROUND((N($H1202)+N($J1202))/(N($G1202)+N($I1202)),2),0))</f>
        <v/>
      </c>
      <c r="L1202" s="27">
        <f>IF($A1202="","",SUMIFS(入库单!$K$4:$K$2503,入库单!$G$4:$G$2503,$A1202,入库单!$X$4:$X$2503,"盘盈",入库单!$Z$4:$Z$2503,"正常",入库单!$C$4:$C$2503,"&gt;="&amp;账期起,入库单!$C$4:$C$2503,"&lt;="&amp;账期止))</f>
        <v/>
      </c>
      <c r="M1202" s="26">
        <f>IF($A1202="","",ROUND($L1202*$K1202,0))</f>
        <v/>
      </c>
      <c r="N1202" s="27">
        <f>IF($A1202="","",SUMIFS(入库单!$K$4:$K$2503,入库单!$G$4:$G$2503,$A1202,入库单!$X$4:$X$2503,"矿区退库",入库单!$Z$4:$Z$2503,"正常",入库单!$C$4:$C$2503,"&gt;="&amp;账期起,入库单!$C$4:$C$2503,"&lt;="&amp;账期止))</f>
        <v/>
      </c>
      <c r="O1202" s="26">
        <f>IF($A1202="","",ROUND($N1202*$K1202,0))</f>
        <v/>
      </c>
      <c r="P1202" s="27">
        <f>IF($A1202="","",SUMIFS(出库单!$J$4:$J$4003,出库单!$D$4:$D$4003,$A1202,出库单!$K$4:$K$4003,"自用消耗",出库单!$U$4:$U$4003,"正常",出库单!$C$4:$C$4003,"&gt;="&amp;账期起,出库单!$C$4:$C$4003,"&lt;="&amp;账期止))</f>
        <v/>
      </c>
      <c r="Q1202" s="26">
        <f>IF($A1202="","",ROUND(SUMIFS(出库单!$S$4:$S$4003,出库单!$D$4:$D$4003,$A1202,出库单!$K$4:$K$4003,"自用消耗",出库单!$U$4:$U$4003,"正常",出库单!$C$4:$C$4003,"&gt;="&amp;账期起,出库单!$C$4:$C$4003,"&lt;="&amp;账期止),0))</f>
        <v/>
      </c>
      <c r="R1202" s="27">
        <f>IF($A1202="","",SUMIFS(出库单!$J$4:$J$4003,出库单!$D$4:$D$4003,$A1202,出库单!$K$4:$K$4003,"对外销售",出库单!$U$4:$U$4003,"正常",出库单!$C$4:$C$4003,"&gt;="&amp;账期起,出库单!$C$4:$C$4003,"&lt;="&amp;账期止))</f>
        <v/>
      </c>
      <c r="S1202" s="26">
        <f>IF($A1202="","",ROUND(SUMIFS(出库单!$S$4:$S$4003,出库单!$D$4:$D$4003,$A1202,出库单!$K$4:$K$4003,"对外销售",出库单!$U$4:$U$4003,"正常",出库单!$C$4:$C$4003,"&gt;="&amp;账期起,出库单!$C$4:$C$4003,"&lt;="&amp;账期止),0))</f>
        <v/>
      </c>
      <c r="T1202" s="27">
        <f>IF($A1202="","",SUMIFS(出库单!$J$4:$J$4003,出库单!$D$4:$D$4003,$A1202,出库单!$K$4:$K$4003,"盘亏",出库单!$U$4:$U$4003,"正常",出库单!$C$4:$C$4003,"&gt;="&amp;账期起,出库单!$C$4:$C$4003,"&lt;="&amp;账期止))</f>
        <v/>
      </c>
      <c r="U1202" s="26">
        <f>IF($A1202="","",ROUND(SUMIFS(出库单!$S$4:$S$4003,出库单!$D$4:$D$4003,$A1202,出库单!$K$4:$K$4003,"盘亏",出库单!$U$4:$U$4003,"正常",出库单!$C$4:$C$4003,"&gt;="&amp;账期起,出库单!$C$4:$C$4003,"&lt;="&amp;账期止),0))</f>
        <v/>
      </c>
      <c r="V1202" s="27">
        <f>IF($A1202="","",SUMIFS(出库单!$J$4:$J$4003,出库单!$D$4:$D$4003,$A1202,出库单!$K$4:$K$4003,"退货给供应商",出库单!$U$4:$U$4003,"正常",出库单!$C$4:$C$4003,"&gt;="&amp;账期起,出库单!$C$4:$C$4003,"&lt;="&amp;账期止))</f>
        <v/>
      </c>
      <c r="W1202" s="26">
        <f>IF($A1202="","",ROUND(SUMIFS(出库单!$S$4:$S$4003,出库单!$D$4:$D$4003,$A1202,出库单!$K$4:$K$4003,"退货给供应商",出库单!$U$4:$U$4003,"正常",出库单!$C$4:$C$4003,"&gt;="&amp;账期起,出库单!$C$4:$C$4003,"&lt;="&amp;账期止),0))</f>
        <v/>
      </c>
      <c r="X1202" s="27">
        <f>IF($A1202="","",ROUND(N($G1202)+$I1202+$L1202+$N1202-$P1202-$R1202-$T1202-$V1202,3))</f>
        <v/>
      </c>
      <c r="Y1202" s="26">
        <f>IF($A1202="","",ROUND(N($H1202)+$J1202+$M1202+$O1202-$Q1202-$S1202-$U1202-$W1202,0))</f>
        <v/>
      </c>
      <c r="Z1202" s="24">
        <f>IF($A1202="","",IF(COUNTIFS(入库单!$G$4:$G$2503,$A1202,入库单!$Y$4:$Y$2503,"待补价")+COUNTIFS(入库单!$G$4:$G$2503,$A1202,入库单!$Y$4:$Y$2503,"暂估")&gt;0,"不可信","可信"))</f>
        <v/>
      </c>
      <c r="AA1202" s="24">
        <f>IF($A1202="","",IF($X1202&lt;-0.001,"※账面负库存，查一下是不是漏记入库",IF(AND(ROUND($X1202,3)=0,ABS($Y1202)&gt;1),"※数量已经是 0，金额还挂着 "&amp;TEXT($Y1202,"#,##0")&amp;" 先令",IF(AND($X1202&gt;0,$Y1202&lt;=0,$K1202=0),"※有数量没金额（这个物料一直没填过进价）",IF($Z1202="不可信","△成本含待补价/暂估，毛利仅供参考","")))))</f>
        <v/>
      </c>
    </row>
    <row r="1203">
      <c r="A1203" s="24">
        <f>IF(物料档案!$A1202="","",物料档案!$A1202)</f>
        <v/>
      </c>
      <c r="B1203" s="24">
        <f>IF($A1203="","",IFERROR(VLOOKUP($A1203,物料档案!$A$4:$P$1203,3,0),""))</f>
        <v/>
      </c>
      <c r="C1203" s="24">
        <f>IF($A1203="","",IFERROR(VLOOKUP($A1203,物料档案!$A$4:$P$1203,4,0),""))</f>
        <v/>
      </c>
      <c r="D1203" s="24">
        <f>IF($A1203="","",IFERROR(VLOOKUP($A1203,物料档案!$A$4:$P$1203,5,0),""))</f>
        <v/>
      </c>
      <c r="E1203" s="24">
        <f>IF($A1203="","",IFERROR(VLOOKUP($A1203,物料档案!$A$4:$P$1203,2,0),""))</f>
        <v/>
      </c>
      <c r="F1203" s="24">
        <f>IF($A1203="","",IFERROR(VLOOKUP($A1203,物料档案!$A$4:$P$1203,6,0),""))</f>
        <v/>
      </c>
      <c r="G1203" s="23" t="n"/>
      <c r="H1203" s="32" t="n"/>
      <c r="I1203" s="27">
        <f>IF($A1203="","",SUMIFS(入库单!$K$4:$K$2503,入库单!$G$4:$G$2503,$A1203,入库单!$X$4:$X$2503,"采购入库",入库单!$Z$4:$Z$2503,"正常",入库单!$C$4:$C$2503,"&gt;="&amp;账期起,入库单!$C$4:$C$2503,"&lt;="&amp;账期止))</f>
        <v/>
      </c>
      <c r="J1203" s="26">
        <f>IF($A1203="","",SUMIFS(入库单!$V$4:$V$2503,入库单!$G$4:$G$2503,$A1203,入库单!$X$4:$X$2503,"采购入库",入库单!$Z$4:$Z$2503,"正常",入库单!$C$4:$C$2503,"&gt;="&amp;账期起,入库单!$C$4:$C$2503,"&lt;="&amp;账期止))</f>
        <v/>
      </c>
      <c r="K1203" s="26">
        <f>IF($A1203="","",IFERROR(ROUND((N($H1203)+N($J1203))/(N($G1203)+N($I1203)),2),0))</f>
        <v/>
      </c>
      <c r="L1203" s="27">
        <f>IF($A1203="","",SUMIFS(入库单!$K$4:$K$2503,入库单!$G$4:$G$2503,$A1203,入库单!$X$4:$X$2503,"盘盈",入库单!$Z$4:$Z$2503,"正常",入库单!$C$4:$C$2503,"&gt;="&amp;账期起,入库单!$C$4:$C$2503,"&lt;="&amp;账期止))</f>
        <v/>
      </c>
      <c r="M1203" s="26">
        <f>IF($A1203="","",ROUND($L1203*$K1203,0))</f>
        <v/>
      </c>
      <c r="N1203" s="27">
        <f>IF($A1203="","",SUMIFS(入库单!$K$4:$K$2503,入库单!$G$4:$G$2503,$A1203,入库单!$X$4:$X$2503,"矿区退库",入库单!$Z$4:$Z$2503,"正常",入库单!$C$4:$C$2503,"&gt;="&amp;账期起,入库单!$C$4:$C$2503,"&lt;="&amp;账期止))</f>
        <v/>
      </c>
      <c r="O1203" s="26">
        <f>IF($A1203="","",ROUND($N1203*$K1203,0))</f>
        <v/>
      </c>
      <c r="P1203" s="27">
        <f>IF($A1203="","",SUMIFS(出库单!$J$4:$J$4003,出库单!$D$4:$D$4003,$A1203,出库单!$K$4:$K$4003,"自用消耗",出库单!$U$4:$U$4003,"正常",出库单!$C$4:$C$4003,"&gt;="&amp;账期起,出库单!$C$4:$C$4003,"&lt;="&amp;账期止))</f>
        <v/>
      </c>
      <c r="Q1203" s="26">
        <f>IF($A1203="","",ROUND(SUMIFS(出库单!$S$4:$S$4003,出库单!$D$4:$D$4003,$A1203,出库单!$K$4:$K$4003,"自用消耗",出库单!$U$4:$U$4003,"正常",出库单!$C$4:$C$4003,"&gt;="&amp;账期起,出库单!$C$4:$C$4003,"&lt;="&amp;账期止),0))</f>
        <v/>
      </c>
      <c r="R1203" s="27">
        <f>IF($A1203="","",SUMIFS(出库单!$J$4:$J$4003,出库单!$D$4:$D$4003,$A1203,出库单!$K$4:$K$4003,"对外销售",出库单!$U$4:$U$4003,"正常",出库单!$C$4:$C$4003,"&gt;="&amp;账期起,出库单!$C$4:$C$4003,"&lt;="&amp;账期止))</f>
        <v/>
      </c>
      <c r="S1203" s="26">
        <f>IF($A1203="","",ROUND(SUMIFS(出库单!$S$4:$S$4003,出库单!$D$4:$D$4003,$A1203,出库单!$K$4:$K$4003,"对外销售",出库单!$U$4:$U$4003,"正常",出库单!$C$4:$C$4003,"&gt;="&amp;账期起,出库单!$C$4:$C$4003,"&lt;="&amp;账期止),0))</f>
        <v/>
      </c>
      <c r="T1203" s="27">
        <f>IF($A1203="","",SUMIFS(出库单!$J$4:$J$4003,出库单!$D$4:$D$4003,$A1203,出库单!$K$4:$K$4003,"盘亏",出库单!$U$4:$U$4003,"正常",出库单!$C$4:$C$4003,"&gt;="&amp;账期起,出库单!$C$4:$C$4003,"&lt;="&amp;账期止))</f>
        <v/>
      </c>
      <c r="U1203" s="26">
        <f>IF($A1203="","",ROUND(SUMIFS(出库单!$S$4:$S$4003,出库单!$D$4:$D$4003,$A1203,出库单!$K$4:$K$4003,"盘亏",出库单!$U$4:$U$4003,"正常",出库单!$C$4:$C$4003,"&gt;="&amp;账期起,出库单!$C$4:$C$4003,"&lt;="&amp;账期止),0))</f>
        <v/>
      </c>
      <c r="V1203" s="27">
        <f>IF($A1203="","",SUMIFS(出库单!$J$4:$J$4003,出库单!$D$4:$D$4003,$A1203,出库单!$K$4:$K$4003,"退货给供应商",出库单!$U$4:$U$4003,"正常",出库单!$C$4:$C$4003,"&gt;="&amp;账期起,出库单!$C$4:$C$4003,"&lt;="&amp;账期止))</f>
        <v/>
      </c>
      <c r="W1203" s="26">
        <f>IF($A1203="","",ROUND(SUMIFS(出库单!$S$4:$S$4003,出库单!$D$4:$D$4003,$A1203,出库单!$K$4:$K$4003,"退货给供应商",出库单!$U$4:$U$4003,"正常",出库单!$C$4:$C$4003,"&gt;="&amp;账期起,出库单!$C$4:$C$4003,"&lt;="&amp;账期止),0))</f>
        <v/>
      </c>
      <c r="X1203" s="27">
        <f>IF($A1203="","",ROUND(N($G1203)+$I1203+$L1203+$N1203-$P1203-$R1203-$T1203-$V1203,3))</f>
        <v/>
      </c>
      <c r="Y1203" s="26">
        <f>IF($A1203="","",ROUND(N($H1203)+$J1203+$M1203+$O1203-$Q1203-$S1203-$U1203-$W1203,0))</f>
        <v/>
      </c>
      <c r="Z1203" s="24">
        <f>IF($A1203="","",IF(COUNTIFS(入库单!$G$4:$G$2503,$A1203,入库单!$Y$4:$Y$2503,"待补价")+COUNTIFS(入库单!$G$4:$G$2503,$A1203,入库单!$Y$4:$Y$2503,"暂估")&gt;0,"不可信","可信"))</f>
        <v/>
      </c>
      <c r="AA1203" s="24">
        <f>IF($A1203="","",IF($X1203&lt;-0.001,"※账面负库存，查一下是不是漏记入库",IF(AND(ROUND($X1203,3)=0,ABS($Y1203)&gt;1),"※数量已经是 0，金额还挂着 "&amp;TEXT($Y1203,"#,##0")&amp;" 先令",IF(AND($X1203&gt;0,$Y1203&lt;=0,$K1203=0),"※有数量没金额（这个物料一直没填过进价）",IF($Z1203="不可信","△成本含待补价/暂估，毛利仅供参考","")))))</f>
        <v/>
      </c>
    </row>
    <row r="1204">
      <c r="A1204" s="24">
        <f>IF(物料档案!$A1203="","",物料档案!$A1203)</f>
        <v/>
      </c>
      <c r="B1204" s="24">
        <f>IF($A1204="","",IFERROR(VLOOKUP($A1204,物料档案!$A$4:$P$1203,3,0),""))</f>
        <v/>
      </c>
      <c r="C1204" s="24">
        <f>IF($A1204="","",IFERROR(VLOOKUP($A1204,物料档案!$A$4:$P$1203,4,0),""))</f>
        <v/>
      </c>
      <c r="D1204" s="24">
        <f>IF($A1204="","",IFERROR(VLOOKUP($A1204,物料档案!$A$4:$P$1203,5,0),""))</f>
        <v/>
      </c>
      <c r="E1204" s="24">
        <f>IF($A1204="","",IFERROR(VLOOKUP($A1204,物料档案!$A$4:$P$1203,2,0),""))</f>
        <v/>
      </c>
      <c r="F1204" s="24">
        <f>IF($A1204="","",IFERROR(VLOOKUP($A1204,物料档案!$A$4:$P$1203,6,0),""))</f>
        <v/>
      </c>
      <c r="G1204" s="23" t="n"/>
      <c r="H1204" s="32" t="n"/>
      <c r="I1204" s="27">
        <f>IF($A1204="","",SUMIFS(入库单!$K$4:$K$2503,入库单!$G$4:$G$2503,$A1204,入库单!$X$4:$X$2503,"采购入库",入库单!$Z$4:$Z$2503,"正常",入库单!$C$4:$C$2503,"&gt;="&amp;账期起,入库单!$C$4:$C$2503,"&lt;="&amp;账期止))</f>
        <v/>
      </c>
      <c r="J1204" s="26">
        <f>IF($A1204="","",SUMIFS(入库单!$V$4:$V$2503,入库单!$G$4:$G$2503,$A1204,入库单!$X$4:$X$2503,"采购入库",入库单!$Z$4:$Z$2503,"正常",入库单!$C$4:$C$2503,"&gt;="&amp;账期起,入库单!$C$4:$C$2503,"&lt;="&amp;账期止))</f>
        <v/>
      </c>
      <c r="K1204" s="26">
        <f>IF($A1204="","",IFERROR(ROUND((N($H1204)+N($J1204))/(N($G1204)+N($I1204)),2),0))</f>
        <v/>
      </c>
      <c r="L1204" s="27">
        <f>IF($A1204="","",SUMIFS(入库单!$K$4:$K$2503,入库单!$G$4:$G$2503,$A1204,入库单!$X$4:$X$2503,"盘盈",入库单!$Z$4:$Z$2503,"正常",入库单!$C$4:$C$2503,"&gt;="&amp;账期起,入库单!$C$4:$C$2503,"&lt;="&amp;账期止))</f>
        <v/>
      </c>
      <c r="M1204" s="26">
        <f>IF($A1204="","",ROUND($L1204*$K1204,0))</f>
        <v/>
      </c>
      <c r="N1204" s="27">
        <f>IF($A1204="","",SUMIFS(入库单!$K$4:$K$2503,入库单!$G$4:$G$2503,$A1204,入库单!$X$4:$X$2503,"矿区退库",入库单!$Z$4:$Z$2503,"正常",入库单!$C$4:$C$2503,"&gt;="&amp;账期起,入库单!$C$4:$C$2503,"&lt;="&amp;账期止))</f>
        <v/>
      </c>
      <c r="O1204" s="26">
        <f>IF($A1204="","",ROUND($N1204*$K1204,0))</f>
        <v/>
      </c>
      <c r="P1204" s="27">
        <f>IF($A1204="","",SUMIFS(出库单!$J$4:$J$4003,出库单!$D$4:$D$4003,$A1204,出库单!$K$4:$K$4003,"自用消耗",出库单!$U$4:$U$4003,"正常",出库单!$C$4:$C$4003,"&gt;="&amp;账期起,出库单!$C$4:$C$4003,"&lt;="&amp;账期止))</f>
        <v/>
      </c>
      <c r="Q1204" s="26">
        <f>IF($A1204="","",ROUND(SUMIFS(出库单!$S$4:$S$4003,出库单!$D$4:$D$4003,$A1204,出库单!$K$4:$K$4003,"自用消耗",出库单!$U$4:$U$4003,"正常",出库单!$C$4:$C$4003,"&gt;="&amp;账期起,出库单!$C$4:$C$4003,"&lt;="&amp;账期止),0))</f>
        <v/>
      </c>
      <c r="R1204" s="27">
        <f>IF($A1204="","",SUMIFS(出库单!$J$4:$J$4003,出库单!$D$4:$D$4003,$A1204,出库单!$K$4:$K$4003,"对外销售",出库单!$U$4:$U$4003,"正常",出库单!$C$4:$C$4003,"&gt;="&amp;账期起,出库单!$C$4:$C$4003,"&lt;="&amp;账期止))</f>
        <v/>
      </c>
      <c r="S1204" s="26">
        <f>IF($A1204="","",ROUND(SUMIFS(出库单!$S$4:$S$4003,出库单!$D$4:$D$4003,$A1204,出库单!$K$4:$K$4003,"对外销售",出库单!$U$4:$U$4003,"正常",出库单!$C$4:$C$4003,"&gt;="&amp;账期起,出库单!$C$4:$C$4003,"&lt;="&amp;账期止),0))</f>
        <v/>
      </c>
      <c r="T1204" s="27">
        <f>IF($A1204="","",SUMIFS(出库单!$J$4:$J$4003,出库单!$D$4:$D$4003,$A1204,出库单!$K$4:$K$4003,"盘亏",出库单!$U$4:$U$4003,"正常",出库单!$C$4:$C$4003,"&gt;="&amp;账期起,出库单!$C$4:$C$4003,"&lt;="&amp;账期止))</f>
        <v/>
      </c>
      <c r="U1204" s="26">
        <f>IF($A1204="","",ROUND(SUMIFS(出库单!$S$4:$S$4003,出库单!$D$4:$D$4003,$A1204,出库单!$K$4:$K$4003,"盘亏",出库单!$U$4:$U$4003,"正常",出库单!$C$4:$C$4003,"&gt;="&amp;账期起,出库单!$C$4:$C$4003,"&lt;="&amp;账期止),0))</f>
        <v/>
      </c>
      <c r="V1204" s="27">
        <f>IF($A1204="","",SUMIFS(出库单!$J$4:$J$4003,出库单!$D$4:$D$4003,$A1204,出库单!$K$4:$K$4003,"退货给供应商",出库单!$U$4:$U$4003,"正常",出库单!$C$4:$C$4003,"&gt;="&amp;账期起,出库单!$C$4:$C$4003,"&lt;="&amp;账期止))</f>
        <v/>
      </c>
      <c r="W1204" s="26">
        <f>IF($A1204="","",ROUND(SUMIFS(出库单!$S$4:$S$4003,出库单!$D$4:$D$4003,$A1204,出库单!$K$4:$K$4003,"退货给供应商",出库单!$U$4:$U$4003,"正常",出库单!$C$4:$C$4003,"&gt;="&amp;账期起,出库单!$C$4:$C$4003,"&lt;="&amp;账期止),0))</f>
        <v/>
      </c>
      <c r="X1204" s="27">
        <f>IF($A1204="","",ROUND(N($G1204)+$I1204+$L1204+$N1204-$P1204-$R1204-$T1204-$V1204,3))</f>
        <v/>
      </c>
      <c r="Y1204" s="26">
        <f>IF($A1204="","",ROUND(N($H1204)+$J1204+$M1204+$O1204-$Q1204-$S1204-$U1204-$W1204,0))</f>
        <v/>
      </c>
      <c r="Z1204" s="24">
        <f>IF($A1204="","",IF(COUNTIFS(入库单!$G$4:$G$2503,$A1204,入库单!$Y$4:$Y$2503,"待补价")+COUNTIFS(入库单!$G$4:$G$2503,$A1204,入库单!$Y$4:$Y$2503,"暂估")&gt;0,"不可信","可信"))</f>
        <v/>
      </c>
      <c r="AA1204" s="24">
        <f>IF($A1204="","",IF($X1204&lt;-0.001,"※账面负库存，查一下是不是漏记入库",IF(AND(ROUND($X1204,3)=0,ABS($Y1204)&gt;1),"※数量已经是 0，金额还挂着 "&amp;TEXT($Y1204,"#,##0")&amp;" 先令",IF(AND($X1204&gt;0,$Y1204&lt;=0,$K1204=0),"※有数量没金额（这个物料一直没填过进价）",IF($Z1204="不可信","△成本含待补价/暂估，毛利仅供参考","")))))</f>
        <v/>
      </c>
    </row>
  </sheetData>
  <autoFilter ref="A3:AA1204"/>
  <mergeCells count="2">
    <mergeCell ref="A1:AA1"/>
    <mergeCell ref="A2:AA2"/>
  </mergeCells>
  <conditionalFormatting sqref="AA5:AA1204">
    <cfRule type="expression" priority="1" dxfId="1">
      <formula>LEFT(AA5,1)="※"</formula>
    </cfRule>
    <cfRule type="expression" priority="2" dxfId="2">
      <formula>LEFT(AA5,1)="△"</formula>
    </cfRule>
  </conditionalFormatting>
  <conditionalFormatting sqref="X5:X1204">
    <cfRule type="cellIs" priority="3" operator="lessThan" dxfId="0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R120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24" customWidth="1" min="3" max="3"/>
    <col width="8" customWidth="1" min="4" max="4"/>
    <col width="13" customWidth="1" min="5" max="5"/>
    <col width="8" customWidth="1" min="6" max="6"/>
    <col width="12" customWidth="1" min="7" max="7"/>
    <col width="12" customWidth="1" min="8" max="8"/>
    <col width="12" customWidth="1" min="9" max="9"/>
    <col width="12" customWidth="1" min="10" max="10"/>
    <col width="14" customWidth="1" min="11" max="11"/>
    <col width="15" customWidth="1" min="12" max="12"/>
    <col width="10" customWidth="1" min="13" max="13"/>
    <col width="14" customWidth="1" min="14" max="14"/>
    <col width="12" customWidth="1" min="15" max="15"/>
    <col width="14" customWidth="1" min="16" max="16"/>
    <col width="10" customWidth="1" min="17" max="17"/>
    <col width="10" customWidth="1" min="18" max="18"/>
  </cols>
  <sheetData>
    <row r="1" ht="30" customHeight="1">
      <c r="A1" s="12" t="inlineStr">
        <is>
          <t>月度盘点 · 盲盘（打印给库管的那一版只印到 H 列，看不到账面数）</t>
        </is>
      </c>
    </row>
    <row r="2" ht="24" customHeight="1">
      <c r="A2" s="13" t="inlineStr">
        <is>
          <t>炸药、柴油、药剂、钢球这些重点物资每月必须全盘、两个人签字；其余可以按大类轮盘，但一年内要盘一遍。盘出差异**不许直接改库存台账** —— 盘盈去【入库单】记一行「盘盈」，盘亏去【出库单】记一行「盘亏」，库存永远是算出来的，不是手改的。</t>
        </is>
      </c>
    </row>
    <row r="3" ht="34" customHeight="1">
      <c r="A3" s="33" t="inlineStr">
        <is>
          <t>物料编码</t>
        </is>
      </c>
      <c r="B3" s="33" t="inlineStr">
        <is>
          <t>品名</t>
        </is>
      </c>
      <c r="C3" s="33" t="inlineStr">
        <is>
          <t>规格型号</t>
        </is>
      </c>
      <c r="D3" s="33" t="inlineStr">
        <is>
          <t>单位</t>
        </is>
      </c>
      <c r="E3" s="33" t="inlineStr">
        <is>
          <t>大类</t>
        </is>
      </c>
      <c r="F3" s="33" t="inlineStr">
        <is>
          <t>重点</t>
        </is>
      </c>
      <c r="G3" s="33" t="inlineStr">
        <is>
          <t>存放位置</t>
        </is>
      </c>
      <c r="H3" s="33" t="inlineStr">
        <is>
          <t>实盘数量</t>
        </is>
      </c>
      <c r="I3" s="33" t="inlineStr">
        <is>
          <t>账面数量</t>
        </is>
      </c>
      <c r="J3" s="33" t="inlineStr">
        <is>
          <t>差异数量</t>
        </is>
      </c>
      <c r="K3" s="33" t="inlineStr">
        <is>
          <t>单位成本·先令</t>
        </is>
      </c>
      <c r="L3" s="33" t="inlineStr">
        <is>
          <t>差异金额·先令</t>
        </is>
      </c>
      <c r="M3" s="33" t="inlineStr">
        <is>
          <t>差异率</t>
        </is>
      </c>
      <c r="N3" s="33" t="inlineStr">
        <is>
          <t>差异原因</t>
        </is>
      </c>
      <c r="O3" s="33" t="inlineStr">
        <is>
          <t>处理方式</t>
        </is>
      </c>
      <c r="P3" s="33" t="inlineStr">
        <is>
          <t>是否已调账</t>
        </is>
      </c>
      <c r="Q3" s="33" t="inlineStr">
        <is>
          <t>盘点人</t>
        </is>
      </c>
      <c r="R3" s="33" t="inlineStr">
        <is>
          <t>复核人</t>
        </is>
      </c>
    </row>
    <row r="5">
      <c r="A5" s="24">
        <f>IF(库存台账!$A5="","",库存台账!$A5)</f>
        <v/>
      </c>
      <c r="B5" s="24">
        <f>IF($A5="","",库存台账!$B5)</f>
        <v/>
      </c>
      <c r="C5" s="24">
        <f>IF($A5="","",库存台账!$C5)</f>
        <v/>
      </c>
      <c r="D5" s="24">
        <f>IF($A5="","",库存台账!$D5)</f>
        <v/>
      </c>
      <c r="E5" s="24">
        <f>IF($A5="","",库存台账!$E5)</f>
        <v/>
      </c>
      <c r="F5" s="24">
        <f>IF($A5="","",库存台账!$F5)</f>
        <v/>
      </c>
      <c r="G5" s="17" t="n"/>
      <c r="H5" s="23" t="n"/>
      <c r="I5" s="27">
        <f>IF($A5="","",库存台账!$X5)</f>
        <v/>
      </c>
      <c r="J5" s="27">
        <f>IF(OR($A5="",$H5=""),"",ROUND($H5-$I5,3))</f>
        <v/>
      </c>
      <c r="K5" s="26">
        <f>IF($A5="","",库存台账!$K5)</f>
        <v/>
      </c>
      <c r="L5" s="26">
        <f>IF($J5="","",ROUND($J5*$K5,0))</f>
        <v/>
      </c>
      <c r="M5" s="37">
        <f>IF(OR($J5="",$I5=0),"",ROUND($J5/$I5,4))</f>
        <v/>
      </c>
      <c r="N5" s="17" t="n"/>
      <c r="O5" s="17" t="n"/>
      <c r="P5" s="24">
        <f>IF($J5="","未盘",IF(ROUND($J5,3)=0,"账实相符",IF(COUNTIFS(入库单!$G$4:$G$2503,$A5,入库单!$X$4:$X$2503,"盘盈",入库单!$C$4:$C$2503,"&gt;="&amp;账期起,入库单!$C$4:$C$2503,"&lt;="&amp;账期止)+COUNTIFS(出库单!$D$4:$D$4003,$A5,出库单!$K$4:$K$4003,"盘亏",出库单!$C$4:$C$4003,"&gt;="&amp;账期起,出库单!$C$4:$C$4003,"&lt;="&amp;账期止)&gt;0,"已调账","※差异还没调账")))</f>
        <v/>
      </c>
      <c r="Q5" s="17" t="n"/>
      <c r="R5" s="17" t="n"/>
    </row>
    <row r="6">
      <c r="A6" s="24">
        <f>IF(库存台账!$A6="","",库存台账!$A6)</f>
        <v/>
      </c>
      <c r="B6" s="24">
        <f>IF($A6="","",库存台账!$B6)</f>
        <v/>
      </c>
      <c r="C6" s="24">
        <f>IF($A6="","",库存台账!$C6)</f>
        <v/>
      </c>
      <c r="D6" s="24">
        <f>IF($A6="","",库存台账!$D6)</f>
        <v/>
      </c>
      <c r="E6" s="24">
        <f>IF($A6="","",库存台账!$E6)</f>
        <v/>
      </c>
      <c r="F6" s="24">
        <f>IF($A6="","",库存台账!$F6)</f>
        <v/>
      </c>
      <c r="G6" s="17" t="n"/>
      <c r="H6" s="23" t="n"/>
      <c r="I6" s="27">
        <f>IF($A6="","",库存台账!$X6)</f>
        <v/>
      </c>
      <c r="J6" s="27">
        <f>IF(OR($A6="",$H6=""),"",ROUND($H6-$I6,3))</f>
        <v/>
      </c>
      <c r="K6" s="26">
        <f>IF($A6="","",库存台账!$K6)</f>
        <v/>
      </c>
      <c r="L6" s="26">
        <f>IF($J6="","",ROUND($J6*$K6,0))</f>
        <v/>
      </c>
      <c r="M6" s="37">
        <f>IF(OR($J6="",$I6=0),"",ROUND($J6/$I6,4))</f>
        <v/>
      </c>
      <c r="N6" s="17" t="n"/>
      <c r="O6" s="17" t="n"/>
      <c r="P6" s="24">
        <f>IF($J6="","未盘",IF(ROUND($J6,3)=0,"账实相符",IF(COUNTIFS(入库单!$G$4:$G$2503,$A6,入库单!$X$4:$X$2503,"盘盈",入库单!$C$4:$C$2503,"&gt;="&amp;账期起,入库单!$C$4:$C$2503,"&lt;="&amp;账期止)+COUNTIFS(出库单!$D$4:$D$4003,$A6,出库单!$K$4:$K$4003,"盘亏",出库单!$C$4:$C$4003,"&gt;="&amp;账期起,出库单!$C$4:$C$4003,"&lt;="&amp;账期止)&gt;0,"已调账","※差异还没调账")))</f>
        <v/>
      </c>
      <c r="Q6" s="17" t="n"/>
      <c r="R6" s="17" t="n"/>
    </row>
    <row r="7">
      <c r="A7" s="24">
        <f>IF(库存台账!$A7="","",库存台账!$A7)</f>
        <v/>
      </c>
      <c r="B7" s="24">
        <f>IF($A7="","",库存台账!$B7)</f>
        <v/>
      </c>
      <c r="C7" s="24">
        <f>IF($A7="","",库存台账!$C7)</f>
        <v/>
      </c>
      <c r="D7" s="24">
        <f>IF($A7="","",库存台账!$D7)</f>
        <v/>
      </c>
      <c r="E7" s="24">
        <f>IF($A7="","",库存台账!$E7)</f>
        <v/>
      </c>
      <c r="F7" s="24">
        <f>IF($A7="","",库存台账!$F7)</f>
        <v/>
      </c>
      <c r="G7" s="17" t="n"/>
      <c r="H7" s="23" t="n"/>
      <c r="I7" s="27">
        <f>IF($A7="","",库存台账!$X7)</f>
        <v/>
      </c>
      <c r="J7" s="27">
        <f>IF(OR($A7="",$H7=""),"",ROUND($H7-$I7,3))</f>
        <v/>
      </c>
      <c r="K7" s="26">
        <f>IF($A7="","",库存台账!$K7)</f>
        <v/>
      </c>
      <c r="L7" s="26">
        <f>IF($J7="","",ROUND($J7*$K7,0))</f>
        <v/>
      </c>
      <c r="M7" s="37">
        <f>IF(OR($J7="",$I7=0),"",ROUND($J7/$I7,4))</f>
        <v/>
      </c>
      <c r="N7" s="17" t="n"/>
      <c r="O7" s="17" t="n"/>
      <c r="P7" s="24">
        <f>IF($J7="","未盘",IF(ROUND($J7,3)=0,"账实相符",IF(COUNTIFS(入库单!$G$4:$G$2503,$A7,入库单!$X$4:$X$2503,"盘盈",入库单!$C$4:$C$2503,"&gt;="&amp;账期起,入库单!$C$4:$C$2503,"&lt;="&amp;账期止)+COUNTIFS(出库单!$D$4:$D$4003,$A7,出库单!$K$4:$K$4003,"盘亏",出库单!$C$4:$C$4003,"&gt;="&amp;账期起,出库单!$C$4:$C$4003,"&lt;="&amp;账期止)&gt;0,"已调账","※差异还没调账")))</f>
        <v/>
      </c>
      <c r="Q7" s="17" t="n"/>
      <c r="R7" s="17" t="n"/>
    </row>
    <row r="8">
      <c r="A8" s="24">
        <f>IF(库存台账!$A8="","",库存台账!$A8)</f>
        <v/>
      </c>
      <c r="B8" s="24">
        <f>IF($A8="","",库存台账!$B8)</f>
        <v/>
      </c>
      <c r="C8" s="24">
        <f>IF($A8="","",库存台账!$C8)</f>
        <v/>
      </c>
      <c r="D8" s="24">
        <f>IF($A8="","",库存台账!$D8)</f>
        <v/>
      </c>
      <c r="E8" s="24">
        <f>IF($A8="","",库存台账!$E8)</f>
        <v/>
      </c>
      <c r="F8" s="24">
        <f>IF($A8="","",库存台账!$F8)</f>
        <v/>
      </c>
      <c r="G8" s="17" t="n"/>
      <c r="H8" s="23" t="n"/>
      <c r="I8" s="27">
        <f>IF($A8="","",库存台账!$X8)</f>
        <v/>
      </c>
      <c r="J8" s="27">
        <f>IF(OR($A8="",$H8=""),"",ROUND($H8-$I8,3))</f>
        <v/>
      </c>
      <c r="K8" s="26">
        <f>IF($A8="","",库存台账!$K8)</f>
        <v/>
      </c>
      <c r="L8" s="26">
        <f>IF($J8="","",ROUND($J8*$K8,0))</f>
        <v/>
      </c>
      <c r="M8" s="37">
        <f>IF(OR($J8="",$I8=0),"",ROUND($J8/$I8,4))</f>
        <v/>
      </c>
      <c r="N8" s="17" t="n"/>
      <c r="O8" s="17" t="n"/>
      <c r="P8" s="24">
        <f>IF($J8="","未盘",IF(ROUND($J8,3)=0,"账实相符",IF(COUNTIFS(入库单!$G$4:$G$2503,$A8,入库单!$X$4:$X$2503,"盘盈",入库单!$C$4:$C$2503,"&gt;="&amp;账期起,入库单!$C$4:$C$2503,"&lt;="&amp;账期止)+COUNTIFS(出库单!$D$4:$D$4003,$A8,出库单!$K$4:$K$4003,"盘亏",出库单!$C$4:$C$4003,"&gt;="&amp;账期起,出库单!$C$4:$C$4003,"&lt;="&amp;账期止)&gt;0,"已调账","※差异还没调账")))</f>
        <v/>
      </c>
      <c r="Q8" s="17" t="n"/>
      <c r="R8" s="17" t="n"/>
    </row>
    <row r="9">
      <c r="A9" s="24">
        <f>IF(库存台账!$A9="","",库存台账!$A9)</f>
        <v/>
      </c>
      <c r="B9" s="24">
        <f>IF($A9="","",库存台账!$B9)</f>
        <v/>
      </c>
      <c r="C9" s="24">
        <f>IF($A9="","",库存台账!$C9)</f>
        <v/>
      </c>
      <c r="D9" s="24">
        <f>IF($A9="","",库存台账!$D9)</f>
        <v/>
      </c>
      <c r="E9" s="24">
        <f>IF($A9="","",库存台账!$E9)</f>
        <v/>
      </c>
      <c r="F9" s="24">
        <f>IF($A9="","",库存台账!$F9)</f>
        <v/>
      </c>
      <c r="G9" s="17" t="n"/>
      <c r="H9" s="23" t="n"/>
      <c r="I9" s="27">
        <f>IF($A9="","",库存台账!$X9)</f>
        <v/>
      </c>
      <c r="J9" s="27">
        <f>IF(OR($A9="",$H9=""),"",ROUND($H9-$I9,3))</f>
        <v/>
      </c>
      <c r="K9" s="26">
        <f>IF($A9="","",库存台账!$K9)</f>
        <v/>
      </c>
      <c r="L9" s="26">
        <f>IF($J9="","",ROUND($J9*$K9,0))</f>
        <v/>
      </c>
      <c r="M9" s="37">
        <f>IF(OR($J9="",$I9=0),"",ROUND($J9/$I9,4))</f>
        <v/>
      </c>
      <c r="N9" s="17" t="n"/>
      <c r="O9" s="17" t="n"/>
      <c r="P9" s="24">
        <f>IF($J9="","未盘",IF(ROUND($J9,3)=0,"账实相符",IF(COUNTIFS(入库单!$G$4:$G$2503,$A9,入库单!$X$4:$X$2503,"盘盈",入库单!$C$4:$C$2503,"&gt;="&amp;账期起,入库单!$C$4:$C$2503,"&lt;="&amp;账期止)+COUNTIFS(出库单!$D$4:$D$4003,$A9,出库单!$K$4:$K$4003,"盘亏",出库单!$C$4:$C$4003,"&gt;="&amp;账期起,出库单!$C$4:$C$4003,"&lt;="&amp;账期止)&gt;0,"已调账","※差异还没调账")))</f>
        <v/>
      </c>
      <c r="Q9" s="17" t="n"/>
      <c r="R9" s="17" t="n"/>
    </row>
    <row r="10">
      <c r="A10" s="24">
        <f>IF(库存台账!$A10="","",库存台账!$A10)</f>
        <v/>
      </c>
      <c r="B10" s="24">
        <f>IF($A10="","",库存台账!$B10)</f>
        <v/>
      </c>
      <c r="C10" s="24">
        <f>IF($A10="","",库存台账!$C10)</f>
        <v/>
      </c>
      <c r="D10" s="24">
        <f>IF($A10="","",库存台账!$D10)</f>
        <v/>
      </c>
      <c r="E10" s="24">
        <f>IF($A10="","",库存台账!$E10)</f>
        <v/>
      </c>
      <c r="F10" s="24">
        <f>IF($A10="","",库存台账!$F10)</f>
        <v/>
      </c>
      <c r="G10" s="17" t="n"/>
      <c r="H10" s="23" t="n"/>
      <c r="I10" s="27">
        <f>IF($A10="","",库存台账!$X10)</f>
        <v/>
      </c>
      <c r="J10" s="27">
        <f>IF(OR($A10="",$H10=""),"",ROUND($H10-$I10,3))</f>
        <v/>
      </c>
      <c r="K10" s="26">
        <f>IF($A10="","",库存台账!$K10)</f>
        <v/>
      </c>
      <c r="L10" s="26">
        <f>IF($J10="","",ROUND($J10*$K10,0))</f>
        <v/>
      </c>
      <c r="M10" s="37">
        <f>IF(OR($J10="",$I10=0),"",ROUND($J10/$I10,4))</f>
        <v/>
      </c>
      <c r="N10" s="17" t="n"/>
      <c r="O10" s="17" t="n"/>
      <c r="P10" s="24">
        <f>IF($J10="","未盘",IF(ROUND($J10,3)=0,"账实相符",IF(COUNTIFS(入库单!$G$4:$G$2503,$A10,入库单!$X$4:$X$2503,"盘盈",入库单!$C$4:$C$2503,"&gt;="&amp;账期起,入库单!$C$4:$C$2503,"&lt;="&amp;账期止)+COUNTIFS(出库单!$D$4:$D$4003,$A10,出库单!$K$4:$K$4003,"盘亏",出库单!$C$4:$C$4003,"&gt;="&amp;账期起,出库单!$C$4:$C$4003,"&lt;="&amp;账期止)&gt;0,"已调账","※差异还没调账")))</f>
        <v/>
      </c>
      <c r="Q10" s="17" t="n"/>
      <c r="R10" s="17" t="n"/>
    </row>
    <row r="11">
      <c r="A11" s="24">
        <f>IF(库存台账!$A11="","",库存台账!$A11)</f>
        <v/>
      </c>
      <c r="B11" s="24">
        <f>IF($A11="","",库存台账!$B11)</f>
        <v/>
      </c>
      <c r="C11" s="24">
        <f>IF($A11="","",库存台账!$C11)</f>
        <v/>
      </c>
      <c r="D11" s="24">
        <f>IF($A11="","",库存台账!$D11)</f>
        <v/>
      </c>
      <c r="E11" s="24">
        <f>IF($A11="","",库存台账!$E11)</f>
        <v/>
      </c>
      <c r="F11" s="24">
        <f>IF($A11="","",库存台账!$F11)</f>
        <v/>
      </c>
      <c r="G11" s="17" t="n"/>
      <c r="H11" s="23" t="n"/>
      <c r="I11" s="27">
        <f>IF($A11="","",库存台账!$X11)</f>
        <v/>
      </c>
      <c r="J11" s="27">
        <f>IF(OR($A11="",$H11=""),"",ROUND($H11-$I11,3))</f>
        <v/>
      </c>
      <c r="K11" s="26">
        <f>IF($A11="","",库存台账!$K11)</f>
        <v/>
      </c>
      <c r="L11" s="26">
        <f>IF($J11="","",ROUND($J11*$K11,0))</f>
        <v/>
      </c>
      <c r="M11" s="37">
        <f>IF(OR($J11="",$I11=0),"",ROUND($J11/$I11,4))</f>
        <v/>
      </c>
      <c r="N11" s="17" t="n"/>
      <c r="O11" s="17" t="n"/>
      <c r="P11" s="24">
        <f>IF($J11="","未盘",IF(ROUND($J11,3)=0,"账实相符",IF(COUNTIFS(入库单!$G$4:$G$2503,$A11,入库单!$X$4:$X$2503,"盘盈",入库单!$C$4:$C$2503,"&gt;="&amp;账期起,入库单!$C$4:$C$2503,"&lt;="&amp;账期止)+COUNTIFS(出库单!$D$4:$D$4003,$A11,出库单!$K$4:$K$4003,"盘亏",出库单!$C$4:$C$4003,"&gt;="&amp;账期起,出库单!$C$4:$C$4003,"&lt;="&amp;账期止)&gt;0,"已调账","※差异还没调账")))</f>
        <v/>
      </c>
      <c r="Q11" s="17" t="n"/>
      <c r="R11" s="17" t="n"/>
    </row>
    <row r="12">
      <c r="A12" s="24">
        <f>IF(库存台账!$A12="","",库存台账!$A12)</f>
        <v/>
      </c>
      <c r="B12" s="24">
        <f>IF($A12="","",库存台账!$B12)</f>
        <v/>
      </c>
      <c r="C12" s="24">
        <f>IF($A12="","",库存台账!$C12)</f>
        <v/>
      </c>
      <c r="D12" s="24">
        <f>IF($A12="","",库存台账!$D12)</f>
        <v/>
      </c>
      <c r="E12" s="24">
        <f>IF($A12="","",库存台账!$E12)</f>
        <v/>
      </c>
      <c r="F12" s="24">
        <f>IF($A12="","",库存台账!$F12)</f>
        <v/>
      </c>
      <c r="G12" s="17" t="n"/>
      <c r="H12" s="23" t="n"/>
      <c r="I12" s="27">
        <f>IF($A12="","",库存台账!$X12)</f>
        <v/>
      </c>
      <c r="J12" s="27">
        <f>IF(OR($A12="",$H12=""),"",ROUND($H12-$I12,3))</f>
        <v/>
      </c>
      <c r="K12" s="26">
        <f>IF($A12="","",库存台账!$K12)</f>
        <v/>
      </c>
      <c r="L12" s="26">
        <f>IF($J12="","",ROUND($J12*$K12,0))</f>
        <v/>
      </c>
      <c r="M12" s="37">
        <f>IF(OR($J12="",$I12=0),"",ROUND($J12/$I12,4))</f>
        <v/>
      </c>
      <c r="N12" s="17" t="n"/>
      <c r="O12" s="17" t="n"/>
      <c r="P12" s="24">
        <f>IF($J12="","未盘",IF(ROUND($J12,3)=0,"账实相符",IF(COUNTIFS(入库单!$G$4:$G$2503,$A12,入库单!$X$4:$X$2503,"盘盈",入库单!$C$4:$C$2503,"&gt;="&amp;账期起,入库单!$C$4:$C$2503,"&lt;="&amp;账期止)+COUNTIFS(出库单!$D$4:$D$4003,$A12,出库单!$K$4:$K$4003,"盘亏",出库单!$C$4:$C$4003,"&gt;="&amp;账期起,出库单!$C$4:$C$4003,"&lt;="&amp;账期止)&gt;0,"已调账","※差异还没调账")))</f>
        <v/>
      </c>
      <c r="Q12" s="17" t="n"/>
      <c r="R12" s="17" t="n"/>
    </row>
    <row r="13">
      <c r="A13" s="24">
        <f>IF(库存台账!$A13="","",库存台账!$A13)</f>
        <v/>
      </c>
      <c r="B13" s="24">
        <f>IF($A13="","",库存台账!$B13)</f>
        <v/>
      </c>
      <c r="C13" s="24">
        <f>IF($A13="","",库存台账!$C13)</f>
        <v/>
      </c>
      <c r="D13" s="24">
        <f>IF($A13="","",库存台账!$D13)</f>
        <v/>
      </c>
      <c r="E13" s="24">
        <f>IF($A13="","",库存台账!$E13)</f>
        <v/>
      </c>
      <c r="F13" s="24">
        <f>IF($A13="","",库存台账!$F13)</f>
        <v/>
      </c>
      <c r="G13" s="17" t="n"/>
      <c r="H13" s="23" t="n"/>
      <c r="I13" s="27">
        <f>IF($A13="","",库存台账!$X13)</f>
        <v/>
      </c>
      <c r="J13" s="27">
        <f>IF(OR($A13="",$H13=""),"",ROUND($H13-$I13,3))</f>
        <v/>
      </c>
      <c r="K13" s="26">
        <f>IF($A13="","",库存台账!$K13)</f>
        <v/>
      </c>
      <c r="L13" s="26">
        <f>IF($J13="","",ROUND($J13*$K13,0))</f>
        <v/>
      </c>
      <c r="M13" s="37">
        <f>IF(OR($J13="",$I13=0),"",ROUND($J13/$I13,4))</f>
        <v/>
      </c>
      <c r="N13" s="17" t="n"/>
      <c r="O13" s="17" t="n"/>
      <c r="P13" s="24">
        <f>IF($J13="","未盘",IF(ROUND($J13,3)=0,"账实相符",IF(COUNTIFS(入库单!$G$4:$G$2503,$A13,入库单!$X$4:$X$2503,"盘盈",入库单!$C$4:$C$2503,"&gt;="&amp;账期起,入库单!$C$4:$C$2503,"&lt;="&amp;账期止)+COUNTIFS(出库单!$D$4:$D$4003,$A13,出库单!$K$4:$K$4003,"盘亏",出库单!$C$4:$C$4003,"&gt;="&amp;账期起,出库单!$C$4:$C$4003,"&lt;="&amp;账期止)&gt;0,"已调账","※差异还没调账")))</f>
        <v/>
      </c>
      <c r="Q13" s="17" t="n"/>
      <c r="R13" s="17" t="n"/>
    </row>
    <row r="14">
      <c r="A14" s="24">
        <f>IF(库存台账!$A14="","",库存台账!$A14)</f>
        <v/>
      </c>
      <c r="B14" s="24">
        <f>IF($A14="","",库存台账!$B14)</f>
        <v/>
      </c>
      <c r="C14" s="24">
        <f>IF($A14="","",库存台账!$C14)</f>
        <v/>
      </c>
      <c r="D14" s="24">
        <f>IF($A14="","",库存台账!$D14)</f>
        <v/>
      </c>
      <c r="E14" s="24">
        <f>IF($A14="","",库存台账!$E14)</f>
        <v/>
      </c>
      <c r="F14" s="24">
        <f>IF($A14="","",库存台账!$F14)</f>
        <v/>
      </c>
      <c r="G14" s="17" t="n"/>
      <c r="H14" s="23" t="n"/>
      <c r="I14" s="27">
        <f>IF($A14="","",库存台账!$X14)</f>
        <v/>
      </c>
      <c r="J14" s="27">
        <f>IF(OR($A14="",$H14=""),"",ROUND($H14-$I14,3))</f>
        <v/>
      </c>
      <c r="K14" s="26">
        <f>IF($A14="","",库存台账!$K14)</f>
        <v/>
      </c>
      <c r="L14" s="26">
        <f>IF($J14="","",ROUND($J14*$K14,0))</f>
        <v/>
      </c>
      <c r="M14" s="37">
        <f>IF(OR($J14="",$I14=0),"",ROUND($J14/$I14,4))</f>
        <v/>
      </c>
      <c r="N14" s="17" t="n"/>
      <c r="O14" s="17" t="n"/>
      <c r="P14" s="24">
        <f>IF($J14="","未盘",IF(ROUND($J14,3)=0,"账实相符",IF(COUNTIFS(入库单!$G$4:$G$2503,$A14,入库单!$X$4:$X$2503,"盘盈",入库单!$C$4:$C$2503,"&gt;="&amp;账期起,入库单!$C$4:$C$2503,"&lt;="&amp;账期止)+COUNTIFS(出库单!$D$4:$D$4003,$A14,出库单!$K$4:$K$4003,"盘亏",出库单!$C$4:$C$4003,"&gt;="&amp;账期起,出库单!$C$4:$C$4003,"&lt;="&amp;账期止)&gt;0,"已调账","※差异还没调账")))</f>
        <v/>
      </c>
      <c r="Q14" s="17" t="n"/>
      <c r="R14" s="17" t="n"/>
    </row>
    <row r="15">
      <c r="A15" s="24">
        <f>IF(库存台账!$A15="","",库存台账!$A15)</f>
        <v/>
      </c>
      <c r="B15" s="24">
        <f>IF($A15="","",库存台账!$B15)</f>
        <v/>
      </c>
      <c r="C15" s="24">
        <f>IF($A15="","",库存台账!$C15)</f>
        <v/>
      </c>
      <c r="D15" s="24">
        <f>IF($A15="","",库存台账!$D15)</f>
        <v/>
      </c>
      <c r="E15" s="24">
        <f>IF($A15="","",库存台账!$E15)</f>
        <v/>
      </c>
      <c r="F15" s="24">
        <f>IF($A15="","",库存台账!$F15)</f>
        <v/>
      </c>
      <c r="G15" s="17" t="n"/>
      <c r="H15" s="23" t="n"/>
      <c r="I15" s="27">
        <f>IF($A15="","",库存台账!$X15)</f>
        <v/>
      </c>
      <c r="J15" s="27">
        <f>IF(OR($A15="",$H15=""),"",ROUND($H15-$I15,3))</f>
        <v/>
      </c>
      <c r="K15" s="26">
        <f>IF($A15="","",库存台账!$K15)</f>
        <v/>
      </c>
      <c r="L15" s="26">
        <f>IF($J15="","",ROUND($J15*$K15,0))</f>
        <v/>
      </c>
      <c r="M15" s="37">
        <f>IF(OR($J15="",$I15=0),"",ROUND($J15/$I15,4))</f>
        <v/>
      </c>
      <c r="N15" s="17" t="n"/>
      <c r="O15" s="17" t="n"/>
      <c r="P15" s="24">
        <f>IF($J15="","未盘",IF(ROUND($J15,3)=0,"账实相符",IF(COUNTIFS(入库单!$G$4:$G$2503,$A15,入库单!$X$4:$X$2503,"盘盈",入库单!$C$4:$C$2503,"&gt;="&amp;账期起,入库单!$C$4:$C$2503,"&lt;="&amp;账期止)+COUNTIFS(出库单!$D$4:$D$4003,$A15,出库单!$K$4:$K$4003,"盘亏",出库单!$C$4:$C$4003,"&gt;="&amp;账期起,出库单!$C$4:$C$4003,"&lt;="&amp;账期止)&gt;0,"已调账","※差异还没调账")))</f>
        <v/>
      </c>
      <c r="Q15" s="17" t="n"/>
      <c r="R15" s="17" t="n"/>
    </row>
    <row r="16">
      <c r="A16" s="24">
        <f>IF(库存台账!$A16="","",库存台账!$A16)</f>
        <v/>
      </c>
      <c r="B16" s="24">
        <f>IF($A16="","",库存台账!$B16)</f>
        <v/>
      </c>
      <c r="C16" s="24">
        <f>IF($A16="","",库存台账!$C16)</f>
        <v/>
      </c>
      <c r="D16" s="24">
        <f>IF($A16="","",库存台账!$D16)</f>
        <v/>
      </c>
      <c r="E16" s="24">
        <f>IF($A16="","",库存台账!$E16)</f>
        <v/>
      </c>
      <c r="F16" s="24">
        <f>IF($A16="","",库存台账!$F16)</f>
        <v/>
      </c>
      <c r="G16" s="17" t="n"/>
      <c r="H16" s="23" t="n"/>
      <c r="I16" s="27">
        <f>IF($A16="","",库存台账!$X16)</f>
        <v/>
      </c>
      <c r="J16" s="27">
        <f>IF(OR($A16="",$H16=""),"",ROUND($H16-$I16,3))</f>
        <v/>
      </c>
      <c r="K16" s="26">
        <f>IF($A16="","",库存台账!$K16)</f>
        <v/>
      </c>
      <c r="L16" s="26">
        <f>IF($J16="","",ROUND($J16*$K16,0))</f>
        <v/>
      </c>
      <c r="M16" s="37">
        <f>IF(OR($J16="",$I16=0),"",ROUND($J16/$I16,4))</f>
        <v/>
      </c>
      <c r="N16" s="17" t="n"/>
      <c r="O16" s="17" t="n"/>
      <c r="P16" s="24">
        <f>IF($J16="","未盘",IF(ROUND($J16,3)=0,"账实相符",IF(COUNTIFS(入库单!$G$4:$G$2503,$A16,入库单!$X$4:$X$2503,"盘盈",入库单!$C$4:$C$2503,"&gt;="&amp;账期起,入库单!$C$4:$C$2503,"&lt;="&amp;账期止)+COUNTIFS(出库单!$D$4:$D$4003,$A16,出库单!$K$4:$K$4003,"盘亏",出库单!$C$4:$C$4003,"&gt;="&amp;账期起,出库单!$C$4:$C$4003,"&lt;="&amp;账期止)&gt;0,"已调账","※差异还没调账")))</f>
        <v/>
      </c>
      <c r="Q16" s="17" t="n"/>
      <c r="R16" s="17" t="n"/>
    </row>
    <row r="17">
      <c r="A17" s="24">
        <f>IF(库存台账!$A17="","",库存台账!$A17)</f>
        <v/>
      </c>
      <c r="B17" s="24">
        <f>IF($A17="","",库存台账!$B17)</f>
        <v/>
      </c>
      <c r="C17" s="24">
        <f>IF($A17="","",库存台账!$C17)</f>
        <v/>
      </c>
      <c r="D17" s="24">
        <f>IF($A17="","",库存台账!$D17)</f>
        <v/>
      </c>
      <c r="E17" s="24">
        <f>IF($A17="","",库存台账!$E17)</f>
        <v/>
      </c>
      <c r="F17" s="24">
        <f>IF($A17="","",库存台账!$F17)</f>
        <v/>
      </c>
      <c r="G17" s="17" t="n"/>
      <c r="H17" s="23" t="n"/>
      <c r="I17" s="27">
        <f>IF($A17="","",库存台账!$X17)</f>
        <v/>
      </c>
      <c r="J17" s="27">
        <f>IF(OR($A17="",$H17=""),"",ROUND($H17-$I17,3))</f>
        <v/>
      </c>
      <c r="K17" s="26">
        <f>IF($A17="","",库存台账!$K17)</f>
        <v/>
      </c>
      <c r="L17" s="26">
        <f>IF($J17="","",ROUND($J17*$K17,0))</f>
        <v/>
      </c>
      <c r="M17" s="37">
        <f>IF(OR($J17="",$I17=0),"",ROUND($J17/$I17,4))</f>
        <v/>
      </c>
      <c r="N17" s="17" t="n"/>
      <c r="O17" s="17" t="n"/>
      <c r="P17" s="24">
        <f>IF($J17="","未盘",IF(ROUND($J17,3)=0,"账实相符",IF(COUNTIFS(入库单!$G$4:$G$2503,$A17,入库单!$X$4:$X$2503,"盘盈",入库单!$C$4:$C$2503,"&gt;="&amp;账期起,入库单!$C$4:$C$2503,"&lt;="&amp;账期止)+COUNTIFS(出库单!$D$4:$D$4003,$A17,出库单!$K$4:$K$4003,"盘亏",出库单!$C$4:$C$4003,"&gt;="&amp;账期起,出库单!$C$4:$C$4003,"&lt;="&amp;账期止)&gt;0,"已调账","※差异还没调账")))</f>
        <v/>
      </c>
      <c r="Q17" s="17" t="n"/>
      <c r="R17" s="17" t="n"/>
    </row>
    <row r="18">
      <c r="A18" s="24">
        <f>IF(库存台账!$A18="","",库存台账!$A18)</f>
        <v/>
      </c>
      <c r="B18" s="24">
        <f>IF($A18="","",库存台账!$B18)</f>
        <v/>
      </c>
      <c r="C18" s="24">
        <f>IF($A18="","",库存台账!$C18)</f>
        <v/>
      </c>
      <c r="D18" s="24">
        <f>IF($A18="","",库存台账!$D18)</f>
        <v/>
      </c>
      <c r="E18" s="24">
        <f>IF($A18="","",库存台账!$E18)</f>
        <v/>
      </c>
      <c r="F18" s="24">
        <f>IF($A18="","",库存台账!$F18)</f>
        <v/>
      </c>
      <c r="G18" s="17" t="n"/>
      <c r="H18" s="23" t="n"/>
      <c r="I18" s="27">
        <f>IF($A18="","",库存台账!$X18)</f>
        <v/>
      </c>
      <c r="J18" s="27">
        <f>IF(OR($A18="",$H18=""),"",ROUND($H18-$I18,3))</f>
        <v/>
      </c>
      <c r="K18" s="26">
        <f>IF($A18="","",库存台账!$K18)</f>
        <v/>
      </c>
      <c r="L18" s="26">
        <f>IF($J18="","",ROUND($J18*$K18,0))</f>
        <v/>
      </c>
      <c r="M18" s="37">
        <f>IF(OR($J18="",$I18=0),"",ROUND($J18/$I18,4))</f>
        <v/>
      </c>
      <c r="N18" s="17" t="n"/>
      <c r="O18" s="17" t="n"/>
      <c r="P18" s="24">
        <f>IF($J18="","未盘",IF(ROUND($J18,3)=0,"账实相符",IF(COUNTIFS(入库单!$G$4:$G$2503,$A18,入库单!$X$4:$X$2503,"盘盈",入库单!$C$4:$C$2503,"&gt;="&amp;账期起,入库单!$C$4:$C$2503,"&lt;="&amp;账期止)+COUNTIFS(出库单!$D$4:$D$4003,$A18,出库单!$K$4:$K$4003,"盘亏",出库单!$C$4:$C$4003,"&gt;="&amp;账期起,出库单!$C$4:$C$4003,"&lt;="&amp;账期止)&gt;0,"已调账","※差异还没调账")))</f>
        <v/>
      </c>
      <c r="Q18" s="17" t="n"/>
      <c r="R18" s="17" t="n"/>
    </row>
    <row r="19">
      <c r="A19" s="24">
        <f>IF(库存台账!$A19="","",库存台账!$A19)</f>
        <v/>
      </c>
      <c r="B19" s="24">
        <f>IF($A19="","",库存台账!$B19)</f>
        <v/>
      </c>
      <c r="C19" s="24">
        <f>IF($A19="","",库存台账!$C19)</f>
        <v/>
      </c>
      <c r="D19" s="24">
        <f>IF($A19="","",库存台账!$D19)</f>
        <v/>
      </c>
      <c r="E19" s="24">
        <f>IF($A19="","",库存台账!$E19)</f>
        <v/>
      </c>
      <c r="F19" s="24">
        <f>IF($A19="","",库存台账!$F19)</f>
        <v/>
      </c>
      <c r="G19" s="17" t="n"/>
      <c r="H19" s="23" t="n"/>
      <c r="I19" s="27">
        <f>IF($A19="","",库存台账!$X19)</f>
        <v/>
      </c>
      <c r="J19" s="27">
        <f>IF(OR($A19="",$H19=""),"",ROUND($H19-$I19,3))</f>
        <v/>
      </c>
      <c r="K19" s="26">
        <f>IF($A19="","",库存台账!$K19)</f>
        <v/>
      </c>
      <c r="L19" s="26">
        <f>IF($J19="","",ROUND($J19*$K19,0))</f>
        <v/>
      </c>
      <c r="M19" s="37">
        <f>IF(OR($J19="",$I19=0),"",ROUND($J19/$I19,4))</f>
        <v/>
      </c>
      <c r="N19" s="17" t="n"/>
      <c r="O19" s="17" t="n"/>
      <c r="P19" s="24">
        <f>IF($J19="","未盘",IF(ROUND($J19,3)=0,"账实相符",IF(COUNTIFS(入库单!$G$4:$G$2503,$A19,入库单!$X$4:$X$2503,"盘盈",入库单!$C$4:$C$2503,"&gt;="&amp;账期起,入库单!$C$4:$C$2503,"&lt;="&amp;账期止)+COUNTIFS(出库单!$D$4:$D$4003,$A19,出库单!$K$4:$K$4003,"盘亏",出库单!$C$4:$C$4003,"&gt;="&amp;账期起,出库单!$C$4:$C$4003,"&lt;="&amp;账期止)&gt;0,"已调账","※差异还没调账")))</f>
        <v/>
      </c>
      <c r="Q19" s="17" t="n"/>
      <c r="R19" s="17" t="n"/>
    </row>
    <row r="20">
      <c r="A20" s="24">
        <f>IF(库存台账!$A20="","",库存台账!$A20)</f>
        <v/>
      </c>
      <c r="B20" s="24">
        <f>IF($A20="","",库存台账!$B20)</f>
        <v/>
      </c>
      <c r="C20" s="24">
        <f>IF($A20="","",库存台账!$C20)</f>
        <v/>
      </c>
      <c r="D20" s="24">
        <f>IF($A20="","",库存台账!$D20)</f>
        <v/>
      </c>
      <c r="E20" s="24">
        <f>IF($A20="","",库存台账!$E20)</f>
        <v/>
      </c>
      <c r="F20" s="24">
        <f>IF($A20="","",库存台账!$F20)</f>
        <v/>
      </c>
      <c r="G20" s="17" t="n"/>
      <c r="H20" s="23" t="n"/>
      <c r="I20" s="27">
        <f>IF($A20="","",库存台账!$X20)</f>
        <v/>
      </c>
      <c r="J20" s="27">
        <f>IF(OR($A20="",$H20=""),"",ROUND($H20-$I20,3))</f>
        <v/>
      </c>
      <c r="K20" s="26">
        <f>IF($A20="","",库存台账!$K20)</f>
        <v/>
      </c>
      <c r="L20" s="26">
        <f>IF($J20="","",ROUND($J20*$K20,0))</f>
        <v/>
      </c>
      <c r="M20" s="37">
        <f>IF(OR($J20="",$I20=0),"",ROUND($J20/$I20,4))</f>
        <v/>
      </c>
      <c r="N20" s="17" t="n"/>
      <c r="O20" s="17" t="n"/>
      <c r="P20" s="24">
        <f>IF($J20="","未盘",IF(ROUND($J20,3)=0,"账实相符",IF(COUNTIFS(入库单!$G$4:$G$2503,$A20,入库单!$X$4:$X$2503,"盘盈",入库单!$C$4:$C$2503,"&gt;="&amp;账期起,入库单!$C$4:$C$2503,"&lt;="&amp;账期止)+COUNTIFS(出库单!$D$4:$D$4003,$A20,出库单!$K$4:$K$4003,"盘亏",出库单!$C$4:$C$4003,"&gt;="&amp;账期起,出库单!$C$4:$C$4003,"&lt;="&amp;账期止)&gt;0,"已调账","※差异还没调账")))</f>
        <v/>
      </c>
      <c r="Q20" s="17" t="n"/>
      <c r="R20" s="17" t="n"/>
    </row>
    <row r="21">
      <c r="A21" s="24">
        <f>IF(库存台账!$A21="","",库存台账!$A21)</f>
        <v/>
      </c>
      <c r="B21" s="24">
        <f>IF($A21="","",库存台账!$B21)</f>
        <v/>
      </c>
      <c r="C21" s="24">
        <f>IF($A21="","",库存台账!$C21)</f>
        <v/>
      </c>
      <c r="D21" s="24">
        <f>IF($A21="","",库存台账!$D21)</f>
        <v/>
      </c>
      <c r="E21" s="24">
        <f>IF($A21="","",库存台账!$E21)</f>
        <v/>
      </c>
      <c r="F21" s="24">
        <f>IF($A21="","",库存台账!$F21)</f>
        <v/>
      </c>
      <c r="G21" s="17" t="n"/>
      <c r="H21" s="23" t="n"/>
      <c r="I21" s="27">
        <f>IF($A21="","",库存台账!$X21)</f>
        <v/>
      </c>
      <c r="J21" s="27">
        <f>IF(OR($A21="",$H21=""),"",ROUND($H21-$I21,3))</f>
        <v/>
      </c>
      <c r="K21" s="26">
        <f>IF($A21="","",库存台账!$K21)</f>
        <v/>
      </c>
      <c r="L21" s="26">
        <f>IF($J21="","",ROUND($J21*$K21,0))</f>
        <v/>
      </c>
      <c r="M21" s="37">
        <f>IF(OR($J21="",$I21=0),"",ROUND($J21/$I21,4))</f>
        <v/>
      </c>
      <c r="N21" s="17" t="n"/>
      <c r="O21" s="17" t="n"/>
      <c r="P21" s="24">
        <f>IF($J21="","未盘",IF(ROUND($J21,3)=0,"账实相符",IF(COUNTIFS(入库单!$G$4:$G$2503,$A21,入库单!$X$4:$X$2503,"盘盈",入库单!$C$4:$C$2503,"&gt;="&amp;账期起,入库单!$C$4:$C$2503,"&lt;="&amp;账期止)+COUNTIFS(出库单!$D$4:$D$4003,$A21,出库单!$K$4:$K$4003,"盘亏",出库单!$C$4:$C$4003,"&gt;="&amp;账期起,出库单!$C$4:$C$4003,"&lt;="&amp;账期止)&gt;0,"已调账","※差异还没调账")))</f>
        <v/>
      </c>
      <c r="Q21" s="17" t="n"/>
      <c r="R21" s="17" t="n"/>
    </row>
    <row r="22">
      <c r="A22" s="24">
        <f>IF(库存台账!$A22="","",库存台账!$A22)</f>
        <v/>
      </c>
      <c r="B22" s="24">
        <f>IF($A22="","",库存台账!$B22)</f>
        <v/>
      </c>
      <c r="C22" s="24">
        <f>IF($A22="","",库存台账!$C22)</f>
        <v/>
      </c>
      <c r="D22" s="24">
        <f>IF($A22="","",库存台账!$D22)</f>
        <v/>
      </c>
      <c r="E22" s="24">
        <f>IF($A22="","",库存台账!$E22)</f>
        <v/>
      </c>
      <c r="F22" s="24">
        <f>IF($A22="","",库存台账!$F22)</f>
        <v/>
      </c>
      <c r="G22" s="17" t="n"/>
      <c r="H22" s="23" t="n"/>
      <c r="I22" s="27">
        <f>IF($A22="","",库存台账!$X22)</f>
        <v/>
      </c>
      <c r="J22" s="27">
        <f>IF(OR($A22="",$H22=""),"",ROUND($H22-$I22,3))</f>
        <v/>
      </c>
      <c r="K22" s="26">
        <f>IF($A22="","",库存台账!$K22)</f>
        <v/>
      </c>
      <c r="L22" s="26">
        <f>IF($J22="","",ROUND($J22*$K22,0))</f>
        <v/>
      </c>
      <c r="M22" s="37">
        <f>IF(OR($J22="",$I22=0),"",ROUND($J22/$I22,4))</f>
        <v/>
      </c>
      <c r="N22" s="17" t="n"/>
      <c r="O22" s="17" t="n"/>
      <c r="P22" s="24">
        <f>IF($J22="","未盘",IF(ROUND($J22,3)=0,"账实相符",IF(COUNTIFS(入库单!$G$4:$G$2503,$A22,入库单!$X$4:$X$2503,"盘盈",入库单!$C$4:$C$2503,"&gt;="&amp;账期起,入库单!$C$4:$C$2503,"&lt;="&amp;账期止)+COUNTIFS(出库单!$D$4:$D$4003,$A22,出库单!$K$4:$K$4003,"盘亏",出库单!$C$4:$C$4003,"&gt;="&amp;账期起,出库单!$C$4:$C$4003,"&lt;="&amp;账期止)&gt;0,"已调账","※差异还没调账")))</f>
        <v/>
      </c>
      <c r="Q22" s="17" t="n"/>
      <c r="R22" s="17" t="n"/>
    </row>
    <row r="23">
      <c r="A23" s="24">
        <f>IF(库存台账!$A23="","",库存台账!$A23)</f>
        <v/>
      </c>
      <c r="B23" s="24">
        <f>IF($A23="","",库存台账!$B23)</f>
        <v/>
      </c>
      <c r="C23" s="24">
        <f>IF($A23="","",库存台账!$C23)</f>
        <v/>
      </c>
      <c r="D23" s="24">
        <f>IF($A23="","",库存台账!$D23)</f>
        <v/>
      </c>
      <c r="E23" s="24">
        <f>IF($A23="","",库存台账!$E23)</f>
        <v/>
      </c>
      <c r="F23" s="24">
        <f>IF($A23="","",库存台账!$F23)</f>
        <v/>
      </c>
      <c r="G23" s="17" t="n"/>
      <c r="H23" s="23" t="n"/>
      <c r="I23" s="27">
        <f>IF($A23="","",库存台账!$X23)</f>
        <v/>
      </c>
      <c r="J23" s="27">
        <f>IF(OR($A23="",$H23=""),"",ROUND($H23-$I23,3))</f>
        <v/>
      </c>
      <c r="K23" s="26">
        <f>IF($A23="","",库存台账!$K23)</f>
        <v/>
      </c>
      <c r="L23" s="26">
        <f>IF($J23="","",ROUND($J23*$K23,0))</f>
        <v/>
      </c>
      <c r="M23" s="37">
        <f>IF(OR($J23="",$I23=0),"",ROUND($J23/$I23,4))</f>
        <v/>
      </c>
      <c r="N23" s="17" t="n"/>
      <c r="O23" s="17" t="n"/>
      <c r="P23" s="24">
        <f>IF($J23="","未盘",IF(ROUND($J23,3)=0,"账实相符",IF(COUNTIFS(入库单!$G$4:$G$2503,$A23,入库单!$X$4:$X$2503,"盘盈",入库单!$C$4:$C$2503,"&gt;="&amp;账期起,入库单!$C$4:$C$2503,"&lt;="&amp;账期止)+COUNTIFS(出库单!$D$4:$D$4003,$A23,出库单!$K$4:$K$4003,"盘亏",出库单!$C$4:$C$4003,"&gt;="&amp;账期起,出库单!$C$4:$C$4003,"&lt;="&amp;账期止)&gt;0,"已调账","※差异还没调账")))</f>
        <v/>
      </c>
      <c r="Q23" s="17" t="n"/>
      <c r="R23" s="17" t="n"/>
    </row>
    <row r="24">
      <c r="A24" s="24">
        <f>IF(库存台账!$A24="","",库存台账!$A24)</f>
        <v/>
      </c>
      <c r="B24" s="24">
        <f>IF($A24="","",库存台账!$B24)</f>
        <v/>
      </c>
      <c r="C24" s="24">
        <f>IF($A24="","",库存台账!$C24)</f>
        <v/>
      </c>
      <c r="D24" s="24">
        <f>IF($A24="","",库存台账!$D24)</f>
        <v/>
      </c>
      <c r="E24" s="24">
        <f>IF($A24="","",库存台账!$E24)</f>
        <v/>
      </c>
      <c r="F24" s="24">
        <f>IF($A24="","",库存台账!$F24)</f>
        <v/>
      </c>
      <c r="G24" s="17" t="n"/>
      <c r="H24" s="23" t="n"/>
      <c r="I24" s="27">
        <f>IF($A24="","",库存台账!$X24)</f>
        <v/>
      </c>
      <c r="J24" s="27">
        <f>IF(OR($A24="",$H24=""),"",ROUND($H24-$I24,3))</f>
        <v/>
      </c>
      <c r="K24" s="26">
        <f>IF($A24="","",库存台账!$K24)</f>
        <v/>
      </c>
      <c r="L24" s="26">
        <f>IF($J24="","",ROUND($J24*$K24,0))</f>
        <v/>
      </c>
      <c r="M24" s="37">
        <f>IF(OR($J24="",$I24=0),"",ROUND($J24/$I24,4))</f>
        <v/>
      </c>
      <c r="N24" s="17" t="n"/>
      <c r="O24" s="17" t="n"/>
      <c r="P24" s="24">
        <f>IF($J24="","未盘",IF(ROUND($J24,3)=0,"账实相符",IF(COUNTIFS(入库单!$G$4:$G$2503,$A24,入库单!$X$4:$X$2503,"盘盈",入库单!$C$4:$C$2503,"&gt;="&amp;账期起,入库单!$C$4:$C$2503,"&lt;="&amp;账期止)+COUNTIFS(出库单!$D$4:$D$4003,$A24,出库单!$K$4:$K$4003,"盘亏",出库单!$C$4:$C$4003,"&gt;="&amp;账期起,出库单!$C$4:$C$4003,"&lt;="&amp;账期止)&gt;0,"已调账","※差异还没调账")))</f>
        <v/>
      </c>
      <c r="Q24" s="17" t="n"/>
      <c r="R24" s="17" t="n"/>
    </row>
    <row r="25">
      <c r="A25" s="24">
        <f>IF(库存台账!$A25="","",库存台账!$A25)</f>
        <v/>
      </c>
      <c r="B25" s="24">
        <f>IF($A25="","",库存台账!$B25)</f>
        <v/>
      </c>
      <c r="C25" s="24">
        <f>IF($A25="","",库存台账!$C25)</f>
        <v/>
      </c>
      <c r="D25" s="24">
        <f>IF($A25="","",库存台账!$D25)</f>
        <v/>
      </c>
      <c r="E25" s="24">
        <f>IF($A25="","",库存台账!$E25)</f>
        <v/>
      </c>
      <c r="F25" s="24">
        <f>IF($A25="","",库存台账!$F25)</f>
        <v/>
      </c>
      <c r="G25" s="17" t="n"/>
      <c r="H25" s="23" t="n"/>
      <c r="I25" s="27">
        <f>IF($A25="","",库存台账!$X25)</f>
        <v/>
      </c>
      <c r="J25" s="27">
        <f>IF(OR($A25="",$H25=""),"",ROUND($H25-$I25,3))</f>
        <v/>
      </c>
      <c r="K25" s="26">
        <f>IF($A25="","",库存台账!$K25)</f>
        <v/>
      </c>
      <c r="L25" s="26">
        <f>IF($J25="","",ROUND($J25*$K25,0))</f>
        <v/>
      </c>
      <c r="M25" s="37">
        <f>IF(OR($J25="",$I25=0),"",ROUND($J25/$I25,4))</f>
        <v/>
      </c>
      <c r="N25" s="17" t="n"/>
      <c r="O25" s="17" t="n"/>
      <c r="P25" s="24">
        <f>IF($J25="","未盘",IF(ROUND($J25,3)=0,"账实相符",IF(COUNTIFS(入库单!$G$4:$G$2503,$A25,入库单!$X$4:$X$2503,"盘盈",入库单!$C$4:$C$2503,"&gt;="&amp;账期起,入库单!$C$4:$C$2503,"&lt;="&amp;账期止)+COUNTIFS(出库单!$D$4:$D$4003,$A25,出库单!$K$4:$K$4003,"盘亏",出库单!$C$4:$C$4003,"&gt;="&amp;账期起,出库单!$C$4:$C$4003,"&lt;="&amp;账期止)&gt;0,"已调账","※差异还没调账")))</f>
        <v/>
      </c>
      <c r="Q25" s="17" t="n"/>
      <c r="R25" s="17" t="n"/>
    </row>
    <row r="26">
      <c r="A26" s="24">
        <f>IF(库存台账!$A26="","",库存台账!$A26)</f>
        <v/>
      </c>
      <c r="B26" s="24">
        <f>IF($A26="","",库存台账!$B26)</f>
        <v/>
      </c>
      <c r="C26" s="24">
        <f>IF($A26="","",库存台账!$C26)</f>
        <v/>
      </c>
      <c r="D26" s="24">
        <f>IF($A26="","",库存台账!$D26)</f>
        <v/>
      </c>
      <c r="E26" s="24">
        <f>IF($A26="","",库存台账!$E26)</f>
        <v/>
      </c>
      <c r="F26" s="24">
        <f>IF($A26="","",库存台账!$F26)</f>
        <v/>
      </c>
      <c r="G26" s="17" t="n"/>
      <c r="H26" s="23" t="n"/>
      <c r="I26" s="27">
        <f>IF($A26="","",库存台账!$X26)</f>
        <v/>
      </c>
      <c r="J26" s="27">
        <f>IF(OR($A26="",$H26=""),"",ROUND($H26-$I26,3))</f>
        <v/>
      </c>
      <c r="K26" s="26">
        <f>IF($A26="","",库存台账!$K26)</f>
        <v/>
      </c>
      <c r="L26" s="26">
        <f>IF($J26="","",ROUND($J26*$K26,0))</f>
        <v/>
      </c>
      <c r="M26" s="37">
        <f>IF(OR($J26="",$I26=0),"",ROUND($J26/$I26,4))</f>
        <v/>
      </c>
      <c r="N26" s="17" t="n"/>
      <c r="O26" s="17" t="n"/>
      <c r="P26" s="24">
        <f>IF($J26="","未盘",IF(ROUND($J26,3)=0,"账实相符",IF(COUNTIFS(入库单!$G$4:$G$2503,$A26,入库单!$X$4:$X$2503,"盘盈",入库单!$C$4:$C$2503,"&gt;="&amp;账期起,入库单!$C$4:$C$2503,"&lt;="&amp;账期止)+COUNTIFS(出库单!$D$4:$D$4003,$A26,出库单!$K$4:$K$4003,"盘亏",出库单!$C$4:$C$4003,"&gt;="&amp;账期起,出库单!$C$4:$C$4003,"&lt;="&amp;账期止)&gt;0,"已调账","※差异还没调账")))</f>
        <v/>
      </c>
      <c r="Q26" s="17" t="n"/>
      <c r="R26" s="17" t="n"/>
    </row>
    <row r="27">
      <c r="A27" s="24">
        <f>IF(库存台账!$A27="","",库存台账!$A27)</f>
        <v/>
      </c>
      <c r="B27" s="24">
        <f>IF($A27="","",库存台账!$B27)</f>
        <v/>
      </c>
      <c r="C27" s="24">
        <f>IF($A27="","",库存台账!$C27)</f>
        <v/>
      </c>
      <c r="D27" s="24">
        <f>IF($A27="","",库存台账!$D27)</f>
        <v/>
      </c>
      <c r="E27" s="24">
        <f>IF($A27="","",库存台账!$E27)</f>
        <v/>
      </c>
      <c r="F27" s="24">
        <f>IF($A27="","",库存台账!$F27)</f>
        <v/>
      </c>
      <c r="G27" s="17" t="n"/>
      <c r="H27" s="23" t="n"/>
      <c r="I27" s="27">
        <f>IF($A27="","",库存台账!$X27)</f>
        <v/>
      </c>
      <c r="J27" s="27">
        <f>IF(OR($A27="",$H27=""),"",ROUND($H27-$I27,3))</f>
        <v/>
      </c>
      <c r="K27" s="26">
        <f>IF($A27="","",库存台账!$K27)</f>
        <v/>
      </c>
      <c r="L27" s="26">
        <f>IF($J27="","",ROUND($J27*$K27,0))</f>
        <v/>
      </c>
      <c r="M27" s="37">
        <f>IF(OR($J27="",$I27=0),"",ROUND($J27/$I27,4))</f>
        <v/>
      </c>
      <c r="N27" s="17" t="n"/>
      <c r="O27" s="17" t="n"/>
      <c r="P27" s="24">
        <f>IF($J27="","未盘",IF(ROUND($J27,3)=0,"账实相符",IF(COUNTIFS(入库单!$G$4:$G$2503,$A27,入库单!$X$4:$X$2503,"盘盈",入库单!$C$4:$C$2503,"&gt;="&amp;账期起,入库单!$C$4:$C$2503,"&lt;="&amp;账期止)+COUNTIFS(出库单!$D$4:$D$4003,$A27,出库单!$K$4:$K$4003,"盘亏",出库单!$C$4:$C$4003,"&gt;="&amp;账期起,出库单!$C$4:$C$4003,"&lt;="&amp;账期止)&gt;0,"已调账","※差异还没调账")))</f>
        <v/>
      </c>
      <c r="Q27" s="17" t="n"/>
      <c r="R27" s="17" t="n"/>
    </row>
    <row r="28">
      <c r="A28" s="24">
        <f>IF(库存台账!$A28="","",库存台账!$A28)</f>
        <v/>
      </c>
      <c r="B28" s="24">
        <f>IF($A28="","",库存台账!$B28)</f>
        <v/>
      </c>
      <c r="C28" s="24">
        <f>IF($A28="","",库存台账!$C28)</f>
        <v/>
      </c>
      <c r="D28" s="24">
        <f>IF($A28="","",库存台账!$D28)</f>
        <v/>
      </c>
      <c r="E28" s="24">
        <f>IF($A28="","",库存台账!$E28)</f>
        <v/>
      </c>
      <c r="F28" s="24">
        <f>IF($A28="","",库存台账!$F28)</f>
        <v/>
      </c>
      <c r="G28" s="17" t="n"/>
      <c r="H28" s="23" t="n"/>
      <c r="I28" s="27">
        <f>IF($A28="","",库存台账!$X28)</f>
        <v/>
      </c>
      <c r="J28" s="27">
        <f>IF(OR($A28="",$H28=""),"",ROUND($H28-$I28,3))</f>
        <v/>
      </c>
      <c r="K28" s="26">
        <f>IF($A28="","",库存台账!$K28)</f>
        <v/>
      </c>
      <c r="L28" s="26">
        <f>IF($J28="","",ROUND($J28*$K28,0))</f>
        <v/>
      </c>
      <c r="M28" s="37">
        <f>IF(OR($J28="",$I28=0),"",ROUND($J28/$I28,4))</f>
        <v/>
      </c>
      <c r="N28" s="17" t="n"/>
      <c r="O28" s="17" t="n"/>
      <c r="P28" s="24">
        <f>IF($J28="","未盘",IF(ROUND($J28,3)=0,"账实相符",IF(COUNTIFS(入库单!$G$4:$G$2503,$A28,入库单!$X$4:$X$2503,"盘盈",入库单!$C$4:$C$2503,"&gt;="&amp;账期起,入库单!$C$4:$C$2503,"&lt;="&amp;账期止)+COUNTIFS(出库单!$D$4:$D$4003,$A28,出库单!$K$4:$K$4003,"盘亏",出库单!$C$4:$C$4003,"&gt;="&amp;账期起,出库单!$C$4:$C$4003,"&lt;="&amp;账期止)&gt;0,"已调账","※差异还没调账")))</f>
        <v/>
      </c>
      <c r="Q28" s="17" t="n"/>
      <c r="R28" s="17" t="n"/>
    </row>
    <row r="29">
      <c r="A29" s="24">
        <f>IF(库存台账!$A29="","",库存台账!$A29)</f>
        <v/>
      </c>
      <c r="B29" s="24">
        <f>IF($A29="","",库存台账!$B29)</f>
        <v/>
      </c>
      <c r="C29" s="24">
        <f>IF($A29="","",库存台账!$C29)</f>
        <v/>
      </c>
      <c r="D29" s="24">
        <f>IF($A29="","",库存台账!$D29)</f>
        <v/>
      </c>
      <c r="E29" s="24">
        <f>IF($A29="","",库存台账!$E29)</f>
        <v/>
      </c>
      <c r="F29" s="24">
        <f>IF($A29="","",库存台账!$F29)</f>
        <v/>
      </c>
      <c r="G29" s="17" t="n"/>
      <c r="H29" s="23" t="n"/>
      <c r="I29" s="27">
        <f>IF($A29="","",库存台账!$X29)</f>
        <v/>
      </c>
      <c r="J29" s="27">
        <f>IF(OR($A29="",$H29=""),"",ROUND($H29-$I29,3))</f>
        <v/>
      </c>
      <c r="K29" s="26">
        <f>IF($A29="","",库存台账!$K29)</f>
        <v/>
      </c>
      <c r="L29" s="26">
        <f>IF($J29="","",ROUND($J29*$K29,0))</f>
        <v/>
      </c>
      <c r="M29" s="37">
        <f>IF(OR($J29="",$I29=0),"",ROUND($J29/$I29,4))</f>
        <v/>
      </c>
      <c r="N29" s="17" t="n"/>
      <c r="O29" s="17" t="n"/>
      <c r="P29" s="24">
        <f>IF($J29="","未盘",IF(ROUND($J29,3)=0,"账实相符",IF(COUNTIFS(入库单!$G$4:$G$2503,$A29,入库单!$X$4:$X$2503,"盘盈",入库单!$C$4:$C$2503,"&gt;="&amp;账期起,入库单!$C$4:$C$2503,"&lt;="&amp;账期止)+COUNTIFS(出库单!$D$4:$D$4003,$A29,出库单!$K$4:$K$4003,"盘亏",出库单!$C$4:$C$4003,"&gt;="&amp;账期起,出库单!$C$4:$C$4003,"&lt;="&amp;账期止)&gt;0,"已调账","※差异还没调账")))</f>
        <v/>
      </c>
      <c r="Q29" s="17" t="n"/>
      <c r="R29" s="17" t="n"/>
    </row>
    <row r="30">
      <c r="A30" s="24">
        <f>IF(库存台账!$A30="","",库存台账!$A30)</f>
        <v/>
      </c>
      <c r="B30" s="24">
        <f>IF($A30="","",库存台账!$B30)</f>
        <v/>
      </c>
      <c r="C30" s="24">
        <f>IF($A30="","",库存台账!$C30)</f>
        <v/>
      </c>
      <c r="D30" s="24">
        <f>IF($A30="","",库存台账!$D30)</f>
        <v/>
      </c>
      <c r="E30" s="24">
        <f>IF($A30="","",库存台账!$E30)</f>
        <v/>
      </c>
      <c r="F30" s="24">
        <f>IF($A30="","",库存台账!$F30)</f>
        <v/>
      </c>
      <c r="G30" s="17" t="n"/>
      <c r="H30" s="23" t="n"/>
      <c r="I30" s="27">
        <f>IF($A30="","",库存台账!$X30)</f>
        <v/>
      </c>
      <c r="J30" s="27">
        <f>IF(OR($A30="",$H30=""),"",ROUND($H30-$I30,3))</f>
        <v/>
      </c>
      <c r="K30" s="26">
        <f>IF($A30="","",库存台账!$K30)</f>
        <v/>
      </c>
      <c r="L30" s="26">
        <f>IF($J30="","",ROUND($J30*$K30,0))</f>
        <v/>
      </c>
      <c r="M30" s="37">
        <f>IF(OR($J30="",$I30=0),"",ROUND($J30/$I30,4))</f>
        <v/>
      </c>
      <c r="N30" s="17" t="n"/>
      <c r="O30" s="17" t="n"/>
      <c r="P30" s="24">
        <f>IF($J30="","未盘",IF(ROUND($J30,3)=0,"账实相符",IF(COUNTIFS(入库单!$G$4:$G$2503,$A30,入库单!$X$4:$X$2503,"盘盈",入库单!$C$4:$C$2503,"&gt;="&amp;账期起,入库单!$C$4:$C$2503,"&lt;="&amp;账期止)+COUNTIFS(出库单!$D$4:$D$4003,$A30,出库单!$K$4:$K$4003,"盘亏",出库单!$C$4:$C$4003,"&gt;="&amp;账期起,出库单!$C$4:$C$4003,"&lt;="&amp;账期止)&gt;0,"已调账","※差异还没调账")))</f>
        <v/>
      </c>
      <c r="Q30" s="17" t="n"/>
      <c r="R30" s="17" t="n"/>
    </row>
    <row r="31">
      <c r="A31" s="24">
        <f>IF(库存台账!$A31="","",库存台账!$A31)</f>
        <v/>
      </c>
      <c r="B31" s="24">
        <f>IF($A31="","",库存台账!$B31)</f>
        <v/>
      </c>
      <c r="C31" s="24">
        <f>IF($A31="","",库存台账!$C31)</f>
        <v/>
      </c>
      <c r="D31" s="24">
        <f>IF($A31="","",库存台账!$D31)</f>
        <v/>
      </c>
      <c r="E31" s="24">
        <f>IF($A31="","",库存台账!$E31)</f>
        <v/>
      </c>
      <c r="F31" s="24">
        <f>IF($A31="","",库存台账!$F31)</f>
        <v/>
      </c>
      <c r="G31" s="17" t="n"/>
      <c r="H31" s="23" t="n"/>
      <c r="I31" s="27">
        <f>IF($A31="","",库存台账!$X31)</f>
        <v/>
      </c>
      <c r="J31" s="27">
        <f>IF(OR($A31="",$H31=""),"",ROUND($H31-$I31,3))</f>
        <v/>
      </c>
      <c r="K31" s="26">
        <f>IF($A31="","",库存台账!$K31)</f>
        <v/>
      </c>
      <c r="L31" s="26">
        <f>IF($J31="","",ROUND($J31*$K31,0))</f>
        <v/>
      </c>
      <c r="M31" s="37">
        <f>IF(OR($J31="",$I31=0),"",ROUND($J31/$I31,4))</f>
        <v/>
      </c>
      <c r="N31" s="17" t="n"/>
      <c r="O31" s="17" t="n"/>
      <c r="P31" s="24">
        <f>IF($J31="","未盘",IF(ROUND($J31,3)=0,"账实相符",IF(COUNTIFS(入库单!$G$4:$G$2503,$A31,入库单!$X$4:$X$2503,"盘盈",入库单!$C$4:$C$2503,"&gt;="&amp;账期起,入库单!$C$4:$C$2503,"&lt;="&amp;账期止)+COUNTIFS(出库单!$D$4:$D$4003,$A31,出库单!$K$4:$K$4003,"盘亏",出库单!$C$4:$C$4003,"&gt;="&amp;账期起,出库单!$C$4:$C$4003,"&lt;="&amp;账期止)&gt;0,"已调账","※差异还没调账")))</f>
        <v/>
      </c>
      <c r="Q31" s="17" t="n"/>
      <c r="R31" s="17" t="n"/>
    </row>
    <row r="32">
      <c r="A32" s="24">
        <f>IF(库存台账!$A32="","",库存台账!$A32)</f>
        <v/>
      </c>
      <c r="B32" s="24">
        <f>IF($A32="","",库存台账!$B32)</f>
        <v/>
      </c>
      <c r="C32" s="24">
        <f>IF($A32="","",库存台账!$C32)</f>
        <v/>
      </c>
      <c r="D32" s="24">
        <f>IF($A32="","",库存台账!$D32)</f>
        <v/>
      </c>
      <c r="E32" s="24">
        <f>IF($A32="","",库存台账!$E32)</f>
        <v/>
      </c>
      <c r="F32" s="24">
        <f>IF($A32="","",库存台账!$F32)</f>
        <v/>
      </c>
      <c r="G32" s="17" t="n"/>
      <c r="H32" s="23" t="n"/>
      <c r="I32" s="27">
        <f>IF($A32="","",库存台账!$X32)</f>
        <v/>
      </c>
      <c r="J32" s="27">
        <f>IF(OR($A32="",$H32=""),"",ROUND($H32-$I32,3))</f>
        <v/>
      </c>
      <c r="K32" s="26">
        <f>IF($A32="","",库存台账!$K32)</f>
        <v/>
      </c>
      <c r="L32" s="26">
        <f>IF($J32="","",ROUND($J32*$K32,0))</f>
        <v/>
      </c>
      <c r="M32" s="37">
        <f>IF(OR($J32="",$I32=0),"",ROUND($J32/$I32,4))</f>
        <v/>
      </c>
      <c r="N32" s="17" t="n"/>
      <c r="O32" s="17" t="n"/>
      <c r="P32" s="24">
        <f>IF($J32="","未盘",IF(ROUND($J32,3)=0,"账实相符",IF(COUNTIFS(入库单!$G$4:$G$2503,$A32,入库单!$X$4:$X$2503,"盘盈",入库单!$C$4:$C$2503,"&gt;="&amp;账期起,入库单!$C$4:$C$2503,"&lt;="&amp;账期止)+COUNTIFS(出库单!$D$4:$D$4003,$A32,出库单!$K$4:$K$4003,"盘亏",出库单!$C$4:$C$4003,"&gt;="&amp;账期起,出库单!$C$4:$C$4003,"&lt;="&amp;账期止)&gt;0,"已调账","※差异还没调账")))</f>
        <v/>
      </c>
      <c r="Q32" s="17" t="n"/>
      <c r="R32" s="17" t="n"/>
    </row>
    <row r="33">
      <c r="A33" s="24">
        <f>IF(库存台账!$A33="","",库存台账!$A33)</f>
        <v/>
      </c>
      <c r="B33" s="24">
        <f>IF($A33="","",库存台账!$B33)</f>
        <v/>
      </c>
      <c r="C33" s="24">
        <f>IF($A33="","",库存台账!$C33)</f>
        <v/>
      </c>
      <c r="D33" s="24">
        <f>IF($A33="","",库存台账!$D33)</f>
        <v/>
      </c>
      <c r="E33" s="24">
        <f>IF($A33="","",库存台账!$E33)</f>
        <v/>
      </c>
      <c r="F33" s="24">
        <f>IF($A33="","",库存台账!$F33)</f>
        <v/>
      </c>
      <c r="G33" s="17" t="n"/>
      <c r="H33" s="23" t="n"/>
      <c r="I33" s="27">
        <f>IF($A33="","",库存台账!$X33)</f>
        <v/>
      </c>
      <c r="J33" s="27">
        <f>IF(OR($A33="",$H33=""),"",ROUND($H33-$I33,3))</f>
        <v/>
      </c>
      <c r="K33" s="26">
        <f>IF($A33="","",库存台账!$K33)</f>
        <v/>
      </c>
      <c r="L33" s="26">
        <f>IF($J33="","",ROUND($J33*$K33,0))</f>
        <v/>
      </c>
      <c r="M33" s="37">
        <f>IF(OR($J33="",$I33=0),"",ROUND($J33/$I33,4))</f>
        <v/>
      </c>
      <c r="N33" s="17" t="n"/>
      <c r="O33" s="17" t="n"/>
      <c r="P33" s="24">
        <f>IF($J33="","未盘",IF(ROUND($J33,3)=0,"账实相符",IF(COUNTIFS(入库单!$G$4:$G$2503,$A33,入库单!$X$4:$X$2503,"盘盈",入库单!$C$4:$C$2503,"&gt;="&amp;账期起,入库单!$C$4:$C$2503,"&lt;="&amp;账期止)+COUNTIFS(出库单!$D$4:$D$4003,$A33,出库单!$K$4:$K$4003,"盘亏",出库单!$C$4:$C$4003,"&gt;="&amp;账期起,出库单!$C$4:$C$4003,"&lt;="&amp;账期止)&gt;0,"已调账","※差异还没调账")))</f>
        <v/>
      </c>
      <c r="Q33" s="17" t="n"/>
      <c r="R33" s="17" t="n"/>
    </row>
    <row r="34">
      <c r="A34" s="24">
        <f>IF(库存台账!$A34="","",库存台账!$A34)</f>
        <v/>
      </c>
      <c r="B34" s="24">
        <f>IF($A34="","",库存台账!$B34)</f>
        <v/>
      </c>
      <c r="C34" s="24">
        <f>IF($A34="","",库存台账!$C34)</f>
        <v/>
      </c>
      <c r="D34" s="24">
        <f>IF($A34="","",库存台账!$D34)</f>
        <v/>
      </c>
      <c r="E34" s="24">
        <f>IF($A34="","",库存台账!$E34)</f>
        <v/>
      </c>
      <c r="F34" s="24">
        <f>IF($A34="","",库存台账!$F34)</f>
        <v/>
      </c>
      <c r="G34" s="17" t="n"/>
      <c r="H34" s="23" t="n"/>
      <c r="I34" s="27">
        <f>IF($A34="","",库存台账!$X34)</f>
        <v/>
      </c>
      <c r="J34" s="27">
        <f>IF(OR($A34="",$H34=""),"",ROUND($H34-$I34,3))</f>
        <v/>
      </c>
      <c r="K34" s="26">
        <f>IF($A34="","",库存台账!$K34)</f>
        <v/>
      </c>
      <c r="L34" s="26">
        <f>IF($J34="","",ROUND($J34*$K34,0))</f>
        <v/>
      </c>
      <c r="M34" s="37">
        <f>IF(OR($J34="",$I34=0),"",ROUND($J34/$I34,4))</f>
        <v/>
      </c>
      <c r="N34" s="17" t="n"/>
      <c r="O34" s="17" t="n"/>
      <c r="P34" s="24">
        <f>IF($J34="","未盘",IF(ROUND($J34,3)=0,"账实相符",IF(COUNTIFS(入库单!$G$4:$G$2503,$A34,入库单!$X$4:$X$2503,"盘盈",入库单!$C$4:$C$2503,"&gt;="&amp;账期起,入库单!$C$4:$C$2503,"&lt;="&amp;账期止)+COUNTIFS(出库单!$D$4:$D$4003,$A34,出库单!$K$4:$K$4003,"盘亏",出库单!$C$4:$C$4003,"&gt;="&amp;账期起,出库单!$C$4:$C$4003,"&lt;="&amp;账期止)&gt;0,"已调账","※差异还没调账")))</f>
        <v/>
      </c>
      <c r="Q34" s="17" t="n"/>
      <c r="R34" s="17" t="n"/>
    </row>
    <row r="35">
      <c r="A35" s="24">
        <f>IF(库存台账!$A35="","",库存台账!$A35)</f>
        <v/>
      </c>
      <c r="B35" s="24">
        <f>IF($A35="","",库存台账!$B35)</f>
        <v/>
      </c>
      <c r="C35" s="24">
        <f>IF($A35="","",库存台账!$C35)</f>
        <v/>
      </c>
      <c r="D35" s="24">
        <f>IF($A35="","",库存台账!$D35)</f>
        <v/>
      </c>
      <c r="E35" s="24">
        <f>IF($A35="","",库存台账!$E35)</f>
        <v/>
      </c>
      <c r="F35" s="24">
        <f>IF($A35="","",库存台账!$F35)</f>
        <v/>
      </c>
      <c r="G35" s="17" t="n"/>
      <c r="H35" s="23" t="n"/>
      <c r="I35" s="27">
        <f>IF($A35="","",库存台账!$X35)</f>
        <v/>
      </c>
      <c r="J35" s="27">
        <f>IF(OR($A35="",$H35=""),"",ROUND($H35-$I35,3))</f>
        <v/>
      </c>
      <c r="K35" s="26">
        <f>IF($A35="","",库存台账!$K35)</f>
        <v/>
      </c>
      <c r="L35" s="26">
        <f>IF($J35="","",ROUND($J35*$K35,0))</f>
        <v/>
      </c>
      <c r="M35" s="37">
        <f>IF(OR($J35="",$I35=0),"",ROUND($J35/$I35,4))</f>
        <v/>
      </c>
      <c r="N35" s="17" t="n"/>
      <c r="O35" s="17" t="n"/>
      <c r="P35" s="24">
        <f>IF($J35="","未盘",IF(ROUND($J35,3)=0,"账实相符",IF(COUNTIFS(入库单!$G$4:$G$2503,$A35,入库单!$X$4:$X$2503,"盘盈",入库单!$C$4:$C$2503,"&gt;="&amp;账期起,入库单!$C$4:$C$2503,"&lt;="&amp;账期止)+COUNTIFS(出库单!$D$4:$D$4003,$A35,出库单!$K$4:$K$4003,"盘亏",出库单!$C$4:$C$4003,"&gt;="&amp;账期起,出库单!$C$4:$C$4003,"&lt;="&amp;账期止)&gt;0,"已调账","※差异还没调账")))</f>
        <v/>
      </c>
      <c r="Q35" s="17" t="n"/>
      <c r="R35" s="17" t="n"/>
    </row>
    <row r="36">
      <c r="A36" s="24">
        <f>IF(库存台账!$A36="","",库存台账!$A36)</f>
        <v/>
      </c>
      <c r="B36" s="24">
        <f>IF($A36="","",库存台账!$B36)</f>
        <v/>
      </c>
      <c r="C36" s="24">
        <f>IF($A36="","",库存台账!$C36)</f>
        <v/>
      </c>
      <c r="D36" s="24">
        <f>IF($A36="","",库存台账!$D36)</f>
        <v/>
      </c>
      <c r="E36" s="24">
        <f>IF($A36="","",库存台账!$E36)</f>
        <v/>
      </c>
      <c r="F36" s="24">
        <f>IF($A36="","",库存台账!$F36)</f>
        <v/>
      </c>
      <c r="G36" s="17" t="n"/>
      <c r="H36" s="23" t="n"/>
      <c r="I36" s="27">
        <f>IF($A36="","",库存台账!$X36)</f>
        <v/>
      </c>
      <c r="J36" s="27">
        <f>IF(OR($A36="",$H36=""),"",ROUND($H36-$I36,3))</f>
        <v/>
      </c>
      <c r="K36" s="26">
        <f>IF($A36="","",库存台账!$K36)</f>
        <v/>
      </c>
      <c r="L36" s="26">
        <f>IF($J36="","",ROUND($J36*$K36,0))</f>
        <v/>
      </c>
      <c r="M36" s="37">
        <f>IF(OR($J36="",$I36=0),"",ROUND($J36/$I36,4))</f>
        <v/>
      </c>
      <c r="N36" s="17" t="n"/>
      <c r="O36" s="17" t="n"/>
      <c r="P36" s="24">
        <f>IF($J36="","未盘",IF(ROUND($J36,3)=0,"账实相符",IF(COUNTIFS(入库单!$G$4:$G$2503,$A36,入库单!$X$4:$X$2503,"盘盈",入库单!$C$4:$C$2503,"&gt;="&amp;账期起,入库单!$C$4:$C$2503,"&lt;="&amp;账期止)+COUNTIFS(出库单!$D$4:$D$4003,$A36,出库单!$K$4:$K$4003,"盘亏",出库单!$C$4:$C$4003,"&gt;="&amp;账期起,出库单!$C$4:$C$4003,"&lt;="&amp;账期止)&gt;0,"已调账","※差异还没调账")))</f>
        <v/>
      </c>
      <c r="Q36" s="17" t="n"/>
      <c r="R36" s="17" t="n"/>
    </row>
    <row r="37">
      <c r="A37" s="24">
        <f>IF(库存台账!$A37="","",库存台账!$A37)</f>
        <v/>
      </c>
      <c r="B37" s="24">
        <f>IF($A37="","",库存台账!$B37)</f>
        <v/>
      </c>
      <c r="C37" s="24">
        <f>IF($A37="","",库存台账!$C37)</f>
        <v/>
      </c>
      <c r="D37" s="24">
        <f>IF($A37="","",库存台账!$D37)</f>
        <v/>
      </c>
      <c r="E37" s="24">
        <f>IF($A37="","",库存台账!$E37)</f>
        <v/>
      </c>
      <c r="F37" s="24">
        <f>IF($A37="","",库存台账!$F37)</f>
        <v/>
      </c>
      <c r="G37" s="17" t="n"/>
      <c r="H37" s="23" t="n"/>
      <c r="I37" s="27">
        <f>IF($A37="","",库存台账!$X37)</f>
        <v/>
      </c>
      <c r="J37" s="27">
        <f>IF(OR($A37="",$H37=""),"",ROUND($H37-$I37,3))</f>
        <v/>
      </c>
      <c r="K37" s="26">
        <f>IF($A37="","",库存台账!$K37)</f>
        <v/>
      </c>
      <c r="L37" s="26">
        <f>IF($J37="","",ROUND($J37*$K37,0))</f>
        <v/>
      </c>
      <c r="M37" s="37">
        <f>IF(OR($J37="",$I37=0),"",ROUND($J37/$I37,4))</f>
        <v/>
      </c>
      <c r="N37" s="17" t="n"/>
      <c r="O37" s="17" t="n"/>
      <c r="P37" s="24">
        <f>IF($J37="","未盘",IF(ROUND($J37,3)=0,"账实相符",IF(COUNTIFS(入库单!$G$4:$G$2503,$A37,入库单!$X$4:$X$2503,"盘盈",入库单!$C$4:$C$2503,"&gt;="&amp;账期起,入库单!$C$4:$C$2503,"&lt;="&amp;账期止)+COUNTIFS(出库单!$D$4:$D$4003,$A37,出库单!$K$4:$K$4003,"盘亏",出库单!$C$4:$C$4003,"&gt;="&amp;账期起,出库单!$C$4:$C$4003,"&lt;="&amp;账期止)&gt;0,"已调账","※差异还没调账")))</f>
        <v/>
      </c>
      <c r="Q37" s="17" t="n"/>
      <c r="R37" s="17" t="n"/>
    </row>
    <row r="38">
      <c r="A38" s="24">
        <f>IF(库存台账!$A38="","",库存台账!$A38)</f>
        <v/>
      </c>
      <c r="B38" s="24">
        <f>IF($A38="","",库存台账!$B38)</f>
        <v/>
      </c>
      <c r="C38" s="24">
        <f>IF($A38="","",库存台账!$C38)</f>
        <v/>
      </c>
      <c r="D38" s="24">
        <f>IF($A38="","",库存台账!$D38)</f>
        <v/>
      </c>
      <c r="E38" s="24">
        <f>IF($A38="","",库存台账!$E38)</f>
        <v/>
      </c>
      <c r="F38" s="24">
        <f>IF($A38="","",库存台账!$F38)</f>
        <v/>
      </c>
      <c r="G38" s="17" t="n"/>
      <c r="H38" s="23" t="n"/>
      <c r="I38" s="27">
        <f>IF($A38="","",库存台账!$X38)</f>
        <v/>
      </c>
      <c r="J38" s="27">
        <f>IF(OR($A38="",$H38=""),"",ROUND($H38-$I38,3))</f>
        <v/>
      </c>
      <c r="K38" s="26">
        <f>IF($A38="","",库存台账!$K38)</f>
        <v/>
      </c>
      <c r="L38" s="26">
        <f>IF($J38="","",ROUND($J38*$K38,0))</f>
        <v/>
      </c>
      <c r="M38" s="37">
        <f>IF(OR($J38="",$I38=0),"",ROUND($J38/$I38,4))</f>
        <v/>
      </c>
      <c r="N38" s="17" t="n"/>
      <c r="O38" s="17" t="n"/>
      <c r="P38" s="24">
        <f>IF($J38="","未盘",IF(ROUND($J38,3)=0,"账实相符",IF(COUNTIFS(入库单!$G$4:$G$2503,$A38,入库单!$X$4:$X$2503,"盘盈",入库单!$C$4:$C$2503,"&gt;="&amp;账期起,入库单!$C$4:$C$2503,"&lt;="&amp;账期止)+COUNTIFS(出库单!$D$4:$D$4003,$A38,出库单!$K$4:$K$4003,"盘亏",出库单!$C$4:$C$4003,"&gt;="&amp;账期起,出库单!$C$4:$C$4003,"&lt;="&amp;账期止)&gt;0,"已调账","※差异还没调账")))</f>
        <v/>
      </c>
      <c r="Q38" s="17" t="n"/>
      <c r="R38" s="17" t="n"/>
    </row>
    <row r="39">
      <c r="A39" s="24">
        <f>IF(库存台账!$A39="","",库存台账!$A39)</f>
        <v/>
      </c>
      <c r="B39" s="24">
        <f>IF($A39="","",库存台账!$B39)</f>
        <v/>
      </c>
      <c r="C39" s="24">
        <f>IF($A39="","",库存台账!$C39)</f>
        <v/>
      </c>
      <c r="D39" s="24">
        <f>IF($A39="","",库存台账!$D39)</f>
        <v/>
      </c>
      <c r="E39" s="24">
        <f>IF($A39="","",库存台账!$E39)</f>
        <v/>
      </c>
      <c r="F39" s="24">
        <f>IF($A39="","",库存台账!$F39)</f>
        <v/>
      </c>
      <c r="G39" s="17" t="n"/>
      <c r="H39" s="23" t="n"/>
      <c r="I39" s="27">
        <f>IF($A39="","",库存台账!$X39)</f>
        <v/>
      </c>
      <c r="J39" s="27">
        <f>IF(OR($A39="",$H39=""),"",ROUND($H39-$I39,3))</f>
        <v/>
      </c>
      <c r="K39" s="26">
        <f>IF($A39="","",库存台账!$K39)</f>
        <v/>
      </c>
      <c r="L39" s="26">
        <f>IF($J39="","",ROUND($J39*$K39,0))</f>
        <v/>
      </c>
      <c r="M39" s="37">
        <f>IF(OR($J39="",$I39=0),"",ROUND($J39/$I39,4))</f>
        <v/>
      </c>
      <c r="N39" s="17" t="n"/>
      <c r="O39" s="17" t="n"/>
      <c r="P39" s="24">
        <f>IF($J39="","未盘",IF(ROUND($J39,3)=0,"账实相符",IF(COUNTIFS(入库单!$G$4:$G$2503,$A39,入库单!$X$4:$X$2503,"盘盈",入库单!$C$4:$C$2503,"&gt;="&amp;账期起,入库单!$C$4:$C$2503,"&lt;="&amp;账期止)+COUNTIFS(出库单!$D$4:$D$4003,$A39,出库单!$K$4:$K$4003,"盘亏",出库单!$C$4:$C$4003,"&gt;="&amp;账期起,出库单!$C$4:$C$4003,"&lt;="&amp;账期止)&gt;0,"已调账","※差异还没调账")))</f>
        <v/>
      </c>
      <c r="Q39" s="17" t="n"/>
      <c r="R39" s="17" t="n"/>
    </row>
    <row r="40">
      <c r="A40" s="24">
        <f>IF(库存台账!$A40="","",库存台账!$A40)</f>
        <v/>
      </c>
      <c r="B40" s="24">
        <f>IF($A40="","",库存台账!$B40)</f>
        <v/>
      </c>
      <c r="C40" s="24">
        <f>IF($A40="","",库存台账!$C40)</f>
        <v/>
      </c>
      <c r="D40" s="24">
        <f>IF($A40="","",库存台账!$D40)</f>
        <v/>
      </c>
      <c r="E40" s="24">
        <f>IF($A40="","",库存台账!$E40)</f>
        <v/>
      </c>
      <c r="F40" s="24">
        <f>IF($A40="","",库存台账!$F40)</f>
        <v/>
      </c>
      <c r="G40" s="17" t="n"/>
      <c r="H40" s="23" t="n"/>
      <c r="I40" s="27">
        <f>IF($A40="","",库存台账!$X40)</f>
        <v/>
      </c>
      <c r="J40" s="27">
        <f>IF(OR($A40="",$H40=""),"",ROUND($H40-$I40,3))</f>
        <v/>
      </c>
      <c r="K40" s="26">
        <f>IF($A40="","",库存台账!$K40)</f>
        <v/>
      </c>
      <c r="L40" s="26">
        <f>IF($J40="","",ROUND($J40*$K40,0))</f>
        <v/>
      </c>
      <c r="M40" s="37">
        <f>IF(OR($J40="",$I40=0),"",ROUND($J40/$I40,4))</f>
        <v/>
      </c>
      <c r="N40" s="17" t="n"/>
      <c r="O40" s="17" t="n"/>
      <c r="P40" s="24">
        <f>IF($J40="","未盘",IF(ROUND($J40,3)=0,"账实相符",IF(COUNTIFS(入库单!$G$4:$G$2503,$A40,入库单!$X$4:$X$2503,"盘盈",入库单!$C$4:$C$2503,"&gt;="&amp;账期起,入库单!$C$4:$C$2503,"&lt;="&amp;账期止)+COUNTIFS(出库单!$D$4:$D$4003,$A40,出库单!$K$4:$K$4003,"盘亏",出库单!$C$4:$C$4003,"&gt;="&amp;账期起,出库单!$C$4:$C$4003,"&lt;="&amp;账期止)&gt;0,"已调账","※差异还没调账")))</f>
        <v/>
      </c>
      <c r="Q40" s="17" t="n"/>
      <c r="R40" s="17" t="n"/>
    </row>
    <row r="41">
      <c r="A41" s="24">
        <f>IF(库存台账!$A41="","",库存台账!$A41)</f>
        <v/>
      </c>
      <c r="B41" s="24">
        <f>IF($A41="","",库存台账!$B41)</f>
        <v/>
      </c>
      <c r="C41" s="24">
        <f>IF($A41="","",库存台账!$C41)</f>
        <v/>
      </c>
      <c r="D41" s="24">
        <f>IF($A41="","",库存台账!$D41)</f>
        <v/>
      </c>
      <c r="E41" s="24">
        <f>IF($A41="","",库存台账!$E41)</f>
        <v/>
      </c>
      <c r="F41" s="24">
        <f>IF($A41="","",库存台账!$F41)</f>
        <v/>
      </c>
      <c r="G41" s="17" t="n"/>
      <c r="H41" s="23" t="n"/>
      <c r="I41" s="27">
        <f>IF($A41="","",库存台账!$X41)</f>
        <v/>
      </c>
      <c r="J41" s="27">
        <f>IF(OR($A41="",$H41=""),"",ROUND($H41-$I41,3))</f>
        <v/>
      </c>
      <c r="K41" s="26">
        <f>IF($A41="","",库存台账!$K41)</f>
        <v/>
      </c>
      <c r="L41" s="26">
        <f>IF($J41="","",ROUND($J41*$K41,0))</f>
        <v/>
      </c>
      <c r="M41" s="37">
        <f>IF(OR($J41="",$I41=0),"",ROUND($J41/$I41,4))</f>
        <v/>
      </c>
      <c r="N41" s="17" t="n"/>
      <c r="O41" s="17" t="n"/>
      <c r="P41" s="24">
        <f>IF($J41="","未盘",IF(ROUND($J41,3)=0,"账实相符",IF(COUNTIFS(入库单!$G$4:$G$2503,$A41,入库单!$X$4:$X$2503,"盘盈",入库单!$C$4:$C$2503,"&gt;="&amp;账期起,入库单!$C$4:$C$2503,"&lt;="&amp;账期止)+COUNTIFS(出库单!$D$4:$D$4003,$A41,出库单!$K$4:$K$4003,"盘亏",出库单!$C$4:$C$4003,"&gt;="&amp;账期起,出库单!$C$4:$C$4003,"&lt;="&amp;账期止)&gt;0,"已调账","※差异还没调账")))</f>
        <v/>
      </c>
      <c r="Q41" s="17" t="n"/>
      <c r="R41" s="17" t="n"/>
    </row>
    <row r="42">
      <c r="A42" s="24">
        <f>IF(库存台账!$A42="","",库存台账!$A42)</f>
        <v/>
      </c>
      <c r="B42" s="24">
        <f>IF($A42="","",库存台账!$B42)</f>
        <v/>
      </c>
      <c r="C42" s="24">
        <f>IF($A42="","",库存台账!$C42)</f>
        <v/>
      </c>
      <c r="D42" s="24">
        <f>IF($A42="","",库存台账!$D42)</f>
        <v/>
      </c>
      <c r="E42" s="24">
        <f>IF($A42="","",库存台账!$E42)</f>
        <v/>
      </c>
      <c r="F42" s="24">
        <f>IF($A42="","",库存台账!$F42)</f>
        <v/>
      </c>
      <c r="G42" s="17" t="n"/>
      <c r="H42" s="23" t="n"/>
      <c r="I42" s="27">
        <f>IF($A42="","",库存台账!$X42)</f>
        <v/>
      </c>
      <c r="J42" s="27">
        <f>IF(OR($A42="",$H42=""),"",ROUND($H42-$I42,3))</f>
        <v/>
      </c>
      <c r="K42" s="26">
        <f>IF($A42="","",库存台账!$K42)</f>
        <v/>
      </c>
      <c r="L42" s="26">
        <f>IF($J42="","",ROUND($J42*$K42,0))</f>
        <v/>
      </c>
      <c r="M42" s="37">
        <f>IF(OR($J42="",$I42=0),"",ROUND($J42/$I42,4))</f>
        <v/>
      </c>
      <c r="N42" s="17" t="n"/>
      <c r="O42" s="17" t="n"/>
      <c r="P42" s="24">
        <f>IF($J42="","未盘",IF(ROUND($J42,3)=0,"账实相符",IF(COUNTIFS(入库单!$G$4:$G$2503,$A42,入库单!$X$4:$X$2503,"盘盈",入库单!$C$4:$C$2503,"&gt;="&amp;账期起,入库单!$C$4:$C$2503,"&lt;="&amp;账期止)+COUNTIFS(出库单!$D$4:$D$4003,$A42,出库单!$K$4:$K$4003,"盘亏",出库单!$C$4:$C$4003,"&gt;="&amp;账期起,出库单!$C$4:$C$4003,"&lt;="&amp;账期止)&gt;0,"已调账","※差异还没调账")))</f>
        <v/>
      </c>
      <c r="Q42" s="17" t="n"/>
      <c r="R42" s="17" t="n"/>
    </row>
    <row r="43">
      <c r="A43" s="24">
        <f>IF(库存台账!$A43="","",库存台账!$A43)</f>
        <v/>
      </c>
      <c r="B43" s="24">
        <f>IF($A43="","",库存台账!$B43)</f>
        <v/>
      </c>
      <c r="C43" s="24">
        <f>IF($A43="","",库存台账!$C43)</f>
        <v/>
      </c>
      <c r="D43" s="24">
        <f>IF($A43="","",库存台账!$D43)</f>
        <v/>
      </c>
      <c r="E43" s="24">
        <f>IF($A43="","",库存台账!$E43)</f>
        <v/>
      </c>
      <c r="F43" s="24">
        <f>IF($A43="","",库存台账!$F43)</f>
        <v/>
      </c>
      <c r="G43" s="17" t="n"/>
      <c r="H43" s="23" t="n"/>
      <c r="I43" s="27">
        <f>IF($A43="","",库存台账!$X43)</f>
        <v/>
      </c>
      <c r="J43" s="27">
        <f>IF(OR($A43="",$H43=""),"",ROUND($H43-$I43,3))</f>
        <v/>
      </c>
      <c r="K43" s="26">
        <f>IF($A43="","",库存台账!$K43)</f>
        <v/>
      </c>
      <c r="L43" s="26">
        <f>IF($J43="","",ROUND($J43*$K43,0))</f>
        <v/>
      </c>
      <c r="M43" s="37">
        <f>IF(OR($J43="",$I43=0),"",ROUND($J43/$I43,4))</f>
        <v/>
      </c>
      <c r="N43" s="17" t="n"/>
      <c r="O43" s="17" t="n"/>
      <c r="P43" s="24">
        <f>IF($J43="","未盘",IF(ROUND($J43,3)=0,"账实相符",IF(COUNTIFS(入库单!$G$4:$G$2503,$A43,入库单!$X$4:$X$2503,"盘盈",入库单!$C$4:$C$2503,"&gt;="&amp;账期起,入库单!$C$4:$C$2503,"&lt;="&amp;账期止)+COUNTIFS(出库单!$D$4:$D$4003,$A43,出库单!$K$4:$K$4003,"盘亏",出库单!$C$4:$C$4003,"&gt;="&amp;账期起,出库单!$C$4:$C$4003,"&lt;="&amp;账期止)&gt;0,"已调账","※差异还没调账")))</f>
        <v/>
      </c>
      <c r="Q43" s="17" t="n"/>
      <c r="R43" s="17" t="n"/>
    </row>
    <row r="44">
      <c r="A44" s="24">
        <f>IF(库存台账!$A44="","",库存台账!$A44)</f>
        <v/>
      </c>
      <c r="B44" s="24">
        <f>IF($A44="","",库存台账!$B44)</f>
        <v/>
      </c>
      <c r="C44" s="24">
        <f>IF($A44="","",库存台账!$C44)</f>
        <v/>
      </c>
      <c r="D44" s="24">
        <f>IF($A44="","",库存台账!$D44)</f>
        <v/>
      </c>
      <c r="E44" s="24">
        <f>IF($A44="","",库存台账!$E44)</f>
        <v/>
      </c>
      <c r="F44" s="24">
        <f>IF($A44="","",库存台账!$F44)</f>
        <v/>
      </c>
      <c r="G44" s="17" t="n"/>
      <c r="H44" s="23" t="n"/>
      <c r="I44" s="27">
        <f>IF($A44="","",库存台账!$X44)</f>
        <v/>
      </c>
      <c r="J44" s="27">
        <f>IF(OR($A44="",$H44=""),"",ROUND($H44-$I44,3))</f>
        <v/>
      </c>
      <c r="K44" s="26">
        <f>IF($A44="","",库存台账!$K44)</f>
        <v/>
      </c>
      <c r="L44" s="26">
        <f>IF($J44="","",ROUND($J44*$K44,0))</f>
        <v/>
      </c>
      <c r="M44" s="37">
        <f>IF(OR($J44="",$I44=0),"",ROUND($J44/$I44,4))</f>
        <v/>
      </c>
      <c r="N44" s="17" t="n"/>
      <c r="O44" s="17" t="n"/>
      <c r="P44" s="24">
        <f>IF($J44="","未盘",IF(ROUND($J44,3)=0,"账实相符",IF(COUNTIFS(入库单!$G$4:$G$2503,$A44,入库单!$X$4:$X$2503,"盘盈",入库单!$C$4:$C$2503,"&gt;="&amp;账期起,入库单!$C$4:$C$2503,"&lt;="&amp;账期止)+COUNTIFS(出库单!$D$4:$D$4003,$A44,出库单!$K$4:$K$4003,"盘亏",出库单!$C$4:$C$4003,"&gt;="&amp;账期起,出库单!$C$4:$C$4003,"&lt;="&amp;账期止)&gt;0,"已调账","※差异还没调账")))</f>
        <v/>
      </c>
      <c r="Q44" s="17" t="n"/>
      <c r="R44" s="17" t="n"/>
    </row>
    <row r="45">
      <c r="A45" s="24">
        <f>IF(库存台账!$A45="","",库存台账!$A45)</f>
        <v/>
      </c>
      <c r="B45" s="24">
        <f>IF($A45="","",库存台账!$B45)</f>
        <v/>
      </c>
      <c r="C45" s="24">
        <f>IF($A45="","",库存台账!$C45)</f>
        <v/>
      </c>
      <c r="D45" s="24">
        <f>IF($A45="","",库存台账!$D45)</f>
        <v/>
      </c>
      <c r="E45" s="24">
        <f>IF($A45="","",库存台账!$E45)</f>
        <v/>
      </c>
      <c r="F45" s="24">
        <f>IF($A45="","",库存台账!$F45)</f>
        <v/>
      </c>
      <c r="G45" s="17" t="n"/>
      <c r="H45" s="23" t="n"/>
      <c r="I45" s="27">
        <f>IF($A45="","",库存台账!$X45)</f>
        <v/>
      </c>
      <c r="J45" s="27">
        <f>IF(OR($A45="",$H45=""),"",ROUND($H45-$I45,3))</f>
        <v/>
      </c>
      <c r="K45" s="26">
        <f>IF($A45="","",库存台账!$K45)</f>
        <v/>
      </c>
      <c r="L45" s="26">
        <f>IF($J45="","",ROUND($J45*$K45,0))</f>
        <v/>
      </c>
      <c r="M45" s="37">
        <f>IF(OR($J45="",$I45=0),"",ROUND($J45/$I45,4))</f>
        <v/>
      </c>
      <c r="N45" s="17" t="n"/>
      <c r="O45" s="17" t="n"/>
      <c r="P45" s="24">
        <f>IF($J45="","未盘",IF(ROUND($J45,3)=0,"账实相符",IF(COUNTIFS(入库单!$G$4:$G$2503,$A45,入库单!$X$4:$X$2503,"盘盈",入库单!$C$4:$C$2503,"&gt;="&amp;账期起,入库单!$C$4:$C$2503,"&lt;="&amp;账期止)+COUNTIFS(出库单!$D$4:$D$4003,$A45,出库单!$K$4:$K$4003,"盘亏",出库单!$C$4:$C$4003,"&gt;="&amp;账期起,出库单!$C$4:$C$4003,"&lt;="&amp;账期止)&gt;0,"已调账","※差异还没调账")))</f>
        <v/>
      </c>
      <c r="Q45" s="17" t="n"/>
      <c r="R45" s="17" t="n"/>
    </row>
    <row r="46">
      <c r="A46" s="24">
        <f>IF(库存台账!$A46="","",库存台账!$A46)</f>
        <v/>
      </c>
      <c r="B46" s="24">
        <f>IF($A46="","",库存台账!$B46)</f>
        <v/>
      </c>
      <c r="C46" s="24">
        <f>IF($A46="","",库存台账!$C46)</f>
        <v/>
      </c>
      <c r="D46" s="24">
        <f>IF($A46="","",库存台账!$D46)</f>
        <v/>
      </c>
      <c r="E46" s="24">
        <f>IF($A46="","",库存台账!$E46)</f>
        <v/>
      </c>
      <c r="F46" s="24">
        <f>IF($A46="","",库存台账!$F46)</f>
        <v/>
      </c>
      <c r="G46" s="17" t="n"/>
      <c r="H46" s="23" t="n"/>
      <c r="I46" s="27">
        <f>IF($A46="","",库存台账!$X46)</f>
        <v/>
      </c>
      <c r="J46" s="27">
        <f>IF(OR($A46="",$H46=""),"",ROUND($H46-$I46,3))</f>
        <v/>
      </c>
      <c r="K46" s="26">
        <f>IF($A46="","",库存台账!$K46)</f>
        <v/>
      </c>
      <c r="L46" s="26">
        <f>IF($J46="","",ROUND($J46*$K46,0))</f>
        <v/>
      </c>
      <c r="M46" s="37">
        <f>IF(OR($J46="",$I46=0),"",ROUND($J46/$I46,4))</f>
        <v/>
      </c>
      <c r="N46" s="17" t="n"/>
      <c r="O46" s="17" t="n"/>
      <c r="P46" s="24">
        <f>IF($J46="","未盘",IF(ROUND($J46,3)=0,"账实相符",IF(COUNTIFS(入库单!$G$4:$G$2503,$A46,入库单!$X$4:$X$2503,"盘盈",入库单!$C$4:$C$2503,"&gt;="&amp;账期起,入库单!$C$4:$C$2503,"&lt;="&amp;账期止)+COUNTIFS(出库单!$D$4:$D$4003,$A46,出库单!$K$4:$K$4003,"盘亏",出库单!$C$4:$C$4003,"&gt;="&amp;账期起,出库单!$C$4:$C$4003,"&lt;="&amp;账期止)&gt;0,"已调账","※差异还没调账")))</f>
        <v/>
      </c>
      <c r="Q46" s="17" t="n"/>
      <c r="R46" s="17" t="n"/>
    </row>
    <row r="47">
      <c r="A47" s="24">
        <f>IF(库存台账!$A47="","",库存台账!$A47)</f>
        <v/>
      </c>
      <c r="B47" s="24">
        <f>IF($A47="","",库存台账!$B47)</f>
        <v/>
      </c>
      <c r="C47" s="24">
        <f>IF($A47="","",库存台账!$C47)</f>
        <v/>
      </c>
      <c r="D47" s="24">
        <f>IF($A47="","",库存台账!$D47)</f>
        <v/>
      </c>
      <c r="E47" s="24">
        <f>IF($A47="","",库存台账!$E47)</f>
        <v/>
      </c>
      <c r="F47" s="24">
        <f>IF($A47="","",库存台账!$F47)</f>
        <v/>
      </c>
      <c r="G47" s="17" t="n"/>
      <c r="H47" s="23" t="n"/>
      <c r="I47" s="27">
        <f>IF($A47="","",库存台账!$X47)</f>
        <v/>
      </c>
      <c r="J47" s="27">
        <f>IF(OR($A47="",$H47=""),"",ROUND($H47-$I47,3))</f>
        <v/>
      </c>
      <c r="K47" s="26">
        <f>IF($A47="","",库存台账!$K47)</f>
        <v/>
      </c>
      <c r="L47" s="26">
        <f>IF($J47="","",ROUND($J47*$K47,0))</f>
        <v/>
      </c>
      <c r="M47" s="37">
        <f>IF(OR($J47="",$I47=0),"",ROUND($J47/$I47,4))</f>
        <v/>
      </c>
      <c r="N47" s="17" t="n"/>
      <c r="O47" s="17" t="n"/>
      <c r="P47" s="24">
        <f>IF($J47="","未盘",IF(ROUND($J47,3)=0,"账实相符",IF(COUNTIFS(入库单!$G$4:$G$2503,$A47,入库单!$X$4:$X$2503,"盘盈",入库单!$C$4:$C$2503,"&gt;="&amp;账期起,入库单!$C$4:$C$2503,"&lt;="&amp;账期止)+COUNTIFS(出库单!$D$4:$D$4003,$A47,出库单!$K$4:$K$4003,"盘亏",出库单!$C$4:$C$4003,"&gt;="&amp;账期起,出库单!$C$4:$C$4003,"&lt;="&amp;账期止)&gt;0,"已调账","※差异还没调账")))</f>
        <v/>
      </c>
      <c r="Q47" s="17" t="n"/>
      <c r="R47" s="17" t="n"/>
    </row>
    <row r="48">
      <c r="A48" s="24">
        <f>IF(库存台账!$A48="","",库存台账!$A48)</f>
        <v/>
      </c>
      <c r="B48" s="24">
        <f>IF($A48="","",库存台账!$B48)</f>
        <v/>
      </c>
      <c r="C48" s="24">
        <f>IF($A48="","",库存台账!$C48)</f>
        <v/>
      </c>
      <c r="D48" s="24">
        <f>IF($A48="","",库存台账!$D48)</f>
        <v/>
      </c>
      <c r="E48" s="24">
        <f>IF($A48="","",库存台账!$E48)</f>
        <v/>
      </c>
      <c r="F48" s="24">
        <f>IF($A48="","",库存台账!$F48)</f>
        <v/>
      </c>
      <c r="G48" s="17" t="n"/>
      <c r="H48" s="23" t="n"/>
      <c r="I48" s="27">
        <f>IF($A48="","",库存台账!$X48)</f>
        <v/>
      </c>
      <c r="J48" s="27">
        <f>IF(OR($A48="",$H48=""),"",ROUND($H48-$I48,3))</f>
        <v/>
      </c>
      <c r="K48" s="26">
        <f>IF($A48="","",库存台账!$K48)</f>
        <v/>
      </c>
      <c r="L48" s="26">
        <f>IF($J48="","",ROUND($J48*$K48,0))</f>
        <v/>
      </c>
      <c r="M48" s="37">
        <f>IF(OR($J48="",$I48=0),"",ROUND($J48/$I48,4))</f>
        <v/>
      </c>
      <c r="N48" s="17" t="n"/>
      <c r="O48" s="17" t="n"/>
      <c r="P48" s="24">
        <f>IF($J48="","未盘",IF(ROUND($J48,3)=0,"账实相符",IF(COUNTIFS(入库单!$G$4:$G$2503,$A48,入库单!$X$4:$X$2503,"盘盈",入库单!$C$4:$C$2503,"&gt;="&amp;账期起,入库单!$C$4:$C$2503,"&lt;="&amp;账期止)+COUNTIFS(出库单!$D$4:$D$4003,$A48,出库单!$K$4:$K$4003,"盘亏",出库单!$C$4:$C$4003,"&gt;="&amp;账期起,出库单!$C$4:$C$4003,"&lt;="&amp;账期止)&gt;0,"已调账","※差异还没调账")))</f>
        <v/>
      </c>
      <c r="Q48" s="17" t="n"/>
      <c r="R48" s="17" t="n"/>
    </row>
    <row r="49">
      <c r="A49" s="24">
        <f>IF(库存台账!$A49="","",库存台账!$A49)</f>
        <v/>
      </c>
      <c r="B49" s="24">
        <f>IF($A49="","",库存台账!$B49)</f>
        <v/>
      </c>
      <c r="C49" s="24">
        <f>IF($A49="","",库存台账!$C49)</f>
        <v/>
      </c>
      <c r="D49" s="24">
        <f>IF($A49="","",库存台账!$D49)</f>
        <v/>
      </c>
      <c r="E49" s="24">
        <f>IF($A49="","",库存台账!$E49)</f>
        <v/>
      </c>
      <c r="F49" s="24">
        <f>IF($A49="","",库存台账!$F49)</f>
        <v/>
      </c>
      <c r="G49" s="17" t="n"/>
      <c r="H49" s="23" t="n"/>
      <c r="I49" s="27">
        <f>IF($A49="","",库存台账!$X49)</f>
        <v/>
      </c>
      <c r="J49" s="27">
        <f>IF(OR($A49="",$H49=""),"",ROUND($H49-$I49,3))</f>
        <v/>
      </c>
      <c r="K49" s="26">
        <f>IF($A49="","",库存台账!$K49)</f>
        <v/>
      </c>
      <c r="L49" s="26">
        <f>IF($J49="","",ROUND($J49*$K49,0))</f>
        <v/>
      </c>
      <c r="M49" s="37">
        <f>IF(OR($J49="",$I49=0),"",ROUND($J49/$I49,4))</f>
        <v/>
      </c>
      <c r="N49" s="17" t="n"/>
      <c r="O49" s="17" t="n"/>
      <c r="P49" s="24">
        <f>IF($J49="","未盘",IF(ROUND($J49,3)=0,"账实相符",IF(COUNTIFS(入库单!$G$4:$G$2503,$A49,入库单!$X$4:$X$2503,"盘盈",入库单!$C$4:$C$2503,"&gt;="&amp;账期起,入库单!$C$4:$C$2503,"&lt;="&amp;账期止)+COUNTIFS(出库单!$D$4:$D$4003,$A49,出库单!$K$4:$K$4003,"盘亏",出库单!$C$4:$C$4003,"&gt;="&amp;账期起,出库单!$C$4:$C$4003,"&lt;="&amp;账期止)&gt;0,"已调账","※差异还没调账")))</f>
        <v/>
      </c>
      <c r="Q49" s="17" t="n"/>
      <c r="R49" s="17" t="n"/>
    </row>
    <row r="50">
      <c r="A50" s="24">
        <f>IF(库存台账!$A50="","",库存台账!$A50)</f>
        <v/>
      </c>
      <c r="B50" s="24">
        <f>IF($A50="","",库存台账!$B50)</f>
        <v/>
      </c>
      <c r="C50" s="24">
        <f>IF($A50="","",库存台账!$C50)</f>
        <v/>
      </c>
      <c r="D50" s="24">
        <f>IF($A50="","",库存台账!$D50)</f>
        <v/>
      </c>
      <c r="E50" s="24">
        <f>IF($A50="","",库存台账!$E50)</f>
        <v/>
      </c>
      <c r="F50" s="24">
        <f>IF($A50="","",库存台账!$F50)</f>
        <v/>
      </c>
      <c r="G50" s="17" t="n"/>
      <c r="H50" s="23" t="n"/>
      <c r="I50" s="27">
        <f>IF($A50="","",库存台账!$X50)</f>
        <v/>
      </c>
      <c r="J50" s="27">
        <f>IF(OR($A50="",$H50=""),"",ROUND($H50-$I50,3))</f>
        <v/>
      </c>
      <c r="K50" s="26">
        <f>IF($A50="","",库存台账!$K50)</f>
        <v/>
      </c>
      <c r="L50" s="26">
        <f>IF($J50="","",ROUND($J50*$K50,0))</f>
        <v/>
      </c>
      <c r="M50" s="37">
        <f>IF(OR($J50="",$I50=0),"",ROUND($J50/$I50,4))</f>
        <v/>
      </c>
      <c r="N50" s="17" t="n"/>
      <c r="O50" s="17" t="n"/>
      <c r="P50" s="24">
        <f>IF($J50="","未盘",IF(ROUND($J50,3)=0,"账实相符",IF(COUNTIFS(入库单!$G$4:$G$2503,$A50,入库单!$X$4:$X$2503,"盘盈",入库单!$C$4:$C$2503,"&gt;="&amp;账期起,入库单!$C$4:$C$2503,"&lt;="&amp;账期止)+COUNTIFS(出库单!$D$4:$D$4003,$A50,出库单!$K$4:$K$4003,"盘亏",出库单!$C$4:$C$4003,"&gt;="&amp;账期起,出库单!$C$4:$C$4003,"&lt;="&amp;账期止)&gt;0,"已调账","※差异还没调账")))</f>
        <v/>
      </c>
      <c r="Q50" s="17" t="n"/>
      <c r="R50" s="17" t="n"/>
    </row>
    <row r="51">
      <c r="A51" s="24">
        <f>IF(库存台账!$A51="","",库存台账!$A51)</f>
        <v/>
      </c>
      <c r="B51" s="24">
        <f>IF($A51="","",库存台账!$B51)</f>
        <v/>
      </c>
      <c r="C51" s="24">
        <f>IF($A51="","",库存台账!$C51)</f>
        <v/>
      </c>
      <c r="D51" s="24">
        <f>IF($A51="","",库存台账!$D51)</f>
        <v/>
      </c>
      <c r="E51" s="24">
        <f>IF($A51="","",库存台账!$E51)</f>
        <v/>
      </c>
      <c r="F51" s="24">
        <f>IF($A51="","",库存台账!$F51)</f>
        <v/>
      </c>
      <c r="G51" s="17" t="n"/>
      <c r="H51" s="23" t="n"/>
      <c r="I51" s="27">
        <f>IF($A51="","",库存台账!$X51)</f>
        <v/>
      </c>
      <c r="J51" s="27">
        <f>IF(OR($A51="",$H51=""),"",ROUND($H51-$I51,3))</f>
        <v/>
      </c>
      <c r="K51" s="26">
        <f>IF($A51="","",库存台账!$K51)</f>
        <v/>
      </c>
      <c r="L51" s="26">
        <f>IF($J51="","",ROUND($J51*$K51,0))</f>
        <v/>
      </c>
      <c r="M51" s="37">
        <f>IF(OR($J51="",$I51=0),"",ROUND($J51/$I51,4))</f>
        <v/>
      </c>
      <c r="N51" s="17" t="n"/>
      <c r="O51" s="17" t="n"/>
      <c r="P51" s="24">
        <f>IF($J51="","未盘",IF(ROUND($J51,3)=0,"账实相符",IF(COUNTIFS(入库单!$G$4:$G$2503,$A51,入库单!$X$4:$X$2503,"盘盈",入库单!$C$4:$C$2503,"&gt;="&amp;账期起,入库单!$C$4:$C$2503,"&lt;="&amp;账期止)+COUNTIFS(出库单!$D$4:$D$4003,$A51,出库单!$K$4:$K$4003,"盘亏",出库单!$C$4:$C$4003,"&gt;="&amp;账期起,出库单!$C$4:$C$4003,"&lt;="&amp;账期止)&gt;0,"已调账","※差异还没调账")))</f>
        <v/>
      </c>
      <c r="Q51" s="17" t="n"/>
      <c r="R51" s="17" t="n"/>
    </row>
    <row r="52">
      <c r="A52" s="24">
        <f>IF(库存台账!$A52="","",库存台账!$A52)</f>
        <v/>
      </c>
      <c r="B52" s="24">
        <f>IF($A52="","",库存台账!$B52)</f>
        <v/>
      </c>
      <c r="C52" s="24">
        <f>IF($A52="","",库存台账!$C52)</f>
        <v/>
      </c>
      <c r="D52" s="24">
        <f>IF($A52="","",库存台账!$D52)</f>
        <v/>
      </c>
      <c r="E52" s="24">
        <f>IF($A52="","",库存台账!$E52)</f>
        <v/>
      </c>
      <c r="F52" s="24">
        <f>IF($A52="","",库存台账!$F52)</f>
        <v/>
      </c>
      <c r="G52" s="17" t="n"/>
      <c r="H52" s="23" t="n"/>
      <c r="I52" s="27">
        <f>IF($A52="","",库存台账!$X52)</f>
        <v/>
      </c>
      <c r="J52" s="27">
        <f>IF(OR($A52="",$H52=""),"",ROUND($H52-$I52,3))</f>
        <v/>
      </c>
      <c r="K52" s="26">
        <f>IF($A52="","",库存台账!$K52)</f>
        <v/>
      </c>
      <c r="L52" s="26">
        <f>IF($J52="","",ROUND($J52*$K52,0))</f>
        <v/>
      </c>
      <c r="M52" s="37">
        <f>IF(OR($J52="",$I52=0),"",ROUND($J52/$I52,4))</f>
        <v/>
      </c>
      <c r="N52" s="17" t="n"/>
      <c r="O52" s="17" t="n"/>
      <c r="P52" s="24">
        <f>IF($J52="","未盘",IF(ROUND($J52,3)=0,"账实相符",IF(COUNTIFS(入库单!$G$4:$G$2503,$A52,入库单!$X$4:$X$2503,"盘盈",入库单!$C$4:$C$2503,"&gt;="&amp;账期起,入库单!$C$4:$C$2503,"&lt;="&amp;账期止)+COUNTIFS(出库单!$D$4:$D$4003,$A52,出库单!$K$4:$K$4003,"盘亏",出库单!$C$4:$C$4003,"&gt;="&amp;账期起,出库单!$C$4:$C$4003,"&lt;="&amp;账期止)&gt;0,"已调账","※差异还没调账")))</f>
        <v/>
      </c>
      <c r="Q52" s="17" t="n"/>
      <c r="R52" s="17" t="n"/>
    </row>
    <row r="53">
      <c r="A53" s="24">
        <f>IF(库存台账!$A53="","",库存台账!$A53)</f>
        <v/>
      </c>
      <c r="B53" s="24">
        <f>IF($A53="","",库存台账!$B53)</f>
        <v/>
      </c>
      <c r="C53" s="24">
        <f>IF($A53="","",库存台账!$C53)</f>
        <v/>
      </c>
      <c r="D53" s="24">
        <f>IF($A53="","",库存台账!$D53)</f>
        <v/>
      </c>
      <c r="E53" s="24">
        <f>IF($A53="","",库存台账!$E53)</f>
        <v/>
      </c>
      <c r="F53" s="24">
        <f>IF($A53="","",库存台账!$F53)</f>
        <v/>
      </c>
      <c r="G53" s="17" t="n"/>
      <c r="H53" s="23" t="n"/>
      <c r="I53" s="27">
        <f>IF($A53="","",库存台账!$X53)</f>
        <v/>
      </c>
      <c r="J53" s="27">
        <f>IF(OR($A53="",$H53=""),"",ROUND($H53-$I53,3))</f>
        <v/>
      </c>
      <c r="K53" s="26">
        <f>IF($A53="","",库存台账!$K53)</f>
        <v/>
      </c>
      <c r="L53" s="26">
        <f>IF($J53="","",ROUND($J53*$K53,0))</f>
        <v/>
      </c>
      <c r="M53" s="37">
        <f>IF(OR($J53="",$I53=0),"",ROUND($J53/$I53,4))</f>
        <v/>
      </c>
      <c r="N53" s="17" t="n"/>
      <c r="O53" s="17" t="n"/>
      <c r="P53" s="24">
        <f>IF($J53="","未盘",IF(ROUND($J53,3)=0,"账实相符",IF(COUNTIFS(入库单!$G$4:$G$2503,$A53,入库单!$X$4:$X$2503,"盘盈",入库单!$C$4:$C$2503,"&gt;="&amp;账期起,入库单!$C$4:$C$2503,"&lt;="&amp;账期止)+COUNTIFS(出库单!$D$4:$D$4003,$A53,出库单!$K$4:$K$4003,"盘亏",出库单!$C$4:$C$4003,"&gt;="&amp;账期起,出库单!$C$4:$C$4003,"&lt;="&amp;账期止)&gt;0,"已调账","※差异还没调账")))</f>
        <v/>
      </c>
      <c r="Q53" s="17" t="n"/>
      <c r="R53" s="17" t="n"/>
    </row>
    <row r="54">
      <c r="A54" s="24">
        <f>IF(库存台账!$A54="","",库存台账!$A54)</f>
        <v/>
      </c>
      <c r="B54" s="24">
        <f>IF($A54="","",库存台账!$B54)</f>
        <v/>
      </c>
      <c r="C54" s="24">
        <f>IF($A54="","",库存台账!$C54)</f>
        <v/>
      </c>
      <c r="D54" s="24">
        <f>IF($A54="","",库存台账!$D54)</f>
        <v/>
      </c>
      <c r="E54" s="24">
        <f>IF($A54="","",库存台账!$E54)</f>
        <v/>
      </c>
      <c r="F54" s="24">
        <f>IF($A54="","",库存台账!$F54)</f>
        <v/>
      </c>
      <c r="G54" s="17" t="n"/>
      <c r="H54" s="23" t="n"/>
      <c r="I54" s="27">
        <f>IF($A54="","",库存台账!$X54)</f>
        <v/>
      </c>
      <c r="J54" s="27">
        <f>IF(OR($A54="",$H54=""),"",ROUND($H54-$I54,3))</f>
        <v/>
      </c>
      <c r="K54" s="26">
        <f>IF($A54="","",库存台账!$K54)</f>
        <v/>
      </c>
      <c r="L54" s="26">
        <f>IF($J54="","",ROUND($J54*$K54,0))</f>
        <v/>
      </c>
      <c r="M54" s="37">
        <f>IF(OR($J54="",$I54=0),"",ROUND($J54/$I54,4))</f>
        <v/>
      </c>
      <c r="N54" s="17" t="n"/>
      <c r="O54" s="17" t="n"/>
      <c r="P54" s="24">
        <f>IF($J54="","未盘",IF(ROUND($J54,3)=0,"账实相符",IF(COUNTIFS(入库单!$G$4:$G$2503,$A54,入库单!$X$4:$X$2503,"盘盈",入库单!$C$4:$C$2503,"&gt;="&amp;账期起,入库单!$C$4:$C$2503,"&lt;="&amp;账期止)+COUNTIFS(出库单!$D$4:$D$4003,$A54,出库单!$K$4:$K$4003,"盘亏",出库单!$C$4:$C$4003,"&gt;="&amp;账期起,出库单!$C$4:$C$4003,"&lt;="&amp;账期止)&gt;0,"已调账","※差异还没调账")))</f>
        <v/>
      </c>
      <c r="Q54" s="17" t="n"/>
      <c r="R54" s="17" t="n"/>
    </row>
    <row r="55">
      <c r="A55" s="24">
        <f>IF(库存台账!$A55="","",库存台账!$A55)</f>
        <v/>
      </c>
      <c r="B55" s="24">
        <f>IF($A55="","",库存台账!$B55)</f>
        <v/>
      </c>
      <c r="C55" s="24">
        <f>IF($A55="","",库存台账!$C55)</f>
        <v/>
      </c>
      <c r="D55" s="24">
        <f>IF($A55="","",库存台账!$D55)</f>
        <v/>
      </c>
      <c r="E55" s="24">
        <f>IF($A55="","",库存台账!$E55)</f>
        <v/>
      </c>
      <c r="F55" s="24">
        <f>IF($A55="","",库存台账!$F55)</f>
        <v/>
      </c>
      <c r="G55" s="17" t="n"/>
      <c r="H55" s="23" t="n"/>
      <c r="I55" s="27">
        <f>IF($A55="","",库存台账!$X55)</f>
        <v/>
      </c>
      <c r="J55" s="27">
        <f>IF(OR($A55="",$H55=""),"",ROUND($H55-$I55,3))</f>
        <v/>
      </c>
      <c r="K55" s="26">
        <f>IF($A55="","",库存台账!$K55)</f>
        <v/>
      </c>
      <c r="L55" s="26">
        <f>IF($J55="","",ROUND($J55*$K55,0))</f>
        <v/>
      </c>
      <c r="M55" s="37">
        <f>IF(OR($J55="",$I55=0),"",ROUND($J55/$I55,4))</f>
        <v/>
      </c>
      <c r="N55" s="17" t="n"/>
      <c r="O55" s="17" t="n"/>
      <c r="P55" s="24">
        <f>IF($J55="","未盘",IF(ROUND($J55,3)=0,"账实相符",IF(COUNTIFS(入库单!$G$4:$G$2503,$A55,入库单!$X$4:$X$2503,"盘盈",入库单!$C$4:$C$2503,"&gt;="&amp;账期起,入库单!$C$4:$C$2503,"&lt;="&amp;账期止)+COUNTIFS(出库单!$D$4:$D$4003,$A55,出库单!$K$4:$K$4003,"盘亏",出库单!$C$4:$C$4003,"&gt;="&amp;账期起,出库单!$C$4:$C$4003,"&lt;="&amp;账期止)&gt;0,"已调账","※差异还没调账")))</f>
        <v/>
      </c>
      <c r="Q55" s="17" t="n"/>
      <c r="R55" s="17" t="n"/>
    </row>
    <row r="56">
      <c r="A56" s="24">
        <f>IF(库存台账!$A56="","",库存台账!$A56)</f>
        <v/>
      </c>
      <c r="B56" s="24">
        <f>IF($A56="","",库存台账!$B56)</f>
        <v/>
      </c>
      <c r="C56" s="24">
        <f>IF($A56="","",库存台账!$C56)</f>
        <v/>
      </c>
      <c r="D56" s="24">
        <f>IF($A56="","",库存台账!$D56)</f>
        <v/>
      </c>
      <c r="E56" s="24">
        <f>IF($A56="","",库存台账!$E56)</f>
        <v/>
      </c>
      <c r="F56" s="24">
        <f>IF($A56="","",库存台账!$F56)</f>
        <v/>
      </c>
      <c r="G56" s="17" t="n"/>
      <c r="H56" s="23" t="n"/>
      <c r="I56" s="27">
        <f>IF($A56="","",库存台账!$X56)</f>
        <v/>
      </c>
      <c r="J56" s="27">
        <f>IF(OR($A56="",$H56=""),"",ROUND($H56-$I56,3))</f>
        <v/>
      </c>
      <c r="K56" s="26">
        <f>IF($A56="","",库存台账!$K56)</f>
        <v/>
      </c>
      <c r="L56" s="26">
        <f>IF($J56="","",ROUND($J56*$K56,0))</f>
        <v/>
      </c>
      <c r="M56" s="37">
        <f>IF(OR($J56="",$I56=0),"",ROUND($J56/$I56,4))</f>
        <v/>
      </c>
      <c r="N56" s="17" t="n"/>
      <c r="O56" s="17" t="n"/>
      <c r="P56" s="24">
        <f>IF($J56="","未盘",IF(ROUND($J56,3)=0,"账实相符",IF(COUNTIFS(入库单!$G$4:$G$2503,$A56,入库单!$X$4:$X$2503,"盘盈",入库单!$C$4:$C$2503,"&gt;="&amp;账期起,入库单!$C$4:$C$2503,"&lt;="&amp;账期止)+COUNTIFS(出库单!$D$4:$D$4003,$A56,出库单!$K$4:$K$4003,"盘亏",出库单!$C$4:$C$4003,"&gt;="&amp;账期起,出库单!$C$4:$C$4003,"&lt;="&amp;账期止)&gt;0,"已调账","※差异还没调账")))</f>
        <v/>
      </c>
      <c r="Q56" s="17" t="n"/>
      <c r="R56" s="17" t="n"/>
    </row>
    <row r="57">
      <c r="A57" s="24">
        <f>IF(库存台账!$A57="","",库存台账!$A57)</f>
        <v/>
      </c>
      <c r="B57" s="24">
        <f>IF($A57="","",库存台账!$B57)</f>
        <v/>
      </c>
      <c r="C57" s="24">
        <f>IF($A57="","",库存台账!$C57)</f>
        <v/>
      </c>
      <c r="D57" s="24">
        <f>IF($A57="","",库存台账!$D57)</f>
        <v/>
      </c>
      <c r="E57" s="24">
        <f>IF($A57="","",库存台账!$E57)</f>
        <v/>
      </c>
      <c r="F57" s="24">
        <f>IF($A57="","",库存台账!$F57)</f>
        <v/>
      </c>
      <c r="G57" s="17" t="n"/>
      <c r="H57" s="23" t="n"/>
      <c r="I57" s="27">
        <f>IF($A57="","",库存台账!$X57)</f>
        <v/>
      </c>
      <c r="J57" s="27">
        <f>IF(OR($A57="",$H57=""),"",ROUND($H57-$I57,3))</f>
        <v/>
      </c>
      <c r="K57" s="26">
        <f>IF($A57="","",库存台账!$K57)</f>
        <v/>
      </c>
      <c r="L57" s="26">
        <f>IF($J57="","",ROUND($J57*$K57,0))</f>
        <v/>
      </c>
      <c r="M57" s="37">
        <f>IF(OR($J57="",$I57=0),"",ROUND($J57/$I57,4))</f>
        <v/>
      </c>
      <c r="N57" s="17" t="n"/>
      <c r="O57" s="17" t="n"/>
      <c r="P57" s="24">
        <f>IF($J57="","未盘",IF(ROUND($J57,3)=0,"账实相符",IF(COUNTIFS(入库单!$G$4:$G$2503,$A57,入库单!$X$4:$X$2503,"盘盈",入库单!$C$4:$C$2503,"&gt;="&amp;账期起,入库单!$C$4:$C$2503,"&lt;="&amp;账期止)+COUNTIFS(出库单!$D$4:$D$4003,$A57,出库单!$K$4:$K$4003,"盘亏",出库单!$C$4:$C$4003,"&gt;="&amp;账期起,出库单!$C$4:$C$4003,"&lt;="&amp;账期止)&gt;0,"已调账","※差异还没调账")))</f>
        <v/>
      </c>
      <c r="Q57" s="17" t="n"/>
      <c r="R57" s="17" t="n"/>
    </row>
    <row r="58">
      <c r="A58" s="24">
        <f>IF(库存台账!$A58="","",库存台账!$A58)</f>
        <v/>
      </c>
      <c r="B58" s="24">
        <f>IF($A58="","",库存台账!$B58)</f>
        <v/>
      </c>
      <c r="C58" s="24">
        <f>IF($A58="","",库存台账!$C58)</f>
        <v/>
      </c>
      <c r="D58" s="24">
        <f>IF($A58="","",库存台账!$D58)</f>
        <v/>
      </c>
      <c r="E58" s="24">
        <f>IF($A58="","",库存台账!$E58)</f>
        <v/>
      </c>
      <c r="F58" s="24">
        <f>IF($A58="","",库存台账!$F58)</f>
        <v/>
      </c>
      <c r="G58" s="17" t="n"/>
      <c r="H58" s="23" t="n"/>
      <c r="I58" s="27">
        <f>IF($A58="","",库存台账!$X58)</f>
        <v/>
      </c>
      <c r="J58" s="27">
        <f>IF(OR($A58="",$H58=""),"",ROUND($H58-$I58,3))</f>
        <v/>
      </c>
      <c r="K58" s="26">
        <f>IF($A58="","",库存台账!$K58)</f>
        <v/>
      </c>
      <c r="L58" s="26">
        <f>IF($J58="","",ROUND($J58*$K58,0))</f>
        <v/>
      </c>
      <c r="M58" s="37">
        <f>IF(OR($J58="",$I58=0),"",ROUND($J58/$I58,4))</f>
        <v/>
      </c>
      <c r="N58" s="17" t="n"/>
      <c r="O58" s="17" t="n"/>
      <c r="P58" s="24">
        <f>IF($J58="","未盘",IF(ROUND($J58,3)=0,"账实相符",IF(COUNTIFS(入库单!$G$4:$G$2503,$A58,入库单!$X$4:$X$2503,"盘盈",入库单!$C$4:$C$2503,"&gt;="&amp;账期起,入库单!$C$4:$C$2503,"&lt;="&amp;账期止)+COUNTIFS(出库单!$D$4:$D$4003,$A58,出库单!$K$4:$K$4003,"盘亏",出库单!$C$4:$C$4003,"&gt;="&amp;账期起,出库单!$C$4:$C$4003,"&lt;="&amp;账期止)&gt;0,"已调账","※差异还没调账")))</f>
        <v/>
      </c>
      <c r="Q58" s="17" t="n"/>
      <c r="R58" s="17" t="n"/>
    </row>
    <row r="59">
      <c r="A59" s="24">
        <f>IF(库存台账!$A59="","",库存台账!$A59)</f>
        <v/>
      </c>
      <c r="B59" s="24">
        <f>IF($A59="","",库存台账!$B59)</f>
        <v/>
      </c>
      <c r="C59" s="24">
        <f>IF($A59="","",库存台账!$C59)</f>
        <v/>
      </c>
      <c r="D59" s="24">
        <f>IF($A59="","",库存台账!$D59)</f>
        <v/>
      </c>
      <c r="E59" s="24">
        <f>IF($A59="","",库存台账!$E59)</f>
        <v/>
      </c>
      <c r="F59" s="24">
        <f>IF($A59="","",库存台账!$F59)</f>
        <v/>
      </c>
      <c r="G59" s="17" t="n"/>
      <c r="H59" s="23" t="n"/>
      <c r="I59" s="27">
        <f>IF($A59="","",库存台账!$X59)</f>
        <v/>
      </c>
      <c r="J59" s="27">
        <f>IF(OR($A59="",$H59=""),"",ROUND($H59-$I59,3))</f>
        <v/>
      </c>
      <c r="K59" s="26">
        <f>IF($A59="","",库存台账!$K59)</f>
        <v/>
      </c>
      <c r="L59" s="26">
        <f>IF($J59="","",ROUND($J59*$K59,0))</f>
        <v/>
      </c>
      <c r="M59" s="37">
        <f>IF(OR($J59="",$I59=0),"",ROUND($J59/$I59,4))</f>
        <v/>
      </c>
      <c r="N59" s="17" t="n"/>
      <c r="O59" s="17" t="n"/>
      <c r="P59" s="24">
        <f>IF($J59="","未盘",IF(ROUND($J59,3)=0,"账实相符",IF(COUNTIFS(入库单!$G$4:$G$2503,$A59,入库单!$X$4:$X$2503,"盘盈",入库单!$C$4:$C$2503,"&gt;="&amp;账期起,入库单!$C$4:$C$2503,"&lt;="&amp;账期止)+COUNTIFS(出库单!$D$4:$D$4003,$A59,出库单!$K$4:$K$4003,"盘亏",出库单!$C$4:$C$4003,"&gt;="&amp;账期起,出库单!$C$4:$C$4003,"&lt;="&amp;账期止)&gt;0,"已调账","※差异还没调账")))</f>
        <v/>
      </c>
      <c r="Q59" s="17" t="n"/>
      <c r="R59" s="17" t="n"/>
    </row>
    <row r="60">
      <c r="A60" s="24">
        <f>IF(库存台账!$A60="","",库存台账!$A60)</f>
        <v/>
      </c>
      <c r="B60" s="24">
        <f>IF($A60="","",库存台账!$B60)</f>
        <v/>
      </c>
      <c r="C60" s="24">
        <f>IF($A60="","",库存台账!$C60)</f>
        <v/>
      </c>
      <c r="D60" s="24">
        <f>IF($A60="","",库存台账!$D60)</f>
        <v/>
      </c>
      <c r="E60" s="24">
        <f>IF($A60="","",库存台账!$E60)</f>
        <v/>
      </c>
      <c r="F60" s="24">
        <f>IF($A60="","",库存台账!$F60)</f>
        <v/>
      </c>
      <c r="G60" s="17" t="n"/>
      <c r="H60" s="23" t="n"/>
      <c r="I60" s="27">
        <f>IF($A60="","",库存台账!$X60)</f>
        <v/>
      </c>
      <c r="J60" s="27">
        <f>IF(OR($A60="",$H60=""),"",ROUND($H60-$I60,3))</f>
        <v/>
      </c>
      <c r="K60" s="26">
        <f>IF($A60="","",库存台账!$K60)</f>
        <v/>
      </c>
      <c r="L60" s="26">
        <f>IF($J60="","",ROUND($J60*$K60,0))</f>
        <v/>
      </c>
      <c r="M60" s="37">
        <f>IF(OR($J60="",$I60=0),"",ROUND($J60/$I60,4))</f>
        <v/>
      </c>
      <c r="N60" s="17" t="n"/>
      <c r="O60" s="17" t="n"/>
      <c r="P60" s="24">
        <f>IF($J60="","未盘",IF(ROUND($J60,3)=0,"账实相符",IF(COUNTIFS(入库单!$G$4:$G$2503,$A60,入库单!$X$4:$X$2503,"盘盈",入库单!$C$4:$C$2503,"&gt;="&amp;账期起,入库单!$C$4:$C$2503,"&lt;="&amp;账期止)+COUNTIFS(出库单!$D$4:$D$4003,$A60,出库单!$K$4:$K$4003,"盘亏",出库单!$C$4:$C$4003,"&gt;="&amp;账期起,出库单!$C$4:$C$4003,"&lt;="&amp;账期止)&gt;0,"已调账","※差异还没调账")))</f>
        <v/>
      </c>
      <c r="Q60" s="17" t="n"/>
      <c r="R60" s="17" t="n"/>
    </row>
    <row r="61">
      <c r="A61" s="24">
        <f>IF(库存台账!$A61="","",库存台账!$A61)</f>
        <v/>
      </c>
      <c r="B61" s="24">
        <f>IF($A61="","",库存台账!$B61)</f>
        <v/>
      </c>
      <c r="C61" s="24">
        <f>IF($A61="","",库存台账!$C61)</f>
        <v/>
      </c>
      <c r="D61" s="24">
        <f>IF($A61="","",库存台账!$D61)</f>
        <v/>
      </c>
      <c r="E61" s="24">
        <f>IF($A61="","",库存台账!$E61)</f>
        <v/>
      </c>
      <c r="F61" s="24">
        <f>IF($A61="","",库存台账!$F61)</f>
        <v/>
      </c>
      <c r="G61" s="17" t="n"/>
      <c r="H61" s="23" t="n"/>
      <c r="I61" s="27">
        <f>IF($A61="","",库存台账!$X61)</f>
        <v/>
      </c>
      <c r="J61" s="27">
        <f>IF(OR($A61="",$H61=""),"",ROUND($H61-$I61,3))</f>
        <v/>
      </c>
      <c r="K61" s="26">
        <f>IF($A61="","",库存台账!$K61)</f>
        <v/>
      </c>
      <c r="L61" s="26">
        <f>IF($J61="","",ROUND($J61*$K61,0))</f>
        <v/>
      </c>
      <c r="M61" s="37">
        <f>IF(OR($J61="",$I61=0),"",ROUND($J61/$I61,4))</f>
        <v/>
      </c>
      <c r="N61" s="17" t="n"/>
      <c r="O61" s="17" t="n"/>
      <c r="P61" s="24">
        <f>IF($J61="","未盘",IF(ROUND($J61,3)=0,"账实相符",IF(COUNTIFS(入库单!$G$4:$G$2503,$A61,入库单!$X$4:$X$2503,"盘盈",入库单!$C$4:$C$2503,"&gt;="&amp;账期起,入库单!$C$4:$C$2503,"&lt;="&amp;账期止)+COUNTIFS(出库单!$D$4:$D$4003,$A61,出库单!$K$4:$K$4003,"盘亏",出库单!$C$4:$C$4003,"&gt;="&amp;账期起,出库单!$C$4:$C$4003,"&lt;="&amp;账期止)&gt;0,"已调账","※差异还没调账")))</f>
        <v/>
      </c>
      <c r="Q61" s="17" t="n"/>
      <c r="R61" s="17" t="n"/>
    </row>
    <row r="62">
      <c r="A62" s="24">
        <f>IF(库存台账!$A62="","",库存台账!$A62)</f>
        <v/>
      </c>
      <c r="B62" s="24">
        <f>IF($A62="","",库存台账!$B62)</f>
        <v/>
      </c>
      <c r="C62" s="24">
        <f>IF($A62="","",库存台账!$C62)</f>
        <v/>
      </c>
      <c r="D62" s="24">
        <f>IF($A62="","",库存台账!$D62)</f>
        <v/>
      </c>
      <c r="E62" s="24">
        <f>IF($A62="","",库存台账!$E62)</f>
        <v/>
      </c>
      <c r="F62" s="24">
        <f>IF($A62="","",库存台账!$F62)</f>
        <v/>
      </c>
      <c r="G62" s="17" t="n"/>
      <c r="H62" s="23" t="n"/>
      <c r="I62" s="27">
        <f>IF($A62="","",库存台账!$X62)</f>
        <v/>
      </c>
      <c r="J62" s="27">
        <f>IF(OR($A62="",$H62=""),"",ROUND($H62-$I62,3))</f>
        <v/>
      </c>
      <c r="K62" s="26">
        <f>IF($A62="","",库存台账!$K62)</f>
        <v/>
      </c>
      <c r="L62" s="26">
        <f>IF($J62="","",ROUND($J62*$K62,0))</f>
        <v/>
      </c>
      <c r="M62" s="37">
        <f>IF(OR($J62="",$I62=0),"",ROUND($J62/$I62,4))</f>
        <v/>
      </c>
      <c r="N62" s="17" t="n"/>
      <c r="O62" s="17" t="n"/>
      <c r="P62" s="24">
        <f>IF($J62="","未盘",IF(ROUND($J62,3)=0,"账实相符",IF(COUNTIFS(入库单!$G$4:$G$2503,$A62,入库单!$X$4:$X$2503,"盘盈",入库单!$C$4:$C$2503,"&gt;="&amp;账期起,入库单!$C$4:$C$2503,"&lt;="&amp;账期止)+COUNTIFS(出库单!$D$4:$D$4003,$A62,出库单!$K$4:$K$4003,"盘亏",出库单!$C$4:$C$4003,"&gt;="&amp;账期起,出库单!$C$4:$C$4003,"&lt;="&amp;账期止)&gt;0,"已调账","※差异还没调账")))</f>
        <v/>
      </c>
      <c r="Q62" s="17" t="n"/>
      <c r="R62" s="17" t="n"/>
    </row>
    <row r="63">
      <c r="A63" s="24">
        <f>IF(库存台账!$A63="","",库存台账!$A63)</f>
        <v/>
      </c>
      <c r="B63" s="24">
        <f>IF($A63="","",库存台账!$B63)</f>
        <v/>
      </c>
      <c r="C63" s="24">
        <f>IF($A63="","",库存台账!$C63)</f>
        <v/>
      </c>
      <c r="D63" s="24">
        <f>IF($A63="","",库存台账!$D63)</f>
        <v/>
      </c>
      <c r="E63" s="24">
        <f>IF($A63="","",库存台账!$E63)</f>
        <v/>
      </c>
      <c r="F63" s="24">
        <f>IF($A63="","",库存台账!$F63)</f>
        <v/>
      </c>
      <c r="G63" s="17" t="n"/>
      <c r="H63" s="23" t="n"/>
      <c r="I63" s="27">
        <f>IF($A63="","",库存台账!$X63)</f>
        <v/>
      </c>
      <c r="J63" s="27">
        <f>IF(OR($A63="",$H63=""),"",ROUND($H63-$I63,3))</f>
        <v/>
      </c>
      <c r="K63" s="26">
        <f>IF($A63="","",库存台账!$K63)</f>
        <v/>
      </c>
      <c r="L63" s="26">
        <f>IF($J63="","",ROUND($J63*$K63,0))</f>
        <v/>
      </c>
      <c r="M63" s="37">
        <f>IF(OR($J63="",$I63=0),"",ROUND($J63/$I63,4))</f>
        <v/>
      </c>
      <c r="N63" s="17" t="n"/>
      <c r="O63" s="17" t="n"/>
      <c r="P63" s="24">
        <f>IF($J63="","未盘",IF(ROUND($J63,3)=0,"账实相符",IF(COUNTIFS(入库单!$G$4:$G$2503,$A63,入库单!$X$4:$X$2503,"盘盈",入库单!$C$4:$C$2503,"&gt;="&amp;账期起,入库单!$C$4:$C$2503,"&lt;="&amp;账期止)+COUNTIFS(出库单!$D$4:$D$4003,$A63,出库单!$K$4:$K$4003,"盘亏",出库单!$C$4:$C$4003,"&gt;="&amp;账期起,出库单!$C$4:$C$4003,"&lt;="&amp;账期止)&gt;0,"已调账","※差异还没调账")))</f>
        <v/>
      </c>
      <c r="Q63" s="17" t="n"/>
      <c r="R63" s="17" t="n"/>
    </row>
    <row r="64">
      <c r="A64" s="24">
        <f>IF(库存台账!$A64="","",库存台账!$A64)</f>
        <v/>
      </c>
      <c r="B64" s="24">
        <f>IF($A64="","",库存台账!$B64)</f>
        <v/>
      </c>
      <c r="C64" s="24">
        <f>IF($A64="","",库存台账!$C64)</f>
        <v/>
      </c>
      <c r="D64" s="24">
        <f>IF($A64="","",库存台账!$D64)</f>
        <v/>
      </c>
      <c r="E64" s="24">
        <f>IF($A64="","",库存台账!$E64)</f>
        <v/>
      </c>
      <c r="F64" s="24">
        <f>IF($A64="","",库存台账!$F64)</f>
        <v/>
      </c>
      <c r="G64" s="17" t="n"/>
      <c r="H64" s="23" t="n"/>
      <c r="I64" s="27">
        <f>IF($A64="","",库存台账!$X64)</f>
        <v/>
      </c>
      <c r="J64" s="27">
        <f>IF(OR($A64="",$H64=""),"",ROUND($H64-$I64,3))</f>
        <v/>
      </c>
      <c r="K64" s="26">
        <f>IF($A64="","",库存台账!$K64)</f>
        <v/>
      </c>
      <c r="L64" s="26">
        <f>IF($J64="","",ROUND($J64*$K64,0))</f>
        <v/>
      </c>
      <c r="M64" s="37">
        <f>IF(OR($J64="",$I64=0),"",ROUND($J64/$I64,4))</f>
        <v/>
      </c>
      <c r="N64" s="17" t="n"/>
      <c r="O64" s="17" t="n"/>
      <c r="P64" s="24">
        <f>IF($J64="","未盘",IF(ROUND($J64,3)=0,"账实相符",IF(COUNTIFS(入库单!$G$4:$G$2503,$A64,入库单!$X$4:$X$2503,"盘盈",入库单!$C$4:$C$2503,"&gt;="&amp;账期起,入库单!$C$4:$C$2503,"&lt;="&amp;账期止)+COUNTIFS(出库单!$D$4:$D$4003,$A64,出库单!$K$4:$K$4003,"盘亏",出库单!$C$4:$C$4003,"&gt;="&amp;账期起,出库单!$C$4:$C$4003,"&lt;="&amp;账期止)&gt;0,"已调账","※差异还没调账")))</f>
        <v/>
      </c>
      <c r="Q64" s="17" t="n"/>
      <c r="R64" s="17" t="n"/>
    </row>
    <row r="65">
      <c r="A65" s="24">
        <f>IF(库存台账!$A65="","",库存台账!$A65)</f>
        <v/>
      </c>
      <c r="B65" s="24">
        <f>IF($A65="","",库存台账!$B65)</f>
        <v/>
      </c>
      <c r="C65" s="24">
        <f>IF($A65="","",库存台账!$C65)</f>
        <v/>
      </c>
      <c r="D65" s="24">
        <f>IF($A65="","",库存台账!$D65)</f>
        <v/>
      </c>
      <c r="E65" s="24">
        <f>IF($A65="","",库存台账!$E65)</f>
        <v/>
      </c>
      <c r="F65" s="24">
        <f>IF($A65="","",库存台账!$F65)</f>
        <v/>
      </c>
      <c r="G65" s="17" t="n"/>
      <c r="H65" s="23" t="n"/>
      <c r="I65" s="27">
        <f>IF($A65="","",库存台账!$X65)</f>
        <v/>
      </c>
      <c r="J65" s="27">
        <f>IF(OR($A65="",$H65=""),"",ROUND($H65-$I65,3))</f>
        <v/>
      </c>
      <c r="K65" s="26">
        <f>IF($A65="","",库存台账!$K65)</f>
        <v/>
      </c>
      <c r="L65" s="26">
        <f>IF($J65="","",ROUND($J65*$K65,0))</f>
        <v/>
      </c>
      <c r="M65" s="37">
        <f>IF(OR($J65="",$I65=0),"",ROUND($J65/$I65,4))</f>
        <v/>
      </c>
      <c r="N65" s="17" t="n"/>
      <c r="O65" s="17" t="n"/>
      <c r="P65" s="24">
        <f>IF($J65="","未盘",IF(ROUND($J65,3)=0,"账实相符",IF(COUNTIFS(入库单!$G$4:$G$2503,$A65,入库单!$X$4:$X$2503,"盘盈",入库单!$C$4:$C$2503,"&gt;="&amp;账期起,入库单!$C$4:$C$2503,"&lt;="&amp;账期止)+COUNTIFS(出库单!$D$4:$D$4003,$A65,出库单!$K$4:$K$4003,"盘亏",出库单!$C$4:$C$4003,"&gt;="&amp;账期起,出库单!$C$4:$C$4003,"&lt;="&amp;账期止)&gt;0,"已调账","※差异还没调账")))</f>
        <v/>
      </c>
      <c r="Q65" s="17" t="n"/>
      <c r="R65" s="17" t="n"/>
    </row>
    <row r="66">
      <c r="A66" s="24">
        <f>IF(库存台账!$A66="","",库存台账!$A66)</f>
        <v/>
      </c>
      <c r="B66" s="24">
        <f>IF($A66="","",库存台账!$B66)</f>
        <v/>
      </c>
      <c r="C66" s="24">
        <f>IF($A66="","",库存台账!$C66)</f>
        <v/>
      </c>
      <c r="D66" s="24">
        <f>IF($A66="","",库存台账!$D66)</f>
        <v/>
      </c>
      <c r="E66" s="24">
        <f>IF($A66="","",库存台账!$E66)</f>
        <v/>
      </c>
      <c r="F66" s="24">
        <f>IF($A66="","",库存台账!$F66)</f>
        <v/>
      </c>
      <c r="G66" s="17" t="n"/>
      <c r="H66" s="23" t="n"/>
      <c r="I66" s="27">
        <f>IF($A66="","",库存台账!$X66)</f>
        <v/>
      </c>
      <c r="J66" s="27">
        <f>IF(OR($A66="",$H66=""),"",ROUND($H66-$I66,3))</f>
        <v/>
      </c>
      <c r="K66" s="26">
        <f>IF($A66="","",库存台账!$K66)</f>
        <v/>
      </c>
      <c r="L66" s="26">
        <f>IF($J66="","",ROUND($J66*$K66,0))</f>
        <v/>
      </c>
      <c r="M66" s="37">
        <f>IF(OR($J66="",$I66=0),"",ROUND($J66/$I66,4))</f>
        <v/>
      </c>
      <c r="N66" s="17" t="n"/>
      <c r="O66" s="17" t="n"/>
      <c r="P66" s="24">
        <f>IF($J66="","未盘",IF(ROUND($J66,3)=0,"账实相符",IF(COUNTIFS(入库单!$G$4:$G$2503,$A66,入库单!$X$4:$X$2503,"盘盈",入库单!$C$4:$C$2503,"&gt;="&amp;账期起,入库单!$C$4:$C$2503,"&lt;="&amp;账期止)+COUNTIFS(出库单!$D$4:$D$4003,$A66,出库单!$K$4:$K$4003,"盘亏",出库单!$C$4:$C$4003,"&gt;="&amp;账期起,出库单!$C$4:$C$4003,"&lt;="&amp;账期止)&gt;0,"已调账","※差异还没调账")))</f>
        <v/>
      </c>
      <c r="Q66" s="17" t="n"/>
      <c r="R66" s="17" t="n"/>
    </row>
    <row r="67">
      <c r="A67" s="24">
        <f>IF(库存台账!$A67="","",库存台账!$A67)</f>
        <v/>
      </c>
      <c r="B67" s="24">
        <f>IF($A67="","",库存台账!$B67)</f>
        <v/>
      </c>
      <c r="C67" s="24">
        <f>IF($A67="","",库存台账!$C67)</f>
        <v/>
      </c>
      <c r="D67" s="24">
        <f>IF($A67="","",库存台账!$D67)</f>
        <v/>
      </c>
      <c r="E67" s="24">
        <f>IF($A67="","",库存台账!$E67)</f>
        <v/>
      </c>
      <c r="F67" s="24">
        <f>IF($A67="","",库存台账!$F67)</f>
        <v/>
      </c>
      <c r="G67" s="17" t="n"/>
      <c r="H67" s="23" t="n"/>
      <c r="I67" s="27">
        <f>IF($A67="","",库存台账!$X67)</f>
        <v/>
      </c>
      <c r="J67" s="27">
        <f>IF(OR($A67="",$H67=""),"",ROUND($H67-$I67,3))</f>
        <v/>
      </c>
      <c r="K67" s="26">
        <f>IF($A67="","",库存台账!$K67)</f>
        <v/>
      </c>
      <c r="L67" s="26">
        <f>IF($J67="","",ROUND($J67*$K67,0))</f>
        <v/>
      </c>
      <c r="M67" s="37">
        <f>IF(OR($J67="",$I67=0),"",ROUND($J67/$I67,4))</f>
        <v/>
      </c>
      <c r="N67" s="17" t="n"/>
      <c r="O67" s="17" t="n"/>
      <c r="P67" s="24">
        <f>IF($J67="","未盘",IF(ROUND($J67,3)=0,"账实相符",IF(COUNTIFS(入库单!$G$4:$G$2503,$A67,入库单!$X$4:$X$2503,"盘盈",入库单!$C$4:$C$2503,"&gt;="&amp;账期起,入库单!$C$4:$C$2503,"&lt;="&amp;账期止)+COUNTIFS(出库单!$D$4:$D$4003,$A67,出库单!$K$4:$K$4003,"盘亏",出库单!$C$4:$C$4003,"&gt;="&amp;账期起,出库单!$C$4:$C$4003,"&lt;="&amp;账期止)&gt;0,"已调账","※差异还没调账")))</f>
        <v/>
      </c>
      <c r="Q67" s="17" t="n"/>
      <c r="R67" s="17" t="n"/>
    </row>
    <row r="68">
      <c r="A68" s="24">
        <f>IF(库存台账!$A68="","",库存台账!$A68)</f>
        <v/>
      </c>
      <c r="B68" s="24">
        <f>IF($A68="","",库存台账!$B68)</f>
        <v/>
      </c>
      <c r="C68" s="24">
        <f>IF($A68="","",库存台账!$C68)</f>
        <v/>
      </c>
      <c r="D68" s="24">
        <f>IF($A68="","",库存台账!$D68)</f>
        <v/>
      </c>
      <c r="E68" s="24">
        <f>IF($A68="","",库存台账!$E68)</f>
        <v/>
      </c>
      <c r="F68" s="24">
        <f>IF($A68="","",库存台账!$F68)</f>
        <v/>
      </c>
      <c r="G68" s="17" t="n"/>
      <c r="H68" s="23" t="n"/>
      <c r="I68" s="27">
        <f>IF($A68="","",库存台账!$X68)</f>
        <v/>
      </c>
      <c r="J68" s="27">
        <f>IF(OR($A68="",$H68=""),"",ROUND($H68-$I68,3))</f>
        <v/>
      </c>
      <c r="K68" s="26">
        <f>IF($A68="","",库存台账!$K68)</f>
        <v/>
      </c>
      <c r="L68" s="26">
        <f>IF($J68="","",ROUND($J68*$K68,0))</f>
        <v/>
      </c>
      <c r="M68" s="37">
        <f>IF(OR($J68="",$I68=0),"",ROUND($J68/$I68,4))</f>
        <v/>
      </c>
      <c r="N68" s="17" t="n"/>
      <c r="O68" s="17" t="n"/>
      <c r="P68" s="24">
        <f>IF($J68="","未盘",IF(ROUND($J68,3)=0,"账实相符",IF(COUNTIFS(入库单!$G$4:$G$2503,$A68,入库单!$X$4:$X$2503,"盘盈",入库单!$C$4:$C$2503,"&gt;="&amp;账期起,入库单!$C$4:$C$2503,"&lt;="&amp;账期止)+COUNTIFS(出库单!$D$4:$D$4003,$A68,出库单!$K$4:$K$4003,"盘亏",出库单!$C$4:$C$4003,"&gt;="&amp;账期起,出库单!$C$4:$C$4003,"&lt;="&amp;账期止)&gt;0,"已调账","※差异还没调账")))</f>
        <v/>
      </c>
      <c r="Q68" s="17" t="n"/>
      <c r="R68" s="17" t="n"/>
    </row>
    <row r="69">
      <c r="A69" s="24">
        <f>IF(库存台账!$A69="","",库存台账!$A69)</f>
        <v/>
      </c>
      <c r="B69" s="24">
        <f>IF($A69="","",库存台账!$B69)</f>
        <v/>
      </c>
      <c r="C69" s="24">
        <f>IF($A69="","",库存台账!$C69)</f>
        <v/>
      </c>
      <c r="D69" s="24">
        <f>IF($A69="","",库存台账!$D69)</f>
        <v/>
      </c>
      <c r="E69" s="24">
        <f>IF($A69="","",库存台账!$E69)</f>
        <v/>
      </c>
      <c r="F69" s="24">
        <f>IF($A69="","",库存台账!$F69)</f>
        <v/>
      </c>
      <c r="G69" s="17" t="n"/>
      <c r="H69" s="23" t="n"/>
      <c r="I69" s="27">
        <f>IF($A69="","",库存台账!$X69)</f>
        <v/>
      </c>
      <c r="J69" s="27">
        <f>IF(OR($A69="",$H69=""),"",ROUND($H69-$I69,3))</f>
        <v/>
      </c>
      <c r="K69" s="26">
        <f>IF($A69="","",库存台账!$K69)</f>
        <v/>
      </c>
      <c r="L69" s="26">
        <f>IF($J69="","",ROUND($J69*$K69,0))</f>
        <v/>
      </c>
      <c r="M69" s="37">
        <f>IF(OR($J69="",$I69=0),"",ROUND($J69/$I69,4))</f>
        <v/>
      </c>
      <c r="N69" s="17" t="n"/>
      <c r="O69" s="17" t="n"/>
      <c r="P69" s="24">
        <f>IF($J69="","未盘",IF(ROUND($J69,3)=0,"账实相符",IF(COUNTIFS(入库单!$G$4:$G$2503,$A69,入库单!$X$4:$X$2503,"盘盈",入库单!$C$4:$C$2503,"&gt;="&amp;账期起,入库单!$C$4:$C$2503,"&lt;="&amp;账期止)+COUNTIFS(出库单!$D$4:$D$4003,$A69,出库单!$K$4:$K$4003,"盘亏",出库单!$C$4:$C$4003,"&gt;="&amp;账期起,出库单!$C$4:$C$4003,"&lt;="&amp;账期止)&gt;0,"已调账","※差异还没调账")))</f>
        <v/>
      </c>
      <c r="Q69" s="17" t="n"/>
      <c r="R69" s="17" t="n"/>
    </row>
    <row r="70">
      <c r="A70" s="24">
        <f>IF(库存台账!$A70="","",库存台账!$A70)</f>
        <v/>
      </c>
      <c r="B70" s="24">
        <f>IF($A70="","",库存台账!$B70)</f>
        <v/>
      </c>
      <c r="C70" s="24">
        <f>IF($A70="","",库存台账!$C70)</f>
        <v/>
      </c>
      <c r="D70" s="24">
        <f>IF($A70="","",库存台账!$D70)</f>
        <v/>
      </c>
      <c r="E70" s="24">
        <f>IF($A70="","",库存台账!$E70)</f>
        <v/>
      </c>
      <c r="F70" s="24">
        <f>IF($A70="","",库存台账!$F70)</f>
        <v/>
      </c>
      <c r="G70" s="17" t="n"/>
      <c r="H70" s="23" t="n"/>
      <c r="I70" s="27">
        <f>IF($A70="","",库存台账!$X70)</f>
        <v/>
      </c>
      <c r="J70" s="27">
        <f>IF(OR($A70="",$H70=""),"",ROUND($H70-$I70,3))</f>
        <v/>
      </c>
      <c r="K70" s="26">
        <f>IF($A70="","",库存台账!$K70)</f>
        <v/>
      </c>
      <c r="L70" s="26">
        <f>IF($J70="","",ROUND($J70*$K70,0))</f>
        <v/>
      </c>
      <c r="M70" s="37">
        <f>IF(OR($J70="",$I70=0),"",ROUND($J70/$I70,4))</f>
        <v/>
      </c>
      <c r="N70" s="17" t="n"/>
      <c r="O70" s="17" t="n"/>
      <c r="P70" s="24">
        <f>IF($J70="","未盘",IF(ROUND($J70,3)=0,"账实相符",IF(COUNTIFS(入库单!$G$4:$G$2503,$A70,入库单!$X$4:$X$2503,"盘盈",入库单!$C$4:$C$2503,"&gt;="&amp;账期起,入库单!$C$4:$C$2503,"&lt;="&amp;账期止)+COUNTIFS(出库单!$D$4:$D$4003,$A70,出库单!$K$4:$K$4003,"盘亏",出库单!$C$4:$C$4003,"&gt;="&amp;账期起,出库单!$C$4:$C$4003,"&lt;="&amp;账期止)&gt;0,"已调账","※差异还没调账")))</f>
        <v/>
      </c>
      <c r="Q70" s="17" t="n"/>
      <c r="R70" s="17" t="n"/>
    </row>
    <row r="71">
      <c r="A71" s="24">
        <f>IF(库存台账!$A71="","",库存台账!$A71)</f>
        <v/>
      </c>
      <c r="B71" s="24">
        <f>IF($A71="","",库存台账!$B71)</f>
        <v/>
      </c>
      <c r="C71" s="24">
        <f>IF($A71="","",库存台账!$C71)</f>
        <v/>
      </c>
      <c r="D71" s="24">
        <f>IF($A71="","",库存台账!$D71)</f>
        <v/>
      </c>
      <c r="E71" s="24">
        <f>IF($A71="","",库存台账!$E71)</f>
        <v/>
      </c>
      <c r="F71" s="24">
        <f>IF($A71="","",库存台账!$F71)</f>
        <v/>
      </c>
      <c r="G71" s="17" t="n"/>
      <c r="H71" s="23" t="n"/>
      <c r="I71" s="27">
        <f>IF($A71="","",库存台账!$X71)</f>
        <v/>
      </c>
      <c r="J71" s="27">
        <f>IF(OR($A71="",$H71=""),"",ROUND($H71-$I71,3))</f>
        <v/>
      </c>
      <c r="K71" s="26">
        <f>IF($A71="","",库存台账!$K71)</f>
        <v/>
      </c>
      <c r="L71" s="26">
        <f>IF($J71="","",ROUND($J71*$K71,0))</f>
        <v/>
      </c>
      <c r="M71" s="37">
        <f>IF(OR($J71="",$I71=0),"",ROUND($J71/$I71,4))</f>
        <v/>
      </c>
      <c r="N71" s="17" t="n"/>
      <c r="O71" s="17" t="n"/>
      <c r="P71" s="24">
        <f>IF($J71="","未盘",IF(ROUND($J71,3)=0,"账实相符",IF(COUNTIFS(入库单!$G$4:$G$2503,$A71,入库单!$X$4:$X$2503,"盘盈",入库单!$C$4:$C$2503,"&gt;="&amp;账期起,入库单!$C$4:$C$2503,"&lt;="&amp;账期止)+COUNTIFS(出库单!$D$4:$D$4003,$A71,出库单!$K$4:$K$4003,"盘亏",出库单!$C$4:$C$4003,"&gt;="&amp;账期起,出库单!$C$4:$C$4003,"&lt;="&amp;账期止)&gt;0,"已调账","※差异还没调账")))</f>
        <v/>
      </c>
      <c r="Q71" s="17" t="n"/>
      <c r="R71" s="17" t="n"/>
    </row>
    <row r="72">
      <c r="A72" s="24">
        <f>IF(库存台账!$A72="","",库存台账!$A72)</f>
        <v/>
      </c>
      <c r="B72" s="24">
        <f>IF($A72="","",库存台账!$B72)</f>
        <v/>
      </c>
      <c r="C72" s="24">
        <f>IF($A72="","",库存台账!$C72)</f>
        <v/>
      </c>
      <c r="D72" s="24">
        <f>IF($A72="","",库存台账!$D72)</f>
        <v/>
      </c>
      <c r="E72" s="24">
        <f>IF($A72="","",库存台账!$E72)</f>
        <v/>
      </c>
      <c r="F72" s="24">
        <f>IF($A72="","",库存台账!$F72)</f>
        <v/>
      </c>
      <c r="G72" s="17" t="n"/>
      <c r="H72" s="23" t="n"/>
      <c r="I72" s="27">
        <f>IF($A72="","",库存台账!$X72)</f>
        <v/>
      </c>
      <c r="J72" s="27">
        <f>IF(OR($A72="",$H72=""),"",ROUND($H72-$I72,3))</f>
        <v/>
      </c>
      <c r="K72" s="26">
        <f>IF($A72="","",库存台账!$K72)</f>
        <v/>
      </c>
      <c r="L72" s="26">
        <f>IF($J72="","",ROUND($J72*$K72,0))</f>
        <v/>
      </c>
      <c r="M72" s="37">
        <f>IF(OR($J72="",$I72=0),"",ROUND($J72/$I72,4))</f>
        <v/>
      </c>
      <c r="N72" s="17" t="n"/>
      <c r="O72" s="17" t="n"/>
      <c r="P72" s="24">
        <f>IF($J72="","未盘",IF(ROUND($J72,3)=0,"账实相符",IF(COUNTIFS(入库单!$G$4:$G$2503,$A72,入库单!$X$4:$X$2503,"盘盈",入库单!$C$4:$C$2503,"&gt;="&amp;账期起,入库单!$C$4:$C$2503,"&lt;="&amp;账期止)+COUNTIFS(出库单!$D$4:$D$4003,$A72,出库单!$K$4:$K$4003,"盘亏",出库单!$C$4:$C$4003,"&gt;="&amp;账期起,出库单!$C$4:$C$4003,"&lt;="&amp;账期止)&gt;0,"已调账","※差异还没调账")))</f>
        <v/>
      </c>
      <c r="Q72" s="17" t="n"/>
      <c r="R72" s="17" t="n"/>
    </row>
    <row r="73">
      <c r="A73" s="24">
        <f>IF(库存台账!$A73="","",库存台账!$A73)</f>
        <v/>
      </c>
      <c r="B73" s="24">
        <f>IF($A73="","",库存台账!$B73)</f>
        <v/>
      </c>
      <c r="C73" s="24">
        <f>IF($A73="","",库存台账!$C73)</f>
        <v/>
      </c>
      <c r="D73" s="24">
        <f>IF($A73="","",库存台账!$D73)</f>
        <v/>
      </c>
      <c r="E73" s="24">
        <f>IF($A73="","",库存台账!$E73)</f>
        <v/>
      </c>
      <c r="F73" s="24">
        <f>IF($A73="","",库存台账!$F73)</f>
        <v/>
      </c>
      <c r="G73" s="17" t="n"/>
      <c r="H73" s="23" t="n"/>
      <c r="I73" s="27">
        <f>IF($A73="","",库存台账!$X73)</f>
        <v/>
      </c>
      <c r="J73" s="27">
        <f>IF(OR($A73="",$H73=""),"",ROUND($H73-$I73,3))</f>
        <v/>
      </c>
      <c r="K73" s="26">
        <f>IF($A73="","",库存台账!$K73)</f>
        <v/>
      </c>
      <c r="L73" s="26">
        <f>IF($J73="","",ROUND($J73*$K73,0))</f>
        <v/>
      </c>
      <c r="M73" s="37">
        <f>IF(OR($J73="",$I73=0),"",ROUND($J73/$I73,4))</f>
        <v/>
      </c>
      <c r="N73" s="17" t="n"/>
      <c r="O73" s="17" t="n"/>
      <c r="P73" s="24">
        <f>IF($J73="","未盘",IF(ROUND($J73,3)=0,"账实相符",IF(COUNTIFS(入库单!$G$4:$G$2503,$A73,入库单!$X$4:$X$2503,"盘盈",入库单!$C$4:$C$2503,"&gt;="&amp;账期起,入库单!$C$4:$C$2503,"&lt;="&amp;账期止)+COUNTIFS(出库单!$D$4:$D$4003,$A73,出库单!$K$4:$K$4003,"盘亏",出库单!$C$4:$C$4003,"&gt;="&amp;账期起,出库单!$C$4:$C$4003,"&lt;="&amp;账期止)&gt;0,"已调账","※差异还没调账")))</f>
        <v/>
      </c>
      <c r="Q73" s="17" t="n"/>
      <c r="R73" s="17" t="n"/>
    </row>
    <row r="74">
      <c r="A74" s="24">
        <f>IF(库存台账!$A74="","",库存台账!$A74)</f>
        <v/>
      </c>
      <c r="B74" s="24">
        <f>IF($A74="","",库存台账!$B74)</f>
        <v/>
      </c>
      <c r="C74" s="24">
        <f>IF($A74="","",库存台账!$C74)</f>
        <v/>
      </c>
      <c r="D74" s="24">
        <f>IF($A74="","",库存台账!$D74)</f>
        <v/>
      </c>
      <c r="E74" s="24">
        <f>IF($A74="","",库存台账!$E74)</f>
        <v/>
      </c>
      <c r="F74" s="24">
        <f>IF($A74="","",库存台账!$F74)</f>
        <v/>
      </c>
      <c r="G74" s="17" t="n"/>
      <c r="H74" s="23" t="n"/>
      <c r="I74" s="27">
        <f>IF($A74="","",库存台账!$X74)</f>
        <v/>
      </c>
      <c r="J74" s="27">
        <f>IF(OR($A74="",$H74=""),"",ROUND($H74-$I74,3))</f>
        <v/>
      </c>
      <c r="K74" s="26">
        <f>IF($A74="","",库存台账!$K74)</f>
        <v/>
      </c>
      <c r="L74" s="26">
        <f>IF($J74="","",ROUND($J74*$K74,0))</f>
        <v/>
      </c>
      <c r="M74" s="37">
        <f>IF(OR($J74="",$I74=0),"",ROUND($J74/$I74,4))</f>
        <v/>
      </c>
      <c r="N74" s="17" t="n"/>
      <c r="O74" s="17" t="n"/>
      <c r="P74" s="24">
        <f>IF($J74="","未盘",IF(ROUND($J74,3)=0,"账实相符",IF(COUNTIFS(入库单!$G$4:$G$2503,$A74,入库单!$X$4:$X$2503,"盘盈",入库单!$C$4:$C$2503,"&gt;="&amp;账期起,入库单!$C$4:$C$2503,"&lt;="&amp;账期止)+COUNTIFS(出库单!$D$4:$D$4003,$A74,出库单!$K$4:$K$4003,"盘亏",出库单!$C$4:$C$4003,"&gt;="&amp;账期起,出库单!$C$4:$C$4003,"&lt;="&amp;账期止)&gt;0,"已调账","※差异还没调账")))</f>
        <v/>
      </c>
      <c r="Q74" s="17" t="n"/>
      <c r="R74" s="17" t="n"/>
    </row>
    <row r="75">
      <c r="A75" s="24">
        <f>IF(库存台账!$A75="","",库存台账!$A75)</f>
        <v/>
      </c>
      <c r="B75" s="24">
        <f>IF($A75="","",库存台账!$B75)</f>
        <v/>
      </c>
      <c r="C75" s="24">
        <f>IF($A75="","",库存台账!$C75)</f>
        <v/>
      </c>
      <c r="D75" s="24">
        <f>IF($A75="","",库存台账!$D75)</f>
        <v/>
      </c>
      <c r="E75" s="24">
        <f>IF($A75="","",库存台账!$E75)</f>
        <v/>
      </c>
      <c r="F75" s="24">
        <f>IF($A75="","",库存台账!$F75)</f>
        <v/>
      </c>
      <c r="G75" s="17" t="n"/>
      <c r="H75" s="23" t="n"/>
      <c r="I75" s="27">
        <f>IF($A75="","",库存台账!$X75)</f>
        <v/>
      </c>
      <c r="J75" s="27">
        <f>IF(OR($A75="",$H75=""),"",ROUND($H75-$I75,3))</f>
        <v/>
      </c>
      <c r="K75" s="26">
        <f>IF($A75="","",库存台账!$K75)</f>
        <v/>
      </c>
      <c r="L75" s="26">
        <f>IF($J75="","",ROUND($J75*$K75,0))</f>
        <v/>
      </c>
      <c r="M75" s="37">
        <f>IF(OR($J75="",$I75=0),"",ROUND($J75/$I75,4))</f>
        <v/>
      </c>
      <c r="N75" s="17" t="n"/>
      <c r="O75" s="17" t="n"/>
      <c r="P75" s="24">
        <f>IF($J75="","未盘",IF(ROUND($J75,3)=0,"账实相符",IF(COUNTIFS(入库单!$G$4:$G$2503,$A75,入库单!$X$4:$X$2503,"盘盈",入库单!$C$4:$C$2503,"&gt;="&amp;账期起,入库单!$C$4:$C$2503,"&lt;="&amp;账期止)+COUNTIFS(出库单!$D$4:$D$4003,$A75,出库单!$K$4:$K$4003,"盘亏",出库单!$C$4:$C$4003,"&gt;="&amp;账期起,出库单!$C$4:$C$4003,"&lt;="&amp;账期止)&gt;0,"已调账","※差异还没调账")))</f>
        <v/>
      </c>
      <c r="Q75" s="17" t="n"/>
      <c r="R75" s="17" t="n"/>
    </row>
    <row r="76">
      <c r="A76" s="24">
        <f>IF(库存台账!$A76="","",库存台账!$A76)</f>
        <v/>
      </c>
      <c r="B76" s="24">
        <f>IF($A76="","",库存台账!$B76)</f>
        <v/>
      </c>
      <c r="C76" s="24">
        <f>IF($A76="","",库存台账!$C76)</f>
        <v/>
      </c>
      <c r="D76" s="24">
        <f>IF($A76="","",库存台账!$D76)</f>
        <v/>
      </c>
      <c r="E76" s="24">
        <f>IF($A76="","",库存台账!$E76)</f>
        <v/>
      </c>
      <c r="F76" s="24">
        <f>IF($A76="","",库存台账!$F76)</f>
        <v/>
      </c>
      <c r="G76" s="17" t="n"/>
      <c r="H76" s="23" t="n"/>
      <c r="I76" s="27">
        <f>IF($A76="","",库存台账!$X76)</f>
        <v/>
      </c>
      <c r="J76" s="27">
        <f>IF(OR($A76="",$H76=""),"",ROUND($H76-$I76,3))</f>
        <v/>
      </c>
      <c r="K76" s="26">
        <f>IF($A76="","",库存台账!$K76)</f>
        <v/>
      </c>
      <c r="L76" s="26">
        <f>IF($J76="","",ROUND($J76*$K76,0))</f>
        <v/>
      </c>
      <c r="M76" s="37">
        <f>IF(OR($J76="",$I76=0),"",ROUND($J76/$I76,4))</f>
        <v/>
      </c>
      <c r="N76" s="17" t="n"/>
      <c r="O76" s="17" t="n"/>
      <c r="P76" s="24">
        <f>IF($J76="","未盘",IF(ROUND($J76,3)=0,"账实相符",IF(COUNTIFS(入库单!$G$4:$G$2503,$A76,入库单!$X$4:$X$2503,"盘盈",入库单!$C$4:$C$2503,"&gt;="&amp;账期起,入库单!$C$4:$C$2503,"&lt;="&amp;账期止)+COUNTIFS(出库单!$D$4:$D$4003,$A76,出库单!$K$4:$K$4003,"盘亏",出库单!$C$4:$C$4003,"&gt;="&amp;账期起,出库单!$C$4:$C$4003,"&lt;="&amp;账期止)&gt;0,"已调账","※差异还没调账")))</f>
        <v/>
      </c>
      <c r="Q76" s="17" t="n"/>
      <c r="R76" s="17" t="n"/>
    </row>
    <row r="77">
      <c r="A77" s="24">
        <f>IF(库存台账!$A77="","",库存台账!$A77)</f>
        <v/>
      </c>
      <c r="B77" s="24">
        <f>IF($A77="","",库存台账!$B77)</f>
        <v/>
      </c>
      <c r="C77" s="24">
        <f>IF($A77="","",库存台账!$C77)</f>
        <v/>
      </c>
      <c r="D77" s="24">
        <f>IF($A77="","",库存台账!$D77)</f>
        <v/>
      </c>
      <c r="E77" s="24">
        <f>IF($A77="","",库存台账!$E77)</f>
        <v/>
      </c>
      <c r="F77" s="24">
        <f>IF($A77="","",库存台账!$F77)</f>
        <v/>
      </c>
      <c r="G77" s="17" t="n"/>
      <c r="H77" s="23" t="n"/>
      <c r="I77" s="27">
        <f>IF($A77="","",库存台账!$X77)</f>
        <v/>
      </c>
      <c r="J77" s="27">
        <f>IF(OR($A77="",$H77=""),"",ROUND($H77-$I77,3))</f>
        <v/>
      </c>
      <c r="K77" s="26">
        <f>IF($A77="","",库存台账!$K77)</f>
        <v/>
      </c>
      <c r="L77" s="26">
        <f>IF($J77="","",ROUND($J77*$K77,0))</f>
        <v/>
      </c>
      <c r="M77" s="37">
        <f>IF(OR($J77="",$I77=0),"",ROUND($J77/$I77,4))</f>
        <v/>
      </c>
      <c r="N77" s="17" t="n"/>
      <c r="O77" s="17" t="n"/>
      <c r="P77" s="24">
        <f>IF($J77="","未盘",IF(ROUND($J77,3)=0,"账实相符",IF(COUNTIFS(入库单!$G$4:$G$2503,$A77,入库单!$X$4:$X$2503,"盘盈",入库单!$C$4:$C$2503,"&gt;="&amp;账期起,入库单!$C$4:$C$2503,"&lt;="&amp;账期止)+COUNTIFS(出库单!$D$4:$D$4003,$A77,出库单!$K$4:$K$4003,"盘亏",出库单!$C$4:$C$4003,"&gt;="&amp;账期起,出库单!$C$4:$C$4003,"&lt;="&amp;账期止)&gt;0,"已调账","※差异还没调账")))</f>
        <v/>
      </c>
      <c r="Q77" s="17" t="n"/>
      <c r="R77" s="17" t="n"/>
    </row>
    <row r="78">
      <c r="A78" s="24">
        <f>IF(库存台账!$A78="","",库存台账!$A78)</f>
        <v/>
      </c>
      <c r="B78" s="24">
        <f>IF($A78="","",库存台账!$B78)</f>
        <v/>
      </c>
      <c r="C78" s="24">
        <f>IF($A78="","",库存台账!$C78)</f>
        <v/>
      </c>
      <c r="D78" s="24">
        <f>IF($A78="","",库存台账!$D78)</f>
        <v/>
      </c>
      <c r="E78" s="24">
        <f>IF($A78="","",库存台账!$E78)</f>
        <v/>
      </c>
      <c r="F78" s="24">
        <f>IF($A78="","",库存台账!$F78)</f>
        <v/>
      </c>
      <c r="G78" s="17" t="n"/>
      <c r="H78" s="23" t="n"/>
      <c r="I78" s="27">
        <f>IF($A78="","",库存台账!$X78)</f>
        <v/>
      </c>
      <c r="J78" s="27">
        <f>IF(OR($A78="",$H78=""),"",ROUND($H78-$I78,3))</f>
        <v/>
      </c>
      <c r="K78" s="26">
        <f>IF($A78="","",库存台账!$K78)</f>
        <v/>
      </c>
      <c r="L78" s="26">
        <f>IF($J78="","",ROUND($J78*$K78,0))</f>
        <v/>
      </c>
      <c r="M78" s="37">
        <f>IF(OR($J78="",$I78=0),"",ROUND($J78/$I78,4))</f>
        <v/>
      </c>
      <c r="N78" s="17" t="n"/>
      <c r="O78" s="17" t="n"/>
      <c r="P78" s="24">
        <f>IF($J78="","未盘",IF(ROUND($J78,3)=0,"账实相符",IF(COUNTIFS(入库单!$G$4:$G$2503,$A78,入库单!$X$4:$X$2503,"盘盈",入库单!$C$4:$C$2503,"&gt;="&amp;账期起,入库单!$C$4:$C$2503,"&lt;="&amp;账期止)+COUNTIFS(出库单!$D$4:$D$4003,$A78,出库单!$K$4:$K$4003,"盘亏",出库单!$C$4:$C$4003,"&gt;="&amp;账期起,出库单!$C$4:$C$4003,"&lt;="&amp;账期止)&gt;0,"已调账","※差异还没调账")))</f>
        <v/>
      </c>
      <c r="Q78" s="17" t="n"/>
      <c r="R78" s="17" t="n"/>
    </row>
    <row r="79">
      <c r="A79" s="24">
        <f>IF(库存台账!$A79="","",库存台账!$A79)</f>
        <v/>
      </c>
      <c r="B79" s="24">
        <f>IF($A79="","",库存台账!$B79)</f>
        <v/>
      </c>
      <c r="C79" s="24">
        <f>IF($A79="","",库存台账!$C79)</f>
        <v/>
      </c>
      <c r="D79" s="24">
        <f>IF($A79="","",库存台账!$D79)</f>
        <v/>
      </c>
      <c r="E79" s="24">
        <f>IF($A79="","",库存台账!$E79)</f>
        <v/>
      </c>
      <c r="F79" s="24">
        <f>IF($A79="","",库存台账!$F79)</f>
        <v/>
      </c>
      <c r="G79" s="17" t="n"/>
      <c r="H79" s="23" t="n"/>
      <c r="I79" s="27">
        <f>IF($A79="","",库存台账!$X79)</f>
        <v/>
      </c>
      <c r="J79" s="27">
        <f>IF(OR($A79="",$H79=""),"",ROUND($H79-$I79,3))</f>
        <v/>
      </c>
      <c r="K79" s="26">
        <f>IF($A79="","",库存台账!$K79)</f>
        <v/>
      </c>
      <c r="L79" s="26">
        <f>IF($J79="","",ROUND($J79*$K79,0))</f>
        <v/>
      </c>
      <c r="M79" s="37">
        <f>IF(OR($J79="",$I79=0),"",ROUND($J79/$I79,4))</f>
        <v/>
      </c>
      <c r="N79" s="17" t="n"/>
      <c r="O79" s="17" t="n"/>
      <c r="P79" s="24">
        <f>IF($J79="","未盘",IF(ROUND($J79,3)=0,"账实相符",IF(COUNTIFS(入库单!$G$4:$G$2503,$A79,入库单!$X$4:$X$2503,"盘盈",入库单!$C$4:$C$2503,"&gt;="&amp;账期起,入库单!$C$4:$C$2503,"&lt;="&amp;账期止)+COUNTIFS(出库单!$D$4:$D$4003,$A79,出库单!$K$4:$K$4003,"盘亏",出库单!$C$4:$C$4003,"&gt;="&amp;账期起,出库单!$C$4:$C$4003,"&lt;="&amp;账期止)&gt;0,"已调账","※差异还没调账")))</f>
        <v/>
      </c>
      <c r="Q79" s="17" t="n"/>
      <c r="R79" s="17" t="n"/>
    </row>
    <row r="80">
      <c r="A80" s="24">
        <f>IF(库存台账!$A80="","",库存台账!$A80)</f>
        <v/>
      </c>
      <c r="B80" s="24">
        <f>IF($A80="","",库存台账!$B80)</f>
        <v/>
      </c>
      <c r="C80" s="24">
        <f>IF($A80="","",库存台账!$C80)</f>
        <v/>
      </c>
      <c r="D80" s="24">
        <f>IF($A80="","",库存台账!$D80)</f>
        <v/>
      </c>
      <c r="E80" s="24">
        <f>IF($A80="","",库存台账!$E80)</f>
        <v/>
      </c>
      <c r="F80" s="24">
        <f>IF($A80="","",库存台账!$F80)</f>
        <v/>
      </c>
      <c r="G80" s="17" t="n"/>
      <c r="H80" s="23" t="n"/>
      <c r="I80" s="27">
        <f>IF($A80="","",库存台账!$X80)</f>
        <v/>
      </c>
      <c r="J80" s="27">
        <f>IF(OR($A80="",$H80=""),"",ROUND($H80-$I80,3))</f>
        <v/>
      </c>
      <c r="K80" s="26">
        <f>IF($A80="","",库存台账!$K80)</f>
        <v/>
      </c>
      <c r="L80" s="26">
        <f>IF($J80="","",ROUND($J80*$K80,0))</f>
        <v/>
      </c>
      <c r="M80" s="37">
        <f>IF(OR($J80="",$I80=0),"",ROUND($J80/$I80,4))</f>
        <v/>
      </c>
      <c r="N80" s="17" t="n"/>
      <c r="O80" s="17" t="n"/>
      <c r="P80" s="24">
        <f>IF($J80="","未盘",IF(ROUND($J80,3)=0,"账实相符",IF(COUNTIFS(入库单!$G$4:$G$2503,$A80,入库单!$X$4:$X$2503,"盘盈",入库单!$C$4:$C$2503,"&gt;="&amp;账期起,入库单!$C$4:$C$2503,"&lt;="&amp;账期止)+COUNTIFS(出库单!$D$4:$D$4003,$A80,出库单!$K$4:$K$4003,"盘亏",出库单!$C$4:$C$4003,"&gt;="&amp;账期起,出库单!$C$4:$C$4003,"&lt;="&amp;账期止)&gt;0,"已调账","※差异还没调账")))</f>
        <v/>
      </c>
      <c r="Q80" s="17" t="n"/>
      <c r="R80" s="17" t="n"/>
    </row>
    <row r="81">
      <c r="A81" s="24">
        <f>IF(库存台账!$A81="","",库存台账!$A81)</f>
        <v/>
      </c>
      <c r="B81" s="24">
        <f>IF($A81="","",库存台账!$B81)</f>
        <v/>
      </c>
      <c r="C81" s="24">
        <f>IF($A81="","",库存台账!$C81)</f>
        <v/>
      </c>
      <c r="D81" s="24">
        <f>IF($A81="","",库存台账!$D81)</f>
        <v/>
      </c>
      <c r="E81" s="24">
        <f>IF($A81="","",库存台账!$E81)</f>
        <v/>
      </c>
      <c r="F81" s="24">
        <f>IF($A81="","",库存台账!$F81)</f>
        <v/>
      </c>
      <c r="G81" s="17" t="n"/>
      <c r="H81" s="23" t="n"/>
      <c r="I81" s="27">
        <f>IF($A81="","",库存台账!$X81)</f>
        <v/>
      </c>
      <c r="J81" s="27">
        <f>IF(OR($A81="",$H81=""),"",ROUND($H81-$I81,3))</f>
        <v/>
      </c>
      <c r="K81" s="26">
        <f>IF($A81="","",库存台账!$K81)</f>
        <v/>
      </c>
      <c r="L81" s="26">
        <f>IF($J81="","",ROUND($J81*$K81,0))</f>
        <v/>
      </c>
      <c r="M81" s="37">
        <f>IF(OR($J81="",$I81=0),"",ROUND($J81/$I81,4))</f>
        <v/>
      </c>
      <c r="N81" s="17" t="n"/>
      <c r="O81" s="17" t="n"/>
      <c r="P81" s="24">
        <f>IF($J81="","未盘",IF(ROUND($J81,3)=0,"账实相符",IF(COUNTIFS(入库单!$G$4:$G$2503,$A81,入库单!$X$4:$X$2503,"盘盈",入库单!$C$4:$C$2503,"&gt;="&amp;账期起,入库单!$C$4:$C$2503,"&lt;="&amp;账期止)+COUNTIFS(出库单!$D$4:$D$4003,$A81,出库单!$K$4:$K$4003,"盘亏",出库单!$C$4:$C$4003,"&gt;="&amp;账期起,出库单!$C$4:$C$4003,"&lt;="&amp;账期止)&gt;0,"已调账","※差异还没调账")))</f>
        <v/>
      </c>
      <c r="Q81" s="17" t="n"/>
      <c r="R81" s="17" t="n"/>
    </row>
    <row r="82">
      <c r="A82" s="24">
        <f>IF(库存台账!$A82="","",库存台账!$A82)</f>
        <v/>
      </c>
      <c r="B82" s="24">
        <f>IF($A82="","",库存台账!$B82)</f>
        <v/>
      </c>
      <c r="C82" s="24">
        <f>IF($A82="","",库存台账!$C82)</f>
        <v/>
      </c>
      <c r="D82" s="24">
        <f>IF($A82="","",库存台账!$D82)</f>
        <v/>
      </c>
      <c r="E82" s="24">
        <f>IF($A82="","",库存台账!$E82)</f>
        <v/>
      </c>
      <c r="F82" s="24">
        <f>IF($A82="","",库存台账!$F82)</f>
        <v/>
      </c>
      <c r="G82" s="17" t="n"/>
      <c r="H82" s="23" t="n"/>
      <c r="I82" s="27">
        <f>IF($A82="","",库存台账!$X82)</f>
        <v/>
      </c>
      <c r="J82" s="27">
        <f>IF(OR($A82="",$H82=""),"",ROUND($H82-$I82,3))</f>
        <v/>
      </c>
      <c r="K82" s="26">
        <f>IF($A82="","",库存台账!$K82)</f>
        <v/>
      </c>
      <c r="L82" s="26">
        <f>IF($J82="","",ROUND($J82*$K82,0))</f>
        <v/>
      </c>
      <c r="M82" s="37">
        <f>IF(OR($J82="",$I82=0),"",ROUND($J82/$I82,4))</f>
        <v/>
      </c>
      <c r="N82" s="17" t="n"/>
      <c r="O82" s="17" t="n"/>
      <c r="P82" s="24">
        <f>IF($J82="","未盘",IF(ROUND($J82,3)=0,"账实相符",IF(COUNTIFS(入库单!$G$4:$G$2503,$A82,入库单!$X$4:$X$2503,"盘盈",入库单!$C$4:$C$2503,"&gt;="&amp;账期起,入库单!$C$4:$C$2503,"&lt;="&amp;账期止)+COUNTIFS(出库单!$D$4:$D$4003,$A82,出库单!$K$4:$K$4003,"盘亏",出库单!$C$4:$C$4003,"&gt;="&amp;账期起,出库单!$C$4:$C$4003,"&lt;="&amp;账期止)&gt;0,"已调账","※差异还没调账")))</f>
        <v/>
      </c>
      <c r="Q82" s="17" t="n"/>
      <c r="R82" s="17" t="n"/>
    </row>
    <row r="83">
      <c r="A83" s="24">
        <f>IF(库存台账!$A83="","",库存台账!$A83)</f>
        <v/>
      </c>
      <c r="B83" s="24">
        <f>IF($A83="","",库存台账!$B83)</f>
        <v/>
      </c>
      <c r="C83" s="24">
        <f>IF($A83="","",库存台账!$C83)</f>
        <v/>
      </c>
      <c r="D83" s="24">
        <f>IF($A83="","",库存台账!$D83)</f>
        <v/>
      </c>
      <c r="E83" s="24">
        <f>IF($A83="","",库存台账!$E83)</f>
        <v/>
      </c>
      <c r="F83" s="24">
        <f>IF($A83="","",库存台账!$F83)</f>
        <v/>
      </c>
      <c r="G83" s="17" t="n"/>
      <c r="H83" s="23" t="n"/>
      <c r="I83" s="27">
        <f>IF($A83="","",库存台账!$X83)</f>
        <v/>
      </c>
      <c r="J83" s="27">
        <f>IF(OR($A83="",$H83=""),"",ROUND($H83-$I83,3))</f>
        <v/>
      </c>
      <c r="K83" s="26">
        <f>IF($A83="","",库存台账!$K83)</f>
        <v/>
      </c>
      <c r="L83" s="26">
        <f>IF($J83="","",ROUND($J83*$K83,0))</f>
        <v/>
      </c>
      <c r="M83" s="37">
        <f>IF(OR($J83="",$I83=0),"",ROUND($J83/$I83,4))</f>
        <v/>
      </c>
      <c r="N83" s="17" t="n"/>
      <c r="O83" s="17" t="n"/>
      <c r="P83" s="24">
        <f>IF($J83="","未盘",IF(ROUND($J83,3)=0,"账实相符",IF(COUNTIFS(入库单!$G$4:$G$2503,$A83,入库单!$X$4:$X$2503,"盘盈",入库单!$C$4:$C$2503,"&gt;="&amp;账期起,入库单!$C$4:$C$2503,"&lt;="&amp;账期止)+COUNTIFS(出库单!$D$4:$D$4003,$A83,出库单!$K$4:$K$4003,"盘亏",出库单!$C$4:$C$4003,"&gt;="&amp;账期起,出库单!$C$4:$C$4003,"&lt;="&amp;账期止)&gt;0,"已调账","※差异还没调账")))</f>
        <v/>
      </c>
      <c r="Q83" s="17" t="n"/>
      <c r="R83" s="17" t="n"/>
    </row>
    <row r="84">
      <c r="A84" s="24">
        <f>IF(库存台账!$A84="","",库存台账!$A84)</f>
        <v/>
      </c>
      <c r="B84" s="24">
        <f>IF($A84="","",库存台账!$B84)</f>
        <v/>
      </c>
      <c r="C84" s="24">
        <f>IF($A84="","",库存台账!$C84)</f>
        <v/>
      </c>
      <c r="D84" s="24">
        <f>IF($A84="","",库存台账!$D84)</f>
        <v/>
      </c>
      <c r="E84" s="24">
        <f>IF($A84="","",库存台账!$E84)</f>
        <v/>
      </c>
      <c r="F84" s="24">
        <f>IF($A84="","",库存台账!$F84)</f>
        <v/>
      </c>
      <c r="G84" s="17" t="n"/>
      <c r="H84" s="23" t="n"/>
      <c r="I84" s="27">
        <f>IF($A84="","",库存台账!$X84)</f>
        <v/>
      </c>
      <c r="J84" s="27">
        <f>IF(OR($A84="",$H84=""),"",ROUND($H84-$I84,3))</f>
        <v/>
      </c>
      <c r="K84" s="26">
        <f>IF($A84="","",库存台账!$K84)</f>
        <v/>
      </c>
      <c r="L84" s="26">
        <f>IF($J84="","",ROUND($J84*$K84,0))</f>
        <v/>
      </c>
      <c r="M84" s="37">
        <f>IF(OR($J84="",$I84=0),"",ROUND($J84/$I84,4))</f>
        <v/>
      </c>
      <c r="N84" s="17" t="n"/>
      <c r="O84" s="17" t="n"/>
      <c r="P84" s="24">
        <f>IF($J84="","未盘",IF(ROUND($J84,3)=0,"账实相符",IF(COUNTIFS(入库单!$G$4:$G$2503,$A84,入库单!$X$4:$X$2503,"盘盈",入库单!$C$4:$C$2503,"&gt;="&amp;账期起,入库单!$C$4:$C$2503,"&lt;="&amp;账期止)+COUNTIFS(出库单!$D$4:$D$4003,$A84,出库单!$K$4:$K$4003,"盘亏",出库单!$C$4:$C$4003,"&gt;="&amp;账期起,出库单!$C$4:$C$4003,"&lt;="&amp;账期止)&gt;0,"已调账","※差异还没调账")))</f>
        <v/>
      </c>
      <c r="Q84" s="17" t="n"/>
      <c r="R84" s="17" t="n"/>
    </row>
    <row r="85">
      <c r="A85" s="24">
        <f>IF(库存台账!$A85="","",库存台账!$A85)</f>
        <v/>
      </c>
      <c r="B85" s="24">
        <f>IF($A85="","",库存台账!$B85)</f>
        <v/>
      </c>
      <c r="C85" s="24">
        <f>IF($A85="","",库存台账!$C85)</f>
        <v/>
      </c>
      <c r="D85" s="24">
        <f>IF($A85="","",库存台账!$D85)</f>
        <v/>
      </c>
      <c r="E85" s="24">
        <f>IF($A85="","",库存台账!$E85)</f>
        <v/>
      </c>
      <c r="F85" s="24">
        <f>IF($A85="","",库存台账!$F85)</f>
        <v/>
      </c>
      <c r="G85" s="17" t="n"/>
      <c r="H85" s="23" t="n"/>
      <c r="I85" s="27">
        <f>IF($A85="","",库存台账!$X85)</f>
        <v/>
      </c>
      <c r="J85" s="27">
        <f>IF(OR($A85="",$H85=""),"",ROUND($H85-$I85,3))</f>
        <v/>
      </c>
      <c r="K85" s="26">
        <f>IF($A85="","",库存台账!$K85)</f>
        <v/>
      </c>
      <c r="L85" s="26">
        <f>IF($J85="","",ROUND($J85*$K85,0))</f>
        <v/>
      </c>
      <c r="M85" s="37">
        <f>IF(OR($J85="",$I85=0),"",ROUND($J85/$I85,4))</f>
        <v/>
      </c>
      <c r="N85" s="17" t="n"/>
      <c r="O85" s="17" t="n"/>
      <c r="P85" s="24">
        <f>IF($J85="","未盘",IF(ROUND($J85,3)=0,"账实相符",IF(COUNTIFS(入库单!$G$4:$G$2503,$A85,入库单!$X$4:$X$2503,"盘盈",入库单!$C$4:$C$2503,"&gt;="&amp;账期起,入库单!$C$4:$C$2503,"&lt;="&amp;账期止)+COUNTIFS(出库单!$D$4:$D$4003,$A85,出库单!$K$4:$K$4003,"盘亏",出库单!$C$4:$C$4003,"&gt;="&amp;账期起,出库单!$C$4:$C$4003,"&lt;="&amp;账期止)&gt;0,"已调账","※差异还没调账")))</f>
        <v/>
      </c>
      <c r="Q85" s="17" t="n"/>
      <c r="R85" s="17" t="n"/>
    </row>
    <row r="86">
      <c r="A86" s="24">
        <f>IF(库存台账!$A86="","",库存台账!$A86)</f>
        <v/>
      </c>
      <c r="B86" s="24">
        <f>IF($A86="","",库存台账!$B86)</f>
        <v/>
      </c>
      <c r="C86" s="24">
        <f>IF($A86="","",库存台账!$C86)</f>
        <v/>
      </c>
      <c r="D86" s="24">
        <f>IF($A86="","",库存台账!$D86)</f>
        <v/>
      </c>
      <c r="E86" s="24">
        <f>IF($A86="","",库存台账!$E86)</f>
        <v/>
      </c>
      <c r="F86" s="24">
        <f>IF($A86="","",库存台账!$F86)</f>
        <v/>
      </c>
      <c r="G86" s="17" t="n"/>
      <c r="H86" s="23" t="n"/>
      <c r="I86" s="27">
        <f>IF($A86="","",库存台账!$X86)</f>
        <v/>
      </c>
      <c r="J86" s="27">
        <f>IF(OR($A86="",$H86=""),"",ROUND($H86-$I86,3))</f>
        <v/>
      </c>
      <c r="K86" s="26">
        <f>IF($A86="","",库存台账!$K86)</f>
        <v/>
      </c>
      <c r="L86" s="26">
        <f>IF($J86="","",ROUND($J86*$K86,0))</f>
        <v/>
      </c>
      <c r="M86" s="37">
        <f>IF(OR($J86="",$I86=0),"",ROUND($J86/$I86,4))</f>
        <v/>
      </c>
      <c r="N86" s="17" t="n"/>
      <c r="O86" s="17" t="n"/>
      <c r="P86" s="24">
        <f>IF($J86="","未盘",IF(ROUND($J86,3)=0,"账实相符",IF(COUNTIFS(入库单!$G$4:$G$2503,$A86,入库单!$X$4:$X$2503,"盘盈",入库单!$C$4:$C$2503,"&gt;="&amp;账期起,入库单!$C$4:$C$2503,"&lt;="&amp;账期止)+COUNTIFS(出库单!$D$4:$D$4003,$A86,出库单!$K$4:$K$4003,"盘亏",出库单!$C$4:$C$4003,"&gt;="&amp;账期起,出库单!$C$4:$C$4003,"&lt;="&amp;账期止)&gt;0,"已调账","※差异还没调账")))</f>
        <v/>
      </c>
      <c r="Q86" s="17" t="n"/>
      <c r="R86" s="17" t="n"/>
    </row>
    <row r="87">
      <c r="A87" s="24">
        <f>IF(库存台账!$A87="","",库存台账!$A87)</f>
        <v/>
      </c>
      <c r="B87" s="24">
        <f>IF($A87="","",库存台账!$B87)</f>
        <v/>
      </c>
      <c r="C87" s="24">
        <f>IF($A87="","",库存台账!$C87)</f>
        <v/>
      </c>
      <c r="D87" s="24">
        <f>IF($A87="","",库存台账!$D87)</f>
        <v/>
      </c>
      <c r="E87" s="24">
        <f>IF($A87="","",库存台账!$E87)</f>
        <v/>
      </c>
      <c r="F87" s="24">
        <f>IF($A87="","",库存台账!$F87)</f>
        <v/>
      </c>
      <c r="G87" s="17" t="n"/>
      <c r="H87" s="23" t="n"/>
      <c r="I87" s="27">
        <f>IF($A87="","",库存台账!$X87)</f>
        <v/>
      </c>
      <c r="J87" s="27">
        <f>IF(OR($A87="",$H87=""),"",ROUND($H87-$I87,3))</f>
        <v/>
      </c>
      <c r="K87" s="26">
        <f>IF($A87="","",库存台账!$K87)</f>
        <v/>
      </c>
      <c r="L87" s="26">
        <f>IF($J87="","",ROUND($J87*$K87,0))</f>
        <v/>
      </c>
      <c r="M87" s="37">
        <f>IF(OR($J87="",$I87=0),"",ROUND($J87/$I87,4))</f>
        <v/>
      </c>
      <c r="N87" s="17" t="n"/>
      <c r="O87" s="17" t="n"/>
      <c r="P87" s="24">
        <f>IF($J87="","未盘",IF(ROUND($J87,3)=0,"账实相符",IF(COUNTIFS(入库单!$G$4:$G$2503,$A87,入库单!$X$4:$X$2503,"盘盈",入库单!$C$4:$C$2503,"&gt;="&amp;账期起,入库单!$C$4:$C$2503,"&lt;="&amp;账期止)+COUNTIFS(出库单!$D$4:$D$4003,$A87,出库单!$K$4:$K$4003,"盘亏",出库单!$C$4:$C$4003,"&gt;="&amp;账期起,出库单!$C$4:$C$4003,"&lt;="&amp;账期止)&gt;0,"已调账","※差异还没调账")))</f>
        <v/>
      </c>
      <c r="Q87" s="17" t="n"/>
      <c r="R87" s="17" t="n"/>
    </row>
    <row r="88">
      <c r="A88" s="24">
        <f>IF(库存台账!$A88="","",库存台账!$A88)</f>
        <v/>
      </c>
      <c r="B88" s="24">
        <f>IF($A88="","",库存台账!$B88)</f>
        <v/>
      </c>
      <c r="C88" s="24">
        <f>IF($A88="","",库存台账!$C88)</f>
        <v/>
      </c>
      <c r="D88" s="24">
        <f>IF($A88="","",库存台账!$D88)</f>
        <v/>
      </c>
      <c r="E88" s="24">
        <f>IF($A88="","",库存台账!$E88)</f>
        <v/>
      </c>
      <c r="F88" s="24">
        <f>IF($A88="","",库存台账!$F88)</f>
        <v/>
      </c>
      <c r="G88" s="17" t="n"/>
      <c r="H88" s="23" t="n"/>
      <c r="I88" s="27">
        <f>IF($A88="","",库存台账!$X88)</f>
        <v/>
      </c>
      <c r="J88" s="27">
        <f>IF(OR($A88="",$H88=""),"",ROUND($H88-$I88,3))</f>
        <v/>
      </c>
      <c r="K88" s="26">
        <f>IF($A88="","",库存台账!$K88)</f>
        <v/>
      </c>
      <c r="L88" s="26">
        <f>IF($J88="","",ROUND($J88*$K88,0))</f>
        <v/>
      </c>
      <c r="M88" s="37">
        <f>IF(OR($J88="",$I88=0),"",ROUND($J88/$I88,4))</f>
        <v/>
      </c>
      <c r="N88" s="17" t="n"/>
      <c r="O88" s="17" t="n"/>
      <c r="P88" s="24">
        <f>IF($J88="","未盘",IF(ROUND($J88,3)=0,"账实相符",IF(COUNTIFS(入库单!$G$4:$G$2503,$A88,入库单!$X$4:$X$2503,"盘盈",入库单!$C$4:$C$2503,"&gt;="&amp;账期起,入库单!$C$4:$C$2503,"&lt;="&amp;账期止)+COUNTIFS(出库单!$D$4:$D$4003,$A88,出库单!$K$4:$K$4003,"盘亏",出库单!$C$4:$C$4003,"&gt;="&amp;账期起,出库单!$C$4:$C$4003,"&lt;="&amp;账期止)&gt;0,"已调账","※差异还没调账")))</f>
        <v/>
      </c>
      <c r="Q88" s="17" t="n"/>
      <c r="R88" s="17" t="n"/>
    </row>
    <row r="89">
      <c r="A89" s="24">
        <f>IF(库存台账!$A89="","",库存台账!$A89)</f>
        <v/>
      </c>
      <c r="B89" s="24">
        <f>IF($A89="","",库存台账!$B89)</f>
        <v/>
      </c>
      <c r="C89" s="24">
        <f>IF($A89="","",库存台账!$C89)</f>
        <v/>
      </c>
      <c r="D89" s="24">
        <f>IF($A89="","",库存台账!$D89)</f>
        <v/>
      </c>
      <c r="E89" s="24">
        <f>IF($A89="","",库存台账!$E89)</f>
        <v/>
      </c>
      <c r="F89" s="24">
        <f>IF($A89="","",库存台账!$F89)</f>
        <v/>
      </c>
      <c r="G89" s="17" t="n"/>
      <c r="H89" s="23" t="n"/>
      <c r="I89" s="27">
        <f>IF($A89="","",库存台账!$X89)</f>
        <v/>
      </c>
      <c r="J89" s="27">
        <f>IF(OR($A89="",$H89=""),"",ROUND($H89-$I89,3))</f>
        <v/>
      </c>
      <c r="K89" s="26">
        <f>IF($A89="","",库存台账!$K89)</f>
        <v/>
      </c>
      <c r="L89" s="26">
        <f>IF($J89="","",ROUND($J89*$K89,0))</f>
        <v/>
      </c>
      <c r="M89" s="37">
        <f>IF(OR($J89="",$I89=0),"",ROUND($J89/$I89,4))</f>
        <v/>
      </c>
      <c r="N89" s="17" t="n"/>
      <c r="O89" s="17" t="n"/>
      <c r="P89" s="24">
        <f>IF($J89="","未盘",IF(ROUND($J89,3)=0,"账实相符",IF(COUNTIFS(入库单!$G$4:$G$2503,$A89,入库单!$X$4:$X$2503,"盘盈",入库单!$C$4:$C$2503,"&gt;="&amp;账期起,入库单!$C$4:$C$2503,"&lt;="&amp;账期止)+COUNTIFS(出库单!$D$4:$D$4003,$A89,出库单!$K$4:$K$4003,"盘亏",出库单!$C$4:$C$4003,"&gt;="&amp;账期起,出库单!$C$4:$C$4003,"&lt;="&amp;账期止)&gt;0,"已调账","※差异还没调账")))</f>
        <v/>
      </c>
      <c r="Q89" s="17" t="n"/>
      <c r="R89" s="17" t="n"/>
    </row>
    <row r="90">
      <c r="A90" s="24">
        <f>IF(库存台账!$A90="","",库存台账!$A90)</f>
        <v/>
      </c>
      <c r="B90" s="24">
        <f>IF($A90="","",库存台账!$B90)</f>
        <v/>
      </c>
      <c r="C90" s="24">
        <f>IF($A90="","",库存台账!$C90)</f>
        <v/>
      </c>
      <c r="D90" s="24">
        <f>IF($A90="","",库存台账!$D90)</f>
        <v/>
      </c>
      <c r="E90" s="24">
        <f>IF($A90="","",库存台账!$E90)</f>
        <v/>
      </c>
      <c r="F90" s="24">
        <f>IF($A90="","",库存台账!$F90)</f>
        <v/>
      </c>
      <c r="G90" s="17" t="n"/>
      <c r="H90" s="23" t="n"/>
      <c r="I90" s="27">
        <f>IF($A90="","",库存台账!$X90)</f>
        <v/>
      </c>
      <c r="J90" s="27">
        <f>IF(OR($A90="",$H90=""),"",ROUND($H90-$I90,3))</f>
        <v/>
      </c>
      <c r="K90" s="26">
        <f>IF($A90="","",库存台账!$K90)</f>
        <v/>
      </c>
      <c r="L90" s="26">
        <f>IF($J90="","",ROUND($J90*$K90,0))</f>
        <v/>
      </c>
      <c r="M90" s="37">
        <f>IF(OR($J90="",$I90=0),"",ROUND($J90/$I90,4))</f>
        <v/>
      </c>
      <c r="N90" s="17" t="n"/>
      <c r="O90" s="17" t="n"/>
      <c r="P90" s="24">
        <f>IF($J90="","未盘",IF(ROUND($J90,3)=0,"账实相符",IF(COUNTIFS(入库单!$G$4:$G$2503,$A90,入库单!$X$4:$X$2503,"盘盈",入库单!$C$4:$C$2503,"&gt;="&amp;账期起,入库单!$C$4:$C$2503,"&lt;="&amp;账期止)+COUNTIFS(出库单!$D$4:$D$4003,$A90,出库单!$K$4:$K$4003,"盘亏",出库单!$C$4:$C$4003,"&gt;="&amp;账期起,出库单!$C$4:$C$4003,"&lt;="&amp;账期止)&gt;0,"已调账","※差异还没调账")))</f>
        <v/>
      </c>
      <c r="Q90" s="17" t="n"/>
      <c r="R90" s="17" t="n"/>
    </row>
    <row r="91">
      <c r="A91" s="24">
        <f>IF(库存台账!$A91="","",库存台账!$A91)</f>
        <v/>
      </c>
      <c r="B91" s="24">
        <f>IF($A91="","",库存台账!$B91)</f>
        <v/>
      </c>
      <c r="C91" s="24">
        <f>IF($A91="","",库存台账!$C91)</f>
        <v/>
      </c>
      <c r="D91" s="24">
        <f>IF($A91="","",库存台账!$D91)</f>
        <v/>
      </c>
      <c r="E91" s="24">
        <f>IF($A91="","",库存台账!$E91)</f>
        <v/>
      </c>
      <c r="F91" s="24">
        <f>IF($A91="","",库存台账!$F91)</f>
        <v/>
      </c>
      <c r="G91" s="17" t="n"/>
      <c r="H91" s="23" t="n"/>
      <c r="I91" s="27">
        <f>IF($A91="","",库存台账!$X91)</f>
        <v/>
      </c>
      <c r="J91" s="27">
        <f>IF(OR($A91="",$H91=""),"",ROUND($H91-$I91,3))</f>
        <v/>
      </c>
      <c r="K91" s="26">
        <f>IF($A91="","",库存台账!$K91)</f>
        <v/>
      </c>
      <c r="L91" s="26">
        <f>IF($J91="","",ROUND($J91*$K91,0))</f>
        <v/>
      </c>
      <c r="M91" s="37">
        <f>IF(OR($J91="",$I91=0),"",ROUND($J91/$I91,4))</f>
        <v/>
      </c>
      <c r="N91" s="17" t="n"/>
      <c r="O91" s="17" t="n"/>
      <c r="P91" s="24">
        <f>IF($J91="","未盘",IF(ROUND($J91,3)=0,"账实相符",IF(COUNTIFS(入库单!$G$4:$G$2503,$A91,入库单!$X$4:$X$2503,"盘盈",入库单!$C$4:$C$2503,"&gt;="&amp;账期起,入库单!$C$4:$C$2503,"&lt;="&amp;账期止)+COUNTIFS(出库单!$D$4:$D$4003,$A91,出库单!$K$4:$K$4003,"盘亏",出库单!$C$4:$C$4003,"&gt;="&amp;账期起,出库单!$C$4:$C$4003,"&lt;="&amp;账期止)&gt;0,"已调账","※差异还没调账")))</f>
        <v/>
      </c>
      <c r="Q91" s="17" t="n"/>
      <c r="R91" s="17" t="n"/>
    </row>
    <row r="92">
      <c r="A92" s="24">
        <f>IF(库存台账!$A92="","",库存台账!$A92)</f>
        <v/>
      </c>
      <c r="B92" s="24">
        <f>IF($A92="","",库存台账!$B92)</f>
        <v/>
      </c>
      <c r="C92" s="24">
        <f>IF($A92="","",库存台账!$C92)</f>
        <v/>
      </c>
      <c r="D92" s="24">
        <f>IF($A92="","",库存台账!$D92)</f>
        <v/>
      </c>
      <c r="E92" s="24">
        <f>IF($A92="","",库存台账!$E92)</f>
        <v/>
      </c>
      <c r="F92" s="24">
        <f>IF($A92="","",库存台账!$F92)</f>
        <v/>
      </c>
      <c r="G92" s="17" t="n"/>
      <c r="H92" s="23" t="n"/>
      <c r="I92" s="27">
        <f>IF($A92="","",库存台账!$X92)</f>
        <v/>
      </c>
      <c r="J92" s="27">
        <f>IF(OR($A92="",$H92=""),"",ROUND($H92-$I92,3))</f>
        <v/>
      </c>
      <c r="K92" s="26">
        <f>IF($A92="","",库存台账!$K92)</f>
        <v/>
      </c>
      <c r="L92" s="26">
        <f>IF($J92="","",ROUND($J92*$K92,0))</f>
        <v/>
      </c>
      <c r="M92" s="37">
        <f>IF(OR($J92="",$I92=0),"",ROUND($J92/$I92,4))</f>
        <v/>
      </c>
      <c r="N92" s="17" t="n"/>
      <c r="O92" s="17" t="n"/>
      <c r="P92" s="24">
        <f>IF($J92="","未盘",IF(ROUND($J92,3)=0,"账实相符",IF(COUNTIFS(入库单!$G$4:$G$2503,$A92,入库单!$X$4:$X$2503,"盘盈",入库单!$C$4:$C$2503,"&gt;="&amp;账期起,入库单!$C$4:$C$2503,"&lt;="&amp;账期止)+COUNTIFS(出库单!$D$4:$D$4003,$A92,出库单!$K$4:$K$4003,"盘亏",出库单!$C$4:$C$4003,"&gt;="&amp;账期起,出库单!$C$4:$C$4003,"&lt;="&amp;账期止)&gt;0,"已调账","※差异还没调账")))</f>
        <v/>
      </c>
      <c r="Q92" s="17" t="n"/>
      <c r="R92" s="17" t="n"/>
    </row>
    <row r="93">
      <c r="A93" s="24">
        <f>IF(库存台账!$A93="","",库存台账!$A93)</f>
        <v/>
      </c>
      <c r="B93" s="24">
        <f>IF($A93="","",库存台账!$B93)</f>
        <v/>
      </c>
      <c r="C93" s="24">
        <f>IF($A93="","",库存台账!$C93)</f>
        <v/>
      </c>
      <c r="D93" s="24">
        <f>IF($A93="","",库存台账!$D93)</f>
        <v/>
      </c>
      <c r="E93" s="24">
        <f>IF($A93="","",库存台账!$E93)</f>
        <v/>
      </c>
      <c r="F93" s="24">
        <f>IF($A93="","",库存台账!$F93)</f>
        <v/>
      </c>
      <c r="G93" s="17" t="n"/>
      <c r="H93" s="23" t="n"/>
      <c r="I93" s="27">
        <f>IF($A93="","",库存台账!$X93)</f>
        <v/>
      </c>
      <c r="J93" s="27">
        <f>IF(OR($A93="",$H93=""),"",ROUND($H93-$I93,3))</f>
        <v/>
      </c>
      <c r="K93" s="26">
        <f>IF($A93="","",库存台账!$K93)</f>
        <v/>
      </c>
      <c r="L93" s="26">
        <f>IF($J93="","",ROUND($J93*$K93,0))</f>
        <v/>
      </c>
      <c r="M93" s="37">
        <f>IF(OR($J93="",$I93=0),"",ROUND($J93/$I93,4))</f>
        <v/>
      </c>
      <c r="N93" s="17" t="n"/>
      <c r="O93" s="17" t="n"/>
      <c r="P93" s="24">
        <f>IF($J93="","未盘",IF(ROUND($J93,3)=0,"账实相符",IF(COUNTIFS(入库单!$G$4:$G$2503,$A93,入库单!$X$4:$X$2503,"盘盈",入库单!$C$4:$C$2503,"&gt;="&amp;账期起,入库单!$C$4:$C$2503,"&lt;="&amp;账期止)+COUNTIFS(出库单!$D$4:$D$4003,$A93,出库单!$K$4:$K$4003,"盘亏",出库单!$C$4:$C$4003,"&gt;="&amp;账期起,出库单!$C$4:$C$4003,"&lt;="&amp;账期止)&gt;0,"已调账","※差异还没调账")))</f>
        <v/>
      </c>
      <c r="Q93" s="17" t="n"/>
      <c r="R93" s="17" t="n"/>
    </row>
    <row r="94">
      <c r="A94" s="24">
        <f>IF(库存台账!$A94="","",库存台账!$A94)</f>
        <v/>
      </c>
      <c r="B94" s="24">
        <f>IF($A94="","",库存台账!$B94)</f>
        <v/>
      </c>
      <c r="C94" s="24">
        <f>IF($A94="","",库存台账!$C94)</f>
        <v/>
      </c>
      <c r="D94" s="24">
        <f>IF($A94="","",库存台账!$D94)</f>
        <v/>
      </c>
      <c r="E94" s="24">
        <f>IF($A94="","",库存台账!$E94)</f>
        <v/>
      </c>
      <c r="F94" s="24">
        <f>IF($A94="","",库存台账!$F94)</f>
        <v/>
      </c>
      <c r="G94" s="17" t="n"/>
      <c r="H94" s="23" t="n"/>
      <c r="I94" s="27">
        <f>IF($A94="","",库存台账!$X94)</f>
        <v/>
      </c>
      <c r="J94" s="27">
        <f>IF(OR($A94="",$H94=""),"",ROUND($H94-$I94,3))</f>
        <v/>
      </c>
      <c r="K94" s="26">
        <f>IF($A94="","",库存台账!$K94)</f>
        <v/>
      </c>
      <c r="L94" s="26">
        <f>IF($J94="","",ROUND($J94*$K94,0))</f>
        <v/>
      </c>
      <c r="M94" s="37">
        <f>IF(OR($J94="",$I94=0),"",ROUND($J94/$I94,4))</f>
        <v/>
      </c>
      <c r="N94" s="17" t="n"/>
      <c r="O94" s="17" t="n"/>
      <c r="P94" s="24">
        <f>IF($J94="","未盘",IF(ROUND($J94,3)=0,"账实相符",IF(COUNTIFS(入库单!$G$4:$G$2503,$A94,入库单!$X$4:$X$2503,"盘盈",入库单!$C$4:$C$2503,"&gt;="&amp;账期起,入库单!$C$4:$C$2503,"&lt;="&amp;账期止)+COUNTIFS(出库单!$D$4:$D$4003,$A94,出库单!$K$4:$K$4003,"盘亏",出库单!$C$4:$C$4003,"&gt;="&amp;账期起,出库单!$C$4:$C$4003,"&lt;="&amp;账期止)&gt;0,"已调账","※差异还没调账")))</f>
        <v/>
      </c>
      <c r="Q94" s="17" t="n"/>
      <c r="R94" s="17" t="n"/>
    </row>
    <row r="95">
      <c r="A95" s="24">
        <f>IF(库存台账!$A95="","",库存台账!$A95)</f>
        <v/>
      </c>
      <c r="B95" s="24">
        <f>IF($A95="","",库存台账!$B95)</f>
        <v/>
      </c>
      <c r="C95" s="24">
        <f>IF($A95="","",库存台账!$C95)</f>
        <v/>
      </c>
      <c r="D95" s="24">
        <f>IF($A95="","",库存台账!$D95)</f>
        <v/>
      </c>
      <c r="E95" s="24">
        <f>IF($A95="","",库存台账!$E95)</f>
        <v/>
      </c>
      <c r="F95" s="24">
        <f>IF($A95="","",库存台账!$F95)</f>
        <v/>
      </c>
      <c r="G95" s="17" t="n"/>
      <c r="H95" s="23" t="n"/>
      <c r="I95" s="27">
        <f>IF($A95="","",库存台账!$X95)</f>
        <v/>
      </c>
      <c r="J95" s="27">
        <f>IF(OR($A95="",$H95=""),"",ROUND($H95-$I95,3))</f>
        <v/>
      </c>
      <c r="K95" s="26">
        <f>IF($A95="","",库存台账!$K95)</f>
        <v/>
      </c>
      <c r="L95" s="26">
        <f>IF($J95="","",ROUND($J95*$K95,0))</f>
        <v/>
      </c>
      <c r="M95" s="37">
        <f>IF(OR($J95="",$I95=0),"",ROUND($J95/$I95,4))</f>
        <v/>
      </c>
      <c r="N95" s="17" t="n"/>
      <c r="O95" s="17" t="n"/>
      <c r="P95" s="24">
        <f>IF($J95="","未盘",IF(ROUND($J95,3)=0,"账实相符",IF(COUNTIFS(入库单!$G$4:$G$2503,$A95,入库单!$X$4:$X$2503,"盘盈",入库单!$C$4:$C$2503,"&gt;="&amp;账期起,入库单!$C$4:$C$2503,"&lt;="&amp;账期止)+COUNTIFS(出库单!$D$4:$D$4003,$A95,出库单!$K$4:$K$4003,"盘亏",出库单!$C$4:$C$4003,"&gt;="&amp;账期起,出库单!$C$4:$C$4003,"&lt;="&amp;账期止)&gt;0,"已调账","※差异还没调账")))</f>
        <v/>
      </c>
      <c r="Q95" s="17" t="n"/>
      <c r="R95" s="17" t="n"/>
    </row>
    <row r="96">
      <c r="A96" s="24">
        <f>IF(库存台账!$A96="","",库存台账!$A96)</f>
        <v/>
      </c>
      <c r="B96" s="24">
        <f>IF($A96="","",库存台账!$B96)</f>
        <v/>
      </c>
      <c r="C96" s="24">
        <f>IF($A96="","",库存台账!$C96)</f>
        <v/>
      </c>
      <c r="D96" s="24">
        <f>IF($A96="","",库存台账!$D96)</f>
        <v/>
      </c>
      <c r="E96" s="24">
        <f>IF($A96="","",库存台账!$E96)</f>
        <v/>
      </c>
      <c r="F96" s="24">
        <f>IF($A96="","",库存台账!$F96)</f>
        <v/>
      </c>
      <c r="G96" s="17" t="n"/>
      <c r="H96" s="23" t="n"/>
      <c r="I96" s="27">
        <f>IF($A96="","",库存台账!$X96)</f>
        <v/>
      </c>
      <c r="J96" s="27">
        <f>IF(OR($A96="",$H96=""),"",ROUND($H96-$I96,3))</f>
        <v/>
      </c>
      <c r="K96" s="26">
        <f>IF($A96="","",库存台账!$K96)</f>
        <v/>
      </c>
      <c r="L96" s="26">
        <f>IF($J96="","",ROUND($J96*$K96,0))</f>
        <v/>
      </c>
      <c r="M96" s="37">
        <f>IF(OR($J96="",$I96=0),"",ROUND($J96/$I96,4))</f>
        <v/>
      </c>
      <c r="N96" s="17" t="n"/>
      <c r="O96" s="17" t="n"/>
      <c r="P96" s="24">
        <f>IF($J96="","未盘",IF(ROUND($J96,3)=0,"账实相符",IF(COUNTIFS(入库单!$G$4:$G$2503,$A96,入库单!$X$4:$X$2503,"盘盈",入库单!$C$4:$C$2503,"&gt;="&amp;账期起,入库单!$C$4:$C$2503,"&lt;="&amp;账期止)+COUNTIFS(出库单!$D$4:$D$4003,$A96,出库单!$K$4:$K$4003,"盘亏",出库单!$C$4:$C$4003,"&gt;="&amp;账期起,出库单!$C$4:$C$4003,"&lt;="&amp;账期止)&gt;0,"已调账","※差异还没调账")))</f>
        <v/>
      </c>
      <c r="Q96" s="17" t="n"/>
      <c r="R96" s="17" t="n"/>
    </row>
    <row r="97">
      <c r="A97" s="24">
        <f>IF(库存台账!$A97="","",库存台账!$A97)</f>
        <v/>
      </c>
      <c r="B97" s="24">
        <f>IF($A97="","",库存台账!$B97)</f>
        <v/>
      </c>
      <c r="C97" s="24">
        <f>IF($A97="","",库存台账!$C97)</f>
        <v/>
      </c>
      <c r="D97" s="24">
        <f>IF($A97="","",库存台账!$D97)</f>
        <v/>
      </c>
      <c r="E97" s="24">
        <f>IF($A97="","",库存台账!$E97)</f>
        <v/>
      </c>
      <c r="F97" s="24">
        <f>IF($A97="","",库存台账!$F97)</f>
        <v/>
      </c>
      <c r="G97" s="17" t="n"/>
      <c r="H97" s="23" t="n"/>
      <c r="I97" s="27">
        <f>IF($A97="","",库存台账!$X97)</f>
        <v/>
      </c>
      <c r="J97" s="27">
        <f>IF(OR($A97="",$H97=""),"",ROUND($H97-$I97,3))</f>
        <v/>
      </c>
      <c r="K97" s="26">
        <f>IF($A97="","",库存台账!$K97)</f>
        <v/>
      </c>
      <c r="L97" s="26">
        <f>IF($J97="","",ROUND($J97*$K97,0))</f>
        <v/>
      </c>
      <c r="M97" s="37">
        <f>IF(OR($J97="",$I97=0),"",ROUND($J97/$I97,4))</f>
        <v/>
      </c>
      <c r="N97" s="17" t="n"/>
      <c r="O97" s="17" t="n"/>
      <c r="P97" s="24">
        <f>IF($J97="","未盘",IF(ROUND($J97,3)=0,"账实相符",IF(COUNTIFS(入库单!$G$4:$G$2503,$A97,入库单!$X$4:$X$2503,"盘盈",入库单!$C$4:$C$2503,"&gt;="&amp;账期起,入库单!$C$4:$C$2503,"&lt;="&amp;账期止)+COUNTIFS(出库单!$D$4:$D$4003,$A97,出库单!$K$4:$K$4003,"盘亏",出库单!$C$4:$C$4003,"&gt;="&amp;账期起,出库单!$C$4:$C$4003,"&lt;="&amp;账期止)&gt;0,"已调账","※差异还没调账")))</f>
        <v/>
      </c>
      <c r="Q97" s="17" t="n"/>
      <c r="R97" s="17" t="n"/>
    </row>
    <row r="98">
      <c r="A98" s="24">
        <f>IF(库存台账!$A98="","",库存台账!$A98)</f>
        <v/>
      </c>
      <c r="B98" s="24">
        <f>IF($A98="","",库存台账!$B98)</f>
        <v/>
      </c>
      <c r="C98" s="24">
        <f>IF($A98="","",库存台账!$C98)</f>
        <v/>
      </c>
      <c r="D98" s="24">
        <f>IF($A98="","",库存台账!$D98)</f>
        <v/>
      </c>
      <c r="E98" s="24">
        <f>IF($A98="","",库存台账!$E98)</f>
        <v/>
      </c>
      <c r="F98" s="24">
        <f>IF($A98="","",库存台账!$F98)</f>
        <v/>
      </c>
      <c r="G98" s="17" t="n"/>
      <c r="H98" s="23" t="n"/>
      <c r="I98" s="27">
        <f>IF($A98="","",库存台账!$X98)</f>
        <v/>
      </c>
      <c r="J98" s="27">
        <f>IF(OR($A98="",$H98=""),"",ROUND($H98-$I98,3))</f>
        <v/>
      </c>
      <c r="K98" s="26">
        <f>IF($A98="","",库存台账!$K98)</f>
        <v/>
      </c>
      <c r="L98" s="26">
        <f>IF($J98="","",ROUND($J98*$K98,0))</f>
        <v/>
      </c>
      <c r="M98" s="37">
        <f>IF(OR($J98="",$I98=0),"",ROUND($J98/$I98,4))</f>
        <v/>
      </c>
      <c r="N98" s="17" t="n"/>
      <c r="O98" s="17" t="n"/>
      <c r="P98" s="24">
        <f>IF($J98="","未盘",IF(ROUND($J98,3)=0,"账实相符",IF(COUNTIFS(入库单!$G$4:$G$2503,$A98,入库单!$X$4:$X$2503,"盘盈",入库单!$C$4:$C$2503,"&gt;="&amp;账期起,入库单!$C$4:$C$2503,"&lt;="&amp;账期止)+COUNTIFS(出库单!$D$4:$D$4003,$A98,出库单!$K$4:$K$4003,"盘亏",出库单!$C$4:$C$4003,"&gt;="&amp;账期起,出库单!$C$4:$C$4003,"&lt;="&amp;账期止)&gt;0,"已调账","※差异还没调账")))</f>
        <v/>
      </c>
      <c r="Q98" s="17" t="n"/>
      <c r="R98" s="17" t="n"/>
    </row>
    <row r="99">
      <c r="A99" s="24">
        <f>IF(库存台账!$A99="","",库存台账!$A99)</f>
        <v/>
      </c>
      <c r="B99" s="24">
        <f>IF($A99="","",库存台账!$B99)</f>
        <v/>
      </c>
      <c r="C99" s="24">
        <f>IF($A99="","",库存台账!$C99)</f>
        <v/>
      </c>
      <c r="D99" s="24">
        <f>IF($A99="","",库存台账!$D99)</f>
        <v/>
      </c>
      <c r="E99" s="24">
        <f>IF($A99="","",库存台账!$E99)</f>
        <v/>
      </c>
      <c r="F99" s="24">
        <f>IF($A99="","",库存台账!$F99)</f>
        <v/>
      </c>
      <c r="G99" s="17" t="n"/>
      <c r="H99" s="23" t="n"/>
      <c r="I99" s="27">
        <f>IF($A99="","",库存台账!$X99)</f>
        <v/>
      </c>
      <c r="J99" s="27">
        <f>IF(OR($A99="",$H99=""),"",ROUND($H99-$I99,3))</f>
        <v/>
      </c>
      <c r="K99" s="26">
        <f>IF($A99="","",库存台账!$K99)</f>
        <v/>
      </c>
      <c r="L99" s="26">
        <f>IF($J99="","",ROUND($J99*$K99,0))</f>
        <v/>
      </c>
      <c r="M99" s="37">
        <f>IF(OR($J99="",$I99=0),"",ROUND($J99/$I99,4))</f>
        <v/>
      </c>
      <c r="N99" s="17" t="n"/>
      <c r="O99" s="17" t="n"/>
      <c r="P99" s="24">
        <f>IF($J99="","未盘",IF(ROUND($J99,3)=0,"账实相符",IF(COUNTIFS(入库单!$G$4:$G$2503,$A99,入库单!$X$4:$X$2503,"盘盈",入库单!$C$4:$C$2503,"&gt;="&amp;账期起,入库单!$C$4:$C$2503,"&lt;="&amp;账期止)+COUNTIFS(出库单!$D$4:$D$4003,$A99,出库单!$K$4:$K$4003,"盘亏",出库单!$C$4:$C$4003,"&gt;="&amp;账期起,出库单!$C$4:$C$4003,"&lt;="&amp;账期止)&gt;0,"已调账","※差异还没调账")))</f>
        <v/>
      </c>
      <c r="Q99" s="17" t="n"/>
      <c r="R99" s="17" t="n"/>
    </row>
    <row r="100">
      <c r="A100" s="24">
        <f>IF(库存台账!$A100="","",库存台账!$A100)</f>
        <v/>
      </c>
      <c r="B100" s="24">
        <f>IF($A100="","",库存台账!$B100)</f>
        <v/>
      </c>
      <c r="C100" s="24">
        <f>IF($A100="","",库存台账!$C100)</f>
        <v/>
      </c>
      <c r="D100" s="24">
        <f>IF($A100="","",库存台账!$D100)</f>
        <v/>
      </c>
      <c r="E100" s="24">
        <f>IF($A100="","",库存台账!$E100)</f>
        <v/>
      </c>
      <c r="F100" s="24">
        <f>IF($A100="","",库存台账!$F100)</f>
        <v/>
      </c>
      <c r="G100" s="17" t="n"/>
      <c r="H100" s="23" t="n"/>
      <c r="I100" s="27">
        <f>IF($A100="","",库存台账!$X100)</f>
        <v/>
      </c>
      <c r="J100" s="27">
        <f>IF(OR($A100="",$H100=""),"",ROUND($H100-$I100,3))</f>
        <v/>
      </c>
      <c r="K100" s="26">
        <f>IF($A100="","",库存台账!$K100)</f>
        <v/>
      </c>
      <c r="L100" s="26">
        <f>IF($J100="","",ROUND($J100*$K100,0))</f>
        <v/>
      </c>
      <c r="M100" s="37">
        <f>IF(OR($J100="",$I100=0),"",ROUND($J100/$I100,4))</f>
        <v/>
      </c>
      <c r="N100" s="17" t="n"/>
      <c r="O100" s="17" t="n"/>
      <c r="P100" s="24">
        <f>IF($J100="","未盘",IF(ROUND($J100,3)=0,"账实相符",IF(COUNTIFS(入库单!$G$4:$G$2503,$A100,入库单!$X$4:$X$2503,"盘盈",入库单!$C$4:$C$2503,"&gt;="&amp;账期起,入库单!$C$4:$C$2503,"&lt;="&amp;账期止)+COUNTIFS(出库单!$D$4:$D$4003,$A100,出库单!$K$4:$K$4003,"盘亏",出库单!$C$4:$C$4003,"&gt;="&amp;账期起,出库单!$C$4:$C$4003,"&lt;="&amp;账期止)&gt;0,"已调账","※差异还没调账")))</f>
        <v/>
      </c>
      <c r="Q100" s="17" t="n"/>
      <c r="R100" s="17" t="n"/>
    </row>
    <row r="101">
      <c r="A101" s="24">
        <f>IF(库存台账!$A101="","",库存台账!$A101)</f>
        <v/>
      </c>
      <c r="B101" s="24">
        <f>IF($A101="","",库存台账!$B101)</f>
        <v/>
      </c>
      <c r="C101" s="24">
        <f>IF($A101="","",库存台账!$C101)</f>
        <v/>
      </c>
      <c r="D101" s="24">
        <f>IF($A101="","",库存台账!$D101)</f>
        <v/>
      </c>
      <c r="E101" s="24">
        <f>IF($A101="","",库存台账!$E101)</f>
        <v/>
      </c>
      <c r="F101" s="24">
        <f>IF($A101="","",库存台账!$F101)</f>
        <v/>
      </c>
      <c r="G101" s="17" t="n"/>
      <c r="H101" s="23" t="n"/>
      <c r="I101" s="27">
        <f>IF($A101="","",库存台账!$X101)</f>
        <v/>
      </c>
      <c r="J101" s="27">
        <f>IF(OR($A101="",$H101=""),"",ROUND($H101-$I101,3))</f>
        <v/>
      </c>
      <c r="K101" s="26">
        <f>IF($A101="","",库存台账!$K101)</f>
        <v/>
      </c>
      <c r="L101" s="26">
        <f>IF($J101="","",ROUND($J101*$K101,0))</f>
        <v/>
      </c>
      <c r="M101" s="37">
        <f>IF(OR($J101="",$I101=0),"",ROUND($J101/$I101,4))</f>
        <v/>
      </c>
      <c r="N101" s="17" t="n"/>
      <c r="O101" s="17" t="n"/>
      <c r="P101" s="24">
        <f>IF($J101="","未盘",IF(ROUND($J101,3)=0,"账实相符",IF(COUNTIFS(入库单!$G$4:$G$2503,$A101,入库单!$X$4:$X$2503,"盘盈",入库单!$C$4:$C$2503,"&gt;="&amp;账期起,入库单!$C$4:$C$2503,"&lt;="&amp;账期止)+COUNTIFS(出库单!$D$4:$D$4003,$A101,出库单!$K$4:$K$4003,"盘亏",出库单!$C$4:$C$4003,"&gt;="&amp;账期起,出库单!$C$4:$C$4003,"&lt;="&amp;账期止)&gt;0,"已调账","※差异还没调账")))</f>
        <v/>
      </c>
      <c r="Q101" s="17" t="n"/>
      <c r="R101" s="17" t="n"/>
    </row>
    <row r="102">
      <c r="A102" s="24">
        <f>IF(库存台账!$A102="","",库存台账!$A102)</f>
        <v/>
      </c>
      <c r="B102" s="24">
        <f>IF($A102="","",库存台账!$B102)</f>
        <v/>
      </c>
      <c r="C102" s="24">
        <f>IF($A102="","",库存台账!$C102)</f>
        <v/>
      </c>
      <c r="D102" s="24">
        <f>IF($A102="","",库存台账!$D102)</f>
        <v/>
      </c>
      <c r="E102" s="24">
        <f>IF($A102="","",库存台账!$E102)</f>
        <v/>
      </c>
      <c r="F102" s="24">
        <f>IF($A102="","",库存台账!$F102)</f>
        <v/>
      </c>
      <c r="G102" s="17" t="n"/>
      <c r="H102" s="23" t="n"/>
      <c r="I102" s="27">
        <f>IF($A102="","",库存台账!$X102)</f>
        <v/>
      </c>
      <c r="J102" s="27">
        <f>IF(OR($A102="",$H102=""),"",ROUND($H102-$I102,3))</f>
        <v/>
      </c>
      <c r="K102" s="26">
        <f>IF($A102="","",库存台账!$K102)</f>
        <v/>
      </c>
      <c r="L102" s="26">
        <f>IF($J102="","",ROUND($J102*$K102,0))</f>
        <v/>
      </c>
      <c r="M102" s="37">
        <f>IF(OR($J102="",$I102=0),"",ROUND($J102/$I102,4))</f>
        <v/>
      </c>
      <c r="N102" s="17" t="n"/>
      <c r="O102" s="17" t="n"/>
      <c r="P102" s="24">
        <f>IF($J102="","未盘",IF(ROUND($J102,3)=0,"账实相符",IF(COUNTIFS(入库单!$G$4:$G$2503,$A102,入库单!$X$4:$X$2503,"盘盈",入库单!$C$4:$C$2503,"&gt;="&amp;账期起,入库单!$C$4:$C$2503,"&lt;="&amp;账期止)+COUNTIFS(出库单!$D$4:$D$4003,$A102,出库单!$K$4:$K$4003,"盘亏",出库单!$C$4:$C$4003,"&gt;="&amp;账期起,出库单!$C$4:$C$4003,"&lt;="&amp;账期止)&gt;0,"已调账","※差异还没调账")))</f>
        <v/>
      </c>
      <c r="Q102" s="17" t="n"/>
      <c r="R102" s="17" t="n"/>
    </row>
    <row r="103">
      <c r="A103" s="24">
        <f>IF(库存台账!$A103="","",库存台账!$A103)</f>
        <v/>
      </c>
      <c r="B103" s="24">
        <f>IF($A103="","",库存台账!$B103)</f>
        <v/>
      </c>
      <c r="C103" s="24">
        <f>IF($A103="","",库存台账!$C103)</f>
        <v/>
      </c>
      <c r="D103" s="24">
        <f>IF($A103="","",库存台账!$D103)</f>
        <v/>
      </c>
      <c r="E103" s="24">
        <f>IF($A103="","",库存台账!$E103)</f>
        <v/>
      </c>
      <c r="F103" s="24">
        <f>IF($A103="","",库存台账!$F103)</f>
        <v/>
      </c>
      <c r="G103" s="17" t="n"/>
      <c r="H103" s="23" t="n"/>
      <c r="I103" s="27">
        <f>IF($A103="","",库存台账!$X103)</f>
        <v/>
      </c>
      <c r="J103" s="27">
        <f>IF(OR($A103="",$H103=""),"",ROUND($H103-$I103,3))</f>
        <v/>
      </c>
      <c r="K103" s="26">
        <f>IF($A103="","",库存台账!$K103)</f>
        <v/>
      </c>
      <c r="L103" s="26">
        <f>IF($J103="","",ROUND($J103*$K103,0))</f>
        <v/>
      </c>
      <c r="M103" s="37">
        <f>IF(OR($J103="",$I103=0),"",ROUND($J103/$I103,4))</f>
        <v/>
      </c>
      <c r="N103" s="17" t="n"/>
      <c r="O103" s="17" t="n"/>
      <c r="P103" s="24">
        <f>IF($J103="","未盘",IF(ROUND($J103,3)=0,"账实相符",IF(COUNTIFS(入库单!$G$4:$G$2503,$A103,入库单!$X$4:$X$2503,"盘盈",入库单!$C$4:$C$2503,"&gt;="&amp;账期起,入库单!$C$4:$C$2503,"&lt;="&amp;账期止)+COUNTIFS(出库单!$D$4:$D$4003,$A103,出库单!$K$4:$K$4003,"盘亏",出库单!$C$4:$C$4003,"&gt;="&amp;账期起,出库单!$C$4:$C$4003,"&lt;="&amp;账期止)&gt;0,"已调账","※差异还没调账")))</f>
        <v/>
      </c>
      <c r="Q103" s="17" t="n"/>
      <c r="R103" s="17" t="n"/>
    </row>
    <row r="104">
      <c r="A104" s="24">
        <f>IF(库存台账!$A104="","",库存台账!$A104)</f>
        <v/>
      </c>
      <c r="B104" s="24">
        <f>IF($A104="","",库存台账!$B104)</f>
        <v/>
      </c>
      <c r="C104" s="24">
        <f>IF($A104="","",库存台账!$C104)</f>
        <v/>
      </c>
      <c r="D104" s="24">
        <f>IF($A104="","",库存台账!$D104)</f>
        <v/>
      </c>
      <c r="E104" s="24">
        <f>IF($A104="","",库存台账!$E104)</f>
        <v/>
      </c>
      <c r="F104" s="24">
        <f>IF($A104="","",库存台账!$F104)</f>
        <v/>
      </c>
      <c r="G104" s="17" t="n"/>
      <c r="H104" s="23" t="n"/>
      <c r="I104" s="27">
        <f>IF($A104="","",库存台账!$X104)</f>
        <v/>
      </c>
      <c r="J104" s="27">
        <f>IF(OR($A104="",$H104=""),"",ROUND($H104-$I104,3))</f>
        <v/>
      </c>
      <c r="K104" s="26">
        <f>IF($A104="","",库存台账!$K104)</f>
        <v/>
      </c>
      <c r="L104" s="26">
        <f>IF($J104="","",ROUND($J104*$K104,0))</f>
        <v/>
      </c>
      <c r="M104" s="37">
        <f>IF(OR($J104="",$I104=0),"",ROUND($J104/$I104,4))</f>
        <v/>
      </c>
      <c r="N104" s="17" t="n"/>
      <c r="O104" s="17" t="n"/>
      <c r="P104" s="24">
        <f>IF($J104="","未盘",IF(ROUND($J104,3)=0,"账实相符",IF(COUNTIFS(入库单!$G$4:$G$2503,$A104,入库单!$X$4:$X$2503,"盘盈",入库单!$C$4:$C$2503,"&gt;="&amp;账期起,入库单!$C$4:$C$2503,"&lt;="&amp;账期止)+COUNTIFS(出库单!$D$4:$D$4003,$A104,出库单!$K$4:$K$4003,"盘亏",出库单!$C$4:$C$4003,"&gt;="&amp;账期起,出库单!$C$4:$C$4003,"&lt;="&amp;账期止)&gt;0,"已调账","※差异还没调账")))</f>
        <v/>
      </c>
      <c r="Q104" s="17" t="n"/>
      <c r="R104" s="17" t="n"/>
    </row>
    <row r="105">
      <c r="A105" s="24">
        <f>IF(库存台账!$A105="","",库存台账!$A105)</f>
        <v/>
      </c>
      <c r="B105" s="24">
        <f>IF($A105="","",库存台账!$B105)</f>
        <v/>
      </c>
      <c r="C105" s="24">
        <f>IF($A105="","",库存台账!$C105)</f>
        <v/>
      </c>
      <c r="D105" s="24">
        <f>IF($A105="","",库存台账!$D105)</f>
        <v/>
      </c>
      <c r="E105" s="24">
        <f>IF($A105="","",库存台账!$E105)</f>
        <v/>
      </c>
      <c r="F105" s="24">
        <f>IF($A105="","",库存台账!$F105)</f>
        <v/>
      </c>
      <c r="G105" s="17" t="n"/>
      <c r="H105" s="23" t="n"/>
      <c r="I105" s="27">
        <f>IF($A105="","",库存台账!$X105)</f>
        <v/>
      </c>
      <c r="J105" s="27">
        <f>IF(OR($A105="",$H105=""),"",ROUND($H105-$I105,3))</f>
        <v/>
      </c>
      <c r="K105" s="26">
        <f>IF($A105="","",库存台账!$K105)</f>
        <v/>
      </c>
      <c r="L105" s="26">
        <f>IF($J105="","",ROUND($J105*$K105,0))</f>
        <v/>
      </c>
      <c r="M105" s="37">
        <f>IF(OR($J105="",$I105=0),"",ROUND($J105/$I105,4))</f>
        <v/>
      </c>
      <c r="N105" s="17" t="n"/>
      <c r="O105" s="17" t="n"/>
      <c r="P105" s="24">
        <f>IF($J105="","未盘",IF(ROUND($J105,3)=0,"账实相符",IF(COUNTIFS(入库单!$G$4:$G$2503,$A105,入库单!$X$4:$X$2503,"盘盈",入库单!$C$4:$C$2503,"&gt;="&amp;账期起,入库单!$C$4:$C$2503,"&lt;="&amp;账期止)+COUNTIFS(出库单!$D$4:$D$4003,$A105,出库单!$K$4:$K$4003,"盘亏",出库单!$C$4:$C$4003,"&gt;="&amp;账期起,出库单!$C$4:$C$4003,"&lt;="&amp;账期止)&gt;0,"已调账","※差异还没调账")))</f>
        <v/>
      </c>
      <c r="Q105" s="17" t="n"/>
      <c r="R105" s="17" t="n"/>
    </row>
    <row r="106">
      <c r="A106" s="24">
        <f>IF(库存台账!$A106="","",库存台账!$A106)</f>
        <v/>
      </c>
      <c r="B106" s="24">
        <f>IF($A106="","",库存台账!$B106)</f>
        <v/>
      </c>
      <c r="C106" s="24">
        <f>IF($A106="","",库存台账!$C106)</f>
        <v/>
      </c>
      <c r="D106" s="24">
        <f>IF($A106="","",库存台账!$D106)</f>
        <v/>
      </c>
      <c r="E106" s="24">
        <f>IF($A106="","",库存台账!$E106)</f>
        <v/>
      </c>
      <c r="F106" s="24">
        <f>IF($A106="","",库存台账!$F106)</f>
        <v/>
      </c>
      <c r="G106" s="17" t="n"/>
      <c r="H106" s="23" t="n"/>
      <c r="I106" s="27">
        <f>IF($A106="","",库存台账!$X106)</f>
        <v/>
      </c>
      <c r="J106" s="27">
        <f>IF(OR($A106="",$H106=""),"",ROUND($H106-$I106,3))</f>
        <v/>
      </c>
      <c r="K106" s="26">
        <f>IF($A106="","",库存台账!$K106)</f>
        <v/>
      </c>
      <c r="L106" s="26">
        <f>IF($J106="","",ROUND($J106*$K106,0))</f>
        <v/>
      </c>
      <c r="M106" s="37">
        <f>IF(OR($J106="",$I106=0),"",ROUND($J106/$I106,4))</f>
        <v/>
      </c>
      <c r="N106" s="17" t="n"/>
      <c r="O106" s="17" t="n"/>
      <c r="P106" s="24">
        <f>IF($J106="","未盘",IF(ROUND($J106,3)=0,"账实相符",IF(COUNTIFS(入库单!$G$4:$G$2503,$A106,入库单!$X$4:$X$2503,"盘盈",入库单!$C$4:$C$2503,"&gt;="&amp;账期起,入库单!$C$4:$C$2503,"&lt;="&amp;账期止)+COUNTIFS(出库单!$D$4:$D$4003,$A106,出库单!$K$4:$K$4003,"盘亏",出库单!$C$4:$C$4003,"&gt;="&amp;账期起,出库单!$C$4:$C$4003,"&lt;="&amp;账期止)&gt;0,"已调账","※差异还没调账")))</f>
        <v/>
      </c>
      <c r="Q106" s="17" t="n"/>
      <c r="R106" s="17" t="n"/>
    </row>
    <row r="107">
      <c r="A107" s="24">
        <f>IF(库存台账!$A107="","",库存台账!$A107)</f>
        <v/>
      </c>
      <c r="B107" s="24">
        <f>IF($A107="","",库存台账!$B107)</f>
        <v/>
      </c>
      <c r="C107" s="24">
        <f>IF($A107="","",库存台账!$C107)</f>
        <v/>
      </c>
      <c r="D107" s="24">
        <f>IF($A107="","",库存台账!$D107)</f>
        <v/>
      </c>
      <c r="E107" s="24">
        <f>IF($A107="","",库存台账!$E107)</f>
        <v/>
      </c>
      <c r="F107" s="24">
        <f>IF($A107="","",库存台账!$F107)</f>
        <v/>
      </c>
      <c r="G107" s="17" t="n"/>
      <c r="H107" s="23" t="n"/>
      <c r="I107" s="27">
        <f>IF($A107="","",库存台账!$X107)</f>
        <v/>
      </c>
      <c r="J107" s="27">
        <f>IF(OR($A107="",$H107=""),"",ROUND($H107-$I107,3))</f>
        <v/>
      </c>
      <c r="K107" s="26">
        <f>IF($A107="","",库存台账!$K107)</f>
        <v/>
      </c>
      <c r="L107" s="26">
        <f>IF($J107="","",ROUND($J107*$K107,0))</f>
        <v/>
      </c>
      <c r="M107" s="37">
        <f>IF(OR($J107="",$I107=0),"",ROUND($J107/$I107,4))</f>
        <v/>
      </c>
      <c r="N107" s="17" t="n"/>
      <c r="O107" s="17" t="n"/>
      <c r="P107" s="24">
        <f>IF($J107="","未盘",IF(ROUND($J107,3)=0,"账实相符",IF(COUNTIFS(入库单!$G$4:$G$2503,$A107,入库单!$X$4:$X$2503,"盘盈",入库单!$C$4:$C$2503,"&gt;="&amp;账期起,入库单!$C$4:$C$2503,"&lt;="&amp;账期止)+COUNTIFS(出库单!$D$4:$D$4003,$A107,出库单!$K$4:$K$4003,"盘亏",出库单!$C$4:$C$4003,"&gt;="&amp;账期起,出库单!$C$4:$C$4003,"&lt;="&amp;账期止)&gt;0,"已调账","※差异还没调账")))</f>
        <v/>
      </c>
      <c r="Q107" s="17" t="n"/>
      <c r="R107" s="17" t="n"/>
    </row>
    <row r="108">
      <c r="A108" s="24">
        <f>IF(库存台账!$A108="","",库存台账!$A108)</f>
        <v/>
      </c>
      <c r="B108" s="24">
        <f>IF($A108="","",库存台账!$B108)</f>
        <v/>
      </c>
      <c r="C108" s="24">
        <f>IF($A108="","",库存台账!$C108)</f>
        <v/>
      </c>
      <c r="D108" s="24">
        <f>IF($A108="","",库存台账!$D108)</f>
        <v/>
      </c>
      <c r="E108" s="24">
        <f>IF($A108="","",库存台账!$E108)</f>
        <v/>
      </c>
      <c r="F108" s="24">
        <f>IF($A108="","",库存台账!$F108)</f>
        <v/>
      </c>
      <c r="G108" s="17" t="n"/>
      <c r="H108" s="23" t="n"/>
      <c r="I108" s="27">
        <f>IF($A108="","",库存台账!$X108)</f>
        <v/>
      </c>
      <c r="J108" s="27">
        <f>IF(OR($A108="",$H108=""),"",ROUND($H108-$I108,3))</f>
        <v/>
      </c>
      <c r="K108" s="26">
        <f>IF($A108="","",库存台账!$K108)</f>
        <v/>
      </c>
      <c r="L108" s="26">
        <f>IF($J108="","",ROUND($J108*$K108,0))</f>
        <v/>
      </c>
      <c r="M108" s="37">
        <f>IF(OR($J108="",$I108=0),"",ROUND($J108/$I108,4))</f>
        <v/>
      </c>
      <c r="N108" s="17" t="n"/>
      <c r="O108" s="17" t="n"/>
      <c r="P108" s="24">
        <f>IF($J108="","未盘",IF(ROUND($J108,3)=0,"账实相符",IF(COUNTIFS(入库单!$G$4:$G$2503,$A108,入库单!$X$4:$X$2503,"盘盈",入库单!$C$4:$C$2503,"&gt;="&amp;账期起,入库单!$C$4:$C$2503,"&lt;="&amp;账期止)+COUNTIFS(出库单!$D$4:$D$4003,$A108,出库单!$K$4:$K$4003,"盘亏",出库单!$C$4:$C$4003,"&gt;="&amp;账期起,出库单!$C$4:$C$4003,"&lt;="&amp;账期止)&gt;0,"已调账","※差异还没调账")))</f>
        <v/>
      </c>
      <c r="Q108" s="17" t="n"/>
      <c r="R108" s="17" t="n"/>
    </row>
    <row r="109">
      <c r="A109" s="24">
        <f>IF(库存台账!$A109="","",库存台账!$A109)</f>
        <v/>
      </c>
      <c r="B109" s="24">
        <f>IF($A109="","",库存台账!$B109)</f>
        <v/>
      </c>
      <c r="C109" s="24">
        <f>IF($A109="","",库存台账!$C109)</f>
        <v/>
      </c>
      <c r="D109" s="24">
        <f>IF($A109="","",库存台账!$D109)</f>
        <v/>
      </c>
      <c r="E109" s="24">
        <f>IF($A109="","",库存台账!$E109)</f>
        <v/>
      </c>
      <c r="F109" s="24">
        <f>IF($A109="","",库存台账!$F109)</f>
        <v/>
      </c>
      <c r="G109" s="17" t="n"/>
      <c r="H109" s="23" t="n"/>
      <c r="I109" s="27">
        <f>IF($A109="","",库存台账!$X109)</f>
        <v/>
      </c>
      <c r="J109" s="27">
        <f>IF(OR($A109="",$H109=""),"",ROUND($H109-$I109,3))</f>
        <v/>
      </c>
      <c r="K109" s="26">
        <f>IF($A109="","",库存台账!$K109)</f>
        <v/>
      </c>
      <c r="L109" s="26">
        <f>IF($J109="","",ROUND($J109*$K109,0))</f>
        <v/>
      </c>
      <c r="M109" s="37">
        <f>IF(OR($J109="",$I109=0),"",ROUND($J109/$I109,4))</f>
        <v/>
      </c>
      <c r="N109" s="17" t="n"/>
      <c r="O109" s="17" t="n"/>
      <c r="P109" s="24">
        <f>IF($J109="","未盘",IF(ROUND($J109,3)=0,"账实相符",IF(COUNTIFS(入库单!$G$4:$G$2503,$A109,入库单!$X$4:$X$2503,"盘盈",入库单!$C$4:$C$2503,"&gt;="&amp;账期起,入库单!$C$4:$C$2503,"&lt;="&amp;账期止)+COUNTIFS(出库单!$D$4:$D$4003,$A109,出库单!$K$4:$K$4003,"盘亏",出库单!$C$4:$C$4003,"&gt;="&amp;账期起,出库单!$C$4:$C$4003,"&lt;="&amp;账期止)&gt;0,"已调账","※差异还没调账")))</f>
        <v/>
      </c>
      <c r="Q109" s="17" t="n"/>
      <c r="R109" s="17" t="n"/>
    </row>
    <row r="110">
      <c r="A110" s="24">
        <f>IF(库存台账!$A110="","",库存台账!$A110)</f>
        <v/>
      </c>
      <c r="B110" s="24">
        <f>IF($A110="","",库存台账!$B110)</f>
        <v/>
      </c>
      <c r="C110" s="24">
        <f>IF($A110="","",库存台账!$C110)</f>
        <v/>
      </c>
      <c r="D110" s="24">
        <f>IF($A110="","",库存台账!$D110)</f>
        <v/>
      </c>
      <c r="E110" s="24">
        <f>IF($A110="","",库存台账!$E110)</f>
        <v/>
      </c>
      <c r="F110" s="24">
        <f>IF($A110="","",库存台账!$F110)</f>
        <v/>
      </c>
      <c r="G110" s="17" t="n"/>
      <c r="H110" s="23" t="n"/>
      <c r="I110" s="27">
        <f>IF($A110="","",库存台账!$X110)</f>
        <v/>
      </c>
      <c r="J110" s="27">
        <f>IF(OR($A110="",$H110=""),"",ROUND($H110-$I110,3))</f>
        <v/>
      </c>
      <c r="K110" s="26">
        <f>IF($A110="","",库存台账!$K110)</f>
        <v/>
      </c>
      <c r="L110" s="26">
        <f>IF($J110="","",ROUND($J110*$K110,0))</f>
        <v/>
      </c>
      <c r="M110" s="37">
        <f>IF(OR($J110="",$I110=0),"",ROUND($J110/$I110,4))</f>
        <v/>
      </c>
      <c r="N110" s="17" t="n"/>
      <c r="O110" s="17" t="n"/>
      <c r="P110" s="24">
        <f>IF($J110="","未盘",IF(ROUND($J110,3)=0,"账实相符",IF(COUNTIFS(入库单!$G$4:$G$2503,$A110,入库单!$X$4:$X$2503,"盘盈",入库单!$C$4:$C$2503,"&gt;="&amp;账期起,入库单!$C$4:$C$2503,"&lt;="&amp;账期止)+COUNTIFS(出库单!$D$4:$D$4003,$A110,出库单!$K$4:$K$4003,"盘亏",出库单!$C$4:$C$4003,"&gt;="&amp;账期起,出库单!$C$4:$C$4003,"&lt;="&amp;账期止)&gt;0,"已调账","※差异还没调账")))</f>
        <v/>
      </c>
      <c r="Q110" s="17" t="n"/>
      <c r="R110" s="17" t="n"/>
    </row>
    <row r="111">
      <c r="A111" s="24">
        <f>IF(库存台账!$A111="","",库存台账!$A111)</f>
        <v/>
      </c>
      <c r="B111" s="24">
        <f>IF($A111="","",库存台账!$B111)</f>
        <v/>
      </c>
      <c r="C111" s="24">
        <f>IF($A111="","",库存台账!$C111)</f>
        <v/>
      </c>
      <c r="D111" s="24">
        <f>IF($A111="","",库存台账!$D111)</f>
        <v/>
      </c>
      <c r="E111" s="24">
        <f>IF($A111="","",库存台账!$E111)</f>
        <v/>
      </c>
      <c r="F111" s="24">
        <f>IF($A111="","",库存台账!$F111)</f>
        <v/>
      </c>
      <c r="G111" s="17" t="n"/>
      <c r="H111" s="23" t="n"/>
      <c r="I111" s="27">
        <f>IF($A111="","",库存台账!$X111)</f>
        <v/>
      </c>
      <c r="J111" s="27">
        <f>IF(OR($A111="",$H111=""),"",ROUND($H111-$I111,3))</f>
        <v/>
      </c>
      <c r="K111" s="26">
        <f>IF($A111="","",库存台账!$K111)</f>
        <v/>
      </c>
      <c r="L111" s="26">
        <f>IF($J111="","",ROUND($J111*$K111,0))</f>
        <v/>
      </c>
      <c r="M111" s="37">
        <f>IF(OR($J111="",$I111=0),"",ROUND($J111/$I111,4))</f>
        <v/>
      </c>
      <c r="N111" s="17" t="n"/>
      <c r="O111" s="17" t="n"/>
      <c r="P111" s="24">
        <f>IF($J111="","未盘",IF(ROUND($J111,3)=0,"账实相符",IF(COUNTIFS(入库单!$G$4:$G$2503,$A111,入库单!$X$4:$X$2503,"盘盈",入库单!$C$4:$C$2503,"&gt;="&amp;账期起,入库单!$C$4:$C$2503,"&lt;="&amp;账期止)+COUNTIFS(出库单!$D$4:$D$4003,$A111,出库单!$K$4:$K$4003,"盘亏",出库单!$C$4:$C$4003,"&gt;="&amp;账期起,出库单!$C$4:$C$4003,"&lt;="&amp;账期止)&gt;0,"已调账","※差异还没调账")))</f>
        <v/>
      </c>
      <c r="Q111" s="17" t="n"/>
      <c r="R111" s="17" t="n"/>
    </row>
    <row r="112">
      <c r="A112" s="24">
        <f>IF(库存台账!$A112="","",库存台账!$A112)</f>
        <v/>
      </c>
      <c r="B112" s="24">
        <f>IF($A112="","",库存台账!$B112)</f>
        <v/>
      </c>
      <c r="C112" s="24">
        <f>IF($A112="","",库存台账!$C112)</f>
        <v/>
      </c>
      <c r="D112" s="24">
        <f>IF($A112="","",库存台账!$D112)</f>
        <v/>
      </c>
      <c r="E112" s="24">
        <f>IF($A112="","",库存台账!$E112)</f>
        <v/>
      </c>
      <c r="F112" s="24">
        <f>IF($A112="","",库存台账!$F112)</f>
        <v/>
      </c>
      <c r="G112" s="17" t="n"/>
      <c r="H112" s="23" t="n"/>
      <c r="I112" s="27">
        <f>IF($A112="","",库存台账!$X112)</f>
        <v/>
      </c>
      <c r="J112" s="27">
        <f>IF(OR($A112="",$H112=""),"",ROUND($H112-$I112,3))</f>
        <v/>
      </c>
      <c r="K112" s="26">
        <f>IF($A112="","",库存台账!$K112)</f>
        <v/>
      </c>
      <c r="L112" s="26">
        <f>IF($J112="","",ROUND($J112*$K112,0))</f>
        <v/>
      </c>
      <c r="M112" s="37">
        <f>IF(OR($J112="",$I112=0),"",ROUND($J112/$I112,4))</f>
        <v/>
      </c>
      <c r="N112" s="17" t="n"/>
      <c r="O112" s="17" t="n"/>
      <c r="P112" s="24">
        <f>IF($J112="","未盘",IF(ROUND($J112,3)=0,"账实相符",IF(COUNTIFS(入库单!$G$4:$G$2503,$A112,入库单!$X$4:$X$2503,"盘盈",入库单!$C$4:$C$2503,"&gt;="&amp;账期起,入库单!$C$4:$C$2503,"&lt;="&amp;账期止)+COUNTIFS(出库单!$D$4:$D$4003,$A112,出库单!$K$4:$K$4003,"盘亏",出库单!$C$4:$C$4003,"&gt;="&amp;账期起,出库单!$C$4:$C$4003,"&lt;="&amp;账期止)&gt;0,"已调账","※差异还没调账")))</f>
        <v/>
      </c>
      <c r="Q112" s="17" t="n"/>
      <c r="R112" s="17" t="n"/>
    </row>
    <row r="113">
      <c r="A113" s="24">
        <f>IF(库存台账!$A113="","",库存台账!$A113)</f>
        <v/>
      </c>
      <c r="B113" s="24">
        <f>IF($A113="","",库存台账!$B113)</f>
        <v/>
      </c>
      <c r="C113" s="24">
        <f>IF($A113="","",库存台账!$C113)</f>
        <v/>
      </c>
      <c r="D113" s="24">
        <f>IF($A113="","",库存台账!$D113)</f>
        <v/>
      </c>
      <c r="E113" s="24">
        <f>IF($A113="","",库存台账!$E113)</f>
        <v/>
      </c>
      <c r="F113" s="24">
        <f>IF($A113="","",库存台账!$F113)</f>
        <v/>
      </c>
      <c r="G113" s="17" t="n"/>
      <c r="H113" s="23" t="n"/>
      <c r="I113" s="27">
        <f>IF($A113="","",库存台账!$X113)</f>
        <v/>
      </c>
      <c r="J113" s="27">
        <f>IF(OR($A113="",$H113=""),"",ROUND($H113-$I113,3))</f>
        <v/>
      </c>
      <c r="K113" s="26">
        <f>IF($A113="","",库存台账!$K113)</f>
        <v/>
      </c>
      <c r="L113" s="26">
        <f>IF($J113="","",ROUND($J113*$K113,0))</f>
        <v/>
      </c>
      <c r="M113" s="37">
        <f>IF(OR($J113="",$I113=0),"",ROUND($J113/$I113,4))</f>
        <v/>
      </c>
      <c r="N113" s="17" t="n"/>
      <c r="O113" s="17" t="n"/>
      <c r="P113" s="24">
        <f>IF($J113="","未盘",IF(ROUND($J113,3)=0,"账实相符",IF(COUNTIFS(入库单!$G$4:$G$2503,$A113,入库单!$X$4:$X$2503,"盘盈",入库单!$C$4:$C$2503,"&gt;="&amp;账期起,入库单!$C$4:$C$2503,"&lt;="&amp;账期止)+COUNTIFS(出库单!$D$4:$D$4003,$A113,出库单!$K$4:$K$4003,"盘亏",出库单!$C$4:$C$4003,"&gt;="&amp;账期起,出库单!$C$4:$C$4003,"&lt;="&amp;账期止)&gt;0,"已调账","※差异还没调账")))</f>
        <v/>
      </c>
      <c r="Q113" s="17" t="n"/>
      <c r="R113" s="17" t="n"/>
    </row>
    <row r="114">
      <c r="A114" s="24">
        <f>IF(库存台账!$A114="","",库存台账!$A114)</f>
        <v/>
      </c>
      <c r="B114" s="24">
        <f>IF($A114="","",库存台账!$B114)</f>
        <v/>
      </c>
      <c r="C114" s="24">
        <f>IF($A114="","",库存台账!$C114)</f>
        <v/>
      </c>
      <c r="D114" s="24">
        <f>IF($A114="","",库存台账!$D114)</f>
        <v/>
      </c>
      <c r="E114" s="24">
        <f>IF($A114="","",库存台账!$E114)</f>
        <v/>
      </c>
      <c r="F114" s="24">
        <f>IF($A114="","",库存台账!$F114)</f>
        <v/>
      </c>
      <c r="G114" s="17" t="n"/>
      <c r="H114" s="23" t="n"/>
      <c r="I114" s="27">
        <f>IF($A114="","",库存台账!$X114)</f>
        <v/>
      </c>
      <c r="J114" s="27">
        <f>IF(OR($A114="",$H114=""),"",ROUND($H114-$I114,3))</f>
        <v/>
      </c>
      <c r="K114" s="26">
        <f>IF($A114="","",库存台账!$K114)</f>
        <v/>
      </c>
      <c r="L114" s="26">
        <f>IF($J114="","",ROUND($J114*$K114,0))</f>
        <v/>
      </c>
      <c r="M114" s="37">
        <f>IF(OR($J114="",$I114=0),"",ROUND($J114/$I114,4))</f>
        <v/>
      </c>
      <c r="N114" s="17" t="n"/>
      <c r="O114" s="17" t="n"/>
      <c r="P114" s="24">
        <f>IF($J114="","未盘",IF(ROUND($J114,3)=0,"账实相符",IF(COUNTIFS(入库单!$G$4:$G$2503,$A114,入库单!$X$4:$X$2503,"盘盈",入库单!$C$4:$C$2503,"&gt;="&amp;账期起,入库单!$C$4:$C$2503,"&lt;="&amp;账期止)+COUNTIFS(出库单!$D$4:$D$4003,$A114,出库单!$K$4:$K$4003,"盘亏",出库单!$C$4:$C$4003,"&gt;="&amp;账期起,出库单!$C$4:$C$4003,"&lt;="&amp;账期止)&gt;0,"已调账","※差异还没调账")))</f>
        <v/>
      </c>
      <c r="Q114" s="17" t="n"/>
      <c r="R114" s="17" t="n"/>
    </row>
    <row r="115">
      <c r="A115" s="24">
        <f>IF(库存台账!$A115="","",库存台账!$A115)</f>
        <v/>
      </c>
      <c r="B115" s="24">
        <f>IF($A115="","",库存台账!$B115)</f>
        <v/>
      </c>
      <c r="C115" s="24">
        <f>IF($A115="","",库存台账!$C115)</f>
        <v/>
      </c>
      <c r="D115" s="24">
        <f>IF($A115="","",库存台账!$D115)</f>
        <v/>
      </c>
      <c r="E115" s="24">
        <f>IF($A115="","",库存台账!$E115)</f>
        <v/>
      </c>
      <c r="F115" s="24">
        <f>IF($A115="","",库存台账!$F115)</f>
        <v/>
      </c>
      <c r="G115" s="17" t="n"/>
      <c r="H115" s="23" t="n"/>
      <c r="I115" s="27">
        <f>IF($A115="","",库存台账!$X115)</f>
        <v/>
      </c>
      <c r="J115" s="27">
        <f>IF(OR($A115="",$H115=""),"",ROUND($H115-$I115,3))</f>
        <v/>
      </c>
      <c r="K115" s="26">
        <f>IF($A115="","",库存台账!$K115)</f>
        <v/>
      </c>
      <c r="L115" s="26">
        <f>IF($J115="","",ROUND($J115*$K115,0))</f>
        <v/>
      </c>
      <c r="M115" s="37">
        <f>IF(OR($J115="",$I115=0),"",ROUND($J115/$I115,4))</f>
        <v/>
      </c>
      <c r="N115" s="17" t="n"/>
      <c r="O115" s="17" t="n"/>
      <c r="P115" s="24">
        <f>IF($J115="","未盘",IF(ROUND($J115,3)=0,"账实相符",IF(COUNTIFS(入库单!$G$4:$G$2503,$A115,入库单!$X$4:$X$2503,"盘盈",入库单!$C$4:$C$2503,"&gt;="&amp;账期起,入库单!$C$4:$C$2503,"&lt;="&amp;账期止)+COUNTIFS(出库单!$D$4:$D$4003,$A115,出库单!$K$4:$K$4003,"盘亏",出库单!$C$4:$C$4003,"&gt;="&amp;账期起,出库单!$C$4:$C$4003,"&lt;="&amp;账期止)&gt;0,"已调账","※差异还没调账")))</f>
        <v/>
      </c>
      <c r="Q115" s="17" t="n"/>
      <c r="R115" s="17" t="n"/>
    </row>
    <row r="116">
      <c r="A116" s="24">
        <f>IF(库存台账!$A116="","",库存台账!$A116)</f>
        <v/>
      </c>
      <c r="B116" s="24">
        <f>IF($A116="","",库存台账!$B116)</f>
        <v/>
      </c>
      <c r="C116" s="24">
        <f>IF($A116="","",库存台账!$C116)</f>
        <v/>
      </c>
      <c r="D116" s="24">
        <f>IF($A116="","",库存台账!$D116)</f>
        <v/>
      </c>
      <c r="E116" s="24">
        <f>IF($A116="","",库存台账!$E116)</f>
        <v/>
      </c>
      <c r="F116" s="24">
        <f>IF($A116="","",库存台账!$F116)</f>
        <v/>
      </c>
      <c r="G116" s="17" t="n"/>
      <c r="H116" s="23" t="n"/>
      <c r="I116" s="27">
        <f>IF($A116="","",库存台账!$X116)</f>
        <v/>
      </c>
      <c r="J116" s="27">
        <f>IF(OR($A116="",$H116=""),"",ROUND($H116-$I116,3))</f>
        <v/>
      </c>
      <c r="K116" s="26">
        <f>IF($A116="","",库存台账!$K116)</f>
        <v/>
      </c>
      <c r="L116" s="26">
        <f>IF($J116="","",ROUND($J116*$K116,0))</f>
        <v/>
      </c>
      <c r="M116" s="37">
        <f>IF(OR($J116="",$I116=0),"",ROUND($J116/$I116,4))</f>
        <v/>
      </c>
      <c r="N116" s="17" t="n"/>
      <c r="O116" s="17" t="n"/>
      <c r="P116" s="24">
        <f>IF($J116="","未盘",IF(ROUND($J116,3)=0,"账实相符",IF(COUNTIFS(入库单!$G$4:$G$2503,$A116,入库单!$X$4:$X$2503,"盘盈",入库单!$C$4:$C$2503,"&gt;="&amp;账期起,入库单!$C$4:$C$2503,"&lt;="&amp;账期止)+COUNTIFS(出库单!$D$4:$D$4003,$A116,出库单!$K$4:$K$4003,"盘亏",出库单!$C$4:$C$4003,"&gt;="&amp;账期起,出库单!$C$4:$C$4003,"&lt;="&amp;账期止)&gt;0,"已调账","※差异还没调账")))</f>
        <v/>
      </c>
      <c r="Q116" s="17" t="n"/>
      <c r="R116" s="17" t="n"/>
    </row>
    <row r="117">
      <c r="A117" s="24">
        <f>IF(库存台账!$A117="","",库存台账!$A117)</f>
        <v/>
      </c>
      <c r="B117" s="24">
        <f>IF($A117="","",库存台账!$B117)</f>
        <v/>
      </c>
      <c r="C117" s="24">
        <f>IF($A117="","",库存台账!$C117)</f>
        <v/>
      </c>
      <c r="D117" s="24">
        <f>IF($A117="","",库存台账!$D117)</f>
        <v/>
      </c>
      <c r="E117" s="24">
        <f>IF($A117="","",库存台账!$E117)</f>
        <v/>
      </c>
      <c r="F117" s="24">
        <f>IF($A117="","",库存台账!$F117)</f>
        <v/>
      </c>
      <c r="G117" s="17" t="n"/>
      <c r="H117" s="23" t="n"/>
      <c r="I117" s="27">
        <f>IF($A117="","",库存台账!$X117)</f>
        <v/>
      </c>
      <c r="J117" s="27">
        <f>IF(OR($A117="",$H117=""),"",ROUND($H117-$I117,3))</f>
        <v/>
      </c>
      <c r="K117" s="26">
        <f>IF($A117="","",库存台账!$K117)</f>
        <v/>
      </c>
      <c r="L117" s="26">
        <f>IF($J117="","",ROUND($J117*$K117,0))</f>
        <v/>
      </c>
      <c r="M117" s="37">
        <f>IF(OR($J117="",$I117=0),"",ROUND($J117/$I117,4))</f>
        <v/>
      </c>
      <c r="N117" s="17" t="n"/>
      <c r="O117" s="17" t="n"/>
      <c r="P117" s="24">
        <f>IF($J117="","未盘",IF(ROUND($J117,3)=0,"账实相符",IF(COUNTIFS(入库单!$G$4:$G$2503,$A117,入库单!$X$4:$X$2503,"盘盈",入库单!$C$4:$C$2503,"&gt;="&amp;账期起,入库单!$C$4:$C$2503,"&lt;="&amp;账期止)+COUNTIFS(出库单!$D$4:$D$4003,$A117,出库单!$K$4:$K$4003,"盘亏",出库单!$C$4:$C$4003,"&gt;="&amp;账期起,出库单!$C$4:$C$4003,"&lt;="&amp;账期止)&gt;0,"已调账","※差异还没调账")))</f>
        <v/>
      </c>
      <c r="Q117" s="17" t="n"/>
      <c r="R117" s="17" t="n"/>
    </row>
    <row r="118">
      <c r="A118" s="24">
        <f>IF(库存台账!$A118="","",库存台账!$A118)</f>
        <v/>
      </c>
      <c r="B118" s="24">
        <f>IF($A118="","",库存台账!$B118)</f>
        <v/>
      </c>
      <c r="C118" s="24">
        <f>IF($A118="","",库存台账!$C118)</f>
        <v/>
      </c>
      <c r="D118" s="24">
        <f>IF($A118="","",库存台账!$D118)</f>
        <v/>
      </c>
      <c r="E118" s="24">
        <f>IF($A118="","",库存台账!$E118)</f>
        <v/>
      </c>
      <c r="F118" s="24">
        <f>IF($A118="","",库存台账!$F118)</f>
        <v/>
      </c>
      <c r="G118" s="17" t="n"/>
      <c r="H118" s="23" t="n"/>
      <c r="I118" s="27">
        <f>IF($A118="","",库存台账!$X118)</f>
        <v/>
      </c>
      <c r="J118" s="27">
        <f>IF(OR($A118="",$H118=""),"",ROUND($H118-$I118,3))</f>
        <v/>
      </c>
      <c r="K118" s="26">
        <f>IF($A118="","",库存台账!$K118)</f>
        <v/>
      </c>
      <c r="L118" s="26">
        <f>IF($J118="","",ROUND($J118*$K118,0))</f>
        <v/>
      </c>
      <c r="M118" s="37">
        <f>IF(OR($J118="",$I118=0),"",ROUND($J118/$I118,4))</f>
        <v/>
      </c>
      <c r="N118" s="17" t="n"/>
      <c r="O118" s="17" t="n"/>
      <c r="P118" s="24">
        <f>IF($J118="","未盘",IF(ROUND($J118,3)=0,"账实相符",IF(COUNTIFS(入库单!$G$4:$G$2503,$A118,入库单!$X$4:$X$2503,"盘盈",入库单!$C$4:$C$2503,"&gt;="&amp;账期起,入库单!$C$4:$C$2503,"&lt;="&amp;账期止)+COUNTIFS(出库单!$D$4:$D$4003,$A118,出库单!$K$4:$K$4003,"盘亏",出库单!$C$4:$C$4003,"&gt;="&amp;账期起,出库单!$C$4:$C$4003,"&lt;="&amp;账期止)&gt;0,"已调账","※差异还没调账")))</f>
        <v/>
      </c>
      <c r="Q118" s="17" t="n"/>
      <c r="R118" s="17" t="n"/>
    </row>
    <row r="119">
      <c r="A119" s="24">
        <f>IF(库存台账!$A119="","",库存台账!$A119)</f>
        <v/>
      </c>
      <c r="B119" s="24">
        <f>IF($A119="","",库存台账!$B119)</f>
        <v/>
      </c>
      <c r="C119" s="24">
        <f>IF($A119="","",库存台账!$C119)</f>
        <v/>
      </c>
      <c r="D119" s="24">
        <f>IF($A119="","",库存台账!$D119)</f>
        <v/>
      </c>
      <c r="E119" s="24">
        <f>IF($A119="","",库存台账!$E119)</f>
        <v/>
      </c>
      <c r="F119" s="24">
        <f>IF($A119="","",库存台账!$F119)</f>
        <v/>
      </c>
      <c r="G119" s="17" t="n"/>
      <c r="H119" s="23" t="n"/>
      <c r="I119" s="27">
        <f>IF($A119="","",库存台账!$X119)</f>
        <v/>
      </c>
      <c r="J119" s="27">
        <f>IF(OR($A119="",$H119=""),"",ROUND($H119-$I119,3))</f>
        <v/>
      </c>
      <c r="K119" s="26">
        <f>IF($A119="","",库存台账!$K119)</f>
        <v/>
      </c>
      <c r="L119" s="26">
        <f>IF($J119="","",ROUND($J119*$K119,0))</f>
        <v/>
      </c>
      <c r="M119" s="37">
        <f>IF(OR($J119="",$I119=0),"",ROUND($J119/$I119,4))</f>
        <v/>
      </c>
      <c r="N119" s="17" t="n"/>
      <c r="O119" s="17" t="n"/>
      <c r="P119" s="24">
        <f>IF($J119="","未盘",IF(ROUND($J119,3)=0,"账实相符",IF(COUNTIFS(入库单!$G$4:$G$2503,$A119,入库单!$X$4:$X$2503,"盘盈",入库单!$C$4:$C$2503,"&gt;="&amp;账期起,入库单!$C$4:$C$2503,"&lt;="&amp;账期止)+COUNTIFS(出库单!$D$4:$D$4003,$A119,出库单!$K$4:$K$4003,"盘亏",出库单!$C$4:$C$4003,"&gt;="&amp;账期起,出库单!$C$4:$C$4003,"&lt;="&amp;账期止)&gt;0,"已调账","※差异还没调账")))</f>
        <v/>
      </c>
      <c r="Q119" s="17" t="n"/>
      <c r="R119" s="17" t="n"/>
    </row>
    <row r="120">
      <c r="A120" s="24">
        <f>IF(库存台账!$A120="","",库存台账!$A120)</f>
        <v/>
      </c>
      <c r="B120" s="24">
        <f>IF($A120="","",库存台账!$B120)</f>
        <v/>
      </c>
      <c r="C120" s="24">
        <f>IF($A120="","",库存台账!$C120)</f>
        <v/>
      </c>
      <c r="D120" s="24">
        <f>IF($A120="","",库存台账!$D120)</f>
        <v/>
      </c>
      <c r="E120" s="24">
        <f>IF($A120="","",库存台账!$E120)</f>
        <v/>
      </c>
      <c r="F120" s="24">
        <f>IF($A120="","",库存台账!$F120)</f>
        <v/>
      </c>
      <c r="G120" s="17" t="n"/>
      <c r="H120" s="23" t="n"/>
      <c r="I120" s="27">
        <f>IF($A120="","",库存台账!$X120)</f>
        <v/>
      </c>
      <c r="J120" s="27">
        <f>IF(OR($A120="",$H120=""),"",ROUND($H120-$I120,3))</f>
        <v/>
      </c>
      <c r="K120" s="26">
        <f>IF($A120="","",库存台账!$K120)</f>
        <v/>
      </c>
      <c r="L120" s="26">
        <f>IF($J120="","",ROUND($J120*$K120,0))</f>
        <v/>
      </c>
      <c r="M120" s="37">
        <f>IF(OR($J120="",$I120=0),"",ROUND($J120/$I120,4))</f>
        <v/>
      </c>
      <c r="N120" s="17" t="n"/>
      <c r="O120" s="17" t="n"/>
      <c r="P120" s="24">
        <f>IF($J120="","未盘",IF(ROUND($J120,3)=0,"账实相符",IF(COUNTIFS(入库单!$G$4:$G$2503,$A120,入库单!$X$4:$X$2503,"盘盈",入库单!$C$4:$C$2503,"&gt;="&amp;账期起,入库单!$C$4:$C$2503,"&lt;="&amp;账期止)+COUNTIFS(出库单!$D$4:$D$4003,$A120,出库单!$K$4:$K$4003,"盘亏",出库单!$C$4:$C$4003,"&gt;="&amp;账期起,出库单!$C$4:$C$4003,"&lt;="&amp;账期止)&gt;0,"已调账","※差异还没调账")))</f>
        <v/>
      </c>
      <c r="Q120" s="17" t="n"/>
      <c r="R120" s="17" t="n"/>
    </row>
    <row r="121">
      <c r="A121" s="24">
        <f>IF(库存台账!$A121="","",库存台账!$A121)</f>
        <v/>
      </c>
      <c r="B121" s="24">
        <f>IF($A121="","",库存台账!$B121)</f>
        <v/>
      </c>
      <c r="C121" s="24">
        <f>IF($A121="","",库存台账!$C121)</f>
        <v/>
      </c>
      <c r="D121" s="24">
        <f>IF($A121="","",库存台账!$D121)</f>
        <v/>
      </c>
      <c r="E121" s="24">
        <f>IF($A121="","",库存台账!$E121)</f>
        <v/>
      </c>
      <c r="F121" s="24">
        <f>IF($A121="","",库存台账!$F121)</f>
        <v/>
      </c>
      <c r="G121" s="17" t="n"/>
      <c r="H121" s="23" t="n"/>
      <c r="I121" s="27">
        <f>IF($A121="","",库存台账!$X121)</f>
        <v/>
      </c>
      <c r="J121" s="27">
        <f>IF(OR($A121="",$H121=""),"",ROUND($H121-$I121,3))</f>
        <v/>
      </c>
      <c r="K121" s="26">
        <f>IF($A121="","",库存台账!$K121)</f>
        <v/>
      </c>
      <c r="L121" s="26">
        <f>IF($J121="","",ROUND($J121*$K121,0))</f>
        <v/>
      </c>
      <c r="M121" s="37">
        <f>IF(OR($J121="",$I121=0),"",ROUND($J121/$I121,4))</f>
        <v/>
      </c>
      <c r="N121" s="17" t="n"/>
      <c r="O121" s="17" t="n"/>
      <c r="P121" s="24">
        <f>IF($J121="","未盘",IF(ROUND($J121,3)=0,"账实相符",IF(COUNTIFS(入库单!$G$4:$G$2503,$A121,入库单!$X$4:$X$2503,"盘盈",入库单!$C$4:$C$2503,"&gt;="&amp;账期起,入库单!$C$4:$C$2503,"&lt;="&amp;账期止)+COUNTIFS(出库单!$D$4:$D$4003,$A121,出库单!$K$4:$K$4003,"盘亏",出库单!$C$4:$C$4003,"&gt;="&amp;账期起,出库单!$C$4:$C$4003,"&lt;="&amp;账期止)&gt;0,"已调账","※差异还没调账")))</f>
        <v/>
      </c>
      <c r="Q121" s="17" t="n"/>
      <c r="R121" s="17" t="n"/>
    </row>
    <row r="122">
      <c r="A122" s="24">
        <f>IF(库存台账!$A122="","",库存台账!$A122)</f>
        <v/>
      </c>
      <c r="B122" s="24">
        <f>IF($A122="","",库存台账!$B122)</f>
        <v/>
      </c>
      <c r="C122" s="24">
        <f>IF($A122="","",库存台账!$C122)</f>
        <v/>
      </c>
      <c r="D122" s="24">
        <f>IF($A122="","",库存台账!$D122)</f>
        <v/>
      </c>
      <c r="E122" s="24">
        <f>IF($A122="","",库存台账!$E122)</f>
        <v/>
      </c>
      <c r="F122" s="24">
        <f>IF($A122="","",库存台账!$F122)</f>
        <v/>
      </c>
      <c r="G122" s="17" t="n"/>
      <c r="H122" s="23" t="n"/>
      <c r="I122" s="27">
        <f>IF($A122="","",库存台账!$X122)</f>
        <v/>
      </c>
      <c r="J122" s="27">
        <f>IF(OR($A122="",$H122=""),"",ROUND($H122-$I122,3))</f>
        <v/>
      </c>
      <c r="K122" s="26">
        <f>IF($A122="","",库存台账!$K122)</f>
        <v/>
      </c>
      <c r="L122" s="26">
        <f>IF($J122="","",ROUND($J122*$K122,0))</f>
        <v/>
      </c>
      <c r="M122" s="37">
        <f>IF(OR($J122="",$I122=0),"",ROUND($J122/$I122,4))</f>
        <v/>
      </c>
      <c r="N122" s="17" t="n"/>
      <c r="O122" s="17" t="n"/>
      <c r="P122" s="24">
        <f>IF($J122="","未盘",IF(ROUND($J122,3)=0,"账实相符",IF(COUNTIFS(入库单!$G$4:$G$2503,$A122,入库单!$X$4:$X$2503,"盘盈",入库单!$C$4:$C$2503,"&gt;="&amp;账期起,入库单!$C$4:$C$2503,"&lt;="&amp;账期止)+COUNTIFS(出库单!$D$4:$D$4003,$A122,出库单!$K$4:$K$4003,"盘亏",出库单!$C$4:$C$4003,"&gt;="&amp;账期起,出库单!$C$4:$C$4003,"&lt;="&amp;账期止)&gt;0,"已调账","※差异还没调账")))</f>
        <v/>
      </c>
      <c r="Q122" s="17" t="n"/>
      <c r="R122" s="17" t="n"/>
    </row>
    <row r="123">
      <c r="A123" s="24">
        <f>IF(库存台账!$A123="","",库存台账!$A123)</f>
        <v/>
      </c>
      <c r="B123" s="24">
        <f>IF($A123="","",库存台账!$B123)</f>
        <v/>
      </c>
      <c r="C123" s="24">
        <f>IF($A123="","",库存台账!$C123)</f>
        <v/>
      </c>
      <c r="D123" s="24">
        <f>IF($A123="","",库存台账!$D123)</f>
        <v/>
      </c>
      <c r="E123" s="24">
        <f>IF($A123="","",库存台账!$E123)</f>
        <v/>
      </c>
      <c r="F123" s="24">
        <f>IF($A123="","",库存台账!$F123)</f>
        <v/>
      </c>
      <c r="G123" s="17" t="n"/>
      <c r="H123" s="23" t="n"/>
      <c r="I123" s="27">
        <f>IF($A123="","",库存台账!$X123)</f>
        <v/>
      </c>
      <c r="J123" s="27">
        <f>IF(OR($A123="",$H123=""),"",ROUND($H123-$I123,3))</f>
        <v/>
      </c>
      <c r="K123" s="26">
        <f>IF($A123="","",库存台账!$K123)</f>
        <v/>
      </c>
      <c r="L123" s="26">
        <f>IF($J123="","",ROUND($J123*$K123,0))</f>
        <v/>
      </c>
      <c r="M123" s="37">
        <f>IF(OR($J123="",$I123=0),"",ROUND($J123/$I123,4))</f>
        <v/>
      </c>
      <c r="N123" s="17" t="n"/>
      <c r="O123" s="17" t="n"/>
      <c r="P123" s="24">
        <f>IF($J123="","未盘",IF(ROUND($J123,3)=0,"账实相符",IF(COUNTIFS(入库单!$G$4:$G$2503,$A123,入库单!$X$4:$X$2503,"盘盈",入库单!$C$4:$C$2503,"&gt;="&amp;账期起,入库单!$C$4:$C$2503,"&lt;="&amp;账期止)+COUNTIFS(出库单!$D$4:$D$4003,$A123,出库单!$K$4:$K$4003,"盘亏",出库单!$C$4:$C$4003,"&gt;="&amp;账期起,出库单!$C$4:$C$4003,"&lt;="&amp;账期止)&gt;0,"已调账","※差异还没调账")))</f>
        <v/>
      </c>
      <c r="Q123" s="17" t="n"/>
      <c r="R123" s="17" t="n"/>
    </row>
    <row r="124">
      <c r="A124" s="24">
        <f>IF(库存台账!$A124="","",库存台账!$A124)</f>
        <v/>
      </c>
      <c r="B124" s="24">
        <f>IF($A124="","",库存台账!$B124)</f>
        <v/>
      </c>
      <c r="C124" s="24">
        <f>IF($A124="","",库存台账!$C124)</f>
        <v/>
      </c>
      <c r="D124" s="24">
        <f>IF($A124="","",库存台账!$D124)</f>
        <v/>
      </c>
      <c r="E124" s="24">
        <f>IF($A124="","",库存台账!$E124)</f>
        <v/>
      </c>
      <c r="F124" s="24">
        <f>IF($A124="","",库存台账!$F124)</f>
        <v/>
      </c>
      <c r="G124" s="17" t="n"/>
      <c r="H124" s="23" t="n"/>
      <c r="I124" s="27">
        <f>IF($A124="","",库存台账!$X124)</f>
        <v/>
      </c>
      <c r="J124" s="27">
        <f>IF(OR($A124="",$H124=""),"",ROUND($H124-$I124,3))</f>
        <v/>
      </c>
      <c r="K124" s="26">
        <f>IF($A124="","",库存台账!$K124)</f>
        <v/>
      </c>
      <c r="L124" s="26">
        <f>IF($J124="","",ROUND($J124*$K124,0))</f>
        <v/>
      </c>
      <c r="M124" s="37">
        <f>IF(OR($J124="",$I124=0),"",ROUND($J124/$I124,4))</f>
        <v/>
      </c>
      <c r="N124" s="17" t="n"/>
      <c r="O124" s="17" t="n"/>
      <c r="P124" s="24">
        <f>IF($J124="","未盘",IF(ROUND($J124,3)=0,"账实相符",IF(COUNTIFS(入库单!$G$4:$G$2503,$A124,入库单!$X$4:$X$2503,"盘盈",入库单!$C$4:$C$2503,"&gt;="&amp;账期起,入库单!$C$4:$C$2503,"&lt;="&amp;账期止)+COUNTIFS(出库单!$D$4:$D$4003,$A124,出库单!$K$4:$K$4003,"盘亏",出库单!$C$4:$C$4003,"&gt;="&amp;账期起,出库单!$C$4:$C$4003,"&lt;="&amp;账期止)&gt;0,"已调账","※差异还没调账")))</f>
        <v/>
      </c>
      <c r="Q124" s="17" t="n"/>
      <c r="R124" s="17" t="n"/>
    </row>
    <row r="125">
      <c r="A125" s="24">
        <f>IF(库存台账!$A125="","",库存台账!$A125)</f>
        <v/>
      </c>
      <c r="B125" s="24">
        <f>IF($A125="","",库存台账!$B125)</f>
        <v/>
      </c>
      <c r="C125" s="24">
        <f>IF($A125="","",库存台账!$C125)</f>
        <v/>
      </c>
      <c r="D125" s="24">
        <f>IF($A125="","",库存台账!$D125)</f>
        <v/>
      </c>
      <c r="E125" s="24">
        <f>IF($A125="","",库存台账!$E125)</f>
        <v/>
      </c>
      <c r="F125" s="24">
        <f>IF($A125="","",库存台账!$F125)</f>
        <v/>
      </c>
      <c r="G125" s="17" t="n"/>
      <c r="H125" s="23" t="n"/>
      <c r="I125" s="27">
        <f>IF($A125="","",库存台账!$X125)</f>
        <v/>
      </c>
      <c r="J125" s="27">
        <f>IF(OR($A125="",$H125=""),"",ROUND($H125-$I125,3))</f>
        <v/>
      </c>
      <c r="K125" s="26">
        <f>IF($A125="","",库存台账!$K125)</f>
        <v/>
      </c>
      <c r="L125" s="26">
        <f>IF($J125="","",ROUND($J125*$K125,0))</f>
        <v/>
      </c>
      <c r="M125" s="37">
        <f>IF(OR($J125="",$I125=0),"",ROUND($J125/$I125,4))</f>
        <v/>
      </c>
      <c r="N125" s="17" t="n"/>
      <c r="O125" s="17" t="n"/>
      <c r="P125" s="24">
        <f>IF($J125="","未盘",IF(ROUND($J125,3)=0,"账实相符",IF(COUNTIFS(入库单!$G$4:$G$2503,$A125,入库单!$X$4:$X$2503,"盘盈",入库单!$C$4:$C$2503,"&gt;="&amp;账期起,入库单!$C$4:$C$2503,"&lt;="&amp;账期止)+COUNTIFS(出库单!$D$4:$D$4003,$A125,出库单!$K$4:$K$4003,"盘亏",出库单!$C$4:$C$4003,"&gt;="&amp;账期起,出库单!$C$4:$C$4003,"&lt;="&amp;账期止)&gt;0,"已调账","※差异还没调账")))</f>
        <v/>
      </c>
      <c r="Q125" s="17" t="n"/>
      <c r="R125" s="17" t="n"/>
    </row>
    <row r="126">
      <c r="A126" s="24">
        <f>IF(库存台账!$A126="","",库存台账!$A126)</f>
        <v/>
      </c>
      <c r="B126" s="24">
        <f>IF($A126="","",库存台账!$B126)</f>
        <v/>
      </c>
      <c r="C126" s="24">
        <f>IF($A126="","",库存台账!$C126)</f>
        <v/>
      </c>
      <c r="D126" s="24">
        <f>IF($A126="","",库存台账!$D126)</f>
        <v/>
      </c>
      <c r="E126" s="24">
        <f>IF($A126="","",库存台账!$E126)</f>
        <v/>
      </c>
      <c r="F126" s="24">
        <f>IF($A126="","",库存台账!$F126)</f>
        <v/>
      </c>
      <c r="G126" s="17" t="n"/>
      <c r="H126" s="23" t="n"/>
      <c r="I126" s="27">
        <f>IF($A126="","",库存台账!$X126)</f>
        <v/>
      </c>
      <c r="J126" s="27">
        <f>IF(OR($A126="",$H126=""),"",ROUND($H126-$I126,3))</f>
        <v/>
      </c>
      <c r="K126" s="26">
        <f>IF($A126="","",库存台账!$K126)</f>
        <v/>
      </c>
      <c r="L126" s="26">
        <f>IF($J126="","",ROUND($J126*$K126,0))</f>
        <v/>
      </c>
      <c r="M126" s="37">
        <f>IF(OR($J126="",$I126=0),"",ROUND($J126/$I126,4))</f>
        <v/>
      </c>
      <c r="N126" s="17" t="n"/>
      <c r="O126" s="17" t="n"/>
      <c r="P126" s="24">
        <f>IF($J126="","未盘",IF(ROUND($J126,3)=0,"账实相符",IF(COUNTIFS(入库单!$G$4:$G$2503,$A126,入库单!$X$4:$X$2503,"盘盈",入库单!$C$4:$C$2503,"&gt;="&amp;账期起,入库单!$C$4:$C$2503,"&lt;="&amp;账期止)+COUNTIFS(出库单!$D$4:$D$4003,$A126,出库单!$K$4:$K$4003,"盘亏",出库单!$C$4:$C$4003,"&gt;="&amp;账期起,出库单!$C$4:$C$4003,"&lt;="&amp;账期止)&gt;0,"已调账","※差异还没调账")))</f>
        <v/>
      </c>
      <c r="Q126" s="17" t="n"/>
      <c r="R126" s="17" t="n"/>
    </row>
    <row r="127">
      <c r="A127" s="24">
        <f>IF(库存台账!$A127="","",库存台账!$A127)</f>
        <v/>
      </c>
      <c r="B127" s="24">
        <f>IF($A127="","",库存台账!$B127)</f>
        <v/>
      </c>
      <c r="C127" s="24">
        <f>IF($A127="","",库存台账!$C127)</f>
        <v/>
      </c>
      <c r="D127" s="24">
        <f>IF($A127="","",库存台账!$D127)</f>
        <v/>
      </c>
      <c r="E127" s="24">
        <f>IF($A127="","",库存台账!$E127)</f>
        <v/>
      </c>
      <c r="F127" s="24">
        <f>IF($A127="","",库存台账!$F127)</f>
        <v/>
      </c>
      <c r="G127" s="17" t="n"/>
      <c r="H127" s="23" t="n"/>
      <c r="I127" s="27">
        <f>IF($A127="","",库存台账!$X127)</f>
        <v/>
      </c>
      <c r="J127" s="27">
        <f>IF(OR($A127="",$H127=""),"",ROUND($H127-$I127,3))</f>
        <v/>
      </c>
      <c r="K127" s="26">
        <f>IF($A127="","",库存台账!$K127)</f>
        <v/>
      </c>
      <c r="L127" s="26">
        <f>IF($J127="","",ROUND($J127*$K127,0))</f>
        <v/>
      </c>
      <c r="M127" s="37">
        <f>IF(OR($J127="",$I127=0),"",ROUND($J127/$I127,4))</f>
        <v/>
      </c>
      <c r="N127" s="17" t="n"/>
      <c r="O127" s="17" t="n"/>
      <c r="P127" s="24">
        <f>IF($J127="","未盘",IF(ROUND($J127,3)=0,"账实相符",IF(COUNTIFS(入库单!$G$4:$G$2503,$A127,入库单!$X$4:$X$2503,"盘盈",入库单!$C$4:$C$2503,"&gt;="&amp;账期起,入库单!$C$4:$C$2503,"&lt;="&amp;账期止)+COUNTIFS(出库单!$D$4:$D$4003,$A127,出库单!$K$4:$K$4003,"盘亏",出库单!$C$4:$C$4003,"&gt;="&amp;账期起,出库单!$C$4:$C$4003,"&lt;="&amp;账期止)&gt;0,"已调账","※差异还没调账")))</f>
        <v/>
      </c>
      <c r="Q127" s="17" t="n"/>
      <c r="R127" s="17" t="n"/>
    </row>
    <row r="128">
      <c r="A128" s="24">
        <f>IF(库存台账!$A128="","",库存台账!$A128)</f>
        <v/>
      </c>
      <c r="B128" s="24">
        <f>IF($A128="","",库存台账!$B128)</f>
        <v/>
      </c>
      <c r="C128" s="24">
        <f>IF($A128="","",库存台账!$C128)</f>
        <v/>
      </c>
      <c r="D128" s="24">
        <f>IF($A128="","",库存台账!$D128)</f>
        <v/>
      </c>
      <c r="E128" s="24">
        <f>IF($A128="","",库存台账!$E128)</f>
        <v/>
      </c>
      <c r="F128" s="24">
        <f>IF($A128="","",库存台账!$F128)</f>
        <v/>
      </c>
      <c r="G128" s="17" t="n"/>
      <c r="H128" s="23" t="n"/>
      <c r="I128" s="27">
        <f>IF($A128="","",库存台账!$X128)</f>
        <v/>
      </c>
      <c r="J128" s="27">
        <f>IF(OR($A128="",$H128=""),"",ROUND($H128-$I128,3))</f>
        <v/>
      </c>
      <c r="K128" s="26">
        <f>IF($A128="","",库存台账!$K128)</f>
        <v/>
      </c>
      <c r="L128" s="26">
        <f>IF($J128="","",ROUND($J128*$K128,0))</f>
        <v/>
      </c>
      <c r="M128" s="37">
        <f>IF(OR($J128="",$I128=0),"",ROUND($J128/$I128,4))</f>
        <v/>
      </c>
      <c r="N128" s="17" t="n"/>
      <c r="O128" s="17" t="n"/>
      <c r="P128" s="24">
        <f>IF($J128="","未盘",IF(ROUND($J128,3)=0,"账实相符",IF(COUNTIFS(入库单!$G$4:$G$2503,$A128,入库单!$X$4:$X$2503,"盘盈",入库单!$C$4:$C$2503,"&gt;="&amp;账期起,入库单!$C$4:$C$2503,"&lt;="&amp;账期止)+COUNTIFS(出库单!$D$4:$D$4003,$A128,出库单!$K$4:$K$4003,"盘亏",出库单!$C$4:$C$4003,"&gt;="&amp;账期起,出库单!$C$4:$C$4003,"&lt;="&amp;账期止)&gt;0,"已调账","※差异还没调账")))</f>
        <v/>
      </c>
      <c r="Q128" s="17" t="n"/>
      <c r="R128" s="17" t="n"/>
    </row>
    <row r="129">
      <c r="A129" s="24">
        <f>IF(库存台账!$A129="","",库存台账!$A129)</f>
        <v/>
      </c>
      <c r="B129" s="24">
        <f>IF($A129="","",库存台账!$B129)</f>
        <v/>
      </c>
      <c r="C129" s="24">
        <f>IF($A129="","",库存台账!$C129)</f>
        <v/>
      </c>
      <c r="D129" s="24">
        <f>IF($A129="","",库存台账!$D129)</f>
        <v/>
      </c>
      <c r="E129" s="24">
        <f>IF($A129="","",库存台账!$E129)</f>
        <v/>
      </c>
      <c r="F129" s="24">
        <f>IF($A129="","",库存台账!$F129)</f>
        <v/>
      </c>
      <c r="G129" s="17" t="n"/>
      <c r="H129" s="23" t="n"/>
      <c r="I129" s="27">
        <f>IF($A129="","",库存台账!$X129)</f>
        <v/>
      </c>
      <c r="J129" s="27">
        <f>IF(OR($A129="",$H129=""),"",ROUND($H129-$I129,3))</f>
        <v/>
      </c>
      <c r="K129" s="26">
        <f>IF($A129="","",库存台账!$K129)</f>
        <v/>
      </c>
      <c r="L129" s="26">
        <f>IF($J129="","",ROUND($J129*$K129,0))</f>
        <v/>
      </c>
      <c r="M129" s="37">
        <f>IF(OR($J129="",$I129=0),"",ROUND($J129/$I129,4))</f>
        <v/>
      </c>
      <c r="N129" s="17" t="n"/>
      <c r="O129" s="17" t="n"/>
      <c r="P129" s="24">
        <f>IF($J129="","未盘",IF(ROUND($J129,3)=0,"账实相符",IF(COUNTIFS(入库单!$G$4:$G$2503,$A129,入库单!$X$4:$X$2503,"盘盈",入库单!$C$4:$C$2503,"&gt;="&amp;账期起,入库单!$C$4:$C$2503,"&lt;="&amp;账期止)+COUNTIFS(出库单!$D$4:$D$4003,$A129,出库单!$K$4:$K$4003,"盘亏",出库单!$C$4:$C$4003,"&gt;="&amp;账期起,出库单!$C$4:$C$4003,"&lt;="&amp;账期止)&gt;0,"已调账","※差异还没调账")))</f>
        <v/>
      </c>
      <c r="Q129" s="17" t="n"/>
      <c r="R129" s="17" t="n"/>
    </row>
    <row r="130">
      <c r="A130" s="24">
        <f>IF(库存台账!$A130="","",库存台账!$A130)</f>
        <v/>
      </c>
      <c r="B130" s="24">
        <f>IF($A130="","",库存台账!$B130)</f>
        <v/>
      </c>
      <c r="C130" s="24">
        <f>IF($A130="","",库存台账!$C130)</f>
        <v/>
      </c>
      <c r="D130" s="24">
        <f>IF($A130="","",库存台账!$D130)</f>
        <v/>
      </c>
      <c r="E130" s="24">
        <f>IF($A130="","",库存台账!$E130)</f>
        <v/>
      </c>
      <c r="F130" s="24">
        <f>IF($A130="","",库存台账!$F130)</f>
        <v/>
      </c>
      <c r="G130" s="17" t="n"/>
      <c r="H130" s="23" t="n"/>
      <c r="I130" s="27">
        <f>IF($A130="","",库存台账!$X130)</f>
        <v/>
      </c>
      <c r="J130" s="27">
        <f>IF(OR($A130="",$H130=""),"",ROUND($H130-$I130,3))</f>
        <v/>
      </c>
      <c r="K130" s="26">
        <f>IF($A130="","",库存台账!$K130)</f>
        <v/>
      </c>
      <c r="L130" s="26">
        <f>IF($J130="","",ROUND($J130*$K130,0))</f>
        <v/>
      </c>
      <c r="M130" s="37">
        <f>IF(OR($J130="",$I130=0),"",ROUND($J130/$I130,4))</f>
        <v/>
      </c>
      <c r="N130" s="17" t="n"/>
      <c r="O130" s="17" t="n"/>
      <c r="P130" s="24">
        <f>IF($J130="","未盘",IF(ROUND($J130,3)=0,"账实相符",IF(COUNTIFS(入库单!$G$4:$G$2503,$A130,入库单!$X$4:$X$2503,"盘盈",入库单!$C$4:$C$2503,"&gt;="&amp;账期起,入库单!$C$4:$C$2503,"&lt;="&amp;账期止)+COUNTIFS(出库单!$D$4:$D$4003,$A130,出库单!$K$4:$K$4003,"盘亏",出库单!$C$4:$C$4003,"&gt;="&amp;账期起,出库单!$C$4:$C$4003,"&lt;="&amp;账期止)&gt;0,"已调账","※差异还没调账")))</f>
        <v/>
      </c>
      <c r="Q130" s="17" t="n"/>
      <c r="R130" s="17" t="n"/>
    </row>
    <row r="131">
      <c r="A131" s="24">
        <f>IF(库存台账!$A131="","",库存台账!$A131)</f>
        <v/>
      </c>
      <c r="B131" s="24">
        <f>IF($A131="","",库存台账!$B131)</f>
        <v/>
      </c>
      <c r="C131" s="24">
        <f>IF($A131="","",库存台账!$C131)</f>
        <v/>
      </c>
      <c r="D131" s="24">
        <f>IF($A131="","",库存台账!$D131)</f>
        <v/>
      </c>
      <c r="E131" s="24">
        <f>IF($A131="","",库存台账!$E131)</f>
        <v/>
      </c>
      <c r="F131" s="24">
        <f>IF($A131="","",库存台账!$F131)</f>
        <v/>
      </c>
      <c r="G131" s="17" t="n"/>
      <c r="H131" s="23" t="n"/>
      <c r="I131" s="27">
        <f>IF($A131="","",库存台账!$X131)</f>
        <v/>
      </c>
      <c r="J131" s="27">
        <f>IF(OR($A131="",$H131=""),"",ROUND($H131-$I131,3))</f>
        <v/>
      </c>
      <c r="K131" s="26">
        <f>IF($A131="","",库存台账!$K131)</f>
        <v/>
      </c>
      <c r="L131" s="26">
        <f>IF($J131="","",ROUND($J131*$K131,0))</f>
        <v/>
      </c>
      <c r="M131" s="37">
        <f>IF(OR($J131="",$I131=0),"",ROUND($J131/$I131,4))</f>
        <v/>
      </c>
      <c r="N131" s="17" t="n"/>
      <c r="O131" s="17" t="n"/>
      <c r="P131" s="24">
        <f>IF($J131="","未盘",IF(ROUND($J131,3)=0,"账实相符",IF(COUNTIFS(入库单!$G$4:$G$2503,$A131,入库单!$X$4:$X$2503,"盘盈",入库单!$C$4:$C$2503,"&gt;="&amp;账期起,入库单!$C$4:$C$2503,"&lt;="&amp;账期止)+COUNTIFS(出库单!$D$4:$D$4003,$A131,出库单!$K$4:$K$4003,"盘亏",出库单!$C$4:$C$4003,"&gt;="&amp;账期起,出库单!$C$4:$C$4003,"&lt;="&amp;账期止)&gt;0,"已调账","※差异还没调账")))</f>
        <v/>
      </c>
      <c r="Q131" s="17" t="n"/>
      <c r="R131" s="17" t="n"/>
    </row>
    <row r="132">
      <c r="A132" s="24">
        <f>IF(库存台账!$A132="","",库存台账!$A132)</f>
        <v/>
      </c>
      <c r="B132" s="24">
        <f>IF($A132="","",库存台账!$B132)</f>
        <v/>
      </c>
      <c r="C132" s="24">
        <f>IF($A132="","",库存台账!$C132)</f>
        <v/>
      </c>
      <c r="D132" s="24">
        <f>IF($A132="","",库存台账!$D132)</f>
        <v/>
      </c>
      <c r="E132" s="24">
        <f>IF($A132="","",库存台账!$E132)</f>
        <v/>
      </c>
      <c r="F132" s="24">
        <f>IF($A132="","",库存台账!$F132)</f>
        <v/>
      </c>
      <c r="G132" s="17" t="n"/>
      <c r="H132" s="23" t="n"/>
      <c r="I132" s="27">
        <f>IF($A132="","",库存台账!$X132)</f>
        <v/>
      </c>
      <c r="J132" s="27">
        <f>IF(OR($A132="",$H132=""),"",ROUND($H132-$I132,3))</f>
        <v/>
      </c>
      <c r="K132" s="26">
        <f>IF($A132="","",库存台账!$K132)</f>
        <v/>
      </c>
      <c r="L132" s="26">
        <f>IF($J132="","",ROUND($J132*$K132,0))</f>
        <v/>
      </c>
      <c r="M132" s="37">
        <f>IF(OR($J132="",$I132=0),"",ROUND($J132/$I132,4))</f>
        <v/>
      </c>
      <c r="N132" s="17" t="n"/>
      <c r="O132" s="17" t="n"/>
      <c r="P132" s="24">
        <f>IF($J132="","未盘",IF(ROUND($J132,3)=0,"账实相符",IF(COUNTIFS(入库单!$G$4:$G$2503,$A132,入库单!$X$4:$X$2503,"盘盈",入库单!$C$4:$C$2503,"&gt;="&amp;账期起,入库单!$C$4:$C$2503,"&lt;="&amp;账期止)+COUNTIFS(出库单!$D$4:$D$4003,$A132,出库单!$K$4:$K$4003,"盘亏",出库单!$C$4:$C$4003,"&gt;="&amp;账期起,出库单!$C$4:$C$4003,"&lt;="&amp;账期止)&gt;0,"已调账","※差异还没调账")))</f>
        <v/>
      </c>
      <c r="Q132" s="17" t="n"/>
      <c r="R132" s="17" t="n"/>
    </row>
    <row r="133">
      <c r="A133" s="24">
        <f>IF(库存台账!$A133="","",库存台账!$A133)</f>
        <v/>
      </c>
      <c r="B133" s="24">
        <f>IF($A133="","",库存台账!$B133)</f>
        <v/>
      </c>
      <c r="C133" s="24">
        <f>IF($A133="","",库存台账!$C133)</f>
        <v/>
      </c>
      <c r="D133" s="24">
        <f>IF($A133="","",库存台账!$D133)</f>
        <v/>
      </c>
      <c r="E133" s="24">
        <f>IF($A133="","",库存台账!$E133)</f>
        <v/>
      </c>
      <c r="F133" s="24">
        <f>IF($A133="","",库存台账!$F133)</f>
        <v/>
      </c>
      <c r="G133" s="17" t="n"/>
      <c r="H133" s="23" t="n"/>
      <c r="I133" s="27">
        <f>IF($A133="","",库存台账!$X133)</f>
        <v/>
      </c>
      <c r="J133" s="27">
        <f>IF(OR($A133="",$H133=""),"",ROUND($H133-$I133,3))</f>
        <v/>
      </c>
      <c r="K133" s="26">
        <f>IF($A133="","",库存台账!$K133)</f>
        <v/>
      </c>
      <c r="L133" s="26">
        <f>IF($J133="","",ROUND($J133*$K133,0))</f>
        <v/>
      </c>
      <c r="M133" s="37">
        <f>IF(OR($J133="",$I133=0),"",ROUND($J133/$I133,4))</f>
        <v/>
      </c>
      <c r="N133" s="17" t="n"/>
      <c r="O133" s="17" t="n"/>
      <c r="P133" s="24">
        <f>IF($J133="","未盘",IF(ROUND($J133,3)=0,"账实相符",IF(COUNTIFS(入库单!$G$4:$G$2503,$A133,入库单!$X$4:$X$2503,"盘盈",入库单!$C$4:$C$2503,"&gt;="&amp;账期起,入库单!$C$4:$C$2503,"&lt;="&amp;账期止)+COUNTIFS(出库单!$D$4:$D$4003,$A133,出库单!$K$4:$K$4003,"盘亏",出库单!$C$4:$C$4003,"&gt;="&amp;账期起,出库单!$C$4:$C$4003,"&lt;="&amp;账期止)&gt;0,"已调账","※差异还没调账")))</f>
        <v/>
      </c>
      <c r="Q133" s="17" t="n"/>
      <c r="R133" s="17" t="n"/>
    </row>
    <row r="134">
      <c r="A134" s="24">
        <f>IF(库存台账!$A134="","",库存台账!$A134)</f>
        <v/>
      </c>
      <c r="B134" s="24">
        <f>IF($A134="","",库存台账!$B134)</f>
        <v/>
      </c>
      <c r="C134" s="24">
        <f>IF($A134="","",库存台账!$C134)</f>
        <v/>
      </c>
      <c r="D134" s="24">
        <f>IF($A134="","",库存台账!$D134)</f>
        <v/>
      </c>
      <c r="E134" s="24">
        <f>IF($A134="","",库存台账!$E134)</f>
        <v/>
      </c>
      <c r="F134" s="24">
        <f>IF($A134="","",库存台账!$F134)</f>
        <v/>
      </c>
      <c r="G134" s="17" t="n"/>
      <c r="H134" s="23" t="n"/>
      <c r="I134" s="27">
        <f>IF($A134="","",库存台账!$X134)</f>
        <v/>
      </c>
      <c r="J134" s="27">
        <f>IF(OR($A134="",$H134=""),"",ROUND($H134-$I134,3))</f>
        <v/>
      </c>
      <c r="K134" s="26">
        <f>IF($A134="","",库存台账!$K134)</f>
        <v/>
      </c>
      <c r="L134" s="26">
        <f>IF($J134="","",ROUND($J134*$K134,0))</f>
        <v/>
      </c>
      <c r="M134" s="37">
        <f>IF(OR($J134="",$I134=0),"",ROUND($J134/$I134,4))</f>
        <v/>
      </c>
      <c r="N134" s="17" t="n"/>
      <c r="O134" s="17" t="n"/>
      <c r="P134" s="24">
        <f>IF($J134="","未盘",IF(ROUND($J134,3)=0,"账实相符",IF(COUNTIFS(入库单!$G$4:$G$2503,$A134,入库单!$X$4:$X$2503,"盘盈",入库单!$C$4:$C$2503,"&gt;="&amp;账期起,入库单!$C$4:$C$2503,"&lt;="&amp;账期止)+COUNTIFS(出库单!$D$4:$D$4003,$A134,出库单!$K$4:$K$4003,"盘亏",出库单!$C$4:$C$4003,"&gt;="&amp;账期起,出库单!$C$4:$C$4003,"&lt;="&amp;账期止)&gt;0,"已调账","※差异还没调账")))</f>
        <v/>
      </c>
      <c r="Q134" s="17" t="n"/>
      <c r="R134" s="17" t="n"/>
    </row>
    <row r="135">
      <c r="A135" s="24">
        <f>IF(库存台账!$A135="","",库存台账!$A135)</f>
        <v/>
      </c>
      <c r="B135" s="24">
        <f>IF($A135="","",库存台账!$B135)</f>
        <v/>
      </c>
      <c r="C135" s="24">
        <f>IF($A135="","",库存台账!$C135)</f>
        <v/>
      </c>
      <c r="D135" s="24">
        <f>IF($A135="","",库存台账!$D135)</f>
        <v/>
      </c>
      <c r="E135" s="24">
        <f>IF($A135="","",库存台账!$E135)</f>
        <v/>
      </c>
      <c r="F135" s="24">
        <f>IF($A135="","",库存台账!$F135)</f>
        <v/>
      </c>
      <c r="G135" s="17" t="n"/>
      <c r="H135" s="23" t="n"/>
      <c r="I135" s="27">
        <f>IF($A135="","",库存台账!$X135)</f>
        <v/>
      </c>
      <c r="J135" s="27">
        <f>IF(OR($A135="",$H135=""),"",ROUND($H135-$I135,3))</f>
        <v/>
      </c>
      <c r="K135" s="26">
        <f>IF($A135="","",库存台账!$K135)</f>
        <v/>
      </c>
      <c r="L135" s="26">
        <f>IF($J135="","",ROUND($J135*$K135,0))</f>
        <v/>
      </c>
      <c r="M135" s="37">
        <f>IF(OR($J135="",$I135=0),"",ROUND($J135/$I135,4))</f>
        <v/>
      </c>
      <c r="N135" s="17" t="n"/>
      <c r="O135" s="17" t="n"/>
      <c r="P135" s="24">
        <f>IF($J135="","未盘",IF(ROUND($J135,3)=0,"账实相符",IF(COUNTIFS(入库单!$G$4:$G$2503,$A135,入库单!$X$4:$X$2503,"盘盈",入库单!$C$4:$C$2503,"&gt;="&amp;账期起,入库单!$C$4:$C$2503,"&lt;="&amp;账期止)+COUNTIFS(出库单!$D$4:$D$4003,$A135,出库单!$K$4:$K$4003,"盘亏",出库单!$C$4:$C$4003,"&gt;="&amp;账期起,出库单!$C$4:$C$4003,"&lt;="&amp;账期止)&gt;0,"已调账","※差异还没调账")))</f>
        <v/>
      </c>
      <c r="Q135" s="17" t="n"/>
      <c r="R135" s="17" t="n"/>
    </row>
    <row r="136">
      <c r="A136" s="24">
        <f>IF(库存台账!$A136="","",库存台账!$A136)</f>
        <v/>
      </c>
      <c r="B136" s="24">
        <f>IF($A136="","",库存台账!$B136)</f>
        <v/>
      </c>
      <c r="C136" s="24">
        <f>IF($A136="","",库存台账!$C136)</f>
        <v/>
      </c>
      <c r="D136" s="24">
        <f>IF($A136="","",库存台账!$D136)</f>
        <v/>
      </c>
      <c r="E136" s="24">
        <f>IF($A136="","",库存台账!$E136)</f>
        <v/>
      </c>
      <c r="F136" s="24">
        <f>IF($A136="","",库存台账!$F136)</f>
        <v/>
      </c>
      <c r="G136" s="17" t="n"/>
      <c r="H136" s="23" t="n"/>
      <c r="I136" s="27">
        <f>IF($A136="","",库存台账!$X136)</f>
        <v/>
      </c>
      <c r="J136" s="27">
        <f>IF(OR($A136="",$H136=""),"",ROUND($H136-$I136,3))</f>
        <v/>
      </c>
      <c r="K136" s="26">
        <f>IF($A136="","",库存台账!$K136)</f>
        <v/>
      </c>
      <c r="L136" s="26">
        <f>IF($J136="","",ROUND($J136*$K136,0))</f>
        <v/>
      </c>
      <c r="M136" s="37">
        <f>IF(OR($J136="",$I136=0),"",ROUND($J136/$I136,4))</f>
        <v/>
      </c>
      <c r="N136" s="17" t="n"/>
      <c r="O136" s="17" t="n"/>
      <c r="P136" s="24">
        <f>IF($J136="","未盘",IF(ROUND($J136,3)=0,"账实相符",IF(COUNTIFS(入库单!$G$4:$G$2503,$A136,入库单!$X$4:$X$2503,"盘盈",入库单!$C$4:$C$2503,"&gt;="&amp;账期起,入库单!$C$4:$C$2503,"&lt;="&amp;账期止)+COUNTIFS(出库单!$D$4:$D$4003,$A136,出库单!$K$4:$K$4003,"盘亏",出库单!$C$4:$C$4003,"&gt;="&amp;账期起,出库单!$C$4:$C$4003,"&lt;="&amp;账期止)&gt;0,"已调账","※差异还没调账")))</f>
        <v/>
      </c>
      <c r="Q136" s="17" t="n"/>
      <c r="R136" s="17" t="n"/>
    </row>
    <row r="137">
      <c r="A137" s="24">
        <f>IF(库存台账!$A137="","",库存台账!$A137)</f>
        <v/>
      </c>
      <c r="B137" s="24">
        <f>IF($A137="","",库存台账!$B137)</f>
        <v/>
      </c>
      <c r="C137" s="24">
        <f>IF($A137="","",库存台账!$C137)</f>
        <v/>
      </c>
      <c r="D137" s="24">
        <f>IF($A137="","",库存台账!$D137)</f>
        <v/>
      </c>
      <c r="E137" s="24">
        <f>IF($A137="","",库存台账!$E137)</f>
        <v/>
      </c>
      <c r="F137" s="24">
        <f>IF($A137="","",库存台账!$F137)</f>
        <v/>
      </c>
      <c r="G137" s="17" t="n"/>
      <c r="H137" s="23" t="n"/>
      <c r="I137" s="27">
        <f>IF($A137="","",库存台账!$X137)</f>
        <v/>
      </c>
      <c r="J137" s="27">
        <f>IF(OR($A137="",$H137=""),"",ROUND($H137-$I137,3))</f>
        <v/>
      </c>
      <c r="K137" s="26">
        <f>IF($A137="","",库存台账!$K137)</f>
        <v/>
      </c>
      <c r="L137" s="26">
        <f>IF($J137="","",ROUND($J137*$K137,0))</f>
        <v/>
      </c>
      <c r="M137" s="37">
        <f>IF(OR($J137="",$I137=0),"",ROUND($J137/$I137,4))</f>
        <v/>
      </c>
      <c r="N137" s="17" t="n"/>
      <c r="O137" s="17" t="n"/>
      <c r="P137" s="24">
        <f>IF($J137="","未盘",IF(ROUND($J137,3)=0,"账实相符",IF(COUNTIFS(入库单!$G$4:$G$2503,$A137,入库单!$X$4:$X$2503,"盘盈",入库单!$C$4:$C$2503,"&gt;="&amp;账期起,入库单!$C$4:$C$2503,"&lt;="&amp;账期止)+COUNTIFS(出库单!$D$4:$D$4003,$A137,出库单!$K$4:$K$4003,"盘亏",出库单!$C$4:$C$4003,"&gt;="&amp;账期起,出库单!$C$4:$C$4003,"&lt;="&amp;账期止)&gt;0,"已调账","※差异还没调账")))</f>
        <v/>
      </c>
      <c r="Q137" s="17" t="n"/>
      <c r="R137" s="17" t="n"/>
    </row>
    <row r="138">
      <c r="A138" s="24">
        <f>IF(库存台账!$A138="","",库存台账!$A138)</f>
        <v/>
      </c>
      <c r="B138" s="24">
        <f>IF($A138="","",库存台账!$B138)</f>
        <v/>
      </c>
      <c r="C138" s="24">
        <f>IF($A138="","",库存台账!$C138)</f>
        <v/>
      </c>
      <c r="D138" s="24">
        <f>IF($A138="","",库存台账!$D138)</f>
        <v/>
      </c>
      <c r="E138" s="24">
        <f>IF($A138="","",库存台账!$E138)</f>
        <v/>
      </c>
      <c r="F138" s="24">
        <f>IF($A138="","",库存台账!$F138)</f>
        <v/>
      </c>
      <c r="G138" s="17" t="n"/>
      <c r="H138" s="23" t="n"/>
      <c r="I138" s="27">
        <f>IF($A138="","",库存台账!$X138)</f>
        <v/>
      </c>
      <c r="J138" s="27">
        <f>IF(OR($A138="",$H138=""),"",ROUND($H138-$I138,3))</f>
        <v/>
      </c>
      <c r="K138" s="26">
        <f>IF($A138="","",库存台账!$K138)</f>
        <v/>
      </c>
      <c r="L138" s="26">
        <f>IF($J138="","",ROUND($J138*$K138,0))</f>
        <v/>
      </c>
      <c r="M138" s="37">
        <f>IF(OR($J138="",$I138=0),"",ROUND($J138/$I138,4))</f>
        <v/>
      </c>
      <c r="N138" s="17" t="n"/>
      <c r="O138" s="17" t="n"/>
      <c r="P138" s="24">
        <f>IF($J138="","未盘",IF(ROUND($J138,3)=0,"账实相符",IF(COUNTIFS(入库单!$G$4:$G$2503,$A138,入库单!$X$4:$X$2503,"盘盈",入库单!$C$4:$C$2503,"&gt;="&amp;账期起,入库单!$C$4:$C$2503,"&lt;="&amp;账期止)+COUNTIFS(出库单!$D$4:$D$4003,$A138,出库单!$K$4:$K$4003,"盘亏",出库单!$C$4:$C$4003,"&gt;="&amp;账期起,出库单!$C$4:$C$4003,"&lt;="&amp;账期止)&gt;0,"已调账","※差异还没调账")))</f>
        <v/>
      </c>
      <c r="Q138" s="17" t="n"/>
      <c r="R138" s="17" t="n"/>
    </row>
    <row r="139">
      <c r="A139" s="24">
        <f>IF(库存台账!$A139="","",库存台账!$A139)</f>
        <v/>
      </c>
      <c r="B139" s="24">
        <f>IF($A139="","",库存台账!$B139)</f>
        <v/>
      </c>
      <c r="C139" s="24">
        <f>IF($A139="","",库存台账!$C139)</f>
        <v/>
      </c>
      <c r="D139" s="24">
        <f>IF($A139="","",库存台账!$D139)</f>
        <v/>
      </c>
      <c r="E139" s="24">
        <f>IF($A139="","",库存台账!$E139)</f>
        <v/>
      </c>
      <c r="F139" s="24">
        <f>IF($A139="","",库存台账!$F139)</f>
        <v/>
      </c>
      <c r="G139" s="17" t="n"/>
      <c r="H139" s="23" t="n"/>
      <c r="I139" s="27">
        <f>IF($A139="","",库存台账!$X139)</f>
        <v/>
      </c>
      <c r="J139" s="27">
        <f>IF(OR($A139="",$H139=""),"",ROUND($H139-$I139,3))</f>
        <v/>
      </c>
      <c r="K139" s="26">
        <f>IF($A139="","",库存台账!$K139)</f>
        <v/>
      </c>
      <c r="L139" s="26">
        <f>IF($J139="","",ROUND($J139*$K139,0))</f>
        <v/>
      </c>
      <c r="M139" s="37">
        <f>IF(OR($J139="",$I139=0),"",ROUND($J139/$I139,4))</f>
        <v/>
      </c>
      <c r="N139" s="17" t="n"/>
      <c r="O139" s="17" t="n"/>
      <c r="P139" s="24">
        <f>IF($J139="","未盘",IF(ROUND($J139,3)=0,"账实相符",IF(COUNTIFS(入库单!$G$4:$G$2503,$A139,入库单!$X$4:$X$2503,"盘盈",入库单!$C$4:$C$2503,"&gt;="&amp;账期起,入库单!$C$4:$C$2503,"&lt;="&amp;账期止)+COUNTIFS(出库单!$D$4:$D$4003,$A139,出库单!$K$4:$K$4003,"盘亏",出库单!$C$4:$C$4003,"&gt;="&amp;账期起,出库单!$C$4:$C$4003,"&lt;="&amp;账期止)&gt;0,"已调账","※差异还没调账")))</f>
        <v/>
      </c>
      <c r="Q139" s="17" t="n"/>
      <c r="R139" s="17" t="n"/>
    </row>
    <row r="140">
      <c r="A140" s="24">
        <f>IF(库存台账!$A140="","",库存台账!$A140)</f>
        <v/>
      </c>
      <c r="B140" s="24">
        <f>IF($A140="","",库存台账!$B140)</f>
        <v/>
      </c>
      <c r="C140" s="24">
        <f>IF($A140="","",库存台账!$C140)</f>
        <v/>
      </c>
      <c r="D140" s="24">
        <f>IF($A140="","",库存台账!$D140)</f>
        <v/>
      </c>
      <c r="E140" s="24">
        <f>IF($A140="","",库存台账!$E140)</f>
        <v/>
      </c>
      <c r="F140" s="24">
        <f>IF($A140="","",库存台账!$F140)</f>
        <v/>
      </c>
      <c r="G140" s="17" t="n"/>
      <c r="H140" s="23" t="n"/>
      <c r="I140" s="27">
        <f>IF($A140="","",库存台账!$X140)</f>
        <v/>
      </c>
      <c r="J140" s="27">
        <f>IF(OR($A140="",$H140=""),"",ROUND($H140-$I140,3))</f>
        <v/>
      </c>
      <c r="K140" s="26">
        <f>IF($A140="","",库存台账!$K140)</f>
        <v/>
      </c>
      <c r="L140" s="26">
        <f>IF($J140="","",ROUND($J140*$K140,0))</f>
        <v/>
      </c>
      <c r="M140" s="37">
        <f>IF(OR($J140="",$I140=0),"",ROUND($J140/$I140,4))</f>
        <v/>
      </c>
      <c r="N140" s="17" t="n"/>
      <c r="O140" s="17" t="n"/>
      <c r="P140" s="24">
        <f>IF($J140="","未盘",IF(ROUND($J140,3)=0,"账实相符",IF(COUNTIFS(入库单!$G$4:$G$2503,$A140,入库单!$X$4:$X$2503,"盘盈",入库单!$C$4:$C$2503,"&gt;="&amp;账期起,入库单!$C$4:$C$2503,"&lt;="&amp;账期止)+COUNTIFS(出库单!$D$4:$D$4003,$A140,出库单!$K$4:$K$4003,"盘亏",出库单!$C$4:$C$4003,"&gt;="&amp;账期起,出库单!$C$4:$C$4003,"&lt;="&amp;账期止)&gt;0,"已调账","※差异还没调账")))</f>
        <v/>
      </c>
      <c r="Q140" s="17" t="n"/>
      <c r="R140" s="17" t="n"/>
    </row>
    <row r="141">
      <c r="A141" s="24">
        <f>IF(库存台账!$A141="","",库存台账!$A141)</f>
        <v/>
      </c>
      <c r="B141" s="24">
        <f>IF($A141="","",库存台账!$B141)</f>
        <v/>
      </c>
      <c r="C141" s="24">
        <f>IF($A141="","",库存台账!$C141)</f>
        <v/>
      </c>
      <c r="D141" s="24">
        <f>IF($A141="","",库存台账!$D141)</f>
        <v/>
      </c>
      <c r="E141" s="24">
        <f>IF($A141="","",库存台账!$E141)</f>
        <v/>
      </c>
      <c r="F141" s="24">
        <f>IF($A141="","",库存台账!$F141)</f>
        <v/>
      </c>
      <c r="G141" s="17" t="n"/>
      <c r="H141" s="23" t="n"/>
      <c r="I141" s="27">
        <f>IF($A141="","",库存台账!$X141)</f>
        <v/>
      </c>
      <c r="J141" s="27">
        <f>IF(OR($A141="",$H141=""),"",ROUND($H141-$I141,3))</f>
        <v/>
      </c>
      <c r="K141" s="26">
        <f>IF($A141="","",库存台账!$K141)</f>
        <v/>
      </c>
      <c r="L141" s="26">
        <f>IF($J141="","",ROUND($J141*$K141,0))</f>
        <v/>
      </c>
      <c r="M141" s="37">
        <f>IF(OR($J141="",$I141=0),"",ROUND($J141/$I141,4))</f>
        <v/>
      </c>
      <c r="N141" s="17" t="n"/>
      <c r="O141" s="17" t="n"/>
      <c r="P141" s="24">
        <f>IF($J141="","未盘",IF(ROUND($J141,3)=0,"账实相符",IF(COUNTIFS(入库单!$G$4:$G$2503,$A141,入库单!$X$4:$X$2503,"盘盈",入库单!$C$4:$C$2503,"&gt;="&amp;账期起,入库单!$C$4:$C$2503,"&lt;="&amp;账期止)+COUNTIFS(出库单!$D$4:$D$4003,$A141,出库单!$K$4:$K$4003,"盘亏",出库单!$C$4:$C$4003,"&gt;="&amp;账期起,出库单!$C$4:$C$4003,"&lt;="&amp;账期止)&gt;0,"已调账","※差异还没调账")))</f>
        <v/>
      </c>
      <c r="Q141" s="17" t="n"/>
      <c r="R141" s="17" t="n"/>
    </row>
    <row r="142">
      <c r="A142" s="24">
        <f>IF(库存台账!$A142="","",库存台账!$A142)</f>
        <v/>
      </c>
      <c r="B142" s="24">
        <f>IF($A142="","",库存台账!$B142)</f>
        <v/>
      </c>
      <c r="C142" s="24">
        <f>IF($A142="","",库存台账!$C142)</f>
        <v/>
      </c>
      <c r="D142" s="24">
        <f>IF($A142="","",库存台账!$D142)</f>
        <v/>
      </c>
      <c r="E142" s="24">
        <f>IF($A142="","",库存台账!$E142)</f>
        <v/>
      </c>
      <c r="F142" s="24">
        <f>IF($A142="","",库存台账!$F142)</f>
        <v/>
      </c>
      <c r="G142" s="17" t="n"/>
      <c r="H142" s="23" t="n"/>
      <c r="I142" s="27">
        <f>IF($A142="","",库存台账!$X142)</f>
        <v/>
      </c>
      <c r="J142" s="27">
        <f>IF(OR($A142="",$H142=""),"",ROUND($H142-$I142,3))</f>
        <v/>
      </c>
      <c r="K142" s="26">
        <f>IF($A142="","",库存台账!$K142)</f>
        <v/>
      </c>
      <c r="L142" s="26">
        <f>IF($J142="","",ROUND($J142*$K142,0))</f>
        <v/>
      </c>
      <c r="M142" s="37">
        <f>IF(OR($J142="",$I142=0),"",ROUND($J142/$I142,4))</f>
        <v/>
      </c>
      <c r="N142" s="17" t="n"/>
      <c r="O142" s="17" t="n"/>
      <c r="P142" s="24">
        <f>IF($J142="","未盘",IF(ROUND($J142,3)=0,"账实相符",IF(COUNTIFS(入库单!$G$4:$G$2503,$A142,入库单!$X$4:$X$2503,"盘盈",入库单!$C$4:$C$2503,"&gt;="&amp;账期起,入库单!$C$4:$C$2503,"&lt;="&amp;账期止)+COUNTIFS(出库单!$D$4:$D$4003,$A142,出库单!$K$4:$K$4003,"盘亏",出库单!$C$4:$C$4003,"&gt;="&amp;账期起,出库单!$C$4:$C$4003,"&lt;="&amp;账期止)&gt;0,"已调账","※差异还没调账")))</f>
        <v/>
      </c>
      <c r="Q142" s="17" t="n"/>
      <c r="R142" s="17" t="n"/>
    </row>
    <row r="143">
      <c r="A143" s="24">
        <f>IF(库存台账!$A143="","",库存台账!$A143)</f>
        <v/>
      </c>
      <c r="B143" s="24">
        <f>IF($A143="","",库存台账!$B143)</f>
        <v/>
      </c>
      <c r="C143" s="24">
        <f>IF($A143="","",库存台账!$C143)</f>
        <v/>
      </c>
      <c r="D143" s="24">
        <f>IF($A143="","",库存台账!$D143)</f>
        <v/>
      </c>
      <c r="E143" s="24">
        <f>IF($A143="","",库存台账!$E143)</f>
        <v/>
      </c>
      <c r="F143" s="24">
        <f>IF($A143="","",库存台账!$F143)</f>
        <v/>
      </c>
      <c r="G143" s="17" t="n"/>
      <c r="H143" s="23" t="n"/>
      <c r="I143" s="27">
        <f>IF($A143="","",库存台账!$X143)</f>
        <v/>
      </c>
      <c r="J143" s="27">
        <f>IF(OR($A143="",$H143=""),"",ROUND($H143-$I143,3))</f>
        <v/>
      </c>
      <c r="K143" s="26">
        <f>IF($A143="","",库存台账!$K143)</f>
        <v/>
      </c>
      <c r="L143" s="26">
        <f>IF($J143="","",ROUND($J143*$K143,0))</f>
        <v/>
      </c>
      <c r="M143" s="37">
        <f>IF(OR($J143="",$I143=0),"",ROUND($J143/$I143,4))</f>
        <v/>
      </c>
      <c r="N143" s="17" t="n"/>
      <c r="O143" s="17" t="n"/>
      <c r="P143" s="24">
        <f>IF($J143="","未盘",IF(ROUND($J143,3)=0,"账实相符",IF(COUNTIFS(入库单!$G$4:$G$2503,$A143,入库单!$X$4:$X$2503,"盘盈",入库单!$C$4:$C$2503,"&gt;="&amp;账期起,入库单!$C$4:$C$2503,"&lt;="&amp;账期止)+COUNTIFS(出库单!$D$4:$D$4003,$A143,出库单!$K$4:$K$4003,"盘亏",出库单!$C$4:$C$4003,"&gt;="&amp;账期起,出库单!$C$4:$C$4003,"&lt;="&amp;账期止)&gt;0,"已调账","※差异还没调账")))</f>
        <v/>
      </c>
      <c r="Q143" s="17" t="n"/>
      <c r="R143" s="17" t="n"/>
    </row>
    <row r="144">
      <c r="A144" s="24">
        <f>IF(库存台账!$A144="","",库存台账!$A144)</f>
        <v/>
      </c>
      <c r="B144" s="24">
        <f>IF($A144="","",库存台账!$B144)</f>
        <v/>
      </c>
      <c r="C144" s="24">
        <f>IF($A144="","",库存台账!$C144)</f>
        <v/>
      </c>
      <c r="D144" s="24">
        <f>IF($A144="","",库存台账!$D144)</f>
        <v/>
      </c>
      <c r="E144" s="24">
        <f>IF($A144="","",库存台账!$E144)</f>
        <v/>
      </c>
      <c r="F144" s="24">
        <f>IF($A144="","",库存台账!$F144)</f>
        <v/>
      </c>
      <c r="G144" s="17" t="n"/>
      <c r="H144" s="23" t="n"/>
      <c r="I144" s="27">
        <f>IF($A144="","",库存台账!$X144)</f>
        <v/>
      </c>
      <c r="J144" s="27">
        <f>IF(OR($A144="",$H144=""),"",ROUND($H144-$I144,3))</f>
        <v/>
      </c>
      <c r="K144" s="26">
        <f>IF($A144="","",库存台账!$K144)</f>
        <v/>
      </c>
      <c r="L144" s="26">
        <f>IF($J144="","",ROUND($J144*$K144,0))</f>
        <v/>
      </c>
      <c r="M144" s="37">
        <f>IF(OR($J144="",$I144=0),"",ROUND($J144/$I144,4))</f>
        <v/>
      </c>
      <c r="N144" s="17" t="n"/>
      <c r="O144" s="17" t="n"/>
      <c r="P144" s="24">
        <f>IF($J144="","未盘",IF(ROUND($J144,3)=0,"账实相符",IF(COUNTIFS(入库单!$G$4:$G$2503,$A144,入库单!$X$4:$X$2503,"盘盈",入库单!$C$4:$C$2503,"&gt;="&amp;账期起,入库单!$C$4:$C$2503,"&lt;="&amp;账期止)+COUNTIFS(出库单!$D$4:$D$4003,$A144,出库单!$K$4:$K$4003,"盘亏",出库单!$C$4:$C$4003,"&gt;="&amp;账期起,出库单!$C$4:$C$4003,"&lt;="&amp;账期止)&gt;0,"已调账","※差异还没调账")))</f>
        <v/>
      </c>
      <c r="Q144" s="17" t="n"/>
      <c r="R144" s="17" t="n"/>
    </row>
    <row r="145">
      <c r="A145" s="24">
        <f>IF(库存台账!$A145="","",库存台账!$A145)</f>
        <v/>
      </c>
      <c r="B145" s="24">
        <f>IF($A145="","",库存台账!$B145)</f>
        <v/>
      </c>
      <c r="C145" s="24">
        <f>IF($A145="","",库存台账!$C145)</f>
        <v/>
      </c>
      <c r="D145" s="24">
        <f>IF($A145="","",库存台账!$D145)</f>
        <v/>
      </c>
      <c r="E145" s="24">
        <f>IF($A145="","",库存台账!$E145)</f>
        <v/>
      </c>
      <c r="F145" s="24">
        <f>IF($A145="","",库存台账!$F145)</f>
        <v/>
      </c>
      <c r="G145" s="17" t="n"/>
      <c r="H145" s="23" t="n"/>
      <c r="I145" s="27">
        <f>IF($A145="","",库存台账!$X145)</f>
        <v/>
      </c>
      <c r="J145" s="27">
        <f>IF(OR($A145="",$H145=""),"",ROUND($H145-$I145,3))</f>
        <v/>
      </c>
      <c r="K145" s="26">
        <f>IF($A145="","",库存台账!$K145)</f>
        <v/>
      </c>
      <c r="L145" s="26">
        <f>IF($J145="","",ROUND($J145*$K145,0))</f>
        <v/>
      </c>
      <c r="M145" s="37">
        <f>IF(OR($J145="",$I145=0),"",ROUND($J145/$I145,4))</f>
        <v/>
      </c>
      <c r="N145" s="17" t="n"/>
      <c r="O145" s="17" t="n"/>
      <c r="P145" s="24">
        <f>IF($J145="","未盘",IF(ROUND($J145,3)=0,"账实相符",IF(COUNTIFS(入库单!$G$4:$G$2503,$A145,入库单!$X$4:$X$2503,"盘盈",入库单!$C$4:$C$2503,"&gt;="&amp;账期起,入库单!$C$4:$C$2503,"&lt;="&amp;账期止)+COUNTIFS(出库单!$D$4:$D$4003,$A145,出库单!$K$4:$K$4003,"盘亏",出库单!$C$4:$C$4003,"&gt;="&amp;账期起,出库单!$C$4:$C$4003,"&lt;="&amp;账期止)&gt;0,"已调账","※差异还没调账")))</f>
        <v/>
      </c>
      <c r="Q145" s="17" t="n"/>
      <c r="R145" s="17" t="n"/>
    </row>
    <row r="146">
      <c r="A146" s="24">
        <f>IF(库存台账!$A146="","",库存台账!$A146)</f>
        <v/>
      </c>
      <c r="B146" s="24">
        <f>IF($A146="","",库存台账!$B146)</f>
        <v/>
      </c>
      <c r="C146" s="24">
        <f>IF($A146="","",库存台账!$C146)</f>
        <v/>
      </c>
      <c r="D146" s="24">
        <f>IF($A146="","",库存台账!$D146)</f>
        <v/>
      </c>
      <c r="E146" s="24">
        <f>IF($A146="","",库存台账!$E146)</f>
        <v/>
      </c>
      <c r="F146" s="24">
        <f>IF($A146="","",库存台账!$F146)</f>
        <v/>
      </c>
      <c r="G146" s="17" t="n"/>
      <c r="H146" s="23" t="n"/>
      <c r="I146" s="27">
        <f>IF($A146="","",库存台账!$X146)</f>
        <v/>
      </c>
      <c r="J146" s="27">
        <f>IF(OR($A146="",$H146=""),"",ROUND($H146-$I146,3))</f>
        <v/>
      </c>
      <c r="K146" s="26">
        <f>IF($A146="","",库存台账!$K146)</f>
        <v/>
      </c>
      <c r="L146" s="26">
        <f>IF($J146="","",ROUND($J146*$K146,0))</f>
        <v/>
      </c>
      <c r="M146" s="37">
        <f>IF(OR($J146="",$I146=0),"",ROUND($J146/$I146,4))</f>
        <v/>
      </c>
      <c r="N146" s="17" t="n"/>
      <c r="O146" s="17" t="n"/>
      <c r="P146" s="24">
        <f>IF($J146="","未盘",IF(ROUND($J146,3)=0,"账实相符",IF(COUNTIFS(入库单!$G$4:$G$2503,$A146,入库单!$X$4:$X$2503,"盘盈",入库单!$C$4:$C$2503,"&gt;="&amp;账期起,入库单!$C$4:$C$2503,"&lt;="&amp;账期止)+COUNTIFS(出库单!$D$4:$D$4003,$A146,出库单!$K$4:$K$4003,"盘亏",出库单!$C$4:$C$4003,"&gt;="&amp;账期起,出库单!$C$4:$C$4003,"&lt;="&amp;账期止)&gt;0,"已调账","※差异还没调账")))</f>
        <v/>
      </c>
      <c r="Q146" s="17" t="n"/>
      <c r="R146" s="17" t="n"/>
    </row>
    <row r="147">
      <c r="A147" s="24">
        <f>IF(库存台账!$A147="","",库存台账!$A147)</f>
        <v/>
      </c>
      <c r="B147" s="24">
        <f>IF($A147="","",库存台账!$B147)</f>
        <v/>
      </c>
      <c r="C147" s="24">
        <f>IF($A147="","",库存台账!$C147)</f>
        <v/>
      </c>
      <c r="D147" s="24">
        <f>IF($A147="","",库存台账!$D147)</f>
        <v/>
      </c>
      <c r="E147" s="24">
        <f>IF($A147="","",库存台账!$E147)</f>
        <v/>
      </c>
      <c r="F147" s="24">
        <f>IF($A147="","",库存台账!$F147)</f>
        <v/>
      </c>
      <c r="G147" s="17" t="n"/>
      <c r="H147" s="23" t="n"/>
      <c r="I147" s="27">
        <f>IF($A147="","",库存台账!$X147)</f>
        <v/>
      </c>
      <c r="J147" s="27">
        <f>IF(OR($A147="",$H147=""),"",ROUND($H147-$I147,3))</f>
        <v/>
      </c>
      <c r="K147" s="26">
        <f>IF($A147="","",库存台账!$K147)</f>
        <v/>
      </c>
      <c r="L147" s="26">
        <f>IF($J147="","",ROUND($J147*$K147,0))</f>
        <v/>
      </c>
      <c r="M147" s="37">
        <f>IF(OR($J147="",$I147=0),"",ROUND($J147/$I147,4))</f>
        <v/>
      </c>
      <c r="N147" s="17" t="n"/>
      <c r="O147" s="17" t="n"/>
      <c r="P147" s="24">
        <f>IF($J147="","未盘",IF(ROUND($J147,3)=0,"账实相符",IF(COUNTIFS(入库单!$G$4:$G$2503,$A147,入库单!$X$4:$X$2503,"盘盈",入库单!$C$4:$C$2503,"&gt;="&amp;账期起,入库单!$C$4:$C$2503,"&lt;="&amp;账期止)+COUNTIFS(出库单!$D$4:$D$4003,$A147,出库单!$K$4:$K$4003,"盘亏",出库单!$C$4:$C$4003,"&gt;="&amp;账期起,出库单!$C$4:$C$4003,"&lt;="&amp;账期止)&gt;0,"已调账","※差异还没调账")))</f>
        <v/>
      </c>
      <c r="Q147" s="17" t="n"/>
      <c r="R147" s="17" t="n"/>
    </row>
    <row r="148">
      <c r="A148" s="24">
        <f>IF(库存台账!$A148="","",库存台账!$A148)</f>
        <v/>
      </c>
      <c r="B148" s="24">
        <f>IF($A148="","",库存台账!$B148)</f>
        <v/>
      </c>
      <c r="C148" s="24">
        <f>IF($A148="","",库存台账!$C148)</f>
        <v/>
      </c>
      <c r="D148" s="24">
        <f>IF($A148="","",库存台账!$D148)</f>
        <v/>
      </c>
      <c r="E148" s="24">
        <f>IF($A148="","",库存台账!$E148)</f>
        <v/>
      </c>
      <c r="F148" s="24">
        <f>IF($A148="","",库存台账!$F148)</f>
        <v/>
      </c>
      <c r="G148" s="17" t="n"/>
      <c r="H148" s="23" t="n"/>
      <c r="I148" s="27">
        <f>IF($A148="","",库存台账!$X148)</f>
        <v/>
      </c>
      <c r="J148" s="27">
        <f>IF(OR($A148="",$H148=""),"",ROUND($H148-$I148,3))</f>
        <v/>
      </c>
      <c r="K148" s="26">
        <f>IF($A148="","",库存台账!$K148)</f>
        <v/>
      </c>
      <c r="L148" s="26">
        <f>IF($J148="","",ROUND($J148*$K148,0))</f>
        <v/>
      </c>
      <c r="M148" s="37">
        <f>IF(OR($J148="",$I148=0),"",ROUND($J148/$I148,4))</f>
        <v/>
      </c>
      <c r="N148" s="17" t="n"/>
      <c r="O148" s="17" t="n"/>
      <c r="P148" s="24">
        <f>IF($J148="","未盘",IF(ROUND($J148,3)=0,"账实相符",IF(COUNTIFS(入库单!$G$4:$G$2503,$A148,入库单!$X$4:$X$2503,"盘盈",入库单!$C$4:$C$2503,"&gt;="&amp;账期起,入库单!$C$4:$C$2503,"&lt;="&amp;账期止)+COUNTIFS(出库单!$D$4:$D$4003,$A148,出库单!$K$4:$K$4003,"盘亏",出库单!$C$4:$C$4003,"&gt;="&amp;账期起,出库单!$C$4:$C$4003,"&lt;="&amp;账期止)&gt;0,"已调账","※差异还没调账")))</f>
        <v/>
      </c>
      <c r="Q148" s="17" t="n"/>
      <c r="R148" s="17" t="n"/>
    </row>
    <row r="149">
      <c r="A149" s="24">
        <f>IF(库存台账!$A149="","",库存台账!$A149)</f>
        <v/>
      </c>
      <c r="B149" s="24">
        <f>IF($A149="","",库存台账!$B149)</f>
        <v/>
      </c>
      <c r="C149" s="24">
        <f>IF($A149="","",库存台账!$C149)</f>
        <v/>
      </c>
      <c r="D149" s="24">
        <f>IF($A149="","",库存台账!$D149)</f>
        <v/>
      </c>
      <c r="E149" s="24">
        <f>IF($A149="","",库存台账!$E149)</f>
        <v/>
      </c>
      <c r="F149" s="24">
        <f>IF($A149="","",库存台账!$F149)</f>
        <v/>
      </c>
      <c r="G149" s="17" t="n"/>
      <c r="H149" s="23" t="n"/>
      <c r="I149" s="27">
        <f>IF($A149="","",库存台账!$X149)</f>
        <v/>
      </c>
      <c r="J149" s="27">
        <f>IF(OR($A149="",$H149=""),"",ROUND($H149-$I149,3))</f>
        <v/>
      </c>
      <c r="K149" s="26">
        <f>IF($A149="","",库存台账!$K149)</f>
        <v/>
      </c>
      <c r="L149" s="26">
        <f>IF($J149="","",ROUND($J149*$K149,0))</f>
        <v/>
      </c>
      <c r="M149" s="37">
        <f>IF(OR($J149="",$I149=0),"",ROUND($J149/$I149,4))</f>
        <v/>
      </c>
      <c r="N149" s="17" t="n"/>
      <c r="O149" s="17" t="n"/>
      <c r="P149" s="24">
        <f>IF($J149="","未盘",IF(ROUND($J149,3)=0,"账实相符",IF(COUNTIFS(入库单!$G$4:$G$2503,$A149,入库单!$X$4:$X$2503,"盘盈",入库单!$C$4:$C$2503,"&gt;="&amp;账期起,入库单!$C$4:$C$2503,"&lt;="&amp;账期止)+COUNTIFS(出库单!$D$4:$D$4003,$A149,出库单!$K$4:$K$4003,"盘亏",出库单!$C$4:$C$4003,"&gt;="&amp;账期起,出库单!$C$4:$C$4003,"&lt;="&amp;账期止)&gt;0,"已调账","※差异还没调账")))</f>
        <v/>
      </c>
      <c r="Q149" s="17" t="n"/>
      <c r="R149" s="17" t="n"/>
    </row>
    <row r="150">
      <c r="A150" s="24">
        <f>IF(库存台账!$A150="","",库存台账!$A150)</f>
        <v/>
      </c>
      <c r="B150" s="24">
        <f>IF($A150="","",库存台账!$B150)</f>
        <v/>
      </c>
      <c r="C150" s="24">
        <f>IF($A150="","",库存台账!$C150)</f>
        <v/>
      </c>
      <c r="D150" s="24">
        <f>IF($A150="","",库存台账!$D150)</f>
        <v/>
      </c>
      <c r="E150" s="24">
        <f>IF($A150="","",库存台账!$E150)</f>
        <v/>
      </c>
      <c r="F150" s="24">
        <f>IF($A150="","",库存台账!$F150)</f>
        <v/>
      </c>
      <c r="G150" s="17" t="n"/>
      <c r="H150" s="23" t="n"/>
      <c r="I150" s="27">
        <f>IF($A150="","",库存台账!$X150)</f>
        <v/>
      </c>
      <c r="J150" s="27">
        <f>IF(OR($A150="",$H150=""),"",ROUND($H150-$I150,3))</f>
        <v/>
      </c>
      <c r="K150" s="26">
        <f>IF($A150="","",库存台账!$K150)</f>
        <v/>
      </c>
      <c r="L150" s="26">
        <f>IF($J150="","",ROUND($J150*$K150,0))</f>
        <v/>
      </c>
      <c r="M150" s="37">
        <f>IF(OR($J150="",$I150=0),"",ROUND($J150/$I150,4))</f>
        <v/>
      </c>
      <c r="N150" s="17" t="n"/>
      <c r="O150" s="17" t="n"/>
      <c r="P150" s="24">
        <f>IF($J150="","未盘",IF(ROUND($J150,3)=0,"账实相符",IF(COUNTIFS(入库单!$G$4:$G$2503,$A150,入库单!$X$4:$X$2503,"盘盈",入库单!$C$4:$C$2503,"&gt;="&amp;账期起,入库单!$C$4:$C$2503,"&lt;="&amp;账期止)+COUNTIFS(出库单!$D$4:$D$4003,$A150,出库单!$K$4:$K$4003,"盘亏",出库单!$C$4:$C$4003,"&gt;="&amp;账期起,出库单!$C$4:$C$4003,"&lt;="&amp;账期止)&gt;0,"已调账","※差异还没调账")))</f>
        <v/>
      </c>
      <c r="Q150" s="17" t="n"/>
      <c r="R150" s="17" t="n"/>
    </row>
    <row r="151">
      <c r="A151" s="24">
        <f>IF(库存台账!$A151="","",库存台账!$A151)</f>
        <v/>
      </c>
      <c r="B151" s="24">
        <f>IF($A151="","",库存台账!$B151)</f>
        <v/>
      </c>
      <c r="C151" s="24">
        <f>IF($A151="","",库存台账!$C151)</f>
        <v/>
      </c>
      <c r="D151" s="24">
        <f>IF($A151="","",库存台账!$D151)</f>
        <v/>
      </c>
      <c r="E151" s="24">
        <f>IF($A151="","",库存台账!$E151)</f>
        <v/>
      </c>
      <c r="F151" s="24">
        <f>IF($A151="","",库存台账!$F151)</f>
        <v/>
      </c>
      <c r="G151" s="17" t="n"/>
      <c r="H151" s="23" t="n"/>
      <c r="I151" s="27">
        <f>IF($A151="","",库存台账!$X151)</f>
        <v/>
      </c>
      <c r="J151" s="27">
        <f>IF(OR($A151="",$H151=""),"",ROUND($H151-$I151,3))</f>
        <v/>
      </c>
      <c r="K151" s="26">
        <f>IF($A151="","",库存台账!$K151)</f>
        <v/>
      </c>
      <c r="L151" s="26">
        <f>IF($J151="","",ROUND($J151*$K151,0))</f>
        <v/>
      </c>
      <c r="M151" s="37">
        <f>IF(OR($J151="",$I151=0),"",ROUND($J151/$I151,4))</f>
        <v/>
      </c>
      <c r="N151" s="17" t="n"/>
      <c r="O151" s="17" t="n"/>
      <c r="P151" s="24">
        <f>IF($J151="","未盘",IF(ROUND($J151,3)=0,"账实相符",IF(COUNTIFS(入库单!$G$4:$G$2503,$A151,入库单!$X$4:$X$2503,"盘盈",入库单!$C$4:$C$2503,"&gt;="&amp;账期起,入库单!$C$4:$C$2503,"&lt;="&amp;账期止)+COUNTIFS(出库单!$D$4:$D$4003,$A151,出库单!$K$4:$K$4003,"盘亏",出库单!$C$4:$C$4003,"&gt;="&amp;账期起,出库单!$C$4:$C$4003,"&lt;="&amp;账期止)&gt;0,"已调账","※差异还没调账")))</f>
        <v/>
      </c>
      <c r="Q151" s="17" t="n"/>
      <c r="R151" s="17" t="n"/>
    </row>
    <row r="152">
      <c r="A152" s="24">
        <f>IF(库存台账!$A152="","",库存台账!$A152)</f>
        <v/>
      </c>
      <c r="B152" s="24">
        <f>IF($A152="","",库存台账!$B152)</f>
        <v/>
      </c>
      <c r="C152" s="24">
        <f>IF($A152="","",库存台账!$C152)</f>
        <v/>
      </c>
      <c r="D152" s="24">
        <f>IF($A152="","",库存台账!$D152)</f>
        <v/>
      </c>
      <c r="E152" s="24">
        <f>IF($A152="","",库存台账!$E152)</f>
        <v/>
      </c>
      <c r="F152" s="24">
        <f>IF($A152="","",库存台账!$F152)</f>
        <v/>
      </c>
      <c r="G152" s="17" t="n"/>
      <c r="H152" s="23" t="n"/>
      <c r="I152" s="27">
        <f>IF($A152="","",库存台账!$X152)</f>
        <v/>
      </c>
      <c r="J152" s="27">
        <f>IF(OR($A152="",$H152=""),"",ROUND($H152-$I152,3))</f>
        <v/>
      </c>
      <c r="K152" s="26">
        <f>IF($A152="","",库存台账!$K152)</f>
        <v/>
      </c>
      <c r="L152" s="26">
        <f>IF($J152="","",ROUND($J152*$K152,0))</f>
        <v/>
      </c>
      <c r="M152" s="37">
        <f>IF(OR($J152="",$I152=0),"",ROUND($J152/$I152,4))</f>
        <v/>
      </c>
      <c r="N152" s="17" t="n"/>
      <c r="O152" s="17" t="n"/>
      <c r="P152" s="24">
        <f>IF($J152="","未盘",IF(ROUND($J152,3)=0,"账实相符",IF(COUNTIFS(入库单!$G$4:$G$2503,$A152,入库单!$X$4:$X$2503,"盘盈",入库单!$C$4:$C$2503,"&gt;="&amp;账期起,入库单!$C$4:$C$2503,"&lt;="&amp;账期止)+COUNTIFS(出库单!$D$4:$D$4003,$A152,出库单!$K$4:$K$4003,"盘亏",出库单!$C$4:$C$4003,"&gt;="&amp;账期起,出库单!$C$4:$C$4003,"&lt;="&amp;账期止)&gt;0,"已调账","※差异还没调账")))</f>
        <v/>
      </c>
      <c r="Q152" s="17" t="n"/>
      <c r="R152" s="17" t="n"/>
    </row>
    <row r="153">
      <c r="A153" s="24">
        <f>IF(库存台账!$A153="","",库存台账!$A153)</f>
        <v/>
      </c>
      <c r="B153" s="24">
        <f>IF($A153="","",库存台账!$B153)</f>
        <v/>
      </c>
      <c r="C153" s="24">
        <f>IF($A153="","",库存台账!$C153)</f>
        <v/>
      </c>
      <c r="D153" s="24">
        <f>IF($A153="","",库存台账!$D153)</f>
        <v/>
      </c>
      <c r="E153" s="24">
        <f>IF($A153="","",库存台账!$E153)</f>
        <v/>
      </c>
      <c r="F153" s="24">
        <f>IF($A153="","",库存台账!$F153)</f>
        <v/>
      </c>
      <c r="G153" s="17" t="n"/>
      <c r="H153" s="23" t="n"/>
      <c r="I153" s="27">
        <f>IF($A153="","",库存台账!$X153)</f>
        <v/>
      </c>
      <c r="J153" s="27">
        <f>IF(OR($A153="",$H153=""),"",ROUND($H153-$I153,3))</f>
        <v/>
      </c>
      <c r="K153" s="26">
        <f>IF($A153="","",库存台账!$K153)</f>
        <v/>
      </c>
      <c r="L153" s="26">
        <f>IF($J153="","",ROUND($J153*$K153,0))</f>
        <v/>
      </c>
      <c r="M153" s="37">
        <f>IF(OR($J153="",$I153=0),"",ROUND($J153/$I153,4))</f>
        <v/>
      </c>
      <c r="N153" s="17" t="n"/>
      <c r="O153" s="17" t="n"/>
      <c r="P153" s="24">
        <f>IF($J153="","未盘",IF(ROUND($J153,3)=0,"账实相符",IF(COUNTIFS(入库单!$G$4:$G$2503,$A153,入库单!$X$4:$X$2503,"盘盈",入库单!$C$4:$C$2503,"&gt;="&amp;账期起,入库单!$C$4:$C$2503,"&lt;="&amp;账期止)+COUNTIFS(出库单!$D$4:$D$4003,$A153,出库单!$K$4:$K$4003,"盘亏",出库单!$C$4:$C$4003,"&gt;="&amp;账期起,出库单!$C$4:$C$4003,"&lt;="&amp;账期止)&gt;0,"已调账","※差异还没调账")))</f>
        <v/>
      </c>
      <c r="Q153" s="17" t="n"/>
      <c r="R153" s="17" t="n"/>
    </row>
    <row r="154">
      <c r="A154" s="24">
        <f>IF(库存台账!$A154="","",库存台账!$A154)</f>
        <v/>
      </c>
      <c r="B154" s="24">
        <f>IF($A154="","",库存台账!$B154)</f>
        <v/>
      </c>
      <c r="C154" s="24">
        <f>IF($A154="","",库存台账!$C154)</f>
        <v/>
      </c>
      <c r="D154" s="24">
        <f>IF($A154="","",库存台账!$D154)</f>
        <v/>
      </c>
      <c r="E154" s="24">
        <f>IF($A154="","",库存台账!$E154)</f>
        <v/>
      </c>
      <c r="F154" s="24">
        <f>IF($A154="","",库存台账!$F154)</f>
        <v/>
      </c>
      <c r="G154" s="17" t="n"/>
      <c r="H154" s="23" t="n"/>
      <c r="I154" s="27">
        <f>IF($A154="","",库存台账!$X154)</f>
        <v/>
      </c>
      <c r="J154" s="27">
        <f>IF(OR($A154="",$H154=""),"",ROUND($H154-$I154,3))</f>
        <v/>
      </c>
      <c r="K154" s="26">
        <f>IF($A154="","",库存台账!$K154)</f>
        <v/>
      </c>
      <c r="L154" s="26">
        <f>IF($J154="","",ROUND($J154*$K154,0))</f>
        <v/>
      </c>
      <c r="M154" s="37">
        <f>IF(OR($J154="",$I154=0),"",ROUND($J154/$I154,4))</f>
        <v/>
      </c>
      <c r="N154" s="17" t="n"/>
      <c r="O154" s="17" t="n"/>
      <c r="P154" s="24">
        <f>IF($J154="","未盘",IF(ROUND($J154,3)=0,"账实相符",IF(COUNTIFS(入库单!$G$4:$G$2503,$A154,入库单!$X$4:$X$2503,"盘盈",入库单!$C$4:$C$2503,"&gt;="&amp;账期起,入库单!$C$4:$C$2503,"&lt;="&amp;账期止)+COUNTIFS(出库单!$D$4:$D$4003,$A154,出库单!$K$4:$K$4003,"盘亏",出库单!$C$4:$C$4003,"&gt;="&amp;账期起,出库单!$C$4:$C$4003,"&lt;="&amp;账期止)&gt;0,"已调账","※差异还没调账")))</f>
        <v/>
      </c>
      <c r="Q154" s="17" t="n"/>
      <c r="R154" s="17" t="n"/>
    </row>
    <row r="155">
      <c r="A155" s="24">
        <f>IF(库存台账!$A155="","",库存台账!$A155)</f>
        <v/>
      </c>
      <c r="B155" s="24">
        <f>IF($A155="","",库存台账!$B155)</f>
        <v/>
      </c>
      <c r="C155" s="24">
        <f>IF($A155="","",库存台账!$C155)</f>
        <v/>
      </c>
      <c r="D155" s="24">
        <f>IF($A155="","",库存台账!$D155)</f>
        <v/>
      </c>
      <c r="E155" s="24">
        <f>IF($A155="","",库存台账!$E155)</f>
        <v/>
      </c>
      <c r="F155" s="24">
        <f>IF($A155="","",库存台账!$F155)</f>
        <v/>
      </c>
      <c r="G155" s="17" t="n"/>
      <c r="H155" s="23" t="n"/>
      <c r="I155" s="27">
        <f>IF($A155="","",库存台账!$X155)</f>
        <v/>
      </c>
      <c r="J155" s="27">
        <f>IF(OR($A155="",$H155=""),"",ROUND($H155-$I155,3))</f>
        <v/>
      </c>
      <c r="K155" s="26">
        <f>IF($A155="","",库存台账!$K155)</f>
        <v/>
      </c>
      <c r="L155" s="26">
        <f>IF($J155="","",ROUND($J155*$K155,0))</f>
        <v/>
      </c>
      <c r="M155" s="37">
        <f>IF(OR($J155="",$I155=0),"",ROUND($J155/$I155,4))</f>
        <v/>
      </c>
      <c r="N155" s="17" t="n"/>
      <c r="O155" s="17" t="n"/>
      <c r="P155" s="24">
        <f>IF($J155="","未盘",IF(ROUND($J155,3)=0,"账实相符",IF(COUNTIFS(入库单!$G$4:$G$2503,$A155,入库单!$X$4:$X$2503,"盘盈",入库单!$C$4:$C$2503,"&gt;="&amp;账期起,入库单!$C$4:$C$2503,"&lt;="&amp;账期止)+COUNTIFS(出库单!$D$4:$D$4003,$A155,出库单!$K$4:$K$4003,"盘亏",出库单!$C$4:$C$4003,"&gt;="&amp;账期起,出库单!$C$4:$C$4003,"&lt;="&amp;账期止)&gt;0,"已调账","※差异还没调账")))</f>
        <v/>
      </c>
      <c r="Q155" s="17" t="n"/>
      <c r="R155" s="17" t="n"/>
    </row>
    <row r="156">
      <c r="A156" s="24">
        <f>IF(库存台账!$A156="","",库存台账!$A156)</f>
        <v/>
      </c>
      <c r="B156" s="24">
        <f>IF($A156="","",库存台账!$B156)</f>
        <v/>
      </c>
      <c r="C156" s="24">
        <f>IF($A156="","",库存台账!$C156)</f>
        <v/>
      </c>
      <c r="D156" s="24">
        <f>IF($A156="","",库存台账!$D156)</f>
        <v/>
      </c>
      <c r="E156" s="24">
        <f>IF($A156="","",库存台账!$E156)</f>
        <v/>
      </c>
      <c r="F156" s="24">
        <f>IF($A156="","",库存台账!$F156)</f>
        <v/>
      </c>
      <c r="G156" s="17" t="n"/>
      <c r="H156" s="23" t="n"/>
      <c r="I156" s="27">
        <f>IF($A156="","",库存台账!$X156)</f>
        <v/>
      </c>
      <c r="J156" s="27">
        <f>IF(OR($A156="",$H156=""),"",ROUND($H156-$I156,3))</f>
        <v/>
      </c>
      <c r="K156" s="26">
        <f>IF($A156="","",库存台账!$K156)</f>
        <v/>
      </c>
      <c r="L156" s="26">
        <f>IF($J156="","",ROUND($J156*$K156,0))</f>
        <v/>
      </c>
      <c r="M156" s="37">
        <f>IF(OR($J156="",$I156=0),"",ROUND($J156/$I156,4))</f>
        <v/>
      </c>
      <c r="N156" s="17" t="n"/>
      <c r="O156" s="17" t="n"/>
      <c r="P156" s="24">
        <f>IF($J156="","未盘",IF(ROUND($J156,3)=0,"账实相符",IF(COUNTIFS(入库单!$G$4:$G$2503,$A156,入库单!$X$4:$X$2503,"盘盈",入库单!$C$4:$C$2503,"&gt;="&amp;账期起,入库单!$C$4:$C$2503,"&lt;="&amp;账期止)+COUNTIFS(出库单!$D$4:$D$4003,$A156,出库单!$K$4:$K$4003,"盘亏",出库单!$C$4:$C$4003,"&gt;="&amp;账期起,出库单!$C$4:$C$4003,"&lt;="&amp;账期止)&gt;0,"已调账","※差异还没调账")))</f>
        <v/>
      </c>
      <c r="Q156" s="17" t="n"/>
      <c r="R156" s="17" t="n"/>
    </row>
    <row r="157">
      <c r="A157" s="24">
        <f>IF(库存台账!$A157="","",库存台账!$A157)</f>
        <v/>
      </c>
      <c r="B157" s="24">
        <f>IF($A157="","",库存台账!$B157)</f>
        <v/>
      </c>
      <c r="C157" s="24">
        <f>IF($A157="","",库存台账!$C157)</f>
        <v/>
      </c>
      <c r="D157" s="24">
        <f>IF($A157="","",库存台账!$D157)</f>
        <v/>
      </c>
      <c r="E157" s="24">
        <f>IF($A157="","",库存台账!$E157)</f>
        <v/>
      </c>
      <c r="F157" s="24">
        <f>IF($A157="","",库存台账!$F157)</f>
        <v/>
      </c>
      <c r="G157" s="17" t="n"/>
      <c r="H157" s="23" t="n"/>
      <c r="I157" s="27">
        <f>IF($A157="","",库存台账!$X157)</f>
        <v/>
      </c>
      <c r="J157" s="27">
        <f>IF(OR($A157="",$H157=""),"",ROUND($H157-$I157,3))</f>
        <v/>
      </c>
      <c r="K157" s="26">
        <f>IF($A157="","",库存台账!$K157)</f>
        <v/>
      </c>
      <c r="L157" s="26">
        <f>IF($J157="","",ROUND($J157*$K157,0))</f>
        <v/>
      </c>
      <c r="M157" s="37">
        <f>IF(OR($J157="",$I157=0),"",ROUND($J157/$I157,4))</f>
        <v/>
      </c>
      <c r="N157" s="17" t="n"/>
      <c r="O157" s="17" t="n"/>
      <c r="P157" s="24">
        <f>IF($J157="","未盘",IF(ROUND($J157,3)=0,"账实相符",IF(COUNTIFS(入库单!$G$4:$G$2503,$A157,入库单!$X$4:$X$2503,"盘盈",入库单!$C$4:$C$2503,"&gt;="&amp;账期起,入库单!$C$4:$C$2503,"&lt;="&amp;账期止)+COUNTIFS(出库单!$D$4:$D$4003,$A157,出库单!$K$4:$K$4003,"盘亏",出库单!$C$4:$C$4003,"&gt;="&amp;账期起,出库单!$C$4:$C$4003,"&lt;="&amp;账期止)&gt;0,"已调账","※差异还没调账")))</f>
        <v/>
      </c>
      <c r="Q157" s="17" t="n"/>
      <c r="R157" s="17" t="n"/>
    </row>
    <row r="158">
      <c r="A158" s="24">
        <f>IF(库存台账!$A158="","",库存台账!$A158)</f>
        <v/>
      </c>
      <c r="B158" s="24">
        <f>IF($A158="","",库存台账!$B158)</f>
        <v/>
      </c>
      <c r="C158" s="24">
        <f>IF($A158="","",库存台账!$C158)</f>
        <v/>
      </c>
      <c r="D158" s="24">
        <f>IF($A158="","",库存台账!$D158)</f>
        <v/>
      </c>
      <c r="E158" s="24">
        <f>IF($A158="","",库存台账!$E158)</f>
        <v/>
      </c>
      <c r="F158" s="24">
        <f>IF($A158="","",库存台账!$F158)</f>
        <v/>
      </c>
      <c r="G158" s="17" t="n"/>
      <c r="H158" s="23" t="n"/>
      <c r="I158" s="27">
        <f>IF($A158="","",库存台账!$X158)</f>
        <v/>
      </c>
      <c r="J158" s="27">
        <f>IF(OR($A158="",$H158=""),"",ROUND($H158-$I158,3))</f>
        <v/>
      </c>
      <c r="K158" s="26">
        <f>IF($A158="","",库存台账!$K158)</f>
        <v/>
      </c>
      <c r="L158" s="26">
        <f>IF($J158="","",ROUND($J158*$K158,0))</f>
        <v/>
      </c>
      <c r="M158" s="37">
        <f>IF(OR($J158="",$I158=0),"",ROUND($J158/$I158,4))</f>
        <v/>
      </c>
      <c r="N158" s="17" t="n"/>
      <c r="O158" s="17" t="n"/>
      <c r="P158" s="24">
        <f>IF($J158="","未盘",IF(ROUND($J158,3)=0,"账实相符",IF(COUNTIFS(入库单!$G$4:$G$2503,$A158,入库单!$X$4:$X$2503,"盘盈",入库单!$C$4:$C$2503,"&gt;="&amp;账期起,入库单!$C$4:$C$2503,"&lt;="&amp;账期止)+COUNTIFS(出库单!$D$4:$D$4003,$A158,出库单!$K$4:$K$4003,"盘亏",出库单!$C$4:$C$4003,"&gt;="&amp;账期起,出库单!$C$4:$C$4003,"&lt;="&amp;账期止)&gt;0,"已调账","※差异还没调账")))</f>
        <v/>
      </c>
      <c r="Q158" s="17" t="n"/>
      <c r="R158" s="17" t="n"/>
    </row>
    <row r="159">
      <c r="A159" s="24">
        <f>IF(库存台账!$A159="","",库存台账!$A159)</f>
        <v/>
      </c>
      <c r="B159" s="24">
        <f>IF($A159="","",库存台账!$B159)</f>
        <v/>
      </c>
      <c r="C159" s="24">
        <f>IF($A159="","",库存台账!$C159)</f>
        <v/>
      </c>
      <c r="D159" s="24">
        <f>IF($A159="","",库存台账!$D159)</f>
        <v/>
      </c>
      <c r="E159" s="24">
        <f>IF($A159="","",库存台账!$E159)</f>
        <v/>
      </c>
      <c r="F159" s="24">
        <f>IF($A159="","",库存台账!$F159)</f>
        <v/>
      </c>
      <c r="G159" s="17" t="n"/>
      <c r="H159" s="23" t="n"/>
      <c r="I159" s="27">
        <f>IF($A159="","",库存台账!$X159)</f>
        <v/>
      </c>
      <c r="J159" s="27">
        <f>IF(OR($A159="",$H159=""),"",ROUND($H159-$I159,3))</f>
        <v/>
      </c>
      <c r="K159" s="26">
        <f>IF($A159="","",库存台账!$K159)</f>
        <v/>
      </c>
      <c r="L159" s="26">
        <f>IF($J159="","",ROUND($J159*$K159,0))</f>
        <v/>
      </c>
      <c r="M159" s="37">
        <f>IF(OR($J159="",$I159=0),"",ROUND($J159/$I159,4))</f>
        <v/>
      </c>
      <c r="N159" s="17" t="n"/>
      <c r="O159" s="17" t="n"/>
      <c r="P159" s="24">
        <f>IF($J159="","未盘",IF(ROUND($J159,3)=0,"账实相符",IF(COUNTIFS(入库单!$G$4:$G$2503,$A159,入库单!$X$4:$X$2503,"盘盈",入库单!$C$4:$C$2503,"&gt;="&amp;账期起,入库单!$C$4:$C$2503,"&lt;="&amp;账期止)+COUNTIFS(出库单!$D$4:$D$4003,$A159,出库单!$K$4:$K$4003,"盘亏",出库单!$C$4:$C$4003,"&gt;="&amp;账期起,出库单!$C$4:$C$4003,"&lt;="&amp;账期止)&gt;0,"已调账","※差异还没调账")))</f>
        <v/>
      </c>
      <c r="Q159" s="17" t="n"/>
      <c r="R159" s="17" t="n"/>
    </row>
    <row r="160">
      <c r="A160" s="24">
        <f>IF(库存台账!$A160="","",库存台账!$A160)</f>
        <v/>
      </c>
      <c r="B160" s="24">
        <f>IF($A160="","",库存台账!$B160)</f>
        <v/>
      </c>
      <c r="C160" s="24">
        <f>IF($A160="","",库存台账!$C160)</f>
        <v/>
      </c>
      <c r="D160" s="24">
        <f>IF($A160="","",库存台账!$D160)</f>
        <v/>
      </c>
      <c r="E160" s="24">
        <f>IF($A160="","",库存台账!$E160)</f>
        <v/>
      </c>
      <c r="F160" s="24">
        <f>IF($A160="","",库存台账!$F160)</f>
        <v/>
      </c>
      <c r="G160" s="17" t="n"/>
      <c r="H160" s="23" t="n"/>
      <c r="I160" s="27">
        <f>IF($A160="","",库存台账!$X160)</f>
        <v/>
      </c>
      <c r="J160" s="27">
        <f>IF(OR($A160="",$H160=""),"",ROUND($H160-$I160,3))</f>
        <v/>
      </c>
      <c r="K160" s="26">
        <f>IF($A160="","",库存台账!$K160)</f>
        <v/>
      </c>
      <c r="L160" s="26">
        <f>IF($J160="","",ROUND($J160*$K160,0))</f>
        <v/>
      </c>
      <c r="M160" s="37">
        <f>IF(OR($J160="",$I160=0),"",ROUND($J160/$I160,4))</f>
        <v/>
      </c>
      <c r="N160" s="17" t="n"/>
      <c r="O160" s="17" t="n"/>
      <c r="P160" s="24">
        <f>IF($J160="","未盘",IF(ROUND($J160,3)=0,"账实相符",IF(COUNTIFS(入库单!$G$4:$G$2503,$A160,入库单!$X$4:$X$2503,"盘盈",入库单!$C$4:$C$2503,"&gt;="&amp;账期起,入库单!$C$4:$C$2503,"&lt;="&amp;账期止)+COUNTIFS(出库单!$D$4:$D$4003,$A160,出库单!$K$4:$K$4003,"盘亏",出库单!$C$4:$C$4003,"&gt;="&amp;账期起,出库单!$C$4:$C$4003,"&lt;="&amp;账期止)&gt;0,"已调账","※差异还没调账")))</f>
        <v/>
      </c>
      <c r="Q160" s="17" t="n"/>
      <c r="R160" s="17" t="n"/>
    </row>
    <row r="161">
      <c r="A161" s="24">
        <f>IF(库存台账!$A161="","",库存台账!$A161)</f>
        <v/>
      </c>
      <c r="B161" s="24">
        <f>IF($A161="","",库存台账!$B161)</f>
        <v/>
      </c>
      <c r="C161" s="24">
        <f>IF($A161="","",库存台账!$C161)</f>
        <v/>
      </c>
      <c r="D161" s="24">
        <f>IF($A161="","",库存台账!$D161)</f>
        <v/>
      </c>
      <c r="E161" s="24">
        <f>IF($A161="","",库存台账!$E161)</f>
        <v/>
      </c>
      <c r="F161" s="24">
        <f>IF($A161="","",库存台账!$F161)</f>
        <v/>
      </c>
      <c r="G161" s="17" t="n"/>
      <c r="H161" s="23" t="n"/>
      <c r="I161" s="27">
        <f>IF($A161="","",库存台账!$X161)</f>
        <v/>
      </c>
      <c r="J161" s="27">
        <f>IF(OR($A161="",$H161=""),"",ROUND($H161-$I161,3))</f>
        <v/>
      </c>
      <c r="K161" s="26">
        <f>IF($A161="","",库存台账!$K161)</f>
        <v/>
      </c>
      <c r="L161" s="26">
        <f>IF($J161="","",ROUND($J161*$K161,0))</f>
        <v/>
      </c>
      <c r="M161" s="37">
        <f>IF(OR($J161="",$I161=0),"",ROUND($J161/$I161,4))</f>
        <v/>
      </c>
      <c r="N161" s="17" t="n"/>
      <c r="O161" s="17" t="n"/>
      <c r="P161" s="24">
        <f>IF($J161="","未盘",IF(ROUND($J161,3)=0,"账实相符",IF(COUNTIFS(入库单!$G$4:$G$2503,$A161,入库单!$X$4:$X$2503,"盘盈",入库单!$C$4:$C$2503,"&gt;="&amp;账期起,入库单!$C$4:$C$2503,"&lt;="&amp;账期止)+COUNTIFS(出库单!$D$4:$D$4003,$A161,出库单!$K$4:$K$4003,"盘亏",出库单!$C$4:$C$4003,"&gt;="&amp;账期起,出库单!$C$4:$C$4003,"&lt;="&amp;账期止)&gt;0,"已调账","※差异还没调账")))</f>
        <v/>
      </c>
      <c r="Q161" s="17" t="n"/>
      <c r="R161" s="17" t="n"/>
    </row>
    <row r="162">
      <c r="A162" s="24">
        <f>IF(库存台账!$A162="","",库存台账!$A162)</f>
        <v/>
      </c>
      <c r="B162" s="24">
        <f>IF($A162="","",库存台账!$B162)</f>
        <v/>
      </c>
      <c r="C162" s="24">
        <f>IF($A162="","",库存台账!$C162)</f>
        <v/>
      </c>
      <c r="D162" s="24">
        <f>IF($A162="","",库存台账!$D162)</f>
        <v/>
      </c>
      <c r="E162" s="24">
        <f>IF($A162="","",库存台账!$E162)</f>
        <v/>
      </c>
      <c r="F162" s="24">
        <f>IF($A162="","",库存台账!$F162)</f>
        <v/>
      </c>
      <c r="G162" s="17" t="n"/>
      <c r="H162" s="23" t="n"/>
      <c r="I162" s="27">
        <f>IF($A162="","",库存台账!$X162)</f>
        <v/>
      </c>
      <c r="J162" s="27">
        <f>IF(OR($A162="",$H162=""),"",ROUND($H162-$I162,3))</f>
        <v/>
      </c>
      <c r="K162" s="26">
        <f>IF($A162="","",库存台账!$K162)</f>
        <v/>
      </c>
      <c r="L162" s="26">
        <f>IF($J162="","",ROUND($J162*$K162,0))</f>
        <v/>
      </c>
      <c r="M162" s="37">
        <f>IF(OR($J162="",$I162=0),"",ROUND($J162/$I162,4))</f>
        <v/>
      </c>
      <c r="N162" s="17" t="n"/>
      <c r="O162" s="17" t="n"/>
      <c r="P162" s="24">
        <f>IF($J162="","未盘",IF(ROUND($J162,3)=0,"账实相符",IF(COUNTIFS(入库单!$G$4:$G$2503,$A162,入库单!$X$4:$X$2503,"盘盈",入库单!$C$4:$C$2503,"&gt;="&amp;账期起,入库单!$C$4:$C$2503,"&lt;="&amp;账期止)+COUNTIFS(出库单!$D$4:$D$4003,$A162,出库单!$K$4:$K$4003,"盘亏",出库单!$C$4:$C$4003,"&gt;="&amp;账期起,出库单!$C$4:$C$4003,"&lt;="&amp;账期止)&gt;0,"已调账","※差异还没调账")))</f>
        <v/>
      </c>
      <c r="Q162" s="17" t="n"/>
      <c r="R162" s="17" t="n"/>
    </row>
    <row r="163">
      <c r="A163" s="24">
        <f>IF(库存台账!$A163="","",库存台账!$A163)</f>
        <v/>
      </c>
      <c r="B163" s="24">
        <f>IF($A163="","",库存台账!$B163)</f>
        <v/>
      </c>
      <c r="C163" s="24">
        <f>IF($A163="","",库存台账!$C163)</f>
        <v/>
      </c>
      <c r="D163" s="24">
        <f>IF($A163="","",库存台账!$D163)</f>
        <v/>
      </c>
      <c r="E163" s="24">
        <f>IF($A163="","",库存台账!$E163)</f>
        <v/>
      </c>
      <c r="F163" s="24">
        <f>IF($A163="","",库存台账!$F163)</f>
        <v/>
      </c>
      <c r="G163" s="17" t="n"/>
      <c r="H163" s="23" t="n"/>
      <c r="I163" s="27">
        <f>IF($A163="","",库存台账!$X163)</f>
        <v/>
      </c>
      <c r="J163" s="27">
        <f>IF(OR($A163="",$H163=""),"",ROUND($H163-$I163,3))</f>
        <v/>
      </c>
      <c r="K163" s="26">
        <f>IF($A163="","",库存台账!$K163)</f>
        <v/>
      </c>
      <c r="L163" s="26">
        <f>IF($J163="","",ROUND($J163*$K163,0))</f>
        <v/>
      </c>
      <c r="M163" s="37">
        <f>IF(OR($J163="",$I163=0),"",ROUND($J163/$I163,4))</f>
        <v/>
      </c>
      <c r="N163" s="17" t="n"/>
      <c r="O163" s="17" t="n"/>
      <c r="P163" s="24">
        <f>IF($J163="","未盘",IF(ROUND($J163,3)=0,"账实相符",IF(COUNTIFS(入库单!$G$4:$G$2503,$A163,入库单!$X$4:$X$2503,"盘盈",入库单!$C$4:$C$2503,"&gt;="&amp;账期起,入库单!$C$4:$C$2503,"&lt;="&amp;账期止)+COUNTIFS(出库单!$D$4:$D$4003,$A163,出库单!$K$4:$K$4003,"盘亏",出库单!$C$4:$C$4003,"&gt;="&amp;账期起,出库单!$C$4:$C$4003,"&lt;="&amp;账期止)&gt;0,"已调账","※差异还没调账")))</f>
        <v/>
      </c>
      <c r="Q163" s="17" t="n"/>
      <c r="R163" s="17" t="n"/>
    </row>
    <row r="164">
      <c r="A164" s="24">
        <f>IF(库存台账!$A164="","",库存台账!$A164)</f>
        <v/>
      </c>
      <c r="B164" s="24">
        <f>IF($A164="","",库存台账!$B164)</f>
        <v/>
      </c>
      <c r="C164" s="24">
        <f>IF($A164="","",库存台账!$C164)</f>
        <v/>
      </c>
      <c r="D164" s="24">
        <f>IF($A164="","",库存台账!$D164)</f>
        <v/>
      </c>
      <c r="E164" s="24">
        <f>IF($A164="","",库存台账!$E164)</f>
        <v/>
      </c>
      <c r="F164" s="24">
        <f>IF($A164="","",库存台账!$F164)</f>
        <v/>
      </c>
      <c r="G164" s="17" t="n"/>
      <c r="H164" s="23" t="n"/>
      <c r="I164" s="27">
        <f>IF($A164="","",库存台账!$X164)</f>
        <v/>
      </c>
      <c r="J164" s="27">
        <f>IF(OR($A164="",$H164=""),"",ROUND($H164-$I164,3))</f>
        <v/>
      </c>
      <c r="K164" s="26">
        <f>IF($A164="","",库存台账!$K164)</f>
        <v/>
      </c>
      <c r="L164" s="26">
        <f>IF($J164="","",ROUND($J164*$K164,0))</f>
        <v/>
      </c>
      <c r="M164" s="37">
        <f>IF(OR($J164="",$I164=0),"",ROUND($J164/$I164,4))</f>
        <v/>
      </c>
      <c r="N164" s="17" t="n"/>
      <c r="O164" s="17" t="n"/>
      <c r="P164" s="24">
        <f>IF($J164="","未盘",IF(ROUND($J164,3)=0,"账实相符",IF(COUNTIFS(入库单!$G$4:$G$2503,$A164,入库单!$X$4:$X$2503,"盘盈",入库单!$C$4:$C$2503,"&gt;="&amp;账期起,入库单!$C$4:$C$2503,"&lt;="&amp;账期止)+COUNTIFS(出库单!$D$4:$D$4003,$A164,出库单!$K$4:$K$4003,"盘亏",出库单!$C$4:$C$4003,"&gt;="&amp;账期起,出库单!$C$4:$C$4003,"&lt;="&amp;账期止)&gt;0,"已调账","※差异还没调账")))</f>
        <v/>
      </c>
      <c r="Q164" s="17" t="n"/>
      <c r="R164" s="17" t="n"/>
    </row>
    <row r="165">
      <c r="A165" s="24">
        <f>IF(库存台账!$A165="","",库存台账!$A165)</f>
        <v/>
      </c>
      <c r="B165" s="24">
        <f>IF($A165="","",库存台账!$B165)</f>
        <v/>
      </c>
      <c r="C165" s="24">
        <f>IF($A165="","",库存台账!$C165)</f>
        <v/>
      </c>
      <c r="D165" s="24">
        <f>IF($A165="","",库存台账!$D165)</f>
        <v/>
      </c>
      <c r="E165" s="24">
        <f>IF($A165="","",库存台账!$E165)</f>
        <v/>
      </c>
      <c r="F165" s="24">
        <f>IF($A165="","",库存台账!$F165)</f>
        <v/>
      </c>
      <c r="G165" s="17" t="n"/>
      <c r="H165" s="23" t="n"/>
      <c r="I165" s="27">
        <f>IF($A165="","",库存台账!$X165)</f>
        <v/>
      </c>
      <c r="J165" s="27">
        <f>IF(OR($A165="",$H165=""),"",ROUND($H165-$I165,3))</f>
        <v/>
      </c>
      <c r="K165" s="26">
        <f>IF($A165="","",库存台账!$K165)</f>
        <v/>
      </c>
      <c r="L165" s="26">
        <f>IF($J165="","",ROUND($J165*$K165,0))</f>
        <v/>
      </c>
      <c r="M165" s="37">
        <f>IF(OR($J165="",$I165=0),"",ROUND($J165/$I165,4))</f>
        <v/>
      </c>
      <c r="N165" s="17" t="n"/>
      <c r="O165" s="17" t="n"/>
      <c r="P165" s="24">
        <f>IF($J165="","未盘",IF(ROUND($J165,3)=0,"账实相符",IF(COUNTIFS(入库单!$G$4:$G$2503,$A165,入库单!$X$4:$X$2503,"盘盈",入库单!$C$4:$C$2503,"&gt;="&amp;账期起,入库单!$C$4:$C$2503,"&lt;="&amp;账期止)+COUNTIFS(出库单!$D$4:$D$4003,$A165,出库单!$K$4:$K$4003,"盘亏",出库单!$C$4:$C$4003,"&gt;="&amp;账期起,出库单!$C$4:$C$4003,"&lt;="&amp;账期止)&gt;0,"已调账","※差异还没调账")))</f>
        <v/>
      </c>
      <c r="Q165" s="17" t="n"/>
      <c r="R165" s="17" t="n"/>
    </row>
    <row r="166">
      <c r="A166" s="24">
        <f>IF(库存台账!$A166="","",库存台账!$A166)</f>
        <v/>
      </c>
      <c r="B166" s="24">
        <f>IF($A166="","",库存台账!$B166)</f>
        <v/>
      </c>
      <c r="C166" s="24">
        <f>IF($A166="","",库存台账!$C166)</f>
        <v/>
      </c>
      <c r="D166" s="24">
        <f>IF($A166="","",库存台账!$D166)</f>
        <v/>
      </c>
      <c r="E166" s="24">
        <f>IF($A166="","",库存台账!$E166)</f>
        <v/>
      </c>
      <c r="F166" s="24">
        <f>IF($A166="","",库存台账!$F166)</f>
        <v/>
      </c>
      <c r="G166" s="17" t="n"/>
      <c r="H166" s="23" t="n"/>
      <c r="I166" s="27">
        <f>IF($A166="","",库存台账!$X166)</f>
        <v/>
      </c>
      <c r="J166" s="27">
        <f>IF(OR($A166="",$H166=""),"",ROUND($H166-$I166,3))</f>
        <v/>
      </c>
      <c r="K166" s="26">
        <f>IF($A166="","",库存台账!$K166)</f>
        <v/>
      </c>
      <c r="L166" s="26">
        <f>IF($J166="","",ROUND($J166*$K166,0))</f>
        <v/>
      </c>
      <c r="M166" s="37">
        <f>IF(OR($J166="",$I166=0),"",ROUND($J166/$I166,4))</f>
        <v/>
      </c>
      <c r="N166" s="17" t="n"/>
      <c r="O166" s="17" t="n"/>
      <c r="P166" s="24">
        <f>IF($J166="","未盘",IF(ROUND($J166,3)=0,"账实相符",IF(COUNTIFS(入库单!$G$4:$G$2503,$A166,入库单!$X$4:$X$2503,"盘盈",入库单!$C$4:$C$2503,"&gt;="&amp;账期起,入库单!$C$4:$C$2503,"&lt;="&amp;账期止)+COUNTIFS(出库单!$D$4:$D$4003,$A166,出库单!$K$4:$K$4003,"盘亏",出库单!$C$4:$C$4003,"&gt;="&amp;账期起,出库单!$C$4:$C$4003,"&lt;="&amp;账期止)&gt;0,"已调账","※差异还没调账")))</f>
        <v/>
      </c>
      <c r="Q166" s="17" t="n"/>
      <c r="R166" s="17" t="n"/>
    </row>
    <row r="167">
      <c r="A167" s="24">
        <f>IF(库存台账!$A167="","",库存台账!$A167)</f>
        <v/>
      </c>
      <c r="B167" s="24">
        <f>IF($A167="","",库存台账!$B167)</f>
        <v/>
      </c>
      <c r="C167" s="24">
        <f>IF($A167="","",库存台账!$C167)</f>
        <v/>
      </c>
      <c r="D167" s="24">
        <f>IF($A167="","",库存台账!$D167)</f>
        <v/>
      </c>
      <c r="E167" s="24">
        <f>IF($A167="","",库存台账!$E167)</f>
        <v/>
      </c>
      <c r="F167" s="24">
        <f>IF($A167="","",库存台账!$F167)</f>
        <v/>
      </c>
      <c r="G167" s="17" t="n"/>
      <c r="H167" s="23" t="n"/>
      <c r="I167" s="27">
        <f>IF($A167="","",库存台账!$X167)</f>
        <v/>
      </c>
      <c r="J167" s="27">
        <f>IF(OR($A167="",$H167=""),"",ROUND($H167-$I167,3))</f>
        <v/>
      </c>
      <c r="K167" s="26">
        <f>IF($A167="","",库存台账!$K167)</f>
        <v/>
      </c>
      <c r="L167" s="26">
        <f>IF($J167="","",ROUND($J167*$K167,0))</f>
        <v/>
      </c>
      <c r="M167" s="37">
        <f>IF(OR($J167="",$I167=0),"",ROUND($J167/$I167,4))</f>
        <v/>
      </c>
      <c r="N167" s="17" t="n"/>
      <c r="O167" s="17" t="n"/>
      <c r="P167" s="24">
        <f>IF($J167="","未盘",IF(ROUND($J167,3)=0,"账实相符",IF(COUNTIFS(入库单!$G$4:$G$2503,$A167,入库单!$X$4:$X$2503,"盘盈",入库单!$C$4:$C$2503,"&gt;="&amp;账期起,入库单!$C$4:$C$2503,"&lt;="&amp;账期止)+COUNTIFS(出库单!$D$4:$D$4003,$A167,出库单!$K$4:$K$4003,"盘亏",出库单!$C$4:$C$4003,"&gt;="&amp;账期起,出库单!$C$4:$C$4003,"&lt;="&amp;账期止)&gt;0,"已调账","※差异还没调账")))</f>
        <v/>
      </c>
      <c r="Q167" s="17" t="n"/>
      <c r="R167" s="17" t="n"/>
    </row>
    <row r="168">
      <c r="A168" s="24">
        <f>IF(库存台账!$A168="","",库存台账!$A168)</f>
        <v/>
      </c>
      <c r="B168" s="24">
        <f>IF($A168="","",库存台账!$B168)</f>
        <v/>
      </c>
      <c r="C168" s="24">
        <f>IF($A168="","",库存台账!$C168)</f>
        <v/>
      </c>
      <c r="D168" s="24">
        <f>IF($A168="","",库存台账!$D168)</f>
        <v/>
      </c>
      <c r="E168" s="24">
        <f>IF($A168="","",库存台账!$E168)</f>
        <v/>
      </c>
      <c r="F168" s="24">
        <f>IF($A168="","",库存台账!$F168)</f>
        <v/>
      </c>
      <c r="G168" s="17" t="n"/>
      <c r="H168" s="23" t="n"/>
      <c r="I168" s="27">
        <f>IF($A168="","",库存台账!$X168)</f>
        <v/>
      </c>
      <c r="J168" s="27">
        <f>IF(OR($A168="",$H168=""),"",ROUND($H168-$I168,3))</f>
        <v/>
      </c>
      <c r="K168" s="26">
        <f>IF($A168="","",库存台账!$K168)</f>
        <v/>
      </c>
      <c r="L168" s="26">
        <f>IF($J168="","",ROUND($J168*$K168,0))</f>
        <v/>
      </c>
      <c r="M168" s="37">
        <f>IF(OR($J168="",$I168=0),"",ROUND($J168/$I168,4))</f>
        <v/>
      </c>
      <c r="N168" s="17" t="n"/>
      <c r="O168" s="17" t="n"/>
      <c r="P168" s="24">
        <f>IF($J168="","未盘",IF(ROUND($J168,3)=0,"账实相符",IF(COUNTIFS(入库单!$G$4:$G$2503,$A168,入库单!$X$4:$X$2503,"盘盈",入库单!$C$4:$C$2503,"&gt;="&amp;账期起,入库单!$C$4:$C$2503,"&lt;="&amp;账期止)+COUNTIFS(出库单!$D$4:$D$4003,$A168,出库单!$K$4:$K$4003,"盘亏",出库单!$C$4:$C$4003,"&gt;="&amp;账期起,出库单!$C$4:$C$4003,"&lt;="&amp;账期止)&gt;0,"已调账","※差异还没调账")))</f>
        <v/>
      </c>
      <c r="Q168" s="17" t="n"/>
      <c r="R168" s="17" t="n"/>
    </row>
    <row r="169">
      <c r="A169" s="24">
        <f>IF(库存台账!$A169="","",库存台账!$A169)</f>
        <v/>
      </c>
      <c r="B169" s="24">
        <f>IF($A169="","",库存台账!$B169)</f>
        <v/>
      </c>
      <c r="C169" s="24">
        <f>IF($A169="","",库存台账!$C169)</f>
        <v/>
      </c>
      <c r="D169" s="24">
        <f>IF($A169="","",库存台账!$D169)</f>
        <v/>
      </c>
      <c r="E169" s="24">
        <f>IF($A169="","",库存台账!$E169)</f>
        <v/>
      </c>
      <c r="F169" s="24">
        <f>IF($A169="","",库存台账!$F169)</f>
        <v/>
      </c>
      <c r="G169" s="17" t="n"/>
      <c r="H169" s="23" t="n"/>
      <c r="I169" s="27">
        <f>IF($A169="","",库存台账!$X169)</f>
        <v/>
      </c>
      <c r="J169" s="27">
        <f>IF(OR($A169="",$H169=""),"",ROUND($H169-$I169,3))</f>
        <v/>
      </c>
      <c r="K169" s="26">
        <f>IF($A169="","",库存台账!$K169)</f>
        <v/>
      </c>
      <c r="L169" s="26">
        <f>IF($J169="","",ROUND($J169*$K169,0))</f>
        <v/>
      </c>
      <c r="M169" s="37">
        <f>IF(OR($J169="",$I169=0),"",ROUND($J169/$I169,4))</f>
        <v/>
      </c>
      <c r="N169" s="17" t="n"/>
      <c r="O169" s="17" t="n"/>
      <c r="P169" s="24">
        <f>IF($J169="","未盘",IF(ROUND($J169,3)=0,"账实相符",IF(COUNTIFS(入库单!$G$4:$G$2503,$A169,入库单!$X$4:$X$2503,"盘盈",入库单!$C$4:$C$2503,"&gt;="&amp;账期起,入库单!$C$4:$C$2503,"&lt;="&amp;账期止)+COUNTIFS(出库单!$D$4:$D$4003,$A169,出库单!$K$4:$K$4003,"盘亏",出库单!$C$4:$C$4003,"&gt;="&amp;账期起,出库单!$C$4:$C$4003,"&lt;="&amp;账期止)&gt;0,"已调账","※差异还没调账")))</f>
        <v/>
      </c>
      <c r="Q169" s="17" t="n"/>
      <c r="R169" s="17" t="n"/>
    </row>
    <row r="170">
      <c r="A170" s="24">
        <f>IF(库存台账!$A170="","",库存台账!$A170)</f>
        <v/>
      </c>
      <c r="B170" s="24">
        <f>IF($A170="","",库存台账!$B170)</f>
        <v/>
      </c>
      <c r="C170" s="24">
        <f>IF($A170="","",库存台账!$C170)</f>
        <v/>
      </c>
      <c r="D170" s="24">
        <f>IF($A170="","",库存台账!$D170)</f>
        <v/>
      </c>
      <c r="E170" s="24">
        <f>IF($A170="","",库存台账!$E170)</f>
        <v/>
      </c>
      <c r="F170" s="24">
        <f>IF($A170="","",库存台账!$F170)</f>
        <v/>
      </c>
      <c r="G170" s="17" t="n"/>
      <c r="H170" s="23" t="n"/>
      <c r="I170" s="27">
        <f>IF($A170="","",库存台账!$X170)</f>
        <v/>
      </c>
      <c r="J170" s="27">
        <f>IF(OR($A170="",$H170=""),"",ROUND($H170-$I170,3))</f>
        <v/>
      </c>
      <c r="K170" s="26">
        <f>IF($A170="","",库存台账!$K170)</f>
        <v/>
      </c>
      <c r="L170" s="26">
        <f>IF($J170="","",ROUND($J170*$K170,0))</f>
        <v/>
      </c>
      <c r="M170" s="37">
        <f>IF(OR($J170="",$I170=0),"",ROUND($J170/$I170,4))</f>
        <v/>
      </c>
      <c r="N170" s="17" t="n"/>
      <c r="O170" s="17" t="n"/>
      <c r="P170" s="24">
        <f>IF($J170="","未盘",IF(ROUND($J170,3)=0,"账实相符",IF(COUNTIFS(入库单!$G$4:$G$2503,$A170,入库单!$X$4:$X$2503,"盘盈",入库单!$C$4:$C$2503,"&gt;="&amp;账期起,入库单!$C$4:$C$2503,"&lt;="&amp;账期止)+COUNTIFS(出库单!$D$4:$D$4003,$A170,出库单!$K$4:$K$4003,"盘亏",出库单!$C$4:$C$4003,"&gt;="&amp;账期起,出库单!$C$4:$C$4003,"&lt;="&amp;账期止)&gt;0,"已调账","※差异还没调账")))</f>
        <v/>
      </c>
      <c r="Q170" s="17" t="n"/>
      <c r="R170" s="17" t="n"/>
    </row>
    <row r="171">
      <c r="A171" s="24">
        <f>IF(库存台账!$A171="","",库存台账!$A171)</f>
        <v/>
      </c>
      <c r="B171" s="24">
        <f>IF($A171="","",库存台账!$B171)</f>
        <v/>
      </c>
      <c r="C171" s="24">
        <f>IF($A171="","",库存台账!$C171)</f>
        <v/>
      </c>
      <c r="D171" s="24">
        <f>IF($A171="","",库存台账!$D171)</f>
        <v/>
      </c>
      <c r="E171" s="24">
        <f>IF($A171="","",库存台账!$E171)</f>
        <v/>
      </c>
      <c r="F171" s="24">
        <f>IF($A171="","",库存台账!$F171)</f>
        <v/>
      </c>
      <c r="G171" s="17" t="n"/>
      <c r="H171" s="23" t="n"/>
      <c r="I171" s="27">
        <f>IF($A171="","",库存台账!$X171)</f>
        <v/>
      </c>
      <c r="J171" s="27">
        <f>IF(OR($A171="",$H171=""),"",ROUND($H171-$I171,3))</f>
        <v/>
      </c>
      <c r="K171" s="26">
        <f>IF($A171="","",库存台账!$K171)</f>
        <v/>
      </c>
      <c r="L171" s="26">
        <f>IF($J171="","",ROUND($J171*$K171,0))</f>
        <v/>
      </c>
      <c r="M171" s="37">
        <f>IF(OR($J171="",$I171=0),"",ROUND($J171/$I171,4))</f>
        <v/>
      </c>
      <c r="N171" s="17" t="n"/>
      <c r="O171" s="17" t="n"/>
      <c r="P171" s="24">
        <f>IF($J171="","未盘",IF(ROUND($J171,3)=0,"账实相符",IF(COUNTIFS(入库单!$G$4:$G$2503,$A171,入库单!$X$4:$X$2503,"盘盈",入库单!$C$4:$C$2503,"&gt;="&amp;账期起,入库单!$C$4:$C$2503,"&lt;="&amp;账期止)+COUNTIFS(出库单!$D$4:$D$4003,$A171,出库单!$K$4:$K$4003,"盘亏",出库单!$C$4:$C$4003,"&gt;="&amp;账期起,出库单!$C$4:$C$4003,"&lt;="&amp;账期止)&gt;0,"已调账","※差异还没调账")))</f>
        <v/>
      </c>
      <c r="Q171" s="17" t="n"/>
      <c r="R171" s="17" t="n"/>
    </row>
    <row r="172">
      <c r="A172" s="24">
        <f>IF(库存台账!$A172="","",库存台账!$A172)</f>
        <v/>
      </c>
      <c r="B172" s="24">
        <f>IF($A172="","",库存台账!$B172)</f>
        <v/>
      </c>
      <c r="C172" s="24">
        <f>IF($A172="","",库存台账!$C172)</f>
        <v/>
      </c>
      <c r="D172" s="24">
        <f>IF($A172="","",库存台账!$D172)</f>
        <v/>
      </c>
      <c r="E172" s="24">
        <f>IF($A172="","",库存台账!$E172)</f>
        <v/>
      </c>
      <c r="F172" s="24">
        <f>IF($A172="","",库存台账!$F172)</f>
        <v/>
      </c>
      <c r="G172" s="17" t="n"/>
      <c r="H172" s="23" t="n"/>
      <c r="I172" s="27">
        <f>IF($A172="","",库存台账!$X172)</f>
        <v/>
      </c>
      <c r="J172" s="27">
        <f>IF(OR($A172="",$H172=""),"",ROUND($H172-$I172,3))</f>
        <v/>
      </c>
      <c r="K172" s="26">
        <f>IF($A172="","",库存台账!$K172)</f>
        <v/>
      </c>
      <c r="L172" s="26">
        <f>IF($J172="","",ROUND($J172*$K172,0))</f>
        <v/>
      </c>
      <c r="M172" s="37">
        <f>IF(OR($J172="",$I172=0),"",ROUND($J172/$I172,4))</f>
        <v/>
      </c>
      <c r="N172" s="17" t="n"/>
      <c r="O172" s="17" t="n"/>
      <c r="P172" s="24">
        <f>IF($J172="","未盘",IF(ROUND($J172,3)=0,"账实相符",IF(COUNTIFS(入库单!$G$4:$G$2503,$A172,入库单!$X$4:$X$2503,"盘盈",入库单!$C$4:$C$2503,"&gt;="&amp;账期起,入库单!$C$4:$C$2503,"&lt;="&amp;账期止)+COUNTIFS(出库单!$D$4:$D$4003,$A172,出库单!$K$4:$K$4003,"盘亏",出库单!$C$4:$C$4003,"&gt;="&amp;账期起,出库单!$C$4:$C$4003,"&lt;="&amp;账期止)&gt;0,"已调账","※差异还没调账")))</f>
        <v/>
      </c>
      <c r="Q172" s="17" t="n"/>
      <c r="R172" s="17" t="n"/>
    </row>
    <row r="173">
      <c r="A173" s="24">
        <f>IF(库存台账!$A173="","",库存台账!$A173)</f>
        <v/>
      </c>
      <c r="B173" s="24">
        <f>IF($A173="","",库存台账!$B173)</f>
        <v/>
      </c>
      <c r="C173" s="24">
        <f>IF($A173="","",库存台账!$C173)</f>
        <v/>
      </c>
      <c r="D173" s="24">
        <f>IF($A173="","",库存台账!$D173)</f>
        <v/>
      </c>
      <c r="E173" s="24">
        <f>IF($A173="","",库存台账!$E173)</f>
        <v/>
      </c>
      <c r="F173" s="24">
        <f>IF($A173="","",库存台账!$F173)</f>
        <v/>
      </c>
      <c r="G173" s="17" t="n"/>
      <c r="H173" s="23" t="n"/>
      <c r="I173" s="27">
        <f>IF($A173="","",库存台账!$X173)</f>
        <v/>
      </c>
      <c r="J173" s="27">
        <f>IF(OR($A173="",$H173=""),"",ROUND($H173-$I173,3))</f>
        <v/>
      </c>
      <c r="K173" s="26">
        <f>IF($A173="","",库存台账!$K173)</f>
        <v/>
      </c>
      <c r="L173" s="26">
        <f>IF($J173="","",ROUND($J173*$K173,0))</f>
        <v/>
      </c>
      <c r="M173" s="37">
        <f>IF(OR($J173="",$I173=0),"",ROUND($J173/$I173,4))</f>
        <v/>
      </c>
      <c r="N173" s="17" t="n"/>
      <c r="O173" s="17" t="n"/>
      <c r="P173" s="24">
        <f>IF($J173="","未盘",IF(ROUND($J173,3)=0,"账实相符",IF(COUNTIFS(入库单!$G$4:$G$2503,$A173,入库单!$X$4:$X$2503,"盘盈",入库单!$C$4:$C$2503,"&gt;="&amp;账期起,入库单!$C$4:$C$2503,"&lt;="&amp;账期止)+COUNTIFS(出库单!$D$4:$D$4003,$A173,出库单!$K$4:$K$4003,"盘亏",出库单!$C$4:$C$4003,"&gt;="&amp;账期起,出库单!$C$4:$C$4003,"&lt;="&amp;账期止)&gt;0,"已调账","※差异还没调账")))</f>
        <v/>
      </c>
      <c r="Q173" s="17" t="n"/>
      <c r="R173" s="17" t="n"/>
    </row>
    <row r="174">
      <c r="A174" s="24">
        <f>IF(库存台账!$A174="","",库存台账!$A174)</f>
        <v/>
      </c>
      <c r="B174" s="24">
        <f>IF($A174="","",库存台账!$B174)</f>
        <v/>
      </c>
      <c r="C174" s="24">
        <f>IF($A174="","",库存台账!$C174)</f>
        <v/>
      </c>
      <c r="D174" s="24">
        <f>IF($A174="","",库存台账!$D174)</f>
        <v/>
      </c>
      <c r="E174" s="24">
        <f>IF($A174="","",库存台账!$E174)</f>
        <v/>
      </c>
      <c r="F174" s="24">
        <f>IF($A174="","",库存台账!$F174)</f>
        <v/>
      </c>
      <c r="G174" s="17" t="n"/>
      <c r="H174" s="23" t="n"/>
      <c r="I174" s="27">
        <f>IF($A174="","",库存台账!$X174)</f>
        <v/>
      </c>
      <c r="J174" s="27">
        <f>IF(OR($A174="",$H174=""),"",ROUND($H174-$I174,3))</f>
        <v/>
      </c>
      <c r="K174" s="26">
        <f>IF($A174="","",库存台账!$K174)</f>
        <v/>
      </c>
      <c r="L174" s="26">
        <f>IF($J174="","",ROUND($J174*$K174,0))</f>
        <v/>
      </c>
      <c r="M174" s="37">
        <f>IF(OR($J174="",$I174=0),"",ROUND($J174/$I174,4))</f>
        <v/>
      </c>
      <c r="N174" s="17" t="n"/>
      <c r="O174" s="17" t="n"/>
      <c r="P174" s="24">
        <f>IF($J174="","未盘",IF(ROUND($J174,3)=0,"账实相符",IF(COUNTIFS(入库单!$G$4:$G$2503,$A174,入库单!$X$4:$X$2503,"盘盈",入库单!$C$4:$C$2503,"&gt;="&amp;账期起,入库单!$C$4:$C$2503,"&lt;="&amp;账期止)+COUNTIFS(出库单!$D$4:$D$4003,$A174,出库单!$K$4:$K$4003,"盘亏",出库单!$C$4:$C$4003,"&gt;="&amp;账期起,出库单!$C$4:$C$4003,"&lt;="&amp;账期止)&gt;0,"已调账","※差异还没调账")))</f>
        <v/>
      </c>
      <c r="Q174" s="17" t="n"/>
      <c r="R174" s="17" t="n"/>
    </row>
    <row r="175">
      <c r="A175" s="24">
        <f>IF(库存台账!$A175="","",库存台账!$A175)</f>
        <v/>
      </c>
      <c r="B175" s="24">
        <f>IF($A175="","",库存台账!$B175)</f>
        <v/>
      </c>
      <c r="C175" s="24">
        <f>IF($A175="","",库存台账!$C175)</f>
        <v/>
      </c>
      <c r="D175" s="24">
        <f>IF($A175="","",库存台账!$D175)</f>
        <v/>
      </c>
      <c r="E175" s="24">
        <f>IF($A175="","",库存台账!$E175)</f>
        <v/>
      </c>
      <c r="F175" s="24">
        <f>IF($A175="","",库存台账!$F175)</f>
        <v/>
      </c>
      <c r="G175" s="17" t="n"/>
      <c r="H175" s="23" t="n"/>
      <c r="I175" s="27">
        <f>IF($A175="","",库存台账!$X175)</f>
        <v/>
      </c>
      <c r="J175" s="27">
        <f>IF(OR($A175="",$H175=""),"",ROUND($H175-$I175,3))</f>
        <v/>
      </c>
      <c r="K175" s="26">
        <f>IF($A175="","",库存台账!$K175)</f>
        <v/>
      </c>
      <c r="L175" s="26">
        <f>IF($J175="","",ROUND($J175*$K175,0))</f>
        <v/>
      </c>
      <c r="M175" s="37">
        <f>IF(OR($J175="",$I175=0),"",ROUND($J175/$I175,4))</f>
        <v/>
      </c>
      <c r="N175" s="17" t="n"/>
      <c r="O175" s="17" t="n"/>
      <c r="P175" s="24">
        <f>IF($J175="","未盘",IF(ROUND($J175,3)=0,"账实相符",IF(COUNTIFS(入库单!$G$4:$G$2503,$A175,入库单!$X$4:$X$2503,"盘盈",入库单!$C$4:$C$2503,"&gt;="&amp;账期起,入库单!$C$4:$C$2503,"&lt;="&amp;账期止)+COUNTIFS(出库单!$D$4:$D$4003,$A175,出库单!$K$4:$K$4003,"盘亏",出库单!$C$4:$C$4003,"&gt;="&amp;账期起,出库单!$C$4:$C$4003,"&lt;="&amp;账期止)&gt;0,"已调账","※差异还没调账")))</f>
        <v/>
      </c>
      <c r="Q175" s="17" t="n"/>
      <c r="R175" s="17" t="n"/>
    </row>
    <row r="176">
      <c r="A176" s="24">
        <f>IF(库存台账!$A176="","",库存台账!$A176)</f>
        <v/>
      </c>
      <c r="B176" s="24">
        <f>IF($A176="","",库存台账!$B176)</f>
        <v/>
      </c>
      <c r="C176" s="24">
        <f>IF($A176="","",库存台账!$C176)</f>
        <v/>
      </c>
      <c r="D176" s="24">
        <f>IF($A176="","",库存台账!$D176)</f>
        <v/>
      </c>
      <c r="E176" s="24">
        <f>IF($A176="","",库存台账!$E176)</f>
        <v/>
      </c>
      <c r="F176" s="24">
        <f>IF($A176="","",库存台账!$F176)</f>
        <v/>
      </c>
      <c r="G176" s="17" t="n"/>
      <c r="H176" s="23" t="n"/>
      <c r="I176" s="27">
        <f>IF($A176="","",库存台账!$X176)</f>
        <v/>
      </c>
      <c r="J176" s="27">
        <f>IF(OR($A176="",$H176=""),"",ROUND($H176-$I176,3))</f>
        <v/>
      </c>
      <c r="K176" s="26">
        <f>IF($A176="","",库存台账!$K176)</f>
        <v/>
      </c>
      <c r="L176" s="26">
        <f>IF($J176="","",ROUND($J176*$K176,0))</f>
        <v/>
      </c>
      <c r="M176" s="37">
        <f>IF(OR($J176="",$I176=0),"",ROUND($J176/$I176,4))</f>
        <v/>
      </c>
      <c r="N176" s="17" t="n"/>
      <c r="O176" s="17" t="n"/>
      <c r="P176" s="24">
        <f>IF($J176="","未盘",IF(ROUND($J176,3)=0,"账实相符",IF(COUNTIFS(入库单!$G$4:$G$2503,$A176,入库单!$X$4:$X$2503,"盘盈",入库单!$C$4:$C$2503,"&gt;="&amp;账期起,入库单!$C$4:$C$2503,"&lt;="&amp;账期止)+COUNTIFS(出库单!$D$4:$D$4003,$A176,出库单!$K$4:$K$4003,"盘亏",出库单!$C$4:$C$4003,"&gt;="&amp;账期起,出库单!$C$4:$C$4003,"&lt;="&amp;账期止)&gt;0,"已调账","※差异还没调账")))</f>
        <v/>
      </c>
      <c r="Q176" s="17" t="n"/>
      <c r="R176" s="17" t="n"/>
    </row>
    <row r="177">
      <c r="A177" s="24">
        <f>IF(库存台账!$A177="","",库存台账!$A177)</f>
        <v/>
      </c>
      <c r="B177" s="24">
        <f>IF($A177="","",库存台账!$B177)</f>
        <v/>
      </c>
      <c r="C177" s="24">
        <f>IF($A177="","",库存台账!$C177)</f>
        <v/>
      </c>
      <c r="D177" s="24">
        <f>IF($A177="","",库存台账!$D177)</f>
        <v/>
      </c>
      <c r="E177" s="24">
        <f>IF($A177="","",库存台账!$E177)</f>
        <v/>
      </c>
      <c r="F177" s="24">
        <f>IF($A177="","",库存台账!$F177)</f>
        <v/>
      </c>
      <c r="G177" s="17" t="n"/>
      <c r="H177" s="23" t="n"/>
      <c r="I177" s="27">
        <f>IF($A177="","",库存台账!$X177)</f>
        <v/>
      </c>
      <c r="J177" s="27">
        <f>IF(OR($A177="",$H177=""),"",ROUND($H177-$I177,3))</f>
        <v/>
      </c>
      <c r="K177" s="26">
        <f>IF($A177="","",库存台账!$K177)</f>
        <v/>
      </c>
      <c r="L177" s="26">
        <f>IF($J177="","",ROUND($J177*$K177,0))</f>
        <v/>
      </c>
      <c r="M177" s="37">
        <f>IF(OR($J177="",$I177=0),"",ROUND($J177/$I177,4))</f>
        <v/>
      </c>
      <c r="N177" s="17" t="n"/>
      <c r="O177" s="17" t="n"/>
      <c r="P177" s="24">
        <f>IF($J177="","未盘",IF(ROUND($J177,3)=0,"账实相符",IF(COUNTIFS(入库单!$G$4:$G$2503,$A177,入库单!$X$4:$X$2503,"盘盈",入库单!$C$4:$C$2503,"&gt;="&amp;账期起,入库单!$C$4:$C$2503,"&lt;="&amp;账期止)+COUNTIFS(出库单!$D$4:$D$4003,$A177,出库单!$K$4:$K$4003,"盘亏",出库单!$C$4:$C$4003,"&gt;="&amp;账期起,出库单!$C$4:$C$4003,"&lt;="&amp;账期止)&gt;0,"已调账","※差异还没调账")))</f>
        <v/>
      </c>
      <c r="Q177" s="17" t="n"/>
      <c r="R177" s="17" t="n"/>
    </row>
    <row r="178">
      <c r="A178" s="24">
        <f>IF(库存台账!$A178="","",库存台账!$A178)</f>
        <v/>
      </c>
      <c r="B178" s="24">
        <f>IF($A178="","",库存台账!$B178)</f>
        <v/>
      </c>
      <c r="C178" s="24">
        <f>IF($A178="","",库存台账!$C178)</f>
        <v/>
      </c>
      <c r="D178" s="24">
        <f>IF($A178="","",库存台账!$D178)</f>
        <v/>
      </c>
      <c r="E178" s="24">
        <f>IF($A178="","",库存台账!$E178)</f>
        <v/>
      </c>
      <c r="F178" s="24">
        <f>IF($A178="","",库存台账!$F178)</f>
        <v/>
      </c>
      <c r="G178" s="17" t="n"/>
      <c r="H178" s="23" t="n"/>
      <c r="I178" s="27">
        <f>IF($A178="","",库存台账!$X178)</f>
        <v/>
      </c>
      <c r="J178" s="27">
        <f>IF(OR($A178="",$H178=""),"",ROUND($H178-$I178,3))</f>
        <v/>
      </c>
      <c r="K178" s="26">
        <f>IF($A178="","",库存台账!$K178)</f>
        <v/>
      </c>
      <c r="L178" s="26">
        <f>IF($J178="","",ROUND($J178*$K178,0))</f>
        <v/>
      </c>
      <c r="M178" s="37">
        <f>IF(OR($J178="",$I178=0),"",ROUND($J178/$I178,4))</f>
        <v/>
      </c>
      <c r="N178" s="17" t="n"/>
      <c r="O178" s="17" t="n"/>
      <c r="P178" s="24">
        <f>IF($J178="","未盘",IF(ROUND($J178,3)=0,"账实相符",IF(COUNTIFS(入库单!$G$4:$G$2503,$A178,入库单!$X$4:$X$2503,"盘盈",入库单!$C$4:$C$2503,"&gt;="&amp;账期起,入库单!$C$4:$C$2503,"&lt;="&amp;账期止)+COUNTIFS(出库单!$D$4:$D$4003,$A178,出库单!$K$4:$K$4003,"盘亏",出库单!$C$4:$C$4003,"&gt;="&amp;账期起,出库单!$C$4:$C$4003,"&lt;="&amp;账期止)&gt;0,"已调账","※差异还没调账")))</f>
        <v/>
      </c>
      <c r="Q178" s="17" t="n"/>
      <c r="R178" s="17" t="n"/>
    </row>
    <row r="179">
      <c r="A179" s="24">
        <f>IF(库存台账!$A179="","",库存台账!$A179)</f>
        <v/>
      </c>
      <c r="B179" s="24">
        <f>IF($A179="","",库存台账!$B179)</f>
        <v/>
      </c>
      <c r="C179" s="24">
        <f>IF($A179="","",库存台账!$C179)</f>
        <v/>
      </c>
      <c r="D179" s="24">
        <f>IF($A179="","",库存台账!$D179)</f>
        <v/>
      </c>
      <c r="E179" s="24">
        <f>IF($A179="","",库存台账!$E179)</f>
        <v/>
      </c>
      <c r="F179" s="24">
        <f>IF($A179="","",库存台账!$F179)</f>
        <v/>
      </c>
      <c r="G179" s="17" t="n"/>
      <c r="H179" s="23" t="n"/>
      <c r="I179" s="27">
        <f>IF($A179="","",库存台账!$X179)</f>
        <v/>
      </c>
      <c r="J179" s="27">
        <f>IF(OR($A179="",$H179=""),"",ROUND($H179-$I179,3))</f>
        <v/>
      </c>
      <c r="K179" s="26">
        <f>IF($A179="","",库存台账!$K179)</f>
        <v/>
      </c>
      <c r="L179" s="26">
        <f>IF($J179="","",ROUND($J179*$K179,0))</f>
        <v/>
      </c>
      <c r="M179" s="37">
        <f>IF(OR($J179="",$I179=0),"",ROUND($J179/$I179,4))</f>
        <v/>
      </c>
      <c r="N179" s="17" t="n"/>
      <c r="O179" s="17" t="n"/>
      <c r="P179" s="24">
        <f>IF($J179="","未盘",IF(ROUND($J179,3)=0,"账实相符",IF(COUNTIFS(入库单!$G$4:$G$2503,$A179,入库单!$X$4:$X$2503,"盘盈",入库单!$C$4:$C$2503,"&gt;="&amp;账期起,入库单!$C$4:$C$2503,"&lt;="&amp;账期止)+COUNTIFS(出库单!$D$4:$D$4003,$A179,出库单!$K$4:$K$4003,"盘亏",出库单!$C$4:$C$4003,"&gt;="&amp;账期起,出库单!$C$4:$C$4003,"&lt;="&amp;账期止)&gt;0,"已调账","※差异还没调账")))</f>
        <v/>
      </c>
      <c r="Q179" s="17" t="n"/>
      <c r="R179" s="17" t="n"/>
    </row>
    <row r="180">
      <c r="A180" s="24">
        <f>IF(库存台账!$A180="","",库存台账!$A180)</f>
        <v/>
      </c>
      <c r="B180" s="24">
        <f>IF($A180="","",库存台账!$B180)</f>
        <v/>
      </c>
      <c r="C180" s="24">
        <f>IF($A180="","",库存台账!$C180)</f>
        <v/>
      </c>
      <c r="D180" s="24">
        <f>IF($A180="","",库存台账!$D180)</f>
        <v/>
      </c>
      <c r="E180" s="24">
        <f>IF($A180="","",库存台账!$E180)</f>
        <v/>
      </c>
      <c r="F180" s="24">
        <f>IF($A180="","",库存台账!$F180)</f>
        <v/>
      </c>
      <c r="G180" s="17" t="n"/>
      <c r="H180" s="23" t="n"/>
      <c r="I180" s="27">
        <f>IF($A180="","",库存台账!$X180)</f>
        <v/>
      </c>
      <c r="J180" s="27">
        <f>IF(OR($A180="",$H180=""),"",ROUND($H180-$I180,3))</f>
        <v/>
      </c>
      <c r="K180" s="26">
        <f>IF($A180="","",库存台账!$K180)</f>
        <v/>
      </c>
      <c r="L180" s="26">
        <f>IF($J180="","",ROUND($J180*$K180,0))</f>
        <v/>
      </c>
      <c r="M180" s="37">
        <f>IF(OR($J180="",$I180=0),"",ROUND($J180/$I180,4))</f>
        <v/>
      </c>
      <c r="N180" s="17" t="n"/>
      <c r="O180" s="17" t="n"/>
      <c r="P180" s="24">
        <f>IF($J180="","未盘",IF(ROUND($J180,3)=0,"账实相符",IF(COUNTIFS(入库单!$G$4:$G$2503,$A180,入库单!$X$4:$X$2503,"盘盈",入库单!$C$4:$C$2503,"&gt;="&amp;账期起,入库单!$C$4:$C$2503,"&lt;="&amp;账期止)+COUNTIFS(出库单!$D$4:$D$4003,$A180,出库单!$K$4:$K$4003,"盘亏",出库单!$C$4:$C$4003,"&gt;="&amp;账期起,出库单!$C$4:$C$4003,"&lt;="&amp;账期止)&gt;0,"已调账","※差异还没调账")))</f>
        <v/>
      </c>
      <c r="Q180" s="17" t="n"/>
      <c r="R180" s="17" t="n"/>
    </row>
    <row r="181">
      <c r="A181" s="24">
        <f>IF(库存台账!$A181="","",库存台账!$A181)</f>
        <v/>
      </c>
      <c r="B181" s="24">
        <f>IF($A181="","",库存台账!$B181)</f>
        <v/>
      </c>
      <c r="C181" s="24">
        <f>IF($A181="","",库存台账!$C181)</f>
        <v/>
      </c>
      <c r="D181" s="24">
        <f>IF($A181="","",库存台账!$D181)</f>
        <v/>
      </c>
      <c r="E181" s="24">
        <f>IF($A181="","",库存台账!$E181)</f>
        <v/>
      </c>
      <c r="F181" s="24">
        <f>IF($A181="","",库存台账!$F181)</f>
        <v/>
      </c>
      <c r="G181" s="17" t="n"/>
      <c r="H181" s="23" t="n"/>
      <c r="I181" s="27">
        <f>IF($A181="","",库存台账!$X181)</f>
        <v/>
      </c>
      <c r="J181" s="27">
        <f>IF(OR($A181="",$H181=""),"",ROUND($H181-$I181,3))</f>
        <v/>
      </c>
      <c r="K181" s="26">
        <f>IF($A181="","",库存台账!$K181)</f>
        <v/>
      </c>
      <c r="L181" s="26">
        <f>IF($J181="","",ROUND($J181*$K181,0))</f>
        <v/>
      </c>
      <c r="M181" s="37">
        <f>IF(OR($J181="",$I181=0),"",ROUND($J181/$I181,4))</f>
        <v/>
      </c>
      <c r="N181" s="17" t="n"/>
      <c r="O181" s="17" t="n"/>
      <c r="P181" s="24">
        <f>IF($J181="","未盘",IF(ROUND($J181,3)=0,"账实相符",IF(COUNTIFS(入库单!$G$4:$G$2503,$A181,入库单!$X$4:$X$2503,"盘盈",入库单!$C$4:$C$2503,"&gt;="&amp;账期起,入库单!$C$4:$C$2503,"&lt;="&amp;账期止)+COUNTIFS(出库单!$D$4:$D$4003,$A181,出库单!$K$4:$K$4003,"盘亏",出库单!$C$4:$C$4003,"&gt;="&amp;账期起,出库单!$C$4:$C$4003,"&lt;="&amp;账期止)&gt;0,"已调账","※差异还没调账")))</f>
        <v/>
      </c>
      <c r="Q181" s="17" t="n"/>
      <c r="R181" s="17" t="n"/>
    </row>
    <row r="182">
      <c r="A182" s="24">
        <f>IF(库存台账!$A182="","",库存台账!$A182)</f>
        <v/>
      </c>
      <c r="B182" s="24">
        <f>IF($A182="","",库存台账!$B182)</f>
        <v/>
      </c>
      <c r="C182" s="24">
        <f>IF($A182="","",库存台账!$C182)</f>
        <v/>
      </c>
      <c r="D182" s="24">
        <f>IF($A182="","",库存台账!$D182)</f>
        <v/>
      </c>
      <c r="E182" s="24">
        <f>IF($A182="","",库存台账!$E182)</f>
        <v/>
      </c>
      <c r="F182" s="24">
        <f>IF($A182="","",库存台账!$F182)</f>
        <v/>
      </c>
      <c r="G182" s="17" t="n"/>
      <c r="H182" s="23" t="n"/>
      <c r="I182" s="27">
        <f>IF($A182="","",库存台账!$X182)</f>
        <v/>
      </c>
      <c r="J182" s="27">
        <f>IF(OR($A182="",$H182=""),"",ROUND($H182-$I182,3))</f>
        <v/>
      </c>
      <c r="K182" s="26">
        <f>IF($A182="","",库存台账!$K182)</f>
        <v/>
      </c>
      <c r="L182" s="26">
        <f>IF($J182="","",ROUND($J182*$K182,0))</f>
        <v/>
      </c>
      <c r="M182" s="37">
        <f>IF(OR($J182="",$I182=0),"",ROUND($J182/$I182,4))</f>
        <v/>
      </c>
      <c r="N182" s="17" t="n"/>
      <c r="O182" s="17" t="n"/>
      <c r="P182" s="24">
        <f>IF($J182="","未盘",IF(ROUND($J182,3)=0,"账实相符",IF(COUNTIFS(入库单!$G$4:$G$2503,$A182,入库单!$X$4:$X$2503,"盘盈",入库单!$C$4:$C$2503,"&gt;="&amp;账期起,入库单!$C$4:$C$2503,"&lt;="&amp;账期止)+COUNTIFS(出库单!$D$4:$D$4003,$A182,出库单!$K$4:$K$4003,"盘亏",出库单!$C$4:$C$4003,"&gt;="&amp;账期起,出库单!$C$4:$C$4003,"&lt;="&amp;账期止)&gt;0,"已调账","※差异还没调账")))</f>
        <v/>
      </c>
      <c r="Q182" s="17" t="n"/>
      <c r="R182" s="17" t="n"/>
    </row>
    <row r="183">
      <c r="A183" s="24">
        <f>IF(库存台账!$A183="","",库存台账!$A183)</f>
        <v/>
      </c>
      <c r="B183" s="24">
        <f>IF($A183="","",库存台账!$B183)</f>
        <v/>
      </c>
      <c r="C183" s="24">
        <f>IF($A183="","",库存台账!$C183)</f>
        <v/>
      </c>
      <c r="D183" s="24">
        <f>IF($A183="","",库存台账!$D183)</f>
        <v/>
      </c>
      <c r="E183" s="24">
        <f>IF($A183="","",库存台账!$E183)</f>
        <v/>
      </c>
      <c r="F183" s="24">
        <f>IF($A183="","",库存台账!$F183)</f>
        <v/>
      </c>
      <c r="G183" s="17" t="n"/>
      <c r="H183" s="23" t="n"/>
      <c r="I183" s="27">
        <f>IF($A183="","",库存台账!$X183)</f>
        <v/>
      </c>
      <c r="J183" s="27">
        <f>IF(OR($A183="",$H183=""),"",ROUND($H183-$I183,3))</f>
        <v/>
      </c>
      <c r="K183" s="26">
        <f>IF($A183="","",库存台账!$K183)</f>
        <v/>
      </c>
      <c r="L183" s="26">
        <f>IF($J183="","",ROUND($J183*$K183,0))</f>
        <v/>
      </c>
      <c r="M183" s="37">
        <f>IF(OR($J183="",$I183=0),"",ROUND($J183/$I183,4))</f>
        <v/>
      </c>
      <c r="N183" s="17" t="n"/>
      <c r="O183" s="17" t="n"/>
      <c r="P183" s="24">
        <f>IF($J183="","未盘",IF(ROUND($J183,3)=0,"账实相符",IF(COUNTIFS(入库单!$G$4:$G$2503,$A183,入库单!$X$4:$X$2503,"盘盈",入库单!$C$4:$C$2503,"&gt;="&amp;账期起,入库单!$C$4:$C$2503,"&lt;="&amp;账期止)+COUNTIFS(出库单!$D$4:$D$4003,$A183,出库单!$K$4:$K$4003,"盘亏",出库单!$C$4:$C$4003,"&gt;="&amp;账期起,出库单!$C$4:$C$4003,"&lt;="&amp;账期止)&gt;0,"已调账","※差异还没调账")))</f>
        <v/>
      </c>
      <c r="Q183" s="17" t="n"/>
      <c r="R183" s="17" t="n"/>
    </row>
    <row r="184">
      <c r="A184" s="24">
        <f>IF(库存台账!$A184="","",库存台账!$A184)</f>
        <v/>
      </c>
      <c r="B184" s="24">
        <f>IF($A184="","",库存台账!$B184)</f>
        <v/>
      </c>
      <c r="C184" s="24">
        <f>IF($A184="","",库存台账!$C184)</f>
        <v/>
      </c>
      <c r="D184" s="24">
        <f>IF($A184="","",库存台账!$D184)</f>
        <v/>
      </c>
      <c r="E184" s="24">
        <f>IF($A184="","",库存台账!$E184)</f>
        <v/>
      </c>
      <c r="F184" s="24">
        <f>IF($A184="","",库存台账!$F184)</f>
        <v/>
      </c>
      <c r="G184" s="17" t="n"/>
      <c r="H184" s="23" t="n"/>
      <c r="I184" s="27">
        <f>IF($A184="","",库存台账!$X184)</f>
        <v/>
      </c>
      <c r="J184" s="27">
        <f>IF(OR($A184="",$H184=""),"",ROUND($H184-$I184,3))</f>
        <v/>
      </c>
      <c r="K184" s="26">
        <f>IF($A184="","",库存台账!$K184)</f>
        <v/>
      </c>
      <c r="L184" s="26">
        <f>IF($J184="","",ROUND($J184*$K184,0))</f>
        <v/>
      </c>
      <c r="M184" s="37">
        <f>IF(OR($J184="",$I184=0),"",ROUND($J184/$I184,4))</f>
        <v/>
      </c>
      <c r="N184" s="17" t="n"/>
      <c r="O184" s="17" t="n"/>
      <c r="P184" s="24">
        <f>IF($J184="","未盘",IF(ROUND($J184,3)=0,"账实相符",IF(COUNTIFS(入库单!$G$4:$G$2503,$A184,入库单!$X$4:$X$2503,"盘盈",入库单!$C$4:$C$2503,"&gt;="&amp;账期起,入库单!$C$4:$C$2503,"&lt;="&amp;账期止)+COUNTIFS(出库单!$D$4:$D$4003,$A184,出库单!$K$4:$K$4003,"盘亏",出库单!$C$4:$C$4003,"&gt;="&amp;账期起,出库单!$C$4:$C$4003,"&lt;="&amp;账期止)&gt;0,"已调账","※差异还没调账")))</f>
        <v/>
      </c>
      <c r="Q184" s="17" t="n"/>
      <c r="R184" s="17" t="n"/>
    </row>
    <row r="185">
      <c r="A185" s="24">
        <f>IF(库存台账!$A185="","",库存台账!$A185)</f>
        <v/>
      </c>
      <c r="B185" s="24">
        <f>IF($A185="","",库存台账!$B185)</f>
        <v/>
      </c>
      <c r="C185" s="24">
        <f>IF($A185="","",库存台账!$C185)</f>
        <v/>
      </c>
      <c r="D185" s="24">
        <f>IF($A185="","",库存台账!$D185)</f>
        <v/>
      </c>
      <c r="E185" s="24">
        <f>IF($A185="","",库存台账!$E185)</f>
        <v/>
      </c>
      <c r="F185" s="24">
        <f>IF($A185="","",库存台账!$F185)</f>
        <v/>
      </c>
      <c r="G185" s="17" t="n"/>
      <c r="H185" s="23" t="n"/>
      <c r="I185" s="27">
        <f>IF($A185="","",库存台账!$X185)</f>
        <v/>
      </c>
      <c r="J185" s="27">
        <f>IF(OR($A185="",$H185=""),"",ROUND($H185-$I185,3))</f>
        <v/>
      </c>
      <c r="K185" s="26">
        <f>IF($A185="","",库存台账!$K185)</f>
        <v/>
      </c>
      <c r="L185" s="26">
        <f>IF($J185="","",ROUND($J185*$K185,0))</f>
        <v/>
      </c>
      <c r="M185" s="37">
        <f>IF(OR($J185="",$I185=0),"",ROUND($J185/$I185,4))</f>
        <v/>
      </c>
      <c r="N185" s="17" t="n"/>
      <c r="O185" s="17" t="n"/>
      <c r="P185" s="24">
        <f>IF($J185="","未盘",IF(ROUND($J185,3)=0,"账实相符",IF(COUNTIFS(入库单!$G$4:$G$2503,$A185,入库单!$X$4:$X$2503,"盘盈",入库单!$C$4:$C$2503,"&gt;="&amp;账期起,入库单!$C$4:$C$2503,"&lt;="&amp;账期止)+COUNTIFS(出库单!$D$4:$D$4003,$A185,出库单!$K$4:$K$4003,"盘亏",出库单!$C$4:$C$4003,"&gt;="&amp;账期起,出库单!$C$4:$C$4003,"&lt;="&amp;账期止)&gt;0,"已调账","※差异还没调账")))</f>
        <v/>
      </c>
      <c r="Q185" s="17" t="n"/>
      <c r="R185" s="17" t="n"/>
    </row>
    <row r="186">
      <c r="A186" s="24">
        <f>IF(库存台账!$A186="","",库存台账!$A186)</f>
        <v/>
      </c>
      <c r="B186" s="24">
        <f>IF($A186="","",库存台账!$B186)</f>
        <v/>
      </c>
      <c r="C186" s="24">
        <f>IF($A186="","",库存台账!$C186)</f>
        <v/>
      </c>
      <c r="D186" s="24">
        <f>IF($A186="","",库存台账!$D186)</f>
        <v/>
      </c>
      <c r="E186" s="24">
        <f>IF($A186="","",库存台账!$E186)</f>
        <v/>
      </c>
      <c r="F186" s="24">
        <f>IF($A186="","",库存台账!$F186)</f>
        <v/>
      </c>
      <c r="G186" s="17" t="n"/>
      <c r="H186" s="23" t="n"/>
      <c r="I186" s="27">
        <f>IF($A186="","",库存台账!$X186)</f>
        <v/>
      </c>
      <c r="J186" s="27">
        <f>IF(OR($A186="",$H186=""),"",ROUND($H186-$I186,3))</f>
        <v/>
      </c>
      <c r="K186" s="26">
        <f>IF($A186="","",库存台账!$K186)</f>
        <v/>
      </c>
      <c r="L186" s="26">
        <f>IF($J186="","",ROUND($J186*$K186,0))</f>
        <v/>
      </c>
      <c r="M186" s="37">
        <f>IF(OR($J186="",$I186=0),"",ROUND($J186/$I186,4))</f>
        <v/>
      </c>
      <c r="N186" s="17" t="n"/>
      <c r="O186" s="17" t="n"/>
      <c r="P186" s="24">
        <f>IF($J186="","未盘",IF(ROUND($J186,3)=0,"账实相符",IF(COUNTIFS(入库单!$G$4:$G$2503,$A186,入库单!$X$4:$X$2503,"盘盈",入库单!$C$4:$C$2503,"&gt;="&amp;账期起,入库单!$C$4:$C$2503,"&lt;="&amp;账期止)+COUNTIFS(出库单!$D$4:$D$4003,$A186,出库单!$K$4:$K$4003,"盘亏",出库单!$C$4:$C$4003,"&gt;="&amp;账期起,出库单!$C$4:$C$4003,"&lt;="&amp;账期止)&gt;0,"已调账","※差异还没调账")))</f>
        <v/>
      </c>
      <c r="Q186" s="17" t="n"/>
      <c r="R186" s="17" t="n"/>
    </row>
    <row r="187">
      <c r="A187" s="24">
        <f>IF(库存台账!$A187="","",库存台账!$A187)</f>
        <v/>
      </c>
      <c r="B187" s="24">
        <f>IF($A187="","",库存台账!$B187)</f>
        <v/>
      </c>
      <c r="C187" s="24">
        <f>IF($A187="","",库存台账!$C187)</f>
        <v/>
      </c>
      <c r="D187" s="24">
        <f>IF($A187="","",库存台账!$D187)</f>
        <v/>
      </c>
      <c r="E187" s="24">
        <f>IF($A187="","",库存台账!$E187)</f>
        <v/>
      </c>
      <c r="F187" s="24">
        <f>IF($A187="","",库存台账!$F187)</f>
        <v/>
      </c>
      <c r="G187" s="17" t="n"/>
      <c r="H187" s="23" t="n"/>
      <c r="I187" s="27">
        <f>IF($A187="","",库存台账!$X187)</f>
        <v/>
      </c>
      <c r="J187" s="27">
        <f>IF(OR($A187="",$H187=""),"",ROUND($H187-$I187,3))</f>
        <v/>
      </c>
      <c r="K187" s="26">
        <f>IF($A187="","",库存台账!$K187)</f>
        <v/>
      </c>
      <c r="L187" s="26">
        <f>IF($J187="","",ROUND($J187*$K187,0))</f>
        <v/>
      </c>
      <c r="M187" s="37">
        <f>IF(OR($J187="",$I187=0),"",ROUND($J187/$I187,4))</f>
        <v/>
      </c>
      <c r="N187" s="17" t="n"/>
      <c r="O187" s="17" t="n"/>
      <c r="P187" s="24">
        <f>IF($J187="","未盘",IF(ROUND($J187,3)=0,"账实相符",IF(COUNTIFS(入库单!$G$4:$G$2503,$A187,入库单!$X$4:$X$2503,"盘盈",入库单!$C$4:$C$2503,"&gt;="&amp;账期起,入库单!$C$4:$C$2503,"&lt;="&amp;账期止)+COUNTIFS(出库单!$D$4:$D$4003,$A187,出库单!$K$4:$K$4003,"盘亏",出库单!$C$4:$C$4003,"&gt;="&amp;账期起,出库单!$C$4:$C$4003,"&lt;="&amp;账期止)&gt;0,"已调账","※差异还没调账")))</f>
        <v/>
      </c>
      <c r="Q187" s="17" t="n"/>
      <c r="R187" s="17" t="n"/>
    </row>
    <row r="188">
      <c r="A188" s="24">
        <f>IF(库存台账!$A188="","",库存台账!$A188)</f>
        <v/>
      </c>
      <c r="B188" s="24">
        <f>IF($A188="","",库存台账!$B188)</f>
        <v/>
      </c>
      <c r="C188" s="24">
        <f>IF($A188="","",库存台账!$C188)</f>
        <v/>
      </c>
      <c r="D188" s="24">
        <f>IF($A188="","",库存台账!$D188)</f>
        <v/>
      </c>
      <c r="E188" s="24">
        <f>IF($A188="","",库存台账!$E188)</f>
        <v/>
      </c>
      <c r="F188" s="24">
        <f>IF($A188="","",库存台账!$F188)</f>
        <v/>
      </c>
      <c r="G188" s="17" t="n"/>
      <c r="H188" s="23" t="n"/>
      <c r="I188" s="27">
        <f>IF($A188="","",库存台账!$X188)</f>
        <v/>
      </c>
      <c r="J188" s="27">
        <f>IF(OR($A188="",$H188=""),"",ROUND($H188-$I188,3))</f>
        <v/>
      </c>
      <c r="K188" s="26">
        <f>IF($A188="","",库存台账!$K188)</f>
        <v/>
      </c>
      <c r="L188" s="26">
        <f>IF($J188="","",ROUND($J188*$K188,0))</f>
        <v/>
      </c>
      <c r="M188" s="37">
        <f>IF(OR($J188="",$I188=0),"",ROUND($J188/$I188,4))</f>
        <v/>
      </c>
      <c r="N188" s="17" t="n"/>
      <c r="O188" s="17" t="n"/>
      <c r="P188" s="24">
        <f>IF($J188="","未盘",IF(ROUND($J188,3)=0,"账实相符",IF(COUNTIFS(入库单!$G$4:$G$2503,$A188,入库单!$X$4:$X$2503,"盘盈",入库单!$C$4:$C$2503,"&gt;="&amp;账期起,入库单!$C$4:$C$2503,"&lt;="&amp;账期止)+COUNTIFS(出库单!$D$4:$D$4003,$A188,出库单!$K$4:$K$4003,"盘亏",出库单!$C$4:$C$4003,"&gt;="&amp;账期起,出库单!$C$4:$C$4003,"&lt;="&amp;账期止)&gt;0,"已调账","※差异还没调账")))</f>
        <v/>
      </c>
      <c r="Q188" s="17" t="n"/>
      <c r="R188" s="17" t="n"/>
    </row>
    <row r="189">
      <c r="A189" s="24">
        <f>IF(库存台账!$A189="","",库存台账!$A189)</f>
        <v/>
      </c>
      <c r="B189" s="24">
        <f>IF($A189="","",库存台账!$B189)</f>
        <v/>
      </c>
      <c r="C189" s="24">
        <f>IF($A189="","",库存台账!$C189)</f>
        <v/>
      </c>
      <c r="D189" s="24">
        <f>IF($A189="","",库存台账!$D189)</f>
        <v/>
      </c>
      <c r="E189" s="24">
        <f>IF($A189="","",库存台账!$E189)</f>
        <v/>
      </c>
      <c r="F189" s="24">
        <f>IF($A189="","",库存台账!$F189)</f>
        <v/>
      </c>
      <c r="G189" s="17" t="n"/>
      <c r="H189" s="23" t="n"/>
      <c r="I189" s="27">
        <f>IF($A189="","",库存台账!$X189)</f>
        <v/>
      </c>
      <c r="J189" s="27">
        <f>IF(OR($A189="",$H189=""),"",ROUND($H189-$I189,3))</f>
        <v/>
      </c>
      <c r="K189" s="26">
        <f>IF($A189="","",库存台账!$K189)</f>
        <v/>
      </c>
      <c r="L189" s="26">
        <f>IF($J189="","",ROUND($J189*$K189,0))</f>
        <v/>
      </c>
      <c r="M189" s="37">
        <f>IF(OR($J189="",$I189=0),"",ROUND($J189/$I189,4))</f>
        <v/>
      </c>
      <c r="N189" s="17" t="n"/>
      <c r="O189" s="17" t="n"/>
      <c r="P189" s="24">
        <f>IF($J189="","未盘",IF(ROUND($J189,3)=0,"账实相符",IF(COUNTIFS(入库单!$G$4:$G$2503,$A189,入库单!$X$4:$X$2503,"盘盈",入库单!$C$4:$C$2503,"&gt;="&amp;账期起,入库单!$C$4:$C$2503,"&lt;="&amp;账期止)+COUNTIFS(出库单!$D$4:$D$4003,$A189,出库单!$K$4:$K$4003,"盘亏",出库单!$C$4:$C$4003,"&gt;="&amp;账期起,出库单!$C$4:$C$4003,"&lt;="&amp;账期止)&gt;0,"已调账","※差异还没调账")))</f>
        <v/>
      </c>
      <c r="Q189" s="17" t="n"/>
      <c r="R189" s="17" t="n"/>
    </row>
    <row r="190">
      <c r="A190" s="24">
        <f>IF(库存台账!$A190="","",库存台账!$A190)</f>
        <v/>
      </c>
      <c r="B190" s="24">
        <f>IF($A190="","",库存台账!$B190)</f>
        <v/>
      </c>
      <c r="C190" s="24">
        <f>IF($A190="","",库存台账!$C190)</f>
        <v/>
      </c>
      <c r="D190" s="24">
        <f>IF($A190="","",库存台账!$D190)</f>
        <v/>
      </c>
      <c r="E190" s="24">
        <f>IF($A190="","",库存台账!$E190)</f>
        <v/>
      </c>
      <c r="F190" s="24">
        <f>IF($A190="","",库存台账!$F190)</f>
        <v/>
      </c>
      <c r="G190" s="17" t="n"/>
      <c r="H190" s="23" t="n"/>
      <c r="I190" s="27">
        <f>IF($A190="","",库存台账!$X190)</f>
        <v/>
      </c>
      <c r="J190" s="27">
        <f>IF(OR($A190="",$H190=""),"",ROUND($H190-$I190,3))</f>
        <v/>
      </c>
      <c r="K190" s="26">
        <f>IF($A190="","",库存台账!$K190)</f>
        <v/>
      </c>
      <c r="L190" s="26">
        <f>IF($J190="","",ROUND($J190*$K190,0))</f>
        <v/>
      </c>
      <c r="M190" s="37">
        <f>IF(OR($J190="",$I190=0),"",ROUND($J190/$I190,4))</f>
        <v/>
      </c>
      <c r="N190" s="17" t="n"/>
      <c r="O190" s="17" t="n"/>
      <c r="P190" s="24">
        <f>IF($J190="","未盘",IF(ROUND($J190,3)=0,"账实相符",IF(COUNTIFS(入库单!$G$4:$G$2503,$A190,入库单!$X$4:$X$2503,"盘盈",入库单!$C$4:$C$2503,"&gt;="&amp;账期起,入库单!$C$4:$C$2503,"&lt;="&amp;账期止)+COUNTIFS(出库单!$D$4:$D$4003,$A190,出库单!$K$4:$K$4003,"盘亏",出库单!$C$4:$C$4003,"&gt;="&amp;账期起,出库单!$C$4:$C$4003,"&lt;="&amp;账期止)&gt;0,"已调账","※差异还没调账")))</f>
        <v/>
      </c>
      <c r="Q190" s="17" t="n"/>
      <c r="R190" s="17" t="n"/>
    </row>
    <row r="191">
      <c r="A191" s="24">
        <f>IF(库存台账!$A191="","",库存台账!$A191)</f>
        <v/>
      </c>
      <c r="B191" s="24">
        <f>IF($A191="","",库存台账!$B191)</f>
        <v/>
      </c>
      <c r="C191" s="24">
        <f>IF($A191="","",库存台账!$C191)</f>
        <v/>
      </c>
      <c r="D191" s="24">
        <f>IF($A191="","",库存台账!$D191)</f>
        <v/>
      </c>
      <c r="E191" s="24">
        <f>IF($A191="","",库存台账!$E191)</f>
        <v/>
      </c>
      <c r="F191" s="24">
        <f>IF($A191="","",库存台账!$F191)</f>
        <v/>
      </c>
      <c r="G191" s="17" t="n"/>
      <c r="H191" s="23" t="n"/>
      <c r="I191" s="27">
        <f>IF($A191="","",库存台账!$X191)</f>
        <v/>
      </c>
      <c r="J191" s="27">
        <f>IF(OR($A191="",$H191=""),"",ROUND($H191-$I191,3))</f>
        <v/>
      </c>
      <c r="K191" s="26">
        <f>IF($A191="","",库存台账!$K191)</f>
        <v/>
      </c>
      <c r="L191" s="26">
        <f>IF($J191="","",ROUND($J191*$K191,0))</f>
        <v/>
      </c>
      <c r="M191" s="37">
        <f>IF(OR($J191="",$I191=0),"",ROUND($J191/$I191,4))</f>
        <v/>
      </c>
      <c r="N191" s="17" t="n"/>
      <c r="O191" s="17" t="n"/>
      <c r="P191" s="24">
        <f>IF($J191="","未盘",IF(ROUND($J191,3)=0,"账实相符",IF(COUNTIFS(入库单!$G$4:$G$2503,$A191,入库单!$X$4:$X$2503,"盘盈",入库单!$C$4:$C$2503,"&gt;="&amp;账期起,入库单!$C$4:$C$2503,"&lt;="&amp;账期止)+COUNTIFS(出库单!$D$4:$D$4003,$A191,出库单!$K$4:$K$4003,"盘亏",出库单!$C$4:$C$4003,"&gt;="&amp;账期起,出库单!$C$4:$C$4003,"&lt;="&amp;账期止)&gt;0,"已调账","※差异还没调账")))</f>
        <v/>
      </c>
      <c r="Q191" s="17" t="n"/>
      <c r="R191" s="17" t="n"/>
    </row>
    <row r="192">
      <c r="A192" s="24">
        <f>IF(库存台账!$A192="","",库存台账!$A192)</f>
        <v/>
      </c>
      <c r="B192" s="24">
        <f>IF($A192="","",库存台账!$B192)</f>
        <v/>
      </c>
      <c r="C192" s="24">
        <f>IF($A192="","",库存台账!$C192)</f>
        <v/>
      </c>
      <c r="D192" s="24">
        <f>IF($A192="","",库存台账!$D192)</f>
        <v/>
      </c>
      <c r="E192" s="24">
        <f>IF($A192="","",库存台账!$E192)</f>
        <v/>
      </c>
      <c r="F192" s="24">
        <f>IF($A192="","",库存台账!$F192)</f>
        <v/>
      </c>
      <c r="G192" s="17" t="n"/>
      <c r="H192" s="23" t="n"/>
      <c r="I192" s="27">
        <f>IF($A192="","",库存台账!$X192)</f>
        <v/>
      </c>
      <c r="J192" s="27">
        <f>IF(OR($A192="",$H192=""),"",ROUND($H192-$I192,3))</f>
        <v/>
      </c>
      <c r="K192" s="26">
        <f>IF($A192="","",库存台账!$K192)</f>
        <v/>
      </c>
      <c r="L192" s="26">
        <f>IF($J192="","",ROUND($J192*$K192,0))</f>
        <v/>
      </c>
      <c r="M192" s="37">
        <f>IF(OR($J192="",$I192=0),"",ROUND($J192/$I192,4))</f>
        <v/>
      </c>
      <c r="N192" s="17" t="n"/>
      <c r="O192" s="17" t="n"/>
      <c r="P192" s="24">
        <f>IF($J192="","未盘",IF(ROUND($J192,3)=0,"账实相符",IF(COUNTIFS(入库单!$G$4:$G$2503,$A192,入库单!$X$4:$X$2503,"盘盈",入库单!$C$4:$C$2503,"&gt;="&amp;账期起,入库单!$C$4:$C$2503,"&lt;="&amp;账期止)+COUNTIFS(出库单!$D$4:$D$4003,$A192,出库单!$K$4:$K$4003,"盘亏",出库单!$C$4:$C$4003,"&gt;="&amp;账期起,出库单!$C$4:$C$4003,"&lt;="&amp;账期止)&gt;0,"已调账","※差异还没调账")))</f>
        <v/>
      </c>
      <c r="Q192" s="17" t="n"/>
      <c r="R192" s="17" t="n"/>
    </row>
    <row r="193">
      <c r="A193" s="24">
        <f>IF(库存台账!$A193="","",库存台账!$A193)</f>
        <v/>
      </c>
      <c r="B193" s="24">
        <f>IF($A193="","",库存台账!$B193)</f>
        <v/>
      </c>
      <c r="C193" s="24">
        <f>IF($A193="","",库存台账!$C193)</f>
        <v/>
      </c>
      <c r="D193" s="24">
        <f>IF($A193="","",库存台账!$D193)</f>
        <v/>
      </c>
      <c r="E193" s="24">
        <f>IF($A193="","",库存台账!$E193)</f>
        <v/>
      </c>
      <c r="F193" s="24">
        <f>IF($A193="","",库存台账!$F193)</f>
        <v/>
      </c>
      <c r="G193" s="17" t="n"/>
      <c r="H193" s="23" t="n"/>
      <c r="I193" s="27">
        <f>IF($A193="","",库存台账!$X193)</f>
        <v/>
      </c>
      <c r="J193" s="27">
        <f>IF(OR($A193="",$H193=""),"",ROUND($H193-$I193,3))</f>
        <v/>
      </c>
      <c r="K193" s="26">
        <f>IF($A193="","",库存台账!$K193)</f>
        <v/>
      </c>
      <c r="L193" s="26">
        <f>IF($J193="","",ROUND($J193*$K193,0))</f>
        <v/>
      </c>
      <c r="M193" s="37">
        <f>IF(OR($J193="",$I193=0),"",ROUND($J193/$I193,4))</f>
        <v/>
      </c>
      <c r="N193" s="17" t="n"/>
      <c r="O193" s="17" t="n"/>
      <c r="P193" s="24">
        <f>IF($J193="","未盘",IF(ROUND($J193,3)=0,"账实相符",IF(COUNTIFS(入库单!$G$4:$G$2503,$A193,入库单!$X$4:$X$2503,"盘盈",入库单!$C$4:$C$2503,"&gt;="&amp;账期起,入库单!$C$4:$C$2503,"&lt;="&amp;账期止)+COUNTIFS(出库单!$D$4:$D$4003,$A193,出库单!$K$4:$K$4003,"盘亏",出库单!$C$4:$C$4003,"&gt;="&amp;账期起,出库单!$C$4:$C$4003,"&lt;="&amp;账期止)&gt;0,"已调账","※差异还没调账")))</f>
        <v/>
      </c>
      <c r="Q193" s="17" t="n"/>
      <c r="R193" s="17" t="n"/>
    </row>
    <row r="194">
      <c r="A194" s="24">
        <f>IF(库存台账!$A194="","",库存台账!$A194)</f>
        <v/>
      </c>
      <c r="B194" s="24">
        <f>IF($A194="","",库存台账!$B194)</f>
        <v/>
      </c>
      <c r="C194" s="24">
        <f>IF($A194="","",库存台账!$C194)</f>
        <v/>
      </c>
      <c r="D194" s="24">
        <f>IF($A194="","",库存台账!$D194)</f>
        <v/>
      </c>
      <c r="E194" s="24">
        <f>IF($A194="","",库存台账!$E194)</f>
        <v/>
      </c>
      <c r="F194" s="24">
        <f>IF($A194="","",库存台账!$F194)</f>
        <v/>
      </c>
      <c r="G194" s="17" t="n"/>
      <c r="H194" s="23" t="n"/>
      <c r="I194" s="27">
        <f>IF($A194="","",库存台账!$X194)</f>
        <v/>
      </c>
      <c r="J194" s="27">
        <f>IF(OR($A194="",$H194=""),"",ROUND($H194-$I194,3))</f>
        <v/>
      </c>
      <c r="K194" s="26">
        <f>IF($A194="","",库存台账!$K194)</f>
        <v/>
      </c>
      <c r="L194" s="26">
        <f>IF($J194="","",ROUND($J194*$K194,0))</f>
        <v/>
      </c>
      <c r="M194" s="37">
        <f>IF(OR($J194="",$I194=0),"",ROUND($J194/$I194,4))</f>
        <v/>
      </c>
      <c r="N194" s="17" t="n"/>
      <c r="O194" s="17" t="n"/>
      <c r="P194" s="24">
        <f>IF($J194="","未盘",IF(ROUND($J194,3)=0,"账实相符",IF(COUNTIFS(入库单!$G$4:$G$2503,$A194,入库单!$X$4:$X$2503,"盘盈",入库单!$C$4:$C$2503,"&gt;="&amp;账期起,入库单!$C$4:$C$2503,"&lt;="&amp;账期止)+COUNTIFS(出库单!$D$4:$D$4003,$A194,出库单!$K$4:$K$4003,"盘亏",出库单!$C$4:$C$4003,"&gt;="&amp;账期起,出库单!$C$4:$C$4003,"&lt;="&amp;账期止)&gt;0,"已调账","※差异还没调账")))</f>
        <v/>
      </c>
      <c r="Q194" s="17" t="n"/>
      <c r="R194" s="17" t="n"/>
    </row>
    <row r="195">
      <c r="A195" s="24">
        <f>IF(库存台账!$A195="","",库存台账!$A195)</f>
        <v/>
      </c>
      <c r="B195" s="24">
        <f>IF($A195="","",库存台账!$B195)</f>
        <v/>
      </c>
      <c r="C195" s="24">
        <f>IF($A195="","",库存台账!$C195)</f>
        <v/>
      </c>
      <c r="D195" s="24">
        <f>IF($A195="","",库存台账!$D195)</f>
        <v/>
      </c>
      <c r="E195" s="24">
        <f>IF($A195="","",库存台账!$E195)</f>
        <v/>
      </c>
      <c r="F195" s="24">
        <f>IF($A195="","",库存台账!$F195)</f>
        <v/>
      </c>
      <c r="G195" s="17" t="n"/>
      <c r="H195" s="23" t="n"/>
      <c r="I195" s="27">
        <f>IF($A195="","",库存台账!$X195)</f>
        <v/>
      </c>
      <c r="J195" s="27">
        <f>IF(OR($A195="",$H195=""),"",ROUND($H195-$I195,3))</f>
        <v/>
      </c>
      <c r="K195" s="26">
        <f>IF($A195="","",库存台账!$K195)</f>
        <v/>
      </c>
      <c r="L195" s="26">
        <f>IF($J195="","",ROUND($J195*$K195,0))</f>
        <v/>
      </c>
      <c r="M195" s="37">
        <f>IF(OR($J195="",$I195=0),"",ROUND($J195/$I195,4))</f>
        <v/>
      </c>
      <c r="N195" s="17" t="n"/>
      <c r="O195" s="17" t="n"/>
      <c r="P195" s="24">
        <f>IF($J195="","未盘",IF(ROUND($J195,3)=0,"账实相符",IF(COUNTIFS(入库单!$G$4:$G$2503,$A195,入库单!$X$4:$X$2503,"盘盈",入库单!$C$4:$C$2503,"&gt;="&amp;账期起,入库单!$C$4:$C$2503,"&lt;="&amp;账期止)+COUNTIFS(出库单!$D$4:$D$4003,$A195,出库单!$K$4:$K$4003,"盘亏",出库单!$C$4:$C$4003,"&gt;="&amp;账期起,出库单!$C$4:$C$4003,"&lt;="&amp;账期止)&gt;0,"已调账","※差异还没调账")))</f>
        <v/>
      </c>
      <c r="Q195" s="17" t="n"/>
      <c r="R195" s="17" t="n"/>
    </row>
    <row r="196">
      <c r="A196" s="24">
        <f>IF(库存台账!$A196="","",库存台账!$A196)</f>
        <v/>
      </c>
      <c r="B196" s="24">
        <f>IF($A196="","",库存台账!$B196)</f>
        <v/>
      </c>
      <c r="C196" s="24">
        <f>IF($A196="","",库存台账!$C196)</f>
        <v/>
      </c>
      <c r="D196" s="24">
        <f>IF($A196="","",库存台账!$D196)</f>
        <v/>
      </c>
      <c r="E196" s="24">
        <f>IF($A196="","",库存台账!$E196)</f>
        <v/>
      </c>
      <c r="F196" s="24">
        <f>IF($A196="","",库存台账!$F196)</f>
        <v/>
      </c>
      <c r="G196" s="17" t="n"/>
      <c r="H196" s="23" t="n"/>
      <c r="I196" s="27">
        <f>IF($A196="","",库存台账!$X196)</f>
        <v/>
      </c>
      <c r="J196" s="27">
        <f>IF(OR($A196="",$H196=""),"",ROUND($H196-$I196,3))</f>
        <v/>
      </c>
      <c r="K196" s="26">
        <f>IF($A196="","",库存台账!$K196)</f>
        <v/>
      </c>
      <c r="L196" s="26">
        <f>IF($J196="","",ROUND($J196*$K196,0))</f>
        <v/>
      </c>
      <c r="M196" s="37">
        <f>IF(OR($J196="",$I196=0),"",ROUND($J196/$I196,4))</f>
        <v/>
      </c>
      <c r="N196" s="17" t="n"/>
      <c r="O196" s="17" t="n"/>
      <c r="P196" s="24">
        <f>IF($J196="","未盘",IF(ROUND($J196,3)=0,"账实相符",IF(COUNTIFS(入库单!$G$4:$G$2503,$A196,入库单!$X$4:$X$2503,"盘盈",入库单!$C$4:$C$2503,"&gt;="&amp;账期起,入库单!$C$4:$C$2503,"&lt;="&amp;账期止)+COUNTIFS(出库单!$D$4:$D$4003,$A196,出库单!$K$4:$K$4003,"盘亏",出库单!$C$4:$C$4003,"&gt;="&amp;账期起,出库单!$C$4:$C$4003,"&lt;="&amp;账期止)&gt;0,"已调账","※差异还没调账")))</f>
        <v/>
      </c>
      <c r="Q196" s="17" t="n"/>
      <c r="R196" s="17" t="n"/>
    </row>
    <row r="197">
      <c r="A197" s="24">
        <f>IF(库存台账!$A197="","",库存台账!$A197)</f>
        <v/>
      </c>
      <c r="B197" s="24">
        <f>IF($A197="","",库存台账!$B197)</f>
        <v/>
      </c>
      <c r="C197" s="24">
        <f>IF($A197="","",库存台账!$C197)</f>
        <v/>
      </c>
      <c r="D197" s="24">
        <f>IF($A197="","",库存台账!$D197)</f>
        <v/>
      </c>
      <c r="E197" s="24">
        <f>IF($A197="","",库存台账!$E197)</f>
        <v/>
      </c>
      <c r="F197" s="24">
        <f>IF($A197="","",库存台账!$F197)</f>
        <v/>
      </c>
      <c r="G197" s="17" t="n"/>
      <c r="H197" s="23" t="n"/>
      <c r="I197" s="27">
        <f>IF($A197="","",库存台账!$X197)</f>
        <v/>
      </c>
      <c r="J197" s="27">
        <f>IF(OR($A197="",$H197=""),"",ROUND($H197-$I197,3))</f>
        <v/>
      </c>
      <c r="K197" s="26">
        <f>IF($A197="","",库存台账!$K197)</f>
        <v/>
      </c>
      <c r="L197" s="26">
        <f>IF($J197="","",ROUND($J197*$K197,0))</f>
        <v/>
      </c>
      <c r="M197" s="37">
        <f>IF(OR($J197="",$I197=0),"",ROUND($J197/$I197,4))</f>
        <v/>
      </c>
      <c r="N197" s="17" t="n"/>
      <c r="O197" s="17" t="n"/>
      <c r="P197" s="24">
        <f>IF($J197="","未盘",IF(ROUND($J197,3)=0,"账实相符",IF(COUNTIFS(入库单!$G$4:$G$2503,$A197,入库单!$X$4:$X$2503,"盘盈",入库单!$C$4:$C$2503,"&gt;="&amp;账期起,入库单!$C$4:$C$2503,"&lt;="&amp;账期止)+COUNTIFS(出库单!$D$4:$D$4003,$A197,出库单!$K$4:$K$4003,"盘亏",出库单!$C$4:$C$4003,"&gt;="&amp;账期起,出库单!$C$4:$C$4003,"&lt;="&amp;账期止)&gt;0,"已调账","※差异还没调账")))</f>
        <v/>
      </c>
      <c r="Q197" s="17" t="n"/>
      <c r="R197" s="17" t="n"/>
    </row>
    <row r="198">
      <c r="A198" s="24">
        <f>IF(库存台账!$A198="","",库存台账!$A198)</f>
        <v/>
      </c>
      <c r="B198" s="24">
        <f>IF($A198="","",库存台账!$B198)</f>
        <v/>
      </c>
      <c r="C198" s="24">
        <f>IF($A198="","",库存台账!$C198)</f>
        <v/>
      </c>
      <c r="D198" s="24">
        <f>IF($A198="","",库存台账!$D198)</f>
        <v/>
      </c>
      <c r="E198" s="24">
        <f>IF($A198="","",库存台账!$E198)</f>
        <v/>
      </c>
      <c r="F198" s="24">
        <f>IF($A198="","",库存台账!$F198)</f>
        <v/>
      </c>
      <c r="G198" s="17" t="n"/>
      <c r="H198" s="23" t="n"/>
      <c r="I198" s="27">
        <f>IF($A198="","",库存台账!$X198)</f>
        <v/>
      </c>
      <c r="J198" s="27">
        <f>IF(OR($A198="",$H198=""),"",ROUND($H198-$I198,3))</f>
        <v/>
      </c>
      <c r="K198" s="26">
        <f>IF($A198="","",库存台账!$K198)</f>
        <v/>
      </c>
      <c r="L198" s="26">
        <f>IF($J198="","",ROUND($J198*$K198,0))</f>
        <v/>
      </c>
      <c r="M198" s="37">
        <f>IF(OR($J198="",$I198=0),"",ROUND($J198/$I198,4))</f>
        <v/>
      </c>
      <c r="N198" s="17" t="n"/>
      <c r="O198" s="17" t="n"/>
      <c r="P198" s="24">
        <f>IF($J198="","未盘",IF(ROUND($J198,3)=0,"账实相符",IF(COUNTIFS(入库单!$G$4:$G$2503,$A198,入库单!$X$4:$X$2503,"盘盈",入库单!$C$4:$C$2503,"&gt;="&amp;账期起,入库单!$C$4:$C$2503,"&lt;="&amp;账期止)+COUNTIFS(出库单!$D$4:$D$4003,$A198,出库单!$K$4:$K$4003,"盘亏",出库单!$C$4:$C$4003,"&gt;="&amp;账期起,出库单!$C$4:$C$4003,"&lt;="&amp;账期止)&gt;0,"已调账","※差异还没调账")))</f>
        <v/>
      </c>
      <c r="Q198" s="17" t="n"/>
      <c r="R198" s="17" t="n"/>
    </row>
    <row r="199">
      <c r="A199" s="24">
        <f>IF(库存台账!$A199="","",库存台账!$A199)</f>
        <v/>
      </c>
      <c r="B199" s="24">
        <f>IF($A199="","",库存台账!$B199)</f>
        <v/>
      </c>
      <c r="C199" s="24">
        <f>IF($A199="","",库存台账!$C199)</f>
        <v/>
      </c>
      <c r="D199" s="24">
        <f>IF($A199="","",库存台账!$D199)</f>
        <v/>
      </c>
      <c r="E199" s="24">
        <f>IF($A199="","",库存台账!$E199)</f>
        <v/>
      </c>
      <c r="F199" s="24">
        <f>IF($A199="","",库存台账!$F199)</f>
        <v/>
      </c>
      <c r="G199" s="17" t="n"/>
      <c r="H199" s="23" t="n"/>
      <c r="I199" s="27">
        <f>IF($A199="","",库存台账!$X199)</f>
        <v/>
      </c>
      <c r="J199" s="27">
        <f>IF(OR($A199="",$H199=""),"",ROUND($H199-$I199,3))</f>
        <v/>
      </c>
      <c r="K199" s="26">
        <f>IF($A199="","",库存台账!$K199)</f>
        <v/>
      </c>
      <c r="L199" s="26">
        <f>IF($J199="","",ROUND($J199*$K199,0))</f>
        <v/>
      </c>
      <c r="M199" s="37">
        <f>IF(OR($J199="",$I199=0),"",ROUND($J199/$I199,4))</f>
        <v/>
      </c>
      <c r="N199" s="17" t="n"/>
      <c r="O199" s="17" t="n"/>
      <c r="P199" s="24">
        <f>IF($J199="","未盘",IF(ROUND($J199,3)=0,"账实相符",IF(COUNTIFS(入库单!$G$4:$G$2503,$A199,入库单!$X$4:$X$2503,"盘盈",入库单!$C$4:$C$2503,"&gt;="&amp;账期起,入库单!$C$4:$C$2503,"&lt;="&amp;账期止)+COUNTIFS(出库单!$D$4:$D$4003,$A199,出库单!$K$4:$K$4003,"盘亏",出库单!$C$4:$C$4003,"&gt;="&amp;账期起,出库单!$C$4:$C$4003,"&lt;="&amp;账期止)&gt;0,"已调账","※差异还没调账")))</f>
        <v/>
      </c>
      <c r="Q199" s="17" t="n"/>
      <c r="R199" s="17" t="n"/>
    </row>
    <row r="200">
      <c r="A200" s="24">
        <f>IF(库存台账!$A200="","",库存台账!$A200)</f>
        <v/>
      </c>
      <c r="B200" s="24">
        <f>IF($A200="","",库存台账!$B200)</f>
        <v/>
      </c>
      <c r="C200" s="24">
        <f>IF($A200="","",库存台账!$C200)</f>
        <v/>
      </c>
      <c r="D200" s="24">
        <f>IF($A200="","",库存台账!$D200)</f>
        <v/>
      </c>
      <c r="E200" s="24">
        <f>IF($A200="","",库存台账!$E200)</f>
        <v/>
      </c>
      <c r="F200" s="24">
        <f>IF($A200="","",库存台账!$F200)</f>
        <v/>
      </c>
      <c r="G200" s="17" t="n"/>
      <c r="H200" s="23" t="n"/>
      <c r="I200" s="27">
        <f>IF($A200="","",库存台账!$X200)</f>
        <v/>
      </c>
      <c r="J200" s="27">
        <f>IF(OR($A200="",$H200=""),"",ROUND($H200-$I200,3))</f>
        <v/>
      </c>
      <c r="K200" s="26">
        <f>IF($A200="","",库存台账!$K200)</f>
        <v/>
      </c>
      <c r="L200" s="26">
        <f>IF($J200="","",ROUND($J200*$K200,0))</f>
        <v/>
      </c>
      <c r="M200" s="37">
        <f>IF(OR($J200="",$I200=0),"",ROUND($J200/$I200,4))</f>
        <v/>
      </c>
      <c r="N200" s="17" t="n"/>
      <c r="O200" s="17" t="n"/>
      <c r="P200" s="24">
        <f>IF($J200="","未盘",IF(ROUND($J200,3)=0,"账实相符",IF(COUNTIFS(入库单!$G$4:$G$2503,$A200,入库单!$X$4:$X$2503,"盘盈",入库单!$C$4:$C$2503,"&gt;="&amp;账期起,入库单!$C$4:$C$2503,"&lt;="&amp;账期止)+COUNTIFS(出库单!$D$4:$D$4003,$A200,出库单!$K$4:$K$4003,"盘亏",出库单!$C$4:$C$4003,"&gt;="&amp;账期起,出库单!$C$4:$C$4003,"&lt;="&amp;账期止)&gt;0,"已调账","※差异还没调账")))</f>
        <v/>
      </c>
      <c r="Q200" s="17" t="n"/>
      <c r="R200" s="17" t="n"/>
    </row>
    <row r="201">
      <c r="A201" s="24">
        <f>IF(库存台账!$A201="","",库存台账!$A201)</f>
        <v/>
      </c>
      <c r="B201" s="24">
        <f>IF($A201="","",库存台账!$B201)</f>
        <v/>
      </c>
      <c r="C201" s="24">
        <f>IF($A201="","",库存台账!$C201)</f>
        <v/>
      </c>
      <c r="D201" s="24">
        <f>IF($A201="","",库存台账!$D201)</f>
        <v/>
      </c>
      <c r="E201" s="24">
        <f>IF($A201="","",库存台账!$E201)</f>
        <v/>
      </c>
      <c r="F201" s="24">
        <f>IF($A201="","",库存台账!$F201)</f>
        <v/>
      </c>
      <c r="G201" s="17" t="n"/>
      <c r="H201" s="23" t="n"/>
      <c r="I201" s="27">
        <f>IF($A201="","",库存台账!$X201)</f>
        <v/>
      </c>
      <c r="J201" s="27">
        <f>IF(OR($A201="",$H201=""),"",ROUND($H201-$I201,3))</f>
        <v/>
      </c>
      <c r="K201" s="26">
        <f>IF($A201="","",库存台账!$K201)</f>
        <v/>
      </c>
      <c r="L201" s="26">
        <f>IF($J201="","",ROUND($J201*$K201,0))</f>
        <v/>
      </c>
      <c r="M201" s="37">
        <f>IF(OR($J201="",$I201=0),"",ROUND($J201/$I201,4))</f>
        <v/>
      </c>
      <c r="N201" s="17" t="n"/>
      <c r="O201" s="17" t="n"/>
      <c r="P201" s="24">
        <f>IF($J201="","未盘",IF(ROUND($J201,3)=0,"账实相符",IF(COUNTIFS(入库单!$G$4:$G$2503,$A201,入库单!$X$4:$X$2503,"盘盈",入库单!$C$4:$C$2503,"&gt;="&amp;账期起,入库单!$C$4:$C$2503,"&lt;="&amp;账期止)+COUNTIFS(出库单!$D$4:$D$4003,$A201,出库单!$K$4:$K$4003,"盘亏",出库单!$C$4:$C$4003,"&gt;="&amp;账期起,出库单!$C$4:$C$4003,"&lt;="&amp;账期止)&gt;0,"已调账","※差异还没调账")))</f>
        <v/>
      </c>
      <c r="Q201" s="17" t="n"/>
      <c r="R201" s="17" t="n"/>
    </row>
    <row r="202">
      <c r="A202" s="24">
        <f>IF(库存台账!$A202="","",库存台账!$A202)</f>
        <v/>
      </c>
      <c r="B202" s="24">
        <f>IF($A202="","",库存台账!$B202)</f>
        <v/>
      </c>
      <c r="C202" s="24">
        <f>IF($A202="","",库存台账!$C202)</f>
        <v/>
      </c>
      <c r="D202" s="24">
        <f>IF($A202="","",库存台账!$D202)</f>
        <v/>
      </c>
      <c r="E202" s="24">
        <f>IF($A202="","",库存台账!$E202)</f>
        <v/>
      </c>
      <c r="F202" s="24">
        <f>IF($A202="","",库存台账!$F202)</f>
        <v/>
      </c>
      <c r="G202" s="17" t="n"/>
      <c r="H202" s="23" t="n"/>
      <c r="I202" s="27">
        <f>IF($A202="","",库存台账!$X202)</f>
        <v/>
      </c>
      <c r="J202" s="27">
        <f>IF(OR($A202="",$H202=""),"",ROUND($H202-$I202,3))</f>
        <v/>
      </c>
      <c r="K202" s="26">
        <f>IF($A202="","",库存台账!$K202)</f>
        <v/>
      </c>
      <c r="L202" s="26">
        <f>IF($J202="","",ROUND($J202*$K202,0))</f>
        <v/>
      </c>
      <c r="M202" s="37">
        <f>IF(OR($J202="",$I202=0),"",ROUND($J202/$I202,4))</f>
        <v/>
      </c>
      <c r="N202" s="17" t="n"/>
      <c r="O202" s="17" t="n"/>
      <c r="P202" s="24">
        <f>IF($J202="","未盘",IF(ROUND($J202,3)=0,"账实相符",IF(COUNTIFS(入库单!$G$4:$G$2503,$A202,入库单!$X$4:$X$2503,"盘盈",入库单!$C$4:$C$2503,"&gt;="&amp;账期起,入库单!$C$4:$C$2503,"&lt;="&amp;账期止)+COUNTIFS(出库单!$D$4:$D$4003,$A202,出库单!$K$4:$K$4003,"盘亏",出库单!$C$4:$C$4003,"&gt;="&amp;账期起,出库单!$C$4:$C$4003,"&lt;="&amp;账期止)&gt;0,"已调账","※差异还没调账")))</f>
        <v/>
      </c>
      <c r="Q202" s="17" t="n"/>
      <c r="R202" s="17" t="n"/>
    </row>
    <row r="203">
      <c r="A203" s="24">
        <f>IF(库存台账!$A203="","",库存台账!$A203)</f>
        <v/>
      </c>
      <c r="B203" s="24">
        <f>IF($A203="","",库存台账!$B203)</f>
        <v/>
      </c>
      <c r="C203" s="24">
        <f>IF($A203="","",库存台账!$C203)</f>
        <v/>
      </c>
      <c r="D203" s="24">
        <f>IF($A203="","",库存台账!$D203)</f>
        <v/>
      </c>
      <c r="E203" s="24">
        <f>IF($A203="","",库存台账!$E203)</f>
        <v/>
      </c>
      <c r="F203" s="24">
        <f>IF($A203="","",库存台账!$F203)</f>
        <v/>
      </c>
      <c r="G203" s="17" t="n"/>
      <c r="H203" s="23" t="n"/>
      <c r="I203" s="27">
        <f>IF($A203="","",库存台账!$X203)</f>
        <v/>
      </c>
      <c r="J203" s="27">
        <f>IF(OR($A203="",$H203=""),"",ROUND($H203-$I203,3))</f>
        <v/>
      </c>
      <c r="K203" s="26">
        <f>IF($A203="","",库存台账!$K203)</f>
        <v/>
      </c>
      <c r="L203" s="26">
        <f>IF($J203="","",ROUND($J203*$K203,0))</f>
        <v/>
      </c>
      <c r="M203" s="37">
        <f>IF(OR($J203="",$I203=0),"",ROUND($J203/$I203,4))</f>
        <v/>
      </c>
      <c r="N203" s="17" t="n"/>
      <c r="O203" s="17" t="n"/>
      <c r="P203" s="24">
        <f>IF($J203="","未盘",IF(ROUND($J203,3)=0,"账实相符",IF(COUNTIFS(入库单!$G$4:$G$2503,$A203,入库单!$X$4:$X$2503,"盘盈",入库单!$C$4:$C$2503,"&gt;="&amp;账期起,入库单!$C$4:$C$2503,"&lt;="&amp;账期止)+COUNTIFS(出库单!$D$4:$D$4003,$A203,出库单!$K$4:$K$4003,"盘亏",出库单!$C$4:$C$4003,"&gt;="&amp;账期起,出库单!$C$4:$C$4003,"&lt;="&amp;账期止)&gt;0,"已调账","※差异还没调账")))</f>
        <v/>
      </c>
      <c r="Q203" s="17" t="n"/>
      <c r="R203" s="17" t="n"/>
    </row>
    <row r="204">
      <c r="A204" s="24">
        <f>IF(库存台账!$A204="","",库存台账!$A204)</f>
        <v/>
      </c>
      <c r="B204" s="24">
        <f>IF($A204="","",库存台账!$B204)</f>
        <v/>
      </c>
      <c r="C204" s="24">
        <f>IF($A204="","",库存台账!$C204)</f>
        <v/>
      </c>
      <c r="D204" s="24">
        <f>IF($A204="","",库存台账!$D204)</f>
        <v/>
      </c>
      <c r="E204" s="24">
        <f>IF($A204="","",库存台账!$E204)</f>
        <v/>
      </c>
      <c r="F204" s="24">
        <f>IF($A204="","",库存台账!$F204)</f>
        <v/>
      </c>
      <c r="G204" s="17" t="n"/>
      <c r="H204" s="23" t="n"/>
      <c r="I204" s="27">
        <f>IF($A204="","",库存台账!$X204)</f>
        <v/>
      </c>
      <c r="J204" s="27">
        <f>IF(OR($A204="",$H204=""),"",ROUND($H204-$I204,3))</f>
        <v/>
      </c>
      <c r="K204" s="26">
        <f>IF($A204="","",库存台账!$K204)</f>
        <v/>
      </c>
      <c r="L204" s="26">
        <f>IF($J204="","",ROUND($J204*$K204,0))</f>
        <v/>
      </c>
      <c r="M204" s="37">
        <f>IF(OR($J204="",$I204=0),"",ROUND($J204/$I204,4))</f>
        <v/>
      </c>
      <c r="N204" s="17" t="n"/>
      <c r="O204" s="17" t="n"/>
      <c r="P204" s="24">
        <f>IF($J204="","未盘",IF(ROUND($J204,3)=0,"账实相符",IF(COUNTIFS(入库单!$G$4:$G$2503,$A204,入库单!$X$4:$X$2503,"盘盈",入库单!$C$4:$C$2503,"&gt;="&amp;账期起,入库单!$C$4:$C$2503,"&lt;="&amp;账期止)+COUNTIFS(出库单!$D$4:$D$4003,$A204,出库单!$K$4:$K$4003,"盘亏",出库单!$C$4:$C$4003,"&gt;="&amp;账期起,出库单!$C$4:$C$4003,"&lt;="&amp;账期止)&gt;0,"已调账","※差异还没调账")))</f>
        <v/>
      </c>
      <c r="Q204" s="17" t="n"/>
      <c r="R204" s="17" t="n"/>
    </row>
    <row r="205">
      <c r="A205" s="24">
        <f>IF(库存台账!$A205="","",库存台账!$A205)</f>
        <v/>
      </c>
      <c r="B205" s="24">
        <f>IF($A205="","",库存台账!$B205)</f>
        <v/>
      </c>
      <c r="C205" s="24">
        <f>IF($A205="","",库存台账!$C205)</f>
        <v/>
      </c>
      <c r="D205" s="24">
        <f>IF($A205="","",库存台账!$D205)</f>
        <v/>
      </c>
      <c r="E205" s="24">
        <f>IF($A205="","",库存台账!$E205)</f>
        <v/>
      </c>
      <c r="F205" s="24">
        <f>IF($A205="","",库存台账!$F205)</f>
        <v/>
      </c>
      <c r="G205" s="17" t="n"/>
      <c r="H205" s="23" t="n"/>
      <c r="I205" s="27">
        <f>IF($A205="","",库存台账!$X205)</f>
        <v/>
      </c>
      <c r="J205" s="27">
        <f>IF(OR($A205="",$H205=""),"",ROUND($H205-$I205,3))</f>
        <v/>
      </c>
      <c r="K205" s="26">
        <f>IF($A205="","",库存台账!$K205)</f>
        <v/>
      </c>
      <c r="L205" s="26">
        <f>IF($J205="","",ROUND($J205*$K205,0))</f>
        <v/>
      </c>
      <c r="M205" s="37">
        <f>IF(OR($J205="",$I205=0),"",ROUND($J205/$I205,4))</f>
        <v/>
      </c>
      <c r="N205" s="17" t="n"/>
      <c r="O205" s="17" t="n"/>
      <c r="P205" s="24">
        <f>IF($J205="","未盘",IF(ROUND($J205,3)=0,"账实相符",IF(COUNTIFS(入库单!$G$4:$G$2503,$A205,入库单!$X$4:$X$2503,"盘盈",入库单!$C$4:$C$2503,"&gt;="&amp;账期起,入库单!$C$4:$C$2503,"&lt;="&amp;账期止)+COUNTIFS(出库单!$D$4:$D$4003,$A205,出库单!$K$4:$K$4003,"盘亏",出库单!$C$4:$C$4003,"&gt;="&amp;账期起,出库单!$C$4:$C$4003,"&lt;="&amp;账期止)&gt;0,"已调账","※差异还没调账")))</f>
        <v/>
      </c>
      <c r="Q205" s="17" t="n"/>
      <c r="R205" s="17" t="n"/>
    </row>
    <row r="206">
      <c r="A206" s="24">
        <f>IF(库存台账!$A206="","",库存台账!$A206)</f>
        <v/>
      </c>
      <c r="B206" s="24">
        <f>IF($A206="","",库存台账!$B206)</f>
        <v/>
      </c>
      <c r="C206" s="24">
        <f>IF($A206="","",库存台账!$C206)</f>
        <v/>
      </c>
      <c r="D206" s="24">
        <f>IF($A206="","",库存台账!$D206)</f>
        <v/>
      </c>
      <c r="E206" s="24">
        <f>IF($A206="","",库存台账!$E206)</f>
        <v/>
      </c>
      <c r="F206" s="24">
        <f>IF($A206="","",库存台账!$F206)</f>
        <v/>
      </c>
      <c r="G206" s="17" t="n"/>
      <c r="H206" s="23" t="n"/>
      <c r="I206" s="27">
        <f>IF($A206="","",库存台账!$X206)</f>
        <v/>
      </c>
      <c r="J206" s="27">
        <f>IF(OR($A206="",$H206=""),"",ROUND($H206-$I206,3))</f>
        <v/>
      </c>
      <c r="K206" s="26">
        <f>IF($A206="","",库存台账!$K206)</f>
        <v/>
      </c>
      <c r="L206" s="26">
        <f>IF($J206="","",ROUND($J206*$K206,0))</f>
        <v/>
      </c>
      <c r="M206" s="37">
        <f>IF(OR($J206="",$I206=0),"",ROUND($J206/$I206,4))</f>
        <v/>
      </c>
      <c r="N206" s="17" t="n"/>
      <c r="O206" s="17" t="n"/>
      <c r="P206" s="24">
        <f>IF($J206="","未盘",IF(ROUND($J206,3)=0,"账实相符",IF(COUNTIFS(入库单!$G$4:$G$2503,$A206,入库单!$X$4:$X$2503,"盘盈",入库单!$C$4:$C$2503,"&gt;="&amp;账期起,入库单!$C$4:$C$2503,"&lt;="&amp;账期止)+COUNTIFS(出库单!$D$4:$D$4003,$A206,出库单!$K$4:$K$4003,"盘亏",出库单!$C$4:$C$4003,"&gt;="&amp;账期起,出库单!$C$4:$C$4003,"&lt;="&amp;账期止)&gt;0,"已调账","※差异还没调账")))</f>
        <v/>
      </c>
      <c r="Q206" s="17" t="n"/>
      <c r="R206" s="17" t="n"/>
    </row>
    <row r="207">
      <c r="A207" s="24">
        <f>IF(库存台账!$A207="","",库存台账!$A207)</f>
        <v/>
      </c>
      <c r="B207" s="24">
        <f>IF($A207="","",库存台账!$B207)</f>
        <v/>
      </c>
      <c r="C207" s="24">
        <f>IF($A207="","",库存台账!$C207)</f>
        <v/>
      </c>
      <c r="D207" s="24">
        <f>IF($A207="","",库存台账!$D207)</f>
        <v/>
      </c>
      <c r="E207" s="24">
        <f>IF($A207="","",库存台账!$E207)</f>
        <v/>
      </c>
      <c r="F207" s="24">
        <f>IF($A207="","",库存台账!$F207)</f>
        <v/>
      </c>
      <c r="G207" s="17" t="n"/>
      <c r="H207" s="23" t="n"/>
      <c r="I207" s="27">
        <f>IF($A207="","",库存台账!$X207)</f>
        <v/>
      </c>
      <c r="J207" s="27">
        <f>IF(OR($A207="",$H207=""),"",ROUND($H207-$I207,3))</f>
        <v/>
      </c>
      <c r="K207" s="26">
        <f>IF($A207="","",库存台账!$K207)</f>
        <v/>
      </c>
      <c r="L207" s="26">
        <f>IF($J207="","",ROUND($J207*$K207,0))</f>
        <v/>
      </c>
      <c r="M207" s="37">
        <f>IF(OR($J207="",$I207=0),"",ROUND($J207/$I207,4))</f>
        <v/>
      </c>
      <c r="N207" s="17" t="n"/>
      <c r="O207" s="17" t="n"/>
      <c r="P207" s="24">
        <f>IF($J207="","未盘",IF(ROUND($J207,3)=0,"账实相符",IF(COUNTIFS(入库单!$G$4:$G$2503,$A207,入库单!$X$4:$X$2503,"盘盈",入库单!$C$4:$C$2503,"&gt;="&amp;账期起,入库单!$C$4:$C$2503,"&lt;="&amp;账期止)+COUNTIFS(出库单!$D$4:$D$4003,$A207,出库单!$K$4:$K$4003,"盘亏",出库单!$C$4:$C$4003,"&gt;="&amp;账期起,出库单!$C$4:$C$4003,"&lt;="&amp;账期止)&gt;0,"已调账","※差异还没调账")))</f>
        <v/>
      </c>
      <c r="Q207" s="17" t="n"/>
      <c r="R207" s="17" t="n"/>
    </row>
    <row r="208">
      <c r="A208" s="24">
        <f>IF(库存台账!$A208="","",库存台账!$A208)</f>
        <v/>
      </c>
      <c r="B208" s="24">
        <f>IF($A208="","",库存台账!$B208)</f>
        <v/>
      </c>
      <c r="C208" s="24">
        <f>IF($A208="","",库存台账!$C208)</f>
        <v/>
      </c>
      <c r="D208" s="24">
        <f>IF($A208="","",库存台账!$D208)</f>
        <v/>
      </c>
      <c r="E208" s="24">
        <f>IF($A208="","",库存台账!$E208)</f>
        <v/>
      </c>
      <c r="F208" s="24">
        <f>IF($A208="","",库存台账!$F208)</f>
        <v/>
      </c>
      <c r="G208" s="17" t="n"/>
      <c r="H208" s="23" t="n"/>
      <c r="I208" s="27">
        <f>IF($A208="","",库存台账!$X208)</f>
        <v/>
      </c>
      <c r="J208" s="27">
        <f>IF(OR($A208="",$H208=""),"",ROUND($H208-$I208,3))</f>
        <v/>
      </c>
      <c r="K208" s="26">
        <f>IF($A208="","",库存台账!$K208)</f>
        <v/>
      </c>
      <c r="L208" s="26">
        <f>IF($J208="","",ROUND($J208*$K208,0))</f>
        <v/>
      </c>
      <c r="M208" s="37">
        <f>IF(OR($J208="",$I208=0),"",ROUND($J208/$I208,4))</f>
        <v/>
      </c>
      <c r="N208" s="17" t="n"/>
      <c r="O208" s="17" t="n"/>
      <c r="P208" s="24">
        <f>IF($J208="","未盘",IF(ROUND($J208,3)=0,"账实相符",IF(COUNTIFS(入库单!$G$4:$G$2503,$A208,入库单!$X$4:$X$2503,"盘盈",入库单!$C$4:$C$2503,"&gt;="&amp;账期起,入库单!$C$4:$C$2503,"&lt;="&amp;账期止)+COUNTIFS(出库单!$D$4:$D$4003,$A208,出库单!$K$4:$K$4003,"盘亏",出库单!$C$4:$C$4003,"&gt;="&amp;账期起,出库单!$C$4:$C$4003,"&lt;="&amp;账期止)&gt;0,"已调账","※差异还没调账")))</f>
        <v/>
      </c>
      <c r="Q208" s="17" t="n"/>
      <c r="R208" s="17" t="n"/>
    </row>
    <row r="209">
      <c r="A209" s="24">
        <f>IF(库存台账!$A209="","",库存台账!$A209)</f>
        <v/>
      </c>
      <c r="B209" s="24">
        <f>IF($A209="","",库存台账!$B209)</f>
        <v/>
      </c>
      <c r="C209" s="24">
        <f>IF($A209="","",库存台账!$C209)</f>
        <v/>
      </c>
      <c r="D209" s="24">
        <f>IF($A209="","",库存台账!$D209)</f>
        <v/>
      </c>
      <c r="E209" s="24">
        <f>IF($A209="","",库存台账!$E209)</f>
        <v/>
      </c>
      <c r="F209" s="24">
        <f>IF($A209="","",库存台账!$F209)</f>
        <v/>
      </c>
      <c r="G209" s="17" t="n"/>
      <c r="H209" s="23" t="n"/>
      <c r="I209" s="27">
        <f>IF($A209="","",库存台账!$X209)</f>
        <v/>
      </c>
      <c r="J209" s="27">
        <f>IF(OR($A209="",$H209=""),"",ROUND($H209-$I209,3))</f>
        <v/>
      </c>
      <c r="K209" s="26">
        <f>IF($A209="","",库存台账!$K209)</f>
        <v/>
      </c>
      <c r="L209" s="26">
        <f>IF($J209="","",ROUND($J209*$K209,0))</f>
        <v/>
      </c>
      <c r="M209" s="37">
        <f>IF(OR($J209="",$I209=0),"",ROUND($J209/$I209,4))</f>
        <v/>
      </c>
      <c r="N209" s="17" t="n"/>
      <c r="O209" s="17" t="n"/>
      <c r="P209" s="24">
        <f>IF($J209="","未盘",IF(ROUND($J209,3)=0,"账实相符",IF(COUNTIFS(入库单!$G$4:$G$2503,$A209,入库单!$X$4:$X$2503,"盘盈",入库单!$C$4:$C$2503,"&gt;="&amp;账期起,入库单!$C$4:$C$2503,"&lt;="&amp;账期止)+COUNTIFS(出库单!$D$4:$D$4003,$A209,出库单!$K$4:$K$4003,"盘亏",出库单!$C$4:$C$4003,"&gt;="&amp;账期起,出库单!$C$4:$C$4003,"&lt;="&amp;账期止)&gt;0,"已调账","※差异还没调账")))</f>
        <v/>
      </c>
      <c r="Q209" s="17" t="n"/>
      <c r="R209" s="17" t="n"/>
    </row>
    <row r="210">
      <c r="A210" s="24">
        <f>IF(库存台账!$A210="","",库存台账!$A210)</f>
        <v/>
      </c>
      <c r="B210" s="24">
        <f>IF($A210="","",库存台账!$B210)</f>
        <v/>
      </c>
      <c r="C210" s="24">
        <f>IF($A210="","",库存台账!$C210)</f>
        <v/>
      </c>
      <c r="D210" s="24">
        <f>IF($A210="","",库存台账!$D210)</f>
        <v/>
      </c>
      <c r="E210" s="24">
        <f>IF($A210="","",库存台账!$E210)</f>
        <v/>
      </c>
      <c r="F210" s="24">
        <f>IF($A210="","",库存台账!$F210)</f>
        <v/>
      </c>
      <c r="G210" s="17" t="n"/>
      <c r="H210" s="23" t="n"/>
      <c r="I210" s="27">
        <f>IF($A210="","",库存台账!$X210)</f>
        <v/>
      </c>
      <c r="J210" s="27">
        <f>IF(OR($A210="",$H210=""),"",ROUND($H210-$I210,3))</f>
        <v/>
      </c>
      <c r="K210" s="26">
        <f>IF($A210="","",库存台账!$K210)</f>
        <v/>
      </c>
      <c r="L210" s="26">
        <f>IF($J210="","",ROUND($J210*$K210,0))</f>
        <v/>
      </c>
      <c r="M210" s="37">
        <f>IF(OR($J210="",$I210=0),"",ROUND($J210/$I210,4))</f>
        <v/>
      </c>
      <c r="N210" s="17" t="n"/>
      <c r="O210" s="17" t="n"/>
      <c r="P210" s="24">
        <f>IF($J210="","未盘",IF(ROUND($J210,3)=0,"账实相符",IF(COUNTIFS(入库单!$G$4:$G$2503,$A210,入库单!$X$4:$X$2503,"盘盈",入库单!$C$4:$C$2503,"&gt;="&amp;账期起,入库单!$C$4:$C$2503,"&lt;="&amp;账期止)+COUNTIFS(出库单!$D$4:$D$4003,$A210,出库单!$K$4:$K$4003,"盘亏",出库单!$C$4:$C$4003,"&gt;="&amp;账期起,出库单!$C$4:$C$4003,"&lt;="&amp;账期止)&gt;0,"已调账","※差异还没调账")))</f>
        <v/>
      </c>
      <c r="Q210" s="17" t="n"/>
      <c r="R210" s="17" t="n"/>
    </row>
    <row r="211">
      <c r="A211" s="24">
        <f>IF(库存台账!$A211="","",库存台账!$A211)</f>
        <v/>
      </c>
      <c r="B211" s="24">
        <f>IF($A211="","",库存台账!$B211)</f>
        <v/>
      </c>
      <c r="C211" s="24">
        <f>IF($A211="","",库存台账!$C211)</f>
        <v/>
      </c>
      <c r="D211" s="24">
        <f>IF($A211="","",库存台账!$D211)</f>
        <v/>
      </c>
      <c r="E211" s="24">
        <f>IF($A211="","",库存台账!$E211)</f>
        <v/>
      </c>
      <c r="F211" s="24">
        <f>IF($A211="","",库存台账!$F211)</f>
        <v/>
      </c>
      <c r="G211" s="17" t="n"/>
      <c r="H211" s="23" t="n"/>
      <c r="I211" s="27">
        <f>IF($A211="","",库存台账!$X211)</f>
        <v/>
      </c>
      <c r="J211" s="27">
        <f>IF(OR($A211="",$H211=""),"",ROUND($H211-$I211,3))</f>
        <v/>
      </c>
      <c r="K211" s="26">
        <f>IF($A211="","",库存台账!$K211)</f>
        <v/>
      </c>
      <c r="L211" s="26">
        <f>IF($J211="","",ROUND($J211*$K211,0))</f>
        <v/>
      </c>
      <c r="M211" s="37">
        <f>IF(OR($J211="",$I211=0),"",ROUND($J211/$I211,4))</f>
        <v/>
      </c>
      <c r="N211" s="17" t="n"/>
      <c r="O211" s="17" t="n"/>
      <c r="P211" s="24">
        <f>IF($J211="","未盘",IF(ROUND($J211,3)=0,"账实相符",IF(COUNTIFS(入库单!$G$4:$G$2503,$A211,入库单!$X$4:$X$2503,"盘盈",入库单!$C$4:$C$2503,"&gt;="&amp;账期起,入库单!$C$4:$C$2503,"&lt;="&amp;账期止)+COUNTIFS(出库单!$D$4:$D$4003,$A211,出库单!$K$4:$K$4003,"盘亏",出库单!$C$4:$C$4003,"&gt;="&amp;账期起,出库单!$C$4:$C$4003,"&lt;="&amp;账期止)&gt;0,"已调账","※差异还没调账")))</f>
        <v/>
      </c>
      <c r="Q211" s="17" t="n"/>
      <c r="R211" s="17" t="n"/>
    </row>
    <row r="212">
      <c r="A212" s="24">
        <f>IF(库存台账!$A212="","",库存台账!$A212)</f>
        <v/>
      </c>
      <c r="B212" s="24">
        <f>IF($A212="","",库存台账!$B212)</f>
        <v/>
      </c>
      <c r="C212" s="24">
        <f>IF($A212="","",库存台账!$C212)</f>
        <v/>
      </c>
      <c r="D212" s="24">
        <f>IF($A212="","",库存台账!$D212)</f>
        <v/>
      </c>
      <c r="E212" s="24">
        <f>IF($A212="","",库存台账!$E212)</f>
        <v/>
      </c>
      <c r="F212" s="24">
        <f>IF($A212="","",库存台账!$F212)</f>
        <v/>
      </c>
      <c r="G212" s="17" t="n"/>
      <c r="H212" s="23" t="n"/>
      <c r="I212" s="27">
        <f>IF($A212="","",库存台账!$X212)</f>
        <v/>
      </c>
      <c r="J212" s="27">
        <f>IF(OR($A212="",$H212=""),"",ROUND($H212-$I212,3))</f>
        <v/>
      </c>
      <c r="K212" s="26">
        <f>IF($A212="","",库存台账!$K212)</f>
        <v/>
      </c>
      <c r="L212" s="26">
        <f>IF($J212="","",ROUND($J212*$K212,0))</f>
        <v/>
      </c>
      <c r="M212" s="37">
        <f>IF(OR($J212="",$I212=0),"",ROUND($J212/$I212,4))</f>
        <v/>
      </c>
      <c r="N212" s="17" t="n"/>
      <c r="O212" s="17" t="n"/>
      <c r="P212" s="24">
        <f>IF($J212="","未盘",IF(ROUND($J212,3)=0,"账实相符",IF(COUNTIFS(入库单!$G$4:$G$2503,$A212,入库单!$X$4:$X$2503,"盘盈",入库单!$C$4:$C$2503,"&gt;="&amp;账期起,入库单!$C$4:$C$2503,"&lt;="&amp;账期止)+COUNTIFS(出库单!$D$4:$D$4003,$A212,出库单!$K$4:$K$4003,"盘亏",出库单!$C$4:$C$4003,"&gt;="&amp;账期起,出库单!$C$4:$C$4003,"&lt;="&amp;账期止)&gt;0,"已调账","※差异还没调账")))</f>
        <v/>
      </c>
      <c r="Q212" s="17" t="n"/>
      <c r="R212" s="17" t="n"/>
    </row>
    <row r="213">
      <c r="A213" s="24">
        <f>IF(库存台账!$A213="","",库存台账!$A213)</f>
        <v/>
      </c>
      <c r="B213" s="24">
        <f>IF($A213="","",库存台账!$B213)</f>
        <v/>
      </c>
      <c r="C213" s="24">
        <f>IF($A213="","",库存台账!$C213)</f>
        <v/>
      </c>
      <c r="D213" s="24">
        <f>IF($A213="","",库存台账!$D213)</f>
        <v/>
      </c>
      <c r="E213" s="24">
        <f>IF($A213="","",库存台账!$E213)</f>
        <v/>
      </c>
      <c r="F213" s="24">
        <f>IF($A213="","",库存台账!$F213)</f>
        <v/>
      </c>
      <c r="G213" s="17" t="n"/>
      <c r="H213" s="23" t="n"/>
      <c r="I213" s="27">
        <f>IF($A213="","",库存台账!$X213)</f>
        <v/>
      </c>
      <c r="J213" s="27">
        <f>IF(OR($A213="",$H213=""),"",ROUND($H213-$I213,3))</f>
        <v/>
      </c>
      <c r="K213" s="26">
        <f>IF($A213="","",库存台账!$K213)</f>
        <v/>
      </c>
      <c r="L213" s="26">
        <f>IF($J213="","",ROUND($J213*$K213,0))</f>
        <v/>
      </c>
      <c r="M213" s="37">
        <f>IF(OR($J213="",$I213=0),"",ROUND($J213/$I213,4))</f>
        <v/>
      </c>
      <c r="N213" s="17" t="n"/>
      <c r="O213" s="17" t="n"/>
      <c r="P213" s="24">
        <f>IF($J213="","未盘",IF(ROUND($J213,3)=0,"账实相符",IF(COUNTIFS(入库单!$G$4:$G$2503,$A213,入库单!$X$4:$X$2503,"盘盈",入库单!$C$4:$C$2503,"&gt;="&amp;账期起,入库单!$C$4:$C$2503,"&lt;="&amp;账期止)+COUNTIFS(出库单!$D$4:$D$4003,$A213,出库单!$K$4:$K$4003,"盘亏",出库单!$C$4:$C$4003,"&gt;="&amp;账期起,出库单!$C$4:$C$4003,"&lt;="&amp;账期止)&gt;0,"已调账","※差异还没调账")))</f>
        <v/>
      </c>
      <c r="Q213" s="17" t="n"/>
      <c r="R213" s="17" t="n"/>
    </row>
    <row r="214">
      <c r="A214" s="24">
        <f>IF(库存台账!$A214="","",库存台账!$A214)</f>
        <v/>
      </c>
      <c r="B214" s="24">
        <f>IF($A214="","",库存台账!$B214)</f>
        <v/>
      </c>
      <c r="C214" s="24">
        <f>IF($A214="","",库存台账!$C214)</f>
        <v/>
      </c>
      <c r="D214" s="24">
        <f>IF($A214="","",库存台账!$D214)</f>
        <v/>
      </c>
      <c r="E214" s="24">
        <f>IF($A214="","",库存台账!$E214)</f>
        <v/>
      </c>
      <c r="F214" s="24">
        <f>IF($A214="","",库存台账!$F214)</f>
        <v/>
      </c>
      <c r="G214" s="17" t="n"/>
      <c r="H214" s="23" t="n"/>
      <c r="I214" s="27">
        <f>IF($A214="","",库存台账!$X214)</f>
        <v/>
      </c>
      <c r="J214" s="27">
        <f>IF(OR($A214="",$H214=""),"",ROUND($H214-$I214,3))</f>
        <v/>
      </c>
      <c r="K214" s="26">
        <f>IF($A214="","",库存台账!$K214)</f>
        <v/>
      </c>
      <c r="L214" s="26">
        <f>IF($J214="","",ROUND($J214*$K214,0))</f>
        <v/>
      </c>
      <c r="M214" s="37">
        <f>IF(OR($J214="",$I214=0),"",ROUND($J214/$I214,4))</f>
        <v/>
      </c>
      <c r="N214" s="17" t="n"/>
      <c r="O214" s="17" t="n"/>
      <c r="P214" s="24">
        <f>IF($J214="","未盘",IF(ROUND($J214,3)=0,"账实相符",IF(COUNTIFS(入库单!$G$4:$G$2503,$A214,入库单!$X$4:$X$2503,"盘盈",入库单!$C$4:$C$2503,"&gt;="&amp;账期起,入库单!$C$4:$C$2503,"&lt;="&amp;账期止)+COUNTIFS(出库单!$D$4:$D$4003,$A214,出库单!$K$4:$K$4003,"盘亏",出库单!$C$4:$C$4003,"&gt;="&amp;账期起,出库单!$C$4:$C$4003,"&lt;="&amp;账期止)&gt;0,"已调账","※差异还没调账")))</f>
        <v/>
      </c>
      <c r="Q214" s="17" t="n"/>
      <c r="R214" s="17" t="n"/>
    </row>
    <row r="215">
      <c r="A215" s="24">
        <f>IF(库存台账!$A215="","",库存台账!$A215)</f>
        <v/>
      </c>
      <c r="B215" s="24">
        <f>IF($A215="","",库存台账!$B215)</f>
        <v/>
      </c>
      <c r="C215" s="24">
        <f>IF($A215="","",库存台账!$C215)</f>
        <v/>
      </c>
      <c r="D215" s="24">
        <f>IF($A215="","",库存台账!$D215)</f>
        <v/>
      </c>
      <c r="E215" s="24">
        <f>IF($A215="","",库存台账!$E215)</f>
        <v/>
      </c>
      <c r="F215" s="24">
        <f>IF($A215="","",库存台账!$F215)</f>
        <v/>
      </c>
      <c r="G215" s="17" t="n"/>
      <c r="H215" s="23" t="n"/>
      <c r="I215" s="27">
        <f>IF($A215="","",库存台账!$X215)</f>
        <v/>
      </c>
      <c r="J215" s="27">
        <f>IF(OR($A215="",$H215=""),"",ROUND($H215-$I215,3))</f>
        <v/>
      </c>
      <c r="K215" s="26">
        <f>IF($A215="","",库存台账!$K215)</f>
        <v/>
      </c>
      <c r="L215" s="26">
        <f>IF($J215="","",ROUND($J215*$K215,0))</f>
        <v/>
      </c>
      <c r="M215" s="37">
        <f>IF(OR($J215="",$I215=0),"",ROUND($J215/$I215,4))</f>
        <v/>
      </c>
      <c r="N215" s="17" t="n"/>
      <c r="O215" s="17" t="n"/>
      <c r="P215" s="24">
        <f>IF($J215="","未盘",IF(ROUND($J215,3)=0,"账实相符",IF(COUNTIFS(入库单!$G$4:$G$2503,$A215,入库单!$X$4:$X$2503,"盘盈",入库单!$C$4:$C$2503,"&gt;="&amp;账期起,入库单!$C$4:$C$2503,"&lt;="&amp;账期止)+COUNTIFS(出库单!$D$4:$D$4003,$A215,出库单!$K$4:$K$4003,"盘亏",出库单!$C$4:$C$4003,"&gt;="&amp;账期起,出库单!$C$4:$C$4003,"&lt;="&amp;账期止)&gt;0,"已调账","※差异还没调账")))</f>
        <v/>
      </c>
      <c r="Q215" s="17" t="n"/>
      <c r="R215" s="17" t="n"/>
    </row>
    <row r="216">
      <c r="A216" s="24">
        <f>IF(库存台账!$A216="","",库存台账!$A216)</f>
        <v/>
      </c>
      <c r="B216" s="24">
        <f>IF($A216="","",库存台账!$B216)</f>
        <v/>
      </c>
      <c r="C216" s="24">
        <f>IF($A216="","",库存台账!$C216)</f>
        <v/>
      </c>
      <c r="D216" s="24">
        <f>IF($A216="","",库存台账!$D216)</f>
        <v/>
      </c>
      <c r="E216" s="24">
        <f>IF($A216="","",库存台账!$E216)</f>
        <v/>
      </c>
      <c r="F216" s="24">
        <f>IF($A216="","",库存台账!$F216)</f>
        <v/>
      </c>
      <c r="G216" s="17" t="n"/>
      <c r="H216" s="23" t="n"/>
      <c r="I216" s="27">
        <f>IF($A216="","",库存台账!$X216)</f>
        <v/>
      </c>
      <c r="J216" s="27">
        <f>IF(OR($A216="",$H216=""),"",ROUND($H216-$I216,3))</f>
        <v/>
      </c>
      <c r="K216" s="26">
        <f>IF($A216="","",库存台账!$K216)</f>
        <v/>
      </c>
      <c r="L216" s="26">
        <f>IF($J216="","",ROUND($J216*$K216,0))</f>
        <v/>
      </c>
      <c r="M216" s="37">
        <f>IF(OR($J216="",$I216=0),"",ROUND($J216/$I216,4))</f>
        <v/>
      </c>
      <c r="N216" s="17" t="n"/>
      <c r="O216" s="17" t="n"/>
      <c r="P216" s="24">
        <f>IF($J216="","未盘",IF(ROUND($J216,3)=0,"账实相符",IF(COUNTIFS(入库单!$G$4:$G$2503,$A216,入库单!$X$4:$X$2503,"盘盈",入库单!$C$4:$C$2503,"&gt;="&amp;账期起,入库单!$C$4:$C$2503,"&lt;="&amp;账期止)+COUNTIFS(出库单!$D$4:$D$4003,$A216,出库单!$K$4:$K$4003,"盘亏",出库单!$C$4:$C$4003,"&gt;="&amp;账期起,出库单!$C$4:$C$4003,"&lt;="&amp;账期止)&gt;0,"已调账","※差异还没调账")))</f>
        <v/>
      </c>
      <c r="Q216" s="17" t="n"/>
      <c r="R216" s="17" t="n"/>
    </row>
    <row r="217">
      <c r="A217" s="24">
        <f>IF(库存台账!$A217="","",库存台账!$A217)</f>
        <v/>
      </c>
      <c r="B217" s="24">
        <f>IF($A217="","",库存台账!$B217)</f>
        <v/>
      </c>
      <c r="C217" s="24">
        <f>IF($A217="","",库存台账!$C217)</f>
        <v/>
      </c>
      <c r="D217" s="24">
        <f>IF($A217="","",库存台账!$D217)</f>
        <v/>
      </c>
      <c r="E217" s="24">
        <f>IF($A217="","",库存台账!$E217)</f>
        <v/>
      </c>
      <c r="F217" s="24">
        <f>IF($A217="","",库存台账!$F217)</f>
        <v/>
      </c>
      <c r="G217" s="17" t="n"/>
      <c r="H217" s="23" t="n"/>
      <c r="I217" s="27">
        <f>IF($A217="","",库存台账!$X217)</f>
        <v/>
      </c>
      <c r="J217" s="27">
        <f>IF(OR($A217="",$H217=""),"",ROUND($H217-$I217,3))</f>
        <v/>
      </c>
      <c r="K217" s="26">
        <f>IF($A217="","",库存台账!$K217)</f>
        <v/>
      </c>
      <c r="L217" s="26">
        <f>IF($J217="","",ROUND($J217*$K217,0))</f>
        <v/>
      </c>
      <c r="M217" s="37">
        <f>IF(OR($J217="",$I217=0),"",ROUND($J217/$I217,4))</f>
        <v/>
      </c>
      <c r="N217" s="17" t="n"/>
      <c r="O217" s="17" t="n"/>
      <c r="P217" s="24">
        <f>IF($J217="","未盘",IF(ROUND($J217,3)=0,"账实相符",IF(COUNTIFS(入库单!$G$4:$G$2503,$A217,入库单!$X$4:$X$2503,"盘盈",入库单!$C$4:$C$2503,"&gt;="&amp;账期起,入库单!$C$4:$C$2503,"&lt;="&amp;账期止)+COUNTIFS(出库单!$D$4:$D$4003,$A217,出库单!$K$4:$K$4003,"盘亏",出库单!$C$4:$C$4003,"&gt;="&amp;账期起,出库单!$C$4:$C$4003,"&lt;="&amp;账期止)&gt;0,"已调账","※差异还没调账")))</f>
        <v/>
      </c>
      <c r="Q217" s="17" t="n"/>
      <c r="R217" s="17" t="n"/>
    </row>
    <row r="218">
      <c r="A218" s="24">
        <f>IF(库存台账!$A218="","",库存台账!$A218)</f>
        <v/>
      </c>
      <c r="B218" s="24">
        <f>IF($A218="","",库存台账!$B218)</f>
        <v/>
      </c>
      <c r="C218" s="24">
        <f>IF($A218="","",库存台账!$C218)</f>
        <v/>
      </c>
      <c r="D218" s="24">
        <f>IF($A218="","",库存台账!$D218)</f>
        <v/>
      </c>
      <c r="E218" s="24">
        <f>IF($A218="","",库存台账!$E218)</f>
        <v/>
      </c>
      <c r="F218" s="24">
        <f>IF($A218="","",库存台账!$F218)</f>
        <v/>
      </c>
      <c r="G218" s="17" t="n"/>
      <c r="H218" s="23" t="n"/>
      <c r="I218" s="27">
        <f>IF($A218="","",库存台账!$X218)</f>
        <v/>
      </c>
      <c r="J218" s="27">
        <f>IF(OR($A218="",$H218=""),"",ROUND($H218-$I218,3))</f>
        <v/>
      </c>
      <c r="K218" s="26">
        <f>IF($A218="","",库存台账!$K218)</f>
        <v/>
      </c>
      <c r="L218" s="26">
        <f>IF($J218="","",ROUND($J218*$K218,0))</f>
        <v/>
      </c>
      <c r="M218" s="37">
        <f>IF(OR($J218="",$I218=0),"",ROUND($J218/$I218,4))</f>
        <v/>
      </c>
      <c r="N218" s="17" t="n"/>
      <c r="O218" s="17" t="n"/>
      <c r="P218" s="24">
        <f>IF($J218="","未盘",IF(ROUND($J218,3)=0,"账实相符",IF(COUNTIFS(入库单!$G$4:$G$2503,$A218,入库单!$X$4:$X$2503,"盘盈",入库单!$C$4:$C$2503,"&gt;="&amp;账期起,入库单!$C$4:$C$2503,"&lt;="&amp;账期止)+COUNTIFS(出库单!$D$4:$D$4003,$A218,出库单!$K$4:$K$4003,"盘亏",出库单!$C$4:$C$4003,"&gt;="&amp;账期起,出库单!$C$4:$C$4003,"&lt;="&amp;账期止)&gt;0,"已调账","※差异还没调账")))</f>
        <v/>
      </c>
      <c r="Q218" s="17" t="n"/>
      <c r="R218" s="17" t="n"/>
    </row>
    <row r="219">
      <c r="A219" s="24">
        <f>IF(库存台账!$A219="","",库存台账!$A219)</f>
        <v/>
      </c>
      <c r="B219" s="24">
        <f>IF($A219="","",库存台账!$B219)</f>
        <v/>
      </c>
      <c r="C219" s="24">
        <f>IF($A219="","",库存台账!$C219)</f>
        <v/>
      </c>
      <c r="D219" s="24">
        <f>IF($A219="","",库存台账!$D219)</f>
        <v/>
      </c>
      <c r="E219" s="24">
        <f>IF($A219="","",库存台账!$E219)</f>
        <v/>
      </c>
      <c r="F219" s="24">
        <f>IF($A219="","",库存台账!$F219)</f>
        <v/>
      </c>
      <c r="G219" s="17" t="n"/>
      <c r="H219" s="23" t="n"/>
      <c r="I219" s="27">
        <f>IF($A219="","",库存台账!$X219)</f>
        <v/>
      </c>
      <c r="J219" s="27">
        <f>IF(OR($A219="",$H219=""),"",ROUND($H219-$I219,3))</f>
        <v/>
      </c>
      <c r="K219" s="26">
        <f>IF($A219="","",库存台账!$K219)</f>
        <v/>
      </c>
      <c r="L219" s="26">
        <f>IF($J219="","",ROUND($J219*$K219,0))</f>
        <v/>
      </c>
      <c r="M219" s="37">
        <f>IF(OR($J219="",$I219=0),"",ROUND($J219/$I219,4))</f>
        <v/>
      </c>
      <c r="N219" s="17" t="n"/>
      <c r="O219" s="17" t="n"/>
      <c r="P219" s="24">
        <f>IF($J219="","未盘",IF(ROUND($J219,3)=0,"账实相符",IF(COUNTIFS(入库单!$G$4:$G$2503,$A219,入库单!$X$4:$X$2503,"盘盈",入库单!$C$4:$C$2503,"&gt;="&amp;账期起,入库单!$C$4:$C$2503,"&lt;="&amp;账期止)+COUNTIFS(出库单!$D$4:$D$4003,$A219,出库单!$K$4:$K$4003,"盘亏",出库单!$C$4:$C$4003,"&gt;="&amp;账期起,出库单!$C$4:$C$4003,"&lt;="&amp;账期止)&gt;0,"已调账","※差异还没调账")))</f>
        <v/>
      </c>
      <c r="Q219" s="17" t="n"/>
      <c r="R219" s="17" t="n"/>
    </row>
    <row r="220">
      <c r="A220" s="24">
        <f>IF(库存台账!$A220="","",库存台账!$A220)</f>
        <v/>
      </c>
      <c r="B220" s="24">
        <f>IF($A220="","",库存台账!$B220)</f>
        <v/>
      </c>
      <c r="C220" s="24">
        <f>IF($A220="","",库存台账!$C220)</f>
        <v/>
      </c>
      <c r="D220" s="24">
        <f>IF($A220="","",库存台账!$D220)</f>
        <v/>
      </c>
      <c r="E220" s="24">
        <f>IF($A220="","",库存台账!$E220)</f>
        <v/>
      </c>
      <c r="F220" s="24">
        <f>IF($A220="","",库存台账!$F220)</f>
        <v/>
      </c>
      <c r="G220" s="17" t="n"/>
      <c r="H220" s="23" t="n"/>
      <c r="I220" s="27">
        <f>IF($A220="","",库存台账!$X220)</f>
        <v/>
      </c>
      <c r="J220" s="27">
        <f>IF(OR($A220="",$H220=""),"",ROUND($H220-$I220,3))</f>
        <v/>
      </c>
      <c r="K220" s="26">
        <f>IF($A220="","",库存台账!$K220)</f>
        <v/>
      </c>
      <c r="L220" s="26">
        <f>IF($J220="","",ROUND($J220*$K220,0))</f>
        <v/>
      </c>
      <c r="M220" s="37">
        <f>IF(OR($J220="",$I220=0),"",ROUND($J220/$I220,4))</f>
        <v/>
      </c>
      <c r="N220" s="17" t="n"/>
      <c r="O220" s="17" t="n"/>
      <c r="P220" s="24">
        <f>IF($J220="","未盘",IF(ROUND($J220,3)=0,"账实相符",IF(COUNTIFS(入库单!$G$4:$G$2503,$A220,入库单!$X$4:$X$2503,"盘盈",入库单!$C$4:$C$2503,"&gt;="&amp;账期起,入库单!$C$4:$C$2503,"&lt;="&amp;账期止)+COUNTIFS(出库单!$D$4:$D$4003,$A220,出库单!$K$4:$K$4003,"盘亏",出库单!$C$4:$C$4003,"&gt;="&amp;账期起,出库单!$C$4:$C$4003,"&lt;="&amp;账期止)&gt;0,"已调账","※差异还没调账")))</f>
        <v/>
      </c>
      <c r="Q220" s="17" t="n"/>
      <c r="R220" s="17" t="n"/>
    </row>
    <row r="221">
      <c r="A221" s="24">
        <f>IF(库存台账!$A221="","",库存台账!$A221)</f>
        <v/>
      </c>
      <c r="B221" s="24">
        <f>IF($A221="","",库存台账!$B221)</f>
        <v/>
      </c>
      <c r="C221" s="24">
        <f>IF($A221="","",库存台账!$C221)</f>
        <v/>
      </c>
      <c r="D221" s="24">
        <f>IF($A221="","",库存台账!$D221)</f>
        <v/>
      </c>
      <c r="E221" s="24">
        <f>IF($A221="","",库存台账!$E221)</f>
        <v/>
      </c>
      <c r="F221" s="24">
        <f>IF($A221="","",库存台账!$F221)</f>
        <v/>
      </c>
      <c r="G221" s="17" t="n"/>
      <c r="H221" s="23" t="n"/>
      <c r="I221" s="27">
        <f>IF($A221="","",库存台账!$X221)</f>
        <v/>
      </c>
      <c r="J221" s="27">
        <f>IF(OR($A221="",$H221=""),"",ROUND($H221-$I221,3))</f>
        <v/>
      </c>
      <c r="K221" s="26">
        <f>IF($A221="","",库存台账!$K221)</f>
        <v/>
      </c>
      <c r="L221" s="26">
        <f>IF($J221="","",ROUND($J221*$K221,0))</f>
        <v/>
      </c>
      <c r="M221" s="37">
        <f>IF(OR($J221="",$I221=0),"",ROUND($J221/$I221,4))</f>
        <v/>
      </c>
      <c r="N221" s="17" t="n"/>
      <c r="O221" s="17" t="n"/>
      <c r="P221" s="24">
        <f>IF($J221="","未盘",IF(ROUND($J221,3)=0,"账实相符",IF(COUNTIFS(入库单!$G$4:$G$2503,$A221,入库单!$X$4:$X$2503,"盘盈",入库单!$C$4:$C$2503,"&gt;="&amp;账期起,入库单!$C$4:$C$2503,"&lt;="&amp;账期止)+COUNTIFS(出库单!$D$4:$D$4003,$A221,出库单!$K$4:$K$4003,"盘亏",出库单!$C$4:$C$4003,"&gt;="&amp;账期起,出库单!$C$4:$C$4003,"&lt;="&amp;账期止)&gt;0,"已调账","※差异还没调账")))</f>
        <v/>
      </c>
      <c r="Q221" s="17" t="n"/>
      <c r="R221" s="17" t="n"/>
    </row>
    <row r="222">
      <c r="A222" s="24">
        <f>IF(库存台账!$A222="","",库存台账!$A222)</f>
        <v/>
      </c>
      <c r="B222" s="24">
        <f>IF($A222="","",库存台账!$B222)</f>
        <v/>
      </c>
      <c r="C222" s="24">
        <f>IF($A222="","",库存台账!$C222)</f>
        <v/>
      </c>
      <c r="D222" s="24">
        <f>IF($A222="","",库存台账!$D222)</f>
        <v/>
      </c>
      <c r="E222" s="24">
        <f>IF($A222="","",库存台账!$E222)</f>
        <v/>
      </c>
      <c r="F222" s="24">
        <f>IF($A222="","",库存台账!$F222)</f>
        <v/>
      </c>
      <c r="G222" s="17" t="n"/>
      <c r="H222" s="23" t="n"/>
      <c r="I222" s="27">
        <f>IF($A222="","",库存台账!$X222)</f>
        <v/>
      </c>
      <c r="J222" s="27">
        <f>IF(OR($A222="",$H222=""),"",ROUND($H222-$I222,3))</f>
        <v/>
      </c>
      <c r="K222" s="26">
        <f>IF($A222="","",库存台账!$K222)</f>
        <v/>
      </c>
      <c r="L222" s="26">
        <f>IF($J222="","",ROUND($J222*$K222,0))</f>
        <v/>
      </c>
      <c r="M222" s="37">
        <f>IF(OR($J222="",$I222=0),"",ROUND($J222/$I222,4))</f>
        <v/>
      </c>
      <c r="N222" s="17" t="n"/>
      <c r="O222" s="17" t="n"/>
      <c r="P222" s="24">
        <f>IF($J222="","未盘",IF(ROUND($J222,3)=0,"账实相符",IF(COUNTIFS(入库单!$G$4:$G$2503,$A222,入库单!$X$4:$X$2503,"盘盈",入库单!$C$4:$C$2503,"&gt;="&amp;账期起,入库单!$C$4:$C$2503,"&lt;="&amp;账期止)+COUNTIFS(出库单!$D$4:$D$4003,$A222,出库单!$K$4:$K$4003,"盘亏",出库单!$C$4:$C$4003,"&gt;="&amp;账期起,出库单!$C$4:$C$4003,"&lt;="&amp;账期止)&gt;0,"已调账","※差异还没调账")))</f>
        <v/>
      </c>
      <c r="Q222" s="17" t="n"/>
      <c r="R222" s="17" t="n"/>
    </row>
    <row r="223">
      <c r="A223" s="24">
        <f>IF(库存台账!$A223="","",库存台账!$A223)</f>
        <v/>
      </c>
      <c r="B223" s="24">
        <f>IF($A223="","",库存台账!$B223)</f>
        <v/>
      </c>
      <c r="C223" s="24">
        <f>IF($A223="","",库存台账!$C223)</f>
        <v/>
      </c>
      <c r="D223" s="24">
        <f>IF($A223="","",库存台账!$D223)</f>
        <v/>
      </c>
      <c r="E223" s="24">
        <f>IF($A223="","",库存台账!$E223)</f>
        <v/>
      </c>
      <c r="F223" s="24">
        <f>IF($A223="","",库存台账!$F223)</f>
        <v/>
      </c>
      <c r="G223" s="17" t="n"/>
      <c r="H223" s="23" t="n"/>
      <c r="I223" s="27">
        <f>IF($A223="","",库存台账!$X223)</f>
        <v/>
      </c>
      <c r="J223" s="27">
        <f>IF(OR($A223="",$H223=""),"",ROUND($H223-$I223,3))</f>
        <v/>
      </c>
      <c r="K223" s="26">
        <f>IF($A223="","",库存台账!$K223)</f>
        <v/>
      </c>
      <c r="L223" s="26">
        <f>IF($J223="","",ROUND($J223*$K223,0))</f>
        <v/>
      </c>
      <c r="M223" s="37">
        <f>IF(OR($J223="",$I223=0),"",ROUND($J223/$I223,4))</f>
        <v/>
      </c>
      <c r="N223" s="17" t="n"/>
      <c r="O223" s="17" t="n"/>
      <c r="P223" s="24">
        <f>IF($J223="","未盘",IF(ROUND($J223,3)=0,"账实相符",IF(COUNTIFS(入库单!$G$4:$G$2503,$A223,入库单!$X$4:$X$2503,"盘盈",入库单!$C$4:$C$2503,"&gt;="&amp;账期起,入库单!$C$4:$C$2503,"&lt;="&amp;账期止)+COUNTIFS(出库单!$D$4:$D$4003,$A223,出库单!$K$4:$K$4003,"盘亏",出库单!$C$4:$C$4003,"&gt;="&amp;账期起,出库单!$C$4:$C$4003,"&lt;="&amp;账期止)&gt;0,"已调账","※差异还没调账")))</f>
        <v/>
      </c>
      <c r="Q223" s="17" t="n"/>
      <c r="R223" s="17" t="n"/>
    </row>
    <row r="224">
      <c r="A224" s="24">
        <f>IF(库存台账!$A224="","",库存台账!$A224)</f>
        <v/>
      </c>
      <c r="B224" s="24">
        <f>IF($A224="","",库存台账!$B224)</f>
        <v/>
      </c>
      <c r="C224" s="24">
        <f>IF($A224="","",库存台账!$C224)</f>
        <v/>
      </c>
      <c r="D224" s="24">
        <f>IF($A224="","",库存台账!$D224)</f>
        <v/>
      </c>
      <c r="E224" s="24">
        <f>IF($A224="","",库存台账!$E224)</f>
        <v/>
      </c>
      <c r="F224" s="24">
        <f>IF($A224="","",库存台账!$F224)</f>
        <v/>
      </c>
      <c r="G224" s="17" t="n"/>
      <c r="H224" s="23" t="n"/>
      <c r="I224" s="27">
        <f>IF($A224="","",库存台账!$X224)</f>
        <v/>
      </c>
      <c r="J224" s="27">
        <f>IF(OR($A224="",$H224=""),"",ROUND($H224-$I224,3))</f>
        <v/>
      </c>
      <c r="K224" s="26">
        <f>IF($A224="","",库存台账!$K224)</f>
        <v/>
      </c>
      <c r="L224" s="26">
        <f>IF($J224="","",ROUND($J224*$K224,0))</f>
        <v/>
      </c>
      <c r="M224" s="37">
        <f>IF(OR($J224="",$I224=0),"",ROUND($J224/$I224,4))</f>
        <v/>
      </c>
      <c r="N224" s="17" t="n"/>
      <c r="O224" s="17" t="n"/>
      <c r="P224" s="24">
        <f>IF($J224="","未盘",IF(ROUND($J224,3)=0,"账实相符",IF(COUNTIFS(入库单!$G$4:$G$2503,$A224,入库单!$X$4:$X$2503,"盘盈",入库单!$C$4:$C$2503,"&gt;="&amp;账期起,入库单!$C$4:$C$2503,"&lt;="&amp;账期止)+COUNTIFS(出库单!$D$4:$D$4003,$A224,出库单!$K$4:$K$4003,"盘亏",出库单!$C$4:$C$4003,"&gt;="&amp;账期起,出库单!$C$4:$C$4003,"&lt;="&amp;账期止)&gt;0,"已调账","※差异还没调账")))</f>
        <v/>
      </c>
      <c r="Q224" s="17" t="n"/>
      <c r="R224" s="17" t="n"/>
    </row>
    <row r="225">
      <c r="A225" s="24">
        <f>IF(库存台账!$A225="","",库存台账!$A225)</f>
        <v/>
      </c>
      <c r="B225" s="24">
        <f>IF($A225="","",库存台账!$B225)</f>
        <v/>
      </c>
      <c r="C225" s="24">
        <f>IF($A225="","",库存台账!$C225)</f>
        <v/>
      </c>
      <c r="D225" s="24">
        <f>IF($A225="","",库存台账!$D225)</f>
        <v/>
      </c>
      <c r="E225" s="24">
        <f>IF($A225="","",库存台账!$E225)</f>
        <v/>
      </c>
      <c r="F225" s="24">
        <f>IF($A225="","",库存台账!$F225)</f>
        <v/>
      </c>
      <c r="G225" s="17" t="n"/>
      <c r="H225" s="23" t="n"/>
      <c r="I225" s="27">
        <f>IF($A225="","",库存台账!$X225)</f>
        <v/>
      </c>
      <c r="J225" s="27">
        <f>IF(OR($A225="",$H225=""),"",ROUND($H225-$I225,3))</f>
        <v/>
      </c>
      <c r="K225" s="26">
        <f>IF($A225="","",库存台账!$K225)</f>
        <v/>
      </c>
      <c r="L225" s="26">
        <f>IF($J225="","",ROUND($J225*$K225,0))</f>
        <v/>
      </c>
      <c r="M225" s="37">
        <f>IF(OR($J225="",$I225=0),"",ROUND($J225/$I225,4))</f>
        <v/>
      </c>
      <c r="N225" s="17" t="n"/>
      <c r="O225" s="17" t="n"/>
      <c r="P225" s="24">
        <f>IF($J225="","未盘",IF(ROUND($J225,3)=0,"账实相符",IF(COUNTIFS(入库单!$G$4:$G$2503,$A225,入库单!$X$4:$X$2503,"盘盈",入库单!$C$4:$C$2503,"&gt;="&amp;账期起,入库单!$C$4:$C$2503,"&lt;="&amp;账期止)+COUNTIFS(出库单!$D$4:$D$4003,$A225,出库单!$K$4:$K$4003,"盘亏",出库单!$C$4:$C$4003,"&gt;="&amp;账期起,出库单!$C$4:$C$4003,"&lt;="&amp;账期止)&gt;0,"已调账","※差异还没调账")))</f>
        <v/>
      </c>
      <c r="Q225" s="17" t="n"/>
      <c r="R225" s="17" t="n"/>
    </row>
    <row r="226">
      <c r="A226" s="24">
        <f>IF(库存台账!$A226="","",库存台账!$A226)</f>
        <v/>
      </c>
      <c r="B226" s="24">
        <f>IF($A226="","",库存台账!$B226)</f>
        <v/>
      </c>
      <c r="C226" s="24">
        <f>IF($A226="","",库存台账!$C226)</f>
        <v/>
      </c>
      <c r="D226" s="24">
        <f>IF($A226="","",库存台账!$D226)</f>
        <v/>
      </c>
      <c r="E226" s="24">
        <f>IF($A226="","",库存台账!$E226)</f>
        <v/>
      </c>
      <c r="F226" s="24">
        <f>IF($A226="","",库存台账!$F226)</f>
        <v/>
      </c>
      <c r="G226" s="17" t="n"/>
      <c r="H226" s="23" t="n"/>
      <c r="I226" s="27">
        <f>IF($A226="","",库存台账!$X226)</f>
        <v/>
      </c>
      <c r="J226" s="27">
        <f>IF(OR($A226="",$H226=""),"",ROUND($H226-$I226,3))</f>
        <v/>
      </c>
      <c r="K226" s="26">
        <f>IF($A226="","",库存台账!$K226)</f>
        <v/>
      </c>
      <c r="L226" s="26">
        <f>IF($J226="","",ROUND($J226*$K226,0))</f>
        <v/>
      </c>
      <c r="M226" s="37">
        <f>IF(OR($J226="",$I226=0),"",ROUND($J226/$I226,4))</f>
        <v/>
      </c>
      <c r="N226" s="17" t="n"/>
      <c r="O226" s="17" t="n"/>
      <c r="P226" s="24">
        <f>IF($J226="","未盘",IF(ROUND($J226,3)=0,"账实相符",IF(COUNTIFS(入库单!$G$4:$G$2503,$A226,入库单!$X$4:$X$2503,"盘盈",入库单!$C$4:$C$2503,"&gt;="&amp;账期起,入库单!$C$4:$C$2503,"&lt;="&amp;账期止)+COUNTIFS(出库单!$D$4:$D$4003,$A226,出库单!$K$4:$K$4003,"盘亏",出库单!$C$4:$C$4003,"&gt;="&amp;账期起,出库单!$C$4:$C$4003,"&lt;="&amp;账期止)&gt;0,"已调账","※差异还没调账")))</f>
        <v/>
      </c>
      <c r="Q226" s="17" t="n"/>
      <c r="R226" s="17" t="n"/>
    </row>
    <row r="227">
      <c r="A227" s="24">
        <f>IF(库存台账!$A227="","",库存台账!$A227)</f>
        <v/>
      </c>
      <c r="B227" s="24">
        <f>IF($A227="","",库存台账!$B227)</f>
        <v/>
      </c>
      <c r="C227" s="24">
        <f>IF($A227="","",库存台账!$C227)</f>
        <v/>
      </c>
      <c r="D227" s="24">
        <f>IF($A227="","",库存台账!$D227)</f>
        <v/>
      </c>
      <c r="E227" s="24">
        <f>IF($A227="","",库存台账!$E227)</f>
        <v/>
      </c>
      <c r="F227" s="24">
        <f>IF($A227="","",库存台账!$F227)</f>
        <v/>
      </c>
      <c r="G227" s="17" t="n"/>
      <c r="H227" s="23" t="n"/>
      <c r="I227" s="27">
        <f>IF($A227="","",库存台账!$X227)</f>
        <v/>
      </c>
      <c r="J227" s="27">
        <f>IF(OR($A227="",$H227=""),"",ROUND($H227-$I227,3))</f>
        <v/>
      </c>
      <c r="K227" s="26">
        <f>IF($A227="","",库存台账!$K227)</f>
        <v/>
      </c>
      <c r="L227" s="26">
        <f>IF($J227="","",ROUND($J227*$K227,0))</f>
        <v/>
      </c>
      <c r="M227" s="37">
        <f>IF(OR($J227="",$I227=0),"",ROUND($J227/$I227,4))</f>
        <v/>
      </c>
      <c r="N227" s="17" t="n"/>
      <c r="O227" s="17" t="n"/>
      <c r="P227" s="24">
        <f>IF($J227="","未盘",IF(ROUND($J227,3)=0,"账实相符",IF(COUNTIFS(入库单!$G$4:$G$2503,$A227,入库单!$X$4:$X$2503,"盘盈",入库单!$C$4:$C$2503,"&gt;="&amp;账期起,入库单!$C$4:$C$2503,"&lt;="&amp;账期止)+COUNTIFS(出库单!$D$4:$D$4003,$A227,出库单!$K$4:$K$4003,"盘亏",出库单!$C$4:$C$4003,"&gt;="&amp;账期起,出库单!$C$4:$C$4003,"&lt;="&amp;账期止)&gt;0,"已调账","※差异还没调账")))</f>
        <v/>
      </c>
      <c r="Q227" s="17" t="n"/>
      <c r="R227" s="17" t="n"/>
    </row>
    <row r="228">
      <c r="A228" s="24">
        <f>IF(库存台账!$A228="","",库存台账!$A228)</f>
        <v/>
      </c>
      <c r="B228" s="24">
        <f>IF($A228="","",库存台账!$B228)</f>
        <v/>
      </c>
      <c r="C228" s="24">
        <f>IF($A228="","",库存台账!$C228)</f>
        <v/>
      </c>
      <c r="D228" s="24">
        <f>IF($A228="","",库存台账!$D228)</f>
        <v/>
      </c>
      <c r="E228" s="24">
        <f>IF($A228="","",库存台账!$E228)</f>
        <v/>
      </c>
      <c r="F228" s="24">
        <f>IF($A228="","",库存台账!$F228)</f>
        <v/>
      </c>
      <c r="G228" s="17" t="n"/>
      <c r="H228" s="23" t="n"/>
      <c r="I228" s="27">
        <f>IF($A228="","",库存台账!$X228)</f>
        <v/>
      </c>
      <c r="J228" s="27">
        <f>IF(OR($A228="",$H228=""),"",ROUND($H228-$I228,3))</f>
        <v/>
      </c>
      <c r="K228" s="26">
        <f>IF($A228="","",库存台账!$K228)</f>
        <v/>
      </c>
      <c r="L228" s="26">
        <f>IF($J228="","",ROUND($J228*$K228,0))</f>
        <v/>
      </c>
      <c r="M228" s="37">
        <f>IF(OR($J228="",$I228=0),"",ROUND($J228/$I228,4))</f>
        <v/>
      </c>
      <c r="N228" s="17" t="n"/>
      <c r="O228" s="17" t="n"/>
      <c r="P228" s="24">
        <f>IF($J228="","未盘",IF(ROUND($J228,3)=0,"账实相符",IF(COUNTIFS(入库单!$G$4:$G$2503,$A228,入库单!$X$4:$X$2503,"盘盈",入库单!$C$4:$C$2503,"&gt;="&amp;账期起,入库单!$C$4:$C$2503,"&lt;="&amp;账期止)+COUNTIFS(出库单!$D$4:$D$4003,$A228,出库单!$K$4:$K$4003,"盘亏",出库单!$C$4:$C$4003,"&gt;="&amp;账期起,出库单!$C$4:$C$4003,"&lt;="&amp;账期止)&gt;0,"已调账","※差异还没调账")))</f>
        <v/>
      </c>
      <c r="Q228" s="17" t="n"/>
      <c r="R228" s="17" t="n"/>
    </row>
    <row r="229">
      <c r="A229" s="24">
        <f>IF(库存台账!$A229="","",库存台账!$A229)</f>
        <v/>
      </c>
      <c r="B229" s="24">
        <f>IF($A229="","",库存台账!$B229)</f>
        <v/>
      </c>
      <c r="C229" s="24">
        <f>IF($A229="","",库存台账!$C229)</f>
        <v/>
      </c>
      <c r="D229" s="24">
        <f>IF($A229="","",库存台账!$D229)</f>
        <v/>
      </c>
      <c r="E229" s="24">
        <f>IF($A229="","",库存台账!$E229)</f>
        <v/>
      </c>
      <c r="F229" s="24">
        <f>IF($A229="","",库存台账!$F229)</f>
        <v/>
      </c>
      <c r="G229" s="17" t="n"/>
      <c r="H229" s="23" t="n"/>
      <c r="I229" s="27">
        <f>IF($A229="","",库存台账!$X229)</f>
        <v/>
      </c>
      <c r="J229" s="27">
        <f>IF(OR($A229="",$H229=""),"",ROUND($H229-$I229,3))</f>
        <v/>
      </c>
      <c r="K229" s="26">
        <f>IF($A229="","",库存台账!$K229)</f>
        <v/>
      </c>
      <c r="L229" s="26">
        <f>IF($J229="","",ROUND($J229*$K229,0))</f>
        <v/>
      </c>
      <c r="M229" s="37">
        <f>IF(OR($J229="",$I229=0),"",ROUND($J229/$I229,4))</f>
        <v/>
      </c>
      <c r="N229" s="17" t="n"/>
      <c r="O229" s="17" t="n"/>
      <c r="P229" s="24">
        <f>IF($J229="","未盘",IF(ROUND($J229,3)=0,"账实相符",IF(COUNTIFS(入库单!$G$4:$G$2503,$A229,入库单!$X$4:$X$2503,"盘盈",入库单!$C$4:$C$2503,"&gt;="&amp;账期起,入库单!$C$4:$C$2503,"&lt;="&amp;账期止)+COUNTIFS(出库单!$D$4:$D$4003,$A229,出库单!$K$4:$K$4003,"盘亏",出库单!$C$4:$C$4003,"&gt;="&amp;账期起,出库单!$C$4:$C$4003,"&lt;="&amp;账期止)&gt;0,"已调账","※差异还没调账")))</f>
        <v/>
      </c>
      <c r="Q229" s="17" t="n"/>
      <c r="R229" s="17" t="n"/>
    </row>
    <row r="230">
      <c r="A230" s="24">
        <f>IF(库存台账!$A230="","",库存台账!$A230)</f>
        <v/>
      </c>
      <c r="B230" s="24">
        <f>IF($A230="","",库存台账!$B230)</f>
        <v/>
      </c>
      <c r="C230" s="24">
        <f>IF($A230="","",库存台账!$C230)</f>
        <v/>
      </c>
      <c r="D230" s="24">
        <f>IF($A230="","",库存台账!$D230)</f>
        <v/>
      </c>
      <c r="E230" s="24">
        <f>IF($A230="","",库存台账!$E230)</f>
        <v/>
      </c>
      <c r="F230" s="24">
        <f>IF($A230="","",库存台账!$F230)</f>
        <v/>
      </c>
      <c r="G230" s="17" t="n"/>
      <c r="H230" s="23" t="n"/>
      <c r="I230" s="27">
        <f>IF($A230="","",库存台账!$X230)</f>
        <v/>
      </c>
      <c r="J230" s="27">
        <f>IF(OR($A230="",$H230=""),"",ROUND($H230-$I230,3))</f>
        <v/>
      </c>
      <c r="K230" s="26">
        <f>IF($A230="","",库存台账!$K230)</f>
        <v/>
      </c>
      <c r="L230" s="26">
        <f>IF($J230="","",ROUND($J230*$K230,0))</f>
        <v/>
      </c>
      <c r="M230" s="37">
        <f>IF(OR($J230="",$I230=0),"",ROUND($J230/$I230,4))</f>
        <v/>
      </c>
      <c r="N230" s="17" t="n"/>
      <c r="O230" s="17" t="n"/>
      <c r="P230" s="24">
        <f>IF($J230="","未盘",IF(ROUND($J230,3)=0,"账实相符",IF(COUNTIFS(入库单!$G$4:$G$2503,$A230,入库单!$X$4:$X$2503,"盘盈",入库单!$C$4:$C$2503,"&gt;="&amp;账期起,入库单!$C$4:$C$2503,"&lt;="&amp;账期止)+COUNTIFS(出库单!$D$4:$D$4003,$A230,出库单!$K$4:$K$4003,"盘亏",出库单!$C$4:$C$4003,"&gt;="&amp;账期起,出库单!$C$4:$C$4003,"&lt;="&amp;账期止)&gt;0,"已调账","※差异还没调账")))</f>
        <v/>
      </c>
      <c r="Q230" s="17" t="n"/>
      <c r="R230" s="17" t="n"/>
    </row>
    <row r="231">
      <c r="A231" s="24">
        <f>IF(库存台账!$A231="","",库存台账!$A231)</f>
        <v/>
      </c>
      <c r="B231" s="24">
        <f>IF($A231="","",库存台账!$B231)</f>
        <v/>
      </c>
      <c r="C231" s="24">
        <f>IF($A231="","",库存台账!$C231)</f>
        <v/>
      </c>
      <c r="D231" s="24">
        <f>IF($A231="","",库存台账!$D231)</f>
        <v/>
      </c>
      <c r="E231" s="24">
        <f>IF($A231="","",库存台账!$E231)</f>
        <v/>
      </c>
      <c r="F231" s="24">
        <f>IF($A231="","",库存台账!$F231)</f>
        <v/>
      </c>
      <c r="G231" s="17" t="n"/>
      <c r="H231" s="23" t="n"/>
      <c r="I231" s="27">
        <f>IF($A231="","",库存台账!$X231)</f>
        <v/>
      </c>
      <c r="J231" s="27">
        <f>IF(OR($A231="",$H231=""),"",ROUND($H231-$I231,3))</f>
        <v/>
      </c>
      <c r="K231" s="26">
        <f>IF($A231="","",库存台账!$K231)</f>
        <v/>
      </c>
      <c r="L231" s="26">
        <f>IF($J231="","",ROUND($J231*$K231,0))</f>
        <v/>
      </c>
      <c r="M231" s="37">
        <f>IF(OR($J231="",$I231=0),"",ROUND($J231/$I231,4))</f>
        <v/>
      </c>
      <c r="N231" s="17" t="n"/>
      <c r="O231" s="17" t="n"/>
      <c r="P231" s="24">
        <f>IF($J231="","未盘",IF(ROUND($J231,3)=0,"账实相符",IF(COUNTIFS(入库单!$G$4:$G$2503,$A231,入库单!$X$4:$X$2503,"盘盈",入库单!$C$4:$C$2503,"&gt;="&amp;账期起,入库单!$C$4:$C$2503,"&lt;="&amp;账期止)+COUNTIFS(出库单!$D$4:$D$4003,$A231,出库单!$K$4:$K$4003,"盘亏",出库单!$C$4:$C$4003,"&gt;="&amp;账期起,出库单!$C$4:$C$4003,"&lt;="&amp;账期止)&gt;0,"已调账","※差异还没调账")))</f>
        <v/>
      </c>
      <c r="Q231" s="17" t="n"/>
      <c r="R231" s="17" t="n"/>
    </row>
    <row r="232">
      <c r="A232" s="24">
        <f>IF(库存台账!$A232="","",库存台账!$A232)</f>
        <v/>
      </c>
      <c r="B232" s="24">
        <f>IF($A232="","",库存台账!$B232)</f>
        <v/>
      </c>
      <c r="C232" s="24">
        <f>IF($A232="","",库存台账!$C232)</f>
        <v/>
      </c>
      <c r="D232" s="24">
        <f>IF($A232="","",库存台账!$D232)</f>
        <v/>
      </c>
      <c r="E232" s="24">
        <f>IF($A232="","",库存台账!$E232)</f>
        <v/>
      </c>
      <c r="F232" s="24">
        <f>IF($A232="","",库存台账!$F232)</f>
        <v/>
      </c>
      <c r="G232" s="17" t="n"/>
      <c r="H232" s="23" t="n"/>
      <c r="I232" s="27">
        <f>IF($A232="","",库存台账!$X232)</f>
        <v/>
      </c>
      <c r="J232" s="27">
        <f>IF(OR($A232="",$H232=""),"",ROUND($H232-$I232,3))</f>
        <v/>
      </c>
      <c r="K232" s="26">
        <f>IF($A232="","",库存台账!$K232)</f>
        <v/>
      </c>
      <c r="L232" s="26">
        <f>IF($J232="","",ROUND($J232*$K232,0))</f>
        <v/>
      </c>
      <c r="M232" s="37">
        <f>IF(OR($J232="",$I232=0),"",ROUND($J232/$I232,4))</f>
        <v/>
      </c>
      <c r="N232" s="17" t="n"/>
      <c r="O232" s="17" t="n"/>
      <c r="P232" s="24">
        <f>IF($J232="","未盘",IF(ROUND($J232,3)=0,"账实相符",IF(COUNTIFS(入库单!$G$4:$G$2503,$A232,入库单!$X$4:$X$2503,"盘盈",入库单!$C$4:$C$2503,"&gt;="&amp;账期起,入库单!$C$4:$C$2503,"&lt;="&amp;账期止)+COUNTIFS(出库单!$D$4:$D$4003,$A232,出库单!$K$4:$K$4003,"盘亏",出库单!$C$4:$C$4003,"&gt;="&amp;账期起,出库单!$C$4:$C$4003,"&lt;="&amp;账期止)&gt;0,"已调账","※差异还没调账")))</f>
        <v/>
      </c>
      <c r="Q232" s="17" t="n"/>
      <c r="R232" s="17" t="n"/>
    </row>
    <row r="233">
      <c r="A233" s="24">
        <f>IF(库存台账!$A233="","",库存台账!$A233)</f>
        <v/>
      </c>
      <c r="B233" s="24">
        <f>IF($A233="","",库存台账!$B233)</f>
        <v/>
      </c>
      <c r="C233" s="24">
        <f>IF($A233="","",库存台账!$C233)</f>
        <v/>
      </c>
      <c r="D233" s="24">
        <f>IF($A233="","",库存台账!$D233)</f>
        <v/>
      </c>
      <c r="E233" s="24">
        <f>IF($A233="","",库存台账!$E233)</f>
        <v/>
      </c>
      <c r="F233" s="24">
        <f>IF($A233="","",库存台账!$F233)</f>
        <v/>
      </c>
      <c r="G233" s="17" t="n"/>
      <c r="H233" s="23" t="n"/>
      <c r="I233" s="27">
        <f>IF($A233="","",库存台账!$X233)</f>
        <v/>
      </c>
      <c r="J233" s="27">
        <f>IF(OR($A233="",$H233=""),"",ROUND($H233-$I233,3))</f>
        <v/>
      </c>
      <c r="K233" s="26">
        <f>IF($A233="","",库存台账!$K233)</f>
        <v/>
      </c>
      <c r="L233" s="26">
        <f>IF($J233="","",ROUND($J233*$K233,0))</f>
        <v/>
      </c>
      <c r="M233" s="37">
        <f>IF(OR($J233="",$I233=0),"",ROUND($J233/$I233,4))</f>
        <v/>
      </c>
      <c r="N233" s="17" t="n"/>
      <c r="O233" s="17" t="n"/>
      <c r="P233" s="24">
        <f>IF($J233="","未盘",IF(ROUND($J233,3)=0,"账实相符",IF(COUNTIFS(入库单!$G$4:$G$2503,$A233,入库单!$X$4:$X$2503,"盘盈",入库单!$C$4:$C$2503,"&gt;="&amp;账期起,入库单!$C$4:$C$2503,"&lt;="&amp;账期止)+COUNTIFS(出库单!$D$4:$D$4003,$A233,出库单!$K$4:$K$4003,"盘亏",出库单!$C$4:$C$4003,"&gt;="&amp;账期起,出库单!$C$4:$C$4003,"&lt;="&amp;账期止)&gt;0,"已调账","※差异还没调账")))</f>
        <v/>
      </c>
      <c r="Q233" s="17" t="n"/>
      <c r="R233" s="17" t="n"/>
    </row>
    <row r="234">
      <c r="A234" s="24">
        <f>IF(库存台账!$A234="","",库存台账!$A234)</f>
        <v/>
      </c>
      <c r="B234" s="24">
        <f>IF($A234="","",库存台账!$B234)</f>
        <v/>
      </c>
      <c r="C234" s="24">
        <f>IF($A234="","",库存台账!$C234)</f>
        <v/>
      </c>
      <c r="D234" s="24">
        <f>IF($A234="","",库存台账!$D234)</f>
        <v/>
      </c>
      <c r="E234" s="24">
        <f>IF($A234="","",库存台账!$E234)</f>
        <v/>
      </c>
      <c r="F234" s="24">
        <f>IF($A234="","",库存台账!$F234)</f>
        <v/>
      </c>
      <c r="G234" s="17" t="n"/>
      <c r="H234" s="23" t="n"/>
      <c r="I234" s="27">
        <f>IF($A234="","",库存台账!$X234)</f>
        <v/>
      </c>
      <c r="J234" s="27">
        <f>IF(OR($A234="",$H234=""),"",ROUND($H234-$I234,3))</f>
        <v/>
      </c>
      <c r="K234" s="26">
        <f>IF($A234="","",库存台账!$K234)</f>
        <v/>
      </c>
      <c r="L234" s="26">
        <f>IF($J234="","",ROUND($J234*$K234,0))</f>
        <v/>
      </c>
      <c r="M234" s="37">
        <f>IF(OR($J234="",$I234=0),"",ROUND($J234/$I234,4))</f>
        <v/>
      </c>
      <c r="N234" s="17" t="n"/>
      <c r="O234" s="17" t="n"/>
      <c r="P234" s="24">
        <f>IF($J234="","未盘",IF(ROUND($J234,3)=0,"账实相符",IF(COUNTIFS(入库单!$G$4:$G$2503,$A234,入库单!$X$4:$X$2503,"盘盈",入库单!$C$4:$C$2503,"&gt;="&amp;账期起,入库单!$C$4:$C$2503,"&lt;="&amp;账期止)+COUNTIFS(出库单!$D$4:$D$4003,$A234,出库单!$K$4:$K$4003,"盘亏",出库单!$C$4:$C$4003,"&gt;="&amp;账期起,出库单!$C$4:$C$4003,"&lt;="&amp;账期止)&gt;0,"已调账","※差异还没调账")))</f>
        <v/>
      </c>
      <c r="Q234" s="17" t="n"/>
      <c r="R234" s="17" t="n"/>
    </row>
    <row r="235">
      <c r="A235" s="24">
        <f>IF(库存台账!$A235="","",库存台账!$A235)</f>
        <v/>
      </c>
      <c r="B235" s="24">
        <f>IF($A235="","",库存台账!$B235)</f>
        <v/>
      </c>
      <c r="C235" s="24">
        <f>IF($A235="","",库存台账!$C235)</f>
        <v/>
      </c>
      <c r="D235" s="24">
        <f>IF($A235="","",库存台账!$D235)</f>
        <v/>
      </c>
      <c r="E235" s="24">
        <f>IF($A235="","",库存台账!$E235)</f>
        <v/>
      </c>
      <c r="F235" s="24">
        <f>IF($A235="","",库存台账!$F235)</f>
        <v/>
      </c>
      <c r="G235" s="17" t="n"/>
      <c r="H235" s="23" t="n"/>
      <c r="I235" s="27">
        <f>IF($A235="","",库存台账!$X235)</f>
        <v/>
      </c>
      <c r="J235" s="27">
        <f>IF(OR($A235="",$H235=""),"",ROUND($H235-$I235,3))</f>
        <v/>
      </c>
      <c r="K235" s="26">
        <f>IF($A235="","",库存台账!$K235)</f>
        <v/>
      </c>
      <c r="L235" s="26">
        <f>IF($J235="","",ROUND($J235*$K235,0))</f>
        <v/>
      </c>
      <c r="M235" s="37">
        <f>IF(OR($J235="",$I235=0),"",ROUND($J235/$I235,4))</f>
        <v/>
      </c>
      <c r="N235" s="17" t="n"/>
      <c r="O235" s="17" t="n"/>
      <c r="P235" s="24">
        <f>IF($J235="","未盘",IF(ROUND($J235,3)=0,"账实相符",IF(COUNTIFS(入库单!$G$4:$G$2503,$A235,入库单!$X$4:$X$2503,"盘盈",入库单!$C$4:$C$2503,"&gt;="&amp;账期起,入库单!$C$4:$C$2503,"&lt;="&amp;账期止)+COUNTIFS(出库单!$D$4:$D$4003,$A235,出库单!$K$4:$K$4003,"盘亏",出库单!$C$4:$C$4003,"&gt;="&amp;账期起,出库单!$C$4:$C$4003,"&lt;="&amp;账期止)&gt;0,"已调账","※差异还没调账")))</f>
        <v/>
      </c>
      <c r="Q235" s="17" t="n"/>
      <c r="R235" s="17" t="n"/>
    </row>
    <row r="236">
      <c r="A236" s="24">
        <f>IF(库存台账!$A236="","",库存台账!$A236)</f>
        <v/>
      </c>
      <c r="B236" s="24">
        <f>IF($A236="","",库存台账!$B236)</f>
        <v/>
      </c>
      <c r="C236" s="24">
        <f>IF($A236="","",库存台账!$C236)</f>
        <v/>
      </c>
      <c r="D236" s="24">
        <f>IF($A236="","",库存台账!$D236)</f>
        <v/>
      </c>
      <c r="E236" s="24">
        <f>IF($A236="","",库存台账!$E236)</f>
        <v/>
      </c>
      <c r="F236" s="24">
        <f>IF($A236="","",库存台账!$F236)</f>
        <v/>
      </c>
      <c r="G236" s="17" t="n"/>
      <c r="H236" s="23" t="n"/>
      <c r="I236" s="27">
        <f>IF($A236="","",库存台账!$X236)</f>
        <v/>
      </c>
      <c r="J236" s="27">
        <f>IF(OR($A236="",$H236=""),"",ROUND($H236-$I236,3))</f>
        <v/>
      </c>
      <c r="K236" s="26">
        <f>IF($A236="","",库存台账!$K236)</f>
        <v/>
      </c>
      <c r="L236" s="26">
        <f>IF($J236="","",ROUND($J236*$K236,0))</f>
        <v/>
      </c>
      <c r="M236" s="37">
        <f>IF(OR($J236="",$I236=0),"",ROUND($J236/$I236,4))</f>
        <v/>
      </c>
      <c r="N236" s="17" t="n"/>
      <c r="O236" s="17" t="n"/>
      <c r="P236" s="24">
        <f>IF($J236="","未盘",IF(ROUND($J236,3)=0,"账实相符",IF(COUNTIFS(入库单!$G$4:$G$2503,$A236,入库单!$X$4:$X$2503,"盘盈",入库单!$C$4:$C$2503,"&gt;="&amp;账期起,入库单!$C$4:$C$2503,"&lt;="&amp;账期止)+COUNTIFS(出库单!$D$4:$D$4003,$A236,出库单!$K$4:$K$4003,"盘亏",出库单!$C$4:$C$4003,"&gt;="&amp;账期起,出库单!$C$4:$C$4003,"&lt;="&amp;账期止)&gt;0,"已调账","※差异还没调账")))</f>
        <v/>
      </c>
      <c r="Q236" s="17" t="n"/>
      <c r="R236" s="17" t="n"/>
    </row>
    <row r="237">
      <c r="A237" s="24">
        <f>IF(库存台账!$A237="","",库存台账!$A237)</f>
        <v/>
      </c>
      <c r="B237" s="24">
        <f>IF($A237="","",库存台账!$B237)</f>
        <v/>
      </c>
      <c r="C237" s="24">
        <f>IF($A237="","",库存台账!$C237)</f>
        <v/>
      </c>
      <c r="D237" s="24">
        <f>IF($A237="","",库存台账!$D237)</f>
        <v/>
      </c>
      <c r="E237" s="24">
        <f>IF($A237="","",库存台账!$E237)</f>
        <v/>
      </c>
      <c r="F237" s="24">
        <f>IF($A237="","",库存台账!$F237)</f>
        <v/>
      </c>
      <c r="G237" s="17" t="n"/>
      <c r="H237" s="23" t="n"/>
      <c r="I237" s="27">
        <f>IF($A237="","",库存台账!$X237)</f>
        <v/>
      </c>
      <c r="J237" s="27">
        <f>IF(OR($A237="",$H237=""),"",ROUND($H237-$I237,3))</f>
        <v/>
      </c>
      <c r="K237" s="26">
        <f>IF($A237="","",库存台账!$K237)</f>
        <v/>
      </c>
      <c r="L237" s="26">
        <f>IF($J237="","",ROUND($J237*$K237,0))</f>
        <v/>
      </c>
      <c r="M237" s="37">
        <f>IF(OR($J237="",$I237=0),"",ROUND($J237/$I237,4))</f>
        <v/>
      </c>
      <c r="N237" s="17" t="n"/>
      <c r="O237" s="17" t="n"/>
      <c r="P237" s="24">
        <f>IF($J237="","未盘",IF(ROUND($J237,3)=0,"账实相符",IF(COUNTIFS(入库单!$G$4:$G$2503,$A237,入库单!$X$4:$X$2503,"盘盈",入库单!$C$4:$C$2503,"&gt;="&amp;账期起,入库单!$C$4:$C$2503,"&lt;="&amp;账期止)+COUNTIFS(出库单!$D$4:$D$4003,$A237,出库单!$K$4:$K$4003,"盘亏",出库单!$C$4:$C$4003,"&gt;="&amp;账期起,出库单!$C$4:$C$4003,"&lt;="&amp;账期止)&gt;0,"已调账","※差异还没调账")))</f>
        <v/>
      </c>
      <c r="Q237" s="17" t="n"/>
      <c r="R237" s="17" t="n"/>
    </row>
    <row r="238">
      <c r="A238" s="24">
        <f>IF(库存台账!$A238="","",库存台账!$A238)</f>
        <v/>
      </c>
      <c r="B238" s="24">
        <f>IF($A238="","",库存台账!$B238)</f>
        <v/>
      </c>
      <c r="C238" s="24">
        <f>IF($A238="","",库存台账!$C238)</f>
        <v/>
      </c>
      <c r="D238" s="24">
        <f>IF($A238="","",库存台账!$D238)</f>
        <v/>
      </c>
      <c r="E238" s="24">
        <f>IF($A238="","",库存台账!$E238)</f>
        <v/>
      </c>
      <c r="F238" s="24">
        <f>IF($A238="","",库存台账!$F238)</f>
        <v/>
      </c>
      <c r="G238" s="17" t="n"/>
      <c r="H238" s="23" t="n"/>
      <c r="I238" s="27">
        <f>IF($A238="","",库存台账!$X238)</f>
        <v/>
      </c>
      <c r="J238" s="27">
        <f>IF(OR($A238="",$H238=""),"",ROUND($H238-$I238,3))</f>
        <v/>
      </c>
      <c r="K238" s="26">
        <f>IF($A238="","",库存台账!$K238)</f>
        <v/>
      </c>
      <c r="L238" s="26">
        <f>IF($J238="","",ROUND($J238*$K238,0))</f>
        <v/>
      </c>
      <c r="M238" s="37">
        <f>IF(OR($J238="",$I238=0),"",ROUND($J238/$I238,4))</f>
        <v/>
      </c>
      <c r="N238" s="17" t="n"/>
      <c r="O238" s="17" t="n"/>
      <c r="P238" s="24">
        <f>IF($J238="","未盘",IF(ROUND($J238,3)=0,"账实相符",IF(COUNTIFS(入库单!$G$4:$G$2503,$A238,入库单!$X$4:$X$2503,"盘盈",入库单!$C$4:$C$2503,"&gt;="&amp;账期起,入库单!$C$4:$C$2503,"&lt;="&amp;账期止)+COUNTIFS(出库单!$D$4:$D$4003,$A238,出库单!$K$4:$K$4003,"盘亏",出库单!$C$4:$C$4003,"&gt;="&amp;账期起,出库单!$C$4:$C$4003,"&lt;="&amp;账期止)&gt;0,"已调账","※差异还没调账")))</f>
        <v/>
      </c>
      <c r="Q238" s="17" t="n"/>
      <c r="R238" s="17" t="n"/>
    </row>
    <row r="239">
      <c r="A239" s="24">
        <f>IF(库存台账!$A239="","",库存台账!$A239)</f>
        <v/>
      </c>
      <c r="B239" s="24">
        <f>IF($A239="","",库存台账!$B239)</f>
        <v/>
      </c>
      <c r="C239" s="24">
        <f>IF($A239="","",库存台账!$C239)</f>
        <v/>
      </c>
      <c r="D239" s="24">
        <f>IF($A239="","",库存台账!$D239)</f>
        <v/>
      </c>
      <c r="E239" s="24">
        <f>IF($A239="","",库存台账!$E239)</f>
        <v/>
      </c>
      <c r="F239" s="24">
        <f>IF($A239="","",库存台账!$F239)</f>
        <v/>
      </c>
      <c r="G239" s="17" t="n"/>
      <c r="H239" s="23" t="n"/>
      <c r="I239" s="27">
        <f>IF($A239="","",库存台账!$X239)</f>
        <v/>
      </c>
      <c r="J239" s="27">
        <f>IF(OR($A239="",$H239=""),"",ROUND($H239-$I239,3))</f>
        <v/>
      </c>
      <c r="K239" s="26">
        <f>IF($A239="","",库存台账!$K239)</f>
        <v/>
      </c>
      <c r="L239" s="26">
        <f>IF($J239="","",ROUND($J239*$K239,0))</f>
        <v/>
      </c>
      <c r="M239" s="37">
        <f>IF(OR($J239="",$I239=0),"",ROUND($J239/$I239,4))</f>
        <v/>
      </c>
      <c r="N239" s="17" t="n"/>
      <c r="O239" s="17" t="n"/>
      <c r="P239" s="24">
        <f>IF($J239="","未盘",IF(ROUND($J239,3)=0,"账实相符",IF(COUNTIFS(入库单!$G$4:$G$2503,$A239,入库单!$X$4:$X$2503,"盘盈",入库单!$C$4:$C$2503,"&gt;="&amp;账期起,入库单!$C$4:$C$2503,"&lt;="&amp;账期止)+COUNTIFS(出库单!$D$4:$D$4003,$A239,出库单!$K$4:$K$4003,"盘亏",出库单!$C$4:$C$4003,"&gt;="&amp;账期起,出库单!$C$4:$C$4003,"&lt;="&amp;账期止)&gt;0,"已调账","※差异还没调账")))</f>
        <v/>
      </c>
      <c r="Q239" s="17" t="n"/>
      <c r="R239" s="17" t="n"/>
    </row>
    <row r="240">
      <c r="A240" s="24">
        <f>IF(库存台账!$A240="","",库存台账!$A240)</f>
        <v/>
      </c>
      <c r="B240" s="24">
        <f>IF($A240="","",库存台账!$B240)</f>
        <v/>
      </c>
      <c r="C240" s="24">
        <f>IF($A240="","",库存台账!$C240)</f>
        <v/>
      </c>
      <c r="D240" s="24">
        <f>IF($A240="","",库存台账!$D240)</f>
        <v/>
      </c>
      <c r="E240" s="24">
        <f>IF($A240="","",库存台账!$E240)</f>
        <v/>
      </c>
      <c r="F240" s="24">
        <f>IF($A240="","",库存台账!$F240)</f>
        <v/>
      </c>
      <c r="G240" s="17" t="n"/>
      <c r="H240" s="23" t="n"/>
      <c r="I240" s="27">
        <f>IF($A240="","",库存台账!$X240)</f>
        <v/>
      </c>
      <c r="J240" s="27">
        <f>IF(OR($A240="",$H240=""),"",ROUND($H240-$I240,3))</f>
        <v/>
      </c>
      <c r="K240" s="26">
        <f>IF($A240="","",库存台账!$K240)</f>
        <v/>
      </c>
      <c r="L240" s="26">
        <f>IF($J240="","",ROUND($J240*$K240,0))</f>
        <v/>
      </c>
      <c r="M240" s="37">
        <f>IF(OR($J240="",$I240=0),"",ROUND($J240/$I240,4))</f>
        <v/>
      </c>
      <c r="N240" s="17" t="n"/>
      <c r="O240" s="17" t="n"/>
      <c r="P240" s="24">
        <f>IF($J240="","未盘",IF(ROUND($J240,3)=0,"账实相符",IF(COUNTIFS(入库单!$G$4:$G$2503,$A240,入库单!$X$4:$X$2503,"盘盈",入库单!$C$4:$C$2503,"&gt;="&amp;账期起,入库单!$C$4:$C$2503,"&lt;="&amp;账期止)+COUNTIFS(出库单!$D$4:$D$4003,$A240,出库单!$K$4:$K$4003,"盘亏",出库单!$C$4:$C$4003,"&gt;="&amp;账期起,出库单!$C$4:$C$4003,"&lt;="&amp;账期止)&gt;0,"已调账","※差异还没调账")))</f>
        <v/>
      </c>
      <c r="Q240" s="17" t="n"/>
      <c r="R240" s="17" t="n"/>
    </row>
    <row r="241">
      <c r="A241" s="24">
        <f>IF(库存台账!$A241="","",库存台账!$A241)</f>
        <v/>
      </c>
      <c r="B241" s="24">
        <f>IF($A241="","",库存台账!$B241)</f>
        <v/>
      </c>
      <c r="C241" s="24">
        <f>IF($A241="","",库存台账!$C241)</f>
        <v/>
      </c>
      <c r="D241" s="24">
        <f>IF($A241="","",库存台账!$D241)</f>
        <v/>
      </c>
      <c r="E241" s="24">
        <f>IF($A241="","",库存台账!$E241)</f>
        <v/>
      </c>
      <c r="F241" s="24">
        <f>IF($A241="","",库存台账!$F241)</f>
        <v/>
      </c>
      <c r="G241" s="17" t="n"/>
      <c r="H241" s="23" t="n"/>
      <c r="I241" s="27">
        <f>IF($A241="","",库存台账!$X241)</f>
        <v/>
      </c>
      <c r="J241" s="27">
        <f>IF(OR($A241="",$H241=""),"",ROUND($H241-$I241,3))</f>
        <v/>
      </c>
      <c r="K241" s="26">
        <f>IF($A241="","",库存台账!$K241)</f>
        <v/>
      </c>
      <c r="L241" s="26">
        <f>IF($J241="","",ROUND($J241*$K241,0))</f>
        <v/>
      </c>
      <c r="M241" s="37">
        <f>IF(OR($J241="",$I241=0),"",ROUND($J241/$I241,4))</f>
        <v/>
      </c>
      <c r="N241" s="17" t="n"/>
      <c r="O241" s="17" t="n"/>
      <c r="P241" s="24">
        <f>IF($J241="","未盘",IF(ROUND($J241,3)=0,"账实相符",IF(COUNTIFS(入库单!$G$4:$G$2503,$A241,入库单!$X$4:$X$2503,"盘盈",入库单!$C$4:$C$2503,"&gt;="&amp;账期起,入库单!$C$4:$C$2503,"&lt;="&amp;账期止)+COUNTIFS(出库单!$D$4:$D$4003,$A241,出库单!$K$4:$K$4003,"盘亏",出库单!$C$4:$C$4003,"&gt;="&amp;账期起,出库单!$C$4:$C$4003,"&lt;="&amp;账期止)&gt;0,"已调账","※差异还没调账")))</f>
        <v/>
      </c>
      <c r="Q241" s="17" t="n"/>
      <c r="R241" s="17" t="n"/>
    </row>
    <row r="242">
      <c r="A242" s="24">
        <f>IF(库存台账!$A242="","",库存台账!$A242)</f>
        <v/>
      </c>
      <c r="B242" s="24">
        <f>IF($A242="","",库存台账!$B242)</f>
        <v/>
      </c>
      <c r="C242" s="24">
        <f>IF($A242="","",库存台账!$C242)</f>
        <v/>
      </c>
      <c r="D242" s="24">
        <f>IF($A242="","",库存台账!$D242)</f>
        <v/>
      </c>
      <c r="E242" s="24">
        <f>IF($A242="","",库存台账!$E242)</f>
        <v/>
      </c>
      <c r="F242" s="24">
        <f>IF($A242="","",库存台账!$F242)</f>
        <v/>
      </c>
      <c r="G242" s="17" t="n"/>
      <c r="H242" s="23" t="n"/>
      <c r="I242" s="27">
        <f>IF($A242="","",库存台账!$X242)</f>
        <v/>
      </c>
      <c r="J242" s="27">
        <f>IF(OR($A242="",$H242=""),"",ROUND($H242-$I242,3))</f>
        <v/>
      </c>
      <c r="K242" s="26">
        <f>IF($A242="","",库存台账!$K242)</f>
        <v/>
      </c>
      <c r="L242" s="26">
        <f>IF($J242="","",ROUND($J242*$K242,0))</f>
        <v/>
      </c>
      <c r="M242" s="37">
        <f>IF(OR($J242="",$I242=0),"",ROUND($J242/$I242,4))</f>
        <v/>
      </c>
      <c r="N242" s="17" t="n"/>
      <c r="O242" s="17" t="n"/>
      <c r="P242" s="24">
        <f>IF($J242="","未盘",IF(ROUND($J242,3)=0,"账实相符",IF(COUNTIFS(入库单!$G$4:$G$2503,$A242,入库单!$X$4:$X$2503,"盘盈",入库单!$C$4:$C$2503,"&gt;="&amp;账期起,入库单!$C$4:$C$2503,"&lt;="&amp;账期止)+COUNTIFS(出库单!$D$4:$D$4003,$A242,出库单!$K$4:$K$4003,"盘亏",出库单!$C$4:$C$4003,"&gt;="&amp;账期起,出库单!$C$4:$C$4003,"&lt;="&amp;账期止)&gt;0,"已调账","※差异还没调账")))</f>
        <v/>
      </c>
      <c r="Q242" s="17" t="n"/>
      <c r="R242" s="17" t="n"/>
    </row>
    <row r="243">
      <c r="A243" s="24">
        <f>IF(库存台账!$A243="","",库存台账!$A243)</f>
        <v/>
      </c>
      <c r="B243" s="24">
        <f>IF($A243="","",库存台账!$B243)</f>
        <v/>
      </c>
      <c r="C243" s="24">
        <f>IF($A243="","",库存台账!$C243)</f>
        <v/>
      </c>
      <c r="D243" s="24">
        <f>IF($A243="","",库存台账!$D243)</f>
        <v/>
      </c>
      <c r="E243" s="24">
        <f>IF($A243="","",库存台账!$E243)</f>
        <v/>
      </c>
      <c r="F243" s="24">
        <f>IF($A243="","",库存台账!$F243)</f>
        <v/>
      </c>
      <c r="G243" s="17" t="n"/>
      <c r="H243" s="23" t="n"/>
      <c r="I243" s="27">
        <f>IF($A243="","",库存台账!$X243)</f>
        <v/>
      </c>
      <c r="J243" s="27">
        <f>IF(OR($A243="",$H243=""),"",ROUND($H243-$I243,3))</f>
        <v/>
      </c>
      <c r="K243" s="26">
        <f>IF($A243="","",库存台账!$K243)</f>
        <v/>
      </c>
      <c r="L243" s="26">
        <f>IF($J243="","",ROUND($J243*$K243,0))</f>
        <v/>
      </c>
      <c r="M243" s="37">
        <f>IF(OR($J243="",$I243=0),"",ROUND($J243/$I243,4))</f>
        <v/>
      </c>
      <c r="N243" s="17" t="n"/>
      <c r="O243" s="17" t="n"/>
      <c r="P243" s="24">
        <f>IF($J243="","未盘",IF(ROUND($J243,3)=0,"账实相符",IF(COUNTIFS(入库单!$G$4:$G$2503,$A243,入库单!$X$4:$X$2503,"盘盈",入库单!$C$4:$C$2503,"&gt;="&amp;账期起,入库单!$C$4:$C$2503,"&lt;="&amp;账期止)+COUNTIFS(出库单!$D$4:$D$4003,$A243,出库单!$K$4:$K$4003,"盘亏",出库单!$C$4:$C$4003,"&gt;="&amp;账期起,出库单!$C$4:$C$4003,"&lt;="&amp;账期止)&gt;0,"已调账","※差异还没调账")))</f>
        <v/>
      </c>
      <c r="Q243" s="17" t="n"/>
      <c r="R243" s="17" t="n"/>
    </row>
    <row r="244">
      <c r="A244" s="24">
        <f>IF(库存台账!$A244="","",库存台账!$A244)</f>
        <v/>
      </c>
      <c r="B244" s="24">
        <f>IF($A244="","",库存台账!$B244)</f>
        <v/>
      </c>
      <c r="C244" s="24">
        <f>IF($A244="","",库存台账!$C244)</f>
        <v/>
      </c>
      <c r="D244" s="24">
        <f>IF($A244="","",库存台账!$D244)</f>
        <v/>
      </c>
      <c r="E244" s="24">
        <f>IF($A244="","",库存台账!$E244)</f>
        <v/>
      </c>
      <c r="F244" s="24">
        <f>IF($A244="","",库存台账!$F244)</f>
        <v/>
      </c>
      <c r="G244" s="17" t="n"/>
      <c r="H244" s="23" t="n"/>
      <c r="I244" s="27">
        <f>IF($A244="","",库存台账!$X244)</f>
        <v/>
      </c>
      <c r="J244" s="27">
        <f>IF(OR($A244="",$H244=""),"",ROUND($H244-$I244,3))</f>
        <v/>
      </c>
      <c r="K244" s="26">
        <f>IF($A244="","",库存台账!$K244)</f>
        <v/>
      </c>
      <c r="L244" s="26">
        <f>IF($J244="","",ROUND($J244*$K244,0))</f>
        <v/>
      </c>
      <c r="M244" s="37">
        <f>IF(OR($J244="",$I244=0),"",ROUND($J244/$I244,4))</f>
        <v/>
      </c>
      <c r="N244" s="17" t="n"/>
      <c r="O244" s="17" t="n"/>
      <c r="P244" s="24">
        <f>IF($J244="","未盘",IF(ROUND($J244,3)=0,"账实相符",IF(COUNTIFS(入库单!$G$4:$G$2503,$A244,入库单!$X$4:$X$2503,"盘盈",入库单!$C$4:$C$2503,"&gt;="&amp;账期起,入库单!$C$4:$C$2503,"&lt;="&amp;账期止)+COUNTIFS(出库单!$D$4:$D$4003,$A244,出库单!$K$4:$K$4003,"盘亏",出库单!$C$4:$C$4003,"&gt;="&amp;账期起,出库单!$C$4:$C$4003,"&lt;="&amp;账期止)&gt;0,"已调账","※差异还没调账")))</f>
        <v/>
      </c>
      <c r="Q244" s="17" t="n"/>
      <c r="R244" s="17" t="n"/>
    </row>
    <row r="245">
      <c r="A245" s="24">
        <f>IF(库存台账!$A245="","",库存台账!$A245)</f>
        <v/>
      </c>
      <c r="B245" s="24">
        <f>IF($A245="","",库存台账!$B245)</f>
        <v/>
      </c>
      <c r="C245" s="24">
        <f>IF($A245="","",库存台账!$C245)</f>
        <v/>
      </c>
      <c r="D245" s="24">
        <f>IF($A245="","",库存台账!$D245)</f>
        <v/>
      </c>
      <c r="E245" s="24">
        <f>IF($A245="","",库存台账!$E245)</f>
        <v/>
      </c>
      <c r="F245" s="24">
        <f>IF($A245="","",库存台账!$F245)</f>
        <v/>
      </c>
      <c r="G245" s="17" t="n"/>
      <c r="H245" s="23" t="n"/>
      <c r="I245" s="27">
        <f>IF($A245="","",库存台账!$X245)</f>
        <v/>
      </c>
      <c r="J245" s="27">
        <f>IF(OR($A245="",$H245=""),"",ROUND($H245-$I245,3))</f>
        <v/>
      </c>
      <c r="K245" s="26">
        <f>IF($A245="","",库存台账!$K245)</f>
        <v/>
      </c>
      <c r="L245" s="26">
        <f>IF($J245="","",ROUND($J245*$K245,0))</f>
        <v/>
      </c>
      <c r="M245" s="37">
        <f>IF(OR($J245="",$I245=0),"",ROUND($J245/$I245,4))</f>
        <v/>
      </c>
      <c r="N245" s="17" t="n"/>
      <c r="O245" s="17" t="n"/>
      <c r="P245" s="24">
        <f>IF($J245="","未盘",IF(ROUND($J245,3)=0,"账实相符",IF(COUNTIFS(入库单!$G$4:$G$2503,$A245,入库单!$X$4:$X$2503,"盘盈",入库单!$C$4:$C$2503,"&gt;="&amp;账期起,入库单!$C$4:$C$2503,"&lt;="&amp;账期止)+COUNTIFS(出库单!$D$4:$D$4003,$A245,出库单!$K$4:$K$4003,"盘亏",出库单!$C$4:$C$4003,"&gt;="&amp;账期起,出库单!$C$4:$C$4003,"&lt;="&amp;账期止)&gt;0,"已调账","※差异还没调账")))</f>
        <v/>
      </c>
      <c r="Q245" s="17" t="n"/>
      <c r="R245" s="17" t="n"/>
    </row>
    <row r="246">
      <c r="A246" s="24">
        <f>IF(库存台账!$A246="","",库存台账!$A246)</f>
        <v/>
      </c>
      <c r="B246" s="24">
        <f>IF($A246="","",库存台账!$B246)</f>
        <v/>
      </c>
      <c r="C246" s="24">
        <f>IF($A246="","",库存台账!$C246)</f>
        <v/>
      </c>
      <c r="D246" s="24">
        <f>IF($A246="","",库存台账!$D246)</f>
        <v/>
      </c>
      <c r="E246" s="24">
        <f>IF($A246="","",库存台账!$E246)</f>
        <v/>
      </c>
      <c r="F246" s="24">
        <f>IF($A246="","",库存台账!$F246)</f>
        <v/>
      </c>
      <c r="G246" s="17" t="n"/>
      <c r="H246" s="23" t="n"/>
      <c r="I246" s="27">
        <f>IF($A246="","",库存台账!$X246)</f>
        <v/>
      </c>
      <c r="J246" s="27">
        <f>IF(OR($A246="",$H246=""),"",ROUND($H246-$I246,3))</f>
        <v/>
      </c>
      <c r="K246" s="26">
        <f>IF($A246="","",库存台账!$K246)</f>
        <v/>
      </c>
      <c r="L246" s="26">
        <f>IF($J246="","",ROUND($J246*$K246,0))</f>
        <v/>
      </c>
      <c r="M246" s="37">
        <f>IF(OR($J246="",$I246=0),"",ROUND($J246/$I246,4))</f>
        <v/>
      </c>
      <c r="N246" s="17" t="n"/>
      <c r="O246" s="17" t="n"/>
      <c r="P246" s="24">
        <f>IF($J246="","未盘",IF(ROUND($J246,3)=0,"账实相符",IF(COUNTIFS(入库单!$G$4:$G$2503,$A246,入库单!$X$4:$X$2503,"盘盈",入库单!$C$4:$C$2503,"&gt;="&amp;账期起,入库单!$C$4:$C$2503,"&lt;="&amp;账期止)+COUNTIFS(出库单!$D$4:$D$4003,$A246,出库单!$K$4:$K$4003,"盘亏",出库单!$C$4:$C$4003,"&gt;="&amp;账期起,出库单!$C$4:$C$4003,"&lt;="&amp;账期止)&gt;0,"已调账","※差异还没调账")))</f>
        <v/>
      </c>
      <c r="Q246" s="17" t="n"/>
      <c r="R246" s="17" t="n"/>
    </row>
    <row r="247">
      <c r="A247" s="24">
        <f>IF(库存台账!$A247="","",库存台账!$A247)</f>
        <v/>
      </c>
      <c r="B247" s="24">
        <f>IF($A247="","",库存台账!$B247)</f>
        <v/>
      </c>
      <c r="C247" s="24">
        <f>IF($A247="","",库存台账!$C247)</f>
        <v/>
      </c>
      <c r="D247" s="24">
        <f>IF($A247="","",库存台账!$D247)</f>
        <v/>
      </c>
      <c r="E247" s="24">
        <f>IF($A247="","",库存台账!$E247)</f>
        <v/>
      </c>
      <c r="F247" s="24">
        <f>IF($A247="","",库存台账!$F247)</f>
        <v/>
      </c>
      <c r="G247" s="17" t="n"/>
      <c r="H247" s="23" t="n"/>
      <c r="I247" s="27">
        <f>IF($A247="","",库存台账!$X247)</f>
        <v/>
      </c>
      <c r="J247" s="27">
        <f>IF(OR($A247="",$H247=""),"",ROUND($H247-$I247,3))</f>
        <v/>
      </c>
      <c r="K247" s="26">
        <f>IF($A247="","",库存台账!$K247)</f>
        <v/>
      </c>
      <c r="L247" s="26">
        <f>IF($J247="","",ROUND($J247*$K247,0))</f>
        <v/>
      </c>
      <c r="M247" s="37">
        <f>IF(OR($J247="",$I247=0),"",ROUND($J247/$I247,4))</f>
        <v/>
      </c>
      <c r="N247" s="17" t="n"/>
      <c r="O247" s="17" t="n"/>
      <c r="P247" s="24">
        <f>IF($J247="","未盘",IF(ROUND($J247,3)=0,"账实相符",IF(COUNTIFS(入库单!$G$4:$G$2503,$A247,入库单!$X$4:$X$2503,"盘盈",入库单!$C$4:$C$2503,"&gt;="&amp;账期起,入库单!$C$4:$C$2503,"&lt;="&amp;账期止)+COUNTIFS(出库单!$D$4:$D$4003,$A247,出库单!$K$4:$K$4003,"盘亏",出库单!$C$4:$C$4003,"&gt;="&amp;账期起,出库单!$C$4:$C$4003,"&lt;="&amp;账期止)&gt;0,"已调账","※差异还没调账")))</f>
        <v/>
      </c>
      <c r="Q247" s="17" t="n"/>
      <c r="R247" s="17" t="n"/>
    </row>
    <row r="248">
      <c r="A248" s="24">
        <f>IF(库存台账!$A248="","",库存台账!$A248)</f>
        <v/>
      </c>
      <c r="B248" s="24">
        <f>IF($A248="","",库存台账!$B248)</f>
        <v/>
      </c>
      <c r="C248" s="24">
        <f>IF($A248="","",库存台账!$C248)</f>
        <v/>
      </c>
      <c r="D248" s="24">
        <f>IF($A248="","",库存台账!$D248)</f>
        <v/>
      </c>
      <c r="E248" s="24">
        <f>IF($A248="","",库存台账!$E248)</f>
        <v/>
      </c>
      <c r="F248" s="24">
        <f>IF($A248="","",库存台账!$F248)</f>
        <v/>
      </c>
      <c r="G248" s="17" t="n"/>
      <c r="H248" s="23" t="n"/>
      <c r="I248" s="27">
        <f>IF($A248="","",库存台账!$X248)</f>
        <v/>
      </c>
      <c r="J248" s="27">
        <f>IF(OR($A248="",$H248=""),"",ROUND($H248-$I248,3))</f>
        <v/>
      </c>
      <c r="K248" s="26">
        <f>IF($A248="","",库存台账!$K248)</f>
        <v/>
      </c>
      <c r="L248" s="26">
        <f>IF($J248="","",ROUND($J248*$K248,0))</f>
        <v/>
      </c>
      <c r="M248" s="37">
        <f>IF(OR($J248="",$I248=0),"",ROUND($J248/$I248,4))</f>
        <v/>
      </c>
      <c r="N248" s="17" t="n"/>
      <c r="O248" s="17" t="n"/>
      <c r="P248" s="24">
        <f>IF($J248="","未盘",IF(ROUND($J248,3)=0,"账实相符",IF(COUNTIFS(入库单!$G$4:$G$2503,$A248,入库单!$X$4:$X$2503,"盘盈",入库单!$C$4:$C$2503,"&gt;="&amp;账期起,入库单!$C$4:$C$2503,"&lt;="&amp;账期止)+COUNTIFS(出库单!$D$4:$D$4003,$A248,出库单!$K$4:$K$4003,"盘亏",出库单!$C$4:$C$4003,"&gt;="&amp;账期起,出库单!$C$4:$C$4003,"&lt;="&amp;账期止)&gt;0,"已调账","※差异还没调账")))</f>
        <v/>
      </c>
      <c r="Q248" s="17" t="n"/>
      <c r="R248" s="17" t="n"/>
    </row>
    <row r="249">
      <c r="A249" s="24">
        <f>IF(库存台账!$A249="","",库存台账!$A249)</f>
        <v/>
      </c>
      <c r="B249" s="24">
        <f>IF($A249="","",库存台账!$B249)</f>
        <v/>
      </c>
      <c r="C249" s="24">
        <f>IF($A249="","",库存台账!$C249)</f>
        <v/>
      </c>
      <c r="D249" s="24">
        <f>IF($A249="","",库存台账!$D249)</f>
        <v/>
      </c>
      <c r="E249" s="24">
        <f>IF($A249="","",库存台账!$E249)</f>
        <v/>
      </c>
      <c r="F249" s="24">
        <f>IF($A249="","",库存台账!$F249)</f>
        <v/>
      </c>
      <c r="G249" s="17" t="n"/>
      <c r="H249" s="23" t="n"/>
      <c r="I249" s="27">
        <f>IF($A249="","",库存台账!$X249)</f>
        <v/>
      </c>
      <c r="J249" s="27">
        <f>IF(OR($A249="",$H249=""),"",ROUND($H249-$I249,3))</f>
        <v/>
      </c>
      <c r="K249" s="26">
        <f>IF($A249="","",库存台账!$K249)</f>
        <v/>
      </c>
      <c r="L249" s="26">
        <f>IF($J249="","",ROUND($J249*$K249,0))</f>
        <v/>
      </c>
      <c r="M249" s="37">
        <f>IF(OR($J249="",$I249=0),"",ROUND($J249/$I249,4))</f>
        <v/>
      </c>
      <c r="N249" s="17" t="n"/>
      <c r="O249" s="17" t="n"/>
      <c r="P249" s="24">
        <f>IF($J249="","未盘",IF(ROUND($J249,3)=0,"账实相符",IF(COUNTIFS(入库单!$G$4:$G$2503,$A249,入库单!$X$4:$X$2503,"盘盈",入库单!$C$4:$C$2503,"&gt;="&amp;账期起,入库单!$C$4:$C$2503,"&lt;="&amp;账期止)+COUNTIFS(出库单!$D$4:$D$4003,$A249,出库单!$K$4:$K$4003,"盘亏",出库单!$C$4:$C$4003,"&gt;="&amp;账期起,出库单!$C$4:$C$4003,"&lt;="&amp;账期止)&gt;0,"已调账","※差异还没调账")))</f>
        <v/>
      </c>
      <c r="Q249" s="17" t="n"/>
      <c r="R249" s="17" t="n"/>
    </row>
    <row r="250">
      <c r="A250" s="24">
        <f>IF(库存台账!$A250="","",库存台账!$A250)</f>
        <v/>
      </c>
      <c r="B250" s="24">
        <f>IF($A250="","",库存台账!$B250)</f>
        <v/>
      </c>
      <c r="C250" s="24">
        <f>IF($A250="","",库存台账!$C250)</f>
        <v/>
      </c>
      <c r="D250" s="24">
        <f>IF($A250="","",库存台账!$D250)</f>
        <v/>
      </c>
      <c r="E250" s="24">
        <f>IF($A250="","",库存台账!$E250)</f>
        <v/>
      </c>
      <c r="F250" s="24">
        <f>IF($A250="","",库存台账!$F250)</f>
        <v/>
      </c>
      <c r="G250" s="17" t="n"/>
      <c r="H250" s="23" t="n"/>
      <c r="I250" s="27">
        <f>IF($A250="","",库存台账!$X250)</f>
        <v/>
      </c>
      <c r="J250" s="27">
        <f>IF(OR($A250="",$H250=""),"",ROUND($H250-$I250,3))</f>
        <v/>
      </c>
      <c r="K250" s="26">
        <f>IF($A250="","",库存台账!$K250)</f>
        <v/>
      </c>
      <c r="L250" s="26">
        <f>IF($J250="","",ROUND($J250*$K250,0))</f>
        <v/>
      </c>
      <c r="M250" s="37">
        <f>IF(OR($J250="",$I250=0),"",ROUND($J250/$I250,4))</f>
        <v/>
      </c>
      <c r="N250" s="17" t="n"/>
      <c r="O250" s="17" t="n"/>
      <c r="P250" s="24">
        <f>IF($J250="","未盘",IF(ROUND($J250,3)=0,"账实相符",IF(COUNTIFS(入库单!$G$4:$G$2503,$A250,入库单!$X$4:$X$2503,"盘盈",入库单!$C$4:$C$2503,"&gt;="&amp;账期起,入库单!$C$4:$C$2503,"&lt;="&amp;账期止)+COUNTIFS(出库单!$D$4:$D$4003,$A250,出库单!$K$4:$K$4003,"盘亏",出库单!$C$4:$C$4003,"&gt;="&amp;账期起,出库单!$C$4:$C$4003,"&lt;="&amp;账期止)&gt;0,"已调账","※差异还没调账")))</f>
        <v/>
      </c>
      <c r="Q250" s="17" t="n"/>
      <c r="R250" s="17" t="n"/>
    </row>
    <row r="251">
      <c r="A251" s="24">
        <f>IF(库存台账!$A251="","",库存台账!$A251)</f>
        <v/>
      </c>
      <c r="B251" s="24">
        <f>IF($A251="","",库存台账!$B251)</f>
        <v/>
      </c>
      <c r="C251" s="24">
        <f>IF($A251="","",库存台账!$C251)</f>
        <v/>
      </c>
      <c r="D251" s="24">
        <f>IF($A251="","",库存台账!$D251)</f>
        <v/>
      </c>
      <c r="E251" s="24">
        <f>IF($A251="","",库存台账!$E251)</f>
        <v/>
      </c>
      <c r="F251" s="24">
        <f>IF($A251="","",库存台账!$F251)</f>
        <v/>
      </c>
      <c r="G251" s="17" t="n"/>
      <c r="H251" s="23" t="n"/>
      <c r="I251" s="27">
        <f>IF($A251="","",库存台账!$X251)</f>
        <v/>
      </c>
      <c r="J251" s="27">
        <f>IF(OR($A251="",$H251=""),"",ROUND($H251-$I251,3))</f>
        <v/>
      </c>
      <c r="K251" s="26">
        <f>IF($A251="","",库存台账!$K251)</f>
        <v/>
      </c>
      <c r="L251" s="26">
        <f>IF($J251="","",ROUND($J251*$K251,0))</f>
        <v/>
      </c>
      <c r="M251" s="37">
        <f>IF(OR($J251="",$I251=0),"",ROUND($J251/$I251,4))</f>
        <v/>
      </c>
      <c r="N251" s="17" t="n"/>
      <c r="O251" s="17" t="n"/>
      <c r="P251" s="24">
        <f>IF($J251="","未盘",IF(ROUND($J251,3)=0,"账实相符",IF(COUNTIFS(入库单!$G$4:$G$2503,$A251,入库单!$X$4:$X$2503,"盘盈",入库单!$C$4:$C$2503,"&gt;="&amp;账期起,入库单!$C$4:$C$2503,"&lt;="&amp;账期止)+COUNTIFS(出库单!$D$4:$D$4003,$A251,出库单!$K$4:$K$4003,"盘亏",出库单!$C$4:$C$4003,"&gt;="&amp;账期起,出库单!$C$4:$C$4003,"&lt;="&amp;账期止)&gt;0,"已调账","※差异还没调账")))</f>
        <v/>
      </c>
      <c r="Q251" s="17" t="n"/>
      <c r="R251" s="17" t="n"/>
    </row>
    <row r="252">
      <c r="A252" s="24">
        <f>IF(库存台账!$A252="","",库存台账!$A252)</f>
        <v/>
      </c>
      <c r="B252" s="24">
        <f>IF($A252="","",库存台账!$B252)</f>
        <v/>
      </c>
      <c r="C252" s="24">
        <f>IF($A252="","",库存台账!$C252)</f>
        <v/>
      </c>
      <c r="D252" s="24">
        <f>IF($A252="","",库存台账!$D252)</f>
        <v/>
      </c>
      <c r="E252" s="24">
        <f>IF($A252="","",库存台账!$E252)</f>
        <v/>
      </c>
      <c r="F252" s="24">
        <f>IF($A252="","",库存台账!$F252)</f>
        <v/>
      </c>
      <c r="G252" s="17" t="n"/>
      <c r="H252" s="23" t="n"/>
      <c r="I252" s="27">
        <f>IF($A252="","",库存台账!$X252)</f>
        <v/>
      </c>
      <c r="J252" s="27">
        <f>IF(OR($A252="",$H252=""),"",ROUND($H252-$I252,3))</f>
        <v/>
      </c>
      <c r="K252" s="26">
        <f>IF($A252="","",库存台账!$K252)</f>
        <v/>
      </c>
      <c r="L252" s="26">
        <f>IF($J252="","",ROUND($J252*$K252,0))</f>
        <v/>
      </c>
      <c r="M252" s="37">
        <f>IF(OR($J252="",$I252=0),"",ROUND($J252/$I252,4))</f>
        <v/>
      </c>
      <c r="N252" s="17" t="n"/>
      <c r="O252" s="17" t="n"/>
      <c r="P252" s="24">
        <f>IF($J252="","未盘",IF(ROUND($J252,3)=0,"账实相符",IF(COUNTIFS(入库单!$G$4:$G$2503,$A252,入库单!$X$4:$X$2503,"盘盈",入库单!$C$4:$C$2503,"&gt;="&amp;账期起,入库单!$C$4:$C$2503,"&lt;="&amp;账期止)+COUNTIFS(出库单!$D$4:$D$4003,$A252,出库单!$K$4:$K$4003,"盘亏",出库单!$C$4:$C$4003,"&gt;="&amp;账期起,出库单!$C$4:$C$4003,"&lt;="&amp;账期止)&gt;0,"已调账","※差异还没调账")))</f>
        <v/>
      </c>
      <c r="Q252" s="17" t="n"/>
      <c r="R252" s="17" t="n"/>
    </row>
    <row r="253">
      <c r="A253" s="24">
        <f>IF(库存台账!$A253="","",库存台账!$A253)</f>
        <v/>
      </c>
      <c r="B253" s="24">
        <f>IF($A253="","",库存台账!$B253)</f>
        <v/>
      </c>
      <c r="C253" s="24">
        <f>IF($A253="","",库存台账!$C253)</f>
        <v/>
      </c>
      <c r="D253" s="24">
        <f>IF($A253="","",库存台账!$D253)</f>
        <v/>
      </c>
      <c r="E253" s="24">
        <f>IF($A253="","",库存台账!$E253)</f>
        <v/>
      </c>
      <c r="F253" s="24">
        <f>IF($A253="","",库存台账!$F253)</f>
        <v/>
      </c>
      <c r="G253" s="17" t="n"/>
      <c r="H253" s="23" t="n"/>
      <c r="I253" s="27">
        <f>IF($A253="","",库存台账!$X253)</f>
        <v/>
      </c>
      <c r="J253" s="27">
        <f>IF(OR($A253="",$H253=""),"",ROUND($H253-$I253,3))</f>
        <v/>
      </c>
      <c r="K253" s="26">
        <f>IF($A253="","",库存台账!$K253)</f>
        <v/>
      </c>
      <c r="L253" s="26">
        <f>IF($J253="","",ROUND($J253*$K253,0))</f>
        <v/>
      </c>
      <c r="M253" s="37">
        <f>IF(OR($J253="",$I253=0),"",ROUND($J253/$I253,4))</f>
        <v/>
      </c>
      <c r="N253" s="17" t="n"/>
      <c r="O253" s="17" t="n"/>
      <c r="P253" s="24">
        <f>IF($J253="","未盘",IF(ROUND($J253,3)=0,"账实相符",IF(COUNTIFS(入库单!$G$4:$G$2503,$A253,入库单!$X$4:$X$2503,"盘盈",入库单!$C$4:$C$2503,"&gt;="&amp;账期起,入库单!$C$4:$C$2503,"&lt;="&amp;账期止)+COUNTIFS(出库单!$D$4:$D$4003,$A253,出库单!$K$4:$K$4003,"盘亏",出库单!$C$4:$C$4003,"&gt;="&amp;账期起,出库单!$C$4:$C$4003,"&lt;="&amp;账期止)&gt;0,"已调账","※差异还没调账")))</f>
        <v/>
      </c>
      <c r="Q253" s="17" t="n"/>
      <c r="R253" s="17" t="n"/>
    </row>
    <row r="254">
      <c r="A254" s="24">
        <f>IF(库存台账!$A254="","",库存台账!$A254)</f>
        <v/>
      </c>
      <c r="B254" s="24">
        <f>IF($A254="","",库存台账!$B254)</f>
        <v/>
      </c>
      <c r="C254" s="24">
        <f>IF($A254="","",库存台账!$C254)</f>
        <v/>
      </c>
      <c r="D254" s="24">
        <f>IF($A254="","",库存台账!$D254)</f>
        <v/>
      </c>
      <c r="E254" s="24">
        <f>IF($A254="","",库存台账!$E254)</f>
        <v/>
      </c>
      <c r="F254" s="24">
        <f>IF($A254="","",库存台账!$F254)</f>
        <v/>
      </c>
      <c r="G254" s="17" t="n"/>
      <c r="H254" s="23" t="n"/>
      <c r="I254" s="27">
        <f>IF($A254="","",库存台账!$X254)</f>
        <v/>
      </c>
      <c r="J254" s="27">
        <f>IF(OR($A254="",$H254=""),"",ROUND($H254-$I254,3))</f>
        <v/>
      </c>
      <c r="K254" s="26">
        <f>IF($A254="","",库存台账!$K254)</f>
        <v/>
      </c>
      <c r="L254" s="26">
        <f>IF($J254="","",ROUND($J254*$K254,0))</f>
        <v/>
      </c>
      <c r="M254" s="37">
        <f>IF(OR($J254="",$I254=0),"",ROUND($J254/$I254,4))</f>
        <v/>
      </c>
      <c r="N254" s="17" t="n"/>
      <c r="O254" s="17" t="n"/>
      <c r="P254" s="24">
        <f>IF($J254="","未盘",IF(ROUND($J254,3)=0,"账实相符",IF(COUNTIFS(入库单!$G$4:$G$2503,$A254,入库单!$X$4:$X$2503,"盘盈",入库单!$C$4:$C$2503,"&gt;="&amp;账期起,入库单!$C$4:$C$2503,"&lt;="&amp;账期止)+COUNTIFS(出库单!$D$4:$D$4003,$A254,出库单!$K$4:$K$4003,"盘亏",出库单!$C$4:$C$4003,"&gt;="&amp;账期起,出库单!$C$4:$C$4003,"&lt;="&amp;账期止)&gt;0,"已调账","※差异还没调账")))</f>
        <v/>
      </c>
      <c r="Q254" s="17" t="n"/>
      <c r="R254" s="17" t="n"/>
    </row>
    <row r="255">
      <c r="A255" s="24">
        <f>IF(库存台账!$A255="","",库存台账!$A255)</f>
        <v/>
      </c>
      <c r="B255" s="24">
        <f>IF($A255="","",库存台账!$B255)</f>
        <v/>
      </c>
      <c r="C255" s="24">
        <f>IF($A255="","",库存台账!$C255)</f>
        <v/>
      </c>
      <c r="D255" s="24">
        <f>IF($A255="","",库存台账!$D255)</f>
        <v/>
      </c>
      <c r="E255" s="24">
        <f>IF($A255="","",库存台账!$E255)</f>
        <v/>
      </c>
      <c r="F255" s="24">
        <f>IF($A255="","",库存台账!$F255)</f>
        <v/>
      </c>
      <c r="G255" s="17" t="n"/>
      <c r="H255" s="23" t="n"/>
      <c r="I255" s="27">
        <f>IF($A255="","",库存台账!$X255)</f>
        <v/>
      </c>
      <c r="J255" s="27">
        <f>IF(OR($A255="",$H255=""),"",ROUND($H255-$I255,3))</f>
        <v/>
      </c>
      <c r="K255" s="26">
        <f>IF($A255="","",库存台账!$K255)</f>
        <v/>
      </c>
      <c r="L255" s="26">
        <f>IF($J255="","",ROUND($J255*$K255,0))</f>
        <v/>
      </c>
      <c r="M255" s="37">
        <f>IF(OR($J255="",$I255=0),"",ROUND($J255/$I255,4))</f>
        <v/>
      </c>
      <c r="N255" s="17" t="n"/>
      <c r="O255" s="17" t="n"/>
      <c r="P255" s="24">
        <f>IF($J255="","未盘",IF(ROUND($J255,3)=0,"账实相符",IF(COUNTIFS(入库单!$G$4:$G$2503,$A255,入库单!$X$4:$X$2503,"盘盈",入库单!$C$4:$C$2503,"&gt;="&amp;账期起,入库单!$C$4:$C$2503,"&lt;="&amp;账期止)+COUNTIFS(出库单!$D$4:$D$4003,$A255,出库单!$K$4:$K$4003,"盘亏",出库单!$C$4:$C$4003,"&gt;="&amp;账期起,出库单!$C$4:$C$4003,"&lt;="&amp;账期止)&gt;0,"已调账","※差异还没调账")))</f>
        <v/>
      </c>
      <c r="Q255" s="17" t="n"/>
      <c r="R255" s="17" t="n"/>
    </row>
    <row r="256">
      <c r="A256" s="24">
        <f>IF(库存台账!$A256="","",库存台账!$A256)</f>
        <v/>
      </c>
      <c r="B256" s="24">
        <f>IF($A256="","",库存台账!$B256)</f>
        <v/>
      </c>
      <c r="C256" s="24">
        <f>IF($A256="","",库存台账!$C256)</f>
        <v/>
      </c>
      <c r="D256" s="24">
        <f>IF($A256="","",库存台账!$D256)</f>
        <v/>
      </c>
      <c r="E256" s="24">
        <f>IF($A256="","",库存台账!$E256)</f>
        <v/>
      </c>
      <c r="F256" s="24">
        <f>IF($A256="","",库存台账!$F256)</f>
        <v/>
      </c>
      <c r="G256" s="17" t="n"/>
      <c r="H256" s="23" t="n"/>
      <c r="I256" s="27">
        <f>IF($A256="","",库存台账!$X256)</f>
        <v/>
      </c>
      <c r="J256" s="27">
        <f>IF(OR($A256="",$H256=""),"",ROUND($H256-$I256,3))</f>
        <v/>
      </c>
      <c r="K256" s="26">
        <f>IF($A256="","",库存台账!$K256)</f>
        <v/>
      </c>
      <c r="L256" s="26">
        <f>IF($J256="","",ROUND($J256*$K256,0))</f>
        <v/>
      </c>
      <c r="M256" s="37">
        <f>IF(OR($J256="",$I256=0),"",ROUND($J256/$I256,4))</f>
        <v/>
      </c>
      <c r="N256" s="17" t="n"/>
      <c r="O256" s="17" t="n"/>
      <c r="P256" s="24">
        <f>IF($J256="","未盘",IF(ROUND($J256,3)=0,"账实相符",IF(COUNTIFS(入库单!$G$4:$G$2503,$A256,入库单!$X$4:$X$2503,"盘盈",入库单!$C$4:$C$2503,"&gt;="&amp;账期起,入库单!$C$4:$C$2503,"&lt;="&amp;账期止)+COUNTIFS(出库单!$D$4:$D$4003,$A256,出库单!$K$4:$K$4003,"盘亏",出库单!$C$4:$C$4003,"&gt;="&amp;账期起,出库单!$C$4:$C$4003,"&lt;="&amp;账期止)&gt;0,"已调账","※差异还没调账")))</f>
        <v/>
      </c>
      <c r="Q256" s="17" t="n"/>
      <c r="R256" s="17" t="n"/>
    </row>
    <row r="257">
      <c r="A257" s="24">
        <f>IF(库存台账!$A257="","",库存台账!$A257)</f>
        <v/>
      </c>
      <c r="B257" s="24">
        <f>IF($A257="","",库存台账!$B257)</f>
        <v/>
      </c>
      <c r="C257" s="24">
        <f>IF($A257="","",库存台账!$C257)</f>
        <v/>
      </c>
      <c r="D257" s="24">
        <f>IF($A257="","",库存台账!$D257)</f>
        <v/>
      </c>
      <c r="E257" s="24">
        <f>IF($A257="","",库存台账!$E257)</f>
        <v/>
      </c>
      <c r="F257" s="24">
        <f>IF($A257="","",库存台账!$F257)</f>
        <v/>
      </c>
      <c r="G257" s="17" t="n"/>
      <c r="H257" s="23" t="n"/>
      <c r="I257" s="27">
        <f>IF($A257="","",库存台账!$X257)</f>
        <v/>
      </c>
      <c r="J257" s="27">
        <f>IF(OR($A257="",$H257=""),"",ROUND($H257-$I257,3))</f>
        <v/>
      </c>
      <c r="K257" s="26">
        <f>IF($A257="","",库存台账!$K257)</f>
        <v/>
      </c>
      <c r="L257" s="26">
        <f>IF($J257="","",ROUND($J257*$K257,0))</f>
        <v/>
      </c>
      <c r="M257" s="37">
        <f>IF(OR($J257="",$I257=0),"",ROUND($J257/$I257,4))</f>
        <v/>
      </c>
      <c r="N257" s="17" t="n"/>
      <c r="O257" s="17" t="n"/>
      <c r="P257" s="24">
        <f>IF($J257="","未盘",IF(ROUND($J257,3)=0,"账实相符",IF(COUNTIFS(入库单!$G$4:$G$2503,$A257,入库单!$X$4:$X$2503,"盘盈",入库单!$C$4:$C$2503,"&gt;="&amp;账期起,入库单!$C$4:$C$2503,"&lt;="&amp;账期止)+COUNTIFS(出库单!$D$4:$D$4003,$A257,出库单!$K$4:$K$4003,"盘亏",出库单!$C$4:$C$4003,"&gt;="&amp;账期起,出库单!$C$4:$C$4003,"&lt;="&amp;账期止)&gt;0,"已调账","※差异还没调账")))</f>
        <v/>
      </c>
      <c r="Q257" s="17" t="n"/>
      <c r="R257" s="17" t="n"/>
    </row>
    <row r="258">
      <c r="A258" s="24">
        <f>IF(库存台账!$A258="","",库存台账!$A258)</f>
        <v/>
      </c>
      <c r="B258" s="24">
        <f>IF($A258="","",库存台账!$B258)</f>
        <v/>
      </c>
      <c r="C258" s="24">
        <f>IF($A258="","",库存台账!$C258)</f>
        <v/>
      </c>
      <c r="D258" s="24">
        <f>IF($A258="","",库存台账!$D258)</f>
        <v/>
      </c>
      <c r="E258" s="24">
        <f>IF($A258="","",库存台账!$E258)</f>
        <v/>
      </c>
      <c r="F258" s="24">
        <f>IF($A258="","",库存台账!$F258)</f>
        <v/>
      </c>
      <c r="G258" s="17" t="n"/>
      <c r="H258" s="23" t="n"/>
      <c r="I258" s="27">
        <f>IF($A258="","",库存台账!$X258)</f>
        <v/>
      </c>
      <c r="J258" s="27">
        <f>IF(OR($A258="",$H258=""),"",ROUND($H258-$I258,3))</f>
        <v/>
      </c>
      <c r="K258" s="26">
        <f>IF($A258="","",库存台账!$K258)</f>
        <v/>
      </c>
      <c r="L258" s="26">
        <f>IF($J258="","",ROUND($J258*$K258,0))</f>
        <v/>
      </c>
      <c r="M258" s="37">
        <f>IF(OR($J258="",$I258=0),"",ROUND($J258/$I258,4))</f>
        <v/>
      </c>
      <c r="N258" s="17" t="n"/>
      <c r="O258" s="17" t="n"/>
      <c r="P258" s="24">
        <f>IF($J258="","未盘",IF(ROUND($J258,3)=0,"账实相符",IF(COUNTIFS(入库单!$G$4:$G$2503,$A258,入库单!$X$4:$X$2503,"盘盈",入库单!$C$4:$C$2503,"&gt;="&amp;账期起,入库单!$C$4:$C$2503,"&lt;="&amp;账期止)+COUNTIFS(出库单!$D$4:$D$4003,$A258,出库单!$K$4:$K$4003,"盘亏",出库单!$C$4:$C$4003,"&gt;="&amp;账期起,出库单!$C$4:$C$4003,"&lt;="&amp;账期止)&gt;0,"已调账","※差异还没调账")))</f>
        <v/>
      </c>
      <c r="Q258" s="17" t="n"/>
      <c r="R258" s="17" t="n"/>
    </row>
    <row r="259">
      <c r="A259" s="24">
        <f>IF(库存台账!$A259="","",库存台账!$A259)</f>
        <v/>
      </c>
      <c r="B259" s="24">
        <f>IF($A259="","",库存台账!$B259)</f>
        <v/>
      </c>
      <c r="C259" s="24">
        <f>IF($A259="","",库存台账!$C259)</f>
        <v/>
      </c>
      <c r="D259" s="24">
        <f>IF($A259="","",库存台账!$D259)</f>
        <v/>
      </c>
      <c r="E259" s="24">
        <f>IF($A259="","",库存台账!$E259)</f>
        <v/>
      </c>
      <c r="F259" s="24">
        <f>IF($A259="","",库存台账!$F259)</f>
        <v/>
      </c>
      <c r="G259" s="17" t="n"/>
      <c r="H259" s="23" t="n"/>
      <c r="I259" s="27">
        <f>IF($A259="","",库存台账!$X259)</f>
        <v/>
      </c>
      <c r="J259" s="27">
        <f>IF(OR($A259="",$H259=""),"",ROUND($H259-$I259,3))</f>
        <v/>
      </c>
      <c r="K259" s="26">
        <f>IF($A259="","",库存台账!$K259)</f>
        <v/>
      </c>
      <c r="L259" s="26">
        <f>IF($J259="","",ROUND($J259*$K259,0))</f>
        <v/>
      </c>
      <c r="M259" s="37">
        <f>IF(OR($J259="",$I259=0),"",ROUND($J259/$I259,4))</f>
        <v/>
      </c>
      <c r="N259" s="17" t="n"/>
      <c r="O259" s="17" t="n"/>
      <c r="P259" s="24">
        <f>IF($J259="","未盘",IF(ROUND($J259,3)=0,"账实相符",IF(COUNTIFS(入库单!$G$4:$G$2503,$A259,入库单!$X$4:$X$2503,"盘盈",入库单!$C$4:$C$2503,"&gt;="&amp;账期起,入库单!$C$4:$C$2503,"&lt;="&amp;账期止)+COUNTIFS(出库单!$D$4:$D$4003,$A259,出库单!$K$4:$K$4003,"盘亏",出库单!$C$4:$C$4003,"&gt;="&amp;账期起,出库单!$C$4:$C$4003,"&lt;="&amp;账期止)&gt;0,"已调账","※差异还没调账")))</f>
        <v/>
      </c>
      <c r="Q259" s="17" t="n"/>
      <c r="R259" s="17" t="n"/>
    </row>
    <row r="260">
      <c r="A260" s="24">
        <f>IF(库存台账!$A260="","",库存台账!$A260)</f>
        <v/>
      </c>
      <c r="B260" s="24">
        <f>IF($A260="","",库存台账!$B260)</f>
        <v/>
      </c>
      <c r="C260" s="24">
        <f>IF($A260="","",库存台账!$C260)</f>
        <v/>
      </c>
      <c r="D260" s="24">
        <f>IF($A260="","",库存台账!$D260)</f>
        <v/>
      </c>
      <c r="E260" s="24">
        <f>IF($A260="","",库存台账!$E260)</f>
        <v/>
      </c>
      <c r="F260" s="24">
        <f>IF($A260="","",库存台账!$F260)</f>
        <v/>
      </c>
      <c r="G260" s="17" t="n"/>
      <c r="H260" s="23" t="n"/>
      <c r="I260" s="27">
        <f>IF($A260="","",库存台账!$X260)</f>
        <v/>
      </c>
      <c r="J260" s="27">
        <f>IF(OR($A260="",$H260=""),"",ROUND($H260-$I260,3))</f>
        <v/>
      </c>
      <c r="K260" s="26">
        <f>IF($A260="","",库存台账!$K260)</f>
        <v/>
      </c>
      <c r="L260" s="26">
        <f>IF($J260="","",ROUND($J260*$K260,0))</f>
        <v/>
      </c>
      <c r="M260" s="37">
        <f>IF(OR($J260="",$I260=0),"",ROUND($J260/$I260,4))</f>
        <v/>
      </c>
      <c r="N260" s="17" t="n"/>
      <c r="O260" s="17" t="n"/>
      <c r="P260" s="24">
        <f>IF($J260="","未盘",IF(ROUND($J260,3)=0,"账实相符",IF(COUNTIFS(入库单!$G$4:$G$2503,$A260,入库单!$X$4:$X$2503,"盘盈",入库单!$C$4:$C$2503,"&gt;="&amp;账期起,入库单!$C$4:$C$2503,"&lt;="&amp;账期止)+COUNTIFS(出库单!$D$4:$D$4003,$A260,出库单!$K$4:$K$4003,"盘亏",出库单!$C$4:$C$4003,"&gt;="&amp;账期起,出库单!$C$4:$C$4003,"&lt;="&amp;账期止)&gt;0,"已调账","※差异还没调账")))</f>
        <v/>
      </c>
      <c r="Q260" s="17" t="n"/>
      <c r="R260" s="17" t="n"/>
    </row>
    <row r="261">
      <c r="A261" s="24">
        <f>IF(库存台账!$A261="","",库存台账!$A261)</f>
        <v/>
      </c>
      <c r="B261" s="24">
        <f>IF($A261="","",库存台账!$B261)</f>
        <v/>
      </c>
      <c r="C261" s="24">
        <f>IF($A261="","",库存台账!$C261)</f>
        <v/>
      </c>
      <c r="D261" s="24">
        <f>IF($A261="","",库存台账!$D261)</f>
        <v/>
      </c>
      <c r="E261" s="24">
        <f>IF($A261="","",库存台账!$E261)</f>
        <v/>
      </c>
      <c r="F261" s="24">
        <f>IF($A261="","",库存台账!$F261)</f>
        <v/>
      </c>
      <c r="G261" s="17" t="n"/>
      <c r="H261" s="23" t="n"/>
      <c r="I261" s="27">
        <f>IF($A261="","",库存台账!$X261)</f>
        <v/>
      </c>
      <c r="J261" s="27">
        <f>IF(OR($A261="",$H261=""),"",ROUND($H261-$I261,3))</f>
        <v/>
      </c>
      <c r="K261" s="26">
        <f>IF($A261="","",库存台账!$K261)</f>
        <v/>
      </c>
      <c r="L261" s="26">
        <f>IF($J261="","",ROUND($J261*$K261,0))</f>
        <v/>
      </c>
      <c r="M261" s="37">
        <f>IF(OR($J261="",$I261=0),"",ROUND($J261/$I261,4))</f>
        <v/>
      </c>
      <c r="N261" s="17" t="n"/>
      <c r="O261" s="17" t="n"/>
      <c r="P261" s="24">
        <f>IF($J261="","未盘",IF(ROUND($J261,3)=0,"账实相符",IF(COUNTIFS(入库单!$G$4:$G$2503,$A261,入库单!$X$4:$X$2503,"盘盈",入库单!$C$4:$C$2503,"&gt;="&amp;账期起,入库单!$C$4:$C$2503,"&lt;="&amp;账期止)+COUNTIFS(出库单!$D$4:$D$4003,$A261,出库单!$K$4:$K$4003,"盘亏",出库单!$C$4:$C$4003,"&gt;="&amp;账期起,出库单!$C$4:$C$4003,"&lt;="&amp;账期止)&gt;0,"已调账","※差异还没调账")))</f>
        <v/>
      </c>
      <c r="Q261" s="17" t="n"/>
      <c r="R261" s="17" t="n"/>
    </row>
    <row r="262">
      <c r="A262" s="24">
        <f>IF(库存台账!$A262="","",库存台账!$A262)</f>
        <v/>
      </c>
      <c r="B262" s="24">
        <f>IF($A262="","",库存台账!$B262)</f>
        <v/>
      </c>
      <c r="C262" s="24">
        <f>IF($A262="","",库存台账!$C262)</f>
        <v/>
      </c>
      <c r="D262" s="24">
        <f>IF($A262="","",库存台账!$D262)</f>
        <v/>
      </c>
      <c r="E262" s="24">
        <f>IF($A262="","",库存台账!$E262)</f>
        <v/>
      </c>
      <c r="F262" s="24">
        <f>IF($A262="","",库存台账!$F262)</f>
        <v/>
      </c>
      <c r="G262" s="17" t="n"/>
      <c r="H262" s="23" t="n"/>
      <c r="I262" s="27">
        <f>IF($A262="","",库存台账!$X262)</f>
        <v/>
      </c>
      <c r="J262" s="27">
        <f>IF(OR($A262="",$H262=""),"",ROUND($H262-$I262,3))</f>
        <v/>
      </c>
      <c r="K262" s="26">
        <f>IF($A262="","",库存台账!$K262)</f>
        <v/>
      </c>
      <c r="L262" s="26">
        <f>IF($J262="","",ROUND($J262*$K262,0))</f>
        <v/>
      </c>
      <c r="M262" s="37">
        <f>IF(OR($J262="",$I262=0),"",ROUND($J262/$I262,4))</f>
        <v/>
      </c>
      <c r="N262" s="17" t="n"/>
      <c r="O262" s="17" t="n"/>
      <c r="P262" s="24">
        <f>IF($J262="","未盘",IF(ROUND($J262,3)=0,"账实相符",IF(COUNTIFS(入库单!$G$4:$G$2503,$A262,入库单!$X$4:$X$2503,"盘盈",入库单!$C$4:$C$2503,"&gt;="&amp;账期起,入库单!$C$4:$C$2503,"&lt;="&amp;账期止)+COUNTIFS(出库单!$D$4:$D$4003,$A262,出库单!$K$4:$K$4003,"盘亏",出库单!$C$4:$C$4003,"&gt;="&amp;账期起,出库单!$C$4:$C$4003,"&lt;="&amp;账期止)&gt;0,"已调账","※差异还没调账")))</f>
        <v/>
      </c>
      <c r="Q262" s="17" t="n"/>
      <c r="R262" s="17" t="n"/>
    </row>
    <row r="263">
      <c r="A263" s="24">
        <f>IF(库存台账!$A263="","",库存台账!$A263)</f>
        <v/>
      </c>
      <c r="B263" s="24">
        <f>IF($A263="","",库存台账!$B263)</f>
        <v/>
      </c>
      <c r="C263" s="24">
        <f>IF($A263="","",库存台账!$C263)</f>
        <v/>
      </c>
      <c r="D263" s="24">
        <f>IF($A263="","",库存台账!$D263)</f>
        <v/>
      </c>
      <c r="E263" s="24">
        <f>IF($A263="","",库存台账!$E263)</f>
        <v/>
      </c>
      <c r="F263" s="24">
        <f>IF($A263="","",库存台账!$F263)</f>
        <v/>
      </c>
      <c r="G263" s="17" t="n"/>
      <c r="H263" s="23" t="n"/>
      <c r="I263" s="27">
        <f>IF($A263="","",库存台账!$X263)</f>
        <v/>
      </c>
      <c r="J263" s="27">
        <f>IF(OR($A263="",$H263=""),"",ROUND($H263-$I263,3))</f>
        <v/>
      </c>
      <c r="K263" s="26">
        <f>IF($A263="","",库存台账!$K263)</f>
        <v/>
      </c>
      <c r="L263" s="26">
        <f>IF($J263="","",ROUND($J263*$K263,0))</f>
        <v/>
      </c>
      <c r="M263" s="37">
        <f>IF(OR($J263="",$I263=0),"",ROUND($J263/$I263,4))</f>
        <v/>
      </c>
      <c r="N263" s="17" t="n"/>
      <c r="O263" s="17" t="n"/>
      <c r="P263" s="24">
        <f>IF($J263="","未盘",IF(ROUND($J263,3)=0,"账实相符",IF(COUNTIFS(入库单!$G$4:$G$2503,$A263,入库单!$X$4:$X$2503,"盘盈",入库单!$C$4:$C$2503,"&gt;="&amp;账期起,入库单!$C$4:$C$2503,"&lt;="&amp;账期止)+COUNTIFS(出库单!$D$4:$D$4003,$A263,出库单!$K$4:$K$4003,"盘亏",出库单!$C$4:$C$4003,"&gt;="&amp;账期起,出库单!$C$4:$C$4003,"&lt;="&amp;账期止)&gt;0,"已调账","※差异还没调账")))</f>
        <v/>
      </c>
      <c r="Q263" s="17" t="n"/>
      <c r="R263" s="17" t="n"/>
    </row>
    <row r="264">
      <c r="A264" s="24">
        <f>IF(库存台账!$A264="","",库存台账!$A264)</f>
        <v/>
      </c>
      <c r="B264" s="24">
        <f>IF($A264="","",库存台账!$B264)</f>
        <v/>
      </c>
      <c r="C264" s="24">
        <f>IF($A264="","",库存台账!$C264)</f>
        <v/>
      </c>
      <c r="D264" s="24">
        <f>IF($A264="","",库存台账!$D264)</f>
        <v/>
      </c>
      <c r="E264" s="24">
        <f>IF($A264="","",库存台账!$E264)</f>
        <v/>
      </c>
      <c r="F264" s="24">
        <f>IF($A264="","",库存台账!$F264)</f>
        <v/>
      </c>
      <c r="G264" s="17" t="n"/>
      <c r="H264" s="23" t="n"/>
      <c r="I264" s="27">
        <f>IF($A264="","",库存台账!$X264)</f>
        <v/>
      </c>
      <c r="J264" s="27">
        <f>IF(OR($A264="",$H264=""),"",ROUND($H264-$I264,3))</f>
        <v/>
      </c>
      <c r="K264" s="26">
        <f>IF($A264="","",库存台账!$K264)</f>
        <v/>
      </c>
      <c r="L264" s="26">
        <f>IF($J264="","",ROUND($J264*$K264,0))</f>
        <v/>
      </c>
      <c r="M264" s="37">
        <f>IF(OR($J264="",$I264=0),"",ROUND($J264/$I264,4))</f>
        <v/>
      </c>
      <c r="N264" s="17" t="n"/>
      <c r="O264" s="17" t="n"/>
      <c r="P264" s="24">
        <f>IF($J264="","未盘",IF(ROUND($J264,3)=0,"账实相符",IF(COUNTIFS(入库单!$G$4:$G$2503,$A264,入库单!$X$4:$X$2503,"盘盈",入库单!$C$4:$C$2503,"&gt;="&amp;账期起,入库单!$C$4:$C$2503,"&lt;="&amp;账期止)+COUNTIFS(出库单!$D$4:$D$4003,$A264,出库单!$K$4:$K$4003,"盘亏",出库单!$C$4:$C$4003,"&gt;="&amp;账期起,出库单!$C$4:$C$4003,"&lt;="&amp;账期止)&gt;0,"已调账","※差异还没调账")))</f>
        <v/>
      </c>
      <c r="Q264" s="17" t="n"/>
      <c r="R264" s="17" t="n"/>
    </row>
    <row r="265">
      <c r="A265" s="24">
        <f>IF(库存台账!$A265="","",库存台账!$A265)</f>
        <v/>
      </c>
      <c r="B265" s="24">
        <f>IF($A265="","",库存台账!$B265)</f>
        <v/>
      </c>
      <c r="C265" s="24">
        <f>IF($A265="","",库存台账!$C265)</f>
        <v/>
      </c>
      <c r="D265" s="24">
        <f>IF($A265="","",库存台账!$D265)</f>
        <v/>
      </c>
      <c r="E265" s="24">
        <f>IF($A265="","",库存台账!$E265)</f>
        <v/>
      </c>
      <c r="F265" s="24">
        <f>IF($A265="","",库存台账!$F265)</f>
        <v/>
      </c>
      <c r="G265" s="17" t="n"/>
      <c r="H265" s="23" t="n"/>
      <c r="I265" s="27">
        <f>IF($A265="","",库存台账!$X265)</f>
        <v/>
      </c>
      <c r="J265" s="27">
        <f>IF(OR($A265="",$H265=""),"",ROUND($H265-$I265,3))</f>
        <v/>
      </c>
      <c r="K265" s="26">
        <f>IF($A265="","",库存台账!$K265)</f>
        <v/>
      </c>
      <c r="L265" s="26">
        <f>IF($J265="","",ROUND($J265*$K265,0))</f>
        <v/>
      </c>
      <c r="M265" s="37">
        <f>IF(OR($J265="",$I265=0),"",ROUND($J265/$I265,4))</f>
        <v/>
      </c>
      <c r="N265" s="17" t="n"/>
      <c r="O265" s="17" t="n"/>
      <c r="P265" s="24">
        <f>IF($J265="","未盘",IF(ROUND($J265,3)=0,"账实相符",IF(COUNTIFS(入库单!$G$4:$G$2503,$A265,入库单!$X$4:$X$2503,"盘盈",入库单!$C$4:$C$2503,"&gt;="&amp;账期起,入库单!$C$4:$C$2503,"&lt;="&amp;账期止)+COUNTIFS(出库单!$D$4:$D$4003,$A265,出库单!$K$4:$K$4003,"盘亏",出库单!$C$4:$C$4003,"&gt;="&amp;账期起,出库单!$C$4:$C$4003,"&lt;="&amp;账期止)&gt;0,"已调账","※差异还没调账")))</f>
        <v/>
      </c>
      <c r="Q265" s="17" t="n"/>
      <c r="R265" s="17" t="n"/>
    </row>
    <row r="266">
      <c r="A266" s="24">
        <f>IF(库存台账!$A266="","",库存台账!$A266)</f>
        <v/>
      </c>
      <c r="B266" s="24">
        <f>IF($A266="","",库存台账!$B266)</f>
        <v/>
      </c>
      <c r="C266" s="24">
        <f>IF($A266="","",库存台账!$C266)</f>
        <v/>
      </c>
      <c r="D266" s="24">
        <f>IF($A266="","",库存台账!$D266)</f>
        <v/>
      </c>
      <c r="E266" s="24">
        <f>IF($A266="","",库存台账!$E266)</f>
        <v/>
      </c>
      <c r="F266" s="24">
        <f>IF($A266="","",库存台账!$F266)</f>
        <v/>
      </c>
      <c r="G266" s="17" t="n"/>
      <c r="H266" s="23" t="n"/>
      <c r="I266" s="27">
        <f>IF($A266="","",库存台账!$X266)</f>
        <v/>
      </c>
      <c r="J266" s="27">
        <f>IF(OR($A266="",$H266=""),"",ROUND($H266-$I266,3))</f>
        <v/>
      </c>
      <c r="K266" s="26">
        <f>IF($A266="","",库存台账!$K266)</f>
        <v/>
      </c>
      <c r="L266" s="26">
        <f>IF($J266="","",ROUND($J266*$K266,0))</f>
        <v/>
      </c>
      <c r="M266" s="37">
        <f>IF(OR($J266="",$I266=0),"",ROUND($J266/$I266,4))</f>
        <v/>
      </c>
      <c r="N266" s="17" t="n"/>
      <c r="O266" s="17" t="n"/>
      <c r="P266" s="24">
        <f>IF($J266="","未盘",IF(ROUND($J266,3)=0,"账实相符",IF(COUNTIFS(入库单!$G$4:$G$2503,$A266,入库单!$X$4:$X$2503,"盘盈",入库单!$C$4:$C$2503,"&gt;="&amp;账期起,入库单!$C$4:$C$2503,"&lt;="&amp;账期止)+COUNTIFS(出库单!$D$4:$D$4003,$A266,出库单!$K$4:$K$4003,"盘亏",出库单!$C$4:$C$4003,"&gt;="&amp;账期起,出库单!$C$4:$C$4003,"&lt;="&amp;账期止)&gt;0,"已调账","※差异还没调账")))</f>
        <v/>
      </c>
      <c r="Q266" s="17" t="n"/>
      <c r="R266" s="17" t="n"/>
    </row>
    <row r="267">
      <c r="A267" s="24">
        <f>IF(库存台账!$A267="","",库存台账!$A267)</f>
        <v/>
      </c>
      <c r="B267" s="24">
        <f>IF($A267="","",库存台账!$B267)</f>
        <v/>
      </c>
      <c r="C267" s="24">
        <f>IF($A267="","",库存台账!$C267)</f>
        <v/>
      </c>
      <c r="D267" s="24">
        <f>IF($A267="","",库存台账!$D267)</f>
        <v/>
      </c>
      <c r="E267" s="24">
        <f>IF($A267="","",库存台账!$E267)</f>
        <v/>
      </c>
      <c r="F267" s="24">
        <f>IF($A267="","",库存台账!$F267)</f>
        <v/>
      </c>
      <c r="G267" s="17" t="n"/>
      <c r="H267" s="23" t="n"/>
      <c r="I267" s="27">
        <f>IF($A267="","",库存台账!$X267)</f>
        <v/>
      </c>
      <c r="J267" s="27">
        <f>IF(OR($A267="",$H267=""),"",ROUND($H267-$I267,3))</f>
        <v/>
      </c>
      <c r="K267" s="26">
        <f>IF($A267="","",库存台账!$K267)</f>
        <v/>
      </c>
      <c r="L267" s="26">
        <f>IF($J267="","",ROUND($J267*$K267,0))</f>
        <v/>
      </c>
      <c r="M267" s="37">
        <f>IF(OR($J267="",$I267=0),"",ROUND($J267/$I267,4))</f>
        <v/>
      </c>
      <c r="N267" s="17" t="n"/>
      <c r="O267" s="17" t="n"/>
      <c r="P267" s="24">
        <f>IF($J267="","未盘",IF(ROUND($J267,3)=0,"账实相符",IF(COUNTIFS(入库单!$G$4:$G$2503,$A267,入库单!$X$4:$X$2503,"盘盈",入库单!$C$4:$C$2503,"&gt;="&amp;账期起,入库单!$C$4:$C$2503,"&lt;="&amp;账期止)+COUNTIFS(出库单!$D$4:$D$4003,$A267,出库单!$K$4:$K$4003,"盘亏",出库单!$C$4:$C$4003,"&gt;="&amp;账期起,出库单!$C$4:$C$4003,"&lt;="&amp;账期止)&gt;0,"已调账","※差异还没调账")))</f>
        <v/>
      </c>
      <c r="Q267" s="17" t="n"/>
      <c r="R267" s="17" t="n"/>
    </row>
    <row r="268">
      <c r="A268" s="24">
        <f>IF(库存台账!$A268="","",库存台账!$A268)</f>
        <v/>
      </c>
      <c r="B268" s="24">
        <f>IF($A268="","",库存台账!$B268)</f>
        <v/>
      </c>
      <c r="C268" s="24">
        <f>IF($A268="","",库存台账!$C268)</f>
        <v/>
      </c>
      <c r="D268" s="24">
        <f>IF($A268="","",库存台账!$D268)</f>
        <v/>
      </c>
      <c r="E268" s="24">
        <f>IF($A268="","",库存台账!$E268)</f>
        <v/>
      </c>
      <c r="F268" s="24">
        <f>IF($A268="","",库存台账!$F268)</f>
        <v/>
      </c>
      <c r="G268" s="17" t="n"/>
      <c r="H268" s="23" t="n"/>
      <c r="I268" s="27">
        <f>IF($A268="","",库存台账!$X268)</f>
        <v/>
      </c>
      <c r="J268" s="27">
        <f>IF(OR($A268="",$H268=""),"",ROUND($H268-$I268,3))</f>
        <v/>
      </c>
      <c r="K268" s="26">
        <f>IF($A268="","",库存台账!$K268)</f>
        <v/>
      </c>
      <c r="L268" s="26">
        <f>IF($J268="","",ROUND($J268*$K268,0))</f>
        <v/>
      </c>
      <c r="M268" s="37">
        <f>IF(OR($J268="",$I268=0),"",ROUND($J268/$I268,4))</f>
        <v/>
      </c>
      <c r="N268" s="17" t="n"/>
      <c r="O268" s="17" t="n"/>
      <c r="P268" s="24">
        <f>IF($J268="","未盘",IF(ROUND($J268,3)=0,"账实相符",IF(COUNTIFS(入库单!$G$4:$G$2503,$A268,入库单!$X$4:$X$2503,"盘盈",入库单!$C$4:$C$2503,"&gt;="&amp;账期起,入库单!$C$4:$C$2503,"&lt;="&amp;账期止)+COUNTIFS(出库单!$D$4:$D$4003,$A268,出库单!$K$4:$K$4003,"盘亏",出库单!$C$4:$C$4003,"&gt;="&amp;账期起,出库单!$C$4:$C$4003,"&lt;="&amp;账期止)&gt;0,"已调账","※差异还没调账")))</f>
        <v/>
      </c>
      <c r="Q268" s="17" t="n"/>
      <c r="R268" s="17" t="n"/>
    </row>
    <row r="269">
      <c r="A269" s="24">
        <f>IF(库存台账!$A269="","",库存台账!$A269)</f>
        <v/>
      </c>
      <c r="B269" s="24">
        <f>IF($A269="","",库存台账!$B269)</f>
        <v/>
      </c>
      <c r="C269" s="24">
        <f>IF($A269="","",库存台账!$C269)</f>
        <v/>
      </c>
      <c r="D269" s="24">
        <f>IF($A269="","",库存台账!$D269)</f>
        <v/>
      </c>
      <c r="E269" s="24">
        <f>IF($A269="","",库存台账!$E269)</f>
        <v/>
      </c>
      <c r="F269" s="24">
        <f>IF($A269="","",库存台账!$F269)</f>
        <v/>
      </c>
      <c r="G269" s="17" t="n"/>
      <c r="H269" s="23" t="n"/>
      <c r="I269" s="27">
        <f>IF($A269="","",库存台账!$X269)</f>
        <v/>
      </c>
      <c r="J269" s="27">
        <f>IF(OR($A269="",$H269=""),"",ROUND($H269-$I269,3))</f>
        <v/>
      </c>
      <c r="K269" s="26">
        <f>IF($A269="","",库存台账!$K269)</f>
        <v/>
      </c>
      <c r="L269" s="26">
        <f>IF($J269="","",ROUND($J269*$K269,0))</f>
        <v/>
      </c>
      <c r="M269" s="37">
        <f>IF(OR($J269="",$I269=0),"",ROUND($J269/$I269,4))</f>
        <v/>
      </c>
      <c r="N269" s="17" t="n"/>
      <c r="O269" s="17" t="n"/>
      <c r="P269" s="24">
        <f>IF($J269="","未盘",IF(ROUND($J269,3)=0,"账实相符",IF(COUNTIFS(入库单!$G$4:$G$2503,$A269,入库单!$X$4:$X$2503,"盘盈",入库单!$C$4:$C$2503,"&gt;="&amp;账期起,入库单!$C$4:$C$2503,"&lt;="&amp;账期止)+COUNTIFS(出库单!$D$4:$D$4003,$A269,出库单!$K$4:$K$4003,"盘亏",出库单!$C$4:$C$4003,"&gt;="&amp;账期起,出库单!$C$4:$C$4003,"&lt;="&amp;账期止)&gt;0,"已调账","※差异还没调账")))</f>
        <v/>
      </c>
      <c r="Q269" s="17" t="n"/>
      <c r="R269" s="17" t="n"/>
    </row>
    <row r="270">
      <c r="A270" s="24">
        <f>IF(库存台账!$A270="","",库存台账!$A270)</f>
        <v/>
      </c>
      <c r="B270" s="24">
        <f>IF($A270="","",库存台账!$B270)</f>
        <v/>
      </c>
      <c r="C270" s="24">
        <f>IF($A270="","",库存台账!$C270)</f>
        <v/>
      </c>
      <c r="D270" s="24">
        <f>IF($A270="","",库存台账!$D270)</f>
        <v/>
      </c>
      <c r="E270" s="24">
        <f>IF($A270="","",库存台账!$E270)</f>
        <v/>
      </c>
      <c r="F270" s="24">
        <f>IF($A270="","",库存台账!$F270)</f>
        <v/>
      </c>
      <c r="G270" s="17" t="n"/>
      <c r="H270" s="23" t="n"/>
      <c r="I270" s="27">
        <f>IF($A270="","",库存台账!$X270)</f>
        <v/>
      </c>
      <c r="J270" s="27">
        <f>IF(OR($A270="",$H270=""),"",ROUND($H270-$I270,3))</f>
        <v/>
      </c>
      <c r="K270" s="26">
        <f>IF($A270="","",库存台账!$K270)</f>
        <v/>
      </c>
      <c r="L270" s="26">
        <f>IF($J270="","",ROUND($J270*$K270,0))</f>
        <v/>
      </c>
      <c r="M270" s="37">
        <f>IF(OR($J270="",$I270=0),"",ROUND($J270/$I270,4))</f>
        <v/>
      </c>
      <c r="N270" s="17" t="n"/>
      <c r="O270" s="17" t="n"/>
      <c r="P270" s="24">
        <f>IF($J270="","未盘",IF(ROUND($J270,3)=0,"账实相符",IF(COUNTIFS(入库单!$G$4:$G$2503,$A270,入库单!$X$4:$X$2503,"盘盈",入库单!$C$4:$C$2503,"&gt;="&amp;账期起,入库单!$C$4:$C$2503,"&lt;="&amp;账期止)+COUNTIFS(出库单!$D$4:$D$4003,$A270,出库单!$K$4:$K$4003,"盘亏",出库单!$C$4:$C$4003,"&gt;="&amp;账期起,出库单!$C$4:$C$4003,"&lt;="&amp;账期止)&gt;0,"已调账","※差异还没调账")))</f>
        <v/>
      </c>
      <c r="Q270" s="17" t="n"/>
      <c r="R270" s="17" t="n"/>
    </row>
    <row r="271">
      <c r="A271" s="24">
        <f>IF(库存台账!$A271="","",库存台账!$A271)</f>
        <v/>
      </c>
      <c r="B271" s="24">
        <f>IF($A271="","",库存台账!$B271)</f>
        <v/>
      </c>
      <c r="C271" s="24">
        <f>IF($A271="","",库存台账!$C271)</f>
        <v/>
      </c>
      <c r="D271" s="24">
        <f>IF($A271="","",库存台账!$D271)</f>
        <v/>
      </c>
      <c r="E271" s="24">
        <f>IF($A271="","",库存台账!$E271)</f>
        <v/>
      </c>
      <c r="F271" s="24">
        <f>IF($A271="","",库存台账!$F271)</f>
        <v/>
      </c>
      <c r="G271" s="17" t="n"/>
      <c r="H271" s="23" t="n"/>
      <c r="I271" s="27">
        <f>IF($A271="","",库存台账!$X271)</f>
        <v/>
      </c>
      <c r="J271" s="27">
        <f>IF(OR($A271="",$H271=""),"",ROUND($H271-$I271,3))</f>
        <v/>
      </c>
      <c r="K271" s="26">
        <f>IF($A271="","",库存台账!$K271)</f>
        <v/>
      </c>
      <c r="L271" s="26">
        <f>IF($J271="","",ROUND($J271*$K271,0))</f>
        <v/>
      </c>
      <c r="M271" s="37">
        <f>IF(OR($J271="",$I271=0),"",ROUND($J271/$I271,4))</f>
        <v/>
      </c>
      <c r="N271" s="17" t="n"/>
      <c r="O271" s="17" t="n"/>
      <c r="P271" s="24">
        <f>IF($J271="","未盘",IF(ROUND($J271,3)=0,"账实相符",IF(COUNTIFS(入库单!$G$4:$G$2503,$A271,入库单!$X$4:$X$2503,"盘盈",入库单!$C$4:$C$2503,"&gt;="&amp;账期起,入库单!$C$4:$C$2503,"&lt;="&amp;账期止)+COUNTIFS(出库单!$D$4:$D$4003,$A271,出库单!$K$4:$K$4003,"盘亏",出库单!$C$4:$C$4003,"&gt;="&amp;账期起,出库单!$C$4:$C$4003,"&lt;="&amp;账期止)&gt;0,"已调账","※差异还没调账")))</f>
        <v/>
      </c>
      <c r="Q271" s="17" t="n"/>
      <c r="R271" s="17" t="n"/>
    </row>
    <row r="272">
      <c r="A272" s="24">
        <f>IF(库存台账!$A272="","",库存台账!$A272)</f>
        <v/>
      </c>
      <c r="B272" s="24">
        <f>IF($A272="","",库存台账!$B272)</f>
        <v/>
      </c>
      <c r="C272" s="24">
        <f>IF($A272="","",库存台账!$C272)</f>
        <v/>
      </c>
      <c r="D272" s="24">
        <f>IF($A272="","",库存台账!$D272)</f>
        <v/>
      </c>
      <c r="E272" s="24">
        <f>IF($A272="","",库存台账!$E272)</f>
        <v/>
      </c>
      <c r="F272" s="24">
        <f>IF($A272="","",库存台账!$F272)</f>
        <v/>
      </c>
      <c r="G272" s="17" t="n"/>
      <c r="H272" s="23" t="n"/>
      <c r="I272" s="27">
        <f>IF($A272="","",库存台账!$X272)</f>
        <v/>
      </c>
      <c r="J272" s="27">
        <f>IF(OR($A272="",$H272=""),"",ROUND($H272-$I272,3))</f>
        <v/>
      </c>
      <c r="K272" s="26">
        <f>IF($A272="","",库存台账!$K272)</f>
        <v/>
      </c>
      <c r="L272" s="26">
        <f>IF($J272="","",ROUND($J272*$K272,0))</f>
        <v/>
      </c>
      <c r="M272" s="37">
        <f>IF(OR($J272="",$I272=0),"",ROUND($J272/$I272,4))</f>
        <v/>
      </c>
      <c r="N272" s="17" t="n"/>
      <c r="O272" s="17" t="n"/>
      <c r="P272" s="24">
        <f>IF($J272="","未盘",IF(ROUND($J272,3)=0,"账实相符",IF(COUNTIFS(入库单!$G$4:$G$2503,$A272,入库单!$X$4:$X$2503,"盘盈",入库单!$C$4:$C$2503,"&gt;="&amp;账期起,入库单!$C$4:$C$2503,"&lt;="&amp;账期止)+COUNTIFS(出库单!$D$4:$D$4003,$A272,出库单!$K$4:$K$4003,"盘亏",出库单!$C$4:$C$4003,"&gt;="&amp;账期起,出库单!$C$4:$C$4003,"&lt;="&amp;账期止)&gt;0,"已调账","※差异还没调账")))</f>
        <v/>
      </c>
      <c r="Q272" s="17" t="n"/>
      <c r="R272" s="17" t="n"/>
    </row>
    <row r="273">
      <c r="A273" s="24">
        <f>IF(库存台账!$A273="","",库存台账!$A273)</f>
        <v/>
      </c>
      <c r="B273" s="24">
        <f>IF($A273="","",库存台账!$B273)</f>
        <v/>
      </c>
      <c r="C273" s="24">
        <f>IF($A273="","",库存台账!$C273)</f>
        <v/>
      </c>
      <c r="D273" s="24">
        <f>IF($A273="","",库存台账!$D273)</f>
        <v/>
      </c>
      <c r="E273" s="24">
        <f>IF($A273="","",库存台账!$E273)</f>
        <v/>
      </c>
      <c r="F273" s="24">
        <f>IF($A273="","",库存台账!$F273)</f>
        <v/>
      </c>
      <c r="G273" s="17" t="n"/>
      <c r="H273" s="23" t="n"/>
      <c r="I273" s="27">
        <f>IF($A273="","",库存台账!$X273)</f>
        <v/>
      </c>
      <c r="J273" s="27">
        <f>IF(OR($A273="",$H273=""),"",ROUND($H273-$I273,3))</f>
        <v/>
      </c>
      <c r="K273" s="26">
        <f>IF($A273="","",库存台账!$K273)</f>
        <v/>
      </c>
      <c r="L273" s="26">
        <f>IF($J273="","",ROUND($J273*$K273,0))</f>
        <v/>
      </c>
      <c r="M273" s="37">
        <f>IF(OR($J273="",$I273=0),"",ROUND($J273/$I273,4))</f>
        <v/>
      </c>
      <c r="N273" s="17" t="n"/>
      <c r="O273" s="17" t="n"/>
      <c r="P273" s="24">
        <f>IF($J273="","未盘",IF(ROUND($J273,3)=0,"账实相符",IF(COUNTIFS(入库单!$G$4:$G$2503,$A273,入库单!$X$4:$X$2503,"盘盈",入库单!$C$4:$C$2503,"&gt;="&amp;账期起,入库单!$C$4:$C$2503,"&lt;="&amp;账期止)+COUNTIFS(出库单!$D$4:$D$4003,$A273,出库单!$K$4:$K$4003,"盘亏",出库单!$C$4:$C$4003,"&gt;="&amp;账期起,出库单!$C$4:$C$4003,"&lt;="&amp;账期止)&gt;0,"已调账","※差异还没调账")))</f>
        <v/>
      </c>
      <c r="Q273" s="17" t="n"/>
      <c r="R273" s="17" t="n"/>
    </row>
    <row r="274">
      <c r="A274" s="24">
        <f>IF(库存台账!$A274="","",库存台账!$A274)</f>
        <v/>
      </c>
      <c r="B274" s="24">
        <f>IF($A274="","",库存台账!$B274)</f>
        <v/>
      </c>
      <c r="C274" s="24">
        <f>IF($A274="","",库存台账!$C274)</f>
        <v/>
      </c>
      <c r="D274" s="24">
        <f>IF($A274="","",库存台账!$D274)</f>
        <v/>
      </c>
      <c r="E274" s="24">
        <f>IF($A274="","",库存台账!$E274)</f>
        <v/>
      </c>
      <c r="F274" s="24">
        <f>IF($A274="","",库存台账!$F274)</f>
        <v/>
      </c>
      <c r="G274" s="17" t="n"/>
      <c r="H274" s="23" t="n"/>
      <c r="I274" s="27">
        <f>IF($A274="","",库存台账!$X274)</f>
        <v/>
      </c>
      <c r="J274" s="27">
        <f>IF(OR($A274="",$H274=""),"",ROUND($H274-$I274,3))</f>
        <v/>
      </c>
      <c r="K274" s="26">
        <f>IF($A274="","",库存台账!$K274)</f>
        <v/>
      </c>
      <c r="L274" s="26">
        <f>IF($J274="","",ROUND($J274*$K274,0))</f>
        <v/>
      </c>
      <c r="M274" s="37">
        <f>IF(OR($J274="",$I274=0),"",ROUND($J274/$I274,4))</f>
        <v/>
      </c>
      <c r="N274" s="17" t="n"/>
      <c r="O274" s="17" t="n"/>
      <c r="P274" s="24">
        <f>IF($J274="","未盘",IF(ROUND($J274,3)=0,"账实相符",IF(COUNTIFS(入库单!$G$4:$G$2503,$A274,入库单!$X$4:$X$2503,"盘盈",入库单!$C$4:$C$2503,"&gt;="&amp;账期起,入库单!$C$4:$C$2503,"&lt;="&amp;账期止)+COUNTIFS(出库单!$D$4:$D$4003,$A274,出库单!$K$4:$K$4003,"盘亏",出库单!$C$4:$C$4003,"&gt;="&amp;账期起,出库单!$C$4:$C$4003,"&lt;="&amp;账期止)&gt;0,"已调账","※差异还没调账")))</f>
        <v/>
      </c>
      <c r="Q274" s="17" t="n"/>
      <c r="R274" s="17" t="n"/>
    </row>
    <row r="275">
      <c r="A275" s="24">
        <f>IF(库存台账!$A275="","",库存台账!$A275)</f>
        <v/>
      </c>
      <c r="B275" s="24">
        <f>IF($A275="","",库存台账!$B275)</f>
        <v/>
      </c>
      <c r="C275" s="24">
        <f>IF($A275="","",库存台账!$C275)</f>
        <v/>
      </c>
      <c r="D275" s="24">
        <f>IF($A275="","",库存台账!$D275)</f>
        <v/>
      </c>
      <c r="E275" s="24">
        <f>IF($A275="","",库存台账!$E275)</f>
        <v/>
      </c>
      <c r="F275" s="24">
        <f>IF($A275="","",库存台账!$F275)</f>
        <v/>
      </c>
      <c r="G275" s="17" t="n"/>
      <c r="H275" s="23" t="n"/>
      <c r="I275" s="27">
        <f>IF($A275="","",库存台账!$X275)</f>
        <v/>
      </c>
      <c r="J275" s="27">
        <f>IF(OR($A275="",$H275=""),"",ROUND($H275-$I275,3))</f>
        <v/>
      </c>
      <c r="K275" s="26">
        <f>IF($A275="","",库存台账!$K275)</f>
        <v/>
      </c>
      <c r="L275" s="26">
        <f>IF($J275="","",ROUND($J275*$K275,0))</f>
        <v/>
      </c>
      <c r="M275" s="37">
        <f>IF(OR($J275="",$I275=0),"",ROUND($J275/$I275,4))</f>
        <v/>
      </c>
      <c r="N275" s="17" t="n"/>
      <c r="O275" s="17" t="n"/>
      <c r="P275" s="24">
        <f>IF($J275="","未盘",IF(ROUND($J275,3)=0,"账实相符",IF(COUNTIFS(入库单!$G$4:$G$2503,$A275,入库单!$X$4:$X$2503,"盘盈",入库单!$C$4:$C$2503,"&gt;="&amp;账期起,入库单!$C$4:$C$2503,"&lt;="&amp;账期止)+COUNTIFS(出库单!$D$4:$D$4003,$A275,出库单!$K$4:$K$4003,"盘亏",出库单!$C$4:$C$4003,"&gt;="&amp;账期起,出库单!$C$4:$C$4003,"&lt;="&amp;账期止)&gt;0,"已调账","※差异还没调账")))</f>
        <v/>
      </c>
      <c r="Q275" s="17" t="n"/>
      <c r="R275" s="17" t="n"/>
    </row>
    <row r="276">
      <c r="A276" s="24">
        <f>IF(库存台账!$A276="","",库存台账!$A276)</f>
        <v/>
      </c>
      <c r="B276" s="24">
        <f>IF($A276="","",库存台账!$B276)</f>
        <v/>
      </c>
      <c r="C276" s="24">
        <f>IF($A276="","",库存台账!$C276)</f>
        <v/>
      </c>
      <c r="D276" s="24">
        <f>IF($A276="","",库存台账!$D276)</f>
        <v/>
      </c>
      <c r="E276" s="24">
        <f>IF($A276="","",库存台账!$E276)</f>
        <v/>
      </c>
      <c r="F276" s="24">
        <f>IF($A276="","",库存台账!$F276)</f>
        <v/>
      </c>
      <c r="G276" s="17" t="n"/>
      <c r="H276" s="23" t="n"/>
      <c r="I276" s="27">
        <f>IF($A276="","",库存台账!$X276)</f>
        <v/>
      </c>
      <c r="J276" s="27">
        <f>IF(OR($A276="",$H276=""),"",ROUND($H276-$I276,3))</f>
        <v/>
      </c>
      <c r="K276" s="26">
        <f>IF($A276="","",库存台账!$K276)</f>
        <v/>
      </c>
      <c r="L276" s="26">
        <f>IF($J276="","",ROUND($J276*$K276,0))</f>
        <v/>
      </c>
      <c r="M276" s="37">
        <f>IF(OR($J276="",$I276=0),"",ROUND($J276/$I276,4))</f>
        <v/>
      </c>
      <c r="N276" s="17" t="n"/>
      <c r="O276" s="17" t="n"/>
      <c r="P276" s="24">
        <f>IF($J276="","未盘",IF(ROUND($J276,3)=0,"账实相符",IF(COUNTIFS(入库单!$G$4:$G$2503,$A276,入库单!$X$4:$X$2503,"盘盈",入库单!$C$4:$C$2503,"&gt;="&amp;账期起,入库单!$C$4:$C$2503,"&lt;="&amp;账期止)+COUNTIFS(出库单!$D$4:$D$4003,$A276,出库单!$K$4:$K$4003,"盘亏",出库单!$C$4:$C$4003,"&gt;="&amp;账期起,出库单!$C$4:$C$4003,"&lt;="&amp;账期止)&gt;0,"已调账","※差异还没调账")))</f>
        <v/>
      </c>
      <c r="Q276" s="17" t="n"/>
      <c r="R276" s="17" t="n"/>
    </row>
    <row r="277">
      <c r="A277" s="24">
        <f>IF(库存台账!$A277="","",库存台账!$A277)</f>
        <v/>
      </c>
      <c r="B277" s="24">
        <f>IF($A277="","",库存台账!$B277)</f>
        <v/>
      </c>
      <c r="C277" s="24">
        <f>IF($A277="","",库存台账!$C277)</f>
        <v/>
      </c>
      <c r="D277" s="24">
        <f>IF($A277="","",库存台账!$D277)</f>
        <v/>
      </c>
      <c r="E277" s="24">
        <f>IF($A277="","",库存台账!$E277)</f>
        <v/>
      </c>
      <c r="F277" s="24">
        <f>IF($A277="","",库存台账!$F277)</f>
        <v/>
      </c>
      <c r="G277" s="17" t="n"/>
      <c r="H277" s="23" t="n"/>
      <c r="I277" s="27">
        <f>IF($A277="","",库存台账!$X277)</f>
        <v/>
      </c>
      <c r="J277" s="27">
        <f>IF(OR($A277="",$H277=""),"",ROUND($H277-$I277,3))</f>
        <v/>
      </c>
      <c r="K277" s="26">
        <f>IF($A277="","",库存台账!$K277)</f>
        <v/>
      </c>
      <c r="L277" s="26">
        <f>IF($J277="","",ROUND($J277*$K277,0))</f>
        <v/>
      </c>
      <c r="M277" s="37">
        <f>IF(OR($J277="",$I277=0),"",ROUND($J277/$I277,4))</f>
        <v/>
      </c>
      <c r="N277" s="17" t="n"/>
      <c r="O277" s="17" t="n"/>
      <c r="P277" s="24">
        <f>IF($J277="","未盘",IF(ROUND($J277,3)=0,"账实相符",IF(COUNTIFS(入库单!$G$4:$G$2503,$A277,入库单!$X$4:$X$2503,"盘盈",入库单!$C$4:$C$2503,"&gt;="&amp;账期起,入库单!$C$4:$C$2503,"&lt;="&amp;账期止)+COUNTIFS(出库单!$D$4:$D$4003,$A277,出库单!$K$4:$K$4003,"盘亏",出库单!$C$4:$C$4003,"&gt;="&amp;账期起,出库单!$C$4:$C$4003,"&lt;="&amp;账期止)&gt;0,"已调账","※差异还没调账")))</f>
        <v/>
      </c>
      <c r="Q277" s="17" t="n"/>
      <c r="R277" s="17" t="n"/>
    </row>
    <row r="278">
      <c r="A278" s="24">
        <f>IF(库存台账!$A278="","",库存台账!$A278)</f>
        <v/>
      </c>
      <c r="B278" s="24">
        <f>IF($A278="","",库存台账!$B278)</f>
        <v/>
      </c>
      <c r="C278" s="24">
        <f>IF($A278="","",库存台账!$C278)</f>
        <v/>
      </c>
      <c r="D278" s="24">
        <f>IF($A278="","",库存台账!$D278)</f>
        <v/>
      </c>
      <c r="E278" s="24">
        <f>IF($A278="","",库存台账!$E278)</f>
        <v/>
      </c>
      <c r="F278" s="24">
        <f>IF($A278="","",库存台账!$F278)</f>
        <v/>
      </c>
      <c r="G278" s="17" t="n"/>
      <c r="H278" s="23" t="n"/>
      <c r="I278" s="27">
        <f>IF($A278="","",库存台账!$X278)</f>
        <v/>
      </c>
      <c r="J278" s="27">
        <f>IF(OR($A278="",$H278=""),"",ROUND($H278-$I278,3))</f>
        <v/>
      </c>
      <c r="K278" s="26">
        <f>IF($A278="","",库存台账!$K278)</f>
        <v/>
      </c>
      <c r="L278" s="26">
        <f>IF($J278="","",ROUND($J278*$K278,0))</f>
        <v/>
      </c>
      <c r="M278" s="37">
        <f>IF(OR($J278="",$I278=0),"",ROUND($J278/$I278,4))</f>
        <v/>
      </c>
      <c r="N278" s="17" t="n"/>
      <c r="O278" s="17" t="n"/>
      <c r="P278" s="24">
        <f>IF($J278="","未盘",IF(ROUND($J278,3)=0,"账实相符",IF(COUNTIFS(入库单!$G$4:$G$2503,$A278,入库单!$X$4:$X$2503,"盘盈",入库单!$C$4:$C$2503,"&gt;="&amp;账期起,入库单!$C$4:$C$2503,"&lt;="&amp;账期止)+COUNTIFS(出库单!$D$4:$D$4003,$A278,出库单!$K$4:$K$4003,"盘亏",出库单!$C$4:$C$4003,"&gt;="&amp;账期起,出库单!$C$4:$C$4003,"&lt;="&amp;账期止)&gt;0,"已调账","※差异还没调账")))</f>
        <v/>
      </c>
      <c r="Q278" s="17" t="n"/>
      <c r="R278" s="17" t="n"/>
    </row>
    <row r="279">
      <c r="A279" s="24">
        <f>IF(库存台账!$A279="","",库存台账!$A279)</f>
        <v/>
      </c>
      <c r="B279" s="24">
        <f>IF($A279="","",库存台账!$B279)</f>
        <v/>
      </c>
      <c r="C279" s="24">
        <f>IF($A279="","",库存台账!$C279)</f>
        <v/>
      </c>
      <c r="D279" s="24">
        <f>IF($A279="","",库存台账!$D279)</f>
        <v/>
      </c>
      <c r="E279" s="24">
        <f>IF($A279="","",库存台账!$E279)</f>
        <v/>
      </c>
      <c r="F279" s="24">
        <f>IF($A279="","",库存台账!$F279)</f>
        <v/>
      </c>
      <c r="G279" s="17" t="n"/>
      <c r="H279" s="23" t="n"/>
      <c r="I279" s="27">
        <f>IF($A279="","",库存台账!$X279)</f>
        <v/>
      </c>
      <c r="J279" s="27">
        <f>IF(OR($A279="",$H279=""),"",ROUND($H279-$I279,3))</f>
        <v/>
      </c>
      <c r="K279" s="26">
        <f>IF($A279="","",库存台账!$K279)</f>
        <v/>
      </c>
      <c r="L279" s="26">
        <f>IF($J279="","",ROUND($J279*$K279,0))</f>
        <v/>
      </c>
      <c r="M279" s="37">
        <f>IF(OR($J279="",$I279=0),"",ROUND($J279/$I279,4))</f>
        <v/>
      </c>
      <c r="N279" s="17" t="n"/>
      <c r="O279" s="17" t="n"/>
      <c r="P279" s="24">
        <f>IF($J279="","未盘",IF(ROUND($J279,3)=0,"账实相符",IF(COUNTIFS(入库单!$G$4:$G$2503,$A279,入库单!$X$4:$X$2503,"盘盈",入库单!$C$4:$C$2503,"&gt;="&amp;账期起,入库单!$C$4:$C$2503,"&lt;="&amp;账期止)+COUNTIFS(出库单!$D$4:$D$4003,$A279,出库单!$K$4:$K$4003,"盘亏",出库单!$C$4:$C$4003,"&gt;="&amp;账期起,出库单!$C$4:$C$4003,"&lt;="&amp;账期止)&gt;0,"已调账","※差异还没调账")))</f>
        <v/>
      </c>
      <c r="Q279" s="17" t="n"/>
      <c r="R279" s="17" t="n"/>
    </row>
    <row r="280">
      <c r="A280" s="24">
        <f>IF(库存台账!$A280="","",库存台账!$A280)</f>
        <v/>
      </c>
      <c r="B280" s="24">
        <f>IF($A280="","",库存台账!$B280)</f>
        <v/>
      </c>
      <c r="C280" s="24">
        <f>IF($A280="","",库存台账!$C280)</f>
        <v/>
      </c>
      <c r="D280" s="24">
        <f>IF($A280="","",库存台账!$D280)</f>
        <v/>
      </c>
      <c r="E280" s="24">
        <f>IF($A280="","",库存台账!$E280)</f>
        <v/>
      </c>
      <c r="F280" s="24">
        <f>IF($A280="","",库存台账!$F280)</f>
        <v/>
      </c>
      <c r="G280" s="17" t="n"/>
      <c r="H280" s="23" t="n"/>
      <c r="I280" s="27">
        <f>IF($A280="","",库存台账!$X280)</f>
        <v/>
      </c>
      <c r="J280" s="27">
        <f>IF(OR($A280="",$H280=""),"",ROUND($H280-$I280,3))</f>
        <v/>
      </c>
      <c r="K280" s="26">
        <f>IF($A280="","",库存台账!$K280)</f>
        <v/>
      </c>
      <c r="L280" s="26">
        <f>IF($J280="","",ROUND($J280*$K280,0))</f>
        <v/>
      </c>
      <c r="M280" s="37">
        <f>IF(OR($J280="",$I280=0),"",ROUND($J280/$I280,4))</f>
        <v/>
      </c>
      <c r="N280" s="17" t="n"/>
      <c r="O280" s="17" t="n"/>
      <c r="P280" s="24">
        <f>IF($J280="","未盘",IF(ROUND($J280,3)=0,"账实相符",IF(COUNTIFS(入库单!$G$4:$G$2503,$A280,入库单!$X$4:$X$2503,"盘盈",入库单!$C$4:$C$2503,"&gt;="&amp;账期起,入库单!$C$4:$C$2503,"&lt;="&amp;账期止)+COUNTIFS(出库单!$D$4:$D$4003,$A280,出库单!$K$4:$K$4003,"盘亏",出库单!$C$4:$C$4003,"&gt;="&amp;账期起,出库单!$C$4:$C$4003,"&lt;="&amp;账期止)&gt;0,"已调账","※差异还没调账")))</f>
        <v/>
      </c>
      <c r="Q280" s="17" t="n"/>
      <c r="R280" s="17" t="n"/>
    </row>
    <row r="281">
      <c r="A281" s="24">
        <f>IF(库存台账!$A281="","",库存台账!$A281)</f>
        <v/>
      </c>
      <c r="B281" s="24">
        <f>IF($A281="","",库存台账!$B281)</f>
        <v/>
      </c>
      <c r="C281" s="24">
        <f>IF($A281="","",库存台账!$C281)</f>
        <v/>
      </c>
      <c r="D281" s="24">
        <f>IF($A281="","",库存台账!$D281)</f>
        <v/>
      </c>
      <c r="E281" s="24">
        <f>IF($A281="","",库存台账!$E281)</f>
        <v/>
      </c>
      <c r="F281" s="24">
        <f>IF($A281="","",库存台账!$F281)</f>
        <v/>
      </c>
      <c r="G281" s="17" t="n"/>
      <c r="H281" s="23" t="n"/>
      <c r="I281" s="27">
        <f>IF($A281="","",库存台账!$X281)</f>
        <v/>
      </c>
      <c r="J281" s="27">
        <f>IF(OR($A281="",$H281=""),"",ROUND($H281-$I281,3))</f>
        <v/>
      </c>
      <c r="K281" s="26">
        <f>IF($A281="","",库存台账!$K281)</f>
        <v/>
      </c>
      <c r="L281" s="26">
        <f>IF($J281="","",ROUND($J281*$K281,0))</f>
        <v/>
      </c>
      <c r="M281" s="37">
        <f>IF(OR($J281="",$I281=0),"",ROUND($J281/$I281,4))</f>
        <v/>
      </c>
      <c r="N281" s="17" t="n"/>
      <c r="O281" s="17" t="n"/>
      <c r="P281" s="24">
        <f>IF($J281="","未盘",IF(ROUND($J281,3)=0,"账实相符",IF(COUNTIFS(入库单!$G$4:$G$2503,$A281,入库单!$X$4:$X$2503,"盘盈",入库单!$C$4:$C$2503,"&gt;="&amp;账期起,入库单!$C$4:$C$2503,"&lt;="&amp;账期止)+COUNTIFS(出库单!$D$4:$D$4003,$A281,出库单!$K$4:$K$4003,"盘亏",出库单!$C$4:$C$4003,"&gt;="&amp;账期起,出库单!$C$4:$C$4003,"&lt;="&amp;账期止)&gt;0,"已调账","※差异还没调账")))</f>
        <v/>
      </c>
      <c r="Q281" s="17" t="n"/>
      <c r="R281" s="17" t="n"/>
    </row>
    <row r="282">
      <c r="A282" s="24">
        <f>IF(库存台账!$A282="","",库存台账!$A282)</f>
        <v/>
      </c>
      <c r="B282" s="24">
        <f>IF($A282="","",库存台账!$B282)</f>
        <v/>
      </c>
      <c r="C282" s="24">
        <f>IF($A282="","",库存台账!$C282)</f>
        <v/>
      </c>
      <c r="D282" s="24">
        <f>IF($A282="","",库存台账!$D282)</f>
        <v/>
      </c>
      <c r="E282" s="24">
        <f>IF($A282="","",库存台账!$E282)</f>
        <v/>
      </c>
      <c r="F282" s="24">
        <f>IF($A282="","",库存台账!$F282)</f>
        <v/>
      </c>
      <c r="G282" s="17" t="n"/>
      <c r="H282" s="23" t="n"/>
      <c r="I282" s="27">
        <f>IF($A282="","",库存台账!$X282)</f>
        <v/>
      </c>
      <c r="J282" s="27">
        <f>IF(OR($A282="",$H282=""),"",ROUND($H282-$I282,3))</f>
        <v/>
      </c>
      <c r="K282" s="26">
        <f>IF($A282="","",库存台账!$K282)</f>
        <v/>
      </c>
      <c r="L282" s="26">
        <f>IF($J282="","",ROUND($J282*$K282,0))</f>
        <v/>
      </c>
      <c r="M282" s="37">
        <f>IF(OR($J282="",$I282=0),"",ROUND($J282/$I282,4))</f>
        <v/>
      </c>
      <c r="N282" s="17" t="n"/>
      <c r="O282" s="17" t="n"/>
      <c r="P282" s="24">
        <f>IF($J282="","未盘",IF(ROUND($J282,3)=0,"账实相符",IF(COUNTIFS(入库单!$G$4:$G$2503,$A282,入库单!$X$4:$X$2503,"盘盈",入库单!$C$4:$C$2503,"&gt;="&amp;账期起,入库单!$C$4:$C$2503,"&lt;="&amp;账期止)+COUNTIFS(出库单!$D$4:$D$4003,$A282,出库单!$K$4:$K$4003,"盘亏",出库单!$C$4:$C$4003,"&gt;="&amp;账期起,出库单!$C$4:$C$4003,"&lt;="&amp;账期止)&gt;0,"已调账","※差异还没调账")))</f>
        <v/>
      </c>
      <c r="Q282" s="17" t="n"/>
      <c r="R282" s="17" t="n"/>
    </row>
    <row r="283">
      <c r="A283" s="24">
        <f>IF(库存台账!$A283="","",库存台账!$A283)</f>
        <v/>
      </c>
      <c r="B283" s="24">
        <f>IF($A283="","",库存台账!$B283)</f>
        <v/>
      </c>
      <c r="C283" s="24">
        <f>IF($A283="","",库存台账!$C283)</f>
        <v/>
      </c>
      <c r="D283" s="24">
        <f>IF($A283="","",库存台账!$D283)</f>
        <v/>
      </c>
      <c r="E283" s="24">
        <f>IF($A283="","",库存台账!$E283)</f>
        <v/>
      </c>
      <c r="F283" s="24">
        <f>IF($A283="","",库存台账!$F283)</f>
        <v/>
      </c>
      <c r="G283" s="17" t="n"/>
      <c r="H283" s="23" t="n"/>
      <c r="I283" s="27">
        <f>IF($A283="","",库存台账!$X283)</f>
        <v/>
      </c>
      <c r="J283" s="27">
        <f>IF(OR($A283="",$H283=""),"",ROUND($H283-$I283,3))</f>
        <v/>
      </c>
      <c r="K283" s="26">
        <f>IF($A283="","",库存台账!$K283)</f>
        <v/>
      </c>
      <c r="L283" s="26">
        <f>IF($J283="","",ROUND($J283*$K283,0))</f>
        <v/>
      </c>
      <c r="M283" s="37">
        <f>IF(OR($J283="",$I283=0),"",ROUND($J283/$I283,4))</f>
        <v/>
      </c>
      <c r="N283" s="17" t="n"/>
      <c r="O283" s="17" t="n"/>
      <c r="P283" s="24">
        <f>IF($J283="","未盘",IF(ROUND($J283,3)=0,"账实相符",IF(COUNTIFS(入库单!$G$4:$G$2503,$A283,入库单!$X$4:$X$2503,"盘盈",入库单!$C$4:$C$2503,"&gt;="&amp;账期起,入库单!$C$4:$C$2503,"&lt;="&amp;账期止)+COUNTIFS(出库单!$D$4:$D$4003,$A283,出库单!$K$4:$K$4003,"盘亏",出库单!$C$4:$C$4003,"&gt;="&amp;账期起,出库单!$C$4:$C$4003,"&lt;="&amp;账期止)&gt;0,"已调账","※差异还没调账")))</f>
        <v/>
      </c>
      <c r="Q283" s="17" t="n"/>
      <c r="R283" s="17" t="n"/>
    </row>
    <row r="284">
      <c r="A284" s="24">
        <f>IF(库存台账!$A284="","",库存台账!$A284)</f>
        <v/>
      </c>
      <c r="B284" s="24">
        <f>IF($A284="","",库存台账!$B284)</f>
        <v/>
      </c>
      <c r="C284" s="24">
        <f>IF($A284="","",库存台账!$C284)</f>
        <v/>
      </c>
      <c r="D284" s="24">
        <f>IF($A284="","",库存台账!$D284)</f>
        <v/>
      </c>
      <c r="E284" s="24">
        <f>IF($A284="","",库存台账!$E284)</f>
        <v/>
      </c>
      <c r="F284" s="24">
        <f>IF($A284="","",库存台账!$F284)</f>
        <v/>
      </c>
      <c r="G284" s="17" t="n"/>
      <c r="H284" s="23" t="n"/>
      <c r="I284" s="27">
        <f>IF($A284="","",库存台账!$X284)</f>
        <v/>
      </c>
      <c r="J284" s="27">
        <f>IF(OR($A284="",$H284=""),"",ROUND($H284-$I284,3))</f>
        <v/>
      </c>
      <c r="K284" s="26">
        <f>IF($A284="","",库存台账!$K284)</f>
        <v/>
      </c>
      <c r="L284" s="26">
        <f>IF($J284="","",ROUND($J284*$K284,0))</f>
        <v/>
      </c>
      <c r="M284" s="37">
        <f>IF(OR($J284="",$I284=0),"",ROUND($J284/$I284,4))</f>
        <v/>
      </c>
      <c r="N284" s="17" t="n"/>
      <c r="O284" s="17" t="n"/>
      <c r="P284" s="24">
        <f>IF($J284="","未盘",IF(ROUND($J284,3)=0,"账实相符",IF(COUNTIFS(入库单!$G$4:$G$2503,$A284,入库单!$X$4:$X$2503,"盘盈",入库单!$C$4:$C$2503,"&gt;="&amp;账期起,入库单!$C$4:$C$2503,"&lt;="&amp;账期止)+COUNTIFS(出库单!$D$4:$D$4003,$A284,出库单!$K$4:$K$4003,"盘亏",出库单!$C$4:$C$4003,"&gt;="&amp;账期起,出库单!$C$4:$C$4003,"&lt;="&amp;账期止)&gt;0,"已调账","※差异还没调账")))</f>
        <v/>
      </c>
      <c r="Q284" s="17" t="n"/>
      <c r="R284" s="17" t="n"/>
    </row>
    <row r="285">
      <c r="A285" s="24">
        <f>IF(库存台账!$A285="","",库存台账!$A285)</f>
        <v/>
      </c>
      <c r="B285" s="24">
        <f>IF($A285="","",库存台账!$B285)</f>
        <v/>
      </c>
      <c r="C285" s="24">
        <f>IF($A285="","",库存台账!$C285)</f>
        <v/>
      </c>
      <c r="D285" s="24">
        <f>IF($A285="","",库存台账!$D285)</f>
        <v/>
      </c>
      <c r="E285" s="24">
        <f>IF($A285="","",库存台账!$E285)</f>
        <v/>
      </c>
      <c r="F285" s="24">
        <f>IF($A285="","",库存台账!$F285)</f>
        <v/>
      </c>
      <c r="G285" s="17" t="n"/>
      <c r="H285" s="23" t="n"/>
      <c r="I285" s="27">
        <f>IF($A285="","",库存台账!$X285)</f>
        <v/>
      </c>
      <c r="J285" s="27">
        <f>IF(OR($A285="",$H285=""),"",ROUND($H285-$I285,3))</f>
        <v/>
      </c>
      <c r="K285" s="26">
        <f>IF($A285="","",库存台账!$K285)</f>
        <v/>
      </c>
      <c r="L285" s="26">
        <f>IF($J285="","",ROUND($J285*$K285,0))</f>
        <v/>
      </c>
      <c r="M285" s="37">
        <f>IF(OR($J285="",$I285=0),"",ROUND($J285/$I285,4))</f>
        <v/>
      </c>
      <c r="N285" s="17" t="n"/>
      <c r="O285" s="17" t="n"/>
      <c r="P285" s="24">
        <f>IF($J285="","未盘",IF(ROUND($J285,3)=0,"账实相符",IF(COUNTIFS(入库单!$G$4:$G$2503,$A285,入库单!$X$4:$X$2503,"盘盈",入库单!$C$4:$C$2503,"&gt;="&amp;账期起,入库单!$C$4:$C$2503,"&lt;="&amp;账期止)+COUNTIFS(出库单!$D$4:$D$4003,$A285,出库单!$K$4:$K$4003,"盘亏",出库单!$C$4:$C$4003,"&gt;="&amp;账期起,出库单!$C$4:$C$4003,"&lt;="&amp;账期止)&gt;0,"已调账","※差异还没调账")))</f>
        <v/>
      </c>
      <c r="Q285" s="17" t="n"/>
      <c r="R285" s="17" t="n"/>
    </row>
    <row r="286">
      <c r="A286" s="24">
        <f>IF(库存台账!$A286="","",库存台账!$A286)</f>
        <v/>
      </c>
      <c r="B286" s="24">
        <f>IF($A286="","",库存台账!$B286)</f>
        <v/>
      </c>
      <c r="C286" s="24">
        <f>IF($A286="","",库存台账!$C286)</f>
        <v/>
      </c>
      <c r="D286" s="24">
        <f>IF($A286="","",库存台账!$D286)</f>
        <v/>
      </c>
      <c r="E286" s="24">
        <f>IF($A286="","",库存台账!$E286)</f>
        <v/>
      </c>
      <c r="F286" s="24">
        <f>IF($A286="","",库存台账!$F286)</f>
        <v/>
      </c>
      <c r="G286" s="17" t="n"/>
      <c r="H286" s="23" t="n"/>
      <c r="I286" s="27">
        <f>IF($A286="","",库存台账!$X286)</f>
        <v/>
      </c>
      <c r="J286" s="27">
        <f>IF(OR($A286="",$H286=""),"",ROUND($H286-$I286,3))</f>
        <v/>
      </c>
      <c r="K286" s="26">
        <f>IF($A286="","",库存台账!$K286)</f>
        <v/>
      </c>
      <c r="L286" s="26">
        <f>IF($J286="","",ROUND($J286*$K286,0))</f>
        <v/>
      </c>
      <c r="M286" s="37">
        <f>IF(OR($J286="",$I286=0),"",ROUND($J286/$I286,4))</f>
        <v/>
      </c>
      <c r="N286" s="17" t="n"/>
      <c r="O286" s="17" t="n"/>
      <c r="P286" s="24">
        <f>IF($J286="","未盘",IF(ROUND($J286,3)=0,"账实相符",IF(COUNTIFS(入库单!$G$4:$G$2503,$A286,入库单!$X$4:$X$2503,"盘盈",入库单!$C$4:$C$2503,"&gt;="&amp;账期起,入库单!$C$4:$C$2503,"&lt;="&amp;账期止)+COUNTIFS(出库单!$D$4:$D$4003,$A286,出库单!$K$4:$K$4003,"盘亏",出库单!$C$4:$C$4003,"&gt;="&amp;账期起,出库单!$C$4:$C$4003,"&lt;="&amp;账期止)&gt;0,"已调账","※差异还没调账")))</f>
        <v/>
      </c>
      <c r="Q286" s="17" t="n"/>
      <c r="R286" s="17" t="n"/>
    </row>
    <row r="287">
      <c r="A287" s="24">
        <f>IF(库存台账!$A287="","",库存台账!$A287)</f>
        <v/>
      </c>
      <c r="B287" s="24">
        <f>IF($A287="","",库存台账!$B287)</f>
        <v/>
      </c>
      <c r="C287" s="24">
        <f>IF($A287="","",库存台账!$C287)</f>
        <v/>
      </c>
      <c r="D287" s="24">
        <f>IF($A287="","",库存台账!$D287)</f>
        <v/>
      </c>
      <c r="E287" s="24">
        <f>IF($A287="","",库存台账!$E287)</f>
        <v/>
      </c>
      <c r="F287" s="24">
        <f>IF($A287="","",库存台账!$F287)</f>
        <v/>
      </c>
      <c r="G287" s="17" t="n"/>
      <c r="H287" s="23" t="n"/>
      <c r="I287" s="27">
        <f>IF($A287="","",库存台账!$X287)</f>
        <v/>
      </c>
      <c r="J287" s="27">
        <f>IF(OR($A287="",$H287=""),"",ROUND($H287-$I287,3))</f>
        <v/>
      </c>
      <c r="K287" s="26">
        <f>IF($A287="","",库存台账!$K287)</f>
        <v/>
      </c>
      <c r="L287" s="26">
        <f>IF($J287="","",ROUND($J287*$K287,0))</f>
        <v/>
      </c>
      <c r="M287" s="37">
        <f>IF(OR($J287="",$I287=0),"",ROUND($J287/$I287,4))</f>
        <v/>
      </c>
      <c r="N287" s="17" t="n"/>
      <c r="O287" s="17" t="n"/>
      <c r="P287" s="24">
        <f>IF($J287="","未盘",IF(ROUND($J287,3)=0,"账实相符",IF(COUNTIFS(入库单!$G$4:$G$2503,$A287,入库单!$X$4:$X$2503,"盘盈",入库单!$C$4:$C$2503,"&gt;="&amp;账期起,入库单!$C$4:$C$2503,"&lt;="&amp;账期止)+COUNTIFS(出库单!$D$4:$D$4003,$A287,出库单!$K$4:$K$4003,"盘亏",出库单!$C$4:$C$4003,"&gt;="&amp;账期起,出库单!$C$4:$C$4003,"&lt;="&amp;账期止)&gt;0,"已调账","※差异还没调账")))</f>
        <v/>
      </c>
      <c r="Q287" s="17" t="n"/>
      <c r="R287" s="17" t="n"/>
    </row>
    <row r="288">
      <c r="A288" s="24">
        <f>IF(库存台账!$A288="","",库存台账!$A288)</f>
        <v/>
      </c>
      <c r="B288" s="24">
        <f>IF($A288="","",库存台账!$B288)</f>
        <v/>
      </c>
      <c r="C288" s="24">
        <f>IF($A288="","",库存台账!$C288)</f>
        <v/>
      </c>
      <c r="D288" s="24">
        <f>IF($A288="","",库存台账!$D288)</f>
        <v/>
      </c>
      <c r="E288" s="24">
        <f>IF($A288="","",库存台账!$E288)</f>
        <v/>
      </c>
      <c r="F288" s="24">
        <f>IF($A288="","",库存台账!$F288)</f>
        <v/>
      </c>
      <c r="G288" s="17" t="n"/>
      <c r="H288" s="23" t="n"/>
      <c r="I288" s="27">
        <f>IF($A288="","",库存台账!$X288)</f>
        <v/>
      </c>
      <c r="J288" s="27">
        <f>IF(OR($A288="",$H288=""),"",ROUND($H288-$I288,3))</f>
        <v/>
      </c>
      <c r="K288" s="26">
        <f>IF($A288="","",库存台账!$K288)</f>
        <v/>
      </c>
      <c r="L288" s="26">
        <f>IF($J288="","",ROUND($J288*$K288,0))</f>
        <v/>
      </c>
      <c r="M288" s="37">
        <f>IF(OR($J288="",$I288=0),"",ROUND($J288/$I288,4))</f>
        <v/>
      </c>
      <c r="N288" s="17" t="n"/>
      <c r="O288" s="17" t="n"/>
      <c r="P288" s="24">
        <f>IF($J288="","未盘",IF(ROUND($J288,3)=0,"账实相符",IF(COUNTIFS(入库单!$G$4:$G$2503,$A288,入库单!$X$4:$X$2503,"盘盈",入库单!$C$4:$C$2503,"&gt;="&amp;账期起,入库单!$C$4:$C$2503,"&lt;="&amp;账期止)+COUNTIFS(出库单!$D$4:$D$4003,$A288,出库单!$K$4:$K$4003,"盘亏",出库单!$C$4:$C$4003,"&gt;="&amp;账期起,出库单!$C$4:$C$4003,"&lt;="&amp;账期止)&gt;0,"已调账","※差异还没调账")))</f>
        <v/>
      </c>
      <c r="Q288" s="17" t="n"/>
      <c r="R288" s="17" t="n"/>
    </row>
    <row r="289">
      <c r="A289" s="24">
        <f>IF(库存台账!$A289="","",库存台账!$A289)</f>
        <v/>
      </c>
      <c r="B289" s="24">
        <f>IF($A289="","",库存台账!$B289)</f>
        <v/>
      </c>
      <c r="C289" s="24">
        <f>IF($A289="","",库存台账!$C289)</f>
        <v/>
      </c>
      <c r="D289" s="24">
        <f>IF($A289="","",库存台账!$D289)</f>
        <v/>
      </c>
      <c r="E289" s="24">
        <f>IF($A289="","",库存台账!$E289)</f>
        <v/>
      </c>
      <c r="F289" s="24">
        <f>IF($A289="","",库存台账!$F289)</f>
        <v/>
      </c>
      <c r="G289" s="17" t="n"/>
      <c r="H289" s="23" t="n"/>
      <c r="I289" s="27">
        <f>IF($A289="","",库存台账!$X289)</f>
        <v/>
      </c>
      <c r="J289" s="27">
        <f>IF(OR($A289="",$H289=""),"",ROUND($H289-$I289,3))</f>
        <v/>
      </c>
      <c r="K289" s="26">
        <f>IF($A289="","",库存台账!$K289)</f>
        <v/>
      </c>
      <c r="L289" s="26">
        <f>IF($J289="","",ROUND($J289*$K289,0))</f>
        <v/>
      </c>
      <c r="M289" s="37">
        <f>IF(OR($J289="",$I289=0),"",ROUND($J289/$I289,4))</f>
        <v/>
      </c>
      <c r="N289" s="17" t="n"/>
      <c r="O289" s="17" t="n"/>
      <c r="P289" s="24">
        <f>IF($J289="","未盘",IF(ROUND($J289,3)=0,"账实相符",IF(COUNTIFS(入库单!$G$4:$G$2503,$A289,入库单!$X$4:$X$2503,"盘盈",入库单!$C$4:$C$2503,"&gt;="&amp;账期起,入库单!$C$4:$C$2503,"&lt;="&amp;账期止)+COUNTIFS(出库单!$D$4:$D$4003,$A289,出库单!$K$4:$K$4003,"盘亏",出库单!$C$4:$C$4003,"&gt;="&amp;账期起,出库单!$C$4:$C$4003,"&lt;="&amp;账期止)&gt;0,"已调账","※差异还没调账")))</f>
        <v/>
      </c>
      <c r="Q289" s="17" t="n"/>
      <c r="R289" s="17" t="n"/>
    </row>
    <row r="290">
      <c r="A290" s="24">
        <f>IF(库存台账!$A290="","",库存台账!$A290)</f>
        <v/>
      </c>
      <c r="B290" s="24">
        <f>IF($A290="","",库存台账!$B290)</f>
        <v/>
      </c>
      <c r="C290" s="24">
        <f>IF($A290="","",库存台账!$C290)</f>
        <v/>
      </c>
      <c r="D290" s="24">
        <f>IF($A290="","",库存台账!$D290)</f>
        <v/>
      </c>
      <c r="E290" s="24">
        <f>IF($A290="","",库存台账!$E290)</f>
        <v/>
      </c>
      <c r="F290" s="24">
        <f>IF($A290="","",库存台账!$F290)</f>
        <v/>
      </c>
      <c r="G290" s="17" t="n"/>
      <c r="H290" s="23" t="n"/>
      <c r="I290" s="27">
        <f>IF($A290="","",库存台账!$X290)</f>
        <v/>
      </c>
      <c r="J290" s="27">
        <f>IF(OR($A290="",$H290=""),"",ROUND($H290-$I290,3))</f>
        <v/>
      </c>
      <c r="K290" s="26">
        <f>IF($A290="","",库存台账!$K290)</f>
        <v/>
      </c>
      <c r="L290" s="26">
        <f>IF($J290="","",ROUND($J290*$K290,0))</f>
        <v/>
      </c>
      <c r="M290" s="37">
        <f>IF(OR($J290="",$I290=0),"",ROUND($J290/$I290,4))</f>
        <v/>
      </c>
      <c r="N290" s="17" t="n"/>
      <c r="O290" s="17" t="n"/>
      <c r="P290" s="24">
        <f>IF($J290="","未盘",IF(ROUND($J290,3)=0,"账实相符",IF(COUNTIFS(入库单!$G$4:$G$2503,$A290,入库单!$X$4:$X$2503,"盘盈",入库单!$C$4:$C$2503,"&gt;="&amp;账期起,入库单!$C$4:$C$2503,"&lt;="&amp;账期止)+COUNTIFS(出库单!$D$4:$D$4003,$A290,出库单!$K$4:$K$4003,"盘亏",出库单!$C$4:$C$4003,"&gt;="&amp;账期起,出库单!$C$4:$C$4003,"&lt;="&amp;账期止)&gt;0,"已调账","※差异还没调账")))</f>
        <v/>
      </c>
      <c r="Q290" s="17" t="n"/>
      <c r="R290" s="17" t="n"/>
    </row>
    <row r="291">
      <c r="A291" s="24">
        <f>IF(库存台账!$A291="","",库存台账!$A291)</f>
        <v/>
      </c>
      <c r="B291" s="24">
        <f>IF($A291="","",库存台账!$B291)</f>
        <v/>
      </c>
      <c r="C291" s="24">
        <f>IF($A291="","",库存台账!$C291)</f>
        <v/>
      </c>
      <c r="D291" s="24">
        <f>IF($A291="","",库存台账!$D291)</f>
        <v/>
      </c>
      <c r="E291" s="24">
        <f>IF($A291="","",库存台账!$E291)</f>
        <v/>
      </c>
      <c r="F291" s="24">
        <f>IF($A291="","",库存台账!$F291)</f>
        <v/>
      </c>
      <c r="G291" s="17" t="n"/>
      <c r="H291" s="23" t="n"/>
      <c r="I291" s="27">
        <f>IF($A291="","",库存台账!$X291)</f>
        <v/>
      </c>
      <c r="J291" s="27">
        <f>IF(OR($A291="",$H291=""),"",ROUND($H291-$I291,3))</f>
        <v/>
      </c>
      <c r="K291" s="26">
        <f>IF($A291="","",库存台账!$K291)</f>
        <v/>
      </c>
      <c r="L291" s="26">
        <f>IF($J291="","",ROUND($J291*$K291,0))</f>
        <v/>
      </c>
      <c r="M291" s="37">
        <f>IF(OR($J291="",$I291=0),"",ROUND($J291/$I291,4))</f>
        <v/>
      </c>
      <c r="N291" s="17" t="n"/>
      <c r="O291" s="17" t="n"/>
      <c r="P291" s="24">
        <f>IF($J291="","未盘",IF(ROUND($J291,3)=0,"账实相符",IF(COUNTIFS(入库单!$G$4:$G$2503,$A291,入库单!$X$4:$X$2503,"盘盈",入库单!$C$4:$C$2503,"&gt;="&amp;账期起,入库单!$C$4:$C$2503,"&lt;="&amp;账期止)+COUNTIFS(出库单!$D$4:$D$4003,$A291,出库单!$K$4:$K$4003,"盘亏",出库单!$C$4:$C$4003,"&gt;="&amp;账期起,出库单!$C$4:$C$4003,"&lt;="&amp;账期止)&gt;0,"已调账","※差异还没调账")))</f>
        <v/>
      </c>
      <c r="Q291" s="17" t="n"/>
      <c r="R291" s="17" t="n"/>
    </row>
    <row r="292">
      <c r="A292" s="24">
        <f>IF(库存台账!$A292="","",库存台账!$A292)</f>
        <v/>
      </c>
      <c r="B292" s="24">
        <f>IF($A292="","",库存台账!$B292)</f>
        <v/>
      </c>
      <c r="C292" s="24">
        <f>IF($A292="","",库存台账!$C292)</f>
        <v/>
      </c>
      <c r="D292" s="24">
        <f>IF($A292="","",库存台账!$D292)</f>
        <v/>
      </c>
      <c r="E292" s="24">
        <f>IF($A292="","",库存台账!$E292)</f>
        <v/>
      </c>
      <c r="F292" s="24">
        <f>IF($A292="","",库存台账!$F292)</f>
        <v/>
      </c>
      <c r="G292" s="17" t="n"/>
      <c r="H292" s="23" t="n"/>
      <c r="I292" s="27">
        <f>IF($A292="","",库存台账!$X292)</f>
        <v/>
      </c>
      <c r="J292" s="27">
        <f>IF(OR($A292="",$H292=""),"",ROUND($H292-$I292,3))</f>
        <v/>
      </c>
      <c r="K292" s="26">
        <f>IF($A292="","",库存台账!$K292)</f>
        <v/>
      </c>
      <c r="L292" s="26">
        <f>IF($J292="","",ROUND($J292*$K292,0))</f>
        <v/>
      </c>
      <c r="M292" s="37">
        <f>IF(OR($J292="",$I292=0),"",ROUND($J292/$I292,4))</f>
        <v/>
      </c>
      <c r="N292" s="17" t="n"/>
      <c r="O292" s="17" t="n"/>
      <c r="P292" s="24">
        <f>IF($J292="","未盘",IF(ROUND($J292,3)=0,"账实相符",IF(COUNTIFS(入库单!$G$4:$G$2503,$A292,入库单!$X$4:$X$2503,"盘盈",入库单!$C$4:$C$2503,"&gt;="&amp;账期起,入库单!$C$4:$C$2503,"&lt;="&amp;账期止)+COUNTIFS(出库单!$D$4:$D$4003,$A292,出库单!$K$4:$K$4003,"盘亏",出库单!$C$4:$C$4003,"&gt;="&amp;账期起,出库单!$C$4:$C$4003,"&lt;="&amp;账期止)&gt;0,"已调账","※差异还没调账")))</f>
        <v/>
      </c>
      <c r="Q292" s="17" t="n"/>
      <c r="R292" s="17" t="n"/>
    </row>
    <row r="293">
      <c r="A293" s="24">
        <f>IF(库存台账!$A293="","",库存台账!$A293)</f>
        <v/>
      </c>
      <c r="B293" s="24">
        <f>IF($A293="","",库存台账!$B293)</f>
        <v/>
      </c>
      <c r="C293" s="24">
        <f>IF($A293="","",库存台账!$C293)</f>
        <v/>
      </c>
      <c r="D293" s="24">
        <f>IF($A293="","",库存台账!$D293)</f>
        <v/>
      </c>
      <c r="E293" s="24">
        <f>IF($A293="","",库存台账!$E293)</f>
        <v/>
      </c>
      <c r="F293" s="24">
        <f>IF($A293="","",库存台账!$F293)</f>
        <v/>
      </c>
      <c r="G293" s="17" t="n"/>
      <c r="H293" s="23" t="n"/>
      <c r="I293" s="27">
        <f>IF($A293="","",库存台账!$X293)</f>
        <v/>
      </c>
      <c r="J293" s="27">
        <f>IF(OR($A293="",$H293=""),"",ROUND($H293-$I293,3))</f>
        <v/>
      </c>
      <c r="K293" s="26">
        <f>IF($A293="","",库存台账!$K293)</f>
        <v/>
      </c>
      <c r="L293" s="26">
        <f>IF($J293="","",ROUND($J293*$K293,0))</f>
        <v/>
      </c>
      <c r="M293" s="37">
        <f>IF(OR($J293="",$I293=0),"",ROUND($J293/$I293,4))</f>
        <v/>
      </c>
      <c r="N293" s="17" t="n"/>
      <c r="O293" s="17" t="n"/>
      <c r="P293" s="24">
        <f>IF($J293="","未盘",IF(ROUND($J293,3)=0,"账实相符",IF(COUNTIFS(入库单!$G$4:$G$2503,$A293,入库单!$X$4:$X$2503,"盘盈",入库单!$C$4:$C$2503,"&gt;="&amp;账期起,入库单!$C$4:$C$2503,"&lt;="&amp;账期止)+COUNTIFS(出库单!$D$4:$D$4003,$A293,出库单!$K$4:$K$4003,"盘亏",出库单!$C$4:$C$4003,"&gt;="&amp;账期起,出库单!$C$4:$C$4003,"&lt;="&amp;账期止)&gt;0,"已调账","※差异还没调账")))</f>
        <v/>
      </c>
      <c r="Q293" s="17" t="n"/>
      <c r="R293" s="17" t="n"/>
    </row>
    <row r="294">
      <c r="A294" s="24">
        <f>IF(库存台账!$A294="","",库存台账!$A294)</f>
        <v/>
      </c>
      <c r="B294" s="24">
        <f>IF($A294="","",库存台账!$B294)</f>
        <v/>
      </c>
      <c r="C294" s="24">
        <f>IF($A294="","",库存台账!$C294)</f>
        <v/>
      </c>
      <c r="D294" s="24">
        <f>IF($A294="","",库存台账!$D294)</f>
        <v/>
      </c>
      <c r="E294" s="24">
        <f>IF($A294="","",库存台账!$E294)</f>
        <v/>
      </c>
      <c r="F294" s="24">
        <f>IF($A294="","",库存台账!$F294)</f>
        <v/>
      </c>
      <c r="G294" s="17" t="n"/>
      <c r="H294" s="23" t="n"/>
      <c r="I294" s="27">
        <f>IF($A294="","",库存台账!$X294)</f>
        <v/>
      </c>
      <c r="J294" s="27">
        <f>IF(OR($A294="",$H294=""),"",ROUND($H294-$I294,3))</f>
        <v/>
      </c>
      <c r="K294" s="26">
        <f>IF($A294="","",库存台账!$K294)</f>
        <v/>
      </c>
      <c r="L294" s="26">
        <f>IF($J294="","",ROUND($J294*$K294,0))</f>
        <v/>
      </c>
      <c r="M294" s="37">
        <f>IF(OR($J294="",$I294=0),"",ROUND($J294/$I294,4))</f>
        <v/>
      </c>
      <c r="N294" s="17" t="n"/>
      <c r="O294" s="17" t="n"/>
      <c r="P294" s="24">
        <f>IF($J294="","未盘",IF(ROUND($J294,3)=0,"账实相符",IF(COUNTIFS(入库单!$G$4:$G$2503,$A294,入库单!$X$4:$X$2503,"盘盈",入库单!$C$4:$C$2503,"&gt;="&amp;账期起,入库单!$C$4:$C$2503,"&lt;="&amp;账期止)+COUNTIFS(出库单!$D$4:$D$4003,$A294,出库单!$K$4:$K$4003,"盘亏",出库单!$C$4:$C$4003,"&gt;="&amp;账期起,出库单!$C$4:$C$4003,"&lt;="&amp;账期止)&gt;0,"已调账","※差异还没调账")))</f>
        <v/>
      </c>
      <c r="Q294" s="17" t="n"/>
      <c r="R294" s="17" t="n"/>
    </row>
    <row r="295">
      <c r="A295" s="24">
        <f>IF(库存台账!$A295="","",库存台账!$A295)</f>
        <v/>
      </c>
      <c r="B295" s="24">
        <f>IF($A295="","",库存台账!$B295)</f>
        <v/>
      </c>
      <c r="C295" s="24">
        <f>IF($A295="","",库存台账!$C295)</f>
        <v/>
      </c>
      <c r="D295" s="24">
        <f>IF($A295="","",库存台账!$D295)</f>
        <v/>
      </c>
      <c r="E295" s="24">
        <f>IF($A295="","",库存台账!$E295)</f>
        <v/>
      </c>
      <c r="F295" s="24">
        <f>IF($A295="","",库存台账!$F295)</f>
        <v/>
      </c>
      <c r="G295" s="17" t="n"/>
      <c r="H295" s="23" t="n"/>
      <c r="I295" s="27">
        <f>IF($A295="","",库存台账!$X295)</f>
        <v/>
      </c>
      <c r="J295" s="27">
        <f>IF(OR($A295="",$H295=""),"",ROUND($H295-$I295,3))</f>
        <v/>
      </c>
      <c r="K295" s="26">
        <f>IF($A295="","",库存台账!$K295)</f>
        <v/>
      </c>
      <c r="L295" s="26">
        <f>IF($J295="","",ROUND($J295*$K295,0))</f>
        <v/>
      </c>
      <c r="M295" s="37">
        <f>IF(OR($J295="",$I295=0),"",ROUND($J295/$I295,4))</f>
        <v/>
      </c>
      <c r="N295" s="17" t="n"/>
      <c r="O295" s="17" t="n"/>
      <c r="P295" s="24">
        <f>IF($J295="","未盘",IF(ROUND($J295,3)=0,"账实相符",IF(COUNTIFS(入库单!$G$4:$G$2503,$A295,入库单!$X$4:$X$2503,"盘盈",入库单!$C$4:$C$2503,"&gt;="&amp;账期起,入库单!$C$4:$C$2503,"&lt;="&amp;账期止)+COUNTIFS(出库单!$D$4:$D$4003,$A295,出库单!$K$4:$K$4003,"盘亏",出库单!$C$4:$C$4003,"&gt;="&amp;账期起,出库单!$C$4:$C$4003,"&lt;="&amp;账期止)&gt;0,"已调账","※差异还没调账")))</f>
        <v/>
      </c>
      <c r="Q295" s="17" t="n"/>
      <c r="R295" s="17" t="n"/>
    </row>
    <row r="296">
      <c r="A296" s="24">
        <f>IF(库存台账!$A296="","",库存台账!$A296)</f>
        <v/>
      </c>
      <c r="B296" s="24">
        <f>IF($A296="","",库存台账!$B296)</f>
        <v/>
      </c>
      <c r="C296" s="24">
        <f>IF($A296="","",库存台账!$C296)</f>
        <v/>
      </c>
      <c r="D296" s="24">
        <f>IF($A296="","",库存台账!$D296)</f>
        <v/>
      </c>
      <c r="E296" s="24">
        <f>IF($A296="","",库存台账!$E296)</f>
        <v/>
      </c>
      <c r="F296" s="24">
        <f>IF($A296="","",库存台账!$F296)</f>
        <v/>
      </c>
      <c r="G296" s="17" t="n"/>
      <c r="H296" s="23" t="n"/>
      <c r="I296" s="27">
        <f>IF($A296="","",库存台账!$X296)</f>
        <v/>
      </c>
      <c r="J296" s="27">
        <f>IF(OR($A296="",$H296=""),"",ROUND($H296-$I296,3))</f>
        <v/>
      </c>
      <c r="K296" s="26">
        <f>IF($A296="","",库存台账!$K296)</f>
        <v/>
      </c>
      <c r="L296" s="26">
        <f>IF($J296="","",ROUND($J296*$K296,0))</f>
        <v/>
      </c>
      <c r="M296" s="37">
        <f>IF(OR($J296="",$I296=0),"",ROUND($J296/$I296,4))</f>
        <v/>
      </c>
      <c r="N296" s="17" t="n"/>
      <c r="O296" s="17" t="n"/>
      <c r="P296" s="24">
        <f>IF($J296="","未盘",IF(ROUND($J296,3)=0,"账实相符",IF(COUNTIFS(入库单!$G$4:$G$2503,$A296,入库单!$X$4:$X$2503,"盘盈",入库单!$C$4:$C$2503,"&gt;="&amp;账期起,入库单!$C$4:$C$2503,"&lt;="&amp;账期止)+COUNTIFS(出库单!$D$4:$D$4003,$A296,出库单!$K$4:$K$4003,"盘亏",出库单!$C$4:$C$4003,"&gt;="&amp;账期起,出库单!$C$4:$C$4003,"&lt;="&amp;账期止)&gt;0,"已调账","※差异还没调账")))</f>
        <v/>
      </c>
      <c r="Q296" s="17" t="n"/>
      <c r="R296" s="17" t="n"/>
    </row>
    <row r="297">
      <c r="A297" s="24">
        <f>IF(库存台账!$A297="","",库存台账!$A297)</f>
        <v/>
      </c>
      <c r="B297" s="24">
        <f>IF($A297="","",库存台账!$B297)</f>
        <v/>
      </c>
      <c r="C297" s="24">
        <f>IF($A297="","",库存台账!$C297)</f>
        <v/>
      </c>
      <c r="D297" s="24">
        <f>IF($A297="","",库存台账!$D297)</f>
        <v/>
      </c>
      <c r="E297" s="24">
        <f>IF($A297="","",库存台账!$E297)</f>
        <v/>
      </c>
      <c r="F297" s="24">
        <f>IF($A297="","",库存台账!$F297)</f>
        <v/>
      </c>
      <c r="G297" s="17" t="n"/>
      <c r="H297" s="23" t="n"/>
      <c r="I297" s="27">
        <f>IF($A297="","",库存台账!$X297)</f>
        <v/>
      </c>
      <c r="J297" s="27">
        <f>IF(OR($A297="",$H297=""),"",ROUND($H297-$I297,3))</f>
        <v/>
      </c>
      <c r="K297" s="26">
        <f>IF($A297="","",库存台账!$K297)</f>
        <v/>
      </c>
      <c r="L297" s="26">
        <f>IF($J297="","",ROUND($J297*$K297,0))</f>
        <v/>
      </c>
      <c r="M297" s="37">
        <f>IF(OR($J297="",$I297=0),"",ROUND($J297/$I297,4))</f>
        <v/>
      </c>
      <c r="N297" s="17" t="n"/>
      <c r="O297" s="17" t="n"/>
      <c r="P297" s="24">
        <f>IF($J297="","未盘",IF(ROUND($J297,3)=0,"账实相符",IF(COUNTIFS(入库单!$G$4:$G$2503,$A297,入库单!$X$4:$X$2503,"盘盈",入库单!$C$4:$C$2503,"&gt;="&amp;账期起,入库单!$C$4:$C$2503,"&lt;="&amp;账期止)+COUNTIFS(出库单!$D$4:$D$4003,$A297,出库单!$K$4:$K$4003,"盘亏",出库单!$C$4:$C$4003,"&gt;="&amp;账期起,出库单!$C$4:$C$4003,"&lt;="&amp;账期止)&gt;0,"已调账","※差异还没调账")))</f>
        <v/>
      </c>
      <c r="Q297" s="17" t="n"/>
      <c r="R297" s="17" t="n"/>
    </row>
    <row r="298">
      <c r="A298" s="24">
        <f>IF(库存台账!$A298="","",库存台账!$A298)</f>
        <v/>
      </c>
      <c r="B298" s="24">
        <f>IF($A298="","",库存台账!$B298)</f>
        <v/>
      </c>
      <c r="C298" s="24">
        <f>IF($A298="","",库存台账!$C298)</f>
        <v/>
      </c>
      <c r="D298" s="24">
        <f>IF($A298="","",库存台账!$D298)</f>
        <v/>
      </c>
      <c r="E298" s="24">
        <f>IF($A298="","",库存台账!$E298)</f>
        <v/>
      </c>
      <c r="F298" s="24">
        <f>IF($A298="","",库存台账!$F298)</f>
        <v/>
      </c>
      <c r="G298" s="17" t="n"/>
      <c r="H298" s="23" t="n"/>
      <c r="I298" s="27">
        <f>IF($A298="","",库存台账!$X298)</f>
        <v/>
      </c>
      <c r="J298" s="27">
        <f>IF(OR($A298="",$H298=""),"",ROUND($H298-$I298,3))</f>
        <v/>
      </c>
      <c r="K298" s="26">
        <f>IF($A298="","",库存台账!$K298)</f>
        <v/>
      </c>
      <c r="L298" s="26">
        <f>IF($J298="","",ROUND($J298*$K298,0))</f>
        <v/>
      </c>
      <c r="M298" s="37">
        <f>IF(OR($J298="",$I298=0),"",ROUND($J298/$I298,4))</f>
        <v/>
      </c>
      <c r="N298" s="17" t="n"/>
      <c r="O298" s="17" t="n"/>
      <c r="P298" s="24">
        <f>IF($J298="","未盘",IF(ROUND($J298,3)=0,"账实相符",IF(COUNTIFS(入库单!$G$4:$G$2503,$A298,入库单!$X$4:$X$2503,"盘盈",入库单!$C$4:$C$2503,"&gt;="&amp;账期起,入库单!$C$4:$C$2503,"&lt;="&amp;账期止)+COUNTIFS(出库单!$D$4:$D$4003,$A298,出库单!$K$4:$K$4003,"盘亏",出库单!$C$4:$C$4003,"&gt;="&amp;账期起,出库单!$C$4:$C$4003,"&lt;="&amp;账期止)&gt;0,"已调账","※差异还没调账")))</f>
        <v/>
      </c>
      <c r="Q298" s="17" t="n"/>
      <c r="R298" s="17" t="n"/>
    </row>
    <row r="299">
      <c r="A299" s="24">
        <f>IF(库存台账!$A299="","",库存台账!$A299)</f>
        <v/>
      </c>
      <c r="B299" s="24">
        <f>IF($A299="","",库存台账!$B299)</f>
        <v/>
      </c>
      <c r="C299" s="24">
        <f>IF($A299="","",库存台账!$C299)</f>
        <v/>
      </c>
      <c r="D299" s="24">
        <f>IF($A299="","",库存台账!$D299)</f>
        <v/>
      </c>
      <c r="E299" s="24">
        <f>IF($A299="","",库存台账!$E299)</f>
        <v/>
      </c>
      <c r="F299" s="24">
        <f>IF($A299="","",库存台账!$F299)</f>
        <v/>
      </c>
      <c r="G299" s="17" t="n"/>
      <c r="H299" s="23" t="n"/>
      <c r="I299" s="27">
        <f>IF($A299="","",库存台账!$X299)</f>
        <v/>
      </c>
      <c r="J299" s="27">
        <f>IF(OR($A299="",$H299=""),"",ROUND($H299-$I299,3))</f>
        <v/>
      </c>
      <c r="K299" s="26">
        <f>IF($A299="","",库存台账!$K299)</f>
        <v/>
      </c>
      <c r="L299" s="26">
        <f>IF($J299="","",ROUND($J299*$K299,0))</f>
        <v/>
      </c>
      <c r="M299" s="37">
        <f>IF(OR($J299="",$I299=0),"",ROUND($J299/$I299,4))</f>
        <v/>
      </c>
      <c r="N299" s="17" t="n"/>
      <c r="O299" s="17" t="n"/>
      <c r="P299" s="24">
        <f>IF($J299="","未盘",IF(ROUND($J299,3)=0,"账实相符",IF(COUNTIFS(入库单!$G$4:$G$2503,$A299,入库单!$X$4:$X$2503,"盘盈",入库单!$C$4:$C$2503,"&gt;="&amp;账期起,入库单!$C$4:$C$2503,"&lt;="&amp;账期止)+COUNTIFS(出库单!$D$4:$D$4003,$A299,出库单!$K$4:$K$4003,"盘亏",出库单!$C$4:$C$4003,"&gt;="&amp;账期起,出库单!$C$4:$C$4003,"&lt;="&amp;账期止)&gt;0,"已调账","※差异还没调账")))</f>
        <v/>
      </c>
      <c r="Q299" s="17" t="n"/>
      <c r="R299" s="17" t="n"/>
    </row>
    <row r="300">
      <c r="A300" s="24">
        <f>IF(库存台账!$A300="","",库存台账!$A300)</f>
        <v/>
      </c>
      <c r="B300" s="24">
        <f>IF($A300="","",库存台账!$B300)</f>
        <v/>
      </c>
      <c r="C300" s="24">
        <f>IF($A300="","",库存台账!$C300)</f>
        <v/>
      </c>
      <c r="D300" s="24">
        <f>IF($A300="","",库存台账!$D300)</f>
        <v/>
      </c>
      <c r="E300" s="24">
        <f>IF($A300="","",库存台账!$E300)</f>
        <v/>
      </c>
      <c r="F300" s="24">
        <f>IF($A300="","",库存台账!$F300)</f>
        <v/>
      </c>
      <c r="G300" s="17" t="n"/>
      <c r="H300" s="23" t="n"/>
      <c r="I300" s="27">
        <f>IF($A300="","",库存台账!$X300)</f>
        <v/>
      </c>
      <c r="J300" s="27">
        <f>IF(OR($A300="",$H300=""),"",ROUND($H300-$I300,3))</f>
        <v/>
      </c>
      <c r="K300" s="26">
        <f>IF($A300="","",库存台账!$K300)</f>
        <v/>
      </c>
      <c r="L300" s="26">
        <f>IF($J300="","",ROUND($J300*$K300,0))</f>
        <v/>
      </c>
      <c r="M300" s="37">
        <f>IF(OR($J300="",$I300=0),"",ROUND($J300/$I300,4))</f>
        <v/>
      </c>
      <c r="N300" s="17" t="n"/>
      <c r="O300" s="17" t="n"/>
      <c r="P300" s="24">
        <f>IF($J300="","未盘",IF(ROUND($J300,3)=0,"账实相符",IF(COUNTIFS(入库单!$G$4:$G$2503,$A300,入库单!$X$4:$X$2503,"盘盈",入库单!$C$4:$C$2503,"&gt;="&amp;账期起,入库单!$C$4:$C$2503,"&lt;="&amp;账期止)+COUNTIFS(出库单!$D$4:$D$4003,$A300,出库单!$K$4:$K$4003,"盘亏",出库单!$C$4:$C$4003,"&gt;="&amp;账期起,出库单!$C$4:$C$4003,"&lt;="&amp;账期止)&gt;0,"已调账","※差异还没调账")))</f>
        <v/>
      </c>
      <c r="Q300" s="17" t="n"/>
      <c r="R300" s="17" t="n"/>
    </row>
    <row r="301">
      <c r="A301" s="24">
        <f>IF(库存台账!$A301="","",库存台账!$A301)</f>
        <v/>
      </c>
      <c r="B301" s="24">
        <f>IF($A301="","",库存台账!$B301)</f>
        <v/>
      </c>
      <c r="C301" s="24">
        <f>IF($A301="","",库存台账!$C301)</f>
        <v/>
      </c>
      <c r="D301" s="24">
        <f>IF($A301="","",库存台账!$D301)</f>
        <v/>
      </c>
      <c r="E301" s="24">
        <f>IF($A301="","",库存台账!$E301)</f>
        <v/>
      </c>
      <c r="F301" s="24">
        <f>IF($A301="","",库存台账!$F301)</f>
        <v/>
      </c>
      <c r="G301" s="17" t="n"/>
      <c r="H301" s="23" t="n"/>
      <c r="I301" s="27">
        <f>IF($A301="","",库存台账!$X301)</f>
        <v/>
      </c>
      <c r="J301" s="27">
        <f>IF(OR($A301="",$H301=""),"",ROUND($H301-$I301,3))</f>
        <v/>
      </c>
      <c r="K301" s="26">
        <f>IF($A301="","",库存台账!$K301)</f>
        <v/>
      </c>
      <c r="L301" s="26">
        <f>IF($J301="","",ROUND($J301*$K301,0))</f>
        <v/>
      </c>
      <c r="M301" s="37">
        <f>IF(OR($J301="",$I301=0),"",ROUND($J301/$I301,4))</f>
        <v/>
      </c>
      <c r="N301" s="17" t="n"/>
      <c r="O301" s="17" t="n"/>
      <c r="P301" s="24">
        <f>IF($J301="","未盘",IF(ROUND($J301,3)=0,"账实相符",IF(COUNTIFS(入库单!$G$4:$G$2503,$A301,入库单!$X$4:$X$2503,"盘盈",入库单!$C$4:$C$2503,"&gt;="&amp;账期起,入库单!$C$4:$C$2503,"&lt;="&amp;账期止)+COUNTIFS(出库单!$D$4:$D$4003,$A301,出库单!$K$4:$K$4003,"盘亏",出库单!$C$4:$C$4003,"&gt;="&amp;账期起,出库单!$C$4:$C$4003,"&lt;="&amp;账期止)&gt;0,"已调账","※差异还没调账")))</f>
        <v/>
      </c>
      <c r="Q301" s="17" t="n"/>
      <c r="R301" s="17" t="n"/>
    </row>
    <row r="302">
      <c r="A302" s="24">
        <f>IF(库存台账!$A302="","",库存台账!$A302)</f>
        <v/>
      </c>
      <c r="B302" s="24">
        <f>IF($A302="","",库存台账!$B302)</f>
        <v/>
      </c>
      <c r="C302" s="24">
        <f>IF($A302="","",库存台账!$C302)</f>
        <v/>
      </c>
      <c r="D302" s="24">
        <f>IF($A302="","",库存台账!$D302)</f>
        <v/>
      </c>
      <c r="E302" s="24">
        <f>IF($A302="","",库存台账!$E302)</f>
        <v/>
      </c>
      <c r="F302" s="24">
        <f>IF($A302="","",库存台账!$F302)</f>
        <v/>
      </c>
      <c r="G302" s="17" t="n"/>
      <c r="H302" s="23" t="n"/>
      <c r="I302" s="27">
        <f>IF($A302="","",库存台账!$X302)</f>
        <v/>
      </c>
      <c r="J302" s="27">
        <f>IF(OR($A302="",$H302=""),"",ROUND($H302-$I302,3))</f>
        <v/>
      </c>
      <c r="K302" s="26">
        <f>IF($A302="","",库存台账!$K302)</f>
        <v/>
      </c>
      <c r="L302" s="26">
        <f>IF($J302="","",ROUND($J302*$K302,0))</f>
        <v/>
      </c>
      <c r="M302" s="37">
        <f>IF(OR($J302="",$I302=0),"",ROUND($J302/$I302,4))</f>
        <v/>
      </c>
      <c r="N302" s="17" t="n"/>
      <c r="O302" s="17" t="n"/>
      <c r="P302" s="24">
        <f>IF($J302="","未盘",IF(ROUND($J302,3)=0,"账实相符",IF(COUNTIFS(入库单!$G$4:$G$2503,$A302,入库单!$X$4:$X$2503,"盘盈",入库单!$C$4:$C$2503,"&gt;="&amp;账期起,入库单!$C$4:$C$2503,"&lt;="&amp;账期止)+COUNTIFS(出库单!$D$4:$D$4003,$A302,出库单!$K$4:$K$4003,"盘亏",出库单!$C$4:$C$4003,"&gt;="&amp;账期起,出库单!$C$4:$C$4003,"&lt;="&amp;账期止)&gt;0,"已调账","※差异还没调账")))</f>
        <v/>
      </c>
      <c r="Q302" s="17" t="n"/>
      <c r="R302" s="17" t="n"/>
    </row>
    <row r="303">
      <c r="A303" s="24">
        <f>IF(库存台账!$A303="","",库存台账!$A303)</f>
        <v/>
      </c>
      <c r="B303" s="24">
        <f>IF($A303="","",库存台账!$B303)</f>
        <v/>
      </c>
      <c r="C303" s="24">
        <f>IF($A303="","",库存台账!$C303)</f>
        <v/>
      </c>
      <c r="D303" s="24">
        <f>IF($A303="","",库存台账!$D303)</f>
        <v/>
      </c>
      <c r="E303" s="24">
        <f>IF($A303="","",库存台账!$E303)</f>
        <v/>
      </c>
      <c r="F303" s="24">
        <f>IF($A303="","",库存台账!$F303)</f>
        <v/>
      </c>
      <c r="G303" s="17" t="n"/>
      <c r="H303" s="23" t="n"/>
      <c r="I303" s="27">
        <f>IF($A303="","",库存台账!$X303)</f>
        <v/>
      </c>
      <c r="J303" s="27">
        <f>IF(OR($A303="",$H303=""),"",ROUND($H303-$I303,3))</f>
        <v/>
      </c>
      <c r="K303" s="26">
        <f>IF($A303="","",库存台账!$K303)</f>
        <v/>
      </c>
      <c r="L303" s="26">
        <f>IF($J303="","",ROUND($J303*$K303,0))</f>
        <v/>
      </c>
      <c r="M303" s="37">
        <f>IF(OR($J303="",$I303=0),"",ROUND($J303/$I303,4))</f>
        <v/>
      </c>
      <c r="N303" s="17" t="n"/>
      <c r="O303" s="17" t="n"/>
      <c r="P303" s="24">
        <f>IF($J303="","未盘",IF(ROUND($J303,3)=0,"账实相符",IF(COUNTIFS(入库单!$G$4:$G$2503,$A303,入库单!$X$4:$X$2503,"盘盈",入库单!$C$4:$C$2503,"&gt;="&amp;账期起,入库单!$C$4:$C$2503,"&lt;="&amp;账期止)+COUNTIFS(出库单!$D$4:$D$4003,$A303,出库单!$K$4:$K$4003,"盘亏",出库单!$C$4:$C$4003,"&gt;="&amp;账期起,出库单!$C$4:$C$4003,"&lt;="&amp;账期止)&gt;0,"已调账","※差异还没调账")))</f>
        <v/>
      </c>
      <c r="Q303" s="17" t="n"/>
      <c r="R303" s="17" t="n"/>
    </row>
    <row r="304">
      <c r="A304" s="24">
        <f>IF(库存台账!$A304="","",库存台账!$A304)</f>
        <v/>
      </c>
      <c r="B304" s="24">
        <f>IF($A304="","",库存台账!$B304)</f>
        <v/>
      </c>
      <c r="C304" s="24">
        <f>IF($A304="","",库存台账!$C304)</f>
        <v/>
      </c>
      <c r="D304" s="24">
        <f>IF($A304="","",库存台账!$D304)</f>
        <v/>
      </c>
      <c r="E304" s="24">
        <f>IF($A304="","",库存台账!$E304)</f>
        <v/>
      </c>
      <c r="F304" s="24">
        <f>IF($A304="","",库存台账!$F304)</f>
        <v/>
      </c>
      <c r="G304" s="17" t="n"/>
      <c r="H304" s="23" t="n"/>
      <c r="I304" s="27">
        <f>IF($A304="","",库存台账!$X304)</f>
        <v/>
      </c>
      <c r="J304" s="27">
        <f>IF(OR($A304="",$H304=""),"",ROUND($H304-$I304,3))</f>
        <v/>
      </c>
      <c r="K304" s="26">
        <f>IF($A304="","",库存台账!$K304)</f>
        <v/>
      </c>
      <c r="L304" s="26">
        <f>IF($J304="","",ROUND($J304*$K304,0))</f>
        <v/>
      </c>
      <c r="M304" s="37">
        <f>IF(OR($J304="",$I304=0),"",ROUND($J304/$I304,4))</f>
        <v/>
      </c>
      <c r="N304" s="17" t="n"/>
      <c r="O304" s="17" t="n"/>
      <c r="P304" s="24">
        <f>IF($J304="","未盘",IF(ROUND($J304,3)=0,"账实相符",IF(COUNTIFS(入库单!$G$4:$G$2503,$A304,入库单!$X$4:$X$2503,"盘盈",入库单!$C$4:$C$2503,"&gt;="&amp;账期起,入库单!$C$4:$C$2503,"&lt;="&amp;账期止)+COUNTIFS(出库单!$D$4:$D$4003,$A304,出库单!$K$4:$K$4003,"盘亏",出库单!$C$4:$C$4003,"&gt;="&amp;账期起,出库单!$C$4:$C$4003,"&lt;="&amp;账期止)&gt;0,"已调账","※差异还没调账")))</f>
        <v/>
      </c>
      <c r="Q304" s="17" t="n"/>
      <c r="R304" s="17" t="n"/>
    </row>
    <row r="305">
      <c r="A305" s="24">
        <f>IF(库存台账!$A305="","",库存台账!$A305)</f>
        <v/>
      </c>
      <c r="B305" s="24">
        <f>IF($A305="","",库存台账!$B305)</f>
        <v/>
      </c>
      <c r="C305" s="24">
        <f>IF($A305="","",库存台账!$C305)</f>
        <v/>
      </c>
      <c r="D305" s="24">
        <f>IF($A305="","",库存台账!$D305)</f>
        <v/>
      </c>
      <c r="E305" s="24">
        <f>IF($A305="","",库存台账!$E305)</f>
        <v/>
      </c>
      <c r="F305" s="24">
        <f>IF($A305="","",库存台账!$F305)</f>
        <v/>
      </c>
      <c r="G305" s="17" t="n"/>
      <c r="H305" s="23" t="n"/>
      <c r="I305" s="27">
        <f>IF($A305="","",库存台账!$X305)</f>
        <v/>
      </c>
      <c r="J305" s="27">
        <f>IF(OR($A305="",$H305=""),"",ROUND($H305-$I305,3))</f>
        <v/>
      </c>
      <c r="K305" s="26">
        <f>IF($A305="","",库存台账!$K305)</f>
        <v/>
      </c>
      <c r="L305" s="26">
        <f>IF($J305="","",ROUND($J305*$K305,0))</f>
        <v/>
      </c>
      <c r="M305" s="37">
        <f>IF(OR($J305="",$I305=0),"",ROUND($J305/$I305,4))</f>
        <v/>
      </c>
      <c r="N305" s="17" t="n"/>
      <c r="O305" s="17" t="n"/>
      <c r="P305" s="24">
        <f>IF($J305="","未盘",IF(ROUND($J305,3)=0,"账实相符",IF(COUNTIFS(入库单!$G$4:$G$2503,$A305,入库单!$X$4:$X$2503,"盘盈",入库单!$C$4:$C$2503,"&gt;="&amp;账期起,入库单!$C$4:$C$2503,"&lt;="&amp;账期止)+COUNTIFS(出库单!$D$4:$D$4003,$A305,出库单!$K$4:$K$4003,"盘亏",出库单!$C$4:$C$4003,"&gt;="&amp;账期起,出库单!$C$4:$C$4003,"&lt;="&amp;账期止)&gt;0,"已调账","※差异还没调账")))</f>
        <v/>
      </c>
      <c r="Q305" s="17" t="n"/>
      <c r="R305" s="17" t="n"/>
    </row>
    <row r="306">
      <c r="A306" s="24">
        <f>IF(库存台账!$A306="","",库存台账!$A306)</f>
        <v/>
      </c>
      <c r="B306" s="24">
        <f>IF($A306="","",库存台账!$B306)</f>
        <v/>
      </c>
      <c r="C306" s="24">
        <f>IF($A306="","",库存台账!$C306)</f>
        <v/>
      </c>
      <c r="D306" s="24">
        <f>IF($A306="","",库存台账!$D306)</f>
        <v/>
      </c>
      <c r="E306" s="24">
        <f>IF($A306="","",库存台账!$E306)</f>
        <v/>
      </c>
      <c r="F306" s="24">
        <f>IF($A306="","",库存台账!$F306)</f>
        <v/>
      </c>
      <c r="G306" s="17" t="n"/>
      <c r="H306" s="23" t="n"/>
      <c r="I306" s="27">
        <f>IF($A306="","",库存台账!$X306)</f>
        <v/>
      </c>
      <c r="J306" s="27">
        <f>IF(OR($A306="",$H306=""),"",ROUND($H306-$I306,3))</f>
        <v/>
      </c>
      <c r="K306" s="26">
        <f>IF($A306="","",库存台账!$K306)</f>
        <v/>
      </c>
      <c r="L306" s="26">
        <f>IF($J306="","",ROUND($J306*$K306,0))</f>
        <v/>
      </c>
      <c r="M306" s="37">
        <f>IF(OR($J306="",$I306=0),"",ROUND($J306/$I306,4))</f>
        <v/>
      </c>
      <c r="N306" s="17" t="n"/>
      <c r="O306" s="17" t="n"/>
      <c r="P306" s="24">
        <f>IF($J306="","未盘",IF(ROUND($J306,3)=0,"账实相符",IF(COUNTIFS(入库单!$G$4:$G$2503,$A306,入库单!$X$4:$X$2503,"盘盈",入库单!$C$4:$C$2503,"&gt;="&amp;账期起,入库单!$C$4:$C$2503,"&lt;="&amp;账期止)+COUNTIFS(出库单!$D$4:$D$4003,$A306,出库单!$K$4:$K$4003,"盘亏",出库单!$C$4:$C$4003,"&gt;="&amp;账期起,出库单!$C$4:$C$4003,"&lt;="&amp;账期止)&gt;0,"已调账","※差异还没调账")))</f>
        <v/>
      </c>
      <c r="Q306" s="17" t="n"/>
      <c r="R306" s="17" t="n"/>
    </row>
    <row r="307">
      <c r="A307" s="24">
        <f>IF(库存台账!$A307="","",库存台账!$A307)</f>
        <v/>
      </c>
      <c r="B307" s="24">
        <f>IF($A307="","",库存台账!$B307)</f>
        <v/>
      </c>
      <c r="C307" s="24">
        <f>IF($A307="","",库存台账!$C307)</f>
        <v/>
      </c>
      <c r="D307" s="24">
        <f>IF($A307="","",库存台账!$D307)</f>
        <v/>
      </c>
      <c r="E307" s="24">
        <f>IF($A307="","",库存台账!$E307)</f>
        <v/>
      </c>
      <c r="F307" s="24">
        <f>IF($A307="","",库存台账!$F307)</f>
        <v/>
      </c>
      <c r="G307" s="17" t="n"/>
      <c r="H307" s="23" t="n"/>
      <c r="I307" s="27">
        <f>IF($A307="","",库存台账!$X307)</f>
        <v/>
      </c>
      <c r="J307" s="27">
        <f>IF(OR($A307="",$H307=""),"",ROUND($H307-$I307,3))</f>
        <v/>
      </c>
      <c r="K307" s="26">
        <f>IF($A307="","",库存台账!$K307)</f>
        <v/>
      </c>
      <c r="L307" s="26">
        <f>IF($J307="","",ROUND($J307*$K307,0))</f>
        <v/>
      </c>
      <c r="M307" s="37">
        <f>IF(OR($J307="",$I307=0),"",ROUND($J307/$I307,4))</f>
        <v/>
      </c>
      <c r="N307" s="17" t="n"/>
      <c r="O307" s="17" t="n"/>
      <c r="P307" s="24">
        <f>IF($J307="","未盘",IF(ROUND($J307,3)=0,"账实相符",IF(COUNTIFS(入库单!$G$4:$G$2503,$A307,入库单!$X$4:$X$2503,"盘盈",入库单!$C$4:$C$2503,"&gt;="&amp;账期起,入库单!$C$4:$C$2503,"&lt;="&amp;账期止)+COUNTIFS(出库单!$D$4:$D$4003,$A307,出库单!$K$4:$K$4003,"盘亏",出库单!$C$4:$C$4003,"&gt;="&amp;账期起,出库单!$C$4:$C$4003,"&lt;="&amp;账期止)&gt;0,"已调账","※差异还没调账")))</f>
        <v/>
      </c>
      <c r="Q307" s="17" t="n"/>
      <c r="R307" s="17" t="n"/>
    </row>
    <row r="308">
      <c r="A308" s="24">
        <f>IF(库存台账!$A308="","",库存台账!$A308)</f>
        <v/>
      </c>
      <c r="B308" s="24">
        <f>IF($A308="","",库存台账!$B308)</f>
        <v/>
      </c>
      <c r="C308" s="24">
        <f>IF($A308="","",库存台账!$C308)</f>
        <v/>
      </c>
      <c r="D308" s="24">
        <f>IF($A308="","",库存台账!$D308)</f>
        <v/>
      </c>
      <c r="E308" s="24">
        <f>IF($A308="","",库存台账!$E308)</f>
        <v/>
      </c>
      <c r="F308" s="24">
        <f>IF($A308="","",库存台账!$F308)</f>
        <v/>
      </c>
      <c r="G308" s="17" t="n"/>
      <c r="H308" s="23" t="n"/>
      <c r="I308" s="27">
        <f>IF($A308="","",库存台账!$X308)</f>
        <v/>
      </c>
      <c r="J308" s="27">
        <f>IF(OR($A308="",$H308=""),"",ROUND($H308-$I308,3))</f>
        <v/>
      </c>
      <c r="K308" s="26">
        <f>IF($A308="","",库存台账!$K308)</f>
        <v/>
      </c>
      <c r="L308" s="26">
        <f>IF($J308="","",ROUND($J308*$K308,0))</f>
        <v/>
      </c>
      <c r="M308" s="37">
        <f>IF(OR($J308="",$I308=0),"",ROUND($J308/$I308,4))</f>
        <v/>
      </c>
      <c r="N308" s="17" t="n"/>
      <c r="O308" s="17" t="n"/>
      <c r="P308" s="24">
        <f>IF($J308="","未盘",IF(ROUND($J308,3)=0,"账实相符",IF(COUNTIFS(入库单!$G$4:$G$2503,$A308,入库单!$X$4:$X$2503,"盘盈",入库单!$C$4:$C$2503,"&gt;="&amp;账期起,入库单!$C$4:$C$2503,"&lt;="&amp;账期止)+COUNTIFS(出库单!$D$4:$D$4003,$A308,出库单!$K$4:$K$4003,"盘亏",出库单!$C$4:$C$4003,"&gt;="&amp;账期起,出库单!$C$4:$C$4003,"&lt;="&amp;账期止)&gt;0,"已调账","※差异还没调账")))</f>
        <v/>
      </c>
      <c r="Q308" s="17" t="n"/>
      <c r="R308" s="17" t="n"/>
    </row>
    <row r="309">
      <c r="A309" s="24">
        <f>IF(库存台账!$A309="","",库存台账!$A309)</f>
        <v/>
      </c>
      <c r="B309" s="24">
        <f>IF($A309="","",库存台账!$B309)</f>
        <v/>
      </c>
      <c r="C309" s="24">
        <f>IF($A309="","",库存台账!$C309)</f>
        <v/>
      </c>
      <c r="D309" s="24">
        <f>IF($A309="","",库存台账!$D309)</f>
        <v/>
      </c>
      <c r="E309" s="24">
        <f>IF($A309="","",库存台账!$E309)</f>
        <v/>
      </c>
      <c r="F309" s="24">
        <f>IF($A309="","",库存台账!$F309)</f>
        <v/>
      </c>
      <c r="G309" s="17" t="n"/>
      <c r="H309" s="23" t="n"/>
      <c r="I309" s="27">
        <f>IF($A309="","",库存台账!$X309)</f>
        <v/>
      </c>
      <c r="J309" s="27">
        <f>IF(OR($A309="",$H309=""),"",ROUND($H309-$I309,3))</f>
        <v/>
      </c>
      <c r="K309" s="26">
        <f>IF($A309="","",库存台账!$K309)</f>
        <v/>
      </c>
      <c r="L309" s="26">
        <f>IF($J309="","",ROUND($J309*$K309,0))</f>
        <v/>
      </c>
      <c r="M309" s="37">
        <f>IF(OR($J309="",$I309=0),"",ROUND($J309/$I309,4))</f>
        <v/>
      </c>
      <c r="N309" s="17" t="n"/>
      <c r="O309" s="17" t="n"/>
      <c r="P309" s="24">
        <f>IF($J309="","未盘",IF(ROUND($J309,3)=0,"账实相符",IF(COUNTIFS(入库单!$G$4:$G$2503,$A309,入库单!$X$4:$X$2503,"盘盈",入库单!$C$4:$C$2503,"&gt;="&amp;账期起,入库单!$C$4:$C$2503,"&lt;="&amp;账期止)+COUNTIFS(出库单!$D$4:$D$4003,$A309,出库单!$K$4:$K$4003,"盘亏",出库单!$C$4:$C$4003,"&gt;="&amp;账期起,出库单!$C$4:$C$4003,"&lt;="&amp;账期止)&gt;0,"已调账","※差异还没调账")))</f>
        <v/>
      </c>
      <c r="Q309" s="17" t="n"/>
      <c r="R309" s="17" t="n"/>
    </row>
    <row r="310">
      <c r="A310" s="24">
        <f>IF(库存台账!$A310="","",库存台账!$A310)</f>
        <v/>
      </c>
      <c r="B310" s="24">
        <f>IF($A310="","",库存台账!$B310)</f>
        <v/>
      </c>
      <c r="C310" s="24">
        <f>IF($A310="","",库存台账!$C310)</f>
        <v/>
      </c>
      <c r="D310" s="24">
        <f>IF($A310="","",库存台账!$D310)</f>
        <v/>
      </c>
      <c r="E310" s="24">
        <f>IF($A310="","",库存台账!$E310)</f>
        <v/>
      </c>
      <c r="F310" s="24">
        <f>IF($A310="","",库存台账!$F310)</f>
        <v/>
      </c>
      <c r="G310" s="17" t="n"/>
      <c r="H310" s="23" t="n"/>
      <c r="I310" s="27">
        <f>IF($A310="","",库存台账!$X310)</f>
        <v/>
      </c>
      <c r="J310" s="27">
        <f>IF(OR($A310="",$H310=""),"",ROUND($H310-$I310,3))</f>
        <v/>
      </c>
      <c r="K310" s="26">
        <f>IF($A310="","",库存台账!$K310)</f>
        <v/>
      </c>
      <c r="L310" s="26">
        <f>IF($J310="","",ROUND($J310*$K310,0))</f>
        <v/>
      </c>
      <c r="M310" s="37">
        <f>IF(OR($J310="",$I310=0),"",ROUND($J310/$I310,4))</f>
        <v/>
      </c>
      <c r="N310" s="17" t="n"/>
      <c r="O310" s="17" t="n"/>
      <c r="P310" s="24">
        <f>IF($J310="","未盘",IF(ROUND($J310,3)=0,"账实相符",IF(COUNTIFS(入库单!$G$4:$G$2503,$A310,入库单!$X$4:$X$2503,"盘盈",入库单!$C$4:$C$2503,"&gt;="&amp;账期起,入库单!$C$4:$C$2503,"&lt;="&amp;账期止)+COUNTIFS(出库单!$D$4:$D$4003,$A310,出库单!$K$4:$K$4003,"盘亏",出库单!$C$4:$C$4003,"&gt;="&amp;账期起,出库单!$C$4:$C$4003,"&lt;="&amp;账期止)&gt;0,"已调账","※差异还没调账")))</f>
        <v/>
      </c>
      <c r="Q310" s="17" t="n"/>
      <c r="R310" s="17" t="n"/>
    </row>
    <row r="311">
      <c r="A311" s="24">
        <f>IF(库存台账!$A311="","",库存台账!$A311)</f>
        <v/>
      </c>
      <c r="B311" s="24">
        <f>IF($A311="","",库存台账!$B311)</f>
        <v/>
      </c>
      <c r="C311" s="24">
        <f>IF($A311="","",库存台账!$C311)</f>
        <v/>
      </c>
      <c r="D311" s="24">
        <f>IF($A311="","",库存台账!$D311)</f>
        <v/>
      </c>
      <c r="E311" s="24">
        <f>IF($A311="","",库存台账!$E311)</f>
        <v/>
      </c>
      <c r="F311" s="24">
        <f>IF($A311="","",库存台账!$F311)</f>
        <v/>
      </c>
      <c r="G311" s="17" t="n"/>
      <c r="H311" s="23" t="n"/>
      <c r="I311" s="27">
        <f>IF($A311="","",库存台账!$X311)</f>
        <v/>
      </c>
      <c r="J311" s="27">
        <f>IF(OR($A311="",$H311=""),"",ROUND($H311-$I311,3))</f>
        <v/>
      </c>
      <c r="K311" s="26">
        <f>IF($A311="","",库存台账!$K311)</f>
        <v/>
      </c>
      <c r="L311" s="26">
        <f>IF($J311="","",ROUND($J311*$K311,0))</f>
        <v/>
      </c>
      <c r="M311" s="37">
        <f>IF(OR($J311="",$I311=0),"",ROUND($J311/$I311,4))</f>
        <v/>
      </c>
      <c r="N311" s="17" t="n"/>
      <c r="O311" s="17" t="n"/>
      <c r="P311" s="24">
        <f>IF($J311="","未盘",IF(ROUND($J311,3)=0,"账实相符",IF(COUNTIFS(入库单!$G$4:$G$2503,$A311,入库单!$X$4:$X$2503,"盘盈",入库单!$C$4:$C$2503,"&gt;="&amp;账期起,入库单!$C$4:$C$2503,"&lt;="&amp;账期止)+COUNTIFS(出库单!$D$4:$D$4003,$A311,出库单!$K$4:$K$4003,"盘亏",出库单!$C$4:$C$4003,"&gt;="&amp;账期起,出库单!$C$4:$C$4003,"&lt;="&amp;账期止)&gt;0,"已调账","※差异还没调账")))</f>
        <v/>
      </c>
      <c r="Q311" s="17" t="n"/>
      <c r="R311" s="17" t="n"/>
    </row>
    <row r="312">
      <c r="A312" s="24">
        <f>IF(库存台账!$A312="","",库存台账!$A312)</f>
        <v/>
      </c>
      <c r="B312" s="24">
        <f>IF($A312="","",库存台账!$B312)</f>
        <v/>
      </c>
      <c r="C312" s="24">
        <f>IF($A312="","",库存台账!$C312)</f>
        <v/>
      </c>
      <c r="D312" s="24">
        <f>IF($A312="","",库存台账!$D312)</f>
        <v/>
      </c>
      <c r="E312" s="24">
        <f>IF($A312="","",库存台账!$E312)</f>
        <v/>
      </c>
      <c r="F312" s="24">
        <f>IF($A312="","",库存台账!$F312)</f>
        <v/>
      </c>
      <c r="G312" s="17" t="n"/>
      <c r="H312" s="23" t="n"/>
      <c r="I312" s="27">
        <f>IF($A312="","",库存台账!$X312)</f>
        <v/>
      </c>
      <c r="J312" s="27">
        <f>IF(OR($A312="",$H312=""),"",ROUND($H312-$I312,3))</f>
        <v/>
      </c>
      <c r="K312" s="26">
        <f>IF($A312="","",库存台账!$K312)</f>
        <v/>
      </c>
      <c r="L312" s="26">
        <f>IF($J312="","",ROUND($J312*$K312,0))</f>
        <v/>
      </c>
      <c r="M312" s="37">
        <f>IF(OR($J312="",$I312=0),"",ROUND($J312/$I312,4))</f>
        <v/>
      </c>
      <c r="N312" s="17" t="n"/>
      <c r="O312" s="17" t="n"/>
      <c r="P312" s="24">
        <f>IF($J312="","未盘",IF(ROUND($J312,3)=0,"账实相符",IF(COUNTIFS(入库单!$G$4:$G$2503,$A312,入库单!$X$4:$X$2503,"盘盈",入库单!$C$4:$C$2503,"&gt;="&amp;账期起,入库单!$C$4:$C$2503,"&lt;="&amp;账期止)+COUNTIFS(出库单!$D$4:$D$4003,$A312,出库单!$K$4:$K$4003,"盘亏",出库单!$C$4:$C$4003,"&gt;="&amp;账期起,出库单!$C$4:$C$4003,"&lt;="&amp;账期止)&gt;0,"已调账","※差异还没调账")))</f>
        <v/>
      </c>
      <c r="Q312" s="17" t="n"/>
      <c r="R312" s="17" t="n"/>
    </row>
    <row r="313">
      <c r="A313" s="24">
        <f>IF(库存台账!$A313="","",库存台账!$A313)</f>
        <v/>
      </c>
      <c r="B313" s="24">
        <f>IF($A313="","",库存台账!$B313)</f>
        <v/>
      </c>
      <c r="C313" s="24">
        <f>IF($A313="","",库存台账!$C313)</f>
        <v/>
      </c>
      <c r="D313" s="24">
        <f>IF($A313="","",库存台账!$D313)</f>
        <v/>
      </c>
      <c r="E313" s="24">
        <f>IF($A313="","",库存台账!$E313)</f>
        <v/>
      </c>
      <c r="F313" s="24">
        <f>IF($A313="","",库存台账!$F313)</f>
        <v/>
      </c>
      <c r="G313" s="17" t="n"/>
      <c r="H313" s="23" t="n"/>
      <c r="I313" s="27">
        <f>IF($A313="","",库存台账!$X313)</f>
        <v/>
      </c>
      <c r="J313" s="27">
        <f>IF(OR($A313="",$H313=""),"",ROUND($H313-$I313,3))</f>
        <v/>
      </c>
      <c r="K313" s="26">
        <f>IF($A313="","",库存台账!$K313)</f>
        <v/>
      </c>
      <c r="L313" s="26">
        <f>IF($J313="","",ROUND($J313*$K313,0))</f>
        <v/>
      </c>
      <c r="M313" s="37">
        <f>IF(OR($J313="",$I313=0),"",ROUND($J313/$I313,4))</f>
        <v/>
      </c>
      <c r="N313" s="17" t="n"/>
      <c r="O313" s="17" t="n"/>
      <c r="P313" s="24">
        <f>IF($J313="","未盘",IF(ROUND($J313,3)=0,"账实相符",IF(COUNTIFS(入库单!$G$4:$G$2503,$A313,入库单!$X$4:$X$2503,"盘盈",入库单!$C$4:$C$2503,"&gt;="&amp;账期起,入库单!$C$4:$C$2503,"&lt;="&amp;账期止)+COUNTIFS(出库单!$D$4:$D$4003,$A313,出库单!$K$4:$K$4003,"盘亏",出库单!$C$4:$C$4003,"&gt;="&amp;账期起,出库单!$C$4:$C$4003,"&lt;="&amp;账期止)&gt;0,"已调账","※差异还没调账")))</f>
        <v/>
      </c>
      <c r="Q313" s="17" t="n"/>
      <c r="R313" s="17" t="n"/>
    </row>
    <row r="314">
      <c r="A314" s="24">
        <f>IF(库存台账!$A314="","",库存台账!$A314)</f>
        <v/>
      </c>
      <c r="B314" s="24">
        <f>IF($A314="","",库存台账!$B314)</f>
        <v/>
      </c>
      <c r="C314" s="24">
        <f>IF($A314="","",库存台账!$C314)</f>
        <v/>
      </c>
      <c r="D314" s="24">
        <f>IF($A314="","",库存台账!$D314)</f>
        <v/>
      </c>
      <c r="E314" s="24">
        <f>IF($A314="","",库存台账!$E314)</f>
        <v/>
      </c>
      <c r="F314" s="24">
        <f>IF($A314="","",库存台账!$F314)</f>
        <v/>
      </c>
      <c r="G314" s="17" t="n"/>
      <c r="H314" s="23" t="n"/>
      <c r="I314" s="27">
        <f>IF($A314="","",库存台账!$X314)</f>
        <v/>
      </c>
      <c r="J314" s="27">
        <f>IF(OR($A314="",$H314=""),"",ROUND($H314-$I314,3))</f>
        <v/>
      </c>
      <c r="K314" s="26">
        <f>IF($A314="","",库存台账!$K314)</f>
        <v/>
      </c>
      <c r="L314" s="26">
        <f>IF($J314="","",ROUND($J314*$K314,0))</f>
        <v/>
      </c>
      <c r="M314" s="37">
        <f>IF(OR($J314="",$I314=0),"",ROUND($J314/$I314,4))</f>
        <v/>
      </c>
      <c r="N314" s="17" t="n"/>
      <c r="O314" s="17" t="n"/>
      <c r="P314" s="24">
        <f>IF($J314="","未盘",IF(ROUND($J314,3)=0,"账实相符",IF(COUNTIFS(入库单!$G$4:$G$2503,$A314,入库单!$X$4:$X$2503,"盘盈",入库单!$C$4:$C$2503,"&gt;="&amp;账期起,入库单!$C$4:$C$2503,"&lt;="&amp;账期止)+COUNTIFS(出库单!$D$4:$D$4003,$A314,出库单!$K$4:$K$4003,"盘亏",出库单!$C$4:$C$4003,"&gt;="&amp;账期起,出库单!$C$4:$C$4003,"&lt;="&amp;账期止)&gt;0,"已调账","※差异还没调账")))</f>
        <v/>
      </c>
      <c r="Q314" s="17" t="n"/>
      <c r="R314" s="17" t="n"/>
    </row>
    <row r="315">
      <c r="A315" s="24">
        <f>IF(库存台账!$A315="","",库存台账!$A315)</f>
        <v/>
      </c>
      <c r="B315" s="24">
        <f>IF($A315="","",库存台账!$B315)</f>
        <v/>
      </c>
      <c r="C315" s="24">
        <f>IF($A315="","",库存台账!$C315)</f>
        <v/>
      </c>
      <c r="D315" s="24">
        <f>IF($A315="","",库存台账!$D315)</f>
        <v/>
      </c>
      <c r="E315" s="24">
        <f>IF($A315="","",库存台账!$E315)</f>
        <v/>
      </c>
      <c r="F315" s="24">
        <f>IF($A315="","",库存台账!$F315)</f>
        <v/>
      </c>
      <c r="G315" s="17" t="n"/>
      <c r="H315" s="23" t="n"/>
      <c r="I315" s="27">
        <f>IF($A315="","",库存台账!$X315)</f>
        <v/>
      </c>
      <c r="J315" s="27">
        <f>IF(OR($A315="",$H315=""),"",ROUND($H315-$I315,3))</f>
        <v/>
      </c>
      <c r="K315" s="26">
        <f>IF($A315="","",库存台账!$K315)</f>
        <v/>
      </c>
      <c r="L315" s="26">
        <f>IF($J315="","",ROUND($J315*$K315,0))</f>
        <v/>
      </c>
      <c r="M315" s="37">
        <f>IF(OR($J315="",$I315=0),"",ROUND($J315/$I315,4))</f>
        <v/>
      </c>
      <c r="N315" s="17" t="n"/>
      <c r="O315" s="17" t="n"/>
      <c r="P315" s="24">
        <f>IF($J315="","未盘",IF(ROUND($J315,3)=0,"账实相符",IF(COUNTIFS(入库单!$G$4:$G$2503,$A315,入库单!$X$4:$X$2503,"盘盈",入库单!$C$4:$C$2503,"&gt;="&amp;账期起,入库单!$C$4:$C$2503,"&lt;="&amp;账期止)+COUNTIFS(出库单!$D$4:$D$4003,$A315,出库单!$K$4:$K$4003,"盘亏",出库单!$C$4:$C$4003,"&gt;="&amp;账期起,出库单!$C$4:$C$4003,"&lt;="&amp;账期止)&gt;0,"已调账","※差异还没调账")))</f>
        <v/>
      </c>
      <c r="Q315" s="17" t="n"/>
      <c r="R315" s="17" t="n"/>
    </row>
    <row r="316">
      <c r="A316" s="24">
        <f>IF(库存台账!$A316="","",库存台账!$A316)</f>
        <v/>
      </c>
      <c r="B316" s="24">
        <f>IF($A316="","",库存台账!$B316)</f>
        <v/>
      </c>
      <c r="C316" s="24">
        <f>IF($A316="","",库存台账!$C316)</f>
        <v/>
      </c>
      <c r="D316" s="24">
        <f>IF($A316="","",库存台账!$D316)</f>
        <v/>
      </c>
      <c r="E316" s="24">
        <f>IF($A316="","",库存台账!$E316)</f>
        <v/>
      </c>
      <c r="F316" s="24">
        <f>IF($A316="","",库存台账!$F316)</f>
        <v/>
      </c>
      <c r="G316" s="17" t="n"/>
      <c r="H316" s="23" t="n"/>
      <c r="I316" s="27">
        <f>IF($A316="","",库存台账!$X316)</f>
        <v/>
      </c>
      <c r="J316" s="27">
        <f>IF(OR($A316="",$H316=""),"",ROUND($H316-$I316,3))</f>
        <v/>
      </c>
      <c r="K316" s="26">
        <f>IF($A316="","",库存台账!$K316)</f>
        <v/>
      </c>
      <c r="L316" s="26">
        <f>IF($J316="","",ROUND($J316*$K316,0))</f>
        <v/>
      </c>
      <c r="M316" s="37">
        <f>IF(OR($J316="",$I316=0),"",ROUND($J316/$I316,4))</f>
        <v/>
      </c>
      <c r="N316" s="17" t="n"/>
      <c r="O316" s="17" t="n"/>
      <c r="P316" s="24">
        <f>IF($J316="","未盘",IF(ROUND($J316,3)=0,"账实相符",IF(COUNTIFS(入库单!$G$4:$G$2503,$A316,入库单!$X$4:$X$2503,"盘盈",入库单!$C$4:$C$2503,"&gt;="&amp;账期起,入库单!$C$4:$C$2503,"&lt;="&amp;账期止)+COUNTIFS(出库单!$D$4:$D$4003,$A316,出库单!$K$4:$K$4003,"盘亏",出库单!$C$4:$C$4003,"&gt;="&amp;账期起,出库单!$C$4:$C$4003,"&lt;="&amp;账期止)&gt;0,"已调账","※差异还没调账")))</f>
        <v/>
      </c>
      <c r="Q316" s="17" t="n"/>
      <c r="R316" s="17" t="n"/>
    </row>
    <row r="317">
      <c r="A317" s="24">
        <f>IF(库存台账!$A317="","",库存台账!$A317)</f>
        <v/>
      </c>
      <c r="B317" s="24">
        <f>IF($A317="","",库存台账!$B317)</f>
        <v/>
      </c>
      <c r="C317" s="24">
        <f>IF($A317="","",库存台账!$C317)</f>
        <v/>
      </c>
      <c r="D317" s="24">
        <f>IF($A317="","",库存台账!$D317)</f>
        <v/>
      </c>
      <c r="E317" s="24">
        <f>IF($A317="","",库存台账!$E317)</f>
        <v/>
      </c>
      <c r="F317" s="24">
        <f>IF($A317="","",库存台账!$F317)</f>
        <v/>
      </c>
      <c r="G317" s="17" t="n"/>
      <c r="H317" s="23" t="n"/>
      <c r="I317" s="27">
        <f>IF($A317="","",库存台账!$X317)</f>
        <v/>
      </c>
      <c r="J317" s="27">
        <f>IF(OR($A317="",$H317=""),"",ROUND($H317-$I317,3))</f>
        <v/>
      </c>
      <c r="K317" s="26">
        <f>IF($A317="","",库存台账!$K317)</f>
        <v/>
      </c>
      <c r="L317" s="26">
        <f>IF($J317="","",ROUND($J317*$K317,0))</f>
        <v/>
      </c>
      <c r="M317" s="37">
        <f>IF(OR($J317="",$I317=0),"",ROUND($J317/$I317,4))</f>
        <v/>
      </c>
      <c r="N317" s="17" t="n"/>
      <c r="O317" s="17" t="n"/>
      <c r="P317" s="24">
        <f>IF($J317="","未盘",IF(ROUND($J317,3)=0,"账实相符",IF(COUNTIFS(入库单!$G$4:$G$2503,$A317,入库单!$X$4:$X$2503,"盘盈",入库单!$C$4:$C$2503,"&gt;="&amp;账期起,入库单!$C$4:$C$2503,"&lt;="&amp;账期止)+COUNTIFS(出库单!$D$4:$D$4003,$A317,出库单!$K$4:$K$4003,"盘亏",出库单!$C$4:$C$4003,"&gt;="&amp;账期起,出库单!$C$4:$C$4003,"&lt;="&amp;账期止)&gt;0,"已调账","※差异还没调账")))</f>
        <v/>
      </c>
      <c r="Q317" s="17" t="n"/>
      <c r="R317" s="17" t="n"/>
    </row>
    <row r="318">
      <c r="A318" s="24">
        <f>IF(库存台账!$A318="","",库存台账!$A318)</f>
        <v/>
      </c>
      <c r="B318" s="24">
        <f>IF($A318="","",库存台账!$B318)</f>
        <v/>
      </c>
      <c r="C318" s="24">
        <f>IF($A318="","",库存台账!$C318)</f>
        <v/>
      </c>
      <c r="D318" s="24">
        <f>IF($A318="","",库存台账!$D318)</f>
        <v/>
      </c>
      <c r="E318" s="24">
        <f>IF($A318="","",库存台账!$E318)</f>
        <v/>
      </c>
      <c r="F318" s="24">
        <f>IF($A318="","",库存台账!$F318)</f>
        <v/>
      </c>
      <c r="G318" s="17" t="n"/>
      <c r="H318" s="23" t="n"/>
      <c r="I318" s="27">
        <f>IF($A318="","",库存台账!$X318)</f>
        <v/>
      </c>
      <c r="J318" s="27">
        <f>IF(OR($A318="",$H318=""),"",ROUND($H318-$I318,3))</f>
        <v/>
      </c>
      <c r="K318" s="26">
        <f>IF($A318="","",库存台账!$K318)</f>
        <v/>
      </c>
      <c r="L318" s="26">
        <f>IF($J318="","",ROUND($J318*$K318,0))</f>
        <v/>
      </c>
      <c r="M318" s="37">
        <f>IF(OR($J318="",$I318=0),"",ROUND($J318/$I318,4))</f>
        <v/>
      </c>
      <c r="N318" s="17" t="n"/>
      <c r="O318" s="17" t="n"/>
      <c r="P318" s="24">
        <f>IF($J318="","未盘",IF(ROUND($J318,3)=0,"账实相符",IF(COUNTIFS(入库单!$G$4:$G$2503,$A318,入库单!$X$4:$X$2503,"盘盈",入库单!$C$4:$C$2503,"&gt;="&amp;账期起,入库单!$C$4:$C$2503,"&lt;="&amp;账期止)+COUNTIFS(出库单!$D$4:$D$4003,$A318,出库单!$K$4:$K$4003,"盘亏",出库单!$C$4:$C$4003,"&gt;="&amp;账期起,出库单!$C$4:$C$4003,"&lt;="&amp;账期止)&gt;0,"已调账","※差异还没调账")))</f>
        <v/>
      </c>
      <c r="Q318" s="17" t="n"/>
      <c r="R318" s="17" t="n"/>
    </row>
    <row r="319">
      <c r="A319" s="24">
        <f>IF(库存台账!$A319="","",库存台账!$A319)</f>
        <v/>
      </c>
      <c r="B319" s="24">
        <f>IF($A319="","",库存台账!$B319)</f>
        <v/>
      </c>
      <c r="C319" s="24">
        <f>IF($A319="","",库存台账!$C319)</f>
        <v/>
      </c>
      <c r="D319" s="24">
        <f>IF($A319="","",库存台账!$D319)</f>
        <v/>
      </c>
      <c r="E319" s="24">
        <f>IF($A319="","",库存台账!$E319)</f>
        <v/>
      </c>
      <c r="F319" s="24">
        <f>IF($A319="","",库存台账!$F319)</f>
        <v/>
      </c>
      <c r="G319" s="17" t="n"/>
      <c r="H319" s="23" t="n"/>
      <c r="I319" s="27">
        <f>IF($A319="","",库存台账!$X319)</f>
        <v/>
      </c>
      <c r="J319" s="27">
        <f>IF(OR($A319="",$H319=""),"",ROUND($H319-$I319,3))</f>
        <v/>
      </c>
      <c r="K319" s="26">
        <f>IF($A319="","",库存台账!$K319)</f>
        <v/>
      </c>
      <c r="L319" s="26">
        <f>IF($J319="","",ROUND($J319*$K319,0))</f>
        <v/>
      </c>
      <c r="M319" s="37">
        <f>IF(OR($J319="",$I319=0),"",ROUND($J319/$I319,4))</f>
        <v/>
      </c>
      <c r="N319" s="17" t="n"/>
      <c r="O319" s="17" t="n"/>
      <c r="P319" s="24">
        <f>IF($J319="","未盘",IF(ROUND($J319,3)=0,"账实相符",IF(COUNTIFS(入库单!$G$4:$G$2503,$A319,入库单!$X$4:$X$2503,"盘盈",入库单!$C$4:$C$2503,"&gt;="&amp;账期起,入库单!$C$4:$C$2503,"&lt;="&amp;账期止)+COUNTIFS(出库单!$D$4:$D$4003,$A319,出库单!$K$4:$K$4003,"盘亏",出库单!$C$4:$C$4003,"&gt;="&amp;账期起,出库单!$C$4:$C$4003,"&lt;="&amp;账期止)&gt;0,"已调账","※差异还没调账")))</f>
        <v/>
      </c>
      <c r="Q319" s="17" t="n"/>
      <c r="R319" s="17" t="n"/>
    </row>
    <row r="320">
      <c r="A320" s="24">
        <f>IF(库存台账!$A320="","",库存台账!$A320)</f>
        <v/>
      </c>
      <c r="B320" s="24">
        <f>IF($A320="","",库存台账!$B320)</f>
        <v/>
      </c>
      <c r="C320" s="24">
        <f>IF($A320="","",库存台账!$C320)</f>
        <v/>
      </c>
      <c r="D320" s="24">
        <f>IF($A320="","",库存台账!$D320)</f>
        <v/>
      </c>
      <c r="E320" s="24">
        <f>IF($A320="","",库存台账!$E320)</f>
        <v/>
      </c>
      <c r="F320" s="24">
        <f>IF($A320="","",库存台账!$F320)</f>
        <v/>
      </c>
      <c r="G320" s="17" t="n"/>
      <c r="H320" s="23" t="n"/>
      <c r="I320" s="27">
        <f>IF($A320="","",库存台账!$X320)</f>
        <v/>
      </c>
      <c r="J320" s="27">
        <f>IF(OR($A320="",$H320=""),"",ROUND($H320-$I320,3))</f>
        <v/>
      </c>
      <c r="K320" s="26">
        <f>IF($A320="","",库存台账!$K320)</f>
        <v/>
      </c>
      <c r="L320" s="26">
        <f>IF($J320="","",ROUND($J320*$K320,0))</f>
        <v/>
      </c>
      <c r="M320" s="37">
        <f>IF(OR($J320="",$I320=0),"",ROUND($J320/$I320,4))</f>
        <v/>
      </c>
      <c r="N320" s="17" t="n"/>
      <c r="O320" s="17" t="n"/>
      <c r="P320" s="24">
        <f>IF($J320="","未盘",IF(ROUND($J320,3)=0,"账实相符",IF(COUNTIFS(入库单!$G$4:$G$2503,$A320,入库单!$X$4:$X$2503,"盘盈",入库单!$C$4:$C$2503,"&gt;="&amp;账期起,入库单!$C$4:$C$2503,"&lt;="&amp;账期止)+COUNTIFS(出库单!$D$4:$D$4003,$A320,出库单!$K$4:$K$4003,"盘亏",出库单!$C$4:$C$4003,"&gt;="&amp;账期起,出库单!$C$4:$C$4003,"&lt;="&amp;账期止)&gt;0,"已调账","※差异还没调账")))</f>
        <v/>
      </c>
      <c r="Q320" s="17" t="n"/>
      <c r="R320" s="17" t="n"/>
    </row>
    <row r="321">
      <c r="A321" s="24">
        <f>IF(库存台账!$A321="","",库存台账!$A321)</f>
        <v/>
      </c>
      <c r="B321" s="24">
        <f>IF($A321="","",库存台账!$B321)</f>
        <v/>
      </c>
      <c r="C321" s="24">
        <f>IF($A321="","",库存台账!$C321)</f>
        <v/>
      </c>
      <c r="D321" s="24">
        <f>IF($A321="","",库存台账!$D321)</f>
        <v/>
      </c>
      <c r="E321" s="24">
        <f>IF($A321="","",库存台账!$E321)</f>
        <v/>
      </c>
      <c r="F321" s="24">
        <f>IF($A321="","",库存台账!$F321)</f>
        <v/>
      </c>
      <c r="G321" s="17" t="n"/>
      <c r="H321" s="23" t="n"/>
      <c r="I321" s="27">
        <f>IF($A321="","",库存台账!$X321)</f>
        <v/>
      </c>
      <c r="J321" s="27">
        <f>IF(OR($A321="",$H321=""),"",ROUND($H321-$I321,3))</f>
        <v/>
      </c>
      <c r="K321" s="26">
        <f>IF($A321="","",库存台账!$K321)</f>
        <v/>
      </c>
      <c r="L321" s="26">
        <f>IF($J321="","",ROUND($J321*$K321,0))</f>
        <v/>
      </c>
      <c r="M321" s="37">
        <f>IF(OR($J321="",$I321=0),"",ROUND($J321/$I321,4))</f>
        <v/>
      </c>
      <c r="N321" s="17" t="n"/>
      <c r="O321" s="17" t="n"/>
      <c r="P321" s="24">
        <f>IF($J321="","未盘",IF(ROUND($J321,3)=0,"账实相符",IF(COUNTIFS(入库单!$G$4:$G$2503,$A321,入库单!$X$4:$X$2503,"盘盈",入库单!$C$4:$C$2503,"&gt;="&amp;账期起,入库单!$C$4:$C$2503,"&lt;="&amp;账期止)+COUNTIFS(出库单!$D$4:$D$4003,$A321,出库单!$K$4:$K$4003,"盘亏",出库单!$C$4:$C$4003,"&gt;="&amp;账期起,出库单!$C$4:$C$4003,"&lt;="&amp;账期止)&gt;0,"已调账","※差异还没调账")))</f>
        <v/>
      </c>
      <c r="Q321" s="17" t="n"/>
      <c r="R321" s="17" t="n"/>
    </row>
    <row r="322">
      <c r="A322" s="24">
        <f>IF(库存台账!$A322="","",库存台账!$A322)</f>
        <v/>
      </c>
      <c r="B322" s="24">
        <f>IF($A322="","",库存台账!$B322)</f>
        <v/>
      </c>
      <c r="C322" s="24">
        <f>IF($A322="","",库存台账!$C322)</f>
        <v/>
      </c>
      <c r="D322" s="24">
        <f>IF($A322="","",库存台账!$D322)</f>
        <v/>
      </c>
      <c r="E322" s="24">
        <f>IF($A322="","",库存台账!$E322)</f>
        <v/>
      </c>
      <c r="F322" s="24">
        <f>IF($A322="","",库存台账!$F322)</f>
        <v/>
      </c>
      <c r="G322" s="17" t="n"/>
      <c r="H322" s="23" t="n"/>
      <c r="I322" s="27">
        <f>IF($A322="","",库存台账!$X322)</f>
        <v/>
      </c>
      <c r="J322" s="27">
        <f>IF(OR($A322="",$H322=""),"",ROUND($H322-$I322,3))</f>
        <v/>
      </c>
      <c r="K322" s="26">
        <f>IF($A322="","",库存台账!$K322)</f>
        <v/>
      </c>
      <c r="L322" s="26">
        <f>IF($J322="","",ROUND($J322*$K322,0))</f>
        <v/>
      </c>
      <c r="M322" s="37">
        <f>IF(OR($J322="",$I322=0),"",ROUND($J322/$I322,4))</f>
        <v/>
      </c>
      <c r="N322" s="17" t="n"/>
      <c r="O322" s="17" t="n"/>
      <c r="P322" s="24">
        <f>IF($J322="","未盘",IF(ROUND($J322,3)=0,"账实相符",IF(COUNTIFS(入库单!$G$4:$G$2503,$A322,入库单!$X$4:$X$2503,"盘盈",入库单!$C$4:$C$2503,"&gt;="&amp;账期起,入库单!$C$4:$C$2503,"&lt;="&amp;账期止)+COUNTIFS(出库单!$D$4:$D$4003,$A322,出库单!$K$4:$K$4003,"盘亏",出库单!$C$4:$C$4003,"&gt;="&amp;账期起,出库单!$C$4:$C$4003,"&lt;="&amp;账期止)&gt;0,"已调账","※差异还没调账")))</f>
        <v/>
      </c>
      <c r="Q322" s="17" t="n"/>
      <c r="R322" s="17" t="n"/>
    </row>
    <row r="323">
      <c r="A323" s="24">
        <f>IF(库存台账!$A323="","",库存台账!$A323)</f>
        <v/>
      </c>
      <c r="B323" s="24">
        <f>IF($A323="","",库存台账!$B323)</f>
        <v/>
      </c>
      <c r="C323" s="24">
        <f>IF($A323="","",库存台账!$C323)</f>
        <v/>
      </c>
      <c r="D323" s="24">
        <f>IF($A323="","",库存台账!$D323)</f>
        <v/>
      </c>
      <c r="E323" s="24">
        <f>IF($A323="","",库存台账!$E323)</f>
        <v/>
      </c>
      <c r="F323" s="24">
        <f>IF($A323="","",库存台账!$F323)</f>
        <v/>
      </c>
      <c r="G323" s="17" t="n"/>
      <c r="H323" s="23" t="n"/>
      <c r="I323" s="27">
        <f>IF($A323="","",库存台账!$X323)</f>
        <v/>
      </c>
      <c r="J323" s="27">
        <f>IF(OR($A323="",$H323=""),"",ROUND($H323-$I323,3))</f>
        <v/>
      </c>
      <c r="K323" s="26">
        <f>IF($A323="","",库存台账!$K323)</f>
        <v/>
      </c>
      <c r="L323" s="26">
        <f>IF($J323="","",ROUND($J323*$K323,0))</f>
        <v/>
      </c>
      <c r="M323" s="37">
        <f>IF(OR($J323="",$I323=0),"",ROUND($J323/$I323,4))</f>
        <v/>
      </c>
      <c r="N323" s="17" t="n"/>
      <c r="O323" s="17" t="n"/>
      <c r="P323" s="24">
        <f>IF($J323="","未盘",IF(ROUND($J323,3)=0,"账实相符",IF(COUNTIFS(入库单!$G$4:$G$2503,$A323,入库单!$X$4:$X$2503,"盘盈",入库单!$C$4:$C$2503,"&gt;="&amp;账期起,入库单!$C$4:$C$2503,"&lt;="&amp;账期止)+COUNTIFS(出库单!$D$4:$D$4003,$A323,出库单!$K$4:$K$4003,"盘亏",出库单!$C$4:$C$4003,"&gt;="&amp;账期起,出库单!$C$4:$C$4003,"&lt;="&amp;账期止)&gt;0,"已调账","※差异还没调账")))</f>
        <v/>
      </c>
      <c r="Q323" s="17" t="n"/>
      <c r="R323" s="17" t="n"/>
    </row>
    <row r="324">
      <c r="A324" s="24">
        <f>IF(库存台账!$A324="","",库存台账!$A324)</f>
        <v/>
      </c>
      <c r="B324" s="24">
        <f>IF($A324="","",库存台账!$B324)</f>
        <v/>
      </c>
      <c r="C324" s="24">
        <f>IF($A324="","",库存台账!$C324)</f>
        <v/>
      </c>
      <c r="D324" s="24">
        <f>IF($A324="","",库存台账!$D324)</f>
        <v/>
      </c>
      <c r="E324" s="24">
        <f>IF($A324="","",库存台账!$E324)</f>
        <v/>
      </c>
      <c r="F324" s="24">
        <f>IF($A324="","",库存台账!$F324)</f>
        <v/>
      </c>
      <c r="G324" s="17" t="n"/>
      <c r="H324" s="23" t="n"/>
      <c r="I324" s="27">
        <f>IF($A324="","",库存台账!$X324)</f>
        <v/>
      </c>
      <c r="J324" s="27">
        <f>IF(OR($A324="",$H324=""),"",ROUND($H324-$I324,3))</f>
        <v/>
      </c>
      <c r="K324" s="26">
        <f>IF($A324="","",库存台账!$K324)</f>
        <v/>
      </c>
      <c r="L324" s="26">
        <f>IF($J324="","",ROUND($J324*$K324,0))</f>
        <v/>
      </c>
      <c r="M324" s="37">
        <f>IF(OR($J324="",$I324=0),"",ROUND($J324/$I324,4))</f>
        <v/>
      </c>
      <c r="N324" s="17" t="n"/>
      <c r="O324" s="17" t="n"/>
      <c r="P324" s="24">
        <f>IF($J324="","未盘",IF(ROUND($J324,3)=0,"账实相符",IF(COUNTIFS(入库单!$G$4:$G$2503,$A324,入库单!$X$4:$X$2503,"盘盈",入库单!$C$4:$C$2503,"&gt;="&amp;账期起,入库单!$C$4:$C$2503,"&lt;="&amp;账期止)+COUNTIFS(出库单!$D$4:$D$4003,$A324,出库单!$K$4:$K$4003,"盘亏",出库单!$C$4:$C$4003,"&gt;="&amp;账期起,出库单!$C$4:$C$4003,"&lt;="&amp;账期止)&gt;0,"已调账","※差异还没调账")))</f>
        <v/>
      </c>
      <c r="Q324" s="17" t="n"/>
      <c r="R324" s="17" t="n"/>
    </row>
    <row r="325">
      <c r="A325" s="24">
        <f>IF(库存台账!$A325="","",库存台账!$A325)</f>
        <v/>
      </c>
      <c r="B325" s="24">
        <f>IF($A325="","",库存台账!$B325)</f>
        <v/>
      </c>
      <c r="C325" s="24">
        <f>IF($A325="","",库存台账!$C325)</f>
        <v/>
      </c>
      <c r="D325" s="24">
        <f>IF($A325="","",库存台账!$D325)</f>
        <v/>
      </c>
      <c r="E325" s="24">
        <f>IF($A325="","",库存台账!$E325)</f>
        <v/>
      </c>
      <c r="F325" s="24">
        <f>IF($A325="","",库存台账!$F325)</f>
        <v/>
      </c>
      <c r="G325" s="17" t="n"/>
      <c r="H325" s="23" t="n"/>
      <c r="I325" s="27">
        <f>IF($A325="","",库存台账!$X325)</f>
        <v/>
      </c>
      <c r="J325" s="27">
        <f>IF(OR($A325="",$H325=""),"",ROUND($H325-$I325,3))</f>
        <v/>
      </c>
      <c r="K325" s="26">
        <f>IF($A325="","",库存台账!$K325)</f>
        <v/>
      </c>
      <c r="L325" s="26">
        <f>IF($J325="","",ROUND($J325*$K325,0))</f>
        <v/>
      </c>
      <c r="M325" s="37">
        <f>IF(OR($J325="",$I325=0),"",ROUND($J325/$I325,4))</f>
        <v/>
      </c>
      <c r="N325" s="17" t="n"/>
      <c r="O325" s="17" t="n"/>
      <c r="P325" s="24">
        <f>IF($J325="","未盘",IF(ROUND($J325,3)=0,"账实相符",IF(COUNTIFS(入库单!$G$4:$G$2503,$A325,入库单!$X$4:$X$2503,"盘盈",入库单!$C$4:$C$2503,"&gt;="&amp;账期起,入库单!$C$4:$C$2503,"&lt;="&amp;账期止)+COUNTIFS(出库单!$D$4:$D$4003,$A325,出库单!$K$4:$K$4003,"盘亏",出库单!$C$4:$C$4003,"&gt;="&amp;账期起,出库单!$C$4:$C$4003,"&lt;="&amp;账期止)&gt;0,"已调账","※差异还没调账")))</f>
        <v/>
      </c>
      <c r="Q325" s="17" t="n"/>
      <c r="R325" s="17" t="n"/>
    </row>
    <row r="326">
      <c r="A326" s="24">
        <f>IF(库存台账!$A326="","",库存台账!$A326)</f>
        <v/>
      </c>
      <c r="B326" s="24">
        <f>IF($A326="","",库存台账!$B326)</f>
        <v/>
      </c>
      <c r="C326" s="24">
        <f>IF($A326="","",库存台账!$C326)</f>
        <v/>
      </c>
      <c r="D326" s="24">
        <f>IF($A326="","",库存台账!$D326)</f>
        <v/>
      </c>
      <c r="E326" s="24">
        <f>IF($A326="","",库存台账!$E326)</f>
        <v/>
      </c>
      <c r="F326" s="24">
        <f>IF($A326="","",库存台账!$F326)</f>
        <v/>
      </c>
      <c r="G326" s="17" t="n"/>
      <c r="H326" s="23" t="n"/>
      <c r="I326" s="27">
        <f>IF($A326="","",库存台账!$X326)</f>
        <v/>
      </c>
      <c r="J326" s="27">
        <f>IF(OR($A326="",$H326=""),"",ROUND($H326-$I326,3))</f>
        <v/>
      </c>
      <c r="K326" s="26">
        <f>IF($A326="","",库存台账!$K326)</f>
        <v/>
      </c>
      <c r="L326" s="26">
        <f>IF($J326="","",ROUND($J326*$K326,0))</f>
        <v/>
      </c>
      <c r="M326" s="37">
        <f>IF(OR($J326="",$I326=0),"",ROUND($J326/$I326,4))</f>
        <v/>
      </c>
      <c r="N326" s="17" t="n"/>
      <c r="O326" s="17" t="n"/>
      <c r="P326" s="24">
        <f>IF($J326="","未盘",IF(ROUND($J326,3)=0,"账实相符",IF(COUNTIFS(入库单!$G$4:$G$2503,$A326,入库单!$X$4:$X$2503,"盘盈",入库单!$C$4:$C$2503,"&gt;="&amp;账期起,入库单!$C$4:$C$2503,"&lt;="&amp;账期止)+COUNTIFS(出库单!$D$4:$D$4003,$A326,出库单!$K$4:$K$4003,"盘亏",出库单!$C$4:$C$4003,"&gt;="&amp;账期起,出库单!$C$4:$C$4003,"&lt;="&amp;账期止)&gt;0,"已调账","※差异还没调账")))</f>
        <v/>
      </c>
      <c r="Q326" s="17" t="n"/>
      <c r="R326" s="17" t="n"/>
    </row>
    <row r="327">
      <c r="A327" s="24">
        <f>IF(库存台账!$A327="","",库存台账!$A327)</f>
        <v/>
      </c>
      <c r="B327" s="24">
        <f>IF($A327="","",库存台账!$B327)</f>
        <v/>
      </c>
      <c r="C327" s="24">
        <f>IF($A327="","",库存台账!$C327)</f>
        <v/>
      </c>
      <c r="D327" s="24">
        <f>IF($A327="","",库存台账!$D327)</f>
        <v/>
      </c>
      <c r="E327" s="24">
        <f>IF($A327="","",库存台账!$E327)</f>
        <v/>
      </c>
      <c r="F327" s="24">
        <f>IF($A327="","",库存台账!$F327)</f>
        <v/>
      </c>
      <c r="G327" s="17" t="n"/>
      <c r="H327" s="23" t="n"/>
      <c r="I327" s="27">
        <f>IF($A327="","",库存台账!$X327)</f>
        <v/>
      </c>
      <c r="J327" s="27">
        <f>IF(OR($A327="",$H327=""),"",ROUND($H327-$I327,3))</f>
        <v/>
      </c>
      <c r="K327" s="26">
        <f>IF($A327="","",库存台账!$K327)</f>
        <v/>
      </c>
      <c r="L327" s="26">
        <f>IF($J327="","",ROUND($J327*$K327,0))</f>
        <v/>
      </c>
      <c r="M327" s="37">
        <f>IF(OR($J327="",$I327=0),"",ROUND($J327/$I327,4))</f>
        <v/>
      </c>
      <c r="N327" s="17" t="n"/>
      <c r="O327" s="17" t="n"/>
      <c r="P327" s="24">
        <f>IF($J327="","未盘",IF(ROUND($J327,3)=0,"账实相符",IF(COUNTIFS(入库单!$G$4:$G$2503,$A327,入库单!$X$4:$X$2503,"盘盈",入库单!$C$4:$C$2503,"&gt;="&amp;账期起,入库单!$C$4:$C$2503,"&lt;="&amp;账期止)+COUNTIFS(出库单!$D$4:$D$4003,$A327,出库单!$K$4:$K$4003,"盘亏",出库单!$C$4:$C$4003,"&gt;="&amp;账期起,出库单!$C$4:$C$4003,"&lt;="&amp;账期止)&gt;0,"已调账","※差异还没调账")))</f>
        <v/>
      </c>
      <c r="Q327" s="17" t="n"/>
      <c r="R327" s="17" t="n"/>
    </row>
    <row r="328">
      <c r="A328" s="24">
        <f>IF(库存台账!$A328="","",库存台账!$A328)</f>
        <v/>
      </c>
      <c r="B328" s="24">
        <f>IF($A328="","",库存台账!$B328)</f>
        <v/>
      </c>
      <c r="C328" s="24">
        <f>IF($A328="","",库存台账!$C328)</f>
        <v/>
      </c>
      <c r="D328" s="24">
        <f>IF($A328="","",库存台账!$D328)</f>
        <v/>
      </c>
      <c r="E328" s="24">
        <f>IF($A328="","",库存台账!$E328)</f>
        <v/>
      </c>
      <c r="F328" s="24">
        <f>IF($A328="","",库存台账!$F328)</f>
        <v/>
      </c>
      <c r="G328" s="17" t="n"/>
      <c r="H328" s="23" t="n"/>
      <c r="I328" s="27">
        <f>IF($A328="","",库存台账!$X328)</f>
        <v/>
      </c>
      <c r="J328" s="27">
        <f>IF(OR($A328="",$H328=""),"",ROUND($H328-$I328,3))</f>
        <v/>
      </c>
      <c r="K328" s="26">
        <f>IF($A328="","",库存台账!$K328)</f>
        <v/>
      </c>
      <c r="L328" s="26">
        <f>IF($J328="","",ROUND($J328*$K328,0))</f>
        <v/>
      </c>
      <c r="M328" s="37">
        <f>IF(OR($J328="",$I328=0),"",ROUND($J328/$I328,4))</f>
        <v/>
      </c>
      <c r="N328" s="17" t="n"/>
      <c r="O328" s="17" t="n"/>
      <c r="P328" s="24">
        <f>IF($J328="","未盘",IF(ROUND($J328,3)=0,"账实相符",IF(COUNTIFS(入库单!$G$4:$G$2503,$A328,入库单!$X$4:$X$2503,"盘盈",入库单!$C$4:$C$2503,"&gt;="&amp;账期起,入库单!$C$4:$C$2503,"&lt;="&amp;账期止)+COUNTIFS(出库单!$D$4:$D$4003,$A328,出库单!$K$4:$K$4003,"盘亏",出库单!$C$4:$C$4003,"&gt;="&amp;账期起,出库单!$C$4:$C$4003,"&lt;="&amp;账期止)&gt;0,"已调账","※差异还没调账")))</f>
        <v/>
      </c>
      <c r="Q328" s="17" t="n"/>
      <c r="R328" s="17" t="n"/>
    </row>
    <row r="329">
      <c r="A329" s="24">
        <f>IF(库存台账!$A329="","",库存台账!$A329)</f>
        <v/>
      </c>
      <c r="B329" s="24">
        <f>IF($A329="","",库存台账!$B329)</f>
        <v/>
      </c>
      <c r="C329" s="24">
        <f>IF($A329="","",库存台账!$C329)</f>
        <v/>
      </c>
      <c r="D329" s="24">
        <f>IF($A329="","",库存台账!$D329)</f>
        <v/>
      </c>
      <c r="E329" s="24">
        <f>IF($A329="","",库存台账!$E329)</f>
        <v/>
      </c>
      <c r="F329" s="24">
        <f>IF($A329="","",库存台账!$F329)</f>
        <v/>
      </c>
      <c r="G329" s="17" t="n"/>
      <c r="H329" s="23" t="n"/>
      <c r="I329" s="27">
        <f>IF($A329="","",库存台账!$X329)</f>
        <v/>
      </c>
      <c r="J329" s="27">
        <f>IF(OR($A329="",$H329=""),"",ROUND($H329-$I329,3))</f>
        <v/>
      </c>
      <c r="K329" s="26">
        <f>IF($A329="","",库存台账!$K329)</f>
        <v/>
      </c>
      <c r="L329" s="26">
        <f>IF($J329="","",ROUND($J329*$K329,0))</f>
        <v/>
      </c>
      <c r="M329" s="37">
        <f>IF(OR($J329="",$I329=0),"",ROUND($J329/$I329,4))</f>
        <v/>
      </c>
      <c r="N329" s="17" t="n"/>
      <c r="O329" s="17" t="n"/>
      <c r="P329" s="24">
        <f>IF($J329="","未盘",IF(ROUND($J329,3)=0,"账实相符",IF(COUNTIFS(入库单!$G$4:$G$2503,$A329,入库单!$X$4:$X$2503,"盘盈",入库单!$C$4:$C$2503,"&gt;="&amp;账期起,入库单!$C$4:$C$2503,"&lt;="&amp;账期止)+COUNTIFS(出库单!$D$4:$D$4003,$A329,出库单!$K$4:$K$4003,"盘亏",出库单!$C$4:$C$4003,"&gt;="&amp;账期起,出库单!$C$4:$C$4003,"&lt;="&amp;账期止)&gt;0,"已调账","※差异还没调账")))</f>
        <v/>
      </c>
      <c r="Q329" s="17" t="n"/>
      <c r="R329" s="17" t="n"/>
    </row>
    <row r="330">
      <c r="A330" s="24">
        <f>IF(库存台账!$A330="","",库存台账!$A330)</f>
        <v/>
      </c>
      <c r="B330" s="24">
        <f>IF($A330="","",库存台账!$B330)</f>
        <v/>
      </c>
      <c r="C330" s="24">
        <f>IF($A330="","",库存台账!$C330)</f>
        <v/>
      </c>
      <c r="D330" s="24">
        <f>IF($A330="","",库存台账!$D330)</f>
        <v/>
      </c>
      <c r="E330" s="24">
        <f>IF($A330="","",库存台账!$E330)</f>
        <v/>
      </c>
      <c r="F330" s="24">
        <f>IF($A330="","",库存台账!$F330)</f>
        <v/>
      </c>
      <c r="G330" s="17" t="n"/>
      <c r="H330" s="23" t="n"/>
      <c r="I330" s="27">
        <f>IF($A330="","",库存台账!$X330)</f>
        <v/>
      </c>
      <c r="J330" s="27">
        <f>IF(OR($A330="",$H330=""),"",ROUND($H330-$I330,3))</f>
        <v/>
      </c>
      <c r="K330" s="26">
        <f>IF($A330="","",库存台账!$K330)</f>
        <v/>
      </c>
      <c r="L330" s="26">
        <f>IF($J330="","",ROUND($J330*$K330,0))</f>
        <v/>
      </c>
      <c r="M330" s="37">
        <f>IF(OR($J330="",$I330=0),"",ROUND($J330/$I330,4))</f>
        <v/>
      </c>
      <c r="N330" s="17" t="n"/>
      <c r="O330" s="17" t="n"/>
      <c r="P330" s="24">
        <f>IF($J330="","未盘",IF(ROUND($J330,3)=0,"账实相符",IF(COUNTIFS(入库单!$G$4:$G$2503,$A330,入库单!$X$4:$X$2503,"盘盈",入库单!$C$4:$C$2503,"&gt;="&amp;账期起,入库单!$C$4:$C$2503,"&lt;="&amp;账期止)+COUNTIFS(出库单!$D$4:$D$4003,$A330,出库单!$K$4:$K$4003,"盘亏",出库单!$C$4:$C$4003,"&gt;="&amp;账期起,出库单!$C$4:$C$4003,"&lt;="&amp;账期止)&gt;0,"已调账","※差异还没调账")))</f>
        <v/>
      </c>
      <c r="Q330" s="17" t="n"/>
      <c r="R330" s="17" t="n"/>
    </row>
    <row r="331">
      <c r="A331" s="24">
        <f>IF(库存台账!$A331="","",库存台账!$A331)</f>
        <v/>
      </c>
      <c r="B331" s="24">
        <f>IF($A331="","",库存台账!$B331)</f>
        <v/>
      </c>
      <c r="C331" s="24">
        <f>IF($A331="","",库存台账!$C331)</f>
        <v/>
      </c>
      <c r="D331" s="24">
        <f>IF($A331="","",库存台账!$D331)</f>
        <v/>
      </c>
      <c r="E331" s="24">
        <f>IF($A331="","",库存台账!$E331)</f>
        <v/>
      </c>
      <c r="F331" s="24">
        <f>IF($A331="","",库存台账!$F331)</f>
        <v/>
      </c>
      <c r="G331" s="17" t="n"/>
      <c r="H331" s="23" t="n"/>
      <c r="I331" s="27">
        <f>IF($A331="","",库存台账!$X331)</f>
        <v/>
      </c>
      <c r="J331" s="27">
        <f>IF(OR($A331="",$H331=""),"",ROUND($H331-$I331,3))</f>
        <v/>
      </c>
      <c r="K331" s="26">
        <f>IF($A331="","",库存台账!$K331)</f>
        <v/>
      </c>
      <c r="L331" s="26">
        <f>IF($J331="","",ROUND($J331*$K331,0))</f>
        <v/>
      </c>
      <c r="M331" s="37">
        <f>IF(OR($J331="",$I331=0),"",ROUND($J331/$I331,4))</f>
        <v/>
      </c>
      <c r="N331" s="17" t="n"/>
      <c r="O331" s="17" t="n"/>
      <c r="P331" s="24">
        <f>IF($J331="","未盘",IF(ROUND($J331,3)=0,"账实相符",IF(COUNTIFS(入库单!$G$4:$G$2503,$A331,入库单!$X$4:$X$2503,"盘盈",入库单!$C$4:$C$2503,"&gt;="&amp;账期起,入库单!$C$4:$C$2503,"&lt;="&amp;账期止)+COUNTIFS(出库单!$D$4:$D$4003,$A331,出库单!$K$4:$K$4003,"盘亏",出库单!$C$4:$C$4003,"&gt;="&amp;账期起,出库单!$C$4:$C$4003,"&lt;="&amp;账期止)&gt;0,"已调账","※差异还没调账")))</f>
        <v/>
      </c>
      <c r="Q331" s="17" t="n"/>
      <c r="R331" s="17" t="n"/>
    </row>
    <row r="332">
      <c r="A332" s="24">
        <f>IF(库存台账!$A332="","",库存台账!$A332)</f>
        <v/>
      </c>
      <c r="B332" s="24">
        <f>IF($A332="","",库存台账!$B332)</f>
        <v/>
      </c>
      <c r="C332" s="24">
        <f>IF($A332="","",库存台账!$C332)</f>
        <v/>
      </c>
      <c r="D332" s="24">
        <f>IF($A332="","",库存台账!$D332)</f>
        <v/>
      </c>
      <c r="E332" s="24">
        <f>IF($A332="","",库存台账!$E332)</f>
        <v/>
      </c>
      <c r="F332" s="24">
        <f>IF($A332="","",库存台账!$F332)</f>
        <v/>
      </c>
      <c r="G332" s="17" t="n"/>
      <c r="H332" s="23" t="n"/>
      <c r="I332" s="27">
        <f>IF($A332="","",库存台账!$X332)</f>
        <v/>
      </c>
      <c r="J332" s="27">
        <f>IF(OR($A332="",$H332=""),"",ROUND($H332-$I332,3))</f>
        <v/>
      </c>
      <c r="K332" s="26">
        <f>IF($A332="","",库存台账!$K332)</f>
        <v/>
      </c>
      <c r="L332" s="26">
        <f>IF($J332="","",ROUND($J332*$K332,0))</f>
        <v/>
      </c>
      <c r="M332" s="37">
        <f>IF(OR($J332="",$I332=0),"",ROUND($J332/$I332,4))</f>
        <v/>
      </c>
      <c r="N332" s="17" t="n"/>
      <c r="O332" s="17" t="n"/>
      <c r="P332" s="24">
        <f>IF($J332="","未盘",IF(ROUND($J332,3)=0,"账实相符",IF(COUNTIFS(入库单!$G$4:$G$2503,$A332,入库单!$X$4:$X$2503,"盘盈",入库单!$C$4:$C$2503,"&gt;="&amp;账期起,入库单!$C$4:$C$2503,"&lt;="&amp;账期止)+COUNTIFS(出库单!$D$4:$D$4003,$A332,出库单!$K$4:$K$4003,"盘亏",出库单!$C$4:$C$4003,"&gt;="&amp;账期起,出库单!$C$4:$C$4003,"&lt;="&amp;账期止)&gt;0,"已调账","※差异还没调账")))</f>
        <v/>
      </c>
      <c r="Q332" s="17" t="n"/>
      <c r="R332" s="17" t="n"/>
    </row>
    <row r="333">
      <c r="A333" s="24">
        <f>IF(库存台账!$A333="","",库存台账!$A333)</f>
        <v/>
      </c>
      <c r="B333" s="24">
        <f>IF($A333="","",库存台账!$B333)</f>
        <v/>
      </c>
      <c r="C333" s="24">
        <f>IF($A333="","",库存台账!$C333)</f>
        <v/>
      </c>
      <c r="D333" s="24">
        <f>IF($A333="","",库存台账!$D333)</f>
        <v/>
      </c>
      <c r="E333" s="24">
        <f>IF($A333="","",库存台账!$E333)</f>
        <v/>
      </c>
      <c r="F333" s="24">
        <f>IF($A333="","",库存台账!$F333)</f>
        <v/>
      </c>
      <c r="G333" s="17" t="n"/>
      <c r="H333" s="23" t="n"/>
      <c r="I333" s="27">
        <f>IF($A333="","",库存台账!$X333)</f>
        <v/>
      </c>
      <c r="J333" s="27">
        <f>IF(OR($A333="",$H333=""),"",ROUND($H333-$I333,3))</f>
        <v/>
      </c>
      <c r="K333" s="26">
        <f>IF($A333="","",库存台账!$K333)</f>
        <v/>
      </c>
      <c r="L333" s="26">
        <f>IF($J333="","",ROUND($J333*$K333,0))</f>
        <v/>
      </c>
      <c r="M333" s="37">
        <f>IF(OR($J333="",$I333=0),"",ROUND($J333/$I333,4))</f>
        <v/>
      </c>
      <c r="N333" s="17" t="n"/>
      <c r="O333" s="17" t="n"/>
      <c r="P333" s="24">
        <f>IF($J333="","未盘",IF(ROUND($J333,3)=0,"账实相符",IF(COUNTIFS(入库单!$G$4:$G$2503,$A333,入库单!$X$4:$X$2503,"盘盈",入库单!$C$4:$C$2503,"&gt;="&amp;账期起,入库单!$C$4:$C$2503,"&lt;="&amp;账期止)+COUNTIFS(出库单!$D$4:$D$4003,$A333,出库单!$K$4:$K$4003,"盘亏",出库单!$C$4:$C$4003,"&gt;="&amp;账期起,出库单!$C$4:$C$4003,"&lt;="&amp;账期止)&gt;0,"已调账","※差异还没调账")))</f>
        <v/>
      </c>
      <c r="Q333" s="17" t="n"/>
      <c r="R333" s="17" t="n"/>
    </row>
    <row r="334">
      <c r="A334" s="24">
        <f>IF(库存台账!$A334="","",库存台账!$A334)</f>
        <v/>
      </c>
      <c r="B334" s="24">
        <f>IF($A334="","",库存台账!$B334)</f>
        <v/>
      </c>
      <c r="C334" s="24">
        <f>IF($A334="","",库存台账!$C334)</f>
        <v/>
      </c>
      <c r="D334" s="24">
        <f>IF($A334="","",库存台账!$D334)</f>
        <v/>
      </c>
      <c r="E334" s="24">
        <f>IF($A334="","",库存台账!$E334)</f>
        <v/>
      </c>
      <c r="F334" s="24">
        <f>IF($A334="","",库存台账!$F334)</f>
        <v/>
      </c>
      <c r="G334" s="17" t="n"/>
      <c r="H334" s="23" t="n"/>
      <c r="I334" s="27">
        <f>IF($A334="","",库存台账!$X334)</f>
        <v/>
      </c>
      <c r="J334" s="27">
        <f>IF(OR($A334="",$H334=""),"",ROUND($H334-$I334,3))</f>
        <v/>
      </c>
      <c r="K334" s="26">
        <f>IF($A334="","",库存台账!$K334)</f>
        <v/>
      </c>
      <c r="L334" s="26">
        <f>IF($J334="","",ROUND($J334*$K334,0))</f>
        <v/>
      </c>
      <c r="M334" s="37">
        <f>IF(OR($J334="",$I334=0),"",ROUND($J334/$I334,4))</f>
        <v/>
      </c>
      <c r="N334" s="17" t="n"/>
      <c r="O334" s="17" t="n"/>
      <c r="P334" s="24">
        <f>IF($J334="","未盘",IF(ROUND($J334,3)=0,"账实相符",IF(COUNTIFS(入库单!$G$4:$G$2503,$A334,入库单!$X$4:$X$2503,"盘盈",入库单!$C$4:$C$2503,"&gt;="&amp;账期起,入库单!$C$4:$C$2503,"&lt;="&amp;账期止)+COUNTIFS(出库单!$D$4:$D$4003,$A334,出库单!$K$4:$K$4003,"盘亏",出库单!$C$4:$C$4003,"&gt;="&amp;账期起,出库单!$C$4:$C$4003,"&lt;="&amp;账期止)&gt;0,"已调账","※差异还没调账")))</f>
        <v/>
      </c>
      <c r="Q334" s="17" t="n"/>
      <c r="R334" s="17" t="n"/>
    </row>
    <row r="335">
      <c r="A335" s="24">
        <f>IF(库存台账!$A335="","",库存台账!$A335)</f>
        <v/>
      </c>
      <c r="B335" s="24">
        <f>IF($A335="","",库存台账!$B335)</f>
        <v/>
      </c>
      <c r="C335" s="24">
        <f>IF($A335="","",库存台账!$C335)</f>
        <v/>
      </c>
      <c r="D335" s="24">
        <f>IF($A335="","",库存台账!$D335)</f>
        <v/>
      </c>
      <c r="E335" s="24">
        <f>IF($A335="","",库存台账!$E335)</f>
        <v/>
      </c>
      <c r="F335" s="24">
        <f>IF($A335="","",库存台账!$F335)</f>
        <v/>
      </c>
      <c r="G335" s="17" t="n"/>
      <c r="H335" s="23" t="n"/>
      <c r="I335" s="27">
        <f>IF($A335="","",库存台账!$X335)</f>
        <v/>
      </c>
      <c r="J335" s="27">
        <f>IF(OR($A335="",$H335=""),"",ROUND($H335-$I335,3))</f>
        <v/>
      </c>
      <c r="K335" s="26">
        <f>IF($A335="","",库存台账!$K335)</f>
        <v/>
      </c>
      <c r="L335" s="26">
        <f>IF($J335="","",ROUND($J335*$K335,0))</f>
        <v/>
      </c>
      <c r="M335" s="37">
        <f>IF(OR($J335="",$I335=0),"",ROUND($J335/$I335,4))</f>
        <v/>
      </c>
      <c r="N335" s="17" t="n"/>
      <c r="O335" s="17" t="n"/>
      <c r="P335" s="24">
        <f>IF($J335="","未盘",IF(ROUND($J335,3)=0,"账实相符",IF(COUNTIFS(入库单!$G$4:$G$2503,$A335,入库单!$X$4:$X$2503,"盘盈",入库单!$C$4:$C$2503,"&gt;="&amp;账期起,入库单!$C$4:$C$2503,"&lt;="&amp;账期止)+COUNTIFS(出库单!$D$4:$D$4003,$A335,出库单!$K$4:$K$4003,"盘亏",出库单!$C$4:$C$4003,"&gt;="&amp;账期起,出库单!$C$4:$C$4003,"&lt;="&amp;账期止)&gt;0,"已调账","※差异还没调账")))</f>
        <v/>
      </c>
      <c r="Q335" s="17" t="n"/>
      <c r="R335" s="17" t="n"/>
    </row>
    <row r="336">
      <c r="A336" s="24">
        <f>IF(库存台账!$A336="","",库存台账!$A336)</f>
        <v/>
      </c>
      <c r="B336" s="24">
        <f>IF($A336="","",库存台账!$B336)</f>
        <v/>
      </c>
      <c r="C336" s="24">
        <f>IF($A336="","",库存台账!$C336)</f>
        <v/>
      </c>
      <c r="D336" s="24">
        <f>IF($A336="","",库存台账!$D336)</f>
        <v/>
      </c>
      <c r="E336" s="24">
        <f>IF($A336="","",库存台账!$E336)</f>
        <v/>
      </c>
      <c r="F336" s="24">
        <f>IF($A336="","",库存台账!$F336)</f>
        <v/>
      </c>
      <c r="G336" s="17" t="n"/>
      <c r="H336" s="23" t="n"/>
      <c r="I336" s="27">
        <f>IF($A336="","",库存台账!$X336)</f>
        <v/>
      </c>
      <c r="J336" s="27">
        <f>IF(OR($A336="",$H336=""),"",ROUND($H336-$I336,3))</f>
        <v/>
      </c>
      <c r="K336" s="26">
        <f>IF($A336="","",库存台账!$K336)</f>
        <v/>
      </c>
      <c r="L336" s="26">
        <f>IF($J336="","",ROUND($J336*$K336,0))</f>
        <v/>
      </c>
      <c r="M336" s="37">
        <f>IF(OR($J336="",$I336=0),"",ROUND($J336/$I336,4))</f>
        <v/>
      </c>
      <c r="N336" s="17" t="n"/>
      <c r="O336" s="17" t="n"/>
      <c r="P336" s="24">
        <f>IF($J336="","未盘",IF(ROUND($J336,3)=0,"账实相符",IF(COUNTIFS(入库单!$G$4:$G$2503,$A336,入库单!$X$4:$X$2503,"盘盈",入库单!$C$4:$C$2503,"&gt;="&amp;账期起,入库单!$C$4:$C$2503,"&lt;="&amp;账期止)+COUNTIFS(出库单!$D$4:$D$4003,$A336,出库单!$K$4:$K$4003,"盘亏",出库单!$C$4:$C$4003,"&gt;="&amp;账期起,出库单!$C$4:$C$4003,"&lt;="&amp;账期止)&gt;0,"已调账","※差异还没调账")))</f>
        <v/>
      </c>
      <c r="Q336" s="17" t="n"/>
      <c r="R336" s="17" t="n"/>
    </row>
    <row r="337">
      <c r="A337" s="24">
        <f>IF(库存台账!$A337="","",库存台账!$A337)</f>
        <v/>
      </c>
      <c r="B337" s="24">
        <f>IF($A337="","",库存台账!$B337)</f>
        <v/>
      </c>
      <c r="C337" s="24">
        <f>IF($A337="","",库存台账!$C337)</f>
        <v/>
      </c>
      <c r="D337" s="24">
        <f>IF($A337="","",库存台账!$D337)</f>
        <v/>
      </c>
      <c r="E337" s="24">
        <f>IF($A337="","",库存台账!$E337)</f>
        <v/>
      </c>
      <c r="F337" s="24">
        <f>IF($A337="","",库存台账!$F337)</f>
        <v/>
      </c>
      <c r="G337" s="17" t="n"/>
      <c r="H337" s="23" t="n"/>
      <c r="I337" s="27">
        <f>IF($A337="","",库存台账!$X337)</f>
        <v/>
      </c>
      <c r="J337" s="27">
        <f>IF(OR($A337="",$H337=""),"",ROUND($H337-$I337,3))</f>
        <v/>
      </c>
      <c r="K337" s="26">
        <f>IF($A337="","",库存台账!$K337)</f>
        <v/>
      </c>
      <c r="L337" s="26">
        <f>IF($J337="","",ROUND($J337*$K337,0))</f>
        <v/>
      </c>
      <c r="M337" s="37">
        <f>IF(OR($J337="",$I337=0),"",ROUND($J337/$I337,4))</f>
        <v/>
      </c>
      <c r="N337" s="17" t="n"/>
      <c r="O337" s="17" t="n"/>
      <c r="P337" s="24">
        <f>IF($J337="","未盘",IF(ROUND($J337,3)=0,"账实相符",IF(COUNTIFS(入库单!$G$4:$G$2503,$A337,入库单!$X$4:$X$2503,"盘盈",入库单!$C$4:$C$2503,"&gt;="&amp;账期起,入库单!$C$4:$C$2503,"&lt;="&amp;账期止)+COUNTIFS(出库单!$D$4:$D$4003,$A337,出库单!$K$4:$K$4003,"盘亏",出库单!$C$4:$C$4003,"&gt;="&amp;账期起,出库单!$C$4:$C$4003,"&lt;="&amp;账期止)&gt;0,"已调账","※差异还没调账")))</f>
        <v/>
      </c>
      <c r="Q337" s="17" t="n"/>
      <c r="R337" s="17" t="n"/>
    </row>
    <row r="338">
      <c r="A338" s="24">
        <f>IF(库存台账!$A338="","",库存台账!$A338)</f>
        <v/>
      </c>
      <c r="B338" s="24">
        <f>IF($A338="","",库存台账!$B338)</f>
        <v/>
      </c>
      <c r="C338" s="24">
        <f>IF($A338="","",库存台账!$C338)</f>
        <v/>
      </c>
      <c r="D338" s="24">
        <f>IF($A338="","",库存台账!$D338)</f>
        <v/>
      </c>
      <c r="E338" s="24">
        <f>IF($A338="","",库存台账!$E338)</f>
        <v/>
      </c>
      <c r="F338" s="24">
        <f>IF($A338="","",库存台账!$F338)</f>
        <v/>
      </c>
      <c r="G338" s="17" t="n"/>
      <c r="H338" s="23" t="n"/>
      <c r="I338" s="27">
        <f>IF($A338="","",库存台账!$X338)</f>
        <v/>
      </c>
      <c r="J338" s="27">
        <f>IF(OR($A338="",$H338=""),"",ROUND($H338-$I338,3))</f>
        <v/>
      </c>
      <c r="K338" s="26">
        <f>IF($A338="","",库存台账!$K338)</f>
        <v/>
      </c>
      <c r="L338" s="26">
        <f>IF($J338="","",ROUND($J338*$K338,0))</f>
        <v/>
      </c>
      <c r="M338" s="37">
        <f>IF(OR($J338="",$I338=0),"",ROUND($J338/$I338,4))</f>
        <v/>
      </c>
      <c r="N338" s="17" t="n"/>
      <c r="O338" s="17" t="n"/>
      <c r="P338" s="24">
        <f>IF($J338="","未盘",IF(ROUND($J338,3)=0,"账实相符",IF(COUNTIFS(入库单!$G$4:$G$2503,$A338,入库单!$X$4:$X$2503,"盘盈",入库单!$C$4:$C$2503,"&gt;="&amp;账期起,入库单!$C$4:$C$2503,"&lt;="&amp;账期止)+COUNTIFS(出库单!$D$4:$D$4003,$A338,出库单!$K$4:$K$4003,"盘亏",出库单!$C$4:$C$4003,"&gt;="&amp;账期起,出库单!$C$4:$C$4003,"&lt;="&amp;账期止)&gt;0,"已调账","※差异还没调账")))</f>
        <v/>
      </c>
      <c r="Q338" s="17" t="n"/>
      <c r="R338" s="17" t="n"/>
    </row>
    <row r="339">
      <c r="A339" s="24">
        <f>IF(库存台账!$A339="","",库存台账!$A339)</f>
        <v/>
      </c>
      <c r="B339" s="24">
        <f>IF($A339="","",库存台账!$B339)</f>
        <v/>
      </c>
      <c r="C339" s="24">
        <f>IF($A339="","",库存台账!$C339)</f>
        <v/>
      </c>
      <c r="D339" s="24">
        <f>IF($A339="","",库存台账!$D339)</f>
        <v/>
      </c>
      <c r="E339" s="24">
        <f>IF($A339="","",库存台账!$E339)</f>
        <v/>
      </c>
      <c r="F339" s="24">
        <f>IF($A339="","",库存台账!$F339)</f>
        <v/>
      </c>
      <c r="G339" s="17" t="n"/>
      <c r="H339" s="23" t="n"/>
      <c r="I339" s="27">
        <f>IF($A339="","",库存台账!$X339)</f>
        <v/>
      </c>
      <c r="J339" s="27">
        <f>IF(OR($A339="",$H339=""),"",ROUND($H339-$I339,3))</f>
        <v/>
      </c>
      <c r="K339" s="26">
        <f>IF($A339="","",库存台账!$K339)</f>
        <v/>
      </c>
      <c r="L339" s="26">
        <f>IF($J339="","",ROUND($J339*$K339,0))</f>
        <v/>
      </c>
      <c r="M339" s="37">
        <f>IF(OR($J339="",$I339=0),"",ROUND($J339/$I339,4))</f>
        <v/>
      </c>
      <c r="N339" s="17" t="n"/>
      <c r="O339" s="17" t="n"/>
      <c r="P339" s="24">
        <f>IF($J339="","未盘",IF(ROUND($J339,3)=0,"账实相符",IF(COUNTIFS(入库单!$G$4:$G$2503,$A339,入库单!$X$4:$X$2503,"盘盈",入库单!$C$4:$C$2503,"&gt;="&amp;账期起,入库单!$C$4:$C$2503,"&lt;="&amp;账期止)+COUNTIFS(出库单!$D$4:$D$4003,$A339,出库单!$K$4:$K$4003,"盘亏",出库单!$C$4:$C$4003,"&gt;="&amp;账期起,出库单!$C$4:$C$4003,"&lt;="&amp;账期止)&gt;0,"已调账","※差异还没调账")))</f>
        <v/>
      </c>
      <c r="Q339" s="17" t="n"/>
      <c r="R339" s="17" t="n"/>
    </row>
    <row r="340">
      <c r="A340" s="24">
        <f>IF(库存台账!$A340="","",库存台账!$A340)</f>
        <v/>
      </c>
      <c r="B340" s="24">
        <f>IF($A340="","",库存台账!$B340)</f>
        <v/>
      </c>
      <c r="C340" s="24">
        <f>IF($A340="","",库存台账!$C340)</f>
        <v/>
      </c>
      <c r="D340" s="24">
        <f>IF($A340="","",库存台账!$D340)</f>
        <v/>
      </c>
      <c r="E340" s="24">
        <f>IF($A340="","",库存台账!$E340)</f>
        <v/>
      </c>
      <c r="F340" s="24">
        <f>IF($A340="","",库存台账!$F340)</f>
        <v/>
      </c>
      <c r="G340" s="17" t="n"/>
      <c r="H340" s="23" t="n"/>
      <c r="I340" s="27">
        <f>IF($A340="","",库存台账!$X340)</f>
        <v/>
      </c>
      <c r="J340" s="27">
        <f>IF(OR($A340="",$H340=""),"",ROUND($H340-$I340,3))</f>
        <v/>
      </c>
      <c r="K340" s="26">
        <f>IF($A340="","",库存台账!$K340)</f>
        <v/>
      </c>
      <c r="L340" s="26">
        <f>IF($J340="","",ROUND($J340*$K340,0))</f>
        <v/>
      </c>
      <c r="M340" s="37">
        <f>IF(OR($J340="",$I340=0),"",ROUND($J340/$I340,4))</f>
        <v/>
      </c>
      <c r="N340" s="17" t="n"/>
      <c r="O340" s="17" t="n"/>
      <c r="P340" s="24">
        <f>IF($J340="","未盘",IF(ROUND($J340,3)=0,"账实相符",IF(COUNTIFS(入库单!$G$4:$G$2503,$A340,入库单!$X$4:$X$2503,"盘盈",入库单!$C$4:$C$2503,"&gt;="&amp;账期起,入库单!$C$4:$C$2503,"&lt;="&amp;账期止)+COUNTIFS(出库单!$D$4:$D$4003,$A340,出库单!$K$4:$K$4003,"盘亏",出库单!$C$4:$C$4003,"&gt;="&amp;账期起,出库单!$C$4:$C$4003,"&lt;="&amp;账期止)&gt;0,"已调账","※差异还没调账")))</f>
        <v/>
      </c>
      <c r="Q340" s="17" t="n"/>
      <c r="R340" s="17" t="n"/>
    </row>
    <row r="341">
      <c r="A341" s="24">
        <f>IF(库存台账!$A341="","",库存台账!$A341)</f>
        <v/>
      </c>
      <c r="B341" s="24">
        <f>IF($A341="","",库存台账!$B341)</f>
        <v/>
      </c>
      <c r="C341" s="24">
        <f>IF($A341="","",库存台账!$C341)</f>
        <v/>
      </c>
      <c r="D341" s="24">
        <f>IF($A341="","",库存台账!$D341)</f>
        <v/>
      </c>
      <c r="E341" s="24">
        <f>IF($A341="","",库存台账!$E341)</f>
        <v/>
      </c>
      <c r="F341" s="24">
        <f>IF($A341="","",库存台账!$F341)</f>
        <v/>
      </c>
      <c r="G341" s="17" t="n"/>
      <c r="H341" s="23" t="n"/>
      <c r="I341" s="27">
        <f>IF($A341="","",库存台账!$X341)</f>
        <v/>
      </c>
      <c r="J341" s="27">
        <f>IF(OR($A341="",$H341=""),"",ROUND($H341-$I341,3))</f>
        <v/>
      </c>
      <c r="K341" s="26">
        <f>IF($A341="","",库存台账!$K341)</f>
        <v/>
      </c>
      <c r="L341" s="26">
        <f>IF($J341="","",ROUND($J341*$K341,0))</f>
        <v/>
      </c>
      <c r="M341" s="37">
        <f>IF(OR($J341="",$I341=0),"",ROUND($J341/$I341,4))</f>
        <v/>
      </c>
      <c r="N341" s="17" t="n"/>
      <c r="O341" s="17" t="n"/>
      <c r="P341" s="24">
        <f>IF($J341="","未盘",IF(ROUND($J341,3)=0,"账实相符",IF(COUNTIFS(入库单!$G$4:$G$2503,$A341,入库单!$X$4:$X$2503,"盘盈",入库单!$C$4:$C$2503,"&gt;="&amp;账期起,入库单!$C$4:$C$2503,"&lt;="&amp;账期止)+COUNTIFS(出库单!$D$4:$D$4003,$A341,出库单!$K$4:$K$4003,"盘亏",出库单!$C$4:$C$4003,"&gt;="&amp;账期起,出库单!$C$4:$C$4003,"&lt;="&amp;账期止)&gt;0,"已调账","※差异还没调账")))</f>
        <v/>
      </c>
      <c r="Q341" s="17" t="n"/>
      <c r="R341" s="17" t="n"/>
    </row>
    <row r="342">
      <c r="A342" s="24">
        <f>IF(库存台账!$A342="","",库存台账!$A342)</f>
        <v/>
      </c>
      <c r="B342" s="24">
        <f>IF($A342="","",库存台账!$B342)</f>
        <v/>
      </c>
      <c r="C342" s="24">
        <f>IF($A342="","",库存台账!$C342)</f>
        <v/>
      </c>
      <c r="D342" s="24">
        <f>IF($A342="","",库存台账!$D342)</f>
        <v/>
      </c>
      <c r="E342" s="24">
        <f>IF($A342="","",库存台账!$E342)</f>
        <v/>
      </c>
      <c r="F342" s="24">
        <f>IF($A342="","",库存台账!$F342)</f>
        <v/>
      </c>
      <c r="G342" s="17" t="n"/>
      <c r="H342" s="23" t="n"/>
      <c r="I342" s="27">
        <f>IF($A342="","",库存台账!$X342)</f>
        <v/>
      </c>
      <c r="J342" s="27">
        <f>IF(OR($A342="",$H342=""),"",ROUND($H342-$I342,3))</f>
        <v/>
      </c>
      <c r="K342" s="26">
        <f>IF($A342="","",库存台账!$K342)</f>
        <v/>
      </c>
      <c r="L342" s="26">
        <f>IF($J342="","",ROUND($J342*$K342,0))</f>
        <v/>
      </c>
      <c r="M342" s="37">
        <f>IF(OR($J342="",$I342=0),"",ROUND($J342/$I342,4))</f>
        <v/>
      </c>
      <c r="N342" s="17" t="n"/>
      <c r="O342" s="17" t="n"/>
      <c r="P342" s="24">
        <f>IF($J342="","未盘",IF(ROUND($J342,3)=0,"账实相符",IF(COUNTIFS(入库单!$G$4:$G$2503,$A342,入库单!$X$4:$X$2503,"盘盈",入库单!$C$4:$C$2503,"&gt;="&amp;账期起,入库单!$C$4:$C$2503,"&lt;="&amp;账期止)+COUNTIFS(出库单!$D$4:$D$4003,$A342,出库单!$K$4:$K$4003,"盘亏",出库单!$C$4:$C$4003,"&gt;="&amp;账期起,出库单!$C$4:$C$4003,"&lt;="&amp;账期止)&gt;0,"已调账","※差异还没调账")))</f>
        <v/>
      </c>
      <c r="Q342" s="17" t="n"/>
      <c r="R342" s="17" t="n"/>
    </row>
    <row r="343">
      <c r="A343" s="24">
        <f>IF(库存台账!$A343="","",库存台账!$A343)</f>
        <v/>
      </c>
      <c r="B343" s="24">
        <f>IF($A343="","",库存台账!$B343)</f>
        <v/>
      </c>
      <c r="C343" s="24">
        <f>IF($A343="","",库存台账!$C343)</f>
        <v/>
      </c>
      <c r="D343" s="24">
        <f>IF($A343="","",库存台账!$D343)</f>
        <v/>
      </c>
      <c r="E343" s="24">
        <f>IF($A343="","",库存台账!$E343)</f>
        <v/>
      </c>
      <c r="F343" s="24">
        <f>IF($A343="","",库存台账!$F343)</f>
        <v/>
      </c>
      <c r="G343" s="17" t="n"/>
      <c r="H343" s="23" t="n"/>
      <c r="I343" s="27">
        <f>IF($A343="","",库存台账!$X343)</f>
        <v/>
      </c>
      <c r="J343" s="27">
        <f>IF(OR($A343="",$H343=""),"",ROUND($H343-$I343,3))</f>
        <v/>
      </c>
      <c r="K343" s="26">
        <f>IF($A343="","",库存台账!$K343)</f>
        <v/>
      </c>
      <c r="L343" s="26">
        <f>IF($J343="","",ROUND($J343*$K343,0))</f>
        <v/>
      </c>
      <c r="M343" s="37">
        <f>IF(OR($J343="",$I343=0),"",ROUND($J343/$I343,4))</f>
        <v/>
      </c>
      <c r="N343" s="17" t="n"/>
      <c r="O343" s="17" t="n"/>
      <c r="P343" s="24">
        <f>IF($J343="","未盘",IF(ROUND($J343,3)=0,"账实相符",IF(COUNTIFS(入库单!$G$4:$G$2503,$A343,入库单!$X$4:$X$2503,"盘盈",入库单!$C$4:$C$2503,"&gt;="&amp;账期起,入库单!$C$4:$C$2503,"&lt;="&amp;账期止)+COUNTIFS(出库单!$D$4:$D$4003,$A343,出库单!$K$4:$K$4003,"盘亏",出库单!$C$4:$C$4003,"&gt;="&amp;账期起,出库单!$C$4:$C$4003,"&lt;="&amp;账期止)&gt;0,"已调账","※差异还没调账")))</f>
        <v/>
      </c>
      <c r="Q343" s="17" t="n"/>
      <c r="R343" s="17" t="n"/>
    </row>
    <row r="344">
      <c r="A344" s="24">
        <f>IF(库存台账!$A344="","",库存台账!$A344)</f>
        <v/>
      </c>
      <c r="B344" s="24">
        <f>IF($A344="","",库存台账!$B344)</f>
        <v/>
      </c>
      <c r="C344" s="24">
        <f>IF($A344="","",库存台账!$C344)</f>
        <v/>
      </c>
      <c r="D344" s="24">
        <f>IF($A344="","",库存台账!$D344)</f>
        <v/>
      </c>
      <c r="E344" s="24">
        <f>IF($A344="","",库存台账!$E344)</f>
        <v/>
      </c>
      <c r="F344" s="24">
        <f>IF($A344="","",库存台账!$F344)</f>
        <v/>
      </c>
      <c r="G344" s="17" t="n"/>
      <c r="H344" s="23" t="n"/>
      <c r="I344" s="27">
        <f>IF($A344="","",库存台账!$X344)</f>
        <v/>
      </c>
      <c r="J344" s="27">
        <f>IF(OR($A344="",$H344=""),"",ROUND($H344-$I344,3))</f>
        <v/>
      </c>
      <c r="K344" s="26">
        <f>IF($A344="","",库存台账!$K344)</f>
        <v/>
      </c>
      <c r="L344" s="26">
        <f>IF($J344="","",ROUND($J344*$K344,0))</f>
        <v/>
      </c>
      <c r="M344" s="37">
        <f>IF(OR($J344="",$I344=0),"",ROUND($J344/$I344,4))</f>
        <v/>
      </c>
      <c r="N344" s="17" t="n"/>
      <c r="O344" s="17" t="n"/>
      <c r="P344" s="24">
        <f>IF($J344="","未盘",IF(ROUND($J344,3)=0,"账实相符",IF(COUNTIFS(入库单!$G$4:$G$2503,$A344,入库单!$X$4:$X$2503,"盘盈",入库单!$C$4:$C$2503,"&gt;="&amp;账期起,入库单!$C$4:$C$2503,"&lt;="&amp;账期止)+COUNTIFS(出库单!$D$4:$D$4003,$A344,出库单!$K$4:$K$4003,"盘亏",出库单!$C$4:$C$4003,"&gt;="&amp;账期起,出库单!$C$4:$C$4003,"&lt;="&amp;账期止)&gt;0,"已调账","※差异还没调账")))</f>
        <v/>
      </c>
      <c r="Q344" s="17" t="n"/>
      <c r="R344" s="17" t="n"/>
    </row>
    <row r="345">
      <c r="A345" s="24">
        <f>IF(库存台账!$A345="","",库存台账!$A345)</f>
        <v/>
      </c>
      <c r="B345" s="24">
        <f>IF($A345="","",库存台账!$B345)</f>
        <v/>
      </c>
      <c r="C345" s="24">
        <f>IF($A345="","",库存台账!$C345)</f>
        <v/>
      </c>
      <c r="D345" s="24">
        <f>IF($A345="","",库存台账!$D345)</f>
        <v/>
      </c>
      <c r="E345" s="24">
        <f>IF($A345="","",库存台账!$E345)</f>
        <v/>
      </c>
      <c r="F345" s="24">
        <f>IF($A345="","",库存台账!$F345)</f>
        <v/>
      </c>
      <c r="G345" s="17" t="n"/>
      <c r="H345" s="23" t="n"/>
      <c r="I345" s="27">
        <f>IF($A345="","",库存台账!$X345)</f>
        <v/>
      </c>
      <c r="J345" s="27">
        <f>IF(OR($A345="",$H345=""),"",ROUND($H345-$I345,3))</f>
        <v/>
      </c>
      <c r="K345" s="26">
        <f>IF($A345="","",库存台账!$K345)</f>
        <v/>
      </c>
      <c r="L345" s="26">
        <f>IF($J345="","",ROUND($J345*$K345,0))</f>
        <v/>
      </c>
      <c r="M345" s="37">
        <f>IF(OR($J345="",$I345=0),"",ROUND($J345/$I345,4))</f>
        <v/>
      </c>
      <c r="N345" s="17" t="n"/>
      <c r="O345" s="17" t="n"/>
      <c r="P345" s="24">
        <f>IF($J345="","未盘",IF(ROUND($J345,3)=0,"账实相符",IF(COUNTIFS(入库单!$G$4:$G$2503,$A345,入库单!$X$4:$X$2503,"盘盈",入库单!$C$4:$C$2503,"&gt;="&amp;账期起,入库单!$C$4:$C$2503,"&lt;="&amp;账期止)+COUNTIFS(出库单!$D$4:$D$4003,$A345,出库单!$K$4:$K$4003,"盘亏",出库单!$C$4:$C$4003,"&gt;="&amp;账期起,出库单!$C$4:$C$4003,"&lt;="&amp;账期止)&gt;0,"已调账","※差异还没调账")))</f>
        <v/>
      </c>
      <c r="Q345" s="17" t="n"/>
      <c r="R345" s="17" t="n"/>
    </row>
    <row r="346">
      <c r="A346" s="24">
        <f>IF(库存台账!$A346="","",库存台账!$A346)</f>
        <v/>
      </c>
      <c r="B346" s="24">
        <f>IF($A346="","",库存台账!$B346)</f>
        <v/>
      </c>
      <c r="C346" s="24">
        <f>IF($A346="","",库存台账!$C346)</f>
        <v/>
      </c>
      <c r="D346" s="24">
        <f>IF($A346="","",库存台账!$D346)</f>
        <v/>
      </c>
      <c r="E346" s="24">
        <f>IF($A346="","",库存台账!$E346)</f>
        <v/>
      </c>
      <c r="F346" s="24">
        <f>IF($A346="","",库存台账!$F346)</f>
        <v/>
      </c>
      <c r="G346" s="17" t="n"/>
      <c r="H346" s="23" t="n"/>
      <c r="I346" s="27">
        <f>IF($A346="","",库存台账!$X346)</f>
        <v/>
      </c>
      <c r="J346" s="27">
        <f>IF(OR($A346="",$H346=""),"",ROUND($H346-$I346,3))</f>
        <v/>
      </c>
      <c r="K346" s="26">
        <f>IF($A346="","",库存台账!$K346)</f>
        <v/>
      </c>
      <c r="L346" s="26">
        <f>IF($J346="","",ROUND($J346*$K346,0))</f>
        <v/>
      </c>
      <c r="M346" s="37">
        <f>IF(OR($J346="",$I346=0),"",ROUND($J346/$I346,4))</f>
        <v/>
      </c>
      <c r="N346" s="17" t="n"/>
      <c r="O346" s="17" t="n"/>
      <c r="P346" s="24">
        <f>IF($J346="","未盘",IF(ROUND($J346,3)=0,"账实相符",IF(COUNTIFS(入库单!$G$4:$G$2503,$A346,入库单!$X$4:$X$2503,"盘盈",入库单!$C$4:$C$2503,"&gt;="&amp;账期起,入库单!$C$4:$C$2503,"&lt;="&amp;账期止)+COUNTIFS(出库单!$D$4:$D$4003,$A346,出库单!$K$4:$K$4003,"盘亏",出库单!$C$4:$C$4003,"&gt;="&amp;账期起,出库单!$C$4:$C$4003,"&lt;="&amp;账期止)&gt;0,"已调账","※差异还没调账")))</f>
        <v/>
      </c>
      <c r="Q346" s="17" t="n"/>
      <c r="R346" s="17" t="n"/>
    </row>
    <row r="347">
      <c r="A347" s="24">
        <f>IF(库存台账!$A347="","",库存台账!$A347)</f>
        <v/>
      </c>
      <c r="B347" s="24">
        <f>IF($A347="","",库存台账!$B347)</f>
        <v/>
      </c>
      <c r="C347" s="24">
        <f>IF($A347="","",库存台账!$C347)</f>
        <v/>
      </c>
      <c r="D347" s="24">
        <f>IF($A347="","",库存台账!$D347)</f>
        <v/>
      </c>
      <c r="E347" s="24">
        <f>IF($A347="","",库存台账!$E347)</f>
        <v/>
      </c>
      <c r="F347" s="24">
        <f>IF($A347="","",库存台账!$F347)</f>
        <v/>
      </c>
      <c r="G347" s="17" t="n"/>
      <c r="H347" s="23" t="n"/>
      <c r="I347" s="27">
        <f>IF($A347="","",库存台账!$X347)</f>
        <v/>
      </c>
      <c r="J347" s="27">
        <f>IF(OR($A347="",$H347=""),"",ROUND($H347-$I347,3))</f>
        <v/>
      </c>
      <c r="K347" s="26">
        <f>IF($A347="","",库存台账!$K347)</f>
        <v/>
      </c>
      <c r="L347" s="26">
        <f>IF($J347="","",ROUND($J347*$K347,0))</f>
        <v/>
      </c>
      <c r="M347" s="37">
        <f>IF(OR($J347="",$I347=0),"",ROUND($J347/$I347,4))</f>
        <v/>
      </c>
      <c r="N347" s="17" t="n"/>
      <c r="O347" s="17" t="n"/>
      <c r="P347" s="24">
        <f>IF($J347="","未盘",IF(ROUND($J347,3)=0,"账实相符",IF(COUNTIFS(入库单!$G$4:$G$2503,$A347,入库单!$X$4:$X$2503,"盘盈",入库单!$C$4:$C$2503,"&gt;="&amp;账期起,入库单!$C$4:$C$2503,"&lt;="&amp;账期止)+COUNTIFS(出库单!$D$4:$D$4003,$A347,出库单!$K$4:$K$4003,"盘亏",出库单!$C$4:$C$4003,"&gt;="&amp;账期起,出库单!$C$4:$C$4003,"&lt;="&amp;账期止)&gt;0,"已调账","※差异还没调账")))</f>
        <v/>
      </c>
      <c r="Q347" s="17" t="n"/>
      <c r="R347" s="17" t="n"/>
    </row>
    <row r="348">
      <c r="A348" s="24">
        <f>IF(库存台账!$A348="","",库存台账!$A348)</f>
        <v/>
      </c>
      <c r="B348" s="24">
        <f>IF($A348="","",库存台账!$B348)</f>
        <v/>
      </c>
      <c r="C348" s="24">
        <f>IF($A348="","",库存台账!$C348)</f>
        <v/>
      </c>
      <c r="D348" s="24">
        <f>IF($A348="","",库存台账!$D348)</f>
        <v/>
      </c>
      <c r="E348" s="24">
        <f>IF($A348="","",库存台账!$E348)</f>
        <v/>
      </c>
      <c r="F348" s="24">
        <f>IF($A348="","",库存台账!$F348)</f>
        <v/>
      </c>
      <c r="G348" s="17" t="n"/>
      <c r="H348" s="23" t="n"/>
      <c r="I348" s="27">
        <f>IF($A348="","",库存台账!$X348)</f>
        <v/>
      </c>
      <c r="J348" s="27">
        <f>IF(OR($A348="",$H348=""),"",ROUND($H348-$I348,3))</f>
        <v/>
      </c>
      <c r="K348" s="26">
        <f>IF($A348="","",库存台账!$K348)</f>
        <v/>
      </c>
      <c r="L348" s="26">
        <f>IF($J348="","",ROUND($J348*$K348,0))</f>
        <v/>
      </c>
      <c r="M348" s="37">
        <f>IF(OR($J348="",$I348=0),"",ROUND($J348/$I348,4))</f>
        <v/>
      </c>
      <c r="N348" s="17" t="n"/>
      <c r="O348" s="17" t="n"/>
      <c r="P348" s="24">
        <f>IF($J348="","未盘",IF(ROUND($J348,3)=0,"账实相符",IF(COUNTIFS(入库单!$G$4:$G$2503,$A348,入库单!$X$4:$X$2503,"盘盈",入库单!$C$4:$C$2503,"&gt;="&amp;账期起,入库单!$C$4:$C$2503,"&lt;="&amp;账期止)+COUNTIFS(出库单!$D$4:$D$4003,$A348,出库单!$K$4:$K$4003,"盘亏",出库单!$C$4:$C$4003,"&gt;="&amp;账期起,出库单!$C$4:$C$4003,"&lt;="&amp;账期止)&gt;0,"已调账","※差异还没调账")))</f>
        <v/>
      </c>
      <c r="Q348" s="17" t="n"/>
      <c r="R348" s="17" t="n"/>
    </row>
    <row r="349">
      <c r="A349" s="24">
        <f>IF(库存台账!$A349="","",库存台账!$A349)</f>
        <v/>
      </c>
      <c r="B349" s="24">
        <f>IF($A349="","",库存台账!$B349)</f>
        <v/>
      </c>
      <c r="C349" s="24">
        <f>IF($A349="","",库存台账!$C349)</f>
        <v/>
      </c>
      <c r="D349" s="24">
        <f>IF($A349="","",库存台账!$D349)</f>
        <v/>
      </c>
      <c r="E349" s="24">
        <f>IF($A349="","",库存台账!$E349)</f>
        <v/>
      </c>
      <c r="F349" s="24">
        <f>IF($A349="","",库存台账!$F349)</f>
        <v/>
      </c>
      <c r="G349" s="17" t="n"/>
      <c r="H349" s="23" t="n"/>
      <c r="I349" s="27">
        <f>IF($A349="","",库存台账!$X349)</f>
        <v/>
      </c>
      <c r="J349" s="27">
        <f>IF(OR($A349="",$H349=""),"",ROUND($H349-$I349,3))</f>
        <v/>
      </c>
      <c r="K349" s="26">
        <f>IF($A349="","",库存台账!$K349)</f>
        <v/>
      </c>
      <c r="L349" s="26">
        <f>IF($J349="","",ROUND($J349*$K349,0))</f>
        <v/>
      </c>
      <c r="M349" s="37">
        <f>IF(OR($J349="",$I349=0),"",ROUND($J349/$I349,4))</f>
        <v/>
      </c>
      <c r="N349" s="17" t="n"/>
      <c r="O349" s="17" t="n"/>
      <c r="P349" s="24">
        <f>IF($J349="","未盘",IF(ROUND($J349,3)=0,"账实相符",IF(COUNTIFS(入库单!$G$4:$G$2503,$A349,入库单!$X$4:$X$2503,"盘盈",入库单!$C$4:$C$2503,"&gt;="&amp;账期起,入库单!$C$4:$C$2503,"&lt;="&amp;账期止)+COUNTIFS(出库单!$D$4:$D$4003,$A349,出库单!$K$4:$K$4003,"盘亏",出库单!$C$4:$C$4003,"&gt;="&amp;账期起,出库单!$C$4:$C$4003,"&lt;="&amp;账期止)&gt;0,"已调账","※差异还没调账")))</f>
        <v/>
      </c>
      <c r="Q349" s="17" t="n"/>
      <c r="R349" s="17" t="n"/>
    </row>
    <row r="350">
      <c r="A350" s="24">
        <f>IF(库存台账!$A350="","",库存台账!$A350)</f>
        <v/>
      </c>
      <c r="B350" s="24">
        <f>IF($A350="","",库存台账!$B350)</f>
        <v/>
      </c>
      <c r="C350" s="24">
        <f>IF($A350="","",库存台账!$C350)</f>
        <v/>
      </c>
      <c r="D350" s="24">
        <f>IF($A350="","",库存台账!$D350)</f>
        <v/>
      </c>
      <c r="E350" s="24">
        <f>IF($A350="","",库存台账!$E350)</f>
        <v/>
      </c>
      <c r="F350" s="24">
        <f>IF($A350="","",库存台账!$F350)</f>
        <v/>
      </c>
      <c r="G350" s="17" t="n"/>
      <c r="H350" s="23" t="n"/>
      <c r="I350" s="27">
        <f>IF($A350="","",库存台账!$X350)</f>
        <v/>
      </c>
      <c r="J350" s="27">
        <f>IF(OR($A350="",$H350=""),"",ROUND($H350-$I350,3))</f>
        <v/>
      </c>
      <c r="K350" s="26">
        <f>IF($A350="","",库存台账!$K350)</f>
        <v/>
      </c>
      <c r="L350" s="26">
        <f>IF($J350="","",ROUND($J350*$K350,0))</f>
        <v/>
      </c>
      <c r="M350" s="37">
        <f>IF(OR($J350="",$I350=0),"",ROUND($J350/$I350,4))</f>
        <v/>
      </c>
      <c r="N350" s="17" t="n"/>
      <c r="O350" s="17" t="n"/>
      <c r="P350" s="24">
        <f>IF($J350="","未盘",IF(ROUND($J350,3)=0,"账实相符",IF(COUNTIFS(入库单!$G$4:$G$2503,$A350,入库单!$X$4:$X$2503,"盘盈",入库单!$C$4:$C$2503,"&gt;="&amp;账期起,入库单!$C$4:$C$2503,"&lt;="&amp;账期止)+COUNTIFS(出库单!$D$4:$D$4003,$A350,出库单!$K$4:$K$4003,"盘亏",出库单!$C$4:$C$4003,"&gt;="&amp;账期起,出库单!$C$4:$C$4003,"&lt;="&amp;账期止)&gt;0,"已调账","※差异还没调账")))</f>
        <v/>
      </c>
      <c r="Q350" s="17" t="n"/>
      <c r="R350" s="17" t="n"/>
    </row>
    <row r="351">
      <c r="A351" s="24">
        <f>IF(库存台账!$A351="","",库存台账!$A351)</f>
        <v/>
      </c>
      <c r="B351" s="24">
        <f>IF($A351="","",库存台账!$B351)</f>
        <v/>
      </c>
      <c r="C351" s="24">
        <f>IF($A351="","",库存台账!$C351)</f>
        <v/>
      </c>
      <c r="D351" s="24">
        <f>IF($A351="","",库存台账!$D351)</f>
        <v/>
      </c>
      <c r="E351" s="24">
        <f>IF($A351="","",库存台账!$E351)</f>
        <v/>
      </c>
      <c r="F351" s="24">
        <f>IF($A351="","",库存台账!$F351)</f>
        <v/>
      </c>
      <c r="G351" s="17" t="n"/>
      <c r="H351" s="23" t="n"/>
      <c r="I351" s="27">
        <f>IF($A351="","",库存台账!$X351)</f>
        <v/>
      </c>
      <c r="J351" s="27">
        <f>IF(OR($A351="",$H351=""),"",ROUND($H351-$I351,3))</f>
        <v/>
      </c>
      <c r="K351" s="26">
        <f>IF($A351="","",库存台账!$K351)</f>
        <v/>
      </c>
      <c r="L351" s="26">
        <f>IF($J351="","",ROUND($J351*$K351,0))</f>
        <v/>
      </c>
      <c r="M351" s="37">
        <f>IF(OR($J351="",$I351=0),"",ROUND($J351/$I351,4))</f>
        <v/>
      </c>
      <c r="N351" s="17" t="n"/>
      <c r="O351" s="17" t="n"/>
      <c r="P351" s="24">
        <f>IF($J351="","未盘",IF(ROUND($J351,3)=0,"账实相符",IF(COUNTIFS(入库单!$G$4:$G$2503,$A351,入库单!$X$4:$X$2503,"盘盈",入库单!$C$4:$C$2503,"&gt;="&amp;账期起,入库单!$C$4:$C$2503,"&lt;="&amp;账期止)+COUNTIFS(出库单!$D$4:$D$4003,$A351,出库单!$K$4:$K$4003,"盘亏",出库单!$C$4:$C$4003,"&gt;="&amp;账期起,出库单!$C$4:$C$4003,"&lt;="&amp;账期止)&gt;0,"已调账","※差异还没调账")))</f>
        <v/>
      </c>
      <c r="Q351" s="17" t="n"/>
      <c r="R351" s="17" t="n"/>
    </row>
    <row r="352">
      <c r="A352" s="24">
        <f>IF(库存台账!$A352="","",库存台账!$A352)</f>
        <v/>
      </c>
      <c r="B352" s="24">
        <f>IF($A352="","",库存台账!$B352)</f>
        <v/>
      </c>
      <c r="C352" s="24">
        <f>IF($A352="","",库存台账!$C352)</f>
        <v/>
      </c>
      <c r="D352" s="24">
        <f>IF($A352="","",库存台账!$D352)</f>
        <v/>
      </c>
      <c r="E352" s="24">
        <f>IF($A352="","",库存台账!$E352)</f>
        <v/>
      </c>
      <c r="F352" s="24">
        <f>IF($A352="","",库存台账!$F352)</f>
        <v/>
      </c>
      <c r="G352" s="17" t="n"/>
      <c r="H352" s="23" t="n"/>
      <c r="I352" s="27">
        <f>IF($A352="","",库存台账!$X352)</f>
        <v/>
      </c>
      <c r="J352" s="27">
        <f>IF(OR($A352="",$H352=""),"",ROUND($H352-$I352,3))</f>
        <v/>
      </c>
      <c r="K352" s="26">
        <f>IF($A352="","",库存台账!$K352)</f>
        <v/>
      </c>
      <c r="L352" s="26">
        <f>IF($J352="","",ROUND($J352*$K352,0))</f>
        <v/>
      </c>
      <c r="M352" s="37">
        <f>IF(OR($J352="",$I352=0),"",ROUND($J352/$I352,4))</f>
        <v/>
      </c>
      <c r="N352" s="17" t="n"/>
      <c r="O352" s="17" t="n"/>
      <c r="P352" s="24">
        <f>IF($J352="","未盘",IF(ROUND($J352,3)=0,"账实相符",IF(COUNTIFS(入库单!$G$4:$G$2503,$A352,入库单!$X$4:$X$2503,"盘盈",入库单!$C$4:$C$2503,"&gt;="&amp;账期起,入库单!$C$4:$C$2503,"&lt;="&amp;账期止)+COUNTIFS(出库单!$D$4:$D$4003,$A352,出库单!$K$4:$K$4003,"盘亏",出库单!$C$4:$C$4003,"&gt;="&amp;账期起,出库单!$C$4:$C$4003,"&lt;="&amp;账期止)&gt;0,"已调账","※差异还没调账")))</f>
        <v/>
      </c>
      <c r="Q352" s="17" t="n"/>
      <c r="R352" s="17" t="n"/>
    </row>
    <row r="353">
      <c r="A353" s="24">
        <f>IF(库存台账!$A353="","",库存台账!$A353)</f>
        <v/>
      </c>
      <c r="B353" s="24">
        <f>IF($A353="","",库存台账!$B353)</f>
        <v/>
      </c>
      <c r="C353" s="24">
        <f>IF($A353="","",库存台账!$C353)</f>
        <v/>
      </c>
      <c r="D353" s="24">
        <f>IF($A353="","",库存台账!$D353)</f>
        <v/>
      </c>
      <c r="E353" s="24">
        <f>IF($A353="","",库存台账!$E353)</f>
        <v/>
      </c>
      <c r="F353" s="24">
        <f>IF($A353="","",库存台账!$F353)</f>
        <v/>
      </c>
      <c r="G353" s="17" t="n"/>
      <c r="H353" s="23" t="n"/>
      <c r="I353" s="27">
        <f>IF($A353="","",库存台账!$X353)</f>
        <v/>
      </c>
      <c r="J353" s="27">
        <f>IF(OR($A353="",$H353=""),"",ROUND($H353-$I353,3))</f>
        <v/>
      </c>
      <c r="K353" s="26">
        <f>IF($A353="","",库存台账!$K353)</f>
        <v/>
      </c>
      <c r="L353" s="26">
        <f>IF($J353="","",ROUND($J353*$K353,0))</f>
        <v/>
      </c>
      <c r="M353" s="37">
        <f>IF(OR($J353="",$I353=0),"",ROUND($J353/$I353,4))</f>
        <v/>
      </c>
      <c r="N353" s="17" t="n"/>
      <c r="O353" s="17" t="n"/>
      <c r="P353" s="24">
        <f>IF($J353="","未盘",IF(ROUND($J353,3)=0,"账实相符",IF(COUNTIFS(入库单!$G$4:$G$2503,$A353,入库单!$X$4:$X$2503,"盘盈",入库单!$C$4:$C$2503,"&gt;="&amp;账期起,入库单!$C$4:$C$2503,"&lt;="&amp;账期止)+COUNTIFS(出库单!$D$4:$D$4003,$A353,出库单!$K$4:$K$4003,"盘亏",出库单!$C$4:$C$4003,"&gt;="&amp;账期起,出库单!$C$4:$C$4003,"&lt;="&amp;账期止)&gt;0,"已调账","※差异还没调账")))</f>
        <v/>
      </c>
      <c r="Q353" s="17" t="n"/>
      <c r="R353" s="17" t="n"/>
    </row>
    <row r="354">
      <c r="A354" s="24">
        <f>IF(库存台账!$A354="","",库存台账!$A354)</f>
        <v/>
      </c>
      <c r="B354" s="24">
        <f>IF($A354="","",库存台账!$B354)</f>
        <v/>
      </c>
      <c r="C354" s="24">
        <f>IF($A354="","",库存台账!$C354)</f>
        <v/>
      </c>
      <c r="D354" s="24">
        <f>IF($A354="","",库存台账!$D354)</f>
        <v/>
      </c>
      <c r="E354" s="24">
        <f>IF($A354="","",库存台账!$E354)</f>
        <v/>
      </c>
      <c r="F354" s="24">
        <f>IF($A354="","",库存台账!$F354)</f>
        <v/>
      </c>
      <c r="G354" s="17" t="n"/>
      <c r="H354" s="23" t="n"/>
      <c r="I354" s="27">
        <f>IF($A354="","",库存台账!$X354)</f>
        <v/>
      </c>
      <c r="J354" s="27">
        <f>IF(OR($A354="",$H354=""),"",ROUND($H354-$I354,3))</f>
        <v/>
      </c>
      <c r="K354" s="26">
        <f>IF($A354="","",库存台账!$K354)</f>
        <v/>
      </c>
      <c r="L354" s="26">
        <f>IF($J354="","",ROUND($J354*$K354,0))</f>
        <v/>
      </c>
      <c r="M354" s="37">
        <f>IF(OR($J354="",$I354=0),"",ROUND($J354/$I354,4))</f>
        <v/>
      </c>
      <c r="N354" s="17" t="n"/>
      <c r="O354" s="17" t="n"/>
      <c r="P354" s="24">
        <f>IF($J354="","未盘",IF(ROUND($J354,3)=0,"账实相符",IF(COUNTIFS(入库单!$G$4:$G$2503,$A354,入库单!$X$4:$X$2503,"盘盈",入库单!$C$4:$C$2503,"&gt;="&amp;账期起,入库单!$C$4:$C$2503,"&lt;="&amp;账期止)+COUNTIFS(出库单!$D$4:$D$4003,$A354,出库单!$K$4:$K$4003,"盘亏",出库单!$C$4:$C$4003,"&gt;="&amp;账期起,出库单!$C$4:$C$4003,"&lt;="&amp;账期止)&gt;0,"已调账","※差异还没调账")))</f>
        <v/>
      </c>
      <c r="Q354" s="17" t="n"/>
      <c r="R354" s="17" t="n"/>
    </row>
    <row r="355">
      <c r="A355" s="24">
        <f>IF(库存台账!$A355="","",库存台账!$A355)</f>
        <v/>
      </c>
      <c r="B355" s="24">
        <f>IF($A355="","",库存台账!$B355)</f>
        <v/>
      </c>
      <c r="C355" s="24">
        <f>IF($A355="","",库存台账!$C355)</f>
        <v/>
      </c>
      <c r="D355" s="24">
        <f>IF($A355="","",库存台账!$D355)</f>
        <v/>
      </c>
      <c r="E355" s="24">
        <f>IF($A355="","",库存台账!$E355)</f>
        <v/>
      </c>
      <c r="F355" s="24">
        <f>IF($A355="","",库存台账!$F355)</f>
        <v/>
      </c>
      <c r="G355" s="17" t="n"/>
      <c r="H355" s="23" t="n"/>
      <c r="I355" s="27">
        <f>IF($A355="","",库存台账!$X355)</f>
        <v/>
      </c>
      <c r="J355" s="27">
        <f>IF(OR($A355="",$H355=""),"",ROUND($H355-$I355,3))</f>
        <v/>
      </c>
      <c r="K355" s="26">
        <f>IF($A355="","",库存台账!$K355)</f>
        <v/>
      </c>
      <c r="L355" s="26">
        <f>IF($J355="","",ROUND($J355*$K355,0))</f>
        <v/>
      </c>
      <c r="M355" s="37">
        <f>IF(OR($J355="",$I355=0),"",ROUND($J355/$I355,4))</f>
        <v/>
      </c>
      <c r="N355" s="17" t="n"/>
      <c r="O355" s="17" t="n"/>
      <c r="P355" s="24">
        <f>IF($J355="","未盘",IF(ROUND($J355,3)=0,"账实相符",IF(COUNTIFS(入库单!$G$4:$G$2503,$A355,入库单!$X$4:$X$2503,"盘盈",入库单!$C$4:$C$2503,"&gt;="&amp;账期起,入库单!$C$4:$C$2503,"&lt;="&amp;账期止)+COUNTIFS(出库单!$D$4:$D$4003,$A355,出库单!$K$4:$K$4003,"盘亏",出库单!$C$4:$C$4003,"&gt;="&amp;账期起,出库单!$C$4:$C$4003,"&lt;="&amp;账期止)&gt;0,"已调账","※差异还没调账")))</f>
        <v/>
      </c>
      <c r="Q355" s="17" t="n"/>
      <c r="R355" s="17" t="n"/>
    </row>
    <row r="356">
      <c r="A356" s="24">
        <f>IF(库存台账!$A356="","",库存台账!$A356)</f>
        <v/>
      </c>
      <c r="B356" s="24">
        <f>IF($A356="","",库存台账!$B356)</f>
        <v/>
      </c>
      <c r="C356" s="24">
        <f>IF($A356="","",库存台账!$C356)</f>
        <v/>
      </c>
      <c r="D356" s="24">
        <f>IF($A356="","",库存台账!$D356)</f>
        <v/>
      </c>
      <c r="E356" s="24">
        <f>IF($A356="","",库存台账!$E356)</f>
        <v/>
      </c>
      <c r="F356" s="24">
        <f>IF($A356="","",库存台账!$F356)</f>
        <v/>
      </c>
      <c r="G356" s="17" t="n"/>
      <c r="H356" s="23" t="n"/>
      <c r="I356" s="27">
        <f>IF($A356="","",库存台账!$X356)</f>
        <v/>
      </c>
      <c r="J356" s="27">
        <f>IF(OR($A356="",$H356=""),"",ROUND($H356-$I356,3))</f>
        <v/>
      </c>
      <c r="K356" s="26">
        <f>IF($A356="","",库存台账!$K356)</f>
        <v/>
      </c>
      <c r="L356" s="26">
        <f>IF($J356="","",ROUND($J356*$K356,0))</f>
        <v/>
      </c>
      <c r="M356" s="37">
        <f>IF(OR($J356="",$I356=0),"",ROUND($J356/$I356,4))</f>
        <v/>
      </c>
      <c r="N356" s="17" t="n"/>
      <c r="O356" s="17" t="n"/>
      <c r="P356" s="24">
        <f>IF($J356="","未盘",IF(ROUND($J356,3)=0,"账实相符",IF(COUNTIFS(入库单!$G$4:$G$2503,$A356,入库单!$X$4:$X$2503,"盘盈",入库单!$C$4:$C$2503,"&gt;="&amp;账期起,入库单!$C$4:$C$2503,"&lt;="&amp;账期止)+COUNTIFS(出库单!$D$4:$D$4003,$A356,出库单!$K$4:$K$4003,"盘亏",出库单!$C$4:$C$4003,"&gt;="&amp;账期起,出库单!$C$4:$C$4003,"&lt;="&amp;账期止)&gt;0,"已调账","※差异还没调账")))</f>
        <v/>
      </c>
      <c r="Q356" s="17" t="n"/>
      <c r="R356" s="17" t="n"/>
    </row>
    <row r="357">
      <c r="A357" s="24">
        <f>IF(库存台账!$A357="","",库存台账!$A357)</f>
        <v/>
      </c>
      <c r="B357" s="24">
        <f>IF($A357="","",库存台账!$B357)</f>
        <v/>
      </c>
      <c r="C357" s="24">
        <f>IF($A357="","",库存台账!$C357)</f>
        <v/>
      </c>
      <c r="D357" s="24">
        <f>IF($A357="","",库存台账!$D357)</f>
        <v/>
      </c>
      <c r="E357" s="24">
        <f>IF($A357="","",库存台账!$E357)</f>
        <v/>
      </c>
      <c r="F357" s="24">
        <f>IF($A357="","",库存台账!$F357)</f>
        <v/>
      </c>
      <c r="G357" s="17" t="n"/>
      <c r="H357" s="23" t="n"/>
      <c r="I357" s="27">
        <f>IF($A357="","",库存台账!$X357)</f>
        <v/>
      </c>
      <c r="J357" s="27">
        <f>IF(OR($A357="",$H357=""),"",ROUND($H357-$I357,3))</f>
        <v/>
      </c>
      <c r="K357" s="26">
        <f>IF($A357="","",库存台账!$K357)</f>
        <v/>
      </c>
      <c r="L357" s="26">
        <f>IF($J357="","",ROUND($J357*$K357,0))</f>
        <v/>
      </c>
      <c r="M357" s="37">
        <f>IF(OR($J357="",$I357=0),"",ROUND($J357/$I357,4))</f>
        <v/>
      </c>
      <c r="N357" s="17" t="n"/>
      <c r="O357" s="17" t="n"/>
      <c r="P357" s="24">
        <f>IF($J357="","未盘",IF(ROUND($J357,3)=0,"账实相符",IF(COUNTIFS(入库单!$G$4:$G$2503,$A357,入库单!$X$4:$X$2503,"盘盈",入库单!$C$4:$C$2503,"&gt;="&amp;账期起,入库单!$C$4:$C$2503,"&lt;="&amp;账期止)+COUNTIFS(出库单!$D$4:$D$4003,$A357,出库单!$K$4:$K$4003,"盘亏",出库单!$C$4:$C$4003,"&gt;="&amp;账期起,出库单!$C$4:$C$4003,"&lt;="&amp;账期止)&gt;0,"已调账","※差异还没调账")))</f>
        <v/>
      </c>
      <c r="Q357" s="17" t="n"/>
      <c r="R357" s="17" t="n"/>
    </row>
    <row r="358">
      <c r="A358" s="24">
        <f>IF(库存台账!$A358="","",库存台账!$A358)</f>
        <v/>
      </c>
      <c r="B358" s="24">
        <f>IF($A358="","",库存台账!$B358)</f>
        <v/>
      </c>
      <c r="C358" s="24">
        <f>IF($A358="","",库存台账!$C358)</f>
        <v/>
      </c>
      <c r="D358" s="24">
        <f>IF($A358="","",库存台账!$D358)</f>
        <v/>
      </c>
      <c r="E358" s="24">
        <f>IF($A358="","",库存台账!$E358)</f>
        <v/>
      </c>
      <c r="F358" s="24">
        <f>IF($A358="","",库存台账!$F358)</f>
        <v/>
      </c>
      <c r="G358" s="17" t="n"/>
      <c r="H358" s="23" t="n"/>
      <c r="I358" s="27">
        <f>IF($A358="","",库存台账!$X358)</f>
        <v/>
      </c>
      <c r="J358" s="27">
        <f>IF(OR($A358="",$H358=""),"",ROUND($H358-$I358,3))</f>
        <v/>
      </c>
      <c r="K358" s="26">
        <f>IF($A358="","",库存台账!$K358)</f>
        <v/>
      </c>
      <c r="L358" s="26">
        <f>IF($J358="","",ROUND($J358*$K358,0))</f>
        <v/>
      </c>
      <c r="M358" s="37">
        <f>IF(OR($J358="",$I358=0),"",ROUND($J358/$I358,4))</f>
        <v/>
      </c>
      <c r="N358" s="17" t="n"/>
      <c r="O358" s="17" t="n"/>
      <c r="P358" s="24">
        <f>IF($J358="","未盘",IF(ROUND($J358,3)=0,"账实相符",IF(COUNTIFS(入库单!$G$4:$G$2503,$A358,入库单!$X$4:$X$2503,"盘盈",入库单!$C$4:$C$2503,"&gt;="&amp;账期起,入库单!$C$4:$C$2503,"&lt;="&amp;账期止)+COUNTIFS(出库单!$D$4:$D$4003,$A358,出库单!$K$4:$K$4003,"盘亏",出库单!$C$4:$C$4003,"&gt;="&amp;账期起,出库单!$C$4:$C$4003,"&lt;="&amp;账期止)&gt;0,"已调账","※差异还没调账")))</f>
        <v/>
      </c>
      <c r="Q358" s="17" t="n"/>
      <c r="R358" s="17" t="n"/>
    </row>
    <row r="359">
      <c r="A359" s="24">
        <f>IF(库存台账!$A359="","",库存台账!$A359)</f>
        <v/>
      </c>
      <c r="B359" s="24">
        <f>IF($A359="","",库存台账!$B359)</f>
        <v/>
      </c>
      <c r="C359" s="24">
        <f>IF($A359="","",库存台账!$C359)</f>
        <v/>
      </c>
      <c r="D359" s="24">
        <f>IF($A359="","",库存台账!$D359)</f>
        <v/>
      </c>
      <c r="E359" s="24">
        <f>IF($A359="","",库存台账!$E359)</f>
        <v/>
      </c>
      <c r="F359" s="24">
        <f>IF($A359="","",库存台账!$F359)</f>
        <v/>
      </c>
      <c r="G359" s="17" t="n"/>
      <c r="H359" s="23" t="n"/>
      <c r="I359" s="27">
        <f>IF($A359="","",库存台账!$X359)</f>
        <v/>
      </c>
      <c r="J359" s="27">
        <f>IF(OR($A359="",$H359=""),"",ROUND($H359-$I359,3))</f>
        <v/>
      </c>
      <c r="K359" s="26">
        <f>IF($A359="","",库存台账!$K359)</f>
        <v/>
      </c>
      <c r="L359" s="26">
        <f>IF($J359="","",ROUND($J359*$K359,0))</f>
        <v/>
      </c>
      <c r="M359" s="37">
        <f>IF(OR($J359="",$I359=0),"",ROUND($J359/$I359,4))</f>
        <v/>
      </c>
      <c r="N359" s="17" t="n"/>
      <c r="O359" s="17" t="n"/>
      <c r="P359" s="24">
        <f>IF($J359="","未盘",IF(ROUND($J359,3)=0,"账实相符",IF(COUNTIFS(入库单!$G$4:$G$2503,$A359,入库单!$X$4:$X$2503,"盘盈",入库单!$C$4:$C$2503,"&gt;="&amp;账期起,入库单!$C$4:$C$2503,"&lt;="&amp;账期止)+COUNTIFS(出库单!$D$4:$D$4003,$A359,出库单!$K$4:$K$4003,"盘亏",出库单!$C$4:$C$4003,"&gt;="&amp;账期起,出库单!$C$4:$C$4003,"&lt;="&amp;账期止)&gt;0,"已调账","※差异还没调账")))</f>
        <v/>
      </c>
      <c r="Q359" s="17" t="n"/>
      <c r="R359" s="17" t="n"/>
    </row>
    <row r="360">
      <c r="A360" s="24">
        <f>IF(库存台账!$A360="","",库存台账!$A360)</f>
        <v/>
      </c>
      <c r="B360" s="24">
        <f>IF($A360="","",库存台账!$B360)</f>
        <v/>
      </c>
      <c r="C360" s="24">
        <f>IF($A360="","",库存台账!$C360)</f>
        <v/>
      </c>
      <c r="D360" s="24">
        <f>IF($A360="","",库存台账!$D360)</f>
        <v/>
      </c>
      <c r="E360" s="24">
        <f>IF($A360="","",库存台账!$E360)</f>
        <v/>
      </c>
      <c r="F360" s="24">
        <f>IF($A360="","",库存台账!$F360)</f>
        <v/>
      </c>
      <c r="G360" s="17" t="n"/>
      <c r="H360" s="23" t="n"/>
      <c r="I360" s="27">
        <f>IF($A360="","",库存台账!$X360)</f>
        <v/>
      </c>
      <c r="J360" s="27">
        <f>IF(OR($A360="",$H360=""),"",ROUND($H360-$I360,3))</f>
        <v/>
      </c>
      <c r="K360" s="26">
        <f>IF($A360="","",库存台账!$K360)</f>
        <v/>
      </c>
      <c r="L360" s="26">
        <f>IF($J360="","",ROUND($J360*$K360,0))</f>
        <v/>
      </c>
      <c r="M360" s="37">
        <f>IF(OR($J360="",$I360=0),"",ROUND($J360/$I360,4))</f>
        <v/>
      </c>
      <c r="N360" s="17" t="n"/>
      <c r="O360" s="17" t="n"/>
      <c r="P360" s="24">
        <f>IF($J360="","未盘",IF(ROUND($J360,3)=0,"账实相符",IF(COUNTIFS(入库单!$G$4:$G$2503,$A360,入库单!$X$4:$X$2503,"盘盈",入库单!$C$4:$C$2503,"&gt;="&amp;账期起,入库单!$C$4:$C$2503,"&lt;="&amp;账期止)+COUNTIFS(出库单!$D$4:$D$4003,$A360,出库单!$K$4:$K$4003,"盘亏",出库单!$C$4:$C$4003,"&gt;="&amp;账期起,出库单!$C$4:$C$4003,"&lt;="&amp;账期止)&gt;0,"已调账","※差异还没调账")))</f>
        <v/>
      </c>
      <c r="Q360" s="17" t="n"/>
      <c r="R360" s="17" t="n"/>
    </row>
    <row r="361">
      <c r="A361" s="24">
        <f>IF(库存台账!$A361="","",库存台账!$A361)</f>
        <v/>
      </c>
      <c r="B361" s="24">
        <f>IF($A361="","",库存台账!$B361)</f>
        <v/>
      </c>
      <c r="C361" s="24">
        <f>IF($A361="","",库存台账!$C361)</f>
        <v/>
      </c>
      <c r="D361" s="24">
        <f>IF($A361="","",库存台账!$D361)</f>
        <v/>
      </c>
      <c r="E361" s="24">
        <f>IF($A361="","",库存台账!$E361)</f>
        <v/>
      </c>
      <c r="F361" s="24">
        <f>IF($A361="","",库存台账!$F361)</f>
        <v/>
      </c>
      <c r="G361" s="17" t="n"/>
      <c r="H361" s="23" t="n"/>
      <c r="I361" s="27">
        <f>IF($A361="","",库存台账!$X361)</f>
        <v/>
      </c>
      <c r="J361" s="27">
        <f>IF(OR($A361="",$H361=""),"",ROUND($H361-$I361,3))</f>
        <v/>
      </c>
      <c r="K361" s="26">
        <f>IF($A361="","",库存台账!$K361)</f>
        <v/>
      </c>
      <c r="L361" s="26">
        <f>IF($J361="","",ROUND($J361*$K361,0))</f>
        <v/>
      </c>
      <c r="M361" s="37">
        <f>IF(OR($J361="",$I361=0),"",ROUND($J361/$I361,4))</f>
        <v/>
      </c>
      <c r="N361" s="17" t="n"/>
      <c r="O361" s="17" t="n"/>
      <c r="P361" s="24">
        <f>IF($J361="","未盘",IF(ROUND($J361,3)=0,"账实相符",IF(COUNTIFS(入库单!$G$4:$G$2503,$A361,入库单!$X$4:$X$2503,"盘盈",入库单!$C$4:$C$2503,"&gt;="&amp;账期起,入库单!$C$4:$C$2503,"&lt;="&amp;账期止)+COUNTIFS(出库单!$D$4:$D$4003,$A361,出库单!$K$4:$K$4003,"盘亏",出库单!$C$4:$C$4003,"&gt;="&amp;账期起,出库单!$C$4:$C$4003,"&lt;="&amp;账期止)&gt;0,"已调账","※差异还没调账")))</f>
        <v/>
      </c>
      <c r="Q361" s="17" t="n"/>
      <c r="R361" s="17" t="n"/>
    </row>
    <row r="362">
      <c r="A362" s="24">
        <f>IF(库存台账!$A362="","",库存台账!$A362)</f>
        <v/>
      </c>
      <c r="B362" s="24">
        <f>IF($A362="","",库存台账!$B362)</f>
        <v/>
      </c>
      <c r="C362" s="24">
        <f>IF($A362="","",库存台账!$C362)</f>
        <v/>
      </c>
      <c r="D362" s="24">
        <f>IF($A362="","",库存台账!$D362)</f>
        <v/>
      </c>
      <c r="E362" s="24">
        <f>IF($A362="","",库存台账!$E362)</f>
        <v/>
      </c>
      <c r="F362" s="24">
        <f>IF($A362="","",库存台账!$F362)</f>
        <v/>
      </c>
      <c r="G362" s="17" t="n"/>
      <c r="H362" s="23" t="n"/>
      <c r="I362" s="27">
        <f>IF($A362="","",库存台账!$X362)</f>
        <v/>
      </c>
      <c r="J362" s="27">
        <f>IF(OR($A362="",$H362=""),"",ROUND($H362-$I362,3))</f>
        <v/>
      </c>
      <c r="K362" s="26">
        <f>IF($A362="","",库存台账!$K362)</f>
        <v/>
      </c>
      <c r="L362" s="26">
        <f>IF($J362="","",ROUND($J362*$K362,0))</f>
        <v/>
      </c>
      <c r="M362" s="37">
        <f>IF(OR($J362="",$I362=0),"",ROUND($J362/$I362,4))</f>
        <v/>
      </c>
      <c r="N362" s="17" t="n"/>
      <c r="O362" s="17" t="n"/>
      <c r="P362" s="24">
        <f>IF($J362="","未盘",IF(ROUND($J362,3)=0,"账实相符",IF(COUNTIFS(入库单!$G$4:$G$2503,$A362,入库单!$X$4:$X$2503,"盘盈",入库单!$C$4:$C$2503,"&gt;="&amp;账期起,入库单!$C$4:$C$2503,"&lt;="&amp;账期止)+COUNTIFS(出库单!$D$4:$D$4003,$A362,出库单!$K$4:$K$4003,"盘亏",出库单!$C$4:$C$4003,"&gt;="&amp;账期起,出库单!$C$4:$C$4003,"&lt;="&amp;账期止)&gt;0,"已调账","※差异还没调账")))</f>
        <v/>
      </c>
      <c r="Q362" s="17" t="n"/>
      <c r="R362" s="17" t="n"/>
    </row>
    <row r="363">
      <c r="A363" s="24">
        <f>IF(库存台账!$A363="","",库存台账!$A363)</f>
        <v/>
      </c>
      <c r="B363" s="24">
        <f>IF($A363="","",库存台账!$B363)</f>
        <v/>
      </c>
      <c r="C363" s="24">
        <f>IF($A363="","",库存台账!$C363)</f>
        <v/>
      </c>
      <c r="D363" s="24">
        <f>IF($A363="","",库存台账!$D363)</f>
        <v/>
      </c>
      <c r="E363" s="24">
        <f>IF($A363="","",库存台账!$E363)</f>
        <v/>
      </c>
      <c r="F363" s="24">
        <f>IF($A363="","",库存台账!$F363)</f>
        <v/>
      </c>
      <c r="G363" s="17" t="n"/>
      <c r="H363" s="23" t="n"/>
      <c r="I363" s="27">
        <f>IF($A363="","",库存台账!$X363)</f>
        <v/>
      </c>
      <c r="J363" s="27">
        <f>IF(OR($A363="",$H363=""),"",ROUND($H363-$I363,3))</f>
        <v/>
      </c>
      <c r="K363" s="26">
        <f>IF($A363="","",库存台账!$K363)</f>
        <v/>
      </c>
      <c r="L363" s="26">
        <f>IF($J363="","",ROUND($J363*$K363,0))</f>
        <v/>
      </c>
      <c r="M363" s="37">
        <f>IF(OR($J363="",$I363=0),"",ROUND($J363/$I363,4))</f>
        <v/>
      </c>
      <c r="N363" s="17" t="n"/>
      <c r="O363" s="17" t="n"/>
      <c r="P363" s="24">
        <f>IF($J363="","未盘",IF(ROUND($J363,3)=0,"账实相符",IF(COUNTIFS(入库单!$G$4:$G$2503,$A363,入库单!$X$4:$X$2503,"盘盈",入库单!$C$4:$C$2503,"&gt;="&amp;账期起,入库单!$C$4:$C$2503,"&lt;="&amp;账期止)+COUNTIFS(出库单!$D$4:$D$4003,$A363,出库单!$K$4:$K$4003,"盘亏",出库单!$C$4:$C$4003,"&gt;="&amp;账期起,出库单!$C$4:$C$4003,"&lt;="&amp;账期止)&gt;0,"已调账","※差异还没调账")))</f>
        <v/>
      </c>
      <c r="Q363" s="17" t="n"/>
      <c r="R363" s="17" t="n"/>
    </row>
    <row r="364">
      <c r="A364" s="24">
        <f>IF(库存台账!$A364="","",库存台账!$A364)</f>
        <v/>
      </c>
      <c r="B364" s="24">
        <f>IF($A364="","",库存台账!$B364)</f>
        <v/>
      </c>
      <c r="C364" s="24">
        <f>IF($A364="","",库存台账!$C364)</f>
        <v/>
      </c>
      <c r="D364" s="24">
        <f>IF($A364="","",库存台账!$D364)</f>
        <v/>
      </c>
      <c r="E364" s="24">
        <f>IF($A364="","",库存台账!$E364)</f>
        <v/>
      </c>
      <c r="F364" s="24">
        <f>IF($A364="","",库存台账!$F364)</f>
        <v/>
      </c>
      <c r="G364" s="17" t="n"/>
      <c r="H364" s="23" t="n"/>
      <c r="I364" s="27">
        <f>IF($A364="","",库存台账!$X364)</f>
        <v/>
      </c>
      <c r="J364" s="27">
        <f>IF(OR($A364="",$H364=""),"",ROUND($H364-$I364,3))</f>
        <v/>
      </c>
      <c r="K364" s="26">
        <f>IF($A364="","",库存台账!$K364)</f>
        <v/>
      </c>
      <c r="L364" s="26">
        <f>IF($J364="","",ROUND($J364*$K364,0))</f>
        <v/>
      </c>
      <c r="M364" s="37">
        <f>IF(OR($J364="",$I364=0),"",ROUND($J364/$I364,4))</f>
        <v/>
      </c>
      <c r="N364" s="17" t="n"/>
      <c r="O364" s="17" t="n"/>
      <c r="P364" s="24">
        <f>IF($J364="","未盘",IF(ROUND($J364,3)=0,"账实相符",IF(COUNTIFS(入库单!$G$4:$G$2503,$A364,入库单!$X$4:$X$2503,"盘盈",入库单!$C$4:$C$2503,"&gt;="&amp;账期起,入库单!$C$4:$C$2503,"&lt;="&amp;账期止)+COUNTIFS(出库单!$D$4:$D$4003,$A364,出库单!$K$4:$K$4003,"盘亏",出库单!$C$4:$C$4003,"&gt;="&amp;账期起,出库单!$C$4:$C$4003,"&lt;="&amp;账期止)&gt;0,"已调账","※差异还没调账")))</f>
        <v/>
      </c>
      <c r="Q364" s="17" t="n"/>
      <c r="R364" s="17" t="n"/>
    </row>
    <row r="365">
      <c r="A365" s="24">
        <f>IF(库存台账!$A365="","",库存台账!$A365)</f>
        <v/>
      </c>
      <c r="B365" s="24">
        <f>IF($A365="","",库存台账!$B365)</f>
        <v/>
      </c>
      <c r="C365" s="24">
        <f>IF($A365="","",库存台账!$C365)</f>
        <v/>
      </c>
      <c r="D365" s="24">
        <f>IF($A365="","",库存台账!$D365)</f>
        <v/>
      </c>
      <c r="E365" s="24">
        <f>IF($A365="","",库存台账!$E365)</f>
        <v/>
      </c>
      <c r="F365" s="24">
        <f>IF($A365="","",库存台账!$F365)</f>
        <v/>
      </c>
      <c r="G365" s="17" t="n"/>
      <c r="H365" s="23" t="n"/>
      <c r="I365" s="27">
        <f>IF($A365="","",库存台账!$X365)</f>
        <v/>
      </c>
      <c r="J365" s="27">
        <f>IF(OR($A365="",$H365=""),"",ROUND($H365-$I365,3))</f>
        <v/>
      </c>
      <c r="K365" s="26">
        <f>IF($A365="","",库存台账!$K365)</f>
        <v/>
      </c>
      <c r="L365" s="26">
        <f>IF($J365="","",ROUND($J365*$K365,0))</f>
        <v/>
      </c>
      <c r="M365" s="37">
        <f>IF(OR($J365="",$I365=0),"",ROUND($J365/$I365,4))</f>
        <v/>
      </c>
      <c r="N365" s="17" t="n"/>
      <c r="O365" s="17" t="n"/>
      <c r="P365" s="24">
        <f>IF($J365="","未盘",IF(ROUND($J365,3)=0,"账实相符",IF(COUNTIFS(入库单!$G$4:$G$2503,$A365,入库单!$X$4:$X$2503,"盘盈",入库单!$C$4:$C$2503,"&gt;="&amp;账期起,入库单!$C$4:$C$2503,"&lt;="&amp;账期止)+COUNTIFS(出库单!$D$4:$D$4003,$A365,出库单!$K$4:$K$4003,"盘亏",出库单!$C$4:$C$4003,"&gt;="&amp;账期起,出库单!$C$4:$C$4003,"&lt;="&amp;账期止)&gt;0,"已调账","※差异还没调账")))</f>
        <v/>
      </c>
      <c r="Q365" s="17" t="n"/>
      <c r="R365" s="17" t="n"/>
    </row>
    <row r="366">
      <c r="A366" s="24">
        <f>IF(库存台账!$A366="","",库存台账!$A366)</f>
        <v/>
      </c>
      <c r="B366" s="24">
        <f>IF($A366="","",库存台账!$B366)</f>
        <v/>
      </c>
      <c r="C366" s="24">
        <f>IF($A366="","",库存台账!$C366)</f>
        <v/>
      </c>
      <c r="D366" s="24">
        <f>IF($A366="","",库存台账!$D366)</f>
        <v/>
      </c>
      <c r="E366" s="24">
        <f>IF($A366="","",库存台账!$E366)</f>
        <v/>
      </c>
      <c r="F366" s="24">
        <f>IF($A366="","",库存台账!$F366)</f>
        <v/>
      </c>
      <c r="G366" s="17" t="n"/>
      <c r="H366" s="23" t="n"/>
      <c r="I366" s="27">
        <f>IF($A366="","",库存台账!$X366)</f>
        <v/>
      </c>
      <c r="J366" s="27">
        <f>IF(OR($A366="",$H366=""),"",ROUND($H366-$I366,3))</f>
        <v/>
      </c>
      <c r="K366" s="26">
        <f>IF($A366="","",库存台账!$K366)</f>
        <v/>
      </c>
      <c r="L366" s="26">
        <f>IF($J366="","",ROUND($J366*$K366,0))</f>
        <v/>
      </c>
      <c r="M366" s="37">
        <f>IF(OR($J366="",$I366=0),"",ROUND($J366/$I366,4))</f>
        <v/>
      </c>
      <c r="N366" s="17" t="n"/>
      <c r="O366" s="17" t="n"/>
      <c r="P366" s="24">
        <f>IF($J366="","未盘",IF(ROUND($J366,3)=0,"账实相符",IF(COUNTIFS(入库单!$G$4:$G$2503,$A366,入库单!$X$4:$X$2503,"盘盈",入库单!$C$4:$C$2503,"&gt;="&amp;账期起,入库单!$C$4:$C$2503,"&lt;="&amp;账期止)+COUNTIFS(出库单!$D$4:$D$4003,$A366,出库单!$K$4:$K$4003,"盘亏",出库单!$C$4:$C$4003,"&gt;="&amp;账期起,出库单!$C$4:$C$4003,"&lt;="&amp;账期止)&gt;0,"已调账","※差异还没调账")))</f>
        <v/>
      </c>
      <c r="Q366" s="17" t="n"/>
      <c r="R366" s="17" t="n"/>
    </row>
    <row r="367">
      <c r="A367" s="24">
        <f>IF(库存台账!$A367="","",库存台账!$A367)</f>
        <v/>
      </c>
      <c r="B367" s="24">
        <f>IF($A367="","",库存台账!$B367)</f>
        <v/>
      </c>
      <c r="C367" s="24">
        <f>IF($A367="","",库存台账!$C367)</f>
        <v/>
      </c>
      <c r="D367" s="24">
        <f>IF($A367="","",库存台账!$D367)</f>
        <v/>
      </c>
      <c r="E367" s="24">
        <f>IF($A367="","",库存台账!$E367)</f>
        <v/>
      </c>
      <c r="F367" s="24">
        <f>IF($A367="","",库存台账!$F367)</f>
        <v/>
      </c>
      <c r="G367" s="17" t="n"/>
      <c r="H367" s="23" t="n"/>
      <c r="I367" s="27">
        <f>IF($A367="","",库存台账!$X367)</f>
        <v/>
      </c>
      <c r="J367" s="27">
        <f>IF(OR($A367="",$H367=""),"",ROUND($H367-$I367,3))</f>
        <v/>
      </c>
      <c r="K367" s="26">
        <f>IF($A367="","",库存台账!$K367)</f>
        <v/>
      </c>
      <c r="L367" s="26">
        <f>IF($J367="","",ROUND($J367*$K367,0))</f>
        <v/>
      </c>
      <c r="M367" s="37">
        <f>IF(OR($J367="",$I367=0),"",ROUND($J367/$I367,4))</f>
        <v/>
      </c>
      <c r="N367" s="17" t="n"/>
      <c r="O367" s="17" t="n"/>
      <c r="P367" s="24">
        <f>IF($J367="","未盘",IF(ROUND($J367,3)=0,"账实相符",IF(COUNTIFS(入库单!$G$4:$G$2503,$A367,入库单!$X$4:$X$2503,"盘盈",入库单!$C$4:$C$2503,"&gt;="&amp;账期起,入库单!$C$4:$C$2503,"&lt;="&amp;账期止)+COUNTIFS(出库单!$D$4:$D$4003,$A367,出库单!$K$4:$K$4003,"盘亏",出库单!$C$4:$C$4003,"&gt;="&amp;账期起,出库单!$C$4:$C$4003,"&lt;="&amp;账期止)&gt;0,"已调账","※差异还没调账")))</f>
        <v/>
      </c>
      <c r="Q367" s="17" t="n"/>
      <c r="R367" s="17" t="n"/>
    </row>
    <row r="368">
      <c r="A368" s="24">
        <f>IF(库存台账!$A368="","",库存台账!$A368)</f>
        <v/>
      </c>
      <c r="B368" s="24">
        <f>IF($A368="","",库存台账!$B368)</f>
        <v/>
      </c>
      <c r="C368" s="24">
        <f>IF($A368="","",库存台账!$C368)</f>
        <v/>
      </c>
      <c r="D368" s="24">
        <f>IF($A368="","",库存台账!$D368)</f>
        <v/>
      </c>
      <c r="E368" s="24">
        <f>IF($A368="","",库存台账!$E368)</f>
        <v/>
      </c>
      <c r="F368" s="24">
        <f>IF($A368="","",库存台账!$F368)</f>
        <v/>
      </c>
      <c r="G368" s="17" t="n"/>
      <c r="H368" s="23" t="n"/>
      <c r="I368" s="27">
        <f>IF($A368="","",库存台账!$X368)</f>
        <v/>
      </c>
      <c r="J368" s="27">
        <f>IF(OR($A368="",$H368=""),"",ROUND($H368-$I368,3))</f>
        <v/>
      </c>
      <c r="K368" s="26">
        <f>IF($A368="","",库存台账!$K368)</f>
        <v/>
      </c>
      <c r="L368" s="26">
        <f>IF($J368="","",ROUND($J368*$K368,0))</f>
        <v/>
      </c>
      <c r="M368" s="37">
        <f>IF(OR($J368="",$I368=0),"",ROUND($J368/$I368,4))</f>
        <v/>
      </c>
      <c r="N368" s="17" t="n"/>
      <c r="O368" s="17" t="n"/>
      <c r="P368" s="24">
        <f>IF($J368="","未盘",IF(ROUND($J368,3)=0,"账实相符",IF(COUNTIFS(入库单!$G$4:$G$2503,$A368,入库单!$X$4:$X$2503,"盘盈",入库单!$C$4:$C$2503,"&gt;="&amp;账期起,入库单!$C$4:$C$2503,"&lt;="&amp;账期止)+COUNTIFS(出库单!$D$4:$D$4003,$A368,出库单!$K$4:$K$4003,"盘亏",出库单!$C$4:$C$4003,"&gt;="&amp;账期起,出库单!$C$4:$C$4003,"&lt;="&amp;账期止)&gt;0,"已调账","※差异还没调账")))</f>
        <v/>
      </c>
      <c r="Q368" s="17" t="n"/>
      <c r="R368" s="17" t="n"/>
    </row>
    <row r="369">
      <c r="A369" s="24">
        <f>IF(库存台账!$A369="","",库存台账!$A369)</f>
        <v/>
      </c>
      <c r="B369" s="24">
        <f>IF($A369="","",库存台账!$B369)</f>
        <v/>
      </c>
      <c r="C369" s="24">
        <f>IF($A369="","",库存台账!$C369)</f>
        <v/>
      </c>
      <c r="D369" s="24">
        <f>IF($A369="","",库存台账!$D369)</f>
        <v/>
      </c>
      <c r="E369" s="24">
        <f>IF($A369="","",库存台账!$E369)</f>
        <v/>
      </c>
      <c r="F369" s="24">
        <f>IF($A369="","",库存台账!$F369)</f>
        <v/>
      </c>
      <c r="G369" s="17" t="n"/>
      <c r="H369" s="23" t="n"/>
      <c r="I369" s="27">
        <f>IF($A369="","",库存台账!$X369)</f>
        <v/>
      </c>
      <c r="J369" s="27">
        <f>IF(OR($A369="",$H369=""),"",ROUND($H369-$I369,3))</f>
        <v/>
      </c>
      <c r="K369" s="26">
        <f>IF($A369="","",库存台账!$K369)</f>
        <v/>
      </c>
      <c r="L369" s="26">
        <f>IF($J369="","",ROUND($J369*$K369,0))</f>
        <v/>
      </c>
      <c r="M369" s="37">
        <f>IF(OR($J369="",$I369=0),"",ROUND($J369/$I369,4))</f>
        <v/>
      </c>
      <c r="N369" s="17" t="n"/>
      <c r="O369" s="17" t="n"/>
      <c r="P369" s="24">
        <f>IF($J369="","未盘",IF(ROUND($J369,3)=0,"账实相符",IF(COUNTIFS(入库单!$G$4:$G$2503,$A369,入库单!$X$4:$X$2503,"盘盈",入库单!$C$4:$C$2503,"&gt;="&amp;账期起,入库单!$C$4:$C$2503,"&lt;="&amp;账期止)+COUNTIFS(出库单!$D$4:$D$4003,$A369,出库单!$K$4:$K$4003,"盘亏",出库单!$C$4:$C$4003,"&gt;="&amp;账期起,出库单!$C$4:$C$4003,"&lt;="&amp;账期止)&gt;0,"已调账","※差异还没调账")))</f>
        <v/>
      </c>
      <c r="Q369" s="17" t="n"/>
      <c r="R369" s="17" t="n"/>
    </row>
    <row r="370">
      <c r="A370" s="24">
        <f>IF(库存台账!$A370="","",库存台账!$A370)</f>
        <v/>
      </c>
      <c r="B370" s="24">
        <f>IF($A370="","",库存台账!$B370)</f>
        <v/>
      </c>
      <c r="C370" s="24">
        <f>IF($A370="","",库存台账!$C370)</f>
        <v/>
      </c>
      <c r="D370" s="24">
        <f>IF($A370="","",库存台账!$D370)</f>
        <v/>
      </c>
      <c r="E370" s="24">
        <f>IF($A370="","",库存台账!$E370)</f>
        <v/>
      </c>
      <c r="F370" s="24">
        <f>IF($A370="","",库存台账!$F370)</f>
        <v/>
      </c>
      <c r="G370" s="17" t="n"/>
      <c r="H370" s="23" t="n"/>
      <c r="I370" s="27">
        <f>IF($A370="","",库存台账!$X370)</f>
        <v/>
      </c>
      <c r="J370" s="27">
        <f>IF(OR($A370="",$H370=""),"",ROUND($H370-$I370,3))</f>
        <v/>
      </c>
      <c r="K370" s="26">
        <f>IF($A370="","",库存台账!$K370)</f>
        <v/>
      </c>
      <c r="L370" s="26">
        <f>IF($J370="","",ROUND($J370*$K370,0))</f>
        <v/>
      </c>
      <c r="M370" s="37">
        <f>IF(OR($J370="",$I370=0),"",ROUND($J370/$I370,4))</f>
        <v/>
      </c>
      <c r="N370" s="17" t="n"/>
      <c r="O370" s="17" t="n"/>
      <c r="P370" s="24">
        <f>IF($J370="","未盘",IF(ROUND($J370,3)=0,"账实相符",IF(COUNTIFS(入库单!$G$4:$G$2503,$A370,入库单!$X$4:$X$2503,"盘盈",入库单!$C$4:$C$2503,"&gt;="&amp;账期起,入库单!$C$4:$C$2503,"&lt;="&amp;账期止)+COUNTIFS(出库单!$D$4:$D$4003,$A370,出库单!$K$4:$K$4003,"盘亏",出库单!$C$4:$C$4003,"&gt;="&amp;账期起,出库单!$C$4:$C$4003,"&lt;="&amp;账期止)&gt;0,"已调账","※差异还没调账")))</f>
        <v/>
      </c>
      <c r="Q370" s="17" t="n"/>
      <c r="R370" s="17" t="n"/>
    </row>
    <row r="371">
      <c r="A371" s="24">
        <f>IF(库存台账!$A371="","",库存台账!$A371)</f>
        <v/>
      </c>
      <c r="B371" s="24">
        <f>IF($A371="","",库存台账!$B371)</f>
        <v/>
      </c>
      <c r="C371" s="24">
        <f>IF($A371="","",库存台账!$C371)</f>
        <v/>
      </c>
      <c r="D371" s="24">
        <f>IF($A371="","",库存台账!$D371)</f>
        <v/>
      </c>
      <c r="E371" s="24">
        <f>IF($A371="","",库存台账!$E371)</f>
        <v/>
      </c>
      <c r="F371" s="24">
        <f>IF($A371="","",库存台账!$F371)</f>
        <v/>
      </c>
      <c r="G371" s="17" t="n"/>
      <c r="H371" s="23" t="n"/>
      <c r="I371" s="27">
        <f>IF($A371="","",库存台账!$X371)</f>
        <v/>
      </c>
      <c r="J371" s="27">
        <f>IF(OR($A371="",$H371=""),"",ROUND($H371-$I371,3))</f>
        <v/>
      </c>
      <c r="K371" s="26">
        <f>IF($A371="","",库存台账!$K371)</f>
        <v/>
      </c>
      <c r="L371" s="26">
        <f>IF($J371="","",ROUND($J371*$K371,0))</f>
        <v/>
      </c>
      <c r="M371" s="37">
        <f>IF(OR($J371="",$I371=0),"",ROUND($J371/$I371,4))</f>
        <v/>
      </c>
      <c r="N371" s="17" t="n"/>
      <c r="O371" s="17" t="n"/>
      <c r="P371" s="24">
        <f>IF($J371="","未盘",IF(ROUND($J371,3)=0,"账实相符",IF(COUNTIFS(入库单!$G$4:$G$2503,$A371,入库单!$X$4:$X$2503,"盘盈",入库单!$C$4:$C$2503,"&gt;="&amp;账期起,入库单!$C$4:$C$2503,"&lt;="&amp;账期止)+COUNTIFS(出库单!$D$4:$D$4003,$A371,出库单!$K$4:$K$4003,"盘亏",出库单!$C$4:$C$4003,"&gt;="&amp;账期起,出库单!$C$4:$C$4003,"&lt;="&amp;账期止)&gt;0,"已调账","※差异还没调账")))</f>
        <v/>
      </c>
      <c r="Q371" s="17" t="n"/>
      <c r="R371" s="17" t="n"/>
    </row>
    <row r="372">
      <c r="A372" s="24">
        <f>IF(库存台账!$A372="","",库存台账!$A372)</f>
        <v/>
      </c>
      <c r="B372" s="24">
        <f>IF($A372="","",库存台账!$B372)</f>
        <v/>
      </c>
      <c r="C372" s="24">
        <f>IF($A372="","",库存台账!$C372)</f>
        <v/>
      </c>
      <c r="D372" s="24">
        <f>IF($A372="","",库存台账!$D372)</f>
        <v/>
      </c>
      <c r="E372" s="24">
        <f>IF($A372="","",库存台账!$E372)</f>
        <v/>
      </c>
      <c r="F372" s="24">
        <f>IF($A372="","",库存台账!$F372)</f>
        <v/>
      </c>
      <c r="G372" s="17" t="n"/>
      <c r="H372" s="23" t="n"/>
      <c r="I372" s="27">
        <f>IF($A372="","",库存台账!$X372)</f>
        <v/>
      </c>
      <c r="J372" s="27">
        <f>IF(OR($A372="",$H372=""),"",ROUND($H372-$I372,3))</f>
        <v/>
      </c>
      <c r="K372" s="26">
        <f>IF($A372="","",库存台账!$K372)</f>
        <v/>
      </c>
      <c r="L372" s="26">
        <f>IF($J372="","",ROUND($J372*$K372,0))</f>
        <v/>
      </c>
      <c r="M372" s="37">
        <f>IF(OR($J372="",$I372=0),"",ROUND($J372/$I372,4))</f>
        <v/>
      </c>
      <c r="N372" s="17" t="n"/>
      <c r="O372" s="17" t="n"/>
      <c r="P372" s="24">
        <f>IF($J372="","未盘",IF(ROUND($J372,3)=0,"账实相符",IF(COUNTIFS(入库单!$G$4:$G$2503,$A372,入库单!$X$4:$X$2503,"盘盈",入库单!$C$4:$C$2503,"&gt;="&amp;账期起,入库单!$C$4:$C$2503,"&lt;="&amp;账期止)+COUNTIFS(出库单!$D$4:$D$4003,$A372,出库单!$K$4:$K$4003,"盘亏",出库单!$C$4:$C$4003,"&gt;="&amp;账期起,出库单!$C$4:$C$4003,"&lt;="&amp;账期止)&gt;0,"已调账","※差异还没调账")))</f>
        <v/>
      </c>
      <c r="Q372" s="17" t="n"/>
      <c r="R372" s="17" t="n"/>
    </row>
    <row r="373">
      <c r="A373" s="24">
        <f>IF(库存台账!$A373="","",库存台账!$A373)</f>
        <v/>
      </c>
      <c r="B373" s="24">
        <f>IF($A373="","",库存台账!$B373)</f>
        <v/>
      </c>
      <c r="C373" s="24">
        <f>IF($A373="","",库存台账!$C373)</f>
        <v/>
      </c>
      <c r="D373" s="24">
        <f>IF($A373="","",库存台账!$D373)</f>
        <v/>
      </c>
      <c r="E373" s="24">
        <f>IF($A373="","",库存台账!$E373)</f>
        <v/>
      </c>
      <c r="F373" s="24">
        <f>IF($A373="","",库存台账!$F373)</f>
        <v/>
      </c>
      <c r="G373" s="17" t="n"/>
      <c r="H373" s="23" t="n"/>
      <c r="I373" s="27">
        <f>IF($A373="","",库存台账!$X373)</f>
        <v/>
      </c>
      <c r="J373" s="27">
        <f>IF(OR($A373="",$H373=""),"",ROUND($H373-$I373,3))</f>
        <v/>
      </c>
      <c r="K373" s="26">
        <f>IF($A373="","",库存台账!$K373)</f>
        <v/>
      </c>
      <c r="L373" s="26">
        <f>IF($J373="","",ROUND($J373*$K373,0))</f>
        <v/>
      </c>
      <c r="M373" s="37">
        <f>IF(OR($J373="",$I373=0),"",ROUND($J373/$I373,4))</f>
        <v/>
      </c>
      <c r="N373" s="17" t="n"/>
      <c r="O373" s="17" t="n"/>
      <c r="P373" s="24">
        <f>IF($J373="","未盘",IF(ROUND($J373,3)=0,"账实相符",IF(COUNTIFS(入库单!$G$4:$G$2503,$A373,入库单!$X$4:$X$2503,"盘盈",入库单!$C$4:$C$2503,"&gt;="&amp;账期起,入库单!$C$4:$C$2503,"&lt;="&amp;账期止)+COUNTIFS(出库单!$D$4:$D$4003,$A373,出库单!$K$4:$K$4003,"盘亏",出库单!$C$4:$C$4003,"&gt;="&amp;账期起,出库单!$C$4:$C$4003,"&lt;="&amp;账期止)&gt;0,"已调账","※差异还没调账")))</f>
        <v/>
      </c>
      <c r="Q373" s="17" t="n"/>
      <c r="R373" s="17" t="n"/>
    </row>
    <row r="374">
      <c r="A374" s="24">
        <f>IF(库存台账!$A374="","",库存台账!$A374)</f>
        <v/>
      </c>
      <c r="B374" s="24">
        <f>IF($A374="","",库存台账!$B374)</f>
        <v/>
      </c>
      <c r="C374" s="24">
        <f>IF($A374="","",库存台账!$C374)</f>
        <v/>
      </c>
      <c r="D374" s="24">
        <f>IF($A374="","",库存台账!$D374)</f>
        <v/>
      </c>
      <c r="E374" s="24">
        <f>IF($A374="","",库存台账!$E374)</f>
        <v/>
      </c>
      <c r="F374" s="24">
        <f>IF($A374="","",库存台账!$F374)</f>
        <v/>
      </c>
      <c r="G374" s="17" t="n"/>
      <c r="H374" s="23" t="n"/>
      <c r="I374" s="27">
        <f>IF($A374="","",库存台账!$X374)</f>
        <v/>
      </c>
      <c r="J374" s="27">
        <f>IF(OR($A374="",$H374=""),"",ROUND($H374-$I374,3))</f>
        <v/>
      </c>
      <c r="K374" s="26">
        <f>IF($A374="","",库存台账!$K374)</f>
        <v/>
      </c>
      <c r="L374" s="26">
        <f>IF($J374="","",ROUND($J374*$K374,0))</f>
        <v/>
      </c>
      <c r="M374" s="37">
        <f>IF(OR($J374="",$I374=0),"",ROUND($J374/$I374,4))</f>
        <v/>
      </c>
      <c r="N374" s="17" t="n"/>
      <c r="O374" s="17" t="n"/>
      <c r="P374" s="24">
        <f>IF($J374="","未盘",IF(ROUND($J374,3)=0,"账实相符",IF(COUNTIFS(入库单!$G$4:$G$2503,$A374,入库单!$X$4:$X$2503,"盘盈",入库单!$C$4:$C$2503,"&gt;="&amp;账期起,入库单!$C$4:$C$2503,"&lt;="&amp;账期止)+COUNTIFS(出库单!$D$4:$D$4003,$A374,出库单!$K$4:$K$4003,"盘亏",出库单!$C$4:$C$4003,"&gt;="&amp;账期起,出库单!$C$4:$C$4003,"&lt;="&amp;账期止)&gt;0,"已调账","※差异还没调账")))</f>
        <v/>
      </c>
      <c r="Q374" s="17" t="n"/>
      <c r="R374" s="17" t="n"/>
    </row>
    <row r="375">
      <c r="A375" s="24">
        <f>IF(库存台账!$A375="","",库存台账!$A375)</f>
        <v/>
      </c>
      <c r="B375" s="24">
        <f>IF($A375="","",库存台账!$B375)</f>
        <v/>
      </c>
      <c r="C375" s="24">
        <f>IF($A375="","",库存台账!$C375)</f>
        <v/>
      </c>
      <c r="D375" s="24">
        <f>IF($A375="","",库存台账!$D375)</f>
        <v/>
      </c>
      <c r="E375" s="24">
        <f>IF($A375="","",库存台账!$E375)</f>
        <v/>
      </c>
      <c r="F375" s="24">
        <f>IF($A375="","",库存台账!$F375)</f>
        <v/>
      </c>
      <c r="G375" s="17" t="n"/>
      <c r="H375" s="23" t="n"/>
      <c r="I375" s="27">
        <f>IF($A375="","",库存台账!$X375)</f>
        <v/>
      </c>
      <c r="J375" s="27">
        <f>IF(OR($A375="",$H375=""),"",ROUND($H375-$I375,3))</f>
        <v/>
      </c>
      <c r="K375" s="26">
        <f>IF($A375="","",库存台账!$K375)</f>
        <v/>
      </c>
      <c r="L375" s="26">
        <f>IF($J375="","",ROUND($J375*$K375,0))</f>
        <v/>
      </c>
      <c r="M375" s="37">
        <f>IF(OR($J375="",$I375=0),"",ROUND($J375/$I375,4))</f>
        <v/>
      </c>
      <c r="N375" s="17" t="n"/>
      <c r="O375" s="17" t="n"/>
      <c r="P375" s="24">
        <f>IF($J375="","未盘",IF(ROUND($J375,3)=0,"账实相符",IF(COUNTIFS(入库单!$G$4:$G$2503,$A375,入库单!$X$4:$X$2503,"盘盈",入库单!$C$4:$C$2503,"&gt;="&amp;账期起,入库单!$C$4:$C$2503,"&lt;="&amp;账期止)+COUNTIFS(出库单!$D$4:$D$4003,$A375,出库单!$K$4:$K$4003,"盘亏",出库单!$C$4:$C$4003,"&gt;="&amp;账期起,出库单!$C$4:$C$4003,"&lt;="&amp;账期止)&gt;0,"已调账","※差异还没调账")))</f>
        <v/>
      </c>
      <c r="Q375" s="17" t="n"/>
      <c r="R375" s="17" t="n"/>
    </row>
    <row r="376">
      <c r="A376" s="24">
        <f>IF(库存台账!$A376="","",库存台账!$A376)</f>
        <v/>
      </c>
      <c r="B376" s="24">
        <f>IF($A376="","",库存台账!$B376)</f>
        <v/>
      </c>
      <c r="C376" s="24">
        <f>IF($A376="","",库存台账!$C376)</f>
        <v/>
      </c>
      <c r="D376" s="24">
        <f>IF($A376="","",库存台账!$D376)</f>
        <v/>
      </c>
      <c r="E376" s="24">
        <f>IF($A376="","",库存台账!$E376)</f>
        <v/>
      </c>
      <c r="F376" s="24">
        <f>IF($A376="","",库存台账!$F376)</f>
        <v/>
      </c>
      <c r="G376" s="17" t="n"/>
      <c r="H376" s="23" t="n"/>
      <c r="I376" s="27">
        <f>IF($A376="","",库存台账!$X376)</f>
        <v/>
      </c>
      <c r="J376" s="27">
        <f>IF(OR($A376="",$H376=""),"",ROUND($H376-$I376,3))</f>
        <v/>
      </c>
      <c r="K376" s="26">
        <f>IF($A376="","",库存台账!$K376)</f>
        <v/>
      </c>
      <c r="L376" s="26">
        <f>IF($J376="","",ROUND($J376*$K376,0))</f>
        <v/>
      </c>
      <c r="M376" s="37">
        <f>IF(OR($J376="",$I376=0),"",ROUND($J376/$I376,4))</f>
        <v/>
      </c>
      <c r="N376" s="17" t="n"/>
      <c r="O376" s="17" t="n"/>
      <c r="P376" s="24">
        <f>IF($J376="","未盘",IF(ROUND($J376,3)=0,"账实相符",IF(COUNTIFS(入库单!$G$4:$G$2503,$A376,入库单!$X$4:$X$2503,"盘盈",入库单!$C$4:$C$2503,"&gt;="&amp;账期起,入库单!$C$4:$C$2503,"&lt;="&amp;账期止)+COUNTIFS(出库单!$D$4:$D$4003,$A376,出库单!$K$4:$K$4003,"盘亏",出库单!$C$4:$C$4003,"&gt;="&amp;账期起,出库单!$C$4:$C$4003,"&lt;="&amp;账期止)&gt;0,"已调账","※差异还没调账")))</f>
        <v/>
      </c>
      <c r="Q376" s="17" t="n"/>
      <c r="R376" s="17" t="n"/>
    </row>
    <row r="377">
      <c r="A377" s="24">
        <f>IF(库存台账!$A377="","",库存台账!$A377)</f>
        <v/>
      </c>
      <c r="B377" s="24">
        <f>IF($A377="","",库存台账!$B377)</f>
        <v/>
      </c>
      <c r="C377" s="24">
        <f>IF($A377="","",库存台账!$C377)</f>
        <v/>
      </c>
      <c r="D377" s="24">
        <f>IF($A377="","",库存台账!$D377)</f>
        <v/>
      </c>
      <c r="E377" s="24">
        <f>IF($A377="","",库存台账!$E377)</f>
        <v/>
      </c>
      <c r="F377" s="24">
        <f>IF($A377="","",库存台账!$F377)</f>
        <v/>
      </c>
      <c r="G377" s="17" t="n"/>
      <c r="H377" s="23" t="n"/>
      <c r="I377" s="27">
        <f>IF($A377="","",库存台账!$X377)</f>
        <v/>
      </c>
      <c r="J377" s="27">
        <f>IF(OR($A377="",$H377=""),"",ROUND($H377-$I377,3))</f>
        <v/>
      </c>
      <c r="K377" s="26">
        <f>IF($A377="","",库存台账!$K377)</f>
        <v/>
      </c>
      <c r="L377" s="26">
        <f>IF($J377="","",ROUND($J377*$K377,0))</f>
        <v/>
      </c>
      <c r="M377" s="37">
        <f>IF(OR($J377="",$I377=0),"",ROUND($J377/$I377,4))</f>
        <v/>
      </c>
      <c r="N377" s="17" t="n"/>
      <c r="O377" s="17" t="n"/>
      <c r="P377" s="24">
        <f>IF($J377="","未盘",IF(ROUND($J377,3)=0,"账实相符",IF(COUNTIFS(入库单!$G$4:$G$2503,$A377,入库单!$X$4:$X$2503,"盘盈",入库单!$C$4:$C$2503,"&gt;="&amp;账期起,入库单!$C$4:$C$2503,"&lt;="&amp;账期止)+COUNTIFS(出库单!$D$4:$D$4003,$A377,出库单!$K$4:$K$4003,"盘亏",出库单!$C$4:$C$4003,"&gt;="&amp;账期起,出库单!$C$4:$C$4003,"&lt;="&amp;账期止)&gt;0,"已调账","※差异还没调账")))</f>
        <v/>
      </c>
      <c r="Q377" s="17" t="n"/>
      <c r="R377" s="17" t="n"/>
    </row>
    <row r="378">
      <c r="A378" s="24">
        <f>IF(库存台账!$A378="","",库存台账!$A378)</f>
        <v/>
      </c>
      <c r="B378" s="24">
        <f>IF($A378="","",库存台账!$B378)</f>
        <v/>
      </c>
      <c r="C378" s="24">
        <f>IF($A378="","",库存台账!$C378)</f>
        <v/>
      </c>
      <c r="D378" s="24">
        <f>IF($A378="","",库存台账!$D378)</f>
        <v/>
      </c>
      <c r="E378" s="24">
        <f>IF($A378="","",库存台账!$E378)</f>
        <v/>
      </c>
      <c r="F378" s="24">
        <f>IF($A378="","",库存台账!$F378)</f>
        <v/>
      </c>
      <c r="G378" s="17" t="n"/>
      <c r="H378" s="23" t="n"/>
      <c r="I378" s="27">
        <f>IF($A378="","",库存台账!$X378)</f>
        <v/>
      </c>
      <c r="J378" s="27">
        <f>IF(OR($A378="",$H378=""),"",ROUND($H378-$I378,3))</f>
        <v/>
      </c>
      <c r="K378" s="26">
        <f>IF($A378="","",库存台账!$K378)</f>
        <v/>
      </c>
      <c r="L378" s="26">
        <f>IF($J378="","",ROUND($J378*$K378,0))</f>
        <v/>
      </c>
      <c r="M378" s="37">
        <f>IF(OR($J378="",$I378=0),"",ROUND($J378/$I378,4))</f>
        <v/>
      </c>
      <c r="N378" s="17" t="n"/>
      <c r="O378" s="17" t="n"/>
      <c r="P378" s="24">
        <f>IF($J378="","未盘",IF(ROUND($J378,3)=0,"账实相符",IF(COUNTIFS(入库单!$G$4:$G$2503,$A378,入库单!$X$4:$X$2503,"盘盈",入库单!$C$4:$C$2503,"&gt;="&amp;账期起,入库单!$C$4:$C$2503,"&lt;="&amp;账期止)+COUNTIFS(出库单!$D$4:$D$4003,$A378,出库单!$K$4:$K$4003,"盘亏",出库单!$C$4:$C$4003,"&gt;="&amp;账期起,出库单!$C$4:$C$4003,"&lt;="&amp;账期止)&gt;0,"已调账","※差异还没调账")))</f>
        <v/>
      </c>
      <c r="Q378" s="17" t="n"/>
      <c r="R378" s="17" t="n"/>
    </row>
    <row r="379">
      <c r="A379" s="24">
        <f>IF(库存台账!$A379="","",库存台账!$A379)</f>
        <v/>
      </c>
      <c r="B379" s="24">
        <f>IF($A379="","",库存台账!$B379)</f>
        <v/>
      </c>
      <c r="C379" s="24">
        <f>IF($A379="","",库存台账!$C379)</f>
        <v/>
      </c>
      <c r="D379" s="24">
        <f>IF($A379="","",库存台账!$D379)</f>
        <v/>
      </c>
      <c r="E379" s="24">
        <f>IF($A379="","",库存台账!$E379)</f>
        <v/>
      </c>
      <c r="F379" s="24">
        <f>IF($A379="","",库存台账!$F379)</f>
        <v/>
      </c>
      <c r="G379" s="17" t="n"/>
      <c r="H379" s="23" t="n"/>
      <c r="I379" s="27">
        <f>IF($A379="","",库存台账!$X379)</f>
        <v/>
      </c>
      <c r="J379" s="27">
        <f>IF(OR($A379="",$H379=""),"",ROUND($H379-$I379,3))</f>
        <v/>
      </c>
      <c r="K379" s="26">
        <f>IF($A379="","",库存台账!$K379)</f>
        <v/>
      </c>
      <c r="L379" s="26">
        <f>IF($J379="","",ROUND($J379*$K379,0))</f>
        <v/>
      </c>
      <c r="M379" s="37">
        <f>IF(OR($J379="",$I379=0),"",ROUND($J379/$I379,4))</f>
        <v/>
      </c>
      <c r="N379" s="17" t="n"/>
      <c r="O379" s="17" t="n"/>
      <c r="P379" s="24">
        <f>IF($J379="","未盘",IF(ROUND($J379,3)=0,"账实相符",IF(COUNTIFS(入库单!$G$4:$G$2503,$A379,入库单!$X$4:$X$2503,"盘盈",入库单!$C$4:$C$2503,"&gt;="&amp;账期起,入库单!$C$4:$C$2503,"&lt;="&amp;账期止)+COUNTIFS(出库单!$D$4:$D$4003,$A379,出库单!$K$4:$K$4003,"盘亏",出库单!$C$4:$C$4003,"&gt;="&amp;账期起,出库单!$C$4:$C$4003,"&lt;="&amp;账期止)&gt;0,"已调账","※差异还没调账")))</f>
        <v/>
      </c>
      <c r="Q379" s="17" t="n"/>
      <c r="R379" s="17" t="n"/>
    </row>
    <row r="380">
      <c r="A380" s="24">
        <f>IF(库存台账!$A380="","",库存台账!$A380)</f>
        <v/>
      </c>
      <c r="B380" s="24">
        <f>IF($A380="","",库存台账!$B380)</f>
        <v/>
      </c>
      <c r="C380" s="24">
        <f>IF($A380="","",库存台账!$C380)</f>
        <v/>
      </c>
      <c r="D380" s="24">
        <f>IF($A380="","",库存台账!$D380)</f>
        <v/>
      </c>
      <c r="E380" s="24">
        <f>IF($A380="","",库存台账!$E380)</f>
        <v/>
      </c>
      <c r="F380" s="24">
        <f>IF($A380="","",库存台账!$F380)</f>
        <v/>
      </c>
      <c r="G380" s="17" t="n"/>
      <c r="H380" s="23" t="n"/>
      <c r="I380" s="27">
        <f>IF($A380="","",库存台账!$X380)</f>
        <v/>
      </c>
      <c r="J380" s="27">
        <f>IF(OR($A380="",$H380=""),"",ROUND($H380-$I380,3))</f>
        <v/>
      </c>
      <c r="K380" s="26">
        <f>IF($A380="","",库存台账!$K380)</f>
        <v/>
      </c>
      <c r="L380" s="26">
        <f>IF($J380="","",ROUND($J380*$K380,0))</f>
        <v/>
      </c>
      <c r="M380" s="37">
        <f>IF(OR($J380="",$I380=0),"",ROUND($J380/$I380,4))</f>
        <v/>
      </c>
      <c r="N380" s="17" t="n"/>
      <c r="O380" s="17" t="n"/>
      <c r="P380" s="24">
        <f>IF($J380="","未盘",IF(ROUND($J380,3)=0,"账实相符",IF(COUNTIFS(入库单!$G$4:$G$2503,$A380,入库单!$X$4:$X$2503,"盘盈",入库单!$C$4:$C$2503,"&gt;="&amp;账期起,入库单!$C$4:$C$2503,"&lt;="&amp;账期止)+COUNTIFS(出库单!$D$4:$D$4003,$A380,出库单!$K$4:$K$4003,"盘亏",出库单!$C$4:$C$4003,"&gt;="&amp;账期起,出库单!$C$4:$C$4003,"&lt;="&amp;账期止)&gt;0,"已调账","※差异还没调账")))</f>
        <v/>
      </c>
      <c r="Q380" s="17" t="n"/>
      <c r="R380" s="17" t="n"/>
    </row>
    <row r="381">
      <c r="A381" s="24">
        <f>IF(库存台账!$A381="","",库存台账!$A381)</f>
        <v/>
      </c>
      <c r="B381" s="24">
        <f>IF($A381="","",库存台账!$B381)</f>
        <v/>
      </c>
      <c r="C381" s="24">
        <f>IF($A381="","",库存台账!$C381)</f>
        <v/>
      </c>
      <c r="D381" s="24">
        <f>IF($A381="","",库存台账!$D381)</f>
        <v/>
      </c>
      <c r="E381" s="24">
        <f>IF($A381="","",库存台账!$E381)</f>
        <v/>
      </c>
      <c r="F381" s="24">
        <f>IF($A381="","",库存台账!$F381)</f>
        <v/>
      </c>
      <c r="G381" s="17" t="n"/>
      <c r="H381" s="23" t="n"/>
      <c r="I381" s="27">
        <f>IF($A381="","",库存台账!$X381)</f>
        <v/>
      </c>
      <c r="J381" s="27">
        <f>IF(OR($A381="",$H381=""),"",ROUND($H381-$I381,3))</f>
        <v/>
      </c>
      <c r="K381" s="26">
        <f>IF($A381="","",库存台账!$K381)</f>
        <v/>
      </c>
      <c r="L381" s="26">
        <f>IF($J381="","",ROUND($J381*$K381,0))</f>
        <v/>
      </c>
      <c r="M381" s="37">
        <f>IF(OR($J381="",$I381=0),"",ROUND($J381/$I381,4))</f>
        <v/>
      </c>
      <c r="N381" s="17" t="n"/>
      <c r="O381" s="17" t="n"/>
      <c r="P381" s="24">
        <f>IF($J381="","未盘",IF(ROUND($J381,3)=0,"账实相符",IF(COUNTIFS(入库单!$G$4:$G$2503,$A381,入库单!$X$4:$X$2503,"盘盈",入库单!$C$4:$C$2503,"&gt;="&amp;账期起,入库单!$C$4:$C$2503,"&lt;="&amp;账期止)+COUNTIFS(出库单!$D$4:$D$4003,$A381,出库单!$K$4:$K$4003,"盘亏",出库单!$C$4:$C$4003,"&gt;="&amp;账期起,出库单!$C$4:$C$4003,"&lt;="&amp;账期止)&gt;0,"已调账","※差异还没调账")))</f>
        <v/>
      </c>
      <c r="Q381" s="17" t="n"/>
      <c r="R381" s="17" t="n"/>
    </row>
    <row r="382">
      <c r="A382" s="24">
        <f>IF(库存台账!$A382="","",库存台账!$A382)</f>
        <v/>
      </c>
      <c r="B382" s="24">
        <f>IF($A382="","",库存台账!$B382)</f>
        <v/>
      </c>
      <c r="C382" s="24">
        <f>IF($A382="","",库存台账!$C382)</f>
        <v/>
      </c>
      <c r="D382" s="24">
        <f>IF($A382="","",库存台账!$D382)</f>
        <v/>
      </c>
      <c r="E382" s="24">
        <f>IF($A382="","",库存台账!$E382)</f>
        <v/>
      </c>
      <c r="F382" s="24">
        <f>IF($A382="","",库存台账!$F382)</f>
        <v/>
      </c>
      <c r="G382" s="17" t="n"/>
      <c r="H382" s="23" t="n"/>
      <c r="I382" s="27">
        <f>IF($A382="","",库存台账!$X382)</f>
        <v/>
      </c>
      <c r="J382" s="27">
        <f>IF(OR($A382="",$H382=""),"",ROUND($H382-$I382,3))</f>
        <v/>
      </c>
      <c r="K382" s="26">
        <f>IF($A382="","",库存台账!$K382)</f>
        <v/>
      </c>
      <c r="L382" s="26">
        <f>IF($J382="","",ROUND($J382*$K382,0))</f>
        <v/>
      </c>
      <c r="M382" s="37">
        <f>IF(OR($J382="",$I382=0),"",ROUND($J382/$I382,4))</f>
        <v/>
      </c>
      <c r="N382" s="17" t="n"/>
      <c r="O382" s="17" t="n"/>
      <c r="P382" s="24">
        <f>IF($J382="","未盘",IF(ROUND($J382,3)=0,"账实相符",IF(COUNTIFS(入库单!$G$4:$G$2503,$A382,入库单!$X$4:$X$2503,"盘盈",入库单!$C$4:$C$2503,"&gt;="&amp;账期起,入库单!$C$4:$C$2503,"&lt;="&amp;账期止)+COUNTIFS(出库单!$D$4:$D$4003,$A382,出库单!$K$4:$K$4003,"盘亏",出库单!$C$4:$C$4003,"&gt;="&amp;账期起,出库单!$C$4:$C$4003,"&lt;="&amp;账期止)&gt;0,"已调账","※差异还没调账")))</f>
        <v/>
      </c>
      <c r="Q382" s="17" t="n"/>
      <c r="R382" s="17" t="n"/>
    </row>
    <row r="383">
      <c r="A383" s="24">
        <f>IF(库存台账!$A383="","",库存台账!$A383)</f>
        <v/>
      </c>
      <c r="B383" s="24">
        <f>IF($A383="","",库存台账!$B383)</f>
        <v/>
      </c>
      <c r="C383" s="24">
        <f>IF($A383="","",库存台账!$C383)</f>
        <v/>
      </c>
      <c r="D383" s="24">
        <f>IF($A383="","",库存台账!$D383)</f>
        <v/>
      </c>
      <c r="E383" s="24">
        <f>IF($A383="","",库存台账!$E383)</f>
        <v/>
      </c>
      <c r="F383" s="24">
        <f>IF($A383="","",库存台账!$F383)</f>
        <v/>
      </c>
      <c r="G383" s="17" t="n"/>
      <c r="H383" s="23" t="n"/>
      <c r="I383" s="27">
        <f>IF($A383="","",库存台账!$X383)</f>
        <v/>
      </c>
      <c r="J383" s="27">
        <f>IF(OR($A383="",$H383=""),"",ROUND($H383-$I383,3))</f>
        <v/>
      </c>
      <c r="K383" s="26">
        <f>IF($A383="","",库存台账!$K383)</f>
        <v/>
      </c>
      <c r="L383" s="26">
        <f>IF($J383="","",ROUND($J383*$K383,0))</f>
        <v/>
      </c>
      <c r="M383" s="37">
        <f>IF(OR($J383="",$I383=0),"",ROUND($J383/$I383,4))</f>
        <v/>
      </c>
      <c r="N383" s="17" t="n"/>
      <c r="O383" s="17" t="n"/>
      <c r="P383" s="24">
        <f>IF($J383="","未盘",IF(ROUND($J383,3)=0,"账实相符",IF(COUNTIFS(入库单!$G$4:$G$2503,$A383,入库单!$X$4:$X$2503,"盘盈",入库单!$C$4:$C$2503,"&gt;="&amp;账期起,入库单!$C$4:$C$2503,"&lt;="&amp;账期止)+COUNTIFS(出库单!$D$4:$D$4003,$A383,出库单!$K$4:$K$4003,"盘亏",出库单!$C$4:$C$4003,"&gt;="&amp;账期起,出库单!$C$4:$C$4003,"&lt;="&amp;账期止)&gt;0,"已调账","※差异还没调账")))</f>
        <v/>
      </c>
      <c r="Q383" s="17" t="n"/>
      <c r="R383" s="17" t="n"/>
    </row>
    <row r="384">
      <c r="A384" s="24">
        <f>IF(库存台账!$A384="","",库存台账!$A384)</f>
        <v/>
      </c>
      <c r="B384" s="24">
        <f>IF($A384="","",库存台账!$B384)</f>
        <v/>
      </c>
      <c r="C384" s="24">
        <f>IF($A384="","",库存台账!$C384)</f>
        <v/>
      </c>
      <c r="D384" s="24">
        <f>IF($A384="","",库存台账!$D384)</f>
        <v/>
      </c>
      <c r="E384" s="24">
        <f>IF($A384="","",库存台账!$E384)</f>
        <v/>
      </c>
      <c r="F384" s="24">
        <f>IF($A384="","",库存台账!$F384)</f>
        <v/>
      </c>
      <c r="G384" s="17" t="n"/>
      <c r="H384" s="23" t="n"/>
      <c r="I384" s="27">
        <f>IF($A384="","",库存台账!$X384)</f>
        <v/>
      </c>
      <c r="J384" s="27">
        <f>IF(OR($A384="",$H384=""),"",ROUND($H384-$I384,3))</f>
        <v/>
      </c>
      <c r="K384" s="26">
        <f>IF($A384="","",库存台账!$K384)</f>
        <v/>
      </c>
      <c r="L384" s="26">
        <f>IF($J384="","",ROUND($J384*$K384,0))</f>
        <v/>
      </c>
      <c r="M384" s="37">
        <f>IF(OR($J384="",$I384=0),"",ROUND($J384/$I384,4))</f>
        <v/>
      </c>
      <c r="N384" s="17" t="n"/>
      <c r="O384" s="17" t="n"/>
      <c r="P384" s="24">
        <f>IF($J384="","未盘",IF(ROUND($J384,3)=0,"账实相符",IF(COUNTIFS(入库单!$G$4:$G$2503,$A384,入库单!$X$4:$X$2503,"盘盈",入库单!$C$4:$C$2503,"&gt;="&amp;账期起,入库单!$C$4:$C$2503,"&lt;="&amp;账期止)+COUNTIFS(出库单!$D$4:$D$4003,$A384,出库单!$K$4:$K$4003,"盘亏",出库单!$C$4:$C$4003,"&gt;="&amp;账期起,出库单!$C$4:$C$4003,"&lt;="&amp;账期止)&gt;0,"已调账","※差异还没调账")))</f>
        <v/>
      </c>
      <c r="Q384" s="17" t="n"/>
      <c r="R384" s="17" t="n"/>
    </row>
    <row r="385">
      <c r="A385" s="24">
        <f>IF(库存台账!$A385="","",库存台账!$A385)</f>
        <v/>
      </c>
      <c r="B385" s="24">
        <f>IF($A385="","",库存台账!$B385)</f>
        <v/>
      </c>
      <c r="C385" s="24">
        <f>IF($A385="","",库存台账!$C385)</f>
        <v/>
      </c>
      <c r="D385" s="24">
        <f>IF($A385="","",库存台账!$D385)</f>
        <v/>
      </c>
      <c r="E385" s="24">
        <f>IF($A385="","",库存台账!$E385)</f>
        <v/>
      </c>
      <c r="F385" s="24">
        <f>IF($A385="","",库存台账!$F385)</f>
        <v/>
      </c>
      <c r="G385" s="17" t="n"/>
      <c r="H385" s="23" t="n"/>
      <c r="I385" s="27">
        <f>IF($A385="","",库存台账!$X385)</f>
        <v/>
      </c>
      <c r="J385" s="27">
        <f>IF(OR($A385="",$H385=""),"",ROUND($H385-$I385,3))</f>
        <v/>
      </c>
      <c r="K385" s="26">
        <f>IF($A385="","",库存台账!$K385)</f>
        <v/>
      </c>
      <c r="L385" s="26">
        <f>IF($J385="","",ROUND($J385*$K385,0))</f>
        <v/>
      </c>
      <c r="M385" s="37">
        <f>IF(OR($J385="",$I385=0),"",ROUND($J385/$I385,4))</f>
        <v/>
      </c>
      <c r="N385" s="17" t="n"/>
      <c r="O385" s="17" t="n"/>
      <c r="P385" s="24">
        <f>IF($J385="","未盘",IF(ROUND($J385,3)=0,"账实相符",IF(COUNTIFS(入库单!$G$4:$G$2503,$A385,入库单!$X$4:$X$2503,"盘盈",入库单!$C$4:$C$2503,"&gt;="&amp;账期起,入库单!$C$4:$C$2503,"&lt;="&amp;账期止)+COUNTIFS(出库单!$D$4:$D$4003,$A385,出库单!$K$4:$K$4003,"盘亏",出库单!$C$4:$C$4003,"&gt;="&amp;账期起,出库单!$C$4:$C$4003,"&lt;="&amp;账期止)&gt;0,"已调账","※差异还没调账")))</f>
        <v/>
      </c>
      <c r="Q385" s="17" t="n"/>
      <c r="R385" s="17" t="n"/>
    </row>
    <row r="386">
      <c r="A386" s="24">
        <f>IF(库存台账!$A386="","",库存台账!$A386)</f>
        <v/>
      </c>
      <c r="B386" s="24">
        <f>IF($A386="","",库存台账!$B386)</f>
        <v/>
      </c>
      <c r="C386" s="24">
        <f>IF($A386="","",库存台账!$C386)</f>
        <v/>
      </c>
      <c r="D386" s="24">
        <f>IF($A386="","",库存台账!$D386)</f>
        <v/>
      </c>
      <c r="E386" s="24">
        <f>IF($A386="","",库存台账!$E386)</f>
        <v/>
      </c>
      <c r="F386" s="24">
        <f>IF($A386="","",库存台账!$F386)</f>
        <v/>
      </c>
      <c r="G386" s="17" t="n"/>
      <c r="H386" s="23" t="n"/>
      <c r="I386" s="27">
        <f>IF($A386="","",库存台账!$X386)</f>
        <v/>
      </c>
      <c r="J386" s="27">
        <f>IF(OR($A386="",$H386=""),"",ROUND($H386-$I386,3))</f>
        <v/>
      </c>
      <c r="K386" s="26">
        <f>IF($A386="","",库存台账!$K386)</f>
        <v/>
      </c>
      <c r="L386" s="26">
        <f>IF($J386="","",ROUND($J386*$K386,0))</f>
        <v/>
      </c>
      <c r="M386" s="37">
        <f>IF(OR($J386="",$I386=0),"",ROUND($J386/$I386,4))</f>
        <v/>
      </c>
      <c r="N386" s="17" t="n"/>
      <c r="O386" s="17" t="n"/>
      <c r="P386" s="24">
        <f>IF($J386="","未盘",IF(ROUND($J386,3)=0,"账实相符",IF(COUNTIFS(入库单!$G$4:$G$2503,$A386,入库单!$X$4:$X$2503,"盘盈",入库单!$C$4:$C$2503,"&gt;="&amp;账期起,入库单!$C$4:$C$2503,"&lt;="&amp;账期止)+COUNTIFS(出库单!$D$4:$D$4003,$A386,出库单!$K$4:$K$4003,"盘亏",出库单!$C$4:$C$4003,"&gt;="&amp;账期起,出库单!$C$4:$C$4003,"&lt;="&amp;账期止)&gt;0,"已调账","※差异还没调账")))</f>
        <v/>
      </c>
      <c r="Q386" s="17" t="n"/>
      <c r="R386" s="17" t="n"/>
    </row>
    <row r="387">
      <c r="A387" s="24">
        <f>IF(库存台账!$A387="","",库存台账!$A387)</f>
        <v/>
      </c>
      <c r="B387" s="24">
        <f>IF($A387="","",库存台账!$B387)</f>
        <v/>
      </c>
      <c r="C387" s="24">
        <f>IF($A387="","",库存台账!$C387)</f>
        <v/>
      </c>
      <c r="D387" s="24">
        <f>IF($A387="","",库存台账!$D387)</f>
        <v/>
      </c>
      <c r="E387" s="24">
        <f>IF($A387="","",库存台账!$E387)</f>
        <v/>
      </c>
      <c r="F387" s="24">
        <f>IF($A387="","",库存台账!$F387)</f>
        <v/>
      </c>
      <c r="G387" s="17" t="n"/>
      <c r="H387" s="23" t="n"/>
      <c r="I387" s="27">
        <f>IF($A387="","",库存台账!$X387)</f>
        <v/>
      </c>
      <c r="J387" s="27">
        <f>IF(OR($A387="",$H387=""),"",ROUND($H387-$I387,3))</f>
        <v/>
      </c>
      <c r="K387" s="26">
        <f>IF($A387="","",库存台账!$K387)</f>
        <v/>
      </c>
      <c r="L387" s="26">
        <f>IF($J387="","",ROUND($J387*$K387,0))</f>
        <v/>
      </c>
      <c r="M387" s="37">
        <f>IF(OR($J387="",$I387=0),"",ROUND($J387/$I387,4))</f>
        <v/>
      </c>
      <c r="N387" s="17" t="n"/>
      <c r="O387" s="17" t="n"/>
      <c r="P387" s="24">
        <f>IF($J387="","未盘",IF(ROUND($J387,3)=0,"账实相符",IF(COUNTIFS(入库单!$G$4:$G$2503,$A387,入库单!$X$4:$X$2503,"盘盈",入库单!$C$4:$C$2503,"&gt;="&amp;账期起,入库单!$C$4:$C$2503,"&lt;="&amp;账期止)+COUNTIFS(出库单!$D$4:$D$4003,$A387,出库单!$K$4:$K$4003,"盘亏",出库单!$C$4:$C$4003,"&gt;="&amp;账期起,出库单!$C$4:$C$4003,"&lt;="&amp;账期止)&gt;0,"已调账","※差异还没调账")))</f>
        <v/>
      </c>
      <c r="Q387" s="17" t="n"/>
      <c r="R387" s="17" t="n"/>
    </row>
    <row r="388">
      <c r="A388" s="24">
        <f>IF(库存台账!$A388="","",库存台账!$A388)</f>
        <v/>
      </c>
      <c r="B388" s="24">
        <f>IF($A388="","",库存台账!$B388)</f>
        <v/>
      </c>
      <c r="C388" s="24">
        <f>IF($A388="","",库存台账!$C388)</f>
        <v/>
      </c>
      <c r="D388" s="24">
        <f>IF($A388="","",库存台账!$D388)</f>
        <v/>
      </c>
      <c r="E388" s="24">
        <f>IF($A388="","",库存台账!$E388)</f>
        <v/>
      </c>
      <c r="F388" s="24">
        <f>IF($A388="","",库存台账!$F388)</f>
        <v/>
      </c>
      <c r="G388" s="17" t="n"/>
      <c r="H388" s="23" t="n"/>
      <c r="I388" s="27">
        <f>IF($A388="","",库存台账!$X388)</f>
        <v/>
      </c>
      <c r="J388" s="27">
        <f>IF(OR($A388="",$H388=""),"",ROUND($H388-$I388,3))</f>
        <v/>
      </c>
      <c r="K388" s="26">
        <f>IF($A388="","",库存台账!$K388)</f>
        <v/>
      </c>
      <c r="L388" s="26">
        <f>IF($J388="","",ROUND($J388*$K388,0))</f>
        <v/>
      </c>
      <c r="M388" s="37">
        <f>IF(OR($J388="",$I388=0),"",ROUND($J388/$I388,4))</f>
        <v/>
      </c>
      <c r="N388" s="17" t="n"/>
      <c r="O388" s="17" t="n"/>
      <c r="P388" s="24">
        <f>IF($J388="","未盘",IF(ROUND($J388,3)=0,"账实相符",IF(COUNTIFS(入库单!$G$4:$G$2503,$A388,入库单!$X$4:$X$2503,"盘盈",入库单!$C$4:$C$2503,"&gt;="&amp;账期起,入库单!$C$4:$C$2503,"&lt;="&amp;账期止)+COUNTIFS(出库单!$D$4:$D$4003,$A388,出库单!$K$4:$K$4003,"盘亏",出库单!$C$4:$C$4003,"&gt;="&amp;账期起,出库单!$C$4:$C$4003,"&lt;="&amp;账期止)&gt;0,"已调账","※差异还没调账")))</f>
        <v/>
      </c>
      <c r="Q388" s="17" t="n"/>
      <c r="R388" s="17" t="n"/>
    </row>
    <row r="389">
      <c r="A389" s="24">
        <f>IF(库存台账!$A389="","",库存台账!$A389)</f>
        <v/>
      </c>
      <c r="B389" s="24">
        <f>IF($A389="","",库存台账!$B389)</f>
        <v/>
      </c>
      <c r="C389" s="24">
        <f>IF($A389="","",库存台账!$C389)</f>
        <v/>
      </c>
      <c r="D389" s="24">
        <f>IF($A389="","",库存台账!$D389)</f>
        <v/>
      </c>
      <c r="E389" s="24">
        <f>IF($A389="","",库存台账!$E389)</f>
        <v/>
      </c>
      <c r="F389" s="24">
        <f>IF($A389="","",库存台账!$F389)</f>
        <v/>
      </c>
      <c r="G389" s="17" t="n"/>
      <c r="H389" s="23" t="n"/>
      <c r="I389" s="27">
        <f>IF($A389="","",库存台账!$X389)</f>
        <v/>
      </c>
      <c r="J389" s="27">
        <f>IF(OR($A389="",$H389=""),"",ROUND($H389-$I389,3))</f>
        <v/>
      </c>
      <c r="K389" s="26">
        <f>IF($A389="","",库存台账!$K389)</f>
        <v/>
      </c>
      <c r="L389" s="26">
        <f>IF($J389="","",ROUND($J389*$K389,0))</f>
        <v/>
      </c>
      <c r="M389" s="37">
        <f>IF(OR($J389="",$I389=0),"",ROUND($J389/$I389,4))</f>
        <v/>
      </c>
      <c r="N389" s="17" t="n"/>
      <c r="O389" s="17" t="n"/>
      <c r="P389" s="24">
        <f>IF($J389="","未盘",IF(ROUND($J389,3)=0,"账实相符",IF(COUNTIFS(入库单!$G$4:$G$2503,$A389,入库单!$X$4:$X$2503,"盘盈",入库单!$C$4:$C$2503,"&gt;="&amp;账期起,入库单!$C$4:$C$2503,"&lt;="&amp;账期止)+COUNTIFS(出库单!$D$4:$D$4003,$A389,出库单!$K$4:$K$4003,"盘亏",出库单!$C$4:$C$4003,"&gt;="&amp;账期起,出库单!$C$4:$C$4003,"&lt;="&amp;账期止)&gt;0,"已调账","※差异还没调账")))</f>
        <v/>
      </c>
      <c r="Q389" s="17" t="n"/>
      <c r="R389" s="17" t="n"/>
    </row>
    <row r="390">
      <c r="A390" s="24">
        <f>IF(库存台账!$A390="","",库存台账!$A390)</f>
        <v/>
      </c>
      <c r="B390" s="24">
        <f>IF($A390="","",库存台账!$B390)</f>
        <v/>
      </c>
      <c r="C390" s="24">
        <f>IF($A390="","",库存台账!$C390)</f>
        <v/>
      </c>
      <c r="D390" s="24">
        <f>IF($A390="","",库存台账!$D390)</f>
        <v/>
      </c>
      <c r="E390" s="24">
        <f>IF($A390="","",库存台账!$E390)</f>
        <v/>
      </c>
      <c r="F390" s="24">
        <f>IF($A390="","",库存台账!$F390)</f>
        <v/>
      </c>
      <c r="G390" s="17" t="n"/>
      <c r="H390" s="23" t="n"/>
      <c r="I390" s="27">
        <f>IF($A390="","",库存台账!$X390)</f>
        <v/>
      </c>
      <c r="J390" s="27">
        <f>IF(OR($A390="",$H390=""),"",ROUND($H390-$I390,3))</f>
        <v/>
      </c>
      <c r="K390" s="26">
        <f>IF($A390="","",库存台账!$K390)</f>
        <v/>
      </c>
      <c r="L390" s="26">
        <f>IF($J390="","",ROUND($J390*$K390,0))</f>
        <v/>
      </c>
      <c r="M390" s="37">
        <f>IF(OR($J390="",$I390=0),"",ROUND($J390/$I390,4))</f>
        <v/>
      </c>
      <c r="N390" s="17" t="n"/>
      <c r="O390" s="17" t="n"/>
      <c r="P390" s="24">
        <f>IF($J390="","未盘",IF(ROUND($J390,3)=0,"账实相符",IF(COUNTIFS(入库单!$G$4:$G$2503,$A390,入库单!$X$4:$X$2503,"盘盈",入库单!$C$4:$C$2503,"&gt;="&amp;账期起,入库单!$C$4:$C$2503,"&lt;="&amp;账期止)+COUNTIFS(出库单!$D$4:$D$4003,$A390,出库单!$K$4:$K$4003,"盘亏",出库单!$C$4:$C$4003,"&gt;="&amp;账期起,出库单!$C$4:$C$4003,"&lt;="&amp;账期止)&gt;0,"已调账","※差异还没调账")))</f>
        <v/>
      </c>
      <c r="Q390" s="17" t="n"/>
      <c r="R390" s="17" t="n"/>
    </row>
    <row r="391">
      <c r="A391" s="24">
        <f>IF(库存台账!$A391="","",库存台账!$A391)</f>
        <v/>
      </c>
      <c r="B391" s="24">
        <f>IF($A391="","",库存台账!$B391)</f>
        <v/>
      </c>
      <c r="C391" s="24">
        <f>IF($A391="","",库存台账!$C391)</f>
        <v/>
      </c>
      <c r="D391" s="24">
        <f>IF($A391="","",库存台账!$D391)</f>
        <v/>
      </c>
      <c r="E391" s="24">
        <f>IF($A391="","",库存台账!$E391)</f>
        <v/>
      </c>
      <c r="F391" s="24">
        <f>IF($A391="","",库存台账!$F391)</f>
        <v/>
      </c>
      <c r="G391" s="17" t="n"/>
      <c r="H391" s="23" t="n"/>
      <c r="I391" s="27">
        <f>IF($A391="","",库存台账!$X391)</f>
        <v/>
      </c>
      <c r="J391" s="27">
        <f>IF(OR($A391="",$H391=""),"",ROUND($H391-$I391,3))</f>
        <v/>
      </c>
      <c r="K391" s="26">
        <f>IF($A391="","",库存台账!$K391)</f>
        <v/>
      </c>
      <c r="L391" s="26">
        <f>IF($J391="","",ROUND($J391*$K391,0))</f>
        <v/>
      </c>
      <c r="M391" s="37">
        <f>IF(OR($J391="",$I391=0),"",ROUND($J391/$I391,4))</f>
        <v/>
      </c>
      <c r="N391" s="17" t="n"/>
      <c r="O391" s="17" t="n"/>
      <c r="P391" s="24">
        <f>IF($J391="","未盘",IF(ROUND($J391,3)=0,"账实相符",IF(COUNTIFS(入库单!$G$4:$G$2503,$A391,入库单!$X$4:$X$2503,"盘盈",入库单!$C$4:$C$2503,"&gt;="&amp;账期起,入库单!$C$4:$C$2503,"&lt;="&amp;账期止)+COUNTIFS(出库单!$D$4:$D$4003,$A391,出库单!$K$4:$K$4003,"盘亏",出库单!$C$4:$C$4003,"&gt;="&amp;账期起,出库单!$C$4:$C$4003,"&lt;="&amp;账期止)&gt;0,"已调账","※差异还没调账")))</f>
        <v/>
      </c>
      <c r="Q391" s="17" t="n"/>
      <c r="R391" s="17" t="n"/>
    </row>
    <row r="392">
      <c r="A392" s="24">
        <f>IF(库存台账!$A392="","",库存台账!$A392)</f>
        <v/>
      </c>
      <c r="B392" s="24">
        <f>IF($A392="","",库存台账!$B392)</f>
        <v/>
      </c>
      <c r="C392" s="24">
        <f>IF($A392="","",库存台账!$C392)</f>
        <v/>
      </c>
      <c r="D392" s="24">
        <f>IF($A392="","",库存台账!$D392)</f>
        <v/>
      </c>
      <c r="E392" s="24">
        <f>IF($A392="","",库存台账!$E392)</f>
        <v/>
      </c>
      <c r="F392" s="24">
        <f>IF($A392="","",库存台账!$F392)</f>
        <v/>
      </c>
      <c r="G392" s="17" t="n"/>
      <c r="H392" s="23" t="n"/>
      <c r="I392" s="27">
        <f>IF($A392="","",库存台账!$X392)</f>
        <v/>
      </c>
      <c r="J392" s="27">
        <f>IF(OR($A392="",$H392=""),"",ROUND($H392-$I392,3))</f>
        <v/>
      </c>
      <c r="K392" s="26">
        <f>IF($A392="","",库存台账!$K392)</f>
        <v/>
      </c>
      <c r="L392" s="26">
        <f>IF($J392="","",ROUND($J392*$K392,0))</f>
        <v/>
      </c>
      <c r="M392" s="37">
        <f>IF(OR($J392="",$I392=0),"",ROUND($J392/$I392,4))</f>
        <v/>
      </c>
      <c r="N392" s="17" t="n"/>
      <c r="O392" s="17" t="n"/>
      <c r="P392" s="24">
        <f>IF($J392="","未盘",IF(ROUND($J392,3)=0,"账实相符",IF(COUNTIFS(入库单!$G$4:$G$2503,$A392,入库单!$X$4:$X$2503,"盘盈",入库单!$C$4:$C$2503,"&gt;="&amp;账期起,入库单!$C$4:$C$2503,"&lt;="&amp;账期止)+COUNTIFS(出库单!$D$4:$D$4003,$A392,出库单!$K$4:$K$4003,"盘亏",出库单!$C$4:$C$4003,"&gt;="&amp;账期起,出库单!$C$4:$C$4003,"&lt;="&amp;账期止)&gt;0,"已调账","※差异还没调账")))</f>
        <v/>
      </c>
      <c r="Q392" s="17" t="n"/>
      <c r="R392" s="17" t="n"/>
    </row>
    <row r="393">
      <c r="A393" s="24">
        <f>IF(库存台账!$A393="","",库存台账!$A393)</f>
        <v/>
      </c>
      <c r="B393" s="24">
        <f>IF($A393="","",库存台账!$B393)</f>
        <v/>
      </c>
      <c r="C393" s="24">
        <f>IF($A393="","",库存台账!$C393)</f>
        <v/>
      </c>
      <c r="D393" s="24">
        <f>IF($A393="","",库存台账!$D393)</f>
        <v/>
      </c>
      <c r="E393" s="24">
        <f>IF($A393="","",库存台账!$E393)</f>
        <v/>
      </c>
      <c r="F393" s="24">
        <f>IF($A393="","",库存台账!$F393)</f>
        <v/>
      </c>
      <c r="G393" s="17" t="n"/>
      <c r="H393" s="23" t="n"/>
      <c r="I393" s="27">
        <f>IF($A393="","",库存台账!$X393)</f>
        <v/>
      </c>
      <c r="J393" s="27">
        <f>IF(OR($A393="",$H393=""),"",ROUND($H393-$I393,3))</f>
        <v/>
      </c>
      <c r="K393" s="26">
        <f>IF($A393="","",库存台账!$K393)</f>
        <v/>
      </c>
      <c r="L393" s="26">
        <f>IF($J393="","",ROUND($J393*$K393,0))</f>
        <v/>
      </c>
      <c r="M393" s="37">
        <f>IF(OR($J393="",$I393=0),"",ROUND($J393/$I393,4))</f>
        <v/>
      </c>
      <c r="N393" s="17" t="n"/>
      <c r="O393" s="17" t="n"/>
      <c r="P393" s="24">
        <f>IF($J393="","未盘",IF(ROUND($J393,3)=0,"账实相符",IF(COUNTIFS(入库单!$G$4:$G$2503,$A393,入库单!$X$4:$X$2503,"盘盈",入库单!$C$4:$C$2503,"&gt;="&amp;账期起,入库单!$C$4:$C$2503,"&lt;="&amp;账期止)+COUNTIFS(出库单!$D$4:$D$4003,$A393,出库单!$K$4:$K$4003,"盘亏",出库单!$C$4:$C$4003,"&gt;="&amp;账期起,出库单!$C$4:$C$4003,"&lt;="&amp;账期止)&gt;0,"已调账","※差异还没调账")))</f>
        <v/>
      </c>
      <c r="Q393" s="17" t="n"/>
      <c r="R393" s="17" t="n"/>
    </row>
    <row r="394">
      <c r="A394" s="24">
        <f>IF(库存台账!$A394="","",库存台账!$A394)</f>
        <v/>
      </c>
      <c r="B394" s="24">
        <f>IF($A394="","",库存台账!$B394)</f>
        <v/>
      </c>
      <c r="C394" s="24">
        <f>IF($A394="","",库存台账!$C394)</f>
        <v/>
      </c>
      <c r="D394" s="24">
        <f>IF($A394="","",库存台账!$D394)</f>
        <v/>
      </c>
      <c r="E394" s="24">
        <f>IF($A394="","",库存台账!$E394)</f>
        <v/>
      </c>
      <c r="F394" s="24">
        <f>IF($A394="","",库存台账!$F394)</f>
        <v/>
      </c>
      <c r="G394" s="17" t="n"/>
      <c r="H394" s="23" t="n"/>
      <c r="I394" s="27">
        <f>IF($A394="","",库存台账!$X394)</f>
        <v/>
      </c>
      <c r="J394" s="27">
        <f>IF(OR($A394="",$H394=""),"",ROUND($H394-$I394,3))</f>
        <v/>
      </c>
      <c r="K394" s="26">
        <f>IF($A394="","",库存台账!$K394)</f>
        <v/>
      </c>
      <c r="L394" s="26">
        <f>IF($J394="","",ROUND($J394*$K394,0))</f>
        <v/>
      </c>
      <c r="M394" s="37">
        <f>IF(OR($J394="",$I394=0),"",ROUND($J394/$I394,4))</f>
        <v/>
      </c>
      <c r="N394" s="17" t="n"/>
      <c r="O394" s="17" t="n"/>
      <c r="P394" s="24">
        <f>IF($J394="","未盘",IF(ROUND($J394,3)=0,"账实相符",IF(COUNTIFS(入库单!$G$4:$G$2503,$A394,入库单!$X$4:$X$2503,"盘盈",入库单!$C$4:$C$2503,"&gt;="&amp;账期起,入库单!$C$4:$C$2503,"&lt;="&amp;账期止)+COUNTIFS(出库单!$D$4:$D$4003,$A394,出库单!$K$4:$K$4003,"盘亏",出库单!$C$4:$C$4003,"&gt;="&amp;账期起,出库单!$C$4:$C$4003,"&lt;="&amp;账期止)&gt;0,"已调账","※差异还没调账")))</f>
        <v/>
      </c>
      <c r="Q394" s="17" t="n"/>
      <c r="R394" s="17" t="n"/>
    </row>
    <row r="395">
      <c r="A395" s="24">
        <f>IF(库存台账!$A395="","",库存台账!$A395)</f>
        <v/>
      </c>
      <c r="B395" s="24">
        <f>IF($A395="","",库存台账!$B395)</f>
        <v/>
      </c>
      <c r="C395" s="24">
        <f>IF($A395="","",库存台账!$C395)</f>
        <v/>
      </c>
      <c r="D395" s="24">
        <f>IF($A395="","",库存台账!$D395)</f>
        <v/>
      </c>
      <c r="E395" s="24">
        <f>IF($A395="","",库存台账!$E395)</f>
        <v/>
      </c>
      <c r="F395" s="24">
        <f>IF($A395="","",库存台账!$F395)</f>
        <v/>
      </c>
      <c r="G395" s="17" t="n"/>
      <c r="H395" s="23" t="n"/>
      <c r="I395" s="27">
        <f>IF($A395="","",库存台账!$X395)</f>
        <v/>
      </c>
      <c r="J395" s="27">
        <f>IF(OR($A395="",$H395=""),"",ROUND($H395-$I395,3))</f>
        <v/>
      </c>
      <c r="K395" s="26">
        <f>IF($A395="","",库存台账!$K395)</f>
        <v/>
      </c>
      <c r="L395" s="26">
        <f>IF($J395="","",ROUND($J395*$K395,0))</f>
        <v/>
      </c>
      <c r="M395" s="37">
        <f>IF(OR($J395="",$I395=0),"",ROUND($J395/$I395,4))</f>
        <v/>
      </c>
      <c r="N395" s="17" t="n"/>
      <c r="O395" s="17" t="n"/>
      <c r="P395" s="24">
        <f>IF($J395="","未盘",IF(ROUND($J395,3)=0,"账实相符",IF(COUNTIFS(入库单!$G$4:$G$2503,$A395,入库单!$X$4:$X$2503,"盘盈",入库单!$C$4:$C$2503,"&gt;="&amp;账期起,入库单!$C$4:$C$2503,"&lt;="&amp;账期止)+COUNTIFS(出库单!$D$4:$D$4003,$A395,出库单!$K$4:$K$4003,"盘亏",出库单!$C$4:$C$4003,"&gt;="&amp;账期起,出库单!$C$4:$C$4003,"&lt;="&amp;账期止)&gt;0,"已调账","※差异还没调账")))</f>
        <v/>
      </c>
      <c r="Q395" s="17" t="n"/>
      <c r="R395" s="17" t="n"/>
    </row>
    <row r="396">
      <c r="A396" s="24">
        <f>IF(库存台账!$A396="","",库存台账!$A396)</f>
        <v/>
      </c>
      <c r="B396" s="24">
        <f>IF($A396="","",库存台账!$B396)</f>
        <v/>
      </c>
      <c r="C396" s="24">
        <f>IF($A396="","",库存台账!$C396)</f>
        <v/>
      </c>
      <c r="D396" s="24">
        <f>IF($A396="","",库存台账!$D396)</f>
        <v/>
      </c>
      <c r="E396" s="24">
        <f>IF($A396="","",库存台账!$E396)</f>
        <v/>
      </c>
      <c r="F396" s="24">
        <f>IF($A396="","",库存台账!$F396)</f>
        <v/>
      </c>
      <c r="G396" s="17" t="n"/>
      <c r="H396" s="23" t="n"/>
      <c r="I396" s="27">
        <f>IF($A396="","",库存台账!$X396)</f>
        <v/>
      </c>
      <c r="J396" s="27">
        <f>IF(OR($A396="",$H396=""),"",ROUND($H396-$I396,3))</f>
        <v/>
      </c>
      <c r="K396" s="26">
        <f>IF($A396="","",库存台账!$K396)</f>
        <v/>
      </c>
      <c r="L396" s="26">
        <f>IF($J396="","",ROUND($J396*$K396,0))</f>
        <v/>
      </c>
      <c r="M396" s="37">
        <f>IF(OR($J396="",$I396=0),"",ROUND($J396/$I396,4))</f>
        <v/>
      </c>
      <c r="N396" s="17" t="n"/>
      <c r="O396" s="17" t="n"/>
      <c r="P396" s="24">
        <f>IF($J396="","未盘",IF(ROUND($J396,3)=0,"账实相符",IF(COUNTIFS(入库单!$G$4:$G$2503,$A396,入库单!$X$4:$X$2503,"盘盈",入库单!$C$4:$C$2503,"&gt;="&amp;账期起,入库单!$C$4:$C$2503,"&lt;="&amp;账期止)+COUNTIFS(出库单!$D$4:$D$4003,$A396,出库单!$K$4:$K$4003,"盘亏",出库单!$C$4:$C$4003,"&gt;="&amp;账期起,出库单!$C$4:$C$4003,"&lt;="&amp;账期止)&gt;0,"已调账","※差异还没调账")))</f>
        <v/>
      </c>
      <c r="Q396" s="17" t="n"/>
      <c r="R396" s="17" t="n"/>
    </row>
    <row r="397">
      <c r="A397" s="24">
        <f>IF(库存台账!$A397="","",库存台账!$A397)</f>
        <v/>
      </c>
      <c r="B397" s="24">
        <f>IF($A397="","",库存台账!$B397)</f>
        <v/>
      </c>
      <c r="C397" s="24">
        <f>IF($A397="","",库存台账!$C397)</f>
        <v/>
      </c>
      <c r="D397" s="24">
        <f>IF($A397="","",库存台账!$D397)</f>
        <v/>
      </c>
      <c r="E397" s="24">
        <f>IF($A397="","",库存台账!$E397)</f>
        <v/>
      </c>
      <c r="F397" s="24">
        <f>IF($A397="","",库存台账!$F397)</f>
        <v/>
      </c>
      <c r="G397" s="17" t="n"/>
      <c r="H397" s="23" t="n"/>
      <c r="I397" s="27">
        <f>IF($A397="","",库存台账!$X397)</f>
        <v/>
      </c>
      <c r="J397" s="27">
        <f>IF(OR($A397="",$H397=""),"",ROUND($H397-$I397,3))</f>
        <v/>
      </c>
      <c r="K397" s="26">
        <f>IF($A397="","",库存台账!$K397)</f>
        <v/>
      </c>
      <c r="L397" s="26">
        <f>IF($J397="","",ROUND($J397*$K397,0))</f>
        <v/>
      </c>
      <c r="M397" s="37">
        <f>IF(OR($J397="",$I397=0),"",ROUND($J397/$I397,4))</f>
        <v/>
      </c>
      <c r="N397" s="17" t="n"/>
      <c r="O397" s="17" t="n"/>
      <c r="P397" s="24">
        <f>IF($J397="","未盘",IF(ROUND($J397,3)=0,"账实相符",IF(COUNTIFS(入库单!$G$4:$G$2503,$A397,入库单!$X$4:$X$2503,"盘盈",入库单!$C$4:$C$2503,"&gt;="&amp;账期起,入库单!$C$4:$C$2503,"&lt;="&amp;账期止)+COUNTIFS(出库单!$D$4:$D$4003,$A397,出库单!$K$4:$K$4003,"盘亏",出库单!$C$4:$C$4003,"&gt;="&amp;账期起,出库单!$C$4:$C$4003,"&lt;="&amp;账期止)&gt;0,"已调账","※差异还没调账")))</f>
        <v/>
      </c>
      <c r="Q397" s="17" t="n"/>
      <c r="R397" s="17" t="n"/>
    </row>
    <row r="398">
      <c r="A398" s="24">
        <f>IF(库存台账!$A398="","",库存台账!$A398)</f>
        <v/>
      </c>
      <c r="B398" s="24">
        <f>IF($A398="","",库存台账!$B398)</f>
        <v/>
      </c>
      <c r="C398" s="24">
        <f>IF($A398="","",库存台账!$C398)</f>
        <v/>
      </c>
      <c r="D398" s="24">
        <f>IF($A398="","",库存台账!$D398)</f>
        <v/>
      </c>
      <c r="E398" s="24">
        <f>IF($A398="","",库存台账!$E398)</f>
        <v/>
      </c>
      <c r="F398" s="24">
        <f>IF($A398="","",库存台账!$F398)</f>
        <v/>
      </c>
      <c r="G398" s="17" t="n"/>
      <c r="H398" s="23" t="n"/>
      <c r="I398" s="27">
        <f>IF($A398="","",库存台账!$X398)</f>
        <v/>
      </c>
      <c r="J398" s="27">
        <f>IF(OR($A398="",$H398=""),"",ROUND($H398-$I398,3))</f>
        <v/>
      </c>
      <c r="K398" s="26">
        <f>IF($A398="","",库存台账!$K398)</f>
        <v/>
      </c>
      <c r="L398" s="26">
        <f>IF($J398="","",ROUND($J398*$K398,0))</f>
        <v/>
      </c>
      <c r="M398" s="37">
        <f>IF(OR($J398="",$I398=0),"",ROUND($J398/$I398,4))</f>
        <v/>
      </c>
      <c r="N398" s="17" t="n"/>
      <c r="O398" s="17" t="n"/>
      <c r="P398" s="24">
        <f>IF($J398="","未盘",IF(ROUND($J398,3)=0,"账实相符",IF(COUNTIFS(入库单!$G$4:$G$2503,$A398,入库单!$X$4:$X$2503,"盘盈",入库单!$C$4:$C$2503,"&gt;="&amp;账期起,入库单!$C$4:$C$2503,"&lt;="&amp;账期止)+COUNTIFS(出库单!$D$4:$D$4003,$A398,出库单!$K$4:$K$4003,"盘亏",出库单!$C$4:$C$4003,"&gt;="&amp;账期起,出库单!$C$4:$C$4003,"&lt;="&amp;账期止)&gt;0,"已调账","※差异还没调账")))</f>
        <v/>
      </c>
      <c r="Q398" s="17" t="n"/>
      <c r="R398" s="17" t="n"/>
    </row>
    <row r="399">
      <c r="A399" s="24">
        <f>IF(库存台账!$A399="","",库存台账!$A399)</f>
        <v/>
      </c>
      <c r="B399" s="24">
        <f>IF($A399="","",库存台账!$B399)</f>
        <v/>
      </c>
      <c r="C399" s="24">
        <f>IF($A399="","",库存台账!$C399)</f>
        <v/>
      </c>
      <c r="D399" s="24">
        <f>IF($A399="","",库存台账!$D399)</f>
        <v/>
      </c>
      <c r="E399" s="24">
        <f>IF($A399="","",库存台账!$E399)</f>
        <v/>
      </c>
      <c r="F399" s="24">
        <f>IF($A399="","",库存台账!$F399)</f>
        <v/>
      </c>
      <c r="G399" s="17" t="n"/>
      <c r="H399" s="23" t="n"/>
      <c r="I399" s="27">
        <f>IF($A399="","",库存台账!$X399)</f>
        <v/>
      </c>
      <c r="J399" s="27">
        <f>IF(OR($A399="",$H399=""),"",ROUND($H399-$I399,3))</f>
        <v/>
      </c>
      <c r="K399" s="26">
        <f>IF($A399="","",库存台账!$K399)</f>
        <v/>
      </c>
      <c r="L399" s="26">
        <f>IF($J399="","",ROUND($J399*$K399,0))</f>
        <v/>
      </c>
      <c r="M399" s="37">
        <f>IF(OR($J399="",$I399=0),"",ROUND($J399/$I399,4))</f>
        <v/>
      </c>
      <c r="N399" s="17" t="n"/>
      <c r="O399" s="17" t="n"/>
      <c r="P399" s="24">
        <f>IF($J399="","未盘",IF(ROUND($J399,3)=0,"账实相符",IF(COUNTIFS(入库单!$G$4:$G$2503,$A399,入库单!$X$4:$X$2503,"盘盈",入库单!$C$4:$C$2503,"&gt;="&amp;账期起,入库单!$C$4:$C$2503,"&lt;="&amp;账期止)+COUNTIFS(出库单!$D$4:$D$4003,$A399,出库单!$K$4:$K$4003,"盘亏",出库单!$C$4:$C$4003,"&gt;="&amp;账期起,出库单!$C$4:$C$4003,"&lt;="&amp;账期止)&gt;0,"已调账","※差异还没调账")))</f>
        <v/>
      </c>
      <c r="Q399" s="17" t="n"/>
      <c r="R399" s="17" t="n"/>
    </row>
    <row r="400">
      <c r="A400" s="24">
        <f>IF(库存台账!$A400="","",库存台账!$A400)</f>
        <v/>
      </c>
      <c r="B400" s="24">
        <f>IF($A400="","",库存台账!$B400)</f>
        <v/>
      </c>
      <c r="C400" s="24">
        <f>IF($A400="","",库存台账!$C400)</f>
        <v/>
      </c>
      <c r="D400" s="24">
        <f>IF($A400="","",库存台账!$D400)</f>
        <v/>
      </c>
      <c r="E400" s="24">
        <f>IF($A400="","",库存台账!$E400)</f>
        <v/>
      </c>
      <c r="F400" s="24">
        <f>IF($A400="","",库存台账!$F400)</f>
        <v/>
      </c>
      <c r="G400" s="17" t="n"/>
      <c r="H400" s="23" t="n"/>
      <c r="I400" s="27">
        <f>IF($A400="","",库存台账!$X400)</f>
        <v/>
      </c>
      <c r="J400" s="27">
        <f>IF(OR($A400="",$H400=""),"",ROUND($H400-$I400,3))</f>
        <v/>
      </c>
      <c r="K400" s="26">
        <f>IF($A400="","",库存台账!$K400)</f>
        <v/>
      </c>
      <c r="L400" s="26">
        <f>IF($J400="","",ROUND($J400*$K400,0))</f>
        <v/>
      </c>
      <c r="M400" s="37">
        <f>IF(OR($J400="",$I400=0),"",ROUND($J400/$I400,4))</f>
        <v/>
      </c>
      <c r="N400" s="17" t="n"/>
      <c r="O400" s="17" t="n"/>
      <c r="P400" s="24">
        <f>IF($J400="","未盘",IF(ROUND($J400,3)=0,"账实相符",IF(COUNTIFS(入库单!$G$4:$G$2503,$A400,入库单!$X$4:$X$2503,"盘盈",入库单!$C$4:$C$2503,"&gt;="&amp;账期起,入库单!$C$4:$C$2503,"&lt;="&amp;账期止)+COUNTIFS(出库单!$D$4:$D$4003,$A400,出库单!$K$4:$K$4003,"盘亏",出库单!$C$4:$C$4003,"&gt;="&amp;账期起,出库单!$C$4:$C$4003,"&lt;="&amp;账期止)&gt;0,"已调账","※差异还没调账")))</f>
        <v/>
      </c>
      <c r="Q400" s="17" t="n"/>
      <c r="R400" s="17" t="n"/>
    </row>
    <row r="401">
      <c r="A401" s="24">
        <f>IF(库存台账!$A401="","",库存台账!$A401)</f>
        <v/>
      </c>
      <c r="B401" s="24">
        <f>IF($A401="","",库存台账!$B401)</f>
        <v/>
      </c>
      <c r="C401" s="24">
        <f>IF($A401="","",库存台账!$C401)</f>
        <v/>
      </c>
      <c r="D401" s="24">
        <f>IF($A401="","",库存台账!$D401)</f>
        <v/>
      </c>
      <c r="E401" s="24">
        <f>IF($A401="","",库存台账!$E401)</f>
        <v/>
      </c>
      <c r="F401" s="24">
        <f>IF($A401="","",库存台账!$F401)</f>
        <v/>
      </c>
      <c r="G401" s="17" t="n"/>
      <c r="H401" s="23" t="n"/>
      <c r="I401" s="27">
        <f>IF($A401="","",库存台账!$X401)</f>
        <v/>
      </c>
      <c r="J401" s="27">
        <f>IF(OR($A401="",$H401=""),"",ROUND($H401-$I401,3))</f>
        <v/>
      </c>
      <c r="K401" s="26">
        <f>IF($A401="","",库存台账!$K401)</f>
        <v/>
      </c>
      <c r="L401" s="26">
        <f>IF($J401="","",ROUND($J401*$K401,0))</f>
        <v/>
      </c>
      <c r="M401" s="37">
        <f>IF(OR($J401="",$I401=0),"",ROUND($J401/$I401,4))</f>
        <v/>
      </c>
      <c r="N401" s="17" t="n"/>
      <c r="O401" s="17" t="n"/>
      <c r="P401" s="24">
        <f>IF($J401="","未盘",IF(ROUND($J401,3)=0,"账实相符",IF(COUNTIFS(入库单!$G$4:$G$2503,$A401,入库单!$X$4:$X$2503,"盘盈",入库单!$C$4:$C$2503,"&gt;="&amp;账期起,入库单!$C$4:$C$2503,"&lt;="&amp;账期止)+COUNTIFS(出库单!$D$4:$D$4003,$A401,出库单!$K$4:$K$4003,"盘亏",出库单!$C$4:$C$4003,"&gt;="&amp;账期起,出库单!$C$4:$C$4003,"&lt;="&amp;账期止)&gt;0,"已调账","※差异还没调账")))</f>
        <v/>
      </c>
      <c r="Q401" s="17" t="n"/>
      <c r="R401" s="17" t="n"/>
    </row>
    <row r="402">
      <c r="A402" s="24">
        <f>IF(库存台账!$A402="","",库存台账!$A402)</f>
        <v/>
      </c>
      <c r="B402" s="24">
        <f>IF($A402="","",库存台账!$B402)</f>
        <v/>
      </c>
      <c r="C402" s="24">
        <f>IF($A402="","",库存台账!$C402)</f>
        <v/>
      </c>
      <c r="D402" s="24">
        <f>IF($A402="","",库存台账!$D402)</f>
        <v/>
      </c>
      <c r="E402" s="24">
        <f>IF($A402="","",库存台账!$E402)</f>
        <v/>
      </c>
      <c r="F402" s="24">
        <f>IF($A402="","",库存台账!$F402)</f>
        <v/>
      </c>
      <c r="G402" s="17" t="n"/>
      <c r="H402" s="23" t="n"/>
      <c r="I402" s="27">
        <f>IF($A402="","",库存台账!$X402)</f>
        <v/>
      </c>
      <c r="J402" s="27">
        <f>IF(OR($A402="",$H402=""),"",ROUND($H402-$I402,3))</f>
        <v/>
      </c>
      <c r="K402" s="26">
        <f>IF($A402="","",库存台账!$K402)</f>
        <v/>
      </c>
      <c r="L402" s="26">
        <f>IF($J402="","",ROUND($J402*$K402,0))</f>
        <v/>
      </c>
      <c r="M402" s="37">
        <f>IF(OR($J402="",$I402=0),"",ROUND($J402/$I402,4))</f>
        <v/>
      </c>
      <c r="N402" s="17" t="n"/>
      <c r="O402" s="17" t="n"/>
      <c r="P402" s="24">
        <f>IF($J402="","未盘",IF(ROUND($J402,3)=0,"账实相符",IF(COUNTIFS(入库单!$G$4:$G$2503,$A402,入库单!$X$4:$X$2503,"盘盈",入库单!$C$4:$C$2503,"&gt;="&amp;账期起,入库单!$C$4:$C$2503,"&lt;="&amp;账期止)+COUNTIFS(出库单!$D$4:$D$4003,$A402,出库单!$K$4:$K$4003,"盘亏",出库单!$C$4:$C$4003,"&gt;="&amp;账期起,出库单!$C$4:$C$4003,"&lt;="&amp;账期止)&gt;0,"已调账","※差异还没调账")))</f>
        <v/>
      </c>
      <c r="Q402" s="17" t="n"/>
      <c r="R402" s="17" t="n"/>
    </row>
    <row r="403">
      <c r="A403" s="24">
        <f>IF(库存台账!$A403="","",库存台账!$A403)</f>
        <v/>
      </c>
      <c r="B403" s="24">
        <f>IF($A403="","",库存台账!$B403)</f>
        <v/>
      </c>
      <c r="C403" s="24">
        <f>IF($A403="","",库存台账!$C403)</f>
        <v/>
      </c>
      <c r="D403" s="24">
        <f>IF($A403="","",库存台账!$D403)</f>
        <v/>
      </c>
      <c r="E403" s="24">
        <f>IF($A403="","",库存台账!$E403)</f>
        <v/>
      </c>
      <c r="F403" s="24">
        <f>IF($A403="","",库存台账!$F403)</f>
        <v/>
      </c>
      <c r="G403" s="17" t="n"/>
      <c r="H403" s="23" t="n"/>
      <c r="I403" s="27">
        <f>IF($A403="","",库存台账!$X403)</f>
        <v/>
      </c>
      <c r="J403" s="27">
        <f>IF(OR($A403="",$H403=""),"",ROUND($H403-$I403,3))</f>
        <v/>
      </c>
      <c r="K403" s="26">
        <f>IF($A403="","",库存台账!$K403)</f>
        <v/>
      </c>
      <c r="L403" s="26">
        <f>IF($J403="","",ROUND($J403*$K403,0))</f>
        <v/>
      </c>
      <c r="M403" s="37">
        <f>IF(OR($J403="",$I403=0),"",ROUND($J403/$I403,4))</f>
        <v/>
      </c>
      <c r="N403" s="17" t="n"/>
      <c r="O403" s="17" t="n"/>
      <c r="P403" s="24">
        <f>IF($J403="","未盘",IF(ROUND($J403,3)=0,"账实相符",IF(COUNTIFS(入库单!$G$4:$G$2503,$A403,入库单!$X$4:$X$2503,"盘盈",入库单!$C$4:$C$2503,"&gt;="&amp;账期起,入库单!$C$4:$C$2503,"&lt;="&amp;账期止)+COUNTIFS(出库单!$D$4:$D$4003,$A403,出库单!$K$4:$K$4003,"盘亏",出库单!$C$4:$C$4003,"&gt;="&amp;账期起,出库单!$C$4:$C$4003,"&lt;="&amp;账期止)&gt;0,"已调账","※差异还没调账")))</f>
        <v/>
      </c>
      <c r="Q403" s="17" t="n"/>
      <c r="R403" s="17" t="n"/>
    </row>
    <row r="404">
      <c r="A404" s="24">
        <f>IF(库存台账!$A404="","",库存台账!$A404)</f>
        <v/>
      </c>
      <c r="B404" s="24">
        <f>IF($A404="","",库存台账!$B404)</f>
        <v/>
      </c>
      <c r="C404" s="24">
        <f>IF($A404="","",库存台账!$C404)</f>
        <v/>
      </c>
      <c r="D404" s="24">
        <f>IF($A404="","",库存台账!$D404)</f>
        <v/>
      </c>
      <c r="E404" s="24">
        <f>IF($A404="","",库存台账!$E404)</f>
        <v/>
      </c>
      <c r="F404" s="24">
        <f>IF($A404="","",库存台账!$F404)</f>
        <v/>
      </c>
      <c r="G404" s="17" t="n"/>
      <c r="H404" s="23" t="n"/>
      <c r="I404" s="27">
        <f>IF($A404="","",库存台账!$X404)</f>
        <v/>
      </c>
      <c r="J404" s="27">
        <f>IF(OR($A404="",$H404=""),"",ROUND($H404-$I404,3))</f>
        <v/>
      </c>
      <c r="K404" s="26">
        <f>IF($A404="","",库存台账!$K404)</f>
        <v/>
      </c>
      <c r="L404" s="26">
        <f>IF($J404="","",ROUND($J404*$K404,0))</f>
        <v/>
      </c>
      <c r="M404" s="37">
        <f>IF(OR($J404="",$I404=0),"",ROUND($J404/$I404,4))</f>
        <v/>
      </c>
      <c r="N404" s="17" t="n"/>
      <c r="O404" s="17" t="n"/>
      <c r="P404" s="24">
        <f>IF($J404="","未盘",IF(ROUND($J404,3)=0,"账实相符",IF(COUNTIFS(入库单!$G$4:$G$2503,$A404,入库单!$X$4:$X$2503,"盘盈",入库单!$C$4:$C$2503,"&gt;="&amp;账期起,入库单!$C$4:$C$2503,"&lt;="&amp;账期止)+COUNTIFS(出库单!$D$4:$D$4003,$A404,出库单!$K$4:$K$4003,"盘亏",出库单!$C$4:$C$4003,"&gt;="&amp;账期起,出库单!$C$4:$C$4003,"&lt;="&amp;账期止)&gt;0,"已调账","※差异还没调账")))</f>
        <v/>
      </c>
      <c r="Q404" s="17" t="n"/>
      <c r="R404" s="17" t="n"/>
    </row>
    <row r="405">
      <c r="A405" s="24">
        <f>IF(库存台账!$A405="","",库存台账!$A405)</f>
        <v/>
      </c>
      <c r="B405" s="24">
        <f>IF($A405="","",库存台账!$B405)</f>
        <v/>
      </c>
      <c r="C405" s="24">
        <f>IF($A405="","",库存台账!$C405)</f>
        <v/>
      </c>
      <c r="D405" s="24">
        <f>IF($A405="","",库存台账!$D405)</f>
        <v/>
      </c>
      <c r="E405" s="24">
        <f>IF($A405="","",库存台账!$E405)</f>
        <v/>
      </c>
      <c r="F405" s="24">
        <f>IF($A405="","",库存台账!$F405)</f>
        <v/>
      </c>
      <c r="G405" s="17" t="n"/>
      <c r="H405" s="23" t="n"/>
      <c r="I405" s="27">
        <f>IF($A405="","",库存台账!$X405)</f>
        <v/>
      </c>
      <c r="J405" s="27">
        <f>IF(OR($A405="",$H405=""),"",ROUND($H405-$I405,3))</f>
        <v/>
      </c>
      <c r="K405" s="26">
        <f>IF($A405="","",库存台账!$K405)</f>
        <v/>
      </c>
      <c r="L405" s="26">
        <f>IF($J405="","",ROUND($J405*$K405,0))</f>
        <v/>
      </c>
      <c r="M405" s="37">
        <f>IF(OR($J405="",$I405=0),"",ROUND($J405/$I405,4))</f>
        <v/>
      </c>
      <c r="N405" s="17" t="n"/>
      <c r="O405" s="17" t="n"/>
      <c r="P405" s="24">
        <f>IF($J405="","未盘",IF(ROUND($J405,3)=0,"账实相符",IF(COUNTIFS(入库单!$G$4:$G$2503,$A405,入库单!$X$4:$X$2503,"盘盈",入库单!$C$4:$C$2503,"&gt;="&amp;账期起,入库单!$C$4:$C$2503,"&lt;="&amp;账期止)+COUNTIFS(出库单!$D$4:$D$4003,$A405,出库单!$K$4:$K$4003,"盘亏",出库单!$C$4:$C$4003,"&gt;="&amp;账期起,出库单!$C$4:$C$4003,"&lt;="&amp;账期止)&gt;0,"已调账","※差异还没调账")))</f>
        <v/>
      </c>
      <c r="Q405" s="17" t="n"/>
      <c r="R405" s="17" t="n"/>
    </row>
    <row r="406">
      <c r="A406" s="24">
        <f>IF(库存台账!$A406="","",库存台账!$A406)</f>
        <v/>
      </c>
      <c r="B406" s="24">
        <f>IF($A406="","",库存台账!$B406)</f>
        <v/>
      </c>
      <c r="C406" s="24">
        <f>IF($A406="","",库存台账!$C406)</f>
        <v/>
      </c>
      <c r="D406" s="24">
        <f>IF($A406="","",库存台账!$D406)</f>
        <v/>
      </c>
      <c r="E406" s="24">
        <f>IF($A406="","",库存台账!$E406)</f>
        <v/>
      </c>
      <c r="F406" s="24">
        <f>IF($A406="","",库存台账!$F406)</f>
        <v/>
      </c>
      <c r="G406" s="17" t="n"/>
      <c r="H406" s="23" t="n"/>
      <c r="I406" s="27">
        <f>IF($A406="","",库存台账!$X406)</f>
        <v/>
      </c>
      <c r="J406" s="27">
        <f>IF(OR($A406="",$H406=""),"",ROUND($H406-$I406,3))</f>
        <v/>
      </c>
      <c r="K406" s="26">
        <f>IF($A406="","",库存台账!$K406)</f>
        <v/>
      </c>
      <c r="L406" s="26">
        <f>IF($J406="","",ROUND($J406*$K406,0))</f>
        <v/>
      </c>
      <c r="M406" s="37">
        <f>IF(OR($J406="",$I406=0),"",ROUND($J406/$I406,4))</f>
        <v/>
      </c>
      <c r="N406" s="17" t="n"/>
      <c r="O406" s="17" t="n"/>
      <c r="P406" s="24">
        <f>IF($J406="","未盘",IF(ROUND($J406,3)=0,"账实相符",IF(COUNTIFS(入库单!$G$4:$G$2503,$A406,入库单!$X$4:$X$2503,"盘盈",入库单!$C$4:$C$2503,"&gt;="&amp;账期起,入库单!$C$4:$C$2503,"&lt;="&amp;账期止)+COUNTIFS(出库单!$D$4:$D$4003,$A406,出库单!$K$4:$K$4003,"盘亏",出库单!$C$4:$C$4003,"&gt;="&amp;账期起,出库单!$C$4:$C$4003,"&lt;="&amp;账期止)&gt;0,"已调账","※差异还没调账")))</f>
        <v/>
      </c>
      <c r="Q406" s="17" t="n"/>
      <c r="R406" s="17" t="n"/>
    </row>
    <row r="407">
      <c r="A407" s="24">
        <f>IF(库存台账!$A407="","",库存台账!$A407)</f>
        <v/>
      </c>
      <c r="B407" s="24">
        <f>IF($A407="","",库存台账!$B407)</f>
        <v/>
      </c>
      <c r="C407" s="24">
        <f>IF($A407="","",库存台账!$C407)</f>
        <v/>
      </c>
      <c r="D407" s="24">
        <f>IF($A407="","",库存台账!$D407)</f>
        <v/>
      </c>
      <c r="E407" s="24">
        <f>IF($A407="","",库存台账!$E407)</f>
        <v/>
      </c>
      <c r="F407" s="24">
        <f>IF($A407="","",库存台账!$F407)</f>
        <v/>
      </c>
      <c r="G407" s="17" t="n"/>
      <c r="H407" s="23" t="n"/>
      <c r="I407" s="27">
        <f>IF($A407="","",库存台账!$X407)</f>
        <v/>
      </c>
      <c r="J407" s="27">
        <f>IF(OR($A407="",$H407=""),"",ROUND($H407-$I407,3))</f>
        <v/>
      </c>
      <c r="K407" s="26">
        <f>IF($A407="","",库存台账!$K407)</f>
        <v/>
      </c>
      <c r="L407" s="26">
        <f>IF($J407="","",ROUND($J407*$K407,0))</f>
        <v/>
      </c>
      <c r="M407" s="37">
        <f>IF(OR($J407="",$I407=0),"",ROUND($J407/$I407,4))</f>
        <v/>
      </c>
      <c r="N407" s="17" t="n"/>
      <c r="O407" s="17" t="n"/>
      <c r="P407" s="24">
        <f>IF($J407="","未盘",IF(ROUND($J407,3)=0,"账实相符",IF(COUNTIFS(入库单!$G$4:$G$2503,$A407,入库单!$X$4:$X$2503,"盘盈",入库单!$C$4:$C$2503,"&gt;="&amp;账期起,入库单!$C$4:$C$2503,"&lt;="&amp;账期止)+COUNTIFS(出库单!$D$4:$D$4003,$A407,出库单!$K$4:$K$4003,"盘亏",出库单!$C$4:$C$4003,"&gt;="&amp;账期起,出库单!$C$4:$C$4003,"&lt;="&amp;账期止)&gt;0,"已调账","※差异还没调账")))</f>
        <v/>
      </c>
      <c r="Q407" s="17" t="n"/>
      <c r="R407" s="17" t="n"/>
    </row>
    <row r="408">
      <c r="A408" s="24">
        <f>IF(库存台账!$A408="","",库存台账!$A408)</f>
        <v/>
      </c>
      <c r="B408" s="24">
        <f>IF($A408="","",库存台账!$B408)</f>
        <v/>
      </c>
      <c r="C408" s="24">
        <f>IF($A408="","",库存台账!$C408)</f>
        <v/>
      </c>
      <c r="D408" s="24">
        <f>IF($A408="","",库存台账!$D408)</f>
        <v/>
      </c>
      <c r="E408" s="24">
        <f>IF($A408="","",库存台账!$E408)</f>
        <v/>
      </c>
      <c r="F408" s="24">
        <f>IF($A408="","",库存台账!$F408)</f>
        <v/>
      </c>
      <c r="G408" s="17" t="n"/>
      <c r="H408" s="23" t="n"/>
      <c r="I408" s="27">
        <f>IF($A408="","",库存台账!$X408)</f>
        <v/>
      </c>
      <c r="J408" s="27">
        <f>IF(OR($A408="",$H408=""),"",ROUND($H408-$I408,3))</f>
        <v/>
      </c>
      <c r="K408" s="26">
        <f>IF($A408="","",库存台账!$K408)</f>
        <v/>
      </c>
      <c r="L408" s="26">
        <f>IF($J408="","",ROUND($J408*$K408,0))</f>
        <v/>
      </c>
      <c r="M408" s="37">
        <f>IF(OR($J408="",$I408=0),"",ROUND($J408/$I408,4))</f>
        <v/>
      </c>
      <c r="N408" s="17" t="n"/>
      <c r="O408" s="17" t="n"/>
      <c r="P408" s="24">
        <f>IF($J408="","未盘",IF(ROUND($J408,3)=0,"账实相符",IF(COUNTIFS(入库单!$G$4:$G$2503,$A408,入库单!$X$4:$X$2503,"盘盈",入库单!$C$4:$C$2503,"&gt;="&amp;账期起,入库单!$C$4:$C$2503,"&lt;="&amp;账期止)+COUNTIFS(出库单!$D$4:$D$4003,$A408,出库单!$K$4:$K$4003,"盘亏",出库单!$C$4:$C$4003,"&gt;="&amp;账期起,出库单!$C$4:$C$4003,"&lt;="&amp;账期止)&gt;0,"已调账","※差异还没调账")))</f>
        <v/>
      </c>
      <c r="Q408" s="17" t="n"/>
      <c r="R408" s="17" t="n"/>
    </row>
    <row r="409">
      <c r="A409" s="24">
        <f>IF(库存台账!$A409="","",库存台账!$A409)</f>
        <v/>
      </c>
      <c r="B409" s="24">
        <f>IF($A409="","",库存台账!$B409)</f>
        <v/>
      </c>
      <c r="C409" s="24">
        <f>IF($A409="","",库存台账!$C409)</f>
        <v/>
      </c>
      <c r="D409" s="24">
        <f>IF($A409="","",库存台账!$D409)</f>
        <v/>
      </c>
      <c r="E409" s="24">
        <f>IF($A409="","",库存台账!$E409)</f>
        <v/>
      </c>
      <c r="F409" s="24">
        <f>IF($A409="","",库存台账!$F409)</f>
        <v/>
      </c>
      <c r="G409" s="17" t="n"/>
      <c r="H409" s="23" t="n"/>
      <c r="I409" s="27">
        <f>IF($A409="","",库存台账!$X409)</f>
        <v/>
      </c>
      <c r="J409" s="27">
        <f>IF(OR($A409="",$H409=""),"",ROUND($H409-$I409,3))</f>
        <v/>
      </c>
      <c r="K409" s="26">
        <f>IF($A409="","",库存台账!$K409)</f>
        <v/>
      </c>
      <c r="L409" s="26">
        <f>IF($J409="","",ROUND($J409*$K409,0))</f>
        <v/>
      </c>
      <c r="M409" s="37">
        <f>IF(OR($J409="",$I409=0),"",ROUND($J409/$I409,4))</f>
        <v/>
      </c>
      <c r="N409" s="17" t="n"/>
      <c r="O409" s="17" t="n"/>
      <c r="P409" s="24">
        <f>IF($J409="","未盘",IF(ROUND($J409,3)=0,"账实相符",IF(COUNTIFS(入库单!$G$4:$G$2503,$A409,入库单!$X$4:$X$2503,"盘盈",入库单!$C$4:$C$2503,"&gt;="&amp;账期起,入库单!$C$4:$C$2503,"&lt;="&amp;账期止)+COUNTIFS(出库单!$D$4:$D$4003,$A409,出库单!$K$4:$K$4003,"盘亏",出库单!$C$4:$C$4003,"&gt;="&amp;账期起,出库单!$C$4:$C$4003,"&lt;="&amp;账期止)&gt;0,"已调账","※差异还没调账")))</f>
        <v/>
      </c>
      <c r="Q409" s="17" t="n"/>
      <c r="R409" s="17" t="n"/>
    </row>
    <row r="410">
      <c r="A410" s="24">
        <f>IF(库存台账!$A410="","",库存台账!$A410)</f>
        <v/>
      </c>
      <c r="B410" s="24">
        <f>IF($A410="","",库存台账!$B410)</f>
        <v/>
      </c>
      <c r="C410" s="24">
        <f>IF($A410="","",库存台账!$C410)</f>
        <v/>
      </c>
      <c r="D410" s="24">
        <f>IF($A410="","",库存台账!$D410)</f>
        <v/>
      </c>
      <c r="E410" s="24">
        <f>IF($A410="","",库存台账!$E410)</f>
        <v/>
      </c>
      <c r="F410" s="24">
        <f>IF($A410="","",库存台账!$F410)</f>
        <v/>
      </c>
      <c r="G410" s="17" t="n"/>
      <c r="H410" s="23" t="n"/>
      <c r="I410" s="27">
        <f>IF($A410="","",库存台账!$X410)</f>
        <v/>
      </c>
      <c r="J410" s="27">
        <f>IF(OR($A410="",$H410=""),"",ROUND($H410-$I410,3))</f>
        <v/>
      </c>
      <c r="K410" s="26">
        <f>IF($A410="","",库存台账!$K410)</f>
        <v/>
      </c>
      <c r="L410" s="26">
        <f>IF($J410="","",ROUND($J410*$K410,0))</f>
        <v/>
      </c>
      <c r="M410" s="37">
        <f>IF(OR($J410="",$I410=0),"",ROUND($J410/$I410,4))</f>
        <v/>
      </c>
      <c r="N410" s="17" t="n"/>
      <c r="O410" s="17" t="n"/>
      <c r="P410" s="24">
        <f>IF($J410="","未盘",IF(ROUND($J410,3)=0,"账实相符",IF(COUNTIFS(入库单!$G$4:$G$2503,$A410,入库单!$X$4:$X$2503,"盘盈",入库单!$C$4:$C$2503,"&gt;="&amp;账期起,入库单!$C$4:$C$2503,"&lt;="&amp;账期止)+COUNTIFS(出库单!$D$4:$D$4003,$A410,出库单!$K$4:$K$4003,"盘亏",出库单!$C$4:$C$4003,"&gt;="&amp;账期起,出库单!$C$4:$C$4003,"&lt;="&amp;账期止)&gt;0,"已调账","※差异还没调账")))</f>
        <v/>
      </c>
      <c r="Q410" s="17" t="n"/>
      <c r="R410" s="17" t="n"/>
    </row>
    <row r="411">
      <c r="A411" s="24">
        <f>IF(库存台账!$A411="","",库存台账!$A411)</f>
        <v/>
      </c>
      <c r="B411" s="24">
        <f>IF($A411="","",库存台账!$B411)</f>
        <v/>
      </c>
      <c r="C411" s="24">
        <f>IF($A411="","",库存台账!$C411)</f>
        <v/>
      </c>
      <c r="D411" s="24">
        <f>IF($A411="","",库存台账!$D411)</f>
        <v/>
      </c>
      <c r="E411" s="24">
        <f>IF($A411="","",库存台账!$E411)</f>
        <v/>
      </c>
      <c r="F411" s="24">
        <f>IF($A411="","",库存台账!$F411)</f>
        <v/>
      </c>
      <c r="G411" s="17" t="n"/>
      <c r="H411" s="23" t="n"/>
      <c r="I411" s="27">
        <f>IF($A411="","",库存台账!$X411)</f>
        <v/>
      </c>
      <c r="J411" s="27">
        <f>IF(OR($A411="",$H411=""),"",ROUND($H411-$I411,3))</f>
        <v/>
      </c>
      <c r="K411" s="26">
        <f>IF($A411="","",库存台账!$K411)</f>
        <v/>
      </c>
      <c r="L411" s="26">
        <f>IF($J411="","",ROUND($J411*$K411,0))</f>
        <v/>
      </c>
      <c r="M411" s="37">
        <f>IF(OR($J411="",$I411=0),"",ROUND($J411/$I411,4))</f>
        <v/>
      </c>
      <c r="N411" s="17" t="n"/>
      <c r="O411" s="17" t="n"/>
      <c r="P411" s="24">
        <f>IF($J411="","未盘",IF(ROUND($J411,3)=0,"账实相符",IF(COUNTIFS(入库单!$G$4:$G$2503,$A411,入库单!$X$4:$X$2503,"盘盈",入库单!$C$4:$C$2503,"&gt;="&amp;账期起,入库单!$C$4:$C$2503,"&lt;="&amp;账期止)+COUNTIFS(出库单!$D$4:$D$4003,$A411,出库单!$K$4:$K$4003,"盘亏",出库单!$C$4:$C$4003,"&gt;="&amp;账期起,出库单!$C$4:$C$4003,"&lt;="&amp;账期止)&gt;0,"已调账","※差异还没调账")))</f>
        <v/>
      </c>
      <c r="Q411" s="17" t="n"/>
      <c r="R411" s="17" t="n"/>
    </row>
    <row r="412">
      <c r="A412" s="24">
        <f>IF(库存台账!$A412="","",库存台账!$A412)</f>
        <v/>
      </c>
      <c r="B412" s="24">
        <f>IF($A412="","",库存台账!$B412)</f>
        <v/>
      </c>
      <c r="C412" s="24">
        <f>IF($A412="","",库存台账!$C412)</f>
        <v/>
      </c>
      <c r="D412" s="24">
        <f>IF($A412="","",库存台账!$D412)</f>
        <v/>
      </c>
      <c r="E412" s="24">
        <f>IF($A412="","",库存台账!$E412)</f>
        <v/>
      </c>
      <c r="F412" s="24">
        <f>IF($A412="","",库存台账!$F412)</f>
        <v/>
      </c>
      <c r="G412" s="17" t="n"/>
      <c r="H412" s="23" t="n"/>
      <c r="I412" s="27">
        <f>IF($A412="","",库存台账!$X412)</f>
        <v/>
      </c>
      <c r="J412" s="27">
        <f>IF(OR($A412="",$H412=""),"",ROUND($H412-$I412,3))</f>
        <v/>
      </c>
      <c r="K412" s="26">
        <f>IF($A412="","",库存台账!$K412)</f>
        <v/>
      </c>
      <c r="L412" s="26">
        <f>IF($J412="","",ROUND($J412*$K412,0))</f>
        <v/>
      </c>
      <c r="M412" s="37">
        <f>IF(OR($J412="",$I412=0),"",ROUND($J412/$I412,4))</f>
        <v/>
      </c>
      <c r="N412" s="17" t="n"/>
      <c r="O412" s="17" t="n"/>
      <c r="P412" s="24">
        <f>IF($J412="","未盘",IF(ROUND($J412,3)=0,"账实相符",IF(COUNTIFS(入库单!$G$4:$G$2503,$A412,入库单!$X$4:$X$2503,"盘盈",入库单!$C$4:$C$2503,"&gt;="&amp;账期起,入库单!$C$4:$C$2503,"&lt;="&amp;账期止)+COUNTIFS(出库单!$D$4:$D$4003,$A412,出库单!$K$4:$K$4003,"盘亏",出库单!$C$4:$C$4003,"&gt;="&amp;账期起,出库单!$C$4:$C$4003,"&lt;="&amp;账期止)&gt;0,"已调账","※差异还没调账")))</f>
        <v/>
      </c>
      <c r="Q412" s="17" t="n"/>
      <c r="R412" s="17" t="n"/>
    </row>
    <row r="413">
      <c r="A413" s="24">
        <f>IF(库存台账!$A413="","",库存台账!$A413)</f>
        <v/>
      </c>
      <c r="B413" s="24">
        <f>IF($A413="","",库存台账!$B413)</f>
        <v/>
      </c>
      <c r="C413" s="24">
        <f>IF($A413="","",库存台账!$C413)</f>
        <v/>
      </c>
      <c r="D413" s="24">
        <f>IF($A413="","",库存台账!$D413)</f>
        <v/>
      </c>
      <c r="E413" s="24">
        <f>IF($A413="","",库存台账!$E413)</f>
        <v/>
      </c>
      <c r="F413" s="24">
        <f>IF($A413="","",库存台账!$F413)</f>
        <v/>
      </c>
      <c r="G413" s="17" t="n"/>
      <c r="H413" s="23" t="n"/>
      <c r="I413" s="27">
        <f>IF($A413="","",库存台账!$X413)</f>
        <v/>
      </c>
      <c r="J413" s="27">
        <f>IF(OR($A413="",$H413=""),"",ROUND($H413-$I413,3))</f>
        <v/>
      </c>
      <c r="K413" s="26">
        <f>IF($A413="","",库存台账!$K413)</f>
        <v/>
      </c>
      <c r="L413" s="26">
        <f>IF($J413="","",ROUND($J413*$K413,0))</f>
        <v/>
      </c>
      <c r="M413" s="37">
        <f>IF(OR($J413="",$I413=0),"",ROUND($J413/$I413,4))</f>
        <v/>
      </c>
      <c r="N413" s="17" t="n"/>
      <c r="O413" s="17" t="n"/>
      <c r="P413" s="24">
        <f>IF($J413="","未盘",IF(ROUND($J413,3)=0,"账实相符",IF(COUNTIFS(入库单!$G$4:$G$2503,$A413,入库单!$X$4:$X$2503,"盘盈",入库单!$C$4:$C$2503,"&gt;="&amp;账期起,入库单!$C$4:$C$2503,"&lt;="&amp;账期止)+COUNTIFS(出库单!$D$4:$D$4003,$A413,出库单!$K$4:$K$4003,"盘亏",出库单!$C$4:$C$4003,"&gt;="&amp;账期起,出库单!$C$4:$C$4003,"&lt;="&amp;账期止)&gt;0,"已调账","※差异还没调账")))</f>
        <v/>
      </c>
      <c r="Q413" s="17" t="n"/>
      <c r="R413" s="17" t="n"/>
    </row>
    <row r="414">
      <c r="A414" s="24">
        <f>IF(库存台账!$A414="","",库存台账!$A414)</f>
        <v/>
      </c>
      <c r="B414" s="24">
        <f>IF($A414="","",库存台账!$B414)</f>
        <v/>
      </c>
      <c r="C414" s="24">
        <f>IF($A414="","",库存台账!$C414)</f>
        <v/>
      </c>
      <c r="D414" s="24">
        <f>IF($A414="","",库存台账!$D414)</f>
        <v/>
      </c>
      <c r="E414" s="24">
        <f>IF($A414="","",库存台账!$E414)</f>
        <v/>
      </c>
      <c r="F414" s="24">
        <f>IF($A414="","",库存台账!$F414)</f>
        <v/>
      </c>
      <c r="G414" s="17" t="n"/>
      <c r="H414" s="23" t="n"/>
      <c r="I414" s="27">
        <f>IF($A414="","",库存台账!$X414)</f>
        <v/>
      </c>
      <c r="J414" s="27">
        <f>IF(OR($A414="",$H414=""),"",ROUND($H414-$I414,3))</f>
        <v/>
      </c>
      <c r="K414" s="26">
        <f>IF($A414="","",库存台账!$K414)</f>
        <v/>
      </c>
      <c r="L414" s="26">
        <f>IF($J414="","",ROUND($J414*$K414,0))</f>
        <v/>
      </c>
      <c r="M414" s="37">
        <f>IF(OR($J414="",$I414=0),"",ROUND($J414/$I414,4))</f>
        <v/>
      </c>
      <c r="N414" s="17" t="n"/>
      <c r="O414" s="17" t="n"/>
      <c r="P414" s="24">
        <f>IF($J414="","未盘",IF(ROUND($J414,3)=0,"账实相符",IF(COUNTIFS(入库单!$G$4:$G$2503,$A414,入库单!$X$4:$X$2503,"盘盈",入库单!$C$4:$C$2503,"&gt;="&amp;账期起,入库单!$C$4:$C$2503,"&lt;="&amp;账期止)+COUNTIFS(出库单!$D$4:$D$4003,$A414,出库单!$K$4:$K$4003,"盘亏",出库单!$C$4:$C$4003,"&gt;="&amp;账期起,出库单!$C$4:$C$4003,"&lt;="&amp;账期止)&gt;0,"已调账","※差异还没调账")))</f>
        <v/>
      </c>
      <c r="Q414" s="17" t="n"/>
      <c r="R414" s="17" t="n"/>
    </row>
    <row r="415">
      <c r="A415" s="24">
        <f>IF(库存台账!$A415="","",库存台账!$A415)</f>
        <v/>
      </c>
      <c r="B415" s="24">
        <f>IF($A415="","",库存台账!$B415)</f>
        <v/>
      </c>
      <c r="C415" s="24">
        <f>IF($A415="","",库存台账!$C415)</f>
        <v/>
      </c>
      <c r="D415" s="24">
        <f>IF($A415="","",库存台账!$D415)</f>
        <v/>
      </c>
      <c r="E415" s="24">
        <f>IF($A415="","",库存台账!$E415)</f>
        <v/>
      </c>
      <c r="F415" s="24">
        <f>IF($A415="","",库存台账!$F415)</f>
        <v/>
      </c>
      <c r="G415" s="17" t="n"/>
      <c r="H415" s="23" t="n"/>
      <c r="I415" s="27">
        <f>IF($A415="","",库存台账!$X415)</f>
        <v/>
      </c>
      <c r="J415" s="27">
        <f>IF(OR($A415="",$H415=""),"",ROUND($H415-$I415,3))</f>
        <v/>
      </c>
      <c r="K415" s="26">
        <f>IF($A415="","",库存台账!$K415)</f>
        <v/>
      </c>
      <c r="L415" s="26">
        <f>IF($J415="","",ROUND($J415*$K415,0))</f>
        <v/>
      </c>
      <c r="M415" s="37">
        <f>IF(OR($J415="",$I415=0),"",ROUND($J415/$I415,4))</f>
        <v/>
      </c>
      <c r="N415" s="17" t="n"/>
      <c r="O415" s="17" t="n"/>
      <c r="P415" s="24">
        <f>IF($J415="","未盘",IF(ROUND($J415,3)=0,"账实相符",IF(COUNTIFS(入库单!$G$4:$G$2503,$A415,入库单!$X$4:$X$2503,"盘盈",入库单!$C$4:$C$2503,"&gt;="&amp;账期起,入库单!$C$4:$C$2503,"&lt;="&amp;账期止)+COUNTIFS(出库单!$D$4:$D$4003,$A415,出库单!$K$4:$K$4003,"盘亏",出库单!$C$4:$C$4003,"&gt;="&amp;账期起,出库单!$C$4:$C$4003,"&lt;="&amp;账期止)&gt;0,"已调账","※差异还没调账")))</f>
        <v/>
      </c>
      <c r="Q415" s="17" t="n"/>
      <c r="R415" s="17" t="n"/>
    </row>
    <row r="416">
      <c r="A416" s="24">
        <f>IF(库存台账!$A416="","",库存台账!$A416)</f>
        <v/>
      </c>
      <c r="B416" s="24">
        <f>IF($A416="","",库存台账!$B416)</f>
        <v/>
      </c>
      <c r="C416" s="24">
        <f>IF($A416="","",库存台账!$C416)</f>
        <v/>
      </c>
      <c r="D416" s="24">
        <f>IF($A416="","",库存台账!$D416)</f>
        <v/>
      </c>
      <c r="E416" s="24">
        <f>IF($A416="","",库存台账!$E416)</f>
        <v/>
      </c>
      <c r="F416" s="24">
        <f>IF($A416="","",库存台账!$F416)</f>
        <v/>
      </c>
      <c r="G416" s="17" t="n"/>
      <c r="H416" s="23" t="n"/>
      <c r="I416" s="27">
        <f>IF($A416="","",库存台账!$X416)</f>
        <v/>
      </c>
      <c r="J416" s="27">
        <f>IF(OR($A416="",$H416=""),"",ROUND($H416-$I416,3))</f>
        <v/>
      </c>
      <c r="K416" s="26">
        <f>IF($A416="","",库存台账!$K416)</f>
        <v/>
      </c>
      <c r="L416" s="26">
        <f>IF($J416="","",ROUND($J416*$K416,0))</f>
        <v/>
      </c>
      <c r="M416" s="37">
        <f>IF(OR($J416="",$I416=0),"",ROUND($J416/$I416,4))</f>
        <v/>
      </c>
      <c r="N416" s="17" t="n"/>
      <c r="O416" s="17" t="n"/>
      <c r="P416" s="24">
        <f>IF($J416="","未盘",IF(ROUND($J416,3)=0,"账实相符",IF(COUNTIFS(入库单!$G$4:$G$2503,$A416,入库单!$X$4:$X$2503,"盘盈",入库单!$C$4:$C$2503,"&gt;="&amp;账期起,入库单!$C$4:$C$2503,"&lt;="&amp;账期止)+COUNTIFS(出库单!$D$4:$D$4003,$A416,出库单!$K$4:$K$4003,"盘亏",出库单!$C$4:$C$4003,"&gt;="&amp;账期起,出库单!$C$4:$C$4003,"&lt;="&amp;账期止)&gt;0,"已调账","※差异还没调账")))</f>
        <v/>
      </c>
      <c r="Q416" s="17" t="n"/>
      <c r="R416" s="17" t="n"/>
    </row>
    <row r="417">
      <c r="A417" s="24">
        <f>IF(库存台账!$A417="","",库存台账!$A417)</f>
        <v/>
      </c>
      <c r="B417" s="24">
        <f>IF($A417="","",库存台账!$B417)</f>
        <v/>
      </c>
      <c r="C417" s="24">
        <f>IF($A417="","",库存台账!$C417)</f>
        <v/>
      </c>
      <c r="D417" s="24">
        <f>IF($A417="","",库存台账!$D417)</f>
        <v/>
      </c>
      <c r="E417" s="24">
        <f>IF($A417="","",库存台账!$E417)</f>
        <v/>
      </c>
      <c r="F417" s="24">
        <f>IF($A417="","",库存台账!$F417)</f>
        <v/>
      </c>
      <c r="G417" s="17" t="n"/>
      <c r="H417" s="23" t="n"/>
      <c r="I417" s="27">
        <f>IF($A417="","",库存台账!$X417)</f>
        <v/>
      </c>
      <c r="J417" s="27">
        <f>IF(OR($A417="",$H417=""),"",ROUND($H417-$I417,3))</f>
        <v/>
      </c>
      <c r="K417" s="26">
        <f>IF($A417="","",库存台账!$K417)</f>
        <v/>
      </c>
      <c r="L417" s="26">
        <f>IF($J417="","",ROUND($J417*$K417,0))</f>
        <v/>
      </c>
      <c r="M417" s="37">
        <f>IF(OR($J417="",$I417=0),"",ROUND($J417/$I417,4))</f>
        <v/>
      </c>
      <c r="N417" s="17" t="n"/>
      <c r="O417" s="17" t="n"/>
      <c r="P417" s="24">
        <f>IF($J417="","未盘",IF(ROUND($J417,3)=0,"账实相符",IF(COUNTIFS(入库单!$G$4:$G$2503,$A417,入库单!$X$4:$X$2503,"盘盈",入库单!$C$4:$C$2503,"&gt;="&amp;账期起,入库单!$C$4:$C$2503,"&lt;="&amp;账期止)+COUNTIFS(出库单!$D$4:$D$4003,$A417,出库单!$K$4:$K$4003,"盘亏",出库单!$C$4:$C$4003,"&gt;="&amp;账期起,出库单!$C$4:$C$4003,"&lt;="&amp;账期止)&gt;0,"已调账","※差异还没调账")))</f>
        <v/>
      </c>
      <c r="Q417" s="17" t="n"/>
      <c r="R417" s="17" t="n"/>
    </row>
    <row r="418">
      <c r="A418" s="24">
        <f>IF(库存台账!$A418="","",库存台账!$A418)</f>
        <v/>
      </c>
      <c r="B418" s="24">
        <f>IF($A418="","",库存台账!$B418)</f>
        <v/>
      </c>
      <c r="C418" s="24">
        <f>IF($A418="","",库存台账!$C418)</f>
        <v/>
      </c>
      <c r="D418" s="24">
        <f>IF($A418="","",库存台账!$D418)</f>
        <v/>
      </c>
      <c r="E418" s="24">
        <f>IF($A418="","",库存台账!$E418)</f>
        <v/>
      </c>
      <c r="F418" s="24">
        <f>IF($A418="","",库存台账!$F418)</f>
        <v/>
      </c>
      <c r="G418" s="17" t="n"/>
      <c r="H418" s="23" t="n"/>
      <c r="I418" s="27">
        <f>IF($A418="","",库存台账!$X418)</f>
        <v/>
      </c>
      <c r="J418" s="27">
        <f>IF(OR($A418="",$H418=""),"",ROUND($H418-$I418,3))</f>
        <v/>
      </c>
      <c r="K418" s="26">
        <f>IF($A418="","",库存台账!$K418)</f>
        <v/>
      </c>
      <c r="L418" s="26">
        <f>IF($J418="","",ROUND($J418*$K418,0))</f>
        <v/>
      </c>
      <c r="M418" s="37">
        <f>IF(OR($J418="",$I418=0),"",ROUND($J418/$I418,4))</f>
        <v/>
      </c>
      <c r="N418" s="17" t="n"/>
      <c r="O418" s="17" t="n"/>
      <c r="P418" s="24">
        <f>IF($J418="","未盘",IF(ROUND($J418,3)=0,"账实相符",IF(COUNTIFS(入库单!$G$4:$G$2503,$A418,入库单!$X$4:$X$2503,"盘盈",入库单!$C$4:$C$2503,"&gt;="&amp;账期起,入库单!$C$4:$C$2503,"&lt;="&amp;账期止)+COUNTIFS(出库单!$D$4:$D$4003,$A418,出库单!$K$4:$K$4003,"盘亏",出库单!$C$4:$C$4003,"&gt;="&amp;账期起,出库单!$C$4:$C$4003,"&lt;="&amp;账期止)&gt;0,"已调账","※差异还没调账")))</f>
        <v/>
      </c>
      <c r="Q418" s="17" t="n"/>
      <c r="R418" s="17" t="n"/>
    </row>
    <row r="419">
      <c r="A419" s="24">
        <f>IF(库存台账!$A419="","",库存台账!$A419)</f>
        <v/>
      </c>
      <c r="B419" s="24">
        <f>IF($A419="","",库存台账!$B419)</f>
        <v/>
      </c>
      <c r="C419" s="24">
        <f>IF($A419="","",库存台账!$C419)</f>
        <v/>
      </c>
      <c r="D419" s="24">
        <f>IF($A419="","",库存台账!$D419)</f>
        <v/>
      </c>
      <c r="E419" s="24">
        <f>IF($A419="","",库存台账!$E419)</f>
        <v/>
      </c>
      <c r="F419" s="24">
        <f>IF($A419="","",库存台账!$F419)</f>
        <v/>
      </c>
      <c r="G419" s="17" t="n"/>
      <c r="H419" s="23" t="n"/>
      <c r="I419" s="27">
        <f>IF($A419="","",库存台账!$X419)</f>
        <v/>
      </c>
      <c r="J419" s="27">
        <f>IF(OR($A419="",$H419=""),"",ROUND($H419-$I419,3))</f>
        <v/>
      </c>
      <c r="K419" s="26">
        <f>IF($A419="","",库存台账!$K419)</f>
        <v/>
      </c>
      <c r="L419" s="26">
        <f>IF($J419="","",ROUND($J419*$K419,0))</f>
        <v/>
      </c>
      <c r="M419" s="37">
        <f>IF(OR($J419="",$I419=0),"",ROUND($J419/$I419,4))</f>
        <v/>
      </c>
      <c r="N419" s="17" t="n"/>
      <c r="O419" s="17" t="n"/>
      <c r="P419" s="24">
        <f>IF($J419="","未盘",IF(ROUND($J419,3)=0,"账实相符",IF(COUNTIFS(入库单!$G$4:$G$2503,$A419,入库单!$X$4:$X$2503,"盘盈",入库单!$C$4:$C$2503,"&gt;="&amp;账期起,入库单!$C$4:$C$2503,"&lt;="&amp;账期止)+COUNTIFS(出库单!$D$4:$D$4003,$A419,出库单!$K$4:$K$4003,"盘亏",出库单!$C$4:$C$4003,"&gt;="&amp;账期起,出库单!$C$4:$C$4003,"&lt;="&amp;账期止)&gt;0,"已调账","※差异还没调账")))</f>
        <v/>
      </c>
      <c r="Q419" s="17" t="n"/>
      <c r="R419" s="17" t="n"/>
    </row>
    <row r="420">
      <c r="A420" s="24">
        <f>IF(库存台账!$A420="","",库存台账!$A420)</f>
        <v/>
      </c>
      <c r="B420" s="24">
        <f>IF($A420="","",库存台账!$B420)</f>
        <v/>
      </c>
      <c r="C420" s="24">
        <f>IF($A420="","",库存台账!$C420)</f>
        <v/>
      </c>
      <c r="D420" s="24">
        <f>IF($A420="","",库存台账!$D420)</f>
        <v/>
      </c>
      <c r="E420" s="24">
        <f>IF($A420="","",库存台账!$E420)</f>
        <v/>
      </c>
      <c r="F420" s="24">
        <f>IF($A420="","",库存台账!$F420)</f>
        <v/>
      </c>
      <c r="G420" s="17" t="n"/>
      <c r="H420" s="23" t="n"/>
      <c r="I420" s="27">
        <f>IF($A420="","",库存台账!$X420)</f>
        <v/>
      </c>
      <c r="J420" s="27">
        <f>IF(OR($A420="",$H420=""),"",ROUND($H420-$I420,3))</f>
        <v/>
      </c>
      <c r="K420" s="26">
        <f>IF($A420="","",库存台账!$K420)</f>
        <v/>
      </c>
      <c r="L420" s="26">
        <f>IF($J420="","",ROUND($J420*$K420,0))</f>
        <v/>
      </c>
      <c r="M420" s="37">
        <f>IF(OR($J420="",$I420=0),"",ROUND($J420/$I420,4))</f>
        <v/>
      </c>
      <c r="N420" s="17" t="n"/>
      <c r="O420" s="17" t="n"/>
      <c r="P420" s="24">
        <f>IF($J420="","未盘",IF(ROUND($J420,3)=0,"账实相符",IF(COUNTIFS(入库单!$G$4:$G$2503,$A420,入库单!$X$4:$X$2503,"盘盈",入库单!$C$4:$C$2503,"&gt;="&amp;账期起,入库单!$C$4:$C$2503,"&lt;="&amp;账期止)+COUNTIFS(出库单!$D$4:$D$4003,$A420,出库单!$K$4:$K$4003,"盘亏",出库单!$C$4:$C$4003,"&gt;="&amp;账期起,出库单!$C$4:$C$4003,"&lt;="&amp;账期止)&gt;0,"已调账","※差异还没调账")))</f>
        <v/>
      </c>
      <c r="Q420" s="17" t="n"/>
      <c r="R420" s="17" t="n"/>
    </row>
    <row r="421">
      <c r="A421" s="24">
        <f>IF(库存台账!$A421="","",库存台账!$A421)</f>
        <v/>
      </c>
      <c r="B421" s="24">
        <f>IF($A421="","",库存台账!$B421)</f>
        <v/>
      </c>
      <c r="C421" s="24">
        <f>IF($A421="","",库存台账!$C421)</f>
        <v/>
      </c>
      <c r="D421" s="24">
        <f>IF($A421="","",库存台账!$D421)</f>
        <v/>
      </c>
      <c r="E421" s="24">
        <f>IF($A421="","",库存台账!$E421)</f>
        <v/>
      </c>
      <c r="F421" s="24">
        <f>IF($A421="","",库存台账!$F421)</f>
        <v/>
      </c>
      <c r="G421" s="17" t="n"/>
      <c r="H421" s="23" t="n"/>
      <c r="I421" s="27">
        <f>IF($A421="","",库存台账!$X421)</f>
        <v/>
      </c>
      <c r="J421" s="27">
        <f>IF(OR($A421="",$H421=""),"",ROUND($H421-$I421,3))</f>
        <v/>
      </c>
      <c r="K421" s="26">
        <f>IF($A421="","",库存台账!$K421)</f>
        <v/>
      </c>
      <c r="L421" s="26">
        <f>IF($J421="","",ROUND($J421*$K421,0))</f>
        <v/>
      </c>
      <c r="M421" s="37">
        <f>IF(OR($J421="",$I421=0),"",ROUND($J421/$I421,4))</f>
        <v/>
      </c>
      <c r="N421" s="17" t="n"/>
      <c r="O421" s="17" t="n"/>
      <c r="P421" s="24">
        <f>IF($J421="","未盘",IF(ROUND($J421,3)=0,"账实相符",IF(COUNTIFS(入库单!$G$4:$G$2503,$A421,入库单!$X$4:$X$2503,"盘盈",入库单!$C$4:$C$2503,"&gt;="&amp;账期起,入库单!$C$4:$C$2503,"&lt;="&amp;账期止)+COUNTIFS(出库单!$D$4:$D$4003,$A421,出库单!$K$4:$K$4003,"盘亏",出库单!$C$4:$C$4003,"&gt;="&amp;账期起,出库单!$C$4:$C$4003,"&lt;="&amp;账期止)&gt;0,"已调账","※差异还没调账")))</f>
        <v/>
      </c>
      <c r="Q421" s="17" t="n"/>
      <c r="R421" s="17" t="n"/>
    </row>
    <row r="422">
      <c r="A422" s="24">
        <f>IF(库存台账!$A422="","",库存台账!$A422)</f>
        <v/>
      </c>
      <c r="B422" s="24">
        <f>IF($A422="","",库存台账!$B422)</f>
        <v/>
      </c>
      <c r="C422" s="24">
        <f>IF($A422="","",库存台账!$C422)</f>
        <v/>
      </c>
      <c r="D422" s="24">
        <f>IF($A422="","",库存台账!$D422)</f>
        <v/>
      </c>
      <c r="E422" s="24">
        <f>IF($A422="","",库存台账!$E422)</f>
        <v/>
      </c>
      <c r="F422" s="24">
        <f>IF($A422="","",库存台账!$F422)</f>
        <v/>
      </c>
      <c r="G422" s="17" t="n"/>
      <c r="H422" s="23" t="n"/>
      <c r="I422" s="27">
        <f>IF($A422="","",库存台账!$X422)</f>
        <v/>
      </c>
      <c r="J422" s="27">
        <f>IF(OR($A422="",$H422=""),"",ROUND($H422-$I422,3))</f>
        <v/>
      </c>
      <c r="K422" s="26">
        <f>IF($A422="","",库存台账!$K422)</f>
        <v/>
      </c>
      <c r="L422" s="26">
        <f>IF($J422="","",ROUND($J422*$K422,0))</f>
        <v/>
      </c>
      <c r="M422" s="37">
        <f>IF(OR($J422="",$I422=0),"",ROUND($J422/$I422,4))</f>
        <v/>
      </c>
      <c r="N422" s="17" t="n"/>
      <c r="O422" s="17" t="n"/>
      <c r="P422" s="24">
        <f>IF($J422="","未盘",IF(ROUND($J422,3)=0,"账实相符",IF(COUNTIFS(入库单!$G$4:$G$2503,$A422,入库单!$X$4:$X$2503,"盘盈",入库单!$C$4:$C$2503,"&gt;="&amp;账期起,入库单!$C$4:$C$2503,"&lt;="&amp;账期止)+COUNTIFS(出库单!$D$4:$D$4003,$A422,出库单!$K$4:$K$4003,"盘亏",出库单!$C$4:$C$4003,"&gt;="&amp;账期起,出库单!$C$4:$C$4003,"&lt;="&amp;账期止)&gt;0,"已调账","※差异还没调账")))</f>
        <v/>
      </c>
      <c r="Q422" s="17" t="n"/>
      <c r="R422" s="17" t="n"/>
    </row>
    <row r="423">
      <c r="A423" s="24">
        <f>IF(库存台账!$A423="","",库存台账!$A423)</f>
        <v/>
      </c>
      <c r="B423" s="24">
        <f>IF($A423="","",库存台账!$B423)</f>
        <v/>
      </c>
      <c r="C423" s="24">
        <f>IF($A423="","",库存台账!$C423)</f>
        <v/>
      </c>
      <c r="D423" s="24">
        <f>IF($A423="","",库存台账!$D423)</f>
        <v/>
      </c>
      <c r="E423" s="24">
        <f>IF($A423="","",库存台账!$E423)</f>
        <v/>
      </c>
      <c r="F423" s="24">
        <f>IF($A423="","",库存台账!$F423)</f>
        <v/>
      </c>
      <c r="G423" s="17" t="n"/>
      <c r="H423" s="23" t="n"/>
      <c r="I423" s="27">
        <f>IF($A423="","",库存台账!$X423)</f>
        <v/>
      </c>
      <c r="J423" s="27">
        <f>IF(OR($A423="",$H423=""),"",ROUND($H423-$I423,3))</f>
        <v/>
      </c>
      <c r="K423" s="26">
        <f>IF($A423="","",库存台账!$K423)</f>
        <v/>
      </c>
      <c r="L423" s="26">
        <f>IF($J423="","",ROUND($J423*$K423,0))</f>
        <v/>
      </c>
      <c r="M423" s="37">
        <f>IF(OR($J423="",$I423=0),"",ROUND($J423/$I423,4))</f>
        <v/>
      </c>
      <c r="N423" s="17" t="n"/>
      <c r="O423" s="17" t="n"/>
      <c r="P423" s="24">
        <f>IF($J423="","未盘",IF(ROUND($J423,3)=0,"账实相符",IF(COUNTIFS(入库单!$G$4:$G$2503,$A423,入库单!$X$4:$X$2503,"盘盈",入库单!$C$4:$C$2503,"&gt;="&amp;账期起,入库单!$C$4:$C$2503,"&lt;="&amp;账期止)+COUNTIFS(出库单!$D$4:$D$4003,$A423,出库单!$K$4:$K$4003,"盘亏",出库单!$C$4:$C$4003,"&gt;="&amp;账期起,出库单!$C$4:$C$4003,"&lt;="&amp;账期止)&gt;0,"已调账","※差异还没调账")))</f>
        <v/>
      </c>
      <c r="Q423" s="17" t="n"/>
      <c r="R423" s="17" t="n"/>
    </row>
    <row r="424">
      <c r="A424" s="24">
        <f>IF(库存台账!$A424="","",库存台账!$A424)</f>
        <v/>
      </c>
      <c r="B424" s="24">
        <f>IF($A424="","",库存台账!$B424)</f>
        <v/>
      </c>
      <c r="C424" s="24">
        <f>IF($A424="","",库存台账!$C424)</f>
        <v/>
      </c>
      <c r="D424" s="24">
        <f>IF($A424="","",库存台账!$D424)</f>
        <v/>
      </c>
      <c r="E424" s="24">
        <f>IF($A424="","",库存台账!$E424)</f>
        <v/>
      </c>
      <c r="F424" s="24">
        <f>IF($A424="","",库存台账!$F424)</f>
        <v/>
      </c>
      <c r="G424" s="17" t="n"/>
      <c r="H424" s="23" t="n"/>
      <c r="I424" s="27">
        <f>IF($A424="","",库存台账!$X424)</f>
        <v/>
      </c>
      <c r="J424" s="27">
        <f>IF(OR($A424="",$H424=""),"",ROUND($H424-$I424,3))</f>
        <v/>
      </c>
      <c r="K424" s="26">
        <f>IF($A424="","",库存台账!$K424)</f>
        <v/>
      </c>
      <c r="L424" s="26">
        <f>IF($J424="","",ROUND($J424*$K424,0))</f>
        <v/>
      </c>
      <c r="M424" s="37">
        <f>IF(OR($J424="",$I424=0),"",ROUND($J424/$I424,4))</f>
        <v/>
      </c>
      <c r="N424" s="17" t="n"/>
      <c r="O424" s="17" t="n"/>
      <c r="P424" s="24">
        <f>IF($J424="","未盘",IF(ROUND($J424,3)=0,"账实相符",IF(COUNTIFS(入库单!$G$4:$G$2503,$A424,入库单!$X$4:$X$2503,"盘盈",入库单!$C$4:$C$2503,"&gt;="&amp;账期起,入库单!$C$4:$C$2503,"&lt;="&amp;账期止)+COUNTIFS(出库单!$D$4:$D$4003,$A424,出库单!$K$4:$K$4003,"盘亏",出库单!$C$4:$C$4003,"&gt;="&amp;账期起,出库单!$C$4:$C$4003,"&lt;="&amp;账期止)&gt;0,"已调账","※差异还没调账")))</f>
        <v/>
      </c>
      <c r="Q424" s="17" t="n"/>
      <c r="R424" s="17" t="n"/>
    </row>
    <row r="425">
      <c r="A425" s="24">
        <f>IF(库存台账!$A425="","",库存台账!$A425)</f>
        <v/>
      </c>
      <c r="B425" s="24">
        <f>IF($A425="","",库存台账!$B425)</f>
        <v/>
      </c>
      <c r="C425" s="24">
        <f>IF($A425="","",库存台账!$C425)</f>
        <v/>
      </c>
      <c r="D425" s="24">
        <f>IF($A425="","",库存台账!$D425)</f>
        <v/>
      </c>
      <c r="E425" s="24">
        <f>IF($A425="","",库存台账!$E425)</f>
        <v/>
      </c>
      <c r="F425" s="24">
        <f>IF($A425="","",库存台账!$F425)</f>
        <v/>
      </c>
      <c r="G425" s="17" t="n"/>
      <c r="H425" s="23" t="n"/>
      <c r="I425" s="27">
        <f>IF($A425="","",库存台账!$X425)</f>
        <v/>
      </c>
      <c r="J425" s="27">
        <f>IF(OR($A425="",$H425=""),"",ROUND($H425-$I425,3))</f>
        <v/>
      </c>
      <c r="K425" s="26">
        <f>IF($A425="","",库存台账!$K425)</f>
        <v/>
      </c>
      <c r="L425" s="26">
        <f>IF($J425="","",ROUND($J425*$K425,0))</f>
        <v/>
      </c>
      <c r="M425" s="37">
        <f>IF(OR($J425="",$I425=0),"",ROUND($J425/$I425,4))</f>
        <v/>
      </c>
      <c r="N425" s="17" t="n"/>
      <c r="O425" s="17" t="n"/>
      <c r="P425" s="24">
        <f>IF($J425="","未盘",IF(ROUND($J425,3)=0,"账实相符",IF(COUNTIFS(入库单!$G$4:$G$2503,$A425,入库单!$X$4:$X$2503,"盘盈",入库单!$C$4:$C$2503,"&gt;="&amp;账期起,入库单!$C$4:$C$2503,"&lt;="&amp;账期止)+COUNTIFS(出库单!$D$4:$D$4003,$A425,出库单!$K$4:$K$4003,"盘亏",出库单!$C$4:$C$4003,"&gt;="&amp;账期起,出库单!$C$4:$C$4003,"&lt;="&amp;账期止)&gt;0,"已调账","※差异还没调账")))</f>
        <v/>
      </c>
      <c r="Q425" s="17" t="n"/>
      <c r="R425" s="17" t="n"/>
    </row>
    <row r="426">
      <c r="A426" s="24">
        <f>IF(库存台账!$A426="","",库存台账!$A426)</f>
        <v/>
      </c>
      <c r="B426" s="24">
        <f>IF($A426="","",库存台账!$B426)</f>
        <v/>
      </c>
      <c r="C426" s="24">
        <f>IF($A426="","",库存台账!$C426)</f>
        <v/>
      </c>
      <c r="D426" s="24">
        <f>IF($A426="","",库存台账!$D426)</f>
        <v/>
      </c>
      <c r="E426" s="24">
        <f>IF($A426="","",库存台账!$E426)</f>
        <v/>
      </c>
      <c r="F426" s="24">
        <f>IF($A426="","",库存台账!$F426)</f>
        <v/>
      </c>
      <c r="G426" s="17" t="n"/>
      <c r="H426" s="23" t="n"/>
      <c r="I426" s="27">
        <f>IF($A426="","",库存台账!$X426)</f>
        <v/>
      </c>
      <c r="J426" s="27">
        <f>IF(OR($A426="",$H426=""),"",ROUND($H426-$I426,3))</f>
        <v/>
      </c>
      <c r="K426" s="26">
        <f>IF($A426="","",库存台账!$K426)</f>
        <v/>
      </c>
      <c r="L426" s="26">
        <f>IF($J426="","",ROUND($J426*$K426,0))</f>
        <v/>
      </c>
      <c r="M426" s="37">
        <f>IF(OR($J426="",$I426=0),"",ROUND($J426/$I426,4))</f>
        <v/>
      </c>
      <c r="N426" s="17" t="n"/>
      <c r="O426" s="17" t="n"/>
      <c r="P426" s="24">
        <f>IF($J426="","未盘",IF(ROUND($J426,3)=0,"账实相符",IF(COUNTIFS(入库单!$G$4:$G$2503,$A426,入库单!$X$4:$X$2503,"盘盈",入库单!$C$4:$C$2503,"&gt;="&amp;账期起,入库单!$C$4:$C$2503,"&lt;="&amp;账期止)+COUNTIFS(出库单!$D$4:$D$4003,$A426,出库单!$K$4:$K$4003,"盘亏",出库单!$C$4:$C$4003,"&gt;="&amp;账期起,出库单!$C$4:$C$4003,"&lt;="&amp;账期止)&gt;0,"已调账","※差异还没调账")))</f>
        <v/>
      </c>
      <c r="Q426" s="17" t="n"/>
      <c r="R426" s="17" t="n"/>
    </row>
    <row r="427">
      <c r="A427" s="24">
        <f>IF(库存台账!$A427="","",库存台账!$A427)</f>
        <v/>
      </c>
      <c r="B427" s="24">
        <f>IF($A427="","",库存台账!$B427)</f>
        <v/>
      </c>
      <c r="C427" s="24">
        <f>IF($A427="","",库存台账!$C427)</f>
        <v/>
      </c>
      <c r="D427" s="24">
        <f>IF($A427="","",库存台账!$D427)</f>
        <v/>
      </c>
      <c r="E427" s="24">
        <f>IF($A427="","",库存台账!$E427)</f>
        <v/>
      </c>
      <c r="F427" s="24">
        <f>IF($A427="","",库存台账!$F427)</f>
        <v/>
      </c>
      <c r="G427" s="17" t="n"/>
      <c r="H427" s="23" t="n"/>
      <c r="I427" s="27">
        <f>IF($A427="","",库存台账!$X427)</f>
        <v/>
      </c>
      <c r="J427" s="27">
        <f>IF(OR($A427="",$H427=""),"",ROUND($H427-$I427,3))</f>
        <v/>
      </c>
      <c r="K427" s="26">
        <f>IF($A427="","",库存台账!$K427)</f>
        <v/>
      </c>
      <c r="L427" s="26">
        <f>IF($J427="","",ROUND($J427*$K427,0))</f>
        <v/>
      </c>
      <c r="M427" s="37">
        <f>IF(OR($J427="",$I427=0),"",ROUND($J427/$I427,4))</f>
        <v/>
      </c>
      <c r="N427" s="17" t="n"/>
      <c r="O427" s="17" t="n"/>
      <c r="P427" s="24">
        <f>IF($J427="","未盘",IF(ROUND($J427,3)=0,"账实相符",IF(COUNTIFS(入库单!$G$4:$G$2503,$A427,入库单!$X$4:$X$2503,"盘盈",入库单!$C$4:$C$2503,"&gt;="&amp;账期起,入库单!$C$4:$C$2503,"&lt;="&amp;账期止)+COUNTIFS(出库单!$D$4:$D$4003,$A427,出库单!$K$4:$K$4003,"盘亏",出库单!$C$4:$C$4003,"&gt;="&amp;账期起,出库单!$C$4:$C$4003,"&lt;="&amp;账期止)&gt;0,"已调账","※差异还没调账")))</f>
        <v/>
      </c>
      <c r="Q427" s="17" t="n"/>
      <c r="R427" s="17" t="n"/>
    </row>
    <row r="428">
      <c r="A428" s="24">
        <f>IF(库存台账!$A428="","",库存台账!$A428)</f>
        <v/>
      </c>
      <c r="B428" s="24">
        <f>IF($A428="","",库存台账!$B428)</f>
        <v/>
      </c>
      <c r="C428" s="24">
        <f>IF($A428="","",库存台账!$C428)</f>
        <v/>
      </c>
      <c r="D428" s="24">
        <f>IF($A428="","",库存台账!$D428)</f>
        <v/>
      </c>
      <c r="E428" s="24">
        <f>IF($A428="","",库存台账!$E428)</f>
        <v/>
      </c>
      <c r="F428" s="24">
        <f>IF($A428="","",库存台账!$F428)</f>
        <v/>
      </c>
      <c r="G428" s="17" t="n"/>
      <c r="H428" s="23" t="n"/>
      <c r="I428" s="27">
        <f>IF($A428="","",库存台账!$X428)</f>
        <v/>
      </c>
      <c r="J428" s="27">
        <f>IF(OR($A428="",$H428=""),"",ROUND($H428-$I428,3))</f>
        <v/>
      </c>
      <c r="K428" s="26">
        <f>IF($A428="","",库存台账!$K428)</f>
        <v/>
      </c>
      <c r="L428" s="26">
        <f>IF($J428="","",ROUND($J428*$K428,0))</f>
        <v/>
      </c>
      <c r="M428" s="37">
        <f>IF(OR($J428="",$I428=0),"",ROUND($J428/$I428,4))</f>
        <v/>
      </c>
      <c r="N428" s="17" t="n"/>
      <c r="O428" s="17" t="n"/>
      <c r="P428" s="24">
        <f>IF($J428="","未盘",IF(ROUND($J428,3)=0,"账实相符",IF(COUNTIFS(入库单!$G$4:$G$2503,$A428,入库单!$X$4:$X$2503,"盘盈",入库单!$C$4:$C$2503,"&gt;="&amp;账期起,入库单!$C$4:$C$2503,"&lt;="&amp;账期止)+COUNTIFS(出库单!$D$4:$D$4003,$A428,出库单!$K$4:$K$4003,"盘亏",出库单!$C$4:$C$4003,"&gt;="&amp;账期起,出库单!$C$4:$C$4003,"&lt;="&amp;账期止)&gt;0,"已调账","※差异还没调账")))</f>
        <v/>
      </c>
      <c r="Q428" s="17" t="n"/>
      <c r="R428" s="17" t="n"/>
    </row>
    <row r="429">
      <c r="A429" s="24">
        <f>IF(库存台账!$A429="","",库存台账!$A429)</f>
        <v/>
      </c>
      <c r="B429" s="24">
        <f>IF($A429="","",库存台账!$B429)</f>
        <v/>
      </c>
      <c r="C429" s="24">
        <f>IF($A429="","",库存台账!$C429)</f>
        <v/>
      </c>
      <c r="D429" s="24">
        <f>IF($A429="","",库存台账!$D429)</f>
        <v/>
      </c>
      <c r="E429" s="24">
        <f>IF($A429="","",库存台账!$E429)</f>
        <v/>
      </c>
      <c r="F429" s="24">
        <f>IF($A429="","",库存台账!$F429)</f>
        <v/>
      </c>
      <c r="G429" s="17" t="n"/>
      <c r="H429" s="23" t="n"/>
      <c r="I429" s="27">
        <f>IF($A429="","",库存台账!$X429)</f>
        <v/>
      </c>
      <c r="J429" s="27">
        <f>IF(OR($A429="",$H429=""),"",ROUND($H429-$I429,3))</f>
        <v/>
      </c>
      <c r="K429" s="26">
        <f>IF($A429="","",库存台账!$K429)</f>
        <v/>
      </c>
      <c r="L429" s="26">
        <f>IF($J429="","",ROUND($J429*$K429,0))</f>
        <v/>
      </c>
      <c r="M429" s="37">
        <f>IF(OR($J429="",$I429=0),"",ROUND($J429/$I429,4))</f>
        <v/>
      </c>
      <c r="N429" s="17" t="n"/>
      <c r="O429" s="17" t="n"/>
      <c r="P429" s="24">
        <f>IF($J429="","未盘",IF(ROUND($J429,3)=0,"账实相符",IF(COUNTIFS(入库单!$G$4:$G$2503,$A429,入库单!$X$4:$X$2503,"盘盈",入库单!$C$4:$C$2503,"&gt;="&amp;账期起,入库单!$C$4:$C$2503,"&lt;="&amp;账期止)+COUNTIFS(出库单!$D$4:$D$4003,$A429,出库单!$K$4:$K$4003,"盘亏",出库单!$C$4:$C$4003,"&gt;="&amp;账期起,出库单!$C$4:$C$4003,"&lt;="&amp;账期止)&gt;0,"已调账","※差异还没调账")))</f>
        <v/>
      </c>
      <c r="Q429" s="17" t="n"/>
      <c r="R429" s="17" t="n"/>
    </row>
    <row r="430">
      <c r="A430" s="24">
        <f>IF(库存台账!$A430="","",库存台账!$A430)</f>
        <v/>
      </c>
      <c r="B430" s="24">
        <f>IF($A430="","",库存台账!$B430)</f>
        <v/>
      </c>
      <c r="C430" s="24">
        <f>IF($A430="","",库存台账!$C430)</f>
        <v/>
      </c>
      <c r="D430" s="24">
        <f>IF($A430="","",库存台账!$D430)</f>
        <v/>
      </c>
      <c r="E430" s="24">
        <f>IF($A430="","",库存台账!$E430)</f>
        <v/>
      </c>
      <c r="F430" s="24">
        <f>IF($A430="","",库存台账!$F430)</f>
        <v/>
      </c>
      <c r="G430" s="17" t="n"/>
      <c r="H430" s="23" t="n"/>
      <c r="I430" s="27">
        <f>IF($A430="","",库存台账!$X430)</f>
        <v/>
      </c>
      <c r="J430" s="27">
        <f>IF(OR($A430="",$H430=""),"",ROUND($H430-$I430,3))</f>
        <v/>
      </c>
      <c r="K430" s="26">
        <f>IF($A430="","",库存台账!$K430)</f>
        <v/>
      </c>
      <c r="L430" s="26">
        <f>IF($J430="","",ROUND($J430*$K430,0))</f>
        <v/>
      </c>
      <c r="M430" s="37">
        <f>IF(OR($J430="",$I430=0),"",ROUND($J430/$I430,4))</f>
        <v/>
      </c>
      <c r="N430" s="17" t="n"/>
      <c r="O430" s="17" t="n"/>
      <c r="P430" s="24">
        <f>IF($J430="","未盘",IF(ROUND($J430,3)=0,"账实相符",IF(COUNTIFS(入库单!$G$4:$G$2503,$A430,入库单!$X$4:$X$2503,"盘盈",入库单!$C$4:$C$2503,"&gt;="&amp;账期起,入库单!$C$4:$C$2503,"&lt;="&amp;账期止)+COUNTIFS(出库单!$D$4:$D$4003,$A430,出库单!$K$4:$K$4003,"盘亏",出库单!$C$4:$C$4003,"&gt;="&amp;账期起,出库单!$C$4:$C$4003,"&lt;="&amp;账期止)&gt;0,"已调账","※差异还没调账")))</f>
        <v/>
      </c>
      <c r="Q430" s="17" t="n"/>
      <c r="R430" s="17" t="n"/>
    </row>
    <row r="431">
      <c r="A431" s="24">
        <f>IF(库存台账!$A431="","",库存台账!$A431)</f>
        <v/>
      </c>
      <c r="B431" s="24">
        <f>IF($A431="","",库存台账!$B431)</f>
        <v/>
      </c>
      <c r="C431" s="24">
        <f>IF($A431="","",库存台账!$C431)</f>
        <v/>
      </c>
      <c r="D431" s="24">
        <f>IF($A431="","",库存台账!$D431)</f>
        <v/>
      </c>
      <c r="E431" s="24">
        <f>IF($A431="","",库存台账!$E431)</f>
        <v/>
      </c>
      <c r="F431" s="24">
        <f>IF($A431="","",库存台账!$F431)</f>
        <v/>
      </c>
      <c r="G431" s="17" t="n"/>
      <c r="H431" s="23" t="n"/>
      <c r="I431" s="27">
        <f>IF($A431="","",库存台账!$X431)</f>
        <v/>
      </c>
      <c r="J431" s="27">
        <f>IF(OR($A431="",$H431=""),"",ROUND($H431-$I431,3))</f>
        <v/>
      </c>
      <c r="K431" s="26">
        <f>IF($A431="","",库存台账!$K431)</f>
        <v/>
      </c>
      <c r="L431" s="26">
        <f>IF($J431="","",ROUND($J431*$K431,0))</f>
        <v/>
      </c>
      <c r="M431" s="37">
        <f>IF(OR($J431="",$I431=0),"",ROUND($J431/$I431,4))</f>
        <v/>
      </c>
      <c r="N431" s="17" t="n"/>
      <c r="O431" s="17" t="n"/>
      <c r="P431" s="24">
        <f>IF($J431="","未盘",IF(ROUND($J431,3)=0,"账实相符",IF(COUNTIFS(入库单!$G$4:$G$2503,$A431,入库单!$X$4:$X$2503,"盘盈",入库单!$C$4:$C$2503,"&gt;="&amp;账期起,入库单!$C$4:$C$2503,"&lt;="&amp;账期止)+COUNTIFS(出库单!$D$4:$D$4003,$A431,出库单!$K$4:$K$4003,"盘亏",出库单!$C$4:$C$4003,"&gt;="&amp;账期起,出库单!$C$4:$C$4003,"&lt;="&amp;账期止)&gt;0,"已调账","※差异还没调账")))</f>
        <v/>
      </c>
      <c r="Q431" s="17" t="n"/>
      <c r="R431" s="17" t="n"/>
    </row>
    <row r="432">
      <c r="A432" s="24">
        <f>IF(库存台账!$A432="","",库存台账!$A432)</f>
        <v/>
      </c>
      <c r="B432" s="24">
        <f>IF($A432="","",库存台账!$B432)</f>
        <v/>
      </c>
      <c r="C432" s="24">
        <f>IF($A432="","",库存台账!$C432)</f>
        <v/>
      </c>
      <c r="D432" s="24">
        <f>IF($A432="","",库存台账!$D432)</f>
        <v/>
      </c>
      <c r="E432" s="24">
        <f>IF($A432="","",库存台账!$E432)</f>
        <v/>
      </c>
      <c r="F432" s="24">
        <f>IF($A432="","",库存台账!$F432)</f>
        <v/>
      </c>
      <c r="G432" s="17" t="n"/>
      <c r="H432" s="23" t="n"/>
      <c r="I432" s="27">
        <f>IF($A432="","",库存台账!$X432)</f>
        <v/>
      </c>
      <c r="J432" s="27">
        <f>IF(OR($A432="",$H432=""),"",ROUND($H432-$I432,3))</f>
        <v/>
      </c>
      <c r="K432" s="26">
        <f>IF($A432="","",库存台账!$K432)</f>
        <v/>
      </c>
      <c r="L432" s="26">
        <f>IF($J432="","",ROUND($J432*$K432,0))</f>
        <v/>
      </c>
      <c r="M432" s="37">
        <f>IF(OR($J432="",$I432=0),"",ROUND($J432/$I432,4))</f>
        <v/>
      </c>
      <c r="N432" s="17" t="n"/>
      <c r="O432" s="17" t="n"/>
      <c r="P432" s="24">
        <f>IF($J432="","未盘",IF(ROUND($J432,3)=0,"账实相符",IF(COUNTIFS(入库单!$G$4:$G$2503,$A432,入库单!$X$4:$X$2503,"盘盈",入库单!$C$4:$C$2503,"&gt;="&amp;账期起,入库单!$C$4:$C$2503,"&lt;="&amp;账期止)+COUNTIFS(出库单!$D$4:$D$4003,$A432,出库单!$K$4:$K$4003,"盘亏",出库单!$C$4:$C$4003,"&gt;="&amp;账期起,出库单!$C$4:$C$4003,"&lt;="&amp;账期止)&gt;0,"已调账","※差异还没调账")))</f>
        <v/>
      </c>
      <c r="Q432" s="17" t="n"/>
      <c r="R432" s="17" t="n"/>
    </row>
    <row r="433">
      <c r="A433" s="24">
        <f>IF(库存台账!$A433="","",库存台账!$A433)</f>
        <v/>
      </c>
      <c r="B433" s="24">
        <f>IF($A433="","",库存台账!$B433)</f>
        <v/>
      </c>
      <c r="C433" s="24">
        <f>IF($A433="","",库存台账!$C433)</f>
        <v/>
      </c>
      <c r="D433" s="24">
        <f>IF($A433="","",库存台账!$D433)</f>
        <v/>
      </c>
      <c r="E433" s="24">
        <f>IF($A433="","",库存台账!$E433)</f>
        <v/>
      </c>
      <c r="F433" s="24">
        <f>IF($A433="","",库存台账!$F433)</f>
        <v/>
      </c>
      <c r="G433" s="17" t="n"/>
      <c r="H433" s="23" t="n"/>
      <c r="I433" s="27">
        <f>IF($A433="","",库存台账!$X433)</f>
        <v/>
      </c>
      <c r="J433" s="27">
        <f>IF(OR($A433="",$H433=""),"",ROUND($H433-$I433,3))</f>
        <v/>
      </c>
      <c r="K433" s="26">
        <f>IF($A433="","",库存台账!$K433)</f>
        <v/>
      </c>
      <c r="L433" s="26">
        <f>IF($J433="","",ROUND($J433*$K433,0))</f>
        <v/>
      </c>
      <c r="M433" s="37">
        <f>IF(OR($J433="",$I433=0),"",ROUND($J433/$I433,4))</f>
        <v/>
      </c>
      <c r="N433" s="17" t="n"/>
      <c r="O433" s="17" t="n"/>
      <c r="P433" s="24">
        <f>IF($J433="","未盘",IF(ROUND($J433,3)=0,"账实相符",IF(COUNTIFS(入库单!$G$4:$G$2503,$A433,入库单!$X$4:$X$2503,"盘盈",入库单!$C$4:$C$2503,"&gt;="&amp;账期起,入库单!$C$4:$C$2503,"&lt;="&amp;账期止)+COUNTIFS(出库单!$D$4:$D$4003,$A433,出库单!$K$4:$K$4003,"盘亏",出库单!$C$4:$C$4003,"&gt;="&amp;账期起,出库单!$C$4:$C$4003,"&lt;="&amp;账期止)&gt;0,"已调账","※差异还没调账")))</f>
        <v/>
      </c>
      <c r="Q433" s="17" t="n"/>
      <c r="R433" s="17" t="n"/>
    </row>
    <row r="434">
      <c r="A434" s="24">
        <f>IF(库存台账!$A434="","",库存台账!$A434)</f>
        <v/>
      </c>
      <c r="B434" s="24">
        <f>IF($A434="","",库存台账!$B434)</f>
        <v/>
      </c>
      <c r="C434" s="24">
        <f>IF($A434="","",库存台账!$C434)</f>
        <v/>
      </c>
      <c r="D434" s="24">
        <f>IF($A434="","",库存台账!$D434)</f>
        <v/>
      </c>
      <c r="E434" s="24">
        <f>IF($A434="","",库存台账!$E434)</f>
        <v/>
      </c>
      <c r="F434" s="24">
        <f>IF($A434="","",库存台账!$F434)</f>
        <v/>
      </c>
      <c r="G434" s="17" t="n"/>
      <c r="H434" s="23" t="n"/>
      <c r="I434" s="27">
        <f>IF($A434="","",库存台账!$X434)</f>
        <v/>
      </c>
      <c r="J434" s="27">
        <f>IF(OR($A434="",$H434=""),"",ROUND($H434-$I434,3))</f>
        <v/>
      </c>
      <c r="K434" s="26">
        <f>IF($A434="","",库存台账!$K434)</f>
        <v/>
      </c>
      <c r="L434" s="26">
        <f>IF($J434="","",ROUND($J434*$K434,0))</f>
        <v/>
      </c>
      <c r="M434" s="37">
        <f>IF(OR($J434="",$I434=0),"",ROUND($J434/$I434,4))</f>
        <v/>
      </c>
      <c r="N434" s="17" t="n"/>
      <c r="O434" s="17" t="n"/>
      <c r="P434" s="24">
        <f>IF($J434="","未盘",IF(ROUND($J434,3)=0,"账实相符",IF(COUNTIFS(入库单!$G$4:$G$2503,$A434,入库单!$X$4:$X$2503,"盘盈",入库单!$C$4:$C$2503,"&gt;="&amp;账期起,入库单!$C$4:$C$2503,"&lt;="&amp;账期止)+COUNTIFS(出库单!$D$4:$D$4003,$A434,出库单!$K$4:$K$4003,"盘亏",出库单!$C$4:$C$4003,"&gt;="&amp;账期起,出库单!$C$4:$C$4003,"&lt;="&amp;账期止)&gt;0,"已调账","※差异还没调账")))</f>
        <v/>
      </c>
      <c r="Q434" s="17" t="n"/>
      <c r="R434" s="17" t="n"/>
    </row>
    <row r="435">
      <c r="A435" s="24">
        <f>IF(库存台账!$A435="","",库存台账!$A435)</f>
        <v/>
      </c>
      <c r="B435" s="24">
        <f>IF($A435="","",库存台账!$B435)</f>
        <v/>
      </c>
      <c r="C435" s="24">
        <f>IF($A435="","",库存台账!$C435)</f>
        <v/>
      </c>
      <c r="D435" s="24">
        <f>IF($A435="","",库存台账!$D435)</f>
        <v/>
      </c>
      <c r="E435" s="24">
        <f>IF($A435="","",库存台账!$E435)</f>
        <v/>
      </c>
      <c r="F435" s="24">
        <f>IF($A435="","",库存台账!$F435)</f>
        <v/>
      </c>
      <c r="G435" s="17" t="n"/>
      <c r="H435" s="23" t="n"/>
      <c r="I435" s="27">
        <f>IF($A435="","",库存台账!$X435)</f>
        <v/>
      </c>
      <c r="J435" s="27">
        <f>IF(OR($A435="",$H435=""),"",ROUND($H435-$I435,3))</f>
        <v/>
      </c>
      <c r="K435" s="26">
        <f>IF($A435="","",库存台账!$K435)</f>
        <v/>
      </c>
      <c r="L435" s="26">
        <f>IF($J435="","",ROUND($J435*$K435,0))</f>
        <v/>
      </c>
      <c r="M435" s="37">
        <f>IF(OR($J435="",$I435=0),"",ROUND($J435/$I435,4))</f>
        <v/>
      </c>
      <c r="N435" s="17" t="n"/>
      <c r="O435" s="17" t="n"/>
      <c r="P435" s="24">
        <f>IF($J435="","未盘",IF(ROUND($J435,3)=0,"账实相符",IF(COUNTIFS(入库单!$G$4:$G$2503,$A435,入库单!$X$4:$X$2503,"盘盈",入库单!$C$4:$C$2503,"&gt;="&amp;账期起,入库单!$C$4:$C$2503,"&lt;="&amp;账期止)+COUNTIFS(出库单!$D$4:$D$4003,$A435,出库单!$K$4:$K$4003,"盘亏",出库单!$C$4:$C$4003,"&gt;="&amp;账期起,出库单!$C$4:$C$4003,"&lt;="&amp;账期止)&gt;0,"已调账","※差异还没调账")))</f>
        <v/>
      </c>
      <c r="Q435" s="17" t="n"/>
      <c r="R435" s="17" t="n"/>
    </row>
    <row r="436">
      <c r="A436" s="24">
        <f>IF(库存台账!$A436="","",库存台账!$A436)</f>
        <v/>
      </c>
      <c r="B436" s="24">
        <f>IF($A436="","",库存台账!$B436)</f>
        <v/>
      </c>
      <c r="C436" s="24">
        <f>IF($A436="","",库存台账!$C436)</f>
        <v/>
      </c>
      <c r="D436" s="24">
        <f>IF($A436="","",库存台账!$D436)</f>
        <v/>
      </c>
      <c r="E436" s="24">
        <f>IF($A436="","",库存台账!$E436)</f>
        <v/>
      </c>
      <c r="F436" s="24">
        <f>IF($A436="","",库存台账!$F436)</f>
        <v/>
      </c>
      <c r="G436" s="17" t="n"/>
      <c r="H436" s="23" t="n"/>
      <c r="I436" s="27">
        <f>IF($A436="","",库存台账!$X436)</f>
        <v/>
      </c>
      <c r="J436" s="27">
        <f>IF(OR($A436="",$H436=""),"",ROUND($H436-$I436,3))</f>
        <v/>
      </c>
      <c r="K436" s="26">
        <f>IF($A436="","",库存台账!$K436)</f>
        <v/>
      </c>
      <c r="L436" s="26">
        <f>IF($J436="","",ROUND($J436*$K436,0))</f>
        <v/>
      </c>
      <c r="M436" s="37">
        <f>IF(OR($J436="",$I436=0),"",ROUND($J436/$I436,4))</f>
        <v/>
      </c>
      <c r="N436" s="17" t="n"/>
      <c r="O436" s="17" t="n"/>
      <c r="P436" s="24">
        <f>IF($J436="","未盘",IF(ROUND($J436,3)=0,"账实相符",IF(COUNTIFS(入库单!$G$4:$G$2503,$A436,入库单!$X$4:$X$2503,"盘盈",入库单!$C$4:$C$2503,"&gt;="&amp;账期起,入库单!$C$4:$C$2503,"&lt;="&amp;账期止)+COUNTIFS(出库单!$D$4:$D$4003,$A436,出库单!$K$4:$K$4003,"盘亏",出库单!$C$4:$C$4003,"&gt;="&amp;账期起,出库单!$C$4:$C$4003,"&lt;="&amp;账期止)&gt;0,"已调账","※差异还没调账")))</f>
        <v/>
      </c>
      <c r="Q436" s="17" t="n"/>
      <c r="R436" s="17" t="n"/>
    </row>
    <row r="437">
      <c r="A437" s="24">
        <f>IF(库存台账!$A437="","",库存台账!$A437)</f>
        <v/>
      </c>
      <c r="B437" s="24">
        <f>IF($A437="","",库存台账!$B437)</f>
        <v/>
      </c>
      <c r="C437" s="24">
        <f>IF($A437="","",库存台账!$C437)</f>
        <v/>
      </c>
      <c r="D437" s="24">
        <f>IF($A437="","",库存台账!$D437)</f>
        <v/>
      </c>
      <c r="E437" s="24">
        <f>IF($A437="","",库存台账!$E437)</f>
        <v/>
      </c>
      <c r="F437" s="24">
        <f>IF($A437="","",库存台账!$F437)</f>
        <v/>
      </c>
      <c r="G437" s="17" t="n"/>
      <c r="H437" s="23" t="n"/>
      <c r="I437" s="27">
        <f>IF($A437="","",库存台账!$X437)</f>
        <v/>
      </c>
      <c r="J437" s="27">
        <f>IF(OR($A437="",$H437=""),"",ROUND($H437-$I437,3))</f>
        <v/>
      </c>
      <c r="K437" s="26">
        <f>IF($A437="","",库存台账!$K437)</f>
        <v/>
      </c>
      <c r="L437" s="26">
        <f>IF($J437="","",ROUND($J437*$K437,0))</f>
        <v/>
      </c>
      <c r="M437" s="37">
        <f>IF(OR($J437="",$I437=0),"",ROUND($J437/$I437,4))</f>
        <v/>
      </c>
      <c r="N437" s="17" t="n"/>
      <c r="O437" s="17" t="n"/>
      <c r="P437" s="24">
        <f>IF($J437="","未盘",IF(ROUND($J437,3)=0,"账实相符",IF(COUNTIFS(入库单!$G$4:$G$2503,$A437,入库单!$X$4:$X$2503,"盘盈",入库单!$C$4:$C$2503,"&gt;="&amp;账期起,入库单!$C$4:$C$2503,"&lt;="&amp;账期止)+COUNTIFS(出库单!$D$4:$D$4003,$A437,出库单!$K$4:$K$4003,"盘亏",出库单!$C$4:$C$4003,"&gt;="&amp;账期起,出库单!$C$4:$C$4003,"&lt;="&amp;账期止)&gt;0,"已调账","※差异还没调账")))</f>
        <v/>
      </c>
      <c r="Q437" s="17" t="n"/>
      <c r="R437" s="17" t="n"/>
    </row>
    <row r="438">
      <c r="A438" s="24">
        <f>IF(库存台账!$A438="","",库存台账!$A438)</f>
        <v/>
      </c>
      <c r="B438" s="24">
        <f>IF($A438="","",库存台账!$B438)</f>
        <v/>
      </c>
      <c r="C438" s="24">
        <f>IF($A438="","",库存台账!$C438)</f>
        <v/>
      </c>
      <c r="D438" s="24">
        <f>IF($A438="","",库存台账!$D438)</f>
        <v/>
      </c>
      <c r="E438" s="24">
        <f>IF($A438="","",库存台账!$E438)</f>
        <v/>
      </c>
      <c r="F438" s="24">
        <f>IF($A438="","",库存台账!$F438)</f>
        <v/>
      </c>
      <c r="G438" s="17" t="n"/>
      <c r="H438" s="23" t="n"/>
      <c r="I438" s="27">
        <f>IF($A438="","",库存台账!$X438)</f>
        <v/>
      </c>
      <c r="J438" s="27">
        <f>IF(OR($A438="",$H438=""),"",ROUND($H438-$I438,3))</f>
        <v/>
      </c>
      <c r="K438" s="26">
        <f>IF($A438="","",库存台账!$K438)</f>
        <v/>
      </c>
      <c r="L438" s="26">
        <f>IF($J438="","",ROUND($J438*$K438,0))</f>
        <v/>
      </c>
      <c r="M438" s="37">
        <f>IF(OR($J438="",$I438=0),"",ROUND($J438/$I438,4))</f>
        <v/>
      </c>
      <c r="N438" s="17" t="n"/>
      <c r="O438" s="17" t="n"/>
      <c r="P438" s="24">
        <f>IF($J438="","未盘",IF(ROUND($J438,3)=0,"账实相符",IF(COUNTIFS(入库单!$G$4:$G$2503,$A438,入库单!$X$4:$X$2503,"盘盈",入库单!$C$4:$C$2503,"&gt;="&amp;账期起,入库单!$C$4:$C$2503,"&lt;="&amp;账期止)+COUNTIFS(出库单!$D$4:$D$4003,$A438,出库单!$K$4:$K$4003,"盘亏",出库单!$C$4:$C$4003,"&gt;="&amp;账期起,出库单!$C$4:$C$4003,"&lt;="&amp;账期止)&gt;0,"已调账","※差异还没调账")))</f>
        <v/>
      </c>
      <c r="Q438" s="17" t="n"/>
      <c r="R438" s="17" t="n"/>
    </row>
    <row r="439">
      <c r="A439" s="24">
        <f>IF(库存台账!$A439="","",库存台账!$A439)</f>
        <v/>
      </c>
      <c r="B439" s="24">
        <f>IF($A439="","",库存台账!$B439)</f>
        <v/>
      </c>
      <c r="C439" s="24">
        <f>IF($A439="","",库存台账!$C439)</f>
        <v/>
      </c>
      <c r="D439" s="24">
        <f>IF($A439="","",库存台账!$D439)</f>
        <v/>
      </c>
      <c r="E439" s="24">
        <f>IF($A439="","",库存台账!$E439)</f>
        <v/>
      </c>
      <c r="F439" s="24">
        <f>IF($A439="","",库存台账!$F439)</f>
        <v/>
      </c>
      <c r="G439" s="17" t="n"/>
      <c r="H439" s="23" t="n"/>
      <c r="I439" s="27">
        <f>IF($A439="","",库存台账!$X439)</f>
        <v/>
      </c>
      <c r="J439" s="27">
        <f>IF(OR($A439="",$H439=""),"",ROUND($H439-$I439,3))</f>
        <v/>
      </c>
      <c r="K439" s="26">
        <f>IF($A439="","",库存台账!$K439)</f>
        <v/>
      </c>
      <c r="L439" s="26">
        <f>IF($J439="","",ROUND($J439*$K439,0))</f>
        <v/>
      </c>
      <c r="M439" s="37">
        <f>IF(OR($J439="",$I439=0),"",ROUND($J439/$I439,4))</f>
        <v/>
      </c>
      <c r="N439" s="17" t="n"/>
      <c r="O439" s="17" t="n"/>
      <c r="P439" s="24">
        <f>IF($J439="","未盘",IF(ROUND($J439,3)=0,"账实相符",IF(COUNTIFS(入库单!$G$4:$G$2503,$A439,入库单!$X$4:$X$2503,"盘盈",入库单!$C$4:$C$2503,"&gt;="&amp;账期起,入库单!$C$4:$C$2503,"&lt;="&amp;账期止)+COUNTIFS(出库单!$D$4:$D$4003,$A439,出库单!$K$4:$K$4003,"盘亏",出库单!$C$4:$C$4003,"&gt;="&amp;账期起,出库单!$C$4:$C$4003,"&lt;="&amp;账期止)&gt;0,"已调账","※差异还没调账")))</f>
        <v/>
      </c>
      <c r="Q439" s="17" t="n"/>
      <c r="R439" s="17" t="n"/>
    </row>
    <row r="440">
      <c r="A440" s="24">
        <f>IF(库存台账!$A440="","",库存台账!$A440)</f>
        <v/>
      </c>
      <c r="B440" s="24">
        <f>IF($A440="","",库存台账!$B440)</f>
        <v/>
      </c>
      <c r="C440" s="24">
        <f>IF($A440="","",库存台账!$C440)</f>
        <v/>
      </c>
      <c r="D440" s="24">
        <f>IF($A440="","",库存台账!$D440)</f>
        <v/>
      </c>
      <c r="E440" s="24">
        <f>IF($A440="","",库存台账!$E440)</f>
        <v/>
      </c>
      <c r="F440" s="24">
        <f>IF($A440="","",库存台账!$F440)</f>
        <v/>
      </c>
      <c r="G440" s="17" t="n"/>
      <c r="H440" s="23" t="n"/>
      <c r="I440" s="27">
        <f>IF($A440="","",库存台账!$X440)</f>
        <v/>
      </c>
      <c r="J440" s="27">
        <f>IF(OR($A440="",$H440=""),"",ROUND($H440-$I440,3))</f>
        <v/>
      </c>
      <c r="K440" s="26">
        <f>IF($A440="","",库存台账!$K440)</f>
        <v/>
      </c>
      <c r="L440" s="26">
        <f>IF($J440="","",ROUND($J440*$K440,0))</f>
        <v/>
      </c>
      <c r="M440" s="37">
        <f>IF(OR($J440="",$I440=0),"",ROUND($J440/$I440,4))</f>
        <v/>
      </c>
      <c r="N440" s="17" t="n"/>
      <c r="O440" s="17" t="n"/>
      <c r="P440" s="24">
        <f>IF($J440="","未盘",IF(ROUND($J440,3)=0,"账实相符",IF(COUNTIFS(入库单!$G$4:$G$2503,$A440,入库单!$X$4:$X$2503,"盘盈",入库单!$C$4:$C$2503,"&gt;="&amp;账期起,入库单!$C$4:$C$2503,"&lt;="&amp;账期止)+COUNTIFS(出库单!$D$4:$D$4003,$A440,出库单!$K$4:$K$4003,"盘亏",出库单!$C$4:$C$4003,"&gt;="&amp;账期起,出库单!$C$4:$C$4003,"&lt;="&amp;账期止)&gt;0,"已调账","※差异还没调账")))</f>
        <v/>
      </c>
      <c r="Q440" s="17" t="n"/>
      <c r="R440" s="17" t="n"/>
    </row>
    <row r="441">
      <c r="A441" s="24">
        <f>IF(库存台账!$A441="","",库存台账!$A441)</f>
        <v/>
      </c>
      <c r="B441" s="24">
        <f>IF($A441="","",库存台账!$B441)</f>
        <v/>
      </c>
      <c r="C441" s="24">
        <f>IF($A441="","",库存台账!$C441)</f>
        <v/>
      </c>
      <c r="D441" s="24">
        <f>IF($A441="","",库存台账!$D441)</f>
        <v/>
      </c>
      <c r="E441" s="24">
        <f>IF($A441="","",库存台账!$E441)</f>
        <v/>
      </c>
      <c r="F441" s="24">
        <f>IF($A441="","",库存台账!$F441)</f>
        <v/>
      </c>
      <c r="G441" s="17" t="n"/>
      <c r="H441" s="23" t="n"/>
      <c r="I441" s="27">
        <f>IF($A441="","",库存台账!$X441)</f>
        <v/>
      </c>
      <c r="J441" s="27">
        <f>IF(OR($A441="",$H441=""),"",ROUND($H441-$I441,3))</f>
        <v/>
      </c>
      <c r="K441" s="26">
        <f>IF($A441="","",库存台账!$K441)</f>
        <v/>
      </c>
      <c r="L441" s="26">
        <f>IF($J441="","",ROUND($J441*$K441,0))</f>
        <v/>
      </c>
      <c r="M441" s="37">
        <f>IF(OR($J441="",$I441=0),"",ROUND($J441/$I441,4))</f>
        <v/>
      </c>
      <c r="N441" s="17" t="n"/>
      <c r="O441" s="17" t="n"/>
      <c r="P441" s="24">
        <f>IF($J441="","未盘",IF(ROUND($J441,3)=0,"账实相符",IF(COUNTIFS(入库单!$G$4:$G$2503,$A441,入库单!$X$4:$X$2503,"盘盈",入库单!$C$4:$C$2503,"&gt;="&amp;账期起,入库单!$C$4:$C$2503,"&lt;="&amp;账期止)+COUNTIFS(出库单!$D$4:$D$4003,$A441,出库单!$K$4:$K$4003,"盘亏",出库单!$C$4:$C$4003,"&gt;="&amp;账期起,出库单!$C$4:$C$4003,"&lt;="&amp;账期止)&gt;0,"已调账","※差异还没调账")))</f>
        <v/>
      </c>
      <c r="Q441" s="17" t="n"/>
      <c r="R441" s="17" t="n"/>
    </row>
    <row r="442">
      <c r="A442" s="24">
        <f>IF(库存台账!$A442="","",库存台账!$A442)</f>
        <v/>
      </c>
      <c r="B442" s="24">
        <f>IF($A442="","",库存台账!$B442)</f>
        <v/>
      </c>
      <c r="C442" s="24">
        <f>IF($A442="","",库存台账!$C442)</f>
        <v/>
      </c>
      <c r="D442" s="24">
        <f>IF($A442="","",库存台账!$D442)</f>
        <v/>
      </c>
      <c r="E442" s="24">
        <f>IF($A442="","",库存台账!$E442)</f>
        <v/>
      </c>
      <c r="F442" s="24">
        <f>IF($A442="","",库存台账!$F442)</f>
        <v/>
      </c>
      <c r="G442" s="17" t="n"/>
      <c r="H442" s="23" t="n"/>
      <c r="I442" s="27">
        <f>IF($A442="","",库存台账!$X442)</f>
        <v/>
      </c>
      <c r="J442" s="27">
        <f>IF(OR($A442="",$H442=""),"",ROUND($H442-$I442,3))</f>
        <v/>
      </c>
      <c r="K442" s="26">
        <f>IF($A442="","",库存台账!$K442)</f>
        <v/>
      </c>
      <c r="L442" s="26">
        <f>IF($J442="","",ROUND($J442*$K442,0))</f>
        <v/>
      </c>
      <c r="M442" s="37">
        <f>IF(OR($J442="",$I442=0),"",ROUND($J442/$I442,4))</f>
        <v/>
      </c>
      <c r="N442" s="17" t="n"/>
      <c r="O442" s="17" t="n"/>
      <c r="P442" s="24">
        <f>IF($J442="","未盘",IF(ROUND($J442,3)=0,"账实相符",IF(COUNTIFS(入库单!$G$4:$G$2503,$A442,入库单!$X$4:$X$2503,"盘盈",入库单!$C$4:$C$2503,"&gt;="&amp;账期起,入库单!$C$4:$C$2503,"&lt;="&amp;账期止)+COUNTIFS(出库单!$D$4:$D$4003,$A442,出库单!$K$4:$K$4003,"盘亏",出库单!$C$4:$C$4003,"&gt;="&amp;账期起,出库单!$C$4:$C$4003,"&lt;="&amp;账期止)&gt;0,"已调账","※差异还没调账")))</f>
        <v/>
      </c>
      <c r="Q442" s="17" t="n"/>
      <c r="R442" s="17" t="n"/>
    </row>
    <row r="443">
      <c r="A443" s="24">
        <f>IF(库存台账!$A443="","",库存台账!$A443)</f>
        <v/>
      </c>
      <c r="B443" s="24">
        <f>IF($A443="","",库存台账!$B443)</f>
        <v/>
      </c>
      <c r="C443" s="24">
        <f>IF($A443="","",库存台账!$C443)</f>
        <v/>
      </c>
      <c r="D443" s="24">
        <f>IF($A443="","",库存台账!$D443)</f>
        <v/>
      </c>
      <c r="E443" s="24">
        <f>IF($A443="","",库存台账!$E443)</f>
        <v/>
      </c>
      <c r="F443" s="24">
        <f>IF($A443="","",库存台账!$F443)</f>
        <v/>
      </c>
      <c r="G443" s="17" t="n"/>
      <c r="H443" s="23" t="n"/>
      <c r="I443" s="27">
        <f>IF($A443="","",库存台账!$X443)</f>
        <v/>
      </c>
      <c r="J443" s="27">
        <f>IF(OR($A443="",$H443=""),"",ROUND($H443-$I443,3))</f>
        <v/>
      </c>
      <c r="K443" s="26">
        <f>IF($A443="","",库存台账!$K443)</f>
        <v/>
      </c>
      <c r="L443" s="26">
        <f>IF($J443="","",ROUND($J443*$K443,0))</f>
        <v/>
      </c>
      <c r="M443" s="37">
        <f>IF(OR($J443="",$I443=0),"",ROUND($J443/$I443,4))</f>
        <v/>
      </c>
      <c r="N443" s="17" t="n"/>
      <c r="O443" s="17" t="n"/>
      <c r="P443" s="24">
        <f>IF($J443="","未盘",IF(ROUND($J443,3)=0,"账实相符",IF(COUNTIFS(入库单!$G$4:$G$2503,$A443,入库单!$X$4:$X$2503,"盘盈",入库单!$C$4:$C$2503,"&gt;="&amp;账期起,入库单!$C$4:$C$2503,"&lt;="&amp;账期止)+COUNTIFS(出库单!$D$4:$D$4003,$A443,出库单!$K$4:$K$4003,"盘亏",出库单!$C$4:$C$4003,"&gt;="&amp;账期起,出库单!$C$4:$C$4003,"&lt;="&amp;账期止)&gt;0,"已调账","※差异还没调账")))</f>
        <v/>
      </c>
      <c r="Q443" s="17" t="n"/>
      <c r="R443" s="17" t="n"/>
    </row>
    <row r="444">
      <c r="A444" s="24">
        <f>IF(库存台账!$A444="","",库存台账!$A444)</f>
        <v/>
      </c>
      <c r="B444" s="24">
        <f>IF($A444="","",库存台账!$B444)</f>
        <v/>
      </c>
      <c r="C444" s="24">
        <f>IF($A444="","",库存台账!$C444)</f>
        <v/>
      </c>
      <c r="D444" s="24">
        <f>IF($A444="","",库存台账!$D444)</f>
        <v/>
      </c>
      <c r="E444" s="24">
        <f>IF($A444="","",库存台账!$E444)</f>
        <v/>
      </c>
      <c r="F444" s="24">
        <f>IF($A444="","",库存台账!$F444)</f>
        <v/>
      </c>
      <c r="G444" s="17" t="n"/>
      <c r="H444" s="23" t="n"/>
      <c r="I444" s="27">
        <f>IF($A444="","",库存台账!$X444)</f>
        <v/>
      </c>
      <c r="J444" s="27">
        <f>IF(OR($A444="",$H444=""),"",ROUND($H444-$I444,3))</f>
        <v/>
      </c>
      <c r="K444" s="26">
        <f>IF($A444="","",库存台账!$K444)</f>
        <v/>
      </c>
      <c r="L444" s="26">
        <f>IF($J444="","",ROUND($J444*$K444,0))</f>
        <v/>
      </c>
      <c r="M444" s="37">
        <f>IF(OR($J444="",$I444=0),"",ROUND($J444/$I444,4))</f>
        <v/>
      </c>
      <c r="N444" s="17" t="n"/>
      <c r="O444" s="17" t="n"/>
      <c r="P444" s="24">
        <f>IF($J444="","未盘",IF(ROUND($J444,3)=0,"账实相符",IF(COUNTIFS(入库单!$G$4:$G$2503,$A444,入库单!$X$4:$X$2503,"盘盈",入库单!$C$4:$C$2503,"&gt;="&amp;账期起,入库单!$C$4:$C$2503,"&lt;="&amp;账期止)+COUNTIFS(出库单!$D$4:$D$4003,$A444,出库单!$K$4:$K$4003,"盘亏",出库单!$C$4:$C$4003,"&gt;="&amp;账期起,出库单!$C$4:$C$4003,"&lt;="&amp;账期止)&gt;0,"已调账","※差异还没调账")))</f>
        <v/>
      </c>
      <c r="Q444" s="17" t="n"/>
      <c r="R444" s="17" t="n"/>
    </row>
    <row r="445">
      <c r="A445" s="24">
        <f>IF(库存台账!$A445="","",库存台账!$A445)</f>
        <v/>
      </c>
      <c r="B445" s="24">
        <f>IF($A445="","",库存台账!$B445)</f>
        <v/>
      </c>
      <c r="C445" s="24">
        <f>IF($A445="","",库存台账!$C445)</f>
        <v/>
      </c>
      <c r="D445" s="24">
        <f>IF($A445="","",库存台账!$D445)</f>
        <v/>
      </c>
      <c r="E445" s="24">
        <f>IF($A445="","",库存台账!$E445)</f>
        <v/>
      </c>
      <c r="F445" s="24">
        <f>IF($A445="","",库存台账!$F445)</f>
        <v/>
      </c>
      <c r="G445" s="17" t="n"/>
      <c r="H445" s="23" t="n"/>
      <c r="I445" s="27">
        <f>IF($A445="","",库存台账!$X445)</f>
        <v/>
      </c>
      <c r="J445" s="27">
        <f>IF(OR($A445="",$H445=""),"",ROUND($H445-$I445,3))</f>
        <v/>
      </c>
      <c r="K445" s="26">
        <f>IF($A445="","",库存台账!$K445)</f>
        <v/>
      </c>
      <c r="L445" s="26">
        <f>IF($J445="","",ROUND($J445*$K445,0))</f>
        <v/>
      </c>
      <c r="M445" s="37">
        <f>IF(OR($J445="",$I445=0),"",ROUND($J445/$I445,4))</f>
        <v/>
      </c>
      <c r="N445" s="17" t="n"/>
      <c r="O445" s="17" t="n"/>
      <c r="P445" s="24">
        <f>IF($J445="","未盘",IF(ROUND($J445,3)=0,"账实相符",IF(COUNTIFS(入库单!$G$4:$G$2503,$A445,入库单!$X$4:$X$2503,"盘盈",入库单!$C$4:$C$2503,"&gt;="&amp;账期起,入库单!$C$4:$C$2503,"&lt;="&amp;账期止)+COUNTIFS(出库单!$D$4:$D$4003,$A445,出库单!$K$4:$K$4003,"盘亏",出库单!$C$4:$C$4003,"&gt;="&amp;账期起,出库单!$C$4:$C$4003,"&lt;="&amp;账期止)&gt;0,"已调账","※差异还没调账")))</f>
        <v/>
      </c>
      <c r="Q445" s="17" t="n"/>
      <c r="R445" s="17" t="n"/>
    </row>
    <row r="446">
      <c r="A446" s="24">
        <f>IF(库存台账!$A446="","",库存台账!$A446)</f>
        <v/>
      </c>
      <c r="B446" s="24">
        <f>IF($A446="","",库存台账!$B446)</f>
        <v/>
      </c>
      <c r="C446" s="24">
        <f>IF($A446="","",库存台账!$C446)</f>
        <v/>
      </c>
      <c r="D446" s="24">
        <f>IF($A446="","",库存台账!$D446)</f>
        <v/>
      </c>
      <c r="E446" s="24">
        <f>IF($A446="","",库存台账!$E446)</f>
        <v/>
      </c>
      <c r="F446" s="24">
        <f>IF($A446="","",库存台账!$F446)</f>
        <v/>
      </c>
      <c r="G446" s="17" t="n"/>
      <c r="H446" s="23" t="n"/>
      <c r="I446" s="27">
        <f>IF($A446="","",库存台账!$X446)</f>
        <v/>
      </c>
      <c r="J446" s="27">
        <f>IF(OR($A446="",$H446=""),"",ROUND($H446-$I446,3))</f>
        <v/>
      </c>
      <c r="K446" s="26">
        <f>IF($A446="","",库存台账!$K446)</f>
        <v/>
      </c>
      <c r="L446" s="26">
        <f>IF($J446="","",ROUND($J446*$K446,0))</f>
        <v/>
      </c>
      <c r="M446" s="37">
        <f>IF(OR($J446="",$I446=0),"",ROUND($J446/$I446,4))</f>
        <v/>
      </c>
      <c r="N446" s="17" t="n"/>
      <c r="O446" s="17" t="n"/>
      <c r="P446" s="24">
        <f>IF($J446="","未盘",IF(ROUND($J446,3)=0,"账实相符",IF(COUNTIFS(入库单!$G$4:$G$2503,$A446,入库单!$X$4:$X$2503,"盘盈",入库单!$C$4:$C$2503,"&gt;="&amp;账期起,入库单!$C$4:$C$2503,"&lt;="&amp;账期止)+COUNTIFS(出库单!$D$4:$D$4003,$A446,出库单!$K$4:$K$4003,"盘亏",出库单!$C$4:$C$4003,"&gt;="&amp;账期起,出库单!$C$4:$C$4003,"&lt;="&amp;账期止)&gt;0,"已调账","※差异还没调账")))</f>
        <v/>
      </c>
      <c r="Q446" s="17" t="n"/>
      <c r="R446" s="17" t="n"/>
    </row>
    <row r="447">
      <c r="A447" s="24">
        <f>IF(库存台账!$A447="","",库存台账!$A447)</f>
        <v/>
      </c>
      <c r="B447" s="24">
        <f>IF($A447="","",库存台账!$B447)</f>
        <v/>
      </c>
      <c r="C447" s="24">
        <f>IF($A447="","",库存台账!$C447)</f>
        <v/>
      </c>
      <c r="D447" s="24">
        <f>IF($A447="","",库存台账!$D447)</f>
        <v/>
      </c>
      <c r="E447" s="24">
        <f>IF($A447="","",库存台账!$E447)</f>
        <v/>
      </c>
      <c r="F447" s="24">
        <f>IF($A447="","",库存台账!$F447)</f>
        <v/>
      </c>
      <c r="G447" s="17" t="n"/>
      <c r="H447" s="23" t="n"/>
      <c r="I447" s="27">
        <f>IF($A447="","",库存台账!$X447)</f>
        <v/>
      </c>
      <c r="J447" s="27">
        <f>IF(OR($A447="",$H447=""),"",ROUND($H447-$I447,3))</f>
        <v/>
      </c>
      <c r="K447" s="26">
        <f>IF($A447="","",库存台账!$K447)</f>
        <v/>
      </c>
      <c r="L447" s="26">
        <f>IF($J447="","",ROUND($J447*$K447,0))</f>
        <v/>
      </c>
      <c r="M447" s="37">
        <f>IF(OR($J447="",$I447=0),"",ROUND($J447/$I447,4))</f>
        <v/>
      </c>
      <c r="N447" s="17" t="n"/>
      <c r="O447" s="17" t="n"/>
      <c r="P447" s="24">
        <f>IF($J447="","未盘",IF(ROUND($J447,3)=0,"账实相符",IF(COUNTIFS(入库单!$G$4:$G$2503,$A447,入库单!$X$4:$X$2503,"盘盈",入库单!$C$4:$C$2503,"&gt;="&amp;账期起,入库单!$C$4:$C$2503,"&lt;="&amp;账期止)+COUNTIFS(出库单!$D$4:$D$4003,$A447,出库单!$K$4:$K$4003,"盘亏",出库单!$C$4:$C$4003,"&gt;="&amp;账期起,出库单!$C$4:$C$4003,"&lt;="&amp;账期止)&gt;0,"已调账","※差异还没调账")))</f>
        <v/>
      </c>
      <c r="Q447" s="17" t="n"/>
      <c r="R447" s="17" t="n"/>
    </row>
    <row r="448">
      <c r="A448" s="24">
        <f>IF(库存台账!$A448="","",库存台账!$A448)</f>
        <v/>
      </c>
      <c r="B448" s="24">
        <f>IF($A448="","",库存台账!$B448)</f>
        <v/>
      </c>
      <c r="C448" s="24">
        <f>IF($A448="","",库存台账!$C448)</f>
        <v/>
      </c>
      <c r="D448" s="24">
        <f>IF($A448="","",库存台账!$D448)</f>
        <v/>
      </c>
      <c r="E448" s="24">
        <f>IF($A448="","",库存台账!$E448)</f>
        <v/>
      </c>
      <c r="F448" s="24">
        <f>IF($A448="","",库存台账!$F448)</f>
        <v/>
      </c>
      <c r="G448" s="17" t="n"/>
      <c r="H448" s="23" t="n"/>
      <c r="I448" s="27">
        <f>IF($A448="","",库存台账!$X448)</f>
        <v/>
      </c>
      <c r="J448" s="27">
        <f>IF(OR($A448="",$H448=""),"",ROUND($H448-$I448,3))</f>
        <v/>
      </c>
      <c r="K448" s="26">
        <f>IF($A448="","",库存台账!$K448)</f>
        <v/>
      </c>
      <c r="L448" s="26">
        <f>IF($J448="","",ROUND($J448*$K448,0))</f>
        <v/>
      </c>
      <c r="M448" s="37">
        <f>IF(OR($J448="",$I448=0),"",ROUND($J448/$I448,4))</f>
        <v/>
      </c>
      <c r="N448" s="17" t="n"/>
      <c r="O448" s="17" t="n"/>
      <c r="P448" s="24">
        <f>IF($J448="","未盘",IF(ROUND($J448,3)=0,"账实相符",IF(COUNTIFS(入库单!$G$4:$G$2503,$A448,入库单!$X$4:$X$2503,"盘盈",入库单!$C$4:$C$2503,"&gt;="&amp;账期起,入库单!$C$4:$C$2503,"&lt;="&amp;账期止)+COUNTIFS(出库单!$D$4:$D$4003,$A448,出库单!$K$4:$K$4003,"盘亏",出库单!$C$4:$C$4003,"&gt;="&amp;账期起,出库单!$C$4:$C$4003,"&lt;="&amp;账期止)&gt;0,"已调账","※差异还没调账")))</f>
        <v/>
      </c>
      <c r="Q448" s="17" t="n"/>
      <c r="R448" s="17" t="n"/>
    </row>
    <row r="449">
      <c r="A449" s="24">
        <f>IF(库存台账!$A449="","",库存台账!$A449)</f>
        <v/>
      </c>
      <c r="B449" s="24">
        <f>IF($A449="","",库存台账!$B449)</f>
        <v/>
      </c>
      <c r="C449" s="24">
        <f>IF($A449="","",库存台账!$C449)</f>
        <v/>
      </c>
      <c r="D449" s="24">
        <f>IF($A449="","",库存台账!$D449)</f>
        <v/>
      </c>
      <c r="E449" s="24">
        <f>IF($A449="","",库存台账!$E449)</f>
        <v/>
      </c>
      <c r="F449" s="24">
        <f>IF($A449="","",库存台账!$F449)</f>
        <v/>
      </c>
      <c r="G449" s="17" t="n"/>
      <c r="H449" s="23" t="n"/>
      <c r="I449" s="27">
        <f>IF($A449="","",库存台账!$X449)</f>
        <v/>
      </c>
      <c r="J449" s="27">
        <f>IF(OR($A449="",$H449=""),"",ROUND($H449-$I449,3))</f>
        <v/>
      </c>
      <c r="K449" s="26">
        <f>IF($A449="","",库存台账!$K449)</f>
        <v/>
      </c>
      <c r="L449" s="26">
        <f>IF($J449="","",ROUND($J449*$K449,0))</f>
        <v/>
      </c>
      <c r="M449" s="37">
        <f>IF(OR($J449="",$I449=0),"",ROUND($J449/$I449,4))</f>
        <v/>
      </c>
      <c r="N449" s="17" t="n"/>
      <c r="O449" s="17" t="n"/>
      <c r="P449" s="24">
        <f>IF($J449="","未盘",IF(ROUND($J449,3)=0,"账实相符",IF(COUNTIFS(入库单!$G$4:$G$2503,$A449,入库单!$X$4:$X$2503,"盘盈",入库单!$C$4:$C$2503,"&gt;="&amp;账期起,入库单!$C$4:$C$2503,"&lt;="&amp;账期止)+COUNTIFS(出库单!$D$4:$D$4003,$A449,出库单!$K$4:$K$4003,"盘亏",出库单!$C$4:$C$4003,"&gt;="&amp;账期起,出库单!$C$4:$C$4003,"&lt;="&amp;账期止)&gt;0,"已调账","※差异还没调账")))</f>
        <v/>
      </c>
      <c r="Q449" s="17" t="n"/>
      <c r="R449" s="17" t="n"/>
    </row>
    <row r="450">
      <c r="A450" s="24">
        <f>IF(库存台账!$A450="","",库存台账!$A450)</f>
        <v/>
      </c>
      <c r="B450" s="24">
        <f>IF($A450="","",库存台账!$B450)</f>
        <v/>
      </c>
      <c r="C450" s="24">
        <f>IF($A450="","",库存台账!$C450)</f>
        <v/>
      </c>
      <c r="D450" s="24">
        <f>IF($A450="","",库存台账!$D450)</f>
        <v/>
      </c>
      <c r="E450" s="24">
        <f>IF($A450="","",库存台账!$E450)</f>
        <v/>
      </c>
      <c r="F450" s="24">
        <f>IF($A450="","",库存台账!$F450)</f>
        <v/>
      </c>
      <c r="G450" s="17" t="n"/>
      <c r="H450" s="23" t="n"/>
      <c r="I450" s="27">
        <f>IF($A450="","",库存台账!$X450)</f>
        <v/>
      </c>
      <c r="J450" s="27">
        <f>IF(OR($A450="",$H450=""),"",ROUND($H450-$I450,3))</f>
        <v/>
      </c>
      <c r="K450" s="26">
        <f>IF($A450="","",库存台账!$K450)</f>
        <v/>
      </c>
      <c r="L450" s="26">
        <f>IF($J450="","",ROUND($J450*$K450,0))</f>
        <v/>
      </c>
      <c r="M450" s="37">
        <f>IF(OR($J450="",$I450=0),"",ROUND($J450/$I450,4))</f>
        <v/>
      </c>
      <c r="N450" s="17" t="n"/>
      <c r="O450" s="17" t="n"/>
      <c r="P450" s="24">
        <f>IF($J450="","未盘",IF(ROUND($J450,3)=0,"账实相符",IF(COUNTIFS(入库单!$G$4:$G$2503,$A450,入库单!$X$4:$X$2503,"盘盈",入库单!$C$4:$C$2503,"&gt;="&amp;账期起,入库单!$C$4:$C$2503,"&lt;="&amp;账期止)+COUNTIFS(出库单!$D$4:$D$4003,$A450,出库单!$K$4:$K$4003,"盘亏",出库单!$C$4:$C$4003,"&gt;="&amp;账期起,出库单!$C$4:$C$4003,"&lt;="&amp;账期止)&gt;0,"已调账","※差异还没调账")))</f>
        <v/>
      </c>
      <c r="Q450" s="17" t="n"/>
      <c r="R450" s="17" t="n"/>
    </row>
    <row r="451">
      <c r="A451" s="24">
        <f>IF(库存台账!$A451="","",库存台账!$A451)</f>
        <v/>
      </c>
      <c r="B451" s="24">
        <f>IF($A451="","",库存台账!$B451)</f>
        <v/>
      </c>
      <c r="C451" s="24">
        <f>IF($A451="","",库存台账!$C451)</f>
        <v/>
      </c>
      <c r="D451" s="24">
        <f>IF($A451="","",库存台账!$D451)</f>
        <v/>
      </c>
      <c r="E451" s="24">
        <f>IF($A451="","",库存台账!$E451)</f>
        <v/>
      </c>
      <c r="F451" s="24">
        <f>IF($A451="","",库存台账!$F451)</f>
        <v/>
      </c>
      <c r="G451" s="17" t="n"/>
      <c r="H451" s="23" t="n"/>
      <c r="I451" s="27">
        <f>IF($A451="","",库存台账!$X451)</f>
        <v/>
      </c>
      <c r="J451" s="27">
        <f>IF(OR($A451="",$H451=""),"",ROUND($H451-$I451,3))</f>
        <v/>
      </c>
      <c r="K451" s="26">
        <f>IF($A451="","",库存台账!$K451)</f>
        <v/>
      </c>
      <c r="L451" s="26">
        <f>IF($J451="","",ROUND($J451*$K451,0))</f>
        <v/>
      </c>
      <c r="M451" s="37">
        <f>IF(OR($J451="",$I451=0),"",ROUND($J451/$I451,4))</f>
        <v/>
      </c>
      <c r="N451" s="17" t="n"/>
      <c r="O451" s="17" t="n"/>
      <c r="P451" s="24">
        <f>IF($J451="","未盘",IF(ROUND($J451,3)=0,"账实相符",IF(COUNTIFS(入库单!$G$4:$G$2503,$A451,入库单!$X$4:$X$2503,"盘盈",入库单!$C$4:$C$2503,"&gt;="&amp;账期起,入库单!$C$4:$C$2503,"&lt;="&amp;账期止)+COUNTIFS(出库单!$D$4:$D$4003,$A451,出库单!$K$4:$K$4003,"盘亏",出库单!$C$4:$C$4003,"&gt;="&amp;账期起,出库单!$C$4:$C$4003,"&lt;="&amp;账期止)&gt;0,"已调账","※差异还没调账")))</f>
        <v/>
      </c>
      <c r="Q451" s="17" t="n"/>
      <c r="R451" s="17" t="n"/>
    </row>
    <row r="452">
      <c r="A452" s="24">
        <f>IF(库存台账!$A452="","",库存台账!$A452)</f>
        <v/>
      </c>
      <c r="B452" s="24">
        <f>IF($A452="","",库存台账!$B452)</f>
        <v/>
      </c>
      <c r="C452" s="24">
        <f>IF($A452="","",库存台账!$C452)</f>
        <v/>
      </c>
      <c r="D452" s="24">
        <f>IF($A452="","",库存台账!$D452)</f>
        <v/>
      </c>
      <c r="E452" s="24">
        <f>IF($A452="","",库存台账!$E452)</f>
        <v/>
      </c>
      <c r="F452" s="24">
        <f>IF($A452="","",库存台账!$F452)</f>
        <v/>
      </c>
      <c r="G452" s="17" t="n"/>
      <c r="H452" s="23" t="n"/>
      <c r="I452" s="27">
        <f>IF($A452="","",库存台账!$X452)</f>
        <v/>
      </c>
      <c r="J452" s="27">
        <f>IF(OR($A452="",$H452=""),"",ROUND($H452-$I452,3))</f>
        <v/>
      </c>
      <c r="K452" s="26">
        <f>IF($A452="","",库存台账!$K452)</f>
        <v/>
      </c>
      <c r="L452" s="26">
        <f>IF($J452="","",ROUND($J452*$K452,0))</f>
        <v/>
      </c>
      <c r="M452" s="37">
        <f>IF(OR($J452="",$I452=0),"",ROUND($J452/$I452,4))</f>
        <v/>
      </c>
      <c r="N452" s="17" t="n"/>
      <c r="O452" s="17" t="n"/>
      <c r="P452" s="24">
        <f>IF($J452="","未盘",IF(ROUND($J452,3)=0,"账实相符",IF(COUNTIFS(入库单!$G$4:$G$2503,$A452,入库单!$X$4:$X$2503,"盘盈",入库单!$C$4:$C$2503,"&gt;="&amp;账期起,入库单!$C$4:$C$2503,"&lt;="&amp;账期止)+COUNTIFS(出库单!$D$4:$D$4003,$A452,出库单!$K$4:$K$4003,"盘亏",出库单!$C$4:$C$4003,"&gt;="&amp;账期起,出库单!$C$4:$C$4003,"&lt;="&amp;账期止)&gt;0,"已调账","※差异还没调账")))</f>
        <v/>
      </c>
      <c r="Q452" s="17" t="n"/>
      <c r="R452" s="17" t="n"/>
    </row>
    <row r="453">
      <c r="A453" s="24">
        <f>IF(库存台账!$A453="","",库存台账!$A453)</f>
        <v/>
      </c>
      <c r="B453" s="24">
        <f>IF($A453="","",库存台账!$B453)</f>
        <v/>
      </c>
      <c r="C453" s="24">
        <f>IF($A453="","",库存台账!$C453)</f>
        <v/>
      </c>
      <c r="D453" s="24">
        <f>IF($A453="","",库存台账!$D453)</f>
        <v/>
      </c>
      <c r="E453" s="24">
        <f>IF($A453="","",库存台账!$E453)</f>
        <v/>
      </c>
      <c r="F453" s="24">
        <f>IF($A453="","",库存台账!$F453)</f>
        <v/>
      </c>
      <c r="G453" s="17" t="n"/>
      <c r="H453" s="23" t="n"/>
      <c r="I453" s="27">
        <f>IF($A453="","",库存台账!$X453)</f>
        <v/>
      </c>
      <c r="J453" s="27">
        <f>IF(OR($A453="",$H453=""),"",ROUND($H453-$I453,3))</f>
        <v/>
      </c>
      <c r="K453" s="26">
        <f>IF($A453="","",库存台账!$K453)</f>
        <v/>
      </c>
      <c r="L453" s="26">
        <f>IF($J453="","",ROUND($J453*$K453,0))</f>
        <v/>
      </c>
      <c r="M453" s="37">
        <f>IF(OR($J453="",$I453=0),"",ROUND($J453/$I453,4))</f>
        <v/>
      </c>
      <c r="N453" s="17" t="n"/>
      <c r="O453" s="17" t="n"/>
      <c r="P453" s="24">
        <f>IF($J453="","未盘",IF(ROUND($J453,3)=0,"账实相符",IF(COUNTIFS(入库单!$G$4:$G$2503,$A453,入库单!$X$4:$X$2503,"盘盈",入库单!$C$4:$C$2503,"&gt;="&amp;账期起,入库单!$C$4:$C$2503,"&lt;="&amp;账期止)+COUNTIFS(出库单!$D$4:$D$4003,$A453,出库单!$K$4:$K$4003,"盘亏",出库单!$C$4:$C$4003,"&gt;="&amp;账期起,出库单!$C$4:$C$4003,"&lt;="&amp;账期止)&gt;0,"已调账","※差异还没调账")))</f>
        <v/>
      </c>
      <c r="Q453" s="17" t="n"/>
      <c r="R453" s="17" t="n"/>
    </row>
    <row r="454">
      <c r="A454" s="24">
        <f>IF(库存台账!$A454="","",库存台账!$A454)</f>
        <v/>
      </c>
      <c r="B454" s="24">
        <f>IF($A454="","",库存台账!$B454)</f>
        <v/>
      </c>
      <c r="C454" s="24">
        <f>IF($A454="","",库存台账!$C454)</f>
        <v/>
      </c>
      <c r="D454" s="24">
        <f>IF($A454="","",库存台账!$D454)</f>
        <v/>
      </c>
      <c r="E454" s="24">
        <f>IF($A454="","",库存台账!$E454)</f>
        <v/>
      </c>
      <c r="F454" s="24">
        <f>IF($A454="","",库存台账!$F454)</f>
        <v/>
      </c>
      <c r="G454" s="17" t="n"/>
      <c r="H454" s="23" t="n"/>
      <c r="I454" s="27">
        <f>IF($A454="","",库存台账!$X454)</f>
        <v/>
      </c>
      <c r="J454" s="27">
        <f>IF(OR($A454="",$H454=""),"",ROUND($H454-$I454,3))</f>
        <v/>
      </c>
      <c r="K454" s="26">
        <f>IF($A454="","",库存台账!$K454)</f>
        <v/>
      </c>
      <c r="L454" s="26">
        <f>IF($J454="","",ROUND($J454*$K454,0))</f>
        <v/>
      </c>
      <c r="M454" s="37">
        <f>IF(OR($J454="",$I454=0),"",ROUND($J454/$I454,4))</f>
        <v/>
      </c>
      <c r="N454" s="17" t="n"/>
      <c r="O454" s="17" t="n"/>
      <c r="P454" s="24">
        <f>IF($J454="","未盘",IF(ROUND($J454,3)=0,"账实相符",IF(COUNTIFS(入库单!$G$4:$G$2503,$A454,入库单!$X$4:$X$2503,"盘盈",入库单!$C$4:$C$2503,"&gt;="&amp;账期起,入库单!$C$4:$C$2503,"&lt;="&amp;账期止)+COUNTIFS(出库单!$D$4:$D$4003,$A454,出库单!$K$4:$K$4003,"盘亏",出库单!$C$4:$C$4003,"&gt;="&amp;账期起,出库单!$C$4:$C$4003,"&lt;="&amp;账期止)&gt;0,"已调账","※差异还没调账")))</f>
        <v/>
      </c>
      <c r="Q454" s="17" t="n"/>
      <c r="R454" s="17" t="n"/>
    </row>
    <row r="455">
      <c r="A455" s="24">
        <f>IF(库存台账!$A455="","",库存台账!$A455)</f>
        <v/>
      </c>
      <c r="B455" s="24">
        <f>IF($A455="","",库存台账!$B455)</f>
        <v/>
      </c>
      <c r="C455" s="24">
        <f>IF($A455="","",库存台账!$C455)</f>
        <v/>
      </c>
      <c r="D455" s="24">
        <f>IF($A455="","",库存台账!$D455)</f>
        <v/>
      </c>
      <c r="E455" s="24">
        <f>IF($A455="","",库存台账!$E455)</f>
        <v/>
      </c>
      <c r="F455" s="24">
        <f>IF($A455="","",库存台账!$F455)</f>
        <v/>
      </c>
      <c r="G455" s="17" t="n"/>
      <c r="H455" s="23" t="n"/>
      <c r="I455" s="27">
        <f>IF($A455="","",库存台账!$X455)</f>
        <v/>
      </c>
      <c r="J455" s="27">
        <f>IF(OR($A455="",$H455=""),"",ROUND($H455-$I455,3))</f>
        <v/>
      </c>
      <c r="K455" s="26">
        <f>IF($A455="","",库存台账!$K455)</f>
        <v/>
      </c>
      <c r="L455" s="26">
        <f>IF($J455="","",ROUND($J455*$K455,0))</f>
        <v/>
      </c>
      <c r="M455" s="37">
        <f>IF(OR($J455="",$I455=0),"",ROUND($J455/$I455,4))</f>
        <v/>
      </c>
      <c r="N455" s="17" t="n"/>
      <c r="O455" s="17" t="n"/>
      <c r="P455" s="24">
        <f>IF($J455="","未盘",IF(ROUND($J455,3)=0,"账实相符",IF(COUNTIFS(入库单!$G$4:$G$2503,$A455,入库单!$X$4:$X$2503,"盘盈",入库单!$C$4:$C$2503,"&gt;="&amp;账期起,入库单!$C$4:$C$2503,"&lt;="&amp;账期止)+COUNTIFS(出库单!$D$4:$D$4003,$A455,出库单!$K$4:$K$4003,"盘亏",出库单!$C$4:$C$4003,"&gt;="&amp;账期起,出库单!$C$4:$C$4003,"&lt;="&amp;账期止)&gt;0,"已调账","※差异还没调账")))</f>
        <v/>
      </c>
      <c r="Q455" s="17" t="n"/>
      <c r="R455" s="17" t="n"/>
    </row>
    <row r="456">
      <c r="A456" s="24">
        <f>IF(库存台账!$A456="","",库存台账!$A456)</f>
        <v/>
      </c>
      <c r="B456" s="24">
        <f>IF($A456="","",库存台账!$B456)</f>
        <v/>
      </c>
      <c r="C456" s="24">
        <f>IF($A456="","",库存台账!$C456)</f>
        <v/>
      </c>
      <c r="D456" s="24">
        <f>IF($A456="","",库存台账!$D456)</f>
        <v/>
      </c>
      <c r="E456" s="24">
        <f>IF($A456="","",库存台账!$E456)</f>
        <v/>
      </c>
      <c r="F456" s="24">
        <f>IF($A456="","",库存台账!$F456)</f>
        <v/>
      </c>
      <c r="G456" s="17" t="n"/>
      <c r="H456" s="23" t="n"/>
      <c r="I456" s="27">
        <f>IF($A456="","",库存台账!$X456)</f>
        <v/>
      </c>
      <c r="J456" s="27">
        <f>IF(OR($A456="",$H456=""),"",ROUND($H456-$I456,3))</f>
        <v/>
      </c>
      <c r="K456" s="26">
        <f>IF($A456="","",库存台账!$K456)</f>
        <v/>
      </c>
      <c r="L456" s="26">
        <f>IF($J456="","",ROUND($J456*$K456,0))</f>
        <v/>
      </c>
      <c r="M456" s="37">
        <f>IF(OR($J456="",$I456=0),"",ROUND($J456/$I456,4))</f>
        <v/>
      </c>
      <c r="N456" s="17" t="n"/>
      <c r="O456" s="17" t="n"/>
      <c r="P456" s="24">
        <f>IF($J456="","未盘",IF(ROUND($J456,3)=0,"账实相符",IF(COUNTIFS(入库单!$G$4:$G$2503,$A456,入库单!$X$4:$X$2503,"盘盈",入库单!$C$4:$C$2503,"&gt;="&amp;账期起,入库单!$C$4:$C$2503,"&lt;="&amp;账期止)+COUNTIFS(出库单!$D$4:$D$4003,$A456,出库单!$K$4:$K$4003,"盘亏",出库单!$C$4:$C$4003,"&gt;="&amp;账期起,出库单!$C$4:$C$4003,"&lt;="&amp;账期止)&gt;0,"已调账","※差异还没调账")))</f>
        <v/>
      </c>
      <c r="Q456" s="17" t="n"/>
      <c r="R456" s="17" t="n"/>
    </row>
    <row r="457">
      <c r="A457" s="24">
        <f>IF(库存台账!$A457="","",库存台账!$A457)</f>
        <v/>
      </c>
      <c r="B457" s="24">
        <f>IF($A457="","",库存台账!$B457)</f>
        <v/>
      </c>
      <c r="C457" s="24">
        <f>IF($A457="","",库存台账!$C457)</f>
        <v/>
      </c>
      <c r="D457" s="24">
        <f>IF($A457="","",库存台账!$D457)</f>
        <v/>
      </c>
      <c r="E457" s="24">
        <f>IF($A457="","",库存台账!$E457)</f>
        <v/>
      </c>
      <c r="F457" s="24">
        <f>IF($A457="","",库存台账!$F457)</f>
        <v/>
      </c>
      <c r="G457" s="17" t="n"/>
      <c r="H457" s="23" t="n"/>
      <c r="I457" s="27">
        <f>IF($A457="","",库存台账!$X457)</f>
        <v/>
      </c>
      <c r="J457" s="27">
        <f>IF(OR($A457="",$H457=""),"",ROUND($H457-$I457,3))</f>
        <v/>
      </c>
      <c r="K457" s="26">
        <f>IF($A457="","",库存台账!$K457)</f>
        <v/>
      </c>
      <c r="L457" s="26">
        <f>IF($J457="","",ROUND($J457*$K457,0))</f>
        <v/>
      </c>
      <c r="M457" s="37">
        <f>IF(OR($J457="",$I457=0),"",ROUND($J457/$I457,4))</f>
        <v/>
      </c>
      <c r="N457" s="17" t="n"/>
      <c r="O457" s="17" t="n"/>
      <c r="P457" s="24">
        <f>IF($J457="","未盘",IF(ROUND($J457,3)=0,"账实相符",IF(COUNTIFS(入库单!$G$4:$G$2503,$A457,入库单!$X$4:$X$2503,"盘盈",入库单!$C$4:$C$2503,"&gt;="&amp;账期起,入库单!$C$4:$C$2503,"&lt;="&amp;账期止)+COUNTIFS(出库单!$D$4:$D$4003,$A457,出库单!$K$4:$K$4003,"盘亏",出库单!$C$4:$C$4003,"&gt;="&amp;账期起,出库单!$C$4:$C$4003,"&lt;="&amp;账期止)&gt;0,"已调账","※差异还没调账")))</f>
        <v/>
      </c>
      <c r="Q457" s="17" t="n"/>
      <c r="R457" s="17" t="n"/>
    </row>
    <row r="458">
      <c r="A458" s="24">
        <f>IF(库存台账!$A458="","",库存台账!$A458)</f>
        <v/>
      </c>
      <c r="B458" s="24">
        <f>IF($A458="","",库存台账!$B458)</f>
        <v/>
      </c>
      <c r="C458" s="24">
        <f>IF($A458="","",库存台账!$C458)</f>
        <v/>
      </c>
      <c r="D458" s="24">
        <f>IF($A458="","",库存台账!$D458)</f>
        <v/>
      </c>
      <c r="E458" s="24">
        <f>IF($A458="","",库存台账!$E458)</f>
        <v/>
      </c>
      <c r="F458" s="24">
        <f>IF($A458="","",库存台账!$F458)</f>
        <v/>
      </c>
      <c r="G458" s="17" t="n"/>
      <c r="H458" s="23" t="n"/>
      <c r="I458" s="27">
        <f>IF($A458="","",库存台账!$X458)</f>
        <v/>
      </c>
      <c r="J458" s="27">
        <f>IF(OR($A458="",$H458=""),"",ROUND($H458-$I458,3))</f>
        <v/>
      </c>
      <c r="K458" s="26">
        <f>IF($A458="","",库存台账!$K458)</f>
        <v/>
      </c>
      <c r="L458" s="26">
        <f>IF($J458="","",ROUND($J458*$K458,0))</f>
        <v/>
      </c>
      <c r="M458" s="37">
        <f>IF(OR($J458="",$I458=0),"",ROUND($J458/$I458,4))</f>
        <v/>
      </c>
      <c r="N458" s="17" t="n"/>
      <c r="O458" s="17" t="n"/>
      <c r="P458" s="24">
        <f>IF($J458="","未盘",IF(ROUND($J458,3)=0,"账实相符",IF(COUNTIFS(入库单!$G$4:$G$2503,$A458,入库单!$X$4:$X$2503,"盘盈",入库单!$C$4:$C$2503,"&gt;="&amp;账期起,入库单!$C$4:$C$2503,"&lt;="&amp;账期止)+COUNTIFS(出库单!$D$4:$D$4003,$A458,出库单!$K$4:$K$4003,"盘亏",出库单!$C$4:$C$4003,"&gt;="&amp;账期起,出库单!$C$4:$C$4003,"&lt;="&amp;账期止)&gt;0,"已调账","※差异还没调账")))</f>
        <v/>
      </c>
      <c r="Q458" s="17" t="n"/>
      <c r="R458" s="17" t="n"/>
    </row>
    <row r="459">
      <c r="A459" s="24">
        <f>IF(库存台账!$A459="","",库存台账!$A459)</f>
        <v/>
      </c>
      <c r="B459" s="24">
        <f>IF($A459="","",库存台账!$B459)</f>
        <v/>
      </c>
      <c r="C459" s="24">
        <f>IF($A459="","",库存台账!$C459)</f>
        <v/>
      </c>
      <c r="D459" s="24">
        <f>IF($A459="","",库存台账!$D459)</f>
        <v/>
      </c>
      <c r="E459" s="24">
        <f>IF($A459="","",库存台账!$E459)</f>
        <v/>
      </c>
      <c r="F459" s="24">
        <f>IF($A459="","",库存台账!$F459)</f>
        <v/>
      </c>
      <c r="G459" s="17" t="n"/>
      <c r="H459" s="23" t="n"/>
      <c r="I459" s="27">
        <f>IF($A459="","",库存台账!$X459)</f>
        <v/>
      </c>
      <c r="J459" s="27">
        <f>IF(OR($A459="",$H459=""),"",ROUND($H459-$I459,3))</f>
        <v/>
      </c>
      <c r="K459" s="26">
        <f>IF($A459="","",库存台账!$K459)</f>
        <v/>
      </c>
      <c r="L459" s="26">
        <f>IF($J459="","",ROUND($J459*$K459,0))</f>
        <v/>
      </c>
      <c r="M459" s="37">
        <f>IF(OR($J459="",$I459=0),"",ROUND($J459/$I459,4))</f>
        <v/>
      </c>
      <c r="N459" s="17" t="n"/>
      <c r="O459" s="17" t="n"/>
      <c r="P459" s="24">
        <f>IF($J459="","未盘",IF(ROUND($J459,3)=0,"账实相符",IF(COUNTIFS(入库单!$G$4:$G$2503,$A459,入库单!$X$4:$X$2503,"盘盈",入库单!$C$4:$C$2503,"&gt;="&amp;账期起,入库单!$C$4:$C$2503,"&lt;="&amp;账期止)+COUNTIFS(出库单!$D$4:$D$4003,$A459,出库单!$K$4:$K$4003,"盘亏",出库单!$C$4:$C$4003,"&gt;="&amp;账期起,出库单!$C$4:$C$4003,"&lt;="&amp;账期止)&gt;0,"已调账","※差异还没调账")))</f>
        <v/>
      </c>
      <c r="Q459" s="17" t="n"/>
      <c r="R459" s="17" t="n"/>
    </row>
    <row r="460">
      <c r="A460" s="24">
        <f>IF(库存台账!$A460="","",库存台账!$A460)</f>
        <v/>
      </c>
      <c r="B460" s="24">
        <f>IF($A460="","",库存台账!$B460)</f>
        <v/>
      </c>
      <c r="C460" s="24">
        <f>IF($A460="","",库存台账!$C460)</f>
        <v/>
      </c>
      <c r="D460" s="24">
        <f>IF($A460="","",库存台账!$D460)</f>
        <v/>
      </c>
      <c r="E460" s="24">
        <f>IF($A460="","",库存台账!$E460)</f>
        <v/>
      </c>
      <c r="F460" s="24">
        <f>IF($A460="","",库存台账!$F460)</f>
        <v/>
      </c>
      <c r="G460" s="17" t="n"/>
      <c r="H460" s="23" t="n"/>
      <c r="I460" s="27">
        <f>IF($A460="","",库存台账!$X460)</f>
        <v/>
      </c>
      <c r="J460" s="27">
        <f>IF(OR($A460="",$H460=""),"",ROUND($H460-$I460,3))</f>
        <v/>
      </c>
      <c r="K460" s="26">
        <f>IF($A460="","",库存台账!$K460)</f>
        <v/>
      </c>
      <c r="L460" s="26">
        <f>IF($J460="","",ROUND($J460*$K460,0))</f>
        <v/>
      </c>
      <c r="M460" s="37">
        <f>IF(OR($J460="",$I460=0),"",ROUND($J460/$I460,4))</f>
        <v/>
      </c>
      <c r="N460" s="17" t="n"/>
      <c r="O460" s="17" t="n"/>
      <c r="P460" s="24">
        <f>IF($J460="","未盘",IF(ROUND($J460,3)=0,"账实相符",IF(COUNTIFS(入库单!$G$4:$G$2503,$A460,入库单!$X$4:$X$2503,"盘盈",入库单!$C$4:$C$2503,"&gt;="&amp;账期起,入库单!$C$4:$C$2503,"&lt;="&amp;账期止)+COUNTIFS(出库单!$D$4:$D$4003,$A460,出库单!$K$4:$K$4003,"盘亏",出库单!$C$4:$C$4003,"&gt;="&amp;账期起,出库单!$C$4:$C$4003,"&lt;="&amp;账期止)&gt;0,"已调账","※差异还没调账")))</f>
        <v/>
      </c>
      <c r="Q460" s="17" t="n"/>
      <c r="R460" s="17" t="n"/>
    </row>
    <row r="461">
      <c r="A461" s="24">
        <f>IF(库存台账!$A461="","",库存台账!$A461)</f>
        <v/>
      </c>
      <c r="B461" s="24">
        <f>IF($A461="","",库存台账!$B461)</f>
        <v/>
      </c>
      <c r="C461" s="24">
        <f>IF($A461="","",库存台账!$C461)</f>
        <v/>
      </c>
      <c r="D461" s="24">
        <f>IF($A461="","",库存台账!$D461)</f>
        <v/>
      </c>
      <c r="E461" s="24">
        <f>IF($A461="","",库存台账!$E461)</f>
        <v/>
      </c>
      <c r="F461" s="24">
        <f>IF($A461="","",库存台账!$F461)</f>
        <v/>
      </c>
      <c r="G461" s="17" t="n"/>
      <c r="H461" s="23" t="n"/>
      <c r="I461" s="27">
        <f>IF($A461="","",库存台账!$X461)</f>
        <v/>
      </c>
      <c r="J461" s="27">
        <f>IF(OR($A461="",$H461=""),"",ROUND($H461-$I461,3))</f>
        <v/>
      </c>
      <c r="K461" s="26">
        <f>IF($A461="","",库存台账!$K461)</f>
        <v/>
      </c>
      <c r="L461" s="26">
        <f>IF($J461="","",ROUND($J461*$K461,0))</f>
        <v/>
      </c>
      <c r="M461" s="37">
        <f>IF(OR($J461="",$I461=0),"",ROUND($J461/$I461,4))</f>
        <v/>
      </c>
      <c r="N461" s="17" t="n"/>
      <c r="O461" s="17" t="n"/>
      <c r="P461" s="24">
        <f>IF($J461="","未盘",IF(ROUND($J461,3)=0,"账实相符",IF(COUNTIFS(入库单!$G$4:$G$2503,$A461,入库单!$X$4:$X$2503,"盘盈",入库单!$C$4:$C$2503,"&gt;="&amp;账期起,入库单!$C$4:$C$2503,"&lt;="&amp;账期止)+COUNTIFS(出库单!$D$4:$D$4003,$A461,出库单!$K$4:$K$4003,"盘亏",出库单!$C$4:$C$4003,"&gt;="&amp;账期起,出库单!$C$4:$C$4003,"&lt;="&amp;账期止)&gt;0,"已调账","※差异还没调账")))</f>
        <v/>
      </c>
      <c r="Q461" s="17" t="n"/>
      <c r="R461" s="17" t="n"/>
    </row>
    <row r="462">
      <c r="A462" s="24">
        <f>IF(库存台账!$A462="","",库存台账!$A462)</f>
        <v/>
      </c>
      <c r="B462" s="24">
        <f>IF($A462="","",库存台账!$B462)</f>
        <v/>
      </c>
      <c r="C462" s="24">
        <f>IF($A462="","",库存台账!$C462)</f>
        <v/>
      </c>
      <c r="D462" s="24">
        <f>IF($A462="","",库存台账!$D462)</f>
        <v/>
      </c>
      <c r="E462" s="24">
        <f>IF($A462="","",库存台账!$E462)</f>
        <v/>
      </c>
      <c r="F462" s="24">
        <f>IF($A462="","",库存台账!$F462)</f>
        <v/>
      </c>
      <c r="G462" s="17" t="n"/>
      <c r="H462" s="23" t="n"/>
      <c r="I462" s="27">
        <f>IF($A462="","",库存台账!$X462)</f>
        <v/>
      </c>
      <c r="J462" s="27">
        <f>IF(OR($A462="",$H462=""),"",ROUND($H462-$I462,3))</f>
        <v/>
      </c>
      <c r="K462" s="26">
        <f>IF($A462="","",库存台账!$K462)</f>
        <v/>
      </c>
      <c r="L462" s="26">
        <f>IF($J462="","",ROUND($J462*$K462,0))</f>
        <v/>
      </c>
      <c r="M462" s="37">
        <f>IF(OR($J462="",$I462=0),"",ROUND($J462/$I462,4))</f>
        <v/>
      </c>
      <c r="N462" s="17" t="n"/>
      <c r="O462" s="17" t="n"/>
      <c r="P462" s="24">
        <f>IF($J462="","未盘",IF(ROUND($J462,3)=0,"账实相符",IF(COUNTIFS(入库单!$G$4:$G$2503,$A462,入库单!$X$4:$X$2503,"盘盈",入库单!$C$4:$C$2503,"&gt;="&amp;账期起,入库单!$C$4:$C$2503,"&lt;="&amp;账期止)+COUNTIFS(出库单!$D$4:$D$4003,$A462,出库单!$K$4:$K$4003,"盘亏",出库单!$C$4:$C$4003,"&gt;="&amp;账期起,出库单!$C$4:$C$4003,"&lt;="&amp;账期止)&gt;0,"已调账","※差异还没调账")))</f>
        <v/>
      </c>
      <c r="Q462" s="17" t="n"/>
      <c r="R462" s="17" t="n"/>
    </row>
    <row r="463">
      <c r="A463" s="24">
        <f>IF(库存台账!$A463="","",库存台账!$A463)</f>
        <v/>
      </c>
      <c r="B463" s="24">
        <f>IF($A463="","",库存台账!$B463)</f>
        <v/>
      </c>
      <c r="C463" s="24">
        <f>IF($A463="","",库存台账!$C463)</f>
        <v/>
      </c>
      <c r="D463" s="24">
        <f>IF($A463="","",库存台账!$D463)</f>
        <v/>
      </c>
      <c r="E463" s="24">
        <f>IF($A463="","",库存台账!$E463)</f>
        <v/>
      </c>
      <c r="F463" s="24">
        <f>IF($A463="","",库存台账!$F463)</f>
        <v/>
      </c>
      <c r="G463" s="17" t="n"/>
      <c r="H463" s="23" t="n"/>
      <c r="I463" s="27">
        <f>IF($A463="","",库存台账!$X463)</f>
        <v/>
      </c>
      <c r="J463" s="27">
        <f>IF(OR($A463="",$H463=""),"",ROUND($H463-$I463,3))</f>
        <v/>
      </c>
      <c r="K463" s="26">
        <f>IF($A463="","",库存台账!$K463)</f>
        <v/>
      </c>
      <c r="L463" s="26">
        <f>IF($J463="","",ROUND($J463*$K463,0))</f>
        <v/>
      </c>
      <c r="M463" s="37">
        <f>IF(OR($J463="",$I463=0),"",ROUND($J463/$I463,4))</f>
        <v/>
      </c>
      <c r="N463" s="17" t="n"/>
      <c r="O463" s="17" t="n"/>
      <c r="P463" s="24">
        <f>IF($J463="","未盘",IF(ROUND($J463,3)=0,"账实相符",IF(COUNTIFS(入库单!$G$4:$G$2503,$A463,入库单!$X$4:$X$2503,"盘盈",入库单!$C$4:$C$2503,"&gt;="&amp;账期起,入库单!$C$4:$C$2503,"&lt;="&amp;账期止)+COUNTIFS(出库单!$D$4:$D$4003,$A463,出库单!$K$4:$K$4003,"盘亏",出库单!$C$4:$C$4003,"&gt;="&amp;账期起,出库单!$C$4:$C$4003,"&lt;="&amp;账期止)&gt;0,"已调账","※差异还没调账")))</f>
        <v/>
      </c>
      <c r="Q463" s="17" t="n"/>
      <c r="R463" s="17" t="n"/>
    </row>
    <row r="464">
      <c r="A464" s="24">
        <f>IF(库存台账!$A464="","",库存台账!$A464)</f>
        <v/>
      </c>
      <c r="B464" s="24">
        <f>IF($A464="","",库存台账!$B464)</f>
        <v/>
      </c>
      <c r="C464" s="24">
        <f>IF($A464="","",库存台账!$C464)</f>
        <v/>
      </c>
      <c r="D464" s="24">
        <f>IF($A464="","",库存台账!$D464)</f>
        <v/>
      </c>
      <c r="E464" s="24">
        <f>IF($A464="","",库存台账!$E464)</f>
        <v/>
      </c>
      <c r="F464" s="24">
        <f>IF($A464="","",库存台账!$F464)</f>
        <v/>
      </c>
      <c r="G464" s="17" t="n"/>
      <c r="H464" s="23" t="n"/>
      <c r="I464" s="27">
        <f>IF($A464="","",库存台账!$X464)</f>
        <v/>
      </c>
      <c r="J464" s="27">
        <f>IF(OR($A464="",$H464=""),"",ROUND($H464-$I464,3))</f>
        <v/>
      </c>
      <c r="K464" s="26">
        <f>IF($A464="","",库存台账!$K464)</f>
        <v/>
      </c>
      <c r="L464" s="26">
        <f>IF($J464="","",ROUND($J464*$K464,0))</f>
        <v/>
      </c>
      <c r="M464" s="37">
        <f>IF(OR($J464="",$I464=0),"",ROUND($J464/$I464,4))</f>
        <v/>
      </c>
      <c r="N464" s="17" t="n"/>
      <c r="O464" s="17" t="n"/>
      <c r="P464" s="24">
        <f>IF($J464="","未盘",IF(ROUND($J464,3)=0,"账实相符",IF(COUNTIFS(入库单!$G$4:$G$2503,$A464,入库单!$X$4:$X$2503,"盘盈",入库单!$C$4:$C$2503,"&gt;="&amp;账期起,入库单!$C$4:$C$2503,"&lt;="&amp;账期止)+COUNTIFS(出库单!$D$4:$D$4003,$A464,出库单!$K$4:$K$4003,"盘亏",出库单!$C$4:$C$4003,"&gt;="&amp;账期起,出库单!$C$4:$C$4003,"&lt;="&amp;账期止)&gt;0,"已调账","※差异还没调账")))</f>
        <v/>
      </c>
      <c r="Q464" s="17" t="n"/>
      <c r="R464" s="17" t="n"/>
    </row>
    <row r="465">
      <c r="A465" s="24">
        <f>IF(库存台账!$A465="","",库存台账!$A465)</f>
        <v/>
      </c>
      <c r="B465" s="24">
        <f>IF($A465="","",库存台账!$B465)</f>
        <v/>
      </c>
      <c r="C465" s="24">
        <f>IF($A465="","",库存台账!$C465)</f>
        <v/>
      </c>
      <c r="D465" s="24">
        <f>IF($A465="","",库存台账!$D465)</f>
        <v/>
      </c>
      <c r="E465" s="24">
        <f>IF($A465="","",库存台账!$E465)</f>
        <v/>
      </c>
      <c r="F465" s="24">
        <f>IF($A465="","",库存台账!$F465)</f>
        <v/>
      </c>
      <c r="G465" s="17" t="n"/>
      <c r="H465" s="23" t="n"/>
      <c r="I465" s="27">
        <f>IF($A465="","",库存台账!$X465)</f>
        <v/>
      </c>
      <c r="J465" s="27">
        <f>IF(OR($A465="",$H465=""),"",ROUND($H465-$I465,3))</f>
        <v/>
      </c>
      <c r="K465" s="26">
        <f>IF($A465="","",库存台账!$K465)</f>
        <v/>
      </c>
      <c r="L465" s="26">
        <f>IF($J465="","",ROUND($J465*$K465,0))</f>
        <v/>
      </c>
      <c r="M465" s="37">
        <f>IF(OR($J465="",$I465=0),"",ROUND($J465/$I465,4))</f>
        <v/>
      </c>
      <c r="N465" s="17" t="n"/>
      <c r="O465" s="17" t="n"/>
      <c r="P465" s="24">
        <f>IF($J465="","未盘",IF(ROUND($J465,3)=0,"账实相符",IF(COUNTIFS(入库单!$G$4:$G$2503,$A465,入库单!$X$4:$X$2503,"盘盈",入库单!$C$4:$C$2503,"&gt;="&amp;账期起,入库单!$C$4:$C$2503,"&lt;="&amp;账期止)+COUNTIFS(出库单!$D$4:$D$4003,$A465,出库单!$K$4:$K$4003,"盘亏",出库单!$C$4:$C$4003,"&gt;="&amp;账期起,出库单!$C$4:$C$4003,"&lt;="&amp;账期止)&gt;0,"已调账","※差异还没调账")))</f>
        <v/>
      </c>
      <c r="Q465" s="17" t="n"/>
      <c r="R465" s="17" t="n"/>
    </row>
    <row r="466">
      <c r="A466" s="24">
        <f>IF(库存台账!$A466="","",库存台账!$A466)</f>
        <v/>
      </c>
      <c r="B466" s="24">
        <f>IF($A466="","",库存台账!$B466)</f>
        <v/>
      </c>
      <c r="C466" s="24">
        <f>IF($A466="","",库存台账!$C466)</f>
        <v/>
      </c>
      <c r="D466" s="24">
        <f>IF($A466="","",库存台账!$D466)</f>
        <v/>
      </c>
      <c r="E466" s="24">
        <f>IF($A466="","",库存台账!$E466)</f>
        <v/>
      </c>
      <c r="F466" s="24">
        <f>IF($A466="","",库存台账!$F466)</f>
        <v/>
      </c>
      <c r="G466" s="17" t="n"/>
      <c r="H466" s="23" t="n"/>
      <c r="I466" s="27">
        <f>IF($A466="","",库存台账!$X466)</f>
        <v/>
      </c>
      <c r="J466" s="27">
        <f>IF(OR($A466="",$H466=""),"",ROUND($H466-$I466,3))</f>
        <v/>
      </c>
      <c r="K466" s="26">
        <f>IF($A466="","",库存台账!$K466)</f>
        <v/>
      </c>
      <c r="L466" s="26">
        <f>IF($J466="","",ROUND($J466*$K466,0))</f>
        <v/>
      </c>
      <c r="M466" s="37">
        <f>IF(OR($J466="",$I466=0),"",ROUND($J466/$I466,4))</f>
        <v/>
      </c>
      <c r="N466" s="17" t="n"/>
      <c r="O466" s="17" t="n"/>
      <c r="P466" s="24">
        <f>IF($J466="","未盘",IF(ROUND($J466,3)=0,"账实相符",IF(COUNTIFS(入库单!$G$4:$G$2503,$A466,入库单!$X$4:$X$2503,"盘盈",入库单!$C$4:$C$2503,"&gt;="&amp;账期起,入库单!$C$4:$C$2503,"&lt;="&amp;账期止)+COUNTIFS(出库单!$D$4:$D$4003,$A466,出库单!$K$4:$K$4003,"盘亏",出库单!$C$4:$C$4003,"&gt;="&amp;账期起,出库单!$C$4:$C$4003,"&lt;="&amp;账期止)&gt;0,"已调账","※差异还没调账")))</f>
        <v/>
      </c>
      <c r="Q466" s="17" t="n"/>
      <c r="R466" s="17" t="n"/>
    </row>
    <row r="467">
      <c r="A467" s="24">
        <f>IF(库存台账!$A467="","",库存台账!$A467)</f>
        <v/>
      </c>
      <c r="B467" s="24">
        <f>IF($A467="","",库存台账!$B467)</f>
        <v/>
      </c>
      <c r="C467" s="24">
        <f>IF($A467="","",库存台账!$C467)</f>
        <v/>
      </c>
      <c r="D467" s="24">
        <f>IF($A467="","",库存台账!$D467)</f>
        <v/>
      </c>
      <c r="E467" s="24">
        <f>IF($A467="","",库存台账!$E467)</f>
        <v/>
      </c>
      <c r="F467" s="24">
        <f>IF($A467="","",库存台账!$F467)</f>
        <v/>
      </c>
      <c r="G467" s="17" t="n"/>
      <c r="H467" s="23" t="n"/>
      <c r="I467" s="27">
        <f>IF($A467="","",库存台账!$X467)</f>
        <v/>
      </c>
      <c r="J467" s="27">
        <f>IF(OR($A467="",$H467=""),"",ROUND($H467-$I467,3))</f>
        <v/>
      </c>
      <c r="K467" s="26">
        <f>IF($A467="","",库存台账!$K467)</f>
        <v/>
      </c>
      <c r="L467" s="26">
        <f>IF($J467="","",ROUND($J467*$K467,0))</f>
        <v/>
      </c>
      <c r="M467" s="37">
        <f>IF(OR($J467="",$I467=0),"",ROUND($J467/$I467,4))</f>
        <v/>
      </c>
      <c r="N467" s="17" t="n"/>
      <c r="O467" s="17" t="n"/>
      <c r="P467" s="24">
        <f>IF($J467="","未盘",IF(ROUND($J467,3)=0,"账实相符",IF(COUNTIFS(入库单!$G$4:$G$2503,$A467,入库单!$X$4:$X$2503,"盘盈",入库单!$C$4:$C$2503,"&gt;="&amp;账期起,入库单!$C$4:$C$2503,"&lt;="&amp;账期止)+COUNTIFS(出库单!$D$4:$D$4003,$A467,出库单!$K$4:$K$4003,"盘亏",出库单!$C$4:$C$4003,"&gt;="&amp;账期起,出库单!$C$4:$C$4003,"&lt;="&amp;账期止)&gt;0,"已调账","※差异还没调账")))</f>
        <v/>
      </c>
      <c r="Q467" s="17" t="n"/>
      <c r="R467" s="17" t="n"/>
    </row>
    <row r="468">
      <c r="A468" s="24">
        <f>IF(库存台账!$A468="","",库存台账!$A468)</f>
        <v/>
      </c>
      <c r="B468" s="24">
        <f>IF($A468="","",库存台账!$B468)</f>
        <v/>
      </c>
      <c r="C468" s="24">
        <f>IF($A468="","",库存台账!$C468)</f>
        <v/>
      </c>
      <c r="D468" s="24">
        <f>IF($A468="","",库存台账!$D468)</f>
        <v/>
      </c>
      <c r="E468" s="24">
        <f>IF($A468="","",库存台账!$E468)</f>
        <v/>
      </c>
      <c r="F468" s="24">
        <f>IF($A468="","",库存台账!$F468)</f>
        <v/>
      </c>
      <c r="G468" s="17" t="n"/>
      <c r="H468" s="23" t="n"/>
      <c r="I468" s="27">
        <f>IF($A468="","",库存台账!$X468)</f>
        <v/>
      </c>
      <c r="J468" s="27">
        <f>IF(OR($A468="",$H468=""),"",ROUND($H468-$I468,3))</f>
        <v/>
      </c>
      <c r="K468" s="26">
        <f>IF($A468="","",库存台账!$K468)</f>
        <v/>
      </c>
      <c r="L468" s="26">
        <f>IF($J468="","",ROUND($J468*$K468,0))</f>
        <v/>
      </c>
      <c r="M468" s="37">
        <f>IF(OR($J468="",$I468=0),"",ROUND($J468/$I468,4))</f>
        <v/>
      </c>
      <c r="N468" s="17" t="n"/>
      <c r="O468" s="17" t="n"/>
      <c r="P468" s="24">
        <f>IF($J468="","未盘",IF(ROUND($J468,3)=0,"账实相符",IF(COUNTIFS(入库单!$G$4:$G$2503,$A468,入库单!$X$4:$X$2503,"盘盈",入库单!$C$4:$C$2503,"&gt;="&amp;账期起,入库单!$C$4:$C$2503,"&lt;="&amp;账期止)+COUNTIFS(出库单!$D$4:$D$4003,$A468,出库单!$K$4:$K$4003,"盘亏",出库单!$C$4:$C$4003,"&gt;="&amp;账期起,出库单!$C$4:$C$4003,"&lt;="&amp;账期止)&gt;0,"已调账","※差异还没调账")))</f>
        <v/>
      </c>
      <c r="Q468" s="17" t="n"/>
      <c r="R468" s="17" t="n"/>
    </row>
    <row r="469">
      <c r="A469" s="24">
        <f>IF(库存台账!$A469="","",库存台账!$A469)</f>
        <v/>
      </c>
      <c r="B469" s="24">
        <f>IF($A469="","",库存台账!$B469)</f>
        <v/>
      </c>
      <c r="C469" s="24">
        <f>IF($A469="","",库存台账!$C469)</f>
        <v/>
      </c>
      <c r="D469" s="24">
        <f>IF($A469="","",库存台账!$D469)</f>
        <v/>
      </c>
      <c r="E469" s="24">
        <f>IF($A469="","",库存台账!$E469)</f>
        <v/>
      </c>
      <c r="F469" s="24">
        <f>IF($A469="","",库存台账!$F469)</f>
        <v/>
      </c>
      <c r="G469" s="17" t="n"/>
      <c r="H469" s="23" t="n"/>
      <c r="I469" s="27">
        <f>IF($A469="","",库存台账!$X469)</f>
        <v/>
      </c>
      <c r="J469" s="27">
        <f>IF(OR($A469="",$H469=""),"",ROUND($H469-$I469,3))</f>
        <v/>
      </c>
      <c r="K469" s="26">
        <f>IF($A469="","",库存台账!$K469)</f>
        <v/>
      </c>
      <c r="L469" s="26">
        <f>IF($J469="","",ROUND($J469*$K469,0))</f>
        <v/>
      </c>
      <c r="M469" s="37">
        <f>IF(OR($J469="",$I469=0),"",ROUND($J469/$I469,4))</f>
        <v/>
      </c>
      <c r="N469" s="17" t="n"/>
      <c r="O469" s="17" t="n"/>
      <c r="P469" s="24">
        <f>IF($J469="","未盘",IF(ROUND($J469,3)=0,"账实相符",IF(COUNTIFS(入库单!$G$4:$G$2503,$A469,入库单!$X$4:$X$2503,"盘盈",入库单!$C$4:$C$2503,"&gt;="&amp;账期起,入库单!$C$4:$C$2503,"&lt;="&amp;账期止)+COUNTIFS(出库单!$D$4:$D$4003,$A469,出库单!$K$4:$K$4003,"盘亏",出库单!$C$4:$C$4003,"&gt;="&amp;账期起,出库单!$C$4:$C$4003,"&lt;="&amp;账期止)&gt;0,"已调账","※差异还没调账")))</f>
        <v/>
      </c>
      <c r="Q469" s="17" t="n"/>
      <c r="R469" s="17" t="n"/>
    </row>
    <row r="470">
      <c r="A470" s="24">
        <f>IF(库存台账!$A470="","",库存台账!$A470)</f>
        <v/>
      </c>
      <c r="B470" s="24">
        <f>IF($A470="","",库存台账!$B470)</f>
        <v/>
      </c>
      <c r="C470" s="24">
        <f>IF($A470="","",库存台账!$C470)</f>
        <v/>
      </c>
      <c r="D470" s="24">
        <f>IF($A470="","",库存台账!$D470)</f>
        <v/>
      </c>
      <c r="E470" s="24">
        <f>IF($A470="","",库存台账!$E470)</f>
        <v/>
      </c>
      <c r="F470" s="24">
        <f>IF($A470="","",库存台账!$F470)</f>
        <v/>
      </c>
      <c r="G470" s="17" t="n"/>
      <c r="H470" s="23" t="n"/>
      <c r="I470" s="27">
        <f>IF($A470="","",库存台账!$X470)</f>
        <v/>
      </c>
      <c r="J470" s="27">
        <f>IF(OR($A470="",$H470=""),"",ROUND($H470-$I470,3))</f>
        <v/>
      </c>
      <c r="K470" s="26">
        <f>IF($A470="","",库存台账!$K470)</f>
        <v/>
      </c>
      <c r="L470" s="26">
        <f>IF($J470="","",ROUND($J470*$K470,0))</f>
        <v/>
      </c>
      <c r="M470" s="37">
        <f>IF(OR($J470="",$I470=0),"",ROUND($J470/$I470,4))</f>
        <v/>
      </c>
      <c r="N470" s="17" t="n"/>
      <c r="O470" s="17" t="n"/>
      <c r="P470" s="24">
        <f>IF($J470="","未盘",IF(ROUND($J470,3)=0,"账实相符",IF(COUNTIFS(入库单!$G$4:$G$2503,$A470,入库单!$X$4:$X$2503,"盘盈",入库单!$C$4:$C$2503,"&gt;="&amp;账期起,入库单!$C$4:$C$2503,"&lt;="&amp;账期止)+COUNTIFS(出库单!$D$4:$D$4003,$A470,出库单!$K$4:$K$4003,"盘亏",出库单!$C$4:$C$4003,"&gt;="&amp;账期起,出库单!$C$4:$C$4003,"&lt;="&amp;账期止)&gt;0,"已调账","※差异还没调账")))</f>
        <v/>
      </c>
      <c r="Q470" s="17" t="n"/>
      <c r="R470" s="17" t="n"/>
    </row>
    <row r="471">
      <c r="A471" s="24">
        <f>IF(库存台账!$A471="","",库存台账!$A471)</f>
        <v/>
      </c>
      <c r="B471" s="24">
        <f>IF($A471="","",库存台账!$B471)</f>
        <v/>
      </c>
      <c r="C471" s="24">
        <f>IF($A471="","",库存台账!$C471)</f>
        <v/>
      </c>
      <c r="D471" s="24">
        <f>IF($A471="","",库存台账!$D471)</f>
        <v/>
      </c>
      <c r="E471" s="24">
        <f>IF($A471="","",库存台账!$E471)</f>
        <v/>
      </c>
      <c r="F471" s="24">
        <f>IF($A471="","",库存台账!$F471)</f>
        <v/>
      </c>
      <c r="G471" s="17" t="n"/>
      <c r="H471" s="23" t="n"/>
      <c r="I471" s="27">
        <f>IF($A471="","",库存台账!$X471)</f>
        <v/>
      </c>
      <c r="J471" s="27">
        <f>IF(OR($A471="",$H471=""),"",ROUND($H471-$I471,3))</f>
        <v/>
      </c>
      <c r="K471" s="26">
        <f>IF($A471="","",库存台账!$K471)</f>
        <v/>
      </c>
      <c r="L471" s="26">
        <f>IF($J471="","",ROUND($J471*$K471,0))</f>
        <v/>
      </c>
      <c r="M471" s="37">
        <f>IF(OR($J471="",$I471=0),"",ROUND($J471/$I471,4))</f>
        <v/>
      </c>
      <c r="N471" s="17" t="n"/>
      <c r="O471" s="17" t="n"/>
      <c r="P471" s="24">
        <f>IF($J471="","未盘",IF(ROUND($J471,3)=0,"账实相符",IF(COUNTIFS(入库单!$G$4:$G$2503,$A471,入库单!$X$4:$X$2503,"盘盈",入库单!$C$4:$C$2503,"&gt;="&amp;账期起,入库单!$C$4:$C$2503,"&lt;="&amp;账期止)+COUNTIFS(出库单!$D$4:$D$4003,$A471,出库单!$K$4:$K$4003,"盘亏",出库单!$C$4:$C$4003,"&gt;="&amp;账期起,出库单!$C$4:$C$4003,"&lt;="&amp;账期止)&gt;0,"已调账","※差异还没调账")))</f>
        <v/>
      </c>
      <c r="Q471" s="17" t="n"/>
      <c r="R471" s="17" t="n"/>
    </row>
    <row r="472">
      <c r="A472" s="24">
        <f>IF(库存台账!$A472="","",库存台账!$A472)</f>
        <v/>
      </c>
      <c r="B472" s="24">
        <f>IF($A472="","",库存台账!$B472)</f>
        <v/>
      </c>
      <c r="C472" s="24">
        <f>IF($A472="","",库存台账!$C472)</f>
        <v/>
      </c>
      <c r="D472" s="24">
        <f>IF($A472="","",库存台账!$D472)</f>
        <v/>
      </c>
      <c r="E472" s="24">
        <f>IF($A472="","",库存台账!$E472)</f>
        <v/>
      </c>
      <c r="F472" s="24">
        <f>IF($A472="","",库存台账!$F472)</f>
        <v/>
      </c>
      <c r="G472" s="17" t="n"/>
      <c r="H472" s="23" t="n"/>
      <c r="I472" s="27">
        <f>IF($A472="","",库存台账!$X472)</f>
        <v/>
      </c>
      <c r="J472" s="27">
        <f>IF(OR($A472="",$H472=""),"",ROUND($H472-$I472,3))</f>
        <v/>
      </c>
      <c r="K472" s="26">
        <f>IF($A472="","",库存台账!$K472)</f>
        <v/>
      </c>
      <c r="L472" s="26">
        <f>IF($J472="","",ROUND($J472*$K472,0))</f>
        <v/>
      </c>
      <c r="M472" s="37">
        <f>IF(OR($J472="",$I472=0),"",ROUND($J472/$I472,4))</f>
        <v/>
      </c>
      <c r="N472" s="17" t="n"/>
      <c r="O472" s="17" t="n"/>
      <c r="P472" s="24">
        <f>IF($J472="","未盘",IF(ROUND($J472,3)=0,"账实相符",IF(COUNTIFS(入库单!$G$4:$G$2503,$A472,入库单!$X$4:$X$2503,"盘盈",入库单!$C$4:$C$2503,"&gt;="&amp;账期起,入库单!$C$4:$C$2503,"&lt;="&amp;账期止)+COUNTIFS(出库单!$D$4:$D$4003,$A472,出库单!$K$4:$K$4003,"盘亏",出库单!$C$4:$C$4003,"&gt;="&amp;账期起,出库单!$C$4:$C$4003,"&lt;="&amp;账期止)&gt;0,"已调账","※差异还没调账")))</f>
        <v/>
      </c>
      <c r="Q472" s="17" t="n"/>
      <c r="R472" s="17" t="n"/>
    </row>
    <row r="473">
      <c r="A473" s="24">
        <f>IF(库存台账!$A473="","",库存台账!$A473)</f>
        <v/>
      </c>
      <c r="B473" s="24">
        <f>IF($A473="","",库存台账!$B473)</f>
        <v/>
      </c>
      <c r="C473" s="24">
        <f>IF($A473="","",库存台账!$C473)</f>
        <v/>
      </c>
      <c r="D473" s="24">
        <f>IF($A473="","",库存台账!$D473)</f>
        <v/>
      </c>
      <c r="E473" s="24">
        <f>IF($A473="","",库存台账!$E473)</f>
        <v/>
      </c>
      <c r="F473" s="24">
        <f>IF($A473="","",库存台账!$F473)</f>
        <v/>
      </c>
      <c r="G473" s="17" t="n"/>
      <c r="H473" s="23" t="n"/>
      <c r="I473" s="27">
        <f>IF($A473="","",库存台账!$X473)</f>
        <v/>
      </c>
      <c r="J473" s="27">
        <f>IF(OR($A473="",$H473=""),"",ROUND($H473-$I473,3))</f>
        <v/>
      </c>
      <c r="K473" s="26">
        <f>IF($A473="","",库存台账!$K473)</f>
        <v/>
      </c>
      <c r="L473" s="26">
        <f>IF($J473="","",ROUND($J473*$K473,0))</f>
        <v/>
      </c>
      <c r="M473" s="37">
        <f>IF(OR($J473="",$I473=0),"",ROUND($J473/$I473,4))</f>
        <v/>
      </c>
      <c r="N473" s="17" t="n"/>
      <c r="O473" s="17" t="n"/>
      <c r="P473" s="24">
        <f>IF($J473="","未盘",IF(ROUND($J473,3)=0,"账实相符",IF(COUNTIFS(入库单!$G$4:$G$2503,$A473,入库单!$X$4:$X$2503,"盘盈",入库单!$C$4:$C$2503,"&gt;="&amp;账期起,入库单!$C$4:$C$2503,"&lt;="&amp;账期止)+COUNTIFS(出库单!$D$4:$D$4003,$A473,出库单!$K$4:$K$4003,"盘亏",出库单!$C$4:$C$4003,"&gt;="&amp;账期起,出库单!$C$4:$C$4003,"&lt;="&amp;账期止)&gt;0,"已调账","※差异还没调账")))</f>
        <v/>
      </c>
      <c r="Q473" s="17" t="n"/>
      <c r="R473" s="17" t="n"/>
    </row>
    <row r="474">
      <c r="A474" s="24">
        <f>IF(库存台账!$A474="","",库存台账!$A474)</f>
        <v/>
      </c>
      <c r="B474" s="24">
        <f>IF($A474="","",库存台账!$B474)</f>
        <v/>
      </c>
      <c r="C474" s="24">
        <f>IF($A474="","",库存台账!$C474)</f>
        <v/>
      </c>
      <c r="D474" s="24">
        <f>IF($A474="","",库存台账!$D474)</f>
        <v/>
      </c>
      <c r="E474" s="24">
        <f>IF($A474="","",库存台账!$E474)</f>
        <v/>
      </c>
      <c r="F474" s="24">
        <f>IF($A474="","",库存台账!$F474)</f>
        <v/>
      </c>
      <c r="G474" s="17" t="n"/>
      <c r="H474" s="23" t="n"/>
      <c r="I474" s="27">
        <f>IF($A474="","",库存台账!$X474)</f>
        <v/>
      </c>
      <c r="J474" s="27">
        <f>IF(OR($A474="",$H474=""),"",ROUND($H474-$I474,3))</f>
        <v/>
      </c>
      <c r="K474" s="26">
        <f>IF($A474="","",库存台账!$K474)</f>
        <v/>
      </c>
      <c r="L474" s="26">
        <f>IF($J474="","",ROUND($J474*$K474,0))</f>
        <v/>
      </c>
      <c r="M474" s="37">
        <f>IF(OR($J474="",$I474=0),"",ROUND($J474/$I474,4))</f>
        <v/>
      </c>
      <c r="N474" s="17" t="n"/>
      <c r="O474" s="17" t="n"/>
      <c r="P474" s="24">
        <f>IF($J474="","未盘",IF(ROUND($J474,3)=0,"账实相符",IF(COUNTIFS(入库单!$G$4:$G$2503,$A474,入库单!$X$4:$X$2503,"盘盈",入库单!$C$4:$C$2503,"&gt;="&amp;账期起,入库单!$C$4:$C$2503,"&lt;="&amp;账期止)+COUNTIFS(出库单!$D$4:$D$4003,$A474,出库单!$K$4:$K$4003,"盘亏",出库单!$C$4:$C$4003,"&gt;="&amp;账期起,出库单!$C$4:$C$4003,"&lt;="&amp;账期止)&gt;0,"已调账","※差异还没调账")))</f>
        <v/>
      </c>
      <c r="Q474" s="17" t="n"/>
      <c r="R474" s="17" t="n"/>
    </row>
    <row r="475">
      <c r="A475" s="24">
        <f>IF(库存台账!$A475="","",库存台账!$A475)</f>
        <v/>
      </c>
      <c r="B475" s="24">
        <f>IF($A475="","",库存台账!$B475)</f>
        <v/>
      </c>
      <c r="C475" s="24">
        <f>IF($A475="","",库存台账!$C475)</f>
        <v/>
      </c>
      <c r="D475" s="24">
        <f>IF($A475="","",库存台账!$D475)</f>
        <v/>
      </c>
      <c r="E475" s="24">
        <f>IF($A475="","",库存台账!$E475)</f>
        <v/>
      </c>
      <c r="F475" s="24">
        <f>IF($A475="","",库存台账!$F475)</f>
        <v/>
      </c>
      <c r="G475" s="17" t="n"/>
      <c r="H475" s="23" t="n"/>
      <c r="I475" s="27">
        <f>IF($A475="","",库存台账!$X475)</f>
        <v/>
      </c>
      <c r="J475" s="27">
        <f>IF(OR($A475="",$H475=""),"",ROUND($H475-$I475,3))</f>
        <v/>
      </c>
      <c r="K475" s="26">
        <f>IF($A475="","",库存台账!$K475)</f>
        <v/>
      </c>
      <c r="L475" s="26">
        <f>IF($J475="","",ROUND($J475*$K475,0))</f>
        <v/>
      </c>
      <c r="M475" s="37">
        <f>IF(OR($J475="",$I475=0),"",ROUND($J475/$I475,4))</f>
        <v/>
      </c>
      <c r="N475" s="17" t="n"/>
      <c r="O475" s="17" t="n"/>
      <c r="P475" s="24">
        <f>IF($J475="","未盘",IF(ROUND($J475,3)=0,"账实相符",IF(COUNTIFS(入库单!$G$4:$G$2503,$A475,入库单!$X$4:$X$2503,"盘盈",入库单!$C$4:$C$2503,"&gt;="&amp;账期起,入库单!$C$4:$C$2503,"&lt;="&amp;账期止)+COUNTIFS(出库单!$D$4:$D$4003,$A475,出库单!$K$4:$K$4003,"盘亏",出库单!$C$4:$C$4003,"&gt;="&amp;账期起,出库单!$C$4:$C$4003,"&lt;="&amp;账期止)&gt;0,"已调账","※差异还没调账")))</f>
        <v/>
      </c>
      <c r="Q475" s="17" t="n"/>
      <c r="R475" s="17" t="n"/>
    </row>
    <row r="476">
      <c r="A476" s="24">
        <f>IF(库存台账!$A476="","",库存台账!$A476)</f>
        <v/>
      </c>
      <c r="B476" s="24">
        <f>IF($A476="","",库存台账!$B476)</f>
        <v/>
      </c>
      <c r="C476" s="24">
        <f>IF($A476="","",库存台账!$C476)</f>
        <v/>
      </c>
      <c r="D476" s="24">
        <f>IF($A476="","",库存台账!$D476)</f>
        <v/>
      </c>
      <c r="E476" s="24">
        <f>IF($A476="","",库存台账!$E476)</f>
        <v/>
      </c>
      <c r="F476" s="24">
        <f>IF($A476="","",库存台账!$F476)</f>
        <v/>
      </c>
      <c r="G476" s="17" t="n"/>
      <c r="H476" s="23" t="n"/>
      <c r="I476" s="27">
        <f>IF($A476="","",库存台账!$X476)</f>
        <v/>
      </c>
      <c r="J476" s="27">
        <f>IF(OR($A476="",$H476=""),"",ROUND($H476-$I476,3))</f>
        <v/>
      </c>
      <c r="K476" s="26">
        <f>IF($A476="","",库存台账!$K476)</f>
        <v/>
      </c>
      <c r="L476" s="26">
        <f>IF($J476="","",ROUND($J476*$K476,0))</f>
        <v/>
      </c>
      <c r="M476" s="37">
        <f>IF(OR($J476="",$I476=0),"",ROUND($J476/$I476,4))</f>
        <v/>
      </c>
      <c r="N476" s="17" t="n"/>
      <c r="O476" s="17" t="n"/>
      <c r="P476" s="24">
        <f>IF($J476="","未盘",IF(ROUND($J476,3)=0,"账实相符",IF(COUNTIFS(入库单!$G$4:$G$2503,$A476,入库单!$X$4:$X$2503,"盘盈",入库单!$C$4:$C$2503,"&gt;="&amp;账期起,入库单!$C$4:$C$2503,"&lt;="&amp;账期止)+COUNTIFS(出库单!$D$4:$D$4003,$A476,出库单!$K$4:$K$4003,"盘亏",出库单!$C$4:$C$4003,"&gt;="&amp;账期起,出库单!$C$4:$C$4003,"&lt;="&amp;账期止)&gt;0,"已调账","※差异还没调账")))</f>
        <v/>
      </c>
      <c r="Q476" s="17" t="n"/>
      <c r="R476" s="17" t="n"/>
    </row>
    <row r="477">
      <c r="A477" s="24">
        <f>IF(库存台账!$A477="","",库存台账!$A477)</f>
        <v/>
      </c>
      <c r="B477" s="24">
        <f>IF($A477="","",库存台账!$B477)</f>
        <v/>
      </c>
      <c r="C477" s="24">
        <f>IF($A477="","",库存台账!$C477)</f>
        <v/>
      </c>
      <c r="D477" s="24">
        <f>IF($A477="","",库存台账!$D477)</f>
        <v/>
      </c>
      <c r="E477" s="24">
        <f>IF($A477="","",库存台账!$E477)</f>
        <v/>
      </c>
      <c r="F477" s="24">
        <f>IF($A477="","",库存台账!$F477)</f>
        <v/>
      </c>
      <c r="G477" s="17" t="n"/>
      <c r="H477" s="23" t="n"/>
      <c r="I477" s="27">
        <f>IF($A477="","",库存台账!$X477)</f>
        <v/>
      </c>
      <c r="J477" s="27">
        <f>IF(OR($A477="",$H477=""),"",ROUND($H477-$I477,3))</f>
        <v/>
      </c>
      <c r="K477" s="26">
        <f>IF($A477="","",库存台账!$K477)</f>
        <v/>
      </c>
      <c r="L477" s="26">
        <f>IF($J477="","",ROUND($J477*$K477,0))</f>
        <v/>
      </c>
      <c r="M477" s="37">
        <f>IF(OR($J477="",$I477=0),"",ROUND($J477/$I477,4))</f>
        <v/>
      </c>
      <c r="N477" s="17" t="n"/>
      <c r="O477" s="17" t="n"/>
      <c r="P477" s="24">
        <f>IF($J477="","未盘",IF(ROUND($J477,3)=0,"账实相符",IF(COUNTIFS(入库单!$G$4:$G$2503,$A477,入库单!$X$4:$X$2503,"盘盈",入库单!$C$4:$C$2503,"&gt;="&amp;账期起,入库单!$C$4:$C$2503,"&lt;="&amp;账期止)+COUNTIFS(出库单!$D$4:$D$4003,$A477,出库单!$K$4:$K$4003,"盘亏",出库单!$C$4:$C$4003,"&gt;="&amp;账期起,出库单!$C$4:$C$4003,"&lt;="&amp;账期止)&gt;0,"已调账","※差异还没调账")))</f>
        <v/>
      </c>
      <c r="Q477" s="17" t="n"/>
      <c r="R477" s="17" t="n"/>
    </row>
    <row r="478">
      <c r="A478" s="24">
        <f>IF(库存台账!$A478="","",库存台账!$A478)</f>
        <v/>
      </c>
      <c r="B478" s="24">
        <f>IF($A478="","",库存台账!$B478)</f>
        <v/>
      </c>
      <c r="C478" s="24">
        <f>IF($A478="","",库存台账!$C478)</f>
        <v/>
      </c>
      <c r="D478" s="24">
        <f>IF($A478="","",库存台账!$D478)</f>
        <v/>
      </c>
      <c r="E478" s="24">
        <f>IF($A478="","",库存台账!$E478)</f>
        <v/>
      </c>
      <c r="F478" s="24">
        <f>IF($A478="","",库存台账!$F478)</f>
        <v/>
      </c>
      <c r="G478" s="17" t="n"/>
      <c r="H478" s="23" t="n"/>
      <c r="I478" s="27">
        <f>IF($A478="","",库存台账!$X478)</f>
        <v/>
      </c>
      <c r="J478" s="27">
        <f>IF(OR($A478="",$H478=""),"",ROUND($H478-$I478,3))</f>
        <v/>
      </c>
      <c r="K478" s="26">
        <f>IF($A478="","",库存台账!$K478)</f>
        <v/>
      </c>
      <c r="L478" s="26">
        <f>IF($J478="","",ROUND($J478*$K478,0))</f>
        <v/>
      </c>
      <c r="M478" s="37">
        <f>IF(OR($J478="",$I478=0),"",ROUND($J478/$I478,4))</f>
        <v/>
      </c>
      <c r="N478" s="17" t="n"/>
      <c r="O478" s="17" t="n"/>
      <c r="P478" s="24">
        <f>IF($J478="","未盘",IF(ROUND($J478,3)=0,"账实相符",IF(COUNTIFS(入库单!$G$4:$G$2503,$A478,入库单!$X$4:$X$2503,"盘盈",入库单!$C$4:$C$2503,"&gt;="&amp;账期起,入库单!$C$4:$C$2503,"&lt;="&amp;账期止)+COUNTIFS(出库单!$D$4:$D$4003,$A478,出库单!$K$4:$K$4003,"盘亏",出库单!$C$4:$C$4003,"&gt;="&amp;账期起,出库单!$C$4:$C$4003,"&lt;="&amp;账期止)&gt;0,"已调账","※差异还没调账")))</f>
        <v/>
      </c>
      <c r="Q478" s="17" t="n"/>
      <c r="R478" s="17" t="n"/>
    </row>
    <row r="479">
      <c r="A479" s="24">
        <f>IF(库存台账!$A479="","",库存台账!$A479)</f>
        <v/>
      </c>
      <c r="B479" s="24">
        <f>IF($A479="","",库存台账!$B479)</f>
        <v/>
      </c>
      <c r="C479" s="24">
        <f>IF($A479="","",库存台账!$C479)</f>
        <v/>
      </c>
      <c r="D479" s="24">
        <f>IF($A479="","",库存台账!$D479)</f>
        <v/>
      </c>
      <c r="E479" s="24">
        <f>IF($A479="","",库存台账!$E479)</f>
        <v/>
      </c>
      <c r="F479" s="24">
        <f>IF($A479="","",库存台账!$F479)</f>
        <v/>
      </c>
      <c r="G479" s="17" t="n"/>
      <c r="H479" s="23" t="n"/>
      <c r="I479" s="27">
        <f>IF($A479="","",库存台账!$X479)</f>
        <v/>
      </c>
      <c r="J479" s="27">
        <f>IF(OR($A479="",$H479=""),"",ROUND($H479-$I479,3))</f>
        <v/>
      </c>
      <c r="K479" s="26">
        <f>IF($A479="","",库存台账!$K479)</f>
        <v/>
      </c>
      <c r="L479" s="26">
        <f>IF($J479="","",ROUND($J479*$K479,0))</f>
        <v/>
      </c>
      <c r="M479" s="37">
        <f>IF(OR($J479="",$I479=0),"",ROUND($J479/$I479,4))</f>
        <v/>
      </c>
      <c r="N479" s="17" t="n"/>
      <c r="O479" s="17" t="n"/>
      <c r="P479" s="24">
        <f>IF($J479="","未盘",IF(ROUND($J479,3)=0,"账实相符",IF(COUNTIFS(入库单!$G$4:$G$2503,$A479,入库单!$X$4:$X$2503,"盘盈",入库单!$C$4:$C$2503,"&gt;="&amp;账期起,入库单!$C$4:$C$2503,"&lt;="&amp;账期止)+COUNTIFS(出库单!$D$4:$D$4003,$A479,出库单!$K$4:$K$4003,"盘亏",出库单!$C$4:$C$4003,"&gt;="&amp;账期起,出库单!$C$4:$C$4003,"&lt;="&amp;账期止)&gt;0,"已调账","※差异还没调账")))</f>
        <v/>
      </c>
      <c r="Q479" s="17" t="n"/>
      <c r="R479" s="17" t="n"/>
    </row>
    <row r="480">
      <c r="A480" s="24">
        <f>IF(库存台账!$A480="","",库存台账!$A480)</f>
        <v/>
      </c>
      <c r="B480" s="24">
        <f>IF($A480="","",库存台账!$B480)</f>
        <v/>
      </c>
      <c r="C480" s="24">
        <f>IF($A480="","",库存台账!$C480)</f>
        <v/>
      </c>
      <c r="D480" s="24">
        <f>IF($A480="","",库存台账!$D480)</f>
        <v/>
      </c>
      <c r="E480" s="24">
        <f>IF($A480="","",库存台账!$E480)</f>
        <v/>
      </c>
      <c r="F480" s="24">
        <f>IF($A480="","",库存台账!$F480)</f>
        <v/>
      </c>
      <c r="G480" s="17" t="n"/>
      <c r="H480" s="23" t="n"/>
      <c r="I480" s="27">
        <f>IF($A480="","",库存台账!$X480)</f>
        <v/>
      </c>
      <c r="J480" s="27">
        <f>IF(OR($A480="",$H480=""),"",ROUND($H480-$I480,3))</f>
        <v/>
      </c>
      <c r="K480" s="26">
        <f>IF($A480="","",库存台账!$K480)</f>
        <v/>
      </c>
      <c r="L480" s="26">
        <f>IF($J480="","",ROUND($J480*$K480,0))</f>
        <v/>
      </c>
      <c r="M480" s="37">
        <f>IF(OR($J480="",$I480=0),"",ROUND($J480/$I480,4))</f>
        <v/>
      </c>
      <c r="N480" s="17" t="n"/>
      <c r="O480" s="17" t="n"/>
      <c r="P480" s="24">
        <f>IF($J480="","未盘",IF(ROUND($J480,3)=0,"账实相符",IF(COUNTIFS(入库单!$G$4:$G$2503,$A480,入库单!$X$4:$X$2503,"盘盈",入库单!$C$4:$C$2503,"&gt;="&amp;账期起,入库单!$C$4:$C$2503,"&lt;="&amp;账期止)+COUNTIFS(出库单!$D$4:$D$4003,$A480,出库单!$K$4:$K$4003,"盘亏",出库单!$C$4:$C$4003,"&gt;="&amp;账期起,出库单!$C$4:$C$4003,"&lt;="&amp;账期止)&gt;0,"已调账","※差异还没调账")))</f>
        <v/>
      </c>
      <c r="Q480" s="17" t="n"/>
      <c r="R480" s="17" t="n"/>
    </row>
    <row r="481">
      <c r="A481" s="24">
        <f>IF(库存台账!$A481="","",库存台账!$A481)</f>
        <v/>
      </c>
      <c r="B481" s="24">
        <f>IF($A481="","",库存台账!$B481)</f>
        <v/>
      </c>
      <c r="C481" s="24">
        <f>IF($A481="","",库存台账!$C481)</f>
        <v/>
      </c>
      <c r="D481" s="24">
        <f>IF($A481="","",库存台账!$D481)</f>
        <v/>
      </c>
      <c r="E481" s="24">
        <f>IF($A481="","",库存台账!$E481)</f>
        <v/>
      </c>
      <c r="F481" s="24">
        <f>IF($A481="","",库存台账!$F481)</f>
        <v/>
      </c>
      <c r="G481" s="17" t="n"/>
      <c r="H481" s="23" t="n"/>
      <c r="I481" s="27">
        <f>IF($A481="","",库存台账!$X481)</f>
        <v/>
      </c>
      <c r="J481" s="27">
        <f>IF(OR($A481="",$H481=""),"",ROUND($H481-$I481,3))</f>
        <v/>
      </c>
      <c r="K481" s="26">
        <f>IF($A481="","",库存台账!$K481)</f>
        <v/>
      </c>
      <c r="L481" s="26">
        <f>IF($J481="","",ROUND($J481*$K481,0))</f>
        <v/>
      </c>
      <c r="M481" s="37">
        <f>IF(OR($J481="",$I481=0),"",ROUND($J481/$I481,4))</f>
        <v/>
      </c>
      <c r="N481" s="17" t="n"/>
      <c r="O481" s="17" t="n"/>
      <c r="P481" s="24">
        <f>IF($J481="","未盘",IF(ROUND($J481,3)=0,"账实相符",IF(COUNTIFS(入库单!$G$4:$G$2503,$A481,入库单!$X$4:$X$2503,"盘盈",入库单!$C$4:$C$2503,"&gt;="&amp;账期起,入库单!$C$4:$C$2503,"&lt;="&amp;账期止)+COUNTIFS(出库单!$D$4:$D$4003,$A481,出库单!$K$4:$K$4003,"盘亏",出库单!$C$4:$C$4003,"&gt;="&amp;账期起,出库单!$C$4:$C$4003,"&lt;="&amp;账期止)&gt;0,"已调账","※差异还没调账")))</f>
        <v/>
      </c>
      <c r="Q481" s="17" t="n"/>
      <c r="R481" s="17" t="n"/>
    </row>
    <row r="482">
      <c r="A482" s="24">
        <f>IF(库存台账!$A482="","",库存台账!$A482)</f>
        <v/>
      </c>
      <c r="B482" s="24">
        <f>IF($A482="","",库存台账!$B482)</f>
        <v/>
      </c>
      <c r="C482" s="24">
        <f>IF($A482="","",库存台账!$C482)</f>
        <v/>
      </c>
      <c r="D482" s="24">
        <f>IF($A482="","",库存台账!$D482)</f>
        <v/>
      </c>
      <c r="E482" s="24">
        <f>IF($A482="","",库存台账!$E482)</f>
        <v/>
      </c>
      <c r="F482" s="24">
        <f>IF($A482="","",库存台账!$F482)</f>
        <v/>
      </c>
      <c r="G482" s="17" t="n"/>
      <c r="H482" s="23" t="n"/>
      <c r="I482" s="27">
        <f>IF($A482="","",库存台账!$X482)</f>
        <v/>
      </c>
      <c r="J482" s="27">
        <f>IF(OR($A482="",$H482=""),"",ROUND($H482-$I482,3))</f>
        <v/>
      </c>
      <c r="K482" s="26">
        <f>IF($A482="","",库存台账!$K482)</f>
        <v/>
      </c>
      <c r="L482" s="26">
        <f>IF($J482="","",ROUND($J482*$K482,0))</f>
        <v/>
      </c>
      <c r="M482" s="37">
        <f>IF(OR($J482="",$I482=0),"",ROUND($J482/$I482,4))</f>
        <v/>
      </c>
      <c r="N482" s="17" t="n"/>
      <c r="O482" s="17" t="n"/>
      <c r="P482" s="24">
        <f>IF($J482="","未盘",IF(ROUND($J482,3)=0,"账实相符",IF(COUNTIFS(入库单!$G$4:$G$2503,$A482,入库单!$X$4:$X$2503,"盘盈",入库单!$C$4:$C$2503,"&gt;="&amp;账期起,入库单!$C$4:$C$2503,"&lt;="&amp;账期止)+COUNTIFS(出库单!$D$4:$D$4003,$A482,出库单!$K$4:$K$4003,"盘亏",出库单!$C$4:$C$4003,"&gt;="&amp;账期起,出库单!$C$4:$C$4003,"&lt;="&amp;账期止)&gt;0,"已调账","※差异还没调账")))</f>
        <v/>
      </c>
      <c r="Q482" s="17" t="n"/>
      <c r="R482" s="17" t="n"/>
    </row>
    <row r="483">
      <c r="A483" s="24">
        <f>IF(库存台账!$A483="","",库存台账!$A483)</f>
        <v/>
      </c>
      <c r="B483" s="24">
        <f>IF($A483="","",库存台账!$B483)</f>
        <v/>
      </c>
      <c r="C483" s="24">
        <f>IF($A483="","",库存台账!$C483)</f>
        <v/>
      </c>
      <c r="D483" s="24">
        <f>IF($A483="","",库存台账!$D483)</f>
        <v/>
      </c>
      <c r="E483" s="24">
        <f>IF($A483="","",库存台账!$E483)</f>
        <v/>
      </c>
      <c r="F483" s="24">
        <f>IF($A483="","",库存台账!$F483)</f>
        <v/>
      </c>
      <c r="G483" s="17" t="n"/>
      <c r="H483" s="23" t="n"/>
      <c r="I483" s="27">
        <f>IF($A483="","",库存台账!$X483)</f>
        <v/>
      </c>
      <c r="J483" s="27">
        <f>IF(OR($A483="",$H483=""),"",ROUND($H483-$I483,3))</f>
        <v/>
      </c>
      <c r="K483" s="26">
        <f>IF($A483="","",库存台账!$K483)</f>
        <v/>
      </c>
      <c r="L483" s="26">
        <f>IF($J483="","",ROUND($J483*$K483,0))</f>
        <v/>
      </c>
      <c r="M483" s="37">
        <f>IF(OR($J483="",$I483=0),"",ROUND($J483/$I483,4))</f>
        <v/>
      </c>
      <c r="N483" s="17" t="n"/>
      <c r="O483" s="17" t="n"/>
      <c r="P483" s="24">
        <f>IF($J483="","未盘",IF(ROUND($J483,3)=0,"账实相符",IF(COUNTIFS(入库单!$G$4:$G$2503,$A483,入库单!$X$4:$X$2503,"盘盈",入库单!$C$4:$C$2503,"&gt;="&amp;账期起,入库单!$C$4:$C$2503,"&lt;="&amp;账期止)+COUNTIFS(出库单!$D$4:$D$4003,$A483,出库单!$K$4:$K$4003,"盘亏",出库单!$C$4:$C$4003,"&gt;="&amp;账期起,出库单!$C$4:$C$4003,"&lt;="&amp;账期止)&gt;0,"已调账","※差异还没调账")))</f>
        <v/>
      </c>
      <c r="Q483" s="17" t="n"/>
      <c r="R483" s="17" t="n"/>
    </row>
    <row r="484">
      <c r="A484" s="24">
        <f>IF(库存台账!$A484="","",库存台账!$A484)</f>
        <v/>
      </c>
      <c r="B484" s="24">
        <f>IF($A484="","",库存台账!$B484)</f>
        <v/>
      </c>
      <c r="C484" s="24">
        <f>IF($A484="","",库存台账!$C484)</f>
        <v/>
      </c>
      <c r="D484" s="24">
        <f>IF($A484="","",库存台账!$D484)</f>
        <v/>
      </c>
      <c r="E484" s="24">
        <f>IF($A484="","",库存台账!$E484)</f>
        <v/>
      </c>
      <c r="F484" s="24">
        <f>IF($A484="","",库存台账!$F484)</f>
        <v/>
      </c>
      <c r="G484" s="17" t="n"/>
      <c r="H484" s="23" t="n"/>
      <c r="I484" s="27">
        <f>IF($A484="","",库存台账!$X484)</f>
        <v/>
      </c>
      <c r="J484" s="27">
        <f>IF(OR($A484="",$H484=""),"",ROUND($H484-$I484,3))</f>
        <v/>
      </c>
      <c r="K484" s="26">
        <f>IF($A484="","",库存台账!$K484)</f>
        <v/>
      </c>
      <c r="L484" s="26">
        <f>IF($J484="","",ROUND($J484*$K484,0))</f>
        <v/>
      </c>
      <c r="M484" s="37">
        <f>IF(OR($J484="",$I484=0),"",ROUND($J484/$I484,4))</f>
        <v/>
      </c>
      <c r="N484" s="17" t="n"/>
      <c r="O484" s="17" t="n"/>
      <c r="P484" s="24">
        <f>IF($J484="","未盘",IF(ROUND($J484,3)=0,"账实相符",IF(COUNTIFS(入库单!$G$4:$G$2503,$A484,入库单!$X$4:$X$2503,"盘盈",入库单!$C$4:$C$2503,"&gt;="&amp;账期起,入库单!$C$4:$C$2503,"&lt;="&amp;账期止)+COUNTIFS(出库单!$D$4:$D$4003,$A484,出库单!$K$4:$K$4003,"盘亏",出库单!$C$4:$C$4003,"&gt;="&amp;账期起,出库单!$C$4:$C$4003,"&lt;="&amp;账期止)&gt;0,"已调账","※差异还没调账")))</f>
        <v/>
      </c>
      <c r="Q484" s="17" t="n"/>
      <c r="R484" s="17" t="n"/>
    </row>
    <row r="485">
      <c r="A485" s="24">
        <f>IF(库存台账!$A485="","",库存台账!$A485)</f>
        <v/>
      </c>
      <c r="B485" s="24">
        <f>IF($A485="","",库存台账!$B485)</f>
        <v/>
      </c>
      <c r="C485" s="24">
        <f>IF($A485="","",库存台账!$C485)</f>
        <v/>
      </c>
      <c r="D485" s="24">
        <f>IF($A485="","",库存台账!$D485)</f>
        <v/>
      </c>
      <c r="E485" s="24">
        <f>IF($A485="","",库存台账!$E485)</f>
        <v/>
      </c>
      <c r="F485" s="24">
        <f>IF($A485="","",库存台账!$F485)</f>
        <v/>
      </c>
      <c r="G485" s="17" t="n"/>
      <c r="H485" s="23" t="n"/>
      <c r="I485" s="27">
        <f>IF($A485="","",库存台账!$X485)</f>
        <v/>
      </c>
      <c r="J485" s="27">
        <f>IF(OR($A485="",$H485=""),"",ROUND($H485-$I485,3))</f>
        <v/>
      </c>
      <c r="K485" s="26">
        <f>IF($A485="","",库存台账!$K485)</f>
        <v/>
      </c>
      <c r="L485" s="26">
        <f>IF($J485="","",ROUND($J485*$K485,0))</f>
        <v/>
      </c>
      <c r="M485" s="37">
        <f>IF(OR($J485="",$I485=0),"",ROUND($J485/$I485,4))</f>
        <v/>
      </c>
      <c r="N485" s="17" t="n"/>
      <c r="O485" s="17" t="n"/>
      <c r="P485" s="24">
        <f>IF($J485="","未盘",IF(ROUND($J485,3)=0,"账实相符",IF(COUNTIFS(入库单!$G$4:$G$2503,$A485,入库单!$X$4:$X$2503,"盘盈",入库单!$C$4:$C$2503,"&gt;="&amp;账期起,入库单!$C$4:$C$2503,"&lt;="&amp;账期止)+COUNTIFS(出库单!$D$4:$D$4003,$A485,出库单!$K$4:$K$4003,"盘亏",出库单!$C$4:$C$4003,"&gt;="&amp;账期起,出库单!$C$4:$C$4003,"&lt;="&amp;账期止)&gt;0,"已调账","※差异还没调账")))</f>
        <v/>
      </c>
      <c r="Q485" s="17" t="n"/>
      <c r="R485" s="17" t="n"/>
    </row>
    <row r="486">
      <c r="A486" s="24">
        <f>IF(库存台账!$A486="","",库存台账!$A486)</f>
        <v/>
      </c>
      <c r="B486" s="24">
        <f>IF($A486="","",库存台账!$B486)</f>
        <v/>
      </c>
      <c r="C486" s="24">
        <f>IF($A486="","",库存台账!$C486)</f>
        <v/>
      </c>
      <c r="D486" s="24">
        <f>IF($A486="","",库存台账!$D486)</f>
        <v/>
      </c>
      <c r="E486" s="24">
        <f>IF($A486="","",库存台账!$E486)</f>
        <v/>
      </c>
      <c r="F486" s="24">
        <f>IF($A486="","",库存台账!$F486)</f>
        <v/>
      </c>
      <c r="G486" s="17" t="n"/>
      <c r="H486" s="23" t="n"/>
      <c r="I486" s="27">
        <f>IF($A486="","",库存台账!$X486)</f>
        <v/>
      </c>
      <c r="J486" s="27">
        <f>IF(OR($A486="",$H486=""),"",ROUND($H486-$I486,3))</f>
        <v/>
      </c>
      <c r="K486" s="26">
        <f>IF($A486="","",库存台账!$K486)</f>
        <v/>
      </c>
      <c r="L486" s="26">
        <f>IF($J486="","",ROUND($J486*$K486,0))</f>
        <v/>
      </c>
      <c r="M486" s="37">
        <f>IF(OR($J486="",$I486=0),"",ROUND($J486/$I486,4))</f>
        <v/>
      </c>
      <c r="N486" s="17" t="n"/>
      <c r="O486" s="17" t="n"/>
      <c r="P486" s="24">
        <f>IF($J486="","未盘",IF(ROUND($J486,3)=0,"账实相符",IF(COUNTIFS(入库单!$G$4:$G$2503,$A486,入库单!$X$4:$X$2503,"盘盈",入库单!$C$4:$C$2503,"&gt;="&amp;账期起,入库单!$C$4:$C$2503,"&lt;="&amp;账期止)+COUNTIFS(出库单!$D$4:$D$4003,$A486,出库单!$K$4:$K$4003,"盘亏",出库单!$C$4:$C$4003,"&gt;="&amp;账期起,出库单!$C$4:$C$4003,"&lt;="&amp;账期止)&gt;0,"已调账","※差异还没调账")))</f>
        <v/>
      </c>
      <c r="Q486" s="17" t="n"/>
      <c r="R486" s="17" t="n"/>
    </row>
    <row r="487">
      <c r="A487" s="24">
        <f>IF(库存台账!$A487="","",库存台账!$A487)</f>
        <v/>
      </c>
      <c r="B487" s="24">
        <f>IF($A487="","",库存台账!$B487)</f>
        <v/>
      </c>
      <c r="C487" s="24">
        <f>IF($A487="","",库存台账!$C487)</f>
        <v/>
      </c>
      <c r="D487" s="24">
        <f>IF($A487="","",库存台账!$D487)</f>
        <v/>
      </c>
      <c r="E487" s="24">
        <f>IF($A487="","",库存台账!$E487)</f>
        <v/>
      </c>
      <c r="F487" s="24">
        <f>IF($A487="","",库存台账!$F487)</f>
        <v/>
      </c>
      <c r="G487" s="17" t="n"/>
      <c r="H487" s="23" t="n"/>
      <c r="I487" s="27">
        <f>IF($A487="","",库存台账!$X487)</f>
        <v/>
      </c>
      <c r="J487" s="27">
        <f>IF(OR($A487="",$H487=""),"",ROUND($H487-$I487,3))</f>
        <v/>
      </c>
      <c r="K487" s="26">
        <f>IF($A487="","",库存台账!$K487)</f>
        <v/>
      </c>
      <c r="L487" s="26">
        <f>IF($J487="","",ROUND($J487*$K487,0))</f>
        <v/>
      </c>
      <c r="M487" s="37">
        <f>IF(OR($J487="",$I487=0),"",ROUND($J487/$I487,4))</f>
        <v/>
      </c>
      <c r="N487" s="17" t="n"/>
      <c r="O487" s="17" t="n"/>
      <c r="P487" s="24">
        <f>IF($J487="","未盘",IF(ROUND($J487,3)=0,"账实相符",IF(COUNTIFS(入库单!$G$4:$G$2503,$A487,入库单!$X$4:$X$2503,"盘盈",入库单!$C$4:$C$2503,"&gt;="&amp;账期起,入库单!$C$4:$C$2503,"&lt;="&amp;账期止)+COUNTIFS(出库单!$D$4:$D$4003,$A487,出库单!$K$4:$K$4003,"盘亏",出库单!$C$4:$C$4003,"&gt;="&amp;账期起,出库单!$C$4:$C$4003,"&lt;="&amp;账期止)&gt;0,"已调账","※差异还没调账")))</f>
        <v/>
      </c>
      <c r="Q487" s="17" t="n"/>
      <c r="R487" s="17" t="n"/>
    </row>
    <row r="488">
      <c r="A488" s="24">
        <f>IF(库存台账!$A488="","",库存台账!$A488)</f>
        <v/>
      </c>
      <c r="B488" s="24">
        <f>IF($A488="","",库存台账!$B488)</f>
        <v/>
      </c>
      <c r="C488" s="24">
        <f>IF($A488="","",库存台账!$C488)</f>
        <v/>
      </c>
      <c r="D488" s="24">
        <f>IF($A488="","",库存台账!$D488)</f>
        <v/>
      </c>
      <c r="E488" s="24">
        <f>IF($A488="","",库存台账!$E488)</f>
        <v/>
      </c>
      <c r="F488" s="24">
        <f>IF($A488="","",库存台账!$F488)</f>
        <v/>
      </c>
      <c r="G488" s="17" t="n"/>
      <c r="H488" s="23" t="n"/>
      <c r="I488" s="27">
        <f>IF($A488="","",库存台账!$X488)</f>
        <v/>
      </c>
      <c r="J488" s="27">
        <f>IF(OR($A488="",$H488=""),"",ROUND($H488-$I488,3))</f>
        <v/>
      </c>
      <c r="K488" s="26">
        <f>IF($A488="","",库存台账!$K488)</f>
        <v/>
      </c>
      <c r="L488" s="26">
        <f>IF($J488="","",ROUND($J488*$K488,0))</f>
        <v/>
      </c>
      <c r="M488" s="37">
        <f>IF(OR($J488="",$I488=0),"",ROUND($J488/$I488,4))</f>
        <v/>
      </c>
      <c r="N488" s="17" t="n"/>
      <c r="O488" s="17" t="n"/>
      <c r="P488" s="24">
        <f>IF($J488="","未盘",IF(ROUND($J488,3)=0,"账实相符",IF(COUNTIFS(入库单!$G$4:$G$2503,$A488,入库单!$X$4:$X$2503,"盘盈",入库单!$C$4:$C$2503,"&gt;="&amp;账期起,入库单!$C$4:$C$2503,"&lt;="&amp;账期止)+COUNTIFS(出库单!$D$4:$D$4003,$A488,出库单!$K$4:$K$4003,"盘亏",出库单!$C$4:$C$4003,"&gt;="&amp;账期起,出库单!$C$4:$C$4003,"&lt;="&amp;账期止)&gt;0,"已调账","※差异还没调账")))</f>
        <v/>
      </c>
      <c r="Q488" s="17" t="n"/>
      <c r="R488" s="17" t="n"/>
    </row>
    <row r="489">
      <c r="A489" s="24">
        <f>IF(库存台账!$A489="","",库存台账!$A489)</f>
        <v/>
      </c>
      <c r="B489" s="24">
        <f>IF($A489="","",库存台账!$B489)</f>
        <v/>
      </c>
      <c r="C489" s="24">
        <f>IF($A489="","",库存台账!$C489)</f>
        <v/>
      </c>
      <c r="D489" s="24">
        <f>IF($A489="","",库存台账!$D489)</f>
        <v/>
      </c>
      <c r="E489" s="24">
        <f>IF($A489="","",库存台账!$E489)</f>
        <v/>
      </c>
      <c r="F489" s="24">
        <f>IF($A489="","",库存台账!$F489)</f>
        <v/>
      </c>
      <c r="G489" s="17" t="n"/>
      <c r="H489" s="23" t="n"/>
      <c r="I489" s="27">
        <f>IF($A489="","",库存台账!$X489)</f>
        <v/>
      </c>
      <c r="J489" s="27">
        <f>IF(OR($A489="",$H489=""),"",ROUND($H489-$I489,3))</f>
        <v/>
      </c>
      <c r="K489" s="26">
        <f>IF($A489="","",库存台账!$K489)</f>
        <v/>
      </c>
      <c r="L489" s="26">
        <f>IF($J489="","",ROUND($J489*$K489,0))</f>
        <v/>
      </c>
      <c r="M489" s="37">
        <f>IF(OR($J489="",$I489=0),"",ROUND($J489/$I489,4))</f>
        <v/>
      </c>
      <c r="N489" s="17" t="n"/>
      <c r="O489" s="17" t="n"/>
      <c r="P489" s="24">
        <f>IF($J489="","未盘",IF(ROUND($J489,3)=0,"账实相符",IF(COUNTIFS(入库单!$G$4:$G$2503,$A489,入库单!$X$4:$X$2503,"盘盈",入库单!$C$4:$C$2503,"&gt;="&amp;账期起,入库单!$C$4:$C$2503,"&lt;="&amp;账期止)+COUNTIFS(出库单!$D$4:$D$4003,$A489,出库单!$K$4:$K$4003,"盘亏",出库单!$C$4:$C$4003,"&gt;="&amp;账期起,出库单!$C$4:$C$4003,"&lt;="&amp;账期止)&gt;0,"已调账","※差异还没调账")))</f>
        <v/>
      </c>
      <c r="Q489" s="17" t="n"/>
      <c r="R489" s="17" t="n"/>
    </row>
    <row r="490">
      <c r="A490" s="24">
        <f>IF(库存台账!$A490="","",库存台账!$A490)</f>
        <v/>
      </c>
      <c r="B490" s="24">
        <f>IF($A490="","",库存台账!$B490)</f>
        <v/>
      </c>
      <c r="C490" s="24">
        <f>IF($A490="","",库存台账!$C490)</f>
        <v/>
      </c>
      <c r="D490" s="24">
        <f>IF($A490="","",库存台账!$D490)</f>
        <v/>
      </c>
      <c r="E490" s="24">
        <f>IF($A490="","",库存台账!$E490)</f>
        <v/>
      </c>
      <c r="F490" s="24">
        <f>IF($A490="","",库存台账!$F490)</f>
        <v/>
      </c>
      <c r="G490" s="17" t="n"/>
      <c r="H490" s="23" t="n"/>
      <c r="I490" s="27">
        <f>IF($A490="","",库存台账!$X490)</f>
        <v/>
      </c>
      <c r="J490" s="27">
        <f>IF(OR($A490="",$H490=""),"",ROUND($H490-$I490,3))</f>
        <v/>
      </c>
      <c r="K490" s="26">
        <f>IF($A490="","",库存台账!$K490)</f>
        <v/>
      </c>
      <c r="L490" s="26">
        <f>IF($J490="","",ROUND($J490*$K490,0))</f>
        <v/>
      </c>
      <c r="M490" s="37">
        <f>IF(OR($J490="",$I490=0),"",ROUND($J490/$I490,4))</f>
        <v/>
      </c>
      <c r="N490" s="17" t="n"/>
      <c r="O490" s="17" t="n"/>
      <c r="P490" s="24">
        <f>IF($J490="","未盘",IF(ROUND($J490,3)=0,"账实相符",IF(COUNTIFS(入库单!$G$4:$G$2503,$A490,入库单!$X$4:$X$2503,"盘盈",入库单!$C$4:$C$2503,"&gt;="&amp;账期起,入库单!$C$4:$C$2503,"&lt;="&amp;账期止)+COUNTIFS(出库单!$D$4:$D$4003,$A490,出库单!$K$4:$K$4003,"盘亏",出库单!$C$4:$C$4003,"&gt;="&amp;账期起,出库单!$C$4:$C$4003,"&lt;="&amp;账期止)&gt;0,"已调账","※差异还没调账")))</f>
        <v/>
      </c>
      <c r="Q490" s="17" t="n"/>
      <c r="R490" s="17" t="n"/>
    </row>
    <row r="491">
      <c r="A491" s="24">
        <f>IF(库存台账!$A491="","",库存台账!$A491)</f>
        <v/>
      </c>
      <c r="B491" s="24">
        <f>IF($A491="","",库存台账!$B491)</f>
        <v/>
      </c>
      <c r="C491" s="24">
        <f>IF($A491="","",库存台账!$C491)</f>
        <v/>
      </c>
      <c r="D491" s="24">
        <f>IF($A491="","",库存台账!$D491)</f>
        <v/>
      </c>
      <c r="E491" s="24">
        <f>IF($A491="","",库存台账!$E491)</f>
        <v/>
      </c>
      <c r="F491" s="24">
        <f>IF($A491="","",库存台账!$F491)</f>
        <v/>
      </c>
      <c r="G491" s="17" t="n"/>
      <c r="H491" s="23" t="n"/>
      <c r="I491" s="27">
        <f>IF($A491="","",库存台账!$X491)</f>
        <v/>
      </c>
      <c r="J491" s="27">
        <f>IF(OR($A491="",$H491=""),"",ROUND($H491-$I491,3))</f>
        <v/>
      </c>
      <c r="K491" s="26">
        <f>IF($A491="","",库存台账!$K491)</f>
        <v/>
      </c>
      <c r="L491" s="26">
        <f>IF($J491="","",ROUND($J491*$K491,0))</f>
        <v/>
      </c>
      <c r="M491" s="37">
        <f>IF(OR($J491="",$I491=0),"",ROUND($J491/$I491,4))</f>
        <v/>
      </c>
      <c r="N491" s="17" t="n"/>
      <c r="O491" s="17" t="n"/>
      <c r="P491" s="24">
        <f>IF($J491="","未盘",IF(ROUND($J491,3)=0,"账实相符",IF(COUNTIFS(入库单!$G$4:$G$2503,$A491,入库单!$X$4:$X$2503,"盘盈",入库单!$C$4:$C$2503,"&gt;="&amp;账期起,入库单!$C$4:$C$2503,"&lt;="&amp;账期止)+COUNTIFS(出库单!$D$4:$D$4003,$A491,出库单!$K$4:$K$4003,"盘亏",出库单!$C$4:$C$4003,"&gt;="&amp;账期起,出库单!$C$4:$C$4003,"&lt;="&amp;账期止)&gt;0,"已调账","※差异还没调账")))</f>
        <v/>
      </c>
      <c r="Q491" s="17" t="n"/>
      <c r="R491" s="17" t="n"/>
    </row>
    <row r="492">
      <c r="A492" s="24">
        <f>IF(库存台账!$A492="","",库存台账!$A492)</f>
        <v/>
      </c>
      <c r="B492" s="24">
        <f>IF($A492="","",库存台账!$B492)</f>
        <v/>
      </c>
      <c r="C492" s="24">
        <f>IF($A492="","",库存台账!$C492)</f>
        <v/>
      </c>
      <c r="D492" s="24">
        <f>IF($A492="","",库存台账!$D492)</f>
        <v/>
      </c>
      <c r="E492" s="24">
        <f>IF($A492="","",库存台账!$E492)</f>
        <v/>
      </c>
      <c r="F492" s="24">
        <f>IF($A492="","",库存台账!$F492)</f>
        <v/>
      </c>
      <c r="G492" s="17" t="n"/>
      <c r="H492" s="23" t="n"/>
      <c r="I492" s="27">
        <f>IF($A492="","",库存台账!$X492)</f>
        <v/>
      </c>
      <c r="J492" s="27">
        <f>IF(OR($A492="",$H492=""),"",ROUND($H492-$I492,3))</f>
        <v/>
      </c>
      <c r="K492" s="26">
        <f>IF($A492="","",库存台账!$K492)</f>
        <v/>
      </c>
      <c r="L492" s="26">
        <f>IF($J492="","",ROUND($J492*$K492,0))</f>
        <v/>
      </c>
      <c r="M492" s="37">
        <f>IF(OR($J492="",$I492=0),"",ROUND($J492/$I492,4))</f>
        <v/>
      </c>
      <c r="N492" s="17" t="n"/>
      <c r="O492" s="17" t="n"/>
      <c r="P492" s="24">
        <f>IF($J492="","未盘",IF(ROUND($J492,3)=0,"账实相符",IF(COUNTIFS(入库单!$G$4:$G$2503,$A492,入库单!$X$4:$X$2503,"盘盈",入库单!$C$4:$C$2503,"&gt;="&amp;账期起,入库单!$C$4:$C$2503,"&lt;="&amp;账期止)+COUNTIFS(出库单!$D$4:$D$4003,$A492,出库单!$K$4:$K$4003,"盘亏",出库单!$C$4:$C$4003,"&gt;="&amp;账期起,出库单!$C$4:$C$4003,"&lt;="&amp;账期止)&gt;0,"已调账","※差异还没调账")))</f>
        <v/>
      </c>
      <c r="Q492" s="17" t="n"/>
      <c r="R492" s="17" t="n"/>
    </row>
    <row r="493">
      <c r="A493" s="24">
        <f>IF(库存台账!$A493="","",库存台账!$A493)</f>
        <v/>
      </c>
      <c r="B493" s="24">
        <f>IF($A493="","",库存台账!$B493)</f>
        <v/>
      </c>
      <c r="C493" s="24">
        <f>IF($A493="","",库存台账!$C493)</f>
        <v/>
      </c>
      <c r="D493" s="24">
        <f>IF($A493="","",库存台账!$D493)</f>
        <v/>
      </c>
      <c r="E493" s="24">
        <f>IF($A493="","",库存台账!$E493)</f>
        <v/>
      </c>
      <c r="F493" s="24">
        <f>IF($A493="","",库存台账!$F493)</f>
        <v/>
      </c>
      <c r="G493" s="17" t="n"/>
      <c r="H493" s="23" t="n"/>
      <c r="I493" s="27">
        <f>IF($A493="","",库存台账!$X493)</f>
        <v/>
      </c>
      <c r="J493" s="27">
        <f>IF(OR($A493="",$H493=""),"",ROUND($H493-$I493,3))</f>
        <v/>
      </c>
      <c r="K493" s="26">
        <f>IF($A493="","",库存台账!$K493)</f>
        <v/>
      </c>
      <c r="L493" s="26">
        <f>IF($J493="","",ROUND($J493*$K493,0))</f>
        <v/>
      </c>
      <c r="M493" s="37">
        <f>IF(OR($J493="",$I493=0),"",ROUND($J493/$I493,4))</f>
        <v/>
      </c>
      <c r="N493" s="17" t="n"/>
      <c r="O493" s="17" t="n"/>
      <c r="P493" s="24">
        <f>IF($J493="","未盘",IF(ROUND($J493,3)=0,"账实相符",IF(COUNTIFS(入库单!$G$4:$G$2503,$A493,入库单!$X$4:$X$2503,"盘盈",入库单!$C$4:$C$2503,"&gt;="&amp;账期起,入库单!$C$4:$C$2503,"&lt;="&amp;账期止)+COUNTIFS(出库单!$D$4:$D$4003,$A493,出库单!$K$4:$K$4003,"盘亏",出库单!$C$4:$C$4003,"&gt;="&amp;账期起,出库单!$C$4:$C$4003,"&lt;="&amp;账期止)&gt;0,"已调账","※差异还没调账")))</f>
        <v/>
      </c>
      <c r="Q493" s="17" t="n"/>
      <c r="R493" s="17" t="n"/>
    </row>
    <row r="494">
      <c r="A494" s="24">
        <f>IF(库存台账!$A494="","",库存台账!$A494)</f>
        <v/>
      </c>
      <c r="B494" s="24">
        <f>IF($A494="","",库存台账!$B494)</f>
        <v/>
      </c>
      <c r="C494" s="24">
        <f>IF($A494="","",库存台账!$C494)</f>
        <v/>
      </c>
      <c r="D494" s="24">
        <f>IF($A494="","",库存台账!$D494)</f>
        <v/>
      </c>
      <c r="E494" s="24">
        <f>IF($A494="","",库存台账!$E494)</f>
        <v/>
      </c>
      <c r="F494" s="24">
        <f>IF($A494="","",库存台账!$F494)</f>
        <v/>
      </c>
      <c r="G494" s="17" t="n"/>
      <c r="H494" s="23" t="n"/>
      <c r="I494" s="27">
        <f>IF($A494="","",库存台账!$X494)</f>
        <v/>
      </c>
      <c r="J494" s="27">
        <f>IF(OR($A494="",$H494=""),"",ROUND($H494-$I494,3))</f>
        <v/>
      </c>
      <c r="K494" s="26">
        <f>IF($A494="","",库存台账!$K494)</f>
        <v/>
      </c>
      <c r="L494" s="26">
        <f>IF($J494="","",ROUND($J494*$K494,0))</f>
        <v/>
      </c>
      <c r="M494" s="37">
        <f>IF(OR($J494="",$I494=0),"",ROUND($J494/$I494,4))</f>
        <v/>
      </c>
      <c r="N494" s="17" t="n"/>
      <c r="O494" s="17" t="n"/>
      <c r="P494" s="24">
        <f>IF($J494="","未盘",IF(ROUND($J494,3)=0,"账实相符",IF(COUNTIFS(入库单!$G$4:$G$2503,$A494,入库单!$X$4:$X$2503,"盘盈",入库单!$C$4:$C$2503,"&gt;="&amp;账期起,入库单!$C$4:$C$2503,"&lt;="&amp;账期止)+COUNTIFS(出库单!$D$4:$D$4003,$A494,出库单!$K$4:$K$4003,"盘亏",出库单!$C$4:$C$4003,"&gt;="&amp;账期起,出库单!$C$4:$C$4003,"&lt;="&amp;账期止)&gt;0,"已调账","※差异还没调账")))</f>
        <v/>
      </c>
      <c r="Q494" s="17" t="n"/>
      <c r="R494" s="17" t="n"/>
    </row>
    <row r="495">
      <c r="A495" s="24">
        <f>IF(库存台账!$A495="","",库存台账!$A495)</f>
        <v/>
      </c>
      <c r="B495" s="24">
        <f>IF($A495="","",库存台账!$B495)</f>
        <v/>
      </c>
      <c r="C495" s="24">
        <f>IF($A495="","",库存台账!$C495)</f>
        <v/>
      </c>
      <c r="D495" s="24">
        <f>IF($A495="","",库存台账!$D495)</f>
        <v/>
      </c>
      <c r="E495" s="24">
        <f>IF($A495="","",库存台账!$E495)</f>
        <v/>
      </c>
      <c r="F495" s="24">
        <f>IF($A495="","",库存台账!$F495)</f>
        <v/>
      </c>
      <c r="G495" s="17" t="n"/>
      <c r="H495" s="23" t="n"/>
      <c r="I495" s="27">
        <f>IF($A495="","",库存台账!$X495)</f>
        <v/>
      </c>
      <c r="J495" s="27">
        <f>IF(OR($A495="",$H495=""),"",ROUND($H495-$I495,3))</f>
        <v/>
      </c>
      <c r="K495" s="26">
        <f>IF($A495="","",库存台账!$K495)</f>
        <v/>
      </c>
      <c r="L495" s="26">
        <f>IF($J495="","",ROUND($J495*$K495,0))</f>
        <v/>
      </c>
      <c r="M495" s="37">
        <f>IF(OR($J495="",$I495=0),"",ROUND($J495/$I495,4))</f>
        <v/>
      </c>
      <c r="N495" s="17" t="n"/>
      <c r="O495" s="17" t="n"/>
      <c r="P495" s="24">
        <f>IF($J495="","未盘",IF(ROUND($J495,3)=0,"账实相符",IF(COUNTIFS(入库单!$G$4:$G$2503,$A495,入库单!$X$4:$X$2503,"盘盈",入库单!$C$4:$C$2503,"&gt;="&amp;账期起,入库单!$C$4:$C$2503,"&lt;="&amp;账期止)+COUNTIFS(出库单!$D$4:$D$4003,$A495,出库单!$K$4:$K$4003,"盘亏",出库单!$C$4:$C$4003,"&gt;="&amp;账期起,出库单!$C$4:$C$4003,"&lt;="&amp;账期止)&gt;0,"已调账","※差异还没调账")))</f>
        <v/>
      </c>
      <c r="Q495" s="17" t="n"/>
      <c r="R495" s="17" t="n"/>
    </row>
    <row r="496">
      <c r="A496" s="24">
        <f>IF(库存台账!$A496="","",库存台账!$A496)</f>
        <v/>
      </c>
      <c r="B496" s="24">
        <f>IF($A496="","",库存台账!$B496)</f>
        <v/>
      </c>
      <c r="C496" s="24">
        <f>IF($A496="","",库存台账!$C496)</f>
        <v/>
      </c>
      <c r="D496" s="24">
        <f>IF($A496="","",库存台账!$D496)</f>
        <v/>
      </c>
      <c r="E496" s="24">
        <f>IF($A496="","",库存台账!$E496)</f>
        <v/>
      </c>
      <c r="F496" s="24">
        <f>IF($A496="","",库存台账!$F496)</f>
        <v/>
      </c>
      <c r="G496" s="17" t="n"/>
      <c r="H496" s="23" t="n"/>
      <c r="I496" s="27">
        <f>IF($A496="","",库存台账!$X496)</f>
        <v/>
      </c>
      <c r="J496" s="27">
        <f>IF(OR($A496="",$H496=""),"",ROUND($H496-$I496,3))</f>
        <v/>
      </c>
      <c r="K496" s="26">
        <f>IF($A496="","",库存台账!$K496)</f>
        <v/>
      </c>
      <c r="L496" s="26">
        <f>IF($J496="","",ROUND($J496*$K496,0))</f>
        <v/>
      </c>
      <c r="M496" s="37">
        <f>IF(OR($J496="",$I496=0),"",ROUND($J496/$I496,4))</f>
        <v/>
      </c>
      <c r="N496" s="17" t="n"/>
      <c r="O496" s="17" t="n"/>
      <c r="P496" s="24">
        <f>IF($J496="","未盘",IF(ROUND($J496,3)=0,"账实相符",IF(COUNTIFS(入库单!$G$4:$G$2503,$A496,入库单!$X$4:$X$2503,"盘盈",入库单!$C$4:$C$2503,"&gt;="&amp;账期起,入库单!$C$4:$C$2503,"&lt;="&amp;账期止)+COUNTIFS(出库单!$D$4:$D$4003,$A496,出库单!$K$4:$K$4003,"盘亏",出库单!$C$4:$C$4003,"&gt;="&amp;账期起,出库单!$C$4:$C$4003,"&lt;="&amp;账期止)&gt;0,"已调账","※差异还没调账")))</f>
        <v/>
      </c>
      <c r="Q496" s="17" t="n"/>
      <c r="R496" s="17" t="n"/>
    </row>
    <row r="497">
      <c r="A497" s="24">
        <f>IF(库存台账!$A497="","",库存台账!$A497)</f>
        <v/>
      </c>
      <c r="B497" s="24">
        <f>IF($A497="","",库存台账!$B497)</f>
        <v/>
      </c>
      <c r="C497" s="24">
        <f>IF($A497="","",库存台账!$C497)</f>
        <v/>
      </c>
      <c r="D497" s="24">
        <f>IF($A497="","",库存台账!$D497)</f>
        <v/>
      </c>
      <c r="E497" s="24">
        <f>IF($A497="","",库存台账!$E497)</f>
        <v/>
      </c>
      <c r="F497" s="24">
        <f>IF($A497="","",库存台账!$F497)</f>
        <v/>
      </c>
      <c r="G497" s="17" t="n"/>
      <c r="H497" s="23" t="n"/>
      <c r="I497" s="27">
        <f>IF($A497="","",库存台账!$X497)</f>
        <v/>
      </c>
      <c r="J497" s="27">
        <f>IF(OR($A497="",$H497=""),"",ROUND($H497-$I497,3))</f>
        <v/>
      </c>
      <c r="K497" s="26">
        <f>IF($A497="","",库存台账!$K497)</f>
        <v/>
      </c>
      <c r="L497" s="26">
        <f>IF($J497="","",ROUND($J497*$K497,0))</f>
        <v/>
      </c>
      <c r="M497" s="37">
        <f>IF(OR($J497="",$I497=0),"",ROUND($J497/$I497,4))</f>
        <v/>
      </c>
      <c r="N497" s="17" t="n"/>
      <c r="O497" s="17" t="n"/>
      <c r="P497" s="24">
        <f>IF($J497="","未盘",IF(ROUND($J497,3)=0,"账实相符",IF(COUNTIFS(入库单!$G$4:$G$2503,$A497,入库单!$X$4:$X$2503,"盘盈",入库单!$C$4:$C$2503,"&gt;="&amp;账期起,入库单!$C$4:$C$2503,"&lt;="&amp;账期止)+COUNTIFS(出库单!$D$4:$D$4003,$A497,出库单!$K$4:$K$4003,"盘亏",出库单!$C$4:$C$4003,"&gt;="&amp;账期起,出库单!$C$4:$C$4003,"&lt;="&amp;账期止)&gt;0,"已调账","※差异还没调账")))</f>
        <v/>
      </c>
      <c r="Q497" s="17" t="n"/>
      <c r="R497" s="17" t="n"/>
    </row>
    <row r="498">
      <c r="A498" s="24">
        <f>IF(库存台账!$A498="","",库存台账!$A498)</f>
        <v/>
      </c>
      <c r="B498" s="24">
        <f>IF($A498="","",库存台账!$B498)</f>
        <v/>
      </c>
      <c r="C498" s="24">
        <f>IF($A498="","",库存台账!$C498)</f>
        <v/>
      </c>
      <c r="D498" s="24">
        <f>IF($A498="","",库存台账!$D498)</f>
        <v/>
      </c>
      <c r="E498" s="24">
        <f>IF($A498="","",库存台账!$E498)</f>
        <v/>
      </c>
      <c r="F498" s="24">
        <f>IF($A498="","",库存台账!$F498)</f>
        <v/>
      </c>
      <c r="G498" s="17" t="n"/>
      <c r="H498" s="23" t="n"/>
      <c r="I498" s="27">
        <f>IF($A498="","",库存台账!$X498)</f>
        <v/>
      </c>
      <c r="J498" s="27">
        <f>IF(OR($A498="",$H498=""),"",ROUND($H498-$I498,3))</f>
        <v/>
      </c>
      <c r="K498" s="26">
        <f>IF($A498="","",库存台账!$K498)</f>
        <v/>
      </c>
      <c r="L498" s="26">
        <f>IF($J498="","",ROUND($J498*$K498,0))</f>
        <v/>
      </c>
      <c r="M498" s="37">
        <f>IF(OR($J498="",$I498=0),"",ROUND($J498/$I498,4))</f>
        <v/>
      </c>
      <c r="N498" s="17" t="n"/>
      <c r="O498" s="17" t="n"/>
      <c r="P498" s="24">
        <f>IF($J498="","未盘",IF(ROUND($J498,3)=0,"账实相符",IF(COUNTIFS(入库单!$G$4:$G$2503,$A498,入库单!$X$4:$X$2503,"盘盈",入库单!$C$4:$C$2503,"&gt;="&amp;账期起,入库单!$C$4:$C$2503,"&lt;="&amp;账期止)+COUNTIFS(出库单!$D$4:$D$4003,$A498,出库单!$K$4:$K$4003,"盘亏",出库单!$C$4:$C$4003,"&gt;="&amp;账期起,出库单!$C$4:$C$4003,"&lt;="&amp;账期止)&gt;0,"已调账","※差异还没调账")))</f>
        <v/>
      </c>
      <c r="Q498" s="17" t="n"/>
      <c r="R498" s="17" t="n"/>
    </row>
    <row r="499">
      <c r="A499" s="24">
        <f>IF(库存台账!$A499="","",库存台账!$A499)</f>
        <v/>
      </c>
      <c r="B499" s="24">
        <f>IF($A499="","",库存台账!$B499)</f>
        <v/>
      </c>
      <c r="C499" s="24">
        <f>IF($A499="","",库存台账!$C499)</f>
        <v/>
      </c>
      <c r="D499" s="24">
        <f>IF($A499="","",库存台账!$D499)</f>
        <v/>
      </c>
      <c r="E499" s="24">
        <f>IF($A499="","",库存台账!$E499)</f>
        <v/>
      </c>
      <c r="F499" s="24">
        <f>IF($A499="","",库存台账!$F499)</f>
        <v/>
      </c>
      <c r="G499" s="17" t="n"/>
      <c r="H499" s="23" t="n"/>
      <c r="I499" s="27">
        <f>IF($A499="","",库存台账!$X499)</f>
        <v/>
      </c>
      <c r="J499" s="27">
        <f>IF(OR($A499="",$H499=""),"",ROUND($H499-$I499,3))</f>
        <v/>
      </c>
      <c r="K499" s="26">
        <f>IF($A499="","",库存台账!$K499)</f>
        <v/>
      </c>
      <c r="L499" s="26">
        <f>IF($J499="","",ROUND($J499*$K499,0))</f>
        <v/>
      </c>
      <c r="M499" s="37">
        <f>IF(OR($J499="",$I499=0),"",ROUND($J499/$I499,4))</f>
        <v/>
      </c>
      <c r="N499" s="17" t="n"/>
      <c r="O499" s="17" t="n"/>
      <c r="P499" s="24">
        <f>IF($J499="","未盘",IF(ROUND($J499,3)=0,"账实相符",IF(COUNTIFS(入库单!$G$4:$G$2503,$A499,入库单!$X$4:$X$2503,"盘盈",入库单!$C$4:$C$2503,"&gt;="&amp;账期起,入库单!$C$4:$C$2503,"&lt;="&amp;账期止)+COUNTIFS(出库单!$D$4:$D$4003,$A499,出库单!$K$4:$K$4003,"盘亏",出库单!$C$4:$C$4003,"&gt;="&amp;账期起,出库单!$C$4:$C$4003,"&lt;="&amp;账期止)&gt;0,"已调账","※差异还没调账")))</f>
        <v/>
      </c>
      <c r="Q499" s="17" t="n"/>
      <c r="R499" s="17" t="n"/>
    </row>
    <row r="500">
      <c r="A500" s="24">
        <f>IF(库存台账!$A500="","",库存台账!$A500)</f>
        <v/>
      </c>
      <c r="B500" s="24">
        <f>IF($A500="","",库存台账!$B500)</f>
        <v/>
      </c>
      <c r="C500" s="24">
        <f>IF($A500="","",库存台账!$C500)</f>
        <v/>
      </c>
      <c r="D500" s="24">
        <f>IF($A500="","",库存台账!$D500)</f>
        <v/>
      </c>
      <c r="E500" s="24">
        <f>IF($A500="","",库存台账!$E500)</f>
        <v/>
      </c>
      <c r="F500" s="24">
        <f>IF($A500="","",库存台账!$F500)</f>
        <v/>
      </c>
      <c r="G500" s="17" t="n"/>
      <c r="H500" s="23" t="n"/>
      <c r="I500" s="27">
        <f>IF($A500="","",库存台账!$X500)</f>
        <v/>
      </c>
      <c r="J500" s="27">
        <f>IF(OR($A500="",$H500=""),"",ROUND($H500-$I500,3))</f>
        <v/>
      </c>
      <c r="K500" s="26">
        <f>IF($A500="","",库存台账!$K500)</f>
        <v/>
      </c>
      <c r="L500" s="26">
        <f>IF($J500="","",ROUND($J500*$K500,0))</f>
        <v/>
      </c>
      <c r="M500" s="37">
        <f>IF(OR($J500="",$I500=0),"",ROUND($J500/$I500,4))</f>
        <v/>
      </c>
      <c r="N500" s="17" t="n"/>
      <c r="O500" s="17" t="n"/>
      <c r="P500" s="24">
        <f>IF($J500="","未盘",IF(ROUND($J500,3)=0,"账实相符",IF(COUNTIFS(入库单!$G$4:$G$2503,$A500,入库单!$X$4:$X$2503,"盘盈",入库单!$C$4:$C$2503,"&gt;="&amp;账期起,入库单!$C$4:$C$2503,"&lt;="&amp;账期止)+COUNTIFS(出库单!$D$4:$D$4003,$A500,出库单!$K$4:$K$4003,"盘亏",出库单!$C$4:$C$4003,"&gt;="&amp;账期起,出库单!$C$4:$C$4003,"&lt;="&amp;账期止)&gt;0,"已调账","※差异还没调账")))</f>
        <v/>
      </c>
      <c r="Q500" s="17" t="n"/>
      <c r="R500" s="17" t="n"/>
    </row>
    <row r="501">
      <c r="A501" s="24">
        <f>IF(库存台账!$A501="","",库存台账!$A501)</f>
        <v/>
      </c>
      <c r="B501" s="24">
        <f>IF($A501="","",库存台账!$B501)</f>
        <v/>
      </c>
      <c r="C501" s="24">
        <f>IF($A501="","",库存台账!$C501)</f>
        <v/>
      </c>
      <c r="D501" s="24">
        <f>IF($A501="","",库存台账!$D501)</f>
        <v/>
      </c>
      <c r="E501" s="24">
        <f>IF($A501="","",库存台账!$E501)</f>
        <v/>
      </c>
      <c r="F501" s="24">
        <f>IF($A501="","",库存台账!$F501)</f>
        <v/>
      </c>
      <c r="G501" s="17" t="n"/>
      <c r="H501" s="23" t="n"/>
      <c r="I501" s="27">
        <f>IF($A501="","",库存台账!$X501)</f>
        <v/>
      </c>
      <c r="J501" s="27">
        <f>IF(OR($A501="",$H501=""),"",ROUND($H501-$I501,3))</f>
        <v/>
      </c>
      <c r="K501" s="26">
        <f>IF($A501="","",库存台账!$K501)</f>
        <v/>
      </c>
      <c r="L501" s="26">
        <f>IF($J501="","",ROUND($J501*$K501,0))</f>
        <v/>
      </c>
      <c r="M501" s="37">
        <f>IF(OR($J501="",$I501=0),"",ROUND($J501/$I501,4))</f>
        <v/>
      </c>
      <c r="N501" s="17" t="n"/>
      <c r="O501" s="17" t="n"/>
      <c r="P501" s="24">
        <f>IF($J501="","未盘",IF(ROUND($J501,3)=0,"账实相符",IF(COUNTIFS(入库单!$G$4:$G$2503,$A501,入库单!$X$4:$X$2503,"盘盈",入库单!$C$4:$C$2503,"&gt;="&amp;账期起,入库单!$C$4:$C$2503,"&lt;="&amp;账期止)+COUNTIFS(出库单!$D$4:$D$4003,$A501,出库单!$K$4:$K$4003,"盘亏",出库单!$C$4:$C$4003,"&gt;="&amp;账期起,出库单!$C$4:$C$4003,"&lt;="&amp;账期止)&gt;0,"已调账","※差异还没调账")))</f>
        <v/>
      </c>
      <c r="Q501" s="17" t="n"/>
      <c r="R501" s="17" t="n"/>
    </row>
    <row r="502">
      <c r="A502" s="24">
        <f>IF(库存台账!$A502="","",库存台账!$A502)</f>
        <v/>
      </c>
      <c r="B502" s="24">
        <f>IF($A502="","",库存台账!$B502)</f>
        <v/>
      </c>
      <c r="C502" s="24">
        <f>IF($A502="","",库存台账!$C502)</f>
        <v/>
      </c>
      <c r="D502" s="24">
        <f>IF($A502="","",库存台账!$D502)</f>
        <v/>
      </c>
      <c r="E502" s="24">
        <f>IF($A502="","",库存台账!$E502)</f>
        <v/>
      </c>
      <c r="F502" s="24">
        <f>IF($A502="","",库存台账!$F502)</f>
        <v/>
      </c>
      <c r="G502" s="17" t="n"/>
      <c r="H502" s="23" t="n"/>
      <c r="I502" s="27">
        <f>IF($A502="","",库存台账!$X502)</f>
        <v/>
      </c>
      <c r="J502" s="27">
        <f>IF(OR($A502="",$H502=""),"",ROUND($H502-$I502,3))</f>
        <v/>
      </c>
      <c r="K502" s="26">
        <f>IF($A502="","",库存台账!$K502)</f>
        <v/>
      </c>
      <c r="L502" s="26">
        <f>IF($J502="","",ROUND($J502*$K502,0))</f>
        <v/>
      </c>
      <c r="M502" s="37">
        <f>IF(OR($J502="",$I502=0),"",ROUND($J502/$I502,4))</f>
        <v/>
      </c>
      <c r="N502" s="17" t="n"/>
      <c r="O502" s="17" t="n"/>
      <c r="P502" s="24">
        <f>IF($J502="","未盘",IF(ROUND($J502,3)=0,"账实相符",IF(COUNTIFS(入库单!$G$4:$G$2503,$A502,入库单!$X$4:$X$2503,"盘盈",入库单!$C$4:$C$2503,"&gt;="&amp;账期起,入库单!$C$4:$C$2503,"&lt;="&amp;账期止)+COUNTIFS(出库单!$D$4:$D$4003,$A502,出库单!$K$4:$K$4003,"盘亏",出库单!$C$4:$C$4003,"&gt;="&amp;账期起,出库单!$C$4:$C$4003,"&lt;="&amp;账期止)&gt;0,"已调账","※差异还没调账")))</f>
        <v/>
      </c>
      <c r="Q502" s="17" t="n"/>
      <c r="R502" s="17" t="n"/>
    </row>
    <row r="503">
      <c r="A503" s="24">
        <f>IF(库存台账!$A503="","",库存台账!$A503)</f>
        <v/>
      </c>
      <c r="B503" s="24">
        <f>IF($A503="","",库存台账!$B503)</f>
        <v/>
      </c>
      <c r="C503" s="24">
        <f>IF($A503="","",库存台账!$C503)</f>
        <v/>
      </c>
      <c r="D503" s="24">
        <f>IF($A503="","",库存台账!$D503)</f>
        <v/>
      </c>
      <c r="E503" s="24">
        <f>IF($A503="","",库存台账!$E503)</f>
        <v/>
      </c>
      <c r="F503" s="24">
        <f>IF($A503="","",库存台账!$F503)</f>
        <v/>
      </c>
      <c r="G503" s="17" t="n"/>
      <c r="H503" s="23" t="n"/>
      <c r="I503" s="27">
        <f>IF($A503="","",库存台账!$X503)</f>
        <v/>
      </c>
      <c r="J503" s="27">
        <f>IF(OR($A503="",$H503=""),"",ROUND($H503-$I503,3))</f>
        <v/>
      </c>
      <c r="K503" s="26">
        <f>IF($A503="","",库存台账!$K503)</f>
        <v/>
      </c>
      <c r="L503" s="26">
        <f>IF($J503="","",ROUND($J503*$K503,0))</f>
        <v/>
      </c>
      <c r="M503" s="37">
        <f>IF(OR($J503="",$I503=0),"",ROUND($J503/$I503,4))</f>
        <v/>
      </c>
      <c r="N503" s="17" t="n"/>
      <c r="O503" s="17" t="n"/>
      <c r="P503" s="24">
        <f>IF($J503="","未盘",IF(ROUND($J503,3)=0,"账实相符",IF(COUNTIFS(入库单!$G$4:$G$2503,$A503,入库单!$X$4:$X$2503,"盘盈",入库单!$C$4:$C$2503,"&gt;="&amp;账期起,入库单!$C$4:$C$2503,"&lt;="&amp;账期止)+COUNTIFS(出库单!$D$4:$D$4003,$A503,出库单!$K$4:$K$4003,"盘亏",出库单!$C$4:$C$4003,"&gt;="&amp;账期起,出库单!$C$4:$C$4003,"&lt;="&amp;账期止)&gt;0,"已调账","※差异还没调账")))</f>
        <v/>
      </c>
      <c r="Q503" s="17" t="n"/>
      <c r="R503" s="17" t="n"/>
    </row>
    <row r="504">
      <c r="A504" s="24">
        <f>IF(库存台账!$A504="","",库存台账!$A504)</f>
        <v/>
      </c>
      <c r="B504" s="24">
        <f>IF($A504="","",库存台账!$B504)</f>
        <v/>
      </c>
      <c r="C504" s="24">
        <f>IF($A504="","",库存台账!$C504)</f>
        <v/>
      </c>
      <c r="D504" s="24">
        <f>IF($A504="","",库存台账!$D504)</f>
        <v/>
      </c>
      <c r="E504" s="24">
        <f>IF($A504="","",库存台账!$E504)</f>
        <v/>
      </c>
      <c r="F504" s="24">
        <f>IF($A504="","",库存台账!$F504)</f>
        <v/>
      </c>
      <c r="G504" s="17" t="n"/>
      <c r="H504" s="23" t="n"/>
      <c r="I504" s="27">
        <f>IF($A504="","",库存台账!$X504)</f>
        <v/>
      </c>
      <c r="J504" s="27">
        <f>IF(OR($A504="",$H504=""),"",ROUND($H504-$I504,3))</f>
        <v/>
      </c>
      <c r="K504" s="26">
        <f>IF($A504="","",库存台账!$K504)</f>
        <v/>
      </c>
      <c r="L504" s="26">
        <f>IF($J504="","",ROUND($J504*$K504,0))</f>
        <v/>
      </c>
      <c r="M504" s="37">
        <f>IF(OR($J504="",$I504=0),"",ROUND($J504/$I504,4))</f>
        <v/>
      </c>
      <c r="N504" s="17" t="n"/>
      <c r="O504" s="17" t="n"/>
      <c r="P504" s="24">
        <f>IF($J504="","未盘",IF(ROUND($J504,3)=0,"账实相符",IF(COUNTIFS(入库单!$G$4:$G$2503,$A504,入库单!$X$4:$X$2503,"盘盈",入库单!$C$4:$C$2503,"&gt;="&amp;账期起,入库单!$C$4:$C$2503,"&lt;="&amp;账期止)+COUNTIFS(出库单!$D$4:$D$4003,$A504,出库单!$K$4:$K$4003,"盘亏",出库单!$C$4:$C$4003,"&gt;="&amp;账期起,出库单!$C$4:$C$4003,"&lt;="&amp;账期止)&gt;0,"已调账","※差异还没调账")))</f>
        <v/>
      </c>
      <c r="Q504" s="17" t="n"/>
      <c r="R504" s="17" t="n"/>
    </row>
    <row r="505">
      <c r="A505" s="24">
        <f>IF(库存台账!$A505="","",库存台账!$A505)</f>
        <v/>
      </c>
      <c r="B505" s="24">
        <f>IF($A505="","",库存台账!$B505)</f>
        <v/>
      </c>
      <c r="C505" s="24">
        <f>IF($A505="","",库存台账!$C505)</f>
        <v/>
      </c>
      <c r="D505" s="24">
        <f>IF($A505="","",库存台账!$D505)</f>
        <v/>
      </c>
      <c r="E505" s="24">
        <f>IF($A505="","",库存台账!$E505)</f>
        <v/>
      </c>
      <c r="F505" s="24">
        <f>IF($A505="","",库存台账!$F505)</f>
        <v/>
      </c>
      <c r="G505" s="17" t="n"/>
      <c r="H505" s="23" t="n"/>
      <c r="I505" s="27">
        <f>IF($A505="","",库存台账!$X505)</f>
        <v/>
      </c>
      <c r="J505" s="27">
        <f>IF(OR($A505="",$H505=""),"",ROUND($H505-$I505,3))</f>
        <v/>
      </c>
      <c r="K505" s="26">
        <f>IF($A505="","",库存台账!$K505)</f>
        <v/>
      </c>
      <c r="L505" s="26">
        <f>IF($J505="","",ROUND($J505*$K505,0))</f>
        <v/>
      </c>
      <c r="M505" s="37">
        <f>IF(OR($J505="",$I505=0),"",ROUND($J505/$I505,4))</f>
        <v/>
      </c>
      <c r="N505" s="17" t="n"/>
      <c r="O505" s="17" t="n"/>
      <c r="P505" s="24">
        <f>IF($J505="","未盘",IF(ROUND($J505,3)=0,"账实相符",IF(COUNTIFS(入库单!$G$4:$G$2503,$A505,入库单!$X$4:$X$2503,"盘盈",入库单!$C$4:$C$2503,"&gt;="&amp;账期起,入库单!$C$4:$C$2503,"&lt;="&amp;账期止)+COUNTIFS(出库单!$D$4:$D$4003,$A505,出库单!$K$4:$K$4003,"盘亏",出库单!$C$4:$C$4003,"&gt;="&amp;账期起,出库单!$C$4:$C$4003,"&lt;="&amp;账期止)&gt;0,"已调账","※差异还没调账")))</f>
        <v/>
      </c>
      <c r="Q505" s="17" t="n"/>
      <c r="R505" s="17" t="n"/>
    </row>
    <row r="506">
      <c r="A506" s="24">
        <f>IF(库存台账!$A506="","",库存台账!$A506)</f>
        <v/>
      </c>
      <c r="B506" s="24">
        <f>IF($A506="","",库存台账!$B506)</f>
        <v/>
      </c>
      <c r="C506" s="24">
        <f>IF($A506="","",库存台账!$C506)</f>
        <v/>
      </c>
      <c r="D506" s="24">
        <f>IF($A506="","",库存台账!$D506)</f>
        <v/>
      </c>
      <c r="E506" s="24">
        <f>IF($A506="","",库存台账!$E506)</f>
        <v/>
      </c>
      <c r="F506" s="24">
        <f>IF($A506="","",库存台账!$F506)</f>
        <v/>
      </c>
      <c r="G506" s="17" t="n"/>
      <c r="H506" s="23" t="n"/>
      <c r="I506" s="27">
        <f>IF($A506="","",库存台账!$X506)</f>
        <v/>
      </c>
      <c r="J506" s="27">
        <f>IF(OR($A506="",$H506=""),"",ROUND($H506-$I506,3))</f>
        <v/>
      </c>
      <c r="K506" s="26">
        <f>IF($A506="","",库存台账!$K506)</f>
        <v/>
      </c>
      <c r="L506" s="26">
        <f>IF($J506="","",ROUND($J506*$K506,0))</f>
        <v/>
      </c>
      <c r="M506" s="37">
        <f>IF(OR($J506="",$I506=0),"",ROUND($J506/$I506,4))</f>
        <v/>
      </c>
      <c r="N506" s="17" t="n"/>
      <c r="O506" s="17" t="n"/>
      <c r="P506" s="24">
        <f>IF($J506="","未盘",IF(ROUND($J506,3)=0,"账实相符",IF(COUNTIFS(入库单!$G$4:$G$2503,$A506,入库单!$X$4:$X$2503,"盘盈",入库单!$C$4:$C$2503,"&gt;="&amp;账期起,入库单!$C$4:$C$2503,"&lt;="&amp;账期止)+COUNTIFS(出库单!$D$4:$D$4003,$A506,出库单!$K$4:$K$4003,"盘亏",出库单!$C$4:$C$4003,"&gt;="&amp;账期起,出库单!$C$4:$C$4003,"&lt;="&amp;账期止)&gt;0,"已调账","※差异还没调账")))</f>
        <v/>
      </c>
      <c r="Q506" s="17" t="n"/>
      <c r="R506" s="17" t="n"/>
    </row>
    <row r="507">
      <c r="A507" s="24">
        <f>IF(库存台账!$A507="","",库存台账!$A507)</f>
        <v/>
      </c>
      <c r="B507" s="24">
        <f>IF($A507="","",库存台账!$B507)</f>
        <v/>
      </c>
      <c r="C507" s="24">
        <f>IF($A507="","",库存台账!$C507)</f>
        <v/>
      </c>
      <c r="D507" s="24">
        <f>IF($A507="","",库存台账!$D507)</f>
        <v/>
      </c>
      <c r="E507" s="24">
        <f>IF($A507="","",库存台账!$E507)</f>
        <v/>
      </c>
      <c r="F507" s="24">
        <f>IF($A507="","",库存台账!$F507)</f>
        <v/>
      </c>
      <c r="G507" s="17" t="n"/>
      <c r="H507" s="23" t="n"/>
      <c r="I507" s="27">
        <f>IF($A507="","",库存台账!$X507)</f>
        <v/>
      </c>
      <c r="J507" s="27">
        <f>IF(OR($A507="",$H507=""),"",ROUND($H507-$I507,3))</f>
        <v/>
      </c>
      <c r="K507" s="26">
        <f>IF($A507="","",库存台账!$K507)</f>
        <v/>
      </c>
      <c r="L507" s="26">
        <f>IF($J507="","",ROUND($J507*$K507,0))</f>
        <v/>
      </c>
      <c r="M507" s="37">
        <f>IF(OR($J507="",$I507=0),"",ROUND($J507/$I507,4))</f>
        <v/>
      </c>
      <c r="N507" s="17" t="n"/>
      <c r="O507" s="17" t="n"/>
      <c r="P507" s="24">
        <f>IF($J507="","未盘",IF(ROUND($J507,3)=0,"账实相符",IF(COUNTIFS(入库单!$G$4:$G$2503,$A507,入库单!$X$4:$X$2503,"盘盈",入库单!$C$4:$C$2503,"&gt;="&amp;账期起,入库单!$C$4:$C$2503,"&lt;="&amp;账期止)+COUNTIFS(出库单!$D$4:$D$4003,$A507,出库单!$K$4:$K$4003,"盘亏",出库单!$C$4:$C$4003,"&gt;="&amp;账期起,出库单!$C$4:$C$4003,"&lt;="&amp;账期止)&gt;0,"已调账","※差异还没调账")))</f>
        <v/>
      </c>
      <c r="Q507" s="17" t="n"/>
      <c r="R507" s="17" t="n"/>
    </row>
    <row r="508">
      <c r="A508" s="24">
        <f>IF(库存台账!$A508="","",库存台账!$A508)</f>
        <v/>
      </c>
      <c r="B508" s="24">
        <f>IF($A508="","",库存台账!$B508)</f>
        <v/>
      </c>
      <c r="C508" s="24">
        <f>IF($A508="","",库存台账!$C508)</f>
        <v/>
      </c>
      <c r="D508" s="24">
        <f>IF($A508="","",库存台账!$D508)</f>
        <v/>
      </c>
      <c r="E508" s="24">
        <f>IF($A508="","",库存台账!$E508)</f>
        <v/>
      </c>
      <c r="F508" s="24">
        <f>IF($A508="","",库存台账!$F508)</f>
        <v/>
      </c>
      <c r="G508" s="17" t="n"/>
      <c r="H508" s="23" t="n"/>
      <c r="I508" s="27">
        <f>IF($A508="","",库存台账!$X508)</f>
        <v/>
      </c>
      <c r="J508" s="27">
        <f>IF(OR($A508="",$H508=""),"",ROUND($H508-$I508,3))</f>
        <v/>
      </c>
      <c r="K508" s="26">
        <f>IF($A508="","",库存台账!$K508)</f>
        <v/>
      </c>
      <c r="L508" s="26">
        <f>IF($J508="","",ROUND($J508*$K508,0))</f>
        <v/>
      </c>
      <c r="M508" s="37">
        <f>IF(OR($J508="",$I508=0),"",ROUND($J508/$I508,4))</f>
        <v/>
      </c>
      <c r="N508" s="17" t="n"/>
      <c r="O508" s="17" t="n"/>
      <c r="P508" s="24">
        <f>IF($J508="","未盘",IF(ROUND($J508,3)=0,"账实相符",IF(COUNTIFS(入库单!$G$4:$G$2503,$A508,入库单!$X$4:$X$2503,"盘盈",入库单!$C$4:$C$2503,"&gt;="&amp;账期起,入库单!$C$4:$C$2503,"&lt;="&amp;账期止)+COUNTIFS(出库单!$D$4:$D$4003,$A508,出库单!$K$4:$K$4003,"盘亏",出库单!$C$4:$C$4003,"&gt;="&amp;账期起,出库单!$C$4:$C$4003,"&lt;="&amp;账期止)&gt;0,"已调账","※差异还没调账")))</f>
        <v/>
      </c>
      <c r="Q508" s="17" t="n"/>
      <c r="R508" s="17" t="n"/>
    </row>
    <row r="509">
      <c r="A509" s="24">
        <f>IF(库存台账!$A509="","",库存台账!$A509)</f>
        <v/>
      </c>
      <c r="B509" s="24">
        <f>IF($A509="","",库存台账!$B509)</f>
        <v/>
      </c>
      <c r="C509" s="24">
        <f>IF($A509="","",库存台账!$C509)</f>
        <v/>
      </c>
      <c r="D509" s="24">
        <f>IF($A509="","",库存台账!$D509)</f>
        <v/>
      </c>
      <c r="E509" s="24">
        <f>IF($A509="","",库存台账!$E509)</f>
        <v/>
      </c>
      <c r="F509" s="24">
        <f>IF($A509="","",库存台账!$F509)</f>
        <v/>
      </c>
      <c r="G509" s="17" t="n"/>
      <c r="H509" s="23" t="n"/>
      <c r="I509" s="27">
        <f>IF($A509="","",库存台账!$X509)</f>
        <v/>
      </c>
      <c r="J509" s="27">
        <f>IF(OR($A509="",$H509=""),"",ROUND($H509-$I509,3))</f>
        <v/>
      </c>
      <c r="K509" s="26">
        <f>IF($A509="","",库存台账!$K509)</f>
        <v/>
      </c>
      <c r="L509" s="26">
        <f>IF($J509="","",ROUND($J509*$K509,0))</f>
        <v/>
      </c>
      <c r="M509" s="37">
        <f>IF(OR($J509="",$I509=0),"",ROUND($J509/$I509,4))</f>
        <v/>
      </c>
      <c r="N509" s="17" t="n"/>
      <c r="O509" s="17" t="n"/>
      <c r="P509" s="24">
        <f>IF($J509="","未盘",IF(ROUND($J509,3)=0,"账实相符",IF(COUNTIFS(入库单!$G$4:$G$2503,$A509,入库单!$X$4:$X$2503,"盘盈",入库单!$C$4:$C$2503,"&gt;="&amp;账期起,入库单!$C$4:$C$2503,"&lt;="&amp;账期止)+COUNTIFS(出库单!$D$4:$D$4003,$A509,出库单!$K$4:$K$4003,"盘亏",出库单!$C$4:$C$4003,"&gt;="&amp;账期起,出库单!$C$4:$C$4003,"&lt;="&amp;账期止)&gt;0,"已调账","※差异还没调账")))</f>
        <v/>
      </c>
      <c r="Q509" s="17" t="n"/>
      <c r="R509" s="17" t="n"/>
    </row>
    <row r="510">
      <c r="A510" s="24">
        <f>IF(库存台账!$A510="","",库存台账!$A510)</f>
        <v/>
      </c>
      <c r="B510" s="24">
        <f>IF($A510="","",库存台账!$B510)</f>
        <v/>
      </c>
      <c r="C510" s="24">
        <f>IF($A510="","",库存台账!$C510)</f>
        <v/>
      </c>
      <c r="D510" s="24">
        <f>IF($A510="","",库存台账!$D510)</f>
        <v/>
      </c>
      <c r="E510" s="24">
        <f>IF($A510="","",库存台账!$E510)</f>
        <v/>
      </c>
      <c r="F510" s="24">
        <f>IF($A510="","",库存台账!$F510)</f>
        <v/>
      </c>
      <c r="G510" s="17" t="n"/>
      <c r="H510" s="23" t="n"/>
      <c r="I510" s="27">
        <f>IF($A510="","",库存台账!$X510)</f>
        <v/>
      </c>
      <c r="J510" s="27">
        <f>IF(OR($A510="",$H510=""),"",ROUND($H510-$I510,3))</f>
        <v/>
      </c>
      <c r="K510" s="26">
        <f>IF($A510="","",库存台账!$K510)</f>
        <v/>
      </c>
      <c r="L510" s="26">
        <f>IF($J510="","",ROUND($J510*$K510,0))</f>
        <v/>
      </c>
      <c r="M510" s="37">
        <f>IF(OR($J510="",$I510=0),"",ROUND($J510/$I510,4))</f>
        <v/>
      </c>
      <c r="N510" s="17" t="n"/>
      <c r="O510" s="17" t="n"/>
      <c r="P510" s="24">
        <f>IF($J510="","未盘",IF(ROUND($J510,3)=0,"账实相符",IF(COUNTIFS(入库单!$G$4:$G$2503,$A510,入库单!$X$4:$X$2503,"盘盈",入库单!$C$4:$C$2503,"&gt;="&amp;账期起,入库单!$C$4:$C$2503,"&lt;="&amp;账期止)+COUNTIFS(出库单!$D$4:$D$4003,$A510,出库单!$K$4:$K$4003,"盘亏",出库单!$C$4:$C$4003,"&gt;="&amp;账期起,出库单!$C$4:$C$4003,"&lt;="&amp;账期止)&gt;0,"已调账","※差异还没调账")))</f>
        <v/>
      </c>
      <c r="Q510" s="17" t="n"/>
      <c r="R510" s="17" t="n"/>
    </row>
    <row r="511">
      <c r="A511" s="24">
        <f>IF(库存台账!$A511="","",库存台账!$A511)</f>
        <v/>
      </c>
      <c r="B511" s="24">
        <f>IF($A511="","",库存台账!$B511)</f>
        <v/>
      </c>
      <c r="C511" s="24">
        <f>IF($A511="","",库存台账!$C511)</f>
        <v/>
      </c>
      <c r="D511" s="24">
        <f>IF($A511="","",库存台账!$D511)</f>
        <v/>
      </c>
      <c r="E511" s="24">
        <f>IF($A511="","",库存台账!$E511)</f>
        <v/>
      </c>
      <c r="F511" s="24">
        <f>IF($A511="","",库存台账!$F511)</f>
        <v/>
      </c>
      <c r="G511" s="17" t="n"/>
      <c r="H511" s="23" t="n"/>
      <c r="I511" s="27">
        <f>IF($A511="","",库存台账!$X511)</f>
        <v/>
      </c>
      <c r="J511" s="27">
        <f>IF(OR($A511="",$H511=""),"",ROUND($H511-$I511,3))</f>
        <v/>
      </c>
      <c r="K511" s="26">
        <f>IF($A511="","",库存台账!$K511)</f>
        <v/>
      </c>
      <c r="L511" s="26">
        <f>IF($J511="","",ROUND($J511*$K511,0))</f>
        <v/>
      </c>
      <c r="M511" s="37">
        <f>IF(OR($J511="",$I511=0),"",ROUND($J511/$I511,4))</f>
        <v/>
      </c>
      <c r="N511" s="17" t="n"/>
      <c r="O511" s="17" t="n"/>
      <c r="P511" s="24">
        <f>IF($J511="","未盘",IF(ROUND($J511,3)=0,"账实相符",IF(COUNTIFS(入库单!$G$4:$G$2503,$A511,入库单!$X$4:$X$2503,"盘盈",入库单!$C$4:$C$2503,"&gt;="&amp;账期起,入库单!$C$4:$C$2503,"&lt;="&amp;账期止)+COUNTIFS(出库单!$D$4:$D$4003,$A511,出库单!$K$4:$K$4003,"盘亏",出库单!$C$4:$C$4003,"&gt;="&amp;账期起,出库单!$C$4:$C$4003,"&lt;="&amp;账期止)&gt;0,"已调账","※差异还没调账")))</f>
        <v/>
      </c>
      <c r="Q511" s="17" t="n"/>
      <c r="R511" s="17" t="n"/>
    </row>
    <row r="512">
      <c r="A512" s="24">
        <f>IF(库存台账!$A512="","",库存台账!$A512)</f>
        <v/>
      </c>
      <c r="B512" s="24">
        <f>IF($A512="","",库存台账!$B512)</f>
        <v/>
      </c>
      <c r="C512" s="24">
        <f>IF($A512="","",库存台账!$C512)</f>
        <v/>
      </c>
      <c r="D512" s="24">
        <f>IF($A512="","",库存台账!$D512)</f>
        <v/>
      </c>
      <c r="E512" s="24">
        <f>IF($A512="","",库存台账!$E512)</f>
        <v/>
      </c>
      <c r="F512" s="24">
        <f>IF($A512="","",库存台账!$F512)</f>
        <v/>
      </c>
      <c r="G512" s="17" t="n"/>
      <c r="H512" s="23" t="n"/>
      <c r="I512" s="27">
        <f>IF($A512="","",库存台账!$X512)</f>
        <v/>
      </c>
      <c r="J512" s="27">
        <f>IF(OR($A512="",$H512=""),"",ROUND($H512-$I512,3))</f>
        <v/>
      </c>
      <c r="K512" s="26">
        <f>IF($A512="","",库存台账!$K512)</f>
        <v/>
      </c>
      <c r="L512" s="26">
        <f>IF($J512="","",ROUND($J512*$K512,0))</f>
        <v/>
      </c>
      <c r="M512" s="37">
        <f>IF(OR($J512="",$I512=0),"",ROUND($J512/$I512,4))</f>
        <v/>
      </c>
      <c r="N512" s="17" t="n"/>
      <c r="O512" s="17" t="n"/>
      <c r="P512" s="24">
        <f>IF($J512="","未盘",IF(ROUND($J512,3)=0,"账实相符",IF(COUNTIFS(入库单!$G$4:$G$2503,$A512,入库单!$X$4:$X$2503,"盘盈",入库单!$C$4:$C$2503,"&gt;="&amp;账期起,入库单!$C$4:$C$2503,"&lt;="&amp;账期止)+COUNTIFS(出库单!$D$4:$D$4003,$A512,出库单!$K$4:$K$4003,"盘亏",出库单!$C$4:$C$4003,"&gt;="&amp;账期起,出库单!$C$4:$C$4003,"&lt;="&amp;账期止)&gt;0,"已调账","※差异还没调账")))</f>
        <v/>
      </c>
      <c r="Q512" s="17" t="n"/>
      <c r="R512" s="17" t="n"/>
    </row>
    <row r="513">
      <c r="A513" s="24">
        <f>IF(库存台账!$A513="","",库存台账!$A513)</f>
        <v/>
      </c>
      <c r="B513" s="24">
        <f>IF($A513="","",库存台账!$B513)</f>
        <v/>
      </c>
      <c r="C513" s="24">
        <f>IF($A513="","",库存台账!$C513)</f>
        <v/>
      </c>
      <c r="D513" s="24">
        <f>IF($A513="","",库存台账!$D513)</f>
        <v/>
      </c>
      <c r="E513" s="24">
        <f>IF($A513="","",库存台账!$E513)</f>
        <v/>
      </c>
      <c r="F513" s="24">
        <f>IF($A513="","",库存台账!$F513)</f>
        <v/>
      </c>
      <c r="G513" s="17" t="n"/>
      <c r="H513" s="23" t="n"/>
      <c r="I513" s="27">
        <f>IF($A513="","",库存台账!$X513)</f>
        <v/>
      </c>
      <c r="J513" s="27">
        <f>IF(OR($A513="",$H513=""),"",ROUND($H513-$I513,3))</f>
        <v/>
      </c>
      <c r="K513" s="26">
        <f>IF($A513="","",库存台账!$K513)</f>
        <v/>
      </c>
      <c r="L513" s="26">
        <f>IF($J513="","",ROUND($J513*$K513,0))</f>
        <v/>
      </c>
      <c r="M513" s="37">
        <f>IF(OR($J513="",$I513=0),"",ROUND($J513/$I513,4))</f>
        <v/>
      </c>
      <c r="N513" s="17" t="n"/>
      <c r="O513" s="17" t="n"/>
      <c r="P513" s="24">
        <f>IF($J513="","未盘",IF(ROUND($J513,3)=0,"账实相符",IF(COUNTIFS(入库单!$G$4:$G$2503,$A513,入库单!$X$4:$X$2503,"盘盈",入库单!$C$4:$C$2503,"&gt;="&amp;账期起,入库单!$C$4:$C$2503,"&lt;="&amp;账期止)+COUNTIFS(出库单!$D$4:$D$4003,$A513,出库单!$K$4:$K$4003,"盘亏",出库单!$C$4:$C$4003,"&gt;="&amp;账期起,出库单!$C$4:$C$4003,"&lt;="&amp;账期止)&gt;0,"已调账","※差异还没调账")))</f>
        <v/>
      </c>
      <c r="Q513" s="17" t="n"/>
      <c r="R513" s="17" t="n"/>
    </row>
    <row r="514">
      <c r="A514" s="24">
        <f>IF(库存台账!$A514="","",库存台账!$A514)</f>
        <v/>
      </c>
      <c r="B514" s="24">
        <f>IF($A514="","",库存台账!$B514)</f>
        <v/>
      </c>
      <c r="C514" s="24">
        <f>IF($A514="","",库存台账!$C514)</f>
        <v/>
      </c>
      <c r="D514" s="24">
        <f>IF($A514="","",库存台账!$D514)</f>
        <v/>
      </c>
      <c r="E514" s="24">
        <f>IF($A514="","",库存台账!$E514)</f>
        <v/>
      </c>
      <c r="F514" s="24">
        <f>IF($A514="","",库存台账!$F514)</f>
        <v/>
      </c>
      <c r="G514" s="17" t="n"/>
      <c r="H514" s="23" t="n"/>
      <c r="I514" s="27">
        <f>IF($A514="","",库存台账!$X514)</f>
        <v/>
      </c>
      <c r="J514" s="27">
        <f>IF(OR($A514="",$H514=""),"",ROUND($H514-$I514,3))</f>
        <v/>
      </c>
      <c r="K514" s="26">
        <f>IF($A514="","",库存台账!$K514)</f>
        <v/>
      </c>
      <c r="L514" s="26">
        <f>IF($J514="","",ROUND($J514*$K514,0))</f>
        <v/>
      </c>
      <c r="M514" s="37">
        <f>IF(OR($J514="",$I514=0),"",ROUND($J514/$I514,4))</f>
        <v/>
      </c>
      <c r="N514" s="17" t="n"/>
      <c r="O514" s="17" t="n"/>
      <c r="P514" s="24">
        <f>IF($J514="","未盘",IF(ROUND($J514,3)=0,"账实相符",IF(COUNTIFS(入库单!$G$4:$G$2503,$A514,入库单!$X$4:$X$2503,"盘盈",入库单!$C$4:$C$2503,"&gt;="&amp;账期起,入库单!$C$4:$C$2503,"&lt;="&amp;账期止)+COUNTIFS(出库单!$D$4:$D$4003,$A514,出库单!$K$4:$K$4003,"盘亏",出库单!$C$4:$C$4003,"&gt;="&amp;账期起,出库单!$C$4:$C$4003,"&lt;="&amp;账期止)&gt;0,"已调账","※差异还没调账")))</f>
        <v/>
      </c>
      <c r="Q514" s="17" t="n"/>
      <c r="R514" s="17" t="n"/>
    </row>
    <row r="515">
      <c r="A515" s="24">
        <f>IF(库存台账!$A515="","",库存台账!$A515)</f>
        <v/>
      </c>
      <c r="B515" s="24">
        <f>IF($A515="","",库存台账!$B515)</f>
        <v/>
      </c>
      <c r="C515" s="24">
        <f>IF($A515="","",库存台账!$C515)</f>
        <v/>
      </c>
      <c r="D515" s="24">
        <f>IF($A515="","",库存台账!$D515)</f>
        <v/>
      </c>
      <c r="E515" s="24">
        <f>IF($A515="","",库存台账!$E515)</f>
        <v/>
      </c>
      <c r="F515" s="24">
        <f>IF($A515="","",库存台账!$F515)</f>
        <v/>
      </c>
      <c r="G515" s="17" t="n"/>
      <c r="H515" s="23" t="n"/>
      <c r="I515" s="27">
        <f>IF($A515="","",库存台账!$X515)</f>
        <v/>
      </c>
      <c r="J515" s="27">
        <f>IF(OR($A515="",$H515=""),"",ROUND($H515-$I515,3))</f>
        <v/>
      </c>
      <c r="K515" s="26">
        <f>IF($A515="","",库存台账!$K515)</f>
        <v/>
      </c>
      <c r="L515" s="26">
        <f>IF($J515="","",ROUND($J515*$K515,0))</f>
        <v/>
      </c>
      <c r="M515" s="37">
        <f>IF(OR($J515="",$I515=0),"",ROUND($J515/$I515,4))</f>
        <v/>
      </c>
      <c r="N515" s="17" t="n"/>
      <c r="O515" s="17" t="n"/>
      <c r="P515" s="24">
        <f>IF($J515="","未盘",IF(ROUND($J515,3)=0,"账实相符",IF(COUNTIFS(入库单!$G$4:$G$2503,$A515,入库单!$X$4:$X$2503,"盘盈",入库单!$C$4:$C$2503,"&gt;="&amp;账期起,入库单!$C$4:$C$2503,"&lt;="&amp;账期止)+COUNTIFS(出库单!$D$4:$D$4003,$A515,出库单!$K$4:$K$4003,"盘亏",出库单!$C$4:$C$4003,"&gt;="&amp;账期起,出库单!$C$4:$C$4003,"&lt;="&amp;账期止)&gt;0,"已调账","※差异还没调账")))</f>
        <v/>
      </c>
      <c r="Q515" s="17" t="n"/>
      <c r="R515" s="17" t="n"/>
    </row>
    <row r="516">
      <c r="A516" s="24">
        <f>IF(库存台账!$A516="","",库存台账!$A516)</f>
        <v/>
      </c>
      <c r="B516" s="24">
        <f>IF($A516="","",库存台账!$B516)</f>
        <v/>
      </c>
      <c r="C516" s="24">
        <f>IF($A516="","",库存台账!$C516)</f>
        <v/>
      </c>
      <c r="D516" s="24">
        <f>IF($A516="","",库存台账!$D516)</f>
        <v/>
      </c>
      <c r="E516" s="24">
        <f>IF($A516="","",库存台账!$E516)</f>
        <v/>
      </c>
      <c r="F516" s="24">
        <f>IF($A516="","",库存台账!$F516)</f>
        <v/>
      </c>
      <c r="G516" s="17" t="n"/>
      <c r="H516" s="23" t="n"/>
      <c r="I516" s="27">
        <f>IF($A516="","",库存台账!$X516)</f>
        <v/>
      </c>
      <c r="J516" s="27">
        <f>IF(OR($A516="",$H516=""),"",ROUND($H516-$I516,3))</f>
        <v/>
      </c>
      <c r="K516" s="26">
        <f>IF($A516="","",库存台账!$K516)</f>
        <v/>
      </c>
      <c r="L516" s="26">
        <f>IF($J516="","",ROUND($J516*$K516,0))</f>
        <v/>
      </c>
      <c r="M516" s="37">
        <f>IF(OR($J516="",$I516=0),"",ROUND($J516/$I516,4))</f>
        <v/>
      </c>
      <c r="N516" s="17" t="n"/>
      <c r="O516" s="17" t="n"/>
      <c r="P516" s="24">
        <f>IF($J516="","未盘",IF(ROUND($J516,3)=0,"账实相符",IF(COUNTIFS(入库单!$G$4:$G$2503,$A516,入库单!$X$4:$X$2503,"盘盈",入库单!$C$4:$C$2503,"&gt;="&amp;账期起,入库单!$C$4:$C$2503,"&lt;="&amp;账期止)+COUNTIFS(出库单!$D$4:$D$4003,$A516,出库单!$K$4:$K$4003,"盘亏",出库单!$C$4:$C$4003,"&gt;="&amp;账期起,出库单!$C$4:$C$4003,"&lt;="&amp;账期止)&gt;0,"已调账","※差异还没调账")))</f>
        <v/>
      </c>
      <c r="Q516" s="17" t="n"/>
      <c r="R516" s="17" t="n"/>
    </row>
    <row r="517">
      <c r="A517" s="24">
        <f>IF(库存台账!$A517="","",库存台账!$A517)</f>
        <v/>
      </c>
      <c r="B517" s="24">
        <f>IF($A517="","",库存台账!$B517)</f>
        <v/>
      </c>
      <c r="C517" s="24">
        <f>IF($A517="","",库存台账!$C517)</f>
        <v/>
      </c>
      <c r="D517" s="24">
        <f>IF($A517="","",库存台账!$D517)</f>
        <v/>
      </c>
      <c r="E517" s="24">
        <f>IF($A517="","",库存台账!$E517)</f>
        <v/>
      </c>
      <c r="F517" s="24">
        <f>IF($A517="","",库存台账!$F517)</f>
        <v/>
      </c>
      <c r="G517" s="17" t="n"/>
      <c r="H517" s="23" t="n"/>
      <c r="I517" s="27">
        <f>IF($A517="","",库存台账!$X517)</f>
        <v/>
      </c>
      <c r="J517" s="27">
        <f>IF(OR($A517="",$H517=""),"",ROUND($H517-$I517,3))</f>
        <v/>
      </c>
      <c r="K517" s="26">
        <f>IF($A517="","",库存台账!$K517)</f>
        <v/>
      </c>
      <c r="L517" s="26">
        <f>IF($J517="","",ROUND($J517*$K517,0))</f>
        <v/>
      </c>
      <c r="M517" s="37">
        <f>IF(OR($J517="",$I517=0),"",ROUND($J517/$I517,4))</f>
        <v/>
      </c>
      <c r="N517" s="17" t="n"/>
      <c r="O517" s="17" t="n"/>
      <c r="P517" s="24">
        <f>IF($J517="","未盘",IF(ROUND($J517,3)=0,"账实相符",IF(COUNTIFS(入库单!$G$4:$G$2503,$A517,入库单!$X$4:$X$2503,"盘盈",入库单!$C$4:$C$2503,"&gt;="&amp;账期起,入库单!$C$4:$C$2503,"&lt;="&amp;账期止)+COUNTIFS(出库单!$D$4:$D$4003,$A517,出库单!$K$4:$K$4003,"盘亏",出库单!$C$4:$C$4003,"&gt;="&amp;账期起,出库单!$C$4:$C$4003,"&lt;="&amp;账期止)&gt;0,"已调账","※差异还没调账")))</f>
        <v/>
      </c>
      <c r="Q517" s="17" t="n"/>
      <c r="R517" s="17" t="n"/>
    </row>
    <row r="518">
      <c r="A518" s="24">
        <f>IF(库存台账!$A518="","",库存台账!$A518)</f>
        <v/>
      </c>
      <c r="B518" s="24">
        <f>IF($A518="","",库存台账!$B518)</f>
        <v/>
      </c>
      <c r="C518" s="24">
        <f>IF($A518="","",库存台账!$C518)</f>
        <v/>
      </c>
      <c r="D518" s="24">
        <f>IF($A518="","",库存台账!$D518)</f>
        <v/>
      </c>
      <c r="E518" s="24">
        <f>IF($A518="","",库存台账!$E518)</f>
        <v/>
      </c>
      <c r="F518" s="24">
        <f>IF($A518="","",库存台账!$F518)</f>
        <v/>
      </c>
      <c r="G518" s="17" t="n"/>
      <c r="H518" s="23" t="n"/>
      <c r="I518" s="27">
        <f>IF($A518="","",库存台账!$X518)</f>
        <v/>
      </c>
      <c r="J518" s="27">
        <f>IF(OR($A518="",$H518=""),"",ROUND($H518-$I518,3))</f>
        <v/>
      </c>
      <c r="K518" s="26">
        <f>IF($A518="","",库存台账!$K518)</f>
        <v/>
      </c>
      <c r="L518" s="26">
        <f>IF($J518="","",ROUND($J518*$K518,0))</f>
        <v/>
      </c>
      <c r="M518" s="37">
        <f>IF(OR($J518="",$I518=0),"",ROUND($J518/$I518,4))</f>
        <v/>
      </c>
      <c r="N518" s="17" t="n"/>
      <c r="O518" s="17" t="n"/>
      <c r="P518" s="24">
        <f>IF($J518="","未盘",IF(ROUND($J518,3)=0,"账实相符",IF(COUNTIFS(入库单!$G$4:$G$2503,$A518,入库单!$X$4:$X$2503,"盘盈",入库单!$C$4:$C$2503,"&gt;="&amp;账期起,入库单!$C$4:$C$2503,"&lt;="&amp;账期止)+COUNTIFS(出库单!$D$4:$D$4003,$A518,出库单!$K$4:$K$4003,"盘亏",出库单!$C$4:$C$4003,"&gt;="&amp;账期起,出库单!$C$4:$C$4003,"&lt;="&amp;账期止)&gt;0,"已调账","※差异还没调账")))</f>
        <v/>
      </c>
      <c r="Q518" s="17" t="n"/>
      <c r="R518" s="17" t="n"/>
    </row>
    <row r="519">
      <c r="A519" s="24">
        <f>IF(库存台账!$A519="","",库存台账!$A519)</f>
        <v/>
      </c>
      <c r="B519" s="24">
        <f>IF($A519="","",库存台账!$B519)</f>
        <v/>
      </c>
      <c r="C519" s="24">
        <f>IF($A519="","",库存台账!$C519)</f>
        <v/>
      </c>
      <c r="D519" s="24">
        <f>IF($A519="","",库存台账!$D519)</f>
        <v/>
      </c>
      <c r="E519" s="24">
        <f>IF($A519="","",库存台账!$E519)</f>
        <v/>
      </c>
      <c r="F519" s="24">
        <f>IF($A519="","",库存台账!$F519)</f>
        <v/>
      </c>
      <c r="G519" s="17" t="n"/>
      <c r="H519" s="23" t="n"/>
      <c r="I519" s="27">
        <f>IF($A519="","",库存台账!$X519)</f>
        <v/>
      </c>
      <c r="J519" s="27">
        <f>IF(OR($A519="",$H519=""),"",ROUND($H519-$I519,3))</f>
        <v/>
      </c>
      <c r="K519" s="26">
        <f>IF($A519="","",库存台账!$K519)</f>
        <v/>
      </c>
      <c r="L519" s="26">
        <f>IF($J519="","",ROUND($J519*$K519,0))</f>
        <v/>
      </c>
      <c r="M519" s="37">
        <f>IF(OR($J519="",$I519=0),"",ROUND($J519/$I519,4))</f>
        <v/>
      </c>
      <c r="N519" s="17" t="n"/>
      <c r="O519" s="17" t="n"/>
      <c r="P519" s="24">
        <f>IF($J519="","未盘",IF(ROUND($J519,3)=0,"账实相符",IF(COUNTIFS(入库单!$G$4:$G$2503,$A519,入库单!$X$4:$X$2503,"盘盈",入库单!$C$4:$C$2503,"&gt;="&amp;账期起,入库单!$C$4:$C$2503,"&lt;="&amp;账期止)+COUNTIFS(出库单!$D$4:$D$4003,$A519,出库单!$K$4:$K$4003,"盘亏",出库单!$C$4:$C$4003,"&gt;="&amp;账期起,出库单!$C$4:$C$4003,"&lt;="&amp;账期止)&gt;0,"已调账","※差异还没调账")))</f>
        <v/>
      </c>
      <c r="Q519" s="17" t="n"/>
      <c r="R519" s="17" t="n"/>
    </row>
    <row r="520">
      <c r="A520" s="24">
        <f>IF(库存台账!$A520="","",库存台账!$A520)</f>
        <v/>
      </c>
      <c r="B520" s="24">
        <f>IF($A520="","",库存台账!$B520)</f>
        <v/>
      </c>
      <c r="C520" s="24">
        <f>IF($A520="","",库存台账!$C520)</f>
        <v/>
      </c>
      <c r="D520" s="24">
        <f>IF($A520="","",库存台账!$D520)</f>
        <v/>
      </c>
      <c r="E520" s="24">
        <f>IF($A520="","",库存台账!$E520)</f>
        <v/>
      </c>
      <c r="F520" s="24">
        <f>IF($A520="","",库存台账!$F520)</f>
        <v/>
      </c>
      <c r="G520" s="17" t="n"/>
      <c r="H520" s="23" t="n"/>
      <c r="I520" s="27">
        <f>IF($A520="","",库存台账!$X520)</f>
        <v/>
      </c>
      <c r="J520" s="27">
        <f>IF(OR($A520="",$H520=""),"",ROUND($H520-$I520,3))</f>
        <v/>
      </c>
      <c r="K520" s="26">
        <f>IF($A520="","",库存台账!$K520)</f>
        <v/>
      </c>
      <c r="L520" s="26">
        <f>IF($J520="","",ROUND($J520*$K520,0))</f>
        <v/>
      </c>
      <c r="M520" s="37">
        <f>IF(OR($J520="",$I520=0),"",ROUND($J520/$I520,4))</f>
        <v/>
      </c>
      <c r="N520" s="17" t="n"/>
      <c r="O520" s="17" t="n"/>
      <c r="P520" s="24">
        <f>IF($J520="","未盘",IF(ROUND($J520,3)=0,"账实相符",IF(COUNTIFS(入库单!$G$4:$G$2503,$A520,入库单!$X$4:$X$2503,"盘盈",入库单!$C$4:$C$2503,"&gt;="&amp;账期起,入库单!$C$4:$C$2503,"&lt;="&amp;账期止)+COUNTIFS(出库单!$D$4:$D$4003,$A520,出库单!$K$4:$K$4003,"盘亏",出库单!$C$4:$C$4003,"&gt;="&amp;账期起,出库单!$C$4:$C$4003,"&lt;="&amp;账期止)&gt;0,"已调账","※差异还没调账")))</f>
        <v/>
      </c>
      <c r="Q520" s="17" t="n"/>
      <c r="R520" s="17" t="n"/>
    </row>
    <row r="521">
      <c r="A521" s="24">
        <f>IF(库存台账!$A521="","",库存台账!$A521)</f>
        <v/>
      </c>
      <c r="B521" s="24">
        <f>IF($A521="","",库存台账!$B521)</f>
        <v/>
      </c>
      <c r="C521" s="24">
        <f>IF($A521="","",库存台账!$C521)</f>
        <v/>
      </c>
      <c r="D521" s="24">
        <f>IF($A521="","",库存台账!$D521)</f>
        <v/>
      </c>
      <c r="E521" s="24">
        <f>IF($A521="","",库存台账!$E521)</f>
        <v/>
      </c>
      <c r="F521" s="24">
        <f>IF($A521="","",库存台账!$F521)</f>
        <v/>
      </c>
      <c r="G521" s="17" t="n"/>
      <c r="H521" s="23" t="n"/>
      <c r="I521" s="27">
        <f>IF($A521="","",库存台账!$X521)</f>
        <v/>
      </c>
      <c r="J521" s="27">
        <f>IF(OR($A521="",$H521=""),"",ROUND($H521-$I521,3))</f>
        <v/>
      </c>
      <c r="K521" s="26">
        <f>IF($A521="","",库存台账!$K521)</f>
        <v/>
      </c>
      <c r="L521" s="26">
        <f>IF($J521="","",ROUND($J521*$K521,0))</f>
        <v/>
      </c>
      <c r="M521" s="37">
        <f>IF(OR($J521="",$I521=0),"",ROUND($J521/$I521,4))</f>
        <v/>
      </c>
      <c r="N521" s="17" t="n"/>
      <c r="O521" s="17" t="n"/>
      <c r="P521" s="24">
        <f>IF($J521="","未盘",IF(ROUND($J521,3)=0,"账实相符",IF(COUNTIFS(入库单!$G$4:$G$2503,$A521,入库单!$X$4:$X$2503,"盘盈",入库单!$C$4:$C$2503,"&gt;="&amp;账期起,入库单!$C$4:$C$2503,"&lt;="&amp;账期止)+COUNTIFS(出库单!$D$4:$D$4003,$A521,出库单!$K$4:$K$4003,"盘亏",出库单!$C$4:$C$4003,"&gt;="&amp;账期起,出库单!$C$4:$C$4003,"&lt;="&amp;账期止)&gt;0,"已调账","※差异还没调账")))</f>
        <v/>
      </c>
      <c r="Q521" s="17" t="n"/>
      <c r="R521" s="17" t="n"/>
    </row>
    <row r="522">
      <c r="A522" s="24">
        <f>IF(库存台账!$A522="","",库存台账!$A522)</f>
        <v/>
      </c>
      <c r="B522" s="24">
        <f>IF($A522="","",库存台账!$B522)</f>
        <v/>
      </c>
      <c r="C522" s="24">
        <f>IF($A522="","",库存台账!$C522)</f>
        <v/>
      </c>
      <c r="D522" s="24">
        <f>IF($A522="","",库存台账!$D522)</f>
        <v/>
      </c>
      <c r="E522" s="24">
        <f>IF($A522="","",库存台账!$E522)</f>
        <v/>
      </c>
      <c r="F522" s="24">
        <f>IF($A522="","",库存台账!$F522)</f>
        <v/>
      </c>
      <c r="G522" s="17" t="n"/>
      <c r="H522" s="23" t="n"/>
      <c r="I522" s="27">
        <f>IF($A522="","",库存台账!$X522)</f>
        <v/>
      </c>
      <c r="J522" s="27">
        <f>IF(OR($A522="",$H522=""),"",ROUND($H522-$I522,3))</f>
        <v/>
      </c>
      <c r="K522" s="26">
        <f>IF($A522="","",库存台账!$K522)</f>
        <v/>
      </c>
      <c r="L522" s="26">
        <f>IF($J522="","",ROUND($J522*$K522,0))</f>
        <v/>
      </c>
      <c r="M522" s="37">
        <f>IF(OR($J522="",$I522=0),"",ROUND($J522/$I522,4))</f>
        <v/>
      </c>
      <c r="N522" s="17" t="n"/>
      <c r="O522" s="17" t="n"/>
      <c r="P522" s="24">
        <f>IF($J522="","未盘",IF(ROUND($J522,3)=0,"账实相符",IF(COUNTIFS(入库单!$G$4:$G$2503,$A522,入库单!$X$4:$X$2503,"盘盈",入库单!$C$4:$C$2503,"&gt;="&amp;账期起,入库单!$C$4:$C$2503,"&lt;="&amp;账期止)+COUNTIFS(出库单!$D$4:$D$4003,$A522,出库单!$K$4:$K$4003,"盘亏",出库单!$C$4:$C$4003,"&gt;="&amp;账期起,出库单!$C$4:$C$4003,"&lt;="&amp;账期止)&gt;0,"已调账","※差异还没调账")))</f>
        <v/>
      </c>
      <c r="Q522" s="17" t="n"/>
      <c r="R522" s="17" t="n"/>
    </row>
    <row r="523">
      <c r="A523" s="24">
        <f>IF(库存台账!$A523="","",库存台账!$A523)</f>
        <v/>
      </c>
      <c r="B523" s="24">
        <f>IF($A523="","",库存台账!$B523)</f>
        <v/>
      </c>
      <c r="C523" s="24">
        <f>IF($A523="","",库存台账!$C523)</f>
        <v/>
      </c>
      <c r="D523" s="24">
        <f>IF($A523="","",库存台账!$D523)</f>
        <v/>
      </c>
      <c r="E523" s="24">
        <f>IF($A523="","",库存台账!$E523)</f>
        <v/>
      </c>
      <c r="F523" s="24">
        <f>IF($A523="","",库存台账!$F523)</f>
        <v/>
      </c>
      <c r="G523" s="17" t="n"/>
      <c r="H523" s="23" t="n"/>
      <c r="I523" s="27">
        <f>IF($A523="","",库存台账!$X523)</f>
        <v/>
      </c>
      <c r="J523" s="27">
        <f>IF(OR($A523="",$H523=""),"",ROUND($H523-$I523,3))</f>
        <v/>
      </c>
      <c r="K523" s="26">
        <f>IF($A523="","",库存台账!$K523)</f>
        <v/>
      </c>
      <c r="L523" s="26">
        <f>IF($J523="","",ROUND($J523*$K523,0))</f>
        <v/>
      </c>
      <c r="M523" s="37">
        <f>IF(OR($J523="",$I523=0),"",ROUND($J523/$I523,4))</f>
        <v/>
      </c>
      <c r="N523" s="17" t="n"/>
      <c r="O523" s="17" t="n"/>
      <c r="P523" s="24">
        <f>IF($J523="","未盘",IF(ROUND($J523,3)=0,"账实相符",IF(COUNTIFS(入库单!$G$4:$G$2503,$A523,入库单!$X$4:$X$2503,"盘盈",入库单!$C$4:$C$2503,"&gt;="&amp;账期起,入库单!$C$4:$C$2503,"&lt;="&amp;账期止)+COUNTIFS(出库单!$D$4:$D$4003,$A523,出库单!$K$4:$K$4003,"盘亏",出库单!$C$4:$C$4003,"&gt;="&amp;账期起,出库单!$C$4:$C$4003,"&lt;="&amp;账期止)&gt;0,"已调账","※差异还没调账")))</f>
        <v/>
      </c>
      <c r="Q523" s="17" t="n"/>
      <c r="R523" s="17" t="n"/>
    </row>
    <row r="524">
      <c r="A524" s="24">
        <f>IF(库存台账!$A524="","",库存台账!$A524)</f>
        <v/>
      </c>
      <c r="B524" s="24">
        <f>IF($A524="","",库存台账!$B524)</f>
        <v/>
      </c>
      <c r="C524" s="24">
        <f>IF($A524="","",库存台账!$C524)</f>
        <v/>
      </c>
      <c r="D524" s="24">
        <f>IF($A524="","",库存台账!$D524)</f>
        <v/>
      </c>
      <c r="E524" s="24">
        <f>IF($A524="","",库存台账!$E524)</f>
        <v/>
      </c>
      <c r="F524" s="24">
        <f>IF($A524="","",库存台账!$F524)</f>
        <v/>
      </c>
      <c r="G524" s="17" t="n"/>
      <c r="H524" s="23" t="n"/>
      <c r="I524" s="27">
        <f>IF($A524="","",库存台账!$X524)</f>
        <v/>
      </c>
      <c r="J524" s="27">
        <f>IF(OR($A524="",$H524=""),"",ROUND($H524-$I524,3))</f>
        <v/>
      </c>
      <c r="K524" s="26">
        <f>IF($A524="","",库存台账!$K524)</f>
        <v/>
      </c>
      <c r="L524" s="26">
        <f>IF($J524="","",ROUND($J524*$K524,0))</f>
        <v/>
      </c>
      <c r="M524" s="37">
        <f>IF(OR($J524="",$I524=0),"",ROUND($J524/$I524,4))</f>
        <v/>
      </c>
      <c r="N524" s="17" t="n"/>
      <c r="O524" s="17" t="n"/>
      <c r="P524" s="24">
        <f>IF($J524="","未盘",IF(ROUND($J524,3)=0,"账实相符",IF(COUNTIFS(入库单!$G$4:$G$2503,$A524,入库单!$X$4:$X$2503,"盘盈",入库单!$C$4:$C$2503,"&gt;="&amp;账期起,入库单!$C$4:$C$2503,"&lt;="&amp;账期止)+COUNTIFS(出库单!$D$4:$D$4003,$A524,出库单!$K$4:$K$4003,"盘亏",出库单!$C$4:$C$4003,"&gt;="&amp;账期起,出库单!$C$4:$C$4003,"&lt;="&amp;账期止)&gt;0,"已调账","※差异还没调账")))</f>
        <v/>
      </c>
      <c r="Q524" s="17" t="n"/>
      <c r="R524" s="17" t="n"/>
    </row>
    <row r="525">
      <c r="A525" s="24">
        <f>IF(库存台账!$A525="","",库存台账!$A525)</f>
        <v/>
      </c>
      <c r="B525" s="24">
        <f>IF($A525="","",库存台账!$B525)</f>
        <v/>
      </c>
      <c r="C525" s="24">
        <f>IF($A525="","",库存台账!$C525)</f>
        <v/>
      </c>
      <c r="D525" s="24">
        <f>IF($A525="","",库存台账!$D525)</f>
        <v/>
      </c>
      <c r="E525" s="24">
        <f>IF($A525="","",库存台账!$E525)</f>
        <v/>
      </c>
      <c r="F525" s="24">
        <f>IF($A525="","",库存台账!$F525)</f>
        <v/>
      </c>
      <c r="G525" s="17" t="n"/>
      <c r="H525" s="23" t="n"/>
      <c r="I525" s="27">
        <f>IF($A525="","",库存台账!$X525)</f>
        <v/>
      </c>
      <c r="J525" s="27">
        <f>IF(OR($A525="",$H525=""),"",ROUND($H525-$I525,3))</f>
        <v/>
      </c>
      <c r="K525" s="26">
        <f>IF($A525="","",库存台账!$K525)</f>
        <v/>
      </c>
      <c r="L525" s="26">
        <f>IF($J525="","",ROUND($J525*$K525,0))</f>
        <v/>
      </c>
      <c r="M525" s="37">
        <f>IF(OR($J525="",$I525=0),"",ROUND($J525/$I525,4))</f>
        <v/>
      </c>
      <c r="N525" s="17" t="n"/>
      <c r="O525" s="17" t="n"/>
      <c r="P525" s="24">
        <f>IF($J525="","未盘",IF(ROUND($J525,3)=0,"账实相符",IF(COUNTIFS(入库单!$G$4:$G$2503,$A525,入库单!$X$4:$X$2503,"盘盈",入库单!$C$4:$C$2503,"&gt;="&amp;账期起,入库单!$C$4:$C$2503,"&lt;="&amp;账期止)+COUNTIFS(出库单!$D$4:$D$4003,$A525,出库单!$K$4:$K$4003,"盘亏",出库单!$C$4:$C$4003,"&gt;="&amp;账期起,出库单!$C$4:$C$4003,"&lt;="&amp;账期止)&gt;0,"已调账","※差异还没调账")))</f>
        <v/>
      </c>
      <c r="Q525" s="17" t="n"/>
      <c r="R525" s="17" t="n"/>
    </row>
    <row r="526">
      <c r="A526" s="24">
        <f>IF(库存台账!$A526="","",库存台账!$A526)</f>
        <v/>
      </c>
      <c r="B526" s="24">
        <f>IF($A526="","",库存台账!$B526)</f>
        <v/>
      </c>
      <c r="C526" s="24">
        <f>IF($A526="","",库存台账!$C526)</f>
        <v/>
      </c>
      <c r="D526" s="24">
        <f>IF($A526="","",库存台账!$D526)</f>
        <v/>
      </c>
      <c r="E526" s="24">
        <f>IF($A526="","",库存台账!$E526)</f>
        <v/>
      </c>
      <c r="F526" s="24">
        <f>IF($A526="","",库存台账!$F526)</f>
        <v/>
      </c>
      <c r="G526" s="17" t="n"/>
      <c r="H526" s="23" t="n"/>
      <c r="I526" s="27">
        <f>IF($A526="","",库存台账!$X526)</f>
        <v/>
      </c>
      <c r="J526" s="27">
        <f>IF(OR($A526="",$H526=""),"",ROUND($H526-$I526,3))</f>
        <v/>
      </c>
      <c r="K526" s="26">
        <f>IF($A526="","",库存台账!$K526)</f>
        <v/>
      </c>
      <c r="L526" s="26">
        <f>IF($J526="","",ROUND($J526*$K526,0))</f>
        <v/>
      </c>
      <c r="M526" s="37">
        <f>IF(OR($J526="",$I526=0),"",ROUND($J526/$I526,4))</f>
        <v/>
      </c>
      <c r="N526" s="17" t="n"/>
      <c r="O526" s="17" t="n"/>
      <c r="P526" s="24">
        <f>IF($J526="","未盘",IF(ROUND($J526,3)=0,"账实相符",IF(COUNTIFS(入库单!$G$4:$G$2503,$A526,入库单!$X$4:$X$2503,"盘盈",入库单!$C$4:$C$2503,"&gt;="&amp;账期起,入库单!$C$4:$C$2503,"&lt;="&amp;账期止)+COUNTIFS(出库单!$D$4:$D$4003,$A526,出库单!$K$4:$K$4003,"盘亏",出库单!$C$4:$C$4003,"&gt;="&amp;账期起,出库单!$C$4:$C$4003,"&lt;="&amp;账期止)&gt;0,"已调账","※差异还没调账")))</f>
        <v/>
      </c>
      <c r="Q526" s="17" t="n"/>
      <c r="R526" s="17" t="n"/>
    </row>
    <row r="527">
      <c r="A527" s="24">
        <f>IF(库存台账!$A527="","",库存台账!$A527)</f>
        <v/>
      </c>
      <c r="B527" s="24">
        <f>IF($A527="","",库存台账!$B527)</f>
        <v/>
      </c>
      <c r="C527" s="24">
        <f>IF($A527="","",库存台账!$C527)</f>
        <v/>
      </c>
      <c r="D527" s="24">
        <f>IF($A527="","",库存台账!$D527)</f>
        <v/>
      </c>
      <c r="E527" s="24">
        <f>IF($A527="","",库存台账!$E527)</f>
        <v/>
      </c>
      <c r="F527" s="24">
        <f>IF($A527="","",库存台账!$F527)</f>
        <v/>
      </c>
      <c r="G527" s="17" t="n"/>
      <c r="H527" s="23" t="n"/>
      <c r="I527" s="27">
        <f>IF($A527="","",库存台账!$X527)</f>
        <v/>
      </c>
      <c r="J527" s="27">
        <f>IF(OR($A527="",$H527=""),"",ROUND($H527-$I527,3))</f>
        <v/>
      </c>
      <c r="K527" s="26">
        <f>IF($A527="","",库存台账!$K527)</f>
        <v/>
      </c>
      <c r="L527" s="26">
        <f>IF($J527="","",ROUND($J527*$K527,0))</f>
        <v/>
      </c>
      <c r="M527" s="37">
        <f>IF(OR($J527="",$I527=0),"",ROUND($J527/$I527,4))</f>
        <v/>
      </c>
      <c r="N527" s="17" t="n"/>
      <c r="O527" s="17" t="n"/>
      <c r="P527" s="24">
        <f>IF($J527="","未盘",IF(ROUND($J527,3)=0,"账实相符",IF(COUNTIFS(入库单!$G$4:$G$2503,$A527,入库单!$X$4:$X$2503,"盘盈",入库单!$C$4:$C$2503,"&gt;="&amp;账期起,入库单!$C$4:$C$2503,"&lt;="&amp;账期止)+COUNTIFS(出库单!$D$4:$D$4003,$A527,出库单!$K$4:$K$4003,"盘亏",出库单!$C$4:$C$4003,"&gt;="&amp;账期起,出库单!$C$4:$C$4003,"&lt;="&amp;账期止)&gt;0,"已调账","※差异还没调账")))</f>
        <v/>
      </c>
      <c r="Q527" s="17" t="n"/>
      <c r="R527" s="17" t="n"/>
    </row>
    <row r="528">
      <c r="A528" s="24">
        <f>IF(库存台账!$A528="","",库存台账!$A528)</f>
        <v/>
      </c>
      <c r="B528" s="24">
        <f>IF($A528="","",库存台账!$B528)</f>
        <v/>
      </c>
      <c r="C528" s="24">
        <f>IF($A528="","",库存台账!$C528)</f>
        <v/>
      </c>
      <c r="D528" s="24">
        <f>IF($A528="","",库存台账!$D528)</f>
        <v/>
      </c>
      <c r="E528" s="24">
        <f>IF($A528="","",库存台账!$E528)</f>
        <v/>
      </c>
      <c r="F528" s="24">
        <f>IF($A528="","",库存台账!$F528)</f>
        <v/>
      </c>
      <c r="G528" s="17" t="n"/>
      <c r="H528" s="23" t="n"/>
      <c r="I528" s="27">
        <f>IF($A528="","",库存台账!$X528)</f>
        <v/>
      </c>
      <c r="J528" s="27">
        <f>IF(OR($A528="",$H528=""),"",ROUND($H528-$I528,3))</f>
        <v/>
      </c>
      <c r="K528" s="26">
        <f>IF($A528="","",库存台账!$K528)</f>
        <v/>
      </c>
      <c r="L528" s="26">
        <f>IF($J528="","",ROUND($J528*$K528,0))</f>
        <v/>
      </c>
      <c r="M528" s="37">
        <f>IF(OR($J528="",$I528=0),"",ROUND($J528/$I528,4))</f>
        <v/>
      </c>
      <c r="N528" s="17" t="n"/>
      <c r="O528" s="17" t="n"/>
      <c r="P528" s="24">
        <f>IF($J528="","未盘",IF(ROUND($J528,3)=0,"账实相符",IF(COUNTIFS(入库单!$G$4:$G$2503,$A528,入库单!$X$4:$X$2503,"盘盈",入库单!$C$4:$C$2503,"&gt;="&amp;账期起,入库单!$C$4:$C$2503,"&lt;="&amp;账期止)+COUNTIFS(出库单!$D$4:$D$4003,$A528,出库单!$K$4:$K$4003,"盘亏",出库单!$C$4:$C$4003,"&gt;="&amp;账期起,出库单!$C$4:$C$4003,"&lt;="&amp;账期止)&gt;0,"已调账","※差异还没调账")))</f>
        <v/>
      </c>
      <c r="Q528" s="17" t="n"/>
      <c r="R528" s="17" t="n"/>
    </row>
    <row r="529">
      <c r="A529" s="24">
        <f>IF(库存台账!$A529="","",库存台账!$A529)</f>
        <v/>
      </c>
      <c r="B529" s="24">
        <f>IF($A529="","",库存台账!$B529)</f>
        <v/>
      </c>
      <c r="C529" s="24">
        <f>IF($A529="","",库存台账!$C529)</f>
        <v/>
      </c>
      <c r="D529" s="24">
        <f>IF($A529="","",库存台账!$D529)</f>
        <v/>
      </c>
      <c r="E529" s="24">
        <f>IF($A529="","",库存台账!$E529)</f>
        <v/>
      </c>
      <c r="F529" s="24">
        <f>IF($A529="","",库存台账!$F529)</f>
        <v/>
      </c>
      <c r="G529" s="17" t="n"/>
      <c r="H529" s="23" t="n"/>
      <c r="I529" s="27">
        <f>IF($A529="","",库存台账!$X529)</f>
        <v/>
      </c>
      <c r="J529" s="27">
        <f>IF(OR($A529="",$H529=""),"",ROUND($H529-$I529,3))</f>
        <v/>
      </c>
      <c r="K529" s="26">
        <f>IF($A529="","",库存台账!$K529)</f>
        <v/>
      </c>
      <c r="L529" s="26">
        <f>IF($J529="","",ROUND($J529*$K529,0))</f>
        <v/>
      </c>
      <c r="M529" s="37">
        <f>IF(OR($J529="",$I529=0),"",ROUND($J529/$I529,4))</f>
        <v/>
      </c>
      <c r="N529" s="17" t="n"/>
      <c r="O529" s="17" t="n"/>
      <c r="P529" s="24">
        <f>IF($J529="","未盘",IF(ROUND($J529,3)=0,"账实相符",IF(COUNTIFS(入库单!$G$4:$G$2503,$A529,入库单!$X$4:$X$2503,"盘盈",入库单!$C$4:$C$2503,"&gt;="&amp;账期起,入库单!$C$4:$C$2503,"&lt;="&amp;账期止)+COUNTIFS(出库单!$D$4:$D$4003,$A529,出库单!$K$4:$K$4003,"盘亏",出库单!$C$4:$C$4003,"&gt;="&amp;账期起,出库单!$C$4:$C$4003,"&lt;="&amp;账期止)&gt;0,"已调账","※差异还没调账")))</f>
        <v/>
      </c>
      <c r="Q529" s="17" t="n"/>
      <c r="R529" s="17" t="n"/>
    </row>
    <row r="530">
      <c r="A530" s="24">
        <f>IF(库存台账!$A530="","",库存台账!$A530)</f>
        <v/>
      </c>
      <c r="B530" s="24">
        <f>IF($A530="","",库存台账!$B530)</f>
        <v/>
      </c>
      <c r="C530" s="24">
        <f>IF($A530="","",库存台账!$C530)</f>
        <v/>
      </c>
      <c r="D530" s="24">
        <f>IF($A530="","",库存台账!$D530)</f>
        <v/>
      </c>
      <c r="E530" s="24">
        <f>IF($A530="","",库存台账!$E530)</f>
        <v/>
      </c>
      <c r="F530" s="24">
        <f>IF($A530="","",库存台账!$F530)</f>
        <v/>
      </c>
      <c r="G530" s="17" t="n"/>
      <c r="H530" s="23" t="n"/>
      <c r="I530" s="27">
        <f>IF($A530="","",库存台账!$X530)</f>
        <v/>
      </c>
      <c r="J530" s="27">
        <f>IF(OR($A530="",$H530=""),"",ROUND($H530-$I530,3))</f>
        <v/>
      </c>
      <c r="K530" s="26">
        <f>IF($A530="","",库存台账!$K530)</f>
        <v/>
      </c>
      <c r="L530" s="26">
        <f>IF($J530="","",ROUND($J530*$K530,0))</f>
        <v/>
      </c>
      <c r="M530" s="37">
        <f>IF(OR($J530="",$I530=0),"",ROUND($J530/$I530,4))</f>
        <v/>
      </c>
      <c r="N530" s="17" t="n"/>
      <c r="O530" s="17" t="n"/>
      <c r="P530" s="24">
        <f>IF($J530="","未盘",IF(ROUND($J530,3)=0,"账实相符",IF(COUNTIFS(入库单!$G$4:$G$2503,$A530,入库单!$X$4:$X$2503,"盘盈",入库单!$C$4:$C$2503,"&gt;="&amp;账期起,入库单!$C$4:$C$2503,"&lt;="&amp;账期止)+COUNTIFS(出库单!$D$4:$D$4003,$A530,出库单!$K$4:$K$4003,"盘亏",出库单!$C$4:$C$4003,"&gt;="&amp;账期起,出库单!$C$4:$C$4003,"&lt;="&amp;账期止)&gt;0,"已调账","※差异还没调账")))</f>
        <v/>
      </c>
      <c r="Q530" s="17" t="n"/>
      <c r="R530" s="17" t="n"/>
    </row>
    <row r="531">
      <c r="A531" s="24">
        <f>IF(库存台账!$A531="","",库存台账!$A531)</f>
        <v/>
      </c>
      <c r="B531" s="24">
        <f>IF($A531="","",库存台账!$B531)</f>
        <v/>
      </c>
      <c r="C531" s="24">
        <f>IF($A531="","",库存台账!$C531)</f>
        <v/>
      </c>
      <c r="D531" s="24">
        <f>IF($A531="","",库存台账!$D531)</f>
        <v/>
      </c>
      <c r="E531" s="24">
        <f>IF($A531="","",库存台账!$E531)</f>
        <v/>
      </c>
      <c r="F531" s="24">
        <f>IF($A531="","",库存台账!$F531)</f>
        <v/>
      </c>
      <c r="G531" s="17" t="n"/>
      <c r="H531" s="23" t="n"/>
      <c r="I531" s="27">
        <f>IF($A531="","",库存台账!$X531)</f>
        <v/>
      </c>
      <c r="J531" s="27">
        <f>IF(OR($A531="",$H531=""),"",ROUND($H531-$I531,3))</f>
        <v/>
      </c>
      <c r="K531" s="26">
        <f>IF($A531="","",库存台账!$K531)</f>
        <v/>
      </c>
      <c r="L531" s="26">
        <f>IF($J531="","",ROUND($J531*$K531,0))</f>
        <v/>
      </c>
      <c r="M531" s="37">
        <f>IF(OR($J531="",$I531=0),"",ROUND($J531/$I531,4))</f>
        <v/>
      </c>
      <c r="N531" s="17" t="n"/>
      <c r="O531" s="17" t="n"/>
      <c r="P531" s="24">
        <f>IF($J531="","未盘",IF(ROUND($J531,3)=0,"账实相符",IF(COUNTIFS(入库单!$G$4:$G$2503,$A531,入库单!$X$4:$X$2503,"盘盈",入库单!$C$4:$C$2503,"&gt;="&amp;账期起,入库单!$C$4:$C$2503,"&lt;="&amp;账期止)+COUNTIFS(出库单!$D$4:$D$4003,$A531,出库单!$K$4:$K$4003,"盘亏",出库单!$C$4:$C$4003,"&gt;="&amp;账期起,出库单!$C$4:$C$4003,"&lt;="&amp;账期止)&gt;0,"已调账","※差异还没调账")))</f>
        <v/>
      </c>
      <c r="Q531" s="17" t="n"/>
      <c r="R531" s="17" t="n"/>
    </row>
    <row r="532">
      <c r="A532" s="24">
        <f>IF(库存台账!$A532="","",库存台账!$A532)</f>
        <v/>
      </c>
      <c r="B532" s="24">
        <f>IF($A532="","",库存台账!$B532)</f>
        <v/>
      </c>
      <c r="C532" s="24">
        <f>IF($A532="","",库存台账!$C532)</f>
        <v/>
      </c>
      <c r="D532" s="24">
        <f>IF($A532="","",库存台账!$D532)</f>
        <v/>
      </c>
      <c r="E532" s="24">
        <f>IF($A532="","",库存台账!$E532)</f>
        <v/>
      </c>
      <c r="F532" s="24">
        <f>IF($A532="","",库存台账!$F532)</f>
        <v/>
      </c>
      <c r="G532" s="17" t="n"/>
      <c r="H532" s="23" t="n"/>
      <c r="I532" s="27">
        <f>IF($A532="","",库存台账!$X532)</f>
        <v/>
      </c>
      <c r="J532" s="27">
        <f>IF(OR($A532="",$H532=""),"",ROUND($H532-$I532,3))</f>
        <v/>
      </c>
      <c r="K532" s="26">
        <f>IF($A532="","",库存台账!$K532)</f>
        <v/>
      </c>
      <c r="L532" s="26">
        <f>IF($J532="","",ROUND($J532*$K532,0))</f>
        <v/>
      </c>
      <c r="M532" s="37">
        <f>IF(OR($J532="",$I532=0),"",ROUND($J532/$I532,4))</f>
        <v/>
      </c>
      <c r="N532" s="17" t="n"/>
      <c r="O532" s="17" t="n"/>
      <c r="P532" s="24">
        <f>IF($J532="","未盘",IF(ROUND($J532,3)=0,"账实相符",IF(COUNTIFS(入库单!$G$4:$G$2503,$A532,入库单!$X$4:$X$2503,"盘盈",入库单!$C$4:$C$2503,"&gt;="&amp;账期起,入库单!$C$4:$C$2503,"&lt;="&amp;账期止)+COUNTIFS(出库单!$D$4:$D$4003,$A532,出库单!$K$4:$K$4003,"盘亏",出库单!$C$4:$C$4003,"&gt;="&amp;账期起,出库单!$C$4:$C$4003,"&lt;="&amp;账期止)&gt;0,"已调账","※差异还没调账")))</f>
        <v/>
      </c>
      <c r="Q532" s="17" t="n"/>
      <c r="R532" s="17" t="n"/>
    </row>
    <row r="533">
      <c r="A533" s="24">
        <f>IF(库存台账!$A533="","",库存台账!$A533)</f>
        <v/>
      </c>
      <c r="B533" s="24">
        <f>IF($A533="","",库存台账!$B533)</f>
        <v/>
      </c>
      <c r="C533" s="24">
        <f>IF($A533="","",库存台账!$C533)</f>
        <v/>
      </c>
      <c r="D533" s="24">
        <f>IF($A533="","",库存台账!$D533)</f>
        <v/>
      </c>
      <c r="E533" s="24">
        <f>IF($A533="","",库存台账!$E533)</f>
        <v/>
      </c>
      <c r="F533" s="24">
        <f>IF($A533="","",库存台账!$F533)</f>
        <v/>
      </c>
      <c r="G533" s="17" t="n"/>
      <c r="H533" s="23" t="n"/>
      <c r="I533" s="27">
        <f>IF($A533="","",库存台账!$X533)</f>
        <v/>
      </c>
      <c r="J533" s="27">
        <f>IF(OR($A533="",$H533=""),"",ROUND($H533-$I533,3))</f>
        <v/>
      </c>
      <c r="K533" s="26">
        <f>IF($A533="","",库存台账!$K533)</f>
        <v/>
      </c>
      <c r="L533" s="26">
        <f>IF($J533="","",ROUND($J533*$K533,0))</f>
        <v/>
      </c>
      <c r="M533" s="37">
        <f>IF(OR($J533="",$I533=0),"",ROUND($J533/$I533,4))</f>
        <v/>
      </c>
      <c r="N533" s="17" t="n"/>
      <c r="O533" s="17" t="n"/>
      <c r="P533" s="24">
        <f>IF($J533="","未盘",IF(ROUND($J533,3)=0,"账实相符",IF(COUNTIFS(入库单!$G$4:$G$2503,$A533,入库单!$X$4:$X$2503,"盘盈",入库单!$C$4:$C$2503,"&gt;="&amp;账期起,入库单!$C$4:$C$2503,"&lt;="&amp;账期止)+COUNTIFS(出库单!$D$4:$D$4003,$A533,出库单!$K$4:$K$4003,"盘亏",出库单!$C$4:$C$4003,"&gt;="&amp;账期起,出库单!$C$4:$C$4003,"&lt;="&amp;账期止)&gt;0,"已调账","※差异还没调账")))</f>
        <v/>
      </c>
      <c r="Q533" s="17" t="n"/>
      <c r="R533" s="17" t="n"/>
    </row>
    <row r="534">
      <c r="A534" s="24">
        <f>IF(库存台账!$A534="","",库存台账!$A534)</f>
        <v/>
      </c>
      <c r="B534" s="24">
        <f>IF($A534="","",库存台账!$B534)</f>
        <v/>
      </c>
      <c r="C534" s="24">
        <f>IF($A534="","",库存台账!$C534)</f>
        <v/>
      </c>
      <c r="D534" s="24">
        <f>IF($A534="","",库存台账!$D534)</f>
        <v/>
      </c>
      <c r="E534" s="24">
        <f>IF($A534="","",库存台账!$E534)</f>
        <v/>
      </c>
      <c r="F534" s="24">
        <f>IF($A534="","",库存台账!$F534)</f>
        <v/>
      </c>
      <c r="G534" s="17" t="n"/>
      <c r="H534" s="23" t="n"/>
      <c r="I534" s="27">
        <f>IF($A534="","",库存台账!$X534)</f>
        <v/>
      </c>
      <c r="J534" s="27">
        <f>IF(OR($A534="",$H534=""),"",ROUND($H534-$I534,3))</f>
        <v/>
      </c>
      <c r="K534" s="26">
        <f>IF($A534="","",库存台账!$K534)</f>
        <v/>
      </c>
      <c r="L534" s="26">
        <f>IF($J534="","",ROUND($J534*$K534,0))</f>
        <v/>
      </c>
      <c r="M534" s="37">
        <f>IF(OR($J534="",$I534=0),"",ROUND($J534/$I534,4))</f>
        <v/>
      </c>
      <c r="N534" s="17" t="n"/>
      <c r="O534" s="17" t="n"/>
      <c r="P534" s="24">
        <f>IF($J534="","未盘",IF(ROUND($J534,3)=0,"账实相符",IF(COUNTIFS(入库单!$G$4:$G$2503,$A534,入库单!$X$4:$X$2503,"盘盈",入库单!$C$4:$C$2503,"&gt;="&amp;账期起,入库单!$C$4:$C$2503,"&lt;="&amp;账期止)+COUNTIFS(出库单!$D$4:$D$4003,$A534,出库单!$K$4:$K$4003,"盘亏",出库单!$C$4:$C$4003,"&gt;="&amp;账期起,出库单!$C$4:$C$4003,"&lt;="&amp;账期止)&gt;0,"已调账","※差异还没调账")))</f>
        <v/>
      </c>
      <c r="Q534" s="17" t="n"/>
      <c r="R534" s="17" t="n"/>
    </row>
    <row r="535">
      <c r="A535" s="24">
        <f>IF(库存台账!$A535="","",库存台账!$A535)</f>
        <v/>
      </c>
      <c r="B535" s="24">
        <f>IF($A535="","",库存台账!$B535)</f>
        <v/>
      </c>
      <c r="C535" s="24">
        <f>IF($A535="","",库存台账!$C535)</f>
        <v/>
      </c>
      <c r="D535" s="24">
        <f>IF($A535="","",库存台账!$D535)</f>
        <v/>
      </c>
      <c r="E535" s="24">
        <f>IF($A535="","",库存台账!$E535)</f>
        <v/>
      </c>
      <c r="F535" s="24">
        <f>IF($A535="","",库存台账!$F535)</f>
        <v/>
      </c>
      <c r="G535" s="17" t="n"/>
      <c r="H535" s="23" t="n"/>
      <c r="I535" s="27">
        <f>IF($A535="","",库存台账!$X535)</f>
        <v/>
      </c>
      <c r="J535" s="27">
        <f>IF(OR($A535="",$H535=""),"",ROUND($H535-$I535,3))</f>
        <v/>
      </c>
      <c r="K535" s="26">
        <f>IF($A535="","",库存台账!$K535)</f>
        <v/>
      </c>
      <c r="L535" s="26">
        <f>IF($J535="","",ROUND($J535*$K535,0))</f>
        <v/>
      </c>
      <c r="M535" s="37">
        <f>IF(OR($J535="",$I535=0),"",ROUND($J535/$I535,4))</f>
        <v/>
      </c>
      <c r="N535" s="17" t="n"/>
      <c r="O535" s="17" t="n"/>
      <c r="P535" s="24">
        <f>IF($J535="","未盘",IF(ROUND($J535,3)=0,"账实相符",IF(COUNTIFS(入库单!$G$4:$G$2503,$A535,入库单!$X$4:$X$2503,"盘盈",入库单!$C$4:$C$2503,"&gt;="&amp;账期起,入库单!$C$4:$C$2503,"&lt;="&amp;账期止)+COUNTIFS(出库单!$D$4:$D$4003,$A535,出库单!$K$4:$K$4003,"盘亏",出库单!$C$4:$C$4003,"&gt;="&amp;账期起,出库单!$C$4:$C$4003,"&lt;="&amp;账期止)&gt;0,"已调账","※差异还没调账")))</f>
        <v/>
      </c>
      <c r="Q535" s="17" t="n"/>
      <c r="R535" s="17" t="n"/>
    </row>
    <row r="536">
      <c r="A536" s="24">
        <f>IF(库存台账!$A536="","",库存台账!$A536)</f>
        <v/>
      </c>
      <c r="B536" s="24">
        <f>IF($A536="","",库存台账!$B536)</f>
        <v/>
      </c>
      <c r="C536" s="24">
        <f>IF($A536="","",库存台账!$C536)</f>
        <v/>
      </c>
      <c r="D536" s="24">
        <f>IF($A536="","",库存台账!$D536)</f>
        <v/>
      </c>
      <c r="E536" s="24">
        <f>IF($A536="","",库存台账!$E536)</f>
        <v/>
      </c>
      <c r="F536" s="24">
        <f>IF($A536="","",库存台账!$F536)</f>
        <v/>
      </c>
      <c r="G536" s="17" t="n"/>
      <c r="H536" s="23" t="n"/>
      <c r="I536" s="27">
        <f>IF($A536="","",库存台账!$X536)</f>
        <v/>
      </c>
      <c r="J536" s="27">
        <f>IF(OR($A536="",$H536=""),"",ROUND($H536-$I536,3))</f>
        <v/>
      </c>
      <c r="K536" s="26">
        <f>IF($A536="","",库存台账!$K536)</f>
        <v/>
      </c>
      <c r="L536" s="26">
        <f>IF($J536="","",ROUND($J536*$K536,0))</f>
        <v/>
      </c>
      <c r="M536" s="37">
        <f>IF(OR($J536="",$I536=0),"",ROUND($J536/$I536,4))</f>
        <v/>
      </c>
      <c r="N536" s="17" t="n"/>
      <c r="O536" s="17" t="n"/>
      <c r="P536" s="24">
        <f>IF($J536="","未盘",IF(ROUND($J536,3)=0,"账实相符",IF(COUNTIFS(入库单!$G$4:$G$2503,$A536,入库单!$X$4:$X$2503,"盘盈",入库单!$C$4:$C$2503,"&gt;="&amp;账期起,入库单!$C$4:$C$2503,"&lt;="&amp;账期止)+COUNTIFS(出库单!$D$4:$D$4003,$A536,出库单!$K$4:$K$4003,"盘亏",出库单!$C$4:$C$4003,"&gt;="&amp;账期起,出库单!$C$4:$C$4003,"&lt;="&amp;账期止)&gt;0,"已调账","※差异还没调账")))</f>
        <v/>
      </c>
      <c r="Q536" s="17" t="n"/>
      <c r="R536" s="17" t="n"/>
    </row>
    <row r="537">
      <c r="A537" s="24">
        <f>IF(库存台账!$A537="","",库存台账!$A537)</f>
        <v/>
      </c>
      <c r="B537" s="24">
        <f>IF($A537="","",库存台账!$B537)</f>
        <v/>
      </c>
      <c r="C537" s="24">
        <f>IF($A537="","",库存台账!$C537)</f>
        <v/>
      </c>
      <c r="D537" s="24">
        <f>IF($A537="","",库存台账!$D537)</f>
        <v/>
      </c>
      <c r="E537" s="24">
        <f>IF($A537="","",库存台账!$E537)</f>
        <v/>
      </c>
      <c r="F537" s="24">
        <f>IF($A537="","",库存台账!$F537)</f>
        <v/>
      </c>
      <c r="G537" s="17" t="n"/>
      <c r="H537" s="23" t="n"/>
      <c r="I537" s="27">
        <f>IF($A537="","",库存台账!$X537)</f>
        <v/>
      </c>
      <c r="J537" s="27">
        <f>IF(OR($A537="",$H537=""),"",ROUND($H537-$I537,3))</f>
        <v/>
      </c>
      <c r="K537" s="26">
        <f>IF($A537="","",库存台账!$K537)</f>
        <v/>
      </c>
      <c r="L537" s="26">
        <f>IF($J537="","",ROUND($J537*$K537,0))</f>
        <v/>
      </c>
      <c r="M537" s="37">
        <f>IF(OR($J537="",$I537=0),"",ROUND($J537/$I537,4))</f>
        <v/>
      </c>
      <c r="N537" s="17" t="n"/>
      <c r="O537" s="17" t="n"/>
      <c r="P537" s="24">
        <f>IF($J537="","未盘",IF(ROUND($J537,3)=0,"账实相符",IF(COUNTIFS(入库单!$G$4:$G$2503,$A537,入库单!$X$4:$X$2503,"盘盈",入库单!$C$4:$C$2503,"&gt;="&amp;账期起,入库单!$C$4:$C$2503,"&lt;="&amp;账期止)+COUNTIFS(出库单!$D$4:$D$4003,$A537,出库单!$K$4:$K$4003,"盘亏",出库单!$C$4:$C$4003,"&gt;="&amp;账期起,出库单!$C$4:$C$4003,"&lt;="&amp;账期止)&gt;0,"已调账","※差异还没调账")))</f>
        <v/>
      </c>
      <c r="Q537" s="17" t="n"/>
      <c r="R537" s="17" t="n"/>
    </row>
    <row r="538">
      <c r="A538" s="24">
        <f>IF(库存台账!$A538="","",库存台账!$A538)</f>
        <v/>
      </c>
      <c r="B538" s="24">
        <f>IF($A538="","",库存台账!$B538)</f>
        <v/>
      </c>
      <c r="C538" s="24">
        <f>IF($A538="","",库存台账!$C538)</f>
        <v/>
      </c>
      <c r="D538" s="24">
        <f>IF($A538="","",库存台账!$D538)</f>
        <v/>
      </c>
      <c r="E538" s="24">
        <f>IF($A538="","",库存台账!$E538)</f>
        <v/>
      </c>
      <c r="F538" s="24">
        <f>IF($A538="","",库存台账!$F538)</f>
        <v/>
      </c>
      <c r="G538" s="17" t="n"/>
      <c r="H538" s="23" t="n"/>
      <c r="I538" s="27">
        <f>IF($A538="","",库存台账!$X538)</f>
        <v/>
      </c>
      <c r="J538" s="27">
        <f>IF(OR($A538="",$H538=""),"",ROUND($H538-$I538,3))</f>
        <v/>
      </c>
      <c r="K538" s="26">
        <f>IF($A538="","",库存台账!$K538)</f>
        <v/>
      </c>
      <c r="L538" s="26">
        <f>IF($J538="","",ROUND($J538*$K538,0))</f>
        <v/>
      </c>
      <c r="M538" s="37">
        <f>IF(OR($J538="",$I538=0),"",ROUND($J538/$I538,4))</f>
        <v/>
      </c>
      <c r="N538" s="17" t="n"/>
      <c r="O538" s="17" t="n"/>
      <c r="P538" s="24">
        <f>IF($J538="","未盘",IF(ROUND($J538,3)=0,"账实相符",IF(COUNTIFS(入库单!$G$4:$G$2503,$A538,入库单!$X$4:$X$2503,"盘盈",入库单!$C$4:$C$2503,"&gt;="&amp;账期起,入库单!$C$4:$C$2503,"&lt;="&amp;账期止)+COUNTIFS(出库单!$D$4:$D$4003,$A538,出库单!$K$4:$K$4003,"盘亏",出库单!$C$4:$C$4003,"&gt;="&amp;账期起,出库单!$C$4:$C$4003,"&lt;="&amp;账期止)&gt;0,"已调账","※差异还没调账")))</f>
        <v/>
      </c>
      <c r="Q538" s="17" t="n"/>
      <c r="R538" s="17" t="n"/>
    </row>
    <row r="539">
      <c r="A539" s="24">
        <f>IF(库存台账!$A539="","",库存台账!$A539)</f>
        <v/>
      </c>
      <c r="B539" s="24">
        <f>IF($A539="","",库存台账!$B539)</f>
        <v/>
      </c>
      <c r="C539" s="24">
        <f>IF($A539="","",库存台账!$C539)</f>
        <v/>
      </c>
      <c r="D539" s="24">
        <f>IF($A539="","",库存台账!$D539)</f>
        <v/>
      </c>
      <c r="E539" s="24">
        <f>IF($A539="","",库存台账!$E539)</f>
        <v/>
      </c>
      <c r="F539" s="24">
        <f>IF($A539="","",库存台账!$F539)</f>
        <v/>
      </c>
      <c r="G539" s="17" t="n"/>
      <c r="H539" s="23" t="n"/>
      <c r="I539" s="27">
        <f>IF($A539="","",库存台账!$X539)</f>
        <v/>
      </c>
      <c r="J539" s="27">
        <f>IF(OR($A539="",$H539=""),"",ROUND($H539-$I539,3))</f>
        <v/>
      </c>
      <c r="K539" s="26">
        <f>IF($A539="","",库存台账!$K539)</f>
        <v/>
      </c>
      <c r="L539" s="26">
        <f>IF($J539="","",ROUND($J539*$K539,0))</f>
        <v/>
      </c>
      <c r="M539" s="37">
        <f>IF(OR($J539="",$I539=0),"",ROUND($J539/$I539,4))</f>
        <v/>
      </c>
      <c r="N539" s="17" t="n"/>
      <c r="O539" s="17" t="n"/>
      <c r="P539" s="24">
        <f>IF($J539="","未盘",IF(ROUND($J539,3)=0,"账实相符",IF(COUNTIFS(入库单!$G$4:$G$2503,$A539,入库单!$X$4:$X$2503,"盘盈",入库单!$C$4:$C$2503,"&gt;="&amp;账期起,入库单!$C$4:$C$2503,"&lt;="&amp;账期止)+COUNTIFS(出库单!$D$4:$D$4003,$A539,出库单!$K$4:$K$4003,"盘亏",出库单!$C$4:$C$4003,"&gt;="&amp;账期起,出库单!$C$4:$C$4003,"&lt;="&amp;账期止)&gt;0,"已调账","※差异还没调账")))</f>
        <v/>
      </c>
      <c r="Q539" s="17" t="n"/>
      <c r="R539" s="17" t="n"/>
    </row>
    <row r="540">
      <c r="A540" s="24">
        <f>IF(库存台账!$A540="","",库存台账!$A540)</f>
        <v/>
      </c>
      <c r="B540" s="24">
        <f>IF($A540="","",库存台账!$B540)</f>
        <v/>
      </c>
      <c r="C540" s="24">
        <f>IF($A540="","",库存台账!$C540)</f>
        <v/>
      </c>
      <c r="D540" s="24">
        <f>IF($A540="","",库存台账!$D540)</f>
        <v/>
      </c>
      <c r="E540" s="24">
        <f>IF($A540="","",库存台账!$E540)</f>
        <v/>
      </c>
      <c r="F540" s="24">
        <f>IF($A540="","",库存台账!$F540)</f>
        <v/>
      </c>
      <c r="G540" s="17" t="n"/>
      <c r="H540" s="23" t="n"/>
      <c r="I540" s="27">
        <f>IF($A540="","",库存台账!$X540)</f>
        <v/>
      </c>
      <c r="J540" s="27">
        <f>IF(OR($A540="",$H540=""),"",ROUND($H540-$I540,3))</f>
        <v/>
      </c>
      <c r="K540" s="26">
        <f>IF($A540="","",库存台账!$K540)</f>
        <v/>
      </c>
      <c r="L540" s="26">
        <f>IF($J540="","",ROUND($J540*$K540,0))</f>
        <v/>
      </c>
      <c r="M540" s="37">
        <f>IF(OR($J540="",$I540=0),"",ROUND($J540/$I540,4))</f>
        <v/>
      </c>
      <c r="N540" s="17" t="n"/>
      <c r="O540" s="17" t="n"/>
      <c r="P540" s="24">
        <f>IF($J540="","未盘",IF(ROUND($J540,3)=0,"账实相符",IF(COUNTIFS(入库单!$G$4:$G$2503,$A540,入库单!$X$4:$X$2503,"盘盈",入库单!$C$4:$C$2503,"&gt;="&amp;账期起,入库单!$C$4:$C$2503,"&lt;="&amp;账期止)+COUNTIFS(出库单!$D$4:$D$4003,$A540,出库单!$K$4:$K$4003,"盘亏",出库单!$C$4:$C$4003,"&gt;="&amp;账期起,出库单!$C$4:$C$4003,"&lt;="&amp;账期止)&gt;0,"已调账","※差异还没调账")))</f>
        <v/>
      </c>
      <c r="Q540" s="17" t="n"/>
      <c r="R540" s="17" t="n"/>
    </row>
    <row r="541">
      <c r="A541" s="24">
        <f>IF(库存台账!$A541="","",库存台账!$A541)</f>
        <v/>
      </c>
      <c r="B541" s="24">
        <f>IF($A541="","",库存台账!$B541)</f>
        <v/>
      </c>
      <c r="C541" s="24">
        <f>IF($A541="","",库存台账!$C541)</f>
        <v/>
      </c>
      <c r="D541" s="24">
        <f>IF($A541="","",库存台账!$D541)</f>
        <v/>
      </c>
      <c r="E541" s="24">
        <f>IF($A541="","",库存台账!$E541)</f>
        <v/>
      </c>
      <c r="F541" s="24">
        <f>IF($A541="","",库存台账!$F541)</f>
        <v/>
      </c>
      <c r="G541" s="17" t="n"/>
      <c r="H541" s="23" t="n"/>
      <c r="I541" s="27">
        <f>IF($A541="","",库存台账!$X541)</f>
        <v/>
      </c>
      <c r="J541" s="27">
        <f>IF(OR($A541="",$H541=""),"",ROUND($H541-$I541,3))</f>
        <v/>
      </c>
      <c r="K541" s="26">
        <f>IF($A541="","",库存台账!$K541)</f>
        <v/>
      </c>
      <c r="L541" s="26">
        <f>IF($J541="","",ROUND($J541*$K541,0))</f>
        <v/>
      </c>
      <c r="M541" s="37">
        <f>IF(OR($J541="",$I541=0),"",ROUND($J541/$I541,4))</f>
        <v/>
      </c>
      <c r="N541" s="17" t="n"/>
      <c r="O541" s="17" t="n"/>
      <c r="P541" s="24">
        <f>IF($J541="","未盘",IF(ROUND($J541,3)=0,"账实相符",IF(COUNTIFS(入库单!$G$4:$G$2503,$A541,入库单!$X$4:$X$2503,"盘盈",入库单!$C$4:$C$2503,"&gt;="&amp;账期起,入库单!$C$4:$C$2503,"&lt;="&amp;账期止)+COUNTIFS(出库单!$D$4:$D$4003,$A541,出库单!$K$4:$K$4003,"盘亏",出库单!$C$4:$C$4003,"&gt;="&amp;账期起,出库单!$C$4:$C$4003,"&lt;="&amp;账期止)&gt;0,"已调账","※差异还没调账")))</f>
        <v/>
      </c>
      <c r="Q541" s="17" t="n"/>
      <c r="R541" s="17" t="n"/>
    </row>
    <row r="542">
      <c r="A542" s="24">
        <f>IF(库存台账!$A542="","",库存台账!$A542)</f>
        <v/>
      </c>
      <c r="B542" s="24">
        <f>IF($A542="","",库存台账!$B542)</f>
        <v/>
      </c>
      <c r="C542" s="24">
        <f>IF($A542="","",库存台账!$C542)</f>
        <v/>
      </c>
      <c r="D542" s="24">
        <f>IF($A542="","",库存台账!$D542)</f>
        <v/>
      </c>
      <c r="E542" s="24">
        <f>IF($A542="","",库存台账!$E542)</f>
        <v/>
      </c>
      <c r="F542" s="24">
        <f>IF($A542="","",库存台账!$F542)</f>
        <v/>
      </c>
      <c r="G542" s="17" t="n"/>
      <c r="H542" s="23" t="n"/>
      <c r="I542" s="27">
        <f>IF($A542="","",库存台账!$X542)</f>
        <v/>
      </c>
      <c r="J542" s="27">
        <f>IF(OR($A542="",$H542=""),"",ROUND($H542-$I542,3))</f>
        <v/>
      </c>
      <c r="K542" s="26">
        <f>IF($A542="","",库存台账!$K542)</f>
        <v/>
      </c>
      <c r="L542" s="26">
        <f>IF($J542="","",ROUND($J542*$K542,0))</f>
        <v/>
      </c>
      <c r="M542" s="37">
        <f>IF(OR($J542="",$I542=0),"",ROUND($J542/$I542,4))</f>
        <v/>
      </c>
      <c r="N542" s="17" t="n"/>
      <c r="O542" s="17" t="n"/>
      <c r="P542" s="24">
        <f>IF($J542="","未盘",IF(ROUND($J542,3)=0,"账实相符",IF(COUNTIFS(入库单!$G$4:$G$2503,$A542,入库单!$X$4:$X$2503,"盘盈",入库单!$C$4:$C$2503,"&gt;="&amp;账期起,入库单!$C$4:$C$2503,"&lt;="&amp;账期止)+COUNTIFS(出库单!$D$4:$D$4003,$A542,出库单!$K$4:$K$4003,"盘亏",出库单!$C$4:$C$4003,"&gt;="&amp;账期起,出库单!$C$4:$C$4003,"&lt;="&amp;账期止)&gt;0,"已调账","※差异还没调账")))</f>
        <v/>
      </c>
      <c r="Q542" s="17" t="n"/>
      <c r="R542" s="17" t="n"/>
    </row>
    <row r="543">
      <c r="A543" s="24">
        <f>IF(库存台账!$A543="","",库存台账!$A543)</f>
        <v/>
      </c>
      <c r="B543" s="24">
        <f>IF($A543="","",库存台账!$B543)</f>
        <v/>
      </c>
      <c r="C543" s="24">
        <f>IF($A543="","",库存台账!$C543)</f>
        <v/>
      </c>
      <c r="D543" s="24">
        <f>IF($A543="","",库存台账!$D543)</f>
        <v/>
      </c>
      <c r="E543" s="24">
        <f>IF($A543="","",库存台账!$E543)</f>
        <v/>
      </c>
      <c r="F543" s="24">
        <f>IF($A543="","",库存台账!$F543)</f>
        <v/>
      </c>
      <c r="G543" s="17" t="n"/>
      <c r="H543" s="23" t="n"/>
      <c r="I543" s="27">
        <f>IF($A543="","",库存台账!$X543)</f>
        <v/>
      </c>
      <c r="J543" s="27">
        <f>IF(OR($A543="",$H543=""),"",ROUND($H543-$I543,3))</f>
        <v/>
      </c>
      <c r="K543" s="26">
        <f>IF($A543="","",库存台账!$K543)</f>
        <v/>
      </c>
      <c r="L543" s="26">
        <f>IF($J543="","",ROUND($J543*$K543,0))</f>
        <v/>
      </c>
      <c r="M543" s="37">
        <f>IF(OR($J543="",$I543=0),"",ROUND($J543/$I543,4))</f>
        <v/>
      </c>
      <c r="N543" s="17" t="n"/>
      <c r="O543" s="17" t="n"/>
      <c r="P543" s="24">
        <f>IF($J543="","未盘",IF(ROUND($J543,3)=0,"账实相符",IF(COUNTIFS(入库单!$G$4:$G$2503,$A543,入库单!$X$4:$X$2503,"盘盈",入库单!$C$4:$C$2503,"&gt;="&amp;账期起,入库单!$C$4:$C$2503,"&lt;="&amp;账期止)+COUNTIFS(出库单!$D$4:$D$4003,$A543,出库单!$K$4:$K$4003,"盘亏",出库单!$C$4:$C$4003,"&gt;="&amp;账期起,出库单!$C$4:$C$4003,"&lt;="&amp;账期止)&gt;0,"已调账","※差异还没调账")))</f>
        <v/>
      </c>
      <c r="Q543" s="17" t="n"/>
      <c r="R543" s="17" t="n"/>
    </row>
    <row r="544">
      <c r="A544" s="24">
        <f>IF(库存台账!$A544="","",库存台账!$A544)</f>
        <v/>
      </c>
      <c r="B544" s="24">
        <f>IF($A544="","",库存台账!$B544)</f>
        <v/>
      </c>
      <c r="C544" s="24">
        <f>IF($A544="","",库存台账!$C544)</f>
        <v/>
      </c>
      <c r="D544" s="24">
        <f>IF($A544="","",库存台账!$D544)</f>
        <v/>
      </c>
      <c r="E544" s="24">
        <f>IF($A544="","",库存台账!$E544)</f>
        <v/>
      </c>
      <c r="F544" s="24">
        <f>IF($A544="","",库存台账!$F544)</f>
        <v/>
      </c>
      <c r="G544" s="17" t="n"/>
      <c r="H544" s="23" t="n"/>
      <c r="I544" s="27">
        <f>IF($A544="","",库存台账!$X544)</f>
        <v/>
      </c>
      <c r="J544" s="27">
        <f>IF(OR($A544="",$H544=""),"",ROUND($H544-$I544,3))</f>
        <v/>
      </c>
      <c r="K544" s="26">
        <f>IF($A544="","",库存台账!$K544)</f>
        <v/>
      </c>
      <c r="L544" s="26">
        <f>IF($J544="","",ROUND($J544*$K544,0))</f>
        <v/>
      </c>
      <c r="M544" s="37">
        <f>IF(OR($J544="",$I544=0),"",ROUND($J544/$I544,4))</f>
        <v/>
      </c>
      <c r="N544" s="17" t="n"/>
      <c r="O544" s="17" t="n"/>
      <c r="P544" s="24">
        <f>IF($J544="","未盘",IF(ROUND($J544,3)=0,"账实相符",IF(COUNTIFS(入库单!$G$4:$G$2503,$A544,入库单!$X$4:$X$2503,"盘盈",入库单!$C$4:$C$2503,"&gt;="&amp;账期起,入库单!$C$4:$C$2503,"&lt;="&amp;账期止)+COUNTIFS(出库单!$D$4:$D$4003,$A544,出库单!$K$4:$K$4003,"盘亏",出库单!$C$4:$C$4003,"&gt;="&amp;账期起,出库单!$C$4:$C$4003,"&lt;="&amp;账期止)&gt;0,"已调账","※差异还没调账")))</f>
        <v/>
      </c>
      <c r="Q544" s="17" t="n"/>
      <c r="R544" s="17" t="n"/>
    </row>
    <row r="545">
      <c r="A545" s="24">
        <f>IF(库存台账!$A545="","",库存台账!$A545)</f>
        <v/>
      </c>
      <c r="B545" s="24">
        <f>IF($A545="","",库存台账!$B545)</f>
        <v/>
      </c>
      <c r="C545" s="24">
        <f>IF($A545="","",库存台账!$C545)</f>
        <v/>
      </c>
      <c r="D545" s="24">
        <f>IF($A545="","",库存台账!$D545)</f>
        <v/>
      </c>
      <c r="E545" s="24">
        <f>IF($A545="","",库存台账!$E545)</f>
        <v/>
      </c>
      <c r="F545" s="24">
        <f>IF($A545="","",库存台账!$F545)</f>
        <v/>
      </c>
      <c r="G545" s="17" t="n"/>
      <c r="H545" s="23" t="n"/>
      <c r="I545" s="27">
        <f>IF($A545="","",库存台账!$X545)</f>
        <v/>
      </c>
      <c r="J545" s="27">
        <f>IF(OR($A545="",$H545=""),"",ROUND($H545-$I545,3))</f>
        <v/>
      </c>
      <c r="K545" s="26">
        <f>IF($A545="","",库存台账!$K545)</f>
        <v/>
      </c>
      <c r="L545" s="26">
        <f>IF($J545="","",ROUND($J545*$K545,0))</f>
        <v/>
      </c>
      <c r="M545" s="37">
        <f>IF(OR($J545="",$I545=0),"",ROUND($J545/$I545,4))</f>
        <v/>
      </c>
      <c r="N545" s="17" t="n"/>
      <c r="O545" s="17" t="n"/>
      <c r="P545" s="24">
        <f>IF($J545="","未盘",IF(ROUND($J545,3)=0,"账实相符",IF(COUNTIFS(入库单!$G$4:$G$2503,$A545,入库单!$X$4:$X$2503,"盘盈",入库单!$C$4:$C$2503,"&gt;="&amp;账期起,入库单!$C$4:$C$2503,"&lt;="&amp;账期止)+COUNTIFS(出库单!$D$4:$D$4003,$A545,出库单!$K$4:$K$4003,"盘亏",出库单!$C$4:$C$4003,"&gt;="&amp;账期起,出库单!$C$4:$C$4003,"&lt;="&amp;账期止)&gt;0,"已调账","※差异还没调账")))</f>
        <v/>
      </c>
      <c r="Q545" s="17" t="n"/>
      <c r="R545" s="17" t="n"/>
    </row>
    <row r="546">
      <c r="A546" s="24">
        <f>IF(库存台账!$A546="","",库存台账!$A546)</f>
        <v/>
      </c>
      <c r="B546" s="24">
        <f>IF($A546="","",库存台账!$B546)</f>
        <v/>
      </c>
      <c r="C546" s="24">
        <f>IF($A546="","",库存台账!$C546)</f>
        <v/>
      </c>
      <c r="D546" s="24">
        <f>IF($A546="","",库存台账!$D546)</f>
        <v/>
      </c>
      <c r="E546" s="24">
        <f>IF($A546="","",库存台账!$E546)</f>
        <v/>
      </c>
      <c r="F546" s="24">
        <f>IF($A546="","",库存台账!$F546)</f>
        <v/>
      </c>
      <c r="G546" s="17" t="n"/>
      <c r="H546" s="23" t="n"/>
      <c r="I546" s="27">
        <f>IF($A546="","",库存台账!$X546)</f>
        <v/>
      </c>
      <c r="J546" s="27">
        <f>IF(OR($A546="",$H546=""),"",ROUND($H546-$I546,3))</f>
        <v/>
      </c>
      <c r="K546" s="26">
        <f>IF($A546="","",库存台账!$K546)</f>
        <v/>
      </c>
      <c r="L546" s="26">
        <f>IF($J546="","",ROUND($J546*$K546,0))</f>
        <v/>
      </c>
      <c r="M546" s="37">
        <f>IF(OR($J546="",$I546=0),"",ROUND($J546/$I546,4))</f>
        <v/>
      </c>
      <c r="N546" s="17" t="n"/>
      <c r="O546" s="17" t="n"/>
      <c r="P546" s="24">
        <f>IF($J546="","未盘",IF(ROUND($J546,3)=0,"账实相符",IF(COUNTIFS(入库单!$G$4:$G$2503,$A546,入库单!$X$4:$X$2503,"盘盈",入库单!$C$4:$C$2503,"&gt;="&amp;账期起,入库单!$C$4:$C$2503,"&lt;="&amp;账期止)+COUNTIFS(出库单!$D$4:$D$4003,$A546,出库单!$K$4:$K$4003,"盘亏",出库单!$C$4:$C$4003,"&gt;="&amp;账期起,出库单!$C$4:$C$4003,"&lt;="&amp;账期止)&gt;0,"已调账","※差异还没调账")))</f>
        <v/>
      </c>
      <c r="Q546" s="17" t="n"/>
      <c r="R546" s="17" t="n"/>
    </row>
    <row r="547">
      <c r="A547" s="24">
        <f>IF(库存台账!$A547="","",库存台账!$A547)</f>
        <v/>
      </c>
      <c r="B547" s="24">
        <f>IF($A547="","",库存台账!$B547)</f>
        <v/>
      </c>
      <c r="C547" s="24">
        <f>IF($A547="","",库存台账!$C547)</f>
        <v/>
      </c>
      <c r="D547" s="24">
        <f>IF($A547="","",库存台账!$D547)</f>
        <v/>
      </c>
      <c r="E547" s="24">
        <f>IF($A547="","",库存台账!$E547)</f>
        <v/>
      </c>
      <c r="F547" s="24">
        <f>IF($A547="","",库存台账!$F547)</f>
        <v/>
      </c>
      <c r="G547" s="17" t="n"/>
      <c r="H547" s="23" t="n"/>
      <c r="I547" s="27">
        <f>IF($A547="","",库存台账!$X547)</f>
        <v/>
      </c>
      <c r="J547" s="27">
        <f>IF(OR($A547="",$H547=""),"",ROUND($H547-$I547,3))</f>
        <v/>
      </c>
      <c r="K547" s="26">
        <f>IF($A547="","",库存台账!$K547)</f>
        <v/>
      </c>
      <c r="L547" s="26">
        <f>IF($J547="","",ROUND($J547*$K547,0))</f>
        <v/>
      </c>
      <c r="M547" s="37">
        <f>IF(OR($J547="",$I547=0),"",ROUND($J547/$I547,4))</f>
        <v/>
      </c>
      <c r="N547" s="17" t="n"/>
      <c r="O547" s="17" t="n"/>
      <c r="P547" s="24">
        <f>IF($J547="","未盘",IF(ROUND($J547,3)=0,"账实相符",IF(COUNTIFS(入库单!$G$4:$G$2503,$A547,入库单!$X$4:$X$2503,"盘盈",入库单!$C$4:$C$2503,"&gt;="&amp;账期起,入库单!$C$4:$C$2503,"&lt;="&amp;账期止)+COUNTIFS(出库单!$D$4:$D$4003,$A547,出库单!$K$4:$K$4003,"盘亏",出库单!$C$4:$C$4003,"&gt;="&amp;账期起,出库单!$C$4:$C$4003,"&lt;="&amp;账期止)&gt;0,"已调账","※差异还没调账")))</f>
        <v/>
      </c>
      <c r="Q547" s="17" t="n"/>
      <c r="R547" s="17" t="n"/>
    </row>
    <row r="548">
      <c r="A548" s="24">
        <f>IF(库存台账!$A548="","",库存台账!$A548)</f>
        <v/>
      </c>
      <c r="B548" s="24">
        <f>IF($A548="","",库存台账!$B548)</f>
        <v/>
      </c>
      <c r="C548" s="24">
        <f>IF($A548="","",库存台账!$C548)</f>
        <v/>
      </c>
      <c r="D548" s="24">
        <f>IF($A548="","",库存台账!$D548)</f>
        <v/>
      </c>
      <c r="E548" s="24">
        <f>IF($A548="","",库存台账!$E548)</f>
        <v/>
      </c>
      <c r="F548" s="24">
        <f>IF($A548="","",库存台账!$F548)</f>
        <v/>
      </c>
      <c r="G548" s="17" t="n"/>
      <c r="H548" s="23" t="n"/>
      <c r="I548" s="27">
        <f>IF($A548="","",库存台账!$X548)</f>
        <v/>
      </c>
      <c r="J548" s="27">
        <f>IF(OR($A548="",$H548=""),"",ROUND($H548-$I548,3))</f>
        <v/>
      </c>
      <c r="K548" s="26">
        <f>IF($A548="","",库存台账!$K548)</f>
        <v/>
      </c>
      <c r="L548" s="26">
        <f>IF($J548="","",ROUND($J548*$K548,0))</f>
        <v/>
      </c>
      <c r="M548" s="37">
        <f>IF(OR($J548="",$I548=0),"",ROUND($J548/$I548,4))</f>
        <v/>
      </c>
      <c r="N548" s="17" t="n"/>
      <c r="O548" s="17" t="n"/>
      <c r="P548" s="24">
        <f>IF($J548="","未盘",IF(ROUND($J548,3)=0,"账实相符",IF(COUNTIFS(入库单!$G$4:$G$2503,$A548,入库单!$X$4:$X$2503,"盘盈",入库单!$C$4:$C$2503,"&gt;="&amp;账期起,入库单!$C$4:$C$2503,"&lt;="&amp;账期止)+COUNTIFS(出库单!$D$4:$D$4003,$A548,出库单!$K$4:$K$4003,"盘亏",出库单!$C$4:$C$4003,"&gt;="&amp;账期起,出库单!$C$4:$C$4003,"&lt;="&amp;账期止)&gt;0,"已调账","※差异还没调账")))</f>
        <v/>
      </c>
      <c r="Q548" s="17" t="n"/>
      <c r="R548" s="17" t="n"/>
    </row>
    <row r="549">
      <c r="A549" s="24">
        <f>IF(库存台账!$A549="","",库存台账!$A549)</f>
        <v/>
      </c>
      <c r="B549" s="24">
        <f>IF($A549="","",库存台账!$B549)</f>
        <v/>
      </c>
      <c r="C549" s="24">
        <f>IF($A549="","",库存台账!$C549)</f>
        <v/>
      </c>
      <c r="D549" s="24">
        <f>IF($A549="","",库存台账!$D549)</f>
        <v/>
      </c>
      <c r="E549" s="24">
        <f>IF($A549="","",库存台账!$E549)</f>
        <v/>
      </c>
      <c r="F549" s="24">
        <f>IF($A549="","",库存台账!$F549)</f>
        <v/>
      </c>
      <c r="G549" s="17" t="n"/>
      <c r="H549" s="23" t="n"/>
      <c r="I549" s="27">
        <f>IF($A549="","",库存台账!$X549)</f>
        <v/>
      </c>
      <c r="J549" s="27">
        <f>IF(OR($A549="",$H549=""),"",ROUND($H549-$I549,3))</f>
        <v/>
      </c>
      <c r="K549" s="26">
        <f>IF($A549="","",库存台账!$K549)</f>
        <v/>
      </c>
      <c r="L549" s="26">
        <f>IF($J549="","",ROUND($J549*$K549,0))</f>
        <v/>
      </c>
      <c r="M549" s="37">
        <f>IF(OR($J549="",$I549=0),"",ROUND($J549/$I549,4))</f>
        <v/>
      </c>
      <c r="N549" s="17" t="n"/>
      <c r="O549" s="17" t="n"/>
      <c r="P549" s="24">
        <f>IF($J549="","未盘",IF(ROUND($J549,3)=0,"账实相符",IF(COUNTIFS(入库单!$G$4:$G$2503,$A549,入库单!$X$4:$X$2503,"盘盈",入库单!$C$4:$C$2503,"&gt;="&amp;账期起,入库单!$C$4:$C$2503,"&lt;="&amp;账期止)+COUNTIFS(出库单!$D$4:$D$4003,$A549,出库单!$K$4:$K$4003,"盘亏",出库单!$C$4:$C$4003,"&gt;="&amp;账期起,出库单!$C$4:$C$4003,"&lt;="&amp;账期止)&gt;0,"已调账","※差异还没调账")))</f>
        <v/>
      </c>
      <c r="Q549" s="17" t="n"/>
      <c r="R549" s="17" t="n"/>
    </row>
    <row r="550">
      <c r="A550" s="24">
        <f>IF(库存台账!$A550="","",库存台账!$A550)</f>
        <v/>
      </c>
      <c r="B550" s="24">
        <f>IF($A550="","",库存台账!$B550)</f>
        <v/>
      </c>
      <c r="C550" s="24">
        <f>IF($A550="","",库存台账!$C550)</f>
        <v/>
      </c>
      <c r="D550" s="24">
        <f>IF($A550="","",库存台账!$D550)</f>
        <v/>
      </c>
      <c r="E550" s="24">
        <f>IF($A550="","",库存台账!$E550)</f>
        <v/>
      </c>
      <c r="F550" s="24">
        <f>IF($A550="","",库存台账!$F550)</f>
        <v/>
      </c>
      <c r="G550" s="17" t="n"/>
      <c r="H550" s="23" t="n"/>
      <c r="I550" s="27">
        <f>IF($A550="","",库存台账!$X550)</f>
        <v/>
      </c>
      <c r="J550" s="27">
        <f>IF(OR($A550="",$H550=""),"",ROUND($H550-$I550,3))</f>
        <v/>
      </c>
      <c r="K550" s="26">
        <f>IF($A550="","",库存台账!$K550)</f>
        <v/>
      </c>
      <c r="L550" s="26">
        <f>IF($J550="","",ROUND($J550*$K550,0))</f>
        <v/>
      </c>
      <c r="M550" s="37">
        <f>IF(OR($J550="",$I550=0),"",ROUND($J550/$I550,4))</f>
        <v/>
      </c>
      <c r="N550" s="17" t="n"/>
      <c r="O550" s="17" t="n"/>
      <c r="P550" s="24">
        <f>IF($J550="","未盘",IF(ROUND($J550,3)=0,"账实相符",IF(COUNTIFS(入库单!$G$4:$G$2503,$A550,入库单!$X$4:$X$2503,"盘盈",入库单!$C$4:$C$2503,"&gt;="&amp;账期起,入库单!$C$4:$C$2503,"&lt;="&amp;账期止)+COUNTIFS(出库单!$D$4:$D$4003,$A550,出库单!$K$4:$K$4003,"盘亏",出库单!$C$4:$C$4003,"&gt;="&amp;账期起,出库单!$C$4:$C$4003,"&lt;="&amp;账期止)&gt;0,"已调账","※差异还没调账")))</f>
        <v/>
      </c>
      <c r="Q550" s="17" t="n"/>
      <c r="R550" s="17" t="n"/>
    </row>
    <row r="551">
      <c r="A551" s="24">
        <f>IF(库存台账!$A551="","",库存台账!$A551)</f>
        <v/>
      </c>
      <c r="B551" s="24">
        <f>IF($A551="","",库存台账!$B551)</f>
        <v/>
      </c>
      <c r="C551" s="24">
        <f>IF($A551="","",库存台账!$C551)</f>
        <v/>
      </c>
      <c r="D551" s="24">
        <f>IF($A551="","",库存台账!$D551)</f>
        <v/>
      </c>
      <c r="E551" s="24">
        <f>IF($A551="","",库存台账!$E551)</f>
        <v/>
      </c>
      <c r="F551" s="24">
        <f>IF($A551="","",库存台账!$F551)</f>
        <v/>
      </c>
      <c r="G551" s="17" t="n"/>
      <c r="H551" s="23" t="n"/>
      <c r="I551" s="27">
        <f>IF($A551="","",库存台账!$X551)</f>
        <v/>
      </c>
      <c r="J551" s="27">
        <f>IF(OR($A551="",$H551=""),"",ROUND($H551-$I551,3))</f>
        <v/>
      </c>
      <c r="K551" s="26">
        <f>IF($A551="","",库存台账!$K551)</f>
        <v/>
      </c>
      <c r="L551" s="26">
        <f>IF($J551="","",ROUND($J551*$K551,0))</f>
        <v/>
      </c>
      <c r="M551" s="37">
        <f>IF(OR($J551="",$I551=0),"",ROUND($J551/$I551,4))</f>
        <v/>
      </c>
      <c r="N551" s="17" t="n"/>
      <c r="O551" s="17" t="n"/>
      <c r="P551" s="24">
        <f>IF($J551="","未盘",IF(ROUND($J551,3)=0,"账实相符",IF(COUNTIFS(入库单!$G$4:$G$2503,$A551,入库单!$X$4:$X$2503,"盘盈",入库单!$C$4:$C$2503,"&gt;="&amp;账期起,入库单!$C$4:$C$2503,"&lt;="&amp;账期止)+COUNTIFS(出库单!$D$4:$D$4003,$A551,出库单!$K$4:$K$4003,"盘亏",出库单!$C$4:$C$4003,"&gt;="&amp;账期起,出库单!$C$4:$C$4003,"&lt;="&amp;账期止)&gt;0,"已调账","※差异还没调账")))</f>
        <v/>
      </c>
      <c r="Q551" s="17" t="n"/>
      <c r="R551" s="17" t="n"/>
    </row>
    <row r="552">
      <c r="A552" s="24">
        <f>IF(库存台账!$A552="","",库存台账!$A552)</f>
        <v/>
      </c>
      <c r="B552" s="24">
        <f>IF($A552="","",库存台账!$B552)</f>
        <v/>
      </c>
      <c r="C552" s="24">
        <f>IF($A552="","",库存台账!$C552)</f>
        <v/>
      </c>
      <c r="D552" s="24">
        <f>IF($A552="","",库存台账!$D552)</f>
        <v/>
      </c>
      <c r="E552" s="24">
        <f>IF($A552="","",库存台账!$E552)</f>
        <v/>
      </c>
      <c r="F552" s="24">
        <f>IF($A552="","",库存台账!$F552)</f>
        <v/>
      </c>
      <c r="G552" s="17" t="n"/>
      <c r="H552" s="23" t="n"/>
      <c r="I552" s="27">
        <f>IF($A552="","",库存台账!$X552)</f>
        <v/>
      </c>
      <c r="J552" s="27">
        <f>IF(OR($A552="",$H552=""),"",ROUND($H552-$I552,3))</f>
        <v/>
      </c>
      <c r="K552" s="26">
        <f>IF($A552="","",库存台账!$K552)</f>
        <v/>
      </c>
      <c r="L552" s="26">
        <f>IF($J552="","",ROUND($J552*$K552,0))</f>
        <v/>
      </c>
      <c r="M552" s="37">
        <f>IF(OR($J552="",$I552=0),"",ROUND($J552/$I552,4))</f>
        <v/>
      </c>
      <c r="N552" s="17" t="n"/>
      <c r="O552" s="17" t="n"/>
      <c r="P552" s="24">
        <f>IF($J552="","未盘",IF(ROUND($J552,3)=0,"账实相符",IF(COUNTIFS(入库单!$G$4:$G$2503,$A552,入库单!$X$4:$X$2503,"盘盈",入库单!$C$4:$C$2503,"&gt;="&amp;账期起,入库单!$C$4:$C$2503,"&lt;="&amp;账期止)+COUNTIFS(出库单!$D$4:$D$4003,$A552,出库单!$K$4:$K$4003,"盘亏",出库单!$C$4:$C$4003,"&gt;="&amp;账期起,出库单!$C$4:$C$4003,"&lt;="&amp;账期止)&gt;0,"已调账","※差异还没调账")))</f>
        <v/>
      </c>
      <c r="Q552" s="17" t="n"/>
      <c r="R552" s="17" t="n"/>
    </row>
    <row r="553">
      <c r="A553" s="24">
        <f>IF(库存台账!$A553="","",库存台账!$A553)</f>
        <v/>
      </c>
      <c r="B553" s="24">
        <f>IF($A553="","",库存台账!$B553)</f>
        <v/>
      </c>
      <c r="C553" s="24">
        <f>IF($A553="","",库存台账!$C553)</f>
        <v/>
      </c>
      <c r="D553" s="24">
        <f>IF($A553="","",库存台账!$D553)</f>
        <v/>
      </c>
      <c r="E553" s="24">
        <f>IF($A553="","",库存台账!$E553)</f>
        <v/>
      </c>
      <c r="F553" s="24">
        <f>IF($A553="","",库存台账!$F553)</f>
        <v/>
      </c>
      <c r="G553" s="17" t="n"/>
      <c r="H553" s="23" t="n"/>
      <c r="I553" s="27">
        <f>IF($A553="","",库存台账!$X553)</f>
        <v/>
      </c>
      <c r="J553" s="27">
        <f>IF(OR($A553="",$H553=""),"",ROUND($H553-$I553,3))</f>
        <v/>
      </c>
      <c r="K553" s="26">
        <f>IF($A553="","",库存台账!$K553)</f>
        <v/>
      </c>
      <c r="L553" s="26">
        <f>IF($J553="","",ROUND($J553*$K553,0))</f>
        <v/>
      </c>
      <c r="M553" s="37">
        <f>IF(OR($J553="",$I553=0),"",ROUND($J553/$I553,4))</f>
        <v/>
      </c>
      <c r="N553" s="17" t="n"/>
      <c r="O553" s="17" t="n"/>
      <c r="P553" s="24">
        <f>IF($J553="","未盘",IF(ROUND($J553,3)=0,"账实相符",IF(COUNTIFS(入库单!$G$4:$G$2503,$A553,入库单!$X$4:$X$2503,"盘盈",入库单!$C$4:$C$2503,"&gt;="&amp;账期起,入库单!$C$4:$C$2503,"&lt;="&amp;账期止)+COUNTIFS(出库单!$D$4:$D$4003,$A553,出库单!$K$4:$K$4003,"盘亏",出库单!$C$4:$C$4003,"&gt;="&amp;账期起,出库单!$C$4:$C$4003,"&lt;="&amp;账期止)&gt;0,"已调账","※差异还没调账")))</f>
        <v/>
      </c>
      <c r="Q553" s="17" t="n"/>
      <c r="R553" s="17" t="n"/>
    </row>
    <row r="554">
      <c r="A554" s="24">
        <f>IF(库存台账!$A554="","",库存台账!$A554)</f>
        <v/>
      </c>
      <c r="B554" s="24">
        <f>IF($A554="","",库存台账!$B554)</f>
        <v/>
      </c>
      <c r="C554" s="24">
        <f>IF($A554="","",库存台账!$C554)</f>
        <v/>
      </c>
      <c r="D554" s="24">
        <f>IF($A554="","",库存台账!$D554)</f>
        <v/>
      </c>
      <c r="E554" s="24">
        <f>IF($A554="","",库存台账!$E554)</f>
        <v/>
      </c>
      <c r="F554" s="24">
        <f>IF($A554="","",库存台账!$F554)</f>
        <v/>
      </c>
      <c r="G554" s="17" t="n"/>
      <c r="H554" s="23" t="n"/>
      <c r="I554" s="27">
        <f>IF($A554="","",库存台账!$X554)</f>
        <v/>
      </c>
      <c r="J554" s="27">
        <f>IF(OR($A554="",$H554=""),"",ROUND($H554-$I554,3))</f>
        <v/>
      </c>
      <c r="K554" s="26">
        <f>IF($A554="","",库存台账!$K554)</f>
        <v/>
      </c>
      <c r="L554" s="26">
        <f>IF($J554="","",ROUND($J554*$K554,0))</f>
        <v/>
      </c>
      <c r="M554" s="37">
        <f>IF(OR($J554="",$I554=0),"",ROUND($J554/$I554,4))</f>
        <v/>
      </c>
      <c r="N554" s="17" t="n"/>
      <c r="O554" s="17" t="n"/>
      <c r="P554" s="24">
        <f>IF($J554="","未盘",IF(ROUND($J554,3)=0,"账实相符",IF(COUNTIFS(入库单!$G$4:$G$2503,$A554,入库单!$X$4:$X$2503,"盘盈",入库单!$C$4:$C$2503,"&gt;="&amp;账期起,入库单!$C$4:$C$2503,"&lt;="&amp;账期止)+COUNTIFS(出库单!$D$4:$D$4003,$A554,出库单!$K$4:$K$4003,"盘亏",出库单!$C$4:$C$4003,"&gt;="&amp;账期起,出库单!$C$4:$C$4003,"&lt;="&amp;账期止)&gt;0,"已调账","※差异还没调账")))</f>
        <v/>
      </c>
      <c r="Q554" s="17" t="n"/>
      <c r="R554" s="17" t="n"/>
    </row>
    <row r="555">
      <c r="A555" s="24">
        <f>IF(库存台账!$A555="","",库存台账!$A555)</f>
        <v/>
      </c>
      <c r="B555" s="24">
        <f>IF($A555="","",库存台账!$B555)</f>
        <v/>
      </c>
      <c r="C555" s="24">
        <f>IF($A555="","",库存台账!$C555)</f>
        <v/>
      </c>
      <c r="D555" s="24">
        <f>IF($A555="","",库存台账!$D555)</f>
        <v/>
      </c>
      <c r="E555" s="24">
        <f>IF($A555="","",库存台账!$E555)</f>
        <v/>
      </c>
      <c r="F555" s="24">
        <f>IF($A555="","",库存台账!$F555)</f>
        <v/>
      </c>
      <c r="G555" s="17" t="n"/>
      <c r="H555" s="23" t="n"/>
      <c r="I555" s="27">
        <f>IF($A555="","",库存台账!$X555)</f>
        <v/>
      </c>
      <c r="J555" s="27">
        <f>IF(OR($A555="",$H555=""),"",ROUND($H555-$I555,3))</f>
        <v/>
      </c>
      <c r="K555" s="26">
        <f>IF($A555="","",库存台账!$K555)</f>
        <v/>
      </c>
      <c r="L555" s="26">
        <f>IF($J555="","",ROUND($J555*$K555,0))</f>
        <v/>
      </c>
      <c r="M555" s="37">
        <f>IF(OR($J555="",$I555=0),"",ROUND($J555/$I555,4))</f>
        <v/>
      </c>
      <c r="N555" s="17" t="n"/>
      <c r="O555" s="17" t="n"/>
      <c r="P555" s="24">
        <f>IF($J555="","未盘",IF(ROUND($J555,3)=0,"账实相符",IF(COUNTIFS(入库单!$G$4:$G$2503,$A555,入库单!$X$4:$X$2503,"盘盈",入库单!$C$4:$C$2503,"&gt;="&amp;账期起,入库单!$C$4:$C$2503,"&lt;="&amp;账期止)+COUNTIFS(出库单!$D$4:$D$4003,$A555,出库单!$K$4:$K$4003,"盘亏",出库单!$C$4:$C$4003,"&gt;="&amp;账期起,出库单!$C$4:$C$4003,"&lt;="&amp;账期止)&gt;0,"已调账","※差异还没调账")))</f>
        <v/>
      </c>
      <c r="Q555" s="17" t="n"/>
      <c r="R555" s="17" t="n"/>
    </row>
    <row r="556">
      <c r="A556" s="24">
        <f>IF(库存台账!$A556="","",库存台账!$A556)</f>
        <v/>
      </c>
      <c r="B556" s="24">
        <f>IF($A556="","",库存台账!$B556)</f>
        <v/>
      </c>
      <c r="C556" s="24">
        <f>IF($A556="","",库存台账!$C556)</f>
        <v/>
      </c>
      <c r="D556" s="24">
        <f>IF($A556="","",库存台账!$D556)</f>
        <v/>
      </c>
      <c r="E556" s="24">
        <f>IF($A556="","",库存台账!$E556)</f>
        <v/>
      </c>
      <c r="F556" s="24">
        <f>IF($A556="","",库存台账!$F556)</f>
        <v/>
      </c>
      <c r="G556" s="17" t="n"/>
      <c r="H556" s="23" t="n"/>
      <c r="I556" s="27">
        <f>IF($A556="","",库存台账!$X556)</f>
        <v/>
      </c>
      <c r="J556" s="27">
        <f>IF(OR($A556="",$H556=""),"",ROUND($H556-$I556,3))</f>
        <v/>
      </c>
      <c r="K556" s="26">
        <f>IF($A556="","",库存台账!$K556)</f>
        <v/>
      </c>
      <c r="L556" s="26">
        <f>IF($J556="","",ROUND($J556*$K556,0))</f>
        <v/>
      </c>
      <c r="M556" s="37">
        <f>IF(OR($J556="",$I556=0),"",ROUND($J556/$I556,4))</f>
        <v/>
      </c>
      <c r="N556" s="17" t="n"/>
      <c r="O556" s="17" t="n"/>
      <c r="P556" s="24">
        <f>IF($J556="","未盘",IF(ROUND($J556,3)=0,"账实相符",IF(COUNTIFS(入库单!$G$4:$G$2503,$A556,入库单!$X$4:$X$2503,"盘盈",入库单!$C$4:$C$2503,"&gt;="&amp;账期起,入库单!$C$4:$C$2503,"&lt;="&amp;账期止)+COUNTIFS(出库单!$D$4:$D$4003,$A556,出库单!$K$4:$K$4003,"盘亏",出库单!$C$4:$C$4003,"&gt;="&amp;账期起,出库单!$C$4:$C$4003,"&lt;="&amp;账期止)&gt;0,"已调账","※差异还没调账")))</f>
        <v/>
      </c>
      <c r="Q556" s="17" t="n"/>
      <c r="R556" s="17" t="n"/>
    </row>
    <row r="557">
      <c r="A557" s="24">
        <f>IF(库存台账!$A557="","",库存台账!$A557)</f>
        <v/>
      </c>
      <c r="B557" s="24">
        <f>IF($A557="","",库存台账!$B557)</f>
        <v/>
      </c>
      <c r="C557" s="24">
        <f>IF($A557="","",库存台账!$C557)</f>
        <v/>
      </c>
      <c r="D557" s="24">
        <f>IF($A557="","",库存台账!$D557)</f>
        <v/>
      </c>
      <c r="E557" s="24">
        <f>IF($A557="","",库存台账!$E557)</f>
        <v/>
      </c>
      <c r="F557" s="24">
        <f>IF($A557="","",库存台账!$F557)</f>
        <v/>
      </c>
      <c r="G557" s="17" t="n"/>
      <c r="H557" s="23" t="n"/>
      <c r="I557" s="27">
        <f>IF($A557="","",库存台账!$X557)</f>
        <v/>
      </c>
      <c r="J557" s="27">
        <f>IF(OR($A557="",$H557=""),"",ROUND($H557-$I557,3))</f>
        <v/>
      </c>
      <c r="K557" s="26">
        <f>IF($A557="","",库存台账!$K557)</f>
        <v/>
      </c>
      <c r="L557" s="26">
        <f>IF($J557="","",ROUND($J557*$K557,0))</f>
        <v/>
      </c>
      <c r="M557" s="37">
        <f>IF(OR($J557="",$I557=0),"",ROUND($J557/$I557,4))</f>
        <v/>
      </c>
      <c r="N557" s="17" t="n"/>
      <c r="O557" s="17" t="n"/>
      <c r="P557" s="24">
        <f>IF($J557="","未盘",IF(ROUND($J557,3)=0,"账实相符",IF(COUNTIFS(入库单!$G$4:$G$2503,$A557,入库单!$X$4:$X$2503,"盘盈",入库单!$C$4:$C$2503,"&gt;="&amp;账期起,入库单!$C$4:$C$2503,"&lt;="&amp;账期止)+COUNTIFS(出库单!$D$4:$D$4003,$A557,出库单!$K$4:$K$4003,"盘亏",出库单!$C$4:$C$4003,"&gt;="&amp;账期起,出库单!$C$4:$C$4003,"&lt;="&amp;账期止)&gt;0,"已调账","※差异还没调账")))</f>
        <v/>
      </c>
      <c r="Q557" s="17" t="n"/>
      <c r="R557" s="17" t="n"/>
    </row>
    <row r="558">
      <c r="A558" s="24">
        <f>IF(库存台账!$A558="","",库存台账!$A558)</f>
        <v/>
      </c>
      <c r="B558" s="24">
        <f>IF($A558="","",库存台账!$B558)</f>
        <v/>
      </c>
      <c r="C558" s="24">
        <f>IF($A558="","",库存台账!$C558)</f>
        <v/>
      </c>
      <c r="D558" s="24">
        <f>IF($A558="","",库存台账!$D558)</f>
        <v/>
      </c>
      <c r="E558" s="24">
        <f>IF($A558="","",库存台账!$E558)</f>
        <v/>
      </c>
      <c r="F558" s="24">
        <f>IF($A558="","",库存台账!$F558)</f>
        <v/>
      </c>
      <c r="G558" s="17" t="n"/>
      <c r="H558" s="23" t="n"/>
      <c r="I558" s="27">
        <f>IF($A558="","",库存台账!$X558)</f>
        <v/>
      </c>
      <c r="J558" s="27">
        <f>IF(OR($A558="",$H558=""),"",ROUND($H558-$I558,3))</f>
        <v/>
      </c>
      <c r="K558" s="26">
        <f>IF($A558="","",库存台账!$K558)</f>
        <v/>
      </c>
      <c r="L558" s="26">
        <f>IF($J558="","",ROUND($J558*$K558,0))</f>
        <v/>
      </c>
      <c r="M558" s="37">
        <f>IF(OR($J558="",$I558=0),"",ROUND($J558/$I558,4))</f>
        <v/>
      </c>
      <c r="N558" s="17" t="n"/>
      <c r="O558" s="17" t="n"/>
      <c r="P558" s="24">
        <f>IF($J558="","未盘",IF(ROUND($J558,3)=0,"账实相符",IF(COUNTIFS(入库单!$G$4:$G$2503,$A558,入库单!$X$4:$X$2503,"盘盈",入库单!$C$4:$C$2503,"&gt;="&amp;账期起,入库单!$C$4:$C$2503,"&lt;="&amp;账期止)+COUNTIFS(出库单!$D$4:$D$4003,$A558,出库单!$K$4:$K$4003,"盘亏",出库单!$C$4:$C$4003,"&gt;="&amp;账期起,出库单!$C$4:$C$4003,"&lt;="&amp;账期止)&gt;0,"已调账","※差异还没调账")))</f>
        <v/>
      </c>
      <c r="Q558" s="17" t="n"/>
      <c r="R558" s="17" t="n"/>
    </row>
    <row r="559">
      <c r="A559" s="24">
        <f>IF(库存台账!$A559="","",库存台账!$A559)</f>
        <v/>
      </c>
      <c r="B559" s="24">
        <f>IF($A559="","",库存台账!$B559)</f>
        <v/>
      </c>
      <c r="C559" s="24">
        <f>IF($A559="","",库存台账!$C559)</f>
        <v/>
      </c>
      <c r="D559" s="24">
        <f>IF($A559="","",库存台账!$D559)</f>
        <v/>
      </c>
      <c r="E559" s="24">
        <f>IF($A559="","",库存台账!$E559)</f>
        <v/>
      </c>
      <c r="F559" s="24">
        <f>IF($A559="","",库存台账!$F559)</f>
        <v/>
      </c>
      <c r="G559" s="17" t="n"/>
      <c r="H559" s="23" t="n"/>
      <c r="I559" s="27">
        <f>IF($A559="","",库存台账!$X559)</f>
        <v/>
      </c>
      <c r="J559" s="27">
        <f>IF(OR($A559="",$H559=""),"",ROUND($H559-$I559,3))</f>
        <v/>
      </c>
      <c r="K559" s="26">
        <f>IF($A559="","",库存台账!$K559)</f>
        <v/>
      </c>
      <c r="L559" s="26">
        <f>IF($J559="","",ROUND($J559*$K559,0))</f>
        <v/>
      </c>
      <c r="M559" s="37">
        <f>IF(OR($J559="",$I559=0),"",ROUND($J559/$I559,4))</f>
        <v/>
      </c>
      <c r="N559" s="17" t="n"/>
      <c r="O559" s="17" t="n"/>
      <c r="P559" s="24">
        <f>IF($J559="","未盘",IF(ROUND($J559,3)=0,"账实相符",IF(COUNTIFS(入库单!$G$4:$G$2503,$A559,入库单!$X$4:$X$2503,"盘盈",入库单!$C$4:$C$2503,"&gt;="&amp;账期起,入库单!$C$4:$C$2503,"&lt;="&amp;账期止)+COUNTIFS(出库单!$D$4:$D$4003,$A559,出库单!$K$4:$K$4003,"盘亏",出库单!$C$4:$C$4003,"&gt;="&amp;账期起,出库单!$C$4:$C$4003,"&lt;="&amp;账期止)&gt;0,"已调账","※差异还没调账")))</f>
        <v/>
      </c>
      <c r="Q559" s="17" t="n"/>
      <c r="R559" s="17" t="n"/>
    </row>
    <row r="560">
      <c r="A560" s="24">
        <f>IF(库存台账!$A560="","",库存台账!$A560)</f>
        <v/>
      </c>
      <c r="B560" s="24">
        <f>IF($A560="","",库存台账!$B560)</f>
        <v/>
      </c>
      <c r="C560" s="24">
        <f>IF($A560="","",库存台账!$C560)</f>
        <v/>
      </c>
      <c r="D560" s="24">
        <f>IF($A560="","",库存台账!$D560)</f>
        <v/>
      </c>
      <c r="E560" s="24">
        <f>IF($A560="","",库存台账!$E560)</f>
        <v/>
      </c>
      <c r="F560" s="24">
        <f>IF($A560="","",库存台账!$F560)</f>
        <v/>
      </c>
      <c r="G560" s="17" t="n"/>
      <c r="H560" s="23" t="n"/>
      <c r="I560" s="27">
        <f>IF($A560="","",库存台账!$X560)</f>
        <v/>
      </c>
      <c r="J560" s="27">
        <f>IF(OR($A560="",$H560=""),"",ROUND($H560-$I560,3))</f>
        <v/>
      </c>
      <c r="K560" s="26">
        <f>IF($A560="","",库存台账!$K560)</f>
        <v/>
      </c>
      <c r="L560" s="26">
        <f>IF($J560="","",ROUND($J560*$K560,0))</f>
        <v/>
      </c>
      <c r="M560" s="37">
        <f>IF(OR($J560="",$I560=0),"",ROUND($J560/$I560,4))</f>
        <v/>
      </c>
      <c r="N560" s="17" t="n"/>
      <c r="O560" s="17" t="n"/>
      <c r="P560" s="24">
        <f>IF($J560="","未盘",IF(ROUND($J560,3)=0,"账实相符",IF(COUNTIFS(入库单!$G$4:$G$2503,$A560,入库单!$X$4:$X$2503,"盘盈",入库单!$C$4:$C$2503,"&gt;="&amp;账期起,入库单!$C$4:$C$2503,"&lt;="&amp;账期止)+COUNTIFS(出库单!$D$4:$D$4003,$A560,出库单!$K$4:$K$4003,"盘亏",出库单!$C$4:$C$4003,"&gt;="&amp;账期起,出库单!$C$4:$C$4003,"&lt;="&amp;账期止)&gt;0,"已调账","※差异还没调账")))</f>
        <v/>
      </c>
      <c r="Q560" s="17" t="n"/>
      <c r="R560" s="17" t="n"/>
    </row>
    <row r="561">
      <c r="A561" s="24">
        <f>IF(库存台账!$A561="","",库存台账!$A561)</f>
        <v/>
      </c>
      <c r="B561" s="24">
        <f>IF($A561="","",库存台账!$B561)</f>
        <v/>
      </c>
      <c r="C561" s="24">
        <f>IF($A561="","",库存台账!$C561)</f>
        <v/>
      </c>
      <c r="D561" s="24">
        <f>IF($A561="","",库存台账!$D561)</f>
        <v/>
      </c>
      <c r="E561" s="24">
        <f>IF($A561="","",库存台账!$E561)</f>
        <v/>
      </c>
      <c r="F561" s="24">
        <f>IF($A561="","",库存台账!$F561)</f>
        <v/>
      </c>
      <c r="G561" s="17" t="n"/>
      <c r="H561" s="23" t="n"/>
      <c r="I561" s="27">
        <f>IF($A561="","",库存台账!$X561)</f>
        <v/>
      </c>
      <c r="J561" s="27">
        <f>IF(OR($A561="",$H561=""),"",ROUND($H561-$I561,3))</f>
        <v/>
      </c>
      <c r="K561" s="26">
        <f>IF($A561="","",库存台账!$K561)</f>
        <v/>
      </c>
      <c r="L561" s="26">
        <f>IF($J561="","",ROUND($J561*$K561,0))</f>
        <v/>
      </c>
      <c r="M561" s="37">
        <f>IF(OR($J561="",$I561=0),"",ROUND($J561/$I561,4))</f>
        <v/>
      </c>
      <c r="N561" s="17" t="n"/>
      <c r="O561" s="17" t="n"/>
      <c r="P561" s="24">
        <f>IF($J561="","未盘",IF(ROUND($J561,3)=0,"账实相符",IF(COUNTIFS(入库单!$G$4:$G$2503,$A561,入库单!$X$4:$X$2503,"盘盈",入库单!$C$4:$C$2503,"&gt;="&amp;账期起,入库单!$C$4:$C$2503,"&lt;="&amp;账期止)+COUNTIFS(出库单!$D$4:$D$4003,$A561,出库单!$K$4:$K$4003,"盘亏",出库单!$C$4:$C$4003,"&gt;="&amp;账期起,出库单!$C$4:$C$4003,"&lt;="&amp;账期止)&gt;0,"已调账","※差异还没调账")))</f>
        <v/>
      </c>
      <c r="Q561" s="17" t="n"/>
      <c r="R561" s="17" t="n"/>
    </row>
    <row r="562">
      <c r="A562" s="24">
        <f>IF(库存台账!$A562="","",库存台账!$A562)</f>
        <v/>
      </c>
      <c r="B562" s="24">
        <f>IF($A562="","",库存台账!$B562)</f>
        <v/>
      </c>
      <c r="C562" s="24">
        <f>IF($A562="","",库存台账!$C562)</f>
        <v/>
      </c>
      <c r="D562" s="24">
        <f>IF($A562="","",库存台账!$D562)</f>
        <v/>
      </c>
      <c r="E562" s="24">
        <f>IF($A562="","",库存台账!$E562)</f>
        <v/>
      </c>
      <c r="F562" s="24">
        <f>IF($A562="","",库存台账!$F562)</f>
        <v/>
      </c>
      <c r="G562" s="17" t="n"/>
      <c r="H562" s="23" t="n"/>
      <c r="I562" s="27">
        <f>IF($A562="","",库存台账!$X562)</f>
        <v/>
      </c>
      <c r="J562" s="27">
        <f>IF(OR($A562="",$H562=""),"",ROUND($H562-$I562,3))</f>
        <v/>
      </c>
      <c r="K562" s="26">
        <f>IF($A562="","",库存台账!$K562)</f>
        <v/>
      </c>
      <c r="L562" s="26">
        <f>IF($J562="","",ROUND($J562*$K562,0))</f>
        <v/>
      </c>
      <c r="M562" s="37">
        <f>IF(OR($J562="",$I562=0),"",ROUND($J562/$I562,4))</f>
        <v/>
      </c>
      <c r="N562" s="17" t="n"/>
      <c r="O562" s="17" t="n"/>
      <c r="P562" s="24">
        <f>IF($J562="","未盘",IF(ROUND($J562,3)=0,"账实相符",IF(COUNTIFS(入库单!$G$4:$G$2503,$A562,入库单!$X$4:$X$2503,"盘盈",入库单!$C$4:$C$2503,"&gt;="&amp;账期起,入库单!$C$4:$C$2503,"&lt;="&amp;账期止)+COUNTIFS(出库单!$D$4:$D$4003,$A562,出库单!$K$4:$K$4003,"盘亏",出库单!$C$4:$C$4003,"&gt;="&amp;账期起,出库单!$C$4:$C$4003,"&lt;="&amp;账期止)&gt;0,"已调账","※差异还没调账")))</f>
        <v/>
      </c>
      <c r="Q562" s="17" t="n"/>
      <c r="R562" s="17" t="n"/>
    </row>
    <row r="563">
      <c r="A563" s="24">
        <f>IF(库存台账!$A563="","",库存台账!$A563)</f>
        <v/>
      </c>
      <c r="B563" s="24">
        <f>IF($A563="","",库存台账!$B563)</f>
        <v/>
      </c>
      <c r="C563" s="24">
        <f>IF($A563="","",库存台账!$C563)</f>
        <v/>
      </c>
      <c r="D563" s="24">
        <f>IF($A563="","",库存台账!$D563)</f>
        <v/>
      </c>
      <c r="E563" s="24">
        <f>IF($A563="","",库存台账!$E563)</f>
        <v/>
      </c>
      <c r="F563" s="24">
        <f>IF($A563="","",库存台账!$F563)</f>
        <v/>
      </c>
      <c r="G563" s="17" t="n"/>
      <c r="H563" s="23" t="n"/>
      <c r="I563" s="27">
        <f>IF($A563="","",库存台账!$X563)</f>
        <v/>
      </c>
      <c r="J563" s="27">
        <f>IF(OR($A563="",$H563=""),"",ROUND($H563-$I563,3))</f>
        <v/>
      </c>
      <c r="K563" s="26">
        <f>IF($A563="","",库存台账!$K563)</f>
        <v/>
      </c>
      <c r="L563" s="26">
        <f>IF($J563="","",ROUND($J563*$K563,0))</f>
        <v/>
      </c>
      <c r="M563" s="37">
        <f>IF(OR($J563="",$I563=0),"",ROUND($J563/$I563,4))</f>
        <v/>
      </c>
      <c r="N563" s="17" t="n"/>
      <c r="O563" s="17" t="n"/>
      <c r="P563" s="24">
        <f>IF($J563="","未盘",IF(ROUND($J563,3)=0,"账实相符",IF(COUNTIFS(入库单!$G$4:$G$2503,$A563,入库单!$X$4:$X$2503,"盘盈",入库单!$C$4:$C$2503,"&gt;="&amp;账期起,入库单!$C$4:$C$2503,"&lt;="&amp;账期止)+COUNTIFS(出库单!$D$4:$D$4003,$A563,出库单!$K$4:$K$4003,"盘亏",出库单!$C$4:$C$4003,"&gt;="&amp;账期起,出库单!$C$4:$C$4003,"&lt;="&amp;账期止)&gt;0,"已调账","※差异还没调账")))</f>
        <v/>
      </c>
      <c r="Q563" s="17" t="n"/>
      <c r="R563" s="17" t="n"/>
    </row>
    <row r="564">
      <c r="A564" s="24">
        <f>IF(库存台账!$A564="","",库存台账!$A564)</f>
        <v/>
      </c>
      <c r="B564" s="24">
        <f>IF($A564="","",库存台账!$B564)</f>
        <v/>
      </c>
      <c r="C564" s="24">
        <f>IF($A564="","",库存台账!$C564)</f>
        <v/>
      </c>
      <c r="D564" s="24">
        <f>IF($A564="","",库存台账!$D564)</f>
        <v/>
      </c>
      <c r="E564" s="24">
        <f>IF($A564="","",库存台账!$E564)</f>
        <v/>
      </c>
      <c r="F564" s="24">
        <f>IF($A564="","",库存台账!$F564)</f>
        <v/>
      </c>
      <c r="G564" s="17" t="n"/>
      <c r="H564" s="23" t="n"/>
      <c r="I564" s="27">
        <f>IF($A564="","",库存台账!$X564)</f>
        <v/>
      </c>
      <c r="J564" s="27">
        <f>IF(OR($A564="",$H564=""),"",ROUND($H564-$I564,3))</f>
        <v/>
      </c>
      <c r="K564" s="26">
        <f>IF($A564="","",库存台账!$K564)</f>
        <v/>
      </c>
      <c r="L564" s="26">
        <f>IF($J564="","",ROUND($J564*$K564,0))</f>
        <v/>
      </c>
      <c r="M564" s="37">
        <f>IF(OR($J564="",$I564=0),"",ROUND($J564/$I564,4))</f>
        <v/>
      </c>
      <c r="N564" s="17" t="n"/>
      <c r="O564" s="17" t="n"/>
      <c r="P564" s="24">
        <f>IF($J564="","未盘",IF(ROUND($J564,3)=0,"账实相符",IF(COUNTIFS(入库单!$G$4:$G$2503,$A564,入库单!$X$4:$X$2503,"盘盈",入库单!$C$4:$C$2503,"&gt;="&amp;账期起,入库单!$C$4:$C$2503,"&lt;="&amp;账期止)+COUNTIFS(出库单!$D$4:$D$4003,$A564,出库单!$K$4:$K$4003,"盘亏",出库单!$C$4:$C$4003,"&gt;="&amp;账期起,出库单!$C$4:$C$4003,"&lt;="&amp;账期止)&gt;0,"已调账","※差异还没调账")))</f>
        <v/>
      </c>
      <c r="Q564" s="17" t="n"/>
      <c r="R564" s="17" t="n"/>
    </row>
    <row r="565">
      <c r="A565" s="24">
        <f>IF(库存台账!$A565="","",库存台账!$A565)</f>
        <v/>
      </c>
      <c r="B565" s="24">
        <f>IF($A565="","",库存台账!$B565)</f>
        <v/>
      </c>
      <c r="C565" s="24">
        <f>IF($A565="","",库存台账!$C565)</f>
        <v/>
      </c>
      <c r="D565" s="24">
        <f>IF($A565="","",库存台账!$D565)</f>
        <v/>
      </c>
      <c r="E565" s="24">
        <f>IF($A565="","",库存台账!$E565)</f>
        <v/>
      </c>
      <c r="F565" s="24">
        <f>IF($A565="","",库存台账!$F565)</f>
        <v/>
      </c>
      <c r="G565" s="17" t="n"/>
      <c r="H565" s="23" t="n"/>
      <c r="I565" s="27">
        <f>IF($A565="","",库存台账!$X565)</f>
        <v/>
      </c>
      <c r="J565" s="27">
        <f>IF(OR($A565="",$H565=""),"",ROUND($H565-$I565,3))</f>
        <v/>
      </c>
      <c r="K565" s="26">
        <f>IF($A565="","",库存台账!$K565)</f>
        <v/>
      </c>
      <c r="L565" s="26">
        <f>IF($J565="","",ROUND($J565*$K565,0))</f>
        <v/>
      </c>
      <c r="M565" s="37">
        <f>IF(OR($J565="",$I565=0),"",ROUND($J565/$I565,4))</f>
        <v/>
      </c>
      <c r="N565" s="17" t="n"/>
      <c r="O565" s="17" t="n"/>
      <c r="P565" s="24">
        <f>IF($J565="","未盘",IF(ROUND($J565,3)=0,"账实相符",IF(COUNTIFS(入库单!$G$4:$G$2503,$A565,入库单!$X$4:$X$2503,"盘盈",入库单!$C$4:$C$2503,"&gt;="&amp;账期起,入库单!$C$4:$C$2503,"&lt;="&amp;账期止)+COUNTIFS(出库单!$D$4:$D$4003,$A565,出库单!$K$4:$K$4003,"盘亏",出库单!$C$4:$C$4003,"&gt;="&amp;账期起,出库单!$C$4:$C$4003,"&lt;="&amp;账期止)&gt;0,"已调账","※差异还没调账")))</f>
        <v/>
      </c>
      <c r="Q565" s="17" t="n"/>
      <c r="R565" s="17" t="n"/>
    </row>
    <row r="566">
      <c r="A566" s="24">
        <f>IF(库存台账!$A566="","",库存台账!$A566)</f>
        <v/>
      </c>
      <c r="B566" s="24">
        <f>IF($A566="","",库存台账!$B566)</f>
        <v/>
      </c>
      <c r="C566" s="24">
        <f>IF($A566="","",库存台账!$C566)</f>
        <v/>
      </c>
      <c r="D566" s="24">
        <f>IF($A566="","",库存台账!$D566)</f>
        <v/>
      </c>
      <c r="E566" s="24">
        <f>IF($A566="","",库存台账!$E566)</f>
        <v/>
      </c>
      <c r="F566" s="24">
        <f>IF($A566="","",库存台账!$F566)</f>
        <v/>
      </c>
      <c r="G566" s="17" t="n"/>
      <c r="H566" s="23" t="n"/>
      <c r="I566" s="27">
        <f>IF($A566="","",库存台账!$X566)</f>
        <v/>
      </c>
      <c r="J566" s="27">
        <f>IF(OR($A566="",$H566=""),"",ROUND($H566-$I566,3))</f>
        <v/>
      </c>
      <c r="K566" s="26">
        <f>IF($A566="","",库存台账!$K566)</f>
        <v/>
      </c>
      <c r="L566" s="26">
        <f>IF($J566="","",ROUND($J566*$K566,0))</f>
        <v/>
      </c>
      <c r="M566" s="37">
        <f>IF(OR($J566="",$I566=0),"",ROUND($J566/$I566,4))</f>
        <v/>
      </c>
      <c r="N566" s="17" t="n"/>
      <c r="O566" s="17" t="n"/>
      <c r="P566" s="24">
        <f>IF($J566="","未盘",IF(ROUND($J566,3)=0,"账实相符",IF(COUNTIFS(入库单!$G$4:$G$2503,$A566,入库单!$X$4:$X$2503,"盘盈",入库单!$C$4:$C$2503,"&gt;="&amp;账期起,入库单!$C$4:$C$2503,"&lt;="&amp;账期止)+COUNTIFS(出库单!$D$4:$D$4003,$A566,出库单!$K$4:$K$4003,"盘亏",出库单!$C$4:$C$4003,"&gt;="&amp;账期起,出库单!$C$4:$C$4003,"&lt;="&amp;账期止)&gt;0,"已调账","※差异还没调账")))</f>
        <v/>
      </c>
      <c r="Q566" s="17" t="n"/>
      <c r="R566" s="17" t="n"/>
    </row>
    <row r="567">
      <c r="A567" s="24">
        <f>IF(库存台账!$A567="","",库存台账!$A567)</f>
        <v/>
      </c>
      <c r="B567" s="24">
        <f>IF($A567="","",库存台账!$B567)</f>
        <v/>
      </c>
      <c r="C567" s="24">
        <f>IF($A567="","",库存台账!$C567)</f>
        <v/>
      </c>
      <c r="D567" s="24">
        <f>IF($A567="","",库存台账!$D567)</f>
        <v/>
      </c>
      <c r="E567" s="24">
        <f>IF($A567="","",库存台账!$E567)</f>
        <v/>
      </c>
      <c r="F567" s="24">
        <f>IF($A567="","",库存台账!$F567)</f>
        <v/>
      </c>
      <c r="G567" s="17" t="n"/>
      <c r="H567" s="23" t="n"/>
      <c r="I567" s="27">
        <f>IF($A567="","",库存台账!$X567)</f>
        <v/>
      </c>
      <c r="J567" s="27">
        <f>IF(OR($A567="",$H567=""),"",ROUND($H567-$I567,3))</f>
        <v/>
      </c>
      <c r="K567" s="26">
        <f>IF($A567="","",库存台账!$K567)</f>
        <v/>
      </c>
      <c r="L567" s="26">
        <f>IF($J567="","",ROUND($J567*$K567,0))</f>
        <v/>
      </c>
      <c r="M567" s="37">
        <f>IF(OR($J567="",$I567=0),"",ROUND($J567/$I567,4))</f>
        <v/>
      </c>
      <c r="N567" s="17" t="n"/>
      <c r="O567" s="17" t="n"/>
      <c r="P567" s="24">
        <f>IF($J567="","未盘",IF(ROUND($J567,3)=0,"账实相符",IF(COUNTIFS(入库单!$G$4:$G$2503,$A567,入库单!$X$4:$X$2503,"盘盈",入库单!$C$4:$C$2503,"&gt;="&amp;账期起,入库单!$C$4:$C$2503,"&lt;="&amp;账期止)+COUNTIFS(出库单!$D$4:$D$4003,$A567,出库单!$K$4:$K$4003,"盘亏",出库单!$C$4:$C$4003,"&gt;="&amp;账期起,出库单!$C$4:$C$4003,"&lt;="&amp;账期止)&gt;0,"已调账","※差异还没调账")))</f>
        <v/>
      </c>
      <c r="Q567" s="17" t="n"/>
      <c r="R567" s="17" t="n"/>
    </row>
    <row r="568">
      <c r="A568" s="24">
        <f>IF(库存台账!$A568="","",库存台账!$A568)</f>
        <v/>
      </c>
      <c r="B568" s="24">
        <f>IF($A568="","",库存台账!$B568)</f>
        <v/>
      </c>
      <c r="C568" s="24">
        <f>IF($A568="","",库存台账!$C568)</f>
        <v/>
      </c>
      <c r="D568" s="24">
        <f>IF($A568="","",库存台账!$D568)</f>
        <v/>
      </c>
      <c r="E568" s="24">
        <f>IF($A568="","",库存台账!$E568)</f>
        <v/>
      </c>
      <c r="F568" s="24">
        <f>IF($A568="","",库存台账!$F568)</f>
        <v/>
      </c>
      <c r="G568" s="17" t="n"/>
      <c r="H568" s="23" t="n"/>
      <c r="I568" s="27">
        <f>IF($A568="","",库存台账!$X568)</f>
        <v/>
      </c>
      <c r="J568" s="27">
        <f>IF(OR($A568="",$H568=""),"",ROUND($H568-$I568,3))</f>
        <v/>
      </c>
      <c r="K568" s="26">
        <f>IF($A568="","",库存台账!$K568)</f>
        <v/>
      </c>
      <c r="L568" s="26">
        <f>IF($J568="","",ROUND($J568*$K568,0))</f>
        <v/>
      </c>
      <c r="M568" s="37">
        <f>IF(OR($J568="",$I568=0),"",ROUND($J568/$I568,4))</f>
        <v/>
      </c>
      <c r="N568" s="17" t="n"/>
      <c r="O568" s="17" t="n"/>
      <c r="P568" s="24">
        <f>IF($J568="","未盘",IF(ROUND($J568,3)=0,"账实相符",IF(COUNTIFS(入库单!$G$4:$G$2503,$A568,入库单!$X$4:$X$2503,"盘盈",入库单!$C$4:$C$2503,"&gt;="&amp;账期起,入库单!$C$4:$C$2503,"&lt;="&amp;账期止)+COUNTIFS(出库单!$D$4:$D$4003,$A568,出库单!$K$4:$K$4003,"盘亏",出库单!$C$4:$C$4003,"&gt;="&amp;账期起,出库单!$C$4:$C$4003,"&lt;="&amp;账期止)&gt;0,"已调账","※差异还没调账")))</f>
        <v/>
      </c>
      <c r="Q568" s="17" t="n"/>
      <c r="R568" s="17" t="n"/>
    </row>
    <row r="569">
      <c r="A569" s="24">
        <f>IF(库存台账!$A569="","",库存台账!$A569)</f>
        <v/>
      </c>
      <c r="B569" s="24">
        <f>IF($A569="","",库存台账!$B569)</f>
        <v/>
      </c>
      <c r="C569" s="24">
        <f>IF($A569="","",库存台账!$C569)</f>
        <v/>
      </c>
      <c r="D569" s="24">
        <f>IF($A569="","",库存台账!$D569)</f>
        <v/>
      </c>
      <c r="E569" s="24">
        <f>IF($A569="","",库存台账!$E569)</f>
        <v/>
      </c>
      <c r="F569" s="24">
        <f>IF($A569="","",库存台账!$F569)</f>
        <v/>
      </c>
      <c r="G569" s="17" t="n"/>
      <c r="H569" s="23" t="n"/>
      <c r="I569" s="27">
        <f>IF($A569="","",库存台账!$X569)</f>
        <v/>
      </c>
      <c r="J569" s="27">
        <f>IF(OR($A569="",$H569=""),"",ROUND($H569-$I569,3))</f>
        <v/>
      </c>
      <c r="K569" s="26">
        <f>IF($A569="","",库存台账!$K569)</f>
        <v/>
      </c>
      <c r="L569" s="26">
        <f>IF($J569="","",ROUND($J569*$K569,0))</f>
        <v/>
      </c>
      <c r="M569" s="37">
        <f>IF(OR($J569="",$I569=0),"",ROUND($J569/$I569,4))</f>
        <v/>
      </c>
      <c r="N569" s="17" t="n"/>
      <c r="O569" s="17" t="n"/>
      <c r="P569" s="24">
        <f>IF($J569="","未盘",IF(ROUND($J569,3)=0,"账实相符",IF(COUNTIFS(入库单!$G$4:$G$2503,$A569,入库单!$X$4:$X$2503,"盘盈",入库单!$C$4:$C$2503,"&gt;="&amp;账期起,入库单!$C$4:$C$2503,"&lt;="&amp;账期止)+COUNTIFS(出库单!$D$4:$D$4003,$A569,出库单!$K$4:$K$4003,"盘亏",出库单!$C$4:$C$4003,"&gt;="&amp;账期起,出库单!$C$4:$C$4003,"&lt;="&amp;账期止)&gt;0,"已调账","※差异还没调账")))</f>
        <v/>
      </c>
      <c r="Q569" s="17" t="n"/>
      <c r="R569" s="17" t="n"/>
    </row>
    <row r="570">
      <c r="A570" s="24">
        <f>IF(库存台账!$A570="","",库存台账!$A570)</f>
        <v/>
      </c>
      <c r="B570" s="24">
        <f>IF($A570="","",库存台账!$B570)</f>
        <v/>
      </c>
      <c r="C570" s="24">
        <f>IF($A570="","",库存台账!$C570)</f>
        <v/>
      </c>
      <c r="D570" s="24">
        <f>IF($A570="","",库存台账!$D570)</f>
        <v/>
      </c>
      <c r="E570" s="24">
        <f>IF($A570="","",库存台账!$E570)</f>
        <v/>
      </c>
      <c r="F570" s="24">
        <f>IF($A570="","",库存台账!$F570)</f>
        <v/>
      </c>
      <c r="G570" s="17" t="n"/>
      <c r="H570" s="23" t="n"/>
      <c r="I570" s="27">
        <f>IF($A570="","",库存台账!$X570)</f>
        <v/>
      </c>
      <c r="J570" s="27">
        <f>IF(OR($A570="",$H570=""),"",ROUND($H570-$I570,3))</f>
        <v/>
      </c>
      <c r="K570" s="26">
        <f>IF($A570="","",库存台账!$K570)</f>
        <v/>
      </c>
      <c r="L570" s="26">
        <f>IF($J570="","",ROUND($J570*$K570,0))</f>
        <v/>
      </c>
      <c r="M570" s="37">
        <f>IF(OR($J570="",$I570=0),"",ROUND($J570/$I570,4))</f>
        <v/>
      </c>
      <c r="N570" s="17" t="n"/>
      <c r="O570" s="17" t="n"/>
      <c r="P570" s="24">
        <f>IF($J570="","未盘",IF(ROUND($J570,3)=0,"账实相符",IF(COUNTIFS(入库单!$G$4:$G$2503,$A570,入库单!$X$4:$X$2503,"盘盈",入库单!$C$4:$C$2503,"&gt;="&amp;账期起,入库单!$C$4:$C$2503,"&lt;="&amp;账期止)+COUNTIFS(出库单!$D$4:$D$4003,$A570,出库单!$K$4:$K$4003,"盘亏",出库单!$C$4:$C$4003,"&gt;="&amp;账期起,出库单!$C$4:$C$4003,"&lt;="&amp;账期止)&gt;0,"已调账","※差异还没调账")))</f>
        <v/>
      </c>
      <c r="Q570" s="17" t="n"/>
      <c r="R570" s="17" t="n"/>
    </row>
    <row r="571">
      <c r="A571" s="24">
        <f>IF(库存台账!$A571="","",库存台账!$A571)</f>
        <v/>
      </c>
      <c r="B571" s="24">
        <f>IF($A571="","",库存台账!$B571)</f>
        <v/>
      </c>
      <c r="C571" s="24">
        <f>IF($A571="","",库存台账!$C571)</f>
        <v/>
      </c>
      <c r="D571" s="24">
        <f>IF($A571="","",库存台账!$D571)</f>
        <v/>
      </c>
      <c r="E571" s="24">
        <f>IF($A571="","",库存台账!$E571)</f>
        <v/>
      </c>
      <c r="F571" s="24">
        <f>IF($A571="","",库存台账!$F571)</f>
        <v/>
      </c>
      <c r="G571" s="17" t="n"/>
      <c r="H571" s="23" t="n"/>
      <c r="I571" s="27">
        <f>IF($A571="","",库存台账!$X571)</f>
        <v/>
      </c>
      <c r="J571" s="27">
        <f>IF(OR($A571="",$H571=""),"",ROUND($H571-$I571,3))</f>
        <v/>
      </c>
      <c r="K571" s="26">
        <f>IF($A571="","",库存台账!$K571)</f>
        <v/>
      </c>
      <c r="L571" s="26">
        <f>IF($J571="","",ROUND($J571*$K571,0))</f>
        <v/>
      </c>
      <c r="M571" s="37">
        <f>IF(OR($J571="",$I571=0),"",ROUND($J571/$I571,4))</f>
        <v/>
      </c>
      <c r="N571" s="17" t="n"/>
      <c r="O571" s="17" t="n"/>
      <c r="P571" s="24">
        <f>IF($J571="","未盘",IF(ROUND($J571,3)=0,"账实相符",IF(COUNTIFS(入库单!$G$4:$G$2503,$A571,入库单!$X$4:$X$2503,"盘盈",入库单!$C$4:$C$2503,"&gt;="&amp;账期起,入库单!$C$4:$C$2503,"&lt;="&amp;账期止)+COUNTIFS(出库单!$D$4:$D$4003,$A571,出库单!$K$4:$K$4003,"盘亏",出库单!$C$4:$C$4003,"&gt;="&amp;账期起,出库单!$C$4:$C$4003,"&lt;="&amp;账期止)&gt;0,"已调账","※差异还没调账")))</f>
        <v/>
      </c>
      <c r="Q571" s="17" t="n"/>
      <c r="R571" s="17" t="n"/>
    </row>
    <row r="572">
      <c r="A572" s="24">
        <f>IF(库存台账!$A572="","",库存台账!$A572)</f>
        <v/>
      </c>
      <c r="B572" s="24">
        <f>IF($A572="","",库存台账!$B572)</f>
        <v/>
      </c>
      <c r="C572" s="24">
        <f>IF($A572="","",库存台账!$C572)</f>
        <v/>
      </c>
      <c r="D572" s="24">
        <f>IF($A572="","",库存台账!$D572)</f>
        <v/>
      </c>
      <c r="E572" s="24">
        <f>IF($A572="","",库存台账!$E572)</f>
        <v/>
      </c>
      <c r="F572" s="24">
        <f>IF($A572="","",库存台账!$F572)</f>
        <v/>
      </c>
      <c r="G572" s="17" t="n"/>
      <c r="H572" s="23" t="n"/>
      <c r="I572" s="27">
        <f>IF($A572="","",库存台账!$X572)</f>
        <v/>
      </c>
      <c r="J572" s="27">
        <f>IF(OR($A572="",$H572=""),"",ROUND($H572-$I572,3))</f>
        <v/>
      </c>
      <c r="K572" s="26">
        <f>IF($A572="","",库存台账!$K572)</f>
        <v/>
      </c>
      <c r="L572" s="26">
        <f>IF($J572="","",ROUND($J572*$K572,0))</f>
        <v/>
      </c>
      <c r="M572" s="37">
        <f>IF(OR($J572="",$I572=0),"",ROUND($J572/$I572,4))</f>
        <v/>
      </c>
      <c r="N572" s="17" t="n"/>
      <c r="O572" s="17" t="n"/>
      <c r="P572" s="24">
        <f>IF($J572="","未盘",IF(ROUND($J572,3)=0,"账实相符",IF(COUNTIFS(入库单!$G$4:$G$2503,$A572,入库单!$X$4:$X$2503,"盘盈",入库单!$C$4:$C$2503,"&gt;="&amp;账期起,入库单!$C$4:$C$2503,"&lt;="&amp;账期止)+COUNTIFS(出库单!$D$4:$D$4003,$A572,出库单!$K$4:$K$4003,"盘亏",出库单!$C$4:$C$4003,"&gt;="&amp;账期起,出库单!$C$4:$C$4003,"&lt;="&amp;账期止)&gt;0,"已调账","※差异还没调账")))</f>
        <v/>
      </c>
      <c r="Q572" s="17" t="n"/>
      <c r="R572" s="17" t="n"/>
    </row>
    <row r="573">
      <c r="A573" s="24">
        <f>IF(库存台账!$A573="","",库存台账!$A573)</f>
        <v/>
      </c>
      <c r="B573" s="24">
        <f>IF($A573="","",库存台账!$B573)</f>
        <v/>
      </c>
      <c r="C573" s="24">
        <f>IF($A573="","",库存台账!$C573)</f>
        <v/>
      </c>
      <c r="D573" s="24">
        <f>IF($A573="","",库存台账!$D573)</f>
        <v/>
      </c>
      <c r="E573" s="24">
        <f>IF($A573="","",库存台账!$E573)</f>
        <v/>
      </c>
      <c r="F573" s="24">
        <f>IF($A573="","",库存台账!$F573)</f>
        <v/>
      </c>
      <c r="G573" s="17" t="n"/>
      <c r="H573" s="23" t="n"/>
      <c r="I573" s="27">
        <f>IF($A573="","",库存台账!$X573)</f>
        <v/>
      </c>
      <c r="J573" s="27">
        <f>IF(OR($A573="",$H573=""),"",ROUND($H573-$I573,3))</f>
        <v/>
      </c>
      <c r="K573" s="26">
        <f>IF($A573="","",库存台账!$K573)</f>
        <v/>
      </c>
      <c r="L573" s="26">
        <f>IF($J573="","",ROUND($J573*$K573,0))</f>
        <v/>
      </c>
      <c r="M573" s="37">
        <f>IF(OR($J573="",$I573=0),"",ROUND($J573/$I573,4))</f>
        <v/>
      </c>
      <c r="N573" s="17" t="n"/>
      <c r="O573" s="17" t="n"/>
      <c r="P573" s="24">
        <f>IF($J573="","未盘",IF(ROUND($J573,3)=0,"账实相符",IF(COUNTIFS(入库单!$G$4:$G$2503,$A573,入库单!$X$4:$X$2503,"盘盈",入库单!$C$4:$C$2503,"&gt;="&amp;账期起,入库单!$C$4:$C$2503,"&lt;="&amp;账期止)+COUNTIFS(出库单!$D$4:$D$4003,$A573,出库单!$K$4:$K$4003,"盘亏",出库单!$C$4:$C$4003,"&gt;="&amp;账期起,出库单!$C$4:$C$4003,"&lt;="&amp;账期止)&gt;0,"已调账","※差异还没调账")))</f>
        <v/>
      </c>
      <c r="Q573" s="17" t="n"/>
      <c r="R573" s="17" t="n"/>
    </row>
    <row r="574">
      <c r="A574" s="24">
        <f>IF(库存台账!$A574="","",库存台账!$A574)</f>
        <v/>
      </c>
      <c r="B574" s="24">
        <f>IF($A574="","",库存台账!$B574)</f>
        <v/>
      </c>
      <c r="C574" s="24">
        <f>IF($A574="","",库存台账!$C574)</f>
        <v/>
      </c>
      <c r="D574" s="24">
        <f>IF($A574="","",库存台账!$D574)</f>
        <v/>
      </c>
      <c r="E574" s="24">
        <f>IF($A574="","",库存台账!$E574)</f>
        <v/>
      </c>
      <c r="F574" s="24">
        <f>IF($A574="","",库存台账!$F574)</f>
        <v/>
      </c>
      <c r="G574" s="17" t="n"/>
      <c r="H574" s="23" t="n"/>
      <c r="I574" s="27">
        <f>IF($A574="","",库存台账!$X574)</f>
        <v/>
      </c>
      <c r="J574" s="27">
        <f>IF(OR($A574="",$H574=""),"",ROUND($H574-$I574,3))</f>
        <v/>
      </c>
      <c r="K574" s="26">
        <f>IF($A574="","",库存台账!$K574)</f>
        <v/>
      </c>
      <c r="L574" s="26">
        <f>IF($J574="","",ROUND($J574*$K574,0))</f>
        <v/>
      </c>
      <c r="M574" s="37">
        <f>IF(OR($J574="",$I574=0),"",ROUND($J574/$I574,4))</f>
        <v/>
      </c>
      <c r="N574" s="17" t="n"/>
      <c r="O574" s="17" t="n"/>
      <c r="P574" s="24">
        <f>IF($J574="","未盘",IF(ROUND($J574,3)=0,"账实相符",IF(COUNTIFS(入库单!$G$4:$G$2503,$A574,入库单!$X$4:$X$2503,"盘盈",入库单!$C$4:$C$2503,"&gt;="&amp;账期起,入库单!$C$4:$C$2503,"&lt;="&amp;账期止)+COUNTIFS(出库单!$D$4:$D$4003,$A574,出库单!$K$4:$K$4003,"盘亏",出库单!$C$4:$C$4003,"&gt;="&amp;账期起,出库单!$C$4:$C$4003,"&lt;="&amp;账期止)&gt;0,"已调账","※差异还没调账")))</f>
        <v/>
      </c>
      <c r="Q574" s="17" t="n"/>
      <c r="R574" s="17" t="n"/>
    </row>
    <row r="575">
      <c r="A575" s="24">
        <f>IF(库存台账!$A575="","",库存台账!$A575)</f>
        <v/>
      </c>
      <c r="B575" s="24">
        <f>IF($A575="","",库存台账!$B575)</f>
        <v/>
      </c>
      <c r="C575" s="24">
        <f>IF($A575="","",库存台账!$C575)</f>
        <v/>
      </c>
      <c r="D575" s="24">
        <f>IF($A575="","",库存台账!$D575)</f>
        <v/>
      </c>
      <c r="E575" s="24">
        <f>IF($A575="","",库存台账!$E575)</f>
        <v/>
      </c>
      <c r="F575" s="24">
        <f>IF($A575="","",库存台账!$F575)</f>
        <v/>
      </c>
      <c r="G575" s="17" t="n"/>
      <c r="H575" s="23" t="n"/>
      <c r="I575" s="27">
        <f>IF($A575="","",库存台账!$X575)</f>
        <v/>
      </c>
      <c r="J575" s="27">
        <f>IF(OR($A575="",$H575=""),"",ROUND($H575-$I575,3))</f>
        <v/>
      </c>
      <c r="K575" s="26">
        <f>IF($A575="","",库存台账!$K575)</f>
        <v/>
      </c>
      <c r="L575" s="26">
        <f>IF($J575="","",ROUND($J575*$K575,0))</f>
        <v/>
      </c>
      <c r="M575" s="37">
        <f>IF(OR($J575="",$I575=0),"",ROUND($J575/$I575,4))</f>
        <v/>
      </c>
      <c r="N575" s="17" t="n"/>
      <c r="O575" s="17" t="n"/>
      <c r="P575" s="24">
        <f>IF($J575="","未盘",IF(ROUND($J575,3)=0,"账实相符",IF(COUNTIFS(入库单!$G$4:$G$2503,$A575,入库单!$X$4:$X$2503,"盘盈",入库单!$C$4:$C$2503,"&gt;="&amp;账期起,入库单!$C$4:$C$2503,"&lt;="&amp;账期止)+COUNTIFS(出库单!$D$4:$D$4003,$A575,出库单!$K$4:$K$4003,"盘亏",出库单!$C$4:$C$4003,"&gt;="&amp;账期起,出库单!$C$4:$C$4003,"&lt;="&amp;账期止)&gt;0,"已调账","※差异还没调账")))</f>
        <v/>
      </c>
      <c r="Q575" s="17" t="n"/>
      <c r="R575" s="17" t="n"/>
    </row>
    <row r="576">
      <c r="A576" s="24">
        <f>IF(库存台账!$A576="","",库存台账!$A576)</f>
        <v/>
      </c>
      <c r="B576" s="24">
        <f>IF($A576="","",库存台账!$B576)</f>
        <v/>
      </c>
      <c r="C576" s="24">
        <f>IF($A576="","",库存台账!$C576)</f>
        <v/>
      </c>
      <c r="D576" s="24">
        <f>IF($A576="","",库存台账!$D576)</f>
        <v/>
      </c>
      <c r="E576" s="24">
        <f>IF($A576="","",库存台账!$E576)</f>
        <v/>
      </c>
      <c r="F576" s="24">
        <f>IF($A576="","",库存台账!$F576)</f>
        <v/>
      </c>
      <c r="G576" s="17" t="n"/>
      <c r="H576" s="23" t="n"/>
      <c r="I576" s="27">
        <f>IF($A576="","",库存台账!$X576)</f>
        <v/>
      </c>
      <c r="J576" s="27">
        <f>IF(OR($A576="",$H576=""),"",ROUND($H576-$I576,3))</f>
        <v/>
      </c>
      <c r="K576" s="26">
        <f>IF($A576="","",库存台账!$K576)</f>
        <v/>
      </c>
      <c r="L576" s="26">
        <f>IF($J576="","",ROUND($J576*$K576,0))</f>
        <v/>
      </c>
      <c r="M576" s="37">
        <f>IF(OR($J576="",$I576=0),"",ROUND($J576/$I576,4))</f>
        <v/>
      </c>
      <c r="N576" s="17" t="n"/>
      <c r="O576" s="17" t="n"/>
      <c r="P576" s="24">
        <f>IF($J576="","未盘",IF(ROUND($J576,3)=0,"账实相符",IF(COUNTIFS(入库单!$G$4:$G$2503,$A576,入库单!$X$4:$X$2503,"盘盈",入库单!$C$4:$C$2503,"&gt;="&amp;账期起,入库单!$C$4:$C$2503,"&lt;="&amp;账期止)+COUNTIFS(出库单!$D$4:$D$4003,$A576,出库单!$K$4:$K$4003,"盘亏",出库单!$C$4:$C$4003,"&gt;="&amp;账期起,出库单!$C$4:$C$4003,"&lt;="&amp;账期止)&gt;0,"已调账","※差异还没调账")))</f>
        <v/>
      </c>
      <c r="Q576" s="17" t="n"/>
      <c r="R576" s="17" t="n"/>
    </row>
    <row r="577">
      <c r="A577" s="24">
        <f>IF(库存台账!$A577="","",库存台账!$A577)</f>
        <v/>
      </c>
      <c r="B577" s="24">
        <f>IF($A577="","",库存台账!$B577)</f>
        <v/>
      </c>
      <c r="C577" s="24">
        <f>IF($A577="","",库存台账!$C577)</f>
        <v/>
      </c>
      <c r="D577" s="24">
        <f>IF($A577="","",库存台账!$D577)</f>
        <v/>
      </c>
      <c r="E577" s="24">
        <f>IF($A577="","",库存台账!$E577)</f>
        <v/>
      </c>
      <c r="F577" s="24">
        <f>IF($A577="","",库存台账!$F577)</f>
        <v/>
      </c>
      <c r="G577" s="17" t="n"/>
      <c r="H577" s="23" t="n"/>
      <c r="I577" s="27">
        <f>IF($A577="","",库存台账!$X577)</f>
        <v/>
      </c>
      <c r="J577" s="27">
        <f>IF(OR($A577="",$H577=""),"",ROUND($H577-$I577,3))</f>
        <v/>
      </c>
      <c r="K577" s="26">
        <f>IF($A577="","",库存台账!$K577)</f>
        <v/>
      </c>
      <c r="L577" s="26">
        <f>IF($J577="","",ROUND($J577*$K577,0))</f>
        <v/>
      </c>
      <c r="M577" s="37">
        <f>IF(OR($J577="",$I577=0),"",ROUND($J577/$I577,4))</f>
        <v/>
      </c>
      <c r="N577" s="17" t="n"/>
      <c r="O577" s="17" t="n"/>
      <c r="P577" s="24">
        <f>IF($J577="","未盘",IF(ROUND($J577,3)=0,"账实相符",IF(COUNTIFS(入库单!$G$4:$G$2503,$A577,入库单!$X$4:$X$2503,"盘盈",入库单!$C$4:$C$2503,"&gt;="&amp;账期起,入库单!$C$4:$C$2503,"&lt;="&amp;账期止)+COUNTIFS(出库单!$D$4:$D$4003,$A577,出库单!$K$4:$K$4003,"盘亏",出库单!$C$4:$C$4003,"&gt;="&amp;账期起,出库单!$C$4:$C$4003,"&lt;="&amp;账期止)&gt;0,"已调账","※差异还没调账")))</f>
        <v/>
      </c>
      <c r="Q577" s="17" t="n"/>
      <c r="R577" s="17" t="n"/>
    </row>
    <row r="578">
      <c r="A578" s="24">
        <f>IF(库存台账!$A578="","",库存台账!$A578)</f>
        <v/>
      </c>
      <c r="B578" s="24">
        <f>IF($A578="","",库存台账!$B578)</f>
        <v/>
      </c>
      <c r="C578" s="24">
        <f>IF($A578="","",库存台账!$C578)</f>
        <v/>
      </c>
      <c r="D578" s="24">
        <f>IF($A578="","",库存台账!$D578)</f>
        <v/>
      </c>
      <c r="E578" s="24">
        <f>IF($A578="","",库存台账!$E578)</f>
        <v/>
      </c>
      <c r="F578" s="24">
        <f>IF($A578="","",库存台账!$F578)</f>
        <v/>
      </c>
      <c r="G578" s="17" t="n"/>
      <c r="H578" s="23" t="n"/>
      <c r="I578" s="27">
        <f>IF($A578="","",库存台账!$X578)</f>
        <v/>
      </c>
      <c r="J578" s="27">
        <f>IF(OR($A578="",$H578=""),"",ROUND($H578-$I578,3))</f>
        <v/>
      </c>
      <c r="K578" s="26">
        <f>IF($A578="","",库存台账!$K578)</f>
        <v/>
      </c>
      <c r="L578" s="26">
        <f>IF($J578="","",ROUND($J578*$K578,0))</f>
        <v/>
      </c>
      <c r="M578" s="37">
        <f>IF(OR($J578="",$I578=0),"",ROUND($J578/$I578,4))</f>
        <v/>
      </c>
      <c r="N578" s="17" t="n"/>
      <c r="O578" s="17" t="n"/>
      <c r="P578" s="24">
        <f>IF($J578="","未盘",IF(ROUND($J578,3)=0,"账实相符",IF(COUNTIFS(入库单!$G$4:$G$2503,$A578,入库单!$X$4:$X$2503,"盘盈",入库单!$C$4:$C$2503,"&gt;="&amp;账期起,入库单!$C$4:$C$2503,"&lt;="&amp;账期止)+COUNTIFS(出库单!$D$4:$D$4003,$A578,出库单!$K$4:$K$4003,"盘亏",出库单!$C$4:$C$4003,"&gt;="&amp;账期起,出库单!$C$4:$C$4003,"&lt;="&amp;账期止)&gt;0,"已调账","※差异还没调账")))</f>
        <v/>
      </c>
      <c r="Q578" s="17" t="n"/>
      <c r="R578" s="17" t="n"/>
    </row>
    <row r="579">
      <c r="A579" s="24">
        <f>IF(库存台账!$A579="","",库存台账!$A579)</f>
        <v/>
      </c>
      <c r="B579" s="24">
        <f>IF($A579="","",库存台账!$B579)</f>
        <v/>
      </c>
      <c r="C579" s="24">
        <f>IF($A579="","",库存台账!$C579)</f>
        <v/>
      </c>
      <c r="D579" s="24">
        <f>IF($A579="","",库存台账!$D579)</f>
        <v/>
      </c>
      <c r="E579" s="24">
        <f>IF($A579="","",库存台账!$E579)</f>
        <v/>
      </c>
      <c r="F579" s="24">
        <f>IF($A579="","",库存台账!$F579)</f>
        <v/>
      </c>
      <c r="G579" s="17" t="n"/>
      <c r="H579" s="23" t="n"/>
      <c r="I579" s="27">
        <f>IF($A579="","",库存台账!$X579)</f>
        <v/>
      </c>
      <c r="J579" s="27">
        <f>IF(OR($A579="",$H579=""),"",ROUND($H579-$I579,3))</f>
        <v/>
      </c>
      <c r="K579" s="26">
        <f>IF($A579="","",库存台账!$K579)</f>
        <v/>
      </c>
      <c r="L579" s="26">
        <f>IF($J579="","",ROUND($J579*$K579,0))</f>
        <v/>
      </c>
      <c r="M579" s="37">
        <f>IF(OR($J579="",$I579=0),"",ROUND($J579/$I579,4))</f>
        <v/>
      </c>
      <c r="N579" s="17" t="n"/>
      <c r="O579" s="17" t="n"/>
      <c r="P579" s="24">
        <f>IF($J579="","未盘",IF(ROUND($J579,3)=0,"账实相符",IF(COUNTIFS(入库单!$G$4:$G$2503,$A579,入库单!$X$4:$X$2503,"盘盈",入库单!$C$4:$C$2503,"&gt;="&amp;账期起,入库单!$C$4:$C$2503,"&lt;="&amp;账期止)+COUNTIFS(出库单!$D$4:$D$4003,$A579,出库单!$K$4:$K$4003,"盘亏",出库单!$C$4:$C$4003,"&gt;="&amp;账期起,出库单!$C$4:$C$4003,"&lt;="&amp;账期止)&gt;0,"已调账","※差异还没调账")))</f>
        <v/>
      </c>
      <c r="Q579" s="17" t="n"/>
      <c r="R579" s="17" t="n"/>
    </row>
    <row r="580">
      <c r="A580" s="24">
        <f>IF(库存台账!$A580="","",库存台账!$A580)</f>
        <v/>
      </c>
      <c r="B580" s="24">
        <f>IF($A580="","",库存台账!$B580)</f>
        <v/>
      </c>
      <c r="C580" s="24">
        <f>IF($A580="","",库存台账!$C580)</f>
        <v/>
      </c>
      <c r="D580" s="24">
        <f>IF($A580="","",库存台账!$D580)</f>
        <v/>
      </c>
      <c r="E580" s="24">
        <f>IF($A580="","",库存台账!$E580)</f>
        <v/>
      </c>
      <c r="F580" s="24">
        <f>IF($A580="","",库存台账!$F580)</f>
        <v/>
      </c>
      <c r="G580" s="17" t="n"/>
      <c r="H580" s="23" t="n"/>
      <c r="I580" s="27">
        <f>IF($A580="","",库存台账!$X580)</f>
        <v/>
      </c>
      <c r="J580" s="27">
        <f>IF(OR($A580="",$H580=""),"",ROUND($H580-$I580,3))</f>
        <v/>
      </c>
      <c r="K580" s="26">
        <f>IF($A580="","",库存台账!$K580)</f>
        <v/>
      </c>
      <c r="L580" s="26">
        <f>IF($J580="","",ROUND($J580*$K580,0))</f>
        <v/>
      </c>
      <c r="M580" s="37">
        <f>IF(OR($J580="",$I580=0),"",ROUND($J580/$I580,4))</f>
        <v/>
      </c>
      <c r="N580" s="17" t="n"/>
      <c r="O580" s="17" t="n"/>
      <c r="P580" s="24">
        <f>IF($J580="","未盘",IF(ROUND($J580,3)=0,"账实相符",IF(COUNTIFS(入库单!$G$4:$G$2503,$A580,入库单!$X$4:$X$2503,"盘盈",入库单!$C$4:$C$2503,"&gt;="&amp;账期起,入库单!$C$4:$C$2503,"&lt;="&amp;账期止)+COUNTIFS(出库单!$D$4:$D$4003,$A580,出库单!$K$4:$K$4003,"盘亏",出库单!$C$4:$C$4003,"&gt;="&amp;账期起,出库单!$C$4:$C$4003,"&lt;="&amp;账期止)&gt;0,"已调账","※差异还没调账")))</f>
        <v/>
      </c>
      <c r="Q580" s="17" t="n"/>
      <c r="R580" s="17" t="n"/>
    </row>
    <row r="581">
      <c r="A581" s="24">
        <f>IF(库存台账!$A581="","",库存台账!$A581)</f>
        <v/>
      </c>
      <c r="B581" s="24">
        <f>IF($A581="","",库存台账!$B581)</f>
        <v/>
      </c>
      <c r="C581" s="24">
        <f>IF($A581="","",库存台账!$C581)</f>
        <v/>
      </c>
      <c r="D581" s="24">
        <f>IF($A581="","",库存台账!$D581)</f>
        <v/>
      </c>
      <c r="E581" s="24">
        <f>IF($A581="","",库存台账!$E581)</f>
        <v/>
      </c>
      <c r="F581" s="24">
        <f>IF($A581="","",库存台账!$F581)</f>
        <v/>
      </c>
      <c r="G581" s="17" t="n"/>
      <c r="H581" s="23" t="n"/>
      <c r="I581" s="27">
        <f>IF($A581="","",库存台账!$X581)</f>
        <v/>
      </c>
      <c r="J581" s="27">
        <f>IF(OR($A581="",$H581=""),"",ROUND($H581-$I581,3))</f>
        <v/>
      </c>
      <c r="K581" s="26">
        <f>IF($A581="","",库存台账!$K581)</f>
        <v/>
      </c>
      <c r="L581" s="26">
        <f>IF($J581="","",ROUND($J581*$K581,0))</f>
        <v/>
      </c>
      <c r="M581" s="37">
        <f>IF(OR($J581="",$I581=0),"",ROUND($J581/$I581,4))</f>
        <v/>
      </c>
      <c r="N581" s="17" t="n"/>
      <c r="O581" s="17" t="n"/>
      <c r="P581" s="24">
        <f>IF($J581="","未盘",IF(ROUND($J581,3)=0,"账实相符",IF(COUNTIFS(入库单!$G$4:$G$2503,$A581,入库单!$X$4:$X$2503,"盘盈",入库单!$C$4:$C$2503,"&gt;="&amp;账期起,入库单!$C$4:$C$2503,"&lt;="&amp;账期止)+COUNTIFS(出库单!$D$4:$D$4003,$A581,出库单!$K$4:$K$4003,"盘亏",出库单!$C$4:$C$4003,"&gt;="&amp;账期起,出库单!$C$4:$C$4003,"&lt;="&amp;账期止)&gt;0,"已调账","※差异还没调账")))</f>
        <v/>
      </c>
      <c r="Q581" s="17" t="n"/>
      <c r="R581" s="17" t="n"/>
    </row>
    <row r="582">
      <c r="A582" s="24">
        <f>IF(库存台账!$A582="","",库存台账!$A582)</f>
        <v/>
      </c>
      <c r="B582" s="24">
        <f>IF($A582="","",库存台账!$B582)</f>
        <v/>
      </c>
      <c r="C582" s="24">
        <f>IF($A582="","",库存台账!$C582)</f>
        <v/>
      </c>
      <c r="D582" s="24">
        <f>IF($A582="","",库存台账!$D582)</f>
        <v/>
      </c>
      <c r="E582" s="24">
        <f>IF($A582="","",库存台账!$E582)</f>
        <v/>
      </c>
      <c r="F582" s="24">
        <f>IF($A582="","",库存台账!$F582)</f>
        <v/>
      </c>
      <c r="G582" s="17" t="n"/>
      <c r="H582" s="23" t="n"/>
      <c r="I582" s="27">
        <f>IF($A582="","",库存台账!$X582)</f>
        <v/>
      </c>
      <c r="J582" s="27">
        <f>IF(OR($A582="",$H582=""),"",ROUND($H582-$I582,3))</f>
        <v/>
      </c>
      <c r="K582" s="26">
        <f>IF($A582="","",库存台账!$K582)</f>
        <v/>
      </c>
      <c r="L582" s="26">
        <f>IF($J582="","",ROUND($J582*$K582,0))</f>
        <v/>
      </c>
      <c r="M582" s="37">
        <f>IF(OR($J582="",$I582=0),"",ROUND($J582/$I582,4))</f>
        <v/>
      </c>
      <c r="N582" s="17" t="n"/>
      <c r="O582" s="17" t="n"/>
      <c r="P582" s="24">
        <f>IF($J582="","未盘",IF(ROUND($J582,3)=0,"账实相符",IF(COUNTIFS(入库单!$G$4:$G$2503,$A582,入库单!$X$4:$X$2503,"盘盈",入库单!$C$4:$C$2503,"&gt;="&amp;账期起,入库单!$C$4:$C$2503,"&lt;="&amp;账期止)+COUNTIFS(出库单!$D$4:$D$4003,$A582,出库单!$K$4:$K$4003,"盘亏",出库单!$C$4:$C$4003,"&gt;="&amp;账期起,出库单!$C$4:$C$4003,"&lt;="&amp;账期止)&gt;0,"已调账","※差异还没调账")))</f>
        <v/>
      </c>
      <c r="Q582" s="17" t="n"/>
      <c r="R582" s="17" t="n"/>
    </row>
    <row r="583">
      <c r="A583" s="24">
        <f>IF(库存台账!$A583="","",库存台账!$A583)</f>
        <v/>
      </c>
      <c r="B583" s="24">
        <f>IF($A583="","",库存台账!$B583)</f>
        <v/>
      </c>
      <c r="C583" s="24">
        <f>IF($A583="","",库存台账!$C583)</f>
        <v/>
      </c>
      <c r="D583" s="24">
        <f>IF($A583="","",库存台账!$D583)</f>
        <v/>
      </c>
      <c r="E583" s="24">
        <f>IF($A583="","",库存台账!$E583)</f>
        <v/>
      </c>
      <c r="F583" s="24">
        <f>IF($A583="","",库存台账!$F583)</f>
        <v/>
      </c>
      <c r="G583" s="17" t="n"/>
      <c r="H583" s="23" t="n"/>
      <c r="I583" s="27">
        <f>IF($A583="","",库存台账!$X583)</f>
        <v/>
      </c>
      <c r="J583" s="27">
        <f>IF(OR($A583="",$H583=""),"",ROUND($H583-$I583,3))</f>
        <v/>
      </c>
      <c r="K583" s="26">
        <f>IF($A583="","",库存台账!$K583)</f>
        <v/>
      </c>
      <c r="L583" s="26">
        <f>IF($J583="","",ROUND($J583*$K583,0))</f>
        <v/>
      </c>
      <c r="M583" s="37">
        <f>IF(OR($J583="",$I583=0),"",ROUND($J583/$I583,4))</f>
        <v/>
      </c>
      <c r="N583" s="17" t="n"/>
      <c r="O583" s="17" t="n"/>
      <c r="P583" s="24">
        <f>IF($J583="","未盘",IF(ROUND($J583,3)=0,"账实相符",IF(COUNTIFS(入库单!$G$4:$G$2503,$A583,入库单!$X$4:$X$2503,"盘盈",入库单!$C$4:$C$2503,"&gt;="&amp;账期起,入库单!$C$4:$C$2503,"&lt;="&amp;账期止)+COUNTIFS(出库单!$D$4:$D$4003,$A583,出库单!$K$4:$K$4003,"盘亏",出库单!$C$4:$C$4003,"&gt;="&amp;账期起,出库单!$C$4:$C$4003,"&lt;="&amp;账期止)&gt;0,"已调账","※差异还没调账")))</f>
        <v/>
      </c>
      <c r="Q583" s="17" t="n"/>
      <c r="R583" s="17" t="n"/>
    </row>
    <row r="584">
      <c r="A584" s="24">
        <f>IF(库存台账!$A584="","",库存台账!$A584)</f>
        <v/>
      </c>
      <c r="B584" s="24">
        <f>IF($A584="","",库存台账!$B584)</f>
        <v/>
      </c>
      <c r="C584" s="24">
        <f>IF($A584="","",库存台账!$C584)</f>
        <v/>
      </c>
      <c r="D584" s="24">
        <f>IF($A584="","",库存台账!$D584)</f>
        <v/>
      </c>
      <c r="E584" s="24">
        <f>IF($A584="","",库存台账!$E584)</f>
        <v/>
      </c>
      <c r="F584" s="24">
        <f>IF($A584="","",库存台账!$F584)</f>
        <v/>
      </c>
      <c r="G584" s="17" t="n"/>
      <c r="H584" s="23" t="n"/>
      <c r="I584" s="27">
        <f>IF($A584="","",库存台账!$X584)</f>
        <v/>
      </c>
      <c r="J584" s="27">
        <f>IF(OR($A584="",$H584=""),"",ROUND($H584-$I584,3))</f>
        <v/>
      </c>
      <c r="K584" s="26">
        <f>IF($A584="","",库存台账!$K584)</f>
        <v/>
      </c>
      <c r="L584" s="26">
        <f>IF($J584="","",ROUND($J584*$K584,0))</f>
        <v/>
      </c>
      <c r="M584" s="37">
        <f>IF(OR($J584="",$I584=0),"",ROUND($J584/$I584,4))</f>
        <v/>
      </c>
      <c r="N584" s="17" t="n"/>
      <c r="O584" s="17" t="n"/>
      <c r="P584" s="24">
        <f>IF($J584="","未盘",IF(ROUND($J584,3)=0,"账实相符",IF(COUNTIFS(入库单!$G$4:$G$2503,$A584,入库单!$X$4:$X$2503,"盘盈",入库单!$C$4:$C$2503,"&gt;="&amp;账期起,入库单!$C$4:$C$2503,"&lt;="&amp;账期止)+COUNTIFS(出库单!$D$4:$D$4003,$A584,出库单!$K$4:$K$4003,"盘亏",出库单!$C$4:$C$4003,"&gt;="&amp;账期起,出库单!$C$4:$C$4003,"&lt;="&amp;账期止)&gt;0,"已调账","※差异还没调账")))</f>
        <v/>
      </c>
      <c r="Q584" s="17" t="n"/>
      <c r="R584" s="17" t="n"/>
    </row>
    <row r="585">
      <c r="A585" s="24">
        <f>IF(库存台账!$A585="","",库存台账!$A585)</f>
        <v/>
      </c>
      <c r="B585" s="24">
        <f>IF($A585="","",库存台账!$B585)</f>
        <v/>
      </c>
      <c r="C585" s="24">
        <f>IF($A585="","",库存台账!$C585)</f>
        <v/>
      </c>
      <c r="D585" s="24">
        <f>IF($A585="","",库存台账!$D585)</f>
        <v/>
      </c>
      <c r="E585" s="24">
        <f>IF($A585="","",库存台账!$E585)</f>
        <v/>
      </c>
      <c r="F585" s="24">
        <f>IF($A585="","",库存台账!$F585)</f>
        <v/>
      </c>
      <c r="G585" s="17" t="n"/>
      <c r="H585" s="23" t="n"/>
      <c r="I585" s="27">
        <f>IF($A585="","",库存台账!$X585)</f>
        <v/>
      </c>
      <c r="J585" s="27">
        <f>IF(OR($A585="",$H585=""),"",ROUND($H585-$I585,3))</f>
        <v/>
      </c>
      <c r="K585" s="26">
        <f>IF($A585="","",库存台账!$K585)</f>
        <v/>
      </c>
      <c r="L585" s="26">
        <f>IF($J585="","",ROUND($J585*$K585,0))</f>
        <v/>
      </c>
      <c r="M585" s="37">
        <f>IF(OR($J585="",$I585=0),"",ROUND($J585/$I585,4))</f>
        <v/>
      </c>
      <c r="N585" s="17" t="n"/>
      <c r="O585" s="17" t="n"/>
      <c r="P585" s="24">
        <f>IF($J585="","未盘",IF(ROUND($J585,3)=0,"账实相符",IF(COUNTIFS(入库单!$G$4:$G$2503,$A585,入库单!$X$4:$X$2503,"盘盈",入库单!$C$4:$C$2503,"&gt;="&amp;账期起,入库单!$C$4:$C$2503,"&lt;="&amp;账期止)+COUNTIFS(出库单!$D$4:$D$4003,$A585,出库单!$K$4:$K$4003,"盘亏",出库单!$C$4:$C$4003,"&gt;="&amp;账期起,出库单!$C$4:$C$4003,"&lt;="&amp;账期止)&gt;0,"已调账","※差异还没调账")))</f>
        <v/>
      </c>
      <c r="Q585" s="17" t="n"/>
      <c r="R585" s="17" t="n"/>
    </row>
    <row r="586">
      <c r="A586" s="24">
        <f>IF(库存台账!$A586="","",库存台账!$A586)</f>
        <v/>
      </c>
      <c r="B586" s="24">
        <f>IF($A586="","",库存台账!$B586)</f>
        <v/>
      </c>
      <c r="C586" s="24">
        <f>IF($A586="","",库存台账!$C586)</f>
        <v/>
      </c>
      <c r="D586" s="24">
        <f>IF($A586="","",库存台账!$D586)</f>
        <v/>
      </c>
      <c r="E586" s="24">
        <f>IF($A586="","",库存台账!$E586)</f>
        <v/>
      </c>
      <c r="F586" s="24">
        <f>IF($A586="","",库存台账!$F586)</f>
        <v/>
      </c>
      <c r="G586" s="17" t="n"/>
      <c r="H586" s="23" t="n"/>
      <c r="I586" s="27">
        <f>IF($A586="","",库存台账!$X586)</f>
        <v/>
      </c>
      <c r="J586" s="27">
        <f>IF(OR($A586="",$H586=""),"",ROUND($H586-$I586,3))</f>
        <v/>
      </c>
      <c r="K586" s="26">
        <f>IF($A586="","",库存台账!$K586)</f>
        <v/>
      </c>
      <c r="L586" s="26">
        <f>IF($J586="","",ROUND($J586*$K586,0))</f>
        <v/>
      </c>
      <c r="M586" s="37">
        <f>IF(OR($J586="",$I586=0),"",ROUND($J586/$I586,4))</f>
        <v/>
      </c>
      <c r="N586" s="17" t="n"/>
      <c r="O586" s="17" t="n"/>
      <c r="P586" s="24">
        <f>IF($J586="","未盘",IF(ROUND($J586,3)=0,"账实相符",IF(COUNTIFS(入库单!$G$4:$G$2503,$A586,入库单!$X$4:$X$2503,"盘盈",入库单!$C$4:$C$2503,"&gt;="&amp;账期起,入库单!$C$4:$C$2503,"&lt;="&amp;账期止)+COUNTIFS(出库单!$D$4:$D$4003,$A586,出库单!$K$4:$K$4003,"盘亏",出库单!$C$4:$C$4003,"&gt;="&amp;账期起,出库单!$C$4:$C$4003,"&lt;="&amp;账期止)&gt;0,"已调账","※差异还没调账")))</f>
        <v/>
      </c>
      <c r="Q586" s="17" t="n"/>
      <c r="R586" s="17" t="n"/>
    </row>
    <row r="587">
      <c r="A587" s="24">
        <f>IF(库存台账!$A587="","",库存台账!$A587)</f>
        <v/>
      </c>
      <c r="B587" s="24">
        <f>IF($A587="","",库存台账!$B587)</f>
        <v/>
      </c>
      <c r="C587" s="24">
        <f>IF($A587="","",库存台账!$C587)</f>
        <v/>
      </c>
      <c r="D587" s="24">
        <f>IF($A587="","",库存台账!$D587)</f>
        <v/>
      </c>
      <c r="E587" s="24">
        <f>IF($A587="","",库存台账!$E587)</f>
        <v/>
      </c>
      <c r="F587" s="24">
        <f>IF($A587="","",库存台账!$F587)</f>
        <v/>
      </c>
      <c r="G587" s="17" t="n"/>
      <c r="H587" s="23" t="n"/>
      <c r="I587" s="27">
        <f>IF($A587="","",库存台账!$X587)</f>
        <v/>
      </c>
      <c r="J587" s="27">
        <f>IF(OR($A587="",$H587=""),"",ROUND($H587-$I587,3))</f>
        <v/>
      </c>
      <c r="K587" s="26">
        <f>IF($A587="","",库存台账!$K587)</f>
        <v/>
      </c>
      <c r="L587" s="26">
        <f>IF($J587="","",ROUND($J587*$K587,0))</f>
        <v/>
      </c>
      <c r="M587" s="37">
        <f>IF(OR($J587="",$I587=0),"",ROUND($J587/$I587,4))</f>
        <v/>
      </c>
      <c r="N587" s="17" t="n"/>
      <c r="O587" s="17" t="n"/>
      <c r="P587" s="24">
        <f>IF($J587="","未盘",IF(ROUND($J587,3)=0,"账实相符",IF(COUNTIFS(入库单!$G$4:$G$2503,$A587,入库单!$X$4:$X$2503,"盘盈",入库单!$C$4:$C$2503,"&gt;="&amp;账期起,入库单!$C$4:$C$2503,"&lt;="&amp;账期止)+COUNTIFS(出库单!$D$4:$D$4003,$A587,出库单!$K$4:$K$4003,"盘亏",出库单!$C$4:$C$4003,"&gt;="&amp;账期起,出库单!$C$4:$C$4003,"&lt;="&amp;账期止)&gt;0,"已调账","※差异还没调账")))</f>
        <v/>
      </c>
      <c r="Q587" s="17" t="n"/>
      <c r="R587" s="17" t="n"/>
    </row>
    <row r="588">
      <c r="A588" s="24">
        <f>IF(库存台账!$A588="","",库存台账!$A588)</f>
        <v/>
      </c>
      <c r="B588" s="24">
        <f>IF($A588="","",库存台账!$B588)</f>
        <v/>
      </c>
      <c r="C588" s="24">
        <f>IF($A588="","",库存台账!$C588)</f>
        <v/>
      </c>
      <c r="D588" s="24">
        <f>IF($A588="","",库存台账!$D588)</f>
        <v/>
      </c>
      <c r="E588" s="24">
        <f>IF($A588="","",库存台账!$E588)</f>
        <v/>
      </c>
      <c r="F588" s="24">
        <f>IF($A588="","",库存台账!$F588)</f>
        <v/>
      </c>
      <c r="G588" s="17" t="n"/>
      <c r="H588" s="23" t="n"/>
      <c r="I588" s="27">
        <f>IF($A588="","",库存台账!$X588)</f>
        <v/>
      </c>
      <c r="J588" s="27">
        <f>IF(OR($A588="",$H588=""),"",ROUND($H588-$I588,3))</f>
        <v/>
      </c>
      <c r="K588" s="26">
        <f>IF($A588="","",库存台账!$K588)</f>
        <v/>
      </c>
      <c r="L588" s="26">
        <f>IF($J588="","",ROUND($J588*$K588,0))</f>
        <v/>
      </c>
      <c r="M588" s="37">
        <f>IF(OR($J588="",$I588=0),"",ROUND($J588/$I588,4))</f>
        <v/>
      </c>
      <c r="N588" s="17" t="n"/>
      <c r="O588" s="17" t="n"/>
      <c r="P588" s="24">
        <f>IF($J588="","未盘",IF(ROUND($J588,3)=0,"账实相符",IF(COUNTIFS(入库单!$G$4:$G$2503,$A588,入库单!$X$4:$X$2503,"盘盈",入库单!$C$4:$C$2503,"&gt;="&amp;账期起,入库单!$C$4:$C$2503,"&lt;="&amp;账期止)+COUNTIFS(出库单!$D$4:$D$4003,$A588,出库单!$K$4:$K$4003,"盘亏",出库单!$C$4:$C$4003,"&gt;="&amp;账期起,出库单!$C$4:$C$4003,"&lt;="&amp;账期止)&gt;0,"已调账","※差异还没调账")))</f>
        <v/>
      </c>
      <c r="Q588" s="17" t="n"/>
      <c r="R588" s="17" t="n"/>
    </row>
    <row r="589">
      <c r="A589" s="24">
        <f>IF(库存台账!$A589="","",库存台账!$A589)</f>
        <v/>
      </c>
      <c r="B589" s="24">
        <f>IF($A589="","",库存台账!$B589)</f>
        <v/>
      </c>
      <c r="C589" s="24">
        <f>IF($A589="","",库存台账!$C589)</f>
        <v/>
      </c>
      <c r="D589" s="24">
        <f>IF($A589="","",库存台账!$D589)</f>
        <v/>
      </c>
      <c r="E589" s="24">
        <f>IF($A589="","",库存台账!$E589)</f>
        <v/>
      </c>
      <c r="F589" s="24">
        <f>IF($A589="","",库存台账!$F589)</f>
        <v/>
      </c>
      <c r="G589" s="17" t="n"/>
      <c r="H589" s="23" t="n"/>
      <c r="I589" s="27">
        <f>IF($A589="","",库存台账!$X589)</f>
        <v/>
      </c>
      <c r="J589" s="27">
        <f>IF(OR($A589="",$H589=""),"",ROUND($H589-$I589,3))</f>
        <v/>
      </c>
      <c r="K589" s="26">
        <f>IF($A589="","",库存台账!$K589)</f>
        <v/>
      </c>
      <c r="L589" s="26">
        <f>IF($J589="","",ROUND($J589*$K589,0))</f>
        <v/>
      </c>
      <c r="M589" s="37">
        <f>IF(OR($J589="",$I589=0),"",ROUND($J589/$I589,4))</f>
        <v/>
      </c>
      <c r="N589" s="17" t="n"/>
      <c r="O589" s="17" t="n"/>
      <c r="P589" s="24">
        <f>IF($J589="","未盘",IF(ROUND($J589,3)=0,"账实相符",IF(COUNTIFS(入库单!$G$4:$G$2503,$A589,入库单!$X$4:$X$2503,"盘盈",入库单!$C$4:$C$2503,"&gt;="&amp;账期起,入库单!$C$4:$C$2503,"&lt;="&amp;账期止)+COUNTIFS(出库单!$D$4:$D$4003,$A589,出库单!$K$4:$K$4003,"盘亏",出库单!$C$4:$C$4003,"&gt;="&amp;账期起,出库单!$C$4:$C$4003,"&lt;="&amp;账期止)&gt;0,"已调账","※差异还没调账")))</f>
        <v/>
      </c>
      <c r="Q589" s="17" t="n"/>
      <c r="R589" s="17" t="n"/>
    </row>
    <row r="590">
      <c r="A590" s="24">
        <f>IF(库存台账!$A590="","",库存台账!$A590)</f>
        <v/>
      </c>
      <c r="B590" s="24">
        <f>IF($A590="","",库存台账!$B590)</f>
        <v/>
      </c>
      <c r="C590" s="24">
        <f>IF($A590="","",库存台账!$C590)</f>
        <v/>
      </c>
      <c r="D590" s="24">
        <f>IF($A590="","",库存台账!$D590)</f>
        <v/>
      </c>
      <c r="E590" s="24">
        <f>IF($A590="","",库存台账!$E590)</f>
        <v/>
      </c>
      <c r="F590" s="24">
        <f>IF($A590="","",库存台账!$F590)</f>
        <v/>
      </c>
      <c r="G590" s="17" t="n"/>
      <c r="H590" s="23" t="n"/>
      <c r="I590" s="27">
        <f>IF($A590="","",库存台账!$X590)</f>
        <v/>
      </c>
      <c r="J590" s="27">
        <f>IF(OR($A590="",$H590=""),"",ROUND($H590-$I590,3))</f>
        <v/>
      </c>
      <c r="K590" s="26">
        <f>IF($A590="","",库存台账!$K590)</f>
        <v/>
      </c>
      <c r="L590" s="26">
        <f>IF($J590="","",ROUND($J590*$K590,0))</f>
        <v/>
      </c>
      <c r="M590" s="37">
        <f>IF(OR($J590="",$I590=0),"",ROUND($J590/$I590,4))</f>
        <v/>
      </c>
      <c r="N590" s="17" t="n"/>
      <c r="O590" s="17" t="n"/>
      <c r="P590" s="24">
        <f>IF($J590="","未盘",IF(ROUND($J590,3)=0,"账实相符",IF(COUNTIFS(入库单!$G$4:$G$2503,$A590,入库单!$X$4:$X$2503,"盘盈",入库单!$C$4:$C$2503,"&gt;="&amp;账期起,入库单!$C$4:$C$2503,"&lt;="&amp;账期止)+COUNTIFS(出库单!$D$4:$D$4003,$A590,出库单!$K$4:$K$4003,"盘亏",出库单!$C$4:$C$4003,"&gt;="&amp;账期起,出库单!$C$4:$C$4003,"&lt;="&amp;账期止)&gt;0,"已调账","※差异还没调账")))</f>
        <v/>
      </c>
      <c r="Q590" s="17" t="n"/>
      <c r="R590" s="17" t="n"/>
    </row>
    <row r="591">
      <c r="A591" s="24">
        <f>IF(库存台账!$A591="","",库存台账!$A591)</f>
        <v/>
      </c>
      <c r="B591" s="24">
        <f>IF($A591="","",库存台账!$B591)</f>
        <v/>
      </c>
      <c r="C591" s="24">
        <f>IF($A591="","",库存台账!$C591)</f>
        <v/>
      </c>
      <c r="D591" s="24">
        <f>IF($A591="","",库存台账!$D591)</f>
        <v/>
      </c>
      <c r="E591" s="24">
        <f>IF($A591="","",库存台账!$E591)</f>
        <v/>
      </c>
      <c r="F591" s="24">
        <f>IF($A591="","",库存台账!$F591)</f>
        <v/>
      </c>
      <c r="G591" s="17" t="n"/>
      <c r="H591" s="23" t="n"/>
      <c r="I591" s="27">
        <f>IF($A591="","",库存台账!$X591)</f>
        <v/>
      </c>
      <c r="J591" s="27">
        <f>IF(OR($A591="",$H591=""),"",ROUND($H591-$I591,3))</f>
        <v/>
      </c>
      <c r="K591" s="26">
        <f>IF($A591="","",库存台账!$K591)</f>
        <v/>
      </c>
      <c r="L591" s="26">
        <f>IF($J591="","",ROUND($J591*$K591,0))</f>
        <v/>
      </c>
      <c r="M591" s="37">
        <f>IF(OR($J591="",$I591=0),"",ROUND($J591/$I591,4))</f>
        <v/>
      </c>
      <c r="N591" s="17" t="n"/>
      <c r="O591" s="17" t="n"/>
      <c r="P591" s="24">
        <f>IF($J591="","未盘",IF(ROUND($J591,3)=0,"账实相符",IF(COUNTIFS(入库单!$G$4:$G$2503,$A591,入库单!$X$4:$X$2503,"盘盈",入库单!$C$4:$C$2503,"&gt;="&amp;账期起,入库单!$C$4:$C$2503,"&lt;="&amp;账期止)+COUNTIFS(出库单!$D$4:$D$4003,$A591,出库单!$K$4:$K$4003,"盘亏",出库单!$C$4:$C$4003,"&gt;="&amp;账期起,出库单!$C$4:$C$4003,"&lt;="&amp;账期止)&gt;0,"已调账","※差异还没调账")))</f>
        <v/>
      </c>
      <c r="Q591" s="17" t="n"/>
      <c r="R591" s="17" t="n"/>
    </row>
    <row r="592">
      <c r="A592" s="24">
        <f>IF(库存台账!$A592="","",库存台账!$A592)</f>
        <v/>
      </c>
      <c r="B592" s="24">
        <f>IF($A592="","",库存台账!$B592)</f>
        <v/>
      </c>
      <c r="C592" s="24">
        <f>IF($A592="","",库存台账!$C592)</f>
        <v/>
      </c>
      <c r="D592" s="24">
        <f>IF($A592="","",库存台账!$D592)</f>
        <v/>
      </c>
      <c r="E592" s="24">
        <f>IF($A592="","",库存台账!$E592)</f>
        <v/>
      </c>
      <c r="F592" s="24">
        <f>IF($A592="","",库存台账!$F592)</f>
        <v/>
      </c>
      <c r="G592" s="17" t="n"/>
      <c r="H592" s="23" t="n"/>
      <c r="I592" s="27">
        <f>IF($A592="","",库存台账!$X592)</f>
        <v/>
      </c>
      <c r="J592" s="27">
        <f>IF(OR($A592="",$H592=""),"",ROUND($H592-$I592,3))</f>
        <v/>
      </c>
      <c r="K592" s="26">
        <f>IF($A592="","",库存台账!$K592)</f>
        <v/>
      </c>
      <c r="L592" s="26">
        <f>IF($J592="","",ROUND($J592*$K592,0))</f>
        <v/>
      </c>
      <c r="M592" s="37">
        <f>IF(OR($J592="",$I592=0),"",ROUND($J592/$I592,4))</f>
        <v/>
      </c>
      <c r="N592" s="17" t="n"/>
      <c r="O592" s="17" t="n"/>
      <c r="P592" s="24">
        <f>IF($J592="","未盘",IF(ROUND($J592,3)=0,"账实相符",IF(COUNTIFS(入库单!$G$4:$G$2503,$A592,入库单!$X$4:$X$2503,"盘盈",入库单!$C$4:$C$2503,"&gt;="&amp;账期起,入库单!$C$4:$C$2503,"&lt;="&amp;账期止)+COUNTIFS(出库单!$D$4:$D$4003,$A592,出库单!$K$4:$K$4003,"盘亏",出库单!$C$4:$C$4003,"&gt;="&amp;账期起,出库单!$C$4:$C$4003,"&lt;="&amp;账期止)&gt;0,"已调账","※差异还没调账")))</f>
        <v/>
      </c>
      <c r="Q592" s="17" t="n"/>
      <c r="R592" s="17" t="n"/>
    </row>
    <row r="593">
      <c r="A593" s="24">
        <f>IF(库存台账!$A593="","",库存台账!$A593)</f>
        <v/>
      </c>
      <c r="B593" s="24">
        <f>IF($A593="","",库存台账!$B593)</f>
        <v/>
      </c>
      <c r="C593" s="24">
        <f>IF($A593="","",库存台账!$C593)</f>
        <v/>
      </c>
      <c r="D593" s="24">
        <f>IF($A593="","",库存台账!$D593)</f>
        <v/>
      </c>
      <c r="E593" s="24">
        <f>IF($A593="","",库存台账!$E593)</f>
        <v/>
      </c>
      <c r="F593" s="24">
        <f>IF($A593="","",库存台账!$F593)</f>
        <v/>
      </c>
      <c r="G593" s="17" t="n"/>
      <c r="H593" s="23" t="n"/>
      <c r="I593" s="27">
        <f>IF($A593="","",库存台账!$X593)</f>
        <v/>
      </c>
      <c r="J593" s="27">
        <f>IF(OR($A593="",$H593=""),"",ROUND($H593-$I593,3))</f>
        <v/>
      </c>
      <c r="K593" s="26">
        <f>IF($A593="","",库存台账!$K593)</f>
        <v/>
      </c>
      <c r="L593" s="26">
        <f>IF($J593="","",ROUND($J593*$K593,0))</f>
        <v/>
      </c>
      <c r="M593" s="37">
        <f>IF(OR($J593="",$I593=0),"",ROUND($J593/$I593,4))</f>
        <v/>
      </c>
      <c r="N593" s="17" t="n"/>
      <c r="O593" s="17" t="n"/>
      <c r="P593" s="24">
        <f>IF($J593="","未盘",IF(ROUND($J593,3)=0,"账实相符",IF(COUNTIFS(入库单!$G$4:$G$2503,$A593,入库单!$X$4:$X$2503,"盘盈",入库单!$C$4:$C$2503,"&gt;="&amp;账期起,入库单!$C$4:$C$2503,"&lt;="&amp;账期止)+COUNTIFS(出库单!$D$4:$D$4003,$A593,出库单!$K$4:$K$4003,"盘亏",出库单!$C$4:$C$4003,"&gt;="&amp;账期起,出库单!$C$4:$C$4003,"&lt;="&amp;账期止)&gt;0,"已调账","※差异还没调账")))</f>
        <v/>
      </c>
      <c r="Q593" s="17" t="n"/>
      <c r="R593" s="17" t="n"/>
    </row>
    <row r="594">
      <c r="A594" s="24">
        <f>IF(库存台账!$A594="","",库存台账!$A594)</f>
        <v/>
      </c>
      <c r="B594" s="24">
        <f>IF($A594="","",库存台账!$B594)</f>
        <v/>
      </c>
      <c r="C594" s="24">
        <f>IF($A594="","",库存台账!$C594)</f>
        <v/>
      </c>
      <c r="D594" s="24">
        <f>IF($A594="","",库存台账!$D594)</f>
        <v/>
      </c>
      <c r="E594" s="24">
        <f>IF($A594="","",库存台账!$E594)</f>
        <v/>
      </c>
      <c r="F594" s="24">
        <f>IF($A594="","",库存台账!$F594)</f>
        <v/>
      </c>
      <c r="G594" s="17" t="n"/>
      <c r="H594" s="23" t="n"/>
      <c r="I594" s="27">
        <f>IF($A594="","",库存台账!$X594)</f>
        <v/>
      </c>
      <c r="J594" s="27">
        <f>IF(OR($A594="",$H594=""),"",ROUND($H594-$I594,3))</f>
        <v/>
      </c>
      <c r="K594" s="26">
        <f>IF($A594="","",库存台账!$K594)</f>
        <v/>
      </c>
      <c r="L594" s="26">
        <f>IF($J594="","",ROUND($J594*$K594,0))</f>
        <v/>
      </c>
      <c r="M594" s="37">
        <f>IF(OR($J594="",$I594=0),"",ROUND($J594/$I594,4))</f>
        <v/>
      </c>
      <c r="N594" s="17" t="n"/>
      <c r="O594" s="17" t="n"/>
      <c r="P594" s="24">
        <f>IF($J594="","未盘",IF(ROUND($J594,3)=0,"账实相符",IF(COUNTIFS(入库单!$G$4:$G$2503,$A594,入库单!$X$4:$X$2503,"盘盈",入库单!$C$4:$C$2503,"&gt;="&amp;账期起,入库单!$C$4:$C$2503,"&lt;="&amp;账期止)+COUNTIFS(出库单!$D$4:$D$4003,$A594,出库单!$K$4:$K$4003,"盘亏",出库单!$C$4:$C$4003,"&gt;="&amp;账期起,出库单!$C$4:$C$4003,"&lt;="&amp;账期止)&gt;0,"已调账","※差异还没调账")))</f>
        <v/>
      </c>
      <c r="Q594" s="17" t="n"/>
      <c r="R594" s="17" t="n"/>
    </row>
    <row r="595">
      <c r="A595" s="24">
        <f>IF(库存台账!$A595="","",库存台账!$A595)</f>
        <v/>
      </c>
      <c r="B595" s="24">
        <f>IF($A595="","",库存台账!$B595)</f>
        <v/>
      </c>
      <c r="C595" s="24">
        <f>IF($A595="","",库存台账!$C595)</f>
        <v/>
      </c>
      <c r="D595" s="24">
        <f>IF($A595="","",库存台账!$D595)</f>
        <v/>
      </c>
      <c r="E595" s="24">
        <f>IF($A595="","",库存台账!$E595)</f>
        <v/>
      </c>
      <c r="F595" s="24">
        <f>IF($A595="","",库存台账!$F595)</f>
        <v/>
      </c>
      <c r="G595" s="17" t="n"/>
      <c r="H595" s="23" t="n"/>
      <c r="I595" s="27">
        <f>IF($A595="","",库存台账!$X595)</f>
        <v/>
      </c>
      <c r="J595" s="27">
        <f>IF(OR($A595="",$H595=""),"",ROUND($H595-$I595,3))</f>
        <v/>
      </c>
      <c r="K595" s="26">
        <f>IF($A595="","",库存台账!$K595)</f>
        <v/>
      </c>
      <c r="L595" s="26">
        <f>IF($J595="","",ROUND($J595*$K595,0))</f>
        <v/>
      </c>
      <c r="M595" s="37">
        <f>IF(OR($J595="",$I595=0),"",ROUND($J595/$I595,4))</f>
        <v/>
      </c>
      <c r="N595" s="17" t="n"/>
      <c r="O595" s="17" t="n"/>
      <c r="P595" s="24">
        <f>IF($J595="","未盘",IF(ROUND($J595,3)=0,"账实相符",IF(COUNTIFS(入库单!$G$4:$G$2503,$A595,入库单!$X$4:$X$2503,"盘盈",入库单!$C$4:$C$2503,"&gt;="&amp;账期起,入库单!$C$4:$C$2503,"&lt;="&amp;账期止)+COUNTIFS(出库单!$D$4:$D$4003,$A595,出库单!$K$4:$K$4003,"盘亏",出库单!$C$4:$C$4003,"&gt;="&amp;账期起,出库单!$C$4:$C$4003,"&lt;="&amp;账期止)&gt;0,"已调账","※差异还没调账")))</f>
        <v/>
      </c>
      <c r="Q595" s="17" t="n"/>
      <c r="R595" s="17" t="n"/>
    </row>
    <row r="596">
      <c r="A596" s="24">
        <f>IF(库存台账!$A596="","",库存台账!$A596)</f>
        <v/>
      </c>
      <c r="B596" s="24">
        <f>IF($A596="","",库存台账!$B596)</f>
        <v/>
      </c>
      <c r="C596" s="24">
        <f>IF($A596="","",库存台账!$C596)</f>
        <v/>
      </c>
      <c r="D596" s="24">
        <f>IF($A596="","",库存台账!$D596)</f>
        <v/>
      </c>
      <c r="E596" s="24">
        <f>IF($A596="","",库存台账!$E596)</f>
        <v/>
      </c>
      <c r="F596" s="24">
        <f>IF($A596="","",库存台账!$F596)</f>
        <v/>
      </c>
      <c r="G596" s="17" t="n"/>
      <c r="H596" s="23" t="n"/>
      <c r="I596" s="27">
        <f>IF($A596="","",库存台账!$X596)</f>
        <v/>
      </c>
      <c r="J596" s="27">
        <f>IF(OR($A596="",$H596=""),"",ROUND($H596-$I596,3))</f>
        <v/>
      </c>
      <c r="K596" s="26">
        <f>IF($A596="","",库存台账!$K596)</f>
        <v/>
      </c>
      <c r="L596" s="26">
        <f>IF($J596="","",ROUND($J596*$K596,0))</f>
        <v/>
      </c>
      <c r="M596" s="37">
        <f>IF(OR($J596="",$I596=0),"",ROUND($J596/$I596,4))</f>
        <v/>
      </c>
      <c r="N596" s="17" t="n"/>
      <c r="O596" s="17" t="n"/>
      <c r="P596" s="24">
        <f>IF($J596="","未盘",IF(ROUND($J596,3)=0,"账实相符",IF(COUNTIFS(入库单!$G$4:$G$2503,$A596,入库单!$X$4:$X$2503,"盘盈",入库单!$C$4:$C$2503,"&gt;="&amp;账期起,入库单!$C$4:$C$2503,"&lt;="&amp;账期止)+COUNTIFS(出库单!$D$4:$D$4003,$A596,出库单!$K$4:$K$4003,"盘亏",出库单!$C$4:$C$4003,"&gt;="&amp;账期起,出库单!$C$4:$C$4003,"&lt;="&amp;账期止)&gt;0,"已调账","※差异还没调账")))</f>
        <v/>
      </c>
      <c r="Q596" s="17" t="n"/>
      <c r="R596" s="17" t="n"/>
    </row>
    <row r="597">
      <c r="A597" s="24">
        <f>IF(库存台账!$A597="","",库存台账!$A597)</f>
        <v/>
      </c>
      <c r="B597" s="24">
        <f>IF($A597="","",库存台账!$B597)</f>
        <v/>
      </c>
      <c r="C597" s="24">
        <f>IF($A597="","",库存台账!$C597)</f>
        <v/>
      </c>
      <c r="D597" s="24">
        <f>IF($A597="","",库存台账!$D597)</f>
        <v/>
      </c>
      <c r="E597" s="24">
        <f>IF($A597="","",库存台账!$E597)</f>
        <v/>
      </c>
      <c r="F597" s="24">
        <f>IF($A597="","",库存台账!$F597)</f>
        <v/>
      </c>
      <c r="G597" s="17" t="n"/>
      <c r="H597" s="23" t="n"/>
      <c r="I597" s="27">
        <f>IF($A597="","",库存台账!$X597)</f>
        <v/>
      </c>
      <c r="J597" s="27">
        <f>IF(OR($A597="",$H597=""),"",ROUND($H597-$I597,3))</f>
        <v/>
      </c>
      <c r="K597" s="26">
        <f>IF($A597="","",库存台账!$K597)</f>
        <v/>
      </c>
      <c r="L597" s="26">
        <f>IF($J597="","",ROUND($J597*$K597,0))</f>
        <v/>
      </c>
      <c r="M597" s="37">
        <f>IF(OR($J597="",$I597=0),"",ROUND($J597/$I597,4))</f>
        <v/>
      </c>
      <c r="N597" s="17" t="n"/>
      <c r="O597" s="17" t="n"/>
      <c r="P597" s="24">
        <f>IF($J597="","未盘",IF(ROUND($J597,3)=0,"账实相符",IF(COUNTIFS(入库单!$G$4:$G$2503,$A597,入库单!$X$4:$X$2503,"盘盈",入库单!$C$4:$C$2503,"&gt;="&amp;账期起,入库单!$C$4:$C$2503,"&lt;="&amp;账期止)+COUNTIFS(出库单!$D$4:$D$4003,$A597,出库单!$K$4:$K$4003,"盘亏",出库单!$C$4:$C$4003,"&gt;="&amp;账期起,出库单!$C$4:$C$4003,"&lt;="&amp;账期止)&gt;0,"已调账","※差异还没调账")))</f>
        <v/>
      </c>
      <c r="Q597" s="17" t="n"/>
      <c r="R597" s="17" t="n"/>
    </row>
    <row r="598">
      <c r="A598" s="24">
        <f>IF(库存台账!$A598="","",库存台账!$A598)</f>
        <v/>
      </c>
      <c r="B598" s="24">
        <f>IF($A598="","",库存台账!$B598)</f>
        <v/>
      </c>
      <c r="C598" s="24">
        <f>IF($A598="","",库存台账!$C598)</f>
        <v/>
      </c>
      <c r="D598" s="24">
        <f>IF($A598="","",库存台账!$D598)</f>
        <v/>
      </c>
      <c r="E598" s="24">
        <f>IF($A598="","",库存台账!$E598)</f>
        <v/>
      </c>
      <c r="F598" s="24">
        <f>IF($A598="","",库存台账!$F598)</f>
        <v/>
      </c>
      <c r="G598" s="17" t="n"/>
      <c r="H598" s="23" t="n"/>
      <c r="I598" s="27">
        <f>IF($A598="","",库存台账!$X598)</f>
        <v/>
      </c>
      <c r="J598" s="27">
        <f>IF(OR($A598="",$H598=""),"",ROUND($H598-$I598,3))</f>
        <v/>
      </c>
      <c r="K598" s="26">
        <f>IF($A598="","",库存台账!$K598)</f>
        <v/>
      </c>
      <c r="L598" s="26">
        <f>IF($J598="","",ROUND($J598*$K598,0))</f>
        <v/>
      </c>
      <c r="M598" s="37">
        <f>IF(OR($J598="",$I598=0),"",ROUND($J598/$I598,4))</f>
        <v/>
      </c>
      <c r="N598" s="17" t="n"/>
      <c r="O598" s="17" t="n"/>
      <c r="P598" s="24">
        <f>IF($J598="","未盘",IF(ROUND($J598,3)=0,"账实相符",IF(COUNTIFS(入库单!$G$4:$G$2503,$A598,入库单!$X$4:$X$2503,"盘盈",入库单!$C$4:$C$2503,"&gt;="&amp;账期起,入库单!$C$4:$C$2503,"&lt;="&amp;账期止)+COUNTIFS(出库单!$D$4:$D$4003,$A598,出库单!$K$4:$K$4003,"盘亏",出库单!$C$4:$C$4003,"&gt;="&amp;账期起,出库单!$C$4:$C$4003,"&lt;="&amp;账期止)&gt;0,"已调账","※差异还没调账")))</f>
        <v/>
      </c>
      <c r="Q598" s="17" t="n"/>
      <c r="R598" s="17" t="n"/>
    </row>
    <row r="599">
      <c r="A599" s="24">
        <f>IF(库存台账!$A599="","",库存台账!$A599)</f>
        <v/>
      </c>
      <c r="B599" s="24">
        <f>IF($A599="","",库存台账!$B599)</f>
        <v/>
      </c>
      <c r="C599" s="24">
        <f>IF($A599="","",库存台账!$C599)</f>
        <v/>
      </c>
      <c r="D599" s="24">
        <f>IF($A599="","",库存台账!$D599)</f>
        <v/>
      </c>
      <c r="E599" s="24">
        <f>IF($A599="","",库存台账!$E599)</f>
        <v/>
      </c>
      <c r="F599" s="24">
        <f>IF($A599="","",库存台账!$F599)</f>
        <v/>
      </c>
      <c r="G599" s="17" t="n"/>
      <c r="H599" s="23" t="n"/>
      <c r="I599" s="27">
        <f>IF($A599="","",库存台账!$X599)</f>
        <v/>
      </c>
      <c r="J599" s="27">
        <f>IF(OR($A599="",$H599=""),"",ROUND($H599-$I599,3))</f>
        <v/>
      </c>
      <c r="K599" s="26">
        <f>IF($A599="","",库存台账!$K599)</f>
        <v/>
      </c>
      <c r="L599" s="26">
        <f>IF($J599="","",ROUND($J599*$K599,0))</f>
        <v/>
      </c>
      <c r="M599" s="37">
        <f>IF(OR($J599="",$I599=0),"",ROUND($J599/$I599,4))</f>
        <v/>
      </c>
      <c r="N599" s="17" t="n"/>
      <c r="O599" s="17" t="n"/>
      <c r="P599" s="24">
        <f>IF($J599="","未盘",IF(ROUND($J599,3)=0,"账实相符",IF(COUNTIFS(入库单!$G$4:$G$2503,$A599,入库单!$X$4:$X$2503,"盘盈",入库单!$C$4:$C$2503,"&gt;="&amp;账期起,入库单!$C$4:$C$2503,"&lt;="&amp;账期止)+COUNTIFS(出库单!$D$4:$D$4003,$A599,出库单!$K$4:$K$4003,"盘亏",出库单!$C$4:$C$4003,"&gt;="&amp;账期起,出库单!$C$4:$C$4003,"&lt;="&amp;账期止)&gt;0,"已调账","※差异还没调账")))</f>
        <v/>
      </c>
      <c r="Q599" s="17" t="n"/>
      <c r="R599" s="17" t="n"/>
    </row>
    <row r="600">
      <c r="A600" s="24">
        <f>IF(库存台账!$A600="","",库存台账!$A600)</f>
        <v/>
      </c>
      <c r="B600" s="24">
        <f>IF($A600="","",库存台账!$B600)</f>
        <v/>
      </c>
      <c r="C600" s="24">
        <f>IF($A600="","",库存台账!$C600)</f>
        <v/>
      </c>
      <c r="D600" s="24">
        <f>IF($A600="","",库存台账!$D600)</f>
        <v/>
      </c>
      <c r="E600" s="24">
        <f>IF($A600="","",库存台账!$E600)</f>
        <v/>
      </c>
      <c r="F600" s="24">
        <f>IF($A600="","",库存台账!$F600)</f>
        <v/>
      </c>
      <c r="G600" s="17" t="n"/>
      <c r="H600" s="23" t="n"/>
      <c r="I600" s="27">
        <f>IF($A600="","",库存台账!$X600)</f>
        <v/>
      </c>
      <c r="J600" s="27">
        <f>IF(OR($A600="",$H600=""),"",ROUND($H600-$I600,3))</f>
        <v/>
      </c>
      <c r="K600" s="26">
        <f>IF($A600="","",库存台账!$K600)</f>
        <v/>
      </c>
      <c r="L600" s="26">
        <f>IF($J600="","",ROUND($J600*$K600,0))</f>
        <v/>
      </c>
      <c r="M600" s="37">
        <f>IF(OR($J600="",$I600=0),"",ROUND($J600/$I600,4))</f>
        <v/>
      </c>
      <c r="N600" s="17" t="n"/>
      <c r="O600" s="17" t="n"/>
      <c r="P600" s="24">
        <f>IF($J600="","未盘",IF(ROUND($J600,3)=0,"账实相符",IF(COUNTIFS(入库单!$G$4:$G$2503,$A600,入库单!$X$4:$X$2503,"盘盈",入库单!$C$4:$C$2503,"&gt;="&amp;账期起,入库单!$C$4:$C$2503,"&lt;="&amp;账期止)+COUNTIFS(出库单!$D$4:$D$4003,$A600,出库单!$K$4:$K$4003,"盘亏",出库单!$C$4:$C$4003,"&gt;="&amp;账期起,出库单!$C$4:$C$4003,"&lt;="&amp;账期止)&gt;0,"已调账","※差异还没调账")))</f>
        <v/>
      </c>
      <c r="Q600" s="17" t="n"/>
      <c r="R600" s="17" t="n"/>
    </row>
    <row r="601">
      <c r="A601" s="24">
        <f>IF(库存台账!$A601="","",库存台账!$A601)</f>
        <v/>
      </c>
      <c r="B601" s="24">
        <f>IF($A601="","",库存台账!$B601)</f>
        <v/>
      </c>
      <c r="C601" s="24">
        <f>IF($A601="","",库存台账!$C601)</f>
        <v/>
      </c>
      <c r="D601" s="24">
        <f>IF($A601="","",库存台账!$D601)</f>
        <v/>
      </c>
      <c r="E601" s="24">
        <f>IF($A601="","",库存台账!$E601)</f>
        <v/>
      </c>
      <c r="F601" s="24">
        <f>IF($A601="","",库存台账!$F601)</f>
        <v/>
      </c>
      <c r="G601" s="17" t="n"/>
      <c r="H601" s="23" t="n"/>
      <c r="I601" s="27">
        <f>IF($A601="","",库存台账!$X601)</f>
        <v/>
      </c>
      <c r="J601" s="27">
        <f>IF(OR($A601="",$H601=""),"",ROUND($H601-$I601,3))</f>
        <v/>
      </c>
      <c r="K601" s="26">
        <f>IF($A601="","",库存台账!$K601)</f>
        <v/>
      </c>
      <c r="L601" s="26">
        <f>IF($J601="","",ROUND($J601*$K601,0))</f>
        <v/>
      </c>
      <c r="M601" s="37">
        <f>IF(OR($J601="",$I601=0),"",ROUND($J601/$I601,4))</f>
        <v/>
      </c>
      <c r="N601" s="17" t="n"/>
      <c r="O601" s="17" t="n"/>
      <c r="P601" s="24">
        <f>IF($J601="","未盘",IF(ROUND($J601,3)=0,"账实相符",IF(COUNTIFS(入库单!$G$4:$G$2503,$A601,入库单!$X$4:$X$2503,"盘盈",入库单!$C$4:$C$2503,"&gt;="&amp;账期起,入库单!$C$4:$C$2503,"&lt;="&amp;账期止)+COUNTIFS(出库单!$D$4:$D$4003,$A601,出库单!$K$4:$K$4003,"盘亏",出库单!$C$4:$C$4003,"&gt;="&amp;账期起,出库单!$C$4:$C$4003,"&lt;="&amp;账期止)&gt;0,"已调账","※差异还没调账")))</f>
        <v/>
      </c>
      <c r="Q601" s="17" t="n"/>
      <c r="R601" s="17" t="n"/>
    </row>
    <row r="602">
      <c r="A602" s="24">
        <f>IF(库存台账!$A602="","",库存台账!$A602)</f>
        <v/>
      </c>
      <c r="B602" s="24">
        <f>IF($A602="","",库存台账!$B602)</f>
        <v/>
      </c>
      <c r="C602" s="24">
        <f>IF($A602="","",库存台账!$C602)</f>
        <v/>
      </c>
      <c r="D602" s="24">
        <f>IF($A602="","",库存台账!$D602)</f>
        <v/>
      </c>
      <c r="E602" s="24">
        <f>IF($A602="","",库存台账!$E602)</f>
        <v/>
      </c>
      <c r="F602" s="24">
        <f>IF($A602="","",库存台账!$F602)</f>
        <v/>
      </c>
      <c r="G602" s="17" t="n"/>
      <c r="H602" s="23" t="n"/>
      <c r="I602" s="27">
        <f>IF($A602="","",库存台账!$X602)</f>
        <v/>
      </c>
      <c r="J602" s="27">
        <f>IF(OR($A602="",$H602=""),"",ROUND($H602-$I602,3))</f>
        <v/>
      </c>
      <c r="K602" s="26">
        <f>IF($A602="","",库存台账!$K602)</f>
        <v/>
      </c>
      <c r="L602" s="26">
        <f>IF($J602="","",ROUND($J602*$K602,0))</f>
        <v/>
      </c>
      <c r="M602" s="37">
        <f>IF(OR($J602="",$I602=0),"",ROUND($J602/$I602,4))</f>
        <v/>
      </c>
      <c r="N602" s="17" t="n"/>
      <c r="O602" s="17" t="n"/>
      <c r="P602" s="24">
        <f>IF($J602="","未盘",IF(ROUND($J602,3)=0,"账实相符",IF(COUNTIFS(入库单!$G$4:$G$2503,$A602,入库单!$X$4:$X$2503,"盘盈",入库单!$C$4:$C$2503,"&gt;="&amp;账期起,入库单!$C$4:$C$2503,"&lt;="&amp;账期止)+COUNTIFS(出库单!$D$4:$D$4003,$A602,出库单!$K$4:$K$4003,"盘亏",出库单!$C$4:$C$4003,"&gt;="&amp;账期起,出库单!$C$4:$C$4003,"&lt;="&amp;账期止)&gt;0,"已调账","※差异还没调账")))</f>
        <v/>
      </c>
      <c r="Q602" s="17" t="n"/>
      <c r="R602" s="17" t="n"/>
    </row>
    <row r="603">
      <c r="A603" s="24">
        <f>IF(库存台账!$A603="","",库存台账!$A603)</f>
        <v/>
      </c>
      <c r="B603" s="24">
        <f>IF($A603="","",库存台账!$B603)</f>
        <v/>
      </c>
      <c r="C603" s="24">
        <f>IF($A603="","",库存台账!$C603)</f>
        <v/>
      </c>
      <c r="D603" s="24">
        <f>IF($A603="","",库存台账!$D603)</f>
        <v/>
      </c>
      <c r="E603" s="24">
        <f>IF($A603="","",库存台账!$E603)</f>
        <v/>
      </c>
      <c r="F603" s="24">
        <f>IF($A603="","",库存台账!$F603)</f>
        <v/>
      </c>
      <c r="G603" s="17" t="n"/>
      <c r="H603" s="23" t="n"/>
      <c r="I603" s="27">
        <f>IF($A603="","",库存台账!$X603)</f>
        <v/>
      </c>
      <c r="J603" s="27">
        <f>IF(OR($A603="",$H603=""),"",ROUND($H603-$I603,3))</f>
        <v/>
      </c>
      <c r="K603" s="26">
        <f>IF($A603="","",库存台账!$K603)</f>
        <v/>
      </c>
      <c r="L603" s="26">
        <f>IF($J603="","",ROUND($J603*$K603,0))</f>
        <v/>
      </c>
      <c r="M603" s="37">
        <f>IF(OR($J603="",$I603=0),"",ROUND($J603/$I603,4))</f>
        <v/>
      </c>
      <c r="N603" s="17" t="n"/>
      <c r="O603" s="17" t="n"/>
      <c r="P603" s="24">
        <f>IF($J603="","未盘",IF(ROUND($J603,3)=0,"账实相符",IF(COUNTIFS(入库单!$G$4:$G$2503,$A603,入库单!$X$4:$X$2503,"盘盈",入库单!$C$4:$C$2503,"&gt;="&amp;账期起,入库单!$C$4:$C$2503,"&lt;="&amp;账期止)+COUNTIFS(出库单!$D$4:$D$4003,$A603,出库单!$K$4:$K$4003,"盘亏",出库单!$C$4:$C$4003,"&gt;="&amp;账期起,出库单!$C$4:$C$4003,"&lt;="&amp;账期止)&gt;0,"已调账","※差异还没调账")))</f>
        <v/>
      </c>
      <c r="Q603" s="17" t="n"/>
      <c r="R603" s="17" t="n"/>
    </row>
    <row r="604">
      <c r="A604" s="24">
        <f>IF(库存台账!$A604="","",库存台账!$A604)</f>
        <v/>
      </c>
      <c r="B604" s="24">
        <f>IF($A604="","",库存台账!$B604)</f>
        <v/>
      </c>
      <c r="C604" s="24">
        <f>IF($A604="","",库存台账!$C604)</f>
        <v/>
      </c>
      <c r="D604" s="24">
        <f>IF($A604="","",库存台账!$D604)</f>
        <v/>
      </c>
      <c r="E604" s="24">
        <f>IF($A604="","",库存台账!$E604)</f>
        <v/>
      </c>
      <c r="F604" s="24">
        <f>IF($A604="","",库存台账!$F604)</f>
        <v/>
      </c>
      <c r="G604" s="17" t="n"/>
      <c r="H604" s="23" t="n"/>
      <c r="I604" s="27">
        <f>IF($A604="","",库存台账!$X604)</f>
        <v/>
      </c>
      <c r="J604" s="27">
        <f>IF(OR($A604="",$H604=""),"",ROUND($H604-$I604,3))</f>
        <v/>
      </c>
      <c r="K604" s="26">
        <f>IF($A604="","",库存台账!$K604)</f>
        <v/>
      </c>
      <c r="L604" s="26">
        <f>IF($J604="","",ROUND($J604*$K604,0))</f>
        <v/>
      </c>
      <c r="M604" s="37">
        <f>IF(OR($J604="",$I604=0),"",ROUND($J604/$I604,4))</f>
        <v/>
      </c>
      <c r="N604" s="17" t="n"/>
      <c r="O604" s="17" t="n"/>
      <c r="P604" s="24">
        <f>IF($J604="","未盘",IF(ROUND($J604,3)=0,"账实相符",IF(COUNTIFS(入库单!$G$4:$G$2503,$A604,入库单!$X$4:$X$2503,"盘盈",入库单!$C$4:$C$2503,"&gt;="&amp;账期起,入库单!$C$4:$C$2503,"&lt;="&amp;账期止)+COUNTIFS(出库单!$D$4:$D$4003,$A604,出库单!$K$4:$K$4003,"盘亏",出库单!$C$4:$C$4003,"&gt;="&amp;账期起,出库单!$C$4:$C$4003,"&lt;="&amp;账期止)&gt;0,"已调账","※差异还没调账")))</f>
        <v/>
      </c>
      <c r="Q604" s="17" t="n"/>
      <c r="R604" s="17" t="n"/>
    </row>
    <row r="605">
      <c r="A605" s="24">
        <f>IF(库存台账!$A605="","",库存台账!$A605)</f>
        <v/>
      </c>
      <c r="B605" s="24">
        <f>IF($A605="","",库存台账!$B605)</f>
        <v/>
      </c>
      <c r="C605" s="24">
        <f>IF($A605="","",库存台账!$C605)</f>
        <v/>
      </c>
      <c r="D605" s="24">
        <f>IF($A605="","",库存台账!$D605)</f>
        <v/>
      </c>
      <c r="E605" s="24">
        <f>IF($A605="","",库存台账!$E605)</f>
        <v/>
      </c>
      <c r="F605" s="24">
        <f>IF($A605="","",库存台账!$F605)</f>
        <v/>
      </c>
      <c r="G605" s="17" t="n"/>
      <c r="H605" s="23" t="n"/>
      <c r="I605" s="27">
        <f>IF($A605="","",库存台账!$X605)</f>
        <v/>
      </c>
      <c r="J605" s="27">
        <f>IF(OR($A605="",$H605=""),"",ROUND($H605-$I605,3))</f>
        <v/>
      </c>
      <c r="K605" s="26">
        <f>IF($A605="","",库存台账!$K605)</f>
        <v/>
      </c>
      <c r="L605" s="26">
        <f>IF($J605="","",ROUND($J605*$K605,0))</f>
        <v/>
      </c>
      <c r="M605" s="37">
        <f>IF(OR($J605="",$I605=0),"",ROUND($J605/$I605,4))</f>
        <v/>
      </c>
      <c r="N605" s="17" t="n"/>
      <c r="O605" s="17" t="n"/>
      <c r="P605" s="24">
        <f>IF($J605="","未盘",IF(ROUND($J605,3)=0,"账实相符",IF(COUNTIFS(入库单!$G$4:$G$2503,$A605,入库单!$X$4:$X$2503,"盘盈",入库单!$C$4:$C$2503,"&gt;="&amp;账期起,入库单!$C$4:$C$2503,"&lt;="&amp;账期止)+COUNTIFS(出库单!$D$4:$D$4003,$A605,出库单!$K$4:$K$4003,"盘亏",出库单!$C$4:$C$4003,"&gt;="&amp;账期起,出库单!$C$4:$C$4003,"&lt;="&amp;账期止)&gt;0,"已调账","※差异还没调账")))</f>
        <v/>
      </c>
      <c r="Q605" s="17" t="n"/>
      <c r="R605" s="17" t="n"/>
    </row>
    <row r="606">
      <c r="A606" s="24">
        <f>IF(库存台账!$A606="","",库存台账!$A606)</f>
        <v/>
      </c>
      <c r="B606" s="24">
        <f>IF($A606="","",库存台账!$B606)</f>
        <v/>
      </c>
      <c r="C606" s="24">
        <f>IF($A606="","",库存台账!$C606)</f>
        <v/>
      </c>
      <c r="D606" s="24">
        <f>IF($A606="","",库存台账!$D606)</f>
        <v/>
      </c>
      <c r="E606" s="24">
        <f>IF($A606="","",库存台账!$E606)</f>
        <v/>
      </c>
      <c r="F606" s="24">
        <f>IF($A606="","",库存台账!$F606)</f>
        <v/>
      </c>
      <c r="G606" s="17" t="n"/>
      <c r="H606" s="23" t="n"/>
      <c r="I606" s="27">
        <f>IF($A606="","",库存台账!$X606)</f>
        <v/>
      </c>
      <c r="J606" s="27">
        <f>IF(OR($A606="",$H606=""),"",ROUND($H606-$I606,3))</f>
        <v/>
      </c>
      <c r="K606" s="26">
        <f>IF($A606="","",库存台账!$K606)</f>
        <v/>
      </c>
      <c r="L606" s="26">
        <f>IF($J606="","",ROUND($J606*$K606,0))</f>
        <v/>
      </c>
      <c r="M606" s="37">
        <f>IF(OR($J606="",$I606=0),"",ROUND($J606/$I606,4))</f>
        <v/>
      </c>
      <c r="N606" s="17" t="n"/>
      <c r="O606" s="17" t="n"/>
      <c r="P606" s="24">
        <f>IF($J606="","未盘",IF(ROUND($J606,3)=0,"账实相符",IF(COUNTIFS(入库单!$G$4:$G$2503,$A606,入库单!$X$4:$X$2503,"盘盈",入库单!$C$4:$C$2503,"&gt;="&amp;账期起,入库单!$C$4:$C$2503,"&lt;="&amp;账期止)+COUNTIFS(出库单!$D$4:$D$4003,$A606,出库单!$K$4:$K$4003,"盘亏",出库单!$C$4:$C$4003,"&gt;="&amp;账期起,出库单!$C$4:$C$4003,"&lt;="&amp;账期止)&gt;0,"已调账","※差异还没调账")))</f>
        <v/>
      </c>
      <c r="Q606" s="17" t="n"/>
      <c r="R606" s="17" t="n"/>
    </row>
    <row r="607">
      <c r="A607" s="24">
        <f>IF(库存台账!$A607="","",库存台账!$A607)</f>
        <v/>
      </c>
      <c r="B607" s="24">
        <f>IF($A607="","",库存台账!$B607)</f>
        <v/>
      </c>
      <c r="C607" s="24">
        <f>IF($A607="","",库存台账!$C607)</f>
        <v/>
      </c>
      <c r="D607" s="24">
        <f>IF($A607="","",库存台账!$D607)</f>
        <v/>
      </c>
      <c r="E607" s="24">
        <f>IF($A607="","",库存台账!$E607)</f>
        <v/>
      </c>
      <c r="F607" s="24">
        <f>IF($A607="","",库存台账!$F607)</f>
        <v/>
      </c>
      <c r="G607" s="17" t="n"/>
      <c r="H607" s="23" t="n"/>
      <c r="I607" s="27">
        <f>IF($A607="","",库存台账!$X607)</f>
        <v/>
      </c>
      <c r="J607" s="27">
        <f>IF(OR($A607="",$H607=""),"",ROUND($H607-$I607,3))</f>
        <v/>
      </c>
      <c r="K607" s="26">
        <f>IF($A607="","",库存台账!$K607)</f>
        <v/>
      </c>
      <c r="L607" s="26">
        <f>IF($J607="","",ROUND($J607*$K607,0))</f>
        <v/>
      </c>
      <c r="M607" s="37">
        <f>IF(OR($J607="",$I607=0),"",ROUND($J607/$I607,4))</f>
        <v/>
      </c>
      <c r="N607" s="17" t="n"/>
      <c r="O607" s="17" t="n"/>
      <c r="P607" s="24">
        <f>IF($J607="","未盘",IF(ROUND($J607,3)=0,"账实相符",IF(COUNTIFS(入库单!$G$4:$G$2503,$A607,入库单!$X$4:$X$2503,"盘盈",入库单!$C$4:$C$2503,"&gt;="&amp;账期起,入库单!$C$4:$C$2503,"&lt;="&amp;账期止)+COUNTIFS(出库单!$D$4:$D$4003,$A607,出库单!$K$4:$K$4003,"盘亏",出库单!$C$4:$C$4003,"&gt;="&amp;账期起,出库单!$C$4:$C$4003,"&lt;="&amp;账期止)&gt;0,"已调账","※差异还没调账")))</f>
        <v/>
      </c>
      <c r="Q607" s="17" t="n"/>
      <c r="R607" s="17" t="n"/>
    </row>
    <row r="608">
      <c r="A608" s="24">
        <f>IF(库存台账!$A608="","",库存台账!$A608)</f>
        <v/>
      </c>
      <c r="B608" s="24">
        <f>IF($A608="","",库存台账!$B608)</f>
        <v/>
      </c>
      <c r="C608" s="24">
        <f>IF($A608="","",库存台账!$C608)</f>
        <v/>
      </c>
      <c r="D608" s="24">
        <f>IF($A608="","",库存台账!$D608)</f>
        <v/>
      </c>
      <c r="E608" s="24">
        <f>IF($A608="","",库存台账!$E608)</f>
        <v/>
      </c>
      <c r="F608" s="24">
        <f>IF($A608="","",库存台账!$F608)</f>
        <v/>
      </c>
      <c r="G608" s="17" t="n"/>
      <c r="H608" s="23" t="n"/>
      <c r="I608" s="27">
        <f>IF($A608="","",库存台账!$X608)</f>
        <v/>
      </c>
      <c r="J608" s="27">
        <f>IF(OR($A608="",$H608=""),"",ROUND($H608-$I608,3))</f>
        <v/>
      </c>
      <c r="K608" s="26">
        <f>IF($A608="","",库存台账!$K608)</f>
        <v/>
      </c>
      <c r="L608" s="26">
        <f>IF($J608="","",ROUND($J608*$K608,0))</f>
        <v/>
      </c>
      <c r="M608" s="37">
        <f>IF(OR($J608="",$I608=0),"",ROUND($J608/$I608,4))</f>
        <v/>
      </c>
      <c r="N608" s="17" t="n"/>
      <c r="O608" s="17" t="n"/>
      <c r="P608" s="24">
        <f>IF($J608="","未盘",IF(ROUND($J608,3)=0,"账实相符",IF(COUNTIFS(入库单!$G$4:$G$2503,$A608,入库单!$X$4:$X$2503,"盘盈",入库单!$C$4:$C$2503,"&gt;="&amp;账期起,入库单!$C$4:$C$2503,"&lt;="&amp;账期止)+COUNTIFS(出库单!$D$4:$D$4003,$A608,出库单!$K$4:$K$4003,"盘亏",出库单!$C$4:$C$4003,"&gt;="&amp;账期起,出库单!$C$4:$C$4003,"&lt;="&amp;账期止)&gt;0,"已调账","※差异还没调账")))</f>
        <v/>
      </c>
      <c r="Q608" s="17" t="n"/>
      <c r="R608" s="17" t="n"/>
    </row>
    <row r="609">
      <c r="A609" s="24">
        <f>IF(库存台账!$A609="","",库存台账!$A609)</f>
        <v/>
      </c>
      <c r="B609" s="24">
        <f>IF($A609="","",库存台账!$B609)</f>
        <v/>
      </c>
      <c r="C609" s="24">
        <f>IF($A609="","",库存台账!$C609)</f>
        <v/>
      </c>
      <c r="D609" s="24">
        <f>IF($A609="","",库存台账!$D609)</f>
        <v/>
      </c>
      <c r="E609" s="24">
        <f>IF($A609="","",库存台账!$E609)</f>
        <v/>
      </c>
      <c r="F609" s="24">
        <f>IF($A609="","",库存台账!$F609)</f>
        <v/>
      </c>
      <c r="G609" s="17" t="n"/>
      <c r="H609" s="23" t="n"/>
      <c r="I609" s="27">
        <f>IF($A609="","",库存台账!$X609)</f>
        <v/>
      </c>
      <c r="J609" s="27">
        <f>IF(OR($A609="",$H609=""),"",ROUND($H609-$I609,3))</f>
        <v/>
      </c>
      <c r="K609" s="26">
        <f>IF($A609="","",库存台账!$K609)</f>
        <v/>
      </c>
      <c r="L609" s="26">
        <f>IF($J609="","",ROUND($J609*$K609,0))</f>
        <v/>
      </c>
      <c r="M609" s="37">
        <f>IF(OR($J609="",$I609=0),"",ROUND($J609/$I609,4))</f>
        <v/>
      </c>
      <c r="N609" s="17" t="n"/>
      <c r="O609" s="17" t="n"/>
      <c r="P609" s="24">
        <f>IF($J609="","未盘",IF(ROUND($J609,3)=0,"账实相符",IF(COUNTIFS(入库单!$G$4:$G$2503,$A609,入库单!$X$4:$X$2503,"盘盈",入库单!$C$4:$C$2503,"&gt;="&amp;账期起,入库单!$C$4:$C$2503,"&lt;="&amp;账期止)+COUNTIFS(出库单!$D$4:$D$4003,$A609,出库单!$K$4:$K$4003,"盘亏",出库单!$C$4:$C$4003,"&gt;="&amp;账期起,出库单!$C$4:$C$4003,"&lt;="&amp;账期止)&gt;0,"已调账","※差异还没调账")))</f>
        <v/>
      </c>
      <c r="Q609" s="17" t="n"/>
      <c r="R609" s="17" t="n"/>
    </row>
    <row r="610">
      <c r="A610" s="24">
        <f>IF(库存台账!$A610="","",库存台账!$A610)</f>
        <v/>
      </c>
      <c r="B610" s="24">
        <f>IF($A610="","",库存台账!$B610)</f>
        <v/>
      </c>
      <c r="C610" s="24">
        <f>IF($A610="","",库存台账!$C610)</f>
        <v/>
      </c>
      <c r="D610" s="24">
        <f>IF($A610="","",库存台账!$D610)</f>
        <v/>
      </c>
      <c r="E610" s="24">
        <f>IF($A610="","",库存台账!$E610)</f>
        <v/>
      </c>
      <c r="F610" s="24">
        <f>IF($A610="","",库存台账!$F610)</f>
        <v/>
      </c>
      <c r="G610" s="17" t="n"/>
      <c r="H610" s="23" t="n"/>
      <c r="I610" s="27">
        <f>IF($A610="","",库存台账!$X610)</f>
        <v/>
      </c>
      <c r="J610" s="27">
        <f>IF(OR($A610="",$H610=""),"",ROUND($H610-$I610,3))</f>
        <v/>
      </c>
      <c r="K610" s="26">
        <f>IF($A610="","",库存台账!$K610)</f>
        <v/>
      </c>
      <c r="L610" s="26">
        <f>IF($J610="","",ROUND($J610*$K610,0))</f>
        <v/>
      </c>
      <c r="M610" s="37">
        <f>IF(OR($J610="",$I610=0),"",ROUND($J610/$I610,4))</f>
        <v/>
      </c>
      <c r="N610" s="17" t="n"/>
      <c r="O610" s="17" t="n"/>
      <c r="P610" s="24">
        <f>IF($J610="","未盘",IF(ROUND($J610,3)=0,"账实相符",IF(COUNTIFS(入库单!$G$4:$G$2503,$A610,入库单!$X$4:$X$2503,"盘盈",入库单!$C$4:$C$2503,"&gt;="&amp;账期起,入库单!$C$4:$C$2503,"&lt;="&amp;账期止)+COUNTIFS(出库单!$D$4:$D$4003,$A610,出库单!$K$4:$K$4003,"盘亏",出库单!$C$4:$C$4003,"&gt;="&amp;账期起,出库单!$C$4:$C$4003,"&lt;="&amp;账期止)&gt;0,"已调账","※差异还没调账")))</f>
        <v/>
      </c>
      <c r="Q610" s="17" t="n"/>
      <c r="R610" s="17" t="n"/>
    </row>
    <row r="611">
      <c r="A611" s="24">
        <f>IF(库存台账!$A611="","",库存台账!$A611)</f>
        <v/>
      </c>
      <c r="B611" s="24">
        <f>IF($A611="","",库存台账!$B611)</f>
        <v/>
      </c>
      <c r="C611" s="24">
        <f>IF($A611="","",库存台账!$C611)</f>
        <v/>
      </c>
      <c r="D611" s="24">
        <f>IF($A611="","",库存台账!$D611)</f>
        <v/>
      </c>
      <c r="E611" s="24">
        <f>IF($A611="","",库存台账!$E611)</f>
        <v/>
      </c>
      <c r="F611" s="24">
        <f>IF($A611="","",库存台账!$F611)</f>
        <v/>
      </c>
      <c r="G611" s="17" t="n"/>
      <c r="H611" s="23" t="n"/>
      <c r="I611" s="27">
        <f>IF($A611="","",库存台账!$X611)</f>
        <v/>
      </c>
      <c r="J611" s="27">
        <f>IF(OR($A611="",$H611=""),"",ROUND($H611-$I611,3))</f>
        <v/>
      </c>
      <c r="K611" s="26">
        <f>IF($A611="","",库存台账!$K611)</f>
        <v/>
      </c>
      <c r="L611" s="26">
        <f>IF($J611="","",ROUND($J611*$K611,0))</f>
        <v/>
      </c>
      <c r="M611" s="37">
        <f>IF(OR($J611="",$I611=0),"",ROUND($J611/$I611,4))</f>
        <v/>
      </c>
      <c r="N611" s="17" t="n"/>
      <c r="O611" s="17" t="n"/>
      <c r="P611" s="24">
        <f>IF($J611="","未盘",IF(ROUND($J611,3)=0,"账实相符",IF(COUNTIFS(入库单!$G$4:$G$2503,$A611,入库单!$X$4:$X$2503,"盘盈",入库单!$C$4:$C$2503,"&gt;="&amp;账期起,入库单!$C$4:$C$2503,"&lt;="&amp;账期止)+COUNTIFS(出库单!$D$4:$D$4003,$A611,出库单!$K$4:$K$4003,"盘亏",出库单!$C$4:$C$4003,"&gt;="&amp;账期起,出库单!$C$4:$C$4003,"&lt;="&amp;账期止)&gt;0,"已调账","※差异还没调账")))</f>
        <v/>
      </c>
      <c r="Q611" s="17" t="n"/>
      <c r="R611" s="17" t="n"/>
    </row>
    <row r="612">
      <c r="A612" s="24">
        <f>IF(库存台账!$A612="","",库存台账!$A612)</f>
        <v/>
      </c>
      <c r="B612" s="24">
        <f>IF($A612="","",库存台账!$B612)</f>
        <v/>
      </c>
      <c r="C612" s="24">
        <f>IF($A612="","",库存台账!$C612)</f>
        <v/>
      </c>
      <c r="D612" s="24">
        <f>IF($A612="","",库存台账!$D612)</f>
        <v/>
      </c>
      <c r="E612" s="24">
        <f>IF($A612="","",库存台账!$E612)</f>
        <v/>
      </c>
      <c r="F612" s="24">
        <f>IF($A612="","",库存台账!$F612)</f>
        <v/>
      </c>
      <c r="G612" s="17" t="n"/>
      <c r="H612" s="23" t="n"/>
      <c r="I612" s="27">
        <f>IF($A612="","",库存台账!$X612)</f>
        <v/>
      </c>
      <c r="J612" s="27">
        <f>IF(OR($A612="",$H612=""),"",ROUND($H612-$I612,3))</f>
        <v/>
      </c>
      <c r="K612" s="26">
        <f>IF($A612="","",库存台账!$K612)</f>
        <v/>
      </c>
      <c r="L612" s="26">
        <f>IF($J612="","",ROUND($J612*$K612,0))</f>
        <v/>
      </c>
      <c r="M612" s="37">
        <f>IF(OR($J612="",$I612=0),"",ROUND($J612/$I612,4))</f>
        <v/>
      </c>
      <c r="N612" s="17" t="n"/>
      <c r="O612" s="17" t="n"/>
      <c r="P612" s="24">
        <f>IF($J612="","未盘",IF(ROUND($J612,3)=0,"账实相符",IF(COUNTIFS(入库单!$G$4:$G$2503,$A612,入库单!$X$4:$X$2503,"盘盈",入库单!$C$4:$C$2503,"&gt;="&amp;账期起,入库单!$C$4:$C$2503,"&lt;="&amp;账期止)+COUNTIFS(出库单!$D$4:$D$4003,$A612,出库单!$K$4:$K$4003,"盘亏",出库单!$C$4:$C$4003,"&gt;="&amp;账期起,出库单!$C$4:$C$4003,"&lt;="&amp;账期止)&gt;0,"已调账","※差异还没调账")))</f>
        <v/>
      </c>
      <c r="Q612" s="17" t="n"/>
      <c r="R612" s="17" t="n"/>
    </row>
    <row r="613">
      <c r="A613" s="24">
        <f>IF(库存台账!$A613="","",库存台账!$A613)</f>
        <v/>
      </c>
      <c r="B613" s="24">
        <f>IF($A613="","",库存台账!$B613)</f>
        <v/>
      </c>
      <c r="C613" s="24">
        <f>IF($A613="","",库存台账!$C613)</f>
        <v/>
      </c>
      <c r="D613" s="24">
        <f>IF($A613="","",库存台账!$D613)</f>
        <v/>
      </c>
      <c r="E613" s="24">
        <f>IF($A613="","",库存台账!$E613)</f>
        <v/>
      </c>
      <c r="F613" s="24">
        <f>IF($A613="","",库存台账!$F613)</f>
        <v/>
      </c>
      <c r="G613" s="17" t="n"/>
      <c r="H613" s="23" t="n"/>
      <c r="I613" s="27">
        <f>IF($A613="","",库存台账!$X613)</f>
        <v/>
      </c>
      <c r="J613" s="27">
        <f>IF(OR($A613="",$H613=""),"",ROUND($H613-$I613,3))</f>
        <v/>
      </c>
      <c r="K613" s="26">
        <f>IF($A613="","",库存台账!$K613)</f>
        <v/>
      </c>
      <c r="L613" s="26">
        <f>IF($J613="","",ROUND($J613*$K613,0))</f>
        <v/>
      </c>
      <c r="M613" s="37">
        <f>IF(OR($J613="",$I613=0),"",ROUND($J613/$I613,4))</f>
        <v/>
      </c>
      <c r="N613" s="17" t="n"/>
      <c r="O613" s="17" t="n"/>
      <c r="P613" s="24">
        <f>IF($J613="","未盘",IF(ROUND($J613,3)=0,"账实相符",IF(COUNTIFS(入库单!$G$4:$G$2503,$A613,入库单!$X$4:$X$2503,"盘盈",入库单!$C$4:$C$2503,"&gt;="&amp;账期起,入库单!$C$4:$C$2503,"&lt;="&amp;账期止)+COUNTIFS(出库单!$D$4:$D$4003,$A613,出库单!$K$4:$K$4003,"盘亏",出库单!$C$4:$C$4003,"&gt;="&amp;账期起,出库单!$C$4:$C$4003,"&lt;="&amp;账期止)&gt;0,"已调账","※差异还没调账")))</f>
        <v/>
      </c>
      <c r="Q613" s="17" t="n"/>
      <c r="R613" s="17" t="n"/>
    </row>
    <row r="614">
      <c r="A614" s="24">
        <f>IF(库存台账!$A614="","",库存台账!$A614)</f>
        <v/>
      </c>
      <c r="B614" s="24">
        <f>IF($A614="","",库存台账!$B614)</f>
        <v/>
      </c>
      <c r="C614" s="24">
        <f>IF($A614="","",库存台账!$C614)</f>
        <v/>
      </c>
      <c r="D614" s="24">
        <f>IF($A614="","",库存台账!$D614)</f>
        <v/>
      </c>
      <c r="E614" s="24">
        <f>IF($A614="","",库存台账!$E614)</f>
        <v/>
      </c>
      <c r="F614" s="24">
        <f>IF($A614="","",库存台账!$F614)</f>
        <v/>
      </c>
      <c r="G614" s="17" t="n"/>
      <c r="H614" s="23" t="n"/>
      <c r="I614" s="27">
        <f>IF($A614="","",库存台账!$X614)</f>
        <v/>
      </c>
      <c r="J614" s="27">
        <f>IF(OR($A614="",$H614=""),"",ROUND($H614-$I614,3))</f>
        <v/>
      </c>
      <c r="K614" s="26">
        <f>IF($A614="","",库存台账!$K614)</f>
        <v/>
      </c>
      <c r="L614" s="26">
        <f>IF($J614="","",ROUND($J614*$K614,0))</f>
        <v/>
      </c>
      <c r="M614" s="37">
        <f>IF(OR($J614="",$I614=0),"",ROUND($J614/$I614,4))</f>
        <v/>
      </c>
      <c r="N614" s="17" t="n"/>
      <c r="O614" s="17" t="n"/>
      <c r="P614" s="24">
        <f>IF($J614="","未盘",IF(ROUND($J614,3)=0,"账实相符",IF(COUNTIFS(入库单!$G$4:$G$2503,$A614,入库单!$X$4:$X$2503,"盘盈",入库单!$C$4:$C$2503,"&gt;="&amp;账期起,入库单!$C$4:$C$2503,"&lt;="&amp;账期止)+COUNTIFS(出库单!$D$4:$D$4003,$A614,出库单!$K$4:$K$4003,"盘亏",出库单!$C$4:$C$4003,"&gt;="&amp;账期起,出库单!$C$4:$C$4003,"&lt;="&amp;账期止)&gt;0,"已调账","※差异还没调账")))</f>
        <v/>
      </c>
      <c r="Q614" s="17" t="n"/>
      <c r="R614" s="17" t="n"/>
    </row>
    <row r="615">
      <c r="A615" s="24">
        <f>IF(库存台账!$A615="","",库存台账!$A615)</f>
        <v/>
      </c>
      <c r="B615" s="24">
        <f>IF($A615="","",库存台账!$B615)</f>
        <v/>
      </c>
      <c r="C615" s="24">
        <f>IF($A615="","",库存台账!$C615)</f>
        <v/>
      </c>
      <c r="D615" s="24">
        <f>IF($A615="","",库存台账!$D615)</f>
        <v/>
      </c>
      <c r="E615" s="24">
        <f>IF($A615="","",库存台账!$E615)</f>
        <v/>
      </c>
      <c r="F615" s="24">
        <f>IF($A615="","",库存台账!$F615)</f>
        <v/>
      </c>
      <c r="G615" s="17" t="n"/>
      <c r="H615" s="23" t="n"/>
      <c r="I615" s="27">
        <f>IF($A615="","",库存台账!$X615)</f>
        <v/>
      </c>
      <c r="J615" s="27">
        <f>IF(OR($A615="",$H615=""),"",ROUND($H615-$I615,3))</f>
        <v/>
      </c>
      <c r="K615" s="26">
        <f>IF($A615="","",库存台账!$K615)</f>
        <v/>
      </c>
      <c r="L615" s="26">
        <f>IF($J615="","",ROUND($J615*$K615,0))</f>
        <v/>
      </c>
      <c r="M615" s="37">
        <f>IF(OR($J615="",$I615=0),"",ROUND($J615/$I615,4))</f>
        <v/>
      </c>
      <c r="N615" s="17" t="n"/>
      <c r="O615" s="17" t="n"/>
      <c r="P615" s="24">
        <f>IF($J615="","未盘",IF(ROUND($J615,3)=0,"账实相符",IF(COUNTIFS(入库单!$G$4:$G$2503,$A615,入库单!$X$4:$X$2503,"盘盈",入库单!$C$4:$C$2503,"&gt;="&amp;账期起,入库单!$C$4:$C$2503,"&lt;="&amp;账期止)+COUNTIFS(出库单!$D$4:$D$4003,$A615,出库单!$K$4:$K$4003,"盘亏",出库单!$C$4:$C$4003,"&gt;="&amp;账期起,出库单!$C$4:$C$4003,"&lt;="&amp;账期止)&gt;0,"已调账","※差异还没调账")))</f>
        <v/>
      </c>
      <c r="Q615" s="17" t="n"/>
      <c r="R615" s="17" t="n"/>
    </row>
    <row r="616">
      <c r="A616" s="24">
        <f>IF(库存台账!$A616="","",库存台账!$A616)</f>
        <v/>
      </c>
      <c r="B616" s="24">
        <f>IF($A616="","",库存台账!$B616)</f>
        <v/>
      </c>
      <c r="C616" s="24">
        <f>IF($A616="","",库存台账!$C616)</f>
        <v/>
      </c>
      <c r="D616" s="24">
        <f>IF($A616="","",库存台账!$D616)</f>
        <v/>
      </c>
      <c r="E616" s="24">
        <f>IF($A616="","",库存台账!$E616)</f>
        <v/>
      </c>
      <c r="F616" s="24">
        <f>IF($A616="","",库存台账!$F616)</f>
        <v/>
      </c>
      <c r="G616" s="17" t="n"/>
      <c r="H616" s="23" t="n"/>
      <c r="I616" s="27">
        <f>IF($A616="","",库存台账!$X616)</f>
        <v/>
      </c>
      <c r="J616" s="27">
        <f>IF(OR($A616="",$H616=""),"",ROUND($H616-$I616,3))</f>
        <v/>
      </c>
      <c r="K616" s="26">
        <f>IF($A616="","",库存台账!$K616)</f>
        <v/>
      </c>
      <c r="L616" s="26">
        <f>IF($J616="","",ROUND($J616*$K616,0))</f>
        <v/>
      </c>
      <c r="M616" s="37">
        <f>IF(OR($J616="",$I616=0),"",ROUND($J616/$I616,4))</f>
        <v/>
      </c>
      <c r="N616" s="17" t="n"/>
      <c r="O616" s="17" t="n"/>
      <c r="P616" s="24">
        <f>IF($J616="","未盘",IF(ROUND($J616,3)=0,"账实相符",IF(COUNTIFS(入库单!$G$4:$G$2503,$A616,入库单!$X$4:$X$2503,"盘盈",入库单!$C$4:$C$2503,"&gt;="&amp;账期起,入库单!$C$4:$C$2503,"&lt;="&amp;账期止)+COUNTIFS(出库单!$D$4:$D$4003,$A616,出库单!$K$4:$K$4003,"盘亏",出库单!$C$4:$C$4003,"&gt;="&amp;账期起,出库单!$C$4:$C$4003,"&lt;="&amp;账期止)&gt;0,"已调账","※差异还没调账")))</f>
        <v/>
      </c>
      <c r="Q616" s="17" t="n"/>
      <c r="R616" s="17" t="n"/>
    </row>
    <row r="617">
      <c r="A617" s="24">
        <f>IF(库存台账!$A617="","",库存台账!$A617)</f>
        <v/>
      </c>
      <c r="B617" s="24">
        <f>IF($A617="","",库存台账!$B617)</f>
        <v/>
      </c>
      <c r="C617" s="24">
        <f>IF($A617="","",库存台账!$C617)</f>
        <v/>
      </c>
      <c r="D617" s="24">
        <f>IF($A617="","",库存台账!$D617)</f>
        <v/>
      </c>
      <c r="E617" s="24">
        <f>IF($A617="","",库存台账!$E617)</f>
        <v/>
      </c>
      <c r="F617" s="24">
        <f>IF($A617="","",库存台账!$F617)</f>
        <v/>
      </c>
      <c r="G617" s="17" t="n"/>
      <c r="H617" s="23" t="n"/>
      <c r="I617" s="27">
        <f>IF($A617="","",库存台账!$X617)</f>
        <v/>
      </c>
      <c r="J617" s="27">
        <f>IF(OR($A617="",$H617=""),"",ROUND($H617-$I617,3))</f>
        <v/>
      </c>
      <c r="K617" s="26">
        <f>IF($A617="","",库存台账!$K617)</f>
        <v/>
      </c>
      <c r="L617" s="26">
        <f>IF($J617="","",ROUND($J617*$K617,0))</f>
        <v/>
      </c>
      <c r="M617" s="37">
        <f>IF(OR($J617="",$I617=0),"",ROUND($J617/$I617,4))</f>
        <v/>
      </c>
      <c r="N617" s="17" t="n"/>
      <c r="O617" s="17" t="n"/>
      <c r="P617" s="24">
        <f>IF($J617="","未盘",IF(ROUND($J617,3)=0,"账实相符",IF(COUNTIFS(入库单!$G$4:$G$2503,$A617,入库单!$X$4:$X$2503,"盘盈",入库单!$C$4:$C$2503,"&gt;="&amp;账期起,入库单!$C$4:$C$2503,"&lt;="&amp;账期止)+COUNTIFS(出库单!$D$4:$D$4003,$A617,出库单!$K$4:$K$4003,"盘亏",出库单!$C$4:$C$4003,"&gt;="&amp;账期起,出库单!$C$4:$C$4003,"&lt;="&amp;账期止)&gt;0,"已调账","※差异还没调账")))</f>
        <v/>
      </c>
      <c r="Q617" s="17" t="n"/>
      <c r="R617" s="17" t="n"/>
    </row>
    <row r="618">
      <c r="A618" s="24">
        <f>IF(库存台账!$A618="","",库存台账!$A618)</f>
        <v/>
      </c>
      <c r="B618" s="24">
        <f>IF($A618="","",库存台账!$B618)</f>
        <v/>
      </c>
      <c r="C618" s="24">
        <f>IF($A618="","",库存台账!$C618)</f>
        <v/>
      </c>
      <c r="D618" s="24">
        <f>IF($A618="","",库存台账!$D618)</f>
        <v/>
      </c>
      <c r="E618" s="24">
        <f>IF($A618="","",库存台账!$E618)</f>
        <v/>
      </c>
      <c r="F618" s="24">
        <f>IF($A618="","",库存台账!$F618)</f>
        <v/>
      </c>
      <c r="G618" s="17" t="n"/>
      <c r="H618" s="23" t="n"/>
      <c r="I618" s="27">
        <f>IF($A618="","",库存台账!$X618)</f>
        <v/>
      </c>
      <c r="J618" s="27">
        <f>IF(OR($A618="",$H618=""),"",ROUND($H618-$I618,3))</f>
        <v/>
      </c>
      <c r="K618" s="26">
        <f>IF($A618="","",库存台账!$K618)</f>
        <v/>
      </c>
      <c r="L618" s="26">
        <f>IF($J618="","",ROUND($J618*$K618,0))</f>
        <v/>
      </c>
      <c r="M618" s="37">
        <f>IF(OR($J618="",$I618=0),"",ROUND($J618/$I618,4))</f>
        <v/>
      </c>
      <c r="N618" s="17" t="n"/>
      <c r="O618" s="17" t="n"/>
      <c r="P618" s="24">
        <f>IF($J618="","未盘",IF(ROUND($J618,3)=0,"账实相符",IF(COUNTIFS(入库单!$G$4:$G$2503,$A618,入库单!$X$4:$X$2503,"盘盈",入库单!$C$4:$C$2503,"&gt;="&amp;账期起,入库单!$C$4:$C$2503,"&lt;="&amp;账期止)+COUNTIFS(出库单!$D$4:$D$4003,$A618,出库单!$K$4:$K$4003,"盘亏",出库单!$C$4:$C$4003,"&gt;="&amp;账期起,出库单!$C$4:$C$4003,"&lt;="&amp;账期止)&gt;0,"已调账","※差异还没调账")))</f>
        <v/>
      </c>
      <c r="Q618" s="17" t="n"/>
      <c r="R618" s="17" t="n"/>
    </row>
    <row r="619">
      <c r="A619" s="24">
        <f>IF(库存台账!$A619="","",库存台账!$A619)</f>
        <v/>
      </c>
      <c r="B619" s="24">
        <f>IF($A619="","",库存台账!$B619)</f>
        <v/>
      </c>
      <c r="C619" s="24">
        <f>IF($A619="","",库存台账!$C619)</f>
        <v/>
      </c>
      <c r="D619" s="24">
        <f>IF($A619="","",库存台账!$D619)</f>
        <v/>
      </c>
      <c r="E619" s="24">
        <f>IF($A619="","",库存台账!$E619)</f>
        <v/>
      </c>
      <c r="F619" s="24">
        <f>IF($A619="","",库存台账!$F619)</f>
        <v/>
      </c>
      <c r="G619" s="17" t="n"/>
      <c r="H619" s="23" t="n"/>
      <c r="I619" s="27">
        <f>IF($A619="","",库存台账!$X619)</f>
        <v/>
      </c>
      <c r="J619" s="27">
        <f>IF(OR($A619="",$H619=""),"",ROUND($H619-$I619,3))</f>
        <v/>
      </c>
      <c r="K619" s="26">
        <f>IF($A619="","",库存台账!$K619)</f>
        <v/>
      </c>
      <c r="L619" s="26">
        <f>IF($J619="","",ROUND($J619*$K619,0))</f>
        <v/>
      </c>
      <c r="M619" s="37">
        <f>IF(OR($J619="",$I619=0),"",ROUND($J619/$I619,4))</f>
        <v/>
      </c>
      <c r="N619" s="17" t="n"/>
      <c r="O619" s="17" t="n"/>
      <c r="P619" s="24">
        <f>IF($J619="","未盘",IF(ROUND($J619,3)=0,"账实相符",IF(COUNTIFS(入库单!$G$4:$G$2503,$A619,入库单!$X$4:$X$2503,"盘盈",入库单!$C$4:$C$2503,"&gt;="&amp;账期起,入库单!$C$4:$C$2503,"&lt;="&amp;账期止)+COUNTIFS(出库单!$D$4:$D$4003,$A619,出库单!$K$4:$K$4003,"盘亏",出库单!$C$4:$C$4003,"&gt;="&amp;账期起,出库单!$C$4:$C$4003,"&lt;="&amp;账期止)&gt;0,"已调账","※差异还没调账")))</f>
        <v/>
      </c>
      <c r="Q619" s="17" t="n"/>
      <c r="R619" s="17" t="n"/>
    </row>
    <row r="620">
      <c r="A620" s="24">
        <f>IF(库存台账!$A620="","",库存台账!$A620)</f>
        <v/>
      </c>
      <c r="B620" s="24">
        <f>IF($A620="","",库存台账!$B620)</f>
        <v/>
      </c>
      <c r="C620" s="24">
        <f>IF($A620="","",库存台账!$C620)</f>
        <v/>
      </c>
      <c r="D620" s="24">
        <f>IF($A620="","",库存台账!$D620)</f>
        <v/>
      </c>
      <c r="E620" s="24">
        <f>IF($A620="","",库存台账!$E620)</f>
        <v/>
      </c>
      <c r="F620" s="24">
        <f>IF($A620="","",库存台账!$F620)</f>
        <v/>
      </c>
      <c r="G620" s="17" t="n"/>
      <c r="H620" s="23" t="n"/>
      <c r="I620" s="27">
        <f>IF($A620="","",库存台账!$X620)</f>
        <v/>
      </c>
      <c r="J620" s="27">
        <f>IF(OR($A620="",$H620=""),"",ROUND($H620-$I620,3))</f>
        <v/>
      </c>
      <c r="K620" s="26">
        <f>IF($A620="","",库存台账!$K620)</f>
        <v/>
      </c>
      <c r="L620" s="26">
        <f>IF($J620="","",ROUND($J620*$K620,0))</f>
        <v/>
      </c>
      <c r="M620" s="37">
        <f>IF(OR($J620="",$I620=0),"",ROUND($J620/$I620,4))</f>
        <v/>
      </c>
      <c r="N620" s="17" t="n"/>
      <c r="O620" s="17" t="n"/>
      <c r="P620" s="24">
        <f>IF($J620="","未盘",IF(ROUND($J620,3)=0,"账实相符",IF(COUNTIFS(入库单!$G$4:$G$2503,$A620,入库单!$X$4:$X$2503,"盘盈",入库单!$C$4:$C$2503,"&gt;="&amp;账期起,入库单!$C$4:$C$2503,"&lt;="&amp;账期止)+COUNTIFS(出库单!$D$4:$D$4003,$A620,出库单!$K$4:$K$4003,"盘亏",出库单!$C$4:$C$4003,"&gt;="&amp;账期起,出库单!$C$4:$C$4003,"&lt;="&amp;账期止)&gt;0,"已调账","※差异还没调账")))</f>
        <v/>
      </c>
      <c r="Q620" s="17" t="n"/>
      <c r="R620" s="17" t="n"/>
    </row>
    <row r="621">
      <c r="A621" s="24">
        <f>IF(库存台账!$A621="","",库存台账!$A621)</f>
        <v/>
      </c>
      <c r="B621" s="24">
        <f>IF($A621="","",库存台账!$B621)</f>
        <v/>
      </c>
      <c r="C621" s="24">
        <f>IF($A621="","",库存台账!$C621)</f>
        <v/>
      </c>
      <c r="D621" s="24">
        <f>IF($A621="","",库存台账!$D621)</f>
        <v/>
      </c>
      <c r="E621" s="24">
        <f>IF($A621="","",库存台账!$E621)</f>
        <v/>
      </c>
      <c r="F621" s="24">
        <f>IF($A621="","",库存台账!$F621)</f>
        <v/>
      </c>
      <c r="G621" s="17" t="n"/>
      <c r="H621" s="23" t="n"/>
      <c r="I621" s="27">
        <f>IF($A621="","",库存台账!$X621)</f>
        <v/>
      </c>
      <c r="J621" s="27">
        <f>IF(OR($A621="",$H621=""),"",ROUND($H621-$I621,3))</f>
        <v/>
      </c>
      <c r="K621" s="26">
        <f>IF($A621="","",库存台账!$K621)</f>
        <v/>
      </c>
      <c r="L621" s="26">
        <f>IF($J621="","",ROUND($J621*$K621,0))</f>
        <v/>
      </c>
      <c r="M621" s="37">
        <f>IF(OR($J621="",$I621=0),"",ROUND($J621/$I621,4))</f>
        <v/>
      </c>
      <c r="N621" s="17" t="n"/>
      <c r="O621" s="17" t="n"/>
      <c r="P621" s="24">
        <f>IF($J621="","未盘",IF(ROUND($J621,3)=0,"账实相符",IF(COUNTIFS(入库单!$G$4:$G$2503,$A621,入库单!$X$4:$X$2503,"盘盈",入库单!$C$4:$C$2503,"&gt;="&amp;账期起,入库单!$C$4:$C$2503,"&lt;="&amp;账期止)+COUNTIFS(出库单!$D$4:$D$4003,$A621,出库单!$K$4:$K$4003,"盘亏",出库单!$C$4:$C$4003,"&gt;="&amp;账期起,出库单!$C$4:$C$4003,"&lt;="&amp;账期止)&gt;0,"已调账","※差异还没调账")))</f>
        <v/>
      </c>
      <c r="Q621" s="17" t="n"/>
      <c r="R621" s="17" t="n"/>
    </row>
    <row r="622">
      <c r="A622" s="24">
        <f>IF(库存台账!$A622="","",库存台账!$A622)</f>
        <v/>
      </c>
      <c r="B622" s="24">
        <f>IF($A622="","",库存台账!$B622)</f>
        <v/>
      </c>
      <c r="C622" s="24">
        <f>IF($A622="","",库存台账!$C622)</f>
        <v/>
      </c>
      <c r="D622" s="24">
        <f>IF($A622="","",库存台账!$D622)</f>
        <v/>
      </c>
      <c r="E622" s="24">
        <f>IF($A622="","",库存台账!$E622)</f>
        <v/>
      </c>
      <c r="F622" s="24">
        <f>IF($A622="","",库存台账!$F622)</f>
        <v/>
      </c>
      <c r="G622" s="17" t="n"/>
      <c r="H622" s="23" t="n"/>
      <c r="I622" s="27">
        <f>IF($A622="","",库存台账!$X622)</f>
        <v/>
      </c>
      <c r="J622" s="27">
        <f>IF(OR($A622="",$H622=""),"",ROUND($H622-$I622,3))</f>
        <v/>
      </c>
      <c r="K622" s="26">
        <f>IF($A622="","",库存台账!$K622)</f>
        <v/>
      </c>
      <c r="L622" s="26">
        <f>IF($J622="","",ROUND($J622*$K622,0))</f>
        <v/>
      </c>
      <c r="M622" s="37">
        <f>IF(OR($J622="",$I622=0),"",ROUND($J622/$I622,4))</f>
        <v/>
      </c>
      <c r="N622" s="17" t="n"/>
      <c r="O622" s="17" t="n"/>
      <c r="P622" s="24">
        <f>IF($J622="","未盘",IF(ROUND($J622,3)=0,"账实相符",IF(COUNTIFS(入库单!$G$4:$G$2503,$A622,入库单!$X$4:$X$2503,"盘盈",入库单!$C$4:$C$2503,"&gt;="&amp;账期起,入库单!$C$4:$C$2503,"&lt;="&amp;账期止)+COUNTIFS(出库单!$D$4:$D$4003,$A622,出库单!$K$4:$K$4003,"盘亏",出库单!$C$4:$C$4003,"&gt;="&amp;账期起,出库单!$C$4:$C$4003,"&lt;="&amp;账期止)&gt;0,"已调账","※差异还没调账")))</f>
        <v/>
      </c>
      <c r="Q622" s="17" t="n"/>
      <c r="R622" s="17" t="n"/>
    </row>
    <row r="623">
      <c r="A623" s="24">
        <f>IF(库存台账!$A623="","",库存台账!$A623)</f>
        <v/>
      </c>
      <c r="B623" s="24">
        <f>IF($A623="","",库存台账!$B623)</f>
        <v/>
      </c>
      <c r="C623" s="24">
        <f>IF($A623="","",库存台账!$C623)</f>
        <v/>
      </c>
      <c r="D623" s="24">
        <f>IF($A623="","",库存台账!$D623)</f>
        <v/>
      </c>
      <c r="E623" s="24">
        <f>IF($A623="","",库存台账!$E623)</f>
        <v/>
      </c>
      <c r="F623" s="24">
        <f>IF($A623="","",库存台账!$F623)</f>
        <v/>
      </c>
      <c r="G623" s="17" t="n"/>
      <c r="H623" s="23" t="n"/>
      <c r="I623" s="27">
        <f>IF($A623="","",库存台账!$X623)</f>
        <v/>
      </c>
      <c r="J623" s="27">
        <f>IF(OR($A623="",$H623=""),"",ROUND($H623-$I623,3))</f>
        <v/>
      </c>
      <c r="K623" s="26">
        <f>IF($A623="","",库存台账!$K623)</f>
        <v/>
      </c>
      <c r="L623" s="26">
        <f>IF($J623="","",ROUND($J623*$K623,0))</f>
        <v/>
      </c>
      <c r="M623" s="37">
        <f>IF(OR($J623="",$I623=0),"",ROUND($J623/$I623,4))</f>
        <v/>
      </c>
      <c r="N623" s="17" t="n"/>
      <c r="O623" s="17" t="n"/>
      <c r="P623" s="24">
        <f>IF($J623="","未盘",IF(ROUND($J623,3)=0,"账实相符",IF(COUNTIFS(入库单!$G$4:$G$2503,$A623,入库单!$X$4:$X$2503,"盘盈",入库单!$C$4:$C$2503,"&gt;="&amp;账期起,入库单!$C$4:$C$2503,"&lt;="&amp;账期止)+COUNTIFS(出库单!$D$4:$D$4003,$A623,出库单!$K$4:$K$4003,"盘亏",出库单!$C$4:$C$4003,"&gt;="&amp;账期起,出库单!$C$4:$C$4003,"&lt;="&amp;账期止)&gt;0,"已调账","※差异还没调账")))</f>
        <v/>
      </c>
      <c r="Q623" s="17" t="n"/>
      <c r="R623" s="17" t="n"/>
    </row>
    <row r="624">
      <c r="A624" s="24">
        <f>IF(库存台账!$A624="","",库存台账!$A624)</f>
        <v/>
      </c>
      <c r="B624" s="24">
        <f>IF($A624="","",库存台账!$B624)</f>
        <v/>
      </c>
      <c r="C624" s="24">
        <f>IF($A624="","",库存台账!$C624)</f>
        <v/>
      </c>
      <c r="D624" s="24">
        <f>IF($A624="","",库存台账!$D624)</f>
        <v/>
      </c>
      <c r="E624" s="24">
        <f>IF($A624="","",库存台账!$E624)</f>
        <v/>
      </c>
      <c r="F624" s="24">
        <f>IF($A624="","",库存台账!$F624)</f>
        <v/>
      </c>
      <c r="G624" s="17" t="n"/>
      <c r="H624" s="23" t="n"/>
      <c r="I624" s="27">
        <f>IF($A624="","",库存台账!$X624)</f>
        <v/>
      </c>
      <c r="J624" s="27">
        <f>IF(OR($A624="",$H624=""),"",ROUND($H624-$I624,3))</f>
        <v/>
      </c>
      <c r="K624" s="26">
        <f>IF($A624="","",库存台账!$K624)</f>
        <v/>
      </c>
      <c r="L624" s="26">
        <f>IF($J624="","",ROUND($J624*$K624,0))</f>
        <v/>
      </c>
      <c r="M624" s="37">
        <f>IF(OR($J624="",$I624=0),"",ROUND($J624/$I624,4))</f>
        <v/>
      </c>
      <c r="N624" s="17" t="n"/>
      <c r="O624" s="17" t="n"/>
      <c r="P624" s="24">
        <f>IF($J624="","未盘",IF(ROUND($J624,3)=0,"账实相符",IF(COUNTIFS(入库单!$G$4:$G$2503,$A624,入库单!$X$4:$X$2503,"盘盈",入库单!$C$4:$C$2503,"&gt;="&amp;账期起,入库单!$C$4:$C$2503,"&lt;="&amp;账期止)+COUNTIFS(出库单!$D$4:$D$4003,$A624,出库单!$K$4:$K$4003,"盘亏",出库单!$C$4:$C$4003,"&gt;="&amp;账期起,出库单!$C$4:$C$4003,"&lt;="&amp;账期止)&gt;0,"已调账","※差异还没调账")))</f>
        <v/>
      </c>
      <c r="Q624" s="17" t="n"/>
      <c r="R624" s="17" t="n"/>
    </row>
    <row r="625">
      <c r="A625" s="24">
        <f>IF(库存台账!$A625="","",库存台账!$A625)</f>
        <v/>
      </c>
      <c r="B625" s="24">
        <f>IF($A625="","",库存台账!$B625)</f>
        <v/>
      </c>
      <c r="C625" s="24">
        <f>IF($A625="","",库存台账!$C625)</f>
        <v/>
      </c>
      <c r="D625" s="24">
        <f>IF($A625="","",库存台账!$D625)</f>
        <v/>
      </c>
      <c r="E625" s="24">
        <f>IF($A625="","",库存台账!$E625)</f>
        <v/>
      </c>
      <c r="F625" s="24">
        <f>IF($A625="","",库存台账!$F625)</f>
        <v/>
      </c>
      <c r="G625" s="17" t="n"/>
      <c r="H625" s="23" t="n"/>
      <c r="I625" s="27">
        <f>IF($A625="","",库存台账!$X625)</f>
        <v/>
      </c>
      <c r="J625" s="27">
        <f>IF(OR($A625="",$H625=""),"",ROUND($H625-$I625,3))</f>
        <v/>
      </c>
      <c r="K625" s="26">
        <f>IF($A625="","",库存台账!$K625)</f>
        <v/>
      </c>
      <c r="L625" s="26">
        <f>IF($J625="","",ROUND($J625*$K625,0))</f>
        <v/>
      </c>
      <c r="M625" s="37">
        <f>IF(OR($J625="",$I625=0),"",ROUND($J625/$I625,4))</f>
        <v/>
      </c>
      <c r="N625" s="17" t="n"/>
      <c r="O625" s="17" t="n"/>
      <c r="P625" s="24">
        <f>IF($J625="","未盘",IF(ROUND($J625,3)=0,"账实相符",IF(COUNTIFS(入库单!$G$4:$G$2503,$A625,入库单!$X$4:$X$2503,"盘盈",入库单!$C$4:$C$2503,"&gt;="&amp;账期起,入库单!$C$4:$C$2503,"&lt;="&amp;账期止)+COUNTIFS(出库单!$D$4:$D$4003,$A625,出库单!$K$4:$K$4003,"盘亏",出库单!$C$4:$C$4003,"&gt;="&amp;账期起,出库单!$C$4:$C$4003,"&lt;="&amp;账期止)&gt;0,"已调账","※差异还没调账")))</f>
        <v/>
      </c>
      <c r="Q625" s="17" t="n"/>
      <c r="R625" s="17" t="n"/>
    </row>
    <row r="626">
      <c r="A626" s="24">
        <f>IF(库存台账!$A626="","",库存台账!$A626)</f>
        <v/>
      </c>
      <c r="B626" s="24">
        <f>IF($A626="","",库存台账!$B626)</f>
        <v/>
      </c>
      <c r="C626" s="24">
        <f>IF($A626="","",库存台账!$C626)</f>
        <v/>
      </c>
      <c r="D626" s="24">
        <f>IF($A626="","",库存台账!$D626)</f>
        <v/>
      </c>
      <c r="E626" s="24">
        <f>IF($A626="","",库存台账!$E626)</f>
        <v/>
      </c>
      <c r="F626" s="24">
        <f>IF($A626="","",库存台账!$F626)</f>
        <v/>
      </c>
      <c r="G626" s="17" t="n"/>
      <c r="H626" s="23" t="n"/>
      <c r="I626" s="27">
        <f>IF($A626="","",库存台账!$X626)</f>
        <v/>
      </c>
      <c r="J626" s="27">
        <f>IF(OR($A626="",$H626=""),"",ROUND($H626-$I626,3))</f>
        <v/>
      </c>
      <c r="K626" s="26">
        <f>IF($A626="","",库存台账!$K626)</f>
        <v/>
      </c>
      <c r="L626" s="26">
        <f>IF($J626="","",ROUND($J626*$K626,0))</f>
        <v/>
      </c>
      <c r="M626" s="37">
        <f>IF(OR($J626="",$I626=0),"",ROUND($J626/$I626,4))</f>
        <v/>
      </c>
      <c r="N626" s="17" t="n"/>
      <c r="O626" s="17" t="n"/>
      <c r="P626" s="24">
        <f>IF($J626="","未盘",IF(ROUND($J626,3)=0,"账实相符",IF(COUNTIFS(入库单!$G$4:$G$2503,$A626,入库单!$X$4:$X$2503,"盘盈",入库单!$C$4:$C$2503,"&gt;="&amp;账期起,入库单!$C$4:$C$2503,"&lt;="&amp;账期止)+COUNTIFS(出库单!$D$4:$D$4003,$A626,出库单!$K$4:$K$4003,"盘亏",出库单!$C$4:$C$4003,"&gt;="&amp;账期起,出库单!$C$4:$C$4003,"&lt;="&amp;账期止)&gt;0,"已调账","※差异还没调账")))</f>
        <v/>
      </c>
      <c r="Q626" s="17" t="n"/>
      <c r="R626" s="17" t="n"/>
    </row>
    <row r="627">
      <c r="A627" s="24">
        <f>IF(库存台账!$A627="","",库存台账!$A627)</f>
        <v/>
      </c>
      <c r="B627" s="24">
        <f>IF($A627="","",库存台账!$B627)</f>
        <v/>
      </c>
      <c r="C627" s="24">
        <f>IF($A627="","",库存台账!$C627)</f>
        <v/>
      </c>
      <c r="D627" s="24">
        <f>IF($A627="","",库存台账!$D627)</f>
        <v/>
      </c>
      <c r="E627" s="24">
        <f>IF($A627="","",库存台账!$E627)</f>
        <v/>
      </c>
      <c r="F627" s="24">
        <f>IF($A627="","",库存台账!$F627)</f>
        <v/>
      </c>
      <c r="G627" s="17" t="n"/>
      <c r="H627" s="23" t="n"/>
      <c r="I627" s="27">
        <f>IF($A627="","",库存台账!$X627)</f>
        <v/>
      </c>
      <c r="J627" s="27">
        <f>IF(OR($A627="",$H627=""),"",ROUND($H627-$I627,3))</f>
        <v/>
      </c>
      <c r="K627" s="26">
        <f>IF($A627="","",库存台账!$K627)</f>
        <v/>
      </c>
      <c r="L627" s="26">
        <f>IF($J627="","",ROUND($J627*$K627,0))</f>
        <v/>
      </c>
      <c r="M627" s="37">
        <f>IF(OR($J627="",$I627=0),"",ROUND($J627/$I627,4))</f>
        <v/>
      </c>
      <c r="N627" s="17" t="n"/>
      <c r="O627" s="17" t="n"/>
      <c r="P627" s="24">
        <f>IF($J627="","未盘",IF(ROUND($J627,3)=0,"账实相符",IF(COUNTIFS(入库单!$G$4:$G$2503,$A627,入库单!$X$4:$X$2503,"盘盈",入库单!$C$4:$C$2503,"&gt;="&amp;账期起,入库单!$C$4:$C$2503,"&lt;="&amp;账期止)+COUNTIFS(出库单!$D$4:$D$4003,$A627,出库单!$K$4:$K$4003,"盘亏",出库单!$C$4:$C$4003,"&gt;="&amp;账期起,出库单!$C$4:$C$4003,"&lt;="&amp;账期止)&gt;0,"已调账","※差异还没调账")))</f>
        <v/>
      </c>
      <c r="Q627" s="17" t="n"/>
      <c r="R627" s="17" t="n"/>
    </row>
    <row r="628">
      <c r="A628" s="24">
        <f>IF(库存台账!$A628="","",库存台账!$A628)</f>
        <v/>
      </c>
      <c r="B628" s="24">
        <f>IF($A628="","",库存台账!$B628)</f>
        <v/>
      </c>
      <c r="C628" s="24">
        <f>IF($A628="","",库存台账!$C628)</f>
        <v/>
      </c>
      <c r="D628" s="24">
        <f>IF($A628="","",库存台账!$D628)</f>
        <v/>
      </c>
      <c r="E628" s="24">
        <f>IF($A628="","",库存台账!$E628)</f>
        <v/>
      </c>
      <c r="F628" s="24">
        <f>IF($A628="","",库存台账!$F628)</f>
        <v/>
      </c>
      <c r="G628" s="17" t="n"/>
      <c r="H628" s="23" t="n"/>
      <c r="I628" s="27">
        <f>IF($A628="","",库存台账!$X628)</f>
        <v/>
      </c>
      <c r="J628" s="27">
        <f>IF(OR($A628="",$H628=""),"",ROUND($H628-$I628,3))</f>
        <v/>
      </c>
      <c r="K628" s="26">
        <f>IF($A628="","",库存台账!$K628)</f>
        <v/>
      </c>
      <c r="L628" s="26">
        <f>IF($J628="","",ROUND($J628*$K628,0))</f>
        <v/>
      </c>
      <c r="M628" s="37">
        <f>IF(OR($J628="",$I628=0),"",ROUND($J628/$I628,4))</f>
        <v/>
      </c>
      <c r="N628" s="17" t="n"/>
      <c r="O628" s="17" t="n"/>
      <c r="P628" s="24">
        <f>IF($J628="","未盘",IF(ROUND($J628,3)=0,"账实相符",IF(COUNTIFS(入库单!$G$4:$G$2503,$A628,入库单!$X$4:$X$2503,"盘盈",入库单!$C$4:$C$2503,"&gt;="&amp;账期起,入库单!$C$4:$C$2503,"&lt;="&amp;账期止)+COUNTIFS(出库单!$D$4:$D$4003,$A628,出库单!$K$4:$K$4003,"盘亏",出库单!$C$4:$C$4003,"&gt;="&amp;账期起,出库单!$C$4:$C$4003,"&lt;="&amp;账期止)&gt;0,"已调账","※差异还没调账")))</f>
        <v/>
      </c>
      <c r="Q628" s="17" t="n"/>
      <c r="R628" s="17" t="n"/>
    </row>
    <row r="629">
      <c r="A629" s="24">
        <f>IF(库存台账!$A629="","",库存台账!$A629)</f>
        <v/>
      </c>
      <c r="B629" s="24">
        <f>IF($A629="","",库存台账!$B629)</f>
        <v/>
      </c>
      <c r="C629" s="24">
        <f>IF($A629="","",库存台账!$C629)</f>
        <v/>
      </c>
      <c r="D629" s="24">
        <f>IF($A629="","",库存台账!$D629)</f>
        <v/>
      </c>
      <c r="E629" s="24">
        <f>IF($A629="","",库存台账!$E629)</f>
        <v/>
      </c>
      <c r="F629" s="24">
        <f>IF($A629="","",库存台账!$F629)</f>
        <v/>
      </c>
      <c r="G629" s="17" t="n"/>
      <c r="H629" s="23" t="n"/>
      <c r="I629" s="27">
        <f>IF($A629="","",库存台账!$X629)</f>
        <v/>
      </c>
      <c r="J629" s="27">
        <f>IF(OR($A629="",$H629=""),"",ROUND($H629-$I629,3))</f>
        <v/>
      </c>
      <c r="K629" s="26">
        <f>IF($A629="","",库存台账!$K629)</f>
        <v/>
      </c>
      <c r="L629" s="26">
        <f>IF($J629="","",ROUND($J629*$K629,0))</f>
        <v/>
      </c>
      <c r="M629" s="37">
        <f>IF(OR($J629="",$I629=0),"",ROUND($J629/$I629,4))</f>
        <v/>
      </c>
      <c r="N629" s="17" t="n"/>
      <c r="O629" s="17" t="n"/>
      <c r="P629" s="24">
        <f>IF($J629="","未盘",IF(ROUND($J629,3)=0,"账实相符",IF(COUNTIFS(入库单!$G$4:$G$2503,$A629,入库单!$X$4:$X$2503,"盘盈",入库单!$C$4:$C$2503,"&gt;="&amp;账期起,入库单!$C$4:$C$2503,"&lt;="&amp;账期止)+COUNTIFS(出库单!$D$4:$D$4003,$A629,出库单!$K$4:$K$4003,"盘亏",出库单!$C$4:$C$4003,"&gt;="&amp;账期起,出库单!$C$4:$C$4003,"&lt;="&amp;账期止)&gt;0,"已调账","※差异还没调账")))</f>
        <v/>
      </c>
      <c r="Q629" s="17" t="n"/>
      <c r="R629" s="17" t="n"/>
    </row>
    <row r="630">
      <c r="A630" s="24">
        <f>IF(库存台账!$A630="","",库存台账!$A630)</f>
        <v/>
      </c>
      <c r="B630" s="24">
        <f>IF($A630="","",库存台账!$B630)</f>
        <v/>
      </c>
      <c r="C630" s="24">
        <f>IF($A630="","",库存台账!$C630)</f>
        <v/>
      </c>
      <c r="D630" s="24">
        <f>IF($A630="","",库存台账!$D630)</f>
        <v/>
      </c>
      <c r="E630" s="24">
        <f>IF($A630="","",库存台账!$E630)</f>
        <v/>
      </c>
      <c r="F630" s="24">
        <f>IF($A630="","",库存台账!$F630)</f>
        <v/>
      </c>
      <c r="G630" s="17" t="n"/>
      <c r="H630" s="23" t="n"/>
      <c r="I630" s="27">
        <f>IF($A630="","",库存台账!$X630)</f>
        <v/>
      </c>
      <c r="J630" s="27">
        <f>IF(OR($A630="",$H630=""),"",ROUND($H630-$I630,3))</f>
        <v/>
      </c>
      <c r="K630" s="26">
        <f>IF($A630="","",库存台账!$K630)</f>
        <v/>
      </c>
      <c r="L630" s="26">
        <f>IF($J630="","",ROUND($J630*$K630,0))</f>
        <v/>
      </c>
      <c r="M630" s="37">
        <f>IF(OR($J630="",$I630=0),"",ROUND($J630/$I630,4))</f>
        <v/>
      </c>
      <c r="N630" s="17" t="n"/>
      <c r="O630" s="17" t="n"/>
      <c r="P630" s="24">
        <f>IF($J630="","未盘",IF(ROUND($J630,3)=0,"账实相符",IF(COUNTIFS(入库单!$G$4:$G$2503,$A630,入库单!$X$4:$X$2503,"盘盈",入库单!$C$4:$C$2503,"&gt;="&amp;账期起,入库单!$C$4:$C$2503,"&lt;="&amp;账期止)+COUNTIFS(出库单!$D$4:$D$4003,$A630,出库单!$K$4:$K$4003,"盘亏",出库单!$C$4:$C$4003,"&gt;="&amp;账期起,出库单!$C$4:$C$4003,"&lt;="&amp;账期止)&gt;0,"已调账","※差异还没调账")))</f>
        <v/>
      </c>
      <c r="Q630" s="17" t="n"/>
      <c r="R630" s="17" t="n"/>
    </row>
    <row r="631">
      <c r="A631" s="24">
        <f>IF(库存台账!$A631="","",库存台账!$A631)</f>
        <v/>
      </c>
      <c r="B631" s="24">
        <f>IF($A631="","",库存台账!$B631)</f>
        <v/>
      </c>
      <c r="C631" s="24">
        <f>IF($A631="","",库存台账!$C631)</f>
        <v/>
      </c>
      <c r="D631" s="24">
        <f>IF($A631="","",库存台账!$D631)</f>
        <v/>
      </c>
      <c r="E631" s="24">
        <f>IF($A631="","",库存台账!$E631)</f>
        <v/>
      </c>
      <c r="F631" s="24">
        <f>IF($A631="","",库存台账!$F631)</f>
        <v/>
      </c>
      <c r="G631" s="17" t="n"/>
      <c r="H631" s="23" t="n"/>
      <c r="I631" s="27">
        <f>IF($A631="","",库存台账!$X631)</f>
        <v/>
      </c>
      <c r="J631" s="27">
        <f>IF(OR($A631="",$H631=""),"",ROUND($H631-$I631,3))</f>
        <v/>
      </c>
      <c r="K631" s="26">
        <f>IF($A631="","",库存台账!$K631)</f>
        <v/>
      </c>
      <c r="L631" s="26">
        <f>IF($J631="","",ROUND($J631*$K631,0))</f>
        <v/>
      </c>
      <c r="M631" s="37">
        <f>IF(OR($J631="",$I631=0),"",ROUND($J631/$I631,4))</f>
        <v/>
      </c>
      <c r="N631" s="17" t="n"/>
      <c r="O631" s="17" t="n"/>
      <c r="P631" s="24">
        <f>IF($J631="","未盘",IF(ROUND($J631,3)=0,"账实相符",IF(COUNTIFS(入库单!$G$4:$G$2503,$A631,入库单!$X$4:$X$2503,"盘盈",入库单!$C$4:$C$2503,"&gt;="&amp;账期起,入库单!$C$4:$C$2503,"&lt;="&amp;账期止)+COUNTIFS(出库单!$D$4:$D$4003,$A631,出库单!$K$4:$K$4003,"盘亏",出库单!$C$4:$C$4003,"&gt;="&amp;账期起,出库单!$C$4:$C$4003,"&lt;="&amp;账期止)&gt;0,"已调账","※差异还没调账")))</f>
        <v/>
      </c>
      <c r="Q631" s="17" t="n"/>
      <c r="R631" s="17" t="n"/>
    </row>
    <row r="632">
      <c r="A632" s="24">
        <f>IF(库存台账!$A632="","",库存台账!$A632)</f>
        <v/>
      </c>
      <c r="B632" s="24">
        <f>IF($A632="","",库存台账!$B632)</f>
        <v/>
      </c>
      <c r="C632" s="24">
        <f>IF($A632="","",库存台账!$C632)</f>
        <v/>
      </c>
      <c r="D632" s="24">
        <f>IF($A632="","",库存台账!$D632)</f>
        <v/>
      </c>
      <c r="E632" s="24">
        <f>IF($A632="","",库存台账!$E632)</f>
        <v/>
      </c>
      <c r="F632" s="24">
        <f>IF($A632="","",库存台账!$F632)</f>
        <v/>
      </c>
      <c r="G632" s="17" t="n"/>
      <c r="H632" s="23" t="n"/>
      <c r="I632" s="27">
        <f>IF($A632="","",库存台账!$X632)</f>
        <v/>
      </c>
      <c r="J632" s="27">
        <f>IF(OR($A632="",$H632=""),"",ROUND($H632-$I632,3))</f>
        <v/>
      </c>
      <c r="K632" s="26">
        <f>IF($A632="","",库存台账!$K632)</f>
        <v/>
      </c>
      <c r="L632" s="26">
        <f>IF($J632="","",ROUND($J632*$K632,0))</f>
        <v/>
      </c>
      <c r="M632" s="37">
        <f>IF(OR($J632="",$I632=0),"",ROUND($J632/$I632,4))</f>
        <v/>
      </c>
      <c r="N632" s="17" t="n"/>
      <c r="O632" s="17" t="n"/>
      <c r="P632" s="24">
        <f>IF($J632="","未盘",IF(ROUND($J632,3)=0,"账实相符",IF(COUNTIFS(入库单!$G$4:$G$2503,$A632,入库单!$X$4:$X$2503,"盘盈",入库单!$C$4:$C$2503,"&gt;="&amp;账期起,入库单!$C$4:$C$2503,"&lt;="&amp;账期止)+COUNTIFS(出库单!$D$4:$D$4003,$A632,出库单!$K$4:$K$4003,"盘亏",出库单!$C$4:$C$4003,"&gt;="&amp;账期起,出库单!$C$4:$C$4003,"&lt;="&amp;账期止)&gt;0,"已调账","※差异还没调账")))</f>
        <v/>
      </c>
      <c r="Q632" s="17" t="n"/>
      <c r="R632" s="17" t="n"/>
    </row>
    <row r="633">
      <c r="A633" s="24">
        <f>IF(库存台账!$A633="","",库存台账!$A633)</f>
        <v/>
      </c>
      <c r="B633" s="24">
        <f>IF($A633="","",库存台账!$B633)</f>
        <v/>
      </c>
      <c r="C633" s="24">
        <f>IF($A633="","",库存台账!$C633)</f>
        <v/>
      </c>
      <c r="D633" s="24">
        <f>IF($A633="","",库存台账!$D633)</f>
        <v/>
      </c>
      <c r="E633" s="24">
        <f>IF($A633="","",库存台账!$E633)</f>
        <v/>
      </c>
      <c r="F633" s="24">
        <f>IF($A633="","",库存台账!$F633)</f>
        <v/>
      </c>
      <c r="G633" s="17" t="n"/>
      <c r="H633" s="23" t="n"/>
      <c r="I633" s="27">
        <f>IF($A633="","",库存台账!$X633)</f>
        <v/>
      </c>
      <c r="J633" s="27">
        <f>IF(OR($A633="",$H633=""),"",ROUND($H633-$I633,3))</f>
        <v/>
      </c>
      <c r="K633" s="26">
        <f>IF($A633="","",库存台账!$K633)</f>
        <v/>
      </c>
      <c r="L633" s="26">
        <f>IF($J633="","",ROUND($J633*$K633,0))</f>
        <v/>
      </c>
      <c r="M633" s="37">
        <f>IF(OR($J633="",$I633=0),"",ROUND($J633/$I633,4))</f>
        <v/>
      </c>
      <c r="N633" s="17" t="n"/>
      <c r="O633" s="17" t="n"/>
      <c r="P633" s="24">
        <f>IF($J633="","未盘",IF(ROUND($J633,3)=0,"账实相符",IF(COUNTIFS(入库单!$G$4:$G$2503,$A633,入库单!$X$4:$X$2503,"盘盈",入库单!$C$4:$C$2503,"&gt;="&amp;账期起,入库单!$C$4:$C$2503,"&lt;="&amp;账期止)+COUNTIFS(出库单!$D$4:$D$4003,$A633,出库单!$K$4:$K$4003,"盘亏",出库单!$C$4:$C$4003,"&gt;="&amp;账期起,出库单!$C$4:$C$4003,"&lt;="&amp;账期止)&gt;0,"已调账","※差异还没调账")))</f>
        <v/>
      </c>
      <c r="Q633" s="17" t="n"/>
      <c r="R633" s="17" t="n"/>
    </row>
    <row r="634">
      <c r="A634" s="24">
        <f>IF(库存台账!$A634="","",库存台账!$A634)</f>
        <v/>
      </c>
      <c r="B634" s="24">
        <f>IF($A634="","",库存台账!$B634)</f>
        <v/>
      </c>
      <c r="C634" s="24">
        <f>IF($A634="","",库存台账!$C634)</f>
        <v/>
      </c>
      <c r="D634" s="24">
        <f>IF($A634="","",库存台账!$D634)</f>
        <v/>
      </c>
      <c r="E634" s="24">
        <f>IF($A634="","",库存台账!$E634)</f>
        <v/>
      </c>
      <c r="F634" s="24">
        <f>IF($A634="","",库存台账!$F634)</f>
        <v/>
      </c>
      <c r="G634" s="17" t="n"/>
      <c r="H634" s="23" t="n"/>
      <c r="I634" s="27">
        <f>IF($A634="","",库存台账!$X634)</f>
        <v/>
      </c>
      <c r="J634" s="27">
        <f>IF(OR($A634="",$H634=""),"",ROUND($H634-$I634,3))</f>
        <v/>
      </c>
      <c r="K634" s="26">
        <f>IF($A634="","",库存台账!$K634)</f>
        <v/>
      </c>
      <c r="L634" s="26">
        <f>IF($J634="","",ROUND($J634*$K634,0))</f>
        <v/>
      </c>
      <c r="M634" s="37">
        <f>IF(OR($J634="",$I634=0),"",ROUND($J634/$I634,4))</f>
        <v/>
      </c>
      <c r="N634" s="17" t="n"/>
      <c r="O634" s="17" t="n"/>
      <c r="P634" s="24">
        <f>IF($J634="","未盘",IF(ROUND($J634,3)=0,"账实相符",IF(COUNTIFS(入库单!$G$4:$G$2503,$A634,入库单!$X$4:$X$2503,"盘盈",入库单!$C$4:$C$2503,"&gt;="&amp;账期起,入库单!$C$4:$C$2503,"&lt;="&amp;账期止)+COUNTIFS(出库单!$D$4:$D$4003,$A634,出库单!$K$4:$K$4003,"盘亏",出库单!$C$4:$C$4003,"&gt;="&amp;账期起,出库单!$C$4:$C$4003,"&lt;="&amp;账期止)&gt;0,"已调账","※差异还没调账")))</f>
        <v/>
      </c>
      <c r="Q634" s="17" t="n"/>
      <c r="R634" s="17" t="n"/>
    </row>
    <row r="635">
      <c r="A635" s="24">
        <f>IF(库存台账!$A635="","",库存台账!$A635)</f>
        <v/>
      </c>
      <c r="B635" s="24">
        <f>IF($A635="","",库存台账!$B635)</f>
        <v/>
      </c>
      <c r="C635" s="24">
        <f>IF($A635="","",库存台账!$C635)</f>
        <v/>
      </c>
      <c r="D635" s="24">
        <f>IF($A635="","",库存台账!$D635)</f>
        <v/>
      </c>
      <c r="E635" s="24">
        <f>IF($A635="","",库存台账!$E635)</f>
        <v/>
      </c>
      <c r="F635" s="24">
        <f>IF($A635="","",库存台账!$F635)</f>
        <v/>
      </c>
      <c r="G635" s="17" t="n"/>
      <c r="H635" s="23" t="n"/>
      <c r="I635" s="27">
        <f>IF($A635="","",库存台账!$X635)</f>
        <v/>
      </c>
      <c r="J635" s="27">
        <f>IF(OR($A635="",$H635=""),"",ROUND($H635-$I635,3))</f>
        <v/>
      </c>
      <c r="K635" s="26">
        <f>IF($A635="","",库存台账!$K635)</f>
        <v/>
      </c>
      <c r="L635" s="26">
        <f>IF($J635="","",ROUND($J635*$K635,0))</f>
        <v/>
      </c>
      <c r="M635" s="37">
        <f>IF(OR($J635="",$I635=0),"",ROUND($J635/$I635,4))</f>
        <v/>
      </c>
      <c r="N635" s="17" t="n"/>
      <c r="O635" s="17" t="n"/>
      <c r="P635" s="24">
        <f>IF($J635="","未盘",IF(ROUND($J635,3)=0,"账实相符",IF(COUNTIFS(入库单!$G$4:$G$2503,$A635,入库单!$X$4:$X$2503,"盘盈",入库单!$C$4:$C$2503,"&gt;="&amp;账期起,入库单!$C$4:$C$2503,"&lt;="&amp;账期止)+COUNTIFS(出库单!$D$4:$D$4003,$A635,出库单!$K$4:$K$4003,"盘亏",出库单!$C$4:$C$4003,"&gt;="&amp;账期起,出库单!$C$4:$C$4003,"&lt;="&amp;账期止)&gt;0,"已调账","※差异还没调账")))</f>
        <v/>
      </c>
      <c r="Q635" s="17" t="n"/>
      <c r="R635" s="17" t="n"/>
    </row>
    <row r="636">
      <c r="A636" s="24">
        <f>IF(库存台账!$A636="","",库存台账!$A636)</f>
        <v/>
      </c>
      <c r="B636" s="24">
        <f>IF($A636="","",库存台账!$B636)</f>
        <v/>
      </c>
      <c r="C636" s="24">
        <f>IF($A636="","",库存台账!$C636)</f>
        <v/>
      </c>
      <c r="D636" s="24">
        <f>IF($A636="","",库存台账!$D636)</f>
        <v/>
      </c>
      <c r="E636" s="24">
        <f>IF($A636="","",库存台账!$E636)</f>
        <v/>
      </c>
      <c r="F636" s="24">
        <f>IF($A636="","",库存台账!$F636)</f>
        <v/>
      </c>
      <c r="G636" s="17" t="n"/>
      <c r="H636" s="23" t="n"/>
      <c r="I636" s="27">
        <f>IF($A636="","",库存台账!$X636)</f>
        <v/>
      </c>
      <c r="J636" s="27">
        <f>IF(OR($A636="",$H636=""),"",ROUND($H636-$I636,3))</f>
        <v/>
      </c>
      <c r="K636" s="26">
        <f>IF($A636="","",库存台账!$K636)</f>
        <v/>
      </c>
      <c r="L636" s="26">
        <f>IF($J636="","",ROUND($J636*$K636,0))</f>
        <v/>
      </c>
      <c r="M636" s="37">
        <f>IF(OR($J636="",$I636=0),"",ROUND($J636/$I636,4))</f>
        <v/>
      </c>
      <c r="N636" s="17" t="n"/>
      <c r="O636" s="17" t="n"/>
      <c r="P636" s="24">
        <f>IF($J636="","未盘",IF(ROUND($J636,3)=0,"账实相符",IF(COUNTIFS(入库单!$G$4:$G$2503,$A636,入库单!$X$4:$X$2503,"盘盈",入库单!$C$4:$C$2503,"&gt;="&amp;账期起,入库单!$C$4:$C$2503,"&lt;="&amp;账期止)+COUNTIFS(出库单!$D$4:$D$4003,$A636,出库单!$K$4:$K$4003,"盘亏",出库单!$C$4:$C$4003,"&gt;="&amp;账期起,出库单!$C$4:$C$4003,"&lt;="&amp;账期止)&gt;0,"已调账","※差异还没调账")))</f>
        <v/>
      </c>
      <c r="Q636" s="17" t="n"/>
      <c r="R636" s="17" t="n"/>
    </row>
    <row r="637">
      <c r="A637" s="24">
        <f>IF(库存台账!$A637="","",库存台账!$A637)</f>
        <v/>
      </c>
      <c r="B637" s="24">
        <f>IF($A637="","",库存台账!$B637)</f>
        <v/>
      </c>
      <c r="C637" s="24">
        <f>IF($A637="","",库存台账!$C637)</f>
        <v/>
      </c>
      <c r="D637" s="24">
        <f>IF($A637="","",库存台账!$D637)</f>
        <v/>
      </c>
      <c r="E637" s="24">
        <f>IF($A637="","",库存台账!$E637)</f>
        <v/>
      </c>
      <c r="F637" s="24">
        <f>IF($A637="","",库存台账!$F637)</f>
        <v/>
      </c>
      <c r="G637" s="17" t="n"/>
      <c r="H637" s="23" t="n"/>
      <c r="I637" s="27">
        <f>IF($A637="","",库存台账!$X637)</f>
        <v/>
      </c>
      <c r="J637" s="27">
        <f>IF(OR($A637="",$H637=""),"",ROUND($H637-$I637,3))</f>
        <v/>
      </c>
      <c r="K637" s="26">
        <f>IF($A637="","",库存台账!$K637)</f>
        <v/>
      </c>
      <c r="L637" s="26">
        <f>IF($J637="","",ROUND($J637*$K637,0))</f>
        <v/>
      </c>
      <c r="M637" s="37">
        <f>IF(OR($J637="",$I637=0),"",ROUND($J637/$I637,4))</f>
        <v/>
      </c>
      <c r="N637" s="17" t="n"/>
      <c r="O637" s="17" t="n"/>
      <c r="P637" s="24">
        <f>IF($J637="","未盘",IF(ROUND($J637,3)=0,"账实相符",IF(COUNTIFS(入库单!$G$4:$G$2503,$A637,入库单!$X$4:$X$2503,"盘盈",入库单!$C$4:$C$2503,"&gt;="&amp;账期起,入库单!$C$4:$C$2503,"&lt;="&amp;账期止)+COUNTIFS(出库单!$D$4:$D$4003,$A637,出库单!$K$4:$K$4003,"盘亏",出库单!$C$4:$C$4003,"&gt;="&amp;账期起,出库单!$C$4:$C$4003,"&lt;="&amp;账期止)&gt;0,"已调账","※差异还没调账")))</f>
        <v/>
      </c>
      <c r="Q637" s="17" t="n"/>
      <c r="R637" s="17" t="n"/>
    </row>
    <row r="638">
      <c r="A638" s="24">
        <f>IF(库存台账!$A638="","",库存台账!$A638)</f>
        <v/>
      </c>
      <c r="B638" s="24">
        <f>IF($A638="","",库存台账!$B638)</f>
        <v/>
      </c>
      <c r="C638" s="24">
        <f>IF($A638="","",库存台账!$C638)</f>
        <v/>
      </c>
      <c r="D638" s="24">
        <f>IF($A638="","",库存台账!$D638)</f>
        <v/>
      </c>
      <c r="E638" s="24">
        <f>IF($A638="","",库存台账!$E638)</f>
        <v/>
      </c>
      <c r="F638" s="24">
        <f>IF($A638="","",库存台账!$F638)</f>
        <v/>
      </c>
      <c r="G638" s="17" t="n"/>
      <c r="H638" s="23" t="n"/>
      <c r="I638" s="27">
        <f>IF($A638="","",库存台账!$X638)</f>
        <v/>
      </c>
      <c r="J638" s="27">
        <f>IF(OR($A638="",$H638=""),"",ROUND($H638-$I638,3))</f>
        <v/>
      </c>
      <c r="K638" s="26">
        <f>IF($A638="","",库存台账!$K638)</f>
        <v/>
      </c>
      <c r="L638" s="26">
        <f>IF($J638="","",ROUND($J638*$K638,0))</f>
        <v/>
      </c>
      <c r="M638" s="37">
        <f>IF(OR($J638="",$I638=0),"",ROUND($J638/$I638,4))</f>
        <v/>
      </c>
      <c r="N638" s="17" t="n"/>
      <c r="O638" s="17" t="n"/>
      <c r="P638" s="24">
        <f>IF($J638="","未盘",IF(ROUND($J638,3)=0,"账实相符",IF(COUNTIFS(入库单!$G$4:$G$2503,$A638,入库单!$X$4:$X$2503,"盘盈",入库单!$C$4:$C$2503,"&gt;="&amp;账期起,入库单!$C$4:$C$2503,"&lt;="&amp;账期止)+COUNTIFS(出库单!$D$4:$D$4003,$A638,出库单!$K$4:$K$4003,"盘亏",出库单!$C$4:$C$4003,"&gt;="&amp;账期起,出库单!$C$4:$C$4003,"&lt;="&amp;账期止)&gt;0,"已调账","※差异还没调账")))</f>
        <v/>
      </c>
      <c r="Q638" s="17" t="n"/>
      <c r="R638" s="17" t="n"/>
    </row>
    <row r="639">
      <c r="A639" s="24">
        <f>IF(库存台账!$A639="","",库存台账!$A639)</f>
        <v/>
      </c>
      <c r="B639" s="24">
        <f>IF($A639="","",库存台账!$B639)</f>
        <v/>
      </c>
      <c r="C639" s="24">
        <f>IF($A639="","",库存台账!$C639)</f>
        <v/>
      </c>
      <c r="D639" s="24">
        <f>IF($A639="","",库存台账!$D639)</f>
        <v/>
      </c>
      <c r="E639" s="24">
        <f>IF($A639="","",库存台账!$E639)</f>
        <v/>
      </c>
      <c r="F639" s="24">
        <f>IF($A639="","",库存台账!$F639)</f>
        <v/>
      </c>
      <c r="G639" s="17" t="n"/>
      <c r="H639" s="23" t="n"/>
      <c r="I639" s="27">
        <f>IF($A639="","",库存台账!$X639)</f>
        <v/>
      </c>
      <c r="J639" s="27">
        <f>IF(OR($A639="",$H639=""),"",ROUND($H639-$I639,3))</f>
        <v/>
      </c>
      <c r="K639" s="26">
        <f>IF($A639="","",库存台账!$K639)</f>
        <v/>
      </c>
      <c r="L639" s="26">
        <f>IF($J639="","",ROUND($J639*$K639,0))</f>
        <v/>
      </c>
      <c r="M639" s="37">
        <f>IF(OR($J639="",$I639=0),"",ROUND($J639/$I639,4))</f>
        <v/>
      </c>
      <c r="N639" s="17" t="n"/>
      <c r="O639" s="17" t="n"/>
      <c r="P639" s="24">
        <f>IF($J639="","未盘",IF(ROUND($J639,3)=0,"账实相符",IF(COUNTIFS(入库单!$G$4:$G$2503,$A639,入库单!$X$4:$X$2503,"盘盈",入库单!$C$4:$C$2503,"&gt;="&amp;账期起,入库单!$C$4:$C$2503,"&lt;="&amp;账期止)+COUNTIFS(出库单!$D$4:$D$4003,$A639,出库单!$K$4:$K$4003,"盘亏",出库单!$C$4:$C$4003,"&gt;="&amp;账期起,出库单!$C$4:$C$4003,"&lt;="&amp;账期止)&gt;0,"已调账","※差异还没调账")))</f>
        <v/>
      </c>
      <c r="Q639" s="17" t="n"/>
      <c r="R639" s="17" t="n"/>
    </row>
    <row r="640">
      <c r="A640" s="24">
        <f>IF(库存台账!$A640="","",库存台账!$A640)</f>
        <v/>
      </c>
      <c r="B640" s="24">
        <f>IF($A640="","",库存台账!$B640)</f>
        <v/>
      </c>
      <c r="C640" s="24">
        <f>IF($A640="","",库存台账!$C640)</f>
        <v/>
      </c>
      <c r="D640" s="24">
        <f>IF($A640="","",库存台账!$D640)</f>
        <v/>
      </c>
      <c r="E640" s="24">
        <f>IF($A640="","",库存台账!$E640)</f>
        <v/>
      </c>
      <c r="F640" s="24">
        <f>IF($A640="","",库存台账!$F640)</f>
        <v/>
      </c>
      <c r="G640" s="17" t="n"/>
      <c r="H640" s="23" t="n"/>
      <c r="I640" s="27">
        <f>IF($A640="","",库存台账!$X640)</f>
        <v/>
      </c>
      <c r="J640" s="27">
        <f>IF(OR($A640="",$H640=""),"",ROUND($H640-$I640,3))</f>
        <v/>
      </c>
      <c r="K640" s="26">
        <f>IF($A640="","",库存台账!$K640)</f>
        <v/>
      </c>
      <c r="L640" s="26">
        <f>IF($J640="","",ROUND($J640*$K640,0))</f>
        <v/>
      </c>
      <c r="M640" s="37">
        <f>IF(OR($J640="",$I640=0),"",ROUND($J640/$I640,4))</f>
        <v/>
      </c>
      <c r="N640" s="17" t="n"/>
      <c r="O640" s="17" t="n"/>
      <c r="P640" s="24">
        <f>IF($J640="","未盘",IF(ROUND($J640,3)=0,"账实相符",IF(COUNTIFS(入库单!$G$4:$G$2503,$A640,入库单!$X$4:$X$2503,"盘盈",入库单!$C$4:$C$2503,"&gt;="&amp;账期起,入库单!$C$4:$C$2503,"&lt;="&amp;账期止)+COUNTIFS(出库单!$D$4:$D$4003,$A640,出库单!$K$4:$K$4003,"盘亏",出库单!$C$4:$C$4003,"&gt;="&amp;账期起,出库单!$C$4:$C$4003,"&lt;="&amp;账期止)&gt;0,"已调账","※差异还没调账")))</f>
        <v/>
      </c>
      <c r="Q640" s="17" t="n"/>
      <c r="R640" s="17" t="n"/>
    </row>
    <row r="641">
      <c r="A641" s="24">
        <f>IF(库存台账!$A641="","",库存台账!$A641)</f>
        <v/>
      </c>
      <c r="B641" s="24">
        <f>IF($A641="","",库存台账!$B641)</f>
        <v/>
      </c>
      <c r="C641" s="24">
        <f>IF($A641="","",库存台账!$C641)</f>
        <v/>
      </c>
      <c r="D641" s="24">
        <f>IF($A641="","",库存台账!$D641)</f>
        <v/>
      </c>
      <c r="E641" s="24">
        <f>IF($A641="","",库存台账!$E641)</f>
        <v/>
      </c>
      <c r="F641" s="24">
        <f>IF($A641="","",库存台账!$F641)</f>
        <v/>
      </c>
      <c r="G641" s="17" t="n"/>
      <c r="H641" s="23" t="n"/>
      <c r="I641" s="27">
        <f>IF($A641="","",库存台账!$X641)</f>
        <v/>
      </c>
      <c r="J641" s="27">
        <f>IF(OR($A641="",$H641=""),"",ROUND($H641-$I641,3))</f>
        <v/>
      </c>
      <c r="K641" s="26">
        <f>IF($A641="","",库存台账!$K641)</f>
        <v/>
      </c>
      <c r="L641" s="26">
        <f>IF($J641="","",ROUND($J641*$K641,0))</f>
        <v/>
      </c>
      <c r="M641" s="37">
        <f>IF(OR($J641="",$I641=0),"",ROUND($J641/$I641,4))</f>
        <v/>
      </c>
      <c r="N641" s="17" t="n"/>
      <c r="O641" s="17" t="n"/>
      <c r="P641" s="24">
        <f>IF($J641="","未盘",IF(ROUND($J641,3)=0,"账实相符",IF(COUNTIFS(入库单!$G$4:$G$2503,$A641,入库单!$X$4:$X$2503,"盘盈",入库单!$C$4:$C$2503,"&gt;="&amp;账期起,入库单!$C$4:$C$2503,"&lt;="&amp;账期止)+COUNTIFS(出库单!$D$4:$D$4003,$A641,出库单!$K$4:$K$4003,"盘亏",出库单!$C$4:$C$4003,"&gt;="&amp;账期起,出库单!$C$4:$C$4003,"&lt;="&amp;账期止)&gt;0,"已调账","※差异还没调账")))</f>
        <v/>
      </c>
      <c r="Q641" s="17" t="n"/>
      <c r="R641" s="17" t="n"/>
    </row>
    <row r="642">
      <c r="A642" s="24">
        <f>IF(库存台账!$A642="","",库存台账!$A642)</f>
        <v/>
      </c>
      <c r="B642" s="24">
        <f>IF($A642="","",库存台账!$B642)</f>
        <v/>
      </c>
      <c r="C642" s="24">
        <f>IF($A642="","",库存台账!$C642)</f>
        <v/>
      </c>
      <c r="D642" s="24">
        <f>IF($A642="","",库存台账!$D642)</f>
        <v/>
      </c>
      <c r="E642" s="24">
        <f>IF($A642="","",库存台账!$E642)</f>
        <v/>
      </c>
      <c r="F642" s="24">
        <f>IF($A642="","",库存台账!$F642)</f>
        <v/>
      </c>
      <c r="G642" s="17" t="n"/>
      <c r="H642" s="23" t="n"/>
      <c r="I642" s="27">
        <f>IF($A642="","",库存台账!$X642)</f>
        <v/>
      </c>
      <c r="J642" s="27">
        <f>IF(OR($A642="",$H642=""),"",ROUND($H642-$I642,3))</f>
        <v/>
      </c>
      <c r="K642" s="26">
        <f>IF($A642="","",库存台账!$K642)</f>
        <v/>
      </c>
      <c r="L642" s="26">
        <f>IF($J642="","",ROUND($J642*$K642,0))</f>
        <v/>
      </c>
      <c r="M642" s="37">
        <f>IF(OR($J642="",$I642=0),"",ROUND($J642/$I642,4))</f>
        <v/>
      </c>
      <c r="N642" s="17" t="n"/>
      <c r="O642" s="17" t="n"/>
      <c r="P642" s="24">
        <f>IF($J642="","未盘",IF(ROUND($J642,3)=0,"账实相符",IF(COUNTIFS(入库单!$G$4:$G$2503,$A642,入库单!$X$4:$X$2503,"盘盈",入库单!$C$4:$C$2503,"&gt;="&amp;账期起,入库单!$C$4:$C$2503,"&lt;="&amp;账期止)+COUNTIFS(出库单!$D$4:$D$4003,$A642,出库单!$K$4:$K$4003,"盘亏",出库单!$C$4:$C$4003,"&gt;="&amp;账期起,出库单!$C$4:$C$4003,"&lt;="&amp;账期止)&gt;0,"已调账","※差异还没调账")))</f>
        <v/>
      </c>
      <c r="Q642" s="17" t="n"/>
      <c r="R642" s="17" t="n"/>
    </row>
    <row r="643">
      <c r="A643" s="24">
        <f>IF(库存台账!$A643="","",库存台账!$A643)</f>
        <v/>
      </c>
      <c r="B643" s="24">
        <f>IF($A643="","",库存台账!$B643)</f>
        <v/>
      </c>
      <c r="C643" s="24">
        <f>IF($A643="","",库存台账!$C643)</f>
        <v/>
      </c>
      <c r="D643" s="24">
        <f>IF($A643="","",库存台账!$D643)</f>
        <v/>
      </c>
      <c r="E643" s="24">
        <f>IF($A643="","",库存台账!$E643)</f>
        <v/>
      </c>
      <c r="F643" s="24">
        <f>IF($A643="","",库存台账!$F643)</f>
        <v/>
      </c>
      <c r="G643" s="17" t="n"/>
      <c r="H643" s="23" t="n"/>
      <c r="I643" s="27">
        <f>IF($A643="","",库存台账!$X643)</f>
        <v/>
      </c>
      <c r="J643" s="27">
        <f>IF(OR($A643="",$H643=""),"",ROUND($H643-$I643,3))</f>
        <v/>
      </c>
      <c r="K643" s="26">
        <f>IF($A643="","",库存台账!$K643)</f>
        <v/>
      </c>
      <c r="L643" s="26">
        <f>IF($J643="","",ROUND($J643*$K643,0))</f>
        <v/>
      </c>
      <c r="M643" s="37">
        <f>IF(OR($J643="",$I643=0),"",ROUND($J643/$I643,4))</f>
        <v/>
      </c>
      <c r="N643" s="17" t="n"/>
      <c r="O643" s="17" t="n"/>
      <c r="P643" s="24">
        <f>IF($J643="","未盘",IF(ROUND($J643,3)=0,"账实相符",IF(COUNTIFS(入库单!$G$4:$G$2503,$A643,入库单!$X$4:$X$2503,"盘盈",入库单!$C$4:$C$2503,"&gt;="&amp;账期起,入库单!$C$4:$C$2503,"&lt;="&amp;账期止)+COUNTIFS(出库单!$D$4:$D$4003,$A643,出库单!$K$4:$K$4003,"盘亏",出库单!$C$4:$C$4003,"&gt;="&amp;账期起,出库单!$C$4:$C$4003,"&lt;="&amp;账期止)&gt;0,"已调账","※差异还没调账")))</f>
        <v/>
      </c>
      <c r="Q643" s="17" t="n"/>
      <c r="R643" s="17" t="n"/>
    </row>
    <row r="644">
      <c r="A644" s="24">
        <f>IF(库存台账!$A644="","",库存台账!$A644)</f>
        <v/>
      </c>
      <c r="B644" s="24">
        <f>IF($A644="","",库存台账!$B644)</f>
        <v/>
      </c>
      <c r="C644" s="24">
        <f>IF($A644="","",库存台账!$C644)</f>
        <v/>
      </c>
      <c r="D644" s="24">
        <f>IF($A644="","",库存台账!$D644)</f>
        <v/>
      </c>
      <c r="E644" s="24">
        <f>IF($A644="","",库存台账!$E644)</f>
        <v/>
      </c>
      <c r="F644" s="24">
        <f>IF($A644="","",库存台账!$F644)</f>
        <v/>
      </c>
      <c r="G644" s="17" t="n"/>
      <c r="H644" s="23" t="n"/>
      <c r="I644" s="27">
        <f>IF($A644="","",库存台账!$X644)</f>
        <v/>
      </c>
      <c r="J644" s="27">
        <f>IF(OR($A644="",$H644=""),"",ROUND($H644-$I644,3))</f>
        <v/>
      </c>
      <c r="K644" s="26">
        <f>IF($A644="","",库存台账!$K644)</f>
        <v/>
      </c>
      <c r="L644" s="26">
        <f>IF($J644="","",ROUND($J644*$K644,0))</f>
        <v/>
      </c>
      <c r="M644" s="37">
        <f>IF(OR($J644="",$I644=0),"",ROUND($J644/$I644,4))</f>
        <v/>
      </c>
      <c r="N644" s="17" t="n"/>
      <c r="O644" s="17" t="n"/>
      <c r="P644" s="24">
        <f>IF($J644="","未盘",IF(ROUND($J644,3)=0,"账实相符",IF(COUNTIFS(入库单!$G$4:$G$2503,$A644,入库单!$X$4:$X$2503,"盘盈",入库单!$C$4:$C$2503,"&gt;="&amp;账期起,入库单!$C$4:$C$2503,"&lt;="&amp;账期止)+COUNTIFS(出库单!$D$4:$D$4003,$A644,出库单!$K$4:$K$4003,"盘亏",出库单!$C$4:$C$4003,"&gt;="&amp;账期起,出库单!$C$4:$C$4003,"&lt;="&amp;账期止)&gt;0,"已调账","※差异还没调账")))</f>
        <v/>
      </c>
      <c r="Q644" s="17" t="n"/>
      <c r="R644" s="17" t="n"/>
    </row>
    <row r="645">
      <c r="A645" s="24">
        <f>IF(库存台账!$A645="","",库存台账!$A645)</f>
        <v/>
      </c>
      <c r="B645" s="24">
        <f>IF($A645="","",库存台账!$B645)</f>
        <v/>
      </c>
      <c r="C645" s="24">
        <f>IF($A645="","",库存台账!$C645)</f>
        <v/>
      </c>
      <c r="D645" s="24">
        <f>IF($A645="","",库存台账!$D645)</f>
        <v/>
      </c>
      <c r="E645" s="24">
        <f>IF($A645="","",库存台账!$E645)</f>
        <v/>
      </c>
      <c r="F645" s="24">
        <f>IF($A645="","",库存台账!$F645)</f>
        <v/>
      </c>
      <c r="G645" s="17" t="n"/>
      <c r="H645" s="23" t="n"/>
      <c r="I645" s="27">
        <f>IF($A645="","",库存台账!$X645)</f>
        <v/>
      </c>
      <c r="J645" s="27">
        <f>IF(OR($A645="",$H645=""),"",ROUND($H645-$I645,3))</f>
        <v/>
      </c>
      <c r="K645" s="26">
        <f>IF($A645="","",库存台账!$K645)</f>
        <v/>
      </c>
      <c r="L645" s="26">
        <f>IF($J645="","",ROUND($J645*$K645,0))</f>
        <v/>
      </c>
      <c r="M645" s="37">
        <f>IF(OR($J645="",$I645=0),"",ROUND($J645/$I645,4))</f>
        <v/>
      </c>
      <c r="N645" s="17" t="n"/>
      <c r="O645" s="17" t="n"/>
      <c r="P645" s="24">
        <f>IF($J645="","未盘",IF(ROUND($J645,3)=0,"账实相符",IF(COUNTIFS(入库单!$G$4:$G$2503,$A645,入库单!$X$4:$X$2503,"盘盈",入库单!$C$4:$C$2503,"&gt;="&amp;账期起,入库单!$C$4:$C$2503,"&lt;="&amp;账期止)+COUNTIFS(出库单!$D$4:$D$4003,$A645,出库单!$K$4:$K$4003,"盘亏",出库单!$C$4:$C$4003,"&gt;="&amp;账期起,出库单!$C$4:$C$4003,"&lt;="&amp;账期止)&gt;0,"已调账","※差异还没调账")))</f>
        <v/>
      </c>
      <c r="Q645" s="17" t="n"/>
      <c r="R645" s="17" t="n"/>
    </row>
    <row r="646">
      <c r="A646" s="24">
        <f>IF(库存台账!$A646="","",库存台账!$A646)</f>
        <v/>
      </c>
      <c r="B646" s="24">
        <f>IF($A646="","",库存台账!$B646)</f>
        <v/>
      </c>
      <c r="C646" s="24">
        <f>IF($A646="","",库存台账!$C646)</f>
        <v/>
      </c>
      <c r="D646" s="24">
        <f>IF($A646="","",库存台账!$D646)</f>
        <v/>
      </c>
      <c r="E646" s="24">
        <f>IF($A646="","",库存台账!$E646)</f>
        <v/>
      </c>
      <c r="F646" s="24">
        <f>IF($A646="","",库存台账!$F646)</f>
        <v/>
      </c>
      <c r="G646" s="17" t="n"/>
      <c r="H646" s="23" t="n"/>
      <c r="I646" s="27">
        <f>IF($A646="","",库存台账!$X646)</f>
        <v/>
      </c>
      <c r="J646" s="27">
        <f>IF(OR($A646="",$H646=""),"",ROUND($H646-$I646,3))</f>
        <v/>
      </c>
      <c r="K646" s="26">
        <f>IF($A646="","",库存台账!$K646)</f>
        <v/>
      </c>
      <c r="L646" s="26">
        <f>IF($J646="","",ROUND($J646*$K646,0))</f>
        <v/>
      </c>
      <c r="M646" s="37">
        <f>IF(OR($J646="",$I646=0),"",ROUND($J646/$I646,4))</f>
        <v/>
      </c>
      <c r="N646" s="17" t="n"/>
      <c r="O646" s="17" t="n"/>
      <c r="P646" s="24">
        <f>IF($J646="","未盘",IF(ROUND($J646,3)=0,"账实相符",IF(COUNTIFS(入库单!$G$4:$G$2503,$A646,入库单!$X$4:$X$2503,"盘盈",入库单!$C$4:$C$2503,"&gt;="&amp;账期起,入库单!$C$4:$C$2503,"&lt;="&amp;账期止)+COUNTIFS(出库单!$D$4:$D$4003,$A646,出库单!$K$4:$K$4003,"盘亏",出库单!$C$4:$C$4003,"&gt;="&amp;账期起,出库单!$C$4:$C$4003,"&lt;="&amp;账期止)&gt;0,"已调账","※差异还没调账")))</f>
        <v/>
      </c>
      <c r="Q646" s="17" t="n"/>
      <c r="R646" s="17" t="n"/>
    </row>
    <row r="647">
      <c r="A647" s="24">
        <f>IF(库存台账!$A647="","",库存台账!$A647)</f>
        <v/>
      </c>
      <c r="B647" s="24">
        <f>IF($A647="","",库存台账!$B647)</f>
        <v/>
      </c>
      <c r="C647" s="24">
        <f>IF($A647="","",库存台账!$C647)</f>
        <v/>
      </c>
      <c r="D647" s="24">
        <f>IF($A647="","",库存台账!$D647)</f>
        <v/>
      </c>
      <c r="E647" s="24">
        <f>IF($A647="","",库存台账!$E647)</f>
        <v/>
      </c>
      <c r="F647" s="24">
        <f>IF($A647="","",库存台账!$F647)</f>
        <v/>
      </c>
      <c r="G647" s="17" t="n"/>
      <c r="H647" s="23" t="n"/>
      <c r="I647" s="27">
        <f>IF($A647="","",库存台账!$X647)</f>
        <v/>
      </c>
      <c r="J647" s="27">
        <f>IF(OR($A647="",$H647=""),"",ROUND($H647-$I647,3))</f>
        <v/>
      </c>
      <c r="K647" s="26">
        <f>IF($A647="","",库存台账!$K647)</f>
        <v/>
      </c>
      <c r="L647" s="26">
        <f>IF($J647="","",ROUND($J647*$K647,0))</f>
        <v/>
      </c>
      <c r="M647" s="37">
        <f>IF(OR($J647="",$I647=0),"",ROUND($J647/$I647,4))</f>
        <v/>
      </c>
      <c r="N647" s="17" t="n"/>
      <c r="O647" s="17" t="n"/>
      <c r="P647" s="24">
        <f>IF($J647="","未盘",IF(ROUND($J647,3)=0,"账实相符",IF(COUNTIFS(入库单!$G$4:$G$2503,$A647,入库单!$X$4:$X$2503,"盘盈",入库单!$C$4:$C$2503,"&gt;="&amp;账期起,入库单!$C$4:$C$2503,"&lt;="&amp;账期止)+COUNTIFS(出库单!$D$4:$D$4003,$A647,出库单!$K$4:$K$4003,"盘亏",出库单!$C$4:$C$4003,"&gt;="&amp;账期起,出库单!$C$4:$C$4003,"&lt;="&amp;账期止)&gt;0,"已调账","※差异还没调账")))</f>
        <v/>
      </c>
      <c r="Q647" s="17" t="n"/>
      <c r="R647" s="17" t="n"/>
    </row>
    <row r="648">
      <c r="A648" s="24">
        <f>IF(库存台账!$A648="","",库存台账!$A648)</f>
        <v/>
      </c>
      <c r="B648" s="24">
        <f>IF($A648="","",库存台账!$B648)</f>
        <v/>
      </c>
      <c r="C648" s="24">
        <f>IF($A648="","",库存台账!$C648)</f>
        <v/>
      </c>
      <c r="D648" s="24">
        <f>IF($A648="","",库存台账!$D648)</f>
        <v/>
      </c>
      <c r="E648" s="24">
        <f>IF($A648="","",库存台账!$E648)</f>
        <v/>
      </c>
      <c r="F648" s="24">
        <f>IF($A648="","",库存台账!$F648)</f>
        <v/>
      </c>
      <c r="G648" s="17" t="n"/>
      <c r="H648" s="23" t="n"/>
      <c r="I648" s="27">
        <f>IF($A648="","",库存台账!$X648)</f>
        <v/>
      </c>
      <c r="J648" s="27">
        <f>IF(OR($A648="",$H648=""),"",ROUND($H648-$I648,3))</f>
        <v/>
      </c>
      <c r="K648" s="26">
        <f>IF($A648="","",库存台账!$K648)</f>
        <v/>
      </c>
      <c r="L648" s="26">
        <f>IF($J648="","",ROUND($J648*$K648,0))</f>
        <v/>
      </c>
      <c r="M648" s="37">
        <f>IF(OR($J648="",$I648=0),"",ROUND($J648/$I648,4))</f>
        <v/>
      </c>
      <c r="N648" s="17" t="n"/>
      <c r="O648" s="17" t="n"/>
      <c r="P648" s="24">
        <f>IF($J648="","未盘",IF(ROUND($J648,3)=0,"账实相符",IF(COUNTIFS(入库单!$G$4:$G$2503,$A648,入库单!$X$4:$X$2503,"盘盈",入库单!$C$4:$C$2503,"&gt;="&amp;账期起,入库单!$C$4:$C$2503,"&lt;="&amp;账期止)+COUNTIFS(出库单!$D$4:$D$4003,$A648,出库单!$K$4:$K$4003,"盘亏",出库单!$C$4:$C$4003,"&gt;="&amp;账期起,出库单!$C$4:$C$4003,"&lt;="&amp;账期止)&gt;0,"已调账","※差异还没调账")))</f>
        <v/>
      </c>
      <c r="Q648" s="17" t="n"/>
      <c r="R648" s="17" t="n"/>
    </row>
    <row r="649">
      <c r="A649" s="24">
        <f>IF(库存台账!$A649="","",库存台账!$A649)</f>
        <v/>
      </c>
      <c r="B649" s="24">
        <f>IF($A649="","",库存台账!$B649)</f>
        <v/>
      </c>
      <c r="C649" s="24">
        <f>IF($A649="","",库存台账!$C649)</f>
        <v/>
      </c>
      <c r="D649" s="24">
        <f>IF($A649="","",库存台账!$D649)</f>
        <v/>
      </c>
      <c r="E649" s="24">
        <f>IF($A649="","",库存台账!$E649)</f>
        <v/>
      </c>
      <c r="F649" s="24">
        <f>IF($A649="","",库存台账!$F649)</f>
        <v/>
      </c>
      <c r="G649" s="17" t="n"/>
      <c r="H649" s="23" t="n"/>
      <c r="I649" s="27">
        <f>IF($A649="","",库存台账!$X649)</f>
        <v/>
      </c>
      <c r="J649" s="27">
        <f>IF(OR($A649="",$H649=""),"",ROUND($H649-$I649,3))</f>
        <v/>
      </c>
      <c r="K649" s="26">
        <f>IF($A649="","",库存台账!$K649)</f>
        <v/>
      </c>
      <c r="L649" s="26">
        <f>IF($J649="","",ROUND($J649*$K649,0))</f>
        <v/>
      </c>
      <c r="M649" s="37">
        <f>IF(OR($J649="",$I649=0),"",ROUND($J649/$I649,4))</f>
        <v/>
      </c>
      <c r="N649" s="17" t="n"/>
      <c r="O649" s="17" t="n"/>
      <c r="P649" s="24">
        <f>IF($J649="","未盘",IF(ROUND($J649,3)=0,"账实相符",IF(COUNTIFS(入库单!$G$4:$G$2503,$A649,入库单!$X$4:$X$2503,"盘盈",入库单!$C$4:$C$2503,"&gt;="&amp;账期起,入库单!$C$4:$C$2503,"&lt;="&amp;账期止)+COUNTIFS(出库单!$D$4:$D$4003,$A649,出库单!$K$4:$K$4003,"盘亏",出库单!$C$4:$C$4003,"&gt;="&amp;账期起,出库单!$C$4:$C$4003,"&lt;="&amp;账期止)&gt;0,"已调账","※差异还没调账")))</f>
        <v/>
      </c>
      <c r="Q649" s="17" t="n"/>
      <c r="R649" s="17" t="n"/>
    </row>
    <row r="650">
      <c r="A650" s="24">
        <f>IF(库存台账!$A650="","",库存台账!$A650)</f>
        <v/>
      </c>
      <c r="B650" s="24">
        <f>IF($A650="","",库存台账!$B650)</f>
        <v/>
      </c>
      <c r="C650" s="24">
        <f>IF($A650="","",库存台账!$C650)</f>
        <v/>
      </c>
      <c r="D650" s="24">
        <f>IF($A650="","",库存台账!$D650)</f>
        <v/>
      </c>
      <c r="E650" s="24">
        <f>IF($A650="","",库存台账!$E650)</f>
        <v/>
      </c>
      <c r="F650" s="24">
        <f>IF($A650="","",库存台账!$F650)</f>
        <v/>
      </c>
      <c r="G650" s="17" t="n"/>
      <c r="H650" s="23" t="n"/>
      <c r="I650" s="27">
        <f>IF($A650="","",库存台账!$X650)</f>
        <v/>
      </c>
      <c r="J650" s="27">
        <f>IF(OR($A650="",$H650=""),"",ROUND($H650-$I650,3))</f>
        <v/>
      </c>
      <c r="K650" s="26">
        <f>IF($A650="","",库存台账!$K650)</f>
        <v/>
      </c>
      <c r="L650" s="26">
        <f>IF($J650="","",ROUND($J650*$K650,0))</f>
        <v/>
      </c>
      <c r="M650" s="37">
        <f>IF(OR($J650="",$I650=0),"",ROUND($J650/$I650,4))</f>
        <v/>
      </c>
      <c r="N650" s="17" t="n"/>
      <c r="O650" s="17" t="n"/>
      <c r="P650" s="24">
        <f>IF($J650="","未盘",IF(ROUND($J650,3)=0,"账实相符",IF(COUNTIFS(入库单!$G$4:$G$2503,$A650,入库单!$X$4:$X$2503,"盘盈",入库单!$C$4:$C$2503,"&gt;="&amp;账期起,入库单!$C$4:$C$2503,"&lt;="&amp;账期止)+COUNTIFS(出库单!$D$4:$D$4003,$A650,出库单!$K$4:$K$4003,"盘亏",出库单!$C$4:$C$4003,"&gt;="&amp;账期起,出库单!$C$4:$C$4003,"&lt;="&amp;账期止)&gt;0,"已调账","※差异还没调账")))</f>
        <v/>
      </c>
      <c r="Q650" s="17" t="n"/>
      <c r="R650" s="17" t="n"/>
    </row>
    <row r="651">
      <c r="A651" s="24">
        <f>IF(库存台账!$A651="","",库存台账!$A651)</f>
        <v/>
      </c>
      <c r="B651" s="24">
        <f>IF($A651="","",库存台账!$B651)</f>
        <v/>
      </c>
      <c r="C651" s="24">
        <f>IF($A651="","",库存台账!$C651)</f>
        <v/>
      </c>
      <c r="D651" s="24">
        <f>IF($A651="","",库存台账!$D651)</f>
        <v/>
      </c>
      <c r="E651" s="24">
        <f>IF($A651="","",库存台账!$E651)</f>
        <v/>
      </c>
      <c r="F651" s="24">
        <f>IF($A651="","",库存台账!$F651)</f>
        <v/>
      </c>
      <c r="G651" s="17" t="n"/>
      <c r="H651" s="23" t="n"/>
      <c r="I651" s="27">
        <f>IF($A651="","",库存台账!$X651)</f>
        <v/>
      </c>
      <c r="J651" s="27">
        <f>IF(OR($A651="",$H651=""),"",ROUND($H651-$I651,3))</f>
        <v/>
      </c>
      <c r="K651" s="26">
        <f>IF($A651="","",库存台账!$K651)</f>
        <v/>
      </c>
      <c r="L651" s="26">
        <f>IF($J651="","",ROUND($J651*$K651,0))</f>
        <v/>
      </c>
      <c r="M651" s="37">
        <f>IF(OR($J651="",$I651=0),"",ROUND($J651/$I651,4))</f>
        <v/>
      </c>
      <c r="N651" s="17" t="n"/>
      <c r="O651" s="17" t="n"/>
      <c r="P651" s="24">
        <f>IF($J651="","未盘",IF(ROUND($J651,3)=0,"账实相符",IF(COUNTIFS(入库单!$G$4:$G$2503,$A651,入库单!$X$4:$X$2503,"盘盈",入库单!$C$4:$C$2503,"&gt;="&amp;账期起,入库单!$C$4:$C$2503,"&lt;="&amp;账期止)+COUNTIFS(出库单!$D$4:$D$4003,$A651,出库单!$K$4:$K$4003,"盘亏",出库单!$C$4:$C$4003,"&gt;="&amp;账期起,出库单!$C$4:$C$4003,"&lt;="&amp;账期止)&gt;0,"已调账","※差异还没调账")))</f>
        <v/>
      </c>
      <c r="Q651" s="17" t="n"/>
      <c r="R651" s="17" t="n"/>
    </row>
    <row r="652">
      <c r="A652" s="24">
        <f>IF(库存台账!$A652="","",库存台账!$A652)</f>
        <v/>
      </c>
      <c r="B652" s="24">
        <f>IF($A652="","",库存台账!$B652)</f>
        <v/>
      </c>
      <c r="C652" s="24">
        <f>IF($A652="","",库存台账!$C652)</f>
        <v/>
      </c>
      <c r="D652" s="24">
        <f>IF($A652="","",库存台账!$D652)</f>
        <v/>
      </c>
      <c r="E652" s="24">
        <f>IF($A652="","",库存台账!$E652)</f>
        <v/>
      </c>
      <c r="F652" s="24">
        <f>IF($A652="","",库存台账!$F652)</f>
        <v/>
      </c>
      <c r="G652" s="17" t="n"/>
      <c r="H652" s="23" t="n"/>
      <c r="I652" s="27">
        <f>IF($A652="","",库存台账!$X652)</f>
        <v/>
      </c>
      <c r="J652" s="27">
        <f>IF(OR($A652="",$H652=""),"",ROUND($H652-$I652,3))</f>
        <v/>
      </c>
      <c r="K652" s="26">
        <f>IF($A652="","",库存台账!$K652)</f>
        <v/>
      </c>
      <c r="L652" s="26">
        <f>IF($J652="","",ROUND($J652*$K652,0))</f>
        <v/>
      </c>
      <c r="M652" s="37">
        <f>IF(OR($J652="",$I652=0),"",ROUND($J652/$I652,4))</f>
        <v/>
      </c>
      <c r="N652" s="17" t="n"/>
      <c r="O652" s="17" t="n"/>
      <c r="P652" s="24">
        <f>IF($J652="","未盘",IF(ROUND($J652,3)=0,"账实相符",IF(COUNTIFS(入库单!$G$4:$G$2503,$A652,入库单!$X$4:$X$2503,"盘盈",入库单!$C$4:$C$2503,"&gt;="&amp;账期起,入库单!$C$4:$C$2503,"&lt;="&amp;账期止)+COUNTIFS(出库单!$D$4:$D$4003,$A652,出库单!$K$4:$K$4003,"盘亏",出库单!$C$4:$C$4003,"&gt;="&amp;账期起,出库单!$C$4:$C$4003,"&lt;="&amp;账期止)&gt;0,"已调账","※差异还没调账")))</f>
        <v/>
      </c>
      <c r="Q652" s="17" t="n"/>
      <c r="R652" s="17" t="n"/>
    </row>
    <row r="653">
      <c r="A653" s="24">
        <f>IF(库存台账!$A653="","",库存台账!$A653)</f>
        <v/>
      </c>
      <c r="B653" s="24">
        <f>IF($A653="","",库存台账!$B653)</f>
        <v/>
      </c>
      <c r="C653" s="24">
        <f>IF($A653="","",库存台账!$C653)</f>
        <v/>
      </c>
      <c r="D653" s="24">
        <f>IF($A653="","",库存台账!$D653)</f>
        <v/>
      </c>
      <c r="E653" s="24">
        <f>IF($A653="","",库存台账!$E653)</f>
        <v/>
      </c>
      <c r="F653" s="24">
        <f>IF($A653="","",库存台账!$F653)</f>
        <v/>
      </c>
      <c r="G653" s="17" t="n"/>
      <c r="H653" s="23" t="n"/>
      <c r="I653" s="27">
        <f>IF($A653="","",库存台账!$X653)</f>
        <v/>
      </c>
      <c r="J653" s="27">
        <f>IF(OR($A653="",$H653=""),"",ROUND($H653-$I653,3))</f>
        <v/>
      </c>
      <c r="K653" s="26">
        <f>IF($A653="","",库存台账!$K653)</f>
        <v/>
      </c>
      <c r="L653" s="26">
        <f>IF($J653="","",ROUND($J653*$K653,0))</f>
        <v/>
      </c>
      <c r="M653" s="37">
        <f>IF(OR($J653="",$I653=0),"",ROUND($J653/$I653,4))</f>
        <v/>
      </c>
      <c r="N653" s="17" t="n"/>
      <c r="O653" s="17" t="n"/>
      <c r="P653" s="24">
        <f>IF($J653="","未盘",IF(ROUND($J653,3)=0,"账实相符",IF(COUNTIFS(入库单!$G$4:$G$2503,$A653,入库单!$X$4:$X$2503,"盘盈",入库单!$C$4:$C$2503,"&gt;="&amp;账期起,入库单!$C$4:$C$2503,"&lt;="&amp;账期止)+COUNTIFS(出库单!$D$4:$D$4003,$A653,出库单!$K$4:$K$4003,"盘亏",出库单!$C$4:$C$4003,"&gt;="&amp;账期起,出库单!$C$4:$C$4003,"&lt;="&amp;账期止)&gt;0,"已调账","※差异还没调账")))</f>
        <v/>
      </c>
      <c r="Q653" s="17" t="n"/>
      <c r="R653" s="17" t="n"/>
    </row>
    <row r="654">
      <c r="A654" s="24">
        <f>IF(库存台账!$A654="","",库存台账!$A654)</f>
        <v/>
      </c>
      <c r="B654" s="24">
        <f>IF($A654="","",库存台账!$B654)</f>
        <v/>
      </c>
      <c r="C654" s="24">
        <f>IF($A654="","",库存台账!$C654)</f>
        <v/>
      </c>
      <c r="D654" s="24">
        <f>IF($A654="","",库存台账!$D654)</f>
        <v/>
      </c>
      <c r="E654" s="24">
        <f>IF($A654="","",库存台账!$E654)</f>
        <v/>
      </c>
      <c r="F654" s="24">
        <f>IF($A654="","",库存台账!$F654)</f>
        <v/>
      </c>
      <c r="G654" s="17" t="n"/>
      <c r="H654" s="23" t="n"/>
      <c r="I654" s="27">
        <f>IF($A654="","",库存台账!$X654)</f>
        <v/>
      </c>
      <c r="J654" s="27">
        <f>IF(OR($A654="",$H654=""),"",ROUND($H654-$I654,3))</f>
        <v/>
      </c>
      <c r="K654" s="26">
        <f>IF($A654="","",库存台账!$K654)</f>
        <v/>
      </c>
      <c r="L654" s="26">
        <f>IF($J654="","",ROUND($J654*$K654,0))</f>
        <v/>
      </c>
      <c r="M654" s="37">
        <f>IF(OR($J654="",$I654=0),"",ROUND($J654/$I654,4))</f>
        <v/>
      </c>
      <c r="N654" s="17" t="n"/>
      <c r="O654" s="17" t="n"/>
      <c r="P654" s="24">
        <f>IF($J654="","未盘",IF(ROUND($J654,3)=0,"账实相符",IF(COUNTIFS(入库单!$G$4:$G$2503,$A654,入库单!$X$4:$X$2503,"盘盈",入库单!$C$4:$C$2503,"&gt;="&amp;账期起,入库单!$C$4:$C$2503,"&lt;="&amp;账期止)+COUNTIFS(出库单!$D$4:$D$4003,$A654,出库单!$K$4:$K$4003,"盘亏",出库单!$C$4:$C$4003,"&gt;="&amp;账期起,出库单!$C$4:$C$4003,"&lt;="&amp;账期止)&gt;0,"已调账","※差异还没调账")))</f>
        <v/>
      </c>
      <c r="Q654" s="17" t="n"/>
      <c r="R654" s="17" t="n"/>
    </row>
    <row r="655">
      <c r="A655" s="24">
        <f>IF(库存台账!$A655="","",库存台账!$A655)</f>
        <v/>
      </c>
      <c r="B655" s="24">
        <f>IF($A655="","",库存台账!$B655)</f>
        <v/>
      </c>
      <c r="C655" s="24">
        <f>IF($A655="","",库存台账!$C655)</f>
        <v/>
      </c>
      <c r="D655" s="24">
        <f>IF($A655="","",库存台账!$D655)</f>
        <v/>
      </c>
      <c r="E655" s="24">
        <f>IF($A655="","",库存台账!$E655)</f>
        <v/>
      </c>
      <c r="F655" s="24">
        <f>IF($A655="","",库存台账!$F655)</f>
        <v/>
      </c>
      <c r="G655" s="17" t="n"/>
      <c r="H655" s="23" t="n"/>
      <c r="I655" s="27">
        <f>IF($A655="","",库存台账!$X655)</f>
        <v/>
      </c>
      <c r="J655" s="27">
        <f>IF(OR($A655="",$H655=""),"",ROUND($H655-$I655,3))</f>
        <v/>
      </c>
      <c r="K655" s="26">
        <f>IF($A655="","",库存台账!$K655)</f>
        <v/>
      </c>
      <c r="L655" s="26">
        <f>IF($J655="","",ROUND($J655*$K655,0))</f>
        <v/>
      </c>
      <c r="M655" s="37">
        <f>IF(OR($J655="",$I655=0),"",ROUND($J655/$I655,4))</f>
        <v/>
      </c>
      <c r="N655" s="17" t="n"/>
      <c r="O655" s="17" t="n"/>
      <c r="P655" s="24">
        <f>IF($J655="","未盘",IF(ROUND($J655,3)=0,"账实相符",IF(COUNTIFS(入库单!$G$4:$G$2503,$A655,入库单!$X$4:$X$2503,"盘盈",入库单!$C$4:$C$2503,"&gt;="&amp;账期起,入库单!$C$4:$C$2503,"&lt;="&amp;账期止)+COUNTIFS(出库单!$D$4:$D$4003,$A655,出库单!$K$4:$K$4003,"盘亏",出库单!$C$4:$C$4003,"&gt;="&amp;账期起,出库单!$C$4:$C$4003,"&lt;="&amp;账期止)&gt;0,"已调账","※差异还没调账")))</f>
        <v/>
      </c>
      <c r="Q655" s="17" t="n"/>
      <c r="R655" s="17" t="n"/>
    </row>
    <row r="656">
      <c r="A656" s="24">
        <f>IF(库存台账!$A656="","",库存台账!$A656)</f>
        <v/>
      </c>
      <c r="B656" s="24">
        <f>IF($A656="","",库存台账!$B656)</f>
        <v/>
      </c>
      <c r="C656" s="24">
        <f>IF($A656="","",库存台账!$C656)</f>
        <v/>
      </c>
      <c r="D656" s="24">
        <f>IF($A656="","",库存台账!$D656)</f>
        <v/>
      </c>
      <c r="E656" s="24">
        <f>IF($A656="","",库存台账!$E656)</f>
        <v/>
      </c>
      <c r="F656" s="24">
        <f>IF($A656="","",库存台账!$F656)</f>
        <v/>
      </c>
      <c r="G656" s="17" t="n"/>
      <c r="H656" s="23" t="n"/>
      <c r="I656" s="27">
        <f>IF($A656="","",库存台账!$X656)</f>
        <v/>
      </c>
      <c r="J656" s="27">
        <f>IF(OR($A656="",$H656=""),"",ROUND($H656-$I656,3))</f>
        <v/>
      </c>
      <c r="K656" s="26">
        <f>IF($A656="","",库存台账!$K656)</f>
        <v/>
      </c>
      <c r="L656" s="26">
        <f>IF($J656="","",ROUND($J656*$K656,0))</f>
        <v/>
      </c>
      <c r="M656" s="37">
        <f>IF(OR($J656="",$I656=0),"",ROUND($J656/$I656,4))</f>
        <v/>
      </c>
      <c r="N656" s="17" t="n"/>
      <c r="O656" s="17" t="n"/>
      <c r="P656" s="24">
        <f>IF($J656="","未盘",IF(ROUND($J656,3)=0,"账实相符",IF(COUNTIFS(入库单!$G$4:$G$2503,$A656,入库单!$X$4:$X$2503,"盘盈",入库单!$C$4:$C$2503,"&gt;="&amp;账期起,入库单!$C$4:$C$2503,"&lt;="&amp;账期止)+COUNTIFS(出库单!$D$4:$D$4003,$A656,出库单!$K$4:$K$4003,"盘亏",出库单!$C$4:$C$4003,"&gt;="&amp;账期起,出库单!$C$4:$C$4003,"&lt;="&amp;账期止)&gt;0,"已调账","※差异还没调账")))</f>
        <v/>
      </c>
      <c r="Q656" s="17" t="n"/>
      <c r="R656" s="17" t="n"/>
    </row>
    <row r="657">
      <c r="A657" s="24">
        <f>IF(库存台账!$A657="","",库存台账!$A657)</f>
        <v/>
      </c>
      <c r="B657" s="24">
        <f>IF($A657="","",库存台账!$B657)</f>
        <v/>
      </c>
      <c r="C657" s="24">
        <f>IF($A657="","",库存台账!$C657)</f>
        <v/>
      </c>
      <c r="D657" s="24">
        <f>IF($A657="","",库存台账!$D657)</f>
        <v/>
      </c>
      <c r="E657" s="24">
        <f>IF($A657="","",库存台账!$E657)</f>
        <v/>
      </c>
      <c r="F657" s="24">
        <f>IF($A657="","",库存台账!$F657)</f>
        <v/>
      </c>
      <c r="G657" s="17" t="n"/>
      <c r="H657" s="23" t="n"/>
      <c r="I657" s="27">
        <f>IF($A657="","",库存台账!$X657)</f>
        <v/>
      </c>
      <c r="J657" s="27">
        <f>IF(OR($A657="",$H657=""),"",ROUND($H657-$I657,3))</f>
        <v/>
      </c>
      <c r="K657" s="26">
        <f>IF($A657="","",库存台账!$K657)</f>
        <v/>
      </c>
      <c r="L657" s="26">
        <f>IF($J657="","",ROUND($J657*$K657,0))</f>
        <v/>
      </c>
      <c r="M657" s="37">
        <f>IF(OR($J657="",$I657=0),"",ROUND($J657/$I657,4))</f>
        <v/>
      </c>
      <c r="N657" s="17" t="n"/>
      <c r="O657" s="17" t="n"/>
      <c r="P657" s="24">
        <f>IF($J657="","未盘",IF(ROUND($J657,3)=0,"账实相符",IF(COUNTIFS(入库单!$G$4:$G$2503,$A657,入库单!$X$4:$X$2503,"盘盈",入库单!$C$4:$C$2503,"&gt;="&amp;账期起,入库单!$C$4:$C$2503,"&lt;="&amp;账期止)+COUNTIFS(出库单!$D$4:$D$4003,$A657,出库单!$K$4:$K$4003,"盘亏",出库单!$C$4:$C$4003,"&gt;="&amp;账期起,出库单!$C$4:$C$4003,"&lt;="&amp;账期止)&gt;0,"已调账","※差异还没调账")))</f>
        <v/>
      </c>
      <c r="Q657" s="17" t="n"/>
      <c r="R657" s="17" t="n"/>
    </row>
    <row r="658">
      <c r="A658" s="24">
        <f>IF(库存台账!$A658="","",库存台账!$A658)</f>
        <v/>
      </c>
      <c r="B658" s="24">
        <f>IF($A658="","",库存台账!$B658)</f>
        <v/>
      </c>
      <c r="C658" s="24">
        <f>IF($A658="","",库存台账!$C658)</f>
        <v/>
      </c>
      <c r="D658" s="24">
        <f>IF($A658="","",库存台账!$D658)</f>
        <v/>
      </c>
      <c r="E658" s="24">
        <f>IF($A658="","",库存台账!$E658)</f>
        <v/>
      </c>
      <c r="F658" s="24">
        <f>IF($A658="","",库存台账!$F658)</f>
        <v/>
      </c>
      <c r="G658" s="17" t="n"/>
      <c r="H658" s="23" t="n"/>
      <c r="I658" s="27">
        <f>IF($A658="","",库存台账!$X658)</f>
        <v/>
      </c>
      <c r="J658" s="27">
        <f>IF(OR($A658="",$H658=""),"",ROUND($H658-$I658,3))</f>
        <v/>
      </c>
      <c r="K658" s="26">
        <f>IF($A658="","",库存台账!$K658)</f>
        <v/>
      </c>
      <c r="L658" s="26">
        <f>IF($J658="","",ROUND($J658*$K658,0))</f>
        <v/>
      </c>
      <c r="M658" s="37">
        <f>IF(OR($J658="",$I658=0),"",ROUND($J658/$I658,4))</f>
        <v/>
      </c>
      <c r="N658" s="17" t="n"/>
      <c r="O658" s="17" t="n"/>
      <c r="P658" s="24">
        <f>IF($J658="","未盘",IF(ROUND($J658,3)=0,"账实相符",IF(COUNTIFS(入库单!$G$4:$G$2503,$A658,入库单!$X$4:$X$2503,"盘盈",入库单!$C$4:$C$2503,"&gt;="&amp;账期起,入库单!$C$4:$C$2503,"&lt;="&amp;账期止)+COUNTIFS(出库单!$D$4:$D$4003,$A658,出库单!$K$4:$K$4003,"盘亏",出库单!$C$4:$C$4003,"&gt;="&amp;账期起,出库单!$C$4:$C$4003,"&lt;="&amp;账期止)&gt;0,"已调账","※差异还没调账")))</f>
        <v/>
      </c>
      <c r="Q658" s="17" t="n"/>
      <c r="R658" s="17" t="n"/>
    </row>
    <row r="659">
      <c r="A659" s="24">
        <f>IF(库存台账!$A659="","",库存台账!$A659)</f>
        <v/>
      </c>
      <c r="B659" s="24">
        <f>IF($A659="","",库存台账!$B659)</f>
        <v/>
      </c>
      <c r="C659" s="24">
        <f>IF($A659="","",库存台账!$C659)</f>
        <v/>
      </c>
      <c r="D659" s="24">
        <f>IF($A659="","",库存台账!$D659)</f>
        <v/>
      </c>
      <c r="E659" s="24">
        <f>IF($A659="","",库存台账!$E659)</f>
        <v/>
      </c>
      <c r="F659" s="24">
        <f>IF($A659="","",库存台账!$F659)</f>
        <v/>
      </c>
      <c r="G659" s="17" t="n"/>
      <c r="H659" s="23" t="n"/>
      <c r="I659" s="27">
        <f>IF($A659="","",库存台账!$X659)</f>
        <v/>
      </c>
      <c r="J659" s="27">
        <f>IF(OR($A659="",$H659=""),"",ROUND($H659-$I659,3))</f>
        <v/>
      </c>
      <c r="K659" s="26">
        <f>IF($A659="","",库存台账!$K659)</f>
        <v/>
      </c>
      <c r="L659" s="26">
        <f>IF($J659="","",ROUND($J659*$K659,0))</f>
        <v/>
      </c>
      <c r="M659" s="37">
        <f>IF(OR($J659="",$I659=0),"",ROUND($J659/$I659,4))</f>
        <v/>
      </c>
      <c r="N659" s="17" t="n"/>
      <c r="O659" s="17" t="n"/>
      <c r="P659" s="24">
        <f>IF($J659="","未盘",IF(ROUND($J659,3)=0,"账实相符",IF(COUNTIFS(入库单!$G$4:$G$2503,$A659,入库单!$X$4:$X$2503,"盘盈",入库单!$C$4:$C$2503,"&gt;="&amp;账期起,入库单!$C$4:$C$2503,"&lt;="&amp;账期止)+COUNTIFS(出库单!$D$4:$D$4003,$A659,出库单!$K$4:$K$4003,"盘亏",出库单!$C$4:$C$4003,"&gt;="&amp;账期起,出库单!$C$4:$C$4003,"&lt;="&amp;账期止)&gt;0,"已调账","※差异还没调账")))</f>
        <v/>
      </c>
      <c r="Q659" s="17" t="n"/>
      <c r="R659" s="17" t="n"/>
    </row>
    <row r="660">
      <c r="A660" s="24">
        <f>IF(库存台账!$A660="","",库存台账!$A660)</f>
        <v/>
      </c>
      <c r="B660" s="24">
        <f>IF($A660="","",库存台账!$B660)</f>
        <v/>
      </c>
      <c r="C660" s="24">
        <f>IF($A660="","",库存台账!$C660)</f>
        <v/>
      </c>
      <c r="D660" s="24">
        <f>IF($A660="","",库存台账!$D660)</f>
        <v/>
      </c>
      <c r="E660" s="24">
        <f>IF($A660="","",库存台账!$E660)</f>
        <v/>
      </c>
      <c r="F660" s="24">
        <f>IF($A660="","",库存台账!$F660)</f>
        <v/>
      </c>
      <c r="G660" s="17" t="n"/>
      <c r="H660" s="23" t="n"/>
      <c r="I660" s="27">
        <f>IF($A660="","",库存台账!$X660)</f>
        <v/>
      </c>
      <c r="J660" s="27">
        <f>IF(OR($A660="",$H660=""),"",ROUND($H660-$I660,3))</f>
        <v/>
      </c>
      <c r="K660" s="26">
        <f>IF($A660="","",库存台账!$K660)</f>
        <v/>
      </c>
      <c r="L660" s="26">
        <f>IF($J660="","",ROUND($J660*$K660,0))</f>
        <v/>
      </c>
      <c r="M660" s="37">
        <f>IF(OR($J660="",$I660=0),"",ROUND($J660/$I660,4))</f>
        <v/>
      </c>
      <c r="N660" s="17" t="n"/>
      <c r="O660" s="17" t="n"/>
      <c r="P660" s="24">
        <f>IF($J660="","未盘",IF(ROUND($J660,3)=0,"账实相符",IF(COUNTIFS(入库单!$G$4:$G$2503,$A660,入库单!$X$4:$X$2503,"盘盈",入库单!$C$4:$C$2503,"&gt;="&amp;账期起,入库单!$C$4:$C$2503,"&lt;="&amp;账期止)+COUNTIFS(出库单!$D$4:$D$4003,$A660,出库单!$K$4:$K$4003,"盘亏",出库单!$C$4:$C$4003,"&gt;="&amp;账期起,出库单!$C$4:$C$4003,"&lt;="&amp;账期止)&gt;0,"已调账","※差异还没调账")))</f>
        <v/>
      </c>
      <c r="Q660" s="17" t="n"/>
      <c r="R660" s="17" t="n"/>
    </row>
    <row r="661">
      <c r="A661" s="24">
        <f>IF(库存台账!$A661="","",库存台账!$A661)</f>
        <v/>
      </c>
      <c r="B661" s="24">
        <f>IF($A661="","",库存台账!$B661)</f>
        <v/>
      </c>
      <c r="C661" s="24">
        <f>IF($A661="","",库存台账!$C661)</f>
        <v/>
      </c>
      <c r="D661" s="24">
        <f>IF($A661="","",库存台账!$D661)</f>
        <v/>
      </c>
      <c r="E661" s="24">
        <f>IF($A661="","",库存台账!$E661)</f>
        <v/>
      </c>
      <c r="F661" s="24">
        <f>IF($A661="","",库存台账!$F661)</f>
        <v/>
      </c>
      <c r="G661" s="17" t="n"/>
      <c r="H661" s="23" t="n"/>
      <c r="I661" s="27">
        <f>IF($A661="","",库存台账!$X661)</f>
        <v/>
      </c>
      <c r="J661" s="27">
        <f>IF(OR($A661="",$H661=""),"",ROUND($H661-$I661,3))</f>
        <v/>
      </c>
      <c r="K661" s="26">
        <f>IF($A661="","",库存台账!$K661)</f>
        <v/>
      </c>
      <c r="L661" s="26">
        <f>IF($J661="","",ROUND($J661*$K661,0))</f>
        <v/>
      </c>
      <c r="M661" s="37">
        <f>IF(OR($J661="",$I661=0),"",ROUND($J661/$I661,4))</f>
        <v/>
      </c>
      <c r="N661" s="17" t="n"/>
      <c r="O661" s="17" t="n"/>
      <c r="P661" s="24">
        <f>IF($J661="","未盘",IF(ROUND($J661,3)=0,"账实相符",IF(COUNTIFS(入库单!$G$4:$G$2503,$A661,入库单!$X$4:$X$2503,"盘盈",入库单!$C$4:$C$2503,"&gt;="&amp;账期起,入库单!$C$4:$C$2503,"&lt;="&amp;账期止)+COUNTIFS(出库单!$D$4:$D$4003,$A661,出库单!$K$4:$K$4003,"盘亏",出库单!$C$4:$C$4003,"&gt;="&amp;账期起,出库单!$C$4:$C$4003,"&lt;="&amp;账期止)&gt;0,"已调账","※差异还没调账")))</f>
        <v/>
      </c>
      <c r="Q661" s="17" t="n"/>
      <c r="R661" s="17" t="n"/>
    </row>
    <row r="662">
      <c r="A662" s="24">
        <f>IF(库存台账!$A662="","",库存台账!$A662)</f>
        <v/>
      </c>
      <c r="B662" s="24">
        <f>IF($A662="","",库存台账!$B662)</f>
        <v/>
      </c>
      <c r="C662" s="24">
        <f>IF($A662="","",库存台账!$C662)</f>
        <v/>
      </c>
      <c r="D662" s="24">
        <f>IF($A662="","",库存台账!$D662)</f>
        <v/>
      </c>
      <c r="E662" s="24">
        <f>IF($A662="","",库存台账!$E662)</f>
        <v/>
      </c>
      <c r="F662" s="24">
        <f>IF($A662="","",库存台账!$F662)</f>
        <v/>
      </c>
      <c r="G662" s="17" t="n"/>
      <c r="H662" s="23" t="n"/>
      <c r="I662" s="27">
        <f>IF($A662="","",库存台账!$X662)</f>
        <v/>
      </c>
      <c r="J662" s="27">
        <f>IF(OR($A662="",$H662=""),"",ROUND($H662-$I662,3))</f>
        <v/>
      </c>
      <c r="K662" s="26">
        <f>IF($A662="","",库存台账!$K662)</f>
        <v/>
      </c>
      <c r="L662" s="26">
        <f>IF($J662="","",ROUND($J662*$K662,0))</f>
        <v/>
      </c>
      <c r="M662" s="37">
        <f>IF(OR($J662="",$I662=0),"",ROUND($J662/$I662,4))</f>
        <v/>
      </c>
      <c r="N662" s="17" t="n"/>
      <c r="O662" s="17" t="n"/>
      <c r="P662" s="24">
        <f>IF($J662="","未盘",IF(ROUND($J662,3)=0,"账实相符",IF(COUNTIFS(入库单!$G$4:$G$2503,$A662,入库单!$X$4:$X$2503,"盘盈",入库单!$C$4:$C$2503,"&gt;="&amp;账期起,入库单!$C$4:$C$2503,"&lt;="&amp;账期止)+COUNTIFS(出库单!$D$4:$D$4003,$A662,出库单!$K$4:$K$4003,"盘亏",出库单!$C$4:$C$4003,"&gt;="&amp;账期起,出库单!$C$4:$C$4003,"&lt;="&amp;账期止)&gt;0,"已调账","※差异还没调账")))</f>
        <v/>
      </c>
      <c r="Q662" s="17" t="n"/>
      <c r="R662" s="17" t="n"/>
    </row>
    <row r="663">
      <c r="A663" s="24">
        <f>IF(库存台账!$A663="","",库存台账!$A663)</f>
        <v/>
      </c>
      <c r="B663" s="24">
        <f>IF($A663="","",库存台账!$B663)</f>
        <v/>
      </c>
      <c r="C663" s="24">
        <f>IF($A663="","",库存台账!$C663)</f>
        <v/>
      </c>
      <c r="D663" s="24">
        <f>IF($A663="","",库存台账!$D663)</f>
        <v/>
      </c>
      <c r="E663" s="24">
        <f>IF($A663="","",库存台账!$E663)</f>
        <v/>
      </c>
      <c r="F663" s="24">
        <f>IF($A663="","",库存台账!$F663)</f>
        <v/>
      </c>
      <c r="G663" s="17" t="n"/>
      <c r="H663" s="23" t="n"/>
      <c r="I663" s="27">
        <f>IF($A663="","",库存台账!$X663)</f>
        <v/>
      </c>
      <c r="J663" s="27">
        <f>IF(OR($A663="",$H663=""),"",ROUND($H663-$I663,3))</f>
        <v/>
      </c>
      <c r="K663" s="26">
        <f>IF($A663="","",库存台账!$K663)</f>
        <v/>
      </c>
      <c r="L663" s="26">
        <f>IF($J663="","",ROUND($J663*$K663,0))</f>
        <v/>
      </c>
      <c r="M663" s="37">
        <f>IF(OR($J663="",$I663=0),"",ROUND($J663/$I663,4))</f>
        <v/>
      </c>
      <c r="N663" s="17" t="n"/>
      <c r="O663" s="17" t="n"/>
      <c r="P663" s="24">
        <f>IF($J663="","未盘",IF(ROUND($J663,3)=0,"账实相符",IF(COUNTIFS(入库单!$G$4:$G$2503,$A663,入库单!$X$4:$X$2503,"盘盈",入库单!$C$4:$C$2503,"&gt;="&amp;账期起,入库单!$C$4:$C$2503,"&lt;="&amp;账期止)+COUNTIFS(出库单!$D$4:$D$4003,$A663,出库单!$K$4:$K$4003,"盘亏",出库单!$C$4:$C$4003,"&gt;="&amp;账期起,出库单!$C$4:$C$4003,"&lt;="&amp;账期止)&gt;0,"已调账","※差异还没调账")))</f>
        <v/>
      </c>
      <c r="Q663" s="17" t="n"/>
      <c r="R663" s="17" t="n"/>
    </row>
    <row r="664">
      <c r="A664" s="24">
        <f>IF(库存台账!$A664="","",库存台账!$A664)</f>
        <v/>
      </c>
      <c r="B664" s="24">
        <f>IF($A664="","",库存台账!$B664)</f>
        <v/>
      </c>
      <c r="C664" s="24">
        <f>IF($A664="","",库存台账!$C664)</f>
        <v/>
      </c>
      <c r="D664" s="24">
        <f>IF($A664="","",库存台账!$D664)</f>
        <v/>
      </c>
      <c r="E664" s="24">
        <f>IF($A664="","",库存台账!$E664)</f>
        <v/>
      </c>
      <c r="F664" s="24">
        <f>IF($A664="","",库存台账!$F664)</f>
        <v/>
      </c>
      <c r="G664" s="17" t="n"/>
      <c r="H664" s="23" t="n"/>
      <c r="I664" s="27">
        <f>IF($A664="","",库存台账!$X664)</f>
        <v/>
      </c>
      <c r="J664" s="27">
        <f>IF(OR($A664="",$H664=""),"",ROUND($H664-$I664,3))</f>
        <v/>
      </c>
      <c r="K664" s="26">
        <f>IF($A664="","",库存台账!$K664)</f>
        <v/>
      </c>
      <c r="L664" s="26">
        <f>IF($J664="","",ROUND($J664*$K664,0))</f>
        <v/>
      </c>
      <c r="M664" s="37">
        <f>IF(OR($J664="",$I664=0),"",ROUND($J664/$I664,4))</f>
        <v/>
      </c>
      <c r="N664" s="17" t="n"/>
      <c r="O664" s="17" t="n"/>
      <c r="P664" s="24">
        <f>IF($J664="","未盘",IF(ROUND($J664,3)=0,"账实相符",IF(COUNTIFS(入库单!$G$4:$G$2503,$A664,入库单!$X$4:$X$2503,"盘盈",入库单!$C$4:$C$2503,"&gt;="&amp;账期起,入库单!$C$4:$C$2503,"&lt;="&amp;账期止)+COUNTIFS(出库单!$D$4:$D$4003,$A664,出库单!$K$4:$K$4003,"盘亏",出库单!$C$4:$C$4003,"&gt;="&amp;账期起,出库单!$C$4:$C$4003,"&lt;="&amp;账期止)&gt;0,"已调账","※差异还没调账")))</f>
        <v/>
      </c>
      <c r="Q664" s="17" t="n"/>
      <c r="R664" s="17" t="n"/>
    </row>
    <row r="665">
      <c r="A665" s="24">
        <f>IF(库存台账!$A665="","",库存台账!$A665)</f>
        <v/>
      </c>
      <c r="B665" s="24">
        <f>IF($A665="","",库存台账!$B665)</f>
        <v/>
      </c>
      <c r="C665" s="24">
        <f>IF($A665="","",库存台账!$C665)</f>
        <v/>
      </c>
      <c r="D665" s="24">
        <f>IF($A665="","",库存台账!$D665)</f>
        <v/>
      </c>
      <c r="E665" s="24">
        <f>IF($A665="","",库存台账!$E665)</f>
        <v/>
      </c>
      <c r="F665" s="24">
        <f>IF($A665="","",库存台账!$F665)</f>
        <v/>
      </c>
      <c r="G665" s="17" t="n"/>
      <c r="H665" s="23" t="n"/>
      <c r="I665" s="27">
        <f>IF($A665="","",库存台账!$X665)</f>
        <v/>
      </c>
      <c r="J665" s="27">
        <f>IF(OR($A665="",$H665=""),"",ROUND($H665-$I665,3))</f>
        <v/>
      </c>
      <c r="K665" s="26">
        <f>IF($A665="","",库存台账!$K665)</f>
        <v/>
      </c>
      <c r="L665" s="26">
        <f>IF($J665="","",ROUND($J665*$K665,0))</f>
        <v/>
      </c>
      <c r="M665" s="37">
        <f>IF(OR($J665="",$I665=0),"",ROUND($J665/$I665,4))</f>
        <v/>
      </c>
      <c r="N665" s="17" t="n"/>
      <c r="O665" s="17" t="n"/>
      <c r="P665" s="24">
        <f>IF($J665="","未盘",IF(ROUND($J665,3)=0,"账实相符",IF(COUNTIFS(入库单!$G$4:$G$2503,$A665,入库单!$X$4:$X$2503,"盘盈",入库单!$C$4:$C$2503,"&gt;="&amp;账期起,入库单!$C$4:$C$2503,"&lt;="&amp;账期止)+COUNTIFS(出库单!$D$4:$D$4003,$A665,出库单!$K$4:$K$4003,"盘亏",出库单!$C$4:$C$4003,"&gt;="&amp;账期起,出库单!$C$4:$C$4003,"&lt;="&amp;账期止)&gt;0,"已调账","※差异还没调账")))</f>
        <v/>
      </c>
      <c r="Q665" s="17" t="n"/>
      <c r="R665" s="17" t="n"/>
    </row>
    <row r="666">
      <c r="A666" s="24">
        <f>IF(库存台账!$A666="","",库存台账!$A666)</f>
        <v/>
      </c>
      <c r="B666" s="24">
        <f>IF($A666="","",库存台账!$B666)</f>
        <v/>
      </c>
      <c r="C666" s="24">
        <f>IF($A666="","",库存台账!$C666)</f>
        <v/>
      </c>
      <c r="D666" s="24">
        <f>IF($A666="","",库存台账!$D666)</f>
        <v/>
      </c>
      <c r="E666" s="24">
        <f>IF($A666="","",库存台账!$E666)</f>
        <v/>
      </c>
      <c r="F666" s="24">
        <f>IF($A666="","",库存台账!$F666)</f>
        <v/>
      </c>
      <c r="G666" s="17" t="n"/>
      <c r="H666" s="23" t="n"/>
      <c r="I666" s="27">
        <f>IF($A666="","",库存台账!$X666)</f>
        <v/>
      </c>
      <c r="J666" s="27">
        <f>IF(OR($A666="",$H666=""),"",ROUND($H666-$I666,3))</f>
        <v/>
      </c>
      <c r="K666" s="26">
        <f>IF($A666="","",库存台账!$K666)</f>
        <v/>
      </c>
      <c r="L666" s="26">
        <f>IF($J666="","",ROUND($J666*$K666,0))</f>
        <v/>
      </c>
      <c r="M666" s="37">
        <f>IF(OR($J666="",$I666=0),"",ROUND($J666/$I666,4))</f>
        <v/>
      </c>
      <c r="N666" s="17" t="n"/>
      <c r="O666" s="17" t="n"/>
      <c r="P666" s="24">
        <f>IF($J666="","未盘",IF(ROUND($J666,3)=0,"账实相符",IF(COUNTIFS(入库单!$G$4:$G$2503,$A666,入库单!$X$4:$X$2503,"盘盈",入库单!$C$4:$C$2503,"&gt;="&amp;账期起,入库单!$C$4:$C$2503,"&lt;="&amp;账期止)+COUNTIFS(出库单!$D$4:$D$4003,$A666,出库单!$K$4:$K$4003,"盘亏",出库单!$C$4:$C$4003,"&gt;="&amp;账期起,出库单!$C$4:$C$4003,"&lt;="&amp;账期止)&gt;0,"已调账","※差异还没调账")))</f>
        <v/>
      </c>
      <c r="Q666" s="17" t="n"/>
      <c r="R666" s="17" t="n"/>
    </row>
    <row r="667">
      <c r="A667" s="24">
        <f>IF(库存台账!$A667="","",库存台账!$A667)</f>
        <v/>
      </c>
      <c r="B667" s="24">
        <f>IF($A667="","",库存台账!$B667)</f>
        <v/>
      </c>
      <c r="C667" s="24">
        <f>IF($A667="","",库存台账!$C667)</f>
        <v/>
      </c>
      <c r="D667" s="24">
        <f>IF($A667="","",库存台账!$D667)</f>
        <v/>
      </c>
      <c r="E667" s="24">
        <f>IF($A667="","",库存台账!$E667)</f>
        <v/>
      </c>
      <c r="F667" s="24">
        <f>IF($A667="","",库存台账!$F667)</f>
        <v/>
      </c>
      <c r="G667" s="17" t="n"/>
      <c r="H667" s="23" t="n"/>
      <c r="I667" s="27">
        <f>IF($A667="","",库存台账!$X667)</f>
        <v/>
      </c>
      <c r="J667" s="27">
        <f>IF(OR($A667="",$H667=""),"",ROUND($H667-$I667,3))</f>
        <v/>
      </c>
      <c r="K667" s="26">
        <f>IF($A667="","",库存台账!$K667)</f>
        <v/>
      </c>
      <c r="L667" s="26">
        <f>IF($J667="","",ROUND($J667*$K667,0))</f>
        <v/>
      </c>
      <c r="M667" s="37">
        <f>IF(OR($J667="",$I667=0),"",ROUND($J667/$I667,4))</f>
        <v/>
      </c>
      <c r="N667" s="17" t="n"/>
      <c r="O667" s="17" t="n"/>
      <c r="P667" s="24">
        <f>IF($J667="","未盘",IF(ROUND($J667,3)=0,"账实相符",IF(COUNTIFS(入库单!$G$4:$G$2503,$A667,入库单!$X$4:$X$2503,"盘盈",入库单!$C$4:$C$2503,"&gt;="&amp;账期起,入库单!$C$4:$C$2503,"&lt;="&amp;账期止)+COUNTIFS(出库单!$D$4:$D$4003,$A667,出库单!$K$4:$K$4003,"盘亏",出库单!$C$4:$C$4003,"&gt;="&amp;账期起,出库单!$C$4:$C$4003,"&lt;="&amp;账期止)&gt;0,"已调账","※差异还没调账")))</f>
        <v/>
      </c>
      <c r="Q667" s="17" t="n"/>
      <c r="R667" s="17" t="n"/>
    </row>
    <row r="668">
      <c r="A668" s="24">
        <f>IF(库存台账!$A668="","",库存台账!$A668)</f>
        <v/>
      </c>
      <c r="B668" s="24">
        <f>IF($A668="","",库存台账!$B668)</f>
        <v/>
      </c>
      <c r="C668" s="24">
        <f>IF($A668="","",库存台账!$C668)</f>
        <v/>
      </c>
      <c r="D668" s="24">
        <f>IF($A668="","",库存台账!$D668)</f>
        <v/>
      </c>
      <c r="E668" s="24">
        <f>IF($A668="","",库存台账!$E668)</f>
        <v/>
      </c>
      <c r="F668" s="24">
        <f>IF($A668="","",库存台账!$F668)</f>
        <v/>
      </c>
      <c r="G668" s="17" t="n"/>
      <c r="H668" s="23" t="n"/>
      <c r="I668" s="27">
        <f>IF($A668="","",库存台账!$X668)</f>
        <v/>
      </c>
      <c r="J668" s="27">
        <f>IF(OR($A668="",$H668=""),"",ROUND($H668-$I668,3))</f>
        <v/>
      </c>
      <c r="K668" s="26">
        <f>IF($A668="","",库存台账!$K668)</f>
        <v/>
      </c>
      <c r="L668" s="26">
        <f>IF($J668="","",ROUND($J668*$K668,0))</f>
        <v/>
      </c>
      <c r="M668" s="37">
        <f>IF(OR($J668="",$I668=0),"",ROUND($J668/$I668,4))</f>
        <v/>
      </c>
      <c r="N668" s="17" t="n"/>
      <c r="O668" s="17" t="n"/>
      <c r="P668" s="24">
        <f>IF($J668="","未盘",IF(ROUND($J668,3)=0,"账实相符",IF(COUNTIFS(入库单!$G$4:$G$2503,$A668,入库单!$X$4:$X$2503,"盘盈",入库单!$C$4:$C$2503,"&gt;="&amp;账期起,入库单!$C$4:$C$2503,"&lt;="&amp;账期止)+COUNTIFS(出库单!$D$4:$D$4003,$A668,出库单!$K$4:$K$4003,"盘亏",出库单!$C$4:$C$4003,"&gt;="&amp;账期起,出库单!$C$4:$C$4003,"&lt;="&amp;账期止)&gt;0,"已调账","※差异还没调账")))</f>
        <v/>
      </c>
      <c r="Q668" s="17" t="n"/>
      <c r="R668" s="17" t="n"/>
    </row>
    <row r="669">
      <c r="A669" s="24">
        <f>IF(库存台账!$A669="","",库存台账!$A669)</f>
        <v/>
      </c>
      <c r="B669" s="24">
        <f>IF($A669="","",库存台账!$B669)</f>
        <v/>
      </c>
      <c r="C669" s="24">
        <f>IF($A669="","",库存台账!$C669)</f>
        <v/>
      </c>
      <c r="D669" s="24">
        <f>IF($A669="","",库存台账!$D669)</f>
        <v/>
      </c>
      <c r="E669" s="24">
        <f>IF($A669="","",库存台账!$E669)</f>
        <v/>
      </c>
      <c r="F669" s="24">
        <f>IF($A669="","",库存台账!$F669)</f>
        <v/>
      </c>
      <c r="G669" s="17" t="n"/>
      <c r="H669" s="23" t="n"/>
      <c r="I669" s="27">
        <f>IF($A669="","",库存台账!$X669)</f>
        <v/>
      </c>
      <c r="J669" s="27">
        <f>IF(OR($A669="",$H669=""),"",ROUND($H669-$I669,3))</f>
        <v/>
      </c>
      <c r="K669" s="26">
        <f>IF($A669="","",库存台账!$K669)</f>
        <v/>
      </c>
      <c r="L669" s="26">
        <f>IF($J669="","",ROUND($J669*$K669,0))</f>
        <v/>
      </c>
      <c r="M669" s="37">
        <f>IF(OR($J669="",$I669=0),"",ROUND($J669/$I669,4))</f>
        <v/>
      </c>
      <c r="N669" s="17" t="n"/>
      <c r="O669" s="17" t="n"/>
      <c r="P669" s="24">
        <f>IF($J669="","未盘",IF(ROUND($J669,3)=0,"账实相符",IF(COUNTIFS(入库单!$G$4:$G$2503,$A669,入库单!$X$4:$X$2503,"盘盈",入库单!$C$4:$C$2503,"&gt;="&amp;账期起,入库单!$C$4:$C$2503,"&lt;="&amp;账期止)+COUNTIFS(出库单!$D$4:$D$4003,$A669,出库单!$K$4:$K$4003,"盘亏",出库单!$C$4:$C$4003,"&gt;="&amp;账期起,出库单!$C$4:$C$4003,"&lt;="&amp;账期止)&gt;0,"已调账","※差异还没调账")))</f>
        <v/>
      </c>
      <c r="Q669" s="17" t="n"/>
      <c r="R669" s="17" t="n"/>
    </row>
    <row r="670">
      <c r="A670" s="24">
        <f>IF(库存台账!$A670="","",库存台账!$A670)</f>
        <v/>
      </c>
      <c r="B670" s="24">
        <f>IF($A670="","",库存台账!$B670)</f>
        <v/>
      </c>
      <c r="C670" s="24">
        <f>IF($A670="","",库存台账!$C670)</f>
        <v/>
      </c>
      <c r="D670" s="24">
        <f>IF($A670="","",库存台账!$D670)</f>
        <v/>
      </c>
      <c r="E670" s="24">
        <f>IF($A670="","",库存台账!$E670)</f>
        <v/>
      </c>
      <c r="F670" s="24">
        <f>IF($A670="","",库存台账!$F670)</f>
        <v/>
      </c>
      <c r="G670" s="17" t="n"/>
      <c r="H670" s="23" t="n"/>
      <c r="I670" s="27">
        <f>IF($A670="","",库存台账!$X670)</f>
        <v/>
      </c>
      <c r="J670" s="27">
        <f>IF(OR($A670="",$H670=""),"",ROUND($H670-$I670,3))</f>
        <v/>
      </c>
      <c r="K670" s="26">
        <f>IF($A670="","",库存台账!$K670)</f>
        <v/>
      </c>
      <c r="L670" s="26">
        <f>IF($J670="","",ROUND($J670*$K670,0))</f>
        <v/>
      </c>
      <c r="M670" s="37">
        <f>IF(OR($J670="",$I670=0),"",ROUND($J670/$I670,4))</f>
        <v/>
      </c>
      <c r="N670" s="17" t="n"/>
      <c r="O670" s="17" t="n"/>
      <c r="P670" s="24">
        <f>IF($J670="","未盘",IF(ROUND($J670,3)=0,"账实相符",IF(COUNTIFS(入库单!$G$4:$G$2503,$A670,入库单!$X$4:$X$2503,"盘盈",入库单!$C$4:$C$2503,"&gt;="&amp;账期起,入库单!$C$4:$C$2503,"&lt;="&amp;账期止)+COUNTIFS(出库单!$D$4:$D$4003,$A670,出库单!$K$4:$K$4003,"盘亏",出库单!$C$4:$C$4003,"&gt;="&amp;账期起,出库单!$C$4:$C$4003,"&lt;="&amp;账期止)&gt;0,"已调账","※差异还没调账")))</f>
        <v/>
      </c>
      <c r="Q670" s="17" t="n"/>
      <c r="R670" s="17" t="n"/>
    </row>
    <row r="671">
      <c r="A671" s="24">
        <f>IF(库存台账!$A671="","",库存台账!$A671)</f>
        <v/>
      </c>
      <c r="B671" s="24">
        <f>IF($A671="","",库存台账!$B671)</f>
        <v/>
      </c>
      <c r="C671" s="24">
        <f>IF($A671="","",库存台账!$C671)</f>
        <v/>
      </c>
      <c r="D671" s="24">
        <f>IF($A671="","",库存台账!$D671)</f>
        <v/>
      </c>
      <c r="E671" s="24">
        <f>IF($A671="","",库存台账!$E671)</f>
        <v/>
      </c>
      <c r="F671" s="24">
        <f>IF($A671="","",库存台账!$F671)</f>
        <v/>
      </c>
      <c r="G671" s="17" t="n"/>
      <c r="H671" s="23" t="n"/>
      <c r="I671" s="27">
        <f>IF($A671="","",库存台账!$X671)</f>
        <v/>
      </c>
      <c r="J671" s="27">
        <f>IF(OR($A671="",$H671=""),"",ROUND($H671-$I671,3))</f>
        <v/>
      </c>
      <c r="K671" s="26">
        <f>IF($A671="","",库存台账!$K671)</f>
        <v/>
      </c>
      <c r="L671" s="26">
        <f>IF($J671="","",ROUND($J671*$K671,0))</f>
        <v/>
      </c>
      <c r="M671" s="37">
        <f>IF(OR($J671="",$I671=0),"",ROUND($J671/$I671,4))</f>
        <v/>
      </c>
      <c r="N671" s="17" t="n"/>
      <c r="O671" s="17" t="n"/>
      <c r="P671" s="24">
        <f>IF($J671="","未盘",IF(ROUND($J671,3)=0,"账实相符",IF(COUNTIFS(入库单!$G$4:$G$2503,$A671,入库单!$X$4:$X$2503,"盘盈",入库单!$C$4:$C$2503,"&gt;="&amp;账期起,入库单!$C$4:$C$2503,"&lt;="&amp;账期止)+COUNTIFS(出库单!$D$4:$D$4003,$A671,出库单!$K$4:$K$4003,"盘亏",出库单!$C$4:$C$4003,"&gt;="&amp;账期起,出库单!$C$4:$C$4003,"&lt;="&amp;账期止)&gt;0,"已调账","※差异还没调账")))</f>
        <v/>
      </c>
      <c r="Q671" s="17" t="n"/>
      <c r="R671" s="17" t="n"/>
    </row>
    <row r="672">
      <c r="A672" s="24">
        <f>IF(库存台账!$A672="","",库存台账!$A672)</f>
        <v/>
      </c>
      <c r="B672" s="24">
        <f>IF($A672="","",库存台账!$B672)</f>
        <v/>
      </c>
      <c r="C672" s="24">
        <f>IF($A672="","",库存台账!$C672)</f>
        <v/>
      </c>
      <c r="D672" s="24">
        <f>IF($A672="","",库存台账!$D672)</f>
        <v/>
      </c>
      <c r="E672" s="24">
        <f>IF($A672="","",库存台账!$E672)</f>
        <v/>
      </c>
      <c r="F672" s="24">
        <f>IF($A672="","",库存台账!$F672)</f>
        <v/>
      </c>
      <c r="G672" s="17" t="n"/>
      <c r="H672" s="23" t="n"/>
      <c r="I672" s="27">
        <f>IF($A672="","",库存台账!$X672)</f>
        <v/>
      </c>
      <c r="J672" s="27">
        <f>IF(OR($A672="",$H672=""),"",ROUND($H672-$I672,3))</f>
        <v/>
      </c>
      <c r="K672" s="26">
        <f>IF($A672="","",库存台账!$K672)</f>
        <v/>
      </c>
      <c r="L672" s="26">
        <f>IF($J672="","",ROUND($J672*$K672,0))</f>
        <v/>
      </c>
      <c r="M672" s="37">
        <f>IF(OR($J672="",$I672=0),"",ROUND($J672/$I672,4))</f>
        <v/>
      </c>
      <c r="N672" s="17" t="n"/>
      <c r="O672" s="17" t="n"/>
      <c r="P672" s="24">
        <f>IF($J672="","未盘",IF(ROUND($J672,3)=0,"账实相符",IF(COUNTIFS(入库单!$G$4:$G$2503,$A672,入库单!$X$4:$X$2503,"盘盈",入库单!$C$4:$C$2503,"&gt;="&amp;账期起,入库单!$C$4:$C$2503,"&lt;="&amp;账期止)+COUNTIFS(出库单!$D$4:$D$4003,$A672,出库单!$K$4:$K$4003,"盘亏",出库单!$C$4:$C$4003,"&gt;="&amp;账期起,出库单!$C$4:$C$4003,"&lt;="&amp;账期止)&gt;0,"已调账","※差异还没调账")))</f>
        <v/>
      </c>
      <c r="Q672" s="17" t="n"/>
      <c r="R672" s="17" t="n"/>
    </row>
    <row r="673">
      <c r="A673" s="24">
        <f>IF(库存台账!$A673="","",库存台账!$A673)</f>
        <v/>
      </c>
      <c r="B673" s="24">
        <f>IF($A673="","",库存台账!$B673)</f>
        <v/>
      </c>
      <c r="C673" s="24">
        <f>IF($A673="","",库存台账!$C673)</f>
        <v/>
      </c>
      <c r="D673" s="24">
        <f>IF($A673="","",库存台账!$D673)</f>
        <v/>
      </c>
      <c r="E673" s="24">
        <f>IF($A673="","",库存台账!$E673)</f>
        <v/>
      </c>
      <c r="F673" s="24">
        <f>IF($A673="","",库存台账!$F673)</f>
        <v/>
      </c>
      <c r="G673" s="17" t="n"/>
      <c r="H673" s="23" t="n"/>
      <c r="I673" s="27">
        <f>IF($A673="","",库存台账!$X673)</f>
        <v/>
      </c>
      <c r="J673" s="27">
        <f>IF(OR($A673="",$H673=""),"",ROUND($H673-$I673,3))</f>
        <v/>
      </c>
      <c r="K673" s="26">
        <f>IF($A673="","",库存台账!$K673)</f>
        <v/>
      </c>
      <c r="L673" s="26">
        <f>IF($J673="","",ROUND($J673*$K673,0))</f>
        <v/>
      </c>
      <c r="M673" s="37">
        <f>IF(OR($J673="",$I673=0),"",ROUND($J673/$I673,4))</f>
        <v/>
      </c>
      <c r="N673" s="17" t="n"/>
      <c r="O673" s="17" t="n"/>
      <c r="P673" s="24">
        <f>IF($J673="","未盘",IF(ROUND($J673,3)=0,"账实相符",IF(COUNTIFS(入库单!$G$4:$G$2503,$A673,入库单!$X$4:$X$2503,"盘盈",入库单!$C$4:$C$2503,"&gt;="&amp;账期起,入库单!$C$4:$C$2503,"&lt;="&amp;账期止)+COUNTIFS(出库单!$D$4:$D$4003,$A673,出库单!$K$4:$K$4003,"盘亏",出库单!$C$4:$C$4003,"&gt;="&amp;账期起,出库单!$C$4:$C$4003,"&lt;="&amp;账期止)&gt;0,"已调账","※差异还没调账")))</f>
        <v/>
      </c>
      <c r="Q673" s="17" t="n"/>
      <c r="R673" s="17" t="n"/>
    </row>
    <row r="674">
      <c r="A674" s="24">
        <f>IF(库存台账!$A674="","",库存台账!$A674)</f>
        <v/>
      </c>
      <c r="B674" s="24">
        <f>IF($A674="","",库存台账!$B674)</f>
        <v/>
      </c>
      <c r="C674" s="24">
        <f>IF($A674="","",库存台账!$C674)</f>
        <v/>
      </c>
      <c r="D674" s="24">
        <f>IF($A674="","",库存台账!$D674)</f>
        <v/>
      </c>
      <c r="E674" s="24">
        <f>IF($A674="","",库存台账!$E674)</f>
        <v/>
      </c>
      <c r="F674" s="24">
        <f>IF($A674="","",库存台账!$F674)</f>
        <v/>
      </c>
      <c r="G674" s="17" t="n"/>
      <c r="H674" s="23" t="n"/>
      <c r="I674" s="27">
        <f>IF($A674="","",库存台账!$X674)</f>
        <v/>
      </c>
      <c r="J674" s="27">
        <f>IF(OR($A674="",$H674=""),"",ROUND($H674-$I674,3))</f>
        <v/>
      </c>
      <c r="K674" s="26">
        <f>IF($A674="","",库存台账!$K674)</f>
        <v/>
      </c>
      <c r="L674" s="26">
        <f>IF($J674="","",ROUND($J674*$K674,0))</f>
        <v/>
      </c>
      <c r="M674" s="37">
        <f>IF(OR($J674="",$I674=0),"",ROUND($J674/$I674,4))</f>
        <v/>
      </c>
      <c r="N674" s="17" t="n"/>
      <c r="O674" s="17" t="n"/>
      <c r="P674" s="24">
        <f>IF($J674="","未盘",IF(ROUND($J674,3)=0,"账实相符",IF(COUNTIFS(入库单!$G$4:$G$2503,$A674,入库单!$X$4:$X$2503,"盘盈",入库单!$C$4:$C$2503,"&gt;="&amp;账期起,入库单!$C$4:$C$2503,"&lt;="&amp;账期止)+COUNTIFS(出库单!$D$4:$D$4003,$A674,出库单!$K$4:$K$4003,"盘亏",出库单!$C$4:$C$4003,"&gt;="&amp;账期起,出库单!$C$4:$C$4003,"&lt;="&amp;账期止)&gt;0,"已调账","※差异还没调账")))</f>
        <v/>
      </c>
      <c r="Q674" s="17" t="n"/>
      <c r="R674" s="17" t="n"/>
    </row>
    <row r="675">
      <c r="A675" s="24">
        <f>IF(库存台账!$A675="","",库存台账!$A675)</f>
        <v/>
      </c>
      <c r="B675" s="24">
        <f>IF($A675="","",库存台账!$B675)</f>
        <v/>
      </c>
      <c r="C675" s="24">
        <f>IF($A675="","",库存台账!$C675)</f>
        <v/>
      </c>
      <c r="D675" s="24">
        <f>IF($A675="","",库存台账!$D675)</f>
        <v/>
      </c>
      <c r="E675" s="24">
        <f>IF($A675="","",库存台账!$E675)</f>
        <v/>
      </c>
      <c r="F675" s="24">
        <f>IF($A675="","",库存台账!$F675)</f>
        <v/>
      </c>
      <c r="G675" s="17" t="n"/>
      <c r="H675" s="23" t="n"/>
      <c r="I675" s="27">
        <f>IF($A675="","",库存台账!$X675)</f>
        <v/>
      </c>
      <c r="J675" s="27">
        <f>IF(OR($A675="",$H675=""),"",ROUND($H675-$I675,3))</f>
        <v/>
      </c>
      <c r="K675" s="26">
        <f>IF($A675="","",库存台账!$K675)</f>
        <v/>
      </c>
      <c r="L675" s="26">
        <f>IF($J675="","",ROUND($J675*$K675,0))</f>
        <v/>
      </c>
      <c r="M675" s="37">
        <f>IF(OR($J675="",$I675=0),"",ROUND($J675/$I675,4))</f>
        <v/>
      </c>
      <c r="N675" s="17" t="n"/>
      <c r="O675" s="17" t="n"/>
      <c r="P675" s="24">
        <f>IF($J675="","未盘",IF(ROUND($J675,3)=0,"账实相符",IF(COUNTIFS(入库单!$G$4:$G$2503,$A675,入库单!$X$4:$X$2503,"盘盈",入库单!$C$4:$C$2503,"&gt;="&amp;账期起,入库单!$C$4:$C$2503,"&lt;="&amp;账期止)+COUNTIFS(出库单!$D$4:$D$4003,$A675,出库单!$K$4:$K$4003,"盘亏",出库单!$C$4:$C$4003,"&gt;="&amp;账期起,出库单!$C$4:$C$4003,"&lt;="&amp;账期止)&gt;0,"已调账","※差异还没调账")))</f>
        <v/>
      </c>
      <c r="Q675" s="17" t="n"/>
      <c r="R675" s="17" t="n"/>
    </row>
    <row r="676">
      <c r="A676" s="24">
        <f>IF(库存台账!$A676="","",库存台账!$A676)</f>
        <v/>
      </c>
      <c r="B676" s="24">
        <f>IF($A676="","",库存台账!$B676)</f>
        <v/>
      </c>
      <c r="C676" s="24">
        <f>IF($A676="","",库存台账!$C676)</f>
        <v/>
      </c>
      <c r="D676" s="24">
        <f>IF($A676="","",库存台账!$D676)</f>
        <v/>
      </c>
      <c r="E676" s="24">
        <f>IF($A676="","",库存台账!$E676)</f>
        <v/>
      </c>
      <c r="F676" s="24">
        <f>IF($A676="","",库存台账!$F676)</f>
        <v/>
      </c>
      <c r="G676" s="17" t="n"/>
      <c r="H676" s="23" t="n"/>
      <c r="I676" s="27">
        <f>IF($A676="","",库存台账!$X676)</f>
        <v/>
      </c>
      <c r="J676" s="27">
        <f>IF(OR($A676="",$H676=""),"",ROUND($H676-$I676,3))</f>
        <v/>
      </c>
      <c r="K676" s="26">
        <f>IF($A676="","",库存台账!$K676)</f>
        <v/>
      </c>
      <c r="L676" s="26">
        <f>IF($J676="","",ROUND($J676*$K676,0))</f>
        <v/>
      </c>
      <c r="M676" s="37">
        <f>IF(OR($J676="",$I676=0),"",ROUND($J676/$I676,4))</f>
        <v/>
      </c>
      <c r="N676" s="17" t="n"/>
      <c r="O676" s="17" t="n"/>
      <c r="P676" s="24">
        <f>IF($J676="","未盘",IF(ROUND($J676,3)=0,"账实相符",IF(COUNTIFS(入库单!$G$4:$G$2503,$A676,入库单!$X$4:$X$2503,"盘盈",入库单!$C$4:$C$2503,"&gt;="&amp;账期起,入库单!$C$4:$C$2503,"&lt;="&amp;账期止)+COUNTIFS(出库单!$D$4:$D$4003,$A676,出库单!$K$4:$K$4003,"盘亏",出库单!$C$4:$C$4003,"&gt;="&amp;账期起,出库单!$C$4:$C$4003,"&lt;="&amp;账期止)&gt;0,"已调账","※差异还没调账")))</f>
        <v/>
      </c>
      <c r="Q676" s="17" t="n"/>
      <c r="R676" s="17" t="n"/>
    </row>
    <row r="677">
      <c r="A677" s="24">
        <f>IF(库存台账!$A677="","",库存台账!$A677)</f>
        <v/>
      </c>
      <c r="B677" s="24">
        <f>IF($A677="","",库存台账!$B677)</f>
        <v/>
      </c>
      <c r="C677" s="24">
        <f>IF($A677="","",库存台账!$C677)</f>
        <v/>
      </c>
      <c r="D677" s="24">
        <f>IF($A677="","",库存台账!$D677)</f>
        <v/>
      </c>
      <c r="E677" s="24">
        <f>IF($A677="","",库存台账!$E677)</f>
        <v/>
      </c>
      <c r="F677" s="24">
        <f>IF($A677="","",库存台账!$F677)</f>
        <v/>
      </c>
      <c r="G677" s="17" t="n"/>
      <c r="H677" s="23" t="n"/>
      <c r="I677" s="27">
        <f>IF($A677="","",库存台账!$X677)</f>
        <v/>
      </c>
      <c r="J677" s="27">
        <f>IF(OR($A677="",$H677=""),"",ROUND($H677-$I677,3))</f>
        <v/>
      </c>
      <c r="K677" s="26">
        <f>IF($A677="","",库存台账!$K677)</f>
        <v/>
      </c>
      <c r="L677" s="26">
        <f>IF($J677="","",ROUND($J677*$K677,0))</f>
        <v/>
      </c>
      <c r="M677" s="37">
        <f>IF(OR($J677="",$I677=0),"",ROUND($J677/$I677,4))</f>
        <v/>
      </c>
      <c r="N677" s="17" t="n"/>
      <c r="O677" s="17" t="n"/>
      <c r="P677" s="24">
        <f>IF($J677="","未盘",IF(ROUND($J677,3)=0,"账实相符",IF(COUNTIFS(入库单!$G$4:$G$2503,$A677,入库单!$X$4:$X$2503,"盘盈",入库单!$C$4:$C$2503,"&gt;="&amp;账期起,入库单!$C$4:$C$2503,"&lt;="&amp;账期止)+COUNTIFS(出库单!$D$4:$D$4003,$A677,出库单!$K$4:$K$4003,"盘亏",出库单!$C$4:$C$4003,"&gt;="&amp;账期起,出库单!$C$4:$C$4003,"&lt;="&amp;账期止)&gt;0,"已调账","※差异还没调账")))</f>
        <v/>
      </c>
      <c r="Q677" s="17" t="n"/>
      <c r="R677" s="17" t="n"/>
    </row>
    <row r="678">
      <c r="A678" s="24">
        <f>IF(库存台账!$A678="","",库存台账!$A678)</f>
        <v/>
      </c>
      <c r="B678" s="24">
        <f>IF($A678="","",库存台账!$B678)</f>
        <v/>
      </c>
      <c r="C678" s="24">
        <f>IF($A678="","",库存台账!$C678)</f>
        <v/>
      </c>
      <c r="D678" s="24">
        <f>IF($A678="","",库存台账!$D678)</f>
        <v/>
      </c>
      <c r="E678" s="24">
        <f>IF($A678="","",库存台账!$E678)</f>
        <v/>
      </c>
      <c r="F678" s="24">
        <f>IF($A678="","",库存台账!$F678)</f>
        <v/>
      </c>
      <c r="G678" s="17" t="n"/>
      <c r="H678" s="23" t="n"/>
      <c r="I678" s="27">
        <f>IF($A678="","",库存台账!$X678)</f>
        <v/>
      </c>
      <c r="J678" s="27">
        <f>IF(OR($A678="",$H678=""),"",ROUND($H678-$I678,3))</f>
        <v/>
      </c>
      <c r="K678" s="26">
        <f>IF($A678="","",库存台账!$K678)</f>
        <v/>
      </c>
      <c r="L678" s="26">
        <f>IF($J678="","",ROUND($J678*$K678,0))</f>
        <v/>
      </c>
      <c r="M678" s="37">
        <f>IF(OR($J678="",$I678=0),"",ROUND($J678/$I678,4))</f>
        <v/>
      </c>
      <c r="N678" s="17" t="n"/>
      <c r="O678" s="17" t="n"/>
      <c r="P678" s="24">
        <f>IF($J678="","未盘",IF(ROUND($J678,3)=0,"账实相符",IF(COUNTIFS(入库单!$G$4:$G$2503,$A678,入库单!$X$4:$X$2503,"盘盈",入库单!$C$4:$C$2503,"&gt;="&amp;账期起,入库单!$C$4:$C$2503,"&lt;="&amp;账期止)+COUNTIFS(出库单!$D$4:$D$4003,$A678,出库单!$K$4:$K$4003,"盘亏",出库单!$C$4:$C$4003,"&gt;="&amp;账期起,出库单!$C$4:$C$4003,"&lt;="&amp;账期止)&gt;0,"已调账","※差异还没调账")))</f>
        <v/>
      </c>
      <c r="Q678" s="17" t="n"/>
      <c r="R678" s="17" t="n"/>
    </row>
    <row r="679">
      <c r="A679" s="24">
        <f>IF(库存台账!$A679="","",库存台账!$A679)</f>
        <v/>
      </c>
      <c r="B679" s="24">
        <f>IF($A679="","",库存台账!$B679)</f>
        <v/>
      </c>
      <c r="C679" s="24">
        <f>IF($A679="","",库存台账!$C679)</f>
        <v/>
      </c>
      <c r="D679" s="24">
        <f>IF($A679="","",库存台账!$D679)</f>
        <v/>
      </c>
      <c r="E679" s="24">
        <f>IF($A679="","",库存台账!$E679)</f>
        <v/>
      </c>
      <c r="F679" s="24">
        <f>IF($A679="","",库存台账!$F679)</f>
        <v/>
      </c>
      <c r="G679" s="17" t="n"/>
      <c r="H679" s="23" t="n"/>
      <c r="I679" s="27">
        <f>IF($A679="","",库存台账!$X679)</f>
        <v/>
      </c>
      <c r="J679" s="27">
        <f>IF(OR($A679="",$H679=""),"",ROUND($H679-$I679,3))</f>
        <v/>
      </c>
      <c r="K679" s="26">
        <f>IF($A679="","",库存台账!$K679)</f>
        <v/>
      </c>
      <c r="L679" s="26">
        <f>IF($J679="","",ROUND($J679*$K679,0))</f>
        <v/>
      </c>
      <c r="M679" s="37">
        <f>IF(OR($J679="",$I679=0),"",ROUND($J679/$I679,4))</f>
        <v/>
      </c>
      <c r="N679" s="17" t="n"/>
      <c r="O679" s="17" t="n"/>
      <c r="P679" s="24">
        <f>IF($J679="","未盘",IF(ROUND($J679,3)=0,"账实相符",IF(COUNTIFS(入库单!$G$4:$G$2503,$A679,入库单!$X$4:$X$2503,"盘盈",入库单!$C$4:$C$2503,"&gt;="&amp;账期起,入库单!$C$4:$C$2503,"&lt;="&amp;账期止)+COUNTIFS(出库单!$D$4:$D$4003,$A679,出库单!$K$4:$K$4003,"盘亏",出库单!$C$4:$C$4003,"&gt;="&amp;账期起,出库单!$C$4:$C$4003,"&lt;="&amp;账期止)&gt;0,"已调账","※差异还没调账")))</f>
        <v/>
      </c>
      <c r="Q679" s="17" t="n"/>
      <c r="R679" s="17" t="n"/>
    </row>
    <row r="680">
      <c r="A680" s="24">
        <f>IF(库存台账!$A680="","",库存台账!$A680)</f>
        <v/>
      </c>
      <c r="B680" s="24">
        <f>IF($A680="","",库存台账!$B680)</f>
        <v/>
      </c>
      <c r="C680" s="24">
        <f>IF($A680="","",库存台账!$C680)</f>
        <v/>
      </c>
      <c r="D680" s="24">
        <f>IF($A680="","",库存台账!$D680)</f>
        <v/>
      </c>
      <c r="E680" s="24">
        <f>IF($A680="","",库存台账!$E680)</f>
        <v/>
      </c>
      <c r="F680" s="24">
        <f>IF($A680="","",库存台账!$F680)</f>
        <v/>
      </c>
      <c r="G680" s="17" t="n"/>
      <c r="H680" s="23" t="n"/>
      <c r="I680" s="27">
        <f>IF($A680="","",库存台账!$X680)</f>
        <v/>
      </c>
      <c r="J680" s="27">
        <f>IF(OR($A680="",$H680=""),"",ROUND($H680-$I680,3))</f>
        <v/>
      </c>
      <c r="K680" s="26">
        <f>IF($A680="","",库存台账!$K680)</f>
        <v/>
      </c>
      <c r="L680" s="26">
        <f>IF($J680="","",ROUND($J680*$K680,0))</f>
        <v/>
      </c>
      <c r="M680" s="37">
        <f>IF(OR($J680="",$I680=0),"",ROUND($J680/$I680,4))</f>
        <v/>
      </c>
      <c r="N680" s="17" t="n"/>
      <c r="O680" s="17" t="n"/>
      <c r="P680" s="24">
        <f>IF($J680="","未盘",IF(ROUND($J680,3)=0,"账实相符",IF(COUNTIFS(入库单!$G$4:$G$2503,$A680,入库单!$X$4:$X$2503,"盘盈",入库单!$C$4:$C$2503,"&gt;="&amp;账期起,入库单!$C$4:$C$2503,"&lt;="&amp;账期止)+COUNTIFS(出库单!$D$4:$D$4003,$A680,出库单!$K$4:$K$4003,"盘亏",出库单!$C$4:$C$4003,"&gt;="&amp;账期起,出库单!$C$4:$C$4003,"&lt;="&amp;账期止)&gt;0,"已调账","※差异还没调账")))</f>
        <v/>
      </c>
      <c r="Q680" s="17" t="n"/>
      <c r="R680" s="17" t="n"/>
    </row>
    <row r="681">
      <c r="A681" s="24">
        <f>IF(库存台账!$A681="","",库存台账!$A681)</f>
        <v/>
      </c>
      <c r="B681" s="24">
        <f>IF($A681="","",库存台账!$B681)</f>
        <v/>
      </c>
      <c r="C681" s="24">
        <f>IF($A681="","",库存台账!$C681)</f>
        <v/>
      </c>
      <c r="D681" s="24">
        <f>IF($A681="","",库存台账!$D681)</f>
        <v/>
      </c>
      <c r="E681" s="24">
        <f>IF($A681="","",库存台账!$E681)</f>
        <v/>
      </c>
      <c r="F681" s="24">
        <f>IF($A681="","",库存台账!$F681)</f>
        <v/>
      </c>
      <c r="G681" s="17" t="n"/>
      <c r="H681" s="23" t="n"/>
      <c r="I681" s="27">
        <f>IF($A681="","",库存台账!$X681)</f>
        <v/>
      </c>
      <c r="J681" s="27">
        <f>IF(OR($A681="",$H681=""),"",ROUND($H681-$I681,3))</f>
        <v/>
      </c>
      <c r="K681" s="26">
        <f>IF($A681="","",库存台账!$K681)</f>
        <v/>
      </c>
      <c r="L681" s="26">
        <f>IF($J681="","",ROUND($J681*$K681,0))</f>
        <v/>
      </c>
      <c r="M681" s="37">
        <f>IF(OR($J681="",$I681=0),"",ROUND($J681/$I681,4))</f>
        <v/>
      </c>
      <c r="N681" s="17" t="n"/>
      <c r="O681" s="17" t="n"/>
      <c r="P681" s="24">
        <f>IF($J681="","未盘",IF(ROUND($J681,3)=0,"账实相符",IF(COUNTIFS(入库单!$G$4:$G$2503,$A681,入库单!$X$4:$X$2503,"盘盈",入库单!$C$4:$C$2503,"&gt;="&amp;账期起,入库单!$C$4:$C$2503,"&lt;="&amp;账期止)+COUNTIFS(出库单!$D$4:$D$4003,$A681,出库单!$K$4:$K$4003,"盘亏",出库单!$C$4:$C$4003,"&gt;="&amp;账期起,出库单!$C$4:$C$4003,"&lt;="&amp;账期止)&gt;0,"已调账","※差异还没调账")))</f>
        <v/>
      </c>
      <c r="Q681" s="17" t="n"/>
      <c r="R681" s="17" t="n"/>
    </row>
    <row r="682">
      <c r="A682" s="24">
        <f>IF(库存台账!$A682="","",库存台账!$A682)</f>
        <v/>
      </c>
      <c r="B682" s="24">
        <f>IF($A682="","",库存台账!$B682)</f>
        <v/>
      </c>
      <c r="C682" s="24">
        <f>IF($A682="","",库存台账!$C682)</f>
        <v/>
      </c>
      <c r="D682" s="24">
        <f>IF($A682="","",库存台账!$D682)</f>
        <v/>
      </c>
      <c r="E682" s="24">
        <f>IF($A682="","",库存台账!$E682)</f>
        <v/>
      </c>
      <c r="F682" s="24">
        <f>IF($A682="","",库存台账!$F682)</f>
        <v/>
      </c>
      <c r="G682" s="17" t="n"/>
      <c r="H682" s="23" t="n"/>
      <c r="I682" s="27">
        <f>IF($A682="","",库存台账!$X682)</f>
        <v/>
      </c>
      <c r="J682" s="27">
        <f>IF(OR($A682="",$H682=""),"",ROUND($H682-$I682,3))</f>
        <v/>
      </c>
      <c r="K682" s="26">
        <f>IF($A682="","",库存台账!$K682)</f>
        <v/>
      </c>
      <c r="L682" s="26">
        <f>IF($J682="","",ROUND($J682*$K682,0))</f>
        <v/>
      </c>
      <c r="M682" s="37">
        <f>IF(OR($J682="",$I682=0),"",ROUND($J682/$I682,4))</f>
        <v/>
      </c>
      <c r="N682" s="17" t="n"/>
      <c r="O682" s="17" t="n"/>
      <c r="P682" s="24">
        <f>IF($J682="","未盘",IF(ROUND($J682,3)=0,"账实相符",IF(COUNTIFS(入库单!$G$4:$G$2503,$A682,入库单!$X$4:$X$2503,"盘盈",入库单!$C$4:$C$2503,"&gt;="&amp;账期起,入库单!$C$4:$C$2503,"&lt;="&amp;账期止)+COUNTIFS(出库单!$D$4:$D$4003,$A682,出库单!$K$4:$K$4003,"盘亏",出库单!$C$4:$C$4003,"&gt;="&amp;账期起,出库单!$C$4:$C$4003,"&lt;="&amp;账期止)&gt;0,"已调账","※差异还没调账")))</f>
        <v/>
      </c>
      <c r="Q682" s="17" t="n"/>
      <c r="R682" s="17" t="n"/>
    </row>
    <row r="683">
      <c r="A683" s="24">
        <f>IF(库存台账!$A683="","",库存台账!$A683)</f>
        <v/>
      </c>
      <c r="B683" s="24">
        <f>IF($A683="","",库存台账!$B683)</f>
        <v/>
      </c>
      <c r="C683" s="24">
        <f>IF($A683="","",库存台账!$C683)</f>
        <v/>
      </c>
      <c r="D683" s="24">
        <f>IF($A683="","",库存台账!$D683)</f>
        <v/>
      </c>
      <c r="E683" s="24">
        <f>IF($A683="","",库存台账!$E683)</f>
        <v/>
      </c>
      <c r="F683" s="24">
        <f>IF($A683="","",库存台账!$F683)</f>
        <v/>
      </c>
      <c r="G683" s="17" t="n"/>
      <c r="H683" s="23" t="n"/>
      <c r="I683" s="27">
        <f>IF($A683="","",库存台账!$X683)</f>
        <v/>
      </c>
      <c r="J683" s="27">
        <f>IF(OR($A683="",$H683=""),"",ROUND($H683-$I683,3))</f>
        <v/>
      </c>
      <c r="K683" s="26">
        <f>IF($A683="","",库存台账!$K683)</f>
        <v/>
      </c>
      <c r="L683" s="26">
        <f>IF($J683="","",ROUND($J683*$K683,0))</f>
        <v/>
      </c>
      <c r="M683" s="37">
        <f>IF(OR($J683="",$I683=0),"",ROUND($J683/$I683,4))</f>
        <v/>
      </c>
      <c r="N683" s="17" t="n"/>
      <c r="O683" s="17" t="n"/>
      <c r="P683" s="24">
        <f>IF($J683="","未盘",IF(ROUND($J683,3)=0,"账实相符",IF(COUNTIFS(入库单!$G$4:$G$2503,$A683,入库单!$X$4:$X$2503,"盘盈",入库单!$C$4:$C$2503,"&gt;="&amp;账期起,入库单!$C$4:$C$2503,"&lt;="&amp;账期止)+COUNTIFS(出库单!$D$4:$D$4003,$A683,出库单!$K$4:$K$4003,"盘亏",出库单!$C$4:$C$4003,"&gt;="&amp;账期起,出库单!$C$4:$C$4003,"&lt;="&amp;账期止)&gt;0,"已调账","※差异还没调账")))</f>
        <v/>
      </c>
      <c r="Q683" s="17" t="n"/>
      <c r="R683" s="17" t="n"/>
    </row>
    <row r="684">
      <c r="A684" s="24">
        <f>IF(库存台账!$A684="","",库存台账!$A684)</f>
        <v/>
      </c>
      <c r="B684" s="24">
        <f>IF($A684="","",库存台账!$B684)</f>
        <v/>
      </c>
      <c r="C684" s="24">
        <f>IF($A684="","",库存台账!$C684)</f>
        <v/>
      </c>
      <c r="D684" s="24">
        <f>IF($A684="","",库存台账!$D684)</f>
        <v/>
      </c>
      <c r="E684" s="24">
        <f>IF($A684="","",库存台账!$E684)</f>
        <v/>
      </c>
      <c r="F684" s="24">
        <f>IF($A684="","",库存台账!$F684)</f>
        <v/>
      </c>
      <c r="G684" s="17" t="n"/>
      <c r="H684" s="23" t="n"/>
      <c r="I684" s="27">
        <f>IF($A684="","",库存台账!$X684)</f>
        <v/>
      </c>
      <c r="J684" s="27">
        <f>IF(OR($A684="",$H684=""),"",ROUND($H684-$I684,3))</f>
        <v/>
      </c>
      <c r="K684" s="26">
        <f>IF($A684="","",库存台账!$K684)</f>
        <v/>
      </c>
      <c r="L684" s="26">
        <f>IF($J684="","",ROUND($J684*$K684,0))</f>
        <v/>
      </c>
      <c r="M684" s="37">
        <f>IF(OR($J684="",$I684=0),"",ROUND($J684/$I684,4))</f>
        <v/>
      </c>
      <c r="N684" s="17" t="n"/>
      <c r="O684" s="17" t="n"/>
      <c r="P684" s="24">
        <f>IF($J684="","未盘",IF(ROUND($J684,3)=0,"账实相符",IF(COUNTIFS(入库单!$G$4:$G$2503,$A684,入库单!$X$4:$X$2503,"盘盈",入库单!$C$4:$C$2503,"&gt;="&amp;账期起,入库单!$C$4:$C$2503,"&lt;="&amp;账期止)+COUNTIFS(出库单!$D$4:$D$4003,$A684,出库单!$K$4:$K$4003,"盘亏",出库单!$C$4:$C$4003,"&gt;="&amp;账期起,出库单!$C$4:$C$4003,"&lt;="&amp;账期止)&gt;0,"已调账","※差异还没调账")))</f>
        <v/>
      </c>
      <c r="Q684" s="17" t="n"/>
      <c r="R684" s="17" t="n"/>
    </row>
    <row r="685">
      <c r="A685" s="24">
        <f>IF(库存台账!$A685="","",库存台账!$A685)</f>
        <v/>
      </c>
      <c r="B685" s="24">
        <f>IF($A685="","",库存台账!$B685)</f>
        <v/>
      </c>
      <c r="C685" s="24">
        <f>IF($A685="","",库存台账!$C685)</f>
        <v/>
      </c>
      <c r="D685" s="24">
        <f>IF($A685="","",库存台账!$D685)</f>
        <v/>
      </c>
      <c r="E685" s="24">
        <f>IF($A685="","",库存台账!$E685)</f>
        <v/>
      </c>
      <c r="F685" s="24">
        <f>IF($A685="","",库存台账!$F685)</f>
        <v/>
      </c>
      <c r="G685" s="17" t="n"/>
      <c r="H685" s="23" t="n"/>
      <c r="I685" s="27">
        <f>IF($A685="","",库存台账!$X685)</f>
        <v/>
      </c>
      <c r="J685" s="27">
        <f>IF(OR($A685="",$H685=""),"",ROUND($H685-$I685,3))</f>
        <v/>
      </c>
      <c r="K685" s="26">
        <f>IF($A685="","",库存台账!$K685)</f>
        <v/>
      </c>
      <c r="L685" s="26">
        <f>IF($J685="","",ROUND($J685*$K685,0))</f>
        <v/>
      </c>
      <c r="M685" s="37">
        <f>IF(OR($J685="",$I685=0),"",ROUND($J685/$I685,4))</f>
        <v/>
      </c>
      <c r="N685" s="17" t="n"/>
      <c r="O685" s="17" t="n"/>
      <c r="P685" s="24">
        <f>IF($J685="","未盘",IF(ROUND($J685,3)=0,"账实相符",IF(COUNTIFS(入库单!$G$4:$G$2503,$A685,入库单!$X$4:$X$2503,"盘盈",入库单!$C$4:$C$2503,"&gt;="&amp;账期起,入库单!$C$4:$C$2503,"&lt;="&amp;账期止)+COUNTIFS(出库单!$D$4:$D$4003,$A685,出库单!$K$4:$K$4003,"盘亏",出库单!$C$4:$C$4003,"&gt;="&amp;账期起,出库单!$C$4:$C$4003,"&lt;="&amp;账期止)&gt;0,"已调账","※差异还没调账")))</f>
        <v/>
      </c>
      <c r="Q685" s="17" t="n"/>
      <c r="R685" s="17" t="n"/>
    </row>
    <row r="686">
      <c r="A686" s="24">
        <f>IF(库存台账!$A686="","",库存台账!$A686)</f>
        <v/>
      </c>
      <c r="B686" s="24">
        <f>IF($A686="","",库存台账!$B686)</f>
        <v/>
      </c>
      <c r="C686" s="24">
        <f>IF($A686="","",库存台账!$C686)</f>
        <v/>
      </c>
      <c r="D686" s="24">
        <f>IF($A686="","",库存台账!$D686)</f>
        <v/>
      </c>
      <c r="E686" s="24">
        <f>IF($A686="","",库存台账!$E686)</f>
        <v/>
      </c>
      <c r="F686" s="24">
        <f>IF($A686="","",库存台账!$F686)</f>
        <v/>
      </c>
      <c r="G686" s="17" t="n"/>
      <c r="H686" s="23" t="n"/>
      <c r="I686" s="27">
        <f>IF($A686="","",库存台账!$X686)</f>
        <v/>
      </c>
      <c r="J686" s="27">
        <f>IF(OR($A686="",$H686=""),"",ROUND($H686-$I686,3))</f>
        <v/>
      </c>
      <c r="K686" s="26">
        <f>IF($A686="","",库存台账!$K686)</f>
        <v/>
      </c>
      <c r="L686" s="26">
        <f>IF($J686="","",ROUND($J686*$K686,0))</f>
        <v/>
      </c>
      <c r="M686" s="37">
        <f>IF(OR($J686="",$I686=0),"",ROUND($J686/$I686,4))</f>
        <v/>
      </c>
      <c r="N686" s="17" t="n"/>
      <c r="O686" s="17" t="n"/>
      <c r="P686" s="24">
        <f>IF($J686="","未盘",IF(ROUND($J686,3)=0,"账实相符",IF(COUNTIFS(入库单!$G$4:$G$2503,$A686,入库单!$X$4:$X$2503,"盘盈",入库单!$C$4:$C$2503,"&gt;="&amp;账期起,入库单!$C$4:$C$2503,"&lt;="&amp;账期止)+COUNTIFS(出库单!$D$4:$D$4003,$A686,出库单!$K$4:$K$4003,"盘亏",出库单!$C$4:$C$4003,"&gt;="&amp;账期起,出库单!$C$4:$C$4003,"&lt;="&amp;账期止)&gt;0,"已调账","※差异还没调账")))</f>
        <v/>
      </c>
      <c r="Q686" s="17" t="n"/>
      <c r="R686" s="17" t="n"/>
    </row>
    <row r="687">
      <c r="A687" s="24">
        <f>IF(库存台账!$A687="","",库存台账!$A687)</f>
        <v/>
      </c>
      <c r="B687" s="24">
        <f>IF($A687="","",库存台账!$B687)</f>
        <v/>
      </c>
      <c r="C687" s="24">
        <f>IF($A687="","",库存台账!$C687)</f>
        <v/>
      </c>
      <c r="D687" s="24">
        <f>IF($A687="","",库存台账!$D687)</f>
        <v/>
      </c>
      <c r="E687" s="24">
        <f>IF($A687="","",库存台账!$E687)</f>
        <v/>
      </c>
      <c r="F687" s="24">
        <f>IF($A687="","",库存台账!$F687)</f>
        <v/>
      </c>
      <c r="G687" s="17" t="n"/>
      <c r="H687" s="23" t="n"/>
      <c r="I687" s="27">
        <f>IF($A687="","",库存台账!$X687)</f>
        <v/>
      </c>
      <c r="J687" s="27">
        <f>IF(OR($A687="",$H687=""),"",ROUND($H687-$I687,3))</f>
        <v/>
      </c>
      <c r="K687" s="26">
        <f>IF($A687="","",库存台账!$K687)</f>
        <v/>
      </c>
      <c r="L687" s="26">
        <f>IF($J687="","",ROUND($J687*$K687,0))</f>
        <v/>
      </c>
      <c r="M687" s="37">
        <f>IF(OR($J687="",$I687=0),"",ROUND($J687/$I687,4))</f>
        <v/>
      </c>
      <c r="N687" s="17" t="n"/>
      <c r="O687" s="17" t="n"/>
      <c r="P687" s="24">
        <f>IF($J687="","未盘",IF(ROUND($J687,3)=0,"账实相符",IF(COUNTIFS(入库单!$G$4:$G$2503,$A687,入库单!$X$4:$X$2503,"盘盈",入库单!$C$4:$C$2503,"&gt;="&amp;账期起,入库单!$C$4:$C$2503,"&lt;="&amp;账期止)+COUNTIFS(出库单!$D$4:$D$4003,$A687,出库单!$K$4:$K$4003,"盘亏",出库单!$C$4:$C$4003,"&gt;="&amp;账期起,出库单!$C$4:$C$4003,"&lt;="&amp;账期止)&gt;0,"已调账","※差异还没调账")))</f>
        <v/>
      </c>
      <c r="Q687" s="17" t="n"/>
      <c r="R687" s="17" t="n"/>
    </row>
    <row r="688">
      <c r="A688" s="24">
        <f>IF(库存台账!$A688="","",库存台账!$A688)</f>
        <v/>
      </c>
      <c r="B688" s="24">
        <f>IF($A688="","",库存台账!$B688)</f>
        <v/>
      </c>
      <c r="C688" s="24">
        <f>IF($A688="","",库存台账!$C688)</f>
        <v/>
      </c>
      <c r="D688" s="24">
        <f>IF($A688="","",库存台账!$D688)</f>
        <v/>
      </c>
      <c r="E688" s="24">
        <f>IF($A688="","",库存台账!$E688)</f>
        <v/>
      </c>
      <c r="F688" s="24">
        <f>IF($A688="","",库存台账!$F688)</f>
        <v/>
      </c>
      <c r="G688" s="17" t="n"/>
      <c r="H688" s="23" t="n"/>
      <c r="I688" s="27">
        <f>IF($A688="","",库存台账!$X688)</f>
        <v/>
      </c>
      <c r="J688" s="27">
        <f>IF(OR($A688="",$H688=""),"",ROUND($H688-$I688,3))</f>
        <v/>
      </c>
      <c r="K688" s="26">
        <f>IF($A688="","",库存台账!$K688)</f>
        <v/>
      </c>
      <c r="L688" s="26">
        <f>IF($J688="","",ROUND($J688*$K688,0))</f>
        <v/>
      </c>
      <c r="M688" s="37">
        <f>IF(OR($J688="",$I688=0),"",ROUND($J688/$I688,4))</f>
        <v/>
      </c>
      <c r="N688" s="17" t="n"/>
      <c r="O688" s="17" t="n"/>
      <c r="P688" s="24">
        <f>IF($J688="","未盘",IF(ROUND($J688,3)=0,"账实相符",IF(COUNTIFS(入库单!$G$4:$G$2503,$A688,入库单!$X$4:$X$2503,"盘盈",入库单!$C$4:$C$2503,"&gt;="&amp;账期起,入库单!$C$4:$C$2503,"&lt;="&amp;账期止)+COUNTIFS(出库单!$D$4:$D$4003,$A688,出库单!$K$4:$K$4003,"盘亏",出库单!$C$4:$C$4003,"&gt;="&amp;账期起,出库单!$C$4:$C$4003,"&lt;="&amp;账期止)&gt;0,"已调账","※差异还没调账")))</f>
        <v/>
      </c>
      <c r="Q688" s="17" t="n"/>
      <c r="R688" s="17" t="n"/>
    </row>
    <row r="689">
      <c r="A689" s="24">
        <f>IF(库存台账!$A689="","",库存台账!$A689)</f>
        <v/>
      </c>
      <c r="B689" s="24">
        <f>IF($A689="","",库存台账!$B689)</f>
        <v/>
      </c>
      <c r="C689" s="24">
        <f>IF($A689="","",库存台账!$C689)</f>
        <v/>
      </c>
      <c r="D689" s="24">
        <f>IF($A689="","",库存台账!$D689)</f>
        <v/>
      </c>
      <c r="E689" s="24">
        <f>IF($A689="","",库存台账!$E689)</f>
        <v/>
      </c>
      <c r="F689" s="24">
        <f>IF($A689="","",库存台账!$F689)</f>
        <v/>
      </c>
      <c r="G689" s="17" t="n"/>
      <c r="H689" s="23" t="n"/>
      <c r="I689" s="27">
        <f>IF($A689="","",库存台账!$X689)</f>
        <v/>
      </c>
      <c r="J689" s="27">
        <f>IF(OR($A689="",$H689=""),"",ROUND($H689-$I689,3))</f>
        <v/>
      </c>
      <c r="K689" s="26">
        <f>IF($A689="","",库存台账!$K689)</f>
        <v/>
      </c>
      <c r="L689" s="26">
        <f>IF($J689="","",ROUND($J689*$K689,0))</f>
        <v/>
      </c>
      <c r="M689" s="37">
        <f>IF(OR($J689="",$I689=0),"",ROUND($J689/$I689,4))</f>
        <v/>
      </c>
      <c r="N689" s="17" t="n"/>
      <c r="O689" s="17" t="n"/>
      <c r="P689" s="24">
        <f>IF($J689="","未盘",IF(ROUND($J689,3)=0,"账实相符",IF(COUNTIFS(入库单!$G$4:$G$2503,$A689,入库单!$X$4:$X$2503,"盘盈",入库单!$C$4:$C$2503,"&gt;="&amp;账期起,入库单!$C$4:$C$2503,"&lt;="&amp;账期止)+COUNTIFS(出库单!$D$4:$D$4003,$A689,出库单!$K$4:$K$4003,"盘亏",出库单!$C$4:$C$4003,"&gt;="&amp;账期起,出库单!$C$4:$C$4003,"&lt;="&amp;账期止)&gt;0,"已调账","※差异还没调账")))</f>
        <v/>
      </c>
      <c r="Q689" s="17" t="n"/>
      <c r="R689" s="17" t="n"/>
    </row>
    <row r="690">
      <c r="A690" s="24">
        <f>IF(库存台账!$A690="","",库存台账!$A690)</f>
        <v/>
      </c>
      <c r="B690" s="24">
        <f>IF($A690="","",库存台账!$B690)</f>
        <v/>
      </c>
      <c r="C690" s="24">
        <f>IF($A690="","",库存台账!$C690)</f>
        <v/>
      </c>
      <c r="D690" s="24">
        <f>IF($A690="","",库存台账!$D690)</f>
        <v/>
      </c>
      <c r="E690" s="24">
        <f>IF($A690="","",库存台账!$E690)</f>
        <v/>
      </c>
      <c r="F690" s="24">
        <f>IF($A690="","",库存台账!$F690)</f>
        <v/>
      </c>
      <c r="G690" s="17" t="n"/>
      <c r="H690" s="23" t="n"/>
      <c r="I690" s="27">
        <f>IF($A690="","",库存台账!$X690)</f>
        <v/>
      </c>
      <c r="J690" s="27">
        <f>IF(OR($A690="",$H690=""),"",ROUND($H690-$I690,3))</f>
        <v/>
      </c>
      <c r="K690" s="26">
        <f>IF($A690="","",库存台账!$K690)</f>
        <v/>
      </c>
      <c r="L690" s="26">
        <f>IF($J690="","",ROUND($J690*$K690,0))</f>
        <v/>
      </c>
      <c r="M690" s="37">
        <f>IF(OR($J690="",$I690=0),"",ROUND($J690/$I690,4))</f>
        <v/>
      </c>
      <c r="N690" s="17" t="n"/>
      <c r="O690" s="17" t="n"/>
      <c r="P690" s="24">
        <f>IF($J690="","未盘",IF(ROUND($J690,3)=0,"账实相符",IF(COUNTIFS(入库单!$G$4:$G$2503,$A690,入库单!$X$4:$X$2503,"盘盈",入库单!$C$4:$C$2503,"&gt;="&amp;账期起,入库单!$C$4:$C$2503,"&lt;="&amp;账期止)+COUNTIFS(出库单!$D$4:$D$4003,$A690,出库单!$K$4:$K$4003,"盘亏",出库单!$C$4:$C$4003,"&gt;="&amp;账期起,出库单!$C$4:$C$4003,"&lt;="&amp;账期止)&gt;0,"已调账","※差异还没调账")))</f>
        <v/>
      </c>
      <c r="Q690" s="17" t="n"/>
      <c r="R690" s="17" t="n"/>
    </row>
    <row r="691">
      <c r="A691" s="24">
        <f>IF(库存台账!$A691="","",库存台账!$A691)</f>
        <v/>
      </c>
      <c r="B691" s="24">
        <f>IF($A691="","",库存台账!$B691)</f>
        <v/>
      </c>
      <c r="C691" s="24">
        <f>IF($A691="","",库存台账!$C691)</f>
        <v/>
      </c>
      <c r="D691" s="24">
        <f>IF($A691="","",库存台账!$D691)</f>
        <v/>
      </c>
      <c r="E691" s="24">
        <f>IF($A691="","",库存台账!$E691)</f>
        <v/>
      </c>
      <c r="F691" s="24">
        <f>IF($A691="","",库存台账!$F691)</f>
        <v/>
      </c>
      <c r="G691" s="17" t="n"/>
      <c r="H691" s="23" t="n"/>
      <c r="I691" s="27">
        <f>IF($A691="","",库存台账!$X691)</f>
        <v/>
      </c>
      <c r="J691" s="27">
        <f>IF(OR($A691="",$H691=""),"",ROUND($H691-$I691,3))</f>
        <v/>
      </c>
      <c r="K691" s="26">
        <f>IF($A691="","",库存台账!$K691)</f>
        <v/>
      </c>
      <c r="L691" s="26">
        <f>IF($J691="","",ROUND($J691*$K691,0))</f>
        <v/>
      </c>
      <c r="M691" s="37">
        <f>IF(OR($J691="",$I691=0),"",ROUND($J691/$I691,4))</f>
        <v/>
      </c>
      <c r="N691" s="17" t="n"/>
      <c r="O691" s="17" t="n"/>
      <c r="P691" s="24">
        <f>IF($J691="","未盘",IF(ROUND($J691,3)=0,"账实相符",IF(COUNTIFS(入库单!$G$4:$G$2503,$A691,入库单!$X$4:$X$2503,"盘盈",入库单!$C$4:$C$2503,"&gt;="&amp;账期起,入库单!$C$4:$C$2503,"&lt;="&amp;账期止)+COUNTIFS(出库单!$D$4:$D$4003,$A691,出库单!$K$4:$K$4003,"盘亏",出库单!$C$4:$C$4003,"&gt;="&amp;账期起,出库单!$C$4:$C$4003,"&lt;="&amp;账期止)&gt;0,"已调账","※差异还没调账")))</f>
        <v/>
      </c>
      <c r="Q691" s="17" t="n"/>
      <c r="R691" s="17" t="n"/>
    </row>
    <row r="692">
      <c r="A692" s="24">
        <f>IF(库存台账!$A692="","",库存台账!$A692)</f>
        <v/>
      </c>
      <c r="B692" s="24">
        <f>IF($A692="","",库存台账!$B692)</f>
        <v/>
      </c>
      <c r="C692" s="24">
        <f>IF($A692="","",库存台账!$C692)</f>
        <v/>
      </c>
      <c r="D692" s="24">
        <f>IF($A692="","",库存台账!$D692)</f>
        <v/>
      </c>
      <c r="E692" s="24">
        <f>IF($A692="","",库存台账!$E692)</f>
        <v/>
      </c>
      <c r="F692" s="24">
        <f>IF($A692="","",库存台账!$F692)</f>
        <v/>
      </c>
      <c r="G692" s="17" t="n"/>
      <c r="H692" s="23" t="n"/>
      <c r="I692" s="27">
        <f>IF($A692="","",库存台账!$X692)</f>
        <v/>
      </c>
      <c r="J692" s="27">
        <f>IF(OR($A692="",$H692=""),"",ROUND($H692-$I692,3))</f>
        <v/>
      </c>
      <c r="K692" s="26">
        <f>IF($A692="","",库存台账!$K692)</f>
        <v/>
      </c>
      <c r="L692" s="26">
        <f>IF($J692="","",ROUND($J692*$K692,0))</f>
        <v/>
      </c>
      <c r="M692" s="37">
        <f>IF(OR($J692="",$I692=0),"",ROUND($J692/$I692,4))</f>
        <v/>
      </c>
      <c r="N692" s="17" t="n"/>
      <c r="O692" s="17" t="n"/>
      <c r="P692" s="24">
        <f>IF($J692="","未盘",IF(ROUND($J692,3)=0,"账实相符",IF(COUNTIFS(入库单!$G$4:$G$2503,$A692,入库单!$X$4:$X$2503,"盘盈",入库单!$C$4:$C$2503,"&gt;="&amp;账期起,入库单!$C$4:$C$2503,"&lt;="&amp;账期止)+COUNTIFS(出库单!$D$4:$D$4003,$A692,出库单!$K$4:$K$4003,"盘亏",出库单!$C$4:$C$4003,"&gt;="&amp;账期起,出库单!$C$4:$C$4003,"&lt;="&amp;账期止)&gt;0,"已调账","※差异还没调账")))</f>
        <v/>
      </c>
      <c r="Q692" s="17" t="n"/>
      <c r="R692" s="17" t="n"/>
    </row>
    <row r="693">
      <c r="A693" s="24">
        <f>IF(库存台账!$A693="","",库存台账!$A693)</f>
        <v/>
      </c>
      <c r="B693" s="24">
        <f>IF($A693="","",库存台账!$B693)</f>
        <v/>
      </c>
      <c r="C693" s="24">
        <f>IF($A693="","",库存台账!$C693)</f>
        <v/>
      </c>
      <c r="D693" s="24">
        <f>IF($A693="","",库存台账!$D693)</f>
        <v/>
      </c>
      <c r="E693" s="24">
        <f>IF($A693="","",库存台账!$E693)</f>
        <v/>
      </c>
      <c r="F693" s="24">
        <f>IF($A693="","",库存台账!$F693)</f>
        <v/>
      </c>
      <c r="G693" s="17" t="n"/>
      <c r="H693" s="23" t="n"/>
      <c r="I693" s="27">
        <f>IF($A693="","",库存台账!$X693)</f>
        <v/>
      </c>
      <c r="J693" s="27">
        <f>IF(OR($A693="",$H693=""),"",ROUND($H693-$I693,3))</f>
        <v/>
      </c>
      <c r="K693" s="26">
        <f>IF($A693="","",库存台账!$K693)</f>
        <v/>
      </c>
      <c r="L693" s="26">
        <f>IF($J693="","",ROUND($J693*$K693,0))</f>
        <v/>
      </c>
      <c r="M693" s="37">
        <f>IF(OR($J693="",$I693=0),"",ROUND($J693/$I693,4))</f>
        <v/>
      </c>
      <c r="N693" s="17" t="n"/>
      <c r="O693" s="17" t="n"/>
      <c r="P693" s="24">
        <f>IF($J693="","未盘",IF(ROUND($J693,3)=0,"账实相符",IF(COUNTIFS(入库单!$G$4:$G$2503,$A693,入库单!$X$4:$X$2503,"盘盈",入库单!$C$4:$C$2503,"&gt;="&amp;账期起,入库单!$C$4:$C$2503,"&lt;="&amp;账期止)+COUNTIFS(出库单!$D$4:$D$4003,$A693,出库单!$K$4:$K$4003,"盘亏",出库单!$C$4:$C$4003,"&gt;="&amp;账期起,出库单!$C$4:$C$4003,"&lt;="&amp;账期止)&gt;0,"已调账","※差异还没调账")))</f>
        <v/>
      </c>
      <c r="Q693" s="17" t="n"/>
      <c r="R693" s="17" t="n"/>
    </row>
    <row r="694">
      <c r="A694" s="24">
        <f>IF(库存台账!$A694="","",库存台账!$A694)</f>
        <v/>
      </c>
      <c r="B694" s="24">
        <f>IF($A694="","",库存台账!$B694)</f>
        <v/>
      </c>
      <c r="C694" s="24">
        <f>IF($A694="","",库存台账!$C694)</f>
        <v/>
      </c>
      <c r="D694" s="24">
        <f>IF($A694="","",库存台账!$D694)</f>
        <v/>
      </c>
      <c r="E694" s="24">
        <f>IF($A694="","",库存台账!$E694)</f>
        <v/>
      </c>
      <c r="F694" s="24">
        <f>IF($A694="","",库存台账!$F694)</f>
        <v/>
      </c>
      <c r="G694" s="17" t="n"/>
      <c r="H694" s="23" t="n"/>
      <c r="I694" s="27">
        <f>IF($A694="","",库存台账!$X694)</f>
        <v/>
      </c>
      <c r="J694" s="27">
        <f>IF(OR($A694="",$H694=""),"",ROUND($H694-$I694,3))</f>
        <v/>
      </c>
      <c r="K694" s="26">
        <f>IF($A694="","",库存台账!$K694)</f>
        <v/>
      </c>
      <c r="L694" s="26">
        <f>IF($J694="","",ROUND($J694*$K694,0))</f>
        <v/>
      </c>
      <c r="M694" s="37">
        <f>IF(OR($J694="",$I694=0),"",ROUND($J694/$I694,4))</f>
        <v/>
      </c>
      <c r="N694" s="17" t="n"/>
      <c r="O694" s="17" t="n"/>
      <c r="P694" s="24">
        <f>IF($J694="","未盘",IF(ROUND($J694,3)=0,"账实相符",IF(COUNTIFS(入库单!$G$4:$G$2503,$A694,入库单!$X$4:$X$2503,"盘盈",入库单!$C$4:$C$2503,"&gt;="&amp;账期起,入库单!$C$4:$C$2503,"&lt;="&amp;账期止)+COUNTIFS(出库单!$D$4:$D$4003,$A694,出库单!$K$4:$K$4003,"盘亏",出库单!$C$4:$C$4003,"&gt;="&amp;账期起,出库单!$C$4:$C$4003,"&lt;="&amp;账期止)&gt;0,"已调账","※差异还没调账")))</f>
        <v/>
      </c>
      <c r="Q694" s="17" t="n"/>
      <c r="R694" s="17" t="n"/>
    </row>
    <row r="695">
      <c r="A695" s="24">
        <f>IF(库存台账!$A695="","",库存台账!$A695)</f>
        <v/>
      </c>
      <c r="B695" s="24">
        <f>IF($A695="","",库存台账!$B695)</f>
        <v/>
      </c>
      <c r="C695" s="24">
        <f>IF($A695="","",库存台账!$C695)</f>
        <v/>
      </c>
      <c r="D695" s="24">
        <f>IF($A695="","",库存台账!$D695)</f>
        <v/>
      </c>
      <c r="E695" s="24">
        <f>IF($A695="","",库存台账!$E695)</f>
        <v/>
      </c>
      <c r="F695" s="24">
        <f>IF($A695="","",库存台账!$F695)</f>
        <v/>
      </c>
      <c r="G695" s="17" t="n"/>
      <c r="H695" s="23" t="n"/>
      <c r="I695" s="27">
        <f>IF($A695="","",库存台账!$X695)</f>
        <v/>
      </c>
      <c r="J695" s="27">
        <f>IF(OR($A695="",$H695=""),"",ROUND($H695-$I695,3))</f>
        <v/>
      </c>
      <c r="K695" s="26">
        <f>IF($A695="","",库存台账!$K695)</f>
        <v/>
      </c>
      <c r="L695" s="26">
        <f>IF($J695="","",ROUND($J695*$K695,0))</f>
        <v/>
      </c>
      <c r="M695" s="37">
        <f>IF(OR($J695="",$I695=0),"",ROUND($J695/$I695,4))</f>
        <v/>
      </c>
      <c r="N695" s="17" t="n"/>
      <c r="O695" s="17" t="n"/>
      <c r="P695" s="24">
        <f>IF($J695="","未盘",IF(ROUND($J695,3)=0,"账实相符",IF(COUNTIFS(入库单!$G$4:$G$2503,$A695,入库单!$X$4:$X$2503,"盘盈",入库单!$C$4:$C$2503,"&gt;="&amp;账期起,入库单!$C$4:$C$2503,"&lt;="&amp;账期止)+COUNTIFS(出库单!$D$4:$D$4003,$A695,出库单!$K$4:$K$4003,"盘亏",出库单!$C$4:$C$4003,"&gt;="&amp;账期起,出库单!$C$4:$C$4003,"&lt;="&amp;账期止)&gt;0,"已调账","※差异还没调账")))</f>
        <v/>
      </c>
      <c r="Q695" s="17" t="n"/>
      <c r="R695" s="17" t="n"/>
    </row>
    <row r="696">
      <c r="A696" s="24">
        <f>IF(库存台账!$A696="","",库存台账!$A696)</f>
        <v/>
      </c>
      <c r="B696" s="24">
        <f>IF($A696="","",库存台账!$B696)</f>
        <v/>
      </c>
      <c r="C696" s="24">
        <f>IF($A696="","",库存台账!$C696)</f>
        <v/>
      </c>
      <c r="D696" s="24">
        <f>IF($A696="","",库存台账!$D696)</f>
        <v/>
      </c>
      <c r="E696" s="24">
        <f>IF($A696="","",库存台账!$E696)</f>
        <v/>
      </c>
      <c r="F696" s="24">
        <f>IF($A696="","",库存台账!$F696)</f>
        <v/>
      </c>
      <c r="G696" s="17" t="n"/>
      <c r="H696" s="23" t="n"/>
      <c r="I696" s="27">
        <f>IF($A696="","",库存台账!$X696)</f>
        <v/>
      </c>
      <c r="J696" s="27">
        <f>IF(OR($A696="",$H696=""),"",ROUND($H696-$I696,3))</f>
        <v/>
      </c>
      <c r="K696" s="26">
        <f>IF($A696="","",库存台账!$K696)</f>
        <v/>
      </c>
      <c r="L696" s="26">
        <f>IF($J696="","",ROUND($J696*$K696,0))</f>
        <v/>
      </c>
      <c r="M696" s="37">
        <f>IF(OR($J696="",$I696=0),"",ROUND($J696/$I696,4))</f>
        <v/>
      </c>
      <c r="N696" s="17" t="n"/>
      <c r="O696" s="17" t="n"/>
      <c r="P696" s="24">
        <f>IF($J696="","未盘",IF(ROUND($J696,3)=0,"账实相符",IF(COUNTIFS(入库单!$G$4:$G$2503,$A696,入库单!$X$4:$X$2503,"盘盈",入库单!$C$4:$C$2503,"&gt;="&amp;账期起,入库单!$C$4:$C$2503,"&lt;="&amp;账期止)+COUNTIFS(出库单!$D$4:$D$4003,$A696,出库单!$K$4:$K$4003,"盘亏",出库单!$C$4:$C$4003,"&gt;="&amp;账期起,出库单!$C$4:$C$4003,"&lt;="&amp;账期止)&gt;0,"已调账","※差异还没调账")))</f>
        <v/>
      </c>
      <c r="Q696" s="17" t="n"/>
      <c r="R696" s="17" t="n"/>
    </row>
    <row r="697">
      <c r="A697" s="24">
        <f>IF(库存台账!$A697="","",库存台账!$A697)</f>
        <v/>
      </c>
      <c r="B697" s="24">
        <f>IF($A697="","",库存台账!$B697)</f>
        <v/>
      </c>
      <c r="C697" s="24">
        <f>IF($A697="","",库存台账!$C697)</f>
        <v/>
      </c>
      <c r="D697" s="24">
        <f>IF($A697="","",库存台账!$D697)</f>
        <v/>
      </c>
      <c r="E697" s="24">
        <f>IF($A697="","",库存台账!$E697)</f>
        <v/>
      </c>
      <c r="F697" s="24">
        <f>IF($A697="","",库存台账!$F697)</f>
        <v/>
      </c>
      <c r="G697" s="17" t="n"/>
      <c r="H697" s="23" t="n"/>
      <c r="I697" s="27">
        <f>IF($A697="","",库存台账!$X697)</f>
        <v/>
      </c>
      <c r="J697" s="27">
        <f>IF(OR($A697="",$H697=""),"",ROUND($H697-$I697,3))</f>
        <v/>
      </c>
      <c r="K697" s="26">
        <f>IF($A697="","",库存台账!$K697)</f>
        <v/>
      </c>
      <c r="L697" s="26">
        <f>IF($J697="","",ROUND($J697*$K697,0))</f>
        <v/>
      </c>
      <c r="M697" s="37">
        <f>IF(OR($J697="",$I697=0),"",ROUND($J697/$I697,4))</f>
        <v/>
      </c>
      <c r="N697" s="17" t="n"/>
      <c r="O697" s="17" t="n"/>
      <c r="P697" s="24">
        <f>IF($J697="","未盘",IF(ROUND($J697,3)=0,"账实相符",IF(COUNTIFS(入库单!$G$4:$G$2503,$A697,入库单!$X$4:$X$2503,"盘盈",入库单!$C$4:$C$2503,"&gt;="&amp;账期起,入库单!$C$4:$C$2503,"&lt;="&amp;账期止)+COUNTIFS(出库单!$D$4:$D$4003,$A697,出库单!$K$4:$K$4003,"盘亏",出库单!$C$4:$C$4003,"&gt;="&amp;账期起,出库单!$C$4:$C$4003,"&lt;="&amp;账期止)&gt;0,"已调账","※差异还没调账")))</f>
        <v/>
      </c>
      <c r="Q697" s="17" t="n"/>
      <c r="R697" s="17" t="n"/>
    </row>
    <row r="698">
      <c r="A698" s="24">
        <f>IF(库存台账!$A698="","",库存台账!$A698)</f>
        <v/>
      </c>
      <c r="B698" s="24">
        <f>IF($A698="","",库存台账!$B698)</f>
        <v/>
      </c>
      <c r="C698" s="24">
        <f>IF($A698="","",库存台账!$C698)</f>
        <v/>
      </c>
      <c r="D698" s="24">
        <f>IF($A698="","",库存台账!$D698)</f>
        <v/>
      </c>
      <c r="E698" s="24">
        <f>IF($A698="","",库存台账!$E698)</f>
        <v/>
      </c>
      <c r="F698" s="24">
        <f>IF($A698="","",库存台账!$F698)</f>
        <v/>
      </c>
      <c r="G698" s="17" t="n"/>
      <c r="H698" s="23" t="n"/>
      <c r="I698" s="27">
        <f>IF($A698="","",库存台账!$X698)</f>
        <v/>
      </c>
      <c r="J698" s="27">
        <f>IF(OR($A698="",$H698=""),"",ROUND($H698-$I698,3))</f>
        <v/>
      </c>
      <c r="K698" s="26">
        <f>IF($A698="","",库存台账!$K698)</f>
        <v/>
      </c>
      <c r="L698" s="26">
        <f>IF($J698="","",ROUND($J698*$K698,0))</f>
        <v/>
      </c>
      <c r="M698" s="37">
        <f>IF(OR($J698="",$I698=0),"",ROUND($J698/$I698,4))</f>
        <v/>
      </c>
      <c r="N698" s="17" t="n"/>
      <c r="O698" s="17" t="n"/>
      <c r="P698" s="24">
        <f>IF($J698="","未盘",IF(ROUND($J698,3)=0,"账实相符",IF(COUNTIFS(入库单!$G$4:$G$2503,$A698,入库单!$X$4:$X$2503,"盘盈",入库单!$C$4:$C$2503,"&gt;="&amp;账期起,入库单!$C$4:$C$2503,"&lt;="&amp;账期止)+COUNTIFS(出库单!$D$4:$D$4003,$A698,出库单!$K$4:$K$4003,"盘亏",出库单!$C$4:$C$4003,"&gt;="&amp;账期起,出库单!$C$4:$C$4003,"&lt;="&amp;账期止)&gt;0,"已调账","※差异还没调账")))</f>
        <v/>
      </c>
      <c r="Q698" s="17" t="n"/>
      <c r="R698" s="17" t="n"/>
    </row>
    <row r="699">
      <c r="A699" s="24">
        <f>IF(库存台账!$A699="","",库存台账!$A699)</f>
        <v/>
      </c>
      <c r="B699" s="24">
        <f>IF($A699="","",库存台账!$B699)</f>
        <v/>
      </c>
      <c r="C699" s="24">
        <f>IF($A699="","",库存台账!$C699)</f>
        <v/>
      </c>
      <c r="D699" s="24">
        <f>IF($A699="","",库存台账!$D699)</f>
        <v/>
      </c>
      <c r="E699" s="24">
        <f>IF($A699="","",库存台账!$E699)</f>
        <v/>
      </c>
      <c r="F699" s="24">
        <f>IF($A699="","",库存台账!$F699)</f>
        <v/>
      </c>
      <c r="G699" s="17" t="n"/>
      <c r="H699" s="23" t="n"/>
      <c r="I699" s="27">
        <f>IF($A699="","",库存台账!$X699)</f>
        <v/>
      </c>
      <c r="J699" s="27">
        <f>IF(OR($A699="",$H699=""),"",ROUND($H699-$I699,3))</f>
        <v/>
      </c>
      <c r="K699" s="26">
        <f>IF($A699="","",库存台账!$K699)</f>
        <v/>
      </c>
      <c r="L699" s="26">
        <f>IF($J699="","",ROUND($J699*$K699,0))</f>
        <v/>
      </c>
      <c r="M699" s="37">
        <f>IF(OR($J699="",$I699=0),"",ROUND($J699/$I699,4))</f>
        <v/>
      </c>
      <c r="N699" s="17" t="n"/>
      <c r="O699" s="17" t="n"/>
      <c r="P699" s="24">
        <f>IF($J699="","未盘",IF(ROUND($J699,3)=0,"账实相符",IF(COUNTIFS(入库单!$G$4:$G$2503,$A699,入库单!$X$4:$X$2503,"盘盈",入库单!$C$4:$C$2503,"&gt;="&amp;账期起,入库单!$C$4:$C$2503,"&lt;="&amp;账期止)+COUNTIFS(出库单!$D$4:$D$4003,$A699,出库单!$K$4:$K$4003,"盘亏",出库单!$C$4:$C$4003,"&gt;="&amp;账期起,出库单!$C$4:$C$4003,"&lt;="&amp;账期止)&gt;0,"已调账","※差异还没调账")))</f>
        <v/>
      </c>
      <c r="Q699" s="17" t="n"/>
      <c r="R699" s="17" t="n"/>
    </row>
    <row r="700">
      <c r="A700" s="24">
        <f>IF(库存台账!$A700="","",库存台账!$A700)</f>
        <v/>
      </c>
      <c r="B700" s="24">
        <f>IF($A700="","",库存台账!$B700)</f>
        <v/>
      </c>
      <c r="C700" s="24">
        <f>IF($A700="","",库存台账!$C700)</f>
        <v/>
      </c>
      <c r="D700" s="24">
        <f>IF($A700="","",库存台账!$D700)</f>
        <v/>
      </c>
      <c r="E700" s="24">
        <f>IF($A700="","",库存台账!$E700)</f>
        <v/>
      </c>
      <c r="F700" s="24">
        <f>IF($A700="","",库存台账!$F700)</f>
        <v/>
      </c>
      <c r="G700" s="17" t="n"/>
      <c r="H700" s="23" t="n"/>
      <c r="I700" s="27">
        <f>IF($A700="","",库存台账!$X700)</f>
        <v/>
      </c>
      <c r="J700" s="27">
        <f>IF(OR($A700="",$H700=""),"",ROUND($H700-$I700,3))</f>
        <v/>
      </c>
      <c r="K700" s="26">
        <f>IF($A700="","",库存台账!$K700)</f>
        <v/>
      </c>
      <c r="L700" s="26">
        <f>IF($J700="","",ROUND($J700*$K700,0))</f>
        <v/>
      </c>
      <c r="M700" s="37">
        <f>IF(OR($J700="",$I700=0),"",ROUND($J700/$I700,4))</f>
        <v/>
      </c>
      <c r="N700" s="17" t="n"/>
      <c r="O700" s="17" t="n"/>
      <c r="P700" s="24">
        <f>IF($J700="","未盘",IF(ROUND($J700,3)=0,"账实相符",IF(COUNTIFS(入库单!$G$4:$G$2503,$A700,入库单!$X$4:$X$2503,"盘盈",入库单!$C$4:$C$2503,"&gt;="&amp;账期起,入库单!$C$4:$C$2503,"&lt;="&amp;账期止)+COUNTIFS(出库单!$D$4:$D$4003,$A700,出库单!$K$4:$K$4003,"盘亏",出库单!$C$4:$C$4003,"&gt;="&amp;账期起,出库单!$C$4:$C$4003,"&lt;="&amp;账期止)&gt;0,"已调账","※差异还没调账")))</f>
        <v/>
      </c>
      <c r="Q700" s="17" t="n"/>
      <c r="R700" s="17" t="n"/>
    </row>
    <row r="701">
      <c r="A701" s="24">
        <f>IF(库存台账!$A701="","",库存台账!$A701)</f>
        <v/>
      </c>
      <c r="B701" s="24">
        <f>IF($A701="","",库存台账!$B701)</f>
        <v/>
      </c>
      <c r="C701" s="24">
        <f>IF($A701="","",库存台账!$C701)</f>
        <v/>
      </c>
      <c r="D701" s="24">
        <f>IF($A701="","",库存台账!$D701)</f>
        <v/>
      </c>
      <c r="E701" s="24">
        <f>IF($A701="","",库存台账!$E701)</f>
        <v/>
      </c>
      <c r="F701" s="24">
        <f>IF($A701="","",库存台账!$F701)</f>
        <v/>
      </c>
      <c r="G701" s="17" t="n"/>
      <c r="H701" s="23" t="n"/>
      <c r="I701" s="27">
        <f>IF($A701="","",库存台账!$X701)</f>
        <v/>
      </c>
      <c r="J701" s="27">
        <f>IF(OR($A701="",$H701=""),"",ROUND($H701-$I701,3))</f>
        <v/>
      </c>
      <c r="K701" s="26">
        <f>IF($A701="","",库存台账!$K701)</f>
        <v/>
      </c>
      <c r="L701" s="26">
        <f>IF($J701="","",ROUND($J701*$K701,0))</f>
        <v/>
      </c>
      <c r="M701" s="37">
        <f>IF(OR($J701="",$I701=0),"",ROUND($J701/$I701,4))</f>
        <v/>
      </c>
      <c r="N701" s="17" t="n"/>
      <c r="O701" s="17" t="n"/>
      <c r="P701" s="24">
        <f>IF($J701="","未盘",IF(ROUND($J701,3)=0,"账实相符",IF(COUNTIFS(入库单!$G$4:$G$2503,$A701,入库单!$X$4:$X$2503,"盘盈",入库单!$C$4:$C$2503,"&gt;="&amp;账期起,入库单!$C$4:$C$2503,"&lt;="&amp;账期止)+COUNTIFS(出库单!$D$4:$D$4003,$A701,出库单!$K$4:$K$4003,"盘亏",出库单!$C$4:$C$4003,"&gt;="&amp;账期起,出库单!$C$4:$C$4003,"&lt;="&amp;账期止)&gt;0,"已调账","※差异还没调账")))</f>
        <v/>
      </c>
      <c r="Q701" s="17" t="n"/>
      <c r="R701" s="17" t="n"/>
    </row>
    <row r="702">
      <c r="A702" s="24">
        <f>IF(库存台账!$A702="","",库存台账!$A702)</f>
        <v/>
      </c>
      <c r="B702" s="24">
        <f>IF($A702="","",库存台账!$B702)</f>
        <v/>
      </c>
      <c r="C702" s="24">
        <f>IF($A702="","",库存台账!$C702)</f>
        <v/>
      </c>
      <c r="D702" s="24">
        <f>IF($A702="","",库存台账!$D702)</f>
        <v/>
      </c>
      <c r="E702" s="24">
        <f>IF($A702="","",库存台账!$E702)</f>
        <v/>
      </c>
      <c r="F702" s="24">
        <f>IF($A702="","",库存台账!$F702)</f>
        <v/>
      </c>
      <c r="G702" s="17" t="n"/>
      <c r="H702" s="23" t="n"/>
      <c r="I702" s="27">
        <f>IF($A702="","",库存台账!$X702)</f>
        <v/>
      </c>
      <c r="J702" s="27">
        <f>IF(OR($A702="",$H702=""),"",ROUND($H702-$I702,3))</f>
        <v/>
      </c>
      <c r="K702" s="26">
        <f>IF($A702="","",库存台账!$K702)</f>
        <v/>
      </c>
      <c r="L702" s="26">
        <f>IF($J702="","",ROUND($J702*$K702,0))</f>
        <v/>
      </c>
      <c r="M702" s="37">
        <f>IF(OR($J702="",$I702=0),"",ROUND($J702/$I702,4))</f>
        <v/>
      </c>
      <c r="N702" s="17" t="n"/>
      <c r="O702" s="17" t="n"/>
      <c r="P702" s="24">
        <f>IF($J702="","未盘",IF(ROUND($J702,3)=0,"账实相符",IF(COUNTIFS(入库单!$G$4:$G$2503,$A702,入库单!$X$4:$X$2503,"盘盈",入库单!$C$4:$C$2503,"&gt;="&amp;账期起,入库单!$C$4:$C$2503,"&lt;="&amp;账期止)+COUNTIFS(出库单!$D$4:$D$4003,$A702,出库单!$K$4:$K$4003,"盘亏",出库单!$C$4:$C$4003,"&gt;="&amp;账期起,出库单!$C$4:$C$4003,"&lt;="&amp;账期止)&gt;0,"已调账","※差异还没调账")))</f>
        <v/>
      </c>
      <c r="Q702" s="17" t="n"/>
      <c r="R702" s="17" t="n"/>
    </row>
    <row r="703">
      <c r="A703" s="24">
        <f>IF(库存台账!$A703="","",库存台账!$A703)</f>
        <v/>
      </c>
      <c r="B703" s="24">
        <f>IF($A703="","",库存台账!$B703)</f>
        <v/>
      </c>
      <c r="C703" s="24">
        <f>IF($A703="","",库存台账!$C703)</f>
        <v/>
      </c>
      <c r="D703" s="24">
        <f>IF($A703="","",库存台账!$D703)</f>
        <v/>
      </c>
      <c r="E703" s="24">
        <f>IF($A703="","",库存台账!$E703)</f>
        <v/>
      </c>
      <c r="F703" s="24">
        <f>IF($A703="","",库存台账!$F703)</f>
        <v/>
      </c>
      <c r="G703" s="17" t="n"/>
      <c r="H703" s="23" t="n"/>
      <c r="I703" s="27">
        <f>IF($A703="","",库存台账!$X703)</f>
        <v/>
      </c>
      <c r="J703" s="27">
        <f>IF(OR($A703="",$H703=""),"",ROUND($H703-$I703,3))</f>
        <v/>
      </c>
      <c r="K703" s="26">
        <f>IF($A703="","",库存台账!$K703)</f>
        <v/>
      </c>
      <c r="L703" s="26">
        <f>IF($J703="","",ROUND($J703*$K703,0))</f>
        <v/>
      </c>
      <c r="M703" s="37">
        <f>IF(OR($J703="",$I703=0),"",ROUND($J703/$I703,4))</f>
        <v/>
      </c>
      <c r="N703" s="17" t="n"/>
      <c r="O703" s="17" t="n"/>
      <c r="P703" s="24">
        <f>IF($J703="","未盘",IF(ROUND($J703,3)=0,"账实相符",IF(COUNTIFS(入库单!$G$4:$G$2503,$A703,入库单!$X$4:$X$2503,"盘盈",入库单!$C$4:$C$2503,"&gt;="&amp;账期起,入库单!$C$4:$C$2503,"&lt;="&amp;账期止)+COUNTIFS(出库单!$D$4:$D$4003,$A703,出库单!$K$4:$K$4003,"盘亏",出库单!$C$4:$C$4003,"&gt;="&amp;账期起,出库单!$C$4:$C$4003,"&lt;="&amp;账期止)&gt;0,"已调账","※差异还没调账")))</f>
        <v/>
      </c>
      <c r="Q703" s="17" t="n"/>
      <c r="R703" s="17" t="n"/>
    </row>
    <row r="704">
      <c r="A704" s="24">
        <f>IF(库存台账!$A704="","",库存台账!$A704)</f>
        <v/>
      </c>
      <c r="B704" s="24">
        <f>IF($A704="","",库存台账!$B704)</f>
        <v/>
      </c>
      <c r="C704" s="24">
        <f>IF($A704="","",库存台账!$C704)</f>
        <v/>
      </c>
      <c r="D704" s="24">
        <f>IF($A704="","",库存台账!$D704)</f>
        <v/>
      </c>
      <c r="E704" s="24">
        <f>IF($A704="","",库存台账!$E704)</f>
        <v/>
      </c>
      <c r="F704" s="24">
        <f>IF($A704="","",库存台账!$F704)</f>
        <v/>
      </c>
      <c r="G704" s="17" t="n"/>
      <c r="H704" s="23" t="n"/>
      <c r="I704" s="27">
        <f>IF($A704="","",库存台账!$X704)</f>
        <v/>
      </c>
      <c r="J704" s="27">
        <f>IF(OR($A704="",$H704=""),"",ROUND($H704-$I704,3))</f>
        <v/>
      </c>
      <c r="K704" s="26">
        <f>IF($A704="","",库存台账!$K704)</f>
        <v/>
      </c>
      <c r="L704" s="26">
        <f>IF($J704="","",ROUND($J704*$K704,0))</f>
        <v/>
      </c>
      <c r="M704" s="37">
        <f>IF(OR($J704="",$I704=0),"",ROUND($J704/$I704,4))</f>
        <v/>
      </c>
      <c r="N704" s="17" t="n"/>
      <c r="O704" s="17" t="n"/>
      <c r="P704" s="24">
        <f>IF($J704="","未盘",IF(ROUND($J704,3)=0,"账实相符",IF(COUNTIFS(入库单!$G$4:$G$2503,$A704,入库单!$X$4:$X$2503,"盘盈",入库单!$C$4:$C$2503,"&gt;="&amp;账期起,入库单!$C$4:$C$2503,"&lt;="&amp;账期止)+COUNTIFS(出库单!$D$4:$D$4003,$A704,出库单!$K$4:$K$4003,"盘亏",出库单!$C$4:$C$4003,"&gt;="&amp;账期起,出库单!$C$4:$C$4003,"&lt;="&amp;账期止)&gt;0,"已调账","※差异还没调账")))</f>
        <v/>
      </c>
      <c r="Q704" s="17" t="n"/>
      <c r="R704" s="17" t="n"/>
    </row>
    <row r="705">
      <c r="A705" s="24">
        <f>IF(库存台账!$A705="","",库存台账!$A705)</f>
        <v/>
      </c>
      <c r="B705" s="24">
        <f>IF($A705="","",库存台账!$B705)</f>
        <v/>
      </c>
      <c r="C705" s="24">
        <f>IF($A705="","",库存台账!$C705)</f>
        <v/>
      </c>
      <c r="D705" s="24">
        <f>IF($A705="","",库存台账!$D705)</f>
        <v/>
      </c>
      <c r="E705" s="24">
        <f>IF($A705="","",库存台账!$E705)</f>
        <v/>
      </c>
      <c r="F705" s="24">
        <f>IF($A705="","",库存台账!$F705)</f>
        <v/>
      </c>
      <c r="G705" s="17" t="n"/>
      <c r="H705" s="23" t="n"/>
      <c r="I705" s="27">
        <f>IF($A705="","",库存台账!$X705)</f>
        <v/>
      </c>
      <c r="J705" s="27">
        <f>IF(OR($A705="",$H705=""),"",ROUND($H705-$I705,3))</f>
        <v/>
      </c>
      <c r="K705" s="26">
        <f>IF($A705="","",库存台账!$K705)</f>
        <v/>
      </c>
      <c r="L705" s="26">
        <f>IF($J705="","",ROUND($J705*$K705,0))</f>
        <v/>
      </c>
      <c r="M705" s="37">
        <f>IF(OR($J705="",$I705=0),"",ROUND($J705/$I705,4))</f>
        <v/>
      </c>
      <c r="N705" s="17" t="n"/>
      <c r="O705" s="17" t="n"/>
      <c r="P705" s="24">
        <f>IF($J705="","未盘",IF(ROUND($J705,3)=0,"账实相符",IF(COUNTIFS(入库单!$G$4:$G$2503,$A705,入库单!$X$4:$X$2503,"盘盈",入库单!$C$4:$C$2503,"&gt;="&amp;账期起,入库单!$C$4:$C$2503,"&lt;="&amp;账期止)+COUNTIFS(出库单!$D$4:$D$4003,$A705,出库单!$K$4:$K$4003,"盘亏",出库单!$C$4:$C$4003,"&gt;="&amp;账期起,出库单!$C$4:$C$4003,"&lt;="&amp;账期止)&gt;0,"已调账","※差异还没调账")))</f>
        <v/>
      </c>
      <c r="Q705" s="17" t="n"/>
      <c r="R705" s="17" t="n"/>
    </row>
    <row r="706">
      <c r="A706" s="24">
        <f>IF(库存台账!$A706="","",库存台账!$A706)</f>
        <v/>
      </c>
      <c r="B706" s="24">
        <f>IF($A706="","",库存台账!$B706)</f>
        <v/>
      </c>
      <c r="C706" s="24">
        <f>IF($A706="","",库存台账!$C706)</f>
        <v/>
      </c>
      <c r="D706" s="24">
        <f>IF($A706="","",库存台账!$D706)</f>
        <v/>
      </c>
      <c r="E706" s="24">
        <f>IF($A706="","",库存台账!$E706)</f>
        <v/>
      </c>
      <c r="F706" s="24">
        <f>IF($A706="","",库存台账!$F706)</f>
        <v/>
      </c>
      <c r="G706" s="17" t="n"/>
      <c r="H706" s="23" t="n"/>
      <c r="I706" s="27">
        <f>IF($A706="","",库存台账!$X706)</f>
        <v/>
      </c>
      <c r="J706" s="27">
        <f>IF(OR($A706="",$H706=""),"",ROUND($H706-$I706,3))</f>
        <v/>
      </c>
      <c r="K706" s="26">
        <f>IF($A706="","",库存台账!$K706)</f>
        <v/>
      </c>
      <c r="L706" s="26">
        <f>IF($J706="","",ROUND($J706*$K706,0))</f>
        <v/>
      </c>
      <c r="M706" s="37">
        <f>IF(OR($J706="",$I706=0),"",ROUND($J706/$I706,4))</f>
        <v/>
      </c>
      <c r="N706" s="17" t="n"/>
      <c r="O706" s="17" t="n"/>
      <c r="P706" s="24">
        <f>IF($J706="","未盘",IF(ROUND($J706,3)=0,"账实相符",IF(COUNTIFS(入库单!$G$4:$G$2503,$A706,入库单!$X$4:$X$2503,"盘盈",入库单!$C$4:$C$2503,"&gt;="&amp;账期起,入库单!$C$4:$C$2503,"&lt;="&amp;账期止)+COUNTIFS(出库单!$D$4:$D$4003,$A706,出库单!$K$4:$K$4003,"盘亏",出库单!$C$4:$C$4003,"&gt;="&amp;账期起,出库单!$C$4:$C$4003,"&lt;="&amp;账期止)&gt;0,"已调账","※差异还没调账")))</f>
        <v/>
      </c>
      <c r="Q706" s="17" t="n"/>
      <c r="R706" s="17" t="n"/>
    </row>
    <row r="707">
      <c r="A707" s="24">
        <f>IF(库存台账!$A707="","",库存台账!$A707)</f>
        <v/>
      </c>
      <c r="B707" s="24">
        <f>IF($A707="","",库存台账!$B707)</f>
        <v/>
      </c>
      <c r="C707" s="24">
        <f>IF($A707="","",库存台账!$C707)</f>
        <v/>
      </c>
      <c r="D707" s="24">
        <f>IF($A707="","",库存台账!$D707)</f>
        <v/>
      </c>
      <c r="E707" s="24">
        <f>IF($A707="","",库存台账!$E707)</f>
        <v/>
      </c>
      <c r="F707" s="24">
        <f>IF($A707="","",库存台账!$F707)</f>
        <v/>
      </c>
      <c r="G707" s="17" t="n"/>
      <c r="H707" s="23" t="n"/>
      <c r="I707" s="27">
        <f>IF($A707="","",库存台账!$X707)</f>
        <v/>
      </c>
      <c r="J707" s="27">
        <f>IF(OR($A707="",$H707=""),"",ROUND($H707-$I707,3))</f>
        <v/>
      </c>
      <c r="K707" s="26">
        <f>IF($A707="","",库存台账!$K707)</f>
        <v/>
      </c>
      <c r="L707" s="26">
        <f>IF($J707="","",ROUND($J707*$K707,0))</f>
        <v/>
      </c>
      <c r="M707" s="37">
        <f>IF(OR($J707="",$I707=0),"",ROUND($J707/$I707,4))</f>
        <v/>
      </c>
      <c r="N707" s="17" t="n"/>
      <c r="O707" s="17" t="n"/>
      <c r="P707" s="24">
        <f>IF($J707="","未盘",IF(ROUND($J707,3)=0,"账实相符",IF(COUNTIFS(入库单!$G$4:$G$2503,$A707,入库单!$X$4:$X$2503,"盘盈",入库单!$C$4:$C$2503,"&gt;="&amp;账期起,入库单!$C$4:$C$2503,"&lt;="&amp;账期止)+COUNTIFS(出库单!$D$4:$D$4003,$A707,出库单!$K$4:$K$4003,"盘亏",出库单!$C$4:$C$4003,"&gt;="&amp;账期起,出库单!$C$4:$C$4003,"&lt;="&amp;账期止)&gt;0,"已调账","※差异还没调账")))</f>
        <v/>
      </c>
      <c r="Q707" s="17" t="n"/>
      <c r="R707" s="17" t="n"/>
    </row>
    <row r="708">
      <c r="A708" s="24">
        <f>IF(库存台账!$A708="","",库存台账!$A708)</f>
        <v/>
      </c>
      <c r="B708" s="24">
        <f>IF($A708="","",库存台账!$B708)</f>
        <v/>
      </c>
      <c r="C708" s="24">
        <f>IF($A708="","",库存台账!$C708)</f>
        <v/>
      </c>
      <c r="D708" s="24">
        <f>IF($A708="","",库存台账!$D708)</f>
        <v/>
      </c>
      <c r="E708" s="24">
        <f>IF($A708="","",库存台账!$E708)</f>
        <v/>
      </c>
      <c r="F708" s="24">
        <f>IF($A708="","",库存台账!$F708)</f>
        <v/>
      </c>
      <c r="G708" s="17" t="n"/>
      <c r="H708" s="23" t="n"/>
      <c r="I708" s="27">
        <f>IF($A708="","",库存台账!$X708)</f>
        <v/>
      </c>
      <c r="J708" s="27">
        <f>IF(OR($A708="",$H708=""),"",ROUND($H708-$I708,3))</f>
        <v/>
      </c>
      <c r="K708" s="26">
        <f>IF($A708="","",库存台账!$K708)</f>
        <v/>
      </c>
      <c r="L708" s="26">
        <f>IF($J708="","",ROUND($J708*$K708,0))</f>
        <v/>
      </c>
      <c r="M708" s="37">
        <f>IF(OR($J708="",$I708=0),"",ROUND($J708/$I708,4))</f>
        <v/>
      </c>
      <c r="N708" s="17" t="n"/>
      <c r="O708" s="17" t="n"/>
      <c r="P708" s="24">
        <f>IF($J708="","未盘",IF(ROUND($J708,3)=0,"账实相符",IF(COUNTIFS(入库单!$G$4:$G$2503,$A708,入库单!$X$4:$X$2503,"盘盈",入库单!$C$4:$C$2503,"&gt;="&amp;账期起,入库单!$C$4:$C$2503,"&lt;="&amp;账期止)+COUNTIFS(出库单!$D$4:$D$4003,$A708,出库单!$K$4:$K$4003,"盘亏",出库单!$C$4:$C$4003,"&gt;="&amp;账期起,出库单!$C$4:$C$4003,"&lt;="&amp;账期止)&gt;0,"已调账","※差异还没调账")))</f>
        <v/>
      </c>
      <c r="Q708" s="17" t="n"/>
      <c r="R708" s="17" t="n"/>
    </row>
    <row r="709">
      <c r="A709" s="24">
        <f>IF(库存台账!$A709="","",库存台账!$A709)</f>
        <v/>
      </c>
      <c r="B709" s="24">
        <f>IF($A709="","",库存台账!$B709)</f>
        <v/>
      </c>
      <c r="C709" s="24">
        <f>IF($A709="","",库存台账!$C709)</f>
        <v/>
      </c>
      <c r="D709" s="24">
        <f>IF($A709="","",库存台账!$D709)</f>
        <v/>
      </c>
      <c r="E709" s="24">
        <f>IF($A709="","",库存台账!$E709)</f>
        <v/>
      </c>
      <c r="F709" s="24">
        <f>IF($A709="","",库存台账!$F709)</f>
        <v/>
      </c>
      <c r="G709" s="17" t="n"/>
      <c r="H709" s="23" t="n"/>
      <c r="I709" s="27">
        <f>IF($A709="","",库存台账!$X709)</f>
        <v/>
      </c>
      <c r="J709" s="27">
        <f>IF(OR($A709="",$H709=""),"",ROUND($H709-$I709,3))</f>
        <v/>
      </c>
      <c r="K709" s="26">
        <f>IF($A709="","",库存台账!$K709)</f>
        <v/>
      </c>
      <c r="L709" s="26">
        <f>IF($J709="","",ROUND($J709*$K709,0))</f>
        <v/>
      </c>
      <c r="M709" s="37">
        <f>IF(OR($J709="",$I709=0),"",ROUND($J709/$I709,4))</f>
        <v/>
      </c>
      <c r="N709" s="17" t="n"/>
      <c r="O709" s="17" t="n"/>
      <c r="P709" s="24">
        <f>IF($J709="","未盘",IF(ROUND($J709,3)=0,"账实相符",IF(COUNTIFS(入库单!$G$4:$G$2503,$A709,入库单!$X$4:$X$2503,"盘盈",入库单!$C$4:$C$2503,"&gt;="&amp;账期起,入库单!$C$4:$C$2503,"&lt;="&amp;账期止)+COUNTIFS(出库单!$D$4:$D$4003,$A709,出库单!$K$4:$K$4003,"盘亏",出库单!$C$4:$C$4003,"&gt;="&amp;账期起,出库单!$C$4:$C$4003,"&lt;="&amp;账期止)&gt;0,"已调账","※差异还没调账")))</f>
        <v/>
      </c>
      <c r="Q709" s="17" t="n"/>
      <c r="R709" s="17" t="n"/>
    </row>
    <row r="710">
      <c r="A710" s="24">
        <f>IF(库存台账!$A710="","",库存台账!$A710)</f>
        <v/>
      </c>
      <c r="B710" s="24">
        <f>IF($A710="","",库存台账!$B710)</f>
        <v/>
      </c>
      <c r="C710" s="24">
        <f>IF($A710="","",库存台账!$C710)</f>
        <v/>
      </c>
      <c r="D710" s="24">
        <f>IF($A710="","",库存台账!$D710)</f>
        <v/>
      </c>
      <c r="E710" s="24">
        <f>IF($A710="","",库存台账!$E710)</f>
        <v/>
      </c>
      <c r="F710" s="24">
        <f>IF($A710="","",库存台账!$F710)</f>
        <v/>
      </c>
      <c r="G710" s="17" t="n"/>
      <c r="H710" s="23" t="n"/>
      <c r="I710" s="27">
        <f>IF($A710="","",库存台账!$X710)</f>
        <v/>
      </c>
      <c r="J710" s="27">
        <f>IF(OR($A710="",$H710=""),"",ROUND($H710-$I710,3))</f>
        <v/>
      </c>
      <c r="K710" s="26">
        <f>IF($A710="","",库存台账!$K710)</f>
        <v/>
      </c>
      <c r="L710" s="26">
        <f>IF($J710="","",ROUND($J710*$K710,0))</f>
        <v/>
      </c>
      <c r="M710" s="37">
        <f>IF(OR($J710="",$I710=0),"",ROUND($J710/$I710,4))</f>
        <v/>
      </c>
      <c r="N710" s="17" t="n"/>
      <c r="O710" s="17" t="n"/>
      <c r="P710" s="24">
        <f>IF($J710="","未盘",IF(ROUND($J710,3)=0,"账实相符",IF(COUNTIFS(入库单!$G$4:$G$2503,$A710,入库单!$X$4:$X$2503,"盘盈",入库单!$C$4:$C$2503,"&gt;="&amp;账期起,入库单!$C$4:$C$2503,"&lt;="&amp;账期止)+COUNTIFS(出库单!$D$4:$D$4003,$A710,出库单!$K$4:$K$4003,"盘亏",出库单!$C$4:$C$4003,"&gt;="&amp;账期起,出库单!$C$4:$C$4003,"&lt;="&amp;账期止)&gt;0,"已调账","※差异还没调账")))</f>
        <v/>
      </c>
      <c r="Q710" s="17" t="n"/>
      <c r="R710" s="17" t="n"/>
    </row>
    <row r="711">
      <c r="A711" s="24">
        <f>IF(库存台账!$A711="","",库存台账!$A711)</f>
        <v/>
      </c>
      <c r="B711" s="24">
        <f>IF($A711="","",库存台账!$B711)</f>
        <v/>
      </c>
      <c r="C711" s="24">
        <f>IF($A711="","",库存台账!$C711)</f>
        <v/>
      </c>
      <c r="D711" s="24">
        <f>IF($A711="","",库存台账!$D711)</f>
        <v/>
      </c>
      <c r="E711" s="24">
        <f>IF($A711="","",库存台账!$E711)</f>
        <v/>
      </c>
      <c r="F711" s="24">
        <f>IF($A711="","",库存台账!$F711)</f>
        <v/>
      </c>
      <c r="G711" s="17" t="n"/>
      <c r="H711" s="23" t="n"/>
      <c r="I711" s="27">
        <f>IF($A711="","",库存台账!$X711)</f>
        <v/>
      </c>
      <c r="J711" s="27">
        <f>IF(OR($A711="",$H711=""),"",ROUND($H711-$I711,3))</f>
        <v/>
      </c>
      <c r="K711" s="26">
        <f>IF($A711="","",库存台账!$K711)</f>
        <v/>
      </c>
      <c r="L711" s="26">
        <f>IF($J711="","",ROUND($J711*$K711,0))</f>
        <v/>
      </c>
      <c r="M711" s="37">
        <f>IF(OR($J711="",$I711=0),"",ROUND($J711/$I711,4))</f>
        <v/>
      </c>
      <c r="N711" s="17" t="n"/>
      <c r="O711" s="17" t="n"/>
      <c r="P711" s="24">
        <f>IF($J711="","未盘",IF(ROUND($J711,3)=0,"账实相符",IF(COUNTIFS(入库单!$G$4:$G$2503,$A711,入库单!$X$4:$X$2503,"盘盈",入库单!$C$4:$C$2503,"&gt;="&amp;账期起,入库单!$C$4:$C$2503,"&lt;="&amp;账期止)+COUNTIFS(出库单!$D$4:$D$4003,$A711,出库单!$K$4:$K$4003,"盘亏",出库单!$C$4:$C$4003,"&gt;="&amp;账期起,出库单!$C$4:$C$4003,"&lt;="&amp;账期止)&gt;0,"已调账","※差异还没调账")))</f>
        <v/>
      </c>
      <c r="Q711" s="17" t="n"/>
      <c r="R711" s="17" t="n"/>
    </row>
    <row r="712">
      <c r="A712" s="24">
        <f>IF(库存台账!$A712="","",库存台账!$A712)</f>
        <v/>
      </c>
      <c r="B712" s="24">
        <f>IF($A712="","",库存台账!$B712)</f>
        <v/>
      </c>
      <c r="C712" s="24">
        <f>IF($A712="","",库存台账!$C712)</f>
        <v/>
      </c>
      <c r="D712" s="24">
        <f>IF($A712="","",库存台账!$D712)</f>
        <v/>
      </c>
      <c r="E712" s="24">
        <f>IF($A712="","",库存台账!$E712)</f>
        <v/>
      </c>
      <c r="F712" s="24">
        <f>IF($A712="","",库存台账!$F712)</f>
        <v/>
      </c>
      <c r="G712" s="17" t="n"/>
      <c r="H712" s="23" t="n"/>
      <c r="I712" s="27">
        <f>IF($A712="","",库存台账!$X712)</f>
        <v/>
      </c>
      <c r="J712" s="27">
        <f>IF(OR($A712="",$H712=""),"",ROUND($H712-$I712,3))</f>
        <v/>
      </c>
      <c r="K712" s="26">
        <f>IF($A712="","",库存台账!$K712)</f>
        <v/>
      </c>
      <c r="L712" s="26">
        <f>IF($J712="","",ROUND($J712*$K712,0))</f>
        <v/>
      </c>
      <c r="M712" s="37">
        <f>IF(OR($J712="",$I712=0),"",ROUND($J712/$I712,4))</f>
        <v/>
      </c>
      <c r="N712" s="17" t="n"/>
      <c r="O712" s="17" t="n"/>
      <c r="P712" s="24">
        <f>IF($J712="","未盘",IF(ROUND($J712,3)=0,"账实相符",IF(COUNTIFS(入库单!$G$4:$G$2503,$A712,入库单!$X$4:$X$2503,"盘盈",入库单!$C$4:$C$2503,"&gt;="&amp;账期起,入库单!$C$4:$C$2503,"&lt;="&amp;账期止)+COUNTIFS(出库单!$D$4:$D$4003,$A712,出库单!$K$4:$K$4003,"盘亏",出库单!$C$4:$C$4003,"&gt;="&amp;账期起,出库单!$C$4:$C$4003,"&lt;="&amp;账期止)&gt;0,"已调账","※差异还没调账")))</f>
        <v/>
      </c>
      <c r="Q712" s="17" t="n"/>
      <c r="R712" s="17" t="n"/>
    </row>
    <row r="713">
      <c r="A713" s="24">
        <f>IF(库存台账!$A713="","",库存台账!$A713)</f>
        <v/>
      </c>
      <c r="B713" s="24">
        <f>IF($A713="","",库存台账!$B713)</f>
        <v/>
      </c>
      <c r="C713" s="24">
        <f>IF($A713="","",库存台账!$C713)</f>
        <v/>
      </c>
      <c r="D713" s="24">
        <f>IF($A713="","",库存台账!$D713)</f>
        <v/>
      </c>
      <c r="E713" s="24">
        <f>IF($A713="","",库存台账!$E713)</f>
        <v/>
      </c>
      <c r="F713" s="24">
        <f>IF($A713="","",库存台账!$F713)</f>
        <v/>
      </c>
      <c r="G713" s="17" t="n"/>
      <c r="H713" s="23" t="n"/>
      <c r="I713" s="27">
        <f>IF($A713="","",库存台账!$X713)</f>
        <v/>
      </c>
      <c r="J713" s="27">
        <f>IF(OR($A713="",$H713=""),"",ROUND($H713-$I713,3))</f>
        <v/>
      </c>
      <c r="K713" s="26">
        <f>IF($A713="","",库存台账!$K713)</f>
        <v/>
      </c>
      <c r="L713" s="26">
        <f>IF($J713="","",ROUND($J713*$K713,0))</f>
        <v/>
      </c>
      <c r="M713" s="37">
        <f>IF(OR($J713="",$I713=0),"",ROUND($J713/$I713,4))</f>
        <v/>
      </c>
      <c r="N713" s="17" t="n"/>
      <c r="O713" s="17" t="n"/>
      <c r="P713" s="24">
        <f>IF($J713="","未盘",IF(ROUND($J713,3)=0,"账实相符",IF(COUNTIFS(入库单!$G$4:$G$2503,$A713,入库单!$X$4:$X$2503,"盘盈",入库单!$C$4:$C$2503,"&gt;="&amp;账期起,入库单!$C$4:$C$2503,"&lt;="&amp;账期止)+COUNTIFS(出库单!$D$4:$D$4003,$A713,出库单!$K$4:$K$4003,"盘亏",出库单!$C$4:$C$4003,"&gt;="&amp;账期起,出库单!$C$4:$C$4003,"&lt;="&amp;账期止)&gt;0,"已调账","※差异还没调账")))</f>
        <v/>
      </c>
      <c r="Q713" s="17" t="n"/>
      <c r="R713" s="17" t="n"/>
    </row>
    <row r="714">
      <c r="A714" s="24">
        <f>IF(库存台账!$A714="","",库存台账!$A714)</f>
        <v/>
      </c>
      <c r="B714" s="24">
        <f>IF($A714="","",库存台账!$B714)</f>
        <v/>
      </c>
      <c r="C714" s="24">
        <f>IF($A714="","",库存台账!$C714)</f>
        <v/>
      </c>
      <c r="D714" s="24">
        <f>IF($A714="","",库存台账!$D714)</f>
        <v/>
      </c>
      <c r="E714" s="24">
        <f>IF($A714="","",库存台账!$E714)</f>
        <v/>
      </c>
      <c r="F714" s="24">
        <f>IF($A714="","",库存台账!$F714)</f>
        <v/>
      </c>
      <c r="G714" s="17" t="n"/>
      <c r="H714" s="23" t="n"/>
      <c r="I714" s="27">
        <f>IF($A714="","",库存台账!$X714)</f>
        <v/>
      </c>
      <c r="J714" s="27">
        <f>IF(OR($A714="",$H714=""),"",ROUND($H714-$I714,3))</f>
        <v/>
      </c>
      <c r="K714" s="26">
        <f>IF($A714="","",库存台账!$K714)</f>
        <v/>
      </c>
      <c r="L714" s="26">
        <f>IF($J714="","",ROUND($J714*$K714,0))</f>
        <v/>
      </c>
      <c r="M714" s="37">
        <f>IF(OR($J714="",$I714=0),"",ROUND($J714/$I714,4))</f>
        <v/>
      </c>
      <c r="N714" s="17" t="n"/>
      <c r="O714" s="17" t="n"/>
      <c r="P714" s="24">
        <f>IF($J714="","未盘",IF(ROUND($J714,3)=0,"账实相符",IF(COUNTIFS(入库单!$G$4:$G$2503,$A714,入库单!$X$4:$X$2503,"盘盈",入库单!$C$4:$C$2503,"&gt;="&amp;账期起,入库单!$C$4:$C$2503,"&lt;="&amp;账期止)+COUNTIFS(出库单!$D$4:$D$4003,$A714,出库单!$K$4:$K$4003,"盘亏",出库单!$C$4:$C$4003,"&gt;="&amp;账期起,出库单!$C$4:$C$4003,"&lt;="&amp;账期止)&gt;0,"已调账","※差异还没调账")))</f>
        <v/>
      </c>
      <c r="Q714" s="17" t="n"/>
      <c r="R714" s="17" t="n"/>
    </row>
    <row r="715">
      <c r="A715" s="24">
        <f>IF(库存台账!$A715="","",库存台账!$A715)</f>
        <v/>
      </c>
      <c r="B715" s="24">
        <f>IF($A715="","",库存台账!$B715)</f>
        <v/>
      </c>
      <c r="C715" s="24">
        <f>IF($A715="","",库存台账!$C715)</f>
        <v/>
      </c>
      <c r="D715" s="24">
        <f>IF($A715="","",库存台账!$D715)</f>
        <v/>
      </c>
      <c r="E715" s="24">
        <f>IF($A715="","",库存台账!$E715)</f>
        <v/>
      </c>
      <c r="F715" s="24">
        <f>IF($A715="","",库存台账!$F715)</f>
        <v/>
      </c>
      <c r="G715" s="17" t="n"/>
      <c r="H715" s="23" t="n"/>
      <c r="I715" s="27">
        <f>IF($A715="","",库存台账!$X715)</f>
        <v/>
      </c>
      <c r="J715" s="27">
        <f>IF(OR($A715="",$H715=""),"",ROUND($H715-$I715,3))</f>
        <v/>
      </c>
      <c r="K715" s="26">
        <f>IF($A715="","",库存台账!$K715)</f>
        <v/>
      </c>
      <c r="L715" s="26">
        <f>IF($J715="","",ROUND($J715*$K715,0))</f>
        <v/>
      </c>
      <c r="M715" s="37">
        <f>IF(OR($J715="",$I715=0),"",ROUND($J715/$I715,4))</f>
        <v/>
      </c>
      <c r="N715" s="17" t="n"/>
      <c r="O715" s="17" t="n"/>
      <c r="P715" s="24">
        <f>IF($J715="","未盘",IF(ROUND($J715,3)=0,"账实相符",IF(COUNTIFS(入库单!$G$4:$G$2503,$A715,入库单!$X$4:$X$2503,"盘盈",入库单!$C$4:$C$2503,"&gt;="&amp;账期起,入库单!$C$4:$C$2503,"&lt;="&amp;账期止)+COUNTIFS(出库单!$D$4:$D$4003,$A715,出库单!$K$4:$K$4003,"盘亏",出库单!$C$4:$C$4003,"&gt;="&amp;账期起,出库单!$C$4:$C$4003,"&lt;="&amp;账期止)&gt;0,"已调账","※差异还没调账")))</f>
        <v/>
      </c>
      <c r="Q715" s="17" t="n"/>
      <c r="R715" s="17" t="n"/>
    </row>
    <row r="716">
      <c r="A716" s="24">
        <f>IF(库存台账!$A716="","",库存台账!$A716)</f>
        <v/>
      </c>
      <c r="B716" s="24">
        <f>IF($A716="","",库存台账!$B716)</f>
        <v/>
      </c>
      <c r="C716" s="24">
        <f>IF($A716="","",库存台账!$C716)</f>
        <v/>
      </c>
      <c r="D716" s="24">
        <f>IF($A716="","",库存台账!$D716)</f>
        <v/>
      </c>
      <c r="E716" s="24">
        <f>IF($A716="","",库存台账!$E716)</f>
        <v/>
      </c>
      <c r="F716" s="24">
        <f>IF($A716="","",库存台账!$F716)</f>
        <v/>
      </c>
      <c r="G716" s="17" t="n"/>
      <c r="H716" s="23" t="n"/>
      <c r="I716" s="27">
        <f>IF($A716="","",库存台账!$X716)</f>
        <v/>
      </c>
      <c r="J716" s="27">
        <f>IF(OR($A716="",$H716=""),"",ROUND($H716-$I716,3))</f>
        <v/>
      </c>
      <c r="K716" s="26">
        <f>IF($A716="","",库存台账!$K716)</f>
        <v/>
      </c>
      <c r="L716" s="26">
        <f>IF($J716="","",ROUND($J716*$K716,0))</f>
        <v/>
      </c>
      <c r="M716" s="37">
        <f>IF(OR($J716="",$I716=0),"",ROUND($J716/$I716,4))</f>
        <v/>
      </c>
      <c r="N716" s="17" t="n"/>
      <c r="O716" s="17" t="n"/>
      <c r="P716" s="24">
        <f>IF($J716="","未盘",IF(ROUND($J716,3)=0,"账实相符",IF(COUNTIFS(入库单!$G$4:$G$2503,$A716,入库单!$X$4:$X$2503,"盘盈",入库单!$C$4:$C$2503,"&gt;="&amp;账期起,入库单!$C$4:$C$2503,"&lt;="&amp;账期止)+COUNTIFS(出库单!$D$4:$D$4003,$A716,出库单!$K$4:$K$4003,"盘亏",出库单!$C$4:$C$4003,"&gt;="&amp;账期起,出库单!$C$4:$C$4003,"&lt;="&amp;账期止)&gt;0,"已调账","※差异还没调账")))</f>
        <v/>
      </c>
      <c r="Q716" s="17" t="n"/>
      <c r="R716" s="17" t="n"/>
    </row>
    <row r="717">
      <c r="A717" s="24">
        <f>IF(库存台账!$A717="","",库存台账!$A717)</f>
        <v/>
      </c>
      <c r="B717" s="24">
        <f>IF($A717="","",库存台账!$B717)</f>
        <v/>
      </c>
      <c r="C717" s="24">
        <f>IF($A717="","",库存台账!$C717)</f>
        <v/>
      </c>
      <c r="D717" s="24">
        <f>IF($A717="","",库存台账!$D717)</f>
        <v/>
      </c>
      <c r="E717" s="24">
        <f>IF($A717="","",库存台账!$E717)</f>
        <v/>
      </c>
      <c r="F717" s="24">
        <f>IF($A717="","",库存台账!$F717)</f>
        <v/>
      </c>
      <c r="G717" s="17" t="n"/>
      <c r="H717" s="23" t="n"/>
      <c r="I717" s="27">
        <f>IF($A717="","",库存台账!$X717)</f>
        <v/>
      </c>
      <c r="J717" s="27">
        <f>IF(OR($A717="",$H717=""),"",ROUND($H717-$I717,3))</f>
        <v/>
      </c>
      <c r="K717" s="26">
        <f>IF($A717="","",库存台账!$K717)</f>
        <v/>
      </c>
      <c r="L717" s="26">
        <f>IF($J717="","",ROUND($J717*$K717,0))</f>
        <v/>
      </c>
      <c r="M717" s="37">
        <f>IF(OR($J717="",$I717=0),"",ROUND($J717/$I717,4))</f>
        <v/>
      </c>
      <c r="N717" s="17" t="n"/>
      <c r="O717" s="17" t="n"/>
      <c r="P717" s="24">
        <f>IF($J717="","未盘",IF(ROUND($J717,3)=0,"账实相符",IF(COUNTIFS(入库单!$G$4:$G$2503,$A717,入库单!$X$4:$X$2503,"盘盈",入库单!$C$4:$C$2503,"&gt;="&amp;账期起,入库单!$C$4:$C$2503,"&lt;="&amp;账期止)+COUNTIFS(出库单!$D$4:$D$4003,$A717,出库单!$K$4:$K$4003,"盘亏",出库单!$C$4:$C$4003,"&gt;="&amp;账期起,出库单!$C$4:$C$4003,"&lt;="&amp;账期止)&gt;0,"已调账","※差异还没调账")))</f>
        <v/>
      </c>
      <c r="Q717" s="17" t="n"/>
      <c r="R717" s="17" t="n"/>
    </row>
    <row r="718">
      <c r="A718" s="24">
        <f>IF(库存台账!$A718="","",库存台账!$A718)</f>
        <v/>
      </c>
      <c r="B718" s="24">
        <f>IF($A718="","",库存台账!$B718)</f>
        <v/>
      </c>
      <c r="C718" s="24">
        <f>IF($A718="","",库存台账!$C718)</f>
        <v/>
      </c>
      <c r="D718" s="24">
        <f>IF($A718="","",库存台账!$D718)</f>
        <v/>
      </c>
      <c r="E718" s="24">
        <f>IF($A718="","",库存台账!$E718)</f>
        <v/>
      </c>
      <c r="F718" s="24">
        <f>IF($A718="","",库存台账!$F718)</f>
        <v/>
      </c>
      <c r="G718" s="17" t="n"/>
      <c r="H718" s="23" t="n"/>
      <c r="I718" s="27">
        <f>IF($A718="","",库存台账!$X718)</f>
        <v/>
      </c>
      <c r="J718" s="27">
        <f>IF(OR($A718="",$H718=""),"",ROUND($H718-$I718,3))</f>
        <v/>
      </c>
      <c r="K718" s="26">
        <f>IF($A718="","",库存台账!$K718)</f>
        <v/>
      </c>
      <c r="L718" s="26">
        <f>IF($J718="","",ROUND($J718*$K718,0))</f>
        <v/>
      </c>
      <c r="M718" s="37">
        <f>IF(OR($J718="",$I718=0),"",ROUND($J718/$I718,4))</f>
        <v/>
      </c>
      <c r="N718" s="17" t="n"/>
      <c r="O718" s="17" t="n"/>
      <c r="P718" s="24">
        <f>IF($J718="","未盘",IF(ROUND($J718,3)=0,"账实相符",IF(COUNTIFS(入库单!$G$4:$G$2503,$A718,入库单!$X$4:$X$2503,"盘盈",入库单!$C$4:$C$2503,"&gt;="&amp;账期起,入库单!$C$4:$C$2503,"&lt;="&amp;账期止)+COUNTIFS(出库单!$D$4:$D$4003,$A718,出库单!$K$4:$K$4003,"盘亏",出库单!$C$4:$C$4003,"&gt;="&amp;账期起,出库单!$C$4:$C$4003,"&lt;="&amp;账期止)&gt;0,"已调账","※差异还没调账")))</f>
        <v/>
      </c>
      <c r="Q718" s="17" t="n"/>
      <c r="R718" s="17" t="n"/>
    </row>
    <row r="719">
      <c r="A719" s="24">
        <f>IF(库存台账!$A719="","",库存台账!$A719)</f>
        <v/>
      </c>
      <c r="B719" s="24">
        <f>IF($A719="","",库存台账!$B719)</f>
        <v/>
      </c>
      <c r="C719" s="24">
        <f>IF($A719="","",库存台账!$C719)</f>
        <v/>
      </c>
      <c r="D719" s="24">
        <f>IF($A719="","",库存台账!$D719)</f>
        <v/>
      </c>
      <c r="E719" s="24">
        <f>IF($A719="","",库存台账!$E719)</f>
        <v/>
      </c>
      <c r="F719" s="24">
        <f>IF($A719="","",库存台账!$F719)</f>
        <v/>
      </c>
      <c r="G719" s="17" t="n"/>
      <c r="H719" s="23" t="n"/>
      <c r="I719" s="27">
        <f>IF($A719="","",库存台账!$X719)</f>
        <v/>
      </c>
      <c r="J719" s="27">
        <f>IF(OR($A719="",$H719=""),"",ROUND($H719-$I719,3))</f>
        <v/>
      </c>
      <c r="K719" s="26">
        <f>IF($A719="","",库存台账!$K719)</f>
        <v/>
      </c>
      <c r="L719" s="26">
        <f>IF($J719="","",ROUND($J719*$K719,0))</f>
        <v/>
      </c>
      <c r="M719" s="37">
        <f>IF(OR($J719="",$I719=0),"",ROUND($J719/$I719,4))</f>
        <v/>
      </c>
      <c r="N719" s="17" t="n"/>
      <c r="O719" s="17" t="n"/>
      <c r="P719" s="24">
        <f>IF($J719="","未盘",IF(ROUND($J719,3)=0,"账实相符",IF(COUNTIFS(入库单!$G$4:$G$2503,$A719,入库单!$X$4:$X$2503,"盘盈",入库单!$C$4:$C$2503,"&gt;="&amp;账期起,入库单!$C$4:$C$2503,"&lt;="&amp;账期止)+COUNTIFS(出库单!$D$4:$D$4003,$A719,出库单!$K$4:$K$4003,"盘亏",出库单!$C$4:$C$4003,"&gt;="&amp;账期起,出库单!$C$4:$C$4003,"&lt;="&amp;账期止)&gt;0,"已调账","※差异还没调账")))</f>
        <v/>
      </c>
      <c r="Q719" s="17" t="n"/>
      <c r="R719" s="17" t="n"/>
    </row>
    <row r="720">
      <c r="A720" s="24">
        <f>IF(库存台账!$A720="","",库存台账!$A720)</f>
        <v/>
      </c>
      <c r="B720" s="24">
        <f>IF($A720="","",库存台账!$B720)</f>
        <v/>
      </c>
      <c r="C720" s="24">
        <f>IF($A720="","",库存台账!$C720)</f>
        <v/>
      </c>
      <c r="D720" s="24">
        <f>IF($A720="","",库存台账!$D720)</f>
        <v/>
      </c>
      <c r="E720" s="24">
        <f>IF($A720="","",库存台账!$E720)</f>
        <v/>
      </c>
      <c r="F720" s="24">
        <f>IF($A720="","",库存台账!$F720)</f>
        <v/>
      </c>
      <c r="G720" s="17" t="n"/>
      <c r="H720" s="23" t="n"/>
      <c r="I720" s="27">
        <f>IF($A720="","",库存台账!$X720)</f>
        <v/>
      </c>
      <c r="J720" s="27">
        <f>IF(OR($A720="",$H720=""),"",ROUND($H720-$I720,3))</f>
        <v/>
      </c>
      <c r="K720" s="26">
        <f>IF($A720="","",库存台账!$K720)</f>
        <v/>
      </c>
      <c r="L720" s="26">
        <f>IF($J720="","",ROUND($J720*$K720,0))</f>
        <v/>
      </c>
      <c r="M720" s="37">
        <f>IF(OR($J720="",$I720=0),"",ROUND($J720/$I720,4))</f>
        <v/>
      </c>
      <c r="N720" s="17" t="n"/>
      <c r="O720" s="17" t="n"/>
      <c r="P720" s="24">
        <f>IF($J720="","未盘",IF(ROUND($J720,3)=0,"账实相符",IF(COUNTIFS(入库单!$G$4:$G$2503,$A720,入库单!$X$4:$X$2503,"盘盈",入库单!$C$4:$C$2503,"&gt;="&amp;账期起,入库单!$C$4:$C$2503,"&lt;="&amp;账期止)+COUNTIFS(出库单!$D$4:$D$4003,$A720,出库单!$K$4:$K$4003,"盘亏",出库单!$C$4:$C$4003,"&gt;="&amp;账期起,出库单!$C$4:$C$4003,"&lt;="&amp;账期止)&gt;0,"已调账","※差异还没调账")))</f>
        <v/>
      </c>
      <c r="Q720" s="17" t="n"/>
      <c r="R720" s="17" t="n"/>
    </row>
    <row r="721">
      <c r="A721" s="24">
        <f>IF(库存台账!$A721="","",库存台账!$A721)</f>
        <v/>
      </c>
      <c r="B721" s="24">
        <f>IF($A721="","",库存台账!$B721)</f>
        <v/>
      </c>
      <c r="C721" s="24">
        <f>IF($A721="","",库存台账!$C721)</f>
        <v/>
      </c>
      <c r="D721" s="24">
        <f>IF($A721="","",库存台账!$D721)</f>
        <v/>
      </c>
      <c r="E721" s="24">
        <f>IF($A721="","",库存台账!$E721)</f>
        <v/>
      </c>
      <c r="F721" s="24">
        <f>IF($A721="","",库存台账!$F721)</f>
        <v/>
      </c>
      <c r="G721" s="17" t="n"/>
      <c r="H721" s="23" t="n"/>
      <c r="I721" s="27">
        <f>IF($A721="","",库存台账!$X721)</f>
        <v/>
      </c>
      <c r="J721" s="27">
        <f>IF(OR($A721="",$H721=""),"",ROUND($H721-$I721,3))</f>
        <v/>
      </c>
      <c r="K721" s="26">
        <f>IF($A721="","",库存台账!$K721)</f>
        <v/>
      </c>
      <c r="L721" s="26">
        <f>IF($J721="","",ROUND($J721*$K721,0))</f>
        <v/>
      </c>
      <c r="M721" s="37">
        <f>IF(OR($J721="",$I721=0),"",ROUND($J721/$I721,4))</f>
        <v/>
      </c>
      <c r="N721" s="17" t="n"/>
      <c r="O721" s="17" t="n"/>
      <c r="P721" s="24">
        <f>IF($J721="","未盘",IF(ROUND($J721,3)=0,"账实相符",IF(COUNTIFS(入库单!$G$4:$G$2503,$A721,入库单!$X$4:$X$2503,"盘盈",入库单!$C$4:$C$2503,"&gt;="&amp;账期起,入库单!$C$4:$C$2503,"&lt;="&amp;账期止)+COUNTIFS(出库单!$D$4:$D$4003,$A721,出库单!$K$4:$K$4003,"盘亏",出库单!$C$4:$C$4003,"&gt;="&amp;账期起,出库单!$C$4:$C$4003,"&lt;="&amp;账期止)&gt;0,"已调账","※差异还没调账")))</f>
        <v/>
      </c>
      <c r="Q721" s="17" t="n"/>
      <c r="R721" s="17" t="n"/>
    </row>
    <row r="722">
      <c r="A722" s="24">
        <f>IF(库存台账!$A722="","",库存台账!$A722)</f>
        <v/>
      </c>
      <c r="B722" s="24">
        <f>IF($A722="","",库存台账!$B722)</f>
        <v/>
      </c>
      <c r="C722" s="24">
        <f>IF($A722="","",库存台账!$C722)</f>
        <v/>
      </c>
      <c r="D722" s="24">
        <f>IF($A722="","",库存台账!$D722)</f>
        <v/>
      </c>
      <c r="E722" s="24">
        <f>IF($A722="","",库存台账!$E722)</f>
        <v/>
      </c>
      <c r="F722" s="24">
        <f>IF($A722="","",库存台账!$F722)</f>
        <v/>
      </c>
      <c r="G722" s="17" t="n"/>
      <c r="H722" s="23" t="n"/>
      <c r="I722" s="27">
        <f>IF($A722="","",库存台账!$X722)</f>
        <v/>
      </c>
      <c r="J722" s="27">
        <f>IF(OR($A722="",$H722=""),"",ROUND($H722-$I722,3))</f>
        <v/>
      </c>
      <c r="K722" s="26">
        <f>IF($A722="","",库存台账!$K722)</f>
        <v/>
      </c>
      <c r="L722" s="26">
        <f>IF($J722="","",ROUND($J722*$K722,0))</f>
        <v/>
      </c>
      <c r="M722" s="37">
        <f>IF(OR($J722="",$I722=0),"",ROUND($J722/$I722,4))</f>
        <v/>
      </c>
      <c r="N722" s="17" t="n"/>
      <c r="O722" s="17" t="n"/>
      <c r="P722" s="24">
        <f>IF($J722="","未盘",IF(ROUND($J722,3)=0,"账实相符",IF(COUNTIFS(入库单!$G$4:$G$2503,$A722,入库单!$X$4:$X$2503,"盘盈",入库单!$C$4:$C$2503,"&gt;="&amp;账期起,入库单!$C$4:$C$2503,"&lt;="&amp;账期止)+COUNTIFS(出库单!$D$4:$D$4003,$A722,出库单!$K$4:$K$4003,"盘亏",出库单!$C$4:$C$4003,"&gt;="&amp;账期起,出库单!$C$4:$C$4003,"&lt;="&amp;账期止)&gt;0,"已调账","※差异还没调账")))</f>
        <v/>
      </c>
      <c r="Q722" s="17" t="n"/>
      <c r="R722" s="17" t="n"/>
    </row>
    <row r="723">
      <c r="A723" s="24">
        <f>IF(库存台账!$A723="","",库存台账!$A723)</f>
        <v/>
      </c>
      <c r="B723" s="24">
        <f>IF($A723="","",库存台账!$B723)</f>
        <v/>
      </c>
      <c r="C723" s="24">
        <f>IF($A723="","",库存台账!$C723)</f>
        <v/>
      </c>
      <c r="D723" s="24">
        <f>IF($A723="","",库存台账!$D723)</f>
        <v/>
      </c>
      <c r="E723" s="24">
        <f>IF($A723="","",库存台账!$E723)</f>
        <v/>
      </c>
      <c r="F723" s="24">
        <f>IF($A723="","",库存台账!$F723)</f>
        <v/>
      </c>
      <c r="G723" s="17" t="n"/>
      <c r="H723" s="23" t="n"/>
      <c r="I723" s="27">
        <f>IF($A723="","",库存台账!$X723)</f>
        <v/>
      </c>
      <c r="J723" s="27">
        <f>IF(OR($A723="",$H723=""),"",ROUND($H723-$I723,3))</f>
        <v/>
      </c>
      <c r="K723" s="26">
        <f>IF($A723="","",库存台账!$K723)</f>
        <v/>
      </c>
      <c r="L723" s="26">
        <f>IF($J723="","",ROUND($J723*$K723,0))</f>
        <v/>
      </c>
      <c r="M723" s="37">
        <f>IF(OR($J723="",$I723=0),"",ROUND($J723/$I723,4))</f>
        <v/>
      </c>
      <c r="N723" s="17" t="n"/>
      <c r="O723" s="17" t="n"/>
      <c r="P723" s="24">
        <f>IF($J723="","未盘",IF(ROUND($J723,3)=0,"账实相符",IF(COUNTIFS(入库单!$G$4:$G$2503,$A723,入库单!$X$4:$X$2503,"盘盈",入库单!$C$4:$C$2503,"&gt;="&amp;账期起,入库单!$C$4:$C$2503,"&lt;="&amp;账期止)+COUNTIFS(出库单!$D$4:$D$4003,$A723,出库单!$K$4:$K$4003,"盘亏",出库单!$C$4:$C$4003,"&gt;="&amp;账期起,出库单!$C$4:$C$4003,"&lt;="&amp;账期止)&gt;0,"已调账","※差异还没调账")))</f>
        <v/>
      </c>
      <c r="Q723" s="17" t="n"/>
      <c r="R723" s="17" t="n"/>
    </row>
    <row r="724">
      <c r="A724" s="24">
        <f>IF(库存台账!$A724="","",库存台账!$A724)</f>
        <v/>
      </c>
      <c r="B724" s="24">
        <f>IF($A724="","",库存台账!$B724)</f>
        <v/>
      </c>
      <c r="C724" s="24">
        <f>IF($A724="","",库存台账!$C724)</f>
        <v/>
      </c>
      <c r="D724" s="24">
        <f>IF($A724="","",库存台账!$D724)</f>
        <v/>
      </c>
      <c r="E724" s="24">
        <f>IF($A724="","",库存台账!$E724)</f>
        <v/>
      </c>
      <c r="F724" s="24">
        <f>IF($A724="","",库存台账!$F724)</f>
        <v/>
      </c>
      <c r="G724" s="17" t="n"/>
      <c r="H724" s="23" t="n"/>
      <c r="I724" s="27">
        <f>IF($A724="","",库存台账!$X724)</f>
        <v/>
      </c>
      <c r="J724" s="27">
        <f>IF(OR($A724="",$H724=""),"",ROUND($H724-$I724,3))</f>
        <v/>
      </c>
      <c r="K724" s="26">
        <f>IF($A724="","",库存台账!$K724)</f>
        <v/>
      </c>
      <c r="L724" s="26">
        <f>IF($J724="","",ROUND($J724*$K724,0))</f>
        <v/>
      </c>
      <c r="M724" s="37">
        <f>IF(OR($J724="",$I724=0),"",ROUND($J724/$I724,4))</f>
        <v/>
      </c>
      <c r="N724" s="17" t="n"/>
      <c r="O724" s="17" t="n"/>
      <c r="P724" s="24">
        <f>IF($J724="","未盘",IF(ROUND($J724,3)=0,"账实相符",IF(COUNTIFS(入库单!$G$4:$G$2503,$A724,入库单!$X$4:$X$2503,"盘盈",入库单!$C$4:$C$2503,"&gt;="&amp;账期起,入库单!$C$4:$C$2503,"&lt;="&amp;账期止)+COUNTIFS(出库单!$D$4:$D$4003,$A724,出库单!$K$4:$K$4003,"盘亏",出库单!$C$4:$C$4003,"&gt;="&amp;账期起,出库单!$C$4:$C$4003,"&lt;="&amp;账期止)&gt;0,"已调账","※差异还没调账")))</f>
        <v/>
      </c>
      <c r="Q724" s="17" t="n"/>
      <c r="R724" s="17" t="n"/>
    </row>
    <row r="725">
      <c r="A725" s="24">
        <f>IF(库存台账!$A725="","",库存台账!$A725)</f>
        <v/>
      </c>
      <c r="B725" s="24">
        <f>IF($A725="","",库存台账!$B725)</f>
        <v/>
      </c>
      <c r="C725" s="24">
        <f>IF($A725="","",库存台账!$C725)</f>
        <v/>
      </c>
      <c r="D725" s="24">
        <f>IF($A725="","",库存台账!$D725)</f>
        <v/>
      </c>
      <c r="E725" s="24">
        <f>IF($A725="","",库存台账!$E725)</f>
        <v/>
      </c>
      <c r="F725" s="24">
        <f>IF($A725="","",库存台账!$F725)</f>
        <v/>
      </c>
      <c r="G725" s="17" t="n"/>
      <c r="H725" s="23" t="n"/>
      <c r="I725" s="27">
        <f>IF($A725="","",库存台账!$X725)</f>
        <v/>
      </c>
      <c r="J725" s="27">
        <f>IF(OR($A725="",$H725=""),"",ROUND($H725-$I725,3))</f>
        <v/>
      </c>
      <c r="K725" s="26">
        <f>IF($A725="","",库存台账!$K725)</f>
        <v/>
      </c>
      <c r="L725" s="26">
        <f>IF($J725="","",ROUND($J725*$K725,0))</f>
        <v/>
      </c>
      <c r="M725" s="37">
        <f>IF(OR($J725="",$I725=0),"",ROUND($J725/$I725,4))</f>
        <v/>
      </c>
      <c r="N725" s="17" t="n"/>
      <c r="O725" s="17" t="n"/>
      <c r="P725" s="24">
        <f>IF($J725="","未盘",IF(ROUND($J725,3)=0,"账实相符",IF(COUNTIFS(入库单!$G$4:$G$2503,$A725,入库单!$X$4:$X$2503,"盘盈",入库单!$C$4:$C$2503,"&gt;="&amp;账期起,入库单!$C$4:$C$2503,"&lt;="&amp;账期止)+COUNTIFS(出库单!$D$4:$D$4003,$A725,出库单!$K$4:$K$4003,"盘亏",出库单!$C$4:$C$4003,"&gt;="&amp;账期起,出库单!$C$4:$C$4003,"&lt;="&amp;账期止)&gt;0,"已调账","※差异还没调账")))</f>
        <v/>
      </c>
      <c r="Q725" s="17" t="n"/>
      <c r="R725" s="17" t="n"/>
    </row>
    <row r="726">
      <c r="A726" s="24">
        <f>IF(库存台账!$A726="","",库存台账!$A726)</f>
        <v/>
      </c>
      <c r="B726" s="24">
        <f>IF($A726="","",库存台账!$B726)</f>
        <v/>
      </c>
      <c r="C726" s="24">
        <f>IF($A726="","",库存台账!$C726)</f>
        <v/>
      </c>
      <c r="D726" s="24">
        <f>IF($A726="","",库存台账!$D726)</f>
        <v/>
      </c>
      <c r="E726" s="24">
        <f>IF($A726="","",库存台账!$E726)</f>
        <v/>
      </c>
      <c r="F726" s="24">
        <f>IF($A726="","",库存台账!$F726)</f>
        <v/>
      </c>
      <c r="G726" s="17" t="n"/>
      <c r="H726" s="23" t="n"/>
      <c r="I726" s="27">
        <f>IF($A726="","",库存台账!$X726)</f>
        <v/>
      </c>
      <c r="J726" s="27">
        <f>IF(OR($A726="",$H726=""),"",ROUND($H726-$I726,3))</f>
        <v/>
      </c>
      <c r="K726" s="26">
        <f>IF($A726="","",库存台账!$K726)</f>
        <v/>
      </c>
      <c r="L726" s="26">
        <f>IF($J726="","",ROUND($J726*$K726,0))</f>
        <v/>
      </c>
      <c r="M726" s="37">
        <f>IF(OR($J726="",$I726=0),"",ROUND($J726/$I726,4))</f>
        <v/>
      </c>
      <c r="N726" s="17" t="n"/>
      <c r="O726" s="17" t="n"/>
      <c r="P726" s="24">
        <f>IF($J726="","未盘",IF(ROUND($J726,3)=0,"账实相符",IF(COUNTIFS(入库单!$G$4:$G$2503,$A726,入库单!$X$4:$X$2503,"盘盈",入库单!$C$4:$C$2503,"&gt;="&amp;账期起,入库单!$C$4:$C$2503,"&lt;="&amp;账期止)+COUNTIFS(出库单!$D$4:$D$4003,$A726,出库单!$K$4:$K$4003,"盘亏",出库单!$C$4:$C$4003,"&gt;="&amp;账期起,出库单!$C$4:$C$4003,"&lt;="&amp;账期止)&gt;0,"已调账","※差异还没调账")))</f>
        <v/>
      </c>
      <c r="Q726" s="17" t="n"/>
      <c r="R726" s="17" t="n"/>
    </row>
    <row r="727">
      <c r="A727" s="24">
        <f>IF(库存台账!$A727="","",库存台账!$A727)</f>
        <v/>
      </c>
      <c r="B727" s="24">
        <f>IF($A727="","",库存台账!$B727)</f>
        <v/>
      </c>
      <c r="C727" s="24">
        <f>IF($A727="","",库存台账!$C727)</f>
        <v/>
      </c>
      <c r="D727" s="24">
        <f>IF($A727="","",库存台账!$D727)</f>
        <v/>
      </c>
      <c r="E727" s="24">
        <f>IF($A727="","",库存台账!$E727)</f>
        <v/>
      </c>
      <c r="F727" s="24">
        <f>IF($A727="","",库存台账!$F727)</f>
        <v/>
      </c>
      <c r="G727" s="17" t="n"/>
      <c r="H727" s="23" t="n"/>
      <c r="I727" s="27">
        <f>IF($A727="","",库存台账!$X727)</f>
        <v/>
      </c>
      <c r="J727" s="27">
        <f>IF(OR($A727="",$H727=""),"",ROUND($H727-$I727,3))</f>
        <v/>
      </c>
      <c r="K727" s="26">
        <f>IF($A727="","",库存台账!$K727)</f>
        <v/>
      </c>
      <c r="L727" s="26">
        <f>IF($J727="","",ROUND($J727*$K727,0))</f>
        <v/>
      </c>
      <c r="M727" s="37">
        <f>IF(OR($J727="",$I727=0),"",ROUND($J727/$I727,4))</f>
        <v/>
      </c>
      <c r="N727" s="17" t="n"/>
      <c r="O727" s="17" t="n"/>
      <c r="P727" s="24">
        <f>IF($J727="","未盘",IF(ROUND($J727,3)=0,"账实相符",IF(COUNTIFS(入库单!$G$4:$G$2503,$A727,入库单!$X$4:$X$2503,"盘盈",入库单!$C$4:$C$2503,"&gt;="&amp;账期起,入库单!$C$4:$C$2503,"&lt;="&amp;账期止)+COUNTIFS(出库单!$D$4:$D$4003,$A727,出库单!$K$4:$K$4003,"盘亏",出库单!$C$4:$C$4003,"&gt;="&amp;账期起,出库单!$C$4:$C$4003,"&lt;="&amp;账期止)&gt;0,"已调账","※差异还没调账")))</f>
        <v/>
      </c>
      <c r="Q727" s="17" t="n"/>
      <c r="R727" s="17" t="n"/>
    </row>
    <row r="728">
      <c r="A728" s="24">
        <f>IF(库存台账!$A728="","",库存台账!$A728)</f>
        <v/>
      </c>
      <c r="B728" s="24">
        <f>IF($A728="","",库存台账!$B728)</f>
        <v/>
      </c>
      <c r="C728" s="24">
        <f>IF($A728="","",库存台账!$C728)</f>
        <v/>
      </c>
      <c r="D728" s="24">
        <f>IF($A728="","",库存台账!$D728)</f>
        <v/>
      </c>
      <c r="E728" s="24">
        <f>IF($A728="","",库存台账!$E728)</f>
        <v/>
      </c>
      <c r="F728" s="24">
        <f>IF($A728="","",库存台账!$F728)</f>
        <v/>
      </c>
      <c r="G728" s="17" t="n"/>
      <c r="H728" s="23" t="n"/>
      <c r="I728" s="27">
        <f>IF($A728="","",库存台账!$X728)</f>
        <v/>
      </c>
      <c r="J728" s="27">
        <f>IF(OR($A728="",$H728=""),"",ROUND($H728-$I728,3))</f>
        <v/>
      </c>
      <c r="K728" s="26">
        <f>IF($A728="","",库存台账!$K728)</f>
        <v/>
      </c>
      <c r="L728" s="26">
        <f>IF($J728="","",ROUND($J728*$K728,0))</f>
        <v/>
      </c>
      <c r="M728" s="37">
        <f>IF(OR($J728="",$I728=0),"",ROUND($J728/$I728,4))</f>
        <v/>
      </c>
      <c r="N728" s="17" t="n"/>
      <c r="O728" s="17" t="n"/>
      <c r="P728" s="24">
        <f>IF($J728="","未盘",IF(ROUND($J728,3)=0,"账实相符",IF(COUNTIFS(入库单!$G$4:$G$2503,$A728,入库单!$X$4:$X$2503,"盘盈",入库单!$C$4:$C$2503,"&gt;="&amp;账期起,入库单!$C$4:$C$2503,"&lt;="&amp;账期止)+COUNTIFS(出库单!$D$4:$D$4003,$A728,出库单!$K$4:$K$4003,"盘亏",出库单!$C$4:$C$4003,"&gt;="&amp;账期起,出库单!$C$4:$C$4003,"&lt;="&amp;账期止)&gt;0,"已调账","※差异还没调账")))</f>
        <v/>
      </c>
      <c r="Q728" s="17" t="n"/>
      <c r="R728" s="17" t="n"/>
    </row>
    <row r="729">
      <c r="A729" s="24">
        <f>IF(库存台账!$A729="","",库存台账!$A729)</f>
        <v/>
      </c>
      <c r="B729" s="24">
        <f>IF($A729="","",库存台账!$B729)</f>
        <v/>
      </c>
      <c r="C729" s="24">
        <f>IF($A729="","",库存台账!$C729)</f>
        <v/>
      </c>
      <c r="D729" s="24">
        <f>IF($A729="","",库存台账!$D729)</f>
        <v/>
      </c>
      <c r="E729" s="24">
        <f>IF($A729="","",库存台账!$E729)</f>
        <v/>
      </c>
      <c r="F729" s="24">
        <f>IF($A729="","",库存台账!$F729)</f>
        <v/>
      </c>
      <c r="G729" s="17" t="n"/>
      <c r="H729" s="23" t="n"/>
      <c r="I729" s="27">
        <f>IF($A729="","",库存台账!$X729)</f>
        <v/>
      </c>
      <c r="J729" s="27">
        <f>IF(OR($A729="",$H729=""),"",ROUND($H729-$I729,3))</f>
        <v/>
      </c>
      <c r="K729" s="26">
        <f>IF($A729="","",库存台账!$K729)</f>
        <v/>
      </c>
      <c r="L729" s="26">
        <f>IF($J729="","",ROUND($J729*$K729,0))</f>
        <v/>
      </c>
      <c r="M729" s="37">
        <f>IF(OR($J729="",$I729=0),"",ROUND($J729/$I729,4))</f>
        <v/>
      </c>
      <c r="N729" s="17" t="n"/>
      <c r="O729" s="17" t="n"/>
      <c r="P729" s="24">
        <f>IF($J729="","未盘",IF(ROUND($J729,3)=0,"账实相符",IF(COUNTIFS(入库单!$G$4:$G$2503,$A729,入库单!$X$4:$X$2503,"盘盈",入库单!$C$4:$C$2503,"&gt;="&amp;账期起,入库单!$C$4:$C$2503,"&lt;="&amp;账期止)+COUNTIFS(出库单!$D$4:$D$4003,$A729,出库单!$K$4:$K$4003,"盘亏",出库单!$C$4:$C$4003,"&gt;="&amp;账期起,出库单!$C$4:$C$4003,"&lt;="&amp;账期止)&gt;0,"已调账","※差异还没调账")))</f>
        <v/>
      </c>
      <c r="Q729" s="17" t="n"/>
      <c r="R729" s="17" t="n"/>
    </row>
    <row r="730">
      <c r="A730" s="24">
        <f>IF(库存台账!$A730="","",库存台账!$A730)</f>
        <v/>
      </c>
      <c r="B730" s="24">
        <f>IF($A730="","",库存台账!$B730)</f>
        <v/>
      </c>
      <c r="C730" s="24">
        <f>IF($A730="","",库存台账!$C730)</f>
        <v/>
      </c>
      <c r="D730" s="24">
        <f>IF($A730="","",库存台账!$D730)</f>
        <v/>
      </c>
      <c r="E730" s="24">
        <f>IF($A730="","",库存台账!$E730)</f>
        <v/>
      </c>
      <c r="F730" s="24">
        <f>IF($A730="","",库存台账!$F730)</f>
        <v/>
      </c>
      <c r="G730" s="17" t="n"/>
      <c r="H730" s="23" t="n"/>
      <c r="I730" s="27">
        <f>IF($A730="","",库存台账!$X730)</f>
        <v/>
      </c>
      <c r="J730" s="27">
        <f>IF(OR($A730="",$H730=""),"",ROUND($H730-$I730,3))</f>
        <v/>
      </c>
      <c r="K730" s="26">
        <f>IF($A730="","",库存台账!$K730)</f>
        <v/>
      </c>
      <c r="L730" s="26">
        <f>IF($J730="","",ROUND($J730*$K730,0))</f>
        <v/>
      </c>
      <c r="M730" s="37">
        <f>IF(OR($J730="",$I730=0),"",ROUND($J730/$I730,4))</f>
        <v/>
      </c>
      <c r="N730" s="17" t="n"/>
      <c r="O730" s="17" t="n"/>
      <c r="P730" s="24">
        <f>IF($J730="","未盘",IF(ROUND($J730,3)=0,"账实相符",IF(COUNTIFS(入库单!$G$4:$G$2503,$A730,入库单!$X$4:$X$2503,"盘盈",入库单!$C$4:$C$2503,"&gt;="&amp;账期起,入库单!$C$4:$C$2503,"&lt;="&amp;账期止)+COUNTIFS(出库单!$D$4:$D$4003,$A730,出库单!$K$4:$K$4003,"盘亏",出库单!$C$4:$C$4003,"&gt;="&amp;账期起,出库单!$C$4:$C$4003,"&lt;="&amp;账期止)&gt;0,"已调账","※差异还没调账")))</f>
        <v/>
      </c>
      <c r="Q730" s="17" t="n"/>
      <c r="R730" s="17" t="n"/>
    </row>
    <row r="731">
      <c r="A731" s="24">
        <f>IF(库存台账!$A731="","",库存台账!$A731)</f>
        <v/>
      </c>
      <c r="B731" s="24">
        <f>IF($A731="","",库存台账!$B731)</f>
        <v/>
      </c>
      <c r="C731" s="24">
        <f>IF($A731="","",库存台账!$C731)</f>
        <v/>
      </c>
      <c r="D731" s="24">
        <f>IF($A731="","",库存台账!$D731)</f>
        <v/>
      </c>
      <c r="E731" s="24">
        <f>IF($A731="","",库存台账!$E731)</f>
        <v/>
      </c>
      <c r="F731" s="24">
        <f>IF($A731="","",库存台账!$F731)</f>
        <v/>
      </c>
      <c r="G731" s="17" t="n"/>
      <c r="H731" s="23" t="n"/>
      <c r="I731" s="27">
        <f>IF($A731="","",库存台账!$X731)</f>
        <v/>
      </c>
      <c r="J731" s="27">
        <f>IF(OR($A731="",$H731=""),"",ROUND($H731-$I731,3))</f>
        <v/>
      </c>
      <c r="K731" s="26">
        <f>IF($A731="","",库存台账!$K731)</f>
        <v/>
      </c>
      <c r="L731" s="26">
        <f>IF($J731="","",ROUND($J731*$K731,0))</f>
        <v/>
      </c>
      <c r="M731" s="37">
        <f>IF(OR($J731="",$I731=0),"",ROUND($J731/$I731,4))</f>
        <v/>
      </c>
      <c r="N731" s="17" t="n"/>
      <c r="O731" s="17" t="n"/>
      <c r="P731" s="24">
        <f>IF($J731="","未盘",IF(ROUND($J731,3)=0,"账实相符",IF(COUNTIFS(入库单!$G$4:$G$2503,$A731,入库单!$X$4:$X$2503,"盘盈",入库单!$C$4:$C$2503,"&gt;="&amp;账期起,入库单!$C$4:$C$2503,"&lt;="&amp;账期止)+COUNTIFS(出库单!$D$4:$D$4003,$A731,出库单!$K$4:$K$4003,"盘亏",出库单!$C$4:$C$4003,"&gt;="&amp;账期起,出库单!$C$4:$C$4003,"&lt;="&amp;账期止)&gt;0,"已调账","※差异还没调账")))</f>
        <v/>
      </c>
      <c r="Q731" s="17" t="n"/>
      <c r="R731" s="17" t="n"/>
    </row>
    <row r="732">
      <c r="A732" s="24">
        <f>IF(库存台账!$A732="","",库存台账!$A732)</f>
        <v/>
      </c>
      <c r="B732" s="24">
        <f>IF($A732="","",库存台账!$B732)</f>
        <v/>
      </c>
      <c r="C732" s="24">
        <f>IF($A732="","",库存台账!$C732)</f>
        <v/>
      </c>
      <c r="D732" s="24">
        <f>IF($A732="","",库存台账!$D732)</f>
        <v/>
      </c>
      <c r="E732" s="24">
        <f>IF($A732="","",库存台账!$E732)</f>
        <v/>
      </c>
      <c r="F732" s="24">
        <f>IF($A732="","",库存台账!$F732)</f>
        <v/>
      </c>
      <c r="G732" s="17" t="n"/>
      <c r="H732" s="23" t="n"/>
      <c r="I732" s="27">
        <f>IF($A732="","",库存台账!$X732)</f>
        <v/>
      </c>
      <c r="J732" s="27">
        <f>IF(OR($A732="",$H732=""),"",ROUND($H732-$I732,3))</f>
        <v/>
      </c>
      <c r="K732" s="26">
        <f>IF($A732="","",库存台账!$K732)</f>
        <v/>
      </c>
      <c r="L732" s="26">
        <f>IF($J732="","",ROUND($J732*$K732,0))</f>
        <v/>
      </c>
      <c r="M732" s="37">
        <f>IF(OR($J732="",$I732=0),"",ROUND($J732/$I732,4))</f>
        <v/>
      </c>
      <c r="N732" s="17" t="n"/>
      <c r="O732" s="17" t="n"/>
      <c r="P732" s="24">
        <f>IF($J732="","未盘",IF(ROUND($J732,3)=0,"账实相符",IF(COUNTIFS(入库单!$G$4:$G$2503,$A732,入库单!$X$4:$X$2503,"盘盈",入库单!$C$4:$C$2503,"&gt;="&amp;账期起,入库单!$C$4:$C$2503,"&lt;="&amp;账期止)+COUNTIFS(出库单!$D$4:$D$4003,$A732,出库单!$K$4:$K$4003,"盘亏",出库单!$C$4:$C$4003,"&gt;="&amp;账期起,出库单!$C$4:$C$4003,"&lt;="&amp;账期止)&gt;0,"已调账","※差异还没调账")))</f>
        <v/>
      </c>
      <c r="Q732" s="17" t="n"/>
      <c r="R732" s="17" t="n"/>
    </row>
    <row r="733">
      <c r="A733" s="24">
        <f>IF(库存台账!$A733="","",库存台账!$A733)</f>
        <v/>
      </c>
      <c r="B733" s="24">
        <f>IF($A733="","",库存台账!$B733)</f>
        <v/>
      </c>
      <c r="C733" s="24">
        <f>IF($A733="","",库存台账!$C733)</f>
        <v/>
      </c>
      <c r="D733" s="24">
        <f>IF($A733="","",库存台账!$D733)</f>
        <v/>
      </c>
      <c r="E733" s="24">
        <f>IF($A733="","",库存台账!$E733)</f>
        <v/>
      </c>
      <c r="F733" s="24">
        <f>IF($A733="","",库存台账!$F733)</f>
        <v/>
      </c>
      <c r="G733" s="17" t="n"/>
      <c r="H733" s="23" t="n"/>
      <c r="I733" s="27">
        <f>IF($A733="","",库存台账!$X733)</f>
        <v/>
      </c>
      <c r="J733" s="27">
        <f>IF(OR($A733="",$H733=""),"",ROUND($H733-$I733,3))</f>
        <v/>
      </c>
      <c r="K733" s="26">
        <f>IF($A733="","",库存台账!$K733)</f>
        <v/>
      </c>
      <c r="L733" s="26">
        <f>IF($J733="","",ROUND($J733*$K733,0))</f>
        <v/>
      </c>
      <c r="M733" s="37">
        <f>IF(OR($J733="",$I733=0),"",ROUND($J733/$I733,4))</f>
        <v/>
      </c>
      <c r="N733" s="17" t="n"/>
      <c r="O733" s="17" t="n"/>
      <c r="P733" s="24">
        <f>IF($J733="","未盘",IF(ROUND($J733,3)=0,"账实相符",IF(COUNTIFS(入库单!$G$4:$G$2503,$A733,入库单!$X$4:$X$2503,"盘盈",入库单!$C$4:$C$2503,"&gt;="&amp;账期起,入库单!$C$4:$C$2503,"&lt;="&amp;账期止)+COUNTIFS(出库单!$D$4:$D$4003,$A733,出库单!$K$4:$K$4003,"盘亏",出库单!$C$4:$C$4003,"&gt;="&amp;账期起,出库单!$C$4:$C$4003,"&lt;="&amp;账期止)&gt;0,"已调账","※差异还没调账")))</f>
        <v/>
      </c>
      <c r="Q733" s="17" t="n"/>
      <c r="R733" s="17" t="n"/>
    </row>
    <row r="734">
      <c r="A734" s="24">
        <f>IF(库存台账!$A734="","",库存台账!$A734)</f>
        <v/>
      </c>
      <c r="B734" s="24">
        <f>IF($A734="","",库存台账!$B734)</f>
        <v/>
      </c>
      <c r="C734" s="24">
        <f>IF($A734="","",库存台账!$C734)</f>
        <v/>
      </c>
      <c r="D734" s="24">
        <f>IF($A734="","",库存台账!$D734)</f>
        <v/>
      </c>
      <c r="E734" s="24">
        <f>IF($A734="","",库存台账!$E734)</f>
        <v/>
      </c>
      <c r="F734" s="24">
        <f>IF($A734="","",库存台账!$F734)</f>
        <v/>
      </c>
      <c r="G734" s="17" t="n"/>
      <c r="H734" s="23" t="n"/>
      <c r="I734" s="27">
        <f>IF($A734="","",库存台账!$X734)</f>
        <v/>
      </c>
      <c r="J734" s="27">
        <f>IF(OR($A734="",$H734=""),"",ROUND($H734-$I734,3))</f>
        <v/>
      </c>
      <c r="K734" s="26">
        <f>IF($A734="","",库存台账!$K734)</f>
        <v/>
      </c>
      <c r="L734" s="26">
        <f>IF($J734="","",ROUND($J734*$K734,0))</f>
        <v/>
      </c>
      <c r="M734" s="37">
        <f>IF(OR($J734="",$I734=0),"",ROUND($J734/$I734,4))</f>
        <v/>
      </c>
      <c r="N734" s="17" t="n"/>
      <c r="O734" s="17" t="n"/>
      <c r="P734" s="24">
        <f>IF($J734="","未盘",IF(ROUND($J734,3)=0,"账实相符",IF(COUNTIFS(入库单!$G$4:$G$2503,$A734,入库单!$X$4:$X$2503,"盘盈",入库单!$C$4:$C$2503,"&gt;="&amp;账期起,入库单!$C$4:$C$2503,"&lt;="&amp;账期止)+COUNTIFS(出库单!$D$4:$D$4003,$A734,出库单!$K$4:$K$4003,"盘亏",出库单!$C$4:$C$4003,"&gt;="&amp;账期起,出库单!$C$4:$C$4003,"&lt;="&amp;账期止)&gt;0,"已调账","※差异还没调账")))</f>
        <v/>
      </c>
      <c r="Q734" s="17" t="n"/>
      <c r="R734" s="17" t="n"/>
    </row>
    <row r="735">
      <c r="A735" s="24">
        <f>IF(库存台账!$A735="","",库存台账!$A735)</f>
        <v/>
      </c>
      <c r="B735" s="24">
        <f>IF($A735="","",库存台账!$B735)</f>
        <v/>
      </c>
      <c r="C735" s="24">
        <f>IF($A735="","",库存台账!$C735)</f>
        <v/>
      </c>
      <c r="D735" s="24">
        <f>IF($A735="","",库存台账!$D735)</f>
        <v/>
      </c>
      <c r="E735" s="24">
        <f>IF($A735="","",库存台账!$E735)</f>
        <v/>
      </c>
      <c r="F735" s="24">
        <f>IF($A735="","",库存台账!$F735)</f>
        <v/>
      </c>
      <c r="G735" s="17" t="n"/>
      <c r="H735" s="23" t="n"/>
      <c r="I735" s="27">
        <f>IF($A735="","",库存台账!$X735)</f>
        <v/>
      </c>
      <c r="J735" s="27">
        <f>IF(OR($A735="",$H735=""),"",ROUND($H735-$I735,3))</f>
        <v/>
      </c>
      <c r="K735" s="26">
        <f>IF($A735="","",库存台账!$K735)</f>
        <v/>
      </c>
      <c r="L735" s="26">
        <f>IF($J735="","",ROUND($J735*$K735,0))</f>
        <v/>
      </c>
      <c r="M735" s="37">
        <f>IF(OR($J735="",$I735=0),"",ROUND($J735/$I735,4))</f>
        <v/>
      </c>
      <c r="N735" s="17" t="n"/>
      <c r="O735" s="17" t="n"/>
      <c r="P735" s="24">
        <f>IF($J735="","未盘",IF(ROUND($J735,3)=0,"账实相符",IF(COUNTIFS(入库单!$G$4:$G$2503,$A735,入库单!$X$4:$X$2503,"盘盈",入库单!$C$4:$C$2503,"&gt;="&amp;账期起,入库单!$C$4:$C$2503,"&lt;="&amp;账期止)+COUNTIFS(出库单!$D$4:$D$4003,$A735,出库单!$K$4:$K$4003,"盘亏",出库单!$C$4:$C$4003,"&gt;="&amp;账期起,出库单!$C$4:$C$4003,"&lt;="&amp;账期止)&gt;0,"已调账","※差异还没调账")))</f>
        <v/>
      </c>
      <c r="Q735" s="17" t="n"/>
      <c r="R735" s="17" t="n"/>
    </row>
    <row r="736">
      <c r="A736" s="24">
        <f>IF(库存台账!$A736="","",库存台账!$A736)</f>
        <v/>
      </c>
      <c r="B736" s="24">
        <f>IF($A736="","",库存台账!$B736)</f>
        <v/>
      </c>
      <c r="C736" s="24">
        <f>IF($A736="","",库存台账!$C736)</f>
        <v/>
      </c>
      <c r="D736" s="24">
        <f>IF($A736="","",库存台账!$D736)</f>
        <v/>
      </c>
      <c r="E736" s="24">
        <f>IF($A736="","",库存台账!$E736)</f>
        <v/>
      </c>
      <c r="F736" s="24">
        <f>IF($A736="","",库存台账!$F736)</f>
        <v/>
      </c>
      <c r="G736" s="17" t="n"/>
      <c r="H736" s="23" t="n"/>
      <c r="I736" s="27">
        <f>IF($A736="","",库存台账!$X736)</f>
        <v/>
      </c>
      <c r="J736" s="27">
        <f>IF(OR($A736="",$H736=""),"",ROUND($H736-$I736,3))</f>
        <v/>
      </c>
      <c r="K736" s="26">
        <f>IF($A736="","",库存台账!$K736)</f>
        <v/>
      </c>
      <c r="L736" s="26">
        <f>IF($J736="","",ROUND($J736*$K736,0))</f>
        <v/>
      </c>
      <c r="M736" s="37">
        <f>IF(OR($J736="",$I736=0),"",ROUND($J736/$I736,4))</f>
        <v/>
      </c>
      <c r="N736" s="17" t="n"/>
      <c r="O736" s="17" t="n"/>
      <c r="P736" s="24">
        <f>IF($J736="","未盘",IF(ROUND($J736,3)=0,"账实相符",IF(COUNTIFS(入库单!$G$4:$G$2503,$A736,入库单!$X$4:$X$2503,"盘盈",入库单!$C$4:$C$2503,"&gt;="&amp;账期起,入库单!$C$4:$C$2503,"&lt;="&amp;账期止)+COUNTIFS(出库单!$D$4:$D$4003,$A736,出库单!$K$4:$K$4003,"盘亏",出库单!$C$4:$C$4003,"&gt;="&amp;账期起,出库单!$C$4:$C$4003,"&lt;="&amp;账期止)&gt;0,"已调账","※差异还没调账")))</f>
        <v/>
      </c>
      <c r="Q736" s="17" t="n"/>
      <c r="R736" s="17" t="n"/>
    </row>
    <row r="737">
      <c r="A737" s="24">
        <f>IF(库存台账!$A737="","",库存台账!$A737)</f>
        <v/>
      </c>
      <c r="B737" s="24">
        <f>IF($A737="","",库存台账!$B737)</f>
        <v/>
      </c>
      <c r="C737" s="24">
        <f>IF($A737="","",库存台账!$C737)</f>
        <v/>
      </c>
      <c r="D737" s="24">
        <f>IF($A737="","",库存台账!$D737)</f>
        <v/>
      </c>
      <c r="E737" s="24">
        <f>IF($A737="","",库存台账!$E737)</f>
        <v/>
      </c>
      <c r="F737" s="24">
        <f>IF($A737="","",库存台账!$F737)</f>
        <v/>
      </c>
      <c r="G737" s="17" t="n"/>
      <c r="H737" s="23" t="n"/>
      <c r="I737" s="27">
        <f>IF($A737="","",库存台账!$X737)</f>
        <v/>
      </c>
      <c r="J737" s="27">
        <f>IF(OR($A737="",$H737=""),"",ROUND($H737-$I737,3))</f>
        <v/>
      </c>
      <c r="K737" s="26">
        <f>IF($A737="","",库存台账!$K737)</f>
        <v/>
      </c>
      <c r="L737" s="26">
        <f>IF($J737="","",ROUND($J737*$K737,0))</f>
        <v/>
      </c>
      <c r="M737" s="37">
        <f>IF(OR($J737="",$I737=0),"",ROUND($J737/$I737,4))</f>
        <v/>
      </c>
      <c r="N737" s="17" t="n"/>
      <c r="O737" s="17" t="n"/>
      <c r="P737" s="24">
        <f>IF($J737="","未盘",IF(ROUND($J737,3)=0,"账实相符",IF(COUNTIFS(入库单!$G$4:$G$2503,$A737,入库单!$X$4:$X$2503,"盘盈",入库单!$C$4:$C$2503,"&gt;="&amp;账期起,入库单!$C$4:$C$2503,"&lt;="&amp;账期止)+COUNTIFS(出库单!$D$4:$D$4003,$A737,出库单!$K$4:$K$4003,"盘亏",出库单!$C$4:$C$4003,"&gt;="&amp;账期起,出库单!$C$4:$C$4003,"&lt;="&amp;账期止)&gt;0,"已调账","※差异还没调账")))</f>
        <v/>
      </c>
      <c r="Q737" s="17" t="n"/>
      <c r="R737" s="17" t="n"/>
    </row>
    <row r="738">
      <c r="A738" s="24">
        <f>IF(库存台账!$A738="","",库存台账!$A738)</f>
        <v/>
      </c>
      <c r="B738" s="24">
        <f>IF($A738="","",库存台账!$B738)</f>
        <v/>
      </c>
      <c r="C738" s="24">
        <f>IF($A738="","",库存台账!$C738)</f>
        <v/>
      </c>
      <c r="D738" s="24">
        <f>IF($A738="","",库存台账!$D738)</f>
        <v/>
      </c>
      <c r="E738" s="24">
        <f>IF($A738="","",库存台账!$E738)</f>
        <v/>
      </c>
      <c r="F738" s="24">
        <f>IF($A738="","",库存台账!$F738)</f>
        <v/>
      </c>
      <c r="G738" s="17" t="n"/>
      <c r="H738" s="23" t="n"/>
      <c r="I738" s="27">
        <f>IF($A738="","",库存台账!$X738)</f>
        <v/>
      </c>
      <c r="J738" s="27">
        <f>IF(OR($A738="",$H738=""),"",ROUND($H738-$I738,3))</f>
        <v/>
      </c>
      <c r="K738" s="26">
        <f>IF($A738="","",库存台账!$K738)</f>
        <v/>
      </c>
      <c r="L738" s="26">
        <f>IF($J738="","",ROUND($J738*$K738,0))</f>
        <v/>
      </c>
      <c r="M738" s="37">
        <f>IF(OR($J738="",$I738=0),"",ROUND($J738/$I738,4))</f>
        <v/>
      </c>
      <c r="N738" s="17" t="n"/>
      <c r="O738" s="17" t="n"/>
      <c r="P738" s="24">
        <f>IF($J738="","未盘",IF(ROUND($J738,3)=0,"账实相符",IF(COUNTIFS(入库单!$G$4:$G$2503,$A738,入库单!$X$4:$X$2503,"盘盈",入库单!$C$4:$C$2503,"&gt;="&amp;账期起,入库单!$C$4:$C$2503,"&lt;="&amp;账期止)+COUNTIFS(出库单!$D$4:$D$4003,$A738,出库单!$K$4:$K$4003,"盘亏",出库单!$C$4:$C$4003,"&gt;="&amp;账期起,出库单!$C$4:$C$4003,"&lt;="&amp;账期止)&gt;0,"已调账","※差异还没调账")))</f>
        <v/>
      </c>
      <c r="Q738" s="17" t="n"/>
      <c r="R738" s="17" t="n"/>
    </row>
    <row r="739">
      <c r="A739" s="24">
        <f>IF(库存台账!$A739="","",库存台账!$A739)</f>
        <v/>
      </c>
      <c r="B739" s="24">
        <f>IF($A739="","",库存台账!$B739)</f>
        <v/>
      </c>
      <c r="C739" s="24">
        <f>IF($A739="","",库存台账!$C739)</f>
        <v/>
      </c>
      <c r="D739" s="24">
        <f>IF($A739="","",库存台账!$D739)</f>
        <v/>
      </c>
      <c r="E739" s="24">
        <f>IF($A739="","",库存台账!$E739)</f>
        <v/>
      </c>
      <c r="F739" s="24">
        <f>IF($A739="","",库存台账!$F739)</f>
        <v/>
      </c>
      <c r="G739" s="17" t="n"/>
      <c r="H739" s="23" t="n"/>
      <c r="I739" s="27">
        <f>IF($A739="","",库存台账!$X739)</f>
        <v/>
      </c>
      <c r="J739" s="27">
        <f>IF(OR($A739="",$H739=""),"",ROUND($H739-$I739,3))</f>
        <v/>
      </c>
      <c r="K739" s="26">
        <f>IF($A739="","",库存台账!$K739)</f>
        <v/>
      </c>
      <c r="L739" s="26">
        <f>IF($J739="","",ROUND($J739*$K739,0))</f>
        <v/>
      </c>
      <c r="M739" s="37">
        <f>IF(OR($J739="",$I739=0),"",ROUND($J739/$I739,4))</f>
        <v/>
      </c>
      <c r="N739" s="17" t="n"/>
      <c r="O739" s="17" t="n"/>
      <c r="P739" s="24">
        <f>IF($J739="","未盘",IF(ROUND($J739,3)=0,"账实相符",IF(COUNTIFS(入库单!$G$4:$G$2503,$A739,入库单!$X$4:$X$2503,"盘盈",入库单!$C$4:$C$2503,"&gt;="&amp;账期起,入库单!$C$4:$C$2503,"&lt;="&amp;账期止)+COUNTIFS(出库单!$D$4:$D$4003,$A739,出库单!$K$4:$K$4003,"盘亏",出库单!$C$4:$C$4003,"&gt;="&amp;账期起,出库单!$C$4:$C$4003,"&lt;="&amp;账期止)&gt;0,"已调账","※差异还没调账")))</f>
        <v/>
      </c>
      <c r="Q739" s="17" t="n"/>
      <c r="R739" s="17" t="n"/>
    </row>
    <row r="740">
      <c r="A740" s="24">
        <f>IF(库存台账!$A740="","",库存台账!$A740)</f>
        <v/>
      </c>
      <c r="B740" s="24">
        <f>IF($A740="","",库存台账!$B740)</f>
        <v/>
      </c>
      <c r="C740" s="24">
        <f>IF($A740="","",库存台账!$C740)</f>
        <v/>
      </c>
      <c r="D740" s="24">
        <f>IF($A740="","",库存台账!$D740)</f>
        <v/>
      </c>
      <c r="E740" s="24">
        <f>IF($A740="","",库存台账!$E740)</f>
        <v/>
      </c>
      <c r="F740" s="24">
        <f>IF($A740="","",库存台账!$F740)</f>
        <v/>
      </c>
      <c r="G740" s="17" t="n"/>
      <c r="H740" s="23" t="n"/>
      <c r="I740" s="27">
        <f>IF($A740="","",库存台账!$X740)</f>
        <v/>
      </c>
      <c r="J740" s="27">
        <f>IF(OR($A740="",$H740=""),"",ROUND($H740-$I740,3))</f>
        <v/>
      </c>
      <c r="K740" s="26">
        <f>IF($A740="","",库存台账!$K740)</f>
        <v/>
      </c>
      <c r="L740" s="26">
        <f>IF($J740="","",ROUND($J740*$K740,0))</f>
        <v/>
      </c>
      <c r="M740" s="37">
        <f>IF(OR($J740="",$I740=0),"",ROUND($J740/$I740,4))</f>
        <v/>
      </c>
      <c r="N740" s="17" t="n"/>
      <c r="O740" s="17" t="n"/>
      <c r="P740" s="24">
        <f>IF($J740="","未盘",IF(ROUND($J740,3)=0,"账实相符",IF(COUNTIFS(入库单!$G$4:$G$2503,$A740,入库单!$X$4:$X$2503,"盘盈",入库单!$C$4:$C$2503,"&gt;="&amp;账期起,入库单!$C$4:$C$2503,"&lt;="&amp;账期止)+COUNTIFS(出库单!$D$4:$D$4003,$A740,出库单!$K$4:$K$4003,"盘亏",出库单!$C$4:$C$4003,"&gt;="&amp;账期起,出库单!$C$4:$C$4003,"&lt;="&amp;账期止)&gt;0,"已调账","※差异还没调账")))</f>
        <v/>
      </c>
      <c r="Q740" s="17" t="n"/>
      <c r="R740" s="17" t="n"/>
    </row>
    <row r="741">
      <c r="A741" s="24">
        <f>IF(库存台账!$A741="","",库存台账!$A741)</f>
        <v/>
      </c>
      <c r="B741" s="24">
        <f>IF($A741="","",库存台账!$B741)</f>
        <v/>
      </c>
      <c r="C741" s="24">
        <f>IF($A741="","",库存台账!$C741)</f>
        <v/>
      </c>
      <c r="D741" s="24">
        <f>IF($A741="","",库存台账!$D741)</f>
        <v/>
      </c>
      <c r="E741" s="24">
        <f>IF($A741="","",库存台账!$E741)</f>
        <v/>
      </c>
      <c r="F741" s="24">
        <f>IF($A741="","",库存台账!$F741)</f>
        <v/>
      </c>
      <c r="G741" s="17" t="n"/>
      <c r="H741" s="23" t="n"/>
      <c r="I741" s="27">
        <f>IF($A741="","",库存台账!$X741)</f>
        <v/>
      </c>
      <c r="J741" s="27">
        <f>IF(OR($A741="",$H741=""),"",ROUND($H741-$I741,3))</f>
        <v/>
      </c>
      <c r="K741" s="26">
        <f>IF($A741="","",库存台账!$K741)</f>
        <v/>
      </c>
      <c r="L741" s="26">
        <f>IF($J741="","",ROUND($J741*$K741,0))</f>
        <v/>
      </c>
      <c r="M741" s="37">
        <f>IF(OR($J741="",$I741=0),"",ROUND($J741/$I741,4))</f>
        <v/>
      </c>
      <c r="N741" s="17" t="n"/>
      <c r="O741" s="17" t="n"/>
      <c r="P741" s="24">
        <f>IF($J741="","未盘",IF(ROUND($J741,3)=0,"账实相符",IF(COUNTIFS(入库单!$G$4:$G$2503,$A741,入库单!$X$4:$X$2503,"盘盈",入库单!$C$4:$C$2503,"&gt;="&amp;账期起,入库单!$C$4:$C$2503,"&lt;="&amp;账期止)+COUNTIFS(出库单!$D$4:$D$4003,$A741,出库单!$K$4:$K$4003,"盘亏",出库单!$C$4:$C$4003,"&gt;="&amp;账期起,出库单!$C$4:$C$4003,"&lt;="&amp;账期止)&gt;0,"已调账","※差异还没调账")))</f>
        <v/>
      </c>
      <c r="Q741" s="17" t="n"/>
      <c r="R741" s="17" t="n"/>
    </row>
    <row r="742">
      <c r="A742" s="24">
        <f>IF(库存台账!$A742="","",库存台账!$A742)</f>
        <v/>
      </c>
      <c r="B742" s="24">
        <f>IF($A742="","",库存台账!$B742)</f>
        <v/>
      </c>
      <c r="C742" s="24">
        <f>IF($A742="","",库存台账!$C742)</f>
        <v/>
      </c>
      <c r="D742" s="24">
        <f>IF($A742="","",库存台账!$D742)</f>
        <v/>
      </c>
      <c r="E742" s="24">
        <f>IF($A742="","",库存台账!$E742)</f>
        <v/>
      </c>
      <c r="F742" s="24">
        <f>IF($A742="","",库存台账!$F742)</f>
        <v/>
      </c>
      <c r="G742" s="17" t="n"/>
      <c r="H742" s="23" t="n"/>
      <c r="I742" s="27">
        <f>IF($A742="","",库存台账!$X742)</f>
        <v/>
      </c>
      <c r="J742" s="27">
        <f>IF(OR($A742="",$H742=""),"",ROUND($H742-$I742,3))</f>
        <v/>
      </c>
      <c r="K742" s="26">
        <f>IF($A742="","",库存台账!$K742)</f>
        <v/>
      </c>
      <c r="L742" s="26">
        <f>IF($J742="","",ROUND($J742*$K742,0))</f>
        <v/>
      </c>
      <c r="M742" s="37">
        <f>IF(OR($J742="",$I742=0),"",ROUND($J742/$I742,4))</f>
        <v/>
      </c>
      <c r="N742" s="17" t="n"/>
      <c r="O742" s="17" t="n"/>
      <c r="P742" s="24">
        <f>IF($J742="","未盘",IF(ROUND($J742,3)=0,"账实相符",IF(COUNTIFS(入库单!$G$4:$G$2503,$A742,入库单!$X$4:$X$2503,"盘盈",入库单!$C$4:$C$2503,"&gt;="&amp;账期起,入库单!$C$4:$C$2503,"&lt;="&amp;账期止)+COUNTIFS(出库单!$D$4:$D$4003,$A742,出库单!$K$4:$K$4003,"盘亏",出库单!$C$4:$C$4003,"&gt;="&amp;账期起,出库单!$C$4:$C$4003,"&lt;="&amp;账期止)&gt;0,"已调账","※差异还没调账")))</f>
        <v/>
      </c>
      <c r="Q742" s="17" t="n"/>
      <c r="R742" s="17" t="n"/>
    </row>
    <row r="743">
      <c r="A743" s="24">
        <f>IF(库存台账!$A743="","",库存台账!$A743)</f>
        <v/>
      </c>
      <c r="B743" s="24">
        <f>IF($A743="","",库存台账!$B743)</f>
        <v/>
      </c>
      <c r="C743" s="24">
        <f>IF($A743="","",库存台账!$C743)</f>
        <v/>
      </c>
      <c r="D743" s="24">
        <f>IF($A743="","",库存台账!$D743)</f>
        <v/>
      </c>
      <c r="E743" s="24">
        <f>IF($A743="","",库存台账!$E743)</f>
        <v/>
      </c>
      <c r="F743" s="24">
        <f>IF($A743="","",库存台账!$F743)</f>
        <v/>
      </c>
      <c r="G743" s="17" t="n"/>
      <c r="H743" s="23" t="n"/>
      <c r="I743" s="27">
        <f>IF($A743="","",库存台账!$X743)</f>
        <v/>
      </c>
      <c r="J743" s="27">
        <f>IF(OR($A743="",$H743=""),"",ROUND($H743-$I743,3))</f>
        <v/>
      </c>
      <c r="K743" s="26">
        <f>IF($A743="","",库存台账!$K743)</f>
        <v/>
      </c>
      <c r="L743" s="26">
        <f>IF($J743="","",ROUND($J743*$K743,0))</f>
        <v/>
      </c>
      <c r="M743" s="37">
        <f>IF(OR($J743="",$I743=0),"",ROUND($J743/$I743,4))</f>
        <v/>
      </c>
      <c r="N743" s="17" t="n"/>
      <c r="O743" s="17" t="n"/>
      <c r="P743" s="24">
        <f>IF($J743="","未盘",IF(ROUND($J743,3)=0,"账实相符",IF(COUNTIFS(入库单!$G$4:$G$2503,$A743,入库单!$X$4:$X$2503,"盘盈",入库单!$C$4:$C$2503,"&gt;="&amp;账期起,入库单!$C$4:$C$2503,"&lt;="&amp;账期止)+COUNTIFS(出库单!$D$4:$D$4003,$A743,出库单!$K$4:$K$4003,"盘亏",出库单!$C$4:$C$4003,"&gt;="&amp;账期起,出库单!$C$4:$C$4003,"&lt;="&amp;账期止)&gt;0,"已调账","※差异还没调账")))</f>
        <v/>
      </c>
      <c r="Q743" s="17" t="n"/>
      <c r="R743" s="17" t="n"/>
    </row>
    <row r="744">
      <c r="A744" s="24">
        <f>IF(库存台账!$A744="","",库存台账!$A744)</f>
        <v/>
      </c>
      <c r="B744" s="24">
        <f>IF($A744="","",库存台账!$B744)</f>
        <v/>
      </c>
      <c r="C744" s="24">
        <f>IF($A744="","",库存台账!$C744)</f>
        <v/>
      </c>
      <c r="D744" s="24">
        <f>IF($A744="","",库存台账!$D744)</f>
        <v/>
      </c>
      <c r="E744" s="24">
        <f>IF($A744="","",库存台账!$E744)</f>
        <v/>
      </c>
      <c r="F744" s="24">
        <f>IF($A744="","",库存台账!$F744)</f>
        <v/>
      </c>
      <c r="G744" s="17" t="n"/>
      <c r="H744" s="23" t="n"/>
      <c r="I744" s="27">
        <f>IF($A744="","",库存台账!$X744)</f>
        <v/>
      </c>
      <c r="J744" s="27">
        <f>IF(OR($A744="",$H744=""),"",ROUND($H744-$I744,3))</f>
        <v/>
      </c>
      <c r="K744" s="26">
        <f>IF($A744="","",库存台账!$K744)</f>
        <v/>
      </c>
      <c r="L744" s="26">
        <f>IF($J744="","",ROUND($J744*$K744,0))</f>
        <v/>
      </c>
      <c r="M744" s="37">
        <f>IF(OR($J744="",$I744=0),"",ROUND($J744/$I744,4))</f>
        <v/>
      </c>
      <c r="N744" s="17" t="n"/>
      <c r="O744" s="17" t="n"/>
      <c r="P744" s="24">
        <f>IF($J744="","未盘",IF(ROUND($J744,3)=0,"账实相符",IF(COUNTIFS(入库单!$G$4:$G$2503,$A744,入库单!$X$4:$X$2503,"盘盈",入库单!$C$4:$C$2503,"&gt;="&amp;账期起,入库单!$C$4:$C$2503,"&lt;="&amp;账期止)+COUNTIFS(出库单!$D$4:$D$4003,$A744,出库单!$K$4:$K$4003,"盘亏",出库单!$C$4:$C$4003,"&gt;="&amp;账期起,出库单!$C$4:$C$4003,"&lt;="&amp;账期止)&gt;0,"已调账","※差异还没调账")))</f>
        <v/>
      </c>
      <c r="Q744" s="17" t="n"/>
      <c r="R744" s="17" t="n"/>
    </row>
    <row r="745">
      <c r="A745" s="24">
        <f>IF(库存台账!$A745="","",库存台账!$A745)</f>
        <v/>
      </c>
      <c r="B745" s="24">
        <f>IF($A745="","",库存台账!$B745)</f>
        <v/>
      </c>
      <c r="C745" s="24">
        <f>IF($A745="","",库存台账!$C745)</f>
        <v/>
      </c>
      <c r="D745" s="24">
        <f>IF($A745="","",库存台账!$D745)</f>
        <v/>
      </c>
      <c r="E745" s="24">
        <f>IF($A745="","",库存台账!$E745)</f>
        <v/>
      </c>
      <c r="F745" s="24">
        <f>IF($A745="","",库存台账!$F745)</f>
        <v/>
      </c>
      <c r="G745" s="17" t="n"/>
      <c r="H745" s="23" t="n"/>
      <c r="I745" s="27">
        <f>IF($A745="","",库存台账!$X745)</f>
        <v/>
      </c>
      <c r="J745" s="27">
        <f>IF(OR($A745="",$H745=""),"",ROUND($H745-$I745,3))</f>
        <v/>
      </c>
      <c r="K745" s="26">
        <f>IF($A745="","",库存台账!$K745)</f>
        <v/>
      </c>
      <c r="L745" s="26">
        <f>IF($J745="","",ROUND($J745*$K745,0))</f>
        <v/>
      </c>
      <c r="M745" s="37">
        <f>IF(OR($J745="",$I745=0),"",ROUND($J745/$I745,4))</f>
        <v/>
      </c>
      <c r="N745" s="17" t="n"/>
      <c r="O745" s="17" t="n"/>
      <c r="P745" s="24">
        <f>IF($J745="","未盘",IF(ROUND($J745,3)=0,"账实相符",IF(COUNTIFS(入库单!$G$4:$G$2503,$A745,入库单!$X$4:$X$2503,"盘盈",入库单!$C$4:$C$2503,"&gt;="&amp;账期起,入库单!$C$4:$C$2503,"&lt;="&amp;账期止)+COUNTIFS(出库单!$D$4:$D$4003,$A745,出库单!$K$4:$K$4003,"盘亏",出库单!$C$4:$C$4003,"&gt;="&amp;账期起,出库单!$C$4:$C$4003,"&lt;="&amp;账期止)&gt;0,"已调账","※差异还没调账")))</f>
        <v/>
      </c>
      <c r="Q745" s="17" t="n"/>
      <c r="R745" s="17" t="n"/>
    </row>
    <row r="746">
      <c r="A746" s="24">
        <f>IF(库存台账!$A746="","",库存台账!$A746)</f>
        <v/>
      </c>
      <c r="B746" s="24">
        <f>IF($A746="","",库存台账!$B746)</f>
        <v/>
      </c>
      <c r="C746" s="24">
        <f>IF($A746="","",库存台账!$C746)</f>
        <v/>
      </c>
      <c r="D746" s="24">
        <f>IF($A746="","",库存台账!$D746)</f>
        <v/>
      </c>
      <c r="E746" s="24">
        <f>IF($A746="","",库存台账!$E746)</f>
        <v/>
      </c>
      <c r="F746" s="24">
        <f>IF($A746="","",库存台账!$F746)</f>
        <v/>
      </c>
      <c r="G746" s="17" t="n"/>
      <c r="H746" s="23" t="n"/>
      <c r="I746" s="27">
        <f>IF($A746="","",库存台账!$X746)</f>
        <v/>
      </c>
      <c r="J746" s="27">
        <f>IF(OR($A746="",$H746=""),"",ROUND($H746-$I746,3))</f>
        <v/>
      </c>
      <c r="K746" s="26">
        <f>IF($A746="","",库存台账!$K746)</f>
        <v/>
      </c>
      <c r="L746" s="26">
        <f>IF($J746="","",ROUND($J746*$K746,0))</f>
        <v/>
      </c>
      <c r="M746" s="37">
        <f>IF(OR($J746="",$I746=0),"",ROUND($J746/$I746,4))</f>
        <v/>
      </c>
      <c r="N746" s="17" t="n"/>
      <c r="O746" s="17" t="n"/>
      <c r="P746" s="24">
        <f>IF($J746="","未盘",IF(ROUND($J746,3)=0,"账实相符",IF(COUNTIFS(入库单!$G$4:$G$2503,$A746,入库单!$X$4:$X$2503,"盘盈",入库单!$C$4:$C$2503,"&gt;="&amp;账期起,入库单!$C$4:$C$2503,"&lt;="&amp;账期止)+COUNTIFS(出库单!$D$4:$D$4003,$A746,出库单!$K$4:$K$4003,"盘亏",出库单!$C$4:$C$4003,"&gt;="&amp;账期起,出库单!$C$4:$C$4003,"&lt;="&amp;账期止)&gt;0,"已调账","※差异还没调账")))</f>
        <v/>
      </c>
      <c r="Q746" s="17" t="n"/>
      <c r="R746" s="17" t="n"/>
    </row>
    <row r="747">
      <c r="A747" s="24">
        <f>IF(库存台账!$A747="","",库存台账!$A747)</f>
        <v/>
      </c>
      <c r="B747" s="24">
        <f>IF($A747="","",库存台账!$B747)</f>
        <v/>
      </c>
      <c r="C747" s="24">
        <f>IF($A747="","",库存台账!$C747)</f>
        <v/>
      </c>
      <c r="D747" s="24">
        <f>IF($A747="","",库存台账!$D747)</f>
        <v/>
      </c>
      <c r="E747" s="24">
        <f>IF($A747="","",库存台账!$E747)</f>
        <v/>
      </c>
      <c r="F747" s="24">
        <f>IF($A747="","",库存台账!$F747)</f>
        <v/>
      </c>
      <c r="G747" s="17" t="n"/>
      <c r="H747" s="23" t="n"/>
      <c r="I747" s="27">
        <f>IF($A747="","",库存台账!$X747)</f>
        <v/>
      </c>
      <c r="J747" s="27">
        <f>IF(OR($A747="",$H747=""),"",ROUND($H747-$I747,3))</f>
        <v/>
      </c>
      <c r="K747" s="26">
        <f>IF($A747="","",库存台账!$K747)</f>
        <v/>
      </c>
      <c r="L747" s="26">
        <f>IF($J747="","",ROUND($J747*$K747,0))</f>
        <v/>
      </c>
      <c r="M747" s="37">
        <f>IF(OR($J747="",$I747=0),"",ROUND($J747/$I747,4))</f>
        <v/>
      </c>
      <c r="N747" s="17" t="n"/>
      <c r="O747" s="17" t="n"/>
      <c r="P747" s="24">
        <f>IF($J747="","未盘",IF(ROUND($J747,3)=0,"账实相符",IF(COUNTIFS(入库单!$G$4:$G$2503,$A747,入库单!$X$4:$X$2503,"盘盈",入库单!$C$4:$C$2503,"&gt;="&amp;账期起,入库单!$C$4:$C$2503,"&lt;="&amp;账期止)+COUNTIFS(出库单!$D$4:$D$4003,$A747,出库单!$K$4:$K$4003,"盘亏",出库单!$C$4:$C$4003,"&gt;="&amp;账期起,出库单!$C$4:$C$4003,"&lt;="&amp;账期止)&gt;0,"已调账","※差异还没调账")))</f>
        <v/>
      </c>
      <c r="Q747" s="17" t="n"/>
      <c r="R747" s="17" t="n"/>
    </row>
    <row r="748">
      <c r="A748" s="24">
        <f>IF(库存台账!$A748="","",库存台账!$A748)</f>
        <v/>
      </c>
      <c r="B748" s="24">
        <f>IF($A748="","",库存台账!$B748)</f>
        <v/>
      </c>
      <c r="C748" s="24">
        <f>IF($A748="","",库存台账!$C748)</f>
        <v/>
      </c>
      <c r="D748" s="24">
        <f>IF($A748="","",库存台账!$D748)</f>
        <v/>
      </c>
      <c r="E748" s="24">
        <f>IF($A748="","",库存台账!$E748)</f>
        <v/>
      </c>
      <c r="F748" s="24">
        <f>IF($A748="","",库存台账!$F748)</f>
        <v/>
      </c>
      <c r="G748" s="17" t="n"/>
      <c r="H748" s="23" t="n"/>
      <c r="I748" s="27">
        <f>IF($A748="","",库存台账!$X748)</f>
        <v/>
      </c>
      <c r="J748" s="27">
        <f>IF(OR($A748="",$H748=""),"",ROUND($H748-$I748,3))</f>
        <v/>
      </c>
      <c r="K748" s="26">
        <f>IF($A748="","",库存台账!$K748)</f>
        <v/>
      </c>
      <c r="L748" s="26">
        <f>IF($J748="","",ROUND($J748*$K748,0))</f>
        <v/>
      </c>
      <c r="M748" s="37">
        <f>IF(OR($J748="",$I748=0),"",ROUND($J748/$I748,4))</f>
        <v/>
      </c>
      <c r="N748" s="17" t="n"/>
      <c r="O748" s="17" t="n"/>
      <c r="P748" s="24">
        <f>IF($J748="","未盘",IF(ROUND($J748,3)=0,"账实相符",IF(COUNTIFS(入库单!$G$4:$G$2503,$A748,入库单!$X$4:$X$2503,"盘盈",入库单!$C$4:$C$2503,"&gt;="&amp;账期起,入库单!$C$4:$C$2503,"&lt;="&amp;账期止)+COUNTIFS(出库单!$D$4:$D$4003,$A748,出库单!$K$4:$K$4003,"盘亏",出库单!$C$4:$C$4003,"&gt;="&amp;账期起,出库单!$C$4:$C$4003,"&lt;="&amp;账期止)&gt;0,"已调账","※差异还没调账")))</f>
        <v/>
      </c>
      <c r="Q748" s="17" t="n"/>
      <c r="R748" s="17" t="n"/>
    </row>
    <row r="749">
      <c r="A749" s="24">
        <f>IF(库存台账!$A749="","",库存台账!$A749)</f>
        <v/>
      </c>
      <c r="B749" s="24">
        <f>IF($A749="","",库存台账!$B749)</f>
        <v/>
      </c>
      <c r="C749" s="24">
        <f>IF($A749="","",库存台账!$C749)</f>
        <v/>
      </c>
      <c r="D749" s="24">
        <f>IF($A749="","",库存台账!$D749)</f>
        <v/>
      </c>
      <c r="E749" s="24">
        <f>IF($A749="","",库存台账!$E749)</f>
        <v/>
      </c>
      <c r="F749" s="24">
        <f>IF($A749="","",库存台账!$F749)</f>
        <v/>
      </c>
      <c r="G749" s="17" t="n"/>
      <c r="H749" s="23" t="n"/>
      <c r="I749" s="27">
        <f>IF($A749="","",库存台账!$X749)</f>
        <v/>
      </c>
      <c r="J749" s="27">
        <f>IF(OR($A749="",$H749=""),"",ROUND($H749-$I749,3))</f>
        <v/>
      </c>
      <c r="K749" s="26">
        <f>IF($A749="","",库存台账!$K749)</f>
        <v/>
      </c>
      <c r="L749" s="26">
        <f>IF($J749="","",ROUND($J749*$K749,0))</f>
        <v/>
      </c>
      <c r="M749" s="37">
        <f>IF(OR($J749="",$I749=0),"",ROUND($J749/$I749,4))</f>
        <v/>
      </c>
      <c r="N749" s="17" t="n"/>
      <c r="O749" s="17" t="n"/>
      <c r="P749" s="24">
        <f>IF($J749="","未盘",IF(ROUND($J749,3)=0,"账实相符",IF(COUNTIFS(入库单!$G$4:$G$2503,$A749,入库单!$X$4:$X$2503,"盘盈",入库单!$C$4:$C$2503,"&gt;="&amp;账期起,入库单!$C$4:$C$2503,"&lt;="&amp;账期止)+COUNTIFS(出库单!$D$4:$D$4003,$A749,出库单!$K$4:$K$4003,"盘亏",出库单!$C$4:$C$4003,"&gt;="&amp;账期起,出库单!$C$4:$C$4003,"&lt;="&amp;账期止)&gt;0,"已调账","※差异还没调账")))</f>
        <v/>
      </c>
      <c r="Q749" s="17" t="n"/>
      <c r="R749" s="17" t="n"/>
    </row>
    <row r="750">
      <c r="A750" s="24">
        <f>IF(库存台账!$A750="","",库存台账!$A750)</f>
        <v/>
      </c>
      <c r="B750" s="24">
        <f>IF($A750="","",库存台账!$B750)</f>
        <v/>
      </c>
      <c r="C750" s="24">
        <f>IF($A750="","",库存台账!$C750)</f>
        <v/>
      </c>
      <c r="D750" s="24">
        <f>IF($A750="","",库存台账!$D750)</f>
        <v/>
      </c>
      <c r="E750" s="24">
        <f>IF($A750="","",库存台账!$E750)</f>
        <v/>
      </c>
      <c r="F750" s="24">
        <f>IF($A750="","",库存台账!$F750)</f>
        <v/>
      </c>
      <c r="G750" s="17" t="n"/>
      <c r="H750" s="23" t="n"/>
      <c r="I750" s="27">
        <f>IF($A750="","",库存台账!$X750)</f>
        <v/>
      </c>
      <c r="J750" s="27">
        <f>IF(OR($A750="",$H750=""),"",ROUND($H750-$I750,3))</f>
        <v/>
      </c>
      <c r="K750" s="26">
        <f>IF($A750="","",库存台账!$K750)</f>
        <v/>
      </c>
      <c r="L750" s="26">
        <f>IF($J750="","",ROUND($J750*$K750,0))</f>
        <v/>
      </c>
      <c r="M750" s="37">
        <f>IF(OR($J750="",$I750=0),"",ROUND($J750/$I750,4))</f>
        <v/>
      </c>
      <c r="N750" s="17" t="n"/>
      <c r="O750" s="17" t="n"/>
      <c r="P750" s="24">
        <f>IF($J750="","未盘",IF(ROUND($J750,3)=0,"账实相符",IF(COUNTIFS(入库单!$G$4:$G$2503,$A750,入库单!$X$4:$X$2503,"盘盈",入库单!$C$4:$C$2503,"&gt;="&amp;账期起,入库单!$C$4:$C$2503,"&lt;="&amp;账期止)+COUNTIFS(出库单!$D$4:$D$4003,$A750,出库单!$K$4:$K$4003,"盘亏",出库单!$C$4:$C$4003,"&gt;="&amp;账期起,出库单!$C$4:$C$4003,"&lt;="&amp;账期止)&gt;0,"已调账","※差异还没调账")))</f>
        <v/>
      </c>
      <c r="Q750" s="17" t="n"/>
      <c r="R750" s="17" t="n"/>
    </row>
    <row r="751">
      <c r="A751" s="24">
        <f>IF(库存台账!$A751="","",库存台账!$A751)</f>
        <v/>
      </c>
      <c r="B751" s="24">
        <f>IF($A751="","",库存台账!$B751)</f>
        <v/>
      </c>
      <c r="C751" s="24">
        <f>IF($A751="","",库存台账!$C751)</f>
        <v/>
      </c>
      <c r="D751" s="24">
        <f>IF($A751="","",库存台账!$D751)</f>
        <v/>
      </c>
      <c r="E751" s="24">
        <f>IF($A751="","",库存台账!$E751)</f>
        <v/>
      </c>
      <c r="F751" s="24">
        <f>IF($A751="","",库存台账!$F751)</f>
        <v/>
      </c>
      <c r="G751" s="17" t="n"/>
      <c r="H751" s="23" t="n"/>
      <c r="I751" s="27">
        <f>IF($A751="","",库存台账!$X751)</f>
        <v/>
      </c>
      <c r="J751" s="27">
        <f>IF(OR($A751="",$H751=""),"",ROUND($H751-$I751,3))</f>
        <v/>
      </c>
      <c r="K751" s="26">
        <f>IF($A751="","",库存台账!$K751)</f>
        <v/>
      </c>
      <c r="L751" s="26">
        <f>IF($J751="","",ROUND($J751*$K751,0))</f>
        <v/>
      </c>
      <c r="M751" s="37">
        <f>IF(OR($J751="",$I751=0),"",ROUND($J751/$I751,4))</f>
        <v/>
      </c>
      <c r="N751" s="17" t="n"/>
      <c r="O751" s="17" t="n"/>
      <c r="P751" s="24">
        <f>IF($J751="","未盘",IF(ROUND($J751,3)=0,"账实相符",IF(COUNTIFS(入库单!$G$4:$G$2503,$A751,入库单!$X$4:$X$2503,"盘盈",入库单!$C$4:$C$2503,"&gt;="&amp;账期起,入库单!$C$4:$C$2503,"&lt;="&amp;账期止)+COUNTIFS(出库单!$D$4:$D$4003,$A751,出库单!$K$4:$K$4003,"盘亏",出库单!$C$4:$C$4003,"&gt;="&amp;账期起,出库单!$C$4:$C$4003,"&lt;="&amp;账期止)&gt;0,"已调账","※差异还没调账")))</f>
        <v/>
      </c>
      <c r="Q751" s="17" t="n"/>
      <c r="R751" s="17" t="n"/>
    </row>
    <row r="752">
      <c r="A752" s="24">
        <f>IF(库存台账!$A752="","",库存台账!$A752)</f>
        <v/>
      </c>
      <c r="B752" s="24">
        <f>IF($A752="","",库存台账!$B752)</f>
        <v/>
      </c>
      <c r="C752" s="24">
        <f>IF($A752="","",库存台账!$C752)</f>
        <v/>
      </c>
      <c r="D752" s="24">
        <f>IF($A752="","",库存台账!$D752)</f>
        <v/>
      </c>
      <c r="E752" s="24">
        <f>IF($A752="","",库存台账!$E752)</f>
        <v/>
      </c>
      <c r="F752" s="24">
        <f>IF($A752="","",库存台账!$F752)</f>
        <v/>
      </c>
      <c r="G752" s="17" t="n"/>
      <c r="H752" s="23" t="n"/>
      <c r="I752" s="27">
        <f>IF($A752="","",库存台账!$X752)</f>
        <v/>
      </c>
      <c r="J752" s="27">
        <f>IF(OR($A752="",$H752=""),"",ROUND($H752-$I752,3))</f>
        <v/>
      </c>
      <c r="K752" s="26">
        <f>IF($A752="","",库存台账!$K752)</f>
        <v/>
      </c>
      <c r="L752" s="26">
        <f>IF($J752="","",ROUND($J752*$K752,0))</f>
        <v/>
      </c>
      <c r="M752" s="37">
        <f>IF(OR($J752="",$I752=0),"",ROUND($J752/$I752,4))</f>
        <v/>
      </c>
      <c r="N752" s="17" t="n"/>
      <c r="O752" s="17" t="n"/>
      <c r="P752" s="24">
        <f>IF($J752="","未盘",IF(ROUND($J752,3)=0,"账实相符",IF(COUNTIFS(入库单!$G$4:$G$2503,$A752,入库单!$X$4:$X$2503,"盘盈",入库单!$C$4:$C$2503,"&gt;="&amp;账期起,入库单!$C$4:$C$2503,"&lt;="&amp;账期止)+COUNTIFS(出库单!$D$4:$D$4003,$A752,出库单!$K$4:$K$4003,"盘亏",出库单!$C$4:$C$4003,"&gt;="&amp;账期起,出库单!$C$4:$C$4003,"&lt;="&amp;账期止)&gt;0,"已调账","※差异还没调账")))</f>
        <v/>
      </c>
      <c r="Q752" s="17" t="n"/>
      <c r="R752" s="17" t="n"/>
    </row>
    <row r="753">
      <c r="A753" s="24">
        <f>IF(库存台账!$A753="","",库存台账!$A753)</f>
        <v/>
      </c>
      <c r="B753" s="24">
        <f>IF($A753="","",库存台账!$B753)</f>
        <v/>
      </c>
      <c r="C753" s="24">
        <f>IF($A753="","",库存台账!$C753)</f>
        <v/>
      </c>
      <c r="D753" s="24">
        <f>IF($A753="","",库存台账!$D753)</f>
        <v/>
      </c>
      <c r="E753" s="24">
        <f>IF($A753="","",库存台账!$E753)</f>
        <v/>
      </c>
      <c r="F753" s="24">
        <f>IF($A753="","",库存台账!$F753)</f>
        <v/>
      </c>
      <c r="G753" s="17" t="n"/>
      <c r="H753" s="23" t="n"/>
      <c r="I753" s="27">
        <f>IF($A753="","",库存台账!$X753)</f>
        <v/>
      </c>
      <c r="J753" s="27">
        <f>IF(OR($A753="",$H753=""),"",ROUND($H753-$I753,3))</f>
        <v/>
      </c>
      <c r="K753" s="26">
        <f>IF($A753="","",库存台账!$K753)</f>
        <v/>
      </c>
      <c r="L753" s="26">
        <f>IF($J753="","",ROUND($J753*$K753,0))</f>
        <v/>
      </c>
      <c r="M753" s="37">
        <f>IF(OR($J753="",$I753=0),"",ROUND($J753/$I753,4))</f>
        <v/>
      </c>
      <c r="N753" s="17" t="n"/>
      <c r="O753" s="17" t="n"/>
      <c r="P753" s="24">
        <f>IF($J753="","未盘",IF(ROUND($J753,3)=0,"账实相符",IF(COUNTIFS(入库单!$G$4:$G$2503,$A753,入库单!$X$4:$X$2503,"盘盈",入库单!$C$4:$C$2503,"&gt;="&amp;账期起,入库单!$C$4:$C$2503,"&lt;="&amp;账期止)+COUNTIFS(出库单!$D$4:$D$4003,$A753,出库单!$K$4:$K$4003,"盘亏",出库单!$C$4:$C$4003,"&gt;="&amp;账期起,出库单!$C$4:$C$4003,"&lt;="&amp;账期止)&gt;0,"已调账","※差异还没调账")))</f>
        <v/>
      </c>
      <c r="Q753" s="17" t="n"/>
      <c r="R753" s="17" t="n"/>
    </row>
    <row r="754">
      <c r="A754" s="24">
        <f>IF(库存台账!$A754="","",库存台账!$A754)</f>
        <v/>
      </c>
      <c r="B754" s="24">
        <f>IF($A754="","",库存台账!$B754)</f>
        <v/>
      </c>
      <c r="C754" s="24">
        <f>IF($A754="","",库存台账!$C754)</f>
        <v/>
      </c>
      <c r="D754" s="24">
        <f>IF($A754="","",库存台账!$D754)</f>
        <v/>
      </c>
      <c r="E754" s="24">
        <f>IF($A754="","",库存台账!$E754)</f>
        <v/>
      </c>
      <c r="F754" s="24">
        <f>IF($A754="","",库存台账!$F754)</f>
        <v/>
      </c>
      <c r="G754" s="17" t="n"/>
      <c r="H754" s="23" t="n"/>
      <c r="I754" s="27">
        <f>IF($A754="","",库存台账!$X754)</f>
        <v/>
      </c>
      <c r="J754" s="27">
        <f>IF(OR($A754="",$H754=""),"",ROUND($H754-$I754,3))</f>
        <v/>
      </c>
      <c r="K754" s="26">
        <f>IF($A754="","",库存台账!$K754)</f>
        <v/>
      </c>
      <c r="L754" s="26">
        <f>IF($J754="","",ROUND($J754*$K754,0))</f>
        <v/>
      </c>
      <c r="M754" s="37">
        <f>IF(OR($J754="",$I754=0),"",ROUND($J754/$I754,4))</f>
        <v/>
      </c>
      <c r="N754" s="17" t="n"/>
      <c r="O754" s="17" t="n"/>
      <c r="P754" s="24">
        <f>IF($J754="","未盘",IF(ROUND($J754,3)=0,"账实相符",IF(COUNTIFS(入库单!$G$4:$G$2503,$A754,入库单!$X$4:$X$2503,"盘盈",入库单!$C$4:$C$2503,"&gt;="&amp;账期起,入库单!$C$4:$C$2503,"&lt;="&amp;账期止)+COUNTIFS(出库单!$D$4:$D$4003,$A754,出库单!$K$4:$K$4003,"盘亏",出库单!$C$4:$C$4003,"&gt;="&amp;账期起,出库单!$C$4:$C$4003,"&lt;="&amp;账期止)&gt;0,"已调账","※差异还没调账")))</f>
        <v/>
      </c>
      <c r="Q754" s="17" t="n"/>
      <c r="R754" s="17" t="n"/>
    </row>
    <row r="755">
      <c r="A755" s="24">
        <f>IF(库存台账!$A755="","",库存台账!$A755)</f>
        <v/>
      </c>
      <c r="B755" s="24">
        <f>IF($A755="","",库存台账!$B755)</f>
        <v/>
      </c>
      <c r="C755" s="24">
        <f>IF($A755="","",库存台账!$C755)</f>
        <v/>
      </c>
      <c r="D755" s="24">
        <f>IF($A755="","",库存台账!$D755)</f>
        <v/>
      </c>
      <c r="E755" s="24">
        <f>IF($A755="","",库存台账!$E755)</f>
        <v/>
      </c>
      <c r="F755" s="24">
        <f>IF($A755="","",库存台账!$F755)</f>
        <v/>
      </c>
      <c r="G755" s="17" t="n"/>
      <c r="H755" s="23" t="n"/>
      <c r="I755" s="27">
        <f>IF($A755="","",库存台账!$X755)</f>
        <v/>
      </c>
      <c r="J755" s="27">
        <f>IF(OR($A755="",$H755=""),"",ROUND($H755-$I755,3))</f>
        <v/>
      </c>
      <c r="K755" s="26">
        <f>IF($A755="","",库存台账!$K755)</f>
        <v/>
      </c>
      <c r="L755" s="26">
        <f>IF($J755="","",ROUND($J755*$K755,0))</f>
        <v/>
      </c>
      <c r="M755" s="37">
        <f>IF(OR($J755="",$I755=0),"",ROUND($J755/$I755,4))</f>
        <v/>
      </c>
      <c r="N755" s="17" t="n"/>
      <c r="O755" s="17" t="n"/>
      <c r="P755" s="24">
        <f>IF($J755="","未盘",IF(ROUND($J755,3)=0,"账实相符",IF(COUNTIFS(入库单!$G$4:$G$2503,$A755,入库单!$X$4:$X$2503,"盘盈",入库单!$C$4:$C$2503,"&gt;="&amp;账期起,入库单!$C$4:$C$2503,"&lt;="&amp;账期止)+COUNTIFS(出库单!$D$4:$D$4003,$A755,出库单!$K$4:$K$4003,"盘亏",出库单!$C$4:$C$4003,"&gt;="&amp;账期起,出库单!$C$4:$C$4003,"&lt;="&amp;账期止)&gt;0,"已调账","※差异还没调账")))</f>
        <v/>
      </c>
      <c r="Q755" s="17" t="n"/>
      <c r="R755" s="17" t="n"/>
    </row>
    <row r="756">
      <c r="A756" s="24">
        <f>IF(库存台账!$A756="","",库存台账!$A756)</f>
        <v/>
      </c>
      <c r="B756" s="24">
        <f>IF($A756="","",库存台账!$B756)</f>
        <v/>
      </c>
      <c r="C756" s="24">
        <f>IF($A756="","",库存台账!$C756)</f>
        <v/>
      </c>
      <c r="D756" s="24">
        <f>IF($A756="","",库存台账!$D756)</f>
        <v/>
      </c>
      <c r="E756" s="24">
        <f>IF($A756="","",库存台账!$E756)</f>
        <v/>
      </c>
      <c r="F756" s="24">
        <f>IF($A756="","",库存台账!$F756)</f>
        <v/>
      </c>
      <c r="G756" s="17" t="n"/>
      <c r="H756" s="23" t="n"/>
      <c r="I756" s="27">
        <f>IF($A756="","",库存台账!$X756)</f>
        <v/>
      </c>
      <c r="J756" s="27">
        <f>IF(OR($A756="",$H756=""),"",ROUND($H756-$I756,3))</f>
        <v/>
      </c>
      <c r="K756" s="26">
        <f>IF($A756="","",库存台账!$K756)</f>
        <v/>
      </c>
      <c r="L756" s="26">
        <f>IF($J756="","",ROUND($J756*$K756,0))</f>
        <v/>
      </c>
      <c r="M756" s="37">
        <f>IF(OR($J756="",$I756=0),"",ROUND($J756/$I756,4))</f>
        <v/>
      </c>
      <c r="N756" s="17" t="n"/>
      <c r="O756" s="17" t="n"/>
      <c r="P756" s="24">
        <f>IF($J756="","未盘",IF(ROUND($J756,3)=0,"账实相符",IF(COUNTIFS(入库单!$G$4:$G$2503,$A756,入库单!$X$4:$X$2503,"盘盈",入库单!$C$4:$C$2503,"&gt;="&amp;账期起,入库单!$C$4:$C$2503,"&lt;="&amp;账期止)+COUNTIFS(出库单!$D$4:$D$4003,$A756,出库单!$K$4:$K$4003,"盘亏",出库单!$C$4:$C$4003,"&gt;="&amp;账期起,出库单!$C$4:$C$4003,"&lt;="&amp;账期止)&gt;0,"已调账","※差异还没调账")))</f>
        <v/>
      </c>
      <c r="Q756" s="17" t="n"/>
      <c r="R756" s="17" t="n"/>
    </row>
    <row r="757">
      <c r="A757" s="24">
        <f>IF(库存台账!$A757="","",库存台账!$A757)</f>
        <v/>
      </c>
      <c r="B757" s="24">
        <f>IF($A757="","",库存台账!$B757)</f>
        <v/>
      </c>
      <c r="C757" s="24">
        <f>IF($A757="","",库存台账!$C757)</f>
        <v/>
      </c>
      <c r="D757" s="24">
        <f>IF($A757="","",库存台账!$D757)</f>
        <v/>
      </c>
      <c r="E757" s="24">
        <f>IF($A757="","",库存台账!$E757)</f>
        <v/>
      </c>
      <c r="F757" s="24">
        <f>IF($A757="","",库存台账!$F757)</f>
        <v/>
      </c>
      <c r="G757" s="17" t="n"/>
      <c r="H757" s="23" t="n"/>
      <c r="I757" s="27">
        <f>IF($A757="","",库存台账!$X757)</f>
        <v/>
      </c>
      <c r="J757" s="27">
        <f>IF(OR($A757="",$H757=""),"",ROUND($H757-$I757,3))</f>
        <v/>
      </c>
      <c r="K757" s="26">
        <f>IF($A757="","",库存台账!$K757)</f>
        <v/>
      </c>
      <c r="L757" s="26">
        <f>IF($J757="","",ROUND($J757*$K757,0))</f>
        <v/>
      </c>
      <c r="M757" s="37">
        <f>IF(OR($J757="",$I757=0),"",ROUND($J757/$I757,4))</f>
        <v/>
      </c>
      <c r="N757" s="17" t="n"/>
      <c r="O757" s="17" t="n"/>
      <c r="P757" s="24">
        <f>IF($J757="","未盘",IF(ROUND($J757,3)=0,"账实相符",IF(COUNTIFS(入库单!$G$4:$G$2503,$A757,入库单!$X$4:$X$2503,"盘盈",入库单!$C$4:$C$2503,"&gt;="&amp;账期起,入库单!$C$4:$C$2503,"&lt;="&amp;账期止)+COUNTIFS(出库单!$D$4:$D$4003,$A757,出库单!$K$4:$K$4003,"盘亏",出库单!$C$4:$C$4003,"&gt;="&amp;账期起,出库单!$C$4:$C$4003,"&lt;="&amp;账期止)&gt;0,"已调账","※差异还没调账")))</f>
        <v/>
      </c>
      <c r="Q757" s="17" t="n"/>
      <c r="R757" s="17" t="n"/>
    </row>
    <row r="758">
      <c r="A758" s="24">
        <f>IF(库存台账!$A758="","",库存台账!$A758)</f>
        <v/>
      </c>
      <c r="B758" s="24">
        <f>IF($A758="","",库存台账!$B758)</f>
        <v/>
      </c>
      <c r="C758" s="24">
        <f>IF($A758="","",库存台账!$C758)</f>
        <v/>
      </c>
      <c r="D758" s="24">
        <f>IF($A758="","",库存台账!$D758)</f>
        <v/>
      </c>
      <c r="E758" s="24">
        <f>IF($A758="","",库存台账!$E758)</f>
        <v/>
      </c>
      <c r="F758" s="24">
        <f>IF($A758="","",库存台账!$F758)</f>
        <v/>
      </c>
      <c r="G758" s="17" t="n"/>
      <c r="H758" s="23" t="n"/>
      <c r="I758" s="27">
        <f>IF($A758="","",库存台账!$X758)</f>
        <v/>
      </c>
      <c r="J758" s="27">
        <f>IF(OR($A758="",$H758=""),"",ROUND($H758-$I758,3))</f>
        <v/>
      </c>
      <c r="K758" s="26">
        <f>IF($A758="","",库存台账!$K758)</f>
        <v/>
      </c>
      <c r="L758" s="26">
        <f>IF($J758="","",ROUND($J758*$K758,0))</f>
        <v/>
      </c>
      <c r="M758" s="37">
        <f>IF(OR($J758="",$I758=0),"",ROUND($J758/$I758,4))</f>
        <v/>
      </c>
      <c r="N758" s="17" t="n"/>
      <c r="O758" s="17" t="n"/>
      <c r="P758" s="24">
        <f>IF($J758="","未盘",IF(ROUND($J758,3)=0,"账实相符",IF(COUNTIFS(入库单!$G$4:$G$2503,$A758,入库单!$X$4:$X$2503,"盘盈",入库单!$C$4:$C$2503,"&gt;="&amp;账期起,入库单!$C$4:$C$2503,"&lt;="&amp;账期止)+COUNTIFS(出库单!$D$4:$D$4003,$A758,出库单!$K$4:$K$4003,"盘亏",出库单!$C$4:$C$4003,"&gt;="&amp;账期起,出库单!$C$4:$C$4003,"&lt;="&amp;账期止)&gt;0,"已调账","※差异还没调账")))</f>
        <v/>
      </c>
      <c r="Q758" s="17" t="n"/>
      <c r="R758" s="17" t="n"/>
    </row>
    <row r="759">
      <c r="A759" s="24">
        <f>IF(库存台账!$A759="","",库存台账!$A759)</f>
        <v/>
      </c>
      <c r="B759" s="24">
        <f>IF($A759="","",库存台账!$B759)</f>
        <v/>
      </c>
      <c r="C759" s="24">
        <f>IF($A759="","",库存台账!$C759)</f>
        <v/>
      </c>
      <c r="D759" s="24">
        <f>IF($A759="","",库存台账!$D759)</f>
        <v/>
      </c>
      <c r="E759" s="24">
        <f>IF($A759="","",库存台账!$E759)</f>
        <v/>
      </c>
      <c r="F759" s="24">
        <f>IF($A759="","",库存台账!$F759)</f>
        <v/>
      </c>
      <c r="G759" s="17" t="n"/>
      <c r="H759" s="23" t="n"/>
      <c r="I759" s="27">
        <f>IF($A759="","",库存台账!$X759)</f>
        <v/>
      </c>
      <c r="J759" s="27">
        <f>IF(OR($A759="",$H759=""),"",ROUND($H759-$I759,3))</f>
        <v/>
      </c>
      <c r="K759" s="26">
        <f>IF($A759="","",库存台账!$K759)</f>
        <v/>
      </c>
      <c r="L759" s="26">
        <f>IF($J759="","",ROUND($J759*$K759,0))</f>
        <v/>
      </c>
      <c r="M759" s="37">
        <f>IF(OR($J759="",$I759=0),"",ROUND($J759/$I759,4))</f>
        <v/>
      </c>
      <c r="N759" s="17" t="n"/>
      <c r="O759" s="17" t="n"/>
      <c r="P759" s="24">
        <f>IF($J759="","未盘",IF(ROUND($J759,3)=0,"账实相符",IF(COUNTIFS(入库单!$G$4:$G$2503,$A759,入库单!$X$4:$X$2503,"盘盈",入库单!$C$4:$C$2503,"&gt;="&amp;账期起,入库单!$C$4:$C$2503,"&lt;="&amp;账期止)+COUNTIFS(出库单!$D$4:$D$4003,$A759,出库单!$K$4:$K$4003,"盘亏",出库单!$C$4:$C$4003,"&gt;="&amp;账期起,出库单!$C$4:$C$4003,"&lt;="&amp;账期止)&gt;0,"已调账","※差异还没调账")))</f>
        <v/>
      </c>
      <c r="Q759" s="17" t="n"/>
      <c r="R759" s="17" t="n"/>
    </row>
    <row r="760">
      <c r="A760" s="24">
        <f>IF(库存台账!$A760="","",库存台账!$A760)</f>
        <v/>
      </c>
      <c r="B760" s="24">
        <f>IF($A760="","",库存台账!$B760)</f>
        <v/>
      </c>
      <c r="C760" s="24">
        <f>IF($A760="","",库存台账!$C760)</f>
        <v/>
      </c>
      <c r="D760" s="24">
        <f>IF($A760="","",库存台账!$D760)</f>
        <v/>
      </c>
      <c r="E760" s="24">
        <f>IF($A760="","",库存台账!$E760)</f>
        <v/>
      </c>
      <c r="F760" s="24">
        <f>IF($A760="","",库存台账!$F760)</f>
        <v/>
      </c>
      <c r="G760" s="17" t="n"/>
      <c r="H760" s="23" t="n"/>
      <c r="I760" s="27">
        <f>IF($A760="","",库存台账!$X760)</f>
        <v/>
      </c>
      <c r="J760" s="27">
        <f>IF(OR($A760="",$H760=""),"",ROUND($H760-$I760,3))</f>
        <v/>
      </c>
      <c r="K760" s="26">
        <f>IF($A760="","",库存台账!$K760)</f>
        <v/>
      </c>
      <c r="L760" s="26">
        <f>IF($J760="","",ROUND($J760*$K760,0))</f>
        <v/>
      </c>
      <c r="M760" s="37">
        <f>IF(OR($J760="",$I760=0),"",ROUND($J760/$I760,4))</f>
        <v/>
      </c>
      <c r="N760" s="17" t="n"/>
      <c r="O760" s="17" t="n"/>
      <c r="P760" s="24">
        <f>IF($J760="","未盘",IF(ROUND($J760,3)=0,"账实相符",IF(COUNTIFS(入库单!$G$4:$G$2503,$A760,入库单!$X$4:$X$2503,"盘盈",入库单!$C$4:$C$2503,"&gt;="&amp;账期起,入库单!$C$4:$C$2503,"&lt;="&amp;账期止)+COUNTIFS(出库单!$D$4:$D$4003,$A760,出库单!$K$4:$K$4003,"盘亏",出库单!$C$4:$C$4003,"&gt;="&amp;账期起,出库单!$C$4:$C$4003,"&lt;="&amp;账期止)&gt;0,"已调账","※差异还没调账")))</f>
        <v/>
      </c>
      <c r="Q760" s="17" t="n"/>
      <c r="R760" s="17" t="n"/>
    </row>
    <row r="761">
      <c r="A761" s="24">
        <f>IF(库存台账!$A761="","",库存台账!$A761)</f>
        <v/>
      </c>
      <c r="B761" s="24">
        <f>IF($A761="","",库存台账!$B761)</f>
        <v/>
      </c>
      <c r="C761" s="24">
        <f>IF($A761="","",库存台账!$C761)</f>
        <v/>
      </c>
      <c r="D761" s="24">
        <f>IF($A761="","",库存台账!$D761)</f>
        <v/>
      </c>
      <c r="E761" s="24">
        <f>IF($A761="","",库存台账!$E761)</f>
        <v/>
      </c>
      <c r="F761" s="24">
        <f>IF($A761="","",库存台账!$F761)</f>
        <v/>
      </c>
      <c r="G761" s="17" t="n"/>
      <c r="H761" s="23" t="n"/>
      <c r="I761" s="27">
        <f>IF($A761="","",库存台账!$X761)</f>
        <v/>
      </c>
      <c r="J761" s="27">
        <f>IF(OR($A761="",$H761=""),"",ROUND($H761-$I761,3))</f>
        <v/>
      </c>
      <c r="K761" s="26">
        <f>IF($A761="","",库存台账!$K761)</f>
        <v/>
      </c>
      <c r="L761" s="26">
        <f>IF($J761="","",ROUND($J761*$K761,0))</f>
        <v/>
      </c>
      <c r="M761" s="37">
        <f>IF(OR($J761="",$I761=0),"",ROUND($J761/$I761,4))</f>
        <v/>
      </c>
      <c r="N761" s="17" t="n"/>
      <c r="O761" s="17" t="n"/>
      <c r="P761" s="24">
        <f>IF($J761="","未盘",IF(ROUND($J761,3)=0,"账实相符",IF(COUNTIFS(入库单!$G$4:$G$2503,$A761,入库单!$X$4:$X$2503,"盘盈",入库单!$C$4:$C$2503,"&gt;="&amp;账期起,入库单!$C$4:$C$2503,"&lt;="&amp;账期止)+COUNTIFS(出库单!$D$4:$D$4003,$A761,出库单!$K$4:$K$4003,"盘亏",出库单!$C$4:$C$4003,"&gt;="&amp;账期起,出库单!$C$4:$C$4003,"&lt;="&amp;账期止)&gt;0,"已调账","※差异还没调账")))</f>
        <v/>
      </c>
      <c r="Q761" s="17" t="n"/>
      <c r="R761" s="17" t="n"/>
    </row>
    <row r="762">
      <c r="A762" s="24">
        <f>IF(库存台账!$A762="","",库存台账!$A762)</f>
        <v/>
      </c>
      <c r="B762" s="24">
        <f>IF($A762="","",库存台账!$B762)</f>
        <v/>
      </c>
      <c r="C762" s="24">
        <f>IF($A762="","",库存台账!$C762)</f>
        <v/>
      </c>
      <c r="D762" s="24">
        <f>IF($A762="","",库存台账!$D762)</f>
        <v/>
      </c>
      <c r="E762" s="24">
        <f>IF($A762="","",库存台账!$E762)</f>
        <v/>
      </c>
      <c r="F762" s="24">
        <f>IF($A762="","",库存台账!$F762)</f>
        <v/>
      </c>
      <c r="G762" s="17" t="n"/>
      <c r="H762" s="23" t="n"/>
      <c r="I762" s="27">
        <f>IF($A762="","",库存台账!$X762)</f>
        <v/>
      </c>
      <c r="J762" s="27">
        <f>IF(OR($A762="",$H762=""),"",ROUND($H762-$I762,3))</f>
        <v/>
      </c>
      <c r="K762" s="26">
        <f>IF($A762="","",库存台账!$K762)</f>
        <v/>
      </c>
      <c r="L762" s="26">
        <f>IF($J762="","",ROUND($J762*$K762,0))</f>
        <v/>
      </c>
      <c r="M762" s="37">
        <f>IF(OR($J762="",$I762=0),"",ROUND($J762/$I762,4))</f>
        <v/>
      </c>
      <c r="N762" s="17" t="n"/>
      <c r="O762" s="17" t="n"/>
      <c r="P762" s="24">
        <f>IF($J762="","未盘",IF(ROUND($J762,3)=0,"账实相符",IF(COUNTIFS(入库单!$G$4:$G$2503,$A762,入库单!$X$4:$X$2503,"盘盈",入库单!$C$4:$C$2503,"&gt;="&amp;账期起,入库单!$C$4:$C$2503,"&lt;="&amp;账期止)+COUNTIFS(出库单!$D$4:$D$4003,$A762,出库单!$K$4:$K$4003,"盘亏",出库单!$C$4:$C$4003,"&gt;="&amp;账期起,出库单!$C$4:$C$4003,"&lt;="&amp;账期止)&gt;0,"已调账","※差异还没调账")))</f>
        <v/>
      </c>
      <c r="Q762" s="17" t="n"/>
      <c r="R762" s="17" t="n"/>
    </row>
    <row r="763">
      <c r="A763" s="24">
        <f>IF(库存台账!$A763="","",库存台账!$A763)</f>
        <v/>
      </c>
      <c r="B763" s="24">
        <f>IF($A763="","",库存台账!$B763)</f>
        <v/>
      </c>
      <c r="C763" s="24">
        <f>IF($A763="","",库存台账!$C763)</f>
        <v/>
      </c>
      <c r="D763" s="24">
        <f>IF($A763="","",库存台账!$D763)</f>
        <v/>
      </c>
      <c r="E763" s="24">
        <f>IF($A763="","",库存台账!$E763)</f>
        <v/>
      </c>
      <c r="F763" s="24">
        <f>IF($A763="","",库存台账!$F763)</f>
        <v/>
      </c>
      <c r="G763" s="17" t="n"/>
      <c r="H763" s="23" t="n"/>
      <c r="I763" s="27">
        <f>IF($A763="","",库存台账!$X763)</f>
        <v/>
      </c>
      <c r="J763" s="27">
        <f>IF(OR($A763="",$H763=""),"",ROUND($H763-$I763,3))</f>
        <v/>
      </c>
      <c r="K763" s="26">
        <f>IF($A763="","",库存台账!$K763)</f>
        <v/>
      </c>
      <c r="L763" s="26">
        <f>IF($J763="","",ROUND($J763*$K763,0))</f>
        <v/>
      </c>
      <c r="M763" s="37">
        <f>IF(OR($J763="",$I763=0),"",ROUND($J763/$I763,4))</f>
        <v/>
      </c>
      <c r="N763" s="17" t="n"/>
      <c r="O763" s="17" t="n"/>
      <c r="P763" s="24">
        <f>IF($J763="","未盘",IF(ROUND($J763,3)=0,"账实相符",IF(COUNTIFS(入库单!$G$4:$G$2503,$A763,入库单!$X$4:$X$2503,"盘盈",入库单!$C$4:$C$2503,"&gt;="&amp;账期起,入库单!$C$4:$C$2503,"&lt;="&amp;账期止)+COUNTIFS(出库单!$D$4:$D$4003,$A763,出库单!$K$4:$K$4003,"盘亏",出库单!$C$4:$C$4003,"&gt;="&amp;账期起,出库单!$C$4:$C$4003,"&lt;="&amp;账期止)&gt;0,"已调账","※差异还没调账")))</f>
        <v/>
      </c>
      <c r="Q763" s="17" t="n"/>
      <c r="R763" s="17" t="n"/>
    </row>
    <row r="764">
      <c r="A764" s="24">
        <f>IF(库存台账!$A764="","",库存台账!$A764)</f>
        <v/>
      </c>
      <c r="B764" s="24">
        <f>IF($A764="","",库存台账!$B764)</f>
        <v/>
      </c>
      <c r="C764" s="24">
        <f>IF($A764="","",库存台账!$C764)</f>
        <v/>
      </c>
      <c r="D764" s="24">
        <f>IF($A764="","",库存台账!$D764)</f>
        <v/>
      </c>
      <c r="E764" s="24">
        <f>IF($A764="","",库存台账!$E764)</f>
        <v/>
      </c>
      <c r="F764" s="24">
        <f>IF($A764="","",库存台账!$F764)</f>
        <v/>
      </c>
      <c r="G764" s="17" t="n"/>
      <c r="H764" s="23" t="n"/>
      <c r="I764" s="27">
        <f>IF($A764="","",库存台账!$X764)</f>
        <v/>
      </c>
      <c r="J764" s="27">
        <f>IF(OR($A764="",$H764=""),"",ROUND($H764-$I764,3))</f>
        <v/>
      </c>
      <c r="K764" s="26">
        <f>IF($A764="","",库存台账!$K764)</f>
        <v/>
      </c>
      <c r="L764" s="26">
        <f>IF($J764="","",ROUND($J764*$K764,0))</f>
        <v/>
      </c>
      <c r="M764" s="37">
        <f>IF(OR($J764="",$I764=0),"",ROUND($J764/$I764,4))</f>
        <v/>
      </c>
      <c r="N764" s="17" t="n"/>
      <c r="O764" s="17" t="n"/>
      <c r="P764" s="24">
        <f>IF($J764="","未盘",IF(ROUND($J764,3)=0,"账实相符",IF(COUNTIFS(入库单!$G$4:$G$2503,$A764,入库单!$X$4:$X$2503,"盘盈",入库单!$C$4:$C$2503,"&gt;="&amp;账期起,入库单!$C$4:$C$2503,"&lt;="&amp;账期止)+COUNTIFS(出库单!$D$4:$D$4003,$A764,出库单!$K$4:$K$4003,"盘亏",出库单!$C$4:$C$4003,"&gt;="&amp;账期起,出库单!$C$4:$C$4003,"&lt;="&amp;账期止)&gt;0,"已调账","※差异还没调账")))</f>
        <v/>
      </c>
      <c r="Q764" s="17" t="n"/>
      <c r="R764" s="17" t="n"/>
    </row>
    <row r="765">
      <c r="A765" s="24">
        <f>IF(库存台账!$A765="","",库存台账!$A765)</f>
        <v/>
      </c>
      <c r="B765" s="24">
        <f>IF($A765="","",库存台账!$B765)</f>
        <v/>
      </c>
      <c r="C765" s="24">
        <f>IF($A765="","",库存台账!$C765)</f>
        <v/>
      </c>
      <c r="D765" s="24">
        <f>IF($A765="","",库存台账!$D765)</f>
        <v/>
      </c>
      <c r="E765" s="24">
        <f>IF($A765="","",库存台账!$E765)</f>
        <v/>
      </c>
      <c r="F765" s="24">
        <f>IF($A765="","",库存台账!$F765)</f>
        <v/>
      </c>
      <c r="G765" s="17" t="n"/>
      <c r="H765" s="23" t="n"/>
      <c r="I765" s="27">
        <f>IF($A765="","",库存台账!$X765)</f>
        <v/>
      </c>
      <c r="J765" s="27">
        <f>IF(OR($A765="",$H765=""),"",ROUND($H765-$I765,3))</f>
        <v/>
      </c>
      <c r="K765" s="26">
        <f>IF($A765="","",库存台账!$K765)</f>
        <v/>
      </c>
      <c r="L765" s="26">
        <f>IF($J765="","",ROUND($J765*$K765,0))</f>
        <v/>
      </c>
      <c r="M765" s="37">
        <f>IF(OR($J765="",$I765=0),"",ROUND($J765/$I765,4))</f>
        <v/>
      </c>
      <c r="N765" s="17" t="n"/>
      <c r="O765" s="17" t="n"/>
      <c r="P765" s="24">
        <f>IF($J765="","未盘",IF(ROUND($J765,3)=0,"账实相符",IF(COUNTIFS(入库单!$G$4:$G$2503,$A765,入库单!$X$4:$X$2503,"盘盈",入库单!$C$4:$C$2503,"&gt;="&amp;账期起,入库单!$C$4:$C$2503,"&lt;="&amp;账期止)+COUNTIFS(出库单!$D$4:$D$4003,$A765,出库单!$K$4:$K$4003,"盘亏",出库单!$C$4:$C$4003,"&gt;="&amp;账期起,出库单!$C$4:$C$4003,"&lt;="&amp;账期止)&gt;0,"已调账","※差异还没调账")))</f>
        <v/>
      </c>
      <c r="Q765" s="17" t="n"/>
      <c r="R765" s="17" t="n"/>
    </row>
    <row r="766">
      <c r="A766" s="24">
        <f>IF(库存台账!$A766="","",库存台账!$A766)</f>
        <v/>
      </c>
      <c r="B766" s="24">
        <f>IF($A766="","",库存台账!$B766)</f>
        <v/>
      </c>
      <c r="C766" s="24">
        <f>IF($A766="","",库存台账!$C766)</f>
        <v/>
      </c>
      <c r="D766" s="24">
        <f>IF($A766="","",库存台账!$D766)</f>
        <v/>
      </c>
      <c r="E766" s="24">
        <f>IF($A766="","",库存台账!$E766)</f>
        <v/>
      </c>
      <c r="F766" s="24">
        <f>IF($A766="","",库存台账!$F766)</f>
        <v/>
      </c>
      <c r="G766" s="17" t="n"/>
      <c r="H766" s="23" t="n"/>
      <c r="I766" s="27">
        <f>IF($A766="","",库存台账!$X766)</f>
        <v/>
      </c>
      <c r="J766" s="27">
        <f>IF(OR($A766="",$H766=""),"",ROUND($H766-$I766,3))</f>
        <v/>
      </c>
      <c r="K766" s="26">
        <f>IF($A766="","",库存台账!$K766)</f>
        <v/>
      </c>
      <c r="L766" s="26">
        <f>IF($J766="","",ROUND($J766*$K766,0))</f>
        <v/>
      </c>
      <c r="M766" s="37">
        <f>IF(OR($J766="",$I766=0),"",ROUND($J766/$I766,4))</f>
        <v/>
      </c>
      <c r="N766" s="17" t="n"/>
      <c r="O766" s="17" t="n"/>
      <c r="P766" s="24">
        <f>IF($J766="","未盘",IF(ROUND($J766,3)=0,"账实相符",IF(COUNTIFS(入库单!$G$4:$G$2503,$A766,入库单!$X$4:$X$2503,"盘盈",入库单!$C$4:$C$2503,"&gt;="&amp;账期起,入库单!$C$4:$C$2503,"&lt;="&amp;账期止)+COUNTIFS(出库单!$D$4:$D$4003,$A766,出库单!$K$4:$K$4003,"盘亏",出库单!$C$4:$C$4003,"&gt;="&amp;账期起,出库单!$C$4:$C$4003,"&lt;="&amp;账期止)&gt;0,"已调账","※差异还没调账")))</f>
        <v/>
      </c>
      <c r="Q766" s="17" t="n"/>
      <c r="R766" s="17" t="n"/>
    </row>
    <row r="767">
      <c r="A767" s="24">
        <f>IF(库存台账!$A767="","",库存台账!$A767)</f>
        <v/>
      </c>
      <c r="B767" s="24">
        <f>IF($A767="","",库存台账!$B767)</f>
        <v/>
      </c>
      <c r="C767" s="24">
        <f>IF($A767="","",库存台账!$C767)</f>
        <v/>
      </c>
      <c r="D767" s="24">
        <f>IF($A767="","",库存台账!$D767)</f>
        <v/>
      </c>
      <c r="E767" s="24">
        <f>IF($A767="","",库存台账!$E767)</f>
        <v/>
      </c>
      <c r="F767" s="24">
        <f>IF($A767="","",库存台账!$F767)</f>
        <v/>
      </c>
      <c r="G767" s="17" t="n"/>
      <c r="H767" s="23" t="n"/>
      <c r="I767" s="27">
        <f>IF($A767="","",库存台账!$X767)</f>
        <v/>
      </c>
      <c r="J767" s="27">
        <f>IF(OR($A767="",$H767=""),"",ROUND($H767-$I767,3))</f>
        <v/>
      </c>
      <c r="K767" s="26">
        <f>IF($A767="","",库存台账!$K767)</f>
        <v/>
      </c>
      <c r="L767" s="26">
        <f>IF($J767="","",ROUND($J767*$K767,0))</f>
        <v/>
      </c>
      <c r="M767" s="37">
        <f>IF(OR($J767="",$I767=0),"",ROUND($J767/$I767,4))</f>
        <v/>
      </c>
      <c r="N767" s="17" t="n"/>
      <c r="O767" s="17" t="n"/>
      <c r="P767" s="24">
        <f>IF($J767="","未盘",IF(ROUND($J767,3)=0,"账实相符",IF(COUNTIFS(入库单!$G$4:$G$2503,$A767,入库单!$X$4:$X$2503,"盘盈",入库单!$C$4:$C$2503,"&gt;="&amp;账期起,入库单!$C$4:$C$2503,"&lt;="&amp;账期止)+COUNTIFS(出库单!$D$4:$D$4003,$A767,出库单!$K$4:$K$4003,"盘亏",出库单!$C$4:$C$4003,"&gt;="&amp;账期起,出库单!$C$4:$C$4003,"&lt;="&amp;账期止)&gt;0,"已调账","※差异还没调账")))</f>
        <v/>
      </c>
      <c r="Q767" s="17" t="n"/>
      <c r="R767" s="17" t="n"/>
    </row>
    <row r="768">
      <c r="A768" s="24">
        <f>IF(库存台账!$A768="","",库存台账!$A768)</f>
        <v/>
      </c>
      <c r="B768" s="24">
        <f>IF($A768="","",库存台账!$B768)</f>
        <v/>
      </c>
      <c r="C768" s="24">
        <f>IF($A768="","",库存台账!$C768)</f>
        <v/>
      </c>
      <c r="D768" s="24">
        <f>IF($A768="","",库存台账!$D768)</f>
        <v/>
      </c>
      <c r="E768" s="24">
        <f>IF($A768="","",库存台账!$E768)</f>
        <v/>
      </c>
      <c r="F768" s="24">
        <f>IF($A768="","",库存台账!$F768)</f>
        <v/>
      </c>
      <c r="G768" s="17" t="n"/>
      <c r="H768" s="23" t="n"/>
      <c r="I768" s="27">
        <f>IF($A768="","",库存台账!$X768)</f>
        <v/>
      </c>
      <c r="J768" s="27">
        <f>IF(OR($A768="",$H768=""),"",ROUND($H768-$I768,3))</f>
        <v/>
      </c>
      <c r="K768" s="26">
        <f>IF($A768="","",库存台账!$K768)</f>
        <v/>
      </c>
      <c r="L768" s="26">
        <f>IF($J768="","",ROUND($J768*$K768,0))</f>
        <v/>
      </c>
      <c r="M768" s="37">
        <f>IF(OR($J768="",$I768=0),"",ROUND($J768/$I768,4))</f>
        <v/>
      </c>
      <c r="N768" s="17" t="n"/>
      <c r="O768" s="17" t="n"/>
      <c r="P768" s="24">
        <f>IF($J768="","未盘",IF(ROUND($J768,3)=0,"账实相符",IF(COUNTIFS(入库单!$G$4:$G$2503,$A768,入库单!$X$4:$X$2503,"盘盈",入库单!$C$4:$C$2503,"&gt;="&amp;账期起,入库单!$C$4:$C$2503,"&lt;="&amp;账期止)+COUNTIFS(出库单!$D$4:$D$4003,$A768,出库单!$K$4:$K$4003,"盘亏",出库单!$C$4:$C$4003,"&gt;="&amp;账期起,出库单!$C$4:$C$4003,"&lt;="&amp;账期止)&gt;0,"已调账","※差异还没调账")))</f>
        <v/>
      </c>
      <c r="Q768" s="17" t="n"/>
      <c r="R768" s="17" t="n"/>
    </row>
    <row r="769">
      <c r="A769" s="24">
        <f>IF(库存台账!$A769="","",库存台账!$A769)</f>
        <v/>
      </c>
      <c r="B769" s="24">
        <f>IF($A769="","",库存台账!$B769)</f>
        <v/>
      </c>
      <c r="C769" s="24">
        <f>IF($A769="","",库存台账!$C769)</f>
        <v/>
      </c>
      <c r="D769" s="24">
        <f>IF($A769="","",库存台账!$D769)</f>
        <v/>
      </c>
      <c r="E769" s="24">
        <f>IF($A769="","",库存台账!$E769)</f>
        <v/>
      </c>
      <c r="F769" s="24">
        <f>IF($A769="","",库存台账!$F769)</f>
        <v/>
      </c>
      <c r="G769" s="17" t="n"/>
      <c r="H769" s="23" t="n"/>
      <c r="I769" s="27">
        <f>IF($A769="","",库存台账!$X769)</f>
        <v/>
      </c>
      <c r="J769" s="27">
        <f>IF(OR($A769="",$H769=""),"",ROUND($H769-$I769,3))</f>
        <v/>
      </c>
      <c r="K769" s="26">
        <f>IF($A769="","",库存台账!$K769)</f>
        <v/>
      </c>
      <c r="L769" s="26">
        <f>IF($J769="","",ROUND($J769*$K769,0))</f>
        <v/>
      </c>
      <c r="M769" s="37">
        <f>IF(OR($J769="",$I769=0),"",ROUND($J769/$I769,4))</f>
        <v/>
      </c>
      <c r="N769" s="17" t="n"/>
      <c r="O769" s="17" t="n"/>
      <c r="P769" s="24">
        <f>IF($J769="","未盘",IF(ROUND($J769,3)=0,"账实相符",IF(COUNTIFS(入库单!$G$4:$G$2503,$A769,入库单!$X$4:$X$2503,"盘盈",入库单!$C$4:$C$2503,"&gt;="&amp;账期起,入库单!$C$4:$C$2503,"&lt;="&amp;账期止)+COUNTIFS(出库单!$D$4:$D$4003,$A769,出库单!$K$4:$K$4003,"盘亏",出库单!$C$4:$C$4003,"&gt;="&amp;账期起,出库单!$C$4:$C$4003,"&lt;="&amp;账期止)&gt;0,"已调账","※差异还没调账")))</f>
        <v/>
      </c>
      <c r="Q769" s="17" t="n"/>
      <c r="R769" s="17" t="n"/>
    </row>
    <row r="770">
      <c r="A770" s="24">
        <f>IF(库存台账!$A770="","",库存台账!$A770)</f>
        <v/>
      </c>
      <c r="B770" s="24">
        <f>IF($A770="","",库存台账!$B770)</f>
        <v/>
      </c>
      <c r="C770" s="24">
        <f>IF($A770="","",库存台账!$C770)</f>
        <v/>
      </c>
      <c r="D770" s="24">
        <f>IF($A770="","",库存台账!$D770)</f>
        <v/>
      </c>
      <c r="E770" s="24">
        <f>IF($A770="","",库存台账!$E770)</f>
        <v/>
      </c>
      <c r="F770" s="24">
        <f>IF($A770="","",库存台账!$F770)</f>
        <v/>
      </c>
      <c r="G770" s="17" t="n"/>
      <c r="H770" s="23" t="n"/>
      <c r="I770" s="27">
        <f>IF($A770="","",库存台账!$X770)</f>
        <v/>
      </c>
      <c r="J770" s="27">
        <f>IF(OR($A770="",$H770=""),"",ROUND($H770-$I770,3))</f>
        <v/>
      </c>
      <c r="K770" s="26">
        <f>IF($A770="","",库存台账!$K770)</f>
        <v/>
      </c>
      <c r="L770" s="26">
        <f>IF($J770="","",ROUND($J770*$K770,0))</f>
        <v/>
      </c>
      <c r="M770" s="37">
        <f>IF(OR($J770="",$I770=0),"",ROUND($J770/$I770,4))</f>
        <v/>
      </c>
      <c r="N770" s="17" t="n"/>
      <c r="O770" s="17" t="n"/>
      <c r="P770" s="24">
        <f>IF($J770="","未盘",IF(ROUND($J770,3)=0,"账实相符",IF(COUNTIFS(入库单!$G$4:$G$2503,$A770,入库单!$X$4:$X$2503,"盘盈",入库单!$C$4:$C$2503,"&gt;="&amp;账期起,入库单!$C$4:$C$2503,"&lt;="&amp;账期止)+COUNTIFS(出库单!$D$4:$D$4003,$A770,出库单!$K$4:$K$4003,"盘亏",出库单!$C$4:$C$4003,"&gt;="&amp;账期起,出库单!$C$4:$C$4003,"&lt;="&amp;账期止)&gt;0,"已调账","※差异还没调账")))</f>
        <v/>
      </c>
      <c r="Q770" s="17" t="n"/>
      <c r="R770" s="17" t="n"/>
    </row>
    <row r="771">
      <c r="A771" s="24">
        <f>IF(库存台账!$A771="","",库存台账!$A771)</f>
        <v/>
      </c>
      <c r="B771" s="24">
        <f>IF($A771="","",库存台账!$B771)</f>
        <v/>
      </c>
      <c r="C771" s="24">
        <f>IF($A771="","",库存台账!$C771)</f>
        <v/>
      </c>
      <c r="D771" s="24">
        <f>IF($A771="","",库存台账!$D771)</f>
        <v/>
      </c>
      <c r="E771" s="24">
        <f>IF($A771="","",库存台账!$E771)</f>
        <v/>
      </c>
      <c r="F771" s="24">
        <f>IF($A771="","",库存台账!$F771)</f>
        <v/>
      </c>
      <c r="G771" s="17" t="n"/>
      <c r="H771" s="23" t="n"/>
      <c r="I771" s="27">
        <f>IF($A771="","",库存台账!$X771)</f>
        <v/>
      </c>
      <c r="J771" s="27">
        <f>IF(OR($A771="",$H771=""),"",ROUND($H771-$I771,3))</f>
        <v/>
      </c>
      <c r="K771" s="26">
        <f>IF($A771="","",库存台账!$K771)</f>
        <v/>
      </c>
      <c r="L771" s="26">
        <f>IF($J771="","",ROUND($J771*$K771,0))</f>
        <v/>
      </c>
      <c r="M771" s="37">
        <f>IF(OR($J771="",$I771=0),"",ROUND($J771/$I771,4))</f>
        <v/>
      </c>
      <c r="N771" s="17" t="n"/>
      <c r="O771" s="17" t="n"/>
      <c r="P771" s="24">
        <f>IF($J771="","未盘",IF(ROUND($J771,3)=0,"账实相符",IF(COUNTIFS(入库单!$G$4:$G$2503,$A771,入库单!$X$4:$X$2503,"盘盈",入库单!$C$4:$C$2503,"&gt;="&amp;账期起,入库单!$C$4:$C$2503,"&lt;="&amp;账期止)+COUNTIFS(出库单!$D$4:$D$4003,$A771,出库单!$K$4:$K$4003,"盘亏",出库单!$C$4:$C$4003,"&gt;="&amp;账期起,出库单!$C$4:$C$4003,"&lt;="&amp;账期止)&gt;0,"已调账","※差异还没调账")))</f>
        <v/>
      </c>
      <c r="Q771" s="17" t="n"/>
      <c r="R771" s="17" t="n"/>
    </row>
    <row r="772">
      <c r="A772" s="24">
        <f>IF(库存台账!$A772="","",库存台账!$A772)</f>
        <v/>
      </c>
      <c r="B772" s="24">
        <f>IF($A772="","",库存台账!$B772)</f>
        <v/>
      </c>
      <c r="C772" s="24">
        <f>IF($A772="","",库存台账!$C772)</f>
        <v/>
      </c>
      <c r="D772" s="24">
        <f>IF($A772="","",库存台账!$D772)</f>
        <v/>
      </c>
      <c r="E772" s="24">
        <f>IF($A772="","",库存台账!$E772)</f>
        <v/>
      </c>
      <c r="F772" s="24">
        <f>IF($A772="","",库存台账!$F772)</f>
        <v/>
      </c>
      <c r="G772" s="17" t="n"/>
      <c r="H772" s="23" t="n"/>
      <c r="I772" s="27">
        <f>IF($A772="","",库存台账!$X772)</f>
        <v/>
      </c>
      <c r="J772" s="27">
        <f>IF(OR($A772="",$H772=""),"",ROUND($H772-$I772,3))</f>
        <v/>
      </c>
      <c r="K772" s="26">
        <f>IF($A772="","",库存台账!$K772)</f>
        <v/>
      </c>
      <c r="L772" s="26">
        <f>IF($J772="","",ROUND($J772*$K772,0))</f>
        <v/>
      </c>
      <c r="M772" s="37">
        <f>IF(OR($J772="",$I772=0),"",ROUND($J772/$I772,4))</f>
        <v/>
      </c>
      <c r="N772" s="17" t="n"/>
      <c r="O772" s="17" t="n"/>
      <c r="P772" s="24">
        <f>IF($J772="","未盘",IF(ROUND($J772,3)=0,"账实相符",IF(COUNTIFS(入库单!$G$4:$G$2503,$A772,入库单!$X$4:$X$2503,"盘盈",入库单!$C$4:$C$2503,"&gt;="&amp;账期起,入库单!$C$4:$C$2503,"&lt;="&amp;账期止)+COUNTIFS(出库单!$D$4:$D$4003,$A772,出库单!$K$4:$K$4003,"盘亏",出库单!$C$4:$C$4003,"&gt;="&amp;账期起,出库单!$C$4:$C$4003,"&lt;="&amp;账期止)&gt;0,"已调账","※差异还没调账")))</f>
        <v/>
      </c>
      <c r="Q772" s="17" t="n"/>
      <c r="R772" s="17" t="n"/>
    </row>
    <row r="773">
      <c r="A773" s="24">
        <f>IF(库存台账!$A773="","",库存台账!$A773)</f>
        <v/>
      </c>
      <c r="B773" s="24">
        <f>IF($A773="","",库存台账!$B773)</f>
        <v/>
      </c>
      <c r="C773" s="24">
        <f>IF($A773="","",库存台账!$C773)</f>
        <v/>
      </c>
      <c r="D773" s="24">
        <f>IF($A773="","",库存台账!$D773)</f>
        <v/>
      </c>
      <c r="E773" s="24">
        <f>IF($A773="","",库存台账!$E773)</f>
        <v/>
      </c>
      <c r="F773" s="24">
        <f>IF($A773="","",库存台账!$F773)</f>
        <v/>
      </c>
      <c r="G773" s="17" t="n"/>
      <c r="H773" s="23" t="n"/>
      <c r="I773" s="27">
        <f>IF($A773="","",库存台账!$X773)</f>
        <v/>
      </c>
      <c r="J773" s="27">
        <f>IF(OR($A773="",$H773=""),"",ROUND($H773-$I773,3))</f>
        <v/>
      </c>
      <c r="K773" s="26">
        <f>IF($A773="","",库存台账!$K773)</f>
        <v/>
      </c>
      <c r="L773" s="26">
        <f>IF($J773="","",ROUND($J773*$K773,0))</f>
        <v/>
      </c>
      <c r="M773" s="37">
        <f>IF(OR($J773="",$I773=0),"",ROUND($J773/$I773,4))</f>
        <v/>
      </c>
      <c r="N773" s="17" t="n"/>
      <c r="O773" s="17" t="n"/>
      <c r="P773" s="24">
        <f>IF($J773="","未盘",IF(ROUND($J773,3)=0,"账实相符",IF(COUNTIFS(入库单!$G$4:$G$2503,$A773,入库单!$X$4:$X$2503,"盘盈",入库单!$C$4:$C$2503,"&gt;="&amp;账期起,入库单!$C$4:$C$2503,"&lt;="&amp;账期止)+COUNTIFS(出库单!$D$4:$D$4003,$A773,出库单!$K$4:$K$4003,"盘亏",出库单!$C$4:$C$4003,"&gt;="&amp;账期起,出库单!$C$4:$C$4003,"&lt;="&amp;账期止)&gt;0,"已调账","※差异还没调账")))</f>
        <v/>
      </c>
      <c r="Q773" s="17" t="n"/>
      <c r="R773" s="17" t="n"/>
    </row>
    <row r="774">
      <c r="A774" s="24">
        <f>IF(库存台账!$A774="","",库存台账!$A774)</f>
        <v/>
      </c>
      <c r="B774" s="24">
        <f>IF($A774="","",库存台账!$B774)</f>
        <v/>
      </c>
      <c r="C774" s="24">
        <f>IF($A774="","",库存台账!$C774)</f>
        <v/>
      </c>
      <c r="D774" s="24">
        <f>IF($A774="","",库存台账!$D774)</f>
        <v/>
      </c>
      <c r="E774" s="24">
        <f>IF($A774="","",库存台账!$E774)</f>
        <v/>
      </c>
      <c r="F774" s="24">
        <f>IF($A774="","",库存台账!$F774)</f>
        <v/>
      </c>
      <c r="G774" s="17" t="n"/>
      <c r="H774" s="23" t="n"/>
      <c r="I774" s="27">
        <f>IF($A774="","",库存台账!$X774)</f>
        <v/>
      </c>
      <c r="J774" s="27">
        <f>IF(OR($A774="",$H774=""),"",ROUND($H774-$I774,3))</f>
        <v/>
      </c>
      <c r="K774" s="26">
        <f>IF($A774="","",库存台账!$K774)</f>
        <v/>
      </c>
      <c r="L774" s="26">
        <f>IF($J774="","",ROUND($J774*$K774,0))</f>
        <v/>
      </c>
      <c r="M774" s="37">
        <f>IF(OR($J774="",$I774=0),"",ROUND($J774/$I774,4))</f>
        <v/>
      </c>
      <c r="N774" s="17" t="n"/>
      <c r="O774" s="17" t="n"/>
      <c r="P774" s="24">
        <f>IF($J774="","未盘",IF(ROUND($J774,3)=0,"账实相符",IF(COUNTIFS(入库单!$G$4:$G$2503,$A774,入库单!$X$4:$X$2503,"盘盈",入库单!$C$4:$C$2503,"&gt;="&amp;账期起,入库单!$C$4:$C$2503,"&lt;="&amp;账期止)+COUNTIFS(出库单!$D$4:$D$4003,$A774,出库单!$K$4:$K$4003,"盘亏",出库单!$C$4:$C$4003,"&gt;="&amp;账期起,出库单!$C$4:$C$4003,"&lt;="&amp;账期止)&gt;0,"已调账","※差异还没调账")))</f>
        <v/>
      </c>
      <c r="Q774" s="17" t="n"/>
      <c r="R774" s="17" t="n"/>
    </row>
    <row r="775">
      <c r="A775" s="24">
        <f>IF(库存台账!$A775="","",库存台账!$A775)</f>
        <v/>
      </c>
      <c r="B775" s="24">
        <f>IF($A775="","",库存台账!$B775)</f>
        <v/>
      </c>
      <c r="C775" s="24">
        <f>IF($A775="","",库存台账!$C775)</f>
        <v/>
      </c>
      <c r="D775" s="24">
        <f>IF($A775="","",库存台账!$D775)</f>
        <v/>
      </c>
      <c r="E775" s="24">
        <f>IF($A775="","",库存台账!$E775)</f>
        <v/>
      </c>
      <c r="F775" s="24">
        <f>IF($A775="","",库存台账!$F775)</f>
        <v/>
      </c>
      <c r="G775" s="17" t="n"/>
      <c r="H775" s="23" t="n"/>
      <c r="I775" s="27">
        <f>IF($A775="","",库存台账!$X775)</f>
        <v/>
      </c>
      <c r="J775" s="27">
        <f>IF(OR($A775="",$H775=""),"",ROUND($H775-$I775,3))</f>
        <v/>
      </c>
      <c r="K775" s="26">
        <f>IF($A775="","",库存台账!$K775)</f>
        <v/>
      </c>
      <c r="L775" s="26">
        <f>IF($J775="","",ROUND($J775*$K775,0))</f>
        <v/>
      </c>
      <c r="M775" s="37">
        <f>IF(OR($J775="",$I775=0),"",ROUND($J775/$I775,4))</f>
        <v/>
      </c>
      <c r="N775" s="17" t="n"/>
      <c r="O775" s="17" t="n"/>
      <c r="P775" s="24">
        <f>IF($J775="","未盘",IF(ROUND($J775,3)=0,"账实相符",IF(COUNTIFS(入库单!$G$4:$G$2503,$A775,入库单!$X$4:$X$2503,"盘盈",入库单!$C$4:$C$2503,"&gt;="&amp;账期起,入库单!$C$4:$C$2503,"&lt;="&amp;账期止)+COUNTIFS(出库单!$D$4:$D$4003,$A775,出库单!$K$4:$K$4003,"盘亏",出库单!$C$4:$C$4003,"&gt;="&amp;账期起,出库单!$C$4:$C$4003,"&lt;="&amp;账期止)&gt;0,"已调账","※差异还没调账")))</f>
        <v/>
      </c>
      <c r="Q775" s="17" t="n"/>
      <c r="R775" s="17" t="n"/>
    </row>
    <row r="776">
      <c r="A776" s="24">
        <f>IF(库存台账!$A776="","",库存台账!$A776)</f>
        <v/>
      </c>
      <c r="B776" s="24">
        <f>IF($A776="","",库存台账!$B776)</f>
        <v/>
      </c>
      <c r="C776" s="24">
        <f>IF($A776="","",库存台账!$C776)</f>
        <v/>
      </c>
      <c r="D776" s="24">
        <f>IF($A776="","",库存台账!$D776)</f>
        <v/>
      </c>
      <c r="E776" s="24">
        <f>IF($A776="","",库存台账!$E776)</f>
        <v/>
      </c>
      <c r="F776" s="24">
        <f>IF($A776="","",库存台账!$F776)</f>
        <v/>
      </c>
      <c r="G776" s="17" t="n"/>
      <c r="H776" s="23" t="n"/>
      <c r="I776" s="27">
        <f>IF($A776="","",库存台账!$X776)</f>
        <v/>
      </c>
      <c r="J776" s="27">
        <f>IF(OR($A776="",$H776=""),"",ROUND($H776-$I776,3))</f>
        <v/>
      </c>
      <c r="K776" s="26">
        <f>IF($A776="","",库存台账!$K776)</f>
        <v/>
      </c>
      <c r="L776" s="26">
        <f>IF($J776="","",ROUND($J776*$K776,0))</f>
        <v/>
      </c>
      <c r="M776" s="37">
        <f>IF(OR($J776="",$I776=0),"",ROUND($J776/$I776,4))</f>
        <v/>
      </c>
      <c r="N776" s="17" t="n"/>
      <c r="O776" s="17" t="n"/>
      <c r="P776" s="24">
        <f>IF($J776="","未盘",IF(ROUND($J776,3)=0,"账实相符",IF(COUNTIFS(入库单!$G$4:$G$2503,$A776,入库单!$X$4:$X$2503,"盘盈",入库单!$C$4:$C$2503,"&gt;="&amp;账期起,入库单!$C$4:$C$2503,"&lt;="&amp;账期止)+COUNTIFS(出库单!$D$4:$D$4003,$A776,出库单!$K$4:$K$4003,"盘亏",出库单!$C$4:$C$4003,"&gt;="&amp;账期起,出库单!$C$4:$C$4003,"&lt;="&amp;账期止)&gt;0,"已调账","※差异还没调账")))</f>
        <v/>
      </c>
      <c r="Q776" s="17" t="n"/>
      <c r="R776" s="17" t="n"/>
    </row>
    <row r="777">
      <c r="A777" s="24">
        <f>IF(库存台账!$A777="","",库存台账!$A777)</f>
        <v/>
      </c>
      <c r="B777" s="24">
        <f>IF($A777="","",库存台账!$B777)</f>
        <v/>
      </c>
      <c r="C777" s="24">
        <f>IF($A777="","",库存台账!$C777)</f>
        <v/>
      </c>
      <c r="D777" s="24">
        <f>IF($A777="","",库存台账!$D777)</f>
        <v/>
      </c>
      <c r="E777" s="24">
        <f>IF($A777="","",库存台账!$E777)</f>
        <v/>
      </c>
      <c r="F777" s="24">
        <f>IF($A777="","",库存台账!$F777)</f>
        <v/>
      </c>
      <c r="G777" s="17" t="n"/>
      <c r="H777" s="23" t="n"/>
      <c r="I777" s="27">
        <f>IF($A777="","",库存台账!$X777)</f>
        <v/>
      </c>
      <c r="J777" s="27">
        <f>IF(OR($A777="",$H777=""),"",ROUND($H777-$I777,3))</f>
        <v/>
      </c>
      <c r="K777" s="26">
        <f>IF($A777="","",库存台账!$K777)</f>
        <v/>
      </c>
      <c r="L777" s="26">
        <f>IF($J777="","",ROUND($J777*$K777,0))</f>
        <v/>
      </c>
      <c r="M777" s="37">
        <f>IF(OR($J777="",$I777=0),"",ROUND($J777/$I777,4))</f>
        <v/>
      </c>
      <c r="N777" s="17" t="n"/>
      <c r="O777" s="17" t="n"/>
      <c r="P777" s="24">
        <f>IF($J777="","未盘",IF(ROUND($J777,3)=0,"账实相符",IF(COUNTIFS(入库单!$G$4:$G$2503,$A777,入库单!$X$4:$X$2503,"盘盈",入库单!$C$4:$C$2503,"&gt;="&amp;账期起,入库单!$C$4:$C$2503,"&lt;="&amp;账期止)+COUNTIFS(出库单!$D$4:$D$4003,$A777,出库单!$K$4:$K$4003,"盘亏",出库单!$C$4:$C$4003,"&gt;="&amp;账期起,出库单!$C$4:$C$4003,"&lt;="&amp;账期止)&gt;0,"已调账","※差异还没调账")))</f>
        <v/>
      </c>
      <c r="Q777" s="17" t="n"/>
      <c r="R777" s="17" t="n"/>
    </row>
    <row r="778">
      <c r="A778" s="24">
        <f>IF(库存台账!$A778="","",库存台账!$A778)</f>
        <v/>
      </c>
      <c r="B778" s="24">
        <f>IF($A778="","",库存台账!$B778)</f>
        <v/>
      </c>
      <c r="C778" s="24">
        <f>IF($A778="","",库存台账!$C778)</f>
        <v/>
      </c>
      <c r="D778" s="24">
        <f>IF($A778="","",库存台账!$D778)</f>
        <v/>
      </c>
      <c r="E778" s="24">
        <f>IF($A778="","",库存台账!$E778)</f>
        <v/>
      </c>
      <c r="F778" s="24">
        <f>IF($A778="","",库存台账!$F778)</f>
        <v/>
      </c>
      <c r="G778" s="17" t="n"/>
      <c r="H778" s="23" t="n"/>
      <c r="I778" s="27">
        <f>IF($A778="","",库存台账!$X778)</f>
        <v/>
      </c>
      <c r="J778" s="27">
        <f>IF(OR($A778="",$H778=""),"",ROUND($H778-$I778,3))</f>
        <v/>
      </c>
      <c r="K778" s="26">
        <f>IF($A778="","",库存台账!$K778)</f>
        <v/>
      </c>
      <c r="L778" s="26">
        <f>IF($J778="","",ROUND($J778*$K778,0))</f>
        <v/>
      </c>
      <c r="M778" s="37">
        <f>IF(OR($J778="",$I778=0),"",ROUND($J778/$I778,4))</f>
        <v/>
      </c>
      <c r="N778" s="17" t="n"/>
      <c r="O778" s="17" t="n"/>
      <c r="P778" s="24">
        <f>IF($J778="","未盘",IF(ROUND($J778,3)=0,"账实相符",IF(COUNTIFS(入库单!$G$4:$G$2503,$A778,入库单!$X$4:$X$2503,"盘盈",入库单!$C$4:$C$2503,"&gt;="&amp;账期起,入库单!$C$4:$C$2503,"&lt;="&amp;账期止)+COUNTIFS(出库单!$D$4:$D$4003,$A778,出库单!$K$4:$K$4003,"盘亏",出库单!$C$4:$C$4003,"&gt;="&amp;账期起,出库单!$C$4:$C$4003,"&lt;="&amp;账期止)&gt;0,"已调账","※差异还没调账")))</f>
        <v/>
      </c>
      <c r="Q778" s="17" t="n"/>
      <c r="R778" s="17" t="n"/>
    </row>
    <row r="779">
      <c r="A779" s="24">
        <f>IF(库存台账!$A779="","",库存台账!$A779)</f>
        <v/>
      </c>
      <c r="B779" s="24">
        <f>IF($A779="","",库存台账!$B779)</f>
        <v/>
      </c>
      <c r="C779" s="24">
        <f>IF($A779="","",库存台账!$C779)</f>
        <v/>
      </c>
      <c r="D779" s="24">
        <f>IF($A779="","",库存台账!$D779)</f>
        <v/>
      </c>
      <c r="E779" s="24">
        <f>IF($A779="","",库存台账!$E779)</f>
        <v/>
      </c>
      <c r="F779" s="24">
        <f>IF($A779="","",库存台账!$F779)</f>
        <v/>
      </c>
      <c r="G779" s="17" t="n"/>
      <c r="H779" s="23" t="n"/>
      <c r="I779" s="27">
        <f>IF($A779="","",库存台账!$X779)</f>
        <v/>
      </c>
      <c r="J779" s="27">
        <f>IF(OR($A779="",$H779=""),"",ROUND($H779-$I779,3))</f>
        <v/>
      </c>
      <c r="K779" s="26">
        <f>IF($A779="","",库存台账!$K779)</f>
        <v/>
      </c>
      <c r="L779" s="26">
        <f>IF($J779="","",ROUND($J779*$K779,0))</f>
        <v/>
      </c>
      <c r="M779" s="37">
        <f>IF(OR($J779="",$I779=0),"",ROUND($J779/$I779,4))</f>
        <v/>
      </c>
      <c r="N779" s="17" t="n"/>
      <c r="O779" s="17" t="n"/>
      <c r="P779" s="24">
        <f>IF($J779="","未盘",IF(ROUND($J779,3)=0,"账实相符",IF(COUNTIFS(入库单!$G$4:$G$2503,$A779,入库单!$X$4:$X$2503,"盘盈",入库单!$C$4:$C$2503,"&gt;="&amp;账期起,入库单!$C$4:$C$2503,"&lt;="&amp;账期止)+COUNTIFS(出库单!$D$4:$D$4003,$A779,出库单!$K$4:$K$4003,"盘亏",出库单!$C$4:$C$4003,"&gt;="&amp;账期起,出库单!$C$4:$C$4003,"&lt;="&amp;账期止)&gt;0,"已调账","※差异还没调账")))</f>
        <v/>
      </c>
      <c r="Q779" s="17" t="n"/>
      <c r="R779" s="17" t="n"/>
    </row>
    <row r="780">
      <c r="A780" s="24">
        <f>IF(库存台账!$A780="","",库存台账!$A780)</f>
        <v/>
      </c>
      <c r="B780" s="24">
        <f>IF($A780="","",库存台账!$B780)</f>
        <v/>
      </c>
      <c r="C780" s="24">
        <f>IF($A780="","",库存台账!$C780)</f>
        <v/>
      </c>
      <c r="D780" s="24">
        <f>IF($A780="","",库存台账!$D780)</f>
        <v/>
      </c>
      <c r="E780" s="24">
        <f>IF($A780="","",库存台账!$E780)</f>
        <v/>
      </c>
      <c r="F780" s="24">
        <f>IF($A780="","",库存台账!$F780)</f>
        <v/>
      </c>
      <c r="G780" s="17" t="n"/>
      <c r="H780" s="23" t="n"/>
      <c r="I780" s="27">
        <f>IF($A780="","",库存台账!$X780)</f>
        <v/>
      </c>
      <c r="J780" s="27">
        <f>IF(OR($A780="",$H780=""),"",ROUND($H780-$I780,3))</f>
        <v/>
      </c>
      <c r="K780" s="26">
        <f>IF($A780="","",库存台账!$K780)</f>
        <v/>
      </c>
      <c r="L780" s="26">
        <f>IF($J780="","",ROUND($J780*$K780,0))</f>
        <v/>
      </c>
      <c r="M780" s="37">
        <f>IF(OR($J780="",$I780=0),"",ROUND($J780/$I780,4))</f>
        <v/>
      </c>
      <c r="N780" s="17" t="n"/>
      <c r="O780" s="17" t="n"/>
      <c r="P780" s="24">
        <f>IF($J780="","未盘",IF(ROUND($J780,3)=0,"账实相符",IF(COUNTIFS(入库单!$G$4:$G$2503,$A780,入库单!$X$4:$X$2503,"盘盈",入库单!$C$4:$C$2503,"&gt;="&amp;账期起,入库单!$C$4:$C$2503,"&lt;="&amp;账期止)+COUNTIFS(出库单!$D$4:$D$4003,$A780,出库单!$K$4:$K$4003,"盘亏",出库单!$C$4:$C$4003,"&gt;="&amp;账期起,出库单!$C$4:$C$4003,"&lt;="&amp;账期止)&gt;0,"已调账","※差异还没调账")))</f>
        <v/>
      </c>
      <c r="Q780" s="17" t="n"/>
      <c r="R780" s="17" t="n"/>
    </row>
    <row r="781">
      <c r="A781" s="24">
        <f>IF(库存台账!$A781="","",库存台账!$A781)</f>
        <v/>
      </c>
      <c r="B781" s="24">
        <f>IF($A781="","",库存台账!$B781)</f>
        <v/>
      </c>
      <c r="C781" s="24">
        <f>IF($A781="","",库存台账!$C781)</f>
        <v/>
      </c>
      <c r="D781" s="24">
        <f>IF($A781="","",库存台账!$D781)</f>
        <v/>
      </c>
      <c r="E781" s="24">
        <f>IF($A781="","",库存台账!$E781)</f>
        <v/>
      </c>
      <c r="F781" s="24">
        <f>IF($A781="","",库存台账!$F781)</f>
        <v/>
      </c>
      <c r="G781" s="17" t="n"/>
      <c r="H781" s="23" t="n"/>
      <c r="I781" s="27">
        <f>IF($A781="","",库存台账!$X781)</f>
        <v/>
      </c>
      <c r="J781" s="27">
        <f>IF(OR($A781="",$H781=""),"",ROUND($H781-$I781,3))</f>
        <v/>
      </c>
      <c r="K781" s="26">
        <f>IF($A781="","",库存台账!$K781)</f>
        <v/>
      </c>
      <c r="L781" s="26">
        <f>IF($J781="","",ROUND($J781*$K781,0))</f>
        <v/>
      </c>
      <c r="M781" s="37">
        <f>IF(OR($J781="",$I781=0),"",ROUND($J781/$I781,4))</f>
        <v/>
      </c>
      <c r="N781" s="17" t="n"/>
      <c r="O781" s="17" t="n"/>
      <c r="P781" s="24">
        <f>IF($J781="","未盘",IF(ROUND($J781,3)=0,"账实相符",IF(COUNTIFS(入库单!$G$4:$G$2503,$A781,入库单!$X$4:$X$2503,"盘盈",入库单!$C$4:$C$2503,"&gt;="&amp;账期起,入库单!$C$4:$C$2503,"&lt;="&amp;账期止)+COUNTIFS(出库单!$D$4:$D$4003,$A781,出库单!$K$4:$K$4003,"盘亏",出库单!$C$4:$C$4003,"&gt;="&amp;账期起,出库单!$C$4:$C$4003,"&lt;="&amp;账期止)&gt;0,"已调账","※差异还没调账")))</f>
        <v/>
      </c>
      <c r="Q781" s="17" t="n"/>
      <c r="R781" s="17" t="n"/>
    </row>
    <row r="782">
      <c r="A782" s="24">
        <f>IF(库存台账!$A782="","",库存台账!$A782)</f>
        <v/>
      </c>
      <c r="B782" s="24">
        <f>IF($A782="","",库存台账!$B782)</f>
        <v/>
      </c>
      <c r="C782" s="24">
        <f>IF($A782="","",库存台账!$C782)</f>
        <v/>
      </c>
      <c r="D782" s="24">
        <f>IF($A782="","",库存台账!$D782)</f>
        <v/>
      </c>
      <c r="E782" s="24">
        <f>IF($A782="","",库存台账!$E782)</f>
        <v/>
      </c>
      <c r="F782" s="24">
        <f>IF($A782="","",库存台账!$F782)</f>
        <v/>
      </c>
      <c r="G782" s="17" t="n"/>
      <c r="H782" s="23" t="n"/>
      <c r="I782" s="27">
        <f>IF($A782="","",库存台账!$X782)</f>
        <v/>
      </c>
      <c r="J782" s="27">
        <f>IF(OR($A782="",$H782=""),"",ROUND($H782-$I782,3))</f>
        <v/>
      </c>
      <c r="K782" s="26">
        <f>IF($A782="","",库存台账!$K782)</f>
        <v/>
      </c>
      <c r="L782" s="26">
        <f>IF($J782="","",ROUND($J782*$K782,0))</f>
        <v/>
      </c>
      <c r="M782" s="37">
        <f>IF(OR($J782="",$I782=0),"",ROUND($J782/$I782,4))</f>
        <v/>
      </c>
      <c r="N782" s="17" t="n"/>
      <c r="O782" s="17" t="n"/>
      <c r="P782" s="24">
        <f>IF($J782="","未盘",IF(ROUND($J782,3)=0,"账实相符",IF(COUNTIFS(入库单!$G$4:$G$2503,$A782,入库单!$X$4:$X$2503,"盘盈",入库单!$C$4:$C$2503,"&gt;="&amp;账期起,入库单!$C$4:$C$2503,"&lt;="&amp;账期止)+COUNTIFS(出库单!$D$4:$D$4003,$A782,出库单!$K$4:$K$4003,"盘亏",出库单!$C$4:$C$4003,"&gt;="&amp;账期起,出库单!$C$4:$C$4003,"&lt;="&amp;账期止)&gt;0,"已调账","※差异还没调账")))</f>
        <v/>
      </c>
      <c r="Q782" s="17" t="n"/>
      <c r="R782" s="17" t="n"/>
    </row>
    <row r="783">
      <c r="A783" s="24">
        <f>IF(库存台账!$A783="","",库存台账!$A783)</f>
        <v/>
      </c>
      <c r="B783" s="24">
        <f>IF($A783="","",库存台账!$B783)</f>
        <v/>
      </c>
      <c r="C783" s="24">
        <f>IF($A783="","",库存台账!$C783)</f>
        <v/>
      </c>
      <c r="D783" s="24">
        <f>IF($A783="","",库存台账!$D783)</f>
        <v/>
      </c>
      <c r="E783" s="24">
        <f>IF($A783="","",库存台账!$E783)</f>
        <v/>
      </c>
      <c r="F783" s="24">
        <f>IF($A783="","",库存台账!$F783)</f>
        <v/>
      </c>
      <c r="G783" s="17" t="n"/>
      <c r="H783" s="23" t="n"/>
      <c r="I783" s="27">
        <f>IF($A783="","",库存台账!$X783)</f>
        <v/>
      </c>
      <c r="J783" s="27">
        <f>IF(OR($A783="",$H783=""),"",ROUND($H783-$I783,3))</f>
        <v/>
      </c>
      <c r="K783" s="26">
        <f>IF($A783="","",库存台账!$K783)</f>
        <v/>
      </c>
      <c r="L783" s="26">
        <f>IF($J783="","",ROUND($J783*$K783,0))</f>
        <v/>
      </c>
      <c r="M783" s="37">
        <f>IF(OR($J783="",$I783=0),"",ROUND($J783/$I783,4))</f>
        <v/>
      </c>
      <c r="N783" s="17" t="n"/>
      <c r="O783" s="17" t="n"/>
      <c r="P783" s="24">
        <f>IF($J783="","未盘",IF(ROUND($J783,3)=0,"账实相符",IF(COUNTIFS(入库单!$G$4:$G$2503,$A783,入库单!$X$4:$X$2503,"盘盈",入库单!$C$4:$C$2503,"&gt;="&amp;账期起,入库单!$C$4:$C$2503,"&lt;="&amp;账期止)+COUNTIFS(出库单!$D$4:$D$4003,$A783,出库单!$K$4:$K$4003,"盘亏",出库单!$C$4:$C$4003,"&gt;="&amp;账期起,出库单!$C$4:$C$4003,"&lt;="&amp;账期止)&gt;0,"已调账","※差异还没调账")))</f>
        <v/>
      </c>
      <c r="Q783" s="17" t="n"/>
      <c r="R783" s="17" t="n"/>
    </row>
    <row r="784">
      <c r="A784" s="24">
        <f>IF(库存台账!$A784="","",库存台账!$A784)</f>
        <v/>
      </c>
      <c r="B784" s="24">
        <f>IF($A784="","",库存台账!$B784)</f>
        <v/>
      </c>
      <c r="C784" s="24">
        <f>IF($A784="","",库存台账!$C784)</f>
        <v/>
      </c>
      <c r="D784" s="24">
        <f>IF($A784="","",库存台账!$D784)</f>
        <v/>
      </c>
      <c r="E784" s="24">
        <f>IF($A784="","",库存台账!$E784)</f>
        <v/>
      </c>
      <c r="F784" s="24">
        <f>IF($A784="","",库存台账!$F784)</f>
        <v/>
      </c>
      <c r="G784" s="17" t="n"/>
      <c r="H784" s="23" t="n"/>
      <c r="I784" s="27">
        <f>IF($A784="","",库存台账!$X784)</f>
        <v/>
      </c>
      <c r="J784" s="27">
        <f>IF(OR($A784="",$H784=""),"",ROUND($H784-$I784,3))</f>
        <v/>
      </c>
      <c r="K784" s="26">
        <f>IF($A784="","",库存台账!$K784)</f>
        <v/>
      </c>
      <c r="L784" s="26">
        <f>IF($J784="","",ROUND($J784*$K784,0))</f>
        <v/>
      </c>
      <c r="M784" s="37">
        <f>IF(OR($J784="",$I784=0),"",ROUND($J784/$I784,4))</f>
        <v/>
      </c>
      <c r="N784" s="17" t="n"/>
      <c r="O784" s="17" t="n"/>
      <c r="P784" s="24">
        <f>IF($J784="","未盘",IF(ROUND($J784,3)=0,"账实相符",IF(COUNTIFS(入库单!$G$4:$G$2503,$A784,入库单!$X$4:$X$2503,"盘盈",入库单!$C$4:$C$2503,"&gt;="&amp;账期起,入库单!$C$4:$C$2503,"&lt;="&amp;账期止)+COUNTIFS(出库单!$D$4:$D$4003,$A784,出库单!$K$4:$K$4003,"盘亏",出库单!$C$4:$C$4003,"&gt;="&amp;账期起,出库单!$C$4:$C$4003,"&lt;="&amp;账期止)&gt;0,"已调账","※差异还没调账")))</f>
        <v/>
      </c>
      <c r="Q784" s="17" t="n"/>
      <c r="R784" s="17" t="n"/>
    </row>
    <row r="785">
      <c r="A785" s="24">
        <f>IF(库存台账!$A785="","",库存台账!$A785)</f>
        <v/>
      </c>
      <c r="B785" s="24">
        <f>IF($A785="","",库存台账!$B785)</f>
        <v/>
      </c>
      <c r="C785" s="24">
        <f>IF($A785="","",库存台账!$C785)</f>
        <v/>
      </c>
      <c r="D785" s="24">
        <f>IF($A785="","",库存台账!$D785)</f>
        <v/>
      </c>
      <c r="E785" s="24">
        <f>IF($A785="","",库存台账!$E785)</f>
        <v/>
      </c>
      <c r="F785" s="24">
        <f>IF($A785="","",库存台账!$F785)</f>
        <v/>
      </c>
      <c r="G785" s="17" t="n"/>
      <c r="H785" s="23" t="n"/>
      <c r="I785" s="27">
        <f>IF($A785="","",库存台账!$X785)</f>
        <v/>
      </c>
      <c r="J785" s="27">
        <f>IF(OR($A785="",$H785=""),"",ROUND($H785-$I785,3))</f>
        <v/>
      </c>
      <c r="K785" s="26">
        <f>IF($A785="","",库存台账!$K785)</f>
        <v/>
      </c>
      <c r="L785" s="26">
        <f>IF($J785="","",ROUND($J785*$K785,0))</f>
        <v/>
      </c>
      <c r="M785" s="37">
        <f>IF(OR($J785="",$I785=0),"",ROUND($J785/$I785,4))</f>
        <v/>
      </c>
      <c r="N785" s="17" t="n"/>
      <c r="O785" s="17" t="n"/>
      <c r="P785" s="24">
        <f>IF($J785="","未盘",IF(ROUND($J785,3)=0,"账实相符",IF(COUNTIFS(入库单!$G$4:$G$2503,$A785,入库单!$X$4:$X$2503,"盘盈",入库单!$C$4:$C$2503,"&gt;="&amp;账期起,入库单!$C$4:$C$2503,"&lt;="&amp;账期止)+COUNTIFS(出库单!$D$4:$D$4003,$A785,出库单!$K$4:$K$4003,"盘亏",出库单!$C$4:$C$4003,"&gt;="&amp;账期起,出库单!$C$4:$C$4003,"&lt;="&amp;账期止)&gt;0,"已调账","※差异还没调账")))</f>
        <v/>
      </c>
      <c r="Q785" s="17" t="n"/>
      <c r="R785" s="17" t="n"/>
    </row>
    <row r="786">
      <c r="A786" s="24">
        <f>IF(库存台账!$A786="","",库存台账!$A786)</f>
        <v/>
      </c>
      <c r="B786" s="24">
        <f>IF($A786="","",库存台账!$B786)</f>
        <v/>
      </c>
      <c r="C786" s="24">
        <f>IF($A786="","",库存台账!$C786)</f>
        <v/>
      </c>
      <c r="D786" s="24">
        <f>IF($A786="","",库存台账!$D786)</f>
        <v/>
      </c>
      <c r="E786" s="24">
        <f>IF($A786="","",库存台账!$E786)</f>
        <v/>
      </c>
      <c r="F786" s="24">
        <f>IF($A786="","",库存台账!$F786)</f>
        <v/>
      </c>
      <c r="G786" s="17" t="n"/>
      <c r="H786" s="23" t="n"/>
      <c r="I786" s="27">
        <f>IF($A786="","",库存台账!$X786)</f>
        <v/>
      </c>
      <c r="J786" s="27">
        <f>IF(OR($A786="",$H786=""),"",ROUND($H786-$I786,3))</f>
        <v/>
      </c>
      <c r="K786" s="26">
        <f>IF($A786="","",库存台账!$K786)</f>
        <v/>
      </c>
      <c r="L786" s="26">
        <f>IF($J786="","",ROUND($J786*$K786,0))</f>
        <v/>
      </c>
      <c r="M786" s="37">
        <f>IF(OR($J786="",$I786=0),"",ROUND($J786/$I786,4))</f>
        <v/>
      </c>
      <c r="N786" s="17" t="n"/>
      <c r="O786" s="17" t="n"/>
      <c r="P786" s="24">
        <f>IF($J786="","未盘",IF(ROUND($J786,3)=0,"账实相符",IF(COUNTIFS(入库单!$G$4:$G$2503,$A786,入库单!$X$4:$X$2503,"盘盈",入库单!$C$4:$C$2503,"&gt;="&amp;账期起,入库单!$C$4:$C$2503,"&lt;="&amp;账期止)+COUNTIFS(出库单!$D$4:$D$4003,$A786,出库单!$K$4:$K$4003,"盘亏",出库单!$C$4:$C$4003,"&gt;="&amp;账期起,出库单!$C$4:$C$4003,"&lt;="&amp;账期止)&gt;0,"已调账","※差异还没调账")))</f>
        <v/>
      </c>
      <c r="Q786" s="17" t="n"/>
      <c r="R786" s="17" t="n"/>
    </row>
    <row r="787">
      <c r="A787" s="24">
        <f>IF(库存台账!$A787="","",库存台账!$A787)</f>
        <v/>
      </c>
      <c r="B787" s="24">
        <f>IF($A787="","",库存台账!$B787)</f>
        <v/>
      </c>
      <c r="C787" s="24">
        <f>IF($A787="","",库存台账!$C787)</f>
        <v/>
      </c>
      <c r="D787" s="24">
        <f>IF($A787="","",库存台账!$D787)</f>
        <v/>
      </c>
      <c r="E787" s="24">
        <f>IF($A787="","",库存台账!$E787)</f>
        <v/>
      </c>
      <c r="F787" s="24">
        <f>IF($A787="","",库存台账!$F787)</f>
        <v/>
      </c>
      <c r="G787" s="17" t="n"/>
      <c r="H787" s="23" t="n"/>
      <c r="I787" s="27">
        <f>IF($A787="","",库存台账!$X787)</f>
        <v/>
      </c>
      <c r="J787" s="27">
        <f>IF(OR($A787="",$H787=""),"",ROUND($H787-$I787,3))</f>
        <v/>
      </c>
      <c r="K787" s="26">
        <f>IF($A787="","",库存台账!$K787)</f>
        <v/>
      </c>
      <c r="L787" s="26">
        <f>IF($J787="","",ROUND($J787*$K787,0))</f>
        <v/>
      </c>
      <c r="M787" s="37">
        <f>IF(OR($J787="",$I787=0),"",ROUND($J787/$I787,4))</f>
        <v/>
      </c>
      <c r="N787" s="17" t="n"/>
      <c r="O787" s="17" t="n"/>
      <c r="P787" s="24">
        <f>IF($J787="","未盘",IF(ROUND($J787,3)=0,"账实相符",IF(COUNTIFS(入库单!$G$4:$G$2503,$A787,入库单!$X$4:$X$2503,"盘盈",入库单!$C$4:$C$2503,"&gt;="&amp;账期起,入库单!$C$4:$C$2503,"&lt;="&amp;账期止)+COUNTIFS(出库单!$D$4:$D$4003,$A787,出库单!$K$4:$K$4003,"盘亏",出库单!$C$4:$C$4003,"&gt;="&amp;账期起,出库单!$C$4:$C$4003,"&lt;="&amp;账期止)&gt;0,"已调账","※差异还没调账")))</f>
        <v/>
      </c>
      <c r="Q787" s="17" t="n"/>
      <c r="R787" s="17" t="n"/>
    </row>
    <row r="788">
      <c r="A788" s="24">
        <f>IF(库存台账!$A788="","",库存台账!$A788)</f>
        <v/>
      </c>
      <c r="B788" s="24">
        <f>IF($A788="","",库存台账!$B788)</f>
        <v/>
      </c>
      <c r="C788" s="24">
        <f>IF($A788="","",库存台账!$C788)</f>
        <v/>
      </c>
      <c r="D788" s="24">
        <f>IF($A788="","",库存台账!$D788)</f>
        <v/>
      </c>
      <c r="E788" s="24">
        <f>IF($A788="","",库存台账!$E788)</f>
        <v/>
      </c>
      <c r="F788" s="24">
        <f>IF($A788="","",库存台账!$F788)</f>
        <v/>
      </c>
      <c r="G788" s="17" t="n"/>
      <c r="H788" s="23" t="n"/>
      <c r="I788" s="27">
        <f>IF($A788="","",库存台账!$X788)</f>
        <v/>
      </c>
      <c r="J788" s="27">
        <f>IF(OR($A788="",$H788=""),"",ROUND($H788-$I788,3))</f>
        <v/>
      </c>
      <c r="K788" s="26">
        <f>IF($A788="","",库存台账!$K788)</f>
        <v/>
      </c>
      <c r="L788" s="26">
        <f>IF($J788="","",ROUND($J788*$K788,0))</f>
        <v/>
      </c>
      <c r="M788" s="37">
        <f>IF(OR($J788="",$I788=0),"",ROUND($J788/$I788,4))</f>
        <v/>
      </c>
      <c r="N788" s="17" t="n"/>
      <c r="O788" s="17" t="n"/>
      <c r="P788" s="24">
        <f>IF($J788="","未盘",IF(ROUND($J788,3)=0,"账实相符",IF(COUNTIFS(入库单!$G$4:$G$2503,$A788,入库单!$X$4:$X$2503,"盘盈",入库单!$C$4:$C$2503,"&gt;="&amp;账期起,入库单!$C$4:$C$2503,"&lt;="&amp;账期止)+COUNTIFS(出库单!$D$4:$D$4003,$A788,出库单!$K$4:$K$4003,"盘亏",出库单!$C$4:$C$4003,"&gt;="&amp;账期起,出库单!$C$4:$C$4003,"&lt;="&amp;账期止)&gt;0,"已调账","※差异还没调账")))</f>
        <v/>
      </c>
      <c r="Q788" s="17" t="n"/>
      <c r="R788" s="17" t="n"/>
    </row>
    <row r="789">
      <c r="A789" s="24">
        <f>IF(库存台账!$A789="","",库存台账!$A789)</f>
        <v/>
      </c>
      <c r="B789" s="24">
        <f>IF($A789="","",库存台账!$B789)</f>
        <v/>
      </c>
      <c r="C789" s="24">
        <f>IF($A789="","",库存台账!$C789)</f>
        <v/>
      </c>
      <c r="D789" s="24">
        <f>IF($A789="","",库存台账!$D789)</f>
        <v/>
      </c>
      <c r="E789" s="24">
        <f>IF($A789="","",库存台账!$E789)</f>
        <v/>
      </c>
      <c r="F789" s="24">
        <f>IF($A789="","",库存台账!$F789)</f>
        <v/>
      </c>
      <c r="G789" s="17" t="n"/>
      <c r="H789" s="23" t="n"/>
      <c r="I789" s="27">
        <f>IF($A789="","",库存台账!$X789)</f>
        <v/>
      </c>
      <c r="J789" s="27">
        <f>IF(OR($A789="",$H789=""),"",ROUND($H789-$I789,3))</f>
        <v/>
      </c>
      <c r="K789" s="26">
        <f>IF($A789="","",库存台账!$K789)</f>
        <v/>
      </c>
      <c r="L789" s="26">
        <f>IF($J789="","",ROUND($J789*$K789,0))</f>
        <v/>
      </c>
      <c r="M789" s="37">
        <f>IF(OR($J789="",$I789=0),"",ROUND($J789/$I789,4))</f>
        <v/>
      </c>
      <c r="N789" s="17" t="n"/>
      <c r="O789" s="17" t="n"/>
      <c r="P789" s="24">
        <f>IF($J789="","未盘",IF(ROUND($J789,3)=0,"账实相符",IF(COUNTIFS(入库单!$G$4:$G$2503,$A789,入库单!$X$4:$X$2503,"盘盈",入库单!$C$4:$C$2503,"&gt;="&amp;账期起,入库单!$C$4:$C$2503,"&lt;="&amp;账期止)+COUNTIFS(出库单!$D$4:$D$4003,$A789,出库单!$K$4:$K$4003,"盘亏",出库单!$C$4:$C$4003,"&gt;="&amp;账期起,出库单!$C$4:$C$4003,"&lt;="&amp;账期止)&gt;0,"已调账","※差异还没调账")))</f>
        <v/>
      </c>
      <c r="Q789" s="17" t="n"/>
      <c r="R789" s="17" t="n"/>
    </row>
    <row r="790">
      <c r="A790" s="24">
        <f>IF(库存台账!$A790="","",库存台账!$A790)</f>
        <v/>
      </c>
      <c r="B790" s="24">
        <f>IF($A790="","",库存台账!$B790)</f>
        <v/>
      </c>
      <c r="C790" s="24">
        <f>IF($A790="","",库存台账!$C790)</f>
        <v/>
      </c>
      <c r="D790" s="24">
        <f>IF($A790="","",库存台账!$D790)</f>
        <v/>
      </c>
      <c r="E790" s="24">
        <f>IF($A790="","",库存台账!$E790)</f>
        <v/>
      </c>
      <c r="F790" s="24">
        <f>IF($A790="","",库存台账!$F790)</f>
        <v/>
      </c>
      <c r="G790" s="17" t="n"/>
      <c r="H790" s="23" t="n"/>
      <c r="I790" s="27">
        <f>IF($A790="","",库存台账!$X790)</f>
        <v/>
      </c>
      <c r="J790" s="27">
        <f>IF(OR($A790="",$H790=""),"",ROUND($H790-$I790,3))</f>
        <v/>
      </c>
      <c r="K790" s="26">
        <f>IF($A790="","",库存台账!$K790)</f>
        <v/>
      </c>
      <c r="L790" s="26">
        <f>IF($J790="","",ROUND($J790*$K790,0))</f>
        <v/>
      </c>
      <c r="M790" s="37">
        <f>IF(OR($J790="",$I790=0),"",ROUND($J790/$I790,4))</f>
        <v/>
      </c>
      <c r="N790" s="17" t="n"/>
      <c r="O790" s="17" t="n"/>
      <c r="P790" s="24">
        <f>IF($J790="","未盘",IF(ROUND($J790,3)=0,"账实相符",IF(COUNTIFS(入库单!$G$4:$G$2503,$A790,入库单!$X$4:$X$2503,"盘盈",入库单!$C$4:$C$2503,"&gt;="&amp;账期起,入库单!$C$4:$C$2503,"&lt;="&amp;账期止)+COUNTIFS(出库单!$D$4:$D$4003,$A790,出库单!$K$4:$K$4003,"盘亏",出库单!$C$4:$C$4003,"&gt;="&amp;账期起,出库单!$C$4:$C$4003,"&lt;="&amp;账期止)&gt;0,"已调账","※差异还没调账")))</f>
        <v/>
      </c>
      <c r="Q790" s="17" t="n"/>
      <c r="R790" s="17" t="n"/>
    </row>
    <row r="791">
      <c r="A791" s="24">
        <f>IF(库存台账!$A791="","",库存台账!$A791)</f>
        <v/>
      </c>
      <c r="B791" s="24">
        <f>IF($A791="","",库存台账!$B791)</f>
        <v/>
      </c>
      <c r="C791" s="24">
        <f>IF($A791="","",库存台账!$C791)</f>
        <v/>
      </c>
      <c r="D791" s="24">
        <f>IF($A791="","",库存台账!$D791)</f>
        <v/>
      </c>
      <c r="E791" s="24">
        <f>IF($A791="","",库存台账!$E791)</f>
        <v/>
      </c>
      <c r="F791" s="24">
        <f>IF($A791="","",库存台账!$F791)</f>
        <v/>
      </c>
      <c r="G791" s="17" t="n"/>
      <c r="H791" s="23" t="n"/>
      <c r="I791" s="27">
        <f>IF($A791="","",库存台账!$X791)</f>
        <v/>
      </c>
      <c r="J791" s="27">
        <f>IF(OR($A791="",$H791=""),"",ROUND($H791-$I791,3))</f>
        <v/>
      </c>
      <c r="K791" s="26">
        <f>IF($A791="","",库存台账!$K791)</f>
        <v/>
      </c>
      <c r="L791" s="26">
        <f>IF($J791="","",ROUND($J791*$K791,0))</f>
        <v/>
      </c>
      <c r="M791" s="37">
        <f>IF(OR($J791="",$I791=0),"",ROUND($J791/$I791,4))</f>
        <v/>
      </c>
      <c r="N791" s="17" t="n"/>
      <c r="O791" s="17" t="n"/>
      <c r="P791" s="24">
        <f>IF($J791="","未盘",IF(ROUND($J791,3)=0,"账实相符",IF(COUNTIFS(入库单!$G$4:$G$2503,$A791,入库单!$X$4:$X$2503,"盘盈",入库单!$C$4:$C$2503,"&gt;="&amp;账期起,入库单!$C$4:$C$2503,"&lt;="&amp;账期止)+COUNTIFS(出库单!$D$4:$D$4003,$A791,出库单!$K$4:$K$4003,"盘亏",出库单!$C$4:$C$4003,"&gt;="&amp;账期起,出库单!$C$4:$C$4003,"&lt;="&amp;账期止)&gt;0,"已调账","※差异还没调账")))</f>
        <v/>
      </c>
      <c r="Q791" s="17" t="n"/>
      <c r="R791" s="17" t="n"/>
    </row>
    <row r="792">
      <c r="A792" s="24">
        <f>IF(库存台账!$A792="","",库存台账!$A792)</f>
        <v/>
      </c>
      <c r="B792" s="24">
        <f>IF($A792="","",库存台账!$B792)</f>
        <v/>
      </c>
      <c r="C792" s="24">
        <f>IF($A792="","",库存台账!$C792)</f>
        <v/>
      </c>
      <c r="D792" s="24">
        <f>IF($A792="","",库存台账!$D792)</f>
        <v/>
      </c>
      <c r="E792" s="24">
        <f>IF($A792="","",库存台账!$E792)</f>
        <v/>
      </c>
      <c r="F792" s="24">
        <f>IF($A792="","",库存台账!$F792)</f>
        <v/>
      </c>
      <c r="G792" s="17" t="n"/>
      <c r="H792" s="23" t="n"/>
      <c r="I792" s="27">
        <f>IF($A792="","",库存台账!$X792)</f>
        <v/>
      </c>
      <c r="J792" s="27">
        <f>IF(OR($A792="",$H792=""),"",ROUND($H792-$I792,3))</f>
        <v/>
      </c>
      <c r="K792" s="26">
        <f>IF($A792="","",库存台账!$K792)</f>
        <v/>
      </c>
      <c r="L792" s="26">
        <f>IF($J792="","",ROUND($J792*$K792,0))</f>
        <v/>
      </c>
      <c r="M792" s="37">
        <f>IF(OR($J792="",$I792=0),"",ROUND($J792/$I792,4))</f>
        <v/>
      </c>
      <c r="N792" s="17" t="n"/>
      <c r="O792" s="17" t="n"/>
      <c r="P792" s="24">
        <f>IF($J792="","未盘",IF(ROUND($J792,3)=0,"账实相符",IF(COUNTIFS(入库单!$G$4:$G$2503,$A792,入库单!$X$4:$X$2503,"盘盈",入库单!$C$4:$C$2503,"&gt;="&amp;账期起,入库单!$C$4:$C$2503,"&lt;="&amp;账期止)+COUNTIFS(出库单!$D$4:$D$4003,$A792,出库单!$K$4:$K$4003,"盘亏",出库单!$C$4:$C$4003,"&gt;="&amp;账期起,出库单!$C$4:$C$4003,"&lt;="&amp;账期止)&gt;0,"已调账","※差异还没调账")))</f>
        <v/>
      </c>
      <c r="Q792" s="17" t="n"/>
      <c r="R792" s="17" t="n"/>
    </row>
    <row r="793">
      <c r="A793" s="24">
        <f>IF(库存台账!$A793="","",库存台账!$A793)</f>
        <v/>
      </c>
      <c r="B793" s="24">
        <f>IF($A793="","",库存台账!$B793)</f>
        <v/>
      </c>
      <c r="C793" s="24">
        <f>IF($A793="","",库存台账!$C793)</f>
        <v/>
      </c>
      <c r="D793" s="24">
        <f>IF($A793="","",库存台账!$D793)</f>
        <v/>
      </c>
      <c r="E793" s="24">
        <f>IF($A793="","",库存台账!$E793)</f>
        <v/>
      </c>
      <c r="F793" s="24">
        <f>IF($A793="","",库存台账!$F793)</f>
        <v/>
      </c>
      <c r="G793" s="17" t="n"/>
      <c r="H793" s="23" t="n"/>
      <c r="I793" s="27">
        <f>IF($A793="","",库存台账!$X793)</f>
        <v/>
      </c>
      <c r="J793" s="27">
        <f>IF(OR($A793="",$H793=""),"",ROUND($H793-$I793,3))</f>
        <v/>
      </c>
      <c r="K793" s="26">
        <f>IF($A793="","",库存台账!$K793)</f>
        <v/>
      </c>
      <c r="L793" s="26">
        <f>IF($J793="","",ROUND($J793*$K793,0))</f>
        <v/>
      </c>
      <c r="M793" s="37">
        <f>IF(OR($J793="",$I793=0),"",ROUND($J793/$I793,4))</f>
        <v/>
      </c>
      <c r="N793" s="17" t="n"/>
      <c r="O793" s="17" t="n"/>
      <c r="P793" s="24">
        <f>IF($J793="","未盘",IF(ROUND($J793,3)=0,"账实相符",IF(COUNTIFS(入库单!$G$4:$G$2503,$A793,入库单!$X$4:$X$2503,"盘盈",入库单!$C$4:$C$2503,"&gt;="&amp;账期起,入库单!$C$4:$C$2503,"&lt;="&amp;账期止)+COUNTIFS(出库单!$D$4:$D$4003,$A793,出库单!$K$4:$K$4003,"盘亏",出库单!$C$4:$C$4003,"&gt;="&amp;账期起,出库单!$C$4:$C$4003,"&lt;="&amp;账期止)&gt;0,"已调账","※差异还没调账")))</f>
        <v/>
      </c>
      <c r="Q793" s="17" t="n"/>
      <c r="R793" s="17" t="n"/>
    </row>
    <row r="794">
      <c r="A794" s="24">
        <f>IF(库存台账!$A794="","",库存台账!$A794)</f>
        <v/>
      </c>
      <c r="B794" s="24">
        <f>IF($A794="","",库存台账!$B794)</f>
        <v/>
      </c>
      <c r="C794" s="24">
        <f>IF($A794="","",库存台账!$C794)</f>
        <v/>
      </c>
      <c r="D794" s="24">
        <f>IF($A794="","",库存台账!$D794)</f>
        <v/>
      </c>
      <c r="E794" s="24">
        <f>IF($A794="","",库存台账!$E794)</f>
        <v/>
      </c>
      <c r="F794" s="24">
        <f>IF($A794="","",库存台账!$F794)</f>
        <v/>
      </c>
      <c r="G794" s="17" t="n"/>
      <c r="H794" s="23" t="n"/>
      <c r="I794" s="27">
        <f>IF($A794="","",库存台账!$X794)</f>
        <v/>
      </c>
      <c r="J794" s="27">
        <f>IF(OR($A794="",$H794=""),"",ROUND($H794-$I794,3))</f>
        <v/>
      </c>
      <c r="K794" s="26">
        <f>IF($A794="","",库存台账!$K794)</f>
        <v/>
      </c>
      <c r="L794" s="26">
        <f>IF($J794="","",ROUND($J794*$K794,0))</f>
        <v/>
      </c>
      <c r="M794" s="37">
        <f>IF(OR($J794="",$I794=0),"",ROUND($J794/$I794,4))</f>
        <v/>
      </c>
      <c r="N794" s="17" t="n"/>
      <c r="O794" s="17" t="n"/>
      <c r="P794" s="24">
        <f>IF($J794="","未盘",IF(ROUND($J794,3)=0,"账实相符",IF(COUNTIFS(入库单!$G$4:$G$2503,$A794,入库单!$X$4:$X$2503,"盘盈",入库单!$C$4:$C$2503,"&gt;="&amp;账期起,入库单!$C$4:$C$2503,"&lt;="&amp;账期止)+COUNTIFS(出库单!$D$4:$D$4003,$A794,出库单!$K$4:$K$4003,"盘亏",出库单!$C$4:$C$4003,"&gt;="&amp;账期起,出库单!$C$4:$C$4003,"&lt;="&amp;账期止)&gt;0,"已调账","※差异还没调账")))</f>
        <v/>
      </c>
      <c r="Q794" s="17" t="n"/>
      <c r="R794" s="17" t="n"/>
    </row>
    <row r="795">
      <c r="A795" s="24">
        <f>IF(库存台账!$A795="","",库存台账!$A795)</f>
        <v/>
      </c>
      <c r="B795" s="24">
        <f>IF($A795="","",库存台账!$B795)</f>
        <v/>
      </c>
      <c r="C795" s="24">
        <f>IF($A795="","",库存台账!$C795)</f>
        <v/>
      </c>
      <c r="D795" s="24">
        <f>IF($A795="","",库存台账!$D795)</f>
        <v/>
      </c>
      <c r="E795" s="24">
        <f>IF($A795="","",库存台账!$E795)</f>
        <v/>
      </c>
      <c r="F795" s="24">
        <f>IF($A795="","",库存台账!$F795)</f>
        <v/>
      </c>
      <c r="G795" s="17" t="n"/>
      <c r="H795" s="23" t="n"/>
      <c r="I795" s="27">
        <f>IF($A795="","",库存台账!$X795)</f>
        <v/>
      </c>
      <c r="J795" s="27">
        <f>IF(OR($A795="",$H795=""),"",ROUND($H795-$I795,3))</f>
        <v/>
      </c>
      <c r="K795" s="26">
        <f>IF($A795="","",库存台账!$K795)</f>
        <v/>
      </c>
      <c r="L795" s="26">
        <f>IF($J795="","",ROUND($J795*$K795,0))</f>
        <v/>
      </c>
      <c r="M795" s="37">
        <f>IF(OR($J795="",$I795=0),"",ROUND($J795/$I795,4))</f>
        <v/>
      </c>
      <c r="N795" s="17" t="n"/>
      <c r="O795" s="17" t="n"/>
      <c r="P795" s="24">
        <f>IF($J795="","未盘",IF(ROUND($J795,3)=0,"账实相符",IF(COUNTIFS(入库单!$G$4:$G$2503,$A795,入库单!$X$4:$X$2503,"盘盈",入库单!$C$4:$C$2503,"&gt;="&amp;账期起,入库单!$C$4:$C$2503,"&lt;="&amp;账期止)+COUNTIFS(出库单!$D$4:$D$4003,$A795,出库单!$K$4:$K$4003,"盘亏",出库单!$C$4:$C$4003,"&gt;="&amp;账期起,出库单!$C$4:$C$4003,"&lt;="&amp;账期止)&gt;0,"已调账","※差异还没调账")))</f>
        <v/>
      </c>
      <c r="Q795" s="17" t="n"/>
      <c r="R795" s="17" t="n"/>
    </row>
    <row r="796">
      <c r="A796" s="24">
        <f>IF(库存台账!$A796="","",库存台账!$A796)</f>
        <v/>
      </c>
      <c r="B796" s="24">
        <f>IF($A796="","",库存台账!$B796)</f>
        <v/>
      </c>
      <c r="C796" s="24">
        <f>IF($A796="","",库存台账!$C796)</f>
        <v/>
      </c>
      <c r="D796" s="24">
        <f>IF($A796="","",库存台账!$D796)</f>
        <v/>
      </c>
      <c r="E796" s="24">
        <f>IF($A796="","",库存台账!$E796)</f>
        <v/>
      </c>
      <c r="F796" s="24">
        <f>IF($A796="","",库存台账!$F796)</f>
        <v/>
      </c>
      <c r="G796" s="17" t="n"/>
      <c r="H796" s="23" t="n"/>
      <c r="I796" s="27">
        <f>IF($A796="","",库存台账!$X796)</f>
        <v/>
      </c>
      <c r="J796" s="27">
        <f>IF(OR($A796="",$H796=""),"",ROUND($H796-$I796,3))</f>
        <v/>
      </c>
      <c r="K796" s="26">
        <f>IF($A796="","",库存台账!$K796)</f>
        <v/>
      </c>
      <c r="L796" s="26">
        <f>IF($J796="","",ROUND($J796*$K796,0))</f>
        <v/>
      </c>
      <c r="M796" s="37">
        <f>IF(OR($J796="",$I796=0),"",ROUND($J796/$I796,4))</f>
        <v/>
      </c>
      <c r="N796" s="17" t="n"/>
      <c r="O796" s="17" t="n"/>
      <c r="P796" s="24">
        <f>IF($J796="","未盘",IF(ROUND($J796,3)=0,"账实相符",IF(COUNTIFS(入库单!$G$4:$G$2503,$A796,入库单!$X$4:$X$2503,"盘盈",入库单!$C$4:$C$2503,"&gt;="&amp;账期起,入库单!$C$4:$C$2503,"&lt;="&amp;账期止)+COUNTIFS(出库单!$D$4:$D$4003,$A796,出库单!$K$4:$K$4003,"盘亏",出库单!$C$4:$C$4003,"&gt;="&amp;账期起,出库单!$C$4:$C$4003,"&lt;="&amp;账期止)&gt;0,"已调账","※差异还没调账")))</f>
        <v/>
      </c>
      <c r="Q796" s="17" t="n"/>
      <c r="R796" s="17" t="n"/>
    </row>
    <row r="797">
      <c r="A797" s="24">
        <f>IF(库存台账!$A797="","",库存台账!$A797)</f>
        <v/>
      </c>
      <c r="B797" s="24">
        <f>IF($A797="","",库存台账!$B797)</f>
        <v/>
      </c>
      <c r="C797" s="24">
        <f>IF($A797="","",库存台账!$C797)</f>
        <v/>
      </c>
      <c r="D797" s="24">
        <f>IF($A797="","",库存台账!$D797)</f>
        <v/>
      </c>
      <c r="E797" s="24">
        <f>IF($A797="","",库存台账!$E797)</f>
        <v/>
      </c>
      <c r="F797" s="24">
        <f>IF($A797="","",库存台账!$F797)</f>
        <v/>
      </c>
      <c r="G797" s="17" t="n"/>
      <c r="H797" s="23" t="n"/>
      <c r="I797" s="27">
        <f>IF($A797="","",库存台账!$X797)</f>
        <v/>
      </c>
      <c r="J797" s="27">
        <f>IF(OR($A797="",$H797=""),"",ROUND($H797-$I797,3))</f>
        <v/>
      </c>
      <c r="K797" s="26">
        <f>IF($A797="","",库存台账!$K797)</f>
        <v/>
      </c>
      <c r="L797" s="26">
        <f>IF($J797="","",ROUND($J797*$K797,0))</f>
        <v/>
      </c>
      <c r="M797" s="37">
        <f>IF(OR($J797="",$I797=0),"",ROUND($J797/$I797,4))</f>
        <v/>
      </c>
      <c r="N797" s="17" t="n"/>
      <c r="O797" s="17" t="n"/>
      <c r="P797" s="24">
        <f>IF($J797="","未盘",IF(ROUND($J797,3)=0,"账实相符",IF(COUNTIFS(入库单!$G$4:$G$2503,$A797,入库单!$X$4:$X$2503,"盘盈",入库单!$C$4:$C$2503,"&gt;="&amp;账期起,入库单!$C$4:$C$2503,"&lt;="&amp;账期止)+COUNTIFS(出库单!$D$4:$D$4003,$A797,出库单!$K$4:$K$4003,"盘亏",出库单!$C$4:$C$4003,"&gt;="&amp;账期起,出库单!$C$4:$C$4003,"&lt;="&amp;账期止)&gt;0,"已调账","※差异还没调账")))</f>
        <v/>
      </c>
      <c r="Q797" s="17" t="n"/>
      <c r="R797" s="17" t="n"/>
    </row>
    <row r="798">
      <c r="A798" s="24">
        <f>IF(库存台账!$A798="","",库存台账!$A798)</f>
        <v/>
      </c>
      <c r="B798" s="24">
        <f>IF($A798="","",库存台账!$B798)</f>
        <v/>
      </c>
      <c r="C798" s="24">
        <f>IF($A798="","",库存台账!$C798)</f>
        <v/>
      </c>
      <c r="D798" s="24">
        <f>IF($A798="","",库存台账!$D798)</f>
        <v/>
      </c>
      <c r="E798" s="24">
        <f>IF($A798="","",库存台账!$E798)</f>
        <v/>
      </c>
      <c r="F798" s="24">
        <f>IF($A798="","",库存台账!$F798)</f>
        <v/>
      </c>
      <c r="G798" s="17" t="n"/>
      <c r="H798" s="23" t="n"/>
      <c r="I798" s="27">
        <f>IF($A798="","",库存台账!$X798)</f>
        <v/>
      </c>
      <c r="J798" s="27">
        <f>IF(OR($A798="",$H798=""),"",ROUND($H798-$I798,3))</f>
        <v/>
      </c>
      <c r="K798" s="26">
        <f>IF($A798="","",库存台账!$K798)</f>
        <v/>
      </c>
      <c r="L798" s="26">
        <f>IF($J798="","",ROUND($J798*$K798,0))</f>
        <v/>
      </c>
      <c r="M798" s="37">
        <f>IF(OR($J798="",$I798=0),"",ROUND($J798/$I798,4))</f>
        <v/>
      </c>
      <c r="N798" s="17" t="n"/>
      <c r="O798" s="17" t="n"/>
      <c r="P798" s="24">
        <f>IF($J798="","未盘",IF(ROUND($J798,3)=0,"账实相符",IF(COUNTIFS(入库单!$G$4:$G$2503,$A798,入库单!$X$4:$X$2503,"盘盈",入库单!$C$4:$C$2503,"&gt;="&amp;账期起,入库单!$C$4:$C$2503,"&lt;="&amp;账期止)+COUNTIFS(出库单!$D$4:$D$4003,$A798,出库单!$K$4:$K$4003,"盘亏",出库单!$C$4:$C$4003,"&gt;="&amp;账期起,出库单!$C$4:$C$4003,"&lt;="&amp;账期止)&gt;0,"已调账","※差异还没调账")))</f>
        <v/>
      </c>
      <c r="Q798" s="17" t="n"/>
      <c r="R798" s="17" t="n"/>
    </row>
    <row r="799">
      <c r="A799" s="24">
        <f>IF(库存台账!$A799="","",库存台账!$A799)</f>
        <v/>
      </c>
      <c r="B799" s="24">
        <f>IF($A799="","",库存台账!$B799)</f>
        <v/>
      </c>
      <c r="C799" s="24">
        <f>IF($A799="","",库存台账!$C799)</f>
        <v/>
      </c>
      <c r="D799" s="24">
        <f>IF($A799="","",库存台账!$D799)</f>
        <v/>
      </c>
      <c r="E799" s="24">
        <f>IF($A799="","",库存台账!$E799)</f>
        <v/>
      </c>
      <c r="F799" s="24">
        <f>IF($A799="","",库存台账!$F799)</f>
        <v/>
      </c>
      <c r="G799" s="17" t="n"/>
      <c r="H799" s="23" t="n"/>
      <c r="I799" s="27">
        <f>IF($A799="","",库存台账!$X799)</f>
        <v/>
      </c>
      <c r="J799" s="27">
        <f>IF(OR($A799="",$H799=""),"",ROUND($H799-$I799,3))</f>
        <v/>
      </c>
      <c r="K799" s="26">
        <f>IF($A799="","",库存台账!$K799)</f>
        <v/>
      </c>
      <c r="L799" s="26">
        <f>IF($J799="","",ROUND($J799*$K799,0))</f>
        <v/>
      </c>
      <c r="M799" s="37">
        <f>IF(OR($J799="",$I799=0),"",ROUND($J799/$I799,4))</f>
        <v/>
      </c>
      <c r="N799" s="17" t="n"/>
      <c r="O799" s="17" t="n"/>
      <c r="P799" s="24">
        <f>IF($J799="","未盘",IF(ROUND($J799,3)=0,"账实相符",IF(COUNTIFS(入库单!$G$4:$G$2503,$A799,入库单!$X$4:$X$2503,"盘盈",入库单!$C$4:$C$2503,"&gt;="&amp;账期起,入库单!$C$4:$C$2503,"&lt;="&amp;账期止)+COUNTIFS(出库单!$D$4:$D$4003,$A799,出库单!$K$4:$K$4003,"盘亏",出库单!$C$4:$C$4003,"&gt;="&amp;账期起,出库单!$C$4:$C$4003,"&lt;="&amp;账期止)&gt;0,"已调账","※差异还没调账")))</f>
        <v/>
      </c>
      <c r="Q799" s="17" t="n"/>
      <c r="R799" s="17" t="n"/>
    </row>
    <row r="800">
      <c r="A800" s="24">
        <f>IF(库存台账!$A800="","",库存台账!$A800)</f>
        <v/>
      </c>
      <c r="B800" s="24">
        <f>IF($A800="","",库存台账!$B800)</f>
        <v/>
      </c>
      <c r="C800" s="24">
        <f>IF($A800="","",库存台账!$C800)</f>
        <v/>
      </c>
      <c r="D800" s="24">
        <f>IF($A800="","",库存台账!$D800)</f>
        <v/>
      </c>
      <c r="E800" s="24">
        <f>IF($A800="","",库存台账!$E800)</f>
        <v/>
      </c>
      <c r="F800" s="24">
        <f>IF($A800="","",库存台账!$F800)</f>
        <v/>
      </c>
      <c r="G800" s="17" t="n"/>
      <c r="H800" s="23" t="n"/>
      <c r="I800" s="27">
        <f>IF($A800="","",库存台账!$X800)</f>
        <v/>
      </c>
      <c r="J800" s="27">
        <f>IF(OR($A800="",$H800=""),"",ROUND($H800-$I800,3))</f>
        <v/>
      </c>
      <c r="K800" s="26">
        <f>IF($A800="","",库存台账!$K800)</f>
        <v/>
      </c>
      <c r="L800" s="26">
        <f>IF($J800="","",ROUND($J800*$K800,0))</f>
        <v/>
      </c>
      <c r="M800" s="37">
        <f>IF(OR($J800="",$I800=0),"",ROUND($J800/$I800,4))</f>
        <v/>
      </c>
      <c r="N800" s="17" t="n"/>
      <c r="O800" s="17" t="n"/>
      <c r="P800" s="24">
        <f>IF($J800="","未盘",IF(ROUND($J800,3)=0,"账实相符",IF(COUNTIFS(入库单!$G$4:$G$2503,$A800,入库单!$X$4:$X$2503,"盘盈",入库单!$C$4:$C$2503,"&gt;="&amp;账期起,入库单!$C$4:$C$2503,"&lt;="&amp;账期止)+COUNTIFS(出库单!$D$4:$D$4003,$A800,出库单!$K$4:$K$4003,"盘亏",出库单!$C$4:$C$4003,"&gt;="&amp;账期起,出库单!$C$4:$C$4003,"&lt;="&amp;账期止)&gt;0,"已调账","※差异还没调账")))</f>
        <v/>
      </c>
      <c r="Q800" s="17" t="n"/>
      <c r="R800" s="17" t="n"/>
    </row>
    <row r="801">
      <c r="A801" s="24">
        <f>IF(库存台账!$A801="","",库存台账!$A801)</f>
        <v/>
      </c>
      <c r="B801" s="24">
        <f>IF($A801="","",库存台账!$B801)</f>
        <v/>
      </c>
      <c r="C801" s="24">
        <f>IF($A801="","",库存台账!$C801)</f>
        <v/>
      </c>
      <c r="D801" s="24">
        <f>IF($A801="","",库存台账!$D801)</f>
        <v/>
      </c>
      <c r="E801" s="24">
        <f>IF($A801="","",库存台账!$E801)</f>
        <v/>
      </c>
      <c r="F801" s="24">
        <f>IF($A801="","",库存台账!$F801)</f>
        <v/>
      </c>
      <c r="G801" s="17" t="n"/>
      <c r="H801" s="23" t="n"/>
      <c r="I801" s="27">
        <f>IF($A801="","",库存台账!$X801)</f>
        <v/>
      </c>
      <c r="J801" s="27">
        <f>IF(OR($A801="",$H801=""),"",ROUND($H801-$I801,3))</f>
        <v/>
      </c>
      <c r="K801" s="26">
        <f>IF($A801="","",库存台账!$K801)</f>
        <v/>
      </c>
      <c r="L801" s="26">
        <f>IF($J801="","",ROUND($J801*$K801,0))</f>
        <v/>
      </c>
      <c r="M801" s="37">
        <f>IF(OR($J801="",$I801=0),"",ROUND($J801/$I801,4))</f>
        <v/>
      </c>
      <c r="N801" s="17" t="n"/>
      <c r="O801" s="17" t="n"/>
      <c r="P801" s="24">
        <f>IF($J801="","未盘",IF(ROUND($J801,3)=0,"账实相符",IF(COUNTIFS(入库单!$G$4:$G$2503,$A801,入库单!$X$4:$X$2503,"盘盈",入库单!$C$4:$C$2503,"&gt;="&amp;账期起,入库单!$C$4:$C$2503,"&lt;="&amp;账期止)+COUNTIFS(出库单!$D$4:$D$4003,$A801,出库单!$K$4:$K$4003,"盘亏",出库单!$C$4:$C$4003,"&gt;="&amp;账期起,出库单!$C$4:$C$4003,"&lt;="&amp;账期止)&gt;0,"已调账","※差异还没调账")))</f>
        <v/>
      </c>
      <c r="Q801" s="17" t="n"/>
      <c r="R801" s="17" t="n"/>
    </row>
    <row r="802">
      <c r="A802" s="24">
        <f>IF(库存台账!$A802="","",库存台账!$A802)</f>
        <v/>
      </c>
      <c r="B802" s="24">
        <f>IF($A802="","",库存台账!$B802)</f>
        <v/>
      </c>
      <c r="C802" s="24">
        <f>IF($A802="","",库存台账!$C802)</f>
        <v/>
      </c>
      <c r="D802" s="24">
        <f>IF($A802="","",库存台账!$D802)</f>
        <v/>
      </c>
      <c r="E802" s="24">
        <f>IF($A802="","",库存台账!$E802)</f>
        <v/>
      </c>
      <c r="F802" s="24">
        <f>IF($A802="","",库存台账!$F802)</f>
        <v/>
      </c>
      <c r="G802" s="17" t="n"/>
      <c r="H802" s="23" t="n"/>
      <c r="I802" s="27">
        <f>IF($A802="","",库存台账!$X802)</f>
        <v/>
      </c>
      <c r="J802" s="27">
        <f>IF(OR($A802="",$H802=""),"",ROUND($H802-$I802,3))</f>
        <v/>
      </c>
      <c r="K802" s="26">
        <f>IF($A802="","",库存台账!$K802)</f>
        <v/>
      </c>
      <c r="L802" s="26">
        <f>IF($J802="","",ROUND($J802*$K802,0))</f>
        <v/>
      </c>
      <c r="M802" s="37">
        <f>IF(OR($J802="",$I802=0),"",ROUND($J802/$I802,4))</f>
        <v/>
      </c>
      <c r="N802" s="17" t="n"/>
      <c r="O802" s="17" t="n"/>
      <c r="P802" s="24">
        <f>IF($J802="","未盘",IF(ROUND($J802,3)=0,"账实相符",IF(COUNTIFS(入库单!$G$4:$G$2503,$A802,入库单!$X$4:$X$2503,"盘盈",入库单!$C$4:$C$2503,"&gt;="&amp;账期起,入库单!$C$4:$C$2503,"&lt;="&amp;账期止)+COUNTIFS(出库单!$D$4:$D$4003,$A802,出库单!$K$4:$K$4003,"盘亏",出库单!$C$4:$C$4003,"&gt;="&amp;账期起,出库单!$C$4:$C$4003,"&lt;="&amp;账期止)&gt;0,"已调账","※差异还没调账")))</f>
        <v/>
      </c>
      <c r="Q802" s="17" t="n"/>
      <c r="R802" s="17" t="n"/>
    </row>
    <row r="803">
      <c r="A803" s="24">
        <f>IF(库存台账!$A803="","",库存台账!$A803)</f>
        <v/>
      </c>
      <c r="B803" s="24">
        <f>IF($A803="","",库存台账!$B803)</f>
        <v/>
      </c>
      <c r="C803" s="24">
        <f>IF($A803="","",库存台账!$C803)</f>
        <v/>
      </c>
      <c r="D803" s="24">
        <f>IF($A803="","",库存台账!$D803)</f>
        <v/>
      </c>
      <c r="E803" s="24">
        <f>IF($A803="","",库存台账!$E803)</f>
        <v/>
      </c>
      <c r="F803" s="24">
        <f>IF($A803="","",库存台账!$F803)</f>
        <v/>
      </c>
      <c r="G803" s="17" t="n"/>
      <c r="H803" s="23" t="n"/>
      <c r="I803" s="27">
        <f>IF($A803="","",库存台账!$X803)</f>
        <v/>
      </c>
      <c r="J803" s="27">
        <f>IF(OR($A803="",$H803=""),"",ROUND($H803-$I803,3))</f>
        <v/>
      </c>
      <c r="K803" s="26">
        <f>IF($A803="","",库存台账!$K803)</f>
        <v/>
      </c>
      <c r="L803" s="26">
        <f>IF($J803="","",ROUND($J803*$K803,0))</f>
        <v/>
      </c>
      <c r="M803" s="37">
        <f>IF(OR($J803="",$I803=0),"",ROUND($J803/$I803,4))</f>
        <v/>
      </c>
      <c r="N803" s="17" t="n"/>
      <c r="O803" s="17" t="n"/>
      <c r="P803" s="24">
        <f>IF($J803="","未盘",IF(ROUND($J803,3)=0,"账实相符",IF(COUNTIFS(入库单!$G$4:$G$2503,$A803,入库单!$X$4:$X$2503,"盘盈",入库单!$C$4:$C$2503,"&gt;="&amp;账期起,入库单!$C$4:$C$2503,"&lt;="&amp;账期止)+COUNTIFS(出库单!$D$4:$D$4003,$A803,出库单!$K$4:$K$4003,"盘亏",出库单!$C$4:$C$4003,"&gt;="&amp;账期起,出库单!$C$4:$C$4003,"&lt;="&amp;账期止)&gt;0,"已调账","※差异还没调账")))</f>
        <v/>
      </c>
      <c r="Q803" s="17" t="n"/>
      <c r="R803" s="17" t="n"/>
    </row>
    <row r="804">
      <c r="A804" s="24">
        <f>IF(库存台账!$A804="","",库存台账!$A804)</f>
        <v/>
      </c>
      <c r="B804" s="24">
        <f>IF($A804="","",库存台账!$B804)</f>
        <v/>
      </c>
      <c r="C804" s="24">
        <f>IF($A804="","",库存台账!$C804)</f>
        <v/>
      </c>
      <c r="D804" s="24">
        <f>IF($A804="","",库存台账!$D804)</f>
        <v/>
      </c>
      <c r="E804" s="24">
        <f>IF($A804="","",库存台账!$E804)</f>
        <v/>
      </c>
      <c r="F804" s="24">
        <f>IF($A804="","",库存台账!$F804)</f>
        <v/>
      </c>
      <c r="G804" s="17" t="n"/>
      <c r="H804" s="23" t="n"/>
      <c r="I804" s="27">
        <f>IF($A804="","",库存台账!$X804)</f>
        <v/>
      </c>
      <c r="J804" s="27">
        <f>IF(OR($A804="",$H804=""),"",ROUND($H804-$I804,3))</f>
        <v/>
      </c>
      <c r="K804" s="26">
        <f>IF($A804="","",库存台账!$K804)</f>
        <v/>
      </c>
      <c r="L804" s="26">
        <f>IF($J804="","",ROUND($J804*$K804,0))</f>
        <v/>
      </c>
      <c r="M804" s="37">
        <f>IF(OR($J804="",$I804=0),"",ROUND($J804/$I804,4))</f>
        <v/>
      </c>
      <c r="N804" s="17" t="n"/>
      <c r="O804" s="17" t="n"/>
      <c r="P804" s="24">
        <f>IF($J804="","未盘",IF(ROUND($J804,3)=0,"账实相符",IF(COUNTIFS(入库单!$G$4:$G$2503,$A804,入库单!$X$4:$X$2503,"盘盈",入库单!$C$4:$C$2503,"&gt;="&amp;账期起,入库单!$C$4:$C$2503,"&lt;="&amp;账期止)+COUNTIFS(出库单!$D$4:$D$4003,$A804,出库单!$K$4:$K$4003,"盘亏",出库单!$C$4:$C$4003,"&gt;="&amp;账期起,出库单!$C$4:$C$4003,"&lt;="&amp;账期止)&gt;0,"已调账","※差异还没调账")))</f>
        <v/>
      </c>
      <c r="Q804" s="17" t="n"/>
      <c r="R804" s="17" t="n"/>
    </row>
    <row r="805">
      <c r="A805" s="24">
        <f>IF(库存台账!$A805="","",库存台账!$A805)</f>
        <v/>
      </c>
      <c r="B805" s="24">
        <f>IF($A805="","",库存台账!$B805)</f>
        <v/>
      </c>
      <c r="C805" s="24">
        <f>IF($A805="","",库存台账!$C805)</f>
        <v/>
      </c>
      <c r="D805" s="24">
        <f>IF($A805="","",库存台账!$D805)</f>
        <v/>
      </c>
      <c r="E805" s="24">
        <f>IF($A805="","",库存台账!$E805)</f>
        <v/>
      </c>
      <c r="F805" s="24">
        <f>IF($A805="","",库存台账!$F805)</f>
        <v/>
      </c>
      <c r="G805" s="17" t="n"/>
      <c r="H805" s="23" t="n"/>
      <c r="I805" s="27">
        <f>IF($A805="","",库存台账!$X805)</f>
        <v/>
      </c>
      <c r="J805" s="27">
        <f>IF(OR($A805="",$H805=""),"",ROUND($H805-$I805,3))</f>
        <v/>
      </c>
      <c r="K805" s="26">
        <f>IF($A805="","",库存台账!$K805)</f>
        <v/>
      </c>
      <c r="L805" s="26">
        <f>IF($J805="","",ROUND($J805*$K805,0))</f>
        <v/>
      </c>
      <c r="M805" s="37">
        <f>IF(OR($J805="",$I805=0),"",ROUND($J805/$I805,4))</f>
        <v/>
      </c>
      <c r="N805" s="17" t="n"/>
      <c r="O805" s="17" t="n"/>
      <c r="P805" s="24">
        <f>IF($J805="","未盘",IF(ROUND($J805,3)=0,"账实相符",IF(COUNTIFS(入库单!$G$4:$G$2503,$A805,入库单!$X$4:$X$2503,"盘盈",入库单!$C$4:$C$2503,"&gt;="&amp;账期起,入库单!$C$4:$C$2503,"&lt;="&amp;账期止)+COUNTIFS(出库单!$D$4:$D$4003,$A805,出库单!$K$4:$K$4003,"盘亏",出库单!$C$4:$C$4003,"&gt;="&amp;账期起,出库单!$C$4:$C$4003,"&lt;="&amp;账期止)&gt;0,"已调账","※差异还没调账")))</f>
        <v/>
      </c>
      <c r="Q805" s="17" t="n"/>
      <c r="R805" s="17" t="n"/>
    </row>
    <row r="806">
      <c r="A806" s="24">
        <f>IF(库存台账!$A806="","",库存台账!$A806)</f>
        <v/>
      </c>
      <c r="B806" s="24">
        <f>IF($A806="","",库存台账!$B806)</f>
        <v/>
      </c>
      <c r="C806" s="24">
        <f>IF($A806="","",库存台账!$C806)</f>
        <v/>
      </c>
      <c r="D806" s="24">
        <f>IF($A806="","",库存台账!$D806)</f>
        <v/>
      </c>
      <c r="E806" s="24">
        <f>IF($A806="","",库存台账!$E806)</f>
        <v/>
      </c>
      <c r="F806" s="24">
        <f>IF($A806="","",库存台账!$F806)</f>
        <v/>
      </c>
      <c r="G806" s="17" t="n"/>
      <c r="H806" s="23" t="n"/>
      <c r="I806" s="27">
        <f>IF($A806="","",库存台账!$X806)</f>
        <v/>
      </c>
      <c r="J806" s="27">
        <f>IF(OR($A806="",$H806=""),"",ROUND($H806-$I806,3))</f>
        <v/>
      </c>
      <c r="K806" s="26">
        <f>IF($A806="","",库存台账!$K806)</f>
        <v/>
      </c>
      <c r="L806" s="26">
        <f>IF($J806="","",ROUND($J806*$K806,0))</f>
        <v/>
      </c>
      <c r="M806" s="37">
        <f>IF(OR($J806="",$I806=0),"",ROUND($J806/$I806,4))</f>
        <v/>
      </c>
      <c r="N806" s="17" t="n"/>
      <c r="O806" s="17" t="n"/>
      <c r="P806" s="24">
        <f>IF($J806="","未盘",IF(ROUND($J806,3)=0,"账实相符",IF(COUNTIFS(入库单!$G$4:$G$2503,$A806,入库单!$X$4:$X$2503,"盘盈",入库单!$C$4:$C$2503,"&gt;="&amp;账期起,入库单!$C$4:$C$2503,"&lt;="&amp;账期止)+COUNTIFS(出库单!$D$4:$D$4003,$A806,出库单!$K$4:$K$4003,"盘亏",出库单!$C$4:$C$4003,"&gt;="&amp;账期起,出库单!$C$4:$C$4003,"&lt;="&amp;账期止)&gt;0,"已调账","※差异还没调账")))</f>
        <v/>
      </c>
      <c r="Q806" s="17" t="n"/>
      <c r="R806" s="17" t="n"/>
    </row>
    <row r="807">
      <c r="A807" s="24">
        <f>IF(库存台账!$A807="","",库存台账!$A807)</f>
        <v/>
      </c>
      <c r="B807" s="24">
        <f>IF($A807="","",库存台账!$B807)</f>
        <v/>
      </c>
      <c r="C807" s="24">
        <f>IF($A807="","",库存台账!$C807)</f>
        <v/>
      </c>
      <c r="D807" s="24">
        <f>IF($A807="","",库存台账!$D807)</f>
        <v/>
      </c>
      <c r="E807" s="24">
        <f>IF($A807="","",库存台账!$E807)</f>
        <v/>
      </c>
      <c r="F807" s="24">
        <f>IF($A807="","",库存台账!$F807)</f>
        <v/>
      </c>
      <c r="G807" s="17" t="n"/>
      <c r="H807" s="23" t="n"/>
      <c r="I807" s="27">
        <f>IF($A807="","",库存台账!$X807)</f>
        <v/>
      </c>
      <c r="J807" s="27">
        <f>IF(OR($A807="",$H807=""),"",ROUND($H807-$I807,3))</f>
        <v/>
      </c>
      <c r="K807" s="26">
        <f>IF($A807="","",库存台账!$K807)</f>
        <v/>
      </c>
      <c r="L807" s="26">
        <f>IF($J807="","",ROUND($J807*$K807,0))</f>
        <v/>
      </c>
      <c r="M807" s="37">
        <f>IF(OR($J807="",$I807=0),"",ROUND($J807/$I807,4))</f>
        <v/>
      </c>
      <c r="N807" s="17" t="n"/>
      <c r="O807" s="17" t="n"/>
      <c r="P807" s="24">
        <f>IF($J807="","未盘",IF(ROUND($J807,3)=0,"账实相符",IF(COUNTIFS(入库单!$G$4:$G$2503,$A807,入库单!$X$4:$X$2503,"盘盈",入库单!$C$4:$C$2503,"&gt;="&amp;账期起,入库单!$C$4:$C$2503,"&lt;="&amp;账期止)+COUNTIFS(出库单!$D$4:$D$4003,$A807,出库单!$K$4:$K$4003,"盘亏",出库单!$C$4:$C$4003,"&gt;="&amp;账期起,出库单!$C$4:$C$4003,"&lt;="&amp;账期止)&gt;0,"已调账","※差异还没调账")))</f>
        <v/>
      </c>
      <c r="Q807" s="17" t="n"/>
      <c r="R807" s="17" t="n"/>
    </row>
    <row r="808">
      <c r="A808" s="24">
        <f>IF(库存台账!$A808="","",库存台账!$A808)</f>
        <v/>
      </c>
      <c r="B808" s="24">
        <f>IF($A808="","",库存台账!$B808)</f>
        <v/>
      </c>
      <c r="C808" s="24">
        <f>IF($A808="","",库存台账!$C808)</f>
        <v/>
      </c>
      <c r="D808" s="24">
        <f>IF($A808="","",库存台账!$D808)</f>
        <v/>
      </c>
      <c r="E808" s="24">
        <f>IF($A808="","",库存台账!$E808)</f>
        <v/>
      </c>
      <c r="F808" s="24">
        <f>IF($A808="","",库存台账!$F808)</f>
        <v/>
      </c>
      <c r="G808" s="17" t="n"/>
      <c r="H808" s="23" t="n"/>
      <c r="I808" s="27">
        <f>IF($A808="","",库存台账!$X808)</f>
        <v/>
      </c>
      <c r="J808" s="27">
        <f>IF(OR($A808="",$H808=""),"",ROUND($H808-$I808,3))</f>
        <v/>
      </c>
      <c r="K808" s="26">
        <f>IF($A808="","",库存台账!$K808)</f>
        <v/>
      </c>
      <c r="L808" s="26">
        <f>IF($J808="","",ROUND($J808*$K808,0))</f>
        <v/>
      </c>
      <c r="M808" s="37">
        <f>IF(OR($J808="",$I808=0),"",ROUND($J808/$I808,4))</f>
        <v/>
      </c>
      <c r="N808" s="17" t="n"/>
      <c r="O808" s="17" t="n"/>
      <c r="P808" s="24">
        <f>IF($J808="","未盘",IF(ROUND($J808,3)=0,"账实相符",IF(COUNTIFS(入库单!$G$4:$G$2503,$A808,入库单!$X$4:$X$2503,"盘盈",入库单!$C$4:$C$2503,"&gt;="&amp;账期起,入库单!$C$4:$C$2503,"&lt;="&amp;账期止)+COUNTIFS(出库单!$D$4:$D$4003,$A808,出库单!$K$4:$K$4003,"盘亏",出库单!$C$4:$C$4003,"&gt;="&amp;账期起,出库单!$C$4:$C$4003,"&lt;="&amp;账期止)&gt;0,"已调账","※差异还没调账")))</f>
        <v/>
      </c>
      <c r="Q808" s="17" t="n"/>
      <c r="R808" s="17" t="n"/>
    </row>
    <row r="809">
      <c r="A809" s="24">
        <f>IF(库存台账!$A809="","",库存台账!$A809)</f>
        <v/>
      </c>
      <c r="B809" s="24">
        <f>IF($A809="","",库存台账!$B809)</f>
        <v/>
      </c>
      <c r="C809" s="24">
        <f>IF($A809="","",库存台账!$C809)</f>
        <v/>
      </c>
      <c r="D809" s="24">
        <f>IF($A809="","",库存台账!$D809)</f>
        <v/>
      </c>
      <c r="E809" s="24">
        <f>IF($A809="","",库存台账!$E809)</f>
        <v/>
      </c>
      <c r="F809" s="24">
        <f>IF($A809="","",库存台账!$F809)</f>
        <v/>
      </c>
      <c r="G809" s="17" t="n"/>
      <c r="H809" s="23" t="n"/>
      <c r="I809" s="27">
        <f>IF($A809="","",库存台账!$X809)</f>
        <v/>
      </c>
      <c r="J809" s="27">
        <f>IF(OR($A809="",$H809=""),"",ROUND($H809-$I809,3))</f>
        <v/>
      </c>
      <c r="K809" s="26">
        <f>IF($A809="","",库存台账!$K809)</f>
        <v/>
      </c>
      <c r="L809" s="26">
        <f>IF($J809="","",ROUND($J809*$K809,0))</f>
        <v/>
      </c>
      <c r="M809" s="37">
        <f>IF(OR($J809="",$I809=0),"",ROUND($J809/$I809,4))</f>
        <v/>
      </c>
      <c r="N809" s="17" t="n"/>
      <c r="O809" s="17" t="n"/>
      <c r="P809" s="24">
        <f>IF($J809="","未盘",IF(ROUND($J809,3)=0,"账实相符",IF(COUNTIFS(入库单!$G$4:$G$2503,$A809,入库单!$X$4:$X$2503,"盘盈",入库单!$C$4:$C$2503,"&gt;="&amp;账期起,入库单!$C$4:$C$2503,"&lt;="&amp;账期止)+COUNTIFS(出库单!$D$4:$D$4003,$A809,出库单!$K$4:$K$4003,"盘亏",出库单!$C$4:$C$4003,"&gt;="&amp;账期起,出库单!$C$4:$C$4003,"&lt;="&amp;账期止)&gt;0,"已调账","※差异还没调账")))</f>
        <v/>
      </c>
      <c r="Q809" s="17" t="n"/>
      <c r="R809" s="17" t="n"/>
    </row>
    <row r="810">
      <c r="A810" s="24">
        <f>IF(库存台账!$A810="","",库存台账!$A810)</f>
        <v/>
      </c>
      <c r="B810" s="24">
        <f>IF($A810="","",库存台账!$B810)</f>
        <v/>
      </c>
      <c r="C810" s="24">
        <f>IF($A810="","",库存台账!$C810)</f>
        <v/>
      </c>
      <c r="D810" s="24">
        <f>IF($A810="","",库存台账!$D810)</f>
        <v/>
      </c>
      <c r="E810" s="24">
        <f>IF($A810="","",库存台账!$E810)</f>
        <v/>
      </c>
      <c r="F810" s="24">
        <f>IF($A810="","",库存台账!$F810)</f>
        <v/>
      </c>
      <c r="G810" s="17" t="n"/>
      <c r="H810" s="23" t="n"/>
      <c r="I810" s="27">
        <f>IF($A810="","",库存台账!$X810)</f>
        <v/>
      </c>
      <c r="J810" s="27">
        <f>IF(OR($A810="",$H810=""),"",ROUND($H810-$I810,3))</f>
        <v/>
      </c>
      <c r="K810" s="26">
        <f>IF($A810="","",库存台账!$K810)</f>
        <v/>
      </c>
      <c r="L810" s="26">
        <f>IF($J810="","",ROUND($J810*$K810,0))</f>
        <v/>
      </c>
      <c r="M810" s="37">
        <f>IF(OR($J810="",$I810=0),"",ROUND($J810/$I810,4))</f>
        <v/>
      </c>
      <c r="N810" s="17" t="n"/>
      <c r="O810" s="17" t="n"/>
      <c r="P810" s="24">
        <f>IF($J810="","未盘",IF(ROUND($J810,3)=0,"账实相符",IF(COUNTIFS(入库单!$G$4:$G$2503,$A810,入库单!$X$4:$X$2503,"盘盈",入库单!$C$4:$C$2503,"&gt;="&amp;账期起,入库单!$C$4:$C$2503,"&lt;="&amp;账期止)+COUNTIFS(出库单!$D$4:$D$4003,$A810,出库单!$K$4:$K$4003,"盘亏",出库单!$C$4:$C$4003,"&gt;="&amp;账期起,出库单!$C$4:$C$4003,"&lt;="&amp;账期止)&gt;0,"已调账","※差异还没调账")))</f>
        <v/>
      </c>
      <c r="Q810" s="17" t="n"/>
      <c r="R810" s="17" t="n"/>
    </row>
    <row r="811">
      <c r="A811" s="24">
        <f>IF(库存台账!$A811="","",库存台账!$A811)</f>
        <v/>
      </c>
      <c r="B811" s="24">
        <f>IF($A811="","",库存台账!$B811)</f>
        <v/>
      </c>
      <c r="C811" s="24">
        <f>IF($A811="","",库存台账!$C811)</f>
        <v/>
      </c>
      <c r="D811" s="24">
        <f>IF($A811="","",库存台账!$D811)</f>
        <v/>
      </c>
      <c r="E811" s="24">
        <f>IF($A811="","",库存台账!$E811)</f>
        <v/>
      </c>
      <c r="F811" s="24">
        <f>IF($A811="","",库存台账!$F811)</f>
        <v/>
      </c>
      <c r="G811" s="17" t="n"/>
      <c r="H811" s="23" t="n"/>
      <c r="I811" s="27">
        <f>IF($A811="","",库存台账!$X811)</f>
        <v/>
      </c>
      <c r="J811" s="27">
        <f>IF(OR($A811="",$H811=""),"",ROUND($H811-$I811,3))</f>
        <v/>
      </c>
      <c r="K811" s="26">
        <f>IF($A811="","",库存台账!$K811)</f>
        <v/>
      </c>
      <c r="L811" s="26">
        <f>IF($J811="","",ROUND($J811*$K811,0))</f>
        <v/>
      </c>
      <c r="M811" s="37">
        <f>IF(OR($J811="",$I811=0),"",ROUND($J811/$I811,4))</f>
        <v/>
      </c>
      <c r="N811" s="17" t="n"/>
      <c r="O811" s="17" t="n"/>
      <c r="P811" s="24">
        <f>IF($J811="","未盘",IF(ROUND($J811,3)=0,"账实相符",IF(COUNTIFS(入库单!$G$4:$G$2503,$A811,入库单!$X$4:$X$2503,"盘盈",入库单!$C$4:$C$2503,"&gt;="&amp;账期起,入库单!$C$4:$C$2503,"&lt;="&amp;账期止)+COUNTIFS(出库单!$D$4:$D$4003,$A811,出库单!$K$4:$K$4003,"盘亏",出库单!$C$4:$C$4003,"&gt;="&amp;账期起,出库单!$C$4:$C$4003,"&lt;="&amp;账期止)&gt;0,"已调账","※差异还没调账")))</f>
        <v/>
      </c>
      <c r="Q811" s="17" t="n"/>
      <c r="R811" s="17" t="n"/>
    </row>
    <row r="812">
      <c r="A812" s="24">
        <f>IF(库存台账!$A812="","",库存台账!$A812)</f>
        <v/>
      </c>
      <c r="B812" s="24">
        <f>IF($A812="","",库存台账!$B812)</f>
        <v/>
      </c>
      <c r="C812" s="24">
        <f>IF($A812="","",库存台账!$C812)</f>
        <v/>
      </c>
      <c r="D812" s="24">
        <f>IF($A812="","",库存台账!$D812)</f>
        <v/>
      </c>
      <c r="E812" s="24">
        <f>IF($A812="","",库存台账!$E812)</f>
        <v/>
      </c>
      <c r="F812" s="24">
        <f>IF($A812="","",库存台账!$F812)</f>
        <v/>
      </c>
      <c r="G812" s="17" t="n"/>
      <c r="H812" s="23" t="n"/>
      <c r="I812" s="27">
        <f>IF($A812="","",库存台账!$X812)</f>
        <v/>
      </c>
      <c r="J812" s="27">
        <f>IF(OR($A812="",$H812=""),"",ROUND($H812-$I812,3))</f>
        <v/>
      </c>
      <c r="K812" s="26">
        <f>IF($A812="","",库存台账!$K812)</f>
        <v/>
      </c>
      <c r="L812" s="26">
        <f>IF($J812="","",ROUND($J812*$K812,0))</f>
        <v/>
      </c>
      <c r="M812" s="37">
        <f>IF(OR($J812="",$I812=0),"",ROUND($J812/$I812,4))</f>
        <v/>
      </c>
      <c r="N812" s="17" t="n"/>
      <c r="O812" s="17" t="n"/>
      <c r="P812" s="24">
        <f>IF($J812="","未盘",IF(ROUND($J812,3)=0,"账实相符",IF(COUNTIFS(入库单!$G$4:$G$2503,$A812,入库单!$X$4:$X$2503,"盘盈",入库单!$C$4:$C$2503,"&gt;="&amp;账期起,入库单!$C$4:$C$2503,"&lt;="&amp;账期止)+COUNTIFS(出库单!$D$4:$D$4003,$A812,出库单!$K$4:$K$4003,"盘亏",出库单!$C$4:$C$4003,"&gt;="&amp;账期起,出库单!$C$4:$C$4003,"&lt;="&amp;账期止)&gt;0,"已调账","※差异还没调账")))</f>
        <v/>
      </c>
      <c r="Q812" s="17" t="n"/>
      <c r="R812" s="17" t="n"/>
    </row>
    <row r="813">
      <c r="A813" s="24">
        <f>IF(库存台账!$A813="","",库存台账!$A813)</f>
        <v/>
      </c>
      <c r="B813" s="24">
        <f>IF($A813="","",库存台账!$B813)</f>
        <v/>
      </c>
      <c r="C813" s="24">
        <f>IF($A813="","",库存台账!$C813)</f>
        <v/>
      </c>
      <c r="D813" s="24">
        <f>IF($A813="","",库存台账!$D813)</f>
        <v/>
      </c>
      <c r="E813" s="24">
        <f>IF($A813="","",库存台账!$E813)</f>
        <v/>
      </c>
      <c r="F813" s="24">
        <f>IF($A813="","",库存台账!$F813)</f>
        <v/>
      </c>
      <c r="G813" s="17" t="n"/>
      <c r="H813" s="23" t="n"/>
      <c r="I813" s="27">
        <f>IF($A813="","",库存台账!$X813)</f>
        <v/>
      </c>
      <c r="J813" s="27">
        <f>IF(OR($A813="",$H813=""),"",ROUND($H813-$I813,3))</f>
        <v/>
      </c>
      <c r="K813" s="26">
        <f>IF($A813="","",库存台账!$K813)</f>
        <v/>
      </c>
      <c r="L813" s="26">
        <f>IF($J813="","",ROUND($J813*$K813,0))</f>
        <v/>
      </c>
      <c r="M813" s="37">
        <f>IF(OR($J813="",$I813=0),"",ROUND($J813/$I813,4))</f>
        <v/>
      </c>
      <c r="N813" s="17" t="n"/>
      <c r="O813" s="17" t="n"/>
      <c r="P813" s="24">
        <f>IF($J813="","未盘",IF(ROUND($J813,3)=0,"账实相符",IF(COUNTIFS(入库单!$G$4:$G$2503,$A813,入库单!$X$4:$X$2503,"盘盈",入库单!$C$4:$C$2503,"&gt;="&amp;账期起,入库单!$C$4:$C$2503,"&lt;="&amp;账期止)+COUNTIFS(出库单!$D$4:$D$4003,$A813,出库单!$K$4:$K$4003,"盘亏",出库单!$C$4:$C$4003,"&gt;="&amp;账期起,出库单!$C$4:$C$4003,"&lt;="&amp;账期止)&gt;0,"已调账","※差异还没调账")))</f>
        <v/>
      </c>
      <c r="Q813" s="17" t="n"/>
      <c r="R813" s="17" t="n"/>
    </row>
    <row r="814">
      <c r="A814" s="24">
        <f>IF(库存台账!$A814="","",库存台账!$A814)</f>
        <v/>
      </c>
      <c r="B814" s="24">
        <f>IF($A814="","",库存台账!$B814)</f>
        <v/>
      </c>
      <c r="C814" s="24">
        <f>IF($A814="","",库存台账!$C814)</f>
        <v/>
      </c>
      <c r="D814" s="24">
        <f>IF($A814="","",库存台账!$D814)</f>
        <v/>
      </c>
      <c r="E814" s="24">
        <f>IF($A814="","",库存台账!$E814)</f>
        <v/>
      </c>
      <c r="F814" s="24">
        <f>IF($A814="","",库存台账!$F814)</f>
        <v/>
      </c>
      <c r="G814" s="17" t="n"/>
      <c r="H814" s="23" t="n"/>
      <c r="I814" s="27">
        <f>IF($A814="","",库存台账!$X814)</f>
        <v/>
      </c>
      <c r="J814" s="27">
        <f>IF(OR($A814="",$H814=""),"",ROUND($H814-$I814,3))</f>
        <v/>
      </c>
      <c r="K814" s="26">
        <f>IF($A814="","",库存台账!$K814)</f>
        <v/>
      </c>
      <c r="L814" s="26">
        <f>IF($J814="","",ROUND($J814*$K814,0))</f>
        <v/>
      </c>
      <c r="M814" s="37">
        <f>IF(OR($J814="",$I814=0),"",ROUND($J814/$I814,4))</f>
        <v/>
      </c>
      <c r="N814" s="17" t="n"/>
      <c r="O814" s="17" t="n"/>
      <c r="P814" s="24">
        <f>IF($J814="","未盘",IF(ROUND($J814,3)=0,"账实相符",IF(COUNTIFS(入库单!$G$4:$G$2503,$A814,入库单!$X$4:$X$2503,"盘盈",入库单!$C$4:$C$2503,"&gt;="&amp;账期起,入库单!$C$4:$C$2503,"&lt;="&amp;账期止)+COUNTIFS(出库单!$D$4:$D$4003,$A814,出库单!$K$4:$K$4003,"盘亏",出库单!$C$4:$C$4003,"&gt;="&amp;账期起,出库单!$C$4:$C$4003,"&lt;="&amp;账期止)&gt;0,"已调账","※差异还没调账")))</f>
        <v/>
      </c>
      <c r="Q814" s="17" t="n"/>
      <c r="R814" s="17" t="n"/>
    </row>
    <row r="815">
      <c r="A815" s="24">
        <f>IF(库存台账!$A815="","",库存台账!$A815)</f>
        <v/>
      </c>
      <c r="B815" s="24">
        <f>IF($A815="","",库存台账!$B815)</f>
        <v/>
      </c>
      <c r="C815" s="24">
        <f>IF($A815="","",库存台账!$C815)</f>
        <v/>
      </c>
      <c r="D815" s="24">
        <f>IF($A815="","",库存台账!$D815)</f>
        <v/>
      </c>
      <c r="E815" s="24">
        <f>IF($A815="","",库存台账!$E815)</f>
        <v/>
      </c>
      <c r="F815" s="24">
        <f>IF($A815="","",库存台账!$F815)</f>
        <v/>
      </c>
      <c r="G815" s="17" t="n"/>
      <c r="H815" s="23" t="n"/>
      <c r="I815" s="27">
        <f>IF($A815="","",库存台账!$X815)</f>
        <v/>
      </c>
      <c r="J815" s="27">
        <f>IF(OR($A815="",$H815=""),"",ROUND($H815-$I815,3))</f>
        <v/>
      </c>
      <c r="K815" s="26">
        <f>IF($A815="","",库存台账!$K815)</f>
        <v/>
      </c>
      <c r="L815" s="26">
        <f>IF($J815="","",ROUND($J815*$K815,0))</f>
        <v/>
      </c>
      <c r="M815" s="37">
        <f>IF(OR($J815="",$I815=0),"",ROUND($J815/$I815,4))</f>
        <v/>
      </c>
      <c r="N815" s="17" t="n"/>
      <c r="O815" s="17" t="n"/>
      <c r="P815" s="24">
        <f>IF($J815="","未盘",IF(ROUND($J815,3)=0,"账实相符",IF(COUNTIFS(入库单!$G$4:$G$2503,$A815,入库单!$X$4:$X$2503,"盘盈",入库单!$C$4:$C$2503,"&gt;="&amp;账期起,入库单!$C$4:$C$2503,"&lt;="&amp;账期止)+COUNTIFS(出库单!$D$4:$D$4003,$A815,出库单!$K$4:$K$4003,"盘亏",出库单!$C$4:$C$4003,"&gt;="&amp;账期起,出库单!$C$4:$C$4003,"&lt;="&amp;账期止)&gt;0,"已调账","※差异还没调账")))</f>
        <v/>
      </c>
      <c r="Q815" s="17" t="n"/>
      <c r="R815" s="17" t="n"/>
    </row>
    <row r="816">
      <c r="A816" s="24">
        <f>IF(库存台账!$A816="","",库存台账!$A816)</f>
        <v/>
      </c>
      <c r="B816" s="24">
        <f>IF($A816="","",库存台账!$B816)</f>
        <v/>
      </c>
      <c r="C816" s="24">
        <f>IF($A816="","",库存台账!$C816)</f>
        <v/>
      </c>
      <c r="D816" s="24">
        <f>IF($A816="","",库存台账!$D816)</f>
        <v/>
      </c>
      <c r="E816" s="24">
        <f>IF($A816="","",库存台账!$E816)</f>
        <v/>
      </c>
      <c r="F816" s="24">
        <f>IF($A816="","",库存台账!$F816)</f>
        <v/>
      </c>
      <c r="G816" s="17" t="n"/>
      <c r="H816" s="23" t="n"/>
      <c r="I816" s="27">
        <f>IF($A816="","",库存台账!$X816)</f>
        <v/>
      </c>
      <c r="J816" s="27">
        <f>IF(OR($A816="",$H816=""),"",ROUND($H816-$I816,3))</f>
        <v/>
      </c>
      <c r="K816" s="26">
        <f>IF($A816="","",库存台账!$K816)</f>
        <v/>
      </c>
      <c r="L816" s="26">
        <f>IF($J816="","",ROUND($J816*$K816,0))</f>
        <v/>
      </c>
      <c r="M816" s="37">
        <f>IF(OR($J816="",$I816=0),"",ROUND($J816/$I816,4))</f>
        <v/>
      </c>
      <c r="N816" s="17" t="n"/>
      <c r="O816" s="17" t="n"/>
      <c r="P816" s="24">
        <f>IF($J816="","未盘",IF(ROUND($J816,3)=0,"账实相符",IF(COUNTIFS(入库单!$G$4:$G$2503,$A816,入库单!$X$4:$X$2503,"盘盈",入库单!$C$4:$C$2503,"&gt;="&amp;账期起,入库单!$C$4:$C$2503,"&lt;="&amp;账期止)+COUNTIFS(出库单!$D$4:$D$4003,$A816,出库单!$K$4:$K$4003,"盘亏",出库单!$C$4:$C$4003,"&gt;="&amp;账期起,出库单!$C$4:$C$4003,"&lt;="&amp;账期止)&gt;0,"已调账","※差异还没调账")))</f>
        <v/>
      </c>
      <c r="Q816" s="17" t="n"/>
      <c r="R816" s="17" t="n"/>
    </row>
    <row r="817">
      <c r="A817" s="24">
        <f>IF(库存台账!$A817="","",库存台账!$A817)</f>
        <v/>
      </c>
      <c r="B817" s="24">
        <f>IF($A817="","",库存台账!$B817)</f>
        <v/>
      </c>
      <c r="C817" s="24">
        <f>IF($A817="","",库存台账!$C817)</f>
        <v/>
      </c>
      <c r="D817" s="24">
        <f>IF($A817="","",库存台账!$D817)</f>
        <v/>
      </c>
      <c r="E817" s="24">
        <f>IF($A817="","",库存台账!$E817)</f>
        <v/>
      </c>
      <c r="F817" s="24">
        <f>IF($A817="","",库存台账!$F817)</f>
        <v/>
      </c>
      <c r="G817" s="17" t="n"/>
      <c r="H817" s="23" t="n"/>
      <c r="I817" s="27">
        <f>IF($A817="","",库存台账!$X817)</f>
        <v/>
      </c>
      <c r="J817" s="27">
        <f>IF(OR($A817="",$H817=""),"",ROUND($H817-$I817,3))</f>
        <v/>
      </c>
      <c r="K817" s="26">
        <f>IF($A817="","",库存台账!$K817)</f>
        <v/>
      </c>
      <c r="L817" s="26">
        <f>IF($J817="","",ROUND($J817*$K817,0))</f>
        <v/>
      </c>
      <c r="M817" s="37">
        <f>IF(OR($J817="",$I817=0),"",ROUND($J817/$I817,4))</f>
        <v/>
      </c>
      <c r="N817" s="17" t="n"/>
      <c r="O817" s="17" t="n"/>
      <c r="P817" s="24">
        <f>IF($J817="","未盘",IF(ROUND($J817,3)=0,"账实相符",IF(COUNTIFS(入库单!$G$4:$G$2503,$A817,入库单!$X$4:$X$2503,"盘盈",入库单!$C$4:$C$2503,"&gt;="&amp;账期起,入库单!$C$4:$C$2503,"&lt;="&amp;账期止)+COUNTIFS(出库单!$D$4:$D$4003,$A817,出库单!$K$4:$K$4003,"盘亏",出库单!$C$4:$C$4003,"&gt;="&amp;账期起,出库单!$C$4:$C$4003,"&lt;="&amp;账期止)&gt;0,"已调账","※差异还没调账")))</f>
        <v/>
      </c>
      <c r="Q817" s="17" t="n"/>
      <c r="R817" s="17" t="n"/>
    </row>
    <row r="818">
      <c r="A818" s="24">
        <f>IF(库存台账!$A818="","",库存台账!$A818)</f>
        <v/>
      </c>
      <c r="B818" s="24">
        <f>IF($A818="","",库存台账!$B818)</f>
        <v/>
      </c>
      <c r="C818" s="24">
        <f>IF($A818="","",库存台账!$C818)</f>
        <v/>
      </c>
      <c r="D818" s="24">
        <f>IF($A818="","",库存台账!$D818)</f>
        <v/>
      </c>
      <c r="E818" s="24">
        <f>IF($A818="","",库存台账!$E818)</f>
        <v/>
      </c>
      <c r="F818" s="24">
        <f>IF($A818="","",库存台账!$F818)</f>
        <v/>
      </c>
      <c r="G818" s="17" t="n"/>
      <c r="H818" s="23" t="n"/>
      <c r="I818" s="27">
        <f>IF($A818="","",库存台账!$X818)</f>
        <v/>
      </c>
      <c r="J818" s="27">
        <f>IF(OR($A818="",$H818=""),"",ROUND($H818-$I818,3))</f>
        <v/>
      </c>
      <c r="K818" s="26">
        <f>IF($A818="","",库存台账!$K818)</f>
        <v/>
      </c>
      <c r="L818" s="26">
        <f>IF($J818="","",ROUND($J818*$K818,0))</f>
        <v/>
      </c>
      <c r="M818" s="37">
        <f>IF(OR($J818="",$I818=0),"",ROUND($J818/$I818,4))</f>
        <v/>
      </c>
      <c r="N818" s="17" t="n"/>
      <c r="O818" s="17" t="n"/>
      <c r="P818" s="24">
        <f>IF($J818="","未盘",IF(ROUND($J818,3)=0,"账实相符",IF(COUNTIFS(入库单!$G$4:$G$2503,$A818,入库单!$X$4:$X$2503,"盘盈",入库单!$C$4:$C$2503,"&gt;="&amp;账期起,入库单!$C$4:$C$2503,"&lt;="&amp;账期止)+COUNTIFS(出库单!$D$4:$D$4003,$A818,出库单!$K$4:$K$4003,"盘亏",出库单!$C$4:$C$4003,"&gt;="&amp;账期起,出库单!$C$4:$C$4003,"&lt;="&amp;账期止)&gt;0,"已调账","※差异还没调账")))</f>
        <v/>
      </c>
      <c r="Q818" s="17" t="n"/>
      <c r="R818" s="17" t="n"/>
    </row>
    <row r="819">
      <c r="A819" s="24">
        <f>IF(库存台账!$A819="","",库存台账!$A819)</f>
        <v/>
      </c>
      <c r="B819" s="24">
        <f>IF($A819="","",库存台账!$B819)</f>
        <v/>
      </c>
      <c r="C819" s="24">
        <f>IF($A819="","",库存台账!$C819)</f>
        <v/>
      </c>
      <c r="D819" s="24">
        <f>IF($A819="","",库存台账!$D819)</f>
        <v/>
      </c>
      <c r="E819" s="24">
        <f>IF($A819="","",库存台账!$E819)</f>
        <v/>
      </c>
      <c r="F819" s="24">
        <f>IF($A819="","",库存台账!$F819)</f>
        <v/>
      </c>
      <c r="G819" s="17" t="n"/>
      <c r="H819" s="23" t="n"/>
      <c r="I819" s="27">
        <f>IF($A819="","",库存台账!$X819)</f>
        <v/>
      </c>
      <c r="J819" s="27">
        <f>IF(OR($A819="",$H819=""),"",ROUND($H819-$I819,3))</f>
        <v/>
      </c>
      <c r="K819" s="26">
        <f>IF($A819="","",库存台账!$K819)</f>
        <v/>
      </c>
      <c r="L819" s="26">
        <f>IF($J819="","",ROUND($J819*$K819,0))</f>
        <v/>
      </c>
      <c r="M819" s="37">
        <f>IF(OR($J819="",$I819=0),"",ROUND($J819/$I819,4))</f>
        <v/>
      </c>
      <c r="N819" s="17" t="n"/>
      <c r="O819" s="17" t="n"/>
      <c r="P819" s="24">
        <f>IF($J819="","未盘",IF(ROUND($J819,3)=0,"账实相符",IF(COUNTIFS(入库单!$G$4:$G$2503,$A819,入库单!$X$4:$X$2503,"盘盈",入库单!$C$4:$C$2503,"&gt;="&amp;账期起,入库单!$C$4:$C$2503,"&lt;="&amp;账期止)+COUNTIFS(出库单!$D$4:$D$4003,$A819,出库单!$K$4:$K$4003,"盘亏",出库单!$C$4:$C$4003,"&gt;="&amp;账期起,出库单!$C$4:$C$4003,"&lt;="&amp;账期止)&gt;0,"已调账","※差异还没调账")))</f>
        <v/>
      </c>
      <c r="Q819" s="17" t="n"/>
      <c r="R819" s="17" t="n"/>
    </row>
    <row r="820">
      <c r="A820" s="24">
        <f>IF(库存台账!$A820="","",库存台账!$A820)</f>
        <v/>
      </c>
      <c r="B820" s="24">
        <f>IF($A820="","",库存台账!$B820)</f>
        <v/>
      </c>
      <c r="C820" s="24">
        <f>IF($A820="","",库存台账!$C820)</f>
        <v/>
      </c>
      <c r="D820" s="24">
        <f>IF($A820="","",库存台账!$D820)</f>
        <v/>
      </c>
      <c r="E820" s="24">
        <f>IF($A820="","",库存台账!$E820)</f>
        <v/>
      </c>
      <c r="F820" s="24">
        <f>IF($A820="","",库存台账!$F820)</f>
        <v/>
      </c>
      <c r="G820" s="17" t="n"/>
      <c r="H820" s="23" t="n"/>
      <c r="I820" s="27">
        <f>IF($A820="","",库存台账!$X820)</f>
        <v/>
      </c>
      <c r="J820" s="27">
        <f>IF(OR($A820="",$H820=""),"",ROUND($H820-$I820,3))</f>
        <v/>
      </c>
      <c r="K820" s="26">
        <f>IF($A820="","",库存台账!$K820)</f>
        <v/>
      </c>
      <c r="L820" s="26">
        <f>IF($J820="","",ROUND($J820*$K820,0))</f>
        <v/>
      </c>
      <c r="M820" s="37">
        <f>IF(OR($J820="",$I820=0),"",ROUND($J820/$I820,4))</f>
        <v/>
      </c>
      <c r="N820" s="17" t="n"/>
      <c r="O820" s="17" t="n"/>
      <c r="P820" s="24">
        <f>IF($J820="","未盘",IF(ROUND($J820,3)=0,"账实相符",IF(COUNTIFS(入库单!$G$4:$G$2503,$A820,入库单!$X$4:$X$2503,"盘盈",入库单!$C$4:$C$2503,"&gt;="&amp;账期起,入库单!$C$4:$C$2503,"&lt;="&amp;账期止)+COUNTIFS(出库单!$D$4:$D$4003,$A820,出库单!$K$4:$K$4003,"盘亏",出库单!$C$4:$C$4003,"&gt;="&amp;账期起,出库单!$C$4:$C$4003,"&lt;="&amp;账期止)&gt;0,"已调账","※差异还没调账")))</f>
        <v/>
      </c>
      <c r="Q820" s="17" t="n"/>
      <c r="R820" s="17" t="n"/>
    </row>
    <row r="821">
      <c r="A821" s="24">
        <f>IF(库存台账!$A821="","",库存台账!$A821)</f>
        <v/>
      </c>
      <c r="B821" s="24">
        <f>IF($A821="","",库存台账!$B821)</f>
        <v/>
      </c>
      <c r="C821" s="24">
        <f>IF($A821="","",库存台账!$C821)</f>
        <v/>
      </c>
      <c r="D821" s="24">
        <f>IF($A821="","",库存台账!$D821)</f>
        <v/>
      </c>
      <c r="E821" s="24">
        <f>IF($A821="","",库存台账!$E821)</f>
        <v/>
      </c>
      <c r="F821" s="24">
        <f>IF($A821="","",库存台账!$F821)</f>
        <v/>
      </c>
      <c r="G821" s="17" t="n"/>
      <c r="H821" s="23" t="n"/>
      <c r="I821" s="27">
        <f>IF($A821="","",库存台账!$X821)</f>
        <v/>
      </c>
      <c r="J821" s="27">
        <f>IF(OR($A821="",$H821=""),"",ROUND($H821-$I821,3))</f>
        <v/>
      </c>
      <c r="K821" s="26">
        <f>IF($A821="","",库存台账!$K821)</f>
        <v/>
      </c>
      <c r="L821" s="26">
        <f>IF($J821="","",ROUND($J821*$K821,0))</f>
        <v/>
      </c>
      <c r="M821" s="37">
        <f>IF(OR($J821="",$I821=0),"",ROUND($J821/$I821,4))</f>
        <v/>
      </c>
      <c r="N821" s="17" t="n"/>
      <c r="O821" s="17" t="n"/>
      <c r="P821" s="24">
        <f>IF($J821="","未盘",IF(ROUND($J821,3)=0,"账实相符",IF(COUNTIFS(入库单!$G$4:$G$2503,$A821,入库单!$X$4:$X$2503,"盘盈",入库单!$C$4:$C$2503,"&gt;="&amp;账期起,入库单!$C$4:$C$2503,"&lt;="&amp;账期止)+COUNTIFS(出库单!$D$4:$D$4003,$A821,出库单!$K$4:$K$4003,"盘亏",出库单!$C$4:$C$4003,"&gt;="&amp;账期起,出库单!$C$4:$C$4003,"&lt;="&amp;账期止)&gt;0,"已调账","※差异还没调账")))</f>
        <v/>
      </c>
      <c r="Q821" s="17" t="n"/>
      <c r="R821" s="17" t="n"/>
    </row>
    <row r="822">
      <c r="A822" s="24">
        <f>IF(库存台账!$A822="","",库存台账!$A822)</f>
        <v/>
      </c>
      <c r="B822" s="24">
        <f>IF($A822="","",库存台账!$B822)</f>
        <v/>
      </c>
      <c r="C822" s="24">
        <f>IF($A822="","",库存台账!$C822)</f>
        <v/>
      </c>
      <c r="D822" s="24">
        <f>IF($A822="","",库存台账!$D822)</f>
        <v/>
      </c>
      <c r="E822" s="24">
        <f>IF($A822="","",库存台账!$E822)</f>
        <v/>
      </c>
      <c r="F822" s="24">
        <f>IF($A822="","",库存台账!$F822)</f>
        <v/>
      </c>
      <c r="G822" s="17" t="n"/>
      <c r="H822" s="23" t="n"/>
      <c r="I822" s="27">
        <f>IF($A822="","",库存台账!$X822)</f>
        <v/>
      </c>
      <c r="J822" s="27">
        <f>IF(OR($A822="",$H822=""),"",ROUND($H822-$I822,3))</f>
        <v/>
      </c>
      <c r="K822" s="26">
        <f>IF($A822="","",库存台账!$K822)</f>
        <v/>
      </c>
      <c r="L822" s="26">
        <f>IF($J822="","",ROUND($J822*$K822,0))</f>
        <v/>
      </c>
      <c r="M822" s="37">
        <f>IF(OR($J822="",$I822=0),"",ROUND($J822/$I822,4))</f>
        <v/>
      </c>
      <c r="N822" s="17" t="n"/>
      <c r="O822" s="17" t="n"/>
      <c r="P822" s="24">
        <f>IF($J822="","未盘",IF(ROUND($J822,3)=0,"账实相符",IF(COUNTIFS(入库单!$G$4:$G$2503,$A822,入库单!$X$4:$X$2503,"盘盈",入库单!$C$4:$C$2503,"&gt;="&amp;账期起,入库单!$C$4:$C$2503,"&lt;="&amp;账期止)+COUNTIFS(出库单!$D$4:$D$4003,$A822,出库单!$K$4:$K$4003,"盘亏",出库单!$C$4:$C$4003,"&gt;="&amp;账期起,出库单!$C$4:$C$4003,"&lt;="&amp;账期止)&gt;0,"已调账","※差异还没调账")))</f>
        <v/>
      </c>
      <c r="Q822" s="17" t="n"/>
      <c r="R822" s="17" t="n"/>
    </row>
    <row r="823">
      <c r="A823" s="24">
        <f>IF(库存台账!$A823="","",库存台账!$A823)</f>
        <v/>
      </c>
      <c r="B823" s="24">
        <f>IF($A823="","",库存台账!$B823)</f>
        <v/>
      </c>
      <c r="C823" s="24">
        <f>IF($A823="","",库存台账!$C823)</f>
        <v/>
      </c>
      <c r="D823" s="24">
        <f>IF($A823="","",库存台账!$D823)</f>
        <v/>
      </c>
      <c r="E823" s="24">
        <f>IF($A823="","",库存台账!$E823)</f>
        <v/>
      </c>
      <c r="F823" s="24">
        <f>IF($A823="","",库存台账!$F823)</f>
        <v/>
      </c>
      <c r="G823" s="17" t="n"/>
      <c r="H823" s="23" t="n"/>
      <c r="I823" s="27">
        <f>IF($A823="","",库存台账!$X823)</f>
        <v/>
      </c>
      <c r="J823" s="27">
        <f>IF(OR($A823="",$H823=""),"",ROUND($H823-$I823,3))</f>
        <v/>
      </c>
      <c r="K823" s="26">
        <f>IF($A823="","",库存台账!$K823)</f>
        <v/>
      </c>
      <c r="L823" s="26">
        <f>IF($J823="","",ROUND($J823*$K823,0))</f>
        <v/>
      </c>
      <c r="M823" s="37">
        <f>IF(OR($J823="",$I823=0),"",ROUND($J823/$I823,4))</f>
        <v/>
      </c>
      <c r="N823" s="17" t="n"/>
      <c r="O823" s="17" t="n"/>
      <c r="P823" s="24">
        <f>IF($J823="","未盘",IF(ROUND($J823,3)=0,"账实相符",IF(COUNTIFS(入库单!$G$4:$G$2503,$A823,入库单!$X$4:$X$2503,"盘盈",入库单!$C$4:$C$2503,"&gt;="&amp;账期起,入库单!$C$4:$C$2503,"&lt;="&amp;账期止)+COUNTIFS(出库单!$D$4:$D$4003,$A823,出库单!$K$4:$K$4003,"盘亏",出库单!$C$4:$C$4003,"&gt;="&amp;账期起,出库单!$C$4:$C$4003,"&lt;="&amp;账期止)&gt;0,"已调账","※差异还没调账")))</f>
        <v/>
      </c>
      <c r="Q823" s="17" t="n"/>
      <c r="R823" s="17" t="n"/>
    </row>
    <row r="824">
      <c r="A824" s="24">
        <f>IF(库存台账!$A824="","",库存台账!$A824)</f>
        <v/>
      </c>
      <c r="B824" s="24">
        <f>IF($A824="","",库存台账!$B824)</f>
        <v/>
      </c>
      <c r="C824" s="24">
        <f>IF($A824="","",库存台账!$C824)</f>
        <v/>
      </c>
      <c r="D824" s="24">
        <f>IF($A824="","",库存台账!$D824)</f>
        <v/>
      </c>
      <c r="E824" s="24">
        <f>IF($A824="","",库存台账!$E824)</f>
        <v/>
      </c>
      <c r="F824" s="24">
        <f>IF($A824="","",库存台账!$F824)</f>
        <v/>
      </c>
      <c r="G824" s="17" t="n"/>
      <c r="H824" s="23" t="n"/>
      <c r="I824" s="27">
        <f>IF($A824="","",库存台账!$X824)</f>
        <v/>
      </c>
      <c r="J824" s="27">
        <f>IF(OR($A824="",$H824=""),"",ROUND($H824-$I824,3))</f>
        <v/>
      </c>
      <c r="K824" s="26">
        <f>IF($A824="","",库存台账!$K824)</f>
        <v/>
      </c>
      <c r="L824" s="26">
        <f>IF($J824="","",ROUND($J824*$K824,0))</f>
        <v/>
      </c>
      <c r="M824" s="37">
        <f>IF(OR($J824="",$I824=0),"",ROUND($J824/$I824,4))</f>
        <v/>
      </c>
      <c r="N824" s="17" t="n"/>
      <c r="O824" s="17" t="n"/>
      <c r="P824" s="24">
        <f>IF($J824="","未盘",IF(ROUND($J824,3)=0,"账实相符",IF(COUNTIFS(入库单!$G$4:$G$2503,$A824,入库单!$X$4:$X$2503,"盘盈",入库单!$C$4:$C$2503,"&gt;="&amp;账期起,入库单!$C$4:$C$2503,"&lt;="&amp;账期止)+COUNTIFS(出库单!$D$4:$D$4003,$A824,出库单!$K$4:$K$4003,"盘亏",出库单!$C$4:$C$4003,"&gt;="&amp;账期起,出库单!$C$4:$C$4003,"&lt;="&amp;账期止)&gt;0,"已调账","※差异还没调账")))</f>
        <v/>
      </c>
      <c r="Q824" s="17" t="n"/>
      <c r="R824" s="17" t="n"/>
    </row>
    <row r="825">
      <c r="A825" s="24">
        <f>IF(库存台账!$A825="","",库存台账!$A825)</f>
        <v/>
      </c>
      <c r="B825" s="24">
        <f>IF($A825="","",库存台账!$B825)</f>
        <v/>
      </c>
      <c r="C825" s="24">
        <f>IF($A825="","",库存台账!$C825)</f>
        <v/>
      </c>
      <c r="D825" s="24">
        <f>IF($A825="","",库存台账!$D825)</f>
        <v/>
      </c>
      <c r="E825" s="24">
        <f>IF($A825="","",库存台账!$E825)</f>
        <v/>
      </c>
      <c r="F825" s="24">
        <f>IF($A825="","",库存台账!$F825)</f>
        <v/>
      </c>
      <c r="G825" s="17" t="n"/>
      <c r="H825" s="23" t="n"/>
      <c r="I825" s="27">
        <f>IF($A825="","",库存台账!$X825)</f>
        <v/>
      </c>
      <c r="J825" s="27">
        <f>IF(OR($A825="",$H825=""),"",ROUND($H825-$I825,3))</f>
        <v/>
      </c>
      <c r="K825" s="26">
        <f>IF($A825="","",库存台账!$K825)</f>
        <v/>
      </c>
      <c r="L825" s="26">
        <f>IF($J825="","",ROUND($J825*$K825,0))</f>
        <v/>
      </c>
      <c r="M825" s="37">
        <f>IF(OR($J825="",$I825=0),"",ROUND($J825/$I825,4))</f>
        <v/>
      </c>
      <c r="N825" s="17" t="n"/>
      <c r="O825" s="17" t="n"/>
      <c r="P825" s="24">
        <f>IF($J825="","未盘",IF(ROUND($J825,3)=0,"账实相符",IF(COUNTIFS(入库单!$G$4:$G$2503,$A825,入库单!$X$4:$X$2503,"盘盈",入库单!$C$4:$C$2503,"&gt;="&amp;账期起,入库单!$C$4:$C$2503,"&lt;="&amp;账期止)+COUNTIFS(出库单!$D$4:$D$4003,$A825,出库单!$K$4:$K$4003,"盘亏",出库单!$C$4:$C$4003,"&gt;="&amp;账期起,出库单!$C$4:$C$4003,"&lt;="&amp;账期止)&gt;0,"已调账","※差异还没调账")))</f>
        <v/>
      </c>
      <c r="Q825" s="17" t="n"/>
      <c r="R825" s="17" t="n"/>
    </row>
    <row r="826">
      <c r="A826" s="24">
        <f>IF(库存台账!$A826="","",库存台账!$A826)</f>
        <v/>
      </c>
      <c r="B826" s="24">
        <f>IF($A826="","",库存台账!$B826)</f>
        <v/>
      </c>
      <c r="C826" s="24">
        <f>IF($A826="","",库存台账!$C826)</f>
        <v/>
      </c>
      <c r="D826" s="24">
        <f>IF($A826="","",库存台账!$D826)</f>
        <v/>
      </c>
      <c r="E826" s="24">
        <f>IF($A826="","",库存台账!$E826)</f>
        <v/>
      </c>
      <c r="F826" s="24">
        <f>IF($A826="","",库存台账!$F826)</f>
        <v/>
      </c>
      <c r="G826" s="17" t="n"/>
      <c r="H826" s="23" t="n"/>
      <c r="I826" s="27">
        <f>IF($A826="","",库存台账!$X826)</f>
        <v/>
      </c>
      <c r="J826" s="27">
        <f>IF(OR($A826="",$H826=""),"",ROUND($H826-$I826,3))</f>
        <v/>
      </c>
      <c r="K826" s="26">
        <f>IF($A826="","",库存台账!$K826)</f>
        <v/>
      </c>
      <c r="L826" s="26">
        <f>IF($J826="","",ROUND($J826*$K826,0))</f>
        <v/>
      </c>
      <c r="M826" s="37">
        <f>IF(OR($J826="",$I826=0),"",ROUND($J826/$I826,4))</f>
        <v/>
      </c>
      <c r="N826" s="17" t="n"/>
      <c r="O826" s="17" t="n"/>
      <c r="P826" s="24">
        <f>IF($J826="","未盘",IF(ROUND($J826,3)=0,"账实相符",IF(COUNTIFS(入库单!$G$4:$G$2503,$A826,入库单!$X$4:$X$2503,"盘盈",入库单!$C$4:$C$2503,"&gt;="&amp;账期起,入库单!$C$4:$C$2503,"&lt;="&amp;账期止)+COUNTIFS(出库单!$D$4:$D$4003,$A826,出库单!$K$4:$K$4003,"盘亏",出库单!$C$4:$C$4003,"&gt;="&amp;账期起,出库单!$C$4:$C$4003,"&lt;="&amp;账期止)&gt;0,"已调账","※差异还没调账")))</f>
        <v/>
      </c>
      <c r="Q826" s="17" t="n"/>
      <c r="R826" s="17" t="n"/>
    </row>
    <row r="827">
      <c r="A827" s="24">
        <f>IF(库存台账!$A827="","",库存台账!$A827)</f>
        <v/>
      </c>
      <c r="B827" s="24">
        <f>IF($A827="","",库存台账!$B827)</f>
        <v/>
      </c>
      <c r="C827" s="24">
        <f>IF($A827="","",库存台账!$C827)</f>
        <v/>
      </c>
      <c r="D827" s="24">
        <f>IF($A827="","",库存台账!$D827)</f>
        <v/>
      </c>
      <c r="E827" s="24">
        <f>IF($A827="","",库存台账!$E827)</f>
        <v/>
      </c>
      <c r="F827" s="24">
        <f>IF($A827="","",库存台账!$F827)</f>
        <v/>
      </c>
      <c r="G827" s="17" t="n"/>
      <c r="H827" s="23" t="n"/>
      <c r="I827" s="27">
        <f>IF($A827="","",库存台账!$X827)</f>
        <v/>
      </c>
      <c r="J827" s="27">
        <f>IF(OR($A827="",$H827=""),"",ROUND($H827-$I827,3))</f>
        <v/>
      </c>
      <c r="K827" s="26">
        <f>IF($A827="","",库存台账!$K827)</f>
        <v/>
      </c>
      <c r="L827" s="26">
        <f>IF($J827="","",ROUND($J827*$K827,0))</f>
        <v/>
      </c>
      <c r="M827" s="37">
        <f>IF(OR($J827="",$I827=0),"",ROUND($J827/$I827,4))</f>
        <v/>
      </c>
      <c r="N827" s="17" t="n"/>
      <c r="O827" s="17" t="n"/>
      <c r="P827" s="24">
        <f>IF($J827="","未盘",IF(ROUND($J827,3)=0,"账实相符",IF(COUNTIFS(入库单!$G$4:$G$2503,$A827,入库单!$X$4:$X$2503,"盘盈",入库单!$C$4:$C$2503,"&gt;="&amp;账期起,入库单!$C$4:$C$2503,"&lt;="&amp;账期止)+COUNTIFS(出库单!$D$4:$D$4003,$A827,出库单!$K$4:$K$4003,"盘亏",出库单!$C$4:$C$4003,"&gt;="&amp;账期起,出库单!$C$4:$C$4003,"&lt;="&amp;账期止)&gt;0,"已调账","※差异还没调账")))</f>
        <v/>
      </c>
      <c r="Q827" s="17" t="n"/>
      <c r="R827" s="17" t="n"/>
    </row>
    <row r="828">
      <c r="A828" s="24">
        <f>IF(库存台账!$A828="","",库存台账!$A828)</f>
        <v/>
      </c>
      <c r="B828" s="24">
        <f>IF($A828="","",库存台账!$B828)</f>
        <v/>
      </c>
      <c r="C828" s="24">
        <f>IF($A828="","",库存台账!$C828)</f>
        <v/>
      </c>
      <c r="D828" s="24">
        <f>IF($A828="","",库存台账!$D828)</f>
        <v/>
      </c>
      <c r="E828" s="24">
        <f>IF($A828="","",库存台账!$E828)</f>
        <v/>
      </c>
      <c r="F828" s="24">
        <f>IF($A828="","",库存台账!$F828)</f>
        <v/>
      </c>
      <c r="G828" s="17" t="n"/>
      <c r="H828" s="23" t="n"/>
      <c r="I828" s="27">
        <f>IF($A828="","",库存台账!$X828)</f>
        <v/>
      </c>
      <c r="J828" s="27">
        <f>IF(OR($A828="",$H828=""),"",ROUND($H828-$I828,3))</f>
        <v/>
      </c>
      <c r="K828" s="26">
        <f>IF($A828="","",库存台账!$K828)</f>
        <v/>
      </c>
      <c r="L828" s="26">
        <f>IF($J828="","",ROUND($J828*$K828,0))</f>
        <v/>
      </c>
      <c r="M828" s="37">
        <f>IF(OR($J828="",$I828=0),"",ROUND($J828/$I828,4))</f>
        <v/>
      </c>
      <c r="N828" s="17" t="n"/>
      <c r="O828" s="17" t="n"/>
      <c r="P828" s="24">
        <f>IF($J828="","未盘",IF(ROUND($J828,3)=0,"账实相符",IF(COUNTIFS(入库单!$G$4:$G$2503,$A828,入库单!$X$4:$X$2503,"盘盈",入库单!$C$4:$C$2503,"&gt;="&amp;账期起,入库单!$C$4:$C$2503,"&lt;="&amp;账期止)+COUNTIFS(出库单!$D$4:$D$4003,$A828,出库单!$K$4:$K$4003,"盘亏",出库单!$C$4:$C$4003,"&gt;="&amp;账期起,出库单!$C$4:$C$4003,"&lt;="&amp;账期止)&gt;0,"已调账","※差异还没调账")))</f>
        <v/>
      </c>
      <c r="Q828" s="17" t="n"/>
      <c r="R828" s="17" t="n"/>
    </row>
    <row r="829">
      <c r="A829" s="24">
        <f>IF(库存台账!$A829="","",库存台账!$A829)</f>
        <v/>
      </c>
      <c r="B829" s="24">
        <f>IF($A829="","",库存台账!$B829)</f>
        <v/>
      </c>
      <c r="C829" s="24">
        <f>IF($A829="","",库存台账!$C829)</f>
        <v/>
      </c>
      <c r="D829" s="24">
        <f>IF($A829="","",库存台账!$D829)</f>
        <v/>
      </c>
      <c r="E829" s="24">
        <f>IF($A829="","",库存台账!$E829)</f>
        <v/>
      </c>
      <c r="F829" s="24">
        <f>IF($A829="","",库存台账!$F829)</f>
        <v/>
      </c>
      <c r="G829" s="17" t="n"/>
      <c r="H829" s="23" t="n"/>
      <c r="I829" s="27">
        <f>IF($A829="","",库存台账!$X829)</f>
        <v/>
      </c>
      <c r="J829" s="27">
        <f>IF(OR($A829="",$H829=""),"",ROUND($H829-$I829,3))</f>
        <v/>
      </c>
      <c r="K829" s="26">
        <f>IF($A829="","",库存台账!$K829)</f>
        <v/>
      </c>
      <c r="L829" s="26">
        <f>IF($J829="","",ROUND($J829*$K829,0))</f>
        <v/>
      </c>
      <c r="M829" s="37">
        <f>IF(OR($J829="",$I829=0),"",ROUND($J829/$I829,4))</f>
        <v/>
      </c>
      <c r="N829" s="17" t="n"/>
      <c r="O829" s="17" t="n"/>
      <c r="P829" s="24">
        <f>IF($J829="","未盘",IF(ROUND($J829,3)=0,"账实相符",IF(COUNTIFS(入库单!$G$4:$G$2503,$A829,入库单!$X$4:$X$2503,"盘盈",入库单!$C$4:$C$2503,"&gt;="&amp;账期起,入库单!$C$4:$C$2503,"&lt;="&amp;账期止)+COUNTIFS(出库单!$D$4:$D$4003,$A829,出库单!$K$4:$K$4003,"盘亏",出库单!$C$4:$C$4003,"&gt;="&amp;账期起,出库单!$C$4:$C$4003,"&lt;="&amp;账期止)&gt;0,"已调账","※差异还没调账")))</f>
        <v/>
      </c>
      <c r="Q829" s="17" t="n"/>
      <c r="R829" s="17" t="n"/>
    </row>
    <row r="830">
      <c r="A830" s="24">
        <f>IF(库存台账!$A830="","",库存台账!$A830)</f>
        <v/>
      </c>
      <c r="B830" s="24">
        <f>IF($A830="","",库存台账!$B830)</f>
        <v/>
      </c>
      <c r="C830" s="24">
        <f>IF($A830="","",库存台账!$C830)</f>
        <v/>
      </c>
      <c r="D830" s="24">
        <f>IF($A830="","",库存台账!$D830)</f>
        <v/>
      </c>
      <c r="E830" s="24">
        <f>IF($A830="","",库存台账!$E830)</f>
        <v/>
      </c>
      <c r="F830" s="24">
        <f>IF($A830="","",库存台账!$F830)</f>
        <v/>
      </c>
      <c r="G830" s="17" t="n"/>
      <c r="H830" s="23" t="n"/>
      <c r="I830" s="27">
        <f>IF($A830="","",库存台账!$X830)</f>
        <v/>
      </c>
      <c r="J830" s="27">
        <f>IF(OR($A830="",$H830=""),"",ROUND($H830-$I830,3))</f>
        <v/>
      </c>
      <c r="K830" s="26">
        <f>IF($A830="","",库存台账!$K830)</f>
        <v/>
      </c>
      <c r="L830" s="26">
        <f>IF($J830="","",ROUND($J830*$K830,0))</f>
        <v/>
      </c>
      <c r="M830" s="37">
        <f>IF(OR($J830="",$I830=0),"",ROUND($J830/$I830,4))</f>
        <v/>
      </c>
      <c r="N830" s="17" t="n"/>
      <c r="O830" s="17" t="n"/>
      <c r="P830" s="24">
        <f>IF($J830="","未盘",IF(ROUND($J830,3)=0,"账实相符",IF(COUNTIFS(入库单!$G$4:$G$2503,$A830,入库单!$X$4:$X$2503,"盘盈",入库单!$C$4:$C$2503,"&gt;="&amp;账期起,入库单!$C$4:$C$2503,"&lt;="&amp;账期止)+COUNTIFS(出库单!$D$4:$D$4003,$A830,出库单!$K$4:$K$4003,"盘亏",出库单!$C$4:$C$4003,"&gt;="&amp;账期起,出库单!$C$4:$C$4003,"&lt;="&amp;账期止)&gt;0,"已调账","※差异还没调账")))</f>
        <v/>
      </c>
      <c r="Q830" s="17" t="n"/>
      <c r="R830" s="17" t="n"/>
    </row>
    <row r="831">
      <c r="A831" s="24">
        <f>IF(库存台账!$A831="","",库存台账!$A831)</f>
        <v/>
      </c>
      <c r="B831" s="24">
        <f>IF($A831="","",库存台账!$B831)</f>
        <v/>
      </c>
      <c r="C831" s="24">
        <f>IF($A831="","",库存台账!$C831)</f>
        <v/>
      </c>
      <c r="D831" s="24">
        <f>IF($A831="","",库存台账!$D831)</f>
        <v/>
      </c>
      <c r="E831" s="24">
        <f>IF($A831="","",库存台账!$E831)</f>
        <v/>
      </c>
      <c r="F831" s="24">
        <f>IF($A831="","",库存台账!$F831)</f>
        <v/>
      </c>
      <c r="G831" s="17" t="n"/>
      <c r="H831" s="23" t="n"/>
      <c r="I831" s="27">
        <f>IF($A831="","",库存台账!$X831)</f>
        <v/>
      </c>
      <c r="J831" s="27">
        <f>IF(OR($A831="",$H831=""),"",ROUND($H831-$I831,3))</f>
        <v/>
      </c>
      <c r="K831" s="26">
        <f>IF($A831="","",库存台账!$K831)</f>
        <v/>
      </c>
      <c r="L831" s="26">
        <f>IF($J831="","",ROUND($J831*$K831,0))</f>
        <v/>
      </c>
      <c r="M831" s="37">
        <f>IF(OR($J831="",$I831=0),"",ROUND($J831/$I831,4))</f>
        <v/>
      </c>
      <c r="N831" s="17" t="n"/>
      <c r="O831" s="17" t="n"/>
      <c r="P831" s="24">
        <f>IF($J831="","未盘",IF(ROUND($J831,3)=0,"账实相符",IF(COUNTIFS(入库单!$G$4:$G$2503,$A831,入库单!$X$4:$X$2503,"盘盈",入库单!$C$4:$C$2503,"&gt;="&amp;账期起,入库单!$C$4:$C$2503,"&lt;="&amp;账期止)+COUNTIFS(出库单!$D$4:$D$4003,$A831,出库单!$K$4:$K$4003,"盘亏",出库单!$C$4:$C$4003,"&gt;="&amp;账期起,出库单!$C$4:$C$4003,"&lt;="&amp;账期止)&gt;0,"已调账","※差异还没调账")))</f>
        <v/>
      </c>
      <c r="Q831" s="17" t="n"/>
      <c r="R831" s="17" t="n"/>
    </row>
    <row r="832">
      <c r="A832" s="24">
        <f>IF(库存台账!$A832="","",库存台账!$A832)</f>
        <v/>
      </c>
      <c r="B832" s="24">
        <f>IF($A832="","",库存台账!$B832)</f>
        <v/>
      </c>
      <c r="C832" s="24">
        <f>IF($A832="","",库存台账!$C832)</f>
        <v/>
      </c>
      <c r="D832" s="24">
        <f>IF($A832="","",库存台账!$D832)</f>
        <v/>
      </c>
      <c r="E832" s="24">
        <f>IF($A832="","",库存台账!$E832)</f>
        <v/>
      </c>
      <c r="F832" s="24">
        <f>IF($A832="","",库存台账!$F832)</f>
        <v/>
      </c>
      <c r="G832" s="17" t="n"/>
      <c r="H832" s="23" t="n"/>
      <c r="I832" s="27">
        <f>IF($A832="","",库存台账!$X832)</f>
        <v/>
      </c>
      <c r="J832" s="27">
        <f>IF(OR($A832="",$H832=""),"",ROUND($H832-$I832,3))</f>
        <v/>
      </c>
      <c r="K832" s="26">
        <f>IF($A832="","",库存台账!$K832)</f>
        <v/>
      </c>
      <c r="L832" s="26">
        <f>IF($J832="","",ROUND($J832*$K832,0))</f>
        <v/>
      </c>
      <c r="M832" s="37">
        <f>IF(OR($J832="",$I832=0),"",ROUND($J832/$I832,4))</f>
        <v/>
      </c>
      <c r="N832" s="17" t="n"/>
      <c r="O832" s="17" t="n"/>
      <c r="P832" s="24">
        <f>IF($J832="","未盘",IF(ROUND($J832,3)=0,"账实相符",IF(COUNTIFS(入库单!$G$4:$G$2503,$A832,入库单!$X$4:$X$2503,"盘盈",入库单!$C$4:$C$2503,"&gt;="&amp;账期起,入库单!$C$4:$C$2503,"&lt;="&amp;账期止)+COUNTIFS(出库单!$D$4:$D$4003,$A832,出库单!$K$4:$K$4003,"盘亏",出库单!$C$4:$C$4003,"&gt;="&amp;账期起,出库单!$C$4:$C$4003,"&lt;="&amp;账期止)&gt;0,"已调账","※差异还没调账")))</f>
        <v/>
      </c>
      <c r="Q832" s="17" t="n"/>
      <c r="R832" s="17" t="n"/>
    </row>
    <row r="833">
      <c r="A833" s="24">
        <f>IF(库存台账!$A833="","",库存台账!$A833)</f>
        <v/>
      </c>
      <c r="B833" s="24">
        <f>IF($A833="","",库存台账!$B833)</f>
        <v/>
      </c>
      <c r="C833" s="24">
        <f>IF($A833="","",库存台账!$C833)</f>
        <v/>
      </c>
      <c r="D833" s="24">
        <f>IF($A833="","",库存台账!$D833)</f>
        <v/>
      </c>
      <c r="E833" s="24">
        <f>IF($A833="","",库存台账!$E833)</f>
        <v/>
      </c>
      <c r="F833" s="24">
        <f>IF($A833="","",库存台账!$F833)</f>
        <v/>
      </c>
      <c r="G833" s="17" t="n"/>
      <c r="H833" s="23" t="n"/>
      <c r="I833" s="27">
        <f>IF($A833="","",库存台账!$X833)</f>
        <v/>
      </c>
      <c r="J833" s="27">
        <f>IF(OR($A833="",$H833=""),"",ROUND($H833-$I833,3))</f>
        <v/>
      </c>
      <c r="K833" s="26">
        <f>IF($A833="","",库存台账!$K833)</f>
        <v/>
      </c>
      <c r="L833" s="26">
        <f>IF($J833="","",ROUND($J833*$K833,0))</f>
        <v/>
      </c>
      <c r="M833" s="37">
        <f>IF(OR($J833="",$I833=0),"",ROUND($J833/$I833,4))</f>
        <v/>
      </c>
      <c r="N833" s="17" t="n"/>
      <c r="O833" s="17" t="n"/>
      <c r="P833" s="24">
        <f>IF($J833="","未盘",IF(ROUND($J833,3)=0,"账实相符",IF(COUNTIFS(入库单!$G$4:$G$2503,$A833,入库单!$X$4:$X$2503,"盘盈",入库单!$C$4:$C$2503,"&gt;="&amp;账期起,入库单!$C$4:$C$2503,"&lt;="&amp;账期止)+COUNTIFS(出库单!$D$4:$D$4003,$A833,出库单!$K$4:$K$4003,"盘亏",出库单!$C$4:$C$4003,"&gt;="&amp;账期起,出库单!$C$4:$C$4003,"&lt;="&amp;账期止)&gt;0,"已调账","※差异还没调账")))</f>
        <v/>
      </c>
      <c r="Q833" s="17" t="n"/>
      <c r="R833" s="17" t="n"/>
    </row>
    <row r="834">
      <c r="A834" s="24">
        <f>IF(库存台账!$A834="","",库存台账!$A834)</f>
        <v/>
      </c>
      <c r="B834" s="24">
        <f>IF($A834="","",库存台账!$B834)</f>
        <v/>
      </c>
      <c r="C834" s="24">
        <f>IF($A834="","",库存台账!$C834)</f>
        <v/>
      </c>
      <c r="D834" s="24">
        <f>IF($A834="","",库存台账!$D834)</f>
        <v/>
      </c>
      <c r="E834" s="24">
        <f>IF($A834="","",库存台账!$E834)</f>
        <v/>
      </c>
      <c r="F834" s="24">
        <f>IF($A834="","",库存台账!$F834)</f>
        <v/>
      </c>
      <c r="G834" s="17" t="n"/>
      <c r="H834" s="23" t="n"/>
      <c r="I834" s="27">
        <f>IF($A834="","",库存台账!$X834)</f>
        <v/>
      </c>
      <c r="J834" s="27">
        <f>IF(OR($A834="",$H834=""),"",ROUND($H834-$I834,3))</f>
        <v/>
      </c>
      <c r="K834" s="26">
        <f>IF($A834="","",库存台账!$K834)</f>
        <v/>
      </c>
      <c r="L834" s="26">
        <f>IF($J834="","",ROUND($J834*$K834,0))</f>
        <v/>
      </c>
      <c r="M834" s="37">
        <f>IF(OR($J834="",$I834=0),"",ROUND($J834/$I834,4))</f>
        <v/>
      </c>
      <c r="N834" s="17" t="n"/>
      <c r="O834" s="17" t="n"/>
      <c r="P834" s="24">
        <f>IF($J834="","未盘",IF(ROUND($J834,3)=0,"账实相符",IF(COUNTIFS(入库单!$G$4:$G$2503,$A834,入库单!$X$4:$X$2503,"盘盈",入库单!$C$4:$C$2503,"&gt;="&amp;账期起,入库单!$C$4:$C$2503,"&lt;="&amp;账期止)+COUNTIFS(出库单!$D$4:$D$4003,$A834,出库单!$K$4:$K$4003,"盘亏",出库单!$C$4:$C$4003,"&gt;="&amp;账期起,出库单!$C$4:$C$4003,"&lt;="&amp;账期止)&gt;0,"已调账","※差异还没调账")))</f>
        <v/>
      </c>
      <c r="Q834" s="17" t="n"/>
      <c r="R834" s="17" t="n"/>
    </row>
    <row r="835">
      <c r="A835" s="24">
        <f>IF(库存台账!$A835="","",库存台账!$A835)</f>
        <v/>
      </c>
      <c r="B835" s="24">
        <f>IF($A835="","",库存台账!$B835)</f>
        <v/>
      </c>
      <c r="C835" s="24">
        <f>IF($A835="","",库存台账!$C835)</f>
        <v/>
      </c>
      <c r="D835" s="24">
        <f>IF($A835="","",库存台账!$D835)</f>
        <v/>
      </c>
      <c r="E835" s="24">
        <f>IF($A835="","",库存台账!$E835)</f>
        <v/>
      </c>
      <c r="F835" s="24">
        <f>IF($A835="","",库存台账!$F835)</f>
        <v/>
      </c>
      <c r="G835" s="17" t="n"/>
      <c r="H835" s="23" t="n"/>
      <c r="I835" s="27">
        <f>IF($A835="","",库存台账!$X835)</f>
        <v/>
      </c>
      <c r="J835" s="27">
        <f>IF(OR($A835="",$H835=""),"",ROUND($H835-$I835,3))</f>
        <v/>
      </c>
      <c r="K835" s="26">
        <f>IF($A835="","",库存台账!$K835)</f>
        <v/>
      </c>
      <c r="L835" s="26">
        <f>IF($J835="","",ROUND($J835*$K835,0))</f>
        <v/>
      </c>
      <c r="M835" s="37">
        <f>IF(OR($J835="",$I835=0),"",ROUND($J835/$I835,4))</f>
        <v/>
      </c>
      <c r="N835" s="17" t="n"/>
      <c r="O835" s="17" t="n"/>
      <c r="P835" s="24">
        <f>IF($J835="","未盘",IF(ROUND($J835,3)=0,"账实相符",IF(COUNTIFS(入库单!$G$4:$G$2503,$A835,入库单!$X$4:$X$2503,"盘盈",入库单!$C$4:$C$2503,"&gt;="&amp;账期起,入库单!$C$4:$C$2503,"&lt;="&amp;账期止)+COUNTIFS(出库单!$D$4:$D$4003,$A835,出库单!$K$4:$K$4003,"盘亏",出库单!$C$4:$C$4003,"&gt;="&amp;账期起,出库单!$C$4:$C$4003,"&lt;="&amp;账期止)&gt;0,"已调账","※差异还没调账")))</f>
        <v/>
      </c>
      <c r="Q835" s="17" t="n"/>
      <c r="R835" s="17" t="n"/>
    </row>
    <row r="836">
      <c r="A836" s="24">
        <f>IF(库存台账!$A836="","",库存台账!$A836)</f>
        <v/>
      </c>
      <c r="B836" s="24">
        <f>IF($A836="","",库存台账!$B836)</f>
        <v/>
      </c>
      <c r="C836" s="24">
        <f>IF($A836="","",库存台账!$C836)</f>
        <v/>
      </c>
      <c r="D836" s="24">
        <f>IF($A836="","",库存台账!$D836)</f>
        <v/>
      </c>
      <c r="E836" s="24">
        <f>IF($A836="","",库存台账!$E836)</f>
        <v/>
      </c>
      <c r="F836" s="24">
        <f>IF($A836="","",库存台账!$F836)</f>
        <v/>
      </c>
      <c r="G836" s="17" t="n"/>
      <c r="H836" s="23" t="n"/>
      <c r="I836" s="27">
        <f>IF($A836="","",库存台账!$X836)</f>
        <v/>
      </c>
      <c r="J836" s="27">
        <f>IF(OR($A836="",$H836=""),"",ROUND($H836-$I836,3))</f>
        <v/>
      </c>
      <c r="K836" s="26">
        <f>IF($A836="","",库存台账!$K836)</f>
        <v/>
      </c>
      <c r="L836" s="26">
        <f>IF($J836="","",ROUND($J836*$K836,0))</f>
        <v/>
      </c>
      <c r="M836" s="37">
        <f>IF(OR($J836="",$I836=0),"",ROUND($J836/$I836,4))</f>
        <v/>
      </c>
      <c r="N836" s="17" t="n"/>
      <c r="O836" s="17" t="n"/>
      <c r="P836" s="24">
        <f>IF($J836="","未盘",IF(ROUND($J836,3)=0,"账实相符",IF(COUNTIFS(入库单!$G$4:$G$2503,$A836,入库单!$X$4:$X$2503,"盘盈",入库单!$C$4:$C$2503,"&gt;="&amp;账期起,入库单!$C$4:$C$2503,"&lt;="&amp;账期止)+COUNTIFS(出库单!$D$4:$D$4003,$A836,出库单!$K$4:$K$4003,"盘亏",出库单!$C$4:$C$4003,"&gt;="&amp;账期起,出库单!$C$4:$C$4003,"&lt;="&amp;账期止)&gt;0,"已调账","※差异还没调账")))</f>
        <v/>
      </c>
      <c r="Q836" s="17" t="n"/>
      <c r="R836" s="17" t="n"/>
    </row>
    <row r="837">
      <c r="A837" s="24">
        <f>IF(库存台账!$A837="","",库存台账!$A837)</f>
        <v/>
      </c>
      <c r="B837" s="24">
        <f>IF($A837="","",库存台账!$B837)</f>
        <v/>
      </c>
      <c r="C837" s="24">
        <f>IF($A837="","",库存台账!$C837)</f>
        <v/>
      </c>
      <c r="D837" s="24">
        <f>IF($A837="","",库存台账!$D837)</f>
        <v/>
      </c>
      <c r="E837" s="24">
        <f>IF($A837="","",库存台账!$E837)</f>
        <v/>
      </c>
      <c r="F837" s="24">
        <f>IF($A837="","",库存台账!$F837)</f>
        <v/>
      </c>
      <c r="G837" s="17" t="n"/>
      <c r="H837" s="23" t="n"/>
      <c r="I837" s="27">
        <f>IF($A837="","",库存台账!$X837)</f>
        <v/>
      </c>
      <c r="J837" s="27">
        <f>IF(OR($A837="",$H837=""),"",ROUND($H837-$I837,3))</f>
        <v/>
      </c>
      <c r="K837" s="26">
        <f>IF($A837="","",库存台账!$K837)</f>
        <v/>
      </c>
      <c r="L837" s="26">
        <f>IF($J837="","",ROUND($J837*$K837,0))</f>
        <v/>
      </c>
      <c r="M837" s="37">
        <f>IF(OR($J837="",$I837=0),"",ROUND($J837/$I837,4))</f>
        <v/>
      </c>
      <c r="N837" s="17" t="n"/>
      <c r="O837" s="17" t="n"/>
      <c r="P837" s="24">
        <f>IF($J837="","未盘",IF(ROUND($J837,3)=0,"账实相符",IF(COUNTIFS(入库单!$G$4:$G$2503,$A837,入库单!$X$4:$X$2503,"盘盈",入库单!$C$4:$C$2503,"&gt;="&amp;账期起,入库单!$C$4:$C$2503,"&lt;="&amp;账期止)+COUNTIFS(出库单!$D$4:$D$4003,$A837,出库单!$K$4:$K$4003,"盘亏",出库单!$C$4:$C$4003,"&gt;="&amp;账期起,出库单!$C$4:$C$4003,"&lt;="&amp;账期止)&gt;0,"已调账","※差异还没调账")))</f>
        <v/>
      </c>
      <c r="Q837" s="17" t="n"/>
      <c r="R837" s="17" t="n"/>
    </row>
    <row r="838">
      <c r="A838" s="24">
        <f>IF(库存台账!$A838="","",库存台账!$A838)</f>
        <v/>
      </c>
      <c r="B838" s="24">
        <f>IF($A838="","",库存台账!$B838)</f>
        <v/>
      </c>
      <c r="C838" s="24">
        <f>IF($A838="","",库存台账!$C838)</f>
        <v/>
      </c>
      <c r="D838" s="24">
        <f>IF($A838="","",库存台账!$D838)</f>
        <v/>
      </c>
      <c r="E838" s="24">
        <f>IF($A838="","",库存台账!$E838)</f>
        <v/>
      </c>
      <c r="F838" s="24">
        <f>IF($A838="","",库存台账!$F838)</f>
        <v/>
      </c>
      <c r="G838" s="17" t="n"/>
      <c r="H838" s="23" t="n"/>
      <c r="I838" s="27">
        <f>IF($A838="","",库存台账!$X838)</f>
        <v/>
      </c>
      <c r="J838" s="27">
        <f>IF(OR($A838="",$H838=""),"",ROUND($H838-$I838,3))</f>
        <v/>
      </c>
      <c r="K838" s="26">
        <f>IF($A838="","",库存台账!$K838)</f>
        <v/>
      </c>
      <c r="L838" s="26">
        <f>IF($J838="","",ROUND($J838*$K838,0))</f>
        <v/>
      </c>
      <c r="M838" s="37">
        <f>IF(OR($J838="",$I838=0),"",ROUND($J838/$I838,4))</f>
        <v/>
      </c>
      <c r="N838" s="17" t="n"/>
      <c r="O838" s="17" t="n"/>
      <c r="P838" s="24">
        <f>IF($J838="","未盘",IF(ROUND($J838,3)=0,"账实相符",IF(COUNTIFS(入库单!$G$4:$G$2503,$A838,入库单!$X$4:$X$2503,"盘盈",入库单!$C$4:$C$2503,"&gt;="&amp;账期起,入库单!$C$4:$C$2503,"&lt;="&amp;账期止)+COUNTIFS(出库单!$D$4:$D$4003,$A838,出库单!$K$4:$K$4003,"盘亏",出库单!$C$4:$C$4003,"&gt;="&amp;账期起,出库单!$C$4:$C$4003,"&lt;="&amp;账期止)&gt;0,"已调账","※差异还没调账")))</f>
        <v/>
      </c>
      <c r="Q838" s="17" t="n"/>
      <c r="R838" s="17" t="n"/>
    </row>
    <row r="839">
      <c r="A839" s="24">
        <f>IF(库存台账!$A839="","",库存台账!$A839)</f>
        <v/>
      </c>
      <c r="B839" s="24">
        <f>IF($A839="","",库存台账!$B839)</f>
        <v/>
      </c>
      <c r="C839" s="24">
        <f>IF($A839="","",库存台账!$C839)</f>
        <v/>
      </c>
      <c r="D839" s="24">
        <f>IF($A839="","",库存台账!$D839)</f>
        <v/>
      </c>
      <c r="E839" s="24">
        <f>IF($A839="","",库存台账!$E839)</f>
        <v/>
      </c>
      <c r="F839" s="24">
        <f>IF($A839="","",库存台账!$F839)</f>
        <v/>
      </c>
      <c r="G839" s="17" t="n"/>
      <c r="H839" s="23" t="n"/>
      <c r="I839" s="27">
        <f>IF($A839="","",库存台账!$X839)</f>
        <v/>
      </c>
      <c r="J839" s="27">
        <f>IF(OR($A839="",$H839=""),"",ROUND($H839-$I839,3))</f>
        <v/>
      </c>
      <c r="K839" s="26">
        <f>IF($A839="","",库存台账!$K839)</f>
        <v/>
      </c>
      <c r="L839" s="26">
        <f>IF($J839="","",ROUND($J839*$K839,0))</f>
        <v/>
      </c>
      <c r="M839" s="37">
        <f>IF(OR($J839="",$I839=0),"",ROUND($J839/$I839,4))</f>
        <v/>
      </c>
      <c r="N839" s="17" t="n"/>
      <c r="O839" s="17" t="n"/>
      <c r="P839" s="24">
        <f>IF($J839="","未盘",IF(ROUND($J839,3)=0,"账实相符",IF(COUNTIFS(入库单!$G$4:$G$2503,$A839,入库单!$X$4:$X$2503,"盘盈",入库单!$C$4:$C$2503,"&gt;="&amp;账期起,入库单!$C$4:$C$2503,"&lt;="&amp;账期止)+COUNTIFS(出库单!$D$4:$D$4003,$A839,出库单!$K$4:$K$4003,"盘亏",出库单!$C$4:$C$4003,"&gt;="&amp;账期起,出库单!$C$4:$C$4003,"&lt;="&amp;账期止)&gt;0,"已调账","※差异还没调账")))</f>
        <v/>
      </c>
      <c r="Q839" s="17" t="n"/>
      <c r="R839" s="17" t="n"/>
    </row>
    <row r="840">
      <c r="A840" s="24">
        <f>IF(库存台账!$A840="","",库存台账!$A840)</f>
        <v/>
      </c>
      <c r="B840" s="24">
        <f>IF($A840="","",库存台账!$B840)</f>
        <v/>
      </c>
      <c r="C840" s="24">
        <f>IF($A840="","",库存台账!$C840)</f>
        <v/>
      </c>
      <c r="D840" s="24">
        <f>IF($A840="","",库存台账!$D840)</f>
        <v/>
      </c>
      <c r="E840" s="24">
        <f>IF($A840="","",库存台账!$E840)</f>
        <v/>
      </c>
      <c r="F840" s="24">
        <f>IF($A840="","",库存台账!$F840)</f>
        <v/>
      </c>
      <c r="G840" s="17" t="n"/>
      <c r="H840" s="23" t="n"/>
      <c r="I840" s="27">
        <f>IF($A840="","",库存台账!$X840)</f>
        <v/>
      </c>
      <c r="J840" s="27">
        <f>IF(OR($A840="",$H840=""),"",ROUND($H840-$I840,3))</f>
        <v/>
      </c>
      <c r="K840" s="26">
        <f>IF($A840="","",库存台账!$K840)</f>
        <v/>
      </c>
      <c r="L840" s="26">
        <f>IF($J840="","",ROUND($J840*$K840,0))</f>
        <v/>
      </c>
      <c r="M840" s="37">
        <f>IF(OR($J840="",$I840=0),"",ROUND($J840/$I840,4))</f>
        <v/>
      </c>
      <c r="N840" s="17" t="n"/>
      <c r="O840" s="17" t="n"/>
      <c r="P840" s="24">
        <f>IF($J840="","未盘",IF(ROUND($J840,3)=0,"账实相符",IF(COUNTIFS(入库单!$G$4:$G$2503,$A840,入库单!$X$4:$X$2503,"盘盈",入库单!$C$4:$C$2503,"&gt;="&amp;账期起,入库单!$C$4:$C$2503,"&lt;="&amp;账期止)+COUNTIFS(出库单!$D$4:$D$4003,$A840,出库单!$K$4:$K$4003,"盘亏",出库单!$C$4:$C$4003,"&gt;="&amp;账期起,出库单!$C$4:$C$4003,"&lt;="&amp;账期止)&gt;0,"已调账","※差异还没调账")))</f>
        <v/>
      </c>
      <c r="Q840" s="17" t="n"/>
      <c r="R840" s="17" t="n"/>
    </row>
    <row r="841">
      <c r="A841" s="24">
        <f>IF(库存台账!$A841="","",库存台账!$A841)</f>
        <v/>
      </c>
      <c r="B841" s="24">
        <f>IF($A841="","",库存台账!$B841)</f>
        <v/>
      </c>
      <c r="C841" s="24">
        <f>IF($A841="","",库存台账!$C841)</f>
        <v/>
      </c>
      <c r="D841" s="24">
        <f>IF($A841="","",库存台账!$D841)</f>
        <v/>
      </c>
      <c r="E841" s="24">
        <f>IF($A841="","",库存台账!$E841)</f>
        <v/>
      </c>
      <c r="F841" s="24">
        <f>IF($A841="","",库存台账!$F841)</f>
        <v/>
      </c>
      <c r="G841" s="17" t="n"/>
      <c r="H841" s="23" t="n"/>
      <c r="I841" s="27">
        <f>IF($A841="","",库存台账!$X841)</f>
        <v/>
      </c>
      <c r="J841" s="27">
        <f>IF(OR($A841="",$H841=""),"",ROUND($H841-$I841,3))</f>
        <v/>
      </c>
      <c r="K841" s="26">
        <f>IF($A841="","",库存台账!$K841)</f>
        <v/>
      </c>
      <c r="L841" s="26">
        <f>IF($J841="","",ROUND($J841*$K841,0))</f>
        <v/>
      </c>
      <c r="M841" s="37">
        <f>IF(OR($J841="",$I841=0),"",ROUND($J841/$I841,4))</f>
        <v/>
      </c>
      <c r="N841" s="17" t="n"/>
      <c r="O841" s="17" t="n"/>
      <c r="P841" s="24">
        <f>IF($J841="","未盘",IF(ROUND($J841,3)=0,"账实相符",IF(COUNTIFS(入库单!$G$4:$G$2503,$A841,入库单!$X$4:$X$2503,"盘盈",入库单!$C$4:$C$2503,"&gt;="&amp;账期起,入库单!$C$4:$C$2503,"&lt;="&amp;账期止)+COUNTIFS(出库单!$D$4:$D$4003,$A841,出库单!$K$4:$K$4003,"盘亏",出库单!$C$4:$C$4003,"&gt;="&amp;账期起,出库单!$C$4:$C$4003,"&lt;="&amp;账期止)&gt;0,"已调账","※差异还没调账")))</f>
        <v/>
      </c>
      <c r="Q841" s="17" t="n"/>
      <c r="R841" s="17" t="n"/>
    </row>
    <row r="842">
      <c r="A842" s="24">
        <f>IF(库存台账!$A842="","",库存台账!$A842)</f>
        <v/>
      </c>
      <c r="B842" s="24">
        <f>IF($A842="","",库存台账!$B842)</f>
        <v/>
      </c>
      <c r="C842" s="24">
        <f>IF($A842="","",库存台账!$C842)</f>
        <v/>
      </c>
      <c r="D842" s="24">
        <f>IF($A842="","",库存台账!$D842)</f>
        <v/>
      </c>
      <c r="E842" s="24">
        <f>IF($A842="","",库存台账!$E842)</f>
        <v/>
      </c>
      <c r="F842" s="24">
        <f>IF($A842="","",库存台账!$F842)</f>
        <v/>
      </c>
      <c r="G842" s="17" t="n"/>
      <c r="H842" s="23" t="n"/>
      <c r="I842" s="27">
        <f>IF($A842="","",库存台账!$X842)</f>
        <v/>
      </c>
      <c r="J842" s="27">
        <f>IF(OR($A842="",$H842=""),"",ROUND($H842-$I842,3))</f>
        <v/>
      </c>
      <c r="K842" s="26">
        <f>IF($A842="","",库存台账!$K842)</f>
        <v/>
      </c>
      <c r="L842" s="26">
        <f>IF($J842="","",ROUND($J842*$K842,0))</f>
        <v/>
      </c>
      <c r="M842" s="37">
        <f>IF(OR($J842="",$I842=0),"",ROUND($J842/$I842,4))</f>
        <v/>
      </c>
      <c r="N842" s="17" t="n"/>
      <c r="O842" s="17" t="n"/>
      <c r="P842" s="24">
        <f>IF($J842="","未盘",IF(ROUND($J842,3)=0,"账实相符",IF(COUNTIFS(入库单!$G$4:$G$2503,$A842,入库单!$X$4:$X$2503,"盘盈",入库单!$C$4:$C$2503,"&gt;="&amp;账期起,入库单!$C$4:$C$2503,"&lt;="&amp;账期止)+COUNTIFS(出库单!$D$4:$D$4003,$A842,出库单!$K$4:$K$4003,"盘亏",出库单!$C$4:$C$4003,"&gt;="&amp;账期起,出库单!$C$4:$C$4003,"&lt;="&amp;账期止)&gt;0,"已调账","※差异还没调账")))</f>
        <v/>
      </c>
      <c r="Q842" s="17" t="n"/>
      <c r="R842" s="17" t="n"/>
    </row>
    <row r="843">
      <c r="A843" s="24">
        <f>IF(库存台账!$A843="","",库存台账!$A843)</f>
        <v/>
      </c>
      <c r="B843" s="24">
        <f>IF($A843="","",库存台账!$B843)</f>
        <v/>
      </c>
      <c r="C843" s="24">
        <f>IF($A843="","",库存台账!$C843)</f>
        <v/>
      </c>
      <c r="D843" s="24">
        <f>IF($A843="","",库存台账!$D843)</f>
        <v/>
      </c>
      <c r="E843" s="24">
        <f>IF($A843="","",库存台账!$E843)</f>
        <v/>
      </c>
      <c r="F843" s="24">
        <f>IF($A843="","",库存台账!$F843)</f>
        <v/>
      </c>
      <c r="G843" s="17" t="n"/>
      <c r="H843" s="23" t="n"/>
      <c r="I843" s="27">
        <f>IF($A843="","",库存台账!$X843)</f>
        <v/>
      </c>
      <c r="J843" s="27">
        <f>IF(OR($A843="",$H843=""),"",ROUND($H843-$I843,3))</f>
        <v/>
      </c>
      <c r="K843" s="26">
        <f>IF($A843="","",库存台账!$K843)</f>
        <v/>
      </c>
      <c r="L843" s="26">
        <f>IF($J843="","",ROUND($J843*$K843,0))</f>
        <v/>
      </c>
      <c r="M843" s="37">
        <f>IF(OR($J843="",$I843=0),"",ROUND($J843/$I843,4))</f>
        <v/>
      </c>
      <c r="N843" s="17" t="n"/>
      <c r="O843" s="17" t="n"/>
      <c r="P843" s="24">
        <f>IF($J843="","未盘",IF(ROUND($J843,3)=0,"账实相符",IF(COUNTIFS(入库单!$G$4:$G$2503,$A843,入库单!$X$4:$X$2503,"盘盈",入库单!$C$4:$C$2503,"&gt;="&amp;账期起,入库单!$C$4:$C$2503,"&lt;="&amp;账期止)+COUNTIFS(出库单!$D$4:$D$4003,$A843,出库单!$K$4:$K$4003,"盘亏",出库单!$C$4:$C$4003,"&gt;="&amp;账期起,出库单!$C$4:$C$4003,"&lt;="&amp;账期止)&gt;0,"已调账","※差异还没调账")))</f>
        <v/>
      </c>
      <c r="Q843" s="17" t="n"/>
      <c r="R843" s="17" t="n"/>
    </row>
    <row r="844">
      <c r="A844" s="24">
        <f>IF(库存台账!$A844="","",库存台账!$A844)</f>
        <v/>
      </c>
      <c r="B844" s="24">
        <f>IF($A844="","",库存台账!$B844)</f>
        <v/>
      </c>
      <c r="C844" s="24">
        <f>IF($A844="","",库存台账!$C844)</f>
        <v/>
      </c>
      <c r="D844" s="24">
        <f>IF($A844="","",库存台账!$D844)</f>
        <v/>
      </c>
      <c r="E844" s="24">
        <f>IF($A844="","",库存台账!$E844)</f>
        <v/>
      </c>
      <c r="F844" s="24">
        <f>IF($A844="","",库存台账!$F844)</f>
        <v/>
      </c>
      <c r="G844" s="17" t="n"/>
      <c r="H844" s="23" t="n"/>
      <c r="I844" s="27">
        <f>IF($A844="","",库存台账!$X844)</f>
        <v/>
      </c>
      <c r="J844" s="27">
        <f>IF(OR($A844="",$H844=""),"",ROUND($H844-$I844,3))</f>
        <v/>
      </c>
      <c r="K844" s="26">
        <f>IF($A844="","",库存台账!$K844)</f>
        <v/>
      </c>
      <c r="L844" s="26">
        <f>IF($J844="","",ROUND($J844*$K844,0))</f>
        <v/>
      </c>
      <c r="M844" s="37">
        <f>IF(OR($J844="",$I844=0),"",ROUND($J844/$I844,4))</f>
        <v/>
      </c>
      <c r="N844" s="17" t="n"/>
      <c r="O844" s="17" t="n"/>
      <c r="P844" s="24">
        <f>IF($J844="","未盘",IF(ROUND($J844,3)=0,"账实相符",IF(COUNTIFS(入库单!$G$4:$G$2503,$A844,入库单!$X$4:$X$2503,"盘盈",入库单!$C$4:$C$2503,"&gt;="&amp;账期起,入库单!$C$4:$C$2503,"&lt;="&amp;账期止)+COUNTIFS(出库单!$D$4:$D$4003,$A844,出库单!$K$4:$K$4003,"盘亏",出库单!$C$4:$C$4003,"&gt;="&amp;账期起,出库单!$C$4:$C$4003,"&lt;="&amp;账期止)&gt;0,"已调账","※差异还没调账")))</f>
        <v/>
      </c>
      <c r="Q844" s="17" t="n"/>
      <c r="R844" s="17" t="n"/>
    </row>
    <row r="845">
      <c r="A845" s="24">
        <f>IF(库存台账!$A845="","",库存台账!$A845)</f>
        <v/>
      </c>
      <c r="B845" s="24">
        <f>IF($A845="","",库存台账!$B845)</f>
        <v/>
      </c>
      <c r="C845" s="24">
        <f>IF($A845="","",库存台账!$C845)</f>
        <v/>
      </c>
      <c r="D845" s="24">
        <f>IF($A845="","",库存台账!$D845)</f>
        <v/>
      </c>
      <c r="E845" s="24">
        <f>IF($A845="","",库存台账!$E845)</f>
        <v/>
      </c>
      <c r="F845" s="24">
        <f>IF($A845="","",库存台账!$F845)</f>
        <v/>
      </c>
      <c r="G845" s="17" t="n"/>
      <c r="H845" s="23" t="n"/>
      <c r="I845" s="27">
        <f>IF($A845="","",库存台账!$X845)</f>
        <v/>
      </c>
      <c r="J845" s="27">
        <f>IF(OR($A845="",$H845=""),"",ROUND($H845-$I845,3))</f>
        <v/>
      </c>
      <c r="K845" s="26">
        <f>IF($A845="","",库存台账!$K845)</f>
        <v/>
      </c>
      <c r="L845" s="26">
        <f>IF($J845="","",ROUND($J845*$K845,0))</f>
        <v/>
      </c>
      <c r="M845" s="37">
        <f>IF(OR($J845="",$I845=0),"",ROUND($J845/$I845,4))</f>
        <v/>
      </c>
      <c r="N845" s="17" t="n"/>
      <c r="O845" s="17" t="n"/>
      <c r="P845" s="24">
        <f>IF($J845="","未盘",IF(ROUND($J845,3)=0,"账实相符",IF(COUNTIFS(入库单!$G$4:$G$2503,$A845,入库单!$X$4:$X$2503,"盘盈",入库单!$C$4:$C$2503,"&gt;="&amp;账期起,入库单!$C$4:$C$2503,"&lt;="&amp;账期止)+COUNTIFS(出库单!$D$4:$D$4003,$A845,出库单!$K$4:$K$4003,"盘亏",出库单!$C$4:$C$4003,"&gt;="&amp;账期起,出库单!$C$4:$C$4003,"&lt;="&amp;账期止)&gt;0,"已调账","※差异还没调账")))</f>
        <v/>
      </c>
      <c r="Q845" s="17" t="n"/>
      <c r="R845" s="17" t="n"/>
    </row>
    <row r="846">
      <c r="A846" s="24">
        <f>IF(库存台账!$A846="","",库存台账!$A846)</f>
        <v/>
      </c>
      <c r="B846" s="24">
        <f>IF($A846="","",库存台账!$B846)</f>
        <v/>
      </c>
      <c r="C846" s="24">
        <f>IF($A846="","",库存台账!$C846)</f>
        <v/>
      </c>
      <c r="D846" s="24">
        <f>IF($A846="","",库存台账!$D846)</f>
        <v/>
      </c>
      <c r="E846" s="24">
        <f>IF($A846="","",库存台账!$E846)</f>
        <v/>
      </c>
      <c r="F846" s="24">
        <f>IF($A846="","",库存台账!$F846)</f>
        <v/>
      </c>
      <c r="G846" s="17" t="n"/>
      <c r="H846" s="23" t="n"/>
      <c r="I846" s="27">
        <f>IF($A846="","",库存台账!$X846)</f>
        <v/>
      </c>
      <c r="J846" s="27">
        <f>IF(OR($A846="",$H846=""),"",ROUND($H846-$I846,3))</f>
        <v/>
      </c>
      <c r="K846" s="26">
        <f>IF($A846="","",库存台账!$K846)</f>
        <v/>
      </c>
      <c r="L846" s="26">
        <f>IF($J846="","",ROUND($J846*$K846,0))</f>
        <v/>
      </c>
      <c r="M846" s="37">
        <f>IF(OR($J846="",$I846=0),"",ROUND($J846/$I846,4))</f>
        <v/>
      </c>
      <c r="N846" s="17" t="n"/>
      <c r="O846" s="17" t="n"/>
      <c r="P846" s="24">
        <f>IF($J846="","未盘",IF(ROUND($J846,3)=0,"账实相符",IF(COUNTIFS(入库单!$G$4:$G$2503,$A846,入库单!$X$4:$X$2503,"盘盈",入库单!$C$4:$C$2503,"&gt;="&amp;账期起,入库单!$C$4:$C$2503,"&lt;="&amp;账期止)+COUNTIFS(出库单!$D$4:$D$4003,$A846,出库单!$K$4:$K$4003,"盘亏",出库单!$C$4:$C$4003,"&gt;="&amp;账期起,出库单!$C$4:$C$4003,"&lt;="&amp;账期止)&gt;0,"已调账","※差异还没调账")))</f>
        <v/>
      </c>
      <c r="Q846" s="17" t="n"/>
      <c r="R846" s="17" t="n"/>
    </row>
    <row r="847">
      <c r="A847" s="24">
        <f>IF(库存台账!$A847="","",库存台账!$A847)</f>
        <v/>
      </c>
      <c r="B847" s="24">
        <f>IF($A847="","",库存台账!$B847)</f>
        <v/>
      </c>
      <c r="C847" s="24">
        <f>IF($A847="","",库存台账!$C847)</f>
        <v/>
      </c>
      <c r="D847" s="24">
        <f>IF($A847="","",库存台账!$D847)</f>
        <v/>
      </c>
      <c r="E847" s="24">
        <f>IF($A847="","",库存台账!$E847)</f>
        <v/>
      </c>
      <c r="F847" s="24">
        <f>IF($A847="","",库存台账!$F847)</f>
        <v/>
      </c>
      <c r="G847" s="17" t="n"/>
      <c r="H847" s="23" t="n"/>
      <c r="I847" s="27">
        <f>IF($A847="","",库存台账!$X847)</f>
        <v/>
      </c>
      <c r="J847" s="27">
        <f>IF(OR($A847="",$H847=""),"",ROUND($H847-$I847,3))</f>
        <v/>
      </c>
      <c r="K847" s="26">
        <f>IF($A847="","",库存台账!$K847)</f>
        <v/>
      </c>
      <c r="L847" s="26">
        <f>IF($J847="","",ROUND($J847*$K847,0))</f>
        <v/>
      </c>
      <c r="M847" s="37">
        <f>IF(OR($J847="",$I847=0),"",ROUND($J847/$I847,4))</f>
        <v/>
      </c>
      <c r="N847" s="17" t="n"/>
      <c r="O847" s="17" t="n"/>
      <c r="P847" s="24">
        <f>IF($J847="","未盘",IF(ROUND($J847,3)=0,"账实相符",IF(COUNTIFS(入库单!$G$4:$G$2503,$A847,入库单!$X$4:$X$2503,"盘盈",入库单!$C$4:$C$2503,"&gt;="&amp;账期起,入库单!$C$4:$C$2503,"&lt;="&amp;账期止)+COUNTIFS(出库单!$D$4:$D$4003,$A847,出库单!$K$4:$K$4003,"盘亏",出库单!$C$4:$C$4003,"&gt;="&amp;账期起,出库单!$C$4:$C$4003,"&lt;="&amp;账期止)&gt;0,"已调账","※差异还没调账")))</f>
        <v/>
      </c>
      <c r="Q847" s="17" t="n"/>
      <c r="R847" s="17" t="n"/>
    </row>
    <row r="848">
      <c r="A848" s="24">
        <f>IF(库存台账!$A848="","",库存台账!$A848)</f>
        <v/>
      </c>
      <c r="B848" s="24">
        <f>IF($A848="","",库存台账!$B848)</f>
        <v/>
      </c>
      <c r="C848" s="24">
        <f>IF($A848="","",库存台账!$C848)</f>
        <v/>
      </c>
      <c r="D848" s="24">
        <f>IF($A848="","",库存台账!$D848)</f>
        <v/>
      </c>
      <c r="E848" s="24">
        <f>IF($A848="","",库存台账!$E848)</f>
        <v/>
      </c>
      <c r="F848" s="24">
        <f>IF($A848="","",库存台账!$F848)</f>
        <v/>
      </c>
      <c r="G848" s="17" t="n"/>
      <c r="H848" s="23" t="n"/>
      <c r="I848" s="27">
        <f>IF($A848="","",库存台账!$X848)</f>
        <v/>
      </c>
      <c r="J848" s="27">
        <f>IF(OR($A848="",$H848=""),"",ROUND($H848-$I848,3))</f>
        <v/>
      </c>
      <c r="K848" s="26">
        <f>IF($A848="","",库存台账!$K848)</f>
        <v/>
      </c>
      <c r="L848" s="26">
        <f>IF($J848="","",ROUND($J848*$K848,0))</f>
        <v/>
      </c>
      <c r="M848" s="37">
        <f>IF(OR($J848="",$I848=0),"",ROUND($J848/$I848,4))</f>
        <v/>
      </c>
      <c r="N848" s="17" t="n"/>
      <c r="O848" s="17" t="n"/>
      <c r="P848" s="24">
        <f>IF($J848="","未盘",IF(ROUND($J848,3)=0,"账实相符",IF(COUNTIFS(入库单!$G$4:$G$2503,$A848,入库单!$X$4:$X$2503,"盘盈",入库单!$C$4:$C$2503,"&gt;="&amp;账期起,入库单!$C$4:$C$2503,"&lt;="&amp;账期止)+COUNTIFS(出库单!$D$4:$D$4003,$A848,出库单!$K$4:$K$4003,"盘亏",出库单!$C$4:$C$4003,"&gt;="&amp;账期起,出库单!$C$4:$C$4003,"&lt;="&amp;账期止)&gt;0,"已调账","※差异还没调账")))</f>
        <v/>
      </c>
      <c r="Q848" s="17" t="n"/>
      <c r="R848" s="17" t="n"/>
    </row>
    <row r="849">
      <c r="A849" s="24">
        <f>IF(库存台账!$A849="","",库存台账!$A849)</f>
        <v/>
      </c>
      <c r="B849" s="24">
        <f>IF($A849="","",库存台账!$B849)</f>
        <v/>
      </c>
      <c r="C849" s="24">
        <f>IF($A849="","",库存台账!$C849)</f>
        <v/>
      </c>
      <c r="D849" s="24">
        <f>IF($A849="","",库存台账!$D849)</f>
        <v/>
      </c>
      <c r="E849" s="24">
        <f>IF($A849="","",库存台账!$E849)</f>
        <v/>
      </c>
      <c r="F849" s="24">
        <f>IF($A849="","",库存台账!$F849)</f>
        <v/>
      </c>
      <c r="G849" s="17" t="n"/>
      <c r="H849" s="23" t="n"/>
      <c r="I849" s="27">
        <f>IF($A849="","",库存台账!$X849)</f>
        <v/>
      </c>
      <c r="J849" s="27">
        <f>IF(OR($A849="",$H849=""),"",ROUND($H849-$I849,3))</f>
        <v/>
      </c>
      <c r="K849" s="26">
        <f>IF($A849="","",库存台账!$K849)</f>
        <v/>
      </c>
      <c r="L849" s="26">
        <f>IF($J849="","",ROUND($J849*$K849,0))</f>
        <v/>
      </c>
      <c r="M849" s="37">
        <f>IF(OR($J849="",$I849=0),"",ROUND($J849/$I849,4))</f>
        <v/>
      </c>
      <c r="N849" s="17" t="n"/>
      <c r="O849" s="17" t="n"/>
      <c r="P849" s="24">
        <f>IF($J849="","未盘",IF(ROUND($J849,3)=0,"账实相符",IF(COUNTIFS(入库单!$G$4:$G$2503,$A849,入库单!$X$4:$X$2503,"盘盈",入库单!$C$4:$C$2503,"&gt;="&amp;账期起,入库单!$C$4:$C$2503,"&lt;="&amp;账期止)+COUNTIFS(出库单!$D$4:$D$4003,$A849,出库单!$K$4:$K$4003,"盘亏",出库单!$C$4:$C$4003,"&gt;="&amp;账期起,出库单!$C$4:$C$4003,"&lt;="&amp;账期止)&gt;0,"已调账","※差异还没调账")))</f>
        <v/>
      </c>
      <c r="Q849" s="17" t="n"/>
      <c r="R849" s="17" t="n"/>
    </row>
    <row r="850">
      <c r="A850" s="24">
        <f>IF(库存台账!$A850="","",库存台账!$A850)</f>
        <v/>
      </c>
      <c r="B850" s="24">
        <f>IF($A850="","",库存台账!$B850)</f>
        <v/>
      </c>
      <c r="C850" s="24">
        <f>IF($A850="","",库存台账!$C850)</f>
        <v/>
      </c>
      <c r="D850" s="24">
        <f>IF($A850="","",库存台账!$D850)</f>
        <v/>
      </c>
      <c r="E850" s="24">
        <f>IF($A850="","",库存台账!$E850)</f>
        <v/>
      </c>
      <c r="F850" s="24">
        <f>IF($A850="","",库存台账!$F850)</f>
        <v/>
      </c>
      <c r="G850" s="17" t="n"/>
      <c r="H850" s="23" t="n"/>
      <c r="I850" s="27">
        <f>IF($A850="","",库存台账!$X850)</f>
        <v/>
      </c>
      <c r="J850" s="27">
        <f>IF(OR($A850="",$H850=""),"",ROUND($H850-$I850,3))</f>
        <v/>
      </c>
      <c r="K850" s="26">
        <f>IF($A850="","",库存台账!$K850)</f>
        <v/>
      </c>
      <c r="L850" s="26">
        <f>IF($J850="","",ROUND($J850*$K850,0))</f>
        <v/>
      </c>
      <c r="M850" s="37">
        <f>IF(OR($J850="",$I850=0),"",ROUND($J850/$I850,4))</f>
        <v/>
      </c>
      <c r="N850" s="17" t="n"/>
      <c r="O850" s="17" t="n"/>
      <c r="P850" s="24">
        <f>IF($J850="","未盘",IF(ROUND($J850,3)=0,"账实相符",IF(COUNTIFS(入库单!$G$4:$G$2503,$A850,入库单!$X$4:$X$2503,"盘盈",入库单!$C$4:$C$2503,"&gt;="&amp;账期起,入库单!$C$4:$C$2503,"&lt;="&amp;账期止)+COUNTIFS(出库单!$D$4:$D$4003,$A850,出库单!$K$4:$K$4003,"盘亏",出库单!$C$4:$C$4003,"&gt;="&amp;账期起,出库单!$C$4:$C$4003,"&lt;="&amp;账期止)&gt;0,"已调账","※差异还没调账")))</f>
        <v/>
      </c>
      <c r="Q850" s="17" t="n"/>
      <c r="R850" s="17" t="n"/>
    </row>
    <row r="851">
      <c r="A851" s="24">
        <f>IF(库存台账!$A851="","",库存台账!$A851)</f>
        <v/>
      </c>
      <c r="B851" s="24">
        <f>IF($A851="","",库存台账!$B851)</f>
        <v/>
      </c>
      <c r="C851" s="24">
        <f>IF($A851="","",库存台账!$C851)</f>
        <v/>
      </c>
      <c r="D851" s="24">
        <f>IF($A851="","",库存台账!$D851)</f>
        <v/>
      </c>
      <c r="E851" s="24">
        <f>IF($A851="","",库存台账!$E851)</f>
        <v/>
      </c>
      <c r="F851" s="24">
        <f>IF($A851="","",库存台账!$F851)</f>
        <v/>
      </c>
      <c r="G851" s="17" t="n"/>
      <c r="H851" s="23" t="n"/>
      <c r="I851" s="27">
        <f>IF($A851="","",库存台账!$X851)</f>
        <v/>
      </c>
      <c r="J851" s="27">
        <f>IF(OR($A851="",$H851=""),"",ROUND($H851-$I851,3))</f>
        <v/>
      </c>
      <c r="K851" s="26">
        <f>IF($A851="","",库存台账!$K851)</f>
        <v/>
      </c>
      <c r="L851" s="26">
        <f>IF($J851="","",ROUND($J851*$K851,0))</f>
        <v/>
      </c>
      <c r="M851" s="37">
        <f>IF(OR($J851="",$I851=0),"",ROUND($J851/$I851,4))</f>
        <v/>
      </c>
      <c r="N851" s="17" t="n"/>
      <c r="O851" s="17" t="n"/>
      <c r="P851" s="24">
        <f>IF($J851="","未盘",IF(ROUND($J851,3)=0,"账实相符",IF(COUNTIFS(入库单!$G$4:$G$2503,$A851,入库单!$X$4:$X$2503,"盘盈",入库单!$C$4:$C$2503,"&gt;="&amp;账期起,入库单!$C$4:$C$2503,"&lt;="&amp;账期止)+COUNTIFS(出库单!$D$4:$D$4003,$A851,出库单!$K$4:$K$4003,"盘亏",出库单!$C$4:$C$4003,"&gt;="&amp;账期起,出库单!$C$4:$C$4003,"&lt;="&amp;账期止)&gt;0,"已调账","※差异还没调账")))</f>
        <v/>
      </c>
      <c r="Q851" s="17" t="n"/>
      <c r="R851" s="17" t="n"/>
    </row>
    <row r="852">
      <c r="A852" s="24">
        <f>IF(库存台账!$A852="","",库存台账!$A852)</f>
        <v/>
      </c>
      <c r="B852" s="24">
        <f>IF($A852="","",库存台账!$B852)</f>
        <v/>
      </c>
      <c r="C852" s="24">
        <f>IF($A852="","",库存台账!$C852)</f>
        <v/>
      </c>
      <c r="D852" s="24">
        <f>IF($A852="","",库存台账!$D852)</f>
        <v/>
      </c>
      <c r="E852" s="24">
        <f>IF($A852="","",库存台账!$E852)</f>
        <v/>
      </c>
      <c r="F852" s="24">
        <f>IF($A852="","",库存台账!$F852)</f>
        <v/>
      </c>
      <c r="G852" s="17" t="n"/>
      <c r="H852" s="23" t="n"/>
      <c r="I852" s="27">
        <f>IF($A852="","",库存台账!$X852)</f>
        <v/>
      </c>
      <c r="J852" s="27">
        <f>IF(OR($A852="",$H852=""),"",ROUND($H852-$I852,3))</f>
        <v/>
      </c>
      <c r="K852" s="26">
        <f>IF($A852="","",库存台账!$K852)</f>
        <v/>
      </c>
      <c r="L852" s="26">
        <f>IF($J852="","",ROUND($J852*$K852,0))</f>
        <v/>
      </c>
      <c r="M852" s="37">
        <f>IF(OR($J852="",$I852=0),"",ROUND($J852/$I852,4))</f>
        <v/>
      </c>
      <c r="N852" s="17" t="n"/>
      <c r="O852" s="17" t="n"/>
      <c r="P852" s="24">
        <f>IF($J852="","未盘",IF(ROUND($J852,3)=0,"账实相符",IF(COUNTIFS(入库单!$G$4:$G$2503,$A852,入库单!$X$4:$X$2503,"盘盈",入库单!$C$4:$C$2503,"&gt;="&amp;账期起,入库单!$C$4:$C$2503,"&lt;="&amp;账期止)+COUNTIFS(出库单!$D$4:$D$4003,$A852,出库单!$K$4:$K$4003,"盘亏",出库单!$C$4:$C$4003,"&gt;="&amp;账期起,出库单!$C$4:$C$4003,"&lt;="&amp;账期止)&gt;0,"已调账","※差异还没调账")))</f>
        <v/>
      </c>
      <c r="Q852" s="17" t="n"/>
      <c r="R852" s="17" t="n"/>
    </row>
    <row r="853">
      <c r="A853" s="24">
        <f>IF(库存台账!$A853="","",库存台账!$A853)</f>
        <v/>
      </c>
      <c r="B853" s="24">
        <f>IF($A853="","",库存台账!$B853)</f>
        <v/>
      </c>
      <c r="C853" s="24">
        <f>IF($A853="","",库存台账!$C853)</f>
        <v/>
      </c>
      <c r="D853" s="24">
        <f>IF($A853="","",库存台账!$D853)</f>
        <v/>
      </c>
      <c r="E853" s="24">
        <f>IF($A853="","",库存台账!$E853)</f>
        <v/>
      </c>
      <c r="F853" s="24">
        <f>IF($A853="","",库存台账!$F853)</f>
        <v/>
      </c>
      <c r="G853" s="17" t="n"/>
      <c r="H853" s="23" t="n"/>
      <c r="I853" s="27">
        <f>IF($A853="","",库存台账!$X853)</f>
        <v/>
      </c>
      <c r="J853" s="27">
        <f>IF(OR($A853="",$H853=""),"",ROUND($H853-$I853,3))</f>
        <v/>
      </c>
      <c r="K853" s="26">
        <f>IF($A853="","",库存台账!$K853)</f>
        <v/>
      </c>
      <c r="L853" s="26">
        <f>IF($J853="","",ROUND($J853*$K853,0))</f>
        <v/>
      </c>
      <c r="M853" s="37">
        <f>IF(OR($J853="",$I853=0),"",ROUND($J853/$I853,4))</f>
        <v/>
      </c>
      <c r="N853" s="17" t="n"/>
      <c r="O853" s="17" t="n"/>
      <c r="P853" s="24">
        <f>IF($J853="","未盘",IF(ROUND($J853,3)=0,"账实相符",IF(COUNTIFS(入库单!$G$4:$G$2503,$A853,入库单!$X$4:$X$2503,"盘盈",入库单!$C$4:$C$2503,"&gt;="&amp;账期起,入库单!$C$4:$C$2503,"&lt;="&amp;账期止)+COUNTIFS(出库单!$D$4:$D$4003,$A853,出库单!$K$4:$K$4003,"盘亏",出库单!$C$4:$C$4003,"&gt;="&amp;账期起,出库单!$C$4:$C$4003,"&lt;="&amp;账期止)&gt;0,"已调账","※差异还没调账")))</f>
        <v/>
      </c>
      <c r="Q853" s="17" t="n"/>
      <c r="R853" s="17" t="n"/>
    </row>
    <row r="854">
      <c r="A854" s="24">
        <f>IF(库存台账!$A854="","",库存台账!$A854)</f>
        <v/>
      </c>
      <c r="B854" s="24">
        <f>IF($A854="","",库存台账!$B854)</f>
        <v/>
      </c>
      <c r="C854" s="24">
        <f>IF($A854="","",库存台账!$C854)</f>
        <v/>
      </c>
      <c r="D854" s="24">
        <f>IF($A854="","",库存台账!$D854)</f>
        <v/>
      </c>
      <c r="E854" s="24">
        <f>IF($A854="","",库存台账!$E854)</f>
        <v/>
      </c>
      <c r="F854" s="24">
        <f>IF($A854="","",库存台账!$F854)</f>
        <v/>
      </c>
      <c r="G854" s="17" t="n"/>
      <c r="H854" s="23" t="n"/>
      <c r="I854" s="27">
        <f>IF($A854="","",库存台账!$X854)</f>
        <v/>
      </c>
      <c r="J854" s="27">
        <f>IF(OR($A854="",$H854=""),"",ROUND($H854-$I854,3))</f>
        <v/>
      </c>
      <c r="K854" s="26">
        <f>IF($A854="","",库存台账!$K854)</f>
        <v/>
      </c>
      <c r="L854" s="26">
        <f>IF($J854="","",ROUND($J854*$K854,0))</f>
        <v/>
      </c>
      <c r="M854" s="37">
        <f>IF(OR($J854="",$I854=0),"",ROUND($J854/$I854,4))</f>
        <v/>
      </c>
      <c r="N854" s="17" t="n"/>
      <c r="O854" s="17" t="n"/>
      <c r="P854" s="24">
        <f>IF($J854="","未盘",IF(ROUND($J854,3)=0,"账实相符",IF(COUNTIFS(入库单!$G$4:$G$2503,$A854,入库单!$X$4:$X$2503,"盘盈",入库单!$C$4:$C$2503,"&gt;="&amp;账期起,入库单!$C$4:$C$2503,"&lt;="&amp;账期止)+COUNTIFS(出库单!$D$4:$D$4003,$A854,出库单!$K$4:$K$4003,"盘亏",出库单!$C$4:$C$4003,"&gt;="&amp;账期起,出库单!$C$4:$C$4003,"&lt;="&amp;账期止)&gt;0,"已调账","※差异还没调账")))</f>
        <v/>
      </c>
      <c r="Q854" s="17" t="n"/>
      <c r="R854" s="17" t="n"/>
    </row>
    <row r="855">
      <c r="A855" s="24">
        <f>IF(库存台账!$A855="","",库存台账!$A855)</f>
        <v/>
      </c>
      <c r="B855" s="24">
        <f>IF($A855="","",库存台账!$B855)</f>
        <v/>
      </c>
      <c r="C855" s="24">
        <f>IF($A855="","",库存台账!$C855)</f>
        <v/>
      </c>
      <c r="D855" s="24">
        <f>IF($A855="","",库存台账!$D855)</f>
        <v/>
      </c>
      <c r="E855" s="24">
        <f>IF($A855="","",库存台账!$E855)</f>
        <v/>
      </c>
      <c r="F855" s="24">
        <f>IF($A855="","",库存台账!$F855)</f>
        <v/>
      </c>
      <c r="G855" s="17" t="n"/>
      <c r="H855" s="23" t="n"/>
      <c r="I855" s="27">
        <f>IF($A855="","",库存台账!$X855)</f>
        <v/>
      </c>
      <c r="J855" s="27">
        <f>IF(OR($A855="",$H855=""),"",ROUND($H855-$I855,3))</f>
        <v/>
      </c>
      <c r="K855" s="26">
        <f>IF($A855="","",库存台账!$K855)</f>
        <v/>
      </c>
      <c r="L855" s="26">
        <f>IF($J855="","",ROUND($J855*$K855,0))</f>
        <v/>
      </c>
      <c r="M855" s="37">
        <f>IF(OR($J855="",$I855=0),"",ROUND($J855/$I855,4))</f>
        <v/>
      </c>
      <c r="N855" s="17" t="n"/>
      <c r="O855" s="17" t="n"/>
      <c r="P855" s="24">
        <f>IF($J855="","未盘",IF(ROUND($J855,3)=0,"账实相符",IF(COUNTIFS(入库单!$G$4:$G$2503,$A855,入库单!$X$4:$X$2503,"盘盈",入库单!$C$4:$C$2503,"&gt;="&amp;账期起,入库单!$C$4:$C$2503,"&lt;="&amp;账期止)+COUNTIFS(出库单!$D$4:$D$4003,$A855,出库单!$K$4:$K$4003,"盘亏",出库单!$C$4:$C$4003,"&gt;="&amp;账期起,出库单!$C$4:$C$4003,"&lt;="&amp;账期止)&gt;0,"已调账","※差异还没调账")))</f>
        <v/>
      </c>
      <c r="Q855" s="17" t="n"/>
      <c r="R855" s="17" t="n"/>
    </row>
    <row r="856">
      <c r="A856" s="24">
        <f>IF(库存台账!$A856="","",库存台账!$A856)</f>
        <v/>
      </c>
      <c r="B856" s="24">
        <f>IF($A856="","",库存台账!$B856)</f>
        <v/>
      </c>
      <c r="C856" s="24">
        <f>IF($A856="","",库存台账!$C856)</f>
        <v/>
      </c>
      <c r="D856" s="24">
        <f>IF($A856="","",库存台账!$D856)</f>
        <v/>
      </c>
      <c r="E856" s="24">
        <f>IF($A856="","",库存台账!$E856)</f>
        <v/>
      </c>
      <c r="F856" s="24">
        <f>IF($A856="","",库存台账!$F856)</f>
        <v/>
      </c>
      <c r="G856" s="17" t="n"/>
      <c r="H856" s="23" t="n"/>
      <c r="I856" s="27">
        <f>IF($A856="","",库存台账!$X856)</f>
        <v/>
      </c>
      <c r="J856" s="27">
        <f>IF(OR($A856="",$H856=""),"",ROUND($H856-$I856,3))</f>
        <v/>
      </c>
      <c r="K856" s="26">
        <f>IF($A856="","",库存台账!$K856)</f>
        <v/>
      </c>
      <c r="L856" s="26">
        <f>IF($J856="","",ROUND($J856*$K856,0))</f>
        <v/>
      </c>
      <c r="M856" s="37">
        <f>IF(OR($J856="",$I856=0),"",ROUND($J856/$I856,4))</f>
        <v/>
      </c>
      <c r="N856" s="17" t="n"/>
      <c r="O856" s="17" t="n"/>
      <c r="P856" s="24">
        <f>IF($J856="","未盘",IF(ROUND($J856,3)=0,"账实相符",IF(COUNTIFS(入库单!$G$4:$G$2503,$A856,入库单!$X$4:$X$2503,"盘盈",入库单!$C$4:$C$2503,"&gt;="&amp;账期起,入库单!$C$4:$C$2503,"&lt;="&amp;账期止)+COUNTIFS(出库单!$D$4:$D$4003,$A856,出库单!$K$4:$K$4003,"盘亏",出库单!$C$4:$C$4003,"&gt;="&amp;账期起,出库单!$C$4:$C$4003,"&lt;="&amp;账期止)&gt;0,"已调账","※差异还没调账")))</f>
        <v/>
      </c>
      <c r="Q856" s="17" t="n"/>
      <c r="R856" s="17" t="n"/>
    </row>
    <row r="857">
      <c r="A857" s="24">
        <f>IF(库存台账!$A857="","",库存台账!$A857)</f>
        <v/>
      </c>
      <c r="B857" s="24">
        <f>IF($A857="","",库存台账!$B857)</f>
        <v/>
      </c>
      <c r="C857" s="24">
        <f>IF($A857="","",库存台账!$C857)</f>
        <v/>
      </c>
      <c r="D857" s="24">
        <f>IF($A857="","",库存台账!$D857)</f>
        <v/>
      </c>
      <c r="E857" s="24">
        <f>IF($A857="","",库存台账!$E857)</f>
        <v/>
      </c>
      <c r="F857" s="24">
        <f>IF($A857="","",库存台账!$F857)</f>
        <v/>
      </c>
      <c r="G857" s="17" t="n"/>
      <c r="H857" s="23" t="n"/>
      <c r="I857" s="27">
        <f>IF($A857="","",库存台账!$X857)</f>
        <v/>
      </c>
      <c r="J857" s="27">
        <f>IF(OR($A857="",$H857=""),"",ROUND($H857-$I857,3))</f>
        <v/>
      </c>
      <c r="K857" s="26">
        <f>IF($A857="","",库存台账!$K857)</f>
        <v/>
      </c>
      <c r="L857" s="26">
        <f>IF($J857="","",ROUND($J857*$K857,0))</f>
        <v/>
      </c>
      <c r="M857" s="37">
        <f>IF(OR($J857="",$I857=0),"",ROUND($J857/$I857,4))</f>
        <v/>
      </c>
      <c r="N857" s="17" t="n"/>
      <c r="O857" s="17" t="n"/>
      <c r="P857" s="24">
        <f>IF($J857="","未盘",IF(ROUND($J857,3)=0,"账实相符",IF(COUNTIFS(入库单!$G$4:$G$2503,$A857,入库单!$X$4:$X$2503,"盘盈",入库单!$C$4:$C$2503,"&gt;="&amp;账期起,入库单!$C$4:$C$2503,"&lt;="&amp;账期止)+COUNTIFS(出库单!$D$4:$D$4003,$A857,出库单!$K$4:$K$4003,"盘亏",出库单!$C$4:$C$4003,"&gt;="&amp;账期起,出库单!$C$4:$C$4003,"&lt;="&amp;账期止)&gt;0,"已调账","※差异还没调账")))</f>
        <v/>
      </c>
      <c r="Q857" s="17" t="n"/>
      <c r="R857" s="17" t="n"/>
    </row>
    <row r="858">
      <c r="A858" s="24">
        <f>IF(库存台账!$A858="","",库存台账!$A858)</f>
        <v/>
      </c>
      <c r="B858" s="24">
        <f>IF($A858="","",库存台账!$B858)</f>
        <v/>
      </c>
      <c r="C858" s="24">
        <f>IF($A858="","",库存台账!$C858)</f>
        <v/>
      </c>
      <c r="D858" s="24">
        <f>IF($A858="","",库存台账!$D858)</f>
        <v/>
      </c>
      <c r="E858" s="24">
        <f>IF($A858="","",库存台账!$E858)</f>
        <v/>
      </c>
      <c r="F858" s="24">
        <f>IF($A858="","",库存台账!$F858)</f>
        <v/>
      </c>
      <c r="G858" s="17" t="n"/>
      <c r="H858" s="23" t="n"/>
      <c r="I858" s="27">
        <f>IF($A858="","",库存台账!$X858)</f>
        <v/>
      </c>
      <c r="J858" s="27">
        <f>IF(OR($A858="",$H858=""),"",ROUND($H858-$I858,3))</f>
        <v/>
      </c>
      <c r="K858" s="26">
        <f>IF($A858="","",库存台账!$K858)</f>
        <v/>
      </c>
      <c r="L858" s="26">
        <f>IF($J858="","",ROUND($J858*$K858,0))</f>
        <v/>
      </c>
      <c r="M858" s="37">
        <f>IF(OR($J858="",$I858=0),"",ROUND($J858/$I858,4))</f>
        <v/>
      </c>
      <c r="N858" s="17" t="n"/>
      <c r="O858" s="17" t="n"/>
      <c r="P858" s="24">
        <f>IF($J858="","未盘",IF(ROUND($J858,3)=0,"账实相符",IF(COUNTIFS(入库单!$G$4:$G$2503,$A858,入库单!$X$4:$X$2503,"盘盈",入库单!$C$4:$C$2503,"&gt;="&amp;账期起,入库单!$C$4:$C$2503,"&lt;="&amp;账期止)+COUNTIFS(出库单!$D$4:$D$4003,$A858,出库单!$K$4:$K$4003,"盘亏",出库单!$C$4:$C$4003,"&gt;="&amp;账期起,出库单!$C$4:$C$4003,"&lt;="&amp;账期止)&gt;0,"已调账","※差异还没调账")))</f>
        <v/>
      </c>
      <c r="Q858" s="17" t="n"/>
      <c r="R858" s="17" t="n"/>
    </row>
    <row r="859">
      <c r="A859" s="24">
        <f>IF(库存台账!$A859="","",库存台账!$A859)</f>
        <v/>
      </c>
      <c r="B859" s="24">
        <f>IF($A859="","",库存台账!$B859)</f>
        <v/>
      </c>
      <c r="C859" s="24">
        <f>IF($A859="","",库存台账!$C859)</f>
        <v/>
      </c>
      <c r="D859" s="24">
        <f>IF($A859="","",库存台账!$D859)</f>
        <v/>
      </c>
      <c r="E859" s="24">
        <f>IF($A859="","",库存台账!$E859)</f>
        <v/>
      </c>
      <c r="F859" s="24">
        <f>IF($A859="","",库存台账!$F859)</f>
        <v/>
      </c>
      <c r="G859" s="17" t="n"/>
      <c r="H859" s="23" t="n"/>
      <c r="I859" s="27">
        <f>IF($A859="","",库存台账!$X859)</f>
        <v/>
      </c>
      <c r="J859" s="27">
        <f>IF(OR($A859="",$H859=""),"",ROUND($H859-$I859,3))</f>
        <v/>
      </c>
      <c r="K859" s="26">
        <f>IF($A859="","",库存台账!$K859)</f>
        <v/>
      </c>
      <c r="L859" s="26">
        <f>IF($J859="","",ROUND($J859*$K859,0))</f>
        <v/>
      </c>
      <c r="M859" s="37">
        <f>IF(OR($J859="",$I859=0),"",ROUND($J859/$I859,4))</f>
        <v/>
      </c>
      <c r="N859" s="17" t="n"/>
      <c r="O859" s="17" t="n"/>
      <c r="P859" s="24">
        <f>IF($J859="","未盘",IF(ROUND($J859,3)=0,"账实相符",IF(COUNTIFS(入库单!$G$4:$G$2503,$A859,入库单!$X$4:$X$2503,"盘盈",入库单!$C$4:$C$2503,"&gt;="&amp;账期起,入库单!$C$4:$C$2503,"&lt;="&amp;账期止)+COUNTIFS(出库单!$D$4:$D$4003,$A859,出库单!$K$4:$K$4003,"盘亏",出库单!$C$4:$C$4003,"&gt;="&amp;账期起,出库单!$C$4:$C$4003,"&lt;="&amp;账期止)&gt;0,"已调账","※差异还没调账")))</f>
        <v/>
      </c>
      <c r="Q859" s="17" t="n"/>
      <c r="R859" s="17" t="n"/>
    </row>
    <row r="860">
      <c r="A860" s="24">
        <f>IF(库存台账!$A860="","",库存台账!$A860)</f>
        <v/>
      </c>
      <c r="B860" s="24">
        <f>IF($A860="","",库存台账!$B860)</f>
        <v/>
      </c>
      <c r="C860" s="24">
        <f>IF($A860="","",库存台账!$C860)</f>
        <v/>
      </c>
      <c r="D860" s="24">
        <f>IF($A860="","",库存台账!$D860)</f>
        <v/>
      </c>
      <c r="E860" s="24">
        <f>IF($A860="","",库存台账!$E860)</f>
        <v/>
      </c>
      <c r="F860" s="24">
        <f>IF($A860="","",库存台账!$F860)</f>
        <v/>
      </c>
      <c r="G860" s="17" t="n"/>
      <c r="H860" s="23" t="n"/>
      <c r="I860" s="27">
        <f>IF($A860="","",库存台账!$X860)</f>
        <v/>
      </c>
      <c r="J860" s="27">
        <f>IF(OR($A860="",$H860=""),"",ROUND($H860-$I860,3))</f>
        <v/>
      </c>
      <c r="K860" s="26">
        <f>IF($A860="","",库存台账!$K860)</f>
        <v/>
      </c>
      <c r="L860" s="26">
        <f>IF($J860="","",ROUND($J860*$K860,0))</f>
        <v/>
      </c>
      <c r="M860" s="37">
        <f>IF(OR($J860="",$I860=0),"",ROUND($J860/$I860,4))</f>
        <v/>
      </c>
      <c r="N860" s="17" t="n"/>
      <c r="O860" s="17" t="n"/>
      <c r="P860" s="24">
        <f>IF($J860="","未盘",IF(ROUND($J860,3)=0,"账实相符",IF(COUNTIFS(入库单!$G$4:$G$2503,$A860,入库单!$X$4:$X$2503,"盘盈",入库单!$C$4:$C$2503,"&gt;="&amp;账期起,入库单!$C$4:$C$2503,"&lt;="&amp;账期止)+COUNTIFS(出库单!$D$4:$D$4003,$A860,出库单!$K$4:$K$4003,"盘亏",出库单!$C$4:$C$4003,"&gt;="&amp;账期起,出库单!$C$4:$C$4003,"&lt;="&amp;账期止)&gt;0,"已调账","※差异还没调账")))</f>
        <v/>
      </c>
      <c r="Q860" s="17" t="n"/>
      <c r="R860" s="17" t="n"/>
    </row>
    <row r="861">
      <c r="A861" s="24">
        <f>IF(库存台账!$A861="","",库存台账!$A861)</f>
        <v/>
      </c>
      <c r="B861" s="24">
        <f>IF($A861="","",库存台账!$B861)</f>
        <v/>
      </c>
      <c r="C861" s="24">
        <f>IF($A861="","",库存台账!$C861)</f>
        <v/>
      </c>
      <c r="D861" s="24">
        <f>IF($A861="","",库存台账!$D861)</f>
        <v/>
      </c>
      <c r="E861" s="24">
        <f>IF($A861="","",库存台账!$E861)</f>
        <v/>
      </c>
      <c r="F861" s="24">
        <f>IF($A861="","",库存台账!$F861)</f>
        <v/>
      </c>
      <c r="G861" s="17" t="n"/>
      <c r="H861" s="23" t="n"/>
      <c r="I861" s="27">
        <f>IF($A861="","",库存台账!$X861)</f>
        <v/>
      </c>
      <c r="J861" s="27">
        <f>IF(OR($A861="",$H861=""),"",ROUND($H861-$I861,3))</f>
        <v/>
      </c>
      <c r="K861" s="26">
        <f>IF($A861="","",库存台账!$K861)</f>
        <v/>
      </c>
      <c r="L861" s="26">
        <f>IF($J861="","",ROUND($J861*$K861,0))</f>
        <v/>
      </c>
      <c r="M861" s="37">
        <f>IF(OR($J861="",$I861=0),"",ROUND($J861/$I861,4))</f>
        <v/>
      </c>
      <c r="N861" s="17" t="n"/>
      <c r="O861" s="17" t="n"/>
      <c r="P861" s="24">
        <f>IF($J861="","未盘",IF(ROUND($J861,3)=0,"账实相符",IF(COUNTIFS(入库单!$G$4:$G$2503,$A861,入库单!$X$4:$X$2503,"盘盈",入库单!$C$4:$C$2503,"&gt;="&amp;账期起,入库单!$C$4:$C$2503,"&lt;="&amp;账期止)+COUNTIFS(出库单!$D$4:$D$4003,$A861,出库单!$K$4:$K$4003,"盘亏",出库单!$C$4:$C$4003,"&gt;="&amp;账期起,出库单!$C$4:$C$4003,"&lt;="&amp;账期止)&gt;0,"已调账","※差异还没调账")))</f>
        <v/>
      </c>
      <c r="Q861" s="17" t="n"/>
      <c r="R861" s="17" t="n"/>
    </row>
    <row r="862">
      <c r="A862" s="24">
        <f>IF(库存台账!$A862="","",库存台账!$A862)</f>
        <v/>
      </c>
      <c r="B862" s="24">
        <f>IF($A862="","",库存台账!$B862)</f>
        <v/>
      </c>
      <c r="C862" s="24">
        <f>IF($A862="","",库存台账!$C862)</f>
        <v/>
      </c>
      <c r="D862" s="24">
        <f>IF($A862="","",库存台账!$D862)</f>
        <v/>
      </c>
      <c r="E862" s="24">
        <f>IF($A862="","",库存台账!$E862)</f>
        <v/>
      </c>
      <c r="F862" s="24">
        <f>IF($A862="","",库存台账!$F862)</f>
        <v/>
      </c>
      <c r="G862" s="17" t="n"/>
      <c r="H862" s="23" t="n"/>
      <c r="I862" s="27">
        <f>IF($A862="","",库存台账!$X862)</f>
        <v/>
      </c>
      <c r="J862" s="27">
        <f>IF(OR($A862="",$H862=""),"",ROUND($H862-$I862,3))</f>
        <v/>
      </c>
      <c r="K862" s="26">
        <f>IF($A862="","",库存台账!$K862)</f>
        <v/>
      </c>
      <c r="L862" s="26">
        <f>IF($J862="","",ROUND($J862*$K862,0))</f>
        <v/>
      </c>
      <c r="M862" s="37">
        <f>IF(OR($J862="",$I862=0),"",ROUND($J862/$I862,4))</f>
        <v/>
      </c>
      <c r="N862" s="17" t="n"/>
      <c r="O862" s="17" t="n"/>
      <c r="P862" s="24">
        <f>IF($J862="","未盘",IF(ROUND($J862,3)=0,"账实相符",IF(COUNTIFS(入库单!$G$4:$G$2503,$A862,入库单!$X$4:$X$2503,"盘盈",入库单!$C$4:$C$2503,"&gt;="&amp;账期起,入库单!$C$4:$C$2503,"&lt;="&amp;账期止)+COUNTIFS(出库单!$D$4:$D$4003,$A862,出库单!$K$4:$K$4003,"盘亏",出库单!$C$4:$C$4003,"&gt;="&amp;账期起,出库单!$C$4:$C$4003,"&lt;="&amp;账期止)&gt;0,"已调账","※差异还没调账")))</f>
        <v/>
      </c>
      <c r="Q862" s="17" t="n"/>
      <c r="R862" s="17" t="n"/>
    </row>
    <row r="863">
      <c r="A863" s="24">
        <f>IF(库存台账!$A863="","",库存台账!$A863)</f>
        <v/>
      </c>
      <c r="B863" s="24">
        <f>IF($A863="","",库存台账!$B863)</f>
        <v/>
      </c>
      <c r="C863" s="24">
        <f>IF($A863="","",库存台账!$C863)</f>
        <v/>
      </c>
      <c r="D863" s="24">
        <f>IF($A863="","",库存台账!$D863)</f>
        <v/>
      </c>
      <c r="E863" s="24">
        <f>IF($A863="","",库存台账!$E863)</f>
        <v/>
      </c>
      <c r="F863" s="24">
        <f>IF($A863="","",库存台账!$F863)</f>
        <v/>
      </c>
      <c r="G863" s="17" t="n"/>
      <c r="H863" s="23" t="n"/>
      <c r="I863" s="27">
        <f>IF($A863="","",库存台账!$X863)</f>
        <v/>
      </c>
      <c r="J863" s="27">
        <f>IF(OR($A863="",$H863=""),"",ROUND($H863-$I863,3))</f>
        <v/>
      </c>
      <c r="K863" s="26">
        <f>IF($A863="","",库存台账!$K863)</f>
        <v/>
      </c>
      <c r="L863" s="26">
        <f>IF($J863="","",ROUND($J863*$K863,0))</f>
        <v/>
      </c>
      <c r="M863" s="37">
        <f>IF(OR($J863="",$I863=0),"",ROUND($J863/$I863,4))</f>
        <v/>
      </c>
      <c r="N863" s="17" t="n"/>
      <c r="O863" s="17" t="n"/>
      <c r="P863" s="24">
        <f>IF($J863="","未盘",IF(ROUND($J863,3)=0,"账实相符",IF(COUNTIFS(入库单!$G$4:$G$2503,$A863,入库单!$X$4:$X$2503,"盘盈",入库单!$C$4:$C$2503,"&gt;="&amp;账期起,入库单!$C$4:$C$2503,"&lt;="&amp;账期止)+COUNTIFS(出库单!$D$4:$D$4003,$A863,出库单!$K$4:$K$4003,"盘亏",出库单!$C$4:$C$4003,"&gt;="&amp;账期起,出库单!$C$4:$C$4003,"&lt;="&amp;账期止)&gt;0,"已调账","※差异还没调账")))</f>
        <v/>
      </c>
      <c r="Q863" s="17" t="n"/>
      <c r="R863" s="17" t="n"/>
    </row>
    <row r="864">
      <c r="A864" s="24">
        <f>IF(库存台账!$A864="","",库存台账!$A864)</f>
        <v/>
      </c>
      <c r="B864" s="24">
        <f>IF($A864="","",库存台账!$B864)</f>
        <v/>
      </c>
      <c r="C864" s="24">
        <f>IF($A864="","",库存台账!$C864)</f>
        <v/>
      </c>
      <c r="D864" s="24">
        <f>IF($A864="","",库存台账!$D864)</f>
        <v/>
      </c>
      <c r="E864" s="24">
        <f>IF($A864="","",库存台账!$E864)</f>
        <v/>
      </c>
      <c r="F864" s="24">
        <f>IF($A864="","",库存台账!$F864)</f>
        <v/>
      </c>
      <c r="G864" s="17" t="n"/>
      <c r="H864" s="23" t="n"/>
      <c r="I864" s="27">
        <f>IF($A864="","",库存台账!$X864)</f>
        <v/>
      </c>
      <c r="J864" s="27">
        <f>IF(OR($A864="",$H864=""),"",ROUND($H864-$I864,3))</f>
        <v/>
      </c>
      <c r="K864" s="26">
        <f>IF($A864="","",库存台账!$K864)</f>
        <v/>
      </c>
      <c r="L864" s="26">
        <f>IF($J864="","",ROUND($J864*$K864,0))</f>
        <v/>
      </c>
      <c r="M864" s="37">
        <f>IF(OR($J864="",$I864=0),"",ROUND($J864/$I864,4))</f>
        <v/>
      </c>
      <c r="N864" s="17" t="n"/>
      <c r="O864" s="17" t="n"/>
      <c r="P864" s="24">
        <f>IF($J864="","未盘",IF(ROUND($J864,3)=0,"账实相符",IF(COUNTIFS(入库单!$G$4:$G$2503,$A864,入库单!$X$4:$X$2503,"盘盈",入库单!$C$4:$C$2503,"&gt;="&amp;账期起,入库单!$C$4:$C$2503,"&lt;="&amp;账期止)+COUNTIFS(出库单!$D$4:$D$4003,$A864,出库单!$K$4:$K$4003,"盘亏",出库单!$C$4:$C$4003,"&gt;="&amp;账期起,出库单!$C$4:$C$4003,"&lt;="&amp;账期止)&gt;0,"已调账","※差异还没调账")))</f>
        <v/>
      </c>
      <c r="Q864" s="17" t="n"/>
      <c r="R864" s="17" t="n"/>
    </row>
    <row r="865">
      <c r="A865" s="24">
        <f>IF(库存台账!$A865="","",库存台账!$A865)</f>
        <v/>
      </c>
      <c r="B865" s="24">
        <f>IF($A865="","",库存台账!$B865)</f>
        <v/>
      </c>
      <c r="C865" s="24">
        <f>IF($A865="","",库存台账!$C865)</f>
        <v/>
      </c>
      <c r="D865" s="24">
        <f>IF($A865="","",库存台账!$D865)</f>
        <v/>
      </c>
      <c r="E865" s="24">
        <f>IF($A865="","",库存台账!$E865)</f>
        <v/>
      </c>
      <c r="F865" s="24">
        <f>IF($A865="","",库存台账!$F865)</f>
        <v/>
      </c>
      <c r="G865" s="17" t="n"/>
      <c r="H865" s="23" t="n"/>
      <c r="I865" s="27">
        <f>IF($A865="","",库存台账!$X865)</f>
        <v/>
      </c>
      <c r="J865" s="27">
        <f>IF(OR($A865="",$H865=""),"",ROUND($H865-$I865,3))</f>
        <v/>
      </c>
      <c r="K865" s="26">
        <f>IF($A865="","",库存台账!$K865)</f>
        <v/>
      </c>
      <c r="L865" s="26">
        <f>IF($J865="","",ROUND($J865*$K865,0))</f>
        <v/>
      </c>
      <c r="M865" s="37">
        <f>IF(OR($J865="",$I865=0),"",ROUND($J865/$I865,4))</f>
        <v/>
      </c>
      <c r="N865" s="17" t="n"/>
      <c r="O865" s="17" t="n"/>
      <c r="P865" s="24">
        <f>IF($J865="","未盘",IF(ROUND($J865,3)=0,"账实相符",IF(COUNTIFS(入库单!$G$4:$G$2503,$A865,入库单!$X$4:$X$2503,"盘盈",入库单!$C$4:$C$2503,"&gt;="&amp;账期起,入库单!$C$4:$C$2503,"&lt;="&amp;账期止)+COUNTIFS(出库单!$D$4:$D$4003,$A865,出库单!$K$4:$K$4003,"盘亏",出库单!$C$4:$C$4003,"&gt;="&amp;账期起,出库单!$C$4:$C$4003,"&lt;="&amp;账期止)&gt;0,"已调账","※差异还没调账")))</f>
        <v/>
      </c>
      <c r="Q865" s="17" t="n"/>
      <c r="R865" s="17" t="n"/>
    </row>
    <row r="866">
      <c r="A866" s="24">
        <f>IF(库存台账!$A866="","",库存台账!$A866)</f>
        <v/>
      </c>
      <c r="B866" s="24">
        <f>IF($A866="","",库存台账!$B866)</f>
        <v/>
      </c>
      <c r="C866" s="24">
        <f>IF($A866="","",库存台账!$C866)</f>
        <v/>
      </c>
      <c r="D866" s="24">
        <f>IF($A866="","",库存台账!$D866)</f>
        <v/>
      </c>
      <c r="E866" s="24">
        <f>IF($A866="","",库存台账!$E866)</f>
        <v/>
      </c>
      <c r="F866" s="24">
        <f>IF($A866="","",库存台账!$F866)</f>
        <v/>
      </c>
      <c r="G866" s="17" t="n"/>
      <c r="H866" s="23" t="n"/>
      <c r="I866" s="27">
        <f>IF($A866="","",库存台账!$X866)</f>
        <v/>
      </c>
      <c r="J866" s="27">
        <f>IF(OR($A866="",$H866=""),"",ROUND($H866-$I866,3))</f>
        <v/>
      </c>
      <c r="K866" s="26">
        <f>IF($A866="","",库存台账!$K866)</f>
        <v/>
      </c>
      <c r="L866" s="26">
        <f>IF($J866="","",ROUND($J866*$K866,0))</f>
        <v/>
      </c>
      <c r="M866" s="37">
        <f>IF(OR($J866="",$I866=0),"",ROUND($J866/$I866,4))</f>
        <v/>
      </c>
      <c r="N866" s="17" t="n"/>
      <c r="O866" s="17" t="n"/>
      <c r="P866" s="24">
        <f>IF($J866="","未盘",IF(ROUND($J866,3)=0,"账实相符",IF(COUNTIFS(入库单!$G$4:$G$2503,$A866,入库单!$X$4:$X$2503,"盘盈",入库单!$C$4:$C$2503,"&gt;="&amp;账期起,入库单!$C$4:$C$2503,"&lt;="&amp;账期止)+COUNTIFS(出库单!$D$4:$D$4003,$A866,出库单!$K$4:$K$4003,"盘亏",出库单!$C$4:$C$4003,"&gt;="&amp;账期起,出库单!$C$4:$C$4003,"&lt;="&amp;账期止)&gt;0,"已调账","※差异还没调账")))</f>
        <v/>
      </c>
      <c r="Q866" s="17" t="n"/>
      <c r="R866" s="17" t="n"/>
    </row>
    <row r="867">
      <c r="A867" s="24">
        <f>IF(库存台账!$A867="","",库存台账!$A867)</f>
        <v/>
      </c>
      <c r="B867" s="24">
        <f>IF($A867="","",库存台账!$B867)</f>
        <v/>
      </c>
      <c r="C867" s="24">
        <f>IF($A867="","",库存台账!$C867)</f>
        <v/>
      </c>
      <c r="D867" s="24">
        <f>IF($A867="","",库存台账!$D867)</f>
        <v/>
      </c>
      <c r="E867" s="24">
        <f>IF($A867="","",库存台账!$E867)</f>
        <v/>
      </c>
      <c r="F867" s="24">
        <f>IF($A867="","",库存台账!$F867)</f>
        <v/>
      </c>
      <c r="G867" s="17" t="n"/>
      <c r="H867" s="23" t="n"/>
      <c r="I867" s="27">
        <f>IF($A867="","",库存台账!$X867)</f>
        <v/>
      </c>
      <c r="J867" s="27">
        <f>IF(OR($A867="",$H867=""),"",ROUND($H867-$I867,3))</f>
        <v/>
      </c>
      <c r="K867" s="26">
        <f>IF($A867="","",库存台账!$K867)</f>
        <v/>
      </c>
      <c r="L867" s="26">
        <f>IF($J867="","",ROUND($J867*$K867,0))</f>
        <v/>
      </c>
      <c r="M867" s="37">
        <f>IF(OR($J867="",$I867=0),"",ROUND($J867/$I867,4))</f>
        <v/>
      </c>
      <c r="N867" s="17" t="n"/>
      <c r="O867" s="17" t="n"/>
      <c r="P867" s="24">
        <f>IF($J867="","未盘",IF(ROUND($J867,3)=0,"账实相符",IF(COUNTIFS(入库单!$G$4:$G$2503,$A867,入库单!$X$4:$X$2503,"盘盈",入库单!$C$4:$C$2503,"&gt;="&amp;账期起,入库单!$C$4:$C$2503,"&lt;="&amp;账期止)+COUNTIFS(出库单!$D$4:$D$4003,$A867,出库单!$K$4:$K$4003,"盘亏",出库单!$C$4:$C$4003,"&gt;="&amp;账期起,出库单!$C$4:$C$4003,"&lt;="&amp;账期止)&gt;0,"已调账","※差异还没调账")))</f>
        <v/>
      </c>
      <c r="Q867" s="17" t="n"/>
      <c r="R867" s="17" t="n"/>
    </row>
    <row r="868">
      <c r="A868" s="24">
        <f>IF(库存台账!$A868="","",库存台账!$A868)</f>
        <v/>
      </c>
      <c r="B868" s="24">
        <f>IF($A868="","",库存台账!$B868)</f>
        <v/>
      </c>
      <c r="C868" s="24">
        <f>IF($A868="","",库存台账!$C868)</f>
        <v/>
      </c>
      <c r="D868" s="24">
        <f>IF($A868="","",库存台账!$D868)</f>
        <v/>
      </c>
      <c r="E868" s="24">
        <f>IF($A868="","",库存台账!$E868)</f>
        <v/>
      </c>
      <c r="F868" s="24">
        <f>IF($A868="","",库存台账!$F868)</f>
        <v/>
      </c>
      <c r="G868" s="17" t="n"/>
      <c r="H868" s="23" t="n"/>
      <c r="I868" s="27">
        <f>IF($A868="","",库存台账!$X868)</f>
        <v/>
      </c>
      <c r="J868" s="27">
        <f>IF(OR($A868="",$H868=""),"",ROUND($H868-$I868,3))</f>
        <v/>
      </c>
      <c r="K868" s="26">
        <f>IF($A868="","",库存台账!$K868)</f>
        <v/>
      </c>
      <c r="L868" s="26">
        <f>IF($J868="","",ROUND($J868*$K868,0))</f>
        <v/>
      </c>
      <c r="M868" s="37">
        <f>IF(OR($J868="",$I868=0),"",ROUND($J868/$I868,4))</f>
        <v/>
      </c>
      <c r="N868" s="17" t="n"/>
      <c r="O868" s="17" t="n"/>
      <c r="P868" s="24">
        <f>IF($J868="","未盘",IF(ROUND($J868,3)=0,"账实相符",IF(COUNTIFS(入库单!$G$4:$G$2503,$A868,入库单!$X$4:$X$2503,"盘盈",入库单!$C$4:$C$2503,"&gt;="&amp;账期起,入库单!$C$4:$C$2503,"&lt;="&amp;账期止)+COUNTIFS(出库单!$D$4:$D$4003,$A868,出库单!$K$4:$K$4003,"盘亏",出库单!$C$4:$C$4003,"&gt;="&amp;账期起,出库单!$C$4:$C$4003,"&lt;="&amp;账期止)&gt;0,"已调账","※差异还没调账")))</f>
        <v/>
      </c>
      <c r="Q868" s="17" t="n"/>
      <c r="R868" s="17" t="n"/>
    </row>
    <row r="869">
      <c r="A869" s="24">
        <f>IF(库存台账!$A869="","",库存台账!$A869)</f>
        <v/>
      </c>
      <c r="B869" s="24">
        <f>IF($A869="","",库存台账!$B869)</f>
        <v/>
      </c>
      <c r="C869" s="24">
        <f>IF($A869="","",库存台账!$C869)</f>
        <v/>
      </c>
      <c r="D869" s="24">
        <f>IF($A869="","",库存台账!$D869)</f>
        <v/>
      </c>
      <c r="E869" s="24">
        <f>IF($A869="","",库存台账!$E869)</f>
        <v/>
      </c>
      <c r="F869" s="24">
        <f>IF($A869="","",库存台账!$F869)</f>
        <v/>
      </c>
      <c r="G869" s="17" t="n"/>
      <c r="H869" s="23" t="n"/>
      <c r="I869" s="27">
        <f>IF($A869="","",库存台账!$X869)</f>
        <v/>
      </c>
      <c r="J869" s="27">
        <f>IF(OR($A869="",$H869=""),"",ROUND($H869-$I869,3))</f>
        <v/>
      </c>
      <c r="K869" s="26">
        <f>IF($A869="","",库存台账!$K869)</f>
        <v/>
      </c>
      <c r="L869" s="26">
        <f>IF($J869="","",ROUND($J869*$K869,0))</f>
        <v/>
      </c>
      <c r="M869" s="37">
        <f>IF(OR($J869="",$I869=0),"",ROUND($J869/$I869,4))</f>
        <v/>
      </c>
      <c r="N869" s="17" t="n"/>
      <c r="O869" s="17" t="n"/>
      <c r="P869" s="24">
        <f>IF($J869="","未盘",IF(ROUND($J869,3)=0,"账实相符",IF(COUNTIFS(入库单!$G$4:$G$2503,$A869,入库单!$X$4:$X$2503,"盘盈",入库单!$C$4:$C$2503,"&gt;="&amp;账期起,入库单!$C$4:$C$2503,"&lt;="&amp;账期止)+COUNTIFS(出库单!$D$4:$D$4003,$A869,出库单!$K$4:$K$4003,"盘亏",出库单!$C$4:$C$4003,"&gt;="&amp;账期起,出库单!$C$4:$C$4003,"&lt;="&amp;账期止)&gt;0,"已调账","※差异还没调账")))</f>
        <v/>
      </c>
      <c r="Q869" s="17" t="n"/>
      <c r="R869" s="17" t="n"/>
    </row>
    <row r="870">
      <c r="A870" s="24">
        <f>IF(库存台账!$A870="","",库存台账!$A870)</f>
        <v/>
      </c>
      <c r="B870" s="24">
        <f>IF($A870="","",库存台账!$B870)</f>
        <v/>
      </c>
      <c r="C870" s="24">
        <f>IF($A870="","",库存台账!$C870)</f>
        <v/>
      </c>
      <c r="D870" s="24">
        <f>IF($A870="","",库存台账!$D870)</f>
        <v/>
      </c>
      <c r="E870" s="24">
        <f>IF($A870="","",库存台账!$E870)</f>
        <v/>
      </c>
      <c r="F870" s="24">
        <f>IF($A870="","",库存台账!$F870)</f>
        <v/>
      </c>
      <c r="G870" s="17" t="n"/>
      <c r="H870" s="23" t="n"/>
      <c r="I870" s="27">
        <f>IF($A870="","",库存台账!$X870)</f>
        <v/>
      </c>
      <c r="J870" s="27">
        <f>IF(OR($A870="",$H870=""),"",ROUND($H870-$I870,3))</f>
        <v/>
      </c>
      <c r="K870" s="26">
        <f>IF($A870="","",库存台账!$K870)</f>
        <v/>
      </c>
      <c r="L870" s="26">
        <f>IF($J870="","",ROUND($J870*$K870,0))</f>
        <v/>
      </c>
      <c r="M870" s="37">
        <f>IF(OR($J870="",$I870=0),"",ROUND($J870/$I870,4))</f>
        <v/>
      </c>
      <c r="N870" s="17" t="n"/>
      <c r="O870" s="17" t="n"/>
      <c r="P870" s="24">
        <f>IF($J870="","未盘",IF(ROUND($J870,3)=0,"账实相符",IF(COUNTIFS(入库单!$G$4:$G$2503,$A870,入库单!$X$4:$X$2503,"盘盈",入库单!$C$4:$C$2503,"&gt;="&amp;账期起,入库单!$C$4:$C$2503,"&lt;="&amp;账期止)+COUNTIFS(出库单!$D$4:$D$4003,$A870,出库单!$K$4:$K$4003,"盘亏",出库单!$C$4:$C$4003,"&gt;="&amp;账期起,出库单!$C$4:$C$4003,"&lt;="&amp;账期止)&gt;0,"已调账","※差异还没调账")))</f>
        <v/>
      </c>
      <c r="Q870" s="17" t="n"/>
      <c r="R870" s="17" t="n"/>
    </row>
    <row r="871">
      <c r="A871" s="24">
        <f>IF(库存台账!$A871="","",库存台账!$A871)</f>
        <v/>
      </c>
      <c r="B871" s="24">
        <f>IF($A871="","",库存台账!$B871)</f>
        <v/>
      </c>
      <c r="C871" s="24">
        <f>IF($A871="","",库存台账!$C871)</f>
        <v/>
      </c>
      <c r="D871" s="24">
        <f>IF($A871="","",库存台账!$D871)</f>
        <v/>
      </c>
      <c r="E871" s="24">
        <f>IF($A871="","",库存台账!$E871)</f>
        <v/>
      </c>
      <c r="F871" s="24">
        <f>IF($A871="","",库存台账!$F871)</f>
        <v/>
      </c>
      <c r="G871" s="17" t="n"/>
      <c r="H871" s="23" t="n"/>
      <c r="I871" s="27">
        <f>IF($A871="","",库存台账!$X871)</f>
        <v/>
      </c>
      <c r="J871" s="27">
        <f>IF(OR($A871="",$H871=""),"",ROUND($H871-$I871,3))</f>
        <v/>
      </c>
      <c r="K871" s="26">
        <f>IF($A871="","",库存台账!$K871)</f>
        <v/>
      </c>
      <c r="L871" s="26">
        <f>IF($J871="","",ROUND($J871*$K871,0))</f>
        <v/>
      </c>
      <c r="M871" s="37">
        <f>IF(OR($J871="",$I871=0),"",ROUND($J871/$I871,4))</f>
        <v/>
      </c>
      <c r="N871" s="17" t="n"/>
      <c r="O871" s="17" t="n"/>
      <c r="P871" s="24">
        <f>IF($J871="","未盘",IF(ROUND($J871,3)=0,"账实相符",IF(COUNTIFS(入库单!$G$4:$G$2503,$A871,入库单!$X$4:$X$2503,"盘盈",入库单!$C$4:$C$2503,"&gt;="&amp;账期起,入库单!$C$4:$C$2503,"&lt;="&amp;账期止)+COUNTIFS(出库单!$D$4:$D$4003,$A871,出库单!$K$4:$K$4003,"盘亏",出库单!$C$4:$C$4003,"&gt;="&amp;账期起,出库单!$C$4:$C$4003,"&lt;="&amp;账期止)&gt;0,"已调账","※差异还没调账")))</f>
        <v/>
      </c>
      <c r="Q871" s="17" t="n"/>
      <c r="R871" s="17" t="n"/>
    </row>
    <row r="872">
      <c r="A872" s="24">
        <f>IF(库存台账!$A872="","",库存台账!$A872)</f>
        <v/>
      </c>
      <c r="B872" s="24">
        <f>IF($A872="","",库存台账!$B872)</f>
        <v/>
      </c>
      <c r="C872" s="24">
        <f>IF($A872="","",库存台账!$C872)</f>
        <v/>
      </c>
      <c r="D872" s="24">
        <f>IF($A872="","",库存台账!$D872)</f>
        <v/>
      </c>
      <c r="E872" s="24">
        <f>IF($A872="","",库存台账!$E872)</f>
        <v/>
      </c>
      <c r="F872" s="24">
        <f>IF($A872="","",库存台账!$F872)</f>
        <v/>
      </c>
      <c r="G872" s="17" t="n"/>
      <c r="H872" s="23" t="n"/>
      <c r="I872" s="27">
        <f>IF($A872="","",库存台账!$X872)</f>
        <v/>
      </c>
      <c r="J872" s="27">
        <f>IF(OR($A872="",$H872=""),"",ROUND($H872-$I872,3))</f>
        <v/>
      </c>
      <c r="K872" s="26">
        <f>IF($A872="","",库存台账!$K872)</f>
        <v/>
      </c>
      <c r="L872" s="26">
        <f>IF($J872="","",ROUND($J872*$K872,0))</f>
        <v/>
      </c>
      <c r="M872" s="37">
        <f>IF(OR($J872="",$I872=0),"",ROUND($J872/$I872,4))</f>
        <v/>
      </c>
      <c r="N872" s="17" t="n"/>
      <c r="O872" s="17" t="n"/>
      <c r="P872" s="24">
        <f>IF($J872="","未盘",IF(ROUND($J872,3)=0,"账实相符",IF(COUNTIFS(入库单!$G$4:$G$2503,$A872,入库单!$X$4:$X$2503,"盘盈",入库单!$C$4:$C$2503,"&gt;="&amp;账期起,入库单!$C$4:$C$2503,"&lt;="&amp;账期止)+COUNTIFS(出库单!$D$4:$D$4003,$A872,出库单!$K$4:$K$4003,"盘亏",出库单!$C$4:$C$4003,"&gt;="&amp;账期起,出库单!$C$4:$C$4003,"&lt;="&amp;账期止)&gt;0,"已调账","※差异还没调账")))</f>
        <v/>
      </c>
      <c r="Q872" s="17" t="n"/>
      <c r="R872" s="17" t="n"/>
    </row>
    <row r="873">
      <c r="A873" s="24">
        <f>IF(库存台账!$A873="","",库存台账!$A873)</f>
        <v/>
      </c>
      <c r="B873" s="24">
        <f>IF($A873="","",库存台账!$B873)</f>
        <v/>
      </c>
      <c r="C873" s="24">
        <f>IF($A873="","",库存台账!$C873)</f>
        <v/>
      </c>
      <c r="D873" s="24">
        <f>IF($A873="","",库存台账!$D873)</f>
        <v/>
      </c>
      <c r="E873" s="24">
        <f>IF($A873="","",库存台账!$E873)</f>
        <v/>
      </c>
      <c r="F873" s="24">
        <f>IF($A873="","",库存台账!$F873)</f>
        <v/>
      </c>
      <c r="G873" s="17" t="n"/>
      <c r="H873" s="23" t="n"/>
      <c r="I873" s="27">
        <f>IF($A873="","",库存台账!$X873)</f>
        <v/>
      </c>
      <c r="J873" s="27">
        <f>IF(OR($A873="",$H873=""),"",ROUND($H873-$I873,3))</f>
        <v/>
      </c>
      <c r="K873" s="26">
        <f>IF($A873="","",库存台账!$K873)</f>
        <v/>
      </c>
      <c r="L873" s="26">
        <f>IF($J873="","",ROUND($J873*$K873,0))</f>
        <v/>
      </c>
      <c r="M873" s="37">
        <f>IF(OR($J873="",$I873=0),"",ROUND($J873/$I873,4))</f>
        <v/>
      </c>
      <c r="N873" s="17" t="n"/>
      <c r="O873" s="17" t="n"/>
      <c r="P873" s="24">
        <f>IF($J873="","未盘",IF(ROUND($J873,3)=0,"账实相符",IF(COUNTIFS(入库单!$G$4:$G$2503,$A873,入库单!$X$4:$X$2503,"盘盈",入库单!$C$4:$C$2503,"&gt;="&amp;账期起,入库单!$C$4:$C$2503,"&lt;="&amp;账期止)+COUNTIFS(出库单!$D$4:$D$4003,$A873,出库单!$K$4:$K$4003,"盘亏",出库单!$C$4:$C$4003,"&gt;="&amp;账期起,出库单!$C$4:$C$4003,"&lt;="&amp;账期止)&gt;0,"已调账","※差异还没调账")))</f>
        <v/>
      </c>
      <c r="Q873" s="17" t="n"/>
      <c r="R873" s="17" t="n"/>
    </row>
    <row r="874">
      <c r="A874" s="24">
        <f>IF(库存台账!$A874="","",库存台账!$A874)</f>
        <v/>
      </c>
      <c r="B874" s="24">
        <f>IF($A874="","",库存台账!$B874)</f>
        <v/>
      </c>
      <c r="C874" s="24">
        <f>IF($A874="","",库存台账!$C874)</f>
        <v/>
      </c>
      <c r="D874" s="24">
        <f>IF($A874="","",库存台账!$D874)</f>
        <v/>
      </c>
      <c r="E874" s="24">
        <f>IF($A874="","",库存台账!$E874)</f>
        <v/>
      </c>
      <c r="F874" s="24">
        <f>IF($A874="","",库存台账!$F874)</f>
        <v/>
      </c>
      <c r="G874" s="17" t="n"/>
      <c r="H874" s="23" t="n"/>
      <c r="I874" s="27">
        <f>IF($A874="","",库存台账!$X874)</f>
        <v/>
      </c>
      <c r="J874" s="27">
        <f>IF(OR($A874="",$H874=""),"",ROUND($H874-$I874,3))</f>
        <v/>
      </c>
      <c r="K874" s="26">
        <f>IF($A874="","",库存台账!$K874)</f>
        <v/>
      </c>
      <c r="L874" s="26">
        <f>IF($J874="","",ROUND($J874*$K874,0))</f>
        <v/>
      </c>
      <c r="M874" s="37">
        <f>IF(OR($J874="",$I874=0),"",ROUND($J874/$I874,4))</f>
        <v/>
      </c>
      <c r="N874" s="17" t="n"/>
      <c r="O874" s="17" t="n"/>
      <c r="P874" s="24">
        <f>IF($J874="","未盘",IF(ROUND($J874,3)=0,"账实相符",IF(COUNTIFS(入库单!$G$4:$G$2503,$A874,入库单!$X$4:$X$2503,"盘盈",入库单!$C$4:$C$2503,"&gt;="&amp;账期起,入库单!$C$4:$C$2503,"&lt;="&amp;账期止)+COUNTIFS(出库单!$D$4:$D$4003,$A874,出库单!$K$4:$K$4003,"盘亏",出库单!$C$4:$C$4003,"&gt;="&amp;账期起,出库单!$C$4:$C$4003,"&lt;="&amp;账期止)&gt;0,"已调账","※差异还没调账")))</f>
        <v/>
      </c>
      <c r="Q874" s="17" t="n"/>
      <c r="R874" s="17" t="n"/>
    </row>
    <row r="875">
      <c r="A875" s="24">
        <f>IF(库存台账!$A875="","",库存台账!$A875)</f>
        <v/>
      </c>
      <c r="B875" s="24">
        <f>IF($A875="","",库存台账!$B875)</f>
        <v/>
      </c>
      <c r="C875" s="24">
        <f>IF($A875="","",库存台账!$C875)</f>
        <v/>
      </c>
      <c r="D875" s="24">
        <f>IF($A875="","",库存台账!$D875)</f>
        <v/>
      </c>
      <c r="E875" s="24">
        <f>IF($A875="","",库存台账!$E875)</f>
        <v/>
      </c>
      <c r="F875" s="24">
        <f>IF($A875="","",库存台账!$F875)</f>
        <v/>
      </c>
      <c r="G875" s="17" t="n"/>
      <c r="H875" s="23" t="n"/>
      <c r="I875" s="27">
        <f>IF($A875="","",库存台账!$X875)</f>
        <v/>
      </c>
      <c r="J875" s="27">
        <f>IF(OR($A875="",$H875=""),"",ROUND($H875-$I875,3))</f>
        <v/>
      </c>
      <c r="K875" s="26">
        <f>IF($A875="","",库存台账!$K875)</f>
        <v/>
      </c>
      <c r="L875" s="26">
        <f>IF($J875="","",ROUND($J875*$K875,0))</f>
        <v/>
      </c>
      <c r="M875" s="37">
        <f>IF(OR($J875="",$I875=0),"",ROUND($J875/$I875,4))</f>
        <v/>
      </c>
      <c r="N875" s="17" t="n"/>
      <c r="O875" s="17" t="n"/>
      <c r="P875" s="24">
        <f>IF($J875="","未盘",IF(ROUND($J875,3)=0,"账实相符",IF(COUNTIFS(入库单!$G$4:$G$2503,$A875,入库单!$X$4:$X$2503,"盘盈",入库单!$C$4:$C$2503,"&gt;="&amp;账期起,入库单!$C$4:$C$2503,"&lt;="&amp;账期止)+COUNTIFS(出库单!$D$4:$D$4003,$A875,出库单!$K$4:$K$4003,"盘亏",出库单!$C$4:$C$4003,"&gt;="&amp;账期起,出库单!$C$4:$C$4003,"&lt;="&amp;账期止)&gt;0,"已调账","※差异还没调账")))</f>
        <v/>
      </c>
      <c r="Q875" s="17" t="n"/>
      <c r="R875" s="17" t="n"/>
    </row>
    <row r="876">
      <c r="A876" s="24">
        <f>IF(库存台账!$A876="","",库存台账!$A876)</f>
        <v/>
      </c>
      <c r="B876" s="24">
        <f>IF($A876="","",库存台账!$B876)</f>
        <v/>
      </c>
      <c r="C876" s="24">
        <f>IF($A876="","",库存台账!$C876)</f>
        <v/>
      </c>
      <c r="D876" s="24">
        <f>IF($A876="","",库存台账!$D876)</f>
        <v/>
      </c>
      <c r="E876" s="24">
        <f>IF($A876="","",库存台账!$E876)</f>
        <v/>
      </c>
      <c r="F876" s="24">
        <f>IF($A876="","",库存台账!$F876)</f>
        <v/>
      </c>
      <c r="G876" s="17" t="n"/>
      <c r="H876" s="23" t="n"/>
      <c r="I876" s="27">
        <f>IF($A876="","",库存台账!$X876)</f>
        <v/>
      </c>
      <c r="J876" s="27">
        <f>IF(OR($A876="",$H876=""),"",ROUND($H876-$I876,3))</f>
        <v/>
      </c>
      <c r="K876" s="26">
        <f>IF($A876="","",库存台账!$K876)</f>
        <v/>
      </c>
      <c r="L876" s="26">
        <f>IF($J876="","",ROUND($J876*$K876,0))</f>
        <v/>
      </c>
      <c r="M876" s="37">
        <f>IF(OR($J876="",$I876=0),"",ROUND($J876/$I876,4))</f>
        <v/>
      </c>
      <c r="N876" s="17" t="n"/>
      <c r="O876" s="17" t="n"/>
      <c r="P876" s="24">
        <f>IF($J876="","未盘",IF(ROUND($J876,3)=0,"账实相符",IF(COUNTIFS(入库单!$G$4:$G$2503,$A876,入库单!$X$4:$X$2503,"盘盈",入库单!$C$4:$C$2503,"&gt;="&amp;账期起,入库单!$C$4:$C$2503,"&lt;="&amp;账期止)+COUNTIFS(出库单!$D$4:$D$4003,$A876,出库单!$K$4:$K$4003,"盘亏",出库单!$C$4:$C$4003,"&gt;="&amp;账期起,出库单!$C$4:$C$4003,"&lt;="&amp;账期止)&gt;0,"已调账","※差异还没调账")))</f>
        <v/>
      </c>
      <c r="Q876" s="17" t="n"/>
      <c r="R876" s="17" t="n"/>
    </row>
    <row r="877">
      <c r="A877" s="24">
        <f>IF(库存台账!$A877="","",库存台账!$A877)</f>
        <v/>
      </c>
      <c r="B877" s="24">
        <f>IF($A877="","",库存台账!$B877)</f>
        <v/>
      </c>
      <c r="C877" s="24">
        <f>IF($A877="","",库存台账!$C877)</f>
        <v/>
      </c>
      <c r="D877" s="24">
        <f>IF($A877="","",库存台账!$D877)</f>
        <v/>
      </c>
      <c r="E877" s="24">
        <f>IF($A877="","",库存台账!$E877)</f>
        <v/>
      </c>
      <c r="F877" s="24">
        <f>IF($A877="","",库存台账!$F877)</f>
        <v/>
      </c>
      <c r="G877" s="17" t="n"/>
      <c r="H877" s="23" t="n"/>
      <c r="I877" s="27">
        <f>IF($A877="","",库存台账!$X877)</f>
        <v/>
      </c>
      <c r="J877" s="27">
        <f>IF(OR($A877="",$H877=""),"",ROUND($H877-$I877,3))</f>
        <v/>
      </c>
      <c r="K877" s="26">
        <f>IF($A877="","",库存台账!$K877)</f>
        <v/>
      </c>
      <c r="L877" s="26">
        <f>IF($J877="","",ROUND($J877*$K877,0))</f>
        <v/>
      </c>
      <c r="M877" s="37">
        <f>IF(OR($J877="",$I877=0),"",ROUND($J877/$I877,4))</f>
        <v/>
      </c>
      <c r="N877" s="17" t="n"/>
      <c r="O877" s="17" t="n"/>
      <c r="P877" s="24">
        <f>IF($J877="","未盘",IF(ROUND($J877,3)=0,"账实相符",IF(COUNTIFS(入库单!$G$4:$G$2503,$A877,入库单!$X$4:$X$2503,"盘盈",入库单!$C$4:$C$2503,"&gt;="&amp;账期起,入库单!$C$4:$C$2503,"&lt;="&amp;账期止)+COUNTIFS(出库单!$D$4:$D$4003,$A877,出库单!$K$4:$K$4003,"盘亏",出库单!$C$4:$C$4003,"&gt;="&amp;账期起,出库单!$C$4:$C$4003,"&lt;="&amp;账期止)&gt;0,"已调账","※差异还没调账")))</f>
        <v/>
      </c>
      <c r="Q877" s="17" t="n"/>
      <c r="R877" s="17" t="n"/>
    </row>
    <row r="878">
      <c r="A878" s="24">
        <f>IF(库存台账!$A878="","",库存台账!$A878)</f>
        <v/>
      </c>
      <c r="B878" s="24">
        <f>IF($A878="","",库存台账!$B878)</f>
        <v/>
      </c>
      <c r="C878" s="24">
        <f>IF($A878="","",库存台账!$C878)</f>
        <v/>
      </c>
      <c r="D878" s="24">
        <f>IF($A878="","",库存台账!$D878)</f>
        <v/>
      </c>
      <c r="E878" s="24">
        <f>IF($A878="","",库存台账!$E878)</f>
        <v/>
      </c>
      <c r="F878" s="24">
        <f>IF($A878="","",库存台账!$F878)</f>
        <v/>
      </c>
      <c r="G878" s="17" t="n"/>
      <c r="H878" s="23" t="n"/>
      <c r="I878" s="27">
        <f>IF($A878="","",库存台账!$X878)</f>
        <v/>
      </c>
      <c r="J878" s="27">
        <f>IF(OR($A878="",$H878=""),"",ROUND($H878-$I878,3))</f>
        <v/>
      </c>
      <c r="K878" s="26">
        <f>IF($A878="","",库存台账!$K878)</f>
        <v/>
      </c>
      <c r="L878" s="26">
        <f>IF($J878="","",ROUND($J878*$K878,0))</f>
        <v/>
      </c>
      <c r="M878" s="37">
        <f>IF(OR($J878="",$I878=0),"",ROUND($J878/$I878,4))</f>
        <v/>
      </c>
      <c r="N878" s="17" t="n"/>
      <c r="O878" s="17" t="n"/>
      <c r="P878" s="24">
        <f>IF($J878="","未盘",IF(ROUND($J878,3)=0,"账实相符",IF(COUNTIFS(入库单!$G$4:$G$2503,$A878,入库单!$X$4:$X$2503,"盘盈",入库单!$C$4:$C$2503,"&gt;="&amp;账期起,入库单!$C$4:$C$2503,"&lt;="&amp;账期止)+COUNTIFS(出库单!$D$4:$D$4003,$A878,出库单!$K$4:$K$4003,"盘亏",出库单!$C$4:$C$4003,"&gt;="&amp;账期起,出库单!$C$4:$C$4003,"&lt;="&amp;账期止)&gt;0,"已调账","※差异还没调账")))</f>
        <v/>
      </c>
      <c r="Q878" s="17" t="n"/>
      <c r="R878" s="17" t="n"/>
    </row>
    <row r="879">
      <c r="A879" s="24">
        <f>IF(库存台账!$A879="","",库存台账!$A879)</f>
        <v/>
      </c>
      <c r="B879" s="24">
        <f>IF($A879="","",库存台账!$B879)</f>
        <v/>
      </c>
      <c r="C879" s="24">
        <f>IF($A879="","",库存台账!$C879)</f>
        <v/>
      </c>
      <c r="D879" s="24">
        <f>IF($A879="","",库存台账!$D879)</f>
        <v/>
      </c>
      <c r="E879" s="24">
        <f>IF($A879="","",库存台账!$E879)</f>
        <v/>
      </c>
      <c r="F879" s="24">
        <f>IF($A879="","",库存台账!$F879)</f>
        <v/>
      </c>
      <c r="G879" s="17" t="n"/>
      <c r="H879" s="23" t="n"/>
      <c r="I879" s="27">
        <f>IF($A879="","",库存台账!$X879)</f>
        <v/>
      </c>
      <c r="J879" s="27">
        <f>IF(OR($A879="",$H879=""),"",ROUND($H879-$I879,3))</f>
        <v/>
      </c>
      <c r="K879" s="26">
        <f>IF($A879="","",库存台账!$K879)</f>
        <v/>
      </c>
      <c r="L879" s="26">
        <f>IF($J879="","",ROUND($J879*$K879,0))</f>
        <v/>
      </c>
      <c r="M879" s="37">
        <f>IF(OR($J879="",$I879=0),"",ROUND($J879/$I879,4))</f>
        <v/>
      </c>
      <c r="N879" s="17" t="n"/>
      <c r="O879" s="17" t="n"/>
      <c r="P879" s="24">
        <f>IF($J879="","未盘",IF(ROUND($J879,3)=0,"账实相符",IF(COUNTIFS(入库单!$G$4:$G$2503,$A879,入库单!$X$4:$X$2503,"盘盈",入库单!$C$4:$C$2503,"&gt;="&amp;账期起,入库单!$C$4:$C$2503,"&lt;="&amp;账期止)+COUNTIFS(出库单!$D$4:$D$4003,$A879,出库单!$K$4:$K$4003,"盘亏",出库单!$C$4:$C$4003,"&gt;="&amp;账期起,出库单!$C$4:$C$4003,"&lt;="&amp;账期止)&gt;0,"已调账","※差异还没调账")))</f>
        <v/>
      </c>
      <c r="Q879" s="17" t="n"/>
      <c r="R879" s="17" t="n"/>
    </row>
    <row r="880">
      <c r="A880" s="24">
        <f>IF(库存台账!$A880="","",库存台账!$A880)</f>
        <v/>
      </c>
      <c r="B880" s="24">
        <f>IF($A880="","",库存台账!$B880)</f>
        <v/>
      </c>
      <c r="C880" s="24">
        <f>IF($A880="","",库存台账!$C880)</f>
        <v/>
      </c>
      <c r="D880" s="24">
        <f>IF($A880="","",库存台账!$D880)</f>
        <v/>
      </c>
      <c r="E880" s="24">
        <f>IF($A880="","",库存台账!$E880)</f>
        <v/>
      </c>
      <c r="F880" s="24">
        <f>IF($A880="","",库存台账!$F880)</f>
        <v/>
      </c>
      <c r="G880" s="17" t="n"/>
      <c r="H880" s="23" t="n"/>
      <c r="I880" s="27">
        <f>IF($A880="","",库存台账!$X880)</f>
        <v/>
      </c>
      <c r="J880" s="27">
        <f>IF(OR($A880="",$H880=""),"",ROUND($H880-$I880,3))</f>
        <v/>
      </c>
      <c r="K880" s="26">
        <f>IF($A880="","",库存台账!$K880)</f>
        <v/>
      </c>
      <c r="L880" s="26">
        <f>IF($J880="","",ROUND($J880*$K880,0))</f>
        <v/>
      </c>
      <c r="M880" s="37">
        <f>IF(OR($J880="",$I880=0),"",ROUND($J880/$I880,4))</f>
        <v/>
      </c>
      <c r="N880" s="17" t="n"/>
      <c r="O880" s="17" t="n"/>
      <c r="P880" s="24">
        <f>IF($J880="","未盘",IF(ROUND($J880,3)=0,"账实相符",IF(COUNTIFS(入库单!$G$4:$G$2503,$A880,入库单!$X$4:$X$2503,"盘盈",入库单!$C$4:$C$2503,"&gt;="&amp;账期起,入库单!$C$4:$C$2503,"&lt;="&amp;账期止)+COUNTIFS(出库单!$D$4:$D$4003,$A880,出库单!$K$4:$K$4003,"盘亏",出库单!$C$4:$C$4003,"&gt;="&amp;账期起,出库单!$C$4:$C$4003,"&lt;="&amp;账期止)&gt;0,"已调账","※差异还没调账")))</f>
        <v/>
      </c>
      <c r="Q880" s="17" t="n"/>
      <c r="R880" s="17" t="n"/>
    </row>
    <row r="881">
      <c r="A881" s="24">
        <f>IF(库存台账!$A881="","",库存台账!$A881)</f>
        <v/>
      </c>
      <c r="B881" s="24">
        <f>IF($A881="","",库存台账!$B881)</f>
        <v/>
      </c>
      <c r="C881" s="24">
        <f>IF($A881="","",库存台账!$C881)</f>
        <v/>
      </c>
      <c r="D881" s="24">
        <f>IF($A881="","",库存台账!$D881)</f>
        <v/>
      </c>
      <c r="E881" s="24">
        <f>IF($A881="","",库存台账!$E881)</f>
        <v/>
      </c>
      <c r="F881" s="24">
        <f>IF($A881="","",库存台账!$F881)</f>
        <v/>
      </c>
      <c r="G881" s="17" t="n"/>
      <c r="H881" s="23" t="n"/>
      <c r="I881" s="27">
        <f>IF($A881="","",库存台账!$X881)</f>
        <v/>
      </c>
      <c r="J881" s="27">
        <f>IF(OR($A881="",$H881=""),"",ROUND($H881-$I881,3))</f>
        <v/>
      </c>
      <c r="K881" s="26">
        <f>IF($A881="","",库存台账!$K881)</f>
        <v/>
      </c>
      <c r="L881" s="26">
        <f>IF($J881="","",ROUND($J881*$K881,0))</f>
        <v/>
      </c>
      <c r="M881" s="37">
        <f>IF(OR($J881="",$I881=0),"",ROUND($J881/$I881,4))</f>
        <v/>
      </c>
      <c r="N881" s="17" t="n"/>
      <c r="O881" s="17" t="n"/>
      <c r="P881" s="24">
        <f>IF($J881="","未盘",IF(ROUND($J881,3)=0,"账实相符",IF(COUNTIFS(入库单!$G$4:$G$2503,$A881,入库单!$X$4:$X$2503,"盘盈",入库单!$C$4:$C$2503,"&gt;="&amp;账期起,入库单!$C$4:$C$2503,"&lt;="&amp;账期止)+COUNTIFS(出库单!$D$4:$D$4003,$A881,出库单!$K$4:$K$4003,"盘亏",出库单!$C$4:$C$4003,"&gt;="&amp;账期起,出库单!$C$4:$C$4003,"&lt;="&amp;账期止)&gt;0,"已调账","※差异还没调账")))</f>
        <v/>
      </c>
      <c r="Q881" s="17" t="n"/>
      <c r="R881" s="17" t="n"/>
    </row>
    <row r="882">
      <c r="A882" s="24">
        <f>IF(库存台账!$A882="","",库存台账!$A882)</f>
        <v/>
      </c>
      <c r="B882" s="24">
        <f>IF($A882="","",库存台账!$B882)</f>
        <v/>
      </c>
      <c r="C882" s="24">
        <f>IF($A882="","",库存台账!$C882)</f>
        <v/>
      </c>
      <c r="D882" s="24">
        <f>IF($A882="","",库存台账!$D882)</f>
        <v/>
      </c>
      <c r="E882" s="24">
        <f>IF($A882="","",库存台账!$E882)</f>
        <v/>
      </c>
      <c r="F882" s="24">
        <f>IF($A882="","",库存台账!$F882)</f>
        <v/>
      </c>
      <c r="G882" s="17" t="n"/>
      <c r="H882" s="23" t="n"/>
      <c r="I882" s="27">
        <f>IF($A882="","",库存台账!$X882)</f>
        <v/>
      </c>
      <c r="J882" s="27">
        <f>IF(OR($A882="",$H882=""),"",ROUND($H882-$I882,3))</f>
        <v/>
      </c>
      <c r="K882" s="26">
        <f>IF($A882="","",库存台账!$K882)</f>
        <v/>
      </c>
      <c r="L882" s="26">
        <f>IF($J882="","",ROUND($J882*$K882,0))</f>
        <v/>
      </c>
      <c r="M882" s="37">
        <f>IF(OR($J882="",$I882=0),"",ROUND($J882/$I882,4))</f>
        <v/>
      </c>
      <c r="N882" s="17" t="n"/>
      <c r="O882" s="17" t="n"/>
      <c r="P882" s="24">
        <f>IF($J882="","未盘",IF(ROUND($J882,3)=0,"账实相符",IF(COUNTIFS(入库单!$G$4:$G$2503,$A882,入库单!$X$4:$X$2503,"盘盈",入库单!$C$4:$C$2503,"&gt;="&amp;账期起,入库单!$C$4:$C$2503,"&lt;="&amp;账期止)+COUNTIFS(出库单!$D$4:$D$4003,$A882,出库单!$K$4:$K$4003,"盘亏",出库单!$C$4:$C$4003,"&gt;="&amp;账期起,出库单!$C$4:$C$4003,"&lt;="&amp;账期止)&gt;0,"已调账","※差异还没调账")))</f>
        <v/>
      </c>
      <c r="Q882" s="17" t="n"/>
      <c r="R882" s="17" t="n"/>
    </row>
    <row r="883">
      <c r="A883" s="24">
        <f>IF(库存台账!$A883="","",库存台账!$A883)</f>
        <v/>
      </c>
      <c r="B883" s="24">
        <f>IF($A883="","",库存台账!$B883)</f>
        <v/>
      </c>
      <c r="C883" s="24">
        <f>IF($A883="","",库存台账!$C883)</f>
        <v/>
      </c>
      <c r="D883" s="24">
        <f>IF($A883="","",库存台账!$D883)</f>
        <v/>
      </c>
      <c r="E883" s="24">
        <f>IF($A883="","",库存台账!$E883)</f>
        <v/>
      </c>
      <c r="F883" s="24">
        <f>IF($A883="","",库存台账!$F883)</f>
        <v/>
      </c>
      <c r="G883" s="17" t="n"/>
      <c r="H883" s="23" t="n"/>
      <c r="I883" s="27">
        <f>IF($A883="","",库存台账!$X883)</f>
        <v/>
      </c>
      <c r="J883" s="27">
        <f>IF(OR($A883="",$H883=""),"",ROUND($H883-$I883,3))</f>
        <v/>
      </c>
      <c r="K883" s="26">
        <f>IF($A883="","",库存台账!$K883)</f>
        <v/>
      </c>
      <c r="L883" s="26">
        <f>IF($J883="","",ROUND($J883*$K883,0))</f>
        <v/>
      </c>
      <c r="M883" s="37">
        <f>IF(OR($J883="",$I883=0),"",ROUND($J883/$I883,4))</f>
        <v/>
      </c>
      <c r="N883" s="17" t="n"/>
      <c r="O883" s="17" t="n"/>
      <c r="P883" s="24">
        <f>IF($J883="","未盘",IF(ROUND($J883,3)=0,"账实相符",IF(COUNTIFS(入库单!$G$4:$G$2503,$A883,入库单!$X$4:$X$2503,"盘盈",入库单!$C$4:$C$2503,"&gt;="&amp;账期起,入库单!$C$4:$C$2503,"&lt;="&amp;账期止)+COUNTIFS(出库单!$D$4:$D$4003,$A883,出库单!$K$4:$K$4003,"盘亏",出库单!$C$4:$C$4003,"&gt;="&amp;账期起,出库单!$C$4:$C$4003,"&lt;="&amp;账期止)&gt;0,"已调账","※差异还没调账")))</f>
        <v/>
      </c>
      <c r="Q883" s="17" t="n"/>
      <c r="R883" s="17" t="n"/>
    </row>
    <row r="884">
      <c r="A884" s="24">
        <f>IF(库存台账!$A884="","",库存台账!$A884)</f>
        <v/>
      </c>
      <c r="B884" s="24">
        <f>IF($A884="","",库存台账!$B884)</f>
        <v/>
      </c>
      <c r="C884" s="24">
        <f>IF($A884="","",库存台账!$C884)</f>
        <v/>
      </c>
      <c r="D884" s="24">
        <f>IF($A884="","",库存台账!$D884)</f>
        <v/>
      </c>
      <c r="E884" s="24">
        <f>IF($A884="","",库存台账!$E884)</f>
        <v/>
      </c>
      <c r="F884" s="24">
        <f>IF($A884="","",库存台账!$F884)</f>
        <v/>
      </c>
      <c r="G884" s="17" t="n"/>
      <c r="H884" s="23" t="n"/>
      <c r="I884" s="27">
        <f>IF($A884="","",库存台账!$X884)</f>
        <v/>
      </c>
      <c r="J884" s="27">
        <f>IF(OR($A884="",$H884=""),"",ROUND($H884-$I884,3))</f>
        <v/>
      </c>
      <c r="K884" s="26">
        <f>IF($A884="","",库存台账!$K884)</f>
        <v/>
      </c>
      <c r="L884" s="26">
        <f>IF($J884="","",ROUND($J884*$K884,0))</f>
        <v/>
      </c>
      <c r="M884" s="37">
        <f>IF(OR($J884="",$I884=0),"",ROUND($J884/$I884,4))</f>
        <v/>
      </c>
      <c r="N884" s="17" t="n"/>
      <c r="O884" s="17" t="n"/>
      <c r="P884" s="24">
        <f>IF($J884="","未盘",IF(ROUND($J884,3)=0,"账实相符",IF(COUNTIFS(入库单!$G$4:$G$2503,$A884,入库单!$X$4:$X$2503,"盘盈",入库单!$C$4:$C$2503,"&gt;="&amp;账期起,入库单!$C$4:$C$2503,"&lt;="&amp;账期止)+COUNTIFS(出库单!$D$4:$D$4003,$A884,出库单!$K$4:$K$4003,"盘亏",出库单!$C$4:$C$4003,"&gt;="&amp;账期起,出库单!$C$4:$C$4003,"&lt;="&amp;账期止)&gt;0,"已调账","※差异还没调账")))</f>
        <v/>
      </c>
      <c r="Q884" s="17" t="n"/>
      <c r="R884" s="17" t="n"/>
    </row>
    <row r="885">
      <c r="A885" s="24">
        <f>IF(库存台账!$A885="","",库存台账!$A885)</f>
        <v/>
      </c>
      <c r="B885" s="24">
        <f>IF($A885="","",库存台账!$B885)</f>
        <v/>
      </c>
      <c r="C885" s="24">
        <f>IF($A885="","",库存台账!$C885)</f>
        <v/>
      </c>
      <c r="D885" s="24">
        <f>IF($A885="","",库存台账!$D885)</f>
        <v/>
      </c>
      <c r="E885" s="24">
        <f>IF($A885="","",库存台账!$E885)</f>
        <v/>
      </c>
      <c r="F885" s="24">
        <f>IF($A885="","",库存台账!$F885)</f>
        <v/>
      </c>
      <c r="G885" s="17" t="n"/>
      <c r="H885" s="23" t="n"/>
      <c r="I885" s="27">
        <f>IF($A885="","",库存台账!$X885)</f>
        <v/>
      </c>
      <c r="J885" s="27">
        <f>IF(OR($A885="",$H885=""),"",ROUND($H885-$I885,3))</f>
        <v/>
      </c>
      <c r="K885" s="26">
        <f>IF($A885="","",库存台账!$K885)</f>
        <v/>
      </c>
      <c r="L885" s="26">
        <f>IF($J885="","",ROUND($J885*$K885,0))</f>
        <v/>
      </c>
      <c r="M885" s="37">
        <f>IF(OR($J885="",$I885=0),"",ROUND($J885/$I885,4))</f>
        <v/>
      </c>
      <c r="N885" s="17" t="n"/>
      <c r="O885" s="17" t="n"/>
      <c r="P885" s="24">
        <f>IF($J885="","未盘",IF(ROUND($J885,3)=0,"账实相符",IF(COUNTIFS(入库单!$G$4:$G$2503,$A885,入库单!$X$4:$X$2503,"盘盈",入库单!$C$4:$C$2503,"&gt;="&amp;账期起,入库单!$C$4:$C$2503,"&lt;="&amp;账期止)+COUNTIFS(出库单!$D$4:$D$4003,$A885,出库单!$K$4:$K$4003,"盘亏",出库单!$C$4:$C$4003,"&gt;="&amp;账期起,出库单!$C$4:$C$4003,"&lt;="&amp;账期止)&gt;0,"已调账","※差异还没调账")))</f>
        <v/>
      </c>
      <c r="Q885" s="17" t="n"/>
      <c r="R885" s="17" t="n"/>
    </row>
    <row r="886">
      <c r="A886" s="24">
        <f>IF(库存台账!$A886="","",库存台账!$A886)</f>
        <v/>
      </c>
      <c r="B886" s="24">
        <f>IF($A886="","",库存台账!$B886)</f>
        <v/>
      </c>
      <c r="C886" s="24">
        <f>IF($A886="","",库存台账!$C886)</f>
        <v/>
      </c>
      <c r="D886" s="24">
        <f>IF($A886="","",库存台账!$D886)</f>
        <v/>
      </c>
      <c r="E886" s="24">
        <f>IF($A886="","",库存台账!$E886)</f>
        <v/>
      </c>
      <c r="F886" s="24">
        <f>IF($A886="","",库存台账!$F886)</f>
        <v/>
      </c>
      <c r="G886" s="17" t="n"/>
      <c r="H886" s="23" t="n"/>
      <c r="I886" s="27">
        <f>IF($A886="","",库存台账!$X886)</f>
        <v/>
      </c>
      <c r="J886" s="27">
        <f>IF(OR($A886="",$H886=""),"",ROUND($H886-$I886,3))</f>
        <v/>
      </c>
      <c r="K886" s="26">
        <f>IF($A886="","",库存台账!$K886)</f>
        <v/>
      </c>
      <c r="L886" s="26">
        <f>IF($J886="","",ROUND($J886*$K886,0))</f>
        <v/>
      </c>
      <c r="M886" s="37">
        <f>IF(OR($J886="",$I886=0),"",ROUND($J886/$I886,4))</f>
        <v/>
      </c>
      <c r="N886" s="17" t="n"/>
      <c r="O886" s="17" t="n"/>
      <c r="P886" s="24">
        <f>IF($J886="","未盘",IF(ROUND($J886,3)=0,"账实相符",IF(COUNTIFS(入库单!$G$4:$G$2503,$A886,入库单!$X$4:$X$2503,"盘盈",入库单!$C$4:$C$2503,"&gt;="&amp;账期起,入库单!$C$4:$C$2503,"&lt;="&amp;账期止)+COUNTIFS(出库单!$D$4:$D$4003,$A886,出库单!$K$4:$K$4003,"盘亏",出库单!$C$4:$C$4003,"&gt;="&amp;账期起,出库单!$C$4:$C$4003,"&lt;="&amp;账期止)&gt;0,"已调账","※差异还没调账")))</f>
        <v/>
      </c>
      <c r="Q886" s="17" t="n"/>
      <c r="R886" s="17" t="n"/>
    </row>
    <row r="887">
      <c r="A887" s="24">
        <f>IF(库存台账!$A887="","",库存台账!$A887)</f>
        <v/>
      </c>
      <c r="B887" s="24">
        <f>IF($A887="","",库存台账!$B887)</f>
        <v/>
      </c>
      <c r="C887" s="24">
        <f>IF($A887="","",库存台账!$C887)</f>
        <v/>
      </c>
      <c r="D887" s="24">
        <f>IF($A887="","",库存台账!$D887)</f>
        <v/>
      </c>
      <c r="E887" s="24">
        <f>IF($A887="","",库存台账!$E887)</f>
        <v/>
      </c>
      <c r="F887" s="24">
        <f>IF($A887="","",库存台账!$F887)</f>
        <v/>
      </c>
      <c r="G887" s="17" t="n"/>
      <c r="H887" s="23" t="n"/>
      <c r="I887" s="27">
        <f>IF($A887="","",库存台账!$X887)</f>
        <v/>
      </c>
      <c r="J887" s="27">
        <f>IF(OR($A887="",$H887=""),"",ROUND($H887-$I887,3))</f>
        <v/>
      </c>
      <c r="K887" s="26">
        <f>IF($A887="","",库存台账!$K887)</f>
        <v/>
      </c>
      <c r="L887" s="26">
        <f>IF($J887="","",ROUND($J887*$K887,0))</f>
        <v/>
      </c>
      <c r="M887" s="37">
        <f>IF(OR($J887="",$I887=0),"",ROUND($J887/$I887,4))</f>
        <v/>
      </c>
      <c r="N887" s="17" t="n"/>
      <c r="O887" s="17" t="n"/>
      <c r="P887" s="24">
        <f>IF($J887="","未盘",IF(ROUND($J887,3)=0,"账实相符",IF(COUNTIFS(入库单!$G$4:$G$2503,$A887,入库单!$X$4:$X$2503,"盘盈",入库单!$C$4:$C$2503,"&gt;="&amp;账期起,入库单!$C$4:$C$2503,"&lt;="&amp;账期止)+COUNTIFS(出库单!$D$4:$D$4003,$A887,出库单!$K$4:$K$4003,"盘亏",出库单!$C$4:$C$4003,"&gt;="&amp;账期起,出库单!$C$4:$C$4003,"&lt;="&amp;账期止)&gt;0,"已调账","※差异还没调账")))</f>
        <v/>
      </c>
      <c r="Q887" s="17" t="n"/>
      <c r="R887" s="17" t="n"/>
    </row>
    <row r="888">
      <c r="A888" s="24">
        <f>IF(库存台账!$A888="","",库存台账!$A888)</f>
        <v/>
      </c>
      <c r="B888" s="24">
        <f>IF($A888="","",库存台账!$B888)</f>
        <v/>
      </c>
      <c r="C888" s="24">
        <f>IF($A888="","",库存台账!$C888)</f>
        <v/>
      </c>
      <c r="D888" s="24">
        <f>IF($A888="","",库存台账!$D888)</f>
        <v/>
      </c>
      <c r="E888" s="24">
        <f>IF($A888="","",库存台账!$E888)</f>
        <v/>
      </c>
      <c r="F888" s="24">
        <f>IF($A888="","",库存台账!$F888)</f>
        <v/>
      </c>
      <c r="G888" s="17" t="n"/>
      <c r="H888" s="23" t="n"/>
      <c r="I888" s="27">
        <f>IF($A888="","",库存台账!$X888)</f>
        <v/>
      </c>
      <c r="J888" s="27">
        <f>IF(OR($A888="",$H888=""),"",ROUND($H888-$I888,3))</f>
        <v/>
      </c>
      <c r="K888" s="26">
        <f>IF($A888="","",库存台账!$K888)</f>
        <v/>
      </c>
      <c r="L888" s="26">
        <f>IF($J888="","",ROUND($J888*$K888,0))</f>
        <v/>
      </c>
      <c r="M888" s="37">
        <f>IF(OR($J888="",$I888=0),"",ROUND($J888/$I888,4))</f>
        <v/>
      </c>
      <c r="N888" s="17" t="n"/>
      <c r="O888" s="17" t="n"/>
      <c r="P888" s="24">
        <f>IF($J888="","未盘",IF(ROUND($J888,3)=0,"账实相符",IF(COUNTIFS(入库单!$G$4:$G$2503,$A888,入库单!$X$4:$X$2503,"盘盈",入库单!$C$4:$C$2503,"&gt;="&amp;账期起,入库单!$C$4:$C$2503,"&lt;="&amp;账期止)+COUNTIFS(出库单!$D$4:$D$4003,$A888,出库单!$K$4:$K$4003,"盘亏",出库单!$C$4:$C$4003,"&gt;="&amp;账期起,出库单!$C$4:$C$4003,"&lt;="&amp;账期止)&gt;0,"已调账","※差异还没调账")))</f>
        <v/>
      </c>
      <c r="Q888" s="17" t="n"/>
      <c r="R888" s="17" t="n"/>
    </row>
    <row r="889">
      <c r="A889" s="24">
        <f>IF(库存台账!$A889="","",库存台账!$A889)</f>
        <v/>
      </c>
      <c r="B889" s="24">
        <f>IF($A889="","",库存台账!$B889)</f>
        <v/>
      </c>
      <c r="C889" s="24">
        <f>IF($A889="","",库存台账!$C889)</f>
        <v/>
      </c>
      <c r="D889" s="24">
        <f>IF($A889="","",库存台账!$D889)</f>
        <v/>
      </c>
      <c r="E889" s="24">
        <f>IF($A889="","",库存台账!$E889)</f>
        <v/>
      </c>
      <c r="F889" s="24">
        <f>IF($A889="","",库存台账!$F889)</f>
        <v/>
      </c>
      <c r="G889" s="17" t="n"/>
      <c r="H889" s="23" t="n"/>
      <c r="I889" s="27">
        <f>IF($A889="","",库存台账!$X889)</f>
        <v/>
      </c>
      <c r="J889" s="27">
        <f>IF(OR($A889="",$H889=""),"",ROUND($H889-$I889,3))</f>
        <v/>
      </c>
      <c r="K889" s="26">
        <f>IF($A889="","",库存台账!$K889)</f>
        <v/>
      </c>
      <c r="L889" s="26">
        <f>IF($J889="","",ROUND($J889*$K889,0))</f>
        <v/>
      </c>
      <c r="M889" s="37">
        <f>IF(OR($J889="",$I889=0),"",ROUND($J889/$I889,4))</f>
        <v/>
      </c>
      <c r="N889" s="17" t="n"/>
      <c r="O889" s="17" t="n"/>
      <c r="P889" s="24">
        <f>IF($J889="","未盘",IF(ROUND($J889,3)=0,"账实相符",IF(COUNTIFS(入库单!$G$4:$G$2503,$A889,入库单!$X$4:$X$2503,"盘盈",入库单!$C$4:$C$2503,"&gt;="&amp;账期起,入库单!$C$4:$C$2503,"&lt;="&amp;账期止)+COUNTIFS(出库单!$D$4:$D$4003,$A889,出库单!$K$4:$K$4003,"盘亏",出库单!$C$4:$C$4003,"&gt;="&amp;账期起,出库单!$C$4:$C$4003,"&lt;="&amp;账期止)&gt;0,"已调账","※差异还没调账")))</f>
        <v/>
      </c>
      <c r="Q889" s="17" t="n"/>
      <c r="R889" s="17" t="n"/>
    </row>
    <row r="890">
      <c r="A890" s="24">
        <f>IF(库存台账!$A890="","",库存台账!$A890)</f>
        <v/>
      </c>
      <c r="B890" s="24">
        <f>IF($A890="","",库存台账!$B890)</f>
        <v/>
      </c>
      <c r="C890" s="24">
        <f>IF($A890="","",库存台账!$C890)</f>
        <v/>
      </c>
      <c r="D890" s="24">
        <f>IF($A890="","",库存台账!$D890)</f>
        <v/>
      </c>
      <c r="E890" s="24">
        <f>IF($A890="","",库存台账!$E890)</f>
        <v/>
      </c>
      <c r="F890" s="24">
        <f>IF($A890="","",库存台账!$F890)</f>
        <v/>
      </c>
      <c r="G890" s="17" t="n"/>
      <c r="H890" s="23" t="n"/>
      <c r="I890" s="27">
        <f>IF($A890="","",库存台账!$X890)</f>
        <v/>
      </c>
      <c r="J890" s="27">
        <f>IF(OR($A890="",$H890=""),"",ROUND($H890-$I890,3))</f>
        <v/>
      </c>
      <c r="K890" s="26">
        <f>IF($A890="","",库存台账!$K890)</f>
        <v/>
      </c>
      <c r="L890" s="26">
        <f>IF($J890="","",ROUND($J890*$K890,0))</f>
        <v/>
      </c>
      <c r="M890" s="37">
        <f>IF(OR($J890="",$I890=0),"",ROUND($J890/$I890,4))</f>
        <v/>
      </c>
      <c r="N890" s="17" t="n"/>
      <c r="O890" s="17" t="n"/>
      <c r="P890" s="24">
        <f>IF($J890="","未盘",IF(ROUND($J890,3)=0,"账实相符",IF(COUNTIFS(入库单!$G$4:$G$2503,$A890,入库单!$X$4:$X$2503,"盘盈",入库单!$C$4:$C$2503,"&gt;="&amp;账期起,入库单!$C$4:$C$2503,"&lt;="&amp;账期止)+COUNTIFS(出库单!$D$4:$D$4003,$A890,出库单!$K$4:$K$4003,"盘亏",出库单!$C$4:$C$4003,"&gt;="&amp;账期起,出库单!$C$4:$C$4003,"&lt;="&amp;账期止)&gt;0,"已调账","※差异还没调账")))</f>
        <v/>
      </c>
      <c r="Q890" s="17" t="n"/>
      <c r="R890" s="17" t="n"/>
    </row>
    <row r="891">
      <c r="A891" s="24">
        <f>IF(库存台账!$A891="","",库存台账!$A891)</f>
        <v/>
      </c>
      <c r="B891" s="24">
        <f>IF($A891="","",库存台账!$B891)</f>
        <v/>
      </c>
      <c r="C891" s="24">
        <f>IF($A891="","",库存台账!$C891)</f>
        <v/>
      </c>
      <c r="D891" s="24">
        <f>IF($A891="","",库存台账!$D891)</f>
        <v/>
      </c>
      <c r="E891" s="24">
        <f>IF($A891="","",库存台账!$E891)</f>
        <v/>
      </c>
      <c r="F891" s="24">
        <f>IF($A891="","",库存台账!$F891)</f>
        <v/>
      </c>
      <c r="G891" s="17" t="n"/>
      <c r="H891" s="23" t="n"/>
      <c r="I891" s="27">
        <f>IF($A891="","",库存台账!$X891)</f>
        <v/>
      </c>
      <c r="J891" s="27">
        <f>IF(OR($A891="",$H891=""),"",ROUND($H891-$I891,3))</f>
        <v/>
      </c>
      <c r="K891" s="26">
        <f>IF($A891="","",库存台账!$K891)</f>
        <v/>
      </c>
      <c r="L891" s="26">
        <f>IF($J891="","",ROUND($J891*$K891,0))</f>
        <v/>
      </c>
      <c r="M891" s="37">
        <f>IF(OR($J891="",$I891=0),"",ROUND($J891/$I891,4))</f>
        <v/>
      </c>
      <c r="N891" s="17" t="n"/>
      <c r="O891" s="17" t="n"/>
      <c r="P891" s="24">
        <f>IF($J891="","未盘",IF(ROUND($J891,3)=0,"账实相符",IF(COUNTIFS(入库单!$G$4:$G$2503,$A891,入库单!$X$4:$X$2503,"盘盈",入库单!$C$4:$C$2503,"&gt;="&amp;账期起,入库单!$C$4:$C$2503,"&lt;="&amp;账期止)+COUNTIFS(出库单!$D$4:$D$4003,$A891,出库单!$K$4:$K$4003,"盘亏",出库单!$C$4:$C$4003,"&gt;="&amp;账期起,出库单!$C$4:$C$4003,"&lt;="&amp;账期止)&gt;0,"已调账","※差异还没调账")))</f>
        <v/>
      </c>
      <c r="Q891" s="17" t="n"/>
      <c r="R891" s="17" t="n"/>
    </row>
    <row r="892">
      <c r="A892" s="24">
        <f>IF(库存台账!$A892="","",库存台账!$A892)</f>
        <v/>
      </c>
      <c r="B892" s="24">
        <f>IF($A892="","",库存台账!$B892)</f>
        <v/>
      </c>
      <c r="C892" s="24">
        <f>IF($A892="","",库存台账!$C892)</f>
        <v/>
      </c>
      <c r="D892" s="24">
        <f>IF($A892="","",库存台账!$D892)</f>
        <v/>
      </c>
      <c r="E892" s="24">
        <f>IF($A892="","",库存台账!$E892)</f>
        <v/>
      </c>
      <c r="F892" s="24">
        <f>IF($A892="","",库存台账!$F892)</f>
        <v/>
      </c>
      <c r="G892" s="17" t="n"/>
      <c r="H892" s="23" t="n"/>
      <c r="I892" s="27">
        <f>IF($A892="","",库存台账!$X892)</f>
        <v/>
      </c>
      <c r="J892" s="27">
        <f>IF(OR($A892="",$H892=""),"",ROUND($H892-$I892,3))</f>
        <v/>
      </c>
      <c r="K892" s="26">
        <f>IF($A892="","",库存台账!$K892)</f>
        <v/>
      </c>
      <c r="L892" s="26">
        <f>IF($J892="","",ROUND($J892*$K892,0))</f>
        <v/>
      </c>
      <c r="M892" s="37">
        <f>IF(OR($J892="",$I892=0),"",ROUND($J892/$I892,4))</f>
        <v/>
      </c>
      <c r="N892" s="17" t="n"/>
      <c r="O892" s="17" t="n"/>
      <c r="P892" s="24">
        <f>IF($J892="","未盘",IF(ROUND($J892,3)=0,"账实相符",IF(COUNTIFS(入库单!$G$4:$G$2503,$A892,入库单!$X$4:$X$2503,"盘盈",入库单!$C$4:$C$2503,"&gt;="&amp;账期起,入库单!$C$4:$C$2503,"&lt;="&amp;账期止)+COUNTIFS(出库单!$D$4:$D$4003,$A892,出库单!$K$4:$K$4003,"盘亏",出库单!$C$4:$C$4003,"&gt;="&amp;账期起,出库单!$C$4:$C$4003,"&lt;="&amp;账期止)&gt;0,"已调账","※差异还没调账")))</f>
        <v/>
      </c>
      <c r="Q892" s="17" t="n"/>
      <c r="R892" s="17" t="n"/>
    </row>
    <row r="893">
      <c r="A893" s="24">
        <f>IF(库存台账!$A893="","",库存台账!$A893)</f>
        <v/>
      </c>
      <c r="B893" s="24">
        <f>IF($A893="","",库存台账!$B893)</f>
        <v/>
      </c>
      <c r="C893" s="24">
        <f>IF($A893="","",库存台账!$C893)</f>
        <v/>
      </c>
      <c r="D893" s="24">
        <f>IF($A893="","",库存台账!$D893)</f>
        <v/>
      </c>
      <c r="E893" s="24">
        <f>IF($A893="","",库存台账!$E893)</f>
        <v/>
      </c>
      <c r="F893" s="24">
        <f>IF($A893="","",库存台账!$F893)</f>
        <v/>
      </c>
      <c r="G893" s="17" t="n"/>
      <c r="H893" s="23" t="n"/>
      <c r="I893" s="27">
        <f>IF($A893="","",库存台账!$X893)</f>
        <v/>
      </c>
      <c r="J893" s="27">
        <f>IF(OR($A893="",$H893=""),"",ROUND($H893-$I893,3))</f>
        <v/>
      </c>
      <c r="K893" s="26">
        <f>IF($A893="","",库存台账!$K893)</f>
        <v/>
      </c>
      <c r="L893" s="26">
        <f>IF($J893="","",ROUND($J893*$K893,0))</f>
        <v/>
      </c>
      <c r="M893" s="37">
        <f>IF(OR($J893="",$I893=0),"",ROUND($J893/$I893,4))</f>
        <v/>
      </c>
      <c r="N893" s="17" t="n"/>
      <c r="O893" s="17" t="n"/>
      <c r="P893" s="24">
        <f>IF($J893="","未盘",IF(ROUND($J893,3)=0,"账实相符",IF(COUNTIFS(入库单!$G$4:$G$2503,$A893,入库单!$X$4:$X$2503,"盘盈",入库单!$C$4:$C$2503,"&gt;="&amp;账期起,入库单!$C$4:$C$2503,"&lt;="&amp;账期止)+COUNTIFS(出库单!$D$4:$D$4003,$A893,出库单!$K$4:$K$4003,"盘亏",出库单!$C$4:$C$4003,"&gt;="&amp;账期起,出库单!$C$4:$C$4003,"&lt;="&amp;账期止)&gt;0,"已调账","※差异还没调账")))</f>
        <v/>
      </c>
      <c r="Q893" s="17" t="n"/>
      <c r="R893" s="17" t="n"/>
    </row>
    <row r="894">
      <c r="A894" s="24">
        <f>IF(库存台账!$A894="","",库存台账!$A894)</f>
        <v/>
      </c>
      <c r="B894" s="24">
        <f>IF($A894="","",库存台账!$B894)</f>
        <v/>
      </c>
      <c r="C894" s="24">
        <f>IF($A894="","",库存台账!$C894)</f>
        <v/>
      </c>
      <c r="D894" s="24">
        <f>IF($A894="","",库存台账!$D894)</f>
        <v/>
      </c>
      <c r="E894" s="24">
        <f>IF($A894="","",库存台账!$E894)</f>
        <v/>
      </c>
      <c r="F894" s="24">
        <f>IF($A894="","",库存台账!$F894)</f>
        <v/>
      </c>
      <c r="G894" s="17" t="n"/>
      <c r="H894" s="23" t="n"/>
      <c r="I894" s="27">
        <f>IF($A894="","",库存台账!$X894)</f>
        <v/>
      </c>
      <c r="J894" s="27">
        <f>IF(OR($A894="",$H894=""),"",ROUND($H894-$I894,3))</f>
        <v/>
      </c>
      <c r="K894" s="26">
        <f>IF($A894="","",库存台账!$K894)</f>
        <v/>
      </c>
      <c r="L894" s="26">
        <f>IF($J894="","",ROUND($J894*$K894,0))</f>
        <v/>
      </c>
      <c r="M894" s="37">
        <f>IF(OR($J894="",$I894=0),"",ROUND($J894/$I894,4))</f>
        <v/>
      </c>
      <c r="N894" s="17" t="n"/>
      <c r="O894" s="17" t="n"/>
      <c r="P894" s="24">
        <f>IF($J894="","未盘",IF(ROUND($J894,3)=0,"账实相符",IF(COUNTIFS(入库单!$G$4:$G$2503,$A894,入库单!$X$4:$X$2503,"盘盈",入库单!$C$4:$C$2503,"&gt;="&amp;账期起,入库单!$C$4:$C$2503,"&lt;="&amp;账期止)+COUNTIFS(出库单!$D$4:$D$4003,$A894,出库单!$K$4:$K$4003,"盘亏",出库单!$C$4:$C$4003,"&gt;="&amp;账期起,出库单!$C$4:$C$4003,"&lt;="&amp;账期止)&gt;0,"已调账","※差异还没调账")))</f>
        <v/>
      </c>
      <c r="Q894" s="17" t="n"/>
      <c r="R894" s="17" t="n"/>
    </row>
    <row r="895">
      <c r="A895" s="24">
        <f>IF(库存台账!$A895="","",库存台账!$A895)</f>
        <v/>
      </c>
      <c r="B895" s="24">
        <f>IF($A895="","",库存台账!$B895)</f>
        <v/>
      </c>
      <c r="C895" s="24">
        <f>IF($A895="","",库存台账!$C895)</f>
        <v/>
      </c>
      <c r="D895" s="24">
        <f>IF($A895="","",库存台账!$D895)</f>
        <v/>
      </c>
      <c r="E895" s="24">
        <f>IF($A895="","",库存台账!$E895)</f>
        <v/>
      </c>
      <c r="F895" s="24">
        <f>IF($A895="","",库存台账!$F895)</f>
        <v/>
      </c>
      <c r="G895" s="17" t="n"/>
      <c r="H895" s="23" t="n"/>
      <c r="I895" s="27">
        <f>IF($A895="","",库存台账!$X895)</f>
        <v/>
      </c>
      <c r="J895" s="27">
        <f>IF(OR($A895="",$H895=""),"",ROUND($H895-$I895,3))</f>
        <v/>
      </c>
      <c r="K895" s="26">
        <f>IF($A895="","",库存台账!$K895)</f>
        <v/>
      </c>
      <c r="L895" s="26">
        <f>IF($J895="","",ROUND($J895*$K895,0))</f>
        <v/>
      </c>
      <c r="M895" s="37">
        <f>IF(OR($J895="",$I895=0),"",ROUND($J895/$I895,4))</f>
        <v/>
      </c>
      <c r="N895" s="17" t="n"/>
      <c r="O895" s="17" t="n"/>
      <c r="P895" s="24">
        <f>IF($J895="","未盘",IF(ROUND($J895,3)=0,"账实相符",IF(COUNTIFS(入库单!$G$4:$G$2503,$A895,入库单!$X$4:$X$2503,"盘盈",入库单!$C$4:$C$2503,"&gt;="&amp;账期起,入库单!$C$4:$C$2503,"&lt;="&amp;账期止)+COUNTIFS(出库单!$D$4:$D$4003,$A895,出库单!$K$4:$K$4003,"盘亏",出库单!$C$4:$C$4003,"&gt;="&amp;账期起,出库单!$C$4:$C$4003,"&lt;="&amp;账期止)&gt;0,"已调账","※差异还没调账")))</f>
        <v/>
      </c>
      <c r="Q895" s="17" t="n"/>
      <c r="R895" s="17" t="n"/>
    </row>
    <row r="896">
      <c r="A896" s="24">
        <f>IF(库存台账!$A896="","",库存台账!$A896)</f>
        <v/>
      </c>
      <c r="B896" s="24">
        <f>IF($A896="","",库存台账!$B896)</f>
        <v/>
      </c>
      <c r="C896" s="24">
        <f>IF($A896="","",库存台账!$C896)</f>
        <v/>
      </c>
      <c r="D896" s="24">
        <f>IF($A896="","",库存台账!$D896)</f>
        <v/>
      </c>
      <c r="E896" s="24">
        <f>IF($A896="","",库存台账!$E896)</f>
        <v/>
      </c>
      <c r="F896" s="24">
        <f>IF($A896="","",库存台账!$F896)</f>
        <v/>
      </c>
      <c r="G896" s="17" t="n"/>
      <c r="H896" s="23" t="n"/>
      <c r="I896" s="27">
        <f>IF($A896="","",库存台账!$X896)</f>
        <v/>
      </c>
      <c r="J896" s="27">
        <f>IF(OR($A896="",$H896=""),"",ROUND($H896-$I896,3))</f>
        <v/>
      </c>
      <c r="K896" s="26">
        <f>IF($A896="","",库存台账!$K896)</f>
        <v/>
      </c>
      <c r="L896" s="26">
        <f>IF($J896="","",ROUND($J896*$K896,0))</f>
        <v/>
      </c>
      <c r="M896" s="37">
        <f>IF(OR($J896="",$I896=0),"",ROUND($J896/$I896,4))</f>
        <v/>
      </c>
      <c r="N896" s="17" t="n"/>
      <c r="O896" s="17" t="n"/>
      <c r="P896" s="24">
        <f>IF($J896="","未盘",IF(ROUND($J896,3)=0,"账实相符",IF(COUNTIFS(入库单!$G$4:$G$2503,$A896,入库单!$X$4:$X$2503,"盘盈",入库单!$C$4:$C$2503,"&gt;="&amp;账期起,入库单!$C$4:$C$2503,"&lt;="&amp;账期止)+COUNTIFS(出库单!$D$4:$D$4003,$A896,出库单!$K$4:$K$4003,"盘亏",出库单!$C$4:$C$4003,"&gt;="&amp;账期起,出库单!$C$4:$C$4003,"&lt;="&amp;账期止)&gt;0,"已调账","※差异还没调账")))</f>
        <v/>
      </c>
      <c r="Q896" s="17" t="n"/>
      <c r="R896" s="17" t="n"/>
    </row>
    <row r="897">
      <c r="A897" s="24">
        <f>IF(库存台账!$A897="","",库存台账!$A897)</f>
        <v/>
      </c>
      <c r="B897" s="24">
        <f>IF($A897="","",库存台账!$B897)</f>
        <v/>
      </c>
      <c r="C897" s="24">
        <f>IF($A897="","",库存台账!$C897)</f>
        <v/>
      </c>
      <c r="D897" s="24">
        <f>IF($A897="","",库存台账!$D897)</f>
        <v/>
      </c>
      <c r="E897" s="24">
        <f>IF($A897="","",库存台账!$E897)</f>
        <v/>
      </c>
      <c r="F897" s="24">
        <f>IF($A897="","",库存台账!$F897)</f>
        <v/>
      </c>
      <c r="G897" s="17" t="n"/>
      <c r="H897" s="23" t="n"/>
      <c r="I897" s="27">
        <f>IF($A897="","",库存台账!$X897)</f>
        <v/>
      </c>
      <c r="J897" s="27">
        <f>IF(OR($A897="",$H897=""),"",ROUND($H897-$I897,3))</f>
        <v/>
      </c>
      <c r="K897" s="26">
        <f>IF($A897="","",库存台账!$K897)</f>
        <v/>
      </c>
      <c r="L897" s="26">
        <f>IF($J897="","",ROUND($J897*$K897,0))</f>
        <v/>
      </c>
      <c r="M897" s="37">
        <f>IF(OR($J897="",$I897=0),"",ROUND($J897/$I897,4))</f>
        <v/>
      </c>
      <c r="N897" s="17" t="n"/>
      <c r="O897" s="17" t="n"/>
      <c r="P897" s="24">
        <f>IF($J897="","未盘",IF(ROUND($J897,3)=0,"账实相符",IF(COUNTIFS(入库单!$G$4:$G$2503,$A897,入库单!$X$4:$X$2503,"盘盈",入库单!$C$4:$C$2503,"&gt;="&amp;账期起,入库单!$C$4:$C$2503,"&lt;="&amp;账期止)+COUNTIFS(出库单!$D$4:$D$4003,$A897,出库单!$K$4:$K$4003,"盘亏",出库单!$C$4:$C$4003,"&gt;="&amp;账期起,出库单!$C$4:$C$4003,"&lt;="&amp;账期止)&gt;0,"已调账","※差异还没调账")))</f>
        <v/>
      </c>
      <c r="Q897" s="17" t="n"/>
      <c r="R897" s="17" t="n"/>
    </row>
    <row r="898">
      <c r="A898" s="24">
        <f>IF(库存台账!$A898="","",库存台账!$A898)</f>
        <v/>
      </c>
      <c r="B898" s="24">
        <f>IF($A898="","",库存台账!$B898)</f>
        <v/>
      </c>
      <c r="C898" s="24">
        <f>IF($A898="","",库存台账!$C898)</f>
        <v/>
      </c>
      <c r="D898" s="24">
        <f>IF($A898="","",库存台账!$D898)</f>
        <v/>
      </c>
      <c r="E898" s="24">
        <f>IF($A898="","",库存台账!$E898)</f>
        <v/>
      </c>
      <c r="F898" s="24">
        <f>IF($A898="","",库存台账!$F898)</f>
        <v/>
      </c>
      <c r="G898" s="17" t="n"/>
      <c r="H898" s="23" t="n"/>
      <c r="I898" s="27">
        <f>IF($A898="","",库存台账!$X898)</f>
        <v/>
      </c>
      <c r="J898" s="27">
        <f>IF(OR($A898="",$H898=""),"",ROUND($H898-$I898,3))</f>
        <v/>
      </c>
      <c r="K898" s="26">
        <f>IF($A898="","",库存台账!$K898)</f>
        <v/>
      </c>
      <c r="L898" s="26">
        <f>IF($J898="","",ROUND($J898*$K898,0))</f>
        <v/>
      </c>
      <c r="M898" s="37">
        <f>IF(OR($J898="",$I898=0),"",ROUND($J898/$I898,4))</f>
        <v/>
      </c>
      <c r="N898" s="17" t="n"/>
      <c r="O898" s="17" t="n"/>
      <c r="P898" s="24">
        <f>IF($J898="","未盘",IF(ROUND($J898,3)=0,"账实相符",IF(COUNTIFS(入库单!$G$4:$G$2503,$A898,入库单!$X$4:$X$2503,"盘盈",入库单!$C$4:$C$2503,"&gt;="&amp;账期起,入库单!$C$4:$C$2503,"&lt;="&amp;账期止)+COUNTIFS(出库单!$D$4:$D$4003,$A898,出库单!$K$4:$K$4003,"盘亏",出库单!$C$4:$C$4003,"&gt;="&amp;账期起,出库单!$C$4:$C$4003,"&lt;="&amp;账期止)&gt;0,"已调账","※差异还没调账")))</f>
        <v/>
      </c>
      <c r="Q898" s="17" t="n"/>
      <c r="R898" s="17" t="n"/>
    </row>
    <row r="899">
      <c r="A899" s="24">
        <f>IF(库存台账!$A899="","",库存台账!$A899)</f>
        <v/>
      </c>
      <c r="B899" s="24">
        <f>IF($A899="","",库存台账!$B899)</f>
        <v/>
      </c>
      <c r="C899" s="24">
        <f>IF($A899="","",库存台账!$C899)</f>
        <v/>
      </c>
      <c r="D899" s="24">
        <f>IF($A899="","",库存台账!$D899)</f>
        <v/>
      </c>
      <c r="E899" s="24">
        <f>IF($A899="","",库存台账!$E899)</f>
        <v/>
      </c>
      <c r="F899" s="24">
        <f>IF($A899="","",库存台账!$F899)</f>
        <v/>
      </c>
      <c r="G899" s="17" t="n"/>
      <c r="H899" s="23" t="n"/>
      <c r="I899" s="27">
        <f>IF($A899="","",库存台账!$X899)</f>
        <v/>
      </c>
      <c r="J899" s="27">
        <f>IF(OR($A899="",$H899=""),"",ROUND($H899-$I899,3))</f>
        <v/>
      </c>
      <c r="K899" s="26">
        <f>IF($A899="","",库存台账!$K899)</f>
        <v/>
      </c>
      <c r="L899" s="26">
        <f>IF($J899="","",ROUND($J899*$K899,0))</f>
        <v/>
      </c>
      <c r="M899" s="37">
        <f>IF(OR($J899="",$I899=0),"",ROUND($J899/$I899,4))</f>
        <v/>
      </c>
      <c r="N899" s="17" t="n"/>
      <c r="O899" s="17" t="n"/>
      <c r="P899" s="24">
        <f>IF($J899="","未盘",IF(ROUND($J899,3)=0,"账实相符",IF(COUNTIFS(入库单!$G$4:$G$2503,$A899,入库单!$X$4:$X$2503,"盘盈",入库单!$C$4:$C$2503,"&gt;="&amp;账期起,入库单!$C$4:$C$2503,"&lt;="&amp;账期止)+COUNTIFS(出库单!$D$4:$D$4003,$A899,出库单!$K$4:$K$4003,"盘亏",出库单!$C$4:$C$4003,"&gt;="&amp;账期起,出库单!$C$4:$C$4003,"&lt;="&amp;账期止)&gt;0,"已调账","※差异还没调账")))</f>
        <v/>
      </c>
      <c r="Q899" s="17" t="n"/>
      <c r="R899" s="17" t="n"/>
    </row>
    <row r="900">
      <c r="A900" s="24">
        <f>IF(库存台账!$A900="","",库存台账!$A900)</f>
        <v/>
      </c>
      <c r="B900" s="24">
        <f>IF($A900="","",库存台账!$B900)</f>
        <v/>
      </c>
      <c r="C900" s="24">
        <f>IF($A900="","",库存台账!$C900)</f>
        <v/>
      </c>
      <c r="D900" s="24">
        <f>IF($A900="","",库存台账!$D900)</f>
        <v/>
      </c>
      <c r="E900" s="24">
        <f>IF($A900="","",库存台账!$E900)</f>
        <v/>
      </c>
      <c r="F900" s="24">
        <f>IF($A900="","",库存台账!$F900)</f>
        <v/>
      </c>
      <c r="G900" s="17" t="n"/>
      <c r="H900" s="23" t="n"/>
      <c r="I900" s="27">
        <f>IF($A900="","",库存台账!$X900)</f>
        <v/>
      </c>
      <c r="J900" s="27">
        <f>IF(OR($A900="",$H900=""),"",ROUND($H900-$I900,3))</f>
        <v/>
      </c>
      <c r="K900" s="26">
        <f>IF($A900="","",库存台账!$K900)</f>
        <v/>
      </c>
      <c r="L900" s="26">
        <f>IF($J900="","",ROUND($J900*$K900,0))</f>
        <v/>
      </c>
      <c r="M900" s="37">
        <f>IF(OR($J900="",$I900=0),"",ROUND($J900/$I900,4))</f>
        <v/>
      </c>
      <c r="N900" s="17" t="n"/>
      <c r="O900" s="17" t="n"/>
      <c r="P900" s="24">
        <f>IF($J900="","未盘",IF(ROUND($J900,3)=0,"账实相符",IF(COUNTIFS(入库单!$G$4:$G$2503,$A900,入库单!$X$4:$X$2503,"盘盈",入库单!$C$4:$C$2503,"&gt;="&amp;账期起,入库单!$C$4:$C$2503,"&lt;="&amp;账期止)+COUNTIFS(出库单!$D$4:$D$4003,$A900,出库单!$K$4:$K$4003,"盘亏",出库单!$C$4:$C$4003,"&gt;="&amp;账期起,出库单!$C$4:$C$4003,"&lt;="&amp;账期止)&gt;0,"已调账","※差异还没调账")))</f>
        <v/>
      </c>
      <c r="Q900" s="17" t="n"/>
      <c r="R900" s="17" t="n"/>
    </row>
    <row r="901">
      <c r="A901" s="24">
        <f>IF(库存台账!$A901="","",库存台账!$A901)</f>
        <v/>
      </c>
      <c r="B901" s="24">
        <f>IF($A901="","",库存台账!$B901)</f>
        <v/>
      </c>
      <c r="C901" s="24">
        <f>IF($A901="","",库存台账!$C901)</f>
        <v/>
      </c>
      <c r="D901" s="24">
        <f>IF($A901="","",库存台账!$D901)</f>
        <v/>
      </c>
      <c r="E901" s="24">
        <f>IF($A901="","",库存台账!$E901)</f>
        <v/>
      </c>
      <c r="F901" s="24">
        <f>IF($A901="","",库存台账!$F901)</f>
        <v/>
      </c>
      <c r="G901" s="17" t="n"/>
      <c r="H901" s="23" t="n"/>
      <c r="I901" s="27">
        <f>IF($A901="","",库存台账!$X901)</f>
        <v/>
      </c>
      <c r="J901" s="27">
        <f>IF(OR($A901="",$H901=""),"",ROUND($H901-$I901,3))</f>
        <v/>
      </c>
      <c r="K901" s="26">
        <f>IF($A901="","",库存台账!$K901)</f>
        <v/>
      </c>
      <c r="L901" s="26">
        <f>IF($J901="","",ROUND($J901*$K901,0))</f>
        <v/>
      </c>
      <c r="M901" s="37">
        <f>IF(OR($J901="",$I901=0),"",ROUND($J901/$I901,4))</f>
        <v/>
      </c>
      <c r="N901" s="17" t="n"/>
      <c r="O901" s="17" t="n"/>
      <c r="P901" s="24">
        <f>IF($J901="","未盘",IF(ROUND($J901,3)=0,"账实相符",IF(COUNTIFS(入库单!$G$4:$G$2503,$A901,入库单!$X$4:$X$2503,"盘盈",入库单!$C$4:$C$2503,"&gt;="&amp;账期起,入库单!$C$4:$C$2503,"&lt;="&amp;账期止)+COUNTIFS(出库单!$D$4:$D$4003,$A901,出库单!$K$4:$K$4003,"盘亏",出库单!$C$4:$C$4003,"&gt;="&amp;账期起,出库单!$C$4:$C$4003,"&lt;="&amp;账期止)&gt;0,"已调账","※差异还没调账")))</f>
        <v/>
      </c>
      <c r="Q901" s="17" t="n"/>
      <c r="R901" s="17" t="n"/>
    </row>
    <row r="902">
      <c r="A902" s="24">
        <f>IF(库存台账!$A902="","",库存台账!$A902)</f>
        <v/>
      </c>
      <c r="B902" s="24">
        <f>IF($A902="","",库存台账!$B902)</f>
        <v/>
      </c>
      <c r="C902" s="24">
        <f>IF($A902="","",库存台账!$C902)</f>
        <v/>
      </c>
      <c r="D902" s="24">
        <f>IF($A902="","",库存台账!$D902)</f>
        <v/>
      </c>
      <c r="E902" s="24">
        <f>IF($A902="","",库存台账!$E902)</f>
        <v/>
      </c>
      <c r="F902" s="24">
        <f>IF($A902="","",库存台账!$F902)</f>
        <v/>
      </c>
      <c r="G902" s="17" t="n"/>
      <c r="H902" s="23" t="n"/>
      <c r="I902" s="27">
        <f>IF($A902="","",库存台账!$X902)</f>
        <v/>
      </c>
      <c r="J902" s="27">
        <f>IF(OR($A902="",$H902=""),"",ROUND($H902-$I902,3))</f>
        <v/>
      </c>
      <c r="K902" s="26">
        <f>IF($A902="","",库存台账!$K902)</f>
        <v/>
      </c>
      <c r="L902" s="26">
        <f>IF($J902="","",ROUND($J902*$K902,0))</f>
        <v/>
      </c>
      <c r="M902" s="37">
        <f>IF(OR($J902="",$I902=0),"",ROUND($J902/$I902,4))</f>
        <v/>
      </c>
      <c r="N902" s="17" t="n"/>
      <c r="O902" s="17" t="n"/>
      <c r="P902" s="24">
        <f>IF($J902="","未盘",IF(ROUND($J902,3)=0,"账实相符",IF(COUNTIFS(入库单!$G$4:$G$2503,$A902,入库单!$X$4:$X$2503,"盘盈",入库单!$C$4:$C$2503,"&gt;="&amp;账期起,入库单!$C$4:$C$2503,"&lt;="&amp;账期止)+COUNTIFS(出库单!$D$4:$D$4003,$A902,出库单!$K$4:$K$4003,"盘亏",出库单!$C$4:$C$4003,"&gt;="&amp;账期起,出库单!$C$4:$C$4003,"&lt;="&amp;账期止)&gt;0,"已调账","※差异还没调账")))</f>
        <v/>
      </c>
      <c r="Q902" s="17" t="n"/>
      <c r="R902" s="17" t="n"/>
    </row>
    <row r="903">
      <c r="A903" s="24">
        <f>IF(库存台账!$A903="","",库存台账!$A903)</f>
        <v/>
      </c>
      <c r="B903" s="24">
        <f>IF($A903="","",库存台账!$B903)</f>
        <v/>
      </c>
      <c r="C903" s="24">
        <f>IF($A903="","",库存台账!$C903)</f>
        <v/>
      </c>
      <c r="D903" s="24">
        <f>IF($A903="","",库存台账!$D903)</f>
        <v/>
      </c>
      <c r="E903" s="24">
        <f>IF($A903="","",库存台账!$E903)</f>
        <v/>
      </c>
      <c r="F903" s="24">
        <f>IF($A903="","",库存台账!$F903)</f>
        <v/>
      </c>
      <c r="G903" s="17" t="n"/>
      <c r="H903" s="23" t="n"/>
      <c r="I903" s="27">
        <f>IF($A903="","",库存台账!$X903)</f>
        <v/>
      </c>
      <c r="J903" s="27">
        <f>IF(OR($A903="",$H903=""),"",ROUND($H903-$I903,3))</f>
        <v/>
      </c>
      <c r="K903" s="26">
        <f>IF($A903="","",库存台账!$K903)</f>
        <v/>
      </c>
      <c r="L903" s="26">
        <f>IF($J903="","",ROUND($J903*$K903,0))</f>
        <v/>
      </c>
      <c r="M903" s="37">
        <f>IF(OR($J903="",$I903=0),"",ROUND($J903/$I903,4))</f>
        <v/>
      </c>
      <c r="N903" s="17" t="n"/>
      <c r="O903" s="17" t="n"/>
      <c r="P903" s="24">
        <f>IF($J903="","未盘",IF(ROUND($J903,3)=0,"账实相符",IF(COUNTIFS(入库单!$G$4:$G$2503,$A903,入库单!$X$4:$X$2503,"盘盈",入库单!$C$4:$C$2503,"&gt;="&amp;账期起,入库单!$C$4:$C$2503,"&lt;="&amp;账期止)+COUNTIFS(出库单!$D$4:$D$4003,$A903,出库单!$K$4:$K$4003,"盘亏",出库单!$C$4:$C$4003,"&gt;="&amp;账期起,出库单!$C$4:$C$4003,"&lt;="&amp;账期止)&gt;0,"已调账","※差异还没调账")))</f>
        <v/>
      </c>
      <c r="Q903" s="17" t="n"/>
      <c r="R903" s="17" t="n"/>
    </row>
    <row r="904">
      <c r="A904" s="24">
        <f>IF(库存台账!$A904="","",库存台账!$A904)</f>
        <v/>
      </c>
      <c r="B904" s="24">
        <f>IF($A904="","",库存台账!$B904)</f>
        <v/>
      </c>
      <c r="C904" s="24">
        <f>IF($A904="","",库存台账!$C904)</f>
        <v/>
      </c>
      <c r="D904" s="24">
        <f>IF($A904="","",库存台账!$D904)</f>
        <v/>
      </c>
      <c r="E904" s="24">
        <f>IF($A904="","",库存台账!$E904)</f>
        <v/>
      </c>
      <c r="F904" s="24">
        <f>IF($A904="","",库存台账!$F904)</f>
        <v/>
      </c>
      <c r="G904" s="17" t="n"/>
      <c r="H904" s="23" t="n"/>
      <c r="I904" s="27">
        <f>IF($A904="","",库存台账!$X904)</f>
        <v/>
      </c>
      <c r="J904" s="27">
        <f>IF(OR($A904="",$H904=""),"",ROUND($H904-$I904,3))</f>
        <v/>
      </c>
      <c r="K904" s="26">
        <f>IF($A904="","",库存台账!$K904)</f>
        <v/>
      </c>
      <c r="L904" s="26">
        <f>IF($J904="","",ROUND($J904*$K904,0))</f>
        <v/>
      </c>
      <c r="M904" s="37">
        <f>IF(OR($J904="",$I904=0),"",ROUND($J904/$I904,4))</f>
        <v/>
      </c>
      <c r="N904" s="17" t="n"/>
      <c r="O904" s="17" t="n"/>
      <c r="P904" s="24">
        <f>IF($J904="","未盘",IF(ROUND($J904,3)=0,"账实相符",IF(COUNTIFS(入库单!$G$4:$G$2503,$A904,入库单!$X$4:$X$2503,"盘盈",入库单!$C$4:$C$2503,"&gt;="&amp;账期起,入库单!$C$4:$C$2503,"&lt;="&amp;账期止)+COUNTIFS(出库单!$D$4:$D$4003,$A904,出库单!$K$4:$K$4003,"盘亏",出库单!$C$4:$C$4003,"&gt;="&amp;账期起,出库单!$C$4:$C$4003,"&lt;="&amp;账期止)&gt;0,"已调账","※差异还没调账")))</f>
        <v/>
      </c>
      <c r="Q904" s="17" t="n"/>
      <c r="R904" s="17" t="n"/>
    </row>
    <row r="905">
      <c r="A905" s="24">
        <f>IF(库存台账!$A905="","",库存台账!$A905)</f>
        <v/>
      </c>
      <c r="B905" s="24">
        <f>IF($A905="","",库存台账!$B905)</f>
        <v/>
      </c>
      <c r="C905" s="24">
        <f>IF($A905="","",库存台账!$C905)</f>
        <v/>
      </c>
      <c r="D905" s="24">
        <f>IF($A905="","",库存台账!$D905)</f>
        <v/>
      </c>
      <c r="E905" s="24">
        <f>IF($A905="","",库存台账!$E905)</f>
        <v/>
      </c>
      <c r="F905" s="24">
        <f>IF($A905="","",库存台账!$F905)</f>
        <v/>
      </c>
      <c r="G905" s="17" t="n"/>
      <c r="H905" s="23" t="n"/>
      <c r="I905" s="27">
        <f>IF($A905="","",库存台账!$X905)</f>
        <v/>
      </c>
      <c r="J905" s="27">
        <f>IF(OR($A905="",$H905=""),"",ROUND($H905-$I905,3))</f>
        <v/>
      </c>
      <c r="K905" s="26">
        <f>IF($A905="","",库存台账!$K905)</f>
        <v/>
      </c>
      <c r="L905" s="26">
        <f>IF($J905="","",ROUND($J905*$K905,0))</f>
        <v/>
      </c>
      <c r="M905" s="37">
        <f>IF(OR($J905="",$I905=0),"",ROUND($J905/$I905,4))</f>
        <v/>
      </c>
      <c r="N905" s="17" t="n"/>
      <c r="O905" s="17" t="n"/>
      <c r="P905" s="24">
        <f>IF($J905="","未盘",IF(ROUND($J905,3)=0,"账实相符",IF(COUNTIFS(入库单!$G$4:$G$2503,$A905,入库单!$X$4:$X$2503,"盘盈",入库单!$C$4:$C$2503,"&gt;="&amp;账期起,入库单!$C$4:$C$2503,"&lt;="&amp;账期止)+COUNTIFS(出库单!$D$4:$D$4003,$A905,出库单!$K$4:$K$4003,"盘亏",出库单!$C$4:$C$4003,"&gt;="&amp;账期起,出库单!$C$4:$C$4003,"&lt;="&amp;账期止)&gt;0,"已调账","※差异还没调账")))</f>
        <v/>
      </c>
      <c r="Q905" s="17" t="n"/>
      <c r="R905" s="17" t="n"/>
    </row>
    <row r="906">
      <c r="A906" s="24">
        <f>IF(库存台账!$A906="","",库存台账!$A906)</f>
        <v/>
      </c>
      <c r="B906" s="24">
        <f>IF($A906="","",库存台账!$B906)</f>
        <v/>
      </c>
      <c r="C906" s="24">
        <f>IF($A906="","",库存台账!$C906)</f>
        <v/>
      </c>
      <c r="D906" s="24">
        <f>IF($A906="","",库存台账!$D906)</f>
        <v/>
      </c>
      <c r="E906" s="24">
        <f>IF($A906="","",库存台账!$E906)</f>
        <v/>
      </c>
      <c r="F906" s="24">
        <f>IF($A906="","",库存台账!$F906)</f>
        <v/>
      </c>
      <c r="G906" s="17" t="n"/>
      <c r="H906" s="23" t="n"/>
      <c r="I906" s="27">
        <f>IF($A906="","",库存台账!$X906)</f>
        <v/>
      </c>
      <c r="J906" s="27">
        <f>IF(OR($A906="",$H906=""),"",ROUND($H906-$I906,3))</f>
        <v/>
      </c>
      <c r="K906" s="26">
        <f>IF($A906="","",库存台账!$K906)</f>
        <v/>
      </c>
      <c r="L906" s="26">
        <f>IF($J906="","",ROUND($J906*$K906,0))</f>
        <v/>
      </c>
      <c r="M906" s="37">
        <f>IF(OR($J906="",$I906=0),"",ROUND($J906/$I906,4))</f>
        <v/>
      </c>
      <c r="N906" s="17" t="n"/>
      <c r="O906" s="17" t="n"/>
      <c r="P906" s="24">
        <f>IF($J906="","未盘",IF(ROUND($J906,3)=0,"账实相符",IF(COUNTIFS(入库单!$G$4:$G$2503,$A906,入库单!$X$4:$X$2503,"盘盈",入库单!$C$4:$C$2503,"&gt;="&amp;账期起,入库单!$C$4:$C$2503,"&lt;="&amp;账期止)+COUNTIFS(出库单!$D$4:$D$4003,$A906,出库单!$K$4:$K$4003,"盘亏",出库单!$C$4:$C$4003,"&gt;="&amp;账期起,出库单!$C$4:$C$4003,"&lt;="&amp;账期止)&gt;0,"已调账","※差异还没调账")))</f>
        <v/>
      </c>
      <c r="Q906" s="17" t="n"/>
      <c r="R906" s="17" t="n"/>
    </row>
    <row r="907">
      <c r="A907" s="24">
        <f>IF(库存台账!$A907="","",库存台账!$A907)</f>
        <v/>
      </c>
      <c r="B907" s="24">
        <f>IF($A907="","",库存台账!$B907)</f>
        <v/>
      </c>
      <c r="C907" s="24">
        <f>IF($A907="","",库存台账!$C907)</f>
        <v/>
      </c>
      <c r="D907" s="24">
        <f>IF($A907="","",库存台账!$D907)</f>
        <v/>
      </c>
      <c r="E907" s="24">
        <f>IF($A907="","",库存台账!$E907)</f>
        <v/>
      </c>
      <c r="F907" s="24">
        <f>IF($A907="","",库存台账!$F907)</f>
        <v/>
      </c>
      <c r="G907" s="17" t="n"/>
      <c r="H907" s="23" t="n"/>
      <c r="I907" s="27">
        <f>IF($A907="","",库存台账!$X907)</f>
        <v/>
      </c>
      <c r="J907" s="27">
        <f>IF(OR($A907="",$H907=""),"",ROUND($H907-$I907,3))</f>
        <v/>
      </c>
      <c r="K907" s="26">
        <f>IF($A907="","",库存台账!$K907)</f>
        <v/>
      </c>
      <c r="L907" s="26">
        <f>IF($J907="","",ROUND($J907*$K907,0))</f>
        <v/>
      </c>
      <c r="M907" s="37">
        <f>IF(OR($J907="",$I907=0),"",ROUND($J907/$I907,4))</f>
        <v/>
      </c>
      <c r="N907" s="17" t="n"/>
      <c r="O907" s="17" t="n"/>
      <c r="P907" s="24">
        <f>IF($J907="","未盘",IF(ROUND($J907,3)=0,"账实相符",IF(COUNTIFS(入库单!$G$4:$G$2503,$A907,入库单!$X$4:$X$2503,"盘盈",入库单!$C$4:$C$2503,"&gt;="&amp;账期起,入库单!$C$4:$C$2503,"&lt;="&amp;账期止)+COUNTIFS(出库单!$D$4:$D$4003,$A907,出库单!$K$4:$K$4003,"盘亏",出库单!$C$4:$C$4003,"&gt;="&amp;账期起,出库单!$C$4:$C$4003,"&lt;="&amp;账期止)&gt;0,"已调账","※差异还没调账")))</f>
        <v/>
      </c>
      <c r="Q907" s="17" t="n"/>
      <c r="R907" s="17" t="n"/>
    </row>
    <row r="908">
      <c r="A908" s="24">
        <f>IF(库存台账!$A908="","",库存台账!$A908)</f>
        <v/>
      </c>
      <c r="B908" s="24">
        <f>IF($A908="","",库存台账!$B908)</f>
        <v/>
      </c>
      <c r="C908" s="24">
        <f>IF($A908="","",库存台账!$C908)</f>
        <v/>
      </c>
      <c r="D908" s="24">
        <f>IF($A908="","",库存台账!$D908)</f>
        <v/>
      </c>
      <c r="E908" s="24">
        <f>IF($A908="","",库存台账!$E908)</f>
        <v/>
      </c>
      <c r="F908" s="24">
        <f>IF($A908="","",库存台账!$F908)</f>
        <v/>
      </c>
      <c r="G908" s="17" t="n"/>
      <c r="H908" s="23" t="n"/>
      <c r="I908" s="27">
        <f>IF($A908="","",库存台账!$X908)</f>
        <v/>
      </c>
      <c r="J908" s="27">
        <f>IF(OR($A908="",$H908=""),"",ROUND($H908-$I908,3))</f>
        <v/>
      </c>
      <c r="K908" s="26">
        <f>IF($A908="","",库存台账!$K908)</f>
        <v/>
      </c>
      <c r="L908" s="26">
        <f>IF($J908="","",ROUND($J908*$K908,0))</f>
        <v/>
      </c>
      <c r="M908" s="37">
        <f>IF(OR($J908="",$I908=0),"",ROUND($J908/$I908,4))</f>
        <v/>
      </c>
      <c r="N908" s="17" t="n"/>
      <c r="O908" s="17" t="n"/>
      <c r="P908" s="24">
        <f>IF($J908="","未盘",IF(ROUND($J908,3)=0,"账实相符",IF(COUNTIFS(入库单!$G$4:$G$2503,$A908,入库单!$X$4:$X$2503,"盘盈",入库单!$C$4:$C$2503,"&gt;="&amp;账期起,入库单!$C$4:$C$2503,"&lt;="&amp;账期止)+COUNTIFS(出库单!$D$4:$D$4003,$A908,出库单!$K$4:$K$4003,"盘亏",出库单!$C$4:$C$4003,"&gt;="&amp;账期起,出库单!$C$4:$C$4003,"&lt;="&amp;账期止)&gt;0,"已调账","※差异还没调账")))</f>
        <v/>
      </c>
      <c r="Q908" s="17" t="n"/>
      <c r="R908" s="17" t="n"/>
    </row>
    <row r="909">
      <c r="A909" s="24">
        <f>IF(库存台账!$A909="","",库存台账!$A909)</f>
        <v/>
      </c>
      <c r="B909" s="24">
        <f>IF($A909="","",库存台账!$B909)</f>
        <v/>
      </c>
      <c r="C909" s="24">
        <f>IF($A909="","",库存台账!$C909)</f>
        <v/>
      </c>
      <c r="D909" s="24">
        <f>IF($A909="","",库存台账!$D909)</f>
        <v/>
      </c>
      <c r="E909" s="24">
        <f>IF($A909="","",库存台账!$E909)</f>
        <v/>
      </c>
      <c r="F909" s="24">
        <f>IF($A909="","",库存台账!$F909)</f>
        <v/>
      </c>
      <c r="G909" s="17" t="n"/>
      <c r="H909" s="23" t="n"/>
      <c r="I909" s="27">
        <f>IF($A909="","",库存台账!$X909)</f>
        <v/>
      </c>
      <c r="J909" s="27">
        <f>IF(OR($A909="",$H909=""),"",ROUND($H909-$I909,3))</f>
        <v/>
      </c>
      <c r="K909" s="26">
        <f>IF($A909="","",库存台账!$K909)</f>
        <v/>
      </c>
      <c r="L909" s="26">
        <f>IF($J909="","",ROUND($J909*$K909,0))</f>
        <v/>
      </c>
      <c r="M909" s="37">
        <f>IF(OR($J909="",$I909=0),"",ROUND($J909/$I909,4))</f>
        <v/>
      </c>
      <c r="N909" s="17" t="n"/>
      <c r="O909" s="17" t="n"/>
      <c r="P909" s="24">
        <f>IF($J909="","未盘",IF(ROUND($J909,3)=0,"账实相符",IF(COUNTIFS(入库单!$G$4:$G$2503,$A909,入库单!$X$4:$X$2503,"盘盈",入库单!$C$4:$C$2503,"&gt;="&amp;账期起,入库单!$C$4:$C$2503,"&lt;="&amp;账期止)+COUNTIFS(出库单!$D$4:$D$4003,$A909,出库单!$K$4:$K$4003,"盘亏",出库单!$C$4:$C$4003,"&gt;="&amp;账期起,出库单!$C$4:$C$4003,"&lt;="&amp;账期止)&gt;0,"已调账","※差异还没调账")))</f>
        <v/>
      </c>
      <c r="Q909" s="17" t="n"/>
      <c r="R909" s="17" t="n"/>
    </row>
    <row r="910">
      <c r="A910" s="24">
        <f>IF(库存台账!$A910="","",库存台账!$A910)</f>
        <v/>
      </c>
      <c r="B910" s="24">
        <f>IF($A910="","",库存台账!$B910)</f>
        <v/>
      </c>
      <c r="C910" s="24">
        <f>IF($A910="","",库存台账!$C910)</f>
        <v/>
      </c>
      <c r="D910" s="24">
        <f>IF($A910="","",库存台账!$D910)</f>
        <v/>
      </c>
      <c r="E910" s="24">
        <f>IF($A910="","",库存台账!$E910)</f>
        <v/>
      </c>
      <c r="F910" s="24">
        <f>IF($A910="","",库存台账!$F910)</f>
        <v/>
      </c>
      <c r="G910" s="17" t="n"/>
      <c r="H910" s="23" t="n"/>
      <c r="I910" s="27">
        <f>IF($A910="","",库存台账!$X910)</f>
        <v/>
      </c>
      <c r="J910" s="27">
        <f>IF(OR($A910="",$H910=""),"",ROUND($H910-$I910,3))</f>
        <v/>
      </c>
      <c r="K910" s="26">
        <f>IF($A910="","",库存台账!$K910)</f>
        <v/>
      </c>
      <c r="L910" s="26">
        <f>IF($J910="","",ROUND($J910*$K910,0))</f>
        <v/>
      </c>
      <c r="M910" s="37">
        <f>IF(OR($J910="",$I910=0),"",ROUND($J910/$I910,4))</f>
        <v/>
      </c>
      <c r="N910" s="17" t="n"/>
      <c r="O910" s="17" t="n"/>
      <c r="P910" s="24">
        <f>IF($J910="","未盘",IF(ROUND($J910,3)=0,"账实相符",IF(COUNTIFS(入库单!$G$4:$G$2503,$A910,入库单!$X$4:$X$2503,"盘盈",入库单!$C$4:$C$2503,"&gt;="&amp;账期起,入库单!$C$4:$C$2503,"&lt;="&amp;账期止)+COUNTIFS(出库单!$D$4:$D$4003,$A910,出库单!$K$4:$K$4003,"盘亏",出库单!$C$4:$C$4003,"&gt;="&amp;账期起,出库单!$C$4:$C$4003,"&lt;="&amp;账期止)&gt;0,"已调账","※差异还没调账")))</f>
        <v/>
      </c>
      <c r="Q910" s="17" t="n"/>
      <c r="R910" s="17" t="n"/>
    </row>
    <row r="911">
      <c r="A911" s="24">
        <f>IF(库存台账!$A911="","",库存台账!$A911)</f>
        <v/>
      </c>
      <c r="B911" s="24">
        <f>IF($A911="","",库存台账!$B911)</f>
        <v/>
      </c>
      <c r="C911" s="24">
        <f>IF($A911="","",库存台账!$C911)</f>
        <v/>
      </c>
      <c r="D911" s="24">
        <f>IF($A911="","",库存台账!$D911)</f>
        <v/>
      </c>
      <c r="E911" s="24">
        <f>IF($A911="","",库存台账!$E911)</f>
        <v/>
      </c>
      <c r="F911" s="24">
        <f>IF($A911="","",库存台账!$F911)</f>
        <v/>
      </c>
      <c r="G911" s="17" t="n"/>
      <c r="H911" s="23" t="n"/>
      <c r="I911" s="27">
        <f>IF($A911="","",库存台账!$X911)</f>
        <v/>
      </c>
      <c r="J911" s="27">
        <f>IF(OR($A911="",$H911=""),"",ROUND($H911-$I911,3))</f>
        <v/>
      </c>
      <c r="K911" s="26">
        <f>IF($A911="","",库存台账!$K911)</f>
        <v/>
      </c>
      <c r="L911" s="26">
        <f>IF($J911="","",ROUND($J911*$K911,0))</f>
        <v/>
      </c>
      <c r="M911" s="37">
        <f>IF(OR($J911="",$I911=0),"",ROUND($J911/$I911,4))</f>
        <v/>
      </c>
      <c r="N911" s="17" t="n"/>
      <c r="O911" s="17" t="n"/>
      <c r="P911" s="24">
        <f>IF($J911="","未盘",IF(ROUND($J911,3)=0,"账实相符",IF(COUNTIFS(入库单!$G$4:$G$2503,$A911,入库单!$X$4:$X$2503,"盘盈",入库单!$C$4:$C$2503,"&gt;="&amp;账期起,入库单!$C$4:$C$2503,"&lt;="&amp;账期止)+COUNTIFS(出库单!$D$4:$D$4003,$A911,出库单!$K$4:$K$4003,"盘亏",出库单!$C$4:$C$4003,"&gt;="&amp;账期起,出库单!$C$4:$C$4003,"&lt;="&amp;账期止)&gt;0,"已调账","※差异还没调账")))</f>
        <v/>
      </c>
      <c r="Q911" s="17" t="n"/>
      <c r="R911" s="17" t="n"/>
    </row>
    <row r="912">
      <c r="A912" s="24">
        <f>IF(库存台账!$A912="","",库存台账!$A912)</f>
        <v/>
      </c>
      <c r="B912" s="24">
        <f>IF($A912="","",库存台账!$B912)</f>
        <v/>
      </c>
      <c r="C912" s="24">
        <f>IF($A912="","",库存台账!$C912)</f>
        <v/>
      </c>
      <c r="D912" s="24">
        <f>IF($A912="","",库存台账!$D912)</f>
        <v/>
      </c>
      <c r="E912" s="24">
        <f>IF($A912="","",库存台账!$E912)</f>
        <v/>
      </c>
      <c r="F912" s="24">
        <f>IF($A912="","",库存台账!$F912)</f>
        <v/>
      </c>
      <c r="G912" s="17" t="n"/>
      <c r="H912" s="23" t="n"/>
      <c r="I912" s="27">
        <f>IF($A912="","",库存台账!$X912)</f>
        <v/>
      </c>
      <c r="J912" s="27">
        <f>IF(OR($A912="",$H912=""),"",ROUND($H912-$I912,3))</f>
        <v/>
      </c>
      <c r="K912" s="26">
        <f>IF($A912="","",库存台账!$K912)</f>
        <v/>
      </c>
      <c r="L912" s="26">
        <f>IF($J912="","",ROUND($J912*$K912,0))</f>
        <v/>
      </c>
      <c r="M912" s="37">
        <f>IF(OR($J912="",$I912=0),"",ROUND($J912/$I912,4))</f>
        <v/>
      </c>
      <c r="N912" s="17" t="n"/>
      <c r="O912" s="17" t="n"/>
      <c r="P912" s="24">
        <f>IF($J912="","未盘",IF(ROUND($J912,3)=0,"账实相符",IF(COUNTIFS(入库单!$G$4:$G$2503,$A912,入库单!$X$4:$X$2503,"盘盈",入库单!$C$4:$C$2503,"&gt;="&amp;账期起,入库单!$C$4:$C$2503,"&lt;="&amp;账期止)+COUNTIFS(出库单!$D$4:$D$4003,$A912,出库单!$K$4:$K$4003,"盘亏",出库单!$C$4:$C$4003,"&gt;="&amp;账期起,出库单!$C$4:$C$4003,"&lt;="&amp;账期止)&gt;0,"已调账","※差异还没调账")))</f>
        <v/>
      </c>
      <c r="Q912" s="17" t="n"/>
      <c r="R912" s="17" t="n"/>
    </row>
    <row r="913">
      <c r="A913" s="24">
        <f>IF(库存台账!$A913="","",库存台账!$A913)</f>
        <v/>
      </c>
      <c r="B913" s="24">
        <f>IF($A913="","",库存台账!$B913)</f>
        <v/>
      </c>
      <c r="C913" s="24">
        <f>IF($A913="","",库存台账!$C913)</f>
        <v/>
      </c>
      <c r="D913" s="24">
        <f>IF($A913="","",库存台账!$D913)</f>
        <v/>
      </c>
      <c r="E913" s="24">
        <f>IF($A913="","",库存台账!$E913)</f>
        <v/>
      </c>
      <c r="F913" s="24">
        <f>IF($A913="","",库存台账!$F913)</f>
        <v/>
      </c>
      <c r="G913" s="17" t="n"/>
      <c r="H913" s="23" t="n"/>
      <c r="I913" s="27">
        <f>IF($A913="","",库存台账!$X913)</f>
        <v/>
      </c>
      <c r="J913" s="27">
        <f>IF(OR($A913="",$H913=""),"",ROUND($H913-$I913,3))</f>
        <v/>
      </c>
      <c r="K913" s="26">
        <f>IF($A913="","",库存台账!$K913)</f>
        <v/>
      </c>
      <c r="L913" s="26">
        <f>IF($J913="","",ROUND($J913*$K913,0))</f>
        <v/>
      </c>
      <c r="M913" s="37">
        <f>IF(OR($J913="",$I913=0),"",ROUND($J913/$I913,4))</f>
        <v/>
      </c>
      <c r="N913" s="17" t="n"/>
      <c r="O913" s="17" t="n"/>
      <c r="P913" s="24">
        <f>IF($J913="","未盘",IF(ROUND($J913,3)=0,"账实相符",IF(COUNTIFS(入库单!$G$4:$G$2503,$A913,入库单!$X$4:$X$2503,"盘盈",入库单!$C$4:$C$2503,"&gt;="&amp;账期起,入库单!$C$4:$C$2503,"&lt;="&amp;账期止)+COUNTIFS(出库单!$D$4:$D$4003,$A913,出库单!$K$4:$K$4003,"盘亏",出库单!$C$4:$C$4003,"&gt;="&amp;账期起,出库单!$C$4:$C$4003,"&lt;="&amp;账期止)&gt;0,"已调账","※差异还没调账")))</f>
        <v/>
      </c>
      <c r="Q913" s="17" t="n"/>
      <c r="R913" s="17" t="n"/>
    </row>
    <row r="914">
      <c r="A914" s="24">
        <f>IF(库存台账!$A914="","",库存台账!$A914)</f>
        <v/>
      </c>
      <c r="B914" s="24">
        <f>IF($A914="","",库存台账!$B914)</f>
        <v/>
      </c>
      <c r="C914" s="24">
        <f>IF($A914="","",库存台账!$C914)</f>
        <v/>
      </c>
      <c r="D914" s="24">
        <f>IF($A914="","",库存台账!$D914)</f>
        <v/>
      </c>
      <c r="E914" s="24">
        <f>IF($A914="","",库存台账!$E914)</f>
        <v/>
      </c>
      <c r="F914" s="24">
        <f>IF($A914="","",库存台账!$F914)</f>
        <v/>
      </c>
      <c r="G914" s="17" t="n"/>
      <c r="H914" s="23" t="n"/>
      <c r="I914" s="27">
        <f>IF($A914="","",库存台账!$X914)</f>
        <v/>
      </c>
      <c r="J914" s="27">
        <f>IF(OR($A914="",$H914=""),"",ROUND($H914-$I914,3))</f>
        <v/>
      </c>
      <c r="K914" s="26">
        <f>IF($A914="","",库存台账!$K914)</f>
        <v/>
      </c>
      <c r="L914" s="26">
        <f>IF($J914="","",ROUND($J914*$K914,0))</f>
        <v/>
      </c>
      <c r="M914" s="37">
        <f>IF(OR($J914="",$I914=0),"",ROUND($J914/$I914,4))</f>
        <v/>
      </c>
      <c r="N914" s="17" t="n"/>
      <c r="O914" s="17" t="n"/>
      <c r="P914" s="24">
        <f>IF($J914="","未盘",IF(ROUND($J914,3)=0,"账实相符",IF(COUNTIFS(入库单!$G$4:$G$2503,$A914,入库单!$X$4:$X$2503,"盘盈",入库单!$C$4:$C$2503,"&gt;="&amp;账期起,入库单!$C$4:$C$2503,"&lt;="&amp;账期止)+COUNTIFS(出库单!$D$4:$D$4003,$A914,出库单!$K$4:$K$4003,"盘亏",出库单!$C$4:$C$4003,"&gt;="&amp;账期起,出库单!$C$4:$C$4003,"&lt;="&amp;账期止)&gt;0,"已调账","※差异还没调账")))</f>
        <v/>
      </c>
      <c r="Q914" s="17" t="n"/>
      <c r="R914" s="17" t="n"/>
    </row>
    <row r="915">
      <c r="A915" s="24">
        <f>IF(库存台账!$A915="","",库存台账!$A915)</f>
        <v/>
      </c>
      <c r="B915" s="24">
        <f>IF($A915="","",库存台账!$B915)</f>
        <v/>
      </c>
      <c r="C915" s="24">
        <f>IF($A915="","",库存台账!$C915)</f>
        <v/>
      </c>
      <c r="D915" s="24">
        <f>IF($A915="","",库存台账!$D915)</f>
        <v/>
      </c>
      <c r="E915" s="24">
        <f>IF($A915="","",库存台账!$E915)</f>
        <v/>
      </c>
      <c r="F915" s="24">
        <f>IF($A915="","",库存台账!$F915)</f>
        <v/>
      </c>
      <c r="G915" s="17" t="n"/>
      <c r="H915" s="23" t="n"/>
      <c r="I915" s="27">
        <f>IF($A915="","",库存台账!$X915)</f>
        <v/>
      </c>
      <c r="J915" s="27">
        <f>IF(OR($A915="",$H915=""),"",ROUND($H915-$I915,3))</f>
        <v/>
      </c>
      <c r="K915" s="26">
        <f>IF($A915="","",库存台账!$K915)</f>
        <v/>
      </c>
      <c r="L915" s="26">
        <f>IF($J915="","",ROUND($J915*$K915,0))</f>
        <v/>
      </c>
      <c r="M915" s="37">
        <f>IF(OR($J915="",$I915=0),"",ROUND($J915/$I915,4))</f>
        <v/>
      </c>
      <c r="N915" s="17" t="n"/>
      <c r="O915" s="17" t="n"/>
      <c r="P915" s="24">
        <f>IF($J915="","未盘",IF(ROUND($J915,3)=0,"账实相符",IF(COUNTIFS(入库单!$G$4:$G$2503,$A915,入库单!$X$4:$X$2503,"盘盈",入库单!$C$4:$C$2503,"&gt;="&amp;账期起,入库单!$C$4:$C$2503,"&lt;="&amp;账期止)+COUNTIFS(出库单!$D$4:$D$4003,$A915,出库单!$K$4:$K$4003,"盘亏",出库单!$C$4:$C$4003,"&gt;="&amp;账期起,出库单!$C$4:$C$4003,"&lt;="&amp;账期止)&gt;0,"已调账","※差异还没调账")))</f>
        <v/>
      </c>
      <c r="Q915" s="17" t="n"/>
      <c r="R915" s="17" t="n"/>
    </row>
    <row r="916">
      <c r="A916" s="24">
        <f>IF(库存台账!$A916="","",库存台账!$A916)</f>
        <v/>
      </c>
      <c r="B916" s="24">
        <f>IF($A916="","",库存台账!$B916)</f>
        <v/>
      </c>
      <c r="C916" s="24">
        <f>IF($A916="","",库存台账!$C916)</f>
        <v/>
      </c>
      <c r="D916" s="24">
        <f>IF($A916="","",库存台账!$D916)</f>
        <v/>
      </c>
      <c r="E916" s="24">
        <f>IF($A916="","",库存台账!$E916)</f>
        <v/>
      </c>
      <c r="F916" s="24">
        <f>IF($A916="","",库存台账!$F916)</f>
        <v/>
      </c>
      <c r="G916" s="17" t="n"/>
      <c r="H916" s="23" t="n"/>
      <c r="I916" s="27">
        <f>IF($A916="","",库存台账!$X916)</f>
        <v/>
      </c>
      <c r="J916" s="27">
        <f>IF(OR($A916="",$H916=""),"",ROUND($H916-$I916,3))</f>
        <v/>
      </c>
      <c r="K916" s="26">
        <f>IF($A916="","",库存台账!$K916)</f>
        <v/>
      </c>
      <c r="L916" s="26">
        <f>IF($J916="","",ROUND($J916*$K916,0))</f>
        <v/>
      </c>
      <c r="M916" s="37">
        <f>IF(OR($J916="",$I916=0),"",ROUND($J916/$I916,4))</f>
        <v/>
      </c>
      <c r="N916" s="17" t="n"/>
      <c r="O916" s="17" t="n"/>
      <c r="P916" s="24">
        <f>IF($J916="","未盘",IF(ROUND($J916,3)=0,"账实相符",IF(COUNTIFS(入库单!$G$4:$G$2503,$A916,入库单!$X$4:$X$2503,"盘盈",入库单!$C$4:$C$2503,"&gt;="&amp;账期起,入库单!$C$4:$C$2503,"&lt;="&amp;账期止)+COUNTIFS(出库单!$D$4:$D$4003,$A916,出库单!$K$4:$K$4003,"盘亏",出库单!$C$4:$C$4003,"&gt;="&amp;账期起,出库单!$C$4:$C$4003,"&lt;="&amp;账期止)&gt;0,"已调账","※差异还没调账")))</f>
        <v/>
      </c>
      <c r="Q916" s="17" t="n"/>
      <c r="R916" s="17" t="n"/>
    </row>
    <row r="917">
      <c r="A917" s="24">
        <f>IF(库存台账!$A917="","",库存台账!$A917)</f>
        <v/>
      </c>
      <c r="B917" s="24">
        <f>IF($A917="","",库存台账!$B917)</f>
        <v/>
      </c>
      <c r="C917" s="24">
        <f>IF($A917="","",库存台账!$C917)</f>
        <v/>
      </c>
      <c r="D917" s="24">
        <f>IF($A917="","",库存台账!$D917)</f>
        <v/>
      </c>
      <c r="E917" s="24">
        <f>IF($A917="","",库存台账!$E917)</f>
        <v/>
      </c>
      <c r="F917" s="24">
        <f>IF($A917="","",库存台账!$F917)</f>
        <v/>
      </c>
      <c r="G917" s="17" t="n"/>
      <c r="H917" s="23" t="n"/>
      <c r="I917" s="27">
        <f>IF($A917="","",库存台账!$X917)</f>
        <v/>
      </c>
      <c r="J917" s="27">
        <f>IF(OR($A917="",$H917=""),"",ROUND($H917-$I917,3))</f>
        <v/>
      </c>
      <c r="K917" s="26">
        <f>IF($A917="","",库存台账!$K917)</f>
        <v/>
      </c>
      <c r="L917" s="26">
        <f>IF($J917="","",ROUND($J917*$K917,0))</f>
        <v/>
      </c>
      <c r="M917" s="37">
        <f>IF(OR($J917="",$I917=0),"",ROUND($J917/$I917,4))</f>
        <v/>
      </c>
      <c r="N917" s="17" t="n"/>
      <c r="O917" s="17" t="n"/>
      <c r="P917" s="24">
        <f>IF($J917="","未盘",IF(ROUND($J917,3)=0,"账实相符",IF(COUNTIFS(入库单!$G$4:$G$2503,$A917,入库单!$X$4:$X$2503,"盘盈",入库单!$C$4:$C$2503,"&gt;="&amp;账期起,入库单!$C$4:$C$2503,"&lt;="&amp;账期止)+COUNTIFS(出库单!$D$4:$D$4003,$A917,出库单!$K$4:$K$4003,"盘亏",出库单!$C$4:$C$4003,"&gt;="&amp;账期起,出库单!$C$4:$C$4003,"&lt;="&amp;账期止)&gt;0,"已调账","※差异还没调账")))</f>
        <v/>
      </c>
      <c r="Q917" s="17" t="n"/>
      <c r="R917" s="17" t="n"/>
    </row>
    <row r="918">
      <c r="A918" s="24">
        <f>IF(库存台账!$A918="","",库存台账!$A918)</f>
        <v/>
      </c>
      <c r="B918" s="24">
        <f>IF($A918="","",库存台账!$B918)</f>
        <v/>
      </c>
      <c r="C918" s="24">
        <f>IF($A918="","",库存台账!$C918)</f>
        <v/>
      </c>
      <c r="D918" s="24">
        <f>IF($A918="","",库存台账!$D918)</f>
        <v/>
      </c>
      <c r="E918" s="24">
        <f>IF($A918="","",库存台账!$E918)</f>
        <v/>
      </c>
      <c r="F918" s="24">
        <f>IF($A918="","",库存台账!$F918)</f>
        <v/>
      </c>
      <c r="G918" s="17" t="n"/>
      <c r="H918" s="23" t="n"/>
      <c r="I918" s="27">
        <f>IF($A918="","",库存台账!$X918)</f>
        <v/>
      </c>
      <c r="J918" s="27">
        <f>IF(OR($A918="",$H918=""),"",ROUND($H918-$I918,3))</f>
        <v/>
      </c>
      <c r="K918" s="26">
        <f>IF($A918="","",库存台账!$K918)</f>
        <v/>
      </c>
      <c r="L918" s="26">
        <f>IF($J918="","",ROUND($J918*$K918,0))</f>
        <v/>
      </c>
      <c r="M918" s="37">
        <f>IF(OR($J918="",$I918=0),"",ROUND($J918/$I918,4))</f>
        <v/>
      </c>
      <c r="N918" s="17" t="n"/>
      <c r="O918" s="17" t="n"/>
      <c r="P918" s="24">
        <f>IF($J918="","未盘",IF(ROUND($J918,3)=0,"账实相符",IF(COUNTIFS(入库单!$G$4:$G$2503,$A918,入库单!$X$4:$X$2503,"盘盈",入库单!$C$4:$C$2503,"&gt;="&amp;账期起,入库单!$C$4:$C$2503,"&lt;="&amp;账期止)+COUNTIFS(出库单!$D$4:$D$4003,$A918,出库单!$K$4:$K$4003,"盘亏",出库单!$C$4:$C$4003,"&gt;="&amp;账期起,出库单!$C$4:$C$4003,"&lt;="&amp;账期止)&gt;0,"已调账","※差异还没调账")))</f>
        <v/>
      </c>
      <c r="Q918" s="17" t="n"/>
      <c r="R918" s="17" t="n"/>
    </row>
    <row r="919">
      <c r="A919" s="24">
        <f>IF(库存台账!$A919="","",库存台账!$A919)</f>
        <v/>
      </c>
      <c r="B919" s="24">
        <f>IF($A919="","",库存台账!$B919)</f>
        <v/>
      </c>
      <c r="C919" s="24">
        <f>IF($A919="","",库存台账!$C919)</f>
        <v/>
      </c>
      <c r="D919" s="24">
        <f>IF($A919="","",库存台账!$D919)</f>
        <v/>
      </c>
      <c r="E919" s="24">
        <f>IF($A919="","",库存台账!$E919)</f>
        <v/>
      </c>
      <c r="F919" s="24">
        <f>IF($A919="","",库存台账!$F919)</f>
        <v/>
      </c>
      <c r="G919" s="17" t="n"/>
      <c r="H919" s="23" t="n"/>
      <c r="I919" s="27">
        <f>IF($A919="","",库存台账!$X919)</f>
        <v/>
      </c>
      <c r="J919" s="27">
        <f>IF(OR($A919="",$H919=""),"",ROUND($H919-$I919,3))</f>
        <v/>
      </c>
      <c r="K919" s="26">
        <f>IF($A919="","",库存台账!$K919)</f>
        <v/>
      </c>
      <c r="L919" s="26">
        <f>IF($J919="","",ROUND($J919*$K919,0))</f>
        <v/>
      </c>
      <c r="M919" s="37">
        <f>IF(OR($J919="",$I919=0),"",ROUND($J919/$I919,4))</f>
        <v/>
      </c>
      <c r="N919" s="17" t="n"/>
      <c r="O919" s="17" t="n"/>
      <c r="P919" s="24">
        <f>IF($J919="","未盘",IF(ROUND($J919,3)=0,"账实相符",IF(COUNTIFS(入库单!$G$4:$G$2503,$A919,入库单!$X$4:$X$2503,"盘盈",入库单!$C$4:$C$2503,"&gt;="&amp;账期起,入库单!$C$4:$C$2503,"&lt;="&amp;账期止)+COUNTIFS(出库单!$D$4:$D$4003,$A919,出库单!$K$4:$K$4003,"盘亏",出库单!$C$4:$C$4003,"&gt;="&amp;账期起,出库单!$C$4:$C$4003,"&lt;="&amp;账期止)&gt;0,"已调账","※差异还没调账")))</f>
        <v/>
      </c>
      <c r="Q919" s="17" t="n"/>
      <c r="R919" s="17" t="n"/>
    </row>
    <row r="920">
      <c r="A920" s="24">
        <f>IF(库存台账!$A920="","",库存台账!$A920)</f>
        <v/>
      </c>
      <c r="B920" s="24">
        <f>IF($A920="","",库存台账!$B920)</f>
        <v/>
      </c>
      <c r="C920" s="24">
        <f>IF($A920="","",库存台账!$C920)</f>
        <v/>
      </c>
      <c r="D920" s="24">
        <f>IF($A920="","",库存台账!$D920)</f>
        <v/>
      </c>
      <c r="E920" s="24">
        <f>IF($A920="","",库存台账!$E920)</f>
        <v/>
      </c>
      <c r="F920" s="24">
        <f>IF($A920="","",库存台账!$F920)</f>
        <v/>
      </c>
      <c r="G920" s="17" t="n"/>
      <c r="H920" s="23" t="n"/>
      <c r="I920" s="27">
        <f>IF($A920="","",库存台账!$X920)</f>
        <v/>
      </c>
      <c r="J920" s="27">
        <f>IF(OR($A920="",$H920=""),"",ROUND($H920-$I920,3))</f>
        <v/>
      </c>
      <c r="K920" s="26">
        <f>IF($A920="","",库存台账!$K920)</f>
        <v/>
      </c>
      <c r="L920" s="26">
        <f>IF($J920="","",ROUND($J920*$K920,0))</f>
        <v/>
      </c>
      <c r="M920" s="37">
        <f>IF(OR($J920="",$I920=0),"",ROUND($J920/$I920,4))</f>
        <v/>
      </c>
      <c r="N920" s="17" t="n"/>
      <c r="O920" s="17" t="n"/>
      <c r="P920" s="24">
        <f>IF($J920="","未盘",IF(ROUND($J920,3)=0,"账实相符",IF(COUNTIFS(入库单!$G$4:$G$2503,$A920,入库单!$X$4:$X$2503,"盘盈",入库单!$C$4:$C$2503,"&gt;="&amp;账期起,入库单!$C$4:$C$2503,"&lt;="&amp;账期止)+COUNTIFS(出库单!$D$4:$D$4003,$A920,出库单!$K$4:$K$4003,"盘亏",出库单!$C$4:$C$4003,"&gt;="&amp;账期起,出库单!$C$4:$C$4003,"&lt;="&amp;账期止)&gt;0,"已调账","※差异还没调账")))</f>
        <v/>
      </c>
      <c r="Q920" s="17" t="n"/>
      <c r="R920" s="17" t="n"/>
    </row>
    <row r="921">
      <c r="A921" s="24">
        <f>IF(库存台账!$A921="","",库存台账!$A921)</f>
        <v/>
      </c>
      <c r="B921" s="24">
        <f>IF($A921="","",库存台账!$B921)</f>
        <v/>
      </c>
      <c r="C921" s="24">
        <f>IF($A921="","",库存台账!$C921)</f>
        <v/>
      </c>
      <c r="D921" s="24">
        <f>IF($A921="","",库存台账!$D921)</f>
        <v/>
      </c>
      <c r="E921" s="24">
        <f>IF($A921="","",库存台账!$E921)</f>
        <v/>
      </c>
      <c r="F921" s="24">
        <f>IF($A921="","",库存台账!$F921)</f>
        <v/>
      </c>
      <c r="G921" s="17" t="n"/>
      <c r="H921" s="23" t="n"/>
      <c r="I921" s="27">
        <f>IF($A921="","",库存台账!$X921)</f>
        <v/>
      </c>
      <c r="J921" s="27">
        <f>IF(OR($A921="",$H921=""),"",ROUND($H921-$I921,3))</f>
        <v/>
      </c>
      <c r="K921" s="26">
        <f>IF($A921="","",库存台账!$K921)</f>
        <v/>
      </c>
      <c r="L921" s="26">
        <f>IF($J921="","",ROUND($J921*$K921,0))</f>
        <v/>
      </c>
      <c r="M921" s="37">
        <f>IF(OR($J921="",$I921=0),"",ROUND($J921/$I921,4))</f>
        <v/>
      </c>
      <c r="N921" s="17" t="n"/>
      <c r="O921" s="17" t="n"/>
      <c r="P921" s="24">
        <f>IF($J921="","未盘",IF(ROUND($J921,3)=0,"账实相符",IF(COUNTIFS(入库单!$G$4:$G$2503,$A921,入库单!$X$4:$X$2503,"盘盈",入库单!$C$4:$C$2503,"&gt;="&amp;账期起,入库单!$C$4:$C$2503,"&lt;="&amp;账期止)+COUNTIFS(出库单!$D$4:$D$4003,$A921,出库单!$K$4:$K$4003,"盘亏",出库单!$C$4:$C$4003,"&gt;="&amp;账期起,出库单!$C$4:$C$4003,"&lt;="&amp;账期止)&gt;0,"已调账","※差异还没调账")))</f>
        <v/>
      </c>
      <c r="Q921" s="17" t="n"/>
      <c r="R921" s="17" t="n"/>
    </row>
    <row r="922">
      <c r="A922" s="24">
        <f>IF(库存台账!$A922="","",库存台账!$A922)</f>
        <v/>
      </c>
      <c r="B922" s="24">
        <f>IF($A922="","",库存台账!$B922)</f>
        <v/>
      </c>
      <c r="C922" s="24">
        <f>IF($A922="","",库存台账!$C922)</f>
        <v/>
      </c>
      <c r="D922" s="24">
        <f>IF($A922="","",库存台账!$D922)</f>
        <v/>
      </c>
      <c r="E922" s="24">
        <f>IF($A922="","",库存台账!$E922)</f>
        <v/>
      </c>
      <c r="F922" s="24">
        <f>IF($A922="","",库存台账!$F922)</f>
        <v/>
      </c>
      <c r="G922" s="17" t="n"/>
      <c r="H922" s="23" t="n"/>
      <c r="I922" s="27">
        <f>IF($A922="","",库存台账!$X922)</f>
        <v/>
      </c>
      <c r="J922" s="27">
        <f>IF(OR($A922="",$H922=""),"",ROUND($H922-$I922,3))</f>
        <v/>
      </c>
      <c r="K922" s="26">
        <f>IF($A922="","",库存台账!$K922)</f>
        <v/>
      </c>
      <c r="L922" s="26">
        <f>IF($J922="","",ROUND($J922*$K922,0))</f>
        <v/>
      </c>
      <c r="M922" s="37">
        <f>IF(OR($J922="",$I922=0),"",ROUND($J922/$I922,4))</f>
        <v/>
      </c>
      <c r="N922" s="17" t="n"/>
      <c r="O922" s="17" t="n"/>
      <c r="P922" s="24">
        <f>IF($J922="","未盘",IF(ROUND($J922,3)=0,"账实相符",IF(COUNTIFS(入库单!$G$4:$G$2503,$A922,入库单!$X$4:$X$2503,"盘盈",入库单!$C$4:$C$2503,"&gt;="&amp;账期起,入库单!$C$4:$C$2503,"&lt;="&amp;账期止)+COUNTIFS(出库单!$D$4:$D$4003,$A922,出库单!$K$4:$K$4003,"盘亏",出库单!$C$4:$C$4003,"&gt;="&amp;账期起,出库单!$C$4:$C$4003,"&lt;="&amp;账期止)&gt;0,"已调账","※差异还没调账")))</f>
        <v/>
      </c>
      <c r="Q922" s="17" t="n"/>
      <c r="R922" s="17" t="n"/>
    </row>
    <row r="923">
      <c r="A923" s="24">
        <f>IF(库存台账!$A923="","",库存台账!$A923)</f>
        <v/>
      </c>
      <c r="B923" s="24">
        <f>IF($A923="","",库存台账!$B923)</f>
        <v/>
      </c>
      <c r="C923" s="24">
        <f>IF($A923="","",库存台账!$C923)</f>
        <v/>
      </c>
      <c r="D923" s="24">
        <f>IF($A923="","",库存台账!$D923)</f>
        <v/>
      </c>
      <c r="E923" s="24">
        <f>IF($A923="","",库存台账!$E923)</f>
        <v/>
      </c>
      <c r="F923" s="24">
        <f>IF($A923="","",库存台账!$F923)</f>
        <v/>
      </c>
      <c r="G923" s="17" t="n"/>
      <c r="H923" s="23" t="n"/>
      <c r="I923" s="27">
        <f>IF($A923="","",库存台账!$X923)</f>
        <v/>
      </c>
      <c r="J923" s="27">
        <f>IF(OR($A923="",$H923=""),"",ROUND($H923-$I923,3))</f>
        <v/>
      </c>
      <c r="K923" s="26">
        <f>IF($A923="","",库存台账!$K923)</f>
        <v/>
      </c>
      <c r="L923" s="26">
        <f>IF($J923="","",ROUND($J923*$K923,0))</f>
        <v/>
      </c>
      <c r="M923" s="37">
        <f>IF(OR($J923="",$I923=0),"",ROUND($J923/$I923,4))</f>
        <v/>
      </c>
      <c r="N923" s="17" t="n"/>
      <c r="O923" s="17" t="n"/>
      <c r="P923" s="24">
        <f>IF($J923="","未盘",IF(ROUND($J923,3)=0,"账实相符",IF(COUNTIFS(入库单!$G$4:$G$2503,$A923,入库单!$X$4:$X$2503,"盘盈",入库单!$C$4:$C$2503,"&gt;="&amp;账期起,入库单!$C$4:$C$2503,"&lt;="&amp;账期止)+COUNTIFS(出库单!$D$4:$D$4003,$A923,出库单!$K$4:$K$4003,"盘亏",出库单!$C$4:$C$4003,"&gt;="&amp;账期起,出库单!$C$4:$C$4003,"&lt;="&amp;账期止)&gt;0,"已调账","※差异还没调账")))</f>
        <v/>
      </c>
      <c r="Q923" s="17" t="n"/>
      <c r="R923" s="17" t="n"/>
    </row>
    <row r="924">
      <c r="A924" s="24">
        <f>IF(库存台账!$A924="","",库存台账!$A924)</f>
        <v/>
      </c>
      <c r="B924" s="24">
        <f>IF($A924="","",库存台账!$B924)</f>
        <v/>
      </c>
      <c r="C924" s="24">
        <f>IF($A924="","",库存台账!$C924)</f>
        <v/>
      </c>
      <c r="D924" s="24">
        <f>IF($A924="","",库存台账!$D924)</f>
        <v/>
      </c>
      <c r="E924" s="24">
        <f>IF($A924="","",库存台账!$E924)</f>
        <v/>
      </c>
      <c r="F924" s="24">
        <f>IF($A924="","",库存台账!$F924)</f>
        <v/>
      </c>
      <c r="G924" s="17" t="n"/>
      <c r="H924" s="23" t="n"/>
      <c r="I924" s="27">
        <f>IF($A924="","",库存台账!$X924)</f>
        <v/>
      </c>
      <c r="J924" s="27">
        <f>IF(OR($A924="",$H924=""),"",ROUND($H924-$I924,3))</f>
        <v/>
      </c>
      <c r="K924" s="26">
        <f>IF($A924="","",库存台账!$K924)</f>
        <v/>
      </c>
      <c r="L924" s="26">
        <f>IF($J924="","",ROUND($J924*$K924,0))</f>
        <v/>
      </c>
      <c r="M924" s="37">
        <f>IF(OR($J924="",$I924=0),"",ROUND($J924/$I924,4))</f>
        <v/>
      </c>
      <c r="N924" s="17" t="n"/>
      <c r="O924" s="17" t="n"/>
      <c r="P924" s="24">
        <f>IF($J924="","未盘",IF(ROUND($J924,3)=0,"账实相符",IF(COUNTIFS(入库单!$G$4:$G$2503,$A924,入库单!$X$4:$X$2503,"盘盈",入库单!$C$4:$C$2503,"&gt;="&amp;账期起,入库单!$C$4:$C$2503,"&lt;="&amp;账期止)+COUNTIFS(出库单!$D$4:$D$4003,$A924,出库单!$K$4:$K$4003,"盘亏",出库单!$C$4:$C$4003,"&gt;="&amp;账期起,出库单!$C$4:$C$4003,"&lt;="&amp;账期止)&gt;0,"已调账","※差异还没调账")))</f>
        <v/>
      </c>
      <c r="Q924" s="17" t="n"/>
      <c r="R924" s="17" t="n"/>
    </row>
    <row r="925">
      <c r="A925" s="24">
        <f>IF(库存台账!$A925="","",库存台账!$A925)</f>
        <v/>
      </c>
      <c r="B925" s="24">
        <f>IF($A925="","",库存台账!$B925)</f>
        <v/>
      </c>
      <c r="C925" s="24">
        <f>IF($A925="","",库存台账!$C925)</f>
        <v/>
      </c>
      <c r="D925" s="24">
        <f>IF($A925="","",库存台账!$D925)</f>
        <v/>
      </c>
      <c r="E925" s="24">
        <f>IF($A925="","",库存台账!$E925)</f>
        <v/>
      </c>
      <c r="F925" s="24">
        <f>IF($A925="","",库存台账!$F925)</f>
        <v/>
      </c>
      <c r="G925" s="17" t="n"/>
      <c r="H925" s="23" t="n"/>
      <c r="I925" s="27">
        <f>IF($A925="","",库存台账!$X925)</f>
        <v/>
      </c>
      <c r="J925" s="27">
        <f>IF(OR($A925="",$H925=""),"",ROUND($H925-$I925,3))</f>
        <v/>
      </c>
      <c r="K925" s="26">
        <f>IF($A925="","",库存台账!$K925)</f>
        <v/>
      </c>
      <c r="L925" s="26">
        <f>IF($J925="","",ROUND($J925*$K925,0))</f>
        <v/>
      </c>
      <c r="M925" s="37">
        <f>IF(OR($J925="",$I925=0),"",ROUND($J925/$I925,4))</f>
        <v/>
      </c>
      <c r="N925" s="17" t="n"/>
      <c r="O925" s="17" t="n"/>
      <c r="P925" s="24">
        <f>IF($J925="","未盘",IF(ROUND($J925,3)=0,"账实相符",IF(COUNTIFS(入库单!$G$4:$G$2503,$A925,入库单!$X$4:$X$2503,"盘盈",入库单!$C$4:$C$2503,"&gt;="&amp;账期起,入库单!$C$4:$C$2503,"&lt;="&amp;账期止)+COUNTIFS(出库单!$D$4:$D$4003,$A925,出库单!$K$4:$K$4003,"盘亏",出库单!$C$4:$C$4003,"&gt;="&amp;账期起,出库单!$C$4:$C$4003,"&lt;="&amp;账期止)&gt;0,"已调账","※差异还没调账")))</f>
        <v/>
      </c>
      <c r="Q925" s="17" t="n"/>
      <c r="R925" s="17" t="n"/>
    </row>
    <row r="926">
      <c r="A926" s="24">
        <f>IF(库存台账!$A926="","",库存台账!$A926)</f>
        <v/>
      </c>
      <c r="B926" s="24">
        <f>IF($A926="","",库存台账!$B926)</f>
        <v/>
      </c>
      <c r="C926" s="24">
        <f>IF($A926="","",库存台账!$C926)</f>
        <v/>
      </c>
      <c r="D926" s="24">
        <f>IF($A926="","",库存台账!$D926)</f>
        <v/>
      </c>
      <c r="E926" s="24">
        <f>IF($A926="","",库存台账!$E926)</f>
        <v/>
      </c>
      <c r="F926" s="24">
        <f>IF($A926="","",库存台账!$F926)</f>
        <v/>
      </c>
      <c r="G926" s="17" t="n"/>
      <c r="H926" s="23" t="n"/>
      <c r="I926" s="27">
        <f>IF($A926="","",库存台账!$X926)</f>
        <v/>
      </c>
      <c r="J926" s="27">
        <f>IF(OR($A926="",$H926=""),"",ROUND($H926-$I926,3))</f>
        <v/>
      </c>
      <c r="K926" s="26">
        <f>IF($A926="","",库存台账!$K926)</f>
        <v/>
      </c>
      <c r="L926" s="26">
        <f>IF($J926="","",ROUND($J926*$K926,0))</f>
        <v/>
      </c>
      <c r="M926" s="37">
        <f>IF(OR($J926="",$I926=0),"",ROUND($J926/$I926,4))</f>
        <v/>
      </c>
      <c r="N926" s="17" t="n"/>
      <c r="O926" s="17" t="n"/>
      <c r="P926" s="24">
        <f>IF($J926="","未盘",IF(ROUND($J926,3)=0,"账实相符",IF(COUNTIFS(入库单!$G$4:$G$2503,$A926,入库单!$X$4:$X$2503,"盘盈",入库单!$C$4:$C$2503,"&gt;="&amp;账期起,入库单!$C$4:$C$2503,"&lt;="&amp;账期止)+COUNTIFS(出库单!$D$4:$D$4003,$A926,出库单!$K$4:$K$4003,"盘亏",出库单!$C$4:$C$4003,"&gt;="&amp;账期起,出库单!$C$4:$C$4003,"&lt;="&amp;账期止)&gt;0,"已调账","※差异还没调账")))</f>
        <v/>
      </c>
      <c r="Q926" s="17" t="n"/>
      <c r="R926" s="17" t="n"/>
    </row>
    <row r="927">
      <c r="A927" s="24">
        <f>IF(库存台账!$A927="","",库存台账!$A927)</f>
        <v/>
      </c>
      <c r="B927" s="24">
        <f>IF($A927="","",库存台账!$B927)</f>
        <v/>
      </c>
      <c r="C927" s="24">
        <f>IF($A927="","",库存台账!$C927)</f>
        <v/>
      </c>
      <c r="D927" s="24">
        <f>IF($A927="","",库存台账!$D927)</f>
        <v/>
      </c>
      <c r="E927" s="24">
        <f>IF($A927="","",库存台账!$E927)</f>
        <v/>
      </c>
      <c r="F927" s="24">
        <f>IF($A927="","",库存台账!$F927)</f>
        <v/>
      </c>
      <c r="G927" s="17" t="n"/>
      <c r="H927" s="23" t="n"/>
      <c r="I927" s="27">
        <f>IF($A927="","",库存台账!$X927)</f>
        <v/>
      </c>
      <c r="J927" s="27">
        <f>IF(OR($A927="",$H927=""),"",ROUND($H927-$I927,3))</f>
        <v/>
      </c>
      <c r="K927" s="26">
        <f>IF($A927="","",库存台账!$K927)</f>
        <v/>
      </c>
      <c r="L927" s="26">
        <f>IF($J927="","",ROUND($J927*$K927,0))</f>
        <v/>
      </c>
      <c r="M927" s="37">
        <f>IF(OR($J927="",$I927=0),"",ROUND($J927/$I927,4))</f>
        <v/>
      </c>
      <c r="N927" s="17" t="n"/>
      <c r="O927" s="17" t="n"/>
      <c r="P927" s="24">
        <f>IF($J927="","未盘",IF(ROUND($J927,3)=0,"账实相符",IF(COUNTIFS(入库单!$G$4:$G$2503,$A927,入库单!$X$4:$X$2503,"盘盈",入库单!$C$4:$C$2503,"&gt;="&amp;账期起,入库单!$C$4:$C$2503,"&lt;="&amp;账期止)+COUNTIFS(出库单!$D$4:$D$4003,$A927,出库单!$K$4:$K$4003,"盘亏",出库单!$C$4:$C$4003,"&gt;="&amp;账期起,出库单!$C$4:$C$4003,"&lt;="&amp;账期止)&gt;0,"已调账","※差异还没调账")))</f>
        <v/>
      </c>
      <c r="Q927" s="17" t="n"/>
      <c r="R927" s="17" t="n"/>
    </row>
    <row r="928">
      <c r="A928" s="24">
        <f>IF(库存台账!$A928="","",库存台账!$A928)</f>
        <v/>
      </c>
      <c r="B928" s="24">
        <f>IF($A928="","",库存台账!$B928)</f>
        <v/>
      </c>
      <c r="C928" s="24">
        <f>IF($A928="","",库存台账!$C928)</f>
        <v/>
      </c>
      <c r="D928" s="24">
        <f>IF($A928="","",库存台账!$D928)</f>
        <v/>
      </c>
      <c r="E928" s="24">
        <f>IF($A928="","",库存台账!$E928)</f>
        <v/>
      </c>
      <c r="F928" s="24">
        <f>IF($A928="","",库存台账!$F928)</f>
        <v/>
      </c>
      <c r="G928" s="17" t="n"/>
      <c r="H928" s="23" t="n"/>
      <c r="I928" s="27">
        <f>IF($A928="","",库存台账!$X928)</f>
        <v/>
      </c>
      <c r="J928" s="27">
        <f>IF(OR($A928="",$H928=""),"",ROUND($H928-$I928,3))</f>
        <v/>
      </c>
      <c r="K928" s="26">
        <f>IF($A928="","",库存台账!$K928)</f>
        <v/>
      </c>
      <c r="L928" s="26">
        <f>IF($J928="","",ROUND($J928*$K928,0))</f>
        <v/>
      </c>
      <c r="M928" s="37">
        <f>IF(OR($J928="",$I928=0),"",ROUND($J928/$I928,4))</f>
        <v/>
      </c>
      <c r="N928" s="17" t="n"/>
      <c r="O928" s="17" t="n"/>
      <c r="P928" s="24">
        <f>IF($J928="","未盘",IF(ROUND($J928,3)=0,"账实相符",IF(COUNTIFS(入库单!$G$4:$G$2503,$A928,入库单!$X$4:$X$2503,"盘盈",入库单!$C$4:$C$2503,"&gt;="&amp;账期起,入库单!$C$4:$C$2503,"&lt;="&amp;账期止)+COUNTIFS(出库单!$D$4:$D$4003,$A928,出库单!$K$4:$K$4003,"盘亏",出库单!$C$4:$C$4003,"&gt;="&amp;账期起,出库单!$C$4:$C$4003,"&lt;="&amp;账期止)&gt;0,"已调账","※差异还没调账")))</f>
        <v/>
      </c>
      <c r="Q928" s="17" t="n"/>
      <c r="R928" s="17" t="n"/>
    </row>
    <row r="929">
      <c r="A929" s="24">
        <f>IF(库存台账!$A929="","",库存台账!$A929)</f>
        <v/>
      </c>
      <c r="B929" s="24">
        <f>IF($A929="","",库存台账!$B929)</f>
        <v/>
      </c>
      <c r="C929" s="24">
        <f>IF($A929="","",库存台账!$C929)</f>
        <v/>
      </c>
      <c r="D929" s="24">
        <f>IF($A929="","",库存台账!$D929)</f>
        <v/>
      </c>
      <c r="E929" s="24">
        <f>IF($A929="","",库存台账!$E929)</f>
        <v/>
      </c>
      <c r="F929" s="24">
        <f>IF($A929="","",库存台账!$F929)</f>
        <v/>
      </c>
      <c r="G929" s="17" t="n"/>
      <c r="H929" s="23" t="n"/>
      <c r="I929" s="27">
        <f>IF($A929="","",库存台账!$X929)</f>
        <v/>
      </c>
      <c r="J929" s="27">
        <f>IF(OR($A929="",$H929=""),"",ROUND($H929-$I929,3))</f>
        <v/>
      </c>
      <c r="K929" s="26">
        <f>IF($A929="","",库存台账!$K929)</f>
        <v/>
      </c>
      <c r="L929" s="26">
        <f>IF($J929="","",ROUND($J929*$K929,0))</f>
        <v/>
      </c>
      <c r="M929" s="37">
        <f>IF(OR($J929="",$I929=0),"",ROUND($J929/$I929,4))</f>
        <v/>
      </c>
      <c r="N929" s="17" t="n"/>
      <c r="O929" s="17" t="n"/>
      <c r="P929" s="24">
        <f>IF($J929="","未盘",IF(ROUND($J929,3)=0,"账实相符",IF(COUNTIFS(入库单!$G$4:$G$2503,$A929,入库单!$X$4:$X$2503,"盘盈",入库单!$C$4:$C$2503,"&gt;="&amp;账期起,入库单!$C$4:$C$2503,"&lt;="&amp;账期止)+COUNTIFS(出库单!$D$4:$D$4003,$A929,出库单!$K$4:$K$4003,"盘亏",出库单!$C$4:$C$4003,"&gt;="&amp;账期起,出库单!$C$4:$C$4003,"&lt;="&amp;账期止)&gt;0,"已调账","※差异还没调账")))</f>
        <v/>
      </c>
      <c r="Q929" s="17" t="n"/>
      <c r="R929" s="17" t="n"/>
    </row>
    <row r="930">
      <c r="A930" s="24">
        <f>IF(库存台账!$A930="","",库存台账!$A930)</f>
        <v/>
      </c>
      <c r="B930" s="24">
        <f>IF($A930="","",库存台账!$B930)</f>
        <v/>
      </c>
      <c r="C930" s="24">
        <f>IF($A930="","",库存台账!$C930)</f>
        <v/>
      </c>
      <c r="D930" s="24">
        <f>IF($A930="","",库存台账!$D930)</f>
        <v/>
      </c>
      <c r="E930" s="24">
        <f>IF($A930="","",库存台账!$E930)</f>
        <v/>
      </c>
      <c r="F930" s="24">
        <f>IF($A930="","",库存台账!$F930)</f>
        <v/>
      </c>
      <c r="G930" s="17" t="n"/>
      <c r="H930" s="23" t="n"/>
      <c r="I930" s="27">
        <f>IF($A930="","",库存台账!$X930)</f>
        <v/>
      </c>
      <c r="J930" s="27">
        <f>IF(OR($A930="",$H930=""),"",ROUND($H930-$I930,3))</f>
        <v/>
      </c>
      <c r="K930" s="26">
        <f>IF($A930="","",库存台账!$K930)</f>
        <v/>
      </c>
      <c r="L930" s="26">
        <f>IF($J930="","",ROUND($J930*$K930,0))</f>
        <v/>
      </c>
      <c r="M930" s="37">
        <f>IF(OR($J930="",$I930=0),"",ROUND($J930/$I930,4))</f>
        <v/>
      </c>
      <c r="N930" s="17" t="n"/>
      <c r="O930" s="17" t="n"/>
      <c r="P930" s="24">
        <f>IF($J930="","未盘",IF(ROUND($J930,3)=0,"账实相符",IF(COUNTIFS(入库单!$G$4:$G$2503,$A930,入库单!$X$4:$X$2503,"盘盈",入库单!$C$4:$C$2503,"&gt;="&amp;账期起,入库单!$C$4:$C$2503,"&lt;="&amp;账期止)+COUNTIFS(出库单!$D$4:$D$4003,$A930,出库单!$K$4:$K$4003,"盘亏",出库单!$C$4:$C$4003,"&gt;="&amp;账期起,出库单!$C$4:$C$4003,"&lt;="&amp;账期止)&gt;0,"已调账","※差异还没调账")))</f>
        <v/>
      </c>
      <c r="Q930" s="17" t="n"/>
      <c r="R930" s="17" t="n"/>
    </row>
    <row r="931">
      <c r="A931" s="24">
        <f>IF(库存台账!$A931="","",库存台账!$A931)</f>
        <v/>
      </c>
      <c r="B931" s="24">
        <f>IF($A931="","",库存台账!$B931)</f>
        <v/>
      </c>
      <c r="C931" s="24">
        <f>IF($A931="","",库存台账!$C931)</f>
        <v/>
      </c>
      <c r="D931" s="24">
        <f>IF($A931="","",库存台账!$D931)</f>
        <v/>
      </c>
      <c r="E931" s="24">
        <f>IF($A931="","",库存台账!$E931)</f>
        <v/>
      </c>
      <c r="F931" s="24">
        <f>IF($A931="","",库存台账!$F931)</f>
        <v/>
      </c>
      <c r="G931" s="17" t="n"/>
      <c r="H931" s="23" t="n"/>
      <c r="I931" s="27">
        <f>IF($A931="","",库存台账!$X931)</f>
        <v/>
      </c>
      <c r="J931" s="27">
        <f>IF(OR($A931="",$H931=""),"",ROUND($H931-$I931,3))</f>
        <v/>
      </c>
      <c r="K931" s="26">
        <f>IF($A931="","",库存台账!$K931)</f>
        <v/>
      </c>
      <c r="L931" s="26">
        <f>IF($J931="","",ROUND($J931*$K931,0))</f>
        <v/>
      </c>
      <c r="M931" s="37">
        <f>IF(OR($J931="",$I931=0),"",ROUND($J931/$I931,4))</f>
        <v/>
      </c>
      <c r="N931" s="17" t="n"/>
      <c r="O931" s="17" t="n"/>
      <c r="P931" s="24">
        <f>IF($J931="","未盘",IF(ROUND($J931,3)=0,"账实相符",IF(COUNTIFS(入库单!$G$4:$G$2503,$A931,入库单!$X$4:$X$2503,"盘盈",入库单!$C$4:$C$2503,"&gt;="&amp;账期起,入库单!$C$4:$C$2503,"&lt;="&amp;账期止)+COUNTIFS(出库单!$D$4:$D$4003,$A931,出库单!$K$4:$K$4003,"盘亏",出库单!$C$4:$C$4003,"&gt;="&amp;账期起,出库单!$C$4:$C$4003,"&lt;="&amp;账期止)&gt;0,"已调账","※差异还没调账")))</f>
        <v/>
      </c>
      <c r="Q931" s="17" t="n"/>
      <c r="R931" s="17" t="n"/>
    </row>
    <row r="932">
      <c r="A932" s="24">
        <f>IF(库存台账!$A932="","",库存台账!$A932)</f>
        <v/>
      </c>
      <c r="B932" s="24">
        <f>IF($A932="","",库存台账!$B932)</f>
        <v/>
      </c>
      <c r="C932" s="24">
        <f>IF($A932="","",库存台账!$C932)</f>
        <v/>
      </c>
      <c r="D932" s="24">
        <f>IF($A932="","",库存台账!$D932)</f>
        <v/>
      </c>
      <c r="E932" s="24">
        <f>IF($A932="","",库存台账!$E932)</f>
        <v/>
      </c>
      <c r="F932" s="24">
        <f>IF($A932="","",库存台账!$F932)</f>
        <v/>
      </c>
      <c r="G932" s="17" t="n"/>
      <c r="H932" s="23" t="n"/>
      <c r="I932" s="27">
        <f>IF($A932="","",库存台账!$X932)</f>
        <v/>
      </c>
      <c r="J932" s="27">
        <f>IF(OR($A932="",$H932=""),"",ROUND($H932-$I932,3))</f>
        <v/>
      </c>
      <c r="K932" s="26">
        <f>IF($A932="","",库存台账!$K932)</f>
        <v/>
      </c>
      <c r="L932" s="26">
        <f>IF($J932="","",ROUND($J932*$K932,0))</f>
        <v/>
      </c>
      <c r="M932" s="37">
        <f>IF(OR($J932="",$I932=0),"",ROUND($J932/$I932,4))</f>
        <v/>
      </c>
      <c r="N932" s="17" t="n"/>
      <c r="O932" s="17" t="n"/>
      <c r="P932" s="24">
        <f>IF($J932="","未盘",IF(ROUND($J932,3)=0,"账实相符",IF(COUNTIFS(入库单!$G$4:$G$2503,$A932,入库单!$X$4:$X$2503,"盘盈",入库单!$C$4:$C$2503,"&gt;="&amp;账期起,入库单!$C$4:$C$2503,"&lt;="&amp;账期止)+COUNTIFS(出库单!$D$4:$D$4003,$A932,出库单!$K$4:$K$4003,"盘亏",出库单!$C$4:$C$4003,"&gt;="&amp;账期起,出库单!$C$4:$C$4003,"&lt;="&amp;账期止)&gt;0,"已调账","※差异还没调账")))</f>
        <v/>
      </c>
      <c r="Q932" s="17" t="n"/>
      <c r="R932" s="17" t="n"/>
    </row>
    <row r="933">
      <c r="A933" s="24">
        <f>IF(库存台账!$A933="","",库存台账!$A933)</f>
        <v/>
      </c>
      <c r="B933" s="24">
        <f>IF($A933="","",库存台账!$B933)</f>
        <v/>
      </c>
      <c r="C933" s="24">
        <f>IF($A933="","",库存台账!$C933)</f>
        <v/>
      </c>
      <c r="D933" s="24">
        <f>IF($A933="","",库存台账!$D933)</f>
        <v/>
      </c>
      <c r="E933" s="24">
        <f>IF($A933="","",库存台账!$E933)</f>
        <v/>
      </c>
      <c r="F933" s="24">
        <f>IF($A933="","",库存台账!$F933)</f>
        <v/>
      </c>
      <c r="G933" s="17" t="n"/>
      <c r="H933" s="23" t="n"/>
      <c r="I933" s="27">
        <f>IF($A933="","",库存台账!$X933)</f>
        <v/>
      </c>
      <c r="J933" s="27">
        <f>IF(OR($A933="",$H933=""),"",ROUND($H933-$I933,3))</f>
        <v/>
      </c>
      <c r="K933" s="26">
        <f>IF($A933="","",库存台账!$K933)</f>
        <v/>
      </c>
      <c r="L933" s="26">
        <f>IF($J933="","",ROUND($J933*$K933,0))</f>
        <v/>
      </c>
      <c r="M933" s="37">
        <f>IF(OR($J933="",$I933=0),"",ROUND($J933/$I933,4))</f>
        <v/>
      </c>
      <c r="N933" s="17" t="n"/>
      <c r="O933" s="17" t="n"/>
      <c r="P933" s="24">
        <f>IF($J933="","未盘",IF(ROUND($J933,3)=0,"账实相符",IF(COUNTIFS(入库单!$G$4:$G$2503,$A933,入库单!$X$4:$X$2503,"盘盈",入库单!$C$4:$C$2503,"&gt;="&amp;账期起,入库单!$C$4:$C$2503,"&lt;="&amp;账期止)+COUNTIFS(出库单!$D$4:$D$4003,$A933,出库单!$K$4:$K$4003,"盘亏",出库单!$C$4:$C$4003,"&gt;="&amp;账期起,出库单!$C$4:$C$4003,"&lt;="&amp;账期止)&gt;0,"已调账","※差异还没调账")))</f>
        <v/>
      </c>
      <c r="Q933" s="17" t="n"/>
      <c r="R933" s="17" t="n"/>
    </row>
    <row r="934">
      <c r="A934" s="24">
        <f>IF(库存台账!$A934="","",库存台账!$A934)</f>
        <v/>
      </c>
      <c r="B934" s="24">
        <f>IF($A934="","",库存台账!$B934)</f>
        <v/>
      </c>
      <c r="C934" s="24">
        <f>IF($A934="","",库存台账!$C934)</f>
        <v/>
      </c>
      <c r="D934" s="24">
        <f>IF($A934="","",库存台账!$D934)</f>
        <v/>
      </c>
      <c r="E934" s="24">
        <f>IF($A934="","",库存台账!$E934)</f>
        <v/>
      </c>
      <c r="F934" s="24">
        <f>IF($A934="","",库存台账!$F934)</f>
        <v/>
      </c>
      <c r="G934" s="17" t="n"/>
      <c r="H934" s="23" t="n"/>
      <c r="I934" s="27">
        <f>IF($A934="","",库存台账!$X934)</f>
        <v/>
      </c>
      <c r="J934" s="27">
        <f>IF(OR($A934="",$H934=""),"",ROUND($H934-$I934,3))</f>
        <v/>
      </c>
      <c r="K934" s="26">
        <f>IF($A934="","",库存台账!$K934)</f>
        <v/>
      </c>
      <c r="L934" s="26">
        <f>IF($J934="","",ROUND($J934*$K934,0))</f>
        <v/>
      </c>
      <c r="M934" s="37">
        <f>IF(OR($J934="",$I934=0),"",ROUND($J934/$I934,4))</f>
        <v/>
      </c>
      <c r="N934" s="17" t="n"/>
      <c r="O934" s="17" t="n"/>
      <c r="P934" s="24">
        <f>IF($J934="","未盘",IF(ROUND($J934,3)=0,"账实相符",IF(COUNTIFS(入库单!$G$4:$G$2503,$A934,入库单!$X$4:$X$2503,"盘盈",入库单!$C$4:$C$2503,"&gt;="&amp;账期起,入库单!$C$4:$C$2503,"&lt;="&amp;账期止)+COUNTIFS(出库单!$D$4:$D$4003,$A934,出库单!$K$4:$K$4003,"盘亏",出库单!$C$4:$C$4003,"&gt;="&amp;账期起,出库单!$C$4:$C$4003,"&lt;="&amp;账期止)&gt;0,"已调账","※差异还没调账")))</f>
        <v/>
      </c>
      <c r="Q934" s="17" t="n"/>
      <c r="R934" s="17" t="n"/>
    </row>
    <row r="935">
      <c r="A935" s="24">
        <f>IF(库存台账!$A935="","",库存台账!$A935)</f>
        <v/>
      </c>
      <c r="B935" s="24">
        <f>IF($A935="","",库存台账!$B935)</f>
        <v/>
      </c>
      <c r="C935" s="24">
        <f>IF($A935="","",库存台账!$C935)</f>
        <v/>
      </c>
      <c r="D935" s="24">
        <f>IF($A935="","",库存台账!$D935)</f>
        <v/>
      </c>
      <c r="E935" s="24">
        <f>IF($A935="","",库存台账!$E935)</f>
        <v/>
      </c>
      <c r="F935" s="24">
        <f>IF($A935="","",库存台账!$F935)</f>
        <v/>
      </c>
      <c r="G935" s="17" t="n"/>
      <c r="H935" s="23" t="n"/>
      <c r="I935" s="27">
        <f>IF($A935="","",库存台账!$X935)</f>
        <v/>
      </c>
      <c r="J935" s="27">
        <f>IF(OR($A935="",$H935=""),"",ROUND($H935-$I935,3))</f>
        <v/>
      </c>
      <c r="K935" s="26">
        <f>IF($A935="","",库存台账!$K935)</f>
        <v/>
      </c>
      <c r="L935" s="26">
        <f>IF($J935="","",ROUND($J935*$K935,0))</f>
        <v/>
      </c>
      <c r="M935" s="37">
        <f>IF(OR($J935="",$I935=0),"",ROUND($J935/$I935,4))</f>
        <v/>
      </c>
      <c r="N935" s="17" t="n"/>
      <c r="O935" s="17" t="n"/>
      <c r="P935" s="24">
        <f>IF($J935="","未盘",IF(ROUND($J935,3)=0,"账实相符",IF(COUNTIFS(入库单!$G$4:$G$2503,$A935,入库单!$X$4:$X$2503,"盘盈",入库单!$C$4:$C$2503,"&gt;="&amp;账期起,入库单!$C$4:$C$2503,"&lt;="&amp;账期止)+COUNTIFS(出库单!$D$4:$D$4003,$A935,出库单!$K$4:$K$4003,"盘亏",出库单!$C$4:$C$4003,"&gt;="&amp;账期起,出库单!$C$4:$C$4003,"&lt;="&amp;账期止)&gt;0,"已调账","※差异还没调账")))</f>
        <v/>
      </c>
      <c r="Q935" s="17" t="n"/>
      <c r="R935" s="17" t="n"/>
    </row>
    <row r="936">
      <c r="A936" s="24">
        <f>IF(库存台账!$A936="","",库存台账!$A936)</f>
        <v/>
      </c>
      <c r="B936" s="24">
        <f>IF($A936="","",库存台账!$B936)</f>
        <v/>
      </c>
      <c r="C936" s="24">
        <f>IF($A936="","",库存台账!$C936)</f>
        <v/>
      </c>
      <c r="D936" s="24">
        <f>IF($A936="","",库存台账!$D936)</f>
        <v/>
      </c>
      <c r="E936" s="24">
        <f>IF($A936="","",库存台账!$E936)</f>
        <v/>
      </c>
      <c r="F936" s="24">
        <f>IF($A936="","",库存台账!$F936)</f>
        <v/>
      </c>
      <c r="G936" s="17" t="n"/>
      <c r="H936" s="23" t="n"/>
      <c r="I936" s="27">
        <f>IF($A936="","",库存台账!$X936)</f>
        <v/>
      </c>
      <c r="J936" s="27">
        <f>IF(OR($A936="",$H936=""),"",ROUND($H936-$I936,3))</f>
        <v/>
      </c>
      <c r="K936" s="26">
        <f>IF($A936="","",库存台账!$K936)</f>
        <v/>
      </c>
      <c r="L936" s="26">
        <f>IF($J936="","",ROUND($J936*$K936,0))</f>
        <v/>
      </c>
      <c r="M936" s="37">
        <f>IF(OR($J936="",$I936=0),"",ROUND($J936/$I936,4))</f>
        <v/>
      </c>
      <c r="N936" s="17" t="n"/>
      <c r="O936" s="17" t="n"/>
      <c r="P936" s="24">
        <f>IF($J936="","未盘",IF(ROUND($J936,3)=0,"账实相符",IF(COUNTIFS(入库单!$G$4:$G$2503,$A936,入库单!$X$4:$X$2503,"盘盈",入库单!$C$4:$C$2503,"&gt;="&amp;账期起,入库单!$C$4:$C$2503,"&lt;="&amp;账期止)+COUNTIFS(出库单!$D$4:$D$4003,$A936,出库单!$K$4:$K$4003,"盘亏",出库单!$C$4:$C$4003,"&gt;="&amp;账期起,出库单!$C$4:$C$4003,"&lt;="&amp;账期止)&gt;0,"已调账","※差异还没调账")))</f>
        <v/>
      </c>
      <c r="Q936" s="17" t="n"/>
      <c r="R936" s="17" t="n"/>
    </row>
    <row r="937">
      <c r="A937" s="24">
        <f>IF(库存台账!$A937="","",库存台账!$A937)</f>
        <v/>
      </c>
      <c r="B937" s="24">
        <f>IF($A937="","",库存台账!$B937)</f>
        <v/>
      </c>
      <c r="C937" s="24">
        <f>IF($A937="","",库存台账!$C937)</f>
        <v/>
      </c>
      <c r="D937" s="24">
        <f>IF($A937="","",库存台账!$D937)</f>
        <v/>
      </c>
      <c r="E937" s="24">
        <f>IF($A937="","",库存台账!$E937)</f>
        <v/>
      </c>
      <c r="F937" s="24">
        <f>IF($A937="","",库存台账!$F937)</f>
        <v/>
      </c>
      <c r="G937" s="17" t="n"/>
      <c r="H937" s="23" t="n"/>
      <c r="I937" s="27">
        <f>IF($A937="","",库存台账!$X937)</f>
        <v/>
      </c>
      <c r="J937" s="27">
        <f>IF(OR($A937="",$H937=""),"",ROUND($H937-$I937,3))</f>
        <v/>
      </c>
      <c r="K937" s="26">
        <f>IF($A937="","",库存台账!$K937)</f>
        <v/>
      </c>
      <c r="L937" s="26">
        <f>IF($J937="","",ROUND($J937*$K937,0))</f>
        <v/>
      </c>
      <c r="M937" s="37">
        <f>IF(OR($J937="",$I937=0),"",ROUND($J937/$I937,4))</f>
        <v/>
      </c>
      <c r="N937" s="17" t="n"/>
      <c r="O937" s="17" t="n"/>
      <c r="P937" s="24">
        <f>IF($J937="","未盘",IF(ROUND($J937,3)=0,"账实相符",IF(COUNTIFS(入库单!$G$4:$G$2503,$A937,入库单!$X$4:$X$2503,"盘盈",入库单!$C$4:$C$2503,"&gt;="&amp;账期起,入库单!$C$4:$C$2503,"&lt;="&amp;账期止)+COUNTIFS(出库单!$D$4:$D$4003,$A937,出库单!$K$4:$K$4003,"盘亏",出库单!$C$4:$C$4003,"&gt;="&amp;账期起,出库单!$C$4:$C$4003,"&lt;="&amp;账期止)&gt;0,"已调账","※差异还没调账")))</f>
        <v/>
      </c>
      <c r="Q937" s="17" t="n"/>
      <c r="R937" s="17" t="n"/>
    </row>
    <row r="938">
      <c r="A938" s="24">
        <f>IF(库存台账!$A938="","",库存台账!$A938)</f>
        <v/>
      </c>
      <c r="B938" s="24">
        <f>IF($A938="","",库存台账!$B938)</f>
        <v/>
      </c>
      <c r="C938" s="24">
        <f>IF($A938="","",库存台账!$C938)</f>
        <v/>
      </c>
      <c r="D938" s="24">
        <f>IF($A938="","",库存台账!$D938)</f>
        <v/>
      </c>
      <c r="E938" s="24">
        <f>IF($A938="","",库存台账!$E938)</f>
        <v/>
      </c>
      <c r="F938" s="24">
        <f>IF($A938="","",库存台账!$F938)</f>
        <v/>
      </c>
      <c r="G938" s="17" t="n"/>
      <c r="H938" s="23" t="n"/>
      <c r="I938" s="27">
        <f>IF($A938="","",库存台账!$X938)</f>
        <v/>
      </c>
      <c r="J938" s="27">
        <f>IF(OR($A938="",$H938=""),"",ROUND($H938-$I938,3))</f>
        <v/>
      </c>
      <c r="K938" s="26">
        <f>IF($A938="","",库存台账!$K938)</f>
        <v/>
      </c>
      <c r="L938" s="26">
        <f>IF($J938="","",ROUND($J938*$K938,0))</f>
        <v/>
      </c>
      <c r="M938" s="37">
        <f>IF(OR($J938="",$I938=0),"",ROUND($J938/$I938,4))</f>
        <v/>
      </c>
      <c r="N938" s="17" t="n"/>
      <c r="O938" s="17" t="n"/>
      <c r="P938" s="24">
        <f>IF($J938="","未盘",IF(ROUND($J938,3)=0,"账实相符",IF(COUNTIFS(入库单!$G$4:$G$2503,$A938,入库单!$X$4:$X$2503,"盘盈",入库单!$C$4:$C$2503,"&gt;="&amp;账期起,入库单!$C$4:$C$2503,"&lt;="&amp;账期止)+COUNTIFS(出库单!$D$4:$D$4003,$A938,出库单!$K$4:$K$4003,"盘亏",出库单!$C$4:$C$4003,"&gt;="&amp;账期起,出库单!$C$4:$C$4003,"&lt;="&amp;账期止)&gt;0,"已调账","※差异还没调账")))</f>
        <v/>
      </c>
      <c r="Q938" s="17" t="n"/>
      <c r="R938" s="17" t="n"/>
    </row>
    <row r="939">
      <c r="A939" s="24">
        <f>IF(库存台账!$A939="","",库存台账!$A939)</f>
        <v/>
      </c>
      <c r="B939" s="24">
        <f>IF($A939="","",库存台账!$B939)</f>
        <v/>
      </c>
      <c r="C939" s="24">
        <f>IF($A939="","",库存台账!$C939)</f>
        <v/>
      </c>
      <c r="D939" s="24">
        <f>IF($A939="","",库存台账!$D939)</f>
        <v/>
      </c>
      <c r="E939" s="24">
        <f>IF($A939="","",库存台账!$E939)</f>
        <v/>
      </c>
      <c r="F939" s="24">
        <f>IF($A939="","",库存台账!$F939)</f>
        <v/>
      </c>
      <c r="G939" s="17" t="n"/>
      <c r="H939" s="23" t="n"/>
      <c r="I939" s="27">
        <f>IF($A939="","",库存台账!$X939)</f>
        <v/>
      </c>
      <c r="J939" s="27">
        <f>IF(OR($A939="",$H939=""),"",ROUND($H939-$I939,3))</f>
        <v/>
      </c>
      <c r="K939" s="26">
        <f>IF($A939="","",库存台账!$K939)</f>
        <v/>
      </c>
      <c r="L939" s="26">
        <f>IF($J939="","",ROUND($J939*$K939,0))</f>
        <v/>
      </c>
      <c r="M939" s="37">
        <f>IF(OR($J939="",$I939=0),"",ROUND($J939/$I939,4))</f>
        <v/>
      </c>
      <c r="N939" s="17" t="n"/>
      <c r="O939" s="17" t="n"/>
      <c r="P939" s="24">
        <f>IF($J939="","未盘",IF(ROUND($J939,3)=0,"账实相符",IF(COUNTIFS(入库单!$G$4:$G$2503,$A939,入库单!$X$4:$X$2503,"盘盈",入库单!$C$4:$C$2503,"&gt;="&amp;账期起,入库单!$C$4:$C$2503,"&lt;="&amp;账期止)+COUNTIFS(出库单!$D$4:$D$4003,$A939,出库单!$K$4:$K$4003,"盘亏",出库单!$C$4:$C$4003,"&gt;="&amp;账期起,出库单!$C$4:$C$4003,"&lt;="&amp;账期止)&gt;0,"已调账","※差异还没调账")))</f>
        <v/>
      </c>
      <c r="Q939" s="17" t="n"/>
      <c r="R939" s="17" t="n"/>
    </row>
    <row r="940">
      <c r="A940" s="24">
        <f>IF(库存台账!$A940="","",库存台账!$A940)</f>
        <v/>
      </c>
      <c r="B940" s="24">
        <f>IF($A940="","",库存台账!$B940)</f>
        <v/>
      </c>
      <c r="C940" s="24">
        <f>IF($A940="","",库存台账!$C940)</f>
        <v/>
      </c>
      <c r="D940" s="24">
        <f>IF($A940="","",库存台账!$D940)</f>
        <v/>
      </c>
      <c r="E940" s="24">
        <f>IF($A940="","",库存台账!$E940)</f>
        <v/>
      </c>
      <c r="F940" s="24">
        <f>IF($A940="","",库存台账!$F940)</f>
        <v/>
      </c>
      <c r="G940" s="17" t="n"/>
      <c r="H940" s="23" t="n"/>
      <c r="I940" s="27">
        <f>IF($A940="","",库存台账!$X940)</f>
        <v/>
      </c>
      <c r="J940" s="27">
        <f>IF(OR($A940="",$H940=""),"",ROUND($H940-$I940,3))</f>
        <v/>
      </c>
      <c r="K940" s="26">
        <f>IF($A940="","",库存台账!$K940)</f>
        <v/>
      </c>
      <c r="L940" s="26">
        <f>IF($J940="","",ROUND($J940*$K940,0))</f>
        <v/>
      </c>
      <c r="M940" s="37">
        <f>IF(OR($J940="",$I940=0),"",ROUND($J940/$I940,4))</f>
        <v/>
      </c>
      <c r="N940" s="17" t="n"/>
      <c r="O940" s="17" t="n"/>
      <c r="P940" s="24">
        <f>IF($J940="","未盘",IF(ROUND($J940,3)=0,"账实相符",IF(COUNTIFS(入库单!$G$4:$G$2503,$A940,入库单!$X$4:$X$2503,"盘盈",入库单!$C$4:$C$2503,"&gt;="&amp;账期起,入库单!$C$4:$C$2503,"&lt;="&amp;账期止)+COUNTIFS(出库单!$D$4:$D$4003,$A940,出库单!$K$4:$K$4003,"盘亏",出库单!$C$4:$C$4003,"&gt;="&amp;账期起,出库单!$C$4:$C$4003,"&lt;="&amp;账期止)&gt;0,"已调账","※差异还没调账")))</f>
        <v/>
      </c>
      <c r="Q940" s="17" t="n"/>
      <c r="R940" s="17" t="n"/>
    </row>
    <row r="941">
      <c r="A941" s="24">
        <f>IF(库存台账!$A941="","",库存台账!$A941)</f>
        <v/>
      </c>
      <c r="B941" s="24">
        <f>IF($A941="","",库存台账!$B941)</f>
        <v/>
      </c>
      <c r="C941" s="24">
        <f>IF($A941="","",库存台账!$C941)</f>
        <v/>
      </c>
      <c r="D941" s="24">
        <f>IF($A941="","",库存台账!$D941)</f>
        <v/>
      </c>
      <c r="E941" s="24">
        <f>IF($A941="","",库存台账!$E941)</f>
        <v/>
      </c>
      <c r="F941" s="24">
        <f>IF($A941="","",库存台账!$F941)</f>
        <v/>
      </c>
      <c r="G941" s="17" t="n"/>
      <c r="H941" s="23" t="n"/>
      <c r="I941" s="27">
        <f>IF($A941="","",库存台账!$X941)</f>
        <v/>
      </c>
      <c r="J941" s="27">
        <f>IF(OR($A941="",$H941=""),"",ROUND($H941-$I941,3))</f>
        <v/>
      </c>
      <c r="K941" s="26">
        <f>IF($A941="","",库存台账!$K941)</f>
        <v/>
      </c>
      <c r="L941" s="26">
        <f>IF($J941="","",ROUND($J941*$K941,0))</f>
        <v/>
      </c>
      <c r="M941" s="37">
        <f>IF(OR($J941="",$I941=0),"",ROUND($J941/$I941,4))</f>
        <v/>
      </c>
      <c r="N941" s="17" t="n"/>
      <c r="O941" s="17" t="n"/>
      <c r="P941" s="24">
        <f>IF($J941="","未盘",IF(ROUND($J941,3)=0,"账实相符",IF(COUNTIFS(入库单!$G$4:$G$2503,$A941,入库单!$X$4:$X$2503,"盘盈",入库单!$C$4:$C$2503,"&gt;="&amp;账期起,入库单!$C$4:$C$2503,"&lt;="&amp;账期止)+COUNTIFS(出库单!$D$4:$D$4003,$A941,出库单!$K$4:$K$4003,"盘亏",出库单!$C$4:$C$4003,"&gt;="&amp;账期起,出库单!$C$4:$C$4003,"&lt;="&amp;账期止)&gt;0,"已调账","※差异还没调账")))</f>
        <v/>
      </c>
      <c r="Q941" s="17" t="n"/>
      <c r="R941" s="17" t="n"/>
    </row>
    <row r="942">
      <c r="A942" s="24">
        <f>IF(库存台账!$A942="","",库存台账!$A942)</f>
        <v/>
      </c>
      <c r="B942" s="24">
        <f>IF($A942="","",库存台账!$B942)</f>
        <v/>
      </c>
      <c r="C942" s="24">
        <f>IF($A942="","",库存台账!$C942)</f>
        <v/>
      </c>
      <c r="D942" s="24">
        <f>IF($A942="","",库存台账!$D942)</f>
        <v/>
      </c>
      <c r="E942" s="24">
        <f>IF($A942="","",库存台账!$E942)</f>
        <v/>
      </c>
      <c r="F942" s="24">
        <f>IF($A942="","",库存台账!$F942)</f>
        <v/>
      </c>
      <c r="G942" s="17" t="n"/>
      <c r="H942" s="23" t="n"/>
      <c r="I942" s="27">
        <f>IF($A942="","",库存台账!$X942)</f>
        <v/>
      </c>
      <c r="J942" s="27">
        <f>IF(OR($A942="",$H942=""),"",ROUND($H942-$I942,3))</f>
        <v/>
      </c>
      <c r="K942" s="26">
        <f>IF($A942="","",库存台账!$K942)</f>
        <v/>
      </c>
      <c r="L942" s="26">
        <f>IF($J942="","",ROUND($J942*$K942,0))</f>
        <v/>
      </c>
      <c r="M942" s="37">
        <f>IF(OR($J942="",$I942=0),"",ROUND($J942/$I942,4))</f>
        <v/>
      </c>
      <c r="N942" s="17" t="n"/>
      <c r="O942" s="17" t="n"/>
      <c r="P942" s="24">
        <f>IF($J942="","未盘",IF(ROUND($J942,3)=0,"账实相符",IF(COUNTIFS(入库单!$G$4:$G$2503,$A942,入库单!$X$4:$X$2503,"盘盈",入库单!$C$4:$C$2503,"&gt;="&amp;账期起,入库单!$C$4:$C$2503,"&lt;="&amp;账期止)+COUNTIFS(出库单!$D$4:$D$4003,$A942,出库单!$K$4:$K$4003,"盘亏",出库单!$C$4:$C$4003,"&gt;="&amp;账期起,出库单!$C$4:$C$4003,"&lt;="&amp;账期止)&gt;0,"已调账","※差异还没调账")))</f>
        <v/>
      </c>
      <c r="Q942" s="17" t="n"/>
      <c r="R942" s="17" t="n"/>
    </row>
    <row r="943">
      <c r="A943" s="24">
        <f>IF(库存台账!$A943="","",库存台账!$A943)</f>
        <v/>
      </c>
      <c r="B943" s="24">
        <f>IF($A943="","",库存台账!$B943)</f>
        <v/>
      </c>
      <c r="C943" s="24">
        <f>IF($A943="","",库存台账!$C943)</f>
        <v/>
      </c>
      <c r="D943" s="24">
        <f>IF($A943="","",库存台账!$D943)</f>
        <v/>
      </c>
      <c r="E943" s="24">
        <f>IF($A943="","",库存台账!$E943)</f>
        <v/>
      </c>
      <c r="F943" s="24">
        <f>IF($A943="","",库存台账!$F943)</f>
        <v/>
      </c>
      <c r="G943" s="17" t="n"/>
      <c r="H943" s="23" t="n"/>
      <c r="I943" s="27">
        <f>IF($A943="","",库存台账!$X943)</f>
        <v/>
      </c>
      <c r="J943" s="27">
        <f>IF(OR($A943="",$H943=""),"",ROUND($H943-$I943,3))</f>
        <v/>
      </c>
      <c r="K943" s="26">
        <f>IF($A943="","",库存台账!$K943)</f>
        <v/>
      </c>
      <c r="L943" s="26">
        <f>IF($J943="","",ROUND($J943*$K943,0))</f>
        <v/>
      </c>
      <c r="M943" s="37">
        <f>IF(OR($J943="",$I943=0),"",ROUND($J943/$I943,4))</f>
        <v/>
      </c>
      <c r="N943" s="17" t="n"/>
      <c r="O943" s="17" t="n"/>
      <c r="P943" s="24">
        <f>IF($J943="","未盘",IF(ROUND($J943,3)=0,"账实相符",IF(COUNTIFS(入库单!$G$4:$G$2503,$A943,入库单!$X$4:$X$2503,"盘盈",入库单!$C$4:$C$2503,"&gt;="&amp;账期起,入库单!$C$4:$C$2503,"&lt;="&amp;账期止)+COUNTIFS(出库单!$D$4:$D$4003,$A943,出库单!$K$4:$K$4003,"盘亏",出库单!$C$4:$C$4003,"&gt;="&amp;账期起,出库单!$C$4:$C$4003,"&lt;="&amp;账期止)&gt;0,"已调账","※差异还没调账")))</f>
        <v/>
      </c>
      <c r="Q943" s="17" t="n"/>
      <c r="R943" s="17" t="n"/>
    </row>
    <row r="944">
      <c r="A944" s="24">
        <f>IF(库存台账!$A944="","",库存台账!$A944)</f>
        <v/>
      </c>
      <c r="B944" s="24">
        <f>IF($A944="","",库存台账!$B944)</f>
        <v/>
      </c>
      <c r="C944" s="24">
        <f>IF($A944="","",库存台账!$C944)</f>
        <v/>
      </c>
      <c r="D944" s="24">
        <f>IF($A944="","",库存台账!$D944)</f>
        <v/>
      </c>
      <c r="E944" s="24">
        <f>IF($A944="","",库存台账!$E944)</f>
        <v/>
      </c>
      <c r="F944" s="24">
        <f>IF($A944="","",库存台账!$F944)</f>
        <v/>
      </c>
      <c r="G944" s="17" t="n"/>
      <c r="H944" s="23" t="n"/>
      <c r="I944" s="27">
        <f>IF($A944="","",库存台账!$X944)</f>
        <v/>
      </c>
      <c r="J944" s="27">
        <f>IF(OR($A944="",$H944=""),"",ROUND($H944-$I944,3))</f>
        <v/>
      </c>
      <c r="K944" s="26">
        <f>IF($A944="","",库存台账!$K944)</f>
        <v/>
      </c>
      <c r="L944" s="26">
        <f>IF($J944="","",ROUND($J944*$K944,0))</f>
        <v/>
      </c>
      <c r="M944" s="37">
        <f>IF(OR($J944="",$I944=0),"",ROUND($J944/$I944,4))</f>
        <v/>
      </c>
      <c r="N944" s="17" t="n"/>
      <c r="O944" s="17" t="n"/>
      <c r="P944" s="24">
        <f>IF($J944="","未盘",IF(ROUND($J944,3)=0,"账实相符",IF(COUNTIFS(入库单!$G$4:$G$2503,$A944,入库单!$X$4:$X$2503,"盘盈",入库单!$C$4:$C$2503,"&gt;="&amp;账期起,入库单!$C$4:$C$2503,"&lt;="&amp;账期止)+COUNTIFS(出库单!$D$4:$D$4003,$A944,出库单!$K$4:$K$4003,"盘亏",出库单!$C$4:$C$4003,"&gt;="&amp;账期起,出库单!$C$4:$C$4003,"&lt;="&amp;账期止)&gt;0,"已调账","※差异还没调账")))</f>
        <v/>
      </c>
      <c r="Q944" s="17" t="n"/>
      <c r="R944" s="17" t="n"/>
    </row>
    <row r="945">
      <c r="A945" s="24">
        <f>IF(库存台账!$A945="","",库存台账!$A945)</f>
        <v/>
      </c>
      <c r="B945" s="24">
        <f>IF($A945="","",库存台账!$B945)</f>
        <v/>
      </c>
      <c r="C945" s="24">
        <f>IF($A945="","",库存台账!$C945)</f>
        <v/>
      </c>
      <c r="D945" s="24">
        <f>IF($A945="","",库存台账!$D945)</f>
        <v/>
      </c>
      <c r="E945" s="24">
        <f>IF($A945="","",库存台账!$E945)</f>
        <v/>
      </c>
      <c r="F945" s="24">
        <f>IF($A945="","",库存台账!$F945)</f>
        <v/>
      </c>
      <c r="G945" s="17" t="n"/>
      <c r="H945" s="23" t="n"/>
      <c r="I945" s="27">
        <f>IF($A945="","",库存台账!$X945)</f>
        <v/>
      </c>
      <c r="J945" s="27">
        <f>IF(OR($A945="",$H945=""),"",ROUND($H945-$I945,3))</f>
        <v/>
      </c>
      <c r="K945" s="26">
        <f>IF($A945="","",库存台账!$K945)</f>
        <v/>
      </c>
      <c r="L945" s="26">
        <f>IF($J945="","",ROUND($J945*$K945,0))</f>
        <v/>
      </c>
      <c r="M945" s="37">
        <f>IF(OR($J945="",$I945=0),"",ROUND($J945/$I945,4))</f>
        <v/>
      </c>
      <c r="N945" s="17" t="n"/>
      <c r="O945" s="17" t="n"/>
      <c r="P945" s="24">
        <f>IF($J945="","未盘",IF(ROUND($J945,3)=0,"账实相符",IF(COUNTIFS(入库单!$G$4:$G$2503,$A945,入库单!$X$4:$X$2503,"盘盈",入库单!$C$4:$C$2503,"&gt;="&amp;账期起,入库单!$C$4:$C$2503,"&lt;="&amp;账期止)+COUNTIFS(出库单!$D$4:$D$4003,$A945,出库单!$K$4:$K$4003,"盘亏",出库单!$C$4:$C$4003,"&gt;="&amp;账期起,出库单!$C$4:$C$4003,"&lt;="&amp;账期止)&gt;0,"已调账","※差异还没调账")))</f>
        <v/>
      </c>
      <c r="Q945" s="17" t="n"/>
      <c r="R945" s="17" t="n"/>
    </row>
    <row r="946">
      <c r="A946" s="24">
        <f>IF(库存台账!$A946="","",库存台账!$A946)</f>
        <v/>
      </c>
      <c r="B946" s="24">
        <f>IF($A946="","",库存台账!$B946)</f>
        <v/>
      </c>
      <c r="C946" s="24">
        <f>IF($A946="","",库存台账!$C946)</f>
        <v/>
      </c>
      <c r="D946" s="24">
        <f>IF($A946="","",库存台账!$D946)</f>
        <v/>
      </c>
      <c r="E946" s="24">
        <f>IF($A946="","",库存台账!$E946)</f>
        <v/>
      </c>
      <c r="F946" s="24">
        <f>IF($A946="","",库存台账!$F946)</f>
        <v/>
      </c>
      <c r="G946" s="17" t="n"/>
      <c r="H946" s="23" t="n"/>
      <c r="I946" s="27">
        <f>IF($A946="","",库存台账!$X946)</f>
        <v/>
      </c>
      <c r="J946" s="27">
        <f>IF(OR($A946="",$H946=""),"",ROUND($H946-$I946,3))</f>
        <v/>
      </c>
      <c r="K946" s="26">
        <f>IF($A946="","",库存台账!$K946)</f>
        <v/>
      </c>
      <c r="L946" s="26">
        <f>IF($J946="","",ROUND($J946*$K946,0))</f>
        <v/>
      </c>
      <c r="M946" s="37">
        <f>IF(OR($J946="",$I946=0),"",ROUND($J946/$I946,4))</f>
        <v/>
      </c>
      <c r="N946" s="17" t="n"/>
      <c r="O946" s="17" t="n"/>
      <c r="P946" s="24">
        <f>IF($J946="","未盘",IF(ROUND($J946,3)=0,"账实相符",IF(COUNTIFS(入库单!$G$4:$G$2503,$A946,入库单!$X$4:$X$2503,"盘盈",入库单!$C$4:$C$2503,"&gt;="&amp;账期起,入库单!$C$4:$C$2503,"&lt;="&amp;账期止)+COUNTIFS(出库单!$D$4:$D$4003,$A946,出库单!$K$4:$K$4003,"盘亏",出库单!$C$4:$C$4003,"&gt;="&amp;账期起,出库单!$C$4:$C$4003,"&lt;="&amp;账期止)&gt;0,"已调账","※差异还没调账")))</f>
        <v/>
      </c>
      <c r="Q946" s="17" t="n"/>
      <c r="R946" s="17" t="n"/>
    </row>
    <row r="947">
      <c r="A947" s="24">
        <f>IF(库存台账!$A947="","",库存台账!$A947)</f>
        <v/>
      </c>
      <c r="B947" s="24">
        <f>IF($A947="","",库存台账!$B947)</f>
        <v/>
      </c>
      <c r="C947" s="24">
        <f>IF($A947="","",库存台账!$C947)</f>
        <v/>
      </c>
      <c r="D947" s="24">
        <f>IF($A947="","",库存台账!$D947)</f>
        <v/>
      </c>
      <c r="E947" s="24">
        <f>IF($A947="","",库存台账!$E947)</f>
        <v/>
      </c>
      <c r="F947" s="24">
        <f>IF($A947="","",库存台账!$F947)</f>
        <v/>
      </c>
      <c r="G947" s="17" t="n"/>
      <c r="H947" s="23" t="n"/>
      <c r="I947" s="27">
        <f>IF($A947="","",库存台账!$X947)</f>
        <v/>
      </c>
      <c r="J947" s="27">
        <f>IF(OR($A947="",$H947=""),"",ROUND($H947-$I947,3))</f>
        <v/>
      </c>
      <c r="K947" s="26">
        <f>IF($A947="","",库存台账!$K947)</f>
        <v/>
      </c>
      <c r="L947" s="26">
        <f>IF($J947="","",ROUND($J947*$K947,0))</f>
        <v/>
      </c>
      <c r="M947" s="37">
        <f>IF(OR($J947="",$I947=0),"",ROUND($J947/$I947,4))</f>
        <v/>
      </c>
      <c r="N947" s="17" t="n"/>
      <c r="O947" s="17" t="n"/>
      <c r="P947" s="24">
        <f>IF($J947="","未盘",IF(ROUND($J947,3)=0,"账实相符",IF(COUNTIFS(入库单!$G$4:$G$2503,$A947,入库单!$X$4:$X$2503,"盘盈",入库单!$C$4:$C$2503,"&gt;="&amp;账期起,入库单!$C$4:$C$2503,"&lt;="&amp;账期止)+COUNTIFS(出库单!$D$4:$D$4003,$A947,出库单!$K$4:$K$4003,"盘亏",出库单!$C$4:$C$4003,"&gt;="&amp;账期起,出库单!$C$4:$C$4003,"&lt;="&amp;账期止)&gt;0,"已调账","※差异还没调账")))</f>
        <v/>
      </c>
      <c r="Q947" s="17" t="n"/>
      <c r="R947" s="17" t="n"/>
    </row>
    <row r="948">
      <c r="A948" s="24">
        <f>IF(库存台账!$A948="","",库存台账!$A948)</f>
        <v/>
      </c>
      <c r="B948" s="24">
        <f>IF($A948="","",库存台账!$B948)</f>
        <v/>
      </c>
      <c r="C948" s="24">
        <f>IF($A948="","",库存台账!$C948)</f>
        <v/>
      </c>
      <c r="D948" s="24">
        <f>IF($A948="","",库存台账!$D948)</f>
        <v/>
      </c>
      <c r="E948" s="24">
        <f>IF($A948="","",库存台账!$E948)</f>
        <v/>
      </c>
      <c r="F948" s="24">
        <f>IF($A948="","",库存台账!$F948)</f>
        <v/>
      </c>
      <c r="G948" s="17" t="n"/>
      <c r="H948" s="23" t="n"/>
      <c r="I948" s="27">
        <f>IF($A948="","",库存台账!$X948)</f>
        <v/>
      </c>
      <c r="J948" s="27">
        <f>IF(OR($A948="",$H948=""),"",ROUND($H948-$I948,3))</f>
        <v/>
      </c>
      <c r="K948" s="26">
        <f>IF($A948="","",库存台账!$K948)</f>
        <v/>
      </c>
      <c r="L948" s="26">
        <f>IF($J948="","",ROUND($J948*$K948,0))</f>
        <v/>
      </c>
      <c r="M948" s="37">
        <f>IF(OR($J948="",$I948=0),"",ROUND($J948/$I948,4))</f>
        <v/>
      </c>
      <c r="N948" s="17" t="n"/>
      <c r="O948" s="17" t="n"/>
      <c r="P948" s="24">
        <f>IF($J948="","未盘",IF(ROUND($J948,3)=0,"账实相符",IF(COUNTIFS(入库单!$G$4:$G$2503,$A948,入库单!$X$4:$X$2503,"盘盈",入库单!$C$4:$C$2503,"&gt;="&amp;账期起,入库单!$C$4:$C$2503,"&lt;="&amp;账期止)+COUNTIFS(出库单!$D$4:$D$4003,$A948,出库单!$K$4:$K$4003,"盘亏",出库单!$C$4:$C$4003,"&gt;="&amp;账期起,出库单!$C$4:$C$4003,"&lt;="&amp;账期止)&gt;0,"已调账","※差异还没调账")))</f>
        <v/>
      </c>
      <c r="Q948" s="17" t="n"/>
      <c r="R948" s="17" t="n"/>
    </row>
    <row r="949">
      <c r="A949" s="24">
        <f>IF(库存台账!$A949="","",库存台账!$A949)</f>
        <v/>
      </c>
      <c r="B949" s="24">
        <f>IF($A949="","",库存台账!$B949)</f>
        <v/>
      </c>
      <c r="C949" s="24">
        <f>IF($A949="","",库存台账!$C949)</f>
        <v/>
      </c>
      <c r="D949" s="24">
        <f>IF($A949="","",库存台账!$D949)</f>
        <v/>
      </c>
      <c r="E949" s="24">
        <f>IF($A949="","",库存台账!$E949)</f>
        <v/>
      </c>
      <c r="F949" s="24">
        <f>IF($A949="","",库存台账!$F949)</f>
        <v/>
      </c>
      <c r="G949" s="17" t="n"/>
      <c r="H949" s="23" t="n"/>
      <c r="I949" s="27">
        <f>IF($A949="","",库存台账!$X949)</f>
        <v/>
      </c>
      <c r="J949" s="27">
        <f>IF(OR($A949="",$H949=""),"",ROUND($H949-$I949,3))</f>
        <v/>
      </c>
      <c r="K949" s="26">
        <f>IF($A949="","",库存台账!$K949)</f>
        <v/>
      </c>
      <c r="L949" s="26">
        <f>IF($J949="","",ROUND($J949*$K949,0))</f>
        <v/>
      </c>
      <c r="M949" s="37">
        <f>IF(OR($J949="",$I949=0),"",ROUND($J949/$I949,4))</f>
        <v/>
      </c>
      <c r="N949" s="17" t="n"/>
      <c r="O949" s="17" t="n"/>
      <c r="P949" s="24">
        <f>IF($J949="","未盘",IF(ROUND($J949,3)=0,"账实相符",IF(COUNTIFS(入库单!$G$4:$G$2503,$A949,入库单!$X$4:$X$2503,"盘盈",入库单!$C$4:$C$2503,"&gt;="&amp;账期起,入库单!$C$4:$C$2503,"&lt;="&amp;账期止)+COUNTIFS(出库单!$D$4:$D$4003,$A949,出库单!$K$4:$K$4003,"盘亏",出库单!$C$4:$C$4003,"&gt;="&amp;账期起,出库单!$C$4:$C$4003,"&lt;="&amp;账期止)&gt;0,"已调账","※差异还没调账")))</f>
        <v/>
      </c>
      <c r="Q949" s="17" t="n"/>
      <c r="R949" s="17" t="n"/>
    </row>
    <row r="950">
      <c r="A950" s="24">
        <f>IF(库存台账!$A950="","",库存台账!$A950)</f>
        <v/>
      </c>
      <c r="B950" s="24">
        <f>IF($A950="","",库存台账!$B950)</f>
        <v/>
      </c>
      <c r="C950" s="24">
        <f>IF($A950="","",库存台账!$C950)</f>
        <v/>
      </c>
      <c r="D950" s="24">
        <f>IF($A950="","",库存台账!$D950)</f>
        <v/>
      </c>
      <c r="E950" s="24">
        <f>IF($A950="","",库存台账!$E950)</f>
        <v/>
      </c>
      <c r="F950" s="24">
        <f>IF($A950="","",库存台账!$F950)</f>
        <v/>
      </c>
      <c r="G950" s="17" t="n"/>
      <c r="H950" s="23" t="n"/>
      <c r="I950" s="27">
        <f>IF($A950="","",库存台账!$X950)</f>
        <v/>
      </c>
      <c r="J950" s="27">
        <f>IF(OR($A950="",$H950=""),"",ROUND($H950-$I950,3))</f>
        <v/>
      </c>
      <c r="K950" s="26">
        <f>IF($A950="","",库存台账!$K950)</f>
        <v/>
      </c>
      <c r="L950" s="26">
        <f>IF($J950="","",ROUND($J950*$K950,0))</f>
        <v/>
      </c>
      <c r="M950" s="37">
        <f>IF(OR($J950="",$I950=0),"",ROUND($J950/$I950,4))</f>
        <v/>
      </c>
      <c r="N950" s="17" t="n"/>
      <c r="O950" s="17" t="n"/>
      <c r="P950" s="24">
        <f>IF($J950="","未盘",IF(ROUND($J950,3)=0,"账实相符",IF(COUNTIFS(入库单!$G$4:$G$2503,$A950,入库单!$X$4:$X$2503,"盘盈",入库单!$C$4:$C$2503,"&gt;="&amp;账期起,入库单!$C$4:$C$2503,"&lt;="&amp;账期止)+COUNTIFS(出库单!$D$4:$D$4003,$A950,出库单!$K$4:$K$4003,"盘亏",出库单!$C$4:$C$4003,"&gt;="&amp;账期起,出库单!$C$4:$C$4003,"&lt;="&amp;账期止)&gt;0,"已调账","※差异还没调账")))</f>
        <v/>
      </c>
      <c r="Q950" s="17" t="n"/>
      <c r="R950" s="17" t="n"/>
    </row>
    <row r="951">
      <c r="A951" s="24">
        <f>IF(库存台账!$A951="","",库存台账!$A951)</f>
        <v/>
      </c>
      <c r="B951" s="24">
        <f>IF($A951="","",库存台账!$B951)</f>
        <v/>
      </c>
      <c r="C951" s="24">
        <f>IF($A951="","",库存台账!$C951)</f>
        <v/>
      </c>
      <c r="D951" s="24">
        <f>IF($A951="","",库存台账!$D951)</f>
        <v/>
      </c>
      <c r="E951" s="24">
        <f>IF($A951="","",库存台账!$E951)</f>
        <v/>
      </c>
      <c r="F951" s="24">
        <f>IF($A951="","",库存台账!$F951)</f>
        <v/>
      </c>
      <c r="G951" s="17" t="n"/>
      <c r="H951" s="23" t="n"/>
      <c r="I951" s="27">
        <f>IF($A951="","",库存台账!$X951)</f>
        <v/>
      </c>
      <c r="J951" s="27">
        <f>IF(OR($A951="",$H951=""),"",ROUND($H951-$I951,3))</f>
        <v/>
      </c>
      <c r="K951" s="26">
        <f>IF($A951="","",库存台账!$K951)</f>
        <v/>
      </c>
      <c r="L951" s="26">
        <f>IF($J951="","",ROUND($J951*$K951,0))</f>
        <v/>
      </c>
      <c r="M951" s="37">
        <f>IF(OR($J951="",$I951=0),"",ROUND($J951/$I951,4))</f>
        <v/>
      </c>
      <c r="N951" s="17" t="n"/>
      <c r="O951" s="17" t="n"/>
      <c r="P951" s="24">
        <f>IF($J951="","未盘",IF(ROUND($J951,3)=0,"账实相符",IF(COUNTIFS(入库单!$G$4:$G$2503,$A951,入库单!$X$4:$X$2503,"盘盈",入库单!$C$4:$C$2503,"&gt;="&amp;账期起,入库单!$C$4:$C$2503,"&lt;="&amp;账期止)+COUNTIFS(出库单!$D$4:$D$4003,$A951,出库单!$K$4:$K$4003,"盘亏",出库单!$C$4:$C$4003,"&gt;="&amp;账期起,出库单!$C$4:$C$4003,"&lt;="&amp;账期止)&gt;0,"已调账","※差异还没调账")))</f>
        <v/>
      </c>
      <c r="Q951" s="17" t="n"/>
      <c r="R951" s="17" t="n"/>
    </row>
    <row r="952">
      <c r="A952" s="24">
        <f>IF(库存台账!$A952="","",库存台账!$A952)</f>
        <v/>
      </c>
      <c r="B952" s="24">
        <f>IF($A952="","",库存台账!$B952)</f>
        <v/>
      </c>
      <c r="C952" s="24">
        <f>IF($A952="","",库存台账!$C952)</f>
        <v/>
      </c>
      <c r="D952" s="24">
        <f>IF($A952="","",库存台账!$D952)</f>
        <v/>
      </c>
      <c r="E952" s="24">
        <f>IF($A952="","",库存台账!$E952)</f>
        <v/>
      </c>
      <c r="F952" s="24">
        <f>IF($A952="","",库存台账!$F952)</f>
        <v/>
      </c>
      <c r="G952" s="17" t="n"/>
      <c r="H952" s="23" t="n"/>
      <c r="I952" s="27">
        <f>IF($A952="","",库存台账!$X952)</f>
        <v/>
      </c>
      <c r="J952" s="27">
        <f>IF(OR($A952="",$H952=""),"",ROUND($H952-$I952,3))</f>
        <v/>
      </c>
      <c r="K952" s="26">
        <f>IF($A952="","",库存台账!$K952)</f>
        <v/>
      </c>
      <c r="L952" s="26">
        <f>IF($J952="","",ROUND($J952*$K952,0))</f>
        <v/>
      </c>
      <c r="M952" s="37">
        <f>IF(OR($J952="",$I952=0),"",ROUND($J952/$I952,4))</f>
        <v/>
      </c>
      <c r="N952" s="17" t="n"/>
      <c r="O952" s="17" t="n"/>
      <c r="P952" s="24">
        <f>IF($J952="","未盘",IF(ROUND($J952,3)=0,"账实相符",IF(COUNTIFS(入库单!$G$4:$G$2503,$A952,入库单!$X$4:$X$2503,"盘盈",入库单!$C$4:$C$2503,"&gt;="&amp;账期起,入库单!$C$4:$C$2503,"&lt;="&amp;账期止)+COUNTIFS(出库单!$D$4:$D$4003,$A952,出库单!$K$4:$K$4003,"盘亏",出库单!$C$4:$C$4003,"&gt;="&amp;账期起,出库单!$C$4:$C$4003,"&lt;="&amp;账期止)&gt;0,"已调账","※差异还没调账")))</f>
        <v/>
      </c>
      <c r="Q952" s="17" t="n"/>
      <c r="R952" s="17" t="n"/>
    </row>
    <row r="953">
      <c r="A953" s="24">
        <f>IF(库存台账!$A953="","",库存台账!$A953)</f>
        <v/>
      </c>
      <c r="B953" s="24">
        <f>IF($A953="","",库存台账!$B953)</f>
        <v/>
      </c>
      <c r="C953" s="24">
        <f>IF($A953="","",库存台账!$C953)</f>
        <v/>
      </c>
      <c r="D953" s="24">
        <f>IF($A953="","",库存台账!$D953)</f>
        <v/>
      </c>
      <c r="E953" s="24">
        <f>IF($A953="","",库存台账!$E953)</f>
        <v/>
      </c>
      <c r="F953" s="24">
        <f>IF($A953="","",库存台账!$F953)</f>
        <v/>
      </c>
      <c r="G953" s="17" t="n"/>
      <c r="H953" s="23" t="n"/>
      <c r="I953" s="27">
        <f>IF($A953="","",库存台账!$X953)</f>
        <v/>
      </c>
      <c r="J953" s="27">
        <f>IF(OR($A953="",$H953=""),"",ROUND($H953-$I953,3))</f>
        <v/>
      </c>
      <c r="K953" s="26">
        <f>IF($A953="","",库存台账!$K953)</f>
        <v/>
      </c>
      <c r="L953" s="26">
        <f>IF($J953="","",ROUND($J953*$K953,0))</f>
        <v/>
      </c>
      <c r="M953" s="37">
        <f>IF(OR($J953="",$I953=0),"",ROUND($J953/$I953,4))</f>
        <v/>
      </c>
      <c r="N953" s="17" t="n"/>
      <c r="O953" s="17" t="n"/>
      <c r="P953" s="24">
        <f>IF($J953="","未盘",IF(ROUND($J953,3)=0,"账实相符",IF(COUNTIFS(入库单!$G$4:$G$2503,$A953,入库单!$X$4:$X$2503,"盘盈",入库单!$C$4:$C$2503,"&gt;="&amp;账期起,入库单!$C$4:$C$2503,"&lt;="&amp;账期止)+COUNTIFS(出库单!$D$4:$D$4003,$A953,出库单!$K$4:$K$4003,"盘亏",出库单!$C$4:$C$4003,"&gt;="&amp;账期起,出库单!$C$4:$C$4003,"&lt;="&amp;账期止)&gt;0,"已调账","※差异还没调账")))</f>
        <v/>
      </c>
      <c r="Q953" s="17" t="n"/>
      <c r="R953" s="17" t="n"/>
    </row>
    <row r="954">
      <c r="A954" s="24">
        <f>IF(库存台账!$A954="","",库存台账!$A954)</f>
        <v/>
      </c>
      <c r="B954" s="24">
        <f>IF($A954="","",库存台账!$B954)</f>
        <v/>
      </c>
      <c r="C954" s="24">
        <f>IF($A954="","",库存台账!$C954)</f>
        <v/>
      </c>
      <c r="D954" s="24">
        <f>IF($A954="","",库存台账!$D954)</f>
        <v/>
      </c>
      <c r="E954" s="24">
        <f>IF($A954="","",库存台账!$E954)</f>
        <v/>
      </c>
      <c r="F954" s="24">
        <f>IF($A954="","",库存台账!$F954)</f>
        <v/>
      </c>
      <c r="G954" s="17" t="n"/>
      <c r="H954" s="23" t="n"/>
      <c r="I954" s="27">
        <f>IF($A954="","",库存台账!$X954)</f>
        <v/>
      </c>
      <c r="J954" s="27">
        <f>IF(OR($A954="",$H954=""),"",ROUND($H954-$I954,3))</f>
        <v/>
      </c>
      <c r="K954" s="26">
        <f>IF($A954="","",库存台账!$K954)</f>
        <v/>
      </c>
      <c r="L954" s="26">
        <f>IF($J954="","",ROUND($J954*$K954,0))</f>
        <v/>
      </c>
      <c r="M954" s="37">
        <f>IF(OR($J954="",$I954=0),"",ROUND($J954/$I954,4))</f>
        <v/>
      </c>
      <c r="N954" s="17" t="n"/>
      <c r="O954" s="17" t="n"/>
      <c r="P954" s="24">
        <f>IF($J954="","未盘",IF(ROUND($J954,3)=0,"账实相符",IF(COUNTIFS(入库单!$G$4:$G$2503,$A954,入库单!$X$4:$X$2503,"盘盈",入库单!$C$4:$C$2503,"&gt;="&amp;账期起,入库单!$C$4:$C$2503,"&lt;="&amp;账期止)+COUNTIFS(出库单!$D$4:$D$4003,$A954,出库单!$K$4:$K$4003,"盘亏",出库单!$C$4:$C$4003,"&gt;="&amp;账期起,出库单!$C$4:$C$4003,"&lt;="&amp;账期止)&gt;0,"已调账","※差异还没调账")))</f>
        <v/>
      </c>
      <c r="Q954" s="17" t="n"/>
      <c r="R954" s="17" t="n"/>
    </row>
    <row r="955">
      <c r="A955" s="24">
        <f>IF(库存台账!$A955="","",库存台账!$A955)</f>
        <v/>
      </c>
      <c r="B955" s="24">
        <f>IF($A955="","",库存台账!$B955)</f>
        <v/>
      </c>
      <c r="C955" s="24">
        <f>IF($A955="","",库存台账!$C955)</f>
        <v/>
      </c>
      <c r="D955" s="24">
        <f>IF($A955="","",库存台账!$D955)</f>
        <v/>
      </c>
      <c r="E955" s="24">
        <f>IF($A955="","",库存台账!$E955)</f>
        <v/>
      </c>
      <c r="F955" s="24">
        <f>IF($A955="","",库存台账!$F955)</f>
        <v/>
      </c>
      <c r="G955" s="17" t="n"/>
      <c r="H955" s="23" t="n"/>
      <c r="I955" s="27">
        <f>IF($A955="","",库存台账!$X955)</f>
        <v/>
      </c>
      <c r="J955" s="27">
        <f>IF(OR($A955="",$H955=""),"",ROUND($H955-$I955,3))</f>
        <v/>
      </c>
      <c r="K955" s="26">
        <f>IF($A955="","",库存台账!$K955)</f>
        <v/>
      </c>
      <c r="L955" s="26">
        <f>IF($J955="","",ROUND($J955*$K955,0))</f>
        <v/>
      </c>
      <c r="M955" s="37">
        <f>IF(OR($J955="",$I955=0),"",ROUND($J955/$I955,4))</f>
        <v/>
      </c>
      <c r="N955" s="17" t="n"/>
      <c r="O955" s="17" t="n"/>
      <c r="P955" s="24">
        <f>IF($J955="","未盘",IF(ROUND($J955,3)=0,"账实相符",IF(COUNTIFS(入库单!$G$4:$G$2503,$A955,入库单!$X$4:$X$2503,"盘盈",入库单!$C$4:$C$2503,"&gt;="&amp;账期起,入库单!$C$4:$C$2503,"&lt;="&amp;账期止)+COUNTIFS(出库单!$D$4:$D$4003,$A955,出库单!$K$4:$K$4003,"盘亏",出库单!$C$4:$C$4003,"&gt;="&amp;账期起,出库单!$C$4:$C$4003,"&lt;="&amp;账期止)&gt;0,"已调账","※差异还没调账")))</f>
        <v/>
      </c>
      <c r="Q955" s="17" t="n"/>
      <c r="R955" s="17" t="n"/>
    </row>
    <row r="956">
      <c r="A956" s="24">
        <f>IF(库存台账!$A956="","",库存台账!$A956)</f>
        <v/>
      </c>
      <c r="B956" s="24">
        <f>IF($A956="","",库存台账!$B956)</f>
        <v/>
      </c>
      <c r="C956" s="24">
        <f>IF($A956="","",库存台账!$C956)</f>
        <v/>
      </c>
      <c r="D956" s="24">
        <f>IF($A956="","",库存台账!$D956)</f>
        <v/>
      </c>
      <c r="E956" s="24">
        <f>IF($A956="","",库存台账!$E956)</f>
        <v/>
      </c>
      <c r="F956" s="24">
        <f>IF($A956="","",库存台账!$F956)</f>
        <v/>
      </c>
      <c r="G956" s="17" t="n"/>
      <c r="H956" s="23" t="n"/>
      <c r="I956" s="27">
        <f>IF($A956="","",库存台账!$X956)</f>
        <v/>
      </c>
      <c r="J956" s="27">
        <f>IF(OR($A956="",$H956=""),"",ROUND($H956-$I956,3))</f>
        <v/>
      </c>
      <c r="K956" s="26">
        <f>IF($A956="","",库存台账!$K956)</f>
        <v/>
      </c>
      <c r="L956" s="26">
        <f>IF($J956="","",ROUND($J956*$K956,0))</f>
        <v/>
      </c>
      <c r="M956" s="37">
        <f>IF(OR($J956="",$I956=0),"",ROUND($J956/$I956,4))</f>
        <v/>
      </c>
      <c r="N956" s="17" t="n"/>
      <c r="O956" s="17" t="n"/>
      <c r="P956" s="24">
        <f>IF($J956="","未盘",IF(ROUND($J956,3)=0,"账实相符",IF(COUNTIFS(入库单!$G$4:$G$2503,$A956,入库单!$X$4:$X$2503,"盘盈",入库单!$C$4:$C$2503,"&gt;="&amp;账期起,入库单!$C$4:$C$2503,"&lt;="&amp;账期止)+COUNTIFS(出库单!$D$4:$D$4003,$A956,出库单!$K$4:$K$4003,"盘亏",出库单!$C$4:$C$4003,"&gt;="&amp;账期起,出库单!$C$4:$C$4003,"&lt;="&amp;账期止)&gt;0,"已调账","※差异还没调账")))</f>
        <v/>
      </c>
      <c r="Q956" s="17" t="n"/>
      <c r="R956" s="17" t="n"/>
    </row>
    <row r="957">
      <c r="A957" s="24">
        <f>IF(库存台账!$A957="","",库存台账!$A957)</f>
        <v/>
      </c>
      <c r="B957" s="24">
        <f>IF($A957="","",库存台账!$B957)</f>
        <v/>
      </c>
      <c r="C957" s="24">
        <f>IF($A957="","",库存台账!$C957)</f>
        <v/>
      </c>
      <c r="D957" s="24">
        <f>IF($A957="","",库存台账!$D957)</f>
        <v/>
      </c>
      <c r="E957" s="24">
        <f>IF($A957="","",库存台账!$E957)</f>
        <v/>
      </c>
      <c r="F957" s="24">
        <f>IF($A957="","",库存台账!$F957)</f>
        <v/>
      </c>
      <c r="G957" s="17" t="n"/>
      <c r="H957" s="23" t="n"/>
      <c r="I957" s="27">
        <f>IF($A957="","",库存台账!$X957)</f>
        <v/>
      </c>
      <c r="J957" s="27">
        <f>IF(OR($A957="",$H957=""),"",ROUND($H957-$I957,3))</f>
        <v/>
      </c>
      <c r="K957" s="26">
        <f>IF($A957="","",库存台账!$K957)</f>
        <v/>
      </c>
      <c r="L957" s="26">
        <f>IF($J957="","",ROUND($J957*$K957,0))</f>
        <v/>
      </c>
      <c r="M957" s="37">
        <f>IF(OR($J957="",$I957=0),"",ROUND($J957/$I957,4))</f>
        <v/>
      </c>
      <c r="N957" s="17" t="n"/>
      <c r="O957" s="17" t="n"/>
      <c r="P957" s="24">
        <f>IF($J957="","未盘",IF(ROUND($J957,3)=0,"账实相符",IF(COUNTIFS(入库单!$G$4:$G$2503,$A957,入库单!$X$4:$X$2503,"盘盈",入库单!$C$4:$C$2503,"&gt;="&amp;账期起,入库单!$C$4:$C$2503,"&lt;="&amp;账期止)+COUNTIFS(出库单!$D$4:$D$4003,$A957,出库单!$K$4:$K$4003,"盘亏",出库单!$C$4:$C$4003,"&gt;="&amp;账期起,出库单!$C$4:$C$4003,"&lt;="&amp;账期止)&gt;0,"已调账","※差异还没调账")))</f>
        <v/>
      </c>
      <c r="Q957" s="17" t="n"/>
      <c r="R957" s="17" t="n"/>
    </row>
    <row r="958">
      <c r="A958" s="24">
        <f>IF(库存台账!$A958="","",库存台账!$A958)</f>
        <v/>
      </c>
      <c r="B958" s="24">
        <f>IF($A958="","",库存台账!$B958)</f>
        <v/>
      </c>
      <c r="C958" s="24">
        <f>IF($A958="","",库存台账!$C958)</f>
        <v/>
      </c>
      <c r="D958" s="24">
        <f>IF($A958="","",库存台账!$D958)</f>
        <v/>
      </c>
      <c r="E958" s="24">
        <f>IF($A958="","",库存台账!$E958)</f>
        <v/>
      </c>
      <c r="F958" s="24">
        <f>IF($A958="","",库存台账!$F958)</f>
        <v/>
      </c>
      <c r="G958" s="17" t="n"/>
      <c r="H958" s="23" t="n"/>
      <c r="I958" s="27">
        <f>IF($A958="","",库存台账!$X958)</f>
        <v/>
      </c>
      <c r="J958" s="27">
        <f>IF(OR($A958="",$H958=""),"",ROUND($H958-$I958,3))</f>
        <v/>
      </c>
      <c r="K958" s="26">
        <f>IF($A958="","",库存台账!$K958)</f>
        <v/>
      </c>
      <c r="L958" s="26">
        <f>IF($J958="","",ROUND($J958*$K958,0))</f>
        <v/>
      </c>
      <c r="M958" s="37">
        <f>IF(OR($J958="",$I958=0),"",ROUND($J958/$I958,4))</f>
        <v/>
      </c>
      <c r="N958" s="17" t="n"/>
      <c r="O958" s="17" t="n"/>
      <c r="P958" s="24">
        <f>IF($J958="","未盘",IF(ROUND($J958,3)=0,"账实相符",IF(COUNTIFS(入库单!$G$4:$G$2503,$A958,入库单!$X$4:$X$2503,"盘盈",入库单!$C$4:$C$2503,"&gt;="&amp;账期起,入库单!$C$4:$C$2503,"&lt;="&amp;账期止)+COUNTIFS(出库单!$D$4:$D$4003,$A958,出库单!$K$4:$K$4003,"盘亏",出库单!$C$4:$C$4003,"&gt;="&amp;账期起,出库单!$C$4:$C$4003,"&lt;="&amp;账期止)&gt;0,"已调账","※差异还没调账")))</f>
        <v/>
      </c>
      <c r="Q958" s="17" t="n"/>
      <c r="R958" s="17" t="n"/>
    </row>
    <row r="959">
      <c r="A959" s="24">
        <f>IF(库存台账!$A959="","",库存台账!$A959)</f>
        <v/>
      </c>
      <c r="B959" s="24">
        <f>IF($A959="","",库存台账!$B959)</f>
        <v/>
      </c>
      <c r="C959" s="24">
        <f>IF($A959="","",库存台账!$C959)</f>
        <v/>
      </c>
      <c r="D959" s="24">
        <f>IF($A959="","",库存台账!$D959)</f>
        <v/>
      </c>
      <c r="E959" s="24">
        <f>IF($A959="","",库存台账!$E959)</f>
        <v/>
      </c>
      <c r="F959" s="24">
        <f>IF($A959="","",库存台账!$F959)</f>
        <v/>
      </c>
      <c r="G959" s="17" t="n"/>
      <c r="H959" s="23" t="n"/>
      <c r="I959" s="27">
        <f>IF($A959="","",库存台账!$X959)</f>
        <v/>
      </c>
      <c r="J959" s="27">
        <f>IF(OR($A959="",$H959=""),"",ROUND($H959-$I959,3))</f>
        <v/>
      </c>
      <c r="K959" s="26">
        <f>IF($A959="","",库存台账!$K959)</f>
        <v/>
      </c>
      <c r="L959" s="26">
        <f>IF($J959="","",ROUND($J959*$K959,0))</f>
        <v/>
      </c>
      <c r="M959" s="37">
        <f>IF(OR($J959="",$I959=0),"",ROUND($J959/$I959,4))</f>
        <v/>
      </c>
      <c r="N959" s="17" t="n"/>
      <c r="O959" s="17" t="n"/>
      <c r="P959" s="24">
        <f>IF($J959="","未盘",IF(ROUND($J959,3)=0,"账实相符",IF(COUNTIFS(入库单!$G$4:$G$2503,$A959,入库单!$X$4:$X$2503,"盘盈",入库单!$C$4:$C$2503,"&gt;="&amp;账期起,入库单!$C$4:$C$2503,"&lt;="&amp;账期止)+COUNTIFS(出库单!$D$4:$D$4003,$A959,出库单!$K$4:$K$4003,"盘亏",出库单!$C$4:$C$4003,"&gt;="&amp;账期起,出库单!$C$4:$C$4003,"&lt;="&amp;账期止)&gt;0,"已调账","※差异还没调账")))</f>
        <v/>
      </c>
      <c r="Q959" s="17" t="n"/>
      <c r="R959" s="17" t="n"/>
    </row>
    <row r="960">
      <c r="A960" s="24">
        <f>IF(库存台账!$A960="","",库存台账!$A960)</f>
        <v/>
      </c>
      <c r="B960" s="24">
        <f>IF($A960="","",库存台账!$B960)</f>
        <v/>
      </c>
      <c r="C960" s="24">
        <f>IF($A960="","",库存台账!$C960)</f>
        <v/>
      </c>
      <c r="D960" s="24">
        <f>IF($A960="","",库存台账!$D960)</f>
        <v/>
      </c>
      <c r="E960" s="24">
        <f>IF($A960="","",库存台账!$E960)</f>
        <v/>
      </c>
      <c r="F960" s="24">
        <f>IF($A960="","",库存台账!$F960)</f>
        <v/>
      </c>
      <c r="G960" s="17" t="n"/>
      <c r="H960" s="23" t="n"/>
      <c r="I960" s="27">
        <f>IF($A960="","",库存台账!$X960)</f>
        <v/>
      </c>
      <c r="J960" s="27">
        <f>IF(OR($A960="",$H960=""),"",ROUND($H960-$I960,3))</f>
        <v/>
      </c>
      <c r="K960" s="26">
        <f>IF($A960="","",库存台账!$K960)</f>
        <v/>
      </c>
      <c r="L960" s="26">
        <f>IF($J960="","",ROUND($J960*$K960,0))</f>
        <v/>
      </c>
      <c r="M960" s="37">
        <f>IF(OR($J960="",$I960=0),"",ROUND($J960/$I960,4))</f>
        <v/>
      </c>
      <c r="N960" s="17" t="n"/>
      <c r="O960" s="17" t="n"/>
      <c r="P960" s="24">
        <f>IF($J960="","未盘",IF(ROUND($J960,3)=0,"账实相符",IF(COUNTIFS(入库单!$G$4:$G$2503,$A960,入库单!$X$4:$X$2503,"盘盈",入库单!$C$4:$C$2503,"&gt;="&amp;账期起,入库单!$C$4:$C$2503,"&lt;="&amp;账期止)+COUNTIFS(出库单!$D$4:$D$4003,$A960,出库单!$K$4:$K$4003,"盘亏",出库单!$C$4:$C$4003,"&gt;="&amp;账期起,出库单!$C$4:$C$4003,"&lt;="&amp;账期止)&gt;0,"已调账","※差异还没调账")))</f>
        <v/>
      </c>
      <c r="Q960" s="17" t="n"/>
      <c r="R960" s="17" t="n"/>
    </row>
    <row r="961">
      <c r="A961" s="24">
        <f>IF(库存台账!$A961="","",库存台账!$A961)</f>
        <v/>
      </c>
      <c r="B961" s="24">
        <f>IF($A961="","",库存台账!$B961)</f>
        <v/>
      </c>
      <c r="C961" s="24">
        <f>IF($A961="","",库存台账!$C961)</f>
        <v/>
      </c>
      <c r="D961" s="24">
        <f>IF($A961="","",库存台账!$D961)</f>
        <v/>
      </c>
      <c r="E961" s="24">
        <f>IF($A961="","",库存台账!$E961)</f>
        <v/>
      </c>
      <c r="F961" s="24">
        <f>IF($A961="","",库存台账!$F961)</f>
        <v/>
      </c>
      <c r="G961" s="17" t="n"/>
      <c r="H961" s="23" t="n"/>
      <c r="I961" s="27">
        <f>IF($A961="","",库存台账!$X961)</f>
        <v/>
      </c>
      <c r="J961" s="27">
        <f>IF(OR($A961="",$H961=""),"",ROUND($H961-$I961,3))</f>
        <v/>
      </c>
      <c r="K961" s="26">
        <f>IF($A961="","",库存台账!$K961)</f>
        <v/>
      </c>
      <c r="L961" s="26">
        <f>IF($J961="","",ROUND($J961*$K961,0))</f>
        <v/>
      </c>
      <c r="M961" s="37">
        <f>IF(OR($J961="",$I961=0),"",ROUND($J961/$I961,4))</f>
        <v/>
      </c>
      <c r="N961" s="17" t="n"/>
      <c r="O961" s="17" t="n"/>
      <c r="P961" s="24">
        <f>IF($J961="","未盘",IF(ROUND($J961,3)=0,"账实相符",IF(COUNTIFS(入库单!$G$4:$G$2503,$A961,入库单!$X$4:$X$2503,"盘盈",入库单!$C$4:$C$2503,"&gt;="&amp;账期起,入库单!$C$4:$C$2503,"&lt;="&amp;账期止)+COUNTIFS(出库单!$D$4:$D$4003,$A961,出库单!$K$4:$K$4003,"盘亏",出库单!$C$4:$C$4003,"&gt;="&amp;账期起,出库单!$C$4:$C$4003,"&lt;="&amp;账期止)&gt;0,"已调账","※差异还没调账")))</f>
        <v/>
      </c>
      <c r="Q961" s="17" t="n"/>
      <c r="R961" s="17" t="n"/>
    </row>
    <row r="962">
      <c r="A962" s="24">
        <f>IF(库存台账!$A962="","",库存台账!$A962)</f>
        <v/>
      </c>
      <c r="B962" s="24">
        <f>IF($A962="","",库存台账!$B962)</f>
        <v/>
      </c>
      <c r="C962" s="24">
        <f>IF($A962="","",库存台账!$C962)</f>
        <v/>
      </c>
      <c r="D962" s="24">
        <f>IF($A962="","",库存台账!$D962)</f>
        <v/>
      </c>
      <c r="E962" s="24">
        <f>IF($A962="","",库存台账!$E962)</f>
        <v/>
      </c>
      <c r="F962" s="24">
        <f>IF($A962="","",库存台账!$F962)</f>
        <v/>
      </c>
      <c r="G962" s="17" t="n"/>
      <c r="H962" s="23" t="n"/>
      <c r="I962" s="27">
        <f>IF($A962="","",库存台账!$X962)</f>
        <v/>
      </c>
      <c r="J962" s="27">
        <f>IF(OR($A962="",$H962=""),"",ROUND($H962-$I962,3))</f>
        <v/>
      </c>
      <c r="K962" s="26">
        <f>IF($A962="","",库存台账!$K962)</f>
        <v/>
      </c>
      <c r="L962" s="26">
        <f>IF($J962="","",ROUND($J962*$K962,0))</f>
        <v/>
      </c>
      <c r="M962" s="37">
        <f>IF(OR($J962="",$I962=0),"",ROUND($J962/$I962,4))</f>
        <v/>
      </c>
      <c r="N962" s="17" t="n"/>
      <c r="O962" s="17" t="n"/>
      <c r="P962" s="24">
        <f>IF($J962="","未盘",IF(ROUND($J962,3)=0,"账实相符",IF(COUNTIFS(入库单!$G$4:$G$2503,$A962,入库单!$X$4:$X$2503,"盘盈",入库单!$C$4:$C$2503,"&gt;="&amp;账期起,入库单!$C$4:$C$2503,"&lt;="&amp;账期止)+COUNTIFS(出库单!$D$4:$D$4003,$A962,出库单!$K$4:$K$4003,"盘亏",出库单!$C$4:$C$4003,"&gt;="&amp;账期起,出库单!$C$4:$C$4003,"&lt;="&amp;账期止)&gt;0,"已调账","※差异还没调账")))</f>
        <v/>
      </c>
      <c r="Q962" s="17" t="n"/>
      <c r="R962" s="17" t="n"/>
    </row>
    <row r="963">
      <c r="A963" s="24">
        <f>IF(库存台账!$A963="","",库存台账!$A963)</f>
        <v/>
      </c>
      <c r="B963" s="24">
        <f>IF($A963="","",库存台账!$B963)</f>
        <v/>
      </c>
      <c r="C963" s="24">
        <f>IF($A963="","",库存台账!$C963)</f>
        <v/>
      </c>
      <c r="D963" s="24">
        <f>IF($A963="","",库存台账!$D963)</f>
        <v/>
      </c>
      <c r="E963" s="24">
        <f>IF($A963="","",库存台账!$E963)</f>
        <v/>
      </c>
      <c r="F963" s="24">
        <f>IF($A963="","",库存台账!$F963)</f>
        <v/>
      </c>
      <c r="G963" s="17" t="n"/>
      <c r="H963" s="23" t="n"/>
      <c r="I963" s="27">
        <f>IF($A963="","",库存台账!$X963)</f>
        <v/>
      </c>
      <c r="J963" s="27">
        <f>IF(OR($A963="",$H963=""),"",ROUND($H963-$I963,3))</f>
        <v/>
      </c>
      <c r="K963" s="26">
        <f>IF($A963="","",库存台账!$K963)</f>
        <v/>
      </c>
      <c r="L963" s="26">
        <f>IF($J963="","",ROUND($J963*$K963,0))</f>
        <v/>
      </c>
      <c r="M963" s="37">
        <f>IF(OR($J963="",$I963=0),"",ROUND($J963/$I963,4))</f>
        <v/>
      </c>
      <c r="N963" s="17" t="n"/>
      <c r="O963" s="17" t="n"/>
      <c r="P963" s="24">
        <f>IF($J963="","未盘",IF(ROUND($J963,3)=0,"账实相符",IF(COUNTIFS(入库单!$G$4:$G$2503,$A963,入库单!$X$4:$X$2503,"盘盈",入库单!$C$4:$C$2503,"&gt;="&amp;账期起,入库单!$C$4:$C$2503,"&lt;="&amp;账期止)+COUNTIFS(出库单!$D$4:$D$4003,$A963,出库单!$K$4:$K$4003,"盘亏",出库单!$C$4:$C$4003,"&gt;="&amp;账期起,出库单!$C$4:$C$4003,"&lt;="&amp;账期止)&gt;0,"已调账","※差异还没调账")))</f>
        <v/>
      </c>
      <c r="Q963" s="17" t="n"/>
      <c r="R963" s="17" t="n"/>
    </row>
    <row r="964">
      <c r="A964" s="24">
        <f>IF(库存台账!$A964="","",库存台账!$A964)</f>
        <v/>
      </c>
      <c r="B964" s="24">
        <f>IF($A964="","",库存台账!$B964)</f>
        <v/>
      </c>
      <c r="C964" s="24">
        <f>IF($A964="","",库存台账!$C964)</f>
        <v/>
      </c>
      <c r="D964" s="24">
        <f>IF($A964="","",库存台账!$D964)</f>
        <v/>
      </c>
      <c r="E964" s="24">
        <f>IF($A964="","",库存台账!$E964)</f>
        <v/>
      </c>
      <c r="F964" s="24">
        <f>IF($A964="","",库存台账!$F964)</f>
        <v/>
      </c>
      <c r="G964" s="17" t="n"/>
      <c r="H964" s="23" t="n"/>
      <c r="I964" s="27">
        <f>IF($A964="","",库存台账!$X964)</f>
        <v/>
      </c>
      <c r="J964" s="27">
        <f>IF(OR($A964="",$H964=""),"",ROUND($H964-$I964,3))</f>
        <v/>
      </c>
      <c r="K964" s="26">
        <f>IF($A964="","",库存台账!$K964)</f>
        <v/>
      </c>
      <c r="L964" s="26">
        <f>IF($J964="","",ROUND($J964*$K964,0))</f>
        <v/>
      </c>
      <c r="M964" s="37">
        <f>IF(OR($J964="",$I964=0),"",ROUND($J964/$I964,4))</f>
        <v/>
      </c>
      <c r="N964" s="17" t="n"/>
      <c r="O964" s="17" t="n"/>
      <c r="P964" s="24">
        <f>IF($J964="","未盘",IF(ROUND($J964,3)=0,"账实相符",IF(COUNTIFS(入库单!$G$4:$G$2503,$A964,入库单!$X$4:$X$2503,"盘盈",入库单!$C$4:$C$2503,"&gt;="&amp;账期起,入库单!$C$4:$C$2503,"&lt;="&amp;账期止)+COUNTIFS(出库单!$D$4:$D$4003,$A964,出库单!$K$4:$K$4003,"盘亏",出库单!$C$4:$C$4003,"&gt;="&amp;账期起,出库单!$C$4:$C$4003,"&lt;="&amp;账期止)&gt;0,"已调账","※差异还没调账")))</f>
        <v/>
      </c>
      <c r="Q964" s="17" t="n"/>
      <c r="R964" s="17" t="n"/>
    </row>
    <row r="965">
      <c r="A965" s="24">
        <f>IF(库存台账!$A965="","",库存台账!$A965)</f>
        <v/>
      </c>
      <c r="B965" s="24">
        <f>IF($A965="","",库存台账!$B965)</f>
        <v/>
      </c>
      <c r="C965" s="24">
        <f>IF($A965="","",库存台账!$C965)</f>
        <v/>
      </c>
      <c r="D965" s="24">
        <f>IF($A965="","",库存台账!$D965)</f>
        <v/>
      </c>
      <c r="E965" s="24">
        <f>IF($A965="","",库存台账!$E965)</f>
        <v/>
      </c>
      <c r="F965" s="24">
        <f>IF($A965="","",库存台账!$F965)</f>
        <v/>
      </c>
      <c r="G965" s="17" t="n"/>
      <c r="H965" s="23" t="n"/>
      <c r="I965" s="27">
        <f>IF($A965="","",库存台账!$X965)</f>
        <v/>
      </c>
      <c r="J965" s="27">
        <f>IF(OR($A965="",$H965=""),"",ROUND($H965-$I965,3))</f>
        <v/>
      </c>
      <c r="K965" s="26">
        <f>IF($A965="","",库存台账!$K965)</f>
        <v/>
      </c>
      <c r="L965" s="26">
        <f>IF($J965="","",ROUND($J965*$K965,0))</f>
        <v/>
      </c>
      <c r="M965" s="37">
        <f>IF(OR($J965="",$I965=0),"",ROUND($J965/$I965,4))</f>
        <v/>
      </c>
      <c r="N965" s="17" t="n"/>
      <c r="O965" s="17" t="n"/>
      <c r="P965" s="24">
        <f>IF($J965="","未盘",IF(ROUND($J965,3)=0,"账实相符",IF(COUNTIFS(入库单!$G$4:$G$2503,$A965,入库单!$X$4:$X$2503,"盘盈",入库单!$C$4:$C$2503,"&gt;="&amp;账期起,入库单!$C$4:$C$2503,"&lt;="&amp;账期止)+COUNTIFS(出库单!$D$4:$D$4003,$A965,出库单!$K$4:$K$4003,"盘亏",出库单!$C$4:$C$4003,"&gt;="&amp;账期起,出库单!$C$4:$C$4003,"&lt;="&amp;账期止)&gt;0,"已调账","※差异还没调账")))</f>
        <v/>
      </c>
      <c r="Q965" s="17" t="n"/>
      <c r="R965" s="17" t="n"/>
    </row>
    <row r="966">
      <c r="A966" s="24">
        <f>IF(库存台账!$A966="","",库存台账!$A966)</f>
        <v/>
      </c>
      <c r="B966" s="24">
        <f>IF($A966="","",库存台账!$B966)</f>
        <v/>
      </c>
      <c r="C966" s="24">
        <f>IF($A966="","",库存台账!$C966)</f>
        <v/>
      </c>
      <c r="D966" s="24">
        <f>IF($A966="","",库存台账!$D966)</f>
        <v/>
      </c>
      <c r="E966" s="24">
        <f>IF($A966="","",库存台账!$E966)</f>
        <v/>
      </c>
      <c r="F966" s="24">
        <f>IF($A966="","",库存台账!$F966)</f>
        <v/>
      </c>
      <c r="G966" s="17" t="n"/>
      <c r="H966" s="23" t="n"/>
      <c r="I966" s="27">
        <f>IF($A966="","",库存台账!$X966)</f>
        <v/>
      </c>
      <c r="J966" s="27">
        <f>IF(OR($A966="",$H966=""),"",ROUND($H966-$I966,3))</f>
        <v/>
      </c>
      <c r="K966" s="26">
        <f>IF($A966="","",库存台账!$K966)</f>
        <v/>
      </c>
      <c r="L966" s="26">
        <f>IF($J966="","",ROUND($J966*$K966,0))</f>
        <v/>
      </c>
      <c r="M966" s="37">
        <f>IF(OR($J966="",$I966=0),"",ROUND($J966/$I966,4))</f>
        <v/>
      </c>
      <c r="N966" s="17" t="n"/>
      <c r="O966" s="17" t="n"/>
      <c r="P966" s="24">
        <f>IF($J966="","未盘",IF(ROUND($J966,3)=0,"账实相符",IF(COUNTIFS(入库单!$G$4:$G$2503,$A966,入库单!$X$4:$X$2503,"盘盈",入库单!$C$4:$C$2503,"&gt;="&amp;账期起,入库单!$C$4:$C$2503,"&lt;="&amp;账期止)+COUNTIFS(出库单!$D$4:$D$4003,$A966,出库单!$K$4:$K$4003,"盘亏",出库单!$C$4:$C$4003,"&gt;="&amp;账期起,出库单!$C$4:$C$4003,"&lt;="&amp;账期止)&gt;0,"已调账","※差异还没调账")))</f>
        <v/>
      </c>
      <c r="Q966" s="17" t="n"/>
      <c r="R966" s="17" t="n"/>
    </row>
    <row r="967">
      <c r="A967" s="24">
        <f>IF(库存台账!$A967="","",库存台账!$A967)</f>
        <v/>
      </c>
      <c r="B967" s="24">
        <f>IF($A967="","",库存台账!$B967)</f>
        <v/>
      </c>
      <c r="C967" s="24">
        <f>IF($A967="","",库存台账!$C967)</f>
        <v/>
      </c>
      <c r="D967" s="24">
        <f>IF($A967="","",库存台账!$D967)</f>
        <v/>
      </c>
      <c r="E967" s="24">
        <f>IF($A967="","",库存台账!$E967)</f>
        <v/>
      </c>
      <c r="F967" s="24">
        <f>IF($A967="","",库存台账!$F967)</f>
        <v/>
      </c>
      <c r="G967" s="17" t="n"/>
      <c r="H967" s="23" t="n"/>
      <c r="I967" s="27">
        <f>IF($A967="","",库存台账!$X967)</f>
        <v/>
      </c>
      <c r="J967" s="27">
        <f>IF(OR($A967="",$H967=""),"",ROUND($H967-$I967,3))</f>
        <v/>
      </c>
      <c r="K967" s="26">
        <f>IF($A967="","",库存台账!$K967)</f>
        <v/>
      </c>
      <c r="L967" s="26">
        <f>IF($J967="","",ROUND($J967*$K967,0))</f>
        <v/>
      </c>
      <c r="M967" s="37">
        <f>IF(OR($J967="",$I967=0),"",ROUND($J967/$I967,4))</f>
        <v/>
      </c>
      <c r="N967" s="17" t="n"/>
      <c r="O967" s="17" t="n"/>
      <c r="P967" s="24">
        <f>IF($J967="","未盘",IF(ROUND($J967,3)=0,"账实相符",IF(COUNTIFS(入库单!$G$4:$G$2503,$A967,入库单!$X$4:$X$2503,"盘盈",入库单!$C$4:$C$2503,"&gt;="&amp;账期起,入库单!$C$4:$C$2503,"&lt;="&amp;账期止)+COUNTIFS(出库单!$D$4:$D$4003,$A967,出库单!$K$4:$K$4003,"盘亏",出库单!$C$4:$C$4003,"&gt;="&amp;账期起,出库单!$C$4:$C$4003,"&lt;="&amp;账期止)&gt;0,"已调账","※差异还没调账")))</f>
        <v/>
      </c>
      <c r="Q967" s="17" t="n"/>
      <c r="R967" s="17" t="n"/>
    </row>
    <row r="968">
      <c r="A968" s="24">
        <f>IF(库存台账!$A968="","",库存台账!$A968)</f>
        <v/>
      </c>
      <c r="B968" s="24">
        <f>IF($A968="","",库存台账!$B968)</f>
        <v/>
      </c>
      <c r="C968" s="24">
        <f>IF($A968="","",库存台账!$C968)</f>
        <v/>
      </c>
      <c r="D968" s="24">
        <f>IF($A968="","",库存台账!$D968)</f>
        <v/>
      </c>
      <c r="E968" s="24">
        <f>IF($A968="","",库存台账!$E968)</f>
        <v/>
      </c>
      <c r="F968" s="24">
        <f>IF($A968="","",库存台账!$F968)</f>
        <v/>
      </c>
      <c r="G968" s="17" t="n"/>
      <c r="H968" s="23" t="n"/>
      <c r="I968" s="27">
        <f>IF($A968="","",库存台账!$X968)</f>
        <v/>
      </c>
      <c r="J968" s="27">
        <f>IF(OR($A968="",$H968=""),"",ROUND($H968-$I968,3))</f>
        <v/>
      </c>
      <c r="K968" s="26">
        <f>IF($A968="","",库存台账!$K968)</f>
        <v/>
      </c>
      <c r="L968" s="26">
        <f>IF($J968="","",ROUND($J968*$K968,0))</f>
        <v/>
      </c>
      <c r="M968" s="37">
        <f>IF(OR($J968="",$I968=0),"",ROUND($J968/$I968,4))</f>
        <v/>
      </c>
      <c r="N968" s="17" t="n"/>
      <c r="O968" s="17" t="n"/>
      <c r="P968" s="24">
        <f>IF($J968="","未盘",IF(ROUND($J968,3)=0,"账实相符",IF(COUNTIFS(入库单!$G$4:$G$2503,$A968,入库单!$X$4:$X$2503,"盘盈",入库单!$C$4:$C$2503,"&gt;="&amp;账期起,入库单!$C$4:$C$2503,"&lt;="&amp;账期止)+COUNTIFS(出库单!$D$4:$D$4003,$A968,出库单!$K$4:$K$4003,"盘亏",出库单!$C$4:$C$4003,"&gt;="&amp;账期起,出库单!$C$4:$C$4003,"&lt;="&amp;账期止)&gt;0,"已调账","※差异还没调账")))</f>
        <v/>
      </c>
      <c r="Q968" s="17" t="n"/>
      <c r="R968" s="17" t="n"/>
    </row>
    <row r="969">
      <c r="A969" s="24">
        <f>IF(库存台账!$A969="","",库存台账!$A969)</f>
        <v/>
      </c>
      <c r="B969" s="24">
        <f>IF($A969="","",库存台账!$B969)</f>
        <v/>
      </c>
      <c r="C969" s="24">
        <f>IF($A969="","",库存台账!$C969)</f>
        <v/>
      </c>
      <c r="D969" s="24">
        <f>IF($A969="","",库存台账!$D969)</f>
        <v/>
      </c>
      <c r="E969" s="24">
        <f>IF($A969="","",库存台账!$E969)</f>
        <v/>
      </c>
      <c r="F969" s="24">
        <f>IF($A969="","",库存台账!$F969)</f>
        <v/>
      </c>
      <c r="G969" s="17" t="n"/>
      <c r="H969" s="23" t="n"/>
      <c r="I969" s="27">
        <f>IF($A969="","",库存台账!$X969)</f>
        <v/>
      </c>
      <c r="J969" s="27">
        <f>IF(OR($A969="",$H969=""),"",ROUND($H969-$I969,3))</f>
        <v/>
      </c>
      <c r="K969" s="26">
        <f>IF($A969="","",库存台账!$K969)</f>
        <v/>
      </c>
      <c r="L969" s="26">
        <f>IF($J969="","",ROUND($J969*$K969,0))</f>
        <v/>
      </c>
      <c r="M969" s="37">
        <f>IF(OR($J969="",$I969=0),"",ROUND($J969/$I969,4))</f>
        <v/>
      </c>
      <c r="N969" s="17" t="n"/>
      <c r="O969" s="17" t="n"/>
      <c r="P969" s="24">
        <f>IF($J969="","未盘",IF(ROUND($J969,3)=0,"账实相符",IF(COUNTIFS(入库单!$G$4:$G$2503,$A969,入库单!$X$4:$X$2503,"盘盈",入库单!$C$4:$C$2503,"&gt;="&amp;账期起,入库单!$C$4:$C$2503,"&lt;="&amp;账期止)+COUNTIFS(出库单!$D$4:$D$4003,$A969,出库单!$K$4:$K$4003,"盘亏",出库单!$C$4:$C$4003,"&gt;="&amp;账期起,出库单!$C$4:$C$4003,"&lt;="&amp;账期止)&gt;0,"已调账","※差异还没调账")))</f>
        <v/>
      </c>
      <c r="Q969" s="17" t="n"/>
      <c r="R969" s="17" t="n"/>
    </row>
    <row r="970">
      <c r="A970" s="24">
        <f>IF(库存台账!$A970="","",库存台账!$A970)</f>
        <v/>
      </c>
      <c r="B970" s="24">
        <f>IF($A970="","",库存台账!$B970)</f>
        <v/>
      </c>
      <c r="C970" s="24">
        <f>IF($A970="","",库存台账!$C970)</f>
        <v/>
      </c>
      <c r="D970" s="24">
        <f>IF($A970="","",库存台账!$D970)</f>
        <v/>
      </c>
      <c r="E970" s="24">
        <f>IF($A970="","",库存台账!$E970)</f>
        <v/>
      </c>
      <c r="F970" s="24">
        <f>IF($A970="","",库存台账!$F970)</f>
        <v/>
      </c>
      <c r="G970" s="17" t="n"/>
      <c r="H970" s="23" t="n"/>
      <c r="I970" s="27">
        <f>IF($A970="","",库存台账!$X970)</f>
        <v/>
      </c>
      <c r="J970" s="27">
        <f>IF(OR($A970="",$H970=""),"",ROUND($H970-$I970,3))</f>
        <v/>
      </c>
      <c r="K970" s="26">
        <f>IF($A970="","",库存台账!$K970)</f>
        <v/>
      </c>
      <c r="L970" s="26">
        <f>IF($J970="","",ROUND($J970*$K970,0))</f>
        <v/>
      </c>
      <c r="M970" s="37">
        <f>IF(OR($J970="",$I970=0),"",ROUND($J970/$I970,4))</f>
        <v/>
      </c>
      <c r="N970" s="17" t="n"/>
      <c r="O970" s="17" t="n"/>
      <c r="P970" s="24">
        <f>IF($J970="","未盘",IF(ROUND($J970,3)=0,"账实相符",IF(COUNTIFS(入库单!$G$4:$G$2503,$A970,入库单!$X$4:$X$2503,"盘盈",入库单!$C$4:$C$2503,"&gt;="&amp;账期起,入库单!$C$4:$C$2503,"&lt;="&amp;账期止)+COUNTIFS(出库单!$D$4:$D$4003,$A970,出库单!$K$4:$K$4003,"盘亏",出库单!$C$4:$C$4003,"&gt;="&amp;账期起,出库单!$C$4:$C$4003,"&lt;="&amp;账期止)&gt;0,"已调账","※差异还没调账")))</f>
        <v/>
      </c>
      <c r="Q970" s="17" t="n"/>
      <c r="R970" s="17" t="n"/>
    </row>
    <row r="971">
      <c r="A971" s="24">
        <f>IF(库存台账!$A971="","",库存台账!$A971)</f>
        <v/>
      </c>
      <c r="B971" s="24">
        <f>IF($A971="","",库存台账!$B971)</f>
        <v/>
      </c>
      <c r="C971" s="24">
        <f>IF($A971="","",库存台账!$C971)</f>
        <v/>
      </c>
      <c r="D971" s="24">
        <f>IF($A971="","",库存台账!$D971)</f>
        <v/>
      </c>
      <c r="E971" s="24">
        <f>IF($A971="","",库存台账!$E971)</f>
        <v/>
      </c>
      <c r="F971" s="24">
        <f>IF($A971="","",库存台账!$F971)</f>
        <v/>
      </c>
      <c r="G971" s="17" t="n"/>
      <c r="H971" s="23" t="n"/>
      <c r="I971" s="27">
        <f>IF($A971="","",库存台账!$X971)</f>
        <v/>
      </c>
      <c r="J971" s="27">
        <f>IF(OR($A971="",$H971=""),"",ROUND($H971-$I971,3))</f>
        <v/>
      </c>
      <c r="K971" s="26">
        <f>IF($A971="","",库存台账!$K971)</f>
        <v/>
      </c>
      <c r="L971" s="26">
        <f>IF($J971="","",ROUND($J971*$K971,0))</f>
        <v/>
      </c>
      <c r="M971" s="37">
        <f>IF(OR($J971="",$I971=0),"",ROUND($J971/$I971,4))</f>
        <v/>
      </c>
      <c r="N971" s="17" t="n"/>
      <c r="O971" s="17" t="n"/>
      <c r="P971" s="24">
        <f>IF($J971="","未盘",IF(ROUND($J971,3)=0,"账实相符",IF(COUNTIFS(入库单!$G$4:$G$2503,$A971,入库单!$X$4:$X$2503,"盘盈",入库单!$C$4:$C$2503,"&gt;="&amp;账期起,入库单!$C$4:$C$2503,"&lt;="&amp;账期止)+COUNTIFS(出库单!$D$4:$D$4003,$A971,出库单!$K$4:$K$4003,"盘亏",出库单!$C$4:$C$4003,"&gt;="&amp;账期起,出库单!$C$4:$C$4003,"&lt;="&amp;账期止)&gt;0,"已调账","※差异还没调账")))</f>
        <v/>
      </c>
      <c r="Q971" s="17" t="n"/>
      <c r="R971" s="17" t="n"/>
    </row>
    <row r="972">
      <c r="A972" s="24">
        <f>IF(库存台账!$A972="","",库存台账!$A972)</f>
        <v/>
      </c>
      <c r="B972" s="24">
        <f>IF($A972="","",库存台账!$B972)</f>
        <v/>
      </c>
      <c r="C972" s="24">
        <f>IF($A972="","",库存台账!$C972)</f>
        <v/>
      </c>
      <c r="D972" s="24">
        <f>IF($A972="","",库存台账!$D972)</f>
        <v/>
      </c>
      <c r="E972" s="24">
        <f>IF($A972="","",库存台账!$E972)</f>
        <v/>
      </c>
      <c r="F972" s="24">
        <f>IF($A972="","",库存台账!$F972)</f>
        <v/>
      </c>
      <c r="G972" s="17" t="n"/>
      <c r="H972" s="23" t="n"/>
      <c r="I972" s="27">
        <f>IF($A972="","",库存台账!$X972)</f>
        <v/>
      </c>
      <c r="J972" s="27">
        <f>IF(OR($A972="",$H972=""),"",ROUND($H972-$I972,3))</f>
        <v/>
      </c>
      <c r="K972" s="26">
        <f>IF($A972="","",库存台账!$K972)</f>
        <v/>
      </c>
      <c r="L972" s="26">
        <f>IF($J972="","",ROUND($J972*$K972,0))</f>
        <v/>
      </c>
      <c r="M972" s="37">
        <f>IF(OR($J972="",$I972=0),"",ROUND($J972/$I972,4))</f>
        <v/>
      </c>
      <c r="N972" s="17" t="n"/>
      <c r="O972" s="17" t="n"/>
      <c r="P972" s="24">
        <f>IF($J972="","未盘",IF(ROUND($J972,3)=0,"账实相符",IF(COUNTIFS(入库单!$G$4:$G$2503,$A972,入库单!$X$4:$X$2503,"盘盈",入库单!$C$4:$C$2503,"&gt;="&amp;账期起,入库单!$C$4:$C$2503,"&lt;="&amp;账期止)+COUNTIFS(出库单!$D$4:$D$4003,$A972,出库单!$K$4:$K$4003,"盘亏",出库单!$C$4:$C$4003,"&gt;="&amp;账期起,出库单!$C$4:$C$4003,"&lt;="&amp;账期止)&gt;0,"已调账","※差异还没调账")))</f>
        <v/>
      </c>
      <c r="Q972" s="17" t="n"/>
      <c r="R972" s="17" t="n"/>
    </row>
    <row r="973">
      <c r="A973" s="24">
        <f>IF(库存台账!$A973="","",库存台账!$A973)</f>
        <v/>
      </c>
      <c r="B973" s="24">
        <f>IF($A973="","",库存台账!$B973)</f>
        <v/>
      </c>
      <c r="C973" s="24">
        <f>IF($A973="","",库存台账!$C973)</f>
        <v/>
      </c>
      <c r="D973" s="24">
        <f>IF($A973="","",库存台账!$D973)</f>
        <v/>
      </c>
      <c r="E973" s="24">
        <f>IF($A973="","",库存台账!$E973)</f>
        <v/>
      </c>
      <c r="F973" s="24">
        <f>IF($A973="","",库存台账!$F973)</f>
        <v/>
      </c>
      <c r="G973" s="17" t="n"/>
      <c r="H973" s="23" t="n"/>
      <c r="I973" s="27">
        <f>IF($A973="","",库存台账!$X973)</f>
        <v/>
      </c>
      <c r="J973" s="27">
        <f>IF(OR($A973="",$H973=""),"",ROUND($H973-$I973,3))</f>
        <v/>
      </c>
      <c r="K973" s="26">
        <f>IF($A973="","",库存台账!$K973)</f>
        <v/>
      </c>
      <c r="L973" s="26">
        <f>IF($J973="","",ROUND($J973*$K973,0))</f>
        <v/>
      </c>
      <c r="M973" s="37">
        <f>IF(OR($J973="",$I973=0),"",ROUND($J973/$I973,4))</f>
        <v/>
      </c>
      <c r="N973" s="17" t="n"/>
      <c r="O973" s="17" t="n"/>
      <c r="P973" s="24">
        <f>IF($J973="","未盘",IF(ROUND($J973,3)=0,"账实相符",IF(COUNTIFS(入库单!$G$4:$G$2503,$A973,入库单!$X$4:$X$2503,"盘盈",入库单!$C$4:$C$2503,"&gt;="&amp;账期起,入库单!$C$4:$C$2503,"&lt;="&amp;账期止)+COUNTIFS(出库单!$D$4:$D$4003,$A973,出库单!$K$4:$K$4003,"盘亏",出库单!$C$4:$C$4003,"&gt;="&amp;账期起,出库单!$C$4:$C$4003,"&lt;="&amp;账期止)&gt;0,"已调账","※差异还没调账")))</f>
        <v/>
      </c>
      <c r="Q973" s="17" t="n"/>
      <c r="R973" s="17" t="n"/>
    </row>
    <row r="974">
      <c r="A974" s="24">
        <f>IF(库存台账!$A974="","",库存台账!$A974)</f>
        <v/>
      </c>
      <c r="B974" s="24">
        <f>IF($A974="","",库存台账!$B974)</f>
        <v/>
      </c>
      <c r="C974" s="24">
        <f>IF($A974="","",库存台账!$C974)</f>
        <v/>
      </c>
      <c r="D974" s="24">
        <f>IF($A974="","",库存台账!$D974)</f>
        <v/>
      </c>
      <c r="E974" s="24">
        <f>IF($A974="","",库存台账!$E974)</f>
        <v/>
      </c>
      <c r="F974" s="24">
        <f>IF($A974="","",库存台账!$F974)</f>
        <v/>
      </c>
      <c r="G974" s="17" t="n"/>
      <c r="H974" s="23" t="n"/>
      <c r="I974" s="27">
        <f>IF($A974="","",库存台账!$X974)</f>
        <v/>
      </c>
      <c r="J974" s="27">
        <f>IF(OR($A974="",$H974=""),"",ROUND($H974-$I974,3))</f>
        <v/>
      </c>
      <c r="K974" s="26">
        <f>IF($A974="","",库存台账!$K974)</f>
        <v/>
      </c>
      <c r="L974" s="26">
        <f>IF($J974="","",ROUND($J974*$K974,0))</f>
        <v/>
      </c>
      <c r="M974" s="37">
        <f>IF(OR($J974="",$I974=0),"",ROUND($J974/$I974,4))</f>
        <v/>
      </c>
      <c r="N974" s="17" t="n"/>
      <c r="O974" s="17" t="n"/>
      <c r="P974" s="24">
        <f>IF($J974="","未盘",IF(ROUND($J974,3)=0,"账实相符",IF(COUNTIFS(入库单!$G$4:$G$2503,$A974,入库单!$X$4:$X$2503,"盘盈",入库单!$C$4:$C$2503,"&gt;="&amp;账期起,入库单!$C$4:$C$2503,"&lt;="&amp;账期止)+COUNTIFS(出库单!$D$4:$D$4003,$A974,出库单!$K$4:$K$4003,"盘亏",出库单!$C$4:$C$4003,"&gt;="&amp;账期起,出库单!$C$4:$C$4003,"&lt;="&amp;账期止)&gt;0,"已调账","※差异还没调账")))</f>
        <v/>
      </c>
      <c r="Q974" s="17" t="n"/>
      <c r="R974" s="17" t="n"/>
    </row>
    <row r="975">
      <c r="A975" s="24">
        <f>IF(库存台账!$A975="","",库存台账!$A975)</f>
        <v/>
      </c>
      <c r="B975" s="24">
        <f>IF($A975="","",库存台账!$B975)</f>
        <v/>
      </c>
      <c r="C975" s="24">
        <f>IF($A975="","",库存台账!$C975)</f>
        <v/>
      </c>
      <c r="D975" s="24">
        <f>IF($A975="","",库存台账!$D975)</f>
        <v/>
      </c>
      <c r="E975" s="24">
        <f>IF($A975="","",库存台账!$E975)</f>
        <v/>
      </c>
      <c r="F975" s="24">
        <f>IF($A975="","",库存台账!$F975)</f>
        <v/>
      </c>
      <c r="G975" s="17" t="n"/>
      <c r="H975" s="23" t="n"/>
      <c r="I975" s="27">
        <f>IF($A975="","",库存台账!$X975)</f>
        <v/>
      </c>
      <c r="J975" s="27">
        <f>IF(OR($A975="",$H975=""),"",ROUND($H975-$I975,3))</f>
        <v/>
      </c>
      <c r="K975" s="26">
        <f>IF($A975="","",库存台账!$K975)</f>
        <v/>
      </c>
      <c r="L975" s="26">
        <f>IF($J975="","",ROUND($J975*$K975,0))</f>
        <v/>
      </c>
      <c r="M975" s="37">
        <f>IF(OR($J975="",$I975=0),"",ROUND($J975/$I975,4))</f>
        <v/>
      </c>
      <c r="N975" s="17" t="n"/>
      <c r="O975" s="17" t="n"/>
      <c r="P975" s="24">
        <f>IF($J975="","未盘",IF(ROUND($J975,3)=0,"账实相符",IF(COUNTIFS(入库单!$G$4:$G$2503,$A975,入库单!$X$4:$X$2503,"盘盈",入库单!$C$4:$C$2503,"&gt;="&amp;账期起,入库单!$C$4:$C$2503,"&lt;="&amp;账期止)+COUNTIFS(出库单!$D$4:$D$4003,$A975,出库单!$K$4:$K$4003,"盘亏",出库单!$C$4:$C$4003,"&gt;="&amp;账期起,出库单!$C$4:$C$4003,"&lt;="&amp;账期止)&gt;0,"已调账","※差异还没调账")))</f>
        <v/>
      </c>
      <c r="Q975" s="17" t="n"/>
      <c r="R975" s="17" t="n"/>
    </row>
    <row r="976">
      <c r="A976" s="24">
        <f>IF(库存台账!$A976="","",库存台账!$A976)</f>
        <v/>
      </c>
      <c r="B976" s="24">
        <f>IF($A976="","",库存台账!$B976)</f>
        <v/>
      </c>
      <c r="C976" s="24">
        <f>IF($A976="","",库存台账!$C976)</f>
        <v/>
      </c>
      <c r="D976" s="24">
        <f>IF($A976="","",库存台账!$D976)</f>
        <v/>
      </c>
      <c r="E976" s="24">
        <f>IF($A976="","",库存台账!$E976)</f>
        <v/>
      </c>
      <c r="F976" s="24">
        <f>IF($A976="","",库存台账!$F976)</f>
        <v/>
      </c>
      <c r="G976" s="17" t="n"/>
      <c r="H976" s="23" t="n"/>
      <c r="I976" s="27">
        <f>IF($A976="","",库存台账!$X976)</f>
        <v/>
      </c>
      <c r="J976" s="27">
        <f>IF(OR($A976="",$H976=""),"",ROUND($H976-$I976,3))</f>
        <v/>
      </c>
      <c r="K976" s="26">
        <f>IF($A976="","",库存台账!$K976)</f>
        <v/>
      </c>
      <c r="L976" s="26">
        <f>IF($J976="","",ROUND($J976*$K976,0))</f>
        <v/>
      </c>
      <c r="M976" s="37">
        <f>IF(OR($J976="",$I976=0),"",ROUND($J976/$I976,4))</f>
        <v/>
      </c>
      <c r="N976" s="17" t="n"/>
      <c r="O976" s="17" t="n"/>
      <c r="P976" s="24">
        <f>IF($J976="","未盘",IF(ROUND($J976,3)=0,"账实相符",IF(COUNTIFS(入库单!$G$4:$G$2503,$A976,入库单!$X$4:$X$2503,"盘盈",入库单!$C$4:$C$2503,"&gt;="&amp;账期起,入库单!$C$4:$C$2503,"&lt;="&amp;账期止)+COUNTIFS(出库单!$D$4:$D$4003,$A976,出库单!$K$4:$K$4003,"盘亏",出库单!$C$4:$C$4003,"&gt;="&amp;账期起,出库单!$C$4:$C$4003,"&lt;="&amp;账期止)&gt;0,"已调账","※差异还没调账")))</f>
        <v/>
      </c>
      <c r="Q976" s="17" t="n"/>
      <c r="R976" s="17" t="n"/>
    </row>
    <row r="977">
      <c r="A977" s="24">
        <f>IF(库存台账!$A977="","",库存台账!$A977)</f>
        <v/>
      </c>
      <c r="B977" s="24">
        <f>IF($A977="","",库存台账!$B977)</f>
        <v/>
      </c>
      <c r="C977" s="24">
        <f>IF($A977="","",库存台账!$C977)</f>
        <v/>
      </c>
      <c r="D977" s="24">
        <f>IF($A977="","",库存台账!$D977)</f>
        <v/>
      </c>
      <c r="E977" s="24">
        <f>IF($A977="","",库存台账!$E977)</f>
        <v/>
      </c>
      <c r="F977" s="24">
        <f>IF($A977="","",库存台账!$F977)</f>
        <v/>
      </c>
      <c r="G977" s="17" t="n"/>
      <c r="H977" s="23" t="n"/>
      <c r="I977" s="27">
        <f>IF($A977="","",库存台账!$X977)</f>
        <v/>
      </c>
      <c r="J977" s="27">
        <f>IF(OR($A977="",$H977=""),"",ROUND($H977-$I977,3))</f>
        <v/>
      </c>
      <c r="K977" s="26">
        <f>IF($A977="","",库存台账!$K977)</f>
        <v/>
      </c>
      <c r="L977" s="26">
        <f>IF($J977="","",ROUND($J977*$K977,0))</f>
        <v/>
      </c>
      <c r="M977" s="37">
        <f>IF(OR($J977="",$I977=0),"",ROUND($J977/$I977,4))</f>
        <v/>
      </c>
      <c r="N977" s="17" t="n"/>
      <c r="O977" s="17" t="n"/>
      <c r="P977" s="24">
        <f>IF($J977="","未盘",IF(ROUND($J977,3)=0,"账实相符",IF(COUNTIFS(入库单!$G$4:$G$2503,$A977,入库单!$X$4:$X$2503,"盘盈",入库单!$C$4:$C$2503,"&gt;="&amp;账期起,入库单!$C$4:$C$2503,"&lt;="&amp;账期止)+COUNTIFS(出库单!$D$4:$D$4003,$A977,出库单!$K$4:$K$4003,"盘亏",出库单!$C$4:$C$4003,"&gt;="&amp;账期起,出库单!$C$4:$C$4003,"&lt;="&amp;账期止)&gt;0,"已调账","※差异还没调账")))</f>
        <v/>
      </c>
      <c r="Q977" s="17" t="n"/>
      <c r="R977" s="17" t="n"/>
    </row>
    <row r="978">
      <c r="A978" s="24">
        <f>IF(库存台账!$A978="","",库存台账!$A978)</f>
        <v/>
      </c>
      <c r="B978" s="24">
        <f>IF($A978="","",库存台账!$B978)</f>
        <v/>
      </c>
      <c r="C978" s="24">
        <f>IF($A978="","",库存台账!$C978)</f>
        <v/>
      </c>
      <c r="D978" s="24">
        <f>IF($A978="","",库存台账!$D978)</f>
        <v/>
      </c>
      <c r="E978" s="24">
        <f>IF($A978="","",库存台账!$E978)</f>
        <v/>
      </c>
      <c r="F978" s="24">
        <f>IF($A978="","",库存台账!$F978)</f>
        <v/>
      </c>
      <c r="G978" s="17" t="n"/>
      <c r="H978" s="23" t="n"/>
      <c r="I978" s="27">
        <f>IF($A978="","",库存台账!$X978)</f>
        <v/>
      </c>
      <c r="J978" s="27">
        <f>IF(OR($A978="",$H978=""),"",ROUND($H978-$I978,3))</f>
        <v/>
      </c>
      <c r="K978" s="26">
        <f>IF($A978="","",库存台账!$K978)</f>
        <v/>
      </c>
      <c r="L978" s="26">
        <f>IF($J978="","",ROUND($J978*$K978,0))</f>
        <v/>
      </c>
      <c r="M978" s="37">
        <f>IF(OR($J978="",$I978=0),"",ROUND($J978/$I978,4))</f>
        <v/>
      </c>
      <c r="N978" s="17" t="n"/>
      <c r="O978" s="17" t="n"/>
      <c r="P978" s="24">
        <f>IF($J978="","未盘",IF(ROUND($J978,3)=0,"账实相符",IF(COUNTIFS(入库单!$G$4:$G$2503,$A978,入库单!$X$4:$X$2503,"盘盈",入库单!$C$4:$C$2503,"&gt;="&amp;账期起,入库单!$C$4:$C$2503,"&lt;="&amp;账期止)+COUNTIFS(出库单!$D$4:$D$4003,$A978,出库单!$K$4:$K$4003,"盘亏",出库单!$C$4:$C$4003,"&gt;="&amp;账期起,出库单!$C$4:$C$4003,"&lt;="&amp;账期止)&gt;0,"已调账","※差异还没调账")))</f>
        <v/>
      </c>
      <c r="Q978" s="17" t="n"/>
      <c r="R978" s="17" t="n"/>
    </row>
    <row r="979">
      <c r="A979" s="24">
        <f>IF(库存台账!$A979="","",库存台账!$A979)</f>
        <v/>
      </c>
      <c r="B979" s="24">
        <f>IF($A979="","",库存台账!$B979)</f>
        <v/>
      </c>
      <c r="C979" s="24">
        <f>IF($A979="","",库存台账!$C979)</f>
        <v/>
      </c>
      <c r="D979" s="24">
        <f>IF($A979="","",库存台账!$D979)</f>
        <v/>
      </c>
      <c r="E979" s="24">
        <f>IF($A979="","",库存台账!$E979)</f>
        <v/>
      </c>
      <c r="F979" s="24">
        <f>IF($A979="","",库存台账!$F979)</f>
        <v/>
      </c>
      <c r="G979" s="17" t="n"/>
      <c r="H979" s="23" t="n"/>
      <c r="I979" s="27">
        <f>IF($A979="","",库存台账!$X979)</f>
        <v/>
      </c>
      <c r="J979" s="27">
        <f>IF(OR($A979="",$H979=""),"",ROUND($H979-$I979,3))</f>
        <v/>
      </c>
      <c r="K979" s="26">
        <f>IF($A979="","",库存台账!$K979)</f>
        <v/>
      </c>
      <c r="L979" s="26">
        <f>IF($J979="","",ROUND($J979*$K979,0))</f>
        <v/>
      </c>
      <c r="M979" s="37">
        <f>IF(OR($J979="",$I979=0),"",ROUND($J979/$I979,4))</f>
        <v/>
      </c>
      <c r="N979" s="17" t="n"/>
      <c r="O979" s="17" t="n"/>
      <c r="P979" s="24">
        <f>IF($J979="","未盘",IF(ROUND($J979,3)=0,"账实相符",IF(COUNTIFS(入库单!$G$4:$G$2503,$A979,入库单!$X$4:$X$2503,"盘盈",入库单!$C$4:$C$2503,"&gt;="&amp;账期起,入库单!$C$4:$C$2503,"&lt;="&amp;账期止)+COUNTIFS(出库单!$D$4:$D$4003,$A979,出库单!$K$4:$K$4003,"盘亏",出库单!$C$4:$C$4003,"&gt;="&amp;账期起,出库单!$C$4:$C$4003,"&lt;="&amp;账期止)&gt;0,"已调账","※差异还没调账")))</f>
        <v/>
      </c>
      <c r="Q979" s="17" t="n"/>
      <c r="R979" s="17" t="n"/>
    </row>
    <row r="980">
      <c r="A980" s="24">
        <f>IF(库存台账!$A980="","",库存台账!$A980)</f>
        <v/>
      </c>
      <c r="B980" s="24">
        <f>IF($A980="","",库存台账!$B980)</f>
        <v/>
      </c>
      <c r="C980" s="24">
        <f>IF($A980="","",库存台账!$C980)</f>
        <v/>
      </c>
      <c r="D980" s="24">
        <f>IF($A980="","",库存台账!$D980)</f>
        <v/>
      </c>
      <c r="E980" s="24">
        <f>IF($A980="","",库存台账!$E980)</f>
        <v/>
      </c>
      <c r="F980" s="24">
        <f>IF($A980="","",库存台账!$F980)</f>
        <v/>
      </c>
      <c r="G980" s="17" t="n"/>
      <c r="H980" s="23" t="n"/>
      <c r="I980" s="27">
        <f>IF($A980="","",库存台账!$X980)</f>
        <v/>
      </c>
      <c r="J980" s="27">
        <f>IF(OR($A980="",$H980=""),"",ROUND($H980-$I980,3))</f>
        <v/>
      </c>
      <c r="K980" s="26">
        <f>IF($A980="","",库存台账!$K980)</f>
        <v/>
      </c>
      <c r="L980" s="26">
        <f>IF($J980="","",ROUND($J980*$K980,0))</f>
        <v/>
      </c>
      <c r="M980" s="37">
        <f>IF(OR($J980="",$I980=0),"",ROUND($J980/$I980,4))</f>
        <v/>
      </c>
      <c r="N980" s="17" t="n"/>
      <c r="O980" s="17" t="n"/>
      <c r="P980" s="24">
        <f>IF($J980="","未盘",IF(ROUND($J980,3)=0,"账实相符",IF(COUNTIFS(入库单!$G$4:$G$2503,$A980,入库单!$X$4:$X$2503,"盘盈",入库单!$C$4:$C$2503,"&gt;="&amp;账期起,入库单!$C$4:$C$2503,"&lt;="&amp;账期止)+COUNTIFS(出库单!$D$4:$D$4003,$A980,出库单!$K$4:$K$4003,"盘亏",出库单!$C$4:$C$4003,"&gt;="&amp;账期起,出库单!$C$4:$C$4003,"&lt;="&amp;账期止)&gt;0,"已调账","※差异还没调账")))</f>
        <v/>
      </c>
      <c r="Q980" s="17" t="n"/>
      <c r="R980" s="17" t="n"/>
    </row>
    <row r="981">
      <c r="A981" s="24">
        <f>IF(库存台账!$A981="","",库存台账!$A981)</f>
        <v/>
      </c>
      <c r="B981" s="24">
        <f>IF($A981="","",库存台账!$B981)</f>
        <v/>
      </c>
      <c r="C981" s="24">
        <f>IF($A981="","",库存台账!$C981)</f>
        <v/>
      </c>
      <c r="D981" s="24">
        <f>IF($A981="","",库存台账!$D981)</f>
        <v/>
      </c>
      <c r="E981" s="24">
        <f>IF($A981="","",库存台账!$E981)</f>
        <v/>
      </c>
      <c r="F981" s="24">
        <f>IF($A981="","",库存台账!$F981)</f>
        <v/>
      </c>
      <c r="G981" s="17" t="n"/>
      <c r="H981" s="23" t="n"/>
      <c r="I981" s="27">
        <f>IF($A981="","",库存台账!$X981)</f>
        <v/>
      </c>
      <c r="J981" s="27">
        <f>IF(OR($A981="",$H981=""),"",ROUND($H981-$I981,3))</f>
        <v/>
      </c>
      <c r="K981" s="26">
        <f>IF($A981="","",库存台账!$K981)</f>
        <v/>
      </c>
      <c r="L981" s="26">
        <f>IF($J981="","",ROUND($J981*$K981,0))</f>
        <v/>
      </c>
      <c r="M981" s="37">
        <f>IF(OR($J981="",$I981=0),"",ROUND($J981/$I981,4))</f>
        <v/>
      </c>
      <c r="N981" s="17" t="n"/>
      <c r="O981" s="17" t="n"/>
      <c r="P981" s="24">
        <f>IF($J981="","未盘",IF(ROUND($J981,3)=0,"账实相符",IF(COUNTIFS(入库单!$G$4:$G$2503,$A981,入库单!$X$4:$X$2503,"盘盈",入库单!$C$4:$C$2503,"&gt;="&amp;账期起,入库单!$C$4:$C$2503,"&lt;="&amp;账期止)+COUNTIFS(出库单!$D$4:$D$4003,$A981,出库单!$K$4:$K$4003,"盘亏",出库单!$C$4:$C$4003,"&gt;="&amp;账期起,出库单!$C$4:$C$4003,"&lt;="&amp;账期止)&gt;0,"已调账","※差异还没调账")))</f>
        <v/>
      </c>
      <c r="Q981" s="17" t="n"/>
      <c r="R981" s="17" t="n"/>
    </row>
    <row r="982">
      <c r="A982" s="24">
        <f>IF(库存台账!$A982="","",库存台账!$A982)</f>
        <v/>
      </c>
      <c r="B982" s="24">
        <f>IF($A982="","",库存台账!$B982)</f>
        <v/>
      </c>
      <c r="C982" s="24">
        <f>IF($A982="","",库存台账!$C982)</f>
        <v/>
      </c>
      <c r="D982" s="24">
        <f>IF($A982="","",库存台账!$D982)</f>
        <v/>
      </c>
      <c r="E982" s="24">
        <f>IF($A982="","",库存台账!$E982)</f>
        <v/>
      </c>
      <c r="F982" s="24">
        <f>IF($A982="","",库存台账!$F982)</f>
        <v/>
      </c>
      <c r="G982" s="17" t="n"/>
      <c r="H982" s="23" t="n"/>
      <c r="I982" s="27">
        <f>IF($A982="","",库存台账!$X982)</f>
        <v/>
      </c>
      <c r="J982" s="27">
        <f>IF(OR($A982="",$H982=""),"",ROUND($H982-$I982,3))</f>
        <v/>
      </c>
      <c r="K982" s="26">
        <f>IF($A982="","",库存台账!$K982)</f>
        <v/>
      </c>
      <c r="L982" s="26">
        <f>IF($J982="","",ROUND($J982*$K982,0))</f>
        <v/>
      </c>
      <c r="M982" s="37">
        <f>IF(OR($J982="",$I982=0),"",ROUND($J982/$I982,4))</f>
        <v/>
      </c>
      <c r="N982" s="17" t="n"/>
      <c r="O982" s="17" t="n"/>
      <c r="P982" s="24">
        <f>IF($J982="","未盘",IF(ROUND($J982,3)=0,"账实相符",IF(COUNTIFS(入库单!$G$4:$G$2503,$A982,入库单!$X$4:$X$2503,"盘盈",入库单!$C$4:$C$2503,"&gt;="&amp;账期起,入库单!$C$4:$C$2503,"&lt;="&amp;账期止)+COUNTIFS(出库单!$D$4:$D$4003,$A982,出库单!$K$4:$K$4003,"盘亏",出库单!$C$4:$C$4003,"&gt;="&amp;账期起,出库单!$C$4:$C$4003,"&lt;="&amp;账期止)&gt;0,"已调账","※差异还没调账")))</f>
        <v/>
      </c>
      <c r="Q982" s="17" t="n"/>
      <c r="R982" s="17" t="n"/>
    </row>
    <row r="983">
      <c r="A983" s="24">
        <f>IF(库存台账!$A983="","",库存台账!$A983)</f>
        <v/>
      </c>
      <c r="B983" s="24">
        <f>IF($A983="","",库存台账!$B983)</f>
        <v/>
      </c>
      <c r="C983" s="24">
        <f>IF($A983="","",库存台账!$C983)</f>
        <v/>
      </c>
      <c r="D983" s="24">
        <f>IF($A983="","",库存台账!$D983)</f>
        <v/>
      </c>
      <c r="E983" s="24">
        <f>IF($A983="","",库存台账!$E983)</f>
        <v/>
      </c>
      <c r="F983" s="24">
        <f>IF($A983="","",库存台账!$F983)</f>
        <v/>
      </c>
      <c r="G983" s="17" t="n"/>
      <c r="H983" s="23" t="n"/>
      <c r="I983" s="27">
        <f>IF($A983="","",库存台账!$X983)</f>
        <v/>
      </c>
      <c r="J983" s="27">
        <f>IF(OR($A983="",$H983=""),"",ROUND($H983-$I983,3))</f>
        <v/>
      </c>
      <c r="K983" s="26">
        <f>IF($A983="","",库存台账!$K983)</f>
        <v/>
      </c>
      <c r="L983" s="26">
        <f>IF($J983="","",ROUND($J983*$K983,0))</f>
        <v/>
      </c>
      <c r="M983" s="37">
        <f>IF(OR($J983="",$I983=0),"",ROUND($J983/$I983,4))</f>
        <v/>
      </c>
      <c r="N983" s="17" t="n"/>
      <c r="O983" s="17" t="n"/>
      <c r="P983" s="24">
        <f>IF($J983="","未盘",IF(ROUND($J983,3)=0,"账实相符",IF(COUNTIFS(入库单!$G$4:$G$2503,$A983,入库单!$X$4:$X$2503,"盘盈",入库单!$C$4:$C$2503,"&gt;="&amp;账期起,入库单!$C$4:$C$2503,"&lt;="&amp;账期止)+COUNTIFS(出库单!$D$4:$D$4003,$A983,出库单!$K$4:$K$4003,"盘亏",出库单!$C$4:$C$4003,"&gt;="&amp;账期起,出库单!$C$4:$C$4003,"&lt;="&amp;账期止)&gt;0,"已调账","※差异还没调账")))</f>
        <v/>
      </c>
      <c r="Q983" s="17" t="n"/>
      <c r="R983" s="17" t="n"/>
    </row>
    <row r="984">
      <c r="A984" s="24">
        <f>IF(库存台账!$A984="","",库存台账!$A984)</f>
        <v/>
      </c>
      <c r="B984" s="24">
        <f>IF($A984="","",库存台账!$B984)</f>
        <v/>
      </c>
      <c r="C984" s="24">
        <f>IF($A984="","",库存台账!$C984)</f>
        <v/>
      </c>
      <c r="D984" s="24">
        <f>IF($A984="","",库存台账!$D984)</f>
        <v/>
      </c>
      <c r="E984" s="24">
        <f>IF($A984="","",库存台账!$E984)</f>
        <v/>
      </c>
      <c r="F984" s="24">
        <f>IF($A984="","",库存台账!$F984)</f>
        <v/>
      </c>
      <c r="G984" s="17" t="n"/>
      <c r="H984" s="23" t="n"/>
      <c r="I984" s="27">
        <f>IF($A984="","",库存台账!$X984)</f>
        <v/>
      </c>
      <c r="J984" s="27">
        <f>IF(OR($A984="",$H984=""),"",ROUND($H984-$I984,3))</f>
        <v/>
      </c>
      <c r="K984" s="26">
        <f>IF($A984="","",库存台账!$K984)</f>
        <v/>
      </c>
      <c r="L984" s="26">
        <f>IF($J984="","",ROUND($J984*$K984,0))</f>
        <v/>
      </c>
      <c r="M984" s="37">
        <f>IF(OR($J984="",$I984=0),"",ROUND($J984/$I984,4))</f>
        <v/>
      </c>
      <c r="N984" s="17" t="n"/>
      <c r="O984" s="17" t="n"/>
      <c r="P984" s="24">
        <f>IF($J984="","未盘",IF(ROUND($J984,3)=0,"账实相符",IF(COUNTIFS(入库单!$G$4:$G$2503,$A984,入库单!$X$4:$X$2503,"盘盈",入库单!$C$4:$C$2503,"&gt;="&amp;账期起,入库单!$C$4:$C$2503,"&lt;="&amp;账期止)+COUNTIFS(出库单!$D$4:$D$4003,$A984,出库单!$K$4:$K$4003,"盘亏",出库单!$C$4:$C$4003,"&gt;="&amp;账期起,出库单!$C$4:$C$4003,"&lt;="&amp;账期止)&gt;0,"已调账","※差异还没调账")))</f>
        <v/>
      </c>
      <c r="Q984" s="17" t="n"/>
      <c r="R984" s="17" t="n"/>
    </row>
    <row r="985">
      <c r="A985" s="24">
        <f>IF(库存台账!$A985="","",库存台账!$A985)</f>
        <v/>
      </c>
      <c r="B985" s="24">
        <f>IF($A985="","",库存台账!$B985)</f>
        <v/>
      </c>
      <c r="C985" s="24">
        <f>IF($A985="","",库存台账!$C985)</f>
        <v/>
      </c>
      <c r="D985" s="24">
        <f>IF($A985="","",库存台账!$D985)</f>
        <v/>
      </c>
      <c r="E985" s="24">
        <f>IF($A985="","",库存台账!$E985)</f>
        <v/>
      </c>
      <c r="F985" s="24">
        <f>IF($A985="","",库存台账!$F985)</f>
        <v/>
      </c>
      <c r="G985" s="17" t="n"/>
      <c r="H985" s="23" t="n"/>
      <c r="I985" s="27">
        <f>IF($A985="","",库存台账!$X985)</f>
        <v/>
      </c>
      <c r="J985" s="27">
        <f>IF(OR($A985="",$H985=""),"",ROUND($H985-$I985,3))</f>
        <v/>
      </c>
      <c r="K985" s="26">
        <f>IF($A985="","",库存台账!$K985)</f>
        <v/>
      </c>
      <c r="L985" s="26">
        <f>IF($J985="","",ROUND($J985*$K985,0))</f>
        <v/>
      </c>
      <c r="M985" s="37">
        <f>IF(OR($J985="",$I985=0),"",ROUND($J985/$I985,4))</f>
        <v/>
      </c>
      <c r="N985" s="17" t="n"/>
      <c r="O985" s="17" t="n"/>
      <c r="P985" s="24">
        <f>IF($J985="","未盘",IF(ROUND($J985,3)=0,"账实相符",IF(COUNTIFS(入库单!$G$4:$G$2503,$A985,入库单!$X$4:$X$2503,"盘盈",入库单!$C$4:$C$2503,"&gt;="&amp;账期起,入库单!$C$4:$C$2503,"&lt;="&amp;账期止)+COUNTIFS(出库单!$D$4:$D$4003,$A985,出库单!$K$4:$K$4003,"盘亏",出库单!$C$4:$C$4003,"&gt;="&amp;账期起,出库单!$C$4:$C$4003,"&lt;="&amp;账期止)&gt;0,"已调账","※差异还没调账")))</f>
        <v/>
      </c>
      <c r="Q985" s="17" t="n"/>
      <c r="R985" s="17" t="n"/>
    </row>
    <row r="986">
      <c r="A986" s="24">
        <f>IF(库存台账!$A986="","",库存台账!$A986)</f>
        <v/>
      </c>
      <c r="B986" s="24">
        <f>IF($A986="","",库存台账!$B986)</f>
        <v/>
      </c>
      <c r="C986" s="24">
        <f>IF($A986="","",库存台账!$C986)</f>
        <v/>
      </c>
      <c r="D986" s="24">
        <f>IF($A986="","",库存台账!$D986)</f>
        <v/>
      </c>
      <c r="E986" s="24">
        <f>IF($A986="","",库存台账!$E986)</f>
        <v/>
      </c>
      <c r="F986" s="24">
        <f>IF($A986="","",库存台账!$F986)</f>
        <v/>
      </c>
      <c r="G986" s="17" t="n"/>
      <c r="H986" s="23" t="n"/>
      <c r="I986" s="27">
        <f>IF($A986="","",库存台账!$X986)</f>
        <v/>
      </c>
      <c r="J986" s="27">
        <f>IF(OR($A986="",$H986=""),"",ROUND($H986-$I986,3))</f>
        <v/>
      </c>
      <c r="K986" s="26">
        <f>IF($A986="","",库存台账!$K986)</f>
        <v/>
      </c>
      <c r="L986" s="26">
        <f>IF($J986="","",ROUND($J986*$K986,0))</f>
        <v/>
      </c>
      <c r="M986" s="37">
        <f>IF(OR($J986="",$I986=0),"",ROUND($J986/$I986,4))</f>
        <v/>
      </c>
      <c r="N986" s="17" t="n"/>
      <c r="O986" s="17" t="n"/>
      <c r="P986" s="24">
        <f>IF($J986="","未盘",IF(ROUND($J986,3)=0,"账实相符",IF(COUNTIFS(入库单!$G$4:$G$2503,$A986,入库单!$X$4:$X$2503,"盘盈",入库单!$C$4:$C$2503,"&gt;="&amp;账期起,入库单!$C$4:$C$2503,"&lt;="&amp;账期止)+COUNTIFS(出库单!$D$4:$D$4003,$A986,出库单!$K$4:$K$4003,"盘亏",出库单!$C$4:$C$4003,"&gt;="&amp;账期起,出库单!$C$4:$C$4003,"&lt;="&amp;账期止)&gt;0,"已调账","※差异还没调账")))</f>
        <v/>
      </c>
      <c r="Q986" s="17" t="n"/>
      <c r="R986" s="17" t="n"/>
    </row>
    <row r="987">
      <c r="A987" s="24">
        <f>IF(库存台账!$A987="","",库存台账!$A987)</f>
        <v/>
      </c>
      <c r="B987" s="24">
        <f>IF($A987="","",库存台账!$B987)</f>
        <v/>
      </c>
      <c r="C987" s="24">
        <f>IF($A987="","",库存台账!$C987)</f>
        <v/>
      </c>
      <c r="D987" s="24">
        <f>IF($A987="","",库存台账!$D987)</f>
        <v/>
      </c>
      <c r="E987" s="24">
        <f>IF($A987="","",库存台账!$E987)</f>
        <v/>
      </c>
      <c r="F987" s="24">
        <f>IF($A987="","",库存台账!$F987)</f>
        <v/>
      </c>
      <c r="G987" s="17" t="n"/>
      <c r="H987" s="23" t="n"/>
      <c r="I987" s="27">
        <f>IF($A987="","",库存台账!$X987)</f>
        <v/>
      </c>
      <c r="J987" s="27">
        <f>IF(OR($A987="",$H987=""),"",ROUND($H987-$I987,3))</f>
        <v/>
      </c>
      <c r="K987" s="26">
        <f>IF($A987="","",库存台账!$K987)</f>
        <v/>
      </c>
      <c r="L987" s="26">
        <f>IF($J987="","",ROUND($J987*$K987,0))</f>
        <v/>
      </c>
      <c r="M987" s="37">
        <f>IF(OR($J987="",$I987=0),"",ROUND($J987/$I987,4))</f>
        <v/>
      </c>
      <c r="N987" s="17" t="n"/>
      <c r="O987" s="17" t="n"/>
      <c r="P987" s="24">
        <f>IF($J987="","未盘",IF(ROUND($J987,3)=0,"账实相符",IF(COUNTIFS(入库单!$G$4:$G$2503,$A987,入库单!$X$4:$X$2503,"盘盈",入库单!$C$4:$C$2503,"&gt;="&amp;账期起,入库单!$C$4:$C$2503,"&lt;="&amp;账期止)+COUNTIFS(出库单!$D$4:$D$4003,$A987,出库单!$K$4:$K$4003,"盘亏",出库单!$C$4:$C$4003,"&gt;="&amp;账期起,出库单!$C$4:$C$4003,"&lt;="&amp;账期止)&gt;0,"已调账","※差异还没调账")))</f>
        <v/>
      </c>
      <c r="Q987" s="17" t="n"/>
      <c r="R987" s="17" t="n"/>
    </row>
    <row r="988">
      <c r="A988" s="24">
        <f>IF(库存台账!$A988="","",库存台账!$A988)</f>
        <v/>
      </c>
      <c r="B988" s="24">
        <f>IF($A988="","",库存台账!$B988)</f>
        <v/>
      </c>
      <c r="C988" s="24">
        <f>IF($A988="","",库存台账!$C988)</f>
        <v/>
      </c>
      <c r="D988" s="24">
        <f>IF($A988="","",库存台账!$D988)</f>
        <v/>
      </c>
      <c r="E988" s="24">
        <f>IF($A988="","",库存台账!$E988)</f>
        <v/>
      </c>
      <c r="F988" s="24">
        <f>IF($A988="","",库存台账!$F988)</f>
        <v/>
      </c>
      <c r="G988" s="17" t="n"/>
      <c r="H988" s="23" t="n"/>
      <c r="I988" s="27">
        <f>IF($A988="","",库存台账!$X988)</f>
        <v/>
      </c>
      <c r="J988" s="27">
        <f>IF(OR($A988="",$H988=""),"",ROUND($H988-$I988,3))</f>
        <v/>
      </c>
      <c r="K988" s="26">
        <f>IF($A988="","",库存台账!$K988)</f>
        <v/>
      </c>
      <c r="L988" s="26">
        <f>IF($J988="","",ROUND($J988*$K988,0))</f>
        <v/>
      </c>
      <c r="M988" s="37">
        <f>IF(OR($J988="",$I988=0),"",ROUND($J988/$I988,4))</f>
        <v/>
      </c>
      <c r="N988" s="17" t="n"/>
      <c r="O988" s="17" t="n"/>
      <c r="P988" s="24">
        <f>IF($J988="","未盘",IF(ROUND($J988,3)=0,"账实相符",IF(COUNTIFS(入库单!$G$4:$G$2503,$A988,入库单!$X$4:$X$2503,"盘盈",入库单!$C$4:$C$2503,"&gt;="&amp;账期起,入库单!$C$4:$C$2503,"&lt;="&amp;账期止)+COUNTIFS(出库单!$D$4:$D$4003,$A988,出库单!$K$4:$K$4003,"盘亏",出库单!$C$4:$C$4003,"&gt;="&amp;账期起,出库单!$C$4:$C$4003,"&lt;="&amp;账期止)&gt;0,"已调账","※差异还没调账")))</f>
        <v/>
      </c>
      <c r="Q988" s="17" t="n"/>
      <c r="R988" s="17" t="n"/>
    </row>
    <row r="989">
      <c r="A989" s="24">
        <f>IF(库存台账!$A989="","",库存台账!$A989)</f>
        <v/>
      </c>
      <c r="B989" s="24">
        <f>IF($A989="","",库存台账!$B989)</f>
        <v/>
      </c>
      <c r="C989" s="24">
        <f>IF($A989="","",库存台账!$C989)</f>
        <v/>
      </c>
      <c r="D989" s="24">
        <f>IF($A989="","",库存台账!$D989)</f>
        <v/>
      </c>
      <c r="E989" s="24">
        <f>IF($A989="","",库存台账!$E989)</f>
        <v/>
      </c>
      <c r="F989" s="24">
        <f>IF($A989="","",库存台账!$F989)</f>
        <v/>
      </c>
      <c r="G989" s="17" t="n"/>
      <c r="H989" s="23" t="n"/>
      <c r="I989" s="27">
        <f>IF($A989="","",库存台账!$X989)</f>
        <v/>
      </c>
      <c r="J989" s="27">
        <f>IF(OR($A989="",$H989=""),"",ROUND($H989-$I989,3))</f>
        <v/>
      </c>
      <c r="K989" s="26">
        <f>IF($A989="","",库存台账!$K989)</f>
        <v/>
      </c>
      <c r="L989" s="26">
        <f>IF($J989="","",ROUND($J989*$K989,0))</f>
        <v/>
      </c>
      <c r="M989" s="37">
        <f>IF(OR($J989="",$I989=0),"",ROUND($J989/$I989,4))</f>
        <v/>
      </c>
      <c r="N989" s="17" t="n"/>
      <c r="O989" s="17" t="n"/>
      <c r="P989" s="24">
        <f>IF($J989="","未盘",IF(ROUND($J989,3)=0,"账实相符",IF(COUNTIFS(入库单!$G$4:$G$2503,$A989,入库单!$X$4:$X$2503,"盘盈",入库单!$C$4:$C$2503,"&gt;="&amp;账期起,入库单!$C$4:$C$2503,"&lt;="&amp;账期止)+COUNTIFS(出库单!$D$4:$D$4003,$A989,出库单!$K$4:$K$4003,"盘亏",出库单!$C$4:$C$4003,"&gt;="&amp;账期起,出库单!$C$4:$C$4003,"&lt;="&amp;账期止)&gt;0,"已调账","※差异还没调账")))</f>
        <v/>
      </c>
      <c r="Q989" s="17" t="n"/>
      <c r="R989" s="17" t="n"/>
    </row>
    <row r="990">
      <c r="A990" s="24">
        <f>IF(库存台账!$A990="","",库存台账!$A990)</f>
        <v/>
      </c>
      <c r="B990" s="24">
        <f>IF($A990="","",库存台账!$B990)</f>
        <v/>
      </c>
      <c r="C990" s="24">
        <f>IF($A990="","",库存台账!$C990)</f>
        <v/>
      </c>
      <c r="D990" s="24">
        <f>IF($A990="","",库存台账!$D990)</f>
        <v/>
      </c>
      <c r="E990" s="24">
        <f>IF($A990="","",库存台账!$E990)</f>
        <v/>
      </c>
      <c r="F990" s="24">
        <f>IF($A990="","",库存台账!$F990)</f>
        <v/>
      </c>
      <c r="G990" s="17" t="n"/>
      <c r="H990" s="23" t="n"/>
      <c r="I990" s="27">
        <f>IF($A990="","",库存台账!$X990)</f>
        <v/>
      </c>
      <c r="J990" s="27">
        <f>IF(OR($A990="",$H990=""),"",ROUND($H990-$I990,3))</f>
        <v/>
      </c>
      <c r="K990" s="26">
        <f>IF($A990="","",库存台账!$K990)</f>
        <v/>
      </c>
      <c r="L990" s="26">
        <f>IF($J990="","",ROUND($J990*$K990,0))</f>
        <v/>
      </c>
      <c r="M990" s="37">
        <f>IF(OR($J990="",$I990=0),"",ROUND($J990/$I990,4))</f>
        <v/>
      </c>
      <c r="N990" s="17" t="n"/>
      <c r="O990" s="17" t="n"/>
      <c r="P990" s="24">
        <f>IF($J990="","未盘",IF(ROUND($J990,3)=0,"账实相符",IF(COUNTIFS(入库单!$G$4:$G$2503,$A990,入库单!$X$4:$X$2503,"盘盈",入库单!$C$4:$C$2503,"&gt;="&amp;账期起,入库单!$C$4:$C$2503,"&lt;="&amp;账期止)+COUNTIFS(出库单!$D$4:$D$4003,$A990,出库单!$K$4:$K$4003,"盘亏",出库单!$C$4:$C$4003,"&gt;="&amp;账期起,出库单!$C$4:$C$4003,"&lt;="&amp;账期止)&gt;0,"已调账","※差异还没调账")))</f>
        <v/>
      </c>
      <c r="Q990" s="17" t="n"/>
      <c r="R990" s="17" t="n"/>
    </row>
    <row r="991">
      <c r="A991" s="24">
        <f>IF(库存台账!$A991="","",库存台账!$A991)</f>
        <v/>
      </c>
      <c r="B991" s="24">
        <f>IF($A991="","",库存台账!$B991)</f>
        <v/>
      </c>
      <c r="C991" s="24">
        <f>IF($A991="","",库存台账!$C991)</f>
        <v/>
      </c>
      <c r="D991" s="24">
        <f>IF($A991="","",库存台账!$D991)</f>
        <v/>
      </c>
      <c r="E991" s="24">
        <f>IF($A991="","",库存台账!$E991)</f>
        <v/>
      </c>
      <c r="F991" s="24">
        <f>IF($A991="","",库存台账!$F991)</f>
        <v/>
      </c>
      <c r="G991" s="17" t="n"/>
      <c r="H991" s="23" t="n"/>
      <c r="I991" s="27">
        <f>IF($A991="","",库存台账!$X991)</f>
        <v/>
      </c>
      <c r="J991" s="27">
        <f>IF(OR($A991="",$H991=""),"",ROUND($H991-$I991,3))</f>
        <v/>
      </c>
      <c r="K991" s="26">
        <f>IF($A991="","",库存台账!$K991)</f>
        <v/>
      </c>
      <c r="L991" s="26">
        <f>IF($J991="","",ROUND($J991*$K991,0))</f>
        <v/>
      </c>
      <c r="M991" s="37">
        <f>IF(OR($J991="",$I991=0),"",ROUND($J991/$I991,4))</f>
        <v/>
      </c>
      <c r="N991" s="17" t="n"/>
      <c r="O991" s="17" t="n"/>
      <c r="P991" s="24">
        <f>IF($J991="","未盘",IF(ROUND($J991,3)=0,"账实相符",IF(COUNTIFS(入库单!$G$4:$G$2503,$A991,入库单!$X$4:$X$2503,"盘盈",入库单!$C$4:$C$2503,"&gt;="&amp;账期起,入库单!$C$4:$C$2503,"&lt;="&amp;账期止)+COUNTIFS(出库单!$D$4:$D$4003,$A991,出库单!$K$4:$K$4003,"盘亏",出库单!$C$4:$C$4003,"&gt;="&amp;账期起,出库单!$C$4:$C$4003,"&lt;="&amp;账期止)&gt;0,"已调账","※差异还没调账")))</f>
        <v/>
      </c>
      <c r="Q991" s="17" t="n"/>
      <c r="R991" s="17" t="n"/>
    </row>
    <row r="992">
      <c r="A992" s="24">
        <f>IF(库存台账!$A992="","",库存台账!$A992)</f>
        <v/>
      </c>
      <c r="B992" s="24">
        <f>IF($A992="","",库存台账!$B992)</f>
        <v/>
      </c>
      <c r="C992" s="24">
        <f>IF($A992="","",库存台账!$C992)</f>
        <v/>
      </c>
      <c r="D992" s="24">
        <f>IF($A992="","",库存台账!$D992)</f>
        <v/>
      </c>
      <c r="E992" s="24">
        <f>IF($A992="","",库存台账!$E992)</f>
        <v/>
      </c>
      <c r="F992" s="24">
        <f>IF($A992="","",库存台账!$F992)</f>
        <v/>
      </c>
      <c r="G992" s="17" t="n"/>
      <c r="H992" s="23" t="n"/>
      <c r="I992" s="27">
        <f>IF($A992="","",库存台账!$X992)</f>
        <v/>
      </c>
      <c r="J992" s="27">
        <f>IF(OR($A992="",$H992=""),"",ROUND($H992-$I992,3))</f>
        <v/>
      </c>
      <c r="K992" s="26">
        <f>IF($A992="","",库存台账!$K992)</f>
        <v/>
      </c>
      <c r="L992" s="26">
        <f>IF($J992="","",ROUND($J992*$K992,0))</f>
        <v/>
      </c>
      <c r="M992" s="37">
        <f>IF(OR($J992="",$I992=0),"",ROUND($J992/$I992,4))</f>
        <v/>
      </c>
      <c r="N992" s="17" t="n"/>
      <c r="O992" s="17" t="n"/>
      <c r="P992" s="24">
        <f>IF($J992="","未盘",IF(ROUND($J992,3)=0,"账实相符",IF(COUNTIFS(入库单!$G$4:$G$2503,$A992,入库单!$X$4:$X$2503,"盘盈",入库单!$C$4:$C$2503,"&gt;="&amp;账期起,入库单!$C$4:$C$2503,"&lt;="&amp;账期止)+COUNTIFS(出库单!$D$4:$D$4003,$A992,出库单!$K$4:$K$4003,"盘亏",出库单!$C$4:$C$4003,"&gt;="&amp;账期起,出库单!$C$4:$C$4003,"&lt;="&amp;账期止)&gt;0,"已调账","※差异还没调账")))</f>
        <v/>
      </c>
      <c r="Q992" s="17" t="n"/>
      <c r="R992" s="17" t="n"/>
    </row>
    <row r="993">
      <c r="A993" s="24">
        <f>IF(库存台账!$A993="","",库存台账!$A993)</f>
        <v/>
      </c>
      <c r="B993" s="24">
        <f>IF($A993="","",库存台账!$B993)</f>
        <v/>
      </c>
      <c r="C993" s="24">
        <f>IF($A993="","",库存台账!$C993)</f>
        <v/>
      </c>
      <c r="D993" s="24">
        <f>IF($A993="","",库存台账!$D993)</f>
        <v/>
      </c>
      <c r="E993" s="24">
        <f>IF($A993="","",库存台账!$E993)</f>
        <v/>
      </c>
      <c r="F993" s="24">
        <f>IF($A993="","",库存台账!$F993)</f>
        <v/>
      </c>
      <c r="G993" s="17" t="n"/>
      <c r="H993" s="23" t="n"/>
      <c r="I993" s="27">
        <f>IF($A993="","",库存台账!$X993)</f>
        <v/>
      </c>
      <c r="J993" s="27">
        <f>IF(OR($A993="",$H993=""),"",ROUND($H993-$I993,3))</f>
        <v/>
      </c>
      <c r="K993" s="26">
        <f>IF($A993="","",库存台账!$K993)</f>
        <v/>
      </c>
      <c r="L993" s="26">
        <f>IF($J993="","",ROUND($J993*$K993,0))</f>
        <v/>
      </c>
      <c r="M993" s="37">
        <f>IF(OR($J993="",$I993=0),"",ROUND($J993/$I993,4))</f>
        <v/>
      </c>
      <c r="N993" s="17" t="n"/>
      <c r="O993" s="17" t="n"/>
      <c r="P993" s="24">
        <f>IF($J993="","未盘",IF(ROUND($J993,3)=0,"账实相符",IF(COUNTIFS(入库单!$G$4:$G$2503,$A993,入库单!$X$4:$X$2503,"盘盈",入库单!$C$4:$C$2503,"&gt;="&amp;账期起,入库单!$C$4:$C$2503,"&lt;="&amp;账期止)+COUNTIFS(出库单!$D$4:$D$4003,$A993,出库单!$K$4:$K$4003,"盘亏",出库单!$C$4:$C$4003,"&gt;="&amp;账期起,出库单!$C$4:$C$4003,"&lt;="&amp;账期止)&gt;0,"已调账","※差异还没调账")))</f>
        <v/>
      </c>
      <c r="Q993" s="17" t="n"/>
      <c r="R993" s="17" t="n"/>
    </row>
    <row r="994">
      <c r="A994" s="24">
        <f>IF(库存台账!$A994="","",库存台账!$A994)</f>
        <v/>
      </c>
      <c r="B994" s="24">
        <f>IF($A994="","",库存台账!$B994)</f>
        <v/>
      </c>
      <c r="C994" s="24">
        <f>IF($A994="","",库存台账!$C994)</f>
        <v/>
      </c>
      <c r="D994" s="24">
        <f>IF($A994="","",库存台账!$D994)</f>
        <v/>
      </c>
      <c r="E994" s="24">
        <f>IF($A994="","",库存台账!$E994)</f>
        <v/>
      </c>
      <c r="F994" s="24">
        <f>IF($A994="","",库存台账!$F994)</f>
        <v/>
      </c>
      <c r="G994" s="17" t="n"/>
      <c r="H994" s="23" t="n"/>
      <c r="I994" s="27">
        <f>IF($A994="","",库存台账!$X994)</f>
        <v/>
      </c>
      <c r="J994" s="27">
        <f>IF(OR($A994="",$H994=""),"",ROUND($H994-$I994,3))</f>
        <v/>
      </c>
      <c r="K994" s="26">
        <f>IF($A994="","",库存台账!$K994)</f>
        <v/>
      </c>
      <c r="L994" s="26">
        <f>IF($J994="","",ROUND($J994*$K994,0))</f>
        <v/>
      </c>
      <c r="M994" s="37">
        <f>IF(OR($J994="",$I994=0),"",ROUND($J994/$I994,4))</f>
        <v/>
      </c>
      <c r="N994" s="17" t="n"/>
      <c r="O994" s="17" t="n"/>
      <c r="P994" s="24">
        <f>IF($J994="","未盘",IF(ROUND($J994,3)=0,"账实相符",IF(COUNTIFS(入库单!$G$4:$G$2503,$A994,入库单!$X$4:$X$2503,"盘盈",入库单!$C$4:$C$2503,"&gt;="&amp;账期起,入库单!$C$4:$C$2503,"&lt;="&amp;账期止)+COUNTIFS(出库单!$D$4:$D$4003,$A994,出库单!$K$4:$K$4003,"盘亏",出库单!$C$4:$C$4003,"&gt;="&amp;账期起,出库单!$C$4:$C$4003,"&lt;="&amp;账期止)&gt;0,"已调账","※差异还没调账")))</f>
        <v/>
      </c>
      <c r="Q994" s="17" t="n"/>
      <c r="R994" s="17" t="n"/>
    </row>
    <row r="995">
      <c r="A995" s="24">
        <f>IF(库存台账!$A995="","",库存台账!$A995)</f>
        <v/>
      </c>
      <c r="B995" s="24">
        <f>IF($A995="","",库存台账!$B995)</f>
        <v/>
      </c>
      <c r="C995" s="24">
        <f>IF($A995="","",库存台账!$C995)</f>
        <v/>
      </c>
      <c r="D995" s="24">
        <f>IF($A995="","",库存台账!$D995)</f>
        <v/>
      </c>
      <c r="E995" s="24">
        <f>IF($A995="","",库存台账!$E995)</f>
        <v/>
      </c>
      <c r="F995" s="24">
        <f>IF($A995="","",库存台账!$F995)</f>
        <v/>
      </c>
      <c r="G995" s="17" t="n"/>
      <c r="H995" s="23" t="n"/>
      <c r="I995" s="27">
        <f>IF($A995="","",库存台账!$X995)</f>
        <v/>
      </c>
      <c r="J995" s="27">
        <f>IF(OR($A995="",$H995=""),"",ROUND($H995-$I995,3))</f>
        <v/>
      </c>
      <c r="K995" s="26">
        <f>IF($A995="","",库存台账!$K995)</f>
        <v/>
      </c>
      <c r="L995" s="26">
        <f>IF($J995="","",ROUND($J995*$K995,0))</f>
        <v/>
      </c>
      <c r="M995" s="37">
        <f>IF(OR($J995="",$I995=0),"",ROUND($J995/$I995,4))</f>
        <v/>
      </c>
      <c r="N995" s="17" t="n"/>
      <c r="O995" s="17" t="n"/>
      <c r="P995" s="24">
        <f>IF($J995="","未盘",IF(ROUND($J995,3)=0,"账实相符",IF(COUNTIFS(入库单!$G$4:$G$2503,$A995,入库单!$X$4:$X$2503,"盘盈",入库单!$C$4:$C$2503,"&gt;="&amp;账期起,入库单!$C$4:$C$2503,"&lt;="&amp;账期止)+COUNTIFS(出库单!$D$4:$D$4003,$A995,出库单!$K$4:$K$4003,"盘亏",出库单!$C$4:$C$4003,"&gt;="&amp;账期起,出库单!$C$4:$C$4003,"&lt;="&amp;账期止)&gt;0,"已调账","※差异还没调账")))</f>
        <v/>
      </c>
      <c r="Q995" s="17" t="n"/>
      <c r="R995" s="17" t="n"/>
    </row>
    <row r="996">
      <c r="A996" s="24">
        <f>IF(库存台账!$A996="","",库存台账!$A996)</f>
        <v/>
      </c>
      <c r="B996" s="24">
        <f>IF($A996="","",库存台账!$B996)</f>
        <v/>
      </c>
      <c r="C996" s="24">
        <f>IF($A996="","",库存台账!$C996)</f>
        <v/>
      </c>
      <c r="D996" s="24">
        <f>IF($A996="","",库存台账!$D996)</f>
        <v/>
      </c>
      <c r="E996" s="24">
        <f>IF($A996="","",库存台账!$E996)</f>
        <v/>
      </c>
      <c r="F996" s="24">
        <f>IF($A996="","",库存台账!$F996)</f>
        <v/>
      </c>
      <c r="G996" s="17" t="n"/>
      <c r="H996" s="23" t="n"/>
      <c r="I996" s="27">
        <f>IF($A996="","",库存台账!$X996)</f>
        <v/>
      </c>
      <c r="J996" s="27">
        <f>IF(OR($A996="",$H996=""),"",ROUND($H996-$I996,3))</f>
        <v/>
      </c>
      <c r="K996" s="26">
        <f>IF($A996="","",库存台账!$K996)</f>
        <v/>
      </c>
      <c r="L996" s="26">
        <f>IF($J996="","",ROUND($J996*$K996,0))</f>
        <v/>
      </c>
      <c r="M996" s="37">
        <f>IF(OR($J996="",$I996=0),"",ROUND($J996/$I996,4))</f>
        <v/>
      </c>
      <c r="N996" s="17" t="n"/>
      <c r="O996" s="17" t="n"/>
      <c r="P996" s="24">
        <f>IF($J996="","未盘",IF(ROUND($J996,3)=0,"账实相符",IF(COUNTIFS(入库单!$G$4:$G$2503,$A996,入库单!$X$4:$X$2503,"盘盈",入库单!$C$4:$C$2503,"&gt;="&amp;账期起,入库单!$C$4:$C$2503,"&lt;="&amp;账期止)+COUNTIFS(出库单!$D$4:$D$4003,$A996,出库单!$K$4:$K$4003,"盘亏",出库单!$C$4:$C$4003,"&gt;="&amp;账期起,出库单!$C$4:$C$4003,"&lt;="&amp;账期止)&gt;0,"已调账","※差异还没调账")))</f>
        <v/>
      </c>
      <c r="Q996" s="17" t="n"/>
      <c r="R996" s="17" t="n"/>
    </row>
    <row r="997">
      <c r="A997" s="24">
        <f>IF(库存台账!$A997="","",库存台账!$A997)</f>
        <v/>
      </c>
      <c r="B997" s="24">
        <f>IF($A997="","",库存台账!$B997)</f>
        <v/>
      </c>
      <c r="C997" s="24">
        <f>IF($A997="","",库存台账!$C997)</f>
        <v/>
      </c>
      <c r="D997" s="24">
        <f>IF($A997="","",库存台账!$D997)</f>
        <v/>
      </c>
      <c r="E997" s="24">
        <f>IF($A997="","",库存台账!$E997)</f>
        <v/>
      </c>
      <c r="F997" s="24">
        <f>IF($A997="","",库存台账!$F997)</f>
        <v/>
      </c>
      <c r="G997" s="17" t="n"/>
      <c r="H997" s="23" t="n"/>
      <c r="I997" s="27">
        <f>IF($A997="","",库存台账!$X997)</f>
        <v/>
      </c>
      <c r="J997" s="27">
        <f>IF(OR($A997="",$H997=""),"",ROUND($H997-$I997,3))</f>
        <v/>
      </c>
      <c r="K997" s="26">
        <f>IF($A997="","",库存台账!$K997)</f>
        <v/>
      </c>
      <c r="L997" s="26">
        <f>IF($J997="","",ROUND($J997*$K997,0))</f>
        <v/>
      </c>
      <c r="M997" s="37">
        <f>IF(OR($J997="",$I997=0),"",ROUND($J997/$I997,4))</f>
        <v/>
      </c>
      <c r="N997" s="17" t="n"/>
      <c r="O997" s="17" t="n"/>
      <c r="P997" s="24">
        <f>IF($J997="","未盘",IF(ROUND($J997,3)=0,"账实相符",IF(COUNTIFS(入库单!$G$4:$G$2503,$A997,入库单!$X$4:$X$2503,"盘盈",入库单!$C$4:$C$2503,"&gt;="&amp;账期起,入库单!$C$4:$C$2503,"&lt;="&amp;账期止)+COUNTIFS(出库单!$D$4:$D$4003,$A997,出库单!$K$4:$K$4003,"盘亏",出库单!$C$4:$C$4003,"&gt;="&amp;账期起,出库单!$C$4:$C$4003,"&lt;="&amp;账期止)&gt;0,"已调账","※差异还没调账")))</f>
        <v/>
      </c>
      <c r="Q997" s="17" t="n"/>
      <c r="R997" s="17" t="n"/>
    </row>
    <row r="998">
      <c r="A998" s="24">
        <f>IF(库存台账!$A998="","",库存台账!$A998)</f>
        <v/>
      </c>
      <c r="B998" s="24">
        <f>IF($A998="","",库存台账!$B998)</f>
        <v/>
      </c>
      <c r="C998" s="24">
        <f>IF($A998="","",库存台账!$C998)</f>
        <v/>
      </c>
      <c r="D998" s="24">
        <f>IF($A998="","",库存台账!$D998)</f>
        <v/>
      </c>
      <c r="E998" s="24">
        <f>IF($A998="","",库存台账!$E998)</f>
        <v/>
      </c>
      <c r="F998" s="24">
        <f>IF($A998="","",库存台账!$F998)</f>
        <v/>
      </c>
      <c r="G998" s="17" t="n"/>
      <c r="H998" s="23" t="n"/>
      <c r="I998" s="27">
        <f>IF($A998="","",库存台账!$X998)</f>
        <v/>
      </c>
      <c r="J998" s="27">
        <f>IF(OR($A998="",$H998=""),"",ROUND($H998-$I998,3))</f>
        <v/>
      </c>
      <c r="K998" s="26">
        <f>IF($A998="","",库存台账!$K998)</f>
        <v/>
      </c>
      <c r="L998" s="26">
        <f>IF($J998="","",ROUND($J998*$K998,0))</f>
        <v/>
      </c>
      <c r="M998" s="37">
        <f>IF(OR($J998="",$I998=0),"",ROUND($J998/$I998,4))</f>
        <v/>
      </c>
      <c r="N998" s="17" t="n"/>
      <c r="O998" s="17" t="n"/>
      <c r="P998" s="24">
        <f>IF($J998="","未盘",IF(ROUND($J998,3)=0,"账实相符",IF(COUNTIFS(入库单!$G$4:$G$2503,$A998,入库单!$X$4:$X$2503,"盘盈",入库单!$C$4:$C$2503,"&gt;="&amp;账期起,入库单!$C$4:$C$2503,"&lt;="&amp;账期止)+COUNTIFS(出库单!$D$4:$D$4003,$A998,出库单!$K$4:$K$4003,"盘亏",出库单!$C$4:$C$4003,"&gt;="&amp;账期起,出库单!$C$4:$C$4003,"&lt;="&amp;账期止)&gt;0,"已调账","※差异还没调账")))</f>
        <v/>
      </c>
      <c r="Q998" s="17" t="n"/>
      <c r="R998" s="17" t="n"/>
    </row>
    <row r="999">
      <c r="A999" s="24">
        <f>IF(库存台账!$A999="","",库存台账!$A999)</f>
        <v/>
      </c>
      <c r="B999" s="24">
        <f>IF($A999="","",库存台账!$B999)</f>
        <v/>
      </c>
      <c r="C999" s="24">
        <f>IF($A999="","",库存台账!$C999)</f>
        <v/>
      </c>
      <c r="D999" s="24">
        <f>IF($A999="","",库存台账!$D999)</f>
        <v/>
      </c>
      <c r="E999" s="24">
        <f>IF($A999="","",库存台账!$E999)</f>
        <v/>
      </c>
      <c r="F999" s="24">
        <f>IF($A999="","",库存台账!$F999)</f>
        <v/>
      </c>
      <c r="G999" s="17" t="n"/>
      <c r="H999" s="23" t="n"/>
      <c r="I999" s="27">
        <f>IF($A999="","",库存台账!$X999)</f>
        <v/>
      </c>
      <c r="J999" s="27">
        <f>IF(OR($A999="",$H999=""),"",ROUND($H999-$I999,3))</f>
        <v/>
      </c>
      <c r="K999" s="26">
        <f>IF($A999="","",库存台账!$K999)</f>
        <v/>
      </c>
      <c r="L999" s="26">
        <f>IF($J999="","",ROUND($J999*$K999,0))</f>
        <v/>
      </c>
      <c r="M999" s="37">
        <f>IF(OR($J999="",$I999=0),"",ROUND($J999/$I999,4))</f>
        <v/>
      </c>
      <c r="N999" s="17" t="n"/>
      <c r="O999" s="17" t="n"/>
      <c r="P999" s="24">
        <f>IF($J999="","未盘",IF(ROUND($J999,3)=0,"账实相符",IF(COUNTIFS(入库单!$G$4:$G$2503,$A999,入库单!$X$4:$X$2503,"盘盈",入库单!$C$4:$C$2503,"&gt;="&amp;账期起,入库单!$C$4:$C$2503,"&lt;="&amp;账期止)+COUNTIFS(出库单!$D$4:$D$4003,$A999,出库单!$K$4:$K$4003,"盘亏",出库单!$C$4:$C$4003,"&gt;="&amp;账期起,出库单!$C$4:$C$4003,"&lt;="&amp;账期止)&gt;0,"已调账","※差异还没调账")))</f>
        <v/>
      </c>
      <c r="Q999" s="17" t="n"/>
      <c r="R999" s="17" t="n"/>
    </row>
    <row r="1000">
      <c r="A1000" s="24">
        <f>IF(库存台账!$A1000="","",库存台账!$A1000)</f>
        <v/>
      </c>
      <c r="B1000" s="24">
        <f>IF($A1000="","",库存台账!$B1000)</f>
        <v/>
      </c>
      <c r="C1000" s="24">
        <f>IF($A1000="","",库存台账!$C1000)</f>
        <v/>
      </c>
      <c r="D1000" s="24">
        <f>IF($A1000="","",库存台账!$D1000)</f>
        <v/>
      </c>
      <c r="E1000" s="24">
        <f>IF($A1000="","",库存台账!$E1000)</f>
        <v/>
      </c>
      <c r="F1000" s="24">
        <f>IF($A1000="","",库存台账!$F1000)</f>
        <v/>
      </c>
      <c r="G1000" s="17" t="n"/>
      <c r="H1000" s="23" t="n"/>
      <c r="I1000" s="27">
        <f>IF($A1000="","",库存台账!$X1000)</f>
        <v/>
      </c>
      <c r="J1000" s="27">
        <f>IF(OR($A1000="",$H1000=""),"",ROUND($H1000-$I1000,3))</f>
        <v/>
      </c>
      <c r="K1000" s="26">
        <f>IF($A1000="","",库存台账!$K1000)</f>
        <v/>
      </c>
      <c r="L1000" s="26">
        <f>IF($J1000="","",ROUND($J1000*$K1000,0))</f>
        <v/>
      </c>
      <c r="M1000" s="37">
        <f>IF(OR($J1000="",$I1000=0),"",ROUND($J1000/$I1000,4))</f>
        <v/>
      </c>
      <c r="N1000" s="17" t="n"/>
      <c r="O1000" s="17" t="n"/>
      <c r="P1000" s="24">
        <f>IF($J1000="","未盘",IF(ROUND($J1000,3)=0,"账实相符",IF(COUNTIFS(入库单!$G$4:$G$2503,$A1000,入库单!$X$4:$X$2503,"盘盈",入库单!$C$4:$C$2503,"&gt;="&amp;账期起,入库单!$C$4:$C$2503,"&lt;="&amp;账期止)+COUNTIFS(出库单!$D$4:$D$4003,$A1000,出库单!$K$4:$K$4003,"盘亏",出库单!$C$4:$C$4003,"&gt;="&amp;账期起,出库单!$C$4:$C$4003,"&lt;="&amp;账期止)&gt;0,"已调账","※差异还没调账")))</f>
        <v/>
      </c>
      <c r="Q1000" s="17" t="n"/>
      <c r="R1000" s="17" t="n"/>
    </row>
    <row r="1001">
      <c r="A1001" s="24">
        <f>IF(库存台账!$A1001="","",库存台账!$A1001)</f>
        <v/>
      </c>
      <c r="B1001" s="24">
        <f>IF($A1001="","",库存台账!$B1001)</f>
        <v/>
      </c>
      <c r="C1001" s="24">
        <f>IF($A1001="","",库存台账!$C1001)</f>
        <v/>
      </c>
      <c r="D1001" s="24">
        <f>IF($A1001="","",库存台账!$D1001)</f>
        <v/>
      </c>
      <c r="E1001" s="24">
        <f>IF($A1001="","",库存台账!$E1001)</f>
        <v/>
      </c>
      <c r="F1001" s="24">
        <f>IF($A1001="","",库存台账!$F1001)</f>
        <v/>
      </c>
      <c r="G1001" s="17" t="n"/>
      <c r="H1001" s="23" t="n"/>
      <c r="I1001" s="27">
        <f>IF($A1001="","",库存台账!$X1001)</f>
        <v/>
      </c>
      <c r="J1001" s="27">
        <f>IF(OR($A1001="",$H1001=""),"",ROUND($H1001-$I1001,3))</f>
        <v/>
      </c>
      <c r="K1001" s="26">
        <f>IF($A1001="","",库存台账!$K1001)</f>
        <v/>
      </c>
      <c r="L1001" s="26">
        <f>IF($J1001="","",ROUND($J1001*$K1001,0))</f>
        <v/>
      </c>
      <c r="M1001" s="37">
        <f>IF(OR($J1001="",$I1001=0),"",ROUND($J1001/$I1001,4))</f>
        <v/>
      </c>
      <c r="N1001" s="17" t="n"/>
      <c r="O1001" s="17" t="n"/>
      <c r="P1001" s="24">
        <f>IF($J1001="","未盘",IF(ROUND($J1001,3)=0,"账实相符",IF(COUNTIFS(入库单!$G$4:$G$2503,$A1001,入库单!$X$4:$X$2503,"盘盈",入库单!$C$4:$C$2503,"&gt;="&amp;账期起,入库单!$C$4:$C$2503,"&lt;="&amp;账期止)+COUNTIFS(出库单!$D$4:$D$4003,$A1001,出库单!$K$4:$K$4003,"盘亏",出库单!$C$4:$C$4003,"&gt;="&amp;账期起,出库单!$C$4:$C$4003,"&lt;="&amp;账期止)&gt;0,"已调账","※差异还没调账")))</f>
        <v/>
      </c>
      <c r="Q1001" s="17" t="n"/>
      <c r="R1001" s="17" t="n"/>
    </row>
    <row r="1002">
      <c r="A1002" s="24">
        <f>IF(库存台账!$A1002="","",库存台账!$A1002)</f>
        <v/>
      </c>
      <c r="B1002" s="24">
        <f>IF($A1002="","",库存台账!$B1002)</f>
        <v/>
      </c>
      <c r="C1002" s="24">
        <f>IF($A1002="","",库存台账!$C1002)</f>
        <v/>
      </c>
      <c r="D1002" s="24">
        <f>IF($A1002="","",库存台账!$D1002)</f>
        <v/>
      </c>
      <c r="E1002" s="24">
        <f>IF($A1002="","",库存台账!$E1002)</f>
        <v/>
      </c>
      <c r="F1002" s="24">
        <f>IF($A1002="","",库存台账!$F1002)</f>
        <v/>
      </c>
      <c r="G1002" s="17" t="n"/>
      <c r="H1002" s="23" t="n"/>
      <c r="I1002" s="27">
        <f>IF($A1002="","",库存台账!$X1002)</f>
        <v/>
      </c>
      <c r="J1002" s="27">
        <f>IF(OR($A1002="",$H1002=""),"",ROUND($H1002-$I1002,3))</f>
        <v/>
      </c>
      <c r="K1002" s="26">
        <f>IF($A1002="","",库存台账!$K1002)</f>
        <v/>
      </c>
      <c r="L1002" s="26">
        <f>IF($J1002="","",ROUND($J1002*$K1002,0))</f>
        <v/>
      </c>
      <c r="M1002" s="37">
        <f>IF(OR($J1002="",$I1002=0),"",ROUND($J1002/$I1002,4))</f>
        <v/>
      </c>
      <c r="N1002" s="17" t="n"/>
      <c r="O1002" s="17" t="n"/>
      <c r="P1002" s="24">
        <f>IF($J1002="","未盘",IF(ROUND($J1002,3)=0,"账实相符",IF(COUNTIFS(入库单!$G$4:$G$2503,$A1002,入库单!$X$4:$X$2503,"盘盈",入库单!$C$4:$C$2503,"&gt;="&amp;账期起,入库单!$C$4:$C$2503,"&lt;="&amp;账期止)+COUNTIFS(出库单!$D$4:$D$4003,$A1002,出库单!$K$4:$K$4003,"盘亏",出库单!$C$4:$C$4003,"&gt;="&amp;账期起,出库单!$C$4:$C$4003,"&lt;="&amp;账期止)&gt;0,"已调账","※差异还没调账")))</f>
        <v/>
      </c>
      <c r="Q1002" s="17" t="n"/>
      <c r="R1002" s="17" t="n"/>
    </row>
    <row r="1003">
      <c r="A1003" s="24">
        <f>IF(库存台账!$A1003="","",库存台账!$A1003)</f>
        <v/>
      </c>
      <c r="B1003" s="24">
        <f>IF($A1003="","",库存台账!$B1003)</f>
        <v/>
      </c>
      <c r="C1003" s="24">
        <f>IF($A1003="","",库存台账!$C1003)</f>
        <v/>
      </c>
      <c r="D1003" s="24">
        <f>IF($A1003="","",库存台账!$D1003)</f>
        <v/>
      </c>
      <c r="E1003" s="24">
        <f>IF($A1003="","",库存台账!$E1003)</f>
        <v/>
      </c>
      <c r="F1003" s="24">
        <f>IF($A1003="","",库存台账!$F1003)</f>
        <v/>
      </c>
      <c r="G1003" s="17" t="n"/>
      <c r="H1003" s="23" t="n"/>
      <c r="I1003" s="27">
        <f>IF($A1003="","",库存台账!$X1003)</f>
        <v/>
      </c>
      <c r="J1003" s="27">
        <f>IF(OR($A1003="",$H1003=""),"",ROUND($H1003-$I1003,3))</f>
        <v/>
      </c>
      <c r="K1003" s="26">
        <f>IF($A1003="","",库存台账!$K1003)</f>
        <v/>
      </c>
      <c r="L1003" s="26">
        <f>IF($J1003="","",ROUND($J1003*$K1003,0))</f>
        <v/>
      </c>
      <c r="M1003" s="37">
        <f>IF(OR($J1003="",$I1003=0),"",ROUND($J1003/$I1003,4))</f>
        <v/>
      </c>
      <c r="N1003" s="17" t="n"/>
      <c r="O1003" s="17" t="n"/>
      <c r="P1003" s="24">
        <f>IF($J1003="","未盘",IF(ROUND($J1003,3)=0,"账实相符",IF(COUNTIFS(入库单!$G$4:$G$2503,$A1003,入库单!$X$4:$X$2503,"盘盈",入库单!$C$4:$C$2503,"&gt;="&amp;账期起,入库单!$C$4:$C$2503,"&lt;="&amp;账期止)+COUNTIFS(出库单!$D$4:$D$4003,$A1003,出库单!$K$4:$K$4003,"盘亏",出库单!$C$4:$C$4003,"&gt;="&amp;账期起,出库单!$C$4:$C$4003,"&lt;="&amp;账期止)&gt;0,"已调账","※差异还没调账")))</f>
        <v/>
      </c>
      <c r="Q1003" s="17" t="n"/>
      <c r="R1003" s="17" t="n"/>
    </row>
    <row r="1004">
      <c r="A1004" s="24">
        <f>IF(库存台账!$A1004="","",库存台账!$A1004)</f>
        <v/>
      </c>
      <c r="B1004" s="24">
        <f>IF($A1004="","",库存台账!$B1004)</f>
        <v/>
      </c>
      <c r="C1004" s="24">
        <f>IF($A1004="","",库存台账!$C1004)</f>
        <v/>
      </c>
      <c r="D1004" s="24">
        <f>IF($A1004="","",库存台账!$D1004)</f>
        <v/>
      </c>
      <c r="E1004" s="24">
        <f>IF($A1004="","",库存台账!$E1004)</f>
        <v/>
      </c>
      <c r="F1004" s="24">
        <f>IF($A1004="","",库存台账!$F1004)</f>
        <v/>
      </c>
      <c r="G1004" s="17" t="n"/>
      <c r="H1004" s="23" t="n"/>
      <c r="I1004" s="27">
        <f>IF($A1004="","",库存台账!$X1004)</f>
        <v/>
      </c>
      <c r="J1004" s="27">
        <f>IF(OR($A1004="",$H1004=""),"",ROUND($H1004-$I1004,3))</f>
        <v/>
      </c>
      <c r="K1004" s="26">
        <f>IF($A1004="","",库存台账!$K1004)</f>
        <v/>
      </c>
      <c r="L1004" s="26">
        <f>IF($J1004="","",ROUND($J1004*$K1004,0))</f>
        <v/>
      </c>
      <c r="M1004" s="37">
        <f>IF(OR($J1004="",$I1004=0),"",ROUND($J1004/$I1004,4))</f>
        <v/>
      </c>
      <c r="N1004" s="17" t="n"/>
      <c r="O1004" s="17" t="n"/>
      <c r="P1004" s="24">
        <f>IF($J1004="","未盘",IF(ROUND($J1004,3)=0,"账实相符",IF(COUNTIFS(入库单!$G$4:$G$2503,$A1004,入库单!$X$4:$X$2503,"盘盈",入库单!$C$4:$C$2503,"&gt;="&amp;账期起,入库单!$C$4:$C$2503,"&lt;="&amp;账期止)+COUNTIFS(出库单!$D$4:$D$4003,$A1004,出库单!$K$4:$K$4003,"盘亏",出库单!$C$4:$C$4003,"&gt;="&amp;账期起,出库单!$C$4:$C$4003,"&lt;="&amp;账期止)&gt;0,"已调账","※差异还没调账")))</f>
        <v/>
      </c>
      <c r="Q1004" s="17" t="n"/>
      <c r="R1004" s="17" t="n"/>
    </row>
    <row r="1005">
      <c r="A1005" s="24">
        <f>IF(库存台账!$A1005="","",库存台账!$A1005)</f>
        <v/>
      </c>
      <c r="B1005" s="24">
        <f>IF($A1005="","",库存台账!$B1005)</f>
        <v/>
      </c>
      <c r="C1005" s="24">
        <f>IF($A1005="","",库存台账!$C1005)</f>
        <v/>
      </c>
      <c r="D1005" s="24">
        <f>IF($A1005="","",库存台账!$D1005)</f>
        <v/>
      </c>
      <c r="E1005" s="24">
        <f>IF($A1005="","",库存台账!$E1005)</f>
        <v/>
      </c>
      <c r="F1005" s="24">
        <f>IF($A1005="","",库存台账!$F1005)</f>
        <v/>
      </c>
      <c r="G1005" s="17" t="n"/>
      <c r="H1005" s="23" t="n"/>
      <c r="I1005" s="27">
        <f>IF($A1005="","",库存台账!$X1005)</f>
        <v/>
      </c>
      <c r="J1005" s="27">
        <f>IF(OR($A1005="",$H1005=""),"",ROUND($H1005-$I1005,3))</f>
        <v/>
      </c>
      <c r="K1005" s="26">
        <f>IF($A1005="","",库存台账!$K1005)</f>
        <v/>
      </c>
      <c r="L1005" s="26">
        <f>IF($J1005="","",ROUND($J1005*$K1005,0))</f>
        <v/>
      </c>
      <c r="M1005" s="37">
        <f>IF(OR($J1005="",$I1005=0),"",ROUND($J1005/$I1005,4))</f>
        <v/>
      </c>
      <c r="N1005" s="17" t="n"/>
      <c r="O1005" s="17" t="n"/>
      <c r="P1005" s="24">
        <f>IF($J1005="","未盘",IF(ROUND($J1005,3)=0,"账实相符",IF(COUNTIFS(入库单!$G$4:$G$2503,$A1005,入库单!$X$4:$X$2503,"盘盈",入库单!$C$4:$C$2503,"&gt;="&amp;账期起,入库单!$C$4:$C$2503,"&lt;="&amp;账期止)+COUNTIFS(出库单!$D$4:$D$4003,$A1005,出库单!$K$4:$K$4003,"盘亏",出库单!$C$4:$C$4003,"&gt;="&amp;账期起,出库单!$C$4:$C$4003,"&lt;="&amp;账期止)&gt;0,"已调账","※差异还没调账")))</f>
        <v/>
      </c>
      <c r="Q1005" s="17" t="n"/>
      <c r="R1005" s="17" t="n"/>
    </row>
    <row r="1006">
      <c r="A1006" s="24">
        <f>IF(库存台账!$A1006="","",库存台账!$A1006)</f>
        <v/>
      </c>
      <c r="B1006" s="24">
        <f>IF($A1006="","",库存台账!$B1006)</f>
        <v/>
      </c>
      <c r="C1006" s="24">
        <f>IF($A1006="","",库存台账!$C1006)</f>
        <v/>
      </c>
      <c r="D1006" s="24">
        <f>IF($A1006="","",库存台账!$D1006)</f>
        <v/>
      </c>
      <c r="E1006" s="24">
        <f>IF($A1006="","",库存台账!$E1006)</f>
        <v/>
      </c>
      <c r="F1006" s="24">
        <f>IF($A1006="","",库存台账!$F1006)</f>
        <v/>
      </c>
      <c r="G1006" s="17" t="n"/>
      <c r="H1006" s="23" t="n"/>
      <c r="I1006" s="27">
        <f>IF($A1006="","",库存台账!$X1006)</f>
        <v/>
      </c>
      <c r="J1006" s="27">
        <f>IF(OR($A1006="",$H1006=""),"",ROUND($H1006-$I1006,3))</f>
        <v/>
      </c>
      <c r="K1006" s="26">
        <f>IF($A1006="","",库存台账!$K1006)</f>
        <v/>
      </c>
      <c r="L1006" s="26">
        <f>IF($J1006="","",ROUND($J1006*$K1006,0))</f>
        <v/>
      </c>
      <c r="M1006" s="37">
        <f>IF(OR($J1006="",$I1006=0),"",ROUND($J1006/$I1006,4))</f>
        <v/>
      </c>
      <c r="N1006" s="17" t="n"/>
      <c r="O1006" s="17" t="n"/>
      <c r="P1006" s="24">
        <f>IF($J1006="","未盘",IF(ROUND($J1006,3)=0,"账实相符",IF(COUNTIFS(入库单!$G$4:$G$2503,$A1006,入库单!$X$4:$X$2503,"盘盈",入库单!$C$4:$C$2503,"&gt;="&amp;账期起,入库单!$C$4:$C$2503,"&lt;="&amp;账期止)+COUNTIFS(出库单!$D$4:$D$4003,$A1006,出库单!$K$4:$K$4003,"盘亏",出库单!$C$4:$C$4003,"&gt;="&amp;账期起,出库单!$C$4:$C$4003,"&lt;="&amp;账期止)&gt;0,"已调账","※差异还没调账")))</f>
        <v/>
      </c>
      <c r="Q1006" s="17" t="n"/>
      <c r="R1006" s="17" t="n"/>
    </row>
    <row r="1007">
      <c r="A1007" s="24">
        <f>IF(库存台账!$A1007="","",库存台账!$A1007)</f>
        <v/>
      </c>
      <c r="B1007" s="24">
        <f>IF($A1007="","",库存台账!$B1007)</f>
        <v/>
      </c>
      <c r="C1007" s="24">
        <f>IF($A1007="","",库存台账!$C1007)</f>
        <v/>
      </c>
      <c r="D1007" s="24">
        <f>IF($A1007="","",库存台账!$D1007)</f>
        <v/>
      </c>
      <c r="E1007" s="24">
        <f>IF($A1007="","",库存台账!$E1007)</f>
        <v/>
      </c>
      <c r="F1007" s="24">
        <f>IF($A1007="","",库存台账!$F1007)</f>
        <v/>
      </c>
      <c r="G1007" s="17" t="n"/>
      <c r="H1007" s="23" t="n"/>
      <c r="I1007" s="27">
        <f>IF($A1007="","",库存台账!$X1007)</f>
        <v/>
      </c>
      <c r="J1007" s="27">
        <f>IF(OR($A1007="",$H1007=""),"",ROUND($H1007-$I1007,3))</f>
        <v/>
      </c>
      <c r="K1007" s="26">
        <f>IF($A1007="","",库存台账!$K1007)</f>
        <v/>
      </c>
      <c r="L1007" s="26">
        <f>IF($J1007="","",ROUND($J1007*$K1007,0))</f>
        <v/>
      </c>
      <c r="M1007" s="37">
        <f>IF(OR($J1007="",$I1007=0),"",ROUND($J1007/$I1007,4))</f>
        <v/>
      </c>
      <c r="N1007" s="17" t="n"/>
      <c r="O1007" s="17" t="n"/>
      <c r="P1007" s="24">
        <f>IF($J1007="","未盘",IF(ROUND($J1007,3)=0,"账实相符",IF(COUNTIFS(入库单!$G$4:$G$2503,$A1007,入库单!$X$4:$X$2503,"盘盈",入库单!$C$4:$C$2503,"&gt;="&amp;账期起,入库单!$C$4:$C$2503,"&lt;="&amp;账期止)+COUNTIFS(出库单!$D$4:$D$4003,$A1007,出库单!$K$4:$K$4003,"盘亏",出库单!$C$4:$C$4003,"&gt;="&amp;账期起,出库单!$C$4:$C$4003,"&lt;="&amp;账期止)&gt;0,"已调账","※差异还没调账")))</f>
        <v/>
      </c>
      <c r="Q1007" s="17" t="n"/>
      <c r="R1007" s="17" t="n"/>
    </row>
    <row r="1008">
      <c r="A1008" s="24">
        <f>IF(库存台账!$A1008="","",库存台账!$A1008)</f>
        <v/>
      </c>
      <c r="B1008" s="24">
        <f>IF($A1008="","",库存台账!$B1008)</f>
        <v/>
      </c>
      <c r="C1008" s="24">
        <f>IF($A1008="","",库存台账!$C1008)</f>
        <v/>
      </c>
      <c r="D1008" s="24">
        <f>IF($A1008="","",库存台账!$D1008)</f>
        <v/>
      </c>
      <c r="E1008" s="24">
        <f>IF($A1008="","",库存台账!$E1008)</f>
        <v/>
      </c>
      <c r="F1008" s="24">
        <f>IF($A1008="","",库存台账!$F1008)</f>
        <v/>
      </c>
      <c r="G1008" s="17" t="n"/>
      <c r="H1008" s="23" t="n"/>
      <c r="I1008" s="27">
        <f>IF($A1008="","",库存台账!$X1008)</f>
        <v/>
      </c>
      <c r="J1008" s="27">
        <f>IF(OR($A1008="",$H1008=""),"",ROUND($H1008-$I1008,3))</f>
        <v/>
      </c>
      <c r="K1008" s="26">
        <f>IF($A1008="","",库存台账!$K1008)</f>
        <v/>
      </c>
      <c r="L1008" s="26">
        <f>IF($J1008="","",ROUND($J1008*$K1008,0))</f>
        <v/>
      </c>
      <c r="M1008" s="37">
        <f>IF(OR($J1008="",$I1008=0),"",ROUND($J1008/$I1008,4))</f>
        <v/>
      </c>
      <c r="N1008" s="17" t="n"/>
      <c r="O1008" s="17" t="n"/>
      <c r="P1008" s="24">
        <f>IF($J1008="","未盘",IF(ROUND($J1008,3)=0,"账实相符",IF(COUNTIFS(入库单!$G$4:$G$2503,$A1008,入库单!$X$4:$X$2503,"盘盈",入库单!$C$4:$C$2503,"&gt;="&amp;账期起,入库单!$C$4:$C$2503,"&lt;="&amp;账期止)+COUNTIFS(出库单!$D$4:$D$4003,$A1008,出库单!$K$4:$K$4003,"盘亏",出库单!$C$4:$C$4003,"&gt;="&amp;账期起,出库单!$C$4:$C$4003,"&lt;="&amp;账期止)&gt;0,"已调账","※差异还没调账")))</f>
        <v/>
      </c>
      <c r="Q1008" s="17" t="n"/>
      <c r="R1008" s="17" t="n"/>
    </row>
    <row r="1009">
      <c r="A1009" s="24">
        <f>IF(库存台账!$A1009="","",库存台账!$A1009)</f>
        <v/>
      </c>
      <c r="B1009" s="24">
        <f>IF($A1009="","",库存台账!$B1009)</f>
        <v/>
      </c>
      <c r="C1009" s="24">
        <f>IF($A1009="","",库存台账!$C1009)</f>
        <v/>
      </c>
      <c r="D1009" s="24">
        <f>IF($A1009="","",库存台账!$D1009)</f>
        <v/>
      </c>
      <c r="E1009" s="24">
        <f>IF($A1009="","",库存台账!$E1009)</f>
        <v/>
      </c>
      <c r="F1009" s="24">
        <f>IF($A1009="","",库存台账!$F1009)</f>
        <v/>
      </c>
      <c r="G1009" s="17" t="n"/>
      <c r="H1009" s="23" t="n"/>
      <c r="I1009" s="27">
        <f>IF($A1009="","",库存台账!$X1009)</f>
        <v/>
      </c>
      <c r="J1009" s="27">
        <f>IF(OR($A1009="",$H1009=""),"",ROUND($H1009-$I1009,3))</f>
        <v/>
      </c>
      <c r="K1009" s="26">
        <f>IF($A1009="","",库存台账!$K1009)</f>
        <v/>
      </c>
      <c r="L1009" s="26">
        <f>IF($J1009="","",ROUND($J1009*$K1009,0))</f>
        <v/>
      </c>
      <c r="M1009" s="37">
        <f>IF(OR($J1009="",$I1009=0),"",ROUND($J1009/$I1009,4))</f>
        <v/>
      </c>
      <c r="N1009" s="17" t="n"/>
      <c r="O1009" s="17" t="n"/>
      <c r="P1009" s="24">
        <f>IF($J1009="","未盘",IF(ROUND($J1009,3)=0,"账实相符",IF(COUNTIFS(入库单!$G$4:$G$2503,$A1009,入库单!$X$4:$X$2503,"盘盈",入库单!$C$4:$C$2503,"&gt;="&amp;账期起,入库单!$C$4:$C$2503,"&lt;="&amp;账期止)+COUNTIFS(出库单!$D$4:$D$4003,$A1009,出库单!$K$4:$K$4003,"盘亏",出库单!$C$4:$C$4003,"&gt;="&amp;账期起,出库单!$C$4:$C$4003,"&lt;="&amp;账期止)&gt;0,"已调账","※差异还没调账")))</f>
        <v/>
      </c>
      <c r="Q1009" s="17" t="n"/>
      <c r="R1009" s="17" t="n"/>
    </row>
    <row r="1010">
      <c r="A1010" s="24">
        <f>IF(库存台账!$A1010="","",库存台账!$A1010)</f>
        <v/>
      </c>
      <c r="B1010" s="24">
        <f>IF($A1010="","",库存台账!$B1010)</f>
        <v/>
      </c>
      <c r="C1010" s="24">
        <f>IF($A1010="","",库存台账!$C1010)</f>
        <v/>
      </c>
      <c r="D1010" s="24">
        <f>IF($A1010="","",库存台账!$D1010)</f>
        <v/>
      </c>
      <c r="E1010" s="24">
        <f>IF($A1010="","",库存台账!$E1010)</f>
        <v/>
      </c>
      <c r="F1010" s="24">
        <f>IF($A1010="","",库存台账!$F1010)</f>
        <v/>
      </c>
      <c r="G1010" s="17" t="n"/>
      <c r="H1010" s="23" t="n"/>
      <c r="I1010" s="27">
        <f>IF($A1010="","",库存台账!$X1010)</f>
        <v/>
      </c>
      <c r="J1010" s="27">
        <f>IF(OR($A1010="",$H1010=""),"",ROUND($H1010-$I1010,3))</f>
        <v/>
      </c>
      <c r="K1010" s="26">
        <f>IF($A1010="","",库存台账!$K1010)</f>
        <v/>
      </c>
      <c r="L1010" s="26">
        <f>IF($J1010="","",ROUND($J1010*$K1010,0))</f>
        <v/>
      </c>
      <c r="M1010" s="37">
        <f>IF(OR($J1010="",$I1010=0),"",ROUND($J1010/$I1010,4))</f>
        <v/>
      </c>
      <c r="N1010" s="17" t="n"/>
      <c r="O1010" s="17" t="n"/>
      <c r="P1010" s="24">
        <f>IF($J1010="","未盘",IF(ROUND($J1010,3)=0,"账实相符",IF(COUNTIFS(入库单!$G$4:$G$2503,$A1010,入库单!$X$4:$X$2503,"盘盈",入库单!$C$4:$C$2503,"&gt;="&amp;账期起,入库单!$C$4:$C$2503,"&lt;="&amp;账期止)+COUNTIFS(出库单!$D$4:$D$4003,$A1010,出库单!$K$4:$K$4003,"盘亏",出库单!$C$4:$C$4003,"&gt;="&amp;账期起,出库单!$C$4:$C$4003,"&lt;="&amp;账期止)&gt;0,"已调账","※差异还没调账")))</f>
        <v/>
      </c>
      <c r="Q1010" s="17" t="n"/>
      <c r="R1010" s="17" t="n"/>
    </row>
    <row r="1011">
      <c r="A1011" s="24">
        <f>IF(库存台账!$A1011="","",库存台账!$A1011)</f>
        <v/>
      </c>
      <c r="B1011" s="24">
        <f>IF($A1011="","",库存台账!$B1011)</f>
        <v/>
      </c>
      <c r="C1011" s="24">
        <f>IF($A1011="","",库存台账!$C1011)</f>
        <v/>
      </c>
      <c r="D1011" s="24">
        <f>IF($A1011="","",库存台账!$D1011)</f>
        <v/>
      </c>
      <c r="E1011" s="24">
        <f>IF($A1011="","",库存台账!$E1011)</f>
        <v/>
      </c>
      <c r="F1011" s="24">
        <f>IF($A1011="","",库存台账!$F1011)</f>
        <v/>
      </c>
      <c r="G1011" s="17" t="n"/>
      <c r="H1011" s="23" t="n"/>
      <c r="I1011" s="27">
        <f>IF($A1011="","",库存台账!$X1011)</f>
        <v/>
      </c>
      <c r="J1011" s="27">
        <f>IF(OR($A1011="",$H1011=""),"",ROUND($H1011-$I1011,3))</f>
        <v/>
      </c>
      <c r="K1011" s="26">
        <f>IF($A1011="","",库存台账!$K1011)</f>
        <v/>
      </c>
      <c r="L1011" s="26">
        <f>IF($J1011="","",ROUND($J1011*$K1011,0))</f>
        <v/>
      </c>
      <c r="M1011" s="37">
        <f>IF(OR($J1011="",$I1011=0),"",ROUND($J1011/$I1011,4))</f>
        <v/>
      </c>
      <c r="N1011" s="17" t="n"/>
      <c r="O1011" s="17" t="n"/>
      <c r="P1011" s="24">
        <f>IF($J1011="","未盘",IF(ROUND($J1011,3)=0,"账实相符",IF(COUNTIFS(入库单!$G$4:$G$2503,$A1011,入库单!$X$4:$X$2503,"盘盈",入库单!$C$4:$C$2503,"&gt;="&amp;账期起,入库单!$C$4:$C$2503,"&lt;="&amp;账期止)+COUNTIFS(出库单!$D$4:$D$4003,$A1011,出库单!$K$4:$K$4003,"盘亏",出库单!$C$4:$C$4003,"&gt;="&amp;账期起,出库单!$C$4:$C$4003,"&lt;="&amp;账期止)&gt;0,"已调账","※差异还没调账")))</f>
        <v/>
      </c>
      <c r="Q1011" s="17" t="n"/>
      <c r="R1011" s="17" t="n"/>
    </row>
    <row r="1012">
      <c r="A1012" s="24">
        <f>IF(库存台账!$A1012="","",库存台账!$A1012)</f>
        <v/>
      </c>
      <c r="B1012" s="24">
        <f>IF($A1012="","",库存台账!$B1012)</f>
        <v/>
      </c>
      <c r="C1012" s="24">
        <f>IF($A1012="","",库存台账!$C1012)</f>
        <v/>
      </c>
      <c r="D1012" s="24">
        <f>IF($A1012="","",库存台账!$D1012)</f>
        <v/>
      </c>
      <c r="E1012" s="24">
        <f>IF($A1012="","",库存台账!$E1012)</f>
        <v/>
      </c>
      <c r="F1012" s="24">
        <f>IF($A1012="","",库存台账!$F1012)</f>
        <v/>
      </c>
      <c r="G1012" s="17" t="n"/>
      <c r="H1012" s="23" t="n"/>
      <c r="I1012" s="27">
        <f>IF($A1012="","",库存台账!$X1012)</f>
        <v/>
      </c>
      <c r="J1012" s="27">
        <f>IF(OR($A1012="",$H1012=""),"",ROUND($H1012-$I1012,3))</f>
        <v/>
      </c>
      <c r="K1012" s="26">
        <f>IF($A1012="","",库存台账!$K1012)</f>
        <v/>
      </c>
      <c r="L1012" s="26">
        <f>IF($J1012="","",ROUND($J1012*$K1012,0))</f>
        <v/>
      </c>
      <c r="M1012" s="37">
        <f>IF(OR($J1012="",$I1012=0),"",ROUND($J1012/$I1012,4))</f>
        <v/>
      </c>
      <c r="N1012" s="17" t="n"/>
      <c r="O1012" s="17" t="n"/>
      <c r="P1012" s="24">
        <f>IF($J1012="","未盘",IF(ROUND($J1012,3)=0,"账实相符",IF(COUNTIFS(入库单!$G$4:$G$2503,$A1012,入库单!$X$4:$X$2503,"盘盈",入库单!$C$4:$C$2503,"&gt;="&amp;账期起,入库单!$C$4:$C$2503,"&lt;="&amp;账期止)+COUNTIFS(出库单!$D$4:$D$4003,$A1012,出库单!$K$4:$K$4003,"盘亏",出库单!$C$4:$C$4003,"&gt;="&amp;账期起,出库单!$C$4:$C$4003,"&lt;="&amp;账期止)&gt;0,"已调账","※差异还没调账")))</f>
        <v/>
      </c>
      <c r="Q1012" s="17" t="n"/>
      <c r="R1012" s="17" t="n"/>
    </row>
    <row r="1013">
      <c r="A1013" s="24">
        <f>IF(库存台账!$A1013="","",库存台账!$A1013)</f>
        <v/>
      </c>
      <c r="B1013" s="24">
        <f>IF($A1013="","",库存台账!$B1013)</f>
        <v/>
      </c>
      <c r="C1013" s="24">
        <f>IF($A1013="","",库存台账!$C1013)</f>
        <v/>
      </c>
      <c r="D1013" s="24">
        <f>IF($A1013="","",库存台账!$D1013)</f>
        <v/>
      </c>
      <c r="E1013" s="24">
        <f>IF($A1013="","",库存台账!$E1013)</f>
        <v/>
      </c>
      <c r="F1013" s="24">
        <f>IF($A1013="","",库存台账!$F1013)</f>
        <v/>
      </c>
      <c r="G1013" s="17" t="n"/>
      <c r="H1013" s="23" t="n"/>
      <c r="I1013" s="27">
        <f>IF($A1013="","",库存台账!$X1013)</f>
        <v/>
      </c>
      <c r="J1013" s="27">
        <f>IF(OR($A1013="",$H1013=""),"",ROUND($H1013-$I1013,3))</f>
        <v/>
      </c>
      <c r="K1013" s="26">
        <f>IF($A1013="","",库存台账!$K1013)</f>
        <v/>
      </c>
      <c r="L1013" s="26">
        <f>IF($J1013="","",ROUND($J1013*$K1013,0))</f>
        <v/>
      </c>
      <c r="M1013" s="37">
        <f>IF(OR($J1013="",$I1013=0),"",ROUND($J1013/$I1013,4))</f>
        <v/>
      </c>
      <c r="N1013" s="17" t="n"/>
      <c r="O1013" s="17" t="n"/>
      <c r="P1013" s="24">
        <f>IF($J1013="","未盘",IF(ROUND($J1013,3)=0,"账实相符",IF(COUNTIFS(入库单!$G$4:$G$2503,$A1013,入库单!$X$4:$X$2503,"盘盈",入库单!$C$4:$C$2503,"&gt;="&amp;账期起,入库单!$C$4:$C$2503,"&lt;="&amp;账期止)+COUNTIFS(出库单!$D$4:$D$4003,$A1013,出库单!$K$4:$K$4003,"盘亏",出库单!$C$4:$C$4003,"&gt;="&amp;账期起,出库单!$C$4:$C$4003,"&lt;="&amp;账期止)&gt;0,"已调账","※差异还没调账")))</f>
        <v/>
      </c>
      <c r="Q1013" s="17" t="n"/>
      <c r="R1013" s="17" t="n"/>
    </row>
    <row r="1014">
      <c r="A1014" s="24">
        <f>IF(库存台账!$A1014="","",库存台账!$A1014)</f>
        <v/>
      </c>
      <c r="B1014" s="24">
        <f>IF($A1014="","",库存台账!$B1014)</f>
        <v/>
      </c>
      <c r="C1014" s="24">
        <f>IF($A1014="","",库存台账!$C1014)</f>
        <v/>
      </c>
      <c r="D1014" s="24">
        <f>IF($A1014="","",库存台账!$D1014)</f>
        <v/>
      </c>
      <c r="E1014" s="24">
        <f>IF($A1014="","",库存台账!$E1014)</f>
        <v/>
      </c>
      <c r="F1014" s="24">
        <f>IF($A1014="","",库存台账!$F1014)</f>
        <v/>
      </c>
      <c r="G1014" s="17" t="n"/>
      <c r="H1014" s="23" t="n"/>
      <c r="I1014" s="27">
        <f>IF($A1014="","",库存台账!$X1014)</f>
        <v/>
      </c>
      <c r="J1014" s="27">
        <f>IF(OR($A1014="",$H1014=""),"",ROUND($H1014-$I1014,3))</f>
        <v/>
      </c>
      <c r="K1014" s="26">
        <f>IF($A1014="","",库存台账!$K1014)</f>
        <v/>
      </c>
      <c r="L1014" s="26">
        <f>IF($J1014="","",ROUND($J1014*$K1014,0))</f>
        <v/>
      </c>
      <c r="M1014" s="37">
        <f>IF(OR($J1014="",$I1014=0),"",ROUND($J1014/$I1014,4))</f>
        <v/>
      </c>
      <c r="N1014" s="17" t="n"/>
      <c r="O1014" s="17" t="n"/>
      <c r="P1014" s="24">
        <f>IF($J1014="","未盘",IF(ROUND($J1014,3)=0,"账实相符",IF(COUNTIFS(入库单!$G$4:$G$2503,$A1014,入库单!$X$4:$X$2503,"盘盈",入库单!$C$4:$C$2503,"&gt;="&amp;账期起,入库单!$C$4:$C$2503,"&lt;="&amp;账期止)+COUNTIFS(出库单!$D$4:$D$4003,$A1014,出库单!$K$4:$K$4003,"盘亏",出库单!$C$4:$C$4003,"&gt;="&amp;账期起,出库单!$C$4:$C$4003,"&lt;="&amp;账期止)&gt;0,"已调账","※差异还没调账")))</f>
        <v/>
      </c>
      <c r="Q1014" s="17" t="n"/>
      <c r="R1014" s="17" t="n"/>
    </row>
    <row r="1015">
      <c r="A1015" s="24">
        <f>IF(库存台账!$A1015="","",库存台账!$A1015)</f>
        <v/>
      </c>
      <c r="B1015" s="24">
        <f>IF($A1015="","",库存台账!$B1015)</f>
        <v/>
      </c>
      <c r="C1015" s="24">
        <f>IF($A1015="","",库存台账!$C1015)</f>
        <v/>
      </c>
      <c r="D1015" s="24">
        <f>IF($A1015="","",库存台账!$D1015)</f>
        <v/>
      </c>
      <c r="E1015" s="24">
        <f>IF($A1015="","",库存台账!$E1015)</f>
        <v/>
      </c>
      <c r="F1015" s="24">
        <f>IF($A1015="","",库存台账!$F1015)</f>
        <v/>
      </c>
      <c r="G1015" s="17" t="n"/>
      <c r="H1015" s="23" t="n"/>
      <c r="I1015" s="27">
        <f>IF($A1015="","",库存台账!$X1015)</f>
        <v/>
      </c>
      <c r="J1015" s="27">
        <f>IF(OR($A1015="",$H1015=""),"",ROUND($H1015-$I1015,3))</f>
        <v/>
      </c>
      <c r="K1015" s="26">
        <f>IF($A1015="","",库存台账!$K1015)</f>
        <v/>
      </c>
      <c r="L1015" s="26">
        <f>IF($J1015="","",ROUND($J1015*$K1015,0))</f>
        <v/>
      </c>
      <c r="M1015" s="37">
        <f>IF(OR($J1015="",$I1015=0),"",ROUND($J1015/$I1015,4))</f>
        <v/>
      </c>
      <c r="N1015" s="17" t="n"/>
      <c r="O1015" s="17" t="n"/>
      <c r="P1015" s="24">
        <f>IF($J1015="","未盘",IF(ROUND($J1015,3)=0,"账实相符",IF(COUNTIFS(入库单!$G$4:$G$2503,$A1015,入库单!$X$4:$X$2503,"盘盈",入库单!$C$4:$C$2503,"&gt;="&amp;账期起,入库单!$C$4:$C$2503,"&lt;="&amp;账期止)+COUNTIFS(出库单!$D$4:$D$4003,$A1015,出库单!$K$4:$K$4003,"盘亏",出库单!$C$4:$C$4003,"&gt;="&amp;账期起,出库单!$C$4:$C$4003,"&lt;="&amp;账期止)&gt;0,"已调账","※差异还没调账")))</f>
        <v/>
      </c>
      <c r="Q1015" s="17" t="n"/>
      <c r="R1015" s="17" t="n"/>
    </row>
    <row r="1016">
      <c r="A1016" s="24">
        <f>IF(库存台账!$A1016="","",库存台账!$A1016)</f>
        <v/>
      </c>
      <c r="B1016" s="24">
        <f>IF($A1016="","",库存台账!$B1016)</f>
        <v/>
      </c>
      <c r="C1016" s="24">
        <f>IF($A1016="","",库存台账!$C1016)</f>
        <v/>
      </c>
      <c r="D1016" s="24">
        <f>IF($A1016="","",库存台账!$D1016)</f>
        <v/>
      </c>
      <c r="E1016" s="24">
        <f>IF($A1016="","",库存台账!$E1016)</f>
        <v/>
      </c>
      <c r="F1016" s="24">
        <f>IF($A1016="","",库存台账!$F1016)</f>
        <v/>
      </c>
      <c r="G1016" s="17" t="n"/>
      <c r="H1016" s="23" t="n"/>
      <c r="I1016" s="27">
        <f>IF($A1016="","",库存台账!$X1016)</f>
        <v/>
      </c>
      <c r="J1016" s="27">
        <f>IF(OR($A1016="",$H1016=""),"",ROUND($H1016-$I1016,3))</f>
        <v/>
      </c>
      <c r="K1016" s="26">
        <f>IF($A1016="","",库存台账!$K1016)</f>
        <v/>
      </c>
      <c r="L1016" s="26">
        <f>IF($J1016="","",ROUND($J1016*$K1016,0))</f>
        <v/>
      </c>
      <c r="M1016" s="37">
        <f>IF(OR($J1016="",$I1016=0),"",ROUND($J1016/$I1016,4))</f>
        <v/>
      </c>
      <c r="N1016" s="17" t="n"/>
      <c r="O1016" s="17" t="n"/>
      <c r="P1016" s="24">
        <f>IF($J1016="","未盘",IF(ROUND($J1016,3)=0,"账实相符",IF(COUNTIFS(入库单!$G$4:$G$2503,$A1016,入库单!$X$4:$X$2503,"盘盈",入库单!$C$4:$C$2503,"&gt;="&amp;账期起,入库单!$C$4:$C$2503,"&lt;="&amp;账期止)+COUNTIFS(出库单!$D$4:$D$4003,$A1016,出库单!$K$4:$K$4003,"盘亏",出库单!$C$4:$C$4003,"&gt;="&amp;账期起,出库单!$C$4:$C$4003,"&lt;="&amp;账期止)&gt;0,"已调账","※差异还没调账")))</f>
        <v/>
      </c>
      <c r="Q1016" s="17" t="n"/>
      <c r="R1016" s="17" t="n"/>
    </row>
    <row r="1017">
      <c r="A1017" s="24">
        <f>IF(库存台账!$A1017="","",库存台账!$A1017)</f>
        <v/>
      </c>
      <c r="B1017" s="24">
        <f>IF($A1017="","",库存台账!$B1017)</f>
        <v/>
      </c>
      <c r="C1017" s="24">
        <f>IF($A1017="","",库存台账!$C1017)</f>
        <v/>
      </c>
      <c r="D1017" s="24">
        <f>IF($A1017="","",库存台账!$D1017)</f>
        <v/>
      </c>
      <c r="E1017" s="24">
        <f>IF($A1017="","",库存台账!$E1017)</f>
        <v/>
      </c>
      <c r="F1017" s="24">
        <f>IF($A1017="","",库存台账!$F1017)</f>
        <v/>
      </c>
      <c r="G1017" s="17" t="n"/>
      <c r="H1017" s="23" t="n"/>
      <c r="I1017" s="27">
        <f>IF($A1017="","",库存台账!$X1017)</f>
        <v/>
      </c>
      <c r="J1017" s="27">
        <f>IF(OR($A1017="",$H1017=""),"",ROUND($H1017-$I1017,3))</f>
        <v/>
      </c>
      <c r="K1017" s="26">
        <f>IF($A1017="","",库存台账!$K1017)</f>
        <v/>
      </c>
      <c r="L1017" s="26">
        <f>IF($J1017="","",ROUND($J1017*$K1017,0))</f>
        <v/>
      </c>
      <c r="M1017" s="37">
        <f>IF(OR($J1017="",$I1017=0),"",ROUND($J1017/$I1017,4))</f>
        <v/>
      </c>
      <c r="N1017" s="17" t="n"/>
      <c r="O1017" s="17" t="n"/>
      <c r="P1017" s="24">
        <f>IF($J1017="","未盘",IF(ROUND($J1017,3)=0,"账实相符",IF(COUNTIFS(入库单!$G$4:$G$2503,$A1017,入库单!$X$4:$X$2503,"盘盈",入库单!$C$4:$C$2503,"&gt;="&amp;账期起,入库单!$C$4:$C$2503,"&lt;="&amp;账期止)+COUNTIFS(出库单!$D$4:$D$4003,$A1017,出库单!$K$4:$K$4003,"盘亏",出库单!$C$4:$C$4003,"&gt;="&amp;账期起,出库单!$C$4:$C$4003,"&lt;="&amp;账期止)&gt;0,"已调账","※差异还没调账")))</f>
        <v/>
      </c>
      <c r="Q1017" s="17" t="n"/>
      <c r="R1017" s="17" t="n"/>
    </row>
    <row r="1018">
      <c r="A1018" s="24">
        <f>IF(库存台账!$A1018="","",库存台账!$A1018)</f>
        <v/>
      </c>
      <c r="B1018" s="24">
        <f>IF($A1018="","",库存台账!$B1018)</f>
        <v/>
      </c>
      <c r="C1018" s="24">
        <f>IF($A1018="","",库存台账!$C1018)</f>
        <v/>
      </c>
      <c r="D1018" s="24">
        <f>IF($A1018="","",库存台账!$D1018)</f>
        <v/>
      </c>
      <c r="E1018" s="24">
        <f>IF($A1018="","",库存台账!$E1018)</f>
        <v/>
      </c>
      <c r="F1018" s="24">
        <f>IF($A1018="","",库存台账!$F1018)</f>
        <v/>
      </c>
      <c r="G1018" s="17" t="n"/>
      <c r="H1018" s="23" t="n"/>
      <c r="I1018" s="27">
        <f>IF($A1018="","",库存台账!$X1018)</f>
        <v/>
      </c>
      <c r="J1018" s="27">
        <f>IF(OR($A1018="",$H1018=""),"",ROUND($H1018-$I1018,3))</f>
        <v/>
      </c>
      <c r="K1018" s="26">
        <f>IF($A1018="","",库存台账!$K1018)</f>
        <v/>
      </c>
      <c r="L1018" s="26">
        <f>IF($J1018="","",ROUND($J1018*$K1018,0))</f>
        <v/>
      </c>
      <c r="M1018" s="37">
        <f>IF(OR($J1018="",$I1018=0),"",ROUND($J1018/$I1018,4))</f>
        <v/>
      </c>
      <c r="N1018" s="17" t="n"/>
      <c r="O1018" s="17" t="n"/>
      <c r="P1018" s="24">
        <f>IF($J1018="","未盘",IF(ROUND($J1018,3)=0,"账实相符",IF(COUNTIFS(入库单!$G$4:$G$2503,$A1018,入库单!$X$4:$X$2503,"盘盈",入库单!$C$4:$C$2503,"&gt;="&amp;账期起,入库单!$C$4:$C$2503,"&lt;="&amp;账期止)+COUNTIFS(出库单!$D$4:$D$4003,$A1018,出库单!$K$4:$K$4003,"盘亏",出库单!$C$4:$C$4003,"&gt;="&amp;账期起,出库单!$C$4:$C$4003,"&lt;="&amp;账期止)&gt;0,"已调账","※差异还没调账")))</f>
        <v/>
      </c>
      <c r="Q1018" s="17" t="n"/>
      <c r="R1018" s="17" t="n"/>
    </row>
    <row r="1019">
      <c r="A1019" s="24">
        <f>IF(库存台账!$A1019="","",库存台账!$A1019)</f>
        <v/>
      </c>
      <c r="B1019" s="24">
        <f>IF($A1019="","",库存台账!$B1019)</f>
        <v/>
      </c>
      <c r="C1019" s="24">
        <f>IF($A1019="","",库存台账!$C1019)</f>
        <v/>
      </c>
      <c r="D1019" s="24">
        <f>IF($A1019="","",库存台账!$D1019)</f>
        <v/>
      </c>
      <c r="E1019" s="24">
        <f>IF($A1019="","",库存台账!$E1019)</f>
        <v/>
      </c>
      <c r="F1019" s="24">
        <f>IF($A1019="","",库存台账!$F1019)</f>
        <v/>
      </c>
      <c r="G1019" s="17" t="n"/>
      <c r="H1019" s="23" t="n"/>
      <c r="I1019" s="27">
        <f>IF($A1019="","",库存台账!$X1019)</f>
        <v/>
      </c>
      <c r="J1019" s="27">
        <f>IF(OR($A1019="",$H1019=""),"",ROUND($H1019-$I1019,3))</f>
        <v/>
      </c>
      <c r="K1019" s="26">
        <f>IF($A1019="","",库存台账!$K1019)</f>
        <v/>
      </c>
      <c r="L1019" s="26">
        <f>IF($J1019="","",ROUND($J1019*$K1019,0))</f>
        <v/>
      </c>
      <c r="M1019" s="37">
        <f>IF(OR($J1019="",$I1019=0),"",ROUND($J1019/$I1019,4))</f>
        <v/>
      </c>
      <c r="N1019" s="17" t="n"/>
      <c r="O1019" s="17" t="n"/>
      <c r="P1019" s="24">
        <f>IF($J1019="","未盘",IF(ROUND($J1019,3)=0,"账实相符",IF(COUNTIFS(入库单!$G$4:$G$2503,$A1019,入库单!$X$4:$X$2503,"盘盈",入库单!$C$4:$C$2503,"&gt;="&amp;账期起,入库单!$C$4:$C$2503,"&lt;="&amp;账期止)+COUNTIFS(出库单!$D$4:$D$4003,$A1019,出库单!$K$4:$K$4003,"盘亏",出库单!$C$4:$C$4003,"&gt;="&amp;账期起,出库单!$C$4:$C$4003,"&lt;="&amp;账期止)&gt;0,"已调账","※差异还没调账")))</f>
        <v/>
      </c>
      <c r="Q1019" s="17" t="n"/>
      <c r="R1019" s="17" t="n"/>
    </row>
    <row r="1020">
      <c r="A1020" s="24">
        <f>IF(库存台账!$A1020="","",库存台账!$A1020)</f>
        <v/>
      </c>
      <c r="B1020" s="24">
        <f>IF($A1020="","",库存台账!$B1020)</f>
        <v/>
      </c>
      <c r="C1020" s="24">
        <f>IF($A1020="","",库存台账!$C1020)</f>
        <v/>
      </c>
      <c r="D1020" s="24">
        <f>IF($A1020="","",库存台账!$D1020)</f>
        <v/>
      </c>
      <c r="E1020" s="24">
        <f>IF($A1020="","",库存台账!$E1020)</f>
        <v/>
      </c>
      <c r="F1020" s="24">
        <f>IF($A1020="","",库存台账!$F1020)</f>
        <v/>
      </c>
      <c r="G1020" s="17" t="n"/>
      <c r="H1020" s="23" t="n"/>
      <c r="I1020" s="27">
        <f>IF($A1020="","",库存台账!$X1020)</f>
        <v/>
      </c>
      <c r="J1020" s="27">
        <f>IF(OR($A1020="",$H1020=""),"",ROUND($H1020-$I1020,3))</f>
        <v/>
      </c>
      <c r="K1020" s="26">
        <f>IF($A1020="","",库存台账!$K1020)</f>
        <v/>
      </c>
      <c r="L1020" s="26">
        <f>IF($J1020="","",ROUND($J1020*$K1020,0))</f>
        <v/>
      </c>
      <c r="M1020" s="37">
        <f>IF(OR($J1020="",$I1020=0),"",ROUND($J1020/$I1020,4))</f>
        <v/>
      </c>
      <c r="N1020" s="17" t="n"/>
      <c r="O1020" s="17" t="n"/>
      <c r="P1020" s="24">
        <f>IF($J1020="","未盘",IF(ROUND($J1020,3)=0,"账实相符",IF(COUNTIFS(入库单!$G$4:$G$2503,$A1020,入库单!$X$4:$X$2503,"盘盈",入库单!$C$4:$C$2503,"&gt;="&amp;账期起,入库单!$C$4:$C$2503,"&lt;="&amp;账期止)+COUNTIFS(出库单!$D$4:$D$4003,$A1020,出库单!$K$4:$K$4003,"盘亏",出库单!$C$4:$C$4003,"&gt;="&amp;账期起,出库单!$C$4:$C$4003,"&lt;="&amp;账期止)&gt;0,"已调账","※差异还没调账")))</f>
        <v/>
      </c>
      <c r="Q1020" s="17" t="n"/>
      <c r="R1020" s="17" t="n"/>
    </row>
    <row r="1021">
      <c r="A1021" s="24">
        <f>IF(库存台账!$A1021="","",库存台账!$A1021)</f>
        <v/>
      </c>
      <c r="B1021" s="24">
        <f>IF($A1021="","",库存台账!$B1021)</f>
        <v/>
      </c>
      <c r="C1021" s="24">
        <f>IF($A1021="","",库存台账!$C1021)</f>
        <v/>
      </c>
      <c r="D1021" s="24">
        <f>IF($A1021="","",库存台账!$D1021)</f>
        <v/>
      </c>
      <c r="E1021" s="24">
        <f>IF($A1021="","",库存台账!$E1021)</f>
        <v/>
      </c>
      <c r="F1021" s="24">
        <f>IF($A1021="","",库存台账!$F1021)</f>
        <v/>
      </c>
      <c r="G1021" s="17" t="n"/>
      <c r="H1021" s="23" t="n"/>
      <c r="I1021" s="27">
        <f>IF($A1021="","",库存台账!$X1021)</f>
        <v/>
      </c>
      <c r="J1021" s="27">
        <f>IF(OR($A1021="",$H1021=""),"",ROUND($H1021-$I1021,3))</f>
        <v/>
      </c>
      <c r="K1021" s="26">
        <f>IF($A1021="","",库存台账!$K1021)</f>
        <v/>
      </c>
      <c r="L1021" s="26">
        <f>IF($J1021="","",ROUND($J1021*$K1021,0))</f>
        <v/>
      </c>
      <c r="M1021" s="37">
        <f>IF(OR($J1021="",$I1021=0),"",ROUND($J1021/$I1021,4))</f>
        <v/>
      </c>
      <c r="N1021" s="17" t="n"/>
      <c r="O1021" s="17" t="n"/>
      <c r="P1021" s="24">
        <f>IF($J1021="","未盘",IF(ROUND($J1021,3)=0,"账实相符",IF(COUNTIFS(入库单!$G$4:$G$2503,$A1021,入库单!$X$4:$X$2503,"盘盈",入库单!$C$4:$C$2503,"&gt;="&amp;账期起,入库单!$C$4:$C$2503,"&lt;="&amp;账期止)+COUNTIFS(出库单!$D$4:$D$4003,$A1021,出库单!$K$4:$K$4003,"盘亏",出库单!$C$4:$C$4003,"&gt;="&amp;账期起,出库单!$C$4:$C$4003,"&lt;="&amp;账期止)&gt;0,"已调账","※差异还没调账")))</f>
        <v/>
      </c>
      <c r="Q1021" s="17" t="n"/>
      <c r="R1021" s="17" t="n"/>
    </row>
    <row r="1022">
      <c r="A1022" s="24">
        <f>IF(库存台账!$A1022="","",库存台账!$A1022)</f>
        <v/>
      </c>
      <c r="B1022" s="24">
        <f>IF($A1022="","",库存台账!$B1022)</f>
        <v/>
      </c>
      <c r="C1022" s="24">
        <f>IF($A1022="","",库存台账!$C1022)</f>
        <v/>
      </c>
      <c r="D1022" s="24">
        <f>IF($A1022="","",库存台账!$D1022)</f>
        <v/>
      </c>
      <c r="E1022" s="24">
        <f>IF($A1022="","",库存台账!$E1022)</f>
        <v/>
      </c>
      <c r="F1022" s="24">
        <f>IF($A1022="","",库存台账!$F1022)</f>
        <v/>
      </c>
      <c r="G1022" s="17" t="n"/>
      <c r="H1022" s="23" t="n"/>
      <c r="I1022" s="27">
        <f>IF($A1022="","",库存台账!$X1022)</f>
        <v/>
      </c>
      <c r="J1022" s="27">
        <f>IF(OR($A1022="",$H1022=""),"",ROUND($H1022-$I1022,3))</f>
        <v/>
      </c>
      <c r="K1022" s="26">
        <f>IF($A1022="","",库存台账!$K1022)</f>
        <v/>
      </c>
      <c r="L1022" s="26">
        <f>IF($J1022="","",ROUND($J1022*$K1022,0))</f>
        <v/>
      </c>
      <c r="M1022" s="37">
        <f>IF(OR($J1022="",$I1022=0),"",ROUND($J1022/$I1022,4))</f>
        <v/>
      </c>
      <c r="N1022" s="17" t="n"/>
      <c r="O1022" s="17" t="n"/>
      <c r="P1022" s="24">
        <f>IF($J1022="","未盘",IF(ROUND($J1022,3)=0,"账实相符",IF(COUNTIFS(入库单!$G$4:$G$2503,$A1022,入库单!$X$4:$X$2503,"盘盈",入库单!$C$4:$C$2503,"&gt;="&amp;账期起,入库单!$C$4:$C$2503,"&lt;="&amp;账期止)+COUNTIFS(出库单!$D$4:$D$4003,$A1022,出库单!$K$4:$K$4003,"盘亏",出库单!$C$4:$C$4003,"&gt;="&amp;账期起,出库单!$C$4:$C$4003,"&lt;="&amp;账期止)&gt;0,"已调账","※差异还没调账")))</f>
        <v/>
      </c>
      <c r="Q1022" s="17" t="n"/>
      <c r="R1022" s="17" t="n"/>
    </row>
    <row r="1023">
      <c r="A1023" s="24">
        <f>IF(库存台账!$A1023="","",库存台账!$A1023)</f>
        <v/>
      </c>
      <c r="B1023" s="24">
        <f>IF($A1023="","",库存台账!$B1023)</f>
        <v/>
      </c>
      <c r="C1023" s="24">
        <f>IF($A1023="","",库存台账!$C1023)</f>
        <v/>
      </c>
      <c r="D1023" s="24">
        <f>IF($A1023="","",库存台账!$D1023)</f>
        <v/>
      </c>
      <c r="E1023" s="24">
        <f>IF($A1023="","",库存台账!$E1023)</f>
        <v/>
      </c>
      <c r="F1023" s="24">
        <f>IF($A1023="","",库存台账!$F1023)</f>
        <v/>
      </c>
      <c r="G1023" s="17" t="n"/>
      <c r="H1023" s="23" t="n"/>
      <c r="I1023" s="27">
        <f>IF($A1023="","",库存台账!$X1023)</f>
        <v/>
      </c>
      <c r="J1023" s="27">
        <f>IF(OR($A1023="",$H1023=""),"",ROUND($H1023-$I1023,3))</f>
        <v/>
      </c>
      <c r="K1023" s="26">
        <f>IF($A1023="","",库存台账!$K1023)</f>
        <v/>
      </c>
      <c r="L1023" s="26">
        <f>IF($J1023="","",ROUND($J1023*$K1023,0))</f>
        <v/>
      </c>
      <c r="M1023" s="37">
        <f>IF(OR($J1023="",$I1023=0),"",ROUND($J1023/$I1023,4))</f>
        <v/>
      </c>
      <c r="N1023" s="17" t="n"/>
      <c r="O1023" s="17" t="n"/>
      <c r="P1023" s="24">
        <f>IF($J1023="","未盘",IF(ROUND($J1023,3)=0,"账实相符",IF(COUNTIFS(入库单!$G$4:$G$2503,$A1023,入库单!$X$4:$X$2503,"盘盈",入库单!$C$4:$C$2503,"&gt;="&amp;账期起,入库单!$C$4:$C$2503,"&lt;="&amp;账期止)+COUNTIFS(出库单!$D$4:$D$4003,$A1023,出库单!$K$4:$K$4003,"盘亏",出库单!$C$4:$C$4003,"&gt;="&amp;账期起,出库单!$C$4:$C$4003,"&lt;="&amp;账期止)&gt;0,"已调账","※差异还没调账")))</f>
        <v/>
      </c>
      <c r="Q1023" s="17" t="n"/>
      <c r="R1023" s="17" t="n"/>
    </row>
    <row r="1024">
      <c r="A1024" s="24">
        <f>IF(库存台账!$A1024="","",库存台账!$A1024)</f>
        <v/>
      </c>
      <c r="B1024" s="24">
        <f>IF($A1024="","",库存台账!$B1024)</f>
        <v/>
      </c>
      <c r="C1024" s="24">
        <f>IF($A1024="","",库存台账!$C1024)</f>
        <v/>
      </c>
      <c r="D1024" s="24">
        <f>IF($A1024="","",库存台账!$D1024)</f>
        <v/>
      </c>
      <c r="E1024" s="24">
        <f>IF($A1024="","",库存台账!$E1024)</f>
        <v/>
      </c>
      <c r="F1024" s="24">
        <f>IF($A1024="","",库存台账!$F1024)</f>
        <v/>
      </c>
      <c r="G1024" s="17" t="n"/>
      <c r="H1024" s="23" t="n"/>
      <c r="I1024" s="27">
        <f>IF($A1024="","",库存台账!$X1024)</f>
        <v/>
      </c>
      <c r="J1024" s="27">
        <f>IF(OR($A1024="",$H1024=""),"",ROUND($H1024-$I1024,3))</f>
        <v/>
      </c>
      <c r="K1024" s="26">
        <f>IF($A1024="","",库存台账!$K1024)</f>
        <v/>
      </c>
      <c r="L1024" s="26">
        <f>IF($J1024="","",ROUND($J1024*$K1024,0))</f>
        <v/>
      </c>
      <c r="M1024" s="37">
        <f>IF(OR($J1024="",$I1024=0),"",ROUND($J1024/$I1024,4))</f>
        <v/>
      </c>
      <c r="N1024" s="17" t="n"/>
      <c r="O1024" s="17" t="n"/>
      <c r="P1024" s="24">
        <f>IF($J1024="","未盘",IF(ROUND($J1024,3)=0,"账实相符",IF(COUNTIFS(入库单!$G$4:$G$2503,$A1024,入库单!$X$4:$X$2503,"盘盈",入库单!$C$4:$C$2503,"&gt;="&amp;账期起,入库单!$C$4:$C$2503,"&lt;="&amp;账期止)+COUNTIFS(出库单!$D$4:$D$4003,$A1024,出库单!$K$4:$K$4003,"盘亏",出库单!$C$4:$C$4003,"&gt;="&amp;账期起,出库单!$C$4:$C$4003,"&lt;="&amp;账期止)&gt;0,"已调账","※差异还没调账")))</f>
        <v/>
      </c>
      <c r="Q1024" s="17" t="n"/>
      <c r="R1024" s="17" t="n"/>
    </row>
    <row r="1025">
      <c r="A1025" s="24">
        <f>IF(库存台账!$A1025="","",库存台账!$A1025)</f>
        <v/>
      </c>
      <c r="B1025" s="24">
        <f>IF($A1025="","",库存台账!$B1025)</f>
        <v/>
      </c>
      <c r="C1025" s="24">
        <f>IF($A1025="","",库存台账!$C1025)</f>
        <v/>
      </c>
      <c r="D1025" s="24">
        <f>IF($A1025="","",库存台账!$D1025)</f>
        <v/>
      </c>
      <c r="E1025" s="24">
        <f>IF($A1025="","",库存台账!$E1025)</f>
        <v/>
      </c>
      <c r="F1025" s="24">
        <f>IF($A1025="","",库存台账!$F1025)</f>
        <v/>
      </c>
      <c r="G1025" s="17" t="n"/>
      <c r="H1025" s="23" t="n"/>
      <c r="I1025" s="27">
        <f>IF($A1025="","",库存台账!$X1025)</f>
        <v/>
      </c>
      <c r="J1025" s="27">
        <f>IF(OR($A1025="",$H1025=""),"",ROUND($H1025-$I1025,3))</f>
        <v/>
      </c>
      <c r="K1025" s="26">
        <f>IF($A1025="","",库存台账!$K1025)</f>
        <v/>
      </c>
      <c r="L1025" s="26">
        <f>IF($J1025="","",ROUND($J1025*$K1025,0))</f>
        <v/>
      </c>
      <c r="M1025" s="37">
        <f>IF(OR($J1025="",$I1025=0),"",ROUND($J1025/$I1025,4))</f>
        <v/>
      </c>
      <c r="N1025" s="17" t="n"/>
      <c r="O1025" s="17" t="n"/>
      <c r="P1025" s="24">
        <f>IF($J1025="","未盘",IF(ROUND($J1025,3)=0,"账实相符",IF(COUNTIFS(入库单!$G$4:$G$2503,$A1025,入库单!$X$4:$X$2503,"盘盈",入库单!$C$4:$C$2503,"&gt;="&amp;账期起,入库单!$C$4:$C$2503,"&lt;="&amp;账期止)+COUNTIFS(出库单!$D$4:$D$4003,$A1025,出库单!$K$4:$K$4003,"盘亏",出库单!$C$4:$C$4003,"&gt;="&amp;账期起,出库单!$C$4:$C$4003,"&lt;="&amp;账期止)&gt;0,"已调账","※差异还没调账")))</f>
        <v/>
      </c>
      <c r="Q1025" s="17" t="n"/>
      <c r="R1025" s="17" t="n"/>
    </row>
    <row r="1026">
      <c r="A1026" s="24">
        <f>IF(库存台账!$A1026="","",库存台账!$A1026)</f>
        <v/>
      </c>
      <c r="B1026" s="24">
        <f>IF($A1026="","",库存台账!$B1026)</f>
        <v/>
      </c>
      <c r="C1026" s="24">
        <f>IF($A1026="","",库存台账!$C1026)</f>
        <v/>
      </c>
      <c r="D1026" s="24">
        <f>IF($A1026="","",库存台账!$D1026)</f>
        <v/>
      </c>
      <c r="E1026" s="24">
        <f>IF($A1026="","",库存台账!$E1026)</f>
        <v/>
      </c>
      <c r="F1026" s="24">
        <f>IF($A1026="","",库存台账!$F1026)</f>
        <v/>
      </c>
      <c r="G1026" s="17" t="n"/>
      <c r="H1026" s="23" t="n"/>
      <c r="I1026" s="27">
        <f>IF($A1026="","",库存台账!$X1026)</f>
        <v/>
      </c>
      <c r="J1026" s="27">
        <f>IF(OR($A1026="",$H1026=""),"",ROUND($H1026-$I1026,3))</f>
        <v/>
      </c>
      <c r="K1026" s="26">
        <f>IF($A1026="","",库存台账!$K1026)</f>
        <v/>
      </c>
      <c r="L1026" s="26">
        <f>IF($J1026="","",ROUND($J1026*$K1026,0))</f>
        <v/>
      </c>
      <c r="M1026" s="37">
        <f>IF(OR($J1026="",$I1026=0),"",ROUND($J1026/$I1026,4))</f>
        <v/>
      </c>
      <c r="N1026" s="17" t="n"/>
      <c r="O1026" s="17" t="n"/>
      <c r="P1026" s="24">
        <f>IF($J1026="","未盘",IF(ROUND($J1026,3)=0,"账实相符",IF(COUNTIFS(入库单!$G$4:$G$2503,$A1026,入库单!$X$4:$X$2503,"盘盈",入库单!$C$4:$C$2503,"&gt;="&amp;账期起,入库单!$C$4:$C$2503,"&lt;="&amp;账期止)+COUNTIFS(出库单!$D$4:$D$4003,$A1026,出库单!$K$4:$K$4003,"盘亏",出库单!$C$4:$C$4003,"&gt;="&amp;账期起,出库单!$C$4:$C$4003,"&lt;="&amp;账期止)&gt;0,"已调账","※差异还没调账")))</f>
        <v/>
      </c>
      <c r="Q1026" s="17" t="n"/>
      <c r="R1026" s="17" t="n"/>
    </row>
    <row r="1027">
      <c r="A1027" s="24">
        <f>IF(库存台账!$A1027="","",库存台账!$A1027)</f>
        <v/>
      </c>
      <c r="B1027" s="24">
        <f>IF($A1027="","",库存台账!$B1027)</f>
        <v/>
      </c>
      <c r="C1027" s="24">
        <f>IF($A1027="","",库存台账!$C1027)</f>
        <v/>
      </c>
      <c r="D1027" s="24">
        <f>IF($A1027="","",库存台账!$D1027)</f>
        <v/>
      </c>
      <c r="E1027" s="24">
        <f>IF($A1027="","",库存台账!$E1027)</f>
        <v/>
      </c>
      <c r="F1027" s="24">
        <f>IF($A1027="","",库存台账!$F1027)</f>
        <v/>
      </c>
      <c r="G1027" s="17" t="n"/>
      <c r="H1027" s="23" t="n"/>
      <c r="I1027" s="27">
        <f>IF($A1027="","",库存台账!$X1027)</f>
        <v/>
      </c>
      <c r="J1027" s="27">
        <f>IF(OR($A1027="",$H1027=""),"",ROUND($H1027-$I1027,3))</f>
        <v/>
      </c>
      <c r="K1027" s="26">
        <f>IF($A1027="","",库存台账!$K1027)</f>
        <v/>
      </c>
      <c r="L1027" s="26">
        <f>IF($J1027="","",ROUND($J1027*$K1027,0))</f>
        <v/>
      </c>
      <c r="M1027" s="37">
        <f>IF(OR($J1027="",$I1027=0),"",ROUND($J1027/$I1027,4))</f>
        <v/>
      </c>
      <c r="N1027" s="17" t="n"/>
      <c r="O1027" s="17" t="n"/>
      <c r="P1027" s="24">
        <f>IF($J1027="","未盘",IF(ROUND($J1027,3)=0,"账实相符",IF(COUNTIFS(入库单!$G$4:$G$2503,$A1027,入库单!$X$4:$X$2503,"盘盈",入库单!$C$4:$C$2503,"&gt;="&amp;账期起,入库单!$C$4:$C$2503,"&lt;="&amp;账期止)+COUNTIFS(出库单!$D$4:$D$4003,$A1027,出库单!$K$4:$K$4003,"盘亏",出库单!$C$4:$C$4003,"&gt;="&amp;账期起,出库单!$C$4:$C$4003,"&lt;="&amp;账期止)&gt;0,"已调账","※差异还没调账")))</f>
        <v/>
      </c>
      <c r="Q1027" s="17" t="n"/>
      <c r="R1027" s="17" t="n"/>
    </row>
    <row r="1028">
      <c r="A1028" s="24">
        <f>IF(库存台账!$A1028="","",库存台账!$A1028)</f>
        <v/>
      </c>
      <c r="B1028" s="24">
        <f>IF($A1028="","",库存台账!$B1028)</f>
        <v/>
      </c>
      <c r="C1028" s="24">
        <f>IF($A1028="","",库存台账!$C1028)</f>
        <v/>
      </c>
      <c r="D1028" s="24">
        <f>IF($A1028="","",库存台账!$D1028)</f>
        <v/>
      </c>
      <c r="E1028" s="24">
        <f>IF($A1028="","",库存台账!$E1028)</f>
        <v/>
      </c>
      <c r="F1028" s="24">
        <f>IF($A1028="","",库存台账!$F1028)</f>
        <v/>
      </c>
      <c r="G1028" s="17" t="n"/>
      <c r="H1028" s="23" t="n"/>
      <c r="I1028" s="27">
        <f>IF($A1028="","",库存台账!$X1028)</f>
        <v/>
      </c>
      <c r="J1028" s="27">
        <f>IF(OR($A1028="",$H1028=""),"",ROUND($H1028-$I1028,3))</f>
        <v/>
      </c>
      <c r="K1028" s="26">
        <f>IF($A1028="","",库存台账!$K1028)</f>
        <v/>
      </c>
      <c r="L1028" s="26">
        <f>IF($J1028="","",ROUND($J1028*$K1028,0))</f>
        <v/>
      </c>
      <c r="M1028" s="37">
        <f>IF(OR($J1028="",$I1028=0),"",ROUND($J1028/$I1028,4))</f>
        <v/>
      </c>
      <c r="N1028" s="17" t="n"/>
      <c r="O1028" s="17" t="n"/>
      <c r="P1028" s="24">
        <f>IF($J1028="","未盘",IF(ROUND($J1028,3)=0,"账实相符",IF(COUNTIFS(入库单!$G$4:$G$2503,$A1028,入库单!$X$4:$X$2503,"盘盈",入库单!$C$4:$C$2503,"&gt;="&amp;账期起,入库单!$C$4:$C$2503,"&lt;="&amp;账期止)+COUNTIFS(出库单!$D$4:$D$4003,$A1028,出库单!$K$4:$K$4003,"盘亏",出库单!$C$4:$C$4003,"&gt;="&amp;账期起,出库单!$C$4:$C$4003,"&lt;="&amp;账期止)&gt;0,"已调账","※差异还没调账")))</f>
        <v/>
      </c>
      <c r="Q1028" s="17" t="n"/>
      <c r="R1028" s="17" t="n"/>
    </row>
    <row r="1029">
      <c r="A1029" s="24">
        <f>IF(库存台账!$A1029="","",库存台账!$A1029)</f>
        <v/>
      </c>
      <c r="B1029" s="24">
        <f>IF($A1029="","",库存台账!$B1029)</f>
        <v/>
      </c>
      <c r="C1029" s="24">
        <f>IF($A1029="","",库存台账!$C1029)</f>
        <v/>
      </c>
      <c r="D1029" s="24">
        <f>IF($A1029="","",库存台账!$D1029)</f>
        <v/>
      </c>
      <c r="E1029" s="24">
        <f>IF($A1029="","",库存台账!$E1029)</f>
        <v/>
      </c>
      <c r="F1029" s="24">
        <f>IF($A1029="","",库存台账!$F1029)</f>
        <v/>
      </c>
      <c r="G1029" s="17" t="n"/>
      <c r="H1029" s="23" t="n"/>
      <c r="I1029" s="27">
        <f>IF($A1029="","",库存台账!$X1029)</f>
        <v/>
      </c>
      <c r="J1029" s="27">
        <f>IF(OR($A1029="",$H1029=""),"",ROUND($H1029-$I1029,3))</f>
        <v/>
      </c>
      <c r="K1029" s="26">
        <f>IF($A1029="","",库存台账!$K1029)</f>
        <v/>
      </c>
      <c r="L1029" s="26">
        <f>IF($J1029="","",ROUND($J1029*$K1029,0))</f>
        <v/>
      </c>
      <c r="M1029" s="37">
        <f>IF(OR($J1029="",$I1029=0),"",ROUND($J1029/$I1029,4))</f>
        <v/>
      </c>
      <c r="N1029" s="17" t="n"/>
      <c r="O1029" s="17" t="n"/>
      <c r="P1029" s="24">
        <f>IF($J1029="","未盘",IF(ROUND($J1029,3)=0,"账实相符",IF(COUNTIFS(入库单!$G$4:$G$2503,$A1029,入库单!$X$4:$X$2503,"盘盈",入库单!$C$4:$C$2503,"&gt;="&amp;账期起,入库单!$C$4:$C$2503,"&lt;="&amp;账期止)+COUNTIFS(出库单!$D$4:$D$4003,$A1029,出库单!$K$4:$K$4003,"盘亏",出库单!$C$4:$C$4003,"&gt;="&amp;账期起,出库单!$C$4:$C$4003,"&lt;="&amp;账期止)&gt;0,"已调账","※差异还没调账")))</f>
        <v/>
      </c>
      <c r="Q1029" s="17" t="n"/>
      <c r="R1029" s="17" t="n"/>
    </row>
    <row r="1030">
      <c r="A1030" s="24">
        <f>IF(库存台账!$A1030="","",库存台账!$A1030)</f>
        <v/>
      </c>
      <c r="B1030" s="24">
        <f>IF($A1030="","",库存台账!$B1030)</f>
        <v/>
      </c>
      <c r="C1030" s="24">
        <f>IF($A1030="","",库存台账!$C1030)</f>
        <v/>
      </c>
      <c r="D1030" s="24">
        <f>IF($A1030="","",库存台账!$D1030)</f>
        <v/>
      </c>
      <c r="E1030" s="24">
        <f>IF($A1030="","",库存台账!$E1030)</f>
        <v/>
      </c>
      <c r="F1030" s="24">
        <f>IF($A1030="","",库存台账!$F1030)</f>
        <v/>
      </c>
      <c r="G1030" s="17" t="n"/>
      <c r="H1030" s="23" t="n"/>
      <c r="I1030" s="27">
        <f>IF($A1030="","",库存台账!$X1030)</f>
        <v/>
      </c>
      <c r="J1030" s="27">
        <f>IF(OR($A1030="",$H1030=""),"",ROUND($H1030-$I1030,3))</f>
        <v/>
      </c>
      <c r="K1030" s="26">
        <f>IF($A1030="","",库存台账!$K1030)</f>
        <v/>
      </c>
      <c r="L1030" s="26">
        <f>IF($J1030="","",ROUND($J1030*$K1030,0))</f>
        <v/>
      </c>
      <c r="M1030" s="37">
        <f>IF(OR($J1030="",$I1030=0),"",ROUND($J1030/$I1030,4))</f>
        <v/>
      </c>
      <c r="N1030" s="17" t="n"/>
      <c r="O1030" s="17" t="n"/>
      <c r="P1030" s="24">
        <f>IF($J1030="","未盘",IF(ROUND($J1030,3)=0,"账实相符",IF(COUNTIFS(入库单!$G$4:$G$2503,$A1030,入库单!$X$4:$X$2503,"盘盈",入库单!$C$4:$C$2503,"&gt;="&amp;账期起,入库单!$C$4:$C$2503,"&lt;="&amp;账期止)+COUNTIFS(出库单!$D$4:$D$4003,$A1030,出库单!$K$4:$K$4003,"盘亏",出库单!$C$4:$C$4003,"&gt;="&amp;账期起,出库单!$C$4:$C$4003,"&lt;="&amp;账期止)&gt;0,"已调账","※差异还没调账")))</f>
        <v/>
      </c>
      <c r="Q1030" s="17" t="n"/>
      <c r="R1030" s="17" t="n"/>
    </row>
    <row r="1031">
      <c r="A1031" s="24">
        <f>IF(库存台账!$A1031="","",库存台账!$A1031)</f>
        <v/>
      </c>
      <c r="B1031" s="24">
        <f>IF($A1031="","",库存台账!$B1031)</f>
        <v/>
      </c>
      <c r="C1031" s="24">
        <f>IF($A1031="","",库存台账!$C1031)</f>
        <v/>
      </c>
      <c r="D1031" s="24">
        <f>IF($A1031="","",库存台账!$D1031)</f>
        <v/>
      </c>
      <c r="E1031" s="24">
        <f>IF($A1031="","",库存台账!$E1031)</f>
        <v/>
      </c>
      <c r="F1031" s="24">
        <f>IF($A1031="","",库存台账!$F1031)</f>
        <v/>
      </c>
      <c r="G1031" s="17" t="n"/>
      <c r="H1031" s="23" t="n"/>
      <c r="I1031" s="27">
        <f>IF($A1031="","",库存台账!$X1031)</f>
        <v/>
      </c>
      <c r="J1031" s="27">
        <f>IF(OR($A1031="",$H1031=""),"",ROUND($H1031-$I1031,3))</f>
        <v/>
      </c>
      <c r="K1031" s="26">
        <f>IF($A1031="","",库存台账!$K1031)</f>
        <v/>
      </c>
      <c r="L1031" s="26">
        <f>IF($J1031="","",ROUND($J1031*$K1031,0))</f>
        <v/>
      </c>
      <c r="M1031" s="37">
        <f>IF(OR($J1031="",$I1031=0),"",ROUND($J1031/$I1031,4))</f>
        <v/>
      </c>
      <c r="N1031" s="17" t="n"/>
      <c r="O1031" s="17" t="n"/>
      <c r="P1031" s="24">
        <f>IF($J1031="","未盘",IF(ROUND($J1031,3)=0,"账实相符",IF(COUNTIFS(入库单!$G$4:$G$2503,$A1031,入库单!$X$4:$X$2503,"盘盈",入库单!$C$4:$C$2503,"&gt;="&amp;账期起,入库单!$C$4:$C$2503,"&lt;="&amp;账期止)+COUNTIFS(出库单!$D$4:$D$4003,$A1031,出库单!$K$4:$K$4003,"盘亏",出库单!$C$4:$C$4003,"&gt;="&amp;账期起,出库单!$C$4:$C$4003,"&lt;="&amp;账期止)&gt;0,"已调账","※差异还没调账")))</f>
        <v/>
      </c>
      <c r="Q1031" s="17" t="n"/>
      <c r="R1031" s="17" t="n"/>
    </row>
    <row r="1032">
      <c r="A1032" s="24">
        <f>IF(库存台账!$A1032="","",库存台账!$A1032)</f>
        <v/>
      </c>
      <c r="B1032" s="24">
        <f>IF($A1032="","",库存台账!$B1032)</f>
        <v/>
      </c>
      <c r="C1032" s="24">
        <f>IF($A1032="","",库存台账!$C1032)</f>
        <v/>
      </c>
      <c r="D1032" s="24">
        <f>IF($A1032="","",库存台账!$D1032)</f>
        <v/>
      </c>
      <c r="E1032" s="24">
        <f>IF($A1032="","",库存台账!$E1032)</f>
        <v/>
      </c>
      <c r="F1032" s="24">
        <f>IF($A1032="","",库存台账!$F1032)</f>
        <v/>
      </c>
      <c r="G1032" s="17" t="n"/>
      <c r="H1032" s="23" t="n"/>
      <c r="I1032" s="27">
        <f>IF($A1032="","",库存台账!$X1032)</f>
        <v/>
      </c>
      <c r="J1032" s="27">
        <f>IF(OR($A1032="",$H1032=""),"",ROUND($H1032-$I1032,3))</f>
        <v/>
      </c>
      <c r="K1032" s="26">
        <f>IF($A1032="","",库存台账!$K1032)</f>
        <v/>
      </c>
      <c r="L1032" s="26">
        <f>IF($J1032="","",ROUND($J1032*$K1032,0))</f>
        <v/>
      </c>
      <c r="M1032" s="37">
        <f>IF(OR($J1032="",$I1032=0),"",ROUND($J1032/$I1032,4))</f>
        <v/>
      </c>
      <c r="N1032" s="17" t="n"/>
      <c r="O1032" s="17" t="n"/>
      <c r="P1032" s="24">
        <f>IF($J1032="","未盘",IF(ROUND($J1032,3)=0,"账实相符",IF(COUNTIFS(入库单!$G$4:$G$2503,$A1032,入库单!$X$4:$X$2503,"盘盈",入库单!$C$4:$C$2503,"&gt;="&amp;账期起,入库单!$C$4:$C$2503,"&lt;="&amp;账期止)+COUNTIFS(出库单!$D$4:$D$4003,$A1032,出库单!$K$4:$K$4003,"盘亏",出库单!$C$4:$C$4003,"&gt;="&amp;账期起,出库单!$C$4:$C$4003,"&lt;="&amp;账期止)&gt;0,"已调账","※差异还没调账")))</f>
        <v/>
      </c>
      <c r="Q1032" s="17" t="n"/>
      <c r="R1032" s="17" t="n"/>
    </row>
    <row r="1033">
      <c r="A1033" s="24">
        <f>IF(库存台账!$A1033="","",库存台账!$A1033)</f>
        <v/>
      </c>
      <c r="B1033" s="24">
        <f>IF($A1033="","",库存台账!$B1033)</f>
        <v/>
      </c>
      <c r="C1033" s="24">
        <f>IF($A1033="","",库存台账!$C1033)</f>
        <v/>
      </c>
      <c r="D1033" s="24">
        <f>IF($A1033="","",库存台账!$D1033)</f>
        <v/>
      </c>
      <c r="E1033" s="24">
        <f>IF($A1033="","",库存台账!$E1033)</f>
        <v/>
      </c>
      <c r="F1033" s="24">
        <f>IF($A1033="","",库存台账!$F1033)</f>
        <v/>
      </c>
      <c r="G1033" s="17" t="n"/>
      <c r="H1033" s="23" t="n"/>
      <c r="I1033" s="27">
        <f>IF($A1033="","",库存台账!$X1033)</f>
        <v/>
      </c>
      <c r="J1033" s="27">
        <f>IF(OR($A1033="",$H1033=""),"",ROUND($H1033-$I1033,3))</f>
        <v/>
      </c>
      <c r="K1033" s="26">
        <f>IF($A1033="","",库存台账!$K1033)</f>
        <v/>
      </c>
      <c r="L1033" s="26">
        <f>IF($J1033="","",ROUND($J1033*$K1033,0))</f>
        <v/>
      </c>
      <c r="M1033" s="37">
        <f>IF(OR($J1033="",$I1033=0),"",ROUND($J1033/$I1033,4))</f>
        <v/>
      </c>
      <c r="N1033" s="17" t="n"/>
      <c r="O1033" s="17" t="n"/>
      <c r="P1033" s="24">
        <f>IF($J1033="","未盘",IF(ROUND($J1033,3)=0,"账实相符",IF(COUNTIFS(入库单!$G$4:$G$2503,$A1033,入库单!$X$4:$X$2503,"盘盈",入库单!$C$4:$C$2503,"&gt;="&amp;账期起,入库单!$C$4:$C$2503,"&lt;="&amp;账期止)+COUNTIFS(出库单!$D$4:$D$4003,$A1033,出库单!$K$4:$K$4003,"盘亏",出库单!$C$4:$C$4003,"&gt;="&amp;账期起,出库单!$C$4:$C$4003,"&lt;="&amp;账期止)&gt;0,"已调账","※差异还没调账")))</f>
        <v/>
      </c>
      <c r="Q1033" s="17" t="n"/>
      <c r="R1033" s="17" t="n"/>
    </row>
    <row r="1034">
      <c r="A1034" s="24">
        <f>IF(库存台账!$A1034="","",库存台账!$A1034)</f>
        <v/>
      </c>
      <c r="B1034" s="24">
        <f>IF($A1034="","",库存台账!$B1034)</f>
        <v/>
      </c>
      <c r="C1034" s="24">
        <f>IF($A1034="","",库存台账!$C1034)</f>
        <v/>
      </c>
      <c r="D1034" s="24">
        <f>IF($A1034="","",库存台账!$D1034)</f>
        <v/>
      </c>
      <c r="E1034" s="24">
        <f>IF($A1034="","",库存台账!$E1034)</f>
        <v/>
      </c>
      <c r="F1034" s="24">
        <f>IF($A1034="","",库存台账!$F1034)</f>
        <v/>
      </c>
      <c r="G1034" s="17" t="n"/>
      <c r="H1034" s="23" t="n"/>
      <c r="I1034" s="27">
        <f>IF($A1034="","",库存台账!$X1034)</f>
        <v/>
      </c>
      <c r="J1034" s="27">
        <f>IF(OR($A1034="",$H1034=""),"",ROUND($H1034-$I1034,3))</f>
        <v/>
      </c>
      <c r="K1034" s="26">
        <f>IF($A1034="","",库存台账!$K1034)</f>
        <v/>
      </c>
      <c r="L1034" s="26">
        <f>IF($J1034="","",ROUND($J1034*$K1034,0))</f>
        <v/>
      </c>
      <c r="M1034" s="37">
        <f>IF(OR($J1034="",$I1034=0),"",ROUND($J1034/$I1034,4))</f>
        <v/>
      </c>
      <c r="N1034" s="17" t="n"/>
      <c r="O1034" s="17" t="n"/>
      <c r="P1034" s="24">
        <f>IF($J1034="","未盘",IF(ROUND($J1034,3)=0,"账实相符",IF(COUNTIFS(入库单!$G$4:$G$2503,$A1034,入库单!$X$4:$X$2503,"盘盈",入库单!$C$4:$C$2503,"&gt;="&amp;账期起,入库单!$C$4:$C$2503,"&lt;="&amp;账期止)+COUNTIFS(出库单!$D$4:$D$4003,$A1034,出库单!$K$4:$K$4003,"盘亏",出库单!$C$4:$C$4003,"&gt;="&amp;账期起,出库单!$C$4:$C$4003,"&lt;="&amp;账期止)&gt;0,"已调账","※差异还没调账")))</f>
        <v/>
      </c>
      <c r="Q1034" s="17" t="n"/>
      <c r="R1034" s="17" t="n"/>
    </row>
    <row r="1035">
      <c r="A1035" s="24">
        <f>IF(库存台账!$A1035="","",库存台账!$A1035)</f>
        <v/>
      </c>
      <c r="B1035" s="24">
        <f>IF($A1035="","",库存台账!$B1035)</f>
        <v/>
      </c>
      <c r="C1035" s="24">
        <f>IF($A1035="","",库存台账!$C1035)</f>
        <v/>
      </c>
      <c r="D1035" s="24">
        <f>IF($A1035="","",库存台账!$D1035)</f>
        <v/>
      </c>
      <c r="E1035" s="24">
        <f>IF($A1035="","",库存台账!$E1035)</f>
        <v/>
      </c>
      <c r="F1035" s="24">
        <f>IF($A1035="","",库存台账!$F1035)</f>
        <v/>
      </c>
      <c r="G1035" s="17" t="n"/>
      <c r="H1035" s="23" t="n"/>
      <c r="I1035" s="27">
        <f>IF($A1035="","",库存台账!$X1035)</f>
        <v/>
      </c>
      <c r="J1035" s="27">
        <f>IF(OR($A1035="",$H1035=""),"",ROUND($H1035-$I1035,3))</f>
        <v/>
      </c>
      <c r="K1035" s="26">
        <f>IF($A1035="","",库存台账!$K1035)</f>
        <v/>
      </c>
      <c r="L1035" s="26">
        <f>IF($J1035="","",ROUND($J1035*$K1035,0))</f>
        <v/>
      </c>
      <c r="M1035" s="37">
        <f>IF(OR($J1035="",$I1035=0),"",ROUND($J1035/$I1035,4))</f>
        <v/>
      </c>
      <c r="N1035" s="17" t="n"/>
      <c r="O1035" s="17" t="n"/>
      <c r="P1035" s="24">
        <f>IF($J1035="","未盘",IF(ROUND($J1035,3)=0,"账实相符",IF(COUNTIFS(入库单!$G$4:$G$2503,$A1035,入库单!$X$4:$X$2503,"盘盈",入库单!$C$4:$C$2503,"&gt;="&amp;账期起,入库单!$C$4:$C$2503,"&lt;="&amp;账期止)+COUNTIFS(出库单!$D$4:$D$4003,$A1035,出库单!$K$4:$K$4003,"盘亏",出库单!$C$4:$C$4003,"&gt;="&amp;账期起,出库单!$C$4:$C$4003,"&lt;="&amp;账期止)&gt;0,"已调账","※差异还没调账")))</f>
        <v/>
      </c>
      <c r="Q1035" s="17" t="n"/>
      <c r="R1035" s="17" t="n"/>
    </row>
    <row r="1036">
      <c r="A1036" s="24">
        <f>IF(库存台账!$A1036="","",库存台账!$A1036)</f>
        <v/>
      </c>
      <c r="B1036" s="24">
        <f>IF($A1036="","",库存台账!$B1036)</f>
        <v/>
      </c>
      <c r="C1036" s="24">
        <f>IF($A1036="","",库存台账!$C1036)</f>
        <v/>
      </c>
      <c r="D1036" s="24">
        <f>IF($A1036="","",库存台账!$D1036)</f>
        <v/>
      </c>
      <c r="E1036" s="24">
        <f>IF($A1036="","",库存台账!$E1036)</f>
        <v/>
      </c>
      <c r="F1036" s="24">
        <f>IF($A1036="","",库存台账!$F1036)</f>
        <v/>
      </c>
      <c r="G1036" s="17" t="n"/>
      <c r="H1036" s="23" t="n"/>
      <c r="I1036" s="27">
        <f>IF($A1036="","",库存台账!$X1036)</f>
        <v/>
      </c>
      <c r="J1036" s="27">
        <f>IF(OR($A1036="",$H1036=""),"",ROUND($H1036-$I1036,3))</f>
        <v/>
      </c>
      <c r="K1036" s="26">
        <f>IF($A1036="","",库存台账!$K1036)</f>
        <v/>
      </c>
      <c r="L1036" s="26">
        <f>IF($J1036="","",ROUND($J1036*$K1036,0))</f>
        <v/>
      </c>
      <c r="M1036" s="37">
        <f>IF(OR($J1036="",$I1036=0),"",ROUND($J1036/$I1036,4))</f>
        <v/>
      </c>
      <c r="N1036" s="17" t="n"/>
      <c r="O1036" s="17" t="n"/>
      <c r="P1036" s="24">
        <f>IF($J1036="","未盘",IF(ROUND($J1036,3)=0,"账实相符",IF(COUNTIFS(入库单!$G$4:$G$2503,$A1036,入库单!$X$4:$X$2503,"盘盈",入库单!$C$4:$C$2503,"&gt;="&amp;账期起,入库单!$C$4:$C$2503,"&lt;="&amp;账期止)+COUNTIFS(出库单!$D$4:$D$4003,$A1036,出库单!$K$4:$K$4003,"盘亏",出库单!$C$4:$C$4003,"&gt;="&amp;账期起,出库单!$C$4:$C$4003,"&lt;="&amp;账期止)&gt;0,"已调账","※差异还没调账")))</f>
        <v/>
      </c>
      <c r="Q1036" s="17" t="n"/>
      <c r="R1036" s="17" t="n"/>
    </row>
    <row r="1037">
      <c r="A1037" s="24">
        <f>IF(库存台账!$A1037="","",库存台账!$A1037)</f>
        <v/>
      </c>
      <c r="B1037" s="24">
        <f>IF($A1037="","",库存台账!$B1037)</f>
        <v/>
      </c>
      <c r="C1037" s="24">
        <f>IF($A1037="","",库存台账!$C1037)</f>
        <v/>
      </c>
      <c r="D1037" s="24">
        <f>IF($A1037="","",库存台账!$D1037)</f>
        <v/>
      </c>
      <c r="E1037" s="24">
        <f>IF($A1037="","",库存台账!$E1037)</f>
        <v/>
      </c>
      <c r="F1037" s="24">
        <f>IF($A1037="","",库存台账!$F1037)</f>
        <v/>
      </c>
      <c r="G1037" s="17" t="n"/>
      <c r="H1037" s="23" t="n"/>
      <c r="I1037" s="27">
        <f>IF($A1037="","",库存台账!$X1037)</f>
        <v/>
      </c>
      <c r="J1037" s="27">
        <f>IF(OR($A1037="",$H1037=""),"",ROUND($H1037-$I1037,3))</f>
        <v/>
      </c>
      <c r="K1037" s="26">
        <f>IF($A1037="","",库存台账!$K1037)</f>
        <v/>
      </c>
      <c r="L1037" s="26">
        <f>IF($J1037="","",ROUND($J1037*$K1037,0))</f>
        <v/>
      </c>
      <c r="M1037" s="37">
        <f>IF(OR($J1037="",$I1037=0),"",ROUND($J1037/$I1037,4))</f>
        <v/>
      </c>
      <c r="N1037" s="17" t="n"/>
      <c r="O1037" s="17" t="n"/>
      <c r="P1037" s="24">
        <f>IF($J1037="","未盘",IF(ROUND($J1037,3)=0,"账实相符",IF(COUNTIFS(入库单!$G$4:$G$2503,$A1037,入库单!$X$4:$X$2503,"盘盈",入库单!$C$4:$C$2503,"&gt;="&amp;账期起,入库单!$C$4:$C$2503,"&lt;="&amp;账期止)+COUNTIFS(出库单!$D$4:$D$4003,$A1037,出库单!$K$4:$K$4003,"盘亏",出库单!$C$4:$C$4003,"&gt;="&amp;账期起,出库单!$C$4:$C$4003,"&lt;="&amp;账期止)&gt;0,"已调账","※差异还没调账")))</f>
        <v/>
      </c>
      <c r="Q1037" s="17" t="n"/>
      <c r="R1037" s="17" t="n"/>
    </row>
    <row r="1038">
      <c r="A1038" s="24">
        <f>IF(库存台账!$A1038="","",库存台账!$A1038)</f>
        <v/>
      </c>
      <c r="B1038" s="24">
        <f>IF($A1038="","",库存台账!$B1038)</f>
        <v/>
      </c>
      <c r="C1038" s="24">
        <f>IF($A1038="","",库存台账!$C1038)</f>
        <v/>
      </c>
      <c r="D1038" s="24">
        <f>IF($A1038="","",库存台账!$D1038)</f>
        <v/>
      </c>
      <c r="E1038" s="24">
        <f>IF($A1038="","",库存台账!$E1038)</f>
        <v/>
      </c>
      <c r="F1038" s="24">
        <f>IF($A1038="","",库存台账!$F1038)</f>
        <v/>
      </c>
      <c r="G1038" s="17" t="n"/>
      <c r="H1038" s="23" t="n"/>
      <c r="I1038" s="27">
        <f>IF($A1038="","",库存台账!$X1038)</f>
        <v/>
      </c>
      <c r="J1038" s="27">
        <f>IF(OR($A1038="",$H1038=""),"",ROUND($H1038-$I1038,3))</f>
        <v/>
      </c>
      <c r="K1038" s="26">
        <f>IF($A1038="","",库存台账!$K1038)</f>
        <v/>
      </c>
      <c r="L1038" s="26">
        <f>IF($J1038="","",ROUND($J1038*$K1038,0))</f>
        <v/>
      </c>
      <c r="M1038" s="37">
        <f>IF(OR($J1038="",$I1038=0),"",ROUND($J1038/$I1038,4))</f>
        <v/>
      </c>
      <c r="N1038" s="17" t="n"/>
      <c r="O1038" s="17" t="n"/>
      <c r="P1038" s="24">
        <f>IF($J1038="","未盘",IF(ROUND($J1038,3)=0,"账实相符",IF(COUNTIFS(入库单!$G$4:$G$2503,$A1038,入库单!$X$4:$X$2503,"盘盈",入库单!$C$4:$C$2503,"&gt;="&amp;账期起,入库单!$C$4:$C$2503,"&lt;="&amp;账期止)+COUNTIFS(出库单!$D$4:$D$4003,$A1038,出库单!$K$4:$K$4003,"盘亏",出库单!$C$4:$C$4003,"&gt;="&amp;账期起,出库单!$C$4:$C$4003,"&lt;="&amp;账期止)&gt;0,"已调账","※差异还没调账")))</f>
        <v/>
      </c>
      <c r="Q1038" s="17" t="n"/>
      <c r="R1038" s="17" t="n"/>
    </row>
    <row r="1039">
      <c r="A1039" s="24">
        <f>IF(库存台账!$A1039="","",库存台账!$A1039)</f>
        <v/>
      </c>
      <c r="B1039" s="24">
        <f>IF($A1039="","",库存台账!$B1039)</f>
        <v/>
      </c>
      <c r="C1039" s="24">
        <f>IF($A1039="","",库存台账!$C1039)</f>
        <v/>
      </c>
      <c r="D1039" s="24">
        <f>IF($A1039="","",库存台账!$D1039)</f>
        <v/>
      </c>
      <c r="E1039" s="24">
        <f>IF($A1039="","",库存台账!$E1039)</f>
        <v/>
      </c>
      <c r="F1039" s="24">
        <f>IF($A1039="","",库存台账!$F1039)</f>
        <v/>
      </c>
      <c r="G1039" s="17" t="n"/>
      <c r="H1039" s="23" t="n"/>
      <c r="I1039" s="27">
        <f>IF($A1039="","",库存台账!$X1039)</f>
        <v/>
      </c>
      <c r="J1039" s="27">
        <f>IF(OR($A1039="",$H1039=""),"",ROUND($H1039-$I1039,3))</f>
        <v/>
      </c>
      <c r="K1039" s="26">
        <f>IF($A1039="","",库存台账!$K1039)</f>
        <v/>
      </c>
      <c r="L1039" s="26">
        <f>IF($J1039="","",ROUND($J1039*$K1039,0))</f>
        <v/>
      </c>
      <c r="M1039" s="37">
        <f>IF(OR($J1039="",$I1039=0),"",ROUND($J1039/$I1039,4))</f>
        <v/>
      </c>
      <c r="N1039" s="17" t="n"/>
      <c r="O1039" s="17" t="n"/>
      <c r="P1039" s="24">
        <f>IF($J1039="","未盘",IF(ROUND($J1039,3)=0,"账实相符",IF(COUNTIFS(入库单!$G$4:$G$2503,$A1039,入库单!$X$4:$X$2503,"盘盈",入库单!$C$4:$C$2503,"&gt;="&amp;账期起,入库单!$C$4:$C$2503,"&lt;="&amp;账期止)+COUNTIFS(出库单!$D$4:$D$4003,$A1039,出库单!$K$4:$K$4003,"盘亏",出库单!$C$4:$C$4003,"&gt;="&amp;账期起,出库单!$C$4:$C$4003,"&lt;="&amp;账期止)&gt;0,"已调账","※差异还没调账")))</f>
        <v/>
      </c>
      <c r="Q1039" s="17" t="n"/>
      <c r="R1039" s="17" t="n"/>
    </row>
    <row r="1040">
      <c r="A1040" s="24">
        <f>IF(库存台账!$A1040="","",库存台账!$A1040)</f>
        <v/>
      </c>
      <c r="B1040" s="24">
        <f>IF($A1040="","",库存台账!$B1040)</f>
        <v/>
      </c>
      <c r="C1040" s="24">
        <f>IF($A1040="","",库存台账!$C1040)</f>
        <v/>
      </c>
      <c r="D1040" s="24">
        <f>IF($A1040="","",库存台账!$D1040)</f>
        <v/>
      </c>
      <c r="E1040" s="24">
        <f>IF($A1040="","",库存台账!$E1040)</f>
        <v/>
      </c>
      <c r="F1040" s="24">
        <f>IF($A1040="","",库存台账!$F1040)</f>
        <v/>
      </c>
      <c r="G1040" s="17" t="n"/>
      <c r="H1040" s="23" t="n"/>
      <c r="I1040" s="27">
        <f>IF($A1040="","",库存台账!$X1040)</f>
        <v/>
      </c>
      <c r="J1040" s="27">
        <f>IF(OR($A1040="",$H1040=""),"",ROUND($H1040-$I1040,3))</f>
        <v/>
      </c>
      <c r="K1040" s="26">
        <f>IF($A1040="","",库存台账!$K1040)</f>
        <v/>
      </c>
      <c r="L1040" s="26">
        <f>IF($J1040="","",ROUND($J1040*$K1040,0))</f>
        <v/>
      </c>
      <c r="M1040" s="37">
        <f>IF(OR($J1040="",$I1040=0),"",ROUND($J1040/$I1040,4))</f>
        <v/>
      </c>
      <c r="N1040" s="17" t="n"/>
      <c r="O1040" s="17" t="n"/>
      <c r="P1040" s="24">
        <f>IF($J1040="","未盘",IF(ROUND($J1040,3)=0,"账实相符",IF(COUNTIFS(入库单!$G$4:$G$2503,$A1040,入库单!$X$4:$X$2503,"盘盈",入库单!$C$4:$C$2503,"&gt;="&amp;账期起,入库单!$C$4:$C$2503,"&lt;="&amp;账期止)+COUNTIFS(出库单!$D$4:$D$4003,$A1040,出库单!$K$4:$K$4003,"盘亏",出库单!$C$4:$C$4003,"&gt;="&amp;账期起,出库单!$C$4:$C$4003,"&lt;="&amp;账期止)&gt;0,"已调账","※差异还没调账")))</f>
        <v/>
      </c>
      <c r="Q1040" s="17" t="n"/>
      <c r="R1040" s="17" t="n"/>
    </row>
    <row r="1041">
      <c r="A1041" s="24">
        <f>IF(库存台账!$A1041="","",库存台账!$A1041)</f>
        <v/>
      </c>
      <c r="B1041" s="24">
        <f>IF($A1041="","",库存台账!$B1041)</f>
        <v/>
      </c>
      <c r="C1041" s="24">
        <f>IF($A1041="","",库存台账!$C1041)</f>
        <v/>
      </c>
      <c r="D1041" s="24">
        <f>IF($A1041="","",库存台账!$D1041)</f>
        <v/>
      </c>
      <c r="E1041" s="24">
        <f>IF($A1041="","",库存台账!$E1041)</f>
        <v/>
      </c>
      <c r="F1041" s="24">
        <f>IF($A1041="","",库存台账!$F1041)</f>
        <v/>
      </c>
      <c r="G1041" s="17" t="n"/>
      <c r="H1041" s="23" t="n"/>
      <c r="I1041" s="27">
        <f>IF($A1041="","",库存台账!$X1041)</f>
        <v/>
      </c>
      <c r="J1041" s="27">
        <f>IF(OR($A1041="",$H1041=""),"",ROUND($H1041-$I1041,3))</f>
        <v/>
      </c>
      <c r="K1041" s="26">
        <f>IF($A1041="","",库存台账!$K1041)</f>
        <v/>
      </c>
      <c r="L1041" s="26">
        <f>IF($J1041="","",ROUND($J1041*$K1041,0))</f>
        <v/>
      </c>
      <c r="M1041" s="37">
        <f>IF(OR($J1041="",$I1041=0),"",ROUND($J1041/$I1041,4))</f>
        <v/>
      </c>
      <c r="N1041" s="17" t="n"/>
      <c r="O1041" s="17" t="n"/>
      <c r="P1041" s="24">
        <f>IF($J1041="","未盘",IF(ROUND($J1041,3)=0,"账实相符",IF(COUNTIFS(入库单!$G$4:$G$2503,$A1041,入库单!$X$4:$X$2503,"盘盈",入库单!$C$4:$C$2503,"&gt;="&amp;账期起,入库单!$C$4:$C$2503,"&lt;="&amp;账期止)+COUNTIFS(出库单!$D$4:$D$4003,$A1041,出库单!$K$4:$K$4003,"盘亏",出库单!$C$4:$C$4003,"&gt;="&amp;账期起,出库单!$C$4:$C$4003,"&lt;="&amp;账期止)&gt;0,"已调账","※差异还没调账")))</f>
        <v/>
      </c>
      <c r="Q1041" s="17" t="n"/>
      <c r="R1041" s="17" t="n"/>
    </row>
    <row r="1042">
      <c r="A1042" s="24">
        <f>IF(库存台账!$A1042="","",库存台账!$A1042)</f>
        <v/>
      </c>
      <c r="B1042" s="24">
        <f>IF($A1042="","",库存台账!$B1042)</f>
        <v/>
      </c>
      <c r="C1042" s="24">
        <f>IF($A1042="","",库存台账!$C1042)</f>
        <v/>
      </c>
      <c r="D1042" s="24">
        <f>IF($A1042="","",库存台账!$D1042)</f>
        <v/>
      </c>
      <c r="E1042" s="24">
        <f>IF($A1042="","",库存台账!$E1042)</f>
        <v/>
      </c>
      <c r="F1042" s="24">
        <f>IF($A1042="","",库存台账!$F1042)</f>
        <v/>
      </c>
      <c r="G1042" s="17" t="n"/>
      <c r="H1042" s="23" t="n"/>
      <c r="I1042" s="27">
        <f>IF($A1042="","",库存台账!$X1042)</f>
        <v/>
      </c>
      <c r="J1042" s="27">
        <f>IF(OR($A1042="",$H1042=""),"",ROUND($H1042-$I1042,3))</f>
        <v/>
      </c>
      <c r="K1042" s="26">
        <f>IF($A1042="","",库存台账!$K1042)</f>
        <v/>
      </c>
      <c r="L1042" s="26">
        <f>IF($J1042="","",ROUND($J1042*$K1042,0))</f>
        <v/>
      </c>
      <c r="M1042" s="37">
        <f>IF(OR($J1042="",$I1042=0),"",ROUND($J1042/$I1042,4))</f>
        <v/>
      </c>
      <c r="N1042" s="17" t="n"/>
      <c r="O1042" s="17" t="n"/>
      <c r="P1042" s="24">
        <f>IF($J1042="","未盘",IF(ROUND($J1042,3)=0,"账实相符",IF(COUNTIFS(入库单!$G$4:$G$2503,$A1042,入库单!$X$4:$X$2503,"盘盈",入库单!$C$4:$C$2503,"&gt;="&amp;账期起,入库单!$C$4:$C$2503,"&lt;="&amp;账期止)+COUNTIFS(出库单!$D$4:$D$4003,$A1042,出库单!$K$4:$K$4003,"盘亏",出库单!$C$4:$C$4003,"&gt;="&amp;账期起,出库单!$C$4:$C$4003,"&lt;="&amp;账期止)&gt;0,"已调账","※差异还没调账")))</f>
        <v/>
      </c>
      <c r="Q1042" s="17" t="n"/>
      <c r="R1042" s="17" t="n"/>
    </row>
    <row r="1043">
      <c r="A1043" s="24">
        <f>IF(库存台账!$A1043="","",库存台账!$A1043)</f>
        <v/>
      </c>
      <c r="B1043" s="24">
        <f>IF($A1043="","",库存台账!$B1043)</f>
        <v/>
      </c>
      <c r="C1043" s="24">
        <f>IF($A1043="","",库存台账!$C1043)</f>
        <v/>
      </c>
      <c r="D1043" s="24">
        <f>IF($A1043="","",库存台账!$D1043)</f>
        <v/>
      </c>
      <c r="E1043" s="24">
        <f>IF($A1043="","",库存台账!$E1043)</f>
        <v/>
      </c>
      <c r="F1043" s="24">
        <f>IF($A1043="","",库存台账!$F1043)</f>
        <v/>
      </c>
      <c r="G1043" s="17" t="n"/>
      <c r="H1043" s="23" t="n"/>
      <c r="I1043" s="27">
        <f>IF($A1043="","",库存台账!$X1043)</f>
        <v/>
      </c>
      <c r="J1043" s="27">
        <f>IF(OR($A1043="",$H1043=""),"",ROUND($H1043-$I1043,3))</f>
        <v/>
      </c>
      <c r="K1043" s="26">
        <f>IF($A1043="","",库存台账!$K1043)</f>
        <v/>
      </c>
      <c r="L1043" s="26">
        <f>IF($J1043="","",ROUND($J1043*$K1043,0))</f>
        <v/>
      </c>
      <c r="M1043" s="37">
        <f>IF(OR($J1043="",$I1043=0),"",ROUND($J1043/$I1043,4))</f>
        <v/>
      </c>
      <c r="N1043" s="17" t="n"/>
      <c r="O1043" s="17" t="n"/>
      <c r="P1043" s="24">
        <f>IF($J1043="","未盘",IF(ROUND($J1043,3)=0,"账实相符",IF(COUNTIFS(入库单!$G$4:$G$2503,$A1043,入库单!$X$4:$X$2503,"盘盈",入库单!$C$4:$C$2503,"&gt;="&amp;账期起,入库单!$C$4:$C$2503,"&lt;="&amp;账期止)+COUNTIFS(出库单!$D$4:$D$4003,$A1043,出库单!$K$4:$K$4003,"盘亏",出库单!$C$4:$C$4003,"&gt;="&amp;账期起,出库单!$C$4:$C$4003,"&lt;="&amp;账期止)&gt;0,"已调账","※差异还没调账")))</f>
        <v/>
      </c>
      <c r="Q1043" s="17" t="n"/>
      <c r="R1043" s="17" t="n"/>
    </row>
    <row r="1044">
      <c r="A1044" s="24">
        <f>IF(库存台账!$A1044="","",库存台账!$A1044)</f>
        <v/>
      </c>
      <c r="B1044" s="24">
        <f>IF($A1044="","",库存台账!$B1044)</f>
        <v/>
      </c>
      <c r="C1044" s="24">
        <f>IF($A1044="","",库存台账!$C1044)</f>
        <v/>
      </c>
      <c r="D1044" s="24">
        <f>IF($A1044="","",库存台账!$D1044)</f>
        <v/>
      </c>
      <c r="E1044" s="24">
        <f>IF($A1044="","",库存台账!$E1044)</f>
        <v/>
      </c>
      <c r="F1044" s="24">
        <f>IF($A1044="","",库存台账!$F1044)</f>
        <v/>
      </c>
      <c r="G1044" s="17" t="n"/>
      <c r="H1044" s="23" t="n"/>
      <c r="I1044" s="27">
        <f>IF($A1044="","",库存台账!$X1044)</f>
        <v/>
      </c>
      <c r="J1044" s="27">
        <f>IF(OR($A1044="",$H1044=""),"",ROUND($H1044-$I1044,3))</f>
        <v/>
      </c>
      <c r="K1044" s="26">
        <f>IF($A1044="","",库存台账!$K1044)</f>
        <v/>
      </c>
      <c r="L1044" s="26">
        <f>IF($J1044="","",ROUND($J1044*$K1044,0))</f>
        <v/>
      </c>
      <c r="M1044" s="37">
        <f>IF(OR($J1044="",$I1044=0),"",ROUND($J1044/$I1044,4))</f>
        <v/>
      </c>
      <c r="N1044" s="17" t="n"/>
      <c r="O1044" s="17" t="n"/>
      <c r="P1044" s="24">
        <f>IF($J1044="","未盘",IF(ROUND($J1044,3)=0,"账实相符",IF(COUNTIFS(入库单!$G$4:$G$2503,$A1044,入库单!$X$4:$X$2503,"盘盈",入库单!$C$4:$C$2503,"&gt;="&amp;账期起,入库单!$C$4:$C$2503,"&lt;="&amp;账期止)+COUNTIFS(出库单!$D$4:$D$4003,$A1044,出库单!$K$4:$K$4003,"盘亏",出库单!$C$4:$C$4003,"&gt;="&amp;账期起,出库单!$C$4:$C$4003,"&lt;="&amp;账期止)&gt;0,"已调账","※差异还没调账")))</f>
        <v/>
      </c>
      <c r="Q1044" s="17" t="n"/>
      <c r="R1044" s="17" t="n"/>
    </row>
    <row r="1045">
      <c r="A1045" s="24">
        <f>IF(库存台账!$A1045="","",库存台账!$A1045)</f>
        <v/>
      </c>
      <c r="B1045" s="24">
        <f>IF($A1045="","",库存台账!$B1045)</f>
        <v/>
      </c>
      <c r="C1045" s="24">
        <f>IF($A1045="","",库存台账!$C1045)</f>
        <v/>
      </c>
      <c r="D1045" s="24">
        <f>IF($A1045="","",库存台账!$D1045)</f>
        <v/>
      </c>
      <c r="E1045" s="24">
        <f>IF($A1045="","",库存台账!$E1045)</f>
        <v/>
      </c>
      <c r="F1045" s="24">
        <f>IF($A1045="","",库存台账!$F1045)</f>
        <v/>
      </c>
      <c r="G1045" s="17" t="n"/>
      <c r="H1045" s="23" t="n"/>
      <c r="I1045" s="27">
        <f>IF($A1045="","",库存台账!$X1045)</f>
        <v/>
      </c>
      <c r="J1045" s="27">
        <f>IF(OR($A1045="",$H1045=""),"",ROUND($H1045-$I1045,3))</f>
        <v/>
      </c>
      <c r="K1045" s="26">
        <f>IF($A1045="","",库存台账!$K1045)</f>
        <v/>
      </c>
      <c r="L1045" s="26">
        <f>IF($J1045="","",ROUND($J1045*$K1045,0))</f>
        <v/>
      </c>
      <c r="M1045" s="37">
        <f>IF(OR($J1045="",$I1045=0),"",ROUND($J1045/$I1045,4))</f>
        <v/>
      </c>
      <c r="N1045" s="17" t="n"/>
      <c r="O1045" s="17" t="n"/>
      <c r="P1045" s="24">
        <f>IF($J1045="","未盘",IF(ROUND($J1045,3)=0,"账实相符",IF(COUNTIFS(入库单!$G$4:$G$2503,$A1045,入库单!$X$4:$X$2503,"盘盈",入库单!$C$4:$C$2503,"&gt;="&amp;账期起,入库单!$C$4:$C$2503,"&lt;="&amp;账期止)+COUNTIFS(出库单!$D$4:$D$4003,$A1045,出库单!$K$4:$K$4003,"盘亏",出库单!$C$4:$C$4003,"&gt;="&amp;账期起,出库单!$C$4:$C$4003,"&lt;="&amp;账期止)&gt;0,"已调账","※差异还没调账")))</f>
        <v/>
      </c>
      <c r="Q1045" s="17" t="n"/>
      <c r="R1045" s="17" t="n"/>
    </row>
    <row r="1046">
      <c r="A1046" s="24">
        <f>IF(库存台账!$A1046="","",库存台账!$A1046)</f>
        <v/>
      </c>
      <c r="B1046" s="24">
        <f>IF($A1046="","",库存台账!$B1046)</f>
        <v/>
      </c>
      <c r="C1046" s="24">
        <f>IF($A1046="","",库存台账!$C1046)</f>
        <v/>
      </c>
      <c r="D1046" s="24">
        <f>IF($A1046="","",库存台账!$D1046)</f>
        <v/>
      </c>
      <c r="E1046" s="24">
        <f>IF($A1046="","",库存台账!$E1046)</f>
        <v/>
      </c>
      <c r="F1046" s="24">
        <f>IF($A1046="","",库存台账!$F1046)</f>
        <v/>
      </c>
      <c r="G1046" s="17" t="n"/>
      <c r="H1046" s="23" t="n"/>
      <c r="I1046" s="27">
        <f>IF($A1046="","",库存台账!$X1046)</f>
        <v/>
      </c>
      <c r="J1046" s="27">
        <f>IF(OR($A1046="",$H1046=""),"",ROUND($H1046-$I1046,3))</f>
        <v/>
      </c>
      <c r="K1046" s="26">
        <f>IF($A1046="","",库存台账!$K1046)</f>
        <v/>
      </c>
      <c r="L1046" s="26">
        <f>IF($J1046="","",ROUND($J1046*$K1046,0))</f>
        <v/>
      </c>
      <c r="M1046" s="37">
        <f>IF(OR($J1046="",$I1046=0),"",ROUND($J1046/$I1046,4))</f>
        <v/>
      </c>
      <c r="N1046" s="17" t="n"/>
      <c r="O1046" s="17" t="n"/>
      <c r="P1046" s="24">
        <f>IF($J1046="","未盘",IF(ROUND($J1046,3)=0,"账实相符",IF(COUNTIFS(入库单!$G$4:$G$2503,$A1046,入库单!$X$4:$X$2503,"盘盈",入库单!$C$4:$C$2503,"&gt;="&amp;账期起,入库单!$C$4:$C$2503,"&lt;="&amp;账期止)+COUNTIFS(出库单!$D$4:$D$4003,$A1046,出库单!$K$4:$K$4003,"盘亏",出库单!$C$4:$C$4003,"&gt;="&amp;账期起,出库单!$C$4:$C$4003,"&lt;="&amp;账期止)&gt;0,"已调账","※差异还没调账")))</f>
        <v/>
      </c>
      <c r="Q1046" s="17" t="n"/>
      <c r="R1046" s="17" t="n"/>
    </row>
    <row r="1047">
      <c r="A1047" s="24">
        <f>IF(库存台账!$A1047="","",库存台账!$A1047)</f>
        <v/>
      </c>
      <c r="B1047" s="24">
        <f>IF($A1047="","",库存台账!$B1047)</f>
        <v/>
      </c>
      <c r="C1047" s="24">
        <f>IF($A1047="","",库存台账!$C1047)</f>
        <v/>
      </c>
      <c r="D1047" s="24">
        <f>IF($A1047="","",库存台账!$D1047)</f>
        <v/>
      </c>
      <c r="E1047" s="24">
        <f>IF($A1047="","",库存台账!$E1047)</f>
        <v/>
      </c>
      <c r="F1047" s="24">
        <f>IF($A1047="","",库存台账!$F1047)</f>
        <v/>
      </c>
      <c r="G1047" s="17" t="n"/>
      <c r="H1047" s="23" t="n"/>
      <c r="I1047" s="27">
        <f>IF($A1047="","",库存台账!$X1047)</f>
        <v/>
      </c>
      <c r="J1047" s="27">
        <f>IF(OR($A1047="",$H1047=""),"",ROUND($H1047-$I1047,3))</f>
        <v/>
      </c>
      <c r="K1047" s="26">
        <f>IF($A1047="","",库存台账!$K1047)</f>
        <v/>
      </c>
      <c r="L1047" s="26">
        <f>IF($J1047="","",ROUND($J1047*$K1047,0))</f>
        <v/>
      </c>
      <c r="M1047" s="37">
        <f>IF(OR($J1047="",$I1047=0),"",ROUND($J1047/$I1047,4))</f>
        <v/>
      </c>
      <c r="N1047" s="17" t="n"/>
      <c r="O1047" s="17" t="n"/>
      <c r="P1047" s="24">
        <f>IF($J1047="","未盘",IF(ROUND($J1047,3)=0,"账实相符",IF(COUNTIFS(入库单!$G$4:$G$2503,$A1047,入库单!$X$4:$X$2503,"盘盈",入库单!$C$4:$C$2503,"&gt;="&amp;账期起,入库单!$C$4:$C$2503,"&lt;="&amp;账期止)+COUNTIFS(出库单!$D$4:$D$4003,$A1047,出库单!$K$4:$K$4003,"盘亏",出库单!$C$4:$C$4003,"&gt;="&amp;账期起,出库单!$C$4:$C$4003,"&lt;="&amp;账期止)&gt;0,"已调账","※差异还没调账")))</f>
        <v/>
      </c>
      <c r="Q1047" s="17" t="n"/>
      <c r="R1047" s="17" t="n"/>
    </row>
    <row r="1048">
      <c r="A1048" s="24">
        <f>IF(库存台账!$A1048="","",库存台账!$A1048)</f>
        <v/>
      </c>
      <c r="B1048" s="24">
        <f>IF($A1048="","",库存台账!$B1048)</f>
        <v/>
      </c>
      <c r="C1048" s="24">
        <f>IF($A1048="","",库存台账!$C1048)</f>
        <v/>
      </c>
      <c r="D1048" s="24">
        <f>IF($A1048="","",库存台账!$D1048)</f>
        <v/>
      </c>
      <c r="E1048" s="24">
        <f>IF($A1048="","",库存台账!$E1048)</f>
        <v/>
      </c>
      <c r="F1048" s="24">
        <f>IF($A1048="","",库存台账!$F1048)</f>
        <v/>
      </c>
      <c r="G1048" s="17" t="n"/>
      <c r="H1048" s="23" t="n"/>
      <c r="I1048" s="27">
        <f>IF($A1048="","",库存台账!$X1048)</f>
        <v/>
      </c>
      <c r="J1048" s="27">
        <f>IF(OR($A1048="",$H1048=""),"",ROUND($H1048-$I1048,3))</f>
        <v/>
      </c>
      <c r="K1048" s="26">
        <f>IF($A1048="","",库存台账!$K1048)</f>
        <v/>
      </c>
      <c r="L1048" s="26">
        <f>IF($J1048="","",ROUND($J1048*$K1048,0))</f>
        <v/>
      </c>
      <c r="M1048" s="37">
        <f>IF(OR($J1048="",$I1048=0),"",ROUND($J1048/$I1048,4))</f>
        <v/>
      </c>
      <c r="N1048" s="17" t="n"/>
      <c r="O1048" s="17" t="n"/>
      <c r="P1048" s="24">
        <f>IF($J1048="","未盘",IF(ROUND($J1048,3)=0,"账实相符",IF(COUNTIFS(入库单!$G$4:$G$2503,$A1048,入库单!$X$4:$X$2503,"盘盈",入库单!$C$4:$C$2503,"&gt;="&amp;账期起,入库单!$C$4:$C$2503,"&lt;="&amp;账期止)+COUNTIFS(出库单!$D$4:$D$4003,$A1048,出库单!$K$4:$K$4003,"盘亏",出库单!$C$4:$C$4003,"&gt;="&amp;账期起,出库单!$C$4:$C$4003,"&lt;="&amp;账期止)&gt;0,"已调账","※差异还没调账")))</f>
        <v/>
      </c>
      <c r="Q1048" s="17" t="n"/>
      <c r="R1048" s="17" t="n"/>
    </row>
    <row r="1049">
      <c r="A1049" s="24">
        <f>IF(库存台账!$A1049="","",库存台账!$A1049)</f>
        <v/>
      </c>
      <c r="B1049" s="24">
        <f>IF($A1049="","",库存台账!$B1049)</f>
        <v/>
      </c>
      <c r="C1049" s="24">
        <f>IF($A1049="","",库存台账!$C1049)</f>
        <v/>
      </c>
      <c r="D1049" s="24">
        <f>IF($A1049="","",库存台账!$D1049)</f>
        <v/>
      </c>
      <c r="E1049" s="24">
        <f>IF($A1049="","",库存台账!$E1049)</f>
        <v/>
      </c>
      <c r="F1049" s="24">
        <f>IF($A1049="","",库存台账!$F1049)</f>
        <v/>
      </c>
      <c r="G1049" s="17" t="n"/>
      <c r="H1049" s="23" t="n"/>
      <c r="I1049" s="27">
        <f>IF($A1049="","",库存台账!$X1049)</f>
        <v/>
      </c>
      <c r="J1049" s="27">
        <f>IF(OR($A1049="",$H1049=""),"",ROUND($H1049-$I1049,3))</f>
        <v/>
      </c>
      <c r="K1049" s="26">
        <f>IF($A1049="","",库存台账!$K1049)</f>
        <v/>
      </c>
      <c r="L1049" s="26">
        <f>IF($J1049="","",ROUND($J1049*$K1049,0))</f>
        <v/>
      </c>
      <c r="M1049" s="37">
        <f>IF(OR($J1049="",$I1049=0),"",ROUND($J1049/$I1049,4))</f>
        <v/>
      </c>
      <c r="N1049" s="17" t="n"/>
      <c r="O1049" s="17" t="n"/>
      <c r="P1049" s="24">
        <f>IF($J1049="","未盘",IF(ROUND($J1049,3)=0,"账实相符",IF(COUNTIFS(入库单!$G$4:$G$2503,$A1049,入库单!$X$4:$X$2503,"盘盈",入库单!$C$4:$C$2503,"&gt;="&amp;账期起,入库单!$C$4:$C$2503,"&lt;="&amp;账期止)+COUNTIFS(出库单!$D$4:$D$4003,$A1049,出库单!$K$4:$K$4003,"盘亏",出库单!$C$4:$C$4003,"&gt;="&amp;账期起,出库单!$C$4:$C$4003,"&lt;="&amp;账期止)&gt;0,"已调账","※差异还没调账")))</f>
        <v/>
      </c>
      <c r="Q1049" s="17" t="n"/>
      <c r="R1049" s="17" t="n"/>
    </row>
    <row r="1050">
      <c r="A1050" s="24">
        <f>IF(库存台账!$A1050="","",库存台账!$A1050)</f>
        <v/>
      </c>
      <c r="B1050" s="24">
        <f>IF($A1050="","",库存台账!$B1050)</f>
        <v/>
      </c>
      <c r="C1050" s="24">
        <f>IF($A1050="","",库存台账!$C1050)</f>
        <v/>
      </c>
      <c r="D1050" s="24">
        <f>IF($A1050="","",库存台账!$D1050)</f>
        <v/>
      </c>
      <c r="E1050" s="24">
        <f>IF($A1050="","",库存台账!$E1050)</f>
        <v/>
      </c>
      <c r="F1050" s="24">
        <f>IF($A1050="","",库存台账!$F1050)</f>
        <v/>
      </c>
      <c r="G1050" s="17" t="n"/>
      <c r="H1050" s="23" t="n"/>
      <c r="I1050" s="27">
        <f>IF($A1050="","",库存台账!$X1050)</f>
        <v/>
      </c>
      <c r="J1050" s="27">
        <f>IF(OR($A1050="",$H1050=""),"",ROUND($H1050-$I1050,3))</f>
        <v/>
      </c>
      <c r="K1050" s="26">
        <f>IF($A1050="","",库存台账!$K1050)</f>
        <v/>
      </c>
      <c r="L1050" s="26">
        <f>IF($J1050="","",ROUND($J1050*$K1050,0))</f>
        <v/>
      </c>
      <c r="M1050" s="37">
        <f>IF(OR($J1050="",$I1050=0),"",ROUND($J1050/$I1050,4))</f>
        <v/>
      </c>
      <c r="N1050" s="17" t="n"/>
      <c r="O1050" s="17" t="n"/>
      <c r="P1050" s="24">
        <f>IF($J1050="","未盘",IF(ROUND($J1050,3)=0,"账实相符",IF(COUNTIFS(入库单!$G$4:$G$2503,$A1050,入库单!$X$4:$X$2503,"盘盈",入库单!$C$4:$C$2503,"&gt;="&amp;账期起,入库单!$C$4:$C$2503,"&lt;="&amp;账期止)+COUNTIFS(出库单!$D$4:$D$4003,$A1050,出库单!$K$4:$K$4003,"盘亏",出库单!$C$4:$C$4003,"&gt;="&amp;账期起,出库单!$C$4:$C$4003,"&lt;="&amp;账期止)&gt;0,"已调账","※差异还没调账")))</f>
        <v/>
      </c>
      <c r="Q1050" s="17" t="n"/>
      <c r="R1050" s="17" t="n"/>
    </row>
    <row r="1051">
      <c r="A1051" s="24">
        <f>IF(库存台账!$A1051="","",库存台账!$A1051)</f>
        <v/>
      </c>
      <c r="B1051" s="24">
        <f>IF($A1051="","",库存台账!$B1051)</f>
        <v/>
      </c>
      <c r="C1051" s="24">
        <f>IF($A1051="","",库存台账!$C1051)</f>
        <v/>
      </c>
      <c r="D1051" s="24">
        <f>IF($A1051="","",库存台账!$D1051)</f>
        <v/>
      </c>
      <c r="E1051" s="24">
        <f>IF($A1051="","",库存台账!$E1051)</f>
        <v/>
      </c>
      <c r="F1051" s="24">
        <f>IF($A1051="","",库存台账!$F1051)</f>
        <v/>
      </c>
      <c r="G1051" s="17" t="n"/>
      <c r="H1051" s="23" t="n"/>
      <c r="I1051" s="27">
        <f>IF($A1051="","",库存台账!$X1051)</f>
        <v/>
      </c>
      <c r="J1051" s="27">
        <f>IF(OR($A1051="",$H1051=""),"",ROUND($H1051-$I1051,3))</f>
        <v/>
      </c>
      <c r="K1051" s="26">
        <f>IF($A1051="","",库存台账!$K1051)</f>
        <v/>
      </c>
      <c r="L1051" s="26">
        <f>IF($J1051="","",ROUND($J1051*$K1051,0))</f>
        <v/>
      </c>
      <c r="M1051" s="37">
        <f>IF(OR($J1051="",$I1051=0),"",ROUND($J1051/$I1051,4))</f>
        <v/>
      </c>
      <c r="N1051" s="17" t="n"/>
      <c r="O1051" s="17" t="n"/>
      <c r="P1051" s="24">
        <f>IF($J1051="","未盘",IF(ROUND($J1051,3)=0,"账实相符",IF(COUNTIFS(入库单!$G$4:$G$2503,$A1051,入库单!$X$4:$X$2503,"盘盈",入库单!$C$4:$C$2503,"&gt;="&amp;账期起,入库单!$C$4:$C$2503,"&lt;="&amp;账期止)+COUNTIFS(出库单!$D$4:$D$4003,$A1051,出库单!$K$4:$K$4003,"盘亏",出库单!$C$4:$C$4003,"&gt;="&amp;账期起,出库单!$C$4:$C$4003,"&lt;="&amp;账期止)&gt;0,"已调账","※差异还没调账")))</f>
        <v/>
      </c>
      <c r="Q1051" s="17" t="n"/>
      <c r="R1051" s="17" t="n"/>
    </row>
    <row r="1052">
      <c r="A1052" s="24">
        <f>IF(库存台账!$A1052="","",库存台账!$A1052)</f>
        <v/>
      </c>
      <c r="B1052" s="24">
        <f>IF($A1052="","",库存台账!$B1052)</f>
        <v/>
      </c>
      <c r="C1052" s="24">
        <f>IF($A1052="","",库存台账!$C1052)</f>
        <v/>
      </c>
      <c r="D1052" s="24">
        <f>IF($A1052="","",库存台账!$D1052)</f>
        <v/>
      </c>
      <c r="E1052" s="24">
        <f>IF($A1052="","",库存台账!$E1052)</f>
        <v/>
      </c>
      <c r="F1052" s="24">
        <f>IF($A1052="","",库存台账!$F1052)</f>
        <v/>
      </c>
      <c r="G1052" s="17" t="n"/>
      <c r="H1052" s="23" t="n"/>
      <c r="I1052" s="27">
        <f>IF($A1052="","",库存台账!$X1052)</f>
        <v/>
      </c>
      <c r="J1052" s="27">
        <f>IF(OR($A1052="",$H1052=""),"",ROUND($H1052-$I1052,3))</f>
        <v/>
      </c>
      <c r="K1052" s="26">
        <f>IF($A1052="","",库存台账!$K1052)</f>
        <v/>
      </c>
      <c r="L1052" s="26">
        <f>IF($J1052="","",ROUND($J1052*$K1052,0))</f>
        <v/>
      </c>
      <c r="M1052" s="37">
        <f>IF(OR($J1052="",$I1052=0),"",ROUND($J1052/$I1052,4))</f>
        <v/>
      </c>
      <c r="N1052" s="17" t="n"/>
      <c r="O1052" s="17" t="n"/>
      <c r="P1052" s="24">
        <f>IF($J1052="","未盘",IF(ROUND($J1052,3)=0,"账实相符",IF(COUNTIFS(入库单!$G$4:$G$2503,$A1052,入库单!$X$4:$X$2503,"盘盈",入库单!$C$4:$C$2503,"&gt;="&amp;账期起,入库单!$C$4:$C$2503,"&lt;="&amp;账期止)+COUNTIFS(出库单!$D$4:$D$4003,$A1052,出库单!$K$4:$K$4003,"盘亏",出库单!$C$4:$C$4003,"&gt;="&amp;账期起,出库单!$C$4:$C$4003,"&lt;="&amp;账期止)&gt;0,"已调账","※差异还没调账")))</f>
        <v/>
      </c>
      <c r="Q1052" s="17" t="n"/>
      <c r="R1052" s="17" t="n"/>
    </row>
    <row r="1053">
      <c r="A1053" s="24">
        <f>IF(库存台账!$A1053="","",库存台账!$A1053)</f>
        <v/>
      </c>
      <c r="B1053" s="24">
        <f>IF($A1053="","",库存台账!$B1053)</f>
        <v/>
      </c>
      <c r="C1053" s="24">
        <f>IF($A1053="","",库存台账!$C1053)</f>
        <v/>
      </c>
      <c r="D1053" s="24">
        <f>IF($A1053="","",库存台账!$D1053)</f>
        <v/>
      </c>
      <c r="E1053" s="24">
        <f>IF($A1053="","",库存台账!$E1053)</f>
        <v/>
      </c>
      <c r="F1053" s="24">
        <f>IF($A1053="","",库存台账!$F1053)</f>
        <v/>
      </c>
      <c r="G1053" s="17" t="n"/>
      <c r="H1053" s="23" t="n"/>
      <c r="I1053" s="27">
        <f>IF($A1053="","",库存台账!$X1053)</f>
        <v/>
      </c>
      <c r="J1053" s="27">
        <f>IF(OR($A1053="",$H1053=""),"",ROUND($H1053-$I1053,3))</f>
        <v/>
      </c>
      <c r="K1053" s="26">
        <f>IF($A1053="","",库存台账!$K1053)</f>
        <v/>
      </c>
      <c r="L1053" s="26">
        <f>IF($J1053="","",ROUND($J1053*$K1053,0))</f>
        <v/>
      </c>
      <c r="M1053" s="37">
        <f>IF(OR($J1053="",$I1053=0),"",ROUND($J1053/$I1053,4))</f>
        <v/>
      </c>
      <c r="N1053" s="17" t="n"/>
      <c r="O1053" s="17" t="n"/>
      <c r="P1053" s="24">
        <f>IF($J1053="","未盘",IF(ROUND($J1053,3)=0,"账实相符",IF(COUNTIFS(入库单!$G$4:$G$2503,$A1053,入库单!$X$4:$X$2503,"盘盈",入库单!$C$4:$C$2503,"&gt;="&amp;账期起,入库单!$C$4:$C$2503,"&lt;="&amp;账期止)+COUNTIFS(出库单!$D$4:$D$4003,$A1053,出库单!$K$4:$K$4003,"盘亏",出库单!$C$4:$C$4003,"&gt;="&amp;账期起,出库单!$C$4:$C$4003,"&lt;="&amp;账期止)&gt;0,"已调账","※差异还没调账")))</f>
        <v/>
      </c>
      <c r="Q1053" s="17" t="n"/>
      <c r="R1053" s="17" t="n"/>
    </row>
    <row r="1054">
      <c r="A1054" s="24">
        <f>IF(库存台账!$A1054="","",库存台账!$A1054)</f>
        <v/>
      </c>
      <c r="B1054" s="24">
        <f>IF($A1054="","",库存台账!$B1054)</f>
        <v/>
      </c>
      <c r="C1054" s="24">
        <f>IF($A1054="","",库存台账!$C1054)</f>
        <v/>
      </c>
      <c r="D1054" s="24">
        <f>IF($A1054="","",库存台账!$D1054)</f>
        <v/>
      </c>
      <c r="E1054" s="24">
        <f>IF($A1054="","",库存台账!$E1054)</f>
        <v/>
      </c>
      <c r="F1054" s="24">
        <f>IF($A1054="","",库存台账!$F1054)</f>
        <v/>
      </c>
      <c r="G1054" s="17" t="n"/>
      <c r="H1054" s="23" t="n"/>
      <c r="I1054" s="27">
        <f>IF($A1054="","",库存台账!$X1054)</f>
        <v/>
      </c>
      <c r="J1054" s="27">
        <f>IF(OR($A1054="",$H1054=""),"",ROUND($H1054-$I1054,3))</f>
        <v/>
      </c>
      <c r="K1054" s="26">
        <f>IF($A1054="","",库存台账!$K1054)</f>
        <v/>
      </c>
      <c r="L1054" s="26">
        <f>IF($J1054="","",ROUND($J1054*$K1054,0))</f>
        <v/>
      </c>
      <c r="M1054" s="37">
        <f>IF(OR($J1054="",$I1054=0),"",ROUND($J1054/$I1054,4))</f>
        <v/>
      </c>
      <c r="N1054" s="17" t="n"/>
      <c r="O1054" s="17" t="n"/>
      <c r="P1054" s="24">
        <f>IF($J1054="","未盘",IF(ROUND($J1054,3)=0,"账实相符",IF(COUNTIFS(入库单!$G$4:$G$2503,$A1054,入库单!$X$4:$X$2503,"盘盈",入库单!$C$4:$C$2503,"&gt;="&amp;账期起,入库单!$C$4:$C$2503,"&lt;="&amp;账期止)+COUNTIFS(出库单!$D$4:$D$4003,$A1054,出库单!$K$4:$K$4003,"盘亏",出库单!$C$4:$C$4003,"&gt;="&amp;账期起,出库单!$C$4:$C$4003,"&lt;="&amp;账期止)&gt;0,"已调账","※差异还没调账")))</f>
        <v/>
      </c>
      <c r="Q1054" s="17" t="n"/>
      <c r="R1054" s="17" t="n"/>
    </row>
    <row r="1055">
      <c r="A1055" s="24">
        <f>IF(库存台账!$A1055="","",库存台账!$A1055)</f>
        <v/>
      </c>
      <c r="B1055" s="24">
        <f>IF($A1055="","",库存台账!$B1055)</f>
        <v/>
      </c>
      <c r="C1055" s="24">
        <f>IF($A1055="","",库存台账!$C1055)</f>
        <v/>
      </c>
      <c r="D1055" s="24">
        <f>IF($A1055="","",库存台账!$D1055)</f>
        <v/>
      </c>
      <c r="E1055" s="24">
        <f>IF($A1055="","",库存台账!$E1055)</f>
        <v/>
      </c>
      <c r="F1055" s="24">
        <f>IF($A1055="","",库存台账!$F1055)</f>
        <v/>
      </c>
      <c r="G1055" s="17" t="n"/>
      <c r="H1055" s="23" t="n"/>
      <c r="I1055" s="27">
        <f>IF($A1055="","",库存台账!$X1055)</f>
        <v/>
      </c>
      <c r="J1055" s="27">
        <f>IF(OR($A1055="",$H1055=""),"",ROUND($H1055-$I1055,3))</f>
        <v/>
      </c>
      <c r="K1055" s="26">
        <f>IF($A1055="","",库存台账!$K1055)</f>
        <v/>
      </c>
      <c r="L1055" s="26">
        <f>IF($J1055="","",ROUND($J1055*$K1055,0))</f>
        <v/>
      </c>
      <c r="M1055" s="37">
        <f>IF(OR($J1055="",$I1055=0),"",ROUND($J1055/$I1055,4))</f>
        <v/>
      </c>
      <c r="N1055" s="17" t="n"/>
      <c r="O1055" s="17" t="n"/>
      <c r="P1055" s="24">
        <f>IF($J1055="","未盘",IF(ROUND($J1055,3)=0,"账实相符",IF(COUNTIFS(入库单!$G$4:$G$2503,$A1055,入库单!$X$4:$X$2503,"盘盈",入库单!$C$4:$C$2503,"&gt;="&amp;账期起,入库单!$C$4:$C$2503,"&lt;="&amp;账期止)+COUNTIFS(出库单!$D$4:$D$4003,$A1055,出库单!$K$4:$K$4003,"盘亏",出库单!$C$4:$C$4003,"&gt;="&amp;账期起,出库单!$C$4:$C$4003,"&lt;="&amp;账期止)&gt;0,"已调账","※差异还没调账")))</f>
        <v/>
      </c>
      <c r="Q1055" s="17" t="n"/>
      <c r="R1055" s="17" t="n"/>
    </row>
    <row r="1056">
      <c r="A1056" s="24">
        <f>IF(库存台账!$A1056="","",库存台账!$A1056)</f>
        <v/>
      </c>
      <c r="B1056" s="24">
        <f>IF($A1056="","",库存台账!$B1056)</f>
        <v/>
      </c>
      <c r="C1056" s="24">
        <f>IF($A1056="","",库存台账!$C1056)</f>
        <v/>
      </c>
      <c r="D1056" s="24">
        <f>IF($A1056="","",库存台账!$D1056)</f>
        <v/>
      </c>
      <c r="E1056" s="24">
        <f>IF($A1056="","",库存台账!$E1056)</f>
        <v/>
      </c>
      <c r="F1056" s="24">
        <f>IF($A1056="","",库存台账!$F1056)</f>
        <v/>
      </c>
      <c r="G1056" s="17" t="n"/>
      <c r="H1056" s="23" t="n"/>
      <c r="I1056" s="27">
        <f>IF($A1056="","",库存台账!$X1056)</f>
        <v/>
      </c>
      <c r="J1056" s="27">
        <f>IF(OR($A1056="",$H1056=""),"",ROUND($H1056-$I1056,3))</f>
        <v/>
      </c>
      <c r="K1056" s="26">
        <f>IF($A1056="","",库存台账!$K1056)</f>
        <v/>
      </c>
      <c r="L1056" s="26">
        <f>IF($J1056="","",ROUND($J1056*$K1056,0))</f>
        <v/>
      </c>
      <c r="M1056" s="37">
        <f>IF(OR($J1056="",$I1056=0),"",ROUND($J1056/$I1056,4))</f>
        <v/>
      </c>
      <c r="N1056" s="17" t="n"/>
      <c r="O1056" s="17" t="n"/>
      <c r="P1056" s="24">
        <f>IF($J1056="","未盘",IF(ROUND($J1056,3)=0,"账实相符",IF(COUNTIFS(入库单!$G$4:$G$2503,$A1056,入库单!$X$4:$X$2503,"盘盈",入库单!$C$4:$C$2503,"&gt;="&amp;账期起,入库单!$C$4:$C$2503,"&lt;="&amp;账期止)+COUNTIFS(出库单!$D$4:$D$4003,$A1056,出库单!$K$4:$K$4003,"盘亏",出库单!$C$4:$C$4003,"&gt;="&amp;账期起,出库单!$C$4:$C$4003,"&lt;="&amp;账期止)&gt;0,"已调账","※差异还没调账")))</f>
        <v/>
      </c>
      <c r="Q1056" s="17" t="n"/>
      <c r="R1056" s="17" t="n"/>
    </row>
    <row r="1057">
      <c r="A1057" s="24">
        <f>IF(库存台账!$A1057="","",库存台账!$A1057)</f>
        <v/>
      </c>
      <c r="B1057" s="24">
        <f>IF($A1057="","",库存台账!$B1057)</f>
        <v/>
      </c>
      <c r="C1057" s="24">
        <f>IF($A1057="","",库存台账!$C1057)</f>
        <v/>
      </c>
      <c r="D1057" s="24">
        <f>IF($A1057="","",库存台账!$D1057)</f>
        <v/>
      </c>
      <c r="E1057" s="24">
        <f>IF($A1057="","",库存台账!$E1057)</f>
        <v/>
      </c>
      <c r="F1057" s="24">
        <f>IF($A1057="","",库存台账!$F1057)</f>
        <v/>
      </c>
      <c r="G1057" s="17" t="n"/>
      <c r="H1057" s="23" t="n"/>
      <c r="I1057" s="27">
        <f>IF($A1057="","",库存台账!$X1057)</f>
        <v/>
      </c>
      <c r="J1057" s="27">
        <f>IF(OR($A1057="",$H1057=""),"",ROUND($H1057-$I1057,3))</f>
        <v/>
      </c>
      <c r="K1057" s="26">
        <f>IF($A1057="","",库存台账!$K1057)</f>
        <v/>
      </c>
      <c r="L1057" s="26">
        <f>IF($J1057="","",ROUND($J1057*$K1057,0))</f>
        <v/>
      </c>
      <c r="M1057" s="37">
        <f>IF(OR($J1057="",$I1057=0),"",ROUND($J1057/$I1057,4))</f>
        <v/>
      </c>
      <c r="N1057" s="17" t="n"/>
      <c r="O1057" s="17" t="n"/>
      <c r="P1057" s="24">
        <f>IF($J1057="","未盘",IF(ROUND($J1057,3)=0,"账实相符",IF(COUNTIFS(入库单!$G$4:$G$2503,$A1057,入库单!$X$4:$X$2503,"盘盈",入库单!$C$4:$C$2503,"&gt;="&amp;账期起,入库单!$C$4:$C$2503,"&lt;="&amp;账期止)+COUNTIFS(出库单!$D$4:$D$4003,$A1057,出库单!$K$4:$K$4003,"盘亏",出库单!$C$4:$C$4003,"&gt;="&amp;账期起,出库单!$C$4:$C$4003,"&lt;="&amp;账期止)&gt;0,"已调账","※差异还没调账")))</f>
        <v/>
      </c>
      <c r="Q1057" s="17" t="n"/>
      <c r="R1057" s="17" t="n"/>
    </row>
    <row r="1058">
      <c r="A1058" s="24">
        <f>IF(库存台账!$A1058="","",库存台账!$A1058)</f>
        <v/>
      </c>
      <c r="B1058" s="24">
        <f>IF($A1058="","",库存台账!$B1058)</f>
        <v/>
      </c>
      <c r="C1058" s="24">
        <f>IF($A1058="","",库存台账!$C1058)</f>
        <v/>
      </c>
      <c r="D1058" s="24">
        <f>IF($A1058="","",库存台账!$D1058)</f>
        <v/>
      </c>
      <c r="E1058" s="24">
        <f>IF($A1058="","",库存台账!$E1058)</f>
        <v/>
      </c>
      <c r="F1058" s="24">
        <f>IF($A1058="","",库存台账!$F1058)</f>
        <v/>
      </c>
      <c r="G1058" s="17" t="n"/>
      <c r="H1058" s="23" t="n"/>
      <c r="I1058" s="27">
        <f>IF($A1058="","",库存台账!$X1058)</f>
        <v/>
      </c>
      <c r="J1058" s="27">
        <f>IF(OR($A1058="",$H1058=""),"",ROUND($H1058-$I1058,3))</f>
        <v/>
      </c>
      <c r="K1058" s="26">
        <f>IF($A1058="","",库存台账!$K1058)</f>
        <v/>
      </c>
      <c r="L1058" s="26">
        <f>IF($J1058="","",ROUND($J1058*$K1058,0))</f>
        <v/>
      </c>
      <c r="M1058" s="37">
        <f>IF(OR($J1058="",$I1058=0),"",ROUND($J1058/$I1058,4))</f>
        <v/>
      </c>
      <c r="N1058" s="17" t="n"/>
      <c r="O1058" s="17" t="n"/>
      <c r="P1058" s="24">
        <f>IF($J1058="","未盘",IF(ROUND($J1058,3)=0,"账实相符",IF(COUNTIFS(入库单!$G$4:$G$2503,$A1058,入库单!$X$4:$X$2503,"盘盈",入库单!$C$4:$C$2503,"&gt;="&amp;账期起,入库单!$C$4:$C$2503,"&lt;="&amp;账期止)+COUNTIFS(出库单!$D$4:$D$4003,$A1058,出库单!$K$4:$K$4003,"盘亏",出库单!$C$4:$C$4003,"&gt;="&amp;账期起,出库单!$C$4:$C$4003,"&lt;="&amp;账期止)&gt;0,"已调账","※差异还没调账")))</f>
        <v/>
      </c>
      <c r="Q1058" s="17" t="n"/>
      <c r="R1058" s="17" t="n"/>
    </row>
    <row r="1059">
      <c r="A1059" s="24">
        <f>IF(库存台账!$A1059="","",库存台账!$A1059)</f>
        <v/>
      </c>
      <c r="B1059" s="24">
        <f>IF($A1059="","",库存台账!$B1059)</f>
        <v/>
      </c>
      <c r="C1059" s="24">
        <f>IF($A1059="","",库存台账!$C1059)</f>
        <v/>
      </c>
      <c r="D1059" s="24">
        <f>IF($A1059="","",库存台账!$D1059)</f>
        <v/>
      </c>
      <c r="E1059" s="24">
        <f>IF($A1059="","",库存台账!$E1059)</f>
        <v/>
      </c>
      <c r="F1059" s="24">
        <f>IF($A1059="","",库存台账!$F1059)</f>
        <v/>
      </c>
      <c r="G1059" s="17" t="n"/>
      <c r="H1059" s="23" t="n"/>
      <c r="I1059" s="27">
        <f>IF($A1059="","",库存台账!$X1059)</f>
        <v/>
      </c>
      <c r="J1059" s="27">
        <f>IF(OR($A1059="",$H1059=""),"",ROUND($H1059-$I1059,3))</f>
        <v/>
      </c>
      <c r="K1059" s="26">
        <f>IF($A1059="","",库存台账!$K1059)</f>
        <v/>
      </c>
      <c r="L1059" s="26">
        <f>IF($J1059="","",ROUND($J1059*$K1059,0))</f>
        <v/>
      </c>
      <c r="M1059" s="37">
        <f>IF(OR($J1059="",$I1059=0),"",ROUND($J1059/$I1059,4))</f>
        <v/>
      </c>
      <c r="N1059" s="17" t="n"/>
      <c r="O1059" s="17" t="n"/>
      <c r="P1059" s="24">
        <f>IF($J1059="","未盘",IF(ROUND($J1059,3)=0,"账实相符",IF(COUNTIFS(入库单!$G$4:$G$2503,$A1059,入库单!$X$4:$X$2503,"盘盈",入库单!$C$4:$C$2503,"&gt;="&amp;账期起,入库单!$C$4:$C$2503,"&lt;="&amp;账期止)+COUNTIFS(出库单!$D$4:$D$4003,$A1059,出库单!$K$4:$K$4003,"盘亏",出库单!$C$4:$C$4003,"&gt;="&amp;账期起,出库单!$C$4:$C$4003,"&lt;="&amp;账期止)&gt;0,"已调账","※差异还没调账")))</f>
        <v/>
      </c>
      <c r="Q1059" s="17" t="n"/>
      <c r="R1059" s="17" t="n"/>
    </row>
    <row r="1060">
      <c r="A1060" s="24">
        <f>IF(库存台账!$A1060="","",库存台账!$A1060)</f>
        <v/>
      </c>
      <c r="B1060" s="24">
        <f>IF($A1060="","",库存台账!$B1060)</f>
        <v/>
      </c>
      <c r="C1060" s="24">
        <f>IF($A1060="","",库存台账!$C1060)</f>
        <v/>
      </c>
      <c r="D1060" s="24">
        <f>IF($A1060="","",库存台账!$D1060)</f>
        <v/>
      </c>
      <c r="E1060" s="24">
        <f>IF($A1060="","",库存台账!$E1060)</f>
        <v/>
      </c>
      <c r="F1060" s="24">
        <f>IF($A1060="","",库存台账!$F1060)</f>
        <v/>
      </c>
      <c r="G1060" s="17" t="n"/>
      <c r="H1060" s="23" t="n"/>
      <c r="I1060" s="27">
        <f>IF($A1060="","",库存台账!$X1060)</f>
        <v/>
      </c>
      <c r="J1060" s="27">
        <f>IF(OR($A1060="",$H1060=""),"",ROUND($H1060-$I1060,3))</f>
        <v/>
      </c>
      <c r="K1060" s="26">
        <f>IF($A1060="","",库存台账!$K1060)</f>
        <v/>
      </c>
      <c r="L1060" s="26">
        <f>IF($J1060="","",ROUND($J1060*$K1060,0))</f>
        <v/>
      </c>
      <c r="M1060" s="37">
        <f>IF(OR($J1060="",$I1060=0),"",ROUND($J1060/$I1060,4))</f>
        <v/>
      </c>
      <c r="N1060" s="17" t="n"/>
      <c r="O1060" s="17" t="n"/>
      <c r="P1060" s="24">
        <f>IF($J1060="","未盘",IF(ROUND($J1060,3)=0,"账实相符",IF(COUNTIFS(入库单!$G$4:$G$2503,$A1060,入库单!$X$4:$X$2503,"盘盈",入库单!$C$4:$C$2503,"&gt;="&amp;账期起,入库单!$C$4:$C$2503,"&lt;="&amp;账期止)+COUNTIFS(出库单!$D$4:$D$4003,$A1060,出库单!$K$4:$K$4003,"盘亏",出库单!$C$4:$C$4003,"&gt;="&amp;账期起,出库单!$C$4:$C$4003,"&lt;="&amp;账期止)&gt;0,"已调账","※差异还没调账")))</f>
        <v/>
      </c>
      <c r="Q1060" s="17" t="n"/>
      <c r="R1060" s="17" t="n"/>
    </row>
    <row r="1061">
      <c r="A1061" s="24">
        <f>IF(库存台账!$A1061="","",库存台账!$A1061)</f>
        <v/>
      </c>
      <c r="B1061" s="24">
        <f>IF($A1061="","",库存台账!$B1061)</f>
        <v/>
      </c>
      <c r="C1061" s="24">
        <f>IF($A1061="","",库存台账!$C1061)</f>
        <v/>
      </c>
      <c r="D1061" s="24">
        <f>IF($A1061="","",库存台账!$D1061)</f>
        <v/>
      </c>
      <c r="E1061" s="24">
        <f>IF($A1061="","",库存台账!$E1061)</f>
        <v/>
      </c>
      <c r="F1061" s="24">
        <f>IF($A1061="","",库存台账!$F1061)</f>
        <v/>
      </c>
      <c r="G1061" s="17" t="n"/>
      <c r="H1061" s="23" t="n"/>
      <c r="I1061" s="27">
        <f>IF($A1061="","",库存台账!$X1061)</f>
        <v/>
      </c>
      <c r="J1061" s="27">
        <f>IF(OR($A1061="",$H1061=""),"",ROUND($H1061-$I1061,3))</f>
        <v/>
      </c>
      <c r="K1061" s="26">
        <f>IF($A1061="","",库存台账!$K1061)</f>
        <v/>
      </c>
      <c r="L1061" s="26">
        <f>IF($J1061="","",ROUND($J1061*$K1061,0))</f>
        <v/>
      </c>
      <c r="M1061" s="37">
        <f>IF(OR($J1061="",$I1061=0),"",ROUND($J1061/$I1061,4))</f>
        <v/>
      </c>
      <c r="N1061" s="17" t="n"/>
      <c r="O1061" s="17" t="n"/>
      <c r="P1061" s="24">
        <f>IF($J1061="","未盘",IF(ROUND($J1061,3)=0,"账实相符",IF(COUNTIFS(入库单!$G$4:$G$2503,$A1061,入库单!$X$4:$X$2503,"盘盈",入库单!$C$4:$C$2503,"&gt;="&amp;账期起,入库单!$C$4:$C$2503,"&lt;="&amp;账期止)+COUNTIFS(出库单!$D$4:$D$4003,$A1061,出库单!$K$4:$K$4003,"盘亏",出库单!$C$4:$C$4003,"&gt;="&amp;账期起,出库单!$C$4:$C$4003,"&lt;="&amp;账期止)&gt;0,"已调账","※差异还没调账")))</f>
        <v/>
      </c>
      <c r="Q1061" s="17" t="n"/>
      <c r="R1061" s="17" t="n"/>
    </row>
    <row r="1062">
      <c r="A1062" s="24">
        <f>IF(库存台账!$A1062="","",库存台账!$A1062)</f>
        <v/>
      </c>
      <c r="B1062" s="24">
        <f>IF($A1062="","",库存台账!$B1062)</f>
        <v/>
      </c>
      <c r="C1062" s="24">
        <f>IF($A1062="","",库存台账!$C1062)</f>
        <v/>
      </c>
      <c r="D1062" s="24">
        <f>IF($A1062="","",库存台账!$D1062)</f>
        <v/>
      </c>
      <c r="E1062" s="24">
        <f>IF($A1062="","",库存台账!$E1062)</f>
        <v/>
      </c>
      <c r="F1062" s="24">
        <f>IF($A1062="","",库存台账!$F1062)</f>
        <v/>
      </c>
      <c r="G1062" s="17" t="n"/>
      <c r="H1062" s="23" t="n"/>
      <c r="I1062" s="27">
        <f>IF($A1062="","",库存台账!$X1062)</f>
        <v/>
      </c>
      <c r="J1062" s="27">
        <f>IF(OR($A1062="",$H1062=""),"",ROUND($H1062-$I1062,3))</f>
        <v/>
      </c>
      <c r="K1062" s="26">
        <f>IF($A1062="","",库存台账!$K1062)</f>
        <v/>
      </c>
      <c r="L1062" s="26">
        <f>IF($J1062="","",ROUND($J1062*$K1062,0))</f>
        <v/>
      </c>
      <c r="M1062" s="37">
        <f>IF(OR($J1062="",$I1062=0),"",ROUND($J1062/$I1062,4))</f>
        <v/>
      </c>
      <c r="N1062" s="17" t="n"/>
      <c r="O1062" s="17" t="n"/>
      <c r="P1062" s="24">
        <f>IF($J1062="","未盘",IF(ROUND($J1062,3)=0,"账实相符",IF(COUNTIFS(入库单!$G$4:$G$2503,$A1062,入库单!$X$4:$X$2503,"盘盈",入库单!$C$4:$C$2503,"&gt;="&amp;账期起,入库单!$C$4:$C$2503,"&lt;="&amp;账期止)+COUNTIFS(出库单!$D$4:$D$4003,$A1062,出库单!$K$4:$K$4003,"盘亏",出库单!$C$4:$C$4003,"&gt;="&amp;账期起,出库单!$C$4:$C$4003,"&lt;="&amp;账期止)&gt;0,"已调账","※差异还没调账")))</f>
        <v/>
      </c>
      <c r="Q1062" s="17" t="n"/>
      <c r="R1062" s="17" t="n"/>
    </row>
    <row r="1063">
      <c r="A1063" s="24">
        <f>IF(库存台账!$A1063="","",库存台账!$A1063)</f>
        <v/>
      </c>
      <c r="B1063" s="24">
        <f>IF($A1063="","",库存台账!$B1063)</f>
        <v/>
      </c>
      <c r="C1063" s="24">
        <f>IF($A1063="","",库存台账!$C1063)</f>
        <v/>
      </c>
      <c r="D1063" s="24">
        <f>IF($A1063="","",库存台账!$D1063)</f>
        <v/>
      </c>
      <c r="E1063" s="24">
        <f>IF($A1063="","",库存台账!$E1063)</f>
        <v/>
      </c>
      <c r="F1063" s="24">
        <f>IF($A1063="","",库存台账!$F1063)</f>
        <v/>
      </c>
      <c r="G1063" s="17" t="n"/>
      <c r="H1063" s="23" t="n"/>
      <c r="I1063" s="27">
        <f>IF($A1063="","",库存台账!$X1063)</f>
        <v/>
      </c>
      <c r="J1063" s="27">
        <f>IF(OR($A1063="",$H1063=""),"",ROUND($H1063-$I1063,3))</f>
        <v/>
      </c>
      <c r="K1063" s="26">
        <f>IF($A1063="","",库存台账!$K1063)</f>
        <v/>
      </c>
      <c r="L1063" s="26">
        <f>IF($J1063="","",ROUND($J1063*$K1063,0))</f>
        <v/>
      </c>
      <c r="M1063" s="37">
        <f>IF(OR($J1063="",$I1063=0),"",ROUND($J1063/$I1063,4))</f>
        <v/>
      </c>
      <c r="N1063" s="17" t="n"/>
      <c r="O1063" s="17" t="n"/>
      <c r="P1063" s="24">
        <f>IF($J1063="","未盘",IF(ROUND($J1063,3)=0,"账实相符",IF(COUNTIFS(入库单!$G$4:$G$2503,$A1063,入库单!$X$4:$X$2503,"盘盈",入库单!$C$4:$C$2503,"&gt;="&amp;账期起,入库单!$C$4:$C$2503,"&lt;="&amp;账期止)+COUNTIFS(出库单!$D$4:$D$4003,$A1063,出库单!$K$4:$K$4003,"盘亏",出库单!$C$4:$C$4003,"&gt;="&amp;账期起,出库单!$C$4:$C$4003,"&lt;="&amp;账期止)&gt;0,"已调账","※差异还没调账")))</f>
        <v/>
      </c>
      <c r="Q1063" s="17" t="n"/>
      <c r="R1063" s="17" t="n"/>
    </row>
    <row r="1064">
      <c r="A1064" s="24">
        <f>IF(库存台账!$A1064="","",库存台账!$A1064)</f>
        <v/>
      </c>
      <c r="B1064" s="24">
        <f>IF($A1064="","",库存台账!$B1064)</f>
        <v/>
      </c>
      <c r="C1064" s="24">
        <f>IF($A1064="","",库存台账!$C1064)</f>
        <v/>
      </c>
      <c r="D1064" s="24">
        <f>IF($A1064="","",库存台账!$D1064)</f>
        <v/>
      </c>
      <c r="E1064" s="24">
        <f>IF($A1064="","",库存台账!$E1064)</f>
        <v/>
      </c>
      <c r="F1064" s="24">
        <f>IF($A1064="","",库存台账!$F1064)</f>
        <v/>
      </c>
      <c r="G1064" s="17" t="n"/>
      <c r="H1064" s="23" t="n"/>
      <c r="I1064" s="27">
        <f>IF($A1064="","",库存台账!$X1064)</f>
        <v/>
      </c>
      <c r="J1064" s="27">
        <f>IF(OR($A1064="",$H1064=""),"",ROUND($H1064-$I1064,3))</f>
        <v/>
      </c>
      <c r="K1064" s="26">
        <f>IF($A1064="","",库存台账!$K1064)</f>
        <v/>
      </c>
      <c r="L1064" s="26">
        <f>IF($J1064="","",ROUND($J1064*$K1064,0))</f>
        <v/>
      </c>
      <c r="M1064" s="37">
        <f>IF(OR($J1064="",$I1064=0),"",ROUND($J1064/$I1064,4))</f>
        <v/>
      </c>
      <c r="N1064" s="17" t="n"/>
      <c r="O1064" s="17" t="n"/>
      <c r="P1064" s="24">
        <f>IF($J1064="","未盘",IF(ROUND($J1064,3)=0,"账实相符",IF(COUNTIFS(入库单!$G$4:$G$2503,$A1064,入库单!$X$4:$X$2503,"盘盈",入库单!$C$4:$C$2503,"&gt;="&amp;账期起,入库单!$C$4:$C$2503,"&lt;="&amp;账期止)+COUNTIFS(出库单!$D$4:$D$4003,$A1064,出库单!$K$4:$K$4003,"盘亏",出库单!$C$4:$C$4003,"&gt;="&amp;账期起,出库单!$C$4:$C$4003,"&lt;="&amp;账期止)&gt;0,"已调账","※差异还没调账")))</f>
        <v/>
      </c>
      <c r="Q1064" s="17" t="n"/>
      <c r="R1064" s="17" t="n"/>
    </row>
    <row r="1065">
      <c r="A1065" s="24">
        <f>IF(库存台账!$A1065="","",库存台账!$A1065)</f>
        <v/>
      </c>
      <c r="B1065" s="24">
        <f>IF($A1065="","",库存台账!$B1065)</f>
        <v/>
      </c>
      <c r="C1065" s="24">
        <f>IF($A1065="","",库存台账!$C1065)</f>
        <v/>
      </c>
      <c r="D1065" s="24">
        <f>IF($A1065="","",库存台账!$D1065)</f>
        <v/>
      </c>
      <c r="E1065" s="24">
        <f>IF($A1065="","",库存台账!$E1065)</f>
        <v/>
      </c>
      <c r="F1065" s="24">
        <f>IF($A1065="","",库存台账!$F1065)</f>
        <v/>
      </c>
      <c r="G1065" s="17" t="n"/>
      <c r="H1065" s="23" t="n"/>
      <c r="I1065" s="27">
        <f>IF($A1065="","",库存台账!$X1065)</f>
        <v/>
      </c>
      <c r="J1065" s="27">
        <f>IF(OR($A1065="",$H1065=""),"",ROUND($H1065-$I1065,3))</f>
        <v/>
      </c>
      <c r="K1065" s="26">
        <f>IF($A1065="","",库存台账!$K1065)</f>
        <v/>
      </c>
      <c r="L1065" s="26">
        <f>IF($J1065="","",ROUND($J1065*$K1065,0))</f>
        <v/>
      </c>
      <c r="M1065" s="37">
        <f>IF(OR($J1065="",$I1065=0),"",ROUND($J1065/$I1065,4))</f>
        <v/>
      </c>
      <c r="N1065" s="17" t="n"/>
      <c r="O1065" s="17" t="n"/>
      <c r="P1065" s="24">
        <f>IF($J1065="","未盘",IF(ROUND($J1065,3)=0,"账实相符",IF(COUNTIFS(入库单!$G$4:$G$2503,$A1065,入库单!$X$4:$X$2503,"盘盈",入库单!$C$4:$C$2503,"&gt;="&amp;账期起,入库单!$C$4:$C$2503,"&lt;="&amp;账期止)+COUNTIFS(出库单!$D$4:$D$4003,$A1065,出库单!$K$4:$K$4003,"盘亏",出库单!$C$4:$C$4003,"&gt;="&amp;账期起,出库单!$C$4:$C$4003,"&lt;="&amp;账期止)&gt;0,"已调账","※差异还没调账")))</f>
        <v/>
      </c>
      <c r="Q1065" s="17" t="n"/>
      <c r="R1065" s="17" t="n"/>
    </row>
    <row r="1066">
      <c r="A1066" s="24">
        <f>IF(库存台账!$A1066="","",库存台账!$A1066)</f>
        <v/>
      </c>
      <c r="B1066" s="24">
        <f>IF($A1066="","",库存台账!$B1066)</f>
        <v/>
      </c>
      <c r="C1066" s="24">
        <f>IF($A1066="","",库存台账!$C1066)</f>
        <v/>
      </c>
      <c r="D1066" s="24">
        <f>IF($A1066="","",库存台账!$D1066)</f>
        <v/>
      </c>
      <c r="E1066" s="24">
        <f>IF($A1066="","",库存台账!$E1066)</f>
        <v/>
      </c>
      <c r="F1066" s="24">
        <f>IF($A1066="","",库存台账!$F1066)</f>
        <v/>
      </c>
      <c r="G1066" s="17" t="n"/>
      <c r="H1066" s="23" t="n"/>
      <c r="I1066" s="27">
        <f>IF($A1066="","",库存台账!$X1066)</f>
        <v/>
      </c>
      <c r="J1066" s="27">
        <f>IF(OR($A1066="",$H1066=""),"",ROUND($H1066-$I1066,3))</f>
        <v/>
      </c>
      <c r="K1066" s="26">
        <f>IF($A1066="","",库存台账!$K1066)</f>
        <v/>
      </c>
      <c r="L1066" s="26">
        <f>IF($J1066="","",ROUND($J1066*$K1066,0))</f>
        <v/>
      </c>
      <c r="M1066" s="37">
        <f>IF(OR($J1066="",$I1066=0),"",ROUND($J1066/$I1066,4))</f>
        <v/>
      </c>
      <c r="N1066" s="17" t="n"/>
      <c r="O1066" s="17" t="n"/>
      <c r="P1066" s="24">
        <f>IF($J1066="","未盘",IF(ROUND($J1066,3)=0,"账实相符",IF(COUNTIFS(入库单!$G$4:$G$2503,$A1066,入库单!$X$4:$X$2503,"盘盈",入库单!$C$4:$C$2503,"&gt;="&amp;账期起,入库单!$C$4:$C$2503,"&lt;="&amp;账期止)+COUNTIFS(出库单!$D$4:$D$4003,$A1066,出库单!$K$4:$K$4003,"盘亏",出库单!$C$4:$C$4003,"&gt;="&amp;账期起,出库单!$C$4:$C$4003,"&lt;="&amp;账期止)&gt;0,"已调账","※差异还没调账")))</f>
        <v/>
      </c>
      <c r="Q1066" s="17" t="n"/>
      <c r="R1066" s="17" t="n"/>
    </row>
    <row r="1067">
      <c r="A1067" s="24">
        <f>IF(库存台账!$A1067="","",库存台账!$A1067)</f>
        <v/>
      </c>
      <c r="B1067" s="24">
        <f>IF($A1067="","",库存台账!$B1067)</f>
        <v/>
      </c>
      <c r="C1067" s="24">
        <f>IF($A1067="","",库存台账!$C1067)</f>
        <v/>
      </c>
      <c r="D1067" s="24">
        <f>IF($A1067="","",库存台账!$D1067)</f>
        <v/>
      </c>
      <c r="E1067" s="24">
        <f>IF($A1067="","",库存台账!$E1067)</f>
        <v/>
      </c>
      <c r="F1067" s="24">
        <f>IF($A1067="","",库存台账!$F1067)</f>
        <v/>
      </c>
      <c r="G1067" s="17" t="n"/>
      <c r="H1067" s="23" t="n"/>
      <c r="I1067" s="27">
        <f>IF($A1067="","",库存台账!$X1067)</f>
        <v/>
      </c>
      <c r="J1067" s="27">
        <f>IF(OR($A1067="",$H1067=""),"",ROUND($H1067-$I1067,3))</f>
        <v/>
      </c>
      <c r="K1067" s="26">
        <f>IF($A1067="","",库存台账!$K1067)</f>
        <v/>
      </c>
      <c r="L1067" s="26">
        <f>IF($J1067="","",ROUND($J1067*$K1067,0))</f>
        <v/>
      </c>
      <c r="M1067" s="37">
        <f>IF(OR($J1067="",$I1067=0),"",ROUND($J1067/$I1067,4))</f>
        <v/>
      </c>
      <c r="N1067" s="17" t="n"/>
      <c r="O1067" s="17" t="n"/>
      <c r="P1067" s="24">
        <f>IF($J1067="","未盘",IF(ROUND($J1067,3)=0,"账实相符",IF(COUNTIFS(入库单!$G$4:$G$2503,$A1067,入库单!$X$4:$X$2503,"盘盈",入库单!$C$4:$C$2503,"&gt;="&amp;账期起,入库单!$C$4:$C$2503,"&lt;="&amp;账期止)+COUNTIFS(出库单!$D$4:$D$4003,$A1067,出库单!$K$4:$K$4003,"盘亏",出库单!$C$4:$C$4003,"&gt;="&amp;账期起,出库单!$C$4:$C$4003,"&lt;="&amp;账期止)&gt;0,"已调账","※差异还没调账")))</f>
        <v/>
      </c>
      <c r="Q1067" s="17" t="n"/>
      <c r="R1067" s="17" t="n"/>
    </row>
    <row r="1068">
      <c r="A1068" s="24">
        <f>IF(库存台账!$A1068="","",库存台账!$A1068)</f>
        <v/>
      </c>
      <c r="B1068" s="24">
        <f>IF($A1068="","",库存台账!$B1068)</f>
        <v/>
      </c>
      <c r="C1068" s="24">
        <f>IF($A1068="","",库存台账!$C1068)</f>
        <v/>
      </c>
      <c r="D1068" s="24">
        <f>IF($A1068="","",库存台账!$D1068)</f>
        <v/>
      </c>
      <c r="E1068" s="24">
        <f>IF($A1068="","",库存台账!$E1068)</f>
        <v/>
      </c>
      <c r="F1068" s="24">
        <f>IF($A1068="","",库存台账!$F1068)</f>
        <v/>
      </c>
      <c r="G1068" s="17" t="n"/>
      <c r="H1068" s="23" t="n"/>
      <c r="I1068" s="27">
        <f>IF($A1068="","",库存台账!$X1068)</f>
        <v/>
      </c>
      <c r="J1068" s="27">
        <f>IF(OR($A1068="",$H1068=""),"",ROUND($H1068-$I1068,3))</f>
        <v/>
      </c>
      <c r="K1068" s="26">
        <f>IF($A1068="","",库存台账!$K1068)</f>
        <v/>
      </c>
      <c r="L1068" s="26">
        <f>IF($J1068="","",ROUND($J1068*$K1068,0))</f>
        <v/>
      </c>
      <c r="M1068" s="37">
        <f>IF(OR($J1068="",$I1068=0),"",ROUND($J1068/$I1068,4))</f>
        <v/>
      </c>
      <c r="N1068" s="17" t="n"/>
      <c r="O1068" s="17" t="n"/>
      <c r="P1068" s="24">
        <f>IF($J1068="","未盘",IF(ROUND($J1068,3)=0,"账实相符",IF(COUNTIFS(入库单!$G$4:$G$2503,$A1068,入库单!$X$4:$X$2503,"盘盈",入库单!$C$4:$C$2503,"&gt;="&amp;账期起,入库单!$C$4:$C$2503,"&lt;="&amp;账期止)+COUNTIFS(出库单!$D$4:$D$4003,$A1068,出库单!$K$4:$K$4003,"盘亏",出库单!$C$4:$C$4003,"&gt;="&amp;账期起,出库单!$C$4:$C$4003,"&lt;="&amp;账期止)&gt;0,"已调账","※差异还没调账")))</f>
        <v/>
      </c>
      <c r="Q1068" s="17" t="n"/>
      <c r="R1068" s="17" t="n"/>
    </row>
    <row r="1069">
      <c r="A1069" s="24">
        <f>IF(库存台账!$A1069="","",库存台账!$A1069)</f>
        <v/>
      </c>
      <c r="B1069" s="24">
        <f>IF($A1069="","",库存台账!$B1069)</f>
        <v/>
      </c>
      <c r="C1069" s="24">
        <f>IF($A1069="","",库存台账!$C1069)</f>
        <v/>
      </c>
      <c r="D1069" s="24">
        <f>IF($A1069="","",库存台账!$D1069)</f>
        <v/>
      </c>
      <c r="E1069" s="24">
        <f>IF($A1069="","",库存台账!$E1069)</f>
        <v/>
      </c>
      <c r="F1069" s="24">
        <f>IF($A1069="","",库存台账!$F1069)</f>
        <v/>
      </c>
      <c r="G1069" s="17" t="n"/>
      <c r="H1069" s="23" t="n"/>
      <c r="I1069" s="27">
        <f>IF($A1069="","",库存台账!$X1069)</f>
        <v/>
      </c>
      <c r="J1069" s="27">
        <f>IF(OR($A1069="",$H1069=""),"",ROUND($H1069-$I1069,3))</f>
        <v/>
      </c>
      <c r="K1069" s="26">
        <f>IF($A1069="","",库存台账!$K1069)</f>
        <v/>
      </c>
      <c r="L1069" s="26">
        <f>IF($J1069="","",ROUND($J1069*$K1069,0))</f>
        <v/>
      </c>
      <c r="M1069" s="37">
        <f>IF(OR($J1069="",$I1069=0),"",ROUND($J1069/$I1069,4))</f>
        <v/>
      </c>
      <c r="N1069" s="17" t="n"/>
      <c r="O1069" s="17" t="n"/>
      <c r="P1069" s="24">
        <f>IF($J1069="","未盘",IF(ROUND($J1069,3)=0,"账实相符",IF(COUNTIFS(入库单!$G$4:$G$2503,$A1069,入库单!$X$4:$X$2503,"盘盈",入库单!$C$4:$C$2503,"&gt;="&amp;账期起,入库单!$C$4:$C$2503,"&lt;="&amp;账期止)+COUNTIFS(出库单!$D$4:$D$4003,$A1069,出库单!$K$4:$K$4003,"盘亏",出库单!$C$4:$C$4003,"&gt;="&amp;账期起,出库单!$C$4:$C$4003,"&lt;="&amp;账期止)&gt;0,"已调账","※差异还没调账")))</f>
        <v/>
      </c>
      <c r="Q1069" s="17" t="n"/>
      <c r="R1069" s="17" t="n"/>
    </row>
    <row r="1070">
      <c r="A1070" s="24">
        <f>IF(库存台账!$A1070="","",库存台账!$A1070)</f>
        <v/>
      </c>
      <c r="B1070" s="24">
        <f>IF($A1070="","",库存台账!$B1070)</f>
        <v/>
      </c>
      <c r="C1070" s="24">
        <f>IF($A1070="","",库存台账!$C1070)</f>
        <v/>
      </c>
      <c r="D1070" s="24">
        <f>IF($A1070="","",库存台账!$D1070)</f>
        <v/>
      </c>
      <c r="E1070" s="24">
        <f>IF($A1070="","",库存台账!$E1070)</f>
        <v/>
      </c>
      <c r="F1070" s="24">
        <f>IF($A1070="","",库存台账!$F1070)</f>
        <v/>
      </c>
      <c r="G1070" s="17" t="n"/>
      <c r="H1070" s="23" t="n"/>
      <c r="I1070" s="27">
        <f>IF($A1070="","",库存台账!$X1070)</f>
        <v/>
      </c>
      <c r="J1070" s="27">
        <f>IF(OR($A1070="",$H1070=""),"",ROUND($H1070-$I1070,3))</f>
        <v/>
      </c>
      <c r="K1070" s="26">
        <f>IF($A1070="","",库存台账!$K1070)</f>
        <v/>
      </c>
      <c r="L1070" s="26">
        <f>IF($J1070="","",ROUND($J1070*$K1070,0))</f>
        <v/>
      </c>
      <c r="M1070" s="37">
        <f>IF(OR($J1070="",$I1070=0),"",ROUND($J1070/$I1070,4))</f>
        <v/>
      </c>
      <c r="N1070" s="17" t="n"/>
      <c r="O1070" s="17" t="n"/>
      <c r="P1070" s="24">
        <f>IF($J1070="","未盘",IF(ROUND($J1070,3)=0,"账实相符",IF(COUNTIFS(入库单!$G$4:$G$2503,$A1070,入库单!$X$4:$X$2503,"盘盈",入库单!$C$4:$C$2503,"&gt;="&amp;账期起,入库单!$C$4:$C$2503,"&lt;="&amp;账期止)+COUNTIFS(出库单!$D$4:$D$4003,$A1070,出库单!$K$4:$K$4003,"盘亏",出库单!$C$4:$C$4003,"&gt;="&amp;账期起,出库单!$C$4:$C$4003,"&lt;="&amp;账期止)&gt;0,"已调账","※差异还没调账")))</f>
        <v/>
      </c>
      <c r="Q1070" s="17" t="n"/>
      <c r="R1070" s="17" t="n"/>
    </row>
    <row r="1071">
      <c r="A1071" s="24">
        <f>IF(库存台账!$A1071="","",库存台账!$A1071)</f>
        <v/>
      </c>
      <c r="B1071" s="24">
        <f>IF($A1071="","",库存台账!$B1071)</f>
        <v/>
      </c>
      <c r="C1071" s="24">
        <f>IF($A1071="","",库存台账!$C1071)</f>
        <v/>
      </c>
      <c r="D1071" s="24">
        <f>IF($A1071="","",库存台账!$D1071)</f>
        <v/>
      </c>
      <c r="E1071" s="24">
        <f>IF($A1071="","",库存台账!$E1071)</f>
        <v/>
      </c>
      <c r="F1071" s="24">
        <f>IF($A1071="","",库存台账!$F1071)</f>
        <v/>
      </c>
      <c r="G1071" s="17" t="n"/>
      <c r="H1071" s="23" t="n"/>
      <c r="I1071" s="27">
        <f>IF($A1071="","",库存台账!$X1071)</f>
        <v/>
      </c>
      <c r="J1071" s="27">
        <f>IF(OR($A1071="",$H1071=""),"",ROUND($H1071-$I1071,3))</f>
        <v/>
      </c>
      <c r="K1071" s="26">
        <f>IF($A1071="","",库存台账!$K1071)</f>
        <v/>
      </c>
      <c r="L1071" s="26">
        <f>IF($J1071="","",ROUND($J1071*$K1071,0))</f>
        <v/>
      </c>
      <c r="M1071" s="37">
        <f>IF(OR($J1071="",$I1071=0),"",ROUND($J1071/$I1071,4))</f>
        <v/>
      </c>
      <c r="N1071" s="17" t="n"/>
      <c r="O1071" s="17" t="n"/>
      <c r="P1071" s="24">
        <f>IF($J1071="","未盘",IF(ROUND($J1071,3)=0,"账实相符",IF(COUNTIFS(入库单!$G$4:$G$2503,$A1071,入库单!$X$4:$X$2503,"盘盈",入库单!$C$4:$C$2503,"&gt;="&amp;账期起,入库单!$C$4:$C$2503,"&lt;="&amp;账期止)+COUNTIFS(出库单!$D$4:$D$4003,$A1071,出库单!$K$4:$K$4003,"盘亏",出库单!$C$4:$C$4003,"&gt;="&amp;账期起,出库单!$C$4:$C$4003,"&lt;="&amp;账期止)&gt;0,"已调账","※差异还没调账")))</f>
        <v/>
      </c>
      <c r="Q1071" s="17" t="n"/>
      <c r="R1071" s="17" t="n"/>
    </row>
    <row r="1072">
      <c r="A1072" s="24">
        <f>IF(库存台账!$A1072="","",库存台账!$A1072)</f>
        <v/>
      </c>
      <c r="B1072" s="24">
        <f>IF($A1072="","",库存台账!$B1072)</f>
        <v/>
      </c>
      <c r="C1072" s="24">
        <f>IF($A1072="","",库存台账!$C1072)</f>
        <v/>
      </c>
      <c r="D1072" s="24">
        <f>IF($A1072="","",库存台账!$D1072)</f>
        <v/>
      </c>
      <c r="E1072" s="24">
        <f>IF($A1072="","",库存台账!$E1072)</f>
        <v/>
      </c>
      <c r="F1072" s="24">
        <f>IF($A1072="","",库存台账!$F1072)</f>
        <v/>
      </c>
      <c r="G1072" s="17" t="n"/>
      <c r="H1072" s="23" t="n"/>
      <c r="I1072" s="27">
        <f>IF($A1072="","",库存台账!$X1072)</f>
        <v/>
      </c>
      <c r="J1072" s="27">
        <f>IF(OR($A1072="",$H1072=""),"",ROUND($H1072-$I1072,3))</f>
        <v/>
      </c>
      <c r="K1072" s="26">
        <f>IF($A1072="","",库存台账!$K1072)</f>
        <v/>
      </c>
      <c r="L1072" s="26">
        <f>IF($J1072="","",ROUND($J1072*$K1072,0))</f>
        <v/>
      </c>
      <c r="M1072" s="37">
        <f>IF(OR($J1072="",$I1072=0),"",ROUND($J1072/$I1072,4))</f>
        <v/>
      </c>
      <c r="N1072" s="17" t="n"/>
      <c r="O1072" s="17" t="n"/>
      <c r="P1072" s="24">
        <f>IF($J1072="","未盘",IF(ROUND($J1072,3)=0,"账实相符",IF(COUNTIFS(入库单!$G$4:$G$2503,$A1072,入库单!$X$4:$X$2503,"盘盈",入库单!$C$4:$C$2503,"&gt;="&amp;账期起,入库单!$C$4:$C$2503,"&lt;="&amp;账期止)+COUNTIFS(出库单!$D$4:$D$4003,$A1072,出库单!$K$4:$K$4003,"盘亏",出库单!$C$4:$C$4003,"&gt;="&amp;账期起,出库单!$C$4:$C$4003,"&lt;="&amp;账期止)&gt;0,"已调账","※差异还没调账")))</f>
        <v/>
      </c>
      <c r="Q1072" s="17" t="n"/>
      <c r="R1072" s="17" t="n"/>
    </row>
    <row r="1073">
      <c r="A1073" s="24">
        <f>IF(库存台账!$A1073="","",库存台账!$A1073)</f>
        <v/>
      </c>
      <c r="B1073" s="24">
        <f>IF($A1073="","",库存台账!$B1073)</f>
        <v/>
      </c>
      <c r="C1073" s="24">
        <f>IF($A1073="","",库存台账!$C1073)</f>
        <v/>
      </c>
      <c r="D1073" s="24">
        <f>IF($A1073="","",库存台账!$D1073)</f>
        <v/>
      </c>
      <c r="E1073" s="24">
        <f>IF($A1073="","",库存台账!$E1073)</f>
        <v/>
      </c>
      <c r="F1073" s="24">
        <f>IF($A1073="","",库存台账!$F1073)</f>
        <v/>
      </c>
      <c r="G1073" s="17" t="n"/>
      <c r="H1073" s="23" t="n"/>
      <c r="I1073" s="27">
        <f>IF($A1073="","",库存台账!$X1073)</f>
        <v/>
      </c>
      <c r="J1073" s="27">
        <f>IF(OR($A1073="",$H1073=""),"",ROUND($H1073-$I1073,3))</f>
        <v/>
      </c>
      <c r="K1073" s="26">
        <f>IF($A1073="","",库存台账!$K1073)</f>
        <v/>
      </c>
      <c r="L1073" s="26">
        <f>IF($J1073="","",ROUND($J1073*$K1073,0))</f>
        <v/>
      </c>
      <c r="M1073" s="37">
        <f>IF(OR($J1073="",$I1073=0),"",ROUND($J1073/$I1073,4))</f>
        <v/>
      </c>
      <c r="N1073" s="17" t="n"/>
      <c r="O1073" s="17" t="n"/>
      <c r="P1073" s="24">
        <f>IF($J1073="","未盘",IF(ROUND($J1073,3)=0,"账实相符",IF(COUNTIFS(入库单!$G$4:$G$2503,$A1073,入库单!$X$4:$X$2503,"盘盈",入库单!$C$4:$C$2503,"&gt;="&amp;账期起,入库单!$C$4:$C$2503,"&lt;="&amp;账期止)+COUNTIFS(出库单!$D$4:$D$4003,$A1073,出库单!$K$4:$K$4003,"盘亏",出库单!$C$4:$C$4003,"&gt;="&amp;账期起,出库单!$C$4:$C$4003,"&lt;="&amp;账期止)&gt;0,"已调账","※差异还没调账")))</f>
        <v/>
      </c>
      <c r="Q1073" s="17" t="n"/>
      <c r="R1073" s="17" t="n"/>
    </row>
    <row r="1074">
      <c r="A1074" s="24">
        <f>IF(库存台账!$A1074="","",库存台账!$A1074)</f>
        <v/>
      </c>
      <c r="B1074" s="24">
        <f>IF($A1074="","",库存台账!$B1074)</f>
        <v/>
      </c>
      <c r="C1074" s="24">
        <f>IF($A1074="","",库存台账!$C1074)</f>
        <v/>
      </c>
      <c r="D1074" s="24">
        <f>IF($A1074="","",库存台账!$D1074)</f>
        <v/>
      </c>
      <c r="E1074" s="24">
        <f>IF($A1074="","",库存台账!$E1074)</f>
        <v/>
      </c>
      <c r="F1074" s="24">
        <f>IF($A1074="","",库存台账!$F1074)</f>
        <v/>
      </c>
      <c r="G1074" s="17" t="n"/>
      <c r="H1074" s="23" t="n"/>
      <c r="I1074" s="27">
        <f>IF($A1074="","",库存台账!$X1074)</f>
        <v/>
      </c>
      <c r="J1074" s="27">
        <f>IF(OR($A1074="",$H1074=""),"",ROUND($H1074-$I1074,3))</f>
        <v/>
      </c>
      <c r="K1074" s="26">
        <f>IF($A1074="","",库存台账!$K1074)</f>
        <v/>
      </c>
      <c r="L1074" s="26">
        <f>IF($J1074="","",ROUND($J1074*$K1074,0))</f>
        <v/>
      </c>
      <c r="M1074" s="37">
        <f>IF(OR($J1074="",$I1074=0),"",ROUND($J1074/$I1074,4))</f>
        <v/>
      </c>
      <c r="N1074" s="17" t="n"/>
      <c r="O1074" s="17" t="n"/>
      <c r="P1074" s="24">
        <f>IF($J1074="","未盘",IF(ROUND($J1074,3)=0,"账实相符",IF(COUNTIFS(入库单!$G$4:$G$2503,$A1074,入库单!$X$4:$X$2503,"盘盈",入库单!$C$4:$C$2503,"&gt;="&amp;账期起,入库单!$C$4:$C$2503,"&lt;="&amp;账期止)+COUNTIFS(出库单!$D$4:$D$4003,$A1074,出库单!$K$4:$K$4003,"盘亏",出库单!$C$4:$C$4003,"&gt;="&amp;账期起,出库单!$C$4:$C$4003,"&lt;="&amp;账期止)&gt;0,"已调账","※差异还没调账")))</f>
        <v/>
      </c>
      <c r="Q1074" s="17" t="n"/>
      <c r="R1074" s="17" t="n"/>
    </row>
    <row r="1075">
      <c r="A1075" s="24">
        <f>IF(库存台账!$A1075="","",库存台账!$A1075)</f>
        <v/>
      </c>
      <c r="B1075" s="24">
        <f>IF($A1075="","",库存台账!$B1075)</f>
        <v/>
      </c>
      <c r="C1075" s="24">
        <f>IF($A1075="","",库存台账!$C1075)</f>
        <v/>
      </c>
      <c r="D1075" s="24">
        <f>IF($A1075="","",库存台账!$D1075)</f>
        <v/>
      </c>
      <c r="E1075" s="24">
        <f>IF($A1075="","",库存台账!$E1075)</f>
        <v/>
      </c>
      <c r="F1075" s="24">
        <f>IF($A1075="","",库存台账!$F1075)</f>
        <v/>
      </c>
      <c r="G1075" s="17" t="n"/>
      <c r="H1075" s="23" t="n"/>
      <c r="I1075" s="27">
        <f>IF($A1075="","",库存台账!$X1075)</f>
        <v/>
      </c>
      <c r="J1075" s="27">
        <f>IF(OR($A1075="",$H1075=""),"",ROUND($H1075-$I1075,3))</f>
        <v/>
      </c>
      <c r="K1075" s="26">
        <f>IF($A1075="","",库存台账!$K1075)</f>
        <v/>
      </c>
      <c r="L1075" s="26">
        <f>IF($J1075="","",ROUND($J1075*$K1075,0))</f>
        <v/>
      </c>
      <c r="M1075" s="37">
        <f>IF(OR($J1075="",$I1075=0),"",ROUND($J1075/$I1075,4))</f>
        <v/>
      </c>
      <c r="N1075" s="17" t="n"/>
      <c r="O1075" s="17" t="n"/>
      <c r="P1075" s="24">
        <f>IF($J1075="","未盘",IF(ROUND($J1075,3)=0,"账实相符",IF(COUNTIFS(入库单!$G$4:$G$2503,$A1075,入库单!$X$4:$X$2503,"盘盈",入库单!$C$4:$C$2503,"&gt;="&amp;账期起,入库单!$C$4:$C$2503,"&lt;="&amp;账期止)+COUNTIFS(出库单!$D$4:$D$4003,$A1075,出库单!$K$4:$K$4003,"盘亏",出库单!$C$4:$C$4003,"&gt;="&amp;账期起,出库单!$C$4:$C$4003,"&lt;="&amp;账期止)&gt;0,"已调账","※差异还没调账")))</f>
        <v/>
      </c>
      <c r="Q1075" s="17" t="n"/>
      <c r="R1075" s="17" t="n"/>
    </row>
    <row r="1076">
      <c r="A1076" s="24">
        <f>IF(库存台账!$A1076="","",库存台账!$A1076)</f>
        <v/>
      </c>
      <c r="B1076" s="24">
        <f>IF($A1076="","",库存台账!$B1076)</f>
        <v/>
      </c>
      <c r="C1076" s="24">
        <f>IF($A1076="","",库存台账!$C1076)</f>
        <v/>
      </c>
      <c r="D1076" s="24">
        <f>IF($A1076="","",库存台账!$D1076)</f>
        <v/>
      </c>
      <c r="E1076" s="24">
        <f>IF($A1076="","",库存台账!$E1076)</f>
        <v/>
      </c>
      <c r="F1076" s="24">
        <f>IF($A1076="","",库存台账!$F1076)</f>
        <v/>
      </c>
      <c r="G1076" s="17" t="n"/>
      <c r="H1076" s="23" t="n"/>
      <c r="I1076" s="27">
        <f>IF($A1076="","",库存台账!$X1076)</f>
        <v/>
      </c>
      <c r="J1076" s="27">
        <f>IF(OR($A1076="",$H1076=""),"",ROUND($H1076-$I1076,3))</f>
        <v/>
      </c>
      <c r="K1076" s="26">
        <f>IF($A1076="","",库存台账!$K1076)</f>
        <v/>
      </c>
      <c r="L1076" s="26">
        <f>IF($J1076="","",ROUND($J1076*$K1076,0))</f>
        <v/>
      </c>
      <c r="M1076" s="37">
        <f>IF(OR($J1076="",$I1076=0),"",ROUND($J1076/$I1076,4))</f>
        <v/>
      </c>
      <c r="N1076" s="17" t="n"/>
      <c r="O1076" s="17" t="n"/>
      <c r="P1076" s="24">
        <f>IF($J1076="","未盘",IF(ROUND($J1076,3)=0,"账实相符",IF(COUNTIFS(入库单!$G$4:$G$2503,$A1076,入库单!$X$4:$X$2503,"盘盈",入库单!$C$4:$C$2503,"&gt;="&amp;账期起,入库单!$C$4:$C$2503,"&lt;="&amp;账期止)+COUNTIFS(出库单!$D$4:$D$4003,$A1076,出库单!$K$4:$K$4003,"盘亏",出库单!$C$4:$C$4003,"&gt;="&amp;账期起,出库单!$C$4:$C$4003,"&lt;="&amp;账期止)&gt;0,"已调账","※差异还没调账")))</f>
        <v/>
      </c>
      <c r="Q1076" s="17" t="n"/>
      <c r="R1076" s="17" t="n"/>
    </row>
    <row r="1077">
      <c r="A1077" s="24">
        <f>IF(库存台账!$A1077="","",库存台账!$A1077)</f>
        <v/>
      </c>
      <c r="B1077" s="24">
        <f>IF($A1077="","",库存台账!$B1077)</f>
        <v/>
      </c>
      <c r="C1077" s="24">
        <f>IF($A1077="","",库存台账!$C1077)</f>
        <v/>
      </c>
      <c r="D1077" s="24">
        <f>IF($A1077="","",库存台账!$D1077)</f>
        <v/>
      </c>
      <c r="E1077" s="24">
        <f>IF($A1077="","",库存台账!$E1077)</f>
        <v/>
      </c>
      <c r="F1077" s="24">
        <f>IF($A1077="","",库存台账!$F1077)</f>
        <v/>
      </c>
      <c r="G1077" s="17" t="n"/>
      <c r="H1077" s="23" t="n"/>
      <c r="I1077" s="27">
        <f>IF($A1077="","",库存台账!$X1077)</f>
        <v/>
      </c>
      <c r="J1077" s="27">
        <f>IF(OR($A1077="",$H1077=""),"",ROUND($H1077-$I1077,3))</f>
        <v/>
      </c>
      <c r="K1077" s="26">
        <f>IF($A1077="","",库存台账!$K1077)</f>
        <v/>
      </c>
      <c r="L1077" s="26">
        <f>IF($J1077="","",ROUND($J1077*$K1077,0))</f>
        <v/>
      </c>
      <c r="M1077" s="37">
        <f>IF(OR($J1077="",$I1077=0),"",ROUND($J1077/$I1077,4))</f>
        <v/>
      </c>
      <c r="N1077" s="17" t="n"/>
      <c r="O1077" s="17" t="n"/>
      <c r="P1077" s="24">
        <f>IF($J1077="","未盘",IF(ROUND($J1077,3)=0,"账实相符",IF(COUNTIFS(入库单!$G$4:$G$2503,$A1077,入库单!$X$4:$X$2503,"盘盈",入库单!$C$4:$C$2503,"&gt;="&amp;账期起,入库单!$C$4:$C$2503,"&lt;="&amp;账期止)+COUNTIFS(出库单!$D$4:$D$4003,$A1077,出库单!$K$4:$K$4003,"盘亏",出库单!$C$4:$C$4003,"&gt;="&amp;账期起,出库单!$C$4:$C$4003,"&lt;="&amp;账期止)&gt;0,"已调账","※差异还没调账")))</f>
        <v/>
      </c>
      <c r="Q1077" s="17" t="n"/>
      <c r="R1077" s="17" t="n"/>
    </row>
    <row r="1078">
      <c r="A1078" s="24">
        <f>IF(库存台账!$A1078="","",库存台账!$A1078)</f>
        <v/>
      </c>
      <c r="B1078" s="24">
        <f>IF($A1078="","",库存台账!$B1078)</f>
        <v/>
      </c>
      <c r="C1078" s="24">
        <f>IF($A1078="","",库存台账!$C1078)</f>
        <v/>
      </c>
      <c r="D1078" s="24">
        <f>IF($A1078="","",库存台账!$D1078)</f>
        <v/>
      </c>
      <c r="E1078" s="24">
        <f>IF($A1078="","",库存台账!$E1078)</f>
        <v/>
      </c>
      <c r="F1078" s="24">
        <f>IF($A1078="","",库存台账!$F1078)</f>
        <v/>
      </c>
      <c r="G1078" s="17" t="n"/>
      <c r="H1078" s="23" t="n"/>
      <c r="I1078" s="27">
        <f>IF($A1078="","",库存台账!$X1078)</f>
        <v/>
      </c>
      <c r="J1078" s="27">
        <f>IF(OR($A1078="",$H1078=""),"",ROUND($H1078-$I1078,3))</f>
        <v/>
      </c>
      <c r="K1078" s="26">
        <f>IF($A1078="","",库存台账!$K1078)</f>
        <v/>
      </c>
      <c r="L1078" s="26">
        <f>IF($J1078="","",ROUND($J1078*$K1078,0))</f>
        <v/>
      </c>
      <c r="M1078" s="37">
        <f>IF(OR($J1078="",$I1078=0),"",ROUND($J1078/$I1078,4))</f>
        <v/>
      </c>
      <c r="N1078" s="17" t="n"/>
      <c r="O1078" s="17" t="n"/>
      <c r="P1078" s="24">
        <f>IF($J1078="","未盘",IF(ROUND($J1078,3)=0,"账实相符",IF(COUNTIFS(入库单!$G$4:$G$2503,$A1078,入库单!$X$4:$X$2503,"盘盈",入库单!$C$4:$C$2503,"&gt;="&amp;账期起,入库单!$C$4:$C$2503,"&lt;="&amp;账期止)+COUNTIFS(出库单!$D$4:$D$4003,$A1078,出库单!$K$4:$K$4003,"盘亏",出库单!$C$4:$C$4003,"&gt;="&amp;账期起,出库单!$C$4:$C$4003,"&lt;="&amp;账期止)&gt;0,"已调账","※差异还没调账")))</f>
        <v/>
      </c>
      <c r="Q1078" s="17" t="n"/>
      <c r="R1078" s="17" t="n"/>
    </row>
    <row r="1079">
      <c r="A1079" s="24">
        <f>IF(库存台账!$A1079="","",库存台账!$A1079)</f>
        <v/>
      </c>
      <c r="B1079" s="24">
        <f>IF($A1079="","",库存台账!$B1079)</f>
        <v/>
      </c>
      <c r="C1079" s="24">
        <f>IF($A1079="","",库存台账!$C1079)</f>
        <v/>
      </c>
      <c r="D1079" s="24">
        <f>IF($A1079="","",库存台账!$D1079)</f>
        <v/>
      </c>
      <c r="E1079" s="24">
        <f>IF($A1079="","",库存台账!$E1079)</f>
        <v/>
      </c>
      <c r="F1079" s="24">
        <f>IF($A1079="","",库存台账!$F1079)</f>
        <v/>
      </c>
      <c r="G1079" s="17" t="n"/>
      <c r="H1079" s="23" t="n"/>
      <c r="I1079" s="27">
        <f>IF($A1079="","",库存台账!$X1079)</f>
        <v/>
      </c>
      <c r="J1079" s="27">
        <f>IF(OR($A1079="",$H1079=""),"",ROUND($H1079-$I1079,3))</f>
        <v/>
      </c>
      <c r="K1079" s="26">
        <f>IF($A1079="","",库存台账!$K1079)</f>
        <v/>
      </c>
      <c r="L1079" s="26">
        <f>IF($J1079="","",ROUND($J1079*$K1079,0))</f>
        <v/>
      </c>
      <c r="M1079" s="37">
        <f>IF(OR($J1079="",$I1079=0),"",ROUND($J1079/$I1079,4))</f>
        <v/>
      </c>
      <c r="N1079" s="17" t="n"/>
      <c r="O1079" s="17" t="n"/>
      <c r="P1079" s="24">
        <f>IF($J1079="","未盘",IF(ROUND($J1079,3)=0,"账实相符",IF(COUNTIFS(入库单!$G$4:$G$2503,$A1079,入库单!$X$4:$X$2503,"盘盈",入库单!$C$4:$C$2503,"&gt;="&amp;账期起,入库单!$C$4:$C$2503,"&lt;="&amp;账期止)+COUNTIFS(出库单!$D$4:$D$4003,$A1079,出库单!$K$4:$K$4003,"盘亏",出库单!$C$4:$C$4003,"&gt;="&amp;账期起,出库单!$C$4:$C$4003,"&lt;="&amp;账期止)&gt;0,"已调账","※差异还没调账")))</f>
        <v/>
      </c>
      <c r="Q1079" s="17" t="n"/>
      <c r="R1079" s="17" t="n"/>
    </row>
    <row r="1080">
      <c r="A1080" s="24">
        <f>IF(库存台账!$A1080="","",库存台账!$A1080)</f>
        <v/>
      </c>
      <c r="B1080" s="24">
        <f>IF($A1080="","",库存台账!$B1080)</f>
        <v/>
      </c>
      <c r="C1080" s="24">
        <f>IF($A1080="","",库存台账!$C1080)</f>
        <v/>
      </c>
      <c r="D1080" s="24">
        <f>IF($A1080="","",库存台账!$D1080)</f>
        <v/>
      </c>
      <c r="E1080" s="24">
        <f>IF($A1080="","",库存台账!$E1080)</f>
        <v/>
      </c>
      <c r="F1080" s="24">
        <f>IF($A1080="","",库存台账!$F1080)</f>
        <v/>
      </c>
      <c r="G1080" s="17" t="n"/>
      <c r="H1080" s="23" t="n"/>
      <c r="I1080" s="27">
        <f>IF($A1080="","",库存台账!$X1080)</f>
        <v/>
      </c>
      <c r="J1080" s="27">
        <f>IF(OR($A1080="",$H1080=""),"",ROUND($H1080-$I1080,3))</f>
        <v/>
      </c>
      <c r="K1080" s="26">
        <f>IF($A1080="","",库存台账!$K1080)</f>
        <v/>
      </c>
      <c r="L1080" s="26">
        <f>IF($J1080="","",ROUND($J1080*$K1080,0))</f>
        <v/>
      </c>
      <c r="M1080" s="37">
        <f>IF(OR($J1080="",$I1080=0),"",ROUND($J1080/$I1080,4))</f>
        <v/>
      </c>
      <c r="N1080" s="17" t="n"/>
      <c r="O1080" s="17" t="n"/>
      <c r="P1080" s="24">
        <f>IF($J1080="","未盘",IF(ROUND($J1080,3)=0,"账实相符",IF(COUNTIFS(入库单!$G$4:$G$2503,$A1080,入库单!$X$4:$X$2503,"盘盈",入库单!$C$4:$C$2503,"&gt;="&amp;账期起,入库单!$C$4:$C$2503,"&lt;="&amp;账期止)+COUNTIFS(出库单!$D$4:$D$4003,$A1080,出库单!$K$4:$K$4003,"盘亏",出库单!$C$4:$C$4003,"&gt;="&amp;账期起,出库单!$C$4:$C$4003,"&lt;="&amp;账期止)&gt;0,"已调账","※差异还没调账")))</f>
        <v/>
      </c>
      <c r="Q1080" s="17" t="n"/>
      <c r="R1080" s="17" t="n"/>
    </row>
    <row r="1081">
      <c r="A1081" s="24">
        <f>IF(库存台账!$A1081="","",库存台账!$A1081)</f>
        <v/>
      </c>
      <c r="B1081" s="24">
        <f>IF($A1081="","",库存台账!$B1081)</f>
        <v/>
      </c>
      <c r="C1081" s="24">
        <f>IF($A1081="","",库存台账!$C1081)</f>
        <v/>
      </c>
      <c r="D1081" s="24">
        <f>IF($A1081="","",库存台账!$D1081)</f>
        <v/>
      </c>
      <c r="E1081" s="24">
        <f>IF($A1081="","",库存台账!$E1081)</f>
        <v/>
      </c>
      <c r="F1081" s="24">
        <f>IF($A1081="","",库存台账!$F1081)</f>
        <v/>
      </c>
      <c r="G1081" s="17" t="n"/>
      <c r="H1081" s="23" t="n"/>
      <c r="I1081" s="27">
        <f>IF($A1081="","",库存台账!$X1081)</f>
        <v/>
      </c>
      <c r="J1081" s="27">
        <f>IF(OR($A1081="",$H1081=""),"",ROUND($H1081-$I1081,3))</f>
        <v/>
      </c>
      <c r="K1081" s="26">
        <f>IF($A1081="","",库存台账!$K1081)</f>
        <v/>
      </c>
      <c r="L1081" s="26">
        <f>IF($J1081="","",ROUND($J1081*$K1081,0))</f>
        <v/>
      </c>
      <c r="M1081" s="37">
        <f>IF(OR($J1081="",$I1081=0),"",ROUND($J1081/$I1081,4))</f>
        <v/>
      </c>
      <c r="N1081" s="17" t="n"/>
      <c r="O1081" s="17" t="n"/>
      <c r="P1081" s="24">
        <f>IF($J1081="","未盘",IF(ROUND($J1081,3)=0,"账实相符",IF(COUNTIFS(入库单!$G$4:$G$2503,$A1081,入库单!$X$4:$X$2503,"盘盈",入库单!$C$4:$C$2503,"&gt;="&amp;账期起,入库单!$C$4:$C$2503,"&lt;="&amp;账期止)+COUNTIFS(出库单!$D$4:$D$4003,$A1081,出库单!$K$4:$K$4003,"盘亏",出库单!$C$4:$C$4003,"&gt;="&amp;账期起,出库单!$C$4:$C$4003,"&lt;="&amp;账期止)&gt;0,"已调账","※差异还没调账")))</f>
        <v/>
      </c>
      <c r="Q1081" s="17" t="n"/>
      <c r="R1081" s="17" t="n"/>
    </row>
    <row r="1082">
      <c r="A1082" s="24">
        <f>IF(库存台账!$A1082="","",库存台账!$A1082)</f>
        <v/>
      </c>
      <c r="B1082" s="24">
        <f>IF($A1082="","",库存台账!$B1082)</f>
        <v/>
      </c>
      <c r="C1082" s="24">
        <f>IF($A1082="","",库存台账!$C1082)</f>
        <v/>
      </c>
      <c r="D1082" s="24">
        <f>IF($A1082="","",库存台账!$D1082)</f>
        <v/>
      </c>
      <c r="E1082" s="24">
        <f>IF($A1082="","",库存台账!$E1082)</f>
        <v/>
      </c>
      <c r="F1082" s="24">
        <f>IF($A1082="","",库存台账!$F1082)</f>
        <v/>
      </c>
      <c r="G1082" s="17" t="n"/>
      <c r="H1082" s="23" t="n"/>
      <c r="I1082" s="27">
        <f>IF($A1082="","",库存台账!$X1082)</f>
        <v/>
      </c>
      <c r="J1082" s="27">
        <f>IF(OR($A1082="",$H1082=""),"",ROUND($H1082-$I1082,3))</f>
        <v/>
      </c>
      <c r="K1082" s="26">
        <f>IF($A1082="","",库存台账!$K1082)</f>
        <v/>
      </c>
      <c r="L1082" s="26">
        <f>IF($J1082="","",ROUND($J1082*$K1082,0))</f>
        <v/>
      </c>
      <c r="M1082" s="37">
        <f>IF(OR($J1082="",$I1082=0),"",ROUND($J1082/$I1082,4))</f>
        <v/>
      </c>
      <c r="N1082" s="17" t="n"/>
      <c r="O1082" s="17" t="n"/>
      <c r="P1082" s="24">
        <f>IF($J1082="","未盘",IF(ROUND($J1082,3)=0,"账实相符",IF(COUNTIFS(入库单!$G$4:$G$2503,$A1082,入库单!$X$4:$X$2503,"盘盈",入库单!$C$4:$C$2503,"&gt;="&amp;账期起,入库单!$C$4:$C$2503,"&lt;="&amp;账期止)+COUNTIFS(出库单!$D$4:$D$4003,$A1082,出库单!$K$4:$K$4003,"盘亏",出库单!$C$4:$C$4003,"&gt;="&amp;账期起,出库单!$C$4:$C$4003,"&lt;="&amp;账期止)&gt;0,"已调账","※差异还没调账")))</f>
        <v/>
      </c>
      <c r="Q1082" s="17" t="n"/>
      <c r="R1082" s="17" t="n"/>
    </row>
    <row r="1083">
      <c r="A1083" s="24">
        <f>IF(库存台账!$A1083="","",库存台账!$A1083)</f>
        <v/>
      </c>
      <c r="B1083" s="24">
        <f>IF($A1083="","",库存台账!$B1083)</f>
        <v/>
      </c>
      <c r="C1083" s="24">
        <f>IF($A1083="","",库存台账!$C1083)</f>
        <v/>
      </c>
      <c r="D1083" s="24">
        <f>IF($A1083="","",库存台账!$D1083)</f>
        <v/>
      </c>
      <c r="E1083" s="24">
        <f>IF($A1083="","",库存台账!$E1083)</f>
        <v/>
      </c>
      <c r="F1083" s="24">
        <f>IF($A1083="","",库存台账!$F1083)</f>
        <v/>
      </c>
      <c r="G1083" s="17" t="n"/>
      <c r="H1083" s="23" t="n"/>
      <c r="I1083" s="27">
        <f>IF($A1083="","",库存台账!$X1083)</f>
        <v/>
      </c>
      <c r="J1083" s="27">
        <f>IF(OR($A1083="",$H1083=""),"",ROUND($H1083-$I1083,3))</f>
        <v/>
      </c>
      <c r="K1083" s="26">
        <f>IF($A1083="","",库存台账!$K1083)</f>
        <v/>
      </c>
      <c r="L1083" s="26">
        <f>IF($J1083="","",ROUND($J1083*$K1083,0))</f>
        <v/>
      </c>
      <c r="M1083" s="37">
        <f>IF(OR($J1083="",$I1083=0),"",ROUND($J1083/$I1083,4))</f>
        <v/>
      </c>
      <c r="N1083" s="17" t="n"/>
      <c r="O1083" s="17" t="n"/>
      <c r="P1083" s="24">
        <f>IF($J1083="","未盘",IF(ROUND($J1083,3)=0,"账实相符",IF(COUNTIFS(入库单!$G$4:$G$2503,$A1083,入库单!$X$4:$X$2503,"盘盈",入库单!$C$4:$C$2503,"&gt;="&amp;账期起,入库单!$C$4:$C$2503,"&lt;="&amp;账期止)+COUNTIFS(出库单!$D$4:$D$4003,$A1083,出库单!$K$4:$K$4003,"盘亏",出库单!$C$4:$C$4003,"&gt;="&amp;账期起,出库单!$C$4:$C$4003,"&lt;="&amp;账期止)&gt;0,"已调账","※差异还没调账")))</f>
        <v/>
      </c>
      <c r="Q1083" s="17" t="n"/>
      <c r="R1083" s="17" t="n"/>
    </row>
    <row r="1084">
      <c r="A1084" s="24">
        <f>IF(库存台账!$A1084="","",库存台账!$A1084)</f>
        <v/>
      </c>
      <c r="B1084" s="24">
        <f>IF($A1084="","",库存台账!$B1084)</f>
        <v/>
      </c>
      <c r="C1084" s="24">
        <f>IF($A1084="","",库存台账!$C1084)</f>
        <v/>
      </c>
      <c r="D1084" s="24">
        <f>IF($A1084="","",库存台账!$D1084)</f>
        <v/>
      </c>
      <c r="E1084" s="24">
        <f>IF($A1084="","",库存台账!$E1084)</f>
        <v/>
      </c>
      <c r="F1084" s="24">
        <f>IF($A1084="","",库存台账!$F1084)</f>
        <v/>
      </c>
      <c r="G1084" s="17" t="n"/>
      <c r="H1084" s="23" t="n"/>
      <c r="I1084" s="27">
        <f>IF($A1084="","",库存台账!$X1084)</f>
        <v/>
      </c>
      <c r="J1084" s="27">
        <f>IF(OR($A1084="",$H1084=""),"",ROUND($H1084-$I1084,3))</f>
        <v/>
      </c>
      <c r="K1084" s="26">
        <f>IF($A1084="","",库存台账!$K1084)</f>
        <v/>
      </c>
      <c r="L1084" s="26">
        <f>IF($J1084="","",ROUND($J1084*$K1084,0))</f>
        <v/>
      </c>
      <c r="M1084" s="37">
        <f>IF(OR($J1084="",$I1084=0),"",ROUND($J1084/$I1084,4))</f>
        <v/>
      </c>
      <c r="N1084" s="17" t="n"/>
      <c r="O1084" s="17" t="n"/>
      <c r="P1084" s="24">
        <f>IF($J1084="","未盘",IF(ROUND($J1084,3)=0,"账实相符",IF(COUNTIFS(入库单!$G$4:$G$2503,$A1084,入库单!$X$4:$X$2503,"盘盈",入库单!$C$4:$C$2503,"&gt;="&amp;账期起,入库单!$C$4:$C$2503,"&lt;="&amp;账期止)+COUNTIFS(出库单!$D$4:$D$4003,$A1084,出库单!$K$4:$K$4003,"盘亏",出库单!$C$4:$C$4003,"&gt;="&amp;账期起,出库单!$C$4:$C$4003,"&lt;="&amp;账期止)&gt;0,"已调账","※差异还没调账")))</f>
        <v/>
      </c>
      <c r="Q1084" s="17" t="n"/>
      <c r="R1084" s="17" t="n"/>
    </row>
    <row r="1085">
      <c r="A1085" s="24">
        <f>IF(库存台账!$A1085="","",库存台账!$A1085)</f>
        <v/>
      </c>
      <c r="B1085" s="24">
        <f>IF($A1085="","",库存台账!$B1085)</f>
        <v/>
      </c>
      <c r="C1085" s="24">
        <f>IF($A1085="","",库存台账!$C1085)</f>
        <v/>
      </c>
      <c r="D1085" s="24">
        <f>IF($A1085="","",库存台账!$D1085)</f>
        <v/>
      </c>
      <c r="E1085" s="24">
        <f>IF($A1085="","",库存台账!$E1085)</f>
        <v/>
      </c>
      <c r="F1085" s="24">
        <f>IF($A1085="","",库存台账!$F1085)</f>
        <v/>
      </c>
      <c r="G1085" s="17" t="n"/>
      <c r="H1085" s="23" t="n"/>
      <c r="I1085" s="27">
        <f>IF($A1085="","",库存台账!$X1085)</f>
        <v/>
      </c>
      <c r="J1085" s="27">
        <f>IF(OR($A1085="",$H1085=""),"",ROUND($H1085-$I1085,3))</f>
        <v/>
      </c>
      <c r="K1085" s="26">
        <f>IF($A1085="","",库存台账!$K1085)</f>
        <v/>
      </c>
      <c r="L1085" s="26">
        <f>IF($J1085="","",ROUND($J1085*$K1085,0))</f>
        <v/>
      </c>
      <c r="M1085" s="37">
        <f>IF(OR($J1085="",$I1085=0),"",ROUND($J1085/$I1085,4))</f>
        <v/>
      </c>
      <c r="N1085" s="17" t="n"/>
      <c r="O1085" s="17" t="n"/>
      <c r="P1085" s="24">
        <f>IF($J1085="","未盘",IF(ROUND($J1085,3)=0,"账实相符",IF(COUNTIFS(入库单!$G$4:$G$2503,$A1085,入库单!$X$4:$X$2503,"盘盈",入库单!$C$4:$C$2503,"&gt;="&amp;账期起,入库单!$C$4:$C$2503,"&lt;="&amp;账期止)+COUNTIFS(出库单!$D$4:$D$4003,$A1085,出库单!$K$4:$K$4003,"盘亏",出库单!$C$4:$C$4003,"&gt;="&amp;账期起,出库单!$C$4:$C$4003,"&lt;="&amp;账期止)&gt;0,"已调账","※差异还没调账")))</f>
        <v/>
      </c>
      <c r="Q1085" s="17" t="n"/>
      <c r="R1085" s="17" t="n"/>
    </row>
    <row r="1086">
      <c r="A1086" s="24">
        <f>IF(库存台账!$A1086="","",库存台账!$A1086)</f>
        <v/>
      </c>
      <c r="B1086" s="24">
        <f>IF($A1086="","",库存台账!$B1086)</f>
        <v/>
      </c>
      <c r="C1086" s="24">
        <f>IF($A1086="","",库存台账!$C1086)</f>
        <v/>
      </c>
      <c r="D1086" s="24">
        <f>IF($A1086="","",库存台账!$D1086)</f>
        <v/>
      </c>
      <c r="E1086" s="24">
        <f>IF($A1086="","",库存台账!$E1086)</f>
        <v/>
      </c>
      <c r="F1086" s="24">
        <f>IF($A1086="","",库存台账!$F1086)</f>
        <v/>
      </c>
      <c r="G1086" s="17" t="n"/>
      <c r="H1086" s="23" t="n"/>
      <c r="I1086" s="27">
        <f>IF($A1086="","",库存台账!$X1086)</f>
        <v/>
      </c>
      <c r="J1086" s="27">
        <f>IF(OR($A1086="",$H1086=""),"",ROUND($H1086-$I1086,3))</f>
        <v/>
      </c>
      <c r="K1086" s="26">
        <f>IF($A1086="","",库存台账!$K1086)</f>
        <v/>
      </c>
      <c r="L1086" s="26">
        <f>IF($J1086="","",ROUND($J1086*$K1086,0))</f>
        <v/>
      </c>
      <c r="M1086" s="37">
        <f>IF(OR($J1086="",$I1086=0),"",ROUND($J1086/$I1086,4))</f>
        <v/>
      </c>
      <c r="N1086" s="17" t="n"/>
      <c r="O1086" s="17" t="n"/>
      <c r="P1086" s="24">
        <f>IF($J1086="","未盘",IF(ROUND($J1086,3)=0,"账实相符",IF(COUNTIFS(入库单!$G$4:$G$2503,$A1086,入库单!$X$4:$X$2503,"盘盈",入库单!$C$4:$C$2503,"&gt;="&amp;账期起,入库单!$C$4:$C$2503,"&lt;="&amp;账期止)+COUNTIFS(出库单!$D$4:$D$4003,$A1086,出库单!$K$4:$K$4003,"盘亏",出库单!$C$4:$C$4003,"&gt;="&amp;账期起,出库单!$C$4:$C$4003,"&lt;="&amp;账期止)&gt;0,"已调账","※差异还没调账")))</f>
        <v/>
      </c>
      <c r="Q1086" s="17" t="n"/>
      <c r="R1086" s="17" t="n"/>
    </row>
    <row r="1087">
      <c r="A1087" s="24">
        <f>IF(库存台账!$A1087="","",库存台账!$A1087)</f>
        <v/>
      </c>
      <c r="B1087" s="24">
        <f>IF($A1087="","",库存台账!$B1087)</f>
        <v/>
      </c>
      <c r="C1087" s="24">
        <f>IF($A1087="","",库存台账!$C1087)</f>
        <v/>
      </c>
      <c r="D1087" s="24">
        <f>IF($A1087="","",库存台账!$D1087)</f>
        <v/>
      </c>
      <c r="E1087" s="24">
        <f>IF($A1087="","",库存台账!$E1087)</f>
        <v/>
      </c>
      <c r="F1087" s="24">
        <f>IF($A1087="","",库存台账!$F1087)</f>
        <v/>
      </c>
      <c r="G1087" s="17" t="n"/>
      <c r="H1087" s="23" t="n"/>
      <c r="I1087" s="27">
        <f>IF($A1087="","",库存台账!$X1087)</f>
        <v/>
      </c>
      <c r="J1087" s="27">
        <f>IF(OR($A1087="",$H1087=""),"",ROUND($H1087-$I1087,3))</f>
        <v/>
      </c>
      <c r="K1087" s="26">
        <f>IF($A1087="","",库存台账!$K1087)</f>
        <v/>
      </c>
      <c r="L1087" s="26">
        <f>IF($J1087="","",ROUND($J1087*$K1087,0))</f>
        <v/>
      </c>
      <c r="M1087" s="37">
        <f>IF(OR($J1087="",$I1087=0),"",ROUND($J1087/$I1087,4))</f>
        <v/>
      </c>
      <c r="N1087" s="17" t="n"/>
      <c r="O1087" s="17" t="n"/>
      <c r="P1087" s="24">
        <f>IF($J1087="","未盘",IF(ROUND($J1087,3)=0,"账实相符",IF(COUNTIFS(入库单!$G$4:$G$2503,$A1087,入库单!$X$4:$X$2503,"盘盈",入库单!$C$4:$C$2503,"&gt;="&amp;账期起,入库单!$C$4:$C$2503,"&lt;="&amp;账期止)+COUNTIFS(出库单!$D$4:$D$4003,$A1087,出库单!$K$4:$K$4003,"盘亏",出库单!$C$4:$C$4003,"&gt;="&amp;账期起,出库单!$C$4:$C$4003,"&lt;="&amp;账期止)&gt;0,"已调账","※差异还没调账")))</f>
        <v/>
      </c>
      <c r="Q1087" s="17" t="n"/>
      <c r="R1087" s="17" t="n"/>
    </row>
    <row r="1088">
      <c r="A1088" s="24">
        <f>IF(库存台账!$A1088="","",库存台账!$A1088)</f>
        <v/>
      </c>
      <c r="B1088" s="24">
        <f>IF($A1088="","",库存台账!$B1088)</f>
        <v/>
      </c>
      <c r="C1088" s="24">
        <f>IF($A1088="","",库存台账!$C1088)</f>
        <v/>
      </c>
      <c r="D1088" s="24">
        <f>IF($A1088="","",库存台账!$D1088)</f>
        <v/>
      </c>
      <c r="E1088" s="24">
        <f>IF($A1088="","",库存台账!$E1088)</f>
        <v/>
      </c>
      <c r="F1088" s="24">
        <f>IF($A1088="","",库存台账!$F1088)</f>
        <v/>
      </c>
      <c r="G1088" s="17" t="n"/>
      <c r="H1088" s="23" t="n"/>
      <c r="I1088" s="27">
        <f>IF($A1088="","",库存台账!$X1088)</f>
        <v/>
      </c>
      <c r="J1088" s="27">
        <f>IF(OR($A1088="",$H1088=""),"",ROUND($H1088-$I1088,3))</f>
        <v/>
      </c>
      <c r="K1088" s="26">
        <f>IF($A1088="","",库存台账!$K1088)</f>
        <v/>
      </c>
      <c r="L1088" s="26">
        <f>IF($J1088="","",ROUND($J1088*$K1088,0))</f>
        <v/>
      </c>
      <c r="M1088" s="37">
        <f>IF(OR($J1088="",$I1088=0),"",ROUND($J1088/$I1088,4))</f>
        <v/>
      </c>
      <c r="N1088" s="17" t="n"/>
      <c r="O1088" s="17" t="n"/>
      <c r="P1088" s="24">
        <f>IF($J1088="","未盘",IF(ROUND($J1088,3)=0,"账实相符",IF(COUNTIFS(入库单!$G$4:$G$2503,$A1088,入库单!$X$4:$X$2503,"盘盈",入库单!$C$4:$C$2503,"&gt;="&amp;账期起,入库单!$C$4:$C$2503,"&lt;="&amp;账期止)+COUNTIFS(出库单!$D$4:$D$4003,$A1088,出库单!$K$4:$K$4003,"盘亏",出库单!$C$4:$C$4003,"&gt;="&amp;账期起,出库单!$C$4:$C$4003,"&lt;="&amp;账期止)&gt;0,"已调账","※差异还没调账")))</f>
        <v/>
      </c>
      <c r="Q1088" s="17" t="n"/>
      <c r="R1088" s="17" t="n"/>
    </row>
    <row r="1089">
      <c r="A1089" s="24">
        <f>IF(库存台账!$A1089="","",库存台账!$A1089)</f>
        <v/>
      </c>
      <c r="B1089" s="24">
        <f>IF($A1089="","",库存台账!$B1089)</f>
        <v/>
      </c>
      <c r="C1089" s="24">
        <f>IF($A1089="","",库存台账!$C1089)</f>
        <v/>
      </c>
      <c r="D1089" s="24">
        <f>IF($A1089="","",库存台账!$D1089)</f>
        <v/>
      </c>
      <c r="E1089" s="24">
        <f>IF($A1089="","",库存台账!$E1089)</f>
        <v/>
      </c>
      <c r="F1089" s="24">
        <f>IF($A1089="","",库存台账!$F1089)</f>
        <v/>
      </c>
      <c r="G1089" s="17" t="n"/>
      <c r="H1089" s="23" t="n"/>
      <c r="I1089" s="27">
        <f>IF($A1089="","",库存台账!$X1089)</f>
        <v/>
      </c>
      <c r="J1089" s="27">
        <f>IF(OR($A1089="",$H1089=""),"",ROUND($H1089-$I1089,3))</f>
        <v/>
      </c>
      <c r="K1089" s="26">
        <f>IF($A1089="","",库存台账!$K1089)</f>
        <v/>
      </c>
      <c r="L1089" s="26">
        <f>IF($J1089="","",ROUND($J1089*$K1089,0))</f>
        <v/>
      </c>
      <c r="M1089" s="37">
        <f>IF(OR($J1089="",$I1089=0),"",ROUND($J1089/$I1089,4))</f>
        <v/>
      </c>
      <c r="N1089" s="17" t="n"/>
      <c r="O1089" s="17" t="n"/>
      <c r="P1089" s="24">
        <f>IF($J1089="","未盘",IF(ROUND($J1089,3)=0,"账实相符",IF(COUNTIFS(入库单!$G$4:$G$2503,$A1089,入库单!$X$4:$X$2503,"盘盈",入库单!$C$4:$C$2503,"&gt;="&amp;账期起,入库单!$C$4:$C$2503,"&lt;="&amp;账期止)+COUNTIFS(出库单!$D$4:$D$4003,$A1089,出库单!$K$4:$K$4003,"盘亏",出库单!$C$4:$C$4003,"&gt;="&amp;账期起,出库单!$C$4:$C$4003,"&lt;="&amp;账期止)&gt;0,"已调账","※差异还没调账")))</f>
        <v/>
      </c>
      <c r="Q1089" s="17" t="n"/>
      <c r="R1089" s="17" t="n"/>
    </row>
    <row r="1090">
      <c r="A1090" s="24">
        <f>IF(库存台账!$A1090="","",库存台账!$A1090)</f>
        <v/>
      </c>
      <c r="B1090" s="24">
        <f>IF($A1090="","",库存台账!$B1090)</f>
        <v/>
      </c>
      <c r="C1090" s="24">
        <f>IF($A1090="","",库存台账!$C1090)</f>
        <v/>
      </c>
      <c r="D1090" s="24">
        <f>IF($A1090="","",库存台账!$D1090)</f>
        <v/>
      </c>
      <c r="E1090" s="24">
        <f>IF($A1090="","",库存台账!$E1090)</f>
        <v/>
      </c>
      <c r="F1090" s="24">
        <f>IF($A1090="","",库存台账!$F1090)</f>
        <v/>
      </c>
      <c r="G1090" s="17" t="n"/>
      <c r="H1090" s="23" t="n"/>
      <c r="I1090" s="27">
        <f>IF($A1090="","",库存台账!$X1090)</f>
        <v/>
      </c>
      <c r="J1090" s="27">
        <f>IF(OR($A1090="",$H1090=""),"",ROUND($H1090-$I1090,3))</f>
        <v/>
      </c>
      <c r="K1090" s="26">
        <f>IF($A1090="","",库存台账!$K1090)</f>
        <v/>
      </c>
      <c r="L1090" s="26">
        <f>IF($J1090="","",ROUND($J1090*$K1090,0))</f>
        <v/>
      </c>
      <c r="M1090" s="37">
        <f>IF(OR($J1090="",$I1090=0),"",ROUND($J1090/$I1090,4))</f>
        <v/>
      </c>
      <c r="N1090" s="17" t="n"/>
      <c r="O1090" s="17" t="n"/>
      <c r="P1090" s="24">
        <f>IF($J1090="","未盘",IF(ROUND($J1090,3)=0,"账实相符",IF(COUNTIFS(入库单!$G$4:$G$2503,$A1090,入库单!$X$4:$X$2503,"盘盈",入库单!$C$4:$C$2503,"&gt;="&amp;账期起,入库单!$C$4:$C$2503,"&lt;="&amp;账期止)+COUNTIFS(出库单!$D$4:$D$4003,$A1090,出库单!$K$4:$K$4003,"盘亏",出库单!$C$4:$C$4003,"&gt;="&amp;账期起,出库单!$C$4:$C$4003,"&lt;="&amp;账期止)&gt;0,"已调账","※差异还没调账")))</f>
        <v/>
      </c>
      <c r="Q1090" s="17" t="n"/>
      <c r="R1090" s="17" t="n"/>
    </row>
    <row r="1091">
      <c r="A1091" s="24">
        <f>IF(库存台账!$A1091="","",库存台账!$A1091)</f>
        <v/>
      </c>
      <c r="B1091" s="24">
        <f>IF($A1091="","",库存台账!$B1091)</f>
        <v/>
      </c>
      <c r="C1091" s="24">
        <f>IF($A1091="","",库存台账!$C1091)</f>
        <v/>
      </c>
      <c r="D1091" s="24">
        <f>IF($A1091="","",库存台账!$D1091)</f>
        <v/>
      </c>
      <c r="E1091" s="24">
        <f>IF($A1091="","",库存台账!$E1091)</f>
        <v/>
      </c>
      <c r="F1091" s="24">
        <f>IF($A1091="","",库存台账!$F1091)</f>
        <v/>
      </c>
      <c r="G1091" s="17" t="n"/>
      <c r="H1091" s="23" t="n"/>
      <c r="I1091" s="27">
        <f>IF($A1091="","",库存台账!$X1091)</f>
        <v/>
      </c>
      <c r="J1091" s="27">
        <f>IF(OR($A1091="",$H1091=""),"",ROUND($H1091-$I1091,3))</f>
        <v/>
      </c>
      <c r="K1091" s="26">
        <f>IF($A1091="","",库存台账!$K1091)</f>
        <v/>
      </c>
      <c r="L1091" s="26">
        <f>IF($J1091="","",ROUND($J1091*$K1091,0))</f>
        <v/>
      </c>
      <c r="M1091" s="37">
        <f>IF(OR($J1091="",$I1091=0),"",ROUND($J1091/$I1091,4))</f>
        <v/>
      </c>
      <c r="N1091" s="17" t="n"/>
      <c r="O1091" s="17" t="n"/>
      <c r="P1091" s="24">
        <f>IF($J1091="","未盘",IF(ROUND($J1091,3)=0,"账实相符",IF(COUNTIFS(入库单!$G$4:$G$2503,$A1091,入库单!$X$4:$X$2503,"盘盈",入库单!$C$4:$C$2503,"&gt;="&amp;账期起,入库单!$C$4:$C$2503,"&lt;="&amp;账期止)+COUNTIFS(出库单!$D$4:$D$4003,$A1091,出库单!$K$4:$K$4003,"盘亏",出库单!$C$4:$C$4003,"&gt;="&amp;账期起,出库单!$C$4:$C$4003,"&lt;="&amp;账期止)&gt;0,"已调账","※差异还没调账")))</f>
        <v/>
      </c>
      <c r="Q1091" s="17" t="n"/>
      <c r="R1091" s="17" t="n"/>
    </row>
    <row r="1092">
      <c r="A1092" s="24">
        <f>IF(库存台账!$A1092="","",库存台账!$A1092)</f>
        <v/>
      </c>
      <c r="B1092" s="24">
        <f>IF($A1092="","",库存台账!$B1092)</f>
        <v/>
      </c>
      <c r="C1092" s="24">
        <f>IF($A1092="","",库存台账!$C1092)</f>
        <v/>
      </c>
      <c r="D1092" s="24">
        <f>IF($A1092="","",库存台账!$D1092)</f>
        <v/>
      </c>
      <c r="E1092" s="24">
        <f>IF($A1092="","",库存台账!$E1092)</f>
        <v/>
      </c>
      <c r="F1092" s="24">
        <f>IF($A1092="","",库存台账!$F1092)</f>
        <v/>
      </c>
      <c r="G1092" s="17" t="n"/>
      <c r="H1092" s="23" t="n"/>
      <c r="I1092" s="27">
        <f>IF($A1092="","",库存台账!$X1092)</f>
        <v/>
      </c>
      <c r="J1092" s="27">
        <f>IF(OR($A1092="",$H1092=""),"",ROUND($H1092-$I1092,3))</f>
        <v/>
      </c>
      <c r="K1092" s="26">
        <f>IF($A1092="","",库存台账!$K1092)</f>
        <v/>
      </c>
      <c r="L1092" s="26">
        <f>IF($J1092="","",ROUND($J1092*$K1092,0))</f>
        <v/>
      </c>
      <c r="M1092" s="37">
        <f>IF(OR($J1092="",$I1092=0),"",ROUND($J1092/$I1092,4))</f>
        <v/>
      </c>
      <c r="N1092" s="17" t="n"/>
      <c r="O1092" s="17" t="n"/>
      <c r="P1092" s="24">
        <f>IF($J1092="","未盘",IF(ROUND($J1092,3)=0,"账实相符",IF(COUNTIFS(入库单!$G$4:$G$2503,$A1092,入库单!$X$4:$X$2503,"盘盈",入库单!$C$4:$C$2503,"&gt;="&amp;账期起,入库单!$C$4:$C$2503,"&lt;="&amp;账期止)+COUNTIFS(出库单!$D$4:$D$4003,$A1092,出库单!$K$4:$K$4003,"盘亏",出库单!$C$4:$C$4003,"&gt;="&amp;账期起,出库单!$C$4:$C$4003,"&lt;="&amp;账期止)&gt;0,"已调账","※差异还没调账")))</f>
        <v/>
      </c>
      <c r="Q1092" s="17" t="n"/>
      <c r="R1092" s="17" t="n"/>
    </row>
    <row r="1093">
      <c r="A1093" s="24">
        <f>IF(库存台账!$A1093="","",库存台账!$A1093)</f>
        <v/>
      </c>
      <c r="B1093" s="24">
        <f>IF($A1093="","",库存台账!$B1093)</f>
        <v/>
      </c>
      <c r="C1093" s="24">
        <f>IF($A1093="","",库存台账!$C1093)</f>
        <v/>
      </c>
      <c r="D1093" s="24">
        <f>IF($A1093="","",库存台账!$D1093)</f>
        <v/>
      </c>
      <c r="E1093" s="24">
        <f>IF($A1093="","",库存台账!$E1093)</f>
        <v/>
      </c>
      <c r="F1093" s="24">
        <f>IF($A1093="","",库存台账!$F1093)</f>
        <v/>
      </c>
      <c r="G1093" s="17" t="n"/>
      <c r="H1093" s="23" t="n"/>
      <c r="I1093" s="27">
        <f>IF($A1093="","",库存台账!$X1093)</f>
        <v/>
      </c>
      <c r="J1093" s="27">
        <f>IF(OR($A1093="",$H1093=""),"",ROUND($H1093-$I1093,3))</f>
        <v/>
      </c>
      <c r="K1093" s="26">
        <f>IF($A1093="","",库存台账!$K1093)</f>
        <v/>
      </c>
      <c r="L1093" s="26">
        <f>IF($J1093="","",ROUND($J1093*$K1093,0))</f>
        <v/>
      </c>
      <c r="M1093" s="37">
        <f>IF(OR($J1093="",$I1093=0),"",ROUND($J1093/$I1093,4))</f>
        <v/>
      </c>
      <c r="N1093" s="17" t="n"/>
      <c r="O1093" s="17" t="n"/>
      <c r="P1093" s="24">
        <f>IF($J1093="","未盘",IF(ROUND($J1093,3)=0,"账实相符",IF(COUNTIFS(入库单!$G$4:$G$2503,$A1093,入库单!$X$4:$X$2503,"盘盈",入库单!$C$4:$C$2503,"&gt;="&amp;账期起,入库单!$C$4:$C$2503,"&lt;="&amp;账期止)+COUNTIFS(出库单!$D$4:$D$4003,$A1093,出库单!$K$4:$K$4003,"盘亏",出库单!$C$4:$C$4003,"&gt;="&amp;账期起,出库单!$C$4:$C$4003,"&lt;="&amp;账期止)&gt;0,"已调账","※差异还没调账")))</f>
        <v/>
      </c>
      <c r="Q1093" s="17" t="n"/>
      <c r="R1093" s="17" t="n"/>
    </row>
    <row r="1094">
      <c r="A1094" s="24">
        <f>IF(库存台账!$A1094="","",库存台账!$A1094)</f>
        <v/>
      </c>
      <c r="B1094" s="24">
        <f>IF($A1094="","",库存台账!$B1094)</f>
        <v/>
      </c>
      <c r="C1094" s="24">
        <f>IF($A1094="","",库存台账!$C1094)</f>
        <v/>
      </c>
      <c r="D1094" s="24">
        <f>IF($A1094="","",库存台账!$D1094)</f>
        <v/>
      </c>
      <c r="E1094" s="24">
        <f>IF($A1094="","",库存台账!$E1094)</f>
        <v/>
      </c>
      <c r="F1094" s="24">
        <f>IF($A1094="","",库存台账!$F1094)</f>
        <v/>
      </c>
      <c r="G1094" s="17" t="n"/>
      <c r="H1094" s="23" t="n"/>
      <c r="I1094" s="27">
        <f>IF($A1094="","",库存台账!$X1094)</f>
        <v/>
      </c>
      <c r="J1094" s="27">
        <f>IF(OR($A1094="",$H1094=""),"",ROUND($H1094-$I1094,3))</f>
        <v/>
      </c>
      <c r="K1094" s="26">
        <f>IF($A1094="","",库存台账!$K1094)</f>
        <v/>
      </c>
      <c r="L1094" s="26">
        <f>IF($J1094="","",ROUND($J1094*$K1094,0))</f>
        <v/>
      </c>
      <c r="M1094" s="37">
        <f>IF(OR($J1094="",$I1094=0),"",ROUND($J1094/$I1094,4))</f>
        <v/>
      </c>
      <c r="N1094" s="17" t="n"/>
      <c r="O1094" s="17" t="n"/>
      <c r="P1094" s="24">
        <f>IF($J1094="","未盘",IF(ROUND($J1094,3)=0,"账实相符",IF(COUNTIFS(入库单!$G$4:$G$2503,$A1094,入库单!$X$4:$X$2503,"盘盈",入库单!$C$4:$C$2503,"&gt;="&amp;账期起,入库单!$C$4:$C$2503,"&lt;="&amp;账期止)+COUNTIFS(出库单!$D$4:$D$4003,$A1094,出库单!$K$4:$K$4003,"盘亏",出库单!$C$4:$C$4003,"&gt;="&amp;账期起,出库单!$C$4:$C$4003,"&lt;="&amp;账期止)&gt;0,"已调账","※差异还没调账")))</f>
        <v/>
      </c>
      <c r="Q1094" s="17" t="n"/>
      <c r="R1094" s="17" t="n"/>
    </row>
    <row r="1095">
      <c r="A1095" s="24">
        <f>IF(库存台账!$A1095="","",库存台账!$A1095)</f>
        <v/>
      </c>
      <c r="B1095" s="24">
        <f>IF($A1095="","",库存台账!$B1095)</f>
        <v/>
      </c>
      <c r="C1095" s="24">
        <f>IF($A1095="","",库存台账!$C1095)</f>
        <v/>
      </c>
      <c r="D1095" s="24">
        <f>IF($A1095="","",库存台账!$D1095)</f>
        <v/>
      </c>
      <c r="E1095" s="24">
        <f>IF($A1095="","",库存台账!$E1095)</f>
        <v/>
      </c>
      <c r="F1095" s="24">
        <f>IF($A1095="","",库存台账!$F1095)</f>
        <v/>
      </c>
      <c r="G1095" s="17" t="n"/>
      <c r="H1095" s="23" t="n"/>
      <c r="I1095" s="27">
        <f>IF($A1095="","",库存台账!$X1095)</f>
        <v/>
      </c>
      <c r="J1095" s="27">
        <f>IF(OR($A1095="",$H1095=""),"",ROUND($H1095-$I1095,3))</f>
        <v/>
      </c>
      <c r="K1095" s="26">
        <f>IF($A1095="","",库存台账!$K1095)</f>
        <v/>
      </c>
      <c r="L1095" s="26">
        <f>IF($J1095="","",ROUND($J1095*$K1095,0))</f>
        <v/>
      </c>
      <c r="M1095" s="37">
        <f>IF(OR($J1095="",$I1095=0),"",ROUND($J1095/$I1095,4))</f>
        <v/>
      </c>
      <c r="N1095" s="17" t="n"/>
      <c r="O1095" s="17" t="n"/>
      <c r="P1095" s="24">
        <f>IF($J1095="","未盘",IF(ROUND($J1095,3)=0,"账实相符",IF(COUNTIFS(入库单!$G$4:$G$2503,$A1095,入库单!$X$4:$X$2503,"盘盈",入库单!$C$4:$C$2503,"&gt;="&amp;账期起,入库单!$C$4:$C$2503,"&lt;="&amp;账期止)+COUNTIFS(出库单!$D$4:$D$4003,$A1095,出库单!$K$4:$K$4003,"盘亏",出库单!$C$4:$C$4003,"&gt;="&amp;账期起,出库单!$C$4:$C$4003,"&lt;="&amp;账期止)&gt;0,"已调账","※差异还没调账")))</f>
        <v/>
      </c>
      <c r="Q1095" s="17" t="n"/>
      <c r="R1095" s="17" t="n"/>
    </row>
    <row r="1096">
      <c r="A1096" s="24">
        <f>IF(库存台账!$A1096="","",库存台账!$A1096)</f>
        <v/>
      </c>
      <c r="B1096" s="24">
        <f>IF($A1096="","",库存台账!$B1096)</f>
        <v/>
      </c>
      <c r="C1096" s="24">
        <f>IF($A1096="","",库存台账!$C1096)</f>
        <v/>
      </c>
      <c r="D1096" s="24">
        <f>IF($A1096="","",库存台账!$D1096)</f>
        <v/>
      </c>
      <c r="E1096" s="24">
        <f>IF($A1096="","",库存台账!$E1096)</f>
        <v/>
      </c>
      <c r="F1096" s="24">
        <f>IF($A1096="","",库存台账!$F1096)</f>
        <v/>
      </c>
      <c r="G1096" s="17" t="n"/>
      <c r="H1096" s="23" t="n"/>
      <c r="I1096" s="27">
        <f>IF($A1096="","",库存台账!$X1096)</f>
        <v/>
      </c>
      <c r="J1096" s="27">
        <f>IF(OR($A1096="",$H1096=""),"",ROUND($H1096-$I1096,3))</f>
        <v/>
      </c>
      <c r="K1096" s="26">
        <f>IF($A1096="","",库存台账!$K1096)</f>
        <v/>
      </c>
      <c r="L1096" s="26">
        <f>IF($J1096="","",ROUND($J1096*$K1096,0))</f>
        <v/>
      </c>
      <c r="M1096" s="37">
        <f>IF(OR($J1096="",$I1096=0),"",ROUND($J1096/$I1096,4))</f>
        <v/>
      </c>
      <c r="N1096" s="17" t="n"/>
      <c r="O1096" s="17" t="n"/>
      <c r="P1096" s="24">
        <f>IF($J1096="","未盘",IF(ROUND($J1096,3)=0,"账实相符",IF(COUNTIFS(入库单!$G$4:$G$2503,$A1096,入库单!$X$4:$X$2503,"盘盈",入库单!$C$4:$C$2503,"&gt;="&amp;账期起,入库单!$C$4:$C$2503,"&lt;="&amp;账期止)+COUNTIFS(出库单!$D$4:$D$4003,$A1096,出库单!$K$4:$K$4003,"盘亏",出库单!$C$4:$C$4003,"&gt;="&amp;账期起,出库单!$C$4:$C$4003,"&lt;="&amp;账期止)&gt;0,"已调账","※差异还没调账")))</f>
        <v/>
      </c>
      <c r="Q1096" s="17" t="n"/>
      <c r="R1096" s="17" t="n"/>
    </row>
    <row r="1097">
      <c r="A1097" s="24">
        <f>IF(库存台账!$A1097="","",库存台账!$A1097)</f>
        <v/>
      </c>
      <c r="B1097" s="24">
        <f>IF($A1097="","",库存台账!$B1097)</f>
        <v/>
      </c>
      <c r="C1097" s="24">
        <f>IF($A1097="","",库存台账!$C1097)</f>
        <v/>
      </c>
      <c r="D1097" s="24">
        <f>IF($A1097="","",库存台账!$D1097)</f>
        <v/>
      </c>
      <c r="E1097" s="24">
        <f>IF($A1097="","",库存台账!$E1097)</f>
        <v/>
      </c>
      <c r="F1097" s="24">
        <f>IF($A1097="","",库存台账!$F1097)</f>
        <v/>
      </c>
      <c r="G1097" s="17" t="n"/>
      <c r="H1097" s="23" t="n"/>
      <c r="I1097" s="27">
        <f>IF($A1097="","",库存台账!$X1097)</f>
        <v/>
      </c>
      <c r="J1097" s="27">
        <f>IF(OR($A1097="",$H1097=""),"",ROUND($H1097-$I1097,3))</f>
        <v/>
      </c>
      <c r="K1097" s="26">
        <f>IF($A1097="","",库存台账!$K1097)</f>
        <v/>
      </c>
      <c r="L1097" s="26">
        <f>IF($J1097="","",ROUND($J1097*$K1097,0))</f>
        <v/>
      </c>
      <c r="M1097" s="37">
        <f>IF(OR($J1097="",$I1097=0),"",ROUND($J1097/$I1097,4))</f>
        <v/>
      </c>
      <c r="N1097" s="17" t="n"/>
      <c r="O1097" s="17" t="n"/>
      <c r="P1097" s="24">
        <f>IF($J1097="","未盘",IF(ROUND($J1097,3)=0,"账实相符",IF(COUNTIFS(入库单!$G$4:$G$2503,$A1097,入库单!$X$4:$X$2503,"盘盈",入库单!$C$4:$C$2503,"&gt;="&amp;账期起,入库单!$C$4:$C$2503,"&lt;="&amp;账期止)+COUNTIFS(出库单!$D$4:$D$4003,$A1097,出库单!$K$4:$K$4003,"盘亏",出库单!$C$4:$C$4003,"&gt;="&amp;账期起,出库单!$C$4:$C$4003,"&lt;="&amp;账期止)&gt;0,"已调账","※差异还没调账")))</f>
        <v/>
      </c>
      <c r="Q1097" s="17" t="n"/>
      <c r="R1097" s="17" t="n"/>
    </row>
    <row r="1098">
      <c r="A1098" s="24">
        <f>IF(库存台账!$A1098="","",库存台账!$A1098)</f>
        <v/>
      </c>
      <c r="B1098" s="24">
        <f>IF($A1098="","",库存台账!$B1098)</f>
        <v/>
      </c>
      <c r="C1098" s="24">
        <f>IF($A1098="","",库存台账!$C1098)</f>
        <v/>
      </c>
      <c r="D1098" s="24">
        <f>IF($A1098="","",库存台账!$D1098)</f>
        <v/>
      </c>
      <c r="E1098" s="24">
        <f>IF($A1098="","",库存台账!$E1098)</f>
        <v/>
      </c>
      <c r="F1098" s="24">
        <f>IF($A1098="","",库存台账!$F1098)</f>
        <v/>
      </c>
      <c r="G1098" s="17" t="n"/>
      <c r="H1098" s="23" t="n"/>
      <c r="I1098" s="27">
        <f>IF($A1098="","",库存台账!$X1098)</f>
        <v/>
      </c>
      <c r="J1098" s="27">
        <f>IF(OR($A1098="",$H1098=""),"",ROUND($H1098-$I1098,3))</f>
        <v/>
      </c>
      <c r="K1098" s="26">
        <f>IF($A1098="","",库存台账!$K1098)</f>
        <v/>
      </c>
      <c r="L1098" s="26">
        <f>IF($J1098="","",ROUND($J1098*$K1098,0))</f>
        <v/>
      </c>
      <c r="M1098" s="37">
        <f>IF(OR($J1098="",$I1098=0),"",ROUND($J1098/$I1098,4))</f>
        <v/>
      </c>
      <c r="N1098" s="17" t="n"/>
      <c r="O1098" s="17" t="n"/>
      <c r="P1098" s="24">
        <f>IF($J1098="","未盘",IF(ROUND($J1098,3)=0,"账实相符",IF(COUNTIFS(入库单!$G$4:$G$2503,$A1098,入库单!$X$4:$X$2503,"盘盈",入库单!$C$4:$C$2503,"&gt;="&amp;账期起,入库单!$C$4:$C$2503,"&lt;="&amp;账期止)+COUNTIFS(出库单!$D$4:$D$4003,$A1098,出库单!$K$4:$K$4003,"盘亏",出库单!$C$4:$C$4003,"&gt;="&amp;账期起,出库单!$C$4:$C$4003,"&lt;="&amp;账期止)&gt;0,"已调账","※差异还没调账")))</f>
        <v/>
      </c>
      <c r="Q1098" s="17" t="n"/>
      <c r="R1098" s="17" t="n"/>
    </row>
    <row r="1099">
      <c r="A1099" s="24">
        <f>IF(库存台账!$A1099="","",库存台账!$A1099)</f>
        <v/>
      </c>
      <c r="B1099" s="24">
        <f>IF($A1099="","",库存台账!$B1099)</f>
        <v/>
      </c>
      <c r="C1099" s="24">
        <f>IF($A1099="","",库存台账!$C1099)</f>
        <v/>
      </c>
      <c r="D1099" s="24">
        <f>IF($A1099="","",库存台账!$D1099)</f>
        <v/>
      </c>
      <c r="E1099" s="24">
        <f>IF($A1099="","",库存台账!$E1099)</f>
        <v/>
      </c>
      <c r="F1099" s="24">
        <f>IF($A1099="","",库存台账!$F1099)</f>
        <v/>
      </c>
      <c r="G1099" s="17" t="n"/>
      <c r="H1099" s="23" t="n"/>
      <c r="I1099" s="27">
        <f>IF($A1099="","",库存台账!$X1099)</f>
        <v/>
      </c>
      <c r="J1099" s="27">
        <f>IF(OR($A1099="",$H1099=""),"",ROUND($H1099-$I1099,3))</f>
        <v/>
      </c>
      <c r="K1099" s="26">
        <f>IF($A1099="","",库存台账!$K1099)</f>
        <v/>
      </c>
      <c r="L1099" s="26">
        <f>IF($J1099="","",ROUND($J1099*$K1099,0))</f>
        <v/>
      </c>
      <c r="M1099" s="37">
        <f>IF(OR($J1099="",$I1099=0),"",ROUND($J1099/$I1099,4))</f>
        <v/>
      </c>
      <c r="N1099" s="17" t="n"/>
      <c r="O1099" s="17" t="n"/>
      <c r="P1099" s="24">
        <f>IF($J1099="","未盘",IF(ROUND($J1099,3)=0,"账实相符",IF(COUNTIFS(入库单!$G$4:$G$2503,$A1099,入库单!$X$4:$X$2503,"盘盈",入库单!$C$4:$C$2503,"&gt;="&amp;账期起,入库单!$C$4:$C$2503,"&lt;="&amp;账期止)+COUNTIFS(出库单!$D$4:$D$4003,$A1099,出库单!$K$4:$K$4003,"盘亏",出库单!$C$4:$C$4003,"&gt;="&amp;账期起,出库单!$C$4:$C$4003,"&lt;="&amp;账期止)&gt;0,"已调账","※差异还没调账")))</f>
        <v/>
      </c>
      <c r="Q1099" s="17" t="n"/>
      <c r="R1099" s="17" t="n"/>
    </row>
    <row r="1100">
      <c r="A1100" s="24">
        <f>IF(库存台账!$A1100="","",库存台账!$A1100)</f>
        <v/>
      </c>
      <c r="B1100" s="24">
        <f>IF($A1100="","",库存台账!$B1100)</f>
        <v/>
      </c>
      <c r="C1100" s="24">
        <f>IF($A1100="","",库存台账!$C1100)</f>
        <v/>
      </c>
      <c r="D1100" s="24">
        <f>IF($A1100="","",库存台账!$D1100)</f>
        <v/>
      </c>
      <c r="E1100" s="24">
        <f>IF($A1100="","",库存台账!$E1100)</f>
        <v/>
      </c>
      <c r="F1100" s="24">
        <f>IF($A1100="","",库存台账!$F1100)</f>
        <v/>
      </c>
      <c r="G1100" s="17" t="n"/>
      <c r="H1100" s="23" t="n"/>
      <c r="I1100" s="27">
        <f>IF($A1100="","",库存台账!$X1100)</f>
        <v/>
      </c>
      <c r="J1100" s="27">
        <f>IF(OR($A1100="",$H1100=""),"",ROUND($H1100-$I1100,3))</f>
        <v/>
      </c>
      <c r="K1100" s="26">
        <f>IF($A1100="","",库存台账!$K1100)</f>
        <v/>
      </c>
      <c r="L1100" s="26">
        <f>IF($J1100="","",ROUND($J1100*$K1100,0))</f>
        <v/>
      </c>
      <c r="M1100" s="37">
        <f>IF(OR($J1100="",$I1100=0),"",ROUND($J1100/$I1100,4))</f>
        <v/>
      </c>
      <c r="N1100" s="17" t="n"/>
      <c r="O1100" s="17" t="n"/>
      <c r="P1100" s="24">
        <f>IF($J1100="","未盘",IF(ROUND($J1100,3)=0,"账实相符",IF(COUNTIFS(入库单!$G$4:$G$2503,$A1100,入库单!$X$4:$X$2503,"盘盈",入库单!$C$4:$C$2503,"&gt;="&amp;账期起,入库单!$C$4:$C$2503,"&lt;="&amp;账期止)+COUNTIFS(出库单!$D$4:$D$4003,$A1100,出库单!$K$4:$K$4003,"盘亏",出库单!$C$4:$C$4003,"&gt;="&amp;账期起,出库单!$C$4:$C$4003,"&lt;="&amp;账期止)&gt;0,"已调账","※差异还没调账")))</f>
        <v/>
      </c>
      <c r="Q1100" s="17" t="n"/>
      <c r="R1100" s="17" t="n"/>
    </row>
    <row r="1101">
      <c r="A1101" s="24">
        <f>IF(库存台账!$A1101="","",库存台账!$A1101)</f>
        <v/>
      </c>
      <c r="B1101" s="24">
        <f>IF($A1101="","",库存台账!$B1101)</f>
        <v/>
      </c>
      <c r="C1101" s="24">
        <f>IF($A1101="","",库存台账!$C1101)</f>
        <v/>
      </c>
      <c r="D1101" s="24">
        <f>IF($A1101="","",库存台账!$D1101)</f>
        <v/>
      </c>
      <c r="E1101" s="24">
        <f>IF($A1101="","",库存台账!$E1101)</f>
        <v/>
      </c>
      <c r="F1101" s="24">
        <f>IF($A1101="","",库存台账!$F1101)</f>
        <v/>
      </c>
      <c r="G1101" s="17" t="n"/>
      <c r="H1101" s="23" t="n"/>
      <c r="I1101" s="27">
        <f>IF($A1101="","",库存台账!$X1101)</f>
        <v/>
      </c>
      <c r="J1101" s="27">
        <f>IF(OR($A1101="",$H1101=""),"",ROUND($H1101-$I1101,3))</f>
        <v/>
      </c>
      <c r="K1101" s="26">
        <f>IF($A1101="","",库存台账!$K1101)</f>
        <v/>
      </c>
      <c r="L1101" s="26">
        <f>IF($J1101="","",ROUND($J1101*$K1101,0))</f>
        <v/>
      </c>
      <c r="M1101" s="37">
        <f>IF(OR($J1101="",$I1101=0),"",ROUND($J1101/$I1101,4))</f>
        <v/>
      </c>
      <c r="N1101" s="17" t="n"/>
      <c r="O1101" s="17" t="n"/>
      <c r="P1101" s="24">
        <f>IF($J1101="","未盘",IF(ROUND($J1101,3)=0,"账实相符",IF(COUNTIFS(入库单!$G$4:$G$2503,$A1101,入库单!$X$4:$X$2503,"盘盈",入库单!$C$4:$C$2503,"&gt;="&amp;账期起,入库单!$C$4:$C$2503,"&lt;="&amp;账期止)+COUNTIFS(出库单!$D$4:$D$4003,$A1101,出库单!$K$4:$K$4003,"盘亏",出库单!$C$4:$C$4003,"&gt;="&amp;账期起,出库单!$C$4:$C$4003,"&lt;="&amp;账期止)&gt;0,"已调账","※差异还没调账")))</f>
        <v/>
      </c>
      <c r="Q1101" s="17" t="n"/>
      <c r="R1101" s="17" t="n"/>
    </row>
    <row r="1102">
      <c r="A1102" s="24">
        <f>IF(库存台账!$A1102="","",库存台账!$A1102)</f>
        <v/>
      </c>
      <c r="B1102" s="24">
        <f>IF($A1102="","",库存台账!$B1102)</f>
        <v/>
      </c>
      <c r="C1102" s="24">
        <f>IF($A1102="","",库存台账!$C1102)</f>
        <v/>
      </c>
      <c r="D1102" s="24">
        <f>IF($A1102="","",库存台账!$D1102)</f>
        <v/>
      </c>
      <c r="E1102" s="24">
        <f>IF($A1102="","",库存台账!$E1102)</f>
        <v/>
      </c>
      <c r="F1102" s="24">
        <f>IF($A1102="","",库存台账!$F1102)</f>
        <v/>
      </c>
      <c r="G1102" s="17" t="n"/>
      <c r="H1102" s="23" t="n"/>
      <c r="I1102" s="27">
        <f>IF($A1102="","",库存台账!$X1102)</f>
        <v/>
      </c>
      <c r="J1102" s="27">
        <f>IF(OR($A1102="",$H1102=""),"",ROUND($H1102-$I1102,3))</f>
        <v/>
      </c>
      <c r="K1102" s="26">
        <f>IF($A1102="","",库存台账!$K1102)</f>
        <v/>
      </c>
      <c r="L1102" s="26">
        <f>IF($J1102="","",ROUND($J1102*$K1102,0))</f>
        <v/>
      </c>
      <c r="M1102" s="37">
        <f>IF(OR($J1102="",$I1102=0),"",ROUND($J1102/$I1102,4))</f>
        <v/>
      </c>
      <c r="N1102" s="17" t="n"/>
      <c r="O1102" s="17" t="n"/>
      <c r="P1102" s="24">
        <f>IF($J1102="","未盘",IF(ROUND($J1102,3)=0,"账实相符",IF(COUNTIFS(入库单!$G$4:$G$2503,$A1102,入库单!$X$4:$X$2503,"盘盈",入库单!$C$4:$C$2503,"&gt;="&amp;账期起,入库单!$C$4:$C$2503,"&lt;="&amp;账期止)+COUNTIFS(出库单!$D$4:$D$4003,$A1102,出库单!$K$4:$K$4003,"盘亏",出库单!$C$4:$C$4003,"&gt;="&amp;账期起,出库单!$C$4:$C$4003,"&lt;="&amp;账期止)&gt;0,"已调账","※差异还没调账")))</f>
        <v/>
      </c>
      <c r="Q1102" s="17" t="n"/>
      <c r="R1102" s="17" t="n"/>
    </row>
    <row r="1103">
      <c r="A1103" s="24">
        <f>IF(库存台账!$A1103="","",库存台账!$A1103)</f>
        <v/>
      </c>
      <c r="B1103" s="24">
        <f>IF($A1103="","",库存台账!$B1103)</f>
        <v/>
      </c>
      <c r="C1103" s="24">
        <f>IF($A1103="","",库存台账!$C1103)</f>
        <v/>
      </c>
      <c r="D1103" s="24">
        <f>IF($A1103="","",库存台账!$D1103)</f>
        <v/>
      </c>
      <c r="E1103" s="24">
        <f>IF($A1103="","",库存台账!$E1103)</f>
        <v/>
      </c>
      <c r="F1103" s="24">
        <f>IF($A1103="","",库存台账!$F1103)</f>
        <v/>
      </c>
      <c r="G1103" s="17" t="n"/>
      <c r="H1103" s="23" t="n"/>
      <c r="I1103" s="27">
        <f>IF($A1103="","",库存台账!$X1103)</f>
        <v/>
      </c>
      <c r="J1103" s="27">
        <f>IF(OR($A1103="",$H1103=""),"",ROUND($H1103-$I1103,3))</f>
        <v/>
      </c>
      <c r="K1103" s="26">
        <f>IF($A1103="","",库存台账!$K1103)</f>
        <v/>
      </c>
      <c r="L1103" s="26">
        <f>IF($J1103="","",ROUND($J1103*$K1103,0))</f>
        <v/>
      </c>
      <c r="M1103" s="37">
        <f>IF(OR($J1103="",$I1103=0),"",ROUND($J1103/$I1103,4))</f>
        <v/>
      </c>
      <c r="N1103" s="17" t="n"/>
      <c r="O1103" s="17" t="n"/>
      <c r="P1103" s="24">
        <f>IF($J1103="","未盘",IF(ROUND($J1103,3)=0,"账实相符",IF(COUNTIFS(入库单!$G$4:$G$2503,$A1103,入库单!$X$4:$X$2503,"盘盈",入库单!$C$4:$C$2503,"&gt;="&amp;账期起,入库单!$C$4:$C$2503,"&lt;="&amp;账期止)+COUNTIFS(出库单!$D$4:$D$4003,$A1103,出库单!$K$4:$K$4003,"盘亏",出库单!$C$4:$C$4003,"&gt;="&amp;账期起,出库单!$C$4:$C$4003,"&lt;="&amp;账期止)&gt;0,"已调账","※差异还没调账")))</f>
        <v/>
      </c>
      <c r="Q1103" s="17" t="n"/>
      <c r="R1103" s="17" t="n"/>
    </row>
    <row r="1104">
      <c r="A1104" s="24">
        <f>IF(库存台账!$A1104="","",库存台账!$A1104)</f>
        <v/>
      </c>
      <c r="B1104" s="24">
        <f>IF($A1104="","",库存台账!$B1104)</f>
        <v/>
      </c>
      <c r="C1104" s="24">
        <f>IF($A1104="","",库存台账!$C1104)</f>
        <v/>
      </c>
      <c r="D1104" s="24">
        <f>IF($A1104="","",库存台账!$D1104)</f>
        <v/>
      </c>
      <c r="E1104" s="24">
        <f>IF($A1104="","",库存台账!$E1104)</f>
        <v/>
      </c>
      <c r="F1104" s="24">
        <f>IF($A1104="","",库存台账!$F1104)</f>
        <v/>
      </c>
      <c r="G1104" s="17" t="n"/>
      <c r="H1104" s="23" t="n"/>
      <c r="I1104" s="27">
        <f>IF($A1104="","",库存台账!$X1104)</f>
        <v/>
      </c>
      <c r="J1104" s="27">
        <f>IF(OR($A1104="",$H1104=""),"",ROUND($H1104-$I1104,3))</f>
        <v/>
      </c>
      <c r="K1104" s="26">
        <f>IF($A1104="","",库存台账!$K1104)</f>
        <v/>
      </c>
      <c r="L1104" s="26">
        <f>IF($J1104="","",ROUND($J1104*$K1104,0))</f>
        <v/>
      </c>
      <c r="M1104" s="37">
        <f>IF(OR($J1104="",$I1104=0),"",ROUND($J1104/$I1104,4))</f>
        <v/>
      </c>
      <c r="N1104" s="17" t="n"/>
      <c r="O1104" s="17" t="n"/>
      <c r="P1104" s="24">
        <f>IF($J1104="","未盘",IF(ROUND($J1104,3)=0,"账实相符",IF(COUNTIFS(入库单!$G$4:$G$2503,$A1104,入库单!$X$4:$X$2503,"盘盈",入库单!$C$4:$C$2503,"&gt;="&amp;账期起,入库单!$C$4:$C$2503,"&lt;="&amp;账期止)+COUNTIFS(出库单!$D$4:$D$4003,$A1104,出库单!$K$4:$K$4003,"盘亏",出库单!$C$4:$C$4003,"&gt;="&amp;账期起,出库单!$C$4:$C$4003,"&lt;="&amp;账期止)&gt;0,"已调账","※差异还没调账")))</f>
        <v/>
      </c>
      <c r="Q1104" s="17" t="n"/>
      <c r="R1104" s="17" t="n"/>
    </row>
    <row r="1105">
      <c r="A1105" s="24">
        <f>IF(库存台账!$A1105="","",库存台账!$A1105)</f>
        <v/>
      </c>
      <c r="B1105" s="24">
        <f>IF($A1105="","",库存台账!$B1105)</f>
        <v/>
      </c>
      <c r="C1105" s="24">
        <f>IF($A1105="","",库存台账!$C1105)</f>
        <v/>
      </c>
      <c r="D1105" s="24">
        <f>IF($A1105="","",库存台账!$D1105)</f>
        <v/>
      </c>
      <c r="E1105" s="24">
        <f>IF($A1105="","",库存台账!$E1105)</f>
        <v/>
      </c>
      <c r="F1105" s="24">
        <f>IF($A1105="","",库存台账!$F1105)</f>
        <v/>
      </c>
      <c r="G1105" s="17" t="n"/>
      <c r="H1105" s="23" t="n"/>
      <c r="I1105" s="27">
        <f>IF($A1105="","",库存台账!$X1105)</f>
        <v/>
      </c>
      <c r="J1105" s="27">
        <f>IF(OR($A1105="",$H1105=""),"",ROUND($H1105-$I1105,3))</f>
        <v/>
      </c>
      <c r="K1105" s="26">
        <f>IF($A1105="","",库存台账!$K1105)</f>
        <v/>
      </c>
      <c r="L1105" s="26">
        <f>IF($J1105="","",ROUND($J1105*$K1105,0))</f>
        <v/>
      </c>
      <c r="M1105" s="37">
        <f>IF(OR($J1105="",$I1105=0),"",ROUND($J1105/$I1105,4))</f>
        <v/>
      </c>
      <c r="N1105" s="17" t="n"/>
      <c r="O1105" s="17" t="n"/>
      <c r="P1105" s="24">
        <f>IF($J1105="","未盘",IF(ROUND($J1105,3)=0,"账实相符",IF(COUNTIFS(入库单!$G$4:$G$2503,$A1105,入库单!$X$4:$X$2503,"盘盈",入库单!$C$4:$C$2503,"&gt;="&amp;账期起,入库单!$C$4:$C$2503,"&lt;="&amp;账期止)+COUNTIFS(出库单!$D$4:$D$4003,$A1105,出库单!$K$4:$K$4003,"盘亏",出库单!$C$4:$C$4003,"&gt;="&amp;账期起,出库单!$C$4:$C$4003,"&lt;="&amp;账期止)&gt;0,"已调账","※差异还没调账")))</f>
        <v/>
      </c>
      <c r="Q1105" s="17" t="n"/>
      <c r="R1105" s="17" t="n"/>
    </row>
    <row r="1106">
      <c r="A1106" s="24">
        <f>IF(库存台账!$A1106="","",库存台账!$A1106)</f>
        <v/>
      </c>
      <c r="B1106" s="24">
        <f>IF($A1106="","",库存台账!$B1106)</f>
        <v/>
      </c>
      <c r="C1106" s="24">
        <f>IF($A1106="","",库存台账!$C1106)</f>
        <v/>
      </c>
      <c r="D1106" s="24">
        <f>IF($A1106="","",库存台账!$D1106)</f>
        <v/>
      </c>
      <c r="E1106" s="24">
        <f>IF($A1106="","",库存台账!$E1106)</f>
        <v/>
      </c>
      <c r="F1106" s="24">
        <f>IF($A1106="","",库存台账!$F1106)</f>
        <v/>
      </c>
      <c r="G1106" s="17" t="n"/>
      <c r="H1106" s="23" t="n"/>
      <c r="I1106" s="27">
        <f>IF($A1106="","",库存台账!$X1106)</f>
        <v/>
      </c>
      <c r="J1106" s="27">
        <f>IF(OR($A1106="",$H1106=""),"",ROUND($H1106-$I1106,3))</f>
        <v/>
      </c>
      <c r="K1106" s="26">
        <f>IF($A1106="","",库存台账!$K1106)</f>
        <v/>
      </c>
      <c r="L1106" s="26">
        <f>IF($J1106="","",ROUND($J1106*$K1106,0))</f>
        <v/>
      </c>
      <c r="M1106" s="37">
        <f>IF(OR($J1106="",$I1106=0),"",ROUND($J1106/$I1106,4))</f>
        <v/>
      </c>
      <c r="N1106" s="17" t="n"/>
      <c r="O1106" s="17" t="n"/>
      <c r="P1106" s="24">
        <f>IF($J1106="","未盘",IF(ROUND($J1106,3)=0,"账实相符",IF(COUNTIFS(入库单!$G$4:$G$2503,$A1106,入库单!$X$4:$X$2503,"盘盈",入库单!$C$4:$C$2503,"&gt;="&amp;账期起,入库单!$C$4:$C$2503,"&lt;="&amp;账期止)+COUNTIFS(出库单!$D$4:$D$4003,$A1106,出库单!$K$4:$K$4003,"盘亏",出库单!$C$4:$C$4003,"&gt;="&amp;账期起,出库单!$C$4:$C$4003,"&lt;="&amp;账期止)&gt;0,"已调账","※差异还没调账")))</f>
        <v/>
      </c>
      <c r="Q1106" s="17" t="n"/>
      <c r="R1106" s="17" t="n"/>
    </row>
    <row r="1107">
      <c r="A1107" s="24">
        <f>IF(库存台账!$A1107="","",库存台账!$A1107)</f>
        <v/>
      </c>
      <c r="B1107" s="24">
        <f>IF($A1107="","",库存台账!$B1107)</f>
        <v/>
      </c>
      <c r="C1107" s="24">
        <f>IF($A1107="","",库存台账!$C1107)</f>
        <v/>
      </c>
      <c r="D1107" s="24">
        <f>IF($A1107="","",库存台账!$D1107)</f>
        <v/>
      </c>
      <c r="E1107" s="24">
        <f>IF($A1107="","",库存台账!$E1107)</f>
        <v/>
      </c>
      <c r="F1107" s="24">
        <f>IF($A1107="","",库存台账!$F1107)</f>
        <v/>
      </c>
      <c r="G1107" s="17" t="n"/>
      <c r="H1107" s="23" t="n"/>
      <c r="I1107" s="27">
        <f>IF($A1107="","",库存台账!$X1107)</f>
        <v/>
      </c>
      <c r="J1107" s="27">
        <f>IF(OR($A1107="",$H1107=""),"",ROUND($H1107-$I1107,3))</f>
        <v/>
      </c>
      <c r="K1107" s="26">
        <f>IF($A1107="","",库存台账!$K1107)</f>
        <v/>
      </c>
      <c r="L1107" s="26">
        <f>IF($J1107="","",ROUND($J1107*$K1107,0))</f>
        <v/>
      </c>
      <c r="M1107" s="37">
        <f>IF(OR($J1107="",$I1107=0),"",ROUND($J1107/$I1107,4))</f>
        <v/>
      </c>
      <c r="N1107" s="17" t="n"/>
      <c r="O1107" s="17" t="n"/>
      <c r="P1107" s="24">
        <f>IF($J1107="","未盘",IF(ROUND($J1107,3)=0,"账实相符",IF(COUNTIFS(入库单!$G$4:$G$2503,$A1107,入库单!$X$4:$X$2503,"盘盈",入库单!$C$4:$C$2503,"&gt;="&amp;账期起,入库单!$C$4:$C$2503,"&lt;="&amp;账期止)+COUNTIFS(出库单!$D$4:$D$4003,$A1107,出库单!$K$4:$K$4003,"盘亏",出库单!$C$4:$C$4003,"&gt;="&amp;账期起,出库单!$C$4:$C$4003,"&lt;="&amp;账期止)&gt;0,"已调账","※差异还没调账")))</f>
        <v/>
      </c>
      <c r="Q1107" s="17" t="n"/>
      <c r="R1107" s="17" t="n"/>
    </row>
    <row r="1108">
      <c r="A1108" s="24">
        <f>IF(库存台账!$A1108="","",库存台账!$A1108)</f>
        <v/>
      </c>
      <c r="B1108" s="24">
        <f>IF($A1108="","",库存台账!$B1108)</f>
        <v/>
      </c>
      <c r="C1108" s="24">
        <f>IF($A1108="","",库存台账!$C1108)</f>
        <v/>
      </c>
      <c r="D1108" s="24">
        <f>IF($A1108="","",库存台账!$D1108)</f>
        <v/>
      </c>
      <c r="E1108" s="24">
        <f>IF($A1108="","",库存台账!$E1108)</f>
        <v/>
      </c>
      <c r="F1108" s="24">
        <f>IF($A1108="","",库存台账!$F1108)</f>
        <v/>
      </c>
      <c r="G1108" s="17" t="n"/>
      <c r="H1108" s="23" t="n"/>
      <c r="I1108" s="27">
        <f>IF($A1108="","",库存台账!$X1108)</f>
        <v/>
      </c>
      <c r="J1108" s="27">
        <f>IF(OR($A1108="",$H1108=""),"",ROUND($H1108-$I1108,3))</f>
        <v/>
      </c>
      <c r="K1108" s="26">
        <f>IF($A1108="","",库存台账!$K1108)</f>
        <v/>
      </c>
      <c r="L1108" s="26">
        <f>IF($J1108="","",ROUND($J1108*$K1108,0))</f>
        <v/>
      </c>
      <c r="M1108" s="37">
        <f>IF(OR($J1108="",$I1108=0),"",ROUND($J1108/$I1108,4))</f>
        <v/>
      </c>
      <c r="N1108" s="17" t="n"/>
      <c r="O1108" s="17" t="n"/>
      <c r="P1108" s="24">
        <f>IF($J1108="","未盘",IF(ROUND($J1108,3)=0,"账实相符",IF(COUNTIFS(入库单!$G$4:$G$2503,$A1108,入库单!$X$4:$X$2503,"盘盈",入库单!$C$4:$C$2503,"&gt;="&amp;账期起,入库单!$C$4:$C$2503,"&lt;="&amp;账期止)+COUNTIFS(出库单!$D$4:$D$4003,$A1108,出库单!$K$4:$K$4003,"盘亏",出库单!$C$4:$C$4003,"&gt;="&amp;账期起,出库单!$C$4:$C$4003,"&lt;="&amp;账期止)&gt;0,"已调账","※差异还没调账")))</f>
        <v/>
      </c>
      <c r="Q1108" s="17" t="n"/>
      <c r="R1108" s="17" t="n"/>
    </row>
    <row r="1109">
      <c r="A1109" s="24">
        <f>IF(库存台账!$A1109="","",库存台账!$A1109)</f>
        <v/>
      </c>
      <c r="B1109" s="24">
        <f>IF($A1109="","",库存台账!$B1109)</f>
        <v/>
      </c>
      <c r="C1109" s="24">
        <f>IF($A1109="","",库存台账!$C1109)</f>
        <v/>
      </c>
      <c r="D1109" s="24">
        <f>IF($A1109="","",库存台账!$D1109)</f>
        <v/>
      </c>
      <c r="E1109" s="24">
        <f>IF($A1109="","",库存台账!$E1109)</f>
        <v/>
      </c>
      <c r="F1109" s="24">
        <f>IF($A1109="","",库存台账!$F1109)</f>
        <v/>
      </c>
      <c r="G1109" s="17" t="n"/>
      <c r="H1109" s="23" t="n"/>
      <c r="I1109" s="27">
        <f>IF($A1109="","",库存台账!$X1109)</f>
        <v/>
      </c>
      <c r="J1109" s="27">
        <f>IF(OR($A1109="",$H1109=""),"",ROUND($H1109-$I1109,3))</f>
        <v/>
      </c>
      <c r="K1109" s="26">
        <f>IF($A1109="","",库存台账!$K1109)</f>
        <v/>
      </c>
      <c r="L1109" s="26">
        <f>IF($J1109="","",ROUND($J1109*$K1109,0))</f>
        <v/>
      </c>
      <c r="M1109" s="37">
        <f>IF(OR($J1109="",$I1109=0),"",ROUND($J1109/$I1109,4))</f>
        <v/>
      </c>
      <c r="N1109" s="17" t="n"/>
      <c r="O1109" s="17" t="n"/>
      <c r="P1109" s="24">
        <f>IF($J1109="","未盘",IF(ROUND($J1109,3)=0,"账实相符",IF(COUNTIFS(入库单!$G$4:$G$2503,$A1109,入库单!$X$4:$X$2503,"盘盈",入库单!$C$4:$C$2503,"&gt;="&amp;账期起,入库单!$C$4:$C$2503,"&lt;="&amp;账期止)+COUNTIFS(出库单!$D$4:$D$4003,$A1109,出库单!$K$4:$K$4003,"盘亏",出库单!$C$4:$C$4003,"&gt;="&amp;账期起,出库单!$C$4:$C$4003,"&lt;="&amp;账期止)&gt;0,"已调账","※差异还没调账")))</f>
        <v/>
      </c>
      <c r="Q1109" s="17" t="n"/>
      <c r="R1109" s="17" t="n"/>
    </row>
    <row r="1110">
      <c r="A1110" s="24">
        <f>IF(库存台账!$A1110="","",库存台账!$A1110)</f>
        <v/>
      </c>
      <c r="B1110" s="24">
        <f>IF($A1110="","",库存台账!$B1110)</f>
        <v/>
      </c>
      <c r="C1110" s="24">
        <f>IF($A1110="","",库存台账!$C1110)</f>
        <v/>
      </c>
      <c r="D1110" s="24">
        <f>IF($A1110="","",库存台账!$D1110)</f>
        <v/>
      </c>
      <c r="E1110" s="24">
        <f>IF($A1110="","",库存台账!$E1110)</f>
        <v/>
      </c>
      <c r="F1110" s="24">
        <f>IF($A1110="","",库存台账!$F1110)</f>
        <v/>
      </c>
      <c r="G1110" s="17" t="n"/>
      <c r="H1110" s="23" t="n"/>
      <c r="I1110" s="27">
        <f>IF($A1110="","",库存台账!$X1110)</f>
        <v/>
      </c>
      <c r="J1110" s="27">
        <f>IF(OR($A1110="",$H1110=""),"",ROUND($H1110-$I1110,3))</f>
        <v/>
      </c>
      <c r="K1110" s="26">
        <f>IF($A1110="","",库存台账!$K1110)</f>
        <v/>
      </c>
      <c r="L1110" s="26">
        <f>IF($J1110="","",ROUND($J1110*$K1110,0))</f>
        <v/>
      </c>
      <c r="M1110" s="37">
        <f>IF(OR($J1110="",$I1110=0),"",ROUND($J1110/$I1110,4))</f>
        <v/>
      </c>
      <c r="N1110" s="17" t="n"/>
      <c r="O1110" s="17" t="n"/>
      <c r="P1110" s="24">
        <f>IF($J1110="","未盘",IF(ROUND($J1110,3)=0,"账实相符",IF(COUNTIFS(入库单!$G$4:$G$2503,$A1110,入库单!$X$4:$X$2503,"盘盈",入库单!$C$4:$C$2503,"&gt;="&amp;账期起,入库单!$C$4:$C$2503,"&lt;="&amp;账期止)+COUNTIFS(出库单!$D$4:$D$4003,$A1110,出库单!$K$4:$K$4003,"盘亏",出库单!$C$4:$C$4003,"&gt;="&amp;账期起,出库单!$C$4:$C$4003,"&lt;="&amp;账期止)&gt;0,"已调账","※差异还没调账")))</f>
        <v/>
      </c>
      <c r="Q1110" s="17" t="n"/>
      <c r="R1110" s="17" t="n"/>
    </row>
    <row r="1111">
      <c r="A1111" s="24">
        <f>IF(库存台账!$A1111="","",库存台账!$A1111)</f>
        <v/>
      </c>
      <c r="B1111" s="24">
        <f>IF($A1111="","",库存台账!$B1111)</f>
        <v/>
      </c>
      <c r="C1111" s="24">
        <f>IF($A1111="","",库存台账!$C1111)</f>
        <v/>
      </c>
      <c r="D1111" s="24">
        <f>IF($A1111="","",库存台账!$D1111)</f>
        <v/>
      </c>
      <c r="E1111" s="24">
        <f>IF($A1111="","",库存台账!$E1111)</f>
        <v/>
      </c>
      <c r="F1111" s="24">
        <f>IF($A1111="","",库存台账!$F1111)</f>
        <v/>
      </c>
      <c r="G1111" s="17" t="n"/>
      <c r="H1111" s="23" t="n"/>
      <c r="I1111" s="27">
        <f>IF($A1111="","",库存台账!$X1111)</f>
        <v/>
      </c>
      <c r="J1111" s="27">
        <f>IF(OR($A1111="",$H1111=""),"",ROUND($H1111-$I1111,3))</f>
        <v/>
      </c>
      <c r="K1111" s="26">
        <f>IF($A1111="","",库存台账!$K1111)</f>
        <v/>
      </c>
      <c r="L1111" s="26">
        <f>IF($J1111="","",ROUND($J1111*$K1111,0))</f>
        <v/>
      </c>
      <c r="M1111" s="37">
        <f>IF(OR($J1111="",$I1111=0),"",ROUND($J1111/$I1111,4))</f>
        <v/>
      </c>
      <c r="N1111" s="17" t="n"/>
      <c r="O1111" s="17" t="n"/>
      <c r="P1111" s="24">
        <f>IF($J1111="","未盘",IF(ROUND($J1111,3)=0,"账实相符",IF(COUNTIFS(入库单!$G$4:$G$2503,$A1111,入库单!$X$4:$X$2503,"盘盈",入库单!$C$4:$C$2503,"&gt;="&amp;账期起,入库单!$C$4:$C$2503,"&lt;="&amp;账期止)+COUNTIFS(出库单!$D$4:$D$4003,$A1111,出库单!$K$4:$K$4003,"盘亏",出库单!$C$4:$C$4003,"&gt;="&amp;账期起,出库单!$C$4:$C$4003,"&lt;="&amp;账期止)&gt;0,"已调账","※差异还没调账")))</f>
        <v/>
      </c>
      <c r="Q1111" s="17" t="n"/>
      <c r="R1111" s="17" t="n"/>
    </row>
    <row r="1112">
      <c r="A1112" s="24">
        <f>IF(库存台账!$A1112="","",库存台账!$A1112)</f>
        <v/>
      </c>
      <c r="B1112" s="24">
        <f>IF($A1112="","",库存台账!$B1112)</f>
        <v/>
      </c>
      <c r="C1112" s="24">
        <f>IF($A1112="","",库存台账!$C1112)</f>
        <v/>
      </c>
      <c r="D1112" s="24">
        <f>IF($A1112="","",库存台账!$D1112)</f>
        <v/>
      </c>
      <c r="E1112" s="24">
        <f>IF($A1112="","",库存台账!$E1112)</f>
        <v/>
      </c>
      <c r="F1112" s="24">
        <f>IF($A1112="","",库存台账!$F1112)</f>
        <v/>
      </c>
      <c r="G1112" s="17" t="n"/>
      <c r="H1112" s="23" t="n"/>
      <c r="I1112" s="27">
        <f>IF($A1112="","",库存台账!$X1112)</f>
        <v/>
      </c>
      <c r="J1112" s="27">
        <f>IF(OR($A1112="",$H1112=""),"",ROUND($H1112-$I1112,3))</f>
        <v/>
      </c>
      <c r="K1112" s="26">
        <f>IF($A1112="","",库存台账!$K1112)</f>
        <v/>
      </c>
      <c r="L1112" s="26">
        <f>IF($J1112="","",ROUND($J1112*$K1112,0))</f>
        <v/>
      </c>
      <c r="M1112" s="37">
        <f>IF(OR($J1112="",$I1112=0),"",ROUND($J1112/$I1112,4))</f>
        <v/>
      </c>
      <c r="N1112" s="17" t="n"/>
      <c r="O1112" s="17" t="n"/>
      <c r="P1112" s="24">
        <f>IF($J1112="","未盘",IF(ROUND($J1112,3)=0,"账实相符",IF(COUNTIFS(入库单!$G$4:$G$2503,$A1112,入库单!$X$4:$X$2503,"盘盈",入库单!$C$4:$C$2503,"&gt;="&amp;账期起,入库单!$C$4:$C$2503,"&lt;="&amp;账期止)+COUNTIFS(出库单!$D$4:$D$4003,$A1112,出库单!$K$4:$K$4003,"盘亏",出库单!$C$4:$C$4003,"&gt;="&amp;账期起,出库单!$C$4:$C$4003,"&lt;="&amp;账期止)&gt;0,"已调账","※差异还没调账")))</f>
        <v/>
      </c>
      <c r="Q1112" s="17" t="n"/>
      <c r="R1112" s="17" t="n"/>
    </row>
    <row r="1113">
      <c r="A1113" s="24">
        <f>IF(库存台账!$A1113="","",库存台账!$A1113)</f>
        <v/>
      </c>
      <c r="B1113" s="24">
        <f>IF($A1113="","",库存台账!$B1113)</f>
        <v/>
      </c>
      <c r="C1113" s="24">
        <f>IF($A1113="","",库存台账!$C1113)</f>
        <v/>
      </c>
      <c r="D1113" s="24">
        <f>IF($A1113="","",库存台账!$D1113)</f>
        <v/>
      </c>
      <c r="E1113" s="24">
        <f>IF($A1113="","",库存台账!$E1113)</f>
        <v/>
      </c>
      <c r="F1113" s="24">
        <f>IF($A1113="","",库存台账!$F1113)</f>
        <v/>
      </c>
      <c r="G1113" s="17" t="n"/>
      <c r="H1113" s="23" t="n"/>
      <c r="I1113" s="27">
        <f>IF($A1113="","",库存台账!$X1113)</f>
        <v/>
      </c>
      <c r="J1113" s="27">
        <f>IF(OR($A1113="",$H1113=""),"",ROUND($H1113-$I1113,3))</f>
        <v/>
      </c>
      <c r="K1113" s="26">
        <f>IF($A1113="","",库存台账!$K1113)</f>
        <v/>
      </c>
      <c r="L1113" s="26">
        <f>IF($J1113="","",ROUND($J1113*$K1113,0))</f>
        <v/>
      </c>
      <c r="M1113" s="37">
        <f>IF(OR($J1113="",$I1113=0),"",ROUND($J1113/$I1113,4))</f>
        <v/>
      </c>
      <c r="N1113" s="17" t="n"/>
      <c r="O1113" s="17" t="n"/>
      <c r="P1113" s="24">
        <f>IF($J1113="","未盘",IF(ROUND($J1113,3)=0,"账实相符",IF(COUNTIFS(入库单!$G$4:$G$2503,$A1113,入库单!$X$4:$X$2503,"盘盈",入库单!$C$4:$C$2503,"&gt;="&amp;账期起,入库单!$C$4:$C$2503,"&lt;="&amp;账期止)+COUNTIFS(出库单!$D$4:$D$4003,$A1113,出库单!$K$4:$K$4003,"盘亏",出库单!$C$4:$C$4003,"&gt;="&amp;账期起,出库单!$C$4:$C$4003,"&lt;="&amp;账期止)&gt;0,"已调账","※差异还没调账")))</f>
        <v/>
      </c>
      <c r="Q1113" s="17" t="n"/>
      <c r="R1113" s="17" t="n"/>
    </row>
    <row r="1114">
      <c r="A1114" s="24">
        <f>IF(库存台账!$A1114="","",库存台账!$A1114)</f>
        <v/>
      </c>
      <c r="B1114" s="24">
        <f>IF($A1114="","",库存台账!$B1114)</f>
        <v/>
      </c>
      <c r="C1114" s="24">
        <f>IF($A1114="","",库存台账!$C1114)</f>
        <v/>
      </c>
      <c r="D1114" s="24">
        <f>IF($A1114="","",库存台账!$D1114)</f>
        <v/>
      </c>
      <c r="E1114" s="24">
        <f>IF($A1114="","",库存台账!$E1114)</f>
        <v/>
      </c>
      <c r="F1114" s="24">
        <f>IF($A1114="","",库存台账!$F1114)</f>
        <v/>
      </c>
      <c r="G1114" s="17" t="n"/>
      <c r="H1114" s="23" t="n"/>
      <c r="I1114" s="27">
        <f>IF($A1114="","",库存台账!$X1114)</f>
        <v/>
      </c>
      <c r="J1114" s="27">
        <f>IF(OR($A1114="",$H1114=""),"",ROUND($H1114-$I1114,3))</f>
        <v/>
      </c>
      <c r="K1114" s="26">
        <f>IF($A1114="","",库存台账!$K1114)</f>
        <v/>
      </c>
      <c r="L1114" s="26">
        <f>IF($J1114="","",ROUND($J1114*$K1114,0))</f>
        <v/>
      </c>
      <c r="M1114" s="37">
        <f>IF(OR($J1114="",$I1114=0),"",ROUND($J1114/$I1114,4))</f>
        <v/>
      </c>
      <c r="N1114" s="17" t="n"/>
      <c r="O1114" s="17" t="n"/>
      <c r="P1114" s="24">
        <f>IF($J1114="","未盘",IF(ROUND($J1114,3)=0,"账实相符",IF(COUNTIFS(入库单!$G$4:$G$2503,$A1114,入库单!$X$4:$X$2503,"盘盈",入库单!$C$4:$C$2503,"&gt;="&amp;账期起,入库单!$C$4:$C$2503,"&lt;="&amp;账期止)+COUNTIFS(出库单!$D$4:$D$4003,$A1114,出库单!$K$4:$K$4003,"盘亏",出库单!$C$4:$C$4003,"&gt;="&amp;账期起,出库单!$C$4:$C$4003,"&lt;="&amp;账期止)&gt;0,"已调账","※差异还没调账")))</f>
        <v/>
      </c>
      <c r="Q1114" s="17" t="n"/>
      <c r="R1114" s="17" t="n"/>
    </row>
    <row r="1115">
      <c r="A1115" s="24">
        <f>IF(库存台账!$A1115="","",库存台账!$A1115)</f>
        <v/>
      </c>
      <c r="B1115" s="24">
        <f>IF($A1115="","",库存台账!$B1115)</f>
        <v/>
      </c>
      <c r="C1115" s="24">
        <f>IF($A1115="","",库存台账!$C1115)</f>
        <v/>
      </c>
      <c r="D1115" s="24">
        <f>IF($A1115="","",库存台账!$D1115)</f>
        <v/>
      </c>
      <c r="E1115" s="24">
        <f>IF($A1115="","",库存台账!$E1115)</f>
        <v/>
      </c>
      <c r="F1115" s="24">
        <f>IF($A1115="","",库存台账!$F1115)</f>
        <v/>
      </c>
      <c r="G1115" s="17" t="n"/>
      <c r="H1115" s="23" t="n"/>
      <c r="I1115" s="27">
        <f>IF($A1115="","",库存台账!$X1115)</f>
        <v/>
      </c>
      <c r="J1115" s="27">
        <f>IF(OR($A1115="",$H1115=""),"",ROUND($H1115-$I1115,3))</f>
        <v/>
      </c>
      <c r="K1115" s="26">
        <f>IF($A1115="","",库存台账!$K1115)</f>
        <v/>
      </c>
      <c r="L1115" s="26">
        <f>IF($J1115="","",ROUND($J1115*$K1115,0))</f>
        <v/>
      </c>
      <c r="M1115" s="37">
        <f>IF(OR($J1115="",$I1115=0),"",ROUND($J1115/$I1115,4))</f>
        <v/>
      </c>
      <c r="N1115" s="17" t="n"/>
      <c r="O1115" s="17" t="n"/>
      <c r="P1115" s="24">
        <f>IF($J1115="","未盘",IF(ROUND($J1115,3)=0,"账实相符",IF(COUNTIFS(入库单!$G$4:$G$2503,$A1115,入库单!$X$4:$X$2503,"盘盈",入库单!$C$4:$C$2503,"&gt;="&amp;账期起,入库单!$C$4:$C$2503,"&lt;="&amp;账期止)+COUNTIFS(出库单!$D$4:$D$4003,$A1115,出库单!$K$4:$K$4003,"盘亏",出库单!$C$4:$C$4003,"&gt;="&amp;账期起,出库单!$C$4:$C$4003,"&lt;="&amp;账期止)&gt;0,"已调账","※差异还没调账")))</f>
        <v/>
      </c>
      <c r="Q1115" s="17" t="n"/>
      <c r="R1115" s="17" t="n"/>
    </row>
    <row r="1116">
      <c r="A1116" s="24">
        <f>IF(库存台账!$A1116="","",库存台账!$A1116)</f>
        <v/>
      </c>
      <c r="B1116" s="24">
        <f>IF($A1116="","",库存台账!$B1116)</f>
        <v/>
      </c>
      <c r="C1116" s="24">
        <f>IF($A1116="","",库存台账!$C1116)</f>
        <v/>
      </c>
      <c r="D1116" s="24">
        <f>IF($A1116="","",库存台账!$D1116)</f>
        <v/>
      </c>
      <c r="E1116" s="24">
        <f>IF($A1116="","",库存台账!$E1116)</f>
        <v/>
      </c>
      <c r="F1116" s="24">
        <f>IF($A1116="","",库存台账!$F1116)</f>
        <v/>
      </c>
      <c r="G1116" s="17" t="n"/>
      <c r="H1116" s="23" t="n"/>
      <c r="I1116" s="27">
        <f>IF($A1116="","",库存台账!$X1116)</f>
        <v/>
      </c>
      <c r="J1116" s="27">
        <f>IF(OR($A1116="",$H1116=""),"",ROUND($H1116-$I1116,3))</f>
        <v/>
      </c>
      <c r="K1116" s="26">
        <f>IF($A1116="","",库存台账!$K1116)</f>
        <v/>
      </c>
      <c r="L1116" s="26">
        <f>IF($J1116="","",ROUND($J1116*$K1116,0))</f>
        <v/>
      </c>
      <c r="M1116" s="37">
        <f>IF(OR($J1116="",$I1116=0),"",ROUND($J1116/$I1116,4))</f>
        <v/>
      </c>
      <c r="N1116" s="17" t="n"/>
      <c r="O1116" s="17" t="n"/>
      <c r="P1116" s="24">
        <f>IF($J1116="","未盘",IF(ROUND($J1116,3)=0,"账实相符",IF(COUNTIFS(入库单!$G$4:$G$2503,$A1116,入库单!$X$4:$X$2503,"盘盈",入库单!$C$4:$C$2503,"&gt;="&amp;账期起,入库单!$C$4:$C$2503,"&lt;="&amp;账期止)+COUNTIFS(出库单!$D$4:$D$4003,$A1116,出库单!$K$4:$K$4003,"盘亏",出库单!$C$4:$C$4003,"&gt;="&amp;账期起,出库单!$C$4:$C$4003,"&lt;="&amp;账期止)&gt;0,"已调账","※差异还没调账")))</f>
        <v/>
      </c>
      <c r="Q1116" s="17" t="n"/>
      <c r="R1116" s="17" t="n"/>
    </row>
    <row r="1117">
      <c r="A1117" s="24">
        <f>IF(库存台账!$A1117="","",库存台账!$A1117)</f>
        <v/>
      </c>
      <c r="B1117" s="24">
        <f>IF($A1117="","",库存台账!$B1117)</f>
        <v/>
      </c>
      <c r="C1117" s="24">
        <f>IF($A1117="","",库存台账!$C1117)</f>
        <v/>
      </c>
      <c r="D1117" s="24">
        <f>IF($A1117="","",库存台账!$D1117)</f>
        <v/>
      </c>
      <c r="E1117" s="24">
        <f>IF($A1117="","",库存台账!$E1117)</f>
        <v/>
      </c>
      <c r="F1117" s="24">
        <f>IF($A1117="","",库存台账!$F1117)</f>
        <v/>
      </c>
      <c r="G1117" s="17" t="n"/>
      <c r="H1117" s="23" t="n"/>
      <c r="I1117" s="27">
        <f>IF($A1117="","",库存台账!$X1117)</f>
        <v/>
      </c>
      <c r="J1117" s="27">
        <f>IF(OR($A1117="",$H1117=""),"",ROUND($H1117-$I1117,3))</f>
        <v/>
      </c>
      <c r="K1117" s="26">
        <f>IF($A1117="","",库存台账!$K1117)</f>
        <v/>
      </c>
      <c r="L1117" s="26">
        <f>IF($J1117="","",ROUND($J1117*$K1117,0))</f>
        <v/>
      </c>
      <c r="M1117" s="37">
        <f>IF(OR($J1117="",$I1117=0),"",ROUND($J1117/$I1117,4))</f>
        <v/>
      </c>
      <c r="N1117" s="17" t="n"/>
      <c r="O1117" s="17" t="n"/>
      <c r="P1117" s="24">
        <f>IF($J1117="","未盘",IF(ROUND($J1117,3)=0,"账实相符",IF(COUNTIFS(入库单!$G$4:$G$2503,$A1117,入库单!$X$4:$X$2503,"盘盈",入库单!$C$4:$C$2503,"&gt;="&amp;账期起,入库单!$C$4:$C$2503,"&lt;="&amp;账期止)+COUNTIFS(出库单!$D$4:$D$4003,$A1117,出库单!$K$4:$K$4003,"盘亏",出库单!$C$4:$C$4003,"&gt;="&amp;账期起,出库单!$C$4:$C$4003,"&lt;="&amp;账期止)&gt;0,"已调账","※差异还没调账")))</f>
        <v/>
      </c>
      <c r="Q1117" s="17" t="n"/>
      <c r="R1117" s="17" t="n"/>
    </row>
    <row r="1118">
      <c r="A1118" s="24">
        <f>IF(库存台账!$A1118="","",库存台账!$A1118)</f>
        <v/>
      </c>
      <c r="B1118" s="24">
        <f>IF($A1118="","",库存台账!$B1118)</f>
        <v/>
      </c>
      <c r="C1118" s="24">
        <f>IF($A1118="","",库存台账!$C1118)</f>
        <v/>
      </c>
      <c r="D1118" s="24">
        <f>IF($A1118="","",库存台账!$D1118)</f>
        <v/>
      </c>
      <c r="E1118" s="24">
        <f>IF($A1118="","",库存台账!$E1118)</f>
        <v/>
      </c>
      <c r="F1118" s="24">
        <f>IF($A1118="","",库存台账!$F1118)</f>
        <v/>
      </c>
      <c r="G1118" s="17" t="n"/>
      <c r="H1118" s="23" t="n"/>
      <c r="I1118" s="27">
        <f>IF($A1118="","",库存台账!$X1118)</f>
        <v/>
      </c>
      <c r="J1118" s="27">
        <f>IF(OR($A1118="",$H1118=""),"",ROUND($H1118-$I1118,3))</f>
        <v/>
      </c>
      <c r="K1118" s="26">
        <f>IF($A1118="","",库存台账!$K1118)</f>
        <v/>
      </c>
      <c r="L1118" s="26">
        <f>IF($J1118="","",ROUND($J1118*$K1118,0))</f>
        <v/>
      </c>
      <c r="M1118" s="37">
        <f>IF(OR($J1118="",$I1118=0),"",ROUND($J1118/$I1118,4))</f>
        <v/>
      </c>
      <c r="N1118" s="17" t="n"/>
      <c r="O1118" s="17" t="n"/>
      <c r="P1118" s="24">
        <f>IF($J1118="","未盘",IF(ROUND($J1118,3)=0,"账实相符",IF(COUNTIFS(入库单!$G$4:$G$2503,$A1118,入库单!$X$4:$X$2503,"盘盈",入库单!$C$4:$C$2503,"&gt;="&amp;账期起,入库单!$C$4:$C$2503,"&lt;="&amp;账期止)+COUNTIFS(出库单!$D$4:$D$4003,$A1118,出库单!$K$4:$K$4003,"盘亏",出库单!$C$4:$C$4003,"&gt;="&amp;账期起,出库单!$C$4:$C$4003,"&lt;="&amp;账期止)&gt;0,"已调账","※差异还没调账")))</f>
        <v/>
      </c>
      <c r="Q1118" s="17" t="n"/>
      <c r="R1118" s="17" t="n"/>
    </row>
    <row r="1119">
      <c r="A1119" s="24">
        <f>IF(库存台账!$A1119="","",库存台账!$A1119)</f>
        <v/>
      </c>
      <c r="B1119" s="24">
        <f>IF($A1119="","",库存台账!$B1119)</f>
        <v/>
      </c>
      <c r="C1119" s="24">
        <f>IF($A1119="","",库存台账!$C1119)</f>
        <v/>
      </c>
      <c r="D1119" s="24">
        <f>IF($A1119="","",库存台账!$D1119)</f>
        <v/>
      </c>
      <c r="E1119" s="24">
        <f>IF($A1119="","",库存台账!$E1119)</f>
        <v/>
      </c>
      <c r="F1119" s="24">
        <f>IF($A1119="","",库存台账!$F1119)</f>
        <v/>
      </c>
      <c r="G1119" s="17" t="n"/>
      <c r="H1119" s="23" t="n"/>
      <c r="I1119" s="27">
        <f>IF($A1119="","",库存台账!$X1119)</f>
        <v/>
      </c>
      <c r="J1119" s="27">
        <f>IF(OR($A1119="",$H1119=""),"",ROUND($H1119-$I1119,3))</f>
        <v/>
      </c>
      <c r="K1119" s="26">
        <f>IF($A1119="","",库存台账!$K1119)</f>
        <v/>
      </c>
      <c r="L1119" s="26">
        <f>IF($J1119="","",ROUND($J1119*$K1119,0))</f>
        <v/>
      </c>
      <c r="M1119" s="37">
        <f>IF(OR($J1119="",$I1119=0),"",ROUND($J1119/$I1119,4))</f>
        <v/>
      </c>
      <c r="N1119" s="17" t="n"/>
      <c r="O1119" s="17" t="n"/>
      <c r="P1119" s="24">
        <f>IF($J1119="","未盘",IF(ROUND($J1119,3)=0,"账实相符",IF(COUNTIFS(入库单!$G$4:$G$2503,$A1119,入库单!$X$4:$X$2503,"盘盈",入库单!$C$4:$C$2503,"&gt;="&amp;账期起,入库单!$C$4:$C$2503,"&lt;="&amp;账期止)+COUNTIFS(出库单!$D$4:$D$4003,$A1119,出库单!$K$4:$K$4003,"盘亏",出库单!$C$4:$C$4003,"&gt;="&amp;账期起,出库单!$C$4:$C$4003,"&lt;="&amp;账期止)&gt;0,"已调账","※差异还没调账")))</f>
        <v/>
      </c>
      <c r="Q1119" s="17" t="n"/>
      <c r="R1119" s="17" t="n"/>
    </row>
    <row r="1120">
      <c r="A1120" s="24">
        <f>IF(库存台账!$A1120="","",库存台账!$A1120)</f>
        <v/>
      </c>
      <c r="B1120" s="24">
        <f>IF($A1120="","",库存台账!$B1120)</f>
        <v/>
      </c>
      <c r="C1120" s="24">
        <f>IF($A1120="","",库存台账!$C1120)</f>
        <v/>
      </c>
      <c r="D1120" s="24">
        <f>IF($A1120="","",库存台账!$D1120)</f>
        <v/>
      </c>
      <c r="E1120" s="24">
        <f>IF($A1120="","",库存台账!$E1120)</f>
        <v/>
      </c>
      <c r="F1120" s="24">
        <f>IF($A1120="","",库存台账!$F1120)</f>
        <v/>
      </c>
      <c r="G1120" s="17" t="n"/>
      <c r="H1120" s="23" t="n"/>
      <c r="I1120" s="27">
        <f>IF($A1120="","",库存台账!$X1120)</f>
        <v/>
      </c>
      <c r="J1120" s="27">
        <f>IF(OR($A1120="",$H1120=""),"",ROUND($H1120-$I1120,3))</f>
        <v/>
      </c>
      <c r="K1120" s="26">
        <f>IF($A1120="","",库存台账!$K1120)</f>
        <v/>
      </c>
      <c r="L1120" s="26">
        <f>IF($J1120="","",ROUND($J1120*$K1120,0))</f>
        <v/>
      </c>
      <c r="M1120" s="37">
        <f>IF(OR($J1120="",$I1120=0),"",ROUND($J1120/$I1120,4))</f>
        <v/>
      </c>
      <c r="N1120" s="17" t="n"/>
      <c r="O1120" s="17" t="n"/>
      <c r="P1120" s="24">
        <f>IF($J1120="","未盘",IF(ROUND($J1120,3)=0,"账实相符",IF(COUNTIFS(入库单!$G$4:$G$2503,$A1120,入库单!$X$4:$X$2503,"盘盈",入库单!$C$4:$C$2503,"&gt;="&amp;账期起,入库单!$C$4:$C$2503,"&lt;="&amp;账期止)+COUNTIFS(出库单!$D$4:$D$4003,$A1120,出库单!$K$4:$K$4003,"盘亏",出库单!$C$4:$C$4003,"&gt;="&amp;账期起,出库单!$C$4:$C$4003,"&lt;="&amp;账期止)&gt;0,"已调账","※差异还没调账")))</f>
        <v/>
      </c>
      <c r="Q1120" s="17" t="n"/>
      <c r="R1120" s="17" t="n"/>
    </row>
    <row r="1121">
      <c r="A1121" s="24">
        <f>IF(库存台账!$A1121="","",库存台账!$A1121)</f>
        <v/>
      </c>
      <c r="B1121" s="24">
        <f>IF($A1121="","",库存台账!$B1121)</f>
        <v/>
      </c>
      <c r="C1121" s="24">
        <f>IF($A1121="","",库存台账!$C1121)</f>
        <v/>
      </c>
      <c r="D1121" s="24">
        <f>IF($A1121="","",库存台账!$D1121)</f>
        <v/>
      </c>
      <c r="E1121" s="24">
        <f>IF($A1121="","",库存台账!$E1121)</f>
        <v/>
      </c>
      <c r="F1121" s="24">
        <f>IF($A1121="","",库存台账!$F1121)</f>
        <v/>
      </c>
      <c r="G1121" s="17" t="n"/>
      <c r="H1121" s="23" t="n"/>
      <c r="I1121" s="27">
        <f>IF($A1121="","",库存台账!$X1121)</f>
        <v/>
      </c>
      <c r="J1121" s="27">
        <f>IF(OR($A1121="",$H1121=""),"",ROUND($H1121-$I1121,3))</f>
        <v/>
      </c>
      <c r="K1121" s="26">
        <f>IF($A1121="","",库存台账!$K1121)</f>
        <v/>
      </c>
      <c r="L1121" s="26">
        <f>IF($J1121="","",ROUND($J1121*$K1121,0))</f>
        <v/>
      </c>
      <c r="M1121" s="37">
        <f>IF(OR($J1121="",$I1121=0),"",ROUND($J1121/$I1121,4))</f>
        <v/>
      </c>
      <c r="N1121" s="17" t="n"/>
      <c r="O1121" s="17" t="n"/>
      <c r="P1121" s="24">
        <f>IF($J1121="","未盘",IF(ROUND($J1121,3)=0,"账实相符",IF(COUNTIFS(入库单!$G$4:$G$2503,$A1121,入库单!$X$4:$X$2503,"盘盈",入库单!$C$4:$C$2503,"&gt;="&amp;账期起,入库单!$C$4:$C$2503,"&lt;="&amp;账期止)+COUNTIFS(出库单!$D$4:$D$4003,$A1121,出库单!$K$4:$K$4003,"盘亏",出库单!$C$4:$C$4003,"&gt;="&amp;账期起,出库单!$C$4:$C$4003,"&lt;="&amp;账期止)&gt;0,"已调账","※差异还没调账")))</f>
        <v/>
      </c>
      <c r="Q1121" s="17" t="n"/>
      <c r="R1121" s="17" t="n"/>
    </row>
    <row r="1122">
      <c r="A1122" s="24">
        <f>IF(库存台账!$A1122="","",库存台账!$A1122)</f>
        <v/>
      </c>
      <c r="B1122" s="24">
        <f>IF($A1122="","",库存台账!$B1122)</f>
        <v/>
      </c>
      <c r="C1122" s="24">
        <f>IF($A1122="","",库存台账!$C1122)</f>
        <v/>
      </c>
      <c r="D1122" s="24">
        <f>IF($A1122="","",库存台账!$D1122)</f>
        <v/>
      </c>
      <c r="E1122" s="24">
        <f>IF($A1122="","",库存台账!$E1122)</f>
        <v/>
      </c>
      <c r="F1122" s="24">
        <f>IF($A1122="","",库存台账!$F1122)</f>
        <v/>
      </c>
      <c r="G1122" s="17" t="n"/>
      <c r="H1122" s="23" t="n"/>
      <c r="I1122" s="27">
        <f>IF($A1122="","",库存台账!$X1122)</f>
        <v/>
      </c>
      <c r="J1122" s="27">
        <f>IF(OR($A1122="",$H1122=""),"",ROUND($H1122-$I1122,3))</f>
        <v/>
      </c>
      <c r="K1122" s="26">
        <f>IF($A1122="","",库存台账!$K1122)</f>
        <v/>
      </c>
      <c r="L1122" s="26">
        <f>IF($J1122="","",ROUND($J1122*$K1122,0))</f>
        <v/>
      </c>
      <c r="M1122" s="37">
        <f>IF(OR($J1122="",$I1122=0),"",ROUND($J1122/$I1122,4))</f>
        <v/>
      </c>
      <c r="N1122" s="17" t="n"/>
      <c r="O1122" s="17" t="n"/>
      <c r="P1122" s="24">
        <f>IF($J1122="","未盘",IF(ROUND($J1122,3)=0,"账实相符",IF(COUNTIFS(入库单!$G$4:$G$2503,$A1122,入库单!$X$4:$X$2503,"盘盈",入库单!$C$4:$C$2503,"&gt;="&amp;账期起,入库单!$C$4:$C$2503,"&lt;="&amp;账期止)+COUNTIFS(出库单!$D$4:$D$4003,$A1122,出库单!$K$4:$K$4003,"盘亏",出库单!$C$4:$C$4003,"&gt;="&amp;账期起,出库单!$C$4:$C$4003,"&lt;="&amp;账期止)&gt;0,"已调账","※差异还没调账")))</f>
        <v/>
      </c>
      <c r="Q1122" s="17" t="n"/>
      <c r="R1122" s="17" t="n"/>
    </row>
    <row r="1123">
      <c r="A1123" s="24">
        <f>IF(库存台账!$A1123="","",库存台账!$A1123)</f>
        <v/>
      </c>
      <c r="B1123" s="24">
        <f>IF($A1123="","",库存台账!$B1123)</f>
        <v/>
      </c>
      <c r="C1123" s="24">
        <f>IF($A1123="","",库存台账!$C1123)</f>
        <v/>
      </c>
      <c r="D1123" s="24">
        <f>IF($A1123="","",库存台账!$D1123)</f>
        <v/>
      </c>
      <c r="E1123" s="24">
        <f>IF($A1123="","",库存台账!$E1123)</f>
        <v/>
      </c>
      <c r="F1123" s="24">
        <f>IF($A1123="","",库存台账!$F1123)</f>
        <v/>
      </c>
      <c r="G1123" s="17" t="n"/>
      <c r="H1123" s="23" t="n"/>
      <c r="I1123" s="27">
        <f>IF($A1123="","",库存台账!$X1123)</f>
        <v/>
      </c>
      <c r="J1123" s="27">
        <f>IF(OR($A1123="",$H1123=""),"",ROUND($H1123-$I1123,3))</f>
        <v/>
      </c>
      <c r="K1123" s="26">
        <f>IF($A1123="","",库存台账!$K1123)</f>
        <v/>
      </c>
      <c r="L1123" s="26">
        <f>IF($J1123="","",ROUND($J1123*$K1123,0))</f>
        <v/>
      </c>
      <c r="M1123" s="37">
        <f>IF(OR($J1123="",$I1123=0),"",ROUND($J1123/$I1123,4))</f>
        <v/>
      </c>
      <c r="N1123" s="17" t="n"/>
      <c r="O1123" s="17" t="n"/>
      <c r="P1123" s="24">
        <f>IF($J1123="","未盘",IF(ROUND($J1123,3)=0,"账实相符",IF(COUNTIFS(入库单!$G$4:$G$2503,$A1123,入库单!$X$4:$X$2503,"盘盈",入库单!$C$4:$C$2503,"&gt;="&amp;账期起,入库单!$C$4:$C$2503,"&lt;="&amp;账期止)+COUNTIFS(出库单!$D$4:$D$4003,$A1123,出库单!$K$4:$K$4003,"盘亏",出库单!$C$4:$C$4003,"&gt;="&amp;账期起,出库单!$C$4:$C$4003,"&lt;="&amp;账期止)&gt;0,"已调账","※差异还没调账")))</f>
        <v/>
      </c>
      <c r="Q1123" s="17" t="n"/>
      <c r="R1123" s="17" t="n"/>
    </row>
    <row r="1124">
      <c r="A1124" s="24">
        <f>IF(库存台账!$A1124="","",库存台账!$A1124)</f>
        <v/>
      </c>
      <c r="B1124" s="24">
        <f>IF($A1124="","",库存台账!$B1124)</f>
        <v/>
      </c>
      <c r="C1124" s="24">
        <f>IF($A1124="","",库存台账!$C1124)</f>
        <v/>
      </c>
      <c r="D1124" s="24">
        <f>IF($A1124="","",库存台账!$D1124)</f>
        <v/>
      </c>
      <c r="E1124" s="24">
        <f>IF($A1124="","",库存台账!$E1124)</f>
        <v/>
      </c>
      <c r="F1124" s="24">
        <f>IF($A1124="","",库存台账!$F1124)</f>
        <v/>
      </c>
      <c r="G1124" s="17" t="n"/>
      <c r="H1124" s="23" t="n"/>
      <c r="I1124" s="27">
        <f>IF($A1124="","",库存台账!$X1124)</f>
        <v/>
      </c>
      <c r="J1124" s="27">
        <f>IF(OR($A1124="",$H1124=""),"",ROUND($H1124-$I1124,3))</f>
        <v/>
      </c>
      <c r="K1124" s="26">
        <f>IF($A1124="","",库存台账!$K1124)</f>
        <v/>
      </c>
      <c r="L1124" s="26">
        <f>IF($J1124="","",ROUND($J1124*$K1124,0))</f>
        <v/>
      </c>
      <c r="M1124" s="37">
        <f>IF(OR($J1124="",$I1124=0),"",ROUND($J1124/$I1124,4))</f>
        <v/>
      </c>
      <c r="N1124" s="17" t="n"/>
      <c r="O1124" s="17" t="n"/>
      <c r="P1124" s="24">
        <f>IF($J1124="","未盘",IF(ROUND($J1124,3)=0,"账实相符",IF(COUNTIFS(入库单!$G$4:$G$2503,$A1124,入库单!$X$4:$X$2503,"盘盈",入库单!$C$4:$C$2503,"&gt;="&amp;账期起,入库单!$C$4:$C$2503,"&lt;="&amp;账期止)+COUNTIFS(出库单!$D$4:$D$4003,$A1124,出库单!$K$4:$K$4003,"盘亏",出库单!$C$4:$C$4003,"&gt;="&amp;账期起,出库单!$C$4:$C$4003,"&lt;="&amp;账期止)&gt;0,"已调账","※差异还没调账")))</f>
        <v/>
      </c>
      <c r="Q1124" s="17" t="n"/>
      <c r="R1124" s="17" t="n"/>
    </row>
    <row r="1125">
      <c r="A1125" s="24">
        <f>IF(库存台账!$A1125="","",库存台账!$A1125)</f>
        <v/>
      </c>
      <c r="B1125" s="24">
        <f>IF($A1125="","",库存台账!$B1125)</f>
        <v/>
      </c>
      <c r="C1125" s="24">
        <f>IF($A1125="","",库存台账!$C1125)</f>
        <v/>
      </c>
      <c r="D1125" s="24">
        <f>IF($A1125="","",库存台账!$D1125)</f>
        <v/>
      </c>
      <c r="E1125" s="24">
        <f>IF($A1125="","",库存台账!$E1125)</f>
        <v/>
      </c>
      <c r="F1125" s="24">
        <f>IF($A1125="","",库存台账!$F1125)</f>
        <v/>
      </c>
      <c r="G1125" s="17" t="n"/>
      <c r="H1125" s="23" t="n"/>
      <c r="I1125" s="27">
        <f>IF($A1125="","",库存台账!$X1125)</f>
        <v/>
      </c>
      <c r="J1125" s="27">
        <f>IF(OR($A1125="",$H1125=""),"",ROUND($H1125-$I1125,3))</f>
        <v/>
      </c>
      <c r="K1125" s="26">
        <f>IF($A1125="","",库存台账!$K1125)</f>
        <v/>
      </c>
      <c r="L1125" s="26">
        <f>IF($J1125="","",ROUND($J1125*$K1125,0))</f>
        <v/>
      </c>
      <c r="M1125" s="37">
        <f>IF(OR($J1125="",$I1125=0),"",ROUND($J1125/$I1125,4))</f>
        <v/>
      </c>
      <c r="N1125" s="17" t="n"/>
      <c r="O1125" s="17" t="n"/>
      <c r="P1125" s="24">
        <f>IF($J1125="","未盘",IF(ROUND($J1125,3)=0,"账实相符",IF(COUNTIFS(入库单!$G$4:$G$2503,$A1125,入库单!$X$4:$X$2503,"盘盈",入库单!$C$4:$C$2503,"&gt;="&amp;账期起,入库单!$C$4:$C$2503,"&lt;="&amp;账期止)+COUNTIFS(出库单!$D$4:$D$4003,$A1125,出库单!$K$4:$K$4003,"盘亏",出库单!$C$4:$C$4003,"&gt;="&amp;账期起,出库单!$C$4:$C$4003,"&lt;="&amp;账期止)&gt;0,"已调账","※差异还没调账")))</f>
        <v/>
      </c>
      <c r="Q1125" s="17" t="n"/>
      <c r="R1125" s="17" t="n"/>
    </row>
    <row r="1126">
      <c r="A1126" s="24">
        <f>IF(库存台账!$A1126="","",库存台账!$A1126)</f>
        <v/>
      </c>
      <c r="B1126" s="24">
        <f>IF($A1126="","",库存台账!$B1126)</f>
        <v/>
      </c>
      <c r="C1126" s="24">
        <f>IF($A1126="","",库存台账!$C1126)</f>
        <v/>
      </c>
      <c r="D1126" s="24">
        <f>IF($A1126="","",库存台账!$D1126)</f>
        <v/>
      </c>
      <c r="E1126" s="24">
        <f>IF($A1126="","",库存台账!$E1126)</f>
        <v/>
      </c>
      <c r="F1126" s="24">
        <f>IF($A1126="","",库存台账!$F1126)</f>
        <v/>
      </c>
      <c r="G1126" s="17" t="n"/>
      <c r="H1126" s="23" t="n"/>
      <c r="I1126" s="27">
        <f>IF($A1126="","",库存台账!$X1126)</f>
        <v/>
      </c>
      <c r="J1126" s="27">
        <f>IF(OR($A1126="",$H1126=""),"",ROUND($H1126-$I1126,3))</f>
        <v/>
      </c>
      <c r="K1126" s="26">
        <f>IF($A1126="","",库存台账!$K1126)</f>
        <v/>
      </c>
      <c r="L1126" s="26">
        <f>IF($J1126="","",ROUND($J1126*$K1126,0))</f>
        <v/>
      </c>
      <c r="M1126" s="37">
        <f>IF(OR($J1126="",$I1126=0),"",ROUND($J1126/$I1126,4))</f>
        <v/>
      </c>
      <c r="N1126" s="17" t="n"/>
      <c r="O1126" s="17" t="n"/>
      <c r="P1126" s="24">
        <f>IF($J1126="","未盘",IF(ROUND($J1126,3)=0,"账实相符",IF(COUNTIFS(入库单!$G$4:$G$2503,$A1126,入库单!$X$4:$X$2503,"盘盈",入库单!$C$4:$C$2503,"&gt;="&amp;账期起,入库单!$C$4:$C$2503,"&lt;="&amp;账期止)+COUNTIFS(出库单!$D$4:$D$4003,$A1126,出库单!$K$4:$K$4003,"盘亏",出库单!$C$4:$C$4003,"&gt;="&amp;账期起,出库单!$C$4:$C$4003,"&lt;="&amp;账期止)&gt;0,"已调账","※差异还没调账")))</f>
        <v/>
      </c>
      <c r="Q1126" s="17" t="n"/>
      <c r="R1126" s="17" t="n"/>
    </row>
    <row r="1127">
      <c r="A1127" s="24">
        <f>IF(库存台账!$A1127="","",库存台账!$A1127)</f>
        <v/>
      </c>
      <c r="B1127" s="24">
        <f>IF($A1127="","",库存台账!$B1127)</f>
        <v/>
      </c>
      <c r="C1127" s="24">
        <f>IF($A1127="","",库存台账!$C1127)</f>
        <v/>
      </c>
      <c r="D1127" s="24">
        <f>IF($A1127="","",库存台账!$D1127)</f>
        <v/>
      </c>
      <c r="E1127" s="24">
        <f>IF($A1127="","",库存台账!$E1127)</f>
        <v/>
      </c>
      <c r="F1127" s="24">
        <f>IF($A1127="","",库存台账!$F1127)</f>
        <v/>
      </c>
      <c r="G1127" s="17" t="n"/>
      <c r="H1127" s="23" t="n"/>
      <c r="I1127" s="27">
        <f>IF($A1127="","",库存台账!$X1127)</f>
        <v/>
      </c>
      <c r="J1127" s="27">
        <f>IF(OR($A1127="",$H1127=""),"",ROUND($H1127-$I1127,3))</f>
        <v/>
      </c>
      <c r="K1127" s="26">
        <f>IF($A1127="","",库存台账!$K1127)</f>
        <v/>
      </c>
      <c r="L1127" s="26">
        <f>IF($J1127="","",ROUND($J1127*$K1127,0))</f>
        <v/>
      </c>
      <c r="M1127" s="37">
        <f>IF(OR($J1127="",$I1127=0),"",ROUND($J1127/$I1127,4))</f>
        <v/>
      </c>
      <c r="N1127" s="17" t="n"/>
      <c r="O1127" s="17" t="n"/>
      <c r="P1127" s="24">
        <f>IF($J1127="","未盘",IF(ROUND($J1127,3)=0,"账实相符",IF(COUNTIFS(入库单!$G$4:$G$2503,$A1127,入库单!$X$4:$X$2503,"盘盈",入库单!$C$4:$C$2503,"&gt;="&amp;账期起,入库单!$C$4:$C$2503,"&lt;="&amp;账期止)+COUNTIFS(出库单!$D$4:$D$4003,$A1127,出库单!$K$4:$K$4003,"盘亏",出库单!$C$4:$C$4003,"&gt;="&amp;账期起,出库单!$C$4:$C$4003,"&lt;="&amp;账期止)&gt;0,"已调账","※差异还没调账")))</f>
        <v/>
      </c>
      <c r="Q1127" s="17" t="n"/>
      <c r="R1127" s="17" t="n"/>
    </row>
    <row r="1128">
      <c r="A1128" s="24">
        <f>IF(库存台账!$A1128="","",库存台账!$A1128)</f>
        <v/>
      </c>
      <c r="B1128" s="24">
        <f>IF($A1128="","",库存台账!$B1128)</f>
        <v/>
      </c>
      <c r="C1128" s="24">
        <f>IF($A1128="","",库存台账!$C1128)</f>
        <v/>
      </c>
      <c r="D1128" s="24">
        <f>IF($A1128="","",库存台账!$D1128)</f>
        <v/>
      </c>
      <c r="E1128" s="24">
        <f>IF($A1128="","",库存台账!$E1128)</f>
        <v/>
      </c>
      <c r="F1128" s="24">
        <f>IF($A1128="","",库存台账!$F1128)</f>
        <v/>
      </c>
      <c r="G1128" s="17" t="n"/>
      <c r="H1128" s="23" t="n"/>
      <c r="I1128" s="27">
        <f>IF($A1128="","",库存台账!$X1128)</f>
        <v/>
      </c>
      <c r="J1128" s="27">
        <f>IF(OR($A1128="",$H1128=""),"",ROUND($H1128-$I1128,3))</f>
        <v/>
      </c>
      <c r="K1128" s="26">
        <f>IF($A1128="","",库存台账!$K1128)</f>
        <v/>
      </c>
      <c r="L1128" s="26">
        <f>IF($J1128="","",ROUND($J1128*$K1128,0))</f>
        <v/>
      </c>
      <c r="M1128" s="37">
        <f>IF(OR($J1128="",$I1128=0),"",ROUND($J1128/$I1128,4))</f>
        <v/>
      </c>
      <c r="N1128" s="17" t="n"/>
      <c r="O1128" s="17" t="n"/>
      <c r="P1128" s="24">
        <f>IF($J1128="","未盘",IF(ROUND($J1128,3)=0,"账实相符",IF(COUNTIFS(入库单!$G$4:$G$2503,$A1128,入库单!$X$4:$X$2503,"盘盈",入库单!$C$4:$C$2503,"&gt;="&amp;账期起,入库单!$C$4:$C$2503,"&lt;="&amp;账期止)+COUNTIFS(出库单!$D$4:$D$4003,$A1128,出库单!$K$4:$K$4003,"盘亏",出库单!$C$4:$C$4003,"&gt;="&amp;账期起,出库单!$C$4:$C$4003,"&lt;="&amp;账期止)&gt;0,"已调账","※差异还没调账")))</f>
        <v/>
      </c>
      <c r="Q1128" s="17" t="n"/>
      <c r="R1128" s="17" t="n"/>
    </row>
    <row r="1129">
      <c r="A1129" s="24">
        <f>IF(库存台账!$A1129="","",库存台账!$A1129)</f>
        <v/>
      </c>
      <c r="B1129" s="24">
        <f>IF($A1129="","",库存台账!$B1129)</f>
        <v/>
      </c>
      <c r="C1129" s="24">
        <f>IF($A1129="","",库存台账!$C1129)</f>
        <v/>
      </c>
      <c r="D1129" s="24">
        <f>IF($A1129="","",库存台账!$D1129)</f>
        <v/>
      </c>
      <c r="E1129" s="24">
        <f>IF($A1129="","",库存台账!$E1129)</f>
        <v/>
      </c>
      <c r="F1129" s="24">
        <f>IF($A1129="","",库存台账!$F1129)</f>
        <v/>
      </c>
      <c r="G1129" s="17" t="n"/>
      <c r="H1129" s="23" t="n"/>
      <c r="I1129" s="27">
        <f>IF($A1129="","",库存台账!$X1129)</f>
        <v/>
      </c>
      <c r="J1129" s="27">
        <f>IF(OR($A1129="",$H1129=""),"",ROUND($H1129-$I1129,3))</f>
        <v/>
      </c>
      <c r="K1129" s="26">
        <f>IF($A1129="","",库存台账!$K1129)</f>
        <v/>
      </c>
      <c r="L1129" s="26">
        <f>IF($J1129="","",ROUND($J1129*$K1129,0))</f>
        <v/>
      </c>
      <c r="M1129" s="37">
        <f>IF(OR($J1129="",$I1129=0),"",ROUND($J1129/$I1129,4))</f>
        <v/>
      </c>
      <c r="N1129" s="17" t="n"/>
      <c r="O1129" s="17" t="n"/>
      <c r="P1129" s="24">
        <f>IF($J1129="","未盘",IF(ROUND($J1129,3)=0,"账实相符",IF(COUNTIFS(入库单!$G$4:$G$2503,$A1129,入库单!$X$4:$X$2503,"盘盈",入库单!$C$4:$C$2503,"&gt;="&amp;账期起,入库单!$C$4:$C$2503,"&lt;="&amp;账期止)+COUNTIFS(出库单!$D$4:$D$4003,$A1129,出库单!$K$4:$K$4003,"盘亏",出库单!$C$4:$C$4003,"&gt;="&amp;账期起,出库单!$C$4:$C$4003,"&lt;="&amp;账期止)&gt;0,"已调账","※差异还没调账")))</f>
        <v/>
      </c>
      <c r="Q1129" s="17" t="n"/>
      <c r="R1129" s="17" t="n"/>
    </row>
    <row r="1130">
      <c r="A1130" s="24">
        <f>IF(库存台账!$A1130="","",库存台账!$A1130)</f>
        <v/>
      </c>
      <c r="B1130" s="24">
        <f>IF($A1130="","",库存台账!$B1130)</f>
        <v/>
      </c>
      <c r="C1130" s="24">
        <f>IF($A1130="","",库存台账!$C1130)</f>
        <v/>
      </c>
      <c r="D1130" s="24">
        <f>IF($A1130="","",库存台账!$D1130)</f>
        <v/>
      </c>
      <c r="E1130" s="24">
        <f>IF($A1130="","",库存台账!$E1130)</f>
        <v/>
      </c>
      <c r="F1130" s="24">
        <f>IF($A1130="","",库存台账!$F1130)</f>
        <v/>
      </c>
      <c r="G1130" s="17" t="n"/>
      <c r="H1130" s="23" t="n"/>
      <c r="I1130" s="27">
        <f>IF($A1130="","",库存台账!$X1130)</f>
        <v/>
      </c>
      <c r="J1130" s="27">
        <f>IF(OR($A1130="",$H1130=""),"",ROUND($H1130-$I1130,3))</f>
        <v/>
      </c>
      <c r="K1130" s="26">
        <f>IF($A1130="","",库存台账!$K1130)</f>
        <v/>
      </c>
      <c r="L1130" s="26">
        <f>IF($J1130="","",ROUND($J1130*$K1130,0))</f>
        <v/>
      </c>
      <c r="M1130" s="37">
        <f>IF(OR($J1130="",$I1130=0),"",ROUND($J1130/$I1130,4))</f>
        <v/>
      </c>
      <c r="N1130" s="17" t="n"/>
      <c r="O1130" s="17" t="n"/>
      <c r="P1130" s="24">
        <f>IF($J1130="","未盘",IF(ROUND($J1130,3)=0,"账实相符",IF(COUNTIFS(入库单!$G$4:$G$2503,$A1130,入库单!$X$4:$X$2503,"盘盈",入库单!$C$4:$C$2503,"&gt;="&amp;账期起,入库单!$C$4:$C$2503,"&lt;="&amp;账期止)+COUNTIFS(出库单!$D$4:$D$4003,$A1130,出库单!$K$4:$K$4003,"盘亏",出库单!$C$4:$C$4003,"&gt;="&amp;账期起,出库单!$C$4:$C$4003,"&lt;="&amp;账期止)&gt;0,"已调账","※差异还没调账")))</f>
        <v/>
      </c>
      <c r="Q1130" s="17" t="n"/>
      <c r="R1130" s="17" t="n"/>
    </row>
    <row r="1131">
      <c r="A1131" s="24">
        <f>IF(库存台账!$A1131="","",库存台账!$A1131)</f>
        <v/>
      </c>
      <c r="B1131" s="24">
        <f>IF($A1131="","",库存台账!$B1131)</f>
        <v/>
      </c>
      <c r="C1131" s="24">
        <f>IF($A1131="","",库存台账!$C1131)</f>
        <v/>
      </c>
      <c r="D1131" s="24">
        <f>IF($A1131="","",库存台账!$D1131)</f>
        <v/>
      </c>
      <c r="E1131" s="24">
        <f>IF($A1131="","",库存台账!$E1131)</f>
        <v/>
      </c>
      <c r="F1131" s="24">
        <f>IF($A1131="","",库存台账!$F1131)</f>
        <v/>
      </c>
      <c r="G1131" s="17" t="n"/>
      <c r="H1131" s="23" t="n"/>
      <c r="I1131" s="27">
        <f>IF($A1131="","",库存台账!$X1131)</f>
        <v/>
      </c>
      <c r="J1131" s="27">
        <f>IF(OR($A1131="",$H1131=""),"",ROUND($H1131-$I1131,3))</f>
        <v/>
      </c>
      <c r="K1131" s="26">
        <f>IF($A1131="","",库存台账!$K1131)</f>
        <v/>
      </c>
      <c r="L1131" s="26">
        <f>IF($J1131="","",ROUND($J1131*$K1131,0))</f>
        <v/>
      </c>
      <c r="M1131" s="37">
        <f>IF(OR($J1131="",$I1131=0),"",ROUND($J1131/$I1131,4))</f>
        <v/>
      </c>
      <c r="N1131" s="17" t="n"/>
      <c r="O1131" s="17" t="n"/>
      <c r="P1131" s="24">
        <f>IF($J1131="","未盘",IF(ROUND($J1131,3)=0,"账实相符",IF(COUNTIFS(入库单!$G$4:$G$2503,$A1131,入库单!$X$4:$X$2503,"盘盈",入库单!$C$4:$C$2503,"&gt;="&amp;账期起,入库单!$C$4:$C$2503,"&lt;="&amp;账期止)+COUNTIFS(出库单!$D$4:$D$4003,$A1131,出库单!$K$4:$K$4003,"盘亏",出库单!$C$4:$C$4003,"&gt;="&amp;账期起,出库单!$C$4:$C$4003,"&lt;="&amp;账期止)&gt;0,"已调账","※差异还没调账")))</f>
        <v/>
      </c>
      <c r="Q1131" s="17" t="n"/>
      <c r="R1131" s="17" t="n"/>
    </row>
    <row r="1132">
      <c r="A1132" s="24">
        <f>IF(库存台账!$A1132="","",库存台账!$A1132)</f>
        <v/>
      </c>
      <c r="B1132" s="24">
        <f>IF($A1132="","",库存台账!$B1132)</f>
        <v/>
      </c>
      <c r="C1132" s="24">
        <f>IF($A1132="","",库存台账!$C1132)</f>
        <v/>
      </c>
      <c r="D1132" s="24">
        <f>IF($A1132="","",库存台账!$D1132)</f>
        <v/>
      </c>
      <c r="E1132" s="24">
        <f>IF($A1132="","",库存台账!$E1132)</f>
        <v/>
      </c>
      <c r="F1132" s="24">
        <f>IF($A1132="","",库存台账!$F1132)</f>
        <v/>
      </c>
      <c r="G1132" s="17" t="n"/>
      <c r="H1132" s="23" t="n"/>
      <c r="I1132" s="27">
        <f>IF($A1132="","",库存台账!$X1132)</f>
        <v/>
      </c>
      <c r="J1132" s="27">
        <f>IF(OR($A1132="",$H1132=""),"",ROUND($H1132-$I1132,3))</f>
        <v/>
      </c>
      <c r="K1132" s="26">
        <f>IF($A1132="","",库存台账!$K1132)</f>
        <v/>
      </c>
      <c r="L1132" s="26">
        <f>IF($J1132="","",ROUND($J1132*$K1132,0))</f>
        <v/>
      </c>
      <c r="M1132" s="37">
        <f>IF(OR($J1132="",$I1132=0),"",ROUND($J1132/$I1132,4))</f>
        <v/>
      </c>
      <c r="N1132" s="17" t="n"/>
      <c r="O1132" s="17" t="n"/>
      <c r="P1132" s="24">
        <f>IF($J1132="","未盘",IF(ROUND($J1132,3)=0,"账实相符",IF(COUNTIFS(入库单!$G$4:$G$2503,$A1132,入库单!$X$4:$X$2503,"盘盈",入库单!$C$4:$C$2503,"&gt;="&amp;账期起,入库单!$C$4:$C$2503,"&lt;="&amp;账期止)+COUNTIFS(出库单!$D$4:$D$4003,$A1132,出库单!$K$4:$K$4003,"盘亏",出库单!$C$4:$C$4003,"&gt;="&amp;账期起,出库单!$C$4:$C$4003,"&lt;="&amp;账期止)&gt;0,"已调账","※差异还没调账")))</f>
        <v/>
      </c>
      <c r="Q1132" s="17" t="n"/>
      <c r="R1132" s="17" t="n"/>
    </row>
    <row r="1133">
      <c r="A1133" s="24">
        <f>IF(库存台账!$A1133="","",库存台账!$A1133)</f>
        <v/>
      </c>
      <c r="B1133" s="24">
        <f>IF($A1133="","",库存台账!$B1133)</f>
        <v/>
      </c>
      <c r="C1133" s="24">
        <f>IF($A1133="","",库存台账!$C1133)</f>
        <v/>
      </c>
      <c r="D1133" s="24">
        <f>IF($A1133="","",库存台账!$D1133)</f>
        <v/>
      </c>
      <c r="E1133" s="24">
        <f>IF($A1133="","",库存台账!$E1133)</f>
        <v/>
      </c>
      <c r="F1133" s="24">
        <f>IF($A1133="","",库存台账!$F1133)</f>
        <v/>
      </c>
      <c r="G1133" s="17" t="n"/>
      <c r="H1133" s="23" t="n"/>
      <c r="I1133" s="27">
        <f>IF($A1133="","",库存台账!$X1133)</f>
        <v/>
      </c>
      <c r="J1133" s="27">
        <f>IF(OR($A1133="",$H1133=""),"",ROUND($H1133-$I1133,3))</f>
        <v/>
      </c>
      <c r="K1133" s="26">
        <f>IF($A1133="","",库存台账!$K1133)</f>
        <v/>
      </c>
      <c r="L1133" s="26">
        <f>IF($J1133="","",ROUND($J1133*$K1133,0))</f>
        <v/>
      </c>
      <c r="M1133" s="37">
        <f>IF(OR($J1133="",$I1133=0),"",ROUND($J1133/$I1133,4))</f>
        <v/>
      </c>
      <c r="N1133" s="17" t="n"/>
      <c r="O1133" s="17" t="n"/>
      <c r="P1133" s="24">
        <f>IF($J1133="","未盘",IF(ROUND($J1133,3)=0,"账实相符",IF(COUNTIFS(入库单!$G$4:$G$2503,$A1133,入库单!$X$4:$X$2503,"盘盈",入库单!$C$4:$C$2503,"&gt;="&amp;账期起,入库单!$C$4:$C$2503,"&lt;="&amp;账期止)+COUNTIFS(出库单!$D$4:$D$4003,$A1133,出库单!$K$4:$K$4003,"盘亏",出库单!$C$4:$C$4003,"&gt;="&amp;账期起,出库单!$C$4:$C$4003,"&lt;="&amp;账期止)&gt;0,"已调账","※差异还没调账")))</f>
        <v/>
      </c>
      <c r="Q1133" s="17" t="n"/>
      <c r="R1133" s="17" t="n"/>
    </row>
    <row r="1134">
      <c r="A1134" s="24">
        <f>IF(库存台账!$A1134="","",库存台账!$A1134)</f>
        <v/>
      </c>
      <c r="B1134" s="24">
        <f>IF($A1134="","",库存台账!$B1134)</f>
        <v/>
      </c>
      <c r="C1134" s="24">
        <f>IF($A1134="","",库存台账!$C1134)</f>
        <v/>
      </c>
      <c r="D1134" s="24">
        <f>IF($A1134="","",库存台账!$D1134)</f>
        <v/>
      </c>
      <c r="E1134" s="24">
        <f>IF($A1134="","",库存台账!$E1134)</f>
        <v/>
      </c>
      <c r="F1134" s="24">
        <f>IF($A1134="","",库存台账!$F1134)</f>
        <v/>
      </c>
      <c r="G1134" s="17" t="n"/>
      <c r="H1134" s="23" t="n"/>
      <c r="I1134" s="27">
        <f>IF($A1134="","",库存台账!$X1134)</f>
        <v/>
      </c>
      <c r="J1134" s="27">
        <f>IF(OR($A1134="",$H1134=""),"",ROUND($H1134-$I1134,3))</f>
        <v/>
      </c>
      <c r="K1134" s="26">
        <f>IF($A1134="","",库存台账!$K1134)</f>
        <v/>
      </c>
      <c r="L1134" s="26">
        <f>IF($J1134="","",ROUND($J1134*$K1134,0))</f>
        <v/>
      </c>
      <c r="M1134" s="37">
        <f>IF(OR($J1134="",$I1134=0),"",ROUND($J1134/$I1134,4))</f>
        <v/>
      </c>
      <c r="N1134" s="17" t="n"/>
      <c r="O1134" s="17" t="n"/>
      <c r="P1134" s="24">
        <f>IF($J1134="","未盘",IF(ROUND($J1134,3)=0,"账实相符",IF(COUNTIFS(入库单!$G$4:$G$2503,$A1134,入库单!$X$4:$X$2503,"盘盈",入库单!$C$4:$C$2503,"&gt;="&amp;账期起,入库单!$C$4:$C$2503,"&lt;="&amp;账期止)+COUNTIFS(出库单!$D$4:$D$4003,$A1134,出库单!$K$4:$K$4003,"盘亏",出库单!$C$4:$C$4003,"&gt;="&amp;账期起,出库单!$C$4:$C$4003,"&lt;="&amp;账期止)&gt;0,"已调账","※差异还没调账")))</f>
        <v/>
      </c>
      <c r="Q1134" s="17" t="n"/>
      <c r="R1134" s="17" t="n"/>
    </row>
    <row r="1135">
      <c r="A1135" s="24">
        <f>IF(库存台账!$A1135="","",库存台账!$A1135)</f>
        <v/>
      </c>
      <c r="B1135" s="24">
        <f>IF($A1135="","",库存台账!$B1135)</f>
        <v/>
      </c>
      <c r="C1135" s="24">
        <f>IF($A1135="","",库存台账!$C1135)</f>
        <v/>
      </c>
      <c r="D1135" s="24">
        <f>IF($A1135="","",库存台账!$D1135)</f>
        <v/>
      </c>
      <c r="E1135" s="24">
        <f>IF($A1135="","",库存台账!$E1135)</f>
        <v/>
      </c>
      <c r="F1135" s="24">
        <f>IF($A1135="","",库存台账!$F1135)</f>
        <v/>
      </c>
      <c r="G1135" s="17" t="n"/>
      <c r="H1135" s="23" t="n"/>
      <c r="I1135" s="27">
        <f>IF($A1135="","",库存台账!$X1135)</f>
        <v/>
      </c>
      <c r="J1135" s="27">
        <f>IF(OR($A1135="",$H1135=""),"",ROUND($H1135-$I1135,3))</f>
        <v/>
      </c>
      <c r="K1135" s="26">
        <f>IF($A1135="","",库存台账!$K1135)</f>
        <v/>
      </c>
      <c r="L1135" s="26">
        <f>IF($J1135="","",ROUND($J1135*$K1135,0))</f>
        <v/>
      </c>
      <c r="M1135" s="37">
        <f>IF(OR($J1135="",$I1135=0),"",ROUND($J1135/$I1135,4))</f>
        <v/>
      </c>
      <c r="N1135" s="17" t="n"/>
      <c r="O1135" s="17" t="n"/>
      <c r="P1135" s="24">
        <f>IF($J1135="","未盘",IF(ROUND($J1135,3)=0,"账实相符",IF(COUNTIFS(入库单!$G$4:$G$2503,$A1135,入库单!$X$4:$X$2503,"盘盈",入库单!$C$4:$C$2503,"&gt;="&amp;账期起,入库单!$C$4:$C$2503,"&lt;="&amp;账期止)+COUNTIFS(出库单!$D$4:$D$4003,$A1135,出库单!$K$4:$K$4003,"盘亏",出库单!$C$4:$C$4003,"&gt;="&amp;账期起,出库单!$C$4:$C$4003,"&lt;="&amp;账期止)&gt;0,"已调账","※差异还没调账")))</f>
        <v/>
      </c>
      <c r="Q1135" s="17" t="n"/>
      <c r="R1135" s="17" t="n"/>
    </row>
    <row r="1136">
      <c r="A1136" s="24">
        <f>IF(库存台账!$A1136="","",库存台账!$A1136)</f>
        <v/>
      </c>
      <c r="B1136" s="24">
        <f>IF($A1136="","",库存台账!$B1136)</f>
        <v/>
      </c>
      <c r="C1136" s="24">
        <f>IF($A1136="","",库存台账!$C1136)</f>
        <v/>
      </c>
      <c r="D1136" s="24">
        <f>IF($A1136="","",库存台账!$D1136)</f>
        <v/>
      </c>
      <c r="E1136" s="24">
        <f>IF($A1136="","",库存台账!$E1136)</f>
        <v/>
      </c>
      <c r="F1136" s="24">
        <f>IF($A1136="","",库存台账!$F1136)</f>
        <v/>
      </c>
      <c r="G1136" s="17" t="n"/>
      <c r="H1136" s="23" t="n"/>
      <c r="I1136" s="27">
        <f>IF($A1136="","",库存台账!$X1136)</f>
        <v/>
      </c>
      <c r="J1136" s="27">
        <f>IF(OR($A1136="",$H1136=""),"",ROUND($H1136-$I1136,3))</f>
        <v/>
      </c>
      <c r="K1136" s="26">
        <f>IF($A1136="","",库存台账!$K1136)</f>
        <v/>
      </c>
      <c r="L1136" s="26">
        <f>IF($J1136="","",ROUND($J1136*$K1136,0))</f>
        <v/>
      </c>
      <c r="M1136" s="37">
        <f>IF(OR($J1136="",$I1136=0),"",ROUND($J1136/$I1136,4))</f>
        <v/>
      </c>
      <c r="N1136" s="17" t="n"/>
      <c r="O1136" s="17" t="n"/>
      <c r="P1136" s="24">
        <f>IF($J1136="","未盘",IF(ROUND($J1136,3)=0,"账实相符",IF(COUNTIFS(入库单!$G$4:$G$2503,$A1136,入库单!$X$4:$X$2503,"盘盈",入库单!$C$4:$C$2503,"&gt;="&amp;账期起,入库单!$C$4:$C$2503,"&lt;="&amp;账期止)+COUNTIFS(出库单!$D$4:$D$4003,$A1136,出库单!$K$4:$K$4003,"盘亏",出库单!$C$4:$C$4003,"&gt;="&amp;账期起,出库单!$C$4:$C$4003,"&lt;="&amp;账期止)&gt;0,"已调账","※差异还没调账")))</f>
        <v/>
      </c>
      <c r="Q1136" s="17" t="n"/>
      <c r="R1136" s="17" t="n"/>
    </row>
    <row r="1137">
      <c r="A1137" s="24">
        <f>IF(库存台账!$A1137="","",库存台账!$A1137)</f>
        <v/>
      </c>
      <c r="B1137" s="24">
        <f>IF($A1137="","",库存台账!$B1137)</f>
        <v/>
      </c>
      <c r="C1137" s="24">
        <f>IF($A1137="","",库存台账!$C1137)</f>
        <v/>
      </c>
      <c r="D1137" s="24">
        <f>IF($A1137="","",库存台账!$D1137)</f>
        <v/>
      </c>
      <c r="E1137" s="24">
        <f>IF($A1137="","",库存台账!$E1137)</f>
        <v/>
      </c>
      <c r="F1137" s="24">
        <f>IF($A1137="","",库存台账!$F1137)</f>
        <v/>
      </c>
      <c r="G1137" s="17" t="n"/>
      <c r="H1137" s="23" t="n"/>
      <c r="I1137" s="27">
        <f>IF($A1137="","",库存台账!$X1137)</f>
        <v/>
      </c>
      <c r="J1137" s="27">
        <f>IF(OR($A1137="",$H1137=""),"",ROUND($H1137-$I1137,3))</f>
        <v/>
      </c>
      <c r="K1137" s="26">
        <f>IF($A1137="","",库存台账!$K1137)</f>
        <v/>
      </c>
      <c r="L1137" s="26">
        <f>IF($J1137="","",ROUND($J1137*$K1137,0))</f>
        <v/>
      </c>
      <c r="M1137" s="37">
        <f>IF(OR($J1137="",$I1137=0),"",ROUND($J1137/$I1137,4))</f>
        <v/>
      </c>
      <c r="N1137" s="17" t="n"/>
      <c r="O1137" s="17" t="n"/>
      <c r="P1137" s="24">
        <f>IF($J1137="","未盘",IF(ROUND($J1137,3)=0,"账实相符",IF(COUNTIFS(入库单!$G$4:$G$2503,$A1137,入库单!$X$4:$X$2503,"盘盈",入库单!$C$4:$C$2503,"&gt;="&amp;账期起,入库单!$C$4:$C$2503,"&lt;="&amp;账期止)+COUNTIFS(出库单!$D$4:$D$4003,$A1137,出库单!$K$4:$K$4003,"盘亏",出库单!$C$4:$C$4003,"&gt;="&amp;账期起,出库单!$C$4:$C$4003,"&lt;="&amp;账期止)&gt;0,"已调账","※差异还没调账")))</f>
        <v/>
      </c>
      <c r="Q1137" s="17" t="n"/>
      <c r="R1137" s="17" t="n"/>
    </row>
    <row r="1138">
      <c r="A1138" s="24">
        <f>IF(库存台账!$A1138="","",库存台账!$A1138)</f>
        <v/>
      </c>
      <c r="B1138" s="24">
        <f>IF($A1138="","",库存台账!$B1138)</f>
        <v/>
      </c>
      <c r="C1138" s="24">
        <f>IF($A1138="","",库存台账!$C1138)</f>
        <v/>
      </c>
      <c r="D1138" s="24">
        <f>IF($A1138="","",库存台账!$D1138)</f>
        <v/>
      </c>
      <c r="E1138" s="24">
        <f>IF($A1138="","",库存台账!$E1138)</f>
        <v/>
      </c>
      <c r="F1138" s="24">
        <f>IF($A1138="","",库存台账!$F1138)</f>
        <v/>
      </c>
      <c r="G1138" s="17" t="n"/>
      <c r="H1138" s="23" t="n"/>
      <c r="I1138" s="27">
        <f>IF($A1138="","",库存台账!$X1138)</f>
        <v/>
      </c>
      <c r="J1138" s="27">
        <f>IF(OR($A1138="",$H1138=""),"",ROUND($H1138-$I1138,3))</f>
        <v/>
      </c>
      <c r="K1138" s="26">
        <f>IF($A1138="","",库存台账!$K1138)</f>
        <v/>
      </c>
      <c r="L1138" s="26">
        <f>IF($J1138="","",ROUND($J1138*$K1138,0))</f>
        <v/>
      </c>
      <c r="M1138" s="37">
        <f>IF(OR($J1138="",$I1138=0),"",ROUND($J1138/$I1138,4))</f>
        <v/>
      </c>
      <c r="N1138" s="17" t="n"/>
      <c r="O1138" s="17" t="n"/>
      <c r="P1138" s="24">
        <f>IF($J1138="","未盘",IF(ROUND($J1138,3)=0,"账实相符",IF(COUNTIFS(入库单!$G$4:$G$2503,$A1138,入库单!$X$4:$X$2503,"盘盈",入库单!$C$4:$C$2503,"&gt;="&amp;账期起,入库单!$C$4:$C$2503,"&lt;="&amp;账期止)+COUNTIFS(出库单!$D$4:$D$4003,$A1138,出库单!$K$4:$K$4003,"盘亏",出库单!$C$4:$C$4003,"&gt;="&amp;账期起,出库单!$C$4:$C$4003,"&lt;="&amp;账期止)&gt;0,"已调账","※差异还没调账")))</f>
        <v/>
      </c>
      <c r="Q1138" s="17" t="n"/>
      <c r="R1138" s="17" t="n"/>
    </row>
    <row r="1139">
      <c r="A1139" s="24">
        <f>IF(库存台账!$A1139="","",库存台账!$A1139)</f>
        <v/>
      </c>
      <c r="B1139" s="24">
        <f>IF($A1139="","",库存台账!$B1139)</f>
        <v/>
      </c>
      <c r="C1139" s="24">
        <f>IF($A1139="","",库存台账!$C1139)</f>
        <v/>
      </c>
      <c r="D1139" s="24">
        <f>IF($A1139="","",库存台账!$D1139)</f>
        <v/>
      </c>
      <c r="E1139" s="24">
        <f>IF($A1139="","",库存台账!$E1139)</f>
        <v/>
      </c>
      <c r="F1139" s="24">
        <f>IF($A1139="","",库存台账!$F1139)</f>
        <v/>
      </c>
      <c r="G1139" s="17" t="n"/>
      <c r="H1139" s="23" t="n"/>
      <c r="I1139" s="27">
        <f>IF($A1139="","",库存台账!$X1139)</f>
        <v/>
      </c>
      <c r="J1139" s="27">
        <f>IF(OR($A1139="",$H1139=""),"",ROUND($H1139-$I1139,3))</f>
        <v/>
      </c>
      <c r="K1139" s="26">
        <f>IF($A1139="","",库存台账!$K1139)</f>
        <v/>
      </c>
      <c r="L1139" s="26">
        <f>IF($J1139="","",ROUND($J1139*$K1139,0))</f>
        <v/>
      </c>
      <c r="M1139" s="37">
        <f>IF(OR($J1139="",$I1139=0),"",ROUND($J1139/$I1139,4))</f>
        <v/>
      </c>
      <c r="N1139" s="17" t="n"/>
      <c r="O1139" s="17" t="n"/>
      <c r="P1139" s="24">
        <f>IF($J1139="","未盘",IF(ROUND($J1139,3)=0,"账实相符",IF(COUNTIFS(入库单!$G$4:$G$2503,$A1139,入库单!$X$4:$X$2503,"盘盈",入库单!$C$4:$C$2503,"&gt;="&amp;账期起,入库单!$C$4:$C$2503,"&lt;="&amp;账期止)+COUNTIFS(出库单!$D$4:$D$4003,$A1139,出库单!$K$4:$K$4003,"盘亏",出库单!$C$4:$C$4003,"&gt;="&amp;账期起,出库单!$C$4:$C$4003,"&lt;="&amp;账期止)&gt;0,"已调账","※差异还没调账")))</f>
        <v/>
      </c>
      <c r="Q1139" s="17" t="n"/>
      <c r="R1139" s="17" t="n"/>
    </row>
    <row r="1140">
      <c r="A1140" s="24">
        <f>IF(库存台账!$A1140="","",库存台账!$A1140)</f>
        <v/>
      </c>
      <c r="B1140" s="24">
        <f>IF($A1140="","",库存台账!$B1140)</f>
        <v/>
      </c>
      <c r="C1140" s="24">
        <f>IF($A1140="","",库存台账!$C1140)</f>
        <v/>
      </c>
      <c r="D1140" s="24">
        <f>IF($A1140="","",库存台账!$D1140)</f>
        <v/>
      </c>
      <c r="E1140" s="24">
        <f>IF($A1140="","",库存台账!$E1140)</f>
        <v/>
      </c>
      <c r="F1140" s="24">
        <f>IF($A1140="","",库存台账!$F1140)</f>
        <v/>
      </c>
      <c r="G1140" s="17" t="n"/>
      <c r="H1140" s="23" t="n"/>
      <c r="I1140" s="27">
        <f>IF($A1140="","",库存台账!$X1140)</f>
        <v/>
      </c>
      <c r="J1140" s="27">
        <f>IF(OR($A1140="",$H1140=""),"",ROUND($H1140-$I1140,3))</f>
        <v/>
      </c>
      <c r="K1140" s="26">
        <f>IF($A1140="","",库存台账!$K1140)</f>
        <v/>
      </c>
      <c r="L1140" s="26">
        <f>IF($J1140="","",ROUND($J1140*$K1140,0))</f>
        <v/>
      </c>
      <c r="M1140" s="37">
        <f>IF(OR($J1140="",$I1140=0),"",ROUND($J1140/$I1140,4))</f>
        <v/>
      </c>
      <c r="N1140" s="17" t="n"/>
      <c r="O1140" s="17" t="n"/>
      <c r="P1140" s="24">
        <f>IF($J1140="","未盘",IF(ROUND($J1140,3)=0,"账实相符",IF(COUNTIFS(入库单!$G$4:$G$2503,$A1140,入库单!$X$4:$X$2503,"盘盈",入库单!$C$4:$C$2503,"&gt;="&amp;账期起,入库单!$C$4:$C$2503,"&lt;="&amp;账期止)+COUNTIFS(出库单!$D$4:$D$4003,$A1140,出库单!$K$4:$K$4003,"盘亏",出库单!$C$4:$C$4003,"&gt;="&amp;账期起,出库单!$C$4:$C$4003,"&lt;="&amp;账期止)&gt;0,"已调账","※差异还没调账")))</f>
        <v/>
      </c>
      <c r="Q1140" s="17" t="n"/>
      <c r="R1140" s="17" t="n"/>
    </row>
    <row r="1141">
      <c r="A1141" s="24">
        <f>IF(库存台账!$A1141="","",库存台账!$A1141)</f>
        <v/>
      </c>
      <c r="B1141" s="24">
        <f>IF($A1141="","",库存台账!$B1141)</f>
        <v/>
      </c>
      <c r="C1141" s="24">
        <f>IF($A1141="","",库存台账!$C1141)</f>
        <v/>
      </c>
      <c r="D1141" s="24">
        <f>IF($A1141="","",库存台账!$D1141)</f>
        <v/>
      </c>
      <c r="E1141" s="24">
        <f>IF($A1141="","",库存台账!$E1141)</f>
        <v/>
      </c>
      <c r="F1141" s="24">
        <f>IF($A1141="","",库存台账!$F1141)</f>
        <v/>
      </c>
      <c r="G1141" s="17" t="n"/>
      <c r="H1141" s="23" t="n"/>
      <c r="I1141" s="27">
        <f>IF($A1141="","",库存台账!$X1141)</f>
        <v/>
      </c>
      <c r="J1141" s="27">
        <f>IF(OR($A1141="",$H1141=""),"",ROUND($H1141-$I1141,3))</f>
        <v/>
      </c>
      <c r="K1141" s="26">
        <f>IF($A1141="","",库存台账!$K1141)</f>
        <v/>
      </c>
      <c r="L1141" s="26">
        <f>IF($J1141="","",ROUND($J1141*$K1141,0))</f>
        <v/>
      </c>
      <c r="M1141" s="37">
        <f>IF(OR($J1141="",$I1141=0),"",ROUND($J1141/$I1141,4))</f>
        <v/>
      </c>
      <c r="N1141" s="17" t="n"/>
      <c r="O1141" s="17" t="n"/>
      <c r="P1141" s="24">
        <f>IF($J1141="","未盘",IF(ROUND($J1141,3)=0,"账实相符",IF(COUNTIFS(入库单!$G$4:$G$2503,$A1141,入库单!$X$4:$X$2503,"盘盈",入库单!$C$4:$C$2503,"&gt;="&amp;账期起,入库单!$C$4:$C$2503,"&lt;="&amp;账期止)+COUNTIFS(出库单!$D$4:$D$4003,$A1141,出库单!$K$4:$K$4003,"盘亏",出库单!$C$4:$C$4003,"&gt;="&amp;账期起,出库单!$C$4:$C$4003,"&lt;="&amp;账期止)&gt;0,"已调账","※差异还没调账")))</f>
        <v/>
      </c>
      <c r="Q1141" s="17" t="n"/>
      <c r="R1141" s="17" t="n"/>
    </row>
    <row r="1142">
      <c r="A1142" s="24">
        <f>IF(库存台账!$A1142="","",库存台账!$A1142)</f>
        <v/>
      </c>
      <c r="B1142" s="24">
        <f>IF($A1142="","",库存台账!$B1142)</f>
        <v/>
      </c>
      <c r="C1142" s="24">
        <f>IF($A1142="","",库存台账!$C1142)</f>
        <v/>
      </c>
      <c r="D1142" s="24">
        <f>IF($A1142="","",库存台账!$D1142)</f>
        <v/>
      </c>
      <c r="E1142" s="24">
        <f>IF($A1142="","",库存台账!$E1142)</f>
        <v/>
      </c>
      <c r="F1142" s="24">
        <f>IF($A1142="","",库存台账!$F1142)</f>
        <v/>
      </c>
      <c r="G1142" s="17" t="n"/>
      <c r="H1142" s="23" t="n"/>
      <c r="I1142" s="27">
        <f>IF($A1142="","",库存台账!$X1142)</f>
        <v/>
      </c>
      <c r="J1142" s="27">
        <f>IF(OR($A1142="",$H1142=""),"",ROUND($H1142-$I1142,3))</f>
        <v/>
      </c>
      <c r="K1142" s="26">
        <f>IF($A1142="","",库存台账!$K1142)</f>
        <v/>
      </c>
      <c r="L1142" s="26">
        <f>IF($J1142="","",ROUND($J1142*$K1142,0))</f>
        <v/>
      </c>
      <c r="M1142" s="37">
        <f>IF(OR($J1142="",$I1142=0),"",ROUND($J1142/$I1142,4))</f>
        <v/>
      </c>
      <c r="N1142" s="17" t="n"/>
      <c r="O1142" s="17" t="n"/>
      <c r="P1142" s="24">
        <f>IF($J1142="","未盘",IF(ROUND($J1142,3)=0,"账实相符",IF(COUNTIFS(入库单!$G$4:$G$2503,$A1142,入库单!$X$4:$X$2503,"盘盈",入库单!$C$4:$C$2503,"&gt;="&amp;账期起,入库单!$C$4:$C$2503,"&lt;="&amp;账期止)+COUNTIFS(出库单!$D$4:$D$4003,$A1142,出库单!$K$4:$K$4003,"盘亏",出库单!$C$4:$C$4003,"&gt;="&amp;账期起,出库单!$C$4:$C$4003,"&lt;="&amp;账期止)&gt;0,"已调账","※差异还没调账")))</f>
        <v/>
      </c>
      <c r="Q1142" s="17" t="n"/>
      <c r="R1142" s="17" t="n"/>
    </row>
    <row r="1143">
      <c r="A1143" s="24">
        <f>IF(库存台账!$A1143="","",库存台账!$A1143)</f>
        <v/>
      </c>
      <c r="B1143" s="24">
        <f>IF($A1143="","",库存台账!$B1143)</f>
        <v/>
      </c>
      <c r="C1143" s="24">
        <f>IF($A1143="","",库存台账!$C1143)</f>
        <v/>
      </c>
      <c r="D1143" s="24">
        <f>IF($A1143="","",库存台账!$D1143)</f>
        <v/>
      </c>
      <c r="E1143" s="24">
        <f>IF($A1143="","",库存台账!$E1143)</f>
        <v/>
      </c>
      <c r="F1143" s="24">
        <f>IF($A1143="","",库存台账!$F1143)</f>
        <v/>
      </c>
      <c r="G1143" s="17" t="n"/>
      <c r="H1143" s="23" t="n"/>
      <c r="I1143" s="27">
        <f>IF($A1143="","",库存台账!$X1143)</f>
        <v/>
      </c>
      <c r="J1143" s="27">
        <f>IF(OR($A1143="",$H1143=""),"",ROUND($H1143-$I1143,3))</f>
        <v/>
      </c>
      <c r="K1143" s="26">
        <f>IF($A1143="","",库存台账!$K1143)</f>
        <v/>
      </c>
      <c r="L1143" s="26">
        <f>IF($J1143="","",ROUND($J1143*$K1143,0))</f>
        <v/>
      </c>
      <c r="M1143" s="37">
        <f>IF(OR($J1143="",$I1143=0),"",ROUND($J1143/$I1143,4))</f>
        <v/>
      </c>
      <c r="N1143" s="17" t="n"/>
      <c r="O1143" s="17" t="n"/>
      <c r="P1143" s="24">
        <f>IF($J1143="","未盘",IF(ROUND($J1143,3)=0,"账实相符",IF(COUNTIFS(入库单!$G$4:$G$2503,$A1143,入库单!$X$4:$X$2503,"盘盈",入库单!$C$4:$C$2503,"&gt;="&amp;账期起,入库单!$C$4:$C$2503,"&lt;="&amp;账期止)+COUNTIFS(出库单!$D$4:$D$4003,$A1143,出库单!$K$4:$K$4003,"盘亏",出库单!$C$4:$C$4003,"&gt;="&amp;账期起,出库单!$C$4:$C$4003,"&lt;="&amp;账期止)&gt;0,"已调账","※差异还没调账")))</f>
        <v/>
      </c>
      <c r="Q1143" s="17" t="n"/>
      <c r="R1143" s="17" t="n"/>
    </row>
    <row r="1144">
      <c r="A1144" s="24">
        <f>IF(库存台账!$A1144="","",库存台账!$A1144)</f>
        <v/>
      </c>
      <c r="B1144" s="24">
        <f>IF($A1144="","",库存台账!$B1144)</f>
        <v/>
      </c>
      <c r="C1144" s="24">
        <f>IF($A1144="","",库存台账!$C1144)</f>
        <v/>
      </c>
      <c r="D1144" s="24">
        <f>IF($A1144="","",库存台账!$D1144)</f>
        <v/>
      </c>
      <c r="E1144" s="24">
        <f>IF($A1144="","",库存台账!$E1144)</f>
        <v/>
      </c>
      <c r="F1144" s="24">
        <f>IF($A1144="","",库存台账!$F1144)</f>
        <v/>
      </c>
      <c r="G1144" s="17" t="n"/>
      <c r="H1144" s="23" t="n"/>
      <c r="I1144" s="27">
        <f>IF($A1144="","",库存台账!$X1144)</f>
        <v/>
      </c>
      <c r="J1144" s="27">
        <f>IF(OR($A1144="",$H1144=""),"",ROUND($H1144-$I1144,3))</f>
        <v/>
      </c>
      <c r="K1144" s="26">
        <f>IF($A1144="","",库存台账!$K1144)</f>
        <v/>
      </c>
      <c r="L1144" s="26">
        <f>IF($J1144="","",ROUND($J1144*$K1144,0))</f>
        <v/>
      </c>
      <c r="M1144" s="37">
        <f>IF(OR($J1144="",$I1144=0),"",ROUND($J1144/$I1144,4))</f>
        <v/>
      </c>
      <c r="N1144" s="17" t="n"/>
      <c r="O1144" s="17" t="n"/>
      <c r="P1144" s="24">
        <f>IF($J1144="","未盘",IF(ROUND($J1144,3)=0,"账实相符",IF(COUNTIFS(入库单!$G$4:$G$2503,$A1144,入库单!$X$4:$X$2503,"盘盈",入库单!$C$4:$C$2503,"&gt;="&amp;账期起,入库单!$C$4:$C$2503,"&lt;="&amp;账期止)+COUNTIFS(出库单!$D$4:$D$4003,$A1144,出库单!$K$4:$K$4003,"盘亏",出库单!$C$4:$C$4003,"&gt;="&amp;账期起,出库单!$C$4:$C$4003,"&lt;="&amp;账期止)&gt;0,"已调账","※差异还没调账")))</f>
        <v/>
      </c>
      <c r="Q1144" s="17" t="n"/>
      <c r="R1144" s="17" t="n"/>
    </row>
    <row r="1145">
      <c r="A1145" s="24">
        <f>IF(库存台账!$A1145="","",库存台账!$A1145)</f>
        <v/>
      </c>
      <c r="B1145" s="24">
        <f>IF($A1145="","",库存台账!$B1145)</f>
        <v/>
      </c>
      <c r="C1145" s="24">
        <f>IF($A1145="","",库存台账!$C1145)</f>
        <v/>
      </c>
      <c r="D1145" s="24">
        <f>IF($A1145="","",库存台账!$D1145)</f>
        <v/>
      </c>
      <c r="E1145" s="24">
        <f>IF($A1145="","",库存台账!$E1145)</f>
        <v/>
      </c>
      <c r="F1145" s="24">
        <f>IF($A1145="","",库存台账!$F1145)</f>
        <v/>
      </c>
      <c r="G1145" s="17" t="n"/>
      <c r="H1145" s="23" t="n"/>
      <c r="I1145" s="27">
        <f>IF($A1145="","",库存台账!$X1145)</f>
        <v/>
      </c>
      <c r="J1145" s="27">
        <f>IF(OR($A1145="",$H1145=""),"",ROUND($H1145-$I1145,3))</f>
        <v/>
      </c>
      <c r="K1145" s="26">
        <f>IF($A1145="","",库存台账!$K1145)</f>
        <v/>
      </c>
      <c r="L1145" s="26">
        <f>IF($J1145="","",ROUND($J1145*$K1145,0))</f>
        <v/>
      </c>
      <c r="M1145" s="37">
        <f>IF(OR($J1145="",$I1145=0),"",ROUND($J1145/$I1145,4))</f>
        <v/>
      </c>
      <c r="N1145" s="17" t="n"/>
      <c r="O1145" s="17" t="n"/>
      <c r="P1145" s="24">
        <f>IF($J1145="","未盘",IF(ROUND($J1145,3)=0,"账实相符",IF(COUNTIFS(入库单!$G$4:$G$2503,$A1145,入库单!$X$4:$X$2503,"盘盈",入库单!$C$4:$C$2503,"&gt;="&amp;账期起,入库单!$C$4:$C$2503,"&lt;="&amp;账期止)+COUNTIFS(出库单!$D$4:$D$4003,$A1145,出库单!$K$4:$K$4003,"盘亏",出库单!$C$4:$C$4003,"&gt;="&amp;账期起,出库单!$C$4:$C$4003,"&lt;="&amp;账期止)&gt;0,"已调账","※差异还没调账")))</f>
        <v/>
      </c>
      <c r="Q1145" s="17" t="n"/>
      <c r="R1145" s="17" t="n"/>
    </row>
    <row r="1146">
      <c r="A1146" s="24">
        <f>IF(库存台账!$A1146="","",库存台账!$A1146)</f>
        <v/>
      </c>
      <c r="B1146" s="24">
        <f>IF($A1146="","",库存台账!$B1146)</f>
        <v/>
      </c>
      <c r="C1146" s="24">
        <f>IF($A1146="","",库存台账!$C1146)</f>
        <v/>
      </c>
      <c r="D1146" s="24">
        <f>IF($A1146="","",库存台账!$D1146)</f>
        <v/>
      </c>
      <c r="E1146" s="24">
        <f>IF($A1146="","",库存台账!$E1146)</f>
        <v/>
      </c>
      <c r="F1146" s="24">
        <f>IF($A1146="","",库存台账!$F1146)</f>
        <v/>
      </c>
      <c r="G1146" s="17" t="n"/>
      <c r="H1146" s="23" t="n"/>
      <c r="I1146" s="27">
        <f>IF($A1146="","",库存台账!$X1146)</f>
        <v/>
      </c>
      <c r="J1146" s="27">
        <f>IF(OR($A1146="",$H1146=""),"",ROUND($H1146-$I1146,3))</f>
        <v/>
      </c>
      <c r="K1146" s="26">
        <f>IF($A1146="","",库存台账!$K1146)</f>
        <v/>
      </c>
      <c r="L1146" s="26">
        <f>IF($J1146="","",ROUND($J1146*$K1146,0))</f>
        <v/>
      </c>
      <c r="M1146" s="37">
        <f>IF(OR($J1146="",$I1146=0),"",ROUND($J1146/$I1146,4))</f>
        <v/>
      </c>
      <c r="N1146" s="17" t="n"/>
      <c r="O1146" s="17" t="n"/>
      <c r="P1146" s="24">
        <f>IF($J1146="","未盘",IF(ROUND($J1146,3)=0,"账实相符",IF(COUNTIFS(入库单!$G$4:$G$2503,$A1146,入库单!$X$4:$X$2503,"盘盈",入库单!$C$4:$C$2503,"&gt;="&amp;账期起,入库单!$C$4:$C$2503,"&lt;="&amp;账期止)+COUNTIFS(出库单!$D$4:$D$4003,$A1146,出库单!$K$4:$K$4003,"盘亏",出库单!$C$4:$C$4003,"&gt;="&amp;账期起,出库单!$C$4:$C$4003,"&lt;="&amp;账期止)&gt;0,"已调账","※差异还没调账")))</f>
        <v/>
      </c>
      <c r="Q1146" s="17" t="n"/>
      <c r="R1146" s="17" t="n"/>
    </row>
    <row r="1147">
      <c r="A1147" s="24">
        <f>IF(库存台账!$A1147="","",库存台账!$A1147)</f>
        <v/>
      </c>
      <c r="B1147" s="24">
        <f>IF($A1147="","",库存台账!$B1147)</f>
        <v/>
      </c>
      <c r="C1147" s="24">
        <f>IF($A1147="","",库存台账!$C1147)</f>
        <v/>
      </c>
      <c r="D1147" s="24">
        <f>IF($A1147="","",库存台账!$D1147)</f>
        <v/>
      </c>
      <c r="E1147" s="24">
        <f>IF($A1147="","",库存台账!$E1147)</f>
        <v/>
      </c>
      <c r="F1147" s="24">
        <f>IF($A1147="","",库存台账!$F1147)</f>
        <v/>
      </c>
      <c r="G1147" s="17" t="n"/>
      <c r="H1147" s="23" t="n"/>
      <c r="I1147" s="27">
        <f>IF($A1147="","",库存台账!$X1147)</f>
        <v/>
      </c>
      <c r="J1147" s="27">
        <f>IF(OR($A1147="",$H1147=""),"",ROUND($H1147-$I1147,3))</f>
        <v/>
      </c>
      <c r="K1147" s="26">
        <f>IF($A1147="","",库存台账!$K1147)</f>
        <v/>
      </c>
      <c r="L1147" s="26">
        <f>IF($J1147="","",ROUND($J1147*$K1147,0))</f>
        <v/>
      </c>
      <c r="M1147" s="37">
        <f>IF(OR($J1147="",$I1147=0),"",ROUND($J1147/$I1147,4))</f>
        <v/>
      </c>
      <c r="N1147" s="17" t="n"/>
      <c r="O1147" s="17" t="n"/>
      <c r="P1147" s="24">
        <f>IF($J1147="","未盘",IF(ROUND($J1147,3)=0,"账实相符",IF(COUNTIFS(入库单!$G$4:$G$2503,$A1147,入库单!$X$4:$X$2503,"盘盈",入库单!$C$4:$C$2503,"&gt;="&amp;账期起,入库单!$C$4:$C$2503,"&lt;="&amp;账期止)+COUNTIFS(出库单!$D$4:$D$4003,$A1147,出库单!$K$4:$K$4003,"盘亏",出库单!$C$4:$C$4003,"&gt;="&amp;账期起,出库单!$C$4:$C$4003,"&lt;="&amp;账期止)&gt;0,"已调账","※差异还没调账")))</f>
        <v/>
      </c>
      <c r="Q1147" s="17" t="n"/>
      <c r="R1147" s="17" t="n"/>
    </row>
    <row r="1148">
      <c r="A1148" s="24">
        <f>IF(库存台账!$A1148="","",库存台账!$A1148)</f>
        <v/>
      </c>
      <c r="B1148" s="24">
        <f>IF($A1148="","",库存台账!$B1148)</f>
        <v/>
      </c>
      <c r="C1148" s="24">
        <f>IF($A1148="","",库存台账!$C1148)</f>
        <v/>
      </c>
      <c r="D1148" s="24">
        <f>IF($A1148="","",库存台账!$D1148)</f>
        <v/>
      </c>
      <c r="E1148" s="24">
        <f>IF($A1148="","",库存台账!$E1148)</f>
        <v/>
      </c>
      <c r="F1148" s="24">
        <f>IF($A1148="","",库存台账!$F1148)</f>
        <v/>
      </c>
      <c r="G1148" s="17" t="n"/>
      <c r="H1148" s="23" t="n"/>
      <c r="I1148" s="27">
        <f>IF($A1148="","",库存台账!$X1148)</f>
        <v/>
      </c>
      <c r="J1148" s="27">
        <f>IF(OR($A1148="",$H1148=""),"",ROUND($H1148-$I1148,3))</f>
        <v/>
      </c>
      <c r="K1148" s="26">
        <f>IF($A1148="","",库存台账!$K1148)</f>
        <v/>
      </c>
      <c r="L1148" s="26">
        <f>IF($J1148="","",ROUND($J1148*$K1148,0))</f>
        <v/>
      </c>
      <c r="M1148" s="37">
        <f>IF(OR($J1148="",$I1148=0),"",ROUND($J1148/$I1148,4))</f>
        <v/>
      </c>
      <c r="N1148" s="17" t="n"/>
      <c r="O1148" s="17" t="n"/>
      <c r="P1148" s="24">
        <f>IF($J1148="","未盘",IF(ROUND($J1148,3)=0,"账实相符",IF(COUNTIFS(入库单!$G$4:$G$2503,$A1148,入库单!$X$4:$X$2503,"盘盈",入库单!$C$4:$C$2503,"&gt;="&amp;账期起,入库单!$C$4:$C$2503,"&lt;="&amp;账期止)+COUNTIFS(出库单!$D$4:$D$4003,$A1148,出库单!$K$4:$K$4003,"盘亏",出库单!$C$4:$C$4003,"&gt;="&amp;账期起,出库单!$C$4:$C$4003,"&lt;="&amp;账期止)&gt;0,"已调账","※差异还没调账")))</f>
        <v/>
      </c>
      <c r="Q1148" s="17" t="n"/>
      <c r="R1148" s="17" t="n"/>
    </row>
    <row r="1149">
      <c r="A1149" s="24">
        <f>IF(库存台账!$A1149="","",库存台账!$A1149)</f>
        <v/>
      </c>
      <c r="B1149" s="24">
        <f>IF($A1149="","",库存台账!$B1149)</f>
        <v/>
      </c>
      <c r="C1149" s="24">
        <f>IF($A1149="","",库存台账!$C1149)</f>
        <v/>
      </c>
      <c r="D1149" s="24">
        <f>IF($A1149="","",库存台账!$D1149)</f>
        <v/>
      </c>
      <c r="E1149" s="24">
        <f>IF($A1149="","",库存台账!$E1149)</f>
        <v/>
      </c>
      <c r="F1149" s="24">
        <f>IF($A1149="","",库存台账!$F1149)</f>
        <v/>
      </c>
      <c r="G1149" s="17" t="n"/>
      <c r="H1149" s="23" t="n"/>
      <c r="I1149" s="27">
        <f>IF($A1149="","",库存台账!$X1149)</f>
        <v/>
      </c>
      <c r="J1149" s="27">
        <f>IF(OR($A1149="",$H1149=""),"",ROUND($H1149-$I1149,3))</f>
        <v/>
      </c>
      <c r="K1149" s="26">
        <f>IF($A1149="","",库存台账!$K1149)</f>
        <v/>
      </c>
      <c r="L1149" s="26">
        <f>IF($J1149="","",ROUND($J1149*$K1149,0))</f>
        <v/>
      </c>
      <c r="M1149" s="37">
        <f>IF(OR($J1149="",$I1149=0),"",ROUND($J1149/$I1149,4))</f>
        <v/>
      </c>
      <c r="N1149" s="17" t="n"/>
      <c r="O1149" s="17" t="n"/>
      <c r="P1149" s="24">
        <f>IF($J1149="","未盘",IF(ROUND($J1149,3)=0,"账实相符",IF(COUNTIFS(入库单!$G$4:$G$2503,$A1149,入库单!$X$4:$X$2503,"盘盈",入库单!$C$4:$C$2503,"&gt;="&amp;账期起,入库单!$C$4:$C$2503,"&lt;="&amp;账期止)+COUNTIFS(出库单!$D$4:$D$4003,$A1149,出库单!$K$4:$K$4003,"盘亏",出库单!$C$4:$C$4003,"&gt;="&amp;账期起,出库单!$C$4:$C$4003,"&lt;="&amp;账期止)&gt;0,"已调账","※差异还没调账")))</f>
        <v/>
      </c>
      <c r="Q1149" s="17" t="n"/>
      <c r="R1149" s="17" t="n"/>
    </row>
    <row r="1150">
      <c r="A1150" s="24">
        <f>IF(库存台账!$A1150="","",库存台账!$A1150)</f>
        <v/>
      </c>
      <c r="B1150" s="24">
        <f>IF($A1150="","",库存台账!$B1150)</f>
        <v/>
      </c>
      <c r="C1150" s="24">
        <f>IF($A1150="","",库存台账!$C1150)</f>
        <v/>
      </c>
      <c r="D1150" s="24">
        <f>IF($A1150="","",库存台账!$D1150)</f>
        <v/>
      </c>
      <c r="E1150" s="24">
        <f>IF($A1150="","",库存台账!$E1150)</f>
        <v/>
      </c>
      <c r="F1150" s="24">
        <f>IF($A1150="","",库存台账!$F1150)</f>
        <v/>
      </c>
      <c r="G1150" s="17" t="n"/>
      <c r="H1150" s="23" t="n"/>
      <c r="I1150" s="27">
        <f>IF($A1150="","",库存台账!$X1150)</f>
        <v/>
      </c>
      <c r="J1150" s="27">
        <f>IF(OR($A1150="",$H1150=""),"",ROUND($H1150-$I1150,3))</f>
        <v/>
      </c>
      <c r="K1150" s="26">
        <f>IF($A1150="","",库存台账!$K1150)</f>
        <v/>
      </c>
      <c r="L1150" s="26">
        <f>IF($J1150="","",ROUND($J1150*$K1150,0))</f>
        <v/>
      </c>
      <c r="M1150" s="37">
        <f>IF(OR($J1150="",$I1150=0),"",ROUND($J1150/$I1150,4))</f>
        <v/>
      </c>
      <c r="N1150" s="17" t="n"/>
      <c r="O1150" s="17" t="n"/>
      <c r="P1150" s="24">
        <f>IF($J1150="","未盘",IF(ROUND($J1150,3)=0,"账实相符",IF(COUNTIFS(入库单!$G$4:$G$2503,$A1150,入库单!$X$4:$X$2503,"盘盈",入库单!$C$4:$C$2503,"&gt;="&amp;账期起,入库单!$C$4:$C$2503,"&lt;="&amp;账期止)+COUNTIFS(出库单!$D$4:$D$4003,$A1150,出库单!$K$4:$K$4003,"盘亏",出库单!$C$4:$C$4003,"&gt;="&amp;账期起,出库单!$C$4:$C$4003,"&lt;="&amp;账期止)&gt;0,"已调账","※差异还没调账")))</f>
        <v/>
      </c>
      <c r="Q1150" s="17" t="n"/>
      <c r="R1150" s="17" t="n"/>
    </row>
    <row r="1151">
      <c r="A1151" s="24">
        <f>IF(库存台账!$A1151="","",库存台账!$A1151)</f>
        <v/>
      </c>
      <c r="B1151" s="24">
        <f>IF($A1151="","",库存台账!$B1151)</f>
        <v/>
      </c>
      <c r="C1151" s="24">
        <f>IF($A1151="","",库存台账!$C1151)</f>
        <v/>
      </c>
      <c r="D1151" s="24">
        <f>IF($A1151="","",库存台账!$D1151)</f>
        <v/>
      </c>
      <c r="E1151" s="24">
        <f>IF($A1151="","",库存台账!$E1151)</f>
        <v/>
      </c>
      <c r="F1151" s="24">
        <f>IF($A1151="","",库存台账!$F1151)</f>
        <v/>
      </c>
      <c r="G1151" s="17" t="n"/>
      <c r="H1151" s="23" t="n"/>
      <c r="I1151" s="27">
        <f>IF($A1151="","",库存台账!$X1151)</f>
        <v/>
      </c>
      <c r="J1151" s="27">
        <f>IF(OR($A1151="",$H1151=""),"",ROUND($H1151-$I1151,3))</f>
        <v/>
      </c>
      <c r="K1151" s="26">
        <f>IF($A1151="","",库存台账!$K1151)</f>
        <v/>
      </c>
      <c r="L1151" s="26">
        <f>IF($J1151="","",ROUND($J1151*$K1151,0))</f>
        <v/>
      </c>
      <c r="M1151" s="37">
        <f>IF(OR($J1151="",$I1151=0),"",ROUND($J1151/$I1151,4))</f>
        <v/>
      </c>
      <c r="N1151" s="17" t="n"/>
      <c r="O1151" s="17" t="n"/>
      <c r="P1151" s="24">
        <f>IF($J1151="","未盘",IF(ROUND($J1151,3)=0,"账实相符",IF(COUNTIFS(入库单!$G$4:$G$2503,$A1151,入库单!$X$4:$X$2503,"盘盈",入库单!$C$4:$C$2503,"&gt;="&amp;账期起,入库单!$C$4:$C$2503,"&lt;="&amp;账期止)+COUNTIFS(出库单!$D$4:$D$4003,$A1151,出库单!$K$4:$K$4003,"盘亏",出库单!$C$4:$C$4003,"&gt;="&amp;账期起,出库单!$C$4:$C$4003,"&lt;="&amp;账期止)&gt;0,"已调账","※差异还没调账")))</f>
        <v/>
      </c>
      <c r="Q1151" s="17" t="n"/>
      <c r="R1151" s="17" t="n"/>
    </row>
    <row r="1152">
      <c r="A1152" s="24">
        <f>IF(库存台账!$A1152="","",库存台账!$A1152)</f>
        <v/>
      </c>
      <c r="B1152" s="24">
        <f>IF($A1152="","",库存台账!$B1152)</f>
        <v/>
      </c>
      <c r="C1152" s="24">
        <f>IF($A1152="","",库存台账!$C1152)</f>
        <v/>
      </c>
      <c r="D1152" s="24">
        <f>IF($A1152="","",库存台账!$D1152)</f>
        <v/>
      </c>
      <c r="E1152" s="24">
        <f>IF($A1152="","",库存台账!$E1152)</f>
        <v/>
      </c>
      <c r="F1152" s="24">
        <f>IF($A1152="","",库存台账!$F1152)</f>
        <v/>
      </c>
      <c r="G1152" s="17" t="n"/>
      <c r="H1152" s="23" t="n"/>
      <c r="I1152" s="27">
        <f>IF($A1152="","",库存台账!$X1152)</f>
        <v/>
      </c>
      <c r="J1152" s="27">
        <f>IF(OR($A1152="",$H1152=""),"",ROUND($H1152-$I1152,3))</f>
        <v/>
      </c>
      <c r="K1152" s="26">
        <f>IF($A1152="","",库存台账!$K1152)</f>
        <v/>
      </c>
      <c r="L1152" s="26">
        <f>IF($J1152="","",ROUND($J1152*$K1152,0))</f>
        <v/>
      </c>
      <c r="M1152" s="37">
        <f>IF(OR($J1152="",$I1152=0),"",ROUND($J1152/$I1152,4))</f>
        <v/>
      </c>
      <c r="N1152" s="17" t="n"/>
      <c r="O1152" s="17" t="n"/>
      <c r="P1152" s="24">
        <f>IF($J1152="","未盘",IF(ROUND($J1152,3)=0,"账实相符",IF(COUNTIFS(入库单!$G$4:$G$2503,$A1152,入库单!$X$4:$X$2503,"盘盈",入库单!$C$4:$C$2503,"&gt;="&amp;账期起,入库单!$C$4:$C$2503,"&lt;="&amp;账期止)+COUNTIFS(出库单!$D$4:$D$4003,$A1152,出库单!$K$4:$K$4003,"盘亏",出库单!$C$4:$C$4003,"&gt;="&amp;账期起,出库单!$C$4:$C$4003,"&lt;="&amp;账期止)&gt;0,"已调账","※差异还没调账")))</f>
        <v/>
      </c>
      <c r="Q1152" s="17" t="n"/>
      <c r="R1152" s="17" t="n"/>
    </row>
    <row r="1153">
      <c r="A1153" s="24">
        <f>IF(库存台账!$A1153="","",库存台账!$A1153)</f>
        <v/>
      </c>
      <c r="B1153" s="24">
        <f>IF($A1153="","",库存台账!$B1153)</f>
        <v/>
      </c>
      <c r="C1153" s="24">
        <f>IF($A1153="","",库存台账!$C1153)</f>
        <v/>
      </c>
      <c r="D1153" s="24">
        <f>IF($A1153="","",库存台账!$D1153)</f>
        <v/>
      </c>
      <c r="E1153" s="24">
        <f>IF($A1153="","",库存台账!$E1153)</f>
        <v/>
      </c>
      <c r="F1153" s="24">
        <f>IF($A1153="","",库存台账!$F1153)</f>
        <v/>
      </c>
      <c r="G1153" s="17" t="n"/>
      <c r="H1153" s="23" t="n"/>
      <c r="I1153" s="27">
        <f>IF($A1153="","",库存台账!$X1153)</f>
        <v/>
      </c>
      <c r="J1153" s="27">
        <f>IF(OR($A1153="",$H1153=""),"",ROUND($H1153-$I1153,3))</f>
        <v/>
      </c>
      <c r="K1153" s="26">
        <f>IF($A1153="","",库存台账!$K1153)</f>
        <v/>
      </c>
      <c r="L1153" s="26">
        <f>IF($J1153="","",ROUND($J1153*$K1153,0))</f>
        <v/>
      </c>
      <c r="M1153" s="37">
        <f>IF(OR($J1153="",$I1153=0),"",ROUND($J1153/$I1153,4))</f>
        <v/>
      </c>
      <c r="N1153" s="17" t="n"/>
      <c r="O1153" s="17" t="n"/>
      <c r="P1153" s="24">
        <f>IF($J1153="","未盘",IF(ROUND($J1153,3)=0,"账实相符",IF(COUNTIFS(入库单!$G$4:$G$2503,$A1153,入库单!$X$4:$X$2503,"盘盈",入库单!$C$4:$C$2503,"&gt;="&amp;账期起,入库单!$C$4:$C$2503,"&lt;="&amp;账期止)+COUNTIFS(出库单!$D$4:$D$4003,$A1153,出库单!$K$4:$K$4003,"盘亏",出库单!$C$4:$C$4003,"&gt;="&amp;账期起,出库单!$C$4:$C$4003,"&lt;="&amp;账期止)&gt;0,"已调账","※差异还没调账")))</f>
        <v/>
      </c>
      <c r="Q1153" s="17" t="n"/>
      <c r="R1153" s="17" t="n"/>
    </row>
    <row r="1154">
      <c r="A1154" s="24">
        <f>IF(库存台账!$A1154="","",库存台账!$A1154)</f>
        <v/>
      </c>
      <c r="B1154" s="24">
        <f>IF($A1154="","",库存台账!$B1154)</f>
        <v/>
      </c>
      <c r="C1154" s="24">
        <f>IF($A1154="","",库存台账!$C1154)</f>
        <v/>
      </c>
      <c r="D1154" s="24">
        <f>IF($A1154="","",库存台账!$D1154)</f>
        <v/>
      </c>
      <c r="E1154" s="24">
        <f>IF($A1154="","",库存台账!$E1154)</f>
        <v/>
      </c>
      <c r="F1154" s="24">
        <f>IF($A1154="","",库存台账!$F1154)</f>
        <v/>
      </c>
      <c r="G1154" s="17" t="n"/>
      <c r="H1154" s="23" t="n"/>
      <c r="I1154" s="27">
        <f>IF($A1154="","",库存台账!$X1154)</f>
        <v/>
      </c>
      <c r="J1154" s="27">
        <f>IF(OR($A1154="",$H1154=""),"",ROUND($H1154-$I1154,3))</f>
        <v/>
      </c>
      <c r="K1154" s="26">
        <f>IF($A1154="","",库存台账!$K1154)</f>
        <v/>
      </c>
      <c r="L1154" s="26">
        <f>IF($J1154="","",ROUND($J1154*$K1154,0))</f>
        <v/>
      </c>
      <c r="M1154" s="37">
        <f>IF(OR($J1154="",$I1154=0),"",ROUND($J1154/$I1154,4))</f>
        <v/>
      </c>
      <c r="N1154" s="17" t="n"/>
      <c r="O1154" s="17" t="n"/>
      <c r="P1154" s="24">
        <f>IF($J1154="","未盘",IF(ROUND($J1154,3)=0,"账实相符",IF(COUNTIFS(入库单!$G$4:$G$2503,$A1154,入库单!$X$4:$X$2503,"盘盈",入库单!$C$4:$C$2503,"&gt;="&amp;账期起,入库单!$C$4:$C$2503,"&lt;="&amp;账期止)+COUNTIFS(出库单!$D$4:$D$4003,$A1154,出库单!$K$4:$K$4003,"盘亏",出库单!$C$4:$C$4003,"&gt;="&amp;账期起,出库单!$C$4:$C$4003,"&lt;="&amp;账期止)&gt;0,"已调账","※差异还没调账")))</f>
        <v/>
      </c>
      <c r="Q1154" s="17" t="n"/>
      <c r="R1154" s="17" t="n"/>
    </row>
    <row r="1155">
      <c r="A1155" s="24">
        <f>IF(库存台账!$A1155="","",库存台账!$A1155)</f>
        <v/>
      </c>
      <c r="B1155" s="24">
        <f>IF($A1155="","",库存台账!$B1155)</f>
        <v/>
      </c>
      <c r="C1155" s="24">
        <f>IF($A1155="","",库存台账!$C1155)</f>
        <v/>
      </c>
      <c r="D1155" s="24">
        <f>IF($A1155="","",库存台账!$D1155)</f>
        <v/>
      </c>
      <c r="E1155" s="24">
        <f>IF($A1155="","",库存台账!$E1155)</f>
        <v/>
      </c>
      <c r="F1155" s="24">
        <f>IF($A1155="","",库存台账!$F1155)</f>
        <v/>
      </c>
      <c r="G1155" s="17" t="n"/>
      <c r="H1155" s="23" t="n"/>
      <c r="I1155" s="27">
        <f>IF($A1155="","",库存台账!$X1155)</f>
        <v/>
      </c>
      <c r="J1155" s="27">
        <f>IF(OR($A1155="",$H1155=""),"",ROUND($H1155-$I1155,3))</f>
        <v/>
      </c>
      <c r="K1155" s="26">
        <f>IF($A1155="","",库存台账!$K1155)</f>
        <v/>
      </c>
      <c r="L1155" s="26">
        <f>IF($J1155="","",ROUND($J1155*$K1155,0))</f>
        <v/>
      </c>
      <c r="M1155" s="37">
        <f>IF(OR($J1155="",$I1155=0),"",ROUND($J1155/$I1155,4))</f>
        <v/>
      </c>
      <c r="N1155" s="17" t="n"/>
      <c r="O1155" s="17" t="n"/>
      <c r="P1155" s="24">
        <f>IF($J1155="","未盘",IF(ROUND($J1155,3)=0,"账实相符",IF(COUNTIFS(入库单!$G$4:$G$2503,$A1155,入库单!$X$4:$X$2503,"盘盈",入库单!$C$4:$C$2503,"&gt;="&amp;账期起,入库单!$C$4:$C$2503,"&lt;="&amp;账期止)+COUNTIFS(出库单!$D$4:$D$4003,$A1155,出库单!$K$4:$K$4003,"盘亏",出库单!$C$4:$C$4003,"&gt;="&amp;账期起,出库单!$C$4:$C$4003,"&lt;="&amp;账期止)&gt;0,"已调账","※差异还没调账")))</f>
        <v/>
      </c>
      <c r="Q1155" s="17" t="n"/>
      <c r="R1155" s="17" t="n"/>
    </row>
    <row r="1156">
      <c r="A1156" s="24">
        <f>IF(库存台账!$A1156="","",库存台账!$A1156)</f>
        <v/>
      </c>
      <c r="B1156" s="24">
        <f>IF($A1156="","",库存台账!$B1156)</f>
        <v/>
      </c>
      <c r="C1156" s="24">
        <f>IF($A1156="","",库存台账!$C1156)</f>
        <v/>
      </c>
      <c r="D1156" s="24">
        <f>IF($A1156="","",库存台账!$D1156)</f>
        <v/>
      </c>
      <c r="E1156" s="24">
        <f>IF($A1156="","",库存台账!$E1156)</f>
        <v/>
      </c>
      <c r="F1156" s="24">
        <f>IF($A1156="","",库存台账!$F1156)</f>
        <v/>
      </c>
      <c r="G1156" s="17" t="n"/>
      <c r="H1156" s="23" t="n"/>
      <c r="I1156" s="27">
        <f>IF($A1156="","",库存台账!$X1156)</f>
        <v/>
      </c>
      <c r="J1156" s="27">
        <f>IF(OR($A1156="",$H1156=""),"",ROUND($H1156-$I1156,3))</f>
        <v/>
      </c>
      <c r="K1156" s="26">
        <f>IF($A1156="","",库存台账!$K1156)</f>
        <v/>
      </c>
      <c r="L1156" s="26">
        <f>IF($J1156="","",ROUND($J1156*$K1156,0))</f>
        <v/>
      </c>
      <c r="M1156" s="37">
        <f>IF(OR($J1156="",$I1156=0),"",ROUND($J1156/$I1156,4))</f>
        <v/>
      </c>
      <c r="N1156" s="17" t="n"/>
      <c r="O1156" s="17" t="n"/>
      <c r="P1156" s="24">
        <f>IF($J1156="","未盘",IF(ROUND($J1156,3)=0,"账实相符",IF(COUNTIFS(入库单!$G$4:$G$2503,$A1156,入库单!$X$4:$X$2503,"盘盈",入库单!$C$4:$C$2503,"&gt;="&amp;账期起,入库单!$C$4:$C$2503,"&lt;="&amp;账期止)+COUNTIFS(出库单!$D$4:$D$4003,$A1156,出库单!$K$4:$K$4003,"盘亏",出库单!$C$4:$C$4003,"&gt;="&amp;账期起,出库单!$C$4:$C$4003,"&lt;="&amp;账期止)&gt;0,"已调账","※差异还没调账")))</f>
        <v/>
      </c>
      <c r="Q1156" s="17" t="n"/>
      <c r="R1156" s="17" t="n"/>
    </row>
    <row r="1157">
      <c r="A1157" s="24">
        <f>IF(库存台账!$A1157="","",库存台账!$A1157)</f>
        <v/>
      </c>
      <c r="B1157" s="24">
        <f>IF($A1157="","",库存台账!$B1157)</f>
        <v/>
      </c>
      <c r="C1157" s="24">
        <f>IF($A1157="","",库存台账!$C1157)</f>
        <v/>
      </c>
      <c r="D1157" s="24">
        <f>IF($A1157="","",库存台账!$D1157)</f>
        <v/>
      </c>
      <c r="E1157" s="24">
        <f>IF($A1157="","",库存台账!$E1157)</f>
        <v/>
      </c>
      <c r="F1157" s="24">
        <f>IF($A1157="","",库存台账!$F1157)</f>
        <v/>
      </c>
      <c r="G1157" s="17" t="n"/>
      <c r="H1157" s="23" t="n"/>
      <c r="I1157" s="27">
        <f>IF($A1157="","",库存台账!$X1157)</f>
        <v/>
      </c>
      <c r="J1157" s="27">
        <f>IF(OR($A1157="",$H1157=""),"",ROUND($H1157-$I1157,3))</f>
        <v/>
      </c>
      <c r="K1157" s="26">
        <f>IF($A1157="","",库存台账!$K1157)</f>
        <v/>
      </c>
      <c r="L1157" s="26">
        <f>IF($J1157="","",ROUND($J1157*$K1157,0))</f>
        <v/>
      </c>
      <c r="M1157" s="37">
        <f>IF(OR($J1157="",$I1157=0),"",ROUND($J1157/$I1157,4))</f>
        <v/>
      </c>
      <c r="N1157" s="17" t="n"/>
      <c r="O1157" s="17" t="n"/>
      <c r="P1157" s="24">
        <f>IF($J1157="","未盘",IF(ROUND($J1157,3)=0,"账实相符",IF(COUNTIFS(入库单!$G$4:$G$2503,$A1157,入库单!$X$4:$X$2503,"盘盈",入库单!$C$4:$C$2503,"&gt;="&amp;账期起,入库单!$C$4:$C$2503,"&lt;="&amp;账期止)+COUNTIFS(出库单!$D$4:$D$4003,$A1157,出库单!$K$4:$K$4003,"盘亏",出库单!$C$4:$C$4003,"&gt;="&amp;账期起,出库单!$C$4:$C$4003,"&lt;="&amp;账期止)&gt;0,"已调账","※差异还没调账")))</f>
        <v/>
      </c>
      <c r="Q1157" s="17" t="n"/>
      <c r="R1157" s="17" t="n"/>
    </row>
    <row r="1158">
      <c r="A1158" s="24">
        <f>IF(库存台账!$A1158="","",库存台账!$A1158)</f>
        <v/>
      </c>
      <c r="B1158" s="24">
        <f>IF($A1158="","",库存台账!$B1158)</f>
        <v/>
      </c>
      <c r="C1158" s="24">
        <f>IF($A1158="","",库存台账!$C1158)</f>
        <v/>
      </c>
      <c r="D1158" s="24">
        <f>IF($A1158="","",库存台账!$D1158)</f>
        <v/>
      </c>
      <c r="E1158" s="24">
        <f>IF($A1158="","",库存台账!$E1158)</f>
        <v/>
      </c>
      <c r="F1158" s="24">
        <f>IF($A1158="","",库存台账!$F1158)</f>
        <v/>
      </c>
      <c r="G1158" s="17" t="n"/>
      <c r="H1158" s="23" t="n"/>
      <c r="I1158" s="27">
        <f>IF($A1158="","",库存台账!$X1158)</f>
        <v/>
      </c>
      <c r="J1158" s="27">
        <f>IF(OR($A1158="",$H1158=""),"",ROUND($H1158-$I1158,3))</f>
        <v/>
      </c>
      <c r="K1158" s="26">
        <f>IF($A1158="","",库存台账!$K1158)</f>
        <v/>
      </c>
      <c r="L1158" s="26">
        <f>IF($J1158="","",ROUND($J1158*$K1158,0))</f>
        <v/>
      </c>
      <c r="M1158" s="37">
        <f>IF(OR($J1158="",$I1158=0),"",ROUND($J1158/$I1158,4))</f>
        <v/>
      </c>
      <c r="N1158" s="17" t="n"/>
      <c r="O1158" s="17" t="n"/>
      <c r="P1158" s="24">
        <f>IF($J1158="","未盘",IF(ROUND($J1158,3)=0,"账实相符",IF(COUNTIFS(入库单!$G$4:$G$2503,$A1158,入库单!$X$4:$X$2503,"盘盈",入库单!$C$4:$C$2503,"&gt;="&amp;账期起,入库单!$C$4:$C$2503,"&lt;="&amp;账期止)+COUNTIFS(出库单!$D$4:$D$4003,$A1158,出库单!$K$4:$K$4003,"盘亏",出库单!$C$4:$C$4003,"&gt;="&amp;账期起,出库单!$C$4:$C$4003,"&lt;="&amp;账期止)&gt;0,"已调账","※差异还没调账")))</f>
        <v/>
      </c>
      <c r="Q1158" s="17" t="n"/>
      <c r="R1158" s="17" t="n"/>
    </row>
    <row r="1159">
      <c r="A1159" s="24">
        <f>IF(库存台账!$A1159="","",库存台账!$A1159)</f>
        <v/>
      </c>
      <c r="B1159" s="24">
        <f>IF($A1159="","",库存台账!$B1159)</f>
        <v/>
      </c>
      <c r="C1159" s="24">
        <f>IF($A1159="","",库存台账!$C1159)</f>
        <v/>
      </c>
      <c r="D1159" s="24">
        <f>IF($A1159="","",库存台账!$D1159)</f>
        <v/>
      </c>
      <c r="E1159" s="24">
        <f>IF($A1159="","",库存台账!$E1159)</f>
        <v/>
      </c>
      <c r="F1159" s="24">
        <f>IF($A1159="","",库存台账!$F1159)</f>
        <v/>
      </c>
      <c r="G1159" s="17" t="n"/>
      <c r="H1159" s="23" t="n"/>
      <c r="I1159" s="27">
        <f>IF($A1159="","",库存台账!$X1159)</f>
        <v/>
      </c>
      <c r="J1159" s="27">
        <f>IF(OR($A1159="",$H1159=""),"",ROUND($H1159-$I1159,3))</f>
        <v/>
      </c>
      <c r="K1159" s="26">
        <f>IF($A1159="","",库存台账!$K1159)</f>
        <v/>
      </c>
      <c r="L1159" s="26">
        <f>IF($J1159="","",ROUND($J1159*$K1159,0))</f>
        <v/>
      </c>
      <c r="M1159" s="37">
        <f>IF(OR($J1159="",$I1159=0),"",ROUND($J1159/$I1159,4))</f>
        <v/>
      </c>
      <c r="N1159" s="17" t="n"/>
      <c r="O1159" s="17" t="n"/>
      <c r="P1159" s="24">
        <f>IF($J1159="","未盘",IF(ROUND($J1159,3)=0,"账实相符",IF(COUNTIFS(入库单!$G$4:$G$2503,$A1159,入库单!$X$4:$X$2503,"盘盈",入库单!$C$4:$C$2503,"&gt;="&amp;账期起,入库单!$C$4:$C$2503,"&lt;="&amp;账期止)+COUNTIFS(出库单!$D$4:$D$4003,$A1159,出库单!$K$4:$K$4003,"盘亏",出库单!$C$4:$C$4003,"&gt;="&amp;账期起,出库单!$C$4:$C$4003,"&lt;="&amp;账期止)&gt;0,"已调账","※差异还没调账")))</f>
        <v/>
      </c>
      <c r="Q1159" s="17" t="n"/>
      <c r="R1159" s="17" t="n"/>
    </row>
    <row r="1160">
      <c r="A1160" s="24">
        <f>IF(库存台账!$A1160="","",库存台账!$A1160)</f>
        <v/>
      </c>
      <c r="B1160" s="24">
        <f>IF($A1160="","",库存台账!$B1160)</f>
        <v/>
      </c>
      <c r="C1160" s="24">
        <f>IF($A1160="","",库存台账!$C1160)</f>
        <v/>
      </c>
      <c r="D1160" s="24">
        <f>IF($A1160="","",库存台账!$D1160)</f>
        <v/>
      </c>
      <c r="E1160" s="24">
        <f>IF($A1160="","",库存台账!$E1160)</f>
        <v/>
      </c>
      <c r="F1160" s="24">
        <f>IF($A1160="","",库存台账!$F1160)</f>
        <v/>
      </c>
      <c r="G1160" s="17" t="n"/>
      <c r="H1160" s="23" t="n"/>
      <c r="I1160" s="27">
        <f>IF($A1160="","",库存台账!$X1160)</f>
        <v/>
      </c>
      <c r="J1160" s="27">
        <f>IF(OR($A1160="",$H1160=""),"",ROUND($H1160-$I1160,3))</f>
        <v/>
      </c>
      <c r="K1160" s="26">
        <f>IF($A1160="","",库存台账!$K1160)</f>
        <v/>
      </c>
      <c r="L1160" s="26">
        <f>IF($J1160="","",ROUND($J1160*$K1160,0))</f>
        <v/>
      </c>
      <c r="M1160" s="37">
        <f>IF(OR($J1160="",$I1160=0),"",ROUND($J1160/$I1160,4))</f>
        <v/>
      </c>
      <c r="N1160" s="17" t="n"/>
      <c r="O1160" s="17" t="n"/>
      <c r="P1160" s="24">
        <f>IF($J1160="","未盘",IF(ROUND($J1160,3)=0,"账实相符",IF(COUNTIFS(入库单!$G$4:$G$2503,$A1160,入库单!$X$4:$X$2503,"盘盈",入库单!$C$4:$C$2503,"&gt;="&amp;账期起,入库单!$C$4:$C$2503,"&lt;="&amp;账期止)+COUNTIFS(出库单!$D$4:$D$4003,$A1160,出库单!$K$4:$K$4003,"盘亏",出库单!$C$4:$C$4003,"&gt;="&amp;账期起,出库单!$C$4:$C$4003,"&lt;="&amp;账期止)&gt;0,"已调账","※差异还没调账")))</f>
        <v/>
      </c>
      <c r="Q1160" s="17" t="n"/>
      <c r="R1160" s="17" t="n"/>
    </row>
    <row r="1161">
      <c r="A1161" s="24">
        <f>IF(库存台账!$A1161="","",库存台账!$A1161)</f>
        <v/>
      </c>
      <c r="B1161" s="24">
        <f>IF($A1161="","",库存台账!$B1161)</f>
        <v/>
      </c>
      <c r="C1161" s="24">
        <f>IF($A1161="","",库存台账!$C1161)</f>
        <v/>
      </c>
      <c r="D1161" s="24">
        <f>IF($A1161="","",库存台账!$D1161)</f>
        <v/>
      </c>
      <c r="E1161" s="24">
        <f>IF($A1161="","",库存台账!$E1161)</f>
        <v/>
      </c>
      <c r="F1161" s="24">
        <f>IF($A1161="","",库存台账!$F1161)</f>
        <v/>
      </c>
      <c r="G1161" s="17" t="n"/>
      <c r="H1161" s="23" t="n"/>
      <c r="I1161" s="27">
        <f>IF($A1161="","",库存台账!$X1161)</f>
        <v/>
      </c>
      <c r="J1161" s="27">
        <f>IF(OR($A1161="",$H1161=""),"",ROUND($H1161-$I1161,3))</f>
        <v/>
      </c>
      <c r="K1161" s="26">
        <f>IF($A1161="","",库存台账!$K1161)</f>
        <v/>
      </c>
      <c r="L1161" s="26">
        <f>IF($J1161="","",ROUND($J1161*$K1161,0))</f>
        <v/>
      </c>
      <c r="M1161" s="37">
        <f>IF(OR($J1161="",$I1161=0),"",ROUND($J1161/$I1161,4))</f>
        <v/>
      </c>
      <c r="N1161" s="17" t="n"/>
      <c r="O1161" s="17" t="n"/>
      <c r="P1161" s="24">
        <f>IF($J1161="","未盘",IF(ROUND($J1161,3)=0,"账实相符",IF(COUNTIFS(入库单!$G$4:$G$2503,$A1161,入库单!$X$4:$X$2503,"盘盈",入库单!$C$4:$C$2503,"&gt;="&amp;账期起,入库单!$C$4:$C$2503,"&lt;="&amp;账期止)+COUNTIFS(出库单!$D$4:$D$4003,$A1161,出库单!$K$4:$K$4003,"盘亏",出库单!$C$4:$C$4003,"&gt;="&amp;账期起,出库单!$C$4:$C$4003,"&lt;="&amp;账期止)&gt;0,"已调账","※差异还没调账")))</f>
        <v/>
      </c>
      <c r="Q1161" s="17" t="n"/>
      <c r="R1161" s="17" t="n"/>
    </row>
    <row r="1162">
      <c r="A1162" s="24">
        <f>IF(库存台账!$A1162="","",库存台账!$A1162)</f>
        <v/>
      </c>
      <c r="B1162" s="24">
        <f>IF($A1162="","",库存台账!$B1162)</f>
        <v/>
      </c>
      <c r="C1162" s="24">
        <f>IF($A1162="","",库存台账!$C1162)</f>
        <v/>
      </c>
      <c r="D1162" s="24">
        <f>IF($A1162="","",库存台账!$D1162)</f>
        <v/>
      </c>
      <c r="E1162" s="24">
        <f>IF($A1162="","",库存台账!$E1162)</f>
        <v/>
      </c>
      <c r="F1162" s="24">
        <f>IF($A1162="","",库存台账!$F1162)</f>
        <v/>
      </c>
      <c r="G1162" s="17" t="n"/>
      <c r="H1162" s="23" t="n"/>
      <c r="I1162" s="27">
        <f>IF($A1162="","",库存台账!$X1162)</f>
        <v/>
      </c>
      <c r="J1162" s="27">
        <f>IF(OR($A1162="",$H1162=""),"",ROUND($H1162-$I1162,3))</f>
        <v/>
      </c>
      <c r="K1162" s="26">
        <f>IF($A1162="","",库存台账!$K1162)</f>
        <v/>
      </c>
      <c r="L1162" s="26">
        <f>IF($J1162="","",ROUND($J1162*$K1162,0))</f>
        <v/>
      </c>
      <c r="M1162" s="37">
        <f>IF(OR($J1162="",$I1162=0),"",ROUND($J1162/$I1162,4))</f>
        <v/>
      </c>
      <c r="N1162" s="17" t="n"/>
      <c r="O1162" s="17" t="n"/>
      <c r="P1162" s="24">
        <f>IF($J1162="","未盘",IF(ROUND($J1162,3)=0,"账实相符",IF(COUNTIFS(入库单!$G$4:$G$2503,$A1162,入库单!$X$4:$X$2503,"盘盈",入库单!$C$4:$C$2503,"&gt;="&amp;账期起,入库单!$C$4:$C$2503,"&lt;="&amp;账期止)+COUNTIFS(出库单!$D$4:$D$4003,$A1162,出库单!$K$4:$K$4003,"盘亏",出库单!$C$4:$C$4003,"&gt;="&amp;账期起,出库单!$C$4:$C$4003,"&lt;="&amp;账期止)&gt;0,"已调账","※差异还没调账")))</f>
        <v/>
      </c>
      <c r="Q1162" s="17" t="n"/>
      <c r="R1162" s="17" t="n"/>
    </row>
    <row r="1163">
      <c r="A1163" s="24">
        <f>IF(库存台账!$A1163="","",库存台账!$A1163)</f>
        <v/>
      </c>
      <c r="B1163" s="24">
        <f>IF($A1163="","",库存台账!$B1163)</f>
        <v/>
      </c>
      <c r="C1163" s="24">
        <f>IF($A1163="","",库存台账!$C1163)</f>
        <v/>
      </c>
      <c r="D1163" s="24">
        <f>IF($A1163="","",库存台账!$D1163)</f>
        <v/>
      </c>
      <c r="E1163" s="24">
        <f>IF($A1163="","",库存台账!$E1163)</f>
        <v/>
      </c>
      <c r="F1163" s="24">
        <f>IF($A1163="","",库存台账!$F1163)</f>
        <v/>
      </c>
      <c r="G1163" s="17" t="n"/>
      <c r="H1163" s="23" t="n"/>
      <c r="I1163" s="27">
        <f>IF($A1163="","",库存台账!$X1163)</f>
        <v/>
      </c>
      <c r="J1163" s="27">
        <f>IF(OR($A1163="",$H1163=""),"",ROUND($H1163-$I1163,3))</f>
        <v/>
      </c>
      <c r="K1163" s="26">
        <f>IF($A1163="","",库存台账!$K1163)</f>
        <v/>
      </c>
      <c r="L1163" s="26">
        <f>IF($J1163="","",ROUND($J1163*$K1163,0))</f>
        <v/>
      </c>
      <c r="M1163" s="37">
        <f>IF(OR($J1163="",$I1163=0),"",ROUND($J1163/$I1163,4))</f>
        <v/>
      </c>
      <c r="N1163" s="17" t="n"/>
      <c r="O1163" s="17" t="n"/>
      <c r="P1163" s="24">
        <f>IF($J1163="","未盘",IF(ROUND($J1163,3)=0,"账实相符",IF(COUNTIFS(入库单!$G$4:$G$2503,$A1163,入库单!$X$4:$X$2503,"盘盈",入库单!$C$4:$C$2503,"&gt;="&amp;账期起,入库单!$C$4:$C$2503,"&lt;="&amp;账期止)+COUNTIFS(出库单!$D$4:$D$4003,$A1163,出库单!$K$4:$K$4003,"盘亏",出库单!$C$4:$C$4003,"&gt;="&amp;账期起,出库单!$C$4:$C$4003,"&lt;="&amp;账期止)&gt;0,"已调账","※差异还没调账")))</f>
        <v/>
      </c>
      <c r="Q1163" s="17" t="n"/>
      <c r="R1163" s="17" t="n"/>
    </row>
    <row r="1164">
      <c r="A1164" s="24">
        <f>IF(库存台账!$A1164="","",库存台账!$A1164)</f>
        <v/>
      </c>
      <c r="B1164" s="24">
        <f>IF($A1164="","",库存台账!$B1164)</f>
        <v/>
      </c>
      <c r="C1164" s="24">
        <f>IF($A1164="","",库存台账!$C1164)</f>
        <v/>
      </c>
      <c r="D1164" s="24">
        <f>IF($A1164="","",库存台账!$D1164)</f>
        <v/>
      </c>
      <c r="E1164" s="24">
        <f>IF($A1164="","",库存台账!$E1164)</f>
        <v/>
      </c>
      <c r="F1164" s="24">
        <f>IF($A1164="","",库存台账!$F1164)</f>
        <v/>
      </c>
      <c r="G1164" s="17" t="n"/>
      <c r="H1164" s="23" t="n"/>
      <c r="I1164" s="27">
        <f>IF($A1164="","",库存台账!$X1164)</f>
        <v/>
      </c>
      <c r="J1164" s="27">
        <f>IF(OR($A1164="",$H1164=""),"",ROUND($H1164-$I1164,3))</f>
        <v/>
      </c>
      <c r="K1164" s="26">
        <f>IF($A1164="","",库存台账!$K1164)</f>
        <v/>
      </c>
      <c r="L1164" s="26">
        <f>IF($J1164="","",ROUND($J1164*$K1164,0))</f>
        <v/>
      </c>
      <c r="M1164" s="37">
        <f>IF(OR($J1164="",$I1164=0),"",ROUND($J1164/$I1164,4))</f>
        <v/>
      </c>
      <c r="N1164" s="17" t="n"/>
      <c r="O1164" s="17" t="n"/>
      <c r="P1164" s="24">
        <f>IF($J1164="","未盘",IF(ROUND($J1164,3)=0,"账实相符",IF(COUNTIFS(入库单!$G$4:$G$2503,$A1164,入库单!$X$4:$X$2503,"盘盈",入库单!$C$4:$C$2503,"&gt;="&amp;账期起,入库单!$C$4:$C$2503,"&lt;="&amp;账期止)+COUNTIFS(出库单!$D$4:$D$4003,$A1164,出库单!$K$4:$K$4003,"盘亏",出库单!$C$4:$C$4003,"&gt;="&amp;账期起,出库单!$C$4:$C$4003,"&lt;="&amp;账期止)&gt;0,"已调账","※差异还没调账")))</f>
        <v/>
      </c>
      <c r="Q1164" s="17" t="n"/>
      <c r="R1164" s="17" t="n"/>
    </row>
    <row r="1165">
      <c r="A1165" s="24">
        <f>IF(库存台账!$A1165="","",库存台账!$A1165)</f>
        <v/>
      </c>
      <c r="B1165" s="24">
        <f>IF($A1165="","",库存台账!$B1165)</f>
        <v/>
      </c>
      <c r="C1165" s="24">
        <f>IF($A1165="","",库存台账!$C1165)</f>
        <v/>
      </c>
      <c r="D1165" s="24">
        <f>IF($A1165="","",库存台账!$D1165)</f>
        <v/>
      </c>
      <c r="E1165" s="24">
        <f>IF($A1165="","",库存台账!$E1165)</f>
        <v/>
      </c>
      <c r="F1165" s="24">
        <f>IF($A1165="","",库存台账!$F1165)</f>
        <v/>
      </c>
      <c r="G1165" s="17" t="n"/>
      <c r="H1165" s="23" t="n"/>
      <c r="I1165" s="27">
        <f>IF($A1165="","",库存台账!$X1165)</f>
        <v/>
      </c>
      <c r="J1165" s="27">
        <f>IF(OR($A1165="",$H1165=""),"",ROUND($H1165-$I1165,3))</f>
        <v/>
      </c>
      <c r="K1165" s="26">
        <f>IF($A1165="","",库存台账!$K1165)</f>
        <v/>
      </c>
      <c r="L1165" s="26">
        <f>IF($J1165="","",ROUND($J1165*$K1165,0))</f>
        <v/>
      </c>
      <c r="M1165" s="37">
        <f>IF(OR($J1165="",$I1165=0),"",ROUND($J1165/$I1165,4))</f>
        <v/>
      </c>
      <c r="N1165" s="17" t="n"/>
      <c r="O1165" s="17" t="n"/>
      <c r="P1165" s="24">
        <f>IF($J1165="","未盘",IF(ROUND($J1165,3)=0,"账实相符",IF(COUNTIFS(入库单!$G$4:$G$2503,$A1165,入库单!$X$4:$X$2503,"盘盈",入库单!$C$4:$C$2503,"&gt;="&amp;账期起,入库单!$C$4:$C$2503,"&lt;="&amp;账期止)+COUNTIFS(出库单!$D$4:$D$4003,$A1165,出库单!$K$4:$K$4003,"盘亏",出库单!$C$4:$C$4003,"&gt;="&amp;账期起,出库单!$C$4:$C$4003,"&lt;="&amp;账期止)&gt;0,"已调账","※差异还没调账")))</f>
        <v/>
      </c>
      <c r="Q1165" s="17" t="n"/>
      <c r="R1165" s="17" t="n"/>
    </row>
    <row r="1166">
      <c r="A1166" s="24">
        <f>IF(库存台账!$A1166="","",库存台账!$A1166)</f>
        <v/>
      </c>
      <c r="B1166" s="24">
        <f>IF($A1166="","",库存台账!$B1166)</f>
        <v/>
      </c>
      <c r="C1166" s="24">
        <f>IF($A1166="","",库存台账!$C1166)</f>
        <v/>
      </c>
      <c r="D1166" s="24">
        <f>IF($A1166="","",库存台账!$D1166)</f>
        <v/>
      </c>
      <c r="E1166" s="24">
        <f>IF($A1166="","",库存台账!$E1166)</f>
        <v/>
      </c>
      <c r="F1166" s="24">
        <f>IF($A1166="","",库存台账!$F1166)</f>
        <v/>
      </c>
      <c r="G1166" s="17" t="n"/>
      <c r="H1166" s="23" t="n"/>
      <c r="I1166" s="27">
        <f>IF($A1166="","",库存台账!$X1166)</f>
        <v/>
      </c>
      <c r="J1166" s="27">
        <f>IF(OR($A1166="",$H1166=""),"",ROUND($H1166-$I1166,3))</f>
        <v/>
      </c>
      <c r="K1166" s="26">
        <f>IF($A1166="","",库存台账!$K1166)</f>
        <v/>
      </c>
      <c r="L1166" s="26">
        <f>IF($J1166="","",ROUND($J1166*$K1166,0))</f>
        <v/>
      </c>
      <c r="M1166" s="37">
        <f>IF(OR($J1166="",$I1166=0),"",ROUND($J1166/$I1166,4))</f>
        <v/>
      </c>
      <c r="N1166" s="17" t="n"/>
      <c r="O1166" s="17" t="n"/>
      <c r="P1166" s="24">
        <f>IF($J1166="","未盘",IF(ROUND($J1166,3)=0,"账实相符",IF(COUNTIFS(入库单!$G$4:$G$2503,$A1166,入库单!$X$4:$X$2503,"盘盈",入库单!$C$4:$C$2503,"&gt;="&amp;账期起,入库单!$C$4:$C$2503,"&lt;="&amp;账期止)+COUNTIFS(出库单!$D$4:$D$4003,$A1166,出库单!$K$4:$K$4003,"盘亏",出库单!$C$4:$C$4003,"&gt;="&amp;账期起,出库单!$C$4:$C$4003,"&lt;="&amp;账期止)&gt;0,"已调账","※差异还没调账")))</f>
        <v/>
      </c>
      <c r="Q1166" s="17" t="n"/>
      <c r="R1166" s="17" t="n"/>
    </row>
    <row r="1167">
      <c r="A1167" s="24">
        <f>IF(库存台账!$A1167="","",库存台账!$A1167)</f>
        <v/>
      </c>
      <c r="B1167" s="24">
        <f>IF($A1167="","",库存台账!$B1167)</f>
        <v/>
      </c>
      <c r="C1167" s="24">
        <f>IF($A1167="","",库存台账!$C1167)</f>
        <v/>
      </c>
      <c r="D1167" s="24">
        <f>IF($A1167="","",库存台账!$D1167)</f>
        <v/>
      </c>
      <c r="E1167" s="24">
        <f>IF($A1167="","",库存台账!$E1167)</f>
        <v/>
      </c>
      <c r="F1167" s="24">
        <f>IF($A1167="","",库存台账!$F1167)</f>
        <v/>
      </c>
      <c r="G1167" s="17" t="n"/>
      <c r="H1167" s="23" t="n"/>
      <c r="I1167" s="27">
        <f>IF($A1167="","",库存台账!$X1167)</f>
        <v/>
      </c>
      <c r="J1167" s="27">
        <f>IF(OR($A1167="",$H1167=""),"",ROUND($H1167-$I1167,3))</f>
        <v/>
      </c>
      <c r="K1167" s="26">
        <f>IF($A1167="","",库存台账!$K1167)</f>
        <v/>
      </c>
      <c r="L1167" s="26">
        <f>IF($J1167="","",ROUND($J1167*$K1167,0))</f>
        <v/>
      </c>
      <c r="M1167" s="37">
        <f>IF(OR($J1167="",$I1167=0),"",ROUND($J1167/$I1167,4))</f>
        <v/>
      </c>
      <c r="N1167" s="17" t="n"/>
      <c r="O1167" s="17" t="n"/>
      <c r="P1167" s="24">
        <f>IF($J1167="","未盘",IF(ROUND($J1167,3)=0,"账实相符",IF(COUNTIFS(入库单!$G$4:$G$2503,$A1167,入库单!$X$4:$X$2503,"盘盈",入库单!$C$4:$C$2503,"&gt;="&amp;账期起,入库单!$C$4:$C$2503,"&lt;="&amp;账期止)+COUNTIFS(出库单!$D$4:$D$4003,$A1167,出库单!$K$4:$K$4003,"盘亏",出库单!$C$4:$C$4003,"&gt;="&amp;账期起,出库单!$C$4:$C$4003,"&lt;="&amp;账期止)&gt;0,"已调账","※差异还没调账")))</f>
        <v/>
      </c>
      <c r="Q1167" s="17" t="n"/>
      <c r="R1167" s="17" t="n"/>
    </row>
    <row r="1168">
      <c r="A1168" s="24">
        <f>IF(库存台账!$A1168="","",库存台账!$A1168)</f>
        <v/>
      </c>
      <c r="B1168" s="24">
        <f>IF($A1168="","",库存台账!$B1168)</f>
        <v/>
      </c>
      <c r="C1168" s="24">
        <f>IF($A1168="","",库存台账!$C1168)</f>
        <v/>
      </c>
      <c r="D1168" s="24">
        <f>IF($A1168="","",库存台账!$D1168)</f>
        <v/>
      </c>
      <c r="E1168" s="24">
        <f>IF($A1168="","",库存台账!$E1168)</f>
        <v/>
      </c>
      <c r="F1168" s="24">
        <f>IF($A1168="","",库存台账!$F1168)</f>
        <v/>
      </c>
      <c r="G1168" s="17" t="n"/>
      <c r="H1168" s="23" t="n"/>
      <c r="I1168" s="27">
        <f>IF($A1168="","",库存台账!$X1168)</f>
        <v/>
      </c>
      <c r="J1168" s="27">
        <f>IF(OR($A1168="",$H1168=""),"",ROUND($H1168-$I1168,3))</f>
        <v/>
      </c>
      <c r="K1168" s="26">
        <f>IF($A1168="","",库存台账!$K1168)</f>
        <v/>
      </c>
      <c r="L1168" s="26">
        <f>IF($J1168="","",ROUND($J1168*$K1168,0))</f>
        <v/>
      </c>
      <c r="M1168" s="37">
        <f>IF(OR($J1168="",$I1168=0),"",ROUND($J1168/$I1168,4))</f>
        <v/>
      </c>
      <c r="N1168" s="17" t="n"/>
      <c r="O1168" s="17" t="n"/>
      <c r="P1168" s="24">
        <f>IF($J1168="","未盘",IF(ROUND($J1168,3)=0,"账实相符",IF(COUNTIFS(入库单!$G$4:$G$2503,$A1168,入库单!$X$4:$X$2503,"盘盈",入库单!$C$4:$C$2503,"&gt;="&amp;账期起,入库单!$C$4:$C$2503,"&lt;="&amp;账期止)+COUNTIFS(出库单!$D$4:$D$4003,$A1168,出库单!$K$4:$K$4003,"盘亏",出库单!$C$4:$C$4003,"&gt;="&amp;账期起,出库单!$C$4:$C$4003,"&lt;="&amp;账期止)&gt;0,"已调账","※差异还没调账")))</f>
        <v/>
      </c>
      <c r="Q1168" s="17" t="n"/>
      <c r="R1168" s="17" t="n"/>
    </row>
    <row r="1169">
      <c r="A1169" s="24">
        <f>IF(库存台账!$A1169="","",库存台账!$A1169)</f>
        <v/>
      </c>
      <c r="B1169" s="24">
        <f>IF($A1169="","",库存台账!$B1169)</f>
        <v/>
      </c>
      <c r="C1169" s="24">
        <f>IF($A1169="","",库存台账!$C1169)</f>
        <v/>
      </c>
      <c r="D1169" s="24">
        <f>IF($A1169="","",库存台账!$D1169)</f>
        <v/>
      </c>
      <c r="E1169" s="24">
        <f>IF($A1169="","",库存台账!$E1169)</f>
        <v/>
      </c>
      <c r="F1169" s="24">
        <f>IF($A1169="","",库存台账!$F1169)</f>
        <v/>
      </c>
      <c r="G1169" s="17" t="n"/>
      <c r="H1169" s="23" t="n"/>
      <c r="I1169" s="27">
        <f>IF($A1169="","",库存台账!$X1169)</f>
        <v/>
      </c>
      <c r="J1169" s="27">
        <f>IF(OR($A1169="",$H1169=""),"",ROUND($H1169-$I1169,3))</f>
        <v/>
      </c>
      <c r="K1169" s="26">
        <f>IF($A1169="","",库存台账!$K1169)</f>
        <v/>
      </c>
      <c r="L1169" s="26">
        <f>IF($J1169="","",ROUND($J1169*$K1169,0))</f>
        <v/>
      </c>
      <c r="M1169" s="37">
        <f>IF(OR($J1169="",$I1169=0),"",ROUND($J1169/$I1169,4))</f>
        <v/>
      </c>
      <c r="N1169" s="17" t="n"/>
      <c r="O1169" s="17" t="n"/>
      <c r="P1169" s="24">
        <f>IF($J1169="","未盘",IF(ROUND($J1169,3)=0,"账实相符",IF(COUNTIFS(入库单!$G$4:$G$2503,$A1169,入库单!$X$4:$X$2503,"盘盈",入库单!$C$4:$C$2503,"&gt;="&amp;账期起,入库单!$C$4:$C$2503,"&lt;="&amp;账期止)+COUNTIFS(出库单!$D$4:$D$4003,$A1169,出库单!$K$4:$K$4003,"盘亏",出库单!$C$4:$C$4003,"&gt;="&amp;账期起,出库单!$C$4:$C$4003,"&lt;="&amp;账期止)&gt;0,"已调账","※差异还没调账")))</f>
        <v/>
      </c>
      <c r="Q1169" s="17" t="n"/>
      <c r="R1169" s="17" t="n"/>
    </row>
    <row r="1170">
      <c r="A1170" s="24">
        <f>IF(库存台账!$A1170="","",库存台账!$A1170)</f>
        <v/>
      </c>
      <c r="B1170" s="24">
        <f>IF($A1170="","",库存台账!$B1170)</f>
        <v/>
      </c>
      <c r="C1170" s="24">
        <f>IF($A1170="","",库存台账!$C1170)</f>
        <v/>
      </c>
      <c r="D1170" s="24">
        <f>IF($A1170="","",库存台账!$D1170)</f>
        <v/>
      </c>
      <c r="E1170" s="24">
        <f>IF($A1170="","",库存台账!$E1170)</f>
        <v/>
      </c>
      <c r="F1170" s="24">
        <f>IF($A1170="","",库存台账!$F1170)</f>
        <v/>
      </c>
      <c r="G1170" s="17" t="n"/>
      <c r="H1170" s="23" t="n"/>
      <c r="I1170" s="27">
        <f>IF($A1170="","",库存台账!$X1170)</f>
        <v/>
      </c>
      <c r="J1170" s="27">
        <f>IF(OR($A1170="",$H1170=""),"",ROUND($H1170-$I1170,3))</f>
        <v/>
      </c>
      <c r="K1170" s="26">
        <f>IF($A1170="","",库存台账!$K1170)</f>
        <v/>
      </c>
      <c r="L1170" s="26">
        <f>IF($J1170="","",ROUND($J1170*$K1170,0))</f>
        <v/>
      </c>
      <c r="M1170" s="37">
        <f>IF(OR($J1170="",$I1170=0),"",ROUND($J1170/$I1170,4))</f>
        <v/>
      </c>
      <c r="N1170" s="17" t="n"/>
      <c r="O1170" s="17" t="n"/>
      <c r="P1170" s="24">
        <f>IF($J1170="","未盘",IF(ROUND($J1170,3)=0,"账实相符",IF(COUNTIFS(入库单!$G$4:$G$2503,$A1170,入库单!$X$4:$X$2503,"盘盈",入库单!$C$4:$C$2503,"&gt;="&amp;账期起,入库单!$C$4:$C$2503,"&lt;="&amp;账期止)+COUNTIFS(出库单!$D$4:$D$4003,$A1170,出库单!$K$4:$K$4003,"盘亏",出库单!$C$4:$C$4003,"&gt;="&amp;账期起,出库单!$C$4:$C$4003,"&lt;="&amp;账期止)&gt;0,"已调账","※差异还没调账")))</f>
        <v/>
      </c>
      <c r="Q1170" s="17" t="n"/>
      <c r="R1170" s="17" t="n"/>
    </row>
    <row r="1171">
      <c r="A1171" s="24">
        <f>IF(库存台账!$A1171="","",库存台账!$A1171)</f>
        <v/>
      </c>
      <c r="B1171" s="24">
        <f>IF($A1171="","",库存台账!$B1171)</f>
        <v/>
      </c>
      <c r="C1171" s="24">
        <f>IF($A1171="","",库存台账!$C1171)</f>
        <v/>
      </c>
      <c r="D1171" s="24">
        <f>IF($A1171="","",库存台账!$D1171)</f>
        <v/>
      </c>
      <c r="E1171" s="24">
        <f>IF($A1171="","",库存台账!$E1171)</f>
        <v/>
      </c>
      <c r="F1171" s="24">
        <f>IF($A1171="","",库存台账!$F1171)</f>
        <v/>
      </c>
      <c r="G1171" s="17" t="n"/>
      <c r="H1171" s="23" t="n"/>
      <c r="I1171" s="27">
        <f>IF($A1171="","",库存台账!$X1171)</f>
        <v/>
      </c>
      <c r="J1171" s="27">
        <f>IF(OR($A1171="",$H1171=""),"",ROUND($H1171-$I1171,3))</f>
        <v/>
      </c>
      <c r="K1171" s="26">
        <f>IF($A1171="","",库存台账!$K1171)</f>
        <v/>
      </c>
      <c r="L1171" s="26">
        <f>IF($J1171="","",ROUND($J1171*$K1171,0))</f>
        <v/>
      </c>
      <c r="M1171" s="37">
        <f>IF(OR($J1171="",$I1171=0),"",ROUND($J1171/$I1171,4))</f>
        <v/>
      </c>
      <c r="N1171" s="17" t="n"/>
      <c r="O1171" s="17" t="n"/>
      <c r="P1171" s="24">
        <f>IF($J1171="","未盘",IF(ROUND($J1171,3)=0,"账实相符",IF(COUNTIFS(入库单!$G$4:$G$2503,$A1171,入库单!$X$4:$X$2503,"盘盈",入库单!$C$4:$C$2503,"&gt;="&amp;账期起,入库单!$C$4:$C$2503,"&lt;="&amp;账期止)+COUNTIFS(出库单!$D$4:$D$4003,$A1171,出库单!$K$4:$K$4003,"盘亏",出库单!$C$4:$C$4003,"&gt;="&amp;账期起,出库单!$C$4:$C$4003,"&lt;="&amp;账期止)&gt;0,"已调账","※差异还没调账")))</f>
        <v/>
      </c>
      <c r="Q1171" s="17" t="n"/>
      <c r="R1171" s="17" t="n"/>
    </row>
    <row r="1172">
      <c r="A1172" s="24">
        <f>IF(库存台账!$A1172="","",库存台账!$A1172)</f>
        <v/>
      </c>
      <c r="B1172" s="24">
        <f>IF($A1172="","",库存台账!$B1172)</f>
        <v/>
      </c>
      <c r="C1172" s="24">
        <f>IF($A1172="","",库存台账!$C1172)</f>
        <v/>
      </c>
      <c r="D1172" s="24">
        <f>IF($A1172="","",库存台账!$D1172)</f>
        <v/>
      </c>
      <c r="E1172" s="24">
        <f>IF($A1172="","",库存台账!$E1172)</f>
        <v/>
      </c>
      <c r="F1172" s="24">
        <f>IF($A1172="","",库存台账!$F1172)</f>
        <v/>
      </c>
      <c r="G1172" s="17" t="n"/>
      <c r="H1172" s="23" t="n"/>
      <c r="I1172" s="27">
        <f>IF($A1172="","",库存台账!$X1172)</f>
        <v/>
      </c>
      <c r="J1172" s="27">
        <f>IF(OR($A1172="",$H1172=""),"",ROUND($H1172-$I1172,3))</f>
        <v/>
      </c>
      <c r="K1172" s="26">
        <f>IF($A1172="","",库存台账!$K1172)</f>
        <v/>
      </c>
      <c r="L1172" s="26">
        <f>IF($J1172="","",ROUND($J1172*$K1172,0))</f>
        <v/>
      </c>
      <c r="M1172" s="37">
        <f>IF(OR($J1172="",$I1172=0),"",ROUND($J1172/$I1172,4))</f>
        <v/>
      </c>
      <c r="N1172" s="17" t="n"/>
      <c r="O1172" s="17" t="n"/>
      <c r="P1172" s="24">
        <f>IF($J1172="","未盘",IF(ROUND($J1172,3)=0,"账实相符",IF(COUNTIFS(入库单!$G$4:$G$2503,$A1172,入库单!$X$4:$X$2503,"盘盈",入库单!$C$4:$C$2503,"&gt;="&amp;账期起,入库单!$C$4:$C$2503,"&lt;="&amp;账期止)+COUNTIFS(出库单!$D$4:$D$4003,$A1172,出库单!$K$4:$K$4003,"盘亏",出库单!$C$4:$C$4003,"&gt;="&amp;账期起,出库单!$C$4:$C$4003,"&lt;="&amp;账期止)&gt;0,"已调账","※差异还没调账")))</f>
        <v/>
      </c>
      <c r="Q1172" s="17" t="n"/>
      <c r="R1172" s="17" t="n"/>
    </row>
    <row r="1173">
      <c r="A1173" s="24">
        <f>IF(库存台账!$A1173="","",库存台账!$A1173)</f>
        <v/>
      </c>
      <c r="B1173" s="24">
        <f>IF($A1173="","",库存台账!$B1173)</f>
        <v/>
      </c>
      <c r="C1173" s="24">
        <f>IF($A1173="","",库存台账!$C1173)</f>
        <v/>
      </c>
      <c r="D1173" s="24">
        <f>IF($A1173="","",库存台账!$D1173)</f>
        <v/>
      </c>
      <c r="E1173" s="24">
        <f>IF($A1173="","",库存台账!$E1173)</f>
        <v/>
      </c>
      <c r="F1173" s="24">
        <f>IF($A1173="","",库存台账!$F1173)</f>
        <v/>
      </c>
      <c r="G1173" s="17" t="n"/>
      <c r="H1173" s="23" t="n"/>
      <c r="I1173" s="27">
        <f>IF($A1173="","",库存台账!$X1173)</f>
        <v/>
      </c>
      <c r="J1173" s="27">
        <f>IF(OR($A1173="",$H1173=""),"",ROUND($H1173-$I1173,3))</f>
        <v/>
      </c>
      <c r="K1173" s="26">
        <f>IF($A1173="","",库存台账!$K1173)</f>
        <v/>
      </c>
      <c r="L1173" s="26">
        <f>IF($J1173="","",ROUND($J1173*$K1173,0))</f>
        <v/>
      </c>
      <c r="M1173" s="37">
        <f>IF(OR($J1173="",$I1173=0),"",ROUND($J1173/$I1173,4))</f>
        <v/>
      </c>
      <c r="N1173" s="17" t="n"/>
      <c r="O1173" s="17" t="n"/>
      <c r="P1173" s="24">
        <f>IF($J1173="","未盘",IF(ROUND($J1173,3)=0,"账实相符",IF(COUNTIFS(入库单!$G$4:$G$2503,$A1173,入库单!$X$4:$X$2503,"盘盈",入库单!$C$4:$C$2503,"&gt;="&amp;账期起,入库单!$C$4:$C$2503,"&lt;="&amp;账期止)+COUNTIFS(出库单!$D$4:$D$4003,$A1173,出库单!$K$4:$K$4003,"盘亏",出库单!$C$4:$C$4003,"&gt;="&amp;账期起,出库单!$C$4:$C$4003,"&lt;="&amp;账期止)&gt;0,"已调账","※差异还没调账")))</f>
        <v/>
      </c>
      <c r="Q1173" s="17" t="n"/>
      <c r="R1173" s="17" t="n"/>
    </row>
    <row r="1174">
      <c r="A1174" s="24">
        <f>IF(库存台账!$A1174="","",库存台账!$A1174)</f>
        <v/>
      </c>
      <c r="B1174" s="24">
        <f>IF($A1174="","",库存台账!$B1174)</f>
        <v/>
      </c>
      <c r="C1174" s="24">
        <f>IF($A1174="","",库存台账!$C1174)</f>
        <v/>
      </c>
      <c r="D1174" s="24">
        <f>IF($A1174="","",库存台账!$D1174)</f>
        <v/>
      </c>
      <c r="E1174" s="24">
        <f>IF($A1174="","",库存台账!$E1174)</f>
        <v/>
      </c>
      <c r="F1174" s="24">
        <f>IF($A1174="","",库存台账!$F1174)</f>
        <v/>
      </c>
      <c r="G1174" s="17" t="n"/>
      <c r="H1174" s="23" t="n"/>
      <c r="I1174" s="27">
        <f>IF($A1174="","",库存台账!$X1174)</f>
        <v/>
      </c>
      <c r="J1174" s="27">
        <f>IF(OR($A1174="",$H1174=""),"",ROUND($H1174-$I1174,3))</f>
        <v/>
      </c>
      <c r="K1174" s="26">
        <f>IF($A1174="","",库存台账!$K1174)</f>
        <v/>
      </c>
      <c r="L1174" s="26">
        <f>IF($J1174="","",ROUND($J1174*$K1174,0))</f>
        <v/>
      </c>
      <c r="M1174" s="37">
        <f>IF(OR($J1174="",$I1174=0),"",ROUND($J1174/$I1174,4))</f>
        <v/>
      </c>
      <c r="N1174" s="17" t="n"/>
      <c r="O1174" s="17" t="n"/>
      <c r="P1174" s="24">
        <f>IF($J1174="","未盘",IF(ROUND($J1174,3)=0,"账实相符",IF(COUNTIFS(入库单!$G$4:$G$2503,$A1174,入库单!$X$4:$X$2503,"盘盈",入库单!$C$4:$C$2503,"&gt;="&amp;账期起,入库单!$C$4:$C$2503,"&lt;="&amp;账期止)+COUNTIFS(出库单!$D$4:$D$4003,$A1174,出库单!$K$4:$K$4003,"盘亏",出库单!$C$4:$C$4003,"&gt;="&amp;账期起,出库单!$C$4:$C$4003,"&lt;="&amp;账期止)&gt;0,"已调账","※差异还没调账")))</f>
        <v/>
      </c>
      <c r="Q1174" s="17" t="n"/>
      <c r="R1174" s="17" t="n"/>
    </row>
    <row r="1175">
      <c r="A1175" s="24">
        <f>IF(库存台账!$A1175="","",库存台账!$A1175)</f>
        <v/>
      </c>
      <c r="B1175" s="24">
        <f>IF($A1175="","",库存台账!$B1175)</f>
        <v/>
      </c>
      <c r="C1175" s="24">
        <f>IF($A1175="","",库存台账!$C1175)</f>
        <v/>
      </c>
      <c r="D1175" s="24">
        <f>IF($A1175="","",库存台账!$D1175)</f>
        <v/>
      </c>
      <c r="E1175" s="24">
        <f>IF($A1175="","",库存台账!$E1175)</f>
        <v/>
      </c>
      <c r="F1175" s="24">
        <f>IF($A1175="","",库存台账!$F1175)</f>
        <v/>
      </c>
      <c r="G1175" s="17" t="n"/>
      <c r="H1175" s="23" t="n"/>
      <c r="I1175" s="27">
        <f>IF($A1175="","",库存台账!$X1175)</f>
        <v/>
      </c>
      <c r="J1175" s="27">
        <f>IF(OR($A1175="",$H1175=""),"",ROUND($H1175-$I1175,3))</f>
        <v/>
      </c>
      <c r="K1175" s="26">
        <f>IF($A1175="","",库存台账!$K1175)</f>
        <v/>
      </c>
      <c r="L1175" s="26">
        <f>IF($J1175="","",ROUND($J1175*$K1175,0))</f>
        <v/>
      </c>
      <c r="M1175" s="37">
        <f>IF(OR($J1175="",$I1175=0),"",ROUND($J1175/$I1175,4))</f>
        <v/>
      </c>
      <c r="N1175" s="17" t="n"/>
      <c r="O1175" s="17" t="n"/>
      <c r="P1175" s="24">
        <f>IF($J1175="","未盘",IF(ROUND($J1175,3)=0,"账实相符",IF(COUNTIFS(入库单!$G$4:$G$2503,$A1175,入库单!$X$4:$X$2503,"盘盈",入库单!$C$4:$C$2503,"&gt;="&amp;账期起,入库单!$C$4:$C$2503,"&lt;="&amp;账期止)+COUNTIFS(出库单!$D$4:$D$4003,$A1175,出库单!$K$4:$K$4003,"盘亏",出库单!$C$4:$C$4003,"&gt;="&amp;账期起,出库单!$C$4:$C$4003,"&lt;="&amp;账期止)&gt;0,"已调账","※差异还没调账")))</f>
        <v/>
      </c>
      <c r="Q1175" s="17" t="n"/>
      <c r="R1175" s="17" t="n"/>
    </row>
    <row r="1176">
      <c r="A1176" s="24">
        <f>IF(库存台账!$A1176="","",库存台账!$A1176)</f>
        <v/>
      </c>
      <c r="B1176" s="24">
        <f>IF($A1176="","",库存台账!$B1176)</f>
        <v/>
      </c>
      <c r="C1176" s="24">
        <f>IF($A1176="","",库存台账!$C1176)</f>
        <v/>
      </c>
      <c r="D1176" s="24">
        <f>IF($A1176="","",库存台账!$D1176)</f>
        <v/>
      </c>
      <c r="E1176" s="24">
        <f>IF($A1176="","",库存台账!$E1176)</f>
        <v/>
      </c>
      <c r="F1176" s="24">
        <f>IF($A1176="","",库存台账!$F1176)</f>
        <v/>
      </c>
      <c r="G1176" s="17" t="n"/>
      <c r="H1176" s="23" t="n"/>
      <c r="I1176" s="27">
        <f>IF($A1176="","",库存台账!$X1176)</f>
        <v/>
      </c>
      <c r="J1176" s="27">
        <f>IF(OR($A1176="",$H1176=""),"",ROUND($H1176-$I1176,3))</f>
        <v/>
      </c>
      <c r="K1176" s="26">
        <f>IF($A1176="","",库存台账!$K1176)</f>
        <v/>
      </c>
      <c r="L1176" s="26">
        <f>IF($J1176="","",ROUND($J1176*$K1176,0))</f>
        <v/>
      </c>
      <c r="M1176" s="37">
        <f>IF(OR($J1176="",$I1176=0),"",ROUND($J1176/$I1176,4))</f>
        <v/>
      </c>
      <c r="N1176" s="17" t="n"/>
      <c r="O1176" s="17" t="n"/>
      <c r="P1176" s="24">
        <f>IF($J1176="","未盘",IF(ROUND($J1176,3)=0,"账实相符",IF(COUNTIFS(入库单!$G$4:$G$2503,$A1176,入库单!$X$4:$X$2503,"盘盈",入库单!$C$4:$C$2503,"&gt;="&amp;账期起,入库单!$C$4:$C$2503,"&lt;="&amp;账期止)+COUNTIFS(出库单!$D$4:$D$4003,$A1176,出库单!$K$4:$K$4003,"盘亏",出库单!$C$4:$C$4003,"&gt;="&amp;账期起,出库单!$C$4:$C$4003,"&lt;="&amp;账期止)&gt;0,"已调账","※差异还没调账")))</f>
        <v/>
      </c>
      <c r="Q1176" s="17" t="n"/>
      <c r="R1176" s="17" t="n"/>
    </row>
    <row r="1177">
      <c r="A1177" s="24">
        <f>IF(库存台账!$A1177="","",库存台账!$A1177)</f>
        <v/>
      </c>
      <c r="B1177" s="24">
        <f>IF($A1177="","",库存台账!$B1177)</f>
        <v/>
      </c>
      <c r="C1177" s="24">
        <f>IF($A1177="","",库存台账!$C1177)</f>
        <v/>
      </c>
      <c r="D1177" s="24">
        <f>IF($A1177="","",库存台账!$D1177)</f>
        <v/>
      </c>
      <c r="E1177" s="24">
        <f>IF($A1177="","",库存台账!$E1177)</f>
        <v/>
      </c>
      <c r="F1177" s="24">
        <f>IF($A1177="","",库存台账!$F1177)</f>
        <v/>
      </c>
      <c r="G1177" s="17" t="n"/>
      <c r="H1177" s="23" t="n"/>
      <c r="I1177" s="27">
        <f>IF($A1177="","",库存台账!$X1177)</f>
        <v/>
      </c>
      <c r="J1177" s="27">
        <f>IF(OR($A1177="",$H1177=""),"",ROUND($H1177-$I1177,3))</f>
        <v/>
      </c>
      <c r="K1177" s="26">
        <f>IF($A1177="","",库存台账!$K1177)</f>
        <v/>
      </c>
      <c r="L1177" s="26">
        <f>IF($J1177="","",ROUND($J1177*$K1177,0))</f>
        <v/>
      </c>
      <c r="M1177" s="37">
        <f>IF(OR($J1177="",$I1177=0),"",ROUND($J1177/$I1177,4))</f>
        <v/>
      </c>
      <c r="N1177" s="17" t="n"/>
      <c r="O1177" s="17" t="n"/>
      <c r="P1177" s="24">
        <f>IF($J1177="","未盘",IF(ROUND($J1177,3)=0,"账实相符",IF(COUNTIFS(入库单!$G$4:$G$2503,$A1177,入库单!$X$4:$X$2503,"盘盈",入库单!$C$4:$C$2503,"&gt;="&amp;账期起,入库单!$C$4:$C$2503,"&lt;="&amp;账期止)+COUNTIFS(出库单!$D$4:$D$4003,$A1177,出库单!$K$4:$K$4003,"盘亏",出库单!$C$4:$C$4003,"&gt;="&amp;账期起,出库单!$C$4:$C$4003,"&lt;="&amp;账期止)&gt;0,"已调账","※差异还没调账")))</f>
        <v/>
      </c>
      <c r="Q1177" s="17" t="n"/>
      <c r="R1177" s="17" t="n"/>
    </row>
    <row r="1178">
      <c r="A1178" s="24">
        <f>IF(库存台账!$A1178="","",库存台账!$A1178)</f>
        <v/>
      </c>
      <c r="B1178" s="24">
        <f>IF($A1178="","",库存台账!$B1178)</f>
        <v/>
      </c>
      <c r="C1178" s="24">
        <f>IF($A1178="","",库存台账!$C1178)</f>
        <v/>
      </c>
      <c r="D1178" s="24">
        <f>IF($A1178="","",库存台账!$D1178)</f>
        <v/>
      </c>
      <c r="E1178" s="24">
        <f>IF($A1178="","",库存台账!$E1178)</f>
        <v/>
      </c>
      <c r="F1178" s="24">
        <f>IF($A1178="","",库存台账!$F1178)</f>
        <v/>
      </c>
      <c r="G1178" s="17" t="n"/>
      <c r="H1178" s="23" t="n"/>
      <c r="I1178" s="27">
        <f>IF($A1178="","",库存台账!$X1178)</f>
        <v/>
      </c>
      <c r="J1178" s="27">
        <f>IF(OR($A1178="",$H1178=""),"",ROUND($H1178-$I1178,3))</f>
        <v/>
      </c>
      <c r="K1178" s="26">
        <f>IF($A1178="","",库存台账!$K1178)</f>
        <v/>
      </c>
      <c r="L1178" s="26">
        <f>IF($J1178="","",ROUND($J1178*$K1178,0))</f>
        <v/>
      </c>
      <c r="M1178" s="37">
        <f>IF(OR($J1178="",$I1178=0),"",ROUND($J1178/$I1178,4))</f>
        <v/>
      </c>
      <c r="N1178" s="17" t="n"/>
      <c r="O1178" s="17" t="n"/>
      <c r="P1178" s="24">
        <f>IF($J1178="","未盘",IF(ROUND($J1178,3)=0,"账实相符",IF(COUNTIFS(入库单!$G$4:$G$2503,$A1178,入库单!$X$4:$X$2503,"盘盈",入库单!$C$4:$C$2503,"&gt;="&amp;账期起,入库单!$C$4:$C$2503,"&lt;="&amp;账期止)+COUNTIFS(出库单!$D$4:$D$4003,$A1178,出库单!$K$4:$K$4003,"盘亏",出库单!$C$4:$C$4003,"&gt;="&amp;账期起,出库单!$C$4:$C$4003,"&lt;="&amp;账期止)&gt;0,"已调账","※差异还没调账")))</f>
        <v/>
      </c>
      <c r="Q1178" s="17" t="n"/>
      <c r="R1178" s="17" t="n"/>
    </row>
    <row r="1179">
      <c r="A1179" s="24">
        <f>IF(库存台账!$A1179="","",库存台账!$A1179)</f>
        <v/>
      </c>
      <c r="B1179" s="24">
        <f>IF($A1179="","",库存台账!$B1179)</f>
        <v/>
      </c>
      <c r="C1179" s="24">
        <f>IF($A1179="","",库存台账!$C1179)</f>
        <v/>
      </c>
      <c r="D1179" s="24">
        <f>IF($A1179="","",库存台账!$D1179)</f>
        <v/>
      </c>
      <c r="E1179" s="24">
        <f>IF($A1179="","",库存台账!$E1179)</f>
        <v/>
      </c>
      <c r="F1179" s="24">
        <f>IF($A1179="","",库存台账!$F1179)</f>
        <v/>
      </c>
      <c r="G1179" s="17" t="n"/>
      <c r="H1179" s="23" t="n"/>
      <c r="I1179" s="27">
        <f>IF($A1179="","",库存台账!$X1179)</f>
        <v/>
      </c>
      <c r="J1179" s="27">
        <f>IF(OR($A1179="",$H1179=""),"",ROUND($H1179-$I1179,3))</f>
        <v/>
      </c>
      <c r="K1179" s="26">
        <f>IF($A1179="","",库存台账!$K1179)</f>
        <v/>
      </c>
      <c r="L1179" s="26">
        <f>IF($J1179="","",ROUND($J1179*$K1179,0))</f>
        <v/>
      </c>
      <c r="M1179" s="37">
        <f>IF(OR($J1179="",$I1179=0),"",ROUND($J1179/$I1179,4))</f>
        <v/>
      </c>
      <c r="N1179" s="17" t="n"/>
      <c r="O1179" s="17" t="n"/>
      <c r="P1179" s="24">
        <f>IF($J1179="","未盘",IF(ROUND($J1179,3)=0,"账实相符",IF(COUNTIFS(入库单!$G$4:$G$2503,$A1179,入库单!$X$4:$X$2503,"盘盈",入库单!$C$4:$C$2503,"&gt;="&amp;账期起,入库单!$C$4:$C$2503,"&lt;="&amp;账期止)+COUNTIFS(出库单!$D$4:$D$4003,$A1179,出库单!$K$4:$K$4003,"盘亏",出库单!$C$4:$C$4003,"&gt;="&amp;账期起,出库单!$C$4:$C$4003,"&lt;="&amp;账期止)&gt;0,"已调账","※差异还没调账")))</f>
        <v/>
      </c>
      <c r="Q1179" s="17" t="n"/>
      <c r="R1179" s="17" t="n"/>
    </row>
    <row r="1180">
      <c r="A1180" s="24">
        <f>IF(库存台账!$A1180="","",库存台账!$A1180)</f>
        <v/>
      </c>
      <c r="B1180" s="24">
        <f>IF($A1180="","",库存台账!$B1180)</f>
        <v/>
      </c>
      <c r="C1180" s="24">
        <f>IF($A1180="","",库存台账!$C1180)</f>
        <v/>
      </c>
      <c r="D1180" s="24">
        <f>IF($A1180="","",库存台账!$D1180)</f>
        <v/>
      </c>
      <c r="E1180" s="24">
        <f>IF($A1180="","",库存台账!$E1180)</f>
        <v/>
      </c>
      <c r="F1180" s="24">
        <f>IF($A1180="","",库存台账!$F1180)</f>
        <v/>
      </c>
      <c r="G1180" s="17" t="n"/>
      <c r="H1180" s="23" t="n"/>
      <c r="I1180" s="27">
        <f>IF($A1180="","",库存台账!$X1180)</f>
        <v/>
      </c>
      <c r="J1180" s="27">
        <f>IF(OR($A1180="",$H1180=""),"",ROUND($H1180-$I1180,3))</f>
        <v/>
      </c>
      <c r="K1180" s="26">
        <f>IF($A1180="","",库存台账!$K1180)</f>
        <v/>
      </c>
      <c r="L1180" s="26">
        <f>IF($J1180="","",ROUND($J1180*$K1180,0))</f>
        <v/>
      </c>
      <c r="M1180" s="37">
        <f>IF(OR($J1180="",$I1180=0),"",ROUND($J1180/$I1180,4))</f>
        <v/>
      </c>
      <c r="N1180" s="17" t="n"/>
      <c r="O1180" s="17" t="n"/>
      <c r="P1180" s="24">
        <f>IF($J1180="","未盘",IF(ROUND($J1180,3)=0,"账实相符",IF(COUNTIFS(入库单!$G$4:$G$2503,$A1180,入库单!$X$4:$X$2503,"盘盈",入库单!$C$4:$C$2503,"&gt;="&amp;账期起,入库单!$C$4:$C$2503,"&lt;="&amp;账期止)+COUNTIFS(出库单!$D$4:$D$4003,$A1180,出库单!$K$4:$K$4003,"盘亏",出库单!$C$4:$C$4003,"&gt;="&amp;账期起,出库单!$C$4:$C$4003,"&lt;="&amp;账期止)&gt;0,"已调账","※差异还没调账")))</f>
        <v/>
      </c>
      <c r="Q1180" s="17" t="n"/>
      <c r="R1180" s="17" t="n"/>
    </row>
    <row r="1181">
      <c r="A1181" s="24">
        <f>IF(库存台账!$A1181="","",库存台账!$A1181)</f>
        <v/>
      </c>
      <c r="B1181" s="24">
        <f>IF($A1181="","",库存台账!$B1181)</f>
        <v/>
      </c>
      <c r="C1181" s="24">
        <f>IF($A1181="","",库存台账!$C1181)</f>
        <v/>
      </c>
      <c r="D1181" s="24">
        <f>IF($A1181="","",库存台账!$D1181)</f>
        <v/>
      </c>
      <c r="E1181" s="24">
        <f>IF($A1181="","",库存台账!$E1181)</f>
        <v/>
      </c>
      <c r="F1181" s="24">
        <f>IF($A1181="","",库存台账!$F1181)</f>
        <v/>
      </c>
      <c r="G1181" s="17" t="n"/>
      <c r="H1181" s="23" t="n"/>
      <c r="I1181" s="27">
        <f>IF($A1181="","",库存台账!$X1181)</f>
        <v/>
      </c>
      <c r="J1181" s="27">
        <f>IF(OR($A1181="",$H1181=""),"",ROUND($H1181-$I1181,3))</f>
        <v/>
      </c>
      <c r="K1181" s="26">
        <f>IF($A1181="","",库存台账!$K1181)</f>
        <v/>
      </c>
      <c r="L1181" s="26">
        <f>IF($J1181="","",ROUND($J1181*$K1181,0))</f>
        <v/>
      </c>
      <c r="M1181" s="37">
        <f>IF(OR($J1181="",$I1181=0),"",ROUND($J1181/$I1181,4))</f>
        <v/>
      </c>
      <c r="N1181" s="17" t="n"/>
      <c r="O1181" s="17" t="n"/>
      <c r="P1181" s="24">
        <f>IF($J1181="","未盘",IF(ROUND($J1181,3)=0,"账实相符",IF(COUNTIFS(入库单!$G$4:$G$2503,$A1181,入库单!$X$4:$X$2503,"盘盈",入库单!$C$4:$C$2503,"&gt;="&amp;账期起,入库单!$C$4:$C$2503,"&lt;="&amp;账期止)+COUNTIFS(出库单!$D$4:$D$4003,$A1181,出库单!$K$4:$K$4003,"盘亏",出库单!$C$4:$C$4003,"&gt;="&amp;账期起,出库单!$C$4:$C$4003,"&lt;="&amp;账期止)&gt;0,"已调账","※差异还没调账")))</f>
        <v/>
      </c>
      <c r="Q1181" s="17" t="n"/>
      <c r="R1181" s="17" t="n"/>
    </row>
    <row r="1182">
      <c r="A1182" s="24">
        <f>IF(库存台账!$A1182="","",库存台账!$A1182)</f>
        <v/>
      </c>
      <c r="B1182" s="24">
        <f>IF($A1182="","",库存台账!$B1182)</f>
        <v/>
      </c>
      <c r="C1182" s="24">
        <f>IF($A1182="","",库存台账!$C1182)</f>
        <v/>
      </c>
      <c r="D1182" s="24">
        <f>IF($A1182="","",库存台账!$D1182)</f>
        <v/>
      </c>
      <c r="E1182" s="24">
        <f>IF($A1182="","",库存台账!$E1182)</f>
        <v/>
      </c>
      <c r="F1182" s="24">
        <f>IF($A1182="","",库存台账!$F1182)</f>
        <v/>
      </c>
      <c r="G1182" s="17" t="n"/>
      <c r="H1182" s="23" t="n"/>
      <c r="I1182" s="27">
        <f>IF($A1182="","",库存台账!$X1182)</f>
        <v/>
      </c>
      <c r="J1182" s="27">
        <f>IF(OR($A1182="",$H1182=""),"",ROUND($H1182-$I1182,3))</f>
        <v/>
      </c>
      <c r="K1182" s="26">
        <f>IF($A1182="","",库存台账!$K1182)</f>
        <v/>
      </c>
      <c r="L1182" s="26">
        <f>IF($J1182="","",ROUND($J1182*$K1182,0))</f>
        <v/>
      </c>
      <c r="M1182" s="37">
        <f>IF(OR($J1182="",$I1182=0),"",ROUND($J1182/$I1182,4))</f>
        <v/>
      </c>
      <c r="N1182" s="17" t="n"/>
      <c r="O1182" s="17" t="n"/>
      <c r="P1182" s="24">
        <f>IF($J1182="","未盘",IF(ROUND($J1182,3)=0,"账实相符",IF(COUNTIFS(入库单!$G$4:$G$2503,$A1182,入库单!$X$4:$X$2503,"盘盈",入库单!$C$4:$C$2503,"&gt;="&amp;账期起,入库单!$C$4:$C$2503,"&lt;="&amp;账期止)+COUNTIFS(出库单!$D$4:$D$4003,$A1182,出库单!$K$4:$K$4003,"盘亏",出库单!$C$4:$C$4003,"&gt;="&amp;账期起,出库单!$C$4:$C$4003,"&lt;="&amp;账期止)&gt;0,"已调账","※差异还没调账")))</f>
        <v/>
      </c>
      <c r="Q1182" s="17" t="n"/>
      <c r="R1182" s="17" t="n"/>
    </row>
    <row r="1183">
      <c r="A1183" s="24">
        <f>IF(库存台账!$A1183="","",库存台账!$A1183)</f>
        <v/>
      </c>
      <c r="B1183" s="24">
        <f>IF($A1183="","",库存台账!$B1183)</f>
        <v/>
      </c>
      <c r="C1183" s="24">
        <f>IF($A1183="","",库存台账!$C1183)</f>
        <v/>
      </c>
      <c r="D1183" s="24">
        <f>IF($A1183="","",库存台账!$D1183)</f>
        <v/>
      </c>
      <c r="E1183" s="24">
        <f>IF($A1183="","",库存台账!$E1183)</f>
        <v/>
      </c>
      <c r="F1183" s="24">
        <f>IF($A1183="","",库存台账!$F1183)</f>
        <v/>
      </c>
      <c r="G1183" s="17" t="n"/>
      <c r="H1183" s="23" t="n"/>
      <c r="I1183" s="27">
        <f>IF($A1183="","",库存台账!$X1183)</f>
        <v/>
      </c>
      <c r="J1183" s="27">
        <f>IF(OR($A1183="",$H1183=""),"",ROUND($H1183-$I1183,3))</f>
        <v/>
      </c>
      <c r="K1183" s="26">
        <f>IF($A1183="","",库存台账!$K1183)</f>
        <v/>
      </c>
      <c r="L1183" s="26">
        <f>IF($J1183="","",ROUND($J1183*$K1183,0))</f>
        <v/>
      </c>
      <c r="M1183" s="37">
        <f>IF(OR($J1183="",$I1183=0),"",ROUND($J1183/$I1183,4))</f>
        <v/>
      </c>
      <c r="N1183" s="17" t="n"/>
      <c r="O1183" s="17" t="n"/>
      <c r="P1183" s="24">
        <f>IF($J1183="","未盘",IF(ROUND($J1183,3)=0,"账实相符",IF(COUNTIFS(入库单!$G$4:$G$2503,$A1183,入库单!$X$4:$X$2503,"盘盈",入库单!$C$4:$C$2503,"&gt;="&amp;账期起,入库单!$C$4:$C$2503,"&lt;="&amp;账期止)+COUNTIFS(出库单!$D$4:$D$4003,$A1183,出库单!$K$4:$K$4003,"盘亏",出库单!$C$4:$C$4003,"&gt;="&amp;账期起,出库单!$C$4:$C$4003,"&lt;="&amp;账期止)&gt;0,"已调账","※差异还没调账")))</f>
        <v/>
      </c>
      <c r="Q1183" s="17" t="n"/>
      <c r="R1183" s="17" t="n"/>
    </row>
    <row r="1184">
      <c r="A1184" s="24">
        <f>IF(库存台账!$A1184="","",库存台账!$A1184)</f>
        <v/>
      </c>
      <c r="B1184" s="24">
        <f>IF($A1184="","",库存台账!$B1184)</f>
        <v/>
      </c>
      <c r="C1184" s="24">
        <f>IF($A1184="","",库存台账!$C1184)</f>
        <v/>
      </c>
      <c r="D1184" s="24">
        <f>IF($A1184="","",库存台账!$D1184)</f>
        <v/>
      </c>
      <c r="E1184" s="24">
        <f>IF($A1184="","",库存台账!$E1184)</f>
        <v/>
      </c>
      <c r="F1184" s="24">
        <f>IF($A1184="","",库存台账!$F1184)</f>
        <v/>
      </c>
      <c r="G1184" s="17" t="n"/>
      <c r="H1184" s="23" t="n"/>
      <c r="I1184" s="27">
        <f>IF($A1184="","",库存台账!$X1184)</f>
        <v/>
      </c>
      <c r="J1184" s="27">
        <f>IF(OR($A1184="",$H1184=""),"",ROUND($H1184-$I1184,3))</f>
        <v/>
      </c>
      <c r="K1184" s="26">
        <f>IF($A1184="","",库存台账!$K1184)</f>
        <v/>
      </c>
      <c r="L1184" s="26">
        <f>IF($J1184="","",ROUND($J1184*$K1184,0))</f>
        <v/>
      </c>
      <c r="M1184" s="37">
        <f>IF(OR($J1184="",$I1184=0),"",ROUND($J1184/$I1184,4))</f>
        <v/>
      </c>
      <c r="N1184" s="17" t="n"/>
      <c r="O1184" s="17" t="n"/>
      <c r="P1184" s="24">
        <f>IF($J1184="","未盘",IF(ROUND($J1184,3)=0,"账实相符",IF(COUNTIFS(入库单!$G$4:$G$2503,$A1184,入库单!$X$4:$X$2503,"盘盈",入库单!$C$4:$C$2503,"&gt;="&amp;账期起,入库单!$C$4:$C$2503,"&lt;="&amp;账期止)+COUNTIFS(出库单!$D$4:$D$4003,$A1184,出库单!$K$4:$K$4003,"盘亏",出库单!$C$4:$C$4003,"&gt;="&amp;账期起,出库单!$C$4:$C$4003,"&lt;="&amp;账期止)&gt;0,"已调账","※差异还没调账")))</f>
        <v/>
      </c>
      <c r="Q1184" s="17" t="n"/>
      <c r="R1184" s="17" t="n"/>
    </row>
    <row r="1185">
      <c r="A1185" s="24">
        <f>IF(库存台账!$A1185="","",库存台账!$A1185)</f>
        <v/>
      </c>
      <c r="B1185" s="24">
        <f>IF($A1185="","",库存台账!$B1185)</f>
        <v/>
      </c>
      <c r="C1185" s="24">
        <f>IF($A1185="","",库存台账!$C1185)</f>
        <v/>
      </c>
      <c r="D1185" s="24">
        <f>IF($A1185="","",库存台账!$D1185)</f>
        <v/>
      </c>
      <c r="E1185" s="24">
        <f>IF($A1185="","",库存台账!$E1185)</f>
        <v/>
      </c>
      <c r="F1185" s="24">
        <f>IF($A1185="","",库存台账!$F1185)</f>
        <v/>
      </c>
      <c r="G1185" s="17" t="n"/>
      <c r="H1185" s="23" t="n"/>
      <c r="I1185" s="27">
        <f>IF($A1185="","",库存台账!$X1185)</f>
        <v/>
      </c>
      <c r="J1185" s="27">
        <f>IF(OR($A1185="",$H1185=""),"",ROUND($H1185-$I1185,3))</f>
        <v/>
      </c>
      <c r="K1185" s="26">
        <f>IF($A1185="","",库存台账!$K1185)</f>
        <v/>
      </c>
      <c r="L1185" s="26">
        <f>IF($J1185="","",ROUND($J1185*$K1185,0))</f>
        <v/>
      </c>
      <c r="M1185" s="37">
        <f>IF(OR($J1185="",$I1185=0),"",ROUND($J1185/$I1185,4))</f>
        <v/>
      </c>
      <c r="N1185" s="17" t="n"/>
      <c r="O1185" s="17" t="n"/>
      <c r="P1185" s="24">
        <f>IF($J1185="","未盘",IF(ROUND($J1185,3)=0,"账实相符",IF(COUNTIFS(入库单!$G$4:$G$2503,$A1185,入库单!$X$4:$X$2503,"盘盈",入库单!$C$4:$C$2503,"&gt;="&amp;账期起,入库单!$C$4:$C$2503,"&lt;="&amp;账期止)+COUNTIFS(出库单!$D$4:$D$4003,$A1185,出库单!$K$4:$K$4003,"盘亏",出库单!$C$4:$C$4003,"&gt;="&amp;账期起,出库单!$C$4:$C$4003,"&lt;="&amp;账期止)&gt;0,"已调账","※差异还没调账")))</f>
        <v/>
      </c>
      <c r="Q1185" s="17" t="n"/>
      <c r="R1185" s="17" t="n"/>
    </row>
    <row r="1186">
      <c r="A1186" s="24">
        <f>IF(库存台账!$A1186="","",库存台账!$A1186)</f>
        <v/>
      </c>
      <c r="B1186" s="24">
        <f>IF($A1186="","",库存台账!$B1186)</f>
        <v/>
      </c>
      <c r="C1186" s="24">
        <f>IF($A1186="","",库存台账!$C1186)</f>
        <v/>
      </c>
      <c r="D1186" s="24">
        <f>IF($A1186="","",库存台账!$D1186)</f>
        <v/>
      </c>
      <c r="E1186" s="24">
        <f>IF($A1186="","",库存台账!$E1186)</f>
        <v/>
      </c>
      <c r="F1186" s="24">
        <f>IF($A1186="","",库存台账!$F1186)</f>
        <v/>
      </c>
      <c r="G1186" s="17" t="n"/>
      <c r="H1186" s="23" t="n"/>
      <c r="I1186" s="27">
        <f>IF($A1186="","",库存台账!$X1186)</f>
        <v/>
      </c>
      <c r="J1186" s="27">
        <f>IF(OR($A1186="",$H1186=""),"",ROUND($H1186-$I1186,3))</f>
        <v/>
      </c>
      <c r="K1186" s="26">
        <f>IF($A1186="","",库存台账!$K1186)</f>
        <v/>
      </c>
      <c r="L1186" s="26">
        <f>IF($J1186="","",ROUND($J1186*$K1186,0))</f>
        <v/>
      </c>
      <c r="M1186" s="37">
        <f>IF(OR($J1186="",$I1186=0),"",ROUND($J1186/$I1186,4))</f>
        <v/>
      </c>
      <c r="N1186" s="17" t="n"/>
      <c r="O1186" s="17" t="n"/>
      <c r="P1186" s="24">
        <f>IF($J1186="","未盘",IF(ROUND($J1186,3)=0,"账实相符",IF(COUNTIFS(入库单!$G$4:$G$2503,$A1186,入库单!$X$4:$X$2503,"盘盈",入库单!$C$4:$C$2503,"&gt;="&amp;账期起,入库单!$C$4:$C$2503,"&lt;="&amp;账期止)+COUNTIFS(出库单!$D$4:$D$4003,$A1186,出库单!$K$4:$K$4003,"盘亏",出库单!$C$4:$C$4003,"&gt;="&amp;账期起,出库单!$C$4:$C$4003,"&lt;="&amp;账期止)&gt;0,"已调账","※差异还没调账")))</f>
        <v/>
      </c>
      <c r="Q1186" s="17" t="n"/>
      <c r="R1186" s="17" t="n"/>
    </row>
    <row r="1187">
      <c r="A1187" s="24">
        <f>IF(库存台账!$A1187="","",库存台账!$A1187)</f>
        <v/>
      </c>
      <c r="B1187" s="24">
        <f>IF($A1187="","",库存台账!$B1187)</f>
        <v/>
      </c>
      <c r="C1187" s="24">
        <f>IF($A1187="","",库存台账!$C1187)</f>
        <v/>
      </c>
      <c r="D1187" s="24">
        <f>IF($A1187="","",库存台账!$D1187)</f>
        <v/>
      </c>
      <c r="E1187" s="24">
        <f>IF($A1187="","",库存台账!$E1187)</f>
        <v/>
      </c>
      <c r="F1187" s="24">
        <f>IF($A1187="","",库存台账!$F1187)</f>
        <v/>
      </c>
      <c r="G1187" s="17" t="n"/>
      <c r="H1187" s="23" t="n"/>
      <c r="I1187" s="27">
        <f>IF($A1187="","",库存台账!$X1187)</f>
        <v/>
      </c>
      <c r="J1187" s="27">
        <f>IF(OR($A1187="",$H1187=""),"",ROUND($H1187-$I1187,3))</f>
        <v/>
      </c>
      <c r="K1187" s="26">
        <f>IF($A1187="","",库存台账!$K1187)</f>
        <v/>
      </c>
      <c r="L1187" s="26">
        <f>IF($J1187="","",ROUND($J1187*$K1187,0))</f>
        <v/>
      </c>
      <c r="M1187" s="37">
        <f>IF(OR($J1187="",$I1187=0),"",ROUND($J1187/$I1187,4))</f>
        <v/>
      </c>
      <c r="N1187" s="17" t="n"/>
      <c r="O1187" s="17" t="n"/>
      <c r="P1187" s="24">
        <f>IF($J1187="","未盘",IF(ROUND($J1187,3)=0,"账实相符",IF(COUNTIFS(入库单!$G$4:$G$2503,$A1187,入库单!$X$4:$X$2503,"盘盈",入库单!$C$4:$C$2503,"&gt;="&amp;账期起,入库单!$C$4:$C$2503,"&lt;="&amp;账期止)+COUNTIFS(出库单!$D$4:$D$4003,$A1187,出库单!$K$4:$K$4003,"盘亏",出库单!$C$4:$C$4003,"&gt;="&amp;账期起,出库单!$C$4:$C$4003,"&lt;="&amp;账期止)&gt;0,"已调账","※差异还没调账")))</f>
        <v/>
      </c>
      <c r="Q1187" s="17" t="n"/>
      <c r="R1187" s="17" t="n"/>
    </row>
    <row r="1188">
      <c r="A1188" s="24">
        <f>IF(库存台账!$A1188="","",库存台账!$A1188)</f>
        <v/>
      </c>
      <c r="B1188" s="24">
        <f>IF($A1188="","",库存台账!$B1188)</f>
        <v/>
      </c>
      <c r="C1188" s="24">
        <f>IF($A1188="","",库存台账!$C1188)</f>
        <v/>
      </c>
      <c r="D1188" s="24">
        <f>IF($A1188="","",库存台账!$D1188)</f>
        <v/>
      </c>
      <c r="E1188" s="24">
        <f>IF($A1188="","",库存台账!$E1188)</f>
        <v/>
      </c>
      <c r="F1188" s="24">
        <f>IF($A1188="","",库存台账!$F1188)</f>
        <v/>
      </c>
      <c r="G1188" s="17" t="n"/>
      <c r="H1188" s="23" t="n"/>
      <c r="I1188" s="27">
        <f>IF($A1188="","",库存台账!$X1188)</f>
        <v/>
      </c>
      <c r="J1188" s="27">
        <f>IF(OR($A1188="",$H1188=""),"",ROUND($H1188-$I1188,3))</f>
        <v/>
      </c>
      <c r="K1188" s="26">
        <f>IF($A1188="","",库存台账!$K1188)</f>
        <v/>
      </c>
      <c r="L1188" s="26">
        <f>IF($J1188="","",ROUND($J1188*$K1188,0))</f>
        <v/>
      </c>
      <c r="M1188" s="37">
        <f>IF(OR($J1188="",$I1188=0),"",ROUND($J1188/$I1188,4))</f>
        <v/>
      </c>
      <c r="N1188" s="17" t="n"/>
      <c r="O1188" s="17" t="n"/>
      <c r="P1188" s="24">
        <f>IF($J1188="","未盘",IF(ROUND($J1188,3)=0,"账实相符",IF(COUNTIFS(入库单!$G$4:$G$2503,$A1188,入库单!$X$4:$X$2503,"盘盈",入库单!$C$4:$C$2503,"&gt;="&amp;账期起,入库单!$C$4:$C$2503,"&lt;="&amp;账期止)+COUNTIFS(出库单!$D$4:$D$4003,$A1188,出库单!$K$4:$K$4003,"盘亏",出库单!$C$4:$C$4003,"&gt;="&amp;账期起,出库单!$C$4:$C$4003,"&lt;="&amp;账期止)&gt;0,"已调账","※差异还没调账")))</f>
        <v/>
      </c>
      <c r="Q1188" s="17" t="n"/>
      <c r="R1188" s="17" t="n"/>
    </row>
    <row r="1189">
      <c r="A1189" s="24">
        <f>IF(库存台账!$A1189="","",库存台账!$A1189)</f>
        <v/>
      </c>
      <c r="B1189" s="24">
        <f>IF($A1189="","",库存台账!$B1189)</f>
        <v/>
      </c>
      <c r="C1189" s="24">
        <f>IF($A1189="","",库存台账!$C1189)</f>
        <v/>
      </c>
      <c r="D1189" s="24">
        <f>IF($A1189="","",库存台账!$D1189)</f>
        <v/>
      </c>
      <c r="E1189" s="24">
        <f>IF($A1189="","",库存台账!$E1189)</f>
        <v/>
      </c>
      <c r="F1189" s="24">
        <f>IF($A1189="","",库存台账!$F1189)</f>
        <v/>
      </c>
      <c r="G1189" s="17" t="n"/>
      <c r="H1189" s="23" t="n"/>
      <c r="I1189" s="27">
        <f>IF($A1189="","",库存台账!$X1189)</f>
        <v/>
      </c>
      <c r="J1189" s="27">
        <f>IF(OR($A1189="",$H1189=""),"",ROUND($H1189-$I1189,3))</f>
        <v/>
      </c>
      <c r="K1189" s="26">
        <f>IF($A1189="","",库存台账!$K1189)</f>
        <v/>
      </c>
      <c r="L1189" s="26">
        <f>IF($J1189="","",ROUND($J1189*$K1189,0))</f>
        <v/>
      </c>
      <c r="M1189" s="37">
        <f>IF(OR($J1189="",$I1189=0),"",ROUND($J1189/$I1189,4))</f>
        <v/>
      </c>
      <c r="N1189" s="17" t="n"/>
      <c r="O1189" s="17" t="n"/>
      <c r="P1189" s="24">
        <f>IF($J1189="","未盘",IF(ROUND($J1189,3)=0,"账实相符",IF(COUNTIFS(入库单!$G$4:$G$2503,$A1189,入库单!$X$4:$X$2503,"盘盈",入库单!$C$4:$C$2503,"&gt;="&amp;账期起,入库单!$C$4:$C$2503,"&lt;="&amp;账期止)+COUNTIFS(出库单!$D$4:$D$4003,$A1189,出库单!$K$4:$K$4003,"盘亏",出库单!$C$4:$C$4003,"&gt;="&amp;账期起,出库单!$C$4:$C$4003,"&lt;="&amp;账期止)&gt;0,"已调账","※差异还没调账")))</f>
        <v/>
      </c>
      <c r="Q1189" s="17" t="n"/>
      <c r="R1189" s="17" t="n"/>
    </row>
    <row r="1190">
      <c r="A1190" s="24">
        <f>IF(库存台账!$A1190="","",库存台账!$A1190)</f>
        <v/>
      </c>
      <c r="B1190" s="24">
        <f>IF($A1190="","",库存台账!$B1190)</f>
        <v/>
      </c>
      <c r="C1190" s="24">
        <f>IF($A1190="","",库存台账!$C1190)</f>
        <v/>
      </c>
      <c r="D1190" s="24">
        <f>IF($A1190="","",库存台账!$D1190)</f>
        <v/>
      </c>
      <c r="E1190" s="24">
        <f>IF($A1190="","",库存台账!$E1190)</f>
        <v/>
      </c>
      <c r="F1190" s="24">
        <f>IF($A1190="","",库存台账!$F1190)</f>
        <v/>
      </c>
      <c r="G1190" s="17" t="n"/>
      <c r="H1190" s="23" t="n"/>
      <c r="I1190" s="27">
        <f>IF($A1190="","",库存台账!$X1190)</f>
        <v/>
      </c>
      <c r="J1190" s="27">
        <f>IF(OR($A1190="",$H1190=""),"",ROUND($H1190-$I1190,3))</f>
        <v/>
      </c>
      <c r="K1190" s="26">
        <f>IF($A1190="","",库存台账!$K1190)</f>
        <v/>
      </c>
      <c r="L1190" s="26">
        <f>IF($J1190="","",ROUND($J1190*$K1190,0))</f>
        <v/>
      </c>
      <c r="M1190" s="37">
        <f>IF(OR($J1190="",$I1190=0),"",ROUND($J1190/$I1190,4))</f>
        <v/>
      </c>
      <c r="N1190" s="17" t="n"/>
      <c r="O1190" s="17" t="n"/>
      <c r="P1190" s="24">
        <f>IF($J1190="","未盘",IF(ROUND($J1190,3)=0,"账实相符",IF(COUNTIFS(入库单!$G$4:$G$2503,$A1190,入库单!$X$4:$X$2503,"盘盈",入库单!$C$4:$C$2503,"&gt;="&amp;账期起,入库单!$C$4:$C$2503,"&lt;="&amp;账期止)+COUNTIFS(出库单!$D$4:$D$4003,$A1190,出库单!$K$4:$K$4003,"盘亏",出库单!$C$4:$C$4003,"&gt;="&amp;账期起,出库单!$C$4:$C$4003,"&lt;="&amp;账期止)&gt;0,"已调账","※差异还没调账")))</f>
        <v/>
      </c>
      <c r="Q1190" s="17" t="n"/>
      <c r="R1190" s="17" t="n"/>
    </row>
    <row r="1191">
      <c r="A1191" s="24">
        <f>IF(库存台账!$A1191="","",库存台账!$A1191)</f>
        <v/>
      </c>
      <c r="B1191" s="24">
        <f>IF($A1191="","",库存台账!$B1191)</f>
        <v/>
      </c>
      <c r="C1191" s="24">
        <f>IF($A1191="","",库存台账!$C1191)</f>
        <v/>
      </c>
      <c r="D1191" s="24">
        <f>IF($A1191="","",库存台账!$D1191)</f>
        <v/>
      </c>
      <c r="E1191" s="24">
        <f>IF($A1191="","",库存台账!$E1191)</f>
        <v/>
      </c>
      <c r="F1191" s="24">
        <f>IF($A1191="","",库存台账!$F1191)</f>
        <v/>
      </c>
      <c r="G1191" s="17" t="n"/>
      <c r="H1191" s="23" t="n"/>
      <c r="I1191" s="27">
        <f>IF($A1191="","",库存台账!$X1191)</f>
        <v/>
      </c>
      <c r="J1191" s="27">
        <f>IF(OR($A1191="",$H1191=""),"",ROUND($H1191-$I1191,3))</f>
        <v/>
      </c>
      <c r="K1191" s="26">
        <f>IF($A1191="","",库存台账!$K1191)</f>
        <v/>
      </c>
      <c r="L1191" s="26">
        <f>IF($J1191="","",ROUND($J1191*$K1191,0))</f>
        <v/>
      </c>
      <c r="M1191" s="37">
        <f>IF(OR($J1191="",$I1191=0),"",ROUND($J1191/$I1191,4))</f>
        <v/>
      </c>
      <c r="N1191" s="17" t="n"/>
      <c r="O1191" s="17" t="n"/>
      <c r="P1191" s="24">
        <f>IF($J1191="","未盘",IF(ROUND($J1191,3)=0,"账实相符",IF(COUNTIFS(入库单!$G$4:$G$2503,$A1191,入库单!$X$4:$X$2503,"盘盈",入库单!$C$4:$C$2503,"&gt;="&amp;账期起,入库单!$C$4:$C$2503,"&lt;="&amp;账期止)+COUNTIFS(出库单!$D$4:$D$4003,$A1191,出库单!$K$4:$K$4003,"盘亏",出库单!$C$4:$C$4003,"&gt;="&amp;账期起,出库单!$C$4:$C$4003,"&lt;="&amp;账期止)&gt;0,"已调账","※差异还没调账")))</f>
        <v/>
      </c>
      <c r="Q1191" s="17" t="n"/>
      <c r="R1191" s="17" t="n"/>
    </row>
    <row r="1192">
      <c r="A1192" s="24">
        <f>IF(库存台账!$A1192="","",库存台账!$A1192)</f>
        <v/>
      </c>
      <c r="B1192" s="24">
        <f>IF($A1192="","",库存台账!$B1192)</f>
        <v/>
      </c>
      <c r="C1192" s="24">
        <f>IF($A1192="","",库存台账!$C1192)</f>
        <v/>
      </c>
      <c r="D1192" s="24">
        <f>IF($A1192="","",库存台账!$D1192)</f>
        <v/>
      </c>
      <c r="E1192" s="24">
        <f>IF($A1192="","",库存台账!$E1192)</f>
        <v/>
      </c>
      <c r="F1192" s="24">
        <f>IF($A1192="","",库存台账!$F1192)</f>
        <v/>
      </c>
      <c r="G1192" s="17" t="n"/>
      <c r="H1192" s="23" t="n"/>
      <c r="I1192" s="27">
        <f>IF($A1192="","",库存台账!$X1192)</f>
        <v/>
      </c>
      <c r="J1192" s="27">
        <f>IF(OR($A1192="",$H1192=""),"",ROUND($H1192-$I1192,3))</f>
        <v/>
      </c>
      <c r="K1192" s="26">
        <f>IF($A1192="","",库存台账!$K1192)</f>
        <v/>
      </c>
      <c r="L1192" s="26">
        <f>IF($J1192="","",ROUND($J1192*$K1192,0))</f>
        <v/>
      </c>
      <c r="M1192" s="37">
        <f>IF(OR($J1192="",$I1192=0),"",ROUND($J1192/$I1192,4))</f>
        <v/>
      </c>
      <c r="N1192" s="17" t="n"/>
      <c r="O1192" s="17" t="n"/>
      <c r="P1192" s="24">
        <f>IF($J1192="","未盘",IF(ROUND($J1192,3)=0,"账实相符",IF(COUNTIFS(入库单!$G$4:$G$2503,$A1192,入库单!$X$4:$X$2503,"盘盈",入库单!$C$4:$C$2503,"&gt;="&amp;账期起,入库单!$C$4:$C$2503,"&lt;="&amp;账期止)+COUNTIFS(出库单!$D$4:$D$4003,$A1192,出库单!$K$4:$K$4003,"盘亏",出库单!$C$4:$C$4003,"&gt;="&amp;账期起,出库单!$C$4:$C$4003,"&lt;="&amp;账期止)&gt;0,"已调账","※差异还没调账")))</f>
        <v/>
      </c>
      <c r="Q1192" s="17" t="n"/>
      <c r="R1192" s="17" t="n"/>
    </row>
    <row r="1193">
      <c r="A1193" s="24">
        <f>IF(库存台账!$A1193="","",库存台账!$A1193)</f>
        <v/>
      </c>
      <c r="B1193" s="24">
        <f>IF($A1193="","",库存台账!$B1193)</f>
        <v/>
      </c>
      <c r="C1193" s="24">
        <f>IF($A1193="","",库存台账!$C1193)</f>
        <v/>
      </c>
      <c r="D1193" s="24">
        <f>IF($A1193="","",库存台账!$D1193)</f>
        <v/>
      </c>
      <c r="E1193" s="24">
        <f>IF($A1193="","",库存台账!$E1193)</f>
        <v/>
      </c>
      <c r="F1193" s="24">
        <f>IF($A1193="","",库存台账!$F1193)</f>
        <v/>
      </c>
      <c r="G1193" s="17" t="n"/>
      <c r="H1193" s="23" t="n"/>
      <c r="I1193" s="27">
        <f>IF($A1193="","",库存台账!$X1193)</f>
        <v/>
      </c>
      <c r="J1193" s="27">
        <f>IF(OR($A1193="",$H1193=""),"",ROUND($H1193-$I1193,3))</f>
        <v/>
      </c>
      <c r="K1193" s="26">
        <f>IF($A1193="","",库存台账!$K1193)</f>
        <v/>
      </c>
      <c r="L1193" s="26">
        <f>IF($J1193="","",ROUND($J1193*$K1193,0))</f>
        <v/>
      </c>
      <c r="M1193" s="37">
        <f>IF(OR($J1193="",$I1193=0),"",ROUND($J1193/$I1193,4))</f>
        <v/>
      </c>
      <c r="N1193" s="17" t="n"/>
      <c r="O1193" s="17" t="n"/>
      <c r="P1193" s="24">
        <f>IF($J1193="","未盘",IF(ROUND($J1193,3)=0,"账实相符",IF(COUNTIFS(入库单!$G$4:$G$2503,$A1193,入库单!$X$4:$X$2503,"盘盈",入库单!$C$4:$C$2503,"&gt;="&amp;账期起,入库单!$C$4:$C$2503,"&lt;="&amp;账期止)+COUNTIFS(出库单!$D$4:$D$4003,$A1193,出库单!$K$4:$K$4003,"盘亏",出库单!$C$4:$C$4003,"&gt;="&amp;账期起,出库单!$C$4:$C$4003,"&lt;="&amp;账期止)&gt;0,"已调账","※差异还没调账")))</f>
        <v/>
      </c>
      <c r="Q1193" s="17" t="n"/>
      <c r="R1193" s="17" t="n"/>
    </row>
    <row r="1194">
      <c r="A1194" s="24">
        <f>IF(库存台账!$A1194="","",库存台账!$A1194)</f>
        <v/>
      </c>
      <c r="B1194" s="24">
        <f>IF($A1194="","",库存台账!$B1194)</f>
        <v/>
      </c>
      <c r="C1194" s="24">
        <f>IF($A1194="","",库存台账!$C1194)</f>
        <v/>
      </c>
      <c r="D1194" s="24">
        <f>IF($A1194="","",库存台账!$D1194)</f>
        <v/>
      </c>
      <c r="E1194" s="24">
        <f>IF($A1194="","",库存台账!$E1194)</f>
        <v/>
      </c>
      <c r="F1194" s="24">
        <f>IF($A1194="","",库存台账!$F1194)</f>
        <v/>
      </c>
      <c r="G1194" s="17" t="n"/>
      <c r="H1194" s="23" t="n"/>
      <c r="I1194" s="27">
        <f>IF($A1194="","",库存台账!$X1194)</f>
        <v/>
      </c>
      <c r="J1194" s="27">
        <f>IF(OR($A1194="",$H1194=""),"",ROUND($H1194-$I1194,3))</f>
        <v/>
      </c>
      <c r="K1194" s="26">
        <f>IF($A1194="","",库存台账!$K1194)</f>
        <v/>
      </c>
      <c r="L1194" s="26">
        <f>IF($J1194="","",ROUND($J1194*$K1194,0))</f>
        <v/>
      </c>
      <c r="M1194" s="37">
        <f>IF(OR($J1194="",$I1194=0),"",ROUND($J1194/$I1194,4))</f>
        <v/>
      </c>
      <c r="N1194" s="17" t="n"/>
      <c r="O1194" s="17" t="n"/>
      <c r="P1194" s="24">
        <f>IF($J1194="","未盘",IF(ROUND($J1194,3)=0,"账实相符",IF(COUNTIFS(入库单!$G$4:$G$2503,$A1194,入库单!$X$4:$X$2503,"盘盈",入库单!$C$4:$C$2503,"&gt;="&amp;账期起,入库单!$C$4:$C$2503,"&lt;="&amp;账期止)+COUNTIFS(出库单!$D$4:$D$4003,$A1194,出库单!$K$4:$K$4003,"盘亏",出库单!$C$4:$C$4003,"&gt;="&amp;账期起,出库单!$C$4:$C$4003,"&lt;="&amp;账期止)&gt;0,"已调账","※差异还没调账")))</f>
        <v/>
      </c>
      <c r="Q1194" s="17" t="n"/>
      <c r="R1194" s="17" t="n"/>
    </row>
    <row r="1195">
      <c r="A1195" s="24">
        <f>IF(库存台账!$A1195="","",库存台账!$A1195)</f>
        <v/>
      </c>
      <c r="B1195" s="24">
        <f>IF($A1195="","",库存台账!$B1195)</f>
        <v/>
      </c>
      <c r="C1195" s="24">
        <f>IF($A1195="","",库存台账!$C1195)</f>
        <v/>
      </c>
      <c r="D1195" s="24">
        <f>IF($A1195="","",库存台账!$D1195)</f>
        <v/>
      </c>
      <c r="E1195" s="24">
        <f>IF($A1195="","",库存台账!$E1195)</f>
        <v/>
      </c>
      <c r="F1195" s="24">
        <f>IF($A1195="","",库存台账!$F1195)</f>
        <v/>
      </c>
      <c r="G1195" s="17" t="n"/>
      <c r="H1195" s="23" t="n"/>
      <c r="I1195" s="27">
        <f>IF($A1195="","",库存台账!$X1195)</f>
        <v/>
      </c>
      <c r="J1195" s="27">
        <f>IF(OR($A1195="",$H1195=""),"",ROUND($H1195-$I1195,3))</f>
        <v/>
      </c>
      <c r="K1195" s="26">
        <f>IF($A1195="","",库存台账!$K1195)</f>
        <v/>
      </c>
      <c r="L1195" s="26">
        <f>IF($J1195="","",ROUND($J1195*$K1195,0))</f>
        <v/>
      </c>
      <c r="M1195" s="37">
        <f>IF(OR($J1195="",$I1195=0),"",ROUND($J1195/$I1195,4))</f>
        <v/>
      </c>
      <c r="N1195" s="17" t="n"/>
      <c r="O1195" s="17" t="n"/>
      <c r="P1195" s="24">
        <f>IF($J1195="","未盘",IF(ROUND($J1195,3)=0,"账实相符",IF(COUNTIFS(入库单!$G$4:$G$2503,$A1195,入库单!$X$4:$X$2503,"盘盈",入库单!$C$4:$C$2503,"&gt;="&amp;账期起,入库单!$C$4:$C$2503,"&lt;="&amp;账期止)+COUNTIFS(出库单!$D$4:$D$4003,$A1195,出库单!$K$4:$K$4003,"盘亏",出库单!$C$4:$C$4003,"&gt;="&amp;账期起,出库单!$C$4:$C$4003,"&lt;="&amp;账期止)&gt;0,"已调账","※差异还没调账")))</f>
        <v/>
      </c>
      <c r="Q1195" s="17" t="n"/>
      <c r="R1195" s="17" t="n"/>
    </row>
    <row r="1196">
      <c r="A1196" s="24">
        <f>IF(库存台账!$A1196="","",库存台账!$A1196)</f>
        <v/>
      </c>
      <c r="B1196" s="24">
        <f>IF($A1196="","",库存台账!$B1196)</f>
        <v/>
      </c>
      <c r="C1196" s="24">
        <f>IF($A1196="","",库存台账!$C1196)</f>
        <v/>
      </c>
      <c r="D1196" s="24">
        <f>IF($A1196="","",库存台账!$D1196)</f>
        <v/>
      </c>
      <c r="E1196" s="24">
        <f>IF($A1196="","",库存台账!$E1196)</f>
        <v/>
      </c>
      <c r="F1196" s="24">
        <f>IF($A1196="","",库存台账!$F1196)</f>
        <v/>
      </c>
      <c r="G1196" s="17" t="n"/>
      <c r="H1196" s="23" t="n"/>
      <c r="I1196" s="27">
        <f>IF($A1196="","",库存台账!$X1196)</f>
        <v/>
      </c>
      <c r="J1196" s="27">
        <f>IF(OR($A1196="",$H1196=""),"",ROUND($H1196-$I1196,3))</f>
        <v/>
      </c>
      <c r="K1196" s="26">
        <f>IF($A1196="","",库存台账!$K1196)</f>
        <v/>
      </c>
      <c r="L1196" s="26">
        <f>IF($J1196="","",ROUND($J1196*$K1196,0))</f>
        <v/>
      </c>
      <c r="M1196" s="37">
        <f>IF(OR($J1196="",$I1196=0),"",ROUND($J1196/$I1196,4))</f>
        <v/>
      </c>
      <c r="N1196" s="17" t="n"/>
      <c r="O1196" s="17" t="n"/>
      <c r="P1196" s="24">
        <f>IF($J1196="","未盘",IF(ROUND($J1196,3)=0,"账实相符",IF(COUNTIFS(入库单!$G$4:$G$2503,$A1196,入库单!$X$4:$X$2503,"盘盈",入库单!$C$4:$C$2503,"&gt;="&amp;账期起,入库单!$C$4:$C$2503,"&lt;="&amp;账期止)+COUNTIFS(出库单!$D$4:$D$4003,$A1196,出库单!$K$4:$K$4003,"盘亏",出库单!$C$4:$C$4003,"&gt;="&amp;账期起,出库单!$C$4:$C$4003,"&lt;="&amp;账期止)&gt;0,"已调账","※差异还没调账")))</f>
        <v/>
      </c>
      <c r="Q1196" s="17" t="n"/>
      <c r="R1196" s="17" t="n"/>
    </row>
    <row r="1197">
      <c r="A1197" s="24">
        <f>IF(库存台账!$A1197="","",库存台账!$A1197)</f>
        <v/>
      </c>
      <c r="B1197" s="24">
        <f>IF($A1197="","",库存台账!$B1197)</f>
        <v/>
      </c>
      <c r="C1197" s="24">
        <f>IF($A1197="","",库存台账!$C1197)</f>
        <v/>
      </c>
      <c r="D1197" s="24">
        <f>IF($A1197="","",库存台账!$D1197)</f>
        <v/>
      </c>
      <c r="E1197" s="24">
        <f>IF($A1197="","",库存台账!$E1197)</f>
        <v/>
      </c>
      <c r="F1197" s="24">
        <f>IF($A1197="","",库存台账!$F1197)</f>
        <v/>
      </c>
      <c r="G1197" s="17" t="n"/>
      <c r="H1197" s="23" t="n"/>
      <c r="I1197" s="27">
        <f>IF($A1197="","",库存台账!$X1197)</f>
        <v/>
      </c>
      <c r="J1197" s="27">
        <f>IF(OR($A1197="",$H1197=""),"",ROUND($H1197-$I1197,3))</f>
        <v/>
      </c>
      <c r="K1197" s="26">
        <f>IF($A1197="","",库存台账!$K1197)</f>
        <v/>
      </c>
      <c r="L1197" s="26">
        <f>IF($J1197="","",ROUND($J1197*$K1197,0))</f>
        <v/>
      </c>
      <c r="M1197" s="37">
        <f>IF(OR($J1197="",$I1197=0),"",ROUND($J1197/$I1197,4))</f>
        <v/>
      </c>
      <c r="N1197" s="17" t="n"/>
      <c r="O1197" s="17" t="n"/>
      <c r="P1197" s="24">
        <f>IF($J1197="","未盘",IF(ROUND($J1197,3)=0,"账实相符",IF(COUNTIFS(入库单!$G$4:$G$2503,$A1197,入库单!$X$4:$X$2503,"盘盈",入库单!$C$4:$C$2503,"&gt;="&amp;账期起,入库单!$C$4:$C$2503,"&lt;="&amp;账期止)+COUNTIFS(出库单!$D$4:$D$4003,$A1197,出库单!$K$4:$K$4003,"盘亏",出库单!$C$4:$C$4003,"&gt;="&amp;账期起,出库单!$C$4:$C$4003,"&lt;="&amp;账期止)&gt;0,"已调账","※差异还没调账")))</f>
        <v/>
      </c>
      <c r="Q1197" s="17" t="n"/>
      <c r="R1197" s="17" t="n"/>
    </row>
    <row r="1198">
      <c r="A1198" s="24">
        <f>IF(库存台账!$A1198="","",库存台账!$A1198)</f>
        <v/>
      </c>
      <c r="B1198" s="24">
        <f>IF($A1198="","",库存台账!$B1198)</f>
        <v/>
      </c>
      <c r="C1198" s="24">
        <f>IF($A1198="","",库存台账!$C1198)</f>
        <v/>
      </c>
      <c r="D1198" s="24">
        <f>IF($A1198="","",库存台账!$D1198)</f>
        <v/>
      </c>
      <c r="E1198" s="24">
        <f>IF($A1198="","",库存台账!$E1198)</f>
        <v/>
      </c>
      <c r="F1198" s="24">
        <f>IF($A1198="","",库存台账!$F1198)</f>
        <v/>
      </c>
      <c r="G1198" s="17" t="n"/>
      <c r="H1198" s="23" t="n"/>
      <c r="I1198" s="27">
        <f>IF($A1198="","",库存台账!$X1198)</f>
        <v/>
      </c>
      <c r="J1198" s="27">
        <f>IF(OR($A1198="",$H1198=""),"",ROUND($H1198-$I1198,3))</f>
        <v/>
      </c>
      <c r="K1198" s="26">
        <f>IF($A1198="","",库存台账!$K1198)</f>
        <v/>
      </c>
      <c r="L1198" s="26">
        <f>IF($J1198="","",ROUND($J1198*$K1198,0))</f>
        <v/>
      </c>
      <c r="M1198" s="37">
        <f>IF(OR($J1198="",$I1198=0),"",ROUND($J1198/$I1198,4))</f>
        <v/>
      </c>
      <c r="N1198" s="17" t="n"/>
      <c r="O1198" s="17" t="n"/>
      <c r="P1198" s="24">
        <f>IF($J1198="","未盘",IF(ROUND($J1198,3)=0,"账实相符",IF(COUNTIFS(入库单!$G$4:$G$2503,$A1198,入库单!$X$4:$X$2503,"盘盈",入库单!$C$4:$C$2503,"&gt;="&amp;账期起,入库单!$C$4:$C$2503,"&lt;="&amp;账期止)+COUNTIFS(出库单!$D$4:$D$4003,$A1198,出库单!$K$4:$K$4003,"盘亏",出库单!$C$4:$C$4003,"&gt;="&amp;账期起,出库单!$C$4:$C$4003,"&lt;="&amp;账期止)&gt;0,"已调账","※差异还没调账")))</f>
        <v/>
      </c>
      <c r="Q1198" s="17" t="n"/>
      <c r="R1198" s="17" t="n"/>
    </row>
    <row r="1199">
      <c r="A1199" s="24">
        <f>IF(库存台账!$A1199="","",库存台账!$A1199)</f>
        <v/>
      </c>
      <c r="B1199" s="24">
        <f>IF($A1199="","",库存台账!$B1199)</f>
        <v/>
      </c>
      <c r="C1199" s="24">
        <f>IF($A1199="","",库存台账!$C1199)</f>
        <v/>
      </c>
      <c r="D1199" s="24">
        <f>IF($A1199="","",库存台账!$D1199)</f>
        <v/>
      </c>
      <c r="E1199" s="24">
        <f>IF($A1199="","",库存台账!$E1199)</f>
        <v/>
      </c>
      <c r="F1199" s="24">
        <f>IF($A1199="","",库存台账!$F1199)</f>
        <v/>
      </c>
      <c r="G1199" s="17" t="n"/>
      <c r="H1199" s="23" t="n"/>
      <c r="I1199" s="27">
        <f>IF($A1199="","",库存台账!$X1199)</f>
        <v/>
      </c>
      <c r="J1199" s="27">
        <f>IF(OR($A1199="",$H1199=""),"",ROUND($H1199-$I1199,3))</f>
        <v/>
      </c>
      <c r="K1199" s="26">
        <f>IF($A1199="","",库存台账!$K1199)</f>
        <v/>
      </c>
      <c r="L1199" s="26">
        <f>IF($J1199="","",ROUND($J1199*$K1199,0))</f>
        <v/>
      </c>
      <c r="M1199" s="37">
        <f>IF(OR($J1199="",$I1199=0),"",ROUND($J1199/$I1199,4))</f>
        <v/>
      </c>
      <c r="N1199" s="17" t="n"/>
      <c r="O1199" s="17" t="n"/>
      <c r="P1199" s="24">
        <f>IF($J1199="","未盘",IF(ROUND($J1199,3)=0,"账实相符",IF(COUNTIFS(入库单!$G$4:$G$2503,$A1199,入库单!$X$4:$X$2503,"盘盈",入库单!$C$4:$C$2503,"&gt;="&amp;账期起,入库单!$C$4:$C$2503,"&lt;="&amp;账期止)+COUNTIFS(出库单!$D$4:$D$4003,$A1199,出库单!$K$4:$K$4003,"盘亏",出库单!$C$4:$C$4003,"&gt;="&amp;账期起,出库单!$C$4:$C$4003,"&lt;="&amp;账期止)&gt;0,"已调账","※差异还没调账")))</f>
        <v/>
      </c>
      <c r="Q1199" s="17" t="n"/>
      <c r="R1199" s="17" t="n"/>
    </row>
    <row r="1200">
      <c r="A1200" s="24">
        <f>IF(库存台账!$A1200="","",库存台账!$A1200)</f>
        <v/>
      </c>
      <c r="B1200" s="24">
        <f>IF($A1200="","",库存台账!$B1200)</f>
        <v/>
      </c>
      <c r="C1200" s="24">
        <f>IF($A1200="","",库存台账!$C1200)</f>
        <v/>
      </c>
      <c r="D1200" s="24">
        <f>IF($A1200="","",库存台账!$D1200)</f>
        <v/>
      </c>
      <c r="E1200" s="24">
        <f>IF($A1200="","",库存台账!$E1200)</f>
        <v/>
      </c>
      <c r="F1200" s="24">
        <f>IF($A1200="","",库存台账!$F1200)</f>
        <v/>
      </c>
      <c r="G1200" s="17" t="n"/>
      <c r="H1200" s="23" t="n"/>
      <c r="I1200" s="27">
        <f>IF($A1200="","",库存台账!$X1200)</f>
        <v/>
      </c>
      <c r="J1200" s="27">
        <f>IF(OR($A1200="",$H1200=""),"",ROUND($H1200-$I1200,3))</f>
        <v/>
      </c>
      <c r="K1200" s="26">
        <f>IF($A1200="","",库存台账!$K1200)</f>
        <v/>
      </c>
      <c r="L1200" s="26">
        <f>IF($J1200="","",ROUND($J1200*$K1200,0))</f>
        <v/>
      </c>
      <c r="M1200" s="37">
        <f>IF(OR($J1200="",$I1200=0),"",ROUND($J1200/$I1200,4))</f>
        <v/>
      </c>
      <c r="N1200" s="17" t="n"/>
      <c r="O1200" s="17" t="n"/>
      <c r="P1200" s="24">
        <f>IF($J1200="","未盘",IF(ROUND($J1200,3)=0,"账实相符",IF(COUNTIFS(入库单!$G$4:$G$2503,$A1200,入库单!$X$4:$X$2503,"盘盈",入库单!$C$4:$C$2503,"&gt;="&amp;账期起,入库单!$C$4:$C$2503,"&lt;="&amp;账期止)+COUNTIFS(出库单!$D$4:$D$4003,$A1200,出库单!$K$4:$K$4003,"盘亏",出库单!$C$4:$C$4003,"&gt;="&amp;账期起,出库单!$C$4:$C$4003,"&lt;="&amp;账期止)&gt;0,"已调账","※差异还没调账")))</f>
        <v/>
      </c>
      <c r="Q1200" s="17" t="n"/>
      <c r="R1200" s="17" t="n"/>
    </row>
    <row r="1201">
      <c r="A1201" s="24">
        <f>IF(库存台账!$A1201="","",库存台账!$A1201)</f>
        <v/>
      </c>
      <c r="B1201" s="24">
        <f>IF($A1201="","",库存台账!$B1201)</f>
        <v/>
      </c>
      <c r="C1201" s="24">
        <f>IF($A1201="","",库存台账!$C1201)</f>
        <v/>
      </c>
      <c r="D1201" s="24">
        <f>IF($A1201="","",库存台账!$D1201)</f>
        <v/>
      </c>
      <c r="E1201" s="24">
        <f>IF($A1201="","",库存台账!$E1201)</f>
        <v/>
      </c>
      <c r="F1201" s="24">
        <f>IF($A1201="","",库存台账!$F1201)</f>
        <v/>
      </c>
      <c r="G1201" s="17" t="n"/>
      <c r="H1201" s="23" t="n"/>
      <c r="I1201" s="27">
        <f>IF($A1201="","",库存台账!$X1201)</f>
        <v/>
      </c>
      <c r="J1201" s="27">
        <f>IF(OR($A1201="",$H1201=""),"",ROUND($H1201-$I1201,3))</f>
        <v/>
      </c>
      <c r="K1201" s="26">
        <f>IF($A1201="","",库存台账!$K1201)</f>
        <v/>
      </c>
      <c r="L1201" s="26">
        <f>IF($J1201="","",ROUND($J1201*$K1201,0))</f>
        <v/>
      </c>
      <c r="M1201" s="37">
        <f>IF(OR($J1201="",$I1201=0),"",ROUND($J1201/$I1201,4))</f>
        <v/>
      </c>
      <c r="N1201" s="17" t="n"/>
      <c r="O1201" s="17" t="n"/>
      <c r="P1201" s="24">
        <f>IF($J1201="","未盘",IF(ROUND($J1201,3)=0,"账实相符",IF(COUNTIFS(入库单!$G$4:$G$2503,$A1201,入库单!$X$4:$X$2503,"盘盈",入库单!$C$4:$C$2503,"&gt;="&amp;账期起,入库单!$C$4:$C$2503,"&lt;="&amp;账期止)+COUNTIFS(出库单!$D$4:$D$4003,$A1201,出库单!$K$4:$K$4003,"盘亏",出库单!$C$4:$C$4003,"&gt;="&amp;账期起,出库单!$C$4:$C$4003,"&lt;="&amp;账期止)&gt;0,"已调账","※差异还没调账")))</f>
        <v/>
      </c>
      <c r="Q1201" s="17" t="n"/>
      <c r="R1201" s="17" t="n"/>
    </row>
    <row r="1202">
      <c r="A1202" s="24">
        <f>IF(库存台账!$A1202="","",库存台账!$A1202)</f>
        <v/>
      </c>
      <c r="B1202" s="24">
        <f>IF($A1202="","",库存台账!$B1202)</f>
        <v/>
      </c>
      <c r="C1202" s="24">
        <f>IF($A1202="","",库存台账!$C1202)</f>
        <v/>
      </c>
      <c r="D1202" s="24">
        <f>IF($A1202="","",库存台账!$D1202)</f>
        <v/>
      </c>
      <c r="E1202" s="24">
        <f>IF($A1202="","",库存台账!$E1202)</f>
        <v/>
      </c>
      <c r="F1202" s="24">
        <f>IF($A1202="","",库存台账!$F1202)</f>
        <v/>
      </c>
      <c r="G1202" s="17" t="n"/>
      <c r="H1202" s="23" t="n"/>
      <c r="I1202" s="27">
        <f>IF($A1202="","",库存台账!$X1202)</f>
        <v/>
      </c>
      <c r="J1202" s="27">
        <f>IF(OR($A1202="",$H1202=""),"",ROUND($H1202-$I1202,3))</f>
        <v/>
      </c>
      <c r="K1202" s="26">
        <f>IF($A1202="","",库存台账!$K1202)</f>
        <v/>
      </c>
      <c r="L1202" s="26">
        <f>IF($J1202="","",ROUND($J1202*$K1202,0))</f>
        <v/>
      </c>
      <c r="M1202" s="37">
        <f>IF(OR($J1202="",$I1202=0),"",ROUND($J1202/$I1202,4))</f>
        <v/>
      </c>
      <c r="N1202" s="17" t="n"/>
      <c r="O1202" s="17" t="n"/>
      <c r="P1202" s="24">
        <f>IF($J1202="","未盘",IF(ROUND($J1202,3)=0,"账实相符",IF(COUNTIFS(入库单!$G$4:$G$2503,$A1202,入库单!$X$4:$X$2503,"盘盈",入库单!$C$4:$C$2503,"&gt;="&amp;账期起,入库单!$C$4:$C$2503,"&lt;="&amp;账期止)+COUNTIFS(出库单!$D$4:$D$4003,$A1202,出库单!$K$4:$K$4003,"盘亏",出库单!$C$4:$C$4003,"&gt;="&amp;账期起,出库单!$C$4:$C$4003,"&lt;="&amp;账期止)&gt;0,"已调账","※差异还没调账")))</f>
        <v/>
      </c>
      <c r="Q1202" s="17" t="n"/>
      <c r="R1202" s="17" t="n"/>
    </row>
    <row r="1203">
      <c r="A1203" s="24">
        <f>IF(库存台账!$A1203="","",库存台账!$A1203)</f>
        <v/>
      </c>
      <c r="B1203" s="24">
        <f>IF($A1203="","",库存台账!$B1203)</f>
        <v/>
      </c>
      <c r="C1203" s="24">
        <f>IF($A1203="","",库存台账!$C1203)</f>
        <v/>
      </c>
      <c r="D1203" s="24">
        <f>IF($A1203="","",库存台账!$D1203)</f>
        <v/>
      </c>
      <c r="E1203" s="24">
        <f>IF($A1203="","",库存台账!$E1203)</f>
        <v/>
      </c>
      <c r="F1203" s="24">
        <f>IF($A1203="","",库存台账!$F1203)</f>
        <v/>
      </c>
      <c r="G1203" s="17" t="n"/>
      <c r="H1203" s="23" t="n"/>
      <c r="I1203" s="27">
        <f>IF($A1203="","",库存台账!$X1203)</f>
        <v/>
      </c>
      <c r="J1203" s="27">
        <f>IF(OR($A1203="",$H1203=""),"",ROUND($H1203-$I1203,3))</f>
        <v/>
      </c>
      <c r="K1203" s="26">
        <f>IF($A1203="","",库存台账!$K1203)</f>
        <v/>
      </c>
      <c r="L1203" s="26">
        <f>IF($J1203="","",ROUND($J1203*$K1203,0))</f>
        <v/>
      </c>
      <c r="M1203" s="37">
        <f>IF(OR($J1203="",$I1203=0),"",ROUND($J1203/$I1203,4))</f>
        <v/>
      </c>
      <c r="N1203" s="17" t="n"/>
      <c r="O1203" s="17" t="n"/>
      <c r="P1203" s="24">
        <f>IF($J1203="","未盘",IF(ROUND($J1203,3)=0,"账实相符",IF(COUNTIFS(入库单!$G$4:$G$2503,$A1203,入库单!$X$4:$X$2503,"盘盈",入库单!$C$4:$C$2503,"&gt;="&amp;账期起,入库单!$C$4:$C$2503,"&lt;="&amp;账期止)+COUNTIFS(出库单!$D$4:$D$4003,$A1203,出库单!$K$4:$K$4003,"盘亏",出库单!$C$4:$C$4003,"&gt;="&amp;账期起,出库单!$C$4:$C$4003,"&lt;="&amp;账期止)&gt;0,"已调账","※差异还没调账")))</f>
        <v/>
      </c>
      <c r="Q1203" s="17" t="n"/>
      <c r="R1203" s="17" t="n"/>
    </row>
    <row r="1204">
      <c r="A1204" s="24">
        <f>IF(库存台账!$A1204="","",库存台账!$A1204)</f>
        <v/>
      </c>
      <c r="B1204" s="24">
        <f>IF($A1204="","",库存台账!$B1204)</f>
        <v/>
      </c>
      <c r="C1204" s="24">
        <f>IF($A1204="","",库存台账!$C1204)</f>
        <v/>
      </c>
      <c r="D1204" s="24">
        <f>IF($A1204="","",库存台账!$D1204)</f>
        <v/>
      </c>
      <c r="E1204" s="24">
        <f>IF($A1204="","",库存台账!$E1204)</f>
        <v/>
      </c>
      <c r="F1204" s="24">
        <f>IF($A1204="","",库存台账!$F1204)</f>
        <v/>
      </c>
      <c r="G1204" s="17" t="n"/>
      <c r="H1204" s="23" t="n"/>
      <c r="I1204" s="27">
        <f>IF($A1204="","",库存台账!$X1204)</f>
        <v/>
      </c>
      <c r="J1204" s="27">
        <f>IF(OR($A1204="",$H1204=""),"",ROUND($H1204-$I1204,3))</f>
        <v/>
      </c>
      <c r="K1204" s="26">
        <f>IF($A1204="","",库存台账!$K1204)</f>
        <v/>
      </c>
      <c r="L1204" s="26">
        <f>IF($J1204="","",ROUND($J1204*$K1204,0))</f>
        <v/>
      </c>
      <c r="M1204" s="37">
        <f>IF(OR($J1204="",$I1204=0),"",ROUND($J1204/$I1204,4))</f>
        <v/>
      </c>
      <c r="N1204" s="17" t="n"/>
      <c r="O1204" s="17" t="n"/>
      <c r="P1204" s="24">
        <f>IF($J1204="","未盘",IF(ROUND($J1204,3)=0,"账实相符",IF(COUNTIFS(入库单!$G$4:$G$2503,$A1204,入库单!$X$4:$X$2503,"盘盈",入库单!$C$4:$C$2503,"&gt;="&amp;账期起,入库单!$C$4:$C$2503,"&lt;="&amp;账期止)+COUNTIFS(出库单!$D$4:$D$4003,$A1204,出库单!$K$4:$K$4003,"盘亏",出库单!$C$4:$C$4003,"&gt;="&amp;账期起,出库单!$C$4:$C$4003,"&lt;="&amp;账期止)&gt;0,"已调账","※差异还没调账")))</f>
        <v/>
      </c>
      <c r="Q1204" s="17" t="n"/>
      <c r="R1204" s="17" t="n"/>
    </row>
  </sheetData>
  <autoFilter ref="A3:R1204"/>
  <mergeCells count="2">
    <mergeCell ref="A2:R2"/>
    <mergeCell ref="A1:R1"/>
  </mergeCells>
  <conditionalFormatting sqref="P5:P1204">
    <cfRule type="expression" priority="1" dxfId="1">
      <formula>LEFT(P5,1)="※"</formula>
    </cfRule>
    <cfRule type="expression" priority="2" dxfId="2">
      <formula>LEFT(P5,1)="△"</formula>
    </cfRule>
  </conditionalFormatting>
  <conditionalFormatting sqref="J5:J1204">
    <cfRule type="cellIs" priority="3" operator="notEqual" dxfId="3">
      <formula>0</formula>
    </cfRule>
  </conditionalFormatting>
  <dataValidations count="2">
    <dataValidation sqref="N5:N1204" showDropDown="0" showInputMessage="0" showErrorMessage="1" allowBlank="1" errorTitle="不在名单里" error="先去【参数表】或【物料档案】把它加上。" type="list" errorStyle="stop">
      <formula1>"盘盈,盘亏,记录错误,自然损耗,被盗,单位记错,未查明"</formula1>
    </dataValidation>
    <dataValidation sqref="O5:O1204" showDropDown="0" showInputMessage="0" showErrorMessage="1" allowBlank="1" errorTitle="不在名单里" error="先去【参数表】或【物料档案】把它加上。" type="list" errorStyle="stop">
      <formula1>"调账,追责,待查"</formula1>
    </dataValidation>
  </dataValidation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833C00"/>
    <outlinePr summaryBelow="1" summaryRight="1"/>
    <pageSetUpPr fitToPage="1"/>
  </sheetPr>
  <dimension ref="A1:H5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6" customWidth="1" min="7" max="7"/>
    <col width="30" customWidth="1" min="8" max="8"/>
  </cols>
  <sheetData>
    <row r="1" ht="30" customHeight="1">
      <c r="A1" s="12" t="inlineStr">
        <is>
          <t>领导月报 · 老板看这一张就够（自动，不用填）</t>
        </is>
      </c>
    </row>
    <row r="2" ht="24" customHeight="1">
      <c r="A2" s="13" t="inlineStr">
        <is>
          <t>改【参数表】的「本期账期起」就能翻月。金额全是先令，括号里是折人民币。</t>
        </is>
      </c>
    </row>
    <row r="3">
      <c r="A3" s="38" t="inlineStr">
        <is>
          <t>账期</t>
        </is>
      </c>
      <c r="B3" s="39">
        <f>账期起</f>
        <v/>
      </c>
      <c r="C3" s="40" t="inlineStr">
        <is>
          <t>至</t>
        </is>
      </c>
      <c r="D3" s="39">
        <f>账期止</f>
        <v/>
      </c>
      <c r="E3" s="38" t="inlineStr">
        <is>
          <t>汇率</t>
        </is>
      </c>
      <c r="F3" s="35">
        <f>汇率</f>
        <v/>
      </c>
    </row>
    <row r="5" ht="24" customHeight="1">
      <c r="A5" s="41" t="inlineStr">
        <is>
          <t>一、这个月花了多少钱</t>
        </is>
      </c>
      <c r="B5" s="2" t="n"/>
      <c r="C5" s="2" t="n"/>
      <c r="D5" s="2" t="n"/>
      <c r="E5" s="2" t="n"/>
      <c r="F5" s="2" t="n"/>
      <c r="G5" s="2" t="n"/>
      <c r="H5" s="3" t="n"/>
    </row>
    <row r="6">
      <c r="A6" s="6" t="inlineStr">
        <is>
          <t>本月到货批次数</t>
        </is>
      </c>
      <c r="B6" s="42">
        <f>COUNTIFS(到货批次!$C$5:$C$204,"&gt;="&amp;账期起,到货批次!$C$5:$C$204,"&lt;="&amp;账期止)</f>
        <v/>
      </c>
    </row>
    <row r="7">
      <c r="A7" s="6" t="inlineStr">
        <is>
          <t>本月采购入库·货值（不含运费）</t>
        </is>
      </c>
      <c r="B7" s="43">
        <f>ROUND(SUMIFS(入库单!$P$4:$P$2503,入库单!$X$4:$X$2503,"采购入库",入库单!$Z$4:$Z$2503,"正常",入库单!$C$4:$C$2503,"&gt;="&amp;账期起,入库单!$C$4:$C$2503,"&lt;="&amp;账期止),0)</f>
        <v/>
      </c>
    </row>
    <row r="8">
      <c r="A8" s="6" t="inlineStr">
        <is>
          <t xml:space="preserve">　其中：国内货柜</t>
        </is>
      </c>
      <c r="B8" s="43">
        <f>ROUND(SUMIFS(入库单!$P$4:$P$2503,入库单!$D$4:$D$2503,"A国内",入库单!$X$4:$X$2503,"采购入库",入库单!$Z$4:$Z$2503,"正常",入库单!$C$4:$C$2503,"&gt;="&amp;账期起,入库单!$C$4:$C$2503,"&lt;="&amp;账期止),0)</f>
        <v/>
      </c>
    </row>
    <row r="9">
      <c r="A9" s="6" t="inlineStr">
        <is>
          <t xml:space="preserve">　其中：坦桑当地采购</t>
        </is>
      </c>
      <c r="B9" s="43">
        <f>ROUND(SUMIFS(入库单!$P$4:$P$2503,入库单!$D$4:$D$2503,"B当地",入库单!$X$4:$X$2503,"采购入库",入库单!$Z$4:$Z$2503,"正常",入库单!$C$4:$C$2503,"&gt;="&amp;账期起,入库单!$C$4:$C$2503,"&lt;="&amp;账期止),0)</f>
        <v/>
      </c>
    </row>
    <row r="10">
      <c r="A10" s="6" t="inlineStr">
        <is>
          <t>本月运杂费（已摊进成本）</t>
        </is>
      </c>
      <c r="B10" s="43">
        <f>ROUND(SUMIFS(入库单!$U$4:$U$2503,入库单!$X$4:$X$2503,"采购入库",入库单!$Z$4:$Z$2503,"正常",入库单!$C$4:$C$2503,"&gt;="&amp;账期起,入库单!$C$4:$C$2503,"&lt;="&amp;账期止),0)</f>
        <v/>
      </c>
    </row>
    <row r="11">
      <c r="A11" s="6" t="inlineStr">
        <is>
          <t>本月运杂费（还挂着没摊）</t>
        </is>
      </c>
      <c r="B11" s="43">
        <f>ROUND(到货批次!$K$4,0)</f>
        <v/>
      </c>
      <c r="C11" s="16" t="inlineStr">
        <is>
          <t>本批还有没填单价的行，摊了会算错，所以先挂着</t>
        </is>
      </c>
    </row>
    <row r="12">
      <c r="A12" s="5" t="inlineStr">
        <is>
          <t>本月采购总成本</t>
        </is>
      </c>
      <c r="B12" s="44">
        <f>ROUND($B$7+$B$10,0)</f>
        <v/>
      </c>
    </row>
    <row r="13">
      <c r="A13" s="6" t="inlineStr">
        <is>
          <t xml:space="preserve">　折人民币（约）</t>
        </is>
      </c>
      <c r="B13" s="45">
        <f>ROUND($B$12/汇率,2)</f>
        <v/>
      </c>
    </row>
    <row r="15" ht="24" customHeight="1">
      <c r="A15" s="41" t="inlineStr">
        <is>
          <t>二、炸药·柴油·药剂这些命门物资</t>
        </is>
      </c>
      <c r="B15" s="2" t="n"/>
      <c r="C15" s="2" t="n"/>
      <c r="D15" s="2" t="n"/>
      <c r="E15" s="2" t="n"/>
      <c r="F15" s="2" t="n"/>
      <c r="G15" s="2" t="n"/>
      <c r="H15" s="3" t="n"/>
    </row>
    <row r="16">
      <c r="A16" s="46" t="inlineStr">
        <is>
          <t>大类</t>
        </is>
      </c>
      <c r="B16" s="46" t="inlineStr">
        <is>
          <t>本月耗用金额</t>
        </is>
      </c>
      <c r="C16" s="46" t="inlineStr">
        <is>
          <t>一矿区</t>
        </is>
      </c>
      <c r="D16" s="46" t="inlineStr">
        <is>
          <t>二矿区</t>
        </is>
      </c>
      <c r="E16" s="46" t="inlineStr">
        <is>
          <t>卖给三矿六矿</t>
        </is>
      </c>
      <c r="F16" s="46" t="inlineStr">
        <is>
          <t>期末库存金额</t>
        </is>
      </c>
      <c r="G16" s="46" t="inlineStr">
        <is>
          <t>期末数量品种数</t>
        </is>
      </c>
    </row>
    <row r="17">
      <c r="A17" s="5" t="inlineStr">
        <is>
          <t>炸药火工</t>
        </is>
      </c>
      <c r="B17" s="47">
        <f>ROUND(SUMIF(库存台账!$E$5:$E$1204,$A17,库存台账!$Q$5:$Q$1204)+SUMIF(库存台账!$E$5:$E$1204,$A17,库存台账!$S$5:$S$1204),0)</f>
        <v/>
      </c>
      <c r="C17" s="26">
        <f>ROUND(SUMIFS(出库单!$S$4:$S$4003,出库单!$H$4:$H$4003,$A17,出库单!$L$4:$L$4003,"一矿区",出库单!$K$4:$K$4003,"自用消耗",出库单!$U$4:$U$4003,"正常",出库单!$C$4:$C$4003,"&gt;="&amp;账期起,出库单!$C$4:$C$4003,"&lt;="&amp;账期止),0)</f>
        <v/>
      </c>
      <c r="D17" s="26">
        <f>ROUND(SUMIFS(出库单!$S$4:$S$4003,出库单!$H$4:$H$4003,$A17,出库单!$L$4:$L$4003,"二矿区",出库单!$K$4:$K$4003,"自用消耗",出库单!$U$4:$U$4003,"正常",出库单!$C$4:$C$4003,"&gt;="&amp;账期起,出库单!$C$4:$C$4003,"&lt;="&amp;账期止),0)</f>
        <v/>
      </c>
      <c r="E17" s="26">
        <f>ROUND(SUMIFS(出库单!$Q$4:$Q$4003,出库单!$H$4:$H$4003,$A17,出库单!$K$4:$K$4003,"对外销售",出库单!$U$4:$U$4003,"正常",出库单!$C$4:$C$4003,"&gt;="&amp;账期起,出库单!$C$4:$C$4003,"&lt;="&amp;账期止),0)</f>
        <v/>
      </c>
      <c r="F17" s="26">
        <f>ROUND(SUMIF(库存台账!$E$5:$E$1204,$A17,库存台账!$Y$5:$Y$1204),0)</f>
        <v/>
      </c>
      <c r="G17" s="28">
        <f>COUNTIFS(库存台账!$E$5:$E$1204,$A17,库存台账!$X$5:$X$1204,"&gt;0")</f>
        <v/>
      </c>
    </row>
    <row r="18">
      <c r="A18" s="5" t="inlineStr">
        <is>
          <t>油料</t>
        </is>
      </c>
      <c r="B18" s="47">
        <f>ROUND(SUMIF(库存台账!$E$5:$E$1204,$A18,库存台账!$Q$5:$Q$1204)+SUMIF(库存台账!$E$5:$E$1204,$A18,库存台账!$S$5:$S$1204),0)</f>
        <v/>
      </c>
      <c r="C18" s="26">
        <f>ROUND(SUMIFS(出库单!$S$4:$S$4003,出库单!$H$4:$H$4003,$A18,出库单!$L$4:$L$4003,"一矿区",出库单!$K$4:$K$4003,"自用消耗",出库单!$U$4:$U$4003,"正常",出库单!$C$4:$C$4003,"&gt;="&amp;账期起,出库单!$C$4:$C$4003,"&lt;="&amp;账期止),0)</f>
        <v/>
      </c>
      <c r="D18" s="26">
        <f>ROUND(SUMIFS(出库单!$S$4:$S$4003,出库单!$H$4:$H$4003,$A18,出库单!$L$4:$L$4003,"二矿区",出库单!$K$4:$K$4003,"自用消耗",出库单!$U$4:$U$4003,"正常",出库单!$C$4:$C$4003,"&gt;="&amp;账期起,出库单!$C$4:$C$4003,"&lt;="&amp;账期止),0)</f>
        <v/>
      </c>
      <c r="E18" s="26">
        <f>ROUND(SUMIFS(出库单!$Q$4:$Q$4003,出库单!$H$4:$H$4003,$A18,出库单!$K$4:$K$4003,"对外销售",出库单!$U$4:$U$4003,"正常",出库单!$C$4:$C$4003,"&gt;="&amp;账期起,出库单!$C$4:$C$4003,"&lt;="&amp;账期止),0)</f>
        <v/>
      </c>
      <c r="F18" s="26">
        <f>ROUND(SUMIF(库存台账!$E$5:$E$1204,$A18,库存台账!$Y$5:$Y$1204),0)</f>
        <v/>
      </c>
      <c r="G18" s="28">
        <f>COUNTIFS(库存台账!$E$5:$E$1204,$A18,库存台账!$X$5:$X$1204,"&gt;0")</f>
        <v/>
      </c>
    </row>
    <row r="19">
      <c r="A19" s="5" t="inlineStr">
        <is>
          <t>选矿药剂</t>
        </is>
      </c>
      <c r="B19" s="47">
        <f>ROUND(SUMIF(库存台账!$E$5:$E$1204,$A19,库存台账!$Q$5:$Q$1204)+SUMIF(库存台账!$E$5:$E$1204,$A19,库存台账!$S$5:$S$1204),0)</f>
        <v/>
      </c>
      <c r="C19" s="26">
        <f>ROUND(SUMIFS(出库单!$S$4:$S$4003,出库单!$H$4:$H$4003,$A19,出库单!$L$4:$L$4003,"一矿区",出库单!$K$4:$K$4003,"自用消耗",出库单!$U$4:$U$4003,"正常",出库单!$C$4:$C$4003,"&gt;="&amp;账期起,出库单!$C$4:$C$4003,"&lt;="&amp;账期止),0)</f>
        <v/>
      </c>
      <c r="D19" s="26">
        <f>ROUND(SUMIFS(出库单!$S$4:$S$4003,出库单!$H$4:$H$4003,$A19,出库单!$L$4:$L$4003,"二矿区",出库单!$K$4:$K$4003,"自用消耗",出库单!$U$4:$U$4003,"正常",出库单!$C$4:$C$4003,"&gt;="&amp;账期起,出库单!$C$4:$C$4003,"&lt;="&amp;账期止),0)</f>
        <v/>
      </c>
      <c r="E19" s="26">
        <f>ROUND(SUMIFS(出库单!$Q$4:$Q$4003,出库单!$H$4:$H$4003,$A19,出库单!$K$4:$K$4003,"对外销售",出库单!$U$4:$U$4003,"正常",出库单!$C$4:$C$4003,"&gt;="&amp;账期起,出库单!$C$4:$C$4003,"&lt;="&amp;账期止),0)</f>
        <v/>
      </c>
      <c r="F19" s="26">
        <f>ROUND(SUMIF(库存台账!$E$5:$E$1204,$A19,库存台账!$Y$5:$Y$1204),0)</f>
        <v/>
      </c>
      <c r="G19" s="28">
        <f>COUNTIFS(库存台账!$E$5:$E$1204,$A19,库存台账!$X$5:$X$1204,"&gt;0")</f>
        <v/>
      </c>
    </row>
    <row r="20">
      <c r="A20" s="5" t="inlineStr">
        <is>
          <t>磨矿介质</t>
        </is>
      </c>
      <c r="B20" s="47">
        <f>ROUND(SUMIF(库存台账!$E$5:$E$1204,$A20,库存台账!$Q$5:$Q$1204)+SUMIF(库存台账!$E$5:$E$1204,$A20,库存台账!$S$5:$S$1204),0)</f>
        <v/>
      </c>
      <c r="C20" s="26">
        <f>ROUND(SUMIFS(出库单!$S$4:$S$4003,出库单!$H$4:$H$4003,$A20,出库单!$L$4:$L$4003,"一矿区",出库单!$K$4:$K$4003,"自用消耗",出库单!$U$4:$U$4003,"正常",出库单!$C$4:$C$4003,"&gt;="&amp;账期起,出库单!$C$4:$C$4003,"&lt;="&amp;账期止),0)</f>
        <v/>
      </c>
      <c r="D20" s="26">
        <f>ROUND(SUMIFS(出库单!$S$4:$S$4003,出库单!$H$4:$H$4003,$A20,出库单!$L$4:$L$4003,"二矿区",出库单!$K$4:$K$4003,"自用消耗",出库单!$U$4:$U$4003,"正常",出库单!$C$4:$C$4003,"&gt;="&amp;账期起,出库单!$C$4:$C$4003,"&lt;="&amp;账期止),0)</f>
        <v/>
      </c>
      <c r="E20" s="26">
        <f>ROUND(SUMIFS(出库单!$Q$4:$Q$4003,出库单!$H$4:$H$4003,$A20,出库单!$K$4:$K$4003,"对外销售",出库单!$U$4:$U$4003,"正常",出库单!$C$4:$C$4003,"&gt;="&amp;账期起,出库单!$C$4:$C$4003,"&lt;="&amp;账期止),0)</f>
        <v/>
      </c>
      <c r="F20" s="26">
        <f>ROUND(SUMIF(库存台账!$E$5:$E$1204,$A20,库存台账!$Y$5:$Y$1204),0)</f>
        <v/>
      </c>
      <c r="G20" s="28">
        <f>COUNTIFS(库存台账!$E$5:$E$1204,$A20,库存台账!$X$5:$X$1204,"&gt;0")</f>
        <v/>
      </c>
    </row>
    <row r="21" ht="30" customHeight="1">
      <c r="A21" s="9" t="inlineStr">
        <is>
          <t>⚠ 现有 867 行货柜数据里，炸药火工一行都没有，油料只有 2 台柴油发电机。这两样是你说的最主要成本，但它们是在坦桑当地买的，没进过这张货柜清单 —— 要盯住就得从现在起把当地采购也录进【入库单】（货源选 B当地）。</t>
        </is>
      </c>
      <c r="B21" s="2" t="n"/>
      <c r="C21" s="2" t="n"/>
      <c r="D21" s="2" t="n"/>
      <c r="E21" s="2" t="n"/>
      <c r="F21" s="2" t="n"/>
      <c r="G21" s="2" t="n"/>
      <c r="H21" s="3" t="n"/>
    </row>
    <row r="23" ht="24" customHeight="1">
      <c r="A23" s="41" t="inlineStr">
        <is>
          <t>三、一矿二矿自己耗了多少</t>
        </is>
      </c>
      <c r="B23" s="2" t="n"/>
      <c r="C23" s="2" t="n"/>
      <c r="D23" s="2" t="n"/>
      <c r="E23" s="2" t="n"/>
      <c r="F23" s="2" t="n"/>
      <c r="G23" s="2" t="n"/>
      <c r="H23" s="3" t="n"/>
    </row>
    <row r="24">
      <c r="A24" s="46" t="inlineStr">
        <is>
          <t>矿区</t>
        </is>
      </c>
      <c r="B24" s="46" t="inlineStr">
        <is>
          <t>本月自用消耗·先令</t>
        </is>
      </c>
      <c r="C24" s="46" t="inlineStr">
        <is>
          <t>占两矿合计</t>
        </is>
      </c>
      <c r="D24" s="46" t="inlineStr">
        <is>
          <t>折人民币</t>
        </is>
      </c>
      <c r="E24" s="46" t="inlineStr">
        <is>
          <t>处理矿石量(吨)</t>
        </is>
      </c>
      <c r="F24" s="46" t="inlineStr">
        <is>
          <t>吨耗·先令</t>
        </is>
      </c>
    </row>
    <row r="25">
      <c r="A25" s="5" t="inlineStr">
        <is>
          <t>一矿区</t>
        </is>
      </c>
      <c r="B25" s="47">
        <f>ROUND(SUMIFS(出库单!$S$4:$S$4003,出库单!$L$4:$L$4003,"一矿区",出库单!$K$4:$K$4003,"自用消耗",出库单!$U$4:$U$4003,"正常",出库单!$C$4:$C$4003,"&gt;="&amp;账期起,出库单!$C$4:$C$4003,"&lt;="&amp;账期止),0)</f>
        <v/>
      </c>
      <c r="C25" s="37">
        <f>IF($B$27=0,"",ROUND($B25/$B$27,4))</f>
        <v/>
      </c>
      <c r="D25" s="25">
        <f>ROUND($B25/汇率,2)</f>
        <v/>
      </c>
      <c r="E25" s="48">
        <f>一矿处理量</f>
        <v/>
      </c>
      <c r="F25" s="26">
        <f>IF(N($E25)=0,"—",ROUND($B25/$E25,0))</f>
        <v/>
      </c>
    </row>
    <row r="26">
      <c r="A26" s="5" t="inlineStr">
        <is>
          <t>二矿区</t>
        </is>
      </c>
      <c r="B26" s="47">
        <f>ROUND(SUMIFS(出库单!$S$4:$S$4003,出库单!$L$4:$L$4003,"二矿区",出库单!$K$4:$K$4003,"自用消耗",出库单!$U$4:$U$4003,"正常",出库单!$C$4:$C$4003,"&gt;="&amp;账期起,出库单!$C$4:$C$4003,"&lt;="&amp;账期止),0)</f>
        <v/>
      </c>
      <c r="C26" s="37">
        <f>IF($B$27=0,"",ROUND($B26/$B$27,4))</f>
        <v/>
      </c>
      <c r="D26" s="25">
        <f>ROUND($B26/汇率,2)</f>
        <v/>
      </c>
      <c r="E26" s="48">
        <f>二矿处理量</f>
        <v/>
      </c>
      <c r="F26" s="26">
        <f>IF(N($E26)=0,"—",ROUND($B26/$E26,0))</f>
        <v/>
      </c>
    </row>
    <row r="27">
      <c r="A27" s="5" t="inlineStr">
        <is>
          <t>两矿合计自用消耗</t>
        </is>
      </c>
      <c r="B27" s="44">
        <f>ROUND(SUM($B$25:$B$26),0)</f>
        <v/>
      </c>
    </row>
    <row r="29" ht="24" customHeight="1">
      <c r="A29" s="41" t="inlineStr">
        <is>
          <t>四、卖给三矿六矿，赚了多少</t>
        </is>
      </c>
      <c r="B29" s="2" t="n"/>
      <c r="C29" s="2" t="n"/>
      <c r="D29" s="2" t="n"/>
      <c r="E29" s="2" t="n"/>
      <c r="F29" s="2" t="n"/>
      <c r="G29" s="2" t="n"/>
      <c r="H29" s="3" t="n"/>
    </row>
    <row r="30">
      <c r="A30" s="46" t="inlineStr">
        <is>
          <t>矿区</t>
        </is>
      </c>
      <c r="B30" s="46" t="inlineStr">
        <is>
          <t>本月销售额·先令</t>
        </is>
      </c>
      <c r="C30" s="46" t="inlineStr">
        <is>
          <t>本月销售成本</t>
        </is>
      </c>
      <c r="D30" s="46" t="inlineStr">
        <is>
          <t>本月毛利</t>
        </is>
      </c>
      <c r="E30" s="46" t="inlineStr">
        <is>
          <t>毛利率</t>
        </is>
      </c>
      <c r="F30" s="46" t="inlineStr">
        <is>
          <t>期末还欠我们</t>
        </is>
      </c>
      <c r="G30" s="46" t="inlineStr">
        <is>
          <t>本月笔数</t>
        </is>
      </c>
    </row>
    <row r="31">
      <c r="A31" s="5" t="inlineStr">
        <is>
          <t>三矿区</t>
        </is>
      </c>
      <c r="B31" s="47">
        <f>应收对账!$C7</f>
        <v/>
      </c>
      <c r="C31" s="26">
        <f>应收对账!$F7</f>
        <v/>
      </c>
      <c r="D31" s="47">
        <f>应收对账!$G7</f>
        <v/>
      </c>
      <c r="E31" s="37">
        <f>应收对账!$H7</f>
        <v/>
      </c>
      <c r="F31" s="26">
        <f>应收对账!$E7</f>
        <v/>
      </c>
      <c r="G31" s="28">
        <f>应收对账!$I7</f>
        <v/>
      </c>
    </row>
    <row r="32">
      <c r="A32" s="5" t="inlineStr">
        <is>
          <t>六矿区</t>
        </is>
      </c>
      <c r="B32" s="47">
        <f>应收对账!$C8</f>
        <v/>
      </c>
      <c r="C32" s="26">
        <f>应收对账!$F8</f>
        <v/>
      </c>
      <c r="D32" s="47">
        <f>应收对账!$G8</f>
        <v/>
      </c>
      <c r="E32" s="37">
        <f>应收对账!$H8</f>
        <v/>
      </c>
      <c r="F32" s="26">
        <f>应收对账!$E8</f>
        <v/>
      </c>
      <c r="G32" s="28">
        <f>应收对账!$I8</f>
        <v/>
      </c>
    </row>
    <row r="33">
      <c r="A33" s="5" t="inlineStr">
        <is>
          <t>两个矿区合计</t>
        </is>
      </c>
      <c r="B33" s="44">
        <f>ROUND($B$31+$B$32,0)</f>
        <v/>
      </c>
      <c r="C33" s="44">
        <f>ROUND($C$31+$C$32,0)</f>
        <v/>
      </c>
      <c r="D33" s="44">
        <f>ROUND($D$31+$D$32,0)</f>
        <v/>
      </c>
      <c r="E33" s="49">
        <f>IF($B$33=0,"",ROUND($D$33/$B$33,4))</f>
        <v/>
      </c>
      <c r="F33" s="44">
        <f>ROUND($F$31+$F$32,0)</f>
        <v/>
      </c>
    </row>
    <row r="34">
      <c r="A34" s="6" t="inlineStr">
        <is>
          <t xml:space="preserve">　折人民币（销售额）</t>
        </is>
      </c>
      <c r="B34" s="45">
        <f>ROUND($B$33/汇率,2)</f>
        <v/>
      </c>
    </row>
    <row r="36" ht="24" customHeight="1">
      <c r="A36" s="41" t="inlineStr">
        <is>
          <t>五、库存还剩多少（金额勾稽，一行一行看得见）</t>
        </is>
      </c>
      <c r="B36" s="2" t="n"/>
      <c r="C36" s="2" t="n"/>
      <c r="D36" s="2" t="n"/>
      <c r="E36" s="2" t="n"/>
      <c r="F36" s="2" t="n"/>
      <c r="G36" s="2" t="n"/>
      <c r="H36" s="3" t="n"/>
    </row>
    <row r="37">
      <c r="A37" s="6" t="inlineStr">
        <is>
          <t>期初金额</t>
        </is>
      </c>
      <c r="B37" s="43">
        <f>库存台账!$H$4</f>
        <v/>
      </c>
    </row>
    <row r="38">
      <c r="A38" s="6" t="inlineStr">
        <is>
          <t>＋ 本月采购入库</t>
        </is>
      </c>
      <c r="B38" s="43">
        <f>库存台账!$J$4</f>
        <v/>
      </c>
    </row>
    <row r="39">
      <c r="A39" s="6" t="inlineStr">
        <is>
          <t>＋ 盘盈</t>
        </is>
      </c>
      <c r="B39" s="43">
        <f>库存台账!$M$4</f>
        <v/>
      </c>
    </row>
    <row r="40">
      <c r="A40" s="6" t="inlineStr">
        <is>
          <t>＋ 矿区退库</t>
        </is>
      </c>
      <c r="B40" s="43">
        <f>库存台账!$O$4</f>
        <v/>
      </c>
    </row>
    <row r="41">
      <c r="A41" s="6" t="inlineStr">
        <is>
          <t>－ 一矿二矿自用消耗</t>
        </is>
      </c>
      <c r="B41" s="43">
        <f>库存台账!$Q$4</f>
        <v/>
      </c>
    </row>
    <row r="42">
      <c r="A42" s="6" t="inlineStr">
        <is>
          <t>－ 卖给三矿六矿（成本）</t>
        </is>
      </c>
      <c r="B42" s="43">
        <f>库存台账!$S$4</f>
        <v/>
      </c>
    </row>
    <row r="43">
      <c r="A43" s="6" t="inlineStr">
        <is>
          <t>－ 盘亏</t>
        </is>
      </c>
      <c r="B43" s="43">
        <f>库存台账!$U$4</f>
        <v/>
      </c>
    </row>
    <row r="44">
      <c r="A44" s="6" t="inlineStr">
        <is>
          <t>－ 退货给供应商</t>
        </is>
      </c>
      <c r="B44" s="43">
        <f>库存台账!$W$4</f>
        <v/>
      </c>
    </row>
    <row r="45">
      <c r="A45" s="5" t="inlineStr">
        <is>
          <t>＝ 期末金额·先令</t>
        </is>
      </c>
      <c r="B45" s="44">
        <f>库存台账!$Y$4</f>
        <v/>
      </c>
    </row>
    <row r="46">
      <c r="A46" s="5" t="inlineStr">
        <is>
          <t xml:space="preserve">　勾稽差额（应该是 0）</t>
        </is>
      </c>
      <c r="B46" s="44">
        <f>ROUND(库存台账!$H$4+库存台账!$J$4+库存台账!$M$4+库存台账!$O$4-库存台账!$Q$4-库存台账!$S$4-库存台账!$U$4-库存台账!$W$4-库存台账!$Y$4,0)</f>
        <v/>
      </c>
      <c r="C46" s="16" t="inlineStr">
        <is>
          <t>不是 0 就别信这个月的数</t>
        </is>
      </c>
    </row>
    <row r="47">
      <c r="A47" s="6" t="inlineStr">
        <is>
          <t>期末有库存的品种数</t>
        </is>
      </c>
      <c r="B47" s="42">
        <f>COUNTIF(库存台账!$X$5:$X$1204,"&gt;0")</f>
        <v/>
      </c>
    </row>
    <row r="48">
      <c r="A48" s="6" t="inlineStr">
        <is>
          <t>呆滞超过 180 天的品种数</t>
        </is>
      </c>
      <c r="B48" s="42">
        <f>COUNTIFS(物料档案!$O$4:$O$1203,"&gt;180")</f>
        <v/>
      </c>
    </row>
    <row r="49">
      <c r="A49" s="6" t="inlineStr">
        <is>
          <t>成本不可信（含待补价/暂估）的品种数</t>
        </is>
      </c>
      <c r="B49" s="42">
        <f>COUNTIF(库存台账!$Z$5:$Z$1204,"不可信")</f>
        <v/>
      </c>
    </row>
    <row r="50">
      <c r="A50" s="6" t="inlineStr">
        <is>
          <t xml:space="preserve">　这些品种占期末库存金额</t>
        </is>
      </c>
      <c r="B50" s="50">
        <f>IF(库存台账!$Y$4=0,"",ROUND(SUMIF(库存台账!$Z$5:$Z$1204,"不可信",库存台账!$Y$5:$Y$1204)/库存台账!$Y$4,4))</f>
        <v/>
      </c>
    </row>
    <row r="52" ht="24" customHeight="1">
      <c r="A52" s="41" t="inlineStr">
        <is>
          <t>六、这个月的账对不对</t>
        </is>
      </c>
      <c r="B52" s="2" t="n"/>
      <c r="C52" s="2" t="n"/>
      <c r="D52" s="2" t="n"/>
      <c r="E52" s="2" t="n"/>
      <c r="F52" s="2" t="n"/>
      <c r="G52" s="2" t="n"/>
      <c r="H52" s="3" t="n"/>
    </row>
    <row r="53">
      <c r="A53" s="5" t="inlineStr">
        <is>
          <t>核对表通过项 / 总项数</t>
        </is>
      </c>
      <c r="B53" s="51">
        <f>核对表!$B$3&amp;" / "&amp;核对表!$C$3</f>
        <v/>
      </c>
    </row>
    <row r="54">
      <c r="A54" s="6" t="inlineStr">
        <is>
          <t>没通过的项</t>
        </is>
      </c>
      <c r="B54" s="52">
        <f>核对表!$D$3</f>
        <v/>
      </c>
      <c r="C54" s="16" t="inlineStr">
        <is>
          <t>去【核对表】看红的那几行</t>
        </is>
      </c>
    </row>
  </sheetData>
  <mergeCells count="9">
    <mergeCell ref="A1:H1"/>
    <mergeCell ref="A21:H21"/>
    <mergeCell ref="A15:H15"/>
    <mergeCell ref="A29:H29"/>
    <mergeCell ref="A2:H2"/>
    <mergeCell ref="A52:H52"/>
    <mergeCell ref="A36:H36"/>
    <mergeCell ref="A5:H5"/>
    <mergeCell ref="A23:H23"/>
  </mergeCell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J2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5" customWidth="1" min="7" max="7"/>
    <col width="10" customWidth="1" min="8" max="8"/>
    <col width="10" customWidth="1" min="9" max="9"/>
    <col width="26" customWidth="1" min="10" max="10"/>
  </cols>
  <sheetData>
    <row r="1" ht="30" customHeight="1">
      <c r="A1" s="12" t="inlineStr">
        <is>
          <t>应收对账 · 卖给三矿六矿的货款收没收回来</t>
        </is>
      </c>
    </row>
    <row r="2" ht="24" customHeight="1">
      <c r="A2" s="13" t="inlineStr">
        <is>
          <t>货出去了钱没回来，比库管拿点东西金额大得多。期初欠款和本月收款要人填，其余自动。月初开账时把「期末欠款」抄到下个月的「期初欠款」。</t>
        </is>
      </c>
    </row>
    <row r="3" ht="34" customHeight="1">
      <c r="A3" s="33" t="inlineStr">
        <is>
          <t>矿区/客户</t>
        </is>
      </c>
      <c r="B3" s="33" t="inlineStr">
        <is>
          <t>期初欠款·先令</t>
        </is>
      </c>
      <c r="C3" s="33" t="inlineStr">
        <is>
          <t>本月销售额·先令</t>
        </is>
      </c>
      <c r="D3" s="33" t="inlineStr">
        <is>
          <t>本月收款·先令</t>
        </is>
      </c>
      <c r="E3" s="33" t="inlineStr">
        <is>
          <t>期末欠款·先令</t>
        </is>
      </c>
      <c r="F3" s="33" t="inlineStr">
        <is>
          <t>本月销售成本·先令</t>
        </is>
      </c>
      <c r="G3" s="33" t="inlineStr">
        <is>
          <t>本月毛利·先令</t>
        </is>
      </c>
      <c r="H3" s="33" t="inlineStr">
        <is>
          <t>毛利率</t>
        </is>
      </c>
      <c r="I3" s="33" t="inlineStr">
        <is>
          <t>本月笔数</t>
        </is>
      </c>
      <c r="J3" s="33" t="inlineStr">
        <is>
          <t>备注</t>
        </is>
      </c>
    </row>
    <row r="4">
      <c r="A4" s="34" t="inlineStr">
        <is>
          <t>合计</t>
        </is>
      </c>
      <c r="B4" s="36">
        <f>ROUND(SUM(B5:B24),0)</f>
        <v/>
      </c>
      <c r="C4" s="36">
        <f>ROUND(SUM(C5:C24),0)</f>
        <v/>
      </c>
      <c r="D4" s="36">
        <f>ROUND(SUM(D5:D24),0)</f>
        <v/>
      </c>
      <c r="E4" s="36">
        <f>ROUND(SUM(E5:E24),0)</f>
        <v/>
      </c>
      <c r="F4" s="36">
        <f>ROUND(SUM(F5:F24),0)</f>
        <v/>
      </c>
      <c r="G4" s="36">
        <f>ROUND(SUM(G5:G24),0)</f>
        <v/>
      </c>
      <c r="H4" s="53">
        <f>IF($C4=0,"",ROUND($G4/$C4,4))</f>
        <v/>
      </c>
      <c r="I4" s="35">
        <f>SUM(I5:I24)</f>
        <v/>
      </c>
      <c r="J4" s="17" t="n"/>
    </row>
    <row r="5">
      <c r="A5" s="24">
        <f>IF(参数表!$E4="","",参数表!$E4)</f>
        <v/>
      </c>
      <c r="B5" s="32" t="n"/>
      <c r="C5" s="26">
        <f>IF($A5="","",ROUND(SUMIFS(出库单!$Q$4:$Q$4003,出库单!$L$4:$L$4003,$A5,出库单!$K$4:$K$4003,"对外销售",出库单!$U$4:$U$4003,"正常",出库单!$C$4:$C$4003,"&gt;="&amp;账期起,出库单!$C$4:$C$4003,"&lt;="&amp;账期止),0))</f>
        <v/>
      </c>
      <c r="D5" s="32" t="n"/>
      <c r="E5" s="26">
        <f>IF($A5="","",ROUND(N($B5)+$C5-N($D5),0))</f>
        <v/>
      </c>
      <c r="F5" s="26">
        <f>IF($A5="","",ROUND(SUMIFS(出库单!$S$4:$S$4003,出库单!$L$4:$L$4003,$A5,出库单!$K$4:$K$4003,"对外销售",出库单!$U$4:$U$4003,"正常",出库单!$C$4:$C$4003,"&gt;="&amp;账期起,出库单!$C$4:$C$4003,"&lt;="&amp;账期止),0))</f>
        <v/>
      </c>
      <c r="G5" s="26">
        <f>IF($A5="","",ROUND($C5-$F5,0))</f>
        <v/>
      </c>
      <c r="H5" s="37">
        <f>IF($A5="","",IF($C5=0,"",ROUND($G5/$C5,4)))</f>
        <v/>
      </c>
      <c r="I5" s="28">
        <f>IF($A5="","",COUNTIFS(出库单!$L$4:$L$4003,$A5,出库单!$K$4:$K$4003,"对外销售",出库单!$U$4:$U$4003,"正常",出库单!$C$4:$C$4003,"&gt;="&amp;账期起,出库单!$C$4:$C$4003,"&lt;="&amp;账期止))</f>
        <v/>
      </c>
      <c r="J5" s="17" t="n"/>
    </row>
    <row r="6">
      <c r="A6" s="24">
        <f>IF(参数表!$E5="","",参数表!$E5)</f>
        <v/>
      </c>
      <c r="B6" s="32" t="n"/>
      <c r="C6" s="26">
        <f>IF($A6="","",ROUND(SUMIFS(出库单!$Q$4:$Q$4003,出库单!$L$4:$L$4003,$A6,出库单!$K$4:$K$4003,"对外销售",出库单!$U$4:$U$4003,"正常",出库单!$C$4:$C$4003,"&gt;="&amp;账期起,出库单!$C$4:$C$4003,"&lt;="&amp;账期止),0))</f>
        <v/>
      </c>
      <c r="D6" s="32" t="n"/>
      <c r="E6" s="26">
        <f>IF($A6="","",ROUND(N($B6)+$C6-N($D6),0))</f>
        <v/>
      </c>
      <c r="F6" s="26">
        <f>IF($A6="","",ROUND(SUMIFS(出库单!$S$4:$S$4003,出库单!$L$4:$L$4003,$A6,出库单!$K$4:$K$4003,"对外销售",出库单!$U$4:$U$4003,"正常",出库单!$C$4:$C$4003,"&gt;="&amp;账期起,出库单!$C$4:$C$4003,"&lt;="&amp;账期止),0))</f>
        <v/>
      </c>
      <c r="G6" s="26">
        <f>IF($A6="","",ROUND($C6-$F6,0))</f>
        <v/>
      </c>
      <c r="H6" s="37">
        <f>IF($A6="","",IF($C6=0,"",ROUND($G6/$C6,4)))</f>
        <v/>
      </c>
      <c r="I6" s="28">
        <f>IF($A6="","",COUNTIFS(出库单!$L$4:$L$4003,$A6,出库单!$K$4:$K$4003,"对外销售",出库单!$U$4:$U$4003,"正常",出库单!$C$4:$C$4003,"&gt;="&amp;账期起,出库单!$C$4:$C$4003,"&lt;="&amp;账期止))</f>
        <v/>
      </c>
      <c r="J6" s="17" t="n"/>
    </row>
    <row r="7">
      <c r="A7" s="24">
        <f>IF(参数表!$E6="","",参数表!$E6)</f>
        <v/>
      </c>
      <c r="B7" s="32" t="n"/>
      <c r="C7" s="26">
        <f>IF($A7="","",ROUND(SUMIFS(出库单!$Q$4:$Q$4003,出库单!$L$4:$L$4003,$A7,出库单!$K$4:$K$4003,"对外销售",出库单!$U$4:$U$4003,"正常",出库单!$C$4:$C$4003,"&gt;="&amp;账期起,出库单!$C$4:$C$4003,"&lt;="&amp;账期止),0))</f>
        <v/>
      </c>
      <c r="D7" s="32" t="n"/>
      <c r="E7" s="26">
        <f>IF($A7="","",ROUND(N($B7)+$C7-N($D7),0))</f>
        <v/>
      </c>
      <c r="F7" s="26">
        <f>IF($A7="","",ROUND(SUMIFS(出库单!$S$4:$S$4003,出库单!$L$4:$L$4003,$A7,出库单!$K$4:$K$4003,"对外销售",出库单!$U$4:$U$4003,"正常",出库单!$C$4:$C$4003,"&gt;="&amp;账期起,出库单!$C$4:$C$4003,"&lt;="&amp;账期止),0))</f>
        <v/>
      </c>
      <c r="G7" s="26">
        <f>IF($A7="","",ROUND($C7-$F7,0))</f>
        <v/>
      </c>
      <c r="H7" s="37">
        <f>IF($A7="","",IF($C7=0,"",ROUND($G7/$C7,4)))</f>
        <v/>
      </c>
      <c r="I7" s="28">
        <f>IF($A7="","",COUNTIFS(出库单!$L$4:$L$4003,$A7,出库单!$K$4:$K$4003,"对外销售",出库单!$U$4:$U$4003,"正常",出库单!$C$4:$C$4003,"&gt;="&amp;账期起,出库单!$C$4:$C$4003,"&lt;="&amp;账期止))</f>
        <v/>
      </c>
      <c r="J7" s="17" t="n"/>
    </row>
    <row r="8">
      <c r="A8" s="24">
        <f>IF(参数表!$E7="","",参数表!$E7)</f>
        <v/>
      </c>
      <c r="B8" s="32" t="n"/>
      <c r="C8" s="26">
        <f>IF($A8="","",ROUND(SUMIFS(出库单!$Q$4:$Q$4003,出库单!$L$4:$L$4003,$A8,出库单!$K$4:$K$4003,"对外销售",出库单!$U$4:$U$4003,"正常",出库单!$C$4:$C$4003,"&gt;="&amp;账期起,出库单!$C$4:$C$4003,"&lt;="&amp;账期止),0))</f>
        <v/>
      </c>
      <c r="D8" s="32" t="n"/>
      <c r="E8" s="26">
        <f>IF($A8="","",ROUND(N($B8)+$C8-N($D8),0))</f>
        <v/>
      </c>
      <c r="F8" s="26">
        <f>IF($A8="","",ROUND(SUMIFS(出库单!$S$4:$S$4003,出库单!$L$4:$L$4003,$A8,出库单!$K$4:$K$4003,"对外销售",出库单!$U$4:$U$4003,"正常",出库单!$C$4:$C$4003,"&gt;="&amp;账期起,出库单!$C$4:$C$4003,"&lt;="&amp;账期止),0))</f>
        <v/>
      </c>
      <c r="G8" s="26">
        <f>IF($A8="","",ROUND($C8-$F8,0))</f>
        <v/>
      </c>
      <c r="H8" s="37">
        <f>IF($A8="","",IF($C8=0,"",ROUND($G8/$C8,4)))</f>
        <v/>
      </c>
      <c r="I8" s="28">
        <f>IF($A8="","",COUNTIFS(出库单!$L$4:$L$4003,$A8,出库单!$K$4:$K$4003,"对外销售",出库单!$U$4:$U$4003,"正常",出库单!$C$4:$C$4003,"&gt;="&amp;账期起,出库单!$C$4:$C$4003,"&lt;="&amp;账期止))</f>
        <v/>
      </c>
      <c r="J8" s="17" t="n"/>
    </row>
    <row r="9">
      <c r="A9" s="24">
        <f>IF(参数表!$E8="","",参数表!$E8)</f>
        <v/>
      </c>
      <c r="B9" s="32" t="n"/>
      <c r="C9" s="26">
        <f>IF($A9="","",ROUND(SUMIFS(出库单!$Q$4:$Q$4003,出库单!$L$4:$L$4003,$A9,出库单!$K$4:$K$4003,"对外销售",出库单!$U$4:$U$4003,"正常",出库单!$C$4:$C$4003,"&gt;="&amp;账期起,出库单!$C$4:$C$4003,"&lt;="&amp;账期止),0))</f>
        <v/>
      </c>
      <c r="D9" s="32" t="n"/>
      <c r="E9" s="26">
        <f>IF($A9="","",ROUND(N($B9)+$C9-N($D9),0))</f>
        <v/>
      </c>
      <c r="F9" s="26">
        <f>IF($A9="","",ROUND(SUMIFS(出库单!$S$4:$S$4003,出库单!$L$4:$L$4003,$A9,出库单!$K$4:$K$4003,"对外销售",出库单!$U$4:$U$4003,"正常",出库单!$C$4:$C$4003,"&gt;="&amp;账期起,出库单!$C$4:$C$4003,"&lt;="&amp;账期止),0))</f>
        <v/>
      </c>
      <c r="G9" s="26">
        <f>IF($A9="","",ROUND($C9-$F9,0))</f>
        <v/>
      </c>
      <c r="H9" s="37">
        <f>IF($A9="","",IF($C9=0,"",ROUND($G9/$C9,4)))</f>
        <v/>
      </c>
      <c r="I9" s="28">
        <f>IF($A9="","",COUNTIFS(出库单!$L$4:$L$4003,$A9,出库单!$K$4:$K$4003,"对外销售",出库单!$U$4:$U$4003,"正常",出库单!$C$4:$C$4003,"&gt;="&amp;账期起,出库单!$C$4:$C$4003,"&lt;="&amp;账期止))</f>
        <v/>
      </c>
      <c r="J9" s="17" t="n"/>
    </row>
    <row r="10">
      <c r="A10" s="24">
        <f>IF(参数表!$E9="","",参数表!$E9)</f>
        <v/>
      </c>
      <c r="B10" s="32" t="n"/>
      <c r="C10" s="26">
        <f>IF($A10="","",ROUND(SUMIFS(出库单!$Q$4:$Q$4003,出库单!$L$4:$L$4003,$A10,出库单!$K$4:$K$4003,"对外销售",出库单!$U$4:$U$4003,"正常",出库单!$C$4:$C$4003,"&gt;="&amp;账期起,出库单!$C$4:$C$4003,"&lt;="&amp;账期止),0))</f>
        <v/>
      </c>
      <c r="D10" s="32" t="n"/>
      <c r="E10" s="26">
        <f>IF($A10="","",ROUND(N($B10)+$C10-N($D10),0))</f>
        <v/>
      </c>
      <c r="F10" s="26">
        <f>IF($A10="","",ROUND(SUMIFS(出库单!$S$4:$S$4003,出库单!$L$4:$L$4003,$A10,出库单!$K$4:$K$4003,"对外销售",出库单!$U$4:$U$4003,"正常",出库单!$C$4:$C$4003,"&gt;="&amp;账期起,出库单!$C$4:$C$4003,"&lt;="&amp;账期止),0))</f>
        <v/>
      </c>
      <c r="G10" s="26">
        <f>IF($A10="","",ROUND($C10-$F10,0))</f>
        <v/>
      </c>
      <c r="H10" s="37">
        <f>IF($A10="","",IF($C10=0,"",ROUND($G10/$C10,4)))</f>
        <v/>
      </c>
      <c r="I10" s="28">
        <f>IF($A10="","",COUNTIFS(出库单!$L$4:$L$4003,$A10,出库单!$K$4:$K$4003,"对外销售",出库单!$U$4:$U$4003,"正常",出库单!$C$4:$C$4003,"&gt;="&amp;账期起,出库单!$C$4:$C$4003,"&lt;="&amp;账期止))</f>
        <v/>
      </c>
      <c r="J10" s="17" t="n"/>
    </row>
    <row r="11">
      <c r="A11" s="24">
        <f>IF(参数表!$E10="","",参数表!$E10)</f>
        <v/>
      </c>
      <c r="B11" s="32" t="n"/>
      <c r="C11" s="26">
        <f>IF($A11="","",ROUND(SUMIFS(出库单!$Q$4:$Q$4003,出库单!$L$4:$L$4003,$A11,出库单!$K$4:$K$4003,"对外销售",出库单!$U$4:$U$4003,"正常",出库单!$C$4:$C$4003,"&gt;="&amp;账期起,出库单!$C$4:$C$4003,"&lt;="&amp;账期止),0))</f>
        <v/>
      </c>
      <c r="D11" s="32" t="n"/>
      <c r="E11" s="26">
        <f>IF($A11="","",ROUND(N($B11)+$C11-N($D11),0))</f>
        <v/>
      </c>
      <c r="F11" s="26">
        <f>IF($A11="","",ROUND(SUMIFS(出库单!$S$4:$S$4003,出库单!$L$4:$L$4003,$A11,出库单!$K$4:$K$4003,"对外销售",出库单!$U$4:$U$4003,"正常",出库单!$C$4:$C$4003,"&gt;="&amp;账期起,出库单!$C$4:$C$4003,"&lt;="&amp;账期止),0))</f>
        <v/>
      </c>
      <c r="G11" s="26">
        <f>IF($A11="","",ROUND($C11-$F11,0))</f>
        <v/>
      </c>
      <c r="H11" s="37">
        <f>IF($A11="","",IF($C11=0,"",ROUND($G11/$C11,4)))</f>
        <v/>
      </c>
      <c r="I11" s="28">
        <f>IF($A11="","",COUNTIFS(出库单!$L$4:$L$4003,$A11,出库单!$K$4:$K$4003,"对外销售",出库单!$U$4:$U$4003,"正常",出库单!$C$4:$C$4003,"&gt;="&amp;账期起,出库单!$C$4:$C$4003,"&lt;="&amp;账期止))</f>
        <v/>
      </c>
      <c r="J11" s="17" t="n"/>
    </row>
    <row r="12">
      <c r="A12" s="24">
        <f>IF(参数表!$E11="","",参数表!$E11)</f>
        <v/>
      </c>
      <c r="B12" s="32" t="n"/>
      <c r="C12" s="26">
        <f>IF($A12="","",ROUND(SUMIFS(出库单!$Q$4:$Q$4003,出库单!$L$4:$L$4003,$A12,出库单!$K$4:$K$4003,"对外销售",出库单!$U$4:$U$4003,"正常",出库单!$C$4:$C$4003,"&gt;="&amp;账期起,出库单!$C$4:$C$4003,"&lt;="&amp;账期止),0))</f>
        <v/>
      </c>
      <c r="D12" s="32" t="n"/>
      <c r="E12" s="26">
        <f>IF($A12="","",ROUND(N($B12)+$C12-N($D12),0))</f>
        <v/>
      </c>
      <c r="F12" s="26">
        <f>IF($A12="","",ROUND(SUMIFS(出库单!$S$4:$S$4003,出库单!$L$4:$L$4003,$A12,出库单!$K$4:$K$4003,"对外销售",出库单!$U$4:$U$4003,"正常",出库单!$C$4:$C$4003,"&gt;="&amp;账期起,出库单!$C$4:$C$4003,"&lt;="&amp;账期止),0))</f>
        <v/>
      </c>
      <c r="G12" s="26">
        <f>IF($A12="","",ROUND($C12-$F12,0))</f>
        <v/>
      </c>
      <c r="H12" s="37">
        <f>IF($A12="","",IF($C12=0,"",ROUND($G12/$C12,4)))</f>
        <v/>
      </c>
      <c r="I12" s="28">
        <f>IF($A12="","",COUNTIFS(出库单!$L$4:$L$4003,$A12,出库单!$K$4:$K$4003,"对外销售",出库单!$U$4:$U$4003,"正常",出库单!$C$4:$C$4003,"&gt;="&amp;账期起,出库单!$C$4:$C$4003,"&lt;="&amp;账期止))</f>
        <v/>
      </c>
      <c r="J12" s="17" t="n"/>
    </row>
    <row r="13">
      <c r="A13" s="24">
        <f>IF(参数表!$E12="","",参数表!$E12)</f>
        <v/>
      </c>
      <c r="B13" s="32" t="n"/>
      <c r="C13" s="26">
        <f>IF($A13="","",ROUND(SUMIFS(出库单!$Q$4:$Q$4003,出库单!$L$4:$L$4003,$A13,出库单!$K$4:$K$4003,"对外销售",出库单!$U$4:$U$4003,"正常",出库单!$C$4:$C$4003,"&gt;="&amp;账期起,出库单!$C$4:$C$4003,"&lt;="&amp;账期止),0))</f>
        <v/>
      </c>
      <c r="D13" s="32" t="n"/>
      <c r="E13" s="26">
        <f>IF($A13="","",ROUND(N($B13)+$C13-N($D13),0))</f>
        <v/>
      </c>
      <c r="F13" s="26">
        <f>IF($A13="","",ROUND(SUMIFS(出库单!$S$4:$S$4003,出库单!$L$4:$L$4003,$A13,出库单!$K$4:$K$4003,"对外销售",出库单!$U$4:$U$4003,"正常",出库单!$C$4:$C$4003,"&gt;="&amp;账期起,出库单!$C$4:$C$4003,"&lt;="&amp;账期止),0))</f>
        <v/>
      </c>
      <c r="G13" s="26">
        <f>IF($A13="","",ROUND($C13-$F13,0))</f>
        <v/>
      </c>
      <c r="H13" s="37">
        <f>IF($A13="","",IF($C13=0,"",ROUND($G13/$C13,4)))</f>
        <v/>
      </c>
      <c r="I13" s="28">
        <f>IF($A13="","",COUNTIFS(出库单!$L$4:$L$4003,$A13,出库单!$K$4:$K$4003,"对外销售",出库单!$U$4:$U$4003,"正常",出库单!$C$4:$C$4003,"&gt;="&amp;账期起,出库单!$C$4:$C$4003,"&lt;="&amp;账期止))</f>
        <v/>
      </c>
      <c r="J13" s="17" t="n"/>
    </row>
    <row r="14">
      <c r="A14" s="24">
        <f>IF(参数表!$E13="","",参数表!$E13)</f>
        <v/>
      </c>
      <c r="B14" s="32" t="n"/>
      <c r="C14" s="26">
        <f>IF($A14="","",ROUND(SUMIFS(出库单!$Q$4:$Q$4003,出库单!$L$4:$L$4003,$A14,出库单!$K$4:$K$4003,"对外销售",出库单!$U$4:$U$4003,"正常",出库单!$C$4:$C$4003,"&gt;="&amp;账期起,出库单!$C$4:$C$4003,"&lt;="&amp;账期止),0))</f>
        <v/>
      </c>
      <c r="D14" s="32" t="n"/>
      <c r="E14" s="26">
        <f>IF($A14="","",ROUND(N($B14)+$C14-N($D14),0))</f>
        <v/>
      </c>
      <c r="F14" s="26">
        <f>IF($A14="","",ROUND(SUMIFS(出库单!$S$4:$S$4003,出库单!$L$4:$L$4003,$A14,出库单!$K$4:$K$4003,"对外销售",出库单!$U$4:$U$4003,"正常",出库单!$C$4:$C$4003,"&gt;="&amp;账期起,出库单!$C$4:$C$4003,"&lt;="&amp;账期止),0))</f>
        <v/>
      </c>
      <c r="G14" s="26">
        <f>IF($A14="","",ROUND($C14-$F14,0))</f>
        <v/>
      </c>
      <c r="H14" s="37">
        <f>IF($A14="","",IF($C14=0,"",ROUND($G14/$C14,4)))</f>
        <v/>
      </c>
      <c r="I14" s="28">
        <f>IF($A14="","",COUNTIFS(出库单!$L$4:$L$4003,$A14,出库单!$K$4:$K$4003,"对外销售",出库单!$U$4:$U$4003,"正常",出库单!$C$4:$C$4003,"&gt;="&amp;账期起,出库单!$C$4:$C$4003,"&lt;="&amp;账期止))</f>
        <v/>
      </c>
      <c r="J14" s="17" t="n"/>
    </row>
    <row r="15">
      <c r="A15" s="24">
        <f>IF(参数表!$E14="","",参数表!$E14)</f>
        <v/>
      </c>
      <c r="B15" s="32" t="n"/>
      <c r="C15" s="26">
        <f>IF($A15="","",ROUND(SUMIFS(出库单!$Q$4:$Q$4003,出库单!$L$4:$L$4003,$A15,出库单!$K$4:$K$4003,"对外销售",出库单!$U$4:$U$4003,"正常",出库单!$C$4:$C$4003,"&gt;="&amp;账期起,出库单!$C$4:$C$4003,"&lt;="&amp;账期止),0))</f>
        <v/>
      </c>
      <c r="D15" s="32" t="n"/>
      <c r="E15" s="26">
        <f>IF($A15="","",ROUND(N($B15)+$C15-N($D15),0))</f>
        <v/>
      </c>
      <c r="F15" s="26">
        <f>IF($A15="","",ROUND(SUMIFS(出库单!$S$4:$S$4003,出库单!$L$4:$L$4003,$A15,出库单!$K$4:$K$4003,"对外销售",出库单!$U$4:$U$4003,"正常",出库单!$C$4:$C$4003,"&gt;="&amp;账期起,出库单!$C$4:$C$4003,"&lt;="&amp;账期止),0))</f>
        <v/>
      </c>
      <c r="G15" s="26">
        <f>IF($A15="","",ROUND($C15-$F15,0))</f>
        <v/>
      </c>
      <c r="H15" s="37">
        <f>IF($A15="","",IF($C15=0,"",ROUND($G15/$C15,4)))</f>
        <v/>
      </c>
      <c r="I15" s="28">
        <f>IF($A15="","",COUNTIFS(出库单!$L$4:$L$4003,$A15,出库单!$K$4:$K$4003,"对外销售",出库单!$U$4:$U$4003,"正常",出库单!$C$4:$C$4003,"&gt;="&amp;账期起,出库单!$C$4:$C$4003,"&lt;="&amp;账期止))</f>
        <v/>
      </c>
      <c r="J15" s="17" t="n"/>
    </row>
    <row r="16">
      <c r="A16" s="24">
        <f>IF(参数表!$E15="","",参数表!$E15)</f>
        <v/>
      </c>
      <c r="B16" s="32" t="n"/>
      <c r="C16" s="26">
        <f>IF($A16="","",ROUND(SUMIFS(出库单!$Q$4:$Q$4003,出库单!$L$4:$L$4003,$A16,出库单!$K$4:$K$4003,"对外销售",出库单!$U$4:$U$4003,"正常",出库单!$C$4:$C$4003,"&gt;="&amp;账期起,出库单!$C$4:$C$4003,"&lt;="&amp;账期止),0))</f>
        <v/>
      </c>
      <c r="D16" s="32" t="n"/>
      <c r="E16" s="26">
        <f>IF($A16="","",ROUND(N($B16)+$C16-N($D16),0))</f>
        <v/>
      </c>
      <c r="F16" s="26">
        <f>IF($A16="","",ROUND(SUMIFS(出库单!$S$4:$S$4003,出库单!$L$4:$L$4003,$A16,出库单!$K$4:$K$4003,"对外销售",出库单!$U$4:$U$4003,"正常",出库单!$C$4:$C$4003,"&gt;="&amp;账期起,出库单!$C$4:$C$4003,"&lt;="&amp;账期止),0))</f>
        <v/>
      </c>
      <c r="G16" s="26">
        <f>IF($A16="","",ROUND($C16-$F16,0))</f>
        <v/>
      </c>
      <c r="H16" s="37">
        <f>IF($A16="","",IF($C16=0,"",ROUND($G16/$C16,4)))</f>
        <v/>
      </c>
      <c r="I16" s="28">
        <f>IF($A16="","",COUNTIFS(出库单!$L$4:$L$4003,$A16,出库单!$K$4:$K$4003,"对外销售",出库单!$U$4:$U$4003,"正常",出库单!$C$4:$C$4003,"&gt;="&amp;账期起,出库单!$C$4:$C$4003,"&lt;="&amp;账期止))</f>
        <v/>
      </c>
      <c r="J16" s="17" t="n"/>
    </row>
    <row r="17">
      <c r="A17" s="24">
        <f>IF(参数表!$E16="","",参数表!$E16)</f>
        <v/>
      </c>
      <c r="B17" s="32" t="n"/>
      <c r="C17" s="26">
        <f>IF($A17="","",ROUND(SUMIFS(出库单!$Q$4:$Q$4003,出库单!$L$4:$L$4003,$A17,出库单!$K$4:$K$4003,"对外销售",出库单!$U$4:$U$4003,"正常",出库单!$C$4:$C$4003,"&gt;="&amp;账期起,出库单!$C$4:$C$4003,"&lt;="&amp;账期止),0))</f>
        <v/>
      </c>
      <c r="D17" s="32" t="n"/>
      <c r="E17" s="26">
        <f>IF($A17="","",ROUND(N($B17)+$C17-N($D17),0))</f>
        <v/>
      </c>
      <c r="F17" s="26">
        <f>IF($A17="","",ROUND(SUMIFS(出库单!$S$4:$S$4003,出库单!$L$4:$L$4003,$A17,出库单!$K$4:$K$4003,"对外销售",出库单!$U$4:$U$4003,"正常",出库单!$C$4:$C$4003,"&gt;="&amp;账期起,出库单!$C$4:$C$4003,"&lt;="&amp;账期止),0))</f>
        <v/>
      </c>
      <c r="G17" s="26">
        <f>IF($A17="","",ROUND($C17-$F17,0))</f>
        <v/>
      </c>
      <c r="H17" s="37">
        <f>IF($A17="","",IF($C17=0,"",ROUND($G17/$C17,4)))</f>
        <v/>
      </c>
      <c r="I17" s="28">
        <f>IF($A17="","",COUNTIFS(出库单!$L$4:$L$4003,$A17,出库单!$K$4:$K$4003,"对外销售",出库单!$U$4:$U$4003,"正常",出库单!$C$4:$C$4003,"&gt;="&amp;账期起,出库单!$C$4:$C$4003,"&lt;="&amp;账期止))</f>
        <v/>
      </c>
      <c r="J17" s="17" t="n"/>
    </row>
    <row r="18">
      <c r="A18" s="24">
        <f>IF(参数表!$E17="","",参数表!$E17)</f>
        <v/>
      </c>
      <c r="B18" s="32" t="n"/>
      <c r="C18" s="26">
        <f>IF($A18="","",ROUND(SUMIFS(出库单!$Q$4:$Q$4003,出库单!$L$4:$L$4003,$A18,出库单!$K$4:$K$4003,"对外销售",出库单!$U$4:$U$4003,"正常",出库单!$C$4:$C$4003,"&gt;="&amp;账期起,出库单!$C$4:$C$4003,"&lt;="&amp;账期止),0))</f>
        <v/>
      </c>
      <c r="D18" s="32" t="n"/>
      <c r="E18" s="26">
        <f>IF($A18="","",ROUND(N($B18)+$C18-N($D18),0))</f>
        <v/>
      </c>
      <c r="F18" s="26">
        <f>IF($A18="","",ROUND(SUMIFS(出库单!$S$4:$S$4003,出库单!$L$4:$L$4003,$A18,出库单!$K$4:$K$4003,"对外销售",出库单!$U$4:$U$4003,"正常",出库单!$C$4:$C$4003,"&gt;="&amp;账期起,出库单!$C$4:$C$4003,"&lt;="&amp;账期止),0))</f>
        <v/>
      </c>
      <c r="G18" s="26">
        <f>IF($A18="","",ROUND($C18-$F18,0))</f>
        <v/>
      </c>
      <c r="H18" s="37">
        <f>IF($A18="","",IF($C18=0,"",ROUND($G18/$C18,4)))</f>
        <v/>
      </c>
      <c r="I18" s="28">
        <f>IF($A18="","",COUNTIFS(出库单!$L$4:$L$4003,$A18,出库单!$K$4:$K$4003,"对外销售",出库单!$U$4:$U$4003,"正常",出库单!$C$4:$C$4003,"&gt;="&amp;账期起,出库单!$C$4:$C$4003,"&lt;="&amp;账期止))</f>
        <v/>
      </c>
      <c r="J18" s="17" t="n"/>
    </row>
    <row r="19">
      <c r="A19" s="24">
        <f>IF(参数表!$E18="","",参数表!$E18)</f>
        <v/>
      </c>
      <c r="B19" s="32" t="n"/>
      <c r="C19" s="26">
        <f>IF($A19="","",ROUND(SUMIFS(出库单!$Q$4:$Q$4003,出库单!$L$4:$L$4003,$A19,出库单!$K$4:$K$4003,"对外销售",出库单!$U$4:$U$4003,"正常",出库单!$C$4:$C$4003,"&gt;="&amp;账期起,出库单!$C$4:$C$4003,"&lt;="&amp;账期止),0))</f>
        <v/>
      </c>
      <c r="D19" s="32" t="n"/>
      <c r="E19" s="26">
        <f>IF($A19="","",ROUND(N($B19)+$C19-N($D19),0))</f>
        <v/>
      </c>
      <c r="F19" s="26">
        <f>IF($A19="","",ROUND(SUMIFS(出库单!$S$4:$S$4003,出库单!$L$4:$L$4003,$A19,出库单!$K$4:$K$4003,"对外销售",出库单!$U$4:$U$4003,"正常",出库单!$C$4:$C$4003,"&gt;="&amp;账期起,出库单!$C$4:$C$4003,"&lt;="&amp;账期止),0))</f>
        <v/>
      </c>
      <c r="G19" s="26">
        <f>IF($A19="","",ROUND($C19-$F19,0))</f>
        <v/>
      </c>
      <c r="H19" s="37">
        <f>IF($A19="","",IF($C19=0,"",ROUND($G19/$C19,4)))</f>
        <v/>
      </c>
      <c r="I19" s="28">
        <f>IF($A19="","",COUNTIFS(出库单!$L$4:$L$4003,$A19,出库单!$K$4:$K$4003,"对外销售",出库单!$U$4:$U$4003,"正常",出库单!$C$4:$C$4003,"&gt;="&amp;账期起,出库单!$C$4:$C$4003,"&lt;="&amp;账期止))</f>
        <v/>
      </c>
      <c r="J19" s="17" t="n"/>
    </row>
    <row r="20">
      <c r="A20" s="24">
        <f>IF(参数表!$E19="","",参数表!$E19)</f>
        <v/>
      </c>
      <c r="B20" s="32" t="n"/>
      <c r="C20" s="26">
        <f>IF($A20="","",ROUND(SUMIFS(出库单!$Q$4:$Q$4003,出库单!$L$4:$L$4003,$A20,出库单!$K$4:$K$4003,"对外销售",出库单!$U$4:$U$4003,"正常",出库单!$C$4:$C$4003,"&gt;="&amp;账期起,出库单!$C$4:$C$4003,"&lt;="&amp;账期止),0))</f>
        <v/>
      </c>
      <c r="D20" s="32" t="n"/>
      <c r="E20" s="26">
        <f>IF($A20="","",ROUND(N($B20)+$C20-N($D20),0))</f>
        <v/>
      </c>
      <c r="F20" s="26">
        <f>IF($A20="","",ROUND(SUMIFS(出库单!$S$4:$S$4003,出库单!$L$4:$L$4003,$A20,出库单!$K$4:$K$4003,"对外销售",出库单!$U$4:$U$4003,"正常",出库单!$C$4:$C$4003,"&gt;="&amp;账期起,出库单!$C$4:$C$4003,"&lt;="&amp;账期止),0))</f>
        <v/>
      </c>
      <c r="G20" s="26">
        <f>IF($A20="","",ROUND($C20-$F20,0))</f>
        <v/>
      </c>
      <c r="H20" s="37">
        <f>IF($A20="","",IF($C20=0,"",ROUND($G20/$C20,4)))</f>
        <v/>
      </c>
      <c r="I20" s="28">
        <f>IF($A20="","",COUNTIFS(出库单!$L$4:$L$4003,$A20,出库单!$K$4:$K$4003,"对外销售",出库单!$U$4:$U$4003,"正常",出库单!$C$4:$C$4003,"&gt;="&amp;账期起,出库单!$C$4:$C$4003,"&lt;="&amp;账期止))</f>
        <v/>
      </c>
      <c r="J20" s="17" t="n"/>
    </row>
    <row r="21">
      <c r="A21" s="24">
        <f>IF(参数表!$E20="","",参数表!$E20)</f>
        <v/>
      </c>
      <c r="B21" s="32" t="n"/>
      <c r="C21" s="26">
        <f>IF($A21="","",ROUND(SUMIFS(出库单!$Q$4:$Q$4003,出库单!$L$4:$L$4003,$A21,出库单!$K$4:$K$4003,"对外销售",出库单!$U$4:$U$4003,"正常",出库单!$C$4:$C$4003,"&gt;="&amp;账期起,出库单!$C$4:$C$4003,"&lt;="&amp;账期止),0))</f>
        <v/>
      </c>
      <c r="D21" s="32" t="n"/>
      <c r="E21" s="26">
        <f>IF($A21="","",ROUND(N($B21)+$C21-N($D21),0))</f>
        <v/>
      </c>
      <c r="F21" s="26">
        <f>IF($A21="","",ROUND(SUMIFS(出库单!$S$4:$S$4003,出库单!$L$4:$L$4003,$A21,出库单!$K$4:$K$4003,"对外销售",出库单!$U$4:$U$4003,"正常",出库单!$C$4:$C$4003,"&gt;="&amp;账期起,出库单!$C$4:$C$4003,"&lt;="&amp;账期止),0))</f>
        <v/>
      </c>
      <c r="G21" s="26">
        <f>IF($A21="","",ROUND($C21-$F21,0))</f>
        <v/>
      </c>
      <c r="H21" s="37">
        <f>IF($A21="","",IF($C21=0,"",ROUND($G21/$C21,4)))</f>
        <v/>
      </c>
      <c r="I21" s="28">
        <f>IF($A21="","",COUNTIFS(出库单!$L$4:$L$4003,$A21,出库单!$K$4:$K$4003,"对外销售",出库单!$U$4:$U$4003,"正常",出库单!$C$4:$C$4003,"&gt;="&amp;账期起,出库单!$C$4:$C$4003,"&lt;="&amp;账期止))</f>
        <v/>
      </c>
      <c r="J21" s="17" t="n"/>
    </row>
    <row r="22">
      <c r="A22" s="24">
        <f>IF(参数表!$E21="","",参数表!$E21)</f>
        <v/>
      </c>
      <c r="B22" s="32" t="n"/>
      <c r="C22" s="26">
        <f>IF($A22="","",ROUND(SUMIFS(出库单!$Q$4:$Q$4003,出库单!$L$4:$L$4003,$A22,出库单!$K$4:$K$4003,"对外销售",出库单!$U$4:$U$4003,"正常",出库单!$C$4:$C$4003,"&gt;="&amp;账期起,出库单!$C$4:$C$4003,"&lt;="&amp;账期止),0))</f>
        <v/>
      </c>
      <c r="D22" s="32" t="n"/>
      <c r="E22" s="26">
        <f>IF($A22="","",ROUND(N($B22)+$C22-N($D22),0))</f>
        <v/>
      </c>
      <c r="F22" s="26">
        <f>IF($A22="","",ROUND(SUMIFS(出库单!$S$4:$S$4003,出库单!$L$4:$L$4003,$A22,出库单!$K$4:$K$4003,"对外销售",出库单!$U$4:$U$4003,"正常",出库单!$C$4:$C$4003,"&gt;="&amp;账期起,出库单!$C$4:$C$4003,"&lt;="&amp;账期止),0))</f>
        <v/>
      </c>
      <c r="G22" s="26">
        <f>IF($A22="","",ROUND($C22-$F22,0))</f>
        <v/>
      </c>
      <c r="H22" s="37">
        <f>IF($A22="","",IF($C22=0,"",ROUND($G22/$C22,4)))</f>
        <v/>
      </c>
      <c r="I22" s="28">
        <f>IF($A22="","",COUNTIFS(出库单!$L$4:$L$4003,$A22,出库单!$K$4:$K$4003,"对外销售",出库单!$U$4:$U$4003,"正常",出库单!$C$4:$C$4003,"&gt;="&amp;账期起,出库单!$C$4:$C$4003,"&lt;="&amp;账期止))</f>
        <v/>
      </c>
      <c r="J22" s="17" t="n"/>
    </row>
    <row r="23">
      <c r="A23" s="24">
        <f>IF(参数表!$E22="","",参数表!$E22)</f>
        <v/>
      </c>
      <c r="B23" s="32" t="n"/>
      <c r="C23" s="26">
        <f>IF($A23="","",ROUND(SUMIFS(出库单!$Q$4:$Q$4003,出库单!$L$4:$L$4003,$A23,出库单!$K$4:$K$4003,"对外销售",出库单!$U$4:$U$4003,"正常",出库单!$C$4:$C$4003,"&gt;="&amp;账期起,出库单!$C$4:$C$4003,"&lt;="&amp;账期止),0))</f>
        <v/>
      </c>
      <c r="D23" s="32" t="n"/>
      <c r="E23" s="26">
        <f>IF($A23="","",ROUND(N($B23)+$C23-N($D23),0))</f>
        <v/>
      </c>
      <c r="F23" s="26">
        <f>IF($A23="","",ROUND(SUMIFS(出库单!$S$4:$S$4003,出库单!$L$4:$L$4003,$A23,出库单!$K$4:$K$4003,"对外销售",出库单!$U$4:$U$4003,"正常",出库单!$C$4:$C$4003,"&gt;="&amp;账期起,出库单!$C$4:$C$4003,"&lt;="&amp;账期止),0))</f>
        <v/>
      </c>
      <c r="G23" s="26">
        <f>IF($A23="","",ROUND($C23-$F23,0))</f>
        <v/>
      </c>
      <c r="H23" s="37">
        <f>IF($A23="","",IF($C23=0,"",ROUND($G23/$C23,4)))</f>
        <v/>
      </c>
      <c r="I23" s="28">
        <f>IF($A23="","",COUNTIFS(出库单!$L$4:$L$4003,$A23,出库单!$K$4:$K$4003,"对外销售",出库单!$U$4:$U$4003,"正常",出库单!$C$4:$C$4003,"&gt;="&amp;账期起,出库单!$C$4:$C$4003,"&lt;="&amp;账期止))</f>
        <v/>
      </c>
      <c r="J23" s="17" t="n"/>
    </row>
    <row r="24">
      <c r="A24" s="24">
        <f>IF(参数表!$E23="","",参数表!$E23)</f>
        <v/>
      </c>
      <c r="B24" s="32" t="n"/>
      <c r="C24" s="26">
        <f>IF($A24="","",ROUND(SUMIFS(出库单!$Q$4:$Q$4003,出库单!$L$4:$L$4003,$A24,出库单!$K$4:$K$4003,"对外销售",出库单!$U$4:$U$4003,"正常",出库单!$C$4:$C$4003,"&gt;="&amp;账期起,出库单!$C$4:$C$4003,"&lt;="&amp;账期止),0))</f>
        <v/>
      </c>
      <c r="D24" s="32" t="n"/>
      <c r="E24" s="26">
        <f>IF($A24="","",ROUND(N($B24)+$C24-N($D24),0))</f>
        <v/>
      </c>
      <c r="F24" s="26">
        <f>IF($A24="","",ROUND(SUMIFS(出库单!$S$4:$S$4003,出库单!$L$4:$L$4003,$A24,出库单!$K$4:$K$4003,"对外销售",出库单!$U$4:$U$4003,"正常",出库单!$C$4:$C$4003,"&gt;="&amp;账期起,出库单!$C$4:$C$4003,"&lt;="&amp;账期止),0))</f>
        <v/>
      </c>
      <c r="G24" s="26">
        <f>IF($A24="","",ROUND($C24-$F24,0))</f>
        <v/>
      </c>
      <c r="H24" s="37">
        <f>IF($A24="","",IF($C24=0,"",ROUND($G24/$C24,4)))</f>
        <v/>
      </c>
      <c r="I24" s="28">
        <f>IF($A24="","",COUNTIFS(出库单!$L$4:$L$4003,$A24,出库单!$K$4:$K$4003,"对外销售",出库单!$U$4:$U$4003,"正常",出库单!$C$4:$C$4003,"&gt;="&amp;账期起,出库单!$C$4:$C$4003,"&lt;="&amp;账期止))</f>
        <v/>
      </c>
      <c r="J24" s="17" t="n"/>
    </row>
  </sheetData>
  <mergeCells count="2">
    <mergeCell ref="A1:J1"/>
    <mergeCell ref="A2:J2"/>
  </mergeCells>
  <conditionalFormatting sqref="E5:E24">
    <cfRule type="cellIs" priority="1" operator="greaterThan" dxfId="0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6" customWidth="1" min="4" max="4"/>
    <col width="12" customWidth="1" min="5" max="5"/>
    <col width="46" customWidth="1" min="6" max="6"/>
  </cols>
  <sheetData>
    <row r="1" ht="30" customHeight="1">
      <c r="A1" s="12" t="inlineStr">
        <is>
          <t>核对表 · 结账前必看，全绿才能把月报发给老板</t>
        </is>
      </c>
    </row>
    <row r="2" ht="24" customHeight="1">
      <c r="A2" s="13" t="inlineStr"/>
    </row>
    <row r="3">
      <c r="A3" s="54" t="inlineStr">
        <is>
          <t>通过 / 总数 →</t>
        </is>
      </c>
      <c r="B3" s="55">
        <f>COUNTIF($E$6:$E$22,"OK")</f>
        <v/>
      </c>
      <c r="C3" s="56">
        <f>12</f>
        <v/>
      </c>
      <c r="D3" s="57">
        <f>COUNTIF($E$6:$E$22,"※*")</f>
        <v/>
      </c>
      <c r="E3" s="6" t="inlineStr">
        <is>
          <t>项没过（只数【勾稽】类；△待补是还没补齐的数据，不是算错）</t>
        </is>
      </c>
    </row>
    <row r="4">
      <c r="A4" s="9" t="inlineStr">
        <is>
          <t>【勾稽】类必须全 OK，有一项红就说明账算错了，这个月的数不能信。【待办】类是数据还没补齐（缺单价、缺运费），补一项少一项，不影响已有数字的正确性。</t>
        </is>
      </c>
      <c r="B4" s="2" t="n"/>
      <c r="C4" s="2" t="n"/>
      <c r="D4" s="2" t="n"/>
      <c r="E4" s="2" t="n"/>
      <c r="F4" s="3" t="n"/>
    </row>
    <row r="5">
      <c r="A5" s="33" t="inlineStr">
        <is>
          <t>检查项</t>
        </is>
      </c>
      <c r="B5" s="33" t="inlineStr">
        <is>
          <t>应该是</t>
        </is>
      </c>
      <c r="C5" s="33" t="inlineStr">
        <is>
          <t>实际是</t>
        </is>
      </c>
      <c r="D5" s="33" t="inlineStr">
        <is>
          <t>差</t>
        </is>
      </c>
      <c r="E5" s="33" t="inlineStr">
        <is>
          <t>结果</t>
        </is>
      </c>
      <c r="F5" s="33" t="inlineStr">
        <is>
          <t>说明</t>
        </is>
      </c>
    </row>
    <row r="6">
      <c r="A6" s="6" t="inlineStr">
        <is>
          <t>1a 金额勾稽：期初+入库+盘盈+退库−自用−外销−盘亏−退货 = 期末</t>
        </is>
      </c>
      <c r="B6" s="27">
        <f>ROUND(库存台账!$H$4+库存台账!$J$4+库存台账!$M$4+库存台账!$O$4-库存台账!$Q$4-库存台账!$S$4-库存台账!$U$4-库存台账!$W$4,0)</f>
        <v/>
      </c>
      <c r="C6" s="27">
        <f>ROUND(库存台账!$Y$4,0)</f>
        <v/>
      </c>
      <c r="D6" s="58">
        <f>ROUND(N($C6)-N($B6),3)</f>
        <v/>
      </c>
      <c r="E6" s="59">
        <f>IF(ROUND(N($D6),3)=0,"OK","※异常")</f>
        <v/>
      </c>
      <c r="F6" s="16" t="inlineStr">
        <is>
          <t>【勾稽】两边不等说明有公式被改坏了</t>
        </is>
      </c>
    </row>
    <row r="7">
      <c r="A7" s="6" t="inlineStr">
        <is>
          <t>1b 数量勾稽：同样的式子用数量再对一遍</t>
        </is>
      </c>
      <c r="B7" s="27">
        <f>ROUND(库存台账!$G$4+库存台账!$I$4+库存台账!$L$4+库存台账!$N$4-库存台账!$P$4-库存台账!$R$4-库存台账!$T$4-库存台账!$V$4,3)</f>
        <v/>
      </c>
      <c r="C7" s="27">
        <f>ROUND(库存台账!$X$4,3)</f>
        <v/>
      </c>
      <c r="D7" s="58">
        <f>ROUND(N($C7)-N($B7),3)</f>
        <v/>
      </c>
      <c r="E7" s="59">
        <f>IF(ROUND(N($D7),3)=0,"OK","※异常")</f>
        <v/>
      </c>
      <c r="F7" s="16" t="inlineStr">
        <is>
          <t>【勾稽】金额对不代表数量对，要分开查</t>
        </is>
      </c>
    </row>
    <row r="8">
      <c r="A8" s="6" t="inlineStr">
        <is>
          <t>2 费用分摊：可摊费用 = 已摊 + 挂账未摊</t>
        </is>
      </c>
      <c r="B8" s="27">
        <f>ROUND(SUMIFS(费用台账!$I$4:$I$503,费用台账!$J$4:$J$503,"是",费用台账!$K$4:$K$503,"正常"),0)</f>
        <v/>
      </c>
      <c r="C8" s="27">
        <f>ROUND(到货批次!$J$4+到货批次!$K$4,0)</f>
        <v/>
      </c>
      <c r="D8" s="58">
        <f>ROUND(N($C8)-N($B8),3)</f>
        <v/>
      </c>
      <c r="E8" s="59">
        <f>IF(ROUND(N($D8),3)=0,"OK","※异常")</f>
        <v/>
      </c>
      <c r="F8" s="16" t="inlineStr">
        <is>
          <t>【勾稽】一分钱都不能漏在外面</t>
        </is>
      </c>
    </row>
    <row r="9">
      <c r="A9" s="6" t="inlineStr">
        <is>
          <t>3 有费用但还有没填单价的行的批次数</t>
        </is>
      </c>
      <c r="B9" s="27">
        <f>0</f>
        <v/>
      </c>
      <c r="C9" s="27">
        <f>COUNTIFS(到货批次!$H$5:$H$204,"&gt;0",到货批次!$F$5:$F$204,"&gt;0")</f>
        <v/>
      </c>
      <c r="D9" s="58">
        <f>ROUND(N($C9)-N($B9),3)</f>
        <v/>
      </c>
      <c r="E9" s="59">
        <f>IF(ROUND(N($C9),3)=0,"OK","△待补")</f>
        <v/>
      </c>
      <c r="F9" s="16" t="inlineStr">
        <is>
          <t>【待办】这些批次运费整批挂账没摊，补完单价会自动摊进去</t>
        </is>
      </c>
    </row>
    <row r="10">
      <c r="A10" s="6" t="inlineStr">
        <is>
          <t>4 还没录运费的批次数</t>
        </is>
      </c>
      <c r="B10" s="27">
        <f>0</f>
        <v/>
      </c>
      <c r="C10" s="27">
        <f>COUNTIFS(到货批次!$E$5:$E$204,"&gt;0",到货批次!$H$5:$H$204,"&lt;=0")</f>
        <v/>
      </c>
      <c r="D10" s="58">
        <f>ROUND(N($C10)-N($B10),3)</f>
        <v/>
      </c>
      <c r="E10" s="59">
        <f>IF(ROUND(N($C10),3)=0,"OK","△待补")</f>
        <v/>
      </c>
      <c r="F10" s="16" t="inlineStr">
        <is>
          <t>【待办】27 个柜里只有 2 个录了运费，其余的成本是裸货值，毛利率会虚高</t>
        </is>
      </c>
    </row>
    <row r="11">
      <c r="A11" s="6" t="inlineStr">
        <is>
          <t>5 账面负库存的品种数</t>
        </is>
      </c>
      <c r="B11" s="27">
        <f>0</f>
        <v/>
      </c>
      <c r="C11" s="27">
        <f>COUNTIF(库存台账!$AA$5:$AA$1204,"※账面负库存*")</f>
        <v/>
      </c>
      <c r="D11" s="58">
        <f>ROUND(N($C11)-N($B11),3)</f>
        <v/>
      </c>
      <c r="E11" s="59">
        <f>IF(ROUND(N($D11),3)=0,"OK","※异常")</f>
        <v/>
      </c>
      <c r="F11" s="16" t="inlineStr">
        <is>
          <t>【勾稽】领的比账上有的多，或者漏记入库</t>
        </is>
      </c>
    </row>
    <row r="12">
      <c r="A12" s="6" t="inlineStr">
        <is>
          <t>6 还没填单价的入库行数</t>
        </is>
      </c>
      <c r="B12" s="27">
        <f>0</f>
        <v/>
      </c>
      <c r="C12" s="27">
        <f>COUNTIFS(入库单!$Y$4:$Y$2503,"待补价",入库单!$Z$4:$Z$2503,"正常")</f>
        <v/>
      </c>
      <c r="D12" s="58">
        <f>ROUND(N($C12)-N($B12),3)</f>
        <v/>
      </c>
      <c r="E12" s="59">
        <f>IF(ROUND(N($C12),3)=0,"OK","△待补")</f>
        <v/>
      </c>
      <c r="F12" s="16" t="inlineStr">
        <is>
          <t>【待办】价格没补，这些货的成本是 0</t>
        </is>
      </c>
    </row>
    <row r="13">
      <c r="A13" s="6" t="inlineStr">
        <is>
          <t>7 成本不可信的品种占期末库存金额</t>
        </is>
      </c>
      <c r="B13" s="27">
        <f>0</f>
        <v/>
      </c>
      <c r="C13" s="27">
        <f>IF(库存台账!$Y$4=0,0,ROUND(SUMIF(库存台账!$Z$5:$Z$1204,"不可信",库存台账!$Y$5:$Y$1204)/库存台账!$Y$4,4))</f>
        <v/>
      </c>
      <c r="D13" s="58">
        <f>ROUND(N($C13)-N($B13),3)</f>
        <v/>
      </c>
      <c r="E13" s="59">
        <f>IF(ROUND(N($C13),3)=0,"OK","△待补")</f>
        <v/>
      </c>
      <c r="F13" s="16" t="inlineStr">
        <is>
          <t>【待办】超过 10% 这个月的毛利率就别当真</t>
        </is>
      </c>
    </row>
    <row r="14">
      <c r="A14" s="6" t="inlineStr">
        <is>
          <t>8 数量已经是 0 金额还挂着的品种数</t>
        </is>
      </c>
      <c r="B14" s="27">
        <f>0</f>
        <v/>
      </c>
      <c r="C14" s="27">
        <f>COUNTIF(库存台账!$AA$5:$AA$1204,"※数量已经是 0*")</f>
        <v/>
      </c>
      <c r="D14" s="58">
        <f>ROUND(N($C14)-N($B14),3)</f>
        <v/>
      </c>
      <c r="E14" s="59">
        <f>IF(ROUND(N($D14),3)=0,"OK","※异常")</f>
        <v/>
      </c>
      <c r="F14" s="16" t="inlineStr">
        <is>
          <t>【勾稽】尾差要清掉，不然永远挂在库存里</t>
        </is>
      </c>
    </row>
    <row r="15">
      <c r="A15" s="6" t="inlineStr">
        <is>
          <t>9 外销却没有售价的笔数</t>
        </is>
      </c>
      <c r="B15" s="27">
        <f>0</f>
        <v/>
      </c>
      <c r="C15" s="27">
        <f>COUNTIFS(出库单!$K$4:$K$4003,"对外销售",出库单!$U$4:$U$4003,"正常",出库单!$Q$4:$Q$4003,0)</f>
        <v/>
      </c>
      <c r="D15" s="58">
        <f>ROUND(N($C15)-N($B15),3)</f>
        <v/>
      </c>
      <c r="E15" s="59">
        <f>IF(ROUND(N($D15),3)=0,"OK","※异常")</f>
        <v/>
      </c>
      <c r="F15" s="16" t="inlineStr">
        <is>
          <t>【勾稽】老板最怕的就是这个 —— 货出去了没开价</t>
        </is>
      </c>
    </row>
    <row r="16">
      <c r="A16" s="6" t="inlineStr">
        <is>
          <t>10 外销是亏的笔数</t>
        </is>
      </c>
      <c r="B16" s="27">
        <f>0</f>
        <v/>
      </c>
      <c r="C16" s="27">
        <f>COUNTIFS(出库单!$K$4:$K$4003,"对外销售",出库单!$U$4:$U$4003,"正常",出库单!$T$4:$T$4003,"&lt;0")</f>
        <v/>
      </c>
      <c r="D16" s="58">
        <f>ROUND(N($C16)-N($B16),3)</f>
        <v/>
      </c>
      <c r="E16" s="59">
        <f>IF(ROUND(N($D16),3)=0,"OK","※异常")</f>
        <v/>
      </c>
      <c r="F16" s="16" t="inlineStr">
        <is>
          <t>【勾稽】卖价低于成本，要么定价错要么成本错</t>
        </is>
      </c>
    </row>
    <row r="17">
      <c r="A17" s="6" t="inlineStr">
        <is>
          <t>11 出库单号重复的笔数</t>
        </is>
      </c>
      <c r="B17" s="27">
        <f>0</f>
        <v/>
      </c>
      <c r="C17" s="27">
        <f>SUMPRODUCT((出库单!$B$4:$B$4003&lt;&gt;"")*(COUNTIF(出库单!$B$4:$B$4003,出库单!$B$4:$B$4003&amp;"")&gt;1)*1)</f>
        <v/>
      </c>
      <c r="D17" s="58">
        <f>ROUND(N($C17)-N($B17),3)</f>
        <v/>
      </c>
      <c r="E17" s="59">
        <f>IF(ROUND(N($D17),3)=0,"OK","※异常")</f>
        <v/>
      </c>
      <c r="F17" s="16" t="inlineStr">
        <is>
          <t>【勾稽】一单两记</t>
        </is>
      </c>
    </row>
    <row r="18">
      <c r="A18" s="6" t="inlineStr">
        <is>
          <t>12 出库没填去向类型或矿区的笔数</t>
        </is>
      </c>
      <c r="B18" s="27">
        <f>0</f>
        <v/>
      </c>
      <c r="C18" s="27">
        <f>COUNTIFS(出库单!$D$4:$D$4003,"?*",出库单!$U$4:$U$4003,"正常",出库单!$K$4:$K$4003,"")+COUNTIFS(出库单!$D$4:$D$4003,"?*",出库单!$U$4:$U$4003,"正常",出库单!$L$4:$L$4003,"")-COUNTIFS(出库单!$D$4:$D$4003,"?*",出库单!$U$4:$U$4003,"正常",出库单!$K$4:$K$4003,"",出库单!$L$4:$L$4003,"")</f>
        <v/>
      </c>
      <c r="D18" s="58">
        <f>ROUND(N($C18)-N($B18),3)</f>
        <v/>
      </c>
      <c r="E18" s="59">
        <f>IF(ROUND(N($D18),3)=0,"OK","※异常")</f>
        <v/>
      </c>
      <c r="F18" s="16" t="inlineStr">
        <is>
          <t>【勾稽】不填就分不清是自己耗的还是卖的</t>
        </is>
      </c>
    </row>
    <row r="19">
      <c r="A19" s="6" t="inlineStr">
        <is>
          <t>13 出入库里物料编码不在档案里的笔数</t>
        </is>
      </c>
      <c r="B19" s="27">
        <f>0</f>
        <v/>
      </c>
      <c r="C19" s="27">
        <f>COUNTIF(入库单!$H$4:$H$2503,"※*")+COUNTIF(出库单!$E$4:$E$4003,"※*")</f>
        <v/>
      </c>
      <c r="D19" s="58">
        <f>ROUND(N($C19)-N($B19),3)</f>
        <v/>
      </c>
      <c r="E19" s="59">
        <f>IF(ROUND(N($D19),3)=0,"OK","※异常")</f>
        <v/>
      </c>
      <c r="F19" s="16" t="inlineStr">
        <is>
          <t>【勾稽】</t>
        </is>
      </c>
    </row>
    <row r="20">
      <c r="A20" s="6" t="inlineStr">
        <is>
          <t>14 本月盘点差异金额·先令</t>
        </is>
      </c>
      <c r="B20" s="27">
        <f>0</f>
        <v/>
      </c>
      <c r="C20" s="27">
        <f>ROUND(SUMIF(月度盘点!$H$5:$H$1204,"&gt;0",月度盘点!$L$5:$L$1204)+SUMIF(月度盘点!$H$5:$H$1204,0,月度盘点!$L$5:$L$1204),0)</f>
        <v/>
      </c>
      <c r="D20" s="58">
        <f>ROUND(N($C20)-N($B20),3)</f>
        <v/>
      </c>
      <c r="E20" s="59">
        <f>IF(ROUND(N($C20),3)=0,"OK","△待补")</f>
        <v/>
      </c>
      <c r="F20" s="16" t="inlineStr">
        <is>
          <t>【待办】差异不为 0 要在【月度盘点】填原因并调账</t>
        </is>
      </c>
    </row>
    <row r="21">
      <c r="A21" s="6" t="inlineStr">
        <is>
          <t>15 盘出差异但还没调账的品种数</t>
        </is>
      </c>
      <c r="B21" s="27">
        <f>0</f>
        <v/>
      </c>
      <c r="C21" s="27">
        <f>COUNTIF(月度盘点!$P$5:$P$1204,"※*")</f>
        <v/>
      </c>
      <c r="D21" s="58">
        <f>ROUND(N($C21)-N($B21),3)</f>
        <v/>
      </c>
      <c r="E21" s="59">
        <f>IF(ROUND(N($D21),3)=0,"OK","※异常")</f>
        <v/>
      </c>
      <c r="F21" s="16" t="inlineStr">
        <is>
          <t>【勾稽】盘盈去入库单记、盘亏去出库单记</t>
        </is>
      </c>
    </row>
    <row r="22">
      <c r="A22" s="6" t="inlineStr">
        <is>
          <t>16 入库/出库有红字提示的笔数</t>
        </is>
      </c>
      <c r="B22" s="27">
        <f>0</f>
        <v/>
      </c>
      <c r="C22" s="27">
        <f>COUNTIF(入库单!$AC$4:$AC$2503,"※*")+COUNTIF(出库单!$W$4:$W$4003,"※*")</f>
        <v/>
      </c>
      <c r="D22" s="58">
        <f>ROUND(N($C22)-N($B22),3)</f>
        <v/>
      </c>
      <c r="E22" s="59">
        <f>IF(ROUND(N($D22),3)=0,"OK","※异常")</f>
        <v/>
      </c>
      <c r="F22" s="16" t="inlineStr">
        <is>
          <t>【勾稽】</t>
        </is>
      </c>
    </row>
  </sheetData>
  <mergeCells count="3">
    <mergeCell ref="A2:F2"/>
    <mergeCell ref="A1:F1"/>
    <mergeCell ref="A4:F4"/>
  </mergeCells>
  <conditionalFormatting sqref="E6:E22">
    <cfRule type="expression" priority="1" dxfId="1">
      <formula>LEFT(E6,1)="※"</formula>
    </cfRule>
    <cfRule type="expression" priority="2" dxfId="2">
      <formula>LEFT(E6,1)="△"</formula>
    </cfRule>
    <cfRule type="cellIs" priority="3" operator="equal" dxfId="4">
      <formula>"OK"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2026-09-17T00:11:53Z</dcterms:created>
  <dcterms:modified xsi:type="dcterms:W3CDTF">2026-09-17T00:12:07Z</dcterms:modified>
</cp:coreProperties>
</file>